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חוברת_עבודה_זו" defaultThemeVersion="124226"/>
  <mc:AlternateContent xmlns:mc="http://schemas.openxmlformats.org/markup-compatibility/2006">
    <mc:Choice Requires="x15">
      <x15ac:absPath xmlns:x15ac="http://schemas.microsoft.com/office/spreadsheetml/2010/11/ac" url="F:\לקוחות\משרדי ממשלה\משרד החינוך\בית הספר וגנים של החופש הגדול\חופש גדול תשפו\שלב 0-דוחות ביצוע\דוחות סגורים מעודכנים\מעודכן\"/>
    </mc:Choice>
  </mc:AlternateContent>
  <xr:revisionPtr revIDLastSave="0" documentId="13_ncr:1_{F531030E-6FDC-4EDF-9462-822D5050B601}" xr6:coauthVersionLast="47" xr6:coauthVersionMax="47" xr10:uidLastSave="{00000000-0000-0000-0000-000000000000}"/>
  <workbookProtection workbookAlgorithmName="SHA-512" workbookHashValue="BywKkUpzk9v5er2BvYrCCCufpQlhwrOXtNOBuSaBEpdWVWuthQCv6j6F/D+T/5OoX4IzoopaYlbzSFw6j5Xilg==" workbookSaltValue="8uKhlf5+KeOMrtU+0/LLrA==" workbookSpinCount="100000" lockStructure="1"/>
  <bookViews>
    <workbookView xWindow="-28920" yWindow="1305" windowWidth="29040" windowHeight="15840" firstSheet="5" activeTab="10" xr2:uid="{6742E3E7-E8A2-4BA6-A5DB-87F1C043386F}"/>
  </bookViews>
  <sheets>
    <sheet name="תוכן העניינים" sheetId="31" r:id="rId1"/>
    <sheet name="הנחיות כלליות" sheetId="23" r:id="rId2"/>
    <sheet name="הנחיות למילוי הדוח" sheetId="29" r:id="rId3"/>
    <sheet name="גנים ובתי ספר- מבנה תקציב" sheetId="2" r:id="rId4"/>
    <sheet name="נתונים כלליים (1)" sheetId="22" r:id="rId5"/>
    <sheet name="מצבת והרשמה (2)" sheetId="6" r:id="rId6"/>
    <sheet name="דוח ביצוע (3)" sheetId="7" r:id="rId7"/>
    <sheet name="דוח הוצאות בפועל (4)" sheetId="3" r:id="rId8"/>
    <sheet name="תשלומי הורים ומלגות להורים (5) " sheetId="4" r:id="rId9"/>
    <sheet name="עלויות כח אדם (6)" sheetId="11" r:id="rId10"/>
    <sheet name="סייעות רפואיות או אישיות (7)" sheetId="27" r:id="rId11"/>
    <sheet name=" איוש משרות (8)" sheetId="8" r:id="rId12"/>
    <sheet name="בית ספר - תקצוב לפי מוסד (9)" sheetId="18" r:id="rId13"/>
    <sheet name="בקרה" sheetId="24" state="hidden" r:id="rId14"/>
    <sheet name="רשימת רשויות" sheetId="19" state="hidden" r:id="rId15"/>
    <sheet name="נתוני רישום ומצבת" sheetId="21" state="hidden" r:id="rId16"/>
    <sheet name="סיווג התפקידים והעלויות" sheetId="13" state="hidden" r:id="rId17"/>
  </sheets>
  <externalReferences>
    <externalReference r:id="rId18"/>
    <externalReference r:id="rId19"/>
  </externalReferences>
  <definedNames>
    <definedName name="_xlnm._FilterDatabase" localSheetId="11" hidden="1">' איוש משרות (8)'!$B$15:$L$223</definedName>
    <definedName name="_xlnm._FilterDatabase" localSheetId="12" hidden="1">'בית ספר - תקצוב לפי מוסד (9)'!$S$15:$Y$15</definedName>
    <definedName name="_xlnm._FilterDatabase" localSheetId="6" hidden="1">'דוח ביצוע (3)'!$A$20:$W$20</definedName>
    <definedName name="_xlnm._FilterDatabase" localSheetId="7" hidden="1">'דוח הוצאות בפועל (4)'!$B$16:$G$16</definedName>
    <definedName name="_xlnm._FilterDatabase" localSheetId="5" hidden="1">'מצבת והרשמה (2)'!$B$20:$M$69</definedName>
    <definedName name="_xlnm._FilterDatabase" localSheetId="15" hidden="1">'נתוני רישום ומצבת'!$A$2:$R$2887</definedName>
    <definedName name="_xlnm._FilterDatabase" localSheetId="16" hidden="1">'סיווג התפקידים והעלויות'!$A$22:$C$22</definedName>
    <definedName name="_xlnm._FilterDatabase" localSheetId="14" hidden="1">'רשימת רשויות'!$A$2:$E$260</definedName>
    <definedName name="ba_KoachAdam">'עלויות כח אדם (6)'!$B$14:$M$3014</definedName>
    <definedName name="bs_bitzua">'דוח ביצוע (3)'!$A$20:$X$520</definedName>
    <definedName name="bs_hotzaot">'דוח הוצאות בפועל (4)'!$B$16:$G$3016</definedName>
    <definedName name="bs_mafilim">#REF!</definedName>
    <definedName name="bs_matzevet">'מצבת והרשמה (2)'!$B$20:$N$520</definedName>
    <definedName name="bs_melagot">'תשלומי הורים ומלגות להורים (5) '!$B$17:$I$517</definedName>
    <definedName name="bs_netunim">'נתונים כלליים (1)'!$C$5:$C$7</definedName>
    <definedName name="bs_SganRakaz">' איוש משרות (8)'!$B$15:$M$515</definedName>
    <definedName name="bs_shura">'בית ספר - תקצוב לפי מוסד (9)'!$AS$9:$BE$10</definedName>
    <definedName name="_xlnm.Print_Area" localSheetId="11">' איוש משרות (8)'!$B$1:$L$192</definedName>
    <definedName name="_xlnm.Print_Area" localSheetId="12">'בית ספר - תקצוב לפי מוסד (9)'!$D$1:$Z$77</definedName>
    <definedName name="_xlnm.Print_Area" localSheetId="3">'גנים ובתי ספר- מבנה תקציב'!$A$1:$I$92</definedName>
    <definedName name="_xlnm.Print_Area" localSheetId="6">'דוח ביצוע (3)'!$B$1:$L$69</definedName>
    <definedName name="_xlnm.Print_Area" localSheetId="5">'מצבת והרשמה (2)'!$A$1:$L$69</definedName>
    <definedName name="_xlnm.Print_Area" localSheetId="8">'תשלומי הורים ומלגות להורים (5) '!$B$1:$G$518</definedName>
    <definedName name="_xlnm.Print_Titles" localSheetId="12">'בית ספר - תקצוב לפי מוסד (9)'!$1:$13</definedName>
    <definedName name="_xlnm.Print_Titles" localSheetId="6">'דוח ביצוע (3)'!$17:$20</definedName>
    <definedName name="_xlnm.Print_Titles" localSheetId="5">'מצבת והרשמה (2)'!$20:$20</definedName>
    <definedName name="Z_4C449889_8AC9_4BD3_9CEA_74B4C2A98249_.wvu.FilterData" localSheetId="11" hidden="1">' איוש משרות (8)'!$B$15:$L$223</definedName>
    <definedName name="Z_4C449889_8AC9_4BD3_9CEA_74B4C2A98249_.wvu.FilterData" localSheetId="6" hidden="1">'דוח ביצוע (3)'!$A$20:$W$20</definedName>
    <definedName name="Z_4C449889_8AC9_4BD3_9CEA_74B4C2A98249_.wvu.FilterData" localSheetId="5" hidden="1">'מצבת והרשמה (2)'!$B$20:$M$69</definedName>
    <definedName name="Z_4C449889_8AC9_4BD3_9CEA_74B4C2A98249_.wvu.PrintArea" localSheetId="11" hidden="1">' איוש משרות (8)'!$B$1:$L$192</definedName>
    <definedName name="Z_4C449889_8AC9_4BD3_9CEA_74B4C2A98249_.wvu.PrintArea" localSheetId="12" hidden="1">'בית ספר - תקצוב לפי מוסד (9)'!$F$1:$P$51</definedName>
    <definedName name="Z_4C449889_8AC9_4BD3_9CEA_74B4C2A98249_.wvu.PrintArea" localSheetId="3" hidden="1">'גנים ובתי ספר- מבנה תקציב'!$A$1:$I$92</definedName>
    <definedName name="Z_4C449889_8AC9_4BD3_9CEA_74B4C2A98249_.wvu.PrintArea" localSheetId="6" hidden="1">'דוח ביצוע (3)'!$B$1:$L$69</definedName>
    <definedName name="Z_4C449889_8AC9_4BD3_9CEA_74B4C2A98249_.wvu.PrintArea" localSheetId="5" hidden="1">'מצבת והרשמה (2)'!$A$1:$L$69</definedName>
    <definedName name="Z_4C449889_8AC9_4BD3_9CEA_74B4C2A98249_.wvu.PrintArea" localSheetId="8" hidden="1">'תשלומי הורים ומלגות להורים (5) '!$B$1:$G$518</definedName>
    <definedName name="Z_4C449889_8AC9_4BD3_9CEA_74B4C2A98249_.wvu.PrintTitles" localSheetId="12" hidden="1">'בית ספר - תקצוב לפי מוסד (9)'!$1:$10</definedName>
    <definedName name="Z_4C449889_8AC9_4BD3_9CEA_74B4C2A98249_.wvu.PrintTitles" localSheetId="6" hidden="1">'דוח ביצוע (3)'!$17:$20</definedName>
    <definedName name="Z_4C449889_8AC9_4BD3_9CEA_74B4C2A98249_.wvu.PrintTitles" localSheetId="5" hidden="1">'מצבת והרשמה (2)'!$20:$20</definedName>
    <definedName name="Z_ACD441E8_3AD2_4F62_A341_3CB1D0C27992_.wvu.FilterData" localSheetId="11" hidden="1">' איוש משרות (8)'!$B$15:$L$223</definedName>
    <definedName name="Z_ACD441E8_3AD2_4F62_A341_3CB1D0C27992_.wvu.FilterData" localSheetId="6" hidden="1">'דוח ביצוע (3)'!$A$20:$W$20</definedName>
    <definedName name="Z_ACD441E8_3AD2_4F62_A341_3CB1D0C27992_.wvu.FilterData" localSheetId="5" hidden="1">'מצבת והרשמה (2)'!$B$20:$M$69</definedName>
    <definedName name="Z_ACD441E8_3AD2_4F62_A341_3CB1D0C27992_.wvu.PrintArea" localSheetId="11" hidden="1">' איוש משרות (8)'!$B$1:$L$192</definedName>
    <definedName name="Z_ACD441E8_3AD2_4F62_A341_3CB1D0C27992_.wvu.PrintArea" localSheetId="12" hidden="1">'בית ספר - תקצוב לפי מוסד (9)'!$F$1:$P$51</definedName>
    <definedName name="Z_ACD441E8_3AD2_4F62_A341_3CB1D0C27992_.wvu.PrintArea" localSheetId="3" hidden="1">'גנים ובתי ספר- מבנה תקציב'!$A$1:$I$92</definedName>
    <definedName name="Z_ACD441E8_3AD2_4F62_A341_3CB1D0C27992_.wvu.PrintArea" localSheetId="6" hidden="1">'דוח ביצוע (3)'!$B$1:$L$69</definedName>
    <definedName name="Z_ACD441E8_3AD2_4F62_A341_3CB1D0C27992_.wvu.PrintArea" localSheetId="5" hidden="1">'מצבת והרשמה (2)'!$A$1:$L$69</definedName>
    <definedName name="Z_ACD441E8_3AD2_4F62_A341_3CB1D0C27992_.wvu.PrintArea" localSheetId="8" hidden="1">'תשלומי הורים ומלגות להורים (5) '!$B$1:$G$518</definedName>
    <definedName name="Z_ACD441E8_3AD2_4F62_A341_3CB1D0C27992_.wvu.PrintTitles" localSheetId="12" hidden="1">'בית ספר - תקצוב לפי מוסד (9)'!$1:$10</definedName>
    <definedName name="Z_ACD441E8_3AD2_4F62_A341_3CB1D0C27992_.wvu.PrintTitles" localSheetId="6" hidden="1">'דוח ביצוע (3)'!$17:$20</definedName>
    <definedName name="Z_ACD441E8_3AD2_4F62_A341_3CB1D0C27992_.wvu.PrintTitles" localSheetId="5" hidden="1">'מצבת והרשמה (2)'!$20:$20</definedName>
    <definedName name="Z_BA0A6883_E808_4711_BE2E_E9E96FA9E885_.wvu.FilterData" localSheetId="11" hidden="1">' איוש משרות (8)'!$B$15:$L$223</definedName>
    <definedName name="Z_BA0A6883_E808_4711_BE2E_E9E96FA9E885_.wvu.FilterData" localSheetId="6" hidden="1">'דוח ביצוע (3)'!$A$20:$W$20</definedName>
    <definedName name="Z_BA0A6883_E808_4711_BE2E_E9E96FA9E885_.wvu.FilterData" localSheetId="5" hidden="1">'מצבת והרשמה (2)'!$B$20:$M$69</definedName>
    <definedName name="Z_BA0A6883_E808_4711_BE2E_E9E96FA9E885_.wvu.PrintArea" localSheetId="11" hidden="1">' איוש משרות (8)'!$B$1:$L$192</definedName>
    <definedName name="Z_BA0A6883_E808_4711_BE2E_E9E96FA9E885_.wvu.PrintArea" localSheetId="12" hidden="1">'בית ספר - תקצוב לפי מוסד (9)'!$F$1:$P$51</definedName>
    <definedName name="Z_BA0A6883_E808_4711_BE2E_E9E96FA9E885_.wvu.PrintArea" localSheetId="3" hidden="1">'גנים ובתי ספר- מבנה תקציב'!$A$1:$I$92</definedName>
    <definedName name="Z_BA0A6883_E808_4711_BE2E_E9E96FA9E885_.wvu.PrintArea" localSheetId="6" hidden="1">'דוח ביצוע (3)'!$B$1:$L$69</definedName>
    <definedName name="Z_BA0A6883_E808_4711_BE2E_E9E96FA9E885_.wvu.PrintArea" localSheetId="5" hidden="1">'מצבת והרשמה (2)'!$A$1:$L$69</definedName>
    <definedName name="Z_BA0A6883_E808_4711_BE2E_E9E96FA9E885_.wvu.PrintArea" localSheetId="8" hidden="1">'תשלומי הורים ומלגות להורים (5) '!$B$1:$G$518</definedName>
    <definedName name="Z_BA0A6883_E808_4711_BE2E_E9E96FA9E885_.wvu.PrintTitles" localSheetId="12" hidden="1">'בית ספר - תקצוב לפי מוסד (9)'!$1:$10</definedName>
    <definedName name="Z_BA0A6883_E808_4711_BE2E_E9E96FA9E885_.wvu.PrintTitles" localSheetId="6" hidden="1">'דוח ביצוע (3)'!$17:$20</definedName>
    <definedName name="Z_BA0A6883_E808_4711_BE2E_E9E96FA9E885_.wvu.PrintTitles" localSheetId="5" hidden="1">'מצבת והרשמה (2)'!$20:$20</definedName>
    <definedName name="בדיק">#REF!</definedName>
    <definedName name="בדיקה">#REF!</definedName>
    <definedName name="הוצאות_פעילות">'סיווג התפקידים והעלויות'!$C$15:$C$199</definedName>
    <definedName name="הוצאות_פעילות_ללא_מלגות">'סיווג התפקידים והעלויות'!$D$15:$D$198</definedName>
    <definedName name="השתתפות_לילד_ביס">'גנים ובתי ספר- מבנה תקציב'!$B$80:$H$90</definedName>
    <definedName name="ישובים_מפונים">#REF!</definedName>
    <definedName name="מדצ">'סיווג התפקידים והעלויות'!$B$3</definedName>
    <definedName name="מוכשר">#REF!</definedName>
    <definedName name="מוסדות">'מצבת והרשמה (2)'!$C$21:$C$520</definedName>
    <definedName name="מורה">'סיווג התפקידים והעלויות'!$A$3:$A$6</definedName>
    <definedName name="מעמד">'מצבת והרשמה (2)'!#REF!</definedName>
    <definedName name="מעמד_משפטי">#REF!</definedName>
    <definedName name="מפעיל">#REF!</definedName>
    <definedName name="סגנית_רכזת_מעל_150">'סיווג התפקידים והעלויות'!$D$3</definedName>
    <definedName name="סוג">'סיווג התפקידים והעלויות'!$A$2:$E$2</definedName>
    <definedName name="סייעת_רפואית_או_אישית">'סיווג התפקידים והעלויות'!$F3</definedName>
    <definedName name="סמלים">'מצבת והרשמה (2)'!$C$21:$C$1015</definedName>
    <definedName name="סמלפעילות">'דוח ביצוע (3)'!$B$21:$B$520</definedName>
    <definedName name="פעילות">'מצבת והרשמה (2)'!$F$21:$F$520</definedName>
    <definedName name="רכזת_תכנית_בבית_הספר">'סיווג התפקידים והעלויות'!$C$3</definedName>
    <definedName name="רשויות">'רשימת רשויות'!$A$3:$A$260</definedName>
    <definedName name="רשויות_מפונות">#REF!</definedName>
    <definedName name="רשימה" localSheetId="12">#REF!</definedName>
    <definedName name="רשימה">#REF!</definedName>
    <definedName name="תוספת_כח_אדם">'סיווג התפקידים והעלויות'!$E$3:$E$5</definedName>
  </definedNames>
  <calcPr calcId="191029" iterateDelta="1E-4"/>
  <customWorkbookViews>
    <customWorkbookView name="Lea - תצוגה אישית" guid="{BA0A6883-E808-4711-BE2E-E9E96FA9E885}" mergeInterval="0" personalView="1" xWindow="960" windowWidth="960" windowHeight="1040" activeSheetId="9"/>
    <customWorkbookView name="Or Zakay - תצוגה אישית" guid="{ACD441E8-3AD2-4F62-A341-3CB1D0C27992}" mergeInterval="0" personalView="1" maximized="1" xWindow="-8" yWindow="-8" windowWidth="2576" windowHeight="1416" activeSheetId="9"/>
    <customWorkbookView name="raz - תצוגה אישית" guid="{4C449889-8AC9-4BD3-9CEA-74B4C2A98249}" mergeInterval="0" personalView="1" maximized="1" xWindow="-8" yWindow="-8" windowWidth="1936" windowHeight="1176" activeSheetId="1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G10" i="18" l="1"/>
  <c r="BF10" i="18"/>
  <c r="P19" i="27"/>
  <c r="P20" i="27"/>
  <c r="P21" i="27"/>
  <c r="P22" i="27"/>
  <c r="P23" i="27"/>
  <c r="P24" i="27"/>
  <c r="P25" i="27"/>
  <c r="P26" i="27"/>
  <c r="P27" i="27"/>
  <c r="P28" i="27"/>
  <c r="P29" i="27"/>
  <c r="P30" i="27"/>
  <c r="P31" i="27"/>
  <c r="P32" i="27"/>
  <c r="P33" i="27"/>
  <c r="P34" i="27"/>
  <c r="P35" i="27"/>
  <c r="P36" i="27"/>
  <c r="P37" i="27"/>
  <c r="P38" i="27"/>
  <c r="P39" i="27"/>
  <c r="P40" i="27"/>
  <c r="P41" i="27"/>
  <c r="P42" i="27"/>
  <c r="P43" i="27"/>
  <c r="P44" i="27"/>
  <c r="P45" i="27"/>
  <c r="P46" i="27"/>
  <c r="P47" i="27"/>
  <c r="P48" i="27"/>
  <c r="P49" i="27"/>
  <c r="P50" i="27"/>
  <c r="P51" i="27"/>
  <c r="P52" i="27"/>
  <c r="P53" i="27"/>
  <c r="P54" i="27"/>
  <c r="P55" i="27"/>
  <c r="P56" i="27"/>
  <c r="P57" i="27"/>
  <c r="P58" i="27"/>
  <c r="P59" i="27"/>
  <c r="P60" i="27"/>
  <c r="P61" i="27"/>
  <c r="P62" i="27"/>
  <c r="P63" i="27"/>
  <c r="P64" i="27"/>
  <c r="P65" i="27"/>
  <c r="P66" i="27"/>
  <c r="P67" i="27"/>
  <c r="P68" i="27"/>
  <c r="P69" i="27"/>
  <c r="P70" i="27"/>
  <c r="P71" i="27"/>
  <c r="P72" i="27"/>
  <c r="P73" i="27"/>
  <c r="P74" i="27"/>
  <c r="P75" i="27"/>
  <c r="P76" i="27"/>
  <c r="P77" i="27"/>
  <c r="P78" i="27"/>
  <c r="P79" i="27"/>
  <c r="P80" i="27"/>
  <c r="P81" i="27"/>
  <c r="P82" i="27"/>
  <c r="P83" i="27"/>
  <c r="P84" i="27"/>
  <c r="P85" i="27"/>
  <c r="P86" i="27"/>
  <c r="P87" i="27"/>
  <c r="P88" i="27"/>
  <c r="P89" i="27"/>
  <c r="P90" i="27"/>
  <c r="P91" i="27"/>
  <c r="P92" i="27"/>
  <c r="P93" i="27"/>
  <c r="P94" i="27"/>
  <c r="P95" i="27"/>
  <c r="P96" i="27"/>
  <c r="P97" i="27"/>
  <c r="P98" i="27"/>
  <c r="P99" i="27"/>
  <c r="P100" i="27"/>
  <c r="P101" i="27"/>
  <c r="P102" i="27"/>
  <c r="P103" i="27"/>
  <c r="P104" i="27"/>
  <c r="P105" i="27"/>
  <c r="P106" i="27"/>
  <c r="P107" i="27"/>
  <c r="P108" i="27"/>
  <c r="P109" i="27"/>
  <c r="P110" i="27"/>
  <c r="P111" i="27"/>
  <c r="P112" i="27"/>
  <c r="P113" i="27"/>
  <c r="P114" i="27"/>
  <c r="P115" i="27"/>
  <c r="P116" i="27"/>
  <c r="P117" i="27"/>
  <c r="P118" i="27"/>
  <c r="P119" i="27"/>
  <c r="P120" i="27"/>
  <c r="P121" i="27"/>
  <c r="P122" i="27"/>
  <c r="P123" i="27"/>
  <c r="P124" i="27"/>
  <c r="P125" i="27"/>
  <c r="P126" i="27"/>
  <c r="P127" i="27"/>
  <c r="P128" i="27"/>
  <c r="P129" i="27"/>
  <c r="P130" i="27"/>
  <c r="P131" i="27"/>
  <c r="P132" i="27"/>
  <c r="P133" i="27"/>
  <c r="P134" i="27"/>
  <c r="P135" i="27"/>
  <c r="P136" i="27"/>
  <c r="P137" i="27"/>
  <c r="P138" i="27"/>
  <c r="P139" i="27"/>
  <c r="P140" i="27"/>
  <c r="P141" i="27"/>
  <c r="P142" i="27"/>
  <c r="P143" i="27"/>
  <c r="P144" i="27"/>
  <c r="P145" i="27"/>
  <c r="P146" i="27"/>
  <c r="P147" i="27"/>
  <c r="P148" i="27"/>
  <c r="P149" i="27"/>
  <c r="P150" i="27"/>
  <c r="P151" i="27"/>
  <c r="P152" i="27"/>
  <c r="P153" i="27"/>
  <c r="P154" i="27"/>
  <c r="P155" i="27"/>
  <c r="P156" i="27"/>
  <c r="P157" i="27"/>
  <c r="P158" i="27"/>
  <c r="P159" i="27"/>
  <c r="P160" i="27"/>
  <c r="P161" i="27"/>
  <c r="P162" i="27"/>
  <c r="P163" i="27"/>
  <c r="P164" i="27"/>
  <c r="P165" i="27"/>
  <c r="P166" i="27"/>
  <c r="P167" i="27"/>
  <c r="P168" i="27"/>
  <c r="P169" i="27"/>
  <c r="P170" i="27"/>
  <c r="P171" i="27"/>
  <c r="P172" i="27"/>
  <c r="P173" i="27"/>
  <c r="P174" i="27"/>
  <c r="P175" i="27"/>
  <c r="P176" i="27"/>
  <c r="P177" i="27"/>
  <c r="P178" i="27"/>
  <c r="P179" i="27"/>
  <c r="P180" i="27"/>
  <c r="P181" i="27"/>
  <c r="P182" i="27"/>
  <c r="P183" i="27"/>
  <c r="P184" i="27"/>
  <c r="P185" i="27"/>
  <c r="P186" i="27"/>
  <c r="P187" i="27"/>
  <c r="P188" i="27"/>
  <c r="P189" i="27"/>
  <c r="P190" i="27"/>
  <c r="P191" i="27"/>
  <c r="P192" i="27"/>
  <c r="P193" i="27"/>
  <c r="P194" i="27"/>
  <c r="P195" i="27"/>
  <c r="P196" i="27"/>
  <c r="P197" i="27"/>
  <c r="P198" i="27"/>
  <c r="P199" i="27"/>
  <c r="P200" i="27"/>
  <c r="P201" i="27"/>
  <c r="P202" i="27"/>
  <c r="P203" i="27"/>
  <c r="P204" i="27"/>
  <c r="P205" i="27"/>
  <c r="P206" i="27"/>
  <c r="P207" i="27"/>
  <c r="P208" i="27"/>
  <c r="P209" i="27"/>
  <c r="P210" i="27"/>
  <c r="P211" i="27"/>
  <c r="P212" i="27"/>
  <c r="P213" i="27"/>
  <c r="P214" i="27"/>
  <c r="P215" i="27"/>
  <c r="P216" i="27"/>
  <c r="P217" i="27"/>
  <c r="P218" i="27"/>
  <c r="P219" i="27"/>
  <c r="P220" i="27"/>
  <c r="P221" i="27"/>
  <c r="P222" i="27"/>
  <c r="P223" i="27"/>
  <c r="P224" i="27"/>
  <c r="P225" i="27"/>
  <c r="P226" i="27"/>
  <c r="P227" i="27"/>
  <c r="P228" i="27"/>
  <c r="P229" i="27"/>
  <c r="P230" i="27"/>
  <c r="P231" i="27"/>
  <c r="P232" i="27"/>
  <c r="P233" i="27"/>
  <c r="P234" i="27"/>
  <c r="P235" i="27"/>
  <c r="P236" i="27"/>
  <c r="P237" i="27"/>
  <c r="P238" i="27"/>
  <c r="P239" i="27"/>
  <c r="P240" i="27"/>
  <c r="P241" i="27"/>
  <c r="P242" i="27"/>
  <c r="P243" i="27"/>
  <c r="P244" i="27"/>
  <c r="P245" i="27"/>
  <c r="P246" i="27"/>
  <c r="P247" i="27"/>
  <c r="P248" i="27"/>
  <c r="P249" i="27"/>
  <c r="P250" i="27"/>
  <c r="P251" i="27"/>
  <c r="P252" i="27"/>
  <c r="P253" i="27"/>
  <c r="P254" i="27"/>
  <c r="P255" i="27"/>
  <c r="P256" i="27"/>
  <c r="P257" i="27"/>
  <c r="P258" i="27"/>
  <c r="P259" i="27"/>
  <c r="P260" i="27"/>
  <c r="P261" i="27"/>
  <c r="P262" i="27"/>
  <c r="P263" i="27"/>
  <c r="P264" i="27"/>
  <c r="P265" i="27"/>
  <c r="P266" i="27"/>
  <c r="P267" i="27"/>
  <c r="P268" i="27"/>
  <c r="P269" i="27"/>
  <c r="P270" i="27"/>
  <c r="P271" i="27"/>
  <c r="P272" i="27"/>
  <c r="P273" i="27"/>
  <c r="P274" i="27"/>
  <c r="P275" i="27"/>
  <c r="P276" i="27"/>
  <c r="P277" i="27"/>
  <c r="P278" i="27"/>
  <c r="P279" i="27"/>
  <c r="P280" i="27"/>
  <c r="P281" i="27"/>
  <c r="P282" i="27"/>
  <c r="P283" i="27"/>
  <c r="P284" i="27"/>
  <c r="P285" i="27"/>
  <c r="P286" i="27"/>
  <c r="P287" i="27"/>
  <c r="P288" i="27"/>
  <c r="P289" i="27"/>
  <c r="P290" i="27"/>
  <c r="P291" i="27"/>
  <c r="P292" i="27"/>
  <c r="P293" i="27"/>
  <c r="P294" i="27"/>
  <c r="P295" i="27"/>
  <c r="P296" i="27"/>
  <c r="P297" i="27"/>
  <c r="P298" i="27"/>
  <c r="P299" i="27"/>
  <c r="P300" i="27"/>
  <c r="P301" i="27"/>
  <c r="P302" i="27"/>
  <c r="P303" i="27"/>
  <c r="P304" i="27"/>
  <c r="P305" i="27"/>
  <c r="P306" i="27"/>
  <c r="P307" i="27"/>
  <c r="P308" i="27"/>
  <c r="P309" i="27"/>
  <c r="P310" i="27"/>
  <c r="P311" i="27"/>
  <c r="P312" i="27"/>
  <c r="P313" i="27"/>
  <c r="P314" i="27"/>
  <c r="P315" i="27"/>
  <c r="P316" i="27"/>
  <c r="P317" i="27"/>
  <c r="P318" i="27"/>
  <c r="P319" i="27"/>
  <c r="P320" i="27"/>
  <c r="P321" i="27"/>
  <c r="P322" i="27"/>
  <c r="P323" i="27"/>
  <c r="P324" i="27"/>
  <c r="P325" i="27"/>
  <c r="P326" i="27"/>
  <c r="P327" i="27"/>
  <c r="P328" i="27"/>
  <c r="P329" i="27"/>
  <c r="P330" i="27"/>
  <c r="P331" i="27"/>
  <c r="P332" i="27"/>
  <c r="P333" i="27"/>
  <c r="P334" i="27"/>
  <c r="P335" i="27"/>
  <c r="P336" i="27"/>
  <c r="P337" i="27"/>
  <c r="P338" i="27"/>
  <c r="P339" i="27"/>
  <c r="P340" i="27"/>
  <c r="P341" i="27"/>
  <c r="P342" i="27"/>
  <c r="P343" i="27"/>
  <c r="P344" i="27"/>
  <c r="P345" i="27"/>
  <c r="P346" i="27"/>
  <c r="P347" i="27"/>
  <c r="P348" i="27"/>
  <c r="P349" i="27"/>
  <c r="P350" i="27"/>
  <c r="P351" i="27"/>
  <c r="P352" i="27"/>
  <c r="P353" i="27"/>
  <c r="P354" i="27"/>
  <c r="P355" i="27"/>
  <c r="P356" i="27"/>
  <c r="P357" i="27"/>
  <c r="P358" i="27"/>
  <c r="P359" i="27"/>
  <c r="P360" i="27"/>
  <c r="P361" i="27"/>
  <c r="P362" i="27"/>
  <c r="P363" i="27"/>
  <c r="P364" i="27"/>
  <c r="P365" i="27"/>
  <c r="P366" i="27"/>
  <c r="P367" i="27"/>
  <c r="P368" i="27"/>
  <c r="P369" i="27"/>
  <c r="P370" i="27"/>
  <c r="P371" i="27"/>
  <c r="P372" i="27"/>
  <c r="P373" i="27"/>
  <c r="P374" i="27"/>
  <c r="P375" i="27"/>
  <c r="P376" i="27"/>
  <c r="P377" i="27"/>
  <c r="P378" i="27"/>
  <c r="P379" i="27"/>
  <c r="P380" i="27"/>
  <c r="P381" i="27"/>
  <c r="P382" i="27"/>
  <c r="P383" i="27"/>
  <c r="P384" i="27"/>
  <c r="P17" i="27"/>
  <c r="R7" i="27"/>
  <c r="N18" i="27"/>
  <c r="N19" i="27"/>
  <c r="Q19" i="27" s="1"/>
  <c r="N20" i="27"/>
  <c r="Q20" i="27" s="1"/>
  <c r="N21" i="27"/>
  <c r="Q21" i="27" s="1"/>
  <c r="N22" i="27"/>
  <c r="N23" i="27"/>
  <c r="Q23" i="27" s="1"/>
  <c r="N24" i="27"/>
  <c r="Q24" i="27" s="1"/>
  <c r="N25" i="27"/>
  <c r="N26" i="27"/>
  <c r="N27" i="27"/>
  <c r="N28" i="27"/>
  <c r="N29" i="27"/>
  <c r="Q29" i="27" s="1"/>
  <c r="N30" i="27"/>
  <c r="N31" i="27"/>
  <c r="Q31" i="27" s="1"/>
  <c r="N32" i="27"/>
  <c r="Q32" i="27" s="1"/>
  <c r="N33" i="27"/>
  <c r="Q33" i="27" s="1"/>
  <c r="N34" i="27"/>
  <c r="N35" i="27"/>
  <c r="Q35" i="27" s="1"/>
  <c r="N36" i="27"/>
  <c r="Q36" i="27" s="1"/>
  <c r="N37" i="27"/>
  <c r="N38" i="27"/>
  <c r="N39" i="27"/>
  <c r="N40" i="27"/>
  <c r="N41" i="27"/>
  <c r="Q41" i="27" s="1"/>
  <c r="N42" i="27"/>
  <c r="N43" i="27"/>
  <c r="Q43" i="27" s="1"/>
  <c r="N44" i="27"/>
  <c r="Q44" i="27" s="1"/>
  <c r="N45" i="27"/>
  <c r="Q45" i="27" s="1"/>
  <c r="N46" i="27"/>
  <c r="N47" i="27"/>
  <c r="Q47" i="27" s="1"/>
  <c r="N48" i="27"/>
  <c r="Q48" i="27" s="1"/>
  <c r="N49" i="27"/>
  <c r="N50" i="27"/>
  <c r="N51" i="27"/>
  <c r="N52" i="27"/>
  <c r="N53" i="27"/>
  <c r="Q53" i="27" s="1"/>
  <c r="N54" i="27"/>
  <c r="N55" i="27"/>
  <c r="Q55" i="27" s="1"/>
  <c r="N56" i="27"/>
  <c r="Q56" i="27" s="1"/>
  <c r="N57" i="27"/>
  <c r="Q57" i="27" s="1"/>
  <c r="N58" i="27"/>
  <c r="N59" i="27"/>
  <c r="Q59" i="27" s="1"/>
  <c r="N60" i="27"/>
  <c r="Q60" i="27" s="1"/>
  <c r="N61" i="27"/>
  <c r="N62" i="27"/>
  <c r="N63" i="27"/>
  <c r="N64" i="27"/>
  <c r="N65" i="27"/>
  <c r="Q65" i="27" s="1"/>
  <c r="N66" i="27"/>
  <c r="N67" i="27"/>
  <c r="Q67" i="27" s="1"/>
  <c r="N68" i="27"/>
  <c r="Q68" i="27" s="1"/>
  <c r="N69" i="27"/>
  <c r="Q69" i="27" s="1"/>
  <c r="N70" i="27"/>
  <c r="N71" i="27"/>
  <c r="Q71" i="27" s="1"/>
  <c r="N72" i="27"/>
  <c r="Q72" i="27" s="1"/>
  <c r="N73" i="27"/>
  <c r="N74" i="27"/>
  <c r="N75" i="27"/>
  <c r="N76" i="27"/>
  <c r="N77" i="27"/>
  <c r="Q77" i="27" s="1"/>
  <c r="N78" i="27"/>
  <c r="N79" i="27"/>
  <c r="Q79" i="27" s="1"/>
  <c r="N80" i="27"/>
  <c r="Q80" i="27" s="1"/>
  <c r="N81" i="27"/>
  <c r="Q81" i="27" s="1"/>
  <c r="N82" i="27"/>
  <c r="N83" i="27"/>
  <c r="Q83" i="27" s="1"/>
  <c r="N84" i="27"/>
  <c r="Q84" i="27" s="1"/>
  <c r="N85" i="27"/>
  <c r="N86" i="27"/>
  <c r="N87" i="27"/>
  <c r="N88" i="27"/>
  <c r="N89" i="27"/>
  <c r="Q89" i="27" s="1"/>
  <c r="N90" i="27"/>
  <c r="N91" i="27"/>
  <c r="Q91" i="27" s="1"/>
  <c r="N92" i="27"/>
  <c r="Q92" i="27" s="1"/>
  <c r="N93" i="27"/>
  <c r="Q93" i="27" s="1"/>
  <c r="N94" i="27"/>
  <c r="N95" i="27"/>
  <c r="Q95" i="27" s="1"/>
  <c r="N96" i="27"/>
  <c r="Q96" i="27" s="1"/>
  <c r="N97" i="27"/>
  <c r="N98" i="27"/>
  <c r="N99" i="27"/>
  <c r="N100" i="27"/>
  <c r="N101" i="27"/>
  <c r="N102" i="27"/>
  <c r="N103" i="27"/>
  <c r="Q103" i="27" s="1"/>
  <c r="N104" i="27"/>
  <c r="Q104" i="27" s="1"/>
  <c r="N105" i="27"/>
  <c r="Q105" i="27" s="1"/>
  <c r="N106" i="27"/>
  <c r="N107" i="27"/>
  <c r="Q107" i="27" s="1"/>
  <c r="N108" i="27"/>
  <c r="Q108" i="27" s="1"/>
  <c r="N109" i="27"/>
  <c r="N110" i="27"/>
  <c r="N111" i="27"/>
  <c r="N112" i="27"/>
  <c r="N113" i="27"/>
  <c r="Q113" i="27" s="1"/>
  <c r="N114" i="27"/>
  <c r="N115" i="27"/>
  <c r="Q115" i="27" s="1"/>
  <c r="N116" i="27"/>
  <c r="Q116" i="27" s="1"/>
  <c r="N117" i="27"/>
  <c r="Q117" i="27" s="1"/>
  <c r="N118" i="27"/>
  <c r="N119" i="27"/>
  <c r="Q119" i="27" s="1"/>
  <c r="N120" i="27"/>
  <c r="Q120" i="27" s="1"/>
  <c r="N121" i="27"/>
  <c r="N122" i="27"/>
  <c r="N123" i="27"/>
  <c r="N124" i="27"/>
  <c r="N125" i="27"/>
  <c r="Q125" i="27" s="1"/>
  <c r="N126" i="27"/>
  <c r="N127" i="27"/>
  <c r="Q127" i="27" s="1"/>
  <c r="N128" i="27"/>
  <c r="Q128" i="27" s="1"/>
  <c r="N129" i="27"/>
  <c r="Q129" i="27" s="1"/>
  <c r="N130" i="27"/>
  <c r="N131" i="27"/>
  <c r="Q131" i="27" s="1"/>
  <c r="N132" i="27"/>
  <c r="Q132" i="27" s="1"/>
  <c r="N133" i="27"/>
  <c r="N134" i="27"/>
  <c r="N135" i="27"/>
  <c r="N136" i="27"/>
  <c r="N137" i="27"/>
  <c r="Q137" i="27" s="1"/>
  <c r="N138" i="27"/>
  <c r="N139" i="27"/>
  <c r="Q139" i="27" s="1"/>
  <c r="N140" i="27"/>
  <c r="Q140" i="27" s="1"/>
  <c r="N141" i="27"/>
  <c r="Q141" i="27" s="1"/>
  <c r="N142" i="27"/>
  <c r="N143" i="27"/>
  <c r="Q143" i="27" s="1"/>
  <c r="N144" i="27"/>
  <c r="Q144" i="27" s="1"/>
  <c r="N145" i="27"/>
  <c r="N146" i="27"/>
  <c r="N147" i="27"/>
  <c r="N148" i="27"/>
  <c r="N149" i="27"/>
  <c r="N150" i="27"/>
  <c r="N151" i="27"/>
  <c r="Q151" i="27" s="1"/>
  <c r="N152" i="27"/>
  <c r="Q152" i="27" s="1"/>
  <c r="N153" i="27"/>
  <c r="Q153" i="27" s="1"/>
  <c r="N154" i="27"/>
  <c r="N155" i="27"/>
  <c r="Q155" i="27" s="1"/>
  <c r="N156" i="27"/>
  <c r="Q156" i="27" s="1"/>
  <c r="N157" i="27"/>
  <c r="N158" i="27"/>
  <c r="N159" i="27"/>
  <c r="N160" i="27"/>
  <c r="N161" i="27"/>
  <c r="Q161" i="27" s="1"/>
  <c r="N162" i="27"/>
  <c r="N163" i="27"/>
  <c r="Q163" i="27" s="1"/>
  <c r="N164" i="27"/>
  <c r="Q164" i="27" s="1"/>
  <c r="N165" i="27"/>
  <c r="Q165" i="27" s="1"/>
  <c r="N166" i="27"/>
  <c r="N167" i="27"/>
  <c r="Q167" i="27" s="1"/>
  <c r="N168" i="27"/>
  <c r="Q168" i="27" s="1"/>
  <c r="N169" i="27"/>
  <c r="N170" i="27"/>
  <c r="N171" i="27"/>
  <c r="N172" i="27"/>
  <c r="N173" i="27"/>
  <c r="Q173" i="27" s="1"/>
  <c r="N174" i="27"/>
  <c r="N175" i="27"/>
  <c r="Q175" i="27" s="1"/>
  <c r="N176" i="27"/>
  <c r="Q176" i="27" s="1"/>
  <c r="N177" i="27"/>
  <c r="Q177" i="27" s="1"/>
  <c r="N178" i="27"/>
  <c r="N179" i="27"/>
  <c r="Q179" i="27" s="1"/>
  <c r="N180" i="27"/>
  <c r="Q180" i="27" s="1"/>
  <c r="N181" i="27"/>
  <c r="N182" i="27"/>
  <c r="N183" i="27"/>
  <c r="N184" i="27"/>
  <c r="N185" i="27"/>
  <c r="Q185" i="27" s="1"/>
  <c r="N186" i="27"/>
  <c r="N187" i="27"/>
  <c r="Q187" i="27" s="1"/>
  <c r="N188" i="27"/>
  <c r="Q188" i="27" s="1"/>
  <c r="N189" i="27"/>
  <c r="Q189" i="27" s="1"/>
  <c r="N190" i="27"/>
  <c r="N191" i="27"/>
  <c r="Q191" i="27" s="1"/>
  <c r="N192" i="27"/>
  <c r="Q192" i="27" s="1"/>
  <c r="N193" i="27"/>
  <c r="N194" i="27"/>
  <c r="N195" i="27"/>
  <c r="N196" i="27"/>
  <c r="N197" i="27"/>
  <c r="Q197" i="27" s="1"/>
  <c r="N198" i="27"/>
  <c r="N199" i="27"/>
  <c r="Q199" i="27" s="1"/>
  <c r="N200" i="27"/>
  <c r="Q200" i="27" s="1"/>
  <c r="N201" i="27"/>
  <c r="Q201" i="27" s="1"/>
  <c r="N202" i="27"/>
  <c r="N203" i="27"/>
  <c r="Q203" i="27" s="1"/>
  <c r="N204" i="27"/>
  <c r="Q204" i="27" s="1"/>
  <c r="N205" i="27"/>
  <c r="N206" i="27"/>
  <c r="N207" i="27"/>
  <c r="N208" i="27"/>
  <c r="N209" i="27"/>
  <c r="Q209" i="27" s="1"/>
  <c r="N210" i="27"/>
  <c r="N211" i="27"/>
  <c r="Q211" i="27" s="1"/>
  <c r="N212" i="27"/>
  <c r="Q212" i="27" s="1"/>
  <c r="N213" i="27"/>
  <c r="Q213" i="27" s="1"/>
  <c r="N214" i="27"/>
  <c r="N215" i="27"/>
  <c r="Q215" i="27" s="1"/>
  <c r="N216" i="27"/>
  <c r="Q216" i="27" s="1"/>
  <c r="N217" i="27"/>
  <c r="N218" i="27"/>
  <c r="N219" i="27"/>
  <c r="N220" i="27"/>
  <c r="N221" i="27"/>
  <c r="Q221" i="27" s="1"/>
  <c r="N222" i="27"/>
  <c r="N223" i="27"/>
  <c r="Q223" i="27" s="1"/>
  <c r="N224" i="27"/>
  <c r="Q224" i="27" s="1"/>
  <c r="N225" i="27"/>
  <c r="Q225" i="27" s="1"/>
  <c r="N226" i="27"/>
  <c r="N227" i="27"/>
  <c r="Q227" i="27" s="1"/>
  <c r="N228" i="27"/>
  <c r="Q228" i="27" s="1"/>
  <c r="N229" i="27"/>
  <c r="N230" i="27"/>
  <c r="N231" i="27"/>
  <c r="N232" i="27"/>
  <c r="N233" i="27"/>
  <c r="Q233" i="27" s="1"/>
  <c r="N234" i="27"/>
  <c r="N235" i="27"/>
  <c r="Q235" i="27" s="1"/>
  <c r="N236" i="27"/>
  <c r="Q236" i="27" s="1"/>
  <c r="N237" i="27"/>
  <c r="Q237" i="27" s="1"/>
  <c r="N238" i="27"/>
  <c r="N239" i="27"/>
  <c r="Q239" i="27" s="1"/>
  <c r="N240" i="27"/>
  <c r="Q240" i="27" s="1"/>
  <c r="N241" i="27"/>
  <c r="N242" i="27"/>
  <c r="N243" i="27"/>
  <c r="N244" i="27"/>
  <c r="N245" i="27"/>
  <c r="N246" i="27"/>
  <c r="N247" i="27"/>
  <c r="Q247" i="27" s="1"/>
  <c r="N248" i="27"/>
  <c r="Q248" i="27" s="1"/>
  <c r="N249" i="27"/>
  <c r="Q249" i="27" s="1"/>
  <c r="N250" i="27"/>
  <c r="N251" i="27"/>
  <c r="Q251" i="27" s="1"/>
  <c r="N252" i="27"/>
  <c r="Q252" i="27" s="1"/>
  <c r="N253" i="27"/>
  <c r="N254" i="27"/>
  <c r="N255" i="27"/>
  <c r="N256" i="27"/>
  <c r="N257" i="27"/>
  <c r="Q257" i="27" s="1"/>
  <c r="N258" i="27"/>
  <c r="N259" i="27"/>
  <c r="Q259" i="27" s="1"/>
  <c r="N260" i="27"/>
  <c r="Q260" i="27" s="1"/>
  <c r="N261" i="27"/>
  <c r="Q261" i="27" s="1"/>
  <c r="N262" i="27"/>
  <c r="N263" i="27"/>
  <c r="Q263" i="27" s="1"/>
  <c r="N264" i="27"/>
  <c r="Q264" i="27" s="1"/>
  <c r="N265" i="27"/>
  <c r="N266" i="27"/>
  <c r="N267" i="27"/>
  <c r="N268" i="27"/>
  <c r="N269" i="27"/>
  <c r="Q269" i="27" s="1"/>
  <c r="N270" i="27"/>
  <c r="N271" i="27"/>
  <c r="Q271" i="27" s="1"/>
  <c r="N272" i="27"/>
  <c r="Q272" i="27" s="1"/>
  <c r="N273" i="27"/>
  <c r="Q273" i="27" s="1"/>
  <c r="N274" i="27"/>
  <c r="N275" i="27"/>
  <c r="Q275" i="27" s="1"/>
  <c r="N276" i="27"/>
  <c r="Q276" i="27" s="1"/>
  <c r="N277" i="27"/>
  <c r="N278" i="27"/>
  <c r="N279" i="27"/>
  <c r="N280" i="27"/>
  <c r="N281" i="27"/>
  <c r="Q281" i="27" s="1"/>
  <c r="N282" i="27"/>
  <c r="N283" i="27"/>
  <c r="Q283" i="27" s="1"/>
  <c r="N284" i="27"/>
  <c r="Q284" i="27" s="1"/>
  <c r="N285" i="27"/>
  <c r="Q285" i="27" s="1"/>
  <c r="N286" i="27"/>
  <c r="N287" i="27"/>
  <c r="Q287" i="27" s="1"/>
  <c r="N288" i="27"/>
  <c r="Q288" i="27" s="1"/>
  <c r="N289" i="27"/>
  <c r="N290" i="27"/>
  <c r="N291" i="27"/>
  <c r="N292" i="27"/>
  <c r="N293" i="27"/>
  <c r="Q293" i="27" s="1"/>
  <c r="N294" i="27"/>
  <c r="N295" i="27"/>
  <c r="Q295" i="27" s="1"/>
  <c r="N296" i="27"/>
  <c r="Q296" i="27" s="1"/>
  <c r="N297" i="27"/>
  <c r="Q297" i="27" s="1"/>
  <c r="N298" i="27"/>
  <c r="N299" i="27"/>
  <c r="Q299" i="27" s="1"/>
  <c r="N300" i="27"/>
  <c r="Q300" i="27" s="1"/>
  <c r="N301" i="27"/>
  <c r="N302" i="27"/>
  <c r="N303" i="27"/>
  <c r="N304" i="27"/>
  <c r="N305" i="27"/>
  <c r="Q305" i="27" s="1"/>
  <c r="N306" i="27"/>
  <c r="N307" i="27"/>
  <c r="Q307" i="27" s="1"/>
  <c r="N308" i="27"/>
  <c r="Q308" i="27" s="1"/>
  <c r="N309" i="27"/>
  <c r="Q309" i="27" s="1"/>
  <c r="N310" i="27"/>
  <c r="N311" i="27"/>
  <c r="Q311" i="27" s="1"/>
  <c r="N312" i="27"/>
  <c r="Q312" i="27" s="1"/>
  <c r="N313" i="27"/>
  <c r="N314" i="27"/>
  <c r="N315" i="27"/>
  <c r="N316" i="27"/>
  <c r="N317" i="27"/>
  <c r="Q317" i="27" s="1"/>
  <c r="N318" i="27"/>
  <c r="N319" i="27"/>
  <c r="Q319" i="27" s="1"/>
  <c r="N320" i="27"/>
  <c r="Q320" i="27" s="1"/>
  <c r="N321" i="27"/>
  <c r="Q321" i="27" s="1"/>
  <c r="N322" i="27"/>
  <c r="N323" i="27"/>
  <c r="Q323" i="27" s="1"/>
  <c r="N324" i="27"/>
  <c r="Q324" i="27" s="1"/>
  <c r="N325" i="27"/>
  <c r="N326" i="27"/>
  <c r="N327" i="27"/>
  <c r="N328" i="27"/>
  <c r="N329" i="27"/>
  <c r="Q329" i="27" s="1"/>
  <c r="N330" i="27"/>
  <c r="N331" i="27"/>
  <c r="Q331" i="27" s="1"/>
  <c r="N332" i="27"/>
  <c r="Q332" i="27" s="1"/>
  <c r="N333" i="27"/>
  <c r="Q333" i="27" s="1"/>
  <c r="N334" i="27"/>
  <c r="N335" i="27"/>
  <c r="Q335" i="27" s="1"/>
  <c r="N336" i="27"/>
  <c r="Q336" i="27" s="1"/>
  <c r="N337" i="27"/>
  <c r="N338" i="27"/>
  <c r="N339" i="27"/>
  <c r="N340" i="27"/>
  <c r="N341" i="27"/>
  <c r="Q341" i="27" s="1"/>
  <c r="N342" i="27"/>
  <c r="N343" i="27"/>
  <c r="Q343" i="27" s="1"/>
  <c r="N344" i="27"/>
  <c r="Q344" i="27" s="1"/>
  <c r="N345" i="27"/>
  <c r="Q345" i="27" s="1"/>
  <c r="N346" i="27"/>
  <c r="N347" i="27"/>
  <c r="Q347" i="27" s="1"/>
  <c r="N348" i="27"/>
  <c r="Q348" i="27" s="1"/>
  <c r="N349" i="27"/>
  <c r="N350" i="27"/>
  <c r="N351" i="27"/>
  <c r="N352" i="27"/>
  <c r="N353" i="27"/>
  <c r="Q353" i="27" s="1"/>
  <c r="N354" i="27"/>
  <c r="N355" i="27"/>
  <c r="Q355" i="27" s="1"/>
  <c r="N356" i="27"/>
  <c r="Q356" i="27" s="1"/>
  <c r="N357" i="27"/>
  <c r="Q357" i="27" s="1"/>
  <c r="N358" i="27"/>
  <c r="N359" i="27"/>
  <c r="Q359" i="27" s="1"/>
  <c r="N360" i="27"/>
  <c r="Q360" i="27" s="1"/>
  <c r="N361" i="27"/>
  <c r="N362" i="27"/>
  <c r="N363" i="27"/>
  <c r="N364" i="27"/>
  <c r="N365" i="27"/>
  <c r="Q365" i="27" s="1"/>
  <c r="N366" i="27"/>
  <c r="N367" i="27"/>
  <c r="Q367" i="27" s="1"/>
  <c r="N368" i="27"/>
  <c r="Q368" i="27" s="1"/>
  <c r="N369" i="27"/>
  <c r="Q369" i="27" s="1"/>
  <c r="N370" i="27"/>
  <c r="N371" i="27"/>
  <c r="Q371" i="27" s="1"/>
  <c r="N372" i="27"/>
  <c r="Q372" i="27" s="1"/>
  <c r="N373" i="27"/>
  <c r="N374" i="27"/>
  <c r="N375" i="27"/>
  <c r="N376" i="27"/>
  <c r="N377" i="27"/>
  <c r="Q377" i="27" s="1"/>
  <c r="N378" i="27"/>
  <c r="N379" i="27"/>
  <c r="Q379" i="27" s="1"/>
  <c r="N380" i="27"/>
  <c r="Q380" i="27" s="1"/>
  <c r="N381" i="27"/>
  <c r="Q381" i="27" s="1"/>
  <c r="N382" i="27"/>
  <c r="N383" i="27"/>
  <c r="Q383" i="27" s="1"/>
  <c r="N384" i="27"/>
  <c r="Q384" i="27" s="1"/>
  <c r="N17" i="27"/>
  <c r="Q376" i="27" l="1"/>
  <c r="Q352" i="27"/>
  <c r="Q340" i="27"/>
  <c r="Q328" i="27"/>
  <c r="Q316" i="27"/>
  <c r="Q304" i="27"/>
  <c r="Q292" i="27"/>
  <c r="Q280" i="27"/>
  <c r="Q268" i="27"/>
  <c r="Q256" i="27"/>
  <c r="Q244" i="27"/>
  <c r="Q232" i="27"/>
  <c r="Q220" i="27"/>
  <c r="Q208" i="27"/>
  <c r="Q196" i="27"/>
  <c r="Q184" i="27"/>
  <c r="Q172" i="27"/>
  <c r="Q160" i="27"/>
  <c r="Q148" i="27"/>
  <c r="Q136" i="27"/>
  <c r="Q124" i="27"/>
  <c r="Q112" i="27"/>
  <c r="Q100" i="27"/>
  <c r="Q88" i="27"/>
  <c r="Q76" i="27"/>
  <c r="Q64" i="27"/>
  <c r="Q52" i="27"/>
  <c r="Q40" i="27"/>
  <c r="Q28" i="27"/>
  <c r="Q339" i="27"/>
  <c r="Q291" i="27"/>
  <c r="Q255" i="27"/>
  <c r="Q231" i="27"/>
  <c r="Q219" i="27"/>
  <c r="Q183" i="27"/>
  <c r="Q171" i="27"/>
  <c r="Q159" i="27"/>
  <c r="Q147" i="27"/>
  <c r="Q135" i="27"/>
  <c r="Q123" i="27"/>
  <c r="Q111" i="27"/>
  <c r="Q99" i="27"/>
  <c r="Q87" i="27"/>
  <c r="Q75" i="27"/>
  <c r="Q63" i="27"/>
  <c r="Q51" i="27"/>
  <c r="Q39" i="27"/>
  <c r="Q27" i="27"/>
  <c r="Q375" i="27"/>
  <c r="Q327" i="27"/>
  <c r="Q303" i="27"/>
  <c r="Q279" i="27"/>
  <c r="Q267" i="27"/>
  <c r="Q243" i="27"/>
  <c r="Q207" i="27"/>
  <c r="Q134" i="27"/>
  <c r="Q122" i="27"/>
  <c r="Q110" i="27"/>
  <c r="Q98" i="27"/>
  <c r="Q86" i="27"/>
  <c r="Q74" i="27"/>
  <c r="Q62" i="27"/>
  <c r="Q50" i="27"/>
  <c r="Q38" i="27"/>
  <c r="Q26" i="27"/>
  <c r="Q315" i="27"/>
  <c r="Q195" i="27"/>
  <c r="Q364" i="27"/>
  <c r="Q363" i="27"/>
  <c r="Q351" i="27"/>
  <c r="Q374" i="27"/>
  <c r="Q362" i="27"/>
  <c r="Q350" i="27"/>
  <c r="Q338" i="27"/>
  <c r="Q326" i="27"/>
  <c r="Q314" i="27"/>
  <c r="Q302" i="27"/>
  <c r="Q290" i="27"/>
  <c r="Q278" i="27"/>
  <c r="Q266" i="27"/>
  <c r="Q254" i="27"/>
  <c r="Q242" i="27"/>
  <c r="Q230" i="27"/>
  <c r="Q218" i="27"/>
  <c r="Q206" i="27"/>
  <c r="Q194" i="27"/>
  <c r="Q182" i="27"/>
  <c r="Q170" i="27"/>
  <c r="Q158" i="27"/>
  <c r="Q146" i="27"/>
  <c r="Q361" i="27"/>
  <c r="Q349" i="27"/>
  <c r="Q301" i="27"/>
  <c r="Q289" i="27"/>
  <c r="Q277" i="27"/>
  <c r="Q265" i="27"/>
  <c r="Q253" i="27"/>
  <c r="Q241" i="27"/>
  <c r="Q229" i="27"/>
  <c r="Q217" i="27"/>
  <c r="Q205" i="27"/>
  <c r="Q193" i="27"/>
  <c r="Q181" i="27"/>
  <c r="Q169" i="27"/>
  <c r="Q157" i="27"/>
  <c r="Q145" i="27"/>
  <c r="Q133" i="27"/>
  <c r="Q121" i="27"/>
  <c r="Q109" i="27"/>
  <c r="Q97" i="27"/>
  <c r="Q85" i="27"/>
  <c r="Q73" i="27"/>
  <c r="Q61" i="27"/>
  <c r="Q49" i="27"/>
  <c r="Q37" i="27"/>
  <c r="Q25" i="27"/>
  <c r="Q17" i="27"/>
  <c r="Q337" i="27"/>
  <c r="Q373" i="27"/>
  <c r="Q313" i="27"/>
  <c r="Q325" i="27"/>
  <c r="Q245" i="27"/>
  <c r="Q149" i="27"/>
  <c r="Q101" i="27"/>
  <c r="Q382" i="27"/>
  <c r="Q370" i="27"/>
  <c r="Q358" i="27"/>
  <c r="Q346" i="27"/>
  <c r="Q334" i="27"/>
  <c r="Q322" i="27"/>
  <c r="Q310" i="27"/>
  <c r="Q298" i="27"/>
  <c r="Q286" i="27"/>
  <c r="Q274" i="27"/>
  <c r="Q262" i="27"/>
  <c r="Q250" i="27"/>
  <c r="Q238" i="27"/>
  <c r="Q226" i="27"/>
  <c r="Q214" i="27"/>
  <c r="Q202" i="27"/>
  <c r="Q190" i="27"/>
  <c r="Q178" i="27"/>
  <c r="Q166" i="27"/>
  <c r="Q154" i="27"/>
  <c r="Q142" i="27"/>
  <c r="Q130" i="27"/>
  <c r="Q118" i="27"/>
  <c r="Q106" i="27"/>
  <c r="Q94" i="27"/>
  <c r="Q82" i="27"/>
  <c r="Q70" i="27"/>
  <c r="Q58" i="27"/>
  <c r="Q46" i="27"/>
  <c r="Q34" i="27"/>
  <c r="Q22" i="27"/>
  <c r="Q378" i="27"/>
  <c r="Q366" i="27"/>
  <c r="Q342" i="27"/>
  <c r="Q318" i="27"/>
  <c r="Q294" i="27"/>
  <c r="Q270" i="27"/>
  <c r="Q246" i="27"/>
  <c r="Q234" i="27"/>
  <c r="Q210" i="27"/>
  <c r="Q186" i="27"/>
  <c r="Q162" i="27"/>
  <c r="Q138" i="27"/>
  <c r="Q114" i="27"/>
  <c r="Q102" i="27"/>
  <c r="Q90" i="27"/>
  <c r="Q66" i="27"/>
  <c r="Q54" i="27"/>
  <c r="Q42" i="27"/>
  <c r="Q30" i="27"/>
  <c r="Q354" i="27"/>
  <c r="Q330" i="27"/>
  <c r="Q306" i="27"/>
  <c r="Q282" i="27"/>
  <c r="Q258" i="27"/>
  <c r="Q222" i="27"/>
  <c r="Q198" i="27"/>
  <c r="Q174" i="27"/>
  <c r="Q150" i="27"/>
  <c r="Q126" i="27"/>
  <c r="Q78" i="27"/>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C2337" i="11"/>
  <c r="C2338" i="11"/>
  <c r="C2339" i="11"/>
  <c r="C2340" i="11"/>
  <c r="C2341" i="11"/>
  <c r="C2342" i="11"/>
  <c r="C2343" i="11"/>
  <c r="C2344" i="11"/>
  <c r="C2345" i="11"/>
  <c r="C2346" i="11"/>
  <c r="C2347" i="11"/>
  <c r="C2348" i="11"/>
  <c r="C2349" i="11"/>
  <c r="C2350" i="11"/>
  <c r="C2351" i="11"/>
  <c r="C2352" i="11"/>
  <c r="C2353" i="11"/>
  <c r="C2354" i="11"/>
  <c r="C2355" i="11"/>
  <c r="C2356" i="11"/>
  <c r="C2357" i="11"/>
  <c r="C2358" i="11"/>
  <c r="C2359" i="11"/>
  <c r="C2360" i="11"/>
  <c r="C2361" i="11"/>
  <c r="C2362" i="11"/>
  <c r="C2363" i="11"/>
  <c r="C2364" i="11"/>
  <c r="C2365" i="11"/>
  <c r="C2366" i="11"/>
  <c r="C2367" i="11"/>
  <c r="C2368" i="11"/>
  <c r="C2369" i="11"/>
  <c r="C2370" i="11"/>
  <c r="C2371" i="11"/>
  <c r="C2372" i="11"/>
  <c r="C2373" i="11"/>
  <c r="C2374" i="11"/>
  <c r="C2375" i="11"/>
  <c r="C2376" i="11"/>
  <c r="C2377" i="11"/>
  <c r="C2378" i="11"/>
  <c r="C2379" i="11"/>
  <c r="C2380" i="11"/>
  <c r="C2381" i="11"/>
  <c r="C2382" i="11"/>
  <c r="C2383" i="11"/>
  <c r="C2384" i="11"/>
  <c r="C2385" i="11"/>
  <c r="C2386" i="11"/>
  <c r="C2387" i="11"/>
  <c r="C2388" i="11"/>
  <c r="C2389" i="11"/>
  <c r="C2390" i="11"/>
  <c r="C2391" i="11"/>
  <c r="C2392" i="11"/>
  <c r="C2393" i="11"/>
  <c r="C2394" i="11"/>
  <c r="C2395" i="11"/>
  <c r="C2396" i="11"/>
  <c r="C2397" i="11"/>
  <c r="C2398" i="11"/>
  <c r="C2399" i="11"/>
  <c r="C2400" i="11"/>
  <c r="C2401" i="11"/>
  <c r="C2402" i="11"/>
  <c r="C2403" i="11"/>
  <c r="C2404" i="11"/>
  <c r="C2405" i="11"/>
  <c r="C2406" i="11"/>
  <c r="C2407" i="11"/>
  <c r="C2408" i="11"/>
  <c r="C2409" i="11"/>
  <c r="C2410" i="11"/>
  <c r="C2411" i="11"/>
  <c r="C2412" i="11"/>
  <c r="C2413" i="11"/>
  <c r="C2414" i="11"/>
  <c r="C2415" i="11"/>
  <c r="C2416" i="11"/>
  <c r="C2417" i="11"/>
  <c r="C2418" i="11"/>
  <c r="C2419" i="11"/>
  <c r="C2420" i="11"/>
  <c r="C2421" i="11"/>
  <c r="C2422" i="11"/>
  <c r="C2423" i="11"/>
  <c r="C2424" i="11"/>
  <c r="C2425" i="11"/>
  <c r="C2426" i="11"/>
  <c r="C2427" i="11"/>
  <c r="C2428" i="11"/>
  <c r="C2429" i="11"/>
  <c r="C2430" i="11"/>
  <c r="C2431" i="11"/>
  <c r="C2432" i="11"/>
  <c r="C2433" i="11"/>
  <c r="C2434" i="11"/>
  <c r="C2435" i="11"/>
  <c r="C2436" i="11"/>
  <c r="C2437" i="11"/>
  <c r="C2438" i="11"/>
  <c r="C2439" i="11"/>
  <c r="C2440" i="11"/>
  <c r="C2441" i="11"/>
  <c r="C2442" i="11"/>
  <c r="C2443" i="11"/>
  <c r="C2444" i="11"/>
  <c r="C2445" i="11"/>
  <c r="C2446" i="11"/>
  <c r="C2447" i="11"/>
  <c r="C2448" i="11"/>
  <c r="C2449" i="11"/>
  <c r="C2450" i="11"/>
  <c r="C2451" i="11"/>
  <c r="C2452" i="11"/>
  <c r="C2453" i="11"/>
  <c r="C2454" i="11"/>
  <c r="C2455" i="11"/>
  <c r="C2456" i="11"/>
  <c r="C2457" i="11"/>
  <c r="C2458" i="11"/>
  <c r="C2459" i="11"/>
  <c r="C2460" i="11"/>
  <c r="C2461" i="11"/>
  <c r="C2462" i="11"/>
  <c r="C2463" i="11"/>
  <c r="C2464" i="11"/>
  <c r="C2465" i="11"/>
  <c r="C2466" i="11"/>
  <c r="C2467" i="11"/>
  <c r="C2468" i="11"/>
  <c r="C2469" i="11"/>
  <c r="C2470" i="11"/>
  <c r="C2471" i="11"/>
  <c r="C2472" i="11"/>
  <c r="C2473" i="11"/>
  <c r="C2474" i="11"/>
  <c r="C2475" i="11"/>
  <c r="C2476" i="11"/>
  <c r="C2477" i="11"/>
  <c r="C2478" i="11"/>
  <c r="C2479" i="11"/>
  <c r="C2480" i="11"/>
  <c r="C2481" i="11"/>
  <c r="C2482" i="11"/>
  <c r="C2483" i="11"/>
  <c r="C2484" i="11"/>
  <c r="C2485" i="11"/>
  <c r="C2486" i="11"/>
  <c r="C2487" i="11"/>
  <c r="C2488" i="11"/>
  <c r="C2489" i="11"/>
  <c r="C2490" i="11"/>
  <c r="C2491" i="11"/>
  <c r="C2492" i="11"/>
  <c r="C2493" i="11"/>
  <c r="C2494" i="11"/>
  <c r="C2495" i="11"/>
  <c r="C2496" i="11"/>
  <c r="C2497" i="11"/>
  <c r="C2498" i="11"/>
  <c r="C2499" i="11"/>
  <c r="C2500" i="11"/>
  <c r="C2501" i="11"/>
  <c r="C2502" i="11"/>
  <c r="C2503" i="11"/>
  <c r="C2504" i="11"/>
  <c r="C2505" i="11"/>
  <c r="C2506" i="11"/>
  <c r="C2507" i="11"/>
  <c r="C2508" i="11"/>
  <c r="C2509" i="11"/>
  <c r="C2510" i="11"/>
  <c r="C2511" i="11"/>
  <c r="C2512" i="11"/>
  <c r="C2513" i="11"/>
  <c r="C2514" i="11"/>
  <c r="C2515" i="11"/>
  <c r="C2516" i="11"/>
  <c r="C2517" i="11"/>
  <c r="C2518" i="11"/>
  <c r="C2519" i="11"/>
  <c r="C2520" i="11"/>
  <c r="C2521" i="11"/>
  <c r="C2522" i="11"/>
  <c r="C2523" i="11"/>
  <c r="C2524" i="11"/>
  <c r="C2525" i="11"/>
  <c r="C2526" i="11"/>
  <c r="C2527" i="11"/>
  <c r="C2528" i="11"/>
  <c r="C2529" i="11"/>
  <c r="C2530" i="11"/>
  <c r="C2531" i="11"/>
  <c r="C2532" i="11"/>
  <c r="C2533" i="11"/>
  <c r="C2534" i="11"/>
  <c r="C2535" i="11"/>
  <c r="C2536" i="11"/>
  <c r="C2537" i="11"/>
  <c r="C2538" i="11"/>
  <c r="C2539" i="11"/>
  <c r="C2540" i="11"/>
  <c r="C2541" i="11"/>
  <c r="C2542" i="11"/>
  <c r="C2543" i="11"/>
  <c r="C2544" i="11"/>
  <c r="C2545" i="11"/>
  <c r="C2546" i="11"/>
  <c r="C2547" i="11"/>
  <c r="C2548" i="11"/>
  <c r="C2549" i="11"/>
  <c r="C2550" i="11"/>
  <c r="C2551" i="11"/>
  <c r="C2552" i="11"/>
  <c r="C2553" i="11"/>
  <c r="C2554" i="11"/>
  <c r="C2555" i="11"/>
  <c r="C2556" i="11"/>
  <c r="C2557" i="11"/>
  <c r="C2558" i="11"/>
  <c r="C2559" i="11"/>
  <c r="C2560" i="11"/>
  <c r="C2561" i="11"/>
  <c r="C2562" i="11"/>
  <c r="C2563" i="11"/>
  <c r="C2564" i="11"/>
  <c r="C2565" i="11"/>
  <c r="C2566" i="11"/>
  <c r="C2567" i="11"/>
  <c r="C2568" i="11"/>
  <c r="C2569" i="11"/>
  <c r="C2570" i="11"/>
  <c r="C2571" i="11"/>
  <c r="C2572" i="11"/>
  <c r="C2573" i="11"/>
  <c r="C2574" i="11"/>
  <c r="C2575" i="11"/>
  <c r="C2576" i="11"/>
  <c r="C2577" i="11"/>
  <c r="C2578" i="11"/>
  <c r="C2579" i="11"/>
  <c r="C2580" i="11"/>
  <c r="C2581" i="11"/>
  <c r="C2582" i="11"/>
  <c r="C2583" i="11"/>
  <c r="C2584" i="11"/>
  <c r="C2585" i="11"/>
  <c r="C2586" i="11"/>
  <c r="C2587" i="11"/>
  <c r="C2588" i="11"/>
  <c r="C2589" i="11"/>
  <c r="C2590" i="11"/>
  <c r="C2591" i="11"/>
  <c r="C2592" i="11"/>
  <c r="C2593" i="11"/>
  <c r="C2594" i="11"/>
  <c r="C2595" i="11"/>
  <c r="C2596" i="11"/>
  <c r="C2597" i="11"/>
  <c r="C2598" i="11"/>
  <c r="C2599" i="11"/>
  <c r="C2600" i="11"/>
  <c r="C2601" i="11"/>
  <c r="C2602" i="11"/>
  <c r="C2603" i="11"/>
  <c r="C2604" i="11"/>
  <c r="C2605" i="11"/>
  <c r="C2606" i="11"/>
  <c r="C2607" i="11"/>
  <c r="C2608" i="11"/>
  <c r="C2609" i="11"/>
  <c r="C2610" i="11"/>
  <c r="C2611" i="11"/>
  <c r="C2612" i="11"/>
  <c r="C2613" i="11"/>
  <c r="C2614" i="11"/>
  <c r="C2615" i="11"/>
  <c r="C2616" i="11"/>
  <c r="C2617" i="11"/>
  <c r="C2618" i="11"/>
  <c r="C2619" i="11"/>
  <c r="C2620" i="11"/>
  <c r="C2621" i="11"/>
  <c r="C2622" i="11"/>
  <c r="C2623" i="11"/>
  <c r="C2624" i="11"/>
  <c r="C2625" i="11"/>
  <c r="C2626" i="11"/>
  <c r="C2627" i="11"/>
  <c r="C2628" i="11"/>
  <c r="C2629" i="11"/>
  <c r="C2630" i="11"/>
  <c r="C2631" i="11"/>
  <c r="C2632" i="11"/>
  <c r="C2633" i="11"/>
  <c r="C2634" i="11"/>
  <c r="C2635" i="11"/>
  <c r="C2636" i="11"/>
  <c r="C2637" i="11"/>
  <c r="C2638" i="11"/>
  <c r="C2639" i="11"/>
  <c r="C2640" i="11"/>
  <c r="C2641" i="11"/>
  <c r="C2642" i="11"/>
  <c r="C2643" i="11"/>
  <c r="C2644" i="11"/>
  <c r="C2645" i="11"/>
  <c r="C2646" i="11"/>
  <c r="C2647" i="11"/>
  <c r="C2648" i="11"/>
  <c r="C2649" i="11"/>
  <c r="C2650" i="11"/>
  <c r="C2651" i="11"/>
  <c r="C2652" i="11"/>
  <c r="C2653" i="11"/>
  <c r="C2654" i="11"/>
  <c r="C2655" i="11"/>
  <c r="C2656" i="11"/>
  <c r="C2657" i="11"/>
  <c r="C2658" i="11"/>
  <c r="C2659" i="11"/>
  <c r="C2660" i="11"/>
  <c r="C2661" i="11"/>
  <c r="C2662" i="11"/>
  <c r="C2663" i="11"/>
  <c r="C2664" i="11"/>
  <c r="C2665" i="11"/>
  <c r="C2666" i="11"/>
  <c r="C2667" i="11"/>
  <c r="C2668" i="11"/>
  <c r="C2669" i="11"/>
  <c r="C2670" i="11"/>
  <c r="C2671" i="11"/>
  <c r="C2672" i="11"/>
  <c r="C2673" i="11"/>
  <c r="C2674" i="11"/>
  <c r="C2675" i="11"/>
  <c r="C2676" i="11"/>
  <c r="C2677" i="11"/>
  <c r="C2678" i="11"/>
  <c r="C2679" i="11"/>
  <c r="C2680" i="11"/>
  <c r="C2681" i="11"/>
  <c r="C2682" i="11"/>
  <c r="C2683" i="11"/>
  <c r="C2684" i="11"/>
  <c r="C2685" i="11"/>
  <c r="C2686" i="11"/>
  <c r="C2687" i="11"/>
  <c r="C2688" i="11"/>
  <c r="C2689" i="11"/>
  <c r="C2690" i="11"/>
  <c r="C2691" i="11"/>
  <c r="C2692" i="11"/>
  <c r="C2693" i="11"/>
  <c r="C2694" i="11"/>
  <c r="C2695" i="11"/>
  <c r="C2696" i="11"/>
  <c r="C2697" i="11"/>
  <c r="C2698" i="11"/>
  <c r="C2699" i="11"/>
  <c r="C2700" i="11"/>
  <c r="C2701" i="11"/>
  <c r="C2702" i="11"/>
  <c r="C2703" i="11"/>
  <c r="C2704" i="11"/>
  <c r="C2705" i="11"/>
  <c r="C2706" i="11"/>
  <c r="C2707" i="11"/>
  <c r="C2708" i="11"/>
  <c r="C2709" i="11"/>
  <c r="C2710" i="11"/>
  <c r="C2711" i="11"/>
  <c r="C2712" i="11"/>
  <c r="C2713" i="11"/>
  <c r="C2714" i="11"/>
  <c r="C2715" i="11"/>
  <c r="C2716" i="11"/>
  <c r="C2717" i="11"/>
  <c r="C2718" i="11"/>
  <c r="C2719" i="11"/>
  <c r="C2720" i="11"/>
  <c r="C2721" i="11"/>
  <c r="C2722" i="11"/>
  <c r="C2723" i="11"/>
  <c r="C2724" i="11"/>
  <c r="C2725" i="11"/>
  <c r="C2726" i="11"/>
  <c r="C2727" i="11"/>
  <c r="C2728" i="11"/>
  <c r="C2729" i="11"/>
  <c r="C2730" i="11"/>
  <c r="C2731" i="11"/>
  <c r="C2732" i="11"/>
  <c r="C2733" i="11"/>
  <c r="C2734" i="11"/>
  <c r="C2735" i="11"/>
  <c r="C2736" i="11"/>
  <c r="C2737" i="11"/>
  <c r="C2738" i="11"/>
  <c r="C2739" i="11"/>
  <c r="C2740" i="11"/>
  <c r="C2741" i="11"/>
  <c r="C2742" i="11"/>
  <c r="C2743" i="11"/>
  <c r="C2744" i="11"/>
  <c r="C2745" i="11"/>
  <c r="C2746" i="11"/>
  <c r="C2747" i="11"/>
  <c r="C2748" i="11"/>
  <c r="C2749" i="11"/>
  <c r="C2750" i="11"/>
  <c r="C2751" i="11"/>
  <c r="C2752" i="11"/>
  <c r="C2753" i="11"/>
  <c r="C2754" i="11"/>
  <c r="C2755" i="11"/>
  <c r="C2756" i="11"/>
  <c r="C2757" i="11"/>
  <c r="C2758" i="11"/>
  <c r="C2759" i="11"/>
  <c r="C2760" i="11"/>
  <c r="C2761" i="11"/>
  <c r="C2762" i="11"/>
  <c r="C2763" i="11"/>
  <c r="C2764" i="11"/>
  <c r="C2765" i="11"/>
  <c r="C2766" i="11"/>
  <c r="C2767" i="11"/>
  <c r="C2768" i="11"/>
  <c r="C2769" i="11"/>
  <c r="C2770" i="11"/>
  <c r="C2771" i="11"/>
  <c r="C2772" i="11"/>
  <c r="C2773" i="11"/>
  <c r="C2774" i="11"/>
  <c r="C2775" i="11"/>
  <c r="C2776" i="11"/>
  <c r="C2777" i="11"/>
  <c r="C2778" i="11"/>
  <c r="C2779" i="11"/>
  <c r="C2780" i="11"/>
  <c r="C2781" i="11"/>
  <c r="C2782" i="11"/>
  <c r="C2783" i="11"/>
  <c r="C2784" i="11"/>
  <c r="C2785" i="11"/>
  <c r="C2786" i="11"/>
  <c r="C2787" i="11"/>
  <c r="C2788" i="11"/>
  <c r="C2789" i="11"/>
  <c r="C2790" i="11"/>
  <c r="C2791" i="11"/>
  <c r="C2792" i="11"/>
  <c r="C2793" i="11"/>
  <c r="C2794" i="11"/>
  <c r="C2795" i="11"/>
  <c r="C2796" i="11"/>
  <c r="C2797" i="11"/>
  <c r="C2798" i="11"/>
  <c r="C2799" i="11"/>
  <c r="C2800" i="11"/>
  <c r="C2801" i="11"/>
  <c r="C2802" i="11"/>
  <c r="C2803" i="11"/>
  <c r="C2804" i="11"/>
  <c r="C2805" i="11"/>
  <c r="C2806" i="11"/>
  <c r="C2807" i="11"/>
  <c r="C2808" i="11"/>
  <c r="C2809" i="11"/>
  <c r="C2810" i="11"/>
  <c r="C2811" i="11"/>
  <c r="C2812" i="11"/>
  <c r="C2813" i="11"/>
  <c r="C2814" i="11"/>
  <c r="C2815" i="11"/>
  <c r="C2816" i="11"/>
  <c r="C2817" i="11"/>
  <c r="C2818" i="11"/>
  <c r="C2819" i="11"/>
  <c r="C2820" i="11"/>
  <c r="C2821" i="11"/>
  <c r="C2822" i="11"/>
  <c r="C2823" i="11"/>
  <c r="C2824" i="11"/>
  <c r="C2825" i="11"/>
  <c r="C2826" i="11"/>
  <c r="C2827" i="11"/>
  <c r="C2828" i="11"/>
  <c r="C2829" i="11"/>
  <c r="C2830" i="11"/>
  <c r="C2831" i="11"/>
  <c r="C2832" i="11"/>
  <c r="C2833" i="11"/>
  <c r="C2834" i="11"/>
  <c r="C2835" i="11"/>
  <c r="C2836" i="11"/>
  <c r="C2837" i="11"/>
  <c r="C2838" i="11"/>
  <c r="C2839" i="11"/>
  <c r="C2840" i="11"/>
  <c r="C2841" i="11"/>
  <c r="C2842" i="11"/>
  <c r="C2843" i="11"/>
  <c r="C2844" i="11"/>
  <c r="C2845" i="11"/>
  <c r="C2846" i="11"/>
  <c r="C2847" i="11"/>
  <c r="C2848" i="11"/>
  <c r="C2849" i="11"/>
  <c r="C2850" i="11"/>
  <c r="C2851" i="11"/>
  <c r="C2852" i="11"/>
  <c r="C2853" i="11"/>
  <c r="C2854" i="11"/>
  <c r="C2855" i="11"/>
  <c r="C2856" i="11"/>
  <c r="C2857" i="11"/>
  <c r="C2858" i="11"/>
  <c r="C2859" i="11"/>
  <c r="C2860" i="11"/>
  <c r="C2861" i="11"/>
  <c r="C2862" i="11"/>
  <c r="C2863" i="11"/>
  <c r="C2864" i="11"/>
  <c r="C2865" i="11"/>
  <c r="C2866" i="11"/>
  <c r="C2867" i="11"/>
  <c r="C2868" i="11"/>
  <c r="C2869" i="11"/>
  <c r="C2870" i="11"/>
  <c r="C2871" i="11"/>
  <c r="C2872" i="11"/>
  <c r="C2873" i="11"/>
  <c r="C2874" i="11"/>
  <c r="C2875" i="11"/>
  <c r="C2876" i="11"/>
  <c r="C2877" i="11"/>
  <c r="C2878" i="11"/>
  <c r="C2879" i="11"/>
  <c r="C2880" i="11"/>
  <c r="C2881" i="11"/>
  <c r="C2882" i="11"/>
  <c r="C2883" i="11"/>
  <c r="C2884" i="11"/>
  <c r="C2885" i="11"/>
  <c r="C2886" i="11"/>
  <c r="C2887" i="11"/>
  <c r="C2888" i="11"/>
  <c r="C2889" i="11"/>
  <c r="C2890" i="11"/>
  <c r="C2891" i="11"/>
  <c r="C2892" i="11"/>
  <c r="C2893" i="11"/>
  <c r="C2894" i="11"/>
  <c r="C2895" i="11"/>
  <c r="C2896" i="11"/>
  <c r="C2897" i="11"/>
  <c r="C2898" i="11"/>
  <c r="C2899" i="11"/>
  <c r="C2900" i="11"/>
  <c r="C2901" i="11"/>
  <c r="C2902" i="11"/>
  <c r="C2903" i="11"/>
  <c r="C2904" i="11"/>
  <c r="C2905" i="11"/>
  <c r="C2906" i="11"/>
  <c r="C2907" i="11"/>
  <c r="C2908" i="11"/>
  <c r="C2909" i="11"/>
  <c r="C2910" i="11"/>
  <c r="C2911" i="11"/>
  <c r="C2912" i="11"/>
  <c r="C2913" i="11"/>
  <c r="C2914" i="11"/>
  <c r="C2915" i="11"/>
  <c r="C2916" i="11"/>
  <c r="C2917" i="11"/>
  <c r="C2918" i="11"/>
  <c r="C2919" i="11"/>
  <c r="C2920" i="11"/>
  <c r="C2921" i="11"/>
  <c r="C2922" i="11"/>
  <c r="C2923" i="11"/>
  <c r="C2924" i="11"/>
  <c r="C2925" i="11"/>
  <c r="C2926" i="11"/>
  <c r="C2927" i="11"/>
  <c r="C2928" i="11"/>
  <c r="C2929" i="11"/>
  <c r="C2930" i="11"/>
  <c r="C2931" i="11"/>
  <c r="C2932" i="11"/>
  <c r="C2933" i="11"/>
  <c r="C2934" i="11"/>
  <c r="C2935" i="11"/>
  <c r="C2936" i="11"/>
  <c r="C2937" i="11"/>
  <c r="C2938" i="11"/>
  <c r="C2939" i="11"/>
  <c r="C2940" i="11"/>
  <c r="C2941" i="11"/>
  <c r="C2942" i="11"/>
  <c r="C2943" i="11"/>
  <c r="C2944" i="11"/>
  <c r="C2945" i="11"/>
  <c r="C2946" i="11"/>
  <c r="C2947" i="11"/>
  <c r="C2948" i="11"/>
  <c r="C2949" i="11"/>
  <c r="C2950" i="11"/>
  <c r="C2951" i="11"/>
  <c r="C2952" i="11"/>
  <c r="C2953" i="11"/>
  <c r="C2954" i="11"/>
  <c r="C2955" i="11"/>
  <c r="C2956" i="11"/>
  <c r="C2957" i="11"/>
  <c r="C2958" i="11"/>
  <c r="C2959" i="11"/>
  <c r="C2960" i="11"/>
  <c r="C2961" i="11"/>
  <c r="C2962" i="11"/>
  <c r="C2963" i="11"/>
  <c r="C2964" i="11"/>
  <c r="C2965" i="11"/>
  <c r="C2966" i="11"/>
  <c r="C2967" i="11"/>
  <c r="C2968" i="11"/>
  <c r="C2969" i="11"/>
  <c r="C2970" i="11"/>
  <c r="C2971" i="11"/>
  <c r="C2972" i="11"/>
  <c r="C2973" i="11"/>
  <c r="C2974" i="11"/>
  <c r="C2975" i="11"/>
  <c r="C2976" i="11"/>
  <c r="C2977" i="11"/>
  <c r="C2978" i="11"/>
  <c r="C2979" i="11"/>
  <c r="C2980" i="11"/>
  <c r="C2981" i="11"/>
  <c r="C2982" i="11"/>
  <c r="C2983" i="11"/>
  <c r="C2984" i="11"/>
  <c r="C2985" i="11"/>
  <c r="C2986" i="11"/>
  <c r="C2987" i="11"/>
  <c r="C2988" i="11"/>
  <c r="C2989" i="11"/>
  <c r="C2990" i="11"/>
  <c r="C2991" i="11"/>
  <c r="C2992" i="11"/>
  <c r="C2993" i="11"/>
  <c r="C2994" i="11"/>
  <c r="C2995" i="11"/>
  <c r="C2996" i="11"/>
  <c r="C2997" i="11"/>
  <c r="C2998" i="11"/>
  <c r="C2999" i="11"/>
  <c r="C3000" i="11"/>
  <c r="C3001" i="11"/>
  <c r="C3002" i="11"/>
  <c r="C3003" i="11"/>
  <c r="C3004" i="11"/>
  <c r="C3005" i="11"/>
  <c r="C3006" i="11"/>
  <c r="C3007" i="11"/>
  <c r="C3008" i="11"/>
  <c r="C3009" i="11"/>
  <c r="C3010" i="11"/>
  <c r="C3011" i="11"/>
  <c r="C3012" i="11"/>
  <c r="C3013" i="11"/>
  <c r="C3014" i="11"/>
  <c r="C16" i="11"/>
  <c r="M21" i="7"/>
  <c r="AF22" i="7" l="1"/>
  <c r="AF23" i="7"/>
  <c r="AF24" i="7"/>
  <c r="AF25" i="7"/>
  <c r="AF26" i="7"/>
  <c r="AF27" i="7"/>
  <c r="AF28" i="7"/>
  <c r="AF29" i="7"/>
  <c r="AF30" i="7"/>
  <c r="AF31" i="7"/>
  <c r="AF32" i="7"/>
  <c r="AF33" i="7"/>
  <c r="AF34" i="7"/>
  <c r="AF35" i="7"/>
  <c r="AF36" i="7"/>
  <c r="AF37" i="7"/>
  <c r="AF38" i="7"/>
  <c r="AF39" i="7"/>
  <c r="AF40" i="7"/>
  <c r="AF41" i="7"/>
  <c r="AF42" i="7"/>
  <c r="AF43" i="7"/>
  <c r="AF44" i="7"/>
  <c r="AF45" i="7"/>
  <c r="AF46" i="7"/>
  <c r="AF47" i="7"/>
  <c r="AF48" i="7"/>
  <c r="AF49" i="7"/>
  <c r="AF50" i="7"/>
  <c r="AF51" i="7"/>
  <c r="AF52" i="7"/>
  <c r="AF53" i="7"/>
  <c r="AF54" i="7"/>
  <c r="AF55" i="7"/>
  <c r="AF56" i="7"/>
  <c r="AF57" i="7"/>
  <c r="AF58" i="7"/>
  <c r="AF59" i="7"/>
  <c r="AF60" i="7"/>
  <c r="AF61" i="7"/>
  <c r="AF62" i="7"/>
  <c r="AF63" i="7"/>
  <c r="AF64" i="7"/>
  <c r="AF65" i="7"/>
  <c r="AF66" i="7"/>
  <c r="AF67" i="7"/>
  <c r="AF68" i="7"/>
  <c r="AF69" i="7"/>
  <c r="AF70" i="7"/>
  <c r="AF71" i="7"/>
  <c r="AF72" i="7"/>
  <c r="AF73" i="7"/>
  <c r="AF74" i="7"/>
  <c r="AF75" i="7"/>
  <c r="AF76" i="7"/>
  <c r="AF77" i="7"/>
  <c r="AF78" i="7"/>
  <c r="AF79" i="7"/>
  <c r="AF80" i="7"/>
  <c r="AF81" i="7"/>
  <c r="AF82" i="7"/>
  <c r="AF83" i="7"/>
  <c r="AF84" i="7"/>
  <c r="AF85" i="7"/>
  <c r="AF86" i="7"/>
  <c r="AF87" i="7"/>
  <c r="AF88" i="7"/>
  <c r="AF89" i="7"/>
  <c r="AF90" i="7"/>
  <c r="AF91" i="7"/>
  <c r="AF92" i="7"/>
  <c r="AF93" i="7"/>
  <c r="AF94" i="7"/>
  <c r="AF95" i="7"/>
  <c r="AF96" i="7"/>
  <c r="AF97" i="7"/>
  <c r="AF98" i="7"/>
  <c r="AF99" i="7"/>
  <c r="AF100" i="7"/>
  <c r="AF101" i="7"/>
  <c r="AF102" i="7"/>
  <c r="AF103" i="7"/>
  <c r="AF104" i="7"/>
  <c r="AF105" i="7"/>
  <c r="AF106" i="7"/>
  <c r="AF107" i="7"/>
  <c r="AF108" i="7"/>
  <c r="AF109" i="7"/>
  <c r="AF110" i="7"/>
  <c r="AF111" i="7"/>
  <c r="AF112" i="7"/>
  <c r="AF113" i="7"/>
  <c r="AF114" i="7"/>
  <c r="AF115" i="7"/>
  <c r="AF116" i="7"/>
  <c r="AF117" i="7"/>
  <c r="AF118" i="7"/>
  <c r="AF119" i="7"/>
  <c r="AF120" i="7"/>
  <c r="AF121" i="7"/>
  <c r="AF122" i="7"/>
  <c r="AF123" i="7"/>
  <c r="AF124" i="7"/>
  <c r="AF125" i="7"/>
  <c r="AF126" i="7"/>
  <c r="AF127" i="7"/>
  <c r="AF128" i="7"/>
  <c r="AF129" i="7"/>
  <c r="AF130" i="7"/>
  <c r="AF131" i="7"/>
  <c r="AF132" i="7"/>
  <c r="AF133" i="7"/>
  <c r="AF134" i="7"/>
  <c r="AF135" i="7"/>
  <c r="AF136" i="7"/>
  <c r="AF137" i="7"/>
  <c r="AF138" i="7"/>
  <c r="AF139" i="7"/>
  <c r="AF140" i="7"/>
  <c r="AF141" i="7"/>
  <c r="AF142" i="7"/>
  <c r="AF143" i="7"/>
  <c r="AF144" i="7"/>
  <c r="AF145" i="7"/>
  <c r="AF146" i="7"/>
  <c r="AF147" i="7"/>
  <c r="AF148" i="7"/>
  <c r="AF149" i="7"/>
  <c r="AF150" i="7"/>
  <c r="AF151" i="7"/>
  <c r="AF152" i="7"/>
  <c r="AF153" i="7"/>
  <c r="AF154" i="7"/>
  <c r="AF155" i="7"/>
  <c r="AF156" i="7"/>
  <c r="AF157" i="7"/>
  <c r="AF158" i="7"/>
  <c r="AF159" i="7"/>
  <c r="AF160" i="7"/>
  <c r="AF161" i="7"/>
  <c r="AF162" i="7"/>
  <c r="AF163" i="7"/>
  <c r="AF164" i="7"/>
  <c r="AF165" i="7"/>
  <c r="AF166" i="7"/>
  <c r="AF167" i="7"/>
  <c r="AF168" i="7"/>
  <c r="AF169" i="7"/>
  <c r="AF170" i="7"/>
  <c r="AF171" i="7"/>
  <c r="AF172" i="7"/>
  <c r="AF173" i="7"/>
  <c r="AF174" i="7"/>
  <c r="AF175" i="7"/>
  <c r="AF176" i="7"/>
  <c r="AF177" i="7"/>
  <c r="AF178" i="7"/>
  <c r="AF179" i="7"/>
  <c r="AF180" i="7"/>
  <c r="AF181" i="7"/>
  <c r="AF182" i="7"/>
  <c r="AF183" i="7"/>
  <c r="AF184" i="7"/>
  <c r="AF185" i="7"/>
  <c r="AF186" i="7"/>
  <c r="AF187" i="7"/>
  <c r="AF188" i="7"/>
  <c r="AF189" i="7"/>
  <c r="AF190" i="7"/>
  <c r="AF191" i="7"/>
  <c r="AF192" i="7"/>
  <c r="AF193" i="7"/>
  <c r="AF194" i="7"/>
  <c r="AF195" i="7"/>
  <c r="AF196" i="7"/>
  <c r="AF197" i="7"/>
  <c r="AF198" i="7"/>
  <c r="AF199" i="7"/>
  <c r="AF200" i="7"/>
  <c r="AF201" i="7"/>
  <c r="AF202" i="7"/>
  <c r="AF203" i="7"/>
  <c r="AF204" i="7"/>
  <c r="AF205" i="7"/>
  <c r="AF206" i="7"/>
  <c r="AF207" i="7"/>
  <c r="AF208" i="7"/>
  <c r="AF209" i="7"/>
  <c r="AF210" i="7"/>
  <c r="AF211" i="7"/>
  <c r="AF212" i="7"/>
  <c r="AF213" i="7"/>
  <c r="AF214" i="7"/>
  <c r="AF215" i="7"/>
  <c r="AF216" i="7"/>
  <c r="AF217" i="7"/>
  <c r="AF218" i="7"/>
  <c r="AF219" i="7"/>
  <c r="AF220" i="7"/>
  <c r="AF221" i="7"/>
  <c r="AF222" i="7"/>
  <c r="AF223" i="7"/>
  <c r="AF224" i="7"/>
  <c r="AF225" i="7"/>
  <c r="AF226" i="7"/>
  <c r="AF227" i="7"/>
  <c r="AF228" i="7"/>
  <c r="AF229" i="7"/>
  <c r="AF230" i="7"/>
  <c r="AF231" i="7"/>
  <c r="AF232" i="7"/>
  <c r="AF233" i="7"/>
  <c r="AF234" i="7"/>
  <c r="AF235" i="7"/>
  <c r="AF236" i="7"/>
  <c r="AF237" i="7"/>
  <c r="AF238" i="7"/>
  <c r="AF239" i="7"/>
  <c r="AF240" i="7"/>
  <c r="AF241" i="7"/>
  <c r="AF242" i="7"/>
  <c r="AF243" i="7"/>
  <c r="AF244" i="7"/>
  <c r="AF245" i="7"/>
  <c r="AF246" i="7"/>
  <c r="AF247" i="7"/>
  <c r="AF248" i="7"/>
  <c r="AF249" i="7"/>
  <c r="AF250" i="7"/>
  <c r="AF251" i="7"/>
  <c r="AF252" i="7"/>
  <c r="AF253" i="7"/>
  <c r="AF254" i="7"/>
  <c r="AF255" i="7"/>
  <c r="AF256" i="7"/>
  <c r="AF257" i="7"/>
  <c r="AF258" i="7"/>
  <c r="AF259" i="7"/>
  <c r="AF260" i="7"/>
  <c r="AF261" i="7"/>
  <c r="AF262" i="7"/>
  <c r="AF263" i="7"/>
  <c r="AF264" i="7"/>
  <c r="AF265" i="7"/>
  <c r="AF266" i="7"/>
  <c r="AF267" i="7"/>
  <c r="AF268" i="7"/>
  <c r="AF269" i="7"/>
  <c r="AF270" i="7"/>
  <c r="AF271" i="7"/>
  <c r="AF272" i="7"/>
  <c r="AF273" i="7"/>
  <c r="AF274" i="7"/>
  <c r="AF275" i="7"/>
  <c r="AF276" i="7"/>
  <c r="AF277" i="7"/>
  <c r="AF278" i="7"/>
  <c r="AF279" i="7"/>
  <c r="AF280" i="7"/>
  <c r="AF281" i="7"/>
  <c r="AF282" i="7"/>
  <c r="AF283" i="7"/>
  <c r="AF284" i="7"/>
  <c r="AF285" i="7"/>
  <c r="AF286" i="7"/>
  <c r="AF287" i="7"/>
  <c r="AF288" i="7"/>
  <c r="AF289" i="7"/>
  <c r="AF290" i="7"/>
  <c r="AF291" i="7"/>
  <c r="AF292" i="7"/>
  <c r="AF293" i="7"/>
  <c r="AF294" i="7"/>
  <c r="AF295" i="7"/>
  <c r="AF296" i="7"/>
  <c r="AF297" i="7"/>
  <c r="AF298" i="7"/>
  <c r="AF299" i="7"/>
  <c r="AF300" i="7"/>
  <c r="AF301" i="7"/>
  <c r="AF302" i="7"/>
  <c r="AF303" i="7"/>
  <c r="AF304" i="7"/>
  <c r="AF305" i="7"/>
  <c r="AF306" i="7"/>
  <c r="AF307" i="7"/>
  <c r="AF308" i="7"/>
  <c r="AF309" i="7"/>
  <c r="AF310" i="7"/>
  <c r="AF311" i="7"/>
  <c r="AF312" i="7"/>
  <c r="AF313" i="7"/>
  <c r="AF314" i="7"/>
  <c r="AF315" i="7"/>
  <c r="AF316" i="7"/>
  <c r="AF317" i="7"/>
  <c r="AF318" i="7"/>
  <c r="AF319" i="7"/>
  <c r="AF320" i="7"/>
  <c r="AF321" i="7"/>
  <c r="AF322" i="7"/>
  <c r="AF323" i="7"/>
  <c r="AF324" i="7"/>
  <c r="AF325" i="7"/>
  <c r="AF326" i="7"/>
  <c r="AF327" i="7"/>
  <c r="AF328" i="7"/>
  <c r="AF329" i="7"/>
  <c r="AF330" i="7"/>
  <c r="AF331" i="7"/>
  <c r="AF332" i="7"/>
  <c r="AF333" i="7"/>
  <c r="AF334" i="7"/>
  <c r="AF335" i="7"/>
  <c r="AF336" i="7"/>
  <c r="AF337" i="7"/>
  <c r="AF338" i="7"/>
  <c r="AF339" i="7"/>
  <c r="AF340" i="7"/>
  <c r="AF341" i="7"/>
  <c r="AF342" i="7"/>
  <c r="AF343" i="7"/>
  <c r="AF344" i="7"/>
  <c r="AF345" i="7"/>
  <c r="AF346" i="7"/>
  <c r="AF347" i="7"/>
  <c r="AF348" i="7"/>
  <c r="AF349" i="7"/>
  <c r="AF350" i="7"/>
  <c r="AF351" i="7"/>
  <c r="AF352" i="7"/>
  <c r="AF353" i="7"/>
  <c r="AF354" i="7"/>
  <c r="AF355" i="7"/>
  <c r="AF356" i="7"/>
  <c r="AF357" i="7"/>
  <c r="AF358" i="7"/>
  <c r="AF359" i="7"/>
  <c r="AF360" i="7"/>
  <c r="AF361" i="7"/>
  <c r="AF362" i="7"/>
  <c r="AF363" i="7"/>
  <c r="AF364" i="7"/>
  <c r="AF365" i="7"/>
  <c r="AF366" i="7"/>
  <c r="AF367" i="7"/>
  <c r="AF368" i="7"/>
  <c r="AF369" i="7"/>
  <c r="AF370" i="7"/>
  <c r="AF371" i="7"/>
  <c r="AF372" i="7"/>
  <c r="AF373" i="7"/>
  <c r="AF374" i="7"/>
  <c r="AF375" i="7"/>
  <c r="AF376" i="7"/>
  <c r="AF377" i="7"/>
  <c r="AF378" i="7"/>
  <c r="AF379" i="7"/>
  <c r="AF380" i="7"/>
  <c r="AF381" i="7"/>
  <c r="AF382" i="7"/>
  <c r="AF383" i="7"/>
  <c r="AF384" i="7"/>
  <c r="AF385" i="7"/>
  <c r="AF386" i="7"/>
  <c r="AF387" i="7"/>
  <c r="AF388" i="7"/>
  <c r="AF389" i="7"/>
  <c r="AF390" i="7"/>
  <c r="AF391" i="7"/>
  <c r="AF392" i="7"/>
  <c r="AF393" i="7"/>
  <c r="AF394" i="7"/>
  <c r="AF395" i="7"/>
  <c r="AF396" i="7"/>
  <c r="AF397" i="7"/>
  <c r="AF398" i="7"/>
  <c r="AF399" i="7"/>
  <c r="AF400" i="7"/>
  <c r="AF401" i="7"/>
  <c r="AF402" i="7"/>
  <c r="AF403" i="7"/>
  <c r="AF404" i="7"/>
  <c r="AF405" i="7"/>
  <c r="AF406" i="7"/>
  <c r="AF407" i="7"/>
  <c r="AF408" i="7"/>
  <c r="AF409" i="7"/>
  <c r="AF410" i="7"/>
  <c r="AF411" i="7"/>
  <c r="AF412" i="7"/>
  <c r="AF413" i="7"/>
  <c r="AF414" i="7"/>
  <c r="AF415" i="7"/>
  <c r="AF416" i="7"/>
  <c r="AF417" i="7"/>
  <c r="AF418" i="7"/>
  <c r="AF419" i="7"/>
  <c r="AF420" i="7"/>
  <c r="AF421" i="7"/>
  <c r="AF422" i="7"/>
  <c r="AF423" i="7"/>
  <c r="AF424" i="7"/>
  <c r="AF425" i="7"/>
  <c r="AF426" i="7"/>
  <c r="AF427" i="7"/>
  <c r="AF428" i="7"/>
  <c r="AF429" i="7"/>
  <c r="AF430" i="7"/>
  <c r="AF431" i="7"/>
  <c r="AF432" i="7"/>
  <c r="AF433" i="7"/>
  <c r="AF434" i="7"/>
  <c r="AF435" i="7"/>
  <c r="AF436" i="7"/>
  <c r="AF437" i="7"/>
  <c r="AF438" i="7"/>
  <c r="AF439" i="7"/>
  <c r="AF440" i="7"/>
  <c r="AF441" i="7"/>
  <c r="AF442" i="7"/>
  <c r="AF443" i="7"/>
  <c r="AF444" i="7"/>
  <c r="AF445" i="7"/>
  <c r="AF446" i="7"/>
  <c r="AF447" i="7"/>
  <c r="AF448" i="7"/>
  <c r="AF449" i="7"/>
  <c r="AF450" i="7"/>
  <c r="AF451" i="7"/>
  <c r="AF452" i="7"/>
  <c r="AF453" i="7"/>
  <c r="AF454" i="7"/>
  <c r="AF455" i="7"/>
  <c r="AF456" i="7"/>
  <c r="AF457" i="7"/>
  <c r="AF458" i="7"/>
  <c r="AF459" i="7"/>
  <c r="AF460" i="7"/>
  <c r="AF461" i="7"/>
  <c r="AF462" i="7"/>
  <c r="AF463" i="7"/>
  <c r="AF464" i="7"/>
  <c r="AF465" i="7"/>
  <c r="AF466" i="7"/>
  <c r="AF467" i="7"/>
  <c r="AF468" i="7"/>
  <c r="AF469" i="7"/>
  <c r="AF470" i="7"/>
  <c r="AF471" i="7"/>
  <c r="AF472" i="7"/>
  <c r="AF473" i="7"/>
  <c r="AF474" i="7"/>
  <c r="AF475" i="7"/>
  <c r="AF476" i="7"/>
  <c r="AF477" i="7"/>
  <c r="AF478" i="7"/>
  <c r="AF479" i="7"/>
  <c r="AF480" i="7"/>
  <c r="AF481" i="7"/>
  <c r="AF482" i="7"/>
  <c r="AF483" i="7"/>
  <c r="AF484" i="7"/>
  <c r="AF485" i="7"/>
  <c r="AF486" i="7"/>
  <c r="AF487" i="7"/>
  <c r="AF488" i="7"/>
  <c r="AF489" i="7"/>
  <c r="AF490" i="7"/>
  <c r="AF491" i="7"/>
  <c r="AF492" i="7"/>
  <c r="AF493" i="7"/>
  <c r="AF494" i="7"/>
  <c r="AF495" i="7"/>
  <c r="AF496" i="7"/>
  <c r="AF497" i="7"/>
  <c r="AF498" i="7"/>
  <c r="AF499" i="7"/>
  <c r="AF500" i="7"/>
  <c r="AF501" i="7"/>
  <c r="AF502" i="7"/>
  <c r="AF503" i="7"/>
  <c r="AF504" i="7"/>
  <c r="AF505" i="7"/>
  <c r="AF506" i="7"/>
  <c r="AF507" i="7"/>
  <c r="AF508" i="7"/>
  <c r="AF509" i="7"/>
  <c r="AF510" i="7"/>
  <c r="AF511" i="7"/>
  <c r="AF512" i="7"/>
  <c r="AF513" i="7"/>
  <c r="AF514" i="7"/>
  <c r="AF515" i="7"/>
  <c r="AF516" i="7"/>
  <c r="AF517" i="7"/>
  <c r="AF518" i="7"/>
  <c r="AF519" i="7"/>
  <c r="AF520" i="7"/>
  <c r="AD1936" i="18" l="1"/>
  <c r="W1935" i="18"/>
  <c r="W1934" i="18"/>
  <c r="W1933" i="18"/>
  <c r="W1932" i="18"/>
  <c r="W1931" i="18"/>
  <c r="W1930" i="18"/>
  <c r="AD1929" i="18"/>
  <c r="AD1928" i="18"/>
  <c r="W1928" i="18"/>
  <c r="AD1927" i="18"/>
  <c r="AD1926" i="18"/>
  <c r="AD1925" i="18"/>
  <c r="AD1924" i="18"/>
  <c r="W1924" i="18"/>
  <c r="AD1923" i="18"/>
  <c r="W1923" i="18"/>
  <c r="AD1922" i="18"/>
  <c r="AD2029" i="18"/>
  <c r="W2028" i="18"/>
  <c r="W2027" i="18"/>
  <c r="W2026" i="18"/>
  <c r="W2025" i="18"/>
  <c r="W2024" i="18"/>
  <c r="W2023" i="18"/>
  <c r="AD2022" i="18"/>
  <c r="AD2021" i="18"/>
  <c r="W2021" i="18"/>
  <c r="AD2020" i="18"/>
  <c r="AD2019" i="18"/>
  <c r="AD2018" i="18"/>
  <c r="AD2017" i="18"/>
  <c r="W2017" i="18"/>
  <c r="AD2016" i="18"/>
  <c r="W2016" i="18"/>
  <c r="AD2015" i="18"/>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T122" i="11"/>
  <c r="T123" i="11"/>
  <c r="T124" i="11"/>
  <c r="T125" i="11"/>
  <c r="T126" i="11"/>
  <c r="T127" i="11"/>
  <c r="T128" i="11"/>
  <c r="T129" i="11"/>
  <c r="T130" i="11"/>
  <c r="T131" i="11"/>
  <c r="T132" i="11"/>
  <c r="T133" i="11"/>
  <c r="T134" i="11"/>
  <c r="T135" i="11"/>
  <c r="T136" i="11"/>
  <c r="T137" i="11"/>
  <c r="T138" i="11"/>
  <c r="T139" i="11"/>
  <c r="T140" i="11"/>
  <c r="T141" i="11"/>
  <c r="T142" i="11"/>
  <c r="T143" i="11"/>
  <c r="T144" i="11"/>
  <c r="T145" i="11"/>
  <c r="T146" i="11"/>
  <c r="T147" i="11"/>
  <c r="T148" i="11"/>
  <c r="T149" i="11"/>
  <c r="T150" i="11"/>
  <c r="T151" i="11"/>
  <c r="T152" i="11"/>
  <c r="T153" i="11"/>
  <c r="T154" i="11"/>
  <c r="T155" i="11"/>
  <c r="T156" i="11"/>
  <c r="T157" i="11"/>
  <c r="T158" i="11"/>
  <c r="T159" i="11"/>
  <c r="T160" i="11"/>
  <c r="T161" i="11"/>
  <c r="T162" i="11"/>
  <c r="T163" i="11"/>
  <c r="T164" i="11"/>
  <c r="T165" i="11"/>
  <c r="T166" i="11"/>
  <c r="T167" i="11"/>
  <c r="T168" i="11"/>
  <c r="T169" i="11"/>
  <c r="T170" i="11"/>
  <c r="T171" i="11"/>
  <c r="T172" i="11"/>
  <c r="T173" i="11"/>
  <c r="T174" i="11"/>
  <c r="T175" i="11"/>
  <c r="T176" i="11"/>
  <c r="T177" i="11"/>
  <c r="T178" i="11"/>
  <c r="T179" i="11"/>
  <c r="T180" i="11"/>
  <c r="T181" i="11"/>
  <c r="T182" i="11"/>
  <c r="T183" i="11"/>
  <c r="T184" i="11"/>
  <c r="T185" i="11"/>
  <c r="T186" i="11"/>
  <c r="T187" i="11"/>
  <c r="T188" i="11"/>
  <c r="T189" i="11"/>
  <c r="T190" i="11"/>
  <c r="T191" i="11"/>
  <c r="T192" i="11"/>
  <c r="T193" i="11"/>
  <c r="T194" i="11"/>
  <c r="T195" i="11"/>
  <c r="T196" i="11"/>
  <c r="T197" i="11"/>
  <c r="T198" i="11"/>
  <c r="T199" i="11"/>
  <c r="T200" i="11"/>
  <c r="T201" i="11"/>
  <c r="T202" i="11"/>
  <c r="T203" i="11"/>
  <c r="T204" i="11"/>
  <c r="T205" i="11"/>
  <c r="T206" i="11"/>
  <c r="T207" i="11"/>
  <c r="T208" i="11"/>
  <c r="T209" i="11"/>
  <c r="T210" i="11"/>
  <c r="T211" i="11"/>
  <c r="T212" i="11"/>
  <c r="T213" i="11"/>
  <c r="T214" i="11"/>
  <c r="T215" i="11"/>
  <c r="T216" i="11"/>
  <c r="T217" i="11"/>
  <c r="T218" i="11"/>
  <c r="T219" i="11"/>
  <c r="T220" i="11"/>
  <c r="T221" i="11"/>
  <c r="T222" i="11"/>
  <c r="T223" i="11"/>
  <c r="T224" i="11"/>
  <c r="T225" i="11"/>
  <c r="T226" i="11"/>
  <c r="T227" i="11"/>
  <c r="T228" i="11"/>
  <c r="T229" i="11"/>
  <c r="T230" i="11"/>
  <c r="T231" i="11"/>
  <c r="T232" i="11"/>
  <c r="T233" i="11"/>
  <c r="T234" i="11"/>
  <c r="T235" i="11"/>
  <c r="T236" i="11"/>
  <c r="T237" i="11"/>
  <c r="T238" i="11"/>
  <c r="T239" i="11"/>
  <c r="T240" i="11"/>
  <c r="T241" i="11"/>
  <c r="T242" i="11"/>
  <c r="T243" i="11"/>
  <c r="T244" i="11"/>
  <c r="T245" i="11"/>
  <c r="T246" i="11"/>
  <c r="T247" i="11"/>
  <c r="T248" i="11"/>
  <c r="T249" i="11"/>
  <c r="T250" i="11"/>
  <c r="T251" i="11"/>
  <c r="T252" i="11"/>
  <c r="T253" i="11"/>
  <c r="T254" i="11"/>
  <c r="T255" i="11"/>
  <c r="T256" i="11"/>
  <c r="T257" i="11"/>
  <c r="T258" i="11"/>
  <c r="T259" i="11"/>
  <c r="T260" i="11"/>
  <c r="T261" i="11"/>
  <c r="T262" i="11"/>
  <c r="T263" i="11"/>
  <c r="T264" i="11"/>
  <c r="T265" i="11"/>
  <c r="T266" i="11"/>
  <c r="T267" i="11"/>
  <c r="T268" i="11"/>
  <c r="T269" i="11"/>
  <c r="T270" i="11"/>
  <c r="T271" i="11"/>
  <c r="T272" i="11"/>
  <c r="T273" i="11"/>
  <c r="T274" i="11"/>
  <c r="T275" i="11"/>
  <c r="T276" i="11"/>
  <c r="T277" i="11"/>
  <c r="T278" i="11"/>
  <c r="T279" i="11"/>
  <c r="T280" i="11"/>
  <c r="T281" i="11"/>
  <c r="T282" i="11"/>
  <c r="T283" i="11"/>
  <c r="T284" i="11"/>
  <c r="T285" i="11"/>
  <c r="T286" i="11"/>
  <c r="T287" i="11"/>
  <c r="T288" i="11"/>
  <c r="T289" i="11"/>
  <c r="T290" i="11"/>
  <c r="T291" i="11"/>
  <c r="T292" i="11"/>
  <c r="T293" i="11"/>
  <c r="T294" i="11"/>
  <c r="T295" i="11"/>
  <c r="T296" i="11"/>
  <c r="T297" i="11"/>
  <c r="T298" i="11"/>
  <c r="T299" i="11"/>
  <c r="T300" i="11"/>
  <c r="T301" i="11"/>
  <c r="T302" i="11"/>
  <c r="T303" i="11"/>
  <c r="T304" i="11"/>
  <c r="T305" i="11"/>
  <c r="T306" i="11"/>
  <c r="T307" i="11"/>
  <c r="T308" i="11"/>
  <c r="T309" i="11"/>
  <c r="T310" i="11"/>
  <c r="T311" i="11"/>
  <c r="T312" i="11"/>
  <c r="T313" i="11"/>
  <c r="T314" i="11"/>
  <c r="T315" i="11"/>
  <c r="T316" i="11"/>
  <c r="T317" i="11"/>
  <c r="T318" i="11"/>
  <c r="T319" i="11"/>
  <c r="T320" i="11"/>
  <c r="T321" i="11"/>
  <c r="T322" i="11"/>
  <c r="T323" i="11"/>
  <c r="T324" i="11"/>
  <c r="T325" i="11"/>
  <c r="T326" i="11"/>
  <c r="T327" i="11"/>
  <c r="T328" i="11"/>
  <c r="T329" i="11"/>
  <c r="T330" i="11"/>
  <c r="T331" i="11"/>
  <c r="T332" i="11"/>
  <c r="T333" i="11"/>
  <c r="T334" i="11"/>
  <c r="T335" i="11"/>
  <c r="T336" i="11"/>
  <c r="T337" i="11"/>
  <c r="T338" i="11"/>
  <c r="T339" i="11"/>
  <c r="T340" i="11"/>
  <c r="T341" i="11"/>
  <c r="T342" i="11"/>
  <c r="T343" i="11"/>
  <c r="T344" i="11"/>
  <c r="T345" i="11"/>
  <c r="T346" i="11"/>
  <c r="T347" i="11"/>
  <c r="T348" i="11"/>
  <c r="T349" i="11"/>
  <c r="T350" i="11"/>
  <c r="T351" i="11"/>
  <c r="T352" i="11"/>
  <c r="T353" i="11"/>
  <c r="T354" i="11"/>
  <c r="T355" i="11"/>
  <c r="T356" i="11"/>
  <c r="T357" i="11"/>
  <c r="T358" i="11"/>
  <c r="T359" i="11"/>
  <c r="T360" i="11"/>
  <c r="T361" i="11"/>
  <c r="T362" i="11"/>
  <c r="T363" i="11"/>
  <c r="T364" i="11"/>
  <c r="T365" i="11"/>
  <c r="T366" i="11"/>
  <c r="T367" i="11"/>
  <c r="T368" i="11"/>
  <c r="T369" i="11"/>
  <c r="T370" i="11"/>
  <c r="T371" i="11"/>
  <c r="T372" i="11"/>
  <c r="T373" i="11"/>
  <c r="T374" i="11"/>
  <c r="T375" i="11"/>
  <c r="T376" i="11"/>
  <c r="T377" i="11"/>
  <c r="T378" i="11"/>
  <c r="T379" i="11"/>
  <c r="T380" i="11"/>
  <c r="T381" i="11"/>
  <c r="T382" i="11"/>
  <c r="T383" i="11"/>
  <c r="T384" i="11"/>
  <c r="T385" i="11"/>
  <c r="T386" i="11"/>
  <c r="T387" i="11"/>
  <c r="T388" i="11"/>
  <c r="T389" i="11"/>
  <c r="T390" i="11"/>
  <c r="T391" i="11"/>
  <c r="T392" i="11"/>
  <c r="T393" i="11"/>
  <c r="T394" i="11"/>
  <c r="T395" i="11"/>
  <c r="T396" i="11"/>
  <c r="T397" i="11"/>
  <c r="T398" i="11"/>
  <c r="T399" i="11"/>
  <c r="T400" i="11"/>
  <c r="T401" i="11"/>
  <c r="T402" i="11"/>
  <c r="T403" i="11"/>
  <c r="T404" i="11"/>
  <c r="T405" i="11"/>
  <c r="T406" i="11"/>
  <c r="T407" i="11"/>
  <c r="T408" i="11"/>
  <c r="T409" i="11"/>
  <c r="T410" i="11"/>
  <c r="T411" i="11"/>
  <c r="T412" i="11"/>
  <c r="T413" i="11"/>
  <c r="T414" i="11"/>
  <c r="T415" i="11"/>
  <c r="T416" i="11"/>
  <c r="T417" i="11"/>
  <c r="T418" i="11"/>
  <c r="T419" i="11"/>
  <c r="T420" i="11"/>
  <c r="T421" i="11"/>
  <c r="T422" i="11"/>
  <c r="T423" i="11"/>
  <c r="T424" i="11"/>
  <c r="T425" i="11"/>
  <c r="T426" i="11"/>
  <c r="T427" i="11"/>
  <c r="T428" i="11"/>
  <c r="T429" i="11"/>
  <c r="T430" i="11"/>
  <c r="T431" i="11"/>
  <c r="T432" i="11"/>
  <c r="T433" i="11"/>
  <c r="T434" i="11"/>
  <c r="T435" i="11"/>
  <c r="T436" i="11"/>
  <c r="T437" i="11"/>
  <c r="T438" i="11"/>
  <c r="T439" i="11"/>
  <c r="T440" i="11"/>
  <c r="T441" i="11"/>
  <c r="T442" i="11"/>
  <c r="T443" i="11"/>
  <c r="T444" i="11"/>
  <c r="T445" i="11"/>
  <c r="T446" i="11"/>
  <c r="T447" i="11"/>
  <c r="T448" i="11"/>
  <c r="T449" i="11"/>
  <c r="T450" i="11"/>
  <c r="T451" i="11"/>
  <c r="T452" i="11"/>
  <c r="T453" i="11"/>
  <c r="T454" i="11"/>
  <c r="T455" i="11"/>
  <c r="T456" i="11"/>
  <c r="T457" i="11"/>
  <c r="T458" i="11"/>
  <c r="T459" i="11"/>
  <c r="T460" i="11"/>
  <c r="T461" i="11"/>
  <c r="T462" i="11"/>
  <c r="T463" i="11"/>
  <c r="T464" i="11"/>
  <c r="T465" i="11"/>
  <c r="T466" i="11"/>
  <c r="T467" i="11"/>
  <c r="T468" i="11"/>
  <c r="T469" i="11"/>
  <c r="T470" i="11"/>
  <c r="T471" i="11"/>
  <c r="T472" i="11"/>
  <c r="T473" i="11"/>
  <c r="T474" i="11"/>
  <c r="T475" i="11"/>
  <c r="T476" i="11"/>
  <c r="T477" i="11"/>
  <c r="T478" i="11"/>
  <c r="T479" i="11"/>
  <c r="T480" i="11"/>
  <c r="T481" i="11"/>
  <c r="T482" i="11"/>
  <c r="T483" i="11"/>
  <c r="T484" i="11"/>
  <c r="T485" i="11"/>
  <c r="T486" i="11"/>
  <c r="T487" i="11"/>
  <c r="T488" i="11"/>
  <c r="T489" i="11"/>
  <c r="T490" i="11"/>
  <c r="T491" i="11"/>
  <c r="T492" i="11"/>
  <c r="T493" i="11"/>
  <c r="T494" i="11"/>
  <c r="T495" i="11"/>
  <c r="T496" i="11"/>
  <c r="T497" i="11"/>
  <c r="T498" i="11"/>
  <c r="T499" i="11"/>
  <c r="T500" i="11"/>
  <c r="T501" i="11"/>
  <c r="T502" i="11"/>
  <c r="T503" i="11"/>
  <c r="T504" i="11"/>
  <c r="T505" i="11"/>
  <c r="T506" i="11"/>
  <c r="T507" i="11"/>
  <c r="T508" i="11"/>
  <c r="T509" i="11"/>
  <c r="T510" i="11"/>
  <c r="T511" i="11"/>
  <c r="T512" i="11"/>
  <c r="T513" i="11"/>
  <c r="T514" i="11"/>
  <c r="T515" i="11"/>
  <c r="T516" i="11"/>
  <c r="T517" i="11"/>
  <c r="T518" i="11"/>
  <c r="T519" i="11"/>
  <c r="T520" i="11"/>
  <c r="T521" i="11"/>
  <c r="T522" i="11"/>
  <c r="T523" i="11"/>
  <c r="T524" i="11"/>
  <c r="T525" i="11"/>
  <c r="T526" i="11"/>
  <c r="T527" i="11"/>
  <c r="T528" i="11"/>
  <c r="T529" i="11"/>
  <c r="T530" i="11"/>
  <c r="T531" i="11"/>
  <c r="T532" i="11"/>
  <c r="T533" i="11"/>
  <c r="T534" i="11"/>
  <c r="T535" i="11"/>
  <c r="T536" i="11"/>
  <c r="T537" i="11"/>
  <c r="T538" i="11"/>
  <c r="T539" i="11"/>
  <c r="T540" i="11"/>
  <c r="T541" i="11"/>
  <c r="T542" i="11"/>
  <c r="T543" i="11"/>
  <c r="T544" i="11"/>
  <c r="T545" i="11"/>
  <c r="T546" i="11"/>
  <c r="T547" i="11"/>
  <c r="T548" i="11"/>
  <c r="T549" i="11"/>
  <c r="T550" i="11"/>
  <c r="T551" i="11"/>
  <c r="T552" i="11"/>
  <c r="T553" i="11"/>
  <c r="T554" i="11"/>
  <c r="T555" i="11"/>
  <c r="T556" i="11"/>
  <c r="T557" i="11"/>
  <c r="T558" i="11"/>
  <c r="T559" i="11"/>
  <c r="T560" i="11"/>
  <c r="T561" i="11"/>
  <c r="T562" i="11"/>
  <c r="T563" i="11"/>
  <c r="T564" i="11"/>
  <c r="T565" i="11"/>
  <c r="T566" i="11"/>
  <c r="T567" i="11"/>
  <c r="T568" i="11"/>
  <c r="T569" i="11"/>
  <c r="T570" i="11"/>
  <c r="T571" i="11"/>
  <c r="T572" i="11"/>
  <c r="T573" i="11"/>
  <c r="T574" i="11"/>
  <c r="T575" i="11"/>
  <c r="T576" i="11"/>
  <c r="T577" i="11"/>
  <c r="T578" i="11"/>
  <c r="T579" i="11"/>
  <c r="T580" i="11"/>
  <c r="T581" i="11"/>
  <c r="T582" i="11"/>
  <c r="T583" i="11"/>
  <c r="T584" i="11"/>
  <c r="T585" i="11"/>
  <c r="T586" i="11"/>
  <c r="T587" i="11"/>
  <c r="T588" i="11"/>
  <c r="T589" i="11"/>
  <c r="T590" i="11"/>
  <c r="T591" i="11"/>
  <c r="T592" i="11"/>
  <c r="T593" i="11"/>
  <c r="T594" i="11"/>
  <c r="T595" i="11"/>
  <c r="T596" i="11"/>
  <c r="T597" i="11"/>
  <c r="T598" i="11"/>
  <c r="T599" i="11"/>
  <c r="T600" i="11"/>
  <c r="T601" i="11"/>
  <c r="T602" i="11"/>
  <c r="T603" i="11"/>
  <c r="T604" i="11"/>
  <c r="T605" i="11"/>
  <c r="T606" i="11"/>
  <c r="T607" i="11"/>
  <c r="T608" i="11"/>
  <c r="T609" i="11"/>
  <c r="T610" i="11"/>
  <c r="T611" i="11"/>
  <c r="T612" i="11"/>
  <c r="T613" i="11"/>
  <c r="T614" i="11"/>
  <c r="T615" i="11"/>
  <c r="T616" i="11"/>
  <c r="T617" i="11"/>
  <c r="T618" i="11"/>
  <c r="T619" i="11"/>
  <c r="T620" i="11"/>
  <c r="T621" i="11"/>
  <c r="T622" i="11"/>
  <c r="T623" i="11"/>
  <c r="T624" i="11"/>
  <c r="T625" i="11"/>
  <c r="T626" i="11"/>
  <c r="T627" i="11"/>
  <c r="T628" i="11"/>
  <c r="T629" i="11"/>
  <c r="T630" i="11"/>
  <c r="T631" i="11"/>
  <c r="T632" i="11"/>
  <c r="T633" i="11"/>
  <c r="T634" i="11"/>
  <c r="T635" i="11"/>
  <c r="T636" i="11"/>
  <c r="T637" i="11"/>
  <c r="T638" i="11"/>
  <c r="T639" i="11"/>
  <c r="T640" i="11"/>
  <c r="T641" i="11"/>
  <c r="T642" i="11"/>
  <c r="T643" i="11"/>
  <c r="T644" i="11"/>
  <c r="T645" i="11"/>
  <c r="T646" i="11"/>
  <c r="T647" i="11"/>
  <c r="T648" i="11"/>
  <c r="T649" i="11"/>
  <c r="T650" i="11"/>
  <c r="T651" i="11"/>
  <c r="T652" i="11"/>
  <c r="T653" i="11"/>
  <c r="T654" i="11"/>
  <c r="T655" i="11"/>
  <c r="T656" i="11"/>
  <c r="T657" i="11"/>
  <c r="T658" i="11"/>
  <c r="T659" i="11"/>
  <c r="T660" i="11"/>
  <c r="T661" i="11"/>
  <c r="T662" i="11"/>
  <c r="T663" i="11"/>
  <c r="T664" i="11"/>
  <c r="T665" i="11"/>
  <c r="T666" i="11"/>
  <c r="T667" i="11"/>
  <c r="T668" i="11"/>
  <c r="T669" i="11"/>
  <c r="T670" i="11"/>
  <c r="T671" i="11"/>
  <c r="T672" i="11"/>
  <c r="T673" i="11"/>
  <c r="T674" i="11"/>
  <c r="T675" i="11"/>
  <c r="T676" i="11"/>
  <c r="T677" i="11"/>
  <c r="T678" i="11"/>
  <c r="T679" i="11"/>
  <c r="T680" i="11"/>
  <c r="T681" i="11"/>
  <c r="T682" i="11"/>
  <c r="T683" i="11"/>
  <c r="T684" i="11"/>
  <c r="T685" i="11"/>
  <c r="T686" i="11"/>
  <c r="T687" i="11"/>
  <c r="T688" i="11"/>
  <c r="T689" i="11"/>
  <c r="T690" i="11"/>
  <c r="T691" i="11"/>
  <c r="T692" i="11"/>
  <c r="T693" i="11"/>
  <c r="T694" i="11"/>
  <c r="T695" i="11"/>
  <c r="T696" i="11"/>
  <c r="T697" i="11"/>
  <c r="T698" i="11"/>
  <c r="T699" i="11"/>
  <c r="T700" i="11"/>
  <c r="T701" i="11"/>
  <c r="T702" i="11"/>
  <c r="T703" i="11"/>
  <c r="T704" i="11"/>
  <c r="T705" i="11"/>
  <c r="T706" i="11"/>
  <c r="T707" i="11"/>
  <c r="T708" i="11"/>
  <c r="T709" i="11"/>
  <c r="T710" i="11"/>
  <c r="T711" i="11"/>
  <c r="T712" i="11"/>
  <c r="T713" i="11"/>
  <c r="T714" i="11"/>
  <c r="T715" i="11"/>
  <c r="T716" i="11"/>
  <c r="T717" i="11"/>
  <c r="T718" i="11"/>
  <c r="T719" i="11"/>
  <c r="T720" i="11"/>
  <c r="T721" i="11"/>
  <c r="T722" i="11"/>
  <c r="T723" i="11"/>
  <c r="T724" i="11"/>
  <c r="T725" i="11"/>
  <c r="T726" i="11"/>
  <c r="T727" i="11"/>
  <c r="T728" i="11"/>
  <c r="T729" i="11"/>
  <c r="T730" i="11"/>
  <c r="T731" i="11"/>
  <c r="T732" i="11"/>
  <c r="T733" i="11"/>
  <c r="T734" i="11"/>
  <c r="T735" i="11"/>
  <c r="T736" i="11"/>
  <c r="T737" i="11"/>
  <c r="T738" i="11"/>
  <c r="T739" i="11"/>
  <c r="T740" i="11"/>
  <c r="T741" i="11"/>
  <c r="T742" i="11"/>
  <c r="T743" i="11"/>
  <c r="T744" i="11"/>
  <c r="T745" i="11"/>
  <c r="T746" i="11"/>
  <c r="T747" i="11"/>
  <c r="T748" i="11"/>
  <c r="T749" i="11"/>
  <c r="T750" i="11"/>
  <c r="T751" i="11"/>
  <c r="T752" i="11"/>
  <c r="T753" i="11"/>
  <c r="T754" i="11"/>
  <c r="T755" i="11"/>
  <c r="T756" i="11"/>
  <c r="T757" i="11"/>
  <c r="T758" i="11"/>
  <c r="T759" i="11"/>
  <c r="T760" i="11"/>
  <c r="T761" i="11"/>
  <c r="T762" i="11"/>
  <c r="T763" i="11"/>
  <c r="T764" i="11"/>
  <c r="T765" i="11"/>
  <c r="T766" i="11"/>
  <c r="T767" i="11"/>
  <c r="T768" i="11"/>
  <c r="T769" i="11"/>
  <c r="T770" i="11"/>
  <c r="T771" i="11"/>
  <c r="T772" i="11"/>
  <c r="T773" i="11"/>
  <c r="T774" i="11"/>
  <c r="T775" i="11"/>
  <c r="T776" i="11"/>
  <c r="T777" i="11"/>
  <c r="T778" i="11"/>
  <c r="T779" i="11"/>
  <c r="T780" i="11"/>
  <c r="T781" i="11"/>
  <c r="T782" i="11"/>
  <c r="T783" i="11"/>
  <c r="T784" i="11"/>
  <c r="T785" i="11"/>
  <c r="T786" i="11"/>
  <c r="T787" i="11"/>
  <c r="T788" i="11"/>
  <c r="T789" i="11"/>
  <c r="T790" i="11"/>
  <c r="T791" i="11"/>
  <c r="T792" i="11"/>
  <c r="T793" i="11"/>
  <c r="T794" i="11"/>
  <c r="T795" i="11"/>
  <c r="T796" i="11"/>
  <c r="T797" i="11"/>
  <c r="T798" i="11"/>
  <c r="T799" i="11"/>
  <c r="T800" i="11"/>
  <c r="T801" i="11"/>
  <c r="T802" i="11"/>
  <c r="T803" i="11"/>
  <c r="T804" i="11"/>
  <c r="T805" i="11"/>
  <c r="T806" i="11"/>
  <c r="T807" i="11"/>
  <c r="T808" i="11"/>
  <c r="T809" i="11"/>
  <c r="T810" i="11"/>
  <c r="T811" i="11"/>
  <c r="T812" i="11"/>
  <c r="T813" i="11"/>
  <c r="T814" i="11"/>
  <c r="T815" i="11"/>
  <c r="T816" i="11"/>
  <c r="T817" i="11"/>
  <c r="T818" i="11"/>
  <c r="T819" i="11"/>
  <c r="T820" i="11"/>
  <c r="T821" i="11"/>
  <c r="T822" i="11"/>
  <c r="T823" i="11"/>
  <c r="T824" i="11"/>
  <c r="T825" i="11"/>
  <c r="T826" i="11"/>
  <c r="T827" i="11"/>
  <c r="T828" i="11"/>
  <c r="T829" i="11"/>
  <c r="T830" i="11"/>
  <c r="T831" i="11"/>
  <c r="T832" i="11"/>
  <c r="T833" i="11"/>
  <c r="T834" i="11"/>
  <c r="T835" i="11"/>
  <c r="T836" i="11"/>
  <c r="T837" i="11"/>
  <c r="T838" i="11"/>
  <c r="T839" i="11"/>
  <c r="T840" i="11"/>
  <c r="T841" i="11"/>
  <c r="T842" i="11"/>
  <c r="T843" i="11"/>
  <c r="T844" i="11"/>
  <c r="T845" i="11"/>
  <c r="T846" i="11"/>
  <c r="T847" i="11"/>
  <c r="T848" i="11"/>
  <c r="T849" i="11"/>
  <c r="T850" i="11"/>
  <c r="T851" i="11"/>
  <c r="T852" i="11"/>
  <c r="T853" i="11"/>
  <c r="T854" i="11"/>
  <c r="T855" i="11"/>
  <c r="T856" i="11"/>
  <c r="T857" i="11"/>
  <c r="T858" i="11"/>
  <c r="T859" i="11"/>
  <c r="T860" i="11"/>
  <c r="T861" i="11"/>
  <c r="T862" i="11"/>
  <c r="T863" i="11"/>
  <c r="T864" i="11"/>
  <c r="T865" i="11"/>
  <c r="T866" i="11"/>
  <c r="T867" i="11"/>
  <c r="T868" i="11"/>
  <c r="T869" i="11"/>
  <c r="T870" i="11"/>
  <c r="T871" i="11"/>
  <c r="T872" i="11"/>
  <c r="T873" i="11"/>
  <c r="T874" i="11"/>
  <c r="T875" i="11"/>
  <c r="T876" i="11"/>
  <c r="T877" i="11"/>
  <c r="T878" i="11"/>
  <c r="T879" i="11"/>
  <c r="T880" i="11"/>
  <c r="T881" i="11"/>
  <c r="T882" i="11"/>
  <c r="T883" i="11"/>
  <c r="T884" i="11"/>
  <c r="T885" i="11"/>
  <c r="T886" i="11"/>
  <c r="T887" i="11"/>
  <c r="T888" i="11"/>
  <c r="T889" i="11"/>
  <c r="T890" i="11"/>
  <c r="T891" i="11"/>
  <c r="T892" i="11"/>
  <c r="T893" i="11"/>
  <c r="T894" i="11"/>
  <c r="T895" i="11"/>
  <c r="T896" i="11"/>
  <c r="T897" i="11"/>
  <c r="T898" i="11"/>
  <c r="T899" i="11"/>
  <c r="T900" i="11"/>
  <c r="T901" i="11"/>
  <c r="T902" i="11"/>
  <c r="T903" i="11"/>
  <c r="T904" i="11"/>
  <c r="T905" i="11"/>
  <c r="T906" i="11"/>
  <c r="T907" i="11"/>
  <c r="T908" i="11"/>
  <c r="T909" i="11"/>
  <c r="T910" i="11"/>
  <c r="T911" i="11"/>
  <c r="T912" i="11"/>
  <c r="T913" i="11"/>
  <c r="T914" i="11"/>
  <c r="T915" i="11"/>
  <c r="T916" i="11"/>
  <c r="T917" i="11"/>
  <c r="T918" i="11"/>
  <c r="T919" i="11"/>
  <c r="T920" i="11"/>
  <c r="T921" i="11"/>
  <c r="T922" i="11"/>
  <c r="T923" i="11"/>
  <c r="T924" i="11"/>
  <c r="T925" i="11"/>
  <c r="T926" i="11"/>
  <c r="T927" i="11"/>
  <c r="T928" i="11"/>
  <c r="T929" i="11"/>
  <c r="T930" i="11"/>
  <c r="T931" i="11"/>
  <c r="T932" i="11"/>
  <c r="T933" i="11"/>
  <c r="T934" i="11"/>
  <c r="T935" i="11"/>
  <c r="T936" i="11"/>
  <c r="T937" i="11"/>
  <c r="T938" i="11"/>
  <c r="T939" i="11"/>
  <c r="T940" i="11"/>
  <c r="T941" i="11"/>
  <c r="T942" i="11"/>
  <c r="T943" i="11"/>
  <c r="T944" i="11"/>
  <c r="T945" i="11"/>
  <c r="T946" i="11"/>
  <c r="T947" i="11"/>
  <c r="T948" i="11"/>
  <c r="T949" i="11"/>
  <c r="T950" i="11"/>
  <c r="T951" i="11"/>
  <c r="T952" i="11"/>
  <c r="T953" i="11"/>
  <c r="T954" i="11"/>
  <c r="T955" i="11"/>
  <c r="T956" i="11"/>
  <c r="T957" i="11"/>
  <c r="T958" i="11"/>
  <c r="T959" i="11"/>
  <c r="T960" i="11"/>
  <c r="T961" i="11"/>
  <c r="T962" i="11"/>
  <c r="T963" i="11"/>
  <c r="T964" i="11"/>
  <c r="T965" i="11"/>
  <c r="T966" i="11"/>
  <c r="T967" i="11"/>
  <c r="T968" i="11"/>
  <c r="T969" i="11"/>
  <c r="T970" i="11"/>
  <c r="T971" i="11"/>
  <c r="T972" i="11"/>
  <c r="T973" i="11"/>
  <c r="T974" i="11"/>
  <c r="T975" i="11"/>
  <c r="T976" i="11"/>
  <c r="T977" i="11"/>
  <c r="T978" i="11"/>
  <c r="T979" i="11"/>
  <c r="T980" i="11"/>
  <c r="T981" i="11"/>
  <c r="T982" i="11"/>
  <c r="T983" i="11"/>
  <c r="T984" i="11"/>
  <c r="T985" i="11"/>
  <c r="T986" i="11"/>
  <c r="T987" i="11"/>
  <c r="T988" i="11"/>
  <c r="T989" i="11"/>
  <c r="T990" i="11"/>
  <c r="T991" i="11"/>
  <c r="T992" i="11"/>
  <c r="T993" i="11"/>
  <c r="T994" i="11"/>
  <c r="T995" i="11"/>
  <c r="T996" i="11"/>
  <c r="T997" i="11"/>
  <c r="T998" i="11"/>
  <c r="T999" i="11"/>
  <c r="T1000" i="11"/>
  <c r="T1001" i="11"/>
  <c r="T1002" i="11"/>
  <c r="T1003" i="11"/>
  <c r="T1004" i="11"/>
  <c r="T1005" i="11"/>
  <c r="T1006" i="11"/>
  <c r="T1007" i="11"/>
  <c r="T1008" i="11"/>
  <c r="T1009" i="11"/>
  <c r="T1010" i="11"/>
  <c r="T1011" i="11"/>
  <c r="T1012" i="11"/>
  <c r="T1013" i="11"/>
  <c r="T1014" i="11"/>
  <c r="T1015" i="11"/>
  <c r="T1016" i="11"/>
  <c r="T1017" i="11"/>
  <c r="T1018" i="11"/>
  <c r="T1019" i="11"/>
  <c r="T1020" i="11"/>
  <c r="T1021" i="11"/>
  <c r="T1022" i="11"/>
  <c r="T1023" i="11"/>
  <c r="T1024" i="11"/>
  <c r="T1025" i="11"/>
  <c r="T1026" i="11"/>
  <c r="T1027" i="11"/>
  <c r="T1028" i="11"/>
  <c r="T1029" i="11"/>
  <c r="T1030" i="11"/>
  <c r="T1031" i="11"/>
  <c r="T1032" i="11"/>
  <c r="T1033" i="11"/>
  <c r="T1034" i="11"/>
  <c r="T1035" i="11"/>
  <c r="T1036" i="11"/>
  <c r="T1037" i="11"/>
  <c r="T1038" i="11"/>
  <c r="T1039" i="11"/>
  <c r="T1040" i="11"/>
  <c r="T1041" i="11"/>
  <c r="T1042" i="11"/>
  <c r="T1043" i="11"/>
  <c r="T1044" i="11"/>
  <c r="T1045" i="11"/>
  <c r="T1046" i="11"/>
  <c r="T1047" i="11"/>
  <c r="T1048" i="11"/>
  <c r="T1049" i="11"/>
  <c r="T1050" i="11"/>
  <c r="T1051" i="11"/>
  <c r="T1052" i="11"/>
  <c r="T1053" i="11"/>
  <c r="T1054" i="11"/>
  <c r="T1055" i="11"/>
  <c r="T1056" i="11"/>
  <c r="T1057" i="11"/>
  <c r="T1058" i="11"/>
  <c r="T1059" i="11"/>
  <c r="T1060" i="11"/>
  <c r="T1061" i="11"/>
  <c r="T1062" i="11"/>
  <c r="T1063" i="11"/>
  <c r="T1064" i="11"/>
  <c r="T1065" i="11"/>
  <c r="T1066" i="11"/>
  <c r="T1067" i="11"/>
  <c r="T1068" i="11"/>
  <c r="T1069" i="11"/>
  <c r="T1070" i="11"/>
  <c r="T1071" i="11"/>
  <c r="T1072" i="11"/>
  <c r="T1073" i="11"/>
  <c r="T1074" i="11"/>
  <c r="T1075" i="11"/>
  <c r="T1076" i="11"/>
  <c r="T1077" i="11"/>
  <c r="T1078" i="11"/>
  <c r="T1079" i="11"/>
  <c r="T1080" i="11"/>
  <c r="T1081" i="11"/>
  <c r="T1082" i="11"/>
  <c r="T1083" i="11"/>
  <c r="T1084" i="11"/>
  <c r="T1085" i="11"/>
  <c r="T1086" i="11"/>
  <c r="T1087" i="11"/>
  <c r="T1088" i="11"/>
  <c r="T1089" i="11"/>
  <c r="T1090" i="11"/>
  <c r="T1091" i="11"/>
  <c r="T1092" i="11"/>
  <c r="T1093" i="11"/>
  <c r="T1094" i="11"/>
  <c r="T1095" i="11"/>
  <c r="T1096" i="11"/>
  <c r="T1097" i="11"/>
  <c r="T1098" i="11"/>
  <c r="T1099" i="11"/>
  <c r="T1100" i="11"/>
  <c r="T1101" i="11"/>
  <c r="T1102" i="11"/>
  <c r="T1103" i="11"/>
  <c r="T1104" i="11"/>
  <c r="T1105" i="11"/>
  <c r="T1106" i="11"/>
  <c r="T1107" i="11"/>
  <c r="T1108" i="11"/>
  <c r="T1109" i="11"/>
  <c r="T1110" i="11"/>
  <c r="T1111" i="11"/>
  <c r="T1112" i="11"/>
  <c r="T1113" i="11"/>
  <c r="T1114" i="11"/>
  <c r="T1115" i="11"/>
  <c r="T1116" i="11"/>
  <c r="T1117" i="11"/>
  <c r="T1118" i="11"/>
  <c r="T1119" i="11"/>
  <c r="T1120" i="11"/>
  <c r="T1121" i="11"/>
  <c r="T1122" i="11"/>
  <c r="T1123" i="11"/>
  <c r="T1124" i="11"/>
  <c r="T1125" i="11"/>
  <c r="T1126" i="11"/>
  <c r="T1127" i="11"/>
  <c r="T1128" i="11"/>
  <c r="T1129" i="11"/>
  <c r="T1130" i="11"/>
  <c r="T1131" i="11"/>
  <c r="T1132" i="11"/>
  <c r="T1133" i="11"/>
  <c r="T1134" i="11"/>
  <c r="T1135" i="11"/>
  <c r="T1136" i="11"/>
  <c r="T1137" i="11"/>
  <c r="T1138" i="11"/>
  <c r="T1139" i="11"/>
  <c r="T1140" i="11"/>
  <c r="T1141" i="11"/>
  <c r="T1142" i="11"/>
  <c r="T1143" i="11"/>
  <c r="T1144" i="11"/>
  <c r="T1145" i="11"/>
  <c r="T1146" i="11"/>
  <c r="T1147" i="11"/>
  <c r="T1148" i="11"/>
  <c r="T1149" i="11"/>
  <c r="T1150" i="11"/>
  <c r="T1151" i="11"/>
  <c r="T1152" i="11"/>
  <c r="T1153" i="11"/>
  <c r="T1154" i="11"/>
  <c r="T1155" i="11"/>
  <c r="T1156" i="11"/>
  <c r="T1157" i="11"/>
  <c r="T1158" i="11"/>
  <c r="T1159" i="11"/>
  <c r="T1160" i="11"/>
  <c r="T1161" i="11"/>
  <c r="T1162" i="11"/>
  <c r="T1163" i="11"/>
  <c r="T1164" i="11"/>
  <c r="T1165" i="11"/>
  <c r="T1166" i="11"/>
  <c r="T1167" i="11"/>
  <c r="T1168" i="11"/>
  <c r="T1169" i="11"/>
  <c r="T1170" i="11"/>
  <c r="T1171" i="11"/>
  <c r="T1172" i="11"/>
  <c r="T1173" i="11"/>
  <c r="T1174" i="11"/>
  <c r="T1175" i="11"/>
  <c r="T1176" i="11"/>
  <c r="T1177" i="11"/>
  <c r="T1178" i="11"/>
  <c r="T1179" i="11"/>
  <c r="T1180" i="11"/>
  <c r="T1181" i="11"/>
  <c r="T1182" i="11"/>
  <c r="T1183" i="11"/>
  <c r="T1184" i="11"/>
  <c r="T1185" i="11"/>
  <c r="T1186" i="11"/>
  <c r="T1187" i="11"/>
  <c r="T1188" i="11"/>
  <c r="T1189" i="11"/>
  <c r="T1190" i="11"/>
  <c r="T1191" i="11"/>
  <c r="T1192" i="11"/>
  <c r="T1193" i="11"/>
  <c r="T1194" i="11"/>
  <c r="T1195" i="11"/>
  <c r="T1196" i="11"/>
  <c r="T1197" i="11"/>
  <c r="T1198" i="11"/>
  <c r="T1199" i="11"/>
  <c r="T1200" i="11"/>
  <c r="T1201" i="11"/>
  <c r="T1202" i="11"/>
  <c r="T1203" i="11"/>
  <c r="T1204" i="11"/>
  <c r="T1205" i="11"/>
  <c r="T1206" i="11"/>
  <c r="T1207" i="11"/>
  <c r="T1208" i="11"/>
  <c r="T1209" i="11"/>
  <c r="T1210" i="11"/>
  <c r="T1211" i="11"/>
  <c r="T1212" i="11"/>
  <c r="T1213" i="11"/>
  <c r="T1214" i="11"/>
  <c r="T1215" i="11"/>
  <c r="T1216" i="11"/>
  <c r="T1217" i="11"/>
  <c r="T1218" i="11"/>
  <c r="T1219" i="11"/>
  <c r="T1220" i="11"/>
  <c r="T1221" i="11"/>
  <c r="T1222" i="11"/>
  <c r="T1223" i="11"/>
  <c r="T1224" i="11"/>
  <c r="T1225" i="11"/>
  <c r="T1226" i="11"/>
  <c r="T1227" i="11"/>
  <c r="T1228" i="11"/>
  <c r="T1229" i="11"/>
  <c r="T1230" i="11"/>
  <c r="T1231" i="11"/>
  <c r="T1232" i="11"/>
  <c r="T1233" i="11"/>
  <c r="T1234" i="11"/>
  <c r="T1235" i="11"/>
  <c r="T1236" i="11"/>
  <c r="T1237" i="11"/>
  <c r="T1238" i="11"/>
  <c r="T1239" i="11"/>
  <c r="T1240" i="11"/>
  <c r="T1241" i="11"/>
  <c r="T1242" i="11"/>
  <c r="T1243" i="11"/>
  <c r="T1244" i="11"/>
  <c r="T1245" i="11"/>
  <c r="T1246" i="11"/>
  <c r="T1247" i="11"/>
  <c r="T1248" i="11"/>
  <c r="T1249" i="11"/>
  <c r="T1250" i="11"/>
  <c r="T1251" i="11"/>
  <c r="T1252" i="11"/>
  <c r="T1253" i="11"/>
  <c r="T1254" i="11"/>
  <c r="T1255" i="11"/>
  <c r="T1256" i="11"/>
  <c r="T1257" i="11"/>
  <c r="T1258" i="11"/>
  <c r="T1259" i="11"/>
  <c r="T1260" i="11"/>
  <c r="T1261" i="11"/>
  <c r="T1262" i="11"/>
  <c r="T1263" i="11"/>
  <c r="T1264" i="11"/>
  <c r="T1265" i="11"/>
  <c r="T1266" i="11"/>
  <c r="T1267" i="11"/>
  <c r="T1268" i="11"/>
  <c r="T1269" i="11"/>
  <c r="T1270" i="11"/>
  <c r="T1271" i="11"/>
  <c r="T1272" i="11"/>
  <c r="T1273" i="11"/>
  <c r="T1274" i="11"/>
  <c r="T1275" i="11"/>
  <c r="T1276" i="11"/>
  <c r="T1277" i="11"/>
  <c r="T1278" i="11"/>
  <c r="T1279" i="11"/>
  <c r="T1280" i="11"/>
  <c r="T1281" i="11"/>
  <c r="T1282" i="11"/>
  <c r="T1283" i="11"/>
  <c r="T1284" i="11"/>
  <c r="T1285" i="11"/>
  <c r="T1286" i="11"/>
  <c r="T1287" i="11"/>
  <c r="T1288" i="11"/>
  <c r="T1289" i="11"/>
  <c r="T1290" i="11"/>
  <c r="T1291" i="11"/>
  <c r="T1292" i="11"/>
  <c r="T1293" i="11"/>
  <c r="T1294" i="11"/>
  <c r="T1295" i="11"/>
  <c r="T1296" i="11"/>
  <c r="T1297" i="11"/>
  <c r="T1298" i="11"/>
  <c r="T1299" i="11"/>
  <c r="T1300" i="11"/>
  <c r="T1301" i="11"/>
  <c r="T1302" i="11"/>
  <c r="T1303" i="11"/>
  <c r="T1304" i="11"/>
  <c r="T1305" i="11"/>
  <c r="T1306" i="11"/>
  <c r="T1307" i="11"/>
  <c r="T1308" i="11"/>
  <c r="T1309" i="11"/>
  <c r="T1310" i="11"/>
  <c r="T1311" i="11"/>
  <c r="T1312" i="11"/>
  <c r="T1313" i="11"/>
  <c r="T1314" i="11"/>
  <c r="T1315" i="11"/>
  <c r="T1316" i="11"/>
  <c r="T1317" i="11"/>
  <c r="T1318" i="11"/>
  <c r="T1319" i="11"/>
  <c r="T1320" i="11"/>
  <c r="T1321" i="11"/>
  <c r="T1322" i="11"/>
  <c r="T1323" i="11"/>
  <c r="T1324" i="11"/>
  <c r="T1325" i="11"/>
  <c r="T1326" i="11"/>
  <c r="T1327" i="11"/>
  <c r="T1328" i="11"/>
  <c r="T1329" i="11"/>
  <c r="T1330" i="11"/>
  <c r="T1331" i="11"/>
  <c r="T1332" i="11"/>
  <c r="T1333" i="11"/>
  <c r="T1334" i="11"/>
  <c r="T1335" i="11"/>
  <c r="T1336" i="11"/>
  <c r="T1337" i="11"/>
  <c r="T1338" i="11"/>
  <c r="T1339" i="11"/>
  <c r="T1340" i="11"/>
  <c r="T1341" i="11"/>
  <c r="T1342" i="11"/>
  <c r="T1343" i="11"/>
  <c r="T1344" i="11"/>
  <c r="T1345" i="11"/>
  <c r="T1346" i="11"/>
  <c r="T1347" i="11"/>
  <c r="T1348" i="11"/>
  <c r="T1349" i="11"/>
  <c r="T1350" i="11"/>
  <c r="T1351" i="11"/>
  <c r="T1352" i="11"/>
  <c r="T1353" i="11"/>
  <c r="T1354" i="11"/>
  <c r="T1355" i="11"/>
  <c r="T1356" i="11"/>
  <c r="T1357" i="11"/>
  <c r="T1358" i="11"/>
  <c r="T1359" i="11"/>
  <c r="T1360" i="11"/>
  <c r="T1361" i="11"/>
  <c r="T1362" i="11"/>
  <c r="T1363" i="11"/>
  <c r="T1364" i="11"/>
  <c r="T1365" i="11"/>
  <c r="T1366" i="11"/>
  <c r="T1367" i="11"/>
  <c r="T1368" i="11"/>
  <c r="T1369" i="11"/>
  <c r="T1370" i="11"/>
  <c r="T1371" i="11"/>
  <c r="T1372" i="11"/>
  <c r="T1373" i="11"/>
  <c r="T1374" i="11"/>
  <c r="T1375" i="11"/>
  <c r="T1376" i="11"/>
  <c r="T1377" i="11"/>
  <c r="T1378" i="11"/>
  <c r="T1379" i="11"/>
  <c r="T1380" i="11"/>
  <c r="T1381" i="11"/>
  <c r="T1382" i="11"/>
  <c r="T1383" i="11"/>
  <c r="T1384" i="11"/>
  <c r="T1385" i="11"/>
  <c r="T1386" i="11"/>
  <c r="T1387" i="11"/>
  <c r="T1388" i="11"/>
  <c r="T1389" i="11"/>
  <c r="T1390" i="11"/>
  <c r="T1391" i="11"/>
  <c r="T1392" i="11"/>
  <c r="T1393" i="11"/>
  <c r="T1394" i="11"/>
  <c r="T1395" i="11"/>
  <c r="T1396" i="11"/>
  <c r="T1397" i="11"/>
  <c r="T1398" i="11"/>
  <c r="T1399" i="11"/>
  <c r="T1400" i="11"/>
  <c r="T1401" i="11"/>
  <c r="T1402" i="11"/>
  <c r="T1403" i="11"/>
  <c r="T1404" i="11"/>
  <c r="T1405" i="11"/>
  <c r="T1406" i="11"/>
  <c r="T1407" i="11"/>
  <c r="T1408" i="11"/>
  <c r="T1409" i="11"/>
  <c r="T1410" i="11"/>
  <c r="T1411" i="11"/>
  <c r="T1412" i="11"/>
  <c r="T1413" i="11"/>
  <c r="T1414" i="11"/>
  <c r="T1415" i="11"/>
  <c r="T1416" i="11"/>
  <c r="T1417" i="11"/>
  <c r="T1418" i="11"/>
  <c r="T1419" i="11"/>
  <c r="T1420" i="11"/>
  <c r="T1421" i="11"/>
  <c r="T1422" i="11"/>
  <c r="T1423" i="11"/>
  <c r="T1424" i="11"/>
  <c r="T1425" i="11"/>
  <c r="T1426" i="11"/>
  <c r="T1427" i="11"/>
  <c r="T1428" i="11"/>
  <c r="T1429" i="11"/>
  <c r="T1430" i="11"/>
  <c r="T1431" i="11"/>
  <c r="T1432" i="11"/>
  <c r="T1433" i="11"/>
  <c r="T1434" i="11"/>
  <c r="T1435" i="11"/>
  <c r="T1436" i="11"/>
  <c r="T1437" i="11"/>
  <c r="T1438" i="11"/>
  <c r="T1439" i="11"/>
  <c r="T1440" i="11"/>
  <c r="T1441" i="11"/>
  <c r="T1442" i="11"/>
  <c r="T1443" i="11"/>
  <c r="T1444" i="11"/>
  <c r="T1445" i="11"/>
  <c r="T1446" i="11"/>
  <c r="T1447" i="11"/>
  <c r="T1448" i="11"/>
  <c r="T1449" i="11"/>
  <c r="T1450" i="11"/>
  <c r="T1451" i="11"/>
  <c r="T1452" i="11"/>
  <c r="T1453" i="11"/>
  <c r="T1454" i="11"/>
  <c r="T1455" i="11"/>
  <c r="T1456" i="11"/>
  <c r="T1457" i="11"/>
  <c r="T1458" i="11"/>
  <c r="T1459" i="11"/>
  <c r="T1460" i="11"/>
  <c r="T1461" i="11"/>
  <c r="T1462" i="11"/>
  <c r="T1463" i="11"/>
  <c r="T1464" i="11"/>
  <c r="T1465" i="11"/>
  <c r="T1466" i="11"/>
  <c r="T1467" i="11"/>
  <c r="T1468" i="11"/>
  <c r="T1469" i="11"/>
  <c r="T1470" i="11"/>
  <c r="T1471" i="11"/>
  <c r="T1472" i="11"/>
  <c r="T1473" i="11"/>
  <c r="T1474" i="11"/>
  <c r="T1475" i="11"/>
  <c r="T1476" i="11"/>
  <c r="T1477" i="11"/>
  <c r="T1478" i="11"/>
  <c r="T1479" i="11"/>
  <c r="T1480" i="11"/>
  <c r="T1481" i="11"/>
  <c r="T1482" i="11"/>
  <c r="T1483" i="11"/>
  <c r="T1484" i="11"/>
  <c r="T1485" i="11"/>
  <c r="T1486" i="11"/>
  <c r="T1487" i="11"/>
  <c r="T1488" i="11"/>
  <c r="T1489" i="11"/>
  <c r="T1490" i="11"/>
  <c r="T1491" i="11"/>
  <c r="T1492" i="11"/>
  <c r="T1493" i="11"/>
  <c r="T1494" i="11"/>
  <c r="T1495" i="11"/>
  <c r="T1496" i="11"/>
  <c r="T1497" i="11"/>
  <c r="T1498" i="11"/>
  <c r="T1499" i="11"/>
  <c r="T1500" i="11"/>
  <c r="T1501" i="11"/>
  <c r="T1502" i="11"/>
  <c r="T1503" i="11"/>
  <c r="T1504" i="11"/>
  <c r="T1505" i="11"/>
  <c r="T1506" i="11"/>
  <c r="T1507" i="11"/>
  <c r="T1508" i="11"/>
  <c r="T1509" i="11"/>
  <c r="T1510" i="11"/>
  <c r="T1511" i="11"/>
  <c r="T1512" i="11"/>
  <c r="T1513" i="11"/>
  <c r="T1514" i="11"/>
  <c r="T1515" i="11"/>
  <c r="T1516" i="11"/>
  <c r="T1517" i="11"/>
  <c r="T1518" i="11"/>
  <c r="T1519" i="11"/>
  <c r="T1520" i="11"/>
  <c r="T1521" i="11"/>
  <c r="T1522" i="11"/>
  <c r="T1523" i="11"/>
  <c r="T1524" i="11"/>
  <c r="T1525" i="11"/>
  <c r="T1526" i="11"/>
  <c r="T1527" i="11"/>
  <c r="T1528" i="11"/>
  <c r="T1529" i="11"/>
  <c r="T1530" i="11"/>
  <c r="T1531" i="11"/>
  <c r="T1532" i="11"/>
  <c r="T1533" i="11"/>
  <c r="T1534" i="11"/>
  <c r="T1535" i="11"/>
  <c r="T1536" i="11"/>
  <c r="T1537" i="11"/>
  <c r="T1538" i="11"/>
  <c r="T1539" i="11"/>
  <c r="T1540" i="11"/>
  <c r="T1541" i="11"/>
  <c r="T1542" i="11"/>
  <c r="T1543" i="11"/>
  <c r="T1544" i="11"/>
  <c r="T1545" i="11"/>
  <c r="T1546" i="11"/>
  <c r="T1547" i="11"/>
  <c r="T1548" i="11"/>
  <c r="T1549" i="11"/>
  <c r="T1550" i="11"/>
  <c r="T1551" i="11"/>
  <c r="T1552" i="11"/>
  <c r="T1553" i="11"/>
  <c r="T1554" i="11"/>
  <c r="T1555" i="11"/>
  <c r="T1556" i="11"/>
  <c r="T1557" i="11"/>
  <c r="T1558" i="11"/>
  <c r="T1559" i="11"/>
  <c r="T1560" i="11"/>
  <c r="T1561" i="11"/>
  <c r="T1562" i="11"/>
  <c r="T1563" i="11"/>
  <c r="T1564" i="11"/>
  <c r="T1565" i="11"/>
  <c r="T1566" i="11"/>
  <c r="T1567" i="11"/>
  <c r="T1568" i="11"/>
  <c r="T1569" i="11"/>
  <c r="T1570" i="11"/>
  <c r="T1571" i="11"/>
  <c r="T1572" i="11"/>
  <c r="T1573" i="11"/>
  <c r="T1574" i="11"/>
  <c r="T1575" i="11"/>
  <c r="T1576" i="11"/>
  <c r="T1577" i="11"/>
  <c r="T1578" i="11"/>
  <c r="T1579" i="11"/>
  <c r="T1580" i="11"/>
  <c r="T1581" i="11"/>
  <c r="T1582" i="11"/>
  <c r="T1583" i="11"/>
  <c r="T1584" i="11"/>
  <c r="T1585" i="11"/>
  <c r="T1586" i="11"/>
  <c r="T1587" i="11"/>
  <c r="T1588" i="11"/>
  <c r="T1589" i="11"/>
  <c r="T1590" i="11"/>
  <c r="T1591" i="11"/>
  <c r="T1592" i="11"/>
  <c r="T1593" i="11"/>
  <c r="T1594" i="11"/>
  <c r="T1595" i="11"/>
  <c r="T1596" i="11"/>
  <c r="T1597" i="11"/>
  <c r="T1598" i="11"/>
  <c r="T1599" i="11"/>
  <c r="T1600" i="11"/>
  <c r="T1601" i="11"/>
  <c r="T1602" i="11"/>
  <c r="T1603" i="11"/>
  <c r="T1604" i="11"/>
  <c r="T1605" i="11"/>
  <c r="T1606" i="11"/>
  <c r="T1607" i="11"/>
  <c r="T1608" i="11"/>
  <c r="T1609" i="11"/>
  <c r="T1610" i="11"/>
  <c r="T1611" i="11"/>
  <c r="T1612" i="11"/>
  <c r="T1613" i="11"/>
  <c r="T1614" i="11"/>
  <c r="T1615" i="11"/>
  <c r="T1616" i="11"/>
  <c r="T1617" i="11"/>
  <c r="T1618" i="11"/>
  <c r="T1619" i="11"/>
  <c r="T1620" i="11"/>
  <c r="T1621" i="11"/>
  <c r="T1622" i="11"/>
  <c r="T1623" i="11"/>
  <c r="T1624" i="11"/>
  <c r="T1625" i="11"/>
  <c r="T1626" i="11"/>
  <c r="T1627" i="11"/>
  <c r="T1628" i="11"/>
  <c r="T1629" i="11"/>
  <c r="T1630" i="11"/>
  <c r="T1631" i="11"/>
  <c r="T1632" i="11"/>
  <c r="T1633" i="11"/>
  <c r="T1634" i="11"/>
  <c r="T1635" i="11"/>
  <c r="T1636" i="11"/>
  <c r="T1637" i="11"/>
  <c r="T1638" i="11"/>
  <c r="T1639" i="11"/>
  <c r="T1640" i="11"/>
  <c r="T1641" i="11"/>
  <c r="T1642" i="11"/>
  <c r="T1643" i="11"/>
  <c r="T1644" i="11"/>
  <c r="T1645" i="11"/>
  <c r="T1646" i="11"/>
  <c r="T1647" i="11"/>
  <c r="T1648" i="11"/>
  <c r="T1649" i="11"/>
  <c r="T1650" i="11"/>
  <c r="T1651" i="11"/>
  <c r="T1652" i="11"/>
  <c r="T1653" i="11"/>
  <c r="T1654" i="11"/>
  <c r="T1655" i="11"/>
  <c r="T1656" i="11"/>
  <c r="T1657" i="11"/>
  <c r="T1658" i="11"/>
  <c r="T1659" i="11"/>
  <c r="T1660" i="11"/>
  <c r="T1661" i="11"/>
  <c r="T1662" i="11"/>
  <c r="T1663" i="11"/>
  <c r="T1664" i="11"/>
  <c r="T1665" i="11"/>
  <c r="T1666" i="11"/>
  <c r="T1667" i="11"/>
  <c r="T1668" i="11"/>
  <c r="T1669" i="11"/>
  <c r="T1670" i="11"/>
  <c r="T1671" i="11"/>
  <c r="T1672" i="11"/>
  <c r="T1673" i="11"/>
  <c r="T1674" i="11"/>
  <c r="T1675" i="11"/>
  <c r="T1676" i="11"/>
  <c r="T1677" i="11"/>
  <c r="T1678" i="11"/>
  <c r="T1679" i="11"/>
  <c r="T1680" i="11"/>
  <c r="T1681" i="11"/>
  <c r="T1682" i="11"/>
  <c r="T1683" i="11"/>
  <c r="T1684" i="11"/>
  <c r="T1685" i="11"/>
  <c r="T1686" i="11"/>
  <c r="T1687" i="11"/>
  <c r="T1688" i="11"/>
  <c r="T1689" i="11"/>
  <c r="T1690" i="11"/>
  <c r="T1691" i="11"/>
  <c r="T1692" i="11"/>
  <c r="T1693" i="11"/>
  <c r="T1694" i="11"/>
  <c r="T1695" i="11"/>
  <c r="T1696" i="11"/>
  <c r="T1697" i="11"/>
  <c r="T1698" i="11"/>
  <c r="T1699" i="11"/>
  <c r="T1700" i="11"/>
  <c r="T1701" i="11"/>
  <c r="T1702" i="11"/>
  <c r="T1703" i="11"/>
  <c r="T1704" i="11"/>
  <c r="T1705" i="11"/>
  <c r="T1706" i="11"/>
  <c r="T1707" i="11"/>
  <c r="T1708" i="11"/>
  <c r="T1709" i="11"/>
  <c r="T1710" i="11"/>
  <c r="T1711" i="11"/>
  <c r="T1712" i="11"/>
  <c r="T1713" i="11"/>
  <c r="T1714" i="11"/>
  <c r="T1715" i="11"/>
  <c r="T1716" i="11"/>
  <c r="T1717" i="11"/>
  <c r="T1718" i="11"/>
  <c r="T1719" i="11"/>
  <c r="T1720" i="11"/>
  <c r="T1721" i="11"/>
  <c r="T1722" i="11"/>
  <c r="T1723" i="11"/>
  <c r="T1724" i="11"/>
  <c r="T1725" i="11"/>
  <c r="T1726" i="11"/>
  <c r="T1727" i="11"/>
  <c r="T1728" i="11"/>
  <c r="T1729" i="11"/>
  <c r="T1730" i="11"/>
  <c r="T1731" i="11"/>
  <c r="T1732" i="11"/>
  <c r="T1733" i="11"/>
  <c r="T1734" i="11"/>
  <c r="T1735" i="11"/>
  <c r="T1736" i="11"/>
  <c r="T1737" i="11"/>
  <c r="T1738" i="11"/>
  <c r="T1739" i="11"/>
  <c r="T1740" i="11"/>
  <c r="T1741" i="11"/>
  <c r="T1742" i="11"/>
  <c r="T1743" i="11"/>
  <c r="T1744" i="11"/>
  <c r="T1745" i="11"/>
  <c r="T1746" i="11"/>
  <c r="T1747" i="11"/>
  <c r="T1748" i="11"/>
  <c r="T1749" i="11"/>
  <c r="T1750" i="11"/>
  <c r="T1751" i="11"/>
  <c r="T1752" i="11"/>
  <c r="T1753" i="11"/>
  <c r="T1754" i="11"/>
  <c r="T1755" i="11"/>
  <c r="T1756" i="11"/>
  <c r="T1757" i="11"/>
  <c r="T1758" i="11"/>
  <c r="T1759" i="11"/>
  <c r="T1760" i="11"/>
  <c r="T1761" i="11"/>
  <c r="T1762" i="11"/>
  <c r="T1763" i="11"/>
  <c r="T1764" i="11"/>
  <c r="T1765" i="11"/>
  <c r="T1766" i="11"/>
  <c r="T1767" i="11"/>
  <c r="T1768" i="11"/>
  <c r="T1769" i="11"/>
  <c r="T1770" i="11"/>
  <c r="T1771" i="11"/>
  <c r="T1772" i="11"/>
  <c r="T1773" i="11"/>
  <c r="T1774" i="11"/>
  <c r="T1775" i="11"/>
  <c r="T1776" i="11"/>
  <c r="T1777" i="11"/>
  <c r="T1778" i="11"/>
  <c r="T1779" i="11"/>
  <c r="T1780" i="11"/>
  <c r="T1781" i="11"/>
  <c r="T1782" i="11"/>
  <c r="T1783" i="11"/>
  <c r="T1784" i="11"/>
  <c r="T1785" i="11"/>
  <c r="T1786" i="11"/>
  <c r="T1787" i="11"/>
  <c r="T1788" i="11"/>
  <c r="T1789" i="11"/>
  <c r="T1790" i="11"/>
  <c r="T1791" i="11"/>
  <c r="T1792" i="11"/>
  <c r="T1793" i="11"/>
  <c r="T1794" i="11"/>
  <c r="T1795" i="11"/>
  <c r="T1796" i="11"/>
  <c r="T1797" i="11"/>
  <c r="T1798" i="11"/>
  <c r="T1799" i="11"/>
  <c r="T1800" i="11"/>
  <c r="T1801" i="11"/>
  <c r="T1802" i="11"/>
  <c r="T1803" i="11"/>
  <c r="T1804" i="11"/>
  <c r="T1805" i="11"/>
  <c r="T1806" i="11"/>
  <c r="T1807" i="11"/>
  <c r="T1808" i="11"/>
  <c r="T1809" i="11"/>
  <c r="T1810" i="11"/>
  <c r="T1811" i="11"/>
  <c r="T1812" i="11"/>
  <c r="T1813" i="11"/>
  <c r="T1814" i="11"/>
  <c r="T1815" i="11"/>
  <c r="T1816" i="11"/>
  <c r="T1817" i="11"/>
  <c r="T1818" i="11"/>
  <c r="T1819" i="11"/>
  <c r="T1820" i="11"/>
  <c r="T1821" i="11"/>
  <c r="T1822" i="11"/>
  <c r="T1823" i="11"/>
  <c r="T1824" i="11"/>
  <c r="T1825" i="11"/>
  <c r="T1826" i="11"/>
  <c r="T1827" i="11"/>
  <c r="T1828" i="11"/>
  <c r="T1829" i="11"/>
  <c r="T1830" i="11"/>
  <c r="T1831" i="11"/>
  <c r="T1832" i="11"/>
  <c r="T1833" i="11"/>
  <c r="T1834" i="11"/>
  <c r="T1835" i="11"/>
  <c r="T1836" i="11"/>
  <c r="T1837" i="11"/>
  <c r="T1838" i="11"/>
  <c r="T1839" i="11"/>
  <c r="T1840" i="11"/>
  <c r="T1841" i="11"/>
  <c r="T1842" i="11"/>
  <c r="T1843" i="11"/>
  <c r="T1844" i="11"/>
  <c r="T1845" i="11"/>
  <c r="T1846" i="11"/>
  <c r="T1847" i="11"/>
  <c r="T1848" i="11"/>
  <c r="T1849" i="11"/>
  <c r="T1850" i="11"/>
  <c r="T1851" i="11"/>
  <c r="T1852" i="11"/>
  <c r="T1853" i="11"/>
  <c r="T1854" i="11"/>
  <c r="T1855" i="11"/>
  <c r="T1856" i="11"/>
  <c r="T1857" i="11"/>
  <c r="T1858" i="11"/>
  <c r="T1859" i="11"/>
  <c r="T1860" i="11"/>
  <c r="T1861" i="11"/>
  <c r="T1862" i="11"/>
  <c r="T1863" i="11"/>
  <c r="T1864" i="11"/>
  <c r="T1865" i="11"/>
  <c r="T1866" i="11"/>
  <c r="T1867" i="11"/>
  <c r="T1868" i="11"/>
  <c r="T1869" i="11"/>
  <c r="T1870" i="11"/>
  <c r="T1871" i="11"/>
  <c r="T1872" i="11"/>
  <c r="T1873" i="11"/>
  <c r="T1874" i="11"/>
  <c r="T1875" i="11"/>
  <c r="T1876" i="11"/>
  <c r="T1877" i="11"/>
  <c r="T1878" i="11"/>
  <c r="T1879" i="11"/>
  <c r="T1880" i="11"/>
  <c r="T1881" i="11"/>
  <c r="T1882" i="11"/>
  <c r="T1883" i="11"/>
  <c r="T1884" i="11"/>
  <c r="T1885" i="11"/>
  <c r="T1886" i="11"/>
  <c r="T1887" i="11"/>
  <c r="T1888" i="11"/>
  <c r="T1889" i="11"/>
  <c r="T1890" i="11"/>
  <c r="T1891" i="11"/>
  <c r="T1892" i="11"/>
  <c r="T1893" i="11"/>
  <c r="T1894" i="11"/>
  <c r="T1895" i="11"/>
  <c r="T1896" i="11"/>
  <c r="T1897" i="11"/>
  <c r="T1898" i="11"/>
  <c r="T1899" i="11"/>
  <c r="T1900" i="11"/>
  <c r="T1901" i="11"/>
  <c r="T1902" i="11"/>
  <c r="T1903" i="11"/>
  <c r="T1904" i="11"/>
  <c r="T1905" i="11"/>
  <c r="T1906" i="11"/>
  <c r="T1907" i="11"/>
  <c r="T1908" i="11"/>
  <c r="T1909" i="11"/>
  <c r="T1910" i="11"/>
  <c r="T1911" i="11"/>
  <c r="T1912" i="11"/>
  <c r="T1913" i="11"/>
  <c r="T1914" i="11"/>
  <c r="T1915" i="11"/>
  <c r="T1916" i="11"/>
  <c r="T1917" i="11"/>
  <c r="T1918" i="11"/>
  <c r="T1919" i="11"/>
  <c r="T1920" i="11"/>
  <c r="T1921" i="11"/>
  <c r="T1922" i="11"/>
  <c r="T1923" i="11"/>
  <c r="T1924" i="11"/>
  <c r="T1925" i="11"/>
  <c r="T1926" i="11"/>
  <c r="T1927" i="11"/>
  <c r="T1928" i="11"/>
  <c r="T1929" i="11"/>
  <c r="T1930" i="11"/>
  <c r="T1931" i="11"/>
  <c r="T1932" i="11"/>
  <c r="T1933" i="11"/>
  <c r="T1934" i="11"/>
  <c r="T1935" i="11"/>
  <c r="T1936" i="11"/>
  <c r="T1937" i="11"/>
  <c r="T1938" i="11"/>
  <c r="T1939" i="11"/>
  <c r="T1940" i="11"/>
  <c r="T1941" i="11"/>
  <c r="T1942" i="11"/>
  <c r="T1943" i="11"/>
  <c r="T1944" i="11"/>
  <c r="T1945" i="11"/>
  <c r="T1946" i="11"/>
  <c r="T1947" i="11"/>
  <c r="T1948" i="11"/>
  <c r="T1949" i="11"/>
  <c r="T1950" i="11"/>
  <c r="T1951" i="11"/>
  <c r="T1952" i="11"/>
  <c r="T1953" i="11"/>
  <c r="T1954" i="11"/>
  <c r="T1955" i="11"/>
  <c r="T1956" i="11"/>
  <c r="T1957" i="11"/>
  <c r="T1958" i="11"/>
  <c r="T1959" i="11"/>
  <c r="T1960" i="11"/>
  <c r="T1961" i="11"/>
  <c r="T1962" i="11"/>
  <c r="T1963" i="11"/>
  <c r="T1964" i="11"/>
  <c r="T1965" i="11"/>
  <c r="T1966" i="11"/>
  <c r="T1967" i="11"/>
  <c r="T1968" i="11"/>
  <c r="T1969" i="11"/>
  <c r="T1970" i="11"/>
  <c r="T1971" i="11"/>
  <c r="T1972" i="11"/>
  <c r="T1973" i="11"/>
  <c r="T1974" i="11"/>
  <c r="T1975" i="11"/>
  <c r="T1976" i="11"/>
  <c r="T1977" i="11"/>
  <c r="T1978" i="11"/>
  <c r="T1979" i="11"/>
  <c r="T1980" i="11"/>
  <c r="T1981" i="11"/>
  <c r="T1982" i="11"/>
  <c r="T1983" i="11"/>
  <c r="T1984" i="11"/>
  <c r="T1985" i="11"/>
  <c r="T1986" i="11"/>
  <c r="T1987" i="11"/>
  <c r="T1988" i="11"/>
  <c r="T1989" i="11"/>
  <c r="T1990" i="11"/>
  <c r="T1991" i="11"/>
  <c r="T1992" i="11"/>
  <c r="T1993" i="11"/>
  <c r="T1994" i="11"/>
  <c r="T1995" i="11"/>
  <c r="T1996" i="11"/>
  <c r="T1997" i="11"/>
  <c r="T1998" i="11"/>
  <c r="T1999" i="11"/>
  <c r="T2000" i="11"/>
  <c r="T2001" i="11"/>
  <c r="T2002" i="11"/>
  <c r="T2003" i="11"/>
  <c r="T2004" i="11"/>
  <c r="T2005" i="11"/>
  <c r="T2006" i="11"/>
  <c r="T2007" i="11"/>
  <c r="T2008" i="11"/>
  <c r="T2009" i="11"/>
  <c r="T2010" i="11"/>
  <c r="T2011" i="11"/>
  <c r="T2012" i="11"/>
  <c r="T2013" i="11"/>
  <c r="T2014" i="11"/>
  <c r="T2015" i="11"/>
  <c r="T2016" i="11"/>
  <c r="T2017" i="11"/>
  <c r="T2018" i="11"/>
  <c r="T2019" i="11"/>
  <c r="T2020" i="11"/>
  <c r="T2021" i="11"/>
  <c r="T2022" i="11"/>
  <c r="T2023" i="11"/>
  <c r="T2024" i="11"/>
  <c r="T2025" i="11"/>
  <c r="T2026" i="11"/>
  <c r="T2027" i="11"/>
  <c r="T2028" i="11"/>
  <c r="T2029" i="11"/>
  <c r="T2030" i="11"/>
  <c r="T2031" i="11"/>
  <c r="T2032" i="11"/>
  <c r="T2033" i="11"/>
  <c r="T2034" i="11"/>
  <c r="T2035" i="11"/>
  <c r="T2036" i="11"/>
  <c r="T2037" i="11"/>
  <c r="T2038" i="11"/>
  <c r="T2039" i="11"/>
  <c r="T2040" i="11"/>
  <c r="T2041" i="11"/>
  <c r="T2042" i="11"/>
  <c r="T2043" i="11"/>
  <c r="T2044" i="11"/>
  <c r="T2045" i="11"/>
  <c r="T2046" i="11"/>
  <c r="T2047" i="11"/>
  <c r="T2048" i="11"/>
  <c r="T2049" i="11"/>
  <c r="T2050" i="11"/>
  <c r="T2051" i="11"/>
  <c r="T2052" i="11"/>
  <c r="T2053" i="11"/>
  <c r="T2054" i="11"/>
  <c r="T2055" i="11"/>
  <c r="T2056" i="11"/>
  <c r="T2057" i="11"/>
  <c r="T2058" i="11"/>
  <c r="T2059" i="11"/>
  <c r="T2060" i="11"/>
  <c r="T2061" i="11"/>
  <c r="T2062" i="11"/>
  <c r="T2063" i="11"/>
  <c r="T2064" i="11"/>
  <c r="T2065" i="11"/>
  <c r="T2066" i="11"/>
  <c r="T2067" i="11"/>
  <c r="T2068" i="11"/>
  <c r="T2069" i="11"/>
  <c r="T2070" i="11"/>
  <c r="T2071" i="11"/>
  <c r="T2072" i="11"/>
  <c r="T2073" i="11"/>
  <c r="T2074" i="11"/>
  <c r="T2075" i="11"/>
  <c r="T2076" i="11"/>
  <c r="T2077" i="11"/>
  <c r="T2078" i="11"/>
  <c r="T2079" i="11"/>
  <c r="T2080" i="11"/>
  <c r="T2081" i="11"/>
  <c r="T2082" i="11"/>
  <c r="T2083" i="11"/>
  <c r="T2084" i="11"/>
  <c r="T2085" i="11"/>
  <c r="T2086" i="11"/>
  <c r="T2087" i="11"/>
  <c r="T2088" i="11"/>
  <c r="T2089" i="11"/>
  <c r="T2090" i="11"/>
  <c r="T2091" i="11"/>
  <c r="T2092" i="11"/>
  <c r="T2093" i="11"/>
  <c r="T2094" i="11"/>
  <c r="T2095" i="11"/>
  <c r="T2096" i="11"/>
  <c r="T2097" i="11"/>
  <c r="T2098" i="11"/>
  <c r="T2099" i="11"/>
  <c r="T2100" i="11"/>
  <c r="T2101" i="11"/>
  <c r="T2102" i="11"/>
  <c r="T2103" i="11"/>
  <c r="T2104" i="11"/>
  <c r="T2105" i="11"/>
  <c r="T2106" i="11"/>
  <c r="T2107" i="11"/>
  <c r="T2108" i="11"/>
  <c r="T2109" i="11"/>
  <c r="T2110" i="11"/>
  <c r="T2111" i="11"/>
  <c r="T2112" i="11"/>
  <c r="T2113" i="11"/>
  <c r="T2114" i="11"/>
  <c r="T2115" i="11"/>
  <c r="T2116" i="11"/>
  <c r="T2117" i="11"/>
  <c r="T2118" i="11"/>
  <c r="T2119" i="11"/>
  <c r="T2120" i="11"/>
  <c r="T2121" i="11"/>
  <c r="T2122" i="11"/>
  <c r="T2123" i="11"/>
  <c r="T2124" i="11"/>
  <c r="T2125" i="11"/>
  <c r="T2126" i="11"/>
  <c r="T2127" i="11"/>
  <c r="T2128" i="11"/>
  <c r="T2129" i="11"/>
  <c r="T2130" i="11"/>
  <c r="T2131" i="11"/>
  <c r="T2132" i="11"/>
  <c r="T2133" i="11"/>
  <c r="T2134" i="11"/>
  <c r="T2135" i="11"/>
  <c r="T2136" i="11"/>
  <c r="T2137" i="11"/>
  <c r="T2138" i="11"/>
  <c r="T2139" i="11"/>
  <c r="T2140" i="11"/>
  <c r="T2141" i="11"/>
  <c r="T2142" i="11"/>
  <c r="T2143" i="11"/>
  <c r="T2144" i="11"/>
  <c r="T2145" i="11"/>
  <c r="T2146" i="11"/>
  <c r="T2147" i="11"/>
  <c r="T2148" i="11"/>
  <c r="T2149" i="11"/>
  <c r="T2150" i="11"/>
  <c r="T2151" i="11"/>
  <c r="T2152" i="11"/>
  <c r="T2153" i="11"/>
  <c r="T2154" i="11"/>
  <c r="T2155" i="11"/>
  <c r="T2156" i="11"/>
  <c r="T2157" i="11"/>
  <c r="T2158" i="11"/>
  <c r="T2159" i="11"/>
  <c r="T2160" i="11"/>
  <c r="T2161" i="11"/>
  <c r="T2162" i="11"/>
  <c r="T2163" i="11"/>
  <c r="T2164" i="11"/>
  <c r="T2165" i="11"/>
  <c r="T2166" i="11"/>
  <c r="T2167" i="11"/>
  <c r="T2168" i="11"/>
  <c r="T2169" i="11"/>
  <c r="T2170" i="11"/>
  <c r="T2171" i="11"/>
  <c r="T2172" i="11"/>
  <c r="T2173" i="11"/>
  <c r="T2174" i="11"/>
  <c r="T2175" i="11"/>
  <c r="T2176" i="11"/>
  <c r="T2177" i="11"/>
  <c r="T2178" i="11"/>
  <c r="T2179" i="11"/>
  <c r="T2180" i="11"/>
  <c r="T2181" i="11"/>
  <c r="T2182" i="11"/>
  <c r="T2183" i="11"/>
  <c r="T2184" i="11"/>
  <c r="T2185" i="11"/>
  <c r="T2186" i="11"/>
  <c r="T2187" i="11"/>
  <c r="T2188" i="11"/>
  <c r="T2189" i="11"/>
  <c r="T2190" i="11"/>
  <c r="T2191" i="11"/>
  <c r="T2192" i="11"/>
  <c r="T2193" i="11"/>
  <c r="T2194" i="11"/>
  <c r="T2195" i="11"/>
  <c r="T2196" i="11"/>
  <c r="T2197" i="11"/>
  <c r="T2198" i="11"/>
  <c r="T2199" i="11"/>
  <c r="T2200" i="11"/>
  <c r="T2201" i="11"/>
  <c r="T2202" i="11"/>
  <c r="T2203" i="11"/>
  <c r="T2204" i="11"/>
  <c r="T2205" i="11"/>
  <c r="T2206" i="11"/>
  <c r="T2207" i="11"/>
  <c r="T2208" i="11"/>
  <c r="T2209" i="11"/>
  <c r="T2210" i="11"/>
  <c r="T2211" i="11"/>
  <c r="T2212" i="11"/>
  <c r="T2213" i="11"/>
  <c r="T2214" i="11"/>
  <c r="T2215" i="11"/>
  <c r="T2216" i="11"/>
  <c r="T2217" i="11"/>
  <c r="T2218" i="11"/>
  <c r="T2219" i="11"/>
  <c r="T2220" i="11"/>
  <c r="T2221" i="11"/>
  <c r="T2222" i="11"/>
  <c r="T2223" i="11"/>
  <c r="T2224" i="11"/>
  <c r="T2225" i="11"/>
  <c r="T2226" i="11"/>
  <c r="T2227" i="11"/>
  <c r="T2228" i="11"/>
  <c r="T2229" i="11"/>
  <c r="T2230" i="11"/>
  <c r="T2231" i="11"/>
  <c r="T2232" i="11"/>
  <c r="T2233" i="11"/>
  <c r="T2234" i="11"/>
  <c r="T2235" i="11"/>
  <c r="T2236" i="11"/>
  <c r="T2237" i="11"/>
  <c r="T2238" i="11"/>
  <c r="T2239" i="11"/>
  <c r="T2240" i="11"/>
  <c r="T2241" i="11"/>
  <c r="T2242" i="11"/>
  <c r="T2243" i="11"/>
  <c r="T2244" i="11"/>
  <c r="T2245" i="11"/>
  <c r="T2246" i="11"/>
  <c r="T2247" i="11"/>
  <c r="T2248" i="11"/>
  <c r="T2249" i="11"/>
  <c r="T2250" i="11"/>
  <c r="T2251" i="11"/>
  <c r="T2252" i="11"/>
  <c r="T2253" i="11"/>
  <c r="T2254" i="11"/>
  <c r="T2255" i="11"/>
  <c r="T2256" i="11"/>
  <c r="T2257" i="11"/>
  <c r="T2258" i="11"/>
  <c r="T2259" i="11"/>
  <c r="T2260" i="11"/>
  <c r="T2261" i="11"/>
  <c r="T2262" i="11"/>
  <c r="T2263" i="11"/>
  <c r="T2264" i="11"/>
  <c r="T2265" i="11"/>
  <c r="T2266" i="11"/>
  <c r="T2267" i="11"/>
  <c r="T2268" i="11"/>
  <c r="T2269" i="11"/>
  <c r="T2270" i="11"/>
  <c r="T2271" i="11"/>
  <c r="T2272" i="11"/>
  <c r="T2273" i="11"/>
  <c r="T2274" i="11"/>
  <c r="T2275" i="11"/>
  <c r="T2276" i="11"/>
  <c r="T2277" i="11"/>
  <c r="T2278" i="11"/>
  <c r="T2279" i="11"/>
  <c r="T2280" i="11"/>
  <c r="T2281" i="11"/>
  <c r="T2282" i="11"/>
  <c r="T2283" i="11"/>
  <c r="T2284" i="11"/>
  <c r="T2285" i="11"/>
  <c r="T2286" i="11"/>
  <c r="T2287" i="11"/>
  <c r="T2288" i="11"/>
  <c r="T2289" i="11"/>
  <c r="T2290" i="11"/>
  <c r="T2291" i="11"/>
  <c r="T2292" i="11"/>
  <c r="T2293" i="11"/>
  <c r="T2294" i="11"/>
  <c r="T2295" i="11"/>
  <c r="T2296" i="11"/>
  <c r="T2297" i="11"/>
  <c r="T2298" i="11"/>
  <c r="T2299" i="11"/>
  <c r="T2300" i="11"/>
  <c r="T2301" i="11"/>
  <c r="T2302" i="11"/>
  <c r="T2303" i="11"/>
  <c r="T2304" i="11"/>
  <c r="T2305" i="11"/>
  <c r="T2306" i="11"/>
  <c r="T2307" i="11"/>
  <c r="T2308" i="11"/>
  <c r="T2309" i="11"/>
  <c r="T2310" i="11"/>
  <c r="T2311" i="11"/>
  <c r="T2312" i="11"/>
  <c r="T2313" i="11"/>
  <c r="T2314" i="11"/>
  <c r="T2315" i="11"/>
  <c r="T2316" i="11"/>
  <c r="T2317" i="11"/>
  <c r="T2318" i="11"/>
  <c r="T2319" i="11"/>
  <c r="T2320" i="11"/>
  <c r="T2321" i="11"/>
  <c r="T2322" i="11"/>
  <c r="T2323" i="11"/>
  <c r="T2324" i="11"/>
  <c r="T2325" i="11"/>
  <c r="T2326" i="11"/>
  <c r="T2327" i="11"/>
  <c r="T2328" i="11"/>
  <c r="T2329" i="11"/>
  <c r="T2330" i="11"/>
  <c r="T2331" i="11"/>
  <c r="T2332" i="11"/>
  <c r="T2333" i="11"/>
  <c r="T2334" i="11"/>
  <c r="T2335" i="11"/>
  <c r="T2336" i="11"/>
  <c r="T2337" i="11"/>
  <c r="T2338" i="11"/>
  <c r="T2339" i="11"/>
  <c r="T2340" i="11"/>
  <c r="T2341" i="11"/>
  <c r="T2342" i="11"/>
  <c r="T2343" i="11"/>
  <c r="T2344" i="11"/>
  <c r="T2345" i="11"/>
  <c r="T2346" i="11"/>
  <c r="T2347" i="11"/>
  <c r="T2348" i="11"/>
  <c r="T2349" i="11"/>
  <c r="T2350" i="11"/>
  <c r="T2351" i="11"/>
  <c r="T2352" i="11"/>
  <c r="T2353" i="11"/>
  <c r="T2354" i="11"/>
  <c r="T2355" i="11"/>
  <c r="T2356" i="11"/>
  <c r="T2357" i="11"/>
  <c r="T2358" i="11"/>
  <c r="T2359" i="11"/>
  <c r="T2360" i="11"/>
  <c r="T2361" i="11"/>
  <c r="T2362" i="11"/>
  <c r="T2363" i="11"/>
  <c r="T2364" i="11"/>
  <c r="T2365" i="11"/>
  <c r="T2366" i="11"/>
  <c r="T2367" i="11"/>
  <c r="T2368" i="11"/>
  <c r="T2369" i="11"/>
  <c r="T2370" i="11"/>
  <c r="T2371" i="11"/>
  <c r="T2372" i="11"/>
  <c r="T2373" i="11"/>
  <c r="T2374" i="11"/>
  <c r="T2375" i="11"/>
  <c r="T2376" i="11"/>
  <c r="T2377" i="11"/>
  <c r="T2378" i="11"/>
  <c r="T2379" i="11"/>
  <c r="T2380" i="11"/>
  <c r="T2381" i="11"/>
  <c r="T2382" i="11"/>
  <c r="T2383" i="11"/>
  <c r="T2384" i="11"/>
  <c r="T2385" i="11"/>
  <c r="T2386" i="11"/>
  <c r="T2387" i="11"/>
  <c r="T2388" i="11"/>
  <c r="T2389" i="11"/>
  <c r="T2390" i="11"/>
  <c r="T2391" i="11"/>
  <c r="T2392" i="11"/>
  <c r="T2393" i="11"/>
  <c r="T2394" i="11"/>
  <c r="T2395" i="11"/>
  <c r="T2396" i="11"/>
  <c r="T2397" i="11"/>
  <c r="T2398" i="11"/>
  <c r="T2399" i="11"/>
  <c r="T2400" i="11"/>
  <c r="T2401" i="11"/>
  <c r="T2402" i="11"/>
  <c r="T2403" i="11"/>
  <c r="T2404" i="11"/>
  <c r="T2405" i="11"/>
  <c r="T2406" i="11"/>
  <c r="T2407" i="11"/>
  <c r="T2408" i="11"/>
  <c r="T2409" i="11"/>
  <c r="T2410" i="11"/>
  <c r="T2411" i="11"/>
  <c r="T2412" i="11"/>
  <c r="T2413" i="11"/>
  <c r="T2414" i="11"/>
  <c r="T2415" i="11"/>
  <c r="T2416" i="11"/>
  <c r="T2417" i="11"/>
  <c r="T2418" i="11"/>
  <c r="T2419" i="11"/>
  <c r="T2420" i="11"/>
  <c r="T2421" i="11"/>
  <c r="T2422" i="11"/>
  <c r="T2423" i="11"/>
  <c r="T2424" i="11"/>
  <c r="T2425" i="11"/>
  <c r="T2426" i="11"/>
  <c r="T2427" i="11"/>
  <c r="T2428" i="11"/>
  <c r="T2429" i="11"/>
  <c r="T2430" i="11"/>
  <c r="T2431" i="11"/>
  <c r="T2432" i="11"/>
  <c r="T2433" i="11"/>
  <c r="T2434" i="11"/>
  <c r="T2435" i="11"/>
  <c r="T2436" i="11"/>
  <c r="T2437" i="11"/>
  <c r="T2438" i="11"/>
  <c r="T2439" i="11"/>
  <c r="T2440" i="11"/>
  <c r="T2441" i="11"/>
  <c r="T2442" i="11"/>
  <c r="T2443" i="11"/>
  <c r="T2444" i="11"/>
  <c r="T2445" i="11"/>
  <c r="T2446" i="11"/>
  <c r="T2447" i="11"/>
  <c r="T2448" i="11"/>
  <c r="T2449" i="11"/>
  <c r="T2450" i="11"/>
  <c r="T2451" i="11"/>
  <c r="T2452" i="11"/>
  <c r="T2453" i="11"/>
  <c r="T2454" i="11"/>
  <c r="T2455" i="11"/>
  <c r="T2456" i="11"/>
  <c r="T2457" i="11"/>
  <c r="T2458" i="11"/>
  <c r="T2459" i="11"/>
  <c r="T2460" i="11"/>
  <c r="T2461" i="11"/>
  <c r="T2462" i="11"/>
  <c r="T2463" i="11"/>
  <c r="T2464" i="11"/>
  <c r="T2465" i="11"/>
  <c r="T2466" i="11"/>
  <c r="T2467" i="11"/>
  <c r="T2468" i="11"/>
  <c r="T2469" i="11"/>
  <c r="T2470" i="11"/>
  <c r="T2471" i="11"/>
  <c r="T2472" i="11"/>
  <c r="T2473" i="11"/>
  <c r="T2474" i="11"/>
  <c r="T2475" i="11"/>
  <c r="T2476" i="11"/>
  <c r="T2477" i="11"/>
  <c r="T2478" i="11"/>
  <c r="T2479" i="11"/>
  <c r="T2480" i="11"/>
  <c r="T2481" i="11"/>
  <c r="T2482" i="11"/>
  <c r="T2483" i="11"/>
  <c r="T2484" i="11"/>
  <c r="T2485" i="11"/>
  <c r="T2486" i="11"/>
  <c r="T2487" i="11"/>
  <c r="T2488" i="11"/>
  <c r="T2489" i="11"/>
  <c r="T2490" i="11"/>
  <c r="T2491" i="11"/>
  <c r="T2492" i="11"/>
  <c r="T2493" i="11"/>
  <c r="T2494" i="11"/>
  <c r="T2495" i="11"/>
  <c r="T2496" i="11"/>
  <c r="T2497" i="11"/>
  <c r="T2498" i="11"/>
  <c r="T2499" i="11"/>
  <c r="T2500" i="11"/>
  <c r="T2501" i="11"/>
  <c r="T2502" i="11"/>
  <c r="T2503" i="11"/>
  <c r="T2504" i="11"/>
  <c r="T2505" i="11"/>
  <c r="T2506" i="11"/>
  <c r="T2507" i="11"/>
  <c r="T2508" i="11"/>
  <c r="T2509" i="11"/>
  <c r="T2510" i="11"/>
  <c r="T2511" i="11"/>
  <c r="T2512" i="11"/>
  <c r="T2513" i="11"/>
  <c r="T2514" i="11"/>
  <c r="T2515" i="11"/>
  <c r="T2516" i="11"/>
  <c r="T2517" i="11"/>
  <c r="T2518" i="11"/>
  <c r="T2519" i="11"/>
  <c r="T2520" i="11"/>
  <c r="T2521" i="11"/>
  <c r="T2522" i="11"/>
  <c r="T2523" i="11"/>
  <c r="T2524" i="11"/>
  <c r="T2525" i="11"/>
  <c r="T2526" i="11"/>
  <c r="T2527" i="11"/>
  <c r="T2528" i="11"/>
  <c r="T2529" i="11"/>
  <c r="T2530" i="11"/>
  <c r="T2531" i="11"/>
  <c r="T2532" i="11"/>
  <c r="T2533" i="11"/>
  <c r="T2534" i="11"/>
  <c r="T2535" i="11"/>
  <c r="T2536" i="11"/>
  <c r="T2537" i="11"/>
  <c r="T2538" i="11"/>
  <c r="T2539" i="11"/>
  <c r="T2540" i="11"/>
  <c r="T2541" i="11"/>
  <c r="T2542" i="11"/>
  <c r="T2543" i="11"/>
  <c r="T2544" i="11"/>
  <c r="T2545" i="11"/>
  <c r="T2546" i="11"/>
  <c r="T2547" i="11"/>
  <c r="T2548" i="11"/>
  <c r="T2549" i="11"/>
  <c r="T2550" i="11"/>
  <c r="T2551" i="11"/>
  <c r="T2552" i="11"/>
  <c r="T2553" i="11"/>
  <c r="T2554" i="11"/>
  <c r="T2555" i="11"/>
  <c r="T2556" i="11"/>
  <c r="T2557" i="11"/>
  <c r="T2558" i="11"/>
  <c r="T2559" i="11"/>
  <c r="T2560" i="11"/>
  <c r="T2561" i="11"/>
  <c r="T2562" i="11"/>
  <c r="T2563" i="11"/>
  <c r="T2564" i="11"/>
  <c r="T2565" i="11"/>
  <c r="T2566" i="11"/>
  <c r="T2567" i="11"/>
  <c r="T2568" i="11"/>
  <c r="T2569" i="11"/>
  <c r="T2570" i="11"/>
  <c r="T2571" i="11"/>
  <c r="T2572" i="11"/>
  <c r="T2573" i="11"/>
  <c r="T2574" i="11"/>
  <c r="T2575" i="11"/>
  <c r="T2576" i="11"/>
  <c r="T2577" i="11"/>
  <c r="T2578" i="11"/>
  <c r="T2579" i="11"/>
  <c r="T2580" i="11"/>
  <c r="T2581" i="11"/>
  <c r="T2582" i="11"/>
  <c r="T2583" i="11"/>
  <c r="T2584" i="11"/>
  <c r="T2585" i="11"/>
  <c r="T2586" i="11"/>
  <c r="T2587" i="11"/>
  <c r="T2588" i="11"/>
  <c r="T2589" i="11"/>
  <c r="T2590" i="11"/>
  <c r="T2591" i="11"/>
  <c r="T2592" i="11"/>
  <c r="T2593" i="11"/>
  <c r="T2594" i="11"/>
  <c r="T2595" i="11"/>
  <c r="T2596" i="11"/>
  <c r="T2597" i="11"/>
  <c r="T2598" i="11"/>
  <c r="T2599" i="11"/>
  <c r="T2600" i="11"/>
  <c r="T2601" i="11"/>
  <c r="T2602" i="11"/>
  <c r="T2603" i="11"/>
  <c r="T2604" i="11"/>
  <c r="T2605" i="11"/>
  <c r="T2606" i="11"/>
  <c r="T2607" i="11"/>
  <c r="T2608" i="11"/>
  <c r="T2609" i="11"/>
  <c r="T2610" i="11"/>
  <c r="T2611" i="11"/>
  <c r="T2612" i="11"/>
  <c r="T2613" i="11"/>
  <c r="T2614" i="11"/>
  <c r="T2615" i="11"/>
  <c r="T2616" i="11"/>
  <c r="T2617" i="11"/>
  <c r="T2618" i="11"/>
  <c r="T2619" i="11"/>
  <c r="T2620" i="11"/>
  <c r="T2621" i="11"/>
  <c r="T2622" i="11"/>
  <c r="T2623" i="11"/>
  <c r="T2624" i="11"/>
  <c r="T2625" i="11"/>
  <c r="T2626" i="11"/>
  <c r="T2627" i="11"/>
  <c r="T2628" i="11"/>
  <c r="T2629" i="11"/>
  <c r="T2630" i="11"/>
  <c r="T2631" i="11"/>
  <c r="T2632" i="11"/>
  <c r="T2633" i="11"/>
  <c r="T2634" i="11"/>
  <c r="T2635" i="11"/>
  <c r="T2636" i="11"/>
  <c r="T2637" i="11"/>
  <c r="T2638" i="11"/>
  <c r="T2639" i="11"/>
  <c r="T2640" i="11"/>
  <c r="T2641" i="11"/>
  <c r="T2642" i="11"/>
  <c r="T2643" i="11"/>
  <c r="T2644" i="11"/>
  <c r="T2645" i="11"/>
  <c r="T2646" i="11"/>
  <c r="T2647" i="11"/>
  <c r="T2648" i="11"/>
  <c r="T2649" i="11"/>
  <c r="T2650" i="11"/>
  <c r="T2651" i="11"/>
  <c r="T2652" i="11"/>
  <c r="T2653" i="11"/>
  <c r="T2654" i="11"/>
  <c r="T2655" i="11"/>
  <c r="T2656" i="11"/>
  <c r="T2657" i="11"/>
  <c r="T2658" i="11"/>
  <c r="T2659" i="11"/>
  <c r="T2660" i="11"/>
  <c r="T2661" i="11"/>
  <c r="T2662" i="11"/>
  <c r="T2663" i="11"/>
  <c r="T2664" i="11"/>
  <c r="T2665" i="11"/>
  <c r="T2666" i="11"/>
  <c r="T2667" i="11"/>
  <c r="T2668" i="11"/>
  <c r="T2669" i="11"/>
  <c r="T2670" i="11"/>
  <c r="T2671" i="11"/>
  <c r="T2672" i="11"/>
  <c r="T2673" i="11"/>
  <c r="T2674" i="11"/>
  <c r="T2675" i="11"/>
  <c r="T2676" i="11"/>
  <c r="T2677" i="11"/>
  <c r="T2678" i="11"/>
  <c r="T2679" i="11"/>
  <c r="T2680" i="11"/>
  <c r="T2681" i="11"/>
  <c r="T2682" i="11"/>
  <c r="T2683" i="11"/>
  <c r="T2684" i="11"/>
  <c r="T2685" i="11"/>
  <c r="T2686" i="11"/>
  <c r="T2687" i="11"/>
  <c r="T2688" i="11"/>
  <c r="T2689" i="11"/>
  <c r="T2690" i="11"/>
  <c r="T2691" i="11"/>
  <c r="T2692" i="11"/>
  <c r="T2693" i="11"/>
  <c r="T2694" i="11"/>
  <c r="T2695" i="11"/>
  <c r="T2696" i="11"/>
  <c r="T2697" i="11"/>
  <c r="T2698" i="11"/>
  <c r="T2699" i="11"/>
  <c r="T2700" i="11"/>
  <c r="T2701" i="11"/>
  <c r="T2702" i="11"/>
  <c r="T2703" i="11"/>
  <c r="T2704" i="11"/>
  <c r="T2705" i="11"/>
  <c r="T2706" i="11"/>
  <c r="T2707" i="11"/>
  <c r="T2708" i="11"/>
  <c r="T2709" i="11"/>
  <c r="T2710" i="11"/>
  <c r="T2711" i="11"/>
  <c r="T2712" i="11"/>
  <c r="T2713" i="11"/>
  <c r="T2714" i="11"/>
  <c r="T2715" i="11"/>
  <c r="T2716" i="11"/>
  <c r="T2717" i="11"/>
  <c r="T2718" i="11"/>
  <c r="T2719" i="11"/>
  <c r="T2720" i="11"/>
  <c r="T2721" i="11"/>
  <c r="T2722" i="11"/>
  <c r="T2723" i="11"/>
  <c r="T2724" i="11"/>
  <c r="T2725" i="11"/>
  <c r="T2726" i="11"/>
  <c r="T2727" i="11"/>
  <c r="T2728" i="11"/>
  <c r="T2729" i="11"/>
  <c r="T2730" i="11"/>
  <c r="T2731" i="11"/>
  <c r="T2732" i="11"/>
  <c r="T2733" i="11"/>
  <c r="T2734" i="11"/>
  <c r="T2735" i="11"/>
  <c r="T2736" i="11"/>
  <c r="T2737" i="11"/>
  <c r="T2738" i="11"/>
  <c r="T2739" i="11"/>
  <c r="T2740" i="11"/>
  <c r="T2741" i="11"/>
  <c r="T2742" i="11"/>
  <c r="T2743" i="11"/>
  <c r="T2744" i="11"/>
  <c r="T2745" i="11"/>
  <c r="T2746" i="11"/>
  <c r="T2747" i="11"/>
  <c r="T2748" i="11"/>
  <c r="T2749" i="11"/>
  <c r="T2750" i="11"/>
  <c r="T2751" i="11"/>
  <c r="T2752" i="11"/>
  <c r="T2753" i="11"/>
  <c r="T2754" i="11"/>
  <c r="T2755" i="11"/>
  <c r="T2756" i="11"/>
  <c r="T2757" i="11"/>
  <c r="T2758" i="11"/>
  <c r="T2759" i="11"/>
  <c r="T2760" i="11"/>
  <c r="T2761" i="11"/>
  <c r="T2762" i="11"/>
  <c r="T2763" i="11"/>
  <c r="T2764" i="11"/>
  <c r="T2765" i="11"/>
  <c r="T2766" i="11"/>
  <c r="T2767" i="11"/>
  <c r="T2768" i="11"/>
  <c r="T2769" i="11"/>
  <c r="T2770" i="11"/>
  <c r="T2771" i="11"/>
  <c r="T2772" i="11"/>
  <c r="T2773" i="11"/>
  <c r="T2774" i="11"/>
  <c r="T2775" i="11"/>
  <c r="T2776" i="11"/>
  <c r="T2777" i="11"/>
  <c r="T2778" i="11"/>
  <c r="T2779" i="11"/>
  <c r="T2780" i="11"/>
  <c r="T2781" i="11"/>
  <c r="T2782" i="11"/>
  <c r="T2783" i="11"/>
  <c r="T2784" i="11"/>
  <c r="T2785" i="11"/>
  <c r="T2786" i="11"/>
  <c r="T2787" i="11"/>
  <c r="T2788" i="11"/>
  <c r="T2789" i="11"/>
  <c r="T2790" i="11"/>
  <c r="T2791" i="11"/>
  <c r="T2792" i="11"/>
  <c r="T2793" i="11"/>
  <c r="T2794" i="11"/>
  <c r="T2795" i="11"/>
  <c r="T2796" i="11"/>
  <c r="T2797" i="11"/>
  <c r="T2798" i="11"/>
  <c r="T2799" i="11"/>
  <c r="T2800" i="11"/>
  <c r="T2801" i="11"/>
  <c r="T2802" i="11"/>
  <c r="T2803" i="11"/>
  <c r="T2804" i="11"/>
  <c r="T2805" i="11"/>
  <c r="T2806" i="11"/>
  <c r="T2807" i="11"/>
  <c r="T2808" i="11"/>
  <c r="T2809" i="11"/>
  <c r="T2810" i="11"/>
  <c r="T2811" i="11"/>
  <c r="T2812" i="11"/>
  <c r="T2813" i="11"/>
  <c r="T2814" i="11"/>
  <c r="T2815" i="11"/>
  <c r="T2816" i="11"/>
  <c r="T2817" i="11"/>
  <c r="T2818" i="11"/>
  <c r="T2819" i="11"/>
  <c r="T2820" i="11"/>
  <c r="T2821" i="11"/>
  <c r="T2822" i="11"/>
  <c r="T2823" i="11"/>
  <c r="T2824" i="11"/>
  <c r="T2825" i="11"/>
  <c r="T2826" i="11"/>
  <c r="T2827" i="11"/>
  <c r="T2828" i="11"/>
  <c r="T2829" i="11"/>
  <c r="T2830" i="11"/>
  <c r="T2831" i="11"/>
  <c r="T2832" i="11"/>
  <c r="T2833" i="11"/>
  <c r="T2834" i="11"/>
  <c r="T2835" i="11"/>
  <c r="T2836" i="11"/>
  <c r="T2837" i="11"/>
  <c r="T2838" i="11"/>
  <c r="T2839" i="11"/>
  <c r="T2840" i="11"/>
  <c r="T2841" i="11"/>
  <c r="T2842" i="11"/>
  <c r="T2843" i="11"/>
  <c r="T2844" i="11"/>
  <c r="T2845" i="11"/>
  <c r="T2846" i="11"/>
  <c r="T2847" i="11"/>
  <c r="T2848" i="11"/>
  <c r="T2849" i="11"/>
  <c r="T2850" i="11"/>
  <c r="T2851" i="11"/>
  <c r="T2852" i="11"/>
  <c r="T2853" i="11"/>
  <c r="T2854" i="11"/>
  <c r="T2855" i="11"/>
  <c r="T2856" i="11"/>
  <c r="T2857" i="11"/>
  <c r="T2858" i="11"/>
  <c r="T2859" i="11"/>
  <c r="T2860" i="11"/>
  <c r="T2861" i="11"/>
  <c r="T2862" i="11"/>
  <c r="T2863" i="11"/>
  <c r="T2864" i="11"/>
  <c r="T2865" i="11"/>
  <c r="T2866" i="11"/>
  <c r="T2867" i="11"/>
  <c r="T2868" i="11"/>
  <c r="T2869" i="11"/>
  <c r="T2870" i="11"/>
  <c r="T2871" i="11"/>
  <c r="T2872" i="11"/>
  <c r="T2873" i="11"/>
  <c r="T2874" i="11"/>
  <c r="T2875" i="11"/>
  <c r="T2876" i="11"/>
  <c r="T2877" i="11"/>
  <c r="T2878" i="11"/>
  <c r="T2879" i="11"/>
  <c r="T2880" i="11"/>
  <c r="T2881" i="11"/>
  <c r="T2882" i="11"/>
  <c r="T2883" i="11"/>
  <c r="T2884" i="11"/>
  <c r="T2885" i="11"/>
  <c r="T2886" i="11"/>
  <c r="T2887" i="11"/>
  <c r="T2888" i="11"/>
  <c r="T2889" i="11"/>
  <c r="T2890" i="11"/>
  <c r="T2891" i="11"/>
  <c r="T2892" i="11"/>
  <c r="T2893" i="11"/>
  <c r="T2894" i="11"/>
  <c r="T2895" i="11"/>
  <c r="T2896" i="11"/>
  <c r="T2897" i="11"/>
  <c r="T2898" i="11"/>
  <c r="T2899" i="11"/>
  <c r="T2900" i="11"/>
  <c r="T2901" i="11"/>
  <c r="T2902" i="11"/>
  <c r="T2903" i="11"/>
  <c r="T2904" i="11"/>
  <c r="T2905" i="11"/>
  <c r="T2906" i="11"/>
  <c r="T2907" i="11"/>
  <c r="T2908" i="11"/>
  <c r="T2909" i="11"/>
  <c r="T2910" i="11"/>
  <c r="T2911" i="11"/>
  <c r="T2912" i="11"/>
  <c r="T2913" i="11"/>
  <c r="T2914" i="11"/>
  <c r="T2915" i="11"/>
  <c r="T2916" i="11"/>
  <c r="T2917" i="11"/>
  <c r="T2918" i="11"/>
  <c r="T2919" i="11"/>
  <c r="T2920" i="11"/>
  <c r="T2921" i="11"/>
  <c r="T2922" i="11"/>
  <c r="T2923" i="11"/>
  <c r="T2924" i="11"/>
  <c r="T2925" i="11"/>
  <c r="T2926" i="11"/>
  <c r="T2927" i="11"/>
  <c r="T2928" i="11"/>
  <c r="T2929" i="11"/>
  <c r="T2930" i="11"/>
  <c r="T2931" i="11"/>
  <c r="T2932" i="11"/>
  <c r="T2933" i="11"/>
  <c r="T2934" i="11"/>
  <c r="T2935" i="11"/>
  <c r="T2936" i="11"/>
  <c r="T2937" i="11"/>
  <c r="T2938" i="11"/>
  <c r="T2939" i="11"/>
  <c r="T2940" i="11"/>
  <c r="T2941" i="11"/>
  <c r="T2942" i="11"/>
  <c r="T2943" i="11"/>
  <c r="T2944" i="11"/>
  <c r="T2945" i="11"/>
  <c r="T2946" i="11"/>
  <c r="T2947" i="11"/>
  <c r="T2948" i="11"/>
  <c r="T2949" i="11"/>
  <c r="T2950" i="11"/>
  <c r="T2951" i="11"/>
  <c r="T2952" i="11"/>
  <c r="T2953" i="11"/>
  <c r="T2954" i="11"/>
  <c r="T2955" i="11"/>
  <c r="T2956" i="11"/>
  <c r="T2957" i="11"/>
  <c r="T2958" i="11"/>
  <c r="T2959" i="11"/>
  <c r="T2960" i="11"/>
  <c r="T2961" i="11"/>
  <c r="T2962" i="11"/>
  <c r="T2963" i="11"/>
  <c r="T2964" i="11"/>
  <c r="T2965" i="11"/>
  <c r="T2966" i="11"/>
  <c r="T2967" i="11"/>
  <c r="T2968" i="11"/>
  <c r="T2969" i="11"/>
  <c r="T2970" i="11"/>
  <c r="T2971" i="11"/>
  <c r="T2972" i="11"/>
  <c r="T2973" i="11"/>
  <c r="T2974" i="11"/>
  <c r="T2975" i="11"/>
  <c r="T2976" i="11"/>
  <c r="T2977" i="11"/>
  <c r="T2978" i="11"/>
  <c r="T2979" i="11"/>
  <c r="T2980" i="11"/>
  <c r="T2981" i="11"/>
  <c r="T2982" i="11"/>
  <c r="T2983" i="11"/>
  <c r="T2984" i="11"/>
  <c r="T2985" i="11"/>
  <c r="T2986" i="11"/>
  <c r="T2987" i="11"/>
  <c r="T2988" i="11"/>
  <c r="T2989" i="11"/>
  <c r="T2990" i="11"/>
  <c r="T2991" i="11"/>
  <c r="T2992" i="11"/>
  <c r="T2993" i="11"/>
  <c r="T2994" i="11"/>
  <c r="T2995" i="11"/>
  <c r="T2996" i="11"/>
  <c r="T2997" i="11"/>
  <c r="T2998" i="11"/>
  <c r="T2999" i="11"/>
  <c r="T3000" i="11"/>
  <c r="T3001" i="11"/>
  <c r="T3002" i="11"/>
  <c r="T3003" i="11"/>
  <c r="T3004" i="11"/>
  <c r="T3005" i="11"/>
  <c r="T3006" i="11"/>
  <c r="T3007" i="11"/>
  <c r="T3008" i="11"/>
  <c r="T3009" i="11"/>
  <c r="T3010" i="11"/>
  <c r="T3011" i="11"/>
  <c r="T3012" i="11"/>
  <c r="T3013" i="11"/>
  <c r="T3014" i="11"/>
  <c r="T15" i="11"/>
  <c r="V22" i="7" l="1"/>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V400" i="7"/>
  <c r="V401" i="7"/>
  <c r="V402" i="7"/>
  <c r="V403" i="7"/>
  <c r="V404" i="7"/>
  <c r="V405" i="7"/>
  <c r="V406" i="7"/>
  <c r="V407" i="7"/>
  <c r="V408" i="7"/>
  <c r="V409" i="7"/>
  <c r="V410" i="7"/>
  <c r="V411" i="7"/>
  <c r="V412" i="7"/>
  <c r="V413" i="7"/>
  <c r="V414" i="7"/>
  <c r="V415" i="7"/>
  <c r="V416" i="7"/>
  <c r="V417" i="7"/>
  <c r="V418" i="7"/>
  <c r="V419" i="7"/>
  <c r="V420" i="7"/>
  <c r="V421" i="7"/>
  <c r="V422" i="7"/>
  <c r="V423" i="7"/>
  <c r="V424" i="7"/>
  <c r="V425" i="7"/>
  <c r="V426" i="7"/>
  <c r="V427" i="7"/>
  <c r="V428" i="7"/>
  <c r="V429" i="7"/>
  <c r="V430" i="7"/>
  <c r="V431" i="7"/>
  <c r="V432" i="7"/>
  <c r="V433" i="7"/>
  <c r="V434" i="7"/>
  <c r="V435" i="7"/>
  <c r="V436" i="7"/>
  <c r="V437" i="7"/>
  <c r="V438" i="7"/>
  <c r="V439" i="7"/>
  <c r="V440" i="7"/>
  <c r="V441" i="7"/>
  <c r="V442" i="7"/>
  <c r="V443" i="7"/>
  <c r="V444" i="7"/>
  <c r="V445" i="7"/>
  <c r="V446" i="7"/>
  <c r="V447" i="7"/>
  <c r="V448" i="7"/>
  <c r="V449" i="7"/>
  <c r="V450" i="7"/>
  <c r="V451" i="7"/>
  <c r="V452" i="7"/>
  <c r="V453" i="7"/>
  <c r="V454" i="7"/>
  <c r="V455" i="7"/>
  <c r="V456" i="7"/>
  <c r="V457" i="7"/>
  <c r="V458" i="7"/>
  <c r="V459" i="7"/>
  <c r="V460" i="7"/>
  <c r="V461" i="7"/>
  <c r="V462" i="7"/>
  <c r="V463" i="7"/>
  <c r="V464" i="7"/>
  <c r="V465" i="7"/>
  <c r="V466" i="7"/>
  <c r="V467" i="7"/>
  <c r="V468" i="7"/>
  <c r="V469" i="7"/>
  <c r="V470" i="7"/>
  <c r="V471" i="7"/>
  <c r="V472" i="7"/>
  <c r="V473" i="7"/>
  <c r="V474" i="7"/>
  <c r="V475" i="7"/>
  <c r="V476" i="7"/>
  <c r="V477" i="7"/>
  <c r="V478" i="7"/>
  <c r="V479" i="7"/>
  <c r="V480" i="7"/>
  <c r="V481" i="7"/>
  <c r="V482" i="7"/>
  <c r="V483" i="7"/>
  <c r="V484" i="7"/>
  <c r="V485" i="7"/>
  <c r="V486" i="7"/>
  <c r="V487" i="7"/>
  <c r="V488" i="7"/>
  <c r="V489" i="7"/>
  <c r="V490" i="7"/>
  <c r="V491" i="7"/>
  <c r="V492" i="7"/>
  <c r="V493" i="7"/>
  <c r="V494" i="7"/>
  <c r="V495" i="7"/>
  <c r="V496" i="7"/>
  <c r="V497" i="7"/>
  <c r="V498" i="7"/>
  <c r="V499" i="7"/>
  <c r="V500" i="7"/>
  <c r="V501" i="7"/>
  <c r="V502" i="7"/>
  <c r="V503" i="7"/>
  <c r="V504" i="7"/>
  <c r="V505" i="7"/>
  <c r="V506" i="7"/>
  <c r="V507" i="7"/>
  <c r="V508" i="7"/>
  <c r="V509" i="7"/>
  <c r="V510" i="7"/>
  <c r="V511" i="7"/>
  <c r="V512" i="7"/>
  <c r="V513" i="7"/>
  <c r="V514" i="7"/>
  <c r="V515" i="7"/>
  <c r="V516" i="7"/>
  <c r="V517" i="7"/>
  <c r="V518" i="7"/>
  <c r="V519" i="7"/>
  <c r="V520" i="7"/>
  <c r="N24" i="7" l="1"/>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S487" i="7" l="1"/>
  <c r="T487" i="7"/>
  <c r="S407" i="7"/>
  <c r="T407" i="7"/>
  <c r="S359" i="7"/>
  <c r="T359" i="7"/>
  <c r="S311" i="7"/>
  <c r="T311" i="7"/>
  <c r="S263" i="7"/>
  <c r="T263" i="7"/>
  <c r="S183" i="7"/>
  <c r="T183" i="7"/>
  <c r="S87" i="7"/>
  <c r="T87" i="7"/>
  <c r="S470" i="7"/>
  <c r="T470" i="7"/>
  <c r="S326" i="7"/>
  <c r="T326" i="7"/>
  <c r="S230" i="7"/>
  <c r="T230" i="7"/>
  <c r="S54" i="7"/>
  <c r="T54" i="7"/>
  <c r="S389" i="7"/>
  <c r="T389" i="7"/>
  <c r="S325" i="7"/>
  <c r="T325" i="7"/>
  <c r="S229" i="7"/>
  <c r="T229" i="7"/>
  <c r="S85" i="7"/>
  <c r="T85" i="7"/>
  <c r="S468" i="7"/>
  <c r="T468" i="7"/>
  <c r="T340" i="7"/>
  <c r="S340" i="7"/>
  <c r="T212" i="7"/>
  <c r="S212" i="7"/>
  <c r="S36" i="7"/>
  <c r="T36" i="7"/>
  <c r="S403" i="7"/>
  <c r="T403" i="7"/>
  <c r="S323" i="7"/>
  <c r="T323" i="7"/>
  <c r="S259" i="7"/>
  <c r="T259" i="7"/>
  <c r="T83" i="7"/>
  <c r="S83" i="7"/>
  <c r="T514" i="7"/>
  <c r="S514" i="7"/>
  <c r="S386" i="7"/>
  <c r="T386" i="7"/>
  <c r="S322" i="7"/>
  <c r="T322" i="7"/>
  <c r="S274" i="7"/>
  <c r="T274" i="7"/>
  <c r="S226" i="7"/>
  <c r="T226" i="7"/>
  <c r="S178" i="7"/>
  <c r="T178" i="7"/>
  <c r="S130" i="7"/>
  <c r="T130" i="7"/>
  <c r="S497" i="7"/>
  <c r="T497" i="7"/>
  <c r="S417" i="7"/>
  <c r="T417" i="7"/>
  <c r="S369" i="7"/>
  <c r="T369" i="7"/>
  <c r="S305" i="7"/>
  <c r="T305" i="7"/>
  <c r="S257" i="7"/>
  <c r="T257" i="7"/>
  <c r="S193" i="7"/>
  <c r="T193" i="7"/>
  <c r="S145" i="7"/>
  <c r="T145" i="7"/>
  <c r="S97" i="7"/>
  <c r="T97" i="7"/>
  <c r="S65" i="7"/>
  <c r="T65" i="7"/>
  <c r="S480" i="7"/>
  <c r="T480" i="7"/>
  <c r="S416" i="7"/>
  <c r="T416" i="7"/>
  <c r="S384" i="7"/>
  <c r="T384" i="7"/>
  <c r="S368" i="7"/>
  <c r="T368" i="7"/>
  <c r="S352" i="7"/>
  <c r="T352" i="7"/>
  <c r="S336" i="7"/>
  <c r="T336" i="7"/>
  <c r="S320" i="7"/>
  <c r="T320" i="7"/>
  <c r="S304" i="7"/>
  <c r="T304" i="7"/>
  <c r="S288" i="7"/>
  <c r="T288" i="7"/>
  <c r="S272" i="7"/>
  <c r="T272" i="7"/>
  <c r="S256" i="7"/>
  <c r="T256" i="7"/>
  <c r="S240" i="7"/>
  <c r="T240" i="7"/>
  <c r="S224" i="7"/>
  <c r="T224" i="7"/>
  <c r="S208" i="7"/>
  <c r="T208" i="7"/>
  <c r="S192" i="7"/>
  <c r="T192" i="7"/>
  <c r="S176" i="7"/>
  <c r="T176" i="7"/>
  <c r="S160" i="7"/>
  <c r="T160" i="7"/>
  <c r="S144" i="7"/>
  <c r="T144" i="7"/>
  <c r="S128" i="7"/>
  <c r="T128" i="7"/>
  <c r="S112" i="7"/>
  <c r="T112" i="7"/>
  <c r="S96" i="7"/>
  <c r="T96" i="7"/>
  <c r="S80" i="7"/>
  <c r="T80" i="7"/>
  <c r="S64" i="7"/>
  <c r="T64" i="7"/>
  <c r="S48" i="7"/>
  <c r="T48" i="7"/>
  <c r="S32" i="7"/>
  <c r="T32" i="7"/>
  <c r="S519" i="7"/>
  <c r="T519" i="7"/>
  <c r="S391" i="7"/>
  <c r="T391" i="7"/>
  <c r="S295" i="7"/>
  <c r="T295" i="7"/>
  <c r="S199" i="7"/>
  <c r="T199" i="7"/>
  <c r="S55" i="7"/>
  <c r="T55" i="7"/>
  <c r="S390" i="7"/>
  <c r="T390" i="7"/>
  <c r="S294" i="7"/>
  <c r="T294" i="7"/>
  <c r="S214" i="7"/>
  <c r="T214" i="7"/>
  <c r="S70" i="7"/>
  <c r="T70" i="7"/>
  <c r="S405" i="7"/>
  <c r="T405" i="7"/>
  <c r="S293" i="7"/>
  <c r="T293" i="7"/>
  <c r="S213" i="7"/>
  <c r="T213" i="7"/>
  <c r="T37" i="7"/>
  <c r="S37" i="7"/>
  <c r="S420" i="7"/>
  <c r="T420" i="7"/>
  <c r="S324" i="7"/>
  <c r="T324" i="7"/>
  <c r="S244" i="7"/>
  <c r="T244" i="7"/>
  <c r="T100" i="7"/>
  <c r="S100" i="7"/>
  <c r="S515" i="7"/>
  <c r="T515" i="7"/>
  <c r="S371" i="7"/>
  <c r="T371" i="7"/>
  <c r="S291" i="7"/>
  <c r="T291" i="7"/>
  <c r="S243" i="7"/>
  <c r="T243" i="7"/>
  <c r="S179" i="7"/>
  <c r="T179" i="7"/>
  <c r="T51" i="7"/>
  <c r="S51" i="7"/>
  <c r="T466" i="7"/>
  <c r="S466" i="7"/>
  <c r="S338" i="7"/>
  <c r="T338" i="7"/>
  <c r="S194" i="7"/>
  <c r="T194" i="7"/>
  <c r="S50" i="7"/>
  <c r="T50" i="7"/>
  <c r="S433" i="7"/>
  <c r="T433" i="7"/>
  <c r="S401" i="7"/>
  <c r="T401" i="7"/>
  <c r="S353" i="7"/>
  <c r="T353" i="7"/>
  <c r="S321" i="7"/>
  <c r="T321" i="7"/>
  <c r="S289" i="7"/>
  <c r="T289" i="7"/>
  <c r="S241" i="7"/>
  <c r="T241" i="7"/>
  <c r="S209" i="7"/>
  <c r="T209" i="7"/>
  <c r="S161" i="7"/>
  <c r="T161" i="7"/>
  <c r="S113" i="7"/>
  <c r="T113" i="7"/>
  <c r="S33" i="7"/>
  <c r="T33" i="7"/>
  <c r="S496" i="7"/>
  <c r="T496" i="7"/>
  <c r="S448" i="7"/>
  <c r="T448" i="7"/>
  <c r="S400" i="7"/>
  <c r="T400" i="7"/>
  <c r="S495" i="7"/>
  <c r="T495" i="7"/>
  <c r="S479" i="7"/>
  <c r="T479" i="7"/>
  <c r="S463" i="7"/>
  <c r="T463" i="7"/>
  <c r="S447" i="7"/>
  <c r="T447" i="7"/>
  <c r="S431" i="7"/>
  <c r="T431" i="7"/>
  <c r="S415" i="7"/>
  <c r="T415" i="7"/>
  <c r="S399" i="7"/>
  <c r="T399" i="7"/>
  <c r="S383" i="7"/>
  <c r="T383" i="7"/>
  <c r="S367" i="7"/>
  <c r="T367" i="7"/>
  <c r="S351" i="7"/>
  <c r="T351" i="7"/>
  <c r="S335" i="7"/>
  <c r="T335" i="7"/>
  <c r="S319" i="7"/>
  <c r="T319" i="7"/>
  <c r="S303" i="7"/>
  <c r="T303" i="7"/>
  <c r="S287" i="7"/>
  <c r="T287" i="7"/>
  <c r="S271" i="7"/>
  <c r="T271" i="7"/>
  <c r="S255" i="7"/>
  <c r="T255" i="7"/>
  <c r="S239" i="7"/>
  <c r="T239" i="7"/>
  <c r="S223" i="7"/>
  <c r="T223" i="7"/>
  <c r="S207" i="7"/>
  <c r="T207" i="7"/>
  <c r="S191" i="7"/>
  <c r="T191" i="7"/>
  <c r="S175" i="7"/>
  <c r="T175" i="7"/>
  <c r="S159" i="7"/>
  <c r="T159" i="7"/>
  <c r="S143" i="7"/>
  <c r="T143" i="7"/>
  <c r="S127" i="7"/>
  <c r="T127" i="7"/>
  <c r="S111" i="7"/>
  <c r="T111" i="7"/>
  <c r="S95" i="7"/>
  <c r="T95" i="7"/>
  <c r="S79" i="7"/>
  <c r="T79" i="7"/>
  <c r="S63" i="7"/>
  <c r="T63" i="7"/>
  <c r="S47" i="7"/>
  <c r="T47" i="7"/>
  <c r="S31" i="7"/>
  <c r="T31" i="7"/>
  <c r="S423" i="7"/>
  <c r="T423" i="7"/>
  <c r="S327" i="7"/>
  <c r="T327" i="7"/>
  <c r="S231" i="7"/>
  <c r="T231" i="7"/>
  <c r="S71" i="7"/>
  <c r="T71" i="7"/>
  <c r="S438" i="7"/>
  <c r="T438" i="7"/>
  <c r="S342" i="7"/>
  <c r="T342" i="7"/>
  <c r="S278" i="7"/>
  <c r="T278" i="7"/>
  <c r="S198" i="7"/>
  <c r="T198" i="7"/>
  <c r="S86" i="7"/>
  <c r="T86" i="7"/>
  <c r="S501" i="7"/>
  <c r="T501" i="7"/>
  <c r="T373" i="7"/>
  <c r="S373" i="7"/>
  <c r="S277" i="7"/>
  <c r="T277" i="7"/>
  <c r="S197" i="7"/>
  <c r="T197" i="7"/>
  <c r="S53" i="7"/>
  <c r="T53" i="7"/>
  <c r="S500" i="7"/>
  <c r="T500" i="7"/>
  <c r="S436" i="7"/>
  <c r="T436" i="7"/>
  <c r="T356" i="7"/>
  <c r="S356" i="7"/>
  <c r="T308" i="7"/>
  <c r="S308" i="7"/>
  <c r="S260" i="7"/>
  <c r="T260" i="7"/>
  <c r="S180" i="7"/>
  <c r="T180" i="7"/>
  <c r="S52" i="7"/>
  <c r="T52" i="7"/>
  <c r="S387" i="7"/>
  <c r="T387" i="7"/>
  <c r="T211" i="7"/>
  <c r="S211" i="7"/>
  <c r="T35" i="7"/>
  <c r="S35" i="7"/>
  <c r="T434" i="7"/>
  <c r="S434" i="7"/>
  <c r="S290" i="7"/>
  <c r="T290" i="7"/>
  <c r="S210" i="7"/>
  <c r="T210" i="7"/>
  <c r="S66" i="7"/>
  <c r="T66" i="7"/>
  <c r="S449" i="7"/>
  <c r="T449" i="7"/>
  <c r="S385" i="7"/>
  <c r="T385" i="7"/>
  <c r="S337" i="7"/>
  <c r="T337" i="7"/>
  <c r="S273" i="7"/>
  <c r="T273" i="7"/>
  <c r="S225" i="7"/>
  <c r="T225" i="7"/>
  <c r="S177" i="7"/>
  <c r="T177" i="7"/>
  <c r="S129" i="7"/>
  <c r="T129" i="7"/>
  <c r="S81" i="7"/>
  <c r="T81" i="7"/>
  <c r="S49" i="7"/>
  <c r="T49" i="7"/>
  <c r="S512" i="7"/>
  <c r="T512" i="7"/>
  <c r="S464" i="7"/>
  <c r="T464" i="7"/>
  <c r="S432" i="7"/>
  <c r="T432" i="7"/>
  <c r="S511" i="7"/>
  <c r="T511" i="7"/>
  <c r="S510" i="7"/>
  <c r="T510" i="7"/>
  <c r="S494" i="7"/>
  <c r="T494" i="7"/>
  <c r="S478" i="7"/>
  <c r="T478" i="7"/>
  <c r="S462" i="7"/>
  <c r="T462" i="7"/>
  <c r="S446" i="7"/>
  <c r="T446" i="7"/>
  <c r="S430" i="7"/>
  <c r="T430" i="7"/>
  <c r="S414" i="7"/>
  <c r="T414" i="7"/>
  <c r="S398" i="7"/>
  <c r="T398" i="7"/>
  <c r="S382" i="7"/>
  <c r="T382" i="7"/>
  <c r="S366" i="7"/>
  <c r="T366" i="7"/>
  <c r="S350" i="7"/>
  <c r="T350" i="7"/>
  <c r="S334" i="7"/>
  <c r="T334" i="7"/>
  <c r="S318" i="7"/>
  <c r="T318" i="7"/>
  <c r="S302" i="7"/>
  <c r="T302" i="7"/>
  <c r="S286" i="7"/>
  <c r="T286" i="7"/>
  <c r="S270" i="7"/>
  <c r="T270" i="7"/>
  <c r="S254" i="7"/>
  <c r="T254" i="7"/>
  <c r="S238" i="7"/>
  <c r="T238" i="7"/>
  <c r="S222" i="7"/>
  <c r="T222" i="7"/>
  <c r="S206" i="7"/>
  <c r="T206" i="7"/>
  <c r="S190" i="7"/>
  <c r="T190" i="7"/>
  <c r="S174" i="7"/>
  <c r="T174" i="7"/>
  <c r="S158" i="7"/>
  <c r="T158" i="7"/>
  <c r="S142" i="7"/>
  <c r="T142" i="7"/>
  <c r="S126" i="7"/>
  <c r="T126" i="7"/>
  <c r="S110" i="7"/>
  <c r="T110" i="7"/>
  <c r="S94" i="7"/>
  <c r="T94" i="7"/>
  <c r="S78" i="7"/>
  <c r="T78" i="7"/>
  <c r="S62" i="7"/>
  <c r="T62" i="7"/>
  <c r="S46" i="7"/>
  <c r="T46" i="7"/>
  <c r="S30" i="7"/>
  <c r="T30" i="7"/>
  <c r="S503" i="7"/>
  <c r="T503" i="7"/>
  <c r="S135" i="7"/>
  <c r="T135" i="7"/>
  <c r="S502" i="7"/>
  <c r="T502" i="7"/>
  <c r="S166" i="7"/>
  <c r="T166" i="7"/>
  <c r="S437" i="7"/>
  <c r="T437" i="7"/>
  <c r="S165" i="7"/>
  <c r="T165" i="7"/>
  <c r="S516" i="7"/>
  <c r="T516" i="7"/>
  <c r="S164" i="7"/>
  <c r="T164" i="7"/>
  <c r="S483" i="7"/>
  <c r="T483" i="7"/>
  <c r="S115" i="7"/>
  <c r="T115" i="7"/>
  <c r="S370" i="7"/>
  <c r="T370" i="7"/>
  <c r="S162" i="7"/>
  <c r="T162" i="7"/>
  <c r="S493" i="7"/>
  <c r="T493" i="7"/>
  <c r="T413" i="7"/>
  <c r="S413" i="7"/>
  <c r="S397" i="7"/>
  <c r="T397" i="7"/>
  <c r="T381" i="7"/>
  <c r="S381" i="7"/>
  <c r="S365" i="7"/>
  <c r="T365" i="7"/>
  <c r="S349" i="7"/>
  <c r="T349" i="7"/>
  <c r="S333" i="7"/>
  <c r="T333" i="7"/>
  <c r="S317" i="7"/>
  <c r="T317" i="7"/>
  <c r="S301" i="7"/>
  <c r="T301" i="7"/>
  <c r="S285" i="7"/>
  <c r="T285" i="7"/>
  <c r="S269" i="7"/>
  <c r="T269" i="7"/>
  <c r="T253" i="7"/>
  <c r="S253" i="7"/>
  <c r="S237" i="7"/>
  <c r="T237" i="7"/>
  <c r="S221" i="7"/>
  <c r="T221" i="7"/>
  <c r="S205" i="7"/>
  <c r="T205" i="7"/>
  <c r="S189" i="7"/>
  <c r="T189" i="7"/>
  <c r="T173" i="7"/>
  <c r="S173" i="7"/>
  <c r="S157" i="7"/>
  <c r="T157" i="7"/>
  <c r="S141" i="7"/>
  <c r="T141" i="7"/>
  <c r="T125" i="7"/>
  <c r="S125" i="7"/>
  <c r="S109" i="7"/>
  <c r="T109" i="7"/>
  <c r="S93" i="7"/>
  <c r="T93" i="7"/>
  <c r="S77" i="7"/>
  <c r="T77" i="7"/>
  <c r="S61" i="7"/>
  <c r="T61" i="7"/>
  <c r="S45" i="7"/>
  <c r="T45" i="7"/>
  <c r="S29" i="7"/>
  <c r="T29" i="7"/>
  <c r="S439" i="7"/>
  <c r="T439" i="7"/>
  <c r="S151" i="7"/>
  <c r="T151" i="7"/>
  <c r="S454" i="7"/>
  <c r="T454" i="7"/>
  <c r="S134" i="7"/>
  <c r="T134" i="7"/>
  <c r="S485" i="7"/>
  <c r="T485" i="7"/>
  <c r="S149" i="7"/>
  <c r="T149" i="7"/>
  <c r="S484" i="7"/>
  <c r="T484" i="7"/>
  <c r="S148" i="7"/>
  <c r="T148" i="7"/>
  <c r="S451" i="7"/>
  <c r="T451" i="7"/>
  <c r="S163" i="7"/>
  <c r="T163" i="7"/>
  <c r="T418" i="7"/>
  <c r="S418" i="7"/>
  <c r="S306" i="7"/>
  <c r="T306" i="7"/>
  <c r="S146" i="7"/>
  <c r="T146" i="7"/>
  <c r="S492" i="7"/>
  <c r="T492" i="7"/>
  <c r="S412" i="7"/>
  <c r="T412" i="7"/>
  <c r="S348" i="7"/>
  <c r="T348" i="7"/>
  <c r="S332" i="7"/>
  <c r="T332" i="7"/>
  <c r="S316" i="7"/>
  <c r="T316" i="7"/>
  <c r="S300" i="7"/>
  <c r="T300" i="7"/>
  <c r="S284" i="7"/>
  <c r="T284" i="7"/>
  <c r="S268" i="7"/>
  <c r="T268" i="7"/>
  <c r="T252" i="7"/>
  <c r="S252" i="7"/>
  <c r="T236" i="7"/>
  <c r="S236" i="7"/>
  <c r="S220" i="7"/>
  <c r="T220" i="7"/>
  <c r="S204" i="7"/>
  <c r="T204" i="7"/>
  <c r="S188" i="7"/>
  <c r="T188" i="7"/>
  <c r="S172" i="7"/>
  <c r="T172" i="7"/>
  <c r="T156" i="7"/>
  <c r="S156" i="7"/>
  <c r="T140" i="7"/>
  <c r="S140" i="7"/>
  <c r="S124" i="7"/>
  <c r="T124" i="7"/>
  <c r="T108" i="7"/>
  <c r="S108" i="7"/>
  <c r="S92" i="7"/>
  <c r="T92" i="7"/>
  <c r="S76" i="7"/>
  <c r="T76" i="7"/>
  <c r="S60" i="7"/>
  <c r="T60" i="7"/>
  <c r="S44" i="7"/>
  <c r="T44" i="7"/>
  <c r="S28" i="7"/>
  <c r="T28" i="7"/>
  <c r="S375" i="7"/>
  <c r="T375" i="7"/>
  <c r="S119" i="7"/>
  <c r="T119" i="7"/>
  <c r="S150" i="7"/>
  <c r="T150" i="7"/>
  <c r="S517" i="7"/>
  <c r="T517" i="7"/>
  <c r="S133" i="7"/>
  <c r="T133" i="7"/>
  <c r="S372" i="7"/>
  <c r="T372" i="7"/>
  <c r="S132" i="7"/>
  <c r="T132" i="7"/>
  <c r="S419" i="7"/>
  <c r="T419" i="7"/>
  <c r="S131" i="7"/>
  <c r="T131" i="7"/>
  <c r="T482" i="7"/>
  <c r="S482" i="7"/>
  <c r="S114" i="7"/>
  <c r="T114" i="7"/>
  <c r="S429" i="7"/>
  <c r="T429" i="7"/>
  <c r="S428" i="7"/>
  <c r="T428" i="7"/>
  <c r="S491" i="7"/>
  <c r="T491" i="7"/>
  <c r="T379" i="7"/>
  <c r="S379" i="7"/>
  <c r="S315" i="7"/>
  <c r="T315" i="7"/>
  <c r="S283" i="7"/>
  <c r="T283" i="7"/>
  <c r="S251" i="7"/>
  <c r="T251" i="7"/>
  <c r="T235" i="7"/>
  <c r="S235" i="7"/>
  <c r="T219" i="7"/>
  <c r="S219" i="7"/>
  <c r="S203" i="7"/>
  <c r="T203" i="7"/>
  <c r="S187" i="7"/>
  <c r="T187" i="7"/>
  <c r="S171" i="7"/>
  <c r="T171" i="7"/>
  <c r="S155" i="7"/>
  <c r="T155" i="7"/>
  <c r="S139" i="7"/>
  <c r="T139" i="7"/>
  <c r="S123" i="7"/>
  <c r="T123" i="7"/>
  <c r="T107" i="7"/>
  <c r="S107" i="7"/>
  <c r="T91" i="7"/>
  <c r="S91" i="7"/>
  <c r="S75" i="7"/>
  <c r="T75" i="7"/>
  <c r="S59" i="7"/>
  <c r="T59" i="7"/>
  <c r="S43" i="7"/>
  <c r="T43" i="7"/>
  <c r="S27" i="7"/>
  <c r="T27" i="7"/>
  <c r="S471" i="7"/>
  <c r="T471" i="7"/>
  <c r="S167" i="7"/>
  <c r="T167" i="7"/>
  <c r="S422" i="7"/>
  <c r="T422" i="7"/>
  <c r="S118" i="7"/>
  <c r="T118" i="7"/>
  <c r="S469" i="7"/>
  <c r="T469" i="7"/>
  <c r="T117" i="7"/>
  <c r="S117" i="7"/>
  <c r="S452" i="7"/>
  <c r="T452" i="7"/>
  <c r="S116" i="7"/>
  <c r="T116" i="7"/>
  <c r="S467" i="7"/>
  <c r="T467" i="7"/>
  <c r="S147" i="7"/>
  <c r="T147" i="7"/>
  <c r="T450" i="7"/>
  <c r="S450" i="7"/>
  <c r="S98" i="7"/>
  <c r="T98" i="7"/>
  <c r="S476" i="7"/>
  <c r="T476" i="7"/>
  <c r="T396" i="7"/>
  <c r="S396" i="7"/>
  <c r="S427" i="7"/>
  <c r="T427" i="7"/>
  <c r="T363" i="7"/>
  <c r="S363" i="7"/>
  <c r="S490" i="7"/>
  <c r="T490" i="7"/>
  <c r="S378" i="7"/>
  <c r="T378" i="7"/>
  <c r="S298" i="7"/>
  <c r="T298" i="7"/>
  <c r="S218" i="7"/>
  <c r="T218" i="7"/>
  <c r="S170" i="7"/>
  <c r="T170" i="7"/>
  <c r="S122" i="7"/>
  <c r="T122" i="7"/>
  <c r="S106" i="7"/>
  <c r="T106" i="7"/>
  <c r="S90" i="7"/>
  <c r="T90" i="7"/>
  <c r="S74" i="7"/>
  <c r="T74" i="7"/>
  <c r="T58" i="7"/>
  <c r="S58" i="7"/>
  <c r="T42" i="7"/>
  <c r="S42" i="7"/>
  <c r="S26" i="7"/>
  <c r="T26" i="7"/>
  <c r="S455" i="7"/>
  <c r="T455" i="7"/>
  <c r="S343" i="7"/>
  <c r="T343" i="7"/>
  <c r="S247" i="7"/>
  <c r="T247" i="7"/>
  <c r="S39" i="7"/>
  <c r="T39" i="7"/>
  <c r="S486" i="7"/>
  <c r="T486" i="7"/>
  <c r="S406" i="7"/>
  <c r="T406" i="7"/>
  <c r="S374" i="7"/>
  <c r="T374" i="7"/>
  <c r="S310" i="7"/>
  <c r="T310" i="7"/>
  <c r="S262" i="7"/>
  <c r="T262" i="7"/>
  <c r="S182" i="7"/>
  <c r="T182" i="7"/>
  <c r="S102" i="7"/>
  <c r="T102" i="7"/>
  <c r="S453" i="7"/>
  <c r="T453" i="7"/>
  <c r="T341" i="7"/>
  <c r="S341" i="7"/>
  <c r="S261" i="7"/>
  <c r="T261" i="7"/>
  <c r="S101" i="7"/>
  <c r="T101" i="7"/>
  <c r="S388" i="7"/>
  <c r="T388" i="7"/>
  <c r="S292" i="7"/>
  <c r="T292" i="7"/>
  <c r="T228" i="7"/>
  <c r="S228" i="7"/>
  <c r="S84" i="7"/>
  <c r="T84" i="7"/>
  <c r="S435" i="7"/>
  <c r="T435" i="7"/>
  <c r="T339" i="7"/>
  <c r="S339" i="7"/>
  <c r="S307" i="7"/>
  <c r="T307" i="7"/>
  <c r="S227" i="7"/>
  <c r="T227" i="7"/>
  <c r="S99" i="7"/>
  <c r="T99" i="7"/>
  <c r="T498" i="7"/>
  <c r="S498" i="7"/>
  <c r="S354" i="7"/>
  <c r="T354" i="7"/>
  <c r="S242" i="7"/>
  <c r="T242" i="7"/>
  <c r="S82" i="7"/>
  <c r="T82" i="7"/>
  <c r="S513" i="7"/>
  <c r="T513" i="7"/>
  <c r="S481" i="7"/>
  <c r="T481" i="7"/>
  <c r="T509" i="7"/>
  <c r="S509" i="7"/>
  <c r="T445" i="7"/>
  <c r="S445" i="7"/>
  <c r="T460" i="7"/>
  <c r="S460" i="7"/>
  <c r="T364" i="7"/>
  <c r="S364" i="7"/>
  <c r="S475" i="7"/>
  <c r="T475" i="7"/>
  <c r="S443" i="7"/>
  <c r="T443" i="7"/>
  <c r="S395" i="7"/>
  <c r="T395" i="7"/>
  <c r="T347" i="7"/>
  <c r="S347" i="7"/>
  <c r="S299" i="7"/>
  <c r="T299" i="7"/>
  <c r="S506" i="7"/>
  <c r="T506" i="7"/>
  <c r="S458" i="7"/>
  <c r="T458" i="7"/>
  <c r="S426" i="7"/>
  <c r="T426" i="7"/>
  <c r="S394" i="7"/>
  <c r="T394" i="7"/>
  <c r="S362" i="7"/>
  <c r="T362" i="7"/>
  <c r="S330" i="7"/>
  <c r="T330" i="7"/>
  <c r="S314" i="7"/>
  <c r="T314" i="7"/>
  <c r="S282" i="7"/>
  <c r="T282" i="7"/>
  <c r="S250" i="7"/>
  <c r="T250" i="7"/>
  <c r="S234" i="7"/>
  <c r="T234" i="7"/>
  <c r="S202" i="7"/>
  <c r="T202" i="7"/>
  <c r="S186" i="7"/>
  <c r="T186" i="7"/>
  <c r="S154" i="7"/>
  <c r="T154" i="7"/>
  <c r="S489" i="7"/>
  <c r="T489" i="7"/>
  <c r="S473" i="7"/>
  <c r="T473" i="7"/>
  <c r="S457" i="7"/>
  <c r="T457" i="7"/>
  <c r="S441" i="7"/>
  <c r="T441" i="7"/>
  <c r="S425" i="7"/>
  <c r="T425" i="7"/>
  <c r="S409" i="7"/>
  <c r="T409" i="7"/>
  <c r="S393" i="7"/>
  <c r="T393" i="7"/>
  <c r="S377" i="7"/>
  <c r="T377" i="7"/>
  <c r="S361" i="7"/>
  <c r="T361" i="7"/>
  <c r="S345" i="7"/>
  <c r="T345" i="7"/>
  <c r="S329" i="7"/>
  <c r="T329" i="7"/>
  <c r="S313" i="7"/>
  <c r="T313" i="7"/>
  <c r="S297" i="7"/>
  <c r="T297" i="7"/>
  <c r="S281" i="7"/>
  <c r="T281" i="7"/>
  <c r="S265" i="7"/>
  <c r="T265" i="7"/>
  <c r="S249" i="7"/>
  <c r="T249" i="7"/>
  <c r="S233" i="7"/>
  <c r="T233" i="7"/>
  <c r="S217" i="7"/>
  <c r="T217" i="7"/>
  <c r="S201" i="7"/>
  <c r="T201" i="7"/>
  <c r="S185" i="7"/>
  <c r="T185" i="7"/>
  <c r="S169" i="7"/>
  <c r="T169" i="7"/>
  <c r="S153" i="7"/>
  <c r="T153" i="7"/>
  <c r="S137" i="7"/>
  <c r="T137" i="7"/>
  <c r="S121" i="7"/>
  <c r="T121" i="7"/>
  <c r="S105" i="7"/>
  <c r="T105" i="7"/>
  <c r="S89" i="7"/>
  <c r="T89" i="7"/>
  <c r="S73" i="7"/>
  <c r="T73" i="7"/>
  <c r="S57" i="7"/>
  <c r="T57" i="7"/>
  <c r="S41" i="7"/>
  <c r="T41" i="7"/>
  <c r="S25" i="7"/>
  <c r="T25" i="7"/>
  <c r="S279" i="7"/>
  <c r="T279" i="7"/>
  <c r="S215" i="7"/>
  <c r="T215" i="7"/>
  <c r="S103" i="7"/>
  <c r="T103" i="7"/>
  <c r="S518" i="7"/>
  <c r="T518" i="7"/>
  <c r="S358" i="7"/>
  <c r="T358" i="7"/>
  <c r="S246" i="7"/>
  <c r="T246" i="7"/>
  <c r="S38" i="7"/>
  <c r="T38" i="7"/>
  <c r="S421" i="7"/>
  <c r="T421" i="7"/>
  <c r="T357" i="7"/>
  <c r="S357" i="7"/>
  <c r="S309" i="7"/>
  <c r="T309" i="7"/>
  <c r="T245" i="7"/>
  <c r="S245" i="7"/>
  <c r="S181" i="7"/>
  <c r="T181" i="7"/>
  <c r="T69" i="7"/>
  <c r="S69" i="7"/>
  <c r="S404" i="7"/>
  <c r="T404" i="7"/>
  <c r="S276" i="7"/>
  <c r="T276" i="7"/>
  <c r="T196" i="7"/>
  <c r="S196" i="7"/>
  <c r="S68" i="7"/>
  <c r="T68" i="7"/>
  <c r="S499" i="7"/>
  <c r="T499" i="7"/>
  <c r="S355" i="7"/>
  <c r="T355" i="7"/>
  <c r="S275" i="7"/>
  <c r="T275" i="7"/>
  <c r="T195" i="7"/>
  <c r="S195" i="7"/>
  <c r="T67" i="7"/>
  <c r="S67" i="7"/>
  <c r="T402" i="7"/>
  <c r="S402" i="7"/>
  <c r="S258" i="7"/>
  <c r="T258" i="7"/>
  <c r="S34" i="7"/>
  <c r="T34" i="7"/>
  <c r="S465" i="7"/>
  <c r="T465" i="7"/>
  <c r="T477" i="7"/>
  <c r="S477" i="7"/>
  <c r="T461" i="7"/>
  <c r="S461" i="7"/>
  <c r="S508" i="7"/>
  <c r="T508" i="7"/>
  <c r="S444" i="7"/>
  <c r="T444" i="7"/>
  <c r="T380" i="7"/>
  <c r="S380" i="7"/>
  <c r="S507" i="7"/>
  <c r="T507" i="7"/>
  <c r="T459" i="7"/>
  <c r="S459" i="7"/>
  <c r="S411" i="7"/>
  <c r="T411" i="7"/>
  <c r="S331" i="7"/>
  <c r="T331" i="7"/>
  <c r="S267" i="7"/>
  <c r="T267" i="7"/>
  <c r="S474" i="7"/>
  <c r="T474" i="7"/>
  <c r="S442" i="7"/>
  <c r="T442" i="7"/>
  <c r="S410" i="7"/>
  <c r="T410" i="7"/>
  <c r="S346" i="7"/>
  <c r="T346" i="7"/>
  <c r="S266" i="7"/>
  <c r="T266" i="7"/>
  <c r="S138" i="7"/>
  <c r="T138" i="7"/>
  <c r="S505" i="7"/>
  <c r="T505" i="7"/>
  <c r="S520" i="7"/>
  <c r="T520" i="7"/>
  <c r="S504" i="7"/>
  <c r="T504" i="7"/>
  <c r="S488" i="7"/>
  <c r="T488" i="7"/>
  <c r="S472" i="7"/>
  <c r="T472" i="7"/>
  <c r="S456" i="7"/>
  <c r="T456" i="7"/>
  <c r="S440" i="7"/>
  <c r="T440" i="7"/>
  <c r="S424" i="7"/>
  <c r="T424" i="7"/>
  <c r="S408" i="7"/>
  <c r="T408" i="7"/>
  <c r="S392" i="7"/>
  <c r="T392" i="7"/>
  <c r="S376" i="7"/>
  <c r="T376" i="7"/>
  <c r="S360" i="7"/>
  <c r="T360" i="7"/>
  <c r="S344" i="7"/>
  <c r="T344" i="7"/>
  <c r="S328" i="7"/>
  <c r="T328" i="7"/>
  <c r="S312" i="7"/>
  <c r="T312" i="7"/>
  <c r="S296" i="7"/>
  <c r="T296" i="7"/>
  <c r="S280" i="7"/>
  <c r="T280" i="7"/>
  <c r="S264" i="7"/>
  <c r="T264" i="7"/>
  <c r="S248" i="7"/>
  <c r="T248" i="7"/>
  <c r="S232" i="7"/>
  <c r="T232" i="7"/>
  <c r="S216" i="7"/>
  <c r="T216" i="7"/>
  <c r="S200" i="7"/>
  <c r="T200" i="7"/>
  <c r="S184" i="7"/>
  <c r="T184" i="7"/>
  <c r="S168" i="7"/>
  <c r="T168" i="7"/>
  <c r="S152" i="7"/>
  <c r="T152" i="7"/>
  <c r="S136" i="7"/>
  <c r="T136" i="7"/>
  <c r="S120" i="7"/>
  <c r="T120" i="7"/>
  <c r="S104" i="7"/>
  <c r="T104" i="7"/>
  <c r="S88" i="7"/>
  <c r="T88" i="7"/>
  <c r="S72" i="7"/>
  <c r="T72" i="7"/>
  <c r="S56" i="7"/>
  <c r="T56" i="7"/>
  <c r="S40" i="7"/>
  <c r="T40" i="7"/>
  <c r="S24" i="7"/>
  <c r="T24" i="7"/>
  <c r="U15"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U54" i="11"/>
  <c r="U55" i="11"/>
  <c r="U56" i="11"/>
  <c r="U57" i="11"/>
  <c r="U58" i="11"/>
  <c r="U59" i="11"/>
  <c r="U60" i="11"/>
  <c r="U61" i="11"/>
  <c r="U62" i="11"/>
  <c r="U63" i="11"/>
  <c r="U64" i="11"/>
  <c r="U65" i="11"/>
  <c r="U66" i="11"/>
  <c r="U67" i="11"/>
  <c r="U68" i="11"/>
  <c r="U69" i="11"/>
  <c r="U70" i="11"/>
  <c r="U71" i="11"/>
  <c r="U72" i="11"/>
  <c r="U73" i="11"/>
  <c r="U74" i="11"/>
  <c r="U75" i="11"/>
  <c r="U76" i="11"/>
  <c r="U77" i="11"/>
  <c r="U78" i="11"/>
  <c r="U79" i="11"/>
  <c r="U80" i="11"/>
  <c r="U81" i="11"/>
  <c r="U82" i="11"/>
  <c r="U83" i="11"/>
  <c r="U84" i="11"/>
  <c r="U85" i="11"/>
  <c r="U86" i="11"/>
  <c r="U87" i="11"/>
  <c r="U88" i="11"/>
  <c r="U89" i="11"/>
  <c r="U90" i="11"/>
  <c r="U91" i="11"/>
  <c r="U92" i="11"/>
  <c r="U93" i="11"/>
  <c r="U94" i="11"/>
  <c r="U95" i="11"/>
  <c r="U96" i="11"/>
  <c r="U97" i="11"/>
  <c r="U98" i="11"/>
  <c r="U99" i="11"/>
  <c r="U100" i="11"/>
  <c r="U101" i="11"/>
  <c r="U102" i="11"/>
  <c r="U103" i="11"/>
  <c r="U104" i="11"/>
  <c r="U105" i="11"/>
  <c r="U106" i="11"/>
  <c r="U107" i="11"/>
  <c r="U108" i="11"/>
  <c r="U109" i="11"/>
  <c r="U110" i="11"/>
  <c r="U111" i="11"/>
  <c r="U112" i="11"/>
  <c r="U113" i="11"/>
  <c r="U114" i="11"/>
  <c r="U115" i="11"/>
  <c r="U116" i="11"/>
  <c r="U117" i="11"/>
  <c r="U118" i="11"/>
  <c r="U119" i="11"/>
  <c r="U120" i="11"/>
  <c r="U121" i="11"/>
  <c r="U122" i="11"/>
  <c r="U123" i="11"/>
  <c r="U124" i="11"/>
  <c r="U125" i="11"/>
  <c r="U126" i="11"/>
  <c r="U127" i="11"/>
  <c r="U128" i="11"/>
  <c r="U129" i="11"/>
  <c r="U130" i="11"/>
  <c r="U131" i="11"/>
  <c r="U132" i="11"/>
  <c r="U133" i="11"/>
  <c r="U134" i="11"/>
  <c r="U135" i="11"/>
  <c r="U136" i="11"/>
  <c r="U137" i="11"/>
  <c r="U138" i="11"/>
  <c r="U139" i="11"/>
  <c r="U140" i="11"/>
  <c r="U141" i="11"/>
  <c r="U142" i="11"/>
  <c r="U143" i="11"/>
  <c r="U144" i="11"/>
  <c r="U145" i="11"/>
  <c r="U146" i="11"/>
  <c r="U147" i="11"/>
  <c r="U148" i="11"/>
  <c r="U149" i="11"/>
  <c r="U150" i="11"/>
  <c r="U151" i="11"/>
  <c r="U152" i="11"/>
  <c r="U153" i="11"/>
  <c r="U154" i="11"/>
  <c r="U155" i="11"/>
  <c r="U156" i="11"/>
  <c r="U157" i="11"/>
  <c r="U158" i="11"/>
  <c r="U159" i="11"/>
  <c r="U160" i="11"/>
  <c r="U161" i="11"/>
  <c r="U162" i="11"/>
  <c r="U163" i="11"/>
  <c r="U164" i="11"/>
  <c r="U165" i="11"/>
  <c r="U166" i="11"/>
  <c r="U167" i="11"/>
  <c r="U168" i="11"/>
  <c r="U169" i="11"/>
  <c r="U170" i="11"/>
  <c r="U171" i="11"/>
  <c r="U172" i="11"/>
  <c r="U173" i="11"/>
  <c r="U174" i="11"/>
  <c r="U175" i="11"/>
  <c r="U176" i="11"/>
  <c r="U177" i="11"/>
  <c r="U178" i="11"/>
  <c r="U179" i="11"/>
  <c r="U180" i="11"/>
  <c r="U181" i="11"/>
  <c r="U182" i="11"/>
  <c r="U183" i="11"/>
  <c r="U184" i="11"/>
  <c r="U185" i="11"/>
  <c r="U186" i="11"/>
  <c r="U187" i="11"/>
  <c r="U188" i="11"/>
  <c r="U189" i="11"/>
  <c r="U190" i="11"/>
  <c r="U191" i="11"/>
  <c r="U192" i="11"/>
  <c r="U193" i="11"/>
  <c r="U194" i="11"/>
  <c r="U195" i="11"/>
  <c r="U196" i="11"/>
  <c r="U197" i="11"/>
  <c r="U198" i="11"/>
  <c r="U199" i="11"/>
  <c r="U200" i="11"/>
  <c r="U201" i="11"/>
  <c r="U202" i="11"/>
  <c r="U203" i="11"/>
  <c r="U204" i="11"/>
  <c r="U205" i="11"/>
  <c r="U206" i="11"/>
  <c r="U207" i="11"/>
  <c r="U208" i="11"/>
  <c r="U209" i="11"/>
  <c r="U210" i="11"/>
  <c r="U211" i="11"/>
  <c r="U212" i="11"/>
  <c r="U213" i="11"/>
  <c r="U214" i="11"/>
  <c r="U215" i="11"/>
  <c r="U216" i="11"/>
  <c r="U217" i="11"/>
  <c r="U218" i="11"/>
  <c r="U219" i="11"/>
  <c r="U220" i="11"/>
  <c r="U221" i="11"/>
  <c r="U222" i="11"/>
  <c r="U223" i="11"/>
  <c r="U224" i="11"/>
  <c r="U225" i="11"/>
  <c r="U226" i="11"/>
  <c r="U227" i="11"/>
  <c r="U228" i="11"/>
  <c r="U229" i="11"/>
  <c r="U230" i="11"/>
  <c r="U231" i="11"/>
  <c r="U232" i="11"/>
  <c r="U233" i="11"/>
  <c r="U234" i="11"/>
  <c r="U235" i="11"/>
  <c r="U236" i="11"/>
  <c r="U237" i="11"/>
  <c r="U238" i="11"/>
  <c r="U239" i="11"/>
  <c r="U240" i="11"/>
  <c r="U241" i="11"/>
  <c r="U242" i="11"/>
  <c r="U243" i="11"/>
  <c r="U244" i="11"/>
  <c r="U245" i="11"/>
  <c r="U246" i="11"/>
  <c r="U247" i="11"/>
  <c r="U248" i="11"/>
  <c r="U249" i="11"/>
  <c r="U250" i="11"/>
  <c r="U251" i="11"/>
  <c r="U252" i="11"/>
  <c r="U253" i="11"/>
  <c r="U254" i="11"/>
  <c r="U255" i="11"/>
  <c r="U256" i="11"/>
  <c r="U257" i="11"/>
  <c r="U258" i="11"/>
  <c r="U259" i="11"/>
  <c r="U260" i="11"/>
  <c r="U261" i="11"/>
  <c r="U262" i="11"/>
  <c r="U263" i="11"/>
  <c r="U264" i="11"/>
  <c r="U265" i="11"/>
  <c r="U266" i="11"/>
  <c r="U267" i="11"/>
  <c r="U268" i="11"/>
  <c r="U269" i="11"/>
  <c r="U270" i="11"/>
  <c r="U271" i="11"/>
  <c r="U272" i="11"/>
  <c r="U273" i="11"/>
  <c r="U274" i="11"/>
  <c r="U275" i="11"/>
  <c r="U276" i="11"/>
  <c r="U277" i="11"/>
  <c r="U278" i="11"/>
  <c r="U279" i="11"/>
  <c r="U280" i="11"/>
  <c r="U281" i="11"/>
  <c r="U282" i="11"/>
  <c r="U283" i="11"/>
  <c r="U284" i="11"/>
  <c r="U285" i="11"/>
  <c r="U286" i="11"/>
  <c r="U287" i="11"/>
  <c r="U288" i="11"/>
  <c r="U289" i="11"/>
  <c r="U290" i="11"/>
  <c r="U291" i="11"/>
  <c r="U292" i="11"/>
  <c r="U293" i="11"/>
  <c r="U294" i="11"/>
  <c r="U295" i="11"/>
  <c r="U296" i="11"/>
  <c r="U297" i="11"/>
  <c r="U298" i="11"/>
  <c r="U299" i="11"/>
  <c r="U300" i="11"/>
  <c r="U301" i="11"/>
  <c r="U302" i="11"/>
  <c r="U303" i="11"/>
  <c r="U304" i="11"/>
  <c r="U305" i="11"/>
  <c r="U306" i="11"/>
  <c r="U307" i="11"/>
  <c r="U308" i="11"/>
  <c r="U309" i="11"/>
  <c r="U310" i="11"/>
  <c r="U311" i="11"/>
  <c r="U312" i="11"/>
  <c r="U313" i="11"/>
  <c r="U314" i="11"/>
  <c r="U315" i="11"/>
  <c r="U316" i="11"/>
  <c r="U317" i="11"/>
  <c r="U318" i="11"/>
  <c r="U319" i="11"/>
  <c r="U320" i="11"/>
  <c r="U321" i="11"/>
  <c r="U322" i="11"/>
  <c r="U323" i="11"/>
  <c r="U324" i="11"/>
  <c r="U325" i="11"/>
  <c r="U326" i="11"/>
  <c r="U327" i="11"/>
  <c r="U328" i="11"/>
  <c r="U329" i="11"/>
  <c r="U330" i="11"/>
  <c r="U331" i="11"/>
  <c r="U332" i="11"/>
  <c r="U333" i="11"/>
  <c r="U334" i="11"/>
  <c r="U335" i="11"/>
  <c r="U336" i="11"/>
  <c r="U337" i="11"/>
  <c r="U338" i="11"/>
  <c r="U339" i="11"/>
  <c r="U340" i="11"/>
  <c r="U341" i="11"/>
  <c r="U342" i="11"/>
  <c r="U343" i="11"/>
  <c r="U344" i="11"/>
  <c r="U345" i="11"/>
  <c r="U346" i="11"/>
  <c r="U347" i="11"/>
  <c r="U348" i="11"/>
  <c r="U349" i="11"/>
  <c r="U350" i="11"/>
  <c r="U351" i="11"/>
  <c r="U352" i="11"/>
  <c r="U353" i="11"/>
  <c r="U354" i="11"/>
  <c r="U355" i="11"/>
  <c r="U356" i="11"/>
  <c r="U357" i="11"/>
  <c r="U358" i="11"/>
  <c r="U359" i="11"/>
  <c r="U360" i="11"/>
  <c r="U361" i="11"/>
  <c r="U362" i="11"/>
  <c r="U363" i="11"/>
  <c r="U364" i="11"/>
  <c r="U365" i="11"/>
  <c r="U366" i="11"/>
  <c r="U367" i="11"/>
  <c r="U368" i="11"/>
  <c r="U369" i="11"/>
  <c r="U370" i="11"/>
  <c r="U371" i="11"/>
  <c r="U372" i="11"/>
  <c r="U373" i="11"/>
  <c r="U374" i="11"/>
  <c r="U375" i="11"/>
  <c r="U376" i="11"/>
  <c r="U377" i="11"/>
  <c r="U378" i="11"/>
  <c r="U379" i="11"/>
  <c r="U380" i="11"/>
  <c r="U381" i="11"/>
  <c r="U382" i="11"/>
  <c r="U383" i="11"/>
  <c r="U384" i="11"/>
  <c r="U385" i="11"/>
  <c r="U386" i="11"/>
  <c r="U387" i="11"/>
  <c r="U388" i="11"/>
  <c r="U389" i="11"/>
  <c r="U390" i="11"/>
  <c r="U391" i="11"/>
  <c r="U392" i="11"/>
  <c r="U393" i="11"/>
  <c r="U394" i="11"/>
  <c r="U395" i="11"/>
  <c r="U396" i="11"/>
  <c r="U397" i="11"/>
  <c r="U398" i="11"/>
  <c r="U399" i="11"/>
  <c r="U400" i="11"/>
  <c r="U401" i="11"/>
  <c r="U402" i="11"/>
  <c r="U403" i="11"/>
  <c r="U404" i="11"/>
  <c r="U405" i="11"/>
  <c r="U406" i="11"/>
  <c r="U407" i="11"/>
  <c r="U408" i="11"/>
  <c r="U409" i="11"/>
  <c r="U410" i="11"/>
  <c r="U411" i="11"/>
  <c r="U412" i="11"/>
  <c r="U413" i="11"/>
  <c r="U414" i="11"/>
  <c r="U415" i="11"/>
  <c r="U416" i="11"/>
  <c r="U417" i="11"/>
  <c r="U418" i="11"/>
  <c r="U419" i="11"/>
  <c r="U420" i="11"/>
  <c r="U421" i="11"/>
  <c r="U422" i="11"/>
  <c r="U423" i="11"/>
  <c r="U424" i="11"/>
  <c r="U425" i="11"/>
  <c r="U426" i="11"/>
  <c r="U427" i="11"/>
  <c r="U428" i="11"/>
  <c r="U429" i="11"/>
  <c r="U430" i="11"/>
  <c r="U431" i="11"/>
  <c r="U432" i="11"/>
  <c r="U433" i="11"/>
  <c r="U434" i="11"/>
  <c r="U435" i="11"/>
  <c r="U436" i="11"/>
  <c r="U437" i="11"/>
  <c r="U438" i="11"/>
  <c r="U439" i="11"/>
  <c r="U440" i="11"/>
  <c r="U441" i="11"/>
  <c r="U442" i="11"/>
  <c r="U443" i="11"/>
  <c r="U444" i="11"/>
  <c r="U445" i="11"/>
  <c r="U446" i="11"/>
  <c r="U447" i="11"/>
  <c r="U448" i="11"/>
  <c r="U449" i="11"/>
  <c r="U450" i="11"/>
  <c r="U451" i="11"/>
  <c r="U452" i="11"/>
  <c r="U453" i="11"/>
  <c r="U454" i="11"/>
  <c r="U455" i="11"/>
  <c r="U456" i="11"/>
  <c r="U457" i="11"/>
  <c r="U458" i="11"/>
  <c r="U459" i="11"/>
  <c r="U460" i="11"/>
  <c r="U461" i="11"/>
  <c r="U462" i="11"/>
  <c r="U463" i="11"/>
  <c r="U464" i="11"/>
  <c r="U465" i="11"/>
  <c r="U466" i="11"/>
  <c r="U467" i="11"/>
  <c r="U468" i="11"/>
  <c r="U469" i="11"/>
  <c r="U470" i="11"/>
  <c r="U471" i="11"/>
  <c r="U472" i="11"/>
  <c r="U473" i="11"/>
  <c r="U474" i="11"/>
  <c r="U475" i="11"/>
  <c r="U476" i="11"/>
  <c r="U477" i="11"/>
  <c r="U478" i="11"/>
  <c r="U479" i="11"/>
  <c r="U480" i="11"/>
  <c r="U481" i="11"/>
  <c r="U482" i="11"/>
  <c r="U483" i="11"/>
  <c r="U484" i="11"/>
  <c r="U485" i="11"/>
  <c r="U486" i="11"/>
  <c r="U487" i="11"/>
  <c r="U488" i="11"/>
  <c r="U489" i="11"/>
  <c r="U490" i="11"/>
  <c r="U491" i="11"/>
  <c r="U492" i="11"/>
  <c r="U493" i="11"/>
  <c r="U494" i="11"/>
  <c r="U495" i="11"/>
  <c r="U496" i="11"/>
  <c r="U497" i="11"/>
  <c r="U498" i="11"/>
  <c r="U499" i="11"/>
  <c r="U500" i="11"/>
  <c r="U501" i="11"/>
  <c r="U502" i="11"/>
  <c r="U503" i="11"/>
  <c r="U504" i="11"/>
  <c r="U505" i="11"/>
  <c r="U506" i="11"/>
  <c r="U507" i="11"/>
  <c r="U508" i="11"/>
  <c r="U509" i="11"/>
  <c r="U510" i="11"/>
  <c r="U511" i="11"/>
  <c r="U512" i="11"/>
  <c r="U513" i="11"/>
  <c r="U514" i="11"/>
  <c r="U515" i="11"/>
  <c r="U516" i="11"/>
  <c r="U517" i="11"/>
  <c r="U518" i="11"/>
  <c r="U519" i="11"/>
  <c r="U520" i="11"/>
  <c r="U521" i="11"/>
  <c r="U522" i="11"/>
  <c r="U523" i="11"/>
  <c r="U524" i="11"/>
  <c r="U525" i="11"/>
  <c r="U526" i="11"/>
  <c r="U527" i="11"/>
  <c r="U528" i="11"/>
  <c r="U529" i="11"/>
  <c r="U530" i="11"/>
  <c r="U531" i="11"/>
  <c r="U532" i="11"/>
  <c r="U533" i="11"/>
  <c r="U534" i="11"/>
  <c r="U535" i="11"/>
  <c r="U536" i="11"/>
  <c r="U537" i="11"/>
  <c r="U538" i="11"/>
  <c r="U539" i="11"/>
  <c r="U540" i="11"/>
  <c r="U541" i="11"/>
  <c r="U542" i="11"/>
  <c r="U543" i="11"/>
  <c r="U544" i="11"/>
  <c r="U545" i="11"/>
  <c r="U546" i="11"/>
  <c r="U547" i="11"/>
  <c r="U548" i="11"/>
  <c r="U549" i="11"/>
  <c r="U550" i="11"/>
  <c r="U551" i="11"/>
  <c r="U552" i="11"/>
  <c r="U553" i="11"/>
  <c r="U554" i="11"/>
  <c r="U555" i="11"/>
  <c r="U556" i="11"/>
  <c r="U557" i="11"/>
  <c r="U558" i="11"/>
  <c r="U559" i="11"/>
  <c r="U560" i="11"/>
  <c r="U561" i="11"/>
  <c r="U562" i="11"/>
  <c r="U563" i="11"/>
  <c r="U564" i="11"/>
  <c r="U565" i="11"/>
  <c r="U566" i="11"/>
  <c r="U567" i="11"/>
  <c r="U568" i="11"/>
  <c r="U569" i="11"/>
  <c r="U570" i="11"/>
  <c r="U571" i="11"/>
  <c r="U572" i="11"/>
  <c r="U573" i="11"/>
  <c r="U574" i="11"/>
  <c r="U575" i="11"/>
  <c r="U576" i="11"/>
  <c r="U577" i="11"/>
  <c r="U578" i="11"/>
  <c r="U579" i="11"/>
  <c r="U580" i="11"/>
  <c r="U581" i="11"/>
  <c r="U582" i="11"/>
  <c r="U583" i="11"/>
  <c r="U584" i="11"/>
  <c r="U585" i="11"/>
  <c r="U586" i="11"/>
  <c r="U587" i="11"/>
  <c r="U588" i="11"/>
  <c r="U589" i="11"/>
  <c r="U590" i="11"/>
  <c r="U591" i="11"/>
  <c r="U592" i="11"/>
  <c r="U593" i="11"/>
  <c r="U594" i="11"/>
  <c r="U595" i="11"/>
  <c r="U596" i="11"/>
  <c r="U597" i="11"/>
  <c r="U598" i="11"/>
  <c r="U599" i="11"/>
  <c r="U600" i="11"/>
  <c r="U601" i="11"/>
  <c r="U602" i="11"/>
  <c r="U603" i="11"/>
  <c r="U604" i="11"/>
  <c r="U605" i="11"/>
  <c r="U606" i="11"/>
  <c r="U607" i="11"/>
  <c r="U608" i="11"/>
  <c r="U609" i="11"/>
  <c r="U610" i="11"/>
  <c r="U611" i="11"/>
  <c r="U612" i="11"/>
  <c r="U613" i="11"/>
  <c r="U614" i="11"/>
  <c r="U615" i="11"/>
  <c r="U616" i="11"/>
  <c r="U617" i="11"/>
  <c r="U618" i="11"/>
  <c r="U619" i="11"/>
  <c r="U620" i="11"/>
  <c r="U621" i="11"/>
  <c r="U622" i="11"/>
  <c r="U623" i="11"/>
  <c r="U624" i="11"/>
  <c r="U625" i="11"/>
  <c r="U626" i="11"/>
  <c r="U627" i="11"/>
  <c r="U628" i="11"/>
  <c r="U629" i="11"/>
  <c r="U630" i="11"/>
  <c r="U631" i="11"/>
  <c r="U632" i="11"/>
  <c r="U633" i="11"/>
  <c r="U634" i="11"/>
  <c r="U635" i="11"/>
  <c r="U636" i="11"/>
  <c r="U637" i="11"/>
  <c r="U638" i="11"/>
  <c r="U639" i="11"/>
  <c r="U640" i="11"/>
  <c r="U641" i="11"/>
  <c r="U642" i="11"/>
  <c r="U643" i="11"/>
  <c r="U644" i="11"/>
  <c r="U645" i="11"/>
  <c r="U646" i="11"/>
  <c r="U647" i="11"/>
  <c r="U648" i="11"/>
  <c r="U649" i="11"/>
  <c r="U650" i="11"/>
  <c r="U651" i="11"/>
  <c r="U652" i="11"/>
  <c r="U653" i="11"/>
  <c r="U654" i="11"/>
  <c r="U655" i="11"/>
  <c r="U656" i="11"/>
  <c r="U657" i="11"/>
  <c r="U658" i="11"/>
  <c r="U659" i="11"/>
  <c r="U660" i="11"/>
  <c r="U661" i="11"/>
  <c r="U662" i="11"/>
  <c r="U663" i="11"/>
  <c r="U664" i="11"/>
  <c r="U665" i="11"/>
  <c r="U666" i="11"/>
  <c r="U667" i="11"/>
  <c r="U668" i="11"/>
  <c r="U669" i="11"/>
  <c r="U670" i="11"/>
  <c r="U671" i="11"/>
  <c r="U672" i="11"/>
  <c r="U673" i="11"/>
  <c r="U674" i="11"/>
  <c r="U675" i="11"/>
  <c r="U676" i="11"/>
  <c r="U677" i="11"/>
  <c r="U678" i="11"/>
  <c r="U679" i="11"/>
  <c r="U680" i="11"/>
  <c r="U681" i="11"/>
  <c r="U682" i="11"/>
  <c r="U683" i="11"/>
  <c r="U684" i="11"/>
  <c r="U685" i="11"/>
  <c r="U686" i="11"/>
  <c r="U687" i="11"/>
  <c r="U688" i="11"/>
  <c r="U689" i="11"/>
  <c r="U690" i="11"/>
  <c r="U691" i="11"/>
  <c r="U692" i="11"/>
  <c r="U693" i="11"/>
  <c r="U694" i="11"/>
  <c r="U695" i="11"/>
  <c r="U696" i="11"/>
  <c r="U697" i="11"/>
  <c r="U698" i="11"/>
  <c r="U699" i="11"/>
  <c r="U700" i="11"/>
  <c r="U701" i="11"/>
  <c r="U702" i="11"/>
  <c r="U703" i="11"/>
  <c r="U704" i="11"/>
  <c r="U705" i="11"/>
  <c r="U706" i="11"/>
  <c r="U707" i="11"/>
  <c r="U708" i="11"/>
  <c r="U709" i="11"/>
  <c r="U710" i="11"/>
  <c r="U711" i="11"/>
  <c r="U712" i="11"/>
  <c r="U713" i="11"/>
  <c r="U714" i="11"/>
  <c r="U715" i="11"/>
  <c r="U716" i="11"/>
  <c r="U717" i="11"/>
  <c r="U718" i="11"/>
  <c r="U719" i="11"/>
  <c r="U720" i="11"/>
  <c r="U721" i="11"/>
  <c r="U722" i="11"/>
  <c r="U723" i="11"/>
  <c r="U724" i="11"/>
  <c r="U725" i="11"/>
  <c r="U726" i="11"/>
  <c r="U727" i="11"/>
  <c r="U728" i="11"/>
  <c r="U729" i="11"/>
  <c r="U730" i="11"/>
  <c r="U731" i="11"/>
  <c r="U732" i="11"/>
  <c r="U733" i="11"/>
  <c r="U734" i="11"/>
  <c r="U735" i="11"/>
  <c r="U736" i="11"/>
  <c r="U737" i="11"/>
  <c r="U738" i="11"/>
  <c r="U739" i="11"/>
  <c r="U740" i="11"/>
  <c r="U741" i="11"/>
  <c r="U742" i="11"/>
  <c r="U743" i="11"/>
  <c r="U744" i="11"/>
  <c r="U745" i="11"/>
  <c r="U746" i="11"/>
  <c r="U747" i="11"/>
  <c r="U748" i="11"/>
  <c r="U749" i="11"/>
  <c r="U750" i="11"/>
  <c r="U751" i="11"/>
  <c r="U752" i="11"/>
  <c r="U753" i="11"/>
  <c r="U754" i="11"/>
  <c r="U755" i="11"/>
  <c r="U756" i="11"/>
  <c r="U757" i="11"/>
  <c r="U758" i="11"/>
  <c r="U759" i="11"/>
  <c r="U760" i="11"/>
  <c r="U761" i="11"/>
  <c r="U762" i="11"/>
  <c r="U763" i="11"/>
  <c r="U764" i="11"/>
  <c r="U765" i="11"/>
  <c r="U766" i="11"/>
  <c r="U767" i="11"/>
  <c r="U768" i="11"/>
  <c r="U769" i="11"/>
  <c r="U770" i="11"/>
  <c r="U771" i="11"/>
  <c r="U772" i="11"/>
  <c r="U773" i="11"/>
  <c r="U774" i="11"/>
  <c r="U775" i="11"/>
  <c r="U776" i="11"/>
  <c r="U777" i="11"/>
  <c r="U778" i="11"/>
  <c r="U779" i="11"/>
  <c r="U780" i="11"/>
  <c r="U781" i="11"/>
  <c r="U782" i="11"/>
  <c r="U783" i="11"/>
  <c r="U784" i="11"/>
  <c r="U785" i="11"/>
  <c r="U786" i="11"/>
  <c r="U787" i="11"/>
  <c r="U788" i="11"/>
  <c r="U789" i="11"/>
  <c r="U790" i="11"/>
  <c r="U791" i="11"/>
  <c r="U792" i="11"/>
  <c r="U793" i="11"/>
  <c r="U794" i="11"/>
  <c r="U795" i="11"/>
  <c r="U796" i="11"/>
  <c r="U797" i="11"/>
  <c r="U798" i="11"/>
  <c r="U799" i="11"/>
  <c r="U800" i="11"/>
  <c r="U801" i="11"/>
  <c r="U802" i="11"/>
  <c r="U803" i="11"/>
  <c r="U804" i="11"/>
  <c r="U805" i="11"/>
  <c r="U806" i="11"/>
  <c r="U807" i="11"/>
  <c r="U808" i="11"/>
  <c r="U809" i="11"/>
  <c r="U810" i="11"/>
  <c r="U811" i="11"/>
  <c r="U812" i="11"/>
  <c r="U813" i="11"/>
  <c r="U814" i="11"/>
  <c r="U815" i="11"/>
  <c r="U816" i="11"/>
  <c r="U817" i="11"/>
  <c r="U818" i="11"/>
  <c r="U819" i="11"/>
  <c r="U820" i="11"/>
  <c r="U821" i="11"/>
  <c r="U822" i="11"/>
  <c r="U823" i="11"/>
  <c r="U824" i="11"/>
  <c r="U825" i="11"/>
  <c r="U826" i="11"/>
  <c r="U827" i="11"/>
  <c r="U828" i="11"/>
  <c r="U829" i="11"/>
  <c r="U830" i="11"/>
  <c r="U831" i="11"/>
  <c r="U832" i="11"/>
  <c r="U833" i="11"/>
  <c r="U834" i="11"/>
  <c r="U835" i="11"/>
  <c r="U836" i="11"/>
  <c r="U837" i="11"/>
  <c r="U838" i="11"/>
  <c r="U839" i="11"/>
  <c r="U840" i="11"/>
  <c r="U841" i="11"/>
  <c r="U842" i="11"/>
  <c r="U843" i="11"/>
  <c r="U844" i="11"/>
  <c r="U845" i="11"/>
  <c r="U846" i="11"/>
  <c r="U847" i="11"/>
  <c r="U848" i="11"/>
  <c r="U849" i="11"/>
  <c r="U850" i="11"/>
  <c r="U851" i="11"/>
  <c r="U852" i="11"/>
  <c r="U853" i="11"/>
  <c r="U854" i="11"/>
  <c r="U855" i="11"/>
  <c r="U856" i="11"/>
  <c r="U857" i="11"/>
  <c r="U858" i="11"/>
  <c r="U859" i="11"/>
  <c r="U860" i="11"/>
  <c r="U861" i="11"/>
  <c r="U862" i="11"/>
  <c r="U863" i="11"/>
  <c r="U864" i="11"/>
  <c r="U865" i="11"/>
  <c r="U866" i="11"/>
  <c r="U867" i="11"/>
  <c r="U868" i="11"/>
  <c r="U869" i="11"/>
  <c r="U870" i="11"/>
  <c r="U871" i="11"/>
  <c r="U872" i="11"/>
  <c r="U873" i="11"/>
  <c r="U874" i="11"/>
  <c r="U875" i="11"/>
  <c r="U876" i="11"/>
  <c r="U877" i="11"/>
  <c r="U878" i="11"/>
  <c r="U879" i="11"/>
  <c r="U880" i="11"/>
  <c r="U881" i="11"/>
  <c r="U882" i="11"/>
  <c r="U883" i="11"/>
  <c r="U884" i="11"/>
  <c r="U885" i="11"/>
  <c r="U886" i="11"/>
  <c r="U887" i="11"/>
  <c r="U888" i="11"/>
  <c r="U889" i="11"/>
  <c r="U890" i="11"/>
  <c r="U891" i="11"/>
  <c r="U892" i="11"/>
  <c r="U893" i="11"/>
  <c r="U894" i="11"/>
  <c r="U895" i="11"/>
  <c r="U896" i="11"/>
  <c r="U897" i="11"/>
  <c r="U898" i="11"/>
  <c r="U899" i="11"/>
  <c r="U900" i="11"/>
  <c r="U901" i="11"/>
  <c r="U902" i="11"/>
  <c r="U903" i="11"/>
  <c r="U904" i="11"/>
  <c r="U905" i="11"/>
  <c r="U906" i="11"/>
  <c r="U907" i="11"/>
  <c r="U908" i="11"/>
  <c r="U909" i="11"/>
  <c r="U910" i="11"/>
  <c r="U911" i="11"/>
  <c r="U912" i="11"/>
  <c r="U913" i="11"/>
  <c r="U914" i="11"/>
  <c r="U915" i="11"/>
  <c r="U916" i="11"/>
  <c r="U917" i="11"/>
  <c r="U918" i="11"/>
  <c r="U919" i="11"/>
  <c r="U920" i="11"/>
  <c r="U921" i="11"/>
  <c r="U922" i="11"/>
  <c r="U923" i="11"/>
  <c r="U924" i="11"/>
  <c r="U925" i="11"/>
  <c r="U926" i="11"/>
  <c r="U927" i="11"/>
  <c r="U928" i="11"/>
  <c r="U929" i="11"/>
  <c r="U930" i="11"/>
  <c r="U931" i="11"/>
  <c r="U932" i="11"/>
  <c r="U933" i="11"/>
  <c r="U934" i="11"/>
  <c r="U935" i="11"/>
  <c r="U936" i="11"/>
  <c r="U937" i="11"/>
  <c r="U938" i="11"/>
  <c r="U939" i="11"/>
  <c r="U940" i="11"/>
  <c r="U941" i="11"/>
  <c r="U942" i="11"/>
  <c r="U943" i="11"/>
  <c r="U944" i="11"/>
  <c r="U945" i="11"/>
  <c r="U946" i="11"/>
  <c r="U947" i="11"/>
  <c r="U948" i="11"/>
  <c r="U949" i="11"/>
  <c r="U950" i="11"/>
  <c r="U951" i="11"/>
  <c r="U952" i="11"/>
  <c r="U953" i="11"/>
  <c r="U954" i="11"/>
  <c r="U955" i="11"/>
  <c r="U956" i="11"/>
  <c r="U957" i="11"/>
  <c r="U958" i="11"/>
  <c r="U959" i="11"/>
  <c r="U960" i="11"/>
  <c r="U961" i="11"/>
  <c r="U962" i="11"/>
  <c r="U963" i="11"/>
  <c r="U964" i="11"/>
  <c r="U965" i="11"/>
  <c r="U966" i="11"/>
  <c r="U967" i="11"/>
  <c r="U968" i="11"/>
  <c r="U969" i="11"/>
  <c r="U970" i="11"/>
  <c r="U971" i="11"/>
  <c r="U972" i="11"/>
  <c r="U973" i="11"/>
  <c r="U974" i="11"/>
  <c r="U975" i="11"/>
  <c r="U976" i="11"/>
  <c r="U977" i="11"/>
  <c r="U978" i="11"/>
  <c r="U979" i="11"/>
  <c r="U980" i="11"/>
  <c r="U981" i="11"/>
  <c r="U982" i="11"/>
  <c r="U983" i="11"/>
  <c r="U984" i="11"/>
  <c r="U985" i="11"/>
  <c r="U986" i="11"/>
  <c r="U987" i="11"/>
  <c r="U988" i="11"/>
  <c r="U989" i="11"/>
  <c r="U990" i="11"/>
  <c r="U991" i="11"/>
  <c r="U992" i="11"/>
  <c r="U993" i="11"/>
  <c r="U994" i="11"/>
  <c r="U995" i="11"/>
  <c r="U996" i="11"/>
  <c r="U997" i="11"/>
  <c r="U998" i="11"/>
  <c r="U999" i="11"/>
  <c r="U1000" i="11"/>
  <c r="U1001" i="11"/>
  <c r="U1002" i="11"/>
  <c r="U1003" i="11"/>
  <c r="U1004" i="11"/>
  <c r="U1005" i="11"/>
  <c r="U1006" i="11"/>
  <c r="U1007" i="11"/>
  <c r="U1008" i="11"/>
  <c r="U1009" i="11"/>
  <c r="U1010" i="11"/>
  <c r="U1011" i="11"/>
  <c r="U1012" i="11"/>
  <c r="U1013" i="11"/>
  <c r="U1014" i="11"/>
  <c r="U1015" i="11"/>
  <c r="U1016" i="11"/>
  <c r="U1017" i="11"/>
  <c r="U1018" i="11"/>
  <c r="U1019" i="11"/>
  <c r="U1020" i="11"/>
  <c r="U1021" i="11"/>
  <c r="U1022" i="11"/>
  <c r="U1023" i="11"/>
  <c r="U1024" i="11"/>
  <c r="U1025" i="11"/>
  <c r="U1026" i="11"/>
  <c r="U1027" i="11"/>
  <c r="U1028" i="11"/>
  <c r="U1029" i="11"/>
  <c r="U1030" i="11"/>
  <c r="U1031" i="11"/>
  <c r="U1032" i="11"/>
  <c r="U1033" i="11"/>
  <c r="U1034" i="11"/>
  <c r="U1035" i="11"/>
  <c r="U1036" i="11"/>
  <c r="U1037" i="11"/>
  <c r="U1038" i="11"/>
  <c r="U1039" i="11"/>
  <c r="U1040" i="11"/>
  <c r="U1041" i="11"/>
  <c r="U1042" i="11"/>
  <c r="U1043" i="11"/>
  <c r="U1044" i="11"/>
  <c r="U1045" i="11"/>
  <c r="U1046" i="11"/>
  <c r="U1047" i="11"/>
  <c r="U1048" i="11"/>
  <c r="U1049" i="11"/>
  <c r="U1050" i="11"/>
  <c r="U1051" i="11"/>
  <c r="U1052" i="11"/>
  <c r="U1053" i="11"/>
  <c r="U1054" i="11"/>
  <c r="U1055" i="11"/>
  <c r="U1056" i="11"/>
  <c r="U1057" i="11"/>
  <c r="U1058" i="11"/>
  <c r="U1059" i="11"/>
  <c r="U1060" i="11"/>
  <c r="U1061" i="11"/>
  <c r="U1062" i="11"/>
  <c r="U1063" i="11"/>
  <c r="U1064" i="11"/>
  <c r="U1065" i="11"/>
  <c r="U1066" i="11"/>
  <c r="U1067" i="11"/>
  <c r="U1068" i="11"/>
  <c r="U1069" i="11"/>
  <c r="U1070" i="11"/>
  <c r="U1071" i="11"/>
  <c r="U1072" i="11"/>
  <c r="U1073" i="11"/>
  <c r="U1074" i="11"/>
  <c r="U1075" i="11"/>
  <c r="U1076" i="11"/>
  <c r="U1077" i="11"/>
  <c r="U1078" i="11"/>
  <c r="U1079" i="11"/>
  <c r="U1080" i="11"/>
  <c r="U1081" i="11"/>
  <c r="U1082" i="11"/>
  <c r="U1083" i="11"/>
  <c r="U1084" i="11"/>
  <c r="U1085" i="11"/>
  <c r="U1086" i="11"/>
  <c r="U1087" i="11"/>
  <c r="U1088" i="11"/>
  <c r="U1089" i="11"/>
  <c r="U1090" i="11"/>
  <c r="U1091" i="11"/>
  <c r="U1092" i="11"/>
  <c r="U1093" i="11"/>
  <c r="U1094" i="11"/>
  <c r="U1095" i="11"/>
  <c r="U1096" i="11"/>
  <c r="U1097" i="11"/>
  <c r="U1098" i="11"/>
  <c r="U1099" i="11"/>
  <c r="U1100" i="11"/>
  <c r="U1101" i="11"/>
  <c r="U1102" i="11"/>
  <c r="U1103" i="11"/>
  <c r="U1104" i="11"/>
  <c r="U1105" i="11"/>
  <c r="U1106" i="11"/>
  <c r="U1107" i="11"/>
  <c r="U1108" i="11"/>
  <c r="U1109" i="11"/>
  <c r="U1110" i="11"/>
  <c r="U1111" i="11"/>
  <c r="U1112" i="11"/>
  <c r="U1113" i="11"/>
  <c r="U1114" i="11"/>
  <c r="U1115" i="11"/>
  <c r="U1116" i="11"/>
  <c r="U1117" i="11"/>
  <c r="U1118" i="11"/>
  <c r="U1119" i="11"/>
  <c r="U1120" i="11"/>
  <c r="U1121" i="11"/>
  <c r="U1122" i="11"/>
  <c r="U1123" i="11"/>
  <c r="U1124" i="11"/>
  <c r="U1125" i="11"/>
  <c r="U1126" i="11"/>
  <c r="U1127" i="11"/>
  <c r="U1128" i="11"/>
  <c r="U1129" i="11"/>
  <c r="U1130" i="11"/>
  <c r="U1131" i="11"/>
  <c r="U1132" i="11"/>
  <c r="U1133" i="11"/>
  <c r="U1134" i="11"/>
  <c r="U1135" i="11"/>
  <c r="U1136" i="11"/>
  <c r="U1137" i="11"/>
  <c r="U1138" i="11"/>
  <c r="U1139" i="11"/>
  <c r="U1140" i="11"/>
  <c r="U1141" i="11"/>
  <c r="U1142" i="11"/>
  <c r="U1143" i="11"/>
  <c r="U1144" i="11"/>
  <c r="U1145" i="11"/>
  <c r="U1146" i="11"/>
  <c r="U1147" i="11"/>
  <c r="U1148" i="11"/>
  <c r="U1149" i="11"/>
  <c r="U1150" i="11"/>
  <c r="U1151" i="11"/>
  <c r="U1152" i="11"/>
  <c r="U1153" i="11"/>
  <c r="U1154" i="11"/>
  <c r="U1155" i="11"/>
  <c r="U1156" i="11"/>
  <c r="U1157" i="11"/>
  <c r="U1158" i="11"/>
  <c r="U1159" i="11"/>
  <c r="U1160" i="11"/>
  <c r="U1161" i="11"/>
  <c r="U1162" i="11"/>
  <c r="U1163" i="11"/>
  <c r="U1164" i="11"/>
  <c r="U1165" i="11"/>
  <c r="U1166" i="11"/>
  <c r="U1167" i="11"/>
  <c r="U1168" i="11"/>
  <c r="U1169" i="11"/>
  <c r="U1170" i="11"/>
  <c r="U1171" i="11"/>
  <c r="U1172" i="11"/>
  <c r="U1173" i="11"/>
  <c r="U1174" i="11"/>
  <c r="U1175" i="11"/>
  <c r="U1176" i="11"/>
  <c r="U1177" i="11"/>
  <c r="U1178" i="11"/>
  <c r="U1179" i="11"/>
  <c r="U1180" i="11"/>
  <c r="U1181" i="11"/>
  <c r="U1182" i="11"/>
  <c r="U1183" i="11"/>
  <c r="U1184" i="11"/>
  <c r="U1185" i="11"/>
  <c r="U1186" i="11"/>
  <c r="U1187" i="11"/>
  <c r="U1188" i="11"/>
  <c r="U1189" i="11"/>
  <c r="U1190" i="11"/>
  <c r="U1191" i="11"/>
  <c r="U1192" i="11"/>
  <c r="U1193" i="11"/>
  <c r="U1194" i="11"/>
  <c r="U1195" i="11"/>
  <c r="U1196" i="11"/>
  <c r="U1197" i="11"/>
  <c r="U1198" i="11"/>
  <c r="U1199" i="11"/>
  <c r="U1200" i="11"/>
  <c r="U1201" i="11"/>
  <c r="U1202" i="11"/>
  <c r="U1203" i="11"/>
  <c r="U1204" i="11"/>
  <c r="U1205" i="11"/>
  <c r="U1206" i="11"/>
  <c r="U1207" i="11"/>
  <c r="U1208" i="11"/>
  <c r="U1209" i="11"/>
  <c r="U1210" i="11"/>
  <c r="U1211" i="11"/>
  <c r="U1212" i="11"/>
  <c r="U1213" i="11"/>
  <c r="U1214" i="11"/>
  <c r="U1215" i="11"/>
  <c r="U1216" i="11"/>
  <c r="U1217" i="11"/>
  <c r="U1218" i="11"/>
  <c r="U1219" i="11"/>
  <c r="U1220" i="11"/>
  <c r="U1221" i="11"/>
  <c r="U1222" i="11"/>
  <c r="U1223" i="11"/>
  <c r="U1224" i="11"/>
  <c r="U1225" i="11"/>
  <c r="U1226" i="11"/>
  <c r="U1227" i="11"/>
  <c r="U1228" i="11"/>
  <c r="U1229" i="11"/>
  <c r="U1230" i="11"/>
  <c r="U1231" i="11"/>
  <c r="U1232" i="11"/>
  <c r="U1233" i="11"/>
  <c r="U1234" i="11"/>
  <c r="U1235" i="11"/>
  <c r="U1236" i="11"/>
  <c r="U1237" i="11"/>
  <c r="U1238" i="11"/>
  <c r="U1239" i="11"/>
  <c r="U1240" i="11"/>
  <c r="U1241" i="11"/>
  <c r="U1242" i="11"/>
  <c r="U1243" i="11"/>
  <c r="U1244" i="11"/>
  <c r="U1245" i="11"/>
  <c r="U1246" i="11"/>
  <c r="U1247" i="11"/>
  <c r="U1248" i="11"/>
  <c r="U1249" i="11"/>
  <c r="U1250" i="11"/>
  <c r="U1251" i="11"/>
  <c r="U1252" i="11"/>
  <c r="U1253" i="11"/>
  <c r="U1254" i="11"/>
  <c r="U1255" i="11"/>
  <c r="U1256" i="11"/>
  <c r="U1257" i="11"/>
  <c r="U1258" i="11"/>
  <c r="U1259" i="11"/>
  <c r="U1260" i="11"/>
  <c r="U1261" i="11"/>
  <c r="U1262" i="11"/>
  <c r="U1263" i="11"/>
  <c r="U1264" i="11"/>
  <c r="U1265" i="11"/>
  <c r="U1266" i="11"/>
  <c r="U1267" i="11"/>
  <c r="U1268" i="11"/>
  <c r="U1269" i="11"/>
  <c r="U1270" i="11"/>
  <c r="U1271" i="11"/>
  <c r="U1272" i="11"/>
  <c r="U1273" i="11"/>
  <c r="U1274" i="11"/>
  <c r="U1275" i="11"/>
  <c r="U1276" i="11"/>
  <c r="U1277" i="11"/>
  <c r="U1278" i="11"/>
  <c r="U1279" i="11"/>
  <c r="U1280" i="11"/>
  <c r="U1281" i="11"/>
  <c r="U1282" i="11"/>
  <c r="U1283" i="11"/>
  <c r="U1284" i="11"/>
  <c r="U1285" i="11"/>
  <c r="U1286" i="11"/>
  <c r="U1287" i="11"/>
  <c r="U1288" i="11"/>
  <c r="U1289" i="11"/>
  <c r="U1290" i="11"/>
  <c r="U1291" i="11"/>
  <c r="U1292" i="11"/>
  <c r="U1293" i="11"/>
  <c r="U1294" i="11"/>
  <c r="U1295" i="11"/>
  <c r="U1296" i="11"/>
  <c r="U1297" i="11"/>
  <c r="U1298" i="11"/>
  <c r="U1299" i="11"/>
  <c r="U1300" i="11"/>
  <c r="U1301" i="11"/>
  <c r="U1302" i="11"/>
  <c r="U1303" i="11"/>
  <c r="U1304" i="11"/>
  <c r="U1305" i="11"/>
  <c r="U1306" i="11"/>
  <c r="U1307" i="11"/>
  <c r="U1308" i="11"/>
  <c r="U1309" i="11"/>
  <c r="U1310" i="11"/>
  <c r="U1311" i="11"/>
  <c r="U1312" i="11"/>
  <c r="U1313" i="11"/>
  <c r="U1314" i="11"/>
  <c r="U1315" i="11"/>
  <c r="U1316" i="11"/>
  <c r="U1317" i="11"/>
  <c r="U1318" i="11"/>
  <c r="U1319" i="11"/>
  <c r="U1320" i="11"/>
  <c r="U1321" i="11"/>
  <c r="U1322" i="11"/>
  <c r="U1323" i="11"/>
  <c r="U1324" i="11"/>
  <c r="U1325" i="11"/>
  <c r="U1326" i="11"/>
  <c r="U1327" i="11"/>
  <c r="U1328" i="11"/>
  <c r="U1329" i="11"/>
  <c r="U1330" i="11"/>
  <c r="U1331" i="11"/>
  <c r="U1332" i="11"/>
  <c r="U1333" i="11"/>
  <c r="U1334" i="11"/>
  <c r="U1335" i="11"/>
  <c r="U1336" i="11"/>
  <c r="U1337" i="11"/>
  <c r="U1338" i="11"/>
  <c r="U1339" i="11"/>
  <c r="U1340" i="11"/>
  <c r="U1341" i="11"/>
  <c r="U1342" i="11"/>
  <c r="U1343" i="11"/>
  <c r="U1344" i="11"/>
  <c r="U1345" i="11"/>
  <c r="U1346" i="11"/>
  <c r="U1347" i="11"/>
  <c r="U1348" i="11"/>
  <c r="U1349" i="11"/>
  <c r="U1350" i="11"/>
  <c r="U1351" i="11"/>
  <c r="U1352" i="11"/>
  <c r="U1353" i="11"/>
  <c r="U1354" i="11"/>
  <c r="U1355" i="11"/>
  <c r="U1356" i="11"/>
  <c r="U1357" i="11"/>
  <c r="U1358" i="11"/>
  <c r="U1359" i="11"/>
  <c r="U1360" i="11"/>
  <c r="U1361" i="11"/>
  <c r="U1362" i="11"/>
  <c r="U1363" i="11"/>
  <c r="U1364" i="11"/>
  <c r="U1365" i="11"/>
  <c r="U1366" i="11"/>
  <c r="U1367" i="11"/>
  <c r="U1368" i="11"/>
  <c r="U1369" i="11"/>
  <c r="U1370" i="11"/>
  <c r="U1371" i="11"/>
  <c r="U1372" i="11"/>
  <c r="U1373" i="11"/>
  <c r="U1374" i="11"/>
  <c r="U1375" i="11"/>
  <c r="U1376" i="11"/>
  <c r="U1377" i="11"/>
  <c r="U1378" i="11"/>
  <c r="U1379" i="11"/>
  <c r="U1380" i="11"/>
  <c r="U1381" i="11"/>
  <c r="U1382" i="11"/>
  <c r="U1383" i="11"/>
  <c r="U1384" i="11"/>
  <c r="U1385" i="11"/>
  <c r="U1386" i="11"/>
  <c r="U1387" i="11"/>
  <c r="U1388" i="11"/>
  <c r="U1389" i="11"/>
  <c r="U1390" i="11"/>
  <c r="U1391" i="11"/>
  <c r="U1392" i="11"/>
  <c r="U1393" i="11"/>
  <c r="U1394" i="11"/>
  <c r="U1395" i="11"/>
  <c r="U1396" i="11"/>
  <c r="U1397" i="11"/>
  <c r="U1398" i="11"/>
  <c r="U1399" i="11"/>
  <c r="U1400" i="11"/>
  <c r="U1401" i="11"/>
  <c r="U1402" i="11"/>
  <c r="U1403" i="11"/>
  <c r="U1404" i="11"/>
  <c r="U1405" i="11"/>
  <c r="U1406" i="11"/>
  <c r="U1407" i="11"/>
  <c r="U1408" i="11"/>
  <c r="U1409" i="11"/>
  <c r="U1410" i="11"/>
  <c r="U1411" i="11"/>
  <c r="U1412" i="11"/>
  <c r="U1413" i="11"/>
  <c r="U1414" i="11"/>
  <c r="U1415" i="11"/>
  <c r="U1416" i="11"/>
  <c r="U1417" i="11"/>
  <c r="U1418" i="11"/>
  <c r="U1419" i="11"/>
  <c r="U1420" i="11"/>
  <c r="U1421" i="11"/>
  <c r="U1422" i="11"/>
  <c r="U1423" i="11"/>
  <c r="U1424" i="11"/>
  <c r="U1425" i="11"/>
  <c r="U1426" i="11"/>
  <c r="U1427" i="11"/>
  <c r="U1428" i="11"/>
  <c r="U1429" i="11"/>
  <c r="U1430" i="11"/>
  <c r="U1431" i="11"/>
  <c r="U1432" i="11"/>
  <c r="U1433" i="11"/>
  <c r="U1434" i="11"/>
  <c r="U1435" i="11"/>
  <c r="U1436" i="11"/>
  <c r="U1437" i="11"/>
  <c r="U1438" i="11"/>
  <c r="U1439" i="11"/>
  <c r="U1440" i="11"/>
  <c r="U1441" i="11"/>
  <c r="U1442" i="11"/>
  <c r="U1443" i="11"/>
  <c r="U1444" i="11"/>
  <c r="U1445" i="11"/>
  <c r="U1446" i="11"/>
  <c r="U1447" i="11"/>
  <c r="U1448" i="11"/>
  <c r="U1449" i="11"/>
  <c r="U1450" i="11"/>
  <c r="U1451" i="11"/>
  <c r="U1452" i="11"/>
  <c r="U1453" i="11"/>
  <c r="U1454" i="11"/>
  <c r="U1455" i="11"/>
  <c r="U1456" i="11"/>
  <c r="U1457" i="11"/>
  <c r="U1458" i="11"/>
  <c r="U1459" i="11"/>
  <c r="U1460" i="11"/>
  <c r="U1461" i="11"/>
  <c r="U1462" i="11"/>
  <c r="U1463" i="11"/>
  <c r="U1464" i="11"/>
  <c r="U1465" i="11"/>
  <c r="U1466" i="11"/>
  <c r="U1467" i="11"/>
  <c r="U1468" i="11"/>
  <c r="U1469" i="11"/>
  <c r="U1470" i="11"/>
  <c r="U1471" i="11"/>
  <c r="U1472" i="11"/>
  <c r="U1473" i="11"/>
  <c r="U1474" i="11"/>
  <c r="U1475" i="11"/>
  <c r="U1476" i="11"/>
  <c r="U1477" i="11"/>
  <c r="U1478" i="11"/>
  <c r="U1479" i="11"/>
  <c r="U1480" i="11"/>
  <c r="U1481" i="11"/>
  <c r="U1482" i="11"/>
  <c r="U1483" i="11"/>
  <c r="U1484" i="11"/>
  <c r="U1485" i="11"/>
  <c r="U1486" i="11"/>
  <c r="U1487" i="11"/>
  <c r="U1488" i="11"/>
  <c r="U1489" i="11"/>
  <c r="U1490" i="11"/>
  <c r="U1491" i="11"/>
  <c r="U1492" i="11"/>
  <c r="U1493" i="11"/>
  <c r="U1494" i="11"/>
  <c r="U1495" i="11"/>
  <c r="U1496" i="11"/>
  <c r="U1497" i="11"/>
  <c r="U1498" i="11"/>
  <c r="U1499" i="11"/>
  <c r="U1500" i="11"/>
  <c r="U1501" i="11"/>
  <c r="U1502" i="11"/>
  <c r="U1503" i="11"/>
  <c r="U1504" i="11"/>
  <c r="U1505" i="11"/>
  <c r="U1506" i="11"/>
  <c r="U1507" i="11"/>
  <c r="U1508" i="11"/>
  <c r="U1509" i="11"/>
  <c r="U1510" i="11"/>
  <c r="U1511" i="11"/>
  <c r="U1512" i="11"/>
  <c r="U1513" i="11"/>
  <c r="U1514" i="11"/>
  <c r="U1515" i="11"/>
  <c r="U1516" i="11"/>
  <c r="U1517" i="11"/>
  <c r="U1518" i="11"/>
  <c r="U1519" i="11"/>
  <c r="U1520" i="11"/>
  <c r="U1521" i="11"/>
  <c r="U1522" i="11"/>
  <c r="U1523" i="11"/>
  <c r="U1524" i="11"/>
  <c r="U1525" i="11"/>
  <c r="U1526" i="11"/>
  <c r="U1527" i="11"/>
  <c r="U1528" i="11"/>
  <c r="U1529" i="11"/>
  <c r="U1530" i="11"/>
  <c r="U1531" i="11"/>
  <c r="U1532" i="11"/>
  <c r="U1533" i="11"/>
  <c r="U1534" i="11"/>
  <c r="U1535" i="11"/>
  <c r="U1536" i="11"/>
  <c r="U1537" i="11"/>
  <c r="U1538" i="11"/>
  <c r="U1539" i="11"/>
  <c r="U1540" i="11"/>
  <c r="U1541" i="11"/>
  <c r="U1542" i="11"/>
  <c r="U1543" i="11"/>
  <c r="U1544" i="11"/>
  <c r="U1545" i="11"/>
  <c r="U1546" i="11"/>
  <c r="U1547" i="11"/>
  <c r="U1548" i="11"/>
  <c r="U1549" i="11"/>
  <c r="U1550" i="11"/>
  <c r="U1551" i="11"/>
  <c r="U1552" i="11"/>
  <c r="U1553" i="11"/>
  <c r="U1554" i="11"/>
  <c r="U1555" i="11"/>
  <c r="U1556" i="11"/>
  <c r="U1557" i="11"/>
  <c r="U1558" i="11"/>
  <c r="U1559" i="11"/>
  <c r="U1560" i="11"/>
  <c r="U1561" i="11"/>
  <c r="U1562" i="11"/>
  <c r="U1563" i="11"/>
  <c r="U1564" i="11"/>
  <c r="U1565" i="11"/>
  <c r="U1566" i="11"/>
  <c r="U1567" i="11"/>
  <c r="U1568" i="11"/>
  <c r="U1569" i="11"/>
  <c r="U1570" i="11"/>
  <c r="U1571" i="11"/>
  <c r="U1572" i="11"/>
  <c r="U1573" i="11"/>
  <c r="U1574" i="11"/>
  <c r="U1575" i="11"/>
  <c r="U1576" i="11"/>
  <c r="U1577" i="11"/>
  <c r="U1578" i="11"/>
  <c r="U1579" i="11"/>
  <c r="U1580" i="11"/>
  <c r="U1581" i="11"/>
  <c r="U1582" i="11"/>
  <c r="U1583" i="11"/>
  <c r="U1584" i="11"/>
  <c r="U1585" i="11"/>
  <c r="U1586" i="11"/>
  <c r="U1587" i="11"/>
  <c r="U1588" i="11"/>
  <c r="U1589" i="11"/>
  <c r="U1590" i="11"/>
  <c r="U1591" i="11"/>
  <c r="U1592" i="11"/>
  <c r="U1593" i="11"/>
  <c r="U1594" i="11"/>
  <c r="U1595" i="11"/>
  <c r="U1596" i="11"/>
  <c r="U1597" i="11"/>
  <c r="U1598" i="11"/>
  <c r="U1599" i="11"/>
  <c r="U1600" i="11"/>
  <c r="U1601" i="11"/>
  <c r="U1602" i="11"/>
  <c r="U1603" i="11"/>
  <c r="U1604" i="11"/>
  <c r="U1605" i="11"/>
  <c r="U1606" i="11"/>
  <c r="U1607" i="11"/>
  <c r="U1608" i="11"/>
  <c r="U1609" i="11"/>
  <c r="U1610" i="11"/>
  <c r="U1611" i="11"/>
  <c r="U1612" i="11"/>
  <c r="U1613" i="11"/>
  <c r="U1614" i="11"/>
  <c r="U1615" i="11"/>
  <c r="U1616" i="11"/>
  <c r="U1617" i="11"/>
  <c r="U1618" i="11"/>
  <c r="U1619" i="11"/>
  <c r="U1620" i="11"/>
  <c r="U1621" i="11"/>
  <c r="U1622" i="11"/>
  <c r="U1623" i="11"/>
  <c r="U1624" i="11"/>
  <c r="U1625" i="11"/>
  <c r="U1626" i="11"/>
  <c r="U1627" i="11"/>
  <c r="U1628" i="11"/>
  <c r="U1629" i="11"/>
  <c r="U1630" i="11"/>
  <c r="U1631" i="11"/>
  <c r="U1632" i="11"/>
  <c r="U1633" i="11"/>
  <c r="U1634" i="11"/>
  <c r="U1635" i="11"/>
  <c r="U1636" i="11"/>
  <c r="U1637" i="11"/>
  <c r="U1638" i="11"/>
  <c r="U1639" i="11"/>
  <c r="U1640" i="11"/>
  <c r="U1641" i="11"/>
  <c r="U1642" i="11"/>
  <c r="U1643" i="11"/>
  <c r="U1644" i="11"/>
  <c r="U1645" i="11"/>
  <c r="U1646" i="11"/>
  <c r="U1647" i="11"/>
  <c r="U1648" i="11"/>
  <c r="U1649" i="11"/>
  <c r="U1650" i="11"/>
  <c r="U1651" i="11"/>
  <c r="U1652" i="11"/>
  <c r="U1653" i="11"/>
  <c r="U1654" i="11"/>
  <c r="U1655" i="11"/>
  <c r="U1656" i="11"/>
  <c r="U1657" i="11"/>
  <c r="U1658" i="11"/>
  <c r="U1659" i="11"/>
  <c r="U1660" i="11"/>
  <c r="U1661" i="11"/>
  <c r="U1662" i="11"/>
  <c r="U1663" i="11"/>
  <c r="U1664" i="11"/>
  <c r="U1665" i="11"/>
  <c r="U1666" i="11"/>
  <c r="U1667" i="11"/>
  <c r="U1668" i="11"/>
  <c r="U1669" i="11"/>
  <c r="U1670" i="11"/>
  <c r="U1671" i="11"/>
  <c r="U1672" i="11"/>
  <c r="U1673" i="11"/>
  <c r="U1674" i="11"/>
  <c r="U1675" i="11"/>
  <c r="U1676" i="11"/>
  <c r="U1677" i="11"/>
  <c r="U1678" i="11"/>
  <c r="U1679" i="11"/>
  <c r="U1680" i="11"/>
  <c r="U1681" i="11"/>
  <c r="U1682" i="11"/>
  <c r="U1683" i="11"/>
  <c r="U1684" i="11"/>
  <c r="U1685" i="11"/>
  <c r="U1686" i="11"/>
  <c r="U1687" i="11"/>
  <c r="U1688" i="11"/>
  <c r="U1689" i="11"/>
  <c r="U1690" i="11"/>
  <c r="U1691" i="11"/>
  <c r="U1692" i="11"/>
  <c r="U1693" i="11"/>
  <c r="U1694" i="11"/>
  <c r="U1695" i="11"/>
  <c r="U1696" i="11"/>
  <c r="U1697" i="11"/>
  <c r="U1698" i="11"/>
  <c r="U1699" i="11"/>
  <c r="U1700" i="11"/>
  <c r="U1701" i="11"/>
  <c r="U1702" i="11"/>
  <c r="U1703" i="11"/>
  <c r="U1704" i="11"/>
  <c r="U1705" i="11"/>
  <c r="U1706" i="11"/>
  <c r="U1707" i="11"/>
  <c r="U1708" i="11"/>
  <c r="U1709" i="11"/>
  <c r="U1710" i="11"/>
  <c r="U1711" i="11"/>
  <c r="U1712" i="11"/>
  <c r="U1713" i="11"/>
  <c r="U1714" i="11"/>
  <c r="U1715" i="11"/>
  <c r="U1716" i="11"/>
  <c r="U1717" i="11"/>
  <c r="U1718" i="11"/>
  <c r="U1719" i="11"/>
  <c r="U1720" i="11"/>
  <c r="U1721" i="11"/>
  <c r="U1722" i="11"/>
  <c r="U1723" i="11"/>
  <c r="U1724" i="11"/>
  <c r="U1725" i="11"/>
  <c r="U1726" i="11"/>
  <c r="U1727" i="11"/>
  <c r="U1728" i="11"/>
  <c r="U1729" i="11"/>
  <c r="U1730" i="11"/>
  <c r="U1731" i="11"/>
  <c r="U1732" i="11"/>
  <c r="U1733" i="11"/>
  <c r="U1734" i="11"/>
  <c r="U1735" i="11"/>
  <c r="U1736" i="11"/>
  <c r="U1737" i="11"/>
  <c r="U1738" i="11"/>
  <c r="U1739" i="11"/>
  <c r="U1740" i="11"/>
  <c r="U1741" i="11"/>
  <c r="U1742" i="11"/>
  <c r="U1743" i="11"/>
  <c r="U1744" i="11"/>
  <c r="U1745" i="11"/>
  <c r="U1746" i="11"/>
  <c r="U1747" i="11"/>
  <c r="U1748" i="11"/>
  <c r="U1749" i="11"/>
  <c r="U1750" i="11"/>
  <c r="U1751" i="11"/>
  <c r="U1752" i="11"/>
  <c r="U1753" i="11"/>
  <c r="U1754" i="11"/>
  <c r="U1755" i="11"/>
  <c r="U1756" i="11"/>
  <c r="U1757" i="11"/>
  <c r="U1758" i="11"/>
  <c r="U1759" i="11"/>
  <c r="U1760" i="11"/>
  <c r="U1761" i="11"/>
  <c r="U1762" i="11"/>
  <c r="U1763" i="11"/>
  <c r="U1764" i="11"/>
  <c r="U1765" i="11"/>
  <c r="U1766" i="11"/>
  <c r="U1767" i="11"/>
  <c r="U1768" i="11"/>
  <c r="U1769" i="11"/>
  <c r="U1770" i="11"/>
  <c r="U1771" i="11"/>
  <c r="U1772" i="11"/>
  <c r="U1773" i="11"/>
  <c r="U1774" i="11"/>
  <c r="U1775" i="11"/>
  <c r="U1776" i="11"/>
  <c r="U1777" i="11"/>
  <c r="U1778" i="11"/>
  <c r="U1779" i="11"/>
  <c r="U1780" i="11"/>
  <c r="U1781" i="11"/>
  <c r="U1782" i="11"/>
  <c r="U1783" i="11"/>
  <c r="U1784" i="11"/>
  <c r="U1785" i="11"/>
  <c r="U1786" i="11"/>
  <c r="U1787" i="11"/>
  <c r="U1788" i="11"/>
  <c r="U1789" i="11"/>
  <c r="U1790" i="11"/>
  <c r="U1791" i="11"/>
  <c r="U1792" i="11"/>
  <c r="U1793" i="11"/>
  <c r="U1794" i="11"/>
  <c r="U1795" i="11"/>
  <c r="U1796" i="11"/>
  <c r="U1797" i="11"/>
  <c r="U1798" i="11"/>
  <c r="U1799" i="11"/>
  <c r="U1800" i="11"/>
  <c r="U1801" i="11"/>
  <c r="U1802" i="11"/>
  <c r="U1803" i="11"/>
  <c r="U1804" i="11"/>
  <c r="U1805" i="11"/>
  <c r="U1806" i="11"/>
  <c r="U1807" i="11"/>
  <c r="U1808" i="11"/>
  <c r="U1809" i="11"/>
  <c r="U1810" i="11"/>
  <c r="U1811" i="11"/>
  <c r="U1812" i="11"/>
  <c r="U1813" i="11"/>
  <c r="U1814" i="11"/>
  <c r="U1815" i="11"/>
  <c r="U1816" i="11"/>
  <c r="U1817" i="11"/>
  <c r="U1818" i="11"/>
  <c r="U1819" i="11"/>
  <c r="U1820" i="11"/>
  <c r="U1821" i="11"/>
  <c r="U1822" i="11"/>
  <c r="U1823" i="11"/>
  <c r="U1824" i="11"/>
  <c r="U1825" i="11"/>
  <c r="U1826" i="11"/>
  <c r="U1827" i="11"/>
  <c r="U1828" i="11"/>
  <c r="U1829" i="11"/>
  <c r="U1830" i="11"/>
  <c r="U1831" i="11"/>
  <c r="U1832" i="11"/>
  <c r="U1833" i="11"/>
  <c r="U1834" i="11"/>
  <c r="U1835" i="11"/>
  <c r="U1836" i="11"/>
  <c r="U1837" i="11"/>
  <c r="U1838" i="11"/>
  <c r="U1839" i="11"/>
  <c r="U1840" i="11"/>
  <c r="U1841" i="11"/>
  <c r="U1842" i="11"/>
  <c r="U1843" i="11"/>
  <c r="U1844" i="11"/>
  <c r="U1845" i="11"/>
  <c r="U1846" i="11"/>
  <c r="U1847" i="11"/>
  <c r="U1848" i="11"/>
  <c r="U1849" i="11"/>
  <c r="U1850" i="11"/>
  <c r="U1851" i="11"/>
  <c r="U1852" i="11"/>
  <c r="U1853" i="11"/>
  <c r="U1854" i="11"/>
  <c r="U1855" i="11"/>
  <c r="U1856" i="11"/>
  <c r="U1857" i="11"/>
  <c r="U1858" i="11"/>
  <c r="U1859" i="11"/>
  <c r="U1860" i="11"/>
  <c r="U1861" i="11"/>
  <c r="U1862" i="11"/>
  <c r="U1863" i="11"/>
  <c r="U1864" i="11"/>
  <c r="U1865" i="11"/>
  <c r="U1866" i="11"/>
  <c r="U1867" i="11"/>
  <c r="U1868" i="11"/>
  <c r="U1869" i="11"/>
  <c r="U1870" i="11"/>
  <c r="U1871" i="11"/>
  <c r="U1872" i="11"/>
  <c r="U1873" i="11"/>
  <c r="U1874" i="11"/>
  <c r="U1875" i="11"/>
  <c r="U1876" i="11"/>
  <c r="U1877" i="11"/>
  <c r="U1878" i="11"/>
  <c r="U1879" i="11"/>
  <c r="U1880" i="11"/>
  <c r="U1881" i="11"/>
  <c r="U1882" i="11"/>
  <c r="U1883" i="11"/>
  <c r="U1884" i="11"/>
  <c r="U1885" i="11"/>
  <c r="U1886" i="11"/>
  <c r="U1887" i="11"/>
  <c r="U1888" i="11"/>
  <c r="U1889" i="11"/>
  <c r="U1890" i="11"/>
  <c r="U1891" i="11"/>
  <c r="U1892" i="11"/>
  <c r="U1893" i="11"/>
  <c r="U1894" i="11"/>
  <c r="U1895" i="11"/>
  <c r="U1896" i="11"/>
  <c r="U1897" i="11"/>
  <c r="U1898" i="11"/>
  <c r="U1899" i="11"/>
  <c r="U1900" i="11"/>
  <c r="U1901" i="11"/>
  <c r="U1902" i="11"/>
  <c r="U1903" i="11"/>
  <c r="U1904" i="11"/>
  <c r="U1905" i="11"/>
  <c r="U1906" i="11"/>
  <c r="U1907" i="11"/>
  <c r="U1908" i="11"/>
  <c r="U1909" i="11"/>
  <c r="U1910" i="11"/>
  <c r="U1911" i="11"/>
  <c r="U1912" i="11"/>
  <c r="U1913" i="11"/>
  <c r="U1914" i="11"/>
  <c r="U1915" i="11"/>
  <c r="U1916" i="11"/>
  <c r="U1917" i="11"/>
  <c r="U1918" i="11"/>
  <c r="U1919" i="11"/>
  <c r="U1920" i="11"/>
  <c r="U1921" i="11"/>
  <c r="U1922" i="11"/>
  <c r="U1923" i="11"/>
  <c r="U1924" i="11"/>
  <c r="U1925" i="11"/>
  <c r="U1926" i="11"/>
  <c r="U1927" i="11"/>
  <c r="U1928" i="11"/>
  <c r="U1929" i="11"/>
  <c r="U1930" i="11"/>
  <c r="U1931" i="11"/>
  <c r="U1932" i="11"/>
  <c r="U1933" i="11"/>
  <c r="U1934" i="11"/>
  <c r="U1935" i="11"/>
  <c r="U1936" i="11"/>
  <c r="U1937" i="11"/>
  <c r="U1938" i="11"/>
  <c r="U1939" i="11"/>
  <c r="U1940" i="11"/>
  <c r="U1941" i="11"/>
  <c r="U1942" i="11"/>
  <c r="U1943" i="11"/>
  <c r="U1944" i="11"/>
  <c r="U1945" i="11"/>
  <c r="U1946" i="11"/>
  <c r="U1947" i="11"/>
  <c r="U1948" i="11"/>
  <c r="U1949" i="11"/>
  <c r="U1950" i="11"/>
  <c r="U1951" i="11"/>
  <c r="U1952" i="11"/>
  <c r="U1953" i="11"/>
  <c r="U1954" i="11"/>
  <c r="U1955" i="11"/>
  <c r="U1956" i="11"/>
  <c r="U1957" i="11"/>
  <c r="U1958" i="11"/>
  <c r="U1959" i="11"/>
  <c r="U1960" i="11"/>
  <c r="U1961" i="11"/>
  <c r="U1962" i="11"/>
  <c r="U1963" i="11"/>
  <c r="U1964" i="11"/>
  <c r="U1965" i="11"/>
  <c r="U1966" i="11"/>
  <c r="U1967" i="11"/>
  <c r="U1968" i="11"/>
  <c r="U1969" i="11"/>
  <c r="U1970" i="11"/>
  <c r="U1971" i="11"/>
  <c r="U1972" i="11"/>
  <c r="U1973" i="11"/>
  <c r="U1974" i="11"/>
  <c r="U1975" i="11"/>
  <c r="U1976" i="11"/>
  <c r="U1977" i="11"/>
  <c r="U1978" i="11"/>
  <c r="U1979" i="11"/>
  <c r="U1980" i="11"/>
  <c r="U1981" i="11"/>
  <c r="U1982" i="11"/>
  <c r="U1983" i="11"/>
  <c r="U1984" i="11"/>
  <c r="U1985" i="11"/>
  <c r="U1986" i="11"/>
  <c r="U1987" i="11"/>
  <c r="U1988" i="11"/>
  <c r="U1989" i="11"/>
  <c r="U1990" i="11"/>
  <c r="U1991" i="11"/>
  <c r="U1992" i="11"/>
  <c r="U1993" i="11"/>
  <c r="U1994" i="11"/>
  <c r="U1995" i="11"/>
  <c r="U1996" i="11"/>
  <c r="U1997" i="11"/>
  <c r="U1998" i="11"/>
  <c r="U1999" i="11"/>
  <c r="U2000" i="11"/>
  <c r="U2001" i="11"/>
  <c r="U2002" i="11"/>
  <c r="U2003" i="11"/>
  <c r="U2004" i="11"/>
  <c r="U2005" i="11"/>
  <c r="U2006" i="11"/>
  <c r="U2007" i="11"/>
  <c r="U2008" i="11"/>
  <c r="U2009" i="11"/>
  <c r="U2010" i="11"/>
  <c r="U2011" i="11"/>
  <c r="U2012" i="11"/>
  <c r="U2013" i="11"/>
  <c r="U2014" i="11"/>
  <c r="U2015" i="11"/>
  <c r="U2016" i="11"/>
  <c r="U2017" i="11"/>
  <c r="U2018" i="11"/>
  <c r="U2019" i="11"/>
  <c r="U2020" i="11"/>
  <c r="U2021" i="11"/>
  <c r="U2022" i="11"/>
  <c r="U2023" i="11"/>
  <c r="U2024" i="11"/>
  <c r="U2025" i="11"/>
  <c r="U2026" i="11"/>
  <c r="U2027" i="11"/>
  <c r="U2028" i="11"/>
  <c r="U2029" i="11"/>
  <c r="U2030" i="11"/>
  <c r="U2031" i="11"/>
  <c r="U2032" i="11"/>
  <c r="U2033" i="11"/>
  <c r="U2034" i="11"/>
  <c r="U2035" i="11"/>
  <c r="U2036" i="11"/>
  <c r="U2037" i="11"/>
  <c r="U2038" i="11"/>
  <c r="U2039" i="11"/>
  <c r="U2040" i="11"/>
  <c r="U2041" i="11"/>
  <c r="U2042" i="11"/>
  <c r="U2043" i="11"/>
  <c r="U2044" i="11"/>
  <c r="U2045" i="11"/>
  <c r="U2046" i="11"/>
  <c r="U2047" i="11"/>
  <c r="U2048" i="11"/>
  <c r="U2049" i="11"/>
  <c r="U2050" i="11"/>
  <c r="U2051" i="11"/>
  <c r="U2052" i="11"/>
  <c r="U2053" i="11"/>
  <c r="U2054" i="11"/>
  <c r="U2055" i="11"/>
  <c r="U2056" i="11"/>
  <c r="U2057" i="11"/>
  <c r="U2058" i="11"/>
  <c r="U2059" i="11"/>
  <c r="U2060" i="11"/>
  <c r="U2061" i="11"/>
  <c r="U2062" i="11"/>
  <c r="U2063" i="11"/>
  <c r="U2064" i="11"/>
  <c r="U2065" i="11"/>
  <c r="U2066" i="11"/>
  <c r="U2067" i="11"/>
  <c r="U2068" i="11"/>
  <c r="U2069" i="11"/>
  <c r="U2070" i="11"/>
  <c r="U2071" i="11"/>
  <c r="U2072" i="11"/>
  <c r="U2073" i="11"/>
  <c r="U2074" i="11"/>
  <c r="U2075" i="11"/>
  <c r="U2076" i="11"/>
  <c r="U2077" i="11"/>
  <c r="U2078" i="11"/>
  <c r="U2079" i="11"/>
  <c r="U2080" i="11"/>
  <c r="U2081" i="11"/>
  <c r="U2082" i="11"/>
  <c r="U2083" i="11"/>
  <c r="U2084" i="11"/>
  <c r="U2085" i="11"/>
  <c r="U2086" i="11"/>
  <c r="U2087" i="11"/>
  <c r="U2088" i="11"/>
  <c r="U2089" i="11"/>
  <c r="U2090" i="11"/>
  <c r="U2091" i="11"/>
  <c r="U2092" i="11"/>
  <c r="U2093" i="11"/>
  <c r="U2094" i="11"/>
  <c r="U2095" i="11"/>
  <c r="U2096" i="11"/>
  <c r="U2097" i="11"/>
  <c r="U2098" i="11"/>
  <c r="U2099" i="11"/>
  <c r="U2100" i="11"/>
  <c r="U2101" i="11"/>
  <c r="U2102" i="11"/>
  <c r="U2103" i="11"/>
  <c r="U2104" i="11"/>
  <c r="U2105" i="11"/>
  <c r="U2106" i="11"/>
  <c r="U2107" i="11"/>
  <c r="U2108" i="11"/>
  <c r="U2109" i="11"/>
  <c r="U2110" i="11"/>
  <c r="U2111" i="11"/>
  <c r="U2112" i="11"/>
  <c r="U2113" i="11"/>
  <c r="U2114" i="11"/>
  <c r="U2115" i="11"/>
  <c r="U2116" i="11"/>
  <c r="U2117" i="11"/>
  <c r="U2118" i="11"/>
  <c r="U2119" i="11"/>
  <c r="U2120" i="11"/>
  <c r="U2121" i="11"/>
  <c r="U2122" i="11"/>
  <c r="U2123" i="11"/>
  <c r="U2124" i="11"/>
  <c r="U2125" i="11"/>
  <c r="U2126" i="11"/>
  <c r="U2127" i="11"/>
  <c r="U2128" i="11"/>
  <c r="U2129" i="11"/>
  <c r="U2130" i="11"/>
  <c r="U2131" i="11"/>
  <c r="U2132" i="11"/>
  <c r="U2133" i="11"/>
  <c r="U2134" i="11"/>
  <c r="U2135" i="11"/>
  <c r="U2136" i="11"/>
  <c r="U2137" i="11"/>
  <c r="U2138" i="11"/>
  <c r="U2139" i="11"/>
  <c r="U2140" i="11"/>
  <c r="U2141" i="11"/>
  <c r="U2142" i="11"/>
  <c r="U2143" i="11"/>
  <c r="U2144" i="11"/>
  <c r="U2145" i="11"/>
  <c r="U2146" i="11"/>
  <c r="U2147" i="11"/>
  <c r="U2148" i="11"/>
  <c r="U2149" i="11"/>
  <c r="U2150" i="11"/>
  <c r="U2151" i="11"/>
  <c r="U2152" i="11"/>
  <c r="U2153" i="11"/>
  <c r="U2154" i="11"/>
  <c r="U2155" i="11"/>
  <c r="U2156" i="11"/>
  <c r="U2157" i="11"/>
  <c r="U2158" i="11"/>
  <c r="U2159" i="11"/>
  <c r="U2160" i="11"/>
  <c r="U2161" i="11"/>
  <c r="U2162" i="11"/>
  <c r="U2163" i="11"/>
  <c r="U2164" i="11"/>
  <c r="U2165" i="11"/>
  <c r="U2166" i="11"/>
  <c r="U2167" i="11"/>
  <c r="U2168" i="11"/>
  <c r="U2169" i="11"/>
  <c r="U2170" i="11"/>
  <c r="U2171" i="11"/>
  <c r="U2172" i="11"/>
  <c r="U2173" i="11"/>
  <c r="U2174" i="11"/>
  <c r="U2175" i="11"/>
  <c r="U2176" i="11"/>
  <c r="U2177" i="11"/>
  <c r="U2178" i="11"/>
  <c r="U2179" i="11"/>
  <c r="U2180" i="11"/>
  <c r="U2181" i="11"/>
  <c r="U2182" i="11"/>
  <c r="U2183" i="11"/>
  <c r="U2184" i="11"/>
  <c r="U2185" i="11"/>
  <c r="U2186" i="11"/>
  <c r="U2187" i="11"/>
  <c r="U2188" i="11"/>
  <c r="U2189" i="11"/>
  <c r="U2190" i="11"/>
  <c r="U2191" i="11"/>
  <c r="U2192" i="11"/>
  <c r="U2193" i="11"/>
  <c r="U2194" i="11"/>
  <c r="U2195" i="11"/>
  <c r="U2196" i="11"/>
  <c r="U2197" i="11"/>
  <c r="U2198" i="11"/>
  <c r="U2199" i="11"/>
  <c r="U2200" i="11"/>
  <c r="U2201" i="11"/>
  <c r="U2202" i="11"/>
  <c r="U2203" i="11"/>
  <c r="U2204" i="11"/>
  <c r="U2205" i="11"/>
  <c r="U2206" i="11"/>
  <c r="U2207" i="11"/>
  <c r="U2208" i="11"/>
  <c r="U2209" i="11"/>
  <c r="U2210" i="11"/>
  <c r="U2211" i="11"/>
  <c r="U2212" i="11"/>
  <c r="U2213" i="11"/>
  <c r="U2214" i="11"/>
  <c r="U2215" i="11"/>
  <c r="U2216" i="11"/>
  <c r="U2217" i="11"/>
  <c r="U2218" i="11"/>
  <c r="U2219" i="11"/>
  <c r="U2220" i="11"/>
  <c r="U2221" i="11"/>
  <c r="U2222" i="11"/>
  <c r="U2223" i="11"/>
  <c r="U2224" i="11"/>
  <c r="U2225" i="11"/>
  <c r="U2226" i="11"/>
  <c r="U2227" i="11"/>
  <c r="U2228" i="11"/>
  <c r="U2229" i="11"/>
  <c r="U2230" i="11"/>
  <c r="U2231" i="11"/>
  <c r="U2232" i="11"/>
  <c r="U2233" i="11"/>
  <c r="U2234" i="11"/>
  <c r="U2235" i="11"/>
  <c r="U2236" i="11"/>
  <c r="U2237" i="11"/>
  <c r="U2238" i="11"/>
  <c r="U2239" i="11"/>
  <c r="U2240" i="11"/>
  <c r="U2241" i="11"/>
  <c r="U2242" i="11"/>
  <c r="U2243" i="11"/>
  <c r="U2244" i="11"/>
  <c r="U2245" i="11"/>
  <c r="U2246" i="11"/>
  <c r="U2247" i="11"/>
  <c r="U2248" i="11"/>
  <c r="U2249" i="11"/>
  <c r="U2250" i="11"/>
  <c r="U2251" i="11"/>
  <c r="U2252" i="11"/>
  <c r="U2253" i="11"/>
  <c r="U2254" i="11"/>
  <c r="U2255" i="11"/>
  <c r="U2256" i="11"/>
  <c r="U2257" i="11"/>
  <c r="U2258" i="11"/>
  <c r="U2259" i="11"/>
  <c r="U2260" i="11"/>
  <c r="U2261" i="11"/>
  <c r="U2262" i="11"/>
  <c r="U2263" i="11"/>
  <c r="U2264" i="11"/>
  <c r="U2265" i="11"/>
  <c r="U2266" i="11"/>
  <c r="U2267" i="11"/>
  <c r="U2268" i="11"/>
  <c r="U2269" i="11"/>
  <c r="U2270" i="11"/>
  <c r="U2271" i="11"/>
  <c r="U2272" i="11"/>
  <c r="U2273" i="11"/>
  <c r="U2274" i="11"/>
  <c r="U2275" i="11"/>
  <c r="U2276" i="11"/>
  <c r="U2277" i="11"/>
  <c r="U2278" i="11"/>
  <c r="U2279" i="11"/>
  <c r="U2280" i="11"/>
  <c r="U2281" i="11"/>
  <c r="U2282" i="11"/>
  <c r="U2283" i="11"/>
  <c r="U2284" i="11"/>
  <c r="U2285" i="11"/>
  <c r="U2286" i="11"/>
  <c r="U2287" i="11"/>
  <c r="U2288" i="11"/>
  <c r="U2289" i="11"/>
  <c r="U2290" i="11"/>
  <c r="U2291" i="11"/>
  <c r="U2292" i="11"/>
  <c r="U2293" i="11"/>
  <c r="U2294" i="11"/>
  <c r="U2295" i="11"/>
  <c r="U2296" i="11"/>
  <c r="U2297" i="11"/>
  <c r="U2298" i="11"/>
  <c r="U2299" i="11"/>
  <c r="U2300" i="11"/>
  <c r="U2301" i="11"/>
  <c r="U2302" i="11"/>
  <c r="U2303" i="11"/>
  <c r="U2304" i="11"/>
  <c r="U2305" i="11"/>
  <c r="U2306" i="11"/>
  <c r="U2307" i="11"/>
  <c r="U2308" i="11"/>
  <c r="U2309" i="11"/>
  <c r="U2310" i="11"/>
  <c r="U2311" i="11"/>
  <c r="U2312" i="11"/>
  <c r="U2313" i="11"/>
  <c r="U2314" i="11"/>
  <c r="U2315" i="11"/>
  <c r="U2316" i="11"/>
  <c r="U2317" i="11"/>
  <c r="U2318" i="11"/>
  <c r="U2319" i="11"/>
  <c r="U2320" i="11"/>
  <c r="U2321" i="11"/>
  <c r="U2322" i="11"/>
  <c r="U2323" i="11"/>
  <c r="U2324" i="11"/>
  <c r="U2325" i="11"/>
  <c r="U2326" i="11"/>
  <c r="U2327" i="11"/>
  <c r="U2328" i="11"/>
  <c r="U2329" i="11"/>
  <c r="U2330" i="11"/>
  <c r="U2331" i="11"/>
  <c r="U2332" i="11"/>
  <c r="U2333" i="11"/>
  <c r="U2334" i="11"/>
  <c r="U2335" i="11"/>
  <c r="U2336" i="11"/>
  <c r="U2337" i="11"/>
  <c r="U2338" i="11"/>
  <c r="U2339" i="11"/>
  <c r="U2340" i="11"/>
  <c r="U2341" i="11"/>
  <c r="U2342" i="11"/>
  <c r="U2343" i="11"/>
  <c r="U2344" i="11"/>
  <c r="U2345" i="11"/>
  <c r="U2346" i="11"/>
  <c r="U2347" i="11"/>
  <c r="U2348" i="11"/>
  <c r="U2349" i="11"/>
  <c r="U2350" i="11"/>
  <c r="U2351" i="11"/>
  <c r="U2352" i="11"/>
  <c r="U2353" i="11"/>
  <c r="U2354" i="11"/>
  <c r="U2355" i="11"/>
  <c r="U2356" i="11"/>
  <c r="U2357" i="11"/>
  <c r="U2358" i="11"/>
  <c r="U2359" i="11"/>
  <c r="U2360" i="11"/>
  <c r="U2361" i="11"/>
  <c r="U2362" i="11"/>
  <c r="U2363" i="11"/>
  <c r="U2364" i="11"/>
  <c r="U2365" i="11"/>
  <c r="U2366" i="11"/>
  <c r="U2367" i="11"/>
  <c r="U2368" i="11"/>
  <c r="U2369" i="11"/>
  <c r="U2370" i="11"/>
  <c r="U2371" i="11"/>
  <c r="U2372" i="11"/>
  <c r="U2373" i="11"/>
  <c r="U2374" i="11"/>
  <c r="U2375" i="11"/>
  <c r="U2376" i="11"/>
  <c r="U2377" i="11"/>
  <c r="U2378" i="11"/>
  <c r="U2379" i="11"/>
  <c r="U2380" i="11"/>
  <c r="U2381" i="11"/>
  <c r="U2382" i="11"/>
  <c r="U2383" i="11"/>
  <c r="U2384" i="11"/>
  <c r="U2385" i="11"/>
  <c r="U2386" i="11"/>
  <c r="U2387" i="11"/>
  <c r="U2388" i="11"/>
  <c r="U2389" i="11"/>
  <c r="U2390" i="11"/>
  <c r="U2391" i="11"/>
  <c r="U2392" i="11"/>
  <c r="U2393" i="11"/>
  <c r="U2394" i="11"/>
  <c r="U2395" i="11"/>
  <c r="U2396" i="11"/>
  <c r="U2397" i="11"/>
  <c r="U2398" i="11"/>
  <c r="U2399" i="11"/>
  <c r="U2400" i="11"/>
  <c r="U2401" i="11"/>
  <c r="U2402" i="11"/>
  <c r="U2403" i="11"/>
  <c r="U2404" i="11"/>
  <c r="U2405" i="11"/>
  <c r="U2406" i="11"/>
  <c r="U2407" i="11"/>
  <c r="U2408" i="11"/>
  <c r="U2409" i="11"/>
  <c r="U2410" i="11"/>
  <c r="U2411" i="11"/>
  <c r="U2412" i="11"/>
  <c r="U2413" i="11"/>
  <c r="U2414" i="11"/>
  <c r="U2415" i="11"/>
  <c r="U2416" i="11"/>
  <c r="U2417" i="11"/>
  <c r="U2418" i="11"/>
  <c r="U2419" i="11"/>
  <c r="U2420" i="11"/>
  <c r="U2421" i="11"/>
  <c r="U2422" i="11"/>
  <c r="U2423" i="11"/>
  <c r="U2424" i="11"/>
  <c r="U2425" i="11"/>
  <c r="U2426" i="11"/>
  <c r="U2427" i="11"/>
  <c r="U2428" i="11"/>
  <c r="U2429" i="11"/>
  <c r="U2430" i="11"/>
  <c r="U2431" i="11"/>
  <c r="U2432" i="11"/>
  <c r="U2433" i="11"/>
  <c r="U2434" i="11"/>
  <c r="U2435" i="11"/>
  <c r="U2436" i="11"/>
  <c r="U2437" i="11"/>
  <c r="U2438" i="11"/>
  <c r="U2439" i="11"/>
  <c r="U2440" i="11"/>
  <c r="U2441" i="11"/>
  <c r="U2442" i="11"/>
  <c r="U2443" i="11"/>
  <c r="U2444" i="11"/>
  <c r="U2445" i="11"/>
  <c r="U2446" i="11"/>
  <c r="U2447" i="11"/>
  <c r="U2448" i="11"/>
  <c r="U2449" i="11"/>
  <c r="U2450" i="11"/>
  <c r="U2451" i="11"/>
  <c r="U2452" i="11"/>
  <c r="U2453" i="11"/>
  <c r="U2454" i="11"/>
  <c r="U2455" i="11"/>
  <c r="U2456" i="11"/>
  <c r="U2457" i="11"/>
  <c r="U2458" i="11"/>
  <c r="U2459" i="11"/>
  <c r="U2460" i="11"/>
  <c r="U2461" i="11"/>
  <c r="U2462" i="11"/>
  <c r="U2463" i="11"/>
  <c r="U2464" i="11"/>
  <c r="U2465" i="11"/>
  <c r="U2466" i="11"/>
  <c r="U2467" i="11"/>
  <c r="U2468" i="11"/>
  <c r="U2469" i="11"/>
  <c r="U2470" i="11"/>
  <c r="U2471" i="11"/>
  <c r="U2472" i="11"/>
  <c r="U2473" i="11"/>
  <c r="U2474" i="11"/>
  <c r="U2475" i="11"/>
  <c r="U2476" i="11"/>
  <c r="U2477" i="11"/>
  <c r="U2478" i="11"/>
  <c r="U2479" i="11"/>
  <c r="U2480" i="11"/>
  <c r="U2481" i="11"/>
  <c r="U2482" i="11"/>
  <c r="U2483" i="11"/>
  <c r="U2484" i="11"/>
  <c r="U2485" i="11"/>
  <c r="U2486" i="11"/>
  <c r="U2487" i="11"/>
  <c r="U2488" i="11"/>
  <c r="U2489" i="11"/>
  <c r="U2490" i="11"/>
  <c r="U2491" i="11"/>
  <c r="U2492" i="11"/>
  <c r="U2493" i="11"/>
  <c r="U2494" i="11"/>
  <c r="U2495" i="11"/>
  <c r="U2496" i="11"/>
  <c r="U2497" i="11"/>
  <c r="U2498" i="11"/>
  <c r="U2499" i="11"/>
  <c r="U2500" i="11"/>
  <c r="U2501" i="11"/>
  <c r="U2502" i="11"/>
  <c r="U2503" i="11"/>
  <c r="U2504" i="11"/>
  <c r="U2505" i="11"/>
  <c r="U2506" i="11"/>
  <c r="U2507" i="11"/>
  <c r="U2508" i="11"/>
  <c r="U2509" i="11"/>
  <c r="U2510" i="11"/>
  <c r="U2511" i="11"/>
  <c r="U2512" i="11"/>
  <c r="U2513" i="11"/>
  <c r="U2514" i="11"/>
  <c r="U2515" i="11"/>
  <c r="U2516" i="11"/>
  <c r="U2517" i="11"/>
  <c r="U2518" i="11"/>
  <c r="U2519" i="11"/>
  <c r="U2520" i="11"/>
  <c r="U2521" i="11"/>
  <c r="U2522" i="11"/>
  <c r="U2523" i="11"/>
  <c r="U2524" i="11"/>
  <c r="U2525" i="11"/>
  <c r="U2526" i="11"/>
  <c r="U2527" i="11"/>
  <c r="U2528" i="11"/>
  <c r="U2529" i="11"/>
  <c r="U2530" i="11"/>
  <c r="U2531" i="11"/>
  <c r="U2532" i="11"/>
  <c r="U2533" i="11"/>
  <c r="U2534" i="11"/>
  <c r="U2535" i="11"/>
  <c r="U2536" i="11"/>
  <c r="U2537" i="11"/>
  <c r="U2538" i="11"/>
  <c r="U2539" i="11"/>
  <c r="U2540" i="11"/>
  <c r="U2541" i="11"/>
  <c r="U2542" i="11"/>
  <c r="U2543" i="11"/>
  <c r="U2544" i="11"/>
  <c r="U2545" i="11"/>
  <c r="U2546" i="11"/>
  <c r="U2547" i="11"/>
  <c r="U2548" i="11"/>
  <c r="U2549" i="11"/>
  <c r="U2550" i="11"/>
  <c r="U2551" i="11"/>
  <c r="U2552" i="11"/>
  <c r="U2553" i="11"/>
  <c r="U2554" i="11"/>
  <c r="U2555" i="11"/>
  <c r="U2556" i="11"/>
  <c r="U2557" i="11"/>
  <c r="U2558" i="11"/>
  <c r="U2559" i="11"/>
  <c r="U2560" i="11"/>
  <c r="U2561" i="11"/>
  <c r="U2562" i="11"/>
  <c r="U2563" i="11"/>
  <c r="U2564" i="11"/>
  <c r="U2565" i="11"/>
  <c r="U2566" i="11"/>
  <c r="U2567" i="11"/>
  <c r="U2568" i="11"/>
  <c r="U2569" i="11"/>
  <c r="U2570" i="11"/>
  <c r="U2571" i="11"/>
  <c r="U2572" i="11"/>
  <c r="U2573" i="11"/>
  <c r="U2574" i="11"/>
  <c r="U2575" i="11"/>
  <c r="U2576" i="11"/>
  <c r="U2577" i="11"/>
  <c r="U2578" i="11"/>
  <c r="U2579" i="11"/>
  <c r="U2580" i="11"/>
  <c r="U2581" i="11"/>
  <c r="U2582" i="11"/>
  <c r="U2583" i="11"/>
  <c r="U2584" i="11"/>
  <c r="U2585" i="11"/>
  <c r="U2586" i="11"/>
  <c r="U2587" i="11"/>
  <c r="U2588" i="11"/>
  <c r="U2589" i="11"/>
  <c r="U2590" i="11"/>
  <c r="U2591" i="11"/>
  <c r="U2592" i="11"/>
  <c r="U2593" i="11"/>
  <c r="U2594" i="11"/>
  <c r="U2595" i="11"/>
  <c r="U2596" i="11"/>
  <c r="U2597" i="11"/>
  <c r="U2598" i="11"/>
  <c r="U2599" i="11"/>
  <c r="U2600" i="11"/>
  <c r="U2601" i="11"/>
  <c r="U2602" i="11"/>
  <c r="U2603" i="11"/>
  <c r="U2604" i="11"/>
  <c r="U2605" i="11"/>
  <c r="U2606" i="11"/>
  <c r="U2607" i="11"/>
  <c r="U2608" i="11"/>
  <c r="U2609" i="11"/>
  <c r="U2610" i="11"/>
  <c r="U2611" i="11"/>
  <c r="U2612" i="11"/>
  <c r="U2613" i="11"/>
  <c r="U2614" i="11"/>
  <c r="U2615" i="11"/>
  <c r="U2616" i="11"/>
  <c r="U2617" i="11"/>
  <c r="U2618" i="11"/>
  <c r="U2619" i="11"/>
  <c r="U2620" i="11"/>
  <c r="U2621" i="11"/>
  <c r="U2622" i="11"/>
  <c r="U2623" i="11"/>
  <c r="U2624" i="11"/>
  <c r="U2625" i="11"/>
  <c r="U2626" i="11"/>
  <c r="U2627" i="11"/>
  <c r="U2628" i="11"/>
  <c r="U2629" i="11"/>
  <c r="U2630" i="11"/>
  <c r="U2631" i="11"/>
  <c r="U2632" i="11"/>
  <c r="U2633" i="11"/>
  <c r="U2634" i="11"/>
  <c r="U2635" i="11"/>
  <c r="U2636" i="11"/>
  <c r="U2637" i="11"/>
  <c r="U2638" i="11"/>
  <c r="U2639" i="11"/>
  <c r="U2640" i="11"/>
  <c r="U2641" i="11"/>
  <c r="U2642" i="11"/>
  <c r="U2643" i="11"/>
  <c r="U2644" i="11"/>
  <c r="U2645" i="11"/>
  <c r="U2646" i="11"/>
  <c r="U2647" i="11"/>
  <c r="U2648" i="11"/>
  <c r="U2649" i="11"/>
  <c r="U2650" i="11"/>
  <c r="U2651" i="11"/>
  <c r="U2652" i="11"/>
  <c r="U2653" i="11"/>
  <c r="U2654" i="11"/>
  <c r="U2655" i="11"/>
  <c r="U2656" i="11"/>
  <c r="U2657" i="11"/>
  <c r="U2658" i="11"/>
  <c r="U2659" i="11"/>
  <c r="U2660" i="11"/>
  <c r="U2661" i="11"/>
  <c r="U2662" i="11"/>
  <c r="U2663" i="11"/>
  <c r="U2664" i="11"/>
  <c r="U2665" i="11"/>
  <c r="U2666" i="11"/>
  <c r="U2667" i="11"/>
  <c r="U2668" i="11"/>
  <c r="U2669" i="11"/>
  <c r="U2670" i="11"/>
  <c r="U2671" i="11"/>
  <c r="U2672" i="11"/>
  <c r="U2673" i="11"/>
  <c r="U2674" i="11"/>
  <c r="U2675" i="11"/>
  <c r="U2676" i="11"/>
  <c r="U2677" i="11"/>
  <c r="U2678" i="11"/>
  <c r="U2679" i="11"/>
  <c r="U2680" i="11"/>
  <c r="U2681" i="11"/>
  <c r="U2682" i="11"/>
  <c r="U2683" i="11"/>
  <c r="U2684" i="11"/>
  <c r="U2685" i="11"/>
  <c r="U2686" i="11"/>
  <c r="U2687" i="11"/>
  <c r="U2688" i="11"/>
  <c r="U2689" i="11"/>
  <c r="U2690" i="11"/>
  <c r="U2691" i="11"/>
  <c r="U2692" i="11"/>
  <c r="U2693" i="11"/>
  <c r="U2694" i="11"/>
  <c r="U2695" i="11"/>
  <c r="U2696" i="11"/>
  <c r="U2697" i="11"/>
  <c r="U2698" i="11"/>
  <c r="U2699" i="11"/>
  <c r="U2700" i="11"/>
  <c r="U2701" i="11"/>
  <c r="U2702" i="11"/>
  <c r="U2703" i="11"/>
  <c r="U2704" i="11"/>
  <c r="U2705" i="11"/>
  <c r="U2706" i="11"/>
  <c r="U2707" i="11"/>
  <c r="U2708" i="11"/>
  <c r="U2709" i="11"/>
  <c r="U2710" i="11"/>
  <c r="U2711" i="11"/>
  <c r="U2712" i="11"/>
  <c r="U2713" i="11"/>
  <c r="U2714" i="11"/>
  <c r="U2715" i="11"/>
  <c r="U2716" i="11"/>
  <c r="U2717" i="11"/>
  <c r="U2718" i="11"/>
  <c r="U2719" i="11"/>
  <c r="U2720" i="11"/>
  <c r="U2721" i="11"/>
  <c r="U2722" i="11"/>
  <c r="U2723" i="11"/>
  <c r="U2724" i="11"/>
  <c r="U2725" i="11"/>
  <c r="U2726" i="11"/>
  <c r="U2727" i="11"/>
  <c r="U2728" i="11"/>
  <c r="U2729" i="11"/>
  <c r="U2730" i="11"/>
  <c r="U2731" i="11"/>
  <c r="U2732" i="11"/>
  <c r="U2733" i="11"/>
  <c r="U2734" i="11"/>
  <c r="U2735" i="11"/>
  <c r="U2736" i="11"/>
  <c r="U2737" i="11"/>
  <c r="U2738" i="11"/>
  <c r="U2739" i="11"/>
  <c r="U2740" i="11"/>
  <c r="U2741" i="11"/>
  <c r="U2742" i="11"/>
  <c r="U2743" i="11"/>
  <c r="U2744" i="11"/>
  <c r="U2745" i="11"/>
  <c r="U2746" i="11"/>
  <c r="U2747" i="11"/>
  <c r="U2748" i="11"/>
  <c r="U2749" i="11"/>
  <c r="U2750" i="11"/>
  <c r="U2751" i="11"/>
  <c r="U2752" i="11"/>
  <c r="U2753" i="11"/>
  <c r="U2754" i="11"/>
  <c r="U2755" i="11"/>
  <c r="U2756" i="11"/>
  <c r="U2757" i="11"/>
  <c r="U2758" i="11"/>
  <c r="U2759" i="11"/>
  <c r="U2760" i="11"/>
  <c r="U2761" i="11"/>
  <c r="U2762" i="11"/>
  <c r="U2763" i="11"/>
  <c r="U2764" i="11"/>
  <c r="U2765" i="11"/>
  <c r="U2766" i="11"/>
  <c r="U2767" i="11"/>
  <c r="U2768" i="11"/>
  <c r="U2769" i="11"/>
  <c r="U2770" i="11"/>
  <c r="U2771" i="11"/>
  <c r="U2772" i="11"/>
  <c r="U2773" i="11"/>
  <c r="U2774" i="11"/>
  <c r="U2775" i="11"/>
  <c r="U2776" i="11"/>
  <c r="U2777" i="11"/>
  <c r="U2778" i="11"/>
  <c r="U2779" i="11"/>
  <c r="U2780" i="11"/>
  <c r="U2781" i="11"/>
  <c r="U2782" i="11"/>
  <c r="U2783" i="11"/>
  <c r="U2784" i="11"/>
  <c r="U2785" i="11"/>
  <c r="U2786" i="11"/>
  <c r="U2787" i="11"/>
  <c r="U2788" i="11"/>
  <c r="U2789" i="11"/>
  <c r="U2790" i="11"/>
  <c r="U2791" i="11"/>
  <c r="U2792" i="11"/>
  <c r="U2793" i="11"/>
  <c r="U2794" i="11"/>
  <c r="U2795" i="11"/>
  <c r="U2796" i="11"/>
  <c r="U2797" i="11"/>
  <c r="U2798" i="11"/>
  <c r="U2799" i="11"/>
  <c r="U2800" i="11"/>
  <c r="U2801" i="11"/>
  <c r="U2802" i="11"/>
  <c r="U2803" i="11"/>
  <c r="U2804" i="11"/>
  <c r="U2805" i="11"/>
  <c r="U2806" i="11"/>
  <c r="U2807" i="11"/>
  <c r="U2808" i="11"/>
  <c r="U2809" i="11"/>
  <c r="U2810" i="11"/>
  <c r="U2811" i="11"/>
  <c r="U2812" i="11"/>
  <c r="U2813" i="11"/>
  <c r="U2814" i="11"/>
  <c r="U2815" i="11"/>
  <c r="U2816" i="11"/>
  <c r="U2817" i="11"/>
  <c r="U2818" i="11"/>
  <c r="U2819" i="11"/>
  <c r="U2820" i="11"/>
  <c r="U2821" i="11"/>
  <c r="U2822" i="11"/>
  <c r="U2823" i="11"/>
  <c r="U2824" i="11"/>
  <c r="U2825" i="11"/>
  <c r="U2826" i="11"/>
  <c r="U2827" i="11"/>
  <c r="U2828" i="11"/>
  <c r="U2829" i="11"/>
  <c r="U2830" i="11"/>
  <c r="U2831" i="11"/>
  <c r="U2832" i="11"/>
  <c r="U2833" i="11"/>
  <c r="U2834" i="11"/>
  <c r="U2835" i="11"/>
  <c r="U2836" i="11"/>
  <c r="U2837" i="11"/>
  <c r="U2838" i="11"/>
  <c r="U2839" i="11"/>
  <c r="U2840" i="11"/>
  <c r="U2841" i="11"/>
  <c r="U2842" i="11"/>
  <c r="U2843" i="11"/>
  <c r="U2844" i="11"/>
  <c r="U2845" i="11"/>
  <c r="U2846" i="11"/>
  <c r="U2847" i="11"/>
  <c r="U2848" i="11"/>
  <c r="U2849" i="11"/>
  <c r="U2850" i="11"/>
  <c r="U2851" i="11"/>
  <c r="U2852" i="11"/>
  <c r="U2853" i="11"/>
  <c r="U2854" i="11"/>
  <c r="U2855" i="11"/>
  <c r="U2856" i="11"/>
  <c r="U2857" i="11"/>
  <c r="U2858" i="11"/>
  <c r="U2859" i="11"/>
  <c r="U2860" i="11"/>
  <c r="U2861" i="11"/>
  <c r="U2862" i="11"/>
  <c r="U2863" i="11"/>
  <c r="U2864" i="11"/>
  <c r="U2865" i="11"/>
  <c r="U2866" i="11"/>
  <c r="U2867" i="11"/>
  <c r="U2868" i="11"/>
  <c r="U2869" i="11"/>
  <c r="U2870" i="11"/>
  <c r="U2871" i="11"/>
  <c r="U2872" i="11"/>
  <c r="U2873" i="11"/>
  <c r="U2874" i="11"/>
  <c r="U2875" i="11"/>
  <c r="U2876" i="11"/>
  <c r="U2877" i="11"/>
  <c r="U2878" i="11"/>
  <c r="U2879" i="11"/>
  <c r="U2880" i="11"/>
  <c r="U2881" i="11"/>
  <c r="U2882" i="11"/>
  <c r="U2883" i="11"/>
  <c r="U2884" i="11"/>
  <c r="U2885" i="11"/>
  <c r="U2886" i="11"/>
  <c r="U2887" i="11"/>
  <c r="U2888" i="11"/>
  <c r="U2889" i="11"/>
  <c r="U2890" i="11"/>
  <c r="U2891" i="11"/>
  <c r="U2892" i="11"/>
  <c r="U2893" i="11"/>
  <c r="U2894" i="11"/>
  <c r="U2895" i="11"/>
  <c r="U2896" i="11"/>
  <c r="U2897" i="11"/>
  <c r="U2898" i="11"/>
  <c r="U2899" i="11"/>
  <c r="U2900" i="11"/>
  <c r="U2901" i="11"/>
  <c r="U2902" i="11"/>
  <c r="U2903" i="11"/>
  <c r="U2904" i="11"/>
  <c r="U2905" i="11"/>
  <c r="U2906" i="11"/>
  <c r="U2907" i="11"/>
  <c r="U2908" i="11"/>
  <c r="U2909" i="11"/>
  <c r="U2910" i="11"/>
  <c r="U2911" i="11"/>
  <c r="U2912" i="11"/>
  <c r="U2913" i="11"/>
  <c r="U2914" i="11"/>
  <c r="U2915" i="11"/>
  <c r="U2916" i="11"/>
  <c r="U2917" i="11"/>
  <c r="U2918" i="11"/>
  <c r="U2919" i="11"/>
  <c r="U2920" i="11"/>
  <c r="U2921" i="11"/>
  <c r="U2922" i="11"/>
  <c r="U2923" i="11"/>
  <c r="U2924" i="11"/>
  <c r="U2925" i="11"/>
  <c r="U2926" i="11"/>
  <c r="U2927" i="11"/>
  <c r="U2928" i="11"/>
  <c r="U2929" i="11"/>
  <c r="U2930" i="11"/>
  <c r="U2931" i="11"/>
  <c r="U2932" i="11"/>
  <c r="U2933" i="11"/>
  <c r="U2934" i="11"/>
  <c r="U2935" i="11"/>
  <c r="U2936" i="11"/>
  <c r="U2937" i="11"/>
  <c r="U2938" i="11"/>
  <c r="U2939" i="11"/>
  <c r="U2940" i="11"/>
  <c r="U2941" i="11"/>
  <c r="U2942" i="11"/>
  <c r="U2943" i="11"/>
  <c r="U2944" i="11"/>
  <c r="U2945" i="11"/>
  <c r="U2946" i="11"/>
  <c r="U2947" i="11"/>
  <c r="U2948" i="11"/>
  <c r="U2949" i="11"/>
  <c r="U2950" i="11"/>
  <c r="U2951" i="11"/>
  <c r="U2952" i="11"/>
  <c r="U2953" i="11"/>
  <c r="U2954" i="11"/>
  <c r="U2955" i="11"/>
  <c r="U2956" i="11"/>
  <c r="U2957" i="11"/>
  <c r="U2958" i="11"/>
  <c r="U2959" i="11"/>
  <c r="U2960" i="11"/>
  <c r="U2961" i="11"/>
  <c r="U2962" i="11"/>
  <c r="U2963" i="11"/>
  <c r="U2964" i="11"/>
  <c r="U2965" i="11"/>
  <c r="U2966" i="11"/>
  <c r="U2967" i="11"/>
  <c r="U2968" i="11"/>
  <c r="U2969" i="11"/>
  <c r="U2970" i="11"/>
  <c r="U2971" i="11"/>
  <c r="U2972" i="11"/>
  <c r="U2973" i="11"/>
  <c r="U2974" i="11"/>
  <c r="U2975" i="11"/>
  <c r="U2976" i="11"/>
  <c r="U2977" i="11"/>
  <c r="U2978" i="11"/>
  <c r="U2979" i="11"/>
  <c r="U2980" i="11"/>
  <c r="U2981" i="11"/>
  <c r="U2982" i="11"/>
  <c r="U2983" i="11"/>
  <c r="U2984" i="11"/>
  <c r="U2985" i="11"/>
  <c r="U2986" i="11"/>
  <c r="U2987" i="11"/>
  <c r="U2988" i="11"/>
  <c r="U2989" i="11"/>
  <c r="U2990" i="11"/>
  <c r="U2991" i="11"/>
  <c r="U2992" i="11"/>
  <c r="U2993" i="11"/>
  <c r="U2994" i="11"/>
  <c r="U2995" i="11"/>
  <c r="U2996" i="11"/>
  <c r="U2997" i="11"/>
  <c r="U2998" i="11"/>
  <c r="U2999" i="11"/>
  <c r="U3000" i="11"/>
  <c r="U3001" i="11"/>
  <c r="U3002" i="11"/>
  <c r="U3003" i="11"/>
  <c r="U3004" i="11"/>
  <c r="U3005" i="11"/>
  <c r="U3006" i="11"/>
  <c r="U3007" i="11"/>
  <c r="U3008" i="11"/>
  <c r="U3009" i="11"/>
  <c r="U3010" i="11"/>
  <c r="U3011" i="11"/>
  <c r="U3012" i="11"/>
  <c r="U3013" i="11"/>
  <c r="U3014" i="11"/>
  <c r="AD1998" i="18" l="1"/>
  <c r="W1997" i="18"/>
  <c r="W1996" i="18"/>
  <c r="W1995" i="18"/>
  <c r="W1994" i="18"/>
  <c r="W1993" i="18"/>
  <c r="W1992" i="18"/>
  <c r="AD1991" i="18"/>
  <c r="AD1990" i="18"/>
  <c r="W1990" i="18"/>
  <c r="AD1989" i="18"/>
  <c r="AD1988" i="18"/>
  <c r="AD1987" i="18"/>
  <c r="AD1986" i="18"/>
  <c r="W1986" i="18"/>
  <c r="AD1985" i="18"/>
  <c r="W1985" i="18"/>
  <c r="AD1984" i="18"/>
  <c r="AD1967" i="18"/>
  <c r="W1966" i="18"/>
  <c r="W1965" i="18"/>
  <c r="W1964" i="18"/>
  <c r="W1963" i="18"/>
  <c r="W1962" i="18"/>
  <c r="W1961" i="18"/>
  <c r="AD1960" i="18"/>
  <c r="AD1959" i="18"/>
  <c r="W1959" i="18"/>
  <c r="AD1958" i="18"/>
  <c r="AD1957" i="18"/>
  <c r="AD1956" i="18"/>
  <c r="AD1955" i="18"/>
  <c r="W1955" i="18"/>
  <c r="AD1954" i="18"/>
  <c r="W1954" i="18"/>
  <c r="AD1953" i="18"/>
  <c r="AD1905" i="18"/>
  <c r="W1904" i="18"/>
  <c r="W1903" i="18"/>
  <c r="W1902" i="18"/>
  <c r="W1901" i="18"/>
  <c r="W1900" i="18"/>
  <c r="W1899" i="18"/>
  <c r="AD1898" i="18"/>
  <c r="AD1897" i="18"/>
  <c r="W1897" i="18"/>
  <c r="AD1896" i="18"/>
  <c r="AD1895" i="18"/>
  <c r="AD1894" i="18"/>
  <c r="AD1893" i="18"/>
  <c r="W1893" i="18"/>
  <c r="AD1892" i="18"/>
  <c r="W1892" i="18"/>
  <c r="AD1891" i="18"/>
  <c r="AD1874" i="18"/>
  <c r="W1873" i="18"/>
  <c r="W1872" i="18"/>
  <c r="W1871" i="18"/>
  <c r="W1870" i="18"/>
  <c r="W1869" i="18"/>
  <c r="W1868" i="18"/>
  <c r="AD1867" i="18"/>
  <c r="AD1866" i="18"/>
  <c r="W1866" i="18"/>
  <c r="AD1865" i="18"/>
  <c r="AD1864" i="18"/>
  <c r="AD1863" i="18"/>
  <c r="AD1862" i="18"/>
  <c r="W1862" i="18"/>
  <c r="AD1861" i="18"/>
  <c r="W1861" i="18"/>
  <c r="AD1860" i="18"/>
  <c r="AD1843" i="18"/>
  <c r="W1842" i="18"/>
  <c r="W1841" i="18"/>
  <c r="W1840" i="18"/>
  <c r="W1839" i="18"/>
  <c r="W1838" i="18"/>
  <c r="W1837" i="18"/>
  <c r="AD1836" i="18"/>
  <c r="AD1835" i="18"/>
  <c r="W1835" i="18"/>
  <c r="AD1834" i="18"/>
  <c r="AD1833" i="18"/>
  <c r="AD1832" i="18"/>
  <c r="AD1831" i="18"/>
  <c r="W1831" i="18"/>
  <c r="AD1830" i="18"/>
  <c r="W1830" i="18"/>
  <c r="AD1829" i="18"/>
  <c r="AD1812" i="18"/>
  <c r="W1811" i="18"/>
  <c r="W1810" i="18"/>
  <c r="W1809" i="18"/>
  <c r="W1808" i="18"/>
  <c r="W1807" i="18"/>
  <c r="W1806" i="18"/>
  <c r="AD1805" i="18"/>
  <c r="AD1804" i="18"/>
  <c r="W1804" i="18"/>
  <c r="AD1803" i="18"/>
  <c r="AD1802" i="18"/>
  <c r="AD1801" i="18"/>
  <c r="AD1800" i="18"/>
  <c r="W1800" i="18"/>
  <c r="AD1799" i="18"/>
  <c r="W1799" i="18"/>
  <c r="AD1798" i="18"/>
  <c r="AD1781" i="18"/>
  <c r="W1780" i="18"/>
  <c r="W1779" i="18"/>
  <c r="W1778" i="18"/>
  <c r="W1777" i="18"/>
  <c r="W1776" i="18"/>
  <c r="W1775" i="18"/>
  <c r="AD1774" i="18"/>
  <c r="AD1773" i="18"/>
  <c r="W1773" i="18"/>
  <c r="AD1772" i="18"/>
  <c r="AD1771" i="18"/>
  <c r="AD1770" i="18"/>
  <c r="AD1769" i="18"/>
  <c r="W1769" i="18"/>
  <c r="AD1768" i="18"/>
  <c r="W1768" i="18"/>
  <c r="AD1767" i="18"/>
  <c r="AD1750" i="18"/>
  <c r="W1749" i="18"/>
  <c r="W1748" i="18"/>
  <c r="W1747" i="18"/>
  <c r="W1746" i="18"/>
  <c r="W1745" i="18"/>
  <c r="W1744" i="18"/>
  <c r="AD1743" i="18"/>
  <c r="AD1742" i="18"/>
  <c r="W1742" i="18"/>
  <c r="AD1741" i="18"/>
  <c r="AD1740" i="18"/>
  <c r="AD1739" i="18"/>
  <c r="AD1738" i="18"/>
  <c r="W1738" i="18"/>
  <c r="AD1737" i="18"/>
  <c r="W1737" i="18"/>
  <c r="AD1736" i="18"/>
  <c r="AD1719" i="18"/>
  <c r="W1718" i="18"/>
  <c r="W1717" i="18"/>
  <c r="W1716" i="18"/>
  <c r="W1715" i="18"/>
  <c r="W1714" i="18"/>
  <c r="W1713" i="18"/>
  <c r="AD1712" i="18"/>
  <c r="AD1711" i="18"/>
  <c r="W1711" i="18"/>
  <c r="AD1710" i="18"/>
  <c r="AD1709" i="18"/>
  <c r="AD1708" i="18"/>
  <c r="AD1707" i="18"/>
  <c r="W1707" i="18"/>
  <c r="AD1706" i="18"/>
  <c r="W1706" i="18"/>
  <c r="AD1705" i="18"/>
  <c r="AD1688" i="18"/>
  <c r="W1687" i="18"/>
  <c r="W1686" i="18"/>
  <c r="W1685" i="18"/>
  <c r="W1684" i="18"/>
  <c r="W1683" i="18"/>
  <c r="W1682" i="18"/>
  <c r="AD1681" i="18"/>
  <c r="AD1680" i="18"/>
  <c r="W1680" i="18"/>
  <c r="AD1679" i="18"/>
  <c r="AD1678" i="18"/>
  <c r="AD1677" i="18"/>
  <c r="AD1676" i="18"/>
  <c r="W1676" i="18"/>
  <c r="AD1675" i="18"/>
  <c r="W1675" i="18"/>
  <c r="AD1674" i="18"/>
  <c r="AD1657" i="18"/>
  <c r="W1656" i="18"/>
  <c r="W1655" i="18"/>
  <c r="W1654" i="18"/>
  <c r="W1653" i="18"/>
  <c r="W1652" i="18"/>
  <c r="W1651" i="18"/>
  <c r="AD1650" i="18"/>
  <c r="AD1649" i="18"/>
  <c r="W1649" i="18"/>
  <c r="AD1648" i="18"/>
  <c r="AD1647" i="18"/>
  <c r="AD1646" i="18"/>
  <c r="AD1645" i="18"/>
  <c r="W1645" i="18"/>
  <c r="AD1644" i="18"/>
  <c r="W1644" i="18"/>
  <c r="AD1643" i="18"/>
  <c r="AD1626" i="18"/>
  <c r="W1625" i="18"/>
  <c r="W1624" i="18"/>
  <c r="W1623" i="18"/>
  <c r="W1622" i="18"/>
  <c r="W1621" i="18"/>
  <c r="W1620" i="18"/>
  <c r="AD1619" i="18"/>
  <c r="AD1618" i="18"/>
  <c r="W1618" i="18"/>
  <c r="AD1617" i="18"/>
  <c r="AD1616" i="18"/>
  <c r="AD1615" i="18"/>
  <c r="AD1614" i="18"/>
  <c r="W1614" i="18"/>
  <c r="AD1613" i="18"/>
  <c r="W1613" i="18"/>
  <c r="AD1612" i="18"/>
  <c r="AD1595" i="18"/>
  <c r="W1594" i="18"/>
  <c r="W1593" i="18"/>
  <c r="W1592" i="18"/>
  <c r="W1591" i="18"/>
  <c r="W1590" i="18"/>
  <c r="W1589" i="18"/>
  <c r="AD1588" i="18"/>
  <c r="AD1587" i="18"/>
  <c r="W1587" i="18"/>
  <c r="AD1586" i="18"/>
  <c r="AD1585" i="18"/>
  <c r="AD1584" i="18"/>
  <c r="AD1583" i="18"/>
  <c r="W1583" i="18"/>
  <c r="AD1582" i="18"/>
  <c r="W1582" i="18"/>
  <c r="AD1581" i="18"/>
  <c r="AD1564" i="18"/>
  <c r="W1563" i="18"/>
  <c r="W1562" i="18"/>
  <c r="W1561" i="18"/>
  <c r="W1560" i="18"/>
  <c r="W1559" i="18"/>
  <c r="W1558" i="18"/>
  <c r="AD1557" i="18"/>
  <c r="AD1556" i="18"/>
  <c r="W1556" i="18"/>
  <c r="AD1555" i="18"/>
  <c r="AD1554" i="18"/>
  <c r="AD1553" i="18"/>
  <c r="AD1552" i="18"/>
  <c r="W1552" i="18"/>
  <c r="AD1551" i="18"/>
  <c r="W1551" i="18"/>
  <c r="AD1550" i="18"/>
  <c r="AD1533" i="18"/>
  <c r="W1532" i="18"/>
  <c r="W1531" i="18"/>
  <c r="W1530" i="18"/>
  <c r="W1529" i="18"/>
  <c r="W1528" i="18"/>
  <c r="W1527" i="18"/>
  <c r="AD1526" i="18"/>
  <c r="AD1525" i="18"/>
  <c r="W1525" i="18"/>
  <c r="AD1524" i="18"/>
  <c r="AD1523" i="18"/>
  <c r="AD1522" i="18"/>
  <c r="AD1521" i="18"/>
  <c r="W1521" i="18"/>
  <c r="AD1520" i="18"/>
  <c r="W1520" i="18"/>
  <c r="AD1519" i="18"/>
  <c r="AD1502" i="18"/>
  <c r="W1501" i="18"/>
  <c r="W1500" i="18"/>
  <c r="W1499" i="18"/>
  <c r="W1498" i="18"/>
  <c r="W1497" i="18"/>
  <c r="W1496" i="18"/>
  <c r="AD1495" i="18"/>
  <c r="AD1494" i="18"/>
  <c r="W1494" i="18"/>
  <c r="AD1493" i="18"/>
  <c r="AD1492" i="18"/>
  <c r="AD1491" i="18"/>
  <c r="AD1490" i="18"/>
  <c r="W1490" i="18"/>
  <c r="AD1489" i="18"/>
  <c r="W1489" i="18"/>
  <c r="AD1488" i="18"/>
  <c r="AD1471" i="18"/>
  <c r="W1470" i="18"/>
  <c r="W1469" i="18"/>
  <c r="W1468" i="18"/>
  <c r="W1467" i="18"/>
  <c r="W1466" i="18"/>
  <c r="W1465" i="18"/>
  <c r="AD1464" i="18"/>
  <c r="AD1463" i="18"/>
  <c r="W1463" i="18"/>
  <c r="AD1462" i="18"/>
  <c r="AD1461" i="18"/>
  <c r="AD1460" i="18"/>
  <c r="AD1459" i="18"/>
  <c r="W1459" i="18"/>
  <c r="AD1458" i="18"/>
  <c r="W1458" i="18"/>
  <c r="AD1457" i="18"/>
  <c r="AD1440" i="18"/>
  <c r="W1439" i="18"/>
  <c r="W1438" i="18"/>
  <c r="W1437" i="18"/>
  <c r="W1436" i="18"/>
  <c r="W1435" i="18"/>
  <c r="W1434" i="18"/>
  <c r="AD1433" i="18"/>
  <c r="AD1432" i="18"/>
  <c r="W1432" i="18"/>
  <c r="AD1431" i="18"/>
  <c r="AD1430" i="18"/>
  <c r="AD1429" i="18"/>
  <c r="AD1428" i="18"/>
  <c r="W1428" i="18"/>
  <c r="AD1427" i="18"/>
  <c r="W1427" i="18"/>
  <c r="AD1426" i="18"/>
  <c r="AD1409" i="18"/>
  <c r="W1408" i="18"/>
  <c r="W1407" i="18"/>
  <c r="W1406" i="18"/>
  <c r="W1405" i="18"/>
  <c r="W1404" i="18"/>
  <c r="W1403" i="18"/>
  <c r="AD1402" i="18"/>
  <c r="AD1401" i="18"/>
  <c r="W1401" i="18"/>
  <c r="AD1400" i="18"/>
  <c r="AD1399" i="18"/>
  <c r="AD1398" i="18"/>
  <c r="AD1397" i="18"/>
  <c r="W1397" i="18"/>
  <c r="AD1396" i="18"/>
  <c r="W1396" i="18"/>
  <c r="AD1395" i="18"/>
  <c r="AD1378" i="18"/>
  <c r="W1377" i="18"/>
  <c r="W1376" i="18"/>
  <c r="W1375" i="18"/>
  <c r="W1374" i="18"/>
  <c r="W1373" i="18"/>
  <c r="W1372" i="18"/>
  <c r="AD1371" i="18"/>
  <c r="AD1370" i="18"/>
  <c r="W1370" i="18"/>
  <c r="AD1369" i="18"/>
  <c r="AD1368" i="18"/>
  <c r="AD1367" i="18"/>
  <c r="AD1366" i="18"/>
  <c r="W1366" i="18"/>
  <c r="AD1365" i="18"/>
  <c r="W1365" i="18"/>
  <c r="AD1364" i="18"/>
  <c r="AD1347" i="18"/>
  <c r="W1346" i="18"/>
  <c r="W1345" i="18"/>
  <c r="W1344" i="18"/>
  <c r="W1343" i="18"/>
  <c r="W1342" i="18"/>
  <c r="W1341" i="18"/>
  <c r="AD1340" i="18"/>
  <c r="AD1339" i="18"/>
  <c r="W1339" i="18"/>
  <c r="AD1338" i="18"/>
  <c r="AD1337" i="18"/>
  <c r="AD1336" i="18"/>
  <c r="AD1335" i="18"/>
  <c r="W1335" i="18"/>
  <c r="AD1334" i="18"/>
  <c r="W1334" i="18"/>
  <c r="AD1333" i="18"/>
  <c r="AD1316" i="18"/>
  <c r="W1315" i="18"/>
  <c r="W1314" i="18"/>
  <c r="W1313" i="18"/>
  <c r="W1312" i="18"/>
  <c r="W1311" i="18"/>
  <c r="W1310" i="18"/>
  <c r="AD1309" i="18"/>
  <c r="AD1308" i="18"/>
  <c r="W1308" i="18"/>
  <c r="AD1307" i="18"/>
  <c r="AD1306" i="18"/>
  <c r="AD1305" i="18"/>
  <c r="AD1304" i="18"/>
  <c r="W1304" i="18"/>
  <c r="AD1303" i="18"/>
  <c r="W1303" i="18"/>
  <c r="AD1302" i="18"/>
  <c r="AD1285" i="18"/>
  <c r="W1284" i="18"/>
  <c r="W1283" i="18"/>
  <c r="W1282" i="18"/>
  <c r="W1281" i="18"/>
  <c r="W1280" i="18"/>
  <c r="W1279" i="18"/>
  <c r="AD1278" i="18"/>
  <c r="AD1277" i="18"/>
  <c r="W1277" i="18"/>
  <c r="AD1276" i="18"/>
  <c r="AD1275" i="18"/>
  <c r="AD1274" i="18"/>
  <c r="AD1273" i="18"/>
  <c r="W1273" i="18"/>
  <c r="AD1272" i="18"/>
  <c r="W1272" i="18"/>
  <c r="AD1271" i="18"/>
  <c r="AD1254" i="18"/>
  <c r="W1253" i="18"/>
  <c r="W1252" i="18"/>
  <c r="W1251" i="18"/>
  <c r="W1250" i="18"/>
  <c r="W1249" i="18"/>
  <c r="W1248" i="18"/>
  <c r="AD1247" i="18"/>
  <c r="AD1246" i="18"/>
  <c r="W1246" i="18"/>
  <c r="AD1245" i="18"/>
  <c r="AD1244" i="18"/>
  <c r="AD1243" i="18"/>
  <c r="AD1242" i="18"/>
  <c r="W1242" i="18"/>
  <c r="AD1241" i="18"/>
  <c r="W1241" i="18"/>
  <c r="AD1240" i="18"/>
  <c r="AD1223" i="18"/>
  <c r="W1222" i="18"/>
  <c r="W1221" i="18"/>
  <c r="W1220" i="18"/>
  <c r="W1219" i="18"/>
  <c r="W1218" i="18"/>
  <c r="W1217" i="18"/>
  <c r="AD1216" i="18"/>
  <c r="AD1215" i="18"/>
  <c r="W1215" i="18"/>
  <c r="AD1214" i="18"/>
  <c r="AD1213" i="18"/>
  <c r="AD1212" i="18"/>
  <c r="AD1211" i="18"/>
  <c r="W1211" i="18"/>
  <c r="AD1210" i="18"/>
  <c r="W1210" i="18"/>
  <c r="AD1209" i="18"/>
  <c r="AD1192" i="18"/>
  <c r="W1191" i="18"/>
  <c r="W1190" i="18"/>
  <c r="W1189" i="18"/>
  <c r="W1188" i="18"/>
  <c r="W1187" i="18"/>
  <c r="W1186" i="18"/>
  <c r="AD1185" i="18"/>
  <c r="AD1184" i="18"/>
  <c r="W1184" i="18"/>
  <c r="AD1183" i="18"/>
  <c r="AD1182" i="18"/>
  <c r="AD1181" i="18"/>
  <c r="AD1180" i="18"/>
  <c r="W1180" i="18"/>
  <c r="AD1179" i="18"/>
  <c r="W1179" i="18"/>
  <c r="AD1178" i="18"/>
  <c r="AD1161" i="18"/>
  <c r="W1160" i="18"/>
  <c r="W1159" i="18"/>
  <c r="W1158" i="18"/>
  <c r="W1157" i="18"/>
  <c r="W1156" i="18"/>
  <c r="W1155" i="18"/>
  <c r="AD1154" i="18"/>
  <c r="AD1153" i="18"/>
  <c r="W1153" i="18"/>
  <c r="AD1152" i="18"/>
  <c r="AD1151" i="18"/>
  <c r="AD1150" i="18"/>
  <c r="AD1149" i="18"/>
  <c r="W1149" i="18"/>
  <c r="AD1148" i="18"/>
  <c r="W1148" i="18"/>
  <c r="AD1147" i="18"/>
  <c r="AD1130" i="18"/>
  <c r="W1129" i="18"/>
  <c r="W1128" i="18"/>
  <c r="W1127" i="18"/>
  <c r="W1126" i="18"/>
  <c r="W1125" i="18"/>
  <c r="W1124" i="18"/>
  <c r="AD1123" i="18"/>
  <c r="AD1122" i="18"/>
  <c r="W1122" i="18"/>
  <c r="AD1121" i="18"/>
  <c r="AD1120" i="18"/>
  <c r="AD1119" i="18"/>
  <c r="AD1118" i="18"/>
  <c r="W1118" i="18"/>
  <c r="AD1117" i="18"/>
  <c r="W1117" i="18"/>
  <c r="AD1116" i="18"/>
  <c r="AD1099" i="18"/>
  <c r="W1098" i="18"/>
  <c r="W1097" i="18"/>
  <c r="W1096" i="18"/>
  <c r="W1095" i="18"/>
  <c r="W1094" i="18"/>
  <c r="W1093" i="18"/>
  <c r="AD1092" i="18"/>
  <c r="AD1091" i="18"/>
  <c r="W1091" i="18"/>
  <c r="AD1090" i="18"/>
  <c r="AD1089" i="18"/>
  <c r="AD1088" i="18"/>
  <c r="AD1087" i="18"/>
  <c r="W1087" i="18"/>
  <c r="AD1086" i="18"/>
  <c r="W1086" i="18"/>
  <c r="AD1085" i="18"/>
  <c r="AD1068" i="18"/>
  <c r="W1067" i="18"/>
  <c r="W1066" i="18"/>
  <c r="W1065" i="18"/>
  <c r="W1064" i="18"/>
  <c r="W1063" i="18"/>
  <c r="W1062" i="18"/>
  <c r="AD1061" i="18"/>
  <c r="AD1060" i="18"/>
  <c r="W1060" i="18"/>
  <c r="AD1059" i="18"/>
  <c r="AD1058" i="18"/>
  <c r="AD1057" i="18"/>
  <c r="AD1056" i="18"/>
  <c r="W1056" i="18"/>
  <c r="AD1055" i="18"/>
  <c r="W1055" i="18"/>
  <c r="AD1054" i="18"/>
  <c r="AD1037" i="18"/>
  <c r="W1036" i="18"/>
  <c r="W1035" i="18"/>
  <c r="W1034" i="18"/>
  <c r="W1033" i="18"/>
  <c r="W1032" i="18"/>
  <c r="W1031" i="18"/>
  <c r="AD1030" i="18"/>
  <c r="AD1029" i="18"/>
  <c r="W1029" i="18"/>
  <c r="AD1028" i="18"/>
  <c r="AD1027" i="18"/>
  <c r="AD1026" i="18"/>
  <c r="AD1025" i="18"/>
  <c r="W1025" i="18"/>
  <c r="AD1024" i="18"/>
  <c r="W1024" i="18"/>
  <c r="AD1023" i="18"/>
  <c r="AD1006" i="18"/>
  <c r="W1005" i="18"/>
  <c r="W1004" i="18"/>
  <c r="W1003" i="18"/>
  <c r="W1002" i="18"/>
  <c r="W1001" i="18"/>
  <c r="W1000" i="18"/>
  <c r="AD999" i="18"/>
  <c r="AD998" i="18"/>
  <c r="W998" i="18"/>
  <c r="AD997" i="18"/>
  <c r="AD996" i="18"/>
  <c r="AD995" i="18"/>
  <c r="AD994" i="18"/>
  <c r="W994" i="18"/>
  <c r="AD993" i="18"/>
  <c r="W993" i="18"/>
  <c r="AD992" i="18"/>
  <c r="AD975" i="18"/>
  <c r="W974" i="18"/>
  <c r="W973" i="18"/>
  <c r="W972" i="18"/>
  <c r="W971" i="18"/>
  <c r="W970" i="18"/>
  <c r="W969" i="18"/>
  <c r="AD968" i="18"/>
  <c r="AD967" i="18"/>
  <c r="W967" i="18"/>
  <c r="AD966" i="18"/>
  <c r="AD965" i="18"/>
  <c r="AD964" i="18"/>
  <c r="AD963" i="18"/>
  <c r="W963" i="18"/>
  <c r="AD962" i="18"/>
  <c r="W962" i="18"/>
  <c r="AD961" i="18"/>
  <c r="AD944" i="18"/>
  <c r="W943" i="18"/>
  <c r="W942" i="18"/>
  <c r="W941" i="18"/>
  <c r="W940" i="18"/>
  <c r="W939" i="18"/>
  <c r="W938" i="18"/>
  <c r="AD937" i="18"/>
  <c r="AD936" i="18"/>
  <c r="W936" i="18"/>
  <c r="AD935" i="18"/>
  <c r="AD934" i="18"/>
  <c r="AD933" i="18"/>
  <c r="AD932" i="18"/>
  <c r="W932" i="18"/>
  <c r="AD931" i="18"/>
  <c r="W931" i="18"/>
  <c r="AD930" i="18"/>
  <c r="AD913" i="18"/>
  <c r="W912" i="18"/>
  <c r="W911" i="18"/>
  <c r="W910" i="18"/>
  <c r="W909" i="18"/>
  <c r="W908" i="18"/>
  <c r="W907" i="18"/>
  <c r="AD906" i="18"/>
  <c r="AD905" i="18"/>
  <c r="W905" i="18"/>
  <c r="AD904" i="18"/>
  <c r="AD903" i="18"/>
  <c r="AD902" i="18"/>
  <c r="AD901" i="18"/>
  <c r="W901" i="18"/>
  <c r="AD900" i="18"/>
  <c r="W900" i="18"/>
  <c r="AD899" i="18"/>
  <c r="AD882" i="18"/>
  <c r="W881" i="18"/>
  <c r="W880" i="18"/>
  <c r="W879" i="18"/>
  <c r="W878" i="18"/>
  <c r="W877" i="18"/>
  <c r="W876" i="18"/>
  <c r="AD875" i="18"/>
  <c r="AD874" i="18"/>
  <c r="W874" i="18"/>
  <c r="AD873" i="18"/>
  <c r="AD872" i="18"/>
  <c r="AD871" i="18"/>
  <c r="AD870" i="18"/>
  <c r="W870" i="18"/>
  <c r="AD869" i="18"/>
  <c r="W869" i="18"/>
  <c r="AD868" i="18"/>
  <c r="AD851" i="18"/>
  <c r="W850" i="18"/>
  <c r="W849" i="18"/>
  <c r="W848" i="18"/>
  <c r="W847" i="18"/>
  <c r="W846" i="18"/>
  <c r="W845" i="18"/>
  <c r="AD844" i="18"/>
  <c r="AD843" i="18"/>
  <c r="W843" i="18"/>
  <c r="AD842" i="18"/>
  <c r="AD841" i="18"/>
  <c r="AD840" i="18"/>
  <c r="AD839" i="18"/>
  <c r="W839" i="18"/>
  <c r="AD838" i="18"/>
  <c r="W838" i="18"/>
  <c r="AD837" i="18"/>
  <c r="AD820" i="18"/>
  <c r="W819" i="18"/>
  <c r="W818" i="18"/>
  <c r="W817" i="18"/>
  <c r="W816" i="18"/>
  <c r="W815" i="18"/>
  <c r="W814" i="18"/>
  <c r="AD813" i="18"/>
  <c r="AD812" i="18"/>
  <c r="W812" i="18"/>
  <c r="AD811" i="18"/>
  <c r="AD810" i="18"/>
  <c r="AD809" i="18"/>
  <c r="AD808" i="18"/>
  <c r="W808" i="18"/>
  <c r="AD807" i="18"/>
  <c r="W807" i="18"/>
  <c r="AD806" i="18"/>
  <c r="AD789" i="18"/>
  <c r="W788" i="18"/>
  <c r="W787" i="18"/>
  <c r="W786" i="18"/>
  <c r="W785" i="18"/>
  <c r="W784" i="18"/>
  <c r="W783" i="18"/>
  <c r="AD782" i="18"/>
  <c r="AD781" i="18"/>
  <c r="W781" i="18"/>
  <c r="AD780" i="18"/>
  <c r="AD779" i="18"/>
  <c r="AD778" i="18"/>
  <c r="AD777" i="18"/>
  <c r="W777" i="18"/>
  <c r="AD776" i="18"/>
  <c r="W776" i="18"/>
  <c r="AD775" i="18"/>
  <c r="AD758" i="18"/>
  <c r="W757" i="18"/>
  <c r="W756" i="18"/>
  <c r="W755" i="18"/>
  <c r="W754" i="18"/>
  <c r="W753" i="18"/>
  <c r="W752" i="18"/>
  <c r="AD751" i="18"/>
  <c r="AD750" i="18"/>
  <c r="W750" i="18"/>
  <c r="AD749" i="18"/>
  <c r="AD748" i="18"/>
  <c r="AD747" i="18"/>
  <c r="AD746" i="18"/>
  <c r="W746" i="18"/>
  <c r="AD745" i="18"/>
  <c r="W745" i="18"/>
  <c r="AD744" i="18"/>
  <c r="AD727" i="18"/>
  <c r="W726" i="18"/>
  <c r="W725" i="18"/>
  <c r="W724" i="18"/>
  <c r="W723" i="18"/>
  <c r="W722" i="18"/>
  <c r="W721" i="18"/>
  <c r="AD720" i="18"/>
  <c r="AD719" i="18"/>
  <c r="W719" i="18"/>
  <c r="AD718" i="18"/>
  <c r="AD717" i="18"/>
  <c r="AD716" i="18"/>
  <c r="AD715" i="18"/>
  <c r="W715" i="18"/>
  <c r="AD714" i="18"/>
  <c r="W714" i="18"/>
  <c r="AD713" i="18"/>
  <c r="AD696" i="18"/>
  <c r="W695" i="18"/>
  <c r="W694" i="18"/>
  <c r="W693" i="18"/>
  <c r="W692" i="18"/>
  <c r="W691" i="18"/>
  <c r="W690" i="18"/>
  <c r="AD689" i="18"/>
  <c r="AD688" i="18"/>
  <c r="W688" i="18"/>
  <c r="AD687" i="18"/>
  <c r="AD686" i="18"/>
  <c r="AD685" i="18"/>
  <c r="AD684" i="18"/>
  <c r="W684" i="18"/>
  <c r="AD683" i="18"/>
  <c r="W683" i="18"/>
  <c r="AD682" i="18"/>
  <c r="AD665" i="18"/>
  <c r="W664" i="18"/>
  <c r="W663" i="18"/>
  <c r="W662" i="18"/>
  <c r="W661" i="18"/>
  <c r="W660" i="18"/>
  <c r="W659" i="18"/>
  <c r="AD658" i="18"/>
  <c r="AD657" i="18"/>
  <c r="W657" i="18"/>
  <c r="AD656" i="18"/>
  <c r="AD655" i="18"/>
  <c r="AD654" i="18"/>
  <c r="AD653" i="18"/>
  <c r="W653" i="18"/>
  <c r="AD652" i="18"/>
  <c r="W652" i="18"/>
  <c r="AD651" i="18"/>
  <c r="AD634" i="18"/>
  <c r="W633" i="18"/>
  <c r="W632" i="18"/>
  <c r="W631" i="18"/>
  <c r="W630" i="18"/>
  <c r="W629" i="18"/>
  <c r="W628" i="18"/>
  <c r="AD627" i="18"/>
  <c r="AD626" i="18"/>
  <c r="W626" i="18"/>
  <c r="AD625" i="18"/>
  <c r="AD624" i="18"/>
  <c r="AD623" i="18"/>
  <c r="AD622" i="18"/>
  <c r="W622" i="18"/>
  <c r="AD621" i="18"/>
  <c r="W621" i="18"/>
  <c r="AD620" i="18"/>
  <c r="AD603" i="18"/>
  <c r="W602" i="18"/>
  <c r="W601" i="18"/>
  <c r="W600" i="18"/>
  <c r="W599" i="18"/>
  <c r="W598" i="18"/>
  <c r="W597" i="18"/>
  <c r="AD596" i="18"/>
  <c r="AD595" i="18"/>
  <c r="W595" i="18"/>
  <c r="AD594" i="18"/>
  <c r="AD593" i="18"/>
  <c r="AD592" i="18"/>
  <c r="AD591" i="18"/>
  <c r="W591" i="18"/>
  <c r="AD590" i="18"/>
  <c r="W590" i="18"/>
  <c r="AD589" i="18"/>
  <c r="AD572" i="18"/>
  <c r="W571" i="18"/>
  <c r="W570" i="18"/>
  <c r="W569" i="18"/>
  <c r="W568" i="18"/>
  <c r="W567" i="18"/>
  <c r="W566" i="18"/>
  <c r="AD565" i="18"/>
  <c r="AD564" i="18"/>
  <c r="W564" i="18"/>
  <c r="AD563" i="18"/>
  <c r="AD562" i="18"/>
  <c r="AD561" i="18"/>
  <c r="AD560" i="18"/>
  <c r="W560" i="18"/>
  <c r="AD559" i="18"/>
  <c r="W559" i="18"/>
  <c r="AD558" i="18"/>
  <c r="AD541" i="18"/>
  <c r="W540" i="18"/>
  <c r="W539" i="18"/>
  <c r="W538" i="18"/>
  <c r="W537" i="18"/>
  <c r="W536" i="18"/>
  <c r="W535" i="18"/>
  <c r="AD534" i="18"/>
  <c r="AD533" i="18"/>
  <c r="W533" i="18"/>
  <c r="AD532" i="18"/>
  <c r="AD531" i="18"/>
  <c r="AD530" i="18"/>
  <c r="AD529" i="18"/>
  <c r="W529" i="18"/>
  <c r="AD528" i="18"/>
  <c r="W528" i="18"/>
  <c r="AD527" i="18"/>
  <c r="AD510" i="18"/>
  <c r="W509" i="18"/>
  <c r="W508" i="18"/>
  <c r="W507" i="18"/>
  <c r="W506" i="18"/>
  <c r="W505" i="18"/>
  <c r="W504" i="18"/>
  <c r="AD503" i="18"/>
  <c r="AD502" i="18"/>
  <c r="W502" i="18"/>
  <c r="AD501" i="18"/>
  <c r="AD500" i="18"/>
  <c r="AD499" i="18"/>
  <c r="AD498" i="18"/>
  <c r="W498" i="18"/>
  <c r="AD497" i="18"/>
  <c r="W497" i="18"/>
  <c r="AD496" i="18"/>
  <c r="AD479" i="18"/>
  <c r="W478" i="18"/>
  <c r="W477" i="18"/>
  <c r="W476" i="18"/>
  <c r="W475" i="18"/>
  <c r="W474" i="18"/>
  <c r="W473" i="18"/>
  <c r="AD472" i="18"/>
  <c r="AD471" i="18"/>
  <c r="W471" i="18"/>
  <c r="AD470" i="18"/>
  <c r="AD469" i="18"/>
  <c r="AD468" i="18"/>
  <c r="AD467" i="18"/>
  <c r="W467" i="18"/>
  <c r="AD466" i="18"/>
  <c r="W466" i="18"/>
  <c r="AD465" i="18"/>
  <c r="AD448" i="18"/>
  <c r="W447" i="18"/>
  <c r="W446" i="18"/>
  <c r="W445" i="18"/>
  <c r="W444" i="18"/>
  <c r="W443" i="18"/>
  <c r="W442" i="18"/>
  <c r="AD441" i="18"/>
  <c r="AD440" i="18"/>
  <c r="W440" i="18"/>
  <c r="AD439" i="18"/>
  <c r="AD438" i="18"/>
  <c r="AD437" i="18"/>
  <c r="AD436" i="18"/>
  <c r="W436" i="18"/>
  <c r="AD435" i="18"/>
  <c r="W435" i="18"/>
  <c r="AD434" i="18"/>
  <c r="AD417" i="18"/>
  <c r="W416" i="18"/>
  <c r="W415" i="18"/>
  <c r="W414" i="18"/>
  <c r="W413" i="18"/>
  <c r="W412" i="18"/>
  <c r="W411" i="18"/>
  <c r="AD410" i="18"/>
  <c r="AD409" i="18"/>
  <c r="W409" i="18"/>
  <c r="AD408" i="18"/>
  <c r="AD407" i="18"/>
  <c r="AD406" i="18"/>
  <c r="AD405" i="18"/>
  <c r="W405" i="18"/>
  <c r="AD404" i="18"/>
  <c r="W404" i="18"/>
  <c r="AD403" i="18"/>
  <c r="AD386" i="18"/>
  <c r="W385" i="18"/>
  <c r="W384" i="18"/>
  <c r="W383" i="18"/>
  <c r="W382" i="18"/>
  <c r="W381" i="18"/>
  <c r="W380" i="18"/>
  <c r="AD379" i="18"/>
  <c r="AD378" i="18"/>
  <c r="W378" i="18"/>
  <c r="AD377" i="18"/>
  <c r="AD376" i="18"/>
  <c r="AD375" i="18"/>
  <c r="AD374" i="18"/>
  <c r="W374" i="18"/>
  <c r="AD373" i="18"/>
  <c r="W373" i="18"/>
  <c r="AD372" i="18"/>
  <c r="AD355" i="18"/>
  <c r="W354" i="18"/>
  <c r="W353" i="18"/>
  <c r="W352" i="18"/>
  <c r="W351" i="18"/>
  <c r="W350" i="18"/>
  <c r="W349" i="18"/>
  <c r="AD348" i="18"/>
  <c r="AD347" i="18"/>
  <c r="W347" i="18"/>
  <c r="AD346" i="18"/>
  <c r="AD345" i="18"/>
  <c r="AD344" i="18"/>
  <c r="AD343" i="18"/>
  <c r="W343" i="18"/>
  <c r="AD342" i="18"/>
  <c r="W342" i="18"/>
  <c r="AD341" i="18"/>
  <c r="AD324" i="18"/>
  <c r="W323" i="18"/>
  <c r="W322" i="18"/>
  <c r="W321" i="18"/>
  <c r="W320" i="18"/>
  <c r="W319" i="18"/>
  <c r="W318" i="18"/>
  <c r="AD317" i="18"/>
  <c r="AD316" i="18"/>
  <c r="W316" i="18"/>
  <c r="AD315" i="18"/>
  <c r="AD314" i="18"/>
  <c r="AD313" i="18"/>
  <c r="AD312" i="18"/>
  <c r="W312" i="18"/>
  <c r="AD311" i="18"/>
  <c r="W311" i="18"/>
  <c r="AD310" i="18"/>
  <c r="AD293" i="18"/>
  <c r="W292" i="18"/>
  <c r="W291" i="18"/>
  <c r="W290" i="18"/>
  <c r="W289" i="18"/>
  <c r="W288" i="18"/>
  <c r="W287" i="18"/>
  <c r="AD286" i="18"/>
  <c r="AD285" i="18"/>
  <c r="W285" i="18"/>
  <c r="AD284" i="18"/>
  <c r="AD283" i="18"/>
  <c r="AD282" i="18"/>
  <c r="AD281" i="18"/>
  <c r="W281" i="18"/>
  <c r="AD280" i="18"/>
  <c r="W280" i="18"/>
  <c r="AD279" i="18"/>
  <c r="AD262" i="18"/>
  <c r="W261" i="18"/>
  <c r="W260" i="18"/>
  <c r="W259" i="18"/>
  <c r="W258" i="18"/>
  <c r="W257" i="18"/>
  <c r="W256" i="18"/>
  <c r="AD255" i="18"/>
  <c r="AD254" i="18"/>
  <c r="W254" i="18"/>
  <c r="AD253" i="18"/>
  <c r="AD252" i="18"/>
  <c r="AD251" i="18"/>
  <c r="AD250" i="18"/>
  <c r="W250" i="18"/>
  <c r="AD249" i="18"/>
  <c r="W249" i="18"/>
  <c r="AD248" i="18"/>
  <c r="AD231" i="18"/>
  <c r="W230" i="18"/>
  <c r="W229" i="18"/>
  <c r="W228" i="18"/>
  <c r="W227" i="18"/>
  <c r="W226" i="18"/>
  <c r="W225" i="18"/>
  <c r="AD224" i="18"/>
  <c r="AD223" i="18"/>
  <c r="W223" i="18"/>
  <c r="AD222" i="18"/>
  <c r="AD221" i="18"/>
  <c r="AD220" i="18"/>
  <c r="AD219" i="18"/>
  <c r="W219" i="18"/>
  <c r="AD218" i="18"/>
  <c r="W218" i="18"/>
  <c r="AD217" i="18"/>
  <c r="AD200" i="18"/>
  <c r="W199" i="18"/>
  <c r="W198" i="18"/>
  <c r="W197" i="18"/>
  <c r="W196" i="18"/>
  <c r="W195" i="18"/>
  <c r="W194" i="18"/>
  <c r="AD193" i="18"/>
  <c r="AD192" i="18"/>
  <c r="W192" i="18"/>
  <c r="AD191" i="18"/>
  <c r="AD190" i="18"/>
  <c r="AD189" i="18"/>
  <c r="AD188" i="18"/>
  <c r="W188" i="18"/>
  <c r="AD187" i="18"/>
  <c r="W187" i="18"/>
  <c r="AD186" i="18"/>
  <c r="AD169" i="18"/>
  <c r="W168" i="18"/>
  <c r="W167" i="18"/>
  <c r="W166" i="18"/>
  <c r="W165" i="18"/>
  <c r="W164" i="18"/>
  <c r="W163" i="18"/>
  <c r="AD162" i="18"/>
  <c r="AD161" i="18"/>
  <c r="W161" i="18"/>
  <c r="AD160" i="18"/>
  <c r="AD159" i="18"/>
  <c r="AD158" i="18"/>
  <c r="AD157" i="18"/>
  <c r="W157" i="18"/>
  <c r="AD156" i="18"/>
  <c r="W156" i="18"/>
  <c r="AD155" i="18"/>
  <c r="AD138" i="18"/>
  <c r="W137" i="18"/>
  <c r="W136" i="18"/>
  <c r="W135" i="18"/>
  <c r="W134" i="18"/>
  <c r="W133" i="18"/>
  <c r="W132" i="18"/>
  <c r="AD131" i="18"/>
  <c r="AD130" i="18"/>
  <c r="W130" i="18"/>
  <c r="AD129" i="18"/>
  <c r="AD128" i="18"/>
  <c r="AD127" i="18"/>
  <c r="AD126" i="18"/>
  <c r="W126" i="18"/>
  <c r="AD125" i="18"/>
  <c r="W125" i="18"/>
  <c r="AD124" i="18"/>
  <c r="AD107" i="18"/>
  <c r="W106" i="18"/>
  <c r="W105" i="18"/>
  <c r="W104" i="18"/>
  <c r="W103" i="18"/>
  <c r="W102" i="18"/>
  <c r="W101" i="18"/>
  <c r="AD100" i="18"/>
  <c r="AD99" i="18"/>
  <c r="W99" i="18"/>
  <c r="AD98" i="18"/>
  <c r="AD97" i="18"/>
  <c r="AD96" i="18"/>
  <c r="AD95" i="18"/>
  <c r="W95" i="18"/>
  <c r="AD94" i="18"/>
  <c r="W94" i="18"/>
  <c r="AD93" i="18"/>
  <c r="D48" i="18"/>
  <c r="D79" i="18" s="1"/>
  <c r="AD76" i="18"/>
  <c r="W75" i="18"/>
  <c r="W74" i="18"/>
  <c r="W73" i="18"/>
  <c r="W72" i="18"/>
  <c r="W71" i="18"/>
  <c r="W70" i="18"/>
  <c r="AD68" i="18"/>
  <c r="W68" i="18"/>
  <c r="AD67" i="18"/>
  <c r="AD66" i="18"/>
  <c r="AD65" i="18"/>
  <c r="AD64" i="18"/>
  <c r="W64" i="18"/>
  <c r="AD63" i="18"/>
  <c r="W63" i="18"/>
  <c r="AD62" i="18"/>
  <c r="G48" i="18"/>
  <c r="AH22" i="7"/>
  <c r="AH23" i="7"/>
  <c r="AH24" i="7"/>
  <c r="AH25" i="7"/>
  <c r="AH26" i="7"/>
  <c r="AH27" i="7"/>
  <c r="AH28" i="7"/>
  <c r="AH29" i="7"/>
  <c r="AH30" i="7"/>
  <c r="AH31" i="7"/>
  <c r="AH32" i="7"/>
  <c r="AH33" i="7"/>
  <c r="AH34" i="7"/>
  <c r="AH35" i="7"/>
  <c r="AH36" i="7"/>
  <c r="AH37" i="7"/>
  <c r="AH38" i="7"/>
  <c r="AH39" i="7"/>
  <c r="AH40" i="7"/>
  <c r="AH41" i="7"/>
  <c r="AH42" i="7"/>
  <c r="AH43" i="7"/>
  <c r="AH44" i="7"/>
  <c r="AH45" i="7"/>
  <c r="AH46" i="7"/>
  <c r="AH47" i="7"/>
  <c r="AH48" i="7"/>
  <c r="AH49" i="7"/>
  <c r="AH50" i="7"/>
  <c r="AH51" i="7"/>
  <c r="AH52" i="7"/>
  <c r="AH53" i="7"/>
  <c r="AH54" i="7"/>
  <c r="AH55" i="7"/>
  <c r="AH56" i="7"/>
  <c r="AH57" i="7"/>
  <c r="AH58" i="7"/>
  <c r="AH59" i="7"/>
  <c r="AH60" i="7"/>
  <c r="AH61" i="7"/>
  <c r="AH62" i="7"/>
  <c r="AH63" i="7"/>
  <c r="AH64" i="7"/>
  <c r="AH65" i="7"/>
  <c r="AH66" i="7"/>
  <c r="AH67" i="7"/>
  <c r="AH68" i="7"/>
  <c r="AH69" i="7"/>
  <c r="AH70" i="7"/>
  <c r="AH71" i="7"/>
  <c r="AH72" i="7"/>
  <c r="AH73" i="7"/>
  <c r="AH74" i="7"/>
  <c r="AH75" i="7"/>
  <c r="AH76" i="7"/>
  <c r="AH77" i="7"/>
  <c r="AH78" i="7"/>
  <c r="AH79" i="7"/>
  <c r="AH80" i="7"/>
  <c r="AH81" i="7"/>
  <c r="AH82" i="7"/>
  <c r="AH83" i="7"/>
  <c r="AH84" i="7"/>
  <c r="AH85" i="7"/>
  <c r="AH86" i="7"/>
  <c r="AH87" i="7"/>
  <c r="AH88" i="7"/>
  <c r="AH89" i="7"/>
  <c r="AH90" i="7"/>
  <c r="AH91" i="7"/>
  <c r="AH92" i="7"/>
  <c r="AH93" i="7"/>
  <c r="AH94" i="7"/>
  <c r="AH95" i="7"/>
  <c r="AH96" i="7"/>
  <c r="AH97" i="7"/>
  <c r="AH98" i="7"/>
  <c r="AH99" i="7"/>
  <c r="AH100" i="7"/>
  <c r="AH101" i="7"/>
  <c r="AH102" i="7"/>
  <c r="AH103" i="7"/>
  <c r="AH104" i="7"/>
  <c r="AH105" i="7"/>
  <c r="AH106" i="7"/>
  <c r="AH107" i="7"/>
  <c r="AH108" i="7"/>
  <c r="AH109" i="7"/>
  <c r="AH110" i="7"/>
  <c r="AH111" i="7"/>
  <c r="AH112" i="7"/>
  <c r="AH113" i="7"/>
  <c r="AH114" i="7"/>
  <c r="AH115" i="7"/>
  <c r="AH116" i="7"/>
  <c r="AH117" i="7"/>
  <c r="AH118" i="7"/>
  <c r="AH119" i="7"/>
  <c r="AH120" i="7"/>
  <c r="AH121" i="7"/>
  <c r="AH122" i="7"/>
  <c r="AH123" i="7"/>
  <c r="AH124" i="7"/>
  <c r="AH125" i="7"/>
  <c r="AH126" i="7"/>
  <c r="AH127" i="7"/>
  <c r="AH128" i="7"/>
  <c r="AH129" i="7"/>
  <c r="AH130" i="7"/>
  <c r="AH131" i="7"/>
  <c r="AH132" i="7"/>
  <c r="AH133" i="7"/>
  <c r="AH134" i="7"/>
  <c r="AH135" i="7"/>
  <c r="AH136" i="7"/>
  <c r="AH137" i="7"/>
  <c r="AH138" i="7"/>
  <c r="AH139" i="7"/>
  <c r="AH140" i="7"/>
  <c r="AH141" i="7"/>
  <c r="AH142" i="7"/>
  <c r="AH143" i="7"/>
  <c r="AH144" i="7"/>
  <c r="AH145" i="7"/>
  <c r="AH146" i="7"/>
  <c r="AH147" i="7"/>
  <c r="AH148" i="7"/>
  <c r="AH149" i="7"/>
  <c r="AH150" i="7"/>
  <c r="AH151" i="7"/>
  <c r="AH152" i="7"/>
  <c r="AH153" i="7"/>
  <c r="AH154" i="7"/>
  <c r="AH155" i="7"/>
  <c r="AH156" i="7"/>
  <c r="AH157" i="7"/>
  <c r="AH158" i="7"/>
  <c r="AH159" i="7"/>
  <c r="AH160" i="7"/>
  <c r="AH161" i="7"/>
  <c r="AH162" i="7"/>
  <c r="AH163" i="7"/>
  <c r="AH164" i="7"/>
  <c r="AH165" i="7"/>
  <c r="AH166" i="7"/>
  <c r="AH167" i="7"/>
  <c r="AH168" i="7"/>
  <c r="AH169" i="7"/>
  <c r="AH170" i="7"/>
  <c r="AH171" i="7"/>
  <c r="AH172" i="7"/>
  <c r="AH173" i="7"/>
  <c r="AH174" i="7"/>
  <c r="AH175" i="7"/>
  <c r="AH176" i="7"/>
  <c r="AH177" i="7"/>
  <c r="AH178" i="7"/>
  <c r="AH179" i="7"/>
  <c r="AH180" i="7"/>
  <c r="AH181" i="7"/>
  <c r="AH182" i="7"/>
  <c r="AH183" i="7"/>
  <c r="AH184" i="7"/>
  <c r="AH185" i="7"/>
  <c r="AH186" i="7"/>
  <c r="AH187" i="7"/>
  <c r="AH188" i="7"/>
  <c r="AH189" i="7"/>
  <c r="AH190" i="7"/>
  <c r="AH191" i="7"/>
  <c r="AH192" i="7"/>
  <c r="AH193" i="7"/>
  <c r="AH194" i="7"/>
  <c r="AH195" i="7"/>
  <c r="AH196" i="7"/>
  <c r="AH197" i="7"/>
  <c r="AH198" i="7"/>
  <c r="AH199" i="7"/>
  <c r="AH200" i="7"/>
  <c r="AH201" i="7"/>
  <c r="AH202" i="7"/>
  <c r="AH203" i="7"/>
  <c r="AH204" i="7"/>
  <c r="AH205" i="7"/>
  <c r="AH206" i="7"/>
  <c r="AH207" i="7"/>
  <c r="AH208" i="7"/>
  <c r="AH209" i="7"/>
  <c r="AH210" i="7"/>
  <c r="AH211" i="7"/>
  <c r="AH212" i="7"/>
  <c r="AH213" i="7"/>
  <c r="AH214" i="7"/>
  <c r="AH215" i="7"/>
  <c r="AH216" i="7"/>
  <c r="AH217" i="7"/>
  <c r="AH218" i="7"/>
  <c r="AH219" i="7"/>
  <c r="AH220" i="7"/>
  <c r="AH221" i="7"/>
  <c r="AH222" i="7"/>
  <c r="AH223" i="7"/>
  <c r="AH224" i="7"/>
  <c r="AH225" i="7"/>
  <c r="AH226" i="7"/>
  <c r="AH227" i="7"/>
  <c r="AH228" i="7"/>
  <c r="AH229" i="7"/>
  <c r="AH230" i="7"/>
  <c r="AH231" i="7"/>
  <c r="AH232" i="7"/>
  <c r="AH233" i="7"/>
  <c r="AH234" i="7"/>
  <c r="AH235" i="7"/>
  <c r="AH236" i="7"/>
  <c r="AH237" i="7"/>
  <c r="AH238" i="7"/>
  <c r="AH239" i="7"/>
  <c r="AH240" i="7"/>
  <c r="AH241" i="7"/>
  <c r="AH242" i="7"/>
  <c r="AH243" i="7"/>
  <c r="AH244" i="7"/>
  <c r="AH245" i="7"/>
  <c r="AH246" i="7"/>
  <c r="AH247" i="7"/>
  <c r="AH248" i="7"/>
  <c r="AH249" i="7"/>
  <c r="AH250" i="7"/>
  <c r="AH251" i="7"/>
  <c r="AH252" i="7"/>
  <c r="AH253" i="7"/>
  <c r="AH254" i="7"/>
  <c r="AH255" i="7"/>
  <c r="AH256" i="7"/>
  <c r="AH257" i="7"/>
  <c r="AH258" i="7"/>
  <c r="AH259" i="7"/>
  <c r="AH260" i="7"/>
  <c r="AH261" i="7"/>
  <c r="AH262" i="7"/>
  <c r="AH263" i="7"/>
  <c r="AH264" i="7"/>
  <c r="AH265" i="7"/>
  <c r="AH266" i="7"/>
  <c r="AH267" i="7"/>
  <c r="AH268" i="7"/>
  <c r="AH269" i="7"/>
  <c r="AH270" i="7"/>
  <c r="AH271" i="7"/>
  <c r="AH272" i="7"/>
  <c r="AH273" i="7"/>
  <c r="AH274" i="7"/>
  <c r="AH275" i="7"/>
  <c r="AH276" i="7"/>
  <c r="AH277" i="7"/>
  <c r="AH278" i="7"/>
  <c r="AH279" i="7"/>
  <c r="AH280" i="7"/>
  <c r="AH281" i="7"/>
  <c r="AH282" i="7"/>
  <c r="AH283" i="7"/>
  <c r="AH284" i="7"/>
  <c r="AH285" i="7"/>
  <c r="AH286" i="7"/>
  <c r="AH287" i="7"/>
  <c r="AH288" i="7"/>
  <c r="AH289" i="7"/>
  <c r="AH290" i="7"/>
  <c r="AH291" i="7"/>
  <c r="AH292" i="7"/>
  <c r="AH293" i="7"/>
  <c r="AH294" i="7"/>
  <c r="AH295" i="7"/>
  <c r="AH296" i="7"/>
  <c r="AH297" i="7"/>
  <c r="AH298" i="7"/>
  <c r="AH299" i="7"/>
  <c r="AH300" i="7"/>
  <c r="AH301" i="7"/>
  <c r="AH302" i="7"/>
  <c r="AH303" i="7"/>
  <c r="AH304" i="7"/>
  <c r="AH305" i="7"/>
  <c r="AH306" i="7"/>
  <c r="AH307" i="7"/>
  <c r="AH308" i="7"/>
  <c r="AH309" i="7"/>
  <c r="AH310" i="7"/>
  <c r="AH311" i="7"/>
  <c r="AH312" i="7"/>
  <c r="AH313" i="7"/>
  <c r="AH314" i="7"/>
  <c r="AH315" i="7"/>
  <c r="AH316" i="7"/>
  <c r="AH317" i="7"/>
  <c r="AH318" i="7"/>
  <c r="AH319" i="7"/>
  <c r="AH320" i="7"/>
  <c r="AH321" i="7"/>
  <c r="AH322" i="7"/>
  <c r="AH323" i="7"/>
  <c r="AH324" i="7"/>
  <c r="AH325" i="7"/>
  <c r="AH326" i="7"/>
  <c r="AH327" i="7"/>
  <c r="AH328" i="7"/>
  <c r="AH329" i="7"/>
  <c r="AH330" i="7"/>
  <c r="AH331" i="7"/>
  <c r="AH332" i="7"/>
  <c r="AH333" i="7"/>
  <c r="AH334" i="7"/>
  <c r="AH335" i="7"/>
  <c r="AH336" i="7"/>
  <c r="AH337" i="7"/>
  <c r="AH338" i="7"/>
  <c r="AH339" i="7"/>
  <c r="AH340" i="7"/>
  <c r="AH341" i="7"/>
  <c r="AH342" i="7"/>
  <c r="AH343" i="7"/>
  <c r="AH344" i="7"/>
  <c r="AH345" i="7"/>
  <c r="AH346" i="7"/>
  <c r="AH347" i="7"/>
  <c r="AH348" i="7"/>
  <c r="AH349" i="7"/>
  <c r="AH350" i="7"/>
  <c r="AH351" i="7"/>
  <c r="AH352" i="7"/>
  <c r="AH353" i="7"/>
  <c r="AH354" i="7"/>
  <c r="AH355" i="7"/>
  <c r="AH356" i="7"/>
  <c r="AH357" i="7"/>
  <c r="AH358" i="7"/>
  <c r="AH359" i="7"/>
  <c r="AH360" i="7"/>
  <c r="AH361" i="7"/>
  <c r="AH362" i="7"/>
  <c r="AH363" i="7"/>
  <c r="AH364" i="7"/>
  <c r="AH365" i="7"/>
  <c r="AH366" i="7"/>
  <c r="AH367" i="7"/>
  <c r="AH368" i="7"/>
  <c r="AH369" i="7"/>
  <c r="AH370" i="7"/>
  <c r="AH371" i="7"/>
  <c r="AH372" i="7"/>
  <c r="AH373" i="7"/>
  <c r="AH374" i="7"/>
  <c r="AH375" i="7"/>
  <c r="AH376" i="7"/>
  <c r="AH377" i="7"/>
  <c r="AH378" i="7"/>
  <c r="AH379" i="7"/>
  <c r="AH380" i="7"/>
  <c r="AH381" i="7"/>
  <c r="AH382" i="7"/>
  <c r="AH383" i="7"/>
  <c r="AH384" i="7"/>
  <c r="AH385" i="7"/>
  <c r="AH386" i="7"/>
  <c r="AH387" i="7"/>
  <c r="AH388" i="7"/>
  <c r="AH389" i="7"/>
  <c r="AH390" i="7"/>
  <c r="AH391" i="7"/>
  <c r="AH392" i="7"/>
  <c r="AH393" i="7"/>
  <c r="AH394" i="7"/>
  <c r="AH395" i="7"/>
  <c r="AH396" i="7"/>
  <c r="AH397" i="7"/>
  <c r="AH398" i="7"/>
  <c r="AH399" i="7"/>
  <c r="AH400" i="7"/>
  <c r="AH401" i="7"/>
  <c r="AH402" i="7"/>
  <c r="AH403" i="7"/>
  <c r="AH404" i="7"/>
  <c r="AH405" i="7"/>
  <c r="AH406" i="7"/>
  <c r="AH407" i="7"/>
  <c r="AH408" i="7"/>
  <c r="AH409" i="7"/>
  <c r="AH410" i="7"/>
  <c r="AH411" i="7"/>
  <c r="AH412" i="7"/>
  <c r="AH413" i="7"/>
  <c r="AH414" i="7"/>
  <c r="AH415" i="7"/>
  <c r="AH416" i="7"/>
  <c r="AH417" i="7"/>
  <c r="AH418" i="7"/>
  <c r="AH419" i="7"/>
  <c r="AH420" i="7"/>
  <c r="AH421" i="7"/>
  <c r="AH422" i="7"/>
  <c r="AH423" i="7"/>
  <c r="AH424" i="7"/>
  <c r="AH425" i="7"/>
  <c r="AH426" i="7"/>
  <c r="AH427" i="7"/>
  <c r="AH428" i="7"/>
  <c r="AH429" i="7"/>
  <c r="AH430" i="7"/>
  <c r="AH431" i="7"/>
  <c r="AH432" i="7"/>
  <c r="AH433" i="7"/>
  <c r="AH434" i="7"/>
  <c r="AH435" i="7"/>
  <c r="AH436" i="7"/>
  <c r="AH437" i="7"/>
  <c r="AH438" i="7"/>
  <c r="AH439" i="7"/>
  <c r="AH440" i="7"/>
  <c r="AH441" i="7"/>
  <c r="AH442" i="7"/>
  <c r="AH443" i="7"/>
  <c r="AH444" i="7"/>
  <c r="AH445" i="7"/>
  <c r="AH446" i="7"/>
  <c r="AH447" i="7"/>
  <c r="AH448" i="7"/>
  <c r="AH449" i="7"/>
  <c r="AH450" i="7"/>
  <c r="AH451" i="7"/>
  <c r="AH452" i="7"/>
  <c r="AH453" i="7"/>
  <c r="AH454" i="7"/>
  <c r="AH455" i="7"/>
  <c r="AH456" i="7"/>
  <c r="AH457" i="7"/>
  <c r="AH458" i="7"/>
  <c r="AH459" i="7"/>
  <c r="AH460" i="7"/>
  <c r="AH461" i="7"/>
  <c r="AH462" i="7"/>
  <c r="AH463" i="7"/>
  <c r="AH464" i="7"/>
  <c r="AH465" i="7"/>
  <c r="AH466" i="7"/>
  <c r="AH467" i="7"/>
  <c r="AH468" i="7"/>
  <c r="AH469" i="7"/>
  <c r="AH470" i="7"/>
  <c r="AH471" i="7"/>
  <c r="AH472" i="7"/>
  <c r="AH473" i="7"/>
  <c r="AH474" i="7"/>
  <c r="AH475" i="7"/>
  <c r="AH476" i="7"/>
  <c r="AH477" i="7"/>
  <c r="AH478" i="7"/>
  <c r="AH479" i="7"/>
  <c r="AH480" i="7"/>
  <c r="AH481" i="7"/>
  <c r="AH482" i="7"/>
  <c r="AH483" i="7"/>
  <c r="AH484" i="7"/>
  <c r="AH485" i="7"/>
  <c r="AH486" i="7"/>
  <c r="AH487" i="7"/>
  <c r="AH488" i="7"/>
  <c r="AH489" i="7"/>
  <c r="AH490" i="7"/>
  <c r="AH491" i="7"/>
  <c r="AH492" i="7"/>
  <c r="AH493" i="7"/>
  <c r="AH494" i="7"/>
  <c r="AH495" i="7"/>
  <c r="AH496" i="7"/>
  <c r="AH497" i="7"/>
  <c r="AH498" i="7"/>
  <c r="AH499" i="7"/>
  <c r="AH500" i="7"/>
  <c r="AH501" i="7"/>
  <c r="AH502" i="7"/>
  <c r="AH503" i="7"/>
  <c r="AH504" i="7"/>
  <c r="AH505" i="7"/>
  <c r="AH506" i="7"/>
  <c r="AH507" i="7"/>
  <c r="AH508" i="7"/>
  <c r="AH509" i="7"/>
  <c r="AH510" i="7"/>
  <c r="AH511" i="7"/>
  <c r="AH512" i="7"/>
  <c r="AH513" i="7"/>
  <c r="AH514" i="7"/>
  <c r="AH515" i="7"/>
  <c r="AH516" i="7"/>
  <c r="AH517" i="7"/>
  <c r="AH518" i="7"/>
  <c r="AH519" i="7"/>
  <c r="AH520" i="7"/>
  <c r="R11" i="21"/>
  <c r="R20" i="21"/>
  <c r="R21" i="21"/>
  <c r="R22" i="21"/>
  <c r="R23" i="21"/>
  <c r="R24" i="21"/>
  <c r="R33" i="21"/>
  <c r="R34" i="21"/>
  <c r="R35" i="21"/>
  <c r="R36" i="21"/>
  <c r="R39" i="21"/>
  <c r="R47" i="21"/>
  <c r="R57" i="21"/>
  <c r="R58" i="21"/>
  <c r="R63" i="21"/>
  <c r="R77" i="21"/>
  <c r="R79" i="21"/>
  <c r="R80" i="21"/>
  <c r="R81" i="21"/>
  <c r="R90" i="21"/>
  <c r="R91" i="21"/>
  <c r="R95" i="21"/>
  <c r="R96" i="21"/>
  <c r="R97" i="21"/>
  <c r="R98" i="21"/>
  <c r="R99" i="21"/>
  <c r="R101" i="21"/>
  <c r="R106" i="21"/>
  <c r="R107" i="21"/>
  <c r="R109" i="21"/>
  <c r="R111" i="21"/>
  <c r="R116" i="21"/>
  <c r="R122" i="21"/>
  <c r="R126" i="21"/>
  <c r="R132" i="21"/>
  <c r="R133" i="21"/>
  <c r="R139" i="21"/>
  <c r="R140" i="21"/>
  <c r="R142" i="21"/>
  <c r="R145" i="21"/>
  <c r="R154" i="21"/>
  <c r="R158" i="21"/>
  <c r="R159" i="21"/>
  <c r="R160" i="21"/>
  <c r="R164" i="21"/>
  <c r="R167" i="21"/>
  <c r="R168" i="21"/>
  <c r="R169" i="21"/>
  <c r="R170" i="21"/>
  <c r="R171" i="21"/>
  <c r="R172" i="21"/>
  <c r="R173" i="21"/>
  <c r="R177" i="21"/>
  <c r="R190" i="21"/>
  <c r="R192" i="21"/>
  <c r="R196" i="21"/>
  <c r="R198" i="21"/>
  <c r="R199" i="21"/>
  <c r="R202" i="21"/>
  <c r="R207" i="21"/>
  <c r="R210" i="21"/>
  <c r="R211" i="21"/>
  <c r="R215" i="21"/>
  <c r="R219" i="21"/>
  <c r="R220" i="21"/>
  <c r="R222" i="21"/>
  <c r="R224" i="21"/>
  <c r="R225" i="21"/>
  <c r="R227" i="21"/>
  <c r="R228" i="21"/>
  <c r="R231" i="21"/>
  <c r="R232" i="21"/>
  <c r="R233" i="21"/>
  <c r="R234" i="21"/>
  <c r="R235" i="21"/>
  <c r="R240" i="21"/>
  <c r="R241" i="21"/>
  <c r="R242" i="21"/>
  <c r="R243" i="21"/>
  <c r="R244" i="21"/>
  <c r="R245" i="21"/>
  <c r="R250" i="21"/>
  <c r="R251" i="21"/>
  <c r="R253" i="21"/>
  <c r="R255" i="21"/>
  <c r="R257" i="21"/>
  <c r="R258" i="21"/>
  <c r="R259" i="21"/>
  <c r="R260" i="21"/>
  <c r="R261" i="21"/>
  <c r="R263" i="21"/>
  <c r="R264" i="21"/>
  <c r="R266" i="21"/>
  <c r="R267" i="21"/>
  <c r="R268" i="21"/>
  <c r="R269" i="21"/>
  <c r="R271" i="21"/>
  <c r="R272" i="21"/>
  <c r="R273" i="21"/>
  <c r="R274" i="21"/>
  <c r="R277" i="21"/>
  <c r="R278" i="21"/>
  <c r="R279" i="21"/>
  <c r="R280" i="21"/>
  <c r="R281" i="21"/>
  <c r="R282" i="21"/>
  <c r="R288" i="21"/>
  <c r="R289" i="21"/>
  <c r="R290" i="21"/>
  <c r="R291" i="21"/>
  <c r="R293" i="21"/>
  <c r="R294" i="21"/>
  <c r="R295" i="21"/>
  <c r="R297" i="21"/>
  <c r="R303" i="21"/>
  <c r="R305" i="21"/>
  <c r="R307" i="21"/>
  <c r="R308" i="21"/>
  <c r="R315" i="21"/>
  <c r="R316" i="21"/>
  <c r="R317" i="21"/>
  <c r="R320" i="21"/>
  <c r="R321" i="21"/>
  <c r="R322" i="21"/>
  <c r="R324" i="21"/>
  <c r="R330" i="21"/>
  <c r="R336" i="21"/>
  <c r="R337" i="21"/>
  <c r="R338" i="21"/>
  <c r="R340" i="21"/>
  <c r="R341" i="21"/>
  <c r="R344" i="21"/>
  <c r="R345" i="21"/>
  <c r="R349" i="21"/>
  <c r="R357" i="21"/>
  <c r="R358" i="21"/>
  <c r="R368" i="21"/>
  <c r="R369" i="21"/>
  <c r="R372" i="21"/>
  <c r="R375" i="21"/>
  <c r="R378" i="21"/>
  <c r="R380" i="21"/>
  <c r="R381" i="21"/>
  <c r="R382" i="21"/>
  <c r="R383" i="21"/>
  <c r="R386" i="21"/>
  <c r="R388" i="21"/>
  <c r="R389" i="21"/>
  <c r="R390" i="21"/>
  <c r="R391" i="21"/>
  <c r="R394" i="21"/>
  <c r="R395" i="21"/>
  <c r="R402" i="21"/>
  <c r="R403" i="21"/>
  <c r="R405" i="21"/>
  <c r="R411" i="21"/>
  <c r="R413" i="21"/>
  <c r="R414" i="21"/>
  <c r="R415" i="21"/>
  <c r="R416" i="21"/>
  <c r="R420" i="21"/>
  <c r="R425" i="21"/>
  <c r="R432" i="21"/>
  <c r="R433" i="21"/>
  <c r="R435" i="21"/>
  <c r="R436" i="21"/>
  <c r="R447" i="21"/>
  <c r="R448" i="21"/>
  <c r="R450" i="21"/>
  <c r="R461" i="21"/>
  <c r="R462" i="21"/>
  <c r="R463" i="21"/>
  <c r="R467" i="21"/>
  <c r="R468" i="21"/>
  <c r="R470" i="21"/>
  <c r="R473" i="21"/>
  <c r="R477" i="21"/>
  <c r="R478" i="21"/>
  <c r="R481" i="21"/>
  <c r="R485" i="21"/>
  <c r="R486" i="21"/>
  <c r="R488" i="21"/>
  <c r="R489" i="21"/>
  <c r="R490" i="21"/>
  <c r="R491" i="21"/>
  <c r="R492" i="21"/>
  <c r="R493" i="21"/>
  <c r="R495" i="21"/>
  <c r="R496" i="21"/>
  <c r="R497" i="21"/>
  <c r="R498" i="21"/>
  <c r="R499" i="21"/>
  <c r="R501" i="21"/>
  <c r="R502" i="21"/>
  <c r="R503" i="21"/>
  <c r="R504" i="21"/>
  <c r="R506" i="21"/>
  <c r="R508" i="21"/>
  <c r="R510" i="21"/>
  <c r="R512" i="21"/>
  <c r="R516" i="21"/>
  <c r="R517" i="21"/>
  <c r="R521" i="21"/>
  <c r="R522" i="21"/>
  <c r="R524" i="21"/>
  <c r="R525" i="21"/>
  <c r="R526" i="21"/>
  <c r="R527" i="21"/>
  <c r="R528" i="21"/>
  <c r="R529" i="21"/>
  <c r="R530" i="21"/>
  <c r="R531" i="21"/>
  <c r="R535" i="21"/>
  <c r="R538" i="21"/>
  <c r="R541" i="21"/>
  <c r="R543" i="21"/>
  <c r="R544" i="21"/>
  <c r="R545" i="21"/>
  <c r="R548" i="21"/>
  <c r="R549" i="21"/>
  <c r="R551" i="21"/>
  <c r="R555" i="21"/>
  <c r="R556" i="21"/>
  <c r="R559" i="21"/>
  <c r="R560" i="21"/>
  <c r="R561" i="21"/>
  <c r="R562" i="21"/>
  <c r="R563" i="21"/>
  <c r="R564" i="21"/>
  <c r="R566" i="21"/>
  <c r="R572" i="21"/>
  <c r="R577" i="21"/>
  <c r="R580" i="21"/>
  <c r="R582" i="21"/>
  <c r="R585" i="21"/>
  <c r="R592" i="21"/>
  <c r="R593" i="21"/>
  <c r="R594" i="21"/>
  <c r="R595" i="21"/>
  <c r="R597" i="21"/>
  <c r="R599" i="21"/>
  <c r="R608" i="21"/>
  <c r="R611" i="21"/>
  <c r="R612" i="21"/>
  <c r="R614" i="21"/>
  <c r="R615" i="21"/>
  <c r="R616" i="21"/>
  <c r="R617" i="21"/>
  <c r="R618" i="21"/>
  <c r="R620" i="21"/>
  <c r="R621" i="21"/>
  <c r="R622" i="21"/>
  <c r="R627" i="21"/>
  <c r="R629" i="21"/>
  <c r="R630" i="21"/>
  <c r="R632" i="21"/>
  <c r="R633" i="21"/>
  <c r="R635" i="21"/>
  <c r="R641" i="21"/>
  <c r="R646" i="21"/>
  <c r="R651" i="21"/>
  <c r="R652" i="21"/>
  <c r="R653" i="21"/>
  <c r="R657" i="21"/>
  <c r="R661" i="21"/>
  <c r="R668" i="21"/>
  <c r="R681" i="21"/>
  <c r="R683" i="21"/>
  <c r="R689" i="21"/>
  <c r="R691" i="21"/>
  <c r="R692" i="21"/>
  <c r="R694" i="21"/>
  <c r="R695" i="21"/>
  <c r="R696" i="21"/>
  <c r="R699" i="21"/>
  <c r="R700" i="21"/>
  <c r="R701" i="21"/>
  <c r="R702" i="21"/>
  <c r="R705" i="21"/>
  <c r="R706" i="21"/>
  <c r="R707" i="21"/>
  <c r="R708" i="21"/>
  <c r="R710" i="21"/>
  <c r="R711" i="21"/>
  <c r="R719" i="21"/>
  <c r="R726" i="21"/>
  <c r="R727" i="21"/>
  <c r="R729" i="21"/>
  <c r="R731" i="21"/>
  <c r="R732" i="21"/>
  <c r="R733" i="21"/>
  <c r="R735" i="21"/>
  <c r="R748" i="21"/>
  <c r="R752" i="21"/>
  <c r="R763" i="21"/>
  <c r="R784" i="21"/>
  <c r="R788" i="21"/>
  <c r="R791" i="21"/>
  <c r="R798" i="21"/>
  <c r="R801" i="21"/>
  <c r="R802" i="21"/>
  <c r="R803" i="21"/>
  <c r="R812" i="21"/>
  <c r="R813" i="21"/>
  <c r="R814" i="21"/>
  <c r="R815" i="21"/>
  <c r="R830" i="21"/>
  <c r="R838" i="21"/>
  <c r="R840" i="21"/>
  <c r="R843" i="21"/>
  <c r="R850" i="21"/>
  <c r="R851" i="21"/>
  <c r="R858" i="21"/>
  <c r="R864" i="21"/>
  <c r="R865" i="21"/>
  <c r="R866" i="21"/>
  <c r="R867" i="21"/>
  <c r="R868" i="21"/>
  <c r="R869" i="21"/>
  <c r="R872" i="21"/>
  <c r="R873" i="21"/>
  <c r="R877" i="21"/>
  <c r="R881" i="21"/>
  <c r="R882" i="21"/>
  <c r="R885" i="21"/>
  <c r="R887" i="21"/>
  <c r="R888" i="21"/>
  <c r="R891" i="21"/>
  <c r="R896" i="21"/>
  <c r="R898" i="21"/>
  <c r="R903" i="21"/>
  <c r="R907" i="21"/>
  <c r="R910" i="21"/>
  <c r="R912" i="21"/>
  <c r="R914" i="21"/>
  <c r="R925" i="21"/>
  <c r="R927" i="21"/>
  <c r="R928" i="21"/>
  <c r="R934" i="21"/>
  <c r="R935" i="21"/>
  <c r="R941" i="21"/>
  <c r="R942" i="21"/>
  <c r="R943" i="21"/>
  <c r="R944" i="21"/>
  <c r="R950" i="21"/>
  <c r="R952" i="21"/>
  <c r="R953" i="21"/>
  <c r="R954" i="21"/>
  <c r="R955" i="21"/>
  <c r="R956" i="21"/>
  <c r="R957" i="21"/>
  <c r="R958" i="21"/>
  <c r="R960" i="21"/>
  <c r="R963" i="21"/>
  <c r="R967" i="21"/>
  <c r="R972" i="21"/>
  <c r="R973" i="21"/>
  <c r="R976" i="21"/>
  <c r="R977" i="21"/>
  <c r="R979" i="21"/>
  <c r="R980" i="21"/>
  <c r="R982" i="21"/>
  <c r="R985" i="21"/>
  <c r="R986" i="21"/>
  <c r="R989" i="21"/>
  <c r="R991" i="21"/>
  <c r="R992" i="21"/>
  <c r="R994" i="21"/>
  <c r="R995" i="21"/>
  <c r="R996" i="21"/>
  <c r="R1000" i="21"/>
  <c r="P21" i="7" s="1"/>
  <c r="AF21" i="7" s="1"/>
  <c r="R1005" i="21"/>
  <c r="R1006" i="21"/>
  <c r="R1011" i="21"/>
  <c r="R1013" i="21"/>
  <c r="R1014" i="21"/>
  <c r="R1020" i="21"/>
  <c r="R1021" i="21"/>
  <c r="R1022" i="21"/>
  <c r="R1024" i="21"/>
  <c r="R1025" i="21"/>
  <c r="R1026" i="21"/>
  <c r="R1027" i="21"/>
  <c r="R1029" i="21"/>
  <c r="R1031" i="21"/>
  <c r="R1037" i="21"/>
  <c r="R1038" i="21"/>
  <c r="R1044" i="21"/>
  <c r="R1045" i="21"/>
  <c r="R1048" i="21"/>
  <c r="R1065" i="21"/>
  <c r="R1071" i="21"/>
  <c r="R1074" i="21"/>
  <c r="R1076" i="21"/>
  <c r="R1078" i="21"/>
  <c r="R1079" i="21"/>
  <c r="R1080" i="21"/>
  <c r="R1091" i="21"/>
  <c r="R1092" i="21"/>
  <c r="R1096" i="21"/>
  <c r="R1099" i="21"/>
  <c r="R1100" i="21"/>
  <c r="R1102" i="21"/>
  <c r="R1115" i="21"/>
  <c r="R1116" i="21"/>
  <c r="R1118" i="21"/>
  <c r="R1119" i="21"/>
  <c r="R1124" i="21"/>
  <c r="R1129" i="21"/>
  <c r="R1130" i="21"/>
  <c r="R1134" i="21"/>
  <c r="R1141" i="21"/>
  <c r="R1153" i="21"/>
  <c r="R1154" i="21"/>
  <c r="R1156" i="21"/>
  <c r="R1158" i="21"/>
  <c r="R1161" i="21"/>
  <c r="R1163" i="21"/>
  <c r="R1175" i="21"/>
  <c r="R1189" i="21"/>
  <c r="R1191" i="21"/>
  <c r="R1192" i="21"/>
  <c r="R1206" i="21"/>
  <c r="R1210" i="21"/>
  <c r="R1220" i="21"/>
  <c r="R1227" i="21"/>
  <c r="R1229" i="21"/>
  <c r="R1232" i="21"/>
  <c r="R1234" i="21"/>
  <c r="R1235" i="21"/>
  <c r="R1236" i="21"/>
  <c r="R1237" i="21"/>
  <c r="R1239" i="21"/>
  <c r="R1240" i="21"/>
  <c r="R1242" i="21"/>
  <c r="R1245" i="21"/>
  <c r="R1248" i="21"/>
  <c r="R1250" i="21"/>
  <c r="R1255" i="21"/>
  <c r="R1264" i="21"/>
  <c r="R1265" i="21"/>
  <c r="R1268" i="21"/>
  <c r="R1276" i="21"/>
  <c r="R1281" i="21"/>
  <c r="R1317" i="21"/>
  <c r="R1318" i="21"/>
  <c r="R1327" i="21"/>
  <c r="R1328" i="21"/>
  <c r="R1329" i="21"/>
  <c r="R1330" i="21"/>
  <c r="R1333" i="21"/>
  <c r="R1342" i="21"/>
  <c r="R1343" i="21"/>
  <c r="R1350" i="21"/>
  <c r="R1352" i="21"/>
  <c r="R1354" i="21"/>
  <c r="R1358" i="21"/>
  <c r="R1359" i="21"/>
  <c r="R1364" i="21"/>
  <c r="R1365" i="21"/>
  <c r="R1366" i="21"/>
  <c r="R1369" i="21"/>
  <c r="R1380" i="21"/>
  <c r="R1387" i="21"/>
  <c r="R1392" i="21"/>
  <c r="R1393" i="21"/>
  <c r="R1394" i="21"/>
  <c r="R1395" i="21"/>
  <c r="R1396" i="21"/>
  <c r="R1398" i="21"/>
  <c r="R1400" i="21"/>
  <c r="R1401" i="21"/>
  <c r="R1402" i="21"/>
  <c r="R1404" i="21"/>
  <c r="R1406" i="21"/>
  <c r="R1411" i="21"/>
  <c r="R1415" i="21"/>
  <c r="R1418" i="21"/>
  <c r="R1422" i="21"/>
  <c r="R1423" i="21"/>
  <c r="R1437" i="21"/>
  <c r="R1441" i="21"/>
  <c r="R1450" i="21"/>
  <c r="R1451" i="21"/>
  <c r="R1452" i="21"/>
  <c r="R1453" i="21"/>
  <c r="R1456" i="21"/>
  <c r="R1458" i="21"/>
  <c r="R1466" i="21"/>
  <c r="R1470" i="21"/>
  <c r="R1474" i="21"/>
  <c r="R1476" i="21"/>
  <c r="R1478" i="21"/>
  <c r="R1482" i="21"/>
  <c r="R1487" i="21"/>
  <c r="R1489" i="21"/>
  <c r="R1494" i="21"/>
  <c r="R1497" i="21"/>
  <c r="R1498" i="21"/>
  <c r="R1504" i="21"/>
  <c r="R1516" i="21"/>
  <c r="R1517" i="21"/>
  <c r="R1519" i="21"/>
  <c r="R1521" i="21"/>
  <c r="R1523" i="21"/>
  <c r="R1526" i="21"/>
  <c r="R1528" i="21"/>
  <c r="R1530" i="21"/>
  <c r="R1537" i="21"/>
  <c r="R1540" i="21"/>
  <c r="R1553" i="21"/>
  <c r="R1556" i="21"/>
  <c r="R1558" i="21"/>
  <c r="R1561" i="21"/>
  <c r="R1565" i="21"/>
  <c r="R1567" i="21"/>
  <c r="R1573" i="21"/>
  <c r="R1574" i="21"/>
  <c r="R1576" i="21"/>
  <c r="R1577" i="21"/>
  <c r="R1578" i="21"/>
  <c r="R1582" i="21"/>
  <c r="R1583" i="21"/>
  <c r="R1584" i="21"/>
  <c r="R1585" i="21"/>
  <c r="R1586" i="21"/>
  <c r="R1587" i="21"/>
  <c r="R1588" i="21"/>
  <c r="R1590" i="21"/>
  <c r="R1591" i="21"/>
  <c r="R1598" i="21"/>
  <c r="R1599" i="21"/>
  <c r="R1600" i="21"/>
  <c r="R1601" i="21"/>
  <c r="R1603" i="21"/>
  <c r="R1606" i="21"/>
  <c r="R1613" i="21"/>
  <c r="R1615" i="21"/>
  <c r="R1616" i="21"/>
  <c r="R1620" i="21"/>
  <c r="R1623" i="21"/>
  <c r="R1624" i="21"/>
  <c r="R1628" i="21"/>
  <c r="R1629" i="21"/>
  <c r="R1633" i="21"/>
  <c r="R1634" i="21"/>
  <c r="R1635" i="21"/>
  <c r="R1637" i="21"/>
  <c r="R1640" i="21"/>
  <c r="R1641" i="21"/>
  <c r="R1643" i="21"/>
  <c r="R1644" i="21"/>
  <c r="R1645" i="21"/>
  <c r="R1647" i="21"/>
  <c r="R1648" i="21"/>
  <c r="R1649" i="21"/>
  <c r="R1650" i="21"/>
  <c r="R1652" i="21"/>
  <c r="R1653" i="21"/>
  <c r="R1654" i="21"/>
  <c r="R1659" i="21"/>
  <c r="R1665" i="21"/>
  <c r="R1668" i="21"/>
  <c r="R1673" i="21"/>
  <c r="R1674" i="21"/>
  <c r="R1681" i="21"/>
  <c r="R1689" i="21"/>
  <c r="R1690" i="21"/>
  <c r="R1697" i="21"/>
  <c r="R1707" i="21"/>
  <c r="R1710" i="21"/>
  <c r="R1714" i="21"/>
  <c r="R1733" i="21"/>
  <c r="R1734" i="21"/>
  <c r="R1735" i="21"/>
  <c r="R1739" i="21"/>
  <c r="R1742" i="21"/>
  <c r="R1743" i="21"/>
  <c r="R1744" i="21"/>
  <c r="R1745" i="21"/>
  <c r="R1746" i="21"/>
  <c r="R1747" i="21"/>
  <c r="R1748" i="21"/>
  <c r="R1749" i="21"/>
  <c r="R1753" i="21"/>
  <c r="R1754" i="21"/>
  <c r="R1757" i="21"/>
  <c r="R1761" i="21"/>
  <c r="R1766" i="21"/>
  <c r="R1771" i="21"/>
  <c r="R1772" i="21"/>
  <c r="R1777" i="21"/>
  <c r="R1778" i="21"/>
  <c r="R1787" i="21"/>
  <c r="R1789" i="21"/>
  <c r="R1791" i="21"/>
  <c r="R1792" i="21"/>
  <c r="R1795" i="21"/>
  <c r="R1803" i="21"/>
  <c r="R1808" i="21"/>
  <c r="R1810" i="21"/>
  <c r="R1811" i="21"/>
  <c r="R1813" i="21"/>
  <c r="R1814" i="21"/>
  <c r="R1816" i="21"/>
  <c r="R1819" i="21"/>
  <c r="R1820" i="21"/>
  <c r="R1821" i="21"/>
  <c r="R1822" i="21"/>
  <c r="R1823" i="21"/>
  <c r="R1824" i="21"/>
  <c r="R1825" i="21"/>
  <c r="R1826" i="21"/>
  <c r="R1829" i="21"/>
  <c r="R1831" i="21"/>
  <c r="R1832" i="21"/>
  <c r="R1834" i="21"/>
  <c r="R1835" i="21"/>
  <c r="R1836" i="21"/>
  <c r="R1837" i="21"/>
  <c r="R1838" i="21"/>
  <c r="R1840" i="21"/>
  <c r="R1850" i="21"/>
  <c r="R1852" i="21"/>
  <c r="R1860" i="21"/>
  <c r="R1861" i="21"/>
  <c r="R1864" i="21"/>
  <c r="R1866" i="21"/>
  <c r="R1867" i="21"/>
  <c r="R1870" i="21"/>
  <c r="R1872" i="21"/>
  <c r="R1877" i="21"/>
  <c r="R1878" i="21"/>
  <c r="R1879" i="21"/>
  <c r="R1881" i="21"/>
  <c r="R1886" i="21"/>
  <c r="R1887" i="21"/>
  <c r="R1888" i="21"/>
  <c r="R1889" i="21"/>
  <c r="R1890" i="21"/>
  <c r="R1891" i="21"/>
  <c r="R1893" i="21"/>
  <c r="R1895" i="21"/>
  <c r="R1896" i="21"/>
  <c r="R1897" i="21"/>
  <c r="R1898" i="21"/>
  <c r="R1901" i="21"/>
  <c r="R1907" i="21"/>
  <c r="R1908" i="21"/>
  <c r="R1910" i="21"/>
  <c r="R1913" i="21"/>
  <c r="R1914" i="21"/>
  <c r="R1918" i="21"/>
  <c r="R1921" i="21"/>
  <c r="R1922" i="21"/>
  <c r="R1927" i="21"/>
  <c r="R1932" i="21"/>
  <c r="R1933" i="21"/>
  <c r="R1934" i="21"/>
  <c r="R1944" i="21"/>
  <c r="R1945" i="21"/>
  <c r="R1947" i="21"/>
  <c r="R1950" i="21"/>
  <c r="R1952" i="21"/>
  <c r="R1953" i="21"/>
  <c r="R1956" i="21"/>
  <c r="R1957" i="21"/>
  <c r="R1958" i="21"/>
  <c r="R1959" i="21"/>
  <c r="R1961" i="21"/>
  <c r="R1966" i="21"/>
  <c r="R1968" i="21"/>
  <c r="R1970" i="21"/>
  <c r="R1973" i="21"/>
  <c r="R1974" i="21"/>
  <c r="R1975" i="21"/>
  <c r="R1976" i="21"/>
  <c r="R1977" i="21"/>
  <c r="R1980" i="21"/>
  <c r="R1982" i="21"/>
  <c r="R1986" i="21"/>
  <c r="R1987" i="21"/>
  <c r="R1989" i="21"/>
  <c r="R1990" i="21"/>
  <c r="R1991" i="21"/>
  <c r="R1993" i="21"/>
  <c r="R1994" i="21"/>
  <c r="R1995" i="21"/>
  <c r="R1997" i="21"/>
  <c r="R2000" i="21"/>
  <c r="R2001" i="21"/>
  <c r="R2002" i="21"/>
  <c r="R2006" i="21"/>
  <c r="R2007" i="21"/>
  <c r="R2008" i="21"/>
  <c r="R2010" i="21"/>
  <c r="R2011" i="21"/>
  <c r="R2012" i="21"/>
  <c r="R2013" i="21"/>
  <c r="R2014" i="21"/>
  <c r="R2015" i="21"/>
  <c r="R2016" i="21"/>
  <c r="R2017" i="21"/>
  <c r="R2018" i="21"/>
  <c r="R2019" i="21"/>
  <c r="R2020" i="21"/>
  <c r="R2021" i="21"/>
  <c r="R2023" i="21"/>
  <c r="R2027" i="21"/>
  <c r="R2029" i="21"/>
  <c r="R2035" i="21"/>
  <c r="R2037" i="21"/>
  <c r="R2038" i="21"/>
  <c r="R2040" i="21"/>
  <c r="R2041" i="21"/>
  <c r="R2042" i="21"/>
  <c r="R2043" i="21"/>
  <c r="R2044" i="21"/>
  <c r="R2050" i="21"/>
  <c r="R2053" i="21"/>
  <c r="R2054" i="21"/>
  <c r="R2060" i="21"/>
  <c r="R2061" i="21"/>
  <c r="R2067" i="21"/>
  <c r="R2073" i="21"/>
  <c r="R2074" i="21"/>
  <c r="R2075" i="21"/>
  <c r="R2083" i="21"/>
  <c r="R2084" i="21"/>
  <c r="R2086" i="21"/>
  <c r="R2087" i="21"/>
  <c r="R2088" i="21"/>
  <c r="R2089" i="21"/>
  <c r="R2090" i="21"/>
  <c r="R2091" i="21"/>
  <c r="R2092" i="21"/>
  <c r="R2117" i="21"/>
  <c r="R2119" i="21"/>
  <c r="R2129" i="21"/>
  <c r="R2130" i="21"/>
  <c r="R2134" i="21"/>
  <c r="R2141" i="21"/>
  <c r="R2147" i="21"/>
  <c r="R2148" i="21"/>
  <c r="R2149" i="21"/>
  <c r="R2154" i="21"/>
  <c r="R2155" i="21"/>
  <c r="R2162" i="21"/>
  <c r="R2163" i="21"/>
  <c r="R2166" i="21"/>
  <c r="R2167" i="21"/>
  <c r="R2169" i="21"/>
  <c r="R2170" i="21"/>
  <c r="R2171" i="21"/>
  <c r="R2172" i="21"/>
  <c r="R2176" i="21"/>
  <c r="R2180" i="21"/>
  <c r="R2186" i="21"/>
  <c r="R2187" i="21"/>
  <c r="R2190" i="21"/>
  <c r="R2193" i="21"/>
  <c r="R2210" i="21"/>
  <c r="R2218" i="21"/>
  <c r="R2224" i="21"/>
  <c r="R2226" i="21"/>
  <c r="R2233" i="21"/>
  <c r="R2234" i="21"/>
  <c r="R2243" i="21"/>
  <c r="R2244" i="21"/>
  <c r="R2254" i="21"/>
  <c r="R2261" i="21"/>
  <c r="R2262" i="21"/>
  <c r="R2282" i="21"/>
  <c r="R2283" i="21"/>
  <c r="R2284" i="21"/>
  <c r="R2286" i="21"/>
  <c r="R2288" i="21"/>
  <c r="R2290" i="21"/>
  <c r="R2291" i="21"/>
  <c r="R2292" i="21"/>
  <c r="R2293" i="21"/>
  <c r="R2296" i="21"/>
  <c r="R2305" i="21"/>
  <c r="R2307" i="21"/>
  <c r="R2308" i="21"/>
  <c r="R2309" i="21"/>
  <c r="R2310" i="21"/>
  <c r="R2311" i="21"/>
  <c r="R2322" i="21"/>
  <c r="R2325" i="21"/>
  <c r="R2327" i="21"/>
  <c r="R2328" i="21"/>
  <c r="R2335" i="21"/>
  <c r="R2336" i="21"/>
  <c r="R2337" i="21"/>
  <c r="R2343" i="21"/>
  <c r="R2344" i="21"/>
  <c r="R2348" i="21"/>
  <c r="R2355" i="21"/>
  <c r="R2362" i="21"/>
  <c r="R2363" i="21"/>
  <c r="R2367" i="21"/>
  <c r="R2370" i="21"/>
  <c r="R2373" i="21"/>
  <c r="R2376" i="21"/>
  <c r="R2381" i="21"/>
  <c r="R2384" i="21"/>
  <c r="R2388" i="21"/>
  <c r="R2391" i="21"/>
  <c r="R2393" i="21"/>
  <c r="R2394" i="21"/>
  <c r="R2399" i="21"/>
  <c r="R2403" i="21"/>
  <c r="R2404" i="21"/>
  <c r="R2405" i="21"/>
  <c r="R2409" i="21"/>
  <c r="R2410" i="21"/>
  <c r="R2413" i="21"/>
  <c r="R2415" i="21"/>
  <c r="R2416" i="21"/>
  <c r="R2419" i="21"/>
  <c r="R2424" i="21"/>
  <c r="R2430" i="21"/>
  <c r="R2435" i="21"/>
  <c r="R2437" i="21"/>
  <c r="R2442" i="21"/>
  <c r="R2443" i="21"/>
  <c r="R2444" i="21"/>
  <c r="R2446" i="21"/>
  <c r="R2449" i="21"/>
  <c r="R2453" i="21"/>
  <c r="R2459" i="21"/>
  <c r="R2464" i="21"/>
  <c r="R2507" i="21"/>
  <c r="R2538" i="21"/>
  <c r="R2543" i="21"/>
  <c r="R2544" i="21"/>
  <c r="R2548" i="21"/>
  <c r="R2552" i="21"/>
  <c r="R2554" i="21"/>
  <c r="R2559" i="21"/>
  <c r="R2560" i="21"/>
  <c r="R2563" i="21"/>
  <c r="R2564" i="21"/>
  <c r="R2566" i="21"/>
  <c r="R2567" i="21"/>
  <c r="R2568" i="21"/>
  <c r="R2570" i="21"/>
  <c r="R2571" i="21"/>
  <c r="R2572" i="21"/>
  <c r="R2582" i="21"/>
  <c r="R2583" i="21"/>
  <c r="R2586" i="21"/>
  <c r="R2587" i="21"/>
  <c r="R2588" i="21"/>
  <c r="R2592" i="21"/>
  <c r="R2595" i="21"/>
  <c r="R2596" i="21"/>
  <c r="R2599" i="21"/>
  <c r="R2605" i="21"/>
  <c r="R2606" i="21"/>
  <c r="R2609" i="21"/>
  <c r="R2610" i="21"/>
  <c r="R2611" i="21"/>
  <c r="R2616" i="21"/>
  <c r="R2617" i="21"/>
  <c r="R2619" i="21"/>
  <c r="R2629" i="21"/>
  <c r="R2632" i="21"/>
  <c r="R2633" i="21"/>
  <c r="R2634" i="21"/>
  <c r="R2635" i="21"/>
  <c r="R2636" i="21"/>
  <c r="R2638" i="21"/>
  <c r="R2642" i="21"/>
  <c r="R2643" i="21"/>
  <c r="R2646" i="21"/>
  <c r="R2647" i="21"/>
  <c r="R2648" i="21"/>
  <c r="R2649" i="21"/>
  <c r="R2650" i="21"/>
  <c r="R2651" i="21"/>
  <c r="R2652" i="21"/>
  <c r="R2653" i="21"/>
  <c r="R2654" i="21"/>
  <c r="R2655" i="21"/>
  <c r="R2658" i="21"/>
  <c r="R2659" i="21"/>
  <c r="R2660" i="21"/>
  <c r="R2664" i="21"/>
  <c r="R2665" i="21"/>
  <c r="R2666" i="21"/>
  <c r="R2667" i="21"/>
  <c r="R2671" i="21"/>
  <c r="R2672" i="21"/>
  <c r="R2673" i="21"/>
  <c r="R2674" i="21"/>
  <c r="R2676" i="21"/>
  <c r="R2680" i="21"/>
  <c r="R2683" i="21"/>
  <c r="R2684" i="21"/>
  <c r="R2685" i="21"/>
  <c r="R2686" i="21"/>
  <c r="R2687" i="21"/>
  <c r="R2688" i="21"/>
  <c r="R2692" i="21"/>
  <c r="R2693" i="21"/>
  <c r="R2694" i="21"/>
  <c r="R2696" i="21"/>
  <c r="R2699" i="21"/>
  <c r="R2701" i="21"/>
  <c r="R2704" i="21"/>
  <c r="R2705" i="21"/>
  <c r="R2706" i="21"/>
  <c r="R2707" i="21"/>
  <c r="R2709" i="21"/>
  <c r="R2710" i="21"/>
  <c r="R2711" i="21"/>
  <c r="R2712" i="21"/>
  <c r="R2715" i="21"/>
  <c r="R2716" i="21"/>
  <c r="R2717" i="21"/>
  <c r="R2718" i="21"/>
  <c r="R2720" i="21"/>
  <c r="R2721" i="21"/>
  <c r="R2722" i="21"/>
  <c r="R2725" i="21"/>
  <c r="R2727" i="21"/>
  <c r="R2730" i="21"/>
  <c r="R2732" i="21"/>
  <c r="R2733" i="21"/>
  <c r="R2734" i="21"/>
  <c r="R2735" i="21"/>
  <c r="R2736" i="21"/>
  <c r="R2737" i="21"/>
  <c r="R2739" i="21"/>
  <c r="R2743" i="21"/>
  <c r="R2745" i="21"/>
  <c r="R2746" i="21"/>
  <c r="R2747" i="21"/>
  <c r="R2748" i="21"/>
  <c r="R2749" i="21"/>
  <c r="R2750" i="21"/>
  <c r="R2752" i="21"/>
  <c r="R2753" i="21"/>
  <c r="R2755" i="21"/>
  <c r="R2756" i="21"/>
  <c r="R2757" i="21"/>
  <c r="R2758" i="21"/>
  <c r="R2759" i="21"/>
  <c r="R2760" i="21"/>
  <c r="R2761" i="21"/>
  <c r="R2762" i="21"/>
  <c r="R2763" i="21"/>
  <c r="R2764" i="21"/>
  <c r="R2765" i="21"/>
  <c r="R2766" i="21"/>
  <c r="R2767" i="21"/>
  <c r="R2768" i="21"/>
  <c r="R2772" i="21"/>
  <c r="R2773" i="21"/>
  <c r="R2774" i="21"/>
  <c r="R2775" i="21"/>
  <c r="R2776" i="21"/>
  <c r="R2777" i="21"/>
  <c r="R2778" i="21"/>
  <c r="R2779" i="21"/>
  <c r="R2780" i="21"/>
  <c r="R2781" i="21"/>
  <c r="R2782" i="21"/>
  <c r="R2786" i="21"/>
  <c r="R2789" i="21"/>
  <c r="R2790" i="21"/>
  <c r="R2791" i="21"/>
  <c r="R2793" i="21"/>
  <c r="R2795" i="21"/>
  <c r="R2796" i="21"/>
  <c r="R2798" i="21"/>
  <c r="R2799" i="21"/>
  <c r="R2800" i="21"/>
  <c r="R2801" i="21"/>
  <c r="R2802" i="21"/>
  <c r="R2803" i="21"/>
  <c r="R2804" i="21"/>
  <c r="R2805" i="21"/>
  <c r="R2806" i="21"/>
  <c r="R2807" i="21"/>
  <c r="R2808" i="21"/>
  <c r="R2809" i="21"/>
  <c r="R2810" i="21"/>
  <c r="R2811" i="21"/>
  <c r="R2813" i="21"/>
  <c r="R2814" i="21"/>
  <c r="R2815" i="21"/>
  <c r="R2816" i="21"/>
  <c r="R2817" i="21"/>
  <c r="R2818" i="21"/>
  <c r="R2819" i="21"/>
  <c r="R2821" i="21"/>
  <c r="R2822" i="21"/>
  <c r="R2823" i="21"/>
  <c r="R2825" i="21"/>
  <c r="R2827" i="21"/>
  <c r="R2828" i="21"/>
  <c r="R2830" i="21"/>
  <c r="R2833" i="21"/>
  <c r="R2834" i="21"/>
  <c r="R2835" i="21"/>
  <c r="R2836" i="21"/>
  <c r="R2838" i="21"/>
  <c r="R2842" i="21"/>
  <c r="R2843" i="21"/>
  <c r="R2844" i="21"/>
  <c r="R2845" i="21"/>
  <c r="R2846" i="21"/>
  <c r="R2847" i="21"/>
  <c r="R2848" i="21"/>
  <c r="R2849" i="21"/>
  <c r="R2850" i="21"/>
  <c r="R2852" i="21"/>
  <c r="R2853" i="21"/>
  <c r="R2854" i="21"/>
  <c r="R2855" i="21"/>
  <c r="R2859" i="21"/>
  <c r="R2860" i="21"/>
  <c r="R2862" i="21"/>
  <c r="R2863" i="21"/>
  <c r="R2864" i="21"/>
  <c r="R2866" i="21"/>
  <c r="R2867" i="21"/>
  <c r="R2868" i="21"/>
  <c r="R2870" i="21"/>
  <c r="R2871" i="21"/>
  <c r="R2872" i="21"/>
  <c r="R2873" i="21"/>
  <c r="R2874" i="21"/>
  <c r="R2875" i="21"/>
  <c r="R2876" i="21"/>
  <c r="R2877" i="21"/>
  <c r="R2878" i="21"/>
  <c r="R2879" i="21"/>
  <c r="R2880" i="21"/>
  <c r="R2881" i="21"/>
  <c r="R2882" i="21"/>
  <c r="R2884" i="21"/>
  <c r="R2885" i="21"/>
  <c r="R2886" i="21"/>
  <c r="R2887" i="21"/>
  <c r="R3" i="21"/>
  <c r="Q11" i="21"/>
  <c r="Q20" i="21"/>
  <c r="Q21" i="21"/>
  <c r="Q22" i="21"/>
  <c r="Q23" i="21"/>
  <c r="Q24" i="21"/>
  <c r="Q33" i="21"/>
  <c r="Q34" i="21"/>
  <c r="Q35" i="21"/>
  <c r="Q36" i="21"/>
  <c r="Q39" i="21"/>
  <c r="Q47" i="21"/>
  <c r="Q57" i="21"/>
  <c r="Q58" i="21"/>
  <c r="Q63" i="21"/>
  <c r="Q77" i="21"/>
  <c r="Q79" i="21"/>
  <c r="Q80" i="21"/>
  <c r="Q81" i="21"/>
  <c r="Q90" i="21"/>
  <c r="Q91" i="21"/>
  <c r="Q95" i="21"/>
  <c r="Q96" i="21"/>
  <c r="Q97" i="21"/>
  <c r="Q98" i="21"/>
  <c r="Q99" i="21"/>
  <c r="Q101" i="21"/>
  <c r="Q106" i="21"/>
  <c r="Q107" i="21"/>
  <c r="Q109" i="21"/>
  <c r="Q111" i="21"/>
  <c r="Q116" i="21"/>
  <c r="Q122" i="21"/>
  <c r="Q126" i="21"/>
  <c r="Q132" i="21"/>
  <c r="Q133" i="21"/>
  <c r="Q139" i="21"/>
  <c r="Q140" i="21"/>
  <c r="Q142" i="21"/>
  <c r="Q145" i="21"/>
  <c r="Q154" i="21"/>
  <c r="Q158" i="21"/>
  <c r="Q159" i="21"/>
  <c r="Q160" i="21"/>
  <c r="Q164" i="21"/>
  <c r="Q167" i="21"/>
  <c r="Q168" i="21"/>
  <c r="Q169" i="21"/>
  <c r="Q170" i="21"/>
  <c r="Q171" i="21"/>
  <c r="Q172" i="21"/>
  <c r="Q173" i="21"/>
  <c r="Q177" i="21"/>
  <c r="Q190" i="21"/>
  <c r="Q192" i="21"/>
  <c r="Q196" i="21"/>
  <c r="Q198" i="21"/>
  <c r="Q199" i="21"/>
  <c r="Q202" i="21"/>
  <c r="Q207" i="21"/>
  <c r="Q210" i="21"/>
  <c r="Q211" i="21"/>
  <c r="Q215" i="21"/>
  <c r="Q219" i="21"/>
  <c r="Q220" i="21"/>
  <c r="Q222" i="21"/>
  <c r="Q224" i="21"/>
  <c r="Q225" i="21"/>
  <c r="Q227" i="21"/>
  <c r="Q228" i="21"/>
  <c r="Q231" i="21"/>
  <c r="Q232" i="21"/>
  <c r="Q233" i="21"/>
  <c r="Q234" i="21"/>
  <c r="Q235" i="21"/>
  <c r="Q240" i="21"/>
  <c r="Q241" i="21"/>
  <c r="Q242" i="21"/>
  <c r="Q243" i="21"/>
  <c r="Q244" i="21"/>
  <c r="Q245" i="21"/>
  <c r="Q250" i="21"/>
  <c r="Q251" i="21"/>
  <c r="Q253" i="21"/>
  <c r="Q255" i="21"/>
  <c r="Q257" i="21"/>
  <c r="Q258" i="21"/>
  <c r="Q259" i="21"/>
  <c r="Q260" i="21"/>
  <c r="Q261" i="21"/>
  <c r="Q263" i="21"/>
  <c r="Q264" i="21"/>
  <c r="Q266" i="21"/>
  <c r="Q267" i="21"/>
  <c r="Q268" i="21"/>
  <c r="Q269" i="21"/>
  <c r="Q271" i="21"/>
  <c r="Q272" i="21"/>
  <c r="Q273" i="21"/>
  <c r="Q274" i="21"/>
  <c r="Q277" i="21"/>
  <c r="Q278" i="21"/>
  <c r="Q279" i="21"/>
  <c r="Q280" i="21"/>
  <c r="Q281" i="21"/>
  <c r="Q282" i="21"/>
  <c r="Q288" i="21"/>
  <c r="Q289" i="21"/>
  <c r="Q290" i="21"/>
  <c r="Q291" i="21"/>
  <c r="Q293" i="21"/>
  <c r="Q294" i="21"/>
  <c r="Q295" i="21"/>
  <c r="Q297" i="21"/>
  <c r="Q303" i="21"/>
  <c r="Q305" i="21"/>
  <c r="Q307" i="21"/>
  <c r="Q308" i="21"/>
  <c r="Q315" i="21"/>
  <c r="Q316" i="21"/>
  <c r="Q317" i="21"/>
  <c r="Q320" i="21"/>
  <c r="Q321" i="21"/>
  <c r="Q322" i="21"/>
  <c r="Q324" i="21"/>
  <c r="Q330" i="21"/>
  <c r="Q336" i="21"/>
  <c r="Q337" i="21"/>
  <c r="Q338" i="21"/>
  <c r="Q340" i="21"/>
  <c r="Q341" i="21"/>
  <c r="Q344" i="21"/>
  <c r="Q345" i="21"/>
  <c r="Q349" i="21"/>
  <c r="Q357" i="21"/>
  <c r="Q358" i="21"/>
  <c r="Q368" i="21"/>
  <c r="Q369" i="21"/>
  <c r="Q372" i="21"/>
  <c r="Q375" i="21"/>
  <c r="Q378" i="21"/>
  <c r="Q380" i="21"/>
  <c r="Q381" i="21"/>
  <c r="Q382" i="21"/>
  <c r="Q383" i="21"/>
  <c r="Q386" i="21"/>
  <c r="Q388" i="21"/>
  <c r="Q389" i="21"/>
  <c r="Q390" i="21"/>
  <c r="Q391" i="21"/>
  <c r="Q394" i="21"/>
  <c r="Q395" i="21"/>
  <c r="Q402" i="21"/>
  <c r="Q403" i="21"/>
  <c r="Q405" i="21"/>
  <c r="Q411" i="21"/>
  <c r="Q413" i="21"/>
  <c r="Q414" i="21"/>
  <c r="Q415" i="21"/>
  <c r="Q416" i="21"/>
  <c r="Q420" i="21"/>
  <c r="Q425" i="21"/>
  <c r="Q432" i="21"/>
  <c r="Q433" i="21"/>
  <c r="Q435" i="21"/>
  <c r="Q436" i="21"/>
  <c r="Q447" i="21"/>
  <c r="Q448" i="21"/>
  <c r="Q450" i="21"/>
  <c r="Q461" i="21"/>
  <c r="Q462" i="21"/>
  <c r="Q463" i="21"/>
  <c r="Q467" i="21"/>
  <c r="Q468" i="21"/>
  <c r="Q470" i="21"/>
  <c r="Q473" i="21"/>
  <c r="Q477" i="21"/>
  <c r="Q478" i="21"/>
  <c r="Q481" i="21"/>
  <c r="Q485" i="21"/>
  <c r="Q486" i="21"/>
  <c r="Q488" i="21"/>
  <c r="Q489" i="21"/>
  <c r="Q490" i="21"/>
  <c r="Q491" i="21"/>
  <c r="Q492" i="21"/>
  <c r="Q493" i="21"/>
  <c r="Q495" i="21"/>
  <c r="Q496" i="21"/>
  <c r="Q497" i="21"/>
  <c r="Q498" i="21"/>
  <c r="Q499" i="21"/>
  <c r="Q501" i="21"/>
  <c r="Q502" i="21"/>
  <c r="Q503" i="21"/>
  <c r="Q504" i="21"/>
  <c r="Q506" i="21"/>
  <c r="Q508" i="21"/>
  <c r="Q510" i="21"/>
  <c r="Q512" i="21"/>
  <c r="Q516" i="21"/>
  <c r="Q517" i="21"/>
  <c r="Q521" i="21"/>
  <c r="Q522" i="21"/>
  <c r="Q524" i="21"/>
  <c r="Q525" i="21"/>
  <c r="Q526" i="21"/>
  <c r="Q527" i="21"/>
  <c r="Q528" i="21"/>
  <c r="Q529" i="21"/>
  <c r="Q530" i="21"/>
  <c r="Q531" i="21"/>
  <c r="Q535" i="21"/>
  <c r="Q538" i="21"/>
  <c r="Q541" i="21"/>
  <c r="Q543" i="21"/>
  <c r="Q544" i="21"/>
  <c r="Q545" i="21"/>
  <c r="Q548" i="21"/>
  <c r="Q549" i="21"/>
  <c r="Q551" i="21"/>
  <c r="Q555" i="21"/>
  <c r="Q556" i="21"/>
  <c r="Q559" i="21"/>
  <c r="Q560" i="21"/>
  <c r="Q561" i="21"/>
  <c r="Q562" i="21"/>
  <c r="Q563" i="21"/>
  <c r="Q564" i="21"/>
  <c r="Q566" i="21"/>
  <c r="Q572" i="21"/>
  <c r="Q577" i="21"/>
  <c r="Q580" i="21"/>
  <c r="Q582" i="21"/>
  <c r="Q585" i="21"/>
  <c r="Q592" i="21"/>
  <c r="Q593" i="21"/>
  <c r="Q594" i="21"/>
  <c r="Q595" i="21"/>
  <c r="Q597" i="21"/>
  <c r="Q599" i="21"/>
  <c r="Q608" i="21"/>
  <c r="Q611" i="21"/>
  <c r="Q612" i="21"/>
  <c r="Q614" i="21"/>
  <c r="Q615" i="21"/>
  <c r="Q616" i="21"/>
  <c r="Q617" i="21"/>
  <c r="Q618" i="21"/>
  <c r="Q620" i="21"/>
  <c r="Q621" i="21"/>
  <c r="Q622" i="21"/>
  <c r="Q627" i="21"/>
  <c r="Q629" i="21"/>
  <c r="Q630" i="21"/>
  <c r="Q632" i="21"/>
  <c r="Q633" i="21"/>
  <c r="Q635" i="21"/>
  <c r="Q641" i="21"/>
  <c r="Q646" i="21"/>
  <c r="Q651" i="21"/>
  <c r="Q652" i="21"/>
  <c r="Q653" i="21"/>
  <c r="Q657" i="21"/>
  <c r="Q661" i="21"/>
  <c r="Q668" i="21"/>
  <c r="Q681" i="21"/>
  <c r="Q683" i="21"/>
  <c r="Q689" i="21"/>
  <c r="Q691" i="21"/>
  <c r="Q692" i="21"/>
  <c r="Q694" i="21"/>
  <c r="Q695" i="21"/>
  <c r="Q696" i="21"/>
  <c r="Q699" i="21"/>
  <c r="Q700" i="21"/>
  <c r="Q701" i="21"/>
  <c r="Q702" i="21"/>
  <c r="Q705" i="21"/>
  <c r="Q706" i="21"/>
  <c r="Q707" i="21"/>
  <c r="Q708" i="21"/>
  <c r="Q710" i="21"/>
  <c r="Q711" i="21"/>
  <c r="Q719" i="21"/>
  <c r="Q726" i="21"/>
  <c r="Q727" i="21"/>
  <c r="Q729" i="21"/>
  <c r="Q731" i="21"/>
  <c r="Q732" i="21"/>
  <c r="Q733" i="21"/>
  <c r="Q735" i="21"/>
  <c r="Q748" i="21"/>
  <c r="Q752" i="21"/>
  <c r="Q763" i="21"/>
  <c r="Q784" i="21"/>
  <c r="Q788" i="21"/>
  <c r="Q791" i="21"/>
  <c r="Q798" i="21"/>
  <c r="Q801" i="21"/>
  <c r="Q802" i="21"/>
  <c r="Q803" i="21"/>
  <c r="Q812" i="21"/>
  <c r="Q813" i="21"/>
  <c r="Q814" i="21"/>
  <c r="Q815" i="21"/>
  <c r="Q830" i="21"/>
  <c r="Q838" i="21"/>
  <c r="Q840" i="21"/>
  <c r="Q843" i="21"/>
  <c r="Q850" i="21"/>
  <c r="Q851" i="21"/>
  <c r="Q858" i="21"/>
  <c r="Q864" i="21"/>
  <c r="Q865" i="21"/>
  <c r="Q866" i="21"/>
  <c r="Q867" i="21"/>
  <c r="Q868" i="21"/>
  <c r="Q869" i="21"/>
  <c r="Q872" i="21"/>
  <c r="Q873" i="21"/>
  <c r="Q877" i="21"/>
  <c r="Q881" i="21"/>
  <c r="Q882" i="21"/>
  <c r="Q885" i="21"/>
  <c r="Q887" i="21"/>
  <c r="Q888" i="21"/>
  <c r="Q891" i="21"/>
  <c r="Q896" i="21"/>
  <c r="Q898" i="21"/>
  <c r="Q903" i="21"/>
  <c r="Q907" i="21"/>
  <c r="Q910" i="21"/>
  <c r="Q912" i="21"/>
  <c r="Q914" i="21"/>
  <c r="Q925" i="21"/>
  <c r="Q927" i="21"/>
  <c r="Q928" i="21"/>
  <c r="Q934" i="21"/>
  <c r="Q935" i="21"/>
  <c r="Q941" i="21"/>
  <c r="Q942" i="21"/>
  <c r="Q943" i="21"/>
  <c r="Q944" i="21"/>
  <c r="Q950" i="21"/>
  <c r="Q952" i="21"/>
  <c r="Q953" i="21"/>
  <c r="Q954" i="21"/>
  <c r="Q955" i="21"/>
  <c r="Q956" i="21"/>
  <c r="Q957" i="21"/>
  <c r="Q958" i="21"/>
  <c r="Q960" i="21"/>
  <c r="Q963" i="21"/>
  <c r="Q967" i="21"/>
  <c r="Q972" i="21"/>
  <c r="Q973" i="21"/>
  <c r="Q976" i="21"/>
  <c r="Q977" i="21"/>
  <c r="Q979" i="21"/>
  <c r="Q980" i="21"/>
  <c r="Q982" i="21"/>
  <c r="Q985" i="21"/>
  <c r="Q986" i="21"/>
  <c r="Q989" i="21"/>
  <c r="Q991" i="21"/>
  <c r="Q992" i="21"/>
  <c r="Q994" i="21"/>
  <c r="Q995" i="21"/>
  <c r="Q996" i="21"/>
  <c r="Q1000" i="21"/>
  <c r="Q1005" i="21"/>
  <c r="Q1006" i="21"/>
  <c r="Q1011" i="21"/>
  <c r="Q1013" i="21"/>
  <c r="Q1014" i="21"/>
  <c r="Q1020" i="21"/>
  <c r="Q1021" i="21"/>
  <c r="Q1022" i="21"/>
  <c r="Q1024" i="21"/>
  <c r="Q1025" i="21"/>
  <c r="Q1026" i="21"/>
  <c r="Q1027" i="21"/>
  <c r="Q1029" i="21"/>
  <c r="Q1031" i="21"/>
  <c r="Q1037" i="21"/>
  <c r="Q1038" i="21"/>
  <c r="Q1044" i="21"/>
  <c r="Q1045" i="21"/>
  <c r="Q1048" i="21"/>
  <c r="Q1065" i="21"/>
  <c r="Q1071" i="21"/>
  <c r="Q1074" i="21"/>
  <c r="Q1076" i="21"/>
  <c r="Q1078" i="21"/>
  <c r="Q1079" i="21"/>
  <c r="Q1080" i="21"/>
  <c r="Q1091" i="21"/>
  <c r="Q1092" i="21"/>
  <c r="Q1096" i="21"/>
  <c r="Q1099" i="21"/>
  <c r="Q1100" i="21"/>
  <c r="Q1102" i="21"/>
  <c r="Q1115" i="21"/>
  <c r="Q1116" i="21"/>
  <c r="Q1118" i="21"/>
  <c r="Q1119" i="21"/>
  <c r="Q1124" i="21"/>
  <c r="Q1129" i="21"/>
  <c r="Q1130" i="21"/>
  <c r="Q1134" i="21"/>
  <c r="Q1141" i="21"/>
  <c r="Q1153" i="21"/>
  <c r="Q1154" i="21"/>
  <c r="Q1156" i="21"/>
  <c r="Q1158" i="21"/>
  <c r="Q1161" i="21"/>
  <c r="Q1163" i="21"/>
  <c r="Q1175" i="21"/>
  <c r="Q1189" i="21"/>
  <c r="Q1191" i="21"/>
  <c r="Q1192" i="21"/>
  <c r="Q1206" i="21"/>
  <c r="Q1210" i="21"/>
  <c r="Q1220" i="21"/>
  <c r="Q1227" i="21"/>
  <c r="Q1229" i="21"/>
  <c r="Q1232" i="21"/>
  <c r="Q1234" i="21"/>
  <c r="Q1235" i="21"/>
  <c r="Q1236" i="21"/>
  <c r="Q1237" i="21"/>
  <c r="Q1239" i="21"/>
  <c r="Q1240" i="21"/>
  <c r="Q1242" i="21"/>
  <c r="Q1245" i="21"/>
  <c r="Q1248" i="21"/>
  <c r="Q1250" i="21"/>
  <c r="Q1255" i="21"/>
  <c r="Q1264" i="21"/>
  <c r="Q1265" i="21"/>
  <c r="Q1268" i="21"/>
  <c r="Q1276" i="21"/>
  <c r="Q1281" i="21"/>
  <c r="Q1317" i="21"/>
  <c r="Q1318" i="21"/>
  <c r="Q1327" i="21"/>
  <c r="Q1328" i="21"/>
  <c r="Q1329" i="21"/>
  <c r="Q1330" i="21"/>
  <c r="Q1333" i="21"/>
  <c r="Q1342" i="21"/>
  <c r="Q1343" i="21"/>
  <c r="Q1350" i="21"/>
  <c r="Q1352" i="21"/>
  <c r="Q1354" i="21"/>
  <c r="Q1358" i="21"/>
  <c r="Q1359" i="21"/>
  <c r="Q1364" i="21"/>
  <c r="Q1365" i="21"/>
  <c r="Q1366" i="21"/>
  <c r="Q1369" i="21"/>
  <c r="Q1380" i="21"/>
  <c r="Q1387" i="21"/>
  <c r="Q1392" i="21"/>
  <c r="Q1393" i="21"/>
  <c r="Q1394" i="21"/>
  <c r="Q1395" i="21"/>
  <c r="Q1396" i="21"/>
  <c r="Q1398" i="21"/>
  <c r="Q1400" i="21"/>
  <c r="Q1401" i="21"/>
  <c r="Q1402" i="21"/>
  <c r="Q1404" i="21"/>
  <c r="Q1406" i="21"/>
  <c r="Q1411" i="21"/>
  <c r="Q1415" i="21"/>
  <c r="Q1418" i="21"/>
  <c r="Q1422" i="21"/>
  <c r="Q1423" i="21"/>
  <c r="Q1437" i="21"/>
  <c r="Q1441" i="21"/>
  <c r="Q1450" i="21"/>
  <c r="Q1451" i="21"/>
  <c r="Q1452" i="21"/>
  <c r="Q1453" i="21"/>
  <c r="Q1456" i="21"/>
  <c r="Q1458" i="21"/>
  <c r="Q1466" i="21"/>
  <c r="Q1470" i="21"/>
  <c r="Q1474" i="21"/>
  <c r="Q1476" i="21"/>
  <c r="Q1478" i="21"/>
  <c r="Q1482" i="21"/>
  <c r="Q1487" i="21"/>
  <c r="Q1489" i="21"/>
  <c r="Q1494" i="21"/>
  <c r="Q1497" i="21"/>
  <c r="Q1498" i="21"/>
  <c r="Q1504" i="21"/>
  <c r="Q1516" i="21"/>
  <c r="Q1517" i="21"/>
  <c r="Q1519" i="21"/>
  <c r="Q1521" i="21"/>
  <c r="Q1523" i="21"/>
  <c r="Q1526" i="21"/>
  <c r="Q1528" i="21"/>
  <c r="Q1530" i="21"/>
  <c r="Q1537" i="21"/>
  <c r="Q1540" i="21"/>
  <c r="Q1553" i="21"/>
  <c r="Q1556" i="21"/>
  <c r="Q1558" i="21"/>
  <c r="Q1561" i="21"/>
  <c r="Q1565" i="21"/>
  <c r="Q1567" i="21"/>
  <c r="Q1573" i="21"/>
  <c r="Q1574" i="21"/>
  <c r="Q1576" i="21"/>
  <c r="Q1577" i="21"/>
  <c r="Q1578" i="21"/>
  <c r="Q1582" i="21"/>
  <c r="Q1583" i="21"/>
  <c r="Q1584" i="21"/>
  <c r="Q1585" i="21"/>
  <c r="Q1586" i="21"/>
  <c r="Q1587" i="21"/>
  <c r="Q1588" i="21"/>
  <c r="Q1590" i="21"/>
  <c r="Q1591" i="21"/>
  <c r="Q1598" i="21"/>
  <c r="Q1599" i="21"/>
  <c r="Q1600" i="21"/>
  <c r="Q1601" i="21"/>
  <c r="Q1603" i="21"/>
  <c r="Q1606" i="21"/>
  <c r="Q1613" i="21"/>
  <c r="Q1615" i="21"/>
  <c r="Q1616" i="21"/>
  <c r="Q1620" i="21"/>
  <c r="Q1623" i="21"/>
  <c r="Q1624" i="21"/>
  <c r="Q1628" i="21"/>
  <c r="Q1629" i="21"/>
  <c r="Q1633" i="21"/>
  <c r="Q1634" i="21"/>
  <c r="Q1635" i="21"/>
  <c r="Q1637" i="21"/>
  <c r="Q1640" i="21"/>
  <c r="Q1641" i="21"/>
  <c r="Q1643" i="21"/>
  <c r="Q1644" i="21"/>
  <c r="Q1645" i="21"/>
  <c r="Q1647" i="21"/>
  <c r="Q1648" i="21"/>
  <c r="Q1649" i="21"/>
  <c r="Q1650" i="21"/>
  <c r="Q1652" i="21"/>
  <c r="Q1653" i="21"/>
  <c r="Q1654" i="21"/>
  <c r="Q1659" i="21"/>
  <c r="Q1665" i="21"/>
  <c r="Q1668" i="21"/>
  <c r="Q1673" i="21"/>
  <c r="Q1674" i="21"/>
  <c r="Q1681" i="21"/>
  <c r="Q1689" i="21"/>
  <c r="Q1690" i="21"/>
  <c r="Q1697" i="21"/>
  <c r="Q1707" i="21"/>
  <c r="Q1710" i="21"/>
  <c r="Q1714" i="21"/>
  <c r="Q1733" i="21"/>
  <c r="Q1734" i="21"/>
  <c r="Q1735" i="21"/>
  <c r="Q1739" i="21"/>
  <c r="Q1742" i="21"/>
  <c r="Q1743" i="21"/>
  <c r="Q1744" i="21"/>
  <c r="Q1745" i="21"/>
  <c r="Q1746" i="21"/>
  <c r="Q1747" i="21"/>
  <c r="Q1748" i="21"/>
  <c r="Q1749" i="21"/>
  <c r="Q1753" i="21"/>
  <c r="Q1754" i="21"/>
  <c r="Q1757" i="21"/>
  <c r="Q1761" i="21"/>
  <c r="Q1766" i="21"/>
  <c r="Q1771" i="21"/>
  <c r="Q1772" i="21"/>
  <c r="Q1777" i="21"/>
  <c r="Q1778" i="21"/>
  <c r="Q1787" i="21"/>
  <c r="Q1789" i="21"/>
  <c r="Q1791" i="21"/>
  <c r="Q1792" i="21"/>
  <c r="Q1795" i="21"/>
  <c r="Q1803" i="21"/>
  <c r="Q1808" i="21"/>
  <c r="Q1810" i="21"/>
  <c r="Q1811" i="21"/>
  <c r="Q1813" i="21"/>
  <c r="Q1814" i="21"/>
  <c r="Q1816" i="21"/>
  <c r="Q1819" i="21"/>
  <c r="Q1820" i="21"/>
  <c r="Q1821" i="21"/>
  <c r="Q1822" i="21"/>
  <c r="Q1823" i="21"/>
  <c r="Q1824" i="21"/>
  <c r="Q1825" i="21"/>
  <c r="Q1826" i="21"/>
  <c r="Q1829" i="21"/>
  <c r="Q1831" i="21"/>
  <c r="Q1832" i="21"/>
  <c r="Q1834" i="21"/>
  <c r="Q1835" i="21"/>
  <c r="Q1836" i="21"/>
  <c r="Q1837" i="21"/>
  <c r="Q1838" i="21"/>
  <c r="Q1840" i="21"/>
  <c r="Q1850" i="21"/>
  <c r="Q1852" i="21"/>
  <c r="Q1860" i="21"/>
  <c r="Q1861" i="21"/>
  <c r="Q1864" i="21"/>
  <c r="Q1866" i="21"/>
  <c r="Q1867" i="21"/>
  <c r="Q1870" i="21"/>
  <c r="Q1872" i="21"/>
  <c r="Q1877" i="21"/>
  <c r="Q1878" i="21"/>
  <c r="Q1879" i="21"/>
  <c r="Q1881" i="21"/>
  <c r="Q1886" i="21"/>
  <c r="Q1887" i="21"/>
  <c r="Q1888" i="21"/>
  <c r="Q1889" i="21"/>
  <c r="Q1890" i="21"/>
  <c r="Q1891" i="21"/>
  <c r="Q1893" i="21"/>
  <c r="Q1895" i="21"/>
  <c r="Q1896" i="21"/>
  <c r="Q1897" i="21"/>
  <c r="Q1898" i="21"/>
  <c r="Q1901" i="21"/>
  <c r="Q1907" i="21"/>
  <c r="Q1908" i="21"/>
  <c r="Q1910" i="21"/>
  <c r="Q1913" i="21"/>
  <c r="Q1914" i="21"/>
  <c r="Q1918" i="21"/>
  <c r="Q1921" i="21"/>
  <c r="Q1922" i="21"/>
  <c r="Q1927" i="21"/>
  <c r="Q1932" i="21"/>
  <c r="Q1933" i="21"/>
  <c r="Q1934" i="21"/>
  <c r="Q1944" i="21"/>
  <c r="Q1945" i="21"/>
  <c r="Q1947" i="21"/>
  <c r="Q1950" i="21"/>
  <c r="Q1952" i="21"/>
  <c r="Q1953" i="21"/>
  <c r="Q1956" i="21"/>
  <c r="Q1957" i="21"/>
  <c r="Q1958" i="21"/>
  <c r="Q1959" i="21"/>
  <c r="Q1961" i="21"/>
  <c r="Q1966" i="21"/>
  <c r="Q1968" i="21"/>
  <c r="Q1970" i="21"/>
  <c r="Q1973" i="21"/>
  <c r="Q1974" i="21"/>
  <c r="Q1975" i="21"/>
  <c r="Q1976" i="21"/>
  <c r="Q1977" i="21"/>
  <c r="Q1980" i="21"/>
  <c r="Q1982" i="21"/>
  <c r="Q1986" i="21"/>
  <c r="Q1987" i="21"/>
  <c r="Q1989" i="21"/>
  <c r="Q1990" i="21"/>
  <c r="Q1991" i="21"/>
  <c r="Q1993" i="21"/>
  <c r="Q1994" i="21"/>
  <c r="Q1995" i="21"/>
  <c r="Q1997" i="21"/>
  <c r="Q2000" i="21"/>
  <c r="Q2001" i="21"/>
  <c r="Q2002" i="21"/>
  <c r="Q2006" i="21"/>
  <c r="Q2007" i="21"/>
  <c r="Q2008" i="21"/>
  <c r="Q2010" i="21"/>
  <c r="Q2011" i="21"/>
  <c r="Q2012" i="21"/>
  <c r="Q2013" i="21"/>
  <c r="Q2014" i="21"/>
  <c r="Q2015" i="21"/>
  <c r="Q2016" i="21"/>
  <c r="Q2017" i="21"/>
  <c r="Q2018" i="21"/>
  <c r="Q2019" i="21"/>
  <c r="Q2020" i="21"/>
  <c r="Q2021" i="21"/>
  <c r="Q2023" i="21"/>
  <c r="Q2027" i="21"/>
  <c r="Q2029" i="21"/>
  <c r="Q2035" i="21"/>
  <c r="Q2037" i="21"/>
  <c r="Q2038" i="21"/>
  <c r="Q2040" i="21"/>
  <c r="Q2041" i="21"/>
  <c r="Q2042" i="21"/>
  <c r="Q2043" i="21"/>
  <c r="Q2044" i="21"/>
  <c r="Q2050" i="21"/>
  <c r="Q2053" i="21"/>
  <c r="Q2054" i="21"/>
  <c r="Q2060" i="21"/>
  <c r="Q2061" i="21"/>
  <c r="Q2067" i="21"/>
  <c r="Q2073" i="21"/>
  <c r="Q2074" i="21"/>
  <c r="Q2075" i="21"/>
  <c r="Q2083" i="21"/>
  <c r="Q2084" i="21"/>
  <c r="Q2086" i="21"/>
  <c r="Q2087" i="21"/>
  <c r="Q2088" i="21"/>
  <c r="Q2089" i="21"/>
  <c r="Q2090" i="21"/>
  <c r="Q2091" i="21"/>
  <c r="Q2092" i="21"/>
  <c r="Q2117" i="21"/>
  <c r="Q2119" i="21"/>
  <c r="Q2129" i="21"/>
  <c r="Q2130" i="21"/>
  <c r="Q2134" i="21"/>
  <c r="Q2141" i="21"/>
  <c r="Q2147" i="21"/>
  <c r="Q2148" i="21"/>
  <c r="Q2149" i="21"/>
  <c r="Q2154" i="21"/>
  <c r="Q2155" i="21"/>
  <c r="Q2162" i="21"/>
  <c r="Q2163" i="21"/>
  <c r="Q2166" i="21"/>
  <c r="Q2167" i="21"/>
  <c r="Q2169" i="21"/>
  <c r="Q2170" i="21"/>
  <c r="Q2171" i="21"/>
  <c r="Q2172" i="21"/>
  <c r="Q2176" i="21"/>
  <c r="Q2180" i="21"/>
  <c r="Q2186" i="21"/>
  <c r="Q2187" i="21"/>
  <c r="Q2190" i="21"/>
  <c r="Q2193" i="21"/>
  <c r="Q2210" i="21"/>
  <c r="Q2218" i="21"/>
  <c r="Q2224" i="21"/>
  <c r="Q2226" i="21"/>
  <c r="Q2233" i="21"/>
  <c r="Q2234" i="21"/>
  <c r="Q2243" i="21"/>
  <c r="Q2244" i="21"/>
  <c r="Q2254" i="21"/>
  <c r="Q2261" i="21"/>
  <c r="Q2262" i="21"/>
  <c r="Q2282" i="21"/>
  <c r="Q2283" i="21"/>
  <c r="Q2284" i="21"/>
  <c r="Q2286" i="21"/>
  <c r="Q2288" i="21"/>
  <c r="Q2290" i="21"/>
  <c r="Q2291" i="21"/>
  <c r="Q2292" i="21"/>
  <c r="Q2293" i="21"/>
  <c r="Q2296" i="21"/>
  <c r="Q2305" i="21"/>
  <c r="Q2307" i="21"/>
  <c r="Q2308" i="21"/>
  <c r="Q2309" i="21"/>
  <c r="Q2310" i="21"/>
  <c r="Q2311" i="21"/>
  <c r="Q2322" i="21"/>
  <c r="Q2325" i="21"/>
  <c r="Q2327" i="21"/>
  <c r="Q2328" i="21"/>
  <c r="Q2335" i="21"/>
  <c r="Q2336" i="21"/>
  <c r="Q2337" i="21"/>
  <c r="Q2343" i="21"/>
  <c r="Q2344" i="21"/>
  <c r="Q2348" i="21"/>
  <c r="Q2355" i="21"/>
  <c r="Q2362" i="21"/>
  <c r="Q2363" i="21"/>
  <c r="Q2367" i="21"/>
  <c r="Q2370" i="21"/>
  <c r="Q2373" i="21"/>
  <c r="Q2376" i="21"/>
  <c r="Q2381" i="21"/>
  <c r="Q2384" i="21"/>
  <c r="Q2388" i="21"/>
  <c r="Q2391" i="21"/>
  <c r="Q2393" i="21"/>
  <c r="Q2394" i="21"/>
  <c r="Q2399" i="21"/>
  <c r="Q2403" i="21"/>
  <c r="Q2404" i="21"/>
  <c r="Q2405" i="21"/>
  <c r="Q2409" i="21"/>
  <c r="Q2410" i="21"/>
  <c r="Q2413" i="21"/>
  <c r="Q2415" i="21"/>
  <c r="Q2416" i="21"/>
  <c r="Q2419" i="21"/>
  <c r="Q2424" i="21"/>
  <c r="Q2430" i="21"/>
  <c r="Q2435" i="21"/>
  <c r="Q2437" i="21"/>
  <c r="Q2442" i="21"/>
  <c r="Q2443" i="21"/>
  <c r="Q2444" i="21"/>
  <c r="Q2446" i="21"/>
  <c r="Q2449" i="21"/>
  <c r="Q2453" i="21"/>
  <c r="Q2459" i="21"/>
  <c r="Q2464" i="21"/>
  <c r="Q2507" i="21"/>
  <c r="Q2538" i="21"/>
  <c r="Q2543" i="21"/>
  <c r="Q2544" i="21"/>
  <c r="Q2548" i="21"/>
  <c r="Q2552" i="21"/>
  <c r="Q2554" i="21"/>
  <c r="Q2559" i="21"/>
  <c r="Q2560" i="21"/>
  <c r="Q2563" i="21"/>
  <c r="Q2564" i="21"/>
  <c r="Q2566" i="21"/>
  <c r="Q2567" i="21"/>
  <c r="Q2568" i="21"/>
  <c r="Q2570" i="21"/>
  <c r="Q2571" i="21"/>
  <c r="Q2572" i="21"/>
  <c r="Q2582" i="21"/>
  <c r="Q2583" i="21"/>
  <c r="Q2586" i="21"/>
  <c r="Q2587" i="21"/>
  <c r="Q2588" i="21"/>
  <c r="Q2592" i="21"/>
  <c r="Q2595" i="21"/>
  <c r="Q2596" i="21"/>
  <c r="Q2599" i="21"/>
  <c r="Q2605" i="21"/>
  <c r="Q2606" i="21"/>
  <c r="Q2609" i="21"/>
  <c r="Q2610" i="21"/>
  <c r="Q2611" i="21"/>
  <c r="Q2616" i="21"/>
  <c r="Q2617" i="21"/>
  <c r="Q2619" i="21"/>
  <c r="Q2629" i="21"/>
  <c r="Q2632" i="21"/>
  <c r="Q2633" i="21"/>
  <c r="Q2634" i="21"/>
  <c r="Q2635" i="21"/>
  <c r="Q2636" i="21"/>
  <c r="Q2638" i="21"/>
  <c r="Q2642" i="21"/>
  <c r="Q2643" i="21"/>
  <c r="Q2646" i="21"/>
  <c r="Q2647" i="21"/>
  <c r="Q2648" i="21"/>
  <c r="Q2649" i="21"/>
  <c r="Q2650" i="21"/>
  <c r="Q2651" i="21"/>
  <c r="Q2652" i="21"/>
  <c r="Q2653" i="21"/>
  <c r="Q2654" i="21"/>
  <c r="Q2655" i="21"/>
  <c r="Q2658" i="21"/>
  <c r="Q2659" i="21"/>
  <c r="Q2660" i="21"/>
  <c r="Q2664" i="21"/>
  <c r="Q2665" i="21"/>
  <c r="Q2666" i="21"/>
  <c r="Q2667" i="21"/>
  <c r="Q2671" i="21"/>
  <c r="Q2672" i="21"/>
  <c r="Q2673" i="21"/>
  <c r="Q2674" i="21"/>
  <c r="Q2676" i="21"/>
  <c r="Q2680" i="21"/>
  <c r="Q2683" i="21"/>
  <c r="Q2684" i="21"/>
  <c r="Q2685" i="21"/>
  <c r="Q2686" i="21"/>
  <c r="Q2687" i="21"/>
  <c r="Q2688" i="21"/>
  <c r="Q2692" i="21"/>
  <c r="Q2693" i="21"/>
  <c r="Q2694" i="21"/>
  <c r="Q2696" i="21"/>
  <c r="Q2699" i="21"/>
  <c r="Q2701" i="21"/>
  <c r="Q2704" i="21"/>
  <c r="Q2705" i="21"/>
  <c r="Q2706" i="21"/>
  <c r="Q2707" i="21"/>
  <c r="Q2709" i="21"/>
  <c r="Q2710" i="21"/>
  <c r="Q2711" i="21"/>
  <c r="Q2712" i="21"/>
  <c r="Q2715" i="21"/>
  <c r="Q2716" i="21"/>
  <c r="Q2717" i="21"/>
  <c r="Q2718" i="21"/>
  <c r="Q2720" i="21"/>
  <c r="Q2721" i="21"/>
  <c r="Q2722" i="21"/>
  <c r="Q2725" i="21"/>
  <c r="Q2727" i="21"/>
  <c r="Q2730" i="21"/>
  <c r="Q2732" i="21"/>
  <c r="Q2733" i="21"/>
  <c r="Q2734" i="21"/>
  <c r="Q2735" i="21"/>
  <c r="Q2736" i="21"/>
  <c r="Q2737" i="21"/>
  <c r="Q2739" i="21"/>
  <c r="Q2743" i="21"/>
  <c r="Q2745" i="21"/>
  <c r="Q2746" i="21"/>
  <c r="Q2747" i="21"/>
  <c r="Q2748" i="21"/>
  <c r="Q2749" i="21"/>
  <c r="Q2750" i="21"/>
  <c r="Q2752" i="21"/>
  <c r="Q2753" i="21"/>
  <c r="Q2755" i="21"/>
  <c r="Q2756" i="21"/>
  <c r="Q2757" i="21"/>
  <c r="Q2758" i="21"/>
  <c r="Q2759" i="21"/>
  <c r="Q2760" i="21"/>
  <c r="Q2761" i="21"/>
  <c r="Q2762" i="21"/>
  <c r="Q2763" i="21"/>
  <c r="Q2764" i="21"/>
  <c r="Q2765" i="21"/>
  <c r="Q2766" i="21"/>
  <c r="Q2767" i="21"/>
  <c r="Q2768" i="21"/>
  <c r="Q2772" i="21"/>
  <c r="Q2773" i="21"/>
  <c r="Q2774" i="21"/>
  <c r="Q2775" i="21"/>
  <c r="Q2776" i="21"/>
  <c r="Q2777" i="21"/>
  <c r="Q2778" i="21"/>
  <c r="Q2779" i="21"/>
  <c r="Q2780" i="21"/>
  <c r="Q2781" i="21"/>
  <c r="Q2782" i="21"/>
  <c r="Q2786" i="21"/>
  <c r="Q2789" i="21"/>
  <c r="Q2790" i="21"/>
  <c r="Q2791" i="21"/>
  <c r="Q2793" i="21"/>
  <c r="Q2795" i="21"/>
  <c r="Q2796" i="21"/>
  <c r="Q2798" i="21"/>
  <c r="Q2799" i="21"/>
  <c r="Q2800" i="21"/>
  <c r="Q2801" i="21"/>
  <c r="Q2802" i="21"/>
  <c r="Q2803" i="21"/>
  <c r="Q2804" i="21"/>
  <c r="Q2805" i="21"/>
  <c r="Q2806" i="21"/>
  <c r="Q2807" i="21"/>
  <c r="Q2808" i="21"/>
  <c r="Q2809" i="21"/>
  <c r="Q2810" i="21"/>
  <c r="Q2811" i="21"/>
  <c r="Q2813" i="21"/>
  <c r="Q2814" i="21"/>
  <c r="Q2815" i="21"/>
  <c r="Q2816" i="21"/>
  <c r="Q2817" i="21"/>
  <c r="Q2818" i="21"/>
  <c r="Q2819" i="21"/>
  <c r="Q2821" i="21"/>
  <c r="Q2822" i="21"/>
  <c r="Q2823" i="21"/>
  <c r="Q2825" i="21"/>
  <c r="Q2827" i="21"/>
  <c r="Q2828" i="21"/>
  <c r="Q2830" i="21"/>
  <c r="Q2833" i="21"/>
  <c r="Q2834" i="21"/>
  <c r="Q2835" i="21"/>
  <c r="Q2836" i="21"/>
  <c r="Q2838" i="21"/>
  <c r="Q2842" i="21"/>
  <c r="Q2843" i="21"/>
  <c r="Q2844" i="21"/>
  <c r="Q2845" i="21"/>
  <c r="Q2846" i="21"/>
  <c r="Q2847" i="21"/>
  <c r="Q2848" i="21"/>
  <c r="Q2849" i="21"/>
  <c r="Q2850" i="21"/>
  <c r="Q2852" i="21"/>
  <c r="Q2853" i="21"/>
  <c r="Q2854" i="21"/>
  <c r="Q2855" i="21"/>
  <c r="Q2859" i="21"/>
  <c r="Q2860" i="21"/>
  <c r="Q2862" i="21"/>
  <c r="Q2863" i="21"/>
  <c r="Q2864" i="21"/>
  <c r="Q2866" i="21"/>
  <c r="Q2867" i="21"/>
  <c r="Q2868" i="21"/>
  <c r="Q2870" i="21"/>
  <c r="Q2871" i="21"/>
  <c r="Q2872" i="21"/>
  <c r="Q2873" i="21"/>
  <c r="Q2874" i="21"/>
  <c r="Q2875" i="21"/>
  <c r="Q2876" i="21"/>
  <c r="Q2877" i="21"/>
  <c r="Q2878" i="21"/>
  <c r="Q2879" i="21"/>
  <c r="Q2880" i="21"/>
  <c r="Q2881" i="21"/>
  <c r="Q2882" i="21"/>
  <c r="Q2884" i="21"/>
  <c r="Q2885" i="21"/>
  <c r="Q2886" i="21"/>
  <c r="Q2887" i="21"/>
  <c r="Q3" i="21"/>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T70" i="18" l="1"/>
  <c r="G79" i="18"/>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D110" i="18"/>
  <c r="T62" i="18"/>
  <c r="T63" i="18"/>
  <c r="T72" i="18"/>
  <c r="T74" i="18"/>
  <c r="T76" i="18"/>
  <c r="T67" i="18"/>
  <c r="T64" i="18"/>
  <c r="T65" i="18"/>
  <c r="T71" i="18"/>
  <c r="T73" i="18"/>
  <c r="T75" i="18"/>
  <c r="T66" i="18"/>
  <c r="T68" i="18"/>
  <c r="T69" i="18"/>
  <c r="T104" i="18" l="1"/>
  <c r="T101" i="18"/>
  <c r="T99" i="18"/>
  <c r="T105" i="18"/>
  <c r="T107" i="18"/>
  <c r="T106" i="18"/>
  <c r="T94" i="18"/>
  <c r="T100" i="18"/>
  <c r="T97" i="18"/>
  <c r="T95" i="18"/>
  <c r="T96" i="18"/>
  <c r="T93" i="18"/>
  <c r="T98" i="18"/>
  <c r="T103" i="18"/>
  <c r="T102" i="18"/>
  <c r="G110" i="18"/>
  <c r="D141" i="18"/>
  <c r="O21" i="7"/>
  <c r="G141" i="18" l="1"/>
  <c r="D172" i="18"/>
  <c r="B109" i="18"/>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T137" i="18"/>
  <c r="T138" i="18"/>
  <c r="T135" i="18"/>
  <c r="T136" i="18"/>
  <c r="T133" i="18"/>
  <c r="T134" i="18"/>
  <c r="T129" i="18"/>
  <c r="T131" i="18"/>
  <c r="N114" i="18"/>
  <c r="O112" i="18"/>
  <c r="T125" i="18"/>
  <c r="T132" i="18"/>
  <c r="N112" i="18"/>
  <c r="T127" i="18"/>
  <c r="T126" i="18"/>
  <c r="T128" i="18"/>
  <c r="T124" i="18"/>
  <c r="T130" i="18"/>
  <c r="O114" i="18"/>
  <c r="C22" i="6" a="1"/>
  <c r="C22" i="6" s="1"/>
  <c r="C23" i="6" a="1"/>
  <c r="C23" i="6" s="1"/>
  <c r="C24" i="6" a="1"/>
  <c r="C24" i="6" s="1"/>
  <c r="C25" i="6" a="1"/>
  <c r="C25" i="6" s="1"/>
  <c r="C26" i="6" a="1"/>
  <c r="C26" i="6" s="1"/>
  <c r="C27" i="6" a="1"/>
  <c r="C27" i="6" s="1"/>
  <c r="C28" i="6" a="1"/>
  <c r="C28" i="6" s="1"/>
  <c r="C29" i="6" a="1"/>
  <c r="C29" i="6" s="1"/>
  <c r="C30" i="6" a="1"/>
  <c r="C30" i="6" s="1"/>
  <c r="C31" i="6" a="1"/>
  <c r="C31" i="6" s="1"/>
  <c r="C32" i="6" a="1"/>
  <c r="C32" i="6" s="1"/>
  <c r="C33" i="6" a="1"/>
  <c r="C33" i="6" s="1"/>
  <c r="C34" i="6" a="1"/>
  <c r="C34" i="6" s="1"/>
  <c r="C35" i="6" a="1"/>
  <c r="C35" i="6" s="1"/>
  <c r="C36" i="6" a="1"/>
  <c r="C36" i="6" s="1"/>
  <c r="C37" i="6" a="1"/>
  <c r="C37" i="6" s="1"/>
  <c r="C38" i="6" a="1"/>
  <c r="C38" i="6" s="1"/>
  <c r="C39" i="6" a="1"/>
  <c r="C39" i="6" s="1"/>
  <c r="C40" i="6" a="1"/>
  <c r="C40" i="6" s="1"/>
  <c r="C41" i="6" a="1"/>
  <c r="C41" i="6" s="1"/>
  <c r="C42" i="6" a="1"/>
  <c r="C42" i="6" s="1"/>
  <c r="C43" i="6" a="1"/>
  <c r="C43" i="6" s="1"/>
  <c r="C44" i="6" a="1"/>
  <c r="C44" i="6" s="1"/>
  <c r="C45" i="6" a="1"/>
  <c r="C45" i="6" s="1"/>
  <c r="C46" i="6" a="1"/>
  <c r="C46" i="6" s="1"/>
  <c r="C47" i="6" a="1"/>
  <c r="C47" i="6" s="1"/>
  <c r="C48" i="6" a="1"/>
  <c r="C48" i="6" s="1"/>
  <c r="C49" i="6" a="1"/>
  <c r="C49" i="6" s="1"/>
  <c r="C50" i="6" a="1"/>
  <c r="C50" i="6" s="1"/>
  <c r="C51" i="6" a="1"/>
  <c r="C51" i="6" s="1"/>
  <c r="C52" i="6" a="1"/>
  <c r="C52" i="6" s="1"/>
  <c r="C53" i="6" a="1"/>
  <c r="C53" i="6" s="1"/>
  <c r="C54" i="6" a="1"/>
  <c r="C54" i="6" s="1"/>
  <c r="C55" i="6" a="1"/>
  <c r="C55" i="6" s="1"/>
  <c r="C56" i="6" a="1"/>
  <c r="C56" i="6" s="1"/>
  <c r="C57" i="6" a="1"/>
  <c r="C57" i="6" s="1"/>
  <c r="C58" i="6" a="1"/>
  <c r="C58" i="6" s="1"/>
  <c r="C59" i="6" a="1"/>
  <c r="C59" i="6" s="1"/>
  <c r="C60" i="6" a="1"/>
  <c r="C60" i="6" s="1"/>
  <c r="C61" i="6" a="1"/>
  <c r="C61" i="6" s="1"/>
  <c r="C62" i="6" a="1"/>
  <c r="C62" i="6" s="1"/>
  <c r="C63" i="6" a="1"/>
  <c r="C63" i="6" s="1"/>
  <c r="C64" i="6" a="1"/>
  <c r="C64" i="6" s="1"/>
  <c r="C65" i="6" a="1"/>
  <c r="C65" i="6" s="1"/>
  <c r="C66" i="6" a="1"/>
  <c r="C66" i="6" s="1"/>
  <c r="C67" i="6" a="1"/>
  <c r="C67" i="6" s="1"/>
  <c r="C68" i="6" a="1"/>
  <c r="C68" i="6" s="1"/>
  <c r="C69" i="6" a="1"/>
  <c r="C69" i="6" s="1"/>
  <c r="C70" i="6" a="1"/>
  <c r="C70" i="6" s="1"/>
  <c r="C71" i="6" a="1"/>
  <c r="C71" i="6" s="1"/>
  <c r="C72" i="6" a="1"/>
  <c r="C72" i="6" s="1"/>
  <c r="C73" i="6" a="1"/>
  <c r="C73" i="6" s="1"/>
  <c r="C74" i="6" a="1"/>
  <c r="C74" i="6" s="1"/>
  <c r="C75" i="6" a="1"/>
  <c r="C75" i="6" s="1"/>
  <c r="C76" i="6" a="1"/>
  <c r="C76" i="6" s="1"/>
  <c r="C77" i="6" a="1"/>
  <c r="C77" i="6" s="1"/>
  <c r="C78" i="6" a="1"/>
  <c r="C78" i="6" s="1"/>
  <c r="C79" i="6" a="1"/>
  <c r="C79" i="6" s="1"/>
  <c r="C80" i="6" a="1"/>
  <c r="C80" i="6" s="1"/>
  <c r="C81" i="6" a="1"/>
  <c r="C81" i="6" s="1"/>
  <c r="C82" i="6" a="1"/>
  <c r="C82" i="6" s="1"/>
  <c r="C83" i="6" a="1"/>
  <c r="C83" i="6" s="1"/>
  <c r="C84" i="6" a="1"/>
  <c r="C84" i="6" s="1"/>
  <c r="C85" i="6" a="1"/>
  <c r="C85" i="6" s="1"/>
  <c r="C86" i="6" a="1"/>
  <c r="C86" i="6" s="1"/>
  <c r="C87" i="6" a="1"/>
  <c r="C87" i="6" s="1"/>
  <c r="C88" i="6" a="1"/>
  <c r="C88" i="6" s="1"/>
  <c r="C89" i="6" a="1"/>
  <c r="C89" i="6" s="1"/>
  <c r="C90" i="6" a="1"/>
  <c r="C90" i="6" s="1"/>
  <c r="C91" i="6" a="1"/>
  <c r="C91" i="6" s="1"/>
  <c r="C92" i="6" a="1"/>
  <c r="C92" i="6" s="1"/>
  <c r="C93" i="6" a="1"/>
  <c r="C93" i="6" s="1"/>
  <c r="C94" i="6" a="1"/>
  <c r="C94" i="6" s="1"/>
  <c r="C95" i="6" a="1"/>
  <c r="C95" i="6" s="1"/>
  <c r="C96" i="6" a="1"/>
  <c r="C96" i="6" s="1"/>
  <c r="C97" i="6" a="1"/>
  <c r="C97" i="6" s="1"/>
  <c r="C98" i="6" a="1"/>
  <c r="C98" i="6" s="1"/>
  <c r="C99" i="6" a="1"/>
  <c r="C99" i="6" s="1"/>
  <c r="C100" i="6" a="1"/>
  <c r="C100" i="6" s="1"/>
  <c r="C101" i="6" a="1"/>
  <c r="C101" i="6" s="1"/>
  <c r="C102" i="6" a="1"/>
  <c r="C102" i="6" s="1"/>
  <c r="C103" i="6" a="1"/>
  <c r="C103" i="6" s="1"/>
  <c r="C104" i="6" a="1"/>
  <c r="C104" i="6" s="1"/>
  <c r="C105" i="6" a="1"/>
  <c r="C105" i="6" s="1"/>
  <c r="C106" i="6" a="1"/>
  <c r="C106" i="6" s="1"/>
  <c r="C107" i="6" a="1"/>
  <c r="C107" i="6" s="1"/>
  <c r="C108" i="6" a="1"/>
  <c r="C108" i="6" s="1"/>
  <c r="C109" i="6" a="1"/>
  <c r="C109" i="6" s="1"/>
  <c r="C110" i="6" a="1"/>
  <c r="C110" i="6" s="1"/>
  <c r="C111" i="6" a="1"/>
  <c r="C111" i="6" s="1"/>
  <c r="C112" i="6" a="1"/>
  <c r="C112" i="6" s="1"/>
  <c r="C113" i="6" a="1"/>
  <c r="C113" i="6" s="1"/>
  <c r="C114" i="6" a="1"/>
  <c r="C114" i="6" s="1"/>
  <c r="C115" i="6" a="1"/>
  <c r="C115" i="6" s="1"/>
  <c r="C116" i="6" a="1"/>
  <c r="C116" i="6" s="1"/>
  <c r="C117" i="6" a="1"/>
  <c r="C117" i="6" s="1"/>
  <c r="C118" i="6" a="1"/>
  <c r="C118" i="6" s="1"/>
  <c r="C119" i="6" a="1"/>
  <c r="C119" i="6" s="1"/>
  <c r="C120" i="6" a="1"/>
  <c r="C120" i="6" s="1"/>
  <c r="C121" i="6" a="1"/>
  <c r="C121" i="6" s="1"/>
  <c r="C122" i="6" a="1"/>
  <c r="C122" i="6" s="1"/>
  <c r="C123" i="6" a="1"/>
  <c r="C123" i="6" s="1"/>
  <c r="C124" i="6" a="1"/>
  <c r="C124" i="6" s="1"/>
  <c r="C125" i="6" a="1"/>
  <c r="C125" i="6" s="1"/>
  <c r="C126" i="6" a="1"/>
  <c r="C126" i="6" s="1"/>
  <c r="C127" i="6" a="1"/>
  <c r="C127" i="6" s="1"/>
  <c r="C128" i="6" a="1"/>
  <c r="C128" i="6" s="1"/>
  <c r="C129" i="6" a="1"/>
  <c r="C129" i="6" s="1"/>
  <c r="C130" i="6" a="1"/>
  <c r="C130" i="6" s="1"/>
  <c r="C131" i="6" a="1"/>
  <c r="C131" i="6" s="1"/>
  <c r="C132" i="6" a="1"/>
  <c r="C132" i="6" s="1"/>
  <c r="C133" i="6" a="1"/>
  <c r="C133" i="6" s="1"/>
  <c r="C134" i="6" a="1"/>
  <c r="C134" i="6" s="1"/>
  <c r="C135" i="6" a="1"/>
  <c r="C135" i="6" s="1"/>
  <c r="C136" i="6" a="1"/>
  <c r="C136" i="6" s="1"/>
  <c r="C137" i="6" a="1"/>
  <c r="C137" i="6" s="1"/>
  <c r="C138" i="6" a="1"/>
  <c r="C138" i="6" s="1"/>
  <c r="C139" i="6" a="1"/>
  <c r="C139" i="6" s="1"/>
  <c r="C140" i="6" a="1"/>
  <c r="C140" i="6" s="1"/>
  <c r="C141" i="6" a="1"/>
  <c r="C141" i="6" s="1"/>
  <c r="C142" i="6" a="1"/>
  <c r="C142" i="6" s="1"/>
  <c r="C143" i="6" a="1"/>
  <c r="C143" i="6" s="1"/>
  <c r="C144" i="6" a="1"/>
  <c r="C144" i="6" s="1"/>
  <c r="C145" i="6" a="1"/>
  <c r="C145" i="6" s="1"/>
  <c r="C146" i="6" a="1"/>
  <c r="C146" i="6" s="1"/>
  <c r="C147" i="6" a="1"/>
  <c r="C147" i="6" s="1"/>
  <c r="C148" i="6" a="1"/>
  <c r="C148" i="6" s="1"/>
  <c r="C149" i="6" a="1"/>
  <c r="C149" i="6" s="1"/>
  <c r="C150" i="6" a="1"/>
  <c r="C150" i="6" s="1"/>
  <c r="C151" i="6" a="1"/>
  <c r="C151" i="6" s="1"/>
  <c r="C152" i="6" a="1"/>
  <c r="C152" i="6" s="1"/>
  <c r="C153" i="6" a="1"/>
  <c r="C153" i="6" s="1"/>
  <c r="C154" i="6" a="1"/>
  <c r="C154" i="6" s="1"/>
  <c r="C155" i="6" a="1"/>
  <c r="C155" i="6" s="1"/>
  <c r="C156" i="6" a="1"/>
  <c r="C156" i="6" s="1"/>
  <c r="C157" i="6" a="1"/>
  <c r="C157" i="6" s="1"/>
  <c r="C158" i="6" a="1"/>
  <c r="C158" i="6" s="1"/>
  <c r="C159" i="6" a="1"/>
  <c r="C159" i="6" s="1"/>
  <c r="C160" i="6" a="1"/>
  <c r="C160" i="6" s="1"/>
  <c r="C161" i="6" a="1"/>
  <c r="C161" i="6" s="1"/>
  <c r="C162" i="6" a="1"/>
  <c r="C162" i="6" s="1"/>
  <c r="C163" i="6" a="1"/>
  <c r="C163" i="6" s="1"/>
  <c r="C164" i="6" a="1"/>
  <c r="C164" i="6" s="1"/>
  <c r="C165" i="6" a="1"/>
  <c r="C165" i="6" s="1"/>
  <c r="C166" i="6" a="1"/>
  <c r="C166" i="6" s="1"/>
  <c r="C167" i="6" a="1"/>
  <c r="C167" i="6" s="1"/>
  <c r="C168" i="6" a="1"/>
  <c r="C168" i="6" s="1"/>
  <c r="C169" i="6" a="1"/>
  <c r="C169" i="6" s="1"/>
  <c r="C170" i="6" a="1"/>
  <c r="C170" i="6" s="1"/>
  <c r="C171" i="6" a="1"/>
  <c r="C171" i="6" s="1"/>
  <c r="C172" i="6" a="1"/>
  <c r="C172" i="6" s="1"/>
  <c r="C173" i="6" a="1"/>
  <c r="C173" i="6" s="1"/>
  <c r="C174" i="6" a="1"/>
  <c r="C174" i="6" s="1"/>
  <c r="C175" i="6" a="1"/>
  <c r="C175" i="6" s="1"/>
  <c r="C176" i="6" a="1"/>
  <c r="C176" i="6" s="1"/>
  <c r="C177" i="6" a="1"/>
  <c r="C177" i="6" s="1"/>
  <c r="C178" i="6" a="1"/>
  <c r="C178" i="6" s="1"/>
  <c r="C179" i="6" a="1"/>
  <c r="C179" i="6" s="1"/>
  <c r="C180" i="6" a="1"/>
  <c r="C180" i="6" s="1"/>
  <c r="C181" i="6" a="1"/>
  <c r="C181" i="6" s="1"/>
  <c r="C182" i="6" a="1"/>
  <c r="C182" i="6" s="1"/>
  <c r="C183" i="6" a="1"/>
  <c r="C183" i="6" s="1"/>
  <c r="C184" i="6" a="1"/>
  <c r="C184" i="6" s="1"/>
  <c r="C185" i="6" a="1"/>
  <c r="C185" i="6" s="1"/>
  <c r="C186" i="6" a="1"/>
  <c r="C186" i="6" s="1"/>
  <c r="C187" i="6" a="1"/>
  <c r="C187" i="6" s="1"/>
  <c r="C188" i="6" a="1"/>
  <c r="C188" i="6" s="1"/>
  <c r="C189" i="6" a="1"/>
  <c r="C189" i="6" s="1"/>
  <c r="C190" i="6" a="1"/>
  <c r="C190" i="6" s="1"/>
  <c r="C191" i="6" a="1"/>
  <c r="C191" i="6" s="1"/>
  <c r="C192" i="6" a="1"/>
  <c r="C192" i="6" s="1"/>
  <c r="C193" i="6" a="1"/>
  <c r="C193" i="6" s="1"/>
  <c r="C194" i="6" a="1"/>
  <c r="C194" i="6" s="1"/>
  <c r="C195" i="6" a="1"/>
  <c r="C195" i="6" s="1"/>
  <c r="C196" i="6" a="1"/>
  <c r="C196" i="6" s="1"/>
  <c r="C197" i="6" a="1"/>
  <c r="C197" i="6" s="1"/>
  <c r="C198" i="6" a="1"/>
  <c r="C198" i="6" s="1"/>
  <c r="C199" i="6" a="1"/>
  <c r="C199" i="6" s="1"/>
  <c r="C200" i="6" a="1"/>
  <c r="C200" i="6" s="1"/>
  <c r="C201" i="6" a="1"/>
  <c r="C201" i="6" s="1"/>
  <c r="C202" i="6" a="1"/>
  <c r="C202" i="6" s="1"/>
  <c r="C203" i="6" a="1"/>
  <c r="C203" i="6" s="1"/>
  <c r="C204" i="6" a="1"/>
  <c r="C204" i="6" s="1"/>
  <c r="C205" i="6" a="1"/>
  <c r="C205" i="6" s="1"/>
  <c r="C206" i="6" a="1"/>
  <c r="C206" i="6" s="1"/>
  <c r="C207" i="6" a="1"/>
  <c r="C207" i="6" s="1"/>
  <c r="C208" i="6" a="1"/>
  <c r="C208" i="6" s="1"/>
  <c r="C209" i="6" a="1"/>
  <c r="C209" i="6" s="1"/>
  <c r="C210" i="6" a="1"/>
  <c r="C210" i="6" s="1"/>
  <c r="C211" i="6" a="1"/>
  <c r="C211" i="6" s="1"/>
  <c r="C212" i="6" a="1"/>
  <c r="C212" i="6" s="1"/>
  <c r="C213" i="6" a="1"/>
  <c r="C213" i="6" s="1"/>
  <c r="C214" i="6" a="1"/>
  <c r="C214" i="6" s="1"/>
  <c r="C215" i="6" a="1"/>
  <c r="C215" i="6" s="1"/>
  <c r="C216" i="6" a="1"/>
  <c r="C216" i="6" s="1"/>
  <c r="C217" i="6" a="1"/>
  <c r="C217" i="6" s="1"/>
  <c r="C218" i="6" a="1"/>
  <c r="C218" i="6" s="1"/>
  <c r="C219" i="6" a="1"/>
  <c r="C219" i="6" s="1"/>
  <c r="C220" i="6" a="1"/>
  <c r="C220" i="6" s="1"/>
  <c r="C221" i="6" a="1"/>
  <c r="C221" i="6" s="1"/>
  <c r="C222" i="6" a="1"/>
  <c r="C222" i="6" s="1"/>
  <c r="C223" i="6" a="1"/>
  <c r="C223" i="6" s="1"/>
  <c r="C224" i="6" a="1"/>
  <c r="C224" i="6" s="1"/>
  <c r="C225" i="6" a="1"/>
  <c r="C225" i="6" s="1"/>
  <c r="C226" i="6" a="1"/>
  <c r="C226" i="6" s="1"/>
  <c r="C227" i="6" a="1"/>
  <c r="C227" i="6" s="1"/>
  <c r="C228" i="6" a="1"/>
  <c r="C228" i="6" s="1"/>
  <c r="C229" i="6" a="1"/>
  <c r="C229" i="6" s="1"/>
  <c r="C230" i="6" a="1"/>
  <c r="C230" i="6" s="1"/>
  <c r="C231" i="6" a="1"/>
  <c r="C231" i="6" s="1"/>
  <c r="C232" i="6" a="1"/>
  <c r="C232" i="6" s="1"/>
  <c r="C233" i="6" a="1"/>
  <c r="C233" i="6" s="1"/>
  <c r="C234" i="6" a="1"/>
  <c r="C234" i="6" s="1"/>
  <c r="C235" i="6" a="1"/>
  <c r="C235" i="6" s="1"/>
  <c r="C236" i="6" a="1"/>
  <c r="C236" i="6" s="1"/>
  <c r="C237" i="6" a="1"/>
  <c r="C237" i="6" s="1"/>
  <c r="C238" i="6" a="1"/>
  <c r="C238" i="6" s="1"/>
  <c r="C239" i="6" a="1"/>
  <c r="C239" i="6" s="1"/>
  <c r="C240" i="6" a="1"/>
  <c r="C240" i="6" s="1"/>
  <c r="C241" i="6" a="1"/>
  <c r="C241" i="6" s="1"/>
  <c r="C242" i="6" a="1"/>
  <c r="C242" i="6" s="1"/>
  <c r="C243" i="6" a="1"/>
  <c r="C243" i="6" s="1"/>
  <c r="C244" i="6" a="1"/>
  <c r="C244" i="6" s="1"/>
  <c r="C245" i="6" a="1"/>
  <c r="C245" i="6" s="1"/>
  <c r="C246" i="6" a="1"/>
  <c r="C246" i="6" s="1"/>
  <c r="C247" i="6" a="1"/>
  <c r="C247" i="6" s="1"/>
  <c r="C248" i="6" a="1"/>
  <c r="C248" i="6" s="1"/>
  <c r="C249" i="6" a="1"/>
  <c r="C249" i="6" s="1"/>
  <c r="C250" i="6" a="1"/>
  <c r="C250" i="6" s="1"/>
  <c r="C251" i="6" a="1"/>
  <c r="C251" i="6" s="1"/>
  <c r="C252" i="6" a="1"/>
  <c r="C252" i="6" s="1"/>
  <c r="C253" i="6" a="1"/>
  <c r="C253" i="6" s="1"/>
  <c r="C254" i="6" a="1"/>
  <c r="C254" i="6" s="1"/>
  <c r="C255" i="6" a="1"/>
  <c r="C255" i="6" s="1"/>
  <c r="C256" i="6" a="1"/>
  <c r="C256" i="6" s="1"/>
  <c r="C257" i="6" a="1"/>
  <c r="C257" i="6" s="1"/>
  <c r="C258" i="6" a="1"/>
  <c r="C258" i="6" s="1"/>
  <c r="C259" i="6" a="1"/>
  <c r="C259" i="6" s="1"/>
  <c r="C260" i="6" a="1"/>
  <c r="C260" i="6" s="1"/>
  <c r="C261" i="6" a="1"/>
  <c r="C261" i="6" s="1"/>
  <c r="C262" i="6" a="1"/>
  <c r="C262" i="6" s="1"/>
  <c r="C263" i="6" a="1"/>
  <c r="C263" i="6" s="1"/>
  <c r="C264" i="6" a="1"/>
  <c r="C264" i="6" s="1"/>
  <c r="C265" i="6" a="1"/>
  <c r="C265" i="6" s="1"/>
  <c r="C266" i="6" a="1"/>
  <c r="C266" i="6" s="1"/>
  <c r="C267" i="6" a="1"/>
  <c r="C267" i="6" s="1"/>
  <c r="C268" i="6" a="1"/>
  <c r="C268" i="6" s="1"/>
  <c r="C269" i="6" a="1"/>
  <c r="C269" i="6" s="1"/>
  <c r="C270" i="6" a="1"/>
  <c r="C270" i="6" s="1"/>
  <c r="C271" i="6" a="1"/>
  <c r="C271" i="6" s="1"/>
  <c r="C272" i="6" a="1"/>
  <c r="C272" i="6" s="1"/>
  <c r="C273" i="6" a="1"/>
  <c r="C273" i="6" s="1"/>
  <c r="C274" i="6" a="1"/>
  <c r="C274" i="6" s="1"/>
  <c r="C275" i="6" a="1"/>
  <c r="C275" i="6" s="1"/>
  <c r="C276" i="6" a="1"/>
  <c r="C276" i="6" s="1"/>
  <c r="C277" i="6" a="1"/>
  <c r="C277" i="6" s="1"/>
  <c r="C278" i="6" a="1"/>
  <c r="C278" i="6" s="1"/>
  <c r="C279" i="6" a="1"/>
  <c r="C279" i="6" s="1"/>
  <c r="C280" i="6" a="1"/>
  <c r="C280" i="6" s="1"/>
  <c r="C281" i="6" a="1"/>
  <c r="C281" i="6" s="1"/>
  <c r="C282" i="6" a="1"/>
  <c r="C282" i="6" s="1"/>
  <c r="C283" i="6" a="1"/>
  <c r="C283" i="6" s="1"/>
  <c r="C284" i="6" a="1"/>
  <c r="C284" i="6" s="1"/>
  <c r="C285" i="6" a="1"/>
  <c r="C285" i="6" s="1"/>
  <c r="C286" i="6" a="1"/>
  <c r="C286" i="6" s="1"/>
  <c r="C287" i="6" a="1"/>
  <c r="C287" i="6" s="1"/>
  <c r="C288" i="6" a="1"/>
  <c r="C288" i="6" s="1"/>
  <c r="C289" i="6" a="1"/>
  <c r="C289" i="6" s="1"/>
  <c r="C290" i="6" a="1"/>
  <c r="C290" i="6" s="1"/>
  <c r="C291" i="6" a="1"/>
  <c r="C291" i="6" s="1"/>
  <c r="C292" i="6" a="1"/>
  <c r="C292" i="6" s="1"/>
  <c r="C293" i="6" a="1"/>
  <c r="C293" i="6" s="1"/>
  <c r="C294" i="6" a="1"/>
  <c r="C294" i="6" s="1"/>
  <c r="C295" i="6" a="1"/>
  <c r="C295" i="6" s="1"/>
  <c r="C296" i="6" a="1"/>
  <c r="C296" i="6" s="1"/>
  <c r="C297" i="6" a="1"/>
  <c r="C297" i="6" s="1"/>
  <c r="C298" i="6" a="1"/>
  <c r="C298" i="6" s="1"/>
  <c r="C299" i="6" a="1"/>
  <c r="C299" i="6" s="1"/>
  <c r="C300" i="6" a="1"/>
  <c r="C300" i="6" s="1"/>
  <c r="C301" i="6" a="1"/>
  <c r="C301" i="6" s="1"/>
  <c r="C302" i="6" a="1"/>
  <c r="C302" i="6" s="1"/>
  <c r="C303" i="6" a="1"/>
  <c r="C303" i="6" s="1"/>
  <c r="C304" i="6" a="1"/>
  <c r="C304" i="6" s="1"/>
  <c r="C305" i="6" a="1"/>
  <c r="C305" i="6" s="1"/>
  <c r="C306" i="6" a="1"/>
  <c r="C306" i="6" s="1"/>
  <c r="C307" i="6" a="1"/>
  <c r="C307" i="6" s="1"/>
  <c r="C308" i="6" a="1"/>
  <c r="C308" i="6" s="1"/>
  <c r="C309" i="6" a="1"/>
  <c r="C309" i="6" s="1"/>
  <c r="C310" i="6" a="1"/>
  <c r="C310" i="6" s="1"/>
  <c r="C311" i="6" a="1"/>
  <c r="C311" i="6" s="1"/>
  <c r="C312" i="6" a="1"/>
  <c r="C312" i="6" s="1"/>
  <c r="C313" i="6" a="1"/>
  <c r="C313" i="6" s="1"/>
  <c r="C314" i="6" a="1"/>
  <c r="C314" i="6" s="1"/>
  <c r="C315" i="6" a="1"/>
  <c r="C315" i="6" s="1"/>
  <c r="C316" i="6" a="1"/>
  <c r="C316" i="6" s="1"/>
  <c r="C317" i="6" a="1"/>
  <c r="C317" i="6" s="1"/>
  <c r="C318" i="6" a="1"/>
  <c r="C318" i="6" s="1"/>
  <c r="C319" i="6" a="1"/>
  <c r="C319" i="6" s="1"/>
  <c r="C320" i="6" a="1"/>
  <c r="C320" i="6" s="1"/>
  <c r="C321" i="6" a="1"/>
  <c r="C321" i="6" s="1"/>
  <c r="C322" i="6" a="1"/>
  <c r="C322" i="6" s="1"/>
  <c r="C323" i="6" a="1"/>
  <c r="C323" i="6" s="1"/>
  <c r="C324" i="6" a="1"/>
  <c r="C324" i="6" s="1"/>
  <c r="C325" i="6" a="1"/>
  <c r="C325" i="6" s="1"/>
  <c r="C326" i="6" a="1"/>
  <c r="C326" i="6" s="1"/>
  <c r="C327" i="6" a="1"/>
  <c r="C327" i="6" s="1"/>
  <c r="C328" i="6" a="1"/>
  <c r="C328" i="6" s="1"/>
  <c r="C329" i="6" a="1"/>
  <c r="C329" i="6" s="1"/>
  <c r="C330" i="6" a="1"/>
  <c r="C330" i="6" s="1"/>
  <c r="C331" i="6" a="1"/>
  <c r="C331" i="6" s="1"/>
  <c r="C332" i="6" a="1"/>
  <c r="C332" i="6" s="1"/>
  <c r="C333" i="6" a="1"/>
  <c r="C333" i="6" s="1"/>
  <c r="C334" i="6" a="1"/>
  <c r="C334" i="6" s="1"/>
  <c r="C335" i="6" a="1"/>
  <c r="C335" i="6" s="1"/>
  <c r="C336" i="6" a="1"/>
  <c r="C336" i="6" s="1"/>
  <c r="C337" i="6" a="1"/>
  <c r="C337" i="6" s="1"/>
  <c r="C338" i="6" a="1"/>
  <c r="C338" i="6" s="1"/>
  <c r="C339" i="6" a="1"/>
  <c r="C339" i="6" s="1"/>
  <c r="C340" i="6" a="1"/>
  <c r="C340" i="6" s="1"/>
  <c r="C341" i="6" a="1"/>
  <c r="C341" i="6" s="1"/>
  <c r="C342" i="6" a="1"/>
  <c r="C342" i="6" s="1"/>
  <c r="C343" i="6" a="1"/>
  <c r="C343" i="6" s="1"/>
  <c r="C344" i="6" a="1"/>
  <c r="C344" i="6" s="1"/>
  <c r="C345" i="6" a="1"/>
  <c r="C345" i="6" s="1"/>
  <c r="C346" i="6" a="1"/>
  <c r="C346" i="6" s="1"/>
  <c r="C347" i="6" a="1"/>
  <c r="C347" i="6" s="1"/>
  <c r="C348" i="6" a="1"/>
  <c r="C348" i="6" s="1"/>
  <c r="C349" i="6" a="1"/>
  <c r="C349" i="6" s="1"/>
  <c r="C350" i="6" a="1"/>
  <c r="C350" i="6" s="1"/>
  <c r="C351" i="6" a="1"/>
  <c r="C351" i="6" s="1"/>
  <c r="C352" i="6" a="1"/>
  <c r="C352" i="6" s="1"/>
  <c r="C353" i="6" a="1"/>
  <c r="C353" i="6" s="1"/>
  <c r="C354" i="6" a="1"/>
  <c r="C354" i="6" s="1"/>
  <c r="C355" i="6" a="1"/>
  <c r="C355" i="6" s="1"/>
  <c r="C356" i="6" a="1"/>
  <c r="C356" i="6" s="1"/>
  <c r="C357" i="6" a="1"/>
  <c r="C357" i="6" s="1"/>
  <c r="C358" i="6" a="1"/>
  <c r="C358" i="6" s="1"/>
  <c r="C359" i="6" a="1"/>
  <c r="C359" i="6" s="1"/>
  <c r="C360" i="6" a="1"/>
  <c r="C360" i="6" s="1"/>
  <c r="C361" i="6" a="1"/>
  <c r="C361" i="6" s="1"/>
  <c r="C362" i="6" a="1"/>
  <c r="C362" i="6" s="1"/>
  <c r="C363" i="6" a="1"/>
  <c r="C363" i="6" s="1"/>
  <c r="C364" i="6" a="1"/>
  <c r="C364" i="6" s="1"/>
  <c r="C365" i="6" a="1"/>
  <c r="C365" i="6" s="1"/>
  <c r="C366" i="6" a="1"/>
  <c r="C366" i="6" s="1"/>
  <c r="C367" i="6" a="1"/>
  <c r="C367" i="6" s="1"/>
  <c r="C368" i="6" a="1"/>
  <c r="C368" i="6" s="1"/>
  <c r="C369" i="6" a="1"/>
  <c r="C369" i="6" s="1"/>
  <c r="C370" i="6" a="1"/>
  <c r="C370" i="6" s="1"/>
  <c r="C371" i="6" a="1"/>
  <c r="C371" i="6" s="1"/>
  <c r="C372" i="6" a="1"/>
  <c r="C372" i="6" s="1"/>
  <c r="C373" i="6" a="1"/>
  <c r="C373" i="6" s="1"/>
  <c r="C374" i="6" a="1"/>
  <c r="C374" i="6" s="1"/>
  <c r="C375" i="6" a="1"/>
  <c r="C375" i="6" s="1"/>
  <c r="C376" i="6" a="1"/>
  <c r="C376" i="6" s="1"/>
  <c r="C377" i="6" a="1"/>
  <c r="C377" i="6" s="1"/>
  <c r="C378" i="6" a="1"/>
  <c r="C378" i="6" s="1"/>
  <c r="C379" i="6" a="1"/>
  <c r="C379" i="6" s="1"/>
  <c r="C380" i="6" a="1"/>
  <c r="C380" i="6" s="1"/>
  <c r="C381" i="6" a="1"/>
  <c r="C381" i="6" s="1"/>
  <c r="C382" i="6" a="1"/>
  <c r="C382" i="6" s="1"/>
  <c r="C383" i="6" a="1"/>
  <c r="C383" i="6" s="1"/>
  <c r="C384" i="6" a="1"/>
  <c r="C384" i="6" s="1"/>
  <c r="C385" i="6" a="1"/>
  <c r="C385" i="6" s="1"/>
  <c r="C386" i="6" a="1"/>
  <c r="C386" i="6" s="1"/>
  <c r="C387" i="6" a="1"/>
  <c r="C387" i="6" s="1"/>
  <c r="C388" i="6" a="1"/>
  <c r="C388" i="6" s="1"/>
  <c r="C389" i="6" a="1"/>
  <c r="C389" i="6" s="1"/>
  <c r="C390" i="6" a="1"/>
  <c r="C390" i="6" s="1"/>
  <c r="C391" i="6" a="1"/>
  <c r="C391" i="6" s="1"/>
  <c r="C392" i="6" a="1"/>
  <c r="C392" i="6" s="1"/>
  <c r="C393" i="6" a="1"/>
  <c r="C393" i="6" s="1"/>
  <c r="C394" i="6" a="1"/>
  <c r="C394" i="6" s="1"/>
  <c r="C395" i="6" a="1"/>
  <c r="C395" i="6" s="1"/>
  <c r="C396" i="6" a="1"/>
  <c r="C396" i="6" s="1"/>
  <c r="C397" i="6" a="1"/>
  <c r="C397" i="6" s="1"/>
  <c r="C398" i="6" a="1"/>
  <c r="C398" i="6" s="1"/>
  <c r="C399" i="6" a="1"/>
  <c r="C399" i="6" s="1"/>
  <c r="C400" i="6" a="1"/>
  <c r="C400" i="6" s="1"/>
  <c r="C401" i="6" a="1"/>
  <c r="C401" i="6" s="1"/>
  <c r="C402" i="6" a="1"/>
  <c r="C402" i="6" s="1"/>
  <c r="C403" i="6" a="1"/>
  <c r="C403" i="6" s="1"/>
  <c r="C404" i="6" a="1"/>
  <c r="C404" i="6" s="1"/>
  <c r="C405" i="6" a="1"/>
  <c r="C405" i="6" s="1"/>
  <c r="C406" i="6" a="1"/>
  <c r="C406" i="6" s="1"/>
  <c r="C407" i="6" a="1"/>
  <c r="C407" i="6" s="1"/>
  <c r="C408" i="6" a="1"/>
  <c r="C408" i="6" s="1"/>
  <c r="C409" i="6" a="1"/>
  <c r="C409" i="6" s="1"/>
  <c r="C410" i="6" a="1"/>
  <c r="C410" i="6" s="1"/>
  <c r="C411" i="6" a="1"/>
  <c r="C411" i="6" s="1"/>
  <c r="C412" i="6" a="1"/>
  <c r="C412" i="6" s="1"/>
  <c r="C413" i="6" a="1"/>
  <c r="C413" i="6" s="1"/>
  <c r="C414" i="6" a="1"/>
  <c r="C414" i="6" s="1"/>
  <c r="C415" i="6" a="1"/>
  <c r="C415" i="6" s="1"/>
  <c r="C416" i="6" a="1"/>
  <c r="C416" i="6" s="1"/>
  <c r="C417" i="6" a="1"/>
  <c r="C417" i="6" s="1"/>
  <c r="C418" i="6" a="1"/>
  <c r="C418" i="6" s="1"/>
  <c r="C419" i="6" a="1"/>
  <c r="C419" i="6" s="1"/>
  <c r="C420" i="6" a="1"/>
  <c r="C420" i="6" s="1"/>
  <c r="C421" i="6" a="1"/>
  <c r="C421" i="6" s="1"/>
  <c r="C422" i="6" a="1"/>
  <c r="C422" i="6" s="1"/>
  <c r="C423" i="6" a="1"/>
  <c r="C423" i="6" s="1"/>
  <c r="C424" i="6" a="1"/>
  <c r="C424" i="6" s="1"/>
  <c r="C425" i="6" a="1"/>
  <c r="C425" i="6" s="1"/>
  <c r="C426" i="6" a="1"/>
  <c r="C426" i="6" s="1"/>
  <c r="C427" i="6" a="1"/>
  <c r="C427" i="6" s="1"/>
  <c r="C428" i="6" a="1"/>
  <c r="C428" i="6" s="1"/>
  <c r="C429" i="6" a="1"/>
  <c r="C429" i="6" s="1"/>
  <c r="C430" i="6" a="1"/>
  <c r="C430" i="6" s="1"/>
  <c r="C431" i="6" a="1"/>
  <c r="C431" i="6" s="1"/>
  <c r="C432" i="6" a="1"/>
  <c r="C432" i="6" s="1"/>
  <c r="C433" i="6" a="1"/>
  <c r="C433" i="6" s="1"/>
  <c r="C434" i="6" a="1"/>
  <c r="C434" i="6" s="1"/>
  <c r="C435" i="6" a="1"/>
  <c r="C435" i="6" s="1"/>
  <c r="C436" i="6" a="1"/>
  <c r="C436" i="6" s="1"/>
  <c r="C437" i="6" a="1"/>
  <c r="C437" i="6" s="1"/>
  <c r="C438" i="6" a="1"/>
  <c r="C438" i="6" s="1"/>
  <c r="C439" i="6" a="1"/>
  <c r="C439" i="6" s="1"/>
  <c r="C440" i="6" a="1"/>
  <c r="C440" i="6" s="1"/>
  <c r="C441" i="6" a="1"/>
  <c r="C441" i="6" s="1"/>
  <c r="C442" i="6" a="1"/>
  <c r="C442" i="6" s="1"/>
  <c r="C443" i="6" a="1"/>
  <c r="C443" i="6" s="1"/>
  <c r="C444" i="6" a="1"/>
  <c r="C444" i="6" s="1"/>
  <c r="C445" i="6" a="1"/>
  <c r="C445" i="6" s="1"/>
  <c r="C446" i="6" a="1"/>
  <c r="C446" i="6" s="1"/>
  <c r="C447" i="6" a="1"/>
  <c r="C447" i="6" s="1"/>
  <c r="C448" i="6" a="1"/>
  <c r="C448" i="6" s="1"/>
  <c r="C449" i="6" a="1"/>
  <c r="C449" i="6" s="1"/>
  <c r="C450" i="6" a="1"/>
  <c r="C450" i="6" s="1"/>
  <c r="C451" i="6" a="1"/>
  <c r="C451" i="6" s="1"/>
  <c r="C452" i="6" a="1"/>
  <c r="C452" i="6" s="1"/>
  <c r="C453" i="6" a="1"/>
  <c r="C453" i="6" s="1"/>
  <c r="C454" i="6" a="1"/>
  <c r="C454" i="6" s="1"/>
  <c r="C455" i="6" a="1"/>
  <c r="C455" i="6" s="1"/>
  <c r="C456" i="6" a="1"/>
  <c r="C456" i="6" s="1"/>
  <c r="C457" i="6" a="1"/>
  <c r="C457" i="6" s="1"/>
  <c r="C458" i="6" a="1"/>
  <c r="C458" i="6" s="1"/>
  <c r="C459" i="6" a="1"/>
  <c r="C459" i="6" s="1"/>
  <c r="C460" i="6" a="1"/>
  <c r="C460" i="6" s="1"/>
  <c r="C461" i="6" a="1"/>
  <c r="C461" i="6" s="1"/>
  <c r="C462" i="6" a="1"/>
  <c r="C462" i="6" s="1"/>
  <c r="C463" i="6" a="1"/>
  <c r="C463" i="6" s="1"/>
  <c r="C464" i="6" a="1"/>
  <c r="C464" i="6" s="1"/>
  <c r="C465" i="6" a="1"/>
  <c r="C465" i="6" s="1"/>
  <c r="C466" i="6" a="1"/>
  <c r="C466" i="6" s="1"/>
  <c r="C467" i="6" a="1"/>
  <c r="C467" i="6" s="1"/>
  <c r="C468" i="6" a="1"/>
  <c r="C468" i="6" s="1"/>
  <c r="C469" i="6" a="1"/>
  <c r="C469" i="6" s="1"/>
  <c r="C470" i="6" a="1"/>
  <c r="C470" i="6" s="1"/>
  <c r="C471" i="6" a="1"/>
  <c r="C471" i="6" s="1"/>
  <c r="C472" i="6" a="1"/>
  <c r="C472" i="6" s="1"/>
  <c r="C473" i="6" a="1"/>
  <c r="C473" i="6" s="1"/>
  <c r="C474" i="6" a="1"/>
  <c r="C474" i="6" s="1"/>
  <c r="C475" i="6" a="1"/>
  <c r="C475" i="6" s="1"/>
  <c r="C476" i="6" a="1"/>
  <c r="C476" i="6" s="1"/>
  <c r="C477" i="6" a="1"/>
  <c r="C477" i="6" s="1"/>
  <c r="C478" i="6" a="1"/>
  <c r="C478" i="6" s="1"/>
  <c r="C479" i="6" a="1"/>
  <c r="C479" i="6" s="1"/>
  <c r="C480" i="6" a="1"/>
  <c r="C480" i="6" s="1"/>
  <c r="C481" i="6" a="1"/>
  <c r="C481" i="6" s="1"/>
  <c r="C482" i="6" a="1"/>
  <c r="C482" i="6" s="1"/>
  <c r="C483" i="6" a="1"/>
  <c r="C483" i="6" s="1"/>
  <c r="C484" i="6" a="1"/>
  <c r="C484" i="6" s="1"/>
  <c r="C485" i="6" a="1"/>
  <c r="C485" i="6" s="1"/>
  <c r="C486" i="6" a="1"/>
  <c r="C486" i="6" s="1"/>
  <c r="C487" i="6" a="1"/>
  <c r="C487" i="6" s="1"/>
  <c r="C488" i="6" a="1"/>
  <c r="C488" i="6" s="1"/>
  <c r="C489" i="6" a="1"/>
  <c r="C489" i="6" s="1"/>
  <c r="C490" i="6" a="1"/>
  <c r="C490" i="6" s="1"/>
  <c r="C491" i="6" a="1"/>
  <c r="C491" i="6" s="1"/>
  <c r="C492" i="6" a="1"/>
  <c r="C492" i="6" s="1"/>
  <c r="C493" i="6" a="1"/>
  <c r="C493" i="6" s="1"/>
  <c r="C494" i="6" a="1"/>
  <c r="C494" i="6" s="1"/>
  <c r="C495" i="6" a="1"/>
  <c r="C495" i="6" s="1"/>
  <c r="C496" i="6" a="1"/>
  <c r="C496" i="6" s="1"/>
  <c r="C497" i="6" a="1"/>
  <c r="C497" i="6" s="1"/>
  <c r="C498" i="6" a="1"/>
  <c r="C498" i="6" s="1"/>
  <c r="C499" i="6" a="1"/>
  <c r="C499" i="6" s="1"/>
  <c r="C500" i="6" a="1"/>
  <c r="C500" i="6" s="1"/>
  <c r="C501" i="6" a="1"/>
  <c r="C501" i="6" s="1"/>
  <c r="C502" i="6" a="1"/>
  <c r="C502" i="6" s="1"/>
  <c r="C503" i="6" a="1"/>
  <c r="C503" i="6" s="1"/>
  <c r="C504" i="6" a="1"/>
  <c r="C504" i="6" s="1"/>
  <c r="C505" i="6" a="1"/>
  <c r="C505" i="6" s="1"/>
  <c r="C506" i="6" a="1"/>
  <c r="C506" i="6" s="1"/>
  <c r="C507" i="6" a="1"/>
  <c r="C507" i="6" s="1"/>
  <c r="C508" i="6" a="1"/>
  <c r="C508" i="6" s="1"/>
  <c r="C509" i="6" a="1"/>
  <c r="C509" i="6" s="1"/>
  <c r="C510" i="6" a="1"/>
  <c r="C510" i="6" s="1"/>
  <c r="C511" i="6" a="1"/>
  <c r="C511" i="6" s="1"/>
  <c r="C512" i="6" a="1"/>
  <c r="C512" i="6" s="1"/>
  <c r="C513" i="6" a="1"/>
  <c r="C513" i="6" s="1"/>
  <c r="C514" i="6" a="1"/>
  <c r="C514" i="6" s="1"/>
  <c r="C515" i="6" a="1"/>
  <c r="C515" i="6" s="1"/>
  <c r="C516" i="6" a="1"/>
  <c r="C516" i="6" s="1"/>
  <c r="C517" i="6" a="1"/>
  <c r="C517" i="6" s="1"/>
  <c r="C518" i="6" a="1"/>
  <c r="C518" i="6" s="1"/>
  <c r="C519" i="6" a="1"/>
  <c r="C519" i="6" s="1"/>
  <c r="C520" i="6" a="1"/>
  <c r="C520" i="6" s="1"/>
  <c r="C21" i="6" a="1"/>
  <c r="C21" i="6" s="1"/>
  <c r="D203" i="18" l="1"/>
  <c r="G172" i="18"/>
  <c r="B140" i="18"/>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T158" i="18"/>
  <c r="T157" i="18"/>
  <c r="T159" i="18"/>
  <c r="T156" i="18"/>
  <c r="T166" i="18"/>
  <c r="T164" i="18"/>
  <c r="T160" i="18"/>
  <c r="T161" i="18"/>
  <c r="O145" i="18"/>
  <c r="T155" i="18"/>
  <c r="T163" i="18"/>
  <c r="T162" i="18"/>
  <c r="N145" i="18"/>
  <c r="T169" i="18"/>
  <c r="T167" i="18"/>
  <c r="T165" i="18"/>
  <c r="O143" i="18"/>
  <c r="N143" i="18"/>
  <c r="T168" i="18"/>
  <c r="AD69" i="18"/>
  <c r="T200" i="18" l="1"/>
  <c r="B171" i="18"/>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T199" i="18"/>
  <c r="T188" i="18"/>
  <c r="T189" i="18"/>
  <c r="T190" i="18"/>
  <c r="N176" i="18"/>
  <c r="T192" i="18"/>
  <c r="O176" i="18"/>
  <c r="T193" i="18"/>
  <c r="O174" i="18"/>
  <c r="T186" i="18"/>
  <c r="T191" i="18"/>
  <c r="T196" i="18"/>
  <c r="T187" i="18"/>
  <c r="N174" i="18"/>
  <c r="T195" i="18"/>
  <c r="T198" i="18"/>
  <c r="T197" i="18"/>
  <c r="T194" i="18"/>
  <c r="G203" i="18"/>
  <c r="D234" i="18"/>
  <c r="G234" i="18" l="1"/>
  <c r="D265" i="18"/>
  <c r="B202" i="18"/>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T227" i="18"/>
  <c r="T222" i="18"/>
  <c r="N207" i="18"/>
  <c r="T230" i="18"/>
  <c r="N205" i="18"/>
  <c r="T226" i="18"/>
  <c r="T218" i="18"/>
  <c r="T220" i="18"/>
  <c r="T231" i="18"/>
  <c r="T219" i="18"/>
  <c r="T229" i="18"/>
  <c r="T217" i="18"/>
  <c r="T221" i="18"/>
  <c r="T224" i="18"/>
  <c r="T223" i="18"/>
  <c r="T228" i="18"/>
  <c r="T225" i="18"/>
  <c r="O205" i="18"/>
  <c r="O207" i="18"/>
  <c r="G265" i="18" l="1"/>
  <c r="D296" i="18"/>
  <c r="B233" i="18"/>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B262" i="18" s="1"/>
  <c r="B263" i="18" s="1"/>
  <c r="T259" i="18"/>
  <c r="T248" i="18"/>
  <c r="T257" i="18"/>
  <c r="T255" i="18"/>
  <c r="T253" i="18"/>
  <c r="T254" i="18"/>
  <c r="O238" i="18"/>
  <c r="T252" i="18"/>
  <c r="N238" i="18"/>
  <c r="T256" i="18"/>
  <c r="O236" i="18"/>
  <c r="T251" i="18"/>
  <c r="N236" i="18"/>
  <c r="T250" i="18"/>
  <c r="T249" i="18"/>
  <c r="T262" i="18"/>
  <c r="T260" i="18"/>
  <c r="T261" i="18"/>
  <c r="T258" i="18"/>
  <c r="D327" i="18" l="1"/>
  <c r="G296" i="18"/>
  <c r="B264" i="18"/>
  <c r="B265" i="18" s="1"/>
  <c r="B266" i="18" s="1"/>
  <c r="B267" i="18" s="1"/>
  <c r="B268" i="18" s="1"/>
  <c r="B269" i="18" s="1"/>
  <c r="B270" i="18" s="1"/>
  <c r="B271" i="18" s="1"/>
  <c r="B272" i="18" s="1"/>
  <c r="B273" i="18" s="1"/>
  <c r="B274" i="18" s="1"/>
  <c r="B275" i="18" s="1"/>
  <c r="B276" i="18" s="1"/>
  <c r="B277" i="18" s="1"/>
  <c r="B278" i="18" s="1"/>
  <c r="B279" i="18" s="1"/>
  <c r="B280" i="18" s="1"/>
  <c r="B281" i="18" s="1"/>
  <c r="B282" i="18" s="1"/>
  <c r="B283" i="18" s="1"/>
  <c r="B284" i="18" s="1"/>
  <c r="B285" i="18" s="1"/>
  <c r="B286" i="18" s="1"/>
  <c r="B287" i="18" s="1"/>
  <c r="B288" i="18" s="1"/>
  <c r="B289" i="18" s="1"/>
  <c r="B290" i="18" s="1"/>
  <c r="B291" i="18" s="1"/>
  <c r="B292" i="18" s="1"/>
  <c r="B293" i="18" s="1"/>
  <c r="B294" i="18" s="1"/>
  <c r="O267" i="18"/>
  <c r="N267" i="18"/>
  <c r="T287" i="18"/>
  <c r="T282" i="18"/>
  <c r="T280" i="18"/>
  <c r="T281" i="18"/>
  <c r="T293" i="18"/>
  <c r="T291" i="18"/>
  <c r="T292" i="18"/>
  <c r="T289" i="18"/>
  <c r="T290" i="18"/>
  <c r="T279" i="18"/>
  <c r="T288" i="18"/>
  <c r="T286" i="18"/>
  <c r="T284" i="18"/>
  <c r="T285" i="18"/>
  <c r="O269" i="18"/>
  <c r="T283" i="18"/>
  <c r="N269" i="18"/>
  <c r="V21" i="7" l="1"/>
  <c r="N21" i="7"/>
  <c r="B295" i="18"/>
  <c r="B296" i="18" s="1"/>
  <c r="B297" i="18" s="1"/>
  <c r="B298" i="18" s="1"/>
  <c r="B299" i="18" s="1"/>
  <c r="B300" i="18" s="1"/>
  <c r="B301" i="18" s="1"/>
  <c r="B302" i="18" s="1"/>
  <c r="B303" i="18" s="1"/>
  <c r="B304" i="18" s="1"/>
  <c r="B305" i="18" s="1"/>
  <c r="B306" i="18" s="1"/>
  <c r="B307" i="18" s="1"/>
  <c r="B308" i="18" s="1"/>
  <c r="B309" i="18" s="1"/>
  <c r="B310" i="18" s="1"/>
  <c r="B311" i="18" s="1"/>
  <c r="B312" i="18" s="1"/>
  <c r="B313" i="18" s="1"/>
  <c r="B314" i="18" s="1"/>
  <c r="B315" i="18" s="1"/>
  <c r="B316" i="18" s="1"/>
  <c r="B317" i="18" s="1"/>
  <c r="B318" i="18" s="1"/>
  <c r="B319" i="18" s="1"/>
  <c r="B320" i="18" s="1"/>
  <c r="B321" i="18" s="1"/>
  <c r="B322" i="18" s="1"/>
  <c r="B323" i="18" s="1"/>
  <c r="B324" i="18" s="1"/>
  <c r="B325" i="18" s="1"/>
  <c r="T322" i="18"/>
  <c r="T321" i="18"/>
  <c r="T320" i="18"/>
  <c r="T319" i="18"/>
  <c r="T316" i="18"/>
  <c r="N298" i="18"/>
  <c r="T314" i="18"/>
  <c r="T313" i="18"/>
  <c r="O298" i="18"/>
  <c r="T312" i="18"/>
  <c r="T311" i="18"/>
  <c r="T324" i="18"/>
  <c r="T310" i="18"/>
  <c r="T317" i="18"/>
  <c r="T318" i="18"/>
  <c r="T323" i="18"/>
  <c r="T315" i="18"/>
  <c r="O300" i="18"/>
  <c r="N300" i="18"/>
  <c r="G327" i="18"/>
  <c r="D358" i="18"/>
  <c r="G358" i="18" l="1"/>
  <c r="D389" i="18"/>
  <c r="B326" i="18"/>
  <c r="B327" i="18" s="1"/>
  <c r="B328" i="18" s="1"/>
  <c r="B329" i="18" s="1"/>
  <c r="B330" i="18" s="1"/>
  <c r="B331" i="18" s="1"/>
  <c r="B332" i="18" s="1"/>
  <c r="B333" i="18" s="1"/>
  <c r="B334" i="18" s="1"/>
  <c r="B335" i="18" s="1"/>
  <c r="B336" i="18" s="1"/>
  <c r="B337" i="18" s="1"/>
  <c r="B338" i="18" s="1"/>
  <c r="B339" i="18" s="1"/>
  <c r="B340" i="18" s="1"/>
  <c r="B341" i="18" s="1"/>
  <c r="B342" i="18" s="1"/>
  <c r="B343" i="18" s="1"/>
  <c r="B344" i="18" s="1"/>
  <c r="B345" i="18" s="1"/>
  <c r="B346" i="18" s="1"/>
  <c r="B347" i="18" s="1"/>
  <c r="B348" i="18" s="1"/>
  <c r="B349" i="18" s="1"/>
  <c r="B350" i="18" s="1"/>
  <c r="B351" i="18" s="1"/>
  <c r="B352" i="18" s="1"/>
  <c r="B353" i="18" s="1"/>
  <c r="B354" i="18" s="1"/>
  <c r="B355" i="18" s="1"/>
  <c r="B356" i="18" s="1"/>
  <c r="T349" i="18"/>
  <c r="N329" i="18"/>
  <c r="T343" i="18"/>
  <c r="T353" i="18"/>
  <c r="T351" i="18"/>
  <c r="O331" i="18"/>
  <c r="T348" i="18"/>
  <c r="T347" i="18"/>
  <c r="T345" i="18"/>
  <c r="N331" i="18"/>
  <c r="T355" i="18"/>
  <c r="T341" i="18"/>
  <c r="T344" i="18"/>
  <c r="T354" i="18"/>
  <c r="T352" i="18"/>
  <c r="T350" i="18"/>
  <c r="T346" i="18"/>
  <c r="O329" i="18"/>
  <c r="T342" i="18"/>
  <c r="H94" i="2"/>
  <c r="G94" i="2"/>
  <c r="AA15" i="11"/>
  <c r="AE22" i="7"/>
  <c r="AE23" i="7"/>
  <c r="AE24" i="7"/>
  <c r="AE25" i="7"/>
  <c r="AE26" i="7"/>
  <c r="AE27" i="7"/>
  <c r="AE28" i="7"/>
  <c r="AE29" i="7"/>
  <c r="AE30" i="7"/>
  <c r="AE31" i="7"/>
  <c r="AE32" i="7"/>
  <c r="AE33" i="7"/>
  <c r="AE34" i="7"/>
  <c r="AE35" i="7"/>
  <c r="AE36" i="7"/>
  <c r="AE37" i="7"/>
  <c r="AE38" i="7"/>
  <c r="AE39" i="7"/>
  <c r="AE40" i="7"/>
  <c r="AE41" i="7"/>
  <c r="AE42" i="7"/>
  <c r="AE43" i="7"/>
  <c r="AE44" i="7"/>
  <c r="AE45" i="7"/>
  <c r="AE46" i="7"/>
  <c r="AE47" i="7"/>
  <c r="AE48" i="7"/>
  <c r="AE49" i="7"/>
  <c r="AE50" i="7"/>
  <c r="AE51" i="7"/>
  <c r="AE52" i="7"/>
  <c r="AE53" i="7"/>
  <c r="AE54" i="7"/>
  <c r="AE55" i="7"/>
  <c r="AE56" i="7"/>
  <c r="AE57" i="7"/>
  <c r="AE58" i="7"/>
  <c r="AE59" i="7"/>
  <c r="AE60" i="7"/>
  <c r="AE61" i="7"/>
  <c r="AE62" i="7"/>
  <c r="AE63" i="7"/>
  <c r="AE64" i="7"/>
  <c r="AE65" i="7"/>
  <c r="AE66" i="7"/>
  <c r="AE67" i="7"/>
  <c r="AE68" i="7"/>
  <c r="AE69" i="7"/>
  <c r="AE70" i="7"/>
  <c r="AE71" i="7"/>
  <c r="AE72" i="7"/>
  <c r="AE73" i="7"/>
  <c r="AE74" i="7"/>
  <c r="AE75" i="7"/>
  <c r="AE76" i="7"/>
  <c r="AE77" i="7"/>
  <c r="AE78" i="7"/>
  <c r="AE79" i="7"/>
  <c r="AE80" i="7"/>
  <c r="AE81" i="7"/>
  <c r="AE82" i="7"/>
  <c r="AE83" i="7"/>
  <c r="AE84" i="7"/>
  <c r="AE85" i="7"/>
  <c r="AE86" i="7"/>
  <c r="AE87" i="7"/>
  <c r="AE88" i="7"/>
  <c r="AE89" i="7"/>
  <c r="AE90" i="7"/>
  <c r="AE91" i="7"/>
  <c r="AE92" i="7"/>
  <c r="AE93" i="7"/>
  <c r="AE94" i="7"/>
  <c r="AE95" i="7"/>
  <c r="AE96" i="7"/>
  <c r="AE97" i="7"/>
  <c r="AE98" i="7"/>
  <c r="AE99" i="7"/>
  <c r="AE100" i="7"/>
  <c r="AE101" i="7"/>
  <c r="AE102" i="7"/>
  <c r="AE103" i="7"/>
  <c r="AE104" i="7"/>
  <c r="AE105" i="7"/>
  <c r="AE106" i="7"/>
  <c r="AE107" i="7"/>
  <c r="AE108" i="7"/>
  <c r="AE109" i="7"/>
  <c r="AE110" i="7"/>
  <c r="AE111" i="7"/>
  <c r="AE112" i="7"/>
  <c r="AE113" i="7"/>
  <c r="AE114" i="7"/>
  <c r="AE115" i="7"/>
  <c r="AE116" i="7"/>
  <c r="AE117" i="7"/>
  <c r="AE118" i="7"/>
  <c r="AE119" i="7"/>
  <c r="AE120" i="7"/>
  <c r="AE121" i="7"/>
  <c r="AE122" i="7"/>
  <c r="AE123" i="7"/>
  <c r="AE124" i="7"/>
  <c r="AE125" i="7"/>
  <c r="AE126" i="7"/>
  <c r="AE127" i="7"/>
  <c r="AE128" i="7"/>
  <c r="AE129" i="7"/>
  <c r="AE130" i="7"/>
  <c r="AE131" i="7"/>
  <c r="AE132" i="7"/>
  <c r="AE133" i="7"/>
  <c r="AE134" i="7"/>
  <c r="AE135" i="7"/>
  <c r="AE136" i="7"/>
  <c r="AE137" i="7"/>
  <c r="AE138" i="7"/>
  <c r="AE139" i="7"/>
  <c r="AE140" i="7"/>
  <c r="AE141" i="7"/>
  <c r="AE142" i="7"/>
  <c r="AE143" i="7"/>
  <c r="AE144" i="7"/>
  <c r="AE145" i="7"/>
  <c r="AE146" i="7"/>
  <c r="AE147" i="7"/>
  <c r="AE148" i="7"/>
  <c r="AE149" i="7"/>
  <c r="AE150" i="7"/>
  <c r="AE151" i="7"/>
  <c r="AE152" i="7"/>
  <c r="AE153" i="7"/>
  <c r="AE154" i="7"/>
  <c r="AE155" i="7"/>
  <c r="AE156" i="7"/>
  <c r="AE157" i="7"/>
  <c r="AE158" i="7"/>
  <c r="AE159" i="7"/>
  <c r="AE160" i="7"/>
  <c r="AE161" i="7"/>
  <c r="AE162" i="7"/>
  <c r="AE163" i="7"/>
  <c r="AE164" i="7"/>
  <c r="AE165" i="7"/>
  <c r="AE166" i="7"/>
  <c r="AE167" i="7"/>
  <c r="AE168" i="7"/>
  <c r="AE169" i="7"/>
  <c r="AE170" i="7"/>
  <c r="AE171" i="7"/>
  <c r="AE172" i="7"/>
  <c r="AE173" i="7"/>
  <c r="AE174" i="7"/>
  <c r="AE175" i="7"/>
  <c r="AE176" i="7"/>
  <c r="AE177" i="7"/>
  <c r="AE178" i="7"/>
  <c r="AE179" i="7"/>
  <c r="AE180" i="7"/>
  <c r="AE181" i="7"/>
  <c r="AE182" i="7"/>
  <c r="AE183" i="7"/>
  <c r="AE184" i="7"/>
  <c r="AE185" i="7"/>
  <c r="AE186" i="7"/>
  <c r="AE187" i="7"/>
  <c r="AE188" i="7"/>
  <c r="AE189" i="7"/>
  <c r="AE190" i="7"/>
  <c r="AE191" i="7"/>
  <c r="AE192" i="7"/>
  <c r="AE193" i="7"/>
  <c r="AE194" i="7"/>
  <c r="AE195" i="7"/>
  <c r="AE196" i="7"/>
  <c r="AE197" i="7"/>
  <c r="AE198" i="7"/>
  <c r="AE199" i="7"/>
  <c r="AE200" i="7"/>
  <c r="AE201" i="7"/>
  <c r="AE202" i="7"/>
  <c r="AE203" i="7"/>
  <c r="AE204" i="7"/>
  <c r="AE205" i="7"/>
  <c r="AE206" i="7"/>
  <c r="AE207" i="7"/>
  <c r="AE208" i="7"/>
  <c r="AE209" i="7"/>
  <c r="AE210" i="7"/>
  <c r="AE211" i="7"/>
  <c r="AE212" i="7"/>
  <c r="AE213" i="7"/>
  <c r="AE214" i="7"/>
  <c r="AE215" i="7"/>
  <c r="AE216" i="7"/>
  <c r="AE217" i="7"/>
  <c r="AE218" i="7"/>
  <c r="AE219" i="7"/>
  <c r="AE220" i="7"/>
  <c r="AE221" i="7"/>
  <c r="AE222" i="7"/>
  <c r="AE223" i="7"/>
  <c r="AE224" i="7"/>
  <c r="AE225" i="7"/>
  <c r="AE226" i="7"/>
  <c r="AE227" i="7"/>
  <c r="AE228" i="7"/>
  <c r="AE229" i="7"/>
  <c r="AE230" i="7"/>
  <c r="AE231" i="7"/>
  <c r="AE232" i="7"/>
  <c r="AE233" i="7"/>
  <c r="AE234" i="7"/>
  <c r="AE235" i="7"/>
  <c r="AE236" i="7"/>
  <c r="AE237" i="7"/>
  <c r="AE238" i="7"/>
  <c r="AE239" i="7"/>
  <c r="AE240" i="7"/>
  <c r="AE241" i="7"/>
  <c r="AE242" i="7"/>
  <c r="AE243" i="7"/>
  <c r="AE244" i="7"/>
  <c r="AE245" i="7"/>
  <c r="AE246" i="7"/>
  <c r="AE247" i="7"/>
  <c r="AE248" i="7"/>
  <c r="AE249" i="7"/>
  <c r="AE250" i="7"/>
  <c r="AE251" i="7"/>
  <c r="AE252" i="7"/>
  <c r="AE253" i="7"/>
  <c r="AE254" i="7"/>
  <c r="AE255" i="7"/>
  <c r="AE256" i="7"/>
  <c r="AE257" i="7"/>
  <c r="AE258" i="7"/>
  <c r="AE259" i="7"/>
  <c r="AE260" i="7"/>
  <c r="AE261" i="7"/>
  <c r="AE262" i="7"/>
  <c r="AE263" i="7"/>
  <c r="AE264" i="7"/>
  <c r="AE265" i="7"/>
  <c r="AE266" i="7"/>
  <c r="AE267" i="7"/>
  <c r="AE268" i="7"/>
  <c r="AE269" i="7"/>
  <c r="AE270" i="7"/>
  <c r="AE271" i="7"/>
  <c r="AE272" i="7"/>
  <c r="AE273" i="7"/>
  <c r="AE274" i="7"/>
  <c r="AE275" i="7"/>
  <c r="AE276" i="7"/>
  <c r="AE277" i="7"/>
  <c r="AE278" i="7"/>
  <c r="AE279" i="7"/>
  <c r="AE280" i="7"/>
  <c r="AE281" i="7"/>
  <c r="AE282" i="7"/>
  <c r="AE283" i="7"/>
  <c r="AE284" i="7"/>
  <c r="AE285" i="7"/>
  <c r="AE286" i="7"/>
  <c r="AE287" i="7"/>
  <c r="AE288" i="7"/>
  <c r="AE289" i="7"/>
  <c r="AE290" i="7"/>
  <c r="AE291" i="7"/>
  <c r="AE292" i="7"/>
  <c r="AE293" i="7"/>
  <c r="AE294" i="7"/>
  <c r="AE295" i="7"/>
  <c r="AE296" i="7"/>
  <c r="AE297" i="7"/>
  <c r="AE298" i="7"/>
  <c r="AE299" i="7"/>
  <c r="AE300" i="7"/>
  <c r="AE301" i="7"/>
  <c r="AE302" i="7"/>
  <c r="AE303" i="7"/>
  <c r="AE304" i="7"/>
  <c r="AE305" i="7"/>
  <c r="AE306" i="7"/>
  <c r="AE307" i="7"/>
  <c r="AE308" i="7"/>
  <c r="AE309" i="7"/>
  <c r="AE310" i="7"/>
  <c r="AE311" i="7"/>
  <c r="AE312" i="7"/>
  <c r="AE313" i="7"/>
  <c r="AE314" i="7"/>
  <c r="AE315" i="7"/>
  <c r="AE316" i="7"/>
  <c r="AE317" i="7"/>
  <c r="AE318" i="7"/>
  <c r="AE319" i="7"/>
  <c r="AE320" i="7"/>
  <c r="AE321" i="7"/>
  <c r="AE322" i="7"/>
  <c r="AE323" i="7"/>
  <c r="AE324" i="7"/>
  <c r="AE325" i="7"/>
  <c r="AE326" i="7"/>
  <c r="AE327" i="7"/>
  <c r="AE328" i="7"/>
  <c r="AE329" i="7"/>
  <c r="AE330" i="7"/>
  <c r="AE331" i="7"/>
  <c r="AE332" i="7"/>
  <c r="AE333" i="7"/>
  <c r="AE334" i="7"/>
  <c r="AE335" i="7"/>
  <c r="AE336" i="7"/>
  <c r="AE337" i="7"/>
  <c r="AE338" i="7"/>
  <c r="AE339" i="7"/>
  <c r="AE340" i="7"/>
  <c r="AE341" i="7"/>
  <c r="AE342" i="7"/>
  <c r="AE343" i="7"/>
  <c r="AE344" i="7"/>
  <c r="AE345" i="7"/>
  <c r="AE346" i="7"/>
  <c r="AE347" i="7"/>
  <c r="AE348" i="7"/>
  <c r="AE349" i="7"/>
  <c r="AE350" i="7"/>
  <c r="AE351" i="7"/>
  <c r="AE352" i="7"/>
  <c r="AE353" i="7"/>
  <c r="AE354" i="7"/>
  <c r="AE355" i="7"/>
  <c r="AE356" i="7"/>
  <c r="AE357" i="7"/>
  <c r="AE358" i="7"/>
  <c r="AE359" i="7"/>
  <c r="AE360" i="7"/>
  <c r="AE361" i="7"/>
  <c r="AE362" i="7"/>
  <c r="AE363" i="7"/>
  <c r="AE364" i="7"/>
  <c r="AE365" i="7"/>
  <c r="AE366" i="7"/>
  <c r="AE367" i="7"/>
  <c r="AE368" i="7"/>
  <c r="AE369" i="7"/>
  <c r="AE370" i="7"/>
  <c r="AE371" i="7"/>
  <c r="AE372" i="7"/>
  <c r="AE373" i="7"/>
  <c r="AE374" i="7"/>
  <c r="AE375" i="7"/>
  <c r="AE376" i="7"/>
  <c r="AE377" i="7"/>
  <c r="AE378" i="7"/>
  <c r="AE379" i="7"/>
  <c r="AE380" i="7"/>
  <c r="AE381" i="7"/>
  <c r="AE382" i="7"/>
  <c r="AE383" i="7"/>
  <c r="AE384" i="7"/>
  <c r="AE385" i="7"/>
  <c r="AE386" i="7"/>
  <c r="AE387" i="7"/>
  <c r="AE388" i="7"/>
  <c r="AE389" i="7"/>
  <c r="AE390" i="7"/>
  <c r="AE391" i="7"/>
  <c r="AE392" i="7"/>
  <c r="AE393" i="7"/>
  <c r="AE394" i="7"/>
  <c r="AE395" i="7"/>
  <c r="AE396" i="7"/>
  <c r="AE397" i="7"/>
  <c r="AE398" i="7"/>
  <c r="AE399" i="7"/>
  <c r="AE400" i="7"/>
  <c r="AE401" i="7"/>
  <c r="AE402" i="7"/>
  <c r="AE403" i="7"/>
  <c r="AE404" i="7"/>
  <c r="AE405" i="7"/>
  <c r="AE406" i="7"/>
  <c r="AE407" i="7"/>
  <c r="AE408" i="7"/>
  <c r="AE409" i="7"/>
  <c r="AE410" i="7"/>
  <c r="AE411" i="7"/>
  <c r="AE412" i="7"/>
  <c r="AE413" i="7"/>
  <c r="AE414" i="7"/>
  <c r="AE415" i="7"/>
  <c r="AE416" i="7"/>
  <c r="AE417" i="7"/>
  <c r="AE418" i="7"/>
  <c r="AE419" i="7"/>
  <c r="AE420" i="7"/>
  <c r="AE421" i="7"/>
  <c r="AE422" i="7"/>
  <c r="AE423" i="7"/>
  <c r="AE424" i="7"/>
  <c r="AE425" i="7"/>
  <c r="AE426" i="7"/>
  <c r="AE427" i="7"/>
  <c r="AE428" i="7"/>
  <c r="AE429" i="7"/>
  <c r="AE430" i="7"/>
  <c r="AE431" i="7"/>
  <c r="AE432" i="7"/>
  <c r="AE433" i="7"/>
  <c r="AE434" i="7"/>
  <c r="AE435" i="7"/>
  <c r="AE436" i="7"/>
  <c r="AE437" i="7"/>
  <c r="AE438" i="7"/>
  <c r="AE439" i="7"/>
  <c r="AE440" i="7"/>
  <c r="AE441" i="7"/>
  <c r="AE442" i="7"/>
  <c r="AE443" i="7"/>
  <c r="AE444" i="7"/>
  <c r="AE445" i="7"/>
  <c r="AE446" i="7"/>
  <c r="AE447" i="7"/>
  <c r="AE448" i="7"/>
  <c r="AE449" i="7"/>
  <c r="AE450" i="7"/>
  <c r="AE451" i="7"/>
  <c r="AE452" i="7"/>
  <c r="AE453" i="7"/>
  <c r="AE454" i="7"/>
  <c r="AE455" i="7"/>
  <c r="AE456" i="7"/>
  <c r="AE457" i="7"/>
  <c r="AE458" i="7"/>
  <c r="AE459" i="7"/>
  <c r="AE460" i="7"/>
  <c r="AE461" i="7"/>
  <c r="AE462" i="7"/>
  <c r="AE463" i="7"/>
  <c r="AE464" i="7"/>
  <c r="AE465" i="7"/>
  <c r="AE466" i="7"/>
  <c r="AE467" i="7"/>
  <c r="AE468" i="7"/>
  <c r="AE469" i="7"/>
  <c r="AE470" i="7"/>
  <c r="AE471" i="7"/>
  <c r="AE472" i="7"/>
  <c r="AE473" i="7"/>
  <c r="AE474" i="7"/>
  <c r="AE475" i="7"/>
  <c r="AE476" i="7"/>
  <c r="AE477" i="7"/>
  <c r="AE478" i="7"/>
  <c r="AE479" i="7"/>
  <c r="AE480" i="7"/>
  <c r="AE481" i="7"/>
  <c r="AE482" i="7"/>
  <c r="AE483" i="7"/>
  <c r="AE484" i="7"/>
  <c r="AE485" i="7"/>
  <c r="AE486" i="7"/>
  <c r="AE487" i="7"/>
  <c r="AE488" i="7"/>
  <c r="AE489" i="7"/>
  <c r="AE490" i="7"/>
  <c r="AE491" i="7"/>
  <c r="AE492" i="7"/>
  <c r="AE493" i="7"/>
  <c r="AE494" i="7"/>
  <c r="AE495" i="7"/>
  <c r="AE496" i="7"/>
  <c r="AE497" i="7"/>
  <c r="AE498" i="7"/>
  <c r="AE499" i="7"/>
  <c r="AE500" i="7"/>
  <c r="AE501" i="7"/>
  <c r="AE502" i="7"/>
  <c r="AE503" i="7"/>
  <c r="AE504" i="7"/>
  <c r="AE505" i="7"/>
  <c r="AE506" i="7"/>
  <c r="AE507" i="7"/>
  <c r="AE508" i="7"/>
  <c r="AE509" i="7"/>
  <c r="AE510" i="7"/>
  <c r="AE511" i="7"/>
  <c r="AE512" i="7"/>
  <c r="AE513" i="7"/>
  <c r="AE514" i="7"/>
  <c r="AE515" i="7"/>
  <c r="AE516" i="7"/>
  <c r="AE517" i="7"/>
  <c r="AE518" i="7"/>
  <c r="AE519" i="7"/>
  <c r="AE520" i="7"/>
  <c r="AE21" i="7"/>
  <c r="G389" i="18" l="1"/>
  <c r="D420" i="18"/>
  <c r="B357" i="18"/>
  <c r="B358" i="18" s="1"/>
  <c r="B359" i="18" s="1"/>
  <c r="B360" i="18" s="1"/>
  <c r="B361" i="18" s="1"/>
  <c r="B362" i="18" s="1"/>
  <c r="B363" i="18" s="1"/>
  <c r="B364" i="18" s="1"/>
  <c r="B365" i="18" s="1"/>
  <c r="B366" i="18" s="1"/>
  <c r="B367" i="18" s="1"/>
  <c r="B368" i="18" s="1"/>
  <c r="B369" i="18" s="1"/>
  <c r="B370" i="18" s="1"/>
  <c r="B371" i="18" s="1"/>
  <c r="B372" i="18" s="1"/>
  <c r="B373" i="18" s="1"/>
  <c r="B374" i="18" s="1"/>
  <c r="B375" i="18" s="1"/>
  <c r="B376" i="18" s="1"/>
  <c r="B377" i="18" s="1"/>
  <c r="B378" i="18" s="1"/>
  <c r="B379" i="18" s="1"/>
  <c r="B380" i="18" s="1"/>
  <c r="B381" i="18" s="1"/>
  <c r="B382" i="18" s="1"/>
  <c r="B383" i="18" s="1"/>
  <c r="B384" i="18" s="1"/>
  <c r="B385" i="18" s="1"/>
  <c r="B386" i="18" s="1"/>
  <c r="B387" i="18" s="1"/>
  <c r="N360" i="18"/>
  <c r="T378" i="18"/>
  <c r="T376" i="18"/>
  <c r="T374" i="18"/>
  <c r="T373" i="18"/>
  <c r="T386" i="18"/>
  <c r="T385" i="18"/>
  <c r="T384" i="18"/>
  <c r="T383" i="18"/>
  <c r="T382" i="18"/>
  <c r="T381" i="18"/>
  <c r="T372" i="18"/>
  <c r="T377" i="18"/>
  <c r="T380" i="18"/>
  <c r="O362" i="18"/>
  <c r="T375" i="18"/>
  <c r="N362" i="18"/>
  <c r="O360" i="18"/>
  <c r="T379" i="18"/>
  <c r="P4" i="21"/>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P49" i="21"/>
  <c r="P50" i="21"/>
  <c r="P51" i="21"/>
  <c r="P52" i="21"/>
  <c r="P53" i="21"/>
  <c r="P54" i="21"/>
  <c r="P55" i="21"/>
  <c r="P56" i="21"/>
  <c r="P57" i="21"/>
  <c r="P58" i="21"/>
  <c r="P59" i="21"/>
  <c r="P60" i="21"/>
  <c r="P61" i="21"/>
  <c r="P62" i="21"/>
  <c r="P63" i="21"/>
  <c r="P64" i="21"/>
  <c r="P65" i="21"/>
  <c r="P66" i="21"/>
  <c r="P67" i="21"/>
  <c r="P68" i="21"/>
  <c r="P69" i="21"/>
  <c r="P70" i="21"/>
  <c r="P71" i="21"/>
  <c r="P72" i="21"/>
  <c r="P73" i="21"/>
  <c r="P74" i="21"/>
  <c r="P75" i="21"/>
  <c r="P76" i="21"/>
  <c r="P77" i="21"/>
  <c r="P78" i="21"/>
  <c r="P79" i="21"/>
  <c r="P80" i="21"/>
  <c r="P81" i="21"/>
  <c r="P82" i="21"/>
  <c r="P83" i="21"/>
  <c r="P84" i="21"/>
  <c r="P85" i="21"/>
  <c r="P86" i="21"/>
  <c r="P87" i="21"/>
  <c r="P88" i="21"/>
  <c r="P89" i="21"/>
  <c r="P90" i="21"/>
  <c r="P91" i="21"/>
  <c r="P92" i="21"/>
  <c r="P93" i="21"/>
  <c r="P94" i="21"/>
  <c r="P95" i="21"/>
  <c r="P96" i="21"/>
  <c r="P97" i="21"/>
  <c r="P98" i="21"/>
  <c r="P99" i="21"/>
  <c r="P100" i="21"/>
  <c r="P101" i="21"/>
  <c r="P102" i="21"/>
  <c r="P103" i="21"/>
  <c r="P104" i="21"/>
  <c r="P105" i="21"/>
  <c r="P106" i="21"/>
  <c r="P107" i="21"/>
  <c r="P108" i="21"/>
  <c r="P109" i="21"/>
  <c r="P110" i="21"/>
  <c r="P111" i="21"/>
  <c r="P112" i="21"/>
  <c r="P113" i="21"/>
  <c r="P114" i="21"/>
  <c r="P115" i="21"/>
  <c r="P116" i="21"/>
  <c r="P117" i="21"/>
  <c r="P118" i="21"/>
  <c r="P119" i="21"/>
  <c r="P120" i="21"/>
  <c r="P121" i="21"/>
  <c r="P122" i="21"/>
  <c r="P123" i="21"/>
  <c r="P124" i="21"/>
  <c r="P125" i="21"/>
  <c r="P126" i="21"/>
  <c r="P127" i="21"/>
  <c r="P128" i="21"/>
  <c r="P129" i="21"/>
  <c r="P130" i="21"/>
  <c r="P131" i="21"/>
  <c r="P132" i="21"/>
  <c r="P133" i="21"/>
  <c r="P134" i="21"/>
  <c r="P135" i="21"/>
  <c r="P136" i="21"/>
  <c r="P137" i="21"/>
  <c r="P138" i="21"/>
  <c r="P139" i="21"/>
  <c r="P140" i="21"/>
  <c r="P141" i="21"/>
  <c r="P142" i="21"/>
  <c r="P143" i="21"/>
  <c r="P144" i="21"/>
  <c r="P145" i="21"/>
  <c r="P146" i="21"/>
  <c r="P147" i="21"/>
  <c r="P148" i="21"/>
  <c r="P149" i="21"/>
  <c r="P150" i="21"/>
  <c r="P151" i="21"/>
  <c r="P152" i="21"/>
  <c r="P153" i="21"/>
  <c r="P154" i="21"/>
  <c r="P155" i="21"/>
  <c r="P156" i="21"/>
  <c r="P157" i="21"/>
  <c r="P158" i="21"/>
  <c r="P159" i="21"/>
  <c r="P160" i="21"/>
  <c r="P161" i="21"/>
  <c r="P162" i="21"/>
  <c r="P163" i="21"/>
  <c r="P164" i="21"/>
  <c r="P165" i="21"/>
  <c r="P166" i="21"/>
  <c r="P167" i="21"/>
  <c r="P168" i="21"/>
  <c r="P169" i="21"/>
  <c r="P170" i="21"/>
  <c r="P171" i="21"/>
  <c r="P172" i="21"/>
  <c r="P173" i="21"/>
  <c r="P174" i="21"/>
  <c r="P175" i="21"/>
  <c r="P176" i="21"/>
  <c r="P177" i="21"/>
  <c r="P178" i="21"/>
  <c r="P179" i="21"/>
  <c r="P180" i="21"/>
  <c r="P181" i="21"/>
  <c r="P182" i="21"/>
  <c r="P183" i="21"/>
  <c r="P184" i="21"/>
  <c r="P185" i="21"/>
  <c r="P186" i="21"/>
  <c r="P187" i="21"/>
  <c r="P188" i="21"/>
  <c r="P189" i="21"/>
  <c r="P190" i="21"/>
  <c r="P191" i="21"/>
  <c r="P192" i="21"/>
  <c r="P193" i="21"/>
  <c r="P194" i="21"/>
  <c r="P195" i="21"/>
  <c r="P196" i="21"/>
  <c r="P197" i="21"/>
  <c r="P198" i="21"/>
  <c r="P199" i="21"/>
  <c r="P200" i="21"/>
  <c r="P201" i="21"/>
  <c r="P202" i="21"/>
  <c r="P203" i="21"/>
  <c r="P204" i="21"/>
  <c r="P205" i="21"/>
  <c r="P206" i="21"/>
  <c r="P207" i="21"/>
  <c r="P208" i="21"/>
  <c r="P209" i="21"/>
  <c r="P210" i="21"/>
  <c r="P211" i="21"/>
  <c r="P212" i="21"/>
  <c r="P213" i="21"/>
  <c r="P214" i="21"/>
  <c r="P215" i="21"/>
  <c r="P216" i="21"/>
  <c r="P217" i="21"/>
  <c r="P218" i="21"/>
  <c r="P219" i="21"/>
  <c r="P220" i="21"/>
  <c r="P221" i="21"/>
  <c r="P222" i="21"/>
  <c r="P223" i="21"/>
  <c r="P224" i="21"/>
  <c r="P225" i="21"/>
  <c r="P226" i="21"/>
  <c r="P227" i="21"/>
  <c r="P228" i="21"/>
  <c r="P229" i="21"/>
  <c r="P230" i="21"/>
  <c r="P231" i="21"/>
  <c r="P232" i="21"/>
  <c r="P233" i="21"/>
  <c r="P234" i="21"/>
  <c r="P235" i="21"/>
  <c r="P236" i="21"/>
  <c r="P237" i="21"/>
  <c r="P238" i="21"/>
  <c r="P239" i="21"/>
  <c r="P240" i="21"/>
  <c r="P241" i="21"/>
  <c r="P242" i="21"/>
  <c r="P243" i="21"/>
  <c r="P244" i="21"/>
  <c r="P245" i="21"/>
  <c r="P246" i="21"/>
  <c r="P247" i="21"/>
  <c r="P248" i="21"/>
  <c r="P249" i="21"/>
  <c r="P250" i="21"/>
  <c r="P251" i="21"/>
  <c r="P252" i="21"/>
  <c r="P253" i="21"/>
  <c r="P254" i="21"/>
  <c r="P255" i="21"/>
  <c r="P256" i="21"/>
  <c r="P257" i="21"/>
  <c r="P258" i="21"/>
  <c r="P259" i="21"/>
  <c r="P260" i="21"/>
  <c r="P261" i="21"/>
  <c r="P262" i="21"/>
  <c r="P263" i="21"/>
  <c r="P264" i="21"/>
  <c r="P265" i="21"/>
  <c r="P266" i="21"/>
  <c r="P267" i="21"/>
  <c r="P268" i="21"/>
  <c r="P269" i="21"/>
  <c r="P270" i="21"/>
  <c r="P271" i="21"/>
  <c r="P272" i="21"/>
  <c r="P273" i="21"/>
  <c r="P274" i="21"/>
  <c r="P275" i="21"/>
  <c r="P276" i="21"/>
  <c r="P277" i="21"/>
  <c r="P278" i="21"/>
  <c r="P279" i="21"/>
  <c r="P280" i="21"/>
  <c r="P281" i="21"/>
  <c r="P282" i="21"/>
  <c r="P283" i="21"/>
  <c r="P284" i="21"/>
  <c r="P285" i="21"/>
  <c r="P286" i="21"/>
  <c r="P287" i="21"/>
  <c r="P288" i="21"/>
  <c r="P289" i="21"/>
  <c r="P290" i="21"/>
  <c r="P291" i="21"/>
  <c r="P292" i="21"/>
  <c r="P293" i="21"/>
  <c r="P294" i="21"/>
  <c r="P295" i="21"/>
  <c r="P296" i="21"/>
  <c r="P297" i="21"/>
  <c r="P298" i="21"/>
  <c r="P299" i="21"/>
  <c r="P300" i="21"/>
  <c r="P301" i="21"/>
  <c r="P302" i="21"/>
  <c r="P303" i="21"/>
  <c r="P304" i="21"/>
  <c r="P305" i="21"/>
  <c r="P306" i="21"/>
  <c r="P307" i="21"/>
  <c r="P308" i="21"/>
  <c r="P309" i="21"/>
  <c r="P310" i="21"/>
  <c r="P311" i="21"/>
  <c r="P312" i="21"/>
  <c r="P313" i="21"/>
  <c r="P314" i="21"/>
  <c r="P315" i="21"/>
  <c r="P316" i="21"/>
  <c r="P317" i="21"/>
  <c r="P318" i="21"/>
  <c r="P319" i="21"/>
  <c r="P320" i="21"/>
  <c r="P321" i="21"/>
  <c r="P322" i="21"/>
  <c r="P323" i="21"/>
  <c r="P324" i="21"/>
  <c r="P325" i="21"/>
  <c r="P326" i="21"/>
  <c r="P327" i="21"/>
  <c r="P328" i="21"/>
  <c r="P329" i="21"/>
  <c r="P330" i="21"/>
  <c r="P331" i="21"/>
  <c r="P332" i="21"/>
  <c r="P333" i="21"/>
  <c r="P334" i="21"/>
  <c r="P335" i="21"/>
  <c r="P336" i="21"/>
  <c r="P337" i="21"/>
  <c r="P338" i="21"/>
  <c r="P339" i="21"/>
  <c r="P340" i="21"/>
  <c r="P341" i="21"/>
  <c r="P342" i="21"/>
  <c r="P343" i="21"/>
  <c r="P344" i="21"/>
  <c r="P345" i="21"/>
  <c r="P346" i="21"/>
  <c r="P347" i="21"/>
  <c r="P348" i="21"/>
  <c r="P349" i="21"/>
  <c r="P350" i="21"/>
  <c r="P351" i="21"/>
  <c r="P352" i="21"/>
  <c r="P353" i="21"/>
  <c r="P354" i="21"/>
  <c r="P355" i="21"/>
  <c r="P356" i="21"/>
  <c r="P357" i="21"/>
  <c r="P358" i="21"/>
  <c r="P359" i="21"/>
  <c r="P360" i="21"/>
  <c r="P361" i="21"/>
  <c r="P362" i="21"/>
  <c r="P363" i="21"/>
  <c r="P364" i="21"/>
  <c r="P365" i="21"/>
  <c r="P366" i="21"/>
  <c r="P367" i="21"/>
  <c r="P368" i="21"/>
  <c r="P369" i="21"/>
  <c r="P370" i="21"/>
  <c r="P371" i="21"/>
  <c r="P372" i="21"/>
  <c r="P373" i="21"/>
  <c r="P374" i="21"/>
  <c r="P375" i="21"/>
  <c r="P376" i="21"/>
  <c r="P377" i="21"/>
  <c r="P378" i="21"/>
  <c r="P379" i="21"/>
  <c r="P380" i="21"/>
  <c r="P381" i="21"/>
  <c r="P382" i="21"/>
  <c r="P383" i="21"/>
  <c r="P384" i="21"/>
  <c r="P385" i="21"/>
  <c r="P386" i="21"/>
  <c r="P387" i="21"/>
  <c r="P388" i="21"/>
  <c r="P389" i="21"/>
  <c r="P390" i="21"/>
  <c r="P391" i="21"/>
  <c r="P392" i="21"/>
  <c r="P393" i="21"/>
  <c r="P394" i="21"/>
  <c r="P395" i="21"/>
  <c r="P396" i="21"/>
  <c r="P397" i="21"/>
  <c r="P398" i="21"/>
  <c r="P399" i="21"/>
  <c r="P400" i="21"/>
  <c r="P401" i="21"/>
  <c r="P402" i="21"/>
  <c r="P403" i="21"/>
  <c r="P404" i="21"/>
  <c r="P405" i="21"/>
  <c r="P406" i="21"/>
  <c r="P407" i="21"/>
  <c r="P408" i="21"/>
  <c r="P409" i="21"/>
  <c r="P410" i="21"/>
  <c r="P411" i="21"/>
  <c r="P412" i="21"/>
  <c r="P413" i="21"/>
  <c r="P414" i="21"/>
  <c r="P415" i="21"/>
  <c r="P416" i="21"/>
  <c r="P417" i="21"/>
  <c r="P418" i="21"/>
  <c r="P419" i="21"/>
  <c r="P420" i="21"/>
  <c r="P421" i="21"/>
  <c r="P422" i="21"/>
  <c r="P423" i="21"/>
  <c r="P424" i="21"/>
  <c r="P425" i="21"/>
  <c r="P426" i="21"/>
  <c r="P427" i="21"/>
  <c r="P428" i="21"/>
  <c r="P429" i="21"/>
  <c r="P430" i="21"/>
  <c r="P431" i="21"/>
  <c r="P432" i="21"/>
  <c r="P433" i="21"/>
  <c r="P434" i="21"/>
  <c r="P435" i="21"/>
  <c r="P436" i="21"/>
  <c r="P437" i="21"/>
  <c r="P438" i="21"/>
  <c r="P439" i="21"/>
  <c r="P440" i="21"/>
  <c r="P441" i="21"/>
  <c r="P442" i="21"/>
  <c r="P443" i="21"/>
  <c r="P444" i="21"/>
  <c r="P445" i="21"/>
  <c r="P446" i="21"/>
  <c r="P447" i="21"/>
  <c r="P448" i="21"/>
  <c r="P449" i="21"/>
  <c r="P450" i="21"/>
  <c r="P451" i="21"/>
  <c r="P452" i="21"/>
  <c r="P453" i="21"/>
  <c r="P454" i="21"/>
  <c r="P455" i="21"/>
  <c r="P456" i="21"/>
  <c r="P457" i="21"/>
  <c r="P458" i="21"/>
  <c r="P459" i="21"/>
  <c r="P460" i="21"/>
  <c r="P461" i="21"/>
  <c r="P462" i="21"/>
  <c r="P463" i="21"/>
  <c r="P464" i="21"/>
  <c r="P465" i="21"/>
  <c r="P466" i="21"/>
  <c r="P467" i="21"/>
  <c r="P468" i="21"/>
  <c r="P469" i="21"/>
  <c r="P470" i="21"/>
  <c r="P471" i="21"/>
  <c r="P472" i="21"/>
  <c r="P473" i="21"/>
  <c r="P474" i="21"/>
  <c r="P475" i="21"/>
  <c r="P476" i="21"/>
  <c r="P477" i="21"/>
  <c r="P478" i="21"/>
  <c r="P479" i="21"/>
  <c r="P480" i="21"/>
  <c r="P481" i="21"/>
  <c r="P482" i="21"/>
  <c r="P483" i="21"/>
  <c r="P484" i="21"/>
  <c r="P485" i="21"/>
  <c r="P486" i="21"/>
  <c r="P487" i="21"/>
  <c r="P488" i="21"/>
  <c r="P489" i="21"/>
  <c r="P490" i="21"/>
  <c r="P491" i="21"/>
  <c r="P492" i="21"/>
  <c r="P493" i="21"/>
  <c r="P494" i="21"/>
  <c r="P495" i="21"/>
  <c r="P496" i="21"/>
  <c r="P497" i="21"/>
  <c r="P498" i="21"/>
  <c r="P499" i="21"/>
  <c r="P500" i="21"/>
  <c r="P501" i="21"/>
  <c r="P502" i="21"/>
  <c r="P503" i="21"/>
  <c r="P504" i="21"/>
  <c r="P505" i="21"/>
  <c r="P506" i="21"/>
  <c r="P507" i="21"/>
  <c r="P508" i="21"/>
  <c r="P509" i="21"/>
  <c r="P510" i="21"/>
  <c r="P511" i="21"/>
  <c r="P512" i="21"/>
  <c r="P513" i="21"/>
  <c r="P514" i="21"/>
  <c r="P515" i="21"/>
  <c r="P516" i="21"/>
  <c r="P517" i="21"/>
  <c r="P518" i="21"/>
  <c r="P519" i="21"/>
  <c r="P520" i="21"/>
  <c r="P521" i="21"/>
  <c r="P522" i="21"/>
  <c r="P523" i="21"/>
  <c r="P524" i="21"/>
  <c r="P525" i="21"/>
  <c r="P526" i="21"/>
  <c r="P527" i="21"/>
  <c r="P528" i="21"/>
  <c r="P529" i="21"/>
  <c r="P530" i="21"/>
  <c r="P531" i="21"/>
  <c r="P532" i="21"/>
  <c r="P533" i="21"/>
  <c r="P534" i="21"/>
  <c r="P535" i="21"/>
  <c r="P536" i="21"/>
  <c r="P537" i="21"/>
  <c r="P538" i="21"/>
  <c r="P539" i="21"/>
  <c r="P540" i="21"/>
  <c r="P541" i="21"/>
  <c r="P542" i="21"/>
  <c r="P543" i="21"/>
  <c r="P544" i="21"/>
  <c r="P545" i="21"/>
  <c r="P546" i="21"/>
  <c r="P547" i="21"/>
  <c r="P548" i="21"/>
  <c r="P549" i="21"/>
  <c r="P550" i="21"/>
  <c r="P551" i="21"/>
  <c r="P552" i="21"/>
  <c r="P553" i="21"/>
  <c r="P554" i="21"/>
  <c r="P555" i="21"/>
  <c r="P556" i="21"/>
  <c r="P557" i="21"/>
  <c r="P558" i="21"/>
  <c r="P559" i="21"/>
  <c r="P560" i="21"/>
  <c r="P561" i="21"/>
  <c r="P562" i="21"/>
  <c r="P563" i="21"/>
  <c r="P564" i="21"/>
  <c r="P565" i="21"/>
  <c r="P566" i="21"/>
  <c r="P567" i="21"/>
  <c r="P568" i="21"/>
  <c r="P569" i="21"/>
  <c r="P570" i="21"/>
  <c r="P571" i="21"/>
  <c r="P572" i="21"/>
  <c r="P573" i="21"/>
  <c r="P574" i="21"/>
  <c r="P575" i="21"/>
  <c r="P576" i="21"/>
  <c r="P577" i="21"/>
  <c r="P578" i="21"/>
  <c r="P579" i="21"/>
  <c r="P580" i="21"/>
  <c r="P581" i="21"/>
  <c r="P582" i="21"/>
  <c r="P583" i="21"/>
  <c r="P584" i="21"/>
  <c r="P585" i="21"/>
  <c r="P586" i="21"/>
  <c r="P587" i="21"/>
  <c r="P588" i="21"/>
  <c r="P589" i="21"/>
  <c r="P590" i="21"/>
  <c r="P591" i="21"/>
  <c r="P592" i="21"/>
  <c r="P593" i="21"/>
  <c r="P594" i="21"/>
  <c r="P595" i="21"/>
  <c r="P596" i="21"/>
  <c r="P597" i="21"/>
  <c r="P598" i="21"/>
  <c r="P599" i="21"/>
  <c r="P600" i="21"/>
  <c r="P601" i="21"/>
  <c r="P602" i="21"/>
  <c r="P603" i="21"/>
  <c r="P604" i="21"/>
  <c r="P605" i="21"/>
  <c r="P606" i="21"/>
  <c r="P607" i="21"/>
  <c r="P608" i="21"/>
  <c r="P609" i="21"/>
  <c r="P610" i="21"/>
  <c r="P611" i="21"/>
  <c r="P612" i="21"/>
  <c r="P613" i="21"/>
  <c r="P614" i="21"/>
  <c r="P615" i="21"/>
  <c r="P616" i="21"/>
  <c r="P617" i="21"/>
  <c r="P618" i="21"/>
  <c r="P619" i="21"/>
  <c r="P620" i="21"/>
  <c r="P621" i="21"/>
  <c r="P622" i="21"/>
  <c r="P623" i="21"/>
  <c r="P624" i="21"/>
  <c r="P625" i="21"/>
  <c r="P626" i="21"/>
  <c r="P627" i="21"/>
  <c r="P628" i="21"/>
  <c r="P629" i="21"/>
  <c r="P630" i="21"/>
  <c r="P631" i="21"/>
  <c r="P632" i="21"/>
  <c r="P633" i="21"/>
  <c r="P634" i="21"/>
  <c r="P635" i="21"/>
  <c r="P636" i="21"/>
  <c r="P637" i="21"/>
  <c r="P638" i="21"/>
  <c r="P639" i="21"/>
  <c r="P640" i="21"/>
  <c r="P641" i="21"/>
  <c r="P642" i="21"/>
  <c r="P643" i="21"/>
  <c r="P644" i="21"/>
  <c r="P645" i="21"/>
  <c r="P646" i="21"/>
  <c r="P647" i="21"/>
  <c r="P648" i="21"/>
  <c r="P649" i="21"/>
  <c r="P650" i="21"/>
  <c r="P651" i="21"/>
  <c r="P652" i="21"/>
  <c r="P653" i="21"/>
  <c r="P654" i="21"/>
  <c r="P655" i="21"/>
  <c r="P656" i="21"/>
  <c r="P657" i="21"/>
  <c r="P658" i="21"/>
  <c r="P659" i="21"/>
  <c r="P660" i="21"/>
  <c r="P661" i="21"/>
  <c r="P662" i="21"/>
  <c r="P663" i="21"/>
  <c r="P664" i="21"/>
  <c r="P665" i="21"/>
  <c r="P666" i="21"/>
  <c r="P667" i="21"/>
  <c r="P668" i="21"/>
  <c r="P669" i="21"/>
  <c r="P670" i="21"/>
  <c r="P671" i="21"/>
  <c r="P672" i="21"/>
  <c r="P673" i="21"/>
  <c r="P674" i="21"/>
  <c r="P675" i="21"/>
  <c r="P676" i="21"/>
  <c r="P677" i="21"/>
  <c r="P678" i="21"/>
  <c r="P679" i="21"/>
  <c r="P680" i="21"/>
  <c r="P681" i="21"/>
  <c r="P682" i="21"/>
  <c r="P683" i="21"/>
  <c r="P684" i="21"/>
  <c r="P685" i="21"/>
  <c r="P686" i="21"/>
  <c r="P687" i="21"/>
  <c r="P688" i="21"/>
  <c r="P689" i="21"/>
  <c r="P690" i="21"/>
  <c r="P691" i="21"/>
  <c r="P692" i="21"/>
  <c r="P693" i="21"/>
  <c r="P694" i="21"/>
  <c r="P695" i="21"/>
  <c r="P696" i="21"/>
  <c r="P697" i="21"/>
  <c r="P698" i="21"/>
  <c r="P699" i="21"/>
  <c r="P700" i="21"/>
  <c r="P701" i="21"/>
  <c r="P702" i="21"/>
  <c r="P703" i="21"/>
  <c r="P704" i="21"/>
  <c r="P705" i="21"/>
  <c r="P706" i="21"/>
  <c r="P707" i="21"/>
  <c r="P708" i="21"/>
  <c r="P709" i="21"/>
  <c r="P710" i="21"/>
  <c r="P711" i="21"/>
  <c r="P712" i="21"/>
  <c r="P713" i="21"/>
  <c r="P714" i="21"/>
  <c r="P715" i="21"/>
  <c r="P716" i="21"/>
  <c r="P717" i="21"/>
  <c r="P718" i="21"/>
  <c r="P719" i="21"/>
  <c r="P720" i="21"/>
  <c r="P721" i="21"/>
  <c r="P722" i="21"/>
  <c r="P723" i="21"/>
  <c r="P724" i="21"/>
  <c r="P725" i="21"/>
  <c r="P726" i="21"/>
  <c r="P727" i="21"/>
  <c r="P728" i="21"/>
  <c r="P729" i="21"/>
  <c r="P730" i="21"/>
  <c r="P731" i="21"/>
  <c r="P732" i="21"/>
  <c r="P733" i="21"/>
  <c r="P734" i="21"/>
  <c r="P735" i="21"/>
  <c r="P736" i="21"/>
  <c r="P737" i="21"/>
  <c r="P738" i="21"/>
  <c r="P739" i="21"/>
  <c r="P740" i="21"/>
  <c r="P741" i="21"/>
  <c r="P742" i="21"/>
  <c r="P743" i="21"/>
  <c r="P744" i="21"/>
  <c r="P745" i="21"/>
  <c r="P746" i="21"/>
  <c r="P747" i="21"/>
  <c r="P748" i="21"/>
  <c r="P749" i="21"/>
  <c r="P750" i="21"/>
  <c r="P751" i="21"/>
  <c r="P752" i="21"/>
  <c r="P753" i="21"/>
  <c r="P754" i="21"/>
  <c r="P755" i="21"/>
  <c r="P756" i="21"/>
  <c r="P757" i="21"/>
  <c r="P758" i="21"/>
  <c r="P759" i="21"/>
  <c r="P760" i="21"/>
  <c r="P761" i="21"/>
  <c r="P762" i="21"/>
  <c r="P763" i="21"/>
  <c r="P764" i="21"/>
  <c r="P765" i="21"/>
  <c r="P766" i="21"/>
  <c r="P767" i="21"/>
  <c r="P768" i="21"/>
  <c r="P769" i="21"/>
  <c r="P770" i="21"/>
  <c r="P771" i="21"/>
  <c r="P772" i="21"/>
  <c r="P773" i="21"/>
  <c r="P774" i="21"/>
  <c r="P775" i="21"/>
  <c r="P776" i="21"/>
  <c r="P777" i="21"/>
  <c r="P778" i="21"/>
  <c r="P779" i="21"/>
  <c r="P780" i="21"/>
  <c r="P781" i="21"/>
  <c r="P782" i="21"/>
  <c r="P783" i="21"/>
  <c r="P784" i="21"/>
  <c r="P785" i="21"/>
  <c r="P786" i="21"/>
  <c r="P787" i="21"/>
  <c r="P788" i="21"/>
  <c r="P789" i="21"/>
  <c r="P790" i="21"/>
  <c r="P791" i="21"/>
  <c r="P792" i="21"/>
  <c r="P793" i="21"/>
  <c r="P794" i="21"/>
  <c r="P795" i="21"/>
  <c r="P796" i="21"/>
  <c r="P797" i="21"/>
  <c r="P798" i="21"/>
  <c r="P799" i="21"/>
  <c r="P800" i="21"/>
  <c r="P801" i="21"/>
  <c r="P802" i="21"/>
  <c r="P803" i="21"/>
  <c r="P804" i="21"/>
  <c r="P805" i="21"/>
  <c r="P806" i="21"/>
  <c r="P807" i="21"/>
  <c r="P808" i="21"/>
  <c r="P809" i="21"/>
  <c r="P810" i="21"/>
  <c r="P811" i="21"/>
  <c r="P812" i="21"/>
  <c r="P813" i="21"/>
  <c r="P814" i="21"/>
  <c r="P815" i="21"/>
  <c r="P816" i="21"/>
  <c r="P817" i="21"/>
  <c r="P818" i="21"/>
  <c r="P819" i="21"/>
  <c r="P820" i="21"/>
  <c r="P821" i="21"/>
  <c r="P822" i="21"/>
  <c r="P823" i="21"/>
  <c r="P824" i="21"/>
  <c r="P825" i="21"/>
  <c r="P826" i="21"/>
  <c r="P827" i="21"/>
  <c r="P828" i="21"/>
  <c r="P829" i="21"/>
  <c r="P830" i="21"/>
  <c r="P831" i="21"/>
  <c r="P832" i="21"/>
  <c r="P833" i="21"/>
  <c r="P834" i="21"/>
  <c r="P835" i="21"/>
  <c r="P836" i="21"/>
  <c r="P837" i="21"/>
  <c r="P838" i="21"/>
  <c r="P839" i="21"/>
  <c r="P840" i="21"/>
  <c r="P841" i="21"/>
  <c r="P842" i="21"/>
  <c r="P843" i="21"/>
  <c r="P844" i="21"/>
  <c r="P845" i="21"/>
  <c r="P846" i="21"/>
  <c r="P847" i="21"/>
  <c r="P848" i="21"/>
  <c r="P849" i="21"/>
  <c r="P850" i="21"/>
  <c r="P851" i="21"/>
  <c r="P852" i="21"/>
  <c r="P853" i="21"/>
  <c r="P854" i="21"/>
  <c r="P855" i="21"/>
  <c r="P856" i="21"/>
  <c r="P857" i="21"/>
  <c r="P858" i="21"/>
  <c r="P859" i="21"/>
  <c r="P860" i="21"/>
  <c r="P861" i="21"/>
  <c r="P862" i="21"/>
  <c r="P863" i="21"/>
  <c r="P864" i="21"/>
  <c r="P865" i="21"/>
  <c r="P866" i="21"/>
  <c r="P867" i="21"/>
  <c r="P868" i="21"/>
  <c r="P869" i="21"/>
  <c r="P870" i="21"/>
  <c r="P871" i="21"/>
  <c r="P872" i="21"/>
  <c r="P873" i="21"/>
  <c r="P874" i="21"/>
  <c r="P875" i="21"/>
  <c r="P876" i="21"/>
  <c r="P877" i="21"/>
  <c r="P878" i="21"/>
  <c r="P879" i="21"/>
  <c r="P880" i="21"/>
  <c r="P881" i="21"/>
  <c r="P882" i="21"/>
  <c r="P883" i="21"/>
  <c r="P884" i="21"/>
  <c r="P885" i="21"/>
  <c r="P886" i="21"/>
  <c r="P887" i="21"/>
  <c r="P888" i="21"/>
  <c r="P889" i="21"/>
  <c r="P890" i="21"/>
  <c r="P891" i="21"/>
  <c r="P892" i="21"/>
  <c r="P893" i="21"/>
  <c r="P894" i="21"/>
  <c r="P895" i="21"/>
  <c r="P896" i="21"/>
  <c r="P897" i="21"/>
  <c r="P898" i="21"/>
  <c r="P899" i="21"/>
  <c r="P900" i="21"/>
  <c r="P901" i="21"/>
  <c r="P902" i="21"/>
  <c r="P903" i="21"/>
  <c r="P904" i="21"/>
  <c r="P905" i="21"/>
  <c r="P906" i="21"/>
  <c r="P907" i="21"/>
  <c r="P908" i="21"/>
  <c r="P909" i="21"/>
  <c r="P910" i="21"/>
  <c r="P911" i="21"/>
  <c r="P912" i="21"/>
  <c r="P913" i="21"/>
  <c r="P914" i="21"/>
  <c r="P915" i="21"/>
  <c r="P916" i="21"/>
  <c r="P917" i="21"/>
  <c r="P918" i="21"/>
  <c r="P919" i="21"/>
  <c r="P920" i="21"/>
  <c r="P921" i="21"/>
  <c r="P922" i="21"/>
  <c r="P923" i="21"/>
  <c r="P924" i="21"/>
  <c r="P925" i="21"/>
  <c r="P926" i="21"/>
  <c r="P927" i="21"/>
  <c r="P928" i="21"/>
  <c r="P929" i="21"/>
  <c r="P930" i="21"/>
  <c r="P931" i="21"/>
  <c r="P932" i="21"/>
  <c r="P933" i="21"/>
  <c r="P934" i="21"/>
  <c r="P935" i="21"/>
  <c r="P936" i="21"/>
  <c r="P937" i="21"/>
  <c r="P938" i="21"/>
  <c r="P939" i="21"/>
  <c r="P940" i="21"/>
  <c r="P941" i="21"/>
  <c r="P942" i="21"/>
  <c r="P943" i="21"/>
  <c r="P944" i="21"/>
  <c r="P945" i="21"/>
  <c r="P946" i="21"/>
  <c r="P947" i="21"/>
  <c r="P948" i="21"/>
  <c r="P949" i="21"/>
  <c r="P950" i="21"/>
  <c r="P951" i="21"/>
  <c r="P952" i="21"/>
  <c r="P953" i="21"/>
  <c r="P954" i="21"/>
  <c r="P955" i="21"/>
  <c r="P956" i="21"/>
  <c r="P957" i="21"/>
  <c r="P958" i="21"/>
  <c r="P959" i="21"/>
  <c r="P960" i="21"/>
  <c r="P961" i="21"/>
  <c r="P962" i="21"/>
  <c r="P963" i="21"/>
  <c r="P964" i="21"/>
  <c r="P965" i="21"/>
  <c r="P966" i="21"/>
  <c r="P967" i="21"/>
  <c r="P968" i="21"/>
  <c r="P969" i="21"/>
  <c r="P970" i="21"/>
  <c r="P971" i="21"/>
  <c r="P972" i="21"/>
  <c r="P973" i="21"/>
  <c r="P974" i="21"/>
  <c r="P975" i="21"/>
  <c r="P976" i="21"/>
  <c r="P977" i="21"/>
  <c r="P978" i="21"/>
  <c r="P979" i="21"/>
  <c r="P980" i="21"/>
  <c r="P981" i="21"/>
  <c r="P982" i="21"/>
  <c r="P983" i="21"/>
  <c r="P984" i="21"/>
  <c r="P985" i="21"/>
  <c r="P986" i="21"/>
  <c r="P987" i="21"/>
  <c r="P988" i="21"/>
  <c r="P989" i="21"/>
  <c r="P990" i="21"/>
  <c r="P991" i="21"/>
  <c r="P992" i="21"/>
  <c r="P993" i="21"/>
  <c r="P994" i="21"/>
  <c r="P995" i="21"/>
  <c r="P996" i="21"/>
  <c r="P997" i="21"/>
  <c r="P998" i="21"/>
  <c r="P999" i="21"/>
  <c r="P1000" i="21"/>
  <c r="P1001" i="21"/>
  <c r="P1002" i="21"/>
  <c r="P1003" i="21"/>
  <c r="P1004" i="21"/>
  <c r="P1005" i="21"/>
  <c r="P1006" i="21"/>
  <c r="P1007" i="21"/>
  <c r="P1008" i="21"/>
  <c r="P1009" i="21"/>
  <c r="P1010" i="21"/>
  <c r="P1011" i="21"/>
  <c r="P1012" i="21"/>
  <c r="P1013" i="21"/>
  <c r="P1014" i="21"/>
  <c r="P1015" i="21"/>
  <c r="P1016" i="21"/>
  <c r="P1017" i="21"/>
  <c r="P1018" i="21"/>
  <c r="P1019" i="21"/>
  <c r="P1020" i="21"/>
  <c r="P1021" i="21"/>
  <c r="P1022" i="21"/>
  <c r="P1023" i="21"/>
  <c r="P1024" i="21"/>
  <c r="P1025" i="21"/>
  <c r="P1026" i="21"/>
  <c r="P1027" i="21"/>
  <c r="P1028" i="21"/>
  <c r="P1029" i="21"/>
  <c r="P1030" i="21"/>
  <c r="P1031" i="21"/>
  <c r="P1032" i="21"/>
  <c r="P1033" i="21"/>
  <c r="P1034" i="21"/>
  <c r="P1035" i="21"/>
  <c r="P1036" i="21"/>
  <c r="P1037" i="21"/>
  <c r="P1038" i="21"/>
  <c r="P1039" i="21"/>
  <c r="P1040" i="21"/>
  <c r="P1041" i="21"/>
  <c r="P1042" i="21"/>
  <c r="P1043" i="21"/>
  <c r="P1044" i="21"/>
  <c r="P1045" i="21"/>
  <c r="P1046" i="21"/>
  <c r="P1047" i="21"/>
  <c r="P1048" i="21"/>
  <c r="P1049" i="21"/>
  <c r="P1050" i="21"/>
  <c r="P1051" i="21"/>
  <c r="P1052" i="21"/>
  <c r="P1053" i="21"/>
  <c r="P1054" i="21"/>
  <c r="P1055" i="21"/>
  <c r="P1056" i="21"/>
  <c r="P1057" i="21"/>
  <c r="P1058" i="21"/>
  <c r="P1059" i="21"/>
  <c r="P1060" i="21"/>
  <c r="P1061" i="21"/>
  <c r="P1062" i="21"/>
  <c r="P1063" i="21"/>
  <c r="P1064" i="21"/>
  <c r="P1065" i="21"/>
  <c r="P1066" i="21"/>
  <c r="P1067" i="21"/>
  <c r="P1068" i="21"/>
  <c r="P1069" i="21"/>
  <c r="P1070" i="21"/>
  <c r="P1071" i="21"/>
  <c r="P1072" i="21"/>
  <c r="P1073" i="21"/>
  <c r="P1074" i="21"/>
  <c r="P1075" i="21"/>
  <c r="P1076" i="21"/>
  <c r="P1077" i="21"/>
  <c r="P1078" i="21"/>
  <c r="P1079" i="21"/>
  <c r="P1080" i="21"/>
  <c r="P1081" i="21"/>
  <c r="P1082" i="21"/>
  <c r="P1083" i="21"/>
  <c r="P1084" i="21"/>
  <c r="P1085" i="21"/>
  <c r="P1086" i="21"/>
  <c r="P1087" i="21"/>
  <c r="P1088" i="21"/>
  <c r="P1089" i="21"/>
  <c r="P1090" i="21"/>
  <c r="P1091" i="21"/>
  <c r="P1092" i="21"/>
  <c r="P1093" i="21"/>
  <c r="P1094" i="21"/>
  <c r="P1095" i="21"/>
  <c r="P1096" i="21"/>
  <c r="P1097" i="21"/>
  <c r="P1098" i="21"/>
  <c r="P1099" i="21"/>
  <c r="P1100" i="21"/>
  <c r="P1101" i="21"/>
  <c r="P1102" i="21"/>
  <c r="P1103" i="21"/>
  <c r="P1104" i="21"/>
  <c r="P1105" i="21"/>
  <c r="P1106" i="21"/>
  <c r="P1107" i="21"/>
  <c r="P1108" i="21"/>
  <c r="P1109" i="21"/>
  <c r="P1110" i="21"/>
  <c r="P1111" i="21"/>
  <c r="P1112" i="21"/>
  <c r="P1113" i="21"/>
  <c r="P1114" i="21"/>
  <c r="P1115" i="21"/>
  <c r="P1116" i="21"/>
  <c r="P1117" i="21"/>
  <c r="P1118" i="21"/>
  <c r="P1119" i="21"/>
  <c r="P1120" i="21"/>
  <c r="P1121" i="21"/>
  <c r="P1122" i="21"/>
  <c r="P1123" i="21"/>
  <c r="P1124" i="21"/>
  <c r="P1125" i="21"/>
  <c r="P1126" i="21"/>
  <c r="P1127" i="21"/>
  <c r="P1128" i="21"/>
  <c r="P1129" i="21"/>
  <c r="P1130" i="21"/>
  <c r="P1131" i="21"/>
  <c r="P1132" i="21"/>
  <c r="P1133" i="21"/>
  <c r="P1134" i="21"/>
  <c r="P1135" i="21"/>
  <c r="P1136" i="21"/>
  <c r="P1137" i="21"/>
  <c r="P1138" i="21"/>
  <c r="P1139" i="21"/>
  <c r="P1140" i="21"/>
  <c r="P1141" i="21"/>
  <c r="P1142" i="21"/>
  <c r="P1143" i="21"/>
  <c r="P1144" i="21"/>
  <c r="P1145" i="21"/>
  <c r="P1146" i="21"/>
  <c r="P1147" i="21"/>
  <c r="P1148" i="21"/>
  <c r="P1149" i="21"/>
  <c r="P1150" i="21"/>
  <c r="P1151" i="21"/>
  <c r="P1152" i="21"/>
  <c r="P1153" i="21"/>
  <c r="P1154" i="21"/>
  <c r="P1155" i="21"/>
  <c r="P1156" i="21"/>
  <c r="P1157" i="21"/>
  <c r="P1158" i="21"/>
  <c r="P1159" i="21"/>
  <c r="P1160" i="21"/>
  <c r="P1161" i="21"/>
  <c r="P1162" i="21"/>
  <c r="P1163" i="21"/>
  <c r="P1164" i="21"/>
  <c r="P1165" i="21"/>
  <c r="P1166" i="21"/>
  <c r="P1167" i="21"/>
  <c r="P1168" i="21"/>
  <c r="P1169" i="21"/>
  <c r="P1170" i="21"/>
  <c r="P1171" i="21"/>
  <c r="P1172" i="21"/>
  <c r="P1173" i="21"/>
  <c r="P1174" i="21"/>
  <c r="P1175" i="21"/>
  <c r="P1176" i="21"/>
  <c r="P1177" i="21"/>
  <c r="P1178" i="21"/>
  <c r="P1179" i="21"/>
  <c r="P1180" i="21"/>
  <c r="P1181" i="21"/>
  <c r="P1182" i="21"/>
  <c r="P1183" i="21"/>
  <c r="P1184" i="21"/>
  <c r="P1185" i="21"/>
  <c r="P1186" i="21"/>
  <c r="P1187" i="21"/>
  <c r="P1188" i="21"/>
  <c r="P1189" i="21"/>
  <c r="P1190" i="21"/>
  <c r="P1191" i="21"/>
  <c r="P1192" i="21"/>
  <c r="P1193" i="21"/>
  <c r="P1194" i="21"/>
  <c r="P1195" i="21"/>
  <c r="P1196" i="21"/>
  <c r="P1197" i="21"/>
  <c r="P1198" i="21"/>
  <c r="P1199" i="21"/>
  <c r="P1200" i="21"/>
  <c r="P1201" i="21"/>
  <c r="P1202" i="21"/>
  <c r="P1203" i="21"/>
  <c r="P1204" i="21"/>
  <c r="P1205" i="21"/>
  <c r="P1206" i="21"/>
  <c r="P1207" i="21"/>
  <c r="P1208" i="21"/>
  <c r="P1209" i="21"/>
  <c r="P1210" i="21"/>
  <c r="P1211" i="21"/>
  <c r="P1212" i="21"/>
  <c r="P1213" i="21"/>
  <c r="P1214" i="21"/>
  <c r="P1215" i="21"/>
  <c r="P1216" i="21"/>
  <c r="P1217" i="21"/>
  <c r="P1218" i="21"/>
  <c r="P1219" i="21"/>
  <c r="P1220" i="21"/>
  <c r="P1221" i="21"/>
  <c r="P1222" i="21"/>
  <c r="P1223" i="21"/>
  <c r="P1224" i="21"/>
  <c r="P1225" i="21"/>
  <c r="P1226" i="21"/>
  <c r="P1227" i="21"/>
  <c r="P1228" i="21"/>
  <c r="P1229" i="21"/>
  <c r="P1230" i="21"/>
  <c r="P1231" i="21"/>
  <c r="P1232" i="21"/>
  <c r="P1233" i="21"/>
  <c r="P1234" i="21"/>
  <c r="P1235" i="21"/>
  <c r="P1236" i="21"/>
  <c r="P1237" i="21"/>
  <c r="P1238" i="21"/>
  <c r="P1239" i="21"/>
  <c r="P1240" i="21"/>
  <c r="P1241" i="21"/>
  <c r="P1242" i="21"/>
  <c r="P1243" i="21"/>
  <c r="P1244" i="21"/>
  <c r="P1245" i="21"/>
  <c r="P1246" i="21"/>
  <c r="P1247" i="21"/>
  <c r="P1248" i="21"/>
  <c r="P1249" i="21"/>
  <c r="P1250" i="21"/>
  <c r="P1251" i="21"/>
  <c r="P1252" i="21"/>
  <c r="P1253" i="21"/>
  <c r="P1254" i="21"/>
  <c r="P1255" i="21"/>
  <c r="P1256" i="21"/>
  <c r="P1257" i="21"/>
  <c r="P1258" i="21"/>
  <c r="P1259" i="21"/>
  <c r="P1260" i="21"/>
  <c r="P1261" i="21"/>
  <c r="P1262" i="21"/>
  <c r="P1263" i="21"/>
  <c r="P1264" i="21"/>
  <c r="P1265" i="21"/>
  <c r="P1266" i="21"/>
  <c r="P1267" i="21"/>
  <c r="P1268" i="21"/>
  <c r="P1269" i="21"/>
  <c r="P1270" i="21"/>
  <c r="P1271" i="21"/>
  <c r="P1272" i="21"/>
  <c r="P1273" i="21"/>
  <c r="P1274" i="21"/>
  <c r="P1275" i="21"/>
  <c r="P1276" i="21"/>
  <c r="P1277" i="21"/>
  <c r="P1278" i="21"/>
  <c r="P1279" i="21"/>
  <c r="P1280" i="21"/>
  <c r="P1281" i="21"/>
  <c r="P1282" i="21"/>
  <c r="P1283" i="21"/>
  <c r="P1284" i="21"/>
  <c r="P1285" i="21"/>
  <c r="P1286" i="21"/>
  <c r="P1287" i="21"/>
  <c r="P1288" i="21"/>
  <c r="P1289" i="21"/>
  <c r="P1290" i="21"/>
  <c r="P1291" i="21"/>
  <c r="P1292" i="21"/>
  <c r="P1293" i="21"/>
  <c r="P1294" i="21"/>
  <c r="P1295" i="21"/>
  <c r="P1296" i="21"/>
  <c r="P1297" i="21"/>
  <c r="P1298" i="21"/>
  <c r="P1299" i="21"/>
  <c r="P1300" i="21"/>
  <c r="P1301" i="21"/>
  <c r="P1302" i="21"/>
  <c r="P1303" i="21"/>
  <c r="P1304" i="21"/>
  <c r="P1305" i="21"/>
  <c r="P1306" i="21"/>
  <c r="P1307" i="21"/>
  <c r="P1308" i="21"/>
  <c r="P1309" i="21"/>
  <c r="P1310" i="21"/>
  <c r="P1311" i="21"/>
  <c r="P1312" i="21"/>
  <c r="P1313" i="21"/>
  <c r="P1314" i="21"/>
  <c r="P1315" i="21"/>
  <c r="P1316" i="21"/>
  <c r="P1317" i="21"/>
  <c r="P1318" i="21"/>
  <c r="P1319" i="21"/>
  <c r="P1320" i="21"/>
  <c r="P1321" i="21"/>
  <c r="P1322" i="21"/>
  <c r="P1323" i="21"/>
  <c r="P1324" i="21"/>
  <c r="P1325" i="21"/>
  <c r="P1326" i="21"/>
  <c r="P1327" i="21"/>
  <c r="P1328" i="21"/>
  <c r="P1329" i="21"/>
  <c r="P1330" i="21"/>
  <c r="P1331" i="21"/>
  <c r="P1332" i="21"/>
  <c r="P1333" i="21"/>
  <c r="P1334" i="21"/>
  <c r="P1335" i="21"/>
  <c r="P1336" i="21"/>
  <c r="P1337" i="21"/>
  <c r="P1338" i="21"/>
  <c r="P1339" i="21"/>
  <c r="P1340" i="21"/>
  <c r="P1341" i="21"/>
  <c r="P1342" i="21"/>
  <c r="P1343" i="21"/>
  <c r="P1344" i="21"/>
  <c r="P1345" i="21"/>
  <c r="P1346" i="21"/>
  <c r="P1347" i="21"/>
  <c r="P1348" i="21"/>
  <c r="P1349" i="21"/>
  <c r="P1350" i="21"/>
  <c r="P1351" i="21"/>
  <c r="P1352" i="21"/>
  <c r="P1353" i="21"/>
  <c r="P1354" i="21"/>
  <c r="P1355" i="21"/>
  <c r="P1356" i="21"/>
  <c r="P1357" i="21"/>
  <c r="P1358" i="21"/>
  <c r="P1359" i="21"/>
  <c r="P1360" i="21"/>
  <c r="P1361" i="21"/>
  <c r="P1362" i="21"/>
  <c r="P1363" i="21"/>
  <c r="P1364" i="21"/>
  <c r="P1365" i="21"/>
  <c r="P1366" i="21"/>
  <c r="P1367" i="21"/>
  <c r="P1368" i="21"/>
  <c r="P1369" i="21"/>
  <c r="P1370" i="21"/>
  <c r="P1371" i="21"/>
  <c r="P1372" i="21"/>
  <c r="P1373" i="21"/>
  <c r="P1374" i="21"/>
  <c r="P1375" i="21"/>
  <c r="P1376" i="21"/>
  <c r="P1377" i="21"/>
  <c r="P1378" i="21"/>
  <c r="P1379" i="21"/>
  <c r="P1380" i="21"/>
  <c r="P1381" i="21"/>
  <c r="P1382" i="21"/>
  <c r="P1383" i="21"/>
  <c r="P1384" i="21"/>
  <c r="P1385" i="21"/>
  <c r="P1386" i="21"/>
  <c r="P1387" i="21"/>
  <c r="P1388" i="21"/>
  <c r="P1389" i="21"/>
  <c r="P1390" i="21"/>
  <c r="P1391" i="21"/>
  <c r="P1392" i="21"/>
  <c r="P1393" i="21"/>
  <c r="P1394" i="21"/>
  <c r="P1395" i="21"/>
  <c r="P1396" i="21"/>
  <c r="P1397" i="21"/>
  <c r="P1398" i="21"/>
  <c r="P1399" i="21"/>
  <c r="P1400" i="21"/>
  <c r="P1401" i="21"/>
  <c r="P1402" i="21"/>
  <c r="P1403" i="21"/>
  <c r="P1404" i="21"/>
  <c r="P1405" i="21"/>
  <c r="P1406" i="21"/>
  <c r="P1407" i="21"/>
  <c r="P1408" i="21"/>
  <c r="P1409" i="21"/>
  <c r="P1410" i="21"/>
  <c r="P1411" i="21"/>
  <c r="P1412" i="21"/>
  <c r="P1413" i="21"/>
  <c r="P1414" i="21"/>
  <c r="P1415" i="21"/>
  <c r="P1416" i="21"/>
  <c r="P1417" i="21"/>
  <c r="P1418" i="21"/>
  <c r="P1419" i="21"/>
  <c r="P1420" i="21"/>
  <c r="P1421" i="21"/>
  <c r="P1422" i="21"/>
  <c r="P1423" i="21"/>
  <c r="P1424" i="21"/>
  <c r="P1425" i="21"/>
  <c r="P1426" i="21"/>
  <c r="P1427" i="21"/>
  <c r="P1428" i="21"/>
  <c r="P1429" i="21"/>
  <c r="P1430" i="21"/>
  <c r="P1431" i="21"/>
  <c r="P1432" i="21"/>
  <c r="P1433" i="21"/>
  <c r="P1434" i="21"/>
  <c r="P1435" i="21"/>
  <c r="P1436" i="21"/>
  <c r="P1437" i="21"/>
  <c r="P1438" i="21"/>
  <c r="P1439" i="21"/>
  <c r="P1440" i="21"/>
  <c r="P1441" i="21"/>
  <c r="P1442" i="21"/>
  <c r="P1443" i="21"/>
  <c r="P1444" i="21"/>
  <c r="P1445" i="21"/>
  <c r="P1446" i="21"/>
  <c r="P1447" i="21"/>
  <c r="P1448" i="21"/>
  <c r="P1449" i="21"/>
  <c r="P1450" i="21"/>
  <c r="P1451" i="21"/>
  <c r="P1452" i="21"/>
  <c r="P1453" i="21"/>
  <c r="P1454" i="21"/>
  <c r="P1455" i="21"/>
  <c r="P1456" i="21"/>
  <c r="P1457" i="21"/>
  <c r="P1458" i="21"/>
  <c r="P1459" i="21"/>
  <c r="P1460" i="21"/>
  <c r="P1461" i="21"/>
  <c r="P1462" i="21"/>
  <c r="P1463" i="21"/>
  <c r="P1464" i="21"/>
  <c r="P1465" i="21"/>
  <c r="P1466" i="21"/>
  <c r="P1467" i="21"/>
  <c r="P1468" i="21"/>
  <c r="P1469" i="21"/>
  <c r="P1470" i="21"/>
  <c r="P1471" i="21"/>
  <c r="P1472" i="21"/>
  <c r="P1473" i="21"/>
  <c r="P1474" i="21"/>
  <c r="P1475" i="21"/>
  <c r="P1476" i="21"/>
  <c r="P1477" i="21"/>
  <c r="P1478" i="21"/>
  <c r="P1479" i="21"/>
  <c r="P1480" i="21"/>
  <c r="P1481" i="21"/>
  <c r="P1482" i="21"/>
  <c r="P1483" i="21"/>
  <c r="P1484" i="21"/>
  <c r="P1485" i="21"/>
  <c r="P1486" i="21"/>
  <c r="P1487" i="21"/>
  <c r="P1488" i="21"/>
  <c r="P1489" i="21"/>
  <c r="P1490" i="21"/>
  <c r="P1491" i="21"/>
  <c r="P1492" i="21"/>
  <c r="P1493" i="21"/>
  <c r="P1494" i="21"/>
  <c r="P1495" i="21"/>
  <c r="P1496" i="21"/>
  <c r="P1497" i="21"/>
  <c r="P1498" i="21"/>
  <c r="P1499" i="21"/>
  <c r="P1500" i="21"/>
  <c r="P1501" i="21"/>
  <c r="P1502" i="21"/>
  <c r="P1503" i="21"/>
  <c r="P1504" i="21"/>
  <c r="P1505" i="21"/>
  <c r="P1506" i="21"/>
  <c r="P1507" i="21"/>
  <c r="P1508" i="21"/>
  <c r="P1509" i="21"/>
  <c r="P1510" i="21"/>
  <c r="P1511" i="21"/>
  <c r="P1512" i="21"/>
  <c r="P1513" i="21"/>
  <c r="P1514" i="21"/>
  <c r="P1515" i="21"/>
  <c r="P1516" i="21"/>
  <c r="P1517" i="21"/>
  <c r="P1518" i="21"/>
  <c r="P1519" i="21"/>
  <c r="P1520" i="21"/>
  <c r="P1521" i="21"/>
  <c r="P1522" i="21"/>
  <c r="P1523" i="21"/>
  <c r="P1524" i="21"/>
  <c r="P1525" i="21"/>
  <c r="P1526" i="21"/>
  <c r="P1527" i="21"/>
  <c r="P1528" i="21"/>
  <c r="P1529" i="21"/>
  <c r="P1530" i="21"/>
  <c r="P1531" i="21"/>
  <c r="P1532" i="21"/>
  <c r="P1533" i="21"/>
  <c r="P1534" i="21"/>
  <c r="P1535" i="21"/>
  <c r="P1536" i="21"/>
  <c r="P1537" i="21"/>
  <c r="P1538" i="21"/>
  <c r="P1539" i="21"/>
  <c r="P1540" i="21"/>
  <c r="P1541" i="21"/>
  <c r="P1542" i="21"/>
  <c r="P1543" i="21"/>
  <c r="P1544" i="21"/>
  <c r="P1545" i="21"/>
  <c r="P1546" i="21"/>
  <c r="P1547" i="21"/>
  <c r="P1548" i="21"/>
  <c r="P1549" i="21"/>
  <c r="P1550" i="21"/>
  <c r="P1551" i="21"/>
  <c r="P1552" i="21"/>
  <c r="P1553" i="21"/>
  <c r="P1554" i="21"/>
  <c r="P1555" i="21"/>
  <c r="P1556" i="21"/>
  <c r="P1557" i="21"/>
  <c r="P1558" i="21"/>
  <c r="P1559" i="21"/>
  <c r="P1560" i="21"/>
  <c r="P1561" i="21"/>
  <c r="P1562" i="21"/>
  <c r="P1563" i="21"/>
  <c r="P1564" i="21"/>
  <c r="P1565" i="21"/>
  <c r="P1566" i="21"/>
  <c r="P1567" i="21"/>
  <c r="P1568" i="21"/>
  <c r="P1569" i="21"/>
  <c r="P1570" i="21"/>
  <c r="P1571" i="21"/>
  <c r="P1572" i="21"/>
  <c r="P1573" i="21"/>
  <c r="P1574" i="21"/>
  <c r="P1575" i="21"/>
  <c r="P1576" i="21"/>
  <c r="P1577" i="21"/>
  <c r="P1578" i="21"/>
  <c r="P1579" i="21"/>
  <c r="P1580" i="21"/>
  <c r="P1581" i="21"/>
  <c r="P1582" i="21"/>
  <c r="P1583" i="21"/>
  <c r="P1584" i="21"/>
  <c r="P1585" i="21"/>
  <c r="P1586" i="21"/>
  <c r="P1587" i="21"/>
  <c r="P1588" i="21"/>
  <c r="P1589" i="21"/>
  <c r="P1590" i="21"/>
  <c r="P1591" i="21"/>
  <c r="P1592" i="21"/>
  <c r="P1593" i="21"/>
  <c r="P1594" i="21"/>
  <c r="P1595" i="21"/>
  <c r="P1596" i="21"/>
  <c r="P1597" i="21"/>
  <c r="P1598" i="21"/>
  <c r="P1599" i="21"/>
  <c r="P1600" i="21"/>
  <c r="P1601" i="21"/>
  <c r="P1602" i="21"/>
  <c r="P1603" i="21"/>
  <c r="P1604" i="21"/>
  <c r="P1605" i="21"/>
  <c r="P1606" i="21"/>
  <c r="P1607" i="21"/>
  <c r="P1608" i="21"/>
  <c r="P1609" i="21"/>
  <c r="P1610" i="21"/>
  <c r="P1611" i="21"/>
  <c r="P1612" i="21"/>
  <c r="P1613" i="21"/>
  <c r="P1614" i="21"/>
  <c r="P1615" i="21"/>
  <c r="P1616" i="21"/>
  <c r="P1617" i="21"/>
  <c r="P1618" i="21"/>
  <c r="P1619" i="21"/>
  <c r="P1620" i="21"/>
  <c r="P1621" i="21"/>
  <c r="P1622" i="21"/>
  <c r="P1623" i="21"/>
  <c r="P1624" i="21"/>
  <c r="P1625" i="21"/>
  <c r="P1626" i="21"/>
  <c r="P1627" i="21"/>
  <c r="P1628" i="21"/>
  <c r="P1629" i="21"/>
  <c r="P1630" i="21"/>
  <c r="P1631" i="21"/>
  <c r="P1632" i="21"/>
  <c r="P1633" i="21"/>
  <c r="P1634" i="21"/>
  <c r="P1635" i="21"/>
  <c r="P1636" i="21"/>
  <c r="P1637" i="21"/>
  <c r="P1638" i="21"/>
  <c r="P1639" i="21"/>
  <c r="P1640" i="21"/>
  <c r="P1641" i="21"/>
  <c r="P1642" i="21"/>
  <c r="P1643" i="21"/>
  <c r="P1644" i="21"/>
  <c r="P1645" i="21"/>
  <c r="P1646" i="21"/>
  <c r="P1647" i="21"/>
  <c r="P1648" i="21"/>
  <c r="P1649" i="21"/>
  <c r="P1650" i="21"/>
  <c r="P1651" i="21"/>
  <c r="P1652" i="21"/>
  <c r="P1653" i="21"/>
  <c r="P1654" i="21"/>
  <c r="P1655" i="21"/>
  <c r="P1656" i="21"/>
  <c r="P1657" i="21"/>
  <c r="P1658" i="21"/>
  <c r="P1659" i="21"/>
  <c r="P1660" i="21"/>
  <c r="P1661" i="21"/>
  <c r="P1662" i="21"/>
  <c r="P1663" i="21"/>
  <c r="P1664" i="21"/>
  <c r="P1665" i="21"/>
  <c r="P1666" i="21"/>
  <c r="P1667" i="21"/>
  <c r="P1668" i="21"/>
  <c r="P1669" i="21"/>
  <c r="P1670" i="21"/>
  <c r="P1671" i="21"/>
  <c r="P1672" i="21"/>
  <c r="P1673" i="21"/>
  <c r="P1674" i="21"/>
  <c r="P1675" i="21"/>
  <c r="P1676" i="21"/>
  <c r="P1677" i="21"/>
  <c r="P1678" i="21"/>
  <c r="P1679" i="21"/>
  <c r="P1680" i="21"/>
  <c r="P1681" i="21"/>
  <c r="P1682" i="21"/>
  <c r="P1683" i="21"/>
  <c r="P1684" i="21"/>
  <c r="P1685" i="21"/>
  <c r="P1686" i="21"/>
  <c r="P1687" i="21"/>
  <c r="P1688" i="21"/>
  <c r="P1689" i="21"/>
  <c r="P1690" i="21"/>
  <c r="P1691" i="21"/>
  <c r="P1692" i="21"/>
  <c r="P1693" i="21"/>
  <c r="P1694" i="21"/>
  <c r="P1695" i="21"/>
  <c r="P1696" i="21"/>
  <c r="P1697" i="21"/>
  <c r="P1698" i="21"/>
  <c r="P1699" i="21"/>
  <c r="P1700" i="21"/>
  <c r="P1701" i="21"/>
  <c r="P1702" i="21"/>
  <c r="P1703" i="21"/>
  <c r="P1704" i="21"/>
  <c r="P1705" i="21"/>
  <c r="P1706" i="21"/>
  <c r="P1707" i="21"/>
  <c r="P1708" i="21"/>
  <c r="P1709" i="21"/>
  <c r="P1710" i="21"/>
  <c r="P1711" i="21"/>
  <c r="P1712" i="21"/>
  <c r="P1713" i="21"/>
  <c r="P1714" i="21"/>
  <c r="P1715" i="21"/>
  <c r="P1716" i="21"/>
  <c r="P1717" i="21"/>
  <c r="P1718" i="21"/>
  <c r="P1719" i="21"/>
  <c r="P1720" i="21"/>
  <c r="P1721" i="21"/>
  <c r="P1722" i="21"/>
  <c r="P1723" i="21"/>
  <c r="P1724" i="21"/>
  <c r="P1725" i="21"/>
  <c r="P1726" i="21"/>
  <c r="P1727" i="21"/>
  <c r="P1728" i="21"/>
  <c r="P1729" i="21"/>
  <c r="P1730" i="21"/>
  <c r="P1731" i="21"/>
  <c r="P1732" i="21"/>
  <c r="P1733" i="21"/>
  <c r="P1734" i="21"/>
  <c r="P1735" i="21"/>
  <c r="P1736" i="21"/>
  <c r="P1737" i="21"/>
  <c r="P1738" i="21"/>
  <c r="P1739" i="21"/>
  <c r="P1740" i="21"/>
  <c r="P1741" i="21"/>
  <c r="P1742" i="21"/>
  <c r="P1743" i="21"/>
  <c r="P1744" i="21"/>
  <c r="P1745" i="21"/>
  <c r="P1746" i="21"/>
  <c r="P1747" i="21"/>
  <c r="P1748" i="21"/>
  <c r="P1749" i="21"/>
  <c r="P1750" i="21"/>
  <c r="P1751" i="21"/>
  <c r="P1752" i="21"/>
  <c r="P1753" i="21"/>
  <c r="P1754" i="21"/>
  <c r="P1755" i="21"/>
  <c r="P1756" i="21"/>
  <c r="P1757" i="21"/>
  <c r="P1758" i="21"/>
  <c r="P1759" i="21"/>
  <c r="P1760" i="21"/>
  <c r="P1761" i="21"/>
  <c r="P1762" i="21"/>
  <c r="P1763" i="21"/>
  <c r="P1764" i="21"/>
  <c r="P1765" i="21"/>
  <c r="P1766" i="21"/>
  <c r="P1767" i="21"/>
  <c r="P1768" i="21"/>
  <c r="P1769" i="21"/>
  <c r="P1770" i="21"/>
  <c r="P1771" i="21"/>
  <c r="P1772" i="21"/>
  <c r="P1773" i="21"/>
  <c r="P1774" i="21"/>
  <c r="P1775" i="21"/>
  <c r="P1776" i="21"/>
  <c r="P1777" i="21"/>
  <c r="P1778" i="21"/>
  <c r="P1779" i="21"/>
  <c r="P1780" i="21"/>
  <c r="P1781" i="21"/>
  <c r="P1782" i="21"/>
  <c r="P1783" i="21"/>
  <c r="P1784" i="21"/>
  <c r="P1785" i="21"/>
  <c r="P1786" i="21"/>
  <c r="P1787" i="21"/>
  <c r="P1788" i="21"/>
  <c r="P1789" i="21"/>
  <c r="P1790" i="21"/>
  <c r="P1791" i="21"/>
  <c r="P1792" i="21"/>
  <c r="P1793" i="21"/>
  <c r="P1794" i="21"/>
  <c r="P1795" i="21"/>
  <c r="P1796" i="21"/>
  <c r="P1797" i="21"/>
  <c r="P1798" i="21"/>
  <c r="P1799" i="21"/>
  <c r="P1800" i="21"/>
  <c r="P1801" i="21"/>
  <c r="P1802" i="21"/>
  <c r="P1803" i="21"/>
  <c r="P1804" i="21"/>
  <c r="P1805" i="21"/>
  <c r="P1806" i="21"/>
  <c r="P1807" i="21"/>
  <c r="P1808" i="21"/>
  <c r="P1809" i="21"/>
  <c r="P1810" i="21"/>
  <c r="P1811" i="21"/>
  <c r="P1812" i="21"/>
  <c r="P1813" i="21"/>
  <c r="P1814" i="21"/>
  <c r="P1815" i="21"/>
  <c r="P1816" i="21"/>
  <c r="P1817" i="21"/>
  <c r="P1818" i="21"/>
  <c r="P1819" i="21"/>
  <c r="P1820" i="21"/>
  <c r="P1821" i="21"/>
  <c r="P1822" i="21"/>
  <c r="P1823" i="21"/>
  <c r="P1824" i="21"/>
  <c r="P1825" i="21"/>
  <c r="P1826" i="21"/>
  <c r="P1827" i="21"/>
  <c r="P1828" i="21"/>
  <c r="P1829" i="21"/>
  <c r="P1830" i="21"/>
  <c r="P1831" i="21"/>
  <c r="P1832" i="21"/>
  <c r="P1833" i="21"/>
  <c r="P1834" i="21"/>
  <c r="P1835" i="21"/>
  <c r="P1836" i="21"/>
  <c r="P1837" i="21"/>
  <c r="P1838" i="21"/>
  <c r="P1839" i="21"/>
  <c r="P1840" i="21"/>
  <c r="P1841" i="21"/>
  <c r="P1842" i="21"/>
  <c r="P1843" i="21"/>
  <c r="P1844" i="21"/>
  <c r="P1845" i="21"/>
  <c r="P1846" i="21"/>
  <c r="P1847" i="21"/>
  <c r="P1848" i="21"/>
  <c r="P1849" i="21"/>
  <c r="P1850" i="21"/>
  <c r="P1851" i="21"/>
  <c r="P1852" i="21"/>
  <c r="P1853" i="21"/>
  <c r="P1854" i="21"/>
  <c r="P1855" i="21"/>
  <c r="P1856" i="21"/>
  <c r="P1857" i="21"/>
  <c r="P1858" i="21"/>
  <c r="P1859" i="21"/>
  <c r="P1860" i="21"/>
  <c r="P1861" i="21"/>
  <c r="P1862" i="21"/>
  <c r="P1863" i="21"/>
  <c r="P1864" i="21"/>
  <c r="P1865" i="21"/>
  <c r="P1866" i="21"/>
  <c r="P1867" i="21"/>
  <c r="P1868" i="21"/>
  <c r="P1869" i="21"/>
  <c r="P1870" i="21"/>
  <c r="P1871" i="21"/>
  <c r="P1872" i="21"/>
  <c r="P1873" i="21"/>
  <c r="P1874" i="21"/>
  <c r="P1875" i="21"/>
  <c r="P1876" i="21"/>
  <c r="P1877" i="21"/>
  <c r="P1878" i="21"/>
  <c r="P1879" i="21"/>
  <c r="P1880" i="21"/>
  <c r="P1881" i="21"/>
  <c r="P1882" i="21"/>
  <c r="P1883" i="21"/>
  <c r="P1884" i="21"/>
  <c r="P1885" i="21"/>
  <c r="P1886" i="21"/>
  <c r="P1887" i="21"/>
  <c r="P1888" i="21"/>
  <c r="P1889" i="21"/>
  <c r="P1890" i="21"/>
  <c r="P1891" i="21"/>
  <c r="P1892" i="21"/>
  <c r="P1893" i="21"/>
  <c r="P1894" i="21"/>
  <c r="P1895" i="21"/>
  <c r="P1896" i="21"/>
  <c r="P1897" i="21"/>
  <c r="P1898" i="21"/>
  <c r="P1899" i="21"/>
  <c r="P1900" i="21"/>
  <c r="P1901" i="21"/>
  <c r="P1902" i="21"/>
  <c r="P1903" i="21"/>
  <c r="P1904" i="21"/>
  <c r="P1905" i="21"/>
  <c r="P1906" i="21"/>
  <c r="P1907" i="21"/>
  <c r="P1908" i="21"/>
  <c r="P1909" i="21"/>
  <c r="P1910" i="21"/>
  <c r="P1911" i="21"/>
  <c r="P1912" i="21"/>
  <c r="P1913" i="21"/>
  <c r="P1914" i="21"/>
  <c r="P1915" i="21"/>
  <c r="P1916" i="21"/>
  <c r="P1917" i="21"/>
  <c r="P1918" i="21"/>
  <c r="P1919" i="21"/>
  <c r="P1920" i="21"/>
  <c r="P1921" i="21"/>
  <c r="P1922" i="21"/>
  <c r="P1923" i="21"/>
  <c r="P1924" i="21"/>
  <c r="P1925" i="21"/>
  <c r="P1926" i="21"/>
  <c r="P1927" i="21"/>
  <c r="P1928" i="21"/>
  <c r="P1929" i="21"/>
  <c r="P1930" i="21"/>
  <c r="P1931" i="21"/>
  <c r="P1932" i="21"/>
  <c r="P1933" i="21"/>
  <c r="P1934" i="21"/>
  <c r="P1935" i="21"/>
  <c r="P1936" i="21"/>
  <c r="P1937" i="21"/>
  <c r="P1938" i="21"/>
  <c r="P1939" i="21"/>
  <c r="P1940" i="21"/>
  <c r="P1941" i="21"/>
  <c r="P1942" i="21"/>
  <c r="P1943" i="21"/>
  <c r="P1944" i="21"/>
  <c r="P1945" i="21"/>
  <c r="P1946" i="21"/>
  <c r="P1947" i="21"/>
  <c r="P1948" i="21"/>
  <c r="P1949" i="21"/>
  <c r="P1950" i="21"/>
  <c r="P1951" i="21"/>
  <c r="P1952" i="21"/>
  <c r="P1953" i="21"/>
  <c r="P1954" i="21"/>
  <c r="P1955" i="21"/>
  <c r="P1956" i="21"/>
  <c r="P1957" i="21"/>
  <c r="P1958" i="21"/>
  <c r="P1959" i="21"/>
  <c r="P1960" i="21"/>
  <c r="P1961" i="21"/>
  <c r="P1962" i="21"/>
  <c r="P1963" i="21"/>
  <c r="P1964" i="21"/>
  <c r="P1965" i="21"/>
  <c r="P1966" i="21"/>
  <c r="P1967" i="21"/>
  <c r="P1968" i="21"/>
  <c r="P1969" i="21"/>
  <c r="P1970" i="21"/>
  <c r="P1971" i="21"/>
  <c r="P1972" i="21"/>
  <c r="P1973" i="21"/>
  <c r="P1974" i="21"/>
  <c r="P1975" i="21"/>
  <c r="P1976" i="21"/>
  <c r="P1977" i="21"/>
  <c r="P1978" i="21"/>
  <c r="P1979" i="21"/>
  <c r="P1980" i="21"/>
  <c r="P1981" i="21"/>
  <c r="P1982" i="21"/>
  <c r="P1983" i="21"/>
  <c r="P1984" i="21"/>
  <c r="P1985" i="21"/>
  <c r="P1986" i="21"/>
  <c r="P1987" i="21"/>
  <c r="P1988" i="21"/>
  <c r="P1989" i="21"/>
  <c r="P1990" i="21"/>
  <c r="P1991" i="21"/>
  <c r="P1992" i="21"/>
  <c r="P1993" i="21"/>
  <c r="P1994" i="21"/>
  <c r="P1995" i="21"/>
  <c r="P1996" i="21"/>
  <c r="P1997" i="21"/>
  <c r="P1998" i="21"/>
  <c r="P1999" i="21"/>
  <c r="P2000" i="21"/>
  <c r="P2001" i="21"/>
  <c r="P2002" i="21"/>
  <c r="P2003" i="21"/>
  <c r="P2004" i="21"/>
  <c r="P2005" i="21"/>
  <c r="P2006" i="21"/>
  <c r="P2007" i="21"/>
  <c r="P2008" i="21"/>
  <c r="P2009" i="21"/>
  <c r="P2010" i="21"/>
  <c r="P2011" i="21"/>
  <c r="P2012" i="21"/>
  <c r="P2013" i="21"/>
  <c r="P2014" i="21"/>
  <c r="P2015" i="21"/>
  <c r="P2016" i="21"/>
  <c r="P2017" i="21"/>
  <c r="P2018" i="21"/>
  <c r="P2019" i="21"/>
  <c r="P2020" i="21"/>
  <c r="P2021" i="21"/>
  <c r="P2022" i="21"/>
  <c r="P2023" i="21"/>
  <c r="P2024" i="21"/>
  <c r="P2025" i="21"/>
  <c r="P2026" i="21"/>
  <c r="P2027" i="21"/>
  <c r="P2028" i="21"/>
  <c r="P2029" i="21"/>
  <c r="P2030" i="21"/>
  <c r="P2031" i="21"/>
  <c r="P2032" i="21"/>
  <c r="P2033" i="21"/>
  <c r="P2034" i="21"/>
  <c r="P2035" i="21"/>
  <c r="P2036" i="21"/>
  <c r="P2037" i="21"/>
  <c r="P2038" i="21"/>
  <c r="P2039" i="21"/>
  <c r="P2040" i="21"/>
  <c r="P2041" i="21"/>
  <c r="P2042" i="21"/>
  <c r="P2043" i="21"/>
  <c r="P2044" i="21"/>
  <c r="P2045" i="21"/>
  <c r="P2046" i="21"/>
  <c r="P2047" i="21"/>
  <c r="P2048" i="21"/>
  <c r="P2049" i="21"/>
  <c r="P2050" i="21"/>
  <c r="P2051" i="21"/>
  <c r="P2052" i="21"/>
  <c r="P2053" i="21"/>
  <c r="P2054" i="21"/>
  <c r="P2055" i="21"/>
  <c r="P2056" i="21"/>
  <c r="P2057" i="21"/>
  <c r="P2058" i="21"/>
  <c r="P2059" i="21"/>
  <c r="P2060" i="21"/>
  <c r="P2061" i="21"/>
  <c r="P2062" i="21"/>
  <c r="P2063" i="21"/>
  <c r="P2064" i="21"/>
  <c r="P2065" i="21"/>
  <c r="P2066" i="21"/>
  <c r="P2067" i="21"/>
  <c r="P2068" i="21"/>
  <c r="P2069" i="21"/>
  <c r="P2070" i="21"/>
  <c r="P2071" i="21"/>
  <c r="P2072" i="21"/>
  <c r="P2073" i="21"/>
  <c r="P2074" i="21"/>
  <c r="P2075" i="21"/>
  <c r="P2076" i="21"/>
  <c r="P2077" i="21"/>
  <c r="P2078" i="21"/>
  <c r="P2079" i="21"/>
  <c r="P2080" i="21"/>
  <c r="P2081" i="21"/>
  <c r="P2082" i="21"/>
  <c r="P2083" i="21"/>
  <c r="P2084" i="21"/>
  <c r="P2085" i="21"/>
  <c r="P2086" i="21"/>
  <c r="P2087" i="21"/>
  <c r="P2088" i="21"/>
  <c r="P2089" i="21"/>
  <c r="P2090" i="21"/>
  <c r="P2091" i="21"/>
  <c r="P2092" i="21"/>
  <c r="P2093" i="21"/>
  <c r="P2094" i="21"/>
  <c r="P2095" i="21"/>
  <c r="P2096" i="21"/>
  <c r="P2097" i="21"/>
  <c r="P2098" i="21"/>
  <c r="P2099" i="21"/>
  <c r="P2100" i="21"/>
  <c r="P2101" i="21"/>
  <c r="P2102" i="21"/>
  <c r="P2103" i="21"/>
  <c r="P2104" i="21"/>
  <c r="P2105" i="21"/>
  <c r="P2106" i="21"/>
  <c r="P2107" i="21"/>
  <c r="P2108" i="21"/>
  <c r="P2109" i="21"/>
  <c r="P2110" i="21"/>
  <c r="P2111" i="21"/>
  <c r="P2112" i="21"/>
  <c r="P2113" i="21"/>
  <c r="P2114" i="21"/>
  <c r="P2115" i="21"/>
  <c r="P2116" i="21"/>
  <c r="P2117" i="21"/>
  <c r="P2118" i="21"/>
  <c r="P2119" i="21"/>
  <c r="P2120" i="21"/>
  <c r="P2121" i="21"/>
  <c r="P2122" i="21"/>
  <c r="P2123" i="21"/>
  <c r="P2124" i="21"/>
  <c r="P2125" i="21"/>
  <c r="P2126" i="21"/>
  <c r="P2127" i="21"/>
  <c r="P2128" i="21"/>
  <c r="P2129" i="21"/>
  <c r="P2130" i="21"/>
  <c r="P2131" i="21"/>
  <c r="P2132" i="21"/>
  <c r="P2133" i="21"/>
  <c r="P2134" i="21"/>
  <c r="P2135" i="21"/>
  <c r="P2136" i="21"/>
  <c r="P2137" i="21"/>
  <c r="P2138" i="21"/>
  <c r="P2139" i="21"/>
  <c r="P2140" i="21"/>
  <c r="P2141" i="21"/>
  <c r="P2142" i="21"/>
  <c r="P2143" i="21"/>
  <c r="P2144" i="21"/>
  <c r="P2145" i="21"/>
  <c r="P2146" i="21"/>
  <c r="P2147" i="21"/>
  <c r="P2148" i="21"/>
  <c r="P2149" i="21"/>
  <c r="P2150" i="21"/>
  <c r="P2151" i="21"/>
  <c r="P2152" i="21"/>
  <c r="P2153" i="21"/>
  <c r="P2154" i="21"/>
  <c r="P2155" i="21"/>
  <c r="P2156" i="21"/>
  <c r="P2157" i="21"/>
  <c r="P2158" i="21"/>
  <c r="P2159" i="21"/>
  <c r="P2160" i="21"/>
  <c r="P2161" i="21"/>
  <c r="P2162" i="21"/>
  <c r="P2163" i="21"/>
  <c r="P2164" i="21"/>
  <c r="P2165" i="21"/>
  <c r="P2166" i="21"/>
  <c r="P2167" i="21"/>
  <c r="P2168" i="21"/>
  <c r="P2169" i="21"/>
  <c r="P2170" i="21"/>
  <c r="P2171" i="21"/>
  <c r="P2172" i="21"/>
  <c r="P2173" i="21"/>
  <c r="P2174" i="21"/>
  <c r="P2175" i="21"/>
  <c r="P2176" i="21"/>
  <c r="P2177" i="21"/>
  <c r="P2178" i="21"/>
  <c r="P2179" i="21"/>
  <c r="P2180" i="21"/>
  <c r="P2181" i="21"/>
  <c r="P2182" i="21"/>
  <c r="P2183" i="21"/>
  <c r="P2184" i="21"/>
  <c r="P2185" i="21"/>
  <c r="P2186" i="21"/>
  <c r="P2187" i="21"/>
  <c r="P2188" i="21"/>
  <c r="P2189" i="21"/>
  <c r="P2190" i="21"/>
  <c r="P2191" i="21"/>
  <c r="P2192" i="21"/>
  <c r="P2193" i="21"/>
  <c r="P2194" i="21"/>
  <c r="P2195" i="21"/>
  <c r="P2196" i="21"/>
  <c r="P2197" i="21"/>
  <c r="P2198" i="21"/>
  <c r="P2199" i="21"/>
  <c r="P2200" i="21"/>
  <c r="P2201" i="21"/>
  <c r="P2202" i="21"/>
  <c r="P2203" i="21"/>
  <c r="P2204" i="21"/>
  <c r="P2205" i="21"/>
  <c r="P2206" i="21"/>
  <c r="P2207" i="21"/>
  <c r="P2208" i="21"/>
  <c r="P2209" i="21"/>
  <c r="P2210" i="21"/>
  <c r="P2211" i="21"/>
  <c r="P2212" i="21"/>
  <c r="P2213" i="21"/>
  <c r="P2214" i="21"/>
  <c r="P2215" i="21"/>
  <c r="P2216" i="21"/>
  <c r="P2217" i="21"/>
  <c r="P2218" i="21"/>
  <c r="P2219" i="21"/>
  <c r="P2220" i="21"/>
  <c r="P2221" i="21"/>
  <c r="P2222" i="21"/>
  <c r="P2223" i="21"/>
  <c r="P2224" i="21"/>
  <c r="P2225" i="21"/>
  <c r="P2226" i="21"/>
  <c r="P2227" i="21"/>
  <c r="P2228" i="21"/>
  <c r="P2229" i="21"/>
  <c r="P2230" i="21"/>
  <c r="P2231" i="21"/>
  <c r="P2232" i="21"/>
  <c r="P2233" i="21"/>
  <c r="P2234" i="21"/>
  <c r="P2235" i="21"/>
  <c r="P2236" i="21"/>
  <c r="P2237" i="21"/>
  <c r="P2238" i="21"/>
  <c r="P2239" i="21"/>
  <c r="P2240" i="21"/>
  <c r="P2241" i="21"/>
  <c r="P2242" i="21"/>
  <c r="P2243" i="21"/>
  <c r="P2244" i="21"/>
  <c r="P2245" i="21"/>
  <c r="P2246" i="21"/>
  <c r="P2247" i="21"/>
  <c r="P2248" i="21"/>
  <c r="P2249" i="21"/>
  <c r="P2250" i="21"/>
  <c r="P2251" i="21"/>
  <c r="P2252" i="21"/>
  <c r="P2253" i="21"/>
  <c r="P2254" i="21"/>
  <c r="P2255" i="21"/>
  <c r="P2256" i="21"/>
  <c r="P2257" i="21"/>
  <c r="P2258" i="21"/>
  <c r="P2259" i="21"/>
  <c r="P2260" i="21"/>
  <c r="P2261" i="21"/>
  <c r="P2262" i="21"/>
  <c r="P2263" i="21"/>
  <c r="P2264" i="21"/>
  <c r="P2265" i="21"/>
  <c r="P2266" i="21"/>
  <c r="P2267" i="21"/>
  <c r="P2268" i="21"/>
  <c r="P2269" i="21"/>
  <c r="P2270" i="21"/>
  <c r="P2271" i="21"/>
  <c r="P2272" i="21"/>
  <c r="P2273" i="21"/>
  <c r="P2274" i="21"/>
  <c r="P2275" i="21"/>
  <c r="P2276" i="21"/>
  <c r="P2277" i="21"/>
  <c r="P2278" i="21"/>
  <c r="P2279" i="21"/>
  <c r="P2280" i="21"/>
  <c r="P2281" i="21"/>
  <c r="P2282" i="21"/>
  <c r="P2283" i="21"/>
  <c r="P2284" i="21"/>
  <c r="P2285" i="21"/>
  <c r="P2286" i="21"/>
  <c r="P2287" i="21"/>
  <c r="P2288" i="21"/>
  <c r="P2289" i="21"/>
  <c r="P2290" i="21"/>
  <c r="P2291" i="21"/>
  <c r="P2292" i="21"/>
  <c r="P2293" i="21"/>
  <c r="P2294" i="21"/>
  <c r="P2295" i="21"/>
  <c r="P2296" i="21"/>
  <c r="P2297" i="21"/>
  <c r="P2298" i="21"/>
  <c r="P2299" i="21"/>
  <c r="P2300" i="21"/>
  <c r="P2301" i="21"/>
  <c r="P2302" i="21"/>
  <c r="P2303" i="21"/>
  <c r="P2304" i="21"/>
  <c r="P2305" i="21"/>
  <c r="P2306" i="21"/>
  <c r="P2307" i="21"/>
  <c r="P2308" i="21"/>
  <c r="P2309" i="21"/>
  <c r="P2310" i="21"/>
  <c r="P2311" i="21"/>
  <c r="P2312" i="21"/>
  <c r="P2313" i="21"/>
  <c r="P2314" i="21"/>
  <c r="P2315" i="21"/>
  <c r="P2316" i="21"/>
  <c r="P2317" i="21"/>
  <c r="P2318" i="21"/>
  <c r="P2319" i="21"/>
  <c r="P2320" i="21"/>
  <c r="P2321" i="21"/>
  <c r="P2322" i="21"/>
  <c r="P2323" i="21"/>
  <c r="P2324" i="21"/>
  <c r="P2325" i="21"/>
  <c r="P2326" i="21"/>
  <c r="P2327" i="21"/>
  <c r="P2328" i="21"/>
  <c r="P2329" i="21"/>
  <c r="P2330" i="21"/>
  <c r="P2331" i="21"/>
  <c r="P2332" i="21"/>
  <c r="P2333" i="21"/>
  <c r="P2334" i="21"/>
  <c r="P2335" i="21"/>
  <c r="P2336" i="21"/>
  <c r="P2337" i="21"/>
  <c r="P2338" i="21"/>
  <c r="P2339" i="21"/>
  <c r="P2340" i="21"/>
  <c r="P2341" i="21"/>
  <c r="P2342" i="21"/>
  <c r="P2343" i="21"/>
  <c r="P2344" i="21"/>
  <c r="P2345" i="21"/>
  <c r="P2346" i="21"/>
  <c r="P2347" i="21"/>
  <c r="P2348" i="21"/>
  <c r="P2349" i="21"/>
  <c r="P2350" i="21"/>
  <c r="P2351" i="21"/>
  <c r="P2352" i="21"/>
  <c r="P2353" i="21"/>
  <c r="P2354" i="21"/>
  <c r="P2355" i="21"/>
  <c r="P2356" i="21"/>
  <c r="P2357" i="21"/>
  <c r="P2358" i="21"/>
  <c r="P2359" i="21"/>
  <c r="P2360" i="21"/>
  <c r="P2361" i="21"/>
  <c r="P2362" i="21"/>
  <c r="P2363" i="21"/>
  <c r="P2364" i="21"/>
  <c r="P2365" i="21"/>
  <c r="P2366" i="21"/>
  <c r="P2367" i="21"/>
  <c r="P2368" i="21"/>
  <c r="P2369" i="21"/>
  <c r="P2370" i="21"/>
  <c r="P2371" i="21"/>
  <c r="P2372" i="21"/>
  <c r="P2373" i="21"/>
  <c r="P2374" i="21"/>
  <c r="P2375" i="21"/>
  <c r="P2376" i="21"/>
  <c r="P2377" i="21"/>
  <c r="P2378" i="21"/>
  <c r="P2379" i="21"/>
  <c r="P2380" i="21"/>
  <c r="P2381" i="21"/>
  <c r="P2382" i="21"/>
  <c r="P2383" i="21"/>
  <c r="P2384" i="21"/>
  <c r="P2385" i="21"/>
  <c r="P2386" i="21"/>
  <c r="P2387" i="21"/>
  <c r="P2388" i="21"/>
  <c r="P2389" i="21"/>
  <c r="P2390" i="21"/>
  <c r="P2391" i="21"/>
  <c r="P2392" i="21"/>
  <c r="P2393" i="21"/>
  <c r="P2394" i="21"/>
  <c r="P2395" i="21"/>
  <c r="P2396" i="21"/>
  <c r="P2397" i="21"/>
  <c r="P2398" i="21"/>
  <c r="P2399" i="21"/>
  <c r="P2400" i="21"/>
  <c r="P2401" i="21"/>
  <c r="P2402" i="21"/>
  <c r="P2403" i="21"/>
  <c r="P2404" i="21"/>
  <c r="P2405" i="21"/>
  <c r="P2406" i="21"/>
  <c r="P2407" i="21"/>
  <c r="P2408" i="21"/>
  <c r="P2409" i="21"/>
  <c r="P2410" i="21"/>
  <c r="P2411" i="21"/>
  <c r="P2412" i="21"/>
  <c r="P2413" i="21"/>
  <c r="P2414" i="21"/>
  <c r="P2415" i="21"/>
  <c r="P2416" i="21"/>
  <c r="P2417" i="21"/>
  <c r="P2418" i="21"/>
  <c r="P2419" i="21"/>
  <c r="P2420" i="21"/>
  <c r="P2421" i="21"/>
  <c r="P2422" i="21"/>
  <c r="P2423" i="21"/>
  <c r="P2424" i="21"/>
  <c r="P2425" i="21"/>
  <c r="P2426" i="21"/>
  <c r="P2427" i="21"/>
  <c r="P2428" i="21"/>
  <c r="P2429" i="21"/>
  <c r="P2430" i="21"/>
  <c r="P2431" i="21"/>
  <c r="P2432" i="21"/>
  <c r="P2433" i="21"/>
  <c r="P2434" i="21"/>
  <c r="P2435" i="21"/>
  <c r="P2436" i="21"/>
  <c r="P2437" i="21"/>
  <c r="P2438" i="21"/>
  <c r="P2439" i="21"/>
  <c r="P2440" i="21"/>
  <c r="P2441" i="21"/>
  <c r="P2442" i="21"/>
  <c r="P2443" i="21"/>
  <c r="P2444" i="21"/>
  <c r="P2445" i="21"/>
  <c r="P2446" i="21"/>
  <c r="P2447" i="21"/>
  <c r="P2448" i="21"/>
  <c r="P2449" i="21"/>
  <c r="P2450" i="21"/>
  <c r="P2451" i="21"/>
  <c r="P2452" i="21"/>
  <c r="P2453" i="21"/>
  <c r="P2454" i="21"/>
  <c r="P2455" i="21"/>
  <c r="P2456" i="21"/>
  <c r="P2457" i="21"/>
  <c r="P2458" i="21"/>
  <c r="P2459" i="21"/>
  <c r="P2460" i="21"/>
  <c r="P2461" i="21"/>
  <c r="P2462" i="21"/>
  <c r="P2463" i="21"/>
  <c r="P2464" i="21"/>
  <c r="P2465" i="21"/>
  <c r="P2466" i="21"/>
  <c r="P2467" i="21"/>
  <c r="P2468" i="21"/>
  <c r="P2469" i="21"/>
  <c r="P2470" i="21"/>
  <c r="P2471" i="21"/>
  <c r="P2472" i="21"/>
  <c r="P2473" i="21"/>
  <c r="P2474" i="21"/>
  <c r="P2475" i="21"/>
  <c r="P2476" i="21"/>
  <c r="P2477" i="21"/>
  <c r="P2478" i="21"/>
  <c r="P2479" i="21"/>
  <c r="P2480" i="21"/>
  <c r="P2481" i="21"/>
  <c r="P2482" i="21"/>
  <c r="P2483" i="21"/>
  <c r="P2484" i="21"/>
  <c r="P2485" i="21"/>
  <c r="P2486" i="21"/>
  <c r="P2487" i="21"/>
  <c r="P2488" i="21"/>
  <c r="P2489" i="21"/>
  <c r="P2490" i="21"/>
  <c r="P2491" i="21"/>
  <c r="P2492" i="21"/>
  <c r="P2493" i="21"/>
  <c r="P2494" i="21"/>
  <c r="P2495" i="21"/>
  <c r="P2496" i="21"/>
  <c r="P2497" i="21"/>
  <c r="P2498" i="21"/>
  <c r="P2499" i="21"/>
  <c r="P2500" i="21"/>
  <c r="P2501" i="21"/>
  <c r="P2502" i="21"/>
  <c r="P2503" i="21"/>
  <c r="P2504" i="21"/>
  <c r="P2505" i="21"/>
  <c r="P2506" i="21"/>
  <c r="P2507" i="21"/>
  <c r="P2508" i="21"/>
  <c r="P2509" i="21"/>
  <c r="P2510" i="21"/>
  <c r="P2511" i="21"/>
  <c r="P2512" i="21"/>
  <c r="P2513" i="21"/>
  <c r="P2514" i="21"/>
  <c r="P2515" i="21"/>
  <c r="P2516" i="21"/>
  <c r="P2517" i="21"/>
  <c r="P2518" i="21"/>
  <c r="P2519" i="21"/>
  <c r="P2520" i="21"/>
  <c r="P2521" i="21"/>
  <c r="P2522" i="21"/>
  <c r="P2523" i="21"/>
  <c r="P2524" i="21"/>
  <c r="P2525" i="21"/>
  <c r="P2526" i="21"/>
  <c r="P2527" i="21"/>
  <c r="P2528" i="21"/>
  <c r="P2529" i="21"/>
  <c r="P2530" i="21"/>
  <c r="P2531" i="21"/>
  <c r="P2532" i="21"/>
  <c r="P2533" i="21"/>
  <c r="P2534" i="21"/>
  <c r="P2535" i="21"/>
  <c r="P2536" i="21"/>
  <c r="P2537" i="21"/>
  <c r="P2538" i="21"/>
  <c r="P2539" i="21"/>
  <c r="P2540" i="21"/>
  <c r="P2541" i="21"/>
  <c r="P2542" i="21"/>
  <c r="P2543" i="21"/>
  <c r="P2544" i="21"/>
  <c r="P2545" i="21"/>
  <c r="P2546" i="21"/>
  <c r="P2547" i="21"/>
  <c r="P2548" i="21"/>
  <c r="P2549" i="21"/>
  <c r="P2550" i="21"/>
  <c r="P2551" i="21"/>
  <c r="P2552" i="21"/>
  <c r="P2553" i="21"/>
  <c r="P2554" i="21"/>
  <c r="P2555" i="21"/>
  <c r="P2556" i="21"/>
  <c r="P2557" i="21"/>
  <c r="P2558" i="21"/>
  <c r="P2559" i="21"/>
  <c r="P2560" i="21"/>
  <c r="P2561" i="21"/>
  <c r="P2562" i="21"/>
  <c r="P2563" i="21"/>
  <c r="P2564" i="21"/>
  <c r="P2565" i="21"/>
  <c r="P2566" i="21"/>
  <c r="P2567" i="21"/>
  <c r="P2568" i="21"/>
  <c r="P2569" i="21"/>
  <c r="P2570" i="21"/>
  <c r="P2571" i="21"/>
  <c r="P2572" i="21"/>
  <c r="P2573" i="21"/>
  <c r="P2574" i="21"/>
  <c r="P2575" i="21"/>
  <c r="P2576" i="21"/>
  <c r="P2577" i="21"/>
  <c r="P2578" i="21"/>
  <c r="P2579" i="21"/>
  <c r="P2580" i="21"/>
  <c r="P2581" i="21"/>
  <c r="P2582" i="21"/>
  <c r="P2583" i="21"/>
  <c r="P2584" i="21"/>
  <c r="P2585" i="21"/>
  <c r="P2586" i="21"/>
  <c r="P2587" i="21"/>
  <c r="P2588" i="21"/>
  <c r="P2589" i="21"/>
  <c r="P2590" i="21"/>
  <c r="P2591" i="21"/>
  <c r="P2592" i="21"/>
  <c r="P2593" i="21"/>
  <c r="P2594" i="21"/>
  <c r="P2595" i="21"/>
  <c r="P2596" i="21"/>
  <c r="P2597" i="21"/>
  <c r="P2598" i="21"/>
  <c r="P2599" i="21"/>
  <c r="P2600" i="21"/>
  <c r="P2601" i="21"/>
  <c r="P2602" i="21"/>
  <c r="P2603" i="21"/>
  <c r="P2604" i="21"/>
  <c r="P2605" i="21"/>
  <c r="P2606" i="21"/>
  <c r="P2607" i="21"/>
  <c r="P2608" i="21"/>
  <c r="P2609" i="21"/>
  <c r="P2610" i="21"/>
  <c r="P2611" i="21"/>
  <c r="P2612" i="21"/>
  <c r="P2613" i="21"/>
  <c r="P2614" i="21"/>
  <c r="P2615" i="21"/>
  <c r="P2616" i="21"/>
  <c r="P2617" i="21"/>
  <c r="P2618" i="21"/>
  <c r="P2619" i="21"/>
  <c r="P2620" i="21"/>
  <c r="P2621" i="21"/>
  <c r="P2622" i="21"/>
  <c r="P2623" i="21"/>
  <c r="P2624" i="21"/>
  <c r="P2625" i="21"/>
  <c r="P2626" i="21"/>
  <c r="P2627" i="21"/>
  <c r="P2628" i="21"/>
  <c r="P2629" i="21"/>
  <c r="P2630" i="21"/>
  <c r="P2631" i="21"/>
  <c r="P2632" i="21"/>
  <c r="P2633" i="21"/>
  <c r="P2634" i="21"/>
  <c r="P2635" i="21"/>
  <c r="P2636" i="21"/>
  <c r="P2637" i="21"/>
  <c r="P2638" i="21"/>
  <c r="P2639" i="21"/>
  <c r="P2640" i="21"/>
  <c r="P2641" i="21"/>
  <c r="P2642" i="21"/>
  <c r="P2643" i="21"/>
  <c r="P2644" i="21"/>
  <c r="P2645" i="21"/>
  <c r="P2646" i="21"/>
  <c r="P2647" i="21"/>
  <c r="P2648" i="21"/>
  <c r="P2649" i="21"/>
  <c r="P2650" i="21"/>
  <c r="P2651" i="21"/>
  <c r="P2652" i="21"/>
  <c r="P2653" i="21"/>
  <c r="P2654" i="21"/>
  <c r="P2655" i="21"/>
  <c r="P2656" i="21"/>
  <c r="P2657" i="21"/>
  <c r="P2658" i="21"/>
  <c r="P2659" i="21"/>
  <c r="P2660" i="21"/>
  <c r="P2661" i="21"/>
  <c r="P2662" i="21"/>
  <c r="P2663" i="21"/>
  <c r="P2664" i="21"/>
  <c r="P2665" i="21"/>
  <c r="P2666" i="21"/>
  <c r="P2667" i="21"/>
  <c r="P2668" i="21"/>
  <c r="P2669" i="21"/>
  <c r="P2670" i="21"/>
  <c r="P2671" i="21"/>
  <c r="P2672" i="21"/>
  <c r="P2673" i="21"/>
  <c r="P2674" i="21"/>
  <c r="P2675" i="21"/>
  <c r="P2676" i="21"/>
  <c r="P2677" i="21"/>
  <c r="P2678" i="21"/>
  <c r="P2679" i="21"/>
  <c r="P2680" i="21"/>
  <c r="P2681" i="21"/>
  <c r="P2682" i="21"/>
  <c r="P2683" i="21"/>
  <c r="P2684" i="21"/>
  <c r="P2685" i="21"/>
  <c r="P2686" i="21"/>
  <c r="P2687" i="21"/>
  <c r="P2688" i="21"/>
  <c r="P2689" i="21"/>
  <c r="P2690" i="21"/>
  <c r="P2691" i="21"/>
  <c r="P2692" i="21"/>
  <c r="P2693" i="21"/>
  <c r="P2694" i="21"/>
  <c r="P2695" i="21"/>
  <c r="P2696" i="21"/>
  <c r="P2697" i="21"/>
  <c r="P2698" i="21"/>
  <c r="P2699" i="21"/>
  <c r="P2700" i="21"/>
  <c r="P2701" i="21"/>
  <c r="P2702" i="21"/>
  <c r="P2703" i="21"/>
  <c r="P2704" i="21"/>
  <c r="P2705" i="21"/>
  <c r="P2706" i="21"/>
  <c r="P2707" i="21"/>
  <c r="P2708" i="21"/>
  <c r="P2709" i="21"/>
  <c r="P2710" i="21"/>
  <c r="P2711" i="21"/>
  <c r="P2712" i="21"/>
  <c r="P2713" i="21"/>
  <c r="P2714" i="21"/>
  <c r="P2715" i="21"/>
  <c r="P2716" i="21"/>
  <c r="P2717" i="21"/>
  <c r="P2718" i="21"/>
  <c r="P2719" i="21"/>
  <c r="P2720" i="21"/>
  <c r="P2721" i="21"/>
  <c r="P2722" i="21"/>
  <c r="P2723" i="21"/>
  <c r="P2724" i="21"/>
  <c r="P2725" i="21"/>
  <c r="P2726" i="21"/>
  <c r="P2727" i="21"/>
  <c r="P2728" i="21"/>
  <c r="P2729" i="21"/>
  <c r="P2730" i="21"/>
  <c r="P2731" i="21"/>
  <c r="P2732" i="21"/>
  <c r="P2733" i="21"/>
  <c r="P2734" i="21"/>
  <c r="P2735" i="21"/>
  <c r="P2736" i="21"/>
  <c r="P2737" i="21"/>
  <c r="P2738" i="21"/>
  <c r="P2739" i="21"/>
  <c r="P2740" i="21"/>
  <c r="P2741" i="21"/>
  <c r="P2742" i="21"/>
  <c r="P2743" i="21"/>
  <c r="P2744" i="21"/>
  <c r="P2745" i="21"/>
  <c r="P2746" i="21"/>
  <c r="P2747" i="21"/>
  <c r="P2748" i="21"/>
  <c r="P2749" i="21"/>
  <c r="P2750" i="21"/>
  <c r="P2751" i="21"/>
  <c r="P2752" i="21"/>
  <c r="P2753" i="21"/>
  <c r="P2754" i="21"/>
  <c r="P2755" i="21"/>
  <c r="P2756" i="21"/>
  <c r="P2757" i="21"/>
  <c r="P2758" i="21"/>
  <c r="P2759" i="21"/>
  <c r="P2760" i="21"/>
  <c r="P2761" i="21"/>
  <c r="P2762" i="21"/>
  <c r="P2763" i="21"/>
  <c r="P2764" i="21"/>
  <c r="P2765" i="21"/>
  <c r="P2766" i="21"/>
  <c r="P2767" i="21"/>
  <c r="P2768" i="21"/>
  <c r="P2769" i="21"/>
  <c r="P2770" i="21"/>
  <c r="P2771" i="21"/>
  <c r="P2772" i="21"/>
  <c r="P2773" i="21"/>
  <c r="P2774" i="21"/>
  <c r="P2775" i="21"/>
  <c r="P2776" i="21"/>
  <c r="P2777" i="21"/>
  <c r="P2778" i="21"/>
  <c r="P2779" i="21"/>
  <c r="P2780" i="21"/>
  <c r="P2781" i="21"/>
  <c r="P2782" i="21"/>
  <c r="P2783" i="21"/>
  <c r="P2784" i="21"/>
  <c r="P2785" i="21"/>
  <c r="P2786" i="21"/>
  <c r="P2787" i="21"/>
  <c r="P2788" i="21"/>
  <c r="P2789" i="21"/>
  <c r="P2790" i="21"/>
  <c r="P2791" i="21"/>
  <c r="P2792" i="21"/>
  <c r="P2793" i="21"/>
  <c r="P2794" i="21"/>
  <c r="P2795" i="21"/>
  <c r="P2796" i="21"/>
  <c r="P2797" i="21"/>
  <c r="P2798" i="21"/>
  <c r="P2799" i="21"/>
  <c r="P2800" i="21"/>
  <c r="P2801" i="21"/>
  <c r="P2802" i="21"/>
  <c r="P2803" i="21"/>
  <c r="P2804" i="21"/>
  <c r="P2805" i="21"/>
  <c r="P2806" i="21"/>
  <c r="P2807" i="21"/>
  <c r="P2808" i="21"/>
  <c r="P2809" i="21"/>
  <c r="P2810" i="21"/>
  <c r="P2811" i="21"/>
  <c r="P2812" i="21"/>
  <c r="P2813" i="21"/>
  <c r="P2814" i="21"/>
  <c r="P2815" i="21"/>
  <c r="P2816" i="21"/>
  <c r="P2817" i="21"/>
  <c r="P2818" i="21"/>
  <c r="P2819" i="21"/>
  <c r="P2820" i="21"/>
  <c r="P2821" i="21"/>
  <c r="P2822" i="21"/>
  <c r="P2823" i="21"/>
  <c r="P2824" i="21"/>
  <c r="P2825" i="21"/>
  <c r="P2826" i="21"/>
  <c r="P2827" i="21"/>
  <c r="P2828" i="21"/>
  <c r="P2829" i="21"/>
  <c r="P2830" i="21"/>
  <c r="P2831" i="21"/>
  <c r="P2832" i="21"/>
  <c r="P2833" i="21"/>
  <c r="P2834" i="21"/>
  <c r="P2835" i="21"/>
  <c r="P2836" i="21"/>
  <c r="P2837" i="21"/>
  <c r="P2838" i="21"/>
  <c r="P2839" i="21"/>
  <c r="P2840" i="21"/>
  <c r="P2841" i="21"/>
  <c r="P2842" i="21"/>
  <c r="P2843" i="21"/>
  <c r="P2844" i="21"/>
  <c r="P2845" i="21"/>
  <c r="P2846" i="21"/>
  <c r="P2847" i="21"/>
  <c r="P2848" i="21"/>
  <c r="P2849" i="21"/>
  <c r="P2850" i="21"/>
  <c r="P2851" i="21"/>
  <c r="P2852" i="21"/>
  <c r="P2853" i="21"/>
  <c r="P2854" i="21"/>
  <c r="P2855" i="21"/>
  <c r="P2856" i="21"/>
  <c r="P2857" i="21"/>
  <c r="P2858" i="21"/>
  <c r="P2859" i="21"/>
  <c r="P2860" i="21"/>
  <c r="P2861" i="21"/>
  <c r="P2862" i="21"/>
  <c r="P2863" i="21"/>
  <c r="P2864" i="21"/>
  <c r="P2865" i="21"/>
  <c r="P2866" i="21"/>
  <c r="P2867" i="21"/>
  <c r="P2868" i="21"/>
  <c r="P2869" i="21"/>
  <c r="P2870" i="21"/>
  <c r="P2871" i="21"/>
  <c r="P2872" i="21"/>
  <c r="P2873" i="21"/>
  <c r="P2874" i="21"/>
  <c r="P2875" i="21"/>
  <c r="P2876" i="21"/>
  <c r="P2877" i="21"/>
  <c r="P2878" i="21"/>
  <c r="P2879" i="21"/>
  <c r="P2880" i="21"/>
  <c r="P2881" i="21"/>
  <c r="P2882" i="21"/>
  <c r="P2883" i="21"/>
  <c r="P2884" i="21"/>
  <c r="P2885" i="21"/>
  <c r="P2886" i="21"/>
  <c r="P2887" i="21"/>
  <c r="D451" i="18" l="1"/>
  <c r="G420" i="18"/>
  <c r="B388" i="18"/>
  <c r="B389" i="18" s="1"/>
  <c r="B390" i="18" s="1"/>
  <c r="B391" i="18" s="1"/>
  <c r="B392" i="18" s="1"/>
  <c r="B393" i="18" s="1"/>
  <c r="B394" i="18" s="1"/>
  <c r="B395" i="18" s="1"/>
  <c r="B396" i="18" s="1"/>
  <c r="B397" i="18" s="1"/>
  <c r="B398" i="18" s="1"/>
  <c r="B399" i="18" s="1"/>
  <c r="B400" i="18" s="1"/>
  <c r="B401" i="18" s="1"/>
  <c r="B402" i="18" s="1"/>
  <c r="B403" i="18" s="1"/>
  <c r="B404" i="18" s="1"/>
  <c r="B405" i="18" s="1"/>
  <c r="B406" i="18" s="1"/>
  <c r="B407" i="18" s="1"/>
  <c r="B408" i="18" s="1"/>
  <c r="B409" i="18" s="1"/>
  <c r="B410" i="18" s="1"/>
  <c r="B411" i="18" s="1"/>
  <c r="B412" i="18" s="1"/>
  <c r="B413" i="18" s="1"/>
  <c r="B414" i="18" s="1"/>
  <c r="B415" i="18" s="1"/>
  <c r="B416" i="18" s="1"/>
  <c r="B417" i="18" s="1"/>
  <c r="B418" i="18" s="1"/>
  <c r="T416" i="18"/>
  <c r="T415" i="18"/>
  <c r="T414" i="18"/>
  <c r="T413" i="18"/>
  <c r="T412" i="18"/>
  <c r="T403" i="18"/>
  <c r="T408" i="18"/>
  <c r="T410" i="18"/>
  <c r="T407" i="18"/>
  <c r="T409" i="18"/>
  <c r="O393" i="18"/>
  <c r="N393" i="18"/>
  <c r="O391" i="18"/>
  <c r="T411" i="18"/>
  <c r="N391" i="18"/>
  <c r="T406" i="18"/>
  <c r="T405" i="18"/>
  <c r="T404" i="18"/>
  <c r="T417" i="18"/>
  <c r="AJ24" i="7"/>
  <c r="AJ25" i="7"/>
  <c r="AJ26" i="7"/>
  <c r="AJ27" i="7"/>
  <c r="AJ28" i="7"/>
  <c r="AJ29" i="7"/>
  <c r="AJ30" i="7"/>
  <c r="AJ31" i="7"/>
  <c r="AJ32" i="7"/>
  <c r="AJ33" i="7"/>
  <c r="AJ34" i="7"/>
  <c r="AJ35" i="7"/>
  <c r="AJ36" i="7"/>
  <c r="AJ37" i="7"/>
  <c r="AJ38" i="7"/>
  <c r="AJ39" i="7"/>
  <c r="AJ40" i="7"/>
  <c r="AJ41" i="7"/>
  <c r="AJ42" i="7"/>
  <c r="AJ43" i="7"/>
  <c r="AJ44" i="7"/>
  <c r="AJ45" i="7"/>
  <c r="AJ46" i="7"/>
  <c r="AJ47" i="7"/>
  <c r="AJ48" i="7"/>
  <c r="AJ49" i="7"/>
  <c r="AJ50" i="7"/>
  <c r="AJ51" i="7"/>
  <c r="AJ52" i="7"/>
  <c r="AJ53" i="7"/>
  <c r="AJ54" i="7"/>
  <c r="AJ55" i="7"/>
  <c r="AJ56" i="7"/>
  <c r="AJ57" i="7"/>
  <c r="AJ58" i="7"/>
  <c r="AJ59" i="7"/>
  <c r="AJ60" i="7"/>
  <c r="AJ61" i="7"/>
  <c r="AJ62" i="7"/>
  <c r="AJ63" i="7"/>
  <c r="AJ64" i="7"/>
  <c r="AJ65" i="7"/>
  <c r="AJ66"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J92" i="7"/>
  <c r="AJ93" i="7"/>
  <c r="AJ94" i="7"/>
  <c r="AJ95" i="7"/>
  <c r="AJ96" i="7"/>
  <c r="AJ97" i="7"/>
  <c r="AJ98" i="7"/>
  <c r="AJ99" i="7"/>
  <c r="AJ100" i="7"/>
  <c r="AJ101" i="7"/>
  <c r="AJ102" i="7"/>
  <c r="AJ103" i="7"/>
  <c r="AJ104" i="7"/>
  <c r="AJ105" i="7"/>
  <c r="AJ106" i="7"/>
  <c r="AJ107" i="7"/>
  <c r="AJ108" i="7"/>
  <c r="AJ109" i="7"/>
  <c r="AJ110" i="7"/>
  <c r="AJ111" i="7"/>
  <c r="AJ112" i="7"/>
  <c r="AJ113" i="7"/>
  <c r="AJ114" i="7"/>
  <c r="AJ115" i="7"/>
  <c r="AJ116" i="7"/>
  <c r="AJ117" i="7"/>
  <c r="AJ118" i="7"/>
  <c r="AJ119" i="7"/>
  <c r="AJ120" i="7"/>
  <c r="AJ121" i="7"/>
  <c r="AJ122" i="7"/>
  <c r="AJ123" i="7"/>
  <c r="AJ124" i="7"/>
  <c r="AJ125" i="7"/>
  <c r="AJ126" i="7"/>
  <c r="AJ127" i="7"/>
  <c r="AJ128" i="7"/>
  <c r="AJ129" i="7"/>
  <c r="AJ130" i="7"/>
  <c r="AJ131" i="7"/>
  <c r="AJ132" i="7"/>
  <c r="AJ133" i="7"/>
  <c r="AJ134" i="7"/>
  <c r="AJ135" i="7"/>
  <c r="AJ136" i="7"/>
  <c r="AJ137" i="7"/>
  <c r="AJ138" i="7"/>
  <c r="AJ139" i="7"/>
  <c r="AJ140" i="7"/>
  <c r="AJ141" i="7"/>
  <c r="AJ142" i="7"/>
  <c r="AJ143" i="7"/>
  <c r="AJ144" i="7"/>
  <c r="AJ145" i="7"/>
  <c r="AJ146" i="7"/>
  <c r="AJ147" i="7"/>
  <c r="AJ148" i="7"/>
  <c r="AJ149" i="7"/>
  <c r="AJ150" i="7"/>
  <c r="AJ151" i="7"/>
  <c r="AJ152" i="7"/>
  <c r="AJ153" i="7"/>
  <c r="AJ154" i="7"/>
  <c r="AJ155" i="7"/>
  <c r="AJ156" i="7"/>
  <c r="AJ157" i="7"/>
  <c r="AJ158" i="7"/>
  <c r="AJ159" i="7"/>
  <c r="AJ160" i="7"/>
  <c r="AJ161" i="7"/>
  <c r="AJ162" i="7"/>
  <c r="AJ163" i="7"/>
  <c r="AJ164" i="7"/>
  <c r="AJ165" i="7"/>
  <c r="AJ166" i="7"/>
  <c r="AJ167" i="7"/>
  <c r="AJ168" i="7"/>
  <c r="AJ169" i="7"/>
  <c r="AJ170" i="7"/>
  <c r="AJ171" i="7"/>
  <c r="AJ172" i="7"/>
  <c r="AJ173" i="7"/>
  <c r="AJ174" i="7"/>
  <c r="AJ175" i="7"/>
  <c r="AJ176" i="7"/>
  <c r="AJ177" i="7"/>
  <c r="AJ178" i="7"/>
  <c r="AJ179" i="7"/>
  <c r="AJ180" i="7"/>
  <c r="AJ181" i="7"/>
  <c r="AJ182" i="7"/>
  <c r="AJ183" i="7"/>
  <c r="AJ184" i="7"/>
  <c r="AJ185" i="7"/>
  <c r="AJ186" i="7"/>
  <c r="AJ187" i="7"/>
  <c r="AJ188" i="7"/>
  <c r="AJ189" i="7"/>
  <c r="AJ190" i="7"/>
  <c r="AJ191" i="7"/>
  <c r="AJ192" i="7"/>
  <c r="AJ193" i="7"/>
  <c r="AJ194" i="7"/>
  <c r="AJ195" i="7"/>
  <c r="AJ196" i="7"/>
  <c r="AJ197" i="7"/>
  <c r="AJ198" i="7"/>
  <c r="AJ199" i="7"/>
  <c r="AJ200" i="7"/>
  <c r="AJ201" i="7"/>
  <c r="AJ202" i="7"/>
  <c r="AJ203" i="7"/>
  <c r="AJ204" i="7"/>
  <c r="AJ205" i="7"/>
  <c r="AJ206" i="7"/>
  <c r="AJ207" i="7"/>
  <c r="AJ208" i="7"/>
  <c r="AJ209" i="7"/>
  <c r="AJ210" i="7"/>
  <c r="AJ211" i="7"/>
  <c r="AJ212" i="7"/>
  <c r="AJ213" i="7"/>
  <c r="AJ214" i="7"/>
  <c r="AJ215" i="7"/>
  <c r="AJ216" i="7"/>
  <c r="AJ217" i="7"/>
  <c r="AJ218" i="7"/>
  <c r="AJ219" i="7"/>
  <c r="AJ220" i="7"/>
  <c r="AJ221" i="7"/>
  <c r="AJ222" i="7"/>
  <c r="AJ223" i="7"/>
  <c r="AJ224" i="7"/>
  <c r="AJ225" i="7"/>
  <c r="AJ226" i="7"/>
  <c r="AJ227" i="7"/>
  <c r="AJ228" i="7"/>
  <c r="AJ229" i="7"/>
  <c r="AJ230" i="7"/>
  <c r="AJ231" i="7"/>
  <c r="AJ232" i="7"/>
  <c r="AJ233" i="7"/>
  <c r="AJ234" i="7"/>
  <c r="AJ235" i="7"/>
  <c r="AJ236" i="7"/>
  <c r="AJ237" i="7"/>
  <c r="AJ238" i="7"/>
  <c r="AJ239" i="7"/>
  <c r="AJ240" i="7"/>
  <c r="AJ241" i="7"/>
  <c r="AJ242" i="7"/>
  <c r="AJ243" i="7"/>
  <c r="AJ244" i="7"/>
  <c r="AJ245" i="7"/>
  <c r="AJ246" i="7"/>
  <c r="AJ247" i="7"/>
  <c r="AJ248" i="7"/>
  <c r="AJ249" i="7"/>
  <c r="AJ250" i="7"/>
  <c r="AJ251" i="7"/>
  <c r="AJ252" i="7"/>
  <c r="AJ253" i="7"/>
  <c r="AJ254" i="7"/>
  <c r="AJ255" i="7"/>
  <c r="AJ256" i="7"/>
  <c r="AJ257" i="7"/>
  <c r="AJ258" i="7"/>
  <c r="AJ259" i="7"/>
  <c r="AJ260" i="7"/>
  <c r="AJ261" i="7"/>
  <c r="AJ262" i="7"/>
  <c r="AJ263" i="7"/>
  <c r="AJ264" i="7"/>
  <c r="AJ265" i="7"/>
  <c r="AJ266" i="7"/>
  <c r="AJ267" i="7"/>
  <c r="AJ268" i="7"/>
  <c r="AJ269" i="7"/>
  <c r="AJ270" i="7"/>
  <c r="AJ271" i="7"/>
  <c r="AJ272" i="7"/>
  <c r="AJ273" i="7"/>
  <c r="AJ274" i="7"/>
  <c r="AJ275" i="7"/>
  <c r="AJ276" i="7"/>
  <c r="AJ277" i="7"/>
  <c r="AJ278" i="7"/>
  <c r="AJ279" i="7"/>
  <c r="AJ280" i="7"/>
  <c r="AJ281" i="7"/>
  <c r="AJ282" i="7"/>
  <c r="AJ283" i="7"/>
  <c r="AJ284" i="7"/>
  <c r="AJ285" i="7"/>
  <c r="AJ286" i="7"/>
  <c r="AJ287" i="7"/>
  <c r="AJ288" i="7"/>
  <c r="AJ289" i="7"/>
  <c r="AJ290" i="7"/>
  <c r="AJ291" i="7"/>
  <c r="AJ292" i="7"/>
  <c r="AJ293" i="7"/>
  <c r="AJ294" i="7"/>
  <c r="AJ295" i="7"/>
  <c r="AJ296" i="7"/>
  <c r="AJ297" i="7"/>
  <c r="AJ298" i="7"/>
  <c r="AJ299" i="7"/>
  <c r="AJ300" i="7"/>
  <c r="AJ301" i="7"/>
  <c r="AJ302" i="7"/>
  <c r="AJ303" i="7"/>
  <c r="AJ304" i="7"/>
  <c r="AJ305" i="7"/>
  <c r="AJ306" i="7"/>
  <c r="AJ307" i="7"/>
  <c r="AJ308" i="7"/>
  <c r="AJ309" i="7"/>
  <c r="AJ310" i="7"/>
  <c r="AJ311" i="7"/>
  <c r="AJ312" i="7"/>
  <c r="AJ313" i="7"/>
  <c r="AJ314" i="7"/>
  <c r="AJ315" i="7"/>
  <c r="AJ316" i="7"/>
  <c r="AJ317" i="7"/>
  <c r="AJ318" i="7"/>
  <c r="AJ319" i="7"/>
  <c r="AJ320" i="7"/>
  <c r="AJ321" i="7"/>
  <c r="AJ322" i="7"/>
  <c r="AJ323" i="7"/>
  <c r="AJ324" i="7"/>
  <c r="AJ325" i="7"/>
  <c r="AJ326" i="7"/>
  <c r="AJ327" i="7"/>
  <c r="AJ328" i="7"/>
  <c r="AJ329" i="7"/>
  <c r="AJ330" i="7"/>
  <c r="AJ331" i="7"/>
  <c r="AJ332" i="7"/>
  <c r="AJ333" i="7"/>
  <c r="AJ334" i="7"/>
  <c r="AJ335" i="7"/>
  <c r="AJ336" i="7"/>
  <c r="AJ337" i="7"/>
  <c r="AJ338" i="7"/>
  <c r="AJ339" i="7"/>
  <c r="AJ340" i="7"/>
  <c r="AJ341" i="7"/>
  <c r="AJ342" i="7"/>
  <c r="AJ343" i="7"/>
  <c r="AJ344" i="7"/>
  <c r="AJ345" i="7"/>
  <c r="AJ346" i="7"/>
  <c r="AJ347" i="7"/>
  <c r="AJ348" i="7"/>
  <c r="AJ349" i="7"/>
  <c r="AJ350" i="7"/>
  <c r="AJ351" i="7"/>
  <c r="AJ352" i="7"/>
  <c r="AJ353" i="7"/>
  <c r="AJ354" i="7"/>
  <c r="AJ355" i="7"/>
  <c r="AJ356" i="7"/>
  <c r="AJ357" i="7"/>
  <c r="AJ358" i="7"/>
  <c r="AJ359" i="7"/>
  <c r="AJ360" i="7"/>
  <c r="AJ361" i="7"/>
  <c r="AJ362" i="7"/>
  <c r="AJ363" i="7"/>
  <c r="AJ364" i="7"/>
  <c r="AJ365" i="7"/>
  <c r="AJ366" i="7"/>
  <c r="AJ367" i="7"/>
  <c r="AJ368" i="7"/>
  <c r="AJ369" i="7"/>
  <c r="AJ370" i="7"/>
  <c r="AJ371" i="7"/>
  <c r="AJ372" i="7"/>
  <c r="AJ373" i="7"/>
  <c r="AJ374" i="7"/>
  <c r="AJ375" i="7"/>
  <c r="AJ376" i="7"/>
  <c r="AJ377" i="7"/>
  <c r="AJ378" i="7"/>
  <c r="AJ379" i="7"/>
  <c r="AJ380" i="7"/>
  <c r="AJ381" i="7"/>
  <c r="AJ382" i="7"/>
  <c r="AJ383" i="7"/>
  <c r="AJ384" i="7"/>
  <c r="AJ385" i="7"/>
  <c r="AJ386" i="7"/>
  <c r="AJ387" i="7"/>
  <c r="AJ388" i="7"/>
  <c r="AJ389" i="7"/>
  <c r="AJ390" i="7"/>
  <c r="AJ391" i="7"/>
  <c r="AJ392" i="7"/>
  <c r="AJ393" i="7"/>
  <c r="AJ394" i="7"/>
  <c r="AJ395" i="7"/>
  <c r="AJ396" i="7"/>
  <c r="AJ397" i="7"/>
  <c r="AJ398" i="7"/>
  <c r="AJ399" i="7"/>
  <c r="AJ400" i="7"/>
  <c r="AJ401" i="7"/>
  <c r="AJ402" i="7"/>
  <c r="AJ403" i="7"/>
  <c r="AJ404" i="7"/>
  <c r="AJ405" i="7"/>
  <c r="AJ406" i="7"/>
  <c r="AJ407" i="7"/>
  <c r="AJ408" i="7"/>
  <c r="AJ409" i="7"/>
  <c r="AJ410" i="7"/>
  <c r="AJ411" i="7"/>
  <c r="AJ412" i="7"/>
  <c r="AJ413" i="7"/>
  <c r="AJ414" i="7"/>
  <c r="AJ415" i="7"/>
  <c r="AJ416" i="7"/>
  <c r="AJ417" i="7"/>
  <c r="AJ418" i="7"/>
  <c r="AJ419" i="7"/>
  <c r="AJ420" i="7"/>
  <c r="AJ421" i="7"/>
  <c r="AJ422" i="7"/>
  <c r="AJ423" i="7"/>
  <c r="AJ424" i="7"/>
  <c r="AJ425" i="7"/>
  <c r="AJ426" i="7"/>
  <c r="AJ427" i="7"/>
  <c r="AJ428" i="7"/>
  <c r="AJ429" i="7"/>
  <c r="AJ430" i="7"/>
  <c r="AJ431" i="7"/>
  <c r="AJ432" i="7"/>
  <c r="AJ433" i="7"/>
  <c r="AJ434" i="7"/>
  <c r="AJ435" i="7"/>
  <c r="AJ436" i="7"/>
  <c r="AJ437" i="7"/>
  <c r="AJ438" i="7"/>
  <c r="AJ439" i="7"/>
  <c r="AJ440" i="7"/>
  <c r="AJ441" i="7"/>
  <c r="AJ442" i="7"/>
  <c r="AJ443" i="7"/>
  <c r="AJ444" i="7"/>
  <c r="AJ445" i="7"/>
  <c r="AJ446" i="7"/>
  <c r="AJ447" i="7"/>
  <c r="AJ448" i="7"/>
  <c r="AJ449" i="7"/>
  <c r="AJ450" i="7"/>
  <c r="AJ451" i="7"/>
  <c r="AJ452" i="7"/>
  <c r="AJ453" i="7"/>
  <c r="AJ454" i="7"/>
  <c r="AJ455" i="7"/>
  <c r="AJ456" i="7"/>
  <c r="AJ457" i="7"/>
  <c r="AJ458" i="7"/>
  <c r="AJ459" i="7"/>
  <c r="AJ460" i="7"/>
  <c r="AJ461" i="7"/>
  <c r="AJ462" i="7"/>
  <c r="AJ463" i="7"/>
  <c r="AJ464" i="7"/>
  <c r="AJ465" i="7"/>
  <c r="AJ466" i="7"/>
  <c r="AJ467" i="7"/>
  <c r="AJ468" i="7"/>
  <c r="AJ469" i="7"/>
  <c r="AJ470" i="7"/>
  <c r="AJ471" i="7"/>
  <c r="AJ472" i="7"/>
  <c r="AJ473" i="7"/>
  <c r="AJ474" i="7"/>
  <c r="AJ475" i="7"/>
  <c r="AJ476" i="7"/>
  <c r="AJ477" i="7"/>
  <c r="AJ478" i="7"/>
  <c r="AJ479" i="7"/>
  <c r="AJ480" i="7"/>
  <c r="AJ481" i="7"/>
  <c r="AJ482" i="7"/>
  <c r="AJ483" i="7"/>
  <c r="AJ484" i="7"/>
  <c r="AJ485" i="7"/>
  <c r="AJ486" i="7"/>
  <c r="AJ487" i="7"/>
  <c r="AJ488" i="7"/>
  <c r="AJ489" i="7"/>
  <c r="AJ490" i="7"/>
  <c r="AJ491" i="7"/>
  <c r="AJ492" i="7"/>
  <c r="AJ493" i="7"/>
  <c r="AJ494" i="7"/>
  <c r="AJ495" i="7"/>
  <c r="AJ496" i="7"/>
  <c r="AJ497" i="7"/>
  <c r="AJ498" i="7"/>
  <c r="AJ499" i="7"/>
  <c r="AJ500" i="7"/>
  <c r="AJ501" i="7"/>
  <c r="AJ502" i="7"/>
  <c r="AJ503" i="7"/>
  <c r="AJ504" i="7"/>
  <c r="AJ505" i="7"/>
  <c r="AJ506" i="7"/>
  <c r="AJ507" i="7"/>
  <c r="AJ508" i="7"/>
  <c r="AJ509" i="7"/>
  <c r="AJ510" i="7"/>
  <c r="AJ511" i="7"/>
  <c r="AJ512" i="7"/>
  <c r="AJ513" i="7"/>
  <c r="AJ514" i="7"/>
  <c r="AJ515" i="7"/>
  <c r="AJ516" i="7"/>
  <c r="AJ517" i="7"/>
  <c r="AJ518" i="7"/>
  <c r="AJ519" i="7"/>
  <c r="AJ520" i="7"/>
  <c r="B419" i="18" l="1"/>
  <c r="B420" i="18" s="1"/>
  <c r="B421" i="18" s="1"/>
  <c r="B422" i="18" s="1"/>
  <c r="B423" i="18" s="1"/>
  <c r="B424" i="18" s="1"/>
  <c r="B425" i="18" s="1"/>
  <c r="B426" i="18" s="1"/>
  <c r="B427" i="18" s="1"/>
  <c r="B428" i="18" s="1"/>
  <c r="B429" i="18" s="1"/>
  <c r="B430" i="18" s="1"/>
  <c r="B431" i="18" s="1"/>
  <c r="B432" i="18" s="1"/>
  <c r="B433" i="18" s="1"/>
  <c r="B434" i="18" s="1"/>
  <c r="B435" i="18" s="1"/>
  <c r="B436" i="18" s="1"/>
  <c r="B437" i="18" s="1"/>
  <c r="B438" i="18" s="1"/>
  <c r="B439" i="18" s="1"/>
  <c r="B440" i="18" s="1"/>
  <c r="B441" i="18" s="1"/>
  <c r="B442" i="18" s="1"/>
  <c r="B443" i="18" s="1"/>
  <c r="B444" i="18" s="1"/>
  <c r="B445" i="18" s="1"/>
  <c r="B446" i="18" s="1"/>
  <c r="B447" i="18" s="1"/>
  <c r="B448" i="18" s="1"/>
  <c r="B449" i="18" s="1"/>
  <c r="T448" i="18"/>
  <c r="T446" i="18"/>
  <c r="T447" i="18"/>
  <c r="N422" i="18"/>
  <c r="T439" i="18"/>
  <c r="O424" i="18"/>
  <c r="T440" i="18"/>
  <c r="O422" i="18"/>
  <c r="T438" i="18"/>
  <c r="T435" i="18"/>
  <c r="T442" i="18"/>
  <c r="T437" i="18"/>
  <c r="T443" i="18"/>
  <c r="N424" i="18"/>
  <c r="T444" i="18"/>
  <c r="T434" i="18"/>
  <c r="T445" i="18"/>
  <c r="T441" i="18"/>
  <c r="T436" i="18"/>
  <c r="G451" i="18"/>
  <c r="D482" i="18"/>
  <c r="B450" i="18" l="1"/>
  <c r="B451" i="18" s="1"/>
  <c r="B452" i="18" s="1"/>
  <c r="B453" i="18" s="1"/>
  <c r="B454" i="18" s="1"/>
  <c r="B455" i="18" s="1"/>
  <c r="B456" i="18" s="1"/>
  <c r="B457" i="18" s="1"/>
  <c r="B458" i="18" s="1"/>
  <c r="B459" i="18" s="1"/>
  <c r="B460" i="18" s="1"/>
  <c r="B461" i="18" s="1"/>
  <c r="B462" i="18" s="1"/>
  <c r="B463" i="18" s="1"/>
  <c r="B464" i="18" s="1"/>
  <c r="B465" i="18" s="1"/>
  <c r="B466" i="18" s="1"/>
  <c r="B467" i="18" s="1"/>
  <c r="B468" i="18" s="1"/>
  <c r="B469" i="18" s="1"/>
  <c r="B470" i="18" s="1"/>
  <c r="B471" i="18" s="1"/>
  <c r="B472" i="18" s="1"/>
  <c r="B473" i="18" s="1"/>
  <c r="B474" i="18" s="1"/>
  <c r="B475" i="18" s="1"/>
  <c r="B476" i="18" s="1"/>
  <c r="B477" i="18" s="1"/>
  <c r="B478" i="18" s="1"/>
  <c r="B479" i="18" s="1"/>
  <c r="B480" i="18" s="1"/>
  <c r="T472" i="18"/>
  <c r="T471" i="18"/>
  <c r="T469" i="18"/>
  <c r="N455" i="18"/>
  <c r="T473" i="18"/>
  <c r="O453" i="18"/>
  <c r="T468" i="18"/>
  <c r="N453" i="18"/>
  <c r="T467" i="18"/>
  <c r="T466" i="18"/>
  <c r="T470" i="18"/>
  <c r="T479" i="18"/>
  <c r="T478" i="18"/>
  <c r="T477" i="18"/>
  <c r="T476" i="18"/>
  <c r="T475" i="18"/>
  <c r="T474" i="18"/>
  <c r="T465" i="18"/>
  <c r="O455" i="18"/>
  <c r="G482" i="18"/>
  <c r="D513" i="18"/>
  <c r="F9" i="3"/>
  <c r="B481" i="18" l="1"/>
  <c r="B482" i="18" s="1"/>
  <c r="B483" i="18" s="1"/>
  <c r="B484" i="18" s="1"/>
  <c r="B485" i="18" s="1"/>
  <c r="B486" i="18" s="1"/>
  <c r="B487" i="18" s="1"/>
  <c r="B488" i="18" s="1"/>
  <c r="B489" i="18" s="1"/>
  <c r="B490" i="18" s="1"/>
  <c r="B491" i="18" s="1"/>
  <c r="B492" i="18" s="1"/>
  <c r="B493" i="18" s="1"/>
  <c r="B494" i="18" s="1"/>
  <c r="B495" i="18" s="1"/>
  <c r="B496" i="18" s="1"/>
  <c r="B497" i="18" s="1"/>
  <c r="B498" i="18" s="1"/>
  <c r="B499" i="18" s="1"/>
  <c r="B500" i="18" s="1"/>
  <c r="B501" i="18" s="1"/>
  <c r="B502" i="18" s="1"/>
  <c r="B503" i="18" s="1"/>
  <c r="B504" i="18" s="1"/>
  <c r="B505" i="18" s="1"/>
  <c r="B506" i="18" s="1"/>
  <c r="B507" i="18" s="1"/>
  <c r="B508" i="18" s="1"/>
  <c r="B509" i="18" s="1"/>
  <c r="B510" i="18" s="1"/>
  <c r="B511" i="18" s="1"/>
  <c r="T497" i="18"/>
  <c r="T510" i="18"/>
  <c r="T509" i="18"/>
  <c r="T508" i="18"/>
  <c r="T507" i="18"/>
  <c r="T506" i="18"/>
  <c r="T505" i="18"/>
  <c r="T503" i="18"/>
  <c r="T501" i="18"/>
  <c r="T496" i="18"/>
  <c r="O486" i="18"/>
  <c r="T499" i="18"/>
  <c r="T502" i="18"/>
  <c r="T498" i="18"/>
  <c r="N486" i="18"/>
  <c r="O484" i="18"/>
  <c r="T500" i="18"/>
  <c r="N484" i="18"/>
  <c r="T504" i="18"/>
  <c r="G513" i="18"/>
  <c r="D544" i="18"/>
  <c r="F10" i="31"/>
  <c r="B512" i="18" l="1"/>
  <c r="B513" i="18" s="1"/>
  <c r="B514" i="18" s="1"/>
  <c r="B515" i="18" s="1"/>
  <c r="B516" i="18" s="1"/>
  <c r="B517" i="18" s="1"/>
  <c r="B518" i="18" s="1"/>
  <c r="B519" i="18" s="1"/>
  <c r="B520" i="18" s="1"/>
  <c r="B521" i="18" s="1"/>
  <c r="B522" i="18" s="1"/>
  <c r="B523" i="18" s="1"/>
  <c r="B524" i="18" s="1"/>
  <c r="B525" i="18" s="1"/>
  <c r="B526" i="18" s="1"/>
  <c r="B527" i="18" s="1"/>
  <c r="B528" i="18" s="1"/>
  <c r="B529" i="18" s="1"/>
  <c r="B530" i="18" s="1"/>
  <c r="B531" i="18" s="1"/>
  <c r="B532" i="18" s="1"/>
  <c r="B533" i="18" s="1"/>
  <c r="B534" i="18" s="1"/>
  <c r="B535" i="18" s="1"/>
  <c r="B536" i="18" s="1"/>
  <c r="B537" i="18" s="1"/>
  <c r="B538" i="18" s="1"/>
  <c r="B539" i="18" s="1"/>
  <c r="B540" i="18" s="1"/>
  <c r="B541" i="18" s="1"/>
  <c r="B542" i="18" s="1"/>
  <c r="T532" i="18"/>
  <c r="T533" i="18"/>
  <c r="O517" i="18"/>
  <c r="T531" i="18"/>
  <c r="N517" i="18"/>
  <c r="O515" i="18"/>
  <c r="N515" i="18"/>
  <c r="T535" i="18"/>
  <c r="T530" i="18"/>
  <c r="T528" i="18"/>
  <c r="T529" i="18"/>
  <c r="T541" i="18"/>
  <c r="T539" i="18"/>
  <c r="T540" i="18"/>
  <c r="T537" i="18"/>
  <c r="T538" i="18"/>
  <c r="T534" i="18"/>
  <c r="T536" i="18"/>
  <c r="T527" i="18"/>
  <c r="D575" i="18"/>
  <c r="G544" i="18"/>
  <c r="H69" i="2"/>
  <c r="I69" i="2" s="1"/>
  <c r="H65" i="2"/>
  <c r="H67" i="2" s="1"/>
  <c r="H68" i="2" s="1"/>
  <c r="T572" i="18" l="1"/>
  <c r="B543" i="18"/>
  <c r="B544" i="18" s="1"/>
  <c r="B545" i="18" s="1"/>
  <c r="B546" i="18" s="1"/>
  <c r="B547" i="18" s="1"/>
  <c r="B548" i="18" s="1"/>
  <c r="B549" i="18" s="1"/>
  <c r="B550" i="18" s="1"/>
  <c r="B551" i="18" s="1"/>
  <c r="B552" i="18" s="1"/>
  <c r="B553" i="18" s="1"/>
  <c r="B554" i="18" s="1"/>
  <c r="B555" i="18" s="1"/>
  <c r="B556" i="18" s="1"/>
  <c r="B557" i="18" s="1"/>
  <c r="B558" i="18" s="1"/>
  <c r="B559" i="18" s="1"/>
  <c r="B560" i="18" s="1"/>
  <c r="B561" i="18" s="1"/>
  <c r="B562" i="18" s="1"/>
  <c r="B563" i="18" s="1"/>
  <c r="B564" i="18" s="1"/>
  <c r="B565" i="18" s="1"/>
  <c r="B566" i="18" s="1"/>
  <c r="B567" i="18" s="1"/>
  <c r="B568" i="18" s="1"/>
  <c r="B569" i="18" s="1"/>
  <c r="B570" i="18" s="1"/>
  <c r="B571" i="18" s="1"/>
  <c r="B572" i="18" s="1"/>
  <c r="B573" i="18" s="1"/>
  <c r="T559" i="18"/>
  <c r="T566" i="18"/>
  <c r="T562" i="18"/>
  <c r="N546" i="18"/>
  <c r="T564" i="18"/>
  <c r="T563" i="18"/>
  <c r="O546" i="18"/>
  <c r="T558" i="18"/>
  <c r="T567" i="18"/>
  <c r="T568" i="18"/>
  <c r="T569" i="18"/>
  <c r="T570" i="18"/>
  <c r="T571" i="18"/>
  <c r="O548" i="18"/>
  <c r="N548" i="18"/>
  <c r="T560" i="18"/>
  <c r="T561" i="18"/>
  <c r="T565" i="18"/>
  <c r="D606" i="18"/>
  <c r="G575" i="18"/>
  <c r="J69" i="2"/>
  <c r="I65" i="2"/>
  <c r="I67" i="2" s="1"/>
  <c r="I68" i="2" s="1"/>
  <c r="H71" i="2"/>
  <c r="H72" i="2" s="1"/>
  <c r="G606" i="18" l="1"/>
  <c r="D637" i="18"/>
  <c r="B574" i="18"/>
  <c r="B575" i="18" s="1"/>
  <c r="B576" i="18" s="1"/>
  <c r="B577" i="18" s="1"/>
  <c r="B578" i="18" s="1"/>
  <c r="B579" i="18" s="1"/>
  <c r="B580" i="18" s="1"/>
  <c r="B581" i="18" s="1"/>
  <c r="B582" i="18" s="1"/>
  <c r="B583" i="18" s="1"/>
  <c r="B584" i="18" s="1"/>
  <c r="B585" i="18" s="1"/>
  <c r="B586" i="18" s="1"/>
  <c r="B587" i="18" s="1"/>
  <c r="B588" i="18" s="1"/>
  <c r="B589" i="18" s="1"/>
  <c r="B590" i="18" s="1"/>
  <c r="B591" i="18" s="1"/>
  <c r="B592" i="18" s="1"/>
  <c r="B593" i="18" s="1"/>
  <c r="B594" i="18" s="1"/>
  <c r="B595" i="18" s="1"/>
  <c r="B596" i="18" s="1"/>
  <c r="B597" i="18" s="1"/>
  <c r="B598" i="18" s="1"/>
  <c r="B599" i="18" s="1"/>
  <c r="B600" i="18" s="1"/>
  <c r="B601" i="18" s="1"/>
  <c r="B602" i="18" s="1"/>
  <c r="B603" i="18" s="1"/>
  <c r="B604" i="18" s="1"/>
  <c r="T594" i="18"/>
  <c r="T598" i="18"/>
  <c r="T589" i="18"/>
  <c r="O577" i="18"/>
  <c r="T593" i="18"/>
  <c r="N577" i="18"/>
  <c r="T597" i="18"/>
  <c r="T590" i="18"/>
  <c r="T591" i="18"/>
  <c r="T602" i="18"/>
  <c r="T603" i="18"/>
  <c r="T600" i="18"/>
  <c r="T601" i="18"/>
  <c r="N579" i="18"/>
  <c r="T599" i="18"/>
  <c r="T592" i="18"/>
  <c r="T596" i="18"/>
  <c r="T595" i="18"/>
  <c r="O579" i="18"/>
  <c r="I71" i="2"/>
  <c r="I72" i="2" s="1"/>
  <c r="J65" i="2"/>
  <c r="J67" i="2" s="1"/>
  <c r="J68" i="2" s="1"/>
  <c r="H61" i="2"/>
  <c r="H63" i="2" s="1"/>
  <c r="H64" i="2" s="1"/>
  <c r="AG25" i="7"/>
  <c r="AG30" i="7"/>
  <c r="AG36" i="7"/>
  <c r="AG41" i="7"/>
  <c r="AG51" i="7"/>
  <c r="AG56" i="7"/>
  <c r="AG61" i="7"/>
  <c r="AG66" i="7"/>
  <c r="AG71" i="7"/>
  <c r="AG76" i="7"/>
  <c r="AG81" i="7"/>
  <c r="AG86" i="7"/>
  <c r="AG91" i="7"/>
  <c r="AG96" i="7"/>
  <c r="AG111" i="7"/>
  <c r="AG117" i="7"/>
  <c r="AG122" i="7"/>
  <c r="AG132" i="7"/>
  <c r="AG142" i="7"/>
  <c r="AG147" i="7"/>
  <c r="AG152" i="7"/>
  <c r="AG157" i="7"/>
  <c r="AG162" i="7"/>
  <c r="AG172" i="7"/>
  <c r="AG177" i="7"/>
  <c r="AG182" i="7"/>
  <c r="AG187" i="7"/>
  <c r="AG192" i="7"/>
  <c r="AG207" i="7"/>
  <c r="AG213" i="7"/>
  <c r="AG218" i="7"/>
  <c r="AG238" i="7"/>
  <c r="AG250" i="7"/>
  <c r="AG266" i="7"/>
  <c r="AG282" i="7"/>
  <c r="AG288" i="7"/>
  <c r="AG310" i="7"/>
  <c r="AG321" i="7"/>
  <c r="AG326" i="7"/>
  <c r="AG338" i="7"/>
  <c r="AG354" i="7"/>
  <c r="AG381" i="7"/>
  <c r="AG408" i="7"/>
  <c r="AG458" i="7"/>
  <c r="AG470" i="7"/>
  <c r="AG474" i="7"/>
  <c r="AG478" i="7"/>
  <c r="AG480" i="7"/>
  <c r="AG482" i="7"/>
  <c r="AG486" i="7"/>
  <c r="AG490" i="7"/>
  <c r="AG492" i="7"/>
  <c r="AG494" i="7"/>
  <c r="AG498" i="7"/>
  <c r="AG502" i="7"/>
  <c r="AG504" i="7"/>
  <c r="AG506" i="7"/>
  <c r="AG510" i="7"/>
  <c r="AG514" i="7"/>
  <c r="AG518" i="7"/>
  <c r="H57" i="2"/>
  <c r="M22" i="7"/>
  <c r="AJ22" i="7" l="1"/>
  <c r="N22" i="7"/>
  <c r="G637" i="18"/>
  <c r="D668" i="18"/>
  <c r="B605" i="18"/>
  <c r="B606" i="18" s="1"/>
  <c r="B607" i="18" s="1"/>
  <c r="B608" i="18" s="1"/>
  <c r="B609" i="18" s="1"/>
  <c r="B610" i="18" s="1"/>
  <c r="B611" i="18" s="1"/>
  <c r="B612" i="18" s="1"/>
  <c r="B613" i="18" s="1"/>
  <c r="B614" i="18" s="1"/>
  <c r="B615" i="18" s="1"/>
  <c r="B616" i="18" s="1"/>
  <c r="B617" i="18" s="1"/>
  <c r="B618" i="18" s="1"/>
  <c r="B619" i="18" s="1"/>
  <c r="B620" i="18" s="1"/>
  <c r="B621" i="18" s="1"/>
  <c r="B622" i="18" s="1"/>
  <c r="B623" i="18" s="1"/>
  <c r="B624" i="18" s="1"/>
  <c r="B625" i="18" s="1"/>
  <c r="B626" i="18" s="1"/>
  <c r="B627" i="18" s="1"/>
  <c r="B628" i="18" s="1"/>
  <c r="B629" i="18" s="1"/>
  <c r="B630" i="18" s="1"/>
  <c r="B631" i="18" s="1"/>
  <c r="B632" i="18" s="1"/>
  <c r="B633" i="18" s="1"/>
  <c r="B634" i="18" s="1"/>
  <c r="B635" i="18" s="1"/>
  <c r="T632" i="18"/>
  <c r="T633" i="18"/>
  <c r="T630" i="18"/>
  <c r="T631" i="18"/>
  <c r="T620" i="18"/>
  <c r="T629" i="18"/>
  <c r="T627" i="18"/>
  <c r="T625" i="18"/>
  <c r="T626" i="18"/>
  <c r="O610" i="18"/>
  <c r="T624" i="18"/>
  <c r="N610" i="18"/>
  <c r="T628" i="18"/>
  <c r="O608" i="18"/>
  <c r="T623" i="18"/>
  <c r="N608" i="18"/>
  <c r="T622" i="18"/>
  <c r="T621" i="18"/>
  <c r="T634" i="18"/>
  <c r="J71" i="2"/>
  <c r="J72" i="2" s="1"/>
  <c r="AG193" i="7"/>
  <c r="AI193" i="7" s="1"/>
  <c r="AG167" i="7"/>
  <c r="AI167" i="7" s="1"/>
  <c r="AG137" i="7"/>
  <c r="AI137" i="7" s="1"/>
  <c r="AI132" i="7"/>
  <c r="AG102" i="7"/>
  <c r="AI102" i="7" s="1"/>
  <c r="AI76" i="7"/>
  <c r="AG46" i="7"/>
  <c r="AI46" i="7" s="1"/>
  <c r="AI41" i="7"/>
  <c r="AG512" i="7"/>
  <c r="AG308" i="7"/>
  <c r="AG476" i="7"/>
  <c r="AG392" i="7"/>
  <c r="AG296" i="7"/>
  <c r="AG488" i="7"/>
  <c r="AG368" i="7"/>
  <c r="AG272" i="7"/>
  <c r="AG428" i="7"/>
  <c r="AG356" i="7"/>
  <c r="AG284" i="7"/>
  <c r="AG500" i="7"/>
  <c r="AG380" i="7"/>
  <c r="AG260" i="7"/>
  <c r="AG440" i="7"/>
  <c r="AG320" i="7"/>
  <c r="AG236" i="7"/>
  <c r="AG464" i="7"/>
  <c r="AG344" i="7"/>
  <c r="AG224" i="7"/>
  <c r="AG452" i="7"/>
  <c r="AG332" i="7"/>
  <c r="AG248" i="7"/>
  <c r="AG416" i="7"/>
  <c r="AG404" i="7"/>
  <c r="AG475" i="7"/>
  <c r="AG391" i="7"/>
  <c r="AG247" i="7"/>
  <c r="AG463" i="7"/>
  <c r="AG367" i="7"/>
  <c r="AG283" i="7"/>
  <c r="AG223" i="7"/>
  <c r="AG509" i="7"/>
  <c r="AG497" i="7"/>
  <c r="AG485" i="7"/>
  <c r="AG473" i="7"/>
  <c r="AG461" i="7"/>
  <c r="AG449" i="7"/>
  <c r="AG437" i="7"/>
  <c r="AG425" i="7"/>
  <c r="AG413" i="7"/>
  <c r="AG401" i="7"/>
  <c r="AG389" i="7"/>
  <c r="AG377" i="7"/>
  <c r="AG365" i="7"/>
  <c r="AG353" i="7"/>
  <c r="AG341" i="7"/>
  <c r="AG329" i="7"/>
  <c r="AG317" i="7"/>
  <c r="AG305" i="7"/>
  <c r="AG293" i="7"/>
  <c r="AG281" i="7"/>
  <c r="AG269" i="7"/>
  <c r="AG257" i="7"/>
  <c r="AG245" i="7"/>
  <c r="AG233" i="7"/>
  <c r="AG221" i="7"/>
  <c r="AG451" i="7"/>
  <c r="AG379" i="7"/>
  <c r="AG295" i="7"/>
  <c r="AG259" i="7"/>
  <c r="AG235" i="7"/>
  <c r="AG520" i="7"/>
  <c r="AG508" i="7"/>
  <c r="AG496" i="7"/>
  <c r="AG484" i="7"/>
  <c r="AG472" i="7"/>
  <c r="AG460" i="7"/>
  <c r="AG448" i="7"/>
  <c r="AG436" i="7"/>
  <c r="AG424" i="7"/>
  <c r="AG412" i="7"/>
  <c r="AG400" i="7"/>
  <c r="AG388" i="7"/>
  <c r="AG376" i="7"/>
  <c r="AG364" i="7"/>
  <c r="AG352" i="7"/>
  <c r="AG340" i="7"/>
  <c r="AG328" i="7"/>
  <c r="AG316" i="7"/>
  <c r="AG304" i="7"/>
  <c r="AG292" i="7"/>
  <c r="AG280" i="7"/>
  <c r="AG268" i="7"/>
  <c r="AG256" i="7"/>
  <c r="AG244" i="7"/>
  <c r="AG232" i="7"/>
  <c r="AG220" i="7"/>
  <c r="AI220" i="7" s="1"/>
  <c r="AG499" i="7"/>
  <c r="AG403" i="7"/>
  <c r="AG319" i="7"/>
  <c r="AG519" i="7"/>
  <c r="AG507" i="7"/>
  <c r="AG495" i="7"/>
  <c r="AG483" i="7"/>
  <c r="AG471" i="7"/>
  <c r="AG459" i="7"/>
  <c r="AG447" i="7"/>
  <c r="AG435" i="7"/>
  <c r="AG423" i="7"/>
  <c r="AG411" i="7"/>
  <c r="AG399" i="7"/>
  <c r="AG387" i="7"/>
  <c r="AG375" i="7"/>
  <c r="AG363" i="7"/>
  <c r="AG351" i="7"/>
  <c r="AG339" i="7"/>
  <c r="AG327" i="7"/>
  <c r="AG315" i="7"/>
  <c r="AG303" i="7"/>
  <c r="AG291" i="7"/>
  <c r="AG279" i="7"/>
  <c r="AG267" i="7"/>
  <c r="AG255" i="7"/>
  <c r="AG243" i="7"/>
  <c r="AG231" i="7"/>
  <c r="AG219" i="7"/>
  <c r="AG355" i="7"/>
  <c r="H59" i="2"/>
  <c r="H60" i="2" s="1"/>
  <c r="I57" i="2"/>
  <c r="I59" i="2" s="1"/>
  <c r="AG439" i="7"/>
  <c r="AG343" i="7"/>
  <c r="AG517" i="7"/>
  <c r="AG505" i="7"/>
  <c r="AG493" i="7"/>
  <c r="AG481" i="7"/>
  <c r="AG469" i="7"/>
  <c r="AG457" i="7"/>
  <c r="AG445" i="7"/>
  <c r="AG433" i="7"/>
  <c r="AG421" i="7"/>
  <c r="AG409" i="7"/>
  <c r="AG397" i="7"/>
  <c r="AG385" i="7"/>
  <c r="AG373" i="7"/>
  <c r="AG361" i="7"/>
  <c r="AG349" i="7"/>
  <c r="AG337" i="7"/>
  <c r="AG325" i="7"/>
  <c r="AG313" i="7"/>
  <c r="AG301" i="7"/>
  <c r="AG289" i="7"/>
  <c r="AG277" i="7"/>
  <c r="AG265" i="7"/>
  <c r="AG253" i="7"/>
  <c r="AG241" i="7"/>
  <c r="AG229" i="7"/>
  <c r="AG217" i="7"/>
  <c r="AG427" i="7"/>
  <c r="AG271" i="7"/>
  <c r="AG515" i="7"/>
  <c r="AG503" i="7"/>
  <c r="AG491" i="7"/>
  <c r="AG479" i="7"/>
  <c r="AG467" i="7"/>
  <c r="AG455" i="7"/>
  <c r="AG443" i="7"/>
  <c r="AG431" i="7"/>
  <c r="AG419" i="7"/>
  <c r="AG407" i="7"/>
  <c r="AG395" i="7"/>
  <c r="AG383" i="7"/>
  <c r="AG371" i="7"/>
  <c r="AG359" i="7"/>
  <c r="AG347" i="7"/>
  <c r="AG335" i="7"/>
  <c r="AG323" i="7"/>
  <c r="AG311" i="7"/>
  <c r="AG299" i="7"/>
  <c r="AG287" i="7"/>
  <c r="AG275" i="7"/>
  <c r="AG263" i="7"/>
  <c r="AG251" i="7"/>
  <c r="AG239" i="7"/>
  <c r="AG227" i="7"/>
  <c r="AG215" i="7"/>
  <c r="AG511" i="7"/>
  <c r="AG331" i="7"/>
  <c r="AG487" i="7"/>
  <c r="AG415" i="7"/>
  <c r="AG307" i="7"/>
  <c r="AG513" i="7"/>
  <c r="AG501" i="7"/>
  <c r="AG489" i="7"/>
  <c r="AG477" i="7"/>
  <c r="AG465" i="7"/>
  <c r="AG453" i="7"/>
  <c r="AG441" i="7"/>
  <c r="AG429" i="7"/>
  <c r="AG417" i="7"/>
  <c r="AG405" i="7"/>
  <c r="AG393" i="7"/>
  <c r="AG212" i="7"/>
  <c r="AG200" i="7"/>
  <c r="AG176" i="7"/>
  <c r="AG164" i="7"/>
  <c r="AG140" i="7"/>
  <c r="AG128" i="7"/>
  <c r="AG116" i="7"/>
  <c r="AG104" i="7"/>
  <c r="AG80" i="7"/>
  <c r="AG68" i="7"/>
  <c r="AG44" i="7"/>
  <c r="AG32" i="7"/>
  <c r="AG516" i="7"/>
  <c r="AI516" i="7" s="1"/>
  <c r="AG468" i="7"/>
  <c r="AI468" i="7" s="1"/>
  <c r="AG456" i="7"/>
  <c r="AI456" i="7" s="1"/>
  <c r="AG360" i="7"/>
  <c r="AI360" i="7" s="1"/>
  <c r="AI326" i="7"/>
  <c r="AG228" i="7"/>
  <c r="AI228" i="7" s="1"/>
  <c r="AG211" i="7"/>
  <c r="AG199" i="7"/>
  <c r="AG175" i="7"/>
  <c r="AG163" i="7"/>
  <c r="AG151" i="7"/>
  <c r="AG139" i="7"/>
  <c r="AG115" i="7"/>
  <c r="AG103" i="7"/>
  <c r="AG79" i="7"/>
  <c r="AG67" i="7"/>
  <c r="AG55" i="7"/>
  <c r="AG43" i="7"/>
  <c r="AG31" i="7"/>
  <c r="AI510" i="7"/>
  <c r="AI494" i="7"/>
  <c r="AI478" i="7"/>
  <c r="AG322" i="7"/>
  <c r="AI322" i="7" s="1"/>
  <c r="AI288" i="7"/>
  <c r="AG450" i="7"/>
  <c r="AG438" i="7"/>
  <c r="AG426" i="7"/>
  <c r="AG402" i="7"/>
  <c r="AG390" i="7"/>
  <c r="AG378" i="7"/>
  <c r="AG342" i="7"/>
  <c r="AG330" i="7"/>
  <c r="AG318" i="7"/>
  <c r="AG306" i="7"/>
  <c r="AG270" i="7"/>
  <c r="AG258" i="7"/>
  <c r="AG246" i="7"/>
  <c r="AG234" i="7"/>
  <c r="AG222" i="7"/>
  <c r="AG210" i="7"/>
  <c r="AG186" i="7"/>
  <c r="AG174" i="7"/>
  <c r="AG150" i="7"/>
  <c r="AG138" i="7"/>
  <c r="AG126" i="7"/>
  <c r="AG114" i="7"/>
  <c r="AG90" i="7"/>
  <c r="AG78" i="7"/>
  <c r="AG54" i="7"/>
  <c r="AG42" i="7"/>
  <c r="AI504" i="7"/>
  <c r="AI354" i="7"/>
  <c r="AI321" i="7"/>
  <c r="AI192" i="7"/>
  <c r="AI162" i="7"/>
  <c r="AG209" i="7"/>
  <c r="AG197" i="7"/>
  <c r="AG185" i="7"/>
  <c r="AG161" i="7"/>
  <c r="AG149" i="7"/>
  <c r="AG125" i="7"/>
  <c r="AG113" i="7"/>
  <c r="AG101" i="7"/>
  <c r="AG89" i="7"/>
  <c r="AG65" i="7"/>
  <c r="AG53" i="7"/>
  <c r="AG29" i="7"/>
  <c r="AG446" i="7"/>
  <c r="AI446" i="7" s="1"/>
  <c r="AG414" i="7"/>
  <c r="AI414" i="7" s="1"/>
  <c r="AG382" i="7"/>
  <c r="AI382" i="7" s="1"/>
  <c r="AI250" i="7"/>
  <c r="AI218" i="7"/>
  <c r="AG188" i="7"/>
  <c r="AI188" i="7" s="1"/>
  <c r="AG127" i="7"/>
  <c r="AI127" i="7" s="1"/>
  <c r="AG97" i="7"/>
  <c r="AI97" i="7" s="1"/>
  <c r="AI36" i="7"/>
  <c r="AG196" i="7"/>
  <c r="AG184" i="7"/>
  <c r="AG160" i="7"/>
  <c r="AG148" i="7"/>
  <c r="AG136" i="7"/>
  <c r="AG124" i="7"/>
  <c r="AG100" i="7"/>
  <c r="AG88" i="7"/>
  <c r="AG64" i="7"/>
  <c r="AG52" i="7"/>
  <c r="AG40" i="7"/>
  <c r="AG28" i="7"/>
  <c r="AI514" i="7"/>
  <c r="AI498" i="7"/>
  <c r="AI482" i="7"/>
  <c r="AI381" i="7"/>
  <c r="AI282" i="7"/>
  <c r="AI187" i="7"/>
  <c r="AI157" i="7"/>
  <c r="AI96" i="7"/>
  <c r="AI66" i="7"/>
  <c r="AG195" i="7"/>
  <c r="AG183" i="7"/>
  <c r="AG171" i="7"/>
  <c r="AG159" i="7"/>
  <c r="AG135" i="7"/>
  <c r="AG123" i="7"/>
  <c r="AG99" i="7"/>
  <c r="AG87" i="7"/>
  <c r="AG75" i="7"/>
  <c r="AG63" i="7"/>
  <c r="AG39" i="7"/>
  <c r="AG27" i="7"/>
  <c r="AI492" i="7"/>
  <c r="AI408" i="7"/>
  <c r="AI310" i="7"/>
  <c r="AI213" i="7"/>
  <c r="AI152" i="7"/>
  <c r="AI122" i="7"/>
  <c r="AG92" i="7"/>
  <c r="AI92" i="7" s="1"/>
  <c r="AG434" i="7"/>
  <c r="AG422" i="7"/>
  <c r="AG410" i="7"/>
  <c r="AG386" i="7"/>
  <c r="AG374" i="7"/>
  <c r="AG362" i="7"/>
  <c r="AG350" i="7"/>
  <c r="AG314" i="7"/>
  <c r="AG302" i="7"/>
  <c r="AG290" i="7"/>
  <c r="AG278" i="7"/>
  <c r="AG254" i="7"/>
  <c r="AG242" i="7"/>
  <c r="AG230" i="7"/>
  <c r="AG206" i="7"/>
  <c r="AG194" i="7"/>
  <c r="AG170" i="7"/>
  <c r="AG158" i="7"/>
  <c r="AG146" i="7"/>
  <c r="AG134" i="7"/>
  <c r="AG110" i="7"/>
  <c r="AG98" i="7"/>
  <c r="AG74" i="7"/>
  <c r="AG62" i="7"/>
  <c r="AG50" i="7"/>
  <c r="AG38" i="7"/>
  <c r="AG26" i="7"/>
  <c r="I61" i="2"/>
  <c r="J61" i="2" s="1"/>
  <c r="AG462" i="7"/>
  <c r="AI462" i="7" s="1"/>
  <c r="AI182" i="7"/>
  <c r="AI91" i="7"/>
  <c r="AI61" i="7"/>
  <c r="AI30" i="7"/>
  <c r="AG205" i="7"/>
  <c r="AG181" i="7"/>
  <c r="AG169" i="7"/>
  <c r="AG145" i="7"/>
  <c r="AG133" i="7"/>
  <c r="AG121" i="7"/>
  <c r="AG109" i="7"/>
  <c r="AG85" i="7"/>
  <c r="AG73" i="7"/>
  <c r="AG49" i="7"/>
  <c r="AG37" i="7"/>
  <c r="AI518" i="7"/>
  <c r="AI502" i="7"/>
  <c r="AI486" i="7"/>
  <c r="AI470" i="7"/>
  <c r="AI338" i="7"/>
  <c r="AG208" i="7"/>
  <c r="AI208" i="7" s="1"/>
  <c r="AG178" i="7"/>
  <c r="AI178" i="7" s="1"/>
  <c r="AI147" i="7"/>
  <c r="AI117" i="7"/>
  <c r="AI56" i="7"/>
  <c r="AI25" i="7"/>
  <c r="AG444" i="7"/>
  <c r="AG432" i="7"/>
  <c r="AG420" i="7"/>
  <c r="AG396" i="7"/>
  <c r="AG384" i="7"/>
  <c r="AG372" i="7"/>
  <c r="AG348" i="7"/>
  <c r="AG336" i="7"/>
  <c r="AG324" i="7"/>
  <c r="AG312" i="7"/>
  <c r="AG300" i="7"/>
  <c r="AG276" i="7"/>
  <c r="AG264" i="7"/>
  <c r="AG252" i="7"/>
  <c r="AG240" i="7"/>
  <c r="AG216" i="7"/>
  <c r="AG204" i="7"/>
  <c r="AG180" i="7"/>
  <c r="AG168" i="7"/>
  <c r="AG156" i="7"/>
  <c r="AG144" i="7"/>
  <c r="AG120" i="7"/>
  <c r="AG108" i="7"/>
  <c r="AG84" i="7"/>
  <c r="AG72" i="7"/>
  <c r="AG60" i="7"/>
  <c r="AG48" i="7"/>
  <c r="AG24" i="7"/>
  <c r="AI480" i="7"/>
  <c r="AI458" i="7"/>
  <c r="AI238" i="7"/>
  <c r="AI207" i="7"/>
  <c r="AI177" i="7"/>
  <c r="AI86" i="7"/>
  <c r="AG191" i="7"/>
  <c r="AG179" i="7"/>
  <c r="AG155" i="7"/>
  <c r="AG143" i="7"/>
  <c r="AG131" i="7"/>
  <c r="AG119" i="7"/>
  <c r="AG95" i="7"/>
  <c r="AG83" i="7"/>
  <c r="AG59" i="7"/>
  <c r="AG47" i="7"/>
  <c r="AG35" i="7"/>
  <c r="AG23" i="7"/>
  <c r="AG430" i="7"/>
  <c r="AI430" i="7" s="1"/>
  <c r="AG398" i="7"/>
  <c r="AI398" i="7" s="1"/>
  <c r="AG366" i="7"/>
  <c r="AI366" i="7" s="1"/>
  <c r="AG333" i="7"/>
  <c r="AI333" i="7" s="1"/>
  <c r="AI266" i="7"/>
  <c r="AG203" i="7"/>
  <c r="AI203" i="7" s="1"/>
  <c r="AG173" i="7"/>
  <c r="AI173" i="7" s="1"/>
  <c r="AI142" i="7"/>
  <c r="AG112" i="7"/>
  <c r="AI112" i="7" s="1"/>
  <c r="AG82" i="7"/>
  <c r="AI82" i="7" s="1"/>
  <c r="AI51" i="7"/>
  <c r="AG466" i="7"/>
  <c r="AG454" i="7"/>
  <c r="AG442" i="7"/>
  <c r="AG418" i="7"/>
  <c r="AG406" i="7"/>
  <c r="AG394" i="7"/>
  <c r="AG370" i="7"/>
  <c r="AG358" i="7"/>
  <c r="AG346" i="7"/>
  <c r="AG334" i="7"/>
  <c r="AG298" i="7"/>
  <c r="AG286" i="7"/>
  <c r="AG274" i="7"/>
  <c r="AG262" i="7"/>
  <c r="AG226" i="7"/>
  <c r="AG214" i="7"/>
  <c r="AG202" i="7"/>
  <c r="AG190" i="7"/>
  <c r="AG166" i="7"/>
  <c r="AG154" i="7"/>
  <c r="AG130" i="7"/>
  <c r="AG118" i="7"/>
  <c r="AG106" i="7"/>
  <c r="AG94" i="7"/>
  <c r="AG70" i="7"/>
  <c r="AG58" i="7"/>
  <c r="AG34" i="7"/>
  <c r="AI506" i="7"/>
  <c r="AI490" i="7"/>
  <c r="AI474" i="7"/>
  <c r="AI172" i="7"/>
  <c r="AI111" i="7"/>
  <c r="AI81" i="7"/>
  <c r="AG369" i="7"/>
  <c r="AG357" i="7"/>
  <c r="AG345" i="7"/>
  <c r="AG309" i="7"/>
  <c r="AG297" i="7"/>
  <c r="AG285" i="7"/>
  <c r="AG273" i="7"/>
  <c r="AG249" i="7"/>
  <c r="AG237" i="7"/>
  <c r="AG225" i="7"/>
  <c r="AG201" i="7"/>
  <c r="AG189" i="7"/>
  <c r="AG165" i="7"/>
  <c r="AG153" i="7"/>
  <c r="AG141" i="7"/>
  <c r="AG129" i="7"/>
  <c r="AG105" i="7"/>
  <c r="AG93" i="7"/>
  <c r="AG69" i="7"/>
  <c r="AG57" i="7"/>
  <c r="AG45" i="7"/>
  <c r="AG33" i="7"/>
  <c r="AG294" i="7"/>
  <c r="AI294" i="7" s="1"/>
  <c r="AG261" i="7"/>
  <c r="AI261" i="7" s="1"/>
  <c r="AG198" i="7"/>
  <c r="AI198" i="7" s="1"/>
  <c r="AG107" i="7"/>
  <c r="AI107" i="7" s="1"/>
  <c r="AG77" i="7"/>
  <c r="AI77" i="7" s="1"/>
  <c r="AI71" i="7"/>
  <c r="I63" i="2"/>
  <c r="U126" i="24"/>
  <c r="U121" i="24"/>
  <c r="U116" i="24"/>
  <c r="U111" i="24"/>
  <c r="U106" i="24"/>
  <c r="U101" i="24"/>
  <c r="U96" i="24"/>
  <c r="U91" i="24"/>
  <c r="U86" i="24"/>
  <c r="U81" i="24"/>
  <c r="U76" i="24"/>
  <c r="U71" i="24"/>
  <c r="U66" i="24"/>
  <c r="U61" i="24"/>
  <c r="U56" i="24"/>
  <c r="U51" i="24"/>
  <c r="U46" i="24"/>
  <c r="U41" i="24"/>
  <c r="U36" i="24"/>
  <c r="U31" i="24"/>
  <c r="U26" i="24"/>
  <c r="U22" i="24"/>
  <c r="U21" i="24"/>
  <c r="U17" i="24"/>
  <c r="U16" i="24"/>
  <c r="U6" i="24"/>
  <c r="U7" i="24"/>
  <c r="U127" i="24"/>
  <c r="I127" i="24"/>
  <c r="D127" i="24"/>
  <c r="I126" i="24"/>
  <c r="D126" i="24"/>
  <c r="E126" i="24" s="1"/>
  <c r="I125" i="24"/>
  <c r="D125" i="24"/>
  <c r="I124" i="24"/>
  <c r="D124" i="24"/>
  <c r="I123" i="24"/>
  <c r="D123" i="24"/>
  <c r="U122" i="24"/>
  <c r="I122" i="24"/>
  <c r="D122" i="24"/>
  <c r="I121" i="24"/>
  <c r="D121" i="24"/>
  <c r="I120" i="24"/>
  <c r="D120" i="24"/>
  <c r="E120" i="24" s="1"/>
  <c r="I119" i="24"/>
  <c r="D119" i="24"/>
  <c r="I118" i="24"/>
  <c r="D118" i="24"/>
  <c r="E118" i="24" s="1"/>
  <c r="U117" i="24"/>
  <c r="I117" i="24"/>
  <c r="D117" i="24"/>
  <c r="E117" i="24" s="1"/>
  <c r="I116" i="24"/>
  <c r="D116" i="24"/>
  <c r="I115" i="24"/>
  <c r="D115" i="24"/>
  <c r="I114" i="24"/>
  <c r="D114" i="24"/>
  <c r="I113" i="24"/>
  <c r="D113" i="24"/>
  <c r="U112" i="24"/>
  <c r="I112" i="24"/>
  <c r="D112" i="24"/>
  <c r="I111" i="24"/>
  <c r="D111" i="24"/>
  <c r="I110" i="24"/>
  <c r="D110" i="24"/>
  <c r="I109" i="24"/>
  <c r="D109" i="24"/>
  <c r="I108" i="24"/>
  <c r="D108" i="24"/>
  <c r="U107" i="24"/>
  <c r="I107" i="24"/>
  <c r="D107" i="24"/>
  <c r="I106" i="24"/>
  <c r="D106" i="24"/>
  <c r="I105" i="24"/>
  <c r="D105" i="24"/>
  <c r="B105" i="24" s="1"/>
  <c r="C105" i="24" s="1"/>
  <c r="I104" i="24"/>
  <c r="D104" i="24"/>
  <c r="I103" i="24"/>
  <c r="D103" i="24"/>
  <c r="U102" i="24"/>
  <c r="I102" i="24"/>
  <c r="D102" i="24"/>
  <c r="I101" i="24"/>
  <c r="D101" i="24"/>
  <c r="I100" i="24"/>
  <c r="D100" i="24"/>
  <c r="I99" i="24"/>
  <c r="D99" i="24"/>
  <c r="I98" i="24"/>
  <c r="D98" i="24"/>
  <c r="U97" i="24"/>
  <c r="I97" i="24"/>
  <c r="D97" i="24"/>
  <c r="I96" i="24"/>
  <c r="D96" i="24"/>
  <c r="B96" i="24" s="1"/>
  <c r="C96" i="24" s="1"/>
  <c r="I95" i="24"/>
  <c r="D95" i="24"/>
  <c r="I94" i="24"/>
  <c r="D94" i="24"/>
  <c r="I93" i="24"/>
  <c r="D93" i="24"/>
  <c r="U92" i="24"/>
  <c r="I92" i="24"/>
  <c r="D92" i="24"/>
  <c r="I91" i="24"/>
  <c r="D91" i="24"/>
  <c r="B91" i="24" s="1"/>
  <c r="C91" i="24" s="1"/>
  <c r="I90" i="24"/>
  <c r="D90" i="24"/>
  <c r="I89" i="24"/>
  <c r="D89" i="24"/>
  <c r="I88" i="24"/>
  <c r="D88" i="24"/>
  <c r="U87" i="24"/>
  <c r="I87" i="24"/>
  <c r="D87" i="24"/>
  <c r="E87" i="24" s="1"/>
  <c r="I86" i="24"/>
  <c r="D86" i="24"/>
  <c r="I85" i="24"/>
  <c r="D85" i="24"/>
  <c r="I84" i="24"/>
  <c r="D84" i="24"/>
  <c r="I83" i="24"/>
  <c r="D83" i="24"/>
  <c r="U82" i="24"/>
  <c r="I82" i="24"/>
  <c r="D82" i="24"/>
  <c r="B82" i="24" s="1"/>
  <c r="C82" i="24" s="1"/>
  <c r="I81" i="24"/>
  <c r="D81" i="24"/>
  <c r="I80" i="24"/>
  <c r="D80" i="24"/>
  <c r="I79" i="24"/>
  <c r="D79" i="24"/>
  <c r="I78" i="24"/>
  <c r="D78" i="24"/>
  <c r="U77" i="24"/>
  <c r="I77" i="24"/>
  <c r="D77" i="24"/>
  <c r="I76" i="24"/>
  <c r="D76" i="24"/>
  <c r="I75" i="24"/>
  <c r="D75" i="24"/>
  <c r="I74" i="24"/>
  <c r="D74" i="24"/>
  <c r="I73" i="24"/>
  <c r="D73" i="24"/>
  <c r="U72" i="24"/>
  <c r="I72" i="24"/>
  <c r="D72" i="24"/>
  <c r="I71" i="24"/>
  <c r="D71" i="24"/>
  <c r="I70" i="24"/>
  <c r="D70" i="24"/>
  <c r="I69" i="24"/>
  <c r="D69" i="24"/>
  <c r="I68" i="24"/>
  <c r="D68" i="24"/>
  <c r="U67" i="24"/>
  <c r="I67" i="24"/>
  <c r="D67" i="24"/>
  <c r="I66" i="24"/>
  <c r="D66" i="24"/>
  <c r="I65" i="24"/>
  <c r="D65" i="24"/>
  <c r="I64" i="24"/>
  <c r="D64" i="24"/>
  <c r="B64" i="24" s="1"/>
  <c r="C64" i="24" s="1"/>
  <c r="I63" i="24"/>
  <c r="D63" i="24"/>
  <c r="U62" i="24"/>
  <c r="I62" i="24"/>
  <c r="D62" i="24"/>
  <c r="I61" i="24"/>
  <c r="D61" i="24"/>
  <c r="I60" i="24"/>
  <c r="D60" i="24"/>
  <c r="I59" i="24"/>
  <c r="D59" i="24"/>
  <c r="I58" i="24"/>
  <c r="D58" i="24"/>
  <c r="E58" i="24" s="1"/>
  <c r="U57" i="24"/>
  <c r="I57" i="24"/>
  <c r="D57" i="24"/>
  <c r="B57" i="24" s="1"/>
  <c r="C57" i="24" s="1"/>
  <c r="I56" i="24"/>
  <c r="D56" i="24"/>
  <c r="E56" i="24" s="1"/>
  <c r="I55" i="24"/>
  <c r="D55" i="24"/>
  <c r="I54" i="24"/>
  <c r="D54" i="24"/>
  <c r="I53" i="24"/>
  <c r="D53" i="24"/>
  <c r="B53" i="24" s="1"/>
  <c r="C53" i="24" s="1"/>
  <c r="U52" i="24"/>
  <c r="I52" i="24"/>
  <c r="D52" i="24"/>
  <c r="B52" i="24" s="1"/>
  <c r="C52" i="24" s="1"/>
  <c r="I51" i="24"/>
  <c r="D51" i="24"/>
  <c r="I50" i="24"/>
  <c r="D50" i="24"/>
  <c r="I49" i="24"/>
  <c r="D49" i="24"/>
  <c r="I48" i="24"/>
  <c r="D48" i="24"/>
  <c r="U47" i="24"/>
  <c r="I47" i="24"/>
  <c r="D47" i="24"/>
  <c r="I46" i="24"/>
  <c r="D46" i="24"/>
  <c r="I45" i="24"/>
  <c r="D45" i="24"/>
  <c r="B45" i="24" s="1"/>
  <c r="C45" i="24" s="1"/>
  <c r="I44" i="24"/>
  <c r="D44" i="24"/>
  <c r="B44" i="24" s="1"/>
  <c r="C44" i="24" s="1"/>
  <c r="I43" i="24"/>
  <c r="D43" i="24"/>
  <c r="B43" i="24" s="1"/>
  <c r="C43" i="24" s="1"/>
  <c r="U42" i="24"/>
  <c r="I42" i="24"/>
  <c r="D42" i="24"/>
  <c r="I41" i="24"/>
  <c r="D41" i="24"/>
  <c r="I40" i="24"/>
  <c r="D40" i="24"/>
  <c r="I39" i="24"/>
  <c r="D39" i="24"/>
  <c r="I38" i="24"/>
  <c r="D38" i="24"/>
  <c r="E38" i="24" s="1"/>
  <c r="U37" i="24"/>
  <c r="I37" i="24"/>
  <c r="D37" i="24"/>
  <c r="I36" i="24"/>
  <c r="D36" i="24"/>
  <c r="E36" i="24" s="1"/>
  <c r="I35" i="24"/>
  <c r="D35" i="24"/>
  <c r="E35" i="24" s="1"/>
  <c r="I34" i="24"/>
  <c r="D34" i="24"/>
  <c r="I33" i="24"/>
  <c r="D33" i="24"/>
  <c r="U32" i="24"/>
  <c r="I32" i="24"/>
  <c r="D32" i="24"/>
  <c r="I31" i="24"/>
  <c r="D31" i="24"/>
  <c r="B31" i="24" s="1"/>
  <c r="C31" i="24" s="1"/>
  <c r="I30" i="24"/>
  <c r="D30" i="24"/>
  <c r="I29" i="24"/>
  <c r="D29" i="24"/>
  <c r="I28" i="24"/>
  <c r="D28" i="24"/>
  <c r="U27" i="24"/>
  <c r="I27" i="24"/>
  <c r="D27" i="24"/>
  <c r="I26" i="24"/>
  <c r="D26" i="24"/>
  <c r="I25" i="24"/>
  <c r="D25" i="24"/>
  <c r="I24" i="24"/>
  <c r="D24" i="24"/>
  <c r="I23" i="24"/>
  <c r="D23" i="24"/>
  <c r="I22" i="24"/>
  <c r="D22" i="24"/>
  <c r="I21" i="24"/>
  <c r="D21" i="24"/>
  <c r="I20" i="24"/>
  <c r="D20" i="24"/>
  <c r="E20" i="24" s="1"/>
  <c r="I19" i="24"/>
  <c r="D19" i="24"/>
  <c r="I18" i="24"/>
  <c r="D18" i="24"/>
  <c r="I17" i="24"/>
  <c r="D17" i="24"/>
  <c r="I16" i="24"/>
  <c r="D16" i="24"/>
  <c r="I15" i="24"/>
  <c r="D15" i="24"/>
  <c r="E15" i="24" s="1"/>
  <c r="I14" i="24"/>
  <c r="D14" i="24"/>
  <c r="I13" i="24"/>
  <c r="D13" i="24"/>
  <c r="E13" i="24" s="1"/>
  <c r="U12" i="24"/>
  <c r="I12" i="24"/>
  <c r="D12" i="24"/>
  <c r="I11" i="24"/>
  <c r="D11" i="24"/>
  <c r="E11" i="24" s="1"/>
  <c r="I10" i="24"/>
  <c r="D10" i="24"/>
  <c r="I9" i="24"/>
  <c r="D9" i="24"/>
  <c r="I8" i="24"/>
  <c r="D8" i="24"/>
  <c r="B8" i="24" s="1"/>
  <c r="C8" i="24" s="1"/>
  <c r="S22" i="7" l="1"/>
  <c r="T22" i="7"/>
  <c r="I60" i="2"/>
  <c r="D699" i="18"/>
  <c r="G668" i="18"/>
  <c r="B636" i="18"/>
  <c r="B637" i="18" s="1"/>
  <c r="B638" i="18" s="1"/>
  <c r="B639" i="18" s="1"/>
  <c r="B640" i="18" s="1"/>
  <c r="B641" i="18" s="1"/>
  <c r="B642" i="18" s="1"/>
  <c r="B643" i="18" s="1"/>
  <c r="B644" i="18" s="1"/>
  <c r="B645" i="18" s="1"/>
  <c r="B646" i="18" s="1"/>
  <c r="B647" i="18" s="1"/>
  <c r="B648" i="18" s="1"/>
  <c r="B649" i="18" s="1"/>
  <c r="B650" i="18" s="1"/>
  <c r="B651" i="18" s="1"/>
  <c r="B652" i="18" s="1"/>
  <c r="B653" i="18" s="1"/>
  <c r="B654" i="18" s="1"/>
  <c r="B655" i="18" s="1"/>
  <c r="B656" i="18" s="1"/>
  <c r="B657" i="18" s="1"/>
  <c r="B658" i="18" s="1"/>
  <c r="B659" i="18" s="1"/>
  <c r="B660" i="18" s="1"/>
  <c r="B661" i="18" s="1"/>
  <c r="B662" i="18" s="1"/>
  <c r="B663" i="18" s="1"/>
  <c r="B664" i="18" s="1"/>
  <c r="B665" i="18" s="1"/>
  <c r="B666" i="18" s="1"/>
  <c r="O641" i="18"/>
  <c r="T655" i="18"/>
  <c r="N641" i="18"/>
  <c r="O639" i="18"/>
  <c r="N639" i="18"/>
  <c r="T659" i="18"/>
  <c r="T654" i="18"/>
  <c r="T652" i="18"/>
  <c r="T653" i="18"/>
  <c r="T665" i="18"/>
  <c r="T663" i="18"/>
  <c r="T664" i="18"/>
  <c r="T661" i="18"/>
  <c r="T662" i="18"/>
  <c r="T651" i="18"/>
  <c r="T660" i="18"/>
  <c r="T658" i="18"/>
  <c r="T656" i="18"/>
  <c r="T657" i="18"/>
  <c r="AI320" i="7"/>
  <c r="AI292" i="7"/>
  <c r="AI247" i="7"/>
  <c r="AI227" i="7"/>
  <c r="AI103" i="7"/>
  <c r="AI195" i="7"/>
  <c r="AI31" i="7"/>
  <c r="AI263" i="7"/>
  <c r="AI335" i="7"/>
  <c r="AI219" i="7"/>
  <c r="AI291" i="7"/>
  <c r="AI67" i="7"/>
  <c r="AI163" i="7"/>
  <c r="AI268" i="7"/>
  <c r="AI340" i="7"/>
  <c r="AI295" i="7"/>
  <c r="AI199" i="7"/>
  <c r="AI386" i="7"/>
  <c r="AI28" i="7"/>
  <c r="AI124" i="7"/>
  <c r="AI126" i="7"/>
  <c r="AI68" i="7"/>
  <c r="AI184" i="7"/>
  <c r="AI197" i="7"/>
  <c r="AI176" i="7"/>
  <c r="AI244" i="7"/>
  <c r="AI316" i="7"/>
  <c r="AI223" i="7"/>
  <c r="AI224" i="7"/>
  <c r="AI272" i="7"/>
  <c r="AI324" i="7"/>
  <c r="AI39" i="7"/>
  <c r="AI79" i="7"/>
  <c r="AI175" i="7"/>
  <c r="AI311" i="7"/>
  <c r="B40" i="24"/>
  <c r="C40" i="24" s="1"/>
  <c r="AI23" i="7"/>
  <c r="AI121" i="7"/>
  <c r="AI75" i="7"/>
  <c r="AI171" i="7"/>
  <c r="AI29" i="7"/>
  <c r="AI196" i="7"/>
  <c r="AI129" i="7"/>
  <c r="AI225" i="7"/>
  <c r="AI141" i="7"/>
  <c r="AI237" i="7"/>
  <c r="AI34" i="7"/>
  <c r="AI155" i="7"/>
  <c r="AI200" i="7"/>
  <c r="AI441" i="7"/>
  <c r="AI513" i="7"/>
  <c r="AI215" i="7"/>
  <c r="AI287" i="7"/>
  <c r="AI359" i="7"/>
  <c r="AI431" i="7"/>
  <c r="AI503" i="7"/>
  <c r="AI313" i="7"/>
  <c r="AI385" i="7"/>
  <c r="AI457" i="7"/>
  <c r="AI343" i="7"/>
  <c r="AI243" i="7"/>
  <c r="AI315" i="7"/>
  <c r="AI319" i="7"/>
  <c r="AI256" i="7"/>
  <c r="AI344" i="7"/>
  <c r="AI189" i="7"/>
  <c r="AI190" i="7"/>
  <c r="AI286" i="7"/>
  <c r="AI95" i="7"/>
  <c r="AI191" i="7"/>
  <c r="AI60" i="7"/>
  <c r="AI156" i="7"/>
  <c r="AI252" i="7"/>
  <c r="AI336" i="7"/>
  <c r="AI239" i="7"/>
  <c r="AI271" i="7"/>
  <c r="AI248" i="7"/>
  <c r="AI296" i="7"/>
  <c r="AI35" i="7"/>
  <c r="AI131" i="7"/>
  <c r="AI180" i="7"/>
  <c r="AI149" i="7"/>
  <c r="AI136" i="7"/>
  <c r="AI80" i="7"/>
  <c r="AI55" i="7"/>
  <c r="AI151" i="7"/>
  <c r="AI113" i="7"/>
  <c r="AI257" i="7"/>
  <c r="AI329" i="7"/>
  <c r="AI105" i="7"/>
  <c r="AI265" i="7"/>
  <c r="AI276" i="7"/>
  <c r="AI49" i="7"/>
  <c r="AI145" i="7"/>
  <c r="AI318" i="7"/>
  <c r="AI99" i="7"/>
  <c r="AI65" i="7"/>
  <c r="AI479" i="7"/>
  <c r="AI217" i="7"/>
  <c r="AI376" i="7"/>
  <c r="AI448" i="7"/>
  <c r="AI520" i="7"/>
  <c r="AI452" i="7"/>
  <c r="AI440" i="7"/>
  <c r="AI428" i="7"/>
  <c r="AI476" i="7"/>
  <c r="AI357" i="7"/>
  <c r="AI58" i="7"/>
  <c r="AI378" i="7"/>
  <c r="AI297" i="7"/>
  <c r="AI33" i="7"/>
  <c r="AI119" i="7"/>
  <c r="AI348" i="7"/>
  <c r="AI444" i="7"/>
  <c r="AI210" i="7"/>
  <c r="AI372" i="7"/>
  <c r="AI251" i="7"/>
  <c r="AI355" i="7"/>
  <c r="AI495" i="7"/>
  <c r="AI364" i="7"/>
  <c r="AI436" i="7"/>
  <c r="AI508" i="7"/>
  <c r="AI281" i="7"/>
  <c r="AI353" i="7"/>
  <c r="AI226" i="7"/>
  <c r="AI418" i="7"/>
  <c r="AI47" i="7"/>
  <c r="AI143" i="7"/>
  <c r="AI108" i="7"/>
  <c r="AI204" i="7"/>
  <c r="AI300" i="7"/>
  <c r="AI153" i="7"/>
  <c r="AI59" i="7"/>
  <c r="AI24" i="7"/>
  <c r="AI73" i="7"/>
  <c r="AI169" i="7"/>
  <c r="AI302" i="7"/>
  <c r="AI231" i="7"/>
  <c r="AI303" i="7"/>
  <c r="AI375" i="7"/>
  <c r="AI519" i="7"/>
  <c r="AI305" i="7"/>
  <c r="AI377" i="7"/>
  <c r="AI449" i="7"/>
  <c r="AI69" i="7"/>
  <c r="AI273" i="7"/>
  <c r="AI369" i="7"/>
  <c r="AI70" i="7"/>
  <c r="AI422" i="7"/>
  <c r="AI52" i="7"/>
  <c r="AI150" i="7"/>
  <c r="AI246" i="7"/>
  <c r="AI214" i="7"/>
  <c r="AI406" i="7"/>
  <c r="AI278" i="7"/>
  <c r="AI374" i="7"/>
  <c r="AI100" i="7"/>
  <c r="AI186" i="7"/>
  <c r="AI270" i="7"/>
  <c r="AI400" i="7"/>
  <c r="AI472" i="7"/>
  <c r="AI245" i="7"/>
  <c r="AI283" i="7"/>
  <c r="AI380" i="7"/>
  <c r="AI368" i="7"/>
  <c r="AI130" i="7"/>
  <c r="AI98" i="7"/>
  <c r="AI194" i="7"/>
  <c r="AI290" i="7"/>
  <c r="AI53" i="7"/>
  <c r="AI390" i="7"/>
  <c r="AI399" i="7"/>
  <c r="AI471" i="7"/>
  <c r="AI403" i="7"/>
  <c r="AI401" i="7"/>
  <c r="AI473" i="7"/>
  <c r="AI367" i="7"/>
  <c r="AI500" i="7"/>
  <c r="AI306" i="7"/>
  <c r="AI267" i="7"/>
  <c r="AI339" i="7"/>
  <c r="AI411" i="7"/>
  <c r="AI483" i="7"/>
  <c r="AI499" i="7"/>
  <c r="AI280" i="7"/>
  <c r="AI352" i="7"/>
  <c r="AI424" i="7"/>
  <c r="AI379" i="7"/>
  <c r="AI269" i="7"/>
  <c r="AI341" i="7"/>
  <c r="AI413" i="7"/>
  <c r="AI485" i="7"/>
  <c r="AI93" i="7"/>
  <c r="AI396" i="7"/>
  <c r="AI85" i="7"/>
  <c r="AI181" i="7"/>
  <c r="AI38" i="7"/>
  <c r="AI134" i="7"/>
  <c r="AI230" i="7"/>
  <c r="AI314" i="7"/>
  <c r="AI27" i="7"/>
  <c r="AI123" i="7"/>
  <c r="AI42" i="7"/>
  <c r="AI115" i="7"/>
  <c r="AI211" i="7"/>
  <c r="AI405" i="7"/>
  <c r="AI477" i="7"/>
  <c r="AI487" i="7"/>
  <c r="AI323" i="7"/>
  <c r="AI395" i="7"/>
  <c r="AI467" i="7"/>
  <c r="AI427" i="7"/>
  <c r="AI277" i="7"/>
  <c r="AI349" i="7"/>
  <c r="AI421" i="7"/>
  <c r="AI493" i="7"/>
  <c r="AI279" i="7"/>
  <c r="AI351" i="7"/>
  <c r="AI94" i="7"/>
  <c r="AI370" i="7"/>
  <c r="AI454" i="7"/>
  <c r="AI83" i="7"/>
  <c r="AI179" i="7"/>
  <c r="AI420" i="7"/>
  <c r="AI109" i="7"/>
  <c r="AI205" i="7"/>
  <c r="AI50" i="7"/>
  <c r="AI146" i="7"/>
  <c r="AI242" i="7"/>
  <c r="AI89" i="7"/>
  <c r="AI185" i="7"/>
  <c r="AI438" i="7"/>
  <c r="AI417" i="7"/>
  <c r="AI391" i="7"/>
  <c r="AI201" i="7"/>
  <c r="AI78" i="7"/>
  <c r="AI235" i="7"/>
  <c r="AI309" i="7"/>
  <c r="AI88" i="7"/>
  <c r="AI174" i="7"/>
  <c r="AI104" i="7"/>
  <c r="AI511" i="7"/>
  <c r="AI275" i="7"/>
  <c r="AI460" i="7"/>
  <c r="AI233" i="7"/>
  <c r="B120" i="24"/>
  <c r="C120" i="24" s="1"/>
  <c r="AI161" i="7"/>
  <c r="AI496" i="7"/>
  <c r="AI416" i="7"/>
  <c r="AI464" i="7"/>
  <c r="AI488" i="7"/>
  <c r="AI57" i="7"/>
  <c r="AI106" i="7"/>
  <c r="AI466" i="7"/>
  <c r="AI432" i="7"/>
  <c r="AI62" i="7"/>
  <c r="AI158" i="7"/>
  <c r="AI254" i="7"/>
  <c r="AI350" i="7"/>
  <c r="AI434" i="7"/>
  <c r="AI135" i="7"/>
  <c r="AI148" i="7"/>
  <c r="AI222" i="7"/>
  <c r="AI402" i="7"/>
  <c r="AI116" i="7"/>
  <c r="AI423" i="7"/>
  <c r="AI451" i="7"/>
  <c r="AI425" i="7"/>
  <c r="AI497" i="7"/>
  <c r="AI463" i="7"/>
  <c r="AI236" i="7"/>
  <c r="AI284" i="7"/>
  <c r="J63" i="2"/>
  <c r="J64" i="2" s="1"/>
  <c r="I64" i="2"/>
  <c r="AI345" i="7"/>
  <c r="AI202" i="7"/>
  <c r="AI298" i="7"/>
  <c r="AI394" i="7"/>
  <c r="AI72" i="7"/>
  <c r="AI168" i="7"/>
  <c r="AI264" i="7"/>
  <c r="AI362" i="7"/>
  <c r="AI64" i="7"/>
  <c r="AI138" i="7"/>
  <c r="AI32" i="7"/>
  <c r="AI212" i="7"/>
  <c r="AI453" i="7"/>
  <c r="AI307" i="7"/>
  <c r="AI299" i="7"/>
  <c r="AI371" i="7"/>
  <c r="AI443" i="7"/>
  <c r="AI515" i="7"/>
  <c r="AI289" i="7"/>
  <c r="AI361" i="7"/>
  <c r="AI433" i="7"/>
  <c r="AI505" i="7"/>
  <c r="AI165" i="7"/>
  <c r="AI249" i="7"/>
  <c r="AG22" i="7"/>
  <c r="AI22" i="7" s="1"/>
  <c r="AI118" i="7"/>
  <c r="AI37" i="7"/>
  <c r="AI133" i="7"/>
  <c r="AI74" i="7"/>
  <c r="AI170" i="7"/>
  <c r="AI63" i="7"/>
  <c r="AI159" i="7"/>
  <c r="AI160" i="7"/>
  <c r="AI101" i="7"/>
  <c r="AI54" i="7"/>
  <c r="AI234" i="7"/>
  <c r="AI128" i="7"/>
  <c r="AI363" i="7"/>
  <c r="AI435" i="7"/>
  <c r="AI507" i="7"/>
  <c r="AI232" i="7"/>
  <c r="AI304" i="7"/>
  <c r="AI221" i="7"/>
  <c r="AI293" i="7"/>
  <c r="AI365" i="7"/>
  <c r="AI437" i="7"/>
  <c r="AI509" i="7"/>
  <c r="AI332" i="7"/>
  <c r="AI356" i="7"/>
  <c r="AI392" i="7"/>
  <c r="AI84" i="7"/>
  <c r="AI330" i="7"/>
  <c r="AI426" i="7"/>
  <c r="AI44" i="7"/>
  <c r="AI393" i="7"/>
  <c r="AI465" i="7"/>
  <c r="AI415" i="7"/>
  <c r="AI383" i="7"/>
  <c r="AI455" i="7"/>
  <c r="AI229" i="7"/>
  <c r="AI301" i="7"/>
  <c r="AI373" i="7"/>
  <c r="AI445" i="7"/>
  <c r="AI517" i="7"/>
  <c r="AI334" i="7"/>
  <c r="AI140" i="7"/>
  <c r="AI447" i="7"/>
  <c r="AI388" i="7"/>
  <c r="AI285" i="7"/>
  <c r="AI154" i="7"/>
  <c r="AI346" i="7"/>
  <c r="AI384" i="7"/>
  <c r="AI26" i="7"/>
  <c r="AI110" i="7"/>
  <c r="AI206" i="7"/>
  <c r="AI87" i="7"/>
  <c r="AI183" i="7"/>
  <c r="AI125" i="7"/>
  <c r="AI209" i="7"/>
  <c r="AI90" i="7"/>
  <c r="AI258" i="7"/>
  <c r="AI342" i="7"/>
  <c r="AI43" i="7"/>
  <c r="AI139" i="7"/>
  <c r="AI164" i="7"/>
  <c r="AI241" i="7"/>
  <c r="AI387" i="7"/>
  <c r="AI459" i="7"/>
  <c r="AI328" i="7"/>
  <c r="AI259" i="7"/>
  <c r="AI317" i="7"/>
  <c r="AI389" i="7"/>
  <c r="AI461" i="7"/>
  <c r="AI475" i="7"/>
  <c r="AI260" i="7"/>
  <c r="AI308" i="7"/>
  <c r="AI262" i="7"/>
  <c r="AI120" i="7"/>
  <c r="AI216" i="7"/>
  <c r="AI312" i="7"/>
  <c r="AI450" i="7"/>
  <c r="AI489" i="7"/>
  <c r="AI331" i="7"/>
  <c r="AI407" i="7"/>
  <c r="AI253" i="7"/>
  <c r="AI325" i="7"/>
  <c r="AI397" i="7"/>
  <c r="AI469" i="7"/>
  <c r="AI439" i="7"/>
  <c r="AI166" i="7"/>
  <c r="AI358" i="7"/>
  <c r="AI442" i="7"/>
  <c r="AI410" i="7"/>
  <c r="AI484" i="7"/>
  <c r="AI45" i="7"/>
  <c r="AI274" i="7"/>
  <c r="AI48" i="7"/>
  <c r="AI144" i="7"/>
  <c r="AI240" i="7"/>
  <c r="AI40" i="7"/>
  <c r="AI114" i="7"/>
  <c r="AI429" i="7"/>
  <c r="AI501" i="7"/>
  <c r="AI347" i="7"/>
  <c r="AI419" i="7"/>
  <c r="AI491" i="7"/>
  <c r="AI337" i="7"/>
  <c r="AI409" i="7"/>
  <c r="AI481" i="7"/>
  <c r="J57" i="2"/>
  <c r="J59" i="2" s="1"/>
  <c r="J60" i="2" s="1"/>
  <c r="AI255" i="7"/>
  <c r="AI327" i="7"/>
  <c r="AI412" i="7"/>
  <c r="AI404" i="7"/>
  <c r="AI512" i="7"/>
  <c r="E40" i="24"/>
  <c r="B75" i="24"/>
  <c r="C75" i="24" s="1"/>
  <c r="E91" i="24"/>
  <c r="E65" i="24"/>
  <c r="E80" i="24"/>
  <c r="E33" i="24"/>
  <c r="E43" i="24"/>
  <c r="B20" i="24"/>
  <c r="C20" i="24" s="1"/>
  <c r="B67" i="24"/>
  <c r="C67" i="24" s="1"/>
  <c r="E75" i="24"/>
  <c r="E55" i="24"/>
  <c r="E67" i="24"/>
  <c r="E45" i="24"/>
  <c r="B55" i="24"/>
  <c r="C55" i="24" s="1"/>
  <c r="E10" i="24"/>
  <c r="E30" i="24"/>
  <c r="B47" i="24"/>
  <c r="C47" i="24" s="1"/>
  <c r="E50" i="24"/>
  <c r="E53" i="24"/>
  <c r="B88" i="24"/>
  <c r="C88" i="24" s="1"/>
  <c r="B97" i="24"/>
  <c r="C97" i="24" s="1"/>
  <c r="E100" i="24"/>
  <c r="E114" i="24"/>
  <c r="B126" i="24"/>
  <c r="C126" i="24" s="1"/>
  <c r="E47" i="24"/>
  <c r="E85" i="24"/>
  <c r="E88" i="24"/>
  <c r="B95" i="24"/>
  <c r="C95" i="24" s="1"/>
  <c r="E123" i="24"/>
  <c r="E8" i="24"/>
  <c r="B62" i="24"/>
  <c r="C62" i="24" s="1"/>
  <c r="E95" i="24"/>
  <c r="E108" i="24"/>
  <c r="B15" i="24"/>
  <c r="C15" i="24" s="1"/>
  <c r="B25" i="24"/>
  <c r="C25" i="24" s="1"/>
  <c r="B60" i="24"/>
  <c r="C60" i="24" s="1"/>
  <c r="E98" i="24"/>
  <c r="E105" i="24"/>
  <c r="B116" i="24"/>
  <c r="C116" i="24" s="1"/>
  <c r="B80" i="24"/>
  <c r="C80" i="24" s="1"/>
  <c r="E60" i="24"/>
  <c r="E116" i="24"/>
  <c r="E25" i="24"/>
  <c r="B12" i="24"/>
  <c r="C12" i="24" s="1"/>
  <c r="B22" i="24"/>
  <c r="C22" i="24" s="1"/>
  <c r="B32" i="24"/>
  <c r="C32" i="24" s="1"/>
  <c r="B70" i="24"/>
  <c r="C70" i="24" s="1"/>
  <c r="B110" i="24"/>
  <c r="C110" i="24" s="1"/>
  <c r="E113" i="24"/>
  <c r="B10" i="24"/>
  <c r="C10" i="24" s="1"/>
  <c r="B30" i="24"/>
  <c r="C30" i="24" s="1"/>
  <c r="B50" i="24"/>
  <c r="C50" i="24" s="1"/>
  <c r="E70" i="24"/>
  <c r="B84" i="24"/>
  <c r="C84" i="24" s="1"/>
  <c r="B100" i="24"/>
  <c r="C100" i="24" s="1"/>
  <c r="E110" i="24"/>
  <c r="E125" i="24"/>
  <c r="B127" i="24"/>
  <c r="C127" i="24" s="1"/>
  <c r="B125" i="24"/>
  <c r="C125" i="24" s="1"/>
  <c r="B124" i="24"/>
  <c r="C124" i="24" s="1"/>
  <c r="E127" i="24"/>
  <c r="B123" i="24"/>
  <c r="C123" i="24" s="1"/>
  <c r="E124" i="24"/>
  <c r="B122" i="24"/>
  <c r="C122" i="24" s="1"/>
  <c r="B121" i="24"/>
  <c r="C121" i="24" s="1"/>
  <c r="B119" i="24"/>
  <c r="C119" i="24" s="1"/>
  <c r="E122" i="24"/>
  <c r="B118" i="24"/>
  <c r="C118" i="24" s="1"/>
  <c r="E121" i="24"/>
  <c r="E119" i="24"/>
  <c r="B117" i="24"/>
  <c r="C117" i="24" s="1"/>
  <c r="B115" i="24"/>
  <c r="C115" i="24" s="1"/>
  <c r="B114" i="24"/>
  <c r="C114" i="24" s="1"/>
  <c r="B113" i="24"/>
  <c r="C113" i="24" s="1"/>
  <c r="E115" i="24"/>
  <c r="B112" i="24"/>
  <c r="C112" i="24" s="1"/>
  <c r="B111" i="24"/>
  <c r="C111" i="24" s="1"/>
  <c r="B109" i="24"/>
  <c r="C109" i="24" s="1"/>
  <c r="E112" i="24"/>
  <c r="B108" i="24"/>
  <c r="C108" i="24" s="1"/>
  <c r="E111" i="24"/>
  <c r="E109" i="24"/>
  <c r="B107" i="24"/>
  <c r="C107" i="24" s="1"/>
  <c r="B106" i="24"/>
  <c r="C106" i="24" s="1"/>
  <c r="B104" i="24"/>
  <c r="C104" i="24" s="1"/>
  <c r="E107" i="24"/>
  <c r="B103" i="24"/>
  <c r="C103" i="24" s="1"/>
  <c r="E106" i="24"/>
  <c r="E104" i="24"/>
  <c r="E103" i="24"/>
  <c r="B102" i="24"/>
  <c r="C102" i="24" s="1"/>
  <c r="B101" i="24"/>
  <c r="C101" i="24" s="1"/>
  <c r="B99" i="24"/>
  <c r="C99" i="24" s="1"/>
  <c r="E102" i="24"/>
  <c r="B98" i="24"/>
  <c r="C98" i="24" s="1"/>
  <c r="E101" i="24"/>
  <c r="E99" i="24"/>
  <c r="B94" i="24"/>
  <c r="C94" i="24" s="1"/>
  <c r="E97" i="24"/>
  <c r="B93" i="24"/>
  <c r="C93" i="24" s="1"/>
  <c r="E96" i="24"/>
  <c r="E94" i="24"/>
  <c r="E93" i="24"/>
  <c r="B92" i="24"/>
  <c r="C92" i="24" s="1"/>
  <c r="B90" i="24"/>
  <c r="C90" i="24" s="1"/>
  <c r="B89" i="24"/>
  <c r="C89" i="24" s="1"/>
  <c r="E92" i="24"/>
  <c r="E90" i="24"/>
  <c r="E89" i="24"/>
  <c r="B87" i="24"/>
  <c r="C87" i="24" s="1"/>
  <c r="B86" i="24"/>
  <c r="C86" i="24" s="1"/>
  <c r="B85" i="24"/>
  <c r="C85" i="24" s="1"/>
  <c r="B83" i="24"/>
  <c r="C83" i="24" s="1"/>
  <c r="E86" i="24"/>
  <c r="E84" i="24"/>
  <c r="E83" i="24"/>
  <c r="B81" i="24"/>
  <c r="C81" i="24" s="1"/>
  <c r="B79" i="24"/>
  <c r="C79" i="24" s="1"/>
  <c r="E82" i="24"/>
  <c r="B78" i="24"/>
  <c r="C78" i="24" s="1"/>
  <c r="E81" i="24"/>
  <c r="E79" i="24"/>
  <c r="E78" i="24"/>
  <c r="B77" i="24"/>
  <c r="C77" i="24" s="1"/>
  <c r="B76" i="24"/>
  <c r="C76" i="24" s="1"/>
  <c r="B74" i="24"/>
  <c r="C74" i="24" s="1"/>
  <c r="E77" i="24"/>
  <c r="B73" i="24"/>
  <c r="C73" i="24" s="1"/>
  <c r="E76" i="24"/>
  <c r="E74" i="24"/>
  <c r="E73" i="24"/>
  <c r="B72" i="24"/>
  <c r="C72" i="24" s="1"/>
  <c r="B71" i="24"/>
  <c r="C71" i="24" s="1"/>
  <c r="B69" i="24"/>
  <c r="C69" i="24" s="1"/>
  <c r="E72" i="24"/>
  <c r="B68" i="24"/>
  <c r="C68" i="24" s="1"/>
  <c r="E71" i="24"/>
  <c r="E69" i="24"/>
  <c r="E68" i="24"/>
  <c r="B66" i="24"/>
  <c r="C66" i="24" s="1"/>
  <c r="B65" i="24"/>
  <c r="C65" i="24" s="1"/>
  <c r="B63" i="24"/>
  <c r="C63" i="24" s="1"/>
  <c r="E66" i="24"/>
  <c r="E64" i="24"/>
  <c r="E63" i="24"/>
  <c r="B61" i="24"/>
  <c r="C61" i="24" s="1"/>
  <c r="B59" i="24"/>
  <c r="C59" i="24" s="1"/>
  <c r="E62" i="24"/>
  <c r="B58" i="24"/>
  <c r="C58" i="24" s="1"/>
  <c r="E61" i="24"/>
  <c r="E59" i="24"/>
  <c r="B56" i="24"/>
  <c r="C56" i="24" s="1"/>
  <c r="B54" i="24"/>
  <c r="C54" i="24" s="1"/>
  <c r="E57" i="24"/>
  <c r="E54" i="24"/>
  <c r="B51" i="24"/>
  <c r="C51" i="24" s="1"/>
  <c r="B49" i="24"/>
  <c r="C49" i="24" s="1"/>
  <c r="E52" i="24"/>
  <c r="B48" i="24"/>
  <c r="C48" i="24" s="1"/>
  <c r="E51" i="24"/>
  <c r="E49" i="24"/>
  <c r="E48" i="24"/>
  <c r="B46" i="24"/>
  <c r="C46" i="24" s="1"/>
  <c r="E46" i="24"/>
  <c r="E44" i="24"/>
  <c r="B42" i="24"/>
  <c r="C42" i="24" s="1"/>
  <c r="B41" i="24"/>
  <c r="C41" i="24" s="1"/>
  <c r="B39" i="24"/>
  <c r="C39" i="24" s="1"/>
  <c r="E42" i="24"/>
  <c r="B38" i="24"/>
  <c r="C38" i="24" s="1"/>
  <c r="E41" i="24"/>
  <c r="E39" i="24"/>
  <c r="B37" i="24"/>
  <c r="C37" i="24" s="1"/>
  <c r="B36" i="24"/>
  <c r="C36" i="24" s="1"/>
  <c r="B35" i="24"/>
  <c r="C35" i="24" s="1"/>
  <c r="B34" i="24"/>
  <c r="C34" i="24" s="1"/>
  <c r="E37" i="24"/>
  <c r="B33" i="24"/>
  <c r="C33" i="24" s="1"/>
  <c r="E34" i="24"/>
  <c r="B29" i="24"/>
  <c r="C29" i="24" s="1"/>
  <c r="E32" i="24"/>
  <c r="B28" i="24"/>
  <c r="C28" i="24" s="1"/>
  <c r="E31" i="24"/>
  <c r="E29" i="24"/>
  <c r="E28" i="24"/>
  <c r="B27" i="24"/>
  <c r="C27" i="24" s="1"/>
  <c r="B26" i="24"/>
  <c r="C26" i="24" s="1"/>
  <c r="B24" i="24"/>
  <c r="C24" i="24" s="1"/>
  <c r="E27" i="24"/>
  <c r="B23" i="24"/>
  <c r="C23" i="24" s="1"/>
  <c r="E26" i="24"/>
  <c r="E24" i="24"/>
  <c r="E23" i="24"/>
  <c r="B21" i="24"/>
  <c r="C21" i="24" s="1"/>
  <c r="B19" i="24"/>
  <c r="C19" i="24" s="1"/>
  <c r="E22" i="24"/>
  <c r="B18" i="24"/>
  <c r="C18" i="24" s="1"/>
  <c r="E21" i="24"/>
  <c r="E19" i="24"/>
  <c r="E18" i="24"/>
  <c r="B17" i="24"/>
  <c r="C17" i="24" s="1"/>
  <c r="B16" i="24"/>
  <c r="C16" i="24" s="1"/>
  <c r="B14" i="24"/>
  <c r="C14" i="24" s="1"/>
  <c r="E17" i="24"/>
  <c r="B13" i="24"/>
  <c r="C13" i="24" s="1"/>
  <c r="E16" i="24"/>
  <c r="E14" i="24"/>
  <c r="B11" i="24"/>
  <c r="C11" i="24" s="1"/>
  <c r="B9" i="24"/>
  <c r="C9" i="24" s="1"/>
  <c r="E12" i="24"/>
  <c r="E9" i="24"/>
  <c r="O52" i="18" l="1"/>
  <c r="O50" i="18"/>
  <c r="N52" i="18"/>
  <c r="N50" i="18"/>
  <c r="B667" i="18"/>
  <c r="B668" i="18" s="1"/>
  <c r="B669" i="18" s="1"/>
  <c r="B670" i="18" s="1"/>
  <c r="B671" i="18" s="1"/>
  <c r="B672" i="18" s="1"/>
  <c r="B673" i="18" s="1"/>
  <c r="B674" i="18" s="1"/>
  <c r="B675" i="18" s="1"/>
  <c r="B676" i="18" s="1"/>
  <c r="B677" i="18" s="1"/>
  <c r="B678" i="18" s="1"/>
  <c r="B679" i="18" s="1"/>
  <c r="B680" i="18" s="1"/>
  <c r="B681" i="18" s="1"/>
  <c r="B682" i="18" s="1"/>
  <c r="B683" i="18" s="1"/>
  <c r="B684" i="18" s="1"/>
  <c r="B685" i="18" s="1"/>
  <c r="B686" i="18" s="1"/>
  <c r="B687" i="18" s="1"/>
  <c r="B688" i="18" s="1"/>
  <c r="B689" i="18" s="1"/>
  <c r="B690" i="18" s="1"/>
  <c r="B691" i="18" s="1"/>
  <c r="B692" i="18" s="1"/>
  <c r="B693" i="18" s="1"/>
  <c r="B694" i="18" s="1"/>
  <c r="B695" i="18" s="1"/>
  <c r="B696" i="18" s="1"/>
  <c r="B697" i="18" s="1"/>
  <c r="T694" i="18"/>
  <c r="T682" i="18"/>
  <c r="O672" i="18"/>
  <c r="T689" i="18"/>
  <c r="N672" i="18"/>
  <c r="T690" i="18"/>
  <c r="N670" i="18"/>
  <c r="T685" i="18"/>
  <c r="T695" i="18"/>
  <c r="T696" i="18"/>
  <c r="T693" i="18"/>
  <c r="T691" i="18"/>
  <c r="T683" i="18"/>
  <c r="T692" i="18"/>
  <c r="T688" i="18"/>
  <c r="T686" i="18"/>
  <c r="T684" i="18"/>
  <c r="T687" i="18"/>
  <c r="O670" i="18"/>
  <c r="G699" i="18"/>
  <c r="D730" i="18"/>
  <c r="AB23" i="7"/>
  <c r="AB24" i="7"/>
  <c r="AB25" i="7"/>
  <c r="AB26" i="7"/>
  <c r="AB27" i="7"/>
  <c r="AB28" i="7"/>
  <c r="AB29" i="7"/>
  <c r="AB30" i="7"/>
  <c r="AB31" i="7"/>
  <c r="AB32" i="7"/>
  <c r="AB33" i="7"/>
  <c r="AB34" i="7"/>
  <c r="AB35" i="7"/>
  <c r="AB36" i="7"/>
  <c r="AB37" i="7"/>
  <c r="AB38" i="7"/>
  <c r="AB39" i="7"/>
  <c r="AB40" i="7"/>
  <c r="AB41" i="7"/>
  <c r="AB42" i="7"/>
  <c r="AB43" i="7"/>
  <c r="AB44" i="7"/>
  <c r="AB45" i="7"/>
  <c r="AB46" i="7"/>
  <c r="AB47" i="7"/>
  <c r="AB48" i="7"/>
  <c r="AB49" i="7"/>
  <c r="AB50" i="7"/>
  <c r="AB51" i="7"/>
  <c r="AB52" i="7"/>
  <c r="AB53" i="7"/>
  <c r="AB54" i="7"/>
  <c r="AB55" i="7"/>
  <c r="AB56" i="7"/>
  <c r="AB57" i="7"/>
  <c r="AB58" i="7"/>
  <c r="AB59" i="7"/>
  <c r="AB60" i="7"/>
  <c r="AB61" i="7"/>
  <c r="AB62" i="7"/>
  <c r="AB63" i="7"/>
  <c r="AB64" i="7"/>
  <c r="AB65" i="7"/>
  <c r="AB66" i="7"/>
  <c r="AB67" i="7"/>
  <c r="AB68" i="7"/>
  <c r="AB69" i="7"/>
  <c r="AB70" i="7"/>
  <c r="AB71" i="7"/>
  <c r="AB72" i="7"/>
  <c r="AB73" i="7"/>
  <c r="AB74" i="7"/>
  <c r="AB75" i="7"/>
  <c r="AB76" i="7"/>
  <c r="AB77" i="7"/>
  <c r="AB78" i="7"/>
  <c r="AB79" i="7"/>
  <c r="AB80" i="7"/>
  <c r="AB81" i="7"/>
  <c r="AB82" i="7"/>
  <c r="AB83" i="7"/>
  <c r="AB84" i="7"/>
  <c r="AB85" i="7"/>
  <c r="AB86" i="7"/>
  <c r="AB87" i="7"/>
  <c r="AB88" i="7"/>
  <c r="AB89" i="7"/>
  <c r="AB90" i="7"/>
  <c r="AB91" i="7"/>
  <c r="AB92" i="7"/>
  <c r="AB93" i="7"/>
  <c r="AB94" i="7"/>
  <c r="AB95" i="7"/>
  <c r="AB96" i="7"/>
  <c r="AB97" i="7"/>
  <c r="AB98" i="7"/>
  <c r="AB99" i="7"/>
  <c r="AB100" i="7"/>
  <c r="AB101" i="7"/>
  <c r="AB102" i="7"/>
  <c r="AB103" i="7"/>
  <c r="AB104" i="7"/>
  <c r="AB105" i="7"/>
  <c r="AB106" i="7"/>
  <c r="AB107" i="7"/>
  <c r="AB108" i="7"/>
  <c r="AB109" i="7"/>
  <c r="AB110" i="7"/>
  <c r="AB111" i="7"/>
  <c r="AB112" i="7"/>
  <c r="AB113" i="7"/>
  <c r="AB114" i="7"/>
  <c r="AB115" i="7"/>
  <c r="AB116" i="7"/>
  <c r="AB117" i="7"/>
  <c r="AB118" i="7"/>
  <c r="AB119" i="7"/>
  <c r="AB120" i="7"/>
  <c r="AB121" i="7"/>
  <c r="AB122" i="7"/>
  <c r="AB123" i="7"/>
  <c r="AB124" i="7"/>
  <c r="AB125" i="7"/>
  <c r="AB126" i="7"/>
  <c r="AB127" i="7"/>
  <c r="AB128" i="7"/>
  <c r="AB129" i="7"/>
  <c r="AB130" i="7"/>
  <c r="AB131" i="7"/>
  <c r="AB132" i="7"/>
  <c r="AB133" i="7"/>
  <c r="AB134" i="7"/>
  <c r="AB135" i="7"/>
  <c r="AB136" i="7"/>
  <c r="AB137" i="7"/>
  <c r="AB138" i="7"/>
  <c r="AB139" i="7"/>
  <c r="AB140" i="7"/>
  <c r="AB141" i="7"/>
  <c r="AB142" i="7"/>
  <c r="AB143" i="7"/>
  <c r="AB144" i="7"/>
  <c r="AB145" i="7"/>
  <c r="AB146" i="7"/>
  <c r="AB147" i="7"/>
  <c r="AB148" i="7"/>
  <c r="AB149" i="7"/>
  <c r="AB150" i="7"/>
  <c r="AB151" i="7"/>
  <c r="AB152" i="7"/>
  <c r="AB153" i="7"/>
  <c r="AB154" i="7"/>
  <c r="AB155" i="7"/>
  <c r="AB156" i="7"/>
  <c r="AB157" i="7"/>
  <c r="AB158" i="7"/>
  <c r="AB159" i="7"/>
  <c r="AB160" i="7"/>
  <c r="AB161" i="7"/>
  <c r="AB162" i="7"/>
  <c r="AB163" i="7"/>
  <c r="AB164" i="7"/>
  <c r="AB165" i="7"/>
  <c r="AB166" i="7"/>
  <c r="AB167" i="7"/>
  <c r="AB168" i="7"/>
  <c r="AB169" i="7"/>
  <c r="AB170" i="7"/>
  <c r="AB171" i="7"/>
  <c r="AB172" i="7"/>
  <c r="AB173" i="7"/>
  <c r="AB174" i="7"/>
  <c r="AB175" i="7"/>
  <c r="AB176" i="7"/>
  <c r="AB177" i="7"/>
  <c r="AB178" i="7"/>
  <c r="AB179" i="7"/>
  <c r="AB180" i="7"/>
  <c r="AB181" i="7"/>
  <c r="AB182" i="7"/>
  <c r="AB183" i="7"/>
  <c r="AB184" i="7"/>
  <c r="AB185" i="7"/>
  <c r="AB186" i="7"/>
  <c r="AB187" i="7"/>
  <c r="AB188" i="7"/>
  <c r="AB189" i="7"/>
  <c r="AB190" i="7"/>
  <c r="AB191" i="7"/>
  <c r="AB192" i="7"/>
  <c r="AB193" i="7"/>
  <c r="AB194" i="7"/>
  <c r="AB195" i="7"/>
  <c r="AB196" i="7"/>
  <c r="AB197" i="7"/>
  <c r="AB198" i="7"/>
  <c r="AB199" i="7"/>
  <c r="AB200" i="7"/>
  <c r="AB201" i="7"/>
  <c r="AB202" i="7"/>
  <c r="AB203" i="7"/>
  <c r="AB204" i="7"/>
  <c r="AB205" i="7"/>
  <c r="AB206" i="7"/>
  <c r="AB207" i="7"/>
  <c r="AB208" i="7"/>
  <c r="AB209" i="7"/>
  <c r="AB210" i="7"/>
  <c r="AB211" i="7"/>
  <c r="AB212" i="7"/>
  <c r="AB213" i="7"/>
  <c r="AB214" i="7"/>
  <c r="AB215" i="7"/>
  <c r="AB216" i="7"/>
  <c r="AB217" i="7"/>
  <c r="AB218" i="7"/>
  <c r="AB219" i="7"/>
  <c r="AB220" i="7"/>
  <c r="AB221" i="7"/>
  <c r="AB222" i="7"/>
  <c r="AB223" i="7"/>
  <c r="AB224" i="7"/>
  <c r="AB225" i="7"/>
  <c r="AB226" i="7"/>
  <c r="AB227" i="7"/>
  <c r="AB228" i="7"/>
  <c r="AB229" i="7"/>
  <c r="AB230" i="7"/>
  <c r="AB231" i="7"/>
  <c r="AB232" i="7"/>
  <c r="AB233" i="7"/>
  <c r="AB234" i="7"/>
  <c r="AB235" i="7"/>
  <c r="AB236" i="7"/>
  <c r="AB237" i="7"/>
  <c r="AB238" i="7"/>
  <c r="AB239" i="7"/>
  <c r="AB240" i="7"/>
  <c r="AB241" i="7"/>
  <c r="AB242" i="7"/>
  <c r="AB243" i="7"/>
  <c r="AB244" i="7"/>
  <c r="AB245" i="7"/>
  <c r="AB246" i="7"/>
  <c r="AB247" i="7"/>
  <c r="AB248" i="7"/>
  <c r="AB249" i="7"/>
  <c r="AB250" i="7"/>
  <c r="AB251" i="7"/>
  <c r="AB252" i="7"/>
  <c r="AB253" i="7"/>
  <c r="AB254" i="7"/>
  <c r="AB255" i="7"/>
  <c r="AB256" i="7"/>
  <c r="AB257" i="7"/>
  <c r="AB258" i="7"/>
  <c r="AB259" i="7"/>
  <c r="AB260" i="7"/>
  <c r="AB261" i="7"/>
  <c r="AB262" i="7"/>
  <c r="AB263" i="7"/>
  <c r="AB264" i="7"/>
  <c r="AB265" i="7"/>
  <c r="AB266" i="7"/>
  <c r="AB267" i="7"/>
  <c r="AB268" i="7"/>
  <c r="AB269" i="7"/>
  <c r="AB270" i="7"/>
  <c r="AB271" i="7"/>
  <c r="AB272" i="7"/>
  <c r="AB273" i="7"/>
  <c r="AB274" i="7"/>
  <c r="AB275" i="7"/>
  <c r="AB276" i="7"/>
  <c r="AB277" i="7"/>
  <c r="AB278" i="7"/>
  <c r="AB279" i="7"/>
  <c r="AB280" i="7"/>
  <c r="AB281" i="7"/>
  <c r="AB282" i="7"/>
  <c r="AB283" i="7"/>
  <c r="AB284" i="7"/>
  <c r="AB285" i="7"/>
  <c r="AB286" i="7"/>
  <c r="AB287" i="7"/>
  <c r="AB288" i="7"/>
  <c r="AB289" i="7"/>
  <c r="AB290" i="7"/>
  <c r="AB291" i="7"/>
  <c r="AB292" i="7"/>
  <c r="AB293" i="7"/>
  <c r="AB294" i="7"/>
  <c r="AB295" i="7"/>
  <c r="AB296" i="7"/>
  <c r="AB297" i="7"/>
  <c r="AB298" i="7"/>
  <c r="AB299" i="7"/>
  <c r="AB300" i="7"/>
  <c r="AB301" i="7"/>
  <c r="AB302" i="7"/>
  <c r="AB303" i="7"/>
  <c r="AB304" i="7"/>
  <c r="AB305" i="7"/>
  <c r="AB306" i="7"/>
  <c r="AB307" i="7"/>
  <c r="AB308" i="7"/>
  <c r="AB309" i="7"/>
  <c r="AB310" i="7"/>
  <c r="AB311" i="7"/>
  <c r="AB312" i="7"/>
  <c r="AB313" i="7"/>
  <c r="AB314" i="7"/>
  <c r="AB315" i="7"/>
  <c r="AB316" i="7"/>
  <c r="AB317" i="7"/>
  <c r="AB318" i="7"/>
  <c r="AB319" i="7"/>
  <c r="AB320" i="7"/>
  <c r="AB321" i="7"/>
  <c r="AB322" i="7"/>
  <c r="AB323" i="7"/>
  <c r="AB324" i="7"/>
  <c r="AB325" i="7"/>
  <c r="AB326" i="7"/>
  <c r="AB327" i="7"/>
  <c r="AB328" i="7"/>
  <c r="AB329" i="7"/>
  <c r="AB330" i="7"/>
  <c r="AB331" i="7"/>
  <c r="AB332" i="7"/>
  <c r="AB333" i="7"/>
  <c r="AB334" i="7"/>
  <c r="AB335" i="7"/>
  <c r="AB336" i="7"/>
  <c r="AB337" i="7"/>
  <c r="AB338" i="7"/>
  <c r="AB339" i="7"/>
  <c r="AB340" i="7"/>
  <c r="AB341" i="7"/>
  <c r="AB342" i="7"/>
  <c r="AB343" i="7"/>
  <c r="AB344" i="7"/>
  <c r="AB345" i="7"/>
  <c r="AB346" i="7"/>
  <c r="AB347" i="7"/>
  <c r="AB348" i="7"/>
  <c r="AB349" i="7"/>
  <c r="AB350" i="7"/>
  <c r="AB351" i="7"/>
  <c r="AB352" i="7"/>
  <c r="AB353" i="7"/>
  <c r="AB354" i="7"/>
  <c r="AB355" i="7"/>
  <c r="AB356" i="7"/>
  <c r="AB357" i="7"/>
  <c r="AB358" i="7"/>
  <c r="AB359" i="7"/>
  <c r="AB360" i="7"/>
  <c r="AB361" i="7"/>
  <c r="AB362" i="7"/>
  <c r="AB363" i="7"/>
  <c r="AB364" i="7"/>
  <c r="AB365" i="7"/>
  <c r="AB366" i="7"/>
  <c r="AB367" i="7"/>
  <c r="AB368" i="7"/>
  <c r="AB369" i="7"/>
  <c r="AB370" i="7"/>
  <c r="AB371" i="7"/>
  <c r="AB372" i="7"/>
  <c r="AB373" i="7"/>
  <c r="AB374" i="7"/>
  <c r="AB375" i="7"/>
  <c r="AB376" i="7"/>
  <c r="AB377" i="7"/>
  <c r="AB378" i="7"/>
  <c r="AB379" i="7"/>
  <c r="AB380" i="7"/>
  <c r="AB381" i="7"/>
  <c r="AB382" i="7"/>
  <c r="AB383" i="7"/>
  <c r="AB384" i="7"/>
  <c r="AB385" i="7"/>
  <c r="AB386" i="7"/>
  <c r="AB387" i="7"/>
  <c r="AB388" i="7"/>
  <c r="AB389" i="7"/>
  <c r="AB390" i="7"/>
  <c r="AB391" i="7"/>
  <c r="AB392" i="7"/>
  <c r="AB393" i="7"/>
  <c r="AB394" i="7"/>
  <c r="AB395" i="7"/>
  <c r="AB396" i="7"/>
  <c r="AB397" i="7"/>
  <c r="AB398" i="7"/>
  <c r="AB399" i="7"/>
  <c r="AB400" i="7"/>
  <c r="AB401" i="7"/>
  <c r="AB402" i="7"/>
  <c r="AB403" i="7"/>
  <c r="AB404" i="7"/>
  <c r="AB405" i="7"/>
  <c r="AB406" i="7"/>
  <c r="AB407" i="7"/>
  <c r="AB408" i="7"/>
  <c r="AB409" i="7"/>
  <c r="AB410" i="7"/>
  <c r="AB411" i="7"/>
  <c r="AB412" i="7"/>
  <c r="AB413" i="7"/>
  <c r="AB414" i="7"/>
  <c r="AB415" i="7"/>
  <c r="AB416" i="7"/>
  <c r="AB417" i="7"/>
  <c r="AB418" i="7"/>
  <c r="AB419" i="7"/>
  <c r="AB420" i="7"/>
  <c r="AB421" i="7"/>
  <c r="AB422" i="7"/>
  <c r="AB423" i="7"/>
  <c r="AB424" i="7"/>
  <c r="AB425" i="7"/>
  <c r="AB426" i="7"/>
  <c r="AB427" i="7"/>
  <c r="AB428" i="7"/>
  <c r="AB429" i="7"/>
  <c r="AB430" i="7"/>
  <c r="AB431" i="7"/>
  <c r="AB432" i="7"/>
  <c r="AB433" i="7"/>
  <c r="AB434" i="7"/>
  <c r="AB435" i="7"/>
  <c r="AB436" i="7"/>
  <c r="AB437" i="7"/>
  <c r="AB438" i="7"/>
  <c r="AB439" i="7"/>
  <c r="AB440" i="7"/>
  <c r="AB441" i="7"/>
  <c r="AB442" i="7"/>
  <c r="AB443" i="7"/>
  <c r="AB444" i="7"/>
  <c r="AB445" i="7"/>
  <c r="AB446" i="7"/>
  <c r="AB447" i="7"/>
  <c r="AB448" i="7"/>
  <c r="AB449" i="7"/>
  <c r="AB450" i="7"/>
  <c r="AB451" i="7"/>
  <c r="AB452" i="7"/>
  <c r="AB453" i="7"/>
  <c r="AB454" i="7"/>
  <c r="AB455" i="7"/>
  <c r="AB456" i="7"/>
  <c r="AB457" i="7"/>
  <c r="AB458" i="7"/>
  <c r="AB459" i="7"/>
  <c r="AB460" i="7"/>
  <c r="AB461" i="7"/>
  <c r="AB462" i="7"/>
  <c r="AB463" i="7"/>
  <c r="AB464" i="7"/>
  <c r="AB465" i="7"/>
  <c r="AB466" i="7"/>
  <c r="AB467" i="7"/>
  <c r="AB468" i="7"/>
  <c r="AB469" i="7"/>
  <c r="AB470" i="7"/>
  <c r="AB471" i="7"/>
  <c r="AB472" i="7"/>
  <c r="AB473" i="7"/>
  <c r="AB474" i="7"/>
  <c r="AB475" i="7"/>
  <c r="AB476" i="7"/>
  <c r="AB477" i="7"/>
  <c r="AB478" i="7"/>
  <c r="AB479" i="7"/>
  <c r="AB480" i="7"/>
  <c r="AB481" i="7"/>
  <c r="AB482" i="7"/>
  <c r="AB483" i="7"/>
  <c r="AB484" i="7"/>
  <c r="AB485" i="7"/>
  <c r="AB486" i="7"/>
  <c r="AB487" i="7"/>
  <c r="AB488" i="7"/>
  <c r="AB489" i="7"/>
  <c r="AB490" i="7"/>
  <c r="AB491" i="7"/>
  <c r="AB492" i="7"/>
  <c r="AB493" i="7"/>
  <c r="AB494" i="7"/>
  <c r="AB495" i="7"/>
  <c r="AB496" i="7"/>
  <c r="AB497" i="7"/>
  <c r="AB498" i="7"/>
  <c r="AB499" i="7"/>
  <c r="AB500" i="7"/>
  <c r="AB501" i="7"/>
  <c r="AB502" i="7"/>
  <c r="AB503" i="7"/>
  <c r="AB504" i="7"/>
  <c r="AB505" i="7"/>
  <c r="AB506" i="7"/>
  <c r="AB507" i="7"/>
  <c r="AB508" i="7"/>
  <c r="AB509" i="7"/>
  <c r="AB510" i="7"/>
  <c r="AB511" i="7"/>
  <c r="AB512" i="7"/>
  <c r="AB513" i="7"/>
  <c r="AB514" i="7"/>
  <c r="AB515" i="7"/>
  <c r="AB516" i="7"/>
  <c r="AB517" i="7"/>
  <c r="AB518" i="7"/>
  <c r="AB519" i="7"/>
  <c r="AB520" i="7"/>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18" i="4"/>
  <c r="I4" i="24"/>
  <c r="I5" i="24"/>
  <c r="I6" i="24"/>
  <c r="I7" i="24"/>
  <c r="I3" i="24"/>
  <c r="D7" i="24"/>
  <c r="B698" i="18" l="1"/>
  <c r="B699" i="18" s="1"/>
  <c r="B700" i="18" s="1"/>
  <c r="B701" i="18" s="1"/>
  <c r="B702" i="18" s="1"/>
  <c r="B703" i="18" s="1"/>
  <c r="B704" i="18" s="1"/>
  <c r="B705" i="18" s="1"/>
  <c r="B706" i="18" s="1"/>
  <c r="B707" i="18" s="1"/>
  <c r="B708" i="18" s="1"/>
  <c r="B709" i="18" s="1"/>
  <c r="B710" i="18" s="1"/>
  <c r="B711" i="18" s="1"/>
  <c r="B712" i="18" s="1"/>
  <c r="B713" i="18" s="1"/>
  <c r="B714" i="18" s="1"/>
  <c r="B715" i="18" s="1"/>
  <c r="B716" i="18" s="1"/>
  <c r="B717" i="18" s="1"/>
  <c r="B718" i="18" s="1"/>
  <c r="B719" i="18" s="1"/>
  <c r="B720" i="18" s="1"/>
  <c r="B721" i="18" s="1"/>
  <c r="B722" i="18" s="1"/>
  <c r="B723" i="18" s="1"/>
  <c r="B724" i="18" s="1"/>
  <c r="B725" i="18" s="1"/>
  <c r="B726" i="18" s="1"/>
  <c r="B727" i="18" s="1"/>
  <c r="B728" i="18" s="1"/>
  <c r="T714" i="18"/>
  <c r="T726" i="18"/>
  <c r="T723" i="18"/>
  <c r="T718" i="18"/>
  <c r="T713" i="18"/>
  <c r="T719" i="18"/>
  <c r="N703" i="18"/>
  <c r="T717" i="18"/>
  <c r="O701" i="18"/>
  <c r="T721" i="18"/>
  <c r="O703" i="18"/>
  <c r="T716" i="18"/>
  <c r="N701" i="18"/>
  <c r="T727" i="18"/>
  <c r="T725" i="18"/>
  <c r="T720" i="18"/>
  <c r="T715" i="18"/>
  <c r="T724" i="18"/>
  <c r="T722" i="18"/>
  <c r="D761" i="18"/>
  <c r="G730" i="18"/>
  <c r="D18" i="4"/>
  <c r="D446" i="4"/>
  <c r="K446" i="4"/>
  <c r="D515" i="4"/>
  <c r="K515" i="4"/>
  <c r="D503" i="4"/>
  <c r="K503" i="4"/>
  <c r="D491" i="4"/>
  <c r="K491" i="4"/>
  <c r="D479" i="4"/>
  <c r="K479" i="4"/>
  <c r="D467" i="4"/>
  <c r="K467" i="4"/>
  <c r="D455" i="4"/>
  <c r="K455" i="4"/>
  <c r="D443" i="4"/>
  <c r="K443" i="4"/>
  <c r="D431" i="4"/>
  <c r="K431" i="4"/>
  <c r="D419" i="4"/>
  <c r="K419" i="4"/>
  <c r="D407" i="4"/>
  <c r="K407" i="4"/>
  <c r="D395" i="4"/>
  <c r="K395" i="4"/>
  <c r="D383" i="4"/>
  <c r="K383" i="4"/>
  <c r="D371" i="4"/>
  <c r="K371" i="4"/>
  <c r="D359" i="4"/>
  <c r="K359" i="4"/>
  <c r="D347" i="4"/>
  <c r="K347" i="4"/>
  <c r="D335" i="4"/>
  <c r="K335" i="4"/>
  <c r="D323" i="4"/>
  <c r="K323" i="4"/>
  <c r="D311" i="4"/>
  <c r="K311" i="4"/>
  <c r="D299" i="4"/>
  <c r="K299" i="4"/>
  <c r="D287" i="4"/>
  <c r="K287" i="4"/>
  <c r="D275" i="4"/>
  <c r="K275" i="4"/>
  <c r="D263" i="4"/>
  <c r="K263" i="4"/>
  <c r="D251" i="4"/>
  <c r="K251" i="4"/>
  <c r="D239" i="4"/>
  <c r="K239" i="4"/>
  <c r="D227" i="4"/>
  <c r="K227" i="4"/>
  <c r="D215" i="4"/>
  <c r="K215" i="4"/>
  <c r="D203" i="4"/>
  <c r="K203" i="4"/>
  <c r="D191" i="4"/>
  <c r="K191" i="4"/>
  <c r="D179" i="4"/>
  <c r="K179" i="4"/>
  <c r="D167" i="4"/>
  <c r="K167" i="4"/>
  <c r="D155" i="4"/>
  <c r="K155" i="4"/>
  <c r="D143" i="4"/>
  <c r="K143" i="4"/>
  <c r="D131" i="4"/>
  <c r="K131" i="4"/>
  <c r="D119" i="4"/>
  <c r="K119" i="4"/>
  <c r="D107" i="4"/>
  <c r="K107" i="4"/>
  <c r="D95" i="4"/>
  <c r="K95" i="4"/>
  <c r="D83" i="4"/>
  <c r="K83" i="4"/>
  <c r="D71" i="4"/>
  <c r="K71" i="4"/>
  <c r="D59" i="4"/>
  <c r="K59" i="4"/>
  <c r="D47" i="4"/>
  <c r="K47" i="4"/>
  <c r="D35" i="4"/>
  <c r="K35" i="4"/>
  <c r="D23" i="4"/>
  <c r="K23" i="4"/>
  <c r="D470" i="4"/>
  <c r="K470" i="4"/>
  <c r="D386" i="4"/>
  <c r="K386" i="4"/>
  <c r="D514" i="4"/>
  <c r="K514" i="4"/>
  <c r="D502" i="4"/>
  <c r="K502" i="4"/>
  <c r="D490" i="4"/>
  <c r="K490" i="4"/>
  <c r="D478" i="4"/>
  <c r="K478" i="4"/>
  <c r="D466" i="4"/>
  <c r="K466" i="4"/>
  <c r="D454" i="4"/>
  <c r="K454" i="4"/>
  <c r="D442" i="4"/>
  <c r="K442" i="4"/>
  <c r="D430" i="4"/>
  <c r="K430" i="4"/>
  <c r="D418" i="4"/>
  <c r="K418" i="4"/>
  <c r="D406" i="4"/>
  <c r="K406" i="4"/>
  <c r="D394" i="4"/>
  <c r="K394" i="4"/>
  <c r="D382" i="4"/>
  <c r="K382" i="4"/>
  <c r="D370" i="4"/>
  <c r="K370" i="4"/>
  <c r="D358" i="4"/>
  <c r="K358" i="4"/>
  <c r="D346" i="4"/>
  <c r="K346" i="4"/>
  <c r="D334" i="4"/>
  <c r="K334" i="4"/>
  <c r="D322" i="4"/>
  <c r="K322" i="4"/>
  <c r="D310" i="4"/>
  <c r="K310" i="4"/>
  <c r="D298" i="4"/>
  <c r="K298" i="4"/>
  <c r="D286" i="4"/>
  <c r="K286" i="4"/>
  <c r="D274" i="4"/>
  <c r="K274" i="4"/>
  <c r="D262" i="4"/>
  <c r="K262" i="4"/>
  <c r="D250" i="4"/>
  <c r="K250" i="4"/>
  <c r="D238" i="4"/>
  <c r="K238" i="4"/>
  <c r="D226" i="4"/>
  <c r="K226" i="4"/>
  <c r="D214" i="4"/>
  <c r="K214" i="4"/>
  <c r="D202" i="4"/>
  <c r="K202" i="4"/>
  <c r="D190" i="4"/>
  <c r="K190" i="4"/>
  <c r="D178" i="4"/>
  <c r="K178" i="4"/>
  <c r="D166" i="4"/>
  <c r="K166" i="4"/>
  <c r="D154" i="4"/>
  <c r="K154" i="4"/>
  <c r="D142" i="4"/>
  <c r="K142" i="4"/>
  <c r="D130" i="4"/>
  <c r="K130" i="4"/>
  <c r="D118" i="4"/>
  <c r="K118" i="4"/>
  <c r="D106" i="4"/>
  <c r="K106" i="4"/>
  <c r="D94" i="4"/>
  <c r="K94" i="4"/>
  <c r="D82" i="4"/>
  <c r="K82" i="4"/>
  <c r="D70" i="4"/>
  <c r="K70" i="4"/>
  <c r="D58" i="4"/>
  <c r="K58" i="4"/>
  <c r="D46" i="4"/>
  <c r="K46" i="4"/>
  <c r="D34" i="4"/>
  <c r="K34" i="4"/>
  <c r="D22" i="4"/>
  <c r="K22" i="4"/>
  <c r="D494" i="4"/>
  <c r="K494" i="4"/>
  <c r="D398" i="4"/>
  <c r="K398" i="4"/>
  <c r="D513" i="4"/>
  <c r="K513" i="4"/>
  <c r="D501" i="4"/>
  <c r="K501" i="4"/>
  <c r="D489" i="4"/>
  <c r="K489" i="4"/>
  <c r="D477" i="4"/>
  <c r="K477" i="4"/>
  <c r="D465" i="4"/>
  <c r="K465" i="4"/>
  <c r="D453" i="4"/>
  <c r="K453" i="4"/>
  <c r="D441" i="4"/>
  <c r="K441" i="4"/>
  <c r="D429" i="4"/>
  <c r="K429" i="4"/>
  <c r="D417" i="4"/>
  <c r="K417" i="4"/>
  <c r="D405" i="4"/>
  <c r="K405" i="4"/>
  <c r="D393" i="4"/>
  <c r="K393" i="4"/>
  <c r="D381" i="4"/>
  <c r="K381" i="4"/>
  <c r="D369" i="4"/>
  <c r="K369" i="4"/>
  <c r="D357" i="4"/>
  <c r="K357" i="4"/>
  <c r="D345" i="4"/>
  <c r="K345" i="4"/>
  <c r="D333" i="4"/>
  <c r="K333" i="4"/>
  <c r="D321" i="4"/>
  <c r="K321" i="4"/>
  <c r="D309" i="4"/>
  <c r="K309" i="4"/>
  <c r="D297" i="4"/>
  <c r="K297" i="4"/>
  <c r="D285" i="4"/>
  <c r="K285" i="4"/>
  <c r="D273" i="4"/>
  <c r="K273" i="4"/>
  <c r="D261" i="4"/>
  <c r="K261" i="4"/>
  <c r="D249" i="4"/>
  <c r="K249" i="4"/>
  <c r="D237" i="4"/>
  <c r="K237" i="4"/>
  <c r="D225" i="4"/>
  <c r="K225" i="4"/>
  <c r="D213" i="4"/>
  <c r="K213" i="4"/>
  <c r="D201" i="4"/>
  <c r="K201" i="4"/>
  <c r="D189" i="4"/>
  <c r="K189" i="4"/>
  <c r="D177" i="4"/>
  <c r="K177" i="4"/>
  <c r="D165" i="4"/>
  <c r="K165" i="4"/>
  <c r="D153" i="4"/>
  <c r="K153" i="4"/>
  <c r="D141" i="4"/>
  <c r="K141" i="4"/>
  <c r="D129" i="4"/>
  <c r="K129" i="4"/>
  <c r="D117" i="4"/>
  <c r="K117" i="4"/>
  <c r="D105" i="4"/>
  <c r="K105" i="4"/>
  <c r="D93" i="4"/>
  <c r="K93" i="4"/>
  <c r="D81" i="4"/>
  <c r="K81" i="4"/>
  <c r="D69" i="4"/>
  <c r="K69" i="4"/>
  <c r="D57" i="4"/>
  <c r="K57" i="4"/>
  <c r="D45" i="4"/>
  <c r="K45" i="4"/>
  <c r="D33" i="4"/>
  <c r="K33" i="4"/>
  <c r="D21" i="4"/>
  <c r="K21" i="4"/>
  <c r="D482" i="4"/>
  <c r="K482" i="4"/>
  <c r="D422" i="4"/>
  <c r="K422" i="4"/>
  <c r="D362" i="4"/>
  <c r="K362" i="4"/>
  <c r="D512" i="4"/>
  <c r="K512" i="4"/>
  <c r="D500" i="4"/>
  <c r="K500" i="4"/>
  <c r="D488" i="4"/>
  <c r="K488" i="4"/>
  <c r="D476" i="4"/>
  <c r="K476" i="4"/>
  <c r="D464" i="4"/>
  <c r="K464" i="4"/>
  <c r="D452" i="4"/>
  <c r="K452" i="4"/>
  <c r="D440" i="4"/>
  <c r="K440" i="4"/>
  <c r="D428" i="4"/>
  <c r="K428" i="4"/>
  <c r="D416" i="4"/>
  <c r="K416" i="4"/>
  <c r="D404" i="4"/>
  <c r="K404" i="4"/>
  <c r="D392" i="4"/>
  <c r="K392" i="4"/>
  <c r="D380" i="4"/>
  <c r="K380" i="4"/>
  <c r="D368" i="4"/>
  <c r="K368" i="4"/>
  <c r="D356" i="4"/>
  <c r="K356" i="4"/>
  <c r="D344" i="4"/>
  <c r="K344" i="4"/>
  <c r="D332" i="4"/>
  <c r="K332" i="4"/>
  <c r="D320" i="4"/>
  <c r="K320" i="4"/>
  <c r="D308" i="4"/>
  <c r="K308" i="4"/>
  <c r="D296" i="4"/>
  <c r="K296" i="4"/>
  <c r="D284" i="4"/>
  <c r="K284" i="4"/>
  <c r="D272" i="4"/>
  <c r="K272" i="4"/>
  <c r="D260" i="4"/>
  <c r="K260" i="4"/>
  <c r="D248" i="4"/>
  <c r="K248" i="4"/>
  <c r="D236" i="4"/>
  <c r="K236" i="4"/>
  <c r="D224" i="4"/>
  <c r="K224" i="4"/>
  <c r="D212" i="4"/>
  <c r="K212" i="4"/>
  <c r="D200" i="4"/>
  <c r="K200" i="4"/>
  <c r="D188" i="4"/>
  <c r="K188" i="4"/>
  <c r="D176" i="4"/>
  <c r="K176" i="4"/>
  <c r="D164" i="4"/>
  <c r="K164" i="4"/>
  <c r="D152" i="4"/>
  <c r="K152" i="4"/>
  <c r="D140" i="4"/>
  <c r="K140" i="4"/>
  <c r="D128" i="4"/>
  <c r="K128" i="4"/>
  <c r="D116" i="4"/>
  <c r="K116" i="4"/>
  <c r="D104" i="4"/>
  <c r="K104" i="4"/>
  <c r="D92" i="4"/>
  <c r="K92" i="4"/>
  <c r="D80" i="4"/>
  <c r="K80" i="4"/>
  <c r="D68" i="4"/>
  <c r="K68" i="4"/>
  <c r="D56" i="4"/>
  <c r="K56" i="4"/>
  <c r="D44" i="4"/>
  <c r="K44" i="4"/>
  <c r="D32" i="4"/>
  <c r="K32" i="4"/>
  <c r="D20" i="4"/>
  <c r="K20" i="4"/>
  <c r="D410" i="4"/>
  <c r="K410" i="4"/>
  <c r="D511" i="4"/>
  <c r="K511" i="4"/>
  <c r="D499" i="4"/>
  <c r="K499" i="4"/>
  <c r="D487" i="4"/>
  <c r="K487" i="4"/>
  <c r="D475" i="4"/>
  <c r="K475" i="4"/>
  <c r="D463" i="4"/>
  <c r="K463" i="4"/>
  <c r="D451" i="4"/>
  <c r="K451" i="4"/>
  <c r="D439" i="4"/>
  <c r="K439" i="4"/>
  <c r="D427" i="4"/>
  <c r="K427" i="4"/>
  <c r="D415" i="4"/>
  <c r="K415" i="4"/>
  <c r="D403" i="4"/>
  <c r="K403" i="4"/>
  <c r="D391" i="4"/>
  <c r="K391" i="4"/>
  <c r="D379" i="4"/>
  <c r="K379" i="4"/>
  <c r="D367" i="4"/>
  <c r="K367" i="4"/>
  <c r="D355" i="4"/>
  <c r="K355" i="4"/>
  <c r="D343" i="4"/>
  <c r="K343" i="4"/>
  <c r="D331" i="4"/>
  <c r="K331" i="4"/>
  <c r="D319" i="4"/>
  <c r="K319" i="4"/>
  <c r="D307" i="4"/>
  <c r="K307" i="4"/>
  <c r="D295" i="4"/>
  <c r="K295" i="4"/>
  <c r="D283" i="4"/>
  <c r="K283" i="4"/>
  <c r="D271" i="4"/>
  <c r="K271" i="4"/>
  <c r="D259" i="4"/>
  <c r="K259" i="4"/>
  <c r="D247" i="4"/>
  <c r="K247" i="4"/>
  <c r="D235" i="4"/>
  <c r="K235" i="4"/>
  <c r="D223" i="4"/>
  <c r="K223" i="4"/>
  <c r="D211" i="4"/>
  <c r="K211" i="4"/>
  <c r="D199" i="4"/>
  <c r="K199" i="4"/>
  <c r="D187" i="4"/>
  <c r="K187" i="4"/>
  <c r="D175" i="4"/>
  <c r="K175" i="4"/>
  <c r="D163" i="4"/>
  <c r="K163" i="4"/>
  <c r="D151" i="4"/>
  <c r="K151" i="4"/>
  <c r="D139" i="4"/>
  <c r="K139" i="4"/>
  <c r="D127" i="4"/>
  <c r="K127" i="4"/>
  <c r="D115" i="4"/>
  <c r="K115" i="4"/>
  <c r="D103" i="4"/>
  <c r="K103" i="4"/>
  <c r="D91" i="4"/>
  <c r="K91" i="4"/>
  <c r="D79" i="4"/>
  <c r="K79" i="4"/>
  <c r="D67" i="4"/>
  <c r="K67" i="4"/>
  <c r="D55" i="4"/>
  <c r="K55" i="4"/>
  <c r="D43" i="4"/>
  <c r="K43" i="4"/>
  <c r="D31" i="4"/>
  <c r="K31" i="4"/>
  <c r="D19" i="4"/>
  <c r="D434" i="4"/>
  <c r="K434" i="4"/>
  <c r="D510" i="4"/>
  <c r="K510" i="4"/>
  <c r="D498" i="4"/>
  <c r="K498" i="4"/>
  <c r="D486" i="4"/>
  <c r="K486" i="4"/>
  <c r="D474" i="4"/>
  <c r="K474" i="4"/>
  <c r="D462" i="4"/>
  <c r="K462" i="4"/>
  <c r="D450" i="4"/>
  <c r="K450" i="4"/>
  <c r="D438" i="4"/>
  <c r="K438" i="4"/>
  <c r="D426" i="4"/>
  <c r="K426" i="4"/>
  <c r="D414" i="4"/>
  <c r="K414" i="4"/>
  <c r="D402" i="4"/>
  <c r="K402" i="4"/>
  <c r="D390" i="4"/>
  <c r="K390" i="4"/>
  <c r="D378" i="4"/>
  <c r="K378" i="4"/>
  <c r="D366" i="4"/>
  <c r="K366" i="4"/>
  <c r="D354" i="4"/>
  <c r="K354" i="4"/>
  <c r="D342" i="4"/>
  <c r="K342" i="4"/>
  <c r="D330" i="4"/>
  <c r="K330" i="4"/>
  <c r="D318" i="4"/>
  <c r="K318" i="4"/>
  <c r="D306" i="4"/>
  <c r="K306" i="4"/>
  <c r="D294" i="4"/>
  <c r="K294" i="4"/>
  <c r="D282" i="4"/>
  <c r="K282" i="4"/>
  <c r="D270" i="4"/>
  <c r="K270" i="4"/>
  <c r="D258" i="4"/>
  <c r="K258" i="4"/>
  <c r="D246" i="4"/>
  <c r="K246" i="4"/>
  <c r="D234" i="4"/>
  <c r="K234" i="4"/>
  <c r="D222" i="4"/>
  <c r="K222" i="4"/>
  <c r="D210" i="4"/>
  <c r="K210" i="4"/>
  <c r="D198" i="4"/>
  <c r="K198" i="4"/>
  <c r="D186" i="4"/>
  <c r="K186" i="4"/>
  <c r="D174" i="4"/>
  <c r="K174" i="4"/>
  <c r="D162" i="4"/>
  <c r="K162" i="4"/>
  <c r="D150" i="4"/>
  <c r="K150" i="4"/>
  <c r="D138" i="4"/>
  <c r="K138" i="4"/>
  <c r="D126" i="4"/>
  <c r="K126" i="4"/>
  <c r="D114" i="4"/>
  <c r="K114" i="4"/>
  <c r="D102" i="4"/>
  <c r="K102" i="4"/>
  <c r="D90" i="4"/>
  <c r="K90" i="4"/>
  <c r="D78" i="4"/>
  <c r="K78" i="4"/>
  <c r="D66" i="4"/>
  <c r="K66" i="4"/>
  <c r="D54" i="4"/>
  <c r="K54" i="4"/>
  <c r="D42" i="4"/>
  <c r="K42" i="4"/>
  <c r="D30" i="4"/>
  <c r="K30" i="4"/>
  <c r="D506" i="4"/>
  <c r="K506" i="4"/>
  <c r="D509" i="4"/>
  <c r="K509" i="4"/>
  <c r="D497" i="4"/>
  <c r="K497" i="4"/>
  <c r="D485" i="4"/>
  <c r="K485" i="4"/>
  <c r="D473" i="4"/>
  <c r="K473" i="4"/>
  <c r="D461" i="4"/>
  <c r="K461" i="4"/>
  <c r="D449" i="4"/>
  <c r="K449" i="4"/>
  <c r="D437" i="4"/>
  <c r="K437" i="4"/>
  <c r="D425" i="4"/>
  <c r="K425" i="4"/>
  <c r="D413" i="4"/>
  <c r="K413" i="4"/>
  <c r="D401" i="4"/>
  <c r="K401" i="4"/>
  <c r="D389" i="4"/>
  <c r="K389" i="4"/>
  <c r="D377" i="4"/>
  <c r="K377" i="4"/>
  <c r="D365" i="4"/>
  <c r="K365" i="4"/>
  <c r="D353" i="4"/>
  <c r="K353" i="4"/>
  <c r="D341" i="4"/>
  <c r="K341" i="4"/>
  <c r="D329" i="4"/>
  <c r="K329" i="4"/>
  <c r="D317" i="4"/>
  <c r="K317" i="4"/>
  <c r="D305" i="4"/>
  <c r="K305" i="4"/>
  <c r="D293" i="4"/>
  <c r="K293" i="4"/>
  <c r="D281" i="4"/>
  <c r="K281" i="4"/>
  <c r="D269" i="4"/>
  <c r="K269" i="4"/>
  <c r="D257" i="4"/>
  <c r="K257" i="4"/>
  <c r="D245" i="4"/>
  <c r="K245" i="4"/>
  <c r="D233" i="4"/>
  <c r="K233" i="4"/>
  <c r="D221" i="4"/>
  <c r="K221" i="4"/>
  <c r="D209" i="4"/>
  <c r="K209" i="4"/>
  <c r="D197" i="4"/>
  <c r="K197" i="4"/>
  <c r="D185" i="4"/>
  <c r="K185" i="4"/>
  <c r="D173" i="4"/>
  <c r="K173" i="4"/>
  <c r="D161" i="4"/>
  <c r="K161" i="4"/>
  <c r="D149" i="4"/>
  <c r="K149" i="4"/>
  <c r="D137" i="4"/>
  <c r="K137" i="4"/>
  <c r="D125" i="4"/>
  <c r="K125" i="4"/>
  <c r="D113" i="4"/>
  <c r="K113" i="4"/>
  <c r="D101" i="4"/>
  <c r="K101" i="4"/>
  <c r="D89" i="4"/>
  <c r="K89" i="4"/>
  <c r="D77" i="4"/>
  <c r="K77" i="4"/>
  <c r="D65" i="4"/>
  <c r="K65" i="4"/>
  <c r="D53" i="4"/>
  <c r="K53" i="4"/>
  <c r="D41" i="4"/>
  <c r="K41" i="4"/>
  <c r="D29" i="4"/>
  <c r="K29" i="4"/>
  <c r="D374" i="4"/>
  <c r="K374" i="4"/>
  <c r="D350" i="4"/>
  <c r="K350" i="4"/>
  <c r="D338" i="4"/>
  <c r="K338" i="4"/>
  <c r="D326" i="4"/>
  <c r="K326" i="4"/>
  <c r="D314" i="4"/>
  <c r="K314" i="4"/>
  <c r="D302" i="4"/>
  <c r="K302" i="4"/>
  <c r="D290" i="4"/>
  <c r="K290" i="4"/>
  <c r="D278" i="4"/>
  <c r="K278" i="4"/>
  <c r="D266" i="4"/>
  <c r="K266" i="4"/>
  <c r="D254" i="4"/>
  <c r="K254" i="4"/>
  <c r="D504" i="4"/>
  <c r="K504" i="4"/>
  <c r="D480" i="4"/>
  <c r="K480" i="4"/>
  <c r="D456" i="4"/>
  <c r="K456" i="4"/>
  <c r="D432" i="4"/>
  <c r="K432" i="4"/>
  <c r="D408" i="4"/>
  <c r="K408" i="4"/>
  <c r="D384" i="4"/>
  <c r="K384" i="4"/>
  <c r="D360" i="4"/>
  <c r="K360" i="4"/>
  <c r="D336" i="4"/>
  <c r="K336" i="4"/>
  <c r="D312" i="4"/>
  <c r="K312" i="4"/>
  <c r="D276" i="4"/>
  <c r="K276" i="4"/>
  <c r="D252" i="4"/>
  <c r="K252" i="4"/>
  <c r="D228" i="4"/>
  <c r="K228" i="4"/>
  <c r="D204" i="4"/>
  <c r="K204" i="4"/>
  <c r="D180" i="4"/>
  <c r="K180" i="4"/>
  <c r="D156" i="4"/>
  <c r="K156" i="4"/>
  <c r="D132" i="4"/>
  <c r="K132" i="4"/>
  <c r="D108" i="4"/>
  <c r="K108" i="4"/>
  <c r="D84" i="4"/>
  <c r="K84" i="4"/>
  <c r="D60" i="4"/>
  <c r="K60" i="4"/>
  <c r="D24" i="4"/>
  <c r="K24" i="4"/>
  <c r="D496" i="4"/>
  <c r="K496" i="4"/>
  <c r="D484" i="4"/>
  <c r="K484" i="4"/>
  <c r="D472" i="4"/>
  <c r="K472" i="4"/>
  <c r="D460" i="4"/>
  <c r="K460" i="4"/>
  <c r="D448" i="4"/>
  <c r="K448" i="4"/>
  <c r="D436" i="4"/>
  <c r="K436" i="4"/>
  <c r="D424" i="4"/>
  <c r="K424" i="4"/>
  <c r="D412" i="4"/>
  <c r="K412" i="4"/>
  <c r="D400" i="4"/>
  <c r="K400" i="4"/>
  <c r="D388" i="4"/>
  <c r="K388" i="4"/>
  <c r="D376" i="4"/>
  <c r="K376" i="4"/>
  <c r="D364" i="4"/>
  <c r="K364" i="4"/>
  <c r="D352" i="4"/>
  <c r="K352" i="4"/>
  <c r="D340" i="4"/>
  <c r="K340" i="4"/>
  <c r="D328" i="4"/>
  <c r="K328" i="4"/>
  <c r="D316" i="4"/>
  <c r="K316" i="4"/>
  <c r="D304" i="4"/>
  <c r="K304" i="4"/>
  <c r="D292" i="4"/>
  <c r="K292" i="4"/>
  <c r="D280" i="4"/>
  <c r="K280" i="4"/>
  <c r="D268" i="4"/>
  <c r="K268" i="4"/>
  <c r="D256" i="4"/>
  <c r="K256" i="4"/>
  <c r="D244" i="4"/>
  <c r="K244" i="4"/>
  <c r="D232" i="4"/>
  <c r="K232" i="4"/>
  <c r="D220" i="4"/>
  <c r="K220" i="4"/>
  <c r="D208" i="4"/>
  <c r="K208" i="4"/>
  <c r="D196" i="4"/>
  <c r="K196" i="4"/>
  <c r="D184" i="4"/>
  <c r="K184" i="4"/>
  <c r="D172" i="4"/>
  <c r="K172" i="4"/>
  <c r="D160" i="4"/>
  <c r="K160" i="4"/>
  <c r="D148" i="4"/>
  <c r="K148" i="4"/>
  <c r="D136" i="4"/>
  <c r="K136" i="4"/>
  <c r="D124" i="4"/>
  <c r="K124" i="4"/>
  <c r="D112" i="4"/>
  <c r="K112" i="4"/>
  <c r="D100" i="4"/>
  <c r="K100" i="4"/>
  <c r="D88" i="4"/>
  <c r="K88" i="4"/>
  <c r="D76" i="4"/>
  <c r="K76" i="4"/>
  <c r="D64" i="4"/>
  <c r="K64" i="4"/>
  <c r="D52" i="4"/>
  <c r="K52" i="4"/>
  <c r="D40" i="4"/>
  <c r="K40" i="4"/>
  <c r="D28" i="4"/>
  <c r="K28" i="4"/>
  <c r="D516" i="4"/>
  <c r="K516" i="4"/>
  <c r="D492" i="4"/>
  <c r="K492" i="4"/>
  <c r="D468" i="4"/>
  <c r="K468" i="4"/>
  <c r="D444" i="4"/>
  <c r="K444" i="4"/>
  <c r="D420" i="4"/>
  <c r="K420" i="4"/>
  <c r="D396" i="4"/>
  <c r="K396" i="4"/>
  <c r="D372" i="4"/>
  <c r="K372" i="4"/>
  <c r="D348" i="4"/>
  <c r="K348" i="4"/>
  <c r="D324" i="4"/>
  <c r="K324" i="4"/>
  <c r="D300" i="4"/>
  <c r="K300" i="4"/>
  <c r="D288" i="4"/>
  <c r="K288" i="4"/>
  <c r="D264" i="4"/>
  <c r="K264" i="4"/>
  <c r="D240" i="4"/>
  <c r="K240" i="4"/>
  <c r="D216" i="4"/>
  <c r="K216" i="4"/>
  <c r="D192" i="4"/>
  <c r="K192" i="4"/>
  <c r="D168" i="4"/>
  <c r="K168" i="4"/>
  <c r="D144" i="4"/>
  <c r="K144" i="4"/>
  <c r="D120" i="4"/>
  <c r="K120" i="4"/>
  <c r="D96" i="4"/>
  <c r="K96" i="4"/>
  <c r="D72" i="4"/>
  <c r="K72" i="4"/>
  <c r="D48" i="4"/>
  <c r="K48" i="4"/>
  <c r="D36" i="4"/>
  <c r="K36" i="4"/>
  <c r="D508" i="4"/>
  <c r="K508" i="4"/>
  <c r="D507" i="4"/>
  <c r="K507" i="4"/>
  <c r="D495" i="4"/>
  <c r="K495" i="4"/>
  <c r="D483" i="4"/>
  <c r="K483" i="4"/>
  <c r="D471" i="4"/>
  <c r="K471" i="4"/>
  <c r="D459" i="4"/>
  <c r="K459" i="4"/>
  <c r="D447" i="4"/>
  <c r="K447" i="4"/>
  <c r="D435" i="4"/>
  <c r="K435" i="4"/>
  <c r="D423" i="4"/>
  <c r="K423" i="4"/>
  <c r="D411" i="4"/>
  <c r="K411" i="4"/>
  <c r="D399" i="4"/>
  <c r="K399" i="4"/>
  <c r="D387" i="4"/>
  <c r="K387" i="4"/>
  <c r="D375" i="4"/>
  <c r="K375" i="4"/>
  <c r="D363" i="4"/>
  <c r="K363" i="4"/>
  <c r="D351" i="4"/>
  <c r="K351" i="4"/>
  <c r="D339" i="4"/>
  <c r="K339" i="4"/>
  <c r="D327" i="4"/>
  <c r="K327" i="4"/>
  <c r="D315" i="4"/>
  <c r="K315" i="4"/>
  <c r="D303" i="4"/>
  <c r="K303" i="4"/>
  <c r="D291" i="4"/>
  <c r="K291" i="4"/>
  <c r="D279" i="4"/>
  <c r="K279" i="4"/>
  <c r="D267" i="4"/>
  <c r="K267" i="4"/>
  <c r="D255" i="4"/>
  <c r="K255" i="4"/>
  <c r="D243" i="4"/>
  <c r="K243" i="4"/>
  <c r="D231" i="4"/>
  <c r="K231" i="4"/>
  <c r="D219" i="4"/>
  <c r="K219" i="4"/>
  <c r="D207" i="4"/>
  <c r="K207" i="4"/>
  <c r="D195" i="4"/>
  <c r="K195" i="4"/>
  <c r="D183" i="4"/>
  <c r="K183" i="4"/>
  <c r="D171" i="4"/>
  <c r="K171" i="4"/>
  <c r="D159" i="4"/>
  <c r="K159" i="4"/>
  <c r="D147" i="4"/>
  <c r="K147" i="4"/>
  <c r="D135" i="4"/>
  <c r="K135" i="4"/>
  <c r="D123" i="4"/>
  <c r="K123" i="4"/>
  <c r="D111" i="4"/>
  <c r="K111" i="4"/>
  <c r="D99" i="4"/>
  <c r="K99" i="4"/>
  <c r="D87" i="4"/>
  <c r="K87" i="4"/>
  <c r="D75" i="4"/>
  <c r="K75" i="4"/>
  <c r="D63" i="4"/>
  <c r="K63" i="4"/>
  <c r="D51" i="4"/>
  <c r="K51" i="4"/>
  <c r="D39" i="4"/>
  <c r="K39" i="4"/>
  <c r="D27" i="4"/>
  <c r="K27" i="4"/>
  <c r="D242" i="4"/>
  <c r="K242" i="4"/>
  <c r="D230" i="4"/>
  <c r="K230" i="4"/>
  <c r="D218" i="4"/>
  <c r="K218" i="4"/>
  <c r="D206" i="4"/>
  <c r="K206" i="4"/>
  <c r="D194" i="4"/>
  <c r="K194" i="4"/>
  <c r="D182" i="4"/>
  <c r="K182" i="4"/>
  <c r="D170" i="4"/>
  <c r="K170" i="4"/>
  <c r="D158" i="4"/>
  <c r="K158" i="4"/>
  <c r="D146" i="4"/>
  <c r="K146" i="4"/>
  <c r="D134" i="4"/>
  <c r="K134" i="4"/>
  <c r="D122" i="4"/>
  <c r="K122" i="4"/>
  <c r="D110" i="4"/>
  <c r="K110" i="4"/>
  <c r="D98" i="4"/>
  <c r="K98" i="4"/>
  <c r="D86" i="4"/>
  <c r="K86" i="4"/>
  <c r="D74" i="4"/>
  <c r="K74" i="4"/>
  <c r="D62" i="4"/>
  <c r="K62" i="4"/>
  <c r="D50" i="4"/>
  <c r="K50" i="4"/>
  <c r="D38" i="4"/>
  <c r="K38" i="4"/>
  <c r="D26" i="4"/>
  <c r="K26" i="4"/>
  <c r="D458" i="4"/>
  <c r="K458" i="4"/>
  <c r="D517" i="4"/>
  <c r="K517" i="4"/>
  <c r="D505" i="4"/>
  <c r="K505" i="4"/>
  <c r="D493" i="4"/>
  <c r="K493" i="4"/>
  <c r="D481" i="4"/>
  <c r="K481" i="4"/>
  <c r="D469" i="4"/>
  <c r="K469" i="4"/>
  <c r="D457" i="4"/>
  <c r="K457" i="4"/>
  <c r="D445" i="4"/>
  <c r="K445" i="4"/>
  <c r="D433" i="4"/>
  <c r="K433" i="4"/>
  <c r="D421" i="4"/>
  <c r="K421" i="4"/>
  <c r="D409" i="4"/>
  <c r="K409" i="4"/>
  <c r="D397" i="4"/>
  <c r="K397" i="4"/>
  <c r="D385" i="4"/>
  <c r="K385" i="4"/>
  <c r="D373" i="4"/>
  <c r="K373" i="4"/>
  <c r="D361" i="4"/>
  <c r="K361" i="4"/>
  <c r="D349" i="4"/>
  <c r="K349" i="4"/>
  <c r="D337" i="4"/>
  <c r="K337" i="4"/>
  <c r="D325" i="4"/>
  <c r="K325" i="4"/>
  <c r="D313" i="4"/>
  <c r="K313" i="4"/>
  <c r="D301" i="4"/>
  <c r="K301" i="4"/>
  <c r="D289" i="4"/>
  <c r="K289" i="4"/>
  <c r="D277" i="4"/>
  <c r="K277" i="4"/>
  <c r="D265" i="4"/>
  <c r="K265" i="4"/>
  <c r="D253" i="4"/>
  <c r="K253" i="4"/>
  <c r="D241" i="4"/>
  <c r="K241" i="4"/>
  <c r="D229" i="4"/>
  <c r="K229" i="4"/>
  <c r="D217" i="4"/>
  <c r="K217" i="4"/>
  <c r="D205" i="4"/>
  <c r="K205" i="4"/>
  <c r="D193" i="4"/>
  <c r="K193" i="4"/>
  <c r="D181" i="4"/>
  <c r="K181" i="4"/>
  <c r="D169" i="4"/>
  <c r="K169" i="4"/>
  <c r="D157" i="4"/>
  <c r="K157" i="4"/>
  <c r="D145" i="4"/>
  <c r="K145" i="4"/>
  <c r="D133" i="4"/>
  <c r="K133" i="4"/>
  <c r="D121" i="4"/>
  <c r="K121" i="4"/>
  <c r="D109" i="4"/>
  <c r="K109" i="4"/>
  <c r="D97" i="4"/>
  <c r="K97" i="4"/>
  <c r="D85" i="4"/>
  <c r="K85" i="4"/>
  <c r="D73" i="4"/>
  <c r="K73" i="4"/>
  <c r="D61" i="4"/>
  <c r="K61" i="4"/>
  <c r="D49" i="4"/>
  <c r="K49" i="4"/>
  <c r="D37" i="4"/>
  <c r="K37" i="4"/>
  <c r="D25" i="4"/>
  <c r="K25" i="4"/>
  <c r="B7" i="24"/>
  <c r="C7" i="24" s="1"/>
  <c r="E7" i="24"/>
  <c r="G761" i="18" l="1"/>
  <c r="D792" i="18"/>
  <c r="B729" i="18"/>
  <c r="B730" i="18" s="1"/>
  <c r="B731" i="18" s="1"/>
  <c r="B732" i="18" s="1"/>
  <c r="B733" i="18" s="1"/>
  <c r="B734" i="18" s="1"/>
  <c r="B735" i="18" s="1"/>
  <c r="B736" i="18" s="1"/>
  <c r="B737" i="18" s="1"/>
  <c r="B738" i="18" s="1"/>
  <c r="B739" i="18" s="1"/>
  <c r="B740" i="18" s="1"/>
  <c r="B741" i="18" s="1"/>
  <c r="B742" i="18" s="1"/>
  <c r="B743" i="18" s="1"/>
  <c r="B744" i="18" s="1"/>
  <c r="B745" i="18" s="1"/>
  <c r="B746" i="18" s="1"/>
  <c r="B747" i="18" s="1"/>
  <c r="B748" i="18" s="1"/>
  <c r="B749" i="18" s="1"/>
  <c r="B750" i="18" s="1"/>
  <c r="B751" i="18" s="1"/>
  <c r="B752" i="18" s="1"/>
  <c r="B753" i="18" s="1"/>
  <c r="B754" i="18" s="1"/>
  <c r="B755" i="18" s="1"/>
  <c r="B756" i="18" s="1"/>
  <c r="B757" i="18" s="1"/>
  <c r="B758" i="18" s="1"/>
  <c r="B759" i="18" s="1"/>
  <c r="T757" i="18"/>
  <c r="T747" i="18"/>
  <c r="T755" i="18"/>
  <c r="T745" i="18"/>
  <c r="T753" i="18"/>
  <c r="T758" i="18"/>
  <c r="T749" i="18"/>
  <c r="T756" i="18"/>
  <c r="T746" i="18"/>
  <c r="T754" i="18"/>
  <c r="T744" i="18"/>
  <c r="O734" i="18"/>
  <c r="T751" i="18"/>
  <c r="N734" i="18"/>
  <c r="T750" i="18"/>
  <c r="O732" i="18"/>
  <c r="T748" i="18"/>
  <c r="N732" i="18"/>
  <c r="T752" i="18"/>
  <c r="D4" i="24"/>
  <c r="B4" i="24" s="1"/>
  <c r="C4" i="24" s="1"/>
  <c r="D5" i="24"/>
  <c r="B5" i="24" s="1"/>
  <c r="C5" i="24" s="1"/>
  <c r="D6" i="24"/>
  <c r="B6" i="24" s="1"/>
  <c r="C6" i="24" s="1"/>
  <c r="D3" i="24"/>
  <c r="G17" i="18"/>
  <c r="AJ21" i="7"/>
  <c r="D823" i="18" l="1"/>
  <c r="G792" i="18"/>
  <c r="B760" i="18"/>
  <c r="B761" i="18" s="1"/>
  <c r="B762" i="18" s="1"/>
  <c r="B763" i="18" s="1"/>
  <c r="B764" i="18" s="1"/>
  <c r="B765" i="18" s="1"/>
  <c r="B766" i="18" s="1"/>
  <c r="B767" i="18" s="1"/>
  <c r="B768" i="18" s="1"/>
  <c r="B769" i="18" s="1"/>
  <c r="B770" i="18" s="1"/>
  <c r="B771" i="18" s="1"/>
  <c r="B772" i="18" s="1"/>
  <c r="B773" i="18" s="1"/>
  <c r="B774" i="18" s="1"/>
  <c r="B775" i="18" s="1"/>
  <c r="B776" i="18" s="1"/>
  <c r="B777" i="18" s="1"/>
  <c r="B778" i="18" s="1"/>
  <c r="B779" i="18" s="1"/>
  <c r="B780" i="18" s="1"/>
  <c r="B781" i="18" s="1"/>
  <c r="B782" i="18" s="1"/>
  <c r="B783" i="18" s="1"/>
  <c r="B784" i="18" s="1"/>
  <c r="B785" i="18" s="1"/>
  <c r="B786" i="18" s="1"/>
  <c r="B787" i="18" s="1"/>
  <c r="B788" i="18" s="1"/>
  <c r="B789" i="18" s="1"/>
  <c r="B790" i="18" s="1"/>
  <c r="O765" i="18"/>
  <c r="N765" i="18"/>
  <c r="O763" i="18"/>
  <c r="T783" i="18"/>
  <c r="T782" i="18"/>
  <c r="T778" i="18"/>
  <c r="N763" i="18"/>
  <c r="T777" i="18"/>
  <c r="T776" i="18"/>
  <c r="T788" i="18"/>
  <c r="T789" i="18"/>
  <c r="T786" i="18"/>
  <c r="T787" i="18"/>
  <c r="T784" i="18"/>
  <c r="T785" i="18"/>
  <c r="T781" i="18"/>
  <c r="T779" i="18"/>
  <c r="T780" i="18"/>
  <c r="Y780" i="18" s="1"/>
  <c r="T775" i="18"/>
  <c r="B3" i="24"/>
  <c r="C3" i="24" s="1"/>
  <c r="Y67" i="18"/>
  <c r="Y191" i="18"/>
  <c r="Y160" i="18"/>
  <c r="Y98" i="18"/>
  <c r="Y563" i="18"/>
  <c r="Y129" i="18"/>
  <c r="Y687" i="18"/>
  <c r="Y222" i="18"/>
  <c r="Y718" i="18"/>
  <c r="Y315" i="18"/>
  <c r="Y346" i="18"/>
  <c r="Y439" i="18"/>
  <c r="Y594" i="18"/>
  <c r="Y408" i="18"/>
  <c r="Y377" i="18"/>
  <c r="Y749" i="18"/>
  <c r="Y284" i="18"/>
  <c r="Y253" i="18"/>
  <c r="Y625" i="18"/>
  <c r="Y470" i="18"/>
  <c r="Y656" i="18"/>
  <c r="Y532" i="18"/>
  <c r="Y501" i="18"/>
  <c r="E5" i="24"/>
  <c r="E6" i="24"/>
  <c r="E4" i="24"/>
  <c r="E3" i="24"/>
  <c r="B791" i="18" l="1"/>
  <c r="B792" i="18" s="1"/>
  <c r="B793" i="18" s="1"/>
  <c r="B794" i="18" s="1"/>
  <c r="B795" i="18" s="1"/>
  <c r="B796" i="18" s="1"/>
  <c r="B797" i="18" s="1"/>
  <c r="B798" i="18" s="1"/>
  <c r="B799" i="18" s="1"/>
  <c r="B800" i="18" s="1"/>
  <c r="B801" i="18" s="1"/>
  <c r="B802" i="18" s="1"/>
  <c r="B803" i="18" s="1"/>
  <c r="B804" i="18" s="1"/>
  <c r="B805" i="18" s="1"/>
  <c r="B806" i="18" s="1"/>
  <c r="B807" i="18" s="1"/>
  <c r="B808" i="18" s="1"/>
  <c r="B809" i="18" s="1"/>
  <c r="B810" i="18" s="1"/>
  <c r="B811" i="18" s="1"/>
  <c r="B812" i="18" s="1"/>
  <c r="B813" i="18" s="1"/>
  <c r="B814" i="18" s="1"/>
  <c r="B815" i="18" s="1"/>
  <c r="B816" i="18" s="1"/>
  <c r="B817" i="18" s="1"/>
  <c r="B818" i="18" s="1"/>
  <c r="B819" i="18" s="1"/>
  <c r="B820" i="18" s="1"/>
  <c r="B821" i="18" s="1"/>
  <c r="T816" i="18"/>
  <c r="O796" i="18"/>
  <c r="T806" i="18"/>
  <c r="T811" i="18"/>
  <c r="Y811" i="18" s="1"/>
  <c r="T813" i="18"/>
  <c r="N794" i="18"/>
  <c r="T807" i="18"/>
  <c r="T814" i="18"/>
  <c r="T809" i="18"/>
  <c r="N796" i="18"/>
  <c r="T808" i="18"/>
  <c r="T819" i="18"/>
  <c r="T812" i="18"/>
  <c r="T810" i="18"/>
  <c r="T820" i="18"/>
  <c r="T817" i="18"/>
  <c r="T818" i="18"/>
  <c r="T815" i="18"/>
  <c r="O794" i="18"/>
  <c r="G823" i="18"/>
  <c r="D854" i="18"/>
  <c r="F4" i="6"/>
  <c r="L4" i="7" a="1"/>
  <c r="L4" i="7" s="1"/>
  <c r="E5" i="22"/>
  <c r="K21" i="3"/>
  <c r="K23" i="3"/>
  <c r="K24" i="3"/>
  <c r="K25" i="3"/>
  <c r="K26" i="3"/>
  <c r="K27" i="3"/>
  <c r="K28" i="3"/>
  <c r="K29" i="3"/>
  <c r="B822" i="18" l="1"/>
  <c r="B823" i="18" s="1"/>
  <c r="B824" i="18" s="1"/>
  <c r="B825" i="18" s="1"/>
  <c r="B826" i="18" s="1"/>
  <c r="B827" i="18" s="1"/>
  <c r="B828" i="18" s="1"/>
  <c r="B829" i="18" s="1"/>
  <c r="B830" i="18" s="1"/>
  <c r="B831" i="18" s="1"/>
  <c r="B832" i="18" s="1"/>
  <c r="B833" i="18" s="1"/>
  <c r="B834" i="18" s="1"/>
  <c r="B835" i="18" s="1"/>
  <c r="B836" i="18" s="1"/>
  <c r="B837" i="18" s="1"/>
  <c r="B838" i="18" s="1"/>
  <c r="B839" i="18" s="1"/>
  <c r="B840" i="18" s="1"/>
  <c r="B841" i="18" s="1"/>
  <c r="B842" i="18" s="1"/>
  <c r="B843" i="18" s="1"/>
  <c r="B844" i="18" s="1"/>
  <c r="B845" i="18" s="1"/>
  <c r="B846" i="18" s="1"/>
  <c r="B847" i="18" s="1"/>
  <c r="B848" i="18" s="1"/>
  <c r="B849" i="18" s="1"/>
  <c r="B850" i="18" s="1"/>
  <c r="B851" i="18" s="1"/>
  <c r="B852" i="18" s="1"/>
  <c r="N827" i="18"/>
  <c r="T844" i="18"/>
  <c r="O825" i="18"/>
  <c r="T843" i="18"/>
  <c r="T838" i="18"/>
  <c r="T840" i="18"/>
  <c r="T851" i="18"/>
  <c r="T839" i="18"/>
  <c r="T847" i="18"/>
  <c r="T842" i="18"/>
  <c r="Y842" i="18" s="1"/>
  <c r="T837" i="18"/>
  <c r="O827" i="18"/>
  <c r="T850" i="18"/>
  <c r="T848" i="18"/>
  <c r="T849" i="18"/>
  <c r="T846" i="18"/>
  <c r="T841" i="18"/>
  <c r="T845" i="18"/>
  <c r="N825" i="18"/>
  <c r="G854" i="18"/>
  <c r="D885" i="18"/>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21" i="7"/>
  <c r="B853" i="18" l="1"/>
  <c r="B854" i="18" s="1"/>
  <c r="B855" i="18" s="1"/>
  <c r="B856" i="18" s="1"/>
  <c r="B857" i="18" s="1"/>
  <c r="B858" i="18" s="1"/>
  <c r="B859" i="18" s="1"/>
  <c r="B860" i="18" s="1"/>
  <c r="B861" i="18" s="1"/>
  <c r="B862" i="18" s="1"/>
  <c r="B863" i="18" s="1"/>
  <c r="B864" i="18" s="1"/>
  <c r="B865" i="18" s="1"/>
  <c r="B866" i="18" s="1"/>
  <c r="B867" i="18" s="1"/>
  <c r="B868" i="18" s="1"/>
  <c r="B869" i="18" s="1"/>
  <c r="B870" i="18" s="1"/>
  <c r="B871" i="18" s="1"/>
  <c r="B872" i="18" s="1"/>
  <c r="B873" i="18" s="1"/>
  <c r="B874" i="18" s="1"/>
  <c r="B875" i="18" s="1"/>
  <c r="B876" i="18" s="1"/>
  <c r="B877" i="18" s="1"/>
  <c r="B878" i="18" s="1"/>
  <c r="B879" i="18" s="1"/>
  <c r="B880" i="18" s="1"/>
  <c r="B881" i="18" s="1"/>
  <c r="B882" i="18" s="1"/>
  <c r="B883" i="18" s="1"/>
  <c r="T869" i="18"/>
  <c r="T882" i="18"/>
  <c r="T880" i="18"/>
  <c r="T881" i="18"/>
  <c r="T878" i="18"/>
  <c r="T879" i="18"/>
  <c r="T868" i="18"/>
  <c r="T877" i="18"/>
  <c r="T875" i="18"/>
  <c r="T873" i="18"/>
  <c r="Y873" i="18" s="1"/>
  <c r="T874" i="18"/>
  <c r="O858" i="18"/>
  <c r="T872" i="18"/>
  <c r="N858" i="18"/>
  <c r="T876" i="18"/>
  <c r="O856" i="18"/>
  <c r="T871" i="18"/>
  <c r="N856" i="18"/>
  <c r="T870" i="18"/>
  <c r="G885" i="18"/>
  <c r="D916" i="18"/>
  <c r="E7" i="22" a="1"/>
  <c r="E7" i="22" s="1"/>
  <c r="E4" i="22" s="1"/>
  <c r="G10" i="31" s="1"/>
  <c r="E6" i="22"/>
  <c r="B884" i="18" l="1"/>
  <c r="B885" i="18" s="1"/>
  <c r="B886" i="18" s="1"/>
  <c r="B887" i="18" s="1"/>
  <c r="B888" i="18" s="1"/>
  <c r="B889" i="18" s="1"/>
  <c r="B890" i="18" s="1"/>
  <c r="B891" i="18" s="1"/>
  <c r="B892" i="18" s="1"/>
  <c r="B893" i="18" s="1"/>
  <c r="B894" i="18" s="1"/>
  <c r="B895" i="18" s="1"/>
  <c r="B896" i="18" s="1"/>
  <c r="B897" i="18" s="1"/>
  <c r="B898" i="18" s="1"/>
  <c r="B899" i="18" s="1"/>
  <c r="B900" i="18" s="1"/>
  <c r="B901" i="18" s="1"/>
  <c r="B902" i="18" s="1"/>
  <c r="B903" i="18" s="1"/>
  <c r="B904" i="18" s="1"/>
  <c r="B905" i="18" s="1"/>
  <c r="B906" i="18" s="1"/>
  <c r="B907" i="18" s="1"/>
  <c r="B908" i="18" s="1"/>
  <c r="B909" i="18" s="1"/>
  <c r="B910" i="18" s="1"/>
  <c r="B911" i="18" s="1"/>
  <c r="B912" i="18" s="1"/>
  <c r="B913" i="18" s="1"/>
  <c r="B914" i="18" s="1"/>
  <c r="T910" i="18"/>
  <c r="T899" i="18"/>
  <c r="T908" i="18"/>
  <c r="T906" i="18"/>
  <c r="T904" i="18"/>
  <c r="Y904" i="18" s="1"/>
  <c r="T905" i="18"/>
  <c r="O889" i="18"/>
  <c r="T903" i="18"/>
  <c r="N889" i="18"/>
  <c r="O887" i="18"/>
  <c r="N887" i="18"/>
  <c r="T907" i="18"/>
  <c r="T902" i="18"/>
  <c r="T900" i="18"/>
  <c r="T901" i="18"/>
  <c r="T913" i="18"/>
  <c r="T911" i="18"/>
  <c r="T912" i="18"/>
  <c r="T909" i="18"/>
  <c r="D947" i="18"/>
  <c r="G916" i="18"/>
  <c r="G947" i="18" l="1"/>
  <c r="D978" i="18"/>
  <c r="B915" i="18"/>
  <c r="B916" i="18" s="1"/>
  <c r="B917" i="18" s="1"/>
  <c r="B918" i="18" s="1"/>
  <c r="B919" i="18" s="1"/>
  <c r="B920" i="18" s="1"/>
  <c r="B921" i="18" s="1"/>
  <c r="B922" i="18" s="1"/>
  <c r="B923" i="18" s="1"/>
  <c r="B924" i="18" s="1"/>
  <c r="B925" i="18" s="1"/>
  <c r="B926" i="18" s="1"/>
  <c r="B927" i="18" s="1"/>
  <c r="B928" i="18" s="1"/>
  <c r="B929" i="18" s="1"/>
  <c r="B930" i="18" s="1"/>
  <c r="B931" i="18" s="1"/>
  <c r="B932" i="18" s="1"/>
  <c r="B933" i="18" s="1"/>
  <c r="B934" i="18" s="1"/>
  <c r="B935" i="18" s="1"/>
  <c r="B936" i="18" s="1"/>
  <c r="B937" i="18" s="1"/>
  <c r="B938" i="18" s="1"/>
  <c r="B939" i="18" s="1"/>
  <c r="B940" i="18" s="1"/>
  <c r="B941" i="18" s="1"/>
  <c r="B942" i="18" s="1"/>
  <c r="B943" i="18" s="1"/>
  <c r="B944" i="18" s="1"/>
  <c r="B945" i="18" s="1"/>
  <c r="O920" i="18"/>
  <c r="T934" i="18"/>
  <c r="O918" i="18"/>
  <c r="T938" i="18"/>
  <c r="N918" i="18"/>
  <c r="T931" i="18"/>
  <c r="T942" i="18"/>
  <c r="T941" i="18"/>
  <c r="T940" i="18"/>
  <c r="T939" i="18"/>
  <c r="T930" i="18"/>
  <c r="T935" i="18"/>
  <c r="Y935" i="18" s="1"/>
  <c r="T937" i="18"/>
  <c r="T944" i="18"/>
  <c r="T936" i="18"/>
  <c r="T933" i="18"/>
  <c r="T932" i="18"/>
  <c r="T943" i="18"/>
  <c r="N920" i="18"/>
  <c r="C27" i="8"/>
  <c r="D11" i="11"/>
  <c r="C11" i="11" a="1"/>
  <c r="C11" i="11" s="1"/>
  <c r="H12" i="4"/>
  <c r="G12" i="4"/>
  <c r="F12" i="4"/>
  <c r="C12" i="4" a="1"/>
  <c r="C12" i="4" s="1"/>
  <c r="F97" i="2"/>
  <c r="F98" i="2"/>
  <c r="F99" i="2"/>
  <c r="F100" i="2"/>
  <c r="F101" i="2"/>
  <c r="F102" i="2"/>
  <c r="F103" i="2"/>
  <c r="F104" i="2"/>
  <c r="F105" i="2"/>
  <c r="F96" i="2"/>
  <c r="E97" i="2"/>
  <c r="E98" i="2"/>
  <c r="E99" i="2"/>
  <c r="E100" i="2"/>
  <c r="E101" i="2"/>
  <c r="E102" i="2"/>
  <c r="E103" i="2"/>
  <c r="E104" i="2"/>
  <c r="E105" i="2"/>
  <c r="E96" i="2"/>
  <c r="F69" i="2"/>
  <c r="E69" i="2"/>
  <c r="D69" i="2"/>
  <c r="D1009" i="18" l="1"/>
  <c r="G978" i="18"/>
  <c r="B946" i="18"/>
  <c r="B947" i="18" s="1"/>
  <c r="B948" i="18" s="1"/>
  <c r="B949" i="18" s="1"/>
  <c r="B950" i="18" s="1"/>
  <c r="B951" i="18" s="1"/>
  <c r="B952" i="18" s="1"/>
  <c r="B953" i="18" s="1"/>
  <c r="B954" i="18" s="1"/>
  <c r="B955" i="18" s="1"/>
  <c r="B956" i="18" s="1"/>
  <c r="B957" i="18" s="1"/>
  <c r="B958" i="18" s="1"/>
  <c r="B959" i="18" s="1"/>
  <c r="B960" i="18" s="1"/>
  <c r="B961" i="18" s="1"/>
  <c r="B962" i="18" s="1"/>
  <c r="B963" i="18" s="1"/>
  <c r="B964" i="18" s="1"/>
  <c r="B965" i="18" s="1"/>
  <c r="B966" i="18" s="1"/>
  <c r="B967" i="18" s="1"/>
  <c r="B968" i="18" s="1"/>
  <c r="B969" i="18" s="1"/>
  <c r="B970" i="18" s="1"/>
  <c r="B971" i="18" s="1"/>
  <c r="B972" i="18" s="1"/>
  <c r="B973" i="18" s="1"/>
  <c r="B974" i="18" s="1"/>
  <c r="B975" i="18" s="1"/>
  <c r="B976" i="18" s="1"/>
  <c r="T971" i="18"/>
  <c r="T970" i="18"/>
  <c r="O951" i="18"/>
  <c r="T966" i="18"/>
  <c r="Y966" i="18" s="1"/>
  <c r="T967" i="18"/>
  <c r="N951" i="18"/>
  <c r="T965" i="18"/>
  <c r="N949" i="18"/>
  <c r="T964" i="18"/>
  <c r="T963" i="18"/>
  <c r="T962" i="18"/>
  <c r="T975" i="18"/>
  <c r="T974" i="18"/>
  <c r="O949" i="18"/>
  <c r="T973" i="18"/>
  <c r="T961" i="18"/>
  <c r="T968" i="18"/>
  <c r="T969" i="18"/>
  <c r="T972" i="18"/>
  <c r="F27" i="8"/>
  <c r="G69" i="2"/>
  <c r="E72" i="2"/>
  <c r="D72" i="2"/>
  <c r="E63" i="2"/>
  <c r="F61" i="2"/>
  <c r="F63" i="2" s="1"/>
  <c r="D61" i="2"/>
  <c r="D57" i="2"/>
  <c r="F14" i="2"/>
  <c r="F15" i="2" s="1"/>
  <c r="G14" i="2"/>
  <c r="G15" i="2" s="1"/>
  <c r="H14" i="2"/>
  <c r="H15" i="2" s="1"/>
  <c r="E14" i="2"/>
  <c r="E15" i="2" s="1"/>
  <c r="I12" i="2"/>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43" i="27"/>
  <c r="O44" i="27"/>
  <c r="O45" i="27"/>
  <c r="O46" i="27"/>
  <c r="O47" i="27"/>
  <c r="O48" i="27"/>
  <c r="O49" i="27"/>
  <c r="O50" i="27"/>
  <c r="O51" i="27"/>
  <c r="O52" i="27"/>
  <c r="O53" i="27"/>
  <c r="O54" i="27"/>
  <c r="O55" i="27"/>
  <c r="O56" i="27"/>
  <c r="O57" i="27"/>
  <c r="O58" i="27"/>
  <c r="O59" i="27"/>
  <c r="O60" i="27"/>
  <c r="O61" i="27"/>
  <c r="O62" i="27"/>
  <c r="O63" i="27"/>
  <c r="O64" i="27"/>
  <c r="O65" i="27"/>
  <c r="O66" i="27"/>
  <c r="O67" i="27"/>
  <c r="O68" i="27"/>
  <c r="O69" i="27"/>
  <c r="O70" i="27"/>
  <c r="O71" i="27"/>
  <c r="O72" i="27"/>
  <c r="O73" i="27"/>
  <c r="O74" i="27"/>
  <c r="O75" i="27"/>
  <c r="O76" i="27"/>
  <c r="O77" i="27"/>
  <c r="O78" i="27"/>
  <c r="O79" i="27"/>
  <c r="O80" i="27"/>
  <c r="O81" i="27"/>
  <c r="O82" i="27"/>
  <c r="O83" i="27"/>
  <c r="O84" i="27"/>
  <c r="O85" i="27"/>
  <c r="O86" i="27"/>
  <c r="O87" i="27"/>
  <c r="O88" i="27"/>
  <c r="O89" i="27"/>
  <c r="O90" i="27"/>
  <c r="O91" i="27"/>
  <c r="O92" i="27"/>
  <c r="O93" i="27"/>
  <c r="O94" i="27"/>
  <c r="O95" i="27"/>
  <c r="O96" i="27"/>
  <c r="O97" i="27"/>
  <c r="O98" i="27"/>
  <c r="O99" i="27"/>
  <c r="O100" i="27"/>
  <c r="O101" i="27"/>
  <c r="O102" i="27"/>
  <c r="O103" i="27"/>
  <c r="O104" i="27"/>
  <c r="O105" i="27"/>
  <c r="O106" i="27"/>
  <c r="O107" i="27"/>
  <c r="O108" i="27"/>
  <c r="O109" i="27"/>
  <c r="O110" i="27"/>
  <c r="O111" i="27"/>
  <c r="O112" i="27"/>
  <c r="O113" i="27"/>
  <c r="O114" i="27"/>
  <c r="O115" i="27"/>
  <c r="O116" i="27"/>
  <c r="O117" i="27"/>
  <c r="O118" i="27"/>
  <c r="O119" i="27"/>
  <c r="O120" i="27"/>
  <c r="O121" i="27"/>
  <c r="O122" i="27"/>
  <c r="O123" i="27"/>
  <c r="O124" i="27"/>
  <c r="O125" i="27"/>
  <c r="O126" i="27"/>
  <c r="O127" i="27"/>
  <c r="O128" i="27"/>
  <c r="O129" i="27"/>
  <c r="O130" i="27"/>
  <c r="O131" i="27"/>
  <c r="O132" i="27"/>
  <c r="O133" i="27"/>
  <c r="O134" i="27"/>
  <c r="O135" i="27"/>
  <c r="O136" i="27"/>
  <c r="O137" i="27"/>
  <c r="O138" i="27"/>
  <c r="O139" i="27"/>
  <c r="O140" i="27"/>
  <c r="O141" i="27"/>
  <c r="O142" i="27"/>
  <c r="O143" i="27"/>
  <c r="O144" i="27"/>
  <c r="O145" i="27"/>
  <c r="O146" i="27"/>
  <c r="O147" i="27"/>
  <c r="O148" i="27"/>
  <c r="O149" i="27"/>
  <c r="O150" i="27"/>
  <c r="O151" i="27"/>
  <c r="O152" i="27"/>
  <c r="O153" i="27"/>
  <c r="O154" i="27"/>
  <c r="O155" i="27"/>
  <c r="O156" i="27"/>
  <c r="O157" i="27"/>
  <c r="O158" i="27"/>
  <c r="O159" i="27"/>
  <c r="O160" i="27"/>
  <c r="O161" i="27"/>
  <c r="O162" i="27"/>
  <c r="O163" i="27"/>
  <c r="O164" i="27"/>
  <c r="O165" i="27"/>
  <c r="O166" i="27"/>
  <c r="O167" i="27"/>
  <c r="O168" i="27"/>
  <c r="O169" i="27"/>
  <c r="O170" i="27"/>
  <c r="O171" i="27"/>
  <c r="O172" i="27"/>
  <c r="O173" i="27"/>
  <c r="O174" i="27"/>
  <c r="O175" i="27"/>
  <c r="O176" i="27"/>
  <c r="O177" i="27"/>
  <c r="O178" i="27"/>
  <c r="O179" i="27"/>
  <c r="O180" i="27"/>
  <c r="O181" i="27"/>
  <c r="O182" i="27"/>
  <c r="O183" i="27"/>
  <c r="O184" i="27"/>
  <c r="O185" i="27"/>
  <c r="O186" i="27"/>
  <c r="O187" i="27"/>
  <c r="O188" i="27"/>
  <c r="O189" i="27"/>
  <c r="O190" i="27"/>
  <c r="O191" i="27"/>
  <c r="O192" i="27"/>
  <c r="O193" i="27"/>
  <c r="O194" i="27"/>
  <c r="O195" i="27"/>
  <c r="O196" i="27"/>
  <c r="O197" i="27"/>
  <c r="O198" i="27"/>
  <c r="O199" i="27"/>
  <c r="O200" i="27"/>
  <c r="O201" i="27"/>
  <c r="O202" i="27"/>
  <c r="O203" i="27"/>
  <c r="O204" i="27"/>
  <c r="O205" i="27"/>
  <c r="O206" i="27"/>
  <c r="O207" i="27"/>
  <c r="O208" i="27"/>
  <c r="O209" i="27"/>
  <c r="O210" i="27"/>
  <c r="O211" i="27"/>
  <c r="O212" i="27"/>
  <c r="O213" i="27"/>
  <c r="O214" i="27"/>
  <c r="O215" i="27"/>
  <c r="O216" i="27"/>
  <c r="O217" i="27"/>
  <c r="O218" i="27"/>
  <c r="O219" i="27"/>
  <c r="O220" i="27"/>
  <c r="O221" i="27"/>
  <c r="O222" i="27"/>
  <c r="O223" i="27"/>
  <c r="O224" i="27"/>
  <c r="O225" i="27"/>
  <c r="O226" i="27"/>
  <c r="O227" i="27"/>
  <c r="O228" i="27"/>
  <c r="O229" i="27"/>
  <c r="O230" i="27"/>
  <c r="O231" i="27"/>
  <c r="O232" i="27"/>
  <c r="O233" i="27"/>
  <c r="O234" i="27"/>
  <c r="O235" i="27"/>
  <c r="O236" i="27"/>
  <c r="O237" i="27"/>
  <c r="O238" i="27"/>
  <c r="O239" i="27"/>
  <c r="O240" i="27"/>
  <c r="O241" i="27"/>
  <c r="O242" i="27"/>
  <c r="O243" i="27"/>
  <c r="O244" i="27"/>
  <c r="O245" i="27"/>
  <c r="O246" i="27"/>
  <c r="O247" i="27"/>
  <c r="O248" i="27"/>
  <c r="O249" i="27"/>
  <c r="O250" i="27"/>
  <c r="O251" i="27"/>
  <c r="O252" i="27"/>
  <c r="O253" i="27"/>
  <c r="O254" i="27"/>
  <c r="O255" i="27"/>
  <c r="O256" i="27"/>
  <c r="O257" i="27"/>
  <c r="O258" i="27"/>
  <c r="O259" i="27"/>
  <c r="O260" i="27"/>
  <c r="O261" i="27"/>
  <c r="O262" i="27"/>
  <c r="O263" i="27"/>
  <c r="O264" i="27"/>
  <c r="O265" i="27"/>
  <c r="O266" i="27"/>
  <c r="O267" i="27"/>
  <c r="O268" i="27"/>
  <c r="O269" i="27"/>
  <c r="O270" i="27"/>
  <c r="O271" i="27"/>
  <c r="O272" i="27"/>
  <c r="O273" i="27"/>
  <c r="O274" i="27"/>
  <c r="O275" i="27"/>
  <c r="O276" i="27"/>
  <c r="O277" i="27"/>
  <c r="O278" i="27"/>
  <c r="O279" i="27"/>
  <c r="O280" i="27"/>
  <c r="O281" i="27"/>
  <c r="O282" i="27"/>
  <c r="O283" i="27"/>
  <c r="O284" i="27"/>
  <c r="O285" i="27"/>
  <c r="O286" i="27"/>
  <c r="O287" i="27"/>
  <c r="O288" i="27"/>
  <c r="O289" i="27"/>
  <c r="O290" i="27"/>
  <c r="O291" i="27"/>
  <c r="O292" i="27"/>
  <c r="O293" i="27"/>
  <c r="O294" i="27"/>
  <c r="O295" i="27"/>
  <c r="O296" i="27"/>
  <c r="O297" i="27"/>
  <c r="O298" i="27"/>
  <c r="O299" i="27"/>
  <c r="O300" i="27"/>
  <c r="O301" i="27"/>
  <c r="O302" i="27"/>
  <c r="O303" i="27"/>
  <c r="O304" i="27"/>
  <c r="O305" i="27"/>
  <c r="O306" i="27"/>
  <c r="O307" i="27"/>
  <c r="O308" i="27"/>
  <c r="O309" i="27"/>
  <c r="O310" i="27"/>
  <c r="O311" i="27"/>
  <c r="O312" i="27"/>
  <c r="O313" i="27"/>
  <c r="O314" i="27"/>
  <c r="O315" i="27"/>
  <c r="O316" i="27"/>
  <c r="O317" i="27"/>
  <c r="O318" i="27"/>
  <c r="O319" i="27"/>
  <c r="O320" i="27"/>
  <c r="O321" i="27"/>
  <c r="O322" i="27"/>
  <c r="O323" i="27"/>
  <c r="O324" i="27"/>
  <c r="O325" i="27"/>
  <c r="O326" i="27"/>
  <c r="O327" i="27"/>
  <c r="O328" i="27"/>
  <c r="O329" i="27"/>
  <c r="O330" i="27"/>
  <c r="O331" i="27"/>
  <c r="O332" i="27"/>
  <c r="O333" i="27"/>
  <c r="O334" i="27"/>
  <c r="O335" i="27"/>
  <c r="O336" i="27"/>
  <c r="O337" i="27"/>
  <c r="O338" i="27"/>
  <c r="O339" i="27"/>
  <c r="O340" i="27"/>
  <c r="O341" i="27"/>
  <c r="O342" i="27"/>
  <c r="O343" i="27"/>
  <c r="O344" i="27"/>
  <c r="O345" i="27"/>
  <c r="O346" i="27"/>
  <c r="O347" i="27"/>
  <c r="O348" i="27"/>
  <c r="O349" i="27"/>
  <c r="O350" i="27"/>
  <c r="O351" i="27"/>
  <c r="O352" i="27"/>
  <c r="O353" i="27"/>
  <c r="O354" i="27"/>
  <c r="O355" i="27"/>
  <c r="O356" i="27"/>
  <c r="O357" i="27"/>
  <c r="O358" i="27"/>
  <c r="O359" i="27"/>
  <c r="O360" i="27"/>
  <c r="O361" i="27"/>
  <c r="O362" i="27"/>
  <c r="O363" i="27"/>
  <c r="O364" i="27"/>
  <c r="O365" i="27"/>
  <c r="O366" i="27"/>
  <c r="O367" i="27"/>
  <c r="O368" i="27"/>
  <c r="O369" i="27"/>
  <c r="O370" i="27"/>
  <c r="O371" i="27"/>
  <c r="O372" i="27"/>
  <c r="O373" i="27"/>
  <c r="O374" i="27"/>
  <c r="O375" i="27"/>
  <c r="O376" i="27"/>
  <c r="O377" i="27"/>
  <c r="O378" i="27"/>
  <c r="O379" i="27"/>
  <c r="O380" i="27"/>
  <c r="O381" i="27"/>
  <c r="O382" i="27"/>
  <c r="O383" i="27"/>
  <c r="O384" i="27"/>
  <c r="O17" i="27"/>
  <c r="N23" i="7" l="1"/>
  <c r="AJ23" i="7"/>
  <c r="B977" i="18"/>
  <c r="B978" i="18" s="1"/>
  <c r="B979" i="18" s="1"/>
  <c r="B980" i="18" s="1"/>
  <c r="B981" i="18" s="1"/>
  <c r="B982" i="18" s="1"/>
  <c r="B983" i="18" s="1"/>
  <c r="B984" i="18" s="1"/>
  <c r="B985" i="18" s="1"/>
  <c r="B986" i="18" s="1"/>
  <c r="B987" i="18" s="1"/>
  <c r="B988" i="18" s="1"/>
  <c r="B989" i="18" s="1"/>
  <c r="B990" i="18" s="1"/>
  <c r="B991" i="18" s="1"/>
  <c r="B992" i="18" s="1"/>
  <c r="B993" i="18" s="1"/>
  <c r="B994" i="18" s="1"/>
  <c r="B995" i="18" s="1"/>
  <c r="B996" i="18" s="1"/>
  <c r="B997" i="18" s="1"/>
  <c r="B998" i="18" s="1"/>
  <c r="B999" i="18" s="1"/>
  <c r="B1000" i="18" s="1"/>
  <c r="B1001" i="18" s="1"/>
  <c r="B1002" i="18" s="1"/>
  <c r="B1003" i="18" s="1"/>
  <c r="B1004" i="18" s="1"/>
  <c r="B1005" i="18" s="1"/>
  <c r="B1006" i="18" s="1"/>
  <c r="B1007" i="18" s="1"/>
  <c r="N980" i="18"/>
  <c r="T993" i="18"/>
  <c r="T1005" i="18"/>
  <c r="T1006" i="18"/>
  <c r="T1003" i="18"/>
  <c r="T1004" i="18"/>
  <c r="T1001" i="18"/>
  <c r="T1002" i="18"/>
  <c r="T995" i="18"/>
  <c r="T1000" i="18"/>
  <c r="T997" i="18"/>
  <c r="Y997" i="18" s="1"/>
  <c r="T992" i="18"/>
  <c r="O982" i="18"/>
  <c r="N982" i="18"/>
  <c r="T999" i="18"/>
  <c r="O980" i="18"/>
  <c r="T998" i="18"/>
  <c r="T994" i="18"/>
  <c r="T996" i="18"/>
  <c r="G1009" i="18"/>
  <c r="D1040" i="18"/>
  <c r="G13" i="2"/>
  <c r="I14" i="2"/>
  <c r="I15" i="2" s="1"/>
  <c r="H24" i="2" s="1"/>
  <c r="G71" i="2"/>
  <c r="F57" i="2"/>
  <c r="G57" i="2" s="1"/>
  <c r="E415" i="6"/>
  <c r="E391" i="6"/>
  <c r="E307" i="6"/>
  <c r="E295" i="6"/>
  <c r="E283" i="6"/>
  <c r="E271" i="6"/>
  <c r="E235" i="6"/>
  <c r="E223" i="6"/>
  <c r="E211" i="6"/>
  <c r="E199" i="6"/>
  <c r="E187" i="6"/>
  <c r="E175" i="6"/>
  <c r="E151" i="6"/>
  <c r="E139" i="6"/>
  <c r="E127" i="6"/>
  <c r="E103" i="6"/>
  <c r="E91" i="6"/>
  <c r="E79" i="6"/>
  <c r="E55" i="6"/>
  <c r="E31" i="6"/>
  <c r="E479" i="6"/>
  <c r="E487" i="6"/>
  <c r="E499" i="6"/>
  <c r="E509" i="6"/>
  <c r="E497" i="6"/>
  <c r="E473" i="6"/>
  <c r="E461" i="6"/>
  <c r="E233" i="6"/>
  <c r="E520" i="6"/>
  <c r="E472" i="6"/>
  <c r="E460" i="6"/>
  <c r="E220" i="6"/>
  <c r="E64" i="6"/>
  <c r="E496" i="6"/>
  <c r="E231" i="6"/>
  <c r="E219" i="6"/>
  <c r="E207" i="6"/>
  <c r="E147" i="6"/>
  <c r="E63" i="6"/>
  <c r="E508" i="6"/>
  <c r="E230" i="6"/>
  <c r="E206" i="6"/>
  <c r="E146" i="6"/>
  <c r="E62" i="6"/>
  <c r="E26" i="6"/>
  <c r="E228" i="6"/>
  <c r="E216" i="6"/>
  <c r="E204" i="6"/>
  <c r="E156" i="6"/>
  <c r="E144" i="6"/>
  <c r="E120" i="6"/>
  <c r="E108" i="6"/>
  <c r="E84" i="6"/>
  <c r="E60" i="6"/>
  <c r="E24" i="6"/>
  <c r="E239" i="6"/>
  <c r="E227" i="6"/>
  <c r="E215" i="6"/>
  <c r="E203" i="6"/>
  <c r="E191" i="6"/>
  <c r="E155" i="6"/>
  <c r="E119" i="6"/>
  <c r="E59" i="6"/>
  <c r="E23" i="6"/>
  <c r="E238" i="6"/>
  <c r="E226" i="6"/>
  <c r="E214" i="6"/>
  <c r="E202" i="6"/>
  <c r="F453" i="6"/>
  <c r="F309" i="6"/>
  <c r="E237" i="6"/>
  <c r="E225" i="6"/>
  <c r="E213" i="6"/>
  <c r="E201" i="6"/>
  <c r="E189" i="6"/>
  <c r="E153" i="6"/>
  <c r="E141" i="6"/>
  <c r="E503" i="6"/>
  <c r="E431" i="6"/>
  <c r="F452" i="6"/>
  <c r="F308" i="6"/>
  <c r="E236" i="6"/>
  <c r="E224" i="6"/>
  <c r="E212" i="6"/>
  <c r="E200" i="6"/>
  <c r="G61" i="2"/>
  <c r="F70" i="2"/>
  <c r="E70" i="2"/>
  <c r="D70" i="2"/>
  <c r="D63" i="2"/>
  <c r="F72" i="2"/>
  <c r="E13" i="2"/>
  <c r="H13" i="2"/>
  <c r="F13" i="2"/>
  <c r="D403" i="6"/>
  <c r="F403" i="6"/>
  <c r="D367" i="6"/>
  <c r="F367" i="6"/>
  <c r="D343" i="6"/>
  <c r="F343" i="6"/>
  <c r="D319" i="6"/>
  <c r="F319" i="6"/>
  <c r="D510" i="6"/>
  <c r="F510" i="6"/>
  <c r="D498" i="6"/>
  <c r="F498" i="6"/>
  <c r="D486" i="6"/>
  <c r="F486" i="6"/>
  <c r="D474" i="6"/>
  <c r="F474" i="6"/>
  <c r="D462" i="6"/>
  <c r="F462" i="6"/>
  <c r="D450" i="6"/>
  <c r="F450" i="6"/>
  <c r="D438" i="6"/>
  <c r="F438" i="6"/>
  <c r="D426" i="6"/>
  <c r="F426" i="6"/>
  <c r="D414" i="6"/>
  <c r="F414" i="6"/>
  <c r="D402" i="6"/>
  <c r="F402" i="6"/>
  <c r="D390" i="6"/>
  <c r="F390" i="6"/>
  <c r="D378" i="6"/>
  <c r="F378" i="6"/>
  <c r="D366" i="6"/>
  <c r="F366" i="6"/>
  <c r="D354" i="6"/>
  <c r="F354" i="6"/>
  <c r="D342" i="6"/>
  <c r="F342" i="6"/>
  <c r="D330" i="6"/>
  <c r="F330" i="6"/>
  <c r="D318" i="6"/>
  <c r="F318" i="6"/>
  <c r="D306" i="6"/>
  <c r="F306" i="6"/>
  <c r="D294" i="6"/>
  <c r="F294" i="6"/>
  <c r="D282" i="6"/>
  <c r="F282" i="6"/>
  <c r="D270" i="6"/>
  <c r="F270" i="6"/>
  <c r="D258" i="6"/>
  <c r="F258" i="6"/>
  <c r="D246" i="6"/>
  <c r="F246" i="6"/>
  <c r="D234" i="6"/>
  <c r="F234" i="6"/>
  <c r="D222" i="6"/>
  <c r="F222" i="6"/>
  <c r="D210" i="6"/>
  <c r="F210" i="6"/>
  <c r="D198" i="6"/>
  <c r="F198" i="6"/>
  <c r="D186" i="6"/>
  <c r="F186" i="6"/>
  <c r="D174" i="6"/>
  <c r="F174" i="6"/>
  <c r="D162" i="6"/>
  <c r="F162" i="6"/>
  <c r="D150" i="6"/>
  <c r="F150" i="6"/>
  <c r="D138" i="6"/>
  <c r="F138" i="6"/>
  <c r="D126" i="6"/>
  <c r="F126" i="6"/>
  <c r="D114" i="6"/>
  <c r="F114" i="6"/>
  <c r="D102" i="6"/>
  <c r="F102" i="6"/>
  <c r="D90" i="6"/>
  <c r="F90" i="6"/>
  <c r="D78" i="6"/>
  <c r="F78" i="6"/>
  <c r="D66" i="6"/>
  <c r="F66" i="6"/>
  <c r="D54" i="6"/>
  <c r="F54" i="6"/>
  <c r="D42" i="6"/>
  <c r="F42" i="6"/>
  <c r="F30" i="6"/>
  <c r="E511" i="6"/>
  <c r="E475" i="6"/>
  <c r="E463" i="6"/>
  <c r="E451" i="6"/>
  <c r="E439" i="6"/>
  <c r="E427" i="6"/>
  <c r="E403" i="6"/>
  <c r="E379" i="6"/>
  <c r="E367" i="6"/>
  <c r="E355" i="6"/>
  <c r="E343" i="6"/>
  <c r="E331" i="6"/>
  <c r="E319" i="6"/>
  <c r="E259" i="6"/>
  <c r="E246" i="6"/>
  <c r="E194" i="6"/>
  <c r="E179" i="6"/>
  <c r="E162" i="6"/>
  <c r="E87" i="6"/>
  <c r="E66" i="6"/>
  <c r="E47" i="6"/>
  <c r="D499" i="6"/>
  <c r="F499" i="6"/>
  <c r="D485" i="6"/>
  <c r="F485" i="6"/>
  <c r="D449" i="6"/>
  <c r="F449" i="6"/>
  <c r="D437" i="6"/>
  <c r="F437" i="6"/>
  <c r="D425" i="6"/>
  <c r="F425" i="6"/>
  <c r="D413" i="6"/>
  <c r="F413" i="6"/>
  <c r="D401" i="6"/>
  <c r="F401" i="6"/>
  <c r="D389" i="6"/>
  <c r="F389" i="6"/>
  <c r="D377" i="6"/>
  <c r="F377" i="6"/>
  <c r="D365" i="6"/>
  <c r="F365" i="6"/>
  <c r="D353" i="6"/>
  <c r="F353" i="6"/>
  <c r="D341" i="6"/>
  <c r="F341" i="6"/>
  <c r="D329" i="6"/>
  <c r="F329" i="6"/>
  <c r="D317" i="6"/>
  <c r="F317" i="6"/>
  <c r="D305" i="6"/>
  <c r="F305" i="6"/>
  <c r="D293" i="6"/>
  <c r="F293" i="6"/>
  <c r="D281" i="6"/>
  <c r="F281" i="6"/>
  <c r="D269" i="6"/>
  <c r="F269" i="6"/>
  <c r="D257" i="6"/>
  <c r="F257" i="6"/>
  <c r="D245" i="6"/>
  <c r="F245" i="6"/>
  <c r="D233" i="6"/>
  <c r="F233" i="6"/>
  <c r="D221" i="6"/>
  <c r="F221" i="6"/>
  <c r="D209" i="6"/>
  <c r="F209" i="6"/>
  <c r="D197" i="6"/>
  <c r="F197" i="6"/>
  <c r="D185" i="6"/>
  <c r="F185" i="6"/>
  <c r="D173" i="6"/>
  <c r="F173" i="6"/>
  <c r="D161" i="6"/>
  <c r="F161" i="6"/>
  <c r="D149" i="6"/>
  <c r="F149" i="6"/>
  <c r="D137" i="6"/>
  <c r="F137" i="6"/>
  <c r="E137" i="6"/>
  <c r="D125" i="6"/>
  <c r="F125" i="6"/>
  <c r="E125" i="6"/>
  <c r="D113" i="6"/>
  <c r="F113" i="6"/>
  <c r="E113" i="6"/>
  <c r="D101" i="6"/>
  <c r="F101" i="6"/>
  <c r="E101" i="6"/>
  <c r="D89" i="6"/>
  <c r="F89" i="6"/>
  <c r="E89" i="6"/>
  <c r="D77" i="6"/>
  <c r="F77" i="6"/>
  <c r="E77" i="6"/>
  <c r="D65" i="6"/>
  <c r="F65" i="6"/>
  <c r="E65" i="6"/>
  <c r="D53" i="6"/>
  <c r="F53" i="6"/>
  <c r="E53" i="6"/>
  <c r="D41" i="6"/>
  <c r="F41" i="6"/>
  <c r="E41" i="6"/>
  <c r="F29" i="6"/>
  <c r="E29" i="6"/>
  <c r="E510" i="6"/>
  <c r="E498" i="6"/>
  <c r="E486" i="6"/>
  <c r="E474" i="6"/>
  <c r="E462" i="6"/>
  <c r="E450" i="6"/>
  <c r="E438" i="6"/>
  <c r="E426" i="6"/>
  <c r="E414" i="6"/>
  <c r="E402" i="6"/>
  <c r="E390" i="6"/>
  <c r="E378" i="6"/>
  <c r="E366" i="6"/>
  <c r="E354" i="6"/>
  <c r="E342" i="6"/>
  <c r="E330" i="6"/>
  <c r="E318" i="6"/>
  <c r="E306" i="6"/>
  <c r="E294" i="6"/>
  <c r="E282" i="6"/>
  <c r="E270" i="6"/>
  <c r="E258" i="6"/>
  <c r="E245" i="6"/>
  <c r="E232" i="6"/>
  <c r="E192" i="6"/>
  <c r="E177" i="6"/>
  <c r="E161" i="6"/>
  <c r="E126" i="6"/>
  <c r="E107" i="6"/>
  <c r="E86" i="6"/>
  <c r="E43" i="6"/>
  <c r="D391" i="6"/>
  <c r="F391" i="6"/>
  <c r="D484" i="6"/>
  <c r="F484" i="6"/>
  <c r="D436" i="6"/>
  <c r="F436" i="6"/>
  <c r="D424" i="6"/>
  <c r="F424" i="6"/>
  <c r="D412" i="6"/>
  <c r="F412" i="6"/>
  <c r="D400" i="6"/>
  <c r="F400" i="6"/>
  <c r="D388" i="6"/>
  <c r="F388" i="6"/>
  <c r="D376" i="6"/>
  <c r="F376" i="6"/>
  <c r="D364" i="6"/>
  <c r="F364" i="6"/>
  <c r="D352" i="6"/>
  <c r="F352" i="6"/>
  <c r="D340" i="6"/>
  <c r="F340" i="6"/>
  <c r="D328" i="6"/>
  <c r="F328" i="6"/>
  <c r="D316" i="6"/>
  <c r="F316" i="6"/>
  <c r="D304" i="6"/>
  <c r="F304" i="6"/>
  <c r="D292" i="6"/>
  <c r="F292" i="6"/>
  <c r="D280" i="6"/>
  <c r="F280" i="6"/>
  <c r="D268" i="6"/>
  <c r="F268" i="6"/>
  <c r="D256" i="6"/>
  <c r="F256" i="6"/>
  <c r="D244" i="6"/>
  <c r="F244" i="6"/>
  <c r="D232" i="6"/>
  <c r="F232" i="6"/>
  <c r="D220" i="6"/>
  <c r="F220" i="6"/>
  <c r="D208" i="6"/>
  <c r="F208" i="6"/>
  <c r="D196" i="6"/>
  <c r="F196" i="6"/>
  <c r="D184" i="6"/>
  <c r="F184" i="6"/>
  <c r="D172" i="6"/>
  <c r="F172" i="6"/>
  <c r="D160" i="6"/>
  <c r="F160" i="6"/>
  <c r="D148" i="6"/>
  <c r="F148" i="6"/>
  <c r="D136" i="6"/>
  <c r="F136" i="6"/>
  <c r="D124" i="6"/>
  <c r="F124" i="6"/>
  <c r="D112" i="6"/>
  <c r="F112" i="6"/>
  <c r="D100" i="6"/>
  <c r="F100" i="6"/>
  <c r="D88" i="6"/>
  <c r="F88" i="6"/>
  <c r="D76" i="6"/>
  <c r="F76" i="6"/>
  <c r="D64" i="6"/>
  <c r="F64" i="6"/>
  <c r="D52" i="6"/>
  <c r="F52" i="6"/>
  <c r="D40" i="6"/>
  <c r="F40" i="6"/>
  <c r="F28" i="6"/>
  <c r="E485" i="6"/>
  <c r="E449" i="6"/>
  <c r="E437" i="6"/>
  <c r="E425" i="6"/>
  <c r="E413" i="6"/>
  <c r="E401" i="6"/>
  <c r="E389" i="6"/>
  <c r="E377" i="6"/>
  <c r="E365" i="6"/>
  <c r="E353" i="6"/>
  <c r="E341" i="6"/>
  <c r="E329" i="6"/>
  <c r="E317" i="6"/>
  <c r="E305" i="6"/>
  <c r="E293" i="6"/>
  <c r="E281" i="6"/>
  <c r="E269" i="6"/>
  <c r="E257" i="6"/>
  <c r="E244" i="6"/>
  <c r="E218" i="6"/>
  <c r="E160" i="6"/>
  <c r="E124" i="6"/>
  <c r="E42" i="6"/>
  <c r="D487" i="6"/>
  <c r="F487" i="6"/>
  <c r="D497" i="6"/>
  <c r="F497" i="6"/>
  <c r="D448" i="6"/>
  <c r="F448" i="6"/>
  <c r="D507" i="6"/>
  <c r="F507" i="6"/>
  <c r="D495" i="6"/>
  <c r="F495" i="6"/>
  <c r="D483" i="6"/>
  <c r="F483" i="6"/>
  <c r="D471" i="6"/>
  <c r="F471" i="6"/>
  <c r="D459" i="6"/>
  <c r="F459" i="6"/>
  <c r="D447" i="6"/>
  <c r="F447" i="6"/>
  <c r="D435" i="6"/>
  <c r="F435" i="6"/>
  <c r="D423" i="6"/>
  <c r="F423" i="6"/>
  <c r="D411" i="6"/>
  <c r="F411" i="6"/>
  <c r="D399" i="6"/>
  <c r="F399" i="6"/>
  <c r="D387" i="6"/>
  <c r="F387" i="6"/>
  <c r="D375" i="6"/>
  <c r="F375" i="6"/>
  <c r="D363" i="6"/>
  <c r="F363" i="6"/>
  <c r="D351" i="6"/>
  <c r="F351" i="6"/>
  <c r="D339" i="6"/>
  <c r="F339" i="6"/>
  <c r="D327" i="6"/>
  <c r="F327" i="6"/>
  <c r="D315" i="6"/>
  <c r="F315" i="6"/>
  <c r="D303" i="6"/>
  <c r="F303" i="6"/>
  <c r="D291" i="6"/>
  <c r="F291" i="6"/>
  <c r="D279" i="6"/>
  <c r="F279" i="6"/>
  <c r="D267" i="6"/>
  <c r="F267" i="6"/>
  <c r="D255" i="6"/>
  <c r="F255" i="6"/>
  <c r="D243" i="6"/>
  <c r="F243" i="6"/>
  <c r="D231" i="6"/>
  <c r="F231" i="6"/>
  <c r="D219" i="6"/>
  <c r="F219" i="6"/>
  <c r="D207" i="6"/>
  <c r="F207" i="6"/>
  <c r="D195" i="6"/>
  <c r="F195" i="6"/>
  <c r="D183" i="6"/>
  <c r="F183" i="6"/>
  <c r="D171" i="6"/>
  <c r="F171" i="6"/>
  <c r="D159" i="6"/>
  <c r="F159" i="6"/>
  <c r="D147" i="6"/>
  <c r="F147" i="6"/>
  <c r="D135" i="6"/>
  <c r="F135" i="6"/>
  <c r="D123" i="6"/>
  <c r="F123" i="6"/>
  <c r="D111" i="6"/>
  <c r="F111" i="6"/>
  <c r="D99" i="6"/>
  <c r="F99" i="6"/>
  <c r="D87" i="6"/>
  <c r="F87" i="6"/>
  <c r="D75" i="6"/>
  <c r="F75" i="6"/>
  <c r="D63" i="6"/>
  <c r="F63" i="6"/>
  <c r="D51" i="6"/>
  <c r="F51" i="6"/>
  <c r="D39" i="6"/>
  <c r="F39" i="6"/>
  <c r="F27" i="6"/>
  <c r="E484" i="6"/>
  <c r="E448" i="6"/>
  <c r="E436" i="6"/>
  <c r="E424" i="6"/>
  <c r="E412" i="6"/>
  <c r="E400" i="6"/>
  <c r="E388" i="6"/>
  <c r="E376" i="6"/>
  <c r="E364" i="6"/>
  <c r="E352" i="6"/>
  <c r="E340" i="6"/>
  <c r="E328" i="6"/>
  <c r="E316" i="6"/>
  <c r="E304" i="6"/>
  <c r="E292" i="6"/>
  <c r="E280" i="6"/>
  <c r="E268" i="6"/>
  <c r="E256" i="6"/>
  <c r="E243" i="6"/>
  <c r="E190" i="6"/>
  <c r="E174" i="6"/>
  <c r="E159" i="6"/>
  <c r="E143" i="6"/>
  <c r="E123" i="6"/>
  <c r="E102" i="6"/>
  <c r="E83" i="6"/>
  <c r="E40" i="6"/>
  <c r="D439" i="6"/>
  <c r="F439" i="6"/>
  <c r="D508" i="6"/>
  <c r="F508" i="6"/>
  <c r="D519" i="6"/>
  <c r="F519" i="6"/>
  <c r="D518" i="6"/>
  <c r="F518" i="6"/>
  <c r="D506" i="6"/>
  <c r="F506" i="6"/>
  <c r="D494" i="6"/>
  <c r="F494" i="6"/>
  <c r="D482" i="6"/>
  <c r="F482" i="6"/>
  <c r="D470" i="6"/>
  <c r="F470" i="6"/>
  <c r="D458" i="6"/>
  <c r="F458" i="6"/>
  <c r="D446" i="6"/>
  <c r="F446" i="6"/>
  <c r="D434" i="6"/>
  <c r="F434" i="6"/>
  <c r="D422" i="6"/>
  <c r="F422" i="6"/>
  <c r="D410" i="6"/>
  <c r="F410" i="6"/>
  <c r="D398" i="6"/>
  <c r="F398" i="6"/>
  <c r="D386" i="6"/>
  <c r="F386" i="6"/>
  <c r="D374" i="6"/>
  <c r="F374" i="6"/>
  <c r="D362" i="6"/>
  <c r="F362" i="6"/>
  <c r="D350" i="6"/>
  <c r="F350" i="6"/>
  <c r="D338" i="6"/>
  <c r="F338" i="6"/>
  <c r="D326" i="6"/>
  <c r="F326" i="6"/>
  <c r="D314" i="6"/>
  <c r="F314" i="6"/>
  <c r="D302" i="6"/>
  <c r="F302" i="6"/>
  <c r="D290" i="6"/>
  <c r="F290" i="6"/>
  <c r="D278" i="6"/>
  <c r="F278" i="6"/>
  <c r="D266" i="6"/>
  <c r="F266" i="6"/>
  <c r="D254" i="6"/>
  <c r="F254" i="6"/>
  <c r="D242" i="6"/>
  <c r="F242" i="6"/>
  <c r="D230" i="6"/>
  <c r="F230" i="6"/>
  <c r="D218" i="6"/>
  <c r="F218" i="6"/>
  <c r="D206" i="6"/>
  <c r="F206" i="6"/>
  <c r="D194" i="6"/>
  <c r="F194" i="6"/>
  <c r="D182" i="6"/>
  <c r="F182" i="6"/>
  <c r="D170" i="6"/>
  <c r="F170" i="6"/>
  <c r="D158" i="6"/>
  <c r="F158" i="6"/>
  <c r="D146" i="6"/>
  <c r="F146" i="6"/>
  <c r="D134" i="6"/>
  <c r="F134" i="6"/>
  <c r="D122" i="6"/>
  <c r="F122" i="6"/>
  <c r="D110" i="6"/>
  <c r="F110" i="6"/>
  <c r="D98" i="6"/>
  <c r="F98" i="6"/>
  <c r="D86" i="6"/>
  <c r="F86" i="6"/>
  <c r="D74" i="6"/>
  <c r="F74" i="6"/>
  <c r="D62" i="6"/>
  <c r="F62" i="6"/>
  <c r="D50" i="6"/>
  <c r="F50" i="6"/>
  <c r="D38" i="6"/>
  <c r="F38" i="6"/>
  <c r="F26" i="6"/>
  <c r="E519" i="6"/>
  <c r="E507" i="6"/>
  <c r="E495" i="6"/>
  <c r="E483" i="6"/>
  <c r="E471" i="6"/>
  <c r="E459" i="6"/>
  <c r="E447" i="6"/>
  <c r="E435" i="6"/>
  <c r="E423" i="6"/>
  <c r="E411" i="6"/>
  <c r="E399" i="6"/>
  <c r="E387" i="6"/>
  <c r="E375" i="6"/>
  <c r="E363" i="6"/>
  <c r="E351" i="6"/>
  <c r="E339" i="6"/>
  <c r="E327" i="6"/>
  <c r="E315" i="6"/>
  <c r="E303" i="6"/>
  <c r="E291" i="6"/>
  <c r="E279" i="6"/>
  <c r="E267" i="6"/>
  <c r="E255" i="6"/>
  <c r="E242" i="6"/>
  <c r="E173" i="6"/>
  <c r="E158" i="6"/>
  <c r="E122" i="6"/>
  <c r="E100" i="6"/>
  <c r="E39" i="6"/>
  <c r="D415" i="6"/>
  <c r="F415" i="6"/>
  <c r="D496" i="6"/>
  <c r="F496" i="6"/>
  <c r="D517" i="6"/>
  <c r="F517" i="6"/>
  <c r="D493" i="6"/>
  <c r="F493" i="6"/>
  <c r="D481" i="6"/>
  <c r="F481" i="6"/>
  <c r="D469" i="6"/>
  <c r="F469" i="6"/>
  <c r="D457" i="6"/>
  <c r="F457" i="6"/>
  <c r="D445" i="6"/>
  <c r="F445" i="6"/>
  <c r="D433" i="6"/>
  <c r="F433" i="6"/>
  <c r="D421" i="6"/>
  <c r="F421" i="6"/>
  <c r="D409" i="6"/>
  <c r="F409" i="6"/>
  <c r="D397" i="6"/>
  <c r="F397" i="6"/>
  <c r="D385" i="6"/>
  <c r="F385" i="6"/>
  <c r="D373" i="6"/>
  <c r="F373" i="6"/>
  <c r="D361" i="6"/>
  <c r="F361" i="6"/>
  <c r="D349" i="6"/>
  <c r="F349" i="6"/>
  <c r="D337" i="6"/>
  <c r="F337" i="6"/>
  <c r="D325" i="6"/>
  <c r="F325" i="6"/>
  <c r="D313" i="6"/>
  <c r="F313" i="6"/>
  <c r="D301" i="6"/>
  <c r="F301" i="6"/>
  <c r="D289" i="6"/>
  <c r="F289" i="6"/>
  <c r="D277" i="6"/>
  <c r="F277" i="6"/>
  <c r="D265" i="6"/>
  <c r="F265" i="6"/>
  <c r="D253" i="6"/>
  <c r="F253" i="6"/>
  <c r="E253" i="6"/>
  <c r="D241" i="6"/>
  <c r="F241" i="6"/>
  <c r="E241" i="6"/>
  <c r="D229" i="6"/>
  <c r="F229" i="6"/>
  <c r="E229" i="6"/>
  <c r="D217" i="6"/>
  <c r="F217" i="6"/>
  <c r="E217" i="6"/>
  <c r="D205" i="6"/>
  <c r="F205" i="6"/>
  <c r="E205" i="6"/>
  <c r="D193" i="6"/>
  <c r="F193" i="6"/>
  <c r="E193" i="6"/>
  <c r="D181" i="6"/>
  <c r="F181" i="6"/>
  <c r="E181" i="6"/>
  <c r="D169" i="6"/>
  <c r="F169" i="6"/>
  <c r="E169" i="6"/>
  <c r="D157" i="6"/>
  <c r="F157" i="6"/>
  <c r="E157" i="6"/>
  <c r="D145" i="6"/>
  <c r="F145" i="6"/>
  <c r="E145" i="6"/>
  <c r="D133" i="6"/>
  <c r="F133" i="6"/>
  <c r="E133" i="6"/>
  <c r="D121" i="6"/>
  <c r="F121" i="6"/>
  <c r="E121" i="6"/>
  <c r="D109" i="6"/>
  <c r="F109" i="6"/>
  <c r="E109" i="6"/>
  <c r="D97" i="6"/>
  <c r="F97" i="6"/>
  <c r="E97" i="6"/>
  <c r="D85" i="6"/>
  <c r="F85" i="6"/>
  <c r="E85" i="6"/>
  <c r="D73" i="6"/>
  <c r="F73" i="6"/>
  <c r="E73" i="6"/>
  <c r="D61" i="6"/>
  <c r="F61" i="6"/>
  <c r="E61" i="6"/>
  <c r="D49" i="6"/>
  <c r="F49" i="6"/>
  <c r="E49" i="6"/>
  <c r="D37" i="6"/>
  <c r="F37" i="6"/>
  <c r="E37" i="6"/>
  <c r="F25" i="6"/>
  <c r="E25" i="6"/>
  <c r="E518" i="6"/>
  <c r="E506" i="6"/>
  <c r="E494" i="6"/>
  <c r="E482" i="6"/>
  <c r="E470" i="6"/>
  <c r="E458" i="6"/>
  <c r="E446" i="6"/>
  <c r="E434" i="6"/>
  <c r="E422" i="6"/>
  <c r="E410" i="6"/>
  <c r="E398" i="6"/>
  <c r="E386" i="6"/>
  <c r="E374" i="6"/>
  <c r="E362" i="6"/>
  <c r="E350" i="6"/>
  <c r="E338" i="6"/>
  <c r="E326" i="6"/>
  <c r="E314" i="6"/>
  <c r="E302" i="6"/>
  <c r="E290" i="6"/>
  <c r="E278" i="6"/>
  <c r="E266" i="6"/>
  <c r="E254" i="6"/>
  <c r="E240" i="6"/>
  <c r="E172" i="6"/>
  <c r="E99" i="6"/>
  <c r="E78" i="6"/>
  <c r="E38" i="6"/>
  <c r="D511" i="6"/>
  <c r="F511" i="6"/>
  <c r="D509" i="6"/>
  <c r="F509" i="6"/>
  <c r="D460" i="6"/>
  <c r="F460" i="6"/>
  <c r="D505" i="6"/>
  <c r="F505" i="6"/>
  <c r="D516" i="6"/>
  <c r="F516" i="6"/>
  <c r="D504" i="6"/>
  <c r="F504" i="6"/>
  <c r="D492" i="6"/>
  <c r="F492" i="6"/>
  <c r="D480" i="6"/>
  <c r="F480" i="6"/>
  <c r="D468" i="6"/>
  <c r="F468" i="6"/>
  <c r="D456" i="6"/>
  <c r="F456" i="6"/>
  <c r="D444" i="6"/>
  <c r="F444" i="6"/>
  <c r="D432" i="6"/>
  <c r="F432" i="6"/>
  <c r="D420" i="6"/>
  <c r="F420" i="6"/>
  <c r="D408" i="6"/>
  <c r="F408" i="6"/>
  <c r="D396" i="6"/>
  <c r="F396" i="6"/>
  <c r="D384" i="6"/>
  <c r="F384" i="6"/>
  <c r="D372" i="6"/>
  <c r="F372" i="6"/>
  <c r="D360" i="6"/>
  <c r="F360" i="6"/>
  <c r="D348" i="6"/>
  <c r="F348" i="6"/>
  <c r="D336" i="6"/>
  <c r="F336" i="6"/>
  <c r="D324" i="6"/>
  <c r="F324" i="6"/>
  <c r="D312" i="6"/>
  <c r="F312" i="6"/>
  <c r="D300" i="6"/>
  <c r="F300" i="6"/>
  <c r="D288" i="6"/>
  <c r="F288" i="6"/>
  <c r="D276" i="6"/>
  <c r="F276" i="6"/>
  <c r="D264" i="6"/>
  <c r="F264" i="6"/>
  <c r="D252" i="6"/>
  <c r="F252" i="6"/>
  <c r="D240" i="6"/>
  <c r="F240" i="6"/>
  <c r="D228" i="6"/>
  <c r="F228" i="6"/>
  <c r="D216" i="6"/>
  <c r="F216" i="6"/>
  <c r="D204" i="6"/>
  <c r="F204" i="6"/>
  <c r="D192" i="6"/>
  <c r="F192" i="6"/>
  <c r="D180" i="6"/>
  <c r="F180" i="6"/>
  <c r="D168" i="6"/>
  <c r="F168" i="6"/>
  <c r="D156" i="6"/>
  <c r="F156" i="6"/>
  <c r="D144" i="6"/>
  <c r="F144" i="6"/>
  <c r="D132" i="6"/>
  <c r="F132" i="6"/>
  <c r="D120" i="6"/>
  <c r="F120" i="6"/>
  <c r="D108" i="6"/>
  <c r="F108" i="6"/>
  <c r="D96" i="6"/>
  <c r="F96" i="6"/>
  <c r="D84" i="6"/>
  <c r="F84" i="6"/>
  <c r="D72" i="6"/>
  <c r="F72" i="6"/>
  <c r="D60" i="6"/>
  <c r="F60" i="6"/>
  <c r="D48" i="6"/>
  <c r="F48" i="6"/>
  <c r="D36" i="6"/>
  <c r="F36" i="6"/>
  <c r="F24" i="6"/>
  <c r="E517" i="6"/>
  <c r="E505" i="6"/>
  <c r="E493" i="6"/>
  <c r="E481" i="6"/>
  <c r="E469" i="6"/>
  <c r="E457" i="6"/>
  <c r="E445" i="6"/>
  <c r="E433" i="6"/>
  <c r="E421" i="6"/>
  <c r="E409" i="6"/>
  <c r="E397" i="6"/>
  <c r="E385" i="6"/>
  <c r="E373" i="6"/>
  <c r="E361" i="6"/>
  <c r="E349" i="6"/>
  <c r="E337" i="6"/>
  <c r="E325" i="6"/>
  <c r="E313" i="6"/>
  <c r="E301" i="6"/>
  <c r="E289" i="6"/>
  <c r="E277" i="6"/>
  <c r="E265" i="6"/>
  <c r="E252" i="6"/>
  <c r="E186" i="6"/>
  <c r="E171" i="6"/>
  <c r="E138" i="6"/>
  <c r="E98" i="6"/>
  <c r="E76" i="6"/>
  <c r="E36" i="6"/>
  <c r="D451" i="6"/>
  <c r="F451" i="6"/>
  <c r="D520" i="6"/>
  <c r="F520" i="6"/>
  <c r="D491" i="6"/>
  <c r="F491" i="6"/>
  <c r="D443" i="6"/>
  <c r="F443" i="6"/>
  <c r="D419" i="6"/>
  <c r="F419" i="6"/>
  <c r="D407" i="6"/>
  <c r="F407" i="6"/>
  <c r="D395" i="6"/>
  <c r="F395" i="6"/>
  <c r="D383" i="6"/>
  <c r="F383" i="6"/>
  <c r="D371" i="6"/>
  <c r="F371" i="6"/>
  <c r="D359" i="6"/>
  <c r="F359" i="6"/>
  <c r="D347" i="6"/>
  <c r="F347" i="6"/>
  <c r="D335" i="6"/>
  <c r="F335" i="6"/>
  <c r="D323" i="6"/>
  <c r="F323" i="6"/>
  <c r="D311" i="6"/>
  <c r="F311" i="6"/>
  <c r="D299" i="6"/>
  <c r="F299" i="6"/>
  <c r="D287" i="6"/>
  <c r="F287" i="6"/>
  <c r="D275" i="6"/>
  <c r="F275" i="6"/>
  <c r="D263" i="6"/>
  <c r="F263" i="6"/>
  <c r="D251" i="6"/>
  <c r="F251" i="6"/>
  <c r="D239" i="6"/>
  <c r="F239" i="6"/>
  <c r="D227" i="6"/>
  <c r="F227" i="6"/>
  <c r="D215" i="6"/>
  <c r="F215" i="6"/>
  <c r="D203" i="6"/>
  <c r="F203" i="6"/>
  <c r="D191" i="6"/>
  <c r="F191" i="6"/>
  <c r="D179" i="6"/>
  <c r="F179" i="6"/>
  <c r="D167" i="6"/>
  <c r="F167" i="6"/>
  <c r="D155" i="6"/>
  <c r="F155" i="6"/>
  <c r="D143" i="6"/>
  <c r="F143" i="6"/>
  <c r="D131" i="6"/>
  <c r="F131" i="6"/>
  <c r="D119" i="6"/>
  <c r="F119" i="6"/>
  <c r="D107" i="6"/>
  <c r="F107" i="6"/>
  <c r="D95" i="6"/>
  <c r="F95" i="6"/>
  <c r="D83" i="6"/>
  <c r="F83" i="6"/>
  <c r="D71" i="6"/>
  <c r="F71" i="6"/>
  <c r="D59" i="6"/>
  <c r="F59" i="6"/>
  <c r="D47" i="6"/>
  <c r="F47" i="6"/>
  <c r="D35" i="6"/>
  <c r="F35" i="6"/>
  <c r="F23" i="6"/>
  <c r="E516" i="6"/>
  <c r="E504" i="6"/>
  <c r="E492" i="6"/>
  <c r="E480" i="6"/>
  <c r="E468" i="6"/>
  <c r="E456" i="6"/>
  <c r="E444" i="6"/>
  <c r="E432" i="6"/>
  <c r="E420" i="6"/>
  <c r="E408" i="6"/>
  <c r="E396" i="6"/>
  <c r="E384" i="6"/>
  <c r="E372" i="6"/>
  <c r="E360" i="6"/>
  <c r="E348" i="6"/>
  <c r="E336" i="6"/>
  <c r="E324" i="6"/>
  <c r="E312" i="6"/>
  <c r="E300" i="6"/>
  <c r="E288" i="6"/>
  <c r="E276" i="6"/>
  <c r="E264" i="6"/>
  <c r="E251" i="6"/>
  <c r="E185" i="6"/>
  <c r="E170" i="6"/>
  <c r="E136" i="6"/>
  <c r="E115" i="6"/>
  <c r="E96" i="6"/>
  <c r="E75" i="6"/>
  <c r="E54" i="6"/>
  <c r="E35" i="6"/>
  <c r="D475" i="6"/>
  <c r="F475" i="6"/>
  <c r="D473" i="6"/>
  <c r="F473" i="6"/>
  <c r="D515" i="6"/>
  <c r="F515" i="6"/>
  <c r="D467" i="6"/>
  <c r="F467" i="6"/>
  <c r="D514" i="6"/>
  <c r="F514" i="6"/>
  <c r="D502" i="6"/>
  <c r="F502" i="6"/>
  <c r="D490" i="6"/>
  <c r="F490" i="6"/>
  <c r="D478" i="6"/>
  <c r="F478" i="6"/>
  <c r="D466" i="6"/>
  <c r="F466" i="6"/>
  <c r="D454" i="6"/>
  <c r="F454" i="6"/>
  <c r="D442" i="6"/>
  <c r="F442" i="6"/>
  <c r="D430" i="6"/>
  <c r="F430" i="6"/>
  <c r="D418" i="6"/>
  <c r="F418" i="6"/>
  <c r="D406" i="6"/>
  <c r="F406" i="6"/>
  <c r="D394" i="6"/>
  <c r="F394" i="6"/>
  <c r="D382" i="6"/>
  <c r="F382" i="6"/>
  <c r="D370" i="6"/>
  <c r="F370" i="6"/>
  <c r="D358" i="6"/>
  <c r="F358" i="6"/>
  <c r="D346" i="6"/>
  <c r="F346" i="6"/>
  <c r="D334" i="6"/>
  <c r="F334" i="6"/>
  <c r="D322" i="6"/>
  <c r="F322" i="6"/>
  <c r="D310" i="6"/>
  <c r="F310" i="6"/>
  <c r="D298" i="6"/>
  <c r="F298" i="6"/>
  <c r="D286" i="6"/>
  <c r="F286" i="6"/>
  <c r="D274" i="6"/>
  <c r="F274" i="6"/>
  <c r="D262" i="6"/>
  <c r="F262" i="6"/>
  <c r="D250" i="6"/>
  <c r="F250" i="6"/>
  <c r="D238" i="6"/>
  <c r="F238" i="6"/>
  <c r="D226" i="6"/>
  <c r="F226" i="6"/>
  <c r="D214" i="6"/>
  <c r="F214" i="6"/>
  <c r="D202" i="6"/>
  <c r="F202" i="6"/>
  <c r="D190" i="6"/>
  <c r="F190" i="6"/>
  <c r="D178" i="6"/>
  <c r="F178" i="6"/>
  <c r="E178" i="6"/>
  <c r="D166" i="6"/>
  <c r="F166" i="6"/>
  <c r="E166" i="6"/>
  <c r="D154" i="6"/>
  <c r="F154" i="6"/>
  <c r="E154" i="6"/>
  <c r="D142" i="6"/>
  <c r="F142" i="6"/>
  <c r="E142" i="6"/>
  <c r="D130" i="6"/>
  <c r="F130" i="6"/>
  <c r="E130" i="6"/>
  <c r="D118" i="6"/>
  <c r="F118" i="6"/>
  <c r="E118" i="6"/>
  <c r="D106" i="6"/>
  <c r="F106" i="6"/>
  <c r="E106" i="6"/>
  <c r="D94" i="6"/>
  <c r="F94" i="6"/>
  <c r="E94" i="6"/>
  <c r="D82" i="6"/>
  <c r="F82" i="6"/>
  <c r="E82" i="6"/>
  <c r="D70" i="6"/>
  <c r="F70" i="6"/>
  <c r="E70" i="6"/>
  <c r="D58" i="6"/>
  <c r="F58" i="6"/>
  <c r="E58" i="6"/>
  <c r="D46" i="6"/>
  <c r="F46" i="6"/>
  <c r="E46" i="6"/>
  <c r="D34" i="6"/>
  <c r="F34" i="6"/>
  <c r="E34" i="6"/>
  <c r="F22" i="6"/>
  <c r="E22" i="6"/>
  <c r="E515" i="6"/>
  <c r="E491" i="6"/>
  <c r="E467" i="6"/>
  <c r="E455" i="6"/>
  <c r="E443" i="6"/>
  <c r="E419" i="6"/>
  <c r="E407" i="6"/>
  <c r="E395" i="6"/>
  <c r="E383" i="6"/>
  <c r="E371" i="6"/>
  <c r="E359" i="6"/>
  <c r="E347" i="6"/>
  <c r="E335" i="6"/>
  <c r="E323" i="6"/>
  <c r="E311" i="6"/>
  <c r="E299" i="6"/>
  <c r="E287" i="6"/>
  <c r="E275" i="6"/>
  <c r="E263" i="6"/>
  <c r="E250" i="6"/>
  <c r="E198" i="6"/>
  <c r="E184" i="6"/>
  <c r="E168" i="6"/>
  <c r="E135" i="6"/>
  <c r="E114" i="6"/>
  <c r="E95" i="6"/>
  <c r="E74" i="6"/>
  <c r="E52" i="6"/>
  <c r="E21" i="6"/>
  <c r="F21" i="6"/>
  <c r="D472" i="6"/>
  <c r="F472" i="6"/>
  <c r="D479" i="6"/>
  <c r="F479" i="6"/>
  <c r="D431" i="6"/>
  <c r="F431" i="6"/>
  <c r="D513" i="6"/>
  <c r="F513" i="6"/>
  <c r="D501" i="6"/>
  <c r="F501" i="6"/>
  <c r="D489" i="6"/>
  <c r="F489" i="6"/>
  <c r="D477" i="6"/>
  <c r="F477" i="6"/>
  <c r="D465" i="6"/>
  <c r="F465" i="6"/>
  <c r="D453" i="6"/>
  <c r="D441" i="6"/>
  <c r="F441" i="6"/>
  <c r="D429" i="6"/>
  <c r="F429" i="6"/>
  <c r="D417" i="6"/>
  <c r="F417" i="6"/>
  <c r="D405" i="6"/>
  <c r="F405" i="6"/>
  <c r="D393" i="6"/>
  <c r="F393" i="6"/>
  <c r="D381" i="6"/>
  <c r="F381" i="6"/>
  <c r="D369" i="6"/>
  <c r="F369" i="6"/>
  <c r="D357" i="6"/>
  <c r="F357" i="6"/>
  <c r="D345" i="6"/>
  <c r="F345" i="6"/>
  <c r="D333" i="6"/>
  <c r="F333" i="6"/>
  <c r="D321" i="6"/>
  <c r="F321" i="6"/>
  <c r="D309" i="6"/>
  <c r="D297" i="6"/>
  <c r="F297" i="6"/>
  <c r="D285" i="6"/>
  <c r="F285" i="6"/>
  <c r="D273" i="6"/>
  <c r="F273" i="6"/>
  <c r="D261" i="6"/>
  <c r="F261" i="6"/>
  <c r="D249" i="6"/>
  <c r="F249" i="6"/>
  <c r="D237" i="6"/>
  <c r="F237" i="6"/>
  <c r="D225" i="6"/>
  <c r="F225" i="6"/>
  <c r="D213" i="6"/>
  <c r="F213" i="6"/>
  <c r="D201" i="6"/>
  <c r="F201" i="6"/>
  <c r="D189" i="6"/>
  <c r="F189" i="6"/>
  <c r="D177" i="6"/>
  <c r="F177" i="6"/>
  <c r="D165" i="6"/>
  <c r="D153" i="6"/>
  <c r="F153" i="6"/>
  <c r="D141" i="6"/>
  <c r="F141" i="6"/>
  <c r="D129" i="6"/>
  <c r="E129" i="6"/>
  <c r="F129" i="6"/>
  <c r="D117" i="6"/>
  <c r="F117" i="6"/>
  <c r="E117" i="6"/>
  <c r="D105" i="6"/>
  <c r="F105" i="6"/>
  <c r="E105" i="6"/>
  <c r="D93" i="6"/>
  <c r="F93" i="6"/>
  <c r="E93" i="6"/>
  <c r="D81" i="6"/>
  <c r="F81" i="6"/>
  <c r="E81" i="6"/>
  <c r="D69" i="6"/>
  <c r="F69" i="6"/>
  <c r="E69" i="6"/>
  <c r="D57" i="6"/>
  <c r="F57" i="6"/>
  <c r="E57" i="6"/>
  <c r="D45" i="6"/>
  <c r="F45" i="6"/>
  <c r="E45" i="6"/>
  <c r="D33" i="6"/>
  <c r="F33" i="6"/>
  <c r="E33" i="6"/>
  <c r="E514" i="6"/>
  <c r="E502" i="6"/>
  <c r="E490" i="6"/>
  <c r="E478" i="6"/>
  <c r="E466" i="6"/>
  <c r="E454" i="6"/>
  <c r="E442" i="6"/>
  <c r="E430" i="6"/>
  <c r="E418" i="6"/>
  <c r="E406" i="6"/>
  <c r="E394" i="6"/>
  <c r="E382" i="6"/>
  <c r="E370" i="6"/>
  <c r="E358" i="6"/>
  <c r="E346" i="6"/>
  <c r="E334" i="6"/>
  <c r="E322" i="6"/>
  <c r="E310" i="6"/>
  <c r="E298" i="6"/>
  <c r="E286" i="6"/>
  <c r="E274" i="6"/>
  <c r="E262" i="6"/>
  <c r="E249" i="6"/>
  <c r="E210" i="6"/>
  <c r="E197" i="6"/>
  <c r="E183" i="6"/>
  <c r="E167" i="6"/>
  <c r="E150" i="6"/>
  <c r="E134" i="6"/>
  <c r="E112" i="6"/>
  <c r="E72" i="6"/>
  <c r="E51" i="6"/>
  <c r="E30" i="6"/>
  <c r="D463" i="6"/>
  <c r="F463" i="6"/>
  <c r="D461" i="6"/>
  <c r="F461" i="6"/>
  <c r="D503" i="6"/>
  <c r="F503" i="6"/>
  <c r="D455" i="6"/>
  <c r="F455" i="6"/>
  <c r="D512" i="6"/>
  <c r="F512" i="6"/>
  <c r="D500" i="6"/>
  <c r="F500" i="6"/>
  <c r="D488" i="6"/>
  <c r="F488" i="6"/>
  <c r="D476" i="6"/>
  <c r="F476" i="6"/>
  <c r="D464" i="6"/>
  <c r="F464" i="6"/>
  <c r="D452" i="6"/>
  <c r="D440" i="6"/>
  <c r="F440" i="6"/>
  <c r="D428" i="6"/>
  <c r="F428" i="6"/>
  <c r="D416" i="6"/>
  <c r="F416" i="6"/>
  <c r="D404" i="6"/>
  <c r="F404" i="6"/>
  <c r="D392" i="6"/>
  <c r="F392" i="6"/>
  <c r="D380" i="6"/>
  <c r="F380" i="6"/>
  <c r="D368" i="6"/>
  <c r="F368" i="6"/>
  <c r="D356" i="6"/>
  <c r="F356" i="6"/>
  <c r="D344" i="6"/>
  <c r="F344" i="6"/>
  <c r="D332" i="6"/>
  <c r="F332" i="6"/>
  <c r="D320" i="6"/>
  <c r="F320" i="6"/>
  <c r="D308" i="6"/>
  <c r="D296" i="6"/>
  <c r="F296" i="6"/>
  <c r="D284" i="6"/>
  <c r="F284" i="6"/>
  <c r="D272" i="6"/>
  <c r="F272" i="6"/>
  <c r="D260" i="6"/>
  <c r="F260" i="6"/>
  <c r="D248" i="6"/>
  <c r="F248" i="6"/>
  <c r="D236" i="6"/>
  <c r="F236" i="6"/>
  <c r="D224" i="6"/>
  <c r="F224" i="6"/>
  <c r="D212" i="6"/>
  <c r="F212" i="6"/>
  <c r="D200" i="6"/>
  <c r="F200" i="6"/>
  <c r="D188" i="6"/>
  <c r="F188" i="6"/>
  <c r="E188" i="6"/>
  <c r="D176" i="6"/>
  <c r="F176" i="6"/>
  <c r="E176" i="6"/>
  <c r="D164" i="6"/>
  <c r="E164" i="6"/>
  <c r="D152" i="6"/>
  <c r="F152" i="6"/>
  <c r="E152" i="6"/>
  <c r="D140" i="6"/>
  <c r="F140" i="6"/>
  <c r="E140" i="6"/>
  <c r="D128" i="6"/>
  <c r="F128" i="6"/>
  <c r="E128" i="6"/>
  <c r="D116" i="6"/>
  <c r="F116" i="6"/>
  <c r="E116" i="6"/>
  <c r="D104" i="6"/>
  <c r="F104" i="6"/>
  <c r="E104" i="6"/>
  <c r="D92" i="6"/>
  <c r="F92" i="6"/>
  <c r="E92" i="6"/>
  <c r="D80" i="6"/>
  <c r="F80" i="6"/>
  <c r="E80" i="6"/>
  <c r="D68" i="6"/>
  <c r="F68" i="6"/>
  <c r="E68" i="6"/>
  <c r="D56" i="6"/>
  <c r="F56" i="6"/>
  <c r="E56" i="6"/>
  <c r="D44" i="6"/>
  <c r="F44" i="6"/>
  <c r="E44" i="6"/>
  <c r="F32" i="6"/>
  <c r="E32" i="6"/>
  <c r="E513" i="6"/>
  <c r="E501" i="6"/>
  <c r="E489" i="6"/>
  <c r="E477" i="6"/>
  <c r="E465" i="6"/>
  <c r="E453" i="6"/>
  <c r="E441" i="6"/>
  <c r="E429" i="6"/>
  <c r="E417" i="6"/>
  <c r="E405" i="6"/>
  <c r="E393" i="6"/>
  <c r="E381" i="6"/>
  <c r="E369" i="6"/>
  <c r="E357" i="6"/>
  <c r="E345" i="6"/>
  <c r="E333" i="6"/>
  <c r="E321" i="6"/>
  <c r="E309" i="6"/>
  <c r="E297" i="6"/>
  <c r="E285" i="6"/>
  <c r="E273" i="6"/>
  <c r="E261" i="6"/>
  <c r="E248" i="6"/>
  <c r="E222" i="6"/>
  <c r="E209" i="6"/>
  <c r="E196" i="6"/>
  <c r="E182" i="6"/>
  <c r="E165" i="6"/>
  <c r="E149" i="6"/>
  <c r="E132" i="6"/>
  <c r="E111" i="6"/>
  <c r="E90" i="6"/>
  <c r="E71" i="6"/>
  <c r="E50" i="6"/>
  <c r="E28" i="6"/>
  <c r="F165" i="6"/>
  <c r="D427" i="6"/>
  <c r="F427" i="6"/>
  <c r="D379" i="6"/>
  <c r="F379" i="6"/>
  <c r="D355" i="6"/>
  <c r="F355" i="6"/>
  <c r="D331" i="6"/>
  <c r="F331" i="6"/>
  <c r="D307" i="6"/>
  <c r="F307" i="6"/>
  <c r="D295" i="6"/>
  <c r="F295" i="6"/>
  <c r="D283" i="6"/>
  <c r="F283" i="6"/>
  <c r="D271" i="6"/>
  <c r="F271" i="6"/>
  <c r="D259" i="6"/>
  <c r="F259" i="6"/>
  <c r="D247" i="6"/>
  <c r="F247" i="6"/>
  <c r="D235" i="6"/>
  <c r="F235" i="6"/>
  <c r="D223" i="6"/>
  <c r="F223" i="6"/>
  <c r="D211" i="6"/>
  <c r="F211" i="6"/>
  <c r="D199" i="6"/>
  <c r="F199" i="6"/>
  <c r="D187" i="6"/>
  <c r="F187" i="6"/>
  <c r="D175" i="6"/>
  <c r="F175" i="6"/>
  <c r="D163" i="6"/>
  <c r="F163" i="6"/>
  <c r="D151" i="6"/>
  <c r="F151" i="6"/>
  <c r="D139" i="6"/>
  <c r="F139" i="6"/>
  <c r="D127" i="6"/>
  <c r="F127" i="6"/>
  <c r="D115" i="6"/>
  <c r="F115" i="6"/>
  <c r="D103" i="6"/>
  <c r="F103" i="6"/>
  <c r="D91" i="6"/>
  <c r="F91" i="6"/>
  <c r="D79" i="6"/>
  <c r="F79" i="6"/>
  <c r="D67" i="6"/>
  <c r="F67" i="6"/>
  <c r="D55" i="6"/>
  <c r="F55" i="6"/>
  <c r="D43" i="6"/>
  <c r="F43" i="6"/>
  <c r="F31" i="6"/>
  <c r="E512" i="6"/>
  <c r="E500" i="6"/>
  <c r="E488" i="6"/>
  <c r="E476" i="6"/>
  <c r="E464" i="6"/>
  <c r="E452" i="6"/>
  <c r="E440" i="6"/>
  <c r="E428" i="6"/>
  <c r="E416" i="6"/>
  <c r="E404" i="6"/>
  <c r="E392" i="6"/>
  <c r="E380" i="6"/>
  <c r="E368" i="6"/>
  <c r="E356" i="6"/>
  <c r="E344" i="6"/>
  <c r="E332" i="6"/>
  <c r="E320" i="6"/>
  <c r="E308" i="6"/>
  <c r="E296" i="6"/>
  <c r="E284" i="6"/>
  <c r="E272" i="6"/>
  <c r="E260" i="6"/>
  <c r="E247" i="6"/>
  <c r="E234" i="6"/>
  <c r="E221" i="6"/>
  <c r="E208" i="6"/>
  <c r="E195" i="6"/>
  <c r="E180" i="6"/>
  <c r="E163" i="6"/>
  <c r="E148" i="6"/>
  <c r="E131" i="6"/>
  <c r="E110" i="6"/>
  <c r="E88" i="6"/>
  <c r="E67" i="6"/>
  <c r="E48" i="6"/>
  <c r="E27" i="6"/>
  <c r="F164" i="6"/>
  <c r="S23" i="7" l="1"/>
  <c r="T23" i="7"/>
  <c r="B1008" i="18"/>
  <c r="B1009" i="18" s="1"/>
  <c r="B1010" i="18" s="1"/>
  <c r="B1011" i="18" s="1"/>
  <c r="B1012" i="18" s="1"/>
  <c r="B1013" i="18" s="1"/>
  <c r="B1014" i="18" s="1"/>
  <c r="B1015" i="18" s="1"/>
  <c r="B1016" i="18" s="1"/>
  <c r="B1017" i="18" s="1"/>
  <c r="B1018" i="18" s="1"/>
  <c r="B1019" i="18" s="1"/>
  <c r="B1020" i="18" s="1"/>
  <c r="B1021" i="18" s="1"/>
  <c r="B1022" i="18" s="1"/>
  <c r="B1023" i="18" s="1"/>
  <c r="B1024" i="18" s="1"/>
  <c r="B1025" i="18" s="1"/>
  <c r="B1026" i="18" s="1"/>
  <c r="B1027" i="18" s="1"/>
  <c r="B1028" i="18" s="1"/>
  <c r="B1029" i="18" s="1"/>
  <c r="B1030" i="18" s="1"/>
  <c r="B1031" i="18" s="1"/>
  <c r="B1032" i="18" s="1"/>
  <c r="B1033" i="18" s="1"/>
  <c r="B1034" i="18" s="1"/>
  <c r="B1035" i="18" s="1"/>
  <c r="B1036" i="18" s="1"/>
  <c r="B1037" i="18" s="1"/>
  <c r="B1038" i="18" s="1"/>
  <c r="T1034" i="18"/>
  <c r="T1033" i="18"/>
  <c r="T1032" i="18"/>
  <c r="T1023" i="18"/>
  <c r="T1028" i="18"/>
  <c r="Y1028" i="18" s="1"/>
  <c r="T1030" i="18"/>
  <c r="O1013" i="18"/>
  <c r="N1013" i="18"/>
  <c r="O1011" i="18"/>
  <c r="T1031" i="18"/>
  <c r="N1011" i="18"/>
  <c r="T1026" i="18"/>
  <c r="T1025" i="18"/>
  <c r="T1024" i="18"/>
  <c r="T1027" i="18"/>
  <c r="T1029" i="18"/>
  <c r="T1037" i="18"/>
  <c r="T1036" i="18"/>
  <c r="T1035" i="18"/>
  <c r="G1040" i="18"/>
  <c r="D1071" i="18"/>
  <c r="F30" i="2"/>
  <c r="F31" i="2"/>
  <c r="H33" i="2"/>
  <c r="H34" i="2"/>
  <c r="F33" i="2"/>
  <c r="H26" i="2"/>
  <c r="F35" i="2"/>
  <c r="F26" i="2"/>
  <c r="H31" i="2"/>
  <c r="F32" i="2"/>
  <c r="H35" i="2"/>
  <c r="F34" i="2"/>
  <c r="F29" i="2"/>
  <c r="H27" i="2"/>
  <c r="H28" i="2"/>
  <c r="H30" i="2"/>
  <c r="F27" i="2"/>
  <c r="H29" i="2"/>
  <c r="H32" i="2"/>
  <c r="F28" i="2"/>
  <c r="G59" i="2"/>
  <c r="G60" i="2" s="1"/>
  <c r="G63" i="2"/>
  <c r="G64" i="2" s="1"/>
  <c r="G70" i="2"/>
  <c r="I13" i="2"/>
  <c r="M16" i="11"/>
  <c r="O16" i="11" s="1"/>
  <c r="M17" i="11"/>
  <c r="O17" i="11" s="1"/>
  <c r="M15" i="11"/>
  <c r="G12" i="18" s="1"/>
  <c r="M18" i="11"/>
  <c r="O18" i="11" s="1"/>
  <c r="M19" i="11"/>
  <c r="O19" i="11" s="1"/>
  <c r="M20" i="11"/>
  <c r="O20" i="11" s="1"/>
  <c r="M21" i="11"/>
  <c r="O21" i="11" s="1"/>
  <c r="M22" i="11"/>
  <c r="O22" i="11" s="1"/>
  <c r="M23" i="11"/>
  <c r="O23" i="11" s="1"/>
  <c r="M24" i="11"/>
  <c r="O24" i="11" s="1"/>
  <c r="M25" i="11"/>
  <c r="O25" i="11" s="1"/>
  <c r="M26" i="11"/>
  <c r="O26" i="11" s="1"/>
  <c r="M27" i="11"/>
  <c r="O27" i="11" s="1"/>
  <c r="M28" i="11"/>
  <c r="O28" i="11" s="1"/>
  <c r="M29" i="11"/>
  <c r="O29" i="11" s="1"/>
  <c r="M30" i="11"/>
  <c r="O30" i="11" s="1"/>
  <c r="M31" i="11"/>
  <c r="O31" i="11" s="1"/>
  <c r="M32" i="11"/>
  <c r="O32" i="11" s="1"/>
  <c r="M33" i="11"/>
  <c r="O33" i="11" s="1"/>
  <c r="M34" i="11"/>
  <c r="O34" i="11" s="1"/>
  <c r="M35" i="11"/>
  <c r="O35" i="11" s="1"/>
  <c r="M36" i="11"/>
  <c r="O36" i="11" s="1"/>
  <c r="M37" i="11"/>
  <c r="O37" i="11" s="1"/>
  <c r="M38" i="11"/>
  <c r="O38" i="11" s="1"/>
  <c r="M39" i="11"/>
  <c r="O39" i="11" s="1"/>
  <c r="M40" i="11"/>
  <c r="O40" i="11" s="1"/>
  <c r="M41" i="11"/>
  <c r="O41" i="11" s="1"/>
  <c r="M42" i="11"/>
  <c r="O42" i="11" s="1"/>
  <c r="M43" i="11"/>
  <c r="O43" i="11" s="1"/>
  <c r="M44" i="11"/>
  <c r="O44" i="11" s="1"/>
  <c r="M45" i="11"/>
  <c r="O45" i="11" s="1"/>
  <c r="M46" i="11"/>
  <c r="O46" i="11" s="1"/>
  <c r="M47" i="11"/>
  <c r="O47" i="11" s="1"/>
  <c r="M48" i="11"/>
  <c r="O48" i="11" s="1"/>
  <c r="M49" i="11"/>
  <c r="O49" i="11" s="1"/>
  <c r="M50" i="11"/>
  <c r="O50" i="11" s="1"/>
  <c r="M51" i="11"/>
  <c r="O51" i="11" s="1"/>
  <c r="M52" i="11"/>
  <c r="O52" i="11" s="1"/>
  <c r="M53" i="11"/>
  <c r="O53" i="11" s="1"/>
  <c r="M54" i="11"/>
  <c r="O54" i="11" s="1"/>
  <c r="M55" i="11"/>
  <c r="O55" i="11" s="1"/>
  <c r="M56" i="11"/>
  <c r="O56" i="11" s="1"/>
  <c r="M57" i="11"/>
  <c r="O57" i="11" s="1"/>
  <c r="M58" i="11"/>
  <c r="O58" i="11" s="1"/>
  <c r="M59" i="11"/>
  <c r="O59" i="11" s="1"/>
  <c r="M60" i="11"/>
  <c r="O60" i="11" s="1"/>
  <c r="M61" i="11"/>
  <c r="O61" i="11" s="1"/>
  <c r="M62" i="11"/>
  <c r="O62" i="11" s="1"/>
  <c r="M63" i="11"/>
  <c r="O63" i="11" s="1"/>
  <c r="M64" i="11"/>
  <c r="O64" i="11" s="1"/>
  <c r="M65" i="11"/>
  <c r="O65" i="11" s="1"/>
  <c r="M66" i="11"/>
  <c r="O66" i="11" s="1"/>
  <c r="M67" i="11"/>
  <c r="O67" i="11" s="1"/>
  <c r="M68" i="11"/>
  <c r="O68" i="11" s="1"/>
  <c r="M69" i="11"/>
  <c r="O69" i="11" s="1"/>
  <c r="M70" i="11"/>
  <c r="O70" i="11" s="1"/>
  <c r="M71" i="11"/>
  <c r="O71" i="11" s="1"/>
  <c r="M72" i="11"/>
  <c r="O72" i="11" s="1"/>
  <c r="M73" i="11"/>
  <c r="O73" i="11" s="1"/>
  <c r="M74" i="11"/>
  <c r="O74" i="11" s="1"/>
  <c r="M75" i="11"/>
  <c r="O75" i="11" s="1"/>
  <c r="M76" i="11"/>
  <c r="O76" i="11" s="1"/>
  <c r="M77" i="11"/>
  <c r="O77" i="11" s="1"/>
  <c r="M78" i="11"/>
  <c r="O78" i="11" s="1"/>
  <c r="M79" i="11"/>
  <c r="O79" i="11" s="1"/>
  <c r="M80" i="11"/>
  <c r="O80" i="11" s="1"/>
  <c r="M81" i="11"/>
  <c r="O81" i="11" s="1"/>
  <c r="M82" i="11"/>
  <c r="O82" i="11" s="1"/>
  <c r="M83" i="11"/>
  <c r="O83" i="11" s="1"/>
  <c r="M84" i="11"/>
  <c r="O84" i="11" s="1"/>
  <c r="M85" i="11"/>
  <c r="O85" i="11" s="1"/>
  <c r="M86" i="11"/>
  <c r="O86" i="11" s="1"/>
  <c r="M87" i="11"/>
  <c r="O87" i="11" s="1"/>
  <c r="M88" i="11"/>
  <c r="O88" i="11" s="1"/>
  <c r="M89" i="11"/>
  <c r="O89" i="11" s="1"/>
  <c r="M90" i="11"/>
  <c r="O90" i="11" s="1"/>
  <c r="M91" i="11"/>
  <c r="O91" i="11" s="1"/>
  <c r="M92" i="11"/>
  <c r="O92" i="11" s="1"/>
  <c r="M93" i="11"/>
  <c r="O93" i="11" s="1"/>
  <c r="M94" i="11"/>
  <c r="O94" i="11" s="1"/>
  <c r="M95" i="11"/>
  <c r="O95" i="11" s="1"/>
  <c r="M96" i="11"/>
  <c r="O96" i="11" s="1"/>
  <c r="M97" i="11"/>
  <c r="O97" i="11" s="1"/>
  <c r="M98" i="11"/>
  <c r="O98" i="11" s="1"/>
  <c r="M99" i="11"/>
  <c r="O99" i="11" s="1"/>
  <c r="M100" i="11"/>
  <c r="O100" i="11" s="1"/>
  <c r="M101" i="11"/>
  <c r="O101" i="11" s="1"/>
  <c r="M102" i="11"/>
  <c r="O102" i="11" s="1"/>
  <c r="M103" i="11"/>
  <c r="O103" i="11" s="1"/>
  <c r="M104" i="11"/>
  <c r="O104" i="11" s="1"/>
  <c r="M105" i="11"/>
  <c r="O105" i="11" s="1"/>
  <c r="M106" i="11"/>
  <c r="O106" i="11" s="1"/>
  <c r="M107" i="11"/>
  <c r="O107" i="11" s="1"/>
  <c r="M108" i="11"/>
  <c r="O108" i="11" s="1"/>
  <c r="M109" i="11"/>
  <c r="O109" i="11" s="1"/>
  <c r="M110" i="11"/>
  <c r="O110" i="11" s="1"/>
  <c r="M111" i="11"/>
  <c r="O111" i="11" s="1"/>
  <c r="M112" i="11"/>
  <c r="O112" i="11" s="1"/>
  <c r="M113" i="11"/>
  <c r="O113" i="11" s="1"/>
  <c r="M114" i="11"/>
  <c r="O114" i="11" s="1"/>
  <c r="M115" i="11"/>
  <c r="O115" i="11" s="1"/>
  <c r="M116" i="11"/>
  <c r="O116" i="11" s="1"/>
  <c r="M117" i="11"/>
  <c r="O117" i="11" s="1"/>
  <c r="M118" i="11"/>
  <c r="O118" i="11" s="1"/>
  <c r="M119" i="11"/>
  <c r="O119" i="11" s="1"/>
  <c r="M120" i="11"/>
  <c r="O120" i="11" s="1"/>
  <c r="M121" i="11"/>
  <c r="O121" i="11" s="1"/>
  <c r="M122" i="11"/>
  <c r="O122" i="11" s="1"/>
  <c r="M123" i="11"/>
  <c r="O123" i="11" s="1"/>
  <c r="M124" i="11"/>
  <c r="O124" i="11" s="1"/>
  <c r="M125" i="11"/>
  <c r="O125" i="11" s="1"/>
  <c r="M126" i="11"/>
  <c r="O126" i="11" s="1"/>
  <c r="M127" i="11"/>
  <c r="O127" i="11" s="1"/>
  <c r="M128" i="11"/>
  <c r="O128" i="11" s="1"/>
  <c r="M129" i="11"/>
  <c r="O129" i="11" s="1"/>
  <c r="M130" i="11"/>
  <c r="O130" i="11" s="1"/>
  <c r="M131" i="11"/>
  <c r="O131" i="11" s="1"/>
  <c r="M132" i="11"/>
  <c r="O132" i="11" s="1"/>
  <c r="M133" i="11"/>
  <c r="O133" i="11" s="1"/>
  <c r="M134" i="11"/>
  <c r="O134" i="11" s="1"/>
  <c r="M135" i="11"/>
  <c r="O135" i="11" s="1"/>
  <c r="M136" i="11"/>
  <c r="O136" i="11" s="1"/>
  <c r="M137" i="11"/>
  <c r="O137" i="11" s="1"/>
  <c r="M138" i="11"/>
  <c r="O138" i="11" s="1"/>
  <c r="M139" i="11"/>
  <c r="O139" i="11" s="1"/>
  <c r="M140" i="11"/>
  <c r="O140" i="11" s="1"/>
  <c r="M141" i="11"/>
  <c r="O141" i="11" s="1"/>
  <c r="M142" i="11"/>
  <c r="O142" i="11" s="1"/>
  <c r="M143" i="11"/>
  <c r="O143" i="11" s="1"/>
  <c r="M144" i="11"/>
  <c r="O144" i="11" s="1"/>
  <c r="M145" i="11"/>
  <c r="O145" i="11" s="1"/>
  <c r="M146" i="11"/>
  <c r="O146" i="11" s="1"/>
  <c r="M147" i="11"/>
  <c r="O147" i="11" s="1"/>
  <c r="M148" i="11"/>
  <c r="O148" i="11" s="1"/>
  <c r="M149" i="11"/>
  <c r="O149" i="11" s="1"/>
  <c r="M150" i="11"/>
  <c r="O150" i="11" s="1"/>
  <c r="M151" i="11"/>
  <c r="O151" i="11" s="1"/>
  <c r="M152" i="11"/>
  <c r="O152" i="11" s="1"/>
  <c r="M153" i="11"/>
  <c r="O153" i="11" s="1"/>
  <c r="M154" i="11"/>
  <c r="O154" i="11" s="1"/>
  <c r="M155" i="11"/>
  <c r="O155" i="11" s="1"/>
  <c r="M156" i="11"/>
  <c r="O156" i="11" s="1"/>
  <c r="M157" i="11"/>
  <c r="O157" i="11" s="1"/>
  <c r="M158" i="11"/>
  <c r="O158" i="11" s="1"/>
  <c r="M159" i="11"/>
  <c r="O159" i="11" s="1"/>
  <c r="M160" i="11"/>
  <c r="O160" i="11" s="1"/>
  <c r="M161" i="11"/>
  <c r="O161" i="11" s="1"/>
  <c r="M162" i="11"/>
  <c r="O162" i="11" s="1"/>
  <c r="M163" i="11"/>
  <c r="O163" i="11" s="1"/>
  <c r="M164" i="11"/>
  <c r="O164" i="11" s="1"/>
  <c r="M165" i="11"/>
  <c r="O165" i="11" s="1"/>
  <c r="M166" i="11"/>
  <c r="O166" i="11" s="1"/>
  <c r="M167" i="11"/>
  <c r="O167" i="11" s="1"/>
  <c r="M168" i="11"/>
  <c r="O168" i="11" s="1"/>
  <c r="M169" i="11"/>
  <c r="O169" i="11" s="1"/>
  <c r="M170" i="11"/>
  <c r="O170" i="11" s="1"/>
  <c r="M171" i="11"/>
  <c r="O171" i="11" s="1"/>
  <c r="M172" i="11"/>
  <c r="O172" i="11" s="1"/>
  <c r="M173" i="11"/>
  <c r="O173" i="11" s="1"/>
  <c r="M174" i="11"/>
  <c r="O174" i="11" s="1"/>
  <c r="M175" i="11"/>
  <c r="O175" i="11" s="1"/>
  <c r="M176" i="11"/>
  <c r="O176" i="11" s="1"/>
  <c r="M177" i="11"/>
  <c r="O177" i="11" s="1"/>
  <c r="M178" i="11"/>
  <c r="O178" i="11" s="1"/>
  <c r="M179" i="11"/>
  <c r="O179" i="11" s="1"/>
  <c r="M180" i="11"/>
  <c r="O180" i="11" s="1"/>
  <c r="M181" i="11"/>
  <c r="O181" i="11" s="1"/>
  <c r="M182" i="11"/>
  <c r="O182" i="11" s="1"/>
  <c r="M183" i="11"/>
  <c r="O183" i="11" s="1"/>
  <c r="M184" i="11"/>
  <c r="O184" i="11" s="1"/>
  <c r="M185" i="11"/>
  <c r="O185" i="11" s="1"/>
  <c r="M186" i="11"/>
  <c r="O186" i="11" s="1"/>
  <c r="M187" i="11"/>
  <c r="O187" i="11" s="1"/>
  <c r="M188" i="11"/>
  <c r="O188" i="11" s="1"/>
  <c r="M189" i="11"/>
  <c r="O189" i="11" s="1"/>
  <c r="M190" i="11"/>
  <c r="O190" i="11" s="1"/>
  <c r="M191" i="11"/>
  <c r="O191" i="11" s="1"/>
  <c r="M192" i="11"/>
  <c r="O192" i="11" s="1"/>
  <c r="M193" i="11"/>
  <c r="O193" i="11" s="1"/>
  <c r="M194" i="11"/>
  <c r="O194" i="11" s="1"/>
  <c r="M195" i="11"/>
  <c r="O195" i="11" s="1"/>
  <c r="M196" i="11"/>
  <c r="O196" i="11" s="1"/>
  <c r="M197" i="11"/>
  <c r="O197" i="11" s="1"/>
  <c r="M198" i="11"/>
  <c r="O198" i="11" s="1"/>
  <c r="M199" i="11"/>
  <c r="O199" i="11" s="1"/>
  <c r="M200" i="11"/>
  <c r="O200" i="11" s="1"/>
  <c r="M201" i="11"/>
  <c r="O201" i="11" s="1"/>
  <c r="M202" i="11"/>
  <c r="O202" i="11" s="1"/>
  <c r="M203" i="11"/>
  <c r="O203" i="11" s="1"/>
  <c r="M204" i="11"/>
  <c r="O204" i="11" s="1"/>
  <c r="M205" i="11"/>
  <c r="O205" i="11" s="1"/>
  <c r="M206" i="11"/>
  <c r="O206" i="11" s="1"/>
  <c r="M207" i="11"/>
  <c r="O207" i="11" s="1"/>
  <c r="M208" i="11"/>
  <c r="O208" i="11" s="1"/>
  <c r="M209" i="11"/>
  <c r="O209" i="11" s="1"/>
  <c r="M210" i="11"/>
  <c r="O210" i="11" s="1"/>
  <c r="M211" i="11"/>
  <c r="O211" i="11" s="1"/>
  <c r="M212" i="11"/>
  <c r="O212" i="11" s="1"/>
  <c r="M213" i="11"/>
  <c r="O213" i="11" s="1"/>
  <c r="M214" i="11"/>
  <c r="O214" i="11" s="1"/>
  <c r="M215" i="11"/>
  <c r="O215" i="11" s="1"/>
  <c r="M216" i="11"/>
  <c r="O216" i="11" s="1"/>
  <c r="M217" i="11"/>
  <c r="O217" i="11" s="1"/>
  <c r="M218" i="11"/>
  <c r="O218" i="11" s="1"/>
  <c r="M219" i="11"/>
  <c r="O219" i="11" s="1"/>
  <c r="M220" i="11"/>
  <c r="O220" i="11" s="1"/>
  <c r="M221" i="11"/>
  <c r="O221" i="11" s="1"/>
  <c r="M222" i="11"/>
  <c r="O222" i="11" s="1"/>
  <c r="M223" i="11"/>
  <c r="O223" i="11" s="1"/>
  <c r="M224" i="11"/>
  <c r="O224" i="11" s="1"/>
  <c r="M225" i="11"/>
  <c r="O225" i="11" s="1"/>
  <c r="M226" i="11"/>
  <c r="O226" i="11" s="1"/>
  <c r="M227" i="11"/>
  <c r="O227" i="11" s="1"/>
  <c r="M228" i="11"/>
  <c r="O228" i="11" s="1"/>
  <c r="M229" i="11"/>
  <c r="O229" i="11" s="1"/>
  <c r="M230" i="11"/>
  <c r="O230" i="11" s="1"/>
  <c r="M231" i="11"/>
  <c r="O231" i="11" s="1"/>
  <c r="M232" i="11"/>
  <c r="O232" i="11" s="1"/>
  <c r="M233" i="11"/>
  <c r="O233" i="11" s="1"/>
  <c r="M234" i="11"/>
  <c r="O234" i="11" s="1"/>
  <c r="M235" i="11"/>
  <c r="O235" i="11" s="1"/>
  <c r="M236" i="11"/>
  <c r="O236" i="11" s="1"/>
  <c r="M237" i="11"/>
  <c r="O237" i="11" s="1"/>
  <c r="M238" i="11"/>
  <c r="O238" i="11" s="1"/>
  <c r="M239" i="11"/>
  <c r="O239" i="11" s="1"/>
  <c r="M240" i="11"/>
  <c r="O240" i="11" s="1"/>
  <c r="M241" i="11"/>
  <c r="O241" i="11" s="1"/>
  <c r="M242" i="11"/>
  <c r="O242" i="11" s="1"/>
  <c r="M243" i="11"/>
  <c r="O243" i="11" s="1"/>
  <c r="M244" i="11"/>
  <c r="O244" i="11" s="1"/>
  <c r="M245" i="11"/>
  <c r="O245" i="11" s="1"/>
  <c r="M246" i="11"/>
  <c r="O246" i="11" s="1"/>
  <c r="M247" i="11"/>
  <c r="O247" i="11" s="1"/>
  <c r="M248" i="11"/>
  <c r="O248" i="11" s="1"/>
  <c r="M249" i="11"/>
  <c r="O249" i="11" s="1"/>
  <c r="M250" i="11"/>
  <c r="O250" i="11" s="1"/>
  <c r="M251" i="11"/>
  <c r="O251" i="11" s="1"/>
  <c r="M252" i="11"/>
  <c r="O252" i="11" s="1"/>
  <c r="M253" i="11"/>
  <c r="O253" i="11" s="1"/>
  <c r="M254" i="11"/>
  <c r="O254" i="11" s="1"/>
  <c r="M255" i="11"/>
  <c r="O255" i="11" s="1"/>
  <c r="M256" i="11"/>
  <c r="O256" i="11" s="1"/>
  <c r="M257" i="11"/>
  <c r="O257" i="11" s="1"/>
  <c r="M258" i="11"/>
  <c r="O258" i="11" s="1"/>
  <c r="M259" i="11"/>
  <c r="O259" i="11" s="1"/>
  <c r="M260" i="11"/>
  <c r="O260" i="11" s="1"/>
  <c r="M261" i="11"/>
  <c r="O261" i="11" s="1"/>
  <c r="M262" i="11"/>
  <c r="O262" i="11" s="1"/>
  <c r="M263" i="11"/>
  <c r="O263" i="11" s="1"/>
  <c r="M264" i="11"/>
  <c r="O264" i="11" s="1"/>
  <c r="M265" i="11"/>
  <c r="O265" i="11" s="1"/>
  <c r="M266" i="11"/>
  <c r="O266" i="11" s="1"/>
  <c r="M267" i="11"/>
  <c r="O267" i="11" s="1"/>
  <c r="M268" i="11"/>
  <c r="O268" i="11" s="1"/>
  <c r="M269" i="11"/>
  <c r="O269" i="11" s="1"/>
  <c r="M270" i="11"/>
  <c r="O270" i="11" s="1"/>
  <c r="M271" i="11"/>
  <c r="O271" i="11" s="1"/>
  <c r="M272" i="11"/>
  <c r="O272" i="11" s="1"/>
  <c r="M273" i="11"/>
  <c r="O273" i="11" s="1"/>
  <c r="M274" i="11"/>
  <c r="O274" i="11" s="1"/>
  <c r="M275" i="11"/>
  <c r="O275" i="11" s="1"/>
  <c r="M276" i="11"/>
  <c r="O276" i="11" s="1"/>
  <c r="M277" i="11"/>
  <c r="O277" i="11" s="1"/>
  <c r="M278" i="11"/>
  <c r="O278" i="11" s="1"/>
  <c r="M279" i="11"/>
  <c r="O279" i="11" s="1"/>
  <c r="M280" i="11"/>
  <c r="O280" i="11" s="1"/>
  <c r="M281" i="11"/>
  <c r="O281" i="11" s="1"/>
  <c r="M282" i="11"/>
  <c r="O282" i="11" s="1"/>
  <c r="M283" i="11"/>
  <c r="O283" i="11" s="1"/>
  <c r="M284" i="11"/>
  <c r="O284" i="11" s="1"/>
  <c r="M285" i="11"/>
  <c r="O285" i="11" s="1"/>
  <c r="M286" i="11"/>
  <c r="O286" i="11" s="1"/>
  <c r="M287" i="11"/>
  <c r="O287" i="11" s="1"/>
  <c r="M288" i="11"/>
  <c r="O288" i="11" s="1"/>
  <c r="M289" i="11"/>
  <c r="O289" i="11" s="1"/>
  <c r="M290" i="11"/>
  <c r="O290" i="11" s="1"/>
  <c r="M291" i="11"/>
  <c r="O291" i="11" s="1"/>
  <c r="M292" i="11"/>
  <c r="O292" i="11" s="1"/>
  <c r="M293" i="11"/>
  <c r="O293" i="11" s="1"/>
  <c r="M294" i="11"/>
  <c r="O294" i="11" s="1"/>
  <c r="M295" i="11"/>
  <c r="O295" i="11" s="1"/>
  <c r="M296" i="11"/>
  <c r="O296" i="11" s="1"/>
  <c r="M297" i="11"/>
  <c r="O297" i="11" s="1"/>
  <c r="M298" i="11"/>
  <c r="O298" i="11" s="1"/>
  <c r="M299" i="11"/>
  <c r="O299" i="11" s="1"/>
  <c r="M300" i="11"/>
  <c r="O300" i="11" s="1"/>
  <c r="M301" i="11"/>
  <c r="O301" i="11" s="1"/>
  <c r="M302" i="11"/>
  <c r="O302" i="11" s="1"/>
  <c r="M303" i="11"/>
  <c r="O303" i="11" s="1"/>
  <c r="M304" i="11"/>
  <c r="O304" i="11" s="1"/>
  <c r="M305" i="11"/>
  <c r="O305" i="11" s="1"/>
  <c r="M306" i="11"/>
  <c r="O306" i="11" s="1"/>
  <c r="M307" i="11"/>
  <c r="O307" i="11" s="1"/>
  <c r="M308" i="11"/>
  <c r="O308" i="11" s="1"/>
  <c r="M309" i="11"/>
  <c r="O309" i="11" s="1"/>
  <c r="M310" i="11"/>
  <c r="O310" i="11" s="1"/>
  <c r="M311" i="11"/>
  <c r="O311" i="11" s="1"/>
  <c r="M312" i="11"/>
  <c r="O312" i="11" s="1"/>
  <c r="M313" i="11"/>
  <c r="O313" i="11" s="1"/>
  <c r="M314" i="11"/>
  <c r="O314" i="11" s="1"/>
  <c r="M315" i="11"/>
  <c r="O315" i="11" s="1"/>
  <c r="M316" i="11"/>
  <c r="O316" i="11" s="1"/>
  <c r="M317" i="11"/>
  <c r="O317" i="11" s="1"/>
  <c r="M318" i="11"/>
  <c r="O318" i="11" s="1"/>
  <c r="M319" i="11"/>
  <c r="O319" i="11" s="1"/>
  <c r="M320" i="11"/>
  <c r="O320" i="11" s="1"/>
  <c r="M321" i="11"/>
  <c r="O321" i="11" s="1"/>
  <c r="M322" i="11"/>
  <c r="O322" i="11" s="1"/>
  <c r="M323" i="11"/>
  <c r="O323" i="11" s="1"/>
  <c r="M324" i="11"/>
  <c r="O324" i="11" s="1"/>
  <c r="M325" i="11"/>
  <c r="O325" i="11" s="1"/>
  <c r="M326" i="11"/>
  <c r="O326" i="11" s="1"/>
  <c r="M327" i="11"/>
  <c r="O327" i="11" s="1"/>
  <c r="M328" i="11"/>
  <c r="O328" i="11" s="1"/>
  <c r="M329" i="11"/>
  <c r="O329" i="11" s="1"/>
  <c r="M330" i="11"/>
  <c r="O330" i="11" s="1"/>
  <c r="M331" i="11"/>
  <c r="O331" i="11" s="1"/>
  <c r="M332" i="11"/>
  <c r="O332" i="11" s="1"/>
  <c r="M333" i="11"/>
  <c r="O333" i="11" s="1"/>
  <c r="M334" i="11"/>
  <c r="O334" i="11" s="1"/>
  <c r="M335" i="11"/>
  <c r="O335" i="11" s="1"/>
  <c r="M336" i="11"/>
  <c r="O336" i="11" s="1"/>
  <c r="M337" i="11"/>
  <c r="O337" i="11" s="1"/>
  <c r="M338" i="11"/>
  <c r="O338" i="11" s="1"/>
  <c r="M339" i="11"/>
  <c r="O339" i="11" s="1"/>
  <c r="M340" i="11"/>
  <c r="O340" i="11" s="1"/>
  <c r="M341" i="11"/>
  <c r="O341" i="11" s="1"/>
  <c r="M342" i="11"/>
  <c r="O342" i="11" s="1"/>
  <c r="M343" i="11"/>
  <c r="O343" i="11" s="1"/>
  <c r="M344" i="11"/>
  <c r="O344" i="11" s="1"/>
  <c r="M345" i="11"/>
  <c r="O345" i="11" s="1"/>
  <c r="M346" i="11"/>
  <c r="O346" i="11" s="1"/>
  <c r="M347" i="11"/>
  <c r="O347" i="11" s="1"/>
  <c r="M348" i="11"/>
  <c r="O348" i="11" s="1"/>
  <c r="M349" i="11"/>
  <c r="O349" i="11" s="1"/>
  <c r="M350" i="11"/>
  <c r="O350" i="11" s="1"/>
  <c r="M351" i="11"/>
  <c r="O351" i="11" s="1"/>
  <c r="M352" i="11"/>
  <c r="O352" i="11" s="1"/>
  <c r="M353" i="11"/>
  <c r="O353" i="11" s="1"/>
  <c r="M354" i="11"/>
  <c r="O354" i="11" s="1"/>
  <c r="M355" i="11"/>
  <c r="O355" i="11" s="1"/>
  <c r="M356" i="11"/>
  <c r="O356" i="11" s="1"/>
  <c r="M357" i="11"/>
  <c r="O357" i="11" s="1"/>
  <c r="M358" i="11"/>
  <c r="O358" i="11" s="1"/>
  <c r="M359" i="11"/>
  <c r="O359" i="11" s="1"/>
  <c r="M360" i="11"/>
  <c r="O360" i="11" s="1"/>
  <c r="M361" i="11"/>
  <c r="O361" i="11" s="1"/>
  <c r="M362" i="11"/>
  <c r="O362" i="11" s="1"/>
  <c r="M363" i="11"/>
  <c r="O363" i="11" s="1"/>
  <c r="M364" i="11"/>
  <c r="O364" i="11" s="1"/>
  <c r="M365" i="11"/>
  <c r="O365" i="11" s="1"/>
  <c r="M366" i="11"/>
  <c r="O366" i="11" s="1"/>
  <c r="M367" i="11"/>
  <c r="O367" i="11" s="1"/>
  <c r="M368" i="11"/>
  <c r="O368" i="11" s="1"/>
  <c r="M369" i="11"/>
  <c r="O369" i="11" s="1"/>
  <c r="M370" i="11"/>
  <c r="O370" i="11" s="1"/>
  <c r="M371" i="11"/>
  <c r="O371" i="11" s="1"/>
  <c r="M372" i="11"/>
  <c r="O372" i="11" s="1"/>
  <c r="M373" i="11"/>
  <c r="O373" i="11" s="1"/>
  <c r="M374" i="11"/>
  <c r="O374" i="11" s="1"/>
  <c r="M375" i="11"/>
  <c r="O375" i="11" s="1"/>
  <c r="M376" i="11"/>
  <c r="O376" i="11" s="1"/>
  <c r="M377" i="11"/>
  <c r="O377" i="11" s="1"/>
  <c r="M378" i="11"/>
  <c r="O378" i="11" s="1"/>
  <c r="M379" i="11"/>
  <c r="O379" i="11" s="1"/>
  <c r="M380" i="11"/>
  <c r="O380" i="11" s="1"/>
  <c r="M381" i="11"/>
  <c r="O381" i="11" s="1"/>
  <c r="M382" i="11"/>
  <c r="O382" i="11" s="1"/>
  <c r="M383" i="11"/>
  <c r="O383" i="11" s="1"/>
  <c r="M384" i="11"/>
  <c r="O384" i="11" s="1"/>
  <c r="M385" i="11"/>
  <c r="O385" i="11" s="1"/>
  <c r="M386" i="11"/>
  <c r="O386" i="11" s="1"/>
  <c r="M387" i="11"/>
  <c r="O387" i="11" s="1"/>
  <c r="M388" i="11"/>
  <c r="O388" i="11" s="1"/>
  <c r="M389" i="11"/>
  <c r="O389" i="11" s="1"/>
  <c r="M390" i="11"/>
  <c r="O390" i="11" s="1"/>
  <c r="M391" i="11"/>
  <c r="O391" i="11" s="1"/>
  <c r="M392" i="11"/>
  <c r="O392" i="11" s="1"/>
  <c r="M393" i="11"/>
  <c r="O393" i="11" s="1"/>
  <c r="M394" i="11"/>
  <c r="O394" i="11" s="1"/>
  <c r="M395" i="11"/>
  <c r="O395" i="11" s="1"/>
  <c r="M396" i="11"/>
  <c r="O396" i="11" s="1"/>
  <c r="M397" i="11"/>
  <c r="O397" i="11" s="1"/>
  <c r="M398" i="11"/>
  <c r="O398" i="11" s="1"/>
  <c r="M399" i="11"/>
  <c r="O399" i="11" s="1"/>
  <c r="M400" i="11"/>
  <c r="O400" i="11" s="1"/>
  <c r="M401" i="11"/>
  <c r="O401" i="11" s="1"/>
  <c r="M402" i="11"/>
  <c r="O402" i="11" s="1"/>
  <c r="M403" i="11"/>
  <c r="O403" i="11" s="1"/>
  <c r="M404" i="11"/>
  <c r="O404" i="11" s="1"/>
  <c r="M405" i="11"/>
  <c r="O405" i="11" s="1"/>
  <c r="M406" i="11"/>
  <c r="O406" i="11" s="1"/>
  <c r="M407" i="11"/>
  <c r="O407" i="11" s="1"/>
  <c r="M408" i="11"/>
  <c r="O408" i="11" s="1"/>
  <c r="M409" i="11"/>
  <c r="O409" i="11" s="1"/>
  <c r="M410" i="11"/>
  <c r="O410" i="11" s="1"/>
  <c r="M411" i="11"/>
  <c r="O411" i="11" s="1"/>
  <c r="M412" i="11"/>
  <c r="O412" i="11" s="1"/>
  <c r="M413" i="11"/>
  <c r="O413" i="11" s="1"/>
  <c r="M414" i="11"/>
  <c r="O414" i="11" s="1"/>
  <c r="M415" i="11"/>
  <c r="O415" i="11" s="1"/>
  <c r="M416" i="11"/>
  <c r="O416" i="11" s="1"/>
  <c r="M417" i="11"/>
  <c r="O417" i="11" s="1"/>
  <c r="M418" i="11"/>
  <c r="O418" i="11" s="1"/>
  <c r="M419" i="11"/>
  <c r="O419" i="11" s="1"/>
  <c r="M420" i="11"/>
  <c r="O420" i="11" s="1"/>
  <c r="M421" i="11"/>
  <c r="O421" i="11" s="1"/>
  <c r="M422" i="11"/>
  <c r="O422" i="11" s="1"/>
  <c r="M423" i="11"/>
  <c r="O423" i="11" s="1"/>
  <c r="M424" i="11"/>
  <c r="O424" i="11" s="1"/>
  <c r="M425" i="11"/>
  <c r="O425" i="11" s="1"/>
  <c r="M426" i="11"/>
  <c r="O426" i="11" s="1"/>
  <c r="M427" i="11"/>
  <c r="O427" i="11" s="1"/>
  <c r="M428" i="11"/>
  <c r="O428" i="11" s="1"/>
  <c r="M429" i="11"/>
  <c r="O429" i="11" s="1"/>
  <c r="M430" i="11"/>
  <c r="O430" i="11" s="1"/>
  <c r="M431" i="11"/>
  <c r="O431" i="11" s="1"/>
  <c r="M432" i="11"/>
  <c r="O432" i="11" s="1"/>
  <c r="M433" i="11"/>
  <c r="O433" i="11" s="1"/>
  <c r="M434" i="11"/>
  <c r="O434" i="11" s="1"/>
  <c r="M435" i="11"/>
  <c r="O435" i="11" s="1"/>
  <c r="M436" i="11"/>
  <c r="O436" i="11" s="1"/>
  <c r="M437" i="11"/>
  <c r="O437" i="11" s="1"/>
  <c r="M438" i="11"/>
  <c r="O438" i="11" s="1"/>
  <c r="M439" i="11"/>
  <c r="O439" i="11" s="1"/>
  <c r="M440" i="11"/>
  <c r="O440" i="11" s="1"/>
  <c r="M441" i="11"/>
  <c r="O441" i="11" s="1"/>
  <c r="M442" i="11"/>
  <c r="O442" i="11" s="1"/>
  <c r="M443" i="11"/>
  <c r="O443" i="11" s="1"/>
  <c r="M444" i="11"/>
  <c r="O444" i="11" s="1"/>
  <c r="M445" i="11"/>
  <c r="O445" i="11" s="1"/>
  <c r="M446" i="11"/>
  <c r="O446" i="11" s="1"/>
  <c r="M447" i="11"/>
  <c r="O447" i="11" s="1"/>
  <c r="M448" i="11"/>
  <c r="O448" i="11" s="1"/>
  <c r="M449" i="11"/>
  <c r="O449" i="11" s="1"/>
  <c r="M450" i="11"/>
  <c r="O450" i="11" s="1"/>
  <c r="M451" i="11"/>
  <c r="O451" i="11" s="1"/>
  <c r="M452" i="11"/>
  <c r="O452" i="11" s="1"/>
  <c r="M453" i="11"/>
  <c r="O453" i="11" s="1"/>
  <c r="M454" i="11"/>
  <c r="O454" i="11" s="1"/>
  <c r="M455" i="11"/>
  <c r="O455" i="11" s="1"/>
  <c r="M456" i="11"/>
  <c r="O456" i="11" s="1"/>
  <c r="M457" i="11"/>
  <c r="O457" i="11" s="1"/>
  <c r="M458" i="11"/>
  <c r="O458" i="11" s="1"/>
  <c r="M459" i="11"/>
  <c r="O459" i="11" s="1"/>
  <c r="M460" i="11"/>
  <c r="O460" i="11" s="1"/>
  <c r="M461" i="11"/>
  <c r="O461" i="11" s="1"/>
  <c r="M462" i="11"/>
  <c r="O462" i="11" s="1"/>
  <c r="M463" i="11"/>
  <c r="O463" i="11" s="1"/>
  <c r="M464" i="11"/>
  <c r="O464" i="11" s="1"/>
  <c r="M465" i="11"/>
  <c r="O465" i="11" s="1"/>
  <c r="M466" i="11"/>
  <c r="O466" i="11" s="1"/>
  <c r="M467" i="11"/>
  <c r="O467" i="11" s="1"/>
  <c r="M468" i="11"/>
  <c r="O468" i="11" s="1"/>
  <c r="M469" i="11"/>
  <c r="O469" i="11" s="1"/>
  <c r="M470" i="11"/>
  <c r="O470" i="11" s="1"/>
  <c r="M471" i="11"/>
  <c r="O471" i="11" s="1"/>
  <c r="M472" i="11"/>
  <c r="O472" i="11" s="1"/>
  <c r="M473" i="11"/>
  <c r="O473" i="11" s="1"/>
  <c r="M474" i="11"/>
  <c r="O474" i="11" s="1"/>
  <c r="M475" i="11"/>
  <c r="O475" i="11" s="1"/>
  <c r="M476" i="11"/>
  <c r="O476" i="11" s="1"/>
  <c r="M477" i="11"/>
  <c r="O477" i="11" s="1"/>
  <c r="M478" i="11"/>
  <c r="O478" i="11" s="1"/>
  <c r="M479" i="11"/>
  <c r="O479" i="11" s="1"/>
  <c r="M480" i="11"/>
  <c r="O480" i="11" s="1"/>
  <c r="M481" i="11"/>
  <c r="O481" i="11" s="1"/>
  <c r="M482" i="11"/>
  <c r="O482" i="11" s="1"/>
  <c r="M483" i="11"/>
  <c r="O483" i="11" s="1"/>
  <c r="M484" i="11"/>
  <c r="O484" i="11" s="1"/>
  <c r="M485" i="11"/>
  <c r="O485" i="11" s="1"/>
  <c r="M486" i="11"/>
  <c r="O486" i="11" s="1"/>
  <c r="M487" i="11"/>
  <c r="O487" i="11" s="1"/>
  <c r="M488" i="11"/>
  <c r="O488" i="11" s="1"/>
  <c r="M489" i="11"/>
  <c r="O489" i="11" s="1"/>
  <c r="M490" i="11"/>
  <c r="O490" i="11" s="1"/>
  <c r="M491" i="11"/>
  <c r="O491" i="11" s="1"/>
  <c r="M492" i="11"/>
  <c r="O492" i="11" s="1"/>
  <c r="M493" i="11"/>
  <c r="O493" i="11" s="1"/>
  <c r="M494" i="11"/>
  <c r="O494" i="11" s="1"/>
  <c r="M495" i="11"/>
  <c r="O495" i="11" s="1"/>
  <c r="M496" i="11"/>
  <c r="O496" i="11" s="1"/>
  <c r="M497" i="11"/>
  <c r="O497" i="11" s="1"/>
  <c r="M498" i="11"/>
  <c r="O498" i="11" s="1"/>
  <c r="M499" i="11"/>
  <c r="O499" i="11" s="1"/>
  <c r="M500" i="11"/>
  <c r="O500" i="11" s="1"/>
  <c r="M501" i="11"/>
  <c r="O501" i="11" s="1"/>
  <c r="M502" i="11"/>
  <c r="O502" i="11" s="1"/>
  <c r="M503" i="11"/>
  <c r="O503" i="11" s="1"/>
  <c r="M504" i="11"/>
  <c r="O504" i="11" s="1"/>
  <c r="M505" i="11"/>
  <c r="O505" i="11" s="1"/>
  <c r="M506" i="11"/>
  <c r="O506" i="11" s="1"/>
  <c r="M507" i="11"/>
  <c r="O507" i="11" s="1"/>
  <c r="M508" i="11"/>
  <c r="O508" i="11" s="1"/>
  <c r="M509" i="11"/>
  <c r="O509" i="11" s="1"/>
  <c r="M510" i="11"/>
  <c r="O510" i="11" s="1"/>
  <c r="M511" i="11"/>
  <c r="O511" i="11" s="1"/>
  <c r="M512" i="11"/>
  <c r="O512" i="11" s="1"/>
  <c r="M513" i="11"/>
  <c r="O513" i="11" s="1"/>
  <c r="M514" i="11"/>
  <c r="O514" i="11" s="1"/>
  <c r="M515" i="11"/>
  <c r="O515" i="11" s="1"/>
  <c r="M516" i="11"/>
  <c r="O516" i="11" s="1"/>
  <c r="M517" i="11"/>
  <c r="O517" i="11" s="1"/>
  <c r="M518" i="11"/>
  <c r="O518" i="11" s="1"/>
  <c r="M519" i="11"/>
  <c r="O519" i="11" s="1"/>
  <c r="M520" i="11"/>
  <c r="O520" i="11" s="1"/>
  <c r="M521" i="11"/>
  <c r="O521" i="11" s="1"/>
  <c r="M522" i="11"/>
  <c r="O522" i="11" s="1"/>
  <c r="M523" i="11"/>
  <c r="O523" i="11" s="1"/>
  <c r="M524" i="11"/>
  <c r="O524" i="11" s="1"/>
  <c r="M525" i="11"/>
  <c r="O525" i="11" s="1"/>
  <c r="M526" i="11"/>
  <c r="O526" i="11" s="1"/>
  <c r="M527" i="11"/>
  <c r="O527" i="11" s="1"/>
  <c r="M528" i="11"/>
  <c r="O528" i="11" s="1"/>
  <c r="M529" i="11"/>
  <c r="O529" i="11" s="1"/>
  <c r="M530" i="11"/>
  <c r="O530" i="11" s="1"/>
  <c r="M531" i="11"/>
  <c r="O531" i="11" s="1"/>
  <c r="M532" i="11"/>
  <c r="O532" i="11" s="1"/>
  <c r="M533" i="11"/>
  <c r="O533" i="11" s="1"/>
  <c r="M534" i="11"/>
  <c r="O534" i="11" s="1"/>
  <c r="M535" i="11"/>
  <c r="O535" i="11" s="1"/>
  <c r="M536" i="11"/>
  <c r="O536" i="11" s="1"/>
  <c r="M537" i="11"/>
  <c r="O537" i="11" s="1"/>
  <c r="M538" i="11"/>
  <c r="O538" i="11" s="1"/>
  <c r="M539" i="11"/>
  <c r="O539" i="11" s="1"/>
  <c r="M540" i="11"/>
  <c r="O540" i="11" s="1"/>
  <c r="M541" i="11"/>
  <c r="O541" i="11" s="1"/>
  <c r="M542" i="11"/>
  <c r="O542" i="11" s="1"/>
  <c r="M543" i="11"/>
  <c r="O543" i="11" s="1"/>
  <c r="M544" i="11"/>
  <c r="O544" i="11" s="1"/>
  <c r="M545" i="11"/>
  <c r="O545" i="11" s="1"/>
  <c r="M546" i="11"/>
  <c r="O546" i="11" s="1"/>
  <c r="M547" i="11"/>
  <c r="O547" i="11" s="1"/>
  <c r="M548" i="11"/>
  <c r="O548" i="11" s="1"/>
  <c r="M549" i="11"/>
  <c r="O549" i="11" s="1"/>
  <c r="M550" i="11"/>
  <c r="O550" i="11" s="1"/>
  <c r="M551" i="11"/>
  <c r="O551" i="11" s="1"/>
  <c r="M552" i="11"/>
  <c r="O552" i="11" s="1"/>
  <c r="M553" i="11"/>
  <c r="O553" i="11" s="1"/>
  <c r="M554" i="11"/>
  <c r="O554" i="11" s="1"/>
  <c r="M555" i="11"/>
  <c r="O555" i="11" s="1"/>
  <c r="M556" i="11"/>
  <c r="O556" i="11" s="1"/>
  <c r="M557" i="11"/>
  <c r="O557" i="11" s="1"/>
  <c r="M558" i="11"/>
  <c r="O558" i="11" s="1"/>
  <c r="M559" i="11"/>
  <c r="O559" i="11" s="1"/>
  <c r="M560" i="11"/>
  <c r="O560" i="11" s="1"/>
  <c r="M561" i="11"/>
  <c r="O561" i="11" s="1"/>
  <c r="M562" i="11"/>
  <c r="O562" i="11" s="1"/>
  <c r="M563" i="11"/>
  <c r="O563" i="11" s="1"/>
  <c r="M564" i="11"/>
  <c r="O564" i="11" s="1"/>
  <c r="M565" i="11"/>
  <c r="O565" i="11" s="1"/>
  <c r="M566" i="11"/>
  <c r="O566" i="11" s="1"/>
  <c r="M567" i="11"/>
  <c r="O567" i="11" s="1"/>
  <c r="M568" i="11"/>
  <c r="O568" i="11" s="1"/>
  <c r="M569" i="11"/>
  <c r="O569" i="11" s="1"/>
  <c r="M570" i="11"/>
  <c r="O570" i="11" s="1"/>
  <c r="M571" i="11"/>
  <c r="O571" i="11" s="1"/>
  <c r="M572" i="11"/>
  <c r="O572" i="11" s="1"/>
  <c r="M573" i="11"/>
  <c r="O573" i="11" s="1"/>
  <c r="M574" i="11"/>
  <c r="O574" i="11" s="1"/>
  <c r="M575" i="11"/>
  <c r="O575" i="11" s="1"/>
  <c r="M576" i="11"/>
  <c r="O576" i="11" s="1"/>
  <c r="M577" i="11"/>
  <c r="O577" i="11" s="1"/>
  <c r="M578" i="11"/>
  <c r="O578" i="11" s="1"/>
  <c r="M579" i="11"/>
  <c r="O579" i="11" s="1"/>
  <c r="M580" i="11"/>
  <c r="O580" i="11" s="1"/>
  <c r="M581" i="11"/>
  <c r="O581" i="11" s="1"/>
  <c r="M582" i="11"/>
  <c r="O582" i="11" s="1"/>
  <c r="M583" i="11"/>
  <c r="O583" i="11" s="1"/>
  <c r="M584" i="11"/>
  <c r="O584" i="11" s="1"/>
  <c r="M585" i="11"/>
  <c r="O585" i="11" s="1"/>
  <c r="M586" i="11"/>
  <c r="O586" i="11" s="1"/>
  <c r="M587" i="11"/>
  <c r="O587" i="11" s="1"/>
  <c r="M588" i="11"/>
  <c r="O588" i="11" s="1"/>
  <c r="M589" i="11"/>
  <c r="O589" i="11" s="1"/>
  <c r="M590" i="11"/>
  <c r="O590" i="11" s="1"/>
  <c r="M591" i="11"/>
  <c r="O591" i="11" s="1"/>
  <c r="M592" i="11"/>
  <c r="O592" i="11" s="1"/>
  <c r="M593" i="11"/>
  <c r="O593" i="11" s="1"/>
  <c r="M594" i="11"/>
  <c r="O594" i="11" s="1"/>
  <c r="M595" i="11"/>
  <c r="O595" i="11" s="1"/>
  <c r="M596" i="11"/>
  <c r="O596" i="11" s="1"/>
  <c r="M597" i="11"/>
  <c r="O597" i="11" s="1"/>
  <c r="M598" i="11"/>
  <c r="O598" i="11" s="1"/>
  <c r="M599" i="11"/>
  <c r="O599" i="11" s="1"/>
  <c r="M600" i="11"/>
  <c r="O600" i="11" s="1"/>
  <c r="M601" i="11"/>
  <c r="O601" i="11" s="1"/>
  <c r="M602" i="11"/>
  <c r="O602" i="11" s="1"/>
  <c r="M603" i="11"/>
  <c r="O603" i="11" s="1"/>
  <c r="M604" i="11"/>
  <c r="O604" i="11" s="1"/>
  <c r="M605" i="11"/>
  <c r="O605" i="11" s="1"/>
  <c r="M606" i="11"/>
  <c r="O606" i="11" s="1"/>
  <c r="M607" i="11"/>
  <c r="O607" i="11" s="1"/>
  <c r="M608" i="11"/>
  <c r="O608" i="11" s="1"/>
  <c r="M609" i="11"/>
  <c r="O609" i="11" s="1"/>
  <c r="M610" i="11"/>
  <c r="O610" i="11" s="1"/>
  <c r="M611" i="11"/>
  <c r="O611" i="11" s="1"/>
  <c r="M612" i="11"/>
  <c r="O612" i="11" s="1"/>
  <c r="M613" i="11"/>
  <c r="O613" i="11" s="1"/>
  <c r="M614" i="11"/>
  <c r="O614" i="11" s="1"/>
  <c r="M615" i="11"/>
  <c r="O615" i="11" s="1"/>
  <c r="M616" i="11"/>
  <c r="O616" i="11" s="1"/>
  <c r="M617" i="11"/>
  <c r="O617" i="11" s="1"/>
  <c r="M618" i="11"/>
  <c r="O618" i="11" s="1"/>
  <c r="M619" i="11"/>
  <c r="O619" i="11" s="1"/>
  <c r="M620" i="11"/>
  <c r="O620" i="11" s="1"/>
  <c r="M621" i="11"/>
  <c r="O621" i="11" s="1"/>
  <c r="M622" i="11"/>
  <c r="O622" i="11" s="1"/>
  <c r="M623" i="11"/>
  <c r="O623" i="11" s="1"/>
  <c r="M624" i="11"/>
  <c r="O624" i="11" s="1"/>
  <c r="M625" i="11"/>
  <c r="O625" i="11" s="1"/>
  <c r="M626" i="11"/>
  <c r="O626" i="11" s="1"/>
  <c r="M627" i="11"/>
  <c r="O627" i="11" s="1"/>
  <c r="M628" i="11"/>
  <c r="O628" i="11" s="1"/>
  <c r="M629" i="11"/>
  <c r="O629" i="11" s="1"/>
  <c r="M630" i="11"/>
  <c r="O630" i="11" s="1"/>
  <c r="M631" i="11"/>
  <c r="O631" i="11" s="1"/>
  <c r="M632" i="11"/>
  <c r="O632" i="11" s="1"/>
  <c r="M633" i="11"/>
  <c r="O633" i="11" s="1"/>
  <c r="M634" i="11"/>
  <c r="O634" i="11" s="1"/>
  <c r="M635" i="11"/>
  <c r="O635" i="11" s="1"/>
  <c r="M636" i="11"/>
  <c r="O636" i="11" s="1"/>
  <c r="M637" i="11"/>
  <c r="O637" i="11" s="1"/>
  <c r="M638" i="11"/>
  <c r="O638" i="11" s="1"/>
  <c r="M639" i="11"/>
  <c r="O639" i="11" s="1"/>
  <c r="M640" i="11"/>
  <c r="O640" i="11" s="1"/>
  <c r="M641" i="11"/>
  <c r="O641" i="11" s="1"/>
  <c r="M642" i="11"/>
  <c r="O642" i="11" s="1"/>
  <c r="M643" i="11"/>
  <c r="O643" i="11" s="1"/>
  <c r="M644" i="11"/>
  <c r="O644" i="11" s="1"/>
  <c r="M645" i="11"/>
  <c r="O645" i="11" s="1"/>
  <c r="M646" i="11"/>
  <c r="O646" i="11" s="1"/>
  <c r="M647" i="11"/>
  <c r="O647" i="11" s="1"/>
  <c r="M648" i="11"/>
  <c r="O648" i="11" s="1"/>
  <c r="M649" i="11"/>
  <c r="O649" i="11" s="1"/>
  <c r="M650" i="11"/>
  <c r="O650" i="11" s="1"/>
  <c r="M651" i="11"/>
  <c r="O651" i="11" s="1"/>
  <c r="M652" i="11"/>
  <c r="O652" i="11" s="1"/>
  <c r="M653" i="11"/>
  <c r="O653" i="11" s="1"/>
  <c r="M654" i="11"/>
  <c r="O654" i="11" s="1"/>
  <c r="M655" i="11"/>
  <c r="O655" i="11" s="1"/>
  <c r="M656" i="11"/>
  <c r="O656" i="11" s="1"/>
  <c r="M657" i="11"/>
  <c r="O657" i="11" s="1"/>
  <c r="M658" i="11"/>
  <c r="O658" i="11" s="1"/>
  <c r="M659" i="11"/>
  <c r="O659" i="11" s="1"/>
  <c r="M660" i="11"/>
  <c r="O660" i="11" s="1"/>
  <c r="M661" i="11"/>
  <c r="O661" i="11" s="1"/>
  <c r="M662" i="11"/>
  <c r="O662" i="11" s="1"/>
  <c r="M663" i="11"/>
  <c r="O663" i="11" s="1"/>
  <c r="M664" i="11"/>
  <c r="O664" i="11" s="1"/>
  <c r="M665" i="11"/>
  <c r="O665" i="11" s="1"/>
  <c r="M666" i="11"/>
  <c r="O666" i="11" s="1"/>
  <c r="M667" i="11"/>
  <c r="O667" i="11" s="1"/>
  <c r="M668" i="11"/>
  <c r="O668" i="11" s="1"/>
  <c r="M669" i="11"/>
  <c r="O669" i="11" s="1"/>
  <c r="M670" i="11"/>
  <c r="O670" i="11" s="1"/>
  <c r="M671" i="11"/>
  <c r="O671" i="11" s="1"/>
  <c r="M672" i="11"/>
  <c r="O672" i="11" s="1"/>
  <c r="M673" i="11"/>
  <c r="O673" i="11" s="1"/>
  <c r="M674" i="11"/>
  <c r="O674" i="11" s="1"/>
  <c r="M675" i="11"/>
  <c r="O675" i="11" s="1"/>
  <c r="M676" i="11"/>
  <c r="O676" i="11" s="1"/>
  <c r="M677" i="11"/>
  <c r="O677" i="11" s="1"/>
  <c r="M678" i="11"/>
  <c r="O678" i="11" s="1"/>
  <c r="M679" i="11"/>
  <c r="O679" i="11" s="1"/>
  <c r="M680" i="11"/>
  <c r="O680" i="11" s="1"/>
  <c r="M681" i="11"/>
  <c r="O681" i="11" s="1"/>
  <c r="M682" i="11"/>
  <c r="O682" i="11" s="1"/>
  <c r="M683" i="11"/>
  <c r="O683" i="11" s="1"/>
  <c r="M684" i="11"/>
  <c r="O684" i="11" s="1"/>
  <c r="M685" i="11"/>
  <c r="O685" i="11" s="1"/>
  <c r="M686" i="11"/>
  <c r="O686" i="11" s="1"/>
  <c r="M687" i="11"/>
  <c r="O687" i="11" s="1"/>
  <c r="M688" i="11"/>
  <c r="O688" i="11" s="1"/>
  <c r="M689" i="11"/>
  <c r="O689" i="11" s="1"/>
  <c r="M690" i="11"/>
  <c r="O690" i="11" s="1"/>
  <c r="M691" i="11"/>
  <c r="O691" i="11" s="1"/>
  <c r="M692" i="11"/>
  <c r="O692" i="11" s="1"/>
  <c r="M693" i="11"/>
  <c r="O693" i="11" s="1"/>
  <c r="M694" i="11"/>
  <c r="O694" i="11" s="1"/>
  <c r="M695" i="11"/>
  <c r="O695" i="11" s="1"/>
  <c r="M696" i="11"/>
  <c r="O696" i="11" s="1"/>
  <c r="M697" i="11"/>
  <c r="O697" i="11" s="1"/>
  <c r="M698" i="11"/>
  <c r="O698" i="11" s="1"/>
  <c r="M699" i="11"/>
  <c r="O699" i="11" s="1"/>
  <c r="M700" i="11"/>
  <c r="O700" i="11" s="1"/>
  <c r="M701" i="11"/>
  <c r="O701" i="11" s="1"/>
  <c r="M702" i="11"/>
  <c r="O702" i="11" s="1"/>
  <c r="M703" i="11"/>
  <c r="O703" i="11" s="1"/>
  <c r="M704" i="11"/>
  <c r="O704" i="11" s="1"/>
  <c r="M705" i="11"/>
  <c r="O705" i="11" s="1"/>
  <c r="M706" i="11"/>
  <c r="O706" i="11" s="1"/>
  <c r="M707" i="11"/>
  <c r="O707" i="11" s="1"/>
  <c r="M708" i="11"/>
  <c r="O708" i="11" s="1"/>
  <c r="M709" i="11"/>
  <c r="O709" i="11" s="1"/>
  <c r="M710" i="11"/>
  <c r="O710" i="11" s="1"/>
  <c r="M711" i="11"/>
  <c r="O711" i="11" s="1"/>
  <c r="M712" i="11"/>
  <c r="O712" i="11" s="1"/>
  <c r="M713" i="11"/>
  <c r="O713" i="11" s="1"/>
  <c r="M714" i="11"/>
  <c r="O714" i="11" s="1"/>
  <c r="M715" i="11"/>
  <c r="O715" i="11" s="1"/>
  <c r="M716" i="11"/>
  <c r="O716" i="11" s="1"/>
  <c r="M717" i="11"/>
  <c r="O717" i="11" s="1"/>
  <c r="M718" i="11"/>
  <c r="O718" i="11" s="1"/>
  <c r="M719" i="11"/>
  <c r="O719" i="11" s="1"/>
  <c r="M720" i="11"/>
  <c r="O720" i="11" s="1"/>
  <c r="M721" i="11"/>
  <c r="O721" i="11" s="1"/>
  <c r="M722" i="11"/>
  <c r="O722" i="11" s="1"/>
  <c r="M723" i="11"/>
  <c r="O723" i="11" s="1"/>
  <c r="M724" i="11"/>
  <c r="O724" i="11" s="1"/>
  <c r="M725" i="11"/>
  <c r="O725" i="11" s="1"/>
  <c r="M726" i="11"/>
  <c r="O726" i="11" s="1"/>
  <c r="M727" i="11"/>
  <c r="O727" i="11" s="1"/>
  <c r="M728" i="11"/>
  <c r="O728" i="11" s="1"/>
  <c r="M729" i="11"/>
  <c r="O729" i="11" s="1"/>
  <c r="M730" i="11"/>
  <c r="O730" i="11" s="1"/>
  <c r="M731" i="11"/>
  <c r="O731" i="11" s="1"/>
  <c r="M732" i="11"/>
  <c r="O732" i="11" s="1"/>
  <c r="M733" i="11"/>
  <c r="O733" i="11" s="1"/>
  <c r="M734" i="11"/>
  <c r="O734" i="11" s="1"/>
  <c r="M735" i="11"/>
  <c r="O735" i="11" s="1"/>
  <c r="M736" i="11"/>
  <c r="O736" i="11" s="1"/>
  <c r="M737" i="11"/>
  <c r="O737" i="11" s="1"/>
  <c r="M738" i="11"/>
  <c r="O738" i="11" s="1"/>
  <c r="M739" i="11"/>
  <c r="O739" i="11" s="1"/>
  <c r="M740" i="11"/>
  <c r="O740" i="11" s="1"/>
  <c r="M741" i="11"/>
  <c r="O741" i="11" s="1"/>
  <c r="M742" i="11"/>
  <c r="O742" i="11" s="1"/>
  <c r="M743" i="11"/>
  <c r="O743" i="11" s="1"/>
  <c r="M744" i="11"/>
  <c r="O744" i="11" s="1"/>
  <c r="M745" i="11"/>
  <c r="O745" i="11" s="1"/>
  <c r="M746" i="11"/>
  <c r="O746" i="11" s="1"/>
  <c r="M747" i="11"/>
  <c r="O747" i="11" s="1"/>
  <c r="M748" i="11"/>
  <c r="O748" i="11" s="1"/>
  <c r="M749" i="11"/>
  <c r="O749" i="11" s="1"/>
  <c r="M750" i="11"/>
  <c r="O750" i="11" s="1"/>
  <c r="M751" i="11"/>
  <c r="O751" i="11" s="1"/>
  <c r="M752" i="11"/>
  <c r="O752" i="11" s="1"/>
  <c r="M753" i="11"/>
  <c r="O753" i="11" s="1"/>
  <c r="M754" i="11"/>
  <c r="O754" i="11" s="1"/>
  <c r="M755" i="11"/>
  <c r="O755" i="11" s="1"/>
  <c r="M756" i="11"/>
  <c r="O756" i="11" s="1"/>
  <c r="M757" i="11"/>
  <c r="O757" i="11" s="1"/>
  <c r="M758" i="11"/>
  <c r="O758" i="11" s="1"/>
  <c r="M759" i="11"/>
  <c r="O759" i="11" s="1"/>
  <c r="M760" i="11"/>
  <c r="O760" i="11" s="1"/>
  <c r="M761" i="11"/>
  <c r="O761" i="11" s="1"/>
  <c r="M762" i="11"/>
  <c r="O762" i="11" s="1"/>
  <c r="M763" i="11"/>
  <c r="O763" i="11" s="1"/>
  <c r="M764" i="11"/>
  <c r="O764" i="11" s="1"/>
  <c r="M765" i="11"/>
  <c r="O765" i="11" s="1"/>
  <c r="M766" i="11"/>
  <c r="O766" i="11" s="1"/>
  <c r="M767" i="11"/>
  <c r="O767" i="11" s="1"/>
  <c r="M768" i="11"/>
  <c r="O768" i="11" s="1"/>
  <c r="M769" i="11"/>
  <c r="O769" i="11" s="1"/>
  <c r="M770" i="11"/>
  <c r="O770" i="11" s="1"/>
  <c r="M771" i="11"/>
  <c r="O771" i="11" s="1"/>
  <c r="M772" i="11"/>
  <c r="O772" i="11" s="1"/>
  <c r="M773" i="11"/>
  <c r="O773" i="11" s="1"/>
  <c r="M774" i="11"/>
  <c r="O774" i="11" s="1"/>
  <c r="M775" i="11"/>
  <c r="O775" i="11" s="1"/>
  <c r="M776" i="11"/>
  <c r="O776" i="11" s="1"/>
  <c r="M777" i="11"/>
  <c r="O777" i="11" s="1"/>
  <c r="M778" i="11"/>
  <c r="O778" i="11" s="1"/>
  <c r="M779" i="11"/>
  <c r="O779" i="11" s="1"/>
  <c r="M780" i="11"/>
  <c r="O780" i="11" s="1"/>
  <c r="M781" i="11"/>
  <c r="O781" i="11" s="1"/>
  <c r="M782" i="11"/>
  <c r="O782" i="11" s="1"/>
  <c r="M783" i="11"/>
  <c r="O783" i="11" s="1"/>
  <c r="M784" i="11"/>
  <c r="O784" i="11" s="1"/>
  <c r="M785" i="11"/>
  <c r="O785" i="11" s="1"/>
  <c r="M786" i="11"/>
  <c r="O786" i="11" s="1"/>
  <c r="M787" i="11"/>
  <c r="O787" i="11" s="1"/>
  <c r="M788" i="11"/>
  <c r="O788" i="11" s="1"/>
  <c r="M789" i="11"/>
  <c r="O789" i="11" s="1"/>
  <c r="M790" i="11"/>
  <c r="O790" i="11" s="1"/>
  <c r="M791" i="11"/>
  <c r="O791" i="11" s="1"/>
  <c r="M792" i="11"/>
  <c r="O792" i="11" s="1"/>
  <c r="M793" i="11"/>
  <c r="O793" i="11" s="1"/>
  <c r="M794" i="11"/>
  <c r="O794" i="11" s="1"/>
  <c r="M795" i="11"/>
  <c r="O795" i="11" s="1"/>
  <c r="M796" i="11"/>
  <c r="O796" i="11" s="1"/>
  <c r="M797" i="11"/>
  <c r="O797" i="11" s="1"/>
  <c r="M798" i="11"/>
  <c r="O798" i="11" s="1"/>
  <c r="M799" i="11"/>
  <c r="O799" i="11" s="1"/>
  <c r="M800" i="11"/>
  <c r="O800" i="11" s="1"/>
  <c r="M801" i="11"/>
  <c r="O801" i="11" s="1"/>
  <c r="M802" i="11"/>
  <c r="O802" i="11" s="1"/>
  <c r="M803" i="11"/>
  <c r="O803" i="11" s="1"/>
  <c r="M804" i="11"/>
  <c r="O804" i="11" s="1"/>
  <c r="M805" i="11"/>
  <c r="O805" i="11" s="1"/>
  <c r="M806" i="11"/>
  <c r="O806" i="11" s="1"/>
  <c r="M807" i="11"/>
  <c r="O807" i="11" s="1"/>
  <c r="M808" i="11"/>
  <c r="O808" i="11" s="1"/>
  <c r="M809" i="11"/>
  <c r="O809" i="11" s="1"/>
  <c r="M810" i="11"/>
  <c r="O810" i="11" s="1"/>
  <c r="M811" i="11"/>
  <c r="O811" i="11" s="1"/>
  <c r="M812" i="11"/>
  <c r="O812" i="11" s="1"/>
  <c r="M813" i="11"/>
  <c r="O813" i="11" s="1"/>
  <c r="M814" i="11"/>
  <c r="O814" i="11" s="1"/>
  <c r="M815" i="11"/>
  <c r="O815" i="11" s="1"/>
  <c r="M816" i="11"/>
  <c r="O816" i="11" s="1"/>
  <c r="M817" i="11"/>
  <c r="O817" i="11" s="1"/>
  <c r="M818" i="11"/>
  <c r="O818" i="11" s="1"/>
  <c r="M819" i="11"/>
  <c r="O819" i="11" s="1"/>
  <c r="M820" i="11"/>
  <c r="O820" i="11" s="1"/>
  <c r="M821" i="11"/>
  <c r="O821" i="11" s="1"/>
  <c r="M822" i="11"/>
  <c r="O822" i="11" s="1"/>
  <c r="M823" i="11"/>
  <c r="O823" i="11" s="1"/>
  <c r="M824" i="11"/>
  <c r="O824" i="11" s="1"/>
  <c r="M825" i="11"/>
  <c r="O825" i="11" s="1"/>
  <c r="M826" i="11"/>
  <c r="O826" i="11" s="1"/>
  <c r="M827" i="11"/>
  <c r="O827" i="11" s="1"/>
  <c r="M828" i="11"/>
  <c r="O828" i="11" s="1"/>
  <c r="M829" i="11"/>
  <c r="O829" i="11" s="1"/>
  <c r="M830" i="11"/>
  <c r="O830" i="11" s="1"/>
  <c r="M831" i="11"/>
  <c r="O831" i="11" s="1"/>
  <c r="M832" i="11"/>
  <c r="O832" i="11" s="1"/>
  <c r="M833" i="11"/>
  <c r="O833" i="11" s="1"/>
  <c r="M834" i="11"/>
  <c r="O834" i="11" s="1"/>
  <c r="M835" i="11"/>
  <c r="O835" i="11" s="1"/>
  <c r="M836" i="11"/>
  <c r="O836" i="11" s="1"/>
  <c r="M837" i="11"/>
  <c r="O837" i="11" s="1"/>
  <c r="M838" i="11"/>
  <c r="O838" i="11" s="1"/>
  <c r="M839" i="11"/>
  <c r="O839" i="11" s="1"/>
  <c r="M840" i="11"/>
  <c r="O840" i="11" s="1"/>
  <c r="M841" i="11"/>
  <c r="O841" i="11" s="1"/>
  <c r="M842" i="11"/>
  <c r="O842" i="11" s="1"/>
  <c r="M843" i="11"/>
  <c r="O843" i="11" s="1"/>
  <c r="M844" i="11"/>
  <c r="O844" i="11" s="1"/>
  <c r="M845" i="11"/>
  <c r="O845" i="11" s="1"/>
  <c r="M846" i="11"/>
  <c r="O846" i="11" s="1"/>
  <c r="M847" i="11"/>
  <c r="O847" i="11" s="1"/>
  <c r="M848" i="11"/>
  <c r="O848" i="11" s="1"/>
  <c r="M849" i="11"/>
  <c r="O849" i="11" s="1"/>
  <c r="M850" i="11"/>
  <c r="O850" i="11" s="1"/>
  <c r="M851" i="11"/>
  <c r="O851" i="11" s="1"/>
  <c r="M852" i="11"/>
  <c r="O852" i="11" s="1"/>
  <c r="M853" i="11"/>
  <c r="O853" i="11" s="1"/>
  <c r="M854" i="11"/>
  <c r="O854" i="11" s="1"/>
  <c r="M855" i="11"/>
  <c r="O855" i="11" s="1"/>
  <c r="M856" i="11"/>
  <c r="O856" i="11" s="1"/>
  <c r="M857" i="11"/>
  <c r="O857" i="11" s="1"/>
  <c r="M858" i="11"/>
  <c r="O858" i="11" s="1"/>
  <c r="M859" i="11"/>
  <c r="O859" i="11" s="1"/>
  <c r="M860" i="11"/>
  <c r="O860" i="11" s="1"/>
  <c r="M861" i="11"/>
  <c r="O861" i="11" s="1"/>
  <c r="M862" i="11"/>
  <c r="O862" i="11" s="1"/>
  <c r="M863" i="11"/>
  <c r="O863" i="11" s="1"/>
  <c r="M864" i="11"/>
  <c r="O864" i="11" s="1"/>
  <c r="M865" i="11"/>
  <c r="O865" i="11" s="1"/>
  <c r="M866" i="11"/>
  <c r="O866" i="11" s="1"/>
  <c r="M867" i="11"/>
  <c r="O867" i="11" s="1"/>
  <c r="M868" i="11"/>
  <c r="O868" i="11" s="1"/>
  <c r="M869" i="11"/>
  <c r="O869" i="11" s="1"/>
  <c r="M870" i="11"/>
  <c r="O870" i="11" s="1"/>
  <c r="M871" i="11"/>
  <c r="O871" i="11" s="1"/>
  <c r="M872" i="11"/>
  <c r="O872" i="11" s="1"/>
  <c r="M873" i="11"/>
  <c r="O873" i="11" s="1"/>
  <c r="M874" i="11"/>
  <c r="O874" i="11" s="1"/>
  <c r="M875" i="11"/>
  <c r="O875" i="11" s="1"/>
  <c r="M876" i="11"/>
  <c r="O876" i="11" s="1"/>
  <c r="M877" i="11"/>
  <c r="O877" i="11" s="1"/>
  <c r="M878" i="11"/>
  <c r="O878" i="11" s="1"/>
  <c r="M879" i="11"/>
  <c r="O879" i="11" s="1"/>
  <c r="M880" i="11"/>
  <c r="O880" i="11" s="1"/>
  <c r="M881" i="11"/>
  <c r="O881" i="11" s="1"/>
  <c r="M882" i="11"/>
  <c r="O882" i="11" s="1"/>
  <c r="M883" i="11"/>
  <c r="O883" i="11" s="1"/>
  <c r="M884" i="11"/>
  <c r="O884" i="11" s="1"/>
  <c r="M885" i="11"/>
  <c r="O885" i="11" s="1"/>
  <c r="M886" i="11"/>
  <c r="O886" i="11" s="1"/>
  <c r="M887" i="11"/>
  <c r="O887" i="11" s="1"/>
  <c r="M888" i="11"/>
  <c r="O888" i="11" s="1"/>
  <c r="M889" i="11"/>
  <c r="O889" i="11" s="1"/>
  <c r="M890" i="11"/>
  <c r="O890" i="11" s="1"/>
  <c r="M891" i="11"/>
  <c r="O891" i="11" s="1"/>
  <c r="M892" i="11"/>
  <c r="O892" i="11" s="1"/>
  <c r="M893" i="11"/>
  <c r="O893" i="11" s="1"/>
  <c r="M894" i="11"/>
  <c r="O894" i="11" s="1"/>
  <c r="M895" i="11"/>
  <c r="O895" i="11" s="1"/>
  <c r="M896" i="11"/>
  <c r="O896" i="11" s="1"/>
  <c r="M897" i="11"/>
  <c r="O897" i="11" s="1"/>
  <c r="M898" i="11"/>
  <c r="O898" i="11" s="1"/>
  <c r="M899" i="11"/>
  <c r="O899" i="11" s="1"/>
  <c r="M900" i="11"/>
  <c r="O900" i="11" s="1"/>
  <c r="M901" i="11"/>
  <c r="O901" i="11" s="1"/>
  <c r="M902" i="11"/>
  <c r="O902" i="11" s="1"/>
  <c r="M903" i="11"/>
  <c r="O903" i="11" s="1"/>
  <c r="M904" i="11"/>
  <c r="O904" i="11" s="1"/>
  <c r="M905" i="11"/>
  <c r="O905" i="11" s="1"/>
  <c r="M906" i="11"/>
  <c r="O906" i="11" s="1"/>
  <c r="M907" i="11"/>
  <c r="O907" i="11" s="1"/>
  <c r="M908" i="11"/>
  <c r="O908" i="11" s="1"/>
  <c r="M909" i="11"/>
  <c r="O909" i="11" s="1"/>
  <c r="M910" i="11"/>
  <c r="O910" i="11" s="1"/>
  <c r="M911" i="11"/>
  <c r="O911" i="11" s="1"/>
  <c r="M912" i="11"/>
  <c r="O912" i="11" s="1"/>
  <c r="M913" i="11"/>
  <c r="O913" i="11" s="1"/>
  <c r="M914" i="11"/>
  <c r="O914" i="11" s="1"/>
  <c r="M915" i="11"/>
  <c r="O915" i="11" s="1"/>
  <c r="M916" i="11"/>
  <c r="O916" i="11" s="1"/>
  <c r="M917" i="11"/>
  <c r="O917" i="11" s="1"/>
  <c r="M918" i="11"/>
  <c r="O918" i="11" s="1"/>
  <c r="M919" i="11"/>
  <c r="O919" i="11" s="1"/>
  <c r="M920" i="11"/>
  <c r="O920" i="11" s="1"/>
  <c r="M921" i="11"/>
  <c r="O921" i="11" s="1"/>
  <c r="M922" i="11"/>
  <c r="O922" i="11" s="1"/>
  <c r="M923" i="11"/>
  <c r="O923" i="11" s="1"/>
  <c r="M924" i="11"/>
  <c r="O924" i="11" s="1"/>
  <c r="M925" i="11"/>
  <c r="O925" i="11" s="1"/>
  <c r="M926" i="11"/>
  <c r="O926" i="11" s="1"/>
  <c r="M927" i="11"/>
  <c r="O927" i="11" s="1"/>
  <c r="M928" i="11"/>
  <c r="O928" i="11" s="1"/>
  <c r="M929" i="11"/>
  <c r="O929" i="11" s="1"/>
  <c r="M930" i="11"/>
  <c r="O930" i="11" s="1"/>
  <c r="M931" i="11"/>
  <c r="O931" i="11" s="1"/>
  <c r="M932" i="11"/>
  <c r="O932" i="11" s="1"/>
  <c r="M933" i="11"/>
  <c r="O933" i="11" s="1"/>
  <c r="M934" i="11"/>
  <c r="O934" i="11" s="1"/>
  <c r="M935" i="11"/>
  <c r="O935" i="11" s="1"/>
  <c r="M936" i="11"/>
  <c r="O936" i="11" s="1"/>
  <c r="M937" i="11"/>
  <c r="O937" i="11" s="1"/>
  <c r="M938" i="11"/>
  <c r="O938" i="11" s="1"/>
  <c r="M939" i="11"/>
  <c r="O939" i="11" s="1"/>
  <c r="M940" i="11"/>
  <c r="O940" i="11" s="1"/>
  <c r="M941" i="11"/>
  <c r="O941" i="11" s="1"/>
  <c r="M942" i="11"/>
  <c r="O942" i="11" s="1"/>
  <c r="M943" i="11"/>
  <c r="O943" i="11" s="1"/>
  <c r="M944" i="11"/>
  <c r="O944" i="11" s="1"/>
  <c r="M945" i="11"/>
  <c r="O945" i="11" s="1"/>
  <c r="M946" i="11"/>
  <c r="O946" i="11" s="1"/>
  <c r="M947" i="11"/>
  <c r="O947" i="11" s="1"/>
  <c r="M948" i="11"/>
  <c r="O948" i="11" s="1"/>
  <c r="M949" i="11"/>
  <c r="O949" i="11" s="1"/>
  <c r="M950" i="11"/>
  <c r="O950" i="11" s="1"/>
  <c r="M951" i="11"/>
  <c r="O951" i="11" s="1"/>
  <c r="M952" i="11"/>
  <c r="O952" i="11" s="1"/>
  <c r="M953" i="11"/>
  <c r="O953" i="11" s="1"/>
  <c r="M954" i="11"/>
  <c r="O954" i="11" s="1"/>
  <c r="M955" i="11"/>
  <c r="O955" i="11" s="1"/>
  <c r="M956" i="11"/>
  <c r="O956" i="11" s="1"/>
  <c r="M957" i="11"/>
  <c r="O957" i="11" s="1"/>
  <c r="M958" i="11"/>
  <c r="O958" i="11" s="1"/>
  <c r="M959" i="11"/>
  <c r="O959" i="11" s="1"/>
  <c r="M960" i="11"/>
  <c r="O960" i="11" s="1"/>
  <c r="M961" i="11"/>
  <c r="O961" i="11" s="1"/>
  <c r="M962" i="11"/>
  <c r="O962" i="11" s="1"/>
  <c r="M963" i="11"/>
  <c r="O963" i="11" s="1"/>
  <c r="M964" i="11"/>
  <c r="O964" i="11" s="1"/>
  <c r="M965" i="11"/>
  <c r="O965" i="11" s="1"/>
  <c r="M966" i="11"/>
  <c r="O966" i="11" s="1"/>
  <c r="M967" i="11"/>
  <c r="O967" i="11" s="1"/>
  <c r="M968" i="11"/>
  <c r="O968" i="11" s="1"/>
  <c r="M969" i="11"/>
  <c r="O969" i="11" s="1"/>
  <c r="M970" i="11"/>
  <c r="O970" i="11" s="1"/>
  <c r="M971" i="11"/>
  <c r="O971" i="11" s="1"/>
  <c r="M972" i="11"/>
  <c r="O972" i="11" s="1"/>
  <c r="M973" i="11"/>
  <c r="O973" i="11" s="1"/>
  <c r="M974" i="11"/>
  <c r="O974" i="11" s="1"/>
  <c r="M975" i="11"/>
  <c r="O975" i="11" s="1"/>
  <c r="M976" i="11"/>
  <c r="O976" i="11" s="1"/>
  <c r="M977" i="11"/>
  <c r="O977" i="11" s="1"/>
  <c r="M978" i="11"/>
  <c r="O978" i="11" s="1"/>
  <c r="M979" i="11"/>
  <c r="O979" i="11" s="1"/>
  <c r="M980" i="11"/>
  <c r="O980" i="11" s="1"/>
  <c r="M981" i="11"/>
  <c r="O981" i="11" s="1"/>
  <c r="M982" i="11"/>
  <c r="O982" i="11" s="1"/>
  <c r="M983" i="11"/>
  <c r="O983" i="11" s="1"/>
  <c r="M984" i="11"/>
  <c r="O984" i="11" s="1"/>
  <c r="M985" i="11"/>
  <c r="O985" i="11" s="1"/>
  <c r="M986" i="11"/>
  <c r="O986" i="11" s="1"/>
  <c r="M987" i="11"/>
  <c r="O987" i="11" s="1"/>
  <c r="M988" i="11"/>
  <c r="O988" i="11" s="1"/>
  <c r="M989" i="11"/>
  <c r="O989" i="11" s="1"/>
  <c r="M990" i="11"/>
  <c r="O990" i="11" s="1"/>
  <c r="M991" i="11"/>
  <c r="O991" i="11" s="1"/>
  <c r="M992" i="11"/>
  <c r="O992" i="11" s="1"/>
  <c r="M993" i="11"/>
  <c r="O993" i="11" s="1"/>
  <c r="M994" i="11"/>
  <c r="O994" i="11" s="1"/>
  <c r="M995" i="11"/>
  <c r="O995" i="11" s="1"/>
  <c r="M996" i="11"/>
  <c r="O996" i="11" s="1"/>
  <c r="M997" i="11"/>
  <c r="O997" i="11" s="1"/>
  <c r="M998" i="11"/>
  <c r="O998" i="11" s="1"/>
  <c r="M999" i="11"/>
  <c r="O999" i="11" s="1"/>
  <c r="M1000" i="11"/>
  <c r="O1000" i="11" s="1"/>
  <c r="M1001" i="11"/>
  <c r="O1001" i="11" s="1"/>
  <c r="M1002" i="11"/>
  <c r="O1002" i="11" s="1"/>
  <c r="M1003" i="11"/>
  <c r="O1003" i="11" s="1"/>
  <c r="M1004" i="11"/>
  <c r="O1004" i="11" s="1"/>
  <c r="M1005" i="11"/>
  <c r="O1005" i="11" s="1"/>
  <c r="M1006" i="11"/>
  <c r="O1006" i="11" s="1"/>
  <c r="M1007" i="11"/>
  <c r="O1007" i="11" s="1"/>
  <c r="M1008" i="11"/>
  <c r="O1008" i="11" s="1"/>
  <c r="M1009" i="11"/>
  <c r="O1009" i="11" s="1"/>
  <c r="M1010" i="11"/>
  <c r="O1010" i="11" s="1"/>
  <c r="M1011" i="11"/>
  <c r="O1011" i="11" s="1"/>
  <c r="M1012" i="11"/>
  <c r="O1012" i="11" s="1"/>
  <c r="M1013" i="11"/>
  <c r="O1013" i="11" s="1"/>
  <c r="M1014" i="11"/>
  <c r="O1014" i="11" s="1"/>
  <c r="M1015" i="11"/>
  <c r="O1015" i="11" s="1"/>
  <c r="M1016" i="11"/>
  <c r="O1016" i="11" s="1"/>
  <c r="M1017" i="11"/>
  <c r="O1017" i="11" s="1"/>
  <c r="M1018" i="11"/>
  <c r="O1018" i="11" s="1"/>
  <c r="M1019" i="11"/>
  <c r="O1019" i="11" s="1"/>
  <c r="M1020" i="11"/>
  <c r="O1020" i="11" s="1"/>
  <c r="M1021" i="11"/>
  <c r="O1021" i="11" s="1"/>
  <c r="M1022" i="11"/>
  <c r="O1022" i="11" s="1"/>
  <c r="M1023" i="11"/>
  <c r="O1023" i="11" s="1"/>
  <c r="M1024" i="11"/>
  <c r="O1024" i="11" s="1"/>
  <c r="M1025" i="11"/>
  <c r="O1025" i="11" s="1"/>
  <c r="M1026" i="11"/>
  <c r="O1026" i="11" s="1"/>
  <c r="M1027" i="11"/>
  <c r="O1027" i="11" s="1"/>
  <c r="M1028" i="11"/>
  <c r="O1028" i="11" s="1"/>
  <c r="M1029" i="11"/>
  <c r="O1029" i="11" s="1"/>
  <c r="M1030" i="11"/>
  <c r="O1030" i="11" s="1"/>
  <c r="M1031" i="11"/>
  <c r="O1031" i="11" s="1"/>
  <c r="M1032" i="11"/>
  <c r="O1032" i="11" s="1"/>
  <c r="M1033" i="11"/>
  <c r="O1033" i="11" s="1"/>
  <c r="M1034" i="11"/>
  <c r="O1034" i="11" s="1"/>
  <c r="M1035" i="11"/>
  <c r="O1035" i="11" s="1"/>
  <c r="M1036" i="11"/>
  <c r="O1036" i="11" s="1"/>
  <c r="M1037" i="11"/>
  <c r="O1037" i="11" s="1"/>
  <c r="M1038" i="11"/>
  <c r="O1038" i="11" s="1"/>
  <c r="M1039" i="11"/>
  <c r="O1039" i="11" s="1"/>
  <c r="M1040" i="11"/>
  <c r="O1040" i="11" s="1"/>
  <c r="M1041" i="11"/>
  <c r="O1041" i="11" s="1"/>
  <c r="M1042" i="11"/>
  <c r="O1042" i="11" s="1"/>
  <c r="M1043" i="11"/>
  <c r="O1043" i="11" s="1"/>
  <c r="M1044" i="11"/>
  <c r="O1044" i="11" s="1"/>
  <c r="M1045" i="11"/>
  <c r="O1045" i="11" s="1"/>
  <c r="M1046" i="11"/>
  <c r="O1046" i="11" s="1"/>
  <c r="M1047" i="11"/>
  <c r="O1047" i="11" s="1"/>
  <c r="M1048" i="11"/>
  <c r="O1048" i="11" s="1"/>
  <c r="M1049" i="11"/>
  <c r="O1049" i="11" s="1"/>
  <c r="M1050" i="11"/>
  <c r="O1050" i="11" s="1"/>
  <c r="M1051" i="11"/>
  <c r="O1051" i="11" s="1"/>
  <c r="M1052" i="11"/>
  <c r="O1052" i="11" s="1"/>
  <c r="M1053" i="11"/>
  <c r="O1053" i="11" s="1"/>
  <c r="M1054" i="11"/>
  <c r="O1054" i="11" s="1"/>
  <c r="M1055" i="11"/>
  <c r="O1055" i="11" s="1"/>
  <c r="M1056" i="11"/>
  <c r="O1056" i="11" s="1"/>
  <c r="M1057" i="11"/>
  <c r="O1057" i="11" s="1"/>
  <c r="M1058" i="11"/>
  <c r="O1058" i="11" s="1"/>
  <c r="M1059" i="11"/>
  <c r="O1059" i="11" s="1"/>
  <c r="M1060" i="11"/>
  <c r="O1060" i="11" s="1"/>
  <c r="M1061" i="11"/>
  <c r="O1061" i="11" s="1"/>
  <c r="M1062" i="11"/>
  <c r="O1062" i="11" s="1"/>
  <c r="M1063" i="11"/>
  <c r="O1063" i="11" s="1"/>
  <c r="M1064" i="11"/>
  <c r="O1064" i="11" s="1"/>
  <c r="M1065" i="11"/>
  <c r="O1065" i="11" s="1"/>
  <c r="M1066" i="11"/>
  <c r="O1066" i="11" s="1"/>
  <c r="M1067" i="11"/>
  <c r="O1067" i="11" s="1"/>
  <c r="M1068" i="11"/>
  <c r="O1068" i="11" s="1"/>
  <c r="M1069" i="11"/>
  <c r="O1069" i="11" s="1"/>
  <c r="M1070" i="11"/>
  <c r="O1070" i="11" s="1"/>
  <c r="M1071" i="11"/>
  <c r="O1071" i="11" s="1"/>
  <c r="M1072" i="11"/>
  <c r="O1072" i="11" s="1"/>
  <c r="M1073" i="11"/>
  <c r="O1073" i="11" s="1"/>
  <c r="M1074" i="11"/>
  <c r="O1074" i="11" s="1"/>
  <c r="M1075" i="11"/>
  <c r="O1075" i="11" s="1"/>
  <c r="M1076" i="11"/>
  <c r="O1076" i="11" s="1"/>
  <c r="M1077" i="11"/>
  <c r="O1077" i="11" s="1"/>
  <c r="M1078" i="11"/>
  <c r="O1078" i="11" s="1"/>
  <c r="M1079" i="11"/>
  <c r="O1079" i="11" s="1"/>
  <c r="M1080" i="11"/>
  <c r="O1080" i="11" s="1"/>
  <c r="M1081" i="11"/>
  <c r="O1081" i="11" s="1"/>
  <c r="M1082" i="11"/>
  <c r="O1082" i="11" s="1"/>
  <c r="M1083" i="11"/>
  <c r="O1083" i="11" s="1"/>
  <c r="M1084" i="11"/>
  <c r="O1084" i="11" s="1"/>
  <c r="M1085" i="11"/>
  <c r="O1085" i="11" s="1"/>
  <c r="M1086" i="11"/>
  <c r="O1086" i="11" s="1"/>
  <c r="M1087" i="11"/>
  <c r="O1087" i="11" s="1"/>
  <c r="M1088" i="11"/>
  <c r="O1088" i="11" s="1"/>
  <c r="M1089" i="11"/>
  <c r="O1089" i="11" s="1"/>
  <c r="M1090" i="11"/>
  <c r="O1090" i="11" s="1"/>
  <c r="M1091" i="11"/>
  <c r="O1091" i="11" s="1"/>
  <c r="M1092" i="11"/>
  <c r="O1092" i="11" s="1"/>
  <c r="M1093" i="11"/>
  <c r="O1093" i="11" s="1"/>
  <c r="M1094" i="11"/>
  <c r="O1094" i="11" s="1"/>
  <c r="M1095" i="11"/>
  <c r="O1095" i="11" s="1"/>
  <c r="M1096" i="11"/>
  <c r="O1096" i="11" s="1"/>
  <c r="M1097" i="11"/>
  <c r="O1097" i="11" s="1"/>
  <c r="M1098" i="11"/>
  <c r="O1098" i="11" s="1"/>
  <c r="M1099" i="11"/>
  <c r="O1099" i="11" s="1"/>
  <c r="M1100" i="11"/>
  <c r="O1100" i="11" s="1"/>
  <c r="M1101" i="11"/>
  <c r="O1101" i="11" s="1"/>
  <c r="M1102" i="11"/>
  <c r="O1102" i="11" s="1"/>
  <c r="M1103" i="11"/>
  <c r="O1103" i="11" s="1"/>
  <c r="M1104" i="11"/>
  <c r="O1104" i="11" s="1"/>
  <c r="M1105" i="11"/>
  <c r="O1105" i="11" s="1"/>
  <c r="M1106" i="11"/>
  <c r="O1106" i="11" s="1"/>
  <c r="M1107" i="11"/>
  <c r="O1107" i="11" s="1"/>
  <c r="M1108" i="11"/>
  <c r="O1108" i="11" s="1"/>
  <c r="M1109" i="11"/>
  <c r="O1109" i="11" s="1"/>
  <c r="M1110" i="11"/>
  <c r="O1110" i="11" s="1"/>
  <c r="M1111" i="11"/>
  <c r="O1111" i="11" s="1"/>
  <c r="M1112" i="11"/>
  <c r="O1112" i="11" s="1"/>
  <c r="M1113" i="11"/>
  <c r="O1113" i="11" s="1"/>
  <c r="M1114" i="11"/>
  <c r="O1114" i="11" s="1"/>
  <c r="M1115" i="11"/>
  <c r="O1115" i="11" s="1"/>
  <c r="M1116" i="11"/>
  <c r="O1116" i="11" s="1"/>
  <c r="M1117" i="11"/>
  <c r="O1117" i="11" s="1"/>
  <c r="M1118" i="11"/>
  <c r="O1118" i="11" s="1"/>
  <c r="M1119" i="11"/>
  <c r="O1119" i="11" s="1"/>
  <c r="M1120" i="11"/>
  <c r="O1120" i="11" s="1"/>
  <c r="M1121" i="11"/>
  <c r="O1121" i="11" s="1"/>
  <c r="M1122" i="11"/>
  <c r="O1122" i="11" s="1"/>
  <c r="M1123" i="11"/>
  <c r="O1123" i="11" s="1"/>
  <c r="M1124" i="11"/>
  <c r="O1124" i="11" s="1"/>
  <c r="M1125" i="11"/>
  <c r="O1125" i="11" s="1"/>
  <c r="M1126" i="11"/>
  <c r="O1126" i="11" s="1"/>
  <c r="M1127" i="11"/>
  <c r="O1127" i="11" s="1"/>
  <c r="M1128" i="11"/>
  <c r="O1128" i="11" s="1"/>
  <c r="M1129" i="11"/>
  <c r="O1129" i="11" s="1"/>
  <c r="M1130" i="11"/>
  <c r="O1130" i="11" s="1"/>
  <c r="M1131" i="11"/>
  <c r="O1131" i="11" s="1"/>
  <c r="M1132" i="11"/>
  <c r="O1132" i="11" s="1"/>
  <c r="M1133" i="11"/>
  <c r="O1133" i="11" s="1"/>
  <c r="M1134" i="11"/>
  <c r="O1134" i="11" s="1"/>
  <c r="M1135" i="11"/>
  <c r="O1135" i="11" s="1"/>
  <c r="M1136" i="11"/>
  <c r="O1136" i="11" s="1"/>
  <c r="M1137" i="11"/>
  <c r="O1137" i="11" s="1"/>
  <c r="M1138" i="11"/>
  <c r="O1138" i="11" s="1"/>
  <c r="M1139" i="11"/>
  <c r="O1139" i="11" s="1"/>
  <c r="M1140" i="11"/>
  <c r="O1140" i="11" s="1"/>
  <c r="M1141" i="11"/>
  <c r="O1141" i="11" s="1"/>
  <c r="M1142" i="11"/>
  <c r="O1142" i="11" s="1"/>
  <c r="M1143" i="11"/>
  <c r="O1143" i="11" s="1"/>
  <c r="M1144" i="11"/>
  <c r="O1144" i="11" s="1"/>
  <c r="M1145" i="11"/>
  <c r="O1145" i="11" s="1"/>
  <c r="M1146" i="11"/>
  <c r="O1146" i="11" s="1"/>
  <c r="M1147" i="11"/>
  <c r="O1147" i="11" s="1"/>
  <c r="M1148" i="11"/>
  <c r="O1148" i="11" s="1"/>
  <c r="M1149" i="11"/>
  <c r="O1149" i="11" s="1"/>
  <c r="M1150" i="11"/>
  <c r="O1150" i="11" s="1"/>
  <c r="M1151" i="11"/>
  <c r="O1151" i="11" s="1"/>
  <c r="M1152" i="11"/>
  <c r="O1152" i="11" s="1"/>
  <c r="M1153" i="11"/>
  <c r="O1153" i="11" s="1"/>
  <c r="M1154" i="11"/>
  <c r="O1154" i="11" s="1"/>
  <c r="M1155" i="11"/>
  <c r="O1155" i="11" s="1"/>
  <c r="M1156" i="11"/>
  <c r="O1156" i="11" s="1"/>
  <c r="M1157" i="11"/>
  <c r="O1157" i="11" s="1"/>
  <c r="M1158" i="11"/>
  <c r="O1158" i="11" s="1"/>
  <c r="M1159" i="11"/>
  <c r="O1159" i="11" s="1"/>
  <c r="M1160" i="11"/>
  <c r="O1160" i="11" s="1"/>
  <c r="M1161" i="11"/>
  <c r="O1161" i="11" s="1"/>
  <c r="M1162" i="11"/>
  <c r="O1162" i="11" s="1"/>
  <c r="M1163" i="11"/>
  <c r="O1163" i="11" s="1"/>
  <c r="M1164" i="11"/>
  <c r="O1164" i="11" s="1"/>
  <c r="M1165" i="11"/>
  <c r="O1165" i="11" s="1"/>
  <c r="M1166" i="11"/>
  <c r="O1166" i="11" s="1"/>
  <c r="M1167" i="11"/>
  <c r="O1167" i="11" s="1"/>
  <c r="M1168" i="11"/>
  <c r="O1168" i="11" s="1"/>
  <c r="M1169" i="11"/>
  <c r="O1169" i="11" s="1"/>
  <c r="M1170" i="11"/>
  <c r="O1170" i="11" s="1"/>
  <c r="M1171" i="11"/>
  <c r="O1171" i="11" s="1"/>
  <c r="M1172" i="11"/>
  <c r="O1172" i="11" s="1"/>
  <c r="M1173" i="11"/>
  <c r="O1173" i="11" s="1"/>
  <c r="M1174" i="11"/>
  <c r="O1174" i="11" s="1"/>
  <c r="M1175" i="11"/>
  <c r="O1175" i="11" s="1"/>
  <c r="M1176" i="11"/>
  <c r="O1176" i="11" s="1"/>
  <c r="M1177" i="11"/>
  <c r="O1177" i="11" s="1"/>
  <c r="M1178" i="11"/>
  <c r="O1178" i="11" s="1"/>
  <c r="M1179" i="11"/>
  <c r="O1179" i="11" s="1"/>
  <c r="M1180" i="11"/>
  <c r="O1180" i="11" s="1"/>
  <c r="M1181" i="11"/>
  <c r="O1181" i="11" s="1"/>
  <c r="M1182" i="11"/>
  <c r="O1182" i="11" s="1"/>
  <c r="M1183" i="11"/>
  <c r="O1183" i="11" s="1"/>
  <c r="M1184" i="11"/>
  <c r="O1184" i="11" s="1"/>
  <c r="M1185" i="11"/>
  <c r="O1185" i="11" s="1"/>
  <c r="M1186" i="11"/>
  <c r="O1186" i="11" s="1"/>
  <c r="M1187" i="11"/>
  <c r="O1187" i="11" s="1"/>
  <c r="M1188" i="11"/>
  <c r="O1188" i="11" s="1"/>
  <c r="M1189" i="11"/>
  <c r="O1189" i="11" s="1"/>
  <c r="M1190" i="11"/>
  <c r="O1190" i="11" s="1"/>
  <c r="M1191" i="11"/>
  <c r="O1191" i="11" s="1"/>
  <c r="M1192" i="11"/>
  <c r="O1192" i="11" s="1"/>
  <c r="M1193" i="11"/>
  <c r="O1193" i="11" s="1"/>
  <c r="M1194" i="11"/>
  <c r="O1194" i="11" s="1"/>
  <c r="M1195" i="11"/>
  <c r="O1195" i="11" s="1"/>
  <c r="M1196" i="11"/>
  <c r="O1196" i="11" s="1"/>
  <c r="M1197" i="11"/>
  <c r="O1197" i="11" s="1"/>
  <c r="M1198" i="11"/>
  <c r="O1198" i="11" s="1"/>
  <c r="M1199" i="11"/>
  <c r="O1199" i="11" s="1"/>
  <c r="M1200" i="11"/>
  <c r="O1200" i="11" s="1"/>
  <c r="M1201" i="11"/>
  <c r="O1201" i="11" s="1"/>
  <c r="M1202" i="11"/>
  <c r="O1202" i="11" s="1"/>
  <c r="M1203" i="11"/>
  <c r="O1203" i="11" s="1"/>
  <c r="M1204" i="11"/>
  <c r="O1204" i="11" s="1"/>
  <c r="M1205" i="11"/>
  <c r="O1205" i="11" s="1"/>
  <c r="M1206" i="11"/>
  <c r="O1206" i="11" s="1"/>
  <c r="M1207" i="11"/>
  <c r="O1207" i="11" s="1"/>
  <c r="M1208" i="11"/>
  <c r="O1208" i="11" s="1"/>
  <c r="M1209" i="11"/>
  <c r="O1209" i="11" s="1"/>
  <c r="M1210" i="11"/>
  <c r="O1210" i="11" s="1"/>
  <c r="M1211" i="11"/>
  <c r="O1211" i="11" s="1"/>
  <c r="M1212" i="11"/>
  <c r="O1212" i="11" s="1"/>
  <c r="M1213" i="11"/>
  <c r="O1213" i="11" s="1"/>
  <c r="M1214" i="11"/>
  <c r="O1214" i="11" s="1"/>
  <c r="M1215" i="11"/>
  <c r="O1215" i="11" s="1"/>
  <c r="M1216" i="11"/>
  <c r="O1216" i="11" s="1"/>
  <c r="M1217" i="11"/>
  <c r="O1217" i="11" s="1"/>
  <c r="M1218" i="11"/>
  <c r="O1218" i="11" s="1"/>
  <c r="M1219" i="11"/>
  <c r="O1219" i="11" s="1"/>
  <c r="M1220" i="11"/>
  <c r="O1220" i="11" s="1"/>
  <c r="M1221" i="11"/>
  <c r="O1221" i="11" s="1"/>
  <c r="M1222" i="11"/>
  <c r="O1222" i="11" s="1"/>
  <c r="M1223" i="11"/>
  <c r="O1223" i="11" s="1"/>
  <c r="M1224" i="11"/>
  <c r="O1224" i="11" s="1"/>
  <c r="M1225" i="11"/>
  <c r="O1225" i="11" s="1"/>
  <c r="M1226" i="11"/>
  <c r="O1226" i="11" s="1"/>
  <c r="M1227" i="11"/>
  <c r="O1227" i="11" s="1"/>
  <c r="M1228" i="11"/>
  <c r="O1228" i="11" s="1"/>
  <c r="M1229" i="11"/>
  <c r="O1229" i="11" s="1"/>
  <c r="M1230" i="11"/>
  <c r="O1230" i="11" s="1"/>
  <c r="M1231" i="11"/>
  <c r="O1231" i="11" s="1"/>
  <c r="M1232" i="11"/>
  <c r="O1232" i="11" s="1"/>
  <c r="M1233" i="11"/>
  <c r="O1233" i="11" s="1"/>
  <c r="M1234" i="11"/>
  <c r="O1234" i="11" s="1"/>
  <c r="M1235" i="11"/>
  <c r="O1235" i="11" s="1"/>
  <c r="M1236" i="11"/>
  <c r="O1236" i="11" s="1"/>
  <c r="M1237" i="11"/>
  <c r="O1237" i="11" s="1"/>
  <c r="M1238" i="11"/>
  <c r="O1238" i="11" s="1"/>
  <c r="M1239" i="11"/>
  <c r="O1239" i="11" s="1"/>
  <c r="M1240" i="11"/>
  <c r="O1240" i="11" s="1"/>
  <c r="M1241" i="11"/>
  <c r="O1241" i="11" s="1"/>
  <c r="M1242" i="11"/>
  <c r="O1242" i="11" s="1"/>
  <c r="M1243" i="11"/>
  <c r="O1243" i="11" s="1"/>
  <c r="M1244" i="11"/>
  <c r="O1244" i="11" s="1"/>
  <c r="M1245" i="11"/>
  <c r="O1245" i="11" s="1"/>
  <c r="M1246" i="11"/>
  <c r="O1246" i="11" s="1"/>
  <c r="M1247" i="11"/>
  <c r="O1247" i="11" s="1"/>
  <c r="M1248" i="11"/>
  <c r="O1248" i="11" s="1"/>
  <c r="M1249" i="11"/>
  <c r="O1249" i="11" s="1"/>
  <c r="M1250" i="11"/>
  <c r="O1250" i="11" s="1"/>
  <c r="M1251" i="11"/>
  <c r="O1251" i="11" s="1"/>
  <c r="M1252" i="11"/>
  <c r="O1252" i="11" s="1"/>
  <c r="M1253" i="11"/>
  <c r="O1253" i="11" s="1"/>
  <c r="M1254" i="11"/>
  <c r="O1254" i="11" s="1"/>
  <c r="M1255" i="11"/>
  <c r="O1255" i="11" s="1"/>
  <c r="M1256" i="11"/>
  <c r="O1256" i="11" s="1"/>
  <c r="M1257" i="11"/>
  <c r="O1257" i="11" s="1"/>
  <c r="M1258" i="11"/>
  <c r="O1258" i="11" s="1"/>
  <c r="M1259" i="11"/>
  <c r="O1259" i="11" s="1"/>
  <c r="M1260" i="11"/>
  <c r="O1260" i="11" s="1"/>
  <c r="M1261" i="11"/>
  <c r="O1261" i="11" s="1"/>
  <c r="M1262" i="11"/>
  <c r="O1262" i="11" s="1"/>
  <c r="M1263" i="11"/>
  <c r="O1263" i="11" s="1"/>
  <c r="M1264" i="11"/>
  <c r="O1264" i="11" s="1"/>
  <c r="M1265" i="11"/>
  <c r="O1265" i="11" s="1"/>
  <c r="M1266" i="11"/>
  <c r="O1266" i="11" s="1"/>
  <c r="M1267" i="11"/>
  <c r="O1267" i="11" s="1"/>
  <c r="M1268" i="11"/>
  <c r="O1268" i="11" s="1"/>
  <c r="M1269" i="11"/>
  <c r="O1269" i="11" s="1"/>
  <c r="M1270" i="11"/>
  <c r="O1270" i="11" s="1"/>
  <c r="M1271" i="11"/>
  <c r="O1271" i="11" s="1"/>
  <c r="M1272" i="11"/>
  <c r="O1272" i="11" s="1"/>
  <c r="M1273" i="11"/>
  <c r="O1273" i="11" s="1"/>
  <c r="M1274" i="11"/>
  <c r="O1274" i="11" s="1"/>
  <c r="M1275" i="11"/>
  <c r="O1275" i="11" s="1"/>
  <c r="M1276" i="11"/>
  <c r="O1276" i="11" s="1"/>
  <c r="M1277" i="11"/>
  <c r="O1277" i="11" s="1"/>
  <c r="M1278" i="11"/>
  <c r="O1278" i="11" s="1"/>
  <c r="M1279" i="11"/>
  <c r="O1279" i="11" s="1"/>
  <c r="M1280" i="11"/>
  <c r="O1280" i="11" s="1"/>
  <c r="M1281" i="11"/>
  <c r="O1281" i="11" s="1"/>
  <c r="M1282" i="11"/>
  <c r="O1282" i="11" s="1"/>
  <c r="M1283" i="11"/>
  <c r="O1283" i="11" s="1"/>
  <c r="M1284" i="11"/>
  <c r="O1284" i="11" s="1"/>
  <c r="M1285" i="11"/>
  <c r="O1285" i="11" s="1"/>
  <c r="M1286" i="11"/>
  <c r="O1286" i="11" s="1"/>
  <c r="M1287" i="11"/>
  <c r="O1287" i="11" s="1"/>
  <c r="M1288" i="11"/>
  <c r="O1288" i="11" s="1"/>
  <c r="M1289" i="11"/>
  <c r="O1289" i="11" s="1"/>
  <c r="M1290" i="11"/>
  <c r="O1290" i="11" s="1"/>
  <c r="M1291" i="11"/>
  <c r="O1291" i="11" s="1"/>
  <c r="M1292" i="11"/>
  <c r="O1292" i="11" s="1"/>
  <c r="M1293" i="11"/>
  <c r="O1293" i="11" s="1"/>
  <c r="M1294" i="11"/>
  <c r="O1294" i="11" s="1"/>
  <c r="M1295" i="11"/>
  <c r="O1295" i="11" s="1"/>
  <c r="M1296" i="11"/>
  <c r="O1296" i="11" s="1"/>
  <c r="M1297" i="11"/>
  <c r="O1297" i="11" s="1"/>
  <c r="M1298" i="11"/>
  <c r="O1298" i="11" s="1"/>
  <c r="M1299" i="11"/>
  <c r="O1299" i="11" s="1"/>
  <c r="M1300" i="11"/>
  <c r="O1300" i="11" s="1"/>
  <c r="M1301" i="11"/>
  <c r="O1301" i="11" s="1"/>
  <c r="M1302" i="11"/>
  <c r="O1302" i="11" s="1"/>
  <c r="M1303" i="11"/>
  <c r="O1303" i="11" s="1"/>
  <c r="M1304" i="11"/>
  <c r="O1304" i="11" s="1"/>
  <c r="M1305" i="11"/>
  <c r="O1305" i="11" s="1"/>
  <c r="M1306" i="11"/>
  <c r="O1306" i="11" s="1"/>
  <c r="M1307" i="11"/>
  <c r="O1307" i="11" s="1"/>
  <c r="M1308" i="11"/>
  <c r="O1308" i="11" s="1"/>
  <c r="M1309" i="11"/>
  <c r="O1309" i="11" s="1"/>
  <c r="M1310" i="11"/>
  <c r="O1310" i="11" s="1"/>
  <c r="M1311" i="11"/>
  <c r="O1311" i="11" s="1"/>
  <c r="M1312" i="11"/>
  <c r="O1312" i="11" s="1"/>
  <c r="M1313" i="11"/>
  <c r="O1313" i="11" s="1"/>
  <c r="M1314" i="11"/>
  <c r="O1314" i="11" s="1"/>
  <c r="M1315" i="11"/>
  <c r="O1315" i="11" s="1"/>
  <c r="M1316" i="11"/>
  <c r="O1316" i="11" s="1"/>
  <c r="M1317" i="11"/>
  <c r="O1317" i="11" s="1"/>
  <c r="M1318" i="11"/>
  <c r="O1318" i="11" s="1"/>
  <c r="M1319" i="11"/>
  <c r="O1319" i="11" s="1"/>
  <c r="M1320" i="11"/>
  <c r="O1320" i="11" s="1"/>
  <c r="M1321" i="11"/>
  <c r="O1321" i="11" s="1"/>
  <c r="M1322" i="11"/>
  <c r="O1322" i="11" s="1"/>
  <c r="M1323" i="11"/>
  <c r="O1323" i="11" s="1"/>
  <c r="M1324" i="11"/>
  <c r="O1324" i="11" s="1"/>
  <c r="M1325" i="11"/>
  <c r="O1325" i="11" s="1"/>
  <c r="M1326" i="11"/>
  <c r="O1326" i="11" s="1"/>
  <c r="M1327" i="11"/>
  <c r="O1327" i="11" s="1"/>
  <c r="M1328" i="11"/>
  <c r="O1328" i="11" s="1"/>
  <c r="M1329" i="11"/>
  <c r="O1329" i="11" s="1"/>
  <c r="M1330" i="11"/>
  <c r="O1330" i="11" s="1"/>
  <c r="M1331" i="11"/>
  <c r="O1331" i="11" s="1"/>
  <c r="M1332" i="11"/>
  <c r="O1332" i="11" s="1"/>
  <c r="M1333" i="11"/>
  <c r="O1333" i="11" s="1"/>
  <c r="M1334" i="11"/>
  <c r="O1334" i="11" s="1"/>
  <c r="M1335" i="11"/>
  <c r="O1335" i="11" s="1"/>
  <c r="M1336" i="11"/>
  <c r="O1336" i="11" s="1"/>
  <c r="M1337" i="11"/>
  <c r="O1337" i="11" s="1"/>
  <c r="M1338" i="11"/>
  <c r="O1338" i="11" s="1"/>
  <c r="M1339" i="11"/>
  <c r="O1339" i="11" s="1"/>
  <c r="M1340" i="11"/>
  <c r="O1340" i="11" s="1"/>
  <c r="M1341" i="11"/>
  <c r="O1341" i="11" s="1"/>
  <c r="M1342" i="11"/>
  <c r="O1342" i="11" s="1"/>
  <c r="M1343" i="11"/>
  <c r="O1343" i="11" s="1"/>
  <c r="M1344" i="11"/>
  <c r="O1344" i="11" s="1"/>
  <c r="M1345" i="11"/>
  <c r="O1345" i="11" s="1"/>
  <c r="M1346" i="11"/>
  <c r="O1346" i="11" s="1"/>
  <c r="M1347" i="11"/>
  <c r="O1347" i="11" s="1"/>
  <c r="M1348" i="11"/>
  <c r="O1348" i="11" s="1"/>
  <c r="M1349" i="11"/>
  <c r="O1349" i="11" s="1"/>
  <c r="M1350" i="11"/>
  <c r="O1350" i="11" s="1"/>
  <c r="M1351" i="11"/>
  <c r="O1351" i="11" s="1"/>
  <c r="M1352" i="11"/>
  <c r="O1352" i="11" s="1"/>
  <c r="M1353" i="11"/>
  <c r="O1353" i="11" s="1"/>
  <c r="M1354" i="11"/>
  <c r="O1354" i="11" s="1"/>
  <c r="M1355" i="11"/>
  <c r="O1355" i="11" s="1"/>
  <c r="M1356" i="11"/>
  <c r="O1356" i="11" s="1"/>
  <c r="M1357" i="11"/>
  <c r="O1357" i="11" s="1"/>
  <c r="M1358" i="11"/>
  <c r="O1358" i="11" s="1"/>
  <c r="M1359" i="11"/>
  <c r="O1359" i="11" s="1"/>
  <c r="M1360" i="11"/>
  <c r="O1360" i="11" s="1"/>
  <c r="M1361" i="11"/>
  <c r="O1361" i="11" s="1"/>
  <c r="M1362" i="11"/>
  <c r="O1362" i="11" s="1"/>
  <c r="M1363" i="11"/>
  <c r="O1363" i="11" s="1"/>
  <c r="M1364" i="11"/>
  <c r="O1364" i="11" s="1"/>
  <c r="M1365" i="11"/>
  <c r="O1365" i="11" s="1"/>
  <c r="M1366" i="11"/>
  <c r="O1366" i="11" s="1"/>
  <c r="M1367" i="11"/>
  <c r="O1367" i="11" s="1"/>
  <c r="M1368" i="11"/>
  <c r="O1368" i="11" s="1"/>
  <c r="M1369" i="11"/>
  <c r="O1369" i="11" s="1"/>
  <c r="M1370" i="11"/>
  <c r="O1370" i="11" s="1"/>
  <c r="M1371" i="11"/>
  <c r="O1371" i="11" s="1"/>
  <c r="M1372" i="11"/>
  <c r="O1372" i="11" s="1"/>
  <c r="M1373" i="11"/>
  <c r="O1373" i="11" s="1"/>
  <c r="M1374" i="11"/>
  <c r="O1374" i="11" s="1"/>
  <c r="M1375" i="11"/>
  <c r="O1375" i="11" s="1"/>
  <c r="M1376" i="11"/>
  <c r="O1376" i="11" s="1"/>
  <c r="M1377" i="11"/>
  <c r="O1377" i="11" s="1"/>
  <c r="M1378" i="11"/>
  <c r="O1378" i="11" s="1"/>
  <c r="M1379" i="11"/>
  <c r="O1379" i="11" s="1"/>
  <c r="M1380" i="11"/>
  <c r="O1380" i="11" s="1"/>
  <c r="M1381" i="11"/>
  <c r="O1381" i="11" s="1"/>
  <c r="M1382" i="11"/>
  <c r="O1382" i="11" s="1"/>
  <c r="M1383" i="11"/>
  <c r="O1383" i="11" s="1"/>
  <c r="M1384" i="11"/>
  <c r="O1384" i="11" s="1"/>
  <c r="M1385" i="11"/>
  <c r="O1385" i="11" s="1"/>
  <c r="M1386" i="11"/>
  <c r="O1386" i="11" s="1"/>
  <c r="M1387" i="11"/>
  <c r="O1387" i="11" s="1"/>
  <c r="M1388" i="11"/>
  <c r="O1388" i="11" s="1"/>
  <c r="M1389" i="11"/>
  <c r="O1389" i="11" s="1"/>
  <c r="M1390" i="11"/>
  <c r="O1390" i="11" s="1"/>
  <c r="M1391" i="11"/>
  <c r="O1391" i="11" s="1"/>
  <c r="M1392" i="11"/>
  <c r="O1392" i="11" s="1"/>
  <c r="M1393" i="11"/>
  <c r="O1393" i="11" s="1"/>
  <c r="M1394" i="11"/>
  <c r="O1394" i="11" s="1"/>
  <c r="M1395" i="11"/>
  <c r="O1395" i="11" s="1"/>
  <c r="M1396" i="11"/>
  <c r="O1396" i="11" s="1"/>
  <c r="M1397" i="11"/>
  <c r="O1397" i="11" s="1"/>
  <c r="M1398" i="11"/>
  <c r="O1398" i="11" s="1"/>
  <c r="M1399" i="11"/>
  <c r="O1399" i="11" s="1"/>
  <c r="M1400" i="11"/>
  <c r="O1400" i="11" s="1"/>
  <c r="M1401" i="11"/>
  <c r="O1401" i="11" s="1"/>
  <c r="M1402" i="11"/>
  <c r="O1402" i="11" s="1"/>
  <c r="M1403" i="11"/>
  <c r="O1403" i="11" s="1"/>
  <c r="M1404" i="11"/>
  <c r="O1404" i="11" s="1"/>
  <c r="M1405" i="11"/>
  <c r="O1405" i="11" s="1"/>
  <c r="M1406" i="11"/>
  <c r="O1406" i="11" s="1"/>
  <c r="M1407" i="11"/>
  <c r="O1407" i="11" s="1"/>
  <c r="M1408" i="11"/>
  <c r="O1408" i="11" s="1"/>
  <c r="M1409" i="11"/>
  <c r="O1409" i="11" s="1"/>
  <c r="M1410" i="11"/>
  <c r="O1410" i="11" s="1"/>
  <c r="M1411" i="11"/>
  <c r="O1411" i="11" s="1"/>
  <c r="M1412" i="11"/>
  <c r="O1412" i="11" s="1"/>
  <c r="M1413" i="11"/>
  <c r="O1413" i="11" s="1"/>
  <c r="M1414" i="11"/>
  <c r="O1414" i="11" s="1"/>
  <c r="M1415" i="11"/>
  <c r="O1415" i="11" s="1"/>
  <c r="M1416" i="11"/>
  <c r="O1416" i="11" s="1"/>
  <c r="M1417" i="11"/>
  <c r="O1417" i="11" s="1"/>
  <c r="M1418" i="11"/>
  <c r="O1418" i="11" s="1"/>
  <c r="M1419" i="11"/>
  <c r="O1419" i="11" s="1"/>
  <c r="M1420" i="11"/>
  <c r="O1420" i="11" s="1"/>
  <c r="M1421" i="11"/>
  <c r="O1421" i="11" s="1"/>
  <c r="M1422" i="11"/>
  <c r="O1422" i="11" s="1"/>
  <c r="M1423" i="11"/>
  <c r="O1423" i="11" s="1"/>
  <c r="M1424" i="11"/>
  <c r="O1424" i="11" s="1"/>
  <c r="M1425" i="11"/>
  <c r="O1425" i="11" s="1"/>
  <c r="M1426" i="11"/>
  <c r="O1426" i="11" s="1"/>
  <c r="M1427" i="11"/>
  <c r="O1427" i="11" s="1"/>
  <c r="M1428" i="11"/>
  <c r="O1428" i="11" s="1"/>
  <c r="M1429" i="11"/>
  <c r="O1429" i="11" s="1"/>
  <c r="M1430" i="11"/>
  <c r="O1430" i="11" s="1"/>
  <c r="M1431" i="11"/>
  <c r="O1431" i="11" s="1"/>
  <c r="M1432" i="11"/>
  <c r="O1432" i="11" s="1"/>
  <c r="M1433" i="11"/>
  <c r="O1433" i="11" s="1"/>
  <c r="M1434" i="11"/>
  <c r="O1434" i="11" s="1"/>
  <c r="M1435" i="11"/>
  <c r="O1435" i="11" s="1"/>
  <c r="M1436" i="11"/>
  <c r="O1436" i="11" s="1"/>
  <c r="M1437" i="11"/>
  <c r="O1437" i="11" s="1"/>
  <c r="M1438" i="11"/>
  <c r="O1438" i="11" s="1"/>
  <c r="M1439" i="11"/>
  <c r="O1439" i="11" s="1"/>
  <c r="M1440" i="11"/>
  <c r="O1440" i="11" s="1"/>
  <c r="M1441" i="11"/>
  <c r="O1441" i="11" s="1"/>
  <c r="M1442" i="11"/>
  <c r="O1442" i="11" s="1"/>
  <c r="M1443" i="11"/>
  <c r="O1443" i="11" s="1"/>
  <c r="M1444" i="11"/>
  <c r="O1444" i="11" s="1"/>
  <c r="M1445" i="11"/>
  <c r="O1445" i="11" s="1"/>
  <c r="M1446" i="11"/>
  <c r="O1446" i="11" s="1"/>
  <c r="M1447" i="11"/>
  <c r="O1447" i="11" s="1"/>
  <c r="M1448" i="11"/>
  <c r="O1448" i="11" s="1"/>
  <c r="M1449" i="11"/>
  <c r="O1449" i="11" s="1"/>
  <c r="M1450" i="11"/>
  <c r="O1450" i="11" s="1"/>
  <c r="M1451" i="11"/>
  <c r="O1451" i="11" s="1"/>
  <c r="M1452" i="11"/>
  <c r="O1452" i="11" s="1"/>
  <c r="M1453" i="11"/>
  <c r="O1453" i="11" s="1"/>
  <c r="M1454" i="11"/>
  <c r="O1454" i="11" s="1"/>
  <c r="M1455" i="11"/>
  <c r="O1455" i="11" s="1"/>
  <c r="M1456" i="11"/>
  <c r="O1456" i="11" s="1"/>
  <c r="M1457" i="11"/>
  <c r="O1457" i="11" s="1"/>
  <c r="M1458" i="11"/>
  <c r="O1458" i="11" s="1"/>
  <c r="M1459" i="11"/>
  <c r="O1459" i="11" s="1"/>
  <c r="M1460" i="11"/>
  <c r="O1460" i="11" s="1"/>
  <c r="M1461" i="11"/>
  <c r="O1461" i="11" s="1"/>
  <c r="M1462" i="11"/>
  <c r="O1462" i="11" s="1"/>
  <c r="M1463" i="11"/>
  <c r="O1463" i="11" s="1"/>
  <c r="M1464" i="11"/>
  <c r="O1464" i="11" s="1"/>
  <c r="M1465" i="11"/>
  <c r="O1465" i="11" s="1"/>
  <c r="M1466" i="11"/>
  <c r="O1466" i="11" s="1"/>
  <c r="M1467" i="11"/>
  <c r="O1467" i="11" s="1"/>
  <c r="M1468" i="11"/>
  <c r="O1468" i="11" s="1"/>
  <c r="M1469" i="11"/>
  <c r="O1469" i="11" s="1"/>
  <c r="M1470" i="11"/>
  <c r="O1470" i="11" s="1"/>
  <c r="M1471" i="11"/>
  <c r="O1471" i="11" s="1"/>
  <c r="M1472" i="11"/>
  <c r="O1472" i="11" s="1"/>
  <c r="M1473" i="11"/>
  <c r="O1473" i="11" s="1"/>
  <c r="M1474" i="11"/>
  <c r="O1474" i="11" s="1"/>
  <c r="M1475" i="11"/>
  <c r="O1475" i="11" s="1"/>
  <c r="M1476" i="11"/>
  <c r="O1476" i="11" s="1"/>
  <c r="M1477" i="11"/>
  <c r="O1477" i="11" s="1"/>
  <c r="M1478" i="11"/>
  <c r="O1478" i="11" s="1"/>
  <c r="M1479" i="11"/>
  <c r="O1479" i="11" s="1"/>
  <c r="M1480" i="11"/>
  <c r="O1480" i="11" s="1"/>
  <c r="M1481" i="11"/>
  <c r="O1481" i="11" s="1"/>
  <c r="M1482" i="11"/>
  <c r="O1482" i="11" s="1"/>
  <c r="M1483" i="11"/>
  <c r="O1483" i="11" s="1"/>
  <c r="M1484" i="11"/>
  <c r="O1484" i="11" s="1"/>
  <c r="M1485" i="11"/>
  <c r="O1485" i="11" s="1"/>
  <c r="M1486" i="11"/>
  <c r="O1486" i="11" s="1"/>
  <c r="M1487" i="11"/>
  <c r="O1487" i="11" s="1"/>
  <c r="M1488" i="11"/>
  <c r="O1488" i="11" s="1"/>
  <c r="M1489" i="11"/>
  <c r="O1489" i="11" s="1"/>
  <c r="M1490" i="11"/>
  <c r="O1490" i="11" s="1"/>
  <c r="M1491" i="11"/>
  <c r="O1491" i="11" s="1"/>
  <c r="M1492" i="11"/>
  <c r="O1492" i="11" s="1"/>
  <c r="M1493" i="11"/>
  <c r="O1493" i="11" s="1"/>
  <c r="M1494" i="11"/>
  <c r="O1494" i="11" s="1"/>
  <c r="M1495" i="11"/>
  <c r="O1495" i="11" s="1"/>
  <c r="M1496" i="11"/>
  <c r="O1496" i="11" s="1"/>
  <c r="M1497" i="11"/>
  <c r="O1497" i="11" s="1"/>
  <c r="M1498" i="11"/>
  <c r="O1498" i="11" s="1"/>
  <c r="M1499" i="11"/>
  <c r="O1499" i="11" s="1"/>
  <c r="M1500" i="11"/>
  <c r="O1500" i="11" s="1"/>
  <c r="M1501" i="11"/>
  <c r="O1501" i="11" s="1"/>
  <c r="M1502" i="11"/>
  <c r="O1502" i="11" s="1"/>
  <c r="M1503" i="11"/>
  <c r="O1503" i="11" s="1"/>
  <c r="M1504" i="11"/>
  <c r="O1504" i="11" s="1"/>
  <c r="M1505" i="11"/>
  <c r="O1505" i="11" s="1"/>
  <c r="M1506" i="11"/>
  <c r="O1506" i="11" s="1"/>
  <c r="M1507" i="11"/>
  <c r="O1507" i="11" s="1"/>
  <c r="M1508" i="11"/>
  <c r="O1508" i="11" s="1"/>
  <c r="M1509" i="11"/>
  <c r="O1509" i="11" s="1"/>
  <c r="M1510" i="11"/>
  <c r="O1510" i="11" s="1"/>
  <c r="M1511" i="11"/>
  <c r="O1511" i="11" s="1"/>
  <c r="M1512" i="11"/>
  <c r="O1512" i="11" s="1"/>
  <c r="M1513" i="11"/>
  <c r="O1513" i="11" s="1"/>
  <c r="M1514" i="11"/>
  <c r="O1514" i="11" s="1"/>
  <c r="M1515" i="11"/>
  <c r="O1515" i="11" s="1"/>
  <c r="M1516" i="11"/>
  <c r="O1516" i="11" s="1"/>
  <c r="M1517" i="11"/>
  <c r="O1517" i="11" s="1"/>
  <c r="M1518" i="11"/>
  <c r="O1518" i="11" s="1"/>
  <c r="M1519" i="11"/>
  <c r="O1519" i="11" s="1"/>
  <c r="M1520" i="11"/>
  <c r="O1520" i="11" s="1"/>
  <c r="M1521" i="11"/>
  <c r="O1521" i="11" s="1"/>
  <c r="M1522" i="11"/>
  <c r="O1522" i="11" s="1"/>
  <c r="M1523" i="11"/>
  <c r="O1523" i="11" s="1"/>
  <c r="M1524" i="11"/>
  <c r="O1524" i="11" s="1"/>
  <c r="M1525" i="11"/>
  <c r="O1525" i="11" s="1"/>
  <c r="M1526" i="11"/>
  <c r="O1526" i="11" s="1"/>
  <c r="M1527" i="11"/>
  <c r="O1527" i="11" s="1"/>
  <c r="M1528" i="11"/>
  <c r="O1528" i="11" s="1"/>
  <c r="M1529" i="11"/>
  <c r="O1529" i="11" s="1"/>
  <c r="M1530" i="11"/>
  <c r="O1530" i="11" s="1"/>
  <c r="M1531" i="11"/>
  <c r="O1531" i="11" s="1"/>
  <c r="M1532" i="11"/>
  <c r="O1532" i="11" s="1"/>
  <c r="M1533" i="11"/>
  <c r="O1533" i="11" s="1"/>
  <c r="M1534" i="11"/>
  <c r="O1534" i="11" s="1"/>
  <c r="M1535" i="11"/>
  <c r="O1535" i="11" s="1"/>
  <c r="M1536" i="11"/>
  <c r="O1536" i="11" s="1"/>
  <c r="M1537" i="11"/>
  <c r="O1537" i="11" s="1"/>
  <c r="M1538" i="11"/>
  <c r="O1538" i="11" s="1"/>
  <c r="M1539" i="11"/>
  <c r="O1539" i="11" s="1"/>
  <c r="M1540" i="11"/>
  <c r="O1540" i="11" s="1"/>
  <c r="M1541" i="11"/>
  <c r="O1541" i="11" s="1"/>
  <c r="M1542" i="11"/>
  <c r="O1542" i="11" s="1"/>
  <c r="M1543" i="11"/>
  <c r="O1543" i="11" s="1"/>
  <c r="M1544" i="11"/>
  <c r="O1544" i="11" s="1"/>
  <c r="M1545" i="11"/>
  <c r="O1545" i="11" s="1"/>
  <c r="M1546" i="11"/>
  <c r="O1546" i="11" s="1"/>
  <c r="M1547" i="11"/>
  <c r="O1547" i="11" s="1"/>
  <c r="M1548" i="11"/>
  <c r="O1548" i="11" s="1"/>
  <c r="M1549" i="11"/>
  <c r="O1549" i="11" s="1"/>
  <c r="M1550" i="11"/>
  <c r="O1550" i="11" s="1"/>
  <c r="M1551" i="11"/>
  <c r="O1551" i="11" s="1"/>
  <c r="M1552" i="11"/>
  <c r="O1552" i="11" s="1"/>
  <c r="M1553" i="11"/>
  <c r="O1553" i="11" s="1"/>
  <c r="M1554" i="11"/>
  <c r="O1554" i="11" s="1"/>
  <c r="M1555" i="11"/>
  <c r="O1555" i="11" s="1"/>
  <c r="M1556" i="11"/>
  <c r="O1556" i="11" s="1"/>
  <c r="M1557" i="11"/>
  <c r="O1557" i="11" s="1"/>
  <c r="M1558" i="11"/>
  <c r="O1558" i="11" s="1"/>
  <c r="M1559" i="11"/>
  <c r="O1559" i="11" s="1"/>
  <c r="M1560" i="11"/>
  <c r="O1560" i="11" s="1"/>
  <c r="M1561" i="11"/>
  <c r="O1561" i="11" s="1"/>
  <c r="M1562" i="11"/>
  <c r="O1562" i="11" s="1"/>
  <c r="M1563" i="11"/>
  <c r="O1563" i="11" s="1"/>
  <c r="M1564" i="11"/>
  <c r="O1564" i="11" s="1"/>
  <c r="M1565" i="11"/>
  <c r="O1565" i="11" s="1"/>
  <c r="M1566" i="11"/>
  <c r="O1566" i="11" s="1"/>
  <c r="M1567" i="11"/>
  <c r="O1567" i="11" s="1"/>
  <c r="M1568" i="11"/>
  <c r="O1568" i="11" s="1"/>
  <c r="M1569" i="11"/>
  <c r="O1569" i="11" s="1"/>
  <c r="M1570" i="11"/>
  <c r="O1570" i="11" s="1"/>
  <c r="M1571" i="11"/>
  <c r="O1571" i="11" s="1"/>
  <c r="M1572" i="11"/>
  <c r="O1572" i="11" s="1"/>
  <c r="M1573" i="11"/>
  <c r="O1573" i="11" s="1"/>
  <c r="M1574" i="11"/>
  <c r="O1574" i="11" s="1"/>
  <c r="M1575" i="11"/>
  <c r="O1575" i="11" s="1"/>
  <c r="M1576" i="11"/>
  <c r="O1576" i="11" s="1"/>
  <c r="M1577" i="11"/>
  <c r="O1577" i="11" s="1"/>
  <c r="M1578" i="11"/>
  <c r="O1578" i="11" s="1"/>
  <c r="M1579" i="11"/>
  <c r="O1579" i="11" s="1"/>
  <c r="M1580" i="11"/>
  <c r="O1580" i="11" s="1"/>
  <c r="M1581" i="11"/>
  <c r="O1581" i="11" s="1"/>
  <c r="M1582" i="11"/>
  <c r="O1582" i="11" s="1"/>
  <c r="M1583" i="11"/>
  <c r="O1583" i="11" s="1"/>
  <c r="M1584" i="11"/>
  <c r="O1584" i="11" s="1"/>
  <c r="M1585" i="11"/>
  <c r="O1585" i="11" s="1"/>
  <c r="M1586" i="11"/>
  <c r="O1586" i="11" s="1"/>
  <c r="M1587" i="11"/>
  <c r="O1587" i="11" s="1"/>
  <c r="M1588" i="11"/>
  <c r="O1588" i="11" s="1"/>
  <c r="M1589" i="11"/>
  <c r="O1589" i="11" s="1"/>
  <c r="M1590" i="11"/>
  <c r="O1590" i="11" s="1"/>
  <c r="M1591" i="11"/>
  <c r="O1591" i="11" s="1"/>
  <c r="M1592" i="11"/>
  <c r="O1592" i="11" s="1"/>
  <c r="M1593" i="11"/>
  <c r="O1593" i="11" s="1"/>
  <c r="M1594" i="11"/>
  <c r="O1594" i="11" s="1"/>
  <c r="M1595" i="11"/>
  <c r="O1595" i="11" s="1"/>
  <c r="M1596" i="11"/>
  <c r="O1596" i="11" s="1"/>
  <c r="M1597" i="11"/>
  <c r="O1597" i="11" s="1"/>
  <c r="M1598" i="11"/>
  <c r="O1598" i="11" s="1"/>
  <c r="M1599" i="11"/>
  <c r="O1599" i="11" s="1"/>
  <c r="M1600" i="11"/>
  <c r="O1600" i="11" s="1"/>
  <c r="M1601" i="11"/>
  <c r="O1601" i="11" s="1"/>
  <c r="M1602" i="11"/>
  <c r="O1602" i="11" s="1"/>
  <c r="M1603" i="11"/>
  <c r="O1603" i="11" s="1"/>
  <c r="M1604" i="11"/>
  <c r="O1604" i="11" s="1"/>
  <c r="M1605" i="11"/>
  <c r="O1605" i="11" s="1"/>
  <c r="M1606" i="11"/>
  <c r="O1606" i="11" s="1"/>
  <c r="M1607" i="11"/>
  <c r="O1607" i="11" s="1"/>
  <c r="M1608" i="11"/>
  <c r="O1608" i="11" s="1"/>
  <c r="M1609" i="11"/>
  <c r="O1609" i="11" s="1"/>
  <c r="M1610" i="11"/>
  <c r="O1610" i="11" s="1"/>
  <c r="M1611" i="11"/>
  <c r="O1611" i="11" s="1"/>
  <c r="M1612" i="11"/>
  <c r="O1612" i="11" s="1"/>
  <c r="M1613" i="11"/>
  <c r="O1613" i="11" s="1"/>
  <c r="M1614" i="11"/>
  <c r="O1614" i="11" s="1"/>
  <c r="M1615" i="11"/>
  <c r="O1615" i="11" s="1"/>
  <c r="M1616" i="11"/>
  <c r="O1616" i="11" s="1"/>
  <c r="M1617" i="11"/>
  <c r="O1617" i="11" s="1"/>
  <c r="M1618" i="11"/>
  <c r="O1618" i="11" s="1"/>
  <c r="M1619" i="11"/>
  <c r="O1619" i="11" s="1"/>
  <c r="M1620" i="11"/>
  <c r="O1620" i="11" s="1"/>
  <c r="M1621" i="11"/>
  <c r="O1621" i="11" s="1"/>
  <c r="M1622" i="11"/>
  <c r="O1622" i="11" s="1"/>
  <c r="M1623" i="11"/>
  <c r="O1623" i="11" s="1"/>
  <c r="M1624" i="11"/>
  <c r="O1624" i="11" s="1"/>
  <c r="M1625" i="11"/>
  <c r="O1625" i="11" s="1"/>
  <c r="M1626" i="11"/>
  <c r="O1626" i="11" s="1"/>
  <c r="M1627" i="11"/>
  <c r="O1627" i="11" s="1"/>
  <c r="M1628" i="11"/>
  <c r="O1628" i="11" s="1"/>
  <c r="M1629" i="11"/>
  <c r="O1629" i="11" s="1"/>
  <c r="M1630" i="11"/>
  <c r="O1630" i="11" s="1"/>
  <c r="M1631" i="11"/>
  <c r="O1631" i="11" s="1"/>
  <c r="M1632" i="11"/>
  <c r="O1632" i="11" s="1"/>
  <c r="M1633" i="11"/>
  <c r="O1633" i="11" s="1"/>
  <c r="M1634" i="11"/>
  <c r="O1634" i="11" s="1"/>
  <c r="M1635" i="11"/>
  <c r="O1635" i="11" s="1"/>
  <c r="M1636" i="11"/>
  <c r="O1636" i="11" s="1"/>
  <c r="M1637" i="11"/>
  <c r="O1637" i="11" s="1"/>
  <c r="M1638" i="11"/>
  <c r="O1638" i="11" s="1"/>
  <c r="M1639" i="11"/>
  <c r="O1639" i="11" s="1"/>
  <c r="M1640" i="11"/>
  <c r="O1640" i="11" s="1"/>
  <c r="M1641" i="11"/>
  <c r="O1641" i="11" s="1"/>
  <c r="M1642" i="11"/>
  <c r="O1642" i="11" s="1"/>
  <c r="M1643" i="11"/>
  <c r="O1643" i="11" s="1"/>
  <c r="M1644" i="11"/>
  <c r="O1644" i="11" s="1"/>
  <c r="M1645" i="11"/>
  <c r="O1645" i="11" s="1"/>
  <c r="M1646" i="11"/>
  <c r="O1646" i="11" s="1"/>
  <c r="M1647" i="11"/>
  <c r="O1647" i="11" s="1"/>
  <c r="M1648" i="11"/>
  <c r="O1648" i="11" s="1"/>
  <c r="M1649" i="11"/>
  <c r="O1649" i="11" s="1"/>
  <c r="M1650" i="11"/>
  <c r="O1650" i="11" s="1"/>
  <c r="M1651" i="11"/>
  <c r="O1651" i="11" s="1"/>
  <c r="M1652" i="11"/>
  <c r="O1652" i="11" s="1"/>
  <c r="M1653" i="11"/>
  <c r="O1653" i="11" s="1"/>
  <c r="M1654" i="11"/>
  <c r="O1654" i="11" s="1"/>
  <c r="M1655" i="11"/>
  <c r="O1655" i="11" s="1"/>
  <c r="M1656" i="11"/>
  <c r="O1656" i="11" s="1"/>
  <c r="M1657" i="11"/>
  <c r="O1657" i="11" s="1"/>
  <c r="M1658" i="11"/>
  <c r="O1658" i="11" s="1"/>
  <c r="M1659" i="11"/>
  <c r="O1659" i="11" s="1"/>
  <c r="M1660" i="11"/>
  <c r="O1660" i="11" s="1"/>
  <c r="M1661" i="11"/>
  <c r="O1661" i="11" s="1"/>
  <c r="M1662" i="11"/>
  <c r="O1662" i="11" s="1"/>
  <c r="M1663" i="11"/>
  <c r="O1663" i="11" s="1"/>
  <c r="M1664" i="11"/>
  <c r="O1664" i="11" s="1"/>
  <c r="M1665" i="11"/>
  <c r="O1665" i="11" s="1"/>
  <c r="M1666" i="11"/>
  <c r="O1666" i="11" s="1"/>
  <c r="M1667" i="11"/>
  <c r="O1667" i="11" s="1"/>
  <c r="M1668" i="11"/>
  <c r="O1668" i="11" s="1"/>
  <c r="M1669" i="11"/>
  <c r="O1669" i="11" s="1"/>
  <c r="M1670" i="11"/>
  <c r="O1670" i="11" s="1"/>
  <c r="M1671" i="11"/>
  <c r="O1671" i="11" s="1"/>
  <c r="M1672" i="11"/>
  <c r="O1672" i="11" s="1"/>
  <c r="M1673" i="11"/>
  <c r="O1673" i="11" s="1"/>
  <c r="M1674" i="11"/>
  <c r="O1674" i="11" s="1"/>
  <c r="M1675" i="11"/>
  <c r="O1675" i="11" s="1"/>
  <c r="M1676" i="11"/>
  <c r="O1676" i="11" s="1"/>
  <c r="M1677" i="11"/>
  <c r="O1677" i="11" s="1"/>
  <c r="M1678" i="11"/>
  <c r="O1678" i="11" s="1"/>
  <c r="M1679" i="11"/>
  <c r="O1679" i="11" s="1"/>
  <c r="M1680" i="11"/>
  <c r="O1680" i="11" s="1"/>
  <c r="M1681" i="11"/>
  <c r="O1681" i="11" s="1"/>
  <c r="M1682" i="11"/>
  <c r="O1682" i="11" s="1"/>
  <c r="M1683" i="11"/>
  <c r="O1683" i="11" s="1"/>
  <c r="M1684" i="11"/>
  <c r="O1684" i="11" s="1"/>
  <c r="M1685" i="11"/>
  <c r="O1685" i="11" s="1"/>
  <c r="M1686" i="11"/>
  <c r="O1686" i="11" s="1"/>
  <c r="M1687" i="11"/>
  <c r="O1687" i="11" s="1"/>
  <c r="M1688" i="11"/>
  <c r="O1688" i="11" s="1"/>
  <c r="M1689" i="11"/>
  <c r="O1689" i="11" s="1"/>
  <c r="M1690" i="11"/>
  <c r="O1690" i="11" s="1"/>
  <c r="M1691" i="11"/>
  <c r="O1691" i="11" s="1"/>
  <c r="M1692" i="11"/>
  <c r="O1692" i="11" s="1"/>
  <c r="M1693" i="11"/>
  <c r="O1693" i="11" s="1"/>
  <c r="M1694" i="11"/>
  <c r="O1694" i="11" s="1"/>
  <c r="M1695" i="11"/>
  <c r="O1695" i="11" s="1"/>
  <c r="M1696" i="11"/>
  <c r="O1696" i="11" s="1"/>
  <c r="M1697" i="11"/>
  <c r="O1697" i="11" s="1"/>
  <c r="M1698" i="11"/>
  <c r="O1698" i="11" s="1"/>
  <c r="M1699" i="11"/>
  <c r="O1699" i="11" s="1"/>
  <c r="M1700" i="11"/>
  <c r="O1700" i="11" s="1"/>
  <c r="M1701" i="11"/>
  <c r="O1701" i="11" s="1"/>
  <c r="M1702" i="11"/>
  <c r="O1702" i="11" s="1"/>
  <c r="M1703" i="11"/>
  <c r="O1703" i="11" s="1"/>
  <c r="M1704" i="11"/>
  <c r="O1704" i="11" s="1"/>
  <c r="M1705" i="11"/>
  <c r="O1705" i="11" s="1"/>
  <c r="M1706" i="11"/>
  <c r="O1706" i="11" s="1"/>
  <c r="M1707" i="11"/>
  <c r="O1707" i="11" s="1"/>
  <c r="M1708" i="11"/>
  <c r="O1708" i="11" s="1"/>
  <c r="M1709" i="11"/>
  <c r="O1709" i="11" s="1"/>
  <c r="M1710" i="11"/>
  <c r="O1710" i="11" s="1"/>
  <c r="M1711" i="11"/>
  <c r="O1711" i="11" s="1"/>
  <c r="M1712" i="11"/>
  <c r="O1712" i="11" s="1"/>
  <c r="M1713" i="11"/>
  <c r="O1713" i="11" s="1"/>
  <c r="M1714" i="11"/>
  <c r="O1714" i="11" s="1"/>
  <c r="M1715" i="11"/>
  <c r="O1715" i="11" s="1"/>
  <c r="M1716" i="11"/>
  <c r="O1716" i="11" s="1"/>
  <c r="M1717" i="11"/>
  <c r="O1717" i="11" s="1"/>
  <c r="M1718" i="11"/>
  <c r="O1718" i="11" s="1"/>
  <c r="M1719" i="11"/>
  <c r="O1719" i="11" s="1"/>
  <c r="M1720" i="11"/>
  <c r="O1720" i="11" s="1"/>
  <c r="M1721" i="11"/>
  <c r="O1721" i="11" s="1"/>
  <c r="M1722" i="11"/>
  <c r="O1722" i="11" s="1"/>
  <c r="M1723" i="11"/>
  <c r="O1723" i="11" s="1"/>
  <c r="M1724" i="11"/>
  <c r="O1724" i="11" s="1"/>
  <c r="M1725" i="11"/>
  <c r="O1725" i="11" s="1"/>
  <c r="M1726" i="11"/>
  <c r="O1726" i="11" s="1"/>
  <c r="M1727" i="11"/>
  <c r="O1727" i="11" s="1"/>
  <c r="M1728" i="11"/>
  <c r="O1728" i="11" s="1"/>
  <c r="M1729" i="11"/>
  <c r="O1729" i="11" s="1"/>
  <c r="M1730" i="11"/>
  <c r="O1730" i="11" s="1"/>
  <c r="M1731" i="11"/>
  <c r="O1731" i="11" s="1"/>
  <c r="M1732" i="11"/>
  <c r="O1732" i="11" s="1"/>
  <c r="M1733" i="11"/>
  <c r="O1733" i="11" s="1"/>
  <c r="M1734" i="11"/>
  <c r="O1734" i="11" s="1"/>
  <c r="M1735" i="11"/>
  <c r="O1735" i="11" s="1"/>
  <c r="M1736" i="11"/>
  <c r="O1736" i="11" s="1"/>
  <c r="M1737" i="11"/>
  <c r="O1737" i="11" s="1"/>
  <c r="M1738" i="11"/>
  <c r="O1738" i="11" s="1"/>
  <c r="M1739" i="11"/>
  <c r="O1739" i="11" s="1"/>
  <c r="M1740" i="11"/>
  <c r="O1740" i="11" s="1"/>
  <c r="M1741" i="11"/>
  <c r="O1741" i="11" s="1"/>
  <c r="M1742" i="11"/>
  <c r="O1742" i="11" s="1"/>
  <c r="M1743" i="11"/>
  <c r="O1743" i="11" s="1"/>
  <c r="M1744" i="11"/>
  <c r="O1744" i="11" s="1"/>
  <c r="M1745" i="11"/>
  <c r="O1745" i="11" s="1"/>
  <c r="M1746" i="11"/>
  <c r="O1746" i="11" s="1"/>
  <c r="M1747" i="11"/>
  <c r="O1747" i="11" s="1"/>
  <c r="M1748" i="11"/>
  <c r="O1748" i="11" s="1"/>
  <c r="M1749" i="11"/>
  <c r="O1749" i="11" s="1"/>
  <c r="M1750" i="11"/>
  <c r="O1750" i="11" s="1"/>
  <c r="M1751" i="11"/>
  <c r="O1751" i="11" s="1"/>
  <c r="M1752" i="11"/>
  <c r="O1752" i="11" s="1"/>
  <c r="M1753" i="11"/>
  <c r="O1753" i="11" s="1"/>
  <c r="M1754" i="11"/>
  <c r="O1754" i="11" s="1"/>
  <c r="M1755" i="11"/>
  <c r="O1755" i="11" s="1"/>
  <c r="M1756" i="11"/>
  <c r="O1756" i="11" s="1"/>
  <c r="M1757" i="11"/>
  <c r="O1757" i="11" s="1"/>
  <c r="M1758" i="11"/>
  <c r="O1758" i="11" s="1"/>
  <c r="M1759" i="11"/>
  <c r="O1759" i="11" s="1"/>
  <c r="M1760" i="11"/>
  <c r="O1760" i="11" s="1"/>
  <c r="M1761" i="11"/>
  <c r="O1761" i="11" s="1"/>
  <c r="M1762" i="11"/>
  <c r="O1762" i="11" s="1"/>
  <c r="M1763" i="11"/>
  <c r="O1763" i="11" s="1"/>
  <c r="M1764" i="11"/>
  <c r="O1764" i="11" s="1"/>
  <c r="M1765" i="11"/>
  <c r="O1765" i="11" s="1"/>
  <c r="M1766" i="11"/>
  <c r="O1766" i="11" s="1"/>
  <c r="M1767" i="11"/>
  <c r="O1767" i="11" s="1"/>
  <c r="M1768" i="11"/>
  <c r="O1768" i="11" s="1"/>
  <c r="M1769" i="11"/>
  <c r="O1769" i="11" s="1"/>
  <c r="M1770" i="11"/>
  <c r="O1770" i="11" s="1"/>
  <c r="M1771" i="11"/>
  <c r="O1771" i="11" s="1"/>
  <c r="M1772" i="11"/>
  <c r="O1772" i="11" s="1"/>
  <c r="M1773" i="11"/>
  <c r="O1773" i="11" s="1"/>
  <c r="M1774" i="11"/>
  <c r="O1774" i="11" s="1"/>
  <c r="M1775" i="11"/>
  <c r="O1775" i="11" s="1"/>
  <c r="M1776" i="11"/>
  <c r="O1776" i="11" s="1"/>
  <c r="M1777" i="11"/>
  <c r="O1777" i="11" s="1"/>
  <c r="M1778" i="11"/>
  <c r="O1778" i="11" s="1"/>
  <c r="M1779" i="11"/>
  <c r="O1779" i="11" s="1"/>
  <c r="M1780" i="11"/>
  <c r="O1780" i="11" s="1"/>
  <c r="M1781" i="11"/>
  <c r="O1781" i="11" s="1"/>
  <c r="M1782" i="11"/>
  <c r="O1782" i="11" s="1"/>
  <c r="M1783" i="11"/>
  <c r="O1783" i="11" s="1"/>
  <c r="M1784" i="11"/>
  <c r="O1784" i="11" s="1"/>
  <c r="M1785" i="11"/>
  <c r="O1785" i="11" s="1"/>
  <c r="M1786" i="11"/>
  <c r="O1786" i="11" s="1"/>
  <c r="M1787" i="11"/>
  <c r="O1787" i="11" s="1"/>
  <c r="M1788" i="11"/>
  <c r="O1788" i="11" s="1"/>
  <c r="M1789" i="11"/>
  <c r="O1789" i="11" s="1"/>
  <c r="M1790" i="11"/>
  <c r="O1790" i="11" s="1"/>
  <c r="M1791" i="11"/>
  <c r="O1791" i="11" s="1"/>
  <c r="M1792" i="11"/>
  <c r="O1792" i="11" s="1"/>
  <c r="M1793" i="11"/>
  <c r="O1793" i="11" s="1"/>
  <c r="M1794" i="11"/>
  <c r="O1794" i="11" s="1"/>
  <c r="M1795" i="11"/>
  <c r="O1795" i="11" s="1"/>
  <c r="M1796" i="11"/>
  <c r="O1796" i="11" s="1"/>
  <c r="M1797" i="11"/>
  <c r="O1797" i="11" s="1"/>
  <c r="M1798" i="11"/>
  <c r="O1798" i="11" s="1"/>
  <c r="M1799" i="11"/>
  <c r="O1799" i="11" s="1"/>
  <c r="M1800" i="11"/>
  <c r="O1800" i="11" s="1"/>
  <c r="M1801" i="11"/>
  <c r="O1801" i="11" s="1"/>
  <c r="M1802" i="11"/>
  <c r="O1802" i="11" s="1"/>
  <c r="M1803" i="11"/>
  <c r="O1803" i="11" s="1"/>
  <c r="M1804" i="11"/>
  <c r="O1804" i="11" s="1"/>
  <c r="M1805" i="11"/>
  <c r="O1805" i="11" s="1"/>
  <c r="M1806" i="11"/>
  <c r="O1806" i="11" s="1"/>
  <c r="M1807" i="11"/>
  <c r="O1807" i="11" s="1"/>
  <c r="M1808" i="11"/>
  <c r="O1808" i="11" s="1"/>
  <c r="M1809" i="11"/>
  <c r="O1809" i="11" s="1"/>
  <c r="M1810" i="11"/>
  <c r="O1810" i="11" s="1"/>
  <c r="M1811" i="11"/>
  <c r="O1811" i="11" s="1"/>
  <c r="M1812" i="11"/>
  <c r="O1812" i="11" s="1"/>
  <c r="M1813" i="11"/>
  <c r="O1813" i="11" s="1"/>
  <c r="M1814" i="11"/>
  <c r="O1814" i="11" s="1"/>
  <c r="M1815" i="11"/>
  <c r="O1815" i="11" s="1"/>
  <c r="M1816" i="11"/>
  <c r="O1816" i="11" s="1"/>
  <c r="M1817" i="11"/>
  <c r="O1817" i="11" s="1"/>
  <c r="M1818" i="11"/>
  <c r="O1818" i="11" s="1"/>
  <c r="M1819" i="11"/>
  <c r="O1819" i="11" s="1"/>
  <c r="M1820" i="11"/>
  <c r="O1820" i="11" s="1"/>
  <c r="M1821" i="11"/>
  <c r="O1821" i="11" s="1"/>
  <c r="M1822" i="11"/>
  <c r="O1822" i="11" s="1"/>
  <c r="M1823" i="11"/>
  <c r="O1823" i="11" s="1"/>
  <c r="M1824" i="11"/>
  <c r="O1824" i="11" s="1"/>
  <c r="M1825" i="11"/>
  <c r="O1825" i="11" s="1"/>
  <c r="M1826" i="11"/>
  <c r="O1826" i="11" s="1"/>
  <c r="M1827" i="11"/>
  <c r="O1827" i="11" s="1"/>
  <c r="M1828" i="11"/>
  <c r="O1828" i="11" s="1"/>
  <c r="M1829" i="11"/>
  <c r="O1829" i="11" s="1"/>
  <c r="M1830" i="11"/>
  <c r="O1830" i="11" s="1"/>
  <c r="M1831" i="11"/>
  <c r="O1831" i="11" s="1"/>
  <c r="M1832" i="11"/>
  <c r="O1832" i="11" s="1"/>
  <c r="M1833" i="11"/>
  <c r="O1833" i="11" s="1"/>
  <c r="M1834" i="11"/>
  <c r="O1834" i="11" s="1"/>
  <c r="M1835" i="11"/>
  <c r="O1835" i="11" s="1"/>
  <c r="M1836" i="11"/>
  <c r="O1836" i="11" s="1"/>
  <c r="M1837" i="11"/>
  <c r="O1837" i="11" s="1"/>
  <c r="M1838" i="11"/>
  <c r="O1838" i="11" s="1"/>
  <c r="M1839" i="11"/>
  <c r="O1839" i="11" s="1"/>
  <c r="M1840" i="11"/>
  <c r="O1840" i="11" s="1"/>
  <c r="M1841" i="11"/>
  <c r="O1841" i="11" s="1"/>
  <c r="M1842" i="11"/>
  <c r="O1842" i="11" s="1"/>
  <c r="M1843" i="11"/>
  <c r="O1843" i="11" s="1"/>
  <c r="M1844" i="11"/>
  <c r="O1844" i="11" s="1"/>
  <c r="M1845" i="11"/>
  <c r="O1845" i="11" s="1"/>
  <c r="M1846" i="11"/>
  <c r="O1846" i="11" s="1"/>
  <c r="M1847" i="11"/>
  <c r="O1847" i="11" s="1"/>
  <c r="M1848" i="11"/>
  <c r="O1848" i="11" s="1"/>
  <c r="M1849" i="11"/>
  <c r="O1849" i="11" s="1"/>
  <c r="M1850" i="11"/>
  <c r="O1850" i="11" s="1"/>
  <c r="M1851" i="11"/>
  <c r="O1851" i="11" s="1"/>
  <c r="M1852" i="11"/>
  <c r="O1852" i="11" s="1"/>
  <c r="M1853" i="11"/>
  <c r="O1853" i="11" s="1"/>
  <c r="M1854" i="11"/>
  <c r="O1854" i="11" s="1"/>
  <c r="M1855" i="11"/>
  <c r="O1855" i="11" s="1"/>
  <c r="M1856" i="11"/>
  <c r="O1856" i="11" s="1"/>
  <c r="M1857" i="11"/>
  <c r="O1857" i="11" s="1"/>
  <c r="M1858" i="11"/>
  <c r="O1858" i="11" s="1"/>
  <c r="M1859" i="11"/>
  <c r="O1859" i="11" s="1"/>
  <c r="M1860" i="11"/>
  <c r="O1860" i="11" s="1"/>
  <c r="M1861" i="11"/>
  <c r="O1861" i="11" s="1"/>
  <c r="M1862" i="11"/>
  <c r="O1862" i="11" s="1"/>
  <c r="M1863" i="11"/>
  <c r="O1863" i="11" s="1"/>
  <c r="M1864" i="11"/>
  <c r="O1864" i="11" s="1"/>
  <c r="M1865" i="11"/>
  <c r="O1865" i="11" s="1"/>
  <c r="M1866" i="11"/>
  <c r="O1866" i="11" s="1"/>
  <c r="M1867" i="11"/>
  <c r="O1867" i="11" s="1"/>
  <c r="M1868" i="11"/>
  <c r="O1868" i="11" s="1"/>
  <c r="M1869" i="11"/>
  <c r="O1869" i="11" s="1"/>
  <c r="M1870" i="11"/>
  <c r="O1870" i="11" s="1"/>
  <c r="M1871" i="11"/>
  <c r="O1871" i="11" s="1"/>
  <c r="M1872" i="11"/>
  <c r="O1872" i="11" s="1"/>
  <c r="M1873" i="11"/>
  <c r="O1873" i="11" s="1"/>
  <c r="M1874" i="11"/>
  <c r="O1874" i="11" s="1"/>
  <c r="M1875" i="11"/>
  <c r="O1875" i="11" s="1"/>
  <c r="M1876" i="11"/>
  <c r="O1876" i="11" s="1"/>
  <c r="M1877" i="11"/>
  <c r="O1877" i="11" s="1"/>
  <c r="M1878" i="11"/>
  <c r="O1878" i="11" s="1"/>
  <c r="M1879" i="11"/>
  <c r="O1879" i="11" s="1"/>
  <c r="M1880" i="11"/>
  <c r="O1880" i="11" s="1"/>
  <c r="M1881" i="11"/>
  <c r="O1881" i="11" s="1"/>
  <c r="M1882" i="11"/>
  <c r="O1882" i="11" s="1"/>
  <c r="M1883" i="11"/>
  <c r="O1883" i="11" s="1"/>
  <c r="M1884" i="11"/>
  <c r="O1884" i="11" s="1"/>
  <c r="M1885" i="11"/>
  <c r="O1885" i="11" s="1"/>
  <c r="M1886" i="11"/>
  <c r="O1886" i="11" s="1"/>
  <c r="M1887" i="11"/>
  <c r="O1887" i="11" s="1"/>
  <c r="M1888" i="11"/>
  <c r="O1888" i="11" s="1"/>
  <c r="M1889" i="11"/>
  <c r="O1889" i="11" s="1"/>
  <c r="M1890" i="11"/>
  <c r="O1890" i="11" s="1"/>
  <c r="M1891" i="11"/>
  <c r="O1891" i="11" s="1"/>
  <c r="M1892" i="11"/>
  <c r="O1892" i="11" s="1"/>
  <c r="M1893" i="11"/>
  <c r="O1893" i="11" s="1"/>
  <c r="M1894" i="11"/>
  <c r="O1894" i="11" s="1"/>
  <c r="M1895" i="11"/>
  <c r="O1895" i="11" s="1"/>
  <c r="M1896" i="11"/>
  <c r="O1896" i="11" s="1"/>
  <c r="M1897" i="11"/>
  <c r="O1897" i="11" s="1"/>
  <c r="M1898" i="11"/>
  <c r="O1898" i="11" s="1"/>
  <c r="M1899" i="11"/>
  <c r="O1899" i="11" s="1"/>
  <c r="M1900" i="11"/>
  <c r="O1900" i="11" s="1"/>
  <c r="M1901" i="11"/>
  <c r="O1901" i="11" s="1"/>
  <c r="M1902" i="11"/>
  <c r="O1902" i="11" s="1"/>
  <c r="M1903" i="11"/>
  <c r="O1903" i="11" s="1"/>
  <c r="M1904" i="11"/>
  <c r="O1904" i="11" s="1"/>
  <c r="M1905" i="11"/>
  <c r="O1905" i="11" s="1"/>
  <c r="M1906" i="11"/>
  <c r="O1906" i="11" s="1"/>
  <c r="M1907" i="11"/>
  <c r="O1907" i="11" s="1"/>
  <c r="M1908" i="11"/>
  <c r="O1908" i="11" s="1"/>
  <c r="M1909" i="11"/>
  <c r="O1909" i="11" s="1"/>
  <c r="M1910" i="11"/>
  <c r="O1910" i="11" s="1"/>
  <c r="M1911" i="11"/>
  <c r="O1911" i="11" s="1"/>
  <c r="M1912" i="11"/>
  <c r="O1912" i="11" s="1"/>
  <c r="M1913" i="11"/>
  <c r="O1913" i="11" s="1"/>
  <c r="M1914" i="11"/>
  <c r="O1914" i="11" s="1"/>
  <c r="M1915" i="11"/>
  <c r="O1915" i="11" s="1"/>
  <c r="M1916" i="11"/>
  <c r="O1916" i="11" s="1"/>
  <c r="M1917" i="11"/>
  <c r="O1917" i="11" s="1"/>
  <c r="M1918" i="11"/>
  <c r="O1918" i="11" s="1"/>
  <c r="M1919" i="11"/>
  <c r="O1919" i="11" s="1"/>
  <c r="M1920" i="11"/>
  <c r="O1920" i="11" s="1"/>
  <c r="M1921" i="11"/>
  <c r="O1921" i="11" s="1"/>
  <c r="M1922" i="11"/>
  <c r="O1922" i="11" s="1"/>
  <c r="M1923" i="11"/>
  <c r="O1923" i="11" s="1"/>
  <c r="M1924" i="11"/>
  <c r="O1924" i="11" s="1"/>
  <c r="M1925" i="11"/>
  <c r="O1925" i="11" s="1"/>
  <c r="M1926" i="11"/>
  <c r="O1926" i="11" s="1"/>
  <c r="M1927" i="11"/>
  <c r="O1927" i="11" s="1"/>
  <c r="M1928" i="11"/>
  <c r="O1928" i="11" s="1"/>
  <c r="M1929" i="11"/>
  <c r="O1929" i="11" s="1"/>
  <c r="M1930" i="11"/>
  <c r="O1930" i="11" s="1"/>
  <c r="M1931" i="11"/>
  <c r="O1931" i="11" s="1"/>
  <c r="M1932" i="11"/>
  <c r="O1932" i="11" s="1"/>
  <c r="M1933" i="11"/>
  <c r="O1933" i="11" s="1"/>
  <c r="M1934" i="11"/>
  <c r="O1934" i="11" s="1"/>
  <c r="M1935" i="11"/>
  <c r="O1935" i="11" s="1"/>
  <c r="M1936" i="11"/>
  <c r="O1936" i="11" s="1"/>
  <c r="M1937" i="11"/>
  <c r="O1937" i="11" s="1"/>
  <c r="M1938" i="11"/>
  <c r="O1938" i="11" s="1"/>
  <c r="M1939" i="11"/>
  <c r="O1939" i="11" s="1"/>
  <c r="M1940" i="11"/>
  <c r="O1940" i="11" s="1"/>
  <c r="M1941" i="11"/>
  <c r="O1941" i="11" s="1"/>
  <c r="M1942" i="11"/>
  <c r="O1942" i="11" s="1"/>
  <c r="M1943" i="11"/>
  <c r="O1943" i="11" s="1"/>
  <c r="M1944" i="11"/>
  <c r="O1944" i="11" s="1"/>
  <c r="M1945" i="11"/>
  <c r="O1945" i="11" s="1"/>
  <c r="M1946" i="11"/>
  <c r="O1946" i="11" s="1"/>
  <c r="M1947" i="11"/>
  <c r="O1947" i="11" s="1"/>
  <c r="M1948" i="11"/>
  <c r="O1948" i="11" s="1"/>
  <c r="M1949" i="11"/>
  <c r="O1949" i="11" s="1"/>
  <c r="M1950" i="11"/>
  <c r="O1950" i="11" s="1"/>
  <c r="M1951" i="11"/>
  <c r="O1951" i="11" s="1"/>
  <c r="M1952" i="11"/>
  <c r="O1952" i="11" s="1"/>
  <c r="M1953" i="11"/>
  <c r="O1953" i="11" s="1"/>
  <c r="M1954" i="11"/>
  <c r="O1954" i="11" s="1"/>
  <c r="M1955" i="11"/>
  <c r="O1955" i="11" s="1"/>
  <c r="M1956" i="11"/>
  <c r="O1956" i="11" s="1"/>
  <c r="M1957" i="11"/>
  <c r="O1957" i="11" s="1"/>
  <c r="M1958" i="11"/>
  <c r="O1958" i="11" s="1"/>
  <c r="M1959" i="11"/>
  <c r="O1959" i="11" s="1"/>
  <c r="M1960" i="11"/>
  <c r="O1960" i="11" s="1"/>
  <c r="M1961" i="11"/>
  <c r="O1961" i="11" s="1"/>
  <c r="M1962" i="11"/>
  <c r="O1962" i="11" s="1"/>
  <c r="M1963" i="11"/>
  <c r="O1963" i="11" s="1"/>
  <c r="M1964" i="11"/>
  <c r="O1964" i="11" s="1"/>
  <c r="M1965" i="11"/>
  <c r="O1965" i="11" s="1"/>
  <c r="M1966" i="11"/>
  <c r="O1966" i="11" s="1"/>
  <c r="M1967" i="11"/>
  <c r="O1967" i="11" s="1"/>
  <c r="M1968" i="11"/>
  <c r="O1968" i="11" s="1"/>
  <c r="M1969" i="11"/>
  <c r="O1969" i="11" s="1"/>
  <c r="M1970" i="11"/>
  <c r="O1970" i="11" s="1"/>
  <c r="M1971" i="11"/>
  <c r="O1971" i="11" s="1"/>
  <c r="M1972" i="11"/>
  <c r="O1972" i="11" s="1"/>
  <c r="M1973" i="11"/>
  <c r="O1973" i="11" s="1"/>
  <c r="M1974" i="11"/>
  <c r="O1974" i="11" s="1"/>
  <c r="M1975" i="11"/>
  <c r="O1975" i="11" s="1"/>
  <c r="M1976" i="11"/>
  <c r="O1976" i="11" s="1"/>
  <c r="M1977" i="11"/>
  <c r="O1977" i="11" s="1"/>
  <c r="M1978" i="11"/>
  <c r="O1978" i="11" s="1"/>
  <c r="M1979" i="11"/>
  <c r="O1979" i="11" s="1"/>
  <c r="M1980" i="11"/>
  <c r="O1980" i="11" s="1"/>
  <c r="M1981" i="11"/>
  <c r="O1981" i="11" s="1"/>
  <c r="M1982" i="11"/>
  <c r="O1982" i="11" s="1"/>
  <c r="M1983" i="11"/>
  <c r="O1983" i="11" s="1"/>
  <c r="M1984" i="11"/>
  <c r="O1984" i="11" s="1"/>
  <c r="M1985" i="11"/>
  <c r="O1985" i="11" s="1"/>
  <c r="M1986" i="11"/>
  <c r="O1986" i="11" s="1"/>
  <c r="M1987" i="11"/>
  <c r="O1987" i="11" s="1"/>
  <c r="M1988" i="11"/>
  <c r="O1988" i="11" s="1"/>
  <c r="M1989" i="11"/>
  <c r="O1989" i="11" s="1"/>
  <c r="M1990" i="11"/>
  <c r="O1990" i="11" s="1"/>
  <c r="M1991" i="11"/>
  <c r="O1991" i="11" s="1"/>
  <c r="M1992" i="11"/>
  <c r="O1992" i="11" s="1"/>
  <c r="M1993" i="11"/>
  <c r="O1993" i="11" s="1"/>
  <c r="M1994" i="11"/>
  <c r="O1994" i="11" s="1"/>
  <c r="M1995" i="11"/>
  <c r="O1995" i="11" s="1"/>
  <c r="M1996" i="11"/>
  <c r="O1996" i="11" s="1"/>
  <c r="M1997" i="11"/>
  <c r="O1997" i="11" s="1"/>
  <c r="M1998" i="11"/>
  <c r="O1998" i="11" s="1"/>
  <c r="M1999" i="11"/>
  <c r="O1999" i="11" s="1"/>
  <c r="M2000" i="11"/>
  <c r="O2000" i="11" s="1"/>
  <c r="M2001" i="11"/>
  <c r="O2001" i="11" s="1"/>
  <c r="M2002" i="11"/>
  <c r="O2002" i="11" s="1"/>
  <c r="M2003" i="11"/>
  <c r="O2003" i="11" s="1"/>
  <c r="M2004" i="11"/>
  <c r="O2004" i="11" s="1"/>
  <c r="M2005" i="11"/>
  <c r="O2005" i="11" s="1"/>
  <c r="M2006" i="11"/>
  <c r="O2006" i="11" s="1"/>
  <c r="M2007" i="11"/>
  <c r="O2007" i="11" s="1"/>
  <c r="M2008" i="11"/>
  <c r="O2008" i="11" s="1"/>
  <c r="M2009" i="11"/>
  <c r="O2009" i="11" s="1"/>
  <c r="M2010" i="11"/>
  <c r="O2010" i="11" s="1"/>
  <c r="M2011" i="11"/>
  <c r="O2011" i="11" s="1"/>
  <c r="M2012" i="11"/>
  <c r="O2012" i="11" s="1"/>
  <c r="M2013" i="11"/>
  <c r="O2013" i="11" s="1"/>
  <c r="M2014" i="11"/>
  <c r="O2014" i="11" s="1"/>
  <c r="M2015" i="11"/>
  <c r="O2015" i="11" s="1"/>
  <c r="M2016" i="11"/>
  <c r="O2016" i="11" s="1"/>
  <c r="M2017" i="11"/>
  <c r="O2017" i="11" s="1"/>
  <c r="M2018" i="11"/>
  <c r="O2018" i="11" s="1"/>
  <c r="M2019" i="11"/>
  <c r="O2019" i="11" s="1"/>
  <c r="M2020" i="11"/>
  <c r="O2020" i="11" s="1"/>
  <c r="M2021" i="11"/>
  <c r="O2021" i="11" s="1"/>
  <c r="M2022" i="11"/>
  <c r="O2022" i="11" s="1"/>
  <c r="M2023" i="11"/>
  <c r="O2023" i="11" s="1"/>
  <c r="M2024" i="11"/>
  <c r="O2024" i="11" s="1"/>
  <c r="M2025" i="11"/>
  <c r="O2025" i="11" s="1"/>
  <c r="M2026" i="11"/>
  <c r="O2026" i="11" s="1"/>
  <c r="M2027" i="11"/>
  <c r="O2027" i="11" s="1"/>
  <c r="M2028" i="11"/>
  <c r="O2028" i="11" s="1"/>
  <c r="M2029" i="11"/>
  <c r="O2029" i="11" s="1"/>
  <c r="M2030" i="11"/>
  <c r="O2030" i="11" s="1"/>
  <c r="M2031" i="11"/>
  <c r="O2031" i="11" s="1"/>
  <c r="M2032" i="11"/>
  <c r="O2032" i="11" s="1"/>
  <c r="M2033" i="11"/>
  <c r="O2033" i="11" s="1"/>
  <c r="M2034" i="11"/>
  <c r="O2034" i="11" s="1"/>
  <c r="M2035" i="11"/>
  <c r="O2035" i="11" s="1"/>
  <c r="M2036" i="11"/>
  <c r="O2036" i="11" s="1"/>
  <c r="M2037" i="11"/>
  <c r="O2037" i="11" s="1"/>
  <c r="M2038" i="11"/>
  <c r="O2038" i="11" s="1"/>
  <c r="M2039" i="11"/>
  <c r="O2039" i="11" s="1"/>
  <c r="M2040" i="11"/>
  <c r="O2040" i="11" s="1"/>
  <c r="M2041" i="11"/>
  <c r="O2041" i="11" s="1"/>
  <c r="M2042" i="11"/>
  <c r="O2042" i="11" s="1"/>
  <c r="M2043" i="11"/>
  <c r="O2043" i="11" s="1"/>
  <c r="M2044" i="11"/>
  <c r="O2044" i="11" s="1"/>
  <c r="M2045" i="11"/>
  <c r="O2045" i="11" s="1"/>
  <c r="M2046" i="11"/>
  <c r="O2046" i="11" s="1"/>
  <c r="M2047" i="11"/>
  <c r="O2047" i="11" s="1"/>
  <c r="M2048" i="11"/>
  <c r="O2048" i="11" s="1"/>
  <c r="M2049" i="11"/>
  <c r="O2049" i="11" s="1"/>
  <c r="M2050" i="11"/>
  <c r="O2050" i="11" s="1"/>
  <c r="M2051" i="11"/>
  <c r="O2051" i="11" s="1"/>
  <c r="M2052" i="11"/>
  <c r="O2052" i="11" s="1"/>
  <c r="M2053" i="11"/>
  <c r="O2053" i="11" s="1"/>
  <c r="M2054" i="11"/>
  <c r="O2054" i="11" s="1"/>
  <c r="M2055" i="11"/>
  <c r="O2055" i="11" s="1"/>
  <c r="M2056" i="11"/>
  <c r="O2056" i="11" s="1"/>
  <c r="M2057" i="11"/>
  <c r="O2057" i="11" s="1"/>
  <c r="M2058" i="11"/>
  <c r="O2058" i="11" s="1"/>
  <c r="M2059" i="11"/>
  <c r="O2059" i="11" s="1"/>
  <c r="M2060" i="11"/>
  <c r="O2060" i="11" s="1"/>
  <c r="M2061" i="11"/>
  <c r="O2061" i="11" s="1"/>
  <c r="M2062" i="11"/>
  <c r="O2062" i="11" s="1"/>
  <c r="M2063" i="11"/>
  <c r="O2063" i="11" s="1"/>
  <c r="M2064" i="11"/>
  <c r="O2064" i="11" s="1"/>
  <c r="M2065" i="11"/>
  <c r="O2065" i="11" s="1"/>
  <c r="M2066" i="11"/>
  <c r="O2066" i="11" s="1"/>
  <c r="M2067" i="11"/>
  <c r="O2067" i="11" s="1"/>
  <c r="M2068" i="11"/>
  <c r="O2068" i="11" s="1"/>
  <c r="M2069" i="11"/>
  <c r="O2069" i="11" s="1"/>
  <c r="M2070" i="11"/>
  <c r="O2070" i="11" s="1"/>
  <c r="M2071" i="11"/>
  <c r="O2071" i="11" s="1"/>
  <c r="M2072" i="11"/>
  <c r="O2072" i="11" s="1"/>
  <c r="M2073" i="11"/>
  <c r="O2073" i="11" s="1"/>
  <c r="M2074" i="11"/>
  <c r="O2074" i="11" s="1"/>
  <c r="M2075" i="11"/>
  <c r="O2075" i="11" s="1"/>
  <c r="M2076" i="11"/>
  <c r="O2076" i="11" s="1"/>
  <c r="M2077" i="11"/>
  <c r="O2077" i="11" s="1"/>
  <c r="M2078" i="11"/>
  <c r="O2078" i="11" s="1"/>
  <c r="M2079" i="11"/>
  <c r="O2079" i="11" s="1"/>
  <c r="M2080" i="11"/>
  <c r="O2080" i="11" s="1"/>
  <c r="M2081" i="11"/>
  <c r="O2081" i="11" s="1"/>
  <c r="M2082" i="11"/>
  <c r="O2082" i="11" s="1"/>
  <c r="M2083" i="11"/>
  <c r="O2083" i="11" s="1"/>
  <c r="M2084" i="11"/>
  <c r="O2084" i="11" s="1"/>
  <c r="M2085" i="11"/>
  <c r="O2085" i="11" s="1"/>
  <c r="M2086" i="11"/>
  <c r="O2086" i="11" s="1"/>
  <c r="M2087" i="11"/>
  <c r="O2087" i="11" s="1"/>
  <c r="M2088" i="11"/>
  <c r="O2088" i="11" s="1"/>
  <c r="M2089" i="11"/>
  <c r="O2089" i="11" s="1"/>
  <c r="M2090" i="11"/>
  <c r="O2090" i="11" s="1"/>
  <c r="M2091" i="11"/>
  <c r="O2091" i="11" s="1"/>
  <c r="M2092" i="11"/>
  <c r="O2092" i="11" s="1"/>
  <c r="M2093" i="11"/>
  <c r="O2093" i="11" s="1"/>
  <c r="M2094" i="11"/>
  <c r="O2094" i="11" s="1"/>
  <c r="M2095" i="11"/>
  <c r="O2095" i="11" s="1"/>
  <c r="M2096" i="11"/>
  <c r="O2096" i="11" s="1"/>
  <c r="M2097" i="11"/>
  <c r="O2097" i="11" s="1"/>
  <c r="M2098" i="11"/>
  <c r="O2098" i="11" s="1"/>
  <c r="M2099" i="11"/>
  <c r="O2099" i="11" s="1"/>
  <c r="M2100" i="11"/>
  <c r="O2100" i="11" s="1"/>
  <c r="M2101" i="11"/>
  <c r="O2101" i="11" s="1"/>
  <c r="M2102" i="11"/>
  <c r="O2102" i="11" s="1"/>
  <c r="M2103" i="11"/>
  <c r="O2103" i="11" s="1"/>
  <c r="M2104" i="11"/>
  <c r="O2104" i="11" s="1"/>
  <c r="M2105" i="11"/>
  <c r="O2105" i="11" s="1"/>
  <c r="M2106" i="11"/>
  <c r="O2106" i="11" s="1"/>
  <c r="M2107" i="11"/>
  <c r="O2107" i="11" s="1"/>
  <c r="M2108" i="11"/>
  <c r="O2108" i="11" s="1"/>
  <c r="M2109" i="11"/>
  <c r="O2109" i="11" s="1"/>
  <c r="M2110" i="11"/>
  <c r="O2110" i="11" s="1"/>
  <c r="M2111" i="11"/>
  <c r="O2111" i="11" s="1"/>
  <c r="M2112" i="11"/>
  <c r="O2112" i="11" s="1"/>
  <c r="M2113" i="11"/>
  <c r="O2113" i="11" s="1"/>
  <c r="M2114" i="11"/>
  <c r="O2114" i="11" s="1"/>
  <c r="M2115" i="11"/>
  <c r="O2115" i="11" s="1"/>
  <c r="M2116" i="11"/>
  <c r="O2116" i="11" s="1"/>
  <c r="M2117" i="11"/>
  <c r="O2117" i="11" s="1"/>
  <c r="M2118" i="11"/>
  <c r="O2118" i="11" s="1"/>
  <c r="M2119" i="11"/>
  <c r="O2119" i="11" s="1"/>
  <c r="M2120" i="11"/>
  <c r="O2120" i="11" s="1"/>
  <c r="M2121" i="11"/>
  <c r="O2121" i="11" s="1"/>
  <c r="M2122" i="11"/>
  <c r="O2122" i="11" s="1"/>
  <c r="M2123" i="11"/>
  <c r="O2123" i="11" s="1"/>
  <c r="M2124" i="11"/>
  <c r="O2124" i="11" s="1"/>
  <c r="M2125" i="11"/>
  <c r="O2125" i="11" s="1"/>
  <c r="M2126" i="11"/>
  <c r="O2126" i="11" s="1"/>
  <c r="M2127" i="11"/>
  <c r="O2127" i="11" s="1"/>
  <c r="M2128" i="11"/>
  <c r="O2128" i="11" s="1"/>
  <c r="M2129" i="11"/>
  <c r="O2129" i="11" s="1"/>
  <c r="M2130" i="11"/>
  <c r="O2130" i="11" s="1"/>
  <c r="M2131" i="11"/>
  <c r="O2131" i="11" s="1"/>
  <c r="M2132" i="11"/>
  <c r="O2132" i="11" s="1"/>
  <c r="M2133" i="11"/>
  <c r="O2133" i="11" s="1"/>
  <c r="M2134" i="11"/>
  <c r="O2134" i="11" s="1"/>
  <c r="M2135" i="11"/>
  <c r="O2135" i="11" s="1"/>
  <c r="M2136" i="11"/>
  <c r="O2136" i="11" s="1"/>
  <c r="M2137" i="11"/>
  <c r="O2137" i="11" s="1"/>
  <c r="M2138" i="11"/>
  <c r="O2138" i="11" s="1"/>
  <c r="M2139" i="11"/>
  <c r="O2139" i="11" s="1"/>
  <c r="M2140" i="11"/>
  <c r="O2140" i="11" s="1"/>
  <c r="M2141" i="11"/>
  <c r="O2141" i="11" s="1"/>
  <c r="M2142" i="11"/>
  <c r="O2142" i="11" s="1"/>
  <c r="M2143" i="11"/>
  <c r="O2143" i="11" s="1"/>
  <c r="M2144" i="11"/>
  <c r="O2144" i="11" s="1"/>
  <c r="M2145" i="11"/>
  <c r="O2145" i="11" s="1"/>
  <c r="M2146" i="11"/>
  <c r="O2146" i="11" s="1"/>
  <c r="M2147" i="11"/>
  <c r="O2147" i="11" s="1"/>
  <c r="M2148" i="11"/>
  <c r="O2148" i="11" s="1"/>
  <c r="M2149" i="11"/>
  <c r="O2149" i="11" s="1"/>
  <c r="M2150" i="11"/>
  <c r="O2150" i="11" s="1"/>
  <c r="M2151" i="11"/>
  <c r="O2151" i="11" s="1"/>
  <c r="M2152" i="11"/>
  <c r="O2152" i="11" s="1"/>
  <c r="M2153" i="11"/>
  <c r="O2153" i="11" s="1"/>
  <c r="M2154" i="11"/>
  <c r="O2154" i="11" s="1"/>
  <c r="M2155" i="11"/>
  <c r="O2155" i="11" s="1"/>
  <c r="M2156" i="11"/>
  <c r="O2156" i="11" s="1"/>
  <c r="M2157" i="11"/>
  <c r="O2157" i="11" s="1"/>
  <c r="M2158" i="11"/>
  <c r="O2158" i="11" s="1"/>
  <c r="M2159" i="11"/>
  <c r="O2159" i="11" s="1"/>
  <c r="M2160" i="11"/>
  <c r="O2160" i="11" s="1"/>
  <c r="M2161" i="11"/>
  <c r="O2161" i="11" s="1"/>
  <c r="M2162" i="11"/>
  <c r="O2162" i="11" s="1"/>
  <c r="M2163" i="11"/>
  <c r="O2163" i="11" s="1"/>
  <c r="M2164" i="11"/>
  <c r="O2164" i="11" s="1"/>
  <c r="M2165" i="11"/>
  <c r="O2165" i="11" s="1"/>
  <c r="M2166" i="11"/>
  <c r="O2166" i="11" s="1"/>
  <c r="M2167" i="11"/>
  <c r="O2167" i="11" s="1"/>
  <c r="M2168" i="11"/>
  <c r="O2168" i="11" s="1"/>
  <c r="M2169" i="11"/>
  <c r="O2169" i="11" s="1"/>
  <c r="M2170" i="11"/>
  <c r="O2170" i="11" s="1"/>
  <c r="M2171" i="11"/>
  <c r="O2171" i="11" s="1"/>
  <c r="M2172" i="11"/>
  <c r="O2172" i="11" s="1"/>
  <c r="M2173" i="11"/>
  <c r="O2173" i="11" s="1"/>
  <c r="M2174" i="11"/>
  <c r="O2174" i="11" s="1"/>
  <c r="M2175" i="11"/>
  <c r="O2175" i="11" s="1"/>
  <c r="M2176" i="11"/>
  <c r="O2176" i="11" s="1"/>
  <c r="M2177" i="11"/>
  <c r="O2177" i="11" s="1"/>
  <c r="M2178" i="11"/>
  <c r="O2178" i="11" s="1"/>
  <c r="M2179" i="11"/>
  <c r="O2179" i="11" s="1"/>
  <c r="M2180" i="11"/>
  <c r="O2180" i="11" s="1"/>
  <c r="M2181" i="11"/>
  <c r="O2181" i="11" s="1"/>
  <c r="M2182" i="11"/>
  <c r="O2182" i="11" s="1"/>
  <c r="M2183" i="11"/>
  <c r="O2183" i="11" s="1"/>
  <c r="M2184" i="11"/>
  <c r="O2184" i="11" s="1"/>
  <c r="M2185" i="11"/>
  <c r="O2185" i="11" s="1"/>
  <c r="M2186" i="11"/>
  <c r="O2186" i="11" s="1"/>
  <c r="M2187" i="11"/>
  <c r="O2187" i="11" s="1"/>
  <c r="M2188" i="11"/>
  <c r="O2188" i="11" s="1"/>
  <c r="M2189" i="11"/>
  <c r="O2189" i="11" s="1"/>
  <c r="M2190" i="11"/>
  <c r="O2190" i="11" s="1"/>
  <c r="M2191" i="11"/>
  <c r="O2191" i="11" s="1"/>
  <c r="M2192" i="11"/>
  <c r="O2192" i="11" s="1"/>
  <c r="M2193" i="11"/>
  <c r="O2193" i="11" s="1"/>
  <c r="M2194" i="11"/>
  <c r="O2194" i="11" s="1"/>
  <c r="M2195" i="11"/>
  <c r="O2195" i="11" s="1"/>
  <c r="M2196" i="11"/>
  <c r="O2196" i="11" s="1"/>
  <c r="M2197" i="11"/>
  <c r="O2197" i="11" s="1"/>
  <c r="M2198" i="11"/>
  <c r="O2198" i="11" s="1"/>
  <c r="M2199" i="11"/>
  <c r="O2199" i="11" s="1"/>
  <c r="M2200" i="11"/>
  <c r="O2200" i="11" s="1"/>
  <c r="M2201" i="11"/>
  <c r="O2201" i="11" s="1"/>
  <c r="M2202" i="11"/>
  <c r="O2202" i="11" s="1"/>
  <c r="M2203" i="11"/>
  <c r="O2203" i="11" s="1"/>
  <c r="M2204" i="11"/>
  <c r="O2204" i="11" s="1"/>
  <c r="M2205" i="11"/>
  <c r="O2205" i="11" s="1"/>
  <c r="M2206" i="11"/>
  <c r="O2206" i="11" s="1"/>
  <c r="M2207" i="11"/>
  <c r="O2207" i="11" s="1"/>
  <c r="M2208" i="11"/>
  <c r="O2208" i="11" s="1"/>
  <c r="M2209" i="11"/>
  <c r="O2209" i="11" s="1"/>
  <c r="M2210" i="11"/>
  <c r="O2210" i="11" s="1"/>
  <c r="M2211" i="11"/>
  <c r="O2211" i="11" s="1"/>
  <c r="M2212" i="11"/>
  <c r="O2212" i="11" s="1"/>
  <c r="M2213" i="11"/>
  <c r="O2213" i="11" s="1"/>
  <c r="M2214" i="11"/>
  <c r="O2214" i="11" s="1"/>
  <c r="M2215" i="11"/>
  <c r="O2215" i="11" s="1"/>
  <c r="M2216" i="11"/>
  <c r="O2216" i="11" s="1"/>
  <c r="M2217" i="11"/>
  <c r="O2217" i="11" s="1"/>
  <c r="M2218" i="11"/>
  <c r="O2218" i="11" s="1"/>
  <c r="M2219" i="11"/>
  <c r="O2219" i="11" s="1"/>
  <c r="M2220" i="11"/>
  <c r="O2220" i="11" s="1"/>
  <c r="M2221" i="11"/>
  <c r="O2221" i="11" s="1"/>
  <c r="M2222" i="11"/>
  <c r="O2222" i="11" s="1"/>
  <c r="M2223" i="11"/>
  <c r="O2223" i="11" s="1"/>
  <c r="M2224" i="11"/>
  <c r="O2224" i="11" s="1"/>
  <c r="M2225" i="11"/>
  <c r="O2225" i="11" s="1"/>
  <c r="M2226" i="11"/>
  <c r="O2226" i="11" s="1"/>
  <c r="M2227" i="11"/>
  <c r="O2227" i="11" s="1"/>
  <c r="M2228" i="11"/>
  <c r="O2228" i="11" s="1"/>
  <c r="M2229" i="11"/>
  <c r="O2229" i="11" s="1"/>
  <c r="M2230" i="11"/>
  <c r="O2230" i="11" s="1"/>
  <c r="M2231" i="11"/>
  <c r="O2231" i="11" s="1"/>
  <c r="M2232" i="11"/>
  <c r="O2232" i="11" s="1"/>
  <c r="M2233" i="11"/>
  <c r="O2233" i="11" s="1"/>
  <c r="M2234" i="11"/>
  <c r="O2234" i="11" s="1"/>
  <c r="M2235" i="11"/>
  <c r="O2235" i="11" s="1"/>
  <c r="M2236" i="11"/>
  <c r="O2236" i="11" s="1"/>
  <c r="M2237" i="11"/>
  <c r="O2237" i="11" s="1"/>
  <c r="M2238" i="11"/>
  <c r="O2238" i="11" s="1"/>
  <c r="M2239" i="11"/>
  <c r="O2239" i="11" s="1"/>
  <c r="M2240" i="11"/>
  <c r="O2240" i="11" s="1"/>
  <c r="M2241" i="11"/>
  <c r="O2241" i="11" s="1"/>
  <c r="M2242" i="11"/>
  <c r="O2242" i="11" s="1"/>
  <c r="M2243" i="11"/>
  <c r="O2243" i="11" s="1"/>
  <c r="M2244" i="11"/>
  <c r="O2244" i="11" s="1"/>
  <c r="M2245" i="11"/>
  <c r="O2245" i="11" s="1"/>
  <c r="M2246" i="11"/>
  <c r="O2246" i="11" s="1"/>
  <c r="M2247" i="11"/>
  <c r="O2247" i="11" s="1"/>
  <c r="M2248" i="11"/>
  <c r="O2248" i="11" s="1"/>
  <c r="M2249" i="11"/>
  <c r="O2249" i="11" s="1"/>
  <c r="M2250" i="11"/>
  <c r="O2250" i="11" s="1"/>
  <c r="M2251" i="11"/>
  <c r="O2251" i="11" s="1"/>
  <c r="M2252" i="11"/>
  <c r="O2252" i="11" s="1"/>
  <c r="M2253" i="11"/>
  <c r="O2253" i="11" s="1"/>
  <c r="M2254" i="11"/>
  <c r="O2254" i="11" s="1"/>
  <c r="M2255" i="11"/>
  <c r="O2255" i="11" s="1"/>
  <c r="M2256" i="11"/>
  <c r="O2256" i="11" s="1"/>
  <c r="M2257" i="11"/>
  <c r="O2257" i="11" s="1"/>
  <c r="M2258" i="11"/>
  <c r="O2258" i="11" s="1"/>
  <c r="M2259" i="11"/>
  <c r="O2259" i="11" s="1"/>
  <c r="M2260" i="11"/>
  <c r="O2260" i="11" s="1"/>
  <c r="M2261" i="11"/>
  <c r="O2261" i="11" s="1"/>
  <c r="M2262" i="11"/>
  <c r="O2262" i="11" s="1"/>
  <c r="M2263" i="11"/>
  <c r="O2263" i="11" s="1"/>
  <c r="M2264" i="11"/>
  <c r="O2264" i="11" s="1"/>
  <c r="M2265" i="11"/>
  <c r="O2265" i="11" s="1"/>
  <c r="M2266" i="11"/>
  <c r="O2266" i="11" s="1"/>
  <c r="M2267" i="11"/>
  <c r="O2267" i="11" s="1"/>
  <c r="M2268" i="11"/>
  <c r="O2268" i="11" s="1"/>
  <c r="M2269" i="11"/>
  <c r="O2269" i="11" s="1"/>
  <c r="M2270" i="11"/>
  <c r="O2270" i="11" s="1"/>
  <c r="M2271" i="11"/>
  <c r="O2271" i="11" s="1"/>
  <c r="M2272" i="11"/>
  <c r="O2272" i="11" s="1"/>
  <c r="M2273" i="11"/>
  <c r="O2273" i="11" s="1"/>
  <c r="M2274" i="11"/>
  <c r="O2274" i="11" s="1"/>
  <c r="M2275" i="11"/>
  <c r="O2275" i="11" s="1"/>
  <c r="M2276" i="11"/>
  <c r="O2276" i="11" s="1"/>
  <c r="M2277" i="11"/>
  <c r="O2277" i="11" s="1"/>
  <c r="M2278" i="11"/>
  <c r="O2278" i="11" s="1"/>
  <c r="M2279" i="11"/>
  <c r="O2279" i="11" s="1"/>
  <c r="M2280" i="11"/>
  <c r="O2280" i="11" s="1"/>
  <c r="M2281" i="11"/>
  <c r="O2281" i="11" s="1"/>
  <c r="M2282" i="11"/>
  <c r="O2282" i="11" s="1"/>
  <c r="M2283" i="11"/>
  <c r="O2283" i="11" s="1"/>
  <c r="M2284" i="11"/>
  <c r="O2284" i="11" s="1"/>
  <c r="M2285" i="11"/>
  <c r="O2285" i="11" s="1"/>
  <c r="M2286" i="11"/>
  <c r="O2286" i="11" s="1"/>
  <c r="M2287" i="11"/>
  <c r="O2287" i="11" s="1"/>
  <c r="M2288" i="11"/>
  <c r="O2288" i="11" s="1"/>
  <c r="M2289" i="11"/>
  <c r="O2289" i="11" s="1"/>
  <c r="M2290" i="11"/>
  <c r="O2290" i="11" s="1"/>
  <c r="M2291" i="11"/>
  <c r="O2291" i="11" s="1"/>
  <c r="M2292" i="11"/>
  <c r="O2292" i="11" s="1"/>
  <c r="M2293" i="11"/>
  <c r="O2293" i="11" s="1"/>
  <c r="M2294" i="11"/>
  <c r="O2294" i="11" s="1"/>
  <c r="M2295" i="11"/>
  <c r="O2295" i="11" s="1"/>
  <c r="M2296" i="11"/>
  <c r="O2296" i="11" s="1"/>
  <c r="M2297" i="11"/>
  <c r="O2297" i="11" s="1"/>
  <c r="M2298" i="11"/>
  <c r="O2298" i="11" s="1"/>
  <c r="M2299" i="11"/>
  <c r="O2299" i="11" s="1"/>
  <c r="M2300" i="11"/>
  <c r="O2300" i="11" s="1"/>
  <c r="M2301" i="11"/>
  <c r="O2301" i="11" s="1"/>
  <c r="M2302" i="11"/>
  <c r="O2302" i="11" s="1"/>
  <c r="M2303" i="11"/>
  <c r="O2303" i="11" s="1"/>
  <c r="M2304" i="11"/>
  <c r="O2304" i="11" s="1"/>
  <c r="M2305" i="11"/>
  <c r="O2305" i="11" s="1"/>
  <c r="M2306" i="11"/>
  <c r="O2306" i="11" s="1"/>
  <c r="M2307" i="11"/>
  <c r="O2307" i="11" s="1"/>
  <c r="M2308" i="11"/>
  <c r="O2308" i="11" s="1"/>
  <c r="M2309" i="11"/>
  <c r="O2309" i="11" s="1"/>
  <c r="M2310" i="11"/>
  <c r="O2310" i="11" s="1"/>
  <c r="M2311" i="11"/>
  <c r="O2311" i="11" s="1"/>
  <c r="M2312" i="11"/>
  <c r="O2312" i="11" s="1"/>
  <c r="M2313" i="11"/>
  <c r="O2313" i="11" s="1"/>
  <c r="M2314" i="11"/>
  <c r="O2314" i="11" s="1"/>
  <c r="M2315" i="11"/>
  <c r="O2315" i="11" s="1"/>
  <c r="M2316" i="11"/>
  <c r="O2316" i="11" s="1"/>
  <c r="M2317" i="11"/>
  <c r="O2317" i="11" s="1"/>
  <c r="M2318" i="11"/>
  <c r="O2318" i="11" s="1"/>
  <c r="M2319" i="11"/>
  <c r="O2319" i="11" s="1"/>
  <c r="M2320" i="11"/>
  <c r="O2320" i="11" s="1"/>
  <c r="M2321" i="11"/>
  <c r="O2321" i="11" s="1"/>
  <c r="M2322" i="11"/>
  <c r="O2322" i="11" s="1"/>
  <c r="M2323" i="11"/>
  <c r="O2323" i="11" s="1"/>
  <c r="M2324" i="11"/>
  <c r="O2324" i="11" s="1"/>
  <c r="M2325" i="11"/>
  <c r="O2325" i="11" s="1"/>
  <c r="M2326" i="11"/>
  <c r="O2326" i="11" s="1"/>
  <c r="M2327" i="11"/>
  <c r="O2327" i="11" s="1"/>
  <c r="M2328" i="11"/>
  <c r="O2328" i="11" s="1"/>
  <c r="M2329" i="11"/>
  <c r="O2329" i="11" s="1"/>
  <c r="M2330" i="11"/>
  <c r="O2330" i="11" s="1"/>
  <c r="M2331" i="11"/>
  <c r="O2331" i="11" s="1"/>
  <c r="M2332" i="11"/>
  <c r="O2332" i="11" s="1"/>
  <c r="M2333" i="11"/>
  <c r="O2333" i="11" s="1"/>
  <c r="M2334" i="11"/>
  <c r="O2334" i="11" s="1"/>
  <c r="M2335" i="11"/>
  <c r="O2335" i="11" s="1"/>
  <c r="M2336" i="11"/>
  <c r="O2336" i="11" s="1"/>
  <c r="M2337" i="11"/>
  <c r="O2337" i="11" s="1"/>
  <c r="M2338" i="11"/>
  <c r="O2338" i="11" s="1"/>
  <c r="M2339" i="11"/>
  <c r="O2339" i="11" s="1"/>
  <c r="M2340" i="11"/>
  <c r="O2340" i="11" s="1"/>
  <c r="M2341" i="11"/>
  <c r="O2341" i="11" s="1"/>
  <c r="M2342" i="11"/>
  <c r="O2342" i="11" s="1"/>
  <c r="M2343" i="11"/>
  <c r="O2343" i="11" s="1"/>
  <c r="M2344" i="11"/>
  <c r="O2344" i="11" s="1"/>
  <c r="M2345" i="11"/>
  <c r="O2345" i="11" s="1"/>
  <c r="M2346" i="11"/>
  <c r="O2346" i="11" s="1"/>
  <c r="M2347" i="11"/>
  <c r="O2347" i="11" s="1"/>
  <c r="M2348" i="11"/>
  <c r="O2348" i="11" s="1"/>
  <c r="M2349" i="11"/>
  <c r="O2349" i="11" s="1"/>
  <c r="M2350" i="11"/>
  <c r="O2350" i="11" s="1"/>
  <c r="M2351" i="11"/>
  <c r="O2351" i="11" s="1"/>
  <c r="M2352" i="11"/>
  <c r="O2352" i="11" s="1"/>
  <c r="M2353" i="11"/>
  <c r="O2353" i="11" s="1"/>
  <c r="M2354" i="11"/>
  <c r="O2354" i="11" s="1"/>
  <c r="M2355" i="11"/>
  <c r="O2355" i="11" s="1"/>
  <c r="M2356" i="11"/>
  <c r="O2356" i="11" s="1"/>
  <c r="M2357" i="11"/>
  <c r="O2357" i="11" s="1"/>
  <c r="M2358" i="11"/>
  <c r="O2358" i="11" s="1"/>
  <c r="M2359" i="11"/>
  <c r="O2359" i="11" s="1"/>
  <c r="M2360" i="11"/>
  <c r="O2360" i="11" s="1"/>
  <c r="M2361" i="11"/>
  <c r="O2361" i="11" s="1"/>
  <c r="M2362" i="11"/>
  <c r="O2362" i="11" s="1"/>
  <c r="M2363" i="11"/>
  <c r="O2363" i="11" s="1"/>
  <c r="M2364" i="11"/>
  <c r="O2364" i="11" s="1"/>
  <c r="M2365" i="11"/>
  <c r="O2365" i="11" s="1"/>
  <c r="M2366" i="11"/>
  <c r="O2366" i="11" s="1"/>
  <c r="M2367" i="11"/>
  <c r="O2367" i="11" s="1"/>
  <c r="M2368" i="11"/>
  <c r="O2368" i="11" s="1"/>
  <c r="M2369" i="11"/>
  <c r="O2369" i="11" s="1"/>
  <c r="M2370" i="11"/>
  <c r="O2370" i="11" s="1"/>
  <c r="M2371" i="11"/>
  <c r="O2371" i="11" s="1"/>
  <c r="M2372" i="11"/>
  <c r="O2372" i="11" s="1"/>
  <c r="M2373" i="11"/>
  <c r="O2373" i="11" s="1"/>
  <c r="M2374" i="11"/>
  <c r="O2374" i="11" s="1"/>
  <c r="M2375" i="11"/>
  <c r="O2375" i="11" s="1"/>
  <c r="M2376" i="11"/>
  <c r="O2376" i="11" s="1"/>
  <c r="M2377" i="11"/>
  <c r="O2377" i="11" s="1"/>
  <c r="M2378" i="11"/>
  <c r="O2378" i="11" s="1"/>
  <c r="M2379" i="11"/>
  <c r="O2379" i="11" s="1"/>
  <c r="M2380" i="11"/>
  <c r="O2380" i="11" s="1"/>
  <c r="M2381" i="11"/>
  <c r="O2381" i="11" s="1"/>
  <c r="M2382" i="11"/>
  <c r="O2382" i="11" s="1"/>
  <c r="M2383" i="11"/>
  <c r="O2383" i="11" s="1"/>
  <c r="M2384" i="11"/>
  <c r="O2384" i="11" s="1"/>
  <c r="M2385" i="11"/>
  <c r="O2385" i="11" s="1"/>
  <c r="M2386" i="11"/>
  <c r="O2386" i="11" s="1"/>
  <c r="M2387" i="11"/>
  <c r="O2387" i="11" s="1"/>
  <c r="M2388" i="11"/>
  <c r="O2388" i="11" s="1"/>
  <c r="M2389" i="11"/>
  <c r="O2389" i="11" s="1"/>
  <c r="M2390" i="11"/>
  <c r="O2390" i="11" s="1"/>
  <c r="M2391" i="11"/>
  <c r="O2391" i="11" s="1"/>
  <c r="M2392" i="11"/>
  <c r="O2392" i="11" s="1"/>
  <c r="M2393" i="11"/>
  <c r="O2393" i="11" s="1"/>
  <c r="M2394" i="11"/>
  <c r="O2394" i="11" s="1"/>
  <c r="M2395" i="11"/>
  <c r="O2395" i="11" s="1"/>
  <c r="M2396" i="11"/>
  <c r="O2396" i="11" s="1"/>
  <c r="M2397" i="11"/>
  <c r="O2397" i="11" s="1"/>
  <c r="M2398" i="11"/>
  <c r="O2398" i="11" s="1"/>
  <c r="M2399" i="11"/>
  <c r="O2399" i="11" s="1"/>
  <c r="M2400" i="11"/>
  <c r="O2400" i="11" s="1"/>
  <c r="M2401" i="11"/>
  <c r="O2401" i="11" s="1"/>
  <c r="M2402" i="11"/>
  <c r="O2402" i="11" s="1"/>
  <c r="M2403" i="11"/>
  <c r="O2403" i="11" s="1"/>
  <c r="M2404" i="11"/>
  <c r="O2404" i="11" s="1"/>
  <c r="M2405" i="11"/>
  <c r="O2405" i="11" s="1"/>
  <c r="M2406" i="11"/>
  <c r="O2406" i="11" s="1"/>
  <c r="M2407" i="11"/>
  <c r="O2407" i="11" s="1"/>
  <c r="M2408" i="11"/>
  <c r="O2408" i="11" s="1"/>
  <c r="M2409" i="11"/>
  <c r="O2409" i="11" s="1"/>
  <c r="M2410" i="11"/>
  <c r="O2410" i="11" s="1"/>
  <c r="M2411" i="11"/>
  <c r="O2411" i="11" s="1"/>
  <c r="M2412" i="11"/>
  <c r="O2412" i="11" s="1"/>
  <c r="M2413" i="11"/>
  <c r="O2413" i="11" s="1"/>
  <c r="M2414" i="11"/>
  <c r="O2414" i="11" s="1"/>
  <c r="M2415" i="11"/>
  <c r="O2415" i="11" s="1"/>
  <c r="M2416" i="11"/>
  <c r="O2416" i="11" s="1"/>
  <c r="M2417" i="11"/>
  <c r="O2417" i="11" s="1"/>
  <c r="M2418" i="11"/>
  <c r="O2418" i="11" s="1"/>
  <c r="M2419" i="11"/>
  <c r="O2419" i="11" s="1"/>
  <c r="M2420" i="11"/>
  <c r="O2420" i="11" s="1"/>
  <c r="M2421" i="11"/>
  <c r="O2421" i="11" s="1"/>
  <c r="M2422" i="11"/>
  <c r="O2422" i="11" s="1"/>
  <c r="M2423" i="11"/>
  <c r="O2423" i="11" s="1"/>
  <c r="M2424" i="11"/>
  <c r="O2424" i="11" s="1"/>
  <c r="M2425" i="11"/>
  <c r="O2425" i="11" s="1"/>
  <c r="M2426" i="11"/>
  <c r="O2426" i="11" s="1"/>
  <c r="M2427" i="11"/>
  <c r="O2427" i="11" s="1"/>
  <c r="M2428" i="11"/>
  <c r="O2428" i="11" s="1"/>
  <c r="M2429" i="11"/>
  <c r="O2429" i="11" s="1"/>
  <c r="M2430" i="11"/>
  <c r="O2430" i="11" s="1"/>
  <c r="M2431" i="11"/>
  <c r="O2431" i="11" s="1"/>
  <c r="M2432" i="11"/>
  <c r="O2432" i="11" s="1"/>
  <c r="M2433" i="11"/>
  <c r="O2433" i="11" s="1"/>
  <c r="M2434" i="11"/>
  <c r="O2434" i="11" s="1"/>
  <c r="M2435" i="11"/>
  <c r="O2435" i="11" s="1"/>
  <c r="M2436" i="11"/>
  <c r="O2436" i="11" s="1"/>
  <c r="M2437" i="11"/>
  <c r="O2437" i="11" s="1"/>
  <c r="M2438" i="11"/>
  <c r="O2438" i="11" s="1"/>
  <c r="M2439" i="11"/>
  <c r="O2439" i="11" s="1"/>
  <c r="M2440" i="11"/>
  <c r="O2440" i="11" s="1"/>
  <c r="M2441" i="11"/>
  <c r="O2441" i="11" s="1"/>
  <c r="M2442" i="11"/>
  <c r="O2442" i="11" s="1"/>
  <c r="M2443" i="11"/>
  <c r="O2443" i="11" s="1"/>
  <c r="M2444" i="11"/>
  <c r="O2444" i="11" s="1"/>
  <c r="M2445" i="11"/>
  <c r="O2445" i="11" s="1"/>
  <c r="M2446" i="11"/>
  <c r="O2446" i="11" s="1"/>
  <c r="M2447" i="11"/>
  <c r="O2447" i="11" s="1"/>
  <c r="M2448" i="11"/>
  <c r="O2448" i="11" s="1"/>
  <c r="M2449" i="11"/>
  <c r="O2449" i="11" s="1"/>
  <c r="M2450" i="11"/>
  <c r="O2450" i="11" s="1"/>
  <c r="M2451" i="11"/>
  <c r="O2451" i="11" s="1"/>
  <c r="M2452" i="11"/>
  <c r="O2452" i="11" s="1"/>
  <c r="M2453" i="11"/>
  <c r="O2453" i="11" s="1"/>
  <c r="M2454" i="11"/>
  <c r="O2454" i="11" s="1"/>
  <c r="M2455" i="11"/>
  <c r="O2455" i="11" s="1"/>
  <c r="M2456" i="11"/>
  <c r="O2456" i="11" s="1"/>
  <c r="M2457" i="11"/>
  <c r="O2457" i="11" s="1"/>
  <c r="M2458" i="11"/>
  <c r="O2458" i="11" s="1"/>
  <c r="M2459" i="11"/>
  <c r="O2459" i="11" s="1"/>
  <c r="M2460" i="11"/>
  <c r="O2460" i="11" s="1"/>
  <c r="M2461" i="11"/>
  <c r="O2461" i="11" s="1"/>
  <c r="M2462" i="11"/>
  <c r="O2462" i="11" s="1"/>
  <c r="M2463" i="11"/>
  <c r="O2463" i="11" s="1"/>
  <c r="M2464" i="11"/>
  <c r="O2464" i="11" s="1"/>
  <c r="M2465" i="11"/>
  <c r="O2465" i="11" s="1"/>
  <c r="M2466" i="11"/>
  <c r="O2466" i="11" s="1"/>
  <c r="M2467" i="11"/>
  <c r="O2467" i="11" s="1"/>
  <c r="M2468" i="11"/>
  <c r="O2468" i="11" s="1"/>
  <c r="M2469" i="11"/>
  <c r="O2469" i="11" s="1"/>
  <c r="M2470" i="11"/>
  <c r="O2470" i="11" s="1"/>
  <c r="M2471" i="11"/>
  <c r="O2471" i="11" s="1"/>
  <c r="M2472" i="11"/>
  <c r="O2472" i="11" s="1"/>
  <c r="M2473" i="11"/>
  <c r="O2473" i="11" s="1"/>
  <c r="M2474" i="11"/>
  <c r="O2474" i="11" s="1"/>
  <c r="M2475" i="11"/>
  <c r="O2475" i="11" s="1"/>
  <c r="M2476" i="11"/>
  <c r="O2476" i="11" s="1"/>
  <c r="M2477" i="11"/>
  <c r="O2477" i="11" s="1"/>
  <c r="M2478" i="11"/>
  <c r="O2478" i="11" s="1"/>
  <c r="M2479" i="11"/>
  <c r="O2479" i="11" s="1"/>
  <c r="M2480" i="11"/>
  <c r="O2480" i="11" s="1"/>
  <c r="M2481" i="11"/>
  <c r="O2481" i="11" s="1"/>
  <c r="M2482" i="11"/>
  <c r="O2482" i="11" s="1"/>
  <c r="M2483" i="11"/>
  <c r="O2483" i="11" s="1"/>
  <c r="M2484" i="11"/>
  <c r="O2484" i="11" s="1"/>
  <c r="M2485" i="11"/>
  <c r="O2485" i="11" s="1"/>
  <c r="M2486" i="11"/>
  <c r="O2486" i="11" s="1"/>
  <c r="M2487" i="11"/>
  <c r="O2487" i="11" s="1"/>
  <c r="M2488" i="11"/>
  <c r="O2488" i="11" s="1"/>
  <c r="M2489" i="11"/>
  <c r="O2489" i="11" s="1"/>
  <c r="M2490" i="11"/>
  <c r="O2490" i="11" s="1"/>
  <c r="M2491" i="11"/>
  <c r="O2491" i="11" s="1"/>
  <c r="M2492" i="11"/>
  <c r="O2492" i="11" s="1"/>
  <c r="M2493" i="11"/>
  <c r="O2493" i="11" s="1"/>
  <c r="M2494" i="11"/>
  <c r="O2494" i="11" s="1"/>
  <c r="M2495" i="11"/>
  <c r="O2495" i="11" s="1"/>
  <c r="M2496" i="11"/>
  <c r="O2496" i="11" s="1"/>
  <c r="M2497" i="11"/>
  <c r="O2497" i="11" s="1"/>
  <c r="M2498" i="11"/>
  <c r="O2498" i="11" s="1"/>
  <c r="M2499" i="11"/>
  <c r="O2499" i="11" s="1"/>
  <c r="M2500" i="11"/>
  <c r="O2500" i="11" s="1"/>
  <c r="M2501" i="11"/>
  <c r="O2501" i="11" s="1"/>
  <c r="M2502" i="11"/>
  <c r="O2502" i="11" s="1"/>
  <c r="M2503" i="11"/>
  <c r="O2503" i="11" s="1"/>
  <c r="M2504" i="11"/>
  <c r="O2504" i="11" s="1"/>
  <c r="M2505" i="11"/>
  <c r="O2505" i="11" s="1"/>
  <c r="M2506" i="11"/>
  <c r="O2506" i="11" s="1"/>
  <c r="M2507" i="11"/>
  <c r="O2507" i="11" s="1"/>
  <c r="M2508" i="11"/>
  <c r="O2508" i="11" s="1"/>
  <c r="M2509" i="11"/>
  <c r="O2509" i="11" s="1"/>
  <c r="M2510" i="11"/>
  <c r="O2510" i="11" s="1"/>
  <c r="M2511" i="11"/>
  <c r="O2511" i="11" s="1"/>
  <c r="M2512" i="11"/>
  <c r="O2512" i="11" s="1"/>
  <c r="M2513" i="11"/>
  <c r="O2513" i="11" s="1"/>
  <c r="M2514" i="11"/>
  <c r="O2514" i="11" s="1"/>
  <c r="M2515" i="11"/>
  <c r="O2515" i="11" s="1"/>
  <c r="M2516" i="11"/>
  <c r="O2516" i="11" s="1"/>
  <c r="M2517" i="11"/>
  <c r="O2517" i="11" s="1"/>
  <c r="M2518" i="11"/>
  <c r="O2518" i="11" s="1"/>
  <c r="M2519" i="11"/>
  <c r="O2519" i="11" s="1"/>
  <c r="M2520" i="11"/>
  <c r="O2520" i="11" s="1"/>
  <c r="M2521" i="11"/>
  <c r="O2521" i="11" s="1"/>
  <c r="M2522" i="11"/>
  <c r="O2522" i="11" s="1"/>
  <c r="M2523" i="11"/>
  <c r="O2523" i="11" s="1"/>
  <c r="M2524" i="11"/>
  <c r="O2524" i="11" s="1"/>
  <c r="M2525" i="11"/>
  <c r="O2525" i="11" s="1"/>
  <c r="M2526" i="11"/>
  <c r="O2526" i="11" s="1"/>
  <c r="M2527" i="11"/>
  <c r="O2527" i="11" s="1"/>
  <c r="M2528" i="11"/>
  <c r="O2528" i="11" s="1"/>
  <c r="M2529" i="11"/>
  <c r="O2529" i="11" s="1"/>
  <c r="M2530" i="11"/>
  <c r="O2530" i="11" s="1"/>
  <c r="M2531" i="11"/>
  <c r="O2531" i="11" s="1"/>
  <c r="M2532" i="11"/>
  <c r="O2532" i="11" s="1"/>
  <c r="M2533" i="11"/>
  <c r="O2533" i="11" s="1"/>
  <c r="M2534" i="11"/>
  <c r="O2534" i="11" s="1"/>
  <c r="M2535" i="11"/>
  <c r="O2535" i="11" s="1"/>
  <c r="M2536" i="11"/>
  <c r="O2536" i="11" s="1"/>
  <c r="M2537" i="11"/>
  <c r="O2537" i="11" s="1"/>
  <c r="M2538" i="11"/>
  <c r="O2538" i="11" s="1"/>
  <c r="M2539" i="11"/>
  <c r="O2539" i="11" s="1"/>
  <c r="M2540" i="11"/>
  <c r="O2540" i="11" s="1"/>
  <c r="M2541" i="11"/>
  <c r="O2541" i="11" s="1"/>
  <c r="M2542" i="11"/>
  <c r="O2542" i="11" s="1"/>
  <c r="M2543" i="11"/>
  <c r="O2543" i="11" s="1"/>
  <c r="M2544" i="11"/>
  <c r="O2544" i="11" s="1"/>
  <c r="M2545" i="11"/>
  <c r="O2545" i="11" s="1"/>
  <c r="M2546" i="11"/>
  <c r="O2546" i="11" s="1"/>
  <c r="M2547" i="11"/>
  <c r="O2547" i="11" s="1"/>
  <c r="M2548" i="11"/>
  <c r="O2548" i="11" s="1"/>
  <c r="M2549" i="11"/>
  <c r="O2549" i="11" s="1"/>
  <c r="M2550" i="11"/>
  <c r="O2550" i="11" s="1"/>
  <c r="M2551" i="11"/>
  <c r="O2551" i="11" s="1"/>
  <c r="M2552" i="11"/>
  <c r="O2552" i="11" s="1"/>
  <c r="M2553" i="11"/>
  <c r="O2553" i="11" s="1"/>
  <c r="M2554" i="11"/>
  <c r="O2554" i="11" s="1"/>
  <c r="M2555" i="11"/>
  <c r="O2555" i="11" s="1"/>
  <c r="M2556" i="11"/>
  <c r="O2556" i="11" s="1"/>
  <c r="M2557" i="11"/>
  <c r="O2557" i="11" s="1"/>
  <c r="M2558" i="11"/>
  <c r="O2558" i="11" s="1"/>
  <c r="M2559" i="11"/>
  <c r="O2559" i="11" s="1"/>
  <c r="M2560" i="11"/>
  <c r="O2560" i="11" s="1"/>
  <c r="M2561" i="11"/>
  <c r="O2561" i="11" s="1"/>
  <c r="M2562" i="11"/>
  <c r="O2562" i="11" s="1"/>
  <c r="M2563" i="11"/>
  <c r="O2563" i="11" s="1"/>
  <c r="M2564" i="11"/>
  <c r="O2564" i="11" s="1"/>
  <c r="M2565" i="11"/>
  <c r="O2565" i="11" s="1"/>
  <c r="M2566" i="11"/>
  <c r="O2566" i="11" s="1"/>
  <c r="M2567" i="11"/>
  <c r="O2567" i="11" s="1"/>
  <c r="M2568" i="11"/>
  <c r="O2568" i="11" s="1"/>
  <c r="M2569" i="11"/>
  <c r="O2569" i="11" s="1"/>
  <c r="M2570" i="11"/>
  <c r="O2570" i="11" s="1"/>
  <c r="M2571" i="11"/>
  <c r="O2571" i="11" s="1"/>
  <c r="M2572" i="11"/>
  <c r="O2572" i="11" s="1"/>
  <c r="M2573" i="11"/>
  <c r="O2573" i="11" s="1"/>
  <c r="M2574" i="11"/>
  <c r="O2574" i="11" s="1"/>
  <c r="M2575" i="11"/>
  <c r="O2575" i="11" s="1"/>
  <c r="M2576" i="11"/>
  <c r="O2576" i="11" s="1"/>
  <c r="M2577" i="11"/>
  <c r="O2577" i="11" s="1"/>
  <c r="M2578" i="11"/>
  <c r="O2578" i="11" s="1"/>
  <c r="M2579" i="11"/>
  <c r="O2579" i="11" s="1"/>
  <c r="M2580" i="11"/>
  <c r="O2580" i="11" s="1"/>
  <c r="M2581" i="11"/>
  <c r="O2581" i="11" s="1"/>
  <c r="M2582" i="11"/>
  <c r="O2582" i="11" s="1"/>
  <c r="M2583" i="11"/>
  <c r="O2583" i="11" s="1"/>
  <c r="M2584" i="11"/>
  <c r="O2584" i="11" s="1"/>
  <c r="M2585" i="11"/>
  <c r="O2585" i="11" s="1"/>
  <c r="M2586" i="11"/>
  <c r="O2586" i="11" s="1"/>
  <c r="M2587" i="11"/>
  <c r="O2587" i="11" s="1"/>
  <c r="M2588" i="11"/>
  <c r="O2588" i="11" s="1"/>
  <c r="M2589" i="11"/>
  <c r="O2589" i="11" s="1"/>
  <c r="M2590" i="11"/>
  <c r="O2590" i="11" s="1"/>
  <c r="M2591" i="11"/>
  <c r="O2591" i="11" s="1"/>
  <c r="M2592" i="11"/>
  <c r="O2592" i="11" s="1"/>
  <c r="M2593" i="11"/>
  <c r="O2593" i="11" s="1"/>
  <c r="M2594" i="11"/>
  <c r="O2594" i="11" s="1"/>
  <c r="M2595" i="11"/>
  <c r="O2595" i="11" s="1"/>
  <c r="M2596" i="11"/>
  <c r="O2596" i="11" s="1"/>
  <c r="M2597" i="11"/>
  <c r="O2597" i="11" s="1"/>
  <c r="M2598" i="11"/>
  <c r="O2598" i="11" s="1"/>
  <c r="M2599" i="11"/>
  <c r="O2599" i="11" s="1"/>
  <c r="M2600" i="11"/>
  <c r="O2600" i="11" s="1"/>
  <c r="M2601" i="11"/>
  <c r="O2601" i="11" s="1"/>
  <c r="M2602" i="11"/>
  <c r="O2602" i="11" s="1"/>
  <c r="M2603" i="11"/>
  <c r="O2603" i="11" s="1"/>
  <c r="M2604" i="11"/>
  <c r="O2604" i="11" s="1"/>
  <c r="M2605" i="11"/>
  <c r="O2605" i="11" s="1"/>
  <c r="M2606" i="11"/>
  <c r="O2606" i="11" s="1"/>
  <c r="M2607" i="11"/>
  <c r="O2607" i="11" s="1"/>
  <c r="M2608" i="11"/>
  <c r="O2608" i="11" s="1"/>
  <c r="M2609" i="11"/>
  <c r="O2609" i="11" s="1"/>
  <c r="M2610" i="11"/>
  <c r="O2610" i="11" s="1"/>
  <c r="M2611" i="11"/>
  <c r="O2611" i="11" s="1"/>
  <c r="M2612" i="11"/>
  <c r="O2612" i="11" s="1"/>
  <c r="M2613" i="11"/>
  <c r="O2613" i="11" s="1"/>
  <c r="M2614" i="11"/>
  <c r="O2614" i="11" s="1"/>
  <c r="M2615" i="11"/>
  <c r="O2615" i="11" s="1"/>
  <c r="M2616" i="11"/>
  <c r="O2616" i="11" s="1"/>
  <c r="M2617" i="11"/>
  <c r="O2617" i="11" s="1"/>
  <c r="M2618" i="11"/>
  <c r="O2618" i="11" s="1"/>
  <c r="M2619" i="11"/>
  <c r="O2619" i="11" s="1"/>
  <c r="M2620" i="11"/>
  <c r="O2620" i="11" s="1"/>
  <c r="M2621" i="11"/>
  <c r="O2621" i="11" s="1"/>
  <c r="M2622" i="11"/>
  <c r="O2622" i="11" s="1"/>
  <c r="M2623" i="11"/>
  <c r="O2623" i="11" s="1"/>
  <c r="M2624" i="11"/>
  <c r="O2624" i="11" s="1"/>
  <c r="M2625" i="11"/>
  <c r="O2625" i="11" s="1"/>
  <c r="M2626" i="11"/>
  <c r="O2626" i="11" s="1"/>
  <c r="M2627" i="11"/>
  <c r="O2627" i="11" s="1"/>
  <c r="M2628" i="11"/>
  <c r="O2628" i="11" s="1"/>
  <c r="M2629" i="11"/>
  <c r="O2629" i="11" s="1"/>
  <c r="M2630" i="11"/>
  <c r="O2630" i="11" s="1"/>
  <c r="M2631" i="11"/>
  <c r="O2631" i="11" s="1"/>
  <c r="M2632" i="11"/>
  <c r="O2632" i="11" s="1"/>
  <c r="M2633" i="11"/>
  <c r="O2633" i="11" s="1"/>
  <c r="M2634" i="11"/>
  <c r="O2634" i="11" s="1"/>
  <c r="M2635" i="11"/>
  <c r="O2635" i="11" s="1"/>
  <c r="M2636" i="11"/>
  <c r="O2636" i="11" s="1"/>
  <c r="M2637" i="11"/>
  <c r="O2637" i="11" s="1"/>
  <c r="M2638" i="11"/>
  <c r="O2638" i="11" s="1"/>
  <c r="M2639" i="11"/>
  <c r="O2639" i="11" s="1"/>
  <c r="M2640" i="11"/>
  <c r="O2640" i="11" s="1"/>
  <c r="M2641" i="11"/>
  <c r="O2641" i="11" s="1"/>
  <c r="M2642" i="11"/>
  <c r="O2642" i="11" s="1"/>
  <c r="M2643" i="11"/>
  <c r="O2643" i="11" s="1"/>
  <c r="M2644" i="11"/>
  <c r="O2644" i="11" s="1"/>
  <c r="M2645" i="11"/>
  <c r="O2645" i="11" s="1"/>
  <c r="M2646" i="11"/>
  <c r="O2646" i="11" s="1"/>
  <c r="M2647" i="11"/>
  <c r="O2647" i="11" s="1"/>
  <c r="M2648" i="11"/>
  <c r="O2648" i="11" s="1"/>
  <c r="M2649" i="11"/>
  <c r="O2649" i="11" s="1"/>
  <c r="M2650" i="11"/>
  <c r="O2650" i="11" s="1"/>
  <c r="M2651" i="11"/>
  <c r="O2651" i="11" s="1"/>
  <c r="M2652" i="11"/>
  <c r="O2652" i="11" s="1"/>
  <c r="M2653" i="11"/>
  <c r="O2653" i="11" s="1"/>
  <c r="M2654" i="11"/>
  <c r="O2654" i="11" s="1"/>
  <c r="M2655" i="11"/>
  <c r="O2655" i="11" s="1"/>
  <c r="M2656" i="11"/>
  <c r="O2656" i="11" s="1"/>
  <c r="M2657" i="11"/>
  <c r="O2657" i="11" s="1"/>
  <c r="M2658" i="11"/>
  <c r="O2658" i="11" s="1"/>
  <c r="M2659" i="11"/>
  <c r="O2659" i="11" s="1"/>
  <c r="M2660" i="11"/>
  <c r="O2660" i="11" s="1"/>
  <c r="M2661" i="11"/>
  <c r="O2661" i="11" s="1"/>
  <c r="M2662" i="11"/>
  <c r="O2662" i="11" s="1"/>
  <c r="M2663" i="11"/>
  <c r="O2663" i="11" s="1"/>
  <c r="M2664" i="11"/>
  <c r="O2664" i="11" s="1"/>
  <c r="M2665" i="11"/>
  <c r="O2665" i="11" s="1"/>
  <c r="M2666" i="11"/>
  <c r="O2666" i="11" s="1"/>
  <c r="M2667" i="11"/>
  <c r="O2667" i="11" s="1"/>
  <c r="M2668" i="11"/>
  <c r="O2668" i="11" s="1"/>
  <c r="M2669" i="11"/>
  <c r="O2669" i="11" s="1"/>
  <c r="M2670" i="11"/>
  <c r="O2670" i="11" s="1"/>
  <c r="M2671" i="11"/>
  <c r="O2671" i="11" s="1"/>
  <c r="M2672" i="11"/>
  <c r="O2672" i="11" s="1"/>
  <c r="M2673" i="11"/>
  <c r="O2673" i="11" s="1"/>
  <c r="M2674" i="11"/>
  <c r="O2674" i="11" s="1"/>
  <c r="M2675" i="11"/>
  <c r="O2675" i="11" s="1"/>
  <c r="M2676" i="11"/>
  <c r="O2676" i="11" s="1"/>
  <c r="M2677" i="11"/>
  <c r="O2677" i="11" s="1"/>
  <c r="M2678" i="11"/>
  <c r="O2678" i="11" s="1"/>
  <c r="M2679" i="11"/>
  <c r="O2679" i="11" s="1"/>
  <c r="M2680" i="11"/>
  <c r="O2680" i="11" s="1"/>
  <c r="M2681" i="11"/>
  <c r="O2681" i="11" s="1"/>
  <c r="M2682" i="11"/>
  <c r="O2682" i="11" s="1"/>
  <c r="M2683" i="11"/>
  <c r="O2683" i="11" s="1"/>
  <c r="M2684" i="11"/>
  <c r="O2684" i="11" s="1"/>
  <c r="M2685" i="11"/>
  <c r="O2685" i="11" s="1"/>
  <c r="M2686" i="11"/>
  <c r="O2686" i="11" s="1"/>
  <c r="M2687" i="11"/>
  <c r="O2687" i="11" s="1"/>
  <c r="M2688" i="11"/>
  <c r="O2688" i="11" s="1"/>
  <c r="M2689" i="11"/>
  <c r="O2689" i="11" s="1"/>
  <c r="M2690" i="11"/>
  <c r="O2690" i="11" s="1"/>
  <c r="M2691" i="11"/>
  <c r="O2691" i="11" s="1"/>
  <c r="M2692" i="11"/>
  <c r="O2692" i="11" s="1"/>
  <c r="M2693" i="11"/>
  <c r="O2693" i="11" s="1"/>
  <c r="M2694" i="11"/>
  <c r="O2694" i="11" s="1"/>
  <c r="M2695" i="11"/>
  <c r="O2695" i="11" s="1"/>
  <c r="M2696" i="11"/>
  <c r="O2696" i="11" s="1"/>
  <c r="M2697" i="11"/>
  <c r="O2697" i="11" s="1"/>
  <c r="M2698" i="11"/>
  <c r="O2698" i="11" s="1"/>
  <c r="M2699" i="11"/>
  <c r="O2699" i="11" s="1"/>
  <c r="M2700" i="11"/>
  <c r="O2700" i="11" s="1"/>
  <c r="M2701" i="11"/>
  <c r="O2701" i="11" s="1"/>
  <c r="M2702" i="11"/>
  <c r="O2702" i="11" s="1"/>
  <c r="M2703" i="11"/>
  <c r="O2703" i="11" s="1"/>
  <c r="M2704" i="11"/>
  <c r="O2704" i="11" s="1"/>
  <c r="M2705" i="11"/>
  <c r="O2705" i="11" s="1"/>
  <c r="M2706" i="11"/>
  <c r="O2706" i="11" s="1"/>
  <c r="M2707" i="11"/>
  <c r="O2707" i="11" s="1"/>
  <c r="M2708" i="11"/>
  <c r="O2708" i="11" s="1"/>
  <c r="M2709" i="11"/>
  <c r="O2709" i="11" s="1"/>
  <c r="M2710" i="11"/>
  <c r="O2710" i="11" s="1"/>
  <c r="M2711" i="11"/>
  <c r="O2711" i="11" s="1"/>
  <c r="M2712" i="11"/>
  <c r="O2712" i="11" s="1"/>
  <c r="M2713" i="11"/>
  <c r="O2713" i="11" s="1"/>
  <c r="M2714" i="11"/>
  <c r="O2714" i="11" s="1"/>
  <c r="M2715" i="11"/>
  <c r="O2715" i="11" s="1"/>
  <c r="M2716" i="11"/>
  <c r="O2716" i="11" s="1"/>
  <c r="M2717" i="11"/>
  <c r="O2717" i="11" s="1"/>
  <c r="M2718" i="11"/>
  <c r="O2718" i="11" s="1"/>
  <c r="M2719" i="11"/>
  <c r="O2719" i="11" s="1"/>
  <c r="M2720" i="11"/>
  <c r="O2720" i="11" s="1"/>
  <c r="M2721" i="11"/>
  <c r="O2721" i="11" s="1"/>
  <c r="M2722" i="11"/>
  <c r="O2722" i="11" s="1"/>
  <c r="M2723" i="11"/>
  <c r="O2723" i="11" s="1"/>
  <c r="M2724" i="11"/>
  <c r="O2724" i="11" s="1"/>
  <c r="M2725" i="11"/>
  <c r="O2725" i="11" s="1"/>
  <c r="M2726" i="11"/>
  <c r="O2726" i="11" s="1"/>
  <c r="M2727" i="11"/>
  <c r="O2727" i="11" s="1"/>
  <c r="M2728" i="11"/>
  <c r="O2728" i="11" s="1"/>
  <c r="M2729" i="11"/>
  <c r="O2729" i="11" s="1"/>
  <c r="M2730" i="11"/>
  <c r="O2730" i="11" s="1"/>
  <c r="M2731" i="11"/>
  <c r="O2731" i="11" s="1"/>
  <c r="M2732" i="11"/>
  <c r="O2732" i="11" s="1"/>
  <c r="M2733" i="11"/>
  <c r="O2733" i="11" s="1"/>
  <c r="M2734" i="11"/>
  <c r="O2734" i="11" s="1"/>
  <c r="M2735" i="11"/>
  <c r="O2735" i="11" s="1"/>
  <c r="M2736" i="11"/>
  <c r="O2736" i="11" s="1"/>
  <c r="M2737" i="11"/>
  <c r="O2737" i="11" s="1"/>
  <c r="M2738" i="11"/>
  <c r="O2738" i="11" s="1"/>
  <c r="M2739" i="11"/>
  <c r="O2739" i="11" s="1"/>
  <c r="M2740" i="11"/>
  <c r="O2740" i="11" s="1"/>
  <c r="M2741" i="11"/>
  <c r="O2741" i="11" s="1"/>
  <c r="M2742" i="11"/>
  <c r="O2742" i="11" s="1"/>
  <c r="M2743" i="11"/>
  <c r="O2743" i="11" s="1"/>
  <c r="M2744" i="11"/>
  <c r="O2744" i="11" s="1"/>
  <c r="M2745" i="11"/>
  <c r="O2745" i="11" s="1"/>
  <c r="M2746" i="11"/>
  <c r="O2746" i="11" s="1"/>
  <c r="M2747" i="11"/>
  <c r="O2747" i="11" s="1"/>
  <c r="M2748" i="11"/>
  <c r="O2748" i="11" s="1"/>
  <c r="M2749" i="11"/>
  <c r="O2749" i="11" s="1"/>
  <c r="M2750" i="11"/>
  <c r="O2750" i="11" s="1"/>
  <c r="M2751" i="11"/>
  <c r="O2751" i="11" s="1"/>
  <c r="M2752" i="11"/>
  <c r="O2752" i="11" s="1"/>
  <c r="M2753" i="11"/>
  <c r="O2753" i="11" s="1"/>
  <c r="M2754" i="11"/>
  <c r="O2754" i="11" s="1"/>
  <c r="M2755" i="11"/>
  <c r="O2755" i="11" s="1"/>
  <c r="M2756" i="11"/>
  <c r="O2756" i="11" s="1"/>
  <c r="M2757" i="11"/>
  <c r="O2757" i="11" s="1"/>
  <c r="M2758" i="11"/>
  <c r="O2758" i="11" s="1"/>
  <c r="M2759" i="11"/>
  <c r="O2759" i="11" s="1"/>
  <c r="M2760" i="11"/>
  <c r="O2760" i="11" s="1"/>
  <c r="M2761" i="11"/>
  <c r="O2761" i="11" s="1"/>
  <c r="M2762" i="11"/>
  <c r="O2762" i="11" s="1"/>
  <c r="M2763" i="11"/>
  <c r="O2763" i="11" s="1"/>
  <c r="M2764" i="11"/>
  <c r="O2764" i="11" s="1"/>
  <c r="M2765" i="11"/>
  <c r="O2765" i="11" s="1"/>
  <c r="M2766" i="11"/>
  <c r="O2766" i="11" s="1"/>
  <c r="M2767" i="11"/>
  <c r="O2767" i="11" s="1"/>
  <c r="M2768" i="11"/>
  <c r="O2768" i="11" s="1"/>
  <c r="M2769" i="11"/>
  <c r="O2769" i="11" s="1"/>
  <c r="M2770" i="11"/>
  <c r="O2770" i="11" s="1"/>
  <c r="M2771" i="11"/>
  <c r="O2771" i="11" s="1"/>
  <c r="M2772" i="11"/>
  <c r="O2772" i="11" s="1"/>
  <c r="M2773" i="11"/>
  <c r="O2773" i="11" s="1"/>
  <c r="M2774" i="11"/>
  <c r="O2774" i="11" s="1"/>
  <c r="M2775" i="11"/>
  <c r="O2775" i="11" s="1"/>
  <c r="M2776" i="11"/>
  <c r="O2776" i="11" s="1"/>
  <c r="M2777" i="11"/>
  <c r="O2777" i="11" s="1"/>
  <c r="M2778" i="11"/>
  <c r="O2778" i="11" s="1"/>
  <c r="M2779" i="11"/>
  <c r="O2779" i="11" s="1"/>
  <c r="M2780" i="11"/>
  <c r="O2780" i="11" s="1"/>
  <c r="M2781" i="11"/>
  <c r="O2781" i="11" s="1"/>
  <c r="M2782" i="11"/>
  <c r="O2782" i="11" s="1"/>
  <c r="M2783" i="11"/>
  <c r="O2783" i="11" s="1"/>
  <c r="M2784" i="11"/>
  <c r="O2784" i="11" s="1"/>
  <c r="M2785" i="11"/>
  <c r="O2785" i="11" s="1"/>
  <c r="M2786" i="11"/>
  <c r="O2786" i="11" s="1"/>
  <c r="M2787" i="11"/>
  <c r="O2787" i="11" s="1"/>
  <c r="M2788" i="11"/>
  <c r="O2788" i="11" s="1"/>
  <c r="M2789" i="11"/>
  <c r="O2789" i="11" s="1"/>
  <c r="M2790" i="11"/>
  <c r="O2790" i="11" s="1"/>
  <c r="M2791" i="11"/>
  <c r="O2791" i="11" s="1"/>
  <c r="M2792" i="11"/>
  <c r="O2792" i="11" s="1"/>
  <c r="M2793" i="11"/>
  <c r="O2793" i="11" s="1"/>
  <c r="M2794" i="11"/>
  <c r="O2794" i="11" s="1"/>
  <c r="M2795" i="11"/>
  <c r="O2795" i="11" s="1"/>
  <c r="M2796" i="11"/>
  <c r="O2796" i="11" s="1"/>
  <c r="M2797" i="11"/>
  <c r="O2797" i="11" s="1"/>
  <c r="M2798" i="11"/>
  <c r="O2798" i="11" s="1"/>
  <c r="M2799" i="11"/>
  <c r="O2799" i="11" s="1"/>
  <c r="M2800" i="11"/>
  <c r="O2800" i="11" s="1"/>
  <c r="M2801" i="11"/>
  <c r="O2801" i="11" s="1"/>
  <c r="M2802" i="11"/>
  <c r="O2802" i="11" s="1"/>
  <c r="M2803" i="11"/>
  <c r="O2803" i="11" s="1"/>
  <c r="M2804" i="11"/>
  <c r="O2804" i="11" s="1"/>
  <c r="M2805" i="11"/>
  <c r="O2805" i="11" s="1"/>
  <c r="M2806" i="11"/>
  <c r="O2806" i="11" s="1"/>
  <c r="M2807" i="11"/>
  <c r="O2807" i="11" s="1"/>
  <c r="M2808" i="11"/>
  <c r="O2808" i="11" s="1"/>
  <c r="M2809" i="11"/>
  <c r="O2809" i="11" s="1"/>
  <c r="M2810" i="11"/>
  <c r="O2810" i="11" s="1"/>
  <c r="M2811" i="11"/>
  <c r="O2811" i="11" s="1"/>
  <c r="M2812" i="11"/>
  <c r="O2812" i="11" s="1"/>
  <c r="M2813" i="11"/>
  <c r="O2813" i="11" s="1"/>
  <c r="M2814" i="11"/>
  <c r="O2814" i="11" s="1"/>
  <c r="M2815" i="11"/>
  <c r="O2815" i="11" s="1"/>
  <c r="M2816" i="11"/>
  <c r="O2816" i="11" s="1"/>
  <c r="M2817" i="11"/>
  <c r="O2817" i="11" s="1"/>
  <c r="M2818" i="11"/>
  <c r="O2818" i="11" s="1"/>
  <c r="M2819" i="11"/>
  <c r="O2819" i="11" s="1"/>
  <c r="M2820" i="11"/>
  <c r="O2820" i="11" s="1"/>
  <c r="M2821" i="11"/>
  <c r="O2821" i="11" s="1"/>
  <c r="M2822" i="11"/>
  <c r="O2822" i="11" s="1"/>
  <c r="M2823" i="11"/>
  <c r="O2823" i="11" s="1"/>
  <c r="M2824" i="11"/>
  <c r="O2824" i="11" s="1"/>
  <c r="M2825" i="11"/>
  <c r="O2825" i="11" s="1"/>
  <c r="M2826" i="11"/>
  <c r="O2826" i="11" s="1"/>
  <c r="M2827" i="11"/>
  <c r="O2827" i="11" s="1"/>
  <c r="M2828" i="11"/>
  <c r="O2828" i="11" s="1"/>
  <c r="M2829" i="11"/>
  <c r="O2829" i="11" s="1"/>
  <c r="M2830" i="11"/>
  <c r="O2830" i="11" s="1"/>
  <c r="M2831" i="11"/>
  <c r="O2831" i="11" s="1"/>
  <c r="M2832" i="11"/>
  <c r="O2832" i="11" s="1"/>
  <c r="M2833" i="11"/>
  <c r="O2833" i="11" s="1"/>
  <c r="M2834" i="11"/>
  <c r="O2834" i="11" s="1"/>
  <c r="M2835" i="11"/>
  <c r="O2835" i="11" s="1"/>
  <c r="M2836" i="11"/>
  <c r="O2836" i="11" s="1"/>
  <c r="M2837" i="11"/>
  <c r="O2837" i="11" s="1"/>
  <c r="M2838" i="11"/>
  <c r="O2838" i="11" s="1"/>
  <c r="M2839" i="11"/>
  <c r="O2839" i="11" s="1"/>
  <c r="M2840" i="11"/>
  <c r="O2840" i="11" s="1"/>
  <c r="M2841" i="11"/>
  <c r="O2841" i="11" s="1"/>
  <c r="M2842" i="11"/>
  <c r="O2842" i="11" s="1"/>
  <c r="M2843" i="11"/>
  <c r="O2843" i="11" s="1"/>
  <c r="M2844" i="11"/>
  <c r="O2844" i="11" s="1"/>
  <c r="M2845" i="11"/>
  <c r="O2845" i="11" s="1"/>
  <c r="M2846" i="11"/>
  <c r="O2846" i="11" s="1"/>
  <c r="M2847" i="11"/>
  <c r="O2847" i="11" s="1"/>
  <c r="M2848" i="11"/>
  <c r="O2848" i="11" s="1"/>
  <c r="M2849" i="11"/>
  <c r="O2849" i="11" s="1"/>
  <c r="M2850" i="11"/>
  <c r="O2850" i="11" s="1"/>
  <c r="M2851" i="11"/>
  <c r="O2851" i="11" s="1"/>
  <c r="M2852" i="11"/>
  <c r="O2852" i="11" s="1"/>
  <c r="M2853" i="11"/>
  <c r="O2853" i="11" s="1"/>
  <c r="M2854" i="11"/>
  <c r="O2854" i="11" s="1"/>
  <c r="M2855" i="11"/>
  <c r="O2855" i="11" s="1"/>
  <c r="M2856" i="11"/>
  <c r="O2856" i="11" s="1"/>
  <c r="M2857" i="11"/>
  <c r="O2857" i="11" s="1"/>
  <c r="M2858" i="11"/>
  <c r="O2858" i="11" s="1"/>
  <c r="M2859" i="11"/>
  <c r="O2859" i="11" s="1"/>
  <c r="M2860" i="11"/>
  <c r="O2860" i="11" s="1"/>
  <c r="M2861" i="11"/>
  <c r="O2861" i="11" s="1"/>
  <c r="M2862" i="11"/>
  <c r="O2862" i="11" s="1"/>
  <c r="M2863" i="11"/>
  <c r="O2863" i="11" s="1"/>
  <c r="M2864" i="11"/>
  <c r="O2864" i="11" s="1"/>
  <c r="M2865" i="11"/>
  <c r="O2865" i="11" s="1"/>
  <c r="M2866" i="11"/>
  <c r="O2866" i="11" s="1"/>
  <c r="M2867" i="11"/>
  <c r="O2867" i="11" s="1"/>
  <c r="M2868" i="11"/>
  <c r="O2868" i="11" s="1"/>
  <c r="M2869" i="11"/>
  <c r="O2869" i="11" s="1"/>
  <c r="M2870" i="11"/>
  <c r="O2870" i="11" s="1"/>
  <c r="M2871" i="11"/>
  <c r="O2871" i="11" s="1"/>
  <c r="M2872" i="11"/>
  <c r="O2872" i="11" s="1"/>
  <c r="M2873" i="11"/>
  <c r="O2873" i="11" s="1"/>
  <c r="M2874" i="11"/>
  <c r="O2874" i="11" s="1"/>
  <c r="M2875" i="11"/>
  <c r="O2875" i="11" s="1"/>
  <c r="M2876" i="11"/>
  <c r="O2876" i="11" s="1"/>
  <c r="M2877" i="11"/>
  <c r="O2877" i="11" s="1"/>
  <c r="M2878" i="11"/>
  <c r="O2878" i="11" s="1"/>
  <c r="M2879" i="11"/>
  <c r="O2879" i="11" s="1"/>
  <c r="M2880" i="11"/>
  <c r="O2880" i="11" s="1"/>
  <c r="M2881" i="11"/>
  <c r="O2881" i="11" s="1"/>
  <c r="M2882" i="11"/>
  <c r="O2882" i="11" s="1"/>
  <c r="M2883" i="11"/>
  <c r="O2883" i="11" s="1"/>
  <c r="M2884" i="11"/>
  <c r="O2884" i="11" s="1"/>
  <c r="M2885" i="11"/>
  <c r="O2885" i="11" s="1"/>
  <c r="M2886" i="11"/>
  <c r="O2886" i="11" s="1"/>
  <c r="M2887" i="11"/>
  <c r="O2887" i="11" s="1"/>
  <c r="M2888" i="11"/>
  <c r="O2888" i="11" s="1"/>
  <c r="M2889" i="11"/>
  <c r="O2889" i="11" s="1"/>
  <c r="M2890" i="11"/>
  <c r="O2890" i="11" s="1"/>
  <c r="M2891" i="11"/>
  <c r="O2891" i="11" s="1"/>
  <c r="M2892" i="11"/>
  <c r="O2892" i="11" s="1"/>
  <c r="M2893" i="11"/>
  <c r="O2893" i="11" s="1"/>
  <c r="M2894" i="11"/>
  <c r="O2894" i="11" s="1"/>
  <c r="M2895" i="11"/>
  <c r="O2895" i="11" s="1"/>
  <c r="M2896" i="11"/>
  <c r="O2896" i="11" s="1"/>
  <c r="M2897" i="11"/>
  <c r="O2897" i="11" s="1"/>
  <c r="M2898" i="11"/>
  <c r="O2898" i="11" s="1"/>
  <c r="M2899" i="11"/>
  <c r="O2899" i="11" s="1"/>
  <c r="M2900" i="11"/>
  <c r="O2900" i="11" s="1"/>
  <c r="M2901" i="11"/>
  <c r="O2901" i="11" s="1"/>
  <c r="M2902" i="11"/>
  <c r="O2902" i="11" s="1"/>
  <c r="M2903" i="11"/>
  <c r="O2903" i="11" s="1"/>
  <c r="M2904" i="11"/>
  <c r="O2904" i="11" s="1"/>
  <c r="M2905" i="11"/>
  <c r="O2905" i="11" s="1"/>
  <c r="M2906" i="11"/>
  <c r="O2906" i="11" s="1"/>
  <c r="M2907" i="11"/>
  <c r="O2907" i="11" s="1"/>
  <c r="M2908" i="11"/>
  <c r="O2908" i="11" s="1"/>
  <c r="M2909" i="11"/>
  <c r="O2909" i="11" s="1"/>
  <c r="M2910" i="11"/>
  <c r="O2910" i="11" s="1"/>
  <c r="M2911" i="11"/>
  <c r="O2911" i="11" s="1"/>
  <c r="M2912" i="11"/>
  <c r="O2912" i="11" s="1"/>
  <c r="M2913" i="11"/>
  <c r="O2913" i="11" s="1"/>
  <c r="M2914" i="11"/>
  <c r="O2914" i="11" s="1"/>
  <c r="M2915" i="11"/>
  <c r="O2915" i="11" s="1"/>
  <c r="M2916" i="11"/>
  <c r="O2916" i="11" s="1"/>
  <c r="M2917" i="11"/>
  <c r="O2917" i="11" s="1"/>
  <c r="M2918" i="11"/>
  <c r="O2918" i="11" s="1"/>
  <c r="M2919" i="11"/>
  <c r="O2919" i="11" s="1"/>
  <c r="M2920" i="11"/>
  <c r="O2920" i="11" s="1"/>
  <c r="M2921" i="11"/>
  <c r="O2921" i="11" s="1"/>
  <c r="M2922" i="11"/>
  <c r="O2922" i="11" s="1"/>
  <c r="M2923" i="11"/>
  <c r="O2923" i="11" s="1"/>
  <c r="M2924" i="11"/>
  <c r="O2924" i="11" s="1"/>
  <c r="M2925" i="11"/>
  <c r="O2925" i="11" s="1"/>
  <c r="M2926" i="11"/>
  <c r="O2926" i="11" s="1"/>
  <c r="M2927" i="11"/>
  <c r="O2927" i="11" s="1"/>
  <c r="M2928" i="11"/>
  <c r="O2928" i="11" s="1"/>
  <c r="M2929" i="11"/>
  <c r="O2929" i="11" s="1"/>
  <c r="M2930" i="11"/>
  <c r="O2930" i="11" s="1"/>
  <c r="M2931" i="11"/>
  <c r="O2931" i="11" s="1"/>
  <c r="M2932" i="11"/>
  <c r="O2932" i="11" s="1"/>
  <c r="M2933" i="11"/>
  <c r="O2933" i="11" s="1"/>
  <c r="M2934" i="11"/>
  <c r="O2934" i="11" s="1"/>
  <c r="M2935" i="11"/>
  <c r="O2935" i="11" s="1"/>
  <c r="M2936" i="11"/>
  <c r="O2936" i="11" s="1"/>
  <c r="M2937" i="11"/>
  <c r="O2937" i="11" s="1"/>
  <c r="M2938" i="11"/>
  <c r="O2938" i="11" s="1"/>
  <c r="M2939" i="11"/>
  <c r="O2939" i="11" s="1"/>
  <c r="M2940" i="11"/>
  <c r="O2940" i="11" s="1"/>
  <c r="M2941" i="11"/>
  <c r="O2941" i="11" s="1"/>
  <c r="M2942" i="11"/>
  <c r="O2942" i="11" s="1"/>
  <c r="M2943" i="11"/>
  <c r="O2943" i="11" s="1"/>
  <c r="M2944" i="11"/>
  <c r="O2944" i="11" s="1"/>
  <c r="M2945" i="11"/>
  <c r="O2945" i="11" s="1"/>
  <c r="M2946" i="11"/>
  <c r="O2946" i="11" s="1"/>
  <c r="M2947" i="11"/>
  <c r="O2947" i="11" s="1"/>
  <c r="M2948" i="11"/>
  <c r="O2948" i="11" s="1"/>
  <c r="M2949" i="11"/>
  <c r="O2949" i="11" s="1"/>
  <c r="M2950" i="11"/>
  <c r="O2950" i="11" s="1"/>
  <c r="M2951" i="11"/>
  <c r="O2951" i="11" s="1"/>
  <c r="M2952" i="11"/>
  <c r="O2952" i="11" s="1"/>
  <c r="M2953" i="11"/>
  <c r="O2953" i="11" s="1"/>
  <c r="M2954" i="11"/>
  <c r="O2954" i="11" s="1"/>
  <c r="M2955" i="11"/>
  <c r="O2955" i="11" s="1"/>
  <c r="M2956" i="11"/>
  <c r="O2956" i="11" s="1"/>
  <c r="M2957" i="11"/>
  <c r="O2957" i="11" s="1"/>
  <c r="M2958" i="11"/>
  <c r="O2958" i="11" s="1"/>
  <c r="M2959" i="11"/>
  <c r="O2959" i="11" s="1"/>
  <c r="M2960" i="11"/>
  <c r="O2960" i="11" s="1"/>
  <c r="M2961" i="11"/>
  <c r="O2961" i="11" s="1"/>
  <c r="M2962" i="11"/>
  <c r="O2962" i="11" s="1"/>
  <c r="M2963" i="11"/>
  <c r="O2963" i="11" s="1"/>
  <c r="M2964" i="11"/>
  <c r="O2964" i="11" s="1"/>
  <c r="M2965" i="11"/>
  <c r="O2965" i="11" s="1"/>
  <c r="M2966" i="11"/>
  <c r="O2966" i="11" s="1"/>
  <c r="M2967" i="11"/>
  <c r="O2967" i="11" s="1"/>
  <c r="M2968" i="11"/>
  <c r="O2968" i="11" s="1"/>
  <c r="M2969" i="11"/>
  <c r="O2969" i="11" s="1"/>
  <c r="M2970" i="11"/>
  <c r="O2970" i="11" s="1"/>
  <c r="M2971" i="11"/>
  <c r="O2971" i="11" s="1"/>
  <c r="M2972" i="11"/>
  <c r="O2972" i="11" s="1"/>
  <c r="M2973" i="11"/>
  <c r="O2973" i="11" s="1"/>
  <c r="M2974" i="11"/>
  <c r="O2974" i="11" s="1"/>
  <c r="M2975" i="11"/>
  <c r="O2975" i="11" s="1"/>
  <c r="M2976" i="11"/>
  <c r="O2976" i="11" s="1"/>
  <c r="M2977" i="11"/>
  <c r="O2977" i="11" s="1"/>
  <c r="M2978" i="11"/>
  <c r="O2978" i="11" s="1"/>
  <c r="M2979" i="11"/>
  <c r="O2979" i="11" s="1"/>
  <c r="M2980" i="11"/>
  <c r="O2980" i="11" s="1"/>
  <c r="M2981" i="11"/>
  <c r="O2981" i="11" s="1"/>
  <c r="M2982" i="11"/>
  <c r="O2982" i="11" s="1"/>
  <c r="M2983" i="11"/>
  <c r="O2983" i="11" s="1"/>
  <c r="M2984" i="11"/>
  <c r="O2984" i="11" s="1"/>
  <c r="M2985" i="11"/>
  <c r="O2985" i="11" s="1"/>
  <c r="M2986" i="11"/>
  <c r="O2986" i="11" s="1"/>
  <c r="M2987" i="11"/>
  <c r="O2987" i="11" s="1"/>
  <c r="M2988" i="11"/>
  <c r="O2988" i="11" s="1"/>
  <c r="M2989" i="11"/>
  <c r="O2989" i="11" s="1"/>
  <c r="M2990" i="11"/>
  <c r="O2990" i="11" s="1"/>
  <c r="M2991" i="11"/>
  <c r="O2991" i="11" s="1"/>
  <c r="M2992" i="11"/>
  <c r="O2992" i="11" s="1"/>
  <c r="M2993" i="11"/>
  <c r="O2993" i="11" s="1"/>
  <c r="M2994" i="11"/>
  <c r="O2994" i="11" s="1"/>
  <c r="M2995" i="11"/>
  <c r="O2995" i="11" s="1"/>
  <c r="M2996" i="11"/>
  <c r="O2996" i="11" s="1"/>
  <c r="M2997" i="11"/>
  <c r="O2997" i="11" s="1"/>
  <c r="M2998" i="11"/>
  <c r="O2998" i="11" s="1"/>
  <c r="M2999" i="11"/>
  <c r="O2999" i="11" s="1"/>
  <c r="M3000" i="11"/>
  <c r="O3000" i="11" s="1"/>
  <c r="M3001" i="11"/>
  <c r="O3001" i="11" s="1"/>
  <c r="M3002" i="11"/>
  <c r="O3002" i="11" s="1"/>
  <c r="M3003" i="11"/>
  <c r="O3003" i="11" s="1"/>
  <c r="M3004" i="11"/>
  <c r="O3004" i="11" s="1"/>
  <c r="M3005" i="11"/>
  <c r="O3005" i="11" s="1"/>
  <c r="M3006" i="11"/>
  <c r="O3006" i="11" s="1"/>
  <c r="M3007" i="11"/>
  <c r="O3007" i="11" s="1"/>
  <c r="M3008" i="11"/>
  <c r="O3008" i="11" s="1"/>
  <c r="M3009" i="11"/>
  <c r="O3009" i="11" s="1"/>
  <c r="M3010" i="11"/>
  <c r="O3010" i="11" s="1"/>
  <c r="M3011" i="11"/>
  <c r="O3011" i="11" s="1"/>
  <c r="M3012" i="11"/>
  <c r="O3012" i="11" s="1"/>
  <c r="M3013" i="11"/>
  <c r="O3013" i="11" s="1"/>
  <c r="M3014" i="11"/>
  <c r="O3014" i="11" s="1"/>
  <c r="N83" i="18" l="1"/>
  <c r="N81" i="18"/>
  <c r="O83" i="18"/>
  <c r="O81" i="18"/>
  <c r="B1039" i="18"/>
  <c r="B1040" i="18" s="1"/>
  <c r="B1041" i="18" s="1"/>
  <c r="B1042" i="18" s="1"/>
  <c r="B1043" i="18" s="1"/>
  <c r="B1044" i="18" s="1"/>
  <c r="B1045" i="18" s="1"/>
  <c r="B1046" i="18" s="1"/>
  <c r="B1047" i="18" s="1"/>
  <c r="B1048" i="18" s="1"/>
  <c r="B1049" i="18" s="1"/>
  <c r="B1050" i="18" s="1"/>
  <c r="B1051" i="18" s="1"/>
  <c r="B1052" i="18" s="1"/>
  <c r="B1053" i="18" s="1"/>
  <c r="B1054" i="18" s="1"/>
  <c r="B1055" i="18" s="1"/>
  <c r="B1056" i="18" s="1"/>
  <c r="B1057" i="18" s="1"/>
  <c r="B1058" i="18" s="1"/>
  <c r="B1059" i="18" s="1"/>
  <c r="B1060" i="18" s="1"/>
  <c r="B1061" i="18" s="1"/>
  <c r="B1062" i="18" s="1"/>
  <c r="B1063" i="18" s="1"/>
  <c r="B1064" i="18" s="1"/>
  <c r="B1065" i="18" s="1"/>
  <c r="B1066" i="18" s="1"/>
  <c r="B1067" i="18" s="1"/>
  <c r="B1068" i="18" s="1"/>
  <c r="B1069" i="18" s="1"/>
  <c r="T1062" i="18"/>
  <c r="T1054" i="18"/>
  <c r="T1059" i="18"/>
  <c r="Y1059" i="18" s="1"/>
  <c r="T1061" i="18"/>
  <c r="O1044" i="18"/>
  <c r="T1060" i="18"/>
  <c r="N1042" i="18"/>
  <c r="T1058" i="18"/>
  <c r="T1057" i="18"/>
  <c r="T1056" i="18"/>
  <c r="T1068" i="18"/>
  <c r="T1066" i="18"/>
  <c r="T1055" i="18"/>
  <c r="T1064" i="18"/>
  <c r="T1067" i="18"/>
  <c r="N1044" i="18"/>
  <c r="T1065" i="18"/>
  <c r="O1042" i="18"/>
  <c r="T1063" i="18"/>
  <c r="G1071" i="18"/>
  <c r="D1102" i="18"/>
  <c r="O15" i="11"/>
  <c r="F11" i="11"/>
  <c r="E11" i="11"/>
  <c r="F15" i="31" s="1"/>
  <c r="J25" i="27"/>
  <c r="R25" i="27" s="1"/>
  <c r="J26" i="27"/>
  <c r="R26" i="27" s="1"/>
  <c r="J27" i="27"/>
  <c r="R27" i="27" s="1"/>
  <c r="J28" i="27"/>
  <c r="R28" i="27" s="1"/>
  <c r="J29" i="27"/>
  <c r="R29" i="27" s="1"/>
  <c r="J30" i="27"/>
  <c r="R30" i="27" s="1"/>
  <c r="J31" i="27"/>
  <c r="R31" i="27" s="1"/>
  <c r="J32" i="27"/>
  <c r="R32" i="27" s="1"/>
  <c r="J33" i="27"/>
  <c r="R33" i="27" s="1"/>
  <c r="J34" i="27"/>
  <c r="R34" i="27" s="1"/>
  <c r="J35" i="27"/>
  <c r="R35" i="27" s="1"/>
  <c r="J36" i="27"/>
  <c r="R36" i="27" s="1"/>
  <c r="J37" i="27"/>
  <c r="R37" i="27" s="1"/>
  <c r="J38" i="27"/>
  <c r="R38" i="27" s="1"/>
  <c r="J39" i="27"/>
  <c r="R39" i="27" s="1"/>
  <c r="J40" i="27"/>
  <c r="R40" i="27" s="1"/>
  <c r="J41" i="27"/>
  <c r="R41" i="27" s="1"/>
  <c r="J42" i="27"/>
  <c r="R42" i="27" s="1"/>
  <c r="J43" i="27"/>
  <c r="R43" i="27" s="1"/>
  <c r="J44" i="27"/>
  <c r="R44" i="27" s="1"/>
  <c r="J45" i="27"/>
  <c r="R45" i="27" s="1"/>
  <c r="J46" i="27"/>
  <c r="R46" i="27" s="1"/>
  <c r="J47" i="27"/>
  <c r="R47" i="27" s="1"/>
  <c r="J48" i="27"/>
  <c r="R48" i="27" s="1"/>
  <c r="J49" i="27"/>
  <c r="R49" i="27" s="1"/>
  <c r="J50" i="27"/>
  <c r="R50" i="27" s="1"/>
  <c r="J51" i="27"/>
  <c r="R51" i="27" s="1"/>
  <c r="J52" i="27"/>
  <c r="R52" i="27" s="1"/>
  <c r="J53" i="27"/>
  <c r="R53" i="27" s="1"/>
  <c r="J54" i="27"/>
  <c r="R54" i="27" s="1"/>
  <c r="J55" i="27"/>
  <c r="R55" i="27" s="1"/>
  <c r="J56" i="27"/>
  <c r="R56" i="27" s="1"/>
  <c r="J57" i="27"/>
  <c r="R57" i="27" s="1"/>
  <c r="J58" i="27"/>
  <c r="R58" i="27" s="1"/>
  <c r="J59" i="27"/>
  <c r="R59" i="27" s="1"/>
  <c r="J60" i="27"/>
  <c r="R60" i="27" s="1"/>
  <c r="J61" i="27"/>
  <c r="R61" i="27" s="1"/>
  <c r="J62" i="27"/>
  <c r="R62" i="27" s="1"/>
  <c r="J63" i="27"/>
  <c r="R63" i="27" s="1"/>
  <c r="J64" i="27"/>
  <c r="R64" i="27" s="1"/>
  <c r="J65" i="27"/>
  <c r="R65" i="27" s="1"/>
  <c r="J66" i="27"/>
  <c r="R66" i="27" s="1"/>
  <c r="J67" i="27"/>
  <c r="R67" i="27" s="1"/>
  <c r="J68" i="27"/>
  <c r="R68" i="27" s="1"/>
  <c r="J69" i="27"/>
  <c r="R69" i="27" s="1"/>
  <c r="J70" i="27"/>
  <c r="R70" i="27" s="1"/>
  <c r="J71" i="27"/>
  <c r="R71" i="27" s="1"/>
  <c r="J72" i="27"/>
  <c r="R72" i="27" s="1"/>
  <c r="J73" i="27"/>
  <c r="R73" i="27" s="1"/>
  <c r="J74" i="27"/>
  <c r="R74" i="27" s="1"/>
  <c r="J75" i="27"/>
  <c r="R75" i="27" s="1"/>
  <c r="J76" i="27"/>
  <c r="R76" i="27" s="1"/>
  <c r="J77" i="27"/>
  <c r="R77" i="27" s="1"/>
  <c r="J78" i="27"/>
  <c r="R78" i="27" s="1"/>
  <c r="J79" i="27"/>
  <c r="R79" i="27" s="1"/>
  <c r="J80" i="27"/>
  <c r="R80" i="27" s="1"/>
  <c r="J81" i="27"/>
  <c r="R81" i="27" s="1"/>
  <c r="J82" i="27"/>
  <c r="R82" i="27" s="1"/>
  <c r="J83" i="27"/>
  <c r="R83" i="27" s="1"/>
  <c r="J84" i="27"/>
  <c r="R84" i="27" s="1"/>
  <c r="J85" i="27"/>
  <c r="R85" i="27" s="1"/>
  <c r="J86" i="27"/>
  <c r="R86" i="27" s="1"/>
  <c r="J87" i="27"/>
  <c r="R87" i="27" s="1"/>
  <c r="J88" i="27"/>
  <c r="R88" i="27" s="1"/>
  <c r="J89" i="27"/>
  <c r="R89" i="27" s="1"/>
  <c r="J90" i="27"/>
  <c r="R90" i="27" s="1"/>
  <c r="J91" i="27"/>
  <c r="R91" i="27" s="1"/>
  <c r="J92" i="27"/>
  <c r="R92" i="27" s="1"/>
  <c r="J93" i="27"/>
  <c r="R93" i="27" s="1"/>
  <c r="J94" i="27"/>
  <c r="R94" i="27" s="1"/>
  <c r="J95" i="27"/>
  <c r="R95" i="27" s="1"/>
  <c r="J96" i="27"/>
  <c r="R96" i="27" s="1"/>
  <c r="J97" i="27"/>
  <c r="R97" i="27" s="1"/>
  <c r="J98" i="27"/>
  <c r="R98" i="27" s="1"/>
  <c r="J99" i="27"/>
  <c r="R99" i="27" s="1"/>
  <c r="J100" i="27"/>
  <c r="R100" i="27" s="1"/>
  <c r="J101" i="27"/>
  <c r="R101" i="27" s="1"/>
  <c r="J102" i="27"/>
  <c r="R102" i="27" s="1"/>
  <c r="J103" i="27"/>
  <c r="R103" i="27" s="1"/>
  <c r="J104" i="27"/>
  <c r="R104" i="27" s="1"/>
  <c r="J105" i="27"/>
  <c r="R105" i="27" s="1"/>
  <c r="J106" i="27"/>
  <c r="R106" i="27" s="1"/>
  <c r="J107" i="27"/>
  <c r="R107" i="27" s="1"/>
  <c r="J108" i="27"/>
  <c r="R108" i="27" s="1"/>
  <c r="J109" i="27"/>
  <c r="R109" i="27" s="1"/>
  <c r="J110" i="27"/>
  <c r="R110" i="27" s="1"/>
  <c r="J111" i="27"/>
  <c r="R111" i="27" s="1"/>
  <c r="J112" i="27"/>
  <c r="R112" i="27" s="1"/>
  <c r="J113" i="27"/>
  <c r="R113" i="27" s="1"/>
  <c r="J114" i="27"/>
  <c r="R114" i="27" s="1"/>
  <c r="J115" i="27"/>
  <c r="R115" i="27" s="1"/>
  <c r="J116" i="27"/>
  <c r="R116" i="27" s="1"/>
  <c r="J117" i="27"/>
  <c r="R117" i="27" s="1"/>
  <c r="J118" i="27"/>
  <c r="R118" i="27" s="1"/>
  <c r="J119" i="27"/>
  <c r="R119" i="27" s="1"/>
  <c r="J120" i="27"/>
  <c r="R120" i="27" s="1"/>
  <c r="J121" i="27"/>
  <c r="R121" i="27" s="1"/>
  <c r="J122" i="27"/>
  <c r="R122" i="27" s="1"/>
  <c r="J123" i="27"/>
  <c r="R123" i="27" s="1"/>
  <c r="J124" i="27"/>
  <c r="R124" i="27" s="1"/>
  <c r="J125" i="27"/>
  <c r="R125" i="27" s="1"/>
  <c r="J126" i="27"/>
  <c r="R126" i="27" s="1"/>
  <c r="J127" i="27"/>
  <c r="R127" i="27" s="1"/>
  <c r="J128" i="27"/>
  <c r="R128" i="27" s="1"/>
  <c r="J129" i="27"/>
  <c r="R129" i="27" s="1"/>
  <c r="J130" i="27"/>
  <c r="R130" i="27" s="1"/>
  <c r="J131" i="27"/>
  <c r="R131" i="27" s="1"/>
  <c r="J132" i="27"/>
  <c r="R132" i="27" s="1"/>
  <c r="J133" i="27"/>
  <c r="R133" i="27" s="1"/>
  <c r="J134" i="27"/>
  <c r="R134" i="27" s="1"/>
  <c r="J135" i="27"/>
  <c r="R135" i="27" s="1"/>
  <c r="J136" i="27"/>
  <c r="R136" i="27" s="1"/>
  <c r="J137" i="27"/>
  <c r="R137" i="27" s="1"/>
  <c r="J138" i="27"/>
  <c r="R138" i="27" s="1"/>
  <c r="J139" i="27"/>
  <c r="R139" i="27" s="1"/>
  <c r="J140" i="27"/>
  <c r="R140" i="27" s="1"/>
  <c r="J141" i="27"/>
  <c r="R141" i="27" s="1"/>
  <c r="J142" i="27"/>
  <c r="R142" i="27" s="1"/>
  <c r="J143" i="27"/>
  <c r="R143" i="27" s="1"/>
  <c r="J144" i="27"/>
  <c r="R144" i="27" s="1"/>
  <c r="J145" i="27"/>
  <c r="R145" i="27" s="1"/>
  <c r="J146" i="27"/>
  <c r="R146" i="27" s="1"/>
  <c r="J147" i="27"/>
  <c r="R147" i="27" s="1"/>
  <c r="J148" i="27"/>
  <c r="R148" i="27" s="1"/>
  <c r="J149" i="27"/>
  <c r="R149" i="27" s="1"/>
  <c r="J150" i="27"/>
  <c r="R150" i="27" s="1"/>
  <c r="J151" i="27"/>
  <c r="R151" i="27" s="1"/>
  <c r="J152" i="27"/>
  <c r="R152" i="27" s="1"/>
  <c r="J153" i="27"/>
  <c r="R153" i="27" s="1"/>
  <c r="J154" i="27"/>
  <c r="R154" i="27" s="1"/>
  <c r="J155" i="27"/>
  <c r="R155" i="27" s="1"/>
  <c r="J156" i="27"/>
  <c r="R156" i="27" s="1"/>
  <c r="J157" i="27"/>
  <c r="R157" i="27" s="1"/>
  <c r="J158" i="27"/>
  <c r="R158" i="27" s="1"/>
  <c r="J159" i="27"/>
  <c r="R159" i="27" s="1"/>
  <c r="J160" i="27"/>
  <c r="R160" i="27" s="1"/>
  <c r="J161" i="27"/>
  <c r="R161" i="27" s="1"/>
  <c r="J162" i="27"/>
  <c r="R162" i="27" s="1"/>
  <c r="J163" i="27"/>
  <c r="R163" i="27" s="1"/>
  <c r="J164" i="27"/>
  <c r="R164" i="27" s="1"/>
  <c r="J165" i="27"/>
  <c r="R165" i="27" s="1"/>
  <c r="J166" i="27"/>
  <c r="R166" i="27" s="1"/>
  <c r="J167" i="27"/>
  <c r="R167" i="27" s="1"/>
  <c r="J168" i="27"/>
  <c r="R168" i="27" s="1"/>
  <c r="J169" i="27"/>
  <c r="R169" i="27" s="1"/>
  <c r="J170" i="27"/>
  <c r="R170" i="27" s="1"/>
  <c r="J171" i="27"/>
  <c r="R171" i="27" s="1"/>
  <c r="J172" i="27"/>
  <c r="R172" i="27" s="1"/>
  <c r="J173" i="27"/>
  <c r="R173" i="27" s="1"/>
  <c r="J174" i="27"/>
  <c r="R174" i="27" s="1"/>
  <c r="J175" i="27"/>
  <c r="R175" i="27" s="1"/>
  <c r="J176" i="27"/>
  <c r="R176" i="27" s="1"/>
  <c r="J177" i="27"/>
  <c r="R177" i="27" s="1"/>
  <c r="J178" i="27"/>
  <c r="R178" i="27" s="1"/>
  <c r="J179" i="27"/>
  <c r="R179" i="27" s="1"/>
  <c r="J180" i="27"/>
  <c r="R180" i="27" s="1"/>
  <c r="J181" i="27"/>
  <c r="R181" i="27" s="1"/>
  <c r="J182" i="27"/>
  <c r="R182" i="27" s="1"/>
  <c r="J183" i="27"/>
  <c r="R183" i="27" s="1"/>
  <c r="J184" i="27"/>
  <c r="R184" i="27" s="1"/>
  <c r="J185" i="27"/>
  <c r="R185" i="27" s="1"/>
  <c r="J186" i="27"/>
  <c r="R186" i="27" s="1"/>
  <c r="J187" i="27"/>
  <c r="R187" i="27" s="1"/>
  <c r="J188" i="27"/>
  <c r="R188" i="27" s="1"/>
  <c r="J189" i="27"/>
  <c r="R189" i="27" s="1"/>
  <c r="J190" i="27"/>
  <c r="R190" i="27" s="1"/>
  <c r="J191" i="27"/>
  <c r="R191" i="27" s="1"/>
  <c r="J192" i="27"/>
  <c r="R192" i="27" s="1"/>
  <c r="J193" i="27"/>
  <c r="R193" i="27" s="1"/>
  <c r="J194" i="27"/>
  <c r="R194" i="27" s="1"/>
  <c r="J195" i="27"/>
  <c r="R195" i="27" s="1"/>
  <c r="J196" i="27"/>
  <c r="R196" i="27" s="1"/>
  <c r="J197" i="27"/>
  <c r="R197" i="27" s="1"/>
  <c r="J198" i="27"/>
  <c r="R198" i="27" s="1"/>
  <c r="J199" i="27"/>
  <c r="R199" i="27" s="1"/>
  <c r="J200" i="27"/>
  <c r="R200" i="27" s="1"/>
  <c r="J201" i="27"/>
  <c r="R201" i="27" s="1"/>
  <c r="J202" i="27"/>
  <c r="R202" i="27" s="1"/>
  <c r="J203" i="27"/>
  <c r="R203" i="27" s="1"/>
  <c r="J204" i="27"/>
  <c r="R204" i="27" s="1"/>
  <c r="J205" i="27"/>
  <c r="R205" i="27" s="1"/>
  <c r="J206" i="27"/>
  <c r="R206" i="27" s="1"/>
  <c r="J207" i="27"/>
  <c r="R207" i="27" s="1"/>
  <c r="J208" i="27"/>
  <c r="R208" i="27" s="1"/>
  <c r="J209" i="27"/>
  <c r="R209" i="27" s="1"/>
  <c r="J210" i="27"/>
  <c r="R210" i="27" s="1"/>
  <c r="J211" i="27"/>
  <c r="R211" i="27" s="1"/>
  <c r="J212" i="27"/>
  <c r="R212" i="27" s="1"/>
  <c r="J213" i="27"/>
  <c r="R213" i="27" s="1"/>
  <c r="J214" i="27"/>
  <c r="R214" i="27" s="1"/>
  <c r="J215" i="27"/>
  <c r="R215" i="27" s="1"/>
  <c r="J216" i="27"/>
  <c r="R216" i="27" s="1"/>
  <c r="J217" i="27"/>
  <c r="R217" i="27" s="1"/>
  <c r="J218" i="27"/>
  <c r="R218" i="27" s="1"/>
  <c r="J219" i="27"/>
  <c r="R219" i="27" s="1"/>
  <c r="J220" i="27"/>
  <c r="R220" i="27" s="1"/>
  <c r="J221" i="27"/>
  <c r="R221" i="27" s="1"/>
  <c r="J222" i="27"/>
  <c r="R222" i="27" s="1"/>
  <c r="J223" i="27"/>
  <c r="R223" i="27" s="1"/>
  <c r="J224" i="27"/>
  <c r="R224" i="27" s="1"/>
  <c r="J225" i="27"/>
  <c r="R225" i="27" s="1"/>
  <c r="J226" i="27"/>
  <c r="R226" i="27" s="1"/>
  <c r="J227" i="27"/>
  <c r="R227" i="27" s="1"/>
  <c r="J228" i="27"/>
  <c r="R228" i="27" s="1"/>
  <c r="J229" i="27"/>
  <c r="R229" i="27" s="1"/>
  <c r="J230" i="27"/>
  <c r="R230" i="27" s="1"/>
  <c r="J231" i="27"/>
  <c r="R231" i="27" s="1"/>
  <c r="J232" i="27"/>
  <c r="R232" i="27" s="1"/>
  <c r="J233" i="27"/>
  <c r="R233" i="27" s="1"/>
  <c r="J234" i="27"/>
  <c r="R234" i="27" s="1"/>
  <c r="J235" i="27"/>
  <c r="R235" i="27" s="1"/>
  <c r="J236" i="27"/>
  <c r="R236" i="27" s="1"/>
  <c r="J237" i="27"/>
  <c r="R237" i="27" s="1"/>
  <c r="J238" i="27"/>
  <c r="R238" i="27" s="1"/>
  <c r="J239" i="27"/>
  <c r="R239" i="27" s="1"/>
  <c r="J240" i="27"/>
  <c r="R240" i="27" s="1"/>
  <c r="J241" i="27"/>
  <c r="R241" i="27" s="1"/>
  <c r="J242" i="27"/>
  <c r="R242" i="27" s="1"/>
  <c r="J243" i="27"/>
  <c r="R243" i="27" s="1"/>
  <c r="J244" i="27"/>
  <c r="R244" i="27" s="1"/>
  <c r="J245" i="27"/>
  <c r="R245" i="27" s="1"/>
  <c r="J246" i="27"/>
  <c r="R246" i="27" s="1"/>
  <c r="J247" i="27"/>
  <c r="R247" i="27" s="1"/>
  <c r="J248" i="27"/>
  <c r="R248" i="27" s="1"/>
  <c r="J249" i="27"/>
  <c r="R249" i="27" s="1"/>
  <c r="J250" i="27"/>
  <c r="R250" i="27" s="1"/>
  <c r="J251" i="27"/>
  <c r="R251" i="27" s="1"/>
  <c r="J252" i="27"/>
  <c r="R252" i="27" s="1"/>
  <c r="J253" i="27"/>
  <c r="R253" i="27" s="1"/>
  <c r="J254" i="27"/>
  <c r="R254" i="27" s="1"/>
  <c r="J255" i="27"/>
  <c r="R255" i="27" s="1"/>
  <c r="J256" i="27"/>
  <c r="R256" i="27" s="1"/>
  <c r="J257" i="27"/>
  <c r="R257" i="27" s="1"/>
  <c r="J258" i="27"/>
  <c r="R258" i="27" s="1"/>
  <c r="J259" i="27"/>
  <c r="R259" i="27" s="1"/>
  <c r="J260" i="27"/>
  <c r="R260" i="27" s="1"/>
  <c r="J261" i="27"/>
  <c r="R261" i="27" s="1"/>
  <c r="J262" i="27"/>
  <c r="R262" i="27" s="1"/>
  <c r="J263" i="27"/>
  <c r="R263" i="27" s="1"/>
  <c r="J264" i="27"/>
  <c r="R264" i="27" s="1"/>
  <c r="J265" i="27"/>
  <c r="R265" i="27" s="1"/>
  <c r="J266" i="27"/>
  <c r="R266" i="27" s="1"/>
  <c r="J267" i="27"/>
  <c r="R267" i="27" s="1"/>
  <c r="J268" i="27"/>
  <c r="R268" i="27" s="1"/>
  <c r="J269" i="27"/>
  <c r="R269" i="27" s="1"/>
  <c r="J270" i="27"/>
  <c r="R270" i="27" s="1"/>
  <c r="J271" i="27"/>
  <c r="R271" i="27" s="1"/>
  <c r="J272" i="27"/>
  <c r="R272" i="27" s="1"/>
  <c r="J273" i="27"/>
  <c r="R273" i="27" s="1"/>
  <c r="J274" i="27"/>
  <c r="R274" i="27" s="1"/>
  <c r="J275" i="27"/>
  <c r="R275" i="27" s="1"/>
  <c r="J276" i="27"/>
  <c r="R276" i="27" s="1"/>
  <c r="J277" i="27"/>
  <c r="R277" i="27" s="1"/>
  <c r="J278" i="27"/>
  <c r="R278" i="27" s="1"/>
  <c r="J279" i="27"/>
  <c r="R279" i="27" s="1"/>
  <c r="J280" i="27"/>
  <c r="R280" i="27" s="1"/>
  <c r="J281" i="27"/>
  <c r="R281" i="27" s="1"/>
  <c r="J282" i="27"/>
  <c r="R282" i="27" s="1"/>
  <c r="J283" i="27"/>
  <c r="R283" i="27" s="1"/>
  <c r="J284" i="27"/>
  <c r="R284" i="27" s="1"/>
  <c r="J285" i="27"/>
  <c r="R285" i="27" s="1"/>
  <c r="J286" i="27"/>
  <c r="R286" i="27" s="1"/>
  <c r="J287" i="27"/>
  <c r="R287" i="27" s="1"/>
  <c r="J288" i="27"/>
  <c r="R288" i="27" s="1"/>
  <c r="J289" i="27"/>
  <c r="R289" i="27" s="1"/>
  <c r="J290" i="27"/>
  <c r="R290" i="27" s="1"/>
  <c r="J291" i="27"/>
  <c r="R291" i="27" s="1"/>
  <c r="J292" i="27"/>
  <c r="R292" i="27" s="1"/>
  <c r="J293" i="27"/>
  <c r="R293" i="27" s="1"/>
  <c r="J294" i="27"/>
  <c r="R294" i="27" s="1"/>
  <c r="J295" i="27"/>
  <c r="R295" i="27" s="1"/>
  <c r="J296" i="27"/>
  <c r="R296" i="27" s="1"/>
  <c r="J297" i="27"/>
  <c r="R297" i="27" s="1"/>
  <c r="J298" i="27"/>
  <c r="R298" i="27" s="1"/>
  <c r="J299" i="27"/>
  <c r="R299" i="27" s="1"/>
  <c r="J300" i="27"/>
  <c r="R300" i="27" s="1"/>
  <c r="J301" i="27"/>
  <c r="R301" i="27" s="1"/>
  <c r="J302" i="27"/>
  <c r="R302" i="27" s="1"/>
  <c r="J303" i="27"/>
  <c r="R303" i="27" s="1"/>
  <c r="J304" i="27"/>
  <c r="R304" i="27" s="1"/>
  <c r="J305" i="27"/>
  <c r="R305" i="27" s="1"/>
  <c r="J306" i="27"/>
  <c r="R306" i="27" s="1"/>
  <c r="J307" i="27"/>
  <c r="R307" i="27" s="1"/>
  <c r="J308" i="27"/>
  <c r="R308" i="27" s="1"/>
  <c r="J309" i="27"/>
  <c r="R309" i="27" s="1"/>
  <c r="J310" i="27"/>
  <c r="R310" i="27" s="1"/>
  <c r="J311" i="27"/>
  <c r="R311" i="27" s="1"/>
  <c r="J312" i="27"/>
  <c r="R312" i="27" s="1"/>
  <c r="J313" i="27"/>
  <c r="R313" i="27" s="1"/>
  <c r="J314" i="27"/>
  <c r="R314" i="27" s="1"/>
  <c r="J315" i="27"/>
  <c r="R315" i="27" s="1"/>
  <c r="J316" i="27"/>
  <c r="R316" i="27" s="1"/>
  <c r="J317" i="27"/>
  <c r="R317" i="27" s="1"/>
  <c r="J318" i="27"/>
  <c r="R318" i="27" s="1"/>
  <c r="J319" i="27"/>
  <c r="R319" i="27" s="1"/>
  <c r="J320" i="27"/>
  <c r="R320" i="27" s="1"/>
  <c r="J321" i="27"/>
  <c r="R321" i="27" s="1"/>
  <c r="J322" i="27"/>
  <c r="R322" i="27" s="1"/>
  <c r="J323" i="27"/>
  <c r="R323" i="27" s="1"/>
  <c r="J324" i="27"/>
  <c r="R324" i="27" s="1"/>
  <c r="J325" i="27"/>
  <c r="R325" i="27" s="1"/>
  <c r="J326" i="27"/>
  <c r="R326" i="27" s="1"/>
  <c r="J327" i="27"/>
  <c r="R327" i="27" s="1"/>
  <c r="J328" i="27"/>
  <c r="R328" i="27" s="1"/>
  <c r="J329" i="27"/>
  <c r="R329" i="27" s="1"/>
  <c r="J330" i="27"/>
  <c r="R330" i="27" s="1"/>
  <c r="J331" i="27"/>
  <c r="R331" i="27" s="1"/>
  <c r="J332" i="27"/>
  <c r="R332" i="27" s="1"/>
  <c r="J333" i="27"/>
  <c r="R333" i="27" s="1"/>
  <c r="J334" i="27"/>
  <c r="R334" i="27" s="1"/>
  <c r="J335" i="27"/>
  <c r="R335" i="27" s="1"/>
  <c r="J336" i="27"/>
  <c r="R336" i="27" s="1"/>
  <c r="J337" i="27"/>
  <c r="R337" i="27" s="1"/>
  <c r="J338" i="27"/>
  <c r="R338" i="27" s="1"/>
  <c r="J339" i="27"/>
  <c r="R339" i="27" s="1"/>
  <c r="J340" i="27"/>
  <c r="R340" i="27" s="1"/>
  <c r="J341" i="27"/>
  <c r="R341" i="27" s="1"/>
  <c r="J342" i="27"/>
  <c r="R342" i="27" s="1"/>
  <c r="J343" i="27"/>
  <c r="R343" i="27" s="1"/>
  <c r="J344" i="27"/>
  <c r="R344" i="27" s="1"/>
  <c r="J345" i="27"/>
  <c r="R345" i="27" s="1"/>
  <c r="J346" i="27"/>
  <c r="R346" i="27" s="1"/>
  <c r="J347" i="27"/>
  <c r="R347" i="27" s="1"/>
  <c r="J348" i="27"/>
  <c r="R348" i="27" s="1"/>
  <c r="J349" i="27"/>
  <c r="R349" i="27" s="1"/>
  <c r="J350" i="27"/>
  <c r="R350" i="27" s="1"/>
  <c r="J351" i="27"/>
  <c r="R351" i="27" s="1"/>
  <c r="J352" i="27"/>
  <c r="R352" i="27" s="1"/>
  <c r="J353" i="27"/>
  <c r="R353" i="27" s="1"/>
  <c r="J354" i="27"/>
  <c r="R354" i="27" s="1"/>
  <c r="J355" i="27"/>
  <c r="R355" i="27" s="1"/>
  <c r="J356" i="27"/>
  <c r="R356" i="27" s="1"/>
  <c r="J357" i="27"/>
  <c r="R357" i="27" s="1"/>
  <c r="J358" i="27"/>
  <c r="R358" i="27" s="1"/>
  <c r="J359" i="27"/>
  <c r="R359" i="27" s="1"/>
  <c r="J360" i="27"/>
  <c r="R360" i="27" s="1"/>
  <c r="J361" i="27"/>
  <c r="R361" i="27" s="1"/>
  <c r="J362" i="27"/>
  <c r="R362" i="27" s="1"/>
  <c r="J363" i="27"/>
  <c r="R363" i="27" s="1"/>
  <c r="J364" i="27"/>
  <c r="R364" i="27" s="1"/>
  <c r="J365" i="27"/>
  <c r="R365" i="27" s="1"/>
  <c r="J366" i="27"/>
  <c r="R366" i="27" s="1"/>
  <c r="J367" i="27"/>
  <c r="R367" i="27" s="1"/>
  <c r="J368" i="27"/>
  <c r="R368" i="27" s="1"/>
  <c r="J369" i="27"/>
  <c r="R369" i="27" s="1"/>
  <c r="J370" i="27"/>
  <c r="R370" i="27" s="1"/>
  <c r="J371" i="27"/>
  <c r="R371" i="27" s="1"/>
  <c r="J372" i="27"/>
  <c r="R372" i="27" s="1"/>
  <c r="J373" i="27"/>
  <c r="R373" i="27" s="1"/>
  <c r="J374" i="27"/>
  <c r="R374" i="27" s="1"/>
  <c r="J375" i="27"/>
  <c r="R375" i="27" s="1"/>
  <c r="J376" i="27"/>
  <c r="R376" i="27" s="1"/>
  <c r="J377" i="27"/>
  <c r="R377" i="27" s="1"/>
  <c r="J378" i="27"/>
  <c r="R378" i="27" s="1"/>
  <c r="J379" i="27"/>
  <c r="R379" i="27" s="1"/>
  <c r="J380" i="27"/>
  <c r="R380" i="27" s="1"/>
  <c r="J381" i="27"/>
  <c r="R381" i="27" s="1"/>
  <c r="J382" i="27"/>
  <c r="R382" i="27" s="1"/>
  <c r="J383" i="27"/>
  <c r="R383" i="27" s="1"/>
  <c r="J384" i="27"/>
  <c r="R384" i="27" s="1"/>
  <c r="J18" i="27"/>
  <c r="J19" i="27"/>
  <c r="R19" i="27" s="1"/>
  <c r="J20" i="27"/>
  <c r="R20" i="27" s="1"/>
  <c r="J21" i="27"/>
  <c r="R21" i="27" s="1"/>
  <c r="J22" i="27"/>
  <c r="R22" i="27" s="1"/>
  <c r="J23" i="27"/>
  <c r="J24" i="27"/>
  <c r="R24" i="27" s="1"/>
  <c r="D18" i="27"/>
  <c r="D19" i="27"/>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45" i="27"/>
  <c r="D46" i="27"/>
  <c r="D47" i="27"/>
  <c r="D48" i="27"/>
  <c r="D49" i="27"/>
  <c r="D50" i="27"/>
  <c r="D51" i="27"/>
  <c r="D52" i="27"/>
  <c r="D53" i="27"/>
  <c r="D54" i="27"/>
  <c r="D55" i="27"/>
  <c r="D56" i="27"/>
  <c r="D57" i="27"/>
  <c r="C13" i="27"/>
  <c r="D17" i="27"/>
  <c r="J17" i="27"/>
  <c r="R17" i="27" s="1"/>
  <c r="D4" i="27"/>
  <c r="F1" i="27"/>
  <c r="P18" i="27" l="1"/>
  <c r="B1070" i="18"/>
  <c r="B1071" i="18" s="1"/>
  <c r="B1072" i="18" s="1"/>
  <c r="B1073" i="18" s="1"/>
  <c r="B1074" i="18" s="1"/>
  <c r="B1075" i="18" s="1"/>
  <c r="B1076" i="18" s="1"/>
  <c r="B1077" i="18" s="1"/>
  <c r="B1078" i="18" s="1"/>
  <c r="B1079" i="18" s="1"/>
  <c r="B1080" i="18" s="1"/>
  <c r="B1081" i="18" s="1"/>
  <c r="B1082" i="18" s="1"/>
  <c r="B1083" i="18" s="1"/>
  <c r="B1084" i="18" s="1"/>
  <c r="B1085" i="18" s="1"/>
  <c r="B1086" i="18" s="1"/>
  <c r="B1087" i="18" s="1"/>
  <c r="B1088" i="18" s="1"/>
  <c r="B1089" i="18" s="1"/>
  <c r="B1090" i="18" s="1"/>
  <c r="B1091" i="18" s="1"/>
  <c r="B1092" i="18" s="1"/>
  <c r="B1093" i="18" s="1"/>
  <c r="B1094" i="18" s="1"/>
  <c r="B1095" i="18" s="1"/>
  <c r="B1096" i="18" s="1"/>
  <c r="B1097" i="18" s="1"/>
  <c r="B1098" i="18" s="1"/>
  <c r="B1099" i="18" s="1"/>
  <c r="B1100" i="18" s="1"/>
  <c r="T1096" i="18"/>
  <c r="T1093" i="18"/>
  <c r="T1094" i="18"/>
  <c r="T1088" i="18"/>
  <c r="N1073" i="18"/>
  <c r="T1087" i="18"/>
  <c r="T1086" i="18"/>
  <c r="T1090" i="18"/>
  <c r="Y1090" i="18" s="1"/>
  <c r="T1099" i="18"/>
  <c r="O1075" i="18"/>
  <c r="T1097" i="18"/>
  <c r="T1095" i="18"/>
  <c r="T1085" i="18"/>
  <c r="N1075" i="18"/>
  <c r="T1092" i="18"/>
  <c r="O1073" i="18"/>
  <c r="T1091" i="18"/>
  <c r="T1098" i="18"/>
  <c r="T1089" i="18"/>
  <c r="G1102" i="18"/>
  <c r="D1133" i="18"/>
  <c r="D13" i="27"/>
  <c r="F16" i="31" s="1"/>
  <c r="R23" i="27"/>
  <c r="E13" i="27" l="1"/>
  <c r="Q18" i="27"/>
  <c r="R18" i="27" s="1"/>
  <c r="G1133" i="18"/>
  <c r="D1164" i="18"/>
  <c r="B1101" i="18"/>
  <c r="B1102" i="18" s="1"/>
  <c r="B1103" i="18" s="1"/>
  <c r="B1104" i="18" s="1"/>
  <c r="B1105" i="18" s="1"/>
  <c r="B1106" i="18" s="1"/>
  <c r="B1107" i="18" s="1"/>
  <c r="B1108" i="18" s="1"/>
  <c r="B1109" i="18" s="1"/>
  <c r="B1110" i="18" s="1"/>
  <c r="B1111" i="18" s="1"/>
  <c r="B1112" i="18" s="1"/>
  <c r="B1113" i="18" s="1"/>
  <c r="B1114" i="18" s="1"/>
  <c r="B1115" i="18" s="1"/>
  <c r="B1116" i="18" s="1"/>
  <c r="B1117" i="18" s="1"/>
  <c r="B1118" i="18" s="1"/>
  <c r="B1119" i="18" s="1"/>
  <c r="B1120" i="18" s="1"/>
  <c r="B1121" i="18" s="1"/>
  <c r="B1122" i="18" s="1"/>
  <c r="B1123" i="18" s="1"/>
  <c r="B1124" i="18" s="1"/>
  <c r="B1125" i="18" s="1"/>
  <c r="B1126" i="18" s="1"/>
  <c r="B1127" i="18" s="1"/>
  <c r="B1128" i="18" s="1"/>
  <c r="B1129" i="18" s="1"/>
  <c r="B1130" i="18" s="1"/>
  <c r="B1131" i="18" s="1"/>
  <c r="T1125" i="18"/>
  <c r="T1123" i="18"/>
  <c r="T1121" i="18"/>
  <c r="Y1121" i="18" s="1"/>
  <c r="T1122" i="18"/>
  <c r="O1106" i="18"/>
  <c r="T1120" i="18"/>
  <c r="N1106" i="18"/>
  <c r="T1124" i="18"/>
  <c r="O1104" i="18"/>
  <c r="T1119" i="18"/>
  <c r="N1104" i="18"/>
  <c r="T1118" i="18"/>
  <c r="T1117" i="18"/>
  <c r="T1130" i="18"/>
  <c r="T1128" i="18"/>
  <c r="T1129" i="18"/>
  <c r="T1126" i="18"/>
  <c r="T1127" i="18"/>
  <c r="T1116" i="18"/>
  <c r="F13" i="27"/>
  <c r="D1195" i="18" l="1"/>
  <c r="G1164" i="18"/>
  <c r="B1132" i="18"/>
  <c r="B1133" i="18" s="1"/>
  <c r="B1134" i="18" s="1"/>
  <c r="B1135" i="18" s="1"/>
  <c r="B1136" i="18" s="1"/>
  <c r="B1137" i="18" s="1"/>
  <c r="B1138" i="18" s="1"/>
  <c r="B1139" i="18" s="1"/>
  <c r="B1140" i="18" s="1"/>
  <c r="B1141" i="18" s="1"/>
  <c r="B1142" i="18" s="1"/>
  <c r="B1143" i="18" s="1"/>
  <c r="B1144" i="18" s="1"/>
  <c r="B1145" i="18" s="1"/>
  <c r="B1146" i="18" s="1"/>
  <c r="B1147" i="18" s="1"/>
  <c r="B1148" i="18" s="1"/>
  <c r="B1149" i="18" s="1"/>
  <c r="B1150" i="18" s="1"/>
  <c r="B1151" i="18" s="1"/>
  <c r="B1152" i="18" s="1"/>
  <c r="B1153" i="18" s="1"/>
  <c r="B1154" i="18" s="1"/>
  <c r="B1155" i="18" s="1"/>
  <c r="B1156" i="18" s="1"/>
  <c r="B1157" i="18" s="1"/>
  <c r="B1158" i="18" s="1"/>
  <c r="B1159" i="18" s="1"/>
  <c r="B1160" i="18" s="1"/>
  <c r="B1161" i="18" s="1"/>
  <c r="B1162" i="18" s="1"/>
  <c r="T1155" i="18"/>
  <c r="T1150" i="18"/>
  <c r="T1148" i="18"/>
  <c r="T1149" i="18"/>
  <c r="T1161" i="18"/>
  <c r="T1159" i="18"/>
  <c r="T1160" i="18"/>
  <c r="T1157" i="18"/>
  <c r="T1158" i="18"/>
  <c r="T1147" i="18"/>
  <c r="T1156" i="18"/>
  <c r="T1154" i="18"/>
  <c r="T1152" i="18"/>
  <c r="Y1152" i="18" s="1"/>
  <c r="T1153" i="18"/>
  <c r="O1137" i="18"/>
  <c r="T1151" i="18"/>
  <c r="N1137" i="18"/>
  <c r="O1135" i="18"/>
  <c r="N1135" i="18"/>
  <c r="AD15" i="11"/>
  <c r="I16" i="11"/>
  <c r="AD16" i="11" s="1"/>
  <c r="B1163" i="18" l="1"/>
  <c r="B1164" i="18" s="1"/>
  <c r="B1165" i="18" s="1"/>
  <c r="B1166" i="18" s="1"/>
  <c r="B1167" i="18" s="1"/>
  <c r="B1168" i="18" s="1"/>
  <c r="B1169" i="18" s="1"/>
  <c r="B1170" i="18" s="1"/>
  <c r="B1171" i="18" s="1"/>
  <c r="B1172" i="18" s="1"/>
  <c r="B1173" i="18" s="1"/>
  <c r="B1174" i="18" s="1"/>
  <c r="B1175" i="18" s="1"/>
  <c r="B1176" i="18" s="1"/>
  <c r="B1177" i="18" s="1"/>
  <c r="B1178" i="18" s="1"/>
  <c r="B1179" i="18" s="1"/>
  <c r="B1180" i="18" s="1"/>
  <c r="B1181" i="18" s="1"/>
  <c r="B1182" i="18" s="1"/>
  <c r="B1183" i="18" s="1"/>
  <c r="B1184" i="18" s="1"/>
  <c r="B1185" i="18" s="1"/>
  <c r="B1186" i="18" s="1"/>
  <c r="B1187" i="18" s="1"/>
  <c r="B1188" i="18" s="1"/>
  <c r="B1189" i="18" s="1"/>
  <c r="B1190" i="18" s="1"/>
  <c r="B1191" i="18" s="1"/>
  <c r="B1192" i="18" s="1"/>
  <c r="B1193" i="18" s="1"/>
  <c r="T1183" i="18"/>
  <c r="Y1183" i="18" s="1"/>
  <c r="T1178" i="18"/>
  <c r="N1166" i="18"/>
  <c r="T1182" i="18"/>
  <c r="O1166" i="18"/>
  <c r="T1186" i="18"/>
  <c r="T1179" i="18"/>
  <c r="T1180" i="18"/>
  <c r="T1192" i="18"/>
  <c r="T1191" i="18"/>
  <c r="T1190" i="18"/>
  <c r="T1189" i="18"/>
  <c r="N1168" i="18"/>
  <c r="T1188" i="18"/>
  <c r="T1185" i="18"/>
  <c r="T1184" i="18"/>
  <c r="T1181" i="18"/>
  <c r="T1187" i="18"/>
  <c r="O1168" i="18"/>
  <c r="D1226" i="18"/>
  <c r="G1195" i="18"/>
  <c r="P3" i="21"/>
  <c r="AE16" i="11"/>
  <c r="AE17" i="11"/>
  <c r="AE18" i="11"/>
  <c r="AE19" i="11"/>
  <c r="AE20" i="11"/>
  <c r="AE21" i="11"/>
  <c r="AE22" i="11"/>
  <c r="AE23" i="11"/>
  <c r="AE24" i="11"/>
  <c r="AE25" i="11"/>
  <c r="AE26" i="11"/>
  <c r="AE27" i="11"/>
  <c r="AE28" i="11"/>
  <c r="AE29" i="11"/>
  <c r="AE30" i="11"/>
  <c r="AE31" i="11"/>
  <c r="AE32" i="11"/>
  <c r="AE33" i="11"/>
  <c r="AE34" i="11"/>
  <c r="AE35" i="11"/>
  <c r="AE36" i="11"/>
  <c r="AE37" i="11"/>
  <c r="AE38" i="11"/>
  <c r="AE39" i="11"/>
  <c r="AE40" i="11"/>
  <c r="AE41" i="11"/>
  <c r="AE42" i="11"/>
  <c r="AE43" i="11"/>
  <c r="AE44" i="11"/>
  <c r="AE45" i="11"/>
  <c r="AE46" i="11"/>
  <c r="AE47" i="11"/>
  <c r="AE48" i="11"/>
  <c r="AE49" i="11"/>
  <c r="AE50" i="11"/>
  <c r="AE51" i="11"/>
  <c r="AE52" i="11"/>
  <c r="AE53" i="11"/>
  <c r="AE54" i="11"/>
  <c r="AE55" i="11"/>
  <c r="AE56" i="11"/>
  <c r="AE57" i="11"/>
  <c r="AE58" i="11"/>
  <c r="AE59" i="11"/>
  <c r="AE60" i="11"/>
  <c r="AE61" i="11"/>
  <c r="AE62" i="11"/>
  <c r="AE63" i="11"/>
  <c r="AE64" i="11"/>
  <c r="AE65" i="11"/>
  <c r="AE66" i="11"/>
  <c r="AE67" i="11"/>
  <c r="AE68" i="11"/>
  <c r="AE69" i="11"/>
  <c r="AE70" i="11"/>
  <c r="AE71" i="11"/>
  <c r="AE72" i="11"/>
  <c r="AE73" i="11"/>
  <c r="AE74" i="11"/>
  <c r="AE75" i="11"/>
  <c r="AE76" i="11"/>
  <c r="AE77" i="11"/>
  <c r="AE78" i="11"/>
  <c r="AE79" i="11"/>
  <c r="AE80" i="11"/>
  <c r="AE81" i="11"/>
  <c r="AE82" i="11"/>
  <c r="AE83" i="11"/>
  <c r="AE84" i="11"/>
  <c r="AE85" i="11"/>
  <c r="AE86" i="11"/>
  <c r="AE87" i="11"/>
  <c r="AE88" i="11"/>
  <c r="AE89" i="11"/>
  <c r="AE90" i="11"/>
  <c r="AE91" i="11"/>
  <c r="AE92" i="11"/>
  <c r="AE93" i="11"/>
  <c r="AE94" i="11"/>
  <c r="AE95" i="11"/>
  <c r="AE96" i="11"/>
  <c r="AE97" i="11"/>
  <c r="AE98" i="11"/>
  <c r="AE99" i="11"/>
  <c r="AE100" i="11"/>
  <c r="AE101" i="11"/>
  <c r="AE102" i="11"/>
  <c r="AE103" i="11"/>
  <c r="AE104" i="11"/>
  <c r="AE105" i="11"/>
  <c r="AE106" i="11"/>
  <c r="AE107" i="11"/>
  <c r="AE108" i="11"/>
  <c r="AE109" i="11"/>
  <c r="AE110" i="11"/>
  <c r="AE111" i="11"/>
  <c r="AE112" i="11"/>
  <c r="AE113" i="11"/>
  <c r="AE114" i="11"/>
  <c r="AE115" i="11"/>
  <c r="AE116" i="11"/>
  <c r="AE117" i="11"/>
  <c r="AE118" i="11"/>
  <c r="AE119" i="11"/>
  <c r="AE120" i="11"/>
  <c r="AE121" i="11"/>
  <c r="AE122" i="11"/>
  <c r="AE123" i="11"/>
  <c r="AE124" i="11"/>
  <c r="AE125" i="11"/>
  <c r="AE126" i="11"/>
  <c r="AE127" i="11"/>
  <c r="AE128" i="11"/>
  <c r="AE129" i="11"/>
  <c r="AE130" i="11"/>
  <c r="AE131" i="11"/>
  <c r="AE132" i="11"/>
  <c r="AE133" i="11"/>
  <c r="AE134" i="11"/>
  <c r="AE135" i="11"/>
  <c r="AE136" i="11"/>
  <c r="AE137" i="11"/>
  <c r="AE138" i="11"/>
  <c r="AE139" i="11"/>
  <c r="AE140" i="11"/>
  <c r="AE141" i="11"/>
  <c r="AE142" i="11"/>
  <c r="AE143" i="11"/>
  <c r="AE144" i="11"/>
  <c r="AE145" i="11"/>
  <c r="AE146" i="11"/>
  <c r="AE147" i="11"/>
  <c r="AE148" i="11"/>
  <c r="AE149" i="11"/>
  <c r="AE150" i="11"/>
  <c r="AE151" i="11"/>
  <c r="AE152" i="11"/>
  <c r="AE153" i="11"/>
  <c r="AE154" i="11"/>
  <c r="AE155" i="11"/>
  <c r="AE156" i="11"/>
  <c r="AE157" i="11"/>
  <c r="AE158" i="11"/>
  <c r="AE159" i="11"/>
  <c r="AE160" i="11"/>
  <c r="AE161" i="11"/>
  <c r="AE162" i="11"/>
  <c r="AE163" i="11"/>
  <c r="AE164" i="11"/>
  <c r="AE165" i="11"/>
  <c r="AE166" i="11"/>
  <c r="AE167" i="11"/>
  <c r="AE168" i="11"/>
  <c r="AE169" i="11"/>
  <c r="AE170" i="11"/>
  <c r="AE171" i="11"/>
  <c r="AE172" i="11"/>
  <c r="AE173" i="11"/>
  <c r="AE174" i="11"/>
  <c r="AE175" i="11"/>
  <c r="AE176" i="11"/>
  <c r="AE177" i="11"/>
  <c r="AE178" i="11"/>
  <c r="AE179" i="11"/>
  <c r="AE180" i="11"/>
  <c r="AE181" i="11"/>
  <c r="AE182" i="11"/>
  <c r="AE183" i="11"/>
  <c r="AE184" i="11"/>
  <c r="AE185" i="11"/>
  <c r="AE186" i="11"/>
  <c r="AE187" i="11"/>
  <c r="AE188" i="11"/>
  <c r="AE189" i="11"/>
  <c r="AE190" i="11"/>
  <c r="AE191" i="11"/>
  <c r="AE192" i="11"/>
  <c r="AE193" i="11"/>
  <c r="AE194" i="11"/>
  <c r="AE195" i="11"/>
  <c r="AE196" i="11"/>
  <c r="AE197" i="11"/>
  <c r="AE198" i="11"/>
  <c r="AE199" i="11"/>
  <c r="AE200" i="11"/>
  <c r="AE201" i="11"/>
  <c r="AE202" i="11"/>
  <c r="AE203" i="11"/>
  <c r="AE204" i="11"/>
  <c r="AE205" i="11"/>
  <c r="AE206" i="11"/>
  <c r="AE207" i="11"/>
  <c r="AE208" i="11"/>
  <c r="AE209" i="11"/>
  <c r="AE210" i="11"/>
  <c r="AE211" i="11"/>
  <c r="AE212" i="11"/>
  <c r="AE213" i="11"/>
  <c r="AE214" i="11"/>
  <c r="AE215" i="11"/>
  <c r="AE216" i="11"/>
  <c r="AE217" i="11"/>
  <c r="AE218" i="11"/>
  <c r="AE219" i="11"/>
  <c r="AE220" i="11"/>
  <c r="AE221" i="11"/>
  <c r="AE222" i="11"/>
  <c r="AE223" i="11"/>
  <c r="AE224" i="11"/>
  <c r="AE225" i="11"/>
  <c r="AE226" i="11"/>
  <c r="AE227" i="11"/>
  <c r="AE228" i="11"/>
  <c r="AE229" i="11"/>
  <c r="AE230" i="11"/>
  <c r="AE231" i="11"/>
  <c r="AE232" i="11"/>
  <c r="AE233" i="11"/>
  <c r="AE234" i="11"/>
  <c r="AE235" i="11"/>
  <c r="AE236" i="11"/>
  <c r="AE237" i="11"/>
  <c r="AE238" i="11"/>
  <c r="AE239" i="11"/>
  <c r="AE240" i="11"/>
  <c r="AE241" i="11"/>
  <c r="AE242" i="11"/>
  <c r="AE243" i="11"/>
  <c r="AE244" i="11"/>
  <c r="AE245" i="11"/>
  <c r="AE246" i="11"/>
  <c r="AE247" i="11"/>
  <c r="AE248" i="11"/>
  <c r="AE249" i="11"/>
  <c r="AE250" i="11"/>
  <c r="AE251" i="11"/>
  <c r="AE252" i="11"/>
  <c r="AE253" i="11"/>
  <c r="AE254" i="11"/>
  <c r="AE255" i="11"/>
  <c r="AE256" i="11"/>
  <c r="AE257" i="11"/>
  <c r="AE258" i="11"/>
  <c r="AE259" i="11"/>
  <c r="AE260" i="11"/>
  <c r="AE261" i="11"/>
  <c r="AE262" i="11"/>
  <c r="AE263" i="11"/>
  <c r="AE264" i="11"/>
  <c r="AE265" i="11"/>
  <c r="AE266" i="11"/>
  <c r="AE267" i="11"/>
  <c r="AE268" i="11"/>
  <c r="AE269" i="11"/>
  <c r="AE270" i="11"/>
  <c r="AE271" i="11"/>
  <c r="AE272" i="11"/>
  <c r="AE273" i="11"/>
  <c r="AE274" i="11"/>
  <c r="AE275" i="11"/>
  <c r="AE276" i="11"/>
  <c r="AE277" i="11"/>
  <c r="AE278" i="11"/>
  <c r="AE279" i="11"/>
  <c r="AE280" i="11"/>
  <c r="AE281" i="11"/>
  <c r="AE282" i="11"/>
  <c r="AE283" i="11"/>
  <c r="AE284" i="11"/>
  <c r="AE285" i="11"/>
  <c r="AE286" i="11"/>
  <c r="AE287" i="11"/>
  <c r="AE288" i="11"/>
  <c r="AE289" i="11"/>
  <c r="AE290" i="11"/>
  <c r="AE291" i="11"/>
  <c r="AE292" i="11"/>
  <c r="AE293" i="11"/>
  <c r="AE294" i="11"/>
  <c r="AE295" i="11"/>
  <c r="AE296" i="11"/>
  <c r="AE297" i="11"/>
  <c r="AE298" i="11"/>
  <c r="AE299" i="11"/>
  <c r="AE300" i="11"/>
  <c r="AE301" i="11"/>
  <c r="AE302" i="11"/>
  <c r="AE303" i="11"/>
  <c r="AE304" i="11"/>
  <c r="AE305" i="11"/>
  <c r="AE306" i="11"/>
  <c r="AE307" i="11"/>
  <c r="AE308" i="11"/>
  <c r="AE309" i="11"/>
  <c r="AE310" i="11"/>
  <c r="AE311" i="11"/>
  <c r="AE312" i="11"/>
  <c r="AE313" i="11"/>
  <c r="AE314" i="11"/>
  <c r="AE315" i="11"/>
  <c r="AE316" i="11"/>
  <c r="AE317" i="11"/>
  <c r="AE318" i="11"/>
  <c r="AE319" i="11"/>
  <c r="AE320" i="11"/>
  <c r="AE321" i="11"/>
  <c r="AE322" i="11"/>
  <c r="AE323" i="11"/>
  <c r="AE324" i="11"/>
  <c r="AE325" i="11"/>
  <c r="AE326" i="11"/>
  <c r="AE327" i="11"/>
  <c r="AE328" i="11"/>
  <c r="AE329" i="11"/>
  <c r="AE330" i="11"/>
  <c r="AE331" i="11"/>
  <c r="AE332" i="11"/>
  <c r="AE333" i="11"/>
  <c r="AE334" i="11"/>
  <c r="AE335" i="11"/>
  <c r="AE336" i="11"/>
  <c r="AE337" i="11"/>
  <c r="AE338" i="11"/>
  <c r="AE339" i="11"/>
  <c r="AE340" i="11"/>
  <c r="AE341" i="11"/>
  <c r="AE342" i="11"/>
  <c r="AE343" i="11"/>
  <c r="AE344" i="11"/>
  <c r="AE345" i="11"/>
  <c r="AE346" i="11"/>
  <c r="AE347" i="11"/>
  <c r="AE348" i="11"/>
  <c r="AE349" i="11"/>
  <c r="AE350" i="11"/>
  <c r="AE351" i="11"/>
  <c r="AE352" i="11"/>
  <c r="AE353" i="11"/>
  <c r="AE354" i="11"/>
  <c r="AE355" i="11"/>
  <c r="AE356" i="11"/>
  <c r="AE357" i="11"/>
  <c r="AE358" i="11"/>
  <c r="AE359" i="11"/>
  <c r="AE360" i="11"/>
  <c r="AE361" i="11"/>
  <c r="AE362" i="11"/>
  <c r="AE363" i="11"/>
  <c r="AE364" i="11"/>
  <c r="AE365" i="11"/>
  <c r="AE366" i="11"/>
  <c r="AE367" i="11"/>
  <c r="AE368" i="11"/>
  <c r="AE369" i="11"/>
  <c r="AE370" i="11"/>
  <c r="AE371" i="11"/>
  <c r="AE372" i="11"/>
  <c r="AE373" i="11"/>
  <c r="AE374" i="11"/>
  <c r="AE375" i="11"/>
  <c r="AE376" i="11"/>
  <c r="AE377" i="11"/>
  <c r="AE378" i="11"/>
  <c r="AE379" i="11"/>
  <c r="AE380" i="11"/>
  <c r="AE381" i="11"/>
  <c r="AE382" i="11"/>
  <c r="AE383" i="11"/>
  <c r="AE384" i="11"/>
  <c r="AE385" i="11"/>
  <c r="AE386" i="11"/>
  <c r="AE387" i="11"/>
  <c r="AE388" i="11"/>
  <c r="AE389" i="11"/>
  <c r="AE390" i="11"/>
  <c r="AE391" i="11"/>
  <c r="AE392" i="11"/>
  <c r="AE393" i="11"/>
  <c r="AE394" i="11"/>
  <c r="AE395" i="11"/>
  <c r="AE396" i="11"/>
  <c r="AE397" i="11"/>
  <c r="AE398" i="11"/>
  <c r="AE399" i="11"/>
  <c r="AE400" i="11"/>
  <c r="AE401" i="11"/>
  <c r="AE402" i="11"/>
  <c r="AE403" i="11"/>
  <c r="AE404" i="11"/>
  <c r="AE405" i="11"/>
  <c r="AE406" i="11"/>
  <c r="AE407" i="11"/>
  <c r="AE408" i="11"/>
  <c r="AE409" i="11"/>
  <c r="AE410" i="11"/>
  <c r="AE411" i="11"/>
  <c r="AE412" i="11"/>
  <c r="AE413" i="11"/>
  <c r="AE414" i="11"/>
  <c r="AE415" i="11"/>
  <c r="AE416" i="11"/>
  <c r="AE417" i="11"/>
  <c r="AE418" i="11"/>
  <c r="AE419" i="11"/>
  <c r="AE420" i="11"/>
  <c r="AE421" i="11"/>
  <c r="AE422" i="11"/>
  <c r="AE423" i="11"/>
  <c r="AE424" i="11"/>
  <c r="AE425" i="11"/>
  <c r="AE426" i="11"/>
  <c r="AE427" i="11"/>
  <c r="AE428" i="11"/>
  <c r="AE429" i="11"/>
  <c r="AE430" i="11"/>
  <c r="AE431" i="11"/>
  <c r="AE432" i="11"/>
  <c r="AE433" i="11"/>
  <c r="AE434" i="11"/>
  <c r="AE435" i="11"/>
  <c r="AE436" i="11"/>
  <c r="AE437" i="11"/>
  <c r="AE438" i="11"/>
  <c r="AE439" i="11"/>
  <c r="AE440" i="11"/>
  <c r="AE441" i="11"/>
  <c r="AE442" i="11"/>
  <c r="AE443" i="11"/>
  <c r="AE444" i="11"/>
  <c r="AE445" i="11"/>
  <c r="AE446" i="11"/>
  <c r="AE447" i="11"/>
  <c r="AE448" i="11"/>
  <c r="AE449" i="11"/>
  <c r="AE450" i="11"/>
  <c r="AE451" i="11"/>
  <c r="AE452" i="11"/>
  <c r="AE453" i="11"/>
  <c r="AE454" i="11"/>
  <c r="AE455" i="11"/>
  <c r="AE456" i="11"/>
  <c r="AE457" i="11"/>
  <c r="AE458" i="11"/>
  <c r="AE459" i="11"/>
  <c r="AE460" i="11"/>
  <c r="AE461" i="11"/>
  <c r="AE462" i="11"/>
  <c r="AE463" i="11"/>
  <c r="AE464" i="11"/>
  <c r="AE465" i="11"/>
  <c r="AE466" i="11"/>
  <c r="AE467" i="11"/>
  <c r="AE468" i="11"/>
  <c r="AE469" i="11"/>
  <c r="AE470" i="11"/>
  <c r="AE471" i="11"/>
  <c r="AE472" i="11"/>
  <c r="AE473" i="11"/>
  <c r="AE474" i="11"/>
  <c r="AE475" i="11"/>
  <c r="AE476" i="11"/>
  <c r="AE477" i="11"/>
  <c r="AE478" i="11"/>
  <c r="AE479" i="11"/>
  <c r="AE480" i="11"/>
  <c r="AE481" i="11"/>
  <c r="AE482" i="11"/>
  <c r="AE483" i="11"/>
  <c r="AE484" i="11"/>
  <c r="AE485" i="11"/>
  <c r="AE486" i="11"/>
  <c r="AE487" i="11"/>
  <c r="AE488" i="11"/>
  <c r="AE489" i="11"/>
  <c r="AE490" i="11"/>
  <c r="AE491" i="11"/>
  <c r="AE492" i="11"/>
  <c r="AE493" i="11"/>
  <c r="AE494" i="11"/>
  <c r="AE495" i="11"/>
  <c r="AE496" i="11"/>
  <c r="AE497" i="11"/>
  <c r="AE498" i="11"/>
  <c r="AE499" i="11"/>
  <c r="AE500" i="11"/>
  <c r="AE501" i="11"/>
  <c r="AE502" i="11"/>
  <c r="AE503" i="11"/>
  <c r="AE504" i="11"/>
  <c r="AE505" i="11"/>
  <c r="AE506" i="11"/>
  <c r="AE507" i="11"/>
  <c r="AE508" i="11"/>
  <c r="AE509" i="11"/>
  <c r="AE510" i="11"/>
  <c r="AE511" i="11"/>
  <c r="AE512" i="11"/>
  <c r="AE513" i="11"/>
  <c r="AE514" i="11"/>
  <c r="AE515" i="11"/>
  <c r="AE516" i="11"/>
  <c r="AE517" i="11"/>
  <c r="AE518" i="11"/>
  <c r="AE519" i="11"/>
  <c r="AE520" i="11"/>
  <c r="AE521" i="11"/>
  <c r="AE522" i="11"/>
  <c r="AE523" i="11"/>
  <c r="AE524" i="11"/>
  <c r="AE525" i="11"/>
  <c r="AE526" i="11"/>
  <c r="AE527" i="11"/>
  <c r="AE528" i="11"/>
  <c r="AE529" i="11"/>
  <c r="AE530" i="11"/>
  <c r="AE531" i="11"/>
  <c r="AE532" i="11"/>
  <c r="AE533" i="11"/>
  <c r="AE534" i="11"/>
  <c r="AE535" i="11"/>
  <c r="AE536" i="11"/>
  <c r="AE537" i="11"/>
  <c r="AE538" i="11"/>
  <c r="AE539" i="11"/>
  <c r="AE540" i="11"/>
  <c r="AE541" i="11"/>
  <c r="AE542" i="11"/>
  <c r="AE543" i="11"/>
  <c r="AE544" i="11"/>
  <c r="AE545" i="11"/>
  <c r="AE546" i="11"/>
  <c r="AE547" i="11"/>
  <c r="AE548" i="11"/>
  <c r="AE549" i="11"/>
  <c r="AE550" i="11"/>
  <c r="AE551" i="11"/>
  <c r="AE552" i="11"/>
  <c r="AE553" i="11"/>
  <c r="AE554" i="11"/>
  <c r="AE555" i="11"/>
  <c r="AE556" i="11"/>
  <c r="AE557" i="11"/>
  <c r="AE558" i="11"/>
  <c r="AE559" i="11"/>
  <c r="AE560" i="11"/>
  <c r="AE561" i="11"/>
  <c r="AE562" i="11"/>
  <c r="AE563" i="11"/>
  <c r="AE564" i="11"/>
  <c r="AE565" i="11"/>
  <c r="AE566" i="11"/>
  <c r="AE567" i="11"/>
  <c r="AE568" i="11"/>
  <c r="AE569" i="11"/>
  <c r="AE570" i="11"/>
  <c r="AE571" i="11"/>
  <c r="AE572" i="11"/>
  <c r="AE573" i="11"/>
  <c r="AE574" i="11"/>
  <c r="AE575" i="11"/>
  <c r="AE576" i="11"/>
  <c r="AE577" i="11"/>
  <c r="AE578" i="11"/>
  <c r="AE579" i="11"/>
  <c r="AE580" i="11"/>
  <c r="AE581" i="11"/>
  <c r="AE582" i="11"/>
  <c r="AE583" i="11"/>
  <c r="AE584" i="11"/>
  <c r="AE585" i="11"/>
  <c r="AE586" i="11"/>
  <c r="AE587" i="11"/>
  <c r="AE588" i="11"/>
  <c r="AE589" i="11"/>
  <c r="AE590" i="11"/>
  <c r="AE591" i="11"/>
  <c r="AE592" i="11"/>
  <c r="AE593" i="11"/>
  <c r="AE594" i="11"/>
  <c r="AE595" i="11"/>
  <c r="AE596" i="11"/>
  <c r="AE597" i="11"/>
  <c r="AE598" i="11"/>
  <c r="AE599" i="11"/>
  <c r="AE600" i="11"/>
  <c r="AE601" i="11"/>
  <c r="AE602" i="11"/>
  <c r="AE603" i="11"/>
  <c r="AE604" i="11"/>
  <c r="AE605" i="11"/>
  <c r="AE606" i="11"/>
  <c r="AE607" i="11"/>
  <c r="AE608" i="11"/>
  <c r="AE609" i="11"/>
  <c r="AE610" i="11"/>
  <c r="AE611" i="11"/>
  <c r="AE612" i="11"/>
  <c r="AE613" i="11"/>
  <c r="AE614" i="11"/>
  <c r="AE615" i="11"/>
  <c r="AE616" i="11"/>
  <c r="AE617" i="11"/>
  <c r="AE618" i="11"/>
  <c r="AE619" i="11"/>
  <c r="AE620" i="11"/>
  <c r="AE621" i="11"/>
  <c r="AE622" i="11"/>
  <c r="AE623" i="11"/>
  <c r="AE624" i="11"/>
  <c r="AE625" i="11"/>
  <c r="AE626" i="11"/>
  <c r="AE627" i="11"/>
  <c r="AE628" i="11"/>
  <c r="AE629" i="11"/>
  <c r="AE630" i="11"/>
  <c r="AE631" i="11"/>
  <c r="AE632" i="11"/>
  <c r="AE633" i="11"/>
  <c r="AE634" i="11"/>
  <c r="AE635" i="11"/>
  <c r="AE636" i="11"/>
  <c r="AE637" i="11"/>
  <c r="AE638" i="11"/>
  <c r="AE639" i="11"/>
  <c r="AE640" i="11"/>
  <c r="AE641" i="11"/>
  <c r="AE642" i="11"/>
  <c r="AE643" i="11"/>
  <c r="AE644" i="11"/>
  <c r="AE645" i="11"/>
  <c r="AE646" i="11"/>
  <c r="AE647" i="11"/>
  <c r="AE648" i="11"/>
  <c r="AE649" i="11"/>
  <c r="AE650" i="11"/>
  <c r="AE651" i="11"/>
  <c r="AE652" i="11"/>
  <c r="AE653" i="11"/>
  <c r="AE654" i="11"/>
  <c r="AE655" i="11"/>
  <c r="AE656" i="11"/>
  <c r="AE657" i="11"/>
  <c r="AE658" i="11"/>
  <c r="AE659" i="11"/>
  <c r="AE660" i="11"/>
  <c r="AE661" i="11"/>
  <c r="AE662" i="11"/>
  <c r="AE663" i="11"/>
  <c r="AE664" i="11"/>
  <c r="AE665" i="11"/>
  <c r="AE666" i="11"/>
  <c r="AE667" i="11"/>
  <c r="AE668" i="11"/>
  <c r="AE669" i="11"/>
  <c r="AE670" i="11"/>
  <c r="AE671" i="11"/>
  <c r="AE672" i="11"/>
  <c r="AE673" i="11"/>
  <c r="AE674" i="11"/>
  <c r="AE675" i="11"/>
  <c r="AE676" i="11"/>
  <c r="AE677" i="11"/>
  <c r="AE678" i="11"/>
  <c r="AE679" i="11"/>
  <c r="AE680" i="11"/>
  <c r="AE681" i="11"/>
  <c r="AE682" i="11"/>
  <c r="AE683" i="11"/>
  <c r="AE684" i="11"/>
  <c r="AE685" i="11"/>
  <c r="AE686" i="11"/>
  <c r="AE687" i="11"/>
  <c r="AE688" i="11"/>
  <c r="AE689" i="11"/>
  <c r="AE690" i="11"/>
  <c r="AE691" i="11"/>
  <c r="AE692" i="11"/>
  <c r="AE693" i="11"/>
  <c r="AE694" i="11"/>
  <c r="AE695" i="11"/>
  <c r="AE696" i="11"/>
  <c r="AE697" i="11"/>
  <c r="AE698" i="11"/>
  <c r="AE699" i="11"/>
  <c r="AE700" i="11"/>
  <c r="AE701" i="11"/>
  <c r="AE702" i="11"/>
  <c r="AE703" i="11"/>
  <c r="AE704" i="11"/>
  <c r="AE705" i="11"/>
  <c r="AE706" i="11"/>
  <c r="AE707" i="11"/>
  <c r="AE708" i="11"/>
  <c r="AE709" i="11"/>
  <c r="AE710" i="11"/>
  <c r="AE711" i="11"/>
  <c r="AE712" i="11"/>
  <c r="AE713" i="11"/>
  <c r="AE714" i="11"/>
  <c r="AE715" i="11"/>
  <c r="AE716" i="11"/>
  <c r="AE717" i="11"/>
  <c r="AE718" i="11"/>
  <c r="AE719" i="11"/>
  <c r="AE720" i="11"/>
  <c r="AE721" i="11"/>
  <c r="AE722" i="11"/>
  <c r="AE723" i="11"/>
  <c r="AE724" i="11"/>
  <c r="AE725" i="11"/>
  <c r="AE726" i="11"/>
  <c r="AE727" i="11"/>
  <c r="AE728" i="11"/>
  <c r="AE729" i="11"/>
  <c r="AE730" i="11"/>
  <c r="AE731" i="11"/>
  <c r="AE732" i="11"/>
  <c r="AE733" i="11"/>
  <c r="AE734" i="11"/>
  <c r="AE735" i="11"/>
  <c r="AE736" i="11"/>
  <c r="AE737" i="11"/>
  <c r="AE738" i="11"/>
  <c r="AE739" i="11"/>
  <c r="AE740" i="11"/>
  <c r="AE741" i="11"/>
  <c r="AE742" i="11"/>
  <c r="AE743" i="11"/>
  <c r="AE744" i="11"/>
  <c r="AE745" i="11"/>
  <c r="AE746" i="11"/>
  <c r="AE747" i="11"/>
  <c r="AE748" i="11"/>
  <c r="AE749" i="11"/>
  <c r="AE750" i="11"/>
  <c r="AE751" i="11"/>
  <c r="AE752" i="11"/>
  <c r="AE753" i="11"/>
  <c r="AE754" i="11"/>
  <c r="AE755" i="11"/>
  <c r="AE756" i="11"/>
  <c r="AE757" i="11"/>
  <c r="AE758" i="11"/>
  <c r="AE759" i="11"/>
  <c r="AE760" i="11"/>
  <c r="AE761" i="11"/>
  <c r="AE762" i="11"/>
  <c r="AE763" i="11"/>
  <c r="AE764" i="11"/>
  <c r="AE765" i="11"/>
  <c r="AE766" i="11"/>
  <c r="AE767" i="11"/>
  <c r="AE768" i="11"/>
  <c r="AE769" i="11"/>
  <c r="AE770" i="11"/>
  <c r="AE771" i="11"/>
  <c r="AE772" i="11"/>
  <c r="AE773" i="11"/>
  <c r="AE774" i="11"/>
  <c r="AE775" i="11"/>
  <c r="AE776" i="11"/>
  <c r="AE777" i="11"/>
  <c r="AE778" i="11"/>
  <c r="AE779" i="11"/>
  <c r="AE780" i="11"/>
  <c r="AE781" i="11"/>
  <c r="AE782" i="11"/>
  <c r="AE783" i="11"/>
  <c r="AE784" i="11"/>
  <c r="AE785" i="11"/>
  <c r="AE786" i="11"/>
  <c r="AE787" i="11"/>
  <c r="AE788" i="11"/>
  <c r="AE789" i="11"/>
  <c r="AE790" i="11"/>
  <c r="AE791" i="11"/>
  <c r="AE792" i="11"/>
  <c r="AE793" i="11"/>
  <c r="AE794" i="11"/>
  <c r="AE795" i="11"/>
  <c r="AE796" i="11"/>
  <c r="AE797" i="11"/>
  <c r="AE798" i="11"/>
  <c r="AE799" i="11"/>
  <c r="AE800" i="11"/>
  <c r="AE801" i="11"/>
  <c r="AE802" i="11"/>
  <c r="AE803" i="11"/>
  <c r="AE804" i="11"/>
  <c r="AE805" i="11"/>
  <c r="AE806" i="11"/>
  <c r="AE807" i="11"/>
  <c r="AE808" i="11"/>
  <c r="AE809" i="11"/>
  <c r="AE810" i="11"/>
  <c r="AE811" i="11"/>
  <c r="AE812" i="11"/>
  <c r="AE813" i="11"/>
  <c r="AE814" i="11"/>
  <c r="AE815" i="11"/>
  <c r="AE816" i="11"/>
  <c r="AE817" i="11"/>
  <c r="AE818" i="11"/>
  <c r="AE819" i="11"/>
  <c r="AE820" i="11"/>
  <c r="AE821" i="11"/>
  <c r="AE822" i="11"/>
  <c r="AE823" i="11"/>
  <c r="AE824" i="11"/>
  <c r="AE825" i="11"/>
  <c r="AE826" i="11"/>
  <c r="AE827" i="11"/>
  <c r="AE828" i="11"/>
  <c r="AE829" i="11"/>
  <c r="AE830" i="11"/>
  <c r="AE831" i="11"/>
  <c r="AE832" i="11"/>
  <c r="AE833" i="11"/>
  <c r="AE834" i="11"/>
  <c r="AE835" i="11"/>
  <c r="AE836" i="11"/>
  <c r="AE837" i="11"/>
  <c r="AE838" i="11"/>
  <c r="AE839" i="11"/>
  <c r="AE840" i="11"/>
  <c r="AE841" i="11"/>
  <c r="AE842" i="11"/>
  <c r="AE843" i="11"/>
  <c r="AE844" i="11"/>
  <c r="AE845" i="11"/>
  <c r="AE846" i="11"/>
  <c r="AE847" i="11"/>
  <c r="AE848" i="11"/>
  <c r="AE849" i="11"/>
  <c r="AE850" i="11"/>
  <c r="AE851" i="11"/>
  <c r="AE852" i="11"/>
  <c r="AE853" i="11"/>
  <c r="AE854" i="11"/>
  <c r="AE855" i="11"/>
  <c r="AE856" i="11"/>
  <c r="AE857" i="11"/>
  <c r="AE858" i="11"/>
  <c r="AE859" i="11"/>
  <c r="AE860" i="11"/>
  <c r="AE861" i="11"/>
  <c r="AE862" i="11"/>
  <c r="AE863" i="11"/>
  <c r="AE864" i="11"/>
  <c r="AE865" i="11"/>
  <c r="AE866" i="11"/>
  <c r="AE867" i="11"/>
  <c r="AE868" i="11"/>
  <c r="AE869" i="11"/>
  <c r="AE870" i="11"/>
  <c r="AE871" i="11"/>
  <c r="AE872" i="11"/>
  <c r="AE873" i="11"/>
  <c r="AE874" i="11"/>
  <c r="AE875" i="11"/>
  <c r="AE876" i="11"/>
  <c r="AE877" i="11"/>
  <c r="AE878" i="11"/>
  <c r="AE879" i="11"/>
  <c r="AE880" i="11"/>
  <c r="AE881" i="11"/>
  <c r="AE882" i="11"/>
  <c r="AE883" i="11"/>
  <c r="AE884" i="11"/>
  <c r="AE885" i="11"/>
  <c r="AE886" i="11"/>
  <c r="AE887" i="11"/>
  <c r="AE888" i="11"/>
  <c r="AE889" i="11"/>
  <c r="AE890" i="11"/>
  <c r="AE891" i="11"/>
  <c r="AE892" i="11"/>
  <c r="AE893" i="11"/>
  <c r="AE894" i="11"/>
  <c r="AE895" i="11"/>
  <c r="AE896" i="11"/>
  <c r="AE897" i="11"/>
  <c r="AE898" i="11"/>
  <c r="AE899" i="11"/>
  <c r="AE900" i="11"/>
  <c r="AE901" i="11"/>
  <c r="AE902" i="11"/>
  <c r="AE903" i="11"/>
  <c r="AE904" i="11"/>
  <c r="AE905" i="11"/>
  <c r="AE906" i="11"/>
  <c r="AE907" i="11"/>
  <c r="AE908" i="11"/>
  <c r="AE909" i="11"/>
  <c r="AE910" i="11"/>
  <c r="AE911" i="11"/>
  <c r="AE912" i="11"/>
  <c r="AE913" i="11"/>
  <c r="AE914" i="11"/>
  <c r="AE915" i="11"/>
  <c r="AE916" i="11"/>
  <c r="AE917" i="11"/>
  <c r="AE918" i="11"/>
  <c r="AE919" i="11"/>
  <c r="AE920" i="11"/>
  <c r="AE921" i="11"/>
  <c r="AE922" i="11"/>
  <c r="AE923" i="11"/>
  <c r="AE924" i="11"/>
  <c r="AE925" i="11"/>
  <c r="AE926" i="11"/>
  <c r="AE927" i="11"/>
  <c r="AE928" i="11"/>
  <c r="AE929" i="11"/>
  <c r="AE930" i="11"/>
  <c r="AE931" i="11"/>
  <c r="AE932" i="11"/>
  <c r="AE933" i="11"/>
  <c r="AE934" i="11"/>
  <c r="AE935" i="11"/>
  <c r="AE936" i="11"/>
  <c r="AE937" i="11"/>
  <c r="AE938" i="11"/>
  <c r="AE939" i="11"/>
  <c r="AE940" i="11"/>
  <c r="AE941" i="11"/>
  <c r="AE942" i="11"/>
  <c r="AE943" i="11"/>
  <c r="AE944" i="11"/>
  <c r="AE945" i="11"/>
  <c r="AE946" i="11"/>
  <c r="AE947" i="11"/>
  <c r="AE948" i="11"/>
  <c r="AE949" i="11"/>
  <c r="AE950" i="11"/>
  <c r="AE951" i="11"/>
  <c r="AE952" i="11"/>
  <c r="AE953" i="11"/>
  <c r="AE954" i="11"/>
  <c r="AE955" i="11"/>
  <c r="AE956" i="11"/>
  <c r="AE957" i="11"/>
  <c r="AE958" i="11"/>
  <c r="AE959" i="11"/>
  <c r="AE960" i="11"/>
  <c r="AE961" i="11"/>
  <c r="AE962" i="11"/>
  <c r="AE963" i="11"/>
  <c r="AE964" i="11"/>
  <c r="AE965" i="11"/>
  <c r="AE966" i="11"/>
  <c r="AE967" i="11"/>
  <c r="AE968" i="11"/>
  <c r="AE969" i="11"/>
  <c r="AE970" i="11"/>
  <c r="AE971" i="11"/>
  <c r="AE972" i="11"/>
  <c r="AE973" i="11"/>
  <c r="AE974" i="11"/>
  <c r="AE975" i="11"/>
  <c r="AE976" i="11"/>
  <c r="AE977" i="11"/>
  <c r="AE978" i="11"/>
  <c r="AE979" i="11"/>
  <c r="AE980" i="11"/>
  <c r="AE981" i="11"/>
  <c r="AE982" i="11"/>
  <c r="AE983" i="11"/>
  <c r="AE984" i="11"/>
  <c r="AE985" i="11"/>
  <c r="AE986" i="11"/>
  <c r="AE987" i="11"/>
  <c r="AE988" i="11"/>
  <c r="AE989" i="11"/>
  <c r="AE990" i="11"/>
  <c r="AE991" i="11"/>
  <c r="AE992" i="11"/>
  <c r="AE993" i="11"/>
  <c r="AE994" i="11"/>
  <c r="AE995" i="11"/>
  <c r="AE996" i="11"/>
  <c r="AE997" i="11"/>
  <c r="AE998" i="11"/>
  <c r="AE999" i="11"/>
  <c r="AE1000" i="11"/>
  <c r="AE1001" i="11"/>
  <c r="AE1002" i="11"/>
  <c r="AE1003" i="11"/>
  <c r="AE1004" i="11"/>
  <c r="AE1005" i="11"/>
  <c r="AE1006" i="11"/>
  <c r="AE1007" i="11"/>
  <c r="AE1008" i="11"/>
  <c r="AE1009" i="11"/>
  <c r="AE1010" i="11"/>
  <c r="AE1011" i="11"/>
  <c r="AE1012" i="11"/>
  <c r="AE1013" i="11"/>
  <c r="AE1014" i="11"/>
  <c r="AE1015" i="11"/>
  <c r="AE1016" i="11"/>
  <c r="AE1017" i="11"/>
  <c r="AE1018" i="11"/>
  <c r="AE1019" i="11"/>
  <c r="AE1020" i="11"/>
  <c r="AE1021" i="11"/>
  <c r="AE1022" i="11"/>
  <c r="AE1023" i="11"/>
  <c r="AE1024" i="11"/>
  <c r="AE1025" i="11"/>
  <c r="AE1026" i="11"/>
  <c r="AE1027" i="11"/>
  <c r="AE1028" i="11"/>
  <c r="AE1029" i="11"/>
  <c r="AE1030" i="11"/>
  <c r="AE1031" i="11"/>
  <c r="AE1032" i="11"/>
  <c r="AE1033" i="11"/>
  <c r="AE1034" i="11"/>
  <c r="AE1035" i="11"/>
  <c r="AE1036" i="11"/>
  <c r="AE1037" i="11"/>
  <c r="AE1038" i="11"/>
  <c r="AE1039" i="11"/>
  <c r="AE1040" i="11"/>
  <c r="AE1041" i="11"/>
  <c r="AE1042" i="11"/>
  <c r="AE1043" i="11"/>
  <c r="AE1044" i="11"/>
  <c r="AE1045" i="11"/>
  <c r="AE1046" i="11"/>
  <c r="AE1047" i="11"/>
  <c r="AE1048" i="11"/>
  <c r="AE1049" i="11"/>
  <c r="AE1050" i="11"/>
  <c r="AE1051" i="11"/>
  <c r="AE1052" i="11"/>
  <c r="AE1053" i="11"/>
  <c r="AE1054" i="11"/>
  <c r="AE1055" i="11"/>
  <c r="AE1056" i="11"/>
  <c r="AE1057" i="11"/>
  <c r="AE1058" i="11"/>
  <c r="AE1059" i="11"/>
  <c r="AE1060" i="11"/>
  <c r="AE1061" i="11"/>
  <c r="AE1062" i="11"/>
  <c r="AE1063" i="11"/>
  <c r="AE1064" i="11"/>
  <c r="AE1065" i="11"/>
  <c r="AE1066" i="11"/>
  <c r="AE1067" i="11"/>
  <c r="AE1068" i="11"/>
  <c r="AE1069" i="11"/>
  <c r="AE1070" i="11"/>
  <c r="AE1071" i="11"/>
  <c r="AE1072" i="11"/>
  <c r="AE1073" i="11"/>
  <c r="AE1074" i="11"/>
  <c r="AE1075" i="11"/>
  <c r="AE1076" i="11"/>
  <c r="AE1077" i="11"/>
  <c r="AE1078" i="11"/>
  <c r="AE1079" i="11"/>
  <c r="AE1080" i="11"/>
  <c r="AE1081" i="11"/>
  <c r="AE1082" i="11"/>
  <c r="AE1083" i="11"/>
  <c r="AE1084" i="11"/>
  <c r="AE1085" i="11"/>
  <c r="AE1086" i="11"/>
  <c r="AE1087" i="11"/>
  <c r="AE1088" i="11"/>
  <c r="AE1089" i="11"/>
  <c r="AE1090" i="11"/>
  <c r="AE1091" i="11"/>
  <c r="AE1092" i="11"/>
  <c r="AE1093" i="11"/>
  <c r="AE1094" i="11"/>
  <c r="AE1095" i="11"/>
  <c r="AE1096" i="11"/>
  <c r="AE1097" i="11"/>
  <c r="AE1098" i="11"/>
  <c r="AE1099" i="11"/>
  <c r="AE1100" i="11"/>
  <c r="AE1101" i="11"/>
  <c r="AE1102" i="11"/>
  <c r="AE1103" i="11"/>
  <c r="AE1104" i="11"/>
  <c r="AE1105" i="11"/>
  <c r="AE1106" i="11"/>
  <c r="AE1107" i="11"/>
  <c r="AE1108" i="11"/>
  <c r="AE1109" i="11"/>
  <c r="AE1110" i="11"/>
  <c r="AE1111" i="11"/>
  <c r="AE1112" i="11"/>
  <c r="AE1113" i="11"/>
  <c r="AE1114" i="11"/>
  <c r="AE1115" i="11"/>
  <c r="AE1116" i="11"/>
  <c r="AE1117" i="11"/>
  <c r="AE1118" i="11"/>
  <c r="AE1119" i="11"/>
  <c r="AE1120" i="11"/>
  <c r="AE1121" i="11"/>
  <c r="AE1122" i="11"/>
  <c r="AE1123" i="11"/>
  <c r="AE1124" i="11"/>
  <c r="AE1125" i="11"/>
  <c r="AE1126" i="11"/>
  <c r="AE1127" i="11"/>
  <c r="AE1128" i="11"/>
  <c r="AE1129" i="11"/>
  <c r="AE1130" i="11"/>
  <c r="AE1131" i="11"/>
  <c r="AE1132" i="11"/>
  <c r="AE1133" i="11"/>
  <c r="AE1134" i="11"/>
  <c r="AE1135" i="11"/>
  <c r="AE1136" i="11"/>
  <c r="AE1137" i="11"/>
  <c r="AE1138" i="11"/>
  <c r="AE1139" i="11"/>
  <c r="AE1140" i="11"/>
  <c r="AE1141" i="11"/>
  <c r="AE1142" i="11"/>
  <c r="AE1143" i="11"/>
  <c r="AE1144" i="11"/>
  <c r="AE1145" i="11"/>
  <c r="AE1146" i="11"/>
  <c r="AE1147" i="11"/>
  <c r="AE1148" i="11"/>
  <c r="AE1149" i="11"/>
  <c r="AE1150" i="11"/>
  <c r="AE1151" i="11"/>
  <c r="AE1152" i="11"/>
  <c r="AE1153" i="11"/>
  <c r="AE1154" i="11"/>
  <c r="AE1155" i="11"/>
  <c r="AE1156" i="11"/>
  <c r="AE1157" i="11"/>
  <c r="AE1158" i="11"/>
  <c r="AE1159" i="11"/>
  <c r="AE1160" i="11"/>
  <c r="AE1161" i="11"/>
  <c r="AE1162" i="11"/>
  <c r="AE1163" i="11"/>
  <c r="AE1164" i="11"/>
  <c r="AE1165" i="11"/>
  <c r="AE1166" i="11"/>
  <c r="AE1167" i="11"/>
  <c r="AE1168" i="11"/>
  <c r="AE1169" i="11"/>
  <c r="AE1170" i="11"/>
  <c r="AE1171" i="11"/>
  <c r="AE1172" i="11"/>
  <c r="AE1173" i="11"/>
  <c r="AE1174" i="11"/>
  <c r="AE1175" i="11"/>
  <c r="AE1176" i="11"/>
  <c r="AE1177" i="11"/>
  <c r="AE1178" i="11"/>
  <c r="AE1179" i="11"/>
  <c r="AE1180" i="11"/>
  <c r="AE1181" i="11"/>
  <c r="AE1182" i="11"/>
  <c r="AE1183" i="11"/>
  <c r="AE1184" i="11"/>
  <c r="AE1185" i="11"/>
  <c r="AE1186" i="11"/>
  <c r="AE1187" i="11"/>
  <c r="AE1188" i="11"/>
  <c r="AE1189" i="11"/>
  <c r="AE1190" i="11"/>
  <c r="AE1191" i="11"/>
  <c r="AE1192" i="11"/>
  <c r="AE1193" i="11"/>
  <c r="AE1194" i="11"/>
  <c r="AE1195" i="11"/>
  <c r="AE1196" i="11"/>
  <c r="AE1197" i="11"/>
  <c r="AE1198" i="11"/>
  <c r="AE1199" i="11"/>
  <c r="AE1200" i="11"/>
  <c r="AE1201" i="11"/>
  <c r="AE1202" i="11"/>
  <c r="AE1203" i="11"/>
  <c r="AE1204" i="11"/>
  <c r="AE1205" i="11"/>
  <c r="AE1206" i="11"/>
  <c r="AE1207" i="11"/>
  <c r="AE1208" i="11"/>
  <c r="AE1209" i="11"/>
  <c r="AE1210" i="11"/>
  <c r="AE1211" i="11"/>
  <c r="AE1212" i="11"/>
  <c r="AE1213" i="11"/>
  <c r="AE1214" i="11"/>
  <c r="AE1215" i="11"/>
  <c r="AE1216" i="11"/>
  <c r="AE1217" i="11"/>
  <c r="AE1218" i="11"/>
  <c r="AE1219" i="11"/>
  <c r="AE1220" i="11"/>
  <c r="AE1221" i="11"/>
  <c r="AE1222" i="11"/>
  <c r="AE1223" i="11"/>
  <c r="AE1224" i="11"/>
  <c r="AE1225" i="11"/>
  <c r="AE1226" i="11"/>
  <c r="AE1227" i="11"/>
  <c r="AE1228" i="11"/>
  <c r="AE1229" i="11"/>
  <c r="AE1230" i="11"/>
  <c r="AE1231" i="11"/>
  <c r="AE1232" i="11"/>
  <c r="AE1233" i="11"/>
  <c r="AE1234" i="11"/>
  <c r="AE1235" i="11"/>
  <c r="AE1236" i="11"/>
  <c r="AE1237" i="11"/>
  <c r="AE1238" i="11"/>
  <c r="AE1239" i="11"/>
  <c r="AE1240" i="11"/>
  <c r="AE1241" i="11"/>
  <c r="AE1242" i="11"/>
  <c r="AE1243" i="11"/>
  <c r="AE1244" i="11"/>
  <c r="AE1245" i="11"/>
  <c r="AE1246" i="11"/>
  <c r="AE1247" i="11"/>
  <c r="AE1248" i="11"/>
  <c r="AE1249" i="11"/>
  <c r="AE1250" i="11"/>
  <c r="AE1251" i="11"/>
  <c r="AE1252" i="11"/>
  <c r="AE1253" i="11"/>
  <c r="AE1254" i="11"/>
  <c r="AE1255" i="11"/>
  <c r="AE1256" i="11"/>
  <c r="AE1257" i="11"/>
  <c r="AE1258" i="11"/>
  <c r="AE1259" i="11"/>
  <c r="AE1260" i="11"/>
  <c r="AE1261" i="11"/>
  <c r="AE1262" i="11"/>
  <c r="AE1263" i="11"/>
  <c r="AE1264" i="11"/>
  <c r="AE1265" i="11"/>
  <c r="AE1266" i="11"/>
  <c r="AE1267" i="11"/>
  <c r="AE1268" i="11"/>
  <c r="AE1269" i="11"/>
  <c r="AE1270" i="11"/>
  <c r="AE1271" i="11"/>
  <c r="AE1272" i="11"/>
  <c r="AE1273" i="11"/>
  <c r="AE1274" i="11"/>
  <c r="AE1275" i="11"/>
  <c r="AE1276" i="11"/>
  <c r="AE1277" i="11"/>
  <c r="AE1278" i="11"/>
  <c r="AE1279" i="11"/>
  <c r="AE1280" i="11"/>
  <c r="AE1281" i="11"/>
  <c r="AE1282" i="11"/>
  <c r="AE1283" i="11"/>
  <c r="AE1284" i="11"/>
  <c r="AE1285" i="11"/>
  <c r="AE1286" i="11"/>
  <c r="AE1287" i="11"/>
  <c r="AE1288" i="11"/>
  <c r="AE1289" i="11"/>
  <c r="AE1290" i="11"/>
  <c r="AE1291" i="11"/>
  <c r="AE1292" i="11"/>
  <c r="AE1293" i="11"/>
  <c r="AE1294" i="11"/>
  <c r="AE1295" i="11"/>
  <c r="AE1296" i="11"/>
  <c r="AE1297" i="11"/>
  <c r="AE1298" i="11"/>
  <c r="AE1299" i="11"/>
  <c r="AE1300" i="11"/>
  <c r="AE1301" i="11"/>
  <c r="AE1302" i="11"/>
  <c r="AE1303" i="11"/>
  <c r="AE1304" i="11"/>
  <c r="AE1305" i="11"/>
  <c r="AE1306" i="11"/>
  <c r="AE1307" i="11"/>
  <c r="AE1308" i="11"/>
  <c r="AE1309" i="11"/>
  <c r="AE1310" i="11"/>
  <c r="AE1311" i="11"/>
  <c r="AE1312" i="11"/>
  <c r="AE1313" i="11"/>
  <c r="AE1314" i="11"/>
  <c r="AE1315" i="11"/>
  <c r="AE1316" i="11"/>
  <c r="AE1317" i="11"/>
  <c r="AE1318" i="11"/>
  <c r="AE1319" i="11"/>
  <c r="AE1320" i="11"/>
  <c r="AE1321" i="11"/>
  <c r="AE1322" i="11"/>
  <c r="AE1323" i="11"/>
  <c r="AE1324" i="11"/>
  <c r="AE1325" i="11"/>
  <c r="AE1326" i="11"/>
  <c r="AE1327" i="11"/>
  <c r="AE1328" i="11"/>
  <c r="AE1329" i="11"/>
  <c r="AE1330" i="11"/>
  <c r="AE1331" i="11"/>
  <c r="AE1332" i="11"/>
  <c r="AE1333" i="11"/>
  <c r="AE1334" i="11"/>
  <c r="AE1335" i="11"/>
  <c r="AE1336" i="11"/>
  <c r="AE1337" i="11"/>
  <c r="AE1338" i="11"/>
  <c r="AE1339" i="11"/>
  <c r="AE1340" i="11"/>
  <c r="AE1341" i="11"/>
  <c r="AE1342" i="11"/>
  <c r="AE1343" i="11"/>
  <c r="AE1344" i="11"/>
  <c r="AE1345" i="11"/>
  <c r="AE1346" i="11"/>
  <c r="AE1347" i="11"/>
  <c r="AE1348" i="11"/>
  <c r="AE1349" i="11"/>
  <c r="AE1350" i="11"/>
  <c r="AE1351" i="11"/>
  <c r="AE1352" i="11"/>
  <c r="AE1353" i="11"/>
  <c r="AE1354" i="11"/>
  <c r="AE1355" i="11"/>
  <c r="AE1356" i="11"/>
  <c r="AE1357" i="11"/>
  <c r="AE1358" i="11"/>
  <c r="AE1359" i="11"/>
  <c r="AE1360" i="11"/>
  <c r="AE1361" i="11"/>
  <c r="AE1362" i="11"/>
  <c r="AE1363" i="11"/>
  <c r="AE1364" i="11"/>
  <c r="AE1365" i="11"/>
  <c r="AE1366" i="11"/>
  <c r="AE1367" i="11"/>
  <c r="AE1368" i="11"/>
  <c r="AE1369" i="11"/>
  <c r="AE1370" i="11"/>
  <c r="AE1371" i="11"/>
  <c r="AE1372" i="11"/>
  <c r="AE1373" i="11"/>
  <c r="AE1374" i="11"/>
  <c r="AE1375" i="11"/>
  <c r="AE1376" i="11"/>
  <c r="AE1377" i="11"/>
  <c r="AE1378" i="11"/>
  <c r="AE1379" i="11"/>
  <c r="AE1380" i="11"/>
  <c r="AE1381" i="11"/>
  <c r="AE1382" i="11"/>
  <c r="AE1383" i="11"/>
  <c r="AE1384" i="11"/>
  <c r="AE1385" i="11"/>
  <c r="AE1386" i="11"/>
  <c r="AE1387" i="11"/>
  <c r="AE1388" i="11"/>
  <c r="AE1389" i="11"/>
  <c r="AE1390" i="11"/>
  <c r="AE1391" i="11"/>
  <c r="AE1392" i="11"/>
  <c r="AE1393" i="11"/>
  <c r="AE1394" i="11"/>
  <c r="AE1395" i="11"/>
  <c r="AE1396" i="11"/>
  <c r="AE1397" i="11"/>
  <c r="AE1398" i="11"/>
  <c r="AE1399" i="11"/>
  <c r="AE1400" i="11"/>
  <c r="AE1401" i="11"/>
  <c r="AE1402" i="11"/>
  <c r="AE1403" i="11"/>
  <c r="AE1404" i="11"/>
  <c r="AE1405" i="11"/>
  <c r="AE1406" i="11"/>
  <c r="AE1407" i="11"/>
  <c r="AE1408" i="11"/>
  <c r="AE1409" i="11"/>
  <c r="AE1410" i="11"/>
  <c r="AE1411" i="11"/>
  <c r="AE1412" i="11"/>
  <c r="AE1413" i="11"/>
  <c r="AE1414" i="11"/>
  <c r="AE1415" i="11"/>
  <c r="AE1416" i="11"/>
  <c r="AE1417" i="11"/>
  <c r="AE1418" i="11"/>
  <c r="AE1419" i="11"/>
  <c r="AE1420" i="11"/>
  <c r="AE1421" i="11"/>
  <c r="AE1422" i="11"/>
  <c r="AE1423" i="11"/>
  <c r="AE1424" i="11"/>
  <c r="AE1425" i="11"/>
  <c r="AE1426" i="11"/>
  <c r="AE1427" i="11"/>
  <c r="AE1428" i="11"/>
  <c r="AE1429" i="11"/>
  <c r="AE1430" i="11"/>
  <c r="AE1431" i="11"/>
  <c r="AE1432" i="11"/>
  <c r="AE1433" i="11"/>
  <c r="AE1434" i="11"/>
  <c r="AE1435" i="11"/>
  <c r="AE1436" i="11"/>
  <c r="AE1437" i="11"/>
  <c r="AE1438" i="11"/>
  <c r="AE1439" i="11"/>
  <c r="AE1440" i="11"/>
  <c r="AE1441" i="11"/>
  <c r="AE1442" i="11"/>
  <c r="AE1443" i="11"/>
  <c r="AE1444" i="11"/>
  <c r="AE1445" i="11"/>
  <c r="AE1446" i="11"/>
  <c r="AE1447" i="11"/>
  <c r="AE1448" i="11"/>
  <c r="AE1449" i="11"/>
  <c r="AE1450" i="11"/>
  <c r="AE1451" i="11"/>
  <c r="AE1452" i="11"/>
  <c r="AE1453" i="11"/>
  <c r="AE1454" i="11"/>
  <c r="AE1455" i="11"/>
  <c r="AE1456" i="11"/>
  <c r="AE1457" i="11"/>
  <c r="AE1458" i="11"/>
  <c r="AE1459" i="11"/>
  <c r="AE1460" i="11"/>
  <c r="AE1461" i="11"/>
  <c r="AE1462" i="11"/>
  <c r="AE1463" i="11"/>
  <c r="AE1464" i="11"/>
  <c r="AE1465" i="11"/>
  <c r="AE1466" i="11"/>
  <c r="AE1467" i="11"/>
  <c r="AE1468" i="11"/>
  <c r="AE1469" i="11"/>
  <c r="AE1470" i="11"/>
  <c r="AE1471" i="11"/>
  <c r="AE1472" i="11"/>
  <c r="AE1473" i="11"/>
  <c r="AE1474" i="11"/>
  <c r="AE1475" i="11"/>
  <c r="AE1476" i="11"/>
  <c r="AE1477" i="11"/>
  <c r="AE1478" i="11"/>
  <c r="AE1479" i="11"/>
  <c r="AE1480" i="11"/>
  <c r="AE1481" i="11"/>
  <c r="AE1482" i="11"/>
  <c r="AE1483" i="11"/>
  <c r="AE1484" i="11"/>
  <c r="AE1485" i="11"/>
  <c r="AE1486" i="11"/>
  <c r="AE1487" i="11"/>
  <c r="AE1488" i="11"/>
  <c r="AE1489" i="11"/>
  <c r="AE1490" i="11"/>
  <c r="AE1491" i="11"/>
  <c r="AE1492" i="11"/>
  <c r="AE1493" i="11"/>
  <c r="AE1494" i="11"/>
  <c r="AE1495" i="11"/>
  <c r="AE1496" i="11"/>
  <c r="AE1497" i="11"/>
  <c r="AE1498" i="11"/>
  <c r="AE1499" i="11"/>
  <c r="AE1500" i="11"/>
  <c r="AE1501" i="11"/>
  <c r="AE1502" i="11"/>
  <c r="AE1503" i="11"/>
  <c r="AE1504" i="11"/>
  <c r="AE1505" i="11"/>
  <c r="AE1506" i="11"/>
  <c r="AE1507" i="11"/>
  <c r="AE1508" i="11"/>
  <c r="AE1509" i="11"/>
  <c r="AE1510" i="11"/>
  <c r="AE1511" i="11"/>
  <c r="AE1512" i="11"/>
  <c r="AE1513" i="11"/>
  <c r="AE1514" i="11"/>
  <c r="AE1515" i="11"/>
  <c r="AE1516" i="11"/>
  <c r="AE1517" i="11"/>
  <c r="AE1518" i="11"/>
  <c r="AE1519" i="11"/>
  <c r="AE1520" i="11"/>
  <c r="AE1521" i="11"/>
  <c r="AE1522" i="11"/>
  <c r="AE1523" i="11"/>
  <c r="AE1524" i="11"/>
  <c r="AE1525" i="11"/>
  <c r="AE1526" i="11"/>
  <c r="AE1527" i="11"/>
  <c r="AE1528" i="11"/>
  <c r="AE1529" i="11"/>
  <c r="AE1530" i="11"/>
  <c r="AE1531" i="11"/>
  <c r="AE1532" i="11"/>
  <c r="AE1533" i="11"/>
  <c r="AE1534" i="11"/>
  <c r="AE1535" i="11"/>
  <c r="AE1536" i="11"/>
  <c r="AE1537" i="11"/>
  <c r="AE1538" i="11"/>
  <c r="AE1539" i="11"/>
  <c r="AE1540" i="11"/>
  <c r="AE1541" i="11"/>
  <c r="AE1542" i="11"/>
  <c r="AE1543" i="11"/>
  <c r="AE1544" i="11"/>
  <c r="AE1545" i="11"/>
  <c r="AE1546" i="11"/>
  <c r="AE1547" i="11"/>
  <c r="AE1548" i="11"/>
  <c r="AE1549" i="11"/>
  <c r="AE1550" i="11"/>
  <c r="AE1551" i="11"/>
  <c r="AE1552" i="11"/>
  <c r="AE1553" i="11"/>
  <c r="AE1554" i="11"/>
  <c r="AE1555" i="11"/>
  <c r="AE1556" i="11"/>
  <c r="AE1557" i="11"/>
  <c r="AE1558" i="11"/>
  <c r="AE1559" i="11"/>
  <c r="AE1560" i="11"/>
  <c r="AE1561" i="11"/>
  <c r="AE1562" i="11"/>
  <c r="AE1563" i="11"/>
  <c r="AE1564" i="11"/>
  <c r="AE1565" i="11"/>
  <c r="AE1566" i="11"/>
  <c r="AE1567" i="11"/>
  <c r="AE1568" i="11"/>
  <c r="AE1569" i="11"/>
  <c r="AE1570" i="11"/>
  <c r="AE1571" i="11"/>
  <c r="AE1572" i="11"/>
  <c r="AE1573" i="11"/>
  <c r="AE1574" i="11"/>
  <c r="AE1575" i="11"/>
  <c r="AE1576" i="11"/>
  <c r="AE1577" i="11"/>
  <c r="AE1578" i="11"/>
  <c r="AE1579" i="11"/>
  <c r="AE1580" i="11"/>
  <c r="AE1581" i="11"/>
  <c r="AE1582" i="11"/>
  <c r="AE1583" i="11"/>
  <c r="AE1584" i="11"/>
  <c r="AE1585" i="11"/>
  <c r="AE1586" i="11"/>
  <c r="AE1587" i="11"/>
  <c r="AE1588" i="11"/>
  <c r="AE1589" i="11"/>
  <c r="AE1590" i="11"/>
  <c r="AE1591" i="11"/>
  <c r="AE1592" i="11"/>
  <c r="AE1593" i="11"/>
  <c r="AE1594" i="11"/>
  <c r="AE1595" i="11"/>
  <c r="AE1596" i="11"/>
  <c r="AE1597" i="11"/>
  <c r="AE1598" i="11"/>
  <c r="AE1599" i="11"/>
  <c r="AE1600" i="11"/>
  <c r="AE1601" i="11"/>
  <c r="AE1602" i="11"/>
  <c r="AE1603" i="11"/>
  <c r="AE1604" i="11"/>
  <c r="AE1605" i="11"/>
  <c r="AE1606" i="11"/>
  <c r="AE1607" i="11"/>
  <c r="AE1608" i="11"/>
  <c r="AE1609" i="11"/>
  <c r="AE1610" i="11"/>
  <c r="AE1611" i="11"/>
  <c r="AE1612" i="11"/>
  <c r="AE1613" i="11"/>
  <c r="AE1614" i="11"/>
  <c r="AE1615" i="11"/>
  <c r="AE1616" i="11"/>
  <c r="AE1617" i="11"/>
  <c r="AE1618" i="11"/>
  <c r="AE1619" i="11"/>
  <c r="AE1620" i="11"/>
  <c r="AE1621" i="11"/>
  <c r="AE1622" i="11"/>
  <c r="AE1623" i="11"/>
  <c r="AE1624" i="11"/>
  <c r="AE1625" i="11"/>
  <c r="AE1626" i="11"/>
  <c r="AE1627" i="11"/>
  <c r="AE1628" i="11"/>
  <c r="AE1629" i="11"/>
  <c r="AE1630" i="11"/>
  <c r="AE1631" i="11"/>
  <c r="AE1632" i="11"/>
  <c r="AE1633" i="11"/>
  <c r="AE1634" i="11"/>
  <c r="AE1635" i="11"/>
  <c r="AE1636" i="11"/>
  <c r="AE1637" i="11"/>
  <c r="AE1638" i="11"/>
  <c r="AE1639" i="11"/>
  <c r="AE1640" i="11"/>
  <c r="AE1641" i="11"/>
  <c r="AE1642" i="11"/>
  <c r="AE1643" i="11"/>
  <c r="AE1644" i="11"/>
  <c r="AE1645" i="11"/>
  <c r="AE1646" i="11"/>
  <c r="AE1647" i="11"/>
  <c r="AE1648" i="11"/>
  <c r="AE1649" i="11"/>
  <c r="AE1650" i="11"/>
  <c r="AE1651" i="11"/>
  <c r="AE1652" i="11"/>
  <c r="AE1653" i="11"/>
  <c r="AE1654" i="11"/>
  <c r="AE1655" i="11"/>
  <c r="AE1656" i="11"/>
  <c r="AE1657" i="11"/>
  <c r="AE1658" i="11"/>
  <c r="AE1659" i="11"/>
  <c r="AE1660" i="11"/>
  <c r="AE1661" i="11"/>
  <c r="AE1662" i="11"/>
  <c r="AE1663" i="11"/>
  <c r="AE1664" i="11"/>
  <c r="AE1665" i="11"/>
  <c r="AE1666" i="11"/>
  <c r="AE1667" i="11"/>
  <c r="AE1668" i="11"/>
  <c r="AE1669" i="11"/>
  <c r="AE1670" i="11"/>
  <c r="AE1671" i="11"/>
  <c r="AE1672" i="11"/>
  <c r="AE1673" i="11"/>
  <c r="AE1674" i="11"/>
  <c r="AE1675" i="11"/>
  <c r="AE1676" i="11"/>
  <c r="AE1677" i="11"/>
  <c r="AE1678" i="11"/>
  <c r="AE1679" i="11"/>
  <c r="AE1680" i="11"/>
  <c r="AE1681" i="11"/>
  <c r="AE1682" i="11"/>
  <c r="AE1683" i="11"/>
  <c r="AE1684" i="11"/>
  <c r="AE1685" i="11"/>
  <c r="AE1686" i="11"/>
  <c r="AE1687" i="11"/>
  <c r="AE1688" i="11"/>
  <c r="AE1689" i="11"/>
  <c r="AE1690" i="11"/>
  <c r="AE1691" i="11"/>
  <c r="AE1692" i="11"/>
  <c r="AE1693" i="11"/>
  <c r="AE1694" i="11"/>
  <c r="AE1695" i="11"/>
  <c r="AE1696" i="11"/>
  <c r="AE1697" i="11"/>
  <c r="AE1698" i="11"/>
  <c r="AE1699" i="11"/>
  <c r="AE1700" i="11"/>
  <c r="AE1701" i="11"/>
  <c r="AE1702" i="11"/>
  <c r="AE1703" i="11"/>
  <c r="AE1704" i="11"/>
  <c r="AE1705" i="11"/>
  <c r="AE1706" i="11"/>
  <c r="AE1707" i="11"/>
  <c r="AE1708" i="11"/>
  <c r="AE1709" i="11"/>
  <c r="AE1710" i="11"/>
  <c r="AE1711" i="11"/>
  <c r="AE1712" i="11"/>
  <c r="AE1713" i="11"/>
  <c r="AE1714" i="11"/>
  <c r="AE1715" i="11"/>
  <c r="AE1716" i="11"/>
  <c r="AE1717" i="11"/>
  <c r="AE1718" i="11"/>
  <c r="AE1719" i="11"/>
  <c r="AE1720" i="11"/>
  <c r="AE1721" i="11"/>
  <c r="AE1722" i="11"/>
  <c r="AE1723" i="11"/>
  <c r="AE1724" i="11"/>
  <c r="AE1725" i="11"/>
  <c r="AE1726" i="11"/>
  <c r="AE1727" i="11"/>
  <c r="AE1728" i="11"/>
  <c r="AE1729" i="11"/>
  <c r="AE1730" i="11"/>
  <c r="AE1731" i="11"/>
  <c r="AE1732" i="11"/>
  <c r="AE1733" i="11"/>
  <c r="AE1734" i="11"/>
  <c r="AE1735" i="11"/>
  <c r="AE1736" i="11"/>
  <c r="AE1737" i="11"/>
  <c r="AE1738" i="11"/>
  <c r="AE1739" i="11"/>
  <c r="AE1740" i="11"/>
  <c r="AE1741" i="11"/>
  <c r="AE1742" i="11"/>
  <c r="AE1743" i="11"/>
  <c r="AE1744" i="11"/>
  <c r="AE1745" i="11"/>
  <c r="AE1746" i="11"/>
  <c r="AE1747" i="11"/>
  <c r="AE1748" i="11"/>
  <c r="AE1749" i="11"/>
  <c r="AE1750" i="11"/>
  <c r="AE1751" i="11"/>
  <c r="AE1752" i="11"/>
  <c r="AE1753" i="11"/>
  <c r="AE1754" i="11"/>
  <c r="AE1755" i="11"/>
  <c r="AE1756" i="11"/>
  <c r="AE1757" i="11"/>
  <c r="AE1758" i="11"/>
  <c r="AE1759" i="11"/>
  <c r="AE1760" i="11"/>
  <c r="AE1761" i="11"/>
  <c r="AE1762" i="11"/>
  <c r="AE1763" i="11"/>
  <c r="AE1764" i="11"/>
  <c r="AE1765" i="11"/>
  <c r="AE1766" i="11"/>
  <c r="AE1767" i="11"/>
  <c r="AE1768" i="11"/>
  <c r="AE1769" i="11"/>
  <c r="AE1770" i="11"/>
  <c r="AE1771" i="11"/>
  <c r="AE1772" i="11"/>
  <c r="AE1773" i="11"/>
  <c r="AE1774" i="11"/>
  <c r="AE1775" i="11"/>
  <c r="AE1776" i="11"/>
  <c r="AE1777" i="11"/>
  <c r="AE1778" i="11"/>
  <c r="AE1779" i="11"/>
  <c r="AE1780" i="11"/>
  <c r="AE1781" i="11"/>
  <c r="AE1782" i="11"/>
  <c r="AE1783" i="11"/>
  <c r="AE1784" i="11"/>
  <c r="AE1785" i="11"/>
  <c r="AE1786" i="11"/>
  <c r="AE1787" i="11"/>
  <c r="AE1788" i="11"/>
  <c r="AE1789" i="11"/>
  <c r="AE1790" i="11"/>
  <c r="AE1791" i="11"/>
  <c r="AE1792" i="11"/>
  <c r="AE1793" i="11"/>
  <c r="AE1794" i="11"/>
  <c r="AE1795" i="11"/>
  <c r="AE1796" i="11"/>
  <c r="AE1797" i="11"/>
  <c r="AE1798" i="11"/>
  <c r="AE1799" i="11"/>
  <c r="AE1800" i="11"/>
  <c r="AE1801" i="11"/>
  <c r="AE1802" i="11"/>
  <c r="AE1803" i="11"/>
  <c r="AE1804" i="11"/>
  <c r="AE1805" i="11"/>
  <c r="AE1806" i="11"/>
  <c r="AE1807" i="11"/>
  <c r="AE1808" i="11"/>
  <c r="AE1809" i="11"/>
  <c r="AE1810" i="11"/>
  <c r="AE1811" i="11"/>
  <c r="AE1812" i="11"/>
  <c r="AE1813" i="11"/>
  <c r="AE1814" i="11"/>
  <c r="AE1815" i="11"/>
  <c r="AE1816" i="11"/>
  <c r="AE1817" i="11"/>
  <c r="AE1818" i="11"/>
  <c r="AE1819" i="11"/>
  <c r="AE1820" i="11"/>
  <c r="AE1821" i="11"/>
  <c r="AE1822" i="11"/>
  <c r="AE1823" i="11"/>
  <c r="AE1824" i="11"/>
  <c r="AE1825" i="11"/>
  <c r="AE1826" i="11"/>
  <c r="AE1827" i="11"/>
  <c r="AE1828" i="11"/>
  <c r="AE1829" i="11"/>
  <c r="AE1830" i="11"/>
  <c r="AE1831" i="11"/>
  <c r="AE1832" i="11"/>
  <c r="AE1833" i="11"/>
  <c r="AE1834" i="11"/>
  <c r="AE1835" i="11"/>
  <c r="AE1836" i="11"/>
  <c r="AE1837" i="11"/>
  <c r="AE1838" i="11"/>
  <c r="AE1839" i="11"/>
  <c r="AE1840" i="11"/>
  <c r="AE1841" i="11"/>
  <c r="AE1842" i="11"/>
  <c r="AE1843" i="11"/>
  <c r="AE1844" i="11"/>
  <c r="AE1845" i="11"/>
  <c r="AE1846" i="11"/>
  <c r="AE1847" i="11"/>
  <c r="AE1848" i="11"/>
  <c r="AE1849" i="11"/>
  <c r="AE1850" i="11"/>
  <c r="AE1851" i="11"/>
  <c r="AE1852" i="11"/>
  <c r="AE1853" i="11"/>
  <c r="AE1854" i="11"/>
  <c r="AE1855" i="11"/>
  <c r="AE1856" i="11"/>
  <c r="AE1857" i="11"/>
  <c r="AE1858" i="11"/>
  <c r="AE1859" i="11"/>
  <c r="AE1860" i="11"/>
  <c r="AE1861" i="11"/>
  <c r="AE1862" i="11"/>
  <c r="AE1863" i="11"/>
  <c r="AE1864" i="11"/>
  <c r="AE1865" i="11"/>
  <c r="AE1866" i="11"/>
  <c r="AE1867" i="11"/>
  <c r="AE1868" i="11"/>
  <c r="AE1869" i="11"/>
  <c r="AE1870" i="11"/>
  <c r="AE1871" i="11"/>
  <c r="AE1872" i="11"/>
  <c r="AE1873" i="11"/>
  <c r="AE1874" i="11"/>
  <c r="AE1875" i="11"/>
  <c r="AE1876" i="11"/>
  <c r="AE1877" i="11"/>
  <c r="AE1878" i="11"/>
  <c r="AE1879" i="11"/>
  <c r="AE1880" i="11"/>
  <c r="AE1881" i="11"/>
  <c r="AE1882" i="11"/>
  <c r="AE1883" i="11"/>
  <c r="AE1884" i="11"/>
  <c r="AE1885" i="11"/>
  <c r="AE1886" i="11"/>
  <c r="AE1887" i="11"/>
  <c r="AE1888" i="11"/>
  <c r="AE1889" i="11"/>
  <c r="AE1890" i="11"/>
  <c r="AE1891" i="11"/>
  <c r="AE1892" i="11"/>
  <c r="AE1893" i="11"/>
  <c r="AE1894" i="11"/>
  <c r="AE1895" i="11"/>
  <c r="AE1896" i="11"/>
  <c r="AE1897" i="11"/>
  <c r="AE1898" i="11"/>
  <c r="AE1899" i="11"/>
  <c r="AE1900" i="11"/>
  <c r="AE1901" i="11"/>
  <c r="AE1902" i="11"/>
  <c r="AE1903" i="11"/>
  <c r="AE1904" i="11"/>
  <c r="AE1905" i="11"/>
  <c r="AE1906" i="11"/>
  <c r="AE1907" i="11"/>
  <c r="AE1908" i="11"/>
  <c r="AE1909" i="11"/>
  <c r="AE1910" i="11"/>
  <c r="AE1911" i="11"/>
  <c r="AE1912" i="11"/>
  <c r="AE1913" i="11"/>
  <c r="AE1914" i="11"/>
  <c r="AE1915" i="11"/>
  <c r="AE1916" i="11"/>
  <c r="AE1917" i="11"/>
  <c r="AE1918" i="11"/>
  <c r="AE1919" i="11"/>
  <c r="AE1920" i="11"/>
  <c r="AE1921" i="11"/>
  <c r="AE1922" i="11"/>
  <c r="AE1923" i="11"/>
  <c r="AE1924" i="11"/>
  <c r="AE1925" i="11"/>
  <c r="AE1926" i="11"/>
  <c r="AE1927" i="11"/>
  <c r="AE1928" i="11"/>
  <c r="AE1929" i="11"/>
  <c r="AE1930" i="11"/>
  <c r="AE1931" i="11"/>
  <c r="AE1932" i="11"/>
  <c r="AE1933" i="11"/>
  <c r="AE1934" i="11"/>
  <c r="AE1935" i="11"/>
  <c r="AE1936" i="11"/>
  <c r="AE1937" i="11"/>
  <c r="AE1938" i="11"/>
  <c r="AE1939" i="11"/>
  <c r="AE1940" i="11"/>
  <c r="AE1941" i="11"/>
  <c r="AE1942" i="11"/>
  <c r="AE1943" i="11"/>
  <c r="AE1944" i="11"/>
  <c r="AE1945" i="11"/>
  <c r="AE1946" i="11"/>
  <c r="AE1947" i="11"/>
  <c r="AE1948" i="11"/>
  <c r="AE1949" i="11"/>
  <c r="AE1950" i="11"/>
  <c r="AE1951" i="11"/>
  <c r="AE1952" i="11"/>
  <c r="AE1953" i="11"/>
  <c r="AE1954" i="11"/>
  <c r="AE1955" i="11"/>
  <c r="AE1956" i="11"/>
  <c r="AE1957" i="11"/>
  <c r="AE1958" i="11"/>
  <c r="AE1959" i="11"/>
  <c r="AE1960" i="11"/>
  <c r="AE1961" i="11"/>
  <c r="AE1962" i="11"/>
  <c r="AE1963" i="11"/>
  <c r="AE1964" i="11"/>
  <c r="AE1965" i="11"/>
  <c r="AE1966" i="11"/>
  <c r="AE1967" i="11"/>
  <c r="AE1968" i="11"/>
  <c r="AE1969" i="11"/>
  <c r="AE1970" i="11"/>
  <c r="AE1971" i="11"/>
  <c r="AE1972" i="11"/>
  <c r="AE1973" i="11"/>
  <c r="AE1974" i="11"/>
  <c r="AE1975" i="11"/>
  <c r="AE1976" i="11"/>
  <c r="AE1977" i="11"/>
  <c r="AE1978" i="11"/>
  <c r="AE1979" i="11"/>
  <c r="AE1980" i="11"/>
  <c r="AE1981" i="11"/>
  <c r="AE1982" i="11"/>
  <c r="AE1983" i="11"/>
  <c r="AE1984" i="11"/>
  <c r="AE1985" i="11"/>
  <c r="AE1986" i="11"/>
  <c r="AE1987" i="11"/>
  <c r="AE1988" i="11"/>
  <c r="AE1989" i="11"/>
  <c r="AE1990" i="11"/>
  <c r="AE1991" i="11"/>
  <c r="AE1992" i="11"/>
  <c r="AE1993" i="11"/>
  <c r="AE1994" i="11"/>
  <c r="AE1995" i="11"/>
  <c r="AE1996" i="11"/>
  <c r="AE1997" i="11"/>
  <c r="AE1998" i="11"/>
  <c r="AE1999" i="11"/>
  <c r="AE2000" i="11"/>
  <c r="AE2001" i="11"/>
  <c r="AE2002" i="11"/>
  <c r="AE2003" i="11"/>
  <c r="AE2004" i="11"/>
  <c r="AE2005" i="11"/>
  <c r="AE2006" i="11"/>
  <c r="AE2007" i="11"/>
  <c r="AE2008" i="11"/>
  <c r="AE2009" i="11"/>
  <c r="AE2010" i="11"/>
  <c r="AE2011" i="11"/>
  <c r="AE2012" i="11"/>
  <c r="AE2013" i="11"/>
  <c r="AE2014" i="11"/>
  <c r="AE2015" i="11"/>
  <c r="AE2016" i="11"/>
  <c r="AE2017" i="11"/>
  <c r="AE2018" i="11"/>
  <c r="AE2019" i="11"/>
  <c r="AE2020" i="11"/>
  <c r="AE2021" i="11"/>
  <c r="AE2022" i="11"/>
  <c r="AE2023" i="11"/>
  <c r="AE2024" i="11"/>
  <c r="AE2025" i="11"/>
  <c r="AE2026" i="11"/>
  <c r="AE2027" i="11"/>
  <c r="AE2028" i="11"/>
  <c r="AE2029" i="11"/>
  <c r="AE2030" i="11"/>
  <c r="AE2031" i="11"/>
  <c r="AE2032" i="11"/>
  <c r="AE2033" i="11"/>
  <c r="AE2034" i="11"/>
  <c r="AE2035" i="11"/>
  <c r="AE2036" i="11"/>
  <c r="AE2037" i="11"/>
  <c r="AE2038" i="11"/>
  <c r="AE2039" i="11"/>
  <c r="AE2040" i="11"/>
  <c r="AE2041" i="11"/>
  <c r="AE2042" i="11"/>
  <c r="AE2043" i="11"/>
  <c r="AE2044" i="11"/>
  <c r="AE2045" i="11"/>
  <c r="AE2046" i="11"/>
  <c r="AE2047" i="11"/>
  <c r="AE2048" i="11"/>
  <c r="AE2049" i="11"/>
  <c r="AE2050" i="11"/>
  <c r="AE2051" i="11"/>
  <c r="AE2052" i="11"/>
  <c r="AE2053" i="11"/>
  <c r="AE2054" i="11"/>
  <c r="AE2055" i="11"/>
  <c r="AE2056" i="11"/>
  <c r="AE2057" i="11"/>
  <c r="AE2058" i="11"/>
  <c r="AE2059" i="11"/>
  <c r="AE2060" i="11"/>
  <c r="AE2061" i="11"/>
  <c r="AE2062" i="11"/>
  <c r="AE2063" i="11"/>
  <c r="AE2064" i="11"/>
  <c r="AE2065" i="11"/>
  <c r="AE2066" i="11"/>
  <c r="AE2067" i="11"/>
  <c r="AE2068" i="11"/>
  <c r="AE2069" i="11"/>
  <c r="AE2070" i="11"/>
  <c r="AE2071" i="11"/>
  <c r="AE2072" i="11"/>
  <c r="AE2073" i="11"/>
  <c r="AE2074" i="11"/>
  <c r="AE2075" i="11"/>
  <c r="AE2076" i="11"/>
  <c r="AE2077" i="11"/>
  <c r="AE2078" i="11"/>
  <c r="AE2079" i="11"/>
  <c r="AE2080" i="11"/>
  <c r="AE2081" i="11"/>
  <c r="AE2082" i="11"/>
  <c r="AE2083" i="11"/>
  <c r="AE2084" i="11"/>
  <c r="AE2085" i="11"/>
  <c r="AE2086" i="11"/>
  <c r="AE2087" i="11"/>
  <c r="AE2088" i="11"/>
  <c r="AE2089" i="11"/>
  <c r="AE2090" i="11"/>
  <c r="AE2091" i="11"/>
  <c r="AE2092" i="11"/>
  <c r="AE2093" i="11"/>
  <c r="AE2094" i="11"/>
  <c r="AE2095" i="11"/>
  <c r="AE2096" i="11"/>
  <c r="AE2097" i="11"/>
  <c r="AE2098" i="11"/>
  <c r="AE2099" i="11"/>
  <c r="AE2100" i="11"/>
  <c r="AE2101" i="11"/>
  <c r="AE2102" i="11"/>
  <c r="AE2103" i="11"/>
  <c r="AE2104" i="11"/>
  <c r="AE2105" i="11"/>
  <c r="AE2106" i="11"/>
  <c r="AE2107" i="11"/>
  <c r="AE2108" i="11"/>
  <c r="AE2109" i="11"/>
  <c r="AE2110" i="11"/>
  <c r="AE2111" i="11"/>
  <c r="AE2112" i="11"/>
  <c r="AE2113" i="11"/>
  <c r="AE2114" i="11"/>
  <c r="AE2115" i="11"/>
  <c r="AE2116" i="11"/>
  <c r="AE2117" i="11"/>
  <c r="AE2118" i="11"/>
  <c r="AE2119" i="11"/>
  <c r="AE2120" i="11"/>
  <c r="AE2121" i="11"/>
  <c r="AE2122" i="11"/>
  <c r="AE2123" i="11"/>
  <c r="AE2124" i="11"/>
  <c r="AE2125" i="11"/>
  <c r="AE2126" i="11"/>
  <c r="AE2127" i="11"/>
  <c r="AE2128" i="11"/>
  <c r="AE2129" i="11"/>
  <c r="AE2130" i="11"/>
  <c r="AE2131" i="11"/>
  <c r="AE2132" i="11"/>
  <c r="AE2133" i="11"/>
  <c r="AE2134" i="11"/>
  <c r="AE2135" i="11"/>
  <c r="AE2136" i="11"/>
  <c r="AE2137" i="11"/>
  <c r="AE2138" i="11"/>
  <c r="AE2139" i="11"/>
  <c r="AE2140" i="11"/>
  <c r="AE2141" i="11"/>
  <c r="AE2142" i="11"/>
  <c r="AE2143" i="11"/>
  <c r="AE2144" i="11"/>
  <c r="AE2145" i="11"/>
  <c r="AE2146" i="11"/>
  <c r="AE2147" i="11"/>
  <c r="AE2148" i="11"/>
  <c r="AE2149" i="11"/>
  <c r="AE2150" i="11"/>
  <c r="AE2151" i="11"/>
  <c r="AE2152" i="11"/>
  <c r="AE2153" i="11"/>
  <c r="AE2154" i="11"/>
  <c r="AE2155" i="11"/>
  <c r="AE2156" i="11"/>
  <c r="AE2157" i="11"/>
  <c r="AE2158" i="11"/>
  <c r="AE2159" i="11"/>
  <c r="AE2160" i="11"/>
  <c r="AE2161" i="11"/>
  <c r="AE2162" i="11"/>
  <c r="AE2163" i="11"/>
  <c r="AE2164" i="11"/>
  <c r="AE2165" i="11"/>
  <c r="AE2166" i="11"/>
  <c r="AE2167" i="11"/>
  <c r="AE2168" i="11"/>
  <c r="AE2169" i="11"/>
  <c r="AE2170" i="11"/>
  <c r="AE2171" i="11"/>
  <c r="AE2172" i="11"/>
  <c r="AE2173" i="11"/>
  <c r="AE2174" i="11"/>
  <c r="AE2175" i="11"/>
  <c r="AE2176" i="11"/>
  <c r="AE2177" i="11"/>
  <c r="AE2178" i="11"/>
  <c r="AE2179" i="11"/>
  <c r="AE2180" i="11"/>
  <c r="AE2181" i="11"/>
  <c r="AE2182" i="11"/>
  <c r="AE2183" i="11"/>
  <c r="AE2184" i="11"/>
  <c r="AE2185" i="11"/>
  <c r="AE2186" i="11"/>
  <c r="AE2187" i="11"/>
  <c r="AE2188" i="11"/>
  <c r="AE2189" i="11"/>
  <c r="AE2190" i="11"/>
  <c r="AE2191" i="11"/>
  <c r="AE2192" i="11"/>
  <c r="AE2193" i="11"/>
  <c r="AE2194" i="11"/>
  <c r="AE2195" i="11"/>
  <c r="AE2196" i="11"/>
  <c r="AE2197" i="11"/>
  <c r="AE2198" i="11"/>
  <c r="AE2199" i="11"/>
  <c r="AE2200" i="11"/>
  <c r="AE2201" i="11"/>
  <c r="AE2202" i="11"/>
  <c r="AE2203" i="11"/>
  <c r="AE2204" i="11"/>
  <c r="AE2205" i="11"/>
  <c r="AE2206" i="11"/>
  <c r="AE2207" i="11"/>
  <c r="AE2208" i="11"/>
  <c r="AE2209" i="11"/>
  <c r="AE2210" i="11"/>
  <c r="AE2211" i="11"/>
  <c r="AE2212" i="11"/>
  <c r="AE2213" i="11"/>
  <c r="AE2214" i="11"/>
  <c r="AE2215" i="11"/>
  <c r="AE2216" i="11"/>
  <c r="AE2217" i="11"/>
  <c r="AE2218" i="11"/>
  <c r="AE2219" i="11"/>
  <c r="AE2220" i="11"/>
  <c r="AE2221" i="11"/>
  <c r="AE2222" i="11"/>
  <c r="AE2223" i="11"/>
  <c r="AE2224" i="11"/>
  <c r="AE2225" i="11"/>
  <c r="AE2226" i="11"/>
  <c r="AE2227" i="11"/>
  <c r="AE2228" i="11"/>
  <c r="AE2229" i="11"/>
  <c r="AE2230" i="11"/>
  <c r="AE2231" i="11"/>
  <c r="AE2232" i="11"/>
  <c r="AE2233" i="11"/>
  <c r="AE2234" i="11"/>
  <c r="AE2235" i="11"/>
  <c r="AE2236" i="11"/>
  <c r="AE2237" i="11"/>
  <c r="AE2238" i="11"/>
  <c r="AE2239" i="11"/>
  <c r="AE2240" i="11"/>
  <c r="AE2241" i="11"/>
  <c r="AE2242" i="11"/>
  <c r="AE2243" i="11"/>
  <c r="AE2244" i="11"/>
  <c r="AE2245" i="11"/>
  <c r="AE2246" i="11"/>
  <c r="AE2247" i="11"/>
  <c r="AE2248" i="11"/>
  <c r="AE2249" i="11"/>
  <c r="AE2250" i="11"/>
  <c r="AE2251" i="11"/>
  <c r="AE2252" i="11"/>
  <c r="AE2253" i="11"/>
  <c r="AE2254" i="11"/>
  <c r="AE2255" i="11"/>
  <c r="AE2256" i="11"/>
  <c r="AE2257" i="11"/>
  <c r="AE2258" i="11"/>
  <c r="AE2259" i="11"/>
  <c r="AE2260" i="11"/>
  <c r="AE2261" i="11"/>
  <c r="AE2262" i="11"/>
  <c r="AE2263" i="11"/>
  <c r="AE2264" i="11"/>
  <c r="AE2265" i="11"/>
  <c r="AE2266" i="11"/>
  <c r="AE2267" i="11"/>
  <c r="AE2268" i="11"/>
  <c r="AE2269" i="11"/>
  <c r="AE2270" i="11"/>
  <c r="AE2271" i="11"/>
  <c r="AE2272" i="11"/>
  <c r="AE2273" i="11"/>
  <c r="AE2274" i="11"/>
  <c r="AE2275" i="11"/>
  <c r="AE2276" i="11"/>
  <c r="AE2277" i="11"/>
  <c r="AE2278" i="11"/>
  <c r="AE2279" i="11"/>
  <c r="AE2280" i="11"/>
  <c r="AE2281" i="11"/>
  <c r="AE2282" i="11"/>
  <c r="AE2283" i="11"/>
  <c r="AE2284" i="11"/>
  <c r="AE2285" i="11"/>
  <c r="AE2286" i="11"/>
  <c r="AE2287" i="11"/>
  <c r="AE2288" i="11"/>
  <c r="AE2289" i="11"/>
  <c r="AE2290" i="11"/>
  <c r="AE2291" i="11"/>
  <c r="AE2292" i="11"/>
  <c r="AE2293" i="11"/>
  <c r="AE2294" i="11"/>
  <c r="AE2295" i="11"/>
  <c r="AE2296" i="11"/>
  <c r="AE2297" i="11"/>
  <c r="AE2298" i="11"/>
  <c r="AE2299" i="11"/>
  <c r="AE2300" i="11"/>
  <c r="AE2301" i="11"/>
  <c r="AE2302" i="11"/>
  <c r="AE2303" i="11"/>
  <c r="AE2304" i="11"/>
  <c r="AE2305" i="11"/>
  <c r="AE2306" i="11"/>
  <c r="AE2307" i="11"/>
  <c r="AE2308" i="11"/>
  <c r="AE2309" i="11"/>
  <c r="AE2310" i="11"/>
  <c r="AE2311" i="11"/>
  <c r="AE2312" i="11"/>
  <c r="AE2313" i="11"/>
  <c r="AE2314" i="11"/>
  <c r="AE2315" i="11"/>
  <c r="AE2316" i="11"/>
  <c r="AE2317" i="11"/>
  <c r="AE2318" i="11"/>
  <c r="AE2319" i="11"/>
  <c r="AE2320" i="11"/>
  <c r="AE2321" i="11"/>
  <c r="AE2322" i="11"/>
  <c r="AE2323" i="11"/>
  <c r="AE2324" i="11"/>
  <c r="AE2325" i="11"/>
  <c r="AE2326" i="11"/>
  <c r="AE2327" i="11"/>
  <c r="AE2328" i="11"/>
  <c r="AE2329" i="11"/>
  <c r="AE2330" i="11"/>
  <c r="AE2331" i="11"/>
  <c r="AE2332" i="11"/>
  <c r="AE2333" i="11"/>
  <c r="AE2334" i="11"/>
  <c r="AE2335" i="11"/>
  <c r="AE2336" i="11"/>
  <c r="AE2337" i="11"/>
  <c r="AE2338" i="11"/>
  <c r="AE2339" i="11"/>
  <c r="AE2340" i="11"/>
  <c r="AE2341" i="11"/>
  <c r="AE2342" i="11"/>
  <c r="AE2343" i="11"/>
  <c r="AE2344" i="11"/>
  <c r="AE2345" i="11"/>
  <c r="AE2346" i="11"/>
  <c r="AE2347" i="11"/>
  <c r="AE2348" i="11"/>
  <c r="AE2349" i="11"/>
  <c r="AE2350" i="11"/>
  <c r="AE2351" i="11"/>
  <c r="AE2352" i="11"/>
  <c r="AE2353" i="11"/>
  <c r="AE2354" i="11"/>
  <c r="AE2355" i="11"/>
  <c r="AE2356" i="11"/>
  <c r="AE2357" i="11"/>
  <c r="AE2358" i="11"/>
  <c r="AE2359" i="11"/>
  <c r="AE2360" i="11"/>
  <c r="AE2361" i="11"/>
  <c r="AE2362" i="11"/>
  <c r="AE2363" i="11"/>
  <c r="AE2364" i="11"/>
  <c r="AE2365" i="11"/>
  <c r="AE2366" i="11"/>
  <c r="AE2367" i="11"/>
  <c r="AE2368" i="11"/>
  <c r="AE2369" i="11"/>
  <c r="AE2370" i="11"/>
  <c r="AE2371" i="11"/>
  <c r="AE2372" i="11"/>
  <c r="AE2373" i="11"/>
  <c r="AE2374" i="11"/>
  <c r="AE2375" i="11"/>
  <c r="AE2376" i="11"/>
  <c r="AE2377" i="11"/>
  <c r="AE2378" i="11"/>
  <c r="AE2379" i="11"/>
  <c r="AE2380" i="11"/>
  <c r="AE2381" i="11"/>
  <c r="AE2382" i="11"/>
  <c r="AE2383" i="11"/>
  <c r="AE2384" i="11"/>
  <c r="AE2385" i="11"/>
  <c r="AE2386" i="11"/>
  <c r="AE2387" i="11"/>
  <c r="AE2388" i="11"/>
  <c r="AE2389" i="11"/>
  <c r="AE2390" i="11"/>
  <c r="AE2391" i="11"/>
  <c r="AE2392" i="11"/>
  <c r="AE2393" i="11"/>
  <c r="AE2394" i="11"/>
  <c r="AE2395" i="11"/>
  <c r="AE2396" i="11"/>
  <c r="AE2397" i="11"/>
  <c r="AE2398" i="11"/>
  <c r="AE2399" i="11"/>
  <c r="AE2400" i="11"/>
  <c r="AE2401" i="11"/>
  <c r="AE2402" i="11"/>
  <c r="AE2403" i="11"/>
  <c r="AE2404" i="11"/>
  <c r="AE2405" i="11"/>
  <c r="AE2406" i="11"/>
  <c r="AE2407" i="11"/>
  <c r="AE2408" i="11"/>
  <c r="AE2409" i="11"/>
  <c r="AE2410" i="11"/>
  <c r="AE2411" i="11"/>
  <c r="AE2412" i="11"/>
  <c r="AE2413" i="11"/>
  <c r="AE2414" i="11"/>
  <c r="AE2415" i="11"/>
  <c r="AE2416" i="11"/>
  <c r="AE2417" i="11"/>
  <c r="AE2418" i="11"/>
  <c r="AE2419" i="11"/>
  <c r="AE2420" i="11"/>
  <c r="AE2421" i="11"/>
  <c r="AE2422" i="11"/>
  <c r="AE2423" i="11"/>
  <c r="AE2424" i="11"/>
  <c r="AE2425" i="11"/>
  <c r="AE2426" i="11"/>
  <c r="AE2427" i="11"/>
  <c r="AE2428" i="11"/>
  <c r="AE2429" i="11"/>
  <c r="AE2430" i="11"/>
  <c r="AE2431" i="11"/>
  <c r="AE2432" i="11"/>
  <c r="AE2433" i="11"/>
  <c r="AE2434" i="11"/>
  <c r="AE2435" i="11"/>
  <c r="AE2436" i="11"/>
  <c r="AE2437" i="11"/>
  <c r="AE2438" i="11"/>
  <c r="AE2439" i="11"/>
  <c r="AE2440" i="11"/>
  <c r="AE2441" i="11"/>
  <c r="AE2442" i="11"/>
  <c r="AE2443" i="11"/>
  <c r="AE2444" i="11"/>
  <c r="AE2445" i="11"/>
  <c r="AE2446" i="11"/>
  <c r="AE2447" i="11"/>
  <c r="AE2448" i="11"/>
  <c r="AE2449" i="11"/>
  <c r="AE2450" i="11"/>
  <c r="AE2451" i="11"/>
  <c r="AE2452" i="11"/>
  <c r="AE2453" i="11"/>
  <c r="AE2454" i="11"/>
  <c r="AE2455" i="11"/>
  <c r="AE2456" i="11"/>
  <c r="AE2457" i="11"/>
  <c r="AE2458" i="11"/>
  <c r="AE2459" i="11"/>
  <c r="AE2460" i="11"/>
  <c r="AE2461" i="11"/>
  <c r="AE2462" i="11"/>
  <c r="AE2463" i="11"/>
  <c r="AE2464" i="11"/>
  <c r="AE2465" i="11"/>
  <c r="AE2466" i="11"/>
  <c r="AE2467" i="11"/>
  <c r="AE2468" i="11"/>
  <c r="AE2469" i="11"/>
  <c r="AE2470" i="11"/>
  <c r="AE2471" i="11"/>
  <c r="AE2472" i="11"/>
  <c r="AE2473" i="11"/>
  <c r="AE2474" i="11"/>
  <c r="AE2475" i="11"/>
  <c r="AE2476" i="11"/>
  <c r="AE2477" i="11"/>
  <c r="AE2478" i="11"/>
  <c r="AE2479" i="11"/>
  <c r="AE2480" i="11"/>
  <c r="AE2481" i="11"/>
  <c r="AE2482" i="11"/>
  <c r="AE2483" i="11"/>
  <c r="AE2484" i="11"/>
  <c r="AE2485" i="11"/>
  <c r="AE2486" i="11"/>
  <c r="AE2487" i="11"/>
  <c r="AE2488" i="11"/>
  <c r="AE2489" i="11"/>
  <c r="AE2490" i="11"/>
  <c r="AE2491" i="11"/>
  <c r="AE2492" i="11"/>
  <c r="AE2493" i="11"/>
  <c r="AE2494" i="11"/>
  <c r="AE2495" i="11"/>
  <c r="AE2496" i="11"/>
  <c r="AE2497" i="11"/>
  <c r="AE2498" i="11"/>
  <c r="AE2499" i="11"/>
  <c r="AE2500" i="11"/>
  <c r="AE2501" i="11"/>
  <c r="AE2502" i="11"/>
  <c r="AE2503" i="11"/>
  <c r="AE2504" i="11"/>
  <c r="AE2505" i="11"/>
  <c r="AE2506" i="11"/>
  <c r="AE2507" i="11"/>
  <c r="AE2508" i="11"/>
  <c r="AE2509" i="11"/>
  <c r="AE2510" i="11"/>
  <c r="AE2511" i="11"/>
  <c r="AE2512" i="11"/>
  <c r="AE2513" i="11"/>
  <c r="AE2514" i="11"/>
  <c r="AE2515" i="11"/>
  <c r="AE2516" i="11"/>
  <c r="AE2517" i="11"/>
  <c r="AE2518" i="11"/>
  <c r="AE2519" i="11"/>
  <c r="AE2520" i="11"/>
  <c r="AE2521" i="11"/>
  <c r="AE2522" i="11"/>
  <c r="AE2523" i="11"/>
  <c r="AE2524" i="11"/>
  <c r="AE2525" i="11"/>
  <c r="AE2526" i="11"/>
  <c r="AE2527" i="11"/>
  <c r="AE2528" i="11"/>
  <c r="AE2529" i="11"/>
  <c r="AE2530" i="11"/>
  <c r="AE2531" i="11"/>
  <c r="AE2532" i="11"/>
  <c r="AE2533" i="11"/>
  <c r="AE2534" i="11"/>
  <c r="AE2535" i="11"/>
  <c r="AE2536" i="11"/>
  <c r="AE2537" i="11"/>
  <c r="AE2538" i="11"/>
  <c r="AE2539" i="11"/>
  <c r="AE2540" i="11"/>
  <c r="AE2541" i="11"/>
  <c r="AE2542" i="11"/>
  <c r="AE2543" i="11"/>
  <c r="AE2544" i="11"/>
  <c r="AE2545" i="11"/>
  <c r="AE2546" i="11"/>
  <c r="AE2547" i="11"/>
  <c r="AE2548" i="11"/>
  <c r="AE2549" i="11"/>
  <c r="AE2550" i="11"/>
  <c r="AE2551" i="11"/>
  <c r="AE2552" i="11"/>
  <c r="AE2553" i="11"/>
  <c r="AE2554" i="11"/>
  <c r="AE2555" i="11"/>
  <c r="AE2556" i="11"/>
  <c r="AE2557" i="11"/>
  <c r="AE2558" i="11"/>
  <c r="AE2559" i="11"/>
  <c r="AE2560" i="11"/>
  <c r="AE2561" i="11"/>
  <c r="AE2562" i="11"/>
  <c r="AE2563" i="11"/>
  <c r="AE2564" i="11"/>
  <c r="AE2565" i="11"/>
  <c r="AE2566" i="11"/>
  <c r="AE2567" i="11"/>
  <c r="AE2568" i="11"/>
  <c r="AE2569" i="11"/>
  <c r="AE2570" i="11"/>
  <c r="AE2571" i="11"/>
  <c r="AE2572" i="11"/>
  <c r="AE2573" i="11"/>
  <c r="AE2574" i="11"/>
  <c r="AE2575" i="11"/>
  <c r="AE2576" i="11"/>
  <c r="AE2577" i="11"/>
  <c r="AE2578" i="11"/>
  <c r="AE2579" i="11"/>
  <c r="AE2580" i="11"/>
  <c r="AE2581" i="11"/>
  <c r="AE2582" i="11"/>
  <c r="AE2583" i="11"/>
  <c r="AE2584" i="11"/>
  <c r="AE2585" i="11"/>
  <c r="AE2586" i="11"/>
  <c r="AE2587" i="11"/>
  <c r="AE2588" i="11"/>
  <c r="AE2589" i="11"/>
  <c r="AE2590" i="11"/>
  <c r="AE2591" i="11"/>
  <c r="AE2592" i="11"/>
  <c r="AE2593" i="11"/>
  <c r="AE2594" i="11"/>
  <c r="AE2595" i="11"/>
  <c r="AE2596" i="11"/>
  <c r="AE2597" i="11"/>
  <c r="AE2598" i="11"/>
  <c r="AE2599" i="11"/>
  <c r="AE2600" i="11"/>
  <c r="AE2601" i="11"/>
  <c r="AE2602" i="11"/>
  <c r="AE2603" i="11"/>
  <c r="AE2604" i="11"/>
  <c r="AE2605" i="11"/>
  <c r="AE2606" i="11"/>
  <c r="AE2607" i="11"/>
  <c r="AE2608" i="11"/>
  <c r="AE2609" i="11"/>
  <c r="AE2610" i="11"/>
  <c r="AE2611" i="11"/>
  <c r="AE2612" i="11"/>
  <c r="AE2613" i="11"/>
  <c r="AE2614" i="11"/>
  <c r="AE2615" i="11"/>
  <c r="AE2616" i="11"/>
  <c r="AE2617" i="11"/>
  <c r="AE2618" i="11"/>
  <c r="AE2619" i="11"/>
  <c r="AE2620" i="11"/>
  <c r="AE2621" i="11"/>
  <c r="AE2622" i="11"/>
  <c r="AE2623" i="11"/>
  <c r="AE2624" i="11"/>
  <c r="AE2625" i="11"/>
  <c r="AE2626" i="11"/>
  <c r="AE2627" i="11"/>
  <c r="AE2628" i="11"/>
  <c r="AE2629" i="11"/>
  <c r="AE2630" i="11"/>
  <c r="AE2631" i="11"/>
  <c r="AE2632" i="11"/>
  <c r="AE2633" i="11"/>
  <c r="AE2634" i="11"/>
  <c r="AE2635" i="11"/>
  <c r="AE2636" i="11"/>
  <c r="AE2637" i="11"/>
  <c r="AE2638" i="11"/>
  <c r="AE2639" i="11"/>
  <c r="AE2640" i="11"/>
  <c r="AE2641" i="11"/>
  <c r="AE2642" i="11"/>
  <c r="AE2643" i="11"/>
  <c r="AE2644" i="11"/>
  <c r="AE2645" i="11"/>
  <c r="AE2646" i="11"/>
  <c r="AE2647" i="11"/>
  <c r="AE2648" i="11"/>
  <c r="AE2649" i="11"/>
  <c r="AE2650" i="11"/>
  <c r="AE2651" i="11"/>
  <c r="AE2652" i="11"/>
  <c r="AE2653" i="11"/>
  <c r="AE2654" i="11"/>
  <c r="AE2655" i="11"/>
  <c r="AE2656" i="11"/>
  <c r="AE2657" i="11"/>
  <c r="AE2658" i="11"/>
  <c r="AE2659" i="11"/>
  <c r="AE2660" i="11"/>
  <c r="AE2661" i="11"/>
  <c r="AE2662" i="11"/>
  <c r="AE2663" i="11"/>
  <c r="AE2664" i="11"/>
  <c r="AE2665" i="11"/>
  <c r="AE2666" i="11"/>
  <c r="AE2667" i="11"/>
  <c r="AE2668" i="11"/>
  <c r="AE2669" i="11"/>
  <c r="AE2670" i="11"/>
  <c r="AE2671" i="11"/>
  <c r="AE2672" i="11"/>
  <c r="AE2673" i="11"/>
  <c r="AE2674" i="11"/>
  <c r="AE2675" i="11"/>
  <c r="AE2676" i="11"/>
  <c r="AE2677" i="11"/>
  <c r="AE2678" i="11"/>
  <c r="AE2679" i="11"/>
  <c r="AE2680" i="11"/>
  <c r="AE2681" i="11"/>
  <c r="AE2682" i="11"/>
  <c r="AE2683" i="11"/>
  <c r="AE2684" i="11"/>
  <c r="AE2685" i="11"/>
  <c r="AE2686" i="11"/>
  <c r="AE2687" i="11"/>
  <c r="AE2688" i="11"/>
  <c r="AE2689" i="11"/>
  <c r="AE2690" i="11"/>
  <c r="AE2691" i="11"/>
  <c r="AE2692" i="11"/>
  <c r="AE2693" i="11"/>
  <c r="AE2694" i="11"/>
  <c r="AE2695" i="11"/>
  <c r="AE2696" i="11"/>
  <c r="AE2697" i="11"/>
  <c r="AE2698" i="11"/>
  <c r="AE2699" i="11"/>
  <c r="AE2700" i="11"/>
  <c r="AE2701" i="11"/>
  <c r="AE2702" i="11"/>
  <c r="AE2703" i="11"/>
  <c r="AE2704" i="11"/>
  <c r="AE2705" i="11"/>
  <c r="AE2706" i="11"/>
  <c r="AE2707" i="11"/>
  <c r="AE2708" i="11"/>
  <c r="AE2709" i="11"/>
  <c r="AE2710" i="11"/>
  <c r="AE2711" i="11"/>
  <c r="AE2712" i="11"/>
  <c r="AE2713" i="11"/>
  <c r="AE2714" i="11"/>
  <c r="AE2715" i="11"/>
  <c r="AE2716" i="11"/>
  <c r="AE2717" i="11"/>
  <c r="AE2718" i="11"/>
  <c r="AE2719" i="11"/>
  <c r="AE2720" i="11"/>
  <c r="AE2721" i="11"/>
  <c r="AE2722" i="11"/>
  <c r="AE2723" i="11"/>
  <c r="AE2724" i="11"/>
  <c r="AE2725" i="11"/>
  <c r="AE2726" i="11"/>
  <c r="AE2727" i="11"/>
  <c r="AE2728" i="11"/>
  <c r="AE2729" i="11"/>
  <c r="AE2730" i="11"/>
  <c r="AE2731" i="11"/>
  <c r="AE2732" i="11"/>
  <c r="AE2733" i="11"/>
  <c r="AE2734" i="11"/>
  <c r="AE2735" i="11"/>
  <c r="AE2736" i="11"/>
  <c r="AE2737" i="11"/>
  <c r="AE2738" i="11"/>
  <c r="AE2739" i="11"/>
  <c r="AE2740" i="11"/>
  <c r="AE2741" i="11"/>
  <c r="AE2742" i="11"/>
  <c r="AE2743" i="11"/>
  <c r="AE2744" i="11"/>
  <c r="AE2745" i="11"/>
  <c r="AE2746" i="11"/>
  <c r="AE2747" i="11"/>
  <c r="AE2748" i="11"/>
  <c r="AE2749" i="11"/>
  <c r="AE2750" i="11"/>
  <c r="AE2751" i="11"/>
  <c r="AE2752" i="11"/>
  <c r="AE2753" i="11"/>
  <c r="AE2754" i="11"/>
  <c r="AE2755" i="11"/>
  <c r="AE2756" i="11"/>
  <c r="AE2757" i="11"/>
  <c r="AE2758" i="11"/>
  <c r="AE2759" i="11"/>
  <c r="AE2760" i="11"/>
  <c r="AE2761" i="11"/>
  <c r="AE2762" i="11"/>
  <c r="AE2763" i="11"/>
  <c r="AE2764" i="11"/>
  <c r="AE2765" i="11"/>
  <c r="AE2766" i="11"/>
  <c r="AE2767" i="11"/>
  <c r="AE2768" i="11"/>
  <c r="AE2769" i="11"/>
  <c r="AE2770" i="11"/>
  <c r="AE2771" i="11"/>
  <c r="AE2772" i="11"/>
  <c r="AE2773" i="11"/>
  <c r="AE2774" i="11"/>
  <c r="AE2775" i="11"/>
  <c r="AE2776" i="11"/>
  <c r="AE2777" i="11"/>
  <c r="AE2778" i="11"/>
  <c r="AE2779" i="11"/>
  <c r="AE2780" i="11"/>
  <c r="AE2781" i="11"/>
  <c r="AE2782" i="11"/>
  <c r="AE2783" i="11"/>
  <c r="AE2784" i="11"/>
  <c r="AE2785" i="11"/>
  <c r="AE2786" i="11"/>
  <c r="AE2787" i="11"/>
  <c r="AE2788" i="11"/>
  <c r="AE2789" i="11"/>
  <c r="AE2790" i="11"/>
  <c r="AE2791" i="11"/>
  <c r="AE2792" i="11"/>
  <c r="AE2793" i="11"/>
  <c r="AE2794" i="11"/>
  <c r="AE2795" i="11"/>
  <c r="AE2796" i="11"/>
  <c r="AE2797" i="11"/>
  <c r="AE2798" i="11"/>
  <c r="AE2799" i="11"/>
  <c r="AE2800" i="11"/>
  <c r="AE2801" i="11"/>
  <c r="AE2802" i="11"/>
  <c r="AE2803" i="11"/>
  <c r="AE2804" i="11"/>
  <c r="AE2805" i="11"/>
  <c r="AE2806" i="11"/>
  <c r="AE2807" i="11"/>
  <c r="AE2808" i="11"/>
  <c r="AE2809" i="11"/>
  <c r="AE2810" i="11"/>
  <c r="AE2811" i="11"/>
  <c r="AE2812" i="11"/>
  <c r="AE2813" i="11"/>
  <c r="AE2814" i="11"/>
  <c r="AE2815" i="11"/>
  <c r="AE2816" i="11"/>
  <c r="AE2817" i="11"/>
  <c r="AE2818" i="11"/>
  <c r="AE2819" i="11"/>
  <c r="AE2820" i="11"/>
  <c r="AE2821" i="11"/>
  <c r="AE2822" i="11"/>
  <c r="AE2823" i="11"/>
  <c r="AE2824" i="11"/>
  <c r="AE2825" i="11"/>
  <c r="AE2826" i="11"/>
  <c r="AE2827" i="11"/>
  <c r="AE2828" i="11"/>
  <c r="AE2829" i="11"/>
  <c r="AE2830" i="11"/>
  <c r="AE2831" i="11"/>
  <c r="AE2832" i="11"/>
  <c r="AE2833" i="11"/>
  <c r="AE2834" i="11"/>
  <c r="AE2835" i="11"/>
  <c r="AE2836" i="11"/>
  <c r="AE2837" i="11"/>
  <c r="AE2838" i="11"/>
  <c r="AE2839" i="11"/>
  <c r="AE2840" i="11"/>
  <c r="AE2841" i="11"/>
  <c r="AE2842" i="11"/>
  <c r="AE2843" i="11"/>
  <c r="AE2844" i="11"/>
  <c r="AE2845" i="11"/>
  <c r="AE2846" i="11"/>
  <c r="AE2847" i="11"/>
  <c r="AE2848" i="11"/>
  <c r="AE2849" i="11"/>
  <c r="AE2850" i="11"/>
  <c r="AE2851" i="11"/>
  <c r="AE2852" i="11"/>
  <c r="AE2853" i="11"/>
  <c r="AE2854" i="11"/>
  <c r="AE2855" i="11"/>
  <c r="AE2856" i="11"/>
  <c r="AE2857" i="11"/>
  <c r="AE2858" i="11"/>
  <c r="AE2859" i="11"/>
  <c r="AE2860" i="11"/>
  <c r="AE2861" i="11"/>
  <c r="AE2862" i="11"/>
  <c r="AE2863" i="11"/>
  <c r="AE2864" i="11"/>
  <c r="AE2865" i="11"/>
  <c r="AE2866" i="11"/>
  <c r="AE2867" i="11"/>
  <c r="AE2868" i="11"/>
  <c r="AE2869" i="11"/>
  <c r="AE2870" i="11"/>
  <c r="AE2871" i="11"/>
  <c r="AE2872" i="11"/>
  <c r="AE2873" i="11"/>
  <c r="AE2874" i="11"/>
  <c r="AE2875" i="11"/>
  <c r="AE2876" i="11"/>
  <c r="AE2877" i="11"/>
  <c r="AE2878" i="11"/>
  <c r="AE2879" i="11"/>
  <c r="AE2880" i="11"/>
  <c r="AE2881" i="11"/>
  <c r="AE2882" i="11"/>
  <c r="AE2883" i="11"/>
  <c r="AE2884" i="11"/>
  <c r="AE2885" i="11"/>
  <c r="AE2886" i="11"/>
  <c r="AE2887" i="11"/>
  <c r="AE2888" i="11"/>
  <c r="AE2889" i="11"/>
  <c r="AE2890" i="11"/>
  <c r="AE2891" i="11"/>
  <c r="AE2892" i="11"/>
  <c r="AE2893" i="11"/>
  <c r="AE2894" i="11"/>
  <c r="AE2895" i="11"/>
  <c r="AE2896" i="11"/>
  <c r="AE2897" i="11"/>
  <c r="AE2898" i="11"/>
  <c r="AE2899" i="11"/>
  <c r="AE2900" i="11"/>
  <c r="AE2901" i="11"/>
  <c r="AE2902" i="11"/>
  <c r="AE2903" i="11"/>
  <c r="AE2904" i="11"/>
  <c r="AE2905" i="11"/>
  <c r="AE2906" i="11"/>
  <c r="AE2907" i="11"/>
  <c r="AE2908" i="11"/>
  <c r="AE2909" i="11"/>
  <c r="AE2910" i="11"/>
  <c r="AE2911" i="11"/>
  <c r="AE2912" i="11"/>
  <c r="AE2913" i="11"/>
  <c r="AE2914" i="11"/>
  <c r="AE2915" i="11"/>
  <c r="AE2916" i="11"/>
  <c r="AE2917" i="11"/>
  <c r="AE2918" i="11"/>
  <c r="AE2919" i="11"/>
  <c r="AE2920" i="11"/>
  <c r="AE2921" i="11"/>
  <c r="AE2922" i="11"/>
  <c r="AE2923" i="11"/>
  <c r="AE2924" i="11"/>
  <c r="AE2925" i="11"/>
  <c r="AE2926" i="11"/>
  <c r="AE2927" i="11"/>
  <c r="AE2928" i="11"/>
  <c r="AE2929" i="11"/>
  <c r="AE2930" i="11"/>
  <c r="AE2931" i="11"/>
  <c r="AE2932" i="11"/>
  <c r="AE2933" i="11"/>
  <c r="AE2934" i="11"/>
  <c r="AE2935" i="11"/>
  <c r="AE2936" i="11"/>
  <c r="AE2937" i="11"/>
  <c r="AE2938" i="11"/>
  <c r="AE2939" i="11"/>
  <c r="AE2940" i="11"/>
  <c r="AE2941" i="11"/>
  <c r="AE2942" i="11"/>
  <c r="AE2943" i="11"/>
  <c r="AE2944" i="11"/>
  <c r="AE2945" i="11"/>
  <c r="AE2946" i="11"/>
  <c r="AE2947" i="11"/>
  <c r="AE2948" i="11"/>
  <c r="AE2949" i="11"/>
  <c r="AE2950" i="11"/>
  <c r="AE2951" i="11"/>
  <c r="AE2952" i="11"/>
  <c r="AE2953" i="11"/>
  <c r="AE2954" i="11"/>
  <c r="AE2955" i="11"/>
  <c r="AE2956" i="11"/>
  <c r="AE2957" i="11"/>
  <c r="AE2958" i="11"/>
  <c r="AE2959" i="11"/>
  <c r="AE2960" i="11"/>
  <c r="AE2961" i="11"/>
  <c r="AE2962" i="11"/>
  <c r="AE2963" i="11"/>
  <c r="AE2964" i="11"/>
  <c r="AE2965" i="11"/>
  <c r="AE2966" i="11"/>
  <c r="AE2967" i="11"/>
  <c r="AE2968" i="11"/>
  <c r="AE2969" i="11"/>
  <c r="AE2970" i="11"/>
  <c r="AE2971" i="11"/>
  <c r="AE2972" i="11"/>
  <c r="AE2973" i="11"/>
  <c r="AE2974" i="11"/>
  <c r="AE2975" i="11"/>
  <c r="AE2976" i="11"/>
  <c r="AE2977" i="11"/>
  <c r="AE2978" i="11"/>
  <c r="AE2979" i="11"/>
  <c r="AE2980" i="11"/>
  <c r="AE2981" i="11"/>
  <c r="AE2982" i="11"/>
  <c r="AE2983" i="11"/>
  <c r="AE2984" i="11"/>
  <c r="AE2985" i="11"/>
  <c r="AE2986" i="11"/>
  <c r="AE2987" i="11"/>
  <c r="AE2988" i="11"/>
  <c r="AE2989" i="11"/>
  <c r="AE2990" i="11"/>
  <c r="AE2991" i="11"/>
  <c r="AE2992" i="11"/>
  <c r="AE2993" i="11"/>
  <c r="AE2994" i="11"/>
  <c r="AE2995" i="11"/>
  <c r="AE2996" i="11"/>
  <c r="AE2997" i="11"/>
  <c r="AE2998" i="11"/>
  <c r="AE2999" i="11"/>
  <c r="AE3000" i="11"/>
  <c r="AE3001" i="11"/>
  <c r="AE3002" i="11"/>
  <c r="AE3003" i="11"/>
  <c r="AE3004" i="11"/>
  <c r="AE3005" i="11"/>
  <c r="AE3006" i="11"/>
  <c r="AE3007" i="11"/>
  <c r="AE3008" i="11"/>
  <c r="AE3009" i="11"/>
  <c r="AE3010" i="11"/>
  <c r="AE3011" i="11"/>
  <c r="AE3012" i="11"/>
  <c r="AE3013" i="11"/>
  <c r="AE3014" i="11"/>
  <c r="AE15" i="11"/>
  <c r="C16" i="8"/>
  <c r="G1226" i="18" l="1"/>
  <c r="D1257" i="18"/>
  <c r="B1194" i="18"/>
  <c r="B1195" i="18" s="1"/>
  <c r="B1196" i="18" s="1"/>
  <c r="B1197" i="18" s="1"/>
  <c r="B1198" i="18" s="1"/>
  <c r="B1199" i="18" s="1"/>
  <c r="B1200" i="18" s="1"/>
  <c r="B1201" i="18" s="1"/>
  <c r="B1202" i="18" s="1"/>
  <c r="B1203" i="18" s="1"/>
  <c r="B1204" i="18" s="1"/>
  <c r="B1205" i="18" s="1"/>
  <c r="B1206" i="18" s="1"/>
  <c r="B1207" i="18" s="1"/>
  <c r="B1208" i="18" s="1"/>
  <c r="B1209" i="18" s="1"/>
  <c r="B1210" i="18" s="1"/>
  <c r="B1211" i="18" s="1"/>
  <c r="B1212" i="18" s="1"/>
  <c r="B1213" i="18" s="1"/>
  <c r="B1214" i="18" s="1"/>
  <c r="B1215" i="18" s="1"/>
  <c r="B1216" i="18" s="1"/>
  <c r="B1217" i="18" s="1"/>
  <c r="B1218" i="18" s="1"/>
  <c r="B1219" i="18" s="1"/>
  <c r="B1220" i="18" s="1"/>
  <c r="B1221" i="18" s="1"/>
  <c r="B1222" i="18" s="1"/>
  <c r="B1223" i="18" s="1"/>
  <c r="B1224" i="18" s="1"/>
  <c r="T1216" i="18"/>
  <c r="T1215" i="18"/>
  <c r="T1213" i="18"/>
  <c r="N1199" i="18"/>
  <c r="T1217" i="18"/>
  <c r="O1197" i="18"/>
  <c r="T1212" i="18"/>
  <c r="N1197" i="18"/>
  <c r="T1211" i="18"/>
  <c r="T1210" i="18"/>
  <c r="T1214" i="18"/>
  <c r="Y1214" i="18" s="1"/>
  <c r="T1223" i="18"/>
  <c r="T1222" i="18"/>
  <c r="T1221" i="18"/>
  <c r="T1220" i="18"/>
  <c r="T1219" i="18"/>
  <c r="T1218" i="18"/>
  <c r="T1209" i="18"/>
  <c r="O1199" i="18"/>
  <c r="F17" i="31"/>
  <c r="O16" i="8"/>
  <c r="P16" i="8"/>
  <c r="G1257" i="18" l="1"/>
  <c r="D1288" i="18"/>
  <c r="B1225" i="18"/>
  <c r="B1226" i="18" s="1"/>
  <c r="B1227" i="18" s="1"/>
  <c r="B1228" i="18" s="1"/>
  <c r="B1229" i="18" s="1"/>
  <c r="B1230" i="18" s="1"/>
  <c r="B1231" i="18" s="1"/>
  <c r="B1232" i="18" s="1"/>
  <c r="B1233" i="18" s="1"/>
  <c r="B1234" i="18" s="1"/>
  <c r="B1235" i="18" s="1"/>
  <c r="B1236" i="18" s="1"/>
  <c r="B1237" i="18" s="1"/>
  <c r="B1238" i="18" s="1"/>
  <c r="B1239" i="18" s="1"/>
  <c r="B1240" i="18" s="1"/>
  <c r="B1241" i="18" s="1"/>
  <c r="B1242" i="18" s="1"/>
  <c r="B1243" i="18" s="1"/>
  <c r="B1244" i="18" s="1"/>
  <c r="B1245" i="18" s="1"/>
  <c r="B1246" i="18" s="1"/>
  <c r="B1247" i="18" s="1"/>
  <c r="B1248" i="18" s="1"/>
  <c r="B1249" i="18" s="1"/>
  <c r="B1250" i="18" s="1"/>
  <c r="B1251" i="18" s="1"/>
  <c r="B1252" i="18" s="1"/>
  <c r="B1253" i="18" s="1"/>
  <c r="B1254" i="18" s="1"/>
  <c r="B1255" i="18" s="1"/>
  <c r="T1248" i="18"/>
  <c r="T1241" i="18"/>
  <c r="T1254" i="18"/>
  <c r="T1253" i="18"/>
  <c r="T1252" i="18"/>
  <c r="T1251" i="18"/>
  <c r="T1250" i="18"/>
  <c r="T1249" i="18"/>
  <c r="T1247" i="18"/>
  <c r="T1245" i="18"/>
  <c r="Y1245" i="18" s="1"/>
  <c r="T1240" i="18"/>
  <c r="O1230" i="18"/>
  <c r="T1246" i="18"/>
  <c r="N1230" i="18"/>
  <c r="T1244" i="18"/>
  <c r="O1228" i="18"/>
  <c r="T1242" i="18"/>
  <c r="N1228" i="18"/>
  <c r="T1243" i="18"/>
  <c r="AD17" i="11"/>
  <c r="I19" i="11"/>
  <c r="AD19" i="11" s="1"/>
  <c r="I20" i="11"/>
  <c r="AD20" i="11" s="1"/>
  <c r="I21" i="11"/>
  <c r="AD21" i="11" s="1"/>
  <c r="I22" i="11"/>
  <c r="AD22" i="11" s="1"/>
  <c r="I23" i="11"/>
  <c r="AD23" i="11" s="1"/>
  <c r="I24" i="11"/>
  <c r="AD24" i="11" s="1"/>
  <c r="I25" i="11"/>
  <c r="AD25" i="11" s="1"/>
  <c r="I26" i="11"/>
  <c r="AD26" i="11" s="1"/>
  <c r="I27" i="11"/>
  <c r="AD27" i="11" s="1"/>
  <c r="I28" i="11"/>
  <c r="AD28" i="11" s="1"/>
  <c r="I29" i="11"/>
  <c r="AD29" i="11" s="1"/>
  <c r="I30" i="11"/>
  <c r="AD30" i="11" s="1"/>
  <c r="I31" i="11"/>
  <c r="AD31" i="11" s="1"/>
  <c r="I32" i="11"/>
  <c r="AD32" i="11" s="1"/>
  <c r="I33" i="11"/>
  <c r="AD33" i="11" s="1"/>
  <c r="I34" i="11"/>
  <c r="AD34" i="11" s="1"/>
  <c r="I35" i="11"/>
  <c r="AD35" i="11" s="1"/>
  <c r="I36" i="11"/>
  <c r="AD36" i="11" s="1"/>
  <c r="I37" i="11"/>
  <c r="AD37" i="11" s="1"/>
  <c r="I38" i="11"/>
  <c r="AD38" i="11" s="1"/>
  <c r="I39" i="11"/>
  <c r="AD39" i="11" s="1"/>
  <c r="I40" i="11"/>
  <c r="AD40" i="11" s="1"/>
  <c r="I41" i="11"/>
  <c r="AD41" i="11" s="1"/>
  <c r="I42" i="11"/>
  <c r="AD42" i="11" s="1"/>
  <c r="I43" i="11"/>
  <c r="AD43" i="11" s="1"/>
  <c r="I44" i="11"/>
  <c r="AD44" i="11" s="1"/>
  <c r="I45" i="11"/>
  <c r="AD45" i="11" s="1"/>
  <c r="I46" i="11"/>
  <c r="AD46" i="11" s="1"/>
  <c r="I47" i="11"/>
  <c r="AD47" i="11" s="1"/>
  <c r="I48" i="11"/>
  <c r="AD48" i="11" s="1"/>
  <c r="I49" i="11"/>
  <c r="AD49" i="11" s="1"/>
  <c r="I50" i="11"/>
  <c r="AD50" i="11" s="1"/>
  <c r="I51" i="11"/>
  <c r="AD51" i="11" s="1"/>
  <c r="I52" i="11"/>
  <c r="AD52" i="11" s="1"/>
  <c r="I53" i="11"/>
  <c r="AD53" i="11" s="1"/>
  <c r="I54" i="11"/>
  <c r="AD54" i="11" s="1"/>
  <c r="I55" i="11"/>
  <c r="AD55" i="11" s="1"/>
  <c r="I56" i="11"/>
  <c r="AD56" i="11" s="1"/>
  <c r="I57" i="11"/>
  <c r="AD57" i="11" s="1"/>
  <c r="I58" i="11"/>
  <c r="AD58" i="11" s="1"/>
  <c r="I59" i="11"/>
  <c r="AD59" i="11" s="1"/>
  <c r="I60" i="11"/>
  <c r="AD60" i="11" s="1"/>
  <c r="I61" i="11"/>
  <c r="AD61" i="11" s="1"/>
  <c r="I62" i="11"/>
  <c r="AD62" i="11" s="1"/>
  <c r="I63" i="11"/>
  <c r="AD63" i="11" s="1"/>
  <c r="I64" i="11"/>
  <c r="AD64" i="11" s="1"/>
  <c r="I65" i="11"/>
  <c r="AD65" i="11" s="1"/>
  <c r="I66" i="11"/>
  <c r="AD66" i="11" s="1"/>
  <c r="I67" i="11"/>
  <c r="AD67" i="11" s="1"/>
  <c r="I68" i="11"/>
  <c r="AD68" i="11" s="1"/>
  <c r="I69" i="11"/>
  <c r="AD69" i="11" s="1"/>
  <c r="I70" i="11"/>
  <c r="AD70" i="11" s="1"/>
  <c r="I71" i="11"/>
  <c r="AD71" i="11" s="1"/>
  <c r="I72" i="11"/>
  <c r="AD72" i="11" s="1"/>
  <c r="I73" i="11"/>
  <c r="AD73" i="11" s="1"/>
  <c r="I74" i="11"/>
  <c r="AD74" i="11" s="1"/>
  <c r="I75" i="11"/>
  <c r="AD75" i="11" s="1"/>
  <c r="I76" i="11"/>
  <c r="AD76" i="11" s="1"/>
  <c r="I77" i="11"/>
  <c r="AD77" i="11" s="1"/>
  <c r="I78" i="11"/>
  <c r="AD78" i="11" s="1"/>
  <c r="I79" i="11"/>
  <c r="AD79" i="11" s="1"/>
  <c r="I80" i="11"/>
  <c r="AD80" i="11" s="1"/>
  <c r="I81" i="11"/>
  <c r="AD81" i="11" s="1"/>
  <c r="I82" i="11"/>
  <c r="AD82" i="11" s="1"/>
  <c r="I83" i="11"/>
  <c r="AD83" i="11" s="1"/>
  <c r="I84" i="11"/>
  <c r="AD84" i="11" s="1"/>
  <c r="I85" i="11"/>
  <c r="AD85" i="11" s="1"/>
  <c r="I86" i="11"/>
  <c r="AD86" i="11" s="1"/>
  <c r="I87" i="11"/>
  <c r="AD87" i="11" s="1"/>
  <c r="I88" i="11"/>
  <c r="AD88" i="11" s="1"/>
  <c r="I89" i="11"/>
  <c r="AD89" i="11" s="1"/>
  <c r="I90" i="11"/>
  <c r="AD90" i="11" s="1"/>
  <c r="I91" i="11"/>
  <c r="AD91" i="11" s="1"/>
  <c r="I92" i="11"/>
  <c r="AD92" i="11" s="1"/>
  <c r="I93" i="11"/>
  <c r="AD93" i="11" s="1"/>
  <c r="I94" i="11"/>
  <c r="AD94" i="11" s="1"/>
  <c r="I95" i="11"/>
  <c r="AD95" i="11" s="1"/>
  <c r="I96" i="11"/>
  <c r="AD96" i="11" s="1"/>
  <c r="I97" i="11"/>
  <c r="AD97" i="11" s="1"/>
  <c r="I98" i="11"/>
  <c r="AD98" i="11" s="1"/>
  <c r="I99" i="11"/>
  <c r="AD99" i="11" s="1"/>
  <c r="I100" i="11"/>
  <c r="AD100" i="11" s="1"/>
  <c r="I101" i="11"/>
  <c r="AD101" i="11" s="1"/>
  <c r="I102" i="11"/>
  <c r="AD102" i="11" s="1"/>
  <c r="I103" i="11"/>
  <c r="AD103" i="11" s="1"/>
  <c r="I104" i="11"/>
  <c r="AD104" i="11" s="1"/>
  <c r="I105" i="11"/>
  <c r="AD105" i="11" s="1"/>
  <c r="I106" i="11"/>
  <c r="AD106" i="11" s="1"/>
  <c r="I107" i="11"/>
  <c r="AD107" i="11" s="1"/>
  <c r="I108" i="11"/>
  <c r="AD108" i="11" s="1"/>
  <c r="I109" i="11"/>
  <c r="AD109" i="11" s="1"/>
  <c r="I110" i="11"/>
  <c r="AD110" i="11" s="1"/>
  <c r="I111" i="11"/>
  <c r="AD111" i="11" s="1"/>
  <c r="I112" i="11"/>
  <c r="AD112" i="11" s="1"/>
  <c r="I113" i="11"/>
  <c r="AD113" i="11" s="1"/>
  <c r="I114" i="11"/>
  <c r="AD114" i="11" s="1"/>
  <c r="I115" i="11"/>
  <c r="AD115" i="11" s="1"/>
  <c r="I116" i="11"/>
  <c r="AD116" i="11" s="1"/>
  <c r="I117" i="11"/>
  <c r="AD117" i="11" s="1"/>
  <c r="I118" i="11"/>
  <c r="AD118" i="11" s="1"/>
  <c r="I119" i="11"/>
  <c r="AD119" i="11" s="1"/>
  <c r="I120" i="11"/>
  <c r="AD120" i="11" s="1"/>
  <c r="I121" i="11"/>
  <c r="AD121" i="11" s="1"/>
  <c r="I122" i="11"/>
  <c r="AD122" i="11" s="1"/>
  <c r="I123" i="11"/>
  <c r="AD123" i="11" s="1"/>
  <c r="I124" i="11"/>
  <c r="AD124" i="11" s="1"/>
  <c r="I125" i="11"/>
  <c r="AD125" i="11" s="1"/>
  <c r="I126" i="11"/>
  <c r="AD126" i="11" s="1"/>
  <c r="I127" i="11"/>
  <c r="AD127" i="11" s="1"/>
  <c r="I128" i="11"/>
  <c r="AD128" i="11" s="1"/>
  <c r="I129" i="11"/>
  <c r="AD129" i="11" s="1"/>
  <c r="I130" i="11"/>
  <c r="AD130" i="11" s="1"/>
  <c r="I131" i="11"/>
  <c r="AD131" i="11" s="1"/>
  <c r="I132" i="11"/>
  <c r="AD132" i="11" s="1"/>
  <c r="I133" i="11"/>
  <c r="AD133" i="11" s="1"/>
  <c r="I134" i="11"/>
  <c r="AD134" i="11" s="1"/>
  <c r="I135" i="11"/>
  <c r="AD135" i="11" s="1"/>
  <c r="I136" i="11"/>
  <c r="AD136" i="11" s="1"/>
  <c r="I137" i="11"/>
  <c r="AD137" i="11" s="1"/>
  <c r="I138" i="11"/>
  <c r="AD138" i="11" s="1"/>
  <c r="I139" i="11"/>
  <c r="AD139" i="11" s="1"/>
  <c r="I140" i="11"/>
  <c r="AD140" i="11" s="1"/>
  <c r="I141" i="11"/>
  <c r="AD141" i="11" s="1"/>
  <c r="I142" i="11"/>
  <c r="AD142" i="11" s="1"/>
  <c r="I143" i="11"/>
  <c r="AD143" i="11" s="1"/>
  <c r="I144" i="11"/>
  <c r="AD144" i="11" s="1"/>
  <c r="I145" i="11"/>
  <c r="AD145" i="11" s="1"/>
  <c r="I146" i="11"/>
  <c r="AD146" i="11" s="1"/>
  <c r="I147" i="11"/>
  <c r="AD147" i="11" s="1"/>
  <c r="I148" i="11"/>
  <c r="AD148" i="11" s="1"/>
  <c r="I149" i="11"/>
  <c r="AD149" i="11" s="1"/>
  <c r="I150" i="11"/>
  <c r="AD150" i="11" s="1"/>
  <c r="I151" i="11"/>
  <c r="AD151" i="11" s="1"/>
  <c r="I152" i="11"/>
  <c r="AD152" i="11" s="1"/>
  <c r="I153" i="11"/>
  <c r="AD153" i="11" s="1"/>
  <c r="I154" i="11"/>
  <c r="AD154" i="11" s="1"/>
  <c r="I155" i="11"/>
  <c r="AD155" i="11" s="1"/>
  <c r="I156" i="11"/>
  <c r="AD156" i="11" s="1"/>
  <c r="I157" i="11"/>
  <c r="AD157" i="11" s="1"/>
  <c r="I158" i="11"/>
  <c r="AD158" i="11" s="1"/>
  <c r="I159" i="11"/>
  <c r="AD159" i="11" s="1"/>
  <c r="I160" i="11"/>
  <c r="AD160" i="11" s="1"/>
  <c r="I161" i="11"/>
  <c r="AD161" i="11" s="1"/>
  <c r="I162" i="11"/>
  <c r="AD162" i="11" s="1"/>
  <c r="I163" i="11"/>
  <c r="AD163" i="11" s="1"/>
  <c r="I164" i="11"/>
  <c r="AD164" i="11" s="1"/>
  <c r="I165" i="11"/>
  <c r="AD165" i="11" s="1"/>
  <c r="I166" i="11"/>
  <c r="AD166" i="11" s="1"/>
  <c r="I167" i="11"/>
  <c r="AD167" i="11" s="1"/>
  <c r="I168" i="11"/>
  <c r="AD168" i="11" s="1"/>
  <c r="I169" i="11"/>
  <c r="AD169" i="11" s="1"/>
  <c r="I170" i="11"/>
  <c r="AD170" i="11" s="1"/>
  <c r="I171" i="11"/>
  <c r="AD171" i="11" s="1"/>
  <c r="I172" i="11"/>
  <c r="AD172" i="11" s="1"/>
  <c r="I173" i="11"/>
  <c r="AD173" i="11" s="1"/>
  <c r="I174" i="11"/>
  <c r="AD174" i="11" s="1"/>
  <c r="I175" i="11"/>
  <c r="AD175" i="11" s="1"/>
  <c r="I176" i="11"/>
  <c r="AD176" i="11" s="1"/>
  <c r="I177" i="11"/>
  <c r="AD177" i="11" s="1"/>
  <c r="I178" i="11"/>
  <c r="AD178" i="11" s="1"/>
  <c r="I179" i="11"/>
  <c r="AD179" i="11" s="1"/>
  <c r="I180" i="11"/>
  <c r="AD180" i="11" s="1"/>
  <c r="I181" i="11"/>
  <c r="AD181" i="11" s="1"/>
  <c r="I182" i="11"/>
  <c r="AD182" i="11" s="1"/>
  <c r="I183" i="11"/>
  <c r="AD183" i="11" s="1"/>
  <c r="I184" i="11"/>
  <c r="AD184" i="11" s="1"/>
  <c r="I185" i="11"/>
  <c r="AD185" i="11" s="1"/>
  <c r="I186" i="11"/>
  <c r="AD186" i="11" s="1"/>
  <c r="I187" i="11"/>
  <c r="AD187" i="11" s="1"/>
  <c r="I188" i="11"/>
  <c r="AD188" i="11" s="1"/>
  <c r="I189" i="11"/>
  <c r="AD189" i="11" s="1"/>
  <c r="I190" i="11"/>
  <c r="AD190" i="11" s="1"/>
  <c r="I191" i="11"/>
  <c r="AD191" i="11" s="1"/>
  <c r="I192" i="11"/>
  <c r="AD192" i="11" s="1"/>
  <c r="I193" i="11"/>
  <c r="AD193" i="11" s="1"/>
  <c r="I194" i="11"/>
  <c r="AD194" i="11" s="1"/>
  <c r="I195" i="11"/>
  <c r="AD195" i="11" s="1"/>
  <c r="I196" i="11"/>
  <c r="AD196" i="11" s="1"/>
  <c r="I197" i="11"/>
  <c r="AD197" i="11" s="1"/>
  <c r="I198" i="11"/>
  <c r="AD198" i="11" s="1"/>
  <c r="I199" i="11"/>
  <c r="AD199" i="11" s="1"/>
  <c r="I200" i="11"/>
  <c r="AD200" i="11" s="1"/>
  <c r="I201" i="11"/>
  <c r="AD201" i="11" s="1"/>
  <c r="I202" i="11"/>
  <c r="AD202" i="11" s="1"/>
  <c r="I203" i="11"/>
  <c r="AD203" i="11" s="1"/>
  <c r="I204" i="11"/>
  <c r="AD204" i="11" s="1"/>
  <c r="I205" i="11"/>
  <c r="AD205" i="11" s="1"/>
  <c r="I206" i="11"/>
  <c r="AD206" i="11" s="1"/>
  <c r="I207" i="11"/>
  <c r="AD207" i="11" s="1"/>
  <c r="I208" i="11"/>
  <c r="AD208" i="11" s="1"/>
  <c r="I209" i="11"/>
  <c r="AD209" i="11" s="1"/>
  <c r="I210" i="11"/>
  <c r="AD210" i="11" s="1"/>
  <c r="I211" i="11"/>
  <c r="AD211" i="11" s="1"/>
  <c r="I212" i="11"/>
  <c r="AD212" i="11" s="1"/>
  <c r="I213" i="11"/>
  <c r="AD213" i="11" s="1"/>
  <c r="I214" i="11"/>
  <c r="AD214" i="11" s="1"/>
  <c r="I215" i="11"/>
  <c r="AD215" i="11" s="1"/>
  <c r="I216" i="11"/>
  <c r="AD216" i="11" s="1"/>
  <c r="I217" i="11"/>
  <c r="AD217" i="11" s="1"/>
  <c r="I218" i="11"/>
  <c r="AD218" i="11" s="1"/>
  <c r="I219" i="11"/>
  <c r="AD219" i="11" s="1"/>
  <c r="I220" i="11"/>
  <c r="AD220" i="11" s="1"/>
  <c r="I221" i="11"/>
  <c r="AD221" i="11" s="1"/>
  <c r="I222" i="11"/>
  <c r="AD222" i="11" s="1"/>
  <c r="I223" i="11"/>
  <c r="AD223" i="11" s="1"/>
  <c r="I224" i="11"/>
  <c r="AD224" i="11" s="1"/>
  <c r="I225" i="11"/>
  <c r="AD225" i="11" s="1"/>
  <c r="I226" i="11"/>
  <c r="AD226" i="11" s="1"/>
  <c r="I227" i="11"/>
  <c r="AD227" i="11" s="1"/>
  <c r="I228" i="11"/>
  <c r="AD228" i="11" s="1"/>
  <c r="I229" i="11"/>
  <c r="AD229" i="11" s="1"/>
  <c r="I230" i="11"/>
  <c r="AD230" i="11" s="1"/>
  <c r="I231" i="11"/>
  <c r="AD231" i="11" s="1"/>
  <c r="I232" i="11"/>
  <c r="AD232" i="11" s="1"/>
  <c r="I233" i="11"/>
  <c r="AD233" i="11" s="1"/>
  <c r="I234" i="11"/>
  <c r="AD234" i="11" s="1"/>
  <c r="I235" i="11"/>
  <c r="AD235" i="11" s="1"/>
  <c r="I236" i="11"/>
  <c r="AD236" i="11" s="1"/>
  <c r="I237" i="11"/>
  <c r="AD237" i="11" s="1"/>
  <c r="I238" i="11"/>
  <c r="AD238" i="11" s="1"/>
  <c r="I239" i="11"/>
  <c r="AD239" i="11" s="1"/>
  <c r="I240" i="11"/>
  <c r="AD240" i="11" s="1"/>
  <c r="I241" i="11"/>
  <c r="AD241" i="11" s="1"/>
  <c r="I242" i="11"/>
  <c r="AD242" i="11" s="1"/>
  <c r="I243" i="11"/>
  <c r="AD243" i="11" s="1"/>
  <c r="I244" i="11"/>
  <c r="AD244" i="11" s="1"/>
  <c r="I245" i="11"/>
  <c r="AD245" i="11" s="1"/>
  <c r="I246" i="11"/>
  <c r="AD246" i="11" s="1"/>
  <c r="I247" i="11"/>
  <c r="AD247" i="11" s="1"/>
  <c r="I248" i="11"/>
  <c r="AD248" i="11" s="1"/>
  <c r="I249" i="11"/>
  <c r="AD249" i="11" s="1"/>
  <c r="I250" i="11"/>
  <c r="AD250" i="11" s="1"/>
  <c r="I251" i="11"/>
  <c r="AD251" i="11" s="1"/>
  <c r="I252" i="11"/>
  <c r="AD252" i="11" s="1"/>
  <c r="I253" i="11"/>
  <c r="AD253" i="11" s="1"/>
  <c r="I254" i="11"/>
  <c r="AD254" i="11" s="1"/>
  <c r="I255" i="11"/>
  <c r="AD255" i="11" s="1"/>
  <c r="I256" i="11"/>
  <c r="AD256" i="11" s="1"/>
  <c r="I257" i="11"/>
  <c r="AD257" i="11" s="1"/>
  <c r="I258" i="11"/>
  <c r="AD258" i="11" s="1"/>
  <c r="I259" i="11"/>
  <c r="AD259" i="11" s="1"/>
  <c r="I260" i="11"/>
  <c r="AD260" i="11" s="1"/>
  <c r="I261" i="11"/>
  <c r="AD261" i="11" s="1"/>
  <c r="I262" i="11"/>
  <c r="AD262" i="11" s="1"/>
  <c r="I263" i="11"/>
  <c r="AD263" i="11" s="1"/>
  <c r="I264" i="11"/>
  <c r="AD264" i="11" s="1"/>
  <c r="I265" i="11"/>
  <c r="AD265" i="11" s="1"/>
  <c r="I266" i="11"/>
  <c r="AD266" i="11" s="1"/>
  <c r="I267" i="11"/>
  <c r="AD267" i="11" s="1"/>
  <c r="I268" i="11"/>
  <c r="AD268" i="11" s="1"/>
  <c r="I269" i="11"/>
  <c r="AD269" i="11" s="1"/>
  <c r="I270" i="11"/>
  <c r="AD270" i="11" s="1"/>
  <c r="I271" i="11"/>
  <c r="AD271" i="11" s="1"/>
  <c r="I272" i="11"/>
  <c r="AD272" i="11" s="1"/>
  <c r="I273" i="11"/>
  <c r="AD273" i="11" s="1"/>
  <c r="I274" i="11"/>
  <c r="AD274" i="11" s="1"/>
  <c r="I275" i="11"/>
  <c r="AD275" i="11" s="1"/>
  <c r="I276" i="11"/>
  <c r="AD276" i="11" s="1"/>
  <c r="I277" i="11"/>
  <c r="AD277" i="11" s="1"/>
  <c r="I278" i="11"/>
  <c r="AD278" i="11" s="1"/>
  <c r="I279" i="11"/>
  <c r="AD279" i="11" s="1"/>
  <c r="I280" i="11"/>
  <c r="AD280" i="11" s="1"/>
  <c r="I281" i="11"/>
  <c r="AD281" i="11" s="1"/>
  <c r="I282" i="11"/>
  <c r="AD282" i="11" s="1"/>
  <c r="I283" i="11"/>
  <c r="AD283" i="11" s="1"/>
  <c r="I284" i="11"/>
  <c r="AD284" i="11" s="1"/>
  <c r="I285" i="11"/>
  <c r="AD285" i="11" s="1"/>
  <c r="I286" i="11"/>
  <c r="AD286" i="11" s="1"/>
  <c r="I287" i="11"/>
  <c r="AD287" i="11" s="1"/>
  <c r="I288" i="11"/>
  <c r="AD288" i="11" s="1"/>
  <c r="I289" i="11"/>
  <c r="AD289" i="11" s="1"/>
  <c r="I290" i="11"/>
  <c r="AD290" i="11" s="1"/>
  <c r="I291" i="11"/>
  <c r="AD291" i="11" s="1"/>
  <c r="I292" i="11"/>
  <c r="AD292" i="11" s="1"/>
  <c r="I293" i="11"/>
  <c r="AD293" i="11" s="1"/>
  <c r="I294" i="11"/>
  <c r="AD294" i="11" s="1"/>
  <c r="I295" i="11"/>
  <c r="AD295" i="11" s="1"/>
  <c r="I296" i="11"/>
  <c r="AD296" i="11" s="1"/>
  <c r="I297" i="11"/>
  <c r="AD297" i="11" s="1"/>
  <c r="I298" i="11"/>
  <c r="AD298" i="11" s="1"/>
  <c r="I299" i="11"/>
  <c r="AD299" i="11" s="1"/>
  <c r="I300" i="11"/>
  <c r="AD300" i="11" s="1"/>
  <c r="I301" i="11"/>
  <c r="AD301" i="11" s="1"/>
  <c r="I302" i="11"/>
  <c r="AD302" i="11" s="1"/>
  <c r="I303" i="11"/>
  <c r="AD303" i="11" s="1"/>
  <c r="I304" i="11"/>
  <c r="AD304" i="11" s="1"/>
  <c r="I305" i="11"/>
  <c r="AD305" i="11" s="1"/>
  <c r="I306" i="11"/>
  <c r="AD306" i="11" s="1"/>
  <c r="I307" i="11"/>
  <c r="AD307" i="11" s="1"/>
  <c r="I308" i="11"/>
  <c r="AD308" i="11" s="1"/>
  <c r="I309" i="11"/>
  <c r="AD309" i="11" s="1"/>
  <c r="I310" i="11"/>
  <c r="AD310" i="11" s="1"/>
  <c r="I311" i="11"/>
  <c r="AD311" i="11" s="1"/>
  <c r="I312" i="11"/>
  <c r="AD312" i="11" s="1"/>
  <c r="I313" i="11"/>
  <c r="AD313" i="11" s="1"/>
  <c r="I314" i="11"/>
  <c r="AD314" i="11" s="1"/>
  <c r="I315" i="11"/>
  <c r="AD315" i="11" s="1"/>
  <c r="I316" i="11"/>
  <c r="AD316" i="11" s="1"/>
  <c r="I317" i="11"/>
  <c r="AD317" i="11" s="1"/>
  <c r="I318" i="11"/>
  <c r="AD318" i="11" s="1"/>
  <c r="I319" i="11"/>
  <c r="AD319" i="11" s="1"/>
  <c r="I320" i="11"/>
  <c r="AD320" i="11" s="1"/>
  <c r="I321" i="11"/>
  <c r="AD321" i="11" s="1"/>
  <c r="I322" i="11"/>
  <c r="AD322" i="11" s="1"/>
  <c r="I323" i="11"/>
  <c r="AD323" i="11" s="1"/>
  <c r="I324" i="11"/>
  <c r="AD324" i="11" s="1"/>
  <c r="I325" i="11"/>
  <c r="AD325" i="11" s="1"/>
  <c r="I326" i="11"/>
  <c r="AD326" i="11" s="1"/>
  <c r="I327" i="11"/>
  <c r="AD327" i="11" s="1"/>
  <c r="I328" i="11"/>
  <c r="AD328" i="11" s="1"/>
  <c r="I329" i="11"/>
  <c r="AD329" i="11" s="1"/>
  <c r="I330" i="11"/>
  <c r="AD330" i="11" s="1"/>
  <c r="I331" i="11"/>
  <c r="AD331" i="11" s="1"/>
  <c r="I332" i="11"/>
  <c r="AD332" i="11" s="1"/>
  <c r="I333" i="11"/>
  <c r="AD333" i="11" s="1"/>
  <c r="I334" i="11"/>
  <c r="AD334" i="11" s="1"/>
  <c r="I335" i="11"/>
  <c r="AD335" i="11" s="1"/>
  <c r="I336" i="11"/>
  <c r="AD336" i="11" s="1"/>
  <c r="I337" i="11"/>
  <c r="AD337" i="11" s="1"/>
  <c r="I338" i="11"/>
  <c r="AD338" i="11" s="1"/>
  <c r="I339" i="11"/>
  <c r="AD339" i="11" s="1"/>
  <c r="I340" i="11"/>
  <c r="AD340" i="11" s="1"/>
  <c r="I341" i="11"/>
  <c r="AD341" i="11" s="1"/>
  <c r="I342" i="11"/>
  <c r="AD342" i="11" s="1"/>
  <c r="I343" i="11"/>
  <c r="AD343" i="11" s="1"/>
  <c r="I344" i="11"/>
  <c r="AD344" i="11" s="1"/>
  <c r="I345" i="11"/>
  <c r="AD345" i="11" s="1"/>
  <c r="I346" i="11"/>
  <c r="AD346" i="11" s="1"/>
  <c r="I347" i="11"/>
  <c r="AD347" i="11" s="1"/>
  <c r="I348" i="11"/>
  <c r="AD348" i="11" s="1"/>
  <c r="I349" i="11"/>
  <c r="AD349" i="11" s="1"/>
  <c r="I350" i="11"/>
  <c r="AD350" i="11" s="1"/>
  <c r="I351" i="11"/>
  <c r="AD351" i="11" s="1"/>
  <c r="I352" i="11"/>
  <c r="AD352" i="11" s="1"/>
  <c r="I353" i="11"/>
  <c r="AD353" i="11" s="1"/>
  <c r="I354" i="11"/>
  <c r="AD354" i="11" s="1"/>
  <c r="I355" i="11"/>
  <c r="AD355" i="11" s="1"/>
  <c r="I356" i="11"/>
  <c r="AD356" i="11" s="1"/>
  <c r="I357" i="11"/>
  <c r="AD357" i="11" s="1"/>
  <c r="I358" i="11"/>
  <c r="AD358" i="11" s="1"/>
  <c r="I359" i="11"/>
  <c r="AD359" i="11" s="1"/>
  <c r="I360" i="11"/>
  <c r="AD360" i="11" s="1"/>
  <c r="I361" i="11"/>
  <c r="AD361" i="11" s="1"/>
  <c r="I362" i="11"/>
  <c r="AD362" i="11" s="1"/>
  <c r="I363" i="11"/>
  <c r="AD363" i="11" s="1"/>
  <c r="I364" i="11"/>
  <c r="AD364" i="11" s="1"/>
  <c r="I365" i="11"/>
  <c r="AD365" i="11" s="1"/>
  <c r="I366" i="11"/>
  <c r="AD366" i="11" s="1"/>
  <c r="I367" i="11"/>
  <c r="AD367" i="11" s="1"/>
  <c r="I368" i="11"/>
  <c r="AD368" i="11" s="1"/>
  <c r="I369" i="11"/>
  <c r="AD369" i="11" s="1"/>
  <c r="I370" i="11"/>
  <c r="AD370" i="11" s="1"/>
  <c r="I371" i="11"/>
  <c r="AD371" i="11" s="1"/>
  <c r="I372" i="11"/>
  <c r="AD372" i="11" s="1"/>
  <c r="I373" i="11"/>
  <c r="AD373" i="11" s="1"/>
  <c r="I374" i="11"/>
  <c r="AD374" i="11" s="1"/>
  <c r="I375" i="11"/>
  <c r="AD375" i="11" s="1"/>
  <c r="I376" i="11"/>
  <c r="AD376" i="11" s="1"/>
  <c r="I377" i="11"/>
  <c r="AD377" i="11" s="1"/>
  <c r="I378" i="11"/>
  <c r="AD378" i="11" s="1"/>
  <c r="I379" i="11"/>
  <c r="AD379" i="11" s="1"/>
  <c r="I380" i="11"/>
  <c r="AD380" i="11" s="1"/>
  <c r="I381" i="11"/>
  <c r="AD381" i="11" s="1"/>
  <c r="I382" i="11"/>
  <c r="AD382" i="11" s="1"/>
  <c r="I383" i="11"/>
  <c r="AD383" i="11" s="1"/>
  <c r="I384" i="11"/>
  <c r="AD384" i="11" s="1"/>
  <c r="I385" i="11"/>
  <c r="AD385" i="11" s="1"/>
  <c r="I386" i="11"/>
  <c r="AD386" i="11" s="1"/>
  <c r="I387" i="11"/>
  <c r="AD387" i="11" s="1"/>
  <c r="I388" i="11"/>
  <c r="AD388" i="11" s="1"/>
  <c r="I389" i="11"/>
  <c r="AD389" i="11" s="1"/>
  <c r="I390" i="11"/>
  <c r="AD390" i="11" s="1"/>
  <c r="I391" i="11"/>
  <c r="AD391" i="11" s="1"/>
  <c r="I392" i="11"/>
  <c r="AD392" i="11" s="1"/>
  <c r="I393" i="11"/>
  <c r="AD393" i="11" s="1"/>
  <c r="I394" i="11"/>
  <c r="AD394" i="11" s="1"/>
  <c r="I395" i="11"/>
  <c r="AD395" i="11" s="1"/>
  <c r="I396" i="11"/>
  <c r="AD396" i="11" s="1"/>
  <c r="I397" i="11"/>
  <c r="AD397" i="11" s="1"/>
  <c r="I398" i="11"/>
  <c r="AD398" i="11" s="1"/>
  <c r="I399" i="11"/>
  <c r="AD399" i="11" s="1"/>
  <c r="I400" i="11"/>
  <c r="AD400" i="11" s="1"/>
  <c r="I401" i="11"/>
  <c r="AD401" i="11" s="1"/>
  <c r="I402" i="11"/>
  <c r="AD402" i="11" s="1"/>
  <c r="I403" i="11"/>
  <c r="AD403" i="11" s="1"/>
  <c r="I404" i="11"/>
  <c r="AD404" i="11" s="1"/>
  <c r="I405" i="11"/>
  <c r="AD405" i="11" s="1"/>
  <c r="I406" i="11"/>
  <c r="AD406" i="11" s="1"/>
  <c r="I407" i="11"/>
  <c r="AD407" i="11" s="1"/>
  <c r="I408" i="11"/>
  <c r="AD408" i="11" s="1"/>
  <c r="I409" i="11"/>
  <c r="AD409" i="11" s="1"/>
  <c r="I410" i="11"/>
  <c r="AD410" i="11" s="1"/>
  <c r="I411" i="11"/>
  <c r="AD411" i="11" s="1"/>
  <c r="I412" i="11"/>
  <c r="AD412" i="11" s="1"/>
  <c r="I413" i="11"/>
  <c r="AD413" i="11" s="1"/>
  <c r="I414" i="11"/>
  <c r="AD414" i="11" s="1"/>
  <c r="I415" i="11"/>
  <c r="AD415" i="11" s="1"/>
  <c r="I416" i="11"/>
  <c r="AD416" i="11" s="1"/>
  <c r="I417" i="11"/>
  <c r="AD417" i="11" s="1"/>
  <c r="I418" i="11"/>
  <c r="AD418" i="11" s="1"/>
  <c r="I419" i="11"/>
  <c r="AD419" i="11" s="1"/>
  <c r="I420" i="11"/>
  <c r="AD420" i="11" s="1"/>
  <c r="I421" i="11"/>
  <c r="AD421" i="11" s="1"/>
  <c r="I422" i="11"/>
  <c r="AD422" i="11" s="1"/>
  <c r="I423" i="11"/>
  <c r="AD423" i="11" s="1"/>
  <c r="I424" i="11"/>
  <c r="AD424" i="11" s="1"/>
  <c r="I425" i="11"/>
  <c r="AD425" i="11" s="1"/>
  <c r="I426" i="11"/>
  <c r="AD426" i="11" s="1"/>
  <c r="I427" i="11"/>
  <c r="AD427" i="11" s="1"/>
  <c r="I428" i="11"/>
  <c r="AD428" i="11" s="1"/>
  <c r="I429" i="11"/>
  <c r="AD429" i="11" s="1"/>
  <c r="I430" i="11"/>
  <c r="AD430" i="11" s="1"/>
  <c r="I431" i="11"/>
  <c r="AD431" i="11" s="1"/>
  <c r="I432" i="11"/>
  <c r="AD432" i="11" s="1"/>
  <c r="I433" i="11"/>
  <c r="AD433" i="11" s="1"/>
  <c r="I434" i="11"/>
  <c r="AD434" i="11" s="1"/>
  <c r="I435" i="11"/>
  <c r="AD435" i="11" s="1"/>
  <c r="I436" i="11"/>
  <c r="AD436" i="11" s="1"/>
  <c r="I437" i="11"/>
  <c r="AD437" i="11" s="1"/>
  <c r="I438" i="11"/>
  <c r="AD438" i="11" s="1"/>
  <c r="I439" i="11"/>
  <c r="AD439" i="11" s="1"/>
  <c r="I440" i="11"/>
  <c r="AD440" i="11" s="1"/>
  <c r="I441" i="11"/>
  <c r="AD441" i="11" s="1"/>
  <c r="I442" i="11"/>
  <c r="AD442" i="11" s="1"/>
  <c r="I443" i="11"/>
  <c r="AD443" i="11" s="1"/>
  <c r="I444" i="11"/>
  <c r="AD444" i="11" s="1"/>
  <c r="I445" i="11"/>
  <c r="AD445" i="11" s="1"/>
  <c r="I446" i="11"/>
  <c r="AD446" i="11" s="1"/>
  <c r="I447" i="11"/>
  <c r="AD447" i="11" s="1"/>
  <c r="I448" i="11"/>
  <c r="AD448" i="11" s="1"/>
  <c r="I449" i="11"/>
  <c r="AD449" i="11" s="1"/>
  <c r="I450" i="11"/>
  <c r="AD450" i="11" s="1"/>
  <c r="I451" i="11"/>
  <c r="AD451" i="11" s="1"/>
  <c r="I452" i="11"/>
  <c r="AD452" i="11" s="1"/>
  <c r="I453" i="11"/>
  <c r="AD453" i="11" s="1"/>
  <c r="I454" i="11"/>
  <c r="AD454" i="11" s="1"/>
  <c r="I455" i="11"/>
  <c r="AD455" i="11" s="1"/>
  <c r="I456" i="11"/>
  <c r="AD456" i="11" s="1"/>
  <c r="I457" i="11"/>
  <c r="AD457" i="11" s="1"/>
  <c r="I458" i="11"/>
  <c r="AD458" i="11" s="1"/>
  <c r="I459" i="11"/>
  <c r="AD459" i="11" s="1"/>
  <c r="I460" i="11"/>
  <c r="AD460" i="11" s="1"/>
  <c r="I461" i="11"/>
  <c r="AD461" i="11" s="1"/>
  <c r="I462" i="11"/>
  <c r="AD462" i="11" s="1"/>
  <c r="I463" i="11"/>
  <c r="AD463" i="11" s="1"/>
  <c r="I464" i="11"/>
  <c r="AD464" i="11" s="1"/>
  <c r="I465" i="11"/>
  <c r="AD465" i="11" s="1"/>
  <c r="I466" i="11"/>
  <c r="AD466" i="11" s="1"/>
  <c r="I467" i="11"/>
  <c r="AD467" i="11" s="1"/>
  <c r="I468" i="11"/>
  <c r="AD468" i="11" s="1"/>
  <c r="I469" i="11"/>
  <c r="AD469" i="11" s="1"/>
  <c r="I470" i="11"/>
  <c r="AD470" i="11" s="1"/>
  <c r="I471" i="11"/>
  <c r="AD471" i="11" s="1"/>
  <c r="I472" i="11"/>
  <c r="AD472" i="11" s="1"/>
  <c r="I473" i="11"/>
  <c r="AD473" i="11" s="1"/>
  <c r="I474" i="11"/>
  <c r="AD474" i="11" s="1"/>
  <c r="I475" i="11"/>
  <c r="AD475" i="11" s="1"/>
  <c r="I476" i="11"/>
  <c r="AD476" i="11" s="1"/>
  <c r="I477" i="11"/>
  <c r="AD477" i="11" s="1"/>
  <c r="I478" i="11"/>
  <c r="AD478" i="11" s="1"/>
  <c r="I479" i="11"/>
  <c r="AD479" i="11" s="1"/>
  <c r="I480" i="11"/>
  <c r="AD480" i="11" s="1"/>
  <c r="I481" i="11"/>
  <c r="AD481" i="11" s="1"/>
  <c r="I482" i="11"/>
  <c r="AD482" i="11" s="1"/>
  <c r="I483" i="11"/>
  <c r="AD483" i="11" s="1"/>
  <c r="I484" i="11"/>
  <c r="AD484" i="11" s="1"/>
  <c r="I485" i="11"/>
  <c r="AD485" i="11" s="1"/>
  <c r="I486" i="11"/>
  <c r="AD486" i="11" s="1"/>
  <c r="I487" i="11"/>
  <c r="AD487" i="11" s="1"/>
  <c r="I488" i="11"/>
  <c r="AD488" i="11" s="1"/>
  <c r="I489" i="11"/>
  <c r="AD489" i="11" s="1"/>
  <c r="I490" i="11"/>
  <c r="AD490" i="11" s="1"/>
  <c r="I491" i="11"/>
  <c r="AD491" i="11" s="1"/>
  <c r="I492" i="11"/>
  <c r="AD492" i="11" s="1"/>
  <c r="I493" i="11"/>
  <c r="AD493" i="11" s="1"/>
  <c r="I494" i="11"/>
  <c r="AD494" i="11" s="1"/>
  <c r="I495" i="11"/>
  <c r="AD495" i="11" s="1"/>
  <c r="I496" i="11"/>
  <c r="AD496" i="11" s="1"/>
  <c r="I497" i="11"/>
  <c r="AD497" i="11" s="1"/>
  <c r="I498" i="11"/>
  <c r="AD498" i="11" s="1"/>
  <c r="I499" i="11"/>
  <c r="AD499" i="11" s="1"/>
  <c r="I500" i="11"/>
  <c r="AD500" i="11" s="1"/>
  <c r="I501" i="11"/>
  <c r="AD501" i="11" s="1"/>
  <c r="I502" i="11"/>
  <c r="AD502" i="11" s="1"/>
  <c r="I503" i="11"/>
  <c r="AD503" i="11" s="1"/>
  <c r="I504" i="11"/>
  <c r="AD504" i="11" s="1"/>
  <c r="I505" i="11"/>
  <c r="AD505" i="11" s="1"/>
  <c r="I506" i="11"/>
  <c r="AD506" i="11" s="1"/>
  <c r="I507" i="11"/>
  <c r="AD507" i="11" s="1"/>
  <c r="I508" i="11"/>
  <c r="AD508" i="11" s="1"/>
  <c r="I509" i="11"/>
  <c r="AD509" i="11" s="1"/>
  <c r="I510" i="11"/>
  <c r="AD510" i="11" s="1"/>
  <c r="I511" i="11"/>
  <c r="AD511" i="11" s="1"/>
  <c r="I512" i="11"/>
  <c r="AD512" i="11" s="1"/>
  <c r="I513" i="11"/>
  <c r="AD513" i="11" s="1"/>
  <c r="I514" i="11"/>
  <c r="AD514" i="11" s="1"/>
  <c r="I515" i="11"/>
  <c r="AD515" i="11" s="1"/>
  <c r="I516" i="11"/>
  <c r="AD516" i="11" s="1"/>
  <c r="I517" i="11"/>
  <c r="AD517" i="11" s="1"/>
  <c r="I518" i="11"/>
  <c r="AD518" i="11" s="1"/>
  <c r="I519" i="11"/>
  <c r="AD519" i="11" s="1"/>
  <c r="I520" i="11"/>
  <c r="AD520" i="11" s="1"/>
  <c r="I521" i="11"/>
  <c r="AD521" i="11" s="1"/>
  <c r="I522" i="11"/>
  <c r="AD522" i="11" s="1"/>
  <c r="I523" i="11"/>
  <c r="AD523" i="11" s="1"/>
  <c r="I524" i="11"/>
  <c r="AD524" i="11" s="1"/>
  <c r="I525" i="11"/>
  <c r="AD525" i="11" s="1"/>
  <c r="I526" i="11"/>
  <c r="AD526" i="11" s="1"/>
  <c r="I527" i="11"/>
  <c r="AD527" i="11" s="1"/>
  <c r="I528" i="11"/>
  <c r="AD528" i="11" s="1"/>
  <c r="I529" i="11"/>
  <c r="AD529" i="11" s="1"/>
  <c r="I530" i="11"/>
  <c r="AD530" i="11" s="1"/>
  <c r="I531" i="11"/>
  <c r="AD531" i="11" s="1"/>
  <c r="I532" i="11"/>
  <c r="AD532" i="11" s="1"/>
  <c r="I533" i="11"/>
  <c r="AD533" i="11" s="1"/>
  <c r="I534" i="11"/>
  <c r="AD534" i="11" s="1"/>
  <c r="I535" i="11"/>
  <c r="AD535" i="11" s="1"/>
  <c r="I536" i="11"/>
  <c r="AD536" i="11" s="1"/>
  <c r="I537" i="11"/>
  <c r="AD537" i="11" s="1"/>
  <c r="I538" i="11"/>
  <c r="AD538" i="11" s="1"/>
  <c r="I539" i="11"/>
  <c r="AD539" i="11" s="1"/>
  <c r="I540" i="11"/>
  <c r="AD540" i="11" s="1"/>
  <c r="I541" i="11"/>
  <c r="AD541" i="11" s="1"/>
  <c r="I542" i="11"/>
  <c r="AD542" i="11" s="1"/>
  <c r="I543" i="11"/>
  <c r="AD543" i="11" s="1"/>
  <c r="I544" i="11"/>
  <c r="AD544" i="11" s="1"/>
  <c r="I545" i="11"/>
  <c r="AD545" i="11" s="1"/>
  <c r="I546" i="11"/>
  <c r="AD546" i="11" s="1"/>
  <c r="I547" i="11"/>
  <c r="AD547" i="11" s="1"/>
  <c r="I548" i="11"/>
  <c r="AD548" i="11" s="1"/>
  <c r="I549" i="11"/>
  <c r="AD549" i="11" s="1"/>
  <c r="I550" i="11"/>
  <c r="AD550" i="11" s="1"/>
  <c r="I551" i="11"/>
  <c r="AD551" i="11" s="1"/>
  <c r="I552" i="11"/>
  <c r="AD552" i="11" s="1"/>
  <c r="I553" i="11"/>
  <c r="AD553" i="11" s="1"/>
  <c r="I554" i="11"/>
  <c r="AD554" i="11" s="1"/>
  <c r="I555" i="11"/>
  <c r="AD555" i="11" s="1"/>
  <c r="I556" i="11"/>
  <c r="AD556" i="11" s="1"/>
  <c r="I557" i="11"/>
  <c r="AD557" i="11" s="1"/>
  <c r="I558" i="11"/>
  <c r="AD558" i="11" s="1"/>
  <c r="I559" i="11"/>
  <c r="AD559" i="11" s="1"/>
  <c r="I560" i="11"/>
  <c r="AD560" i="11" s="1"/>
  <c r="I561" i="11"/>
  <c r="AD561" i="11" s="1"/>
  <c r="I562" i="11"/>
  <c r="AD562" i="11" s="1"/>
  <c r="I563" i="11"/>
  <c r="AD563" i="11" s="1"/>
  <c r="I564" i="11"/>
  <c r="AD564" i="11" s="1"/>
  <c r="I565" i="11"/>
  <c r="AD565" i="11" s="1"/>
  <c r="I566" i="11"/>
  <c r="AD566" i="11" s="1"/>
  <c r="I567" i="11"/>
  <c r="AD567" i="11" s="1"/>
  <c r="I568" i="11"/>
  <c r="AD568" i="11" s="1"/>
  <c r="I569" i="11"/>
  <c r="AD569" i="11" s="1"/>
  <c r="I570" i="11"/>
  <c r="AD570" i="11" s="1"/>
  <c r="I571" i="11"/>
  <c r="AD571" i="11" s="1"/>
  <c r="I572" i="11"/>
  <c r="AD572" i="11" s="1"/>
  <c r="I573" i="11"/>
  <c r="AD573" i="11" s="1"/>
  <c r="I574" i="11"/>
  <c r="AD574" i="11" s="1"/>
  <c r="I575" i="11"/>
  <c r="AD575" i="11" s="1"/>
  <c r="I576" i="11"/>
  <c r="AD576" i="11" s="1"/>
  <c r="I577" i="11"/>
  <c r="AD577" i="11" s="1"/>
  <c r="I578" i="11"/>
  <c r="AD578" i="11" s="1"/>
  <c r="I579" i="11"/>
  <c r="AD579" i="11" s="1"/>
  <c r="I580" i="11"/>
  <c r="AD580" i="11" s="1"/>
  <c r="I581" i="11"/>
  <c r="AD581" i="11" s="1"/>
  <c r="I582" i="11"/>
  <c r="AD582" i="11" s="1"/>
  <c r="I583" i="11"/>
  <c r="AD583" i="11" s="1"/>
  <c r="I584" i="11"/>
  <c r="AD584" i="11" s="1"/>
  <c r="I585" i="11"/>
  <c r="AD585" i="11" s="1"/>
  <c r="I586" i="11"/>
  <c r="AD586" i="11" s="1"/>
  <c r="I587" i="11"/>
  <c r="AD587" i="11" s="1"/>
  <c r="I588" i="11"/>
  <c r="AD588" i="11" s="1"/>
  <c r="I589" i="11"/>
  <c r="AD589" i="11" s="1"/>
  <c r="I590" i="11"/>
  <c r="AD590" i="11" s="1"/>
  <c r="I591" i="11"/>
  <c r="AD591" i="11" s="1"/>
  <c r="I592" i="11"/>
  <c r="AD592" i="11" s="1"/>
  <c r="I593" i="11"/>
  <c r="AD593" i="11" s="1"/>
  <c r="I594" i="11"/>
  <c r="AD594" i="11" s="1"/>
  <c r="I595" i="11"/>
  <c r="AD595" i="11" s="1"/>
  <c r="I596" i="11"/>
  <c r="AD596" i="11" s="1"/>
  <c r="I597" i="11"/>
  <c r="AD597" i="11" s="1"/>
  <c r="I598" i="11"/>
  <c r="AD598" i="11" s="1"/>
  <c r="I599" i="11"/>
  <c r="AD599" i="11" s="1"/>
  <c r="I600" i="11"/>
  <c r="AD600" i="11" s="1"/>
  <c r="I601" i="11"/>
  <c r="AD601" i="11" s="1"/>
  <c r="I602" i="11"/>
  <c r="AD602" i="11" s="1"/>
  <c r="I603" i="11"/>
  <c r="AD603" i="11" s="1"/>
  <c r="I604" i="11"/>
  <c r="AD604" i="11" s="1"/>
  <c r="I605" i="11"/>
  <c r="AD605" i="11" s="1"/>
  <c r="I606" i="11"/>
  <c r="AD606" i="11" s="1"/>
  <c r="I607" i="11"/>
  <c r="AD607" i="11" s="1"/>
  <c r="I608" i="11"/>
  <c r="AD608" i="11" s="1"/>
  <c r="I609" i="11"/>
  <c r="AD609" i="11" s="1"/>
  <c r="I610" i="11"/>
  <c r="AD610" i="11" s="1"/>
  <c r="I611" i="11"/>
  <c r="AD611" i="11" s="1"/>
  <c r="I612" i="11"/>
  <c r="AD612" i="11" s="1"/>
  <c r="I613" i="11"/>
  <c r="AD613" i="11" s="1"/>
  <c r="I614" i="11"/>
  <c r="AD614" i="11" s="1"/>
  <c r="I615" i="11"/>
  <c r="AD615" i="11" s="1"/>
  <c r="I616" i="11"/>
  <c r="AD616" i="11" s="1"/>
  <c r="I617" i="11"/>
  <c r="AD617" i="11" s="1"/>
  <c r="I618" i="11"/>
  <c r="AD618" i="11" s="1"/>
  <c r="I619" i="11"/>
  <c r="AD619" i="11" s="1"/>
  <c r="I620" i="11"/>
  <c r="AD620" i="11" s="1"/>
  <c r="I621" i="11"/>
  <c r="AD621" i="11" s="1"/>
  <c r="I622" i="11"/>
  <c r="AD622" i="11" s="1"/>
  <c r="I623" i="11"/>
  <c r="AD623" i="11" s="1"/>
  <c r="I624" i="11"/>
  <c r="AD624" i="11" s="1"/>
  <c r="I625" i="11"/>
  <c r="AD625" i="11" s="1"/>
  <c r="I626" i="11"/>
  <c r="AD626" i="11" s="1"/>
  <c r="I627" i="11"/>
  <c r="AD627" i="11" s="1"/>
  <c r="I628" i="11"/>
  <c r="AD628" i="11" s="1"/>
  <c r="I629" i="11"/>
  <c r="AD629" i="11" s="1"/>
  <c r="I630" i="11"/>
  <c r="AD630" i="11" s="1"/>
  <c r="I631" i="11"/>
  <c r="AD631" i="11" s="1"/>
  <c r="I632" i="11"/>
  <c r="AD632" i="11" s="1"/>
  <c r="I633" i="11"/>
  <c r="AD633" i="11" s="1"/>
  <c r="I634" i="11"/>
  <c r="AD634" i="11" s="1"/>
  <c r="I635" i="11"/>
  <c r="AD635" i="11" s="1"/>
  <c r="I636" i="11"/>
  <c r="AD636" i="11" s="1"/>
  <c r="I637" i="11"/>
  <c r="AD637" i="11" s="1"/>
  <c r="I638" i="11"/>
  <c r="AD638" i="11" s="1"/>
  <c r="I639" i="11"/>
  <c r="AD639" i="11" s="1"/>
  <c r="I640" i="11"/>
  <c r="AD640" i="11" s="1"/>
  <c r="I641" i="11"/>
  <c r="AD641" i="11" s="1"/>
  <c r="I642" i="11"/>
  <c r="AD642" i="11" s="1"/>
  <c r="I643" i="11"/>
  <c r="AD643" i="11" s="1"/>
  <c r="I644" i="11"/>
  <c r="AD644" i="11" s="1"/>
  <c r="I645" i="11"/>
  <c r="AD645" i="11" s="1"/>
  <c r="I646" i="11"/>
  <c r="AD646" i="11" s="1"/>
  <c r="I647" i="11"/>
  <c r="AD647" i="11" s="1"/>
  <c r="I648" i="11"/>
  <c r="AD648" i="11" s="1"/>
  <c r="I649" i="11"/>
  <c r="AD649" i="11" s="1"/>
  <c r="I650" i="11"/>
  <c r="AD650" i="11" s="1"/>
  <c r="I651" i="11"/>
  <c r="AD651" i="11" s="1"/>
  <c r="I652" i="11"/>
  <c r="AD652" i="11" s="1"/>
  <c r="I653" i="11"/>
  <c r="AD653" i="11" s="1"/>
  <c r="I654" i="11"/>
  <c r="AD654" i="11" s="1"/>
  <c r="I655" i="11"/>
  <c r="AD655" i="11" s="1"/>
  <c r="I656" i="11"/>
  <c r="AD656" i="11" s="1"/>
  <c r="I657" i="11"/>
  <c r="AD657" i="11" s="1"/>
  <c r="I658" i="11"/>
  <c r="AD658" i="11" s="1"/>
  <c r="I659" i="11"/>
  <c r="AD659" i="11" s="1"/>
  <c r="I660" i="11"/>
  <c r="AD660" i="11" s="1"/>
  <c r="I661" i="11"/>
  <c r="AD661" i="11" s="1"/>
  <c r="I662" i="11"/>
  <c r="AD662" i="11" s="1"/>
  <c r="I663" i="11"/>
  <c r="AD663" i="11" s="1"/>
  <c r="I664" i="11"/>
  <c r="AD664" i="11" s="1"/>
  <c r="I665" i="11"/>
  <c r="AD665" i="11" s="1"/>
  <c r="I666" i="11"/>
  <c r="AD666" i="11" s="1"/>
  <c r="I667" i="11"/>
  <c r="AD667" i="11" s="1"/>
  <c r="I668" i="11"/>
  <c r="AD668" i="11" s="1"/>
  <c r="I669" i="11"/>
  <c r="AD669" i="11" s="1"/>
  <c r="I670" i="11"/>
  <c r="AD670" i="11" s="1"/>
  <c r="I671" i="11"/>
  <c r="AD671" i="11" s="1"/>
  <c r="I672" i="11"/>
  <c r="AD672" i="11" s="1"/>
  <c r="I673" i="11"/>
  <c r="AD673" i="11" s="1"/>
  <c r="I674" i="11"/>
  <c r="AD674" i="11" s="1"/>
  <c r="I675" i="11"/>
  <c r="AD675" i="11" s="1"/>
  <c r="I676" i="11"/>
  <c r="AD676" i="11" s="1"/>
  <c r="I677" i="11"/>
  <c r="AD677" i="11" s="1"/>
  <c r="I678" i="11"/>
  <c r="AD678" i="11" s="1"/>
  <c r="I679" i="11"/>
  <c r="AD679" i="11" s="1"/>
  <c r="I680" i="11"/>
  <c r="AD680" i="11" s="1"/>
  <c r="I681" i="11"/>
  <c r="AD681" i="11" s="1"/>
  <c r="I682" i="11"/>
  <c r="AD682" i="11" s="1"/>
  <c r="I683" i="11"/>
  <c r="AD683" i="11" s="1"/>
  <c r="I684" i="11"/>
  <c r="AD684" i="11" s="1"/>
  <c r="I685" i="11"/>
  <c r="AD685" i="11" s="1"/>
  <c r="I686" i="11"/>
  <c r="AD686" i="11" s="1"/>
  <c r="I687" i="11"/>
  <c r="AD687" i="11" s="1"/>
  <c r="I688" i="11"/>
  <c r="AD688" i="11" s="1"/>
  <c r="I689" i="11"/>
  <c r="AD689" i="11" s="1"/>
  <c r="I690" i="11"/>
  <c r="AD690" i="11" s="1"/>
  <c r="I691" i="11"/>
  <c r="AD691" i="11" s="1"/>
  <c r="I692" i="11"/>
  <c r="AD692" i="11" s="1"/>
  <c r="I693" i="11"/>
  <c r="AD693" i="11" s="1"/>
  <c r="I694" i="11"/>
  <c r="AD694" i="11" s="1"/>
  <c r="I695" i="11"/>
  <c r="AD695" i="11" s="1"/>
  <c r="I696" i="11"/>
  <c r="AD696" i="11" s="1"/>
  <c r="I697" i="11"/>
  <c r="AD697" i="11" s="1"/>
  <c r="I698" i="11"/>
  <c r="AD698" i="11" s="1"/>
  <c r="I699" i="11"/>
  <c r="AD699" i="11" s="1"/>
  <c r="I700" i="11"/>
  <c r="AD700" i="11" s="1"/>
  <c r="I701" i="11"/>
  <c r="AD701" i="11" s="1"/>
  <c r="I702" i="11"/>
  <c r="AD702" i="11" s="1"/>
  <c r="I703" i="11"/>
  <c r="AD703" i="11" s="1"/>
  <c r="I704" i="11"/>
  <c r="AD704" i="11" s="1"/>
  <c r="I705" i="11"/>
  <c r="AD705" i="11" s="1"/>
  <c r="I706" i="11"/>
  <c r="AD706" i="11" s="1"/>
  <c r="I707" i="11"/>
  <c r="AD707" i="11" s="1"/>
  <c r="I708" i="11"/>
  <c r="AD708" i="11" s="1"/>
  <c r="I709" i="11"/>
  <c r="AD709" i="11" s="1"/>
  <c r="I710" i="11"/>
  <c r="AD710" i="11" s="1"/>
  <c r="I711" i="11"/>
  <c r="AD711" i="11" s="1"/>
  <c r="I712" i="11"/>
  <c r="AD712" i="11" s="1"/>
  <c r="I713" i="11"/>
  <c r="AD713" i="11" s="1"/>
  <c r="I714" i="11"/>
  <c r="AD714" i="11" s="1"/>
  <c r="I715" i="11"/>
  <c r="AD715" i="11" s="1"/>
  <c r="I716" i="11"/>
  <c r="AD716" i="11" s="1"/>
  <c r="I717" i="11"/>
  <c r="AD717" i="11" s="1"/>
  <c r="I718" i="11"/>
  <c r="AD718" i="11" s="1"/>
  <c r="I719" i="11"/>
  <c r="AD719" i="11" s="1"/>
  <c r="I720" i="11"/>
  <c r="AD720" i="11" s="1"/>
  <c r="I721" i="11"/>
  <c r="AD721" i="11" s="1"/>
  <c r="I722" i="11"/>
  <c r="AD722" i="11" s="1"/>
  <c r="I723" i="11"/>
  <c r="AD723" i="11" s="1"/>
  <c r="I724" i="11"/>
  <c r="AD724" i="11" s="1"/>
  <c r="I725" i="11"/>
  <c r="AD725" i="11" s="1"/>
  <c r="I726" i="11"/>
  <c r="AD726" i="11" s="1"/>
  <c r="I727" i="11"/>
  <c r="AD727" i="11" s="1"/>
  <c r="I728" i="11"/>
  <c r="AD728" i="11" s="1"/>
  <c r="I729" i="11"/>
  <c r="AD729" i="11" s="1"/>
  <c r="I730" i="11"/>
  <c r="AD730" i="11" s="1"/>
  <c r="I731" i="11"/>
  <c r="AD731" i="11" s="1"/>
  <c r="I732" i="11"/>
  <c r="AD732" i="11" s="1"/>
  <c r="I733" i="11"/>
  <c r="AD733" i="11" s="1"/>
  <c r="I734" i="11"/>
  <c r="AD734" i="11" s="1"/>
  <c r="I735" i="11"/>
  <c r="AD735" i="11" s="1"/>
  <c r="I736" i="11"/>
  <c r="AD736" i="11" s="1"/>
  <c r="I737" i="11"/>
  <c r="AD737" i="11" s="1"/>
  <c r="I738" i="11"/>
  <c r="AD738" i="11" s="1"/>
  <c r="I739" i="11"/>
  <c r="AD739" i="11" s="1"/>
  <c r="I740" i="11"/>
  <c r="AD740" i="11" s="1"/>
  <c r="I741" i="11"/>
  <c r="AD741" i="11" s="1"/>
  <c r="I742" i="11"/>
  <c r="AD742" i="11" s="1"/>
  <c r="I743" i="11"/>
  <c r="AD743" i="11" s="1"/>
  <c r="I744" i="11"/>
  <c r="AD744" i="11" s="1"/>
  <c r="I745" i="11"/>
  <c r="AD745" i="11" s="1"/>
  <c r="I746" i="11"/>
  <c r="AD746" i="11" s="1"/>
  <c r="I747" i="11"/>
  <c r="AD747" i="11" s="1"/>
  <c r="I748" i="11"/>
  <c r="AD748" i="11" s="1"/>
  <c r="I749" i="11"/>
  <c r="AD749" i="11" s="1"/>
  <c r="I750" i="11"/>
  <c r="AD750" i="11" s="1"/>
  <c r="I751" i="11"/>
  <c r="AD751" i="11" s="1"/>
  <c r="I752" i="11"/>
  <c r="AD752" i="11" s="1"/>
  <c r="I753" i="11"/>
  <c r="AD753" i="11" s="1"/>
  <c r="I754" i="11"/>
  <c r="AD754" i="11" s="1"/>
  <c r="I755" i="11"/>
  <c r="AD755" i="11" s="1"/>
  <c r="I756" i="11"/>
  <c r="AD756" i="11" s="1"/>
  <c r="I757" i="11"/>
  <c r="AD757" i="11" s="1"/>
  <c r="I758" i="11"/>
  <c r="AD758" i="11" s="1"/>
  <c r="I759" i="11"/>
  <c r="AD759" i="11" s="1"/>
  <c r="I760" i="11"/>
  <c r="AD760" i="11" s="1"/>
  <c r="I761" i="11"/>
  <c r="AD761" i="11" s="1"/>
  <c r="I762" i="11"/>
  <c r="AD762" i="11" s="1"/>
  <c r="I763" i="11"/>
  <c r="AD763" i="11" s="1"/>
  <c r="I764" i="11"/>
  <c r="AD764" i="11" s="1"/>
  <c r="I765" i="11"/>
  <c r="AD765" i="11" s="1"/>
  <c r="I766" i="11"/>
  <c r="AD766" i="11" s="1"/>
  <c r="I767" i="11"/>
  <c r="AD767" i="11" s="1"/>
  <c r="I768" i="11"/>
  <c r="AD768" i="11" s="1"/>
  <c r="I769" i="11"/>
  <c r="AD769" i="11" s="1"/>
  <c r="I770" i="11"/>
  <c r="AD770" i="11" s="1"/>
  <c r="I771" i="11"/>
  <c r="AD771" i="11" s="1"/>
  <c r="I772" i="11"/>
  <c r="AD772" i="11" s="1"/>
  <c r="I773" i="11"/>
  <c r="AD773" i="11" s="1"/>
  <c r="I774" i="11"/>
  <c r="AD774" i="11" s="1"/>
  <c r="I775" i="11"/>
  <c r="AD775" i="11" s="1"/>
  <c r="I776" i="11"/>
  <c r="AD776" i="11" s="1"/>
  <c r="I777" i="11"/>
  <c r="AD777" i="11" s="1"/>
  <c r="I778" i="11"/>
  <c r="AD778" i="11" s="1"/>
  <c r="I779" i="11"/>
  <c r="AD779" i="11" s="1"/>
  <c r="I780" i="11"/>
  <c r="AD780" i="11" s="1"/>
  <c r="I781" i="11"/>
  <c r="AD781" i="11" s="1"/>
  <c r="I782" i="11"/>
  <c r="AD782" i="11" s="1"/>
  <c r="I783" i="11"/>
  <c r="AD783" i="11" s="1"/>
  <c r="I784" i="11"/>
  <c r="AD784" i="11" s="1"/>
  <c r="I785" i="11"/>
  <c r="AD785" i="11" s="1"/>
  <c r="I786" i="11"/>
  <c r="AD786" i="11" s="1"/>
  <c r="I787" i="11"/>
  <c r="AD787" i="11" s="1"/>
  <c r="I788" i="11"/>
  <c r="AD788" i="11" s="1"/>
  <c r="I789" i="11"/>
  <c r="AD789" i="11" s="1"/>
  <c r="I790" i="11"/>
  <c r="AD790" i="11" s="1"/>
  <c r="I791" i="11"/>
  <c r="AD791" i="11" s="1"/>
  <c r="I792" i="11"/>
  <c r="AD792" i="11" s="1"/>
  <c r="I793" i="11"/>
  <c r="AD793" i="11" s="1"/>
  <c r="I794" i="11"/>
  <c r="AD794" i="11" s="1"/>
  <c r="I795" i="11"/>
  <c r="AD795" i="11" s="1"/>
  <c r="I796" i="11"/>
  <c r="AD796" i="11" s="1"/>
  <c r="I797" i="11"/>
  <c r="AD797" i="11" s="1"/>
  <c r="I798" i="11"/>
  <c r="AD798" i="11" s="1"/>
  <c r="I799" i="11"/>
  <c r="AD799" i="11" s="1"/>
  <c r="I800" i="11"/>
  <c r="AD800" i="11" s="1"/>
  <c r="I801" i="11"/>
  <c r="AD801" i="11" s="1"/>
  <c r="I802" i="11"/>
  <c r="AD802" i="11" s="1"/>
  <c r="I803" i="11"/>
  <c r="AD803" i="11" s="1"/>
  <c r="I804" i="11"/>
  <c r="AD804" i="11" s="1"/>
  <c r="I805" i="11"/>
  <c r="AD805" i="11" s="1"/>
  <c r="I806" i="11"/>
  <c r="AD806" i="11" s="1"/>
  <c r="I807" i="11"/>
  <c r="AD807" i="11" s="1"/>
  <c r="I808" i="11"/>
  <c r="AD808" i="11" s="1"/>
  <c r="I809" i="11"/>
  <c r="AD809" i="11" s="1"/>
  <c r="I810" i="11"/>
  <c r="AD810" i="11" s="1"/>
  <c r="I811" i="11"/>
  <c r="AD811" i="11" s="1"/>
  <c r="I812" i="11"/>
  <c r="AD812" i="11" s="1"/>
  <c r="I813" i="11"/>
  <c r="AD813" i="11" s="1"/>
  <c r="I814" i="11"/>
  <c r="AD814" i="11" s="1"/>
  <c r="I815" i="11"/>
  <c r="AD815" i="11" s="1"/>
  <c r="I816" i="11"/>
  <c r="AD816" i="11" s="1"/>
  <c r="I817" i="11"/>
  <c r="AD817" i="11" s="1"/>
  <c r="I818" i="11"/>
  <c r="AD818" i="11" s="1"/>
  <c r="I819" i="11"/>
  <c r="AD819" i="11" s="1"/>
  <c r="I820" i="11"/>
  <c r="AD820" i="11" s="1"/>
  <c r="I821" i="11"/>
  <c r="AD821" i="11" s="1"/>
  <c r="I822" i="11"/>
  <c r="AD822" i="11" s="1"/>
  <c r="I823" i="11"/>
  <c r="AD823" i="11" s="1"/>
  <c r="I824" i="11"/>
  <c r="AD824" i="11" s="1"/>
  <c r="I825" i="11"/>
  <c r="AD825" i="11" s="1"/>
  <c r="I826" i="11"/>
  <c r="AD826" i="11" s="1"/>
  <c r="I827" i="11"/>
  <c r="AD827" i="11" s="1"/>
  <c r="I828" i="11"/>
  <c r="AD828" i="11" s="1"/>
  <c r="I829" i="11"/>
  <c r="AD829" i="11" s="1"/>
  <c r="I830" i="11"/>
  <c r="AD830" i="11" s="1"/>
  <c r="I831" i="11"/>
  <c r="AD831" i="11" s="1"/>
  <c r="I832" i="11"/>
  <c r="AD832" i="11" s="1"/>
  <c r="I833" i="11"/>
  <c r="AD833" i="11" s="1"/>
  <c r="I834" i="11"/>
  <c r="AD834" i="11" s="1"/>
  <c r="I835" i="11"/>
  <c r="AD835" i="11" s="1"/>
  <c r="I836" i="11"/>
  <c r="AD836" i="11" s="1"/>
  <c r="I837" i="11"/>
  <c r="AD837" i="11" s="1"/>
  <c r="I838" i="11"/>
  <c r="AD838" i="11" s="1"/>
  <c r="I839" i="11"/>
  <c r="AD839" i="11" s="1"/>
  <c r="I840" i="11"/>
  <c r="AD840" i="11" s="1"/>
  <c r="I841" i="11"/>
  <c r="AD841" i="11" s="1"/>
  <c r="I842" i="11"/>
  <c r="AD842" i="11" s="1"/>
  <c r="I843" i="11"/>
  <c r="AD843" i="11" s="1"/>
  <c r="I844" i="11"/>
  <c r="AD844" i="11" s="1"/>
  <c r="I845" i="11"/>
  <c r="AD845" i="11" s="1"/>
  <c r="I846" i="11"/>
  <c r="AD846" i="11" s="1"/>
  <c r="I847" i="11"/>
  <c r="AD847" i="11" s="1"/>
  <c r="I848" i="11"/>
  <c r="AD848" i="11" s="1"/>
  <c r="I849" i="11"/>
  <c r="AD849" i="11" s="1"/>
  <c r="I850" i="11"/>
  <c r="AD850" i="11" s="1"/>
  <c r="I851" i="11"/>
  <c r="AD851" i="11" s="1"/>
  <c r="I852" i="11"/>
  <c r="AD852" i="11" s="1"/>
  <c r="I853" i="11"/>
  <c r="AD853" i="11" s="1"/>
  <c r="I854" i="11"/>
  <c r="AD854" i="11" s="1"/>
  <c r="I855" i="11"/>
  <c r="AD855" i="11" s="1"/>
  <c r="I856" i="11"/>
  <c r="AD856" i="11" s="1"/>
  <c r="I857" i="11"/>
  <c r="AD857" i="11" s="1"/>
  <c r="I858" i="11"/>
  <c r="AD858" i="11" s="1"/>
  <c r="I859" i="11"/>
  <c r="AD859" i="11" s="1"/>
  <c r="I860" i="11"/>
  <c r="AD860" i="11" s="1"/>
  <c r="I861" i="11"/>
  <c r="AD861" i="11" s="1"/>
  <c r="I862" i="11"/>
  <c r="AD862" i="11" s="1"/>
  <c r="I863" i="11"/>
  <c r="AD863" i="11" s="1"/>
  <c r="I864" i="11"/>
  <c r="AD864" i="11" s="1"/>
  <c r="I865" i="11"/>
  <c r="AD865" i="11" s="1"/>
  <c r="I866" i="11"/>
  <c r="AD866" i="11" s="1"/>
  <c r="I867" i="11"/>
  <c r="AD867" i="11" s="1"/>
  <c r="I868" i="11"/>
  <c r="AD868" i="11" s="1"/>
  <c r="I869" i="11"/>
  <c r="AD869" i="11" s="1"/>
  <c r="I870" i="11"/>
  <c r="AD870" i="11" s="1"/>
  <c r="I871" i="11"/>
  <c r="AD871" i="11" s="1"/>
  <c r="I872" i="11"/>
  <c r="AD872" i="11" s="1"/>
  <c r="I873" i="11"/>
  <c r="AD873" i="11" s="1"/>
  <c r="I874" i="11"/>
  <c r="AD874" i="11" s="1"/>
  <c r="I875" i="11"/>
  <c r="AD875" i="11" s="1"/>
  <c r="I876" i="11"/>
  <c r="AD876" i="11" s="1"/>
  <c r="I877" i="11"/>
  <c r="AD877" i="11" s="1"/>
  <c r="I878" i="11"/>
  <c r="AD878" i="11" s="1"/>
  <c r="I879" i="11"/>
  <c r="AD879" i="11" s="1"/>
  <c r="I880" i="11"/>
  <c r="AD880" i="11" s="1"/>
  <c r="I881" i="11"/>
  <c r="AD881" i="11" s="1"/>
  <c r="I882" i="11"/>
  <c r="AD882" i="11" s="1"/>
  <c r="I883" i="11"/>
  <c r="AD883" i="11" s="1"/>
  <c r="I884" i="11"/>
  <c r="AD884" i="11" s="1"/>
  <c r="I885" i="11"/>
  <c r="AD885" i="11" s="1"/>
  <c r="I886" i="11"/>
  <c r="AD886" i="11" s="1"/>
  <c r="I887" i="11"/>
  <c r="AD887" i="11" s="1"/>
  <c r="I888" i="11"/>
  <c r="AD888" i="11" s="1"/>
  <c r="I889" i="11"/>
  <c r="AD889" i="11" s="1"/>
  <c r="I890" i="11"/>
  <c r="AD890" i="11" s="1"/>
  <c r="I891" i="11"/>
  <c r="AD891" i="11" s="1"/>
  <c r="I892" i="11"/>
  <c r="AD892" i="11" s="1"/>
  <c r="I893" i="11"/>
  <c r="AD893" i="11" s="1"/>
  <c r="I894" i="11"/>
  <c r="AD894" i="11" s="1"/>
  <c r="I895" i="11"/>
  <c r="AD895" i="11" s="1"/>
  <c r="I896" i="11"/>
  <c r="AD896" i="11" s="1"/>
  <c r="I897" i="11"/>
  <c r="AD897" i="11" s="1"/>
  <c r="I898" i="11"/>
  <c r="AD898" i="11" s="1"/>
  <c r="I899" i="11"/>
  <c r="AD899" i="11" s="1"/>
  <c r="I900" i="11"/>
  <c r="AD900" i="11" s="1"/>
  <c r="I901" i="11"/>
  <c r="AD901" i="11" s="1"/>
  <c r="I902" i="11"/>
  <c r="AD902" i="11" s="1"/>
  <c r="I903" i="11"/>
  <c r="AD903" i="11" s="1"/>
  <c r="I904" i="11"/>
  <c r="AD904" i="11" s="1"/>
  <c r="I905" i="11"/>
  <c r="AD905" i="11" s="1"/>
  <c r="I906" i="11"/>
  <c r="AD906" i="11" s="1"/>
  <c r="I907" i="11"/>
  <c r="AD907" i="11" s="1"/>
  <c r="I908" i="11"/>
  <c r="AD908" i="11" s="1"/>
  <c r="I909" i="11"/>
  <c r="AD909" i="11" s="1"/>
  <c r="I910" i="11"/>
  <c r="AD910" i="11" s="1"/>
  <c r="I911" i="11"/>
  <c r="AD911" i="11" s="1"/>
  <c r="I912" i="11"/>
  <c r="AD912" i="11" s="1"/>
  <c r="I913" i="11"/>
  <c r="AD913" i="11" s="1"/>
  <c r="I914" i="11"/>
  <c r="AD914" i="11" s="1"/>
  <c r="I915" i="11"/>
  <c r="AD915" i="11" s="1"/>
  <c r="I916" i="11"/>
  <c r="AD916" i="11" s="1"/>
  <c r="I917" i="11"/>
  <c r="AD917" i="11" s="1"/>
  <c r="I918" i="11"/>
  <c r="AD918" i="11" s="1"/>
  <c r="I919" i="11"/>
  <c r="AD919" i="11" s="1"/>
  <c r="I920" i="11"/>
  <c r="AD920" i="11" s="1"/>
  <c r="I921" i="11"/>
  <c r="AD921" i="11" s="1"/>
  <c r="I922" i="11"/>
  <c r="AD922" i="11" s="1"/>
  <c r="I923" i="11"/>
  <c r="AD923" i="11" s="1"/>
  <c r="I924" i="11"/>
  <c r="AD924" i="11" s="1"/>
  <c r="I925" i="11"/>
  <c r="AD925" i="11" s="1"/>
  <c r="I926" i="11"/>
  <c r="AD926" i="11" s="1"/>
  <c r="I927" i="11"/>
  <c r="AD927" i="11" s="1"/>
  <c r="I928" i="11"/>
  <c r="AD928" i="11" s="1"/>
  <c r="I929" i="11"/>
  <c r="AD929" i="11" s="1"/>
  <c r="I930" i="11"/>
  <c r="AD930" i="11" s="1"/>
  <c r="I931" i="11"/>
  <c r="AD931" i="11" s="1"/>
  <c r="I932" i="11"/>
  <c r="AD932" i="11" s="1"/>
  <c r="I933" i="11"/>
  <c r="AD933" i="11" s="1"/>
  <c r="I934" i="11"/>
  <c r="AD934" i="11" s="1"/>
  <c r="I935" i="11"/>
  <c r="AD935" i="11" s="1"/>
  <c r="I936" i="11"/>
  <c r="AD936" i="11" s="1"/>
  <c r="I937" i="11"/>
  <c r="AD937" i="11" s="1"/>
  <c r="I938" i="11"/>
  <c r="AD938" i="11" s="1"/>
  <c r="I939" i="11"/>
  <c r="AD939" i="11" s="1"/>
  <c r="I940" i="11"/>
  <c r="AD940" i="11" s="1"/>
  <c r="I941" i="11"/>
  <c r="AD941" i="11" s="1"/>
  <c r="I942" i="11"/>
  <c r="AD942" i="11" s="1"/>
  <c r="I943" i="11"/>
  <c r="AD943" i="11" s="1"/>
  <c r="I944" i="11"/>
  <c r="AD944" i="11" s="1"/>
  <c r="I945" i="11"/>
  <c r="AD945" i="11" s="1"/>
  <c r="I946" i="11"/>
  <c r="AD946" i="11" s="1"/>
  <c r="I947" i="11"/>
  <c r="AD947" i="11" s="1"/>
  <c r="I948" i="11"/>
  <c r="AD948" i="11" s="1"/>
  <c r="I949" i="11"/>
  <c r="AD949" i="11" s="1"/>
  <c r="I950" i="11"/>
  <c r="AD950" i="11" s="1"/>
  <c r="I951" i="11"/>
  <c r="AD951" i="11" s="1"/>
  <c r="I952" i="11"/>
  <c r="AD952" i="11" s="1"/>
  <c r="I953" i="11"/>
  <c r="AD953" i="11" s="1"/>
  <c r="I954" i="11"/>
  <c r="AD954" i="11" s="1"/>
  <c r="I955" i="11"/>
  <c r="AD955" i="11" s="1"/>
  <c r="I956" i="11"/>
  <c r="AD956" i="11" s="1"/>
  <c r="I957" i="11"/>
  <c r="AD957" i="11" s="1"/>
  <c r="I958" i="11"/>
  <c r="AD958" i="11" s="1"/>
  <c r="I959" i="11"/>
  <c r="AD959" i="11" s="1"/>
  <c r="I960" i="11"/>
  <c r="AD960" i="11" s="1"/>
  <c r="I961" i="11"/>
  <c r="AD961" i="11" s="1"/>
  <c r="I962" i="11"/>
  <c r="AD962" i="11" s="1"/>
  <c r="I963" i="11"/>
  <c r="AD963" i="11" s="1"/>
  <c r="I964" i="11"/>
  <c r="AD964" i="11" s="1"/>
  <c r="I965" i="11"/>
  <c r="AD965" i="11" s="1"/>
  <c r="I966" i="11"/>
  <c r="AD966" i="11" s="1"/>
  <c r="I967" i="11"/>
  <c r="AD967" i="11" s="1"/>
  <c r="I968" i="11"/>
  <c r="AD968" i="11" s="1"/>
  <c r="I969" i="11"/>
  <c r="AD969" i="11" s="1"/>
  <c r="I970" i="11"/>
  <c r="AD970" i="11" s="1"/>
  <c r="I971" i="11"/>
  <c r="AD971" i="11" s="1"/>
  <c r="I972" i="11"/>
  <c r="AD972" i="11" s="1"/>
  <c r="I973" i="11"/>
  <c r="AD973" i="11" s="1"/>
  <c r="I974" i="11"/>
  <c r="AD974" i="11" s="1"/>
  <c r="I975" i="11"/>
  <c r="AD975" i="11" s="1"/>
  <c r="I976" i="11"/>
  <c r="AD976" i="11" s="1"/>
  <c r="I977" i="11"/>
  <c r="AD977" i="11" s="1"/>
  <c r="I978" i="11"/>
  <c r="AD978" i="11" s="1"/>
  <c r="I979" i="11"/>
  <c r="AD979" i="11" s="1"/>
  <c r="I980" i="11"/>
  <c r="AD980" i="11" s="1"/>
  <c r="I981" i="11"/>
  <c r="AD981" i="11" s="1"/>
  <c r="I982" i="11"/>
  <c r="AD982" i="11" s="1"/>
  <c r="I983" i="11"/>
  <c r="AD983" i="11" s="1"/>
  <c r="I984" i="11"/>
  <c r="AD984" i="11" s="1"/>
  <c r="I985" i="11"/>
  <c r="AD985" i="11" s="1"/>
  <c r="I986" i="11"/>
  <c r="AD986" i="11" s="1"/>
  <c r="I987" i="11"/>
  <c r="AD987" i="11" s="1"/>
  <c r="I988" i="11"/>
  <c r="AD988" i="11" s="1"/>
  <c r="I989" i="11"/>
  <c r="AD989" i="11" s="1"/>
  <c r="I990" i="11"/>
  <c r="AD990" i="11" s="1"/>
  <c r="I991" i="11"/>
  <c r="AD991" i="11" s="1"/>
  <c r="I992" i="11"/>
  <c r="AD992" i="11" s="1"/>
  <c r="I993" i="11"/>
  <c r="AD993" i="11" s="1"/>
  <c r="I994" i="11"/>
  <c r="AD994" i="11" s="1"/>
  <c r="I995" i="11"/>
  <c r="AD995" i="11" s="1"/>
  <c r="I996" i="11"/>
  <c r="AD996" i="11" s="1"/>
  <c r="I997" i="11"/>
  <c r="AD997" i="11" s="1"/>
  <c r="I998" i="11"/>
  <c r="AD998" i="11" s="1"/>
  <c r="I999" i="11"/>
  <c r="AD999" i="11" s="1"/>
  <c r="I1000" i="11"/>
  <c r="AD1000" i="11" s="1"/>
  <c r="I1001" i="11"/>
  <c r="AD1001" i="11" s="1"/>
  <c r="I1002" i="11"/>
  <c r="AD1002" i="11" s="1"/>
  <c r="I1003" i="11"/>
  <c r="AD1003" i="11" s="1"/>
  <c r="I1004" i="11"/>
  <c r="AD1004" i="11" s="1"/>
  <c r="I1005" i="11"/>
  <c r="AD1005" i="11" s="1"/>
  <c r="I1006" i="11"/>
  <c r="AD1006" i="11" s="1"/>
  <c r="I1007" i="11"/>
  <c r="AD1007" i="11" s="1"/>
  <c r="I1008" i="11"/>
  <c r="AD1008" i="11" s="1"/>
  <c r="I1009" i="11"/>
  <c r="AD1009" i="11" s="1"/>
  <c r="I1010" i="11"/>
  <c r="AD1010" i="11" s="1"/>
  <c r="I1011" i="11"/>
  <c r="AD1011" i="11" s="1"/>
  <c r="I1012" i="11"/>
  <c r="AD1012" i="11" s="1"/>
  <c r="I1013" i="11"/>
  <c r="AD1013" i="11" s="1"/>
  <c r="I1014" i="11"/>
  <c r="AD1014" i="11" s="1"/>
  <c r="I1015" i="11"/>
  <c r="AD1015" i="11" s="1"/>
  <c r="I1016" i="11"/>
  <c r="AD1016" i="11" s="1"/>
  <c r="I1017" i="11"/>
  <c r="AD1017" i="11" s="1"/>
  <c r="I1018" i="11"/>
  <c r="AD1018" i="11" s="1"/>
  <c r="I1019" i="11"/>
  <c r="AD1019" i="11" s="1"/>
  <c r="I1020" i="11"/>
  <c r="AD1020" i="11" s="1"/>
  <c r="I1021" i="11"/>
  <c r="AD1021" i="11" s="1"/>
  <c r="I1022" i="11"/>
  <c r="AD1022" i="11" s="1"/>
  <c r="I1023" i="11"/>
  <c r="AD1023" i="11" s="1"/>
  <c r="I1024" i="11"/>
  <c r="AD1024" i="11" s="1"/>
  <c r="I1025" i="11"/>
  <c r="AD1025" i="11" s="1"/>
  <c r="I1026" i="11"/>
  <c r="AD1026" i="11" s="1"/>
  <c r="I1027" i="11"/>
  <c r="AD1027" i="11" s="1"/>
  <c r="I1028" i="11"/>
  <c r="AD1028" i="11" s="1"/>
  <c r="I1029" i="11"/>
  <c r="AD1029" i="11" s="1"/>
  <c r="I1030" i="11"/>
  <c r="AD1030" i="11" s="1"/>
  <c r="I1031" i="11"/>
  <c r="AD1031" i="11" s="1"/>
  <c r="I1032" i="11"/>
  <c r="AD1032" i="11" s="1"/>
  <c r="I1033" i="11"/>
  <c r="AD1033" i="11" s="1"/>
  <c r="I1034" i="11"/>
  <c r="AD1034" i="11" s="1"/>
  <c r="I1035" i="11"/>
  <c r="AD1035" i="11" s="1"/>
  <c r="I1036" i="11"/>
  <c r="AD1036" i="11" s="1"/>
  <c r="I1037" i="11"/>
  <c r="AD1037" i="11" s="1"/>
  <c r="I1038" i="11"/>
  <c r="AD1038" i="11" s="1"/>
  <c r="I1039" i="11"/>
  <c r="AD1039" i="11" s="1"/>
  <c r="I1040" i="11"/>
  <c r="AD1040" i="11" s="1"/>
  <c r="I1041" i="11"/>
  <c r="AD1041" i="11" s="1"/>
  <c r="I1042" i="11"/>
  <c r="AD1042" i="11" s="1"/>
  <c r="I1043" i="11"/>
  <c r="AD1043" i="11" s="1"/>
  <c r="I1044" i="11"/>
  <c r="AD1044" i="11" s="1"/>
  <c r="I1045" i="11"/>
  <c r="AD1045" i="11" s="1"/>
  <c r="I1046" i="11"/>
  <c r="AD1046" i="11" s="1"/>
  <c r="I1047" i="11"/>
  <c r="AD1047" i="11" s="1"/>
  <c r="I1048" i="11"/>
  <c r="AD1048" i="11" s="1"/>
  <c r="I1049" i="11"/>
  <c r="AD1049" i="11" s="1"/>
  <c r="I1050" i="11"/>
  <c r="AD1050" i="11" s="1"/>
  <c r="I1051" i="11"/>
  <c r="AD1051" i="11" s="1"/>
  <c r="I1052" i="11"/>
  <c r="AD1052" i="11" s="1"/>
  <c r="I1053" i="11"/>
  <c r="AD1053" i="11" s="1"/>
  <c r="I1054" i="11"/>
  <c r="AD1054" i="11" s="1"/>
  <c r="I1055" i="11"/>
  <c r="AD1055" i="11" s="1"/>
  <c r="I1056" i="11"/>
  <c r="AD1056" i="11" s="1"/>
  <c r="I1057" i="11"/>
  <c r="AD1057" i="11" s="1"/>
  <c r="I1058" i="11"/>
  <c r="AD1058" i="11" s="1"/>
  <c r="I1059" i="11"/>
  <c r="AD1059" i="11" s="1"/>
  <c r="I1060" i="11"/>
  <c r="AD1060" i="11" s="1"/>
  <c r="I1061" i="11"/>
  <c r="AD1061" i="11" s="1"/>
  <c r="I1062" i="11"/>
  <c r="AD1062" i="11" s="1"/>
  <c r="I1063" i="11"/>
  <c r="AD1063" i="11" s="1"/>
  <c r="I1064" i="11"/>
  <c r="AD1064" i="11" s="1"/>
  <c r="I1065" i="11"/>
  <c r="AD1065" i="11" s="1"/>
  <c r="I1066" i="11"/>
  <c r="AD1066" i="11" s="1"/>
  <c r="I1067" i="11"/>
  <c r="AD1067" i="11" s="1"/>
  <c r="I1068" i="11"/>
  <c r="AD1068" i="11" s="1"/>
  <c r="I1069" i="11"/>
  <c r="AD1069" i="11" s="1"/>
  <c r="I1070" i="11"/>
  <c r="AD1070" i="11" s="1"/>
  <c r="I1071" i="11"/>
  <c r="AD1071" i="11" s="1"/>
  <c r="I1072" i="11"/>
  <c r="AD1072" i="11" s="1"/>
  <c r="I1073" i="11"/>
  <c r="AD1073" i="11" s="1"/>
  <c r="I1074" i="11"/>
  <c r="AD1074" i="11" s="1"/>
  <c r="I1075" i="11"/>
  <c r="AD1075" i="11" s="1"/>
  <c r="I1076" i="11"/>
  <c r="AD1076" i="11" s="1"/>
  <c r="I1077" i="11"/>
  <c r="AD1077" i="11" s="1"/>
  <c r="I1078" i="11"/>
  <c r="AD1078" i="11" s="1"/>
  <c r="I1079" i="11"/>
  <c r="AD1079" i="11" s="1"/>
  <c r="I1080" i="11"/>
  <c r="AD1080" i="11" s="1"/>
  <c r="I1081" i="11"/>
  <c r="AD1081" i="11" s="1"/>
  <c r="I1082" i="11"/>
  <c r="AD1082" i="11" s="1"/>
  <c r="I1083" i="11"/>
  <c r="AD1083" i="11" s="1"/>
  <c r="I1084" i="11"/>
  <c r="AD1084" i="11" s="1"/>
  <c r="I1085" i="11"/>
  <c r="AD1085" i="11" s="1"/>
  <c r="I1086" i="11"/>
  <c r="AD1086" i="11" s="1"/>
  <c r="I1087" i="11"/>
  <c r="AD1087" i="11" s="1"/>
  <c r="I1088" i="11"/>
  <c r="AD1088" i="11" s="1"/>
  <c r="I1089" i="11"/>
  <c r="AD1089" i="11" s="1"/>
  <c r="I1090" i="11"/>
  <c r="AD1090" i="11" s="1"/>
  <c r="I1091" i="11"/>
  <c r="AD1091" i="11" s="1"/>
  <c r="I1092" i="11"/>
  <c r="AD1092" i="11" s="1"/>
  <c r="I1093" i="11"/>
  <c r="AD1093" i="11" s="1"/>
  <c r="I1094" i="11"/>
  <c r="AD1094" i="11" s="1"/>
  <c r="I1095" i="11"/>
  <c r="AD1095" i="11" s="1"/>
  <c r="I1096" i="11"/>
  <c r="AD1096" i="11" s="1"/>
  <c r="I1097" i="11"/>
  <c r="AD1097" i="11" s="1"/>
  <c r="I1098" i="11"/>
  <c r="AD1098" i="11" s="1"/>
  <c r="I1099" i="11"/>
  <c r="AD1099" i="11" s="1"/>
  <c r="I1100" i="11"/>
  <c r="AD1100" i="11" s="1"/>
  <c r="I1101" i="11"/>
  <c r="AD1101" i="11" s="1"/>
  <c r="I1102" i="11"/>
  <c r="AD1102" i="11" s="1"/>
  <c r="I1103" i="11"/>
  <c r="AD1103" i="11" s="1"/>
  <c r="I1104" i="11"/>
  <c r="AD1104" i="11" s="1"/>
  <c r="I1105" i="11"/>
  <c r="AD1105" i="11" s="1"/>
  <c r="I1106" i="11"/>
  <c r="AD1106" i="11" s="1"/>
  <c r="I1107" i="11"/>
  <c r="AD1107" i="11" s="1"/>
  <c r="I1108" i="11"/>
  <c r="AD1108" i="11" s="1"/>
  <c r="I1109" i="11"/>
  <c r="AD1109" i="11" s="1"/>
  <c r="I1110" i="11"/>
  <c r="AD1110" i="11" s="1"/>
  <c r="I1111" i="11"/>
  <c r="AD1111" i="11" s="1"/>
  <c r="I1112" i="11"/>
  <c r="AD1112" i="11" s="1"/>
  <c r="I1113" i="11"/>
  <c r="AD1113" i="11" s="1"/>
  <c r="I1114" i="11"/>
  <c r="AD1114" i="11" s="1"/>
  <c r="I1115" i="11"/>
  <c r="AD1115" i="11" s="1"/>
  <c r="I1116" i="11"/>
  <c r="AD1116" i="11" s="1"/>
  <c r="I1117" i="11"/>
  <c r="AD1117" i="11" s="1"/>
  <c r="I1118" i="11"/>
  <c r="AD1118" i="11" s="1"/>
  <c r="I1119" i="11"/>
  <c r="AD1119" i="11" s="1"/>
  <c r="I1120" i="11"/>
  <c r="AD1120" i="11" s="1"/>
  <c r="I1121" i="11"/>
  <c r="AD1121" i="11" s="1"/>
  <c r="I1122" i="11"/>
  <c r="AD1122" i="11" s="1"/>
  <c r="I1123" i="11"/>
  <c r="AD1123" i="11" s="1"/>
  <c r="I1124" i="11"/>
  <c r="AD1124" i="11" s="1"/>
  <c r="I1125" i="11"/>
  <c r="AD1125" i="11" s="1"/>
  <c r="I1126" i="11"/>
  <c r="AD1126" i="11" s="1"/>
  <c r="I1127" i="11"/>
  <c r="AD1127" i="11" s="1"/>
  <c r="I1128" i="11"/>
  <c r="AD1128" i="11" s="1"/>
  <c r="I1129" i="11"/>
  <c r="AD1129" i="11" s="1"/>
  <c r="I1130" i="11"/>
  <c r="AD1130" i="11" s="1"/>
  <c r="I1131" i="11"/>
  <c r="AD1131" i="11" s="1"/>
  <c r="I1132" i="11"/>
  <c r="AD1132" i="11" s="1"/>
  <c r="I1133" i="11"/>
  <c r="AD1133" i="11" s="1"/>
  <c r="I1134" i="11"/>
  <c r="AD1134" i="11" s="1"/>
  <c r="I1135" i="11"/>
  <c r="AD1135" i="11" s="1"/>
  <c r="I1136" i="11"/>
  <c r="AD1136" i="11" s="1"/>
  <c r="I1137" i="11"/>
  <c r="AD1137" i="11" s="1"/>
  <c r="I1138" i="11"/>
  <c r="AD1138" i="11" s="1"/>
  <c r="I1139" i="11"/>
  <c r="AD1139" i="11" s="1"/>
  <c r="I1140" i="11"/>
  <c r="AD1140" i="11" s="1"/>
  <c r="I1141" i="11"/>
  <c r="AD1141" i="11" s="1"/>
  <c r="I1142" i="11"/>
  <c r="AD1142" i="11" s="1"/>
  <c r="I1143" i="11"/>
  <c r="AD1143" i="11" s="1"/>
  <c r="I1144" i="11"/>
  <c r="AD1144" i="11" s="1"/>
  <c r="I1145" i="11"/>
  <c r="AD1145" i="11" s="1"/>
  <c r="I1146" i="11"/>
  <c r="AD1146" i="11" s="1"/>
  <c r="I1147" i="11"/>
  <c r="AD1147" i="11" s="1"/>
  <c r="I1148" i="11"/>
  <c r="AD1148" i="11" s="1"/>
  <c r="I1149" i="11"/>
  <c r="AD1149" i="11" s="1"/>
  <c r="I1150" i="11"/>
  <c r="AD1150" i="11" s="1"/>
  <c r="I1151" i="11"/>
  <c r="AD1151" i="11" s="1"/>
  <c r="I1152" i="11"/>
  <c r="AD1152" i="11" s="1"/>
  <c r="I1153" i="11"/>
  <c r="AD1153" i="11" s="1"/>
  <c r="I1154" i="11"/>
  <c r="AD1154" i="11" s="1"/>
  <c r="I1155" i="11"/>
  <c r="AD1155" i="11" s="1"/>
  <c r="I1156" i="11"/>
  <c r="AD1156" i="11" s="1"/>
  <c r="I1157" i="11"/>
  <c r="AD1157" i="11" s="1"/>
  <c r="I1158" i="11"/>
  <c r="AD1158" i="11" s="1"/>
  <c r="I1159" i="11"/>
  <c r="AD1159" i="11" s="1"/>
  <c r="I1160" i="11"/>
  <c r="AD1160" i="11" s="1"/>
  <c r="I1161" i="11"/>
  <c r="AD1161" i="11" s="1"/>
  <c r="I1162" i="11"/>
  <c r="AD1162" i="11" s="1"/>
  <c r="I1163" i="11"/>
  <c r="AD1163" i="11" s="1"/>
  <c r="I1164" i="11"/>
  <c r="AD1164" i="11" s="1"/>
  <c r="I1165" i="11"/>
  <c r="AD1165" i="11" s="1"/>
  <c r="I1166" i="11"/>
  <c r="AD1166" i="11" s="1"/>
  <c r="I1167" i="11"/>
  <c r="AD1167" i="11" s="1"/>
  <c r="I1168" i="11"/>
  <c r="AD1168" i="11" s="1"/>
  <c r="I1169" i="11"/>
  <c r="AD1169" i="11" s="1"/>
  <c r="I1170" i="11"/>
  <c r="AD1170" i="11" s="1"/>
  <c r="I1171" i="11"/>
  <c r="AD1171" i="11" s="1"/>
  <c r="I1172" i="11"/>
  <c r="AD1172" i="11" s="1"/>
  <c r="I1173" i="11"/>
  <c r="AD1173" i="11" s="1"/>
  <c r="I1174" i="11"/>
  <c r="AD1174" i="11" s="1"/>
  <c r="I1175" i="11"/>
  <c r="AD1175" i="11" s="1"/>
  <c r="I1176" i="11"/>
  <c r="AD1176" i="11" s="1"/>
  <c r="I1177" i="11"/>
  <c r="AD1177" i="11" s="1"/>
  <c r="I1178" i="11"/>
  <c r="AD1178" i="11" s="1"/>
  <c r="I1179" i="11"/>
  <c r="AD1179" i="11" s="1"/>
  <c r="I1180" i="11"/>
  <c r="AD1180" i="11" s="1"/>
  <c r="I1181" i="11"/>
  <c r="AD1181" i="11" s="1"/>
  <c r="I1182" i="11"/>
  <c r="AD1182" i="11" s="1"/>
  <c r="I1183" i="11"/>
  <c r="AD1183" i="11" s="1"/>
  <c r="I1184" i="11"/>
  <c r="AD1184" i="11" s="1"/>
  <c r="I1185" i="11"/>
  <c r="AD1185" i="11" s="1"/>
  <c r="I1186" i="11"/>
  <c r="AD1186" i="11" s="1"/>
  <c r="I1187" i="11"/>
  <c r="AD1187" i="11" s="1"/>
  <c r="I1188" i="11"/>
  <c r="AD1188" i="11" s="1"/>
  <c r="I1189" i="11"/>
  <c r="AD1189" i="11" s="1"/>
  <c r="I1190" i="11"/>
  <c r="AD1190" i="11" s="1"/>
  <c r="I1191" i="11"/>
  <c r="AD1191" i="11" s="1"/>
  <c r="I1192" i="11"/>
  <c r="AD1192" i="11" s="1"/>
  <c r="I1193" i="11"/>
  <c r="AD1193" i="11" s="1"/>
  <c r="I1194" i="11"/>
  <c r="AD1194" i="11" s="1"/>
  <c r="I1195" i="11"/>
  <c r="AD1195" i="11" s="1"/>
  <c r="I1196" i="11"/>
  <c r="AD1196" i="11" s="1"/>
  <c r="I1197" i="11"/>
  <c r="AD1197" i="11" s="1"/>
  <c r="I1198" i="11"/>
  <c r="AD1198" i="11" s="1"/>
  <c r="I1199" i="11"/>
  <c r="AD1199" i="11" s="1"/>
  <c r="I1200" i="11"/>
  <c r="AD1200" i="11" s="1"/>
  <c r="I1201" i="11"/>
  <c r="AD1201" i="11" s="1"/>
  <c r="I1202" i="11"/>
  <c r="AD1202" i="11" s="1"/>
  <c r="I1203" i="11"/>
  <c r="AD1203" i="11" s="1"/>
  <c r="I1204" i="11"/>
  <c r="AD1204" i="11" s="1"/>
  <c r="I1205" i="11"/>
  <c r="AD1205" i="11" s="1"/>
  <c r="I1206" i="11"/>
  <c r="AD1206" i="11" s="1"/>
  <c r="I1207" i="11"/>
  <c r="AD1207" i="11" s="1"/>
  <c r="I1208" i="11"/>
  <c r="AD1208" i="11" s="1"/>
  <c r="I1209" i="11"/>
  <c r="AD1209" i="11" s="1"/>
  <c r="I1210" i="11"/>
  <c r="AD1210" i="11" s="1"/>
  <c r="I1211" i="11"/>
  <c r="AD1211" i="11" s="1"/>
  <c r="I1212" i="11"/>
  <c r="AD1212" i="11" s="1"/>
  <c r="I1213" i="11"/>
  <c r="AD1213" i="11" s="1"/>
  <c r="I1214" i="11"/>
  <c r="AD1214" i="11" s="1"/>
  <c r="I1215" i="11"/>
  <c r="AD1215" i="11" s="1"/>
  <c r="I1216" i="11"/>
  <c r="AD1216" i="11" s="1"/>
  <c r="I1217" i="11"/>
  <c r="AD1217" i="11" s="1"/>
  <c r="I1218" i="11"/>
  <c r="AD1218" i="11" s="1"/>
  <c r="I1219" i="11"/>
  <c r="AD1219" i="11" s="1"/>
  <c r="I1220" i="11"/>
  <c r="AD1220" i="11" s="1"/>
  <c r="I1221" i="11"/>
  <c r="AD1221" i="11" s="1"/>
  <c r="I1222" i="11"/>
  <c r="AD1222" i="11" s="1"/>
  <c r="I1223" i="11"/>
  <c r="AD1223" i="11" s="1"/>
  <c r="I1224" i="11"/>
  <c r="AD1224" i="11" s="1"/>
  <c r="I1225" i="11"/>
  <c r="AD1225" i="11" s="1"/>
  <c r="I1226" i="11"/>
  <c r="AD1226" i="11" s="1"/>
  <c r="I1227" i="11"/>
  <c r="AD1227" i="11" s="1"/>
  <c r="I1228" i="11"/>
  <c r="AD1228" i="11" s="1"/>
  <c r="I1229" i="11"/>
  <c r="AD1229" i="11" s="1"/>
  <c r="I1230" i="11"/>
  <c r="AD1230" i="11" s="1"/>
  <c r="I1231" i="11"/>
  <c r="AD1231" i="11" s="1"/>
  <c r="I1232" i="11"/>
  <c r="AD1232" i="11" s="1"/>
  <c r="I1233" i="11"/>
  <c r="AD1233" i="11" s="1"/>
  <c r="I1234" i="11"/>
  <c r="AD1234" i="11" s="1"/>
  <c r="I1235" i="11"/>
  <c r="AD1235" i="11" s="1"/>
  <c r="I1236" i="11"/>
  <c r="AD1236" i="11" s="1"/>
  <c r="I1237" i="11"/>
  <c r="AD1237" i="11" s="1"/>
  <c r="I1238" i="11"/>
  <c r="AD1238" i="11" s="1"/>
  <c r="I1239" i="11"/>
  <c r="AD1239" i="11" s="1"/>
  <c r="I1240" i="11"/>
  <c r="AD1240" i="11" s="1"/>
  <c r="I1241" i="11"/>
  <c r="AD1241" i="11" s="1"/>
  <c r="I1242" i="11"/>
  <c r="AD1242" i="11" s="1"/>
  <c r="I1243" i="11"/>
  <c r="AD1243" i="11" s="1"/>
  <c r="I1244" i="11"/>
  <c r="AD1244" i="11" s="1"/>
  <c r="I1245" i="11"/>
  <c r="AD1245" i="11" s="1"/>
  <c r="I1246" i="11"/>
  <c r="AD1246" i="11" s="1"/>
  <c r="I1247" i="11"/>
  <c r="AD1247" i="11" s="1"/>
  <c r="I1248" i="11"/>
  <c r="AD1248" i="11" s="1"/>
  <c r="I1249" i="11"/>
  <c r="AD1249" i="11" s="1"/>
  <c r="I1250" i="11"/>
  <c r="AD1250" i="11" s="1"/>
  <c r="I1251" i="11"/>
  <c r="AD1251" i="11" s="1"/>
  <c r="I1252" i="11"/>
  <c r="AD1252" i="11" s="1"/>
  <c r="I1253" i="11"/>
  <c r="AD1253" i="11" s="1"/>
  <c r="I1254" i="11"/>
  <c r="AD1254" i="11" s="1"/>
  <c r="I1255" i="11"/>
  <c r="AD1255" i="11" s="1"/>
  <c r="I1256" i="11"/>
  <c r="AD1256" i="11" s="1"/>
  <c r="I1257" i="11"/>
  <c r="AD1257" i="11" s="1"/>
  <c r="I1258" i="11"/>
  <c r="AD1258" i="11" s="1"/>
  <c r="I1259" i="11"/>
  <c r="AD1259" i="11" s="1"/>
  <c r="I1260" i="11"/>
  <c r="AD1260" i="11" s="1"/>
  <c r="I1261" i="11"/>
  <c r="AD1261" i="11" s="1"/>
  <c r="I1262" i="11"/>
  <c r="AD1262" i="11" s="1"/>
  <c r="I1263" i="11"/>
  <c r="AD1263" i="11" s="1"/>
  <c r="I1264" i="11"/>
  <c r="AD1264" i="11" s="1"/>
  <c r="I1265" i="11"/>
  <c r="AD1265" i="11" s="1"/>
  <c r="I1266" i="11"/>
  <c r="AD1266" i="11" s="1"/>
  <c r="I1267" i="11"/>
  <c r="AD1267" i="11" s="1"/>
  <c r="I1268" i="11"/>
  <c r="AD1268" i="11" s="1"/>
  <c r="I1269" i="11"/>
  <c r="AD1269" i="11" s="1"/>
  <c r="I1270" i="11"/>
  <c r="AD1270" i="11" s="1"/>
  <c r="I1271" i="11"/>
  <c r="AD1271" i="11" s="1"/>
  <c r="I1272" i="11"/>
  <c r="AD1272" i="11" s="1"/>
  <c r="I1273" i="11"/>
  <c r="AD1273" i="11" s="1"/>
  <c r="I1274" i="11"/>
  <c r="AD1274" i="11" s="1"/>
  <c r="I1275" i="11"/>
  <c r="AD1275" i="11" s="1"/>
  <c r="I1276" i="11"/>
  <c r="AD1276" i="11" s="1"/>
  <c r="I1277" i="11"/>
  <c r="AD1277" i="11" s="1"/>
  <c r="I1278" i="11"/>
  <c r="AD1278" i="11" s="1"/>
  <c r="I1279" i="11"/>
  <c r="AD1279" i="11" s="1"/>
  <c r="I1280" i="11"/>
  <c r="AD1280" i="11" s="1"/>
  <c r="I1281" i="11"/>
  <c r="AD1281" i="11" s="1"/>
  <c r="I1282" i="11"/>
  <c r="AD1282" i="11" s="1"/>
  <c r="I1283" i="11"/>
  <c r="AD1283" i="11" s="1"/>
  <c r="I1284" i="11"/>
  <c r="AD1284" i="11" s="1"/>
  <c r="I1285" i="11"/>
  <c r="AD1285" i="11" s="1"/>
  <c r="I1286" i="11"/>
  <c r="AD1286" i="11" s="1"/>
  <c r="I1287" i="11"/>
  <c r="AD1287" i="11" s="1"/>
  <c r="I1288" i="11"/>
  <c r="AD1288" i="11" s="1"/>
  <c r="I1289" i="11"/>
  <c r="AD1289" i="11" s="1"/>
  <c r="I1290" i="11"/>
  <c r="AD1290" i="11" s="1"/>
  <c r="I1291" i="11"/>
  <c r="AD1291" i="11" s="1"/>
  <c r="I1292" i="11"/>
  <c r="AD1292" i="11" s="1"/>
  <c r="I1293" i="11"/>
  <c r="AD1293" i="11" s="1"/>
  <c r="I1294" i="11"/>
  <c r="AD1294" i="11" s="1"/>
  <c r="I1295" i="11"/>
  <c r="AD1295" i="11" s="1"/>
  <c r="I1296" i="11"/>
  <c r="AD1296" i="11" s="1"/>
  <c r="I1297" i="11"/>
  <c r="AD1297" i="11" s="1"/>
  <c r="I1298" i="11"/>
  <c r="AD1298" i="11" s="1"/>
  <c r="I1299" i="11"/>
  <c r="AD1299" i="11" s="1"/>
  <c r="I1300" i="11"/>
  <c r="AD1300" i="11" s="1"/>
  <c r="I1301" i="11"/>
  <c r="AD1301" i="11" s="1"/>
  <c r="I1302" i="11"/>
  <c r="AD1302" i="11" s="1"/>
  <c r="I1303" i="11"/>
  <c r="AD1303" i="11" s="1"/>
  <c r="I1304" i="11"/>
  <c r="AD1304" i="11" s="1"/>
  <c r="I1305" i="11"/>
  <c r="AD1305" i="11" s="1"/>
  <c r="I1306" i="11"/>
  <c r="AD1306" i="11" s="1"/>
  <c r="I1307" i="11"/>
  <c r="AD1307" i="11" s="1"/>
  <c r="I1308" i="11"/>
  <c r="AD1308" i="11" s="1"/>
  <c r="I1309" i="11"/>
  <c r="AD1309" i="11" s="1"/>
  <c r="I1310" i="11"/>
  <c r="AD1310" i="11" s="1"/>
  <c r="I1311" i="11"/>
  <c r="AD1311" i="11" s="1"/>
  <c r="I1312" i="11"/>
  <c r="AD1312" i="11" s="1"/>
  <c r="I1313" i="11"/>
  <c r="AD1313" i="11" s="1"/>
  <c r="I1314" i="11"/>
  <c r="AD1314" i="11" s="1"/>
  <c r="I1315" i="11"/>
  <c r="AD1315" i="11" s="1"/>
  <c r="I1316" i="11"/>
  <c r="AD1316" i="11" s="1"/>
  <c r="I1317" i="11"/>
  <c r="AD1317" i="11" s="1"/>
  <c r="I1318" i="11"/>
  <c r="AD1318" i="11" s="1"/>
  <c r="I1319" i="11"/>
  <c r="AD1319" i="11" s="1"/>
  <c r="I1320" i="11"/>
  <c r="AD1320" i="11" s="1"/>
  <c r="I1321" i="11"/>
  <c r="AD1321" i="11" s="1"/>
  <c r="I1322" i="11"/>
  <c r="AD1322" i="11" s="1"/>
  <c r="I1323" i="11"/>
  <c r="AD1323" i="11" s="1"/>
  <c r="I1324" i="11"/>
  <c r="AD1324" i="11" s="1"/>
  <c r="I1325" i="11"/>
  <c r="AD1325" i="11" s="1"/>
  <c r="I1326" i="11"/>
  <c r="AD1326" i="11" s="1"/>
  <c r="I1327" i="11"/>
  <c r="AD1327" i="11" s="1"/>
  <c r="I1328" i="11"/>
  <c r="AD1328" i="11" s="1"/>
  <c r="I1329" i="11"/>
  <c r="AD1329" i="11" s="1"/>
  <c r="I1330" i="11"/>
  <c r="AD1330" i="11" s="1"/>
  <c r="I1331" i="11"/>
  <c r="AD1331" i="11" s="1"/>
  <c r="I1332" i="11"/>
  <c r="AD1332" i="11" s="1"/>
  <c r="I1333" i="11"/>
  <c r="AD1333" i="11" s="1"/>
  <c r="I1334" i="11"/>
  <c r="AD1334" i="11" s="1"/>
  <c r="I1335" i="11"/>
  <c r="AD1335" i="11" s="1"/>
  <c r="I1336" i="11"/>
  <c r="AD1336" i="11" s="1"/>
  <c r="I1337" i="11"/>
  <c r="AD1337" i="11" s="1"/>
  <c r="I1338" i="11"/>
  <c r="AD1338" i="11" s="1"/>
  <c r="I1339" i="11"/>
  <c r="AD1339" i="11" s="1"/>
  <c r="I1340" i="11"/>
  <c r="AD1340" i="11" s="1"/>
  <c r="I1341" i="11"/>
  <c r="AD1341" i="11" s="1"/>
  <c r="I1342" i="11"/>
  <c r="AD1342" i="11" s="1"/>
  <c r="I1343" i="11"/>
  <c r="AD1343" i="11" s="1"/>
  <c r="I1344" i="11"/>
  <c r="AD1344" i="11" s="1"/>
  <c r="I1345" i="11"/>
  <c r="AD1345" i="11" s="1"/>
  <c r="I1346" i="11"/>
  <c r="AD1346" i="11" s="1"/>
  <c r="I1347" i="11"/>
  <c r="AD1347" i="11" s="1"/>
  <c r="I1348" i="11"/>
  <c r="AD1348" i="11" s="1"/>
  <c r="I1349" i="11"/>
  <c r="AD1349" i="11" s="1"/>
  <c r="I1350" i="11"/>
  <c r="AD1350" i="11" s="1"/>
  <c r="I1351" i="11"/>
  <c r="AD1351" i="11" s="1"/>
  <c r="I1352" i="11"/>
  <c r="AD1352" i="11" s="1"/>
  <c r="I1353" i="11"/>
  <c r="AD1353" i="11" s="1"/>
  <c r="I1354" i="11"/>
  <c r="AD1354" i="11" s="1"/>
  <c r="I1355" i="11"/>
  <c r="AD1355" i="11" s="1"/>
  <c r="I1356" i="11"/>
  <c r="AD1356" i="11" s="1"/>
  <c r="I1357" i="11"/>
  <c r="AD1357" i="11" s="1"/>
  <c r="I1358" i="11"/>
  <c r="AD1358" i="11" s="1"/>
  <c r="I1359" i="11"/>
  <c r="AD1359" i="11" s="1"/>
  <c r="I1360" i="11"/>
  <c r="AD1360" i="11" s="1"/>
  <c r="I1361" i="11"/>
  <c r="AD1361" i="11" s="1"/>
  <c r="I1362" i="11"/>
  <c r="AD1362" i="11" s="1"/>
  <c r="I1363" i="11"/>
  <c r="AD1363" i="11" s="1"/>
  <c r="I1364" i="11"/>
  <c r="AD1364" i="11" s="1"/>
  <c r="I1365" i="11"/>
  <c r="AD1365" i="11" s="1"/>
  <c r="I1366" i="11"/>
  <c r="AD1366" i="11" s="1"/>
  <c r="I1367" i="11"/>
  <c r="AD1367" i="11" s="1"/>
  <c r="I1368" i="11"/>
  <c r="AD1368" i="11" s="1"/>
  <c r="I1369" i="11"/>
  <c r="AD1369" i="11" s="1"/>
  <c r="I1370" i="11"/>
  <c r="AD1370" i="11" s="1"/>
  <c r="I1371" i="11"/>
  <c r="AD1371" i="11" s="1"/>
  <c r="I1372" i="11"/>
  <c r="AD1372" i="11" s="1"/>
  <c r="I1373" i="11"/>
  <c r="AD1373" i="11" s="1"/>
  <c r="I1374" i="11"/>
  <c r="AD1374" i="11" s="1"/>
  <c r="I1375" i="11"/>
  <c r="AD1375" i="11" s="1"/>
  <c r="I1376" i="11"/>
  <c r="AD1376" i="11" s="1"/>
  <c r="I1377" i="11"/>
  <c r="AD1377" i="11" s="1"/>
  <c r="I1378" i="11"/>
  <c r="AD1378" i="11" s="1"/>
  <c r="I1379" i="11"/>
  <c r="AD1379" i="11" s="1"/>
  <c r="I1380" i="11"/>
  <c r="AD1380" i="11" s="1"/>
  <c r="I1381" i="11"/>
  <c r="AD1381" i="11" s="1"/>
  <c r="I1382" i="11"/>
  <c r="AD1382" i="11" s="1"/>
  <c r="I1383" i="11"/>
  <c r="AD1383" i="11" s="1"/>
  <c r="I1384" i="11"/>
  <c r="AD1384" i="11" s="1"/>
  <c r="I1385" i="11"/>
  <c r="AD1385" i="11" s="1"/>
  <c r="I1386" i="11"/>
  <c r="AD1386" i="11" s="1"/>
  <c r="I1387" i="11"/>
  <c r="AD1387" i="11" s="1"/>
  <c r="I1388" i="11"/>
  <c r="AD1388" i="11" s="1"/>
  <c r="I1389" i="11"/>
  <c r="AD1389" i="11" s="1"/>
  <c r="I1390" i="11"/>
  <c r="AD1390" i="11" s="1"/>
  <c r="I1391" i="11"/>
  <c r="AD1391" i="11" s="1"/>
  <c r="I1392" i="11"/>
  <c r="AD1392" i="11" s="1"/>
  <c r="I1393" i="11"/>
  <c r="AD1393" i="11" s="1"/>
  <c r="I1394" i="11"/>
  <c r="AD1394" i="11" s="1"/>
  <c r="I1395" i="11"/>
  <c r="AD1395" i="11" s="1"/>
  <c r="I1396" i="11"/>
  <c r="AD1396" i="11" s="1"/>
  <c r="I1397" i="11"/>
  <c r="AD1397" i="11" s="1"/>
  <c r="I1398" i="11"/>
  <c r="AD1398" i="11" s="1"/>
  <c r="I1399" i="11"/>
  <c r="AD1399" i="11" s="1"/>
  <c r="I1400" i="11"/>
  <c r="AD1400" i="11" s="1"/>
  <c r="I1401" i="11"/>
  <c r="AD1401" i="11" s="1"/>
  <c r="I1402" i="11"/>
  <c r="AD1402" i="11" s="1"/>
  <c r="I1403" i="11"/>
  <c r="AD1403" i="11" s="1"/>
  <c r="I1404" i="11"/>
  <c r="AD1404" i="11" s="1"/>
  <c r="I1405" i="11"/>
  <c r="AD1405" i="11" s="1"/>
  <c r="I1406" i="11"/>
  <c r="AD1406" i="11" s="1"/>
  <c r="I1407" i="11"/>
  <c r="AD1407" i="11" s="1"/>
  <c r="I1408" i="11"/>
  <c r="AD1408" i="11" s="1"/>
  <c r="I1409" i="11"/>
  <c r="AD1409" i="11" s="1"/>
  <c r="I1410" i="11"/>
  <c r="AD1410" i="11" s="1"/>
  <c r="I1411" i="11"/>
  <c r="AD1411" i="11" s="1"/>
  <c r="I1412" i="11"/>
  <c r="AD1412" i="11" s="1"/>
  <c r="I1413" i="11"/>
  <c r="AD1413" i="11" s="1"/>
  <c r="I1414" i="11"/>
  <c r="AD1414" i="11" s="1"/>
  <c r="I1415" i="11"/>
  <c r="AD1415" i="11" s="1"/>
  <c r="I1416" i="11"/>
  <c r="AD1416" i="11" s="1"/>
  <c r="I1417" i="11"/>
  <c r="AD1417" i="11" s="1"/>
  <c r="I1418" i="11"/>
  <c r="AD1418" i="11" s="1"/>
  <c r="I1419" i="11"/>
  <c r="AD1419" i="11" s="1"/>
  <c r="I1420" i="11"/>
  <c r="AD1420" i="11" s="1"/>
  <c r="I1421" i="11"/>
  <c r="AD1421" i="11" s="1"/>
  <c r="I1422" i="11"/>
  <c r="AD1422" i="11" s="1"/>
  <c r="I1423" i="11"/>
  <c r="AD1423" i="11" s="1"/>
  <c r="I1424" i="11"/>
  <c r="AD1424" i="11" s="1"/>
  <c r="I1425" i="11"/>
  <c r="AD1425" i="11" s="1"/>
  <c r="I1426" i="11"/>
  <c r="AD1426" i="11" s="1"/>
  <c r="I1427" i="11"/>
  <c r="AD1427" i="11" s="1"/>
  <c r="I1428" i="11"/>
  <c r="AD1428" i="11" s="1"/>
  <c r="I1429" i="11"/>
  <c r="AD1429" i="11" s="1"/>
  <c r="I1430" i="11"/>
  <c r="AD1430" i="11" s="1"/>
  <c r="I1431" i="11"/>
  <c r="AD1431" i="11" s="1"/>
  <c r="I1432" i="11"/>
  <c r="AD1432" i="11" s="1"/>
  <c r="I1433" i="11"/>
  <c r="AD1433" i="11" s="1"/>
  <c r="I1434" i="11"/>
  <c r="AD1434" i="11" s="1"/>
  <c r="I1435" i="11"/>
  <c r="AD1435" i="11" s="1"/>
  <c r="I1436" i="11"/>
  <c r="AD1436" i="11" s="1"/>
  <c r="I1437" i="11"/>
  <c r="AD1437" i="11" s="1"/>
  <c r="I1438" i="11"/>
  <c r="AD1438" i="11" s="1"/>
  <c r="I1439" i="11"/>
  <c r="AD1439" i="11" s="1"/>
  <c r="I1440" i="11"/>
  <c r="AD1440" i="11" s="1"/>
  <c r="I1441" i="11"/>
  <c r="AD1441" i="11" s="1"/>
  <c r="I1442" i="11"/>
  <c r="AD1442" i="11" s="1"/>
  <c r="I1443" i="11"/>
  <c r="AD1443" i="11" s="1"/>
  <c r="I1444" i="11"/>
  <c r="AD1444" i="11" s="1"/>
  <c r="I1445" i="11"/>
  <c r="AD1445" i="11" s="1"/>
  <c r="I1446" i="11"/>
  <c r="AD1446" i="11" s="1"/>
  <c r="I1447" i="11"/>
  <c r="AD1447" i="11" s="1"/>
  <c r="I1448" i="11"/>
  <c r="AD1448" i="11" s="1"/>
  <c r="I1449" i="11"/>
  <c r="AD1449" i="11" s="1"/>
  <c r="I1450" i="11"/>
  <c r="AD1450" i="11" s="1"/>
  <c r="I1451" i="11"/>
  <c r="AD1451" i="11" s="1"/>
  <c r="I1452" i="11"/>
  <c r="AD1452" i="11" s="1"/>
  <c r="I1453" i="11"/>
  <c r="AD1453" i="11" s="1"/>
  <c r="I1454" i="11"/>
  <c r="AD1454" i="11" s="1"/>
  <c r="I1455" i="11"/>
  <c r="AD1455" i="11" s="1"/>
  <c r="I1456" i="11"/>
  <c r="AD1456" i="11" s="1"/>
  <c r="I1457" i="11"/>
  <c r="AD1457" i="11" s="1"/>
  <c r="I1458" i="11"/>
  <c r="AD1458" i="11" s="1"/>
  <c r="I1459" i="11"/>
  <c r="AD1459" i="11" s="1"/>
  <c r="I1460" i="11"/>
  <c r="AD1460" i="11" s="1"/>
  <c r="I1461" i="11"/>
  <c r="AD1461" i="11" s="1"/>
  <c r="I1462" i="11"/>
  <c r="AD1462" i="11" s="1"/>
  <c r="I1463" i="11"/>
  <c r="AD1463" i="11" s="1"/>
  <c r="I1464" i="11"/>
  <c r="AD1464" i="11" s="1"/>
  <c r="I1465" i="11"/>
  <c r="AD1465" i="11" s="1"/>
  <c r="I1466" i="11"/>
  <c r="AD1466" i="11" s="1"/>
  <c r="I1467" i="11"/>
  <c r="AD1467" i="11" s="1"/>
  <c r="I1468" i="11"/>
  <c r="AD1468" i="11" s="1"/>
  <c r="I1469" i="11"/>
  <c r="AD1469" i="11" s="1"/>
  <c r="I1470" i="11"/>
  <c r="AD1470" i="11" s="1"/>
  <c r="I1471" i="11"/>
  <c r="AD1471" i="11" s="1"/>
  <c r="I1472" i="11"/>
  <c r="AD1472" i="11" s="1"/>
  <c r="I1473" i="11"/>
  <c r="AD1473" i="11" s="1"/>
  <c r="I1474" i="11"/>
  <c r="AD1474" i="11" s="1"/>
  <c r="I1475" i="11"/>
  <c r="AD1475" i="11" s="1"/>
  <c r="I1476" i="11"/>
  <c r="AD1476" i="11" s="1"/>
  <c r="I1477" i="11"/>
  <c r="AD1477" i="11" s="1"/>
  <c r="I1478" i="11"/>
  <c r="AD1478" i="11" s="1"/>
  <c r="I1479" i="11"/>
  <c r="AD1479" i="11" s="1"/>
  <c r="I1480" i="11"/>
  <c r="AD1480" i="11" s="1"/>
  <c r="I1481" i="11"/>
  <c r="AD1481" i="11" s="1"/>
  <c r="I1482" i="11"/>
  <c r="AD1482" i="11" s="1"/>
  <c r="I1483" i="11"/>
  <c r="AD1483" i="11" s="1"/>
  <c r="I1484" i="11"/>
  <c r="AD1484" i="11" s="1"/>
  <c r="I1485" i="11"/>
  <c r="AD1485" i="11" s="1"/>
  <c r="I1486" i="11"/>
  <c r="AD1486" i="11" s="1"/>
  <c r="I1487" i="11"/>
  <c r="AD1487" i="11" s="1"/>
  <c r="I1488" i="11"/>
  <c r="AD1488" i="11" s="1"/>
  <c r="I1489" i="11"/>
  <c r="AD1489" i="11" s="1"/>
  <c r="I1490" i="11"/>
  <c r="AD1490" i="11" s="1"/>
  <c r="I1491" i="11"/>
  <c r="AD1491" i="11" s="1"/>
  <c r="I1492" i="11"/>
  <c r="AD1492" i="11" s="1"/>
  <c r="I1493" i="11"/>
  <c r="AD1493" i="11" s="1"/>
  <c r="I1494" i="11"/>
  <c r="AD1494" i="11" s="1"/>
  <c r="I1495" i="11"/>
  <c r="AD1495" i="11" s="1"/>
  <c r="I1496" i="11"/>
  <c r="AD1496" i="11" s="1"/>
  <c r="I1497" i="11"/>
  <c r="AD1497" i="11" s="1"/>
  <c r="I1498" i="11"/>
  <c r="AD1498" i="11" s="1"/>
  <c r="I1499" i="11"/>
  <c r="AD1499" i="11" s="1"/>
  <c r="I1500" i="11"/>
  <c r="AD1500" i="11" s="1"/>
  <c r="I1501" i="11"/>
  <c r="AD1501" i="11" s="1"/>
  <c r="I1502" i="11"/>
  <c r="AD1502" i="11" s="1"/>
  <c r="I1503" i="11"/>
  <c r="AD1503" i="11" s="1"/>
  <c r="I1504" i="11"/>
  <c r="AD1504" i="11" s="1"/>
  <c r="I1505" i="11"/>
  <c r="AD1505" i="11" s="1"/>
  <c r="I1506" i="11"/>
  <c r="AD1506" i="11" s="1"/>
  <c r="I1507" i="11"/>
  <c r="AD1507" i="11" s="1"/>
  <c r="I1508" i="11"/>
  <c r="AD1508" i="11" s="1"/>
  <c r="I1509" i="11"/>
  <c r="AD1509" i="11" s="1"/>
  <c r="I1510" i="11"/>
  <c r="AD1510" i="11" s="1"/>
  <c r="I1511" i="11"/>
  <c r="AD1511" i="11" s="1"/>
  <c r="I1512" i="11"/>
  <c r="AD1512" i="11" s="1"/>
  <c r="I1513" i="11"/>
  <c r="AD1513" i="11" s="1"/>
  <c r="I1514" i="11"/>
  <c r="AD1514" i="11" s="1"/>
  <c r="I1515" i="11"/>
  <c r="AD1515" i="11" s="1"/>
  <c r="I1516" i="11"/>
  <c r="AD1516" i="11" s="1"/>
  <c r="I1517" i="11"/>
  <c r="AD1517" i="11" s="1"/>
  <c r="I1518" i="11"/>
  <c r="AD1518" i="11" s="1"/>
  <c r="I1519" i="11"/>
  <c r="AD1519" i="11" s="1"/>
  <c r="I1520" i="11"/>
  <c r="AD1520" i="11" s="1"/>
  <c r="I1521" i="11"/>
  <c r="AD1521" i="11" s="1"/>
  <c r="I1522" i="11"/>
  <c r="AD1522" i="11" s="1"/>
  <c r="I1523" i="11"/>
  <c r="AD1523" i="11" s="1"/>
  <c r="I1524" i="11"/>
  <c r="AD1524" i="11" s="1"/>
  <c r="I1525" i="11"/>
  <c r="AD1525" i="11" s="1"/>
  <c r="I1526" i="11"/>
  <c r="AD1526" i="11" s="1"/>
  <c r="I1527" i="11"/>
  <c r="AD1527" i="11" s="1"/>
  <c r="I1528" i="11"/>
  <c r="AD1528" i="11" s="1"/>
  <c r="I1529" i="11"/>
  <c r="AD1529" i="11" s="1"/>
  <c r="I1530" i="11"/>
  <c r="AD1530" i="11" s="1"/>
  <c r="I1531" i="11"/>
  <c r="AD1531" i="11" s="1"/>
  <c r="I1532" i="11"/>
  <c r="AD1532" i="11" s="1"/>
  <c r="I1533" i="11"/>
  <c r="AD1533" i="11" s="1"/>
  <c r="I1534" i="11"/>
  <c r="AD1534" i="11" s="1"/>
  <c r="I1535" i="11"/>
  <c r="AD1535" i="11" s="1"/>
  <c r="I1536" i="11"/>
  <c r="AD1536" i="11" s="1"/>
  <c r="I1537" i="11"/>
  <c r="AD1537" i="11" s="1"/>
  <c r="I1538" i="11"/>
  <c r="AD1538" i="11" s="1"/>
  <c r="I1539" i="11"/>
  <c r="AD1539" i="11" s="1"/>
  <c r="I1540" i="11"/>
  <c r="AD1540" i="11" s="1"/>
  <c r="I1541" i="11"/>
  <c r="AD1541" i="11" s="1"/>
  <c r="I1542" i="11"/>
  <c r="AD1542" i="11" s="1"/>
  <c r="I1543" i="11"/>
  <c r="AD1543" i="11" s="1"/>
  <c r="I1544" i="11"/>
  <c r="AD1544" i="11" s="1"/>
  <c r="I1545" i="11"/>
  <c r="AD1545" i="11" s="1"/>
  <c r="I1546" i="11"/>
  <c r="AD1546" i="11" s="1"/>
  <c r="I1547" i="11"/>
  <c r="AD1547" i="11" s="1"/>
  <c r="I1548" i="11"/>
  <c r="AD1548" i="11" s="1"/>
  <c r="I1549" i="11"/>
  <c r="AD1549" i="11" s="1"/>
  <c r="I1550" i="11"/>
  <c r="AD1550" i="11" s="1"/>
  <c r="I1551" i="11"/>
  <c r="AD1551" i="11" s="1"/>
  <c r="I1552" i="11"/>
  <c r="AD1552" i="11" s="1"/>
  <c r="I1553" i="11"/>
  <c r="AD1553" i="11" s="1"/>
  <c r="I1554" i="11"/>
  <c r="AD1554" i="11" s="1"/>
  <c r="I1555" i="11"/>
  <c r="AD1555" i="11" s="1"/>
  <c r="I1556" i="11"/>
  <c r="AD1556" i="11" s="1"/>
  <c r="I1557" i="11"/>
  <c r="AD1557" i="11" s="1"/>
  <c r="I1558" i="11"/>
  <c r="AD1558" i="11" s="1"/>
  <c r="I1559" i="11"/>
  <c r="AD1559" i="11" s="1"/>
  <c r="I1560" i="11"/>
  <c r="AD1560" i="11" s="1"/>
  <c r="I1561" i="11"/>
  <c r="AD1561" i="11" s="1"/>
  <c r="I1562" i="11"/>
  <c r="AD1562" i="11" s="1"/>
  <c r="I1563" i="11"/>
  <c r="AD1563" i="11" s="1"/>
  <c r="I1564" i="11"/>
  <c r="AD1564" i="11" s="1"/>
  <c r="I1565" i="11"/>
  <c r="AD1565" i="11" s="1"/>
  <c r="I1566" i="11"/>
  <c r="AD1566" i="11" s="1"/>
  <c r="I1567" i="11"/>
  <c r="AD1567" i="11" s="1"/>
  <c r="I1568" i="11"/>
  <c r="AD1568" i="11" s="1"/>
  <c r="I1569" i="11"/>
  <c r="AD1569" i="11" s="1"/>
  <c r="I1570" i="11"/>
  <c r="AD1570" i="11" s="1"/>
  <c r="I1571" i="11"/>
  <c r="AD1571" i="11" s="1"/>
  <c r="I1572" i="11"/>
  <c r="AD1572" i="11" s="1"/>
  <c r="I1573" i="11"/>
  <c r="AD1573" i="11" s="1"/>
  <c r="I1574" i="11"/>
  <c r="AD1574" i="11" s="1"/>
  <c r="I1575" i="11"/>
  <c r="AD1575" i="11" s="1"/>
  <c r="I1576" i="11"/>
  <c r="AD1576" i="11" s="1"/>
  <c r="I1577" i="11"/>
  <c r="AD1577" i="11" s="1"/>
  <c r="I1578" i="11"/>
  <c r="AD1578" i="11" s="1"/>
  <c r="I1579" i="11"/>
  <c r="AD1579" i="11" s="1"/>
  <c r="I1580" i="11"/>
  <c r="AD1580" i="11" s="1"/>
  <c r="I1581" i="11"/>
  <c r="AD1581" i="11" s="1"/>
  <c r="I1582" i="11"/>
  <c r="AD1582" i="11" s="1"/>
  <c r="I1583" i="11"/>
  <c r="AD1583" i="11" s="1"/>
  <c r="I1584" i="11"/>
  <c r="AD1584" i="11" s="1"/>
  <c r="I1585" i="11"/>
  <c r="AD1585" i="11" s="1"/>
  <c r="I1586" i="11"/>
  <c r="AD1586" i="11" s="1"/>
  <c r="I1587" i="11"/>
  <c r="AD1587" i="11" s="1"/>
  <c r="I1588" i="11"/>
  <c r="AD1588" i="11" s="1"/>
  <c r="I1589" i="11"/>
  <c r="AD1589" i="11" s="1"/>
  <c r="I1590" i="11"/>
  <c r="AD1590" i="11" s="1"/>
  <c r="I1591" i="11"/>
  <c r="AD1591" i="11" s="1"/>
  <c r="I1592" i="11"/>
  <c r="AD1592" i="11" s="1"/>
  <c r="I1593" i="11"/>
  <c r="AD1593" i="11" s="1"/>
  <c r="I1594" i="11"/>
  <c r="AD1594" i="11" s="1"/>
  <c r="I1595" i="11"/>
  <c r="AD1595" i="11" s="1"/>
  <c r="I1596" i="11"/>
  <c r="AD1596" i="11" s="1"/>
  <c r="I1597" i="11"/>
  <c r="AD1597" i="11" s="1"/>
  <c r="I1598" i="11"/>
  <c r="AD1598" i="11" s="1"/>
  <c r="I1599" i="11"/>
  <c r="AD1599" i="11" s="1"/>
  <c r="I1600" i="11"/>
  <c r="AD1600" i="11" s="1"/>
  <c r="I1601" i="11"/>
  <c r="AD1601" i="11" s="1"/>
  <c r="I1602" i="11"/>
  <c r="AD1602" i="11" s="1"/>
  <c r="I1603" i="11"/>
  <c r="AD1603" i="11" s="1"/>
  <c r="I1604" i="11"/>
  <c r="AD1604" i="11" s="1"/>
  <c r="I1605" i="11"/>
  <c r="AD1605" i="11" s="1"/>
  <c r="I1606" i="11"/>
  <c r="AD1606" i="11" s="1"/>
  <c r="I1607" i="11"/>
  <c r="AD1607" i="11" s="1"/>
  <c r="I1608" i="11"/>
  <c r="AD1608" i="11" s="1"/>
  <c r="I1609" i="11"/>
  <c r="AD1609" i="11" s="1"/>
  <c r="I1610" i="11"/>
  <c r="AD1610" i="11" s="1"/>
  <c r="I1611" i="11"/>
  <c r="AD1611" i="11" s="1"/>
  <c r="I1612" i="11"/>
  <c r="AD1612" i="11" s="1"/>
  <c r="I1613" i="11"/>
  <c r="AD1613" i="11" s="1"/>
  <c r="I1614" i="11"/>
  <c r="AD1614" i="11" s="1"/>
  <c r="I1615" i="11"/>
  <c r="AD1615" i="11" s="1"/>
  <c r="I1616" i="11"/>
  <c r="AD1616" i="11" s="1"/>
  <c r="I1617" i="11"/>
  <c r="AD1617" i="11" s="1"/>
  <c r="I1618" i="11"/>
  <c r="AD1618" i="11" s="1"/>
  <c r="I1619" i="11"/>
  <c r="AD1619" i="11" s="1"/>
  <c r="I1620" i="11"/>
  <c r="AD1620" i="11" s="1"/>
  <c r="I1621" i="11"/>
  <c r="AD1621" i="11" s="1"/>
  <c r="I1622" i="11"/>
  <c r="AD1622" i="11" s="1"/>
  <c r="I1623" i="11"/>
  <c r="AD1623" i="11" s="1"/>
  <c r="I1624" i="11"/>
  <c r="AD1624" i="11" s="1"/>
  <c r="I1625" i="11"/>
  <c r="AD1625" i="11" s="1"/>
  <c r="I1626" i="11"/>
  <c r="AD1626" i="11" s="1"/>
  <c r="I1627" i="11"/>
  <c r="AD1627" i="11" s="1"/>
  <c r="I1628" i="11"/>
  <c r="AD1628" i="11" s="1"/>
  <c r="I1629" i="11"/>
  <c r="AD1629" i="11" s="1"/>
  <c r="I1630" i="11"/>
  <c r="AD1630" i="11" s="1"/>
  <c r="I1631" i="11"/>
  <c r="AD1631" i="11" s="1"/>
  <c r="I1632" i="11"/>
  <c r="AD1632" i="11" s="1"/>
  <c r="I1633" i="11"/>
  <c r="AD1633" i="11" s="1"/>
  <c r="I1634" i="11"/>
  <c r="AD1634" i="11" s="1"/>
  <c r="I1635" i="11"/>
  <c r="AD1635" i="11" s="1"/>
  <c r="I1636" i="11"/>
  <c r="AD1636" i="11" s="1"/>
  <c r="I1637" i="11"/>
  <c r="AD1637" i="11" s="1"/>
  <c r="I1638" i="11"/>
  <c r="AD1638" i="11" s="1"/>
  <c r="I1639" i="11"/>
  <c r="AD1639" i="11" s="1"/>
  <c r="I1640" i="11"/>
  <c r="AD1640" i="11" s="1"/>
  <c r="I1641" i="11"/>
  <c r="AD1641" i="11" s="1"/>
  <c r="I1642" i="11"/>
  <c r="AD1642" i="11" s="1"/>
  <c r="I1643" i="11"/>
  <c r="AD1643" i="11" s="1"/>
  <c r="I1644" i="11"/>
  <c r="AD1644" i="11" s="1"/>
  <c r="I1645" i="11"/>
  <c r="AD1645" i="11" s="1"/>
  <c r="I1646" i="11"/>
  <c r="AD1646" i="11" s="1"/>
  <c r="I1647" i="11"/>
  <c r="AD1647" i="11" s="1"/>
  <c r="I1648" i="11"/>
  <c r="AD1648" i="11" s="1"/>
  <c r="I1649" i="11"/>
  <c r="AD1649" i="11" s="1"/>
  <c r="I1650" i="11"/>
  <c r="AD1650" i="11" s="1"/>
  <c r="I1651" i="11"/>
  <c r="AD1651" i="11" s="1"/>
  <c r="I1652" i="11"/>
  <c r="AD1652" i="11" s="1"/>
  <c r="I1653" i="11"/>
  <c r="AD1653" i="11" s="1"/>
  <c r="I1654" i="11"/>
  <c r="AD1654" i="11" s="1"/>
  <c r="I1655" i="11"/>
  <c r="AD1655" i="11" s="1"/>
  <c r="I1656" i="11"/>
  <c r="AD1656" i="11" s="1"/>
  <c r="I1657" i="11"/>
  <c r="AD1657" i="11" s="1"/>
  <c r="I1658" i="11"/>
  <c r="AD1658" i="11" s="1"/>
  <c r="I1659" i="11"/>
  <c r="AD1659" i="11" s="1"/>
  <c r="I1660" i="11"/>
  <c r="AD1660" i="11" s="1"/>
  <c r="I1661" i="11"/>
  <c r="AD1661" i="11" s="1"/>
  <c r="I1662" i="11"/>
  <c r="AD1662" i="11" s="1"/>
  <c r="I1663" i="11"/>
  <c r="AD1663" i="11" s="1"/>
  <c r="I1664" i="11"/>
  <c r="AD1664" i="11" s="1"/>
  <c r="I1665" i="11"/>
  <c r="AD1665" i="11" s="1"/>
  <c r="I1666" i="11"/>
  <c r="AD1666" i="11" s="1"/>
  <c r="I1667" i="11"/>
  <c r="AD1667" i="11" s="1"/>
  <c r="I1668" i="11"/>
  <c r="AD1668" i="11" s="1"/>
  <c r="I1669" i="11"/>
  <c r="AD1669" i="11" s="1"/>
  <c r="I1670" i="11"/>
  <c r="AD1670" i="11" s="1"/>
  <c r="I1671" i="11"/>
  <c r="AD1671" i="11" s="1"/>
  <c r="I1672" i="11"/>
  <c r="AD1672" i="11" s="1"/>
  <c r="I1673" i="11"/>
  <c r="AD1673" i="11" s="1"/>
  <c r="I1674" i="11"/>
  <c r="AD1674" i="11" s="1"/>
  <c r="I1675" i="11"/>
  <c r="AD1675" i="11" s="1"/>
  <c r="I1676" i="11"/>
  <c r="AD1676" i="11" s="1"/>
  <c r="I1677" i="11"/>
  <c r="AD1677" i="11" s="1"/>
  <c r="I1678" i="11"/>
  <c r="AD1678" i="11" s="1"/>
  <c r="I1679" i="11"/>
  <c r="AD1679" i="11" s="1"/>
  <c r="I1680" i="11"/>
  <c r="AD1680" i="11" s="1"/>
  <c r="I1681" i="11"/>
  <c r="AD1681" i="11" s="1"/>
  <c r="I1682" i="11"/>
  <c r="AD1682" i="11" s="1"/>
  <c r="I1683" i="11"/>
  <c r="AD1683" i="11" s="1"/>
  <c r="I1684" i="11"/>
  <c r="AD1684" i="11" s="1"/>
  <c r="I1685" i="11"/>
  <c r="AD1685" i="11" s="1"/>
  <c r="I1686" i="11"/>
  <c r="AD1686" i="11" s="1"/>
  <c r="I1687" i="11"/>
  <c r="AD1687" i="11" s="1"/>
  <c r="I1688" i="11"/>
  <c r="AD1688" i="11" s="1"/>
  <c r="I1689" i="11"/>
  <c r="AD1689" i="11" s="1"/>
  <c r="I1690" i="11"/>
  <c r="AD1690" i="11" s="1"/>
  <c r="I1691" i="11"/>
  <c r="AD1691" i="11" s="1"/>
  <c r="I1692" i="11"/>
  <c r="AD1692" i="11" s="1"/>
  <c r="I1693" i="11"/>
  <c r="AD1693" i="11" s="1"/>
  <c r="I1694" i="11"/>
  <c r="AD1694" i="11" s="1"/>
  <c r="I1695" i="11"/>
  <c r="AD1695" i="11" s="1"/>
  <c r="I1696" i="11"/>
  <c r="AD1696" i="11" s="1"/>
  <c r="I1697" i="11"/>
  <c r="AD1697" i="11" s="1"/>
  <c r="I1698" i="11"/>
  <c r="AD1698" i="11" s="1"/>
  <c r="I1699" i="11"/>
  <c r="AD1699" i="11" s="1"/>
  <c r="I1700" i="11"/>
  <c r="AD1700" i="11" s="1"/>
  <c r="I1701" i="11"/>
  <c r="AD1701" i="11" s="1"/>
  <c r="I1702" i="11"/>
  <c r="AD1702" i="11" s="1"/>
  <c r="I1703" i="11"/>
  <c r="AD1703" i="11" s="1"/>
  <c r="I1704" i="11"/>
  <c r="AD1704" i="11" s="1"/>
  <c r="I1705" i="11"/>
  <c r="AD1705" i="11" s="1"/>
  <c r="I1706" i="11"/>
  <c r="AD1706" i="11" s="1"/>
  <c r="I1707" i="11"/>
  <c r="AD1707" i="11" s="1"/>
  <c r="I1708" i="11"/>
  <c r="AD1708" i="11" s="1"/>
  <c r="I1709" i="11"/>
  <c r="AD1709" i="11" s="1"/>
  <c r="I1710" i="11"/>
  <c r="AD1710" i="11" s="1"/>
  <c r="I1711" i="11"/>
  <c r="AD1711" i="11" s="1"/>
  <c r="I1712" i="11"/>
  <c r="AD1712" i="11" s="1"/>
  <c r="I1713" i="11"/>
  <c r="AD1713" i="11" s="1"/>
  <c r="I1714" i="11"/>
  <c r="AD1714" i="11" s="1"/>
  <c r="I1715" i="11"/>
  <c r="AD1715" i="11" s="1"/>
  <c r="I1716" i="11"/>
  <c r="AD1716" i="11" s="1"/>
  <c r="I1717" i="11"/>
  <c r="AD1717" i="11" s="1"/>
  <c r="I1718" i="11"/>
  <c r="AD1718" i="11" s="1"/>
  <c r="I1719" i="11"/>
  <c r="AD1719" i="11" s="1"/>
  <c r="I1720" i="11"/>
  <c r="AD1720" i="11" s="1"/>
  <c r="I1721" i="11"/>
  <c r="AD1721" i="11" s="1"/>
  <c r="I1722" i="11"/>
  <c r="AD1722" i="11" s="1"/>
  <c r="I1723" i="11"/>
  <c r="AD1723" i="11" s="1"/>
  <c r="I1724" i="11"/>
  <c r="AD1724" i="11" s="1"/>
  <c r="I1725" i="11"/>
  <c r="AD1725" i="11" s="1"/>
  <c r="I1726" i="11"/>
  <c r="AD1726" i="11" s="1"/>
  <c r="I1727" i="11"/>
  <c r="AD1727" i="11" s="1"/>
  <c r="I1728" i="11"/>
  <c r="AD1728" i="11" s="1"/>
  <c r="I1729" i="11"/>
  <c r="AD1729" i="11" s="1"/>
  <c r="I1730" i="11"/>
  <c r="AD1730" i="11" s="1"/>
  <c r="I1731" i="11"/>
  <c r="AD1731" i="11" s="1"/>
  <c r="I1732" i="11"/>
  <c r="AD1732" i="11" s="1"/>
  <c r="I1733" i="11"/>
  <c r="AD1733" i="11" s="1"/>
  <c r="I1734" i="11"/>
  <c r="AD1734" i="11" s="1"/>
  <c r="I1735" i="11"/>
  <c r="AD1735" i="11" s="1"/>
  <c r="I1736" i="11"/>
  <c r="AD1736" i="11" s="1"/>
  <c r="I1737" i="11"/>
  <c r="AD1737" i="11" s="1"/>
  <c r="I1738" i="11"/>
  <c r="AD1738" i="11" s="1"/>
  <c r="I1739" i="11"/>
  <c r="AD1739" i="11" s="1"/>
  <c r="I1740" i="11"/>
  <c r="AD1740" i="11" s="1"/>
  <c r="I1741" i="11"/>
  <c r="AD1741" i="11" s="1"/>
  <c r="I1742" i="11"/>
  <c r="AD1742" i="11" s="1"/>
  <c r="I1743" i="11"/>
  <c r="AD1743" i="11" s="1"/>
  <c r="I1744" i="11"/>
  <c r="AD1744" i="11" s="1"/>
  <c r="I1745" i="11"/>
  <c r="AD1745" i="11" s="1"/>
  <c r="I1746" i="11"/>
  <c r="AD1746" i="11" s="1"/>
  <c r="I1747" i="11"/>
  <c r="AD1747" i="11" s="1"/>
  <c r="I1748" i="11"/>
  <c r="AD1748" i="11" s="1"/>
  <c r="I1749" i="11"/>
  <c r="AD1749" i="11" s="1"/>
  <c r="I1750" i="11"/>
  <c r="AD1750" i="11" s="1"/>
  <c r="I1751" i="11"/>
  <c r="AD1751" i="11" s="1"/>
  <c r="I1752" i="11"/>
  <c r="AD1752" i="11" s="1"/>
  <c r="I1753" i="11"/>
  <c r="AD1753" i="11" s="1"/>
  <c r="I1754" i="11"/>
  <c r="AD1754" i="11" s="1"/>
  <c r="I1755" i="11"/>
  <c r="AD1755" i="11" s="1"/>
  <c r="I1756" i="11"/>
  <c r="AD1756" i="11" s="1"/>
  <c r="I1757" i="11"/>
  <c r="AD1757" i="11" s="1"/>
  <c r="I1758" i="11"/>
  <c r="AD1758" i="11" s="1"/>
  <c r="I1759" i="11"/>
  <c r="AD1759" i="11" s="1"/>
  <c r="I1760" i="11"/>
  <c r="AD1760" i="11" s="1"/>
  <c r="I1761" i="11"/>
  <c r="AD1761" i="11" s="1"/>
  <c r="I1762" i="11"/>
  <c r="AD1762" i="11" s="1"/>
  <c r="I1763" i="11"/>
  <c r="AD1763" i="11" s="1"/>
  <c r="I1764" i="11"/>
  <c r="AD1764" i="11" s="1"/>
  <c r="I1765" i="11"/>
  <c r="AD1765" i="11" s="1"/>
  <c r="I1766" i="11"/>
  <c r="AD1766" i="11" s="1"/>
  <c r="I1767" i="11"/>
  <c r="AD1767" i="11" s="1"/>
  <c r="I1768" i="11"/>
  <c r="AD1768" i="11" s="1"/>
  <c r="I1769" i="11"/>
  <c r="AD1769" i="11" s="1"/>
  <c r="I1770" i="11"/>
  <c r="AD1770" i="11" s="1"/>
  <c r="I1771" i="11"/>
  <c r="AD1771" i="11" s="1"/>
  <c r="I1772" i="11"/>
  <c r="AD1772" i="11" s="1"/>
  <c r="I1773" i="11"/>
  <c r="AD1773" i="11" s="1"/>
  <c r="I1774" i="11"/>
  <c r="AD1774" i="11" s="1"/>
  <c r="I1775" i="11"/>
  <c r="AD1775" i="11" s="1"/>
  <c r="I1776" i="11"/>
  <c r="AD1776" i="11" s="1"/>
  <c r="I1777" i="11"/>
  <c r="AD1777" i="11" s="1"/>
  <c r="I1778" i="11"/>
  <c r="AD1778" i="11" s="1"/>
  <c r="I1779" i="11"/>
  <c r="AD1779" i="11" s="1"/>
  <c r="I1780" i="11"/>
  <c r="AD1780" i="11" s="1"/>
  <c r="I1781" i="11"/>
  <c r="AD1781" i="11" s="1"/>
  <c r="I1782" i="11"/>
  <c r="AD1782" i="11" s="1"/>
  <c r="I1783" i="11"/>
  <c r="AD1783" i="11" s="1"/>
  <c r="I1784" i="11"/>
  <c r="AD1784" i="11" s="1"/>
  <c r="I1785" i="11"/>
  <c r="AD1785" i="11" s="1"/>
  <c r="I1786" i="11"/>
  <c r="AD1786" i="11" s="1"/>
  <c r="I1787" i="11"/>
  <c r="AD1787" i="11" s="1"/>
  <c r="I1788" i="11"/>
  <c r="AD1788" i="11" s="1"/>
  <c r="I1789" i="11"/>
  <c r="AD1789" i="11" s="1"/>
  <c r="I1790" i="11"/>
  <c r="AD1790" i="11" s="1"/>
  <c r="I1791" i="11"/>
  <c r="AD1791" i="11" s="1"/>
  <c r="I1792" i="11"/>
  <c r="AD1792" i="11" s="1"/>
  <c r="I1793" i="11"/>
  <c r="AD1793" i="11" s="1"/>
  <c r="I1794" i="11"/>
  <c r="AD1794" i="11" s="1"/>
  <c r="I1795" i="11"/>
  <c r="AD1795" i="11" s="1"/>
  <c r="I1796" i="11"/>
  <c r="AD1796" i="11" s="1"/>
  <c r="I1797" i="11"/>
  <c r="AD1797" i="11" s="1"/>
  <c r="I1798" i="11"/>
  <c r="AD1798" i="11" s="1"/>
  <c r="I1799" i="11"/>
  <c r="AD1799" i="11" s="1"/>
  <c r="I1800" i="11"/>
  <c r="AD1800" i="11" s="1"/>
  <c r="I1801" i="11"/>
  <c r="AD1801" i="11" s="1"/>
  <c r="I1802" i="11"/>
  <c r="AD1802" i="11" s="1"/>
  <c r="I1803" i="11"/>
  <c r="AD1803" i="11" s="1"/>
  <c r="I1804" i="11"/>
  <c r="AD1804" i="11" s="1"/>
  <c r="I1805" i="11"/>
  <c r="AD1805" i="11" s="1"/>
  <c r="I1806" i="11"/>
  <c r="AD1806" i="11" s="1"/>
  <c r="I1807" i="11"/>
  <c r="AD1807" i="11" s="1"/>
  <c r="I1808" i="11"/>
  <c r="AD1808" i="11" s="1"/>
  <c r="I1809" i="11"/>
  <c r="AD1809" i="11" s="1"/>
  <c r="I1810" i="11"/>
  <c r="AD1810" i="11" s="1"/>
  <c r="I1811" i="11"/>
  <c r="AD1811" i="11" s="1"/>
  <c r="I1812" i="11"/>
  <c r="AD1812" i="11" s="1"/>
  <c r="I1813" i="11"/>
  <c r="AD1813" i="11" s="1"/>
  <c r="I1814" i="11"/>
  <c r="AD1814" i="11" s="1"/>
  <c r="I1815" i="11"/>
  <c r="AD1815" i="11" s="1"/>
  <c r="I1816" i="11"/>
  <c r="AD1816" i="11" s="1"/>
  <c r="I1817" i="11"/>
  <c r="AD1817" i="11" s="1"/>
  <c r="I1818" i="11"/>
  <c r="AD1818" i="11" s="1"/>
  <c r="I1819" i="11"/>
  <c r="AD1819" i="11" s="1"/>
  <c r="I1820" i="11"/>
  <c r="AD1820" i="11" s="1"/>
  <c r="I1821" i="11"/>
  <c r="AD1821" i="11" s="1"/>
  <c r="I1822" i="11"/>
  <c r="AD1822" i="11" s="1"/>
  <c r="I1823" i="11"/>
  <c r="AD1823" i="11" s="1"/>
  <c r="I1824" i="11"/>
  <c r="AD1824" i="11" s="1"/>
  <c r="I1825" i="11"/>
  <c r="AD1825" i="11" s="1"/>
  <c r="I1826" i="11"/>
  <c r="AD1826" i="11" s="1"/>
  <c r="I1827" i="11"/>
  <c r="AD1827" i="11" s="1"/>
  <c r="I1828" i="11"/>
  <c r="AD1828" i="11" s="1"/>
  <c r="I1829" i="11"/>
  <c r="AD1829" i="11" s="1"/>
  <c r="I1830" i="11"/>
  <c r="AD1830" i="11" s="1"/>
  <c r="I1831" i="11"/>
  <c r="AD1831" i="11" s="1"/>
  <c r="I1832" i="11"/>
  <c r="AD1832" i="11" s="1"/>
  <c r="I1833" i="11"/>
  <c r="AD1833" i="11" s="1"/>
  <c r="I1834" i="11"/>
  <c r="AD1834" i="11" s="1"/>
  <c r="I1835" i="11"/>
  <c r="AD1835" i="11" s="1"/>
  <c r="I1836" i="11"/>
  <c r="AD1836" i="11" s="1"/>
  <c r="I1837" i="11"/>
  <c r="AD1837" i="11" s="1"/>
  <c r="I1838" i="11"/>
  <c r="AD1838" i="11" s="1"/>
  <c r="I1839" i="11"/>
  <c r="AD1839" i="11" s="1"/>
  <c r="I1840" i="11"/>
  <c r="AD1840" i="11" s="1"/>
  <c r="I1841" i="11"/>
  <c r="AD1841" i="11" s="1"/>
  <c r="I1842" i="11"/>
  <c r="AD1842" i="11" s="1"/>
  <c r="I1843" i="11"/>
  <c r="AD1843" i="11" s="1"/>
  <c r="I1844" i="11"/>
  <c r="AD1844" i="11" s="1"/>
  <c r="I1845" i="11"/>
  <c r="AD1845" i="11" s="1"/>
  <c r="I1846" i="11"/>
  <c r="AD1846" i="11" s="1"/>
  <c r="I1847" i="11"/>
  <c r="AD1847" i="11" s="1"/>
  <c r="I1848" i="11"/>
  <c r="AD1848" i="11" s="1"/>
  <c r="I1849" i="11"/>
  <c r="AD1849" i="11" s="1"/>
  <c r="I1850" i="11"/>
  <c r="AD1850" i="11" s="1"/>
  <c r="I1851" i="11"/>
  <c r="AD1851" i="11" s="1"/>
  <c r="I1852" i="11"/>
  <c r="AD1852" i="11" s="1"/>
  <c r="I1853" i="11"/>
  <c r="AD1853" i="11" s="1"/>
  <c r="I1854" i="11"/>
  <c r="AD1854" i="11" s="1"/>
  <c r="I1855" i="11"/>
  <c r="AD1855" i="11" s="1"/>
  <c r="I1856" i="11"/>
  <c r="AD1856" i="11" s="1"/>
  <c r="I1857" i="11"/>
  <c r="AD1857" i="11" s="1"/>
  <c r="I1858" i="11"/>
  <c r="AD1858" i="11" s="1"/>
  <c r="I1859" i="11"/>
  <c r="AD1859" i="11" s="1"/>
  <c r="I1860" i="11"/>
  <c r="AD1860" i="11" s="1"/>
  <c r="I1861" i="11"/>
  <c r="AD1861" i="11" s="1"/>
  <c r="I1862" i="11"/>
  <c r="AD1862" i="11" s="1"/>
  <c r="I1863" i="11"/>
  <c r="AD1863" i="11" s="1"/>
  <c r="I1864" i="11"/>
  <c r="AD1864" i="11" s="1"/>
  <c r="I1865" i="11"/>
  <c r="AD1865" i="11" s="1"/>
  <c r="I1866" i="11"/>
  <c r="AD1866" i="11" s="1"/>
  <c r="I1867" i="11"/>
  <c r="AD1867" i="11" s="1"/>
  <c r="I1868" i="11"/>
  <c r="AD1868" i="11" s="1"/>
  <c r="I1869" i="11"/>
  <c r="AD1869" i="11" s="1"/>
  <c r="I1870" i="11"/>
  <c r="AD1870" i="11" s="1"/>
  <c r="I1871" i="11"/>
  <c r="AD1871" i="11" s="1"/>
  <c r="I1872" i="11"/>
  <c r="AD1872" i="11" s="1"/>
  <c r="I1873" i="11"/>
  <c r="AD1873" i="11" s="1"/>
  <c r="I1874" i="11"/>
  <c r="AD1874" i="11" s="1"/>
  <c r="I1875" i="11"/>
  <c r="AD1875" i="11" s="1"/>
  <c r="I1876" i="11"/>
  <c r="AD1876" i="11" s="1"/>
  <c r="I1877" i="11"/>
  <c r="AD1877" i="11" s="1"/>
  <c r="I1878" i="11"/>
  <c r="AD1878" i="11" s="1"/>
  <c r="I1879" i="11"/>
  <c r="AD1879" i="11" s="1"/>
  <c r="I1880" i="11"/>
  <c r="AD1880" i="11" s="1"/>
  <c r="I1881" i="11"/>
  <c r="AD1881" i="11" s="1"/>
  <c r="I1882" i="11"/>
  <c r="AD1882" i="11" s="1"/>
  <c r="I1883" i="11"/>
  <c r="AD1883" i="11" s="1"/>
  <c r="I1884" i="11"/>
  <c r="AD1884" i="11" s="1"/>
  <c r="I1885" i="11"/>
  <c r="AD1885" i="11" s="1"/>
  <c r="I1886" i="11"/>
  <c r="AD1886" i="11" s="1"/>
  <c r="I1887" i="11"/>
  <c r="AD1887" i="11" s="1"/>
  <c r="I1888" i="11"/>
  <c r="AD1888" i="11" s="1"/>
  <c r="I1889" i="11"/>
  <c r="AD1889" i="11" s="1"/>
  <c r="I1890" i="11"/>
  <c r="AD1890" i="11" s="1"/>
  <c r="I1891" i="11"/>
  <c r="AD1891" i="11" s="1"/>
  <c r="I1892" i="11"/>
  <c r="AD1892" i="11" s="1"/>
  <c r="I1893" i="11"/>
  <c r="AD1893" i="11" s="1"/>
  <c r="I1894" i="11"/>
  <c r="AD1894" i="11" s="1"/>
  <c r="I1895" i="11"/>
  <c r="AD1895" i="11" s="1"/>
  <c r="I1896" i="11"/>
  <c r="AD1896" i="11" s="1"/>
  <c r="I1897" i="11"/>
  <c r="AD1897" i="11" s="1"/>
  <c r="I1898" i="11"/>
  <c r="AD1898" i="11" s="1"/>
  <c r="I1899" i="11"/>
  <c r="AD1899" i="11" s="1"/>
  <c r="I1900" i="11"/>
  <c r="AD1900" i="11" s="1"/>
  <c r="I1901" i="11"/>
  <c r="AD1901" i="11" s="1"/>
  <c r="I1902" i="11"/>
  <c r="AD1902" i="11" s="1"/>
  <c r="I1903" i="11"/>
  <c r="AD1903" i="11" s="1"/>
  <c r="I1904" i="11"/>
  <c r="AD1904" i="11" s="1"/>
  <c r="I1905" i="11"/>
  <c r="AD1905" i="11" s="1"/>
  <c r="I1906" i="11"/>
  <c r="AD1906" i="11" s="1"/>
  <c r="I1907" i="11"/>
  <c r="AD1907" i="11" s="1"/>
  <c r="I1908" i="11"/>
  <c r="AD1908" i="11" s="1"/>
  <c r="I1909" i="11"/>
  <c r="AD1909" i="11" s="1"/>
  <c r="I1910" i="11"/>
  <c r="AD1910" i="11" s="1"/>
  <c r="I1911" i="11"/>
  <c r="AD1911" i="11" s="1"/>
  <c r="I1912" i="11"/>
  <c r="AD1912" i="11" s="1"/>
  <c r="I1913" i="11"/>
  <c r="AD1913" i="11" s="1"/>
  <c r="I1914" i="11"/>
  <c r="AD1914" i="11" s="1"/>
  <c r="I1915" i="11"/>
  <c r="AD1915" i="11" s="1"/>
  <c r="I1916" i="11"/>
  <c r="AD1916" i="11" s="1"/>
  <c r="I1917" i="11"/>
  <c r="AD1917" i="11" s="1"/>
  <c r="I1918" i="11"/>
  <c r="AD1918" i="11" s="1"/>
  <c r="I1919" i="11"/>
  <c r="AD1919" i="11" s="1"/>
  <c r="I1920" i="11"/>
  <c r="AD1920" i="11" s="1"/>
  <c r="I1921" i="11"/>
  <c r="AD1921" i="11" s="1"/>
  <c r="I1922" i="11"/>
  <c r="AD1922" i="11" s="1"/>
  <c r="I1923" i="11"/>
  <c r="AD1923" i="11" s="1"/>
  <c r="I1924" i="11"/>
  <c r="AD1924" i="11" s="1"/>
  <c r="I1925" i="11"/>
  <c r="AD1925" i="11" s="1"/>
  <c r="I1926" i="11"/>
  <c r="AD1926" i="11" s="1"/>
  <c r="I1927" i="11"/>
  <c r="AD1927" i="11" s="1"/>
  <c r="I1928" i="11"/>
  <c r="AD1928" i="11" s="1"/>
  <c r="I1929" i="11"/>
  <c r="AD1929" i="11" s="1"/>
  <c r="I1930" i="11"/>
  <c r="AD1930" i="11" s="1"/>
  <c r="I1931" i="11"/>
  <c r="AD1931" i="11" s="1"/>
  <c r="I1932" i="11"/>
  <c r="AD1932" i="11" s="1"/>
  <c r="I1933" i="11"/>
  <c r="AD1933" i="11" s="1"/>
  <c r="I1934" i="11"/>
  <c r="AD1934" i="11" s="1"/>
  <c r="I1935" i="11"/>
  <c r="AD1935" i="11" s="1"/>
  <c r="I1936" i="11"/>
  <c r="AD1936" i="11" s="1"/>
  <c r="I1937" i="11"/>
  <c r="AD1937" i="11" s="1"/>
  <c r="I1938" i="11"/>
  <c r="AD1938" i="11" s="1"/>
  <c r="I1939" i="11"/>
  <c r="AD1939" i="11" s="1"/>
  <c r="I1940" i="11"/>
  <c r="AD1940" i="11" s="1"/>
  <c r="I1941" i="11"/>
  <c r="AD1941" i="11" s="1"/>
  <c r="I1942" i="11"/>
  <c r="AD1942" i="11" s="1"/>
  <c r="I1943" i="11"/>
  <c r="AD1943" i="11" s="1"/>
  <c r="I1944" i="11"/>
  <c r="AD1944" i="11" s="1"/>
  <c r="I1945" i="11"/>
  <c r="AD1945" i="11" s="1"/>
  <c r="I1946" i="11"/>
  <c r="AD1946" i="11" s="1"/>
  <c r="I1947" i="11"/>
  <c r="AD1947" i="11" s="1"/>
  <c r="I1948" i="11"/>
  <c r="AD1948" i="11" s="1"/>
  <c r="I1949" i="11"/>
  <c r="AD1949" i="11" s="1"/>
  <c r="I1950" i="11"/>
  <c r="AD1950" i="11" s="1"/>
  <c r="I1951" i="11"/>
  <c r="AD1951" i="11" s="1"/>
  <c r="I1952" i="11"/>
  <c r="AD1952" i="11" s="1"/>
  <c r="I1953" i="11"/>
  <c r="AD1953" i="11" s="1"/>
  <c r="I1954" i="11"/>
  <c r="AD1954" i="11" s="1"/>
  <c r="I1955" i="11"/>
  <c r="AD1955" i="11" s="1"/>
  <c r="I1956" i="11"/>
  <c r="AD1956" i="11" s="1"/>
  <c r="I1957" i="11"/>
  <c r="AD1957" i="11" s="1"/>
  <c r="I1958" i="11"/>
  <c r="AD1958" i="11" s="1"/>
  <c r="I1959" i="11"/>
  <c r="AD1959" i="11" s="1"/>
  <c r="I1960" i="11"/>
  <c r="AD1960" i="11" s="1"/>
  <c r="I1961" i="11"/>
  <c r="AD1961" i="11" s="1"/>
  <c r="I1962" i="11"/>
  <c r="AD1962" i="11" s="1"/>
  <c r="I1963" i="11"/>
  <c r="AD1963" i="11" s="1"/>
  <c r="I1964" i="11"/>
  <c r="AD1964" i="11" s="1"/>
  <c r="I1965" i="11"/>
  <c r="AD1965" i="11" s="1"/>
  <c r="I1966" i="11"/>
  <c r="AD1966" i="11" s="1"/>
  <c r="I1967" i="11"/>
  <c r="AD1967" i="11" s="1"/>
  <c r="I1968" i="11"/>
  <c r="AD1968" i="11" s="1"/>
  <c r="I1969" i="11"/>
  <c r="AD1969" i="11" s="1"/>
  <c r="I1970" i="11"/>
  <c r="AD1970" i="11" s="1"/>
  <c r="I1971" i="11"/>
  <c r="AD1971" i="11" s="1"/>
  <c r="I1972" i="11"/>
  <c r="AD1972" i="11" s="1"/>
  <c r="I1973" i="11"/>
  <c r="AD1973" i="11" s="1"/>
  <c r="I1974" i="11"/>
  <c r="AD1974" i="11" s="1"/>
  <c r="I1975" i="11"/>
  <c r="AD1975" i="11" s="1"/>
  <c r="I1976" i="11"/>
  <c r="AD1976" i="11" s="1"/>
  <c r="I1977" i="11"/>
  <c r="AD1977" i="11" s="1"/>
  <c r="I1978" i="11"/>
  <c r="AD1978" i="11" s="1"/>
  <c r="I1979" i="11"/>
  <c r="AD1979" i="11" s="1"/>
  <c r="I1980" i="11"/>
  <c r="AD1980" i="11" s="1"/>
  <c r="I1981" i="11"/>
  <c r="AD1981" i="11" s="1"/>
  <c r="I1982" i="11"/>
  <c r="AD1982" i="11" s="1"/>
  <c r="I1983" i="11"/>
  <c r="AD1983" i="11" s="1"/>
  <c r="I1984" i="11"/>
  <c r="AD1984" i="11" s="1"/>
  <c r="I1985" i="11"/>
  <c r="AD1985" i="11" s="1"/>
  <c r="I1986" i="11"/>
  <c r="AD1986" i="11" s="1"/>
  <c r="I1987" i="11"/>
  <c r="AD1987" i="11" s="1"/>
  <c r="I1988" i="11"/>
  <c r="AD1988" i="11" s="1"/>
  <c r="I1989" i="11"/>
  <c r="AD1989" i="11" s="1"/>
  <c r="I1990" i="11"/>
  <c r="AD1990" i="11" s="1"/>
  <c r="I1991" i="11"/>
  <c r="AD1991" i="11" s="1"/>
  <c r="I1992" i="11"/>
  <c r="AD1992" i="11" s="1"/>
  <c r="I1993" i="11"/>
  <c r="AD1993" i="11" s="1"/>
  <c r="I1994" i="11"/>
  <c r="AD1994" i="11" s="1"/>
  <c r="I1995" i="11"/>
  <c r="AD1995" i="11" s="1"/>
  <c r="I1996" i="11"/>
  <c r="AD1996" i="11" s="1"/>
  <c r="I1997" i="11"/>
  <c r="AD1997" i="11" s="1"/>
  <c r="I1998" i="11"/>
  <c r="AD1998" i="11" s="1"/>
  <c r="I1999" i="11"/>
  <c r="AD1999" i="11" s="1"/>
  <c r="I2000" i="11"/>
  <c r="AD2000" i="11" s="1"/>
  <c r="I2001" i="11"/>
  <c r="AD2001" i="11" s="1"/>
  <c r="I2002" i="11"/>
  <c r="AD2002" i="11" s="1"/>
  <c r="I2003" i="11"/>
  <c r="AD2003" i="11" s="1"/>
  <c r="I2004" i="11"/>
  <c r="AD2004" i="11" s="1"/>
  <c r="I2005" i="11"/>
  <c r="AD2005" i="11" s="1"/>
  <c r="I2006" i="11"/>
  <c r="AD2006" i="11" s="1"/>
  <c r="I2007" i="11"/>
  <c r="AD2007" i="11" s="1"/>
  <c r="I2008" i="11"/>
  <c r="AD2008" i="11" s="1"/>
  <c r="I2009" i="11"/>
  <c r="AD2009" i="11" s="1"/>
  <c r="I2010" i="11"/>
  <c r="AD2010" i="11" s="1"/>
  <c r="I2011" i="11"/>
  <c r="AD2011" i="11" s="1"/>
  <c r="I2012" i="11"/>
  <c r="AD2012" i="11" s="1"/>
  <c r="I2013" i="11"/>
  <c r="AD2013" i="11" s="1"/>
  <c r="I2014" i="11"/>
  <c r="AD2014" i="11" s="1"/>
  <c r="I2015" i="11"/>
  <c r="AD2015" i="11" s="1"/>
  <c r="I2016" i="11"/>
  <c r="AD2016" i="11" s="1"/>
  <c r="I2017" i="11"/>
  <c r="AD2017" i="11" s="1"/>
  <c r="I2018" i="11"/>
  <c r="AD2018" i="11" s="1"/>
  <c r="I2019" i="11"/>
  <c r="AD2019" i="11" s="1"/>
  <c r="I2020" i="11"/>
  <c r="AD2020" i="11" s="1"/>
  <c r="I2021" i="11"/>
  <c r="AD2021" i="11" s="1"/>
  <c r="I2022" i="11"/>
  <c r="AD2022" i="11" s="1"/>
  <c r="I2023" i="11"/>
  <c r="AD2023" i="11" s="1"/>
  <c r="I2024" i="11"/>
  <c r="AD2024" i="11" s="1"/>
  <c r="I2025" i="11"/>
  <c r="AD2025" i="11" s="1"/>
  <c r="I2026" i="11"/>
  <c r="AD2026" i="11" s="1"/>
  <c r="I2027" i="11"/>
  <c r="AD2027" i="11" s="1"/>
  <c r="I2028" i="11"/>
  <c r="AD2028" i="11" s="1"/>
  <c r="I2029" i="11"/>
  <c r="AD2029" i="11" s="1"/>
  <c r="I2030" i="11"/>
  <c r="AD2030" i="11" s="1"/>
  <c r="I2031" i="11"/>
  <c r="AD2031" i="11" s="1"/>
  <c r="I2032" i="11"/>
  <c r="AD2032" i="11" s="1"/>
  <c r="I2033" i="11"/>
  <c r="AD2033" i="11" s="1"/>
  <c r="I2034" i="11"/>
  <c r="AD2034" i="11" s="1"/>
  <c r="I2035" i="11"/>
  <c r="AD2035" i="11" s="1"/>
  <c r="I2036" i="11"/>
  <c r="AD2036" i="11" s="1"/>
  <c r="I2037" i="11"/>
  <c r="AD2037" i="11" s="1"/>
  <c r="I2038" i="11"/>
  <c r="AD2038" i="11" s="1"/>
  <c r="I2039" i="11"/>
  <c r="AD2039" i="11" s="1"/>
  <c r="I2040" i="11"/>
  <c r="AD2040" i="11" s="1"/>
  <c r="I2041" i="11"/>
  <c r="AD2041" i="11" s="1"/>
  <c r="I2042" i="11"/>
  <c r="AD2042" i="11" s="1"/>
  <c r="I2043" i="11"/>
  <c r="AD2043" i="11" s="1"/>
  <c r="I2044" i="11"/>
  <c r="AD2044" i="11" s="1"/>
  <c r="I2045" i="11"/>
  <c r="AD2045" i="11" s="1"/>
  <c r="I2046" i="11"/>
  <c r="AD2046" i="11" s="1"/>
  <c r="I2047" i="11"/>
  <c r="AD2047" i="11" s="1"/>
  <c r="I2048" i="11"/>
  <c r="AD2048" i="11" s="1"/>
  <c r="I2049" i="11"/>
  <c r="AD2049" i="11" s="1"/>
  <c r="I2050" i="11"/>
  <c r="AD2050" i="11" s="1"/>
  <c r="I2051" i="11"/>
  <c r="AD2051" i="11" s="1"/>
  <c r="I2052" i="11"/>
  <c r="AD2052" i="11" s="1"/>
  <c r="I2053" i="11"/>
  <c r="AD2053" i="11" s="1"/>
  <c r="I2054" i="11"/>
  <c r="AD2054" i="11" s="1"/>
  <c r="I2055" i="11"/>
  <c r="AD2055" i="11" s="1"/>
  <c r="I2056" i="11"/>
  <c r="AD2056" i="11" s="1"/>
  <c r="I2057" i="11"/>
  <c r="AD2057" i="11" s="1"/>
  <c r="I2058" i="11"/>
  <c r="AD2058" i="11" s="1"/>
  <c r="I2059" i="11"/>
  <c r="AD2059" i="11" s="1"/>
  <c r="I2060" i="11"/>
  <c r="AD2060" i="11" s="1"/>
  <c r="I2061" i="11"/>
  <c r="AD2061" i="11" s="1"/>
  <c r="I2062" i="11"/>
  <c r="AD2062" i="11" s="1"/>
  <c r="I2063" i="11"/>
  <c r="AD2063" i="11" s="1"/>
  <c r="I2064" i="11"/>
  <c r="AD2064" i="11" s="1"/>
  <c r="I2065" i="11"/>
  <c r="AD2065" i="11" s="1"/>
  <c r="I2066" i="11"/>
  <c r="AD2066" i="11" s="1"/>
  <c r="I2067" i="11"/>
  <c r="AD2067" i="11" s="1"/>
  <c r="I2068" i="11"/>
  <c r="AD2068" i="11" s="1"/>
  <c r="I2069" i="11"/>
  <c r="AD2069" i="11" s="1"/>
  <c r="I2070" i="11"/>
  <c r="AD2070" i="11" s="1"/>
  <c r="I2071" i="11"/>
  <c r="AD2071" i="11" s="1"/>
  <c r="I2072" i="11"/>
  <c r="AD2072" i="11" s="1"/>
  <c r="I2073" i="11"/>
  <c r="AD2073" i="11" s="1"/>
  <c r="I2074" i="11"/>
  <c r="AD2074" i="11" s="1"/>
  <c r="I2075" i="11"/>
  <c r="AD2075" i="11" s="1"/>
  <c r="I2076" i="11"/>
  <c r="AD2076" i="11" s="1"/>
  <c r="I2077" i="11"/>
  <c r="AD2077" i="11" s="1"/>
  <c r="I2078" i="11"/>
  <c r="AD2078" i="11" s="1"/>
  <c r="I2079" i="11"/>
  <c r="AD2079" i="11" s="1"/>
  <c r="I2080" i="11"/>
  <c r="AD2080" i="11" s="1"/>
  <c r="I2081" i="11"/>
  <c r="AD2081" i="11" s="1"/>
  <c r="I2082" i="11"/>
  <c r="AD2082" i="11" s="1"/>
  <c r="I2083" i="11"/>
  <c r="AD2083" i="11" s="1"/>
  <c r="I2084" i="11"/>
  <c r="AD2084" i="11" s="1"/>
  <c r="I2085" i="11"/>
  <c r="AD2085" i="11" s="1"/>
  <c r="I2086" i="11"/>
  <c r="AD2086" i="11" s="1"/>
  <c r="I2087" i="11"/>
  <c r="AD2087" i="11" s="1"/>
  <c r="I2088" i="11"/>
  <c r="AD2088" i="11" s="1"/>
  <c r="I2089" i="11"/>
  <c r="AD2089" i="11" s="1"/>
  <c r="I2090" i="11"/>
  <c r="AD2090" i="11" s="1"/>
  <c r="I2091" i="11"/>
  <c r="AD2091" i="11" s="1"/>
  <c r="I2092" i="11"/>
  <c r="AD2092" i="11" s="1"/>
  <c r="I2093" i="11"/>
  <c r="AD2093" i="11" s="1"/>
  <c r="I2094" i="11"/>
  <c r="AD2094" i="11" s="1"/>
  <c r="I2095" i="11"/>
  <c r="AD2095" i="11" s="1"/>
  <c r="I2096" i="11"/>
  <c r="AD2096" i="11" s="1"/>
  <c r="I2097" i="11"/>
  <c r="AD2097" i="11" s="1"/>
  <c r="I2098" i="11"/>
  <c r="AD2098" i="11" s="1"/>
  <c r="I2099" i="11"/>
  <c r="AD2099" i="11" s="1"/>
  <c r="I2100" i="11"/>
  <c r="AD2100" i="11" s="1"/>
  <c r="I2101" i="11"/>
  <c r="AD2101" i="11" s="1"/>
  <c r="I2102" i="11"/>
  <c r="AD2102" i="11" s="1"/>
  <c r="I2103" i="11"/>
  <c r="AD2103" i="11" s="1"/>
  <c r="I2104" i="11"/>
  <c r="AD2104" i="11" s="1"/>
  <c r="I2105" i="11"/>
  <c r="AD2105" i="11" s="1"/>
  <c r="I2106" i="11"/>
  <c r="AD2106" i="11" s="1"/>
  <c r="I2107" i="11"/>
  <c r="AD2107" i="11" s="1"/>
  <c r="I2108" i="11"/>
  <c r="AD2108" i="11" s="1"/>
  <c r="I2109" i="11"/>
  <c r="AD2109" i="11" s="1"/>
  <c r="I2110" i="11"/>
  <c r="AD2110" i="11" s="1"/>
  <c r="I2111" i="11"/>
  <c r="AD2111" i="11" s="1"/>
  <c r="I2112" i="11"/>
  <c r="AD2112" i="11" s="1"/>
  <c r="I2113" i="11"/>
  <c r="AD2113" i="11" s="1"/>
  <c r="I2114" i="11"/>
  <c r="AD2114" i="11" s="1"/>
  <c r="I2115" i="11"/>
  <c r="AD2115" i="11" s="1"/>
  <c r="I2116" i="11"/>
  <c r="AD2116" i="11" s="1"/>
  <c r="I2117" i="11"/>
  <c r="AD2117" i="11" s="1"/>
  <c r="I2118" i="11"/>
  <c r="AD2118" i="11" s="1"/>
  <c r="I2119" i="11"/>
  <c r="AD2119" i="11" s="1"/>
  <c r="I2120" i="11"/>
  <c r="AD2120" i="11" s="1"/>
  <c r="I2121" i="11"/>
  <c r="AD2121" i="11" s="1"/>
  <c r="I2122" i="11"/>
  <c r="AD2122" i="11" s="1"/>
  <c r="I2123" i="11"/>
  <c r="AD2123" i="11" s="1"/>
  <c r="I2124" i="11"/>
  <c r="AD2124" i="11" s="1"/>
  <c r="I2125" i="11"/>
  <c r="AD2125" i="11" s="1"/>
  <c r="I2126" i="11"/>
  <c r="AD2126" i="11" s="1"/>
  <c r="I2127" i="11"/>
  <c r="AD2127" i="11" s="1"/>
  <c r="I2128" i="11"/>
  <c r="AD2128" i="11" s="1"/>
  <c r="I2129" i="11"/>
  <c r="AD2129" i="11" s="1"/>
  <c r="I2130" i="11"/>
  <c r="AD2130" i="11" s="1"/>
  <c r="I2131" i="11"/>
  <c r="AD2131" i="11" s="1"/>
  <c r="I2132" i="11"/>
  <c r="AD2132" i="11" s="1"/>
  <c r="I2133" i="11"/>
  <c r="AD2133" i="11" s="1"/>
  <c r="I2134" i="11"/>
  <c r="AD2134" i="11" s="1"/>
  <c r="I2135" i="11"/>
  <c r="AD2135" i="11" s="1"/>
  <c r="I2136" i="11"/>
  <c r="AD2136" i="11" s="1"/>
  <c r="I2137" i="11"/>
  <c r="AD2137" i="11" s="1"/>
  <c r="I2138" i="11"/>
  <c r="AD2138" i="11" s="1"/>
  <c r="I2139" i="11"/>
  <c r="AD2139" i="11" s="1"/>
  <c r="I2140" i="11"/>
  <c r="AD2140" i="11" s="1"/>
  <c r="I2141" i="11"/>
  <c r="AD2141" i="11" s="1"/>
  <c r="I2142" i="11"/>
  <c r="AD2142" i="11" s="1"/>
  <c r="I2143" i="11"/>
  <c r="AD2143" i="11" s="1"/>
  <c r="I2144" i="11"/>
  <c r="AD2144" i="11" s="1"/>
  <c r="I2145" i="11"/>
  <c r="AD2145" i="11" s="1"/>
  <c r="I2146" i="11"/>
  <c r="AD2146" i="11" s="1"/>
  <c r="I2147" i="11"/>
  <c r="AD2147" i="11" s="1"/>
  <c r="I2148" i="11"/>
  <c r="AD2148" i="11" s="1"/>
  <c r="I2149" i="11"/>
  <c r="AD2149" i="11" s="1"/>
  <c r="I2150" i="11"/>
  <c r="AD2150" i="11" s="1"/>
  <c r="I2151" i="11"/>
  <c r="AD2151" i="11" s="1"/>
  <c r="I2152" i="11"/>
  <c r="AD2152" i="11" s="1"/>
  <c r="I2153" i="11"/>
  <c r="AD2153" i="11" s="1"/>
  <c r="I2154" i="11"/>
  <c r="AD2154" i="11" s="1"/>
  <c r="I2155" i="11"/>
  <c r="AD2155" i="11" s="1"/>
  <c r="I2156" i="11"/>
  <c r="AD2156" i="11" s="1"/>
  <c r="I2157" i="11"/>
  <c r="AD2157" i="11" s="1"/>
  <c r="I2158" i="11"/>
  <c r="AD2158" i="11" s="1"/>
  <c r="I2159" i="11"/>
  <c r="AD2159" i="11" s="1"/>
  <c r="I2160" i="11"/>
  <c r="AD2160" i="11" s="1"/>
  <c r="I2161" i="11"/>
  <c r="AD2161" i="11" s="1"/>
  <c r="I2162" i="11"/>
  <c r="AD2162" i="11" s="1"/>
  <c r="I2163" i="11"/>
  <c r="AD2163" i="11" s="1"/>
  <c r="I2164" i="11"/>
  <c r="AD2164" i="11" s="1"/>
  <c r="I2165" i="11"/>
  <c r="AD2165" i="11" s="1"/>
  <c r="I2166" i="11"/>
  <c r="AD2166" i="11" s="1"/>
  <c r="I2167" i="11"/>
  <c r="AD2167" i="11" s="1"/>
  <c r="I2168" i="11"/>
  <c r="AD2168" i="11" s="1"/>
  <c r="I2169" i="11"/>
  <c r="AD2169" i="11" s="1"/>
  <c r="I2170" i="11"/>
  <c r="AD2170" i="11" s="1"/>
  <c r="I2171" i="11"/>
  <c r="AD2171" i="11" s="1"/>
  <c r="I2172" i="11"/>
  <c r="AD2172" i="11" s="1"/>
  <c r="I2173" i="11"/>
  <c r="AD2173" i="11" s="1"/>
  <c r="I2174" i="11"/>
  <c r="AD2174" i="11" s="1"/>
  <c r="I2175" i="11"/>
  <c r="AD2175" i="11" s="1"/>
  <c r="I2176" i="11"/>
  <c r="AD2176" i="11" s="1"/>
  <c r="I2177" i="11"/>
  <c r="AD2177" i="11" s="1"/>
  <c r="I2178" i="11"/>
  <c r="AD2178" i="11" s="1"/>
  <c r="I2179" i="11"/>
  <c r="AD2179" i="11" s="1"/>
  <c r="I2180" i="11"/>
  <c r="AD2180" i="11" s="1"/>
  <c r="I2181" i="11"/>
  <c r="AD2181" i="11" s="1"/>
  <c r="I2182" i="11"/>
  <c r="AD2182" i="11" s="1"/>
  <c r="I2183" i="11"/>
  <c r="AD2183" i="11" s="1"/>
  <c r="I2184" i="11"/>
  <c r="AD2184" i="11" s="1"/>
  <c r="I2185" i="11"/>
  <c r="AD2185" i="11" s="1"/>
  <c r="I2186" i="11"/>
  <c r="AD2186" i="11" s="1"/>
  <c r="I2187" i="11"/>
  <c r="AD2187" i="11" s="1"/>
  <c r="I2188" i="11"/>
  <c r="AD2188" i="11" s="1"/>
  <c r="I2189" i="11"/>
  <c r="AD2189" i="11" s="1"/>
  <c r="I2190" i="11"/>
  <c r="AD2190" i="11" s="1"/>
  <c r="I2191" i="11"/>
  <c r="AD2191" i="11" s="1"/>
  <c r="I2192" i="11"/>
  <c r="AD2192" i="11" s="1"/>
  <c r="I2193" i="11"/>
  <c r="AD2193" i="11" s="1"/>
  <c r="I2194" i="11"/>
  <c r="AD2194" i="11" s="1"/>
  <c r="I2195" i="11"/>
  <c r="AD2195" i="11" s="1"/>
  <c r="I2196" i="11"/>
  <c r="AD2196" i="11" s="1"/>
  <c r="I2197" i="11"/>
  <c r="AD2197" i="11" s="1"/>
  <c r="I2198" i="11"/>
  <c r="AD2198" i="11" s="1"/>
  <c r="I2199" i="11"/>
  <c r="AD2199" i="11" s="1"/>
  <c r="I2200" i="11"/>
  <c r="AD2200" i="11" s="1"/>
  <c r="I2201" i="11"/>
  <c r="AD2201" i="11" s="1"/>
  <c r="I2202" i="11"/>
  <c r="AD2202" i="11" s="1"/>
  <c r="I2203" i="11"/>
  <c r="AD2203" i="11" s="1"/>
  <c r="I2204" i="11"/>
  <c r="AD2204" i="11" s="1"/>
  <c r="I2205" i="11"/>
  <c r="AD2205" i="11" s="1"/>
  <c r="I2206" i="11"/>
  <c r="AD2206" i="11" s="1"/>
  <c r="I2207" i="11"/>
  <c r="AD2207" i="11" s="1"/>
  <c r="I2208" i="11"/>
  <c r="AD2208" i="11" s="1"/>
  <c r="I2209" i="11"/>
  <c r="AD2209" i="11" s="1"/>
  <c r="I2210" i="11"/>
  <c r="AD2210" i="11" s="1"/>
  <c r="I2211" i="11"/>
  <c r="AD2211" i="11" s="1"/>
  <c r="I2212" i="11"/>
  <c r="AD2212" i="11" s="1"/>
  <c r="I2213" i="11"/>
  <c r="AD2213" i="11" s="1"/>
  <c r="I2214" i="11"/>
  <c r="AD2214" i="11" s="1"/>
  <c r="I2215" i="11"/>
  <c r="AD2215" i="11" s="1"/>
  <c r="I2216" i="11"/>
  <c r="AD2216" i="11" s="1"/>
  <c r="I2217" i="11"/>
  <c r="AD2217" i="11" s="1"/>
  <c r="I2218" i="11"/>
  <c r="AD2218" i="11" s="1"/>
  <c r="I2219" i="11"/>
  <c r="AD2219" i="11" s="1"/>
  <c r="I2220" i="11"/>
  <c r="AD2220" i="11" s="1"/>
  <c r="I2221" i="11"/>
  <c r="AD2221" i="11" s="1"/>
  <c r="I2222" i="11"/>
  <c r="AD2222" i="11" s="1"/>
  <c r="I2223" i="11"/>
  <c r="AD2223" i="11" s="1"/>
  <c r="I2224" i="11"/>
  <c r="AD2224" i="11" s="1"/>
  <c r="I2225" i="11"/>
  <c r="AD2225" i="11" s="1"/>
  <c r="I2226" i="11"/>
  <c r="AD2226" i="11" s="1"/>
  <c r="I2227" i="11"/>
  <c r="AD2227" i="11" s="1"/>
  <c r="I2228" i="11"/>
  <c r="AD2228" i="11" s="1"/>
  <c r="I2229" i="11"/>
  <c r="AD2229" i="11" s="1"/>
  <c r="I2230" i="11"/>
  <c r="AD2230" i="11" s="1"/>
  <c r="I2231" i="11"/>
  <c r="AD2231" i="11" s="1"/>
  <c r="I2232" i="11"/>
  <c r="AD2232" i="11" s="1"/>
  <c r="I2233" i="11"/>
  <c r="AD2233" i="11" s="1"/>
  <c r="I2234" i="11"/>
  <c r="AD2234" i="11" s="1"/>
  <c r="I2235" i="11"/>
  <c r="AD2235" i="11" s="1"/>
  <c r="I2236" i="11"/>
  <c r="AD2236" i="11" s="1"/>
  <c r="I2237" i="11"/>
  <c r="AD2237" i="11" s="1"/>
  <c r="I2238" i="11"/>
  <c r="AD2238" i="11" s="1"/>
  <c r="I2239" i="11"/>
  <c r="AD2239" i="11" s="1"/>
  <c r="I2240" i="11"/>
  <c r="AD2240" i="11" s="1"/>
  <c r="I2241" i="11"/>
  <c r="AD2241" i="11" s="1"/>
  <c r="I2242" i="11"/>
  <c r="AD2242" i="11" s="1"/>
  <c r="I2243" i="11"/>
  <c r="AD2243" i="11" s="1"/>
  <c r="I2244" i="11"/>
  <c r="AD2244" i="11" s="1"/>
  <c r="I2245" i="11"/>
  <c r="AD2245" i="11" s="1"/>
  <c r="I2246" i="11"/>
  <c r="AD2246" i="11" s="1"/>
  <c r="I2247" i="11"/>
  <c r="AD2247" i="11" s="1"/>
  <c r="I2248" i="11"/>
  <c r="AD2248" i="11" s="1"/>
  <c r="I2249" i="11"/>
  <c r="AD2249" i="11" s="1"/>
  <c r="I2250" i="11"/>
  <c r="AD2250" i="11" s="1"/>
  <c r="I2251" i="11"/>
  <c r="AD2251" i="11" s="1"/>
  <c r="I2252" i="11"/>
  <c r="AD2252" i="11" s="1"/>
  <c r="I2253" i="11"/>
  <c r="AD2253" i="11" s="1"/>
  <c r="I2254" i="11"/>
  <c r="AD2254" i="11" s="1"/>
  <c r="I2255" i="11"/>
  <c r="AD2255" i="11" s="1"/>
  <c r="I2256" i="11"/>
  <c r="AD2256" i="11" s="1"/>
  <c r="I2257" i="11"/>
  <c r="AD2257" i="11" s="1"/>
  <c r="I2258" i="11"/>
  <c r="AD2258" i="11" s="1"/>
  <c r="I2259" i="11"/>
  <c r="AD2259" i="11" s="1"/>
  <c r="I2260" i="11"/>
  <c r="AD2260" i="11" s="1"/>
  <c r="I2261" i="11"/>
  <c r="AD2261" i="11" s="1"/>
  <c r="I2262" i="11"/>
  <c r="AD2262" i="11" s="1"/>
  <c r="I2263" i="11"/>
  <c r="AD2263" i="11" s="1"/>
  <c r="I2264" i="11"/>
  <c r="AD2264" i="11" s="1"/>
  <c r="I2265" i="11"/>
  <c r="AD2265" i="11" s="1"/>
  <c r="I2266" i="11"/>
  <c r="AD2266" i="11" s="1"/>
  <c r="I2267" i="11"/>
  <c r="AD2267" i="11" s="1"/>
  <c r="I2268" i="11"/>
  <c r="AD2268" i="11" s="1"/>
  <c r="I2269" i="11"/>
  <c r="AD2269" i="11" s="1"/>
  <c r="I2270" i="11"/>
  <c r="AD2270" i="11" s="1"/>
  <c r="I2271" i="11"/>
  <c r="AD2271" i="11" s="1"/>
  <c r="I2272" i="11"/>
  <c r="AD2272" i="11" s="1"/>
  <c r="I2273" i="11"/>
  <c r="AD2273" i="11" s="1"/>
  <c r="I2274" i="11"/>
  <c r="AD2274" i="11" s="1"/>
  <c r="I2275" i="11"/>
  <c r="AD2275" i="11" s="1"/>
  <c r="I2276" i="11"/>
  <c r="AD2276" i="11" s="1"/>
  <c r="I2277" i="11"/>
  <c r="AD2277" i="11" s="1"/>
  <c r="I2278" i="11"/>
  <c r="AD2278" i="11" s="1"/>
  <c r="I2279" i="11"/>
  <c r="AD2279" i="11" s="1"/>
  <c r="I2280" i="11"/>
  <c r="AD2280" i="11" s="1"/>
  <c r="I2281" i="11"/>
  <c r="AD2281" i="11" s="1"/>
  <c r="I2282" i="11"/>
  <c r="AD2282" i="11" s="1"/>
  <c r="I2283" i="11"/>
  <c r="AD2283" i="11" s="1"/>
  <c r="I2284" i="11"/>
  <c r="AD2284" i="11" s="1"/>
  <c r="I2285" i="11"/>
  <c r="AD2285" i="11" s="1"/>
  <c r="I2286" i="11"/>
  <c r="AD2286" i="11" s="1"/>
  <c r="I2287" i="11"/>
  <c r="AD2287" i="11" s="1"/>
  <c r="I2288" i="11"/>
  <c r="AD2288" i="11" s="1"/>
  <c r="I2289" i="11"/>
  <c r="AD2289" i="11" s="1"/>
  <c r="I2290" i="11"/>
  <c r="AD2290" i="11" s="1"/>
  <c r="I2291" i="11"/>
  <c r="AD2291" i="11" s="1"/>
  <c r="I2292" i="11"/>
  <c r="AD2292" i="11" s="1"/>
  <c r="I2293" i="11"/>
  <c r="AD2293" i="11" s="1"/>
  <c r="I2294" i="11"/>
  <c r="AD2294" i="11" s="1"/>
  <c r="I2295" i="11"/>
  <c r="AD2295" i="11" s="1"/>
  <c r="I2296" i="11"/>
  <c r="AD2296" i="11" s="1"/>
  <c r="I2297" i="11"/>
  <c r="AD2297" i="11" s="1"/>
  <c r="I2298" i="11"/>
  <c r="AD2298" i="11" s="1"/>
  <c r="I2299" i="11"/>
  <c r="AD2299" i="11" s="1"/>
  <c r="I2300" i="11"/>
  <c r="AD2300" i="11" s="1"/>
  <c r="I2301" i="11"/>
  <c r="AD2301" i="11" s="1"/>
  <c r="I2302" i="11"/>
  <c r="AD2302" i="11" s="1"/>
  <c r="I2303" i="11"/>
  <c r="AD2303" i="11" s="1"/>
  <c r="I2304" i="11"/>
  <c r="AD2304" i="11" s="1"/>
  <c r="I2305" i="11"/>
  <c r="AD2305" i="11" s="1"/>
  <c r="I2306" i="11"/>
  <c r="AD2306" i="11" s="1"/>
  <c r="I2307" i="11"/>
  <c r="AD2307" i="11" s="1"/>
  <c r="I2308" i="11"/>
  <c r="AD2308" i="11" s="1"/>
  <c r="I2309" i="11"/>
  <c r="AD2309" i="11" s="1"/>
  <c r="I2310" i="11"/>
  <c r="AD2310" i="11" s="1"/>
  <c r="I2311" i="11"/>
  <c r="AD2311" i="11" s="1"/>
  <c r="I2312" i="11"/>
  <c r="AD2312" i="11" s="1"/>
  <c r="I2313" i="11"/>
  <c r="AD2313" i="11" s="1"/>
  <c r="I2314" i="11"/>
  <c r="AD2314" i="11" s="1"/>
  <c r="I2315" i="11"/>
  <c r="AD2315" i="11" s="1"/>
  <c r="I2316" i="11"/>
  <c r="AD2316" i="11" s="1"/>
  <c r="I2317" i="11"/>
  <c r="AD2317" i="11" s="1"/>
  <c r="I2318" i="11"/>
  <c r="AD2318" i="11" s="1"/>
  <c r="I2319" i="11"/>
  <c r="AD2319" i="11" s="1"/>
  <c r="I2320" i="11"/>
  <c r="AD2320" i="11" s="1"/>
  <c r="I2321" i="11"/>
  <c r="AD2321" i="11" s="1"/>
  <c r="I2322" i="11"/>
  <c r="AD2322" i="11" s="1"/>
  <c r="I2323" i="11"/>
  <c r="AD2323" i="11" s="1"/>
  <c r="I2324" i="11"/>
  <c r="AD2324" i="11" s="1"/>
  <c r="I2325" i="11"/>
  <c r="AD2325" i="11" s="1"/>
  <c r="I2326" i="11"/>
  <c r="AD2326" i="11" s="1"/>
  <c r="I2327" i="11"/>
  <c r="AD2327" i="11" s="1"/>
  <c r="I2328" i="11"/>
  <c r="AD2328" i="11" s="1"/>
  <c r="I2329" i="11"/>
  <c r="AD2329" i="11" s="1"/>
  <c r="I2330" i="11"/>
  <c r="AD2330" i="11" s="1"/>
  <c r="I2331" i="11"/>
  <c r="AD2331" i="11" s="1"/>
  <c r="I2332" i="11"/>
  <c r="AD2332" i="11" s="1"/>
  <c r="I2333" i="11"/>
  <c r="AD2333" i="11" s="1"/>
  <c r="I2334" i="11"/>
  <c r="AD2334" i="11" s="1"/>
  <c r="I2335" i="11"/>
  <c r="AD2335" i="11" s="1"/>
  <c r="I2336" i="11"/>
  <c r="AD2336" i="11" s="1"/>
  <c r="I2337" i="11"/>
  <c r="AD2337" i="11" s="1"/>
  <c r="I2338" i="11"/>
  <c r="AD2338" i="11" s="1"/>
  <c r="I2339" i="11"/>
  <c r="AD2339" i="11" s="1"/>
  <c r="I2340" i="11"/>
  <c r="AD2340" i="11" s="1"/>
  <c r="I2341" i="11"/>
  <c r="AD2341" i="11" s="1"/>
  <c r="I2342" i="11"/>
  <c r="AD2342" i="11" s="1"/>
  <c r="I2343" i="11"/>
  <c r="AD2343" i="11" s="1"/>
  <c r="I2344" i="11"/>
  <c r="AD2344" i="11" s="1"/>
  <c r="I2345" i="11"/>
  <c r="AD2345" i="11" s="1"/>
  <c r="I2346" i="11"/>
  <c r="AD2346" i="11" s="1"/>
  <c r="I2347" i="11"/>
  <c r="AD2347" i="11" s="1"/>
  <c r="I2348" i="11"/>
  <c r="AD2348" i="11" s="1"/>
  <c r="I2349" i="11"/>
  <c r="AD2349" i="11" s="1"/>
  <c r="I2350" i="11"/>
  <c r="AD2350" i="11" s="1"/>
  <c r="I2351" i="11"/>
  <c r="AD2351" i="11" s="1"/>
  <c r="I2352" i="11"/>
  <c r="AD2352" i="11" s="1"/>
  <c r="I2353" i="11"/>
  <c r="AD2353" i="11" s="1"/>
  <c r="I2354" i="11"/>
  <c r="AD2354" i="11" s="1"/>
  <c r="I2355" i="11"/>
  <c r="AD2355" i="11" s="1"/>
  <c r="I2356" i="11"/>
  <c r="AD2356" i="11" s="1"/>
  <c r="I2357" i="11"/>
  <c r="AD2357" i="11" s="1"/>
  <c r="I2358" i="11"/>
  <c r="AD2358" i="11" s="1"/>
  <c r="I2359" i="11"/>
  <c r="AD2359" i="11" s="1"/>
  <c r="I2360" i="11"/>
  <c r="AD2360" i="11" s="1"/>
  <c r="I2361" i="11"/>
  <c r="AD2361" i="11" s="1"/>
  <c r="I2362" i="11"/>
  <c r="AD2362" i="11" s="1"/>
  <c r="I2363" i="11"/>
  <c r="AD2363" i="11" s="1"/>
  <c r="I2364" i="11"/>
  <c r="AD2364" i="11" s="1"/>
  <c r="I2365" i="11"/>
  <c r="AD2365" i="11" s="1"/>
  <c r="I2366" i="11"/>
  <c r="AD2366" i="11" s="1"/>
  <c r="I2367" i="11"/>
  <c r="AD2367" i="11" s="1"/>
  <c r="I2368" i="11"/>
  <c r="AD2368" i="11" s="1"/>
  <c r="I2369" i="11"/>
  <c r="AD2369" i="11" s="1"/>
  <c r="I2370" i="11"/>
  <c r="AD2370" i="11" s="1"/>
  <c r="I2371" i="11"/>
  <c r="AD2371" i="11" s="1"/>
  <c r="I2372" i="11"/>
  <c r="AD2372" i="11" s="1"/>
  <c r="I2373" i="11"/>
  <c r="AD2373" i="11" s="1"/>
  <c r="I2374" i="11"/>
  <c r="AD2374" i="11" s="1"/>
  <c r="I2375" i="11"/>
  <c r="AD2375" i="11" s="1"/>
  <c r="I2376" i="11"/>
  <c r="AD2376" i="11" s="1"/>
  <c r="I2377" i="11"/>
  <c r="AD2377" i="11" s="1"/>
  <c r="I2378" i="11"/>
  <c r="AD2378" i="11" s="1"/>
  <c r="I2379" i="11"/>
  <c r="AD2379" i="11" s="1"/>
  <c r="I2380" i="11"/>
  <c r="AD2380" i="11" s="1"/>
  <c r="I2381" i="11"/>
  <c r="AD2381" i="11" s="1"/>
  <c r="I2382" i="11"/>
  <c r="AD2382" i="11" s="1"/>
  <c r="I2383" i="11"/>
  <c r="AD2383" i="11" s="1"/>
  <c r="I2384" i="11"/>
  <c r="AD2384" i="11" s="1"/>
  <c r="I2385" i="11"/>
  <c r="AD2385" i="11" s="1"/>
  <c r="I2386" i="11"/>
  <c r="AD2386" i="11" s="1"/>
  <c r="I2387" i="11"/>
  <c r="AD2387" i="11" s="1"/>
  <c r="I2388" i="11"/>
  <c r="AD2388" i="11" s="1"/>
  <c r="I2389" i="11"/>
  <c r="AD2389" i="11" s="1"/>
  <c r="I2390" i="11"/>
  <c r="AD2390" i="11" s="1"/>
  <c r="I2391" i="11"/>
  <c r="AD2391" i="11" s="1"/>
  <c r="I2392" i="11"/>
  <c r="AD2392" i="11" s="1"/>
  <c r="I2393" i="11"/>
  <c r="AD2393" i="11" s="1"/>
  <c r="I2394" i="11"/>
  <c r="AD2394" i="11" s="1"/>
  <c r="I2395" i="11"/>
  <c r="AD2395" i="11" s="1"/>
  <c r="I2396" i="11"/>
  <c r="AD2396" i="11" s="1"/>
  <c r="I2397" i="11"/>
  <c r="AD2397" i="11" s="1"/>
  <c r="I2398" i="11"/>
  <c r="AD2398" i="11" s="1"/>
  <c r="I2399" i="11"/>
  <c r="AD2399" i="11" s="1"/>
  <c r="I2400" i="11"/>
  <c r="AD2400" i="11" s="1"/>
  <c r="I2401" i="11"/>
  <c r="AD2401" i="11" s="1"/>
  <c r="I2402" i="11"/>
  <c r="AD2402" i="11" s="1"/>
  <c r="I2403" i="11"/>
  <c r="AD2403" i="11" s="1"/>
  <c r="I2404" i="11"/>
  <c r="AD2404" i="11" s="1"/>
  <c r="I2405" i="11"/>
  <c r="AD2405" i="11" s="1"/>
  <c r="I2406" i="11"/>
  <c r="AD2406" i="11" s="1"/>
  <c r="I2407" i="11"/>
  <c r="AD2407" i="11" s="1"/>
  <c r="I2408" i="11"/>
  <c r="AD2408" i="11" s="1"/>
  <c r="I2409" i="11"/>
  <c r="AD2409" i="11" s="1"/>
  <c r="I2410" i="11"/>
  <c r="AD2410" i="11" s="1"/>
  <c r="I2411" i="11"/>
  <c r="AD2411" i="11" s="1"/>
  <c r="I2412" i="11"/>
  <c r="AD2412" i="11" s="1"/>
  <c r="I2413" i="11"/>
  <c r="AD2413" i="11" s="1"/>
  <c r="I2414" i="11"/>
  <c r="AD2414" i="11" s="1"/>
  <c r="I2415" i="11"/>
  <c r="AD2415" i="11" s="1"/>
  <c r="I2416" i="11"/>
  <c r="AD2416" i="11" s="1"/>
  <c r="I2417" i="11"/>
  <c r="AD2417" i="11" s="1"/>
  <c r="I2418" i="11"/>
  <c r="AD2418" i="11" s="1"/>
  <c r="I2419" i="11"/>
  <c r="AD2419" i="11" s="1"/>
  <c r="I2420" i="11"/>
  <c r="AD2420" i="11" s="1"/>
  <c r="I2421" i="11"/>
  <c r="AD2421" i="11" s="1"/>
  <c r="I2422" i="11"/>
  <c r="AD2422" i="11" s="1"/>
  <c r="I2423" i="11"/>
  <c r="AD2423" i="11" s="1"/>
  <c r="I2424" i="11"/>
  <c r="AD2424" i="11" s="1"/>
  <c r="I2425" i="11"/>
  <c r="AD2425" i="11" s="1"/>
  <c r="I2426" i="11"/>
  <c r="AD2426" i="11" s="1"/>
  <c r="I2427" i="11"/>
  <c r="AD2427" i="11" s="1"/>
  <c r="I2428" i="11"/>
  <c r="AD2428" i="11" s="1"/>
  <c r="I2429" i="11"/>
  <c r="AD2429" i="11" s="1"/>
  <c r="I2430" i="11"/>
  <c r="AD2430" i="11" s="1"/>
  <c r="I2431" i="11"/>
  <c r="AD2431" i="11" s="1"/>
  <c r="I2432" i="11"/>
  <c r="AD2432" i="11" s="1"/>
  <c r="I2433" i="11"/>
  <c r="AD2433" i="11" s="1"/>
  <c r="I2434" i="11"/>
  <c r="AD2434" i="11" s="1"/>
  <c r="I2435" i="11"/>
  <c r="AD2435" i="11" s="1"/>
  <c r="I2436" i="11"/>
  <c r="AD2436" i="11" s="1"/>
  <c r="I2437" i="11"/>
  <c r="AD2437" i="11" s="1"/>
  <c r="I2438" i="11"/>
  <c r="AD2438" i="11" s="1"/>
  <c r="I2439" i="11"/>
  <c r="AD2439" i="11" s="1"/>
  <c r="I2440" i="11"/>
  <c r="AD2440" i="11" s="1"/>
  <c r="I2441" i="11"/>
  <c r="AD2441" i="11" s="1"/>
  <c r="I2442" i="11"/>
  <c r="AD2442" i="11" s="1"/>
  <c r="I2443" i="11"/>
  <c r="AD2443" i="11" s="1"/>
  <c r="I2444" i="11"/>
  <c r="AD2444" i="11" s="1"/>
  <c r="I2445" i="11"/>
  <c r="AD2445" i="11" s="1"/>
  <c r="I2446" i="11"/>
  <c r="AD2446" i="11" s="1"/>
  <c r="I2447" i="11"/>
  <c r="AD2447" i="11" s="1"/>
  <c r="I2448" i="11"/>
  <c r="AD2448" i="11" s="1"/>
  <c r="I2449" i="11"/>
  <c r="AD2449" i="11" s="1"/>
  <c r="I2450" i="11"/>
  <c r="AD2450" i="11" s="1"/>
  <c r="I2451" i="11"/>
  <c r="AD2451" i="11" s="1"/>
  <c r="I2452" i="11"/>
  <c r="AD2452" i="11" s="1"/>
  <c r="I2453" i="11"/>
  <c r="AD2453" i="11" s="1"/>
  <c r="I2454" i="11"/>
  <c r="AD2454" i="11" s="1"/>
  <c r="I2455" i="11"/>
  <c r="AD2455" i="11" s="1"/>
  <c r="I2456" i="11"/>
  <c r="AD2456" i="11" s="1"/>
  <c r="I2457" i="11"/>
  <c r="AD2457" i="11" s="1"/>
  <c r="I2458" i="11"/>
  <c r="AD2458" i="11" s="1"/>
  <c r="I2459" i="11"/>
  <c r="AD2459" i="11" s="1"/>
  <c r="I2460" i="11"/>
  <c r="AD2460" i="11" s="1"/>
  <c r="I2461" i="11"/>
  <c r="AD2461" i="11" s="1"/>
  <c r="I2462" i="11"/>
  <c r="AD2462" i="11" s="1"/>
  <c r="I2463" i="11"/>
  <c r="AD2463" i="11" s="1"/>
  <c r="I2464" i="11"/>
  <c r="AD2464" i="11" s="1"/>
  <c r="I2465" i="11"/>
  <c r="AD2465" i="11" s="1"/>
  <c r="I2466" i="11"/>
  <c r="AD2466" i="11" s="1"/>
  <c r="I2467" i="11"/>
  <c r="AD2467" i="11" s="1"/>
  <c r="I2468" i="11"/>
  <c r="AD2468" i="11" s="1"/>
  <c r="I2469" i="11"/>
  <c r="AD2469" i="11" s="1"/>
  <c r="I2470" i="11"/>
  <c r="AD2470" i="11" s="1"/>
  <c r="I2471" i="11"/>
  <c r="AD2471" i="11" s="1"/>
  <c r="I2472" i="11"/>
  <c r="AD2472" i="11" s="1"/>
  <c r="I2473" i="11"/>
  <c r="AD2473" i="11" s="1"/>
  <c r="I2474" i="11"/>
  <c r="AD2474" i="11" s="1"/>
  <c r="I2475" i="11"/>
  <c r="AD2475" i="11" s="1"/>
  <c r="I2476" i="11"/>
  <c r="AD2476" i="11" s="1"/>
  <c r="I2477" i="11"/>
  <c r="AD2477" i="11" s="1"/>
  <c r="I2478" i="11"/>
  <c r="AD2478" i="11" s="1"/>
  <c r="I2479" i="11"/>
  <c r="AD2479" i="11" s="1"/>
  <c r="I2480" i="11"/>
  <c r="AD2480" i="11" s="1"/>
  <c r="I2481" i="11"/>
  <c r="AD2481" i="11" s="1"/>
  <c r="I2482" i="11"/>
  <c r="AD2482" i="11" s="1"/>
  <c r="I2483" i="11"/>
  <c r="AD2483" i="11" s="1"/>
  <c r="I2484" i="11"/>
  <c r="AD2484" i="11" s="1"/>
  <c r="I2485" i="11"/>
  <c r="AD2485" i="11" s="1"/>
  <c r="I2486" i="11"/>
  <c r="AD2486" i="11" s="1"/>
  <c r="I2487" i="11"/>
  <c r="AD2487" i="11" s="1"/>
  <c r="I2488" i="11"/>
  <c r="AD2488" i="11" s="1"/>
  <c r="I2489" i="11"/>
  <c r="AD2489" i="11" s="1"/>
  <c r="I2490" i="11"/>
  <c r="AD2490" i="11" s="1"/>
  <c r="I2491" i="11"/>
  <c r="AD2491" i="11" s="1"/>
  <c r="I2492" i="11"/>
  <c r="AD2492" i="11" s="1"/>
  <c r="I2493" i="11"/>
  <c r="AD2493" i="11" s="1"/>
  <c r="I2494" i="11"/>
  <c r="AD2494" i="11" s="1"/>
  <c r="I2495" i="11"/>
  <c r="AD2495" i="11" s="1"/>
  <c r="I2496" i="11"/>
  <c r="AD2496" i="11" s="1"/>
  <c r="I2497" i="11"/>
  <c r="AD2497" i="11" s="1"/>
  <c r="I2498" i="11"/>
  <c r="AD2498" i="11" s="1"/>
  <c r="I2499" i="11"/>
  <c r="AD2499" i="11" s="1"/>
  <c r="I2500" i="11"/>
  <c r="AD2500" i="11" s="1"/>
  <c r="I2501" i="11"/>
  <c r="AD2501" i="11" s="1"/>
  <c r="I2502" i="11"/>
  <c r="AD2502" i="11" s="1"/>
  <c r="I2503" i="11"/>
  <c r="AD2503" i="11" s="1"/>
  <c r="I2504" i="11"/>
  <c r="AD2504" i="11" s="1"/>
  <c r="I2505" i="11"/>
  <c r="AD2505" i="11" s="1"/>
  <c r="I2506" i="11"/>
  <c r="AD2506" i="11" s="1"/>
  <c r="I2507" i="11"/>
  <c r="AD2507" i="11" s="1"/>
  <c r="I2508" i="11"/>
  <c r="AD2508" i="11" s="1"/>
  <c r="I2509" i="11"/>
  <c r="AD2509" i="11" s="1"/>
  <c r="I2510" i="11"/>
  <c r="AD2510" i="11" s="1"/>
  <c r="I2511" i="11"/>
  <c r="AD2511" i="11" s="1"/>
  <c r="I2512" i="11"/>
  <c r="AD2512" i="11" s="1"/>
  <c r="I2513" i="11"/>
  <c r="AD2513" i="11" s="1"/>
  <c r="I2514" i="11"/>
  <c r="AD2514" i="11" s="1"/>
  <c r="I2515" i="11"/>
  <c r="AD2515" i="11" s="1"/>
  <c r="I2516" i="11"/>
  <c r="AD2516" i="11" s="1"/>
  <c r="I2517" i="11"/>
  <c r="AD2517" i="11" s="1"/>
  <c r="I2518" i="11"/>
  <c r="AD2518" i="11" s="1"/>
  <c r="I2519" i="11"/>
  <c r="AD2519" i="11" s="1"/>
  <c r="I2520" i="11"/>
  <c r="AD2520" i="11" s="1"/>
  <c r="I2521" i="11"/>
  <c r="AD2521" i="11" s="1"/>
  <c r="I2522" i="11"/>
  <c r="AD2522" i="11" s="1"/>
  <c r="I2523" i="11"/>
  <c r="AD2523" i="11" s="1"/>
  <c r="I2524" i="11"/>
  <c r="AD2524" i="11" s="1"/>
  <c r="I2525" i="11"/>
  <c r="AD2525" i="11" s="1"/>
  <c r="I2526" i="11"/>
  <c r="AD2526" i="11" s="1"/>
  <c r="I2527" i="11"/>
  <c r="AD2527" i="11" s="1"/>
  <c r="I2528" i="11"/>
  <c r="AD2528" i="11" s="1"/>
  <c r="I2529" i="11"/>
  <c r="AD2529" i="11" s="1"/>
  <c r="I2530" i="11"/>
  <c r="AD2530" i="11" s="1"/>
  <c r="I2531" i="11"/>
  <c r="AD2531" i="11" s="1"/>
  <c r="I2532" i="11"/>
  <c r="AD2532" i="11" s="1"/>
  <c r="I2533" i="11"/>
  <c r="AD2533" i="11" s="1"/>
  <c r="I2534" i="11"/>
  <c r="AD2534" i="11" s="1"/>
  <c r="I2535" i="11"/>
  <c r="AD2535" i="11" s="1"/>
  <c r="I2536" i="11"/>
  <c r="AD2536" i="11" s="1"/>
  <c r="I2537" i="11"/>
  <c r="AD2537" i="11" s="1"/>
  <c r="I2538" i="11"/>
  <c r="AD2538" i="11" s="1"/>
  <c r="I2539" i="11"/>
  <c r="AD2539" i="11" s="1"/>
  <c r="I2540" i="11"/>
  <c r="AD2540" i="11" s="1"/>
  <c r="I2541" i="11"/>
  <c r="AD2541" i="11" s="1"/>
  <c r="I2542" i="11"/>
  <c r="AD2542" i="11" s="1"/>
  <c r="I2543" i="11"/>
  <c r="AD2543" i="11" s="1"/>
  <c r="I2544" i="11"/>
  <c r="AD2544" i="11" s="1"/>
  <c r="I2545" i="11"/>
  <c r="AD2545" i="11" s="1"/>
  <c r="I2546" i="11"/>
  <c r="AD2546" i="11" s="1"/>
  <c r="I2547" i="11"/>
  <c r="AD2547" i="11" s="1"/>
  <c r="I2548" i="11"/>
  <c r="AD2548" i="11" s="1"/>
  <c r="I2549" i="11"/>
  <c r="AD2549" i="11" s="1"/>
  <c r="I2550" i="11"/>
  <c r="AD2550" i="11" s="1"/>
  <c r="I2551" i="11"/>
  <c r="AD2551" i="11" s="1"/>
  <c r="I2552" i="11"/>
  <c r="AD2552" i="11" s="1"/>
  <c r="I2553" i="11"/>
  <c r="AD2553" i="11" s="1"/>
  <c r="I2554" i="11"/>
  <c r="AD2554" i="11" s="1"/>
  <c r="I2555" i="11"/>
  <c r="AD2555" i="11" s="1"/>
  <c r="I2556" i="11"/>
  <c r="AD2556" i="11" s="1"/>
  <c r="I2557" i="11"/>
  <c r="AD2557" i="11" s="1"/>
  <c r="I2558" i="11"/>
  <c r="AD2558" i="11" s="1"/>
  <c r="I2559" i="11"/>
  <c r="AD2559" i="11" s="1"/>
  <c r="I2560" i="11"/>
  <c r="AD2560" i="11" s="1"/>
  <c r="I2561" i="11"/>
  <c r="AD2561" i="11" s="1"/>
  <c r="I2562" i="11"/>
  <c r="AD2562" i="11" s="1"/>
  <c r="I2563" i="11"/>
  <c r="AD2563" i="11" s="1"/>
  <c r="I2564" i="11"/>
  <c r="AD2564" i="11" s="1"/>
  <c r="I2565" i="11"/>
  <c r="AD2565" i="11" s="1"/>
  <c r="I2566" i="11"/>
  <c r="AD2566" i="11" s="1"/>
  <c r="I2567" i="11"/>
  <c r="AD2567" i="11" s="1"/>
  <c r="I2568" i="11"/>
  <c r="AD2568" i="11" s="1"/>
  <c r="I2569" i="11"/>
  <c r="AD2569" i="11" s="1"/>
  <c r="I2570" i="11"/>
  <c r="AD2570" i="11" s="1"/>
  <c r="I2571" i="11"/>
  <c r="AD2571" i="11" s="1"/>
  <c r="I2572" i="11"/>
  <c r="AD2572" i="11" s="1"/>
  <c r="I2573" i="11"/>
  <c r="AD2573" i="11" s="1"/>
  <c r="I2574" i="11"/>
  <c r="AD2574" i="11" s="1"/>
  <c r="I2575" i="11"/>
  <c r="AD2575" i="11" s="1"/>
  <c r="I2576" i="11"/>
  <c r="AD2576" i="11" s="1"/>
  <c r="I2577" i="11"/>
  <c r="AD2577" i="11" s="1"/>
  <c r="I2578" i="11"/>
  <c r="AD2578" i="11" s="1"/>
  <c r="I2579" i="11"/>
  <c r="AD2579" i="11" s="1"/>
  <c r="I2580" i="11"/>
  <c r="AD2580" i="11" s="1"/>
  <c r="I2581" i="11"/>
  <c r="AD2581" i="11" s="1"/>
  <c r="I2582" i="11"/>
  <c r="AD2582" i="11" s="1"/>
  <c r="I2583" i="11"/>
  <c r="AD2583" i="11" s="1"/>
  <c r="I2584" i="11"/>
  <c r="AD2584" i="11" s="1"/>
  <c r="I2585" i="11"/>
  <c r="AD2585" i="11" s="1"/>
  <c r="I2586" i="11"/>
  <c r="AD2586" i="11" s="1"/>
  <c r="I2587" i="11"/>
  <c r="AD2587" i="11" s="1"/>
  <c r="I2588" i="11"/>
  <c r="AD2588" i="11" s="1"/>
  <c r="I2589" i="11"/>
  <c r="AD2589" i="11" s="1"/>
  <c r="I2590" i="11"/>
  <c r="AD2590" i="11" s="1"/>
  <c r="I2591" i="11"/>
  <c r="AD2591" i="11" s="1"/>
  <c r="I2592" i="11"/>
  <c r="AD2592" i="11" s="1"/>
  <c r="I2593" i="11"/>
  <c r="AD2593" i="11" s="1"/>
  <c r="I2594" i="11"/>
  <c r="AD2594" i="11" s="1"/>
  <c r="I2595" i="11"/>
  <c r="AD2595" i="11" s="1"/>
  <c r="I2596" i="11"/>
  <c r="AD2596" i="11" s="1"/>
  <c r="I2597" i="11"/>
  <c r="AD2597" i="11" s="1"/>
  <c r="I2598" i="11"/>
  <c r="AD2598" i="11" s="1"/>
  <c r="I2599" i="11"/>
  <c r="AD2599" i="11" s="1"/>
  <c r="I2600" i="11"/>
  <c r="AD2600" i="11" s="1"/>
  <c r="I2601" i="11"/>
  <c r="AD2601" i="11" s="1"/>
  <c r="I2602" i="11"/>
  <c r="AD2602" i="11" s="1"/>
  <c r="I2603" i="11"/>
  <c r="AD2603" i="11" s="1"/>
  <c r="I2604" i="11"/>
  <c r="AD2604" i="11" s="1"/>
  <c r="I2605" i="11"/>
  <c r="AD2605" i="11" s="1"/>
  <c r="I2606" i="11"/>
  <c r="AD2606" i="11" s="1"/>
  <c r="I2607" i="11"/>
  <c r="AD2607" i="11" s="1"/>
  <c r="I2608" i="11"/>
  <c r="AD2608" i="11" s="1"/>
  <c r="I2609" i="11"/>
  <c r="AD2609" i="11" s="1"/>
  <c r="I2610" i="11"/>
  <c r="AD2610" i="11" s="1"/>
  <c r="I2611" i="11"/>
  <c r="AD2611" i="11" s="1"/>
  <c r="I2612" i="11"/>
  <c r="AD2612" i="11" s="1"/>
  <c r="I2613" i="11"/>
  <c r="AD2613" i="11" s="1"/>
  <c r="I2614" i="11"/>
  <c r="AD2614" i="11" s="1"/>
  <c r="I2615" i="11"/>
  <c r="AD2615" i="11" s="1"/>
  <c r="I2616" i="11"/>
  <c r="AD2616" i="11" s="1"/>
  <c r="I2617" i="11"/>
  <c r="AD2617" i="11" s="1"/>
  <c r="I2618" i="11"/>
  <c r="AD2618" i="11" s="1"/>
  <c r="I2619" i="11"/>
  <c r="AD2619" i="11" s="1"/>
  <c r="I2620" i="11"/>
  <c r="AD2620" i="11" s="1"/>
  <c r="I2621" i="11"/>
  <c r="AD2621" i="11" s="1"/>
  <c r="I2622" i="11"/>
  <c r="AD2622" i="11" s="1"/>
  <c r="I2623" i="11"/>
  <c r="AD2623" i="11" s="1"/>
  <c r="I2624" i="11"/>
  <c r="AD2624" i="11" s="1"/>
  <c r="I2625" i="11"/>
  <c r="AD2625" i="11" s="1"/>
  <c r="I2626" i="11"/>
  <c r="AD2626" i="11" s="1"/>
  <c r="I2627" i="11"/>
  <c r="AD2627" i="11" s="1"/>
  <c r="I2628" i="11"/>
  <c r="AD2628" i="11" s="1"/>
  <c r="I2629" i="11"/>
  <c r="AD2629" i="11" s="1"/>
  <c r="I2630" i="11"/>
  <c r="AD2630" i="11" s="1"/>
  <c r="I2631" i="11"/>
  <c r="AD2631" i="11" s="1"/>
  <c r="I2632" i="11"/>
  <c r="AD2632" i="11" s="1"/>
  <c r="I2633" i="11"/>
  <c r="AD2633" i="11" s="1"/>
  <c r="I2634" i="11"/>
  <c r="AD2634" i="11" s="1"/>
  <c r="I2635" i="11"/>
  <c r="AD2635" i="11" s="1"/>
  <c r="I2636" i="11"/>
  <c r="AD2636" i="11" s="1"/>
  <c r="I2637" i="11"/>
  <c r="AD2637" i="11" s="1"/>
  <c r="I2638" i="11"/>
  <c r="AD2638" i="11" s="1"/>
  <c r="I2639" i="11"/>
  <c r="AD2639" i="11" s="1"/>
  <c r="I2640" i="11"/>
  <c r="AD2640" i="11" s="1"/>
  <c r="I2641" i="11"/>
  <c r="AD2641" i="11" s="1"/>
  <c r="I2642" i="11"/>
  <c r="AD2642" i="11" s="1"/>
  <c r="I2643" i="11"/>
  <c r="AD2643" i="11" s="1"/>
  <c r="I2644" i="11"/>
  <c r="AD2644" i="11" s="1"/>
  <c r="I2645" i="11"/>
  <c r="AD2645" i="11" s="1"/>
  <c r="I2646" i="11"/>
  <c r="AD2646" i="11" s="1"/>
  <c r="I2647" i="11"/>
  <c r="AD2647" i="11" s="1"/>
  <c r="I2648" i="11"/>
  <c r="AD2648" i="11" s="1"/>
  <c r="I2649" i="11"/>
  <c r="AD2649" i="11" s="1"/>
  <c r="I2650" i="11"/>
  <c r="AD2650" i="11" s="1"/>
  <c r="I2651" i="11"/>
  <c r="AD2651" i="11" s="1"/>
  <c r="I2652" i="11"/>
  <c r="AD2652" i="11" s="1"/>
  <c r="I2653" i="11"/>
  <c r="AD2653" i="11" s="1"/>
  <c r="I2654" i="11"/>
  <c r="AD2654" i="11" s="1"/>
  <c r="I2655" i="11"/>
  <c r="AD2655" i="11" s="1"/>
  <c r="I2656" i="11"/>
  <c r="AD2656" i="11" s="1"/>
  <c r="I2657" i="11"/>
  <c r="AD2657" i="11" s="1"/>
  <c r="I2658" i="11"/>
  <c r="AD2658" i="11" s="1"/>
  <c r="I2659" i="11"/>
  <c r="AD2659" i="11" s="1"/>
  <c r="I2660" i="11"/>
  <c r="AD2660" i="11" s="1"/>
  <c r="I2661" i="11"/>
  <c r="AD2661" i="11" s="1"/>
  <c r="I2662" i="11"/>
  <c r="AD2662" i="11" s="1"/>
  <c r="I2663" i="11"/>
  <c r="AD2663" i="11" s="1"/>
  <c r="I2664" i="11"/>
  <c r="AD2664" i="11" s="1"/>
  <c r="I2665" i="11"/>
  <c r="AD2665" i="11" s="1"/>
  <c r="I2666" i="11"/>
  <c r="AD2666" i="11" s="1"/>
  <c r="I2667" i="11"/>
  <c r="AD2667" i="11" s="1"/>
  <c r="I2668" i="11"/>
  <c r="AD2668" i="11" s="1"/>
  <c r="I2669" i="11"/>
  <c r="AD2669" i="11" s="1"/>
  <c r="I2670" i="11"/>
  <c r="AD2670" i="11" s="1"/>
  <c r="I2671" i="11"/>
  <c r="AD2671" i="11" s="1"/>
  <c r="I2672" i="11"/>
  <c r="AD2672" i="11" s="1"/>
  <c r="I2673" i="11"/>
  <c r="AD2673" i="11" s="1"/>
  <c r="I2674" i="11"/>
  <c r="AD2674" i="11" s="1"/>
  <c r="I2675" i="11"/>
  <c r="AD2675" i="11" s="1"/>
  <c r="I2676" i="11"/>
  <c r="AD2676" i="11" s="1"/>
  <c r="I2677" i="11"/>
  <c r="AD2677" i="11" s="1"/>
  <c r="I2678" i="11"/>
  <c r="AD2678" i="11" s="1"/>
  <c r="I2679" i="11"/>
  <c r="AD2679" i="11" s="1"/>
  <c r="I2680" i="11"/>
  <c r="AD2680" i="11" s="1"/>
  <c r="I2681" i="11"/>
  <c r="AD2681" i="11" s="1"/>
  <c r="I2682" i="11"/>
  <c r="AD2682" i="11" s="1"/>
  <c r="I2683" i="11"/>
  <c r="AD2683" i="11" s="1"/>
  <c r="I2684" i="11"/>
  <c r="AD2684" i="11" s="1"/>
  <c r="I2685" i="11"/>
  <c r="AD2685" i="11" s="1"/>
  <c r="I2686" i="11"/>
  <c r="AD2686" i="11" s="1"/>
  <c r="I2687" i="11"/>
  <c r="AD2687" i="11" s="1"/>
  <c r="I2688" i="11"/>
  <c r="AD2688" i="11" s="1"/>
  <c r="I2689" i="11"/>
  <c r="AD2689" i="11" s="1"/>
  <c r="I2690" i="11"/>
  <c r="AD2690" i="11" s="1"/>
  <c r="I2691" i="11"/>
  <c r="AD2691" i="11" s="1"/>
  <c r="I2692" i="11"/>
  <c r="AD2692" i="11" s="1"/>
  <c r="I2693" i="11"/>
  <c r="AD2693" i="11" s="1"/>
  <c r="I2694" i="11"/>
  <c r="AD2694" i="11" s="1"/>
  <c r="I2695" i="11"/>
  <c r="AD2695" i="11" s="1"/>
  <c r="I2696" i="11"/>
  <c r="AD2696" i="11" s="1"/>
  <c r="I2697" i="11"/>
  <c r="AD2697" i="11" s="1"/>
  <c r="I2698" i="11"/>
  <c r="AD2698" i="11" s="1"/>
  <c r="I2699" i="11"/>
  <c r="AD2699" i="11" s="1"/>
  <c r="I2700" i="11"/>
  <c r="AD2700" i="11" s="1"/>
  <c r="I2701" i="11"/>
  <c r="AD2701" i="11" s="1"/>
  <c r="I2702" i="11"/>
  <c r="AD2702" i="11" s="1"/>
  <c r="I2703" i="11"/>
  <c r="AD2703" i="11" s="1"/>
  <c r="I2704" i="11"/>
  <c r="AD2704" i="11" s="1"/>
  <c r="I2705" i="11"/>
  <c r="AD2705" i="11" s="1"/>
  <c r="I2706" i="11"/>
  <c r="AD2706" i="11" s="1"/>
  <c r="I2707" i="11"/>
  <c r="AD2707" i="11" s="1"/>
  <c r="I2708" i="11"/>
  <c r="AD2708" i="11" s="1"/>
  <c r="I2709" i="11"/>
  <c r="AD2709" i="11" s="1"/>
  <c r="I2710" i="11"/>
  <c r="AD2710" i="11" s="1"/>
  <c r="I2711" i="11"/>
  <c r="AD2711" i="11" s="1"/>
  <c r="I2712" i="11"/>
  <c r="AD2712" i="11" s="1"/>
  <c r="I2713" i="11"/>
  <c r="AD2713" i="11" s="1"/>
  <c r="I2714" i="11"/>
  <c r="AD2714" i="11" s="1"/>
  <c r="I2715" i="11"/>
  <c r="AD2715" i="11" s="1"/>
  <c r="I2716" i="11"/>
  <c r="AD2716" i="11" s="1"/>
  <c r="I2717" i="11"/>
  <c r="AD2717" i="11" s="1"/>
  <c r="I2718" i="11"/>
  <c r="AD2718" i="11" s="1"/>
  <c r="I2719" i="11"/>
  <c r="AD2719" i="11" s="1"/>
  <c r="I2720" i="11"/>
  <c r="AD2720" i="11" s="1"/>
  <c r="I2721" i="11"/>
  <c r="AD2721" i="11" s="1"/>
  <c r="I2722" i="11"/>
  <c r="AD2722" i="11" s="1"/>
  <c r="I2723" i="11"/>
  <c r="AD2723" i="11" s="1"/>
  <c r="I2724" i="11"/>
  <c r="AD2724" i="11" s="1"/>
  <c r="I2725" i="11"/>
  <c r="AD2725" i="11" s="1"/>
  <c r="I2726" i="11"/>
  <c r="AD2726" i="11" s="1"/>
  <c r="I2727" i="11"/>
  <c r="AD2727" i="11" s="1"/>
  <c r="I2728" i="11"/>
  <c r="AD2728" i="11" s="1"/>
  <c r="I2729" i="11"/>
  <c r="AD2729" i="11" s="1"/>
  <c r="I2730" i="11"/>
  <c r="AD2730" i="11" s="1"/>
  <c r="I2731" i="11"/>
  <c r="AD2731" i="11" s="1"/>
  <c r="I2732" i="11"/>
  <c r="AD2732" i="11" s="1"/>
  <c r="I2733" i="11"/>
  <c r="AD2733" i="11" s="1"/>
  <c r="I2734" i="11"/>
  <c r="AD2734" i="11" s="1"/>
  <c r="I2735" i="11"/>
  <c r="AD2735" i="11" s="1"/>
  <c r="I2736" i="11"/>
  <c r="AD2736" i="11" s="1"/>
  <c r="I2737" i="11"/>
  <c r="AD2737" i="11" s="1"/>
  <c r="I2738" i="11"/>
  <c r="AD2738" i="11" s="1"/>
  <c r="I2739" i="11"/>
  <c r="AD2739" i="11" s="1"/>
  <c r="I2740" i="11"/>
  <c r="AD2740" i="11" s="1"/>
  <c r="I2741" i="11"/>
  <c r="AD2741" i="11" s="1"/>
  <c r="I2742" i="11"/>
  <c r="AD2742" i="11" s="1"/>
  <c r="I2743" i="11"/>
  <c r="AD2743" i="11" s="1"/>
  <c r="I2744" i="11"/>
  <c r="AD2744" i="11" s="1"/>
  <c r="I2745" i="11"/>
  <c r="AD2745" i="11" s="1"/>
  <c r="I2746" i="11"/>
  <c r="AD2746" i="11" s="1"/>
  <c r="I2747" i="11"/>
  <c r="AD2747" i="11" s="1"/>
  <c r="I2748" i="11"/>
  <c r="AD2748" i="11" s="1"/>
  <c r="I2749" i="11"/>
  <c r="AD2749" i="11" s="1"/>
  <c r="I2750" i="11"/>
  <c r="AD2750" i="11" s="1"/>
  <c r="I2751" i="11"/>
  <c r="AD2751" i="11" s="1"/>
  <c r="I2752" i="11"/>
  <c r="AD2752" i="11" s="1"/>
  <c r="I2753" i="11"/>
  <c r="AD2753" i="11" s="1"/>
  <c r="I2754" i="11"/>
  <c r="AD2754" i="11" s="1"/>
  <c r="I2755" i="11"/>
  <c r="AD2755" i="11" s="1"/>
  <c r="I2756" i="11"/>
  <c r="AD2756" i="11" s="1"/>
  <c r="I2757" i="11"/>
  <c r="AD2757" i="11" s="1"/>
  <c r="I2758" i="11"/>
  <c r="AD2758" i="11" s="1"/>
  <c r="I2759" i="11"/>
  <c r="AD2759" i="11" s="1"/>
  <c r="I2760" i="11"/>
  <c r="AD2760" i="11" s="1"/>
  <c r="I2761" i="11"/>
  <c r="AD2761" i="11" s="1"/>
  <c r="I2762" i="11"/>
  <c r="AD2762" i="11" s="1"/>
  <c r="I2763" i="11"/>
  <c r="AD2763" i="11" s="1"/>
  <c r="I2764" i="11"/>
  <c r="AD2764" i="11" s="1"/>
  <c r="I2765" i="11"/>
  <c r="AD2765" i="11" s="1"/>
  <c r="I2766" i="11"/>
  <c r="AD2766" i="11" s="1"/>
  <c r="I2767" i="11"/>
  <c r="AD2767" i="11" s="1"/>
  <c r="I2768" i="11"/>
  <c r="AD2768" i="11" s="1"/>
  <c r="I2769" i="11"/>
  <c r="AD2769" i="11" s="1"/>
  <c r="I2770" i="11"/>
  <c r="AD2770" i="11" s="1"/>
  <c r="I2771" i="11"/>
  <c r="AD2771" i="11" s="1"/>
  <c r="I2772" i="11"/>
  <c r="AD2772" i="11" s="1"/>
  <c r="I2773" i="11"/>
  <c r="AD2773" i="11" s="1"/>
  <c r="I2774" i="11"/>
  <c r="AD2774" i="11" s="1"/>
  <c r="I2775" i="11"/>
  <c r="AD2775" i="11" s="1"/>
  <c r="I2776" i="11"/>
  <c r="AD2776" i="11" s="1"/>
  <c r="I2777" i="11"/>
  <c r="AD2777" i="11" s="1"/>
  <c r="I2778" i="11"/>
  <c r="AD2778" i="11" s="1"/>
  <c r="I2779" i="11"/>
  <c r="AD2779" i="11" s="1"/>
  <c r="I2780" i="11"/>
  <c r="AD2780" i="11" s="1"/>
  <c r="I2781" i="11"/>
  <c r="AD2781" i="11" s="1"/>
  <c r="I2782" i="11"/>
  <c r="AD2782" i="11" s="1"/>
  <c r="I2783" i="11"/>
  <c r="AD2783" i="11" s="1"/>
  <c r="I2784" i="11"/>
  <c r="AD2784" i="11" s="1"/>
  <c r="I2785" i="11"/>
  <c r="AD2785" i="11" s="1"/>
  <c r="I2786" i="11"/>
  <c r="AD2786" i="11" s="1"/>
  <c r="I2787" i="11"/>
  <c r="AD2787" i="11" s="1"/>
  <c r="I2788" i="11"/>
  <c r="AD2788" i="11" s="1"/>
  <c r="I2789" i="11"/>
  <c r="AD2789" i="11" s="1"/>
  <c r="I2790" i="11"/>
  <c r="AD2790" i="11" s="1"/>
  <c r="I2791" i="11"/>
  <c r="AD2791" i="11" s="1"/>
  <c r="I2792" i="11"/>
  <c r="AD2792" i="11" s="1"/>
  <c r="I2793" i="11"/>
  <c r="AD2793" i="11" s="1"/>
  <c r="I2794" i="11"/>
  <c r="AD2794" i="11" s="1"/>
  <c r="I2795" i="11"/>
  <c r="AD2795" i="11" s="1"/>
  <c r="I2796" i="11"/>
  <c r="AD2796" i="11" s="1"/>
  <c r="I2797" i="11"/>
  <c r="AD2797" i="11" s="1"/>
  <c r="I2798" i="11"/>
  <c r="AD2798" i="11" s="1"/>
  <c r="I2799" i="11"/>
  <c r="AD2799" i="11" s="1"/>
  <c r="I2800" i="11"/>
  <c r="AD2800" i="11" s="1"/>
  <c r="I2801" i="11"/>
  <c r="AD2801" i="11" s="1"/>
  <c r="I2802" i="11"/>
  <c r="AD2802" i="11" s="1"/>
  <c r="I2803" i="11"/>
  <c r="AD2803" i="11" s="1"/>
  <c r="I2804" i="11"/>
  <c r="AD2804" i="11" s="1"/>
  <c r="I2805" i="11"/>
  <c r="AD2805" i="11" s="1"/>
  <c r="I2806" i="11"/>
  <c r="AD2806" i="11" s="1"/>
  <c r="I2807" i="11"/>
  <c r="AD2807" i="11" s="1"/>
  <c r="I2808" i="11"/>
  <c r="AD2808" i="11" s="1"/>
  <c r="I2809" i="11"/>
  <c r="AD2809" i="11" s="1"/>
  <c r="I2810" i="11"/>
  <c r="AD2810" i="11" s="1"/>
  <c r="I2811" i="11"/>
  <c r="AD2811" i="11" s="1"/>
  <c r="I2812" i="11"/>
  <c r="AD2812" i="11" s="1"/>
  <c r="I2813" i="11"/>
  <c r="AD2813" i="11" s="1"/>
  <c r="I2814" i="11"/>
  <c r="AD2814" i="11" s="1"/>
  <c r="I2815" i="11"/>
  <c r="AD2815" i="11" s="1"/>
  <c r="I2816" i="11"/>
  <c r="AD2816" i="11" s="1"/>
  <c r="I2817" i="11"/>
  <c r="AD2817" i="11" s="1"/>
  <c r="I2818" i="11"/>
  <c r="AD2818" i="11" s="1"/>
  <c r="I2819" i="11"/>
  <c r="AD2819" i="11" s="1"/>
  <c r="I2820" i="11"/>
  <c r="AD2820" i="11" s="1"/>
  <c r="I2821" i="11"/>
  <c r="AD2821" i="11" s="1"/>
  <c r="I2822" i="11"/>
  <c r="AD2822" i="11" s="1"/>
  <c r="I2823" i="11"/>
  <c r="AD2823" i="11" s="1"/>
  <c r="I2824" i="11"/>
  <c r="AD2824" i="11" s="1"/>
  <c r="I2825" i="11"/>
  <c r="AD2825" i="11" s="1"/>
  <c r="I2826" i="11"/>
  <c r="AD2826" i="11" s="1"/>
  <c r="I2827" i="11"/>
  <c r="AD2827" i="11" s="1"/>
  <c r="I2828" i="11"/>
  <c r="AD2828" i="11" s="1"/>
  <c r="I2829" i="11"/>
  <c r="AD2829" i="11" s="1"/>
  <c r="I2830" i="11"/>
  <c r="AD2830" i="11" s="1"/>
  <c r="I2831" i="11"/>
  <c r="AD2831" i="11" s="1"/>
  <c r="I2832" i="11"/>
  <c r="AD2832" i="11" s="1"/>
  <c r="I2833" i="11"/>
  <c r="AD2833" i="11" s="1"/>
  <c r="I2834" i="11"/>
  <c r="AD2834" i="11" s="1"/>
  <c r="I2835" i="11"/>
  <c r="AD2835" i="11" s="1"/>
  <c r="I2836" i="11"/>
  <c r="AD2836" i="11" s="1"/>
  <c r="I2837" i="11"/>
  <c r="AD2837" i="11" s="1"/>
  <c r="I2838" i="11"/>
  <c r="AD2838" i="11" s="1"/>
  <c r="I2839" i="11"/>
  <c r="AD2839" i="11" s="1"/>
  <c r="I2840" i="11"/>
  <c r="AD2840" i="11" s="1"/>
  <c r="I2841" i="11"/>
  <c r="AD2841" i="11" s="1"/>
  <c r="I2842" i="11"/>
  <c r="AD2842" i="11" s="1"/>
  <c r="I2843" i="11"/>
  <c r="AD2843" i="11" s="1"/>
  <c r="I2844" i="11"/>
  <c r="AD2844" i="11" s="1"/>
  <c r="I2845" i="11"/>
  <c r="AD2845" i="11" s="1"/>
  <c r="I2846" i="11"/>
  <c r="AD2846" i="11" s="1"/>
  <c r="I2847" i="11"/>
  <c r="AD2847" i="11" s="1"/>
  <c r="I2848" i="11"/>
  <c r="AD2848" i="11" s="1"/>
  <c r="I2849" i="11"/>
  <c r="AD2849" i="11" s="1"/>
  <c r="I2850" i="11"/>
  <c r="AD2850" i="11" s="1"/>
  <c r="I2851" i="11"/>
  <c r="AD2851" i="11" s="1"/>
  <c r="I2852" i="11"/>
  <c r="AD2852" i="11" s="1"/>
  <c r="I2853" i="11"/>
  <c r="AD2853" i="11" s="1"/>
  <c r="I2854" i="11"/>
  <c r="AD2854" i="11" s="1"/>
  <c r="I2855" i="11"/>
  <c r="AD2855" i="11" s="1"/>
  <c r="I2856" i="11"/>
  <c r="AD2856" i="11" s="1"/>
  <c r="I2857" i="11"/>
  <c r="AD2857" i="11" s="1"/>
  <c r="I2858" i="11"/>
  <c r="AD2858" i="11" s="1"/>
  <c r="I2859" i="11"/>
  <c r="AD2859" i="11" s="1"/>
  <c r="I2860" i="11"/>
  <c r="AD2860" i="11" s="1"/>
  <c r="I2861" i="11"/>
  <c r="AD2861" i="11" s="1"/>
  <c r="I2862" i="11"/>
  <c r="AD2862" i="11" s="1"/>
  <c r="I2863" i="11"/>
  <c r="AD2863" i="11" s="1"/>
  <c r="I2864" i="11"/>
  <c r="AD2864" i="11" s="1"/>
  <c r="I2865" i="11"/>
  <c r="AD2865" i="11" s="1"/>
  <c r="I2866" i="11"/>
  <c r="AD2866" i="11" s="1"/>
  <c r="I2867" i="11"/>
  <c r="AD2867" i="11" s="1"/>
  <c r="I2868" i="11"/>
  <c r="AD2868" i="11" s="1"/>
  <c r="I2869" i="11"/>
  <c r="AD2869" i="11" s="1"/>
  <c r="I2870" i="11"/>
  <c r="AD2870" i="11" s="1"/>
  <c r="I2871" i="11"/>
  <c r="AD2871" i="11" s="1"/>
  <c r="I2872" i="11"/>
  <c r="AD2872" i="11" s="1"/>
  <c r="I2873" i="11"/>
  <c r="AD2873" i="11" s="1"/>
  <c r="I2874" i="11"/>
  <c r="AD2874" i="11" s="1"/>
  <c r="I2875" i="11"/>
  <c r="AD2875" i="11" s="1"/>
  <c r="I2876" i="11"/>
  <c r="AD2876" i="11" s="1"/>
  <c r="I2877" i="11"/>
  <c r="AD2877" i="11" s="1"/>
  <c r="I2878" i="11"/>
  <c r="AD2878" i="11" s="1"/>
  <c r="I2879" i="11"/>
  <c r="AD2879" i="11" s="1"/>
  <c r="I2880" i="11"/>
  <c r="AD2880" i="11" s="1"/>
  <c r="I2881" i="11"/>
  <c r="AD2881" i="11" s="1"/>
  <c r="I2882" i="11"/>
  <c r="AD2882" i="11" s="1"/>
  <c r="I2883" i="11"/>
  <c r="AD2883" i="11" s="1"/>
  <c r="I2884" i="11"/>
  <c r="AD2884" i="11" s="1"/>
  <c r="I2885" i="11"/>
  <c r="AD2885" i="11" s="1"/>
  <c r="I2886" i="11"/>
  <c r="AD2886" i="11" s="1"/>
  <c r="I2887" i="11"/>
  <c r="AD2887" i="11" s="1"/>
  <c r="I2888" i="11"/>
  <c r="AD2888" i="11" s="1"/>
  <c r="I2889" i="11"/>
  <c r="AD2889" i="11" s="1"/>
  <c r="I2890" i="11"/>
  <c r="AD2890" i="11" s="1"/>
  <c r="I2891" i="11"/>
  <c r="AD2891" i="11" s="1"/>
  <c r="I2892" i="11"/>
  <c r="AD2892" i="11" s="1"/>
  <c r="I2893" i="11"/>
  <c r="AD2893" i="11" s="1"/>
  <c r="I2894" i="11"/>
  <c r="AD2894" i="11" s="1"/>
  <c r="I2895" i="11"/>
  <c r="AD2895" i="11" s="1"/>
  <c r="I2896" i="11"/>
  <c r="AD2896" i="11" s="1"/>
  <c r="I2897" i="11"/>
  <c r="AD2897" i="11" s="1"/>
  <c r="I2898" i="11"/>
  <c r="AD2898" i="11" s="1"/>
  <c r="I2899" i="11"/>
  <c r="AD2899" i="11" s="1"/>
  <c r="I2900" i="11"/>
  <c r="AD2900" i="11" s="1"/>
  <c r="I2901" i="11"/>
  <c r="AD2901" i="11" s="1"/>
  <c r="I2902" i="11"/>
  <c r="AD2902" i="11" s="1"/>
  <c r="I2903" i="11"/>
  <c r="AD2903" i="11" s="1"/>
  <c r="I2904" i="11"/>
  <c r="AD2904" i="11" s="1"/>
  <c r="I2905" i="11"/>
  <c r="AD2905" i="11" s="1"/>
  <c r="I2906" i="11"/>
  <c r="AD2906" i="11" s="1"/>
  <c r="I2907" i="11"/>
  <c r="AD2907" i="11" s="1"/>
  <c r="I2908" i="11"/>
  <c r="AD2908" i="11" s="1"/>
  <c r="I2909" i="11"/>
  <c r="AD2909" i="11" s="1"/>
  <c r="I2910" i="11"/>
  <c r="AD2910" i="11" s="1"/>
  <c r="I2911" i="11"/>
  <c r="AD2911" i="11" s="1"/>
  <c r="I2912" i="11"/>
  <c r="AD2912" i="11" s="1"/>
  <c r="I2913" i="11"/>
  <c r="AD2913" i="11" s="1"/>
  <c r="I2914" i="11"/>
  <c r="AD2914" i="11" s="1"/>
  <c r="I2915" i="11"/>
  <c r="AD2915" i="11" s="1"/>
  <c r="I2916" i="11"/>
  <c r="AD2916" i="11" s="1"/>
  <c r="I2917" i="11"/>
  <c r="AD2917" i="11" s="1"/>
  <c r="I2918" i="11"/>
  <c r="AD2918" i="11" s="1"/>
  <c r="I2919" i="11"/>
  <c r="AD2919" i="11" s="1"/>
  <c r="I2920" i="11"/>
  <c r="AD2920" i="11" s="1"/>
  <c r="I2921" i="11"/>
  <c r="AD2921" i="11" s="1"/>
  <c r="I2922" i="11"/>
  <c r="AD2922" i="11" s="1"/>
  <c r="I2923" i="11"/>
  <c r="AD2923" i="11" s="1"/>
  <c r="I2924" i="11"/>
  <c r="AD2924" i="11" s="1"/>
  <c r="I2925" i="11"/>
  <c r="AD2925" i="11" s="1"/>
  <c r="I2926" i="11"/>
  <c r="AD2926" i="11" s="1"/>
  <c r="I2927" i="11"/>
  <c r="AD2927" i="11" s="1"/>
  <c r="I2928" i="11"/>
  <c r="AD2928" i="11" s="1"/>
  <c r="I2929" i="11"/>
  <c r="AD2929" i="11" s="1"/>
  <c r="I2930" i="11"/>
  <c r="AD2930" i="11" s="1"/>
  <c r="I2931" i="11"/>
  <c r="AD2931" i="11" s="1"/>
  <c r="I2932" i="11"/>
  <c r="AD2932" i="11" s="1"/>
  <c r="I2933" i="11"/>
  <c r="AD2933" i="11" s="1"/>
  <c r="I2934" i="11"/>
  <c r="AD2934" i="11" s="1"/>
  <c r="I2935" i="11"/>
  <c r="AD2935" i="11" s="1"/>
  <c r="I2936" i="11"/>
  <c r="AD2936" i="11" s="1"/>
  <c r="I2937" i="11"/>
  <c r="AD2937" i="11" s="1"/>
  <c r="I2938" i="11"/>
  <c r="AD2938" i="11" s="1"/>
  <c r="I2939" i="11"/>
  <c r="AD2939" i="11" s="1"/>
  <c r="I2940" i="11"/>
  <c r="AD2940" i="11" s="1"/>
  <c r="I2941" i="11"/>
  <c r="AD2941" i="11" s="1"/>
  <c r="I2942" i="11"/>
  <c r="AD2942" i="11" s="1"/>
  <c r="I2943" i="11"/>
  <c r="AD2943" i="11" s="1"/>
  <c r="I2944" i="11"/>
  <c r="AD2944" i="11" s="1"/>
  <c r="I2945" i="11"/>
  <c r="AD2945" i="11" s="1"/>
  <c r="I2946" i="11"/>
  <c r="AD2946" i="11" s="1"/>
  <c r="I2947" i="11"/>
  <c r="AD2947" i="11" s="1"/>
  <c r="I2948" i="11"/>
  <c r="AD2948" i="11" s="1"/>
  <c r="I2949" i="11"/>
  <c r="AD2949" i="11" s="1"/>
  <c r="I2950" i="11"/>
  <c r="AD2950" i="11" s="1"/>
  <c r="I2951" i="11"/>
  <c r="AD2951" i="11" s="1"/>
  <c r="I2952" i="11"/>
  <c r="AD2952" i="11" s="1"/>
  <c r="I2953" i="11"/>
  <c r="AD2953" i="11" s="1"/>
  <c r="I2954" i="11"/>
  <c r="AD2954" i="11" s="1"/>
  <c r="I2955" i="11"/>
  <c r="AD2955" i="11" s="1"/>
  <c r="I2956" i="11"/>
  <c r="AD2956" i="11" s="1"/>
  <c r="I2957" i="11"/>
  <c r="AD2957" i="11" s="1"/>
  <c r="I2958" i="11"/>
  <c r="AD2958" i="11" s="1"/>
  <c r="I2959" i="11"/>
  <c r="AD2959" i="11" s="1"/>
  <c r="I2960" i="11"/>
  <c r="AD2960" i="11" s="1"/>
  <c r="I2961" i="11"/>
  <c r="AD2961" i="11" s="1"/>
  <c r="I2962" i="11"/>
  <c r="AD2962" i="11" s="1"/>
  <c r="I2963" i="11"/>
  <c r="AD2963" i="11" s="1"/>
  <c r="I2964" i="11"/>
  <c r="AD2964" i="11" s="1"/>
  <c r="I2965" i="11"/>
  <c r="AD2965" i="11" s="1"/>
  <c r="I2966" i="11"/>
  <c r="AD2966" i="11" s="1"/>
  <c r="I2967" i="11"/>
  <c r="AD2967" i="11" s="1"/>
  <c r="I2968" i="11"/>
  <c r="AD2968" i="11" s="1"/>
  <c r="I2969" i="11"/>
  <c r="AD2969" i="11" s="1"/>
  <c r="I2970" i="11"/>
  <c r="AD2970" i="11" s="1"/>
  <c r="I2971" i="11"/>
  <c r="AD2971" i="11" s="1"/>
  <c r="I2972" i="11"/>
  <c r="AD2972" i="11" s="1"/>
  <c r="I2973" i="11"/>
  <c r="AD2973" i="11" s="1"/>
  <c r="I2974" i="11"/>
  <c r="AD2974" i="11" s="1"/>
  <c r="I2975" i="11"/>
  <c r="AD2975" i="11" s="1"/>
  <c r="I2976" i="11"/>
  <c r="AD2976" i="11" s="1"/>
  <c r="I2977" i="11"/>
  <c r="AD2977" i="11" s="1"/>
  <c r="I2978" i="11"/>
  <c r="AD2978" i="11" s="1"/>
  <c r="I2979" i="11"/>
  <c r="AD2979" i="11" s="1"/>
  <c r="I2980" i="11"/>
  <c r="AD2980" i="11" s="1"/>
  <c r="I2981" i="11"/>
  <c r="AD2981" i="11" s="1"/>
  <c r="I2982" i="11"/>
  <c r="AD2982" i="11" s="1"/>
  <c r="I2983" i="11"/>
  <c r="AD2983" i="11" s="1"/>
  <c r="I2984" i="11"/>
  <c r="AD2984" i="11" s="1"/>
  <c r="I2985" i="11"/>
  <c r="AD2985" i="11" s="1"/>
  <c r="I2986" i="11"/>
  <c r="AD2986" i="11" s="1"/>
  <c r="I2987" i="11"/>
  <c r="AD2987" i="11" s="1"/>
  <c r="I2988" i="11"/>
  <c r="AD2988" i="11" s="1"/>
  <c r="I2989" i="11"/>
  <c r="AD2989" i="11" s="1"/>
  <c r="I2990" i="11"/>
  <c r="AD2990" i="11" s="1"/>
  <c r="I2991" i="11"/>
  <c r="AD2991" i="11" s="1"/>
  <c r="I2992" i="11"/>
  <c r="AD2992" i="11" s="1"/>
  <c r="I2993" i="11"/>
  <c r="AD2993" i="11" s="1"/>
  <c r="I2994" i="11"/>
  <c r="AD2994" i="11" s="1"/>
  <c r="I2995" i="11"/>
  <c r="AD2995" i="11" s="1"/>
  <c r="I2996" i="11"/>
  <c r="AD2996" i="11" s="1"/>
  <c r="I2997" i="11"/>
  <c r="AD2997" i="11" s="1"/>
  <c r="I2998" i="11"/>
  <c r="AD2998" i="11" s="1"/>
  <c r="I2999" i="11"/>
  <c r="AD2999" i="11" s="1"/>
  <c r="I3000" i="11"/>
  <c r="AD3000" i="11" s="1"/>
  <c r="I3001" i="11"/>
  <c r="AD3001" i="11" s="1"/>
  <c r="I3002" i="11"/>
  <c r="AD3002" i="11" s="1"/>
  <c r="I3003" i="11"/>
  <c r="AD3003" i="11" s="1"/>
  <c r="I3004" i="11"/>
  <c r="AD3004" i="11" s="1"/>
  <c r="I3005" i="11"/>
  <c r="AD3005" i="11" s="1"/>
  <c r="I3006" i="11"/>
  <c r="AD3006" i="11" s="1"/>
  <c r="I3007" i="11"/>
  <c r="AD3007" i="11" s="1"/>
  <c r="I3008" i="11"/>
  <c r="AD3008" i="11" s="1"/>
  <c r="I3009" i="11"/>
  <c r="AD3009" i="11" s="1"/>
  <c r="I3010" i="11"/>
  <c r="AD3010" i="11" s="1"/>
  <c r="I3011" i="11"/>
  <c r="AD3011" i="11" s="1"/>
  <c r="I3012" i="11"/>
  <c r="AD3012" i="11" s="1"/>
  <c r="I3013" i="11"/>
  <c r="AD3013" i="11" s="1"/>
  <c r="I3014" i="11"/>
  <c r="AD3014" i="11" s="1"/>
  <c r="D1319" i="18" l="1"/>
  <c r="G1288" i="18"/>
  <c r="B1256" i="18"/>
  <c r="B1257" i="18" s="1"/>
  <c r="B1258" i="18" s="1"/>
  <c r="B1259" i="18" s="1"/>
  <c r="B1260" i="18" s="1"/>
  <c r="B1261" i="18" s="1"/>
  <c r="B1262" i="18" s="1"/>
  <c r="B1263" i="18" s="1"/>
  <c r="B1264" i="18" s="1"/>
  <c r="B1265" i="18" s="1"/>
  <c r="B1266" i="18" s="1"/>
  <c r="B1267" i="18" s="1"/>
  <c r="B1268" i="18" s="1"/>
  <c r="B1269" i="18" s="1"/>
  <c r="B1270" i="18" s="1"/>
  <c r="B1271" i="18" s="1"/>
  <c r="B1272" i="18" s="1"/>
  <c r="B1273" i="18" s="1"/>
  <c r="B1274" i="18" s="1"/>
  <c r="B1275" i="18" s="1"/>
  <c r="B1276" i="18" s="1"/>
  <c r="B1277" i="18" s="1"/>
  <c r="B1278" i="18" s="1"/>
  <c r="B1279" i="18" s="1"/>
  <c r="B1280" i="18" s="1"/>
  <c r="B1281" i="18" s="1"/>
  <c r="B1282" i="18" s="1"/>
  <c r="B1283" i="18" s="1"/>
  <c r="B1284" i="18" s="1"/>
  <c r="B1285" i="18" s="1"/>
  <c r="B1286" i="18" s="1"/>
  <c r="T1280" i="18"/>
  <c r="T1281" i="18"/>
  <c r="T1276" i="18"/>
  <c r="Y1276" i="18" s="1"/>
  <c r="T1271" i="18"/>
  <c r="O1261" i="18"/>
  <c r="T1275" i="18"/>
  <c r="T1278" i="18"/>
  <c r="N1261" i="18"/>
  <c r="O1259" i="18"/>
  <c r="T1279" i="18"/>
  <c r="N1259" i="18"/>
  <c r="T1274" i="18"/>
  <c r="T1273" i="18"/>
  <c r="T1272" i="18"/>
  <c r="T1277" i="18"/>
  <c r="T1284" i="18"/>
  <c r="T1285" i="18"/>
  <c r="T1282" i="18"/>
  <c r="T1283" i="18"/>
  <c r="AD18" i="11"/>
  <c r="B1287" i="18" l="1"/>
  <c r="B1288" i="18" s="1"/>
  <c r="B1289" i="18" s="1"/>
  <c r="B1290" i="18" s="1"/>
  <c r="B1291" i="18" s="1"/>
  <c r="B1292" i="18" s="1"/>
  <c r="B1293" i="18" s="1"/>
  <c r="B1294" i="18" s="1"/>
  <c r="B1295" i="18" s="1"/>
  <c r="B1296" i="18" s="1"/>
  <c r="B1297" i="18" s="1"/>
  <c r="B1298" i="18" s="1"/>
  <c r="B1299" i="18" s="1"/>
  <c r="B1300" i="18" s="1"/>
  <c r="B1301" i="18" s="1"/>
  <c r="B1302" i="18" s="1"/>
  <c r="B1303" i="18" s="1"/>
  <c r="B1304" i="18" s="1"/>
  <c r="B1305" i="18" s="1"/>
  <c r="B1306" i="18" s="1"/>
  <c r="B1307" i="18" s="1"/>
  <c r="B1308" i="18" s="1"/>
  <c r="B1309" i="18" s="1"/>
  <c r="B1310" i="18" s="1"/>
  <c r="B1311" i="18" s="1"/>
  <c r="B1312" i="18" s="1"/>
  <c r="B1313" i="18" s="1"/>
  <c r="B1314" i="18" s="1"/>
  <c r="B1315" i="18" s="1"/>
  <c r="B1316" i="18" s="1"/>
  <c r="B1317" i="18" s="1"/>
  <c r="T1315" i="18"/>
  <c r="T1316" i="18"/>
  <c r="T1313" i="18"/>
  <c r="T1302" i="18"/>
  <c r="O1292" i="18"/>
  <c r="T1309" i="18"/>
  <c r="T1303" i="18"/>
  <c r="T1306" i="18"/>
  <c r="O1290" i="18"/>
  <c r="T1310" i="18"/>
  <c r="N1290" i="18"/>
  <c r="T1305" i="18"/>
  <c r="T1304" i="18"/>
  <c r="T1314" i="18"/>
  <c r="T1312" i="18"/>
  <c r="T1308" i="18"/>
  <c r="T1311" i="18"/>
  <c r="T1307" i="18"/>
  <c r="Y1307" i="18" s="1"/>
  <c r="N1292" i="18"/>
  <c r="G1319" i="18"/>
  <c r="D1350" i="18"/>
  <c r="B47" i="18"/>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1318" i="18" l="1"/>
  <c r="B1319" i="18" s="1"/>
  <c r="B1320" i="18" s="1"/>
  <c r="B1321" i="18" s="1"/>
  <c r="B1322" i="18" s="1"/>
  <c r="B1323" i="18" s="1"/>
  <c r="B1324" i="18" s="1"/>
  <c r="B1325" i="18" s="1"/>
  <c r="B1326" i="18" s="1"/>
  <c r="B1327" i="18" s="1"/>
  <c r="B1328" i="18" s="1"/>
  <c r="B1329" i="18" s="1"/>
  <c r="B1330" i="18" s="1"/>
  <c r="B1331" i="18" s="1"/>
  <c r="B1332" i="18" s="1"/>
  <c r="B1333" i="18" s="1"/>
  <c r="B1334" i="18" s="1"/>
  <c r="B1335" i="18" s="1"/>
  <c r="B1336" i="18" s="1"/>
  <c r="B1337" i="18" s="1"/>
  <c r="B1338" i="18" s="1"/>
  <c r="B1339" i="18" s="1"/>
  <c r="B1340" i="18" s="1"/>
  <c r="B1341" i="18" s="1"/>
  <c r="B1342" i="18" s="1"/>
  <c r="B1343" i="18" s="1"/>
  <c r="B1344" i="18" s="1"/>
  <c r="B1345" i="18" s="1"/>
  <c r="B1346" i="18" s="1"/>
  <c r="B1347" i="18" s="1"/>
  <c r="B1348" i="18" s="1"/>
  <c r="T1338" i="18"/>
  <c r="Y1338" i="18" s="1"/>
  <c r="N1323" i="18"/>
  <c r="T1339" i="18"/>
  <c r="O1321" i="18"/>
  <c r="T1337" i="18"/>
  <c r="T1335" i="18"/>
  <c r="T1334" i="18"/>
  <c r="T1345" i="18"/>
  <c r="T1344" i="18"/>
  <c r="T1343" i="18"/>
  <c r="T1342" i="18"/>
  <c r="T1333" i="18"/>
  <c r="N1321" i="18"/>
  <c r="T1347" i="18"/>
  <c r="T1340" i="18"/>
  <c r="T1341" i="18"/>
  <c r="T1336" i="18"/>
  <c r="T1346" i="18"/>
  <c r="O1323" i="18"/>
  <c r="G1350" i="18"/>
  <c r="D1381" i="18"/>
  <c r="C17" i="8"/>
  <c r="K17" i="8" l="1"/>
  <c r="G1381" i="18"/>
  <c r="D1412" i="18"/>
  <c r="B1349" i="18"/>
  <c r="B1350" i="18" s="1"/>
  <c r="B1351" i="18" s="1"/>
  <c r="B1352" i="18" s="1"/>
  <c r="B1353" i="18" s="1"/>
  <c r="B1354" i="18" s="1"/>
  <c r="B1355" i="18" s="1"/>
  <c r="B1356" i="18" s="1"/>
  <c r="B1357" i="18" s="1"/>
  <c r="B1358" i="18" s="1"/>
  <c r="B1359" i="18" s="1"/>
  <c r="B1360" i="18" s="1"/>
  <c r="B1361" i="18" s="1"/>
  <c r="B1362" i="18" s="1"/>
  <c r="B1363" i="18" s="1"/>
  <c r="B1364" i="18" s="1"/>
  <c r="B1365" i="18" s="1"/>
  <c r="B1366" i="18" s="1"/>
  <c r="B1367" i="18" s="1"/>
  <c r="B1368" i="18" s="1"/>
  <c r="B1369" i="18" s="1"/>
  <c r="B1370" i="18" s="1"/>
  <c r="B1371" i="18" s="1"/>
  <c r="B1372" i="18" s="1"/>
  <c r="B1373" i="18" s="1"/>
  <c r="B1374" i="18" s="1"/>
  <c r="B1375" i="18" s="1"/>
  <c r="B1376" i="18" s="1"/>
  <c r="B1377" i="18" s="1"/>
  <c r="B1378" i="18" s="1"/>
  <c r="B1379" i="18" s="1"/>
  <c r="T1375" i="18"/>
  <c r="T1370" i="18"/>
  <c r="T1373" i="18"/>
  <c r="T1368" i="18"/>
  <c r="T1365" i="18"/>
  <c r="T1369" i="18"/>
  <c r="Y1369" i="18" s="1"/>
  <c r="T1378" i="18"/>
  <c r="T1372" i="18"/>
  <c r="T1376" i="18"/>
  <c r="T1367" i="18"/>
  <c r="T1374" i="18"/>
  <c r="O1354" i="18"/>
  <c r="T1364" i="18"/>
  <c r="N1354" i="18"/>
  <c r="T1366" i="18"/>
  <c r="O1352" i="18"/>
  <c r="N1352" i="18"/>
  <c r="T1377" i="18"/>
  <c r="T1371" i="18"/>
  <c r="O17" i="8"/>
  <c r="P17" i="8"/>
  <c r="D1443" i="18" l="1"/>
  <c r="G1412" i="18"/>
  <c r="B1380" i="18"/>
  <c r="B1381" i="18" s="1"/>
  <c r="B1382" i="18" s="1"/>
  <c r="B1383" i="18" s="1"/>
  <c r="B1384" i="18" s="1"/>
  <c r="B1385" i="18" s="1"/>
  <c r="B1386" i="18" s="1"/>
  <c r="B1387" i="18" s="1"/>
  <c r="B1388" i="18" s="1"/>
  <c r="B1389" i="18" s="1"/>
  <c r="B1390" i="18" s="1"/>
  <c r="B1391" i="18" s="1"/>
  <c r="B1392" i="18" s="1"/>
  <c r="B1393" i="18" s="1"/>
  <c r="B1394" i="18" s="1"/>
  <c r="B1395" i="18" s="1"/>
  <c r="B1396" i="18" s="1"/>
  <c r="B1397" i="18" s="1"/>
  <c r="B1398" i="18" s="1"/>
  <c r="B1399" i="18" s="1"/>
  <c r="B1400" i="18" s="1"/>
  <c r="B1401" i="18" s="1"/>
  <c r="B1402" i="18" s="1"/>
  <c r="B1403" i="18" s="1"/>
  <c r="B1404" i="18" s="1"/>
  <c r="B1405" i="18" s="1"/>
  <c r="B1406" i="18" s="1"/>
  <c r="B1407" i="18" s="1"/>
  <c r="B1408" i="18" s="1"/>
  <c r="B1409" i="18" s="1"/>
  <c r="B1410" i="18" s="1"/>
  <c r="T1401" i="18"/>
  <c r="T1395" i="18"/>
  <c r="T1400" i="18"/>
  <c r="Y1400" i="18" s="1"/>
  <c r="O1385" i="18"/>
  <c r="N1385" i="18"/>
  <c r="T1403" i="18"/>
  <c r="O1383" i="18"/>
  <c r="T1398" i="18"/>
  <c r="N1383" i="18"/>
  <c r="T1397" i="18"/>
  <c r="T1396" i="18"/>
  <c r="T1402" i="18"/>
  <c r="T1399" i="18"/>
  <c r="T1408" i="18"/>
  <c r="T1409" i="18"/>
  <c r="T1406" i="18"/>
  <c r="T1407" i="18"/>
  <c r="T1404" i="18"/>
  <c r="T1405" i="18"/>
  <c r="C6" i="22"/>
  <c r="B1411" i="18" l="1"/>
  <c r="B1412" i="18" s="1"/>
  <c r="B1413" i="18" s="1"/>
  <c r="B1414" i="18" s="1"/>
  <c r="B1415" i="18" s="1"/>
  <c r="B1416" i="18" s="1"/>
  <c r="B1417" i="18" s="1"/>
  <c r="B1418" i="18" s="1"/>
  <c r="B1419" i="18" s="1"/>
  <c r="B1420" i="18" s="1"/>
  <c r="B1421" i="18" s="1"/>
  <c r="B1422" i="18" s="1"/>
  <c r="B1423" i="18" s="1"/>
  <c r="B1424" i="18" s="1"/>
  <c r="B1425" i="18" s="1"/>
  <c r="B1426" i="18" s="1"/>
  <c r="B1427" i="18" s="1"/>
  <c r="B1428" i="18" s="1"/>
  <c r="B1429" i="18" s="1"/>
  <c r="B1430" i="18" s="1"/>
  <c r="B1431" i="18" s="1"/>
  <c r="B1432" i="18" s="1"/>
  <c r="B1433" i="18" s="1"/>
  <c r="B1434" i="18" s="1"/>
  <c r="B1435" i="18" s="1"/>
  <c r="B1436" i="18" s="1"/>
  <c r="B1437" i="18" s="1"/>
  <c r="B1438" i="18" s="1"/>
  <c r="B1439" i="18" s="1"/>
  <c r="B1440" i="18" s="1"/>
  <c r="B1441" i="18" s="1"/>
  <c r="T1439" i="18"/>
  <c r="T1436" i="18"/>
  <c r="O1414" i="18"/>
  <c r="T1426" i="18"/>
  <c r="T1431" i="18"/>
  <c r="Y1431" i="18" s="1"/>
  <c r="T1432" i="18"/>
  <c r="N1416" i="18"/>
  <c r="T1430" i="18"/>
  <c r="N1414" i="18"/>
  <c r="T1434" i="18"/>
  <c r="T1429" i="18"/>
  <c r="T1427" i="18"/>
  <c r="T1435" i="18"/>
  <c r="O1416" i="18"/>
  <c r="T1440" i="18"/>
  <c r="T1438" i="18"/>
  <c r="T1433" i="18"/>
  <c r="T1428" i="18"/>
  <c r="T1437" i="18"/>
  <c r="D1474" i="18"/>
  <c r="G1443" i="18"/>
  <c r="C4" i="3"/>
  <c r="D6" i="27"/>
  <c r="C7" i="22"/>
  <c r="G6" i="18"/>
  <c r="G1474" i="18" l="1"/>
  <c r="D1505" i="18"/>
  <c r="B1442" i="18"/>
  <c r="B1443" i="18" s="1"/>
  <c r="B1444" i="18" s="1"/>
  <c r="B1445" i="18" s="1"/>
  <c r="B1446" i="18" s="1"/>
  <c r="B1447" i="18" s="1"/>
  <c r="B1448" i="18" s="1"/>
  <c r="B1449" i="18" s="1"/>
  <c r="B1450" i="18" s="1"/>
  <c r="B1451" i="18" s="1"/>
  <c r="B1452" i="18" s="1"/>
  <c r="B1453" i="18" s="1"/>
  <c r="B1454" i="18" s="1"/>
  <c r="B1455" i="18" s="1"/>
  <c r="B1456" i="18" s="1"/>
  <c r="B1457" i="18" s="1"/>
  <c r="B1458" i="18" s="1"/>
  <c r="B1459" i="18" s="1"/>
  <c r="B1460" i="18" s="1"/>
  <c r="B1461" i="18" s="1"/>
  <c r="B1462" i="18" s="1"/>
  <c r="B1463" i="18" s="1"/>
  <c r="B1464" i="18" s="1"/>
  <c r="B1465" i="18" s="1"/>
  <c r="B1466" i="18" s="1"/>
  <c r="B1467" i="18" s="1"/>
  <c r="B1468" i="18" s="1"/>
  <c r="B1469" i="18" s="1"/>
  <c r="B1470" i="18" s="1"/>
  <c r="B1471" i="18" s="1"/>
  <c r="B1472" i="18" s="1"/>
  <c r="T1467" i="18"/>
  <c r="O1447" i="18"/>
  <c r="T1457" i="18"/>
  <c r="T1464" i="18"/>
  <c r="T1463" i="18"/>
  <c r="N1447" i="18"/>
  <c r="T1461" i="18"/>
  <c r="O1445" i="18"/>
  <c r="T1465" i="18"/>
  <c r="T1466" i="18"/>
  <c r="T1460" i="18"/>
  <c r="N1445" i="18"/>
  <c r="T1459" i="18"/>
  <c r="T1458" i="18"/>
  <c r="T1470" i="18"/>
  <c r="T1471" i="18"/>
  <c r="T1468" i="18"/>
  <c r="T1469" i="18"/>
  <c r="T1462" i="18"/>
  <c r="Y1462" i="18" s="1"/>
  <c r="U16" i="18"/>
  <c r="Q2" i="18"/>
  <c r="G1505" i="18" l="1"/>
  <c r="D1536" i="18"/>
  <c r="B1473" i="18"/>
  <c r="B1474" i="18" s="1"/>
  <c r="B1475" i="18" s="1"/>
  <c r="B1476" i="18" s="1"/>
  <c r="B1477" i="18" s="1"/>
  <c r="B1478" i="18" s="1"/>
  <c r="B1479" i="18" s="1"/>
  <c r="B1480" i="18" s="1"/>
  <c r="B1481" i="18" s="1"/>
  <c r="B1482" i="18" s="1"/>
  <c r="B1483" i="18" s="1"/>
  <c r="B1484" i="18" s="1"/>
  <c r="B1485" i="18" s="1"/>
  <c r="B1486" i="18" s="1"/>
  <c r="B1487" i="18" s="1"/>
  <c r="B1488" i="18" s="1"/>
  <c r="B1489" i="18" s="1"/>
  <c r="B1490" i="18" s="1"/>
  <c r="B1491" i="18" s="1"/>
  <c r="B1492" i="18" s="1"/>
  <c r="B1493" i="18" s="1"/>
  <c r="B1494" i="18" s="1"/>
  <c r="B1495" i="18" s="1"/>
  <c r="B1496" i="18" s="1"/>
  <c r="B1497" i="18" s="1"/>
  <c r="B1498" i="18" s="1"/>
  <c r="B1499" i="18" s="1"/>
  <c r="B1500" i="18" s="1"/>
  <c r="B1501" i="18" s="1"/>
  <c r="B1502" i="18" s="1"/>
  <c r="B1503" i="18" s="1"/>
  <c r="T1502" i="18"/>
  <c r="T1500" i="18"/>
  <c r="T1501" i="18"/>
  <c r="T1498" i="18"/>
  <c r="T1499" i="18"/>
  <c r="T1488" i="18"/>
  <c r="T1497" i="18"/>
  <c r="T1495" i="18"/>
  <c r="T1493" i="18"/>
  <c r="Y1493" i="18" s="1"/>
  <c r="T1494" i="18"/>
  <c r="O1478" i="18"/>
  <c r="T1492" i="18"/>
  <c r="N1478" i="18"/>
  <c r="O1476" i="18"/>
  <c r="T1491" i="18"/>
  <c r="N1476" i="18"/>
  <c r="T1490" i="18"/>
  <c r="T1496" i="18"/>
  <c r="T1489" i="18"/>
  <c r="K94" i="6"/>
  <c r="J94" i="6"/>
  <c r="H94" i="6"/>
  <c r="K342" i="6"/>
  <c r="J342" i="6"/>
  <c r="H342" i="6"/>
  <c r="K60" i="6"/>
  <c r="J60" i="6"/>
  <c r="H60" i="6"/>
  <c r="K432" i="6"/>
  <c r="J432" i="6"/>
  <c r="H432" i="6"/>
  <c r="K288" i="6"/>
  <c r="J288" i="6"/>
  <c r="H288" i="6"/>
  <c r="K144" i="6"/>
  <c r="J144" i="6"/>
  <c r="H144" i="6"/>
  <c r="K503" i="6"/>
  <c r="H503" i="6"/>
  <c r="J503" i="6"/>
  <c r="K359" i="6"/>
  <c r="H359" i="6"/>
  <c r="J359" i="6"/>
  <c r="K215" i="6"/>
  <c r="H215" i="6"/>
  <c r="J215" i="6"/>
  <c r="K71" i="6"/>
  <c r="H71" i="6"/>
  <c r="J71" i="6"/>
  <c r="K406" i="6"/>
  <c r="H406" i="6"/>
  <c r="J406" i="6"/>
  <c r="K262" i="6"/>
  <c r="J262" i="6"/>
  <c r="H262" i="6"/>
  <c r="K118" i="6"/>
  <c r="J118" i="6"/>
  <c r="H118" i="6"/>
  <c r="K489" i="6"/>
  <c r="J489" i="6"/>
  <c r="H489" i="6"/>
  <c r="K345" i="6"/>
  <c r="J345" i="6"/>
  <c r="H345" i="6"/>
  <c r="J201" i="6"/>
  <c r="K201" i="6"/>
  <c r="H201" i="6"/>
  <c r="J57" i="6"/>
  <c r="K57" i="6"/>
  <c r="H57" i="6"/>
  <c r="K380" i="6"/>
  <c r="J380" i="6"/>
  <c r="H380" i="6"/>
  <c r="K236" i="6"/>
  <c r="J236" i="6"/>
  <c r="H236" i="6"/>
  <c r="K92" i="6"/>
  <c r="J92" i="6"/>
  <c r="H92" i="6"/>
  <c r="H451" i="6"/>
  <c r="K451" i="6"/>
  <c r="J451" i="6"/>
  <c r="H307" i="6"/>
  <c r="K307" i="6"/>
  <c r="J307" i="6"/>
  <c r="J163" i="6"/>
  <c r="H163" i="6"/>
  <c r="K163" i="6"/>
  <c r="K510" i="6"/>
  <c r="H510" i="6"/>
  <c r="J510" i="6"/>
  <c r="K366" i="6"/>
  <c r="H366" i="6"/>
  <c r="J366" i="6"/>
  <c r="K222" i="6"/>
  <c r="J222" i="6"/>
  <c r="H222" i="6"/>
  <c r="K78" i="6"/>
  <c r="J78" i="6"/>
  <c r="H78" i="6"/>
  <c r="J437" i="6"/>
  <c r="K437" i="6"/>
  <c r="H437" i="6"/>
  <c r="J293" i="6"/>
  <c r="K293" i="6"/>
  <c r="H293" i="6"/>
  <c r="J149" i="6"/>
  <c r="K149" i="6"/>
  <c r="H149" i="6"/>
  <c r="K508" i="6"/>
  <c r="H508" i="6"/>
  <c r="J508" i="6"/>
  <c r="K364" i="6"/>
  <c r="J364" i="6"/>
  <c r="H364" i="6"/>
  <c r="K220" i="6"/>
  <c r="J220" i="6"/>
  <c r="H220" i="6"/>
  <c r="J76" i="6"/>
  <c r="K76" i="6"/>
  <c r="H76" i="6"/>
  <c r="J435" i="6"/>
  <c r="K435" i="6"/>
  <c r="H435" i="6"/>
  <c r="J291" i="6"/>
  <c r="K291" i="6"/>
  <c r="H291" i="6"/>
  <c r="J147" i="6"/>
  <c r="K147" i="6"/>
  <c r="H147" i="6"/>
  <c r="K518" i="6"/>
  <c r="J518" i="6"/>
  <c r="H518" i="6"/>
  <c r="K374" i="6"/>
  <c r="J374" i="6"/>
  <c r="H374" i="6"/>
  <c r="H230" i="6"/>
  <c r="J230" i="6"/>
  <c r="K230" i="6"/>
  <c r="J86" i="6"/>
  <c r="H86" i="6"/>
  <c r="K86" i="6"/>
  <c r="K445" i="6"/>
  <c r="J445" i="6"/>
  <c r="H445" i="6"/>
  <c r="K301" i="6"/>
  <c r="J301" i="6"/>
  <c r="H301" i="6"/>
  <c r="K157" i="6"/>
  <c r="J157" i="6"/>
  <c r="H157" i="6"/>
  <c r="K408" i="6"/>
  <c r="J408" i="6"/>
  <c r="H408" i="6"/>
  <c r="J177" i="6"/>
  <c r="K177" i="6"/>
  <c r="H177" i="6"/>
  <c r="K420" i="6"/>
  <c r="J420" i="6"/>
  <c r="H420" i="6"/>
  <c r="K276" i="6"/>
  <c r="J276" i="6"/>
  <c r="H276" i="6"/>
  <c r="K132" i="6"/>
  <c r="J132" i="6"/>
  <c r="H132" i="6"/>
  <c r="K491" i="6"/>
  <c r="H491" i="6"/>
  <c r="J491" i="6"/>
  <c r="K347" i="6"/>
  <c r="H347" i="6"/>
  <c r="J347" i="6"/>
  <c r="K203" i="6"/>
  <c r="H203" i="6"/>
  <c r="J203" i="6"/>
  <c r="K59" i="6"/>
  <c r="H59" i="6"/>
  <c r="J59" i="6"/>
  <c r="K394" i="6"/>
  <c r="H394" i="6"/>
  <c r="J394" i="6"/>
  <c r="K250" i="6"/>
  <c r="J250" i="6"/>
  <c r="H250" i="6"/>
  <c r="K106" i="6"/>
  <c r="J106" i="6"/>
  <c r="H106" i="6"/>
  <c r="K477" i="6"/>
  <c r="J477" i="6"/>
  <c r="H477" i="6"/>
  <c r="K333" i="6"/>
  <c r="J333" i="6"/>
  <c r="H333" i="6"/>
  <c r="J189" i="6"/>
  <c r="K189" i="6"/>
  <c r="H189" i="6"/>
  <c r="J45" i="6"/>
  <c r="K45" i="6"/>
  <c r="H45" i="6"/>
  <c r="K368" i="6"/>
  <c r="J368" i="6"/>
  <c r="H368" i="6"/>
  <c r="K224" i="6"/>
  <c r="J224" i="6"/>
  <c r="H224" i="6"/>
  <c r="K80" i="6"/>
  <c r="H80" i="6"/>
  <c r="J80" i="6"/>
  <c r="H439" i="6"/>
  <c r="K439" i="6"/>
  <c r="J439" i="6"/>
  <c r="J295" i="6"/>
  <c r="H295" i="6"/>
  <c r="K295" i="6"/>
  <c r="J151" i="6"/>
  <c r="H151" i="6"/>
  <c r="K151" i="6"/>
  <c r="K498" i="6"/>
  <c r="J498" i="6"/>
  <c r="H498" i="6"/>
  <c r="K354" i="6"/>
  <c r="J354" i="6"/>
  <c r="H354" i="6"/>
  <c r="K210" i="6"/>
  <c r="J210" i="6"/>
  <c r="H210" i="6"/>
  <c r="K66" i="6"/>
  <c r="J66" i="6"/>
  <c r="H66" i="6"/>
  <c r="J425" i="6"/>
  <c r="K425" i="6"/>
  <c r="H425" i="6"/>
  <c r="J281" i="6"/>
  <c r="K281" i="6"/>
  <c r="H281" i="6"/>
  <c r="J137" i="6"/>
  <c r="K137" i="6"/>
  <c r="H137" i="6"/>
  <c r="K496" i="6"/>
  <c r="J496" i="6"/>
  <c r="H496" i="6"/>
  <c r="K352" i="6"/>
  <c r="J352" i="6"/>
  <c r="H352" i="6"/>
  <c r="K208" i="6"/>
  <c r="J208" i="6"/>
  <c r="H208" i="6"/>
  <c r="J64" i="6"/>
  <c r="K64" i="6"/>
  <c r="H64" i="6"/>
  <c r="J423" i="6"/>
  <c r="K423" i="6"/>
  <c r="H423" i="6"/>
  <c r="J279" i="6"/>
  <c r="K279" i="6"/>
  <c r="H279" i="6"/>
  <c r="J135" i="6"/>
  <c r="K135" i="6"/>
  <c r="H135" i="6"/>
  <c r="H506" i="6"/>
  <c r="K506" i="6"/>
  <c r="J506" i="6"/>
  <c r="H362" i="6"/>
  <c r="K362" i="6"/>
  <c r="J362" i="6"/>
  <c r="H218" i="6"/>
  <c r="K218" i="6"/>
  <c r="J218" i="6"/>
  <c r="J74" i="6"/>
  <c r="H74" i="6"/>
  <c r="K74" i="6"/>
  <c r="K433" i="6"/>
  <c r="J433" i="6"/>
  <c r="H433" i="6"/>
  <c r="K289" i="6"/>
  <c r="J289" i="6"/>
  <c r="H289" i="6"/>
  <c r="K145" i="6"/>
  <c r="J145" i="6"/>
  <c r="H145" i="6"/>
  <c r="K264" i="6"/>
  <c r="J264" i="6"/>
  <c r="H264" i="6"/>
  <c r="H33" i="6"/>
  <c r="J33" i="6"/>
  <c r="K33" i="6"/>
  <c r="K54" i="6"/>
  <c r="J54" i="6"/>
  <c r="H54" i="6"/>
  <c r="K340" i="6"/>
  <c r="J340" i="6"/>
  <c r="H340" i="6"/>
  <c r="J267" i="6"/>
  <c r="K267" i="6"/>
  <c r="H267" i="6"/>
  <c r="J350" i="6"/>
  <c r="H350" i="6"/>
  <c r="K350" i="6"/>
  <c r="H206" i="6"/>
  <c r="K206" i="6"/>
  <c r="J206" i="6"/>
  <c r="J62" i="6"/>
  <c r="H62" i="6"/>
  <c r="K62" i="6"/>
  <c r="K421" i="6"/>
  <c r="J421" i="6"/>
  <c r="H421" i="6"/>
  <c r="K277" i="6"/>
  <c r="J277" i="6"/>
  <c r="H277" i="6"/>
  <c r="K133" i="6"/>
  <c r="J133" i="6"/>
  <c r="H133" i="6"/>
  <c r="K120" i="6"/>
  <c r="J120" i="6"/>
  <c r="H120" i="6"/>
  <c r="K356" i="6"/>
  <c r="J356" i="6"/>
  <c r="H356" i="6"/>
  <c r="J413" i="6"/>
  <c r="K413" i="6"/>
  <c r="H413" i="6"/>
  <c r="K252" i="6"/>
  <c r="J252" i="6"/>
  <c r="H252" i="6"/>
  <c r="K108" i="6"/>
  <c r="J108" i="6"/>
  <c r="H108" i="6"/>
  <c r="K467" i="6"/>
  <c r="H467" i="6"/>
  <c r="J467" i="6"/>
  <c r="K323" i="6"/>
  <c r="H323" i="6"/>
  <c r="J323" i="6"/>
  <c r="K179" i="6"/>
  <c r="H179" i="6"/>
  <c r="J179" i="6"/>
  <c r="K35" i="6"/>
  <c r="J35" i="6"/>
  <c r="H35" i="6"/>
  <c r="K370" i="6"/>
  <c r="H370" i="6"/>
  <c r="J370" i="6"/>
  <c r="K226" i="6"/>
  <c r="J226" i="6"/>
  <c r="H226" i="6"/>
  <c r="K82" i="6"/>
  <c r="J82" i="6"/>
  <c r="H82" i="6"/>
  <c r="K453" i="6"/>
  <c r="J453" i="6"/>
  <c r="H453" i="6"/>
  <c r="K309" i="6"/>
  <c r="J309" i="6"/>
  <c r="H309" i="6"/>
  <c r="J165" i="6"/>
  <c r="K165" i="6"/>
  <c r="H165" i="6"/>
  <c r="K488" i="6"/>
  <c r="J488" i="6"/>
  <c r="H488" i="6"/>
  <c r="K344" i="6"/>
  <c r="J344" i="6"/>
  <c r="H344" i="6"/>
  <c r="K200" i="6"/>
  <c r="J200" i="6"/>
  <c r="H200" i="6"/>
  <c r="K56" i="6"/>
  <c r="J56" i="6"/>
  <c r="H56" i="6"/>
  <c r="H415" i="6"/>
  <c r="K415" i="6"/>
  <c r="J415" i="6"/>
  <c r="H271" i="6"/>
  <c r="J271" i="6"/>
  <c r="K271" i="6"/>
  <c r="J127" i="6"/>
  <c r="K127" i="6"/>
  <c r="H127" i="6"/>
  <c r="K474" i="6"/>
  <c r="H474" i="6"/>
  <c r="J474" i="6"/>
  <c r="K330" i="6"/>
  <c r="H330" i="6"/>
  <c r="J330" i="6"/>
  <c r="K186" i="6"/>
  <c r="J186" i="6"/>
  <c r="H186" i="6"/>
  <c r="K42" i="6"/>
  <c r="J42" i="6"/>
  <c r="H42" i="6"/>
  <c r="J401" i="6"/>
  <c r="K401" i="6"/>
  <c r="H401" i="6"/>
  <c r="J257" i="6"/>
  <c r="K257" i="6"/>
  <c r="H257" i="6"/>
  <c r="J113" i="6"/>
  <c r="K113" i="6"/>
  <c r="H113" i="6"/>
  <c r="K472" i="6"/>
  <c r="J472" i="6"/>
  <c r="H472" i="6"/>
  <c r="K328" i="6"/>
  <c r="J328" i="6"/>
  <c r="H328" i="6"/>
  <c r="K184" i="6"/>
  <c r="J184" i="6"/>
  <c r="H184" i="6"/>
  <c r="J40" i="6"/>
  <c r="K40" i="6"/>
  <c r="H40" i="6"/>
  <c r="J399" i="6"/>
  <c r="K399" i="6"/>
  <c r="H399" i="6"/>
  <c r="J255" i="6"/>
  <c r="K255" i="6"/>
  <c r="H255" i="6"/>
  <c r="J111" i="6"/>
  <c r="K111" i="6"/>
  <c r="H111" i="6"/>
  <c r="K482" i="6"/>
  <c r="J482" i="6"/>
  <c r="H482" i="6"/>
  <c r="K338" i="6"/>
  <c r="J338" i="6"/>
  <c r="H338" i="6"/>
  <c r="K194" i="6"/>
  <c r="H194" i="6"/>
  <c r="J194" i="6"/>
  <c r="J50" i="6"/>
  <c r="K50" i="6"/>
  <c r="H50" i="6"/>
  <c r="K409" i="6"/>
  <c r="J409" i="6"/>
  <c r="H409" i="6"/>
  <c r="K265" i="6"/>
  <c r="J265" i="6"/>
  <c r="H265" i="6"/>
  <c r="K121" i="6"/>
  <c r="J121" i="6"/>
  <c r="H121" i="6"/>
  <c r="K382" i="6"/>
  <c r="H382" i="6"/>
  <c r="J382" i="6"/>
  <c r="K283" i="6"/>
  <c r="H283" i="6"/>
  <c r="J283" i="6"/>
  <c r="K484" i="6"/>
  <c r="J484" i="6"/>
  <c r="H484" i="6"/>
  <c r="J411" i="6"/>
  <c r="K411" i="6"/>
  <c r="H411" i="6"/>
  <c r="K396" i="6"/>
  <c r="J396" i="6"/>
  <c r="H396" i="6"/>
  <c r="K514" i="6"/>
  <c r="H514" i="6"/>
  <c r="J514" i="6"/>
  <c r="K384" i="6"/>
  <c r="J384" i="6"/>
  <c r="H384" i="6"/>
  <c r="K240" i="6"/>
  <c r="J240" i="6"/>
  <c r="H240" i="6"/>
  <c r="K96" i="6"/>
  <c r="J96" i="6"/>
  <c r="H96" i="6"/>
  <c r="K455" i="6"/>
  <c r="H455" i="6"/>
  <c r="J455" i="6"/>
  <c r="K311" i="6"/>
  <c r="H311" i="6"/>
  <c r="J311" i="6"/>
  <c r="K167" i="6"/>
  <c r="H167" i="6"/>
  <c r="J167" i="6"/>
  <c r="G23" i="6"/>
  <c r="K23" i="6"/>
  <c r="H23" i="6"/>
  <c r="J23" i="6"/>
  <c r="K358" i="6"/>
  <c r="H358" i="6"/>
  <c r="J358" i="6"/>
  <c r="K214" i="6"/>
  <c r="J214" i="6"/>
  <c r="H214" i="6"/>
  <c r="K70" i="6"/>
  <c r="J70" i="6"/>
  <c r="H70" i="6"/>
  <c r="K441" i="6"/>
  <c r="J441" i="6"/>
  <c r="H441" i="6"/>
  <c r="J297" i="6"/>
  <c r="K297" i="6"/>
  <c r="H297" i="6"/>
  <c r="J153" i="6"/>
  <c r="K153" i="6"/>
  <c r="H153" i="6"/>
  <c r="K476" i="6"/>
  <c r="J476" i="6"/>
  <c r="H476" i="6"/>
  <c r="K332" i="6"/>
  <c r="J332" i="6"/>
  <c r="H332" i="6"/>
  <c r="K188" i="6"/>
  <c r="J188" i="6"/>
  <c r="H188" i="6"/>
  <c r="J44" i="6"/>
  <c r="K44" i="6"/>
  <c r="H44" i="6"/>
  <c r="K403" i="6"/>
  <c r="H403" i="6"/>
  <c r="J403" i="6"/>
  <c r="H259" i="6"/>
  <c r="K259" i="6"/>
  <c r="J259" i="6"/>
  <c r="J115" i="6"/>
  <c r="H115" i="6"/>
  <c r="K115" i="6"/>
  <c r="K462" i="6"/>
  <c r="J462" i="6"/>
  <c r="H462" i="6"/>
  <c r="K318" i="6"/>
  <c r="J318" i="6"/>
  <c r="H318" i="6"/>
  <c r="K174" i="6"/>
  <c r="J174" i="6"/>
  <c r="H174" i="6"/>
  <c r="K30" i="6"/>
  <c r="H30" i="6"/>
  <c r="J30" i="6"/>
  <c r="J389" i="6"/>
  <c r="K389" i="6"/>
  <c r="H389" i="6"/>
  <c r="J245" i="6"/>
  <c r="K245" i="6"/>
  <c r="H245" i="6"/>
  <c r="J101" i="6"/>
  <c r="K101" i="6"/>
  <c r="H101" i="6"/>
  <c r="K460" i="6"/>
  <c r="J460" i="6"/>
  <c r="H460" i="6"/>
  <c r="K316" i="6"/>
  <c r="J316" i="6"/>
  <c r="H316" i="6"/>
  <c r="K172" i="6"/>
  <c r="J172" i="6"/>
  <c r="H172" i="6"/>
  <c r="J28" i="6"/>
  <c r="K28" i="6"/>
  <c r="H28" i="6"/>
  <c r="J387" i="6"/>
  <c r="K387" i="6"/>
  <c r="H387" i="6"/>
  <c r="J243" i="6"/>
  <c r="K243" i="6"/>
  <c r="H243" i="6"/>
  <c r="J99" i="6"/>
  <c r="K99" i="6"/>
  <c r="H99" i="6"/>
  <c r="K470" i="6"/>
  <c r="H470" i="6"/>
  <c r="J470" i="6"/>
  <c r="K326" i="6"/>
  <c r="H326" i="6"/>
  <c r="J326" i="6"/>
  <c r="K182" i="6"/>
  <c r="H182" i="6"/>
  <c r="J182" i="6"/>
  <c r="J38" i="6"/>
  <c r="K38" i="6"/>
  <c r="H38" i="6"/>
  <c r="K397" i="6"/>
  <c r="J397" i="6"/>
  <c r="H397" i="6"/>
  <c r="K253" i="6"/>
  <c r="J253" i="6"/>
  <c r="H253" i="6"/>
  <c r="K109" i="6"/>
  <c r="J109" i="6"/>
  <c r="H109" i="6"/>
  <c r="K47" i="6"/>
  <c r="H47" i="6"/>
  <c r="J47" i="6"/>
  <c r="J139" i="6"/>
  <c r="H139" i="6"/>
  <c r="K139" i="6"/>
  <c r="J125" i="6"/>
  <c r="K125" i="6"/>
  <c r="H125" i="6"/>
  <c r="J52" i="6"/>
  <c r="K52" i="6"/>
  <c r="H52" i="6"/>
  <c r="J494" i="6"/>
  <c r="H494" i="6"/>
  <c r="K494" i="6"/>
  <c r="K516" i="6"/>
  <c r="J516" i="6"/>
  <c r="H516" i="6"/>
  <c r="K372" i="6"/>
  <c r="J372" i="6"/>
  <c r="H372" i="6"/>
  <c r="K228" i="6"/>
  <c r="J228" i="6"/>
  <c r="H228" i="6"/>
  <c r="K84" i="6"/>
  <c r="J84" i="6"/>
  <c r="H84" i="6"/>
  <c r="K443" i="6"/>
  <c r="H443" i="6"/>
  <c r="J443" i="6"/>
  <c r="K299" i="6"/>
  <c r="H299" i="6"/>
  <c r="J299" i="6"/>
  <c r="K155" i="6"/>
  <c r="H155" i="6"/>
  <c r="J155" i="6"/>
  <c r="K490" i="6"/>
  <c r="H490" i="6"/>
  <c r="J490" i="6"/>
  <c r="K346" i="6"/>
  <c r="H346" i="6"/>
  <c r="J346" i="6"/>
  <c r="K202" i="6"/>
  <c r="J202" i="6"/>
  <c r="H202" i="6"/>
  <c r="K58" i="6"/>
  <c r="J58" i="6"/>
  <c r="H58" i="6"/>
  <c r="K429" i="6"/>
  <c r="J429" i="6"/>
  <c r="H429" i="6"/>
  <c r="J285" i="6"/>
  <c r="K285" i="6"/>
  <c r="H285" i="6"/>
  <c r="J141" i="6"/>
  <c r="K141" i="6"/>
  <c r="H141" i="6"/>
  <c r="K464" i="6"/>
  <c r="J464" i="6"/>
  <c r="H464" i="6"/>
  <c r="K320" i="6"/>
  <c r="J320" i="6"/>
  <c r="H320" i="6"/>
  <c r="K176" i="6"/>
  <c r="J176" i="6"/>
  <c r="H176" i="6"/>
  <c r="J32" i="6"/>
  <c r="K32" i="6"/>
  <c r="H32" i="6"/>
  <c r="K391" i="6"/>
  <c r="J391" i="6"/>
  <c r="H391" i="6"/>
  <c r="K247" i="6"/>
  <c r="J247" i="6"/>
  <c r="H247" i="6"/>
  <c r="J103" i="6"/>
  <c r="K103" i="6"/>
  <c r="H103" i="6"/>
  <c r="K450" i="6"/>
  <c r="J450" i="6"/>
  <c r="H450" i="6"/>
  <c r="K306" i="6"/>
  <c r="J306" i="6"/>
  <c r="H306" i="6"/>
  <c r="K162" i="6"/>
  <c r="J162" i="6"/>
  <c r="H162" i="6"/>
  <c r="G21" i="6"/>
  <c r="J21" i="6"/>
  <c r="K21" i="6"/>
  <c r="H21" i="6"/>
  <c r="J377" i="6"/>
  <c r="K377" i="6"/>
  <c r="H377" i="6"/>
  <c r="J233" i="6"/>
  <c r="K233" i="6"/>
  <c r="H233" i="6"/>
  <c r="J89" i="6"/>
  <c r="K89" i="6"/>
  <c r="H89" i="6"/>
  <c r="K448" i="6"/>
  <c r="J448" i="6"/>
  <c r="H448" i="6"/>
  <c r="K304" i="6"/>
  <c r="J304" i="6"/>
  <c r="H304" i="6"/>
  <c r="J160" i="6"/>
  <c r="K160" i="6"/>
  <c r="H160" i="6"/>
  <c r="J519" i="6"/>
  <c r="K519" i="6"/>
  <c r="H519" i="6"/>
  <c r="J375" i="6"/>
  <c r="K375" i="6"/>
  <c r="H375" i="6"/>
  <c r="J231" i="6"/>
  <c r="K231" i="6"/>
  <c r="H231" i="6"/>
  <c r="J87" i="6"/>
  <c r="K87" i="6"/>
  <c r="H87" i="6"/>
  <c r="J458" i="6"/>
  <c r="H458" i="6"/>
  <c r="K458" i="6"/>
  <c r="J314" i="6"/>
  <c r="H314" i="6"/>
  <c r="K314" i="6"/>
  <c r="J170" i="6"/>
  <c r="H170" i="6"/>
  <c r="K170" i="6"/>
  <c r="J26" i="6"/>
  <c r="K26" i="6"/>
  <c r="H26" i="6"/>
  <c r="K385" i="6"/>
  <c r="J385" i="6"/>
  <c r="H385" i="6"/>
  <c r="K241" i="6"/>
  <c r="J241" i="6"/>
  <c r="H241" i="6"/>
  <c r="K97" i="6"/>
  <c r="J97" i="6"/>
  <c r="H97" i="6"/>
  <c r="K191" i="6"/>
  <c r="H191" i="6"/>
  <c r="J191" i="6"/>
  <c r="J427" i="6"/>
  <c r="K427" i="6"/>
  <c r="H427" i="6"/>
  <c r="J269" i="6"/>
  <c r="K269" i="6"/>
  <c r="H269" i="6"/>
  <c r="K196" i="6"/>
  <c r="J196" i="6"/>
  <c r="H196" i="6"/>
  <c r="J123" i="6"/>
  <c r="K123" i="6"/>
  <c r="H123" i="6"/>
  <c r="K504" i="6"/>
  <c r="J504" i="6"/>
  <c r="H504" i="6"/>
  <c r="K360" i="6"/>
  <c r="J360" i="6"/>
  <c r="H360" i="6"/>
  <c r="K216" i="6"/>
  <c r="J216" i="6"/>
  <c r="H216" i="6"/>
  <c r="K72" i="6"/>
  <c r="J72" i="6"/>
  <c r="H72" i="6"/>
  <c r="K431" i="6"/>
  <c r="H431" i="6"/>
  <c r="J431" i="6"/>
  <c r="K287" i="6"/>
  <c r="H287" i="6"/>
  <c r="J287" i="6"/>
  <c r="K143" i="6"/>
  <c r="H143" i="6"/>
  <c r="J143" i="6"/>
  <c r="K478" i="6"/>
  <c r="H478" i="6"/>
  <c r="J478" i="6"/>
  <c r="K334" i="6"/>
  <c r="H334" i="6"/>
  <c r="J334" i="6"/>
  <c r="K190" i="6"/>
  <c r="J190" i="6"/>
  <c r="H190" i="6"/>
  <c r="K46" i="6"/>
  <c r="J46" i="6"/>
  <c r="H46" i="6"/>
  <c r="K417" i="6"/>
  <c r="J417" i="6"/>
  <c r="H417" i="6"/>
  <c r="J273" i="6"/>
  <c r="K273" i="6"/>
  <c r="H273" i="6"/>
  <c r="J129" i="6"/>
  <c r="K129" i="6"/>
  <c r="H129" i="6"/>
  <c r="K452" i="6"/>
  <c r="J452" i="6"/>
  <c r="H452" i="6"/>
  <c r="K308" i="6"/>
  <c r="J308" i="6"/>
  <c r="H308" i="6"/>
  <c r="K164" i="6"/>
  <c r="J164" i="6"/>
  <c r="H164" i="6"/>
  <c r="K512" i="6"/>
  <c r="J512" i="6"/>
  <c r="H512" i="6"/>
  <c r="K379" i="6"/>
  <c r="H379" i="6"/>
  <c r="J379" i="6"/>
  <c r="K235" i="6"/>
  <c r="H235" i="6"/>
  <c r="J235" i="6"/>
  <c r="J91" i="6"/>
  <c r="K91" i="6"/>
  <c r="H91" i="6"/>
  <c r="K438" i="6"/>
  <c r="H438" i="6"/>
  <c r="J438" i="6"/>
  <c r="K294" i="6"/>
  <c r="J294" i="6"/>
  <c r="H294" i="6"/>
  <c r="K150" i="6"/>
  <c r="J150" i="6"/>
  <c r="H150" i="6"/>
  <c r="J509" i="6"/>
  <c r="K509" i="6"/>
  <c r="H509" i="6"/>
  <c r="J365" i="6"/>
  <c r="K365" i="6"/>
  <c r="H365" i="6"/>
  <c r="J221" i="6"/>
  <c r="K221" i="6"/>
  <c r="H221" i="6"/>
  <c r="J77" i="6"/>
  <c r="K77" i="6"/>
  <c r="H77" i="6"/>
  <c r="K436" i="6"/>
  <c r="J436" i="6"/>
  <c r="H436" i="6"/>
  <c r="K292" i="6"/>
  <c r="J292" i="6"/>
  <c r="H292" i="6"/>
  <c r="J148" i="6"/>
  <c r="K148" i="6"/>
  <c r="H148" i="6"/>
  <c r="J507" i="6"/>
  <c r="K507" i="6"/>
  <c r="H507" i="6"/>
  <c r="J363" i="6"/>
  <c r="K363" i="6"/>
  <c r="H363" i="6"/>
  <c r="J219" i="6"/>
  <c r="K219" i="6"/>
  <c r="H219" i="6"/>
  <c r="J75" i="6"/>
  <c r="K75" i="6"/>
  <c r="H75" i="6"/>
  <c r="J446" i="6"/>
  <c r="H446" i="6"/>
  <c r="K446" i="6"/>
  <c r="H302" i="6"/>
  <c r="J302" i="6"/>
  <c r="K302" i="6"/>
  <c r="H158" i="6"/>
  <c r="K158" i="6"/>
  <c r="J158" i="6"/>
  <c r="K517" i="6"/>
  <c r="J517" i="6"/>
  <c r="H517" i="6"/>
  <c r="K373" i="6"/>
  <c r="J373" i="6"/>
  <c r="H373" i="6"/>
  <c r="K229" i="6"/>
  <c r="J229" i="6"/>
  <c r="H229" i="6"/>
  <c r="K85" i="6"/>
  <c r="J85" i="6"/>
  <c r="H85" i="6"/>
  <c r="K335" i="6"/>
  <c r="H335" i="6"/>
  <c r="J335" i="6"/>
  <c r="K68" i="6"/>
  <c r="J68" i="6"/>
  <c r="H68" i="6"/>
  <c r="K348" i="6"/>
  <c r="J348" i="6"/>
  <c r="H348" i="6"/>
  <c r="K275" i="6"/>
  <c r="H275" i="6"/>
  <c r="J275" i="6"/>
  <c r="K131" i="6"/>
  <c r="H131" i="6"/>
  <c r="J131" i="6"/>
  <c r="K466" i="6"/>
  <c r="H466" i="6"/>
  <c r="J466" i="6"/>
  <c r="K322" i="6"/>
  <c r="H322" i="6"/>
  <c r="J322" i="6"/>
  <c r="K178" i="6"/>
  <c r="J178" i="6"/>
  <c r="H178" i="6"/>
  <c r="K34" i="6"/>
  <c r="J34" i="6"/>
  <c r="H34" i="6"/>
  <c r="K405" i="6"/>
  <c r="J405" i="6"/>
  <c r="H405" i="6"/>
  <c r="J261" i="6"/>
  <c r="K261" i="6"/>
  <c r="H261" i="6"/>
  <c r="J117" i="6"/>
  <c r="K117" i="6"/>
  <c r="H117" i="6"/>
  <c r="K440" i="6"/>
  <c r="J440" i="6"/>
  <c r="H440" i="6"/>
  <c r="K296" i="6"/>
  <c r="J296" i="6"/>
  <c r="H296" i="6"/>
  <c r="K152" i="6"/>
  <c r="J152" i="6"/>
  <c r="H152" i="6"/>
  <c r="H511" i="6"/>
  <c r="K511" i="6"/>
  <c r="J511" i="6"/>
  <c r="H367" i="6"/>
  <c r="K367" i="6"/>
  <c r="J367" i="6"/>
  <c r="J223" i="6"/>
  <c r="H223" i="6"/>
  <c r="K223" i="6"/>
  <c r="J79" i="6"/>
  <c r="H79" i="6"/>
  <c r="K79" i="6"/>
  <c r="K426" i="6"/>
  <c r="J426" i="6"/>
  <c r="H426" i="6"/>
  <c r="K282" i="6"/>
  <c r="J282" i="6"/>
  <c r="H282" i="6"/>
  <c r="K138" i="6"/>
  <c r="J138" i="6"/>
  <c r="H138" i="6"/>
  <c r="J497" i="6"/>
  <c r="K497" i="6"/>
  <c r="H497" i="6"/>
  <c r="J353" i="6"/>
  <c r="K353" i="6"/>
  <c r="H353" i="6"/>
  <c r="J209" i="6"/>
  <c r="K209" i="6"/>
  <c r="H209" i="6"/>
  <c r="J65" i="6"/>
  <c r="K65" i="6"/>
  <c r="H65" i="6"/>
  <c r="K424" i="6"/>
  <c r="J424" i="6"/>
  <c r="H424" i="6"/>
  <c r="K280" i="6"/>
  <c r="J280" i="6"/>
  <c r="H280" i="6"/>
  <c r="J136" i="6"/>
  <c r="K136" i="6"/>
  <c r="H136" i="6"/>
  <c r="J495" i="6"/>
  <c r="K495" i="6"/>
  <c r="H495" i="6"/>
  <c r="J351" i="6"/>
  <c r="K351" i="6"/>
  <c r="H351" i="6"/>
  <c r="J207" i="6"/>
  <c r="K207" i="6"/>
  <c r="H207" i="6"/>
  <c r="J63" i="6"/>
  <c r="K63" i="6"/>
  <c r="H63" i="6"/>
  <c r="H434" i="6"/>
  <c r="K434" i="6"/>
  <c r="J434" i="6"/>
  <c r="H290" i="6"/>
  <c r="K290" i="6"/>
  <c r="J290" i="6"/>
  <c r="J146" i="6"/>
  <c r="H146" i="6"/>
  <c r="K146" i="6"/>
  <c r="K505" i="6"/>
  <c r="J505" i="6"/>
  <c r="H505" i="6"/>
  <c r="K361" i="6"/>
  <c r="J361" i="6"/>
  <c r="H361" i="6"/>
  <c r="K217" i="6"/>
  <c r="J217" i="6"/>
  <c r="H217" i="6"/>
  <c r="K73" i="6"/>
  <c r="J73" i="6"/>
  <c r="H73" i="6"/>
  <c r="K238" i="6"/>
  <c r="J238" i="6"/>
  <c r="H238" i="6"/>
  <c r="K486" i="6"/>
  <c r="J486" i="6"/>
  <c r="H486" i="6"/>
  <c r="K419" i="6"/>
  <c r="H419" i="6"/>
  <c r="J419" i="6"/>
  <c r="K192" i="6"/>
  <c r="J192" i="6"/>
  <c r="H192" i="6"/>
  <c r="K407" i="6"/>
  <c r="H407" i="6"/>
  <c r="J407" i="6"/>
  <c r="K263" i="6"/>
  <c r="H263" i="6"/>
  <c r="J263" i="6"/>
  <c r="K119" i="6"/>
  <c r="H119" i="6"/>
  <c r="J119" i="6"/>
  <c r="K454" i="6"/>
  <c r="H454" i="6"/>
  <c r="J454" i="6"/>
  <c r="K310" i="6"/>
  <c r="J310" i="6"/>
  <c r="H310" i="6"/>
  <c r="K166" i="6"/>
  <c r="J166" i="6"/>
  <c r="H166" i="6"/>
  <c r="G22" i="6"/>
  <c r="K22" i="6"/>
  <c r="J22" i="6"/>
  <c r="H22" i="6"/>
  <c r="K393" i="6"/>
  <c r="J393" i="6"/>
  <c r="H393" i="6"/>
  <c r="J249" i="6"/>
  <c r="K249" i="6"/>
  <c r="H249" i="6"/>
  <c r="J105" i="6"/>
  <c r="K105" i="6"/>
  <c r="H105" i="6"/>
  <c r="K428" i="6"/>
  <c r="J428" i="6"/>
  <c r="H428" i="6"/>
  <c r="K284" i="6"/>
  <c r="J284" i="6"/>
  <c r="H284" i="6"/>
  <c r="K140" i="6"/>
  <c r="J140" i="6"/>
  <c r="H140" i="6"/>
  <c r="J499" i="6"/>
  <c r="K499" i="6"/>
  <c r="H499" i="6"/>
  <c r="J355" i="6"/>
  <c r="K355" i="6"/>
  <c r="H355" i="6"/>
  <c r="K211" i="6"/>
  <c r="J211" i="6"/>
  <c r="H211" i="6"/>
  <c r="J67" i="6"/>
  <c r="K67" i="6"/>
  <c r="H67" i="6"/>
  <c r="K414" i="6"/>
  <c r="J414" i="6"/>
  <c r="H414" i="6"/>
  <c r="K270" i="6"/>
  <c r="J270" i="6"/>
  <c r="H270" i="6"/>
  <c r="K126" i="6"/>
  <c r="J126" i="6"/>
  <c r="H126" i="6"/>
  <c r="J485" i="6"/>
  <c r="K485" i="6"/>
  <c r="H485" i="6"/>
  <c r="J341" i="6"/>
  <c r="K341" i="6"/>
  <c r="H341" i="6"/>
  <c r="J197" i="6"/>
  <c r="K197" i="6"/>
  <c r="H197" i="6"/>
  <c r="J53" i="6"/>
  <c r="K53" i="6"/>
  <c r="H53" i="6"/>
  <c r="K412" i="6"/>
  <c r="J412" i="6"/>
  <c r="H412" i="6"/>
  <c r="K268" i="6"/>
  <c r="J268" i="6"/>
  <c r="H268" i="6"/>
  <c r="J124" i="6"/>
  <c r="K124" i="6"/>
  <c r="H124" i="6"/>
  <c r="J483" i="6"/>
  <c r="K483" i="6"/>
  <c r="H483" i="6"/>
  <c r="J339" i="6"/>
  <c r="K339" i="6"/>
  <c r="H339" i="6"/>
  <c r="J195" i="6"/>
  <c r="K195" i="6"/>
  <c r="H195" i="6"/>
  <c r="J51" i="6"/>
  <c r="K51" i="6"/>
  <c r="H51" i="6"/>
  <c r="J422" i="6"/>
  <c r="H422" i="6"/>
  <c r="K422" i="6"/>
  <c r="H278" i="6"/>
  <c r="K278" i="6"/>
  <c r="J278" i="6"/>
  <c r="J134" i="6"/>
  <c r="H134" i="6"/>
  <c r="K134" i="6"/>
  <c r="K493" i="6"/>
  <c r="J493" i="6"/>
  <c r="H493" i="6"/>
  <c r="K349" i="6"/>
  <c r="J349" i="6"/>
  <c r="H349" i="6"/>
  <c r="K205" i="6"/>
  <c r="J205" i="6"/>
  <c r="H205" i="6"/>
  <c r="K61" i="6"/>
  <c r="J61" i="6"/>
  <c r="H61" i="6"/>
  <c r="K321" i="6"/>
  <c r="J321" i="6"/>
  <c r="H321" i="6"/>
  <c r="K492" i="6"/>
  <c r="J492" i="6"/>
  <c r="H492" i="6"/>
  <c r="K336" i="6"/>
  <c r="J336" i="6"/>
  <c r="H336" i="6"/>
  <c r="K48" i="6"/>
  <c r="J48" i="6"/>
  <c r="H48" i="6"/>
  <c r="K468" i="6"/>
  <c r="J468" i="6"/>
  <c r="H468" i="6"/>
  <c r="K324" i="6"/>
  <c r="J324" i="6"/>
  <c r="H324" i="6"/>
  <c r="K180" i="6"/>
  <c r="J180" i="6"/>
  <c r="H180" i="6"/>
  <c r="K36" i="6"/>
  <c r="J36" i="6"/>
  <c r="H36" i="6"/>
  <c r="K395" i="6"/>
  <c r="H395" i="6"/>
  <c r="J395" i="6"/>
  <c r="K251" i="6"/>
  <c r="H251" i="6"/>
  <c r="J251" i="6"/>
  <c r="K107" i="6"/>
  <c r="H107" i="6"/>
  <c r="J107" i="6"/>
  <c r="K442" i="6"/>
  <c r="H442" i="6"/>
  <c r="J442" i="6"/>
  <c r="K298" i="6"/>
  <c r="J298" i="6"/>
  <c r="H298" i="6"/>
  <c r="K154" i="6"/>
  <c r="J154" i="6"/>
  <c r="H154" i="6"/>
  <c r="K502" i="6"/>
  <c r="H502" i="6"/>
  <c r="J502" i="6"/>
  <c r="K381" i="6"/>
  <c r="J381" i="6"/>
  <c r="H381" i="6"/>
  <c r="J237" i="6"/>
  <c r="K237" i="6"/>
  <c r="H237" i="6"/>
  <c r="J93" i="6"/>
  <c r="K93" i="6"/>
  <c r="H93" i="6"/>
  <c r="K416" i="6"/>
  <c r="J416" i="6"/>
  <c r="H416" i="6"/>
  <c r="K272" i="6"/>
  <c r="J272" i="6"/>
  <c r="H272" i="6"/>
  <c r="K128" i="6"/>
  <c r="H128" i="6"/>
  <c r="J128" i="6"/>
  <c r="K487" i="6"/>
  <c r="J487" i="6"/>
  <c r="H487" i="6"/>
  <c r="H343" i="6"/>
  <c r="K343" i="6"/>
  <c r="J343" i="6"/>
  <c r="J199" i="6"/>
  <c r="K199" i="6"/>
  <c r="H199" i="6"/>
  <c r="J55" i="6"/>
  <c r="H55" i="6"/>
  <c r="K55" i="6"/>
  <c r="K402" i="6"/>
  <c r="H402" i="6"/>
  <c r="J402" i="6"/>
  <c r="K258" i="6"/>
  <c r="J258" i="6"/>
  <c r="H258" i="6"/>
  <c r="K114" i="6"/>
  <c r="J114" i="6"/>
  <c r="H114" i="6"/>
  <c r="J473" i="6"/>
  <c r="K473" i="6"/>
  <c r="H473" i="6"/>
  <c r="J329" i="6"/>
  <c r="K329" i="6"/>
  <c r="H329" i="6"/>
  <c r="J185" i="6"/>
  <c r="K185" i="6"/>
  <c r="H185" i="6"/>
  <c r="J41" i="6"/>
  <c r="K41" i="6"/>
  <c r="H41" i="6"/>
  <c r="K400" i="6"/>
  <c r="J400" i="6"/>
  <c r="H400" i="6"/>
  <c r="K256" i="6"/>
  <c r="J256" i="6"/>
  <c r="H256" i="6"/>
  <c r="J112" i="6"/>
  <c r="K112" i="6"/>
  <c r="H112" i="6"/>
  <c r="J471" i="6"/>
  <c r="K471" i="6"/>
  <c r="H471" i="6"/>
  <c r="J327" i="6"/>
  <c r="K327" i="6"/>
  <c r="H327" i="6"/>
  <c r="J183" i="6"/>
  <c r="K183" i="6"/>
  <c r="H183" i="6"/>
  <c r="J39" i="6"/>
  <c r="K39" i="6"/>
  <c r="H39" i="6"/>
  <c r="K410" i="6"/>
  <c r="J410" i="6"/>
  <c r="H410" i="6"/>
  <c r="K266" i="6"/>
  <c r="H266" i="6"/>
  <c r="J266" i="6"/>
  <c r="J122" i="6"/>
  <c r="K122" i="6"/>
  <c r="H122" i="6"/>
  <c r="K481" i="6"/>
  <c r="J481" i="6"/>
  <c r="H481" i="6"/>
  <c r="K337" i="6"/>
  <c r="J337" i="6"/>
  <c r="H337" i="6"/>
  <c r="K193" i="6"/>
  <c r="J193" i="6"/>
  <c r="H193" i="6"/>
  <c r="K49" i="6"/>
  <c r="J49" i="6"/>
  <c r="H49" i="6"/>
  <c r="K479" i="6"/>
  <c r="H479" i="6"/>
  <c r="J479" i="6"/>
  <c r="K212" i="6"/>
  <c r="J212" i="6"/>
  <c r="H212" i="6"/>
  <c r="K204" i="6"/>
  <c r="J204" i="6"/>
  <c r="H204" i="6"/>
  <c r="K456" i="6"/>
  <c r="J456" i="6"/>
  <c r="H456" i="6"/>
  <c r="K312" i="6"/>
  <c r="J312" i="6"/>
  <c r="H312" i="6"/>
  <c r="K168" i="6"/>
  <c r="J168" i="6"/>
  <c r="H168" i="6"/>
  <c r="G24" i="6"/>
  <c r="K24" i="6"/>
  <c r="J24" i="6"/>
  <c r="H24" i="6"/>
  <c r="K383" i="6"/>
  <c r="H383" i="6"/>
  <c r="J383" i="6"/>
  <c r="K239" i="6"/>
  <c r="H239" i="6"/>
  <c r="J239" i="6"/>
  <c r="K95" i="6"/>
  <c r="H95" i="6"/>
  <c r="J95" i="6"/>
  <c r="K430" i="6"/>
  <c r="H430" i="6"/>
  <c r="J430" i="6"/>
  <c r="K286" i="6"/>
  <c r="J286" i="6"/>
  <c r="H286" i="6"/>
  <c r="K142" i="6"/>
  <c r="J142" i="6"/>
  <c r="H142" i="6"/>
  <c r="K513" i="6"/>
  <c r="J513" i="6"/>
  <c r="H513" i="6"/>
  <c r="K369" i="6"/>
  <c r="J369" i="6"/>
  <c r="H369" i="6"/>
  <c r="J225" i="6"/>
  <c r="K225" i="6"/>
  <c r="H225" i="6"/>
  <c r="J81" i="6"/>
  <c r="K81" i="6"/>
  <c r="H81" i="6"/>
  <c r="K404" i="6"/>
  <c r="J404" i="6"/>
  <c r="H404" i="6"/>
  <c r="K260" i="6"/>
  <c r="J260" i="6"/>
  <c r="H260" i="6"/>
  <c r="K116" i="6"/>
  <c r="J116" i="6"/>
  <c r="H116" i="6"/>
  <c r="K475" i="6"/>
  <c r="H475" i="6"/>
  <c r="J475" i="6"/>
  <c r="K331" i="6"/>
  <c r="H331" i="6"/>
  <c r="J331" i="6"/>
  <c r="K187" i="6"/>
  <c r="H187" i="6"/>
  <c r="J187" i="6"/>
  <c r="J43" i="6"/>
  <c r="H43" i="6"/>
  <c r="K43" i="6"/>
  <c r="K390" i="6"/>
  <c r="J390" i="6"/>
  <c r="H390" i="6"/>
  <c r="K246" i="6"/>
  <c r="J246" i="6"/>
  <c r="H246" i="6"/>
  <c r="K102" i="6"/>
  <c r="J102" i="6"/>
  <c r="H102" i="6"/>
  <c r="J461" i="6"/>
  <c r="K461" i="6"/>
  <c r="H461" i="6"/>
  <c r="J317" i="6"/>
  <c r="K317" i="6"/>
  <c r="H317" i="6"/>
  <c r="J173" i="6"/>
  <c r="K173" i="6"/>
  <c r="H173" i="6"/>
  <c r="J29" i="6"/>
  <c r="K29" i="6"/>
  <c r="H29" i="6"/>
  <c r="K388" i="6"/>
  <c r="J388" i="6"/>
  <c r="H388" i="6"/>
  <c r="K244" i="6"/>
  <c r="J244" i="6"/>
  <c r="H244" i="6"/>
  <c r="J100" i="6"/>
  <c r="K100" i="6"/>
  <c r="H100" i="6"/>
  <c r="J459" i="6"/>
  <c r="K459" i="6"/>
  <c r="H459" i="6"/>
  <c r="J315" i="6"/>
  <c r="K315" i="6"/>
  <c r="H315" i="6"/>
  <c r="J171" i="6"/>
  <c r="K171" i="6"/>
  <c r="H171" i="6"/>
  <c r="J27" i="6"/>
  <c r="K27" i="6"/>
  <c r="H27" i="6"/>
  <c r="K398" i="6"/>
  <c r="H398" i="6"/>
  <c r="J398" i="6"/>
  <c r="K254" i="6"/>
  <c r="H254" i="6"/>
  <c r="J254" i="6"/>
  <c r="J110" i="6"/>
  <c r="K110" i="6"/>
  <c r="H110" i="6"/>
  <c r="K469" i="6"/>
  <c r="J469" i="6"/>
  <c r="H469" i="6"/>
  <c r="K325" i="6"/>
  <c r="J325" i="6"/>
  <c r="H325" i="6"/>
  <c r="K181" i="6"/>
  <c r="J181" i="6"/>
  <c r="H181" i="6"/>
  <c r="K37" i="6"/>
  <c r="J37" i="6"/>
  <c r="H37" i="6"/>
  <c r="K465" i="6"/>
  <c r="J465" i="6"/>
  <c r="H465" i="6"/>
  <c r="K198" i="6"/>
  <c r="J198" i="6"/>
  <c r="H198" i="6"/>
  <c r="K480" i="6"/>
  <c r="J480" i="6"/>
  <c r="H480" i="6"/>
  <c r="K444" i="6"/>
  <c r="J444" i="6"/>
  <c r="H444" i="6"/>
  <c r="K300" i="6"/>
  <c r="J300" i="6"/>
  <c r="H300" i="6"/>
  <c r="K156" i="6"/>
  <c r="J156" i="6"/>
  <c r="H156" i="6"/>
  <c r="K515" i="6"/>
  <c r="H515" i="6"/>
  <c r="J515" i="6"/>
  <c r="K371" i="6"/>
  <c r="H371" i="6"/>
  <c r="J371" i="6"/>
  <c r="K227" i="6"/>
  <c r="H227" i="6"/>
  <c r="J227" i="6"/>
  <c r="K83" i="6"/>
  <c r="H83" i="6"/>
  <c r="J83" i="6"/>
  <c r="K418" i="6"/>
  <c r="H418" i="6"/>
  <c r="J418" i="6"/>
  <c r="K274" i="6"/>
  <c r="J274" i="6"/>
  <c r="H274" i="6"/>
  <c r="K130" i="6"/>
  <c r="J130" i="6"/>
  <c r="H130" i="6"/>
  <c r="K501" i="6"/>
  <c r="J501" i="6"/>
  <c r="H501" i="6"/>
  <c r="K357" i="6"/>
  <c r="J357" i="6"/>
  <c r="H357" i="6"/>
  <c r="J213" i="6"/>
  <c r="K213" i="6"/>
  <c r="H213" i="6"/>
  <c r="J69" i="6"/>
  <c r="K69" i="6"/>
  <c r="H69" i="6"/>
  <c r="K392" i="6"/>
  <c r="J392" i="6"/>
  <c r="H392" i="6"/>
  <c r="K248" i="6"/>
  <c r="J248" i="6"/>
  <c r="H248" i="6"/>
  <c r="K104" i="6"/>
  <c r="J104" i="6"/>
  <c r="H104" i="6"/>
  <c r="K463" i="6"/>
  <c r="J463" i="6"/>
  <c r="H463" i="6"/>
  <c r="K319" i="6"/>
  <c r="J319" i="6"/>
  <c r="H319" i="6"/>
  <c r="J175" i="6"/>
  <c r="K175" i="6"/>
  <c r="H175" i="6"/>
  <c r="H31" i="6"/>
  <c r="J31" i="6"/>
  <c r="K31" i="6"/>
  <c r="K378" i="6"/>
  <c r="J378" i="6"/>
  <c r="H378" i="6"/>
  <c r="K234" i="6"/>
  <c r="J234" i="6"/>
  <c r="H234" i="6"/>
  <c r="K90" i="6"/>
  <c r="J90" i="6"/>
  <c r="H90" i="6"/>
  <c r="J449" i="6"/>
  <c r="K449" i="6"/>
  <c r="H449" i="6"/>
  <c r="J305" i="6"/>
  <c r="K305" i="6"/>
  <c r="H305" i="6"/>
  <c r="J161" i="6"/>
  <c r="K161" i="6"/>
  <c r="H161" i="6"/>
  <c r="K520" i="6"/>
  <c r="J520" i="6"/>
  <c r="H520" i="6"/>
  <c r="K376" i="6"/>
  <c r="J376" i="6"/>
  <c r="H376" i="6"/>
  <c r="K232" i="6"/>
  <c r="J232" i="6"/>
  <c r="H232" i="6"/>
  <c r="J88" i="6"/>
  <c r="K88" i="6"/>
  <c r="H88" i="6"/>
  <c r="J447" i="6"/>
  <c r="K447" i="6"/>
  <c r="H447" i="6"/>
  <c r="J303" i="6"/>
  <c r="K303" i="6"/>
  <c r="H303" i="6"/>
  <c r="J159" i="6"/>
  <c r="K159" i="6"/>
  <c r="H159" i="6"/>
  <c r="K500" i="6"/>
  <c r="J500" i="6"/>
  <c r="H500" i="6"/>
  <c r="J386" i="6"/>
  <c r="H386" i="6"/>
  <c r="K386" i="6"/>
  <c r="H242" i="6"/>
  <c r="K242" i="6"/>
  <c r="J242" i="6"/>
  <c r="J98" i="6"/>
  <c r="H98" i="6"/>
  <c r="K98" i="6"/>
  <c r="K457" i="6"/>
  <c r="J457" i="6"/>
  <c r="H457" i="6"/>
  <c r="K313" i="6"/>
  <c r="J313" i="6"/>
  <c r="H313" i="6"/>
  <c r="K169" i="6"/>
  <c r="J169" i="6"/>
  <c r="H169" i="6"/>
  <c r="K25" i="6"/>
  <c r="J25" i="6"/>
  <c r="H25" i="6"/>
  <c r="G407" i="6"/>
  <c r="G284" i="6"/>
  <c r="G67" i="6"/>
  <c r="G324" i="6"/>
  <c r="G312" i="6"/>
  <c r="G432" i="6"/>
  <c r="G288" i="6"/>
  <c r="G144" i="6"/>
  <c r="G503" i="6"/>
  <c r="G359" i="6"/>
  <c r="G215" i="6"/>
  <c r="G71" i="6"/>
  <c r="G406" i="6"/>
  <c r="G262" i="6"/>
  <c r="G118" i="6"/>
  <c r="G489" i="6"/>
  <c r="G345" i="6"/>
  <c r="G201" i="6"/>
  <c r="G57" i="6"/>
  <c r="G380" i="6"/>
  <c r="G236" i="6"/>
  <c r="G92" i="6"/>
  <c r="G451" i="6"/>
  <c r="G307" i="6"/>
  <c r="G163" i="6"/>
  <c r="G510" i="6"/>
  <c r="G366" i="6"/>
  <c r="G222" i="6"/>
  <c r="G78" i="6"/>
  <c r="G437" i="6"/>
  <c r="G293" i="6"/>
  <c r="G149" i="6"/>
  <c r="G508" i="6"/>
  <c r="G364" i="6"/>
  <c r="G220" i="6"/>
  <c r="G76" i="6"/>
  <c r="G435" i="6"/>
  <c r="G291" i="6"/>
  <c r="G147" i="6"/>
  <c r="G518" i="6"/>
  <c r="G374" i="6"/>
  <c r="G230" i="6"/>
  <c r="G86" i="6"/>
  <c r="G445" i="6"/>
  <c r="G301" i="6"/>
  <c r="G157" i="6"/>
  <c r="G480" i="6"/>
  <c r="G420" i="6"/>
  <c r="G276" i="6"/>
  <c r="G132" i="6"/>
  <c r="G491" i="6"/>
  <c r="G347" i="6"/>
  <c r="G203" i="6"/>
  <c r="G59" i="6"/>
  <c r="G394" i="6"/>
  <c r="G250" i="6"/>
  <c r="G106" i="6"/>
  <c r="G477" i="6"/>
  <c r="G333" i="6"/>
  <c r="G189" i="6"/>
  <c r="G45" i="6"/>
  <c r="G368" i="6"/>
  <c r="G224" i="6"/>
  <c r="G80" i="6"/>
  <c r="G439" i="6"/>
  <c r="G295" i="6"/>
  <c r="G151" i="6"/>
  <c r="G498" i="6"/>
  <c r="G354" i="6"/>
  <c r="G210" i="6"/>
  <c r="G66" i="6"/>
  <c r="G425" i="6"/>
  <c r="G281" i="6"/>
  <c r="G137" i="6"/>
  <c r="G496" i="6"/>
  <c r="G352" i="6"/>
  <c r="G208" i="6"/>
  <c r="G64" i="6"/>
  <c r="G423" i="6"/>
  <c r="G279" i="6"/>
  <c r="G135" i="6"/>
  <c r="G506" i="6"/>
  <c r="G362" i="6"/>
  <c r="G218" i="6"/>
  <c r="G74" i="6"/>
  <c r="G433" i="6"/>
  <c r="G289" i="6"/>
  <c r="G145" i="6"/>
  <c r="G465" i="6"/>
  <c r="G321" i="6"/>
  <c r="G177" i="6"/>
  <c r="G33" i="6"/>
  <c r="G356" i="6"/>
  <c r="G212" i="6"/>
  <c r="G68" i="6"/>
  <c r="G427" i="6"/>
  <c r="G283" i="6"/>
  <c r="G139" i="6"/>
  <c r="G486" i="6"/>
  <c r="G342" i="6"/>
  <c r="G198" i="6"/>
  <c r="G54" i="6"/>
  <c r="G413" i="6"/>
  <c r="G269" i="6"/>
  <c r="G125" i="6"/>
  <c r="G484" i="6"/>
  <c r="G340" i="6"/>
  <c r="G196" i="6"/>
  <c r="G52" i="6"/>
  <c r="G411" i="6"/>
  <c r="G267" i="6"/>
  <c r="G123" i="6"/>
  <c r="G494" i="6"/>
  <c r="G350" i="6"/>
  <c r="G206" i="6"/>
  <c r="G62" i="6"/>
  <c r="G421" i="6"/>
  <c r="G277" i="6"/>
  <c r="G133" i="6"/>
  <c r="G335" i="6"/>
  <c r="G94" i="6"/>
  <c r="G323" i="6"/>
  <c r="G179" i="6"/>
  <c r="G35" i="6"/>
  <c r="G370" i="6"/>
  <c r="G226" i="6"/>
  <c r="G82" i="6"/>
  <c r="G453" i="6"/>
  <c r="G309" i="6"/>
  <c r="G165" i="6"/>
  <c r="G488" i="6"/>
  <c r="G344" i="6"/>
  <c r="G200" i="6"/>
  <c r="G56" i="6"/>
  <c r="G415" i="6"/>
  <c r="G271" i="6"/>
  <c r="G127" i="6"/>
  <c r="G474" i="6"/>
  <c r="G330" i="6"/>
  <c r="G186" i="6"/>
  <c r="G42" i="6"/>
  <c r="G401" i="6"/>
  <c r="G257" i="6"/>
  <c r="G113" i="6"/>
  <c r="G472" i="6"/>
  <c r="G328" i="6"/>
  <c r="G184" i="6"/>
  <c r="G40" i="6"/>
  <c r="G399" i="6"/>
  <c r="G255" i="6"/>
  <c r="G111" i="6"/>
  <c r="G482" i="6"/>
  <c r="G338" i="6"/>
  <c r="G194" i="6"/>
  <c r="G50" i="6"/>
  <c r="G409" i="6"/>
  <c r="G265" i="6"/>
  <c r="G121" i="6"/>
  <c r="G408" i="6"/>
  <c r="G191" i="6"/>
  <c r="G396" i="6"/>
  <c r="G514" i="6"/>
  <c r="G455" i="6"/>
  <c r="G358" i="6"/>
  <c r="G214" i="6"/>
  <c r="G70" i="6"/>
  <c r="G441" i="6"/>
  <c r="G297" i="6"/>
  <c r="G153" i="6"/>
  <c r="G476" i="6"/>
  <c r="G332" i="6"/>
  <c r="G188" i="6"/>
  <c r="G44" i="6"/>
  <c r="G403" i="6"/>
  <c r="G259" i="6"/>
  <c r="G115" i="6"/>
  <c r="G462" i="6"/>
  <c r="G318" i="6"/>
  <c r="G174" i="6"/>
  <c r="G30" i="6"/>
  <c r="G389" i="6"/>
  <c r="G245" i="6"/>
  <c r="G101" i="6"/>
  <c r="G460" i="6"/>
  <c r="G316" i="6"/>
  <c r="G172" i="6"/>
  <c r="G28" i="6"/>
  <c r="G387" i="6"/>
  <c r="G243" i="6"/>
  <c r="G99" i="6"/>
  <c r="G470" i="6"/>
  <c r="G326" i="6"/>
  <c r="G182" i="6"/>
  <c r="G38" i="6"/>
  <c r="G397" i="6"/>
  <c r="G253" i="6"/>
  <c r="G109" i="6"/>
  <c r="G264" i="6"/>
  <c r="G382" i="6"/>
  <c r="G108" i="6"/>
  <c r="G96" i="6"/>
  <c r="G516" i="6"/>
  <c r="G372" i="6"/>
  <c r="G228" i="6"/>
  <c r="G84" i="6"/>
  <c r="G443" i="6"/>
  <c r="G299" i="6"/>
  <c r="G155" i="6"/>
  <c r="G490" i="6"/>
  <c r="G346" i="6"/>
  <c r="G202" i="6"/>
  <c r="G58" i="6"/>
  <c r="G429" i="6"/>
  <c r="G285" i="6"/>
  <c r="G141" i="6"/>
  <c r="G464" i="6"/>
  <c r="G320" i="6"/>
  <c r="G176" i="6"/>
  <c r="G32" i="6"/>
  <c r="G391" i="6"/>
  <c r="G247" i="6"/>
  <c r="G103" i="6"/>
  <c r="G450" i="6"/>
  <c r="G306" i="6"/>
  <c r="G162" i="6"/>
  <c r="G377" i="6"/>
  <c r="G233" i="6"/>
  <c r="G89" i="6"/>
  <c r="G448" i="6"/>
  <c r="G304" i="6"/>
  <c r="G160" i="6"/>
  <c r="G519" i="6"/>
  <c r="G375" i="6"/>
  <c r="G231" i="6"/>
  <c r="G87" i="6"/>
  <c r="G458" i="6"/>
  <c r="G314" i="6"/>
  <c r="G170" i="6"/>
  <c r="G26" i="6"/>
  <c r="G385" i="6"/>
  <c r="G241" i="6"/>
  <c r="G97" i="6"/>
  <c r="G120" i="6"/>
  <c r="G47" i="6"/>
  <c r="G252" i="6"/>
  <c r="G384" i="6"/>
  <c r="G311" i="6"/>
  <c r="G504" i="6"/>
  <c r="G216" i="6"/>
  <c r="G72" i="6"/>
  <c r="G431" i="6"/>
  <c r="G287" i="6"/>
  <c r="G143" i="6"/>
  <c r="G478" i="6"/>
  <c r="G334" i="6"/>
  <c r="G190" i="6"/>
  <c r="G46" i="6"/>
  <c r="G417" i="6"/>
  <c r="G273" i="6"/>
  <c r="G129" i="6"/>
  <c r="G452" i="6"/>
  <c r="G308" i="6"/>
  <c r="G164" i="6"/>
  <c r="G512" i="6"/>
  <c r="G379" i="6"/>
  <c r="G235" i="6"/>
  <c r="G91" i="6"/>
  <c r="G438" i="6"/>
  <c r="G294" i="6"/>
  <c r="G150" i="6"/>
  <c r="G509" i="6"/>
  <c r="G365" i="6"/>
  <c r="G221" i="6"/>
  <c r="G77" i="6"/>
  <c r="G436" i="6"/>
  <c r="G292" i="6"/>
  <c r="G148" i="6"/>
  <c r="G507" i="6"/>
  <c r="G363" i="6"/>
  <c r="G219" i="6"/>
  <c r="G75" i="6"/>
  <c r="G446" i="6"/>
  <c r="G302" i="6"/>
  <c r="G158" i="6"/>
  <c r="G517" i="6"/>
  <c r="G373" i="6"/>
  <c r="G229" i="6"/>
  <c r="G85" i="6"/>
  <c r="G479" i="6"/>
  <c r="G238" i="6"/>
  <c r="G467" i="6"/>
  <c r="G240" i="6"/>
  <c r="G167" i="6"/>
  <c r="G360" i="6"/>
  <c r="G492" i="6"/>
  <c r="G348" i="6"/>
  <c r="G204" i="6"/>
  <c r="G60" i="6"/>
  <c r="G419" i="6"/>
  <c r="G275" i="6"/>
  <c r="G131" i="6"/>
  <c r="G466" i="6"/>
  <c r="G322" i="6"/>
  <c r="G178" i="6"/>
  <c r="G34" i="6"/>
  <c r="G405" i="6"/>
  <c r="G261" i="6"/>
  <c r="G117" i="6"/>
  <c r="G440" i="6"/>
  <c r="G296" i="6"/>
  <c r="G152" i="6"/>
  <c r="G511" i="6"/>
  <c r="G367" i="6"/>
  <c r="G223" i="6"/>
  <c r="G79" i="6"/>
  <c r="G426" i="6"/>
  <c r="G282" i="6"/>
  <c r="G138" i="6"/>
  <c r="G497" i="6"/>
  <c r="G353" i="6"/>
  <c r="G209" i="6"/>
  <c r="G65" i="6"/>
  <c r="G424" i="6"/>
  <c r="G280" i="6"/>
  <c r="G136" i="6"/>
  <c r="G495" i="6"/>
  <c r="G351" i="6"/>
  <c r="G207" i="6"/>
  <c r="G63" i="6"/>
  <c r="G434" i="6"/>
  <c r="G290" i="6"/>
  <c r="G146" i="6"/>
  <c r="G505" i="6"/>
  <c r="G361" i="6"/>
  <c r="G217" i="6"/>
  <c r="G73" i="6"/>
  <c r="G263" i="6"/>
  <c r="G166" i="6"/>
  <c r="G428" i="6"/>
  <c r="G211" i="6"/>
  <c r="G126" i="6"/>
  <c r="G485" i="6"/>
  <c r="G341" i="6"/>
  <c r="G197" i="6"/>
  <c r="G53" i="6"/>
  <c r="G412" i="6"/>
  <c r="G268" i="6"/>
  <c r="G124" i="6"/>
  <c r="G483" i="6"/>
  <c r="G339" i="6"/>
  <c r="G195" i="6"/>
  <c r="G51" i="6"/>
  <c r="G422" i="6"/>
  <c r="G278" i="6"/>
  <c r="G134" i="6"/>
  <c r="G493" i="6"/>
  <c r="G349" i="6"/>
  <c r="G205" i="6"/>
  <c r="G61" i="6"/>
  <c r="G192" i="6"/>
  <c r="G454" i="6"/>
  <c r="G249" i="6"/>
  <c r="G499" i="6"/>
  <c r="G270" i="6"/>
  <c r="G36" i="6"/>
  <c r="G395" i="6"/>
  <c r="G251" i="6"/>
  <c r="G107" i="6"/>
  <c r="G442" i="6"/>
  <c r="G298" i="6"/>
  <c r="G154" i="6"/>
  <c r="G502" i="6"/>
  <c r="G381" i="6"/>
  <c r="G237" i="6"/>
  <c r="G93" i="6"/>
  <c r="G416" i="6"/>
  <c r="G272" i="6"/>
  <c r="G128" i="6"/>
  <c r="G487" i="6"/>
  <c r="G343" i="6"/>
  <c r="G199" i="6"/>
  <c r="G55" i="6"/>
  <c r="G402" i="6"/>
  <c r="G258" i="6"/>
  <c r="G114" i="6"/>
  <c r="G473" i="6"/>
  <c r="G329" i="6"/>
  <c r="G185" i="6"/>
  <c r="G41" i="6"/>
  <c r="G400" i="6"/>
  <c r="G256" i="6"/>
  <c r="G112" i="6"/>
  <c r="G471" i="6"/>
  <c r="G327" i="6"/>
  <c r="G183" i="6"/>
  <c r="G39" i="6"/>
  <c r="G410" i="6"/>
  <c r="G266" i="6"/>
  <c r="G122" i="6"/>
  <c r="G481" i="6"/>
  <c r="G337" i="6"/>
  <c r="G193" i="6"/>
  <c r="G49" i="6"/>
  <c r="G336" i="6"/>
  <c r="G119" i="6"/>
  <c r="G393" i="6"/>
  <c r="G140" i="6"/>
  <c r="G414" i="6"/>
  <c r="G180" i="6"/>
  <c r="G168" i="6"/>
  <c r="G383" i="6"/>
  <c r="G239" i="6"/>
  <c r="G95" i="6"/>
  <c r="G430" i="6"/>
  <c r="G286" i="6"/>
  <c r="G142" i="6"/>
  <c r="G513" i="6"/>
  <c r="G369" i="6"/>
  <c r="G225" i="6"/>
  <c r="G81" i="6"/>
  <c r="G404" i="6"/>
  <c r="G260" i="6"/>
  <c r="G116" i="6"/>
  <c r="G475" i="6"/>
  <c r="G331" i="6"/>
  <c r="G187" i="6"/>
  <c r="G43" i="6"/>
  <c r="G390" i="6"/>
  <c r="G246" i="6"/>
  <c r="G102" i="6"/>
  <c r="G461" i="6"/>
  <c r="G317" i="6"/>
  <c r="G173" i="6"/>
  <c r="G29" i="6"/>
  <c r="G388" i="6"/>
  <c r="G244" i="6"/>
  <c r="G100" i="6"/>
  <c r="G459" i="6"/>
  <c r="G315" i="6"/>
  <c r="G171" i="6"/>
  <c r="G27" i="6"/>
  <c r="G398" i="6"/>
  <c r="G254" i="6"/>
  <c r="G110" i="6"/>
  <c r="G469" i="6"/>
  <c r="G325" i="6"/>
  <c r="G181" i="6"/>
  <c r="G37" i="6"/>
  <c r="G48" i="6"/>
  <c r="G310" i="6"/>
  <c r="G105" i="6"/>
  <c r="G355" i="6"/>
  <c r="G468" i="6"/>
  <c r="G456" i="6"/>
  <c r="G444" i="6"/>
  <c r="G300" i="6"/>
  <c r="G156" i="6"/>
  <c r="G515" i="6"/>
  <c r="G371" i="6"/>
  <c r="G227" i="6"/>
  <c r="G83" i="6"/>
  <c r="G418" i="6"/>
  <c r="G274" i="6"/>
  <c r="G130" i="6"/>
  <c r="G501" i="6"/>
  <c r="G357" i="6"/>
  <c r="G213" i="6"/>
  <c r="G69" i="6"/>
  <c r="G392" i="6"/>
  <c r="G248" i="6"/>
  <c r="G104" i="6"/>
  <c r="G463" i="6"/>
  <c r="G319" i="6"/>
  <c r="G175" i="6"/>
  <c r="G31" i="6"/>
  <c r="G378" i="6"/>
  <c r="G234" i="6"/>
  <c r="G90" i="6"/>
  <c r="G449" i="6"/>
  <c r="G305" i="6"/>
  <c r="G161" i="6"/>
  <c r="G520" i="6"/>
  <c r="G376" i="6"/>
  <c r="G232" i="6"/>
  <c r="G88" i="6"/>
  <c r="G447" i="6"/>
  <c r="G303" i="6"/>
  <c r="G159" i="6"/>
  <c r="G500" i="6"/>
  <c r="G386" i="6"/>
  <c r="G242" i="6"/>
  <c r="G98" i="6"/>
  <c r="G457" i="6"/>
  <c r="G313" i="6"/>
  <c r="G169" i="6"/>
  <c r="G25" i="6"/>
  <c r="E13" i="6"/>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Z97" i="7"/>
  <c r="Z98" i="7"/>
  <c r="Z99" i="7"/>
  <c r="Z100" i="7"/>
  <c r="Z101" i="7"/>
  <c r="Z102" i="7"/>
  <c r="Z103" i="7"/>
  <c r="Z104" i="7"/>
  <c r="Z105" i="7"/>
  <c r="Z106" i="7"/>
  <c r="Z107" i="7"/>
  <c r="Z108" i="7"/>
  <c r="Z109" i="7"/>
  <c r="Z110" i="7"/>
  <c r="Z111" i="7"/>
  <c r="Z112" i="7"/>
  <c r="Z113" i="7"/>
  <c r="Z114" i="7"/>
  <c r="Z115" i="7"/>
  <c r="Z116" i="7"/>
  <c r="Z117" i="7"/>
  <c r="Z118" i="7"/>
  <c r="Z119" i="7"/>
  <c r="Z120" i="7"/>
  <c r="Z121" i="7"/>
  <c r="Z122" i="7"/>
  <c r="Z123" i="7"/>
  <c r="Z124" i="7"/>
  <c r="Z125" i="7"/>
  <c r="Z126" i="7"/>
  <c r="Z127" i="7"/>
  <c r="Z128" i="7"/>
  <c r="Z129" i="7"/>
  <c r="Z130" i="7"/>
  <c r="Z131" i="7"/>
  <c r="Z132" i="7"/>
  <c r="Z133" i="7"/>
  <c r="Z134" i="7"/>
  <c r="Z135" i="7"/>
  <c r="Z136" i="7"/>
  <c r="Z137" i="7"/>
  <c r="Z138" i="7"/>
  <c r="Z139" i="7"/>
  <c r="Z140" i="7"/>
  <c r="Z141" i="7"/>
  <c r="Z142" i="7"/>
  <c r="Z143" i="7"/>
  <c r="Z144" i="7"/>
  <c r="Z145" i="7"/>
  <c r="Z146" i="7"/>
  <c r="Z147" i="7"/>
  <c r="Z148" i="7"/>
  <c r="Z149" i="7"/>
  <c r="Z150" i="7"/>
  <c r="Z151" i="7"/>
  <c r="Z152" i="7"/>
  <c r="Z153" i="7"/>
  <c r="Z154" i="7"/>
  <c r="Z155" i="7"/>
  <c r="Z156" i="7"/>
  <c r="Z157" i="7"/>
  <c r="Z158" i="7"/>
  <c r="Z159" i="7"/>
  <c r="Z160" i="7"/>
  <c r="Z161" i="7"/>
  <c r="Z162" i="7"/>
  <c r="Z163" i="7"/>
  <c r="Z164" i="7"/>
  <c r="Z165" i="7"/>
  <c r="Z166" i="7"/>
  <c r="Z167" i="7"/>
  <c r="Z168" i="7"/>
  <c r="Z169" i="7"/>
  <c r="Z170" i="7"/>
  <c r="Z171" i="7"/>
  <c r="Z172" i="7"/>
  <c r="Z173" i="7"/>
  <c r="Z174" i="7"/>
  <c r="Z175" i="7"/>
  <c r="Z176" i="7"/>
  <c r="Z177" i="7"/>
  <c r="Z178" i="7"/>
  <c r="Z179" i="7"/>
  <c r="Z180" i="7"/>
  <c r="Z181" i="7"/>
  <c r="Z182" i="7"/>
  <c r="Z183" i="7"/>
  <c r="Z184" i="7"/>
  <c r="Z185" i="7"/>
  <c r="Z186" i="7"/>
  <c r="Z187" i="7"/>
  <c r="Z188" i="7"/>
  <c r="Z189" i="7"/>
  <c r="Z190" i="7"/>
  <c r="Z191" i="7"/>
  <c r="Z192" i="7"/>
  <c r="Z193" i="7"/>
  <c r="Z194" i="7"/>
  <c r="Z195" i="7"/>
  <c r="Z196" i="7"/>
  <c r="Z197" i="7"/>
  <c r="Z198" i="7"/>
  <c r="Z199" i="7"/>
  <c r="Z200" i="7"/>
  <c r="Z201" i="7"/>
  <c r="Z202" i="7"/>
  <c r="Z203" i="7"/>
  <c r="Z204" i="7"/>
  <c r="Z205" i="7"/>
  <c r="Z206" i="7"/>
  <c r="Z207" i="7"/>
  <c r="Z208" i="7"/>
  <c r="Z209" i="7"/>
  <c r="Z210" i="7"/>
  <c r="Z211" i="7"/>
  <c r="Z212" i="7"/>
  <c r="Z213" i="7"/>
  <c r="Z214" i="7"/>
  <c r="Z215" i="7"/>
  <c r="Z216" i="7"/>
  <c r="Z217" i="7"/>
  <c r="Z218" i="7"/>
  <c r="Z219" i="7"/>
  <c r="Z220" i="7"/>
  <c r="Z221" i="7"/>
  <c r="Z222" i="7"/>
  <c r="Z223" i="7"/>
  <c r="Z224" i="7"/>
  <c r="Z225" i="7"/>
  <c r="Z226" i="7"/>
  <c r="Z227" i="7"/>
  <c r="Z228" i="7"/>
  <c r="Z229" i="7"/>
  <c r="Z230" i="7"/>
  <c r="Z231" i="7"/>
  <c r="Z232" i="7"/>
  <c r="Z233" i="7"/>
  <c r="Z234" i="7"/>
  <c r="Z235" i="7"/>
  <c r="Z236" i="7"/>
  <c r="Z237" i="7"/>
  <c r="Z238" i="7"/>
  <c r="Z239" i="7"/>
  <c r="Z240" i="7"/>
  <c r="Z241" i="7"/>
  <c r="Z242" i="7"/>
  <c r="Z243" i="7"/>
  <c r="Z244" i="7"/>
  <c r="Z245" i="7"/>
  <c r="Z246" i="7"/>
  <c r="Z247" i="7"/>
  <c r="Z248" i="7"/>
  <c r="Z249" i="7"/>
  <c r="Z250" i="7"/>
  <c r="Z251" i="7"/>
  <c r="Z252" i="7"/>
  <c r="Z253" i="7"/>
  <c r="Z254" i="7"/>
  <c r="Z255" i="7"/>
  <c r="Z256" i="7"/>
  <c r="Z257" i="7"/>
  <c r="Z258" i="7"/>
  <c r="Z259" i="7"/>
  <c r="Z260" i="7"/>
  <c r="Z261" i="7"/>
  <c r="Z262" i="7"/>
  <c r="Z263" i="7"/>
  <c r="Z264" i="7"/>
  <c r="Z265" i="7"/>
  <c r="Z266" i="7"/>
  <c r="Z267" i="7"/>
  <c r="Z268" i="7"/>
  <c r="Z269" i="7"/>
  <c r="Z270" i="7"/>
  <c r="Z271" i="7"/>
  <c r="Z272" i="7"/>
  <c r="Z273" i="7"/>
  <c r="Z274" i="7"/>
  <c r="Z275" i="7"/>
  <c r="Z276" i="7"/>
  <c r="Z277" i="7"/>
  <c r="Z278" i="7"/>
  <c r="Z279" i="7"/>
  <c r="Z280" i="7"/>
  <c r="Z281" i="7"/>
  <c r="Z282" i="7"/>
  <c r="Z283" i="7"/>
  <c r="Z284" i="7"/>
  <c r="Z285" i="7"/>
  <c r="Z286" i="7"/>
  <c r="Z287" i="7"/>
  <c r="Z288" i="7"/>
  <c r="Z289" i="7"/>
  <c r="Z290" i="7"/>
  <c r="Z291" i="7"/>
  <c r="Z292" i="7"/>
  <c r="Z293" i="7"/>
  <c r="Z294" i="7"/>
  <c r="Z295" i="7"/>
  <c r="Z296" i="7"/>
  <c r="Z297" i="7"/>
  <c r="Z298" i="7"/>
  <c r="Z299" i="7"/>
  <c r="Z300" i="7"/>
  <c r="Z301" i="7"/>
  <c r="Z302" i="7"/>
  <c r="Z303" i="7"/>
  <c r="Z304" i="7"/>
  <c r="Z305" i="7"/>
  <c r="Z306" i="7"/>
  <c r="Z307" i="7"/>
  <c r="Z308" i="7"/>
  <c r="Z309" i="7"/>
  <c r="Z310" i="7"/>
  <c r="Z311" i="7"/>
  <c r="Z312" i="7"/>
  <c r="Z313" i="7"/>
  <c r="Z314" i="7"/>
  <c r="Z315" i="7"/>
  <c r="Z316" i="7"/>
  <c r="Z317" i="7"/>
  <c r="Z318" i="7"/>
  <c r="Z319" i="7"/>
  <c r="Z320" i="7"/>
  <c r="Z321" i="7"/>
  <c r="Z322" i="7"/>
  <c r="Z323" i="7"/>
  <c r="Z324" i="7"/>
  <c r="Z325" i="7"/>
  <c r="Z326" i="7"/>
  <c r="Z327" i="7"/>
  <c r="Z328" i="7"/>
  <c r="Z329" i="7"/>
  <c r="Z330" i="7"/>
  <c r="Z331" i="7"/>
  <c r="Z332" i="7"/>
  <c r="Z333" i="7"/>
  <c r="Z334" i="7"/>
  <c r="Z335" i="7"/>
  <c r="Z336" i="7"/>
  <c r="Z337" i="7"/>
  <c r="Z338" i="7"/>
  <c r="Z339" i="7"/>
  <c r="Z340" i="7"/>
  <c r="Z341" i="7"/>
  <c r="Z342" i="7"/>
  <c r="Z343" i="7"/>
  <c r="Z344" i="7"/>
  <c r="Z345" i="7"/>
  <c r="Z346" i="7"/>
  <c r="Z347" i="7"/>
  <c r="Z348" i="7"/>
  <c r="Z349" i="7"/>
  <c r="Z350" i="7"/>
  <c r="Z351" i="7"/>
  <c r="Z352" i="7"/>
  <c r="Z353" i="7"/>
  <c r="Z354" i="7"/>
  <c r="Z355" i="7"/>
  <c r="Z356" i="7"/>
  <c r="Z357" i="7"/>
  <c r="Z358" i="7"/>
  <c r="Z359" i="7"/>
  <c r="Z360" i="7"/>
  <c r="Z361" i="7"/>
  <c r="Z362" i="7"/>
  <c r="Z363" i="7"/>
  <c r="Z364" i="7"/>
  <c r="Z365" i="7"/>
  <c r="Z366" i="7"/>
  <c r="Z367" i="7"/>
  <c r="Z368" i="7"/>
  <c r="Z369" i="7"/>
  <c r="Z370" i="7"/>
  <c r="Z371" i="7"/>
  <c r="Z372" i="7"/>
  <c r="Z373" i="7"/>
  <c r="Z374" i="7"/>
  <c r="Z375" i="7"/>
  <c r="Z376" i="7"/>
  <c r="Z377" i="7"/>
  <c r="Z378" i="7"/>
  <c r="Z379" i="7"/>
  <c r="Z380" i="7"/>
  <c r="Z381" i="7"/>
  <c r="Z382" i="7"/>
  <c r="Z383" i="7"/>
  <c r="Z384" i="7"/>
  <c r="Z385" i="7"/>
  <c r="Z386" i="7"/>
  <c r="Z387" i="7"/>
  <c r="Z388" i="7"/>
  <c r="Z389" i="7"/>
  <c r="Z390" i="7"/>
  <c r="Z391" i="7"/>
  <c r="Z392" i="7"/>
  <c r="Z393" i="7"/>
  <c r="Z394" i="7"/>
  <c r="Z395" i="7"/>
  <c r="Z396" i="7"/>
  <c r="Z397" i="7"/>
  <c r="Z398" i="7"/>
  <c r="Z399" i="7"/>
  <c r="Z400" i="7"/>
  <c r="Z401" i="7"/>
  <c r="Z402" i="7"/>
  <c r="Z403" i="7"/>
  <c r="Z404" i="7"/>
  <c r="Z405" i="7"/>
  <c r="Z406" i="7"/>
  <c r="Z407" i="7"/>
  <c r="Z408" i="7"/>
  <c r="Z409" i="7"/>
  <c r="Z410" i="7"/>
  <c r="Z411" i="7"/>
  <c r="Z412" i="7"/>
  <c r="Z413" i="7"/>
  <c r="Z414" i="7"/>
  <c r="Z415" i="7"/>
  <c r="Z416" i="7"/>
  <c r="Z417" i="7"/>
  <c r="Z418" i="7"/>
  <c r="Z419" i="7"/>
  <c r="Z420" i="7"/>
  <c r="Z421" i="7"/>
  <c r="Z422" i="7"/>
  <c r="Z423" i="7"/>
  <c r="Z424" i="7"/>
  <c r="Z425" i="7"/>
  <c r="Z426" i="7"/>
  <c r="Z427" i="7"/>
  <c r="Z428" i="7"/>
  <c r="Z429" i="7"/>
  <c r="Z430" i="7"/>
  <c r="Z431" i="7"/>
  <c r="Z432" i="7"/>
  <c r="Z433" i="7"/>
  <c r="Z434" i="7"/>
  <c r="Z435" i="7"/>
  <c r="Z436" i="7"/>
  <c r="Z437" i="7"/>
  <c r="Z438" i="7"/>
  <c r="Z439" i="7"/>
  <c r="Z440" i="7"/>
  <c r="Z441" i="7"/>
  <c r="Z442" i="7"/>
  <c r="Z443" i="7"/>
  <c r="Z444" i="7"/>
  <c r="Z445" i="7"/>
  <c r="Z446" i="7"/>
  <c r="Z447" i="7"/>
  <c r="Z448" i="7"/>
  <c r="Z449" i="7"/>
  <c r="Z450" i="7"/>
  <c r="Z451" i="7"/>
  <c r="Z452" i="7"/>
  <c r="Z453" i="7"/>
  <c r="Z454" i="7"/>
  <c r="Z455" i="7"/>
  <c r="Z456" i="7"/>
  <c r="Z457" i="7"/>
  <c r="Z458" i="7"/>
  <c r="Z459" i="7"/>
  <c r="Z460" i="7"/>
  <c r="Z461" i="7"/>
  <c r="Z462" i="7"/>
  <c r="Z463" i="7"/>
  <c r="Z464" i="7"/>
  <c r="Z465" i="7"/>
  <c r="Z466" i="7"/>
  <c r="Z467" i="7"/>
  <c r="Z468" i="7"/>
  <c r="Z469" i="7"/>
  <c r="Z470" i="7"/>
  <c r="Z471" i="7"/>
  <c r="Z472" i="7"/>
  <c r="Z473" i="7"/>
  <c r="Z474" i="7"/>
  <c r="Z475" i="7"/>
  <c r="Z476" i="7"/>
  <c r="Z477" i="7"/>
  <c r="Z478" i="7"/>
  <c r="Z479" i="7"/>
  <c r="Z480" i="7"/>
  <c r="Z481" i="7"/>
  <c r="Z482" i="7"/>
  <c r="Z483" i="7"/>
  <c r="Z484" i="7"/>
  <c r="Z485" i="7"/>
  <c r="Z486" i="7"/>
  <c r="Z487" i="7"/>
  <c r="Z488" i="7"/>
  <c r="Z489" i="7"/>
  <c r="Z490" i="7"/>
  <c r="Z491" i="7"/>
  <c r="Z492" i="7"/>
  <c r="Z493" i="7"/>
  <c r="Z494" i="7"/>
  <c r="Z495" i="7"/>
  <c r="Z496" i="7"/>
  <c r="Z497" i="7"/>
  <c r="Z498" i="7"/>
  <c r="Z499" i="7"/>
  <c r="Z500" i="7"/>
  <c r="Z501" i="7"/>
  <c r="Z502" i="7"/>
  <c r="Z503" i="7"/>
  <c r="Z504" i="7"/>
  <c r="Z505" i="7"/>
  <c r="Z506" i="7"/>
  <c r="Z507" i="7"/>
  <c r="Z508" i="7"/>
  <c r="Z509" i="7"/>
  <c r="Z510" i="7"/>
  <c r="Z511" i="7"/>
  <c r="Z512" i="7"/>
  <c r="Z513" i="7"/>
  <c r="Z514" i="7"/>
  <c r="Z515" i="7"/>
  <c r="Z516" i="7"/>
  <c r="Z517" i="7"/>
  <c r="Z518" i="7"/>
  <c r="Z519" i="7"/>
  <c r="Z520" i="7"/>
  <c r="C18" i="3"/>
  <c r="K31" i="3" s="1"/>
  <c r="C19" i="3"/>
  <c r="K32" i="3" s="1"/>
  <c r="C20" i="3"/>
  <c r="K33" i="3" s="1"/>
  <c r="C21" i="3"/>
  <c r="K34" i="3" s="1"/>
  <c r="C22" i="3"/>
  <c r="K35" i="3" s="1"/>
  <c r="C23" i="3"/>
  <c r="K36" i="3" s="1"/>
  <c r="C24" i="3"/>
  <c r="K37" i="3" s="1"/>
  <c r="C25" i="3"/>
  <c r="K38" i="3" s="1"/>
  <c r="C26" i="3"/>
  <c r="K39" i="3" s="1"/>
  <c r="C27" i="3"/>
  <c r="K40" i="3" s="1"/>
  <c r="C28" i="3"/>
  <c r="K41" i="3" s="1"/>
  <c r="C29" i="3"/>
  <c r="K42" i="3" s="1"/>
  <c r="C30" i="3"/>
  <c r="K43" i="3" s="1"/>
  <c r="C31" i="3"/>
  <c r="K44" i="3" s="1"/>
  <c r="C32" i="3"/>
  <c r="K45" i="3" s="1"/>
  <c r="C33" i="3"/>
  <c r="K46" i="3" s="1"/>
  <c r="C34" i="3"/>
  <c r="K47" i="3" s="1"/>
  <c r="C35" i="3"/>
  <c r="K48" i="3" s="1"/>
  <c r="C36" i="3"/>
  <c r="K49" i="3" s="1"/>
  <c r="C37" i="3"/>
  <c r="K50" i="3" s="1"/>
  <c r="C38" i="3"/>
  <c r="K51" i="3" s="1"/>
  <c r="C39" i="3"/>
  <c r="K52" i="3" s="1"/>
  <c r="C40" i="3"/>
  <c r="K53" i="3" s="1"/>
  <c r="C41" i="3"/>
  <c r="K54" i="3" s="1"/>
  <c r="C42" i="3"/>
  <c r="K55" i="3" s="1"/>
  <c r="C43" i="3"/>
  <c r="K56" i="3" s="1"/>
  <c r="C44" i="3"/>
  <c r="K57" i="3" s="1"/>
  <c r="C45" i="3"/>
  <c r="K58" i="3" s="1"/>
  <c r="C46" i="3"/>
  <c r="K59" i="3" s="1"/>
  <c r="C47" i="3"/>
  <c r="K60" i="3" s="1"/>
  <c r="C48" i="3"/>
  <c r="K61" i="3" s="1"/>
  <c r="C49" i="3"/>
  <c r="K62" i="3" s="1"/>
  <c r="C50" i="3"/>
  <c r="K63" i="3" s="1"/>
  <c r="C51" i="3"/>
  <c r="K64" i="3" s="1"/>
  <c r="C52" i="3"/>
  <c r="K65" i="3" s="1"/>
  <c r="C53" i="3"/>
  <c r="K66" i="3" s="1"/>
  <c r="C54" i="3"/>
  <c r="K67" i="3" s="1"/>
  <c r="C55" i="3"/>
  <c r="K68" i="3" s="1"/>
  <c r="C56" i="3"/>
  <c r="K69" i="3" s="1"/>
  <c r="C57" i="3"/>
  <c r="K70" i="3" s="1"/>
  <c r="C58" i="3"/>
  <c r="K71" i="3" s="1"/>
  <c r="C59" i="3"/>
  <c r="K72" i="3" s="1"/>
  <c r="C60" i="3"/>
  <c r="K73" i="3" s="1"/>
  <c r="C61" i="3"/>
  <c r="K74" i="3" s="1"/>
  <c r="C62" i="3"/>
  <c r="K75" i="3" s="1"/>
  <c r="C63" i="3"/>
  <c r="K76" i="3" s="1"/>
  <c r="C64" i="3"/>
  <c r="K77" i="3" s="1"/>
  <c r="C65" i="3"/>
  <c r="K78" i="3" s="1"/>
  <c r="C66" i="3"/>
  <c r="K79" i="3" s="1"/>
  <c r="C67" i="3"/>
  <c r="K80" i="3" s="1"/>
  <c r="C68" i="3"/>
  <c r="K81" i="3" s="1"/>
  <c r="C69" i="3"/>
  <c r="K82" i="3" s="1"/>
  <c r="C70" i="3"/>
  <c r="K83" i="3" s="1"/>
  <c r="C71" i="3"/>
  <c r="K84" i="3" s="1"/>
  <c r="C72" i="3"/>
  <c r="K85" i="3" s="1"/>
  <c r="C73" i="3"/>
  <c r="K86" i="3" s="1"/>
  <c r="C74" i="3"/>
  <c r="K87" i="3" s="1"/>
  <c r="C75" i="3"/>
  <c r="K88" i="3" s="1"/>
  <c r="C76" i="3"/>
  <c r="K89" i="3" s="1"/>
  <c r="C77" i="3"/>
  <c r="K90" i="3" s="1"/>
  <c r="C78" i="3"/>
  <c r="K91" i="3" s="1"/>
  <c r="C79" i="3"/>
  <c r="K92" i="3" s="1"/>
  <c r="C80" i="3"/>
  <c r="K93" i="3" s="1"/>
  <c r="C81" i="3"/>
  <c r="K94" i="3" s="1"/>
  <c r="C82" i="3"/>
  <c r="K95" i="3" s="1"/>
  <c r="C83" i="3"/>
  <c r="K96" i="3" s="1"/>
  <c r="C84" i="3"/>
  <c r="K97" i="3" s="1"/>
  <c r="C85" i="3"/>
  <c r="K98" i="3" s="1"/>
  <c r="C86" i="3"/>
  <c r="K99" i="3" s="1"/>
  <c r="C87" i="3"/>
  <c r="K100" i="3" s="1"/>
  <c r="C88" i="3"/>
  <c r="K101" i="3" s="1"/>
  <c r="C89" i="3"/>
  <c r="K102" i="3" s="1"/>
  <c r="C90" i="3"/>
  <c r="K103" i="3" s="1"/>
  <c r="C91" i="3"/>
  <c r="K104" i="3" s="1"/>
  <c r="C92" i="3"/>
  <c r="K105" i="3" s="1"/>
  <c r="C93" i="3"/>
  <c r="K106" i="3" s="1"/>
  <c r="C94" i="3"/>
  <c r="K107" i="3" s="1"/>
  <c r="C95" i="3"/>
  <c r="K108" i="3" s="1"/>
  <c r="C96" i="3"/>
  <c r="K109" i="3" s="1"/>
  <c r="C97" i="3"/>
  <c r="K110" i="3" s="1"/>
  <c r="C98" i="3"/>
  <c r="K111" i="3" s="1"/>
  <c r="C99" i="3"/>
  <c r="K112" i="3" s="1"/>
  <c r="C100" i="3"/>
  <c r="K113" i="3" s="1"/>
  <c r="C101" i="3"/>
  <c r="K114" i="3" s="1"/>
  <c r="C102" i="3"/>
  <c r="K115" i="3" s="1"/>
  <c r="C103" i="3"/>
  <c r="K116" i="3" s="1"/>
  <c r="C104" i="3"/>
  <c r="K117" i="3" s="1"/>
  <c r="C105" i="3"/>
  <c r="K118" i="3" s="1"/>
  <c r="C106" i="3"/>
  <c r="K119" i="3" s="1"/>
  <c r="C107" i="3"/>
  <c r="K120" i="3" s="1"/>
  <c r="C108" i="3"/>
  <c r="K121" i="3" s="1"/>
  <c r="C109" i="3"/>
  <c r="K122" i="3" s="1"/>
  <c r="C110" i="3"/>
  <c r="K123" i="3" s="1"/>
  <c r="C111" i="3"/>
  <c r="K124" i="3" s="1"/>
  <c r="C112" i="3"/>
  <c r="K125" i="3" s="1"/>
  <c r="C113" i="3"/>
  <c r="K126" i="3" s="1"/>
  <c r="C114" i="3"/>
  <c r="K127" i="3" s="1"/>
  <c r="C115" i="3"/>
  <c r="K128" i="3" s="1"/>
  <c r="C116" i="3"/>
  <c r="K129" i="3" s="1"/>
  <c r="C117" i="3"/>
  <c r="K130" i="3" s="1"/>
  <c r="C118" i="3"/>
  <c r="K131" i="3" s="1"/>
  <c r="C119" i="3"/>
  <c r="K132" i="3" s="1"/>
  <c r="C120" i="3"/>
  <c r="K133" i="3" s="1"/>
  <c r="C121" i="3"/>
  <c r="K134" i="3" s="1"/>
  <c r="C122" i="3"/>
  <c r="K135" i="3" s="1"/>
  <c r="C123" i="3"/>
  <c r="K136" i="3" s="1"/>
  <c r="C124" i="3"/>
  <c r="K137" i="3" s="1"/>
  <c r="C125" i="3"/>
  <c r="K138" i="3" s="1"/>
  <c r="C126" i="3"/>
  <c r="K139" i="3" s="1"/>
  <c r="C127" i="3"/>
  <c r="K140" i="3" s="1"/>
  <c r="C128" i="3"/>
  <c r="K141" i="3" s="1"/>
  <c r="C129" i="3"/>
  <c r="K142" i="3" s="1"/>
  <c r="C130" i="3"/>
  <c r="K143" i="3" s="1"/>
  <c r="C131" i="3"/>
  <c r="K144" i="3" s="1"/>
  <c r="C132" i="3"/>
  <c r="K145" i="3" s="1"/>
  <c r="C133" i="3"/>
  <c r="K146" i="3" s="1"/>
  <c r="C134" i="3"/>
  <c r="K147" i="3" s="1"/>
  <c r="C135" i="3"/>
  <c r="K148" i="3" s="1"/>
  <c r="C136" i="3"/>
  <c r="K149" i="3" s="1"/>
  <c r="C137" i="3"/>
  <c r="K150" i="3" s="1"/>
  <c r="C138" i="3"/>
  <c r="K151" i="3" s="1"/>
  <c r="C139" i="3"/>
  <c r="K152" i="3" s="1"/>
  <c r="C140" i="3"/>
  <c r="K153" i="3" s="1"/>
  <c r="C141" i="3"/>
  <c r="K154" i="3" s="1"/>
  <c r="C142" i="3"/>
  <c r="K155" i="3" s="1"/>
  <c r="C143" i="3"/>
  <c r="K156" i="3" s="1"/>
  <c r="C144" i="3"/>
  <c r="K157" i="3" s="1"/>
  <c r="C145" i="3"/>
  <c r="K158" i="3" s="1"/>
  <c r="C146" i="3"/>
  <c r="K159" i="3" s="1"/>
  <c r="C147" i="3"/>
  <c r="K160" i="3" s="1"/>
  <c r="C148" i="3"/>
  <c r="K161" i="3" s="1"/>
  <c r="C149" i="3"/>
  <c r="K162" i="3" s="1"/>
  <c r="C150" i="3"/>
  <c r="K163" i="3" s="1"/>
  <c r="C151" i="3"/>
  <c r="K164" i="3" s="1"/>
  <c r="C152" i="3"/>
  <c r="K165" i="3" s="1"/>
  <c r="C153" i="3"/>
  <c r="K166" i="3" s="1"/>
  <c r="C154" i="3"/>
  <c r="K167" i="3" s="1"/>
  <c r="C155" i="3"/>
  <c r="K168" i="3" s="1"/>
  <c r="C156" i="3"/>
  <c r="K169" i="3" s="1"/>
  <c r="C157" i="3"/>
  <c r="K170" i="3" s="1"/>
  <c r="C158" i="3"/>
  <c r="K171" i="3" s="1"/>
  <c r="C159" i="3"/>
  <c r="K172" i="3" s="1"/>
  <c r="C160" i="3"/>
  <c r="K173" i="3" s="1"/>
  <c r="C161" i="3"/>
  <c r="K174" i="3" s="1"/>
  <c r="C162" i="3"/>
  <c r="K175" i="3" s="1"/>
  <c r="C163" i="3"/>
  <c r="K176" i="3" s="1"/>
  <c r="C164" i="3"/>
  <c r="K177" i="3" s="1"/>
  <c r="C165" i="3"/>
  <c r="K178" i="3" s="1"/>
  <c r="C166" i="3"/>
  <c r="K179" i="3" s="1"/>
  <c r="C167" i="3"/>
  <c r="K180" i="3" s="1"/>
  <c r="C168" i="3"/>
  <c r="K181" i="3" s="1"/>
  <c r="C169" i="3"/>
  <c r="K182" i="3" s="1"/>
  <c r="C170" i="3"/>
  <c r="K183" i="3" s="1"/>
  <c r="C171" i="3"/>
  <c r="K184" i="3" s="1"/>
  <c r="C172" i="3"/>
  <c r="K185" i="3" s="1"/>
  <c r="C173" i="3"/>
  <c r="K186" i="3" s="1"/>
  <c r="C174" i="3"/>
  <c r="K187" i="3" s="1"/>
  <c r="C175" i="3"/>
  <c r="K188" i="3" s="1"/>
  <c r="C176" i="3"/>
  <c r="K189" i="3" s="1"/>
  <c r="C177" i="3"/>
  <c r="K190" i="3" s="1"/>
  <c r="C178" i="3"/>
  <c r="K191" i="3" s="1"/>
  <c r="C179" i="3"/>
  <c r="K192" i="3" s="1"/>
  <c r="C180" i="3"/>
  <c r="K193" i="3" s="1"/>
  <c r="C181" i="3"/>
  <c r="K194" i="3" s="1"/>
  <c r="C182" i="3"/>
  <c r="K195" i="3" s="1"/>
  <c r="C183" i="3"/>
  <c r="K196" i="3" s="1"/>
  <c r="C184" i="3"/>
  <c r="K197" i="3" s="1"/>
  <c r="C185" i="3"/>
  <c r="K198" i="3" s="1"/>
  <c r="C186" i="3"/>
  <c r="K199" i="3" s="1"/>
  <c r="C187" i="3"/>
  <c r="K200" i="3" s="1"/>
  <c r="C188" i="3"/>
  <c r="K201" i="3" s="1"/>
  <c r="C189" i="3"/>
  <c r="K202" i="3" s="1"/>
  <c r="C190" i="3"/>
  <c r="K203" i="3" s="1"/>
  <c r="C191" i="3"/>
  <c r="K204" i="3" s="1"/>
  <c r="C192" i="3"/>
  <c r="K205" i="3" s="1"/>
  <c r="C193" i="3"/>
  <c r="K206" i="3" s="1"/>
  <c r="C194" i="3"/>
  <c r="K207" i="3" s="1"/>
  <c r="C195" i="3"/>
  <c r="K208" i="3" s="1"/>
  <c r="C196" i="3"/>
  <c r="K209" i="3" s="1"/>
  <c r="C197" i="3"/>
  <c r="K210" i="3" s="1"/>
  <c r="C198" i="3"/>
  <c r="K211" i="3" s="1"/>
  <c r="C199" i="3"/>
  <c r="K212" i="3" s="1"/>
  <c r="C200" i="3"/>
  <c r="K213" i="3" s="1"/>
  <c r="C201" i="3"/>
  <c r="K214" i="3" s="1"/>
  <c r="C202" i="3"/>
  <c r="K215" i="3" s="1"/>
  <c r="C203" i="3"/>
  <c r="K216" i="3" s="1"/>
  <c r="C204" i="3"/>
  <c r="K217" i="3" s="1"/>
  <c r="C205" i="3"/>
  <c r="K218" i="3" s="1"/>
  <c r="C206" i="3"/>
  <c r="K219" i="3" s="1"/>
  <c r="C207" i="3"/>
  <c r="K220" i="3" s="1"/>
  <c r="C208" i="3"/>
  <c r="K221" i="3" s="1"/>
  <c r="C209" i="3"/>
  <c r="K222" i="3" s="1"/>
  <c r="C210" i="3"/>
  <c r="K223" i="3" s="1"/>
  <c r="C211" i="3"/>
  <c r="K224" i="3" s="1"/>
  <c r="C212" i="3"/>
  <c r="K225" i="3" s="1"/>
  <c r="C213" i="3"/>
  <c r="K226" i="3" s="1"/>
  <c r="C214" i="3"/>
  <c r="K227" i="3" s="1"/>
  <c r="C215" i="3"/>
  <c r="K228" i="3" s="1"/>
  <c r="C216" i="3"/>
  <c r="K229" i="3" s="1"/>
  <c r="C217" i="3"/>
  <c r="K230" i="3" s="1"/>
  <c r="C218" i="3"/>
  <c r="K231" i="3" s="1"/>
  <c r="C219" i="3"/>
  <c r="K232" i="3" s="1"/>
  <c r="C220" i="3"/>
  <c r="K233" i="3" s="1"/>
  <c r="C221" i="3"/>
  <c r="K234" i="3" s="1"/>
  <c r="C222" i="3"/>
  <c r="K235" i="3" s="1"/>
  <c r="C223" i="3"/>
  <c r="K236" i="3" s="1"/>
  <c r="C224" i="3"/>
  <c r="K237" i="3" s="1"/>
  <c r="C225" i="3"/>
  <c r="K238" i="3" s="1"/>
  <c r="C226" i="3"/>
  <c r="K239" i="3" s="1"/>
  <c r="C227" i="3"/>
  <c r="K240" i="3" s="1"/>
  <c r="C228" i="3"/>
  <c r="K241" i="3" s="1"/>
  <c r="C229" i="3"/>
  <c r="K242" i="3" s="1"/>
  <c r="C230" i="3"/>
  <c r="K243" i="3" s="1"/>
  <c r="C231" i="3"/>
  <c r="K244" i="3" s="1"/>
  <c r="C232" i="3"/>
  <c r="K245" i="3" s="1"/>
  <c r="C233" i="3"/>
  <c r="K246" i="3" s="1"/>
  <c r="C234" i="3"/>
  <c r="K247" i="3" s="1"/>
  <c r="C235" i="3"/>
  <c r="K248" i="3" s="1"/>
  <c r="C236" i="3"/>
  <c r="K249" i="3" s="1"/>
  <c r="C237" i="3"/>
  <c r="K250" i="3" s="1"/>
  <c r="C238" i="3"/>
  <c r="K251" i="3" s="1"/>
  <c r="C239" i="3"/>
  <c r="K252" i="3" s="1"/>
  <c r="C240" i="3"/>
  <c r="K253" i="3" s="1"/>
  <c r="C241" i="3"/>
  <c r="K254" i="3" s="1"/>
  <c r="C242" i="3"/>
  <c r="K255" i="3" s="1"/>
  <c r="C243" i="3"/>
  <c r="K256" i="3" s="1"/>
  <c r="C244" i="3"/>
  <c r="K257" i="3" s="1"/>
  <c r="C245" i="3"/>
  <c r="K258" i="3" s="1"/>
  <c r="C246" i="3"/>
  <c r="K259" i="3" s="1"/>
  <c r="C247" i="3"/>
  <c r="K260" i="3" s="1"/>
  <c r="C248" i="3"/>
  <c r="K261" i="3" s="1"/>
  <c r="C249" i="3"/>
  <c r="K262" i="3" s="1"/>
  <c r="C250" i="3"/>
  <c r="K263" i="3" s="1"/>
  <c r="C251" i="3"/>
  <c r="K264" i="3" s="1"/>
  <c r="C252" i="3"/>
  <c r="K265" i="3" s="1"/>
  <c r="C253" i="3"/>
  <c r="K266" i="3" s="1"/>
  <c r="C254" i="3"/>
  <c r="K267" i="3" s="1"/>
  <c r="C255" i="3"/>
  <c r="K268" i="3" s="1"/>
  <c r="C256" i="3"/>
  <c r="K269" i="3" s="1"/>
  <c r="C257" i="3"/>
  <c r="K270" i="3" s="1"/>
  <c r="C258" i="3"/>
  <c r="K271" i="3" s="1"/>
  <c r="C259" i="3"/>
  <c r="K272" i="3" s="1"/>
  <c r="C260" i="3"/>
  <c r="K273" i="3" s="1"/>
  <c r="C261" i="3"/>
  <c r="K274" i="3" s="1"/>
  <c r="C262" i="3"/>
  <c r="K275" i="3" s="1"/>
  <c r="C263" i="3"/>
  <c r="K276" i="3" s="1"/>
  <c r="C264" i="3"/>
  <c r="K277" i="3" s="1"/>
  <c r="C265" i="3"/>
  <c r="K278" i="3" s="1"/>
  <c r="C266" i="3"/>
  <c r="K279" i="3" s="1"/>
  <c r="C267" i="3"/>
  <c r="K280" i="3" s="1"/>
  <c r="C268" i="3"/>
  <c r="K281" i="3" s="1"/>
  <c r="C269" i="3"/>
  <c r="K282" i="3" s="1"/>
  <c r="C270" i="3"/>
  <c r="K283" i="3" s="1"/>
  <c r="C271" i="3"/>
  <c r="K284" i="3" s="1"/>
  <c r="C272" i="3"/>
  <c r="K285" i="3" s="1"/>
  <c r="C273" i="3"/>
  <c r="K286" i="3" s="1"/>
  <c r="C274" i="3"/>
  <c r="K287" i="3" s="1"/>
  <c r="C275" i="3"/>
  <c r="K288" i="3" s="1"/>
  <c r="C276" i="3"/>
  <c r="K289" i="3" s="1"/>
  <c r="C277" i="3"/>
  <c r="K290" i="3" s="1"/>
  <c r="C278" i="3"/>
  <c r="K291" i="3" s="1"/>
  <c r="C279" i="3"/>
  <c r="K292" i="3" s="1"/>
  <c r="C280" i="3"/>
  <c r="K293" i="3" s="1"/>
  <c r="C281" i="3"/>
  <c r="K294" i="3" s="1"/>
  <c r="C282" i="3"/>
  <c r="K295" i="3" s="1"/>
  <c r="C283" i="3"/>
  <c r="K296" i="3" s="1"/>
  <c r="C284" i="3"/>
  <c r="K297" i="3" s="1"/>
  <c r="C285" i="3"/>
  <c r="K298" i="3" s="1"/>
  <c r="C286" i="3"/>
  <c r="K299" i="3" s="1"/>
  <c r="C287" i="3"/>
  <c r="K300" i="3" s="1"/>
  <c r="C288" i="3"/>
  <c r="K301" i="3" s="1"/>
  <c r="C289" i="3"/>
  <c r="K302" i="3" s="1"/>
  <c r="C290" i="3"/>
  <c r="K303" i="3" s="1"/>
  <c r="C291" i="3"/>
  <c r="K304" i="3" s="1"/>
  <c r="C292" i="3"/>
  <c r="K305" i="3" s="1"/>
  <c r="C293" i="3"/>
  <c r="K306" i="3" s="1"/>
  <c r="C294" i="3"/>
  <c r="K307" i="3" s="1"/>
  <c r="C295" i="3"/>
  <c r="K308" i="3" s="1"/>
  <c r="C296" i="3"/>
  <c r="K309" i="3" s="1"/>
  <c r="C297" i="3"/>
  <c r="K310" i="3" s="1"/>
  <c r="C298" i="3"/>
  <c r="K311" i="3" s="1"/>
  <c r="C299" i="3"/>
  <c r="K312" i="3" s="1"/>
  <c r="C300" i="3"/>
  <c r="K313" i="3" s="1"/>
  <c r="C301" i="3"/>
  <c r="K314" i="3" s="1"/>
  <c r="C302" i="3"/>
  <c r="K315" i="3" s="1"/>
  <c r="C303" i="3"/>
  <c r="K316" i="3" s="1"/>
  <c r="C304" i="3"/>
  <c r="K317" i="3" s="1"/>
  <c r="C305" i="3"/>
  <c r="K318" i="3" s="1"/>
  <c r="C306" i="3"/>
  <c r="K319" i="3" s="1"/>
  <c r="C307" i="3"/>
  <c r="K320" i="3" s="1"/>
  <c r="C308" i="3"/>
  <c r="K321" i="3" s="1"/>
  <c r="C309" i="3"/>
  <c r="K322" i="3" s="1"/>
  <c r="C310" i="3"/>
  <c r="K323" i="3" s="1"/>
  <c r="C311" i="3"/>
  <c r="K324" i="3" s="1"/>
  <c r="C312" i="3"/>
  <c r="K325" i="3" s="1"/>
  <c r="C313" i="3"/>
  <c r="K326" i="3" s="1"/>
  <c r="C314" i="3"/>
  <c r="K327" i="3" s="1"/>
  <c r="C315" i="3"/>
  <c r="K328" i="3" s="1"/>
  <c r="C316" i="3"/>
  <c r="K329" i="3" s="1"/>
  <c r="C317" i="3"/>
  <c r="K330" i="3" s="1"/>
  <c r="C318" i="3"/>
  <c r="K331" i="3" s="1"/>
  <c r="C319" i="3"/>
  <c r="K332" i="3" s="1"/>
  <c r="C320" i="3"/>
  <c r="K333" i="3" s="1"/>
  <c r="C321" i="3"/>
  <c r="K334" i="3" s="1"/>
  <c r="C322" i="3"/>
  <c r="K335" i="3" s="1"/>
  <c r="C323" i="3"/>
  <c r="K336" i="3" s="1"/>
  <c r="C324" i="3"/>
  <c r="K337" i="3" s="1"/>
  <c r="C325" i="3"/>
  <c r="K338" i="3" s="1"/>
  <c r="C326" i="3"/>
  <c r="K339" i="3" s="1"/>
  <c r="C327" i="3"/>
  <c r="K340" i="3" s="1"/>
  <c r="C328" i="3"/>
  <c r="K341" i="3" s="1"/>
  <c r="C329" i="3"/>
  <c r="K342" i="3" s="1"/>
  <c r="C330" i="3"/>
  <c r="K343" i="3" s="1"/>
  <c r="C331" i="3"/>
  <c r="K344" i="3" s="1"/>
  <c r="C332" i="3"/>
  <c r="K345" i="3" s="1"/>
  <c r="C333" i="3"/>
  <c r="K346" i="3" s="1"/>
  <c r="C334" i="3"/>
  <c r="K347" i="3" s="1"/>
  <c r="C335" i="3"/>
  <c r="K348" i="3" s="1"/>
  <c r="C336" i="3"/>
  <c r="K349" i="3" s="1"/>
  <c r="C337" i="3"/>
  <c r="K350" i="3" s="1"/>
  <c r="C338" i="3"/>
  <c r="K351" i="3" s="1"/>
  <c r="C339" i="3"/>
  <c r="K352" i="3" s="1"/>
  <c r="C340" i="3"/>
  <c r="K353" i="3" s="1"/>
  <c r="C341" i="3"/>
  <c r="K354" i="3" s="1"/>
  <c r="C342" i="3"/>
  <c r="K355" i="3" s="1"/>
  <c r="C343" i="3"/>
  <c r="K356" i="3" s="1"/>
  <c r="C344" i="3"/>
  <c r="K357" i="3" s="1"/>
  <c r="C345" i="3"/>
  <c r="K358" i="3" s="1"/>
  <c r="C346" i="3"/>
  <c r="K359" i="3" s="1"/>
  <c r="C347" i="3"/>
  <c r="K360" i="3" s="1"/>
  <c r="C348" i="3"/>
  <c r="K361" i="3" s="1"/>
  <c r="C349" i="3"/>
  <c r="K362" i="3" s="1"/>
  <c r="C350" i="3"/>
  <c r="K363" i="3" s="1"/>
  <c r="C351" i="3"/>
  <c r="K364" i="3" s="1"/>
  <c r="C352" i="3"/>
  <c r="K365" i="3" s="1"/>
  <c r="C353" i="3"/>
  <c r="K366" i="3" s="1"/>
  <c r="C354" i="3"/>
  <c r="K367" i="3" s="1"/>
  <c r="C355" i="3"/>
  <c r="K368" i="3" s="1"/>
  <c r="C356" i="3"/>
  <c r="K369" i="3" s="1"/>
  <c r="C357" i="3"/>
  <c r="K370" i="3" s="1"/>
  <c r="C358" i="3"/>
  <c r="K371" i="3" s="1"/>
  <c r="C359" i="3"/>
  <c r="K372" i="3" s="1"/>
  <c r="C360" i="3"/>
  <c r="K373" i="3" s="1"/>
  <c r="C361" i="3"/>
  <c r="K374" i="3" s="1"/>
  <c r="C362" i="3"/>
  <c r="K375" i="3" s="1"/>
  <c r="C363" i="3"/>
  <c r="K376" i="3" s="1"/>
  <c r="C364" i="3"/>
  <c r="K377" i="3" s="1"/>
  <c r="C365" i="3"/>
  <c r="K378" i="3" s="1"/>
  <c r="C366" i="3"/>
  <c r="K379" i="3" s="1"/>
  <c r="C367" i="3"/>
  <c r="K380" i="3" s="1"/>
  <c r="C368" i="3"/>
  <c r="K381" i="3" s="1"/>
  <c r="C369" i="3"/>
  <c r="K382" i="3" s="1"/>
  <c r="C370" i="3"/>
  <c r="K383" i="3" s="1"/>
  <c r="C371" i="3"/>
  <c r="K384" i="3" s="1"/>
  <c r="C372" i="3"/>
  <c r="K385" i="3" s="1"/>
  <c r="C373" i="3"/>
  <c r="K386" i="3" s="1"/>
  <c r="C374" i="3"/>
  <c r="K387" i="3" s="1"/>
  <c r="C375" i="3"/>
  <c r="K388" i="3" s="1"/>
  <c r="C376" i="3"/>
  <c r="K389" i="3" s="1"/>
  <c r="C377" i="3"/>
  <c r="K390" i="3" s="1"/>
  <c r="C378" i="3"/>
  <c r="K391" i="3" s="1"/>
  <c r="C379" i="3"/>
  <c r="K392" i="3" s="1"/>
  <c r="C380" i="3"/>
  <c r="K393" i="3" s="1"/>
  <c r="C381" i="3"/>
  <c r="K394" i="3" s="1"/>
  <c r="C382" i="3"/>
  <c r="K395" i="3" s="1"/>
  <c r="C383" i="3"/>
  <c r="K396" i="3" s="1"/>
  <c r="C384" i="3"/>
  <c r="K397" i="3" s="1"/>
  <c r="C385" i="3"/>
  <c r="K398" i="3" s="1"/>
  <c r="C386" i="3"/>
  <c r="K399" i="3" s="1"/>
  <c r="C387" i="3"/>
  <c r="K400" i="3" s="1"/>
  <c r="C388" i="3"/>
  <c r="K401" i="3" s="1"/>
  <c r="C389" i="3"/>
  <c r="K402" i="3" s="1"/>
  <c r="C390" i="3"/>
  <c r="K403" i="3" s="1"/>
  <c r="C391" i="3"/>
  <c r="K404" i="3" s="1"/>
  <c r="C392" i="3"/>
  <c r="K405" i="3" s="1"/>
  <c r="C393" i="3"/>
  <c r="K406" i="3" s="1"/>
  <c r="C394" i="3"/>
  <c r="K407" i="3" s="1"/>
  <c r="C395" i="3"/>
  <c r="K408" i="3" s="1"/>
  <c r="C396" i="3"/>
  <c r="K409" i="3" s="1"/>
  <c r="C397" i="3"/>
  <c r="K410" i="3" s="1"/>
  <c r="C398" i="3"/>
  <c r="K411" i="3" s="1"/>
  <c r="C399" i="3"/>
  <c r="K412" i="3" s="1"/>
  <c r="C400" i="3"/>
  <c r="K413" i="3" s="1"/>
  <c r="C401" i="3"/>
  <c r="K414" i="3" s="1"/>
  <c r="C402" i="3"/>
  <c r="K415" i="3" s="1"/>
  <c r="C403" i="3"/>
  <c r="K416" i="3" s="1"/>
  <c r="C404" i="3"/>
  <c r="K417" i="3" s="1"/>
  <c r="C405" i="3"/>
  <c r="K418" i="3" s="1"/>
  <c r="C406" i="3"/>
  <c r="K419" i="3" s="1"/>
  <c r="C407" i="3"/>
  <c r="K420" i="3" s="1"/>
  <c r="C408" i="3"/>
  <c r="K421" i="3" s="1"/>
  <c r="C409" i="3"/>
  <c r="K422" i="3" s="1"/>
  <c r="C410" i="3"/>
  <c r="K423" i="3" s="1"/>
  <c r="C411" i="3"/>
  <c r="K424" i="3" s="1"/>
  <c r="C412" i="3"/>
  <c r="K425" i="3" s="1"/>
  <c r="C413" i="3"/>
  <c r="K426" i="3" s="1"/>
  <c r="C414" i="3"/>
  <c r="K427" i="3" s="1"/>
  <c r="C415" i="3"/>
  <c r="K428" i="3" s="1"/>
  <c r="C416" i="3"/>
  <c r="K429" i="3" s="1"/>
  <c r="C417" i="3"/>
  <c r="K430" i="3" s="1"/>
  <c r="C418" i="3"/>
  <c r="K431" i="3" s="1"/>
  <c r="C419" i="3"/>
  <c r="K432" i="3" s="1"/>
  <c r="C420" i="3"/>
  <c r="K433" i="3" s="1"/>
  <c r="C421" i="3"/>
  <c r="K434" i="3" s="1"/>
  <c r="C422" i="3"/>
  <c r="K435" i="3" s="1"/>
  <c r="C423" i="3"/>
  <c r="K436" i="3" s="1"/>
  <c r="C424" i="3"/>
  <c r="K437" i="3" s="1"/>
  <c r="C425" i="3"/>
  <c r="K438" i="3" s="1"/>
  <c r="C426" i="3"/>
  <c r="K439" i="3" s="1"/>
  <c r="C427" i="3"/>
  <c r="K440" i="3" s="1"/>
  <c r="C428" i="3"/>
  <c r="K441" i="3" s="1"/>
  <c r="C429" i="3"/>
  <c r="K442" i="3" s="1"/>
  <c r="C430" i="3"/>
  <c r="K443" i="3" s="1"/>
  <c r="C431" i="3"/>
  <c r="K444" i="3" s="1"/>
  <c r="C432" i="3"/>
  <c r="K445" i="3" s="1"/>
  <c r="C433" i="3"/>
  <c r="K446" i="3" s="1"/>
  <c r="C434" i="3"/>
  <c r="K447" i="3" s="1"/>
  <c r="C435" i="3"/>
  <c r="K448" i="3" s="1"/>
  <c r="C436" i="3"/>
  <c r="K449" i="3" s="1"/>
  <c r="C437" i="3"/>
  <c r="K450" i="3" s="1"/>
  <c r="C438" i="3"/>
  <c r="K451" i="3" s="1"/>
  <c r="C439" i="3"/>
  <c r="K452" i="3" s="1"/>
  <c r="C440" i="3"/>
  <c r="K453" i="3" s="1"/>
  <c r="C441" i="3"/>
  <c r="K454" i="3" s="1"/>
  <c r="C442" i="3"/>
  <c r="K455" i="3" s="1"/>
  <c r="C443" i="3"/>
  <c r="K456" i="3" s="1"/>
  <c r="C444" i="3"/>
  <c r="K457" i="3" s="1"/>
  <c r="C445" i="3"/>
  <c r="K458" i="3" s="1"/>
  <c r="C446" i="3"/>
  <c r="K459" i="3" s="1"/>
  <c r="C447" i="3"/>
  <c r="K460" i="3" s="1"/>
  <c r="C448" i="3"/>
  <c r="K461" i="3" s="1"/>
  <c r="C449" i="3"/>
  <c r="K462" i="3" s="1"/>
  <c r="C450" i="3"/>
  <c r="K463" i="3" s="1"/>
  <c r="C451" i="3"/>
  <c r="K464" i="3" s="1"/>
  <c r="C452" i="3"/>
  <c r="K465" i="3" s="1"/>
  <c r="C453" i="3"/>
  <c r="K466" i="3" s="1"/>
  <c r="C454" i="3"/>
  <c r="K467" i="3" s="1"/>
  <c r="C455" i="3"/>
  <c r="K468" i="3" s="1"/>
  <c r="C456" i="3"/>
  <c r="K469" i="3" s="1"/>
  <c r="C457" i="3"/>
  <c r="K470" i="3" s="1"/>
  <c r="C458" i="3"/>
  <c r="K471" i="3" s="1"/>
  <c r="C459" i="3"/>
  <c r="K472" i="3" s="1"/>
  <c r="C460" i="3"/>
  <c r="K473" i="3" s="1"/>
  <c r="C461" i="3"/>
  <c r="K474" i="3" s="1"/>
  <c r="C462" i="3"/>
  <c r="K475" i="3" s="1"/>
  <c r="C463" i="3"/>
  <c r="K476" i="3" s="1"/>
  <c r="C464" i="3"/>
  <c r="K477" i="3" s="1"/>
  <c r="C465" i="3"/>
  <c r="K478" i="3" s="1"/>
  <c r="C466" i="3"/>
  <c r="K479" i="3" s="1"/>
  <c r="C467" i="3"/>
  <c r="K480" i="3" s="1"/>
  <c r="C468" i="3"/>
  <c r="K481" i="3" s="1"/>
  <c r="C469" i="3"/>
  <c r="K482" i="3" s="1"/>
  <c r="C470" i="3"/>
  <c r="K483" i="3" s="1"/>
  <c r="C471" i="3"/>
  <c r="K484" i="3" s="1"/>
  <c r="C472" i="3"/>
  <c r="K485" i="3" s="1"/>
  <c r="C473" i="3"/>
  <c r="K486" i="3" s="1"/>
  <c r="C474" i="3"/>
  <c r="K487" i="3" s="1"/>
  <c r="C475" i="3"/>
  <c r="K488" i="3" s="1"/>
  <c r="C476" i="3"/>
  <c r="K489" i="3" s="1"/>
  <c r="C477" i="3"/>
  <c r="K490" i="3" s="1"/>
  <c r="C478" i="3"/>
  <c r="K491" i="3" s="1"/>
  <c r="C479" i="3"/>
  <c r="K492" i="3" s="1"/>
  <c r="C480" i="3"/>
  <c r="K493" i="3" s="1"/>
  <c r="C481" i="3"/>
  <c r="K494" i="3" s="1"/>
  <c r="C482" i="3"/>
  <c r="K495" i="3" s="1"/>
  <c r="C483" i="3"/>
  <c r="K496" i="3" s="1"/>
  <c r="C484" i="3"/>
  <c r="K497" i="3" s="1"/>
  <c r="C485" i="3"/>
  <c r="K498" i="3" s="1"/>
  <c r="C486" i="3"/>
  <c r="K499" i="3" s="1"/>
  <c r="C487" i="3"/>
  <c r="K500" i="3" s="1"/>
  <c r="C488" i="3"/>
  <c r="K501" i="3" s="1"/>
  <c r="C489" i="3"/>
  <c r="K502" i="3" s="1"/>
  <c r="C490" i="3"/>
  <c r="K503" i="3" s="1"/>
  <c r="C491" i="3"/>
  <c r="K504" i="3" s="1"/>
  <c r="C492" i="3"/>
  <c r="K505" i="3" s="1"/>
  <c r="C493" i="3"/>
  <c r="K506" i="3" s="1"/>
  <c r="C494" i="3"/>
  <c r="K507" i="3" s="1"/>
  <c r="C495" i="3"/>
  <c r="K508" i="3" s="1"/>
  <c r="C496" i="3"/>
  <c r="K509" i="3" s="1"/>
  <c r="C497" i="3"/>
  <c r="K510" i="3" s="1"/>
  <c r="C498" i="3"/>
  <c r="K511" i="3" s="1"/>
  <c r="C499" i="3"/>
  <c r="K512" i="3" s="1"/>
  <c r="C500" i="3"/>
  <c r="K513" i="3" s="1"/>
  <c r="C501" i="3"/>
  <c r="K514" i="3" s="1"/>
  <c r="C502" i="3"/>
  <c r="K515" i="3" s="1"/>
  <c r="C503" i="3"/>
  <c r="K516" i="3" s="1"/>
  <c r="C504" i="3"/>
  <c r="K517" i="3" s="1"/>
  <c r="C505" i="3"/>
  <c r="K518" i="3" s="1"/>
  <c r="C506" i="3"/>
  <c r="K519" i="3" s="1"/>
  <c r="C507" i="3"/>
  <c r="K520" i="3" s="1"/>
  <c r="C508" i="3"/>
  <c r="K521" i="3" s="1"/>
  <c r="C509" i="3"/>
  <c r="K522" i="3" s="1"/>
  <c r="C510" i="3"/>
  <c r="K523" i="3" s="1"/>
  <c r="C511" i="3"/>
  <c r="K524" i="3" s="1"/>
  <c r="C512" i="3"/>
  <c r="K525" i="3" s="1"/>
  <c r="C513" i="3"/>
  <c r="K526" i="3" s="1"/>
  <c r="C514" i="3"/>
  <c r="K527" i="3" s="1"/>
  <c r="C515" i="3"/>
  <c r="K528" i="3" s="1"/>
  <c r="C516" i="3"/>
  <c r="K529" i="3" s="1"/>
  <c r="C517" i="3"/>
  <c r="K530" i="3" s="1"/>
  <c r="C518" i="3"/>
  <c r="K531" i="3" s="1"/>
  <c r="C519" i="3"/>
  <c r="K532" i="3" s="1"/>
  <c r="C520" i="3"/>
  <c r="K533" i="3" s="1"/>
  <c r="C521" i="3"/>
  <c r="K534" i="3" s="1"/>
  <c r="C522" i="3"/>
  <c r="K535" i="3" s="1"/>
  <c r="C523" i="3"/>
  <c r="K536" i="3" s="1"/>
  <c r="C524" i="3"/>
  <c r="K537" i="3" s="1"/>
  <c r="C525" i="3"/>
  <c r="K538" i="3" s="1"/>
  <c r="C526" i="3"/>
  <c r="K539" i="3" s="1"/>
  <c r="C527" i="3"/>
  <c r="K540" i="3" s="1"/>
  <c r="C528" i="3"/>
  <c r="K541" i="3" s="1"/>
  <c r="C529" i="3"/>
  <c r="K542" i="3" s="1"/>
  <c r="C530" i="3"/>
  <c r="K543" i="3" s="1"/>
  <c r="C531" i="3"/>
  <c r="K544" i="3" s="1"/>
  <c r="C532" i="3"/>
  <c r="K545" i="3" s="1"/>
  <c r="C533" i="3"/>
  <c r="K546" i="3" s="1"/>
  <c r="C534" i="3"/>
  <c r="K547" i="3" s="1"/>
  <c r="C535" i="3"/>
  <c r="K548" i="3" s="1"/>
  <c r="C536" i="3"/>
  <c r="K549" i="3" s="1"/>
  <c r="C537" i="3"/>
  <c r="K550" i="3" s="1"/>
  <c r="C538" i="3"/>
  <c r="K551" i="3" s="1"/>
  <c r="C539" i="3"/>
  <c r="K552" i="3" s="1"/>
  <c r="C540" i="3"/>
  <c r="K553" i="3" s="1"/>
  <c r="C541" i="3"/>
  <c r="K554" i="3" s="1"/>
  <c r="C542" i="3"/>
  <c r="K555" i="3" s="1"/>
  <c r="C543" i="3"/>
  <c r="K556" i="3" s="1"/>
  <c r="C544" i="3"/>
  <c r="K557" i="3" s="1"/>
  <c r="C545" i="3"/>
  <c r="K558" i="3" s="1"/>
  <c r="C546" i="3"/>
  <c r="K559" i="3" s="1"/>
  <c r="C547" i="3"/>
  <c r="K560" i="3" s="1"/>
  <c r="C548" i="3"/>
  <c r="K561" i="3" s="1"/>
  <c r="C549" i="3"/>
  <c r="K562" i="3" s="1"/>
  <c r="C550" i="3"/>
  <c r="K563" i="3" s="1"/>
  <c r="C551" i="3"/>
  <c r="K564" i="3" s="1"/>
  <c r="C552" i="3"/>
  <c r="K565" i="3" s="1"/>
  <c r="C553" i="3"/>
  <c r="K566" i="3" s="1"/>
  <c r="C554" i="3"/>
  <c r="K567" i="3" s="1"/>
  <c r="C555" i="3"/>
  <c r="K568" i="3" s="1"/>
  <c r="C556" i="3"/>
  <c r="K569" i="3" s="1"/>
  <c r="C557" i="3"/>
  <c r="K570" i="3" s="1"/>
  <c r="C558" i="3"/>
  <c r="K571" i="3" s="1"/>
  <c r="C559" i="3"/>
  <c r="K572" i="3" s="1"/>
  <c r="C560" i="3"/>
  <c r="K573" i="3" s="1"/>
  <c r="C561" i="3"/>
  <c r="K574" i="3" s="1"/>
  <c r="C562" i="3"/>
  <c r="K575" i="3" s="1"/>
  <c r="C563" i="3"/>
  <c r="K576" i="3" s="1"/>
  <c r="C564" i="3"/>
  <c r="K577" i="3" s="1"/>
  <c r="C565" i="3"/>
  <c r="K578" i="3" s="1"/>
  <c r="C566" i="3"/>
  <c r="K579" i="3" s="1"/>
  <c r="C567" i="3"/>
  <c r="K580" i="3" s="1"/>
  <c r="C568" i="3"/>
  <c r="K581" i="3" s="1"/>
  <c r="C569" i="3"/>
  <c r="K582" i="3" s="1"/>
  <c r="C570" i="3"/>
  <c r="K583" i="3" s="1"/>
  <c r="C571" i="3"/>
  <c r="K584" i="3" s="1"/>
  <c r="C572" i="3"/>
  <c r="K585" i="3" s="1"/>
  <c r="C573" i="3"/>
  <c r="K586" i="3" s="1"/>
  <c r="C574" i="3"/>
  <c r="K587" i="3" s="1"/>
  <c r="C575" i="3"/>
  <c r="K588" i="3" s="1"/>
  <c r="C576" i="3"/>
  <c r="K589" i="3" s="1"/>
  <c r="C577" i="3"/>
  <c r="K590" i="3" s="1"/>
  <c r="C578" i="3"/>
  <c r="K591" i="3" s="1"/>
  <c r="C579" i="3"/>
  <c r="K592" i="3" s="1"/>
  <c r="C580" i="3"/>
  <c r="K593" i="3" s="1"/>
  <c r="C581" i="3"/>
  <c r="K594" i="3" s="1"/>
  <c r="C582" i="3"/>
  <c r="K595" i="3" s="1"/>
  <c r="C583" i="3"/>
  <c r="K596" i="3" s="1"/>
  <c r="C584" i="3"/>
  <c r="K597" i="3" s="1"/>
  <c r="C585" i="3"/>
  <c r="K598" i="3" s="1"/>
  <c r="C586" i="3"/>
  <c r="K599" i="3" s="1"/>
  <c r="C587" i="3"/>
  <c r="K600" i="3" s="1"/>
  <c r="C588" i="3"/>
  <c r="K601" i="3" s="1"/>
  <c r="C589" i="3"/>
  <c r="K602" i="3" s="1"/>
  <c r="C590" i="3"/>
  <c r="K603" i="3" s="1"/>
  <c r="C591" i="3"/>
  <c r="K604" i="3" s="1"/>
  <c r="C592" i="3"/>
  <c r="K605" i="3" s="1"/>
  <c r="C593" i="3"/>
  <c r="K606" i="3" s="1"/>
  <c r="C594" i="3"/>
  <c r="K607" i="3" s="1"/>
  <c r="C595" i="3"/>
  <c r="K608" i="3" s="1"/>
  <c r="C596" i="3"/>
  <c r="K609" i="3" s="1"/>
  <c r="C597" i="3"/>
  <c r="K610" i="3" s="1"/>
  <c r="C598" i="3"/>
  <c r="K611" i="3" s="1"/>
  <c r="C599" i="3"/>
  <c r="K612" i="3" s="1"/>
  <c r="C600" i="3"/>
  <c r="K613" i="3" s="1"/>
  <c r="C601" i="3"/>
  <c r="K614" i="3" s="1"/>
  <c r="C602" i="3"/>
  <c r="K615" i="3" s="1"/>
  <c r="C603" i="3"/>
  <c r="K616" i="3" s="1"/>
  <c r="C604" i="3"/>
  <c r="K617" i="3" s="1"/>
  <c r="C605" i="3"/>
  <c r="K618" i="3" s="1"/>
  <c r="C606" i="3"/>
  <c r="K619" i="3" s="1"/>
  <c r="C607" i="3"/>
  <c r="K620" i="3" s="1"/>
  <c r="C608" i="3"/>
  <c r="K621" i="3" s="1"/>
  <c r="C609" i="3"/>
  <c r="K622" i="3" s="1"/>
  <c r="C610" i="3"/>
  <c r="K623" i="3" s="1"/>
  <c r="C611" i="3"/>
  <c r="K624" i="3" s="1"/>
  <c r="C612" i="3"/>
  <c r="K625" i="3" s="1"/>
  <c r="C613" i="3"/>
  <c r="K626" i="3" s="1"/>
  <c r="C614" i="3"/>
  <c r="K627" i="3" s="1"/>
  <c r="C615" i="3"/>
  <c r="K628" i="3" s="1"/>
  <c r="C616" i="3"/>
  <c r="K629" i="3" s="1"/>
  <c r="C617" i="3"/>
  <c r="K630" i="3" s="1"/>
  <c r="C618" i="3"/>
  <c r="K631" i="3" s="1"/>
  <c r="C619" i="3"/>
  <c r="K632" i="3" s="1"/>
  <c r="C620" i="3"/>
  <c r="K633" i="3" s="1"/>
  <c r="C621" i="3"/>
  <c r="K634" i="3" s="1"/>
  <c r="C622" i="3"/>
  <c r="K635" i="3" s="1"/>
  <c r="C623" i="3"/>
  <c r="K636" i="3" s="1"/>
  <c r="C624" i="3"/>
  <c r="K637" i="3" s="1"/>
  <c r="C625" i="3"/>
  <c r="K638" i="3" s="1"/>
  <c r="C626" i="3"/>
  <c r="K639" i="3" s="1"/>
  <c r="C627" i="3"/>
  <c r="K640" i="3" s="1"/>
  <c r="C628" i="3"/>
  <c r="K641" i="3" s="1"/>
  <c r="C629" i="3"/>
  <c r="K642" i="3" s="1"/>
  <c r="C630" i="3"/>
  <c r="K643" i="3" s="1"/>
  <c r="C631" i="3"/>
  <c r="K644" i="3" s="1"/>
  <c r="C632" i="3"/>
  <c r="K645" i="3" s="1"/>
  <c r="C633" i="3"/>
  <c r="K646" i="3" s="1"/>
  <c r="C634" i="3"/>
  <c r="K647" i="3" s="1"/>
  <c r="C635" i="3"/>
  <c r="K648" i="3" s="1"/>
  <c r="C636" i="3"/>
  <c r="K649" i="3" s="1"/>
  <c r="C637" i="3"/>
  <c r="K650" i="3" s="1"/>
  <c r="C638" i="3"/>
  <c r="K651" i="3" s="1"/>
  <c r="C639" i="3"/>
  <c r="K652" i="3" s="1"/>
  <c r="C640" i="3"/>
  <c r="K653" i="3" s="1"/>
  <c r="C641" i="3"/>
  <c r="K654" i="3" s="1"/>
  <c r="C642" i="3"/>
  <c r="K655" i="3" s="1"/>
  <c r="C643" i="3"/>
  <c r="K656" i="3" s="1"/>
  <c r="C644" i="3"/>
  <c r="K657" i="3" s="1"/>
  <c r="C645" i="3"/>
  <c r="K658" i="3" s="1"/>
  <c r="C646" i="3"/>
  <c r="K659" i="3" s="1"/>
  <c r="C647" i="3"/>
  <c r="K660" i="3" s="1"/>
  <c r="C648" i="3"/>
  <c r="K661" i="3" s="1"/>
  <c r="C649" i="3"/>
  <c r="K662" i="3" s="1"/>
  <c r="C650" i="3"/>
  <c r="K663" i="3" s="1"/>
  <c r="C651" i="3"/>
  <c r="K664" i="3" s="1"/>
  <c r="C652" i="3"/>
  <c r="K665" i="3" s="1"/>
  <c r="C653" i="3"/>
  <c r="K666" i="3" s="1"/>
  <c r="C654" i="3"/>
  <c r="K667" i="3" s="1"/>
  <c r="C655" i="3"/>
  <c r="K668" i="3" s="1"/>
  <c r="C656" i="3"/>
  <c r="K669" i="3" s="1"/>
  <c r="C657" i="3"/>
  <c r="K670" i="3" s="1"/>
  <c r="C658" i="3"/>
  <c r="K671" i="3" s="1"/>
  <c r="C659" i="3"/>
  <c r="K672" i="3" s="1"/>
  <c r="C660" i="3"/>
  <c r="K673" i="3" s="1"/>
  <c r="C661" i="3"/>
  <c r="K674" i="3" s="1"/>
  <c r="C662" i="3"/>
  <c r="K675" i="3" s="1"/>
  <c r="C663" i="3"/>
  <c r="K676" i="3" s="1"/>
  <c r="C664" i="3"/>
  <c r="K677" i="3" s="1"/>
  <c r="C665" i="3"/>
  <c r="K678" i="3" s="1"/>
  <c r="C666" i="3"/>
  <c r="K679" i="3" s="1"/>
  <c r="C667" i="3"/>
  <c r="K680" i="3" s="1"/>
  <c r="C668" i="3"/>
  <c r="K681" i="3" s="1"/>
  <c r="C669" i="3"/>
  <c r="K682" i="3" s="1"/>
  <c r="C670" i="3"/>
  <c r="K683" i="3" s="1"/>
  <c r="C671" i="3"/>
  <c r="K684" i="3" s="1"/>
  <c r="C672" i="3"/>
  <c r="K685" i="3" s="1"/>
  <c r="C673" i="3"/>
  <c r="K686" i="3" s="1"/>
  <c r="C674" i="3"/>
  <c r="K687" i="3" s="1"/>
  <c r="C675" i="3"/>
  <c r="K688" i="3" s="1"/>
  <c r="C676" i="3"/>
  <c r="K689" i="3" s="1"/>
  <c r="C677" i="3"/>
  <c r="K690" i="3" s="1"/>
  <c r="C678" i="3"/>
  <c r="K691" i="3" s="1"/>
  <c r="C679" i="3"/>
  <c r="K692" i="3" s="1"/>
  <c r="C680" i="3"/>
  <c r="K693" i="3" s="1"/>
  <c r="C681" i="3"/>
  <c r="K694" i="3" s="1"/>
  <c r="C682" i="3"/>
  <c r="K695" i="3" s="1"/>
  <c r="C683" i="3"/>
  <c r="K696" i="3" s="1"/>
  <c r="C684" i="3"/>
  <c r="K697" i="3" s="1"/>
  <c r="C685" i="3"/>
  <c r="K698" i="3" s="1"/>
  <c r="C686" i="3"/>
  <c r="K699" i="3" s="1"/>
  <c r="C687" i="3"/>
  <c r="K700" i="3" s="1"/>
  <c r="C688" i="3"/>
  <c r="K701" i="3" s="1"/>
  <c r="C689" i="3"/>
  <c r="K702" i="3" s="1"/>
  <c r="C690" i="3"/>
  <c r="K703" i="3" s="1"/>
  <c r="C691" i="3"/>
  <c r="K704" i="3" s="1"/>
  <c r="C692" i="3"/>
  <c r="K705" i="3" s="1"/>
  <c r="C693" i="3"/>
  <c r="K706" i="3" s="1"/>
  <c r="C694" i="3"/>
  <c r="K707" i="3" s="1"/>
  <c r="C695" i="3"/>
  <c r="K708" i="3" s="1"/>
  <c r="C696" i="3"/>
  <c r="K709" i="3" s="1"/>
  <c r="C697" i="3"/>
  <c r="K710" i="3" s="1"/>
  <c r="C698" i="3"/>
  <c r="K711" i="3" s="1"/>
  <c r="C699" i="3"/>
  <c r="K712" i="3" s="1"/>
  <c r="C700" i="3"/>
  <c r="K713" i="3" s="1"/>
  <c r="C701" i="3"/>
  <c r="K714" i="3" s="1"/>
  <c r="C702" i="3"/>
  <c r="K715" i="3" s="1"/>
  <c r="C703" i="3"/>
  <c r="K716" i="3" s="1"/>
  <c r="C704" i="3"/>
  <c r="K717" i="3" s="1"/>
  <c r="C705" i="3"/>
  <c r="K718" i="3" s="1"/>
  <c r="C706" i="3"/>
  <c r="K719" i="3" s="1"/>
  <c r="C707" i="3"/>
  <c r="K720" i="3" s="1"/>
  <c r="C708" i="3"/>
  <c r="K721" i="3" s="1"/>
  <c r="C709" i="3"/>
  <c r="K722" i="3" s="1"/>
  <c r="C710" i="3"/>
  <c r="K723" i="3" s="1"/>
  <c r="C711" i="3"/>
  <c r="K724" i="3" s="1"/>
  <c r="C712" i="3"/>
  <c r="K725" i="3" s="1"/>
  <c r="C713" i="3"/>
  <c r="K726" i="3" s="1"/>
  <c r="C714" i="3"/>
  <c r="K727" i="3" s="1"/>
  <c r="C715" i="3"/>
  <c r="K728" i="3" s="1"/>
  <c r="C716" i="3"/>
  <c r="K729" i="3" s="1"/>
  <c r="C717" i="3"/>
  <c r="K730" i="3" s="1"/>
  <c r="C718" i="3"/>
  <c r="K731" i="3" s="1"/>
  <c r="C719" i="3"/>
  <c r="K732" i="3" s="1"/>
  <c r="C720" i="3"/>
  <c r="K733" i="3" s="1"/>
  <c r="C721" i="3"/>
  <c r="K734" i="3" s="1"/>
  <c r="C722" i="3"/>
  <c r="K735" i="3" s="1"/>
  <c r="C723" i="3"/>
  <c r="K736" i="3" s="1"/>
  <c r="C724" i="3"/>
  <c r="K737" i="3" s="1"/>
  <c r="C725" i="3"/>
  <c r="K738" i="3" s="1"/>
  <c r="C726" i="3"/>
  <c r="K739" i="3" s="1"/>
  <c r="C727" i="3"/>
  <c r="K740" i="3" s="1"/>
  <c r="C728" i="3"/>
  <c r="K741" i="3" s="1"/>
  <c r="C729" i="3"/>
  <c r="K742" i="3" s="1"/>
  <c r="C730" i="3"/>
  <c r="K743" i="3" s="1"/>
  <c r="C731" i="3"/>
  <c r="K744" i="3" s="1"/>
  <c r="C732" i="3"/>
  <c r="K745" i="3" s="1"/>
  <c r="C733" i="3"/>
  <c r="K746" i="3" s="1"/>
  <c r="C734" i="3"/>
  <c r="K747" i="3" s="1"/>
  <c r="C735" i="3"/>
  <c r="K748" i="3" s="1"/>
  <c r="C736" i="3"/>
  <c r="K749" i="3" s="1"/>
  <c r="C737" i="3"/>
  <c r="K750" i="3" s="1"/>
  <c r="C738" i="3"/>
  <c r="K751" i="3" s="1"/>
  <c r="C739" i="3"/>
  <c r="K752" i="3" s="1"/>
  <c r="C740" i="3"/>
  <c r="K753" i="3" s="1"/>
  <c r="C741" i="3"/>
  <c r="K754" i="3" s="1"/>
  <c r="C742" i="3"/>
  <c r="K755" i="3" s="1"/>
  <c r="C743" i="3"/>
  <c r="K756" i="3" s="1"/>
  <c r="C744" i="3"/>
  <c r="K757" i="3" s="1"/>
  <c r="C745" i="3"/>
  <c r="K758" i="3" s="1"/>
  <c r="C746" i="3"/>
  <c r="K759" i="3" s="1"/>
  <c r="C747" i="3"/>
  <c r="K760" i="3" s="1"/>
  <c r="C748" i="3"/>
  <c r="K761" i="3" s="1"/>
  <c r="C749" i="3"/>
  <c r="K762" i="3" s="1"/>
  <c r="C750" i="3"/>
  <c r="K763" i="3" s="1"/>
  <c r="C751" i="3"/>
  <c r="K764" i="3" s="1"/>
  <c r="C752" i="3"/>
  <c r="K765" i="3" s="1"/>
  <c r="C753" i="3"/>
  <c r="K766" i="3" s="1"/>
  <c r="C754" i="3"/>
  <c r="K767" i="3" s="1"/>
  <c r="C755" i="3"/>
  <c r="K768" i="3" s="1"/>
  <c r="C756" i="3"/>
  <c r="K769" i="3" s="1"/>
  <c r="C757" i="3"/>
  <c r="K770" i="3" s="1"/>
  <c r="C758" i="3"/>
  <c r="K771" i="3" s="1"/>
  <c r="C759" i="3"/>
  <c r="K772" i="3" s="1"/>
  <c r="C760" i="3"/>
  <c r="K773" i="3" s="1"/>
  <c r="C761" i="3"/>
  <c r="K774" i="3" s="1"/>
  <c r="C762" i="3"/>
  <c r="K775" i="3" s="1"/>
  <c r="C763" i="3"/>
  <c r="K776" i="3" s="1"/>
  <c r="C764" i="3"/>
  <c r="K777" i="3" s="1"/>
  <c r="C765" i="3"/>
  <c r="K778" i="3" s="1"/>
  <c r="C766" i="3"/>
  <c r="K779" i="3" s="1"/>
  <c r="C767" i="3"/>
  <c r="K780" i="3" s="1"/>
  <c r="C768" i="3"/>
  <c r="K781" i="3" s="1"/>
  <c r="C769" i="3"/>
  <c r="K782" i="3" s="1"/>
  <c r="C770" i="3"/>
  <c r="K783" i="3" s="1"/>
  <c r="C771" i="3"/>
  <c r="K784" i="3" s="1"/>
  <c r="C772" i="3"/>
  <c r="K785" i="3" s="1"/>
  <c r="C773" i="3"/>
  <c r="K786" i="3" s="1"/>
  <c r="C774" i="3"/>
  <c r="K787" i="3" s="1"/>
  <c r="C775" i="3"/>
  <c r="K788" i="3" s="1"/>
  <c r="C776" i="3"/>
  <c r="K789" i="3" s="1"/>
  <c r="C777" i="3"/>
  <c r="K790" i="3" s="1"/>
  <c r="C778" i="3"/>
  <c r="K791" i="3" s="1"/>
  <c r="C779" i="3"/>
  <c r="K792" i="3" s="1"/>
  <c r="C780" i="3"/>
  <c r="K793" i="3" s="1"/>
  <c r="C781" i="3"/>
  <c r="K794" i="3" s="1"/>
  <c r="C782" i="3"/>
  <c r="K795" i="3" s="1"/>
  <c r="C783" i="3"/>
  <c r="K796" i="3" s="1"/>
  <c r="C784" i="3"/>
  <c r="K797" i="3" s="1"/>
  <c r="C785" i="3"/>
  <c r="K798" i="3" s="1"/>
  <c r="C786" i="3"/>
  <c r="K799" i="3" s="1"/>
  <c r="C787" i="3"/>
  <c r="K800" i="3" s="1"/>
  <c r="C788" i="3"/>
  <c r="K801" i="3" s="1"/>
  <c r="C789" i="3"/>
  <c r="K802" i="3" s="1"/>
  <c r="C790" i="3"/>
  <c r="K803" i="3" s="1"/>
  <c r="C791" i="3"/>
  <c r="K804" i="3" s="1"/>
  <c r="C792" i="3"/>
  <c r="K805" i="3" s="1"/>
  <c r="C793" i="3"/>
  <c r="K806" i="3" s="1"/>
  <c r="C794" i="3"/>
  <c r="K807" i="3" s="1"/>
  <c r="C795" i="3"/>
  <c r="K808" i="3" s="1"/>
  <c r="C796" i="3"/>
  <c r="K809" i="3" s="1"/>
  <c r="C797" i="3"/>
  <c r="K810" i="3" s="1"/>
  <c r="C798" i="3"/>
  <c r="K811" i="3" s="1"/>
  <c r="C799" i="3"/>
  <c r="K812" i="3" s="1"/>
  <c r="C800" i="3"/>
  <c r="K813" i="3" s="1"/>
  <c r="C801" i="3"/>
  <c r="K814" i="3" s="1"/>
  <c r="C802" i="3"/>
  <c r="K815" i="3" s="1"/>
  <c r="C803" i="3"/>
  <c r="K816" i="3" s="1"/>
  <c r="C804" i="3"/>
  <c r="K817" i="3" s="1"/>
  <c r="C805" i="3"/>
  <c r="K818" i="3" s="1"/>
  <c r="C806" i="3"/>
  <c r="K819" i="3" s="1"/>
  <c r="C807" i="3"/>
  <c r="K820" i="3" s="1"/>
  <c r="C808" i="3"/>
  <c r="K821" i="3" s="1"/>
  <c r="C809" i="3"/>
  <c r="K822" i="3" s="1"/>
  <c r="C810" i="3"/>
  <c r="K823" i="3" s="1"/>
  <c r="C811" i="3"/>
  <c r="K824" i="3" s="1"/>
  <c r="C812" i="3"/>
  <c r="K825" i="3" s="1"/>
  <c r="C813" i="3"/>
  <c r="K826" i="3" s="1"/>
  <c r="C814" i="3"/>
  <c r="K827" i="3" s="1"/>
  <c r="C815" i="3"/>
  <c r="K828" i="3" s="1"/>
  <c r="C816" i="3"/>
  <c r="K829" i="3" s="1"/>
  <c r="C817" i="3"/>
  <c r="K830" i="3" s="1"/>
  <c r="C818" i="3"/>
  <c r="K831" i="3" s="1"/>
  <c r="C819" i="3"/>
  <c r="K832" i="3" s="1"/>
  <c r="C820" i="3"/>
  <c r="K833" i="3" s="1"/>
  <c r="C821" i="3"/>
  <c r="K834" i="3" s="1"/>
  <c r="C822" i="3"/>
  <c r="K835" i="3" s="1"/>
  <c r="C823" i="3"/>
  <c r="K836" i="3" s="1"/>
  <c r="C824" i="3"/>
  <c r="K837" i="3" s="1"/>
  <c r="C825" i="3"/>
  <c r="K838" i="3" s="1"/>
  <c r="C826" i="3"/>
  <c r="K839" i="3" s="1"/>
  <c r="C827" i="3"/>
  <c r="K840" i="3" s="1"/>
  <c r="C828" i="3"/>
  <c r="K841" i="3" s="1"/>
  <c r="C829" i="3"/>
  <c r="K842" i="3" s="1"/>
  <c r="C830" i="3"/>
  <c r="K843" i="3" s="1"/>
  <c r="C831" i="3"/>
  <c r="K844" i="3" s="1"/>
  <c r="C832" i="3"/>
  <c r="K845" i="3" s="1"/>
  <c r="C833" i="3"/>
  <c r="K846" i="3" s="1"/>
  <c r="C834" i="3"/>
  <c r="K847" i="3" s="1"/>
  <c r="C835" i="3"/>
  <c r="K848" i="3" s="1"/>
  <c r="C836" i="3"/>
  <c r="K849" i="3" s="1"/>
  <c r="C837" i="3"/>
  <c r="K850" i="3" s="1"/>
  <c r="C838" i="3"/>
  <c r="K851" i="3" s="1"/>
  <c r="C839" i="3"/>
  <c r="K852" i="3" s="1"/>
  <c r="C840" i="3"/>
  <c r="K853" i="3" s="1"/>
  <c r="C841" i="3"/>
  <c r="K854" i="3" s="1"/>
  <c r="C842" i="3"/>
  <c r="K855" i="3" s="1"/>
  <c r="C843" i="3"/>
  <c r="K856" i="3" s="1"/>
  <c r="C844" i="3"/>
  <c r="K857" i="3" s="1"/>
  <c r="C845" i="3"/>
  <c r="K858" i="3" s="1"/>
  <c r="C846" i="3"/>
  <c r="K859" i="3" s="1"/>
  <c r="C847" i="3"/>
  <c r="K860" i="3" s="1"/>
  <c r="C848" i="3"/>
  <c r="K861" i="3" s="1"/>
  <c r="C849" i="3"/>
  <c r="K862" i="3" s="1"/>
  <c r="C850" i="3"/>
  <c r="K863" i="3" s="1"/>
  <c r="C851" i="3"/>
  <c r="K864" i="3" s="1"/>
  <c r="C852" i="3"/>
  <c r="K865" i="3" s="1"/>
  <c r="C853" i="3"/>
  <c r="K866" i="3" s="1"/>
  <c r="C854" i="3"/>
  <c r="K867" i="3" s="1"/>
  <c r="C855" i="3"/>
  <c r="K868" i="3" s="1"/>
  <c r="C856" i="3"/>
  <c r="K869" i="3" s="1"/>
  <c r="C857" i="3"/>
  <c r="K870" i="3" s="1"/>
  <c r="C858" i="3"/>
  <c r="K871" i="3" s="1"/>
  <c r="C859" i="3"/>
  <c r="K872" i="3" s="1"/>
  <c r="C860" i="3"/>
  <c r="K873" i="3" s="1"/>
  <c r="C861" i="3"/>
  <c r="K874" i="3" s="1"/>
  <c r="C862" i="3"/>
  <c r="K875" i="3" s="1"/>
  <c r="C863" i="3"/>
  <c r="K876" i="3" s="1"/>
  <c r="C864" i="3"/>
  <c r="K877" i="3" s="1"/>
  <c r="C865" i="3"/>
  <c r="K878" i="3" s="1"/>
  <c r="C866" i="3"/>
  <c r="K879" i="3" s="1"/>
  <c r="C867" i="3"/>
  <c r="K880" i="3" s="1"/>
  <c r="C868" i="3"/>
  <c r="K881" i="3" s="1"/>
  <c r="C869" i="3"/>
  <c r="K882" i="3" s="1"/>
  <c r="C870" i="3"/>
  <c r="K883" i="3" s="1"/>
  <c r="C871" i="3"/>
  <c r="K884" i="3" s="1"/>
  <c r="C872" i="3"/>
  <c r="K885" i="3" s="1"/>
  <c r="C873" i="3"/>
  <c r="K886" i="3" s="1"/>
  <c r="C874" i="3"/>
  <c r="K887" i="3" s="1"/>
  <c r="C875" i="3"/>
  <c r="K888" i="3" s="1"/>
  <c r="C876" i="3"/>
  <c r="K889" i="3" s="1"/>
  <c r="C877" i="3"/>
  <c r="K890" i="3" s="1"/>
  <c r="C878" i="3"/>
  <c r="K891" i="3" s="1"/>
  <c r="C879" i="3"/>
  <c r="K892" i="3" s="1"/>
  <c r="C880" i="3"/>
  <c r="K893" i="3" s="1"/>
  <c r="C881" i="3"/>
  <c r="K894" i="3" s="1"/>
  <c r="C882" i="3"/>
  <c r="K895" i="3" s="1"/>
  <c r="C883" i="3"/>
  <c r="K896" i="3" s="1"/>
  <c r="C884" i="3"/>
  <c r="K897" i="3" s="1"/>
  <c r="C885" i="3"/>
  <c r="K898" i="3" s="1"/>
  <c r="C886" i="3"/>
  <c r="K899" i="3" s="1"/>
  <c r="C887" i="3"/>
  <c r="K900" i="3" s="1"/>
  <c r="C888" i="3"/>
  <c r="K901" i="3" s="1"/>
  <c r="C889" i="3"/>
  <c r="K902" i="3" s="1"/>
  <c r="C890" i="3"/>
  <c r="K903" i="3" s="1"/>
  <c r="C891" i="3"/>
  <c r="K904" i="3" s="1"/>
  <c r="C892" i="3"/>
  <c r="K905" i="3" s="1"/>
  <c r="C893" i="3"/>
  <c r="K906" i="3" s="1"/>
  <c r="C894" i="3"/>
  <c r="K907" i="3" s="1"/>
  <c r="C895" i="3"/>
  <c r="K908" i="3" s="1"/>
  <c r="C896" i="3"/>
  <c r="K909" i="3" s="1"/>
  <c r="C897" i="3"/>
  <c r="K910" i="3" s="1"/>
  <c r="C898" i="3"/>
  <c r="K911" i="3" s="1"/>
  <c r="C899" i="3"/>
  <c r="K912" i="3" s="1"/>
  <c r="C900" i="3"/>
  <c r="K913" i="3" s="1"/>
  <c r="C901" i="3"/>
  <c r="K914" i="3" s="1"/>
  <c r="C902" i="3"/>
  <c r="K915" i="3" s="1"/>
  <c r="C903" i="3"/>
  <c r="K916" i="3" s="1"/>
  <c r="C904" i="3"/>
  <c r="K917" i="3" s="1"/>
  <c r="C905" i="3"/>
  <c r="K918" i="3" s="1"/>
  <c r="C906" i="3"/>
  <c r="K919" i="3" s="1"/>
  <c r="C907" i="3"/>
  <c r="K920" i="3" s="1"/>
  <c r="C908" i="3"/>
  <c r="K921" i="3" s="1"/>
  <c r="C909" i="3"/>
  <c r="K922" i="3" s="1"/>
  <c r="C910" i="3"/>
  <c r="K923" i="3" s="1"/>
  <c r="C911" i="3"/>
  <c r="K924" i="3" s="1"/>
  <c r="C912" i="3"/>
  <c r="K925" i="3" s="1"/>
  <c r="C913" i="3"/>
  <c r="K926" i="3" s="1"/>
  <c r="C914" i="3"/>
  <c r="K927" i="3" s="1"/>
  <c r="C915" i="3"/>
  <c r="K928" i="3" s="1"/>
  <c r="C916" i="3"/>
  <c r="K929" i="3" s="1"/>
  <c r="C917" i="3"/>
  <c r="K930" i="3" s="1"/>
  <c r="C918" i="3"/>
  <c r="K931" i="3" s="1"/>
  <c r="C919" i="3"/>
  <c r="K932" i="3" s="1"/>
  <c r="C920" i="3"/>
  <c r="K933" i="3" s="1"/>
  <c r="C921" i="3"/>
  <c r="K934" i="3" s="1"/>
  <c r="C922" i="3"/>
  <c r="K935" i="3" s="1"/>
  <c r="C923" i="3"/>
  <c r="K936" i="3" s="1"/>
  <c r="C924" i="3"/>
  <c r="K937" i="3" s="1"/>
  <c r="C925" i="3"/>
  <c r="K938" i="3" s="1"/>
  <c r="C926" i="3"/>
  <c r="K939" i="3" s="1"/>
  <c r="C927" i="3"/>
  <c r="K940" i="3" s="1"/>
  <c r="C928" i="3"/>
  <c r="K941" i="3" s="1"/>
  <c r="C929" i="3"/>
  <c r="K942" i="3" s="1"/>
  <c r="C930" i="3"/>
  <c r="K943" i="3" s="1"/>
  <c r="C931" i="3"/>
  <c r="K944" i="3" s="1"/>
  <c r="C932" i="3"/>
  <c r="K945" i="3" s="1"/>
  <c r="C933" i="3"/>
  <c r="K946" i="3" s="1"/>
  <c r="C934" i="3"/>
  <c r="K947" i="3" s="1"/>
  <c r="C935" i="3"/>
  <c r="K948" i="3" s="1"/>
  <c r="C936" i="3"/>
  <c r="K949" i="3" s="1"/>
  <c r="C937" i="3"/>
  <c r="K950" i="3" s="1"/>
  <c r="C938" i="3"/>
  <c r="K951" i="3" s="1"/>
  <c r="C939" i="3"/>
  <c r="K952" i="3" s="1"/>
  <c r="C940" i="3"/>
  <c r="K953" i="3" s="1"/>
  <c r="C941" i="3"/>
  <c r="K954" i="3" s="1"/>
  <c r="C942" i="3"/>
  <c r="K955" i="3" s="1"/>
  <c r="C943" i="3"/>
  <c r="K956" i="3" s="1"/>
  <c r="C944" i="3"/>
  <c r="K957" i="3" s="1"/>
  <c r="C945" i="3"/>
  <c r="K958" i="3" s="1"/>
  <c r="C946" i="3"/>
  <c r="K959" i="3" s="1"/>
  <c r="C947" i="3"/>
  <c r="K960" i="3" s="1"/>
  <c r="C948" i="3"/>
  <c r="K961" i="3" s="1"/>
  <c r="C949" i="3"/>
  <c r="K962" i="3" s="1"/>
  <c r="C950" i="3"/>
  <c r="K963" i="3" s="1"/>
  <c r="C951" i="3"/>
  <c r="K964" i="3" s="1"/>
  <c r="C952" i="3"/>
  <c r="K965" i="3" s="1"/>
  <c r="C953" i="3"/>
  <c r="K966" i="3" s="1"/>
  <c r="C954" i="3"/>
  <c r="K967" i="3" s="1"/>
  <c r="C955" i="3"/>
  <c r="K968" i="3" s="1"/>
  <c r="C956" i="3"/>
  <c r="K969" i="3" s="1"/>
  <c r="C957" i="3"/>
  <c r="K970" i="3" s="1"/>
  <c r="C958" i="3"/>
  <c r="K971" i="3" s="1"/>
  <c r="C959" i="3"/>
  <c r="K972" i="3" s="1"/>
  <c r="C960" i="3"/>
  <c r="K973" i="3" s="1"/>
  <c r="C961" i="3"/>
  <c r="K974" i="3" s="1"/>
  <c r="C962" i="3"/>
  <c r="K975" i="3" s="1"/>
  <c r="C963" i="3"/>
  <c r="K976" i="3" s="1"/>
  <c r="C964" i="3"/>
  <c r="K977" i="3" s="1"/>
  <c r="C965" i="3"/>
  <c r="K978" i="3" s="1"/>
  <c r="C966" i="3"/>
  <c r="K979" i="3" s="1"/>
  <c r="C967" i="3"/>
  <c r="K980" i="3" s="1"/>
  <c r="C968" i="3"/>
  <c r="K981" i="3" s="1"/>
  <c r="C969" i="3"/>
  <c r="K982" i="3" s="1"/>
  <c r="C970" i="3"/>
  <c r="K983" i="3" s="1"/>
  <c r="C971" i="3"/>
  <c r="K984" i="3" s="1"/>
  <c r="C972" i="3"/>
  <c r="K985" i="3" s="1"/>
  <c r="C973" i="3"/>
  <c r="K986" i="3" s="1"/>
  <c r="C974" i="3"/>
  <c r="K987" i="3" s="1"/>
  <c r="C975" i="3"/>
  <c r="K988" i="3" s="1"/>
  <c r="C976" i="3"/>
  <c r="K989" i="3" s="1"/>
  <c r="C977" i="3"/>
  <c r="K990" i="3" s="1"/>
  <c r="C978" i="3"/>
  <c r="K991" i="3" s="1"/>
  <c r="C979" i="3"/>
  <c r="K992" i="3" s="1"/>
  <c r="C980" i="3"/>
  <c r="K993" i="3" s="1"/>
  <c r="C981" i="3"/>
  <c r="K994" i="3" s="1"/>
  <c r="C982" i="3"/>
  <c r="K995" i="3" s="1"/>
  <c r="C983" i="3"/>
  <c r="K996" i="3" s="1"/>
  <c r="C984" i="3"/>
  <c r="K997" i="3" s="1"/>
  <c r="C985" i="3"/>
  <c r="K998" i="3" s="1"/>
  <c r="C986" i="3"/>
  <c r="K999" i="3" s="1"/>
  <c r="C987" i="3"/>
  <c r="K1000" i="3" s="1"/>
  <c r="C988" i="3"/>
  <c r="K1001" i="3" s="1"/>
  <c r="C989" i="3"/>
  <c r="K1002" i="3" s="1"/>
  <c r="C990" i="3"/>
  <c r="K1003" i="3" s="1"/>
  <c r="C991" i="3"/>
  <c r="K1004" i="3" s="1"/>
  <c r="C992" i="3"/>
  <c r="K1005" i="3" s="1"/>
  <c r="C993" i="3"/>
  <c r="K1006" i="3" s="1"/>
  <c r="C994" i="3"/>
  <c r="K1007" i="3" s="1"/>
  <c r="C995" i="3"/>
  <c r="K1008" i="3" s="1"/>
  <c r="C996" i="3"/>
  <c r="K1009" i="3" s="1"/>
  <c r="C997" i="3"/>
  <c r="K1010" i="3" s="1"/>
  <c r="C998" i="3"/>
  <c r="K1011" i="3" s="1"/>
  <c r="C999" i="3"/>
  <c r="K1012" i="3" s="1"/>
  <c r="C1000" i="3"/>
  <c r="K1013" i="3" s="1"/>
  <c r="C1001" i="3"/>
  <c r="K1014" i="3" s="1"/>
  <c r="C1002" i="3"/>
  <c r="K1015" i="3" s="1"/>
  <c r="C1003" i="3"/>
  <c r="K1016" i="3" s="1"/>
  <c r="C1004" i="3"/>
  <c r="K1017" i="3" s="1"/>
  <c r="C1005" i="3"/>
  <c r="K1018" i="3" s="1"/>
  <c r="C1006" i="3"/>
  <c r="K1019" i="3" s="1"/>
  <c r="C1007" i="3"/>
  <c r="K1020" i="3" s="1"/>
  <c r="C1008" i="3"/>
  <c r="K1021" i="3" s="1"/>
  <c r="C1009" i="3"/>
  <c r="K1022" i="3" s="1"/>
  <c r="C1010" i="3"/>
  <c r="K1023" i="3" s="1"/>
  <c r="C1011" i="3"/>
  <c r="K1024" i="3" s="1"/>
  <c r="C1012" i="3"/>
  <c r="K1025" i="3" s="1"/>
  <c r="C1013" i="3"/>
  <c r="K1026" i="3" s="1"/>
  <c r="C1014" i="3"/>
  <c r="K1027" i="3" s="1"/>
  <c r="C1015" i="3"/>
  <c r="K1028" i="3" s="1"/>
  <c r="C1016" i="3"/>
  <c r="K1029" i="3" s="1"/>
  <c r="C1017" i="3"/>
  <c r="K1030" i="3" s="1"/>
  <c r="C1018" i="3"/>
  <c r="K1031" i="3" s="1"/>
  <c r="C1019" i="3"/>
  <c r="K1032" i="3" s="1"/>
  <c r="C1020" i="3"/>
  <c r="K1033" i="3" s="1"/>
  <c r="C1021" i="3"/>
  <c r="K1034" i="3" s="1"/>
  <c r="C1022" i="3"/>
  <c r="K1035" i="3" s="1"/>
  <c r="C1023" i="3"/>
  <c r="K1036" i="3" s="1"/>
  <c r="C1024" i="3"/>
  <c r="K1037" i="3" s="1"/>
  <c r="C1025" i="3"/>
  <c r="K1038" i="3" s="1"/>
  <c r="C1026" i="3"/>
  <c r="K1039" i="3" s="1"/>
  <c r="C1027" i="3"/>
  <c r="K1040" i="3" s="1"/>
  <c r="C1028" i="3"/>
  <c r="K1041" i="3" s="1"/>
  <c r="C1029" i="3"/>
  <c r="K1042" i="3" s="1"/>
  <c r="C1030" i="3"/>
  <c r="K1043" i="3" s="1"/>
  <c r="C1031" i="3"/>
  <c r="K1044" i="3" s="1"/>
  <c r="C1032" i="3"/>
  <c r="K1045" i="3" s="1"/>
  <c r="C1033" i="3"/>
  <c r="K1046" i="3" s="1"/>
  <c r="C1034" i="3"/>
  <c r="K1047" i="3" s="1"/>
  <c r="C1035" i="3"/>
  <c r="K1048" i="3" s="1"/>
  <c r="C1036" i="3"/>
  <c r="K1049" i="3" s="1"/>
  <c r="C1037" i="3"/>
  <c r="K1050" i="3" s="1"/>
  <c r="C1038" i="3"/>
  <c r="K1051" i="3" s="1"/>
  <c r="C1039" i="3"/>
  <c r="K1052" i="3" s="1"/>
  <c r="C1040" i="3"/>
  <c r="K1053" i="3" s="1"/>
  <c r="C1041" i="3"/>
  <c r="K1054" i="3" s="1"/>
  <c r="C1042" i="3"/>
  <c r="K1055" i="3" s="1"/>
  <c r="C1043" i="3"/>
  <c r="K1056" i="3" s="1"/>
  <c r="C1044" i="3"/>
  <c r="K1057" i="3" s="1"/>
  <c r="C1045" i="3"/>
  <c r="K1058" i="3" s="1"/>
  <c r="C1046" i="3"/>
  <c r="K1059" i="3" s="1"/>
  <c r="C1047" i="3"/>
  <c r="K1060" i="3" s="1"/>
  <c r="C1048" i="3"/>
  <c r="K1061" i="3" s="1"/>
  <c r="C1049" i="3"/>
  <c r="K1062" i="3" s="1"/>
  <c r="C1050" i="3"/>
  <c r="K1063" i="3" s="1"/>
  <c r="C1051" i="3"/>
  <c r="K1064" i="3" s="1"/>
  <c r="C1052" i="3"/>
  <c r="K1065" i="3" s="1"/>
  <c r="C1053" i="3"/>
  <c r="K1066" i="3" s="1"/>
  <c r="C1054" i="3"/>
  <c r="K1067" i="3" s="1"/>
  <c r="C1055" i="3"/>
  <c r="K1068" i="3" s="1"/>
  <c r="C1056" i="3"/>
  <c r="K1069" i="3" s="1"/>
  <c r="C1057" i="3"/>
  <c r="K1070" i="3" s="1"/>
  <c r="C1058" i="3"/>
  <c r="K1071" i="3" s="1"/>
  <c r="C1059" i="3"/>
  <c r="K1072" i="3" s="1"/>
  <c r="C1060" i="3"/>
  <c r="K1073" i="3" s="1"/>
  <c r="C1061" i="3"/>
  <c r="K1074" i="3" s="1"/>
  <c r="C1062" i="3"/>
  <c r="K1075" i="3" s="1"/>
  <c r="C1063" i="3"/>
  <c r="K1076" i="3" s="1"/>
  <c r="C1064" i="3"/>
  <c r="K1077" i="3" s="1"/>
  <c r="C1065" i="3"/>
  <c r="K1078" i="3" s="1"/>
  <c r="C1066" i="3"/>
  <c r="K1079" i="3" s="1"/>
  <c r="C1067" i="3"/>
  <c r="K1080" i="3" s="1"/>
  <c r="C1068" i="3"/>
  <c r="K1081" i="3" s="1"/>
  <c r="C1069" i="3"/>
  <c r="K1082" i="3" s="1"/>
  <c r="C1070" i="3"/>
  <c r="K1083" i="3" s="1"/>
  <c r="C1071" i="3"/>
  <c r="K1084" i="3" s="1"/>
  <c r="C1072" i="3"/>
  <c r="K1085" i="3" s="1"/>
  <c r="C1073" i="3"/>
  <c r="K1086" i="3" s="1"/>
  <c r="C1074" i="3"/>
  <c r="K1087" i="3" s="1"/>
  <c r="C1075" i="3"/>
  <c r="K1088" i="3" s="1"/>
  <c r="C1076" i="3"/>
  <c r="K1089" i="3" s="1"/>
  <c r="C1077" i="3"/>
  <c r="K1090" i="3" s="1"/>
  <c r="C1078" i="3"/>
  <c r="K1091" i="3" s="1"/>
  <c r="C1079" i="3"/>
  <c r="K1092" i="3" s="1"/>
  <c r="C1080" i="3"/>
  <c r="K1093" i="3" s="1"/>
  <c r="C1081" i="3"/>
  <c r="K1094" i="3" s="1"/>
  <c r="C1082" i="3"/>
  <c r="K1095" i="3" s="1"/>
  <c r="C1083" i="3"/>
  <c r="K1096" i="3" s="1"/>
  <c r="C1084" i="3"/>
  <c r="K1097" i="3" s="1"/>
  <c r="C1085" i="3"/>
  <c r="K1098" i="3" s="1"/>
  <c r="C1086" i="3"/>
  <c r="K1099" i="3" s="1"/>
  <c r="C1087" i="3"/>
  <c r="K1100" i="3" s="1"/>
  <c r="C1088" i="3"/>
  <c r="K1101" i="3" s="1"/>
  <c r="C1089" i="3"/>
  <c r="K1102" i="3" s="1"/>
  <c r="C1090" i="3"/>
  <c r="K1103" i="3" s="1"/>
  <c r="C1091" i="3"/>
  <c r="K1104" i="3" s="1"/>
  <c r="C1092" i="3"/>
  <c r="K1105" i="3" s="1"/>
  <c r="C1093" i="3"/>
  <c r="K1106" i="3" s="1"/>
  <c r="C1094" i="3"/>
  <c r="K1107" i="3" s="1"/>
  <c r="C1095" i="3"/>
  <c r="K1108" i="3" s="1"/>
  <c r="C1096" i="3"/>
  <c r="K1109" i="3" s="1"/>
  <c r="C1097" i="3"/>
  <c r="K1110" i="3" s="1"/>
  <c r="C1098" i="3"/>
  <c r="K1111" i="3" s="1"/>
  <c r="C1099" i="3"/>
  <c r="K1112" i="3" s="1"/>
  <c r="C1100" i="3"/>
  <c r="K1113" i="3" s="1"/>
  <c r="C1101" i="3"/>
  <c r="K1114" i="3" s="1"/>
  <c r="C1102" i="3"/>
  <c r="K1115" i="3" s="1"/>
  <c r="C1103" i="3"/>
  <c r="K1116" i="3" s="1"/>
  <c r="C1104" i="3"/>
  <c r="K1117" i="3" s="1"/>
  <c r="C1105" i="3"/>
  <c r="K1118" i="3" s="1"/>
  <c r="C1106" i="3"/>
  <c r="K1119" i="3" s="1"/>
  <c r="C1107" i="3"/>
  <c r="K1120" i="3" s="1"/>
  <c r="C1108" i="3"/>
  <c r="K1121" i="3" s="1"/>
  <c r="C1109" i="3"/>
  <c r="K1122" i="3" s="1"/>
  <c r="C1110" i="3"/>
  <c r="K1123" i="3" s="1"/>
  <c r="C1111" i="3"/>
  <c r="K1124" i="3" s="1"/>
  <c r="C1112" i="3"/>
  <c r="K1125" i="3" s="1"/>
  <c r="C1113" i="3"/>
  <c r="K1126" i="3" s="1"/>
  <c r="C1114" i="3"/>
  <c r="K1127" i="3" s="1"/>
  <c r="C1115" i="3"/>
  <c r="K1128" i="3" s="1"/>
  <c r="C1116" i="3"/>
  <c r="K1129" i="3" s="1"/>
  <c r="C1117" i="3"/>
  <c r="K1130" i="3" s="1"/>
  <c r="C1118" i="3"/>
  <c r="K1131" i="3" s="1"/>
  <c r="C1119" i="3"/>
  <c r="K1132" i="3" s="1"/>
  <c r="C1120" i="3"/>
  <c r="K1133" i="3" s="1"/>
  <c r="C1121" i="3"/>
  <c r="K1134" i="3" s="1"/>
  <c r="C1122" i="3"/>
  <c r="K1135" i="3" s="1"/>
  <c r="C1123" i="3"/>
  <c r="K1136" i="3" s="1"/>
  <c r="C1124" i="3"/>
  <c r="K1137" i="3" s="1"/>
  <c r="C1125" i="3"/>
  <c r="K1138" i="3" s="1"/>
  <c r="C1126" i="3"/>
  <c r="K1139" i="3" s="1"/>
  <c r="C1127" i="3"/>
  <c r="K1140" i="3" s="1"/>
  <c r="C1128" i="3"/>
  <c r="K1141" i="3" s="1"/>
  <c r="C1129" i="3"/>
  <c r="K1142" i="3" s="1"/>
  <c r="C1130" i="3"/>
  <c r="K1143" i="3" s="1"/>
  <c r="C1131" i="3"/>
  <c r="K1144" i="3" s="1"/>
  <c r="C1132" i="3"/>
  <c r="K1145" i="3" s="1"/>
  <c r="C1133" i="3"/>
  <c r="K1146" i="3" s="1"/>
  <c r="C1134" i="3"/>
  <c r="K1147" i="3" s="1"/>
  <c r="C1135" i="3"/>
  <c r="K1148" i="3" s="1"/>
  <c r="C1136" i="3"/>
  <c r="K1149" i="3" s="1"/>
  <c r="C1137" i="3"/>
  <c r="K1150" i="3" s="1"/>
  <c r="C1138" i="3"/>
  <c r="K1151" i="3" s="1"/>
  <c r="C1139" i="3"/>
  <c r="K1152" i="3" s="1"/>
  <c r="C1140" i="3"/>
  <c r="K1153" i="3" s="1"/>
  <c r="C1141" i="3"/>
  <c r="K1154" i="3" s="1"/>
  <c r="C1142" i="3"/>
  <c r="K1155" i="3" s="1"/>
  <c r="C1143" i="3"/>
  <c r="K1156" i="3" s="1"/>
  <c r="C1144" i="3"/>
  <c r="K1157" i="3" s="1"/>
  <c r="C1145" i="3"/>
  <c r="K1158" i="3" s="1"/>
  <c r="C1146" i="3"/>
  <c r="K1159" i="3" s="1"/>
  <c r="C1147" i="3"/>
  <c r="K1160" i="3" s="1"/>
  <c r="C1148" i="3"/>
  <c r="K1161" i="3" s="1"/>
  <c r="C1149" i="3"/>
  <c r="K1162" i="3" s="1"/>
  <c r="C1150" i="3"/>
  <c r="K1163" i="3" s="1"/>
  <c r="C1151" i="3"/>
  <c r="K1164" i="3" s="1"/>
  <c r="C1152" i="3"/>
  <c r="K1165" i="3" s="1"/>
  <c r="C1153" i="3"/>
  <c r="K1166" i="3" s="1"/>
  <c r="C1154" i="3"/>
  <c r="K1167" i="3" s="1"/>
  <c r="C1155" i="3"/>
  <c r="K1168" i="3" s="1"/>
  <c r="C1156" i="3"/>
  <c r="K1169" i="3" s="1"/>
  <c r="C1157" i="3"/>
  <c r="K1170" i="3" s="1"/>
  <c r="C1158" i="3"/>
  <c r="K1171" i="3" s="1"/>
  <c r="C1159" i="3"/>
  <c r="K1172" i="3" s="1"/>
  <c r="C1160" i="3"/>
  <c r="K1173" i="3" s="1"/>
  <c r="C1161" i="3"/>
  <c r="K1174" i="3" s="1"/>
  <c r="C1162" i="3"/>
  <c r="K1175" i="3" s="1"/>
  <c r="C1163" i="3"/>
  <c r="K1176" i="3" s="1"/>
  <c r="C1164" i="3"/>
  <c r="K1177" i="3" s="1"/>
  <c r="C1165" i="3"/>
  <c r="K1178" i="3" s="1"/>
  <c r="C1166" i="3"/>
  <c r="K1179" i="3" s="1"/>
  <c r="C1167" i="3"/>
  <c r="K1180" i="3" s="1"/>
  <c r="C1168" i="3"/>
  <c r="K1181" i="3" s="1"/>
  <c r="C1169" i="3"/>
  <c r="K1182" i="3" s="1"/>
  <c r="C1170" i="3"/>
  <c r="K1183" i="3" s="1"/>
  <c r="C1171" i="3"/>
  <c r="K1184" i="3" s="1"/>
  <c r="C1172" i="3"/>
  <c r="K1185" i="3" s="1"/>
  <c r="C1173" i="3"/>
  <c r="K1186" i="3" s="1"/>
  <c r="C1174" i="3"/>
  <c r="K1187" i="3" s="1"/>
  <c r="C1175" i="3"/>
  <c r="K1188" i="3" s="1"/>
  <c r="C1176" i="3"/>
  <c r="K1189" i="3" s="1"/>
  <c r="C1177" i="3"/>
  <c r="K1190" i="3" s="1"/>
  <c r="C1178" i="3"/>
  <c r="K1191" i="3" s="1"/>
  <c r="C1179" i="3"/>
  <c r="K1192" i="3" s="1"/>
  <c r="C1180" i="3"/>
  <c r="K1193" i="3" s="1"/>
  <c r="C1181" i="3"/>
  <c r="K1194" i="3" s="1"/>
  <c r="C1182" i="3"/>
  <c r="K1195" i="3" s="1"/>
  <c r="C1183" i="3"/>
  <c r="K1196" i="3" s="1"/>
  <c r="C1184" i="3"/>
  <c r="K1197" i="3" s="1"/>
  <c r="C1185" i="3"/>
  <c r="K1198" i="3" s="1"/>
  <c r="C1186" i="3"/>
  <c r="K1199" i="3" s="1"/>
  <c r="C1187" i="3"/>
  <c r="K1200" i="3" s="1"/>
  <c r="C1188" i="3"/>
  <c r="K1201" i="3" s="1"/>
  <c r="C1189" i="3"/>
  <c r="K1202" i="3" s="1"/>
  <c r="C1190" i="3"/>
  <c r="K1203" i="3" s="1"/>
  <c r="C1191" i="3"/>
  <c r="K1204" i="3" s="1"/>
  <c r="C1192" i="3"/>
  <c r="K1205" i="3" s="1"/>
  <c r="C1193" i="3"/>
  <c r="K1206" i="3" s="1"/>
  <c r="C1194" i="3"/>
  <c r="K1207" i="3" s="1"/>
  <c r="C1195" i="3"/>
  <c r="K1208" i="3" s="1"/>
  <c r="C1196" i="3"/>
  <c r="K1209" i="3" s="1"/>
  <c r="C1197" i="3"/>
  <c r="K1210" i="3" s="1"/>
  <c r="C1198" i="3"/>
  <c r="K1211" i="3" s="1"/>
  <c r="C1199" i="3"/>
  <c r="K1212" i="3" s="1"/>
  <c r="C1200" i="3"/>
  <c r="K1213" i="3" s="1"/>
  <c r="C1201" i="3"/>
  <c r="K1214" i="3" s="1"/>
  <c r="C1202" i="3"/>
  <c r="K1215" i="3" s="1"/>
  <c r="C1203" i="3"/>
  <c r="K1216" i="3" s="1"/>
  <c r="C1204" i="3"/>
  <c r="K1217" i="3" s="1"/>
  <c r="C1205" i="3"/>
  <c r="K1218" i="3" s="1"/>
  <c r="C1206" i="3"/>
  <c r="K1219" i="3" s="1"/>
  <c r="C1207" i="3"/>
  <c r="K1220" i="3" s="1"/>
  <c r="C1208" i="3"/>
  <c r="K1221" i="3" s="1"/>
  <c r="C1209" i="3"/>
  <c r="K1222" i="3" s="1"/>
  <c r="C1210" i="3"/>
  <c r="K1223" i="3" s="1"/>
  <c r="C1211" i="3"/>
  <c r="K1224" i="3" s="1"/>
  <c r="C1212" i="3"/>
  <c r="K1225" i="3" s="1"/>
  <c r="C1213" i="3"/>
  <c r="K1226" i="3" s="1"/>
  <c r="C1214" i="3"/>
  <c r="K1227" i="3" s="1"/>
  <c r="C1215" i="3"/>
  <c r="K1228" i="3" s="1"/>
  <c r="C1216" i="3"/>
  <c r="K1229" i="3" s="1"/>
  <c r="C1217" i="3"/>
  <c r="K1230" i="3" s="1"/>
  <c r="C1218" i="3"/>
  <c r="K1231" i="3" s="1"/>
  <c r="C1219" i="3"/>
  <c r="K1232" i="3" s="1"/>
  <c r="C1220" i="3"/>
  <c r="K1233" i="3" s="1"/>
  <c r="C1221" i="3"/>
  <c r="K1234" i="3" s="1"/>
  <c r="C1222" i="3"/>
  <c r="K1235" i="3" s="1"/>
  <c r="C1223" i="3"/>
  <c r="K1236" i="3" s="1"/>
  <c r="C1224" i="3"/>
  <c r="K1237" i="3" s="1"/>
  <c r="C1225" i="3"/>
  <c r="K1238" i="3" s="1"/>
  <c r="C1226" i="3"/>
  <c r="K1239" i="3" s="1"/>
  <c r="C1227" i="3"/>
  <c r="K1240" i="3" s="1"/>
  <c r="C1228" i="3"/>
  <c r="K1241" i="3" s="1"/>
  <c r="C1229" i="3"/>
  <c r="K1242" i="3" s="1"/>
  <c r="C1230" i="3"/>
  <c r="K1243" i="3" s="1"/>
  <c r="C1231" i="3"/>
  <c r="K1244" i="3" s="1"/>
  <c r="C1232" i="3"/>
  <c r="K1245" i="3" s="1"/>
  <c r="C1233" i="3"/>
  <c r="K1246" i="3" s="1"/>
  <c r="C1234" i="3"/>
  <c r="K1247" i="3" s="1"/>
  <c r="C1235" i="3"/>
  <c r="K1248" i="3" s="1"/>
  <c r="C1236" i="3"/>
  <c r="K1249" i="3" s="1"/>
  <c r="C1237" i="3"/>
  <c r="K1250" i="3" s="1"/>
  <c r="C1238" i="3"/>
  <c r="K1251" i="3" s="1"/>
  <c r="C1239" i="3"/>
  <c r="K1252" i="3" s="1"/>
  <c r="C1240" i="3"/>
  <c r="K1253" i="3" s="1"/>
  <c r="C1241" i="3"/>
  <c r="K1254" i="3" s="1"/>
  <c r="C1242" i="3"/>
  <c r="K1255" i="3" s="1"/>
  <c r="C1243" i="3"/>
  <c r="K1256" i="3" s="1"/>
  <c r="C1244" i="3"/>
  <c r="K1257" i="3" s="1"/>
  <c r="C1245" i="3"/>
  <c r="K1258" i="3" s="1"/>
  <c r="C1246" i="3"/>
  <c r="K1259" i="3" s="1"/>
  <c r="C1247" i="3"/>
  <c r="K1260" i="3" s="1"/>
  <c r="C1248" i="3"/>
  <c r="K1261" i="3" s="1"/>
  <c r="C1249" i="3"/>
  <c r="K1262" i="3" s="1"/>
  <c r="C1250" i="3"/>
  <c r="K1263" i="3" s="1"/>
  <c r="C1251" i="3"/>
  <c r="K1264" i="3" s="1"/>
  <c r="C1252" i="3"/>
  <c r="K1265" i="3" s="1"/>
  <c r="C1253" i="3"/>
  <c r="K1266" i="3" s="1"/>
  <c r="C1254" i="3"/>
  <c r="K1267" i="3" s="1"/>
  <c r="C1255" i="3"/>
  <c r="K1268" i="3" s="1"/>
  <c r="C1256" i="3"/>
  <c r="K1269" i="3" s="1"/>
  <c r="C1257" i="3"/>
  <c r="K1270" i="3" s="1"/>
  <c r="C1258" i="3"/>
  <c r="K1271" i="3" s="1"/>
  <c r="C1259" i="3"/>
  <c r="K1272" i="3" s="1"/>
  <c r="C1260" i="3"/>
  <c r="K1273" i="3" s="1"/>
  <c r="C1261" i="3"/>
  <c r="K1274" i="3" s="1"/>
  <c r="C1262" i="3"/>
  <c r="K1275" i="3" s="1"/>
  <c r="C1263" i="3"/>
  <c r="K1276" i="3" s="1"/>
  <c r="C1264" i="3"/>
  <c r="K1277" i="3" s="1"/>
  <c r="C1265" i="3"/>
  <c r="K1278" i="3" s="1"/>
  <c r="C1266" i="3"/>
  <c r="K1279" i="3" s="1"/>
  <c r="C1267" i="3"/>
  <c r="K1280" i="3" s="1"/>
  <c r="C1268" i="3"/>
  <c r="K1281" i="3" s="1"/>
  <c r="C1269" i="3"/>
  <c r="K1282" i="3" s="1"/>
  <c r="C1270" i="3"/>
  <c r="K1283" i="3" s="1"/>
  <c r="C1271" i="3"/>
  <c r="K1284" i="3" s="1"/>
  <c r="C1272" i="3"/>
  <c r="K1285" i="3" s="1"/>
  <c r="C1273" i="3"/>
  <c r="K1286" i="3" s="1"/>
  <c r="C1274" i="3"/>
  <c r="K1287" i="3" s="1"/>
  <c r="C1275" i="3"/>
  <c r="K1288" i="3" s="1"/>
  <c r="C1276" i="3"/>
  <c r="K1289" i="3" s="1"/>
  <c r="C1277" i="3"/>
  <c r="K1290" i="3" s="1"/>
  <c r="C1278" i="3"/>
  <c r="K1291" i="3" s="1"/>
  <c r="C1279" i="3"/>
  <c r="K1292" i="3" s="1"/>
  <c r="C1280" i="3"/>
  <c r="K1293" i="3" s="1"/>
  <c r="C1281" i="3"/>
  <c r="K1294" i="3" s="1"/>
  <c r="C1282" i="3"/>
  <c r="K1295" i="3" s="1"/>
  <c r="C1283" i="3"/>
  <c r="K1296" i="3" s="1"/>
  <c r="C1284" i="3"/>
  <c r="K1297" i="3" s="1"/>
  <c r="C1285" i="3"/>
  <c r="K1298" i="3" s="1"/>
  <c r="C1286" i="3"/>
  <c r="K1299" i="3" s="1"/>
  <c r="C1287" i="3"/>
  <c r="K1300" i="3" s="1"/>
  <c r="C1288" i="3"/>
  <c r="K1301" i="3" s="1"/>
  <c r="C1289" i="3"/>
  <c r="K1302" i="3" s="1"/>
  <c r="C1290" i="3"/>
  <c r="K1303" i="3" s="1"/>
  <c r="C1291" i="3"/>
  <c r="K1304" i="3" s="1"/>
  <c r="C1292" i="3"/>
  <c r="K1305" i="3" s="1"/>
  <c r="C1293" i="3"/>
  <c r="K1306" i="3" s="1"/>
  <c r="C1294" i="3"/>
  <c r="K1307" i="3" s="1"/>
  <c r="C1295" i="3"/>
  <c r="K1308" i="3" s="1"/>
  <c r="C1296" i="3"/>
  <c r="K1309" i="3" s="1"/>
  <c r="C1297" i="3"/>
  <c r="K1310" i="3" s="1"/>
  <c r="C1298" i="3"/>
  <c r="K1311" i="3" s="1"/>
  <c r="C1299" i="3"/>
  <c r="K1312" i="3" s="1"/>
  <c r="C1300" i="3"/>
  <c r="K1313" i="3" s="1"/>
  <c r="C1301" i="3"/>
  <c r="K1314" i="3" s="1"/>
  <c r="C1302" i="3"/>
  <c r="K1315" i="3" s="1"/>
  <c r="C1303" i="3"/>
  <c r="K1316" i="3" s="1"/>
  <c r="C1304" i="3"/>
  <c r="K1317" i="3" s="1"/>
  <c r="C1305" i="3"/>
  <c r="K1318" i="3" s="1"/>
  <c r="C1306" i="3"/>
  <c r="K1319" i="3" s="1"/>
  <c r="C1307" i="3"/>
  <c r="K1320" i="3" s="1"/>
  <c r="C1308" i="3"/>
  <c r="K1321" i="3" s="1"/>
  <c r="C1309" i="3"/>
  <c r="K1322" i="3" s="1"/>
  <c r="C1310" i="3"/>
  <c r="K1323" i="3" s="1"/>
  <c r="C1311" i="3"/>
  <c r="K1324" i="3" s="1"/>
  <c r="C1312" i="3"/>
  <c r="K1325" i="3" s="1"/>
  <c r="C1313" i="3"/>
  <c r="K1326" i="3" s="1"/>
  <c r="C1314" i="3"/>
  <c r="K1327" i="3" s="1"/>
  <c r="C1315" i="3"/>
  <c r="K1328" i="3" s="1"/>
  <c r="C1316" i="3"/>
  <c r="K1329" i="3" s="1"/>
  <c r="C1317" i="3"/>
  <c r="K1330" i="3" s="1"/>
  <c r="C1318" i="3"/>
  <c r="K1331" i="3" s="1"/>
  <c r="C1319" i="3"/>
  <c r="K1332" i="3" s="1"/>
  <c r="C1320" i="3"/>
  <c r="K1333" i="3" s="1"/>
  <c r="C1321" i="3"/>
  <c r="K1334" i="3" s="1"/>
  <c r="C1322" i="3"/>
  <c r="K1335" i="3" s="1"/>
  <c r="C1323" i="3"/>
  <c r="K1336" i="3" s="1"/>
  <c r="C1324" i="3"/>
  <c r="K1337" i="3" s="1"/>
  <c r="C1325" i="3"/>
  <c r="K1338" i="3" s="1"/>
  <c r="C1326" i="3"/>
  <c r="K1339" i="3" s="1"/>
  <c r="C1327" i="3"/>
  <c r="K1340" i="3" s="1"/>
  <c r="C1328" i="3"/>
  <c r="K1341" i="3" s="1"/>
  <c r="C1329" i="3"/>
  <c r="K1342" i="3" s="1"/>
  <c r="C1330" i="3"/>
  <c r="K1343" i="3" s="1"/>
  <c r="C1331" i="3"/>
  <c r="K1344" i="3" s="1"/>
  <c r="C1332" i="3"/>
  <c r="K1345" i="3" s="1"/>
  <c r="C1333" i="3"/>
  <c r="K1346" i="3" s="1"/>
  <c r="C1334" i="3"/>
  <c r="K1347" i="3" s="1"/>
  <c r="C1335" i="3"/>
  <c r="K1348" i="3" s="1"/>
  <c r="C1336" i="3"/>
  <c r="K1349" i="3" s="1"/>
  <c r="C1337" i="3"/>
  <c r="K1350" i="3" s="1"/>
  <c r="C1338" i="3"/>
  <c r="K1351" i="3" s="1"/>
  <c r="C1339" i="3"/>
  <c r="K1352" i="3" s="1"/>
  <c r="C1340" i="3"/>
  <c r="K1353" i="3" s="1"/>
  <c r="C1341" i="3"/>
  <c r="K1354" i="3" s="1"/>
  <c r="C1342" i="3"/>
  <c r="K1355" i="3" s="1"/>
  <c r="C1343" i="3"/>
  <c r="K1356" i="3" s="1"/>
  <c r="C1344" i="3"/>
  <c r="K1357" i="3" s="1"/>
  <c r="C1345" i="3"/>
  <c r="K1358" i="3" s="1"/>
  <c r="C1346" i="3"/>
  <c r="K1359" i="3" s="1"/>
  <c r="C1347" i="3"/>
  <c r="K1360" i="3" s="1"/>
  <c r="C1348" i="3"/>
  <c r="K1361" i="3" s="1"/>
  <c r="C1349" i="3"/>
  <c r="K1362" i="3" s="1"/>
  <c r="C1350" i="3"/>
  <c r="K1363" i="3" s="1"/>
  <c r="C1351" i="3"/>
  <c r="K1364" i="3" s="1"/>
  <c r="C1352" i="3"/>
  <c r="K1365" i="3" s="1"/>
  <c r="C1353" i="3"/>
  <c r="K1366" i="3" s="1"/>
  <c r="C1354" i="3"/>
  <c r="K1367" i="3" s="1"/>
  <c r="C1355" i="3"/>
  <c r="K1368" i="3" s="1"/>
  <c r="C1356" i="3"/>
  <c r="K1369" i="3" s="1"/>
  <c r="C1357" i="3"/>
  <c r="K1370" i="3" s="1"/>
  <c r="C1358" i="3"/>
  <c r="K1371" i="3" s="1"/>
  <c r="C1359" i="3"/>
  <c r="K1372" i="3" s="1"/>
  <c r="C1360" i="3"/>
  <c r="K1373" i="3" s="1"/>
  <c r="C1361" i="3"/>
  <c r="K1374" i="3" s="1"/>
  <c r="C1362" i="3"/>
  <c r="K1375" i="3" s="1"/>
  <c r="C1363" i="3"/>
  <c r="K1376" i="3" s="1"/>
  <c r="C1364" i="3"/>
  <c r="K1377" i="3" s="1"/>
  <c r="C1365" i="3"/>
  <c r="K1378" i="3" s="1"/>
  <c r="C1366" i="3"/>
  <c r="K1379" i="3" s="1"/>
  <c r="C1367" i="3"/>
  <c r="K1380" i="3" s="1"/>
  <c r="C1368" i="3"/>
  <c r="K1381" i="3" s="1"/>
  <c r="C1369" i="3"/>
  <c r="K1382" i="3" s="1"/>
  <c r="C1370" i="3"/>
  <c r="K1383" i="3" s="1"/>
  <c r="C1371" i="3"/>
  <c r="K1384" i="3" s="1"/>
  <c r="C1372" i="3"/>
  <c r="K1385" i="3" s="1"/>
  <c r="C1373" i="3"/>
  <c r="K1386" i="3" s="1"/>
  <c r="C1374" i="3"/>
  <c r="K1387" i="3" s="1"/>
  <c r="C1375" i="3"/>
  <c r="K1388" i="3" s="1"/>
  <c r="C1376" i="3"/>
  <c r="K1389" i="3" s="1"/>
  <c r="C1377" i="3"/>
  <c r="K1390" i="3" s="1"/>
  <c r="C1378" i="3"/>
  <c r="K1391" i="3" s="1"/>
  <c r="C1379" i="3"/>
  <c r="K1392" i="3" s="1"/>
  <c r="C1380" i="3"/>
  <c r="K1393" i="3" s="1"/>
  <c r="C1381" i="3"/>
  <c r="K1394" i="3" s="1"/>
  <c r="C1382" i="3"/>
  <c r="K1395" i="3" s="1"/>
  <c r="C1383" i="3"/>
  <c r="K1396" i="3" s="1"/>
  <c r="C1384" i="3"/>
  <c r="K1397" i="3" s="1"/>
  <c r="C1385" i="3"/>
  <c r="K1398" i="3" s="1"/>
  <c r="C1386" i="3"/>
  <c r="K1399" i="3" s="1"/>
  <c r="C1387" i="3"/>
  <c r="K1400" i="3" s="1"/>
  <c r="C1388" i="3"/>
  <c r="K1401" i="3" s="1"/>
  <c r="C1389" i="3"/>
  <c r="K1402" i="3" s="1"/>
  <c r="C1390" i="3"/>
  <c r="K1403" i="3" s="1"/>
  <c r="C1391" i="3"/>
  <c r="K1404" i="3" s="1"/>
  <c r="C1392" i="3"/>
  <c r="K1405" i="3" s="1"/>
  <c r="C1393" i="3"/>
  <c r="K1406" i="3" s="1"/>
  <c r="C1394" i="3"/>
  <c r="K1407" i="3" s="1"/>
  <c r="C1395" i="3"/>
  <c r="K1408" i="3" s="1"/>
  <c r="C1396" i="3"/>
  <c r="K1409" i="3" s="1"/>
  <c r="C1397" i="3"/>
  <c r="K1410" i="3" s="1"/>
  <c r="C1398" i="3"/>
  <c r="K1411" i="3" s="1"/>
  <c r="C1399" i="3"/>
  <c r="K1412" i="3" s="1"/>
  <c r="C1400" i="3"/>
  <c r="K1413" i="3" s="1"/>
  <c r="C1401" i="3"/>
  <c r="K1414" i="3" s="1"/>
  <c r="C1402" i="3"/>
  <c r="K1415" i="3" s="1"/>
  <c r="C1403" i="3"/>
  <c r="K1416" i="3" s="1"/>
  <c r="C1404" i="3"/>
  <c r="K1417" i="3" s="1"/>
  <c r="C1405" i="3"/>
  <c r="K1418" i="3" s="1"/>
  <c r="C1406" i="3"/>
  <c r="K1419" i="3" s="1"/>
  <c r="C1407" i="3"/>
  <c r="K1420" i="3" s="1"/>
  <c r="C1408" i="3"/>
  <c r="K1421" i="3" s="1"/>
  <c r="C1409" i="3"/>
  <c r="K1422" i="3" s="1"/>
  <c r="C1410" i="3"/>
  <c r="K1423" i="3" s="1"/>
  <c r="C1411" i="3"/>
  <c r="K1424" i="3" s="1"/>
  <c r="C1412" i="3"/>
  <c r="K1425" i="3" s="1"/>
  <c r="C1413" i="3"/>
  <c r="K1426" i="3" s="1"/>
  <c r="C1414" i="3"/>
  <c r="K1427" i="3" s="1"/>
  <c r="C1415" i="3"/>
  <c r="K1428" i="3" s="1"/>
  <c r="C1416" i="3"/>
  <c r="K1429" i="3" s="1"/>
  <c r="C1417" i="3"/>
  <c r="K1430" i="3" s="1"/>
  <c r="C1418" i="3"/>
  <c r="K1431" i="3" s="1"/>
  <c r="C1419" i="3"/>
  <c r="K1432" i="3" s="1"/>
  <c r="C1420" i="3"/>
  <c r="K1433" i="3" s="1"/>
  <c r="C1421" i="3"/>
  <c r="K1434" i="3" s="1"/>
  <c r="C1422" i="3"/>
  <c r="K1435" i="3" s="1"/>
  <c r="C1423" i="3"/>
  <c r="K1436" i="3" s="1"/>
  <c r="C1424" i="3"/>
  <c r="K1437" i="3" s="1"/>
  <c r="C1425" i="3"/>
  <c r="K1438" i="3" s="1"/>
  <c r="C1426" i="3"/>
  <c r="K1439" i="3" s="1"/>
  <c r="C1427" i="3"/>
  <c r="K1440" i="3" s="1"/>
  <c r="C1428" i="3"/>
  <c r="K1441" i="3" s="1"/>
  <c r="C1429" i="3"/>
  <c r="K1442" i="3" s="1"/>
  <c r="C1430" i="3"/>
  <c r="K1443" i="3" s="1"/>
  <c r="C1431" i="3"/>
  <c r="K1444" i="3" s="1"/>
  <c r="C1432" i="3"/>
  <c r="K1445" i="3" s="1"/>
  <c r="C1433" i="3"/>
  <c r="K1446" i="3" s="1"/>
  <c r="C1434" i="3"/>
  <c r="K1447" i="3" s="1"/>
  <c r="C1435" i="3"/>
  <c r="K1448" i="3" s="1"/>
  <c r="C1436" i="3"/>
  <c r="K1449" i="3" s="1"/>
  <c r="C1437" i="3"/>
  <c r="K1450" i="3" s="1"/>
  <c r="C1438" i="3"/>
  <c r="K1451" i="3" s="1"/>
  <c r="C1439" i="3"/>
  <c r="K1452" i="3" s="1"/>
  <c r="C1440" i="3"/>
  <c r="K1453" i="3" s="1"/>
  <c r="C1441" i="3"/>
  <c r="K1454" i="3" s="1"/>
  <c r="C1442" i="3"/>
  <c r="K1455" i="3" s="1"/>
  <c r="C1443" i="3"/>
  <c r="K1456" i="3" s="1"/>
  <c r="C1444" i="3"/>
  <c r="K1457" i="3" s="1"/>
  <c r="C1445" i="3"/>
  <c r="K1458" i="3" s="1"/>
  <c r="C1446" i="3"/>
  <c r="K1459" i="3" s="1"/>
  <c r="C1447" i="3"/>
  <c r="K1460" i="3" s="1"/>
  <c r="C1448" i="3"/>
  <c r="K1461" i="3" s="1"/>
  <c r="C1449" i="3"/>
  <c r="K1462" i="3" s="1"/>
  <c r="C1450" i="3"/>
  <c r="K1463" i="3" s="1"/>
  <c r="C1451" i="3"/>
  <c r="K1464" i="3" s="1"/>
  <c r="C1452" i="3"/>
  <c r="K1465" i="3" s="1"/>
  <c r="C1453" i="3"/>
  <c r="K1466" i="3" s="1"/>
  <c r="C1454" i="3"/>
  <c r="K1467" i="3" s="1"/>
  <c r="C1455" i="3"/>
  <c r="K1468" i="3" s="1"/>
  <c r="C1456" i="3"/>
  <c r="K1469" i="3" s="1"/>
  <c r="C1457" i="3"/>
  <c r="K1470" i="3" s="1"/>
  <c r="C1458" i="3"/>
  <c r="K1471" i="3" s="1"/>
  <c r="C1459" i="3"/>
  <c r="K1472" i="3" s="1"/>
  <c r="C1460" i="3"/>
  <c r="K1473" i="3" s="1"/>
  <c r="C1461" i="3"/>
  <c r="K1474" i="3" s="1"/>
  <c r="C1462" i="3"/>
  <c r="K1475" i="3" s="1"/>
  <c r="C1463" i="3"/>
  <c r="K1476" i="3" s="1"/>
  <c r="C1464" i="3"/>
  <c r="K1477" i="3" s="1"/>
  <c r="C1465" i="3"/>
  <c r="K1478" i="3" s="1"/>
  <c r="C1466" i="3"/>
  <c r="K1479" i="3" s="1"/>
  <c r="C1467" i="3"/>
  <c r="K1480" i="3" s="1"/>
  <c r="C1468" i="3"/>
  <c r="K1481" i="3" s="1"/>
  <c r="C1469" i="3"/>
  <c r="K1482" i="3" s="1"/>
  <c r="C1470" i="3"/>
  <c r="K1483" i="3" s="1"/>
  <c r="C1471" i="3"/>
  <c r="K1484" i="3" s="1"/>
  <c r="C1472" i="3"/>
  <c r="K1485" i="3" s="1"/>
  <c r="C1473" i="3"/>
  <c r="K1486" i="3" s="1"/>
  <c r="C1474" i="3"/>
  <c r="K1487" i="3" s="1"/>
  <c r="C1475" i="3"/>
  <c r="K1488" i="3" s="1"/>
  <c r="C1476" i="3"/>
  <c r="K1489" i="3" s="1"/>
  <c r="C1477" i="3"/>
  <c r="K1490" i="3" s="1"/>
  <c r="C1478" i="3"/>
  <c r="K1491" i="3" s="1"/>
  <c r="C1479" i="3"/>
  <c r="K1492" i="3" s="1"/>
  <c r="C1480" i="3"/>
  <c r="K1493" i="3" s="1"/>
  <c r="C1481" i="3"/>
  <c r="K1494" i="3" s="1"/>
  <c r="C1482" i="3"/>
  <c r="K1495" i="3" s="1"/>
  <c r="C1483" i="3"/>
  <c r="K1496" i="3" s="1"/>
  <c r="C1484" i="3"/>
  <c r="K1497" i="3" s="1"/>
  <c r="C1485" i="3"/>
  <c r="K1498" i="3" s="1"/>
  <c r="C1486" i="3"/>
  <c r="K1499" i="3" s="1"/>
  <c r="C1487" i="3"/>
  <c r="K1500" i="3" s="1"/>
  <c r="C1488" i="3"/>
  <c r="K1501" i="3" s="1"/>
  <c r="C1489" i="3"/>
  <c r="K1502" i="3" s="1"/>
  <c r="C1490" i="3"/>
  <c r="K1503" i="3" s="1"/>
  <c r="C1491" i="3"/>
  <c r="K1504" i="3" s="1"/>
  <c r="C1492" i="3"/>
  <c r="K1505" i="3" s="1"/>
  <c r="C1493" i="3"/>
  <c r="K1506" i="3" s="1"/>
  <c r="C1494" i="3"/>
  <c r="K1507" i="3" s="1"/>
  <c r="C1495" i="3"/>
  <c r="K1508" i="3" s="1"/>
  <c r="C1496" i="3"/>
  <c r="K1509" i="3" s="1"/>
  <c r="C1497" i="3"/>
  <c r="K1510" i="3" s="1"/>
  <c r="C1498" i="3"/>
  <c r="K1511" i="3" s="1"/>
  <c r="C1499" i="3"/>
  <c r="K1512" i="3" s="1"/>
  <c r="C1500" i="3"/>
  <c r="K1513" i="3" s="1"/>
  <c r="C1501" i="3"/>
  <c r="K1514" i="3" s="1"/>
  <c r="C1502" i="3"/>
  <c r="K1515" i="3" s="1"/>
  <c r="C1503" i="3"/>
  <c r="K1516" i="3" s="1"/>
  <c r="C1504" i="3"/>
  <c r="K1517" i="3" s="1"/>
  <c r="C1505" i="3"/>
  <c r="K1518" i="3" s="1"/>
  <c r="C1506" i="3"/>
  <c r="K1519" i="3" s="1"/>
  <c r="C1507" i="3"/>
  <c r="K1520" i="3" s="1"/>
  <c r="C1508" i="3"/>
  <c r="K1521" i="3" s="1"/>
  <c r="C1509" i="3"/>
  <c r="K1522" i="3" s="1"/>
  <c r="C1510" i="3"/>
  <c r="K1523" i="3" s="1"/>
  <c r="C1511" i="3"/>
  <c r="K1524" i="3" s="1"/>
  <c r="C1512" i="3"/>
  <c r="K1525" i="3" s="1"/>
  <c r="C1513" i="3"/>
  <c r="K1526" i="3" s="1"/>
  <c r="C1514" i="3"/>
  <c r="K1527" i="3" s="1"/>
  <c r="C1515" i="3"/>
  <c r="K1528" i="3" s="1"/>
  <c r="C1516" i="3"/>
  <c r="K1529" i="3" s="1"/>
  <c r="C1517" i="3"/>
  <c r="K1530" i="3" s="1"/>
  <c r="C1518" i="3"/>
  <c r="K1531" i="3" s="1"/>
  <c r="C1519" i="3"/>
  <c r="K1532" i="3" s="1"/>
  <c r="C1520" i="3"/>
  <c r="K1533" i="3" s="1"/>
  <c r="C1521" i="3"/>
  <c r="K1534" i="3" s="1"/>
  <c r="C1522" i="3"/>
  <c r="K1535" i="3" s="1"/>
  <c r="C1523" i="3"/>
  <c r="K1536" i="3" s="1"/>
  <c r="C1524" i="3"/>
  <c r="K1537" i="3" s="1"/>
  <c r="C1525" i="3"/>
  <c r="K1538" i="3" s="1"/>
  <c r="C1526" i="3"/>
  <c r="K1539" i="3" s="1"/>
  <c r="C1527" i="3"/>
  <c r="K1540" i="3" s="1"/>
  <c r="C1528" i="3"/>
  <c r="K1541" i="3" s="1"/>
  <c r="C1529" i="3"/>
  <c r="K1542" i="3" s="1"/>
  <c r="C1530" i="3"/>
  <c r="K1543" i="3" s="1"/>
  <c r="C1531" i="3"/>
  <c r="K1544" i="3" s="1"/>
  <c r="C1532" i="3"/>
  <c r="K1545" i="3" s="1"/>
  <c r="C1533" i="3"/>
  <c r="K1546" i="3" s="1"/>
  <c r="C1534" i="3"/>
  <c r="K1547" i="3" s="1"/>
  <c r="C1535" i="3"/>
  <c r="K1548" i="3" s="1"/>
  <c r="C1536" i="3"/>
  <c r="K1549" i="3" s="1"/>
  <c r="C1537" i="3"/>
  <c r="K1550" i="3" s="1"/>
  <c r="C1538" i="3"/>
  <c r="K1551" i="3" s="1"/>
  <c r="C1539" i="3"/>
  <c r="K1552" i="3" s="1"/>
  <c r="C1540" i="3"/>
  <c r="K1553" i="3" s="1"/>
  <c r="C1541" i="3"/>
  <c r="K1554" i="3" s="1"/>
  <c r="C1542" i="3"/>
  <c r="K1555" i="3" s="1"/>
  <c r="C1543" i="3"/>
  <c r="K1556" i="3" s="1"/>
  <c r="C1544" i="3"/>
  <c r="K1557" i="3" s="1"/>
  <c r="C1545" i="3"/>
  <c r="K1558" i="3" s="1"/>
  <c r="C1546" i="3"/>
  <c r="K1559" i="3" s="1"/>
  <c r="C1547" i="3"/>
  <c r="K1560" i="3" s="1"/>
  <c r="C1548" i="3"/>
  <c r="K1561" i="3" s="1"/>
  <c r="C1549" i="3"/>
  <c r="K1562" i="3" s="1"/>
  <c r="C1550" i="3"/>
  <c r="K1563" i="3" s="1"/>
  <c r="C1551" i="3"/>
  <c r="K1564" i="3" s="1"/>
  <c r="C1552" i="3"/>
  <c r="K1565" i="3" s="1"/>
  <c r="C1553" i="3"/>
  <c r="K1566" i="3" s="1"/>
  <c r="C1554" i="3"/>
  <c r="K1567" i="3" s="1"/>
  <c r="C1555" i="3"/>
  <c r="K1568" i="3" s="1"/>
  <c r="C1556" i="3"/>
  <c r="K1569" i="3" s="1"/>
  <c r="C1557" i="3"/>
  <c r="K1570" i="3" s="1"/>
  <c r="C1558" i="3"/>
  <c r="K1571" i="3" s="1"/>
  <c r="C1559" i="3"/>
  <c r="K1572" i="3" s="1"/>
  <c r="C1560" i="3"/>
  <c r="K1573" i="3" s="1"/>
  <c r="C1561" i="3"/>
  <c r="K1574" i="3" s="1"/>
  <c r="C1562" i="3"/>
  <c r="K1575" i="3" s="1"/>
  <c r="C1563" i="3"/>
  <c r="K1576" i="3" s="1"/>
  <c r="C1564" i="3"/>
  <c r="K1577" i="3" s="1"/>
  <c r="C1565" i="3"/>
  <c r="K1578" i="3" s="1"/>
  <c r="C1566" i="3"/>
  <c r="K1579" i="3" s="1"/>
  <c r="C1567" i="3"/>
  <c r="K1580" i="3" s="1"/>
  <c r="C1568" i="3"/>
  <c r="K1581" i="3" s="1"/>
  <c r="C1569" i="3"/>
  <c r="K1582" i="3" s="1"/>
  <c r="C1570" i="3"/>
  <c r="K1583" i="3" s="1"/>
  <c r="C1571" i="3"/>
  <c r="K1584" i="3" s="1"/>
  <c r="C1572" i="3"/>
  <c r="K1585" i="3" s="1"/>
  <c r="C1573" i="3"/>
  <c r="K1586" i="3" s="1"/>
  <c r="C1574" i="3"/>
  <c r="K1587" i="3" s="1"/>
  <c r="C1575" i="3"/>
  <c r="K1588" i="3" s="1"/>
  <c r="C1576" i="3"/>
  <c r="K1589" i="3" s="1"/>
  <c r="C1577" i="3"/>
  <c r="K1590" i="3" s="1"/>
  <c r="C1578" i="3"/>
  <c r="K1591" i="3" s="1"/>
  <c r="C1579" i="3"/>
  <c r="K1592" i="3" s="1"/>
  <c r="C1580" i="3"/>
  <c r="K1593" i="3" s="1"/>
  <c r="C1581" i="3"/>
  <c r="K1594" i="3" s="1"/>
  <c r="C1582" i="3"/>
  <c r="K1595" i="3" s="1"/>
  <c r="C1583" i="3"/>
  <c r="K1596" i="3" s="1"/>
  <c r="C1584" i="3"/>
  <c r="K1597" i="3" s="1"/>
  <c r="C1585" i="3"/>
  <c r="K1598" i="3" s="1"/>
  <c r="C1586" i="3"/>
  <c r="K1599" i="3" s="1"/>
  <c r="C1587" i="3"/>
  <c r="K1600" i="3" s="1"/>
  <c r="C1588" i="3"/>
  <c r="K1601" i="3" s="1"/>
  <c r="C1589" i="3"/>
  <c r="K1602" i="3" s="1"/>
  <c r="C1590" i="3"/>
  <c r="K1603" i="3" s="1"/>
  <c r="C1591" i="3"/>
  <c r="K1604" i="3" s="1"/>
  <c r="C1592" i="3"/>
  <c r="K1605" i="3" s="1"/>
  <c r="C1593" i="3"/>
  <c r="K1606" i="3" s="1"/>
  <c r="C1594" i="3"/>
  <c r="K1607" i="3" s="1"/>
  <c r="C1595" i="3"/>
  <c r="K1608" i="3" s="1"/>
  <c r="C1596" i="3"/>
  <c r="K1609" i="3" s="1"/>
  <c r="C1597" i="3"/>
  <c r="K1610" i="3" s="1"/>
  <c r="C1598" i="3"/>
  <c r="K1611" i="3" s="1"/>
  <c r="C1599" i="3"/>
  <c r="K1612" i="3" s="1"/>
  <c r="C1600" i="3"/>
  <c r="K1613" i="3" s="1"/>
  <c r="C1601" i="3"/>
  <c r="K1614" i="3" s="1"/>
  <c r="C1602" i="3"/>
  <c r="K1615" i="3" s="1"/>
  <c r="C1603" i="3"/>
  <c r="K1616" i="3" s="1"/>
  <c r="C1604" i="3"/>
  <c r="K1617" i="3" s="1"/>
  <c r="C1605" i="3"/>
  <c r="K1618" i="3" s="1"/>
  <c r="C1606" i="3"/>
  <c r="K1619" i="3" s="1"/>
  <c r="C1607" i="3"/>
  <c r="K1620" i="3" s="1"/>
  <c r="C1608" i="3"/>
  <c r="K1621" i="3" s="1"/>
  <c r="C1609" i="3"/>
  <c r="K1622" i="3" s="1"/>
  <c r="C1610" i="3"/>
  <c r="K1623" i="3" s="1"/>
  <c r="C1611" i="3"/>
  <c r="K1624" i="3" s="1"/>
  <c r="C1612" i="3"/>
  <c r="K1625" i="3" s="1"/>
  <c r="C1613" i="3"/>
  <c r="K1626" i="3" s="1"/>
  <c r="C1614" i="3"/>
  <c r="K1627" i="3" s="1"/>
  <c r="C1615" i="3"/>
  <c r="K1628" i="3" s="1"/>
  <c r="C1616" i="3"/>
  <c r="K1629" i="3" s="1"/>
  <c r="C1617" i="3"/>
  <c r="K1630" i="3" s="1"/>
  <c r="C1618" i="3"/>
  <c r="K1631" i="3" s="1"/>
  <c r="C1619" i="3"/>
  <c r="K1632" i="3" s="1"/>
  <c r="C1620" i="3"/>
  <c r="K1633" i="3" s="1"/>
  <c r="C1621" i="3"/>
  <c r="K1634" i="3" s="1"/>
  <c r="C1622" i="3"/>
  <c r="K1635" i="3" s="1"/>
  <c r="C1623" i="3"/>
  <c r="K1636" i="3" s="1"/>
  <c r="C1624" i="3"/>
  <c r="K1637" i="3" s="1"/>
  <c r="C1625" i="3"/>
  <c r="K1638" i="3" s="1"/>
  <c r="C1626" i="3"/>
  <c r="K1639" i="3" s="1"/>
  <c r="C1627" i="3"/>
  <c r="K1640" i="3" s="1"/>
  <c r="C1628" i="3"/>
  <c r="K1641" i="3" s="1"/>
  <c r="C1629" i="3"/>
  <c r="K1642" i="3" s="1"/>
  <c r="C1630" i="3"/>
  <c r="K1643" i="3" s="1"/>
  <c r="C1631" i="3"/>
  <c r="K1644" i="3" s="1"/>
  <c r="C1632" i="3"/>
  <c r="K1645" i="3" s="1"/>
  <c r="C1633" i="3"/>
  <c r="K1646" i="3" s="1"/>
  <c r="C1634" i="3"/>
  <c r="K1647" i="3" s="1"/>
  <c r="C1635" i="3"/>
  <c r="K1648" i="3" s="1"/>
  <c r="C1636" i="3"/>
  <c r="K1649" i="3" s="1"/>
  <c r="C1637" i="3"/>
  <c r="K1650" i="3" s="1"/>
  <c r="C1638" i="3"/>
  <c r="K1651" i="3" s="1"/>
  <c r="C1639" i="3"/>
  <c r="K1652" i="3" s="1"/>
  <c r="C1640" i="3"/>
  <c r="K1653" i="3" s="1"/>
  <c r="C1641" i="3"/>
  <c r="K1654" i="3" s="1"/>
  <c r="C1642" i="3"/>
  <c r="K1655" i="3" s="1"/>
  <c r="C1643" i="3"/>
  <c r="K1656" i="3" s="1"/>
  <c r="C1644" i="3"/>
  <c r="K1657" i="3" s="1"/>
  <c r="C1645" i="3"/>
  <c r="K1658" i="3" s="1"/>
  <c r="C1646" i="3"/>
  <c r="K1659" i="3" s="1"/>
  <c r="C1647" i="3"/>
  <c r="K1660" i="3" s="1"/>
  <c r="C1648" i="3"/>
  <c r="K1661" i="3" s="1"/>
  <c r="C1649" i="3"/>
  <c r="K1662" i="3" s="1"/>
  <c r="C1650" i="3"/>
  <c r="K1663" i="3" s="1"/>
  <c r="C1651" i="3"/>
  <c r="K1664" i="3" s="1"/>
  <c r="C1652" i="3"/>
  <c r="K1665" i="3" s="1"/>
  <c r="C1653" i="3"/>
  <c r="K1666" i="3" s="1"/>
  <c r="C1654" i="3"/>
  <c r="K1667" i="3" s="1"/>
  <c r="C1655" i="3"/>
  <c r="K1668" i="3" s="1"/>
  <c r="C1656" i="3"/>
  <c r="K1669" i="3" s="1"/>
  <c r="C1657" i="3"/>
  <c r="K1670" i="3" s="1"/>
  <c r="C1658" i="3"/>
  <c r="K1671" i="3" s="1"/>
  <c r="C1659" i="3"/>
  <c r="K1672" i="3" s="1"/>
  <c r="C1660" i="3"/>
  <c r="K1673" i="3" s="1"/>
  <c r="C1661" i="3"/>
  <c r="K1674" i="3" s="1"/>
  <c r="C1662" i="3"/>
  <c r="K1675" i="3" s="1"/>
  <c r="C1663" i="3"/>
  <c r="K1676" i="3" s="1"/>
  <c r="C1664" i="3"/>
  <c r="K1677" i="3" s="1"/>
  <c r="C1665" i="3"/>
  <c r="K1678" i="3" s="1"/>
  <c r="C1666" i="3"/>
  <c r="K1679" i="3" s="1"/>
  <c r="C1667" i="3"/>
  <c r="K1680" i="3" s="1"/>
  <c r="C1668" i="3"/>
  <c r="K1681" i="3" s="1"/>
  <c r="C1669" i="3"/>
  <c r="K1682" i="3" s="1"/>
  <c r="C1670" i="3"/>
  <c r="K1683" i="3" s="1"/>
  <c r="C1671" i="3"/>
  <c r="K1684" i="3" s="1"/>
  <c r="C1672" i="3"/>
  <c r="K1685" i="3" s="1"/>
  <c r="C1673" i="3"/>
  <c r="K1686" i="3" s="1"/>
  <c r="C1674" i="3"/>
  <c r="K1687" i="3" s="1"/>
  <c r="C1675" i="3"/>
  <c r="K1688" i="3" s="1"/>
  <c r="C1676" i="3"/>
  <c r="K1689" i="3" s="1"/>
  <c r="C1677" i="3"/>
  <c r="K1690" i="3" s="1"/>
  <c r="C1678" i="3"/>
  <c r="K1691" i="3" s="1"/>
  <c r="C1679" i="3"/>
  <c r="K1692" i="3" s="1"/>
  <c r="C1680" i="3"/>
  <c r="K1693" i="3" s="1"/>
  <c r="C1681" i="3"/>
  <c r="K1694" i="3" s="1"/>
  <c r="C1682" i="3"/>
  <c r="K1695" i="3" s="1"/>
  <c r="C1683" i="3"/>
  <c r="K1696" i="3" s="1"/>
  <c r="C1684" i="3"/>
  <c r="K1697" i="3" s="1"/>
  <c r="C1685" i="3"/>
  <c r="K1698" i="3" s="1"/>
  <c r="C1686" i="3"/>
  <c r="K1699" i="3" s="1"/>
  <c r="C1687" i="3"/>
  <c r="K1700" i="3" s="1"/>
  <c r="C1688" i="3"/>
  <c r="K1701" i="3" s="1"/>
  <c r="C1689" i="3"/>
  <c r="K1702" i="3" s="1"/>
  <c r="C1690" i="3"/>
  <c r="K1703" i="3" s="1"/>
  <c r="C1691" i="3"/>
  <c r="K1704" i="3" s="1"/>
  <c r="C1692" i="3"/>
  <c r="K1705" i="3" s="1"/>
  <c r="C1693" i="3"/>
  <c r="K1706" i="3" s="1"/>
  <c r="C1694" i="3"/>
  <c r="K1707" i="3" s="1"/>
  <c r="C1695" i="3"/>
  <c r="K1708" i="3" s="1"/>
  <c r="C1696" i="3"/>
  <c r="K1709" i="3" s="1"/>
  <c r="C1697" i="3"/>
  <c r="K1710" i="3" s="1"/>
  <c r="C1698" i="3"/>
  <c r="K1711" i="3" s="1"/>
  <c r="C1699" i="3"/>
  <c r="K1712" i="3" s="1"/>
  <c r="C1700" i="3"/>
  <c r="K1713" i="3" s="1"/>
  <c r="C1701" i="3"/>
  <c r="K1714" i="3" s="1"/>
  <c r="C1702" i="3"/>
  <c r="K1715" i="3" s="1"/>
  <c r="C1703" i="3"/>
  <c r="K1716" i="3" s="1"/>
  <c r="C1704" i="3"/>
  <c r="K1717" i="3" s="1"/>
  <c r="C1705" i="3"/>
  <c r="K1718" i="3" s="1"/>
  <c r="C1706" i="3"/>
  <c r="K1719" i="3" s="1"/>
  <c r="C1707" i="3"/>
  <c r="K1720" i="3" s="1"/>
  <c r="C1708" i="3"/>
  <c r="K1721" i="3" s="1"/>
  <c r="C1709" i="3"/>
  <c r="K1722" i="3" s="1"/>
  <c r="C1710" i="3"/>
  <c r="K1723" i="3" s="1"/>
  <c r="C1711" i="3"/>
  <c r="K1724" i="3" s="1"/>
  <c r="C1712" i="3"/>
  <c r="K1725" i="3" s="1"/>
  <c r="C1713" i="3"/>
  <c r="K1726" i="3" s="1"/>
  <c r="C1714" i="3"/>
  <c r="K1727" i="3" s="1"/>
  <c r="C1715" i="3"/>
  <c r="K1728" i="3" s="1"/>
  <c r="C1716" i="3"/>
  <c r="K1729" i="3" s="1"/>
  <c r="C1717" i="3"/>
  <c r="K1730" i="3" s="1"/>
  <c r="C1718" i="3"/>
  <c r="K1731" i="3" s="1"/>
  <c r="C1719" i="3"/>
  <c r="K1732" i="3" s="1"/>
  <c r="C1720" i="3"/>
  <c r="K1733" i="3" s="1"/>
  <c r="C1721" i="3"/>
  <c r="K1734" i="3" s="1"/>
  <c r="C1722" i="3"/>
  <c r="K1735" i="3" s="1"/>
  <c r="C1723" i="3"/>
  <c r="K1736" i="3" s="1"/>
  <c r="C1724" i="3"/>
  <c r="K1737" i="3" s="1"/>
  <c r="C1725" i="3"/>
  <c r="K1738" i="3" s="1"/>
  <c r="C1726" i="3"/>
  <c r="K1739" i="3" s="1"/>
  <c r="C1727" i="3"/>
  <c r="K1740" i="3" s="1"/>
  <c r="C1728" i="3"/>
  <c r="K1741" i="3" s="1"/>
  <c r="C1729" i="3"/>
  <c r="K1742" i="3" s="1"/>
  <c r="C1730" i="3"/>
  <c r="K1743" i="3" s="1"/>
  <c r="C1731" i="3"/>
  <c r="K1744" i="3" s="1"/>
  <c r="C1732" i="3"/>
  <c r="K1745" i="3" s="1"/>
  <c r="C1733" i="3"/>
  <c r="K1746" i="3" s="1"/>
  <c r="C1734" i="3"/>
  <c r="K1747" i="3" s="1"/>
  <c r="C1735" i="3"/>
  <c r="K1748" i="3" s="1"/>
  <c r="C1736" i="3"/>
  <c r="K1749" i="3" s="1"/>
  <c r="C1737" i="3"/>
  <c r="K1750" i="3" s="1"/>
  <c r="C1738" i="3"/>
  <c r="K1751" i="3" s="1"/>
  <c r="C1739" i="3"/>
  <c r="K1752" i="3" s="1"/>
  <c r="C1740" i="3"/>
  <c r="K1753" i="3" s="1"/>
  <c r="C1741" i="3"/>
  <c r="K1754" i="3" s="1"/>
  <c r="C1742" i="3"/>
  <c r="K1755" i="3" s="1"/>
  <c r="C1743" i="3"/>
  <c r="K1756" i="3" s="1"/>
  <c r="C1744" i="3"/>
  <c r="K1757" i="3" s="1"/>
  <c r="C1745" i="3"/>
  <c r="K1758" i="3" s="1"/>
  <c r="C1746" i="3"/>
  <c r="K1759" i="3" s="1"/>
  <c r="C1747" i="3"/>
  <c r="K1760" i="3" s="1"/>
  <c r="C1748" i="3"/>
  <c r="K1761" i="3" s="1"/>
  <c r="C1749" i="3"/>
  <c r="K1762" i="3" s="1"/>
  <c r="C1750" i="3"/>
  <c r="K1763" i="3" s="1"/>
  <c r="C1751" i="3"/>
  <c r="K1764" i="3" s="1"/>
  <c r="C1752" i="3"/>
  <c r="K1765" i="3" s="1"/>
  <c r="C1753" i="3"/>
  <c r="K1766" i="3" s="1"/>
  <c r="C1754" i="3"/>
  <c r="K1767" i="3" s="1"/>
  <c r="C1755" i="3"/>
  <c r="K1768" i="3" s="1"/>
  <c r="C1756" i="3"/>
  <c r="K1769" i="3" s="1"/>
  <c r="C1757" i="3"/>
  <c r="K1770" i="3" s="1"/>
  <c r="C1758" i="3"/>
  <c r="K1771" i="3" s="1"/>
  <c r="C1759" i="3"/>
  <c r="K1772" i="3" s="1"/>
  <c r="C1760" i="3"/>
  <c r="K1773" i="3" s="1"/>
  <c r="C1761" i="3"/>
  <c r="K1774" i="3" s="1"/>
  <c r="C1762" i="3"/>
  <c r="K1775" i="3" s="1"/>
  <c r="C1763" i="3"/>
  <c r="K1776" i="3" s="1"/>
  <c r="C1764" i="3"/>
  <c r="K1777" i="3" s="1"/>
  <c r="C1765" i="3"/>
  <c r="K1778" i="3" s="1"/>
  <c r="C1766" i="3"/>
  <c r="K1779" i="3" s="1"/>
  <c r="C1767" i="3"/>
  <c r="K1780" i="3" s="1"/>
  <c r="C1768" i="3"/>
  <c r="K1781" i="3" s="1"/>
  <c r="C1769" i="3"/>
  <c r="K1782" i="3" s="1"/>
  <c r="C1770" i="3"/>
  <c r="K1783" i="3" s="1"/>
  <c r="C1771" i="3"/>
  <c r="K1784" i="3" s="1"/>
  <c r="C1772" i="3"/>
  <c r="K1785" i="3" s="1"/>
  <c r="C1773" i="3"/>
  <c r="K1786" i="3" s="1"/>
  <c r="C1774" i="3"/>
  <c r="K1787" i="3" s="1"/>
  <c r="C1775" i="3"/>
  <c r="K1788" i="3" s="1"/>
  <c r="C1776" i="3"/>
  <c r="K1789" i="3" s="1"/>
  <c r="C1777" i="3"/>
  <c r="K1790" i="3" s="1"/>
  <c r="C1778" i="3"/>
  <c r="K1791" i="3" s="1"/>
  <c r="C1779" i="3"/>
  <c r="K1792" i="3" s="1"/>
  <c r="C1780" i="3"/>
  <c r="K1793" i="3" s="1"/>
  <c r="C1781" i="3"/>
  <c r="K1794" i="3" s="1"/>
  <c r="C1782" i="3"/>
  <c r="K1795" i="3" s="1"/>
  <c r="C1783" i="3"/>
  <c r="K1796" i="3" s="1"/>
  <c r="C1784" i="3"/>
  <c r="K1797" i="3" s="1"/>
  <c r="C1785" i="3"/>
  <c r="K1798" i="3" s="1"/>
  <c r="C1786" i="3"/>
  <c r="K1799" i="3" s="1"/>
  <c r="C1787" i="3"/>
  <c r="K1800" i="3" s="1"/>
  <c r="C1788" i="3"/>
  <c r="K1801" i="3" s="1"/>
  <c r="C1789" i="3"/>
  <c r="K1802" i="3" s="1"/>
  <c r="C1790" i="3"/>
  <c r="K1803" i="3" s="1"/>
  <c r="C1791" i="3"/>
  <c r="K1804" i="3" s="1"/>
  <c r="C1792" i="3"/>
  <c r="K1805" i="3" s="1"/>
  <c r="C1793" i="3"/>
  <c r="K1806" i="3" s="1"/>
  <c r="C1794" i="3"/>
  <c r="K1807" i="3" s="1"/>
  <c r="C1795" i="3"/>
  <c r="K1808" i="3" s="1"/>
  <c r="C1796" i="3"/>
  <c r="K1809" i="3" s="1"/>
  <c r="C1797" i="3"/>
  <c r="K1810" i="3" s="1"/>
  <c r="C1798" i="3"/>
  <c r="K1811" i="3" s="1"/>
  <c r="C1799" i="3"/>
  <c r="K1812" i="3" s="1"/>
  <c r="C1800" i="3"/>
  <c r="K1813" i="3" s="1"/>
  <c r="C1801" i="3"/>
  <c r="K1814" i="3" s="1"/>
  <c r="C1802" i="3"/>
  <c r="K1815" i="3" s="1"/>
  <c r="C1803" i="3"/>
  <c r="K1816" i="3" s="1"/>
  <c r="C1804" i="3"/>
  <c r="K1817" i="3" s="1"/>
  <c r="C1805" i="3"/>
  <c r="K1818" i="3" s="1"/>
  <c r="C1806" i="3"/>
  <c r="K1819" i="3" s="1"/>
  <c r="C1807" i="3"/>
  <c r="K1820" i="3" s="1"/>
  <c r="C1808" i="3"/>
  <c r="K1821" i="3" s="1"/>
  <c r="C1809" i="3"/>
  <c r="K1822" i="3" s="1"/>
  <c r="C1810" i="3"/>
  <c r="K1823" i="3" s="1"/>
  <c r="C1811" i="3"/>
  <c r="K1824" i="3" s="1"/>
  <c r="C1812" i="3"/>
  <c r="K1825" i="3" s="1"/>
  <c r="C1813" i="3"/>
  <c r="K1826" i="3" s="1"/>
  <c r="C1814" i="3"/>
  <c r="K1827" i="3" s="1"/>
  <c r="C1815" i="3"/>
  <c r="K1828" i="3" s="1"/>
  <c r="C1816" i="3"/>
  <c r="K1829" i="3" s="1"/>
  <c r="C1817" i="3"/>
  <c r="K1830" i="3" s="1"/>
  <c r="C1818" i="3"/>
  <c r="K1831" i="3" s="1"/>
  <c r="C1819" i="3"/>
  <c r="K1832" i="3" s="1"/>
  <c r="C1820" i="3"/>
  <c r="K1833" i="3" s="1"/>
  <c r="C1821" i="3"/>
  <c r="K1834" i="3" s="1"/>
  <c r="C1822" i="3"/>
  <c r="K1835" i="3" s="1"/>
  <c r="C1823" i="3"/>
  <c r="K1836" i="3" s="1"/>
  <c r="C1824" i="3"/>
  <c r="K1837" i="3" s="1"/>
  <c r="C1825" i="3"/>
  <c r="K1838" i="3" s="1"/>
  <c r="C1826" i="3"/>
  <c r="K1839" i="3" s="1"/>
  <c r="C1827" i="3"/>
  <c r="K1840" i="3" s="1"/>
  <c r="C1828" i="3"/>
  <c r="K1841" i="3" s="1"/>
  <c r="C1829" i="3"/>
  <c r="K1842" i="3" s="1"/>
  <c r="C1830" i="3"/>
  <c r="K1843" i="3" s="1"/>
  <c r="C1831" i="3"/>
  <c r="K1844" i="3" s="1"/>
  <c r="C1832" i="3"/>
  <c r="K1845" i="3" s="1"/>
  <c r="C1833" i="3"/>
  <c r="K1846" i="3" s="1"/>
  <c r="C1834" i="3"/>
  <c r="K1847" i="3" s="1"/>
  <c r="C1835" i="3"/>
  <c r="K1848" i="3" s="1"/>
  <c r="C1836" i="3"/>
  <c r="K1849" i="3" s="1"/>
  <c r="C1837" i="3"/>
  <c r="K1850" i="3" s="1"/>
  <c r="C1838" i="3"/>
  <c r="K1851" i="3" s="1"/>
  <c r="C1839" i="3"/>
  <c r="K1852" i="3" s="1"/>
  <c r="C1840" i="3"/>
  <c r="K1853" i="3" s="1"/>
  <c r="C1841" i="3"/>
  <c r="K1854" i="3" s="1"/>
  <c r="C1842" i="3"/>
  <c r="K1855" i="3" s="1"/>
  <c r="C1843" i="3"/>
  <c r="K1856" i="3" s="1"/>
  <c r="C1844" i="3"/>
  <c r="K1857" i="3" s="1"/>
  <c r="C1845" i="3"/>
  <c r="K1858" i="3" s="1"/>
  <c r="C1846" i="3"/>
  <c r="K1859" i="3" s="1"/>
  <c r="C1847" i="3"/>
  <c r="K1860" i="3" s="1"/>
  <c r="C1848" i="3"/>
  <c r="K1861" i="3" s="1"/>
  <c r="C1849" i="3"/>
  <c r="K1862" i="3" s="1"/>
  <c r="C1850" i="3"/>
  <c r="K1863" i="3" s="1"/>
  <c r="C1851" i="3"/>
  <c r="K1864" i="3" s="1"/>
  <c r="C1852" i="3"/>
  <c r="K1865" i="3" s="1"/>
  <c r="C1853" i="3"/>
  <c r="K1866" i="3" s="1"/>
  <c r="C1854" i="3"/>
  <c r="K1867" i="3" s="1"/>
  <c r="C1855" i="3"/>
  <c r="K1868" i="3" s="1"/>
  <c r="C1856" i="3"/>
  <c r="K1869" i="3" s="1"/>
  <c r="C1857" i="3"/>
  <c r="K1870" i="3" s="1"/>
  <c r="C1858" i="3"/>
  <c r="K1871" i="3" s="1"/>
  <c r="C1859" i="3"/>
  <c r="K1872" i="3" s="1"/>
  <c r="C1860" i="3"/>
  <c r="K1873" i="3" s="1"/>
  <c r="C1861" i="3"/>
  <c r="K1874" i="3" s="1"/>
  <c r="C1862" i="3"/>
  <c r="K1875" i="3" s="1"/>
  <c r="C1863" i="3"/>
  <c r="K1876" i="3" s="1"/>
  <c r="C1864" i="3"/>
  <c r="K1877" i="3" s="1"/>
  <c r="C1865" i="3"/>
  <c r="K1878" i="3" s="1"/>
  <c r="C1866" i="3"/>
  <c r="K1879" i="3" s="1"/>
  <c r="C1867" i="3"/>
  <c r="K1880" i="3" s="1"/>
  <c r="C1868" i="3"/>
  <c r="K1881" i="3" s="1"/>
  <c r="C1869" i="3"/>
  <c r="K1882" i="3" s="1"/>
  <c r="C1870" i="3"/>
  <c r="K1883" i="3" s="1"/>
  <c r="C1871" i="3"/>
  <c r="K1884" i="3" s="1"/>
  <c r="C1872" i="3"/>
  <c r="K1885" i="3" s="1"/>
  <c r="C1873" i="3"/>
  <c r="K1886" i="3" s="1"/>
  <c r="C1874" i="3"/>
  <c r="K1887" i="3" s="1"/>
  <c r="C1875" i="3"/>
  <c r="K1888" i="3" s="1"/>
  <c r="C1876" i="3"/>
  <c r="K1889" i="3" s="1"/>
  <c r="C1877" i="3"/>
  <c r="K1890" i="3" s="1"/>
  <c r="C1878" i="3"/>
  <c r="K1891" i="3" s="1"/>
  <c r="C1879" i="3"/>
  <c r="K1892" i="3" s="1"/>
  <c r="C1880" i="3"/>
  <c r="K1893" i="3" s="1"/>
  <c r="C1881" i="3"/>
  <c r="K1894" i="3" s="1"/>
  <c r="C1882" i="3"/>
  <c r="K1895" i="3" s="1"/>
  <c r="C1883" i="3"/>
  <c r="K1896" i="3" s="1"/>
  <c r="C1884" i="3"/>
  <c r="K1897" i="3" s="1"/>
  <c r="C1885" i="3"/>
  <c r="K1898" i="3" s="1"/>
  <c r="C1886" i="3"/>
  <c r="K1899" i="3" s="1"/>
  <c r="C1887" i="3"/>
  <c r="K1900" i="3" s="1"/>
  <c r="C1888" i="3"/>
  <c r="K1901" i="3" s="1"/>
  <c r="C1889" i="3"/>
  <c r="K1902" i="3" s="1"/>
  <c r="C1890" i="3"/>
  <c r="K1903" i="3" s="1"/>
  <c r="C1891" i="3"/>
  <c r="K1904" i="3" s="1"/>
  <c r="C1892" i="3"/>
  <c r="K1905" i="3" s="1"/>
  <c r="C1893" i="3"/>
  <c r="K1906" i="3" s="1"/>
  <c r="C1894" i="3"/>
  <c r="K1907" i="3" s="1"/>
  <c r="C1895" i="3"/>
  <c r="K1908" i="3" s="1"/>
  <c r="C1896" i="3"/>
  <c r="K1909" i="3" s="1"/>
  <c r="C1897" i="3"/>
  <c r="K1910" i="3" s="1"/>
  <c r="C1898" i="3"/>
  <c r="K1911" i="3" s="1"/>
  <c r="C1899" i="3"/>
  <c r="K1912" i="3" s="1"/>
  <c r="C1900" i="3"/>
  <c r="K1913" i="3" s="1"/>
  <c r="C1901" i="3"/>
  <c r="K1914" i="3" s="1"/>
  <c r="C1902" i="3"/>
  <c r="K1915" i="3" s="1"/>
  <c r="C1903" i="3"/>
  <c r="K1916" i="3" s="1"/>
  <c r="C1904" i="3"/>
  <c r="K1917" i="3" s="1"/>
  <c r="C1905" i="3"/>
  <c r="K1918" i="3" s="1"/>
  <c r="C1906" i="3"/>
  <c r="K1919" i="3" s="1"/>
  <c r="C1907" i="3"/>
  <c r="K1920" i="3" s="1"/>
  <c r="C1908" i="3"/>
  <c r="K1921" i="3" s="1"/>
  <c r="C1909" i="3"/>
  <c r="K1922" i="3" s="1"/>
  <c r="C1910" i="3"/>
  <c r="K1923" i="3" s="1"/>
  <c r="C1911" i="3"/>
  <c r="K1924" i="3" s="1"/>
  <c r="C1912" i="3"/>
  <c r="K1925" i="3" s="1"/>
  <c r="C1913" i="3"/>
  <c r="K1926" i="3" s="1"/>
  <c r="C1914" i="3"/>
  <c r="K1927" i="3" s="1"/>
  <c r="C1915" i="3"/>
  <c r="K1928" i="3" s="1"/>
  <c r="C1916" i="3"/>
  <c r="K1929" i="3" s="1"/>
  <c r="C1917" i="3"/>
  <c r="K1930" i="3" s="1"/>
  <c r="C1918" i="3"/>
  <c r="K1931" i="3" s="1"/>
  <c r="C1919" i="3"/>
  <c r="K1932" i="3" s="1"/>
  <c r="C1920" i="3"/>
  <c r="K1933" i="3" s="1"/>
  <c r="C1921" i="3"/>
  <c r="K1934" i="3" s="1"/>
  <c r="C1922" i="3"/>
  <c r="K1935" i="3" s="1"/>
  <c r="C1923" i="3"/>
  <c r="K1936" i="3" s="1"/>
  <c r="C1924" i="3"/>
  <c r="K1937" i="3" s="1"/>
  <c r="C1925" i="3"/>
  <c r="K1938" i="3" s="1"/>
  <c r="C1926" i="3"/>
  <c r="K1939" i="3" s="1"/>
  <c r="C1927" i="3"/>
  <c r="K1940" i="3" s="1"/>
  <c r="C1928" i="3"/>
  <c r="K1941" i="3" s="1"/>
  <c r="C1929" i="3"/>
  <c r="K1942" i="3" s="1"/>
  <c r="C1930" i="3"/>
  <c r="K1943" i="3" s="1"/>
  <c r="C1931" i="3"/>
  <c r="K1944" i="3" s="1"/>
  <c r="C1932" i="3"/>
  <c r="K1945" i="3" s="1"/>
  <c r="C1933" i="3"/>
  <c r="K1946" i="3" s="1"/>
  <c r="C1934" i="3"/>
  <c r="K1947" i="3" s="1"/>
  <c r="C1935" i="3"/>
  <c r="K1948" i="3" s="1"/>
  <c r="C1936" i="3"/>
  <c r="K1949" i="3" s="1"/>
  <c r="C1937" i="3"/>
  <c r="K1950" i="3" s="1"/>
  <c r="C1938" i="3"/>
  <c r="K1951" i="3" s="1"/>
  <c r="C1939" i="3"/>
  <c r="K1952" i="3" s="1"/>
  <c r="C1940" i="3"/>
  <c r="K1953" i="3" s="1"/>
  <c r="C1941" i="3"/>
  <c r="K1954" i="3" s="1"/>
  <c r="C1942" i="3"/>
  <c r="K1955" i="3" s="1"/>
  <c r="C1943" i="3"/>
  <c r="K1956" i="3" s="1"/>
  <c r="C1944" i="3"/>
  <c r="K1957" i="3" s="1"/>
  <c r="C1945" i="3"/>
  <c r="K1958" i="3" s="1"/>
  <c r="C1946" i="3"/>
  <c r="K1959" i="3" s="1"/>
  <c r="C1947" i="3"/>
  <c r="K1960" i="3" s="1"/>
  <c r="C1948" i="3"/>
  <c r="K1961" i="3" s="1"/>
  <c r="C1949" i="3"/>
  <c r="K1962" i="3" s="1"/>
  <c r="C1950" i="3"/>
  <c r="K1963" i="3" s="1"/>
  <c r="C1951" i="3"/>
  <c r="K1964" i="3" s="1"/>
  <c r="C1952" i="3"/>
  <c r="K1965" i="3" s="1"/>
  <c r="C1953" i="3"/>
  <c r="K1966" i="3" s="1"/>
  <c r="C1954" i="3"/>
  <c r="K1967" i="3" s="1"/>
  <c r="C1955" i="3"/>
  <c r="K1968" i="3" s="1"/>
  <c r="C1956" i="3"/>
  <c r="K1969" i="3" s="1"/>
  <c r="C1957" i="3"/>
  <c r="K1970" i="3" s="1"/>
  <c r="C1958" i="3"/>
  <c r="K1971" i="3" s="1"/>
  <c r="C1959" i="3"/>
  <c r="K1972" i="3" s="1"/>
  <c r="C1960" i="3"/>
  <c r="K1973" i="3" s="1"/>
  <c r="C1961" i="3"/>
  <c r="K1974" i="3" s="1"/>
  <c r="C1962" i="3"/>
  <c r="K1975" i="3" s="1"/>
  <c r="C1963" i="3"/>
  <c r="K1976" i="3" s="1"/>
  <c r="C1964" i="3"/>
  <c r="K1977" i="3" s="1"/>
  <c r="C1965" i="3"/>
  <c r="K1978" i="3" s="1"/>
  <c r="C1966" i="3"/>
  <c r="K1979" i="3" s="1"/>
  <c r="C1967" i="3"/>
  <c r="K1980" i="3" s="1"/>
  <c r="C1968" i="3"/>
  <c r="K1981" i="3" s="1"/>
  <c r="C1969" i="3"/>
  <c r="K1982" i="3" s="1"/>
  <c r="C1970" i="3"/>
  <c r="K1983" i="3" s="1"/>
  <c r="C1971" i="3"/>
  <c r="K1984" i="3" s="1"/>
  <c r="C1972" i="3"/>
  <c r="K1985" i="3" s="1"/>
  <c r="C1973" i="3"/>
  <c r="K1986" i="3" s="1"/>
  <c r="C1974" i="3"/>
  <c r="K1987" i="3" s="1"/>
  <c r="C1975" i="3"/>
  <c r="K1988" i="3" s="1"/>
  <c r="C1976" i="3"/>
  <c r="K1989" i="3" s="1"/>
  <c r="C1977" i="3"/>
  <c r="K1990" i="3" s="1"/>
  <c r="C1978" i="3"/>
  <c r="K1991" i="3" s="1"/>
  <c r="C1979" i="3"/>
  <c r="K1992" i="3" s="1"/>
  <c r="C1980" i="3"/>
  <c r="K1993" i="3" s="1"/>
  <c r="C1981" i="3"/>
  <c r="K1994" i="3" s="1"/>
  <c r="C1982" i="3"/>
  <c r="K1995" i="3" s="1"/>
  <c r="C1983" i="3"/>
  <c r="K1996" i="3" s="1"/>
  <c r="C1984" i="3"/>
  <c r="K1997" i="3" s="1"/>
  <c r="C1985" i="3"/>
  <c r="K1998" i="3" s="1"/>
  <c r="C1986" i="3"/>
  <c r="K1999" i="3" s="1"/>
  <c r="C1987" i="3"/>
  <c r="K2000" i="3" s="1"/>
  <c r="C1988" i="3"/>
  <c r="K2001" i="3" s="1"/>
  <c r="C1989" i="3"/>
  <c r="K2002" i="3" s="1"/>
  <c r="C1990" i="3"/>
  <c r="K2003" i="3" s="1"/>
  <c r="C1991" i="3"/>
  <c r="K2004" i="3" s="1"/>
  <c r="C1992" i="3"/>
  <c r="K2005" i="3" s="1"/>
  <c r="C1993" i="3"/>
  <c r="K2006" i="3" s="1"/>
  <c r="C1994" i="3"/>
  <c r="K2007" i="3" s="1"/>
  <c r="C1995" i="3"/>
  <c r="K2008" i="3" s="1"/>
  <c r="C1996" i="3"/>
  <c r="K2009" i="3" s="1"/>
  <c r="C1997" i="3"/>
  <c r="K2010" i="3" s="1"/>
  <c r="C1998" i="3"/>
  <c r="K2011" i="3" s="1"/>
  <c r="C1999" i="3"/>
  <c r="K2012" i="3" s="1"/>
  <c r="C2000" i="3"/>
  <c r="K2013" i="3" s="1"/>
  <c r="C2001" i="3"/>
  <c r="K2014" i="3" s="1"/>
  <c r="C2002" i="3"/>
  <c r="K2015" i="3" s="1"/>
  <c r="C2003" i="3"/>
  <c r="K2016" i="3" s="1"/>
  <c r="C2004" i="3"/>
  <c r="K2017" i="3" s="1"/>
  <c r="C2005" i="3"/>
  <c r="K2018" i="3" s="1"/>
  <c r="C2006" i="3"/>
  <c r="K2019" i="3" s="1"/>
  <c r="C2007" i="3"/>
  <c r="K2020" i="3" s="1"/>
  <c r="C2008" i="3"/>
  <c r="K2021" i="3" s="1"/>
  <c r="C2009" i="3"/>
  <c r="K2022" i="3" s="1"/>
  <c r="C2010" i="3"/>
  <c r="K2023" i="3" s="1"/>
  <c r="C2011" i="3"/>
  <c r="K2024" i="3" s="1"/>
  <c r="C2012" i="3"/>
  <c r="K2025" i="3" s="1"/>
  <c r="C2013" i="3"/>
  <c r="K2026" i="3" s="1"/>
  <c r="C2014" i="3"/>
  <c r="K2027" i="3" s="1"/>
  <c r="C2015" i="3"/>
  <c r="K2028" i="3" s="1"/>
  <c r="C2016" i="3"/>
  <c r="K2029" i="3" s="1"/>
  <c r="C2017" i="3"/>
  <c r="K2030" i="3" s="1"/>
  <c r="C2018" i="3"/>
  <c r="K2031" i="3" s="1"/>
  <c r="C2019" i="3"/>
  <c r="K2032" i="3" s="1"/>
  <c r="C2020" i="3"/>
  <c r="K2033" i="3" s="1"/>
  <c r="C2021" i="3"/>
  <c r="K2034" i="3" s="1"/>
  <c r="C2022" i="3"/>
  <c r="K2035" i="3" s="1"/>
  <c r="C2023" i="3"/>
  <c r="K2036" i="3" s="1"/>
  <c r="C2024" i="3"/>
  <c r="K2037" i="3" s="1"/>
  <c r="C2025" i="3"/>
  <c r="K2038" i="3" s="1"/>
  <c r="C2026" i="3"/>
  <c r="K2039" i="3" s="1"/>
  <c r="C2027" i="3"/>
  <c r="K2040" i="3" s="1"/>
  <c r="C2028" i="3"/>
  <c r="K2041" i="3" s="1"/>
  <c r="C2029" i="3"/>
  <c r="K2042" i="3" s="1"/>
  <c r="C2030" i="3"/>
  <c r="K2043" i="3" s="1"/>
  <c r="C2031" i="3"/>
  <c r="K2044" i="3" s="1"/>
  <c r="C2032" i="3"/>
  <c r="K2045" i="3" s="1"/>
  <c r="C2033" i="3"/>
  <c r="K2046" i="3" s="1"/>
  <c r="C2034" i="3"/>
  <c r="K2047" i="3" s="1"/>
  <c r="C2035" i="3"/>
  <c r="K2048" i="3" s="1"/>
  <c r="C2036" i="3"/>
  <c r="K2049" i="3" s="1"/>
  <c r="C2037" i="3"/>
  <c r="K2050" i="3" s="1"/>
  <c r="C2038" i="3"/>
  <c r="K2051" i="3" s="1"/>
  <c r="C2039" i="3"/>
  <c r="K2052" i="3" s="1"/>
  <c r="C2040" i="3"/>
  <c r="K2053" i="3" s="1"/>
  <c r="C2041" i="3"/>
  <c r="K2054" i="3" s="1"/>
  <c r="C2042" i="3"/>
  <c r="K2055" i="3" s="1"/>
  <c r="C2043" i="3"/>
  <c r="K2056" i="3" s="1"/>
  <c r="C2044" i="3"/>
  <c r="K2057" i="3" s="1"/>
  <c r="C2045" i="3"/>
  <c r="K2058" i="3" s="1"/>
  <c r="C2046" i="3"/>
  <c r="K2059" i="3" s="1"/>
  <c r="C2047" i="3"/>
  <c r="K2060" i="3" s="1"/>
  <c r="C2048" i="3"/>
  <c r="K2061" i="3" s="1"/>
  <c r="C2049" i="3"/>
  <c r="K2062" i="3" s="1"/>
  <c r="C2050" i="3"/>
  <c r="K2063" i="3" s="1"/>
  <c r="C2051" i="3"/>
  <c r="K2064" i="3" s="1"/>
  <c r="C2052" i="3"/>
  <c r="K2065" i="3" s="1"/>
  <c r="C2053" i="3"/>
  <c r="K2066" i="3" s="1"/>
  <c r="C2054" i="3"/>
  <c r="K2067" i="3" s="1"/>
  <c r="C2055" i="3"/>
  <c r="K2068" i="3" s="1"/>
  <c r="C2056" i="3"/>
  <c r="K2069" i="3" s="1"/>
  <c r="C2057" i="3"/>
  <c r="K2070" i="3" s="1"/>
  <c r="C2058" i="3"/>
  <c r="K2071" i="3" s="1"/>
  <c r="C2059" i="3"/>
  <c r="K2072" i="3" s="1"/>
  <c r="C2060" i="3"/>
  <c r="K2073" i="3" s="1"/>
  <c r="C2061" i="3"/>
  <c r="K2074" i="3" s="1"/>
  <c r="C2062" i="3"/>
  <c r="K2075" i="3" s="1"/>
  <c r="C2063" i="3"/>
  <c r="K2076" i="3" s="1"/>
  <c r="C2064" i="3"/>
  <c r="K2077" i="3" s="1"/>
  <c r="C2065" i="3"/>
  <c r="K2078" i="3" s="1"/>
  <c r="C2066" i="3"/>
  <c r="K2079" i="3" s="1"/>
  <c r="C2067" i="3"/>
  <c r="K2080" i="3" s="1"/>
  <c r="C2068" i="3"/>
  <c r="K2081" i="3" s="1"/>
  <c r="C2069" i="3"/>
  <c r="K2082" i="3" s="1"/>
  <c r="C2070" i="3"/>
  <c r="K2083" i="3" s="1"/>
  <c r="C2071" i="3"/>
  <c r="K2084" i="3" s="1"/>
  <c r="C2072" i="3"/>
  <c r="K2085" i="3" s="1"/>
  <c r="C2073" i="3"/>
  <c r="K2086" i="3" s="1"/>
  <c r="C2074" i="3"/>
  <c r="K2087" i="3" s="1"/>
  <c r="C2075" i="3"/>
  <c r="K2088" i="3" s="1"/>
  <c r="C2076" i="3"/>
  <c r="K2089" i="3" s="1"/>
  <c r="C2077" i="3"/>
  <c r="K2090" i="3" s="1"/>
  <c r="C2078" i="3"/>
  <c r="K2091" i="3" s="1"/>
  <c r="C2079" i="3"/>
  <c r="K2092" i="3" s="1"/>
  <c r="C2080" i="3"/>
  <c r="K2093" i="3" s="1"/>
  <c r="C2081" i="3"/>
  <c r="K2094" i="3" s="1"/>
  <c r="C2082" i="3"/>
  <c r="K2095" i="3" s="1"/>
  <c r="C2083" i="3"/>
  <c r="K2096" i="3" s="1"/>
  <c r="C2084" i="3"/>
  <c r="K2097" i="3" s="1"/>
  <c r="C2085" i="3"/>
  <c r="K2098" i="3" s="1"/>
  <c r="C2086" i="3"/>
  <c r="K2099" i="3" s="1"/>
  <c r="C2087" i="3"/>
  <c r="K2100" i="3" s="1"/>
  <c r="C2088" i="3"/>
  <c r="K2101" i="3" s="1"/>
  <c r="C2089" i="3"/>
  <c r="K2102" i="3" s="1"/>
  <c r="C2090" i="3"/>
  <c r="K2103" i="3" s="1"/>
  <c r="C2091" i="3"/>
  <c r="K2104" i="3" s="1"/>
  <c r="C2092" i="3"/>
  <c r="K2105" i="3" s="1"/>
  <c r="C2093" i="3"/>
  <c r="K2106" i="3" s="1"/>
  <c r="C2094" i="3"/>
  <c r="K2107" i="3" s="1"/>
  <c r="C2095" i="3"/>
  <c r="K2108" i="3" s="1"/>
  <c r="C2096" i="3"/>
  <c r="K2109" i="3" s="1"/>
  <c r="C2097" i="3"/>
  <c r="K2110" i="3" s="1"/>
  <c r="C2098" i="3"/>
  <c r="K2111" i="3" s="1"/>
  <c r="C2099" i="3"/>
  <c r="K2112" i="3" s="1"/>
  <c r="C2100" i="3"/>
  <c r="K2113" i="3" s="1"/>
  <c r="C2101" i="3"/>
  <c r="K2114" i="3" s="1"/>
  <c r="C2102" i="3"/>
  <c r="K2115" i="3" s="1"/>
  <c r="C2103" i="3"/>
  <c r="K2116" i="3" s="1"/>
  <c r="C2104" i="3"/>
  <c r="K2117" i="3" s="1"/>
  <c r="C2105" i="3"/>
  <c r="K2118" i="3" s="1"/>
  <c r="C2106" i="3"/>
  <c r="K2119" i="3" s="1"/>
  <c r="C2107" i="3"/>
  <c r="K2120" i="3" s="1"/>
  <c r="C2108" i="3"/>
  <c r="K2121" i="3" s="1"/>
  <c r="C2109" i="3"/>
  <c r="K2122" i="3" s="1"/>
  <c r="C2110" i="3"/>
  <c r="K2123" i="3" s="1"/>
  <c r="C2111" i="3"/>
  <c r="K2124" i="3" s="1"/>
  <c r="C2112" i="3"/>
  <c r="K2125" i="3" s="1"/>
  <c r="C2113" i="3"/>
  <c r="K2126" i="3" s="1"/>
  <c r="C2114" i="3"/>
  <c r="K2127" i="3" s="1"/>
  <c r="C2115" i="3"/>
  <c r="K2128" i="3" s="1"/>
  <c r="C2116" i="3"/>
  <c r="K2129" i="3" s="1"/>
  <c r="C2117" i="3"/>
  <c r="K2130" i="3" s="1"/>
  <c r="C2118" i="3"/>
  <c r="K2131" i="3" s="1"/>
  <c r="C2119" i="3"/>
  <c r="K2132" i="3" s="1"/>
  <c r="C2120" i="3"/>
  <c r="K2133" i="3" s="1"/>
  <c r="C2121" i="3"/>
  <c r="K2134" i="3" s="1"/>
  <c r="C2122" i="3"/>
  <c r="K2135" i="3" s="1"/>
  <c r="C2123" i="3"/>
  <c r="K2136" i="3" s="1"/>
  <c r="C2124" i="3"/>
  <c r="K2137" i="3" s="1"/>
  <c r="C2125" i="3"/>
  <c r="K2138" i="3" s="1"/>
  <c r="C2126" i="3"/>
  <c r="K2139" i="3" s="1"/>
  <c r="C2127" i="3"/>
  <c r="K2140" i="3" s="1"/>
  <c r="C2128" i="3"/>
  <c r="K2141" i="3" s="1"/>
  <c r="C2129" i="3"/>
  <c r="K2142" i="3" s="1"/>
  <c r="C2130" i="3"/>
  <c r="K2143" i="3" s="1"/>
  <c r="C2131" i="3"/>
  <c r="K2144" i="3" s="1"/>
  <c r="C2132" i="3"/>
  <c r="K2145" i="3" s="1"/>
  <c r="C2133" i="3"/>
  <c r="K2146" i="3" s="1"/>
  <c r="C2134" i="3"/>
  <c r="K2147" i="3" s="1"/>
  <c r="C2135" i="3"/>
  <c r="K2148" i="3" s="1"/>
  <c r="C2136" i="3"/>
  <c r="K2149" i="3" s="1"/>
  <c r="C2137" i="3"/>
  <c r="K2150" i="3" s="1"/>
  <c r="C2138" i="3"/>
  <c r="K2151" i="3" s="1"/>
  <c r="C2139" i="3"/>
  <c r="K2152" i="3" s="1"/>
  <c r="C2140" i="3"/>
  <c r="K2153" i="3" s="1"/>
  <c r="C2141" i="3"/>
  <c r="K2154" i="3" s="1"/>
  <c r="C2142" i="3"/>
  <c r="K2155" i="3" s="1"/>
  <c r="C2143" i="3"/>
  <c r="K2156" i="3" s="1"/>
  <c r="C2144" i="3"/>
  <c r="K2157" i="3" s="1"/>
  <c r="C2145" i="3"/>
  <c r="K2158" i="3" s="1"/>
  <c r="C2146" i="3"/>
  <c r="K2159" i="3" s="1"/>
  <c r="C2147" i="3"/>
  <c r="K2160" i="3" s="1"/>
  <c r="C2148" i="3"/>
  <c r="K2161" i="3" s="1"/>
  <c r="C2149" i="3"/>
  <c r="K2162" i="3" s="1"/>
  <c r="C2150" i="3"/>
  <c r="K2163" i="3" s="1"/>
  <c r="C2151" i="3"/>
  <c r="K2164" i="3" s="1"/>
  <c r="C2152" i="3"/>
  <c r="K2165" i="3" s="1"/>
  <c r="C2153" i="3"/>
  <c r="K2166" i="3" s="1"/>
  <c r="C2154" i="3"/>
  <c r="K2167" i="3" s="1"/>
  <c r="C2155" i="3"/>
  <c r="K2168" i="3" s="1"/>
  <c r="C2156" i="3"/>
  <c r="K2169" i="3" s="1"/>
  <c r="C2157" i="3"/>
  <c r="K2170" i="3" s="1"/>
  <c r="C2158" i="3"/>
  <c r="K2171" i="3" s="1"/>
  <c r="C2159" i="3"/>
  <c r="K2172" i="3" s="1"/>
  <c r="C2160" i="3"/>
  <c r="K2173" i="3" s="1"/>
  <c r="C2161" i="3"/>
  <c r="K2174" i="3" s="1"/>
  <c r="C2162" i="3"/>
  <c r="K2175" i="3" s="1"/>
  <c r="C2163" i="3"/>
  <c r="K2176" i="3" s="1"/>
  <c r="C2164" i="3"/>
  <c r="K2177" i="3" s="1"/>
  <c r="C2165" i="3"/>
  <c r="K2178" i="3" s="1"/>
  <c r="C2166" i="3"/>
  <c r="K2179" i="3" s="1"/>
  <c r="C2167" i="3"/>
  <c r="K2180" i="3" s="1"/>
  <c r="C2168" i="3"/>
  <c r="K2181" i="3" s="1"/>
  <c r="C2169" i="3"/>
  <c r="K2182" i="3" s="1"/>
  <c r="C2170" i="3"/>
  <c r="K2183" i="3" s="1"/>
  <c r="C2171" i="3"/>
  <c r="K2184" i="3" s="1"/>
  <c r="C2172" i="3"/>
  <c r="K2185" i="3" s="1"/>
  <c r="C2173" i="3"/>
  <c r="K2186" i="3" s="1"/>
  <c r="C2174" i="3"/>
  <c r="K2187" i="3" s="1"/>
  <c r="C2175" i="3"/>
  <c r="K2188" i="3" s="1"/>
  <c r="C2176" i="3"/>
  <c r="K2189" i="3" s="1"/>
  <c r="C2177" i="3"/>
  <c r="K2190" i="3" s="1"/>
  <c r="C2178" i="3"/>
  <c r="K2191" i="3" s="1"/>
  <c r="C2179" i="3"/>
  <c r="K2192" i="3" s="1"/>
  <c r="C2180" i="3"/>
  <c r="K2193" i="3" s="1"/>
  <c r="C2181" i="3"/>
  <c r="K2194" i="3" s="1"/>
  <c r="C2182" i="3"/>
  <c r="K2195" i="3" s="1"/>
  <c r="C2183" i="3"/>
  <c r="K2196" i="3" s="1"/>
  <c r="C2184" i="3"/>
  <c r="K2197" i="3" s="1"/>
  <c r="C2185" i="3"/>
  <c r="K2198" i="3" s="1"/>
  <c r="C2186" i="3"/>
  <c r="K2199" i="3" s="1"/>
  <c r="C2187" i="3"/>
  <c r="K2200" i="3" s="1"/>
  <c r="C2188" i="3"/>
  <c r="K2201" i="3" s="1"/>
  <c r="C2189" i="3"/>
  <c r="K2202" i="3" s="1"/>
  <c r="C2190" i="3"/>
  <c r="K2203" i="3" s="1"/>
  <c r="C2191" i="3"/>
  <c r="K2204" i="3" s="1"/>
  <c r="C2192" i="3"/>
  <c r="K2205" i="3" s="1"/>
  <c r="C2193" i="3"/>
  <c r="K2206" i="3" s="1"/>
  <c r="C2194" i="3"/>
  <c r="K2207" i="3" s="1"/>
  <c r="C2195" i="3"/>
  <c r="K2208" i="3" s="1"/>
  <c r="C2196" i="3"/>
  <c r="K2209" i="3" s="1"/>
  <c r="C2197" i="3"/>
  <c r="K2210" i="3" s="1"/>
  <c r="C2198" i="3"/>
  <c r="K2211" i="3" s="1"/>
  <c r="C2199" i="3"/>
  <c r="K2212" i="3" s="1"/>
  <c r="C2200" i="3"/>
  <c r="K2213" i="3" s="1"/>
  <c r="C2201" i="3"/>
  <c r="K2214" i="3" s="1"/>
  <c r="C2202" i="3"/>
  <c r="K2215" i="3" s="1"/>
  <c r="C2203" i="3"/>
  <c r="K2216" i="3" s="1"/>
  <c r="C2204" i="3"/>
  <c r="K2217" i="3" s="1"/>
  <c r="C2205" i="3"/>
  <c r="K2218" i="3" s="1"/>
  <c r="C2206" i="3"/>
  <c r="K2219" i="3" s="1"/>
  <c r="C2207" i="3"/>
  <c r="K2220" i="3" s="1"/>
  <c r="C2208" i="3"/>
  <c r="K2221" i="3" s="1"/>
  <c r="C2209" i="3"/>
  <c r="K2222" i="3" s="1"/>
  <c r="C2210" i="3"/>
  <c r="K2223" i="3" s="1"/>
  <c r="C2211" i="3"/>
  <c r="K2224" i="3" s="1"/>
  <c r="C2212" i="3"/>
  <c r="K2225" i="3" s="1"/>
  <c r="C2213" i="3"/>
  <c r="K2226" i="3" s="1"/>
  <c r="C2214" i="3"/>
  <c r="K2227" i="3" s="1"/>
  <c r="C2215" i="3"/>
  <c r="K2228" i="3" s="1"/>
  <c r="C2216" i="3"/>
  <c r="K2229" i="3" s="1"/>
  <c r="C2217" i="3"/>
  <c r="K2230" i="3" s="1"/>
  <c r="C2218" i="3"/>
  <c r="K2231" i="3" s="1"/>
  <c r="C2219" i="3"/>
  <c r="K2232" i="3" s="1"/>
  <c r="C2220" i="3"/>
  <c r="K2233" i="3" s="1"/>
  <c r="C2221" i="3"/>
  <c r="K2234" i="3" s="1"/>
  <c r="C2222" i="3"/>
  <c r="K2235" i="3" s="1"/>
  <c r="C2223" i="3"/>
  <c r="K2236" i="3" s="1"/>
  <c r="C2224" i="3"/>
  <c r="K2237" i="3" s="1"/>
  <c r="C2225" i="3"/>
  <c r="K2238" i="3" s="1"/>
  <c r="C2226" i="3"/>
  <c r="K2239" i="3" s="1"/>
  <c r="C2227" i="3"/>
  <c r="K2240" i="3" s="1"/>
  <c r="C2228" i="3"/>
  <c r="K2241" i="3" s="1"/>
  <c r="C2229" i="3"/>
  <c r="K2242" i="3" s="1"/>
  <c r="C2230" i="3"/>
  <c r="K2243" i="3" s="1"/>
  <c r="C2231" i="3"/>
  <c r="K2244" i="3" s="1"/>
  <c r="C2232" i="3"/>
  <c r="K2245" i="3" s="1"/>
  <c r="C2233" i="3"/>
  <c r="K2246" i="3" s="1"/>
  <c r="C2234" i="3"/>
  <c r="K2247" i="3" s="1"/>
  <c r="C2235" i="3"/>
  <c r="K2248" i="3" s="1"/>
  <c r="C2236" i="3"/>
  <c r="K2249" i="3" s="1"/>
  <c r="C2237" i="3"/>
  <c r="K2250" i="3" s="1"/>
  <c r="C2238" i="3"/>
  <c r="K2251" i="3" s="1"/>
  <c r="C2239" i="3"/>
  <c r="K2252" i="3" s="1"/>
  <c r="C2240" i="3"/>
  <c r="K2253" i="3" s="1"/>
  <c r="C2241" i="3"/>
  <c r="K2254" i="3" s="1"/>
  <c r="C2242" i="3"/>
  <c r="K2255" i="3" s="1"/>
  <c r="C2243" i="3"/>
  <c r="K2256" i="3" s="1"/>
  <c r="C2244" i="3"/>
  <c r="K2257" i="3" s="1"/>
  <c r="C2245" i="3"/>
  <c r="K2258" i="3" s="1"/>
  <c r="C2246" i="3"/>
  <c r="K2259" i="3" s="1"/>
  <c r="C2247" i="3"/>
  <c r="K2260" i="3" s="1"/>
  <c r="C2248" i="3"/>
  <c r="K2261" i="3" s="1"/>
  <c r="C2249" i="3"/>
  <c r="K2262" i="3" s="1"/>
  <c r="C2250" i="3"/>
  <c r="K2263" i="3" s="1"/>
  <c r="C2251" i="3"/>
  <c r="K2264" i="3" s="1"/>
  <c r="C2252" i="3"/>
  <c r="K2265" i="3" s="1"/>
  <c r="C2253" i="3"/>
  <c r="K2266" i="3" s="1"/>
  <c r="C2254" i="3"/>
  <c r="K2267" i="3" s="1"/>
  <c r="C2255" i="3"/>
  <c r="K2268" i="3" s="1"/>
  <c r="C2256" i="3"/>
  <c r="K2269" i="3" s="1"/>
  <c r="C2257" i="3"/>
  <c r="K2270" i="3" s="1"/>
  <c r="C2258" i="3"/>
  <c r="K2271" i="3" s="1"/>
  <c r="C2259" i="3"/>
  <c r="K2272" i="3" s="1"/>
  <c r="C2260" i="3"/>
  <c r="K2273" i="3" s="1"/>
  <c r="C2261" i="3"/>
  <c r="K2274" i="3" s="1"/>
  <c r="C2262" i="3"/>
  <c r="K2275" i="3" s="1"/>
  <c r="C2263" i="3"/>
  <c r="K2276" i="3" s="1"/>
  <c r="C2264" i="3"/>
  <c r="K2277" i="3" s="1"/>
  <c r="C2265" i="3"/>
  <c r="K2278" i="3" s="1"/>
  <c r="C2266" i="3"/>
  <c r="K2279" i="3" s="1"/>
  <c r="C2267" i="3"/>
  <c r="K2280" i="3" s="1"/>
  <c r="C2268" i="3"/>
  <c r="K2281" i="3" s="1"/>
  <c r="C2269" i="3"/>
  <c r="K2282" i="3" s="1"/>
  <c r="C2270" i="3"/>
  <c r="K2283" i="3" s="1"/>
  <c r="C2271" i="3"/>
  <c r="K2284" i="3" s="1"/>
  <c r="C2272" i="3"/>
  <c r="K2285" i="3" s="1"/>
  <c r="C2273" i="3"/>
  <c r="K2286" i="3" s="1"/>
  <c r="C2274" i="3"/>
  <c r="K2287" i="3" s="1"/>
  <c r="C2275" i="3"/>
  <c r="K2288" i="3" s="1"/>
  <c r="C2276" i="3"/>
  <c r="K2289" i="3" s="1"/>
  <c r="C2277" i="3"/>
  <c r="K2290" i="3" s="1"/>
  <c r="C2278" i="3"/>
  <c r="K2291" i="3" s="1"/>
  <c r="C2279" i="3"/>
  <c r="K2292" i="3" s="1"/>
  <c r="C2280" i="3"/>
  <c r="K2293" i="3" s="1"/>
  <c r="C2281" i="3"/>
  <c r="K2294" i="3" s="1"/>
  <c r="C2282" i="3"/>
  <c r="K2295" i="3" s="1"/>
  <c r="C2283" i="3"/>
  <c r="K2296" i="3" s="1"/>
  <c r="C2284" i="3"/>
  <c r="K2297" i="3" s="1"/>
  <c r="C2285" i="3"/>
  <c r="K2298" i="3" s="1"/>
  <c r="C2286" i="3"/>
  <c r="K2299" i="3" s="1"/>
  <c r="C2287" i="3"/>
  <c r="K2300" i="3" s="1"/>
  <c r="C2288" i="3"/>
  <c r="K2301" i="3" s="1"/>
  <c r="C2289" i="3"/>
  <c r="K2302" i="3" s="1"/>
  <c r="C2290" i="3"/>
  <c r="K2303" i="3" s="1"/>
  <c r="C2291" i="3"/>
  <c r="K2304" i="3" s="1"/>
  <c r="C2292" i="3"/>
  <c r="K2305" i="3" s="1"/>
  <c r="C2293" i="3"/>
  <c r="K2306" i="3" s="1"/>
  <c r="C2294" i="3"/>
  <c r="K2307" i="3" s="1"/>
  <c r="C2295" i="3"/>
  <c r="K2308" i="3" s="1"/>
  <c r="C2296" i="3"/>
  <c r="K2309" i="3" s="1"/>
  <c r="C2297" i="3"/>
  <c r="K2310" i="3" s="1"/>
  <c r="C2298" i="3"/>
  <c r="K2311" i="3" s="1"/>
  <c r="C2299" i="3"/>
  <c r="K2312" i="3" s="1"/>
  <c r="C2300" i="3"/>
  <c r="K2313" i="3" s="1"/>
  <c r="C2301" i="3"/>
  <c r="K2314" i="3" s="1"/>
  <c r="C2302" i="3"/>
  <c r="K2315" i="3" s="1"/>
  <c r="C2303" i="3"/>
  <c r="K2316" i="3" s="1"/>
  <c r="C2304" i="3"/>
  <c r="K2317" i="3" s="1"/>
  <c r="C2305" i="3"/>
  <c r="K2318" i="3" s="1"/>
  <c r="C2306" i="3"/>
  <c r="K2319" i="3" s="1"/>
  <c r="C2307" i="3"/>
  <c r="K2320" i="3" s="1"/>
  <c r="C2308" i="3"/>
  <c r="K2321" i="3" s="1"/>
  <c r="C2309" i="3"/>
  <c r="K2322" i="3" s="1"/>
  <c r="C2310" i="3"/>
  <c r="K2323" i="3" s="1"/>
  <c r="C2311" i="3"/>
  <c r="K2324" i="3" s="1"/>
  <c r="C2312" i="3"/>
  <c r="K2325" i="3" s="1"/>
  <c r="C2313" i="3"/>
  <c r="K2326" i="3" s="1"/>
  <c r="C2314" i="3"/>
  <c r="K2327" i="3" s="1"/>
  <c r="C2315" i="3"/>
  <c r="K2328" i="3" s="1"/>
  <c r="C2316" i="3"/>
  <c r="K2329" i="3" s="1"/>
  <c r="C2317" i="3"/>
  <c r="K2330" i="3" s="1"/>
  <c r="C2318" i="3"/>
  <c r="K2331" i="3" s="1"/>
  <c r="C2319" i="3"/>
  <c r="K2332" i="3" s="1"/>
  <c r="C2320" i="3"/>
  <c r="K2333" i="3" s="1"/>
  <c r="C2321" i="3"/>
  <c r="K2334" i="3" s="1"/>
  <c r="C2322" i="3"/>
  <c r="K2335" i="3" s="1"/>
  <c r="C2323" i="3"/>
  <c r="K2336" i="3" s="1"/>
  <c r="C2324" i="3"/>
  <c r="K2337" i="3" s="1"/>
  <c r="C2325" i="3"/>
  <c r="K2338" i="3" s="1"/>
  <c r="C2326" i="3"/>
  <c r="K2339" i="3" s="1"/>
  <c r="C2327" i="3"/>
  <c r="K2340" i="3" s="1"/>
  <c r="C2328" i="3"/>
  <c r="K2341" i="3" s="1"/>
  <c r="C2329" i="3"/>
  <c r="K2342" i="3" s="1"/>
  <c r="C2330" i="3"/>
  <c r="K2343" i="3" s="1"/>
  <c r="C2331" i="3"/>
  <c r="K2344" i="3" s="1"/>
  <c r="C2332" i="3"/>
  <c r="K2345" i="3" s="1"/>
  <c r="C2333" i="3"/>
  <c r="K2346" i="3" s="1"/>
  <c r="C2334" i="3"/>
  <c r="K2347" i="3" s="1"/>
  <c r="C2335" i="3"/>
  <c r="K2348" i="3" s="1"/>
  <c r="C2336" i="3"/>
  <c r="K2349" i="3" s="1"/>
  <c r="C2337" i="3"/>
  <c r="K2350" i="3" s="1"/>
  <c r="C2338" i="3"/>
  <c r="K2351" i="3" s="1"/>
  <c r="C2339" i="3"/>
  <c r="K2352" i="3" s="1"/>
  <c r="C2340" i="3"/>
  <c r="K2353" i="3" s="1"/>
  <c r="C2341" i="3"/>
  <c r="K2354" i="3" s="1"/>
  <c r="C2342" i="3"/>
  <c r="K2355" i="3" s="1"/>
  <c r="C2343" i="3"/>
  <c r="K2356" i="3" s="1"/>
  <c r="C2344" i="3"/>
  <c r="K2357" i="3" s="1"/>
  <c r="C2345" i="3"/>
  <c r="K2358" i="3" s="1"/>
  <c r="C2346" i="3"/>
  <c r="K2359" i="3" s="1"/>
  <c r="C2347" i="3"/>
  <c r="K2360" i="3" s="1"/>
  <c r="C2348" i="3"/>
  <c r="K2361" i="3" s="1"/>
  <c r="C2349" i="3"/>
  <c r="K2362" i="3" s="1"/>
  <c r="C2350" i="3"/>
  <c r="K2363" i="3" s="1"/>
  <c r="C2351" i="3"/>
  <c r="K2364" i="3" s="1"/>
  <c r="C2352" i="3"/>
  <c r="K2365" i="3" s="1"/>
  <c r="C2353" i="3"/>
  <c r="K2366" i="3" s="1"/>
  <c r="C2354" i="3"/>
  <c r="K2367" i="3" s="1"/>
  <c r="C2355" i="3"/>
  <c r="K2368" i="3" s="1"/>
  <c r="C2356" i="3"/>
  <c r="K2369" i="3" s="1"/>
  <c r="C2357" i="3"/>
  <c r="K2370" i="3" s="1"/>
  <c r="C2358" i="3"/>
  <c r="K2371" i="3" s="1"/>
  <c r="C2359" i="3"/>
  <c r="K2372" i="3" s="1"/>
  <c r="C2360" i="3"/>
  <c r="K2373" i="3" s="1"/>
  <c r="C2361" i="3"/>
  <c r="K2374" i="3" s="1"/>
  <c r="C2362" i="3"/>
  <c r="K2375" i="3" s="1"/>
  <c r="C2363" i="3"/>
  <c r="K2376" i="3" s="1"/>
  <c r="C2364" i="3"/>
  <c r="K2377" i="3" s="1"/>
  <c r="C2365" i="3"/>
  <c r="K2378" i="3" s="1"/>
  <c r="C2366" i="3"/>
  <c r="K2379" i="3" s="1"/>
  <c r="C2367" i="3"/>
  <c r="K2380" i="3" s="1"/>
  <c r="C2368" i="3"/>
  <c r="K2381" i="3" s="1"/>
  <c r="C2369" i="3"/>
  <c r="K2382" i="3" s="1"/>
  <c r="C2370" i="3"/>
  <c r="K2383" i="3" s="1"/>
  <c r="C2371" i="3"/>
  <c r="K2384" i="3" s="1"/>
  <c r="C2372" i="3"/>
  <c r="K2385" i="3" s="1"/>
  <c r="C2373" i="3"/>
  <c r="K2386" i="3" s="1"/>
  <c r="C2374" i="3"/>
  <c r="K2387" i="3" s="1"/>
  <c r="C2375" i="3"/>
  <c r="K2388" i="3" s="1"/>
  <c r="C2376" i="3"/>
  <c r="K2389" i="3" s="1"/>
  <c r="C2377" i="3"/>
  <c r="K2390" i="3" s="1"/>
  <c r="C2378" i="3"/>
  <c r="K2391" i="3" s="1"/>
  <c r="C2379" i="3"/>
  <c r="K2392" i="3" s="1"/>
  <c r="C2380" i="3"/>
  <c r="K2393" i="3" s="1"/>
  <c r="C2381" i="3"/>
  <c r="K2394" i="3" s="1"/>
  <c r="C2382" i="3"/>
  <c r="K2395" i="3" s="1"/>
  <c r="C2383" i="3"/>
  <c r="K2396" i="3" s="1"/>
  <c r="C2384" i="3"/>
  <c r="K2397" i="3" s="1"/>
  <c r="C2385" i="3"/>
  <c r="K2398" i="3" s="1"/>
  <c r="C2386" i="3"/>
  <c r="K2399" i="3" s="1"/>
  <c r="C2387" i="3"/>
  <c r="K2400" i="3" s="1"/>
  <c r="C2388" i="3"/>
  <c r="K2401" i="3" s="1"/>
  <c r="C2389" i="3"/>
  <c r="K2402" i="3" s="1"/>
  <c r="C2390" i="3"/>
  <c r="K2403" i="3" s="1"/>
  <c r="C2391" i="3"/>
  <c r="K2404" i="3" s="1"/>
  <c r="C2392" i="3"/>
  <c r="K2405" i="3" s="1"/>
  <c r="C2393" i="3"/>
  <c r="K2406" i="3" s="1"/>
  <c r="C2394" i="3"/>
  <c r="K2407" i="3" s="1"/>
  <c r="C2395" i="3"/>
  <c r="K2408" i="3" s="1"/>
  <c r="C2396" i="3"/>
  <c r="K2409" i="3" s="1"/>
  <c r="C2397" i="3"/>
  <c r="K2410" i="3" s="1"/>
  <c r="C2398" i="3"/>
  <c r="K2411" i="3" s="1"/>
  <c r="C2399" i="3"/>
  <c r="K2412" i="3" s="1"/>
  <c r="C2400" i="3"/>
  <c r="K2413" i="3" s="1"/>
  <c r="C2401" i="3"/>
  <c r="K2414" i="3" s="1"/>
  <c r="C2402" i="3"/>
  <c r="K2415" i="3" s="1"/>
  <c r="C2403" i="3"/>
  <c r="K2416" i="3" s="1"/>
  <c r="C2404" i="3"/>
  <c r="K2417" i="3" s="1"/>
  <c r="C2405" i="3"/>
  <c r="K2418" i="3" s="1"/>
  <c r="C2406" i="3"/>
  <c r="K2419" i="3" s="1"/>
  <c r="C2407" i="3"/>
  <c r="K2420" i="3" s="1"/>
  <c r="C2408" i="3"/>
  <c r="K2421" i="3" s="1"/>
  <c r="C2409" i="3"/>
  <c r="K2422" i="3" s="1"/>
  <c r="C2410" i="3"/>
  <c r="K2423" i="3" s="1"/>
  <c r="C2411" i="3"/>
  <c r="K2424" i="3" s="1"/>
  <c r="C2412" i="3"/>
  <c r="K2425" i="3" s="1"/>
  <c r="C2413" i="3"/>
  <c r="K2426" i="3" s="1"/>
  <c r="C2414" i="3"/>
  <c r="K2427" i="3" s="1"/>
  <c r="C2415" i="3"/>
  <c r="K2428" i="3" s="1"/>
  <c r="C2416" i="3"/>
  <c r="K2429" i="3" s="1"/>
  <c r="C2417" i="3"/>
  <c r="K2430" i="3" s="1"/>
  <c r="C2418" i="3"/>
  <c r="K2431" i="3" s="1"/>
  <c r="C2419" i="3"/>
  <c r="K2432" i="3" s="1"/>
  <c r="C2420" i="3"/>
  <c r="K2433" i="3" s="1"/>
  <c r="C2421" i="3"/>
  <c r="K2434" i="3" s="1"/>
  <c r="C2422" i="3"/>
  <c r="K2435" i="3" s="1"/>
  <c r="C2423" i="3"/>
  <c r="K2436" i="3" s="1"/>
  <c r="C2424" i="3"/>
  <c r="K2437" i="3" s="1"/>
  <c r="C2425" i="3"/>
  <c r="K2438" i="3" s="1"/>
  <c r="C2426" i="3"/>
  <c r="K2439" i="3" s="1"/>
  <c r="C2427" i="3"/>
  <c r="K2440" i="3" s="1"/>
  <c r="C2428" i="3"/>
  <c r="K2441" i="3" s="1"/>
  <c r="C2429" i="3"/>
  <c r="K2442" i="3" s="1"/>
  <c r="C2430" i="3"/>
  <c r="K2443" i="3" s="1"/>
  <c r="C2431" i="3"/>
  <c r="K2444" i="3" s="1"/>
  <c r="C2432" i="3"/>
  <c r="K2445" i="3" s="1"/>
  <c r="C2433" i="3"/>
  <c r="K2446" i="3" s="1"/>
  <c r="C2434" i="3"/>
  <c r="K2447" i="3" s="1"/>
  <c r="C2435" i="3"/>
  <c r="K2448" i="3" s="1"/>
  <c r="C2436" i="3"/>
  <c r="K2449" i="3" s="1"/>
  <c r="C2437" i="3"/>
  <c r="K2450" i="3" s="1"/>
  <c r="C2438" i="3"/>
  <c r="K2451" i="3" s="1"/>
  <c r="C2439" i="3"/>
  <c r="K2452" i="3" s="1"/>
  <c r="C2440" i="3"/>
  <c r="K2453" i="3" s="1"/>
  <c r="C2441" i="3"/>
  <c r="K2454" i="3" s="1"/>
  <c r="C2442" i="3"/>
  <c r="K2455" i="3" s="1"/>
  <c r="C2443" i="3"/>
  <c r="K2456" i="3" s="1"/>
  <c r="C2444" i="3"/>
  <c r="K2457" i="3" s="1"/>
  <c r="C2445" i="3"/>
  <c r="K2458" i="3" s="1"/>
  <c r="C2446" i="3"/>
  <c r="K2459" i="3" s="1"/>
  <c r="C2447" i="3"/>
  <c r="K2460" i="3" s="1"/>
  <c r="C2448" i="3"/>
  <c r="K2461" i="3" s="1"/>
  <c r="C2449" i="3"/>
  <c r="K2462" i="3" s="1"/>
  <c r="C2450" i="3"/>
  <c r="K2463" i="3" s="1"/>
  <c r="C2451" i="3"/>
  <c r="K2464" i="3" s="1"/>
  <c r="C2452" i="3"/>
  <c r="K2465" i="3" s="1"/>
  <c r="C2453" i="3"/>
  <c r="K2466" i="3" s="1"/>
  <c r="C2454" i="3"/>
  <c r="K2467" i="3" s="1"/>
  <c r="C2455" i="3"/>
  <c r="K2468" i="3" s="1"/>
  <c r="C2456" i="3"/>
  <c r="K2469" i="3" s="1"/>
  <c r="C2457" i="3"/>
  <c r="K2470" i="3" s="1"/>
  <c r="C2458" i="3"/>
  <c r="K2471" i="3" s="1"/>
  <c r="C2459" i="3"/>
  <c r="K2472" i="3" s="1"/>
  <c r="C2460" i="3"/>
  <c r="K2473" i="3" s="1"/>
  <c r="C2461" i="3"/>
  <c r="K2474" i="3" s="1"/>
  <c r="C2462" i="3"/>
  <c r="K2475" i="3" s="1"/>
  <c r="C2463" i="3"/>
  <c r="K2476" i="3" s="1"/>
  <c r="C2464" i="3"/>
  <c r="K2477" i="3" s="1"/>
  <c r="C2465" i="3"/>
  <c r="K2478" i="3" s="1"/>
  <c r="C2466" i="3"/>
  <c r="K2479" i="3" s="1"/>
  <c r="C2467" i="3"/>
  <c r="K2480" i="3" s="1"/>
  <c r="C2468" i="3"/>
  <c r="K2481" i="3" s="1"/>
  <c r="C2469" i="3"/>
  <c r="K2482" i="3" s="1"/>
  <c r="C2470" i="3"/>
  <c r="K2483" i="3" s="1"/>
  <c r="C2471" i="3"/>
  <c r="K2484" i="3" s="1"/>
  <c r="C2472" i="3"/>
  <c r="K2485" i="3" s="1"/>
  <c r="C2473" i="3"/>
  <c r="K2486" i="3" s="1"/>
  <c r="C2474" i="3"/>
  <c r="K2487" i="3" s="1"/>
  <c r="C2475" i="3"/>
  <c r="K2488" i="3" s="1"/>
  <c r="C2476" i="3"/>
  <c r="K2489" i="3" s="1"/>
  <c r="C2477" i="3"/>
  <c r="K2490" i="3" s="1"/>
  <c r="C2478" i="3"/>
  <c r="K2491" i="3" s="1"/>
  <c r="C2479" i="3"/>
  <c r="K2492" i="3" s="1"/>
  <c r="C2480" i="3"/>
  <c r="K2493" i="3" s="1"/>
  <c r="C2481" i="3"/>
  <c r="K2494" i="3" s="1"/>
  <c r="C2482" i="3"/>
  <c r="K2495" i="3" s="1"/>
  <c r="C2483" i="3"/>
  <c r="K2496" i="3" s="1"/>
  <c r="C2484" i="3"/>
  <c r="K2497" i="3" s="1"/>
  <c r="C2485" i="3"/>
  <c r="K2498" i="3" s="1"/>
  <c r="C2486" i="3"/>
  <c r="K2499" i="3" s="1"/>
  <c r="C2487" i="3"/>
  <c r="K2500" i="3" s="1"/>
  <c r="C2488" i="3"/>
  <c r="K2501" i="3" s="1"/>
  <c r="C2489" i="3"/>
  <c r="K2502" i="3" s="1"/>
  <c r="C2490" i="3"/>
  <c r="K2503" i="3" s="1"/>
  <c r="C2491" i="3"/>
  <c r="K2504" i="3" s="1"/>
  <c r="C2492" i="3"/>
  <c r="K2505" i="3" s="1"/>
  <c r="C2493" i="3"/>
  <c r="K2506" i="3" s="1"/>
  <c r="C2494" i="3"/>
  <c r="K2507" i="3" s="1"/>
  <c r="C2495" i="3"/>
  <c r="K2508" i="3" s="1"/>
  <c r="C2496" i="3"/>
  <c r="K2509" i="3" s="1"/>
  <c r="C2497" i="3"/>
  <c r="K2510" i="3" s="1"/>
  <c r="C2498" i="3"/>
  <c r="K2511" i="3" s="1"/>
  <c r="C2499" i="3"/>
  <c r="K2512" i="3" s="1"/>
  <c r="C2500" i="3"/>
  <c r="K2513" i="3" s="1"/>
  <c r="C2501" i="3"/>
  <c r="K2514" i="3" s="1"/>
  <c r="C2502" i="3"/>
  <c r="K2515" i="3" s="1"/>
  <c r="C2503" i="3"/>
  <c r="K2516" i="3" s="1"/>
  <c r="C2504" i="3"/>
  <c r="K2517" i="3" s="1"/>
  <c r="C2505" i="3"/>
  <c r="K2518" i="3" s="1"/>
  <c r="C2506" i="3"/>
  <c r="K2519" i="3" s="1"/>
  <c r="C2507" i="3"/>
  <c r="K2520" i="3" s="1"/>
  <c r="C2508" i="3"/>
  <c r="K2521" i="3" s="1"/>
  <c r="C2509" i="3"/>
  <c r="K2522" i="3" s="1"/>
  <c r="C2510" i="3"/>
  <c r="K2523" i="3" s="1"/>
  <c r="C2511" i="3"/>
  <c r="K2524" i="3" s="1"/>
  <c r="C2512" i="3"/>
  <c r="K2525" i="3" s="1"/>
  <c r="C2513" i="3"/>
  <c r="K2526" i="3" s="1"/>
  <c r="C2514" i="3"/>
  <c r="K2527" i="3" s="1"/>
  <c r="C2515" i="3"/>
  <c r="K2528" i="3" s="1"/>
  <c r="C2516" i="3"/>
  <c r="K2529" i="3" s="1"/>
  <c r="C2517" i="3"/>
  <c r="K2530" i="3" s="1"/>
  <c r="C2518" i="3"/>
  <c r="K2531" i="3" s="1"/>
  <c r="C2519" i="3"/>
  <c r="K2532" i="3" s="1"/>
  <c r="C2520" i="3"/>
  <c r="K2533" i="3" s="1"/>
  <c r="C2521" i="3"/>
  <c r="K2534" i="3" s="1"/>
  <c r="C2522" i="3"/>
  <c r="K2535" i="3" s="1"/>
  <c r="C2523" i="3"/>
  <c r="K2536" i="3" s="1"/>
  <c r="C2524" i="3"/>
  <c r="K2537" i="3" s="1"/>
  <c r="C2525" i="3"/>
  <c r="K2538" i="3" s="1"/>
  <c r="C2526" i="3"/>
  <c r="K2539" i="3" s="1"/>
  <c r="C2527" i="3"/>
  <c r="K2540" i="3" s="1"/>
  <c r="C2528" i="3"/>
  <c r="K2541" i="3" s="1"/>
  <c r="C2529" i="3"/>
  <c r="K2542" i="3" s="1"/>
  <c r="C2530" i="3"/>
  <c r="K2543" i="3" s="1"/>
  <c r="C2531" i="3"/>
  <c r="K2544" i="3" s="1"/>
  <c r="C2532" i="3"/>
  <c r="K2545" i="3" s="1"/>
  <c r="C2533" i="3"/>
  <c r="K2546" i="3" s="1"/>
  <c r="C2534" i="3"/>
  <c r="K2547" i="3" s="1"/>
  <c r="C2535" i="3"/>
  <c r="K2548" i="3" s="1"/>
  <c r="C2536" i="3"/>
  <c r="K2549" i="3" s="1"/>
  <c r="C2537" i="3"/>
  <c r="K2550" i="3" s="1"/>
  <c r="C2538" i="3"/>
  <c r="K2551" i="3" s="1"/>
  <c r="C2539" i="3"/>
  <c r="K2552" i="3" s="1"/>
  <c r="C2540" i="3"/>
  <c r="K2553" i="3" s="1"/>
  <c r="C2541" i="3"/>
  <c r="K2554" i="3" s="1"/>
  <c r="C2542" i="3"/>
  <c r="K2555" i="3" s="1"/>
  <c r="C2543" i="3"/>
  <c r="K2556" i="3" s="1"/>
  <c r="C2544" i="3"/>
  <c r="K2557" i="3" s="1"/>
  <c r="C2545" i="3"/>
  <c r="K2558" i="3" s="1"/>
  <c r="C2546" i="3"/>
  <c r="K2559" i="3" s="1"/>
  <c r="C2547" i="3"/>
  <c r="K2560" i="3" s="1"/>
  <c r="C2548" i="3"/>
  <c r="K2561" i="3" s="1"/>
  <c r="C2549" i="3"/>
  <c r="K2562" i="3" s="1"/>
  <c r="C2550" i="3"/>
  <c r="K2563" i="3" s="1"/>
  <c r="C2551" i="3"/>
  <c r="K2564" i="3" s="1"/>
  <c r="C2552" i="3"/>
  <c r="K2565" i="3" s="1"/>
  <c r="C2553" i="3"/>
  <c r="K2566" i="3" s="1"/>
  <c r="C2554" i="3"/>
  <c r="K2567" i="3" s="1"/>
  <c r="C2555" i="3"/>
  <c r="K2568" i="3" s="1"/>
  <c r="C2556" i="3"/>
  <c r="K2569" i="3" s="1"/>
  <c r="C2557" i="3"/>
  <c r="K2570" i="3" s="1"/>
  <c r="C2558" i="3"/>
  <c r="K2571" i="3" s="1"/>
  <c r="C2559" i="3"/>
  <c r="K2572" i="3" s="1"/>
  <c r="C2560" i="3"/>
  <c r="K2573" i="3" s="1"/>
  <c r="C2561" i="3"/>
  <c r="K2574" i="3" s="1"/>
  <c r="C2562" i="3"/>
  <c r="K2575" i="3" s="1"/>
  <c r="C2563" i="3"/>
  <c r="K2576" i="3" s="1"/>
  <c r="C2564" i="3"/>
  <c r="K2577" i="3" s="1"/>
  <c r="C2565" i="3"/>
  <c r="K2578" i="3" s="1"/>
  <c r="C2566" i="3"/>
  <c r="K2579" i="3" s="1"/>
  <c r="C2567" i="3"/>
  <c r="K2580" i="3" s="1"/>
  <c r="C2568" i="3"/>
  <c r="K2581" i="3" s="1"/>
  <c r="C2569" i="3"/>
  <c r="K2582" i="3" s="1"/>
  <c r="C2570" i="3"/>
  <c r="K2583" i="3" s="1"/>
  <c r="C2571" i="3"/>
  <c r="K2584" i="3" s="1"/>
  <c r="C2572" i="3"/>
  <c r="K2585" i="3" s="1"/>
  <c r="C2573" i="3"/>
  <c r="K2586" i="3" s="1"/>
  <c r="C2574" i="3"/>
  <c r="K2587" i="3" s="1"/>
  <c r="C2575" i="3"/>
  <c r="K2588" i="3" s="1"/>
  <c r="C2576" i="3"/>
  <c r="K2589" i="3" s="1"/>
  <c r="C2577" i="3"/>
  <c r="K2590" i="3" s="1"/>
  <c r="C2578" i="3"/>
  <c r="K2591" i="3" s="1"/>
  <c r="C2579" i="3"/>
  <c r="K2592" i="3" s="1"/>
  <c r="C2580" i="3"/>
  <c r="K2593" i="3" s="1"/>
  <c r="C2581" i="3"/>
  <c r="K2594" i="3" s="1"/>
  <c r="C2582" i="3"/>
  <c r="K2595" i="3" s="1"/>
  <c r="C2583" i="3"/>
  <c r="K2596" i="3" s="1"/>
  <c r="C2584" i="3"/>
  <c r="K2597" i="3" s="1"/>
  <c r="C2585" i="3"/>
  <c r="K2598" i="3" s="1"/>
  <c r="C2586" i="3"/>
  <c r="K2599" i="3" s="1"/>
  <c r="C2587" i="3"/>
  <c r="K2600" i="3" s="1"/>
  <c r="C2588" i="3"/>
  <c r="K2601" i="3" s="1"/>
  <c r="C2589" i="3"/>
  <c r="K2602" i="3" s="1"/>
  <c r="C2590" i="3"/>
  <c r="K2603" i="3" s="1"/>
  <c r="C2591" i="3"/>
  <c r="K2604" i="3" s="1"/>
  <c r="C2592" i="3"/>
  <c r="K2605" i="3" s="1"/>
  <c r="C2593" i="3"/>
  <c r="K2606" i="3" s="1"/>
  <c r="C2594" i="3"/>
  <c r="K2607" i="3" s="1"/>
  <c r="C2595" i="3"/>
  <c r="K2608" i="3" s="1"/>
  <c r="C2596" i="3"/>
  <c r="K2609" i="3" s="1"/>
  <c r="C2597" i="3"/>
  <c r="K2610" i="3" s="1"/>
  <c r="C2598" i="3"/>
  <c r="K2611" i="3" s="1"/>
  <c r="C2599" i="3"/>
  <c r="K2612" i="3" s="1"/>
  <c r="C2600" i="3"/>
  <c r="K2613" i="3" s="1"/>
  <c r="C2601" i="3"/>
  <c r="K2614" i="3" s="1"/>
  <c r="C2602" i="3"/>
  <c r="K2615" i="3" s="1"/>
  <c r="C2603" i="3"/>
  <c r="K2616" i="3" s="1"/>
  <c r="C2604" i="3"/>
  <c r="K2617" i="3" s="1"/>
  <c r="C2605" i="3"/>
  <c r="K2618" i="3" s="1"/>
  <c r="C2606" i="3"/>
  <c r="K2619" i="3" s="1"/>
  <c r="C2607" i="3"/>
  <c r="K2620" i="3" s="1"/>
  <c r="C2608" i="3"/>
  <c r="K2621" i="3" s="1"/>
  <c r="C2609" i="3"/>
  <c r="K2622" i="3" s="1"/>
  <c r="C2610" i="3"/>
  <c r="K2623" i="3" s="1"/>
  <c r="C2611" i="3"/>
  <c r="K2624" i="3" s="1"/>
  <c r="C2612" i="3"/>
  <c r="K2625" i="3" s="1"/>
  <c r="C2613" i="3"/>
  <c r="K2626" i="3" s="1"/>
  <c r="C2614" i="3"/>
  <c r="K2627" i="3" s="1"/>
  <c r="C2615" i="3"/>
  <c r="K2628" i="3" s="1"/>
  <c r="C2616" i="3"/>
  <c r="K2629" i="3" s="1"/>
  <c r="C2617" i="3"/>
  <c r="K2630" i="3" s="1"/>
  <c r="C2618" i="3"/>
  <c r="K2631" i="3" s="1"/>
  <c r="C2619" i="3"/>
  <c r="K2632" i="3" s="1"/>
  <c r="C2620" i="3"/>
  <c r="K2633" i="3" s="1"/>
  <c r="C2621" i="3"/>
  <c r="K2634" i="3" s="1"/>
  <c r="C2622" i="3"/>
  <c r="K2635" i="3" s="1"/>
  <c r="C2623" i="3"/>
  <c r="K2636" i="3" s="1"/>
  <c r="C2624" i="3"/>
  <c r="K2637" i="3" s="1"/>
  <c r="C2625" i="3"/>
  <c r="K2638" i="3" s="1"/>
  <c r="C2626" i="3"/>
  <c r="K2639" i="3" s="1"/>
  <c r="C2627" i="3"/>
  <c r="K2640" i="3" s="1"/>
  <c r="C2628" i="3"/>
  <c r="K2641" i="3" s="1"/>
  <c r="C2629" i="3"/>
  <c r="K2642" i="3" s="1"/>
  <c r="C2630" i="3"/>
  <c r="K2643" i="3" s="1"/>
  <c r="C2631" i="3"/>
  <c r="K2644" i="3" s="1"/>
  <c r="C2632" i="3"/>
  <c r="K2645" i="3" s="1"/>
  <c r="C2633" i="3"/>
  <c r="K2646" i="3" s="1"/>
  <c r="C2634" i="3"/>
  <c r="K2647" i="3" s="1"/>
  <c r="C2635" i="3"/>
  <c r="K2648" i="3" s="1"/>
  <c r="C2636" i="3"/>
  <c r="K2649" i="3" s="1"/>
  <c r="C2637" i="3"/>
  <c r="K2650" i="3" s="1"/>
  <c r="C2638" i="3"/>
  <c r="K2651" i="3" s="1"/>
  <c r="C2639" i="3"/>
  <c r="K2652" i="3" s="1"/>
  <c r="C2640" i="3"/>
  <c r="K2653" i="3" s="1"/>
  <c r="C2641" i="3"/>
  <c r="K2654" i="3" s="1"/>
  <c r="C2642" i="3"/>
  <c r="K2655" i="3" s="1"/>
  <c r="C2643" i="3"/>
  <c r="K2656" i="3" s="1"/>
  <c r="C2644" i="3"/>
  <c r="K2657" i="3" s="1"/>
  <c r="C2645" i="3"/>
  <c r="K2658" i="3" s="1"/>
  <c r="C2646" i="3"/>
  <c r="K2659" i="3" s="1"/>
  <c r="C2647" i="3"/>
  <c r="K2660" i="3" s="1"/>
  <c r="C2648" i="3"/>
  <c r="K2661" i="3" s="1"/>
  <c r="C2649" i="3"/>
  <c r="K2662" i="3" s="1"/>
  <c r="C2650" i="3"/>
  <c r="K2663" i="3" s="1"/>
  <c r="C2651" i="3"/>
  <c r="K2664" i="3" s="1"/>
  <c r="C2652" i="3"/>
  <c r="K2665" i="3" s="1"/>
  <c r="C2653" i="3"/>
  <c r="K2666" i="3" s="1"/>
  <c r="C2654" i="3"/>
  <c r="K2667" i="3" s="1"/>
  <c r="C2655" i="3"/>
  <c r="K2668" i="3" s="1"/>
  <c r="C2656" i="3"/>
  <c r="K2669" i="3" s="1"/>
  <c r="C2657" i="3"/>
  <c r="K2670" i="3" s="1"/>
  <c r="C2658" i="3"/>
  <c r="K2671" i="3" s="1"/>
  <c r="C2659" i="3"/>
  <c r="K2672" i="3" s="1"/>
  <c r="C2660" i="3"/>
  <c r="K2673" i="3" s="1"/>
  <c r="C2661" i="3"/>
  <c r="K2674" i="3" s="1"/>
  <c r="C2662" i="3"/>
  <c r="K2675" i="3" s="1"/>
  <c r="C2663" i="3"/>
  <c r="K2676" i="3" s="1"/>
  <c r="C2664" i="3"/>
  <c r="K2677" i="3" s="1"/>
  <c r="C2665" i="3"/>
  <c r="K2678" i="3" s="1"/>
  <c r="C2666" i="3"/>
  <c r="K2679" i="3" s="1"/>
  <c r="C2667" i="3"/>
  <c r="K2680" i="3" s="1"/>
  <c r="C2668" i="3"/>
  <c r="K2681" i="3" s="1"/>
  <c r="C2669" i="3"/>
  <c r="K2682" i="3" s="1"/>
  <c r="C2670" i="3"/>
  <c r="K2683" i="3" s="1"/>
  <c r="C2671" i="3"/>
  <c r="K2684" i="3" s="1"/>
  <c r="C2672" i="3"/>
  <c r="K2685" i="3" s="1"/>
  <c r="C2673" i="3"/>
  <c r="K2686" i="3" s="1"/>
  <c r="C2674" i="3"/>
  <c r="K2687" i="3" s="1"/>
  <c r="C2675" i="3"/>
  <c r="K2688" i="3" s="1"/>
  <c r="C2676" i="3"/>
  <c r="K2689" i="3" s="1"/>
  <c r="C2677" i="3"/>
  <c r="K2690" i="3" s="1"/>
  <c r="C2678" i="3"/>
  <c r="K2691" i="3" s="1"/>
  <c r="C2679" i="3"/>
  <c r="K2692" i="3" s="1"/>
  <c r="C2680" i="3"/>
  <c r="K2693" i="3" s="1"/>
  <c r="C2681" i="3"/>
  <c r="K2694" i="3" s="1"/>
  <c r="C2682" i="3"/>
  <c r="K2695" i="3" s="1"/>
  <c r="C2683" i="3"/>
  <c r="K2696" i="3" s="1"/>
  <c r="C2684" i="3"/>
  <c r="K2697" i="3" s="1"/>
  <c r="C2685" i="3"/>
  <c r="K2698" i="3" s="1"/>
  <c r="C2686" i="3"/>
  <c r="K2699" i="3" s="1"/>
  <c r="C2687" i="3"/>
  <c r="K2700" i="3" s="1"/>
  <c r="C2688" i="3"/>
  <c r="K2701" i="3" s="1"/>
  <c r="C2689" i="3"/>
  <c r="K2702" i="3" s="1"/>
  <c r="C2690" i="3"/>
  <c r="K2703" i="3" s="1"/>
  <c r="C2691" i="3"/>
  <c r="K2704" i="3" s="1"/>
  <c r="C2692" i="3"/>
  <c r="K2705" i="3" s="1"/>
  <c r="C2693" i="3"/>
  <c r="K2706" i="3" s="1"/>
  <c r="C2694" i="3"/>
  <c r="K2707" i="3" s="1"/>
  <c r="C2695" i="3"/>
  <c r="K2708" i="3" s="1"/>
  <c r="C2696" i="3"/>
  <c r="K2709" i="3" s="1"/>
  <c r="C2697" i="3"/>
  <c r="K2710" i="3" s="1"/>
  <c r="C2698" i="3"/>
  <c r="K2711" i="3" s="1"/>
  <c r="C2699" i="3"/>
  <c r="K2712" i="3" s="1"/>
  <c r="C2700" i="3"/>
  <c r="K2713" i="3" s="1"/>
  <c r="C2701" i="3"/>
  <c r="K2714" i="3" s="1"/>
  <c r="C2702" i="3"/>
  <c r="K2715" i="3" s="1"/>
  <c r="C2703" i="3"/>
  <c r="K2716" i="3" s="1"/>
  <c r="C2704" i="3"/>
  <c r="K2717" i="3" s="1"/>
  <c r="C2705" i="3"/>
  <c r="K2718" i="3" s="1"/>
  <c r="C2706" i="3"/>
  <c r="K2719" i="3" s="1"/>
  <c r="C2707" i="3"/>
  <c r="K2720" i="3" s="1"/>
  <c r="C2708" i="3"/>
  <c r="K2721" i="3" s="1"/>
  <c r="C2709" i="3"/>
  <c r="K2722" i="3" s="1"/>
  <c r="C2710" i="3"/>
  <c r="K2723" i="3" s="1"/>
  <c r="C2711" i="3"/>
  <c r="K2724" i="3" s="1"/>
  <c r="C2712" i="3"/>
  <c r="K2725" i="3" s="1"/>
  <c r="C2713" i="3"/>
  <c r="K2726" i="3" s="1"/>
  <c r="C2714" i="3"/>
  <c r="K2727" i="3" s="1"/>
  <c r="C2715" i="3"/>
  <c r="K2728" i="3" s="1"/>
  <c r="C2716" i="3"/>
  <c r="K2729" i="3" s="1"/>
  <c r="C2717" i="3"/>
  <c r="K2730" i="3" s="1"/>
  <c r="C2718" i="3"/>
  <c r="K2731" i="3" s="1"/>
  <c r="C2719" i="3"/>
  <c r="K2732" i="3" s="1"/>
  <c r="C2720" i="3"/>
  <c r="K2733" i="3" s="1"/>
  <c r="C2721" i="3"/>
  <c r="K2734" i="3" s="1"/>
  <c r="C2722" i="3"/>
  <c r="K2735" i="3" s="1"/>
  <c r="C2723" i="3"/>
  <c r="K2736" i="3" s="1"/>
  <c r="C2724" i="3"/>
  <c r="K2737" i="3" s="1"/>
  <c r="C2725" i="3"/>
  <c r="K2738" i="3" s="1"/>
  <c r="C2726" i="3"/>
  <c r="K2739" i="3" s="1"/>
  <c r="C2727" i="3"/>
  <c r="K2740" i="3" s="1"/>
  <c r="C2728" i="3"/>
  <c r="K2741" i="3" s="1"/>
  <c r="C2729" i="3"/>
  <c r="K2742" i="3" s="1"/>
  <c r="C2730" i="3"/>
  <c r="K2743" i="3" s="1"/>
  <c r="C2731" i="3"/>
  <c r="K2744" i="3" s="1"/>
  <c r="C2732" i="3"/>
  <c r="K2745" i="3" s="1"/>
  <c r="C2733" i="3"/>
  <c r="K2746" i="3" s="1"/>
  <c r="C2734" i="3"/>
  <c r="K2747" i="3" s="1"/>
  <c r="C2735" i="3"/>
  <c r="K2748" i="3" s="1"/>
  <c r="C2736" i="3"/>
  <c r="K2749" i="3" s="1"/>
  <c r="C2737" i="3"/>
  <c r="K2750" i="3" s="1"/>
  <c r="C2738" i="3"/>
  <c r="K2751" i="3" s="1"/>
  <c r="C2739" i="3"/>
  <c r="K2752" i="3" s="1"/>
  <c r="C2740" i="3"/>
  <c r="K2753" i="3" s="1"/>
  <c r="C2741" i="3"/>
  <c r="K2754" i="3" s="1"/>
  <c r="C2742" i="3"/>
  <c r="K2755" i="3" s="1"/>
  <c r="C2743" i="3"/>
  <c r="K2756" i="3" s="1"/>
  <c r="C2744" i="3"/>
  <c r="K2757" i="3" s="1"/>
  <c r="C2745" i="3"/>
  <c r="K2758" i="3" s="1"/>
  <c r="C2746" i="3"/>
  <c r="K2759" i="3" s="1"/>
  <c r="C2747" i="3"/>
  <c r="K2760" i="3" s="1"/>
  <c r="C2748" i="3"/>
  <c r="K2761" i="3" s="1"/>
  <c r="C2749" i="3"/>
  <c r="K2762" i="3" s="1"/>
  <c r="C2750" i="3"/>
  <c r="K2763" i="3" s="1"/>
  <c r="C2751" i="3"/>
  <c r="K2764" i="3" s="1"/>
  <c r="C2752" i="3"/>
  <c r="K2765" i="3" s="1"/>
  <c r="C2753" i="3"/>
  <c r="K2766" i="3" s="1"/>
  <c r="C2754" i="3"/>
  <c r="K2767" i="3" s="1"/>
  <c r="C2755" i="3"/>
  <c r="K2768" i="3" s="1"/>
  <c r="C2756" i="3"/>
  <c r="K2769" i="3" s="1"/>
  <c r="C2757" i="3"/>
  <c r="K2770" i="3" s="1"/>
  <c r="C2758" i="3"/>
  <c r="K2771" i="3" s="1"/>
  <c r="C2759" i="3"/>
  <c r="K2772" i="3" s="1"/>
  <c r="C2760" i="3"/>
  <c r="K2773" i="3" s="1"/>
  <c r="C2761" i="3"/>
  <c r="K2774" i="3" s="1"/>
  <c r="C2762" i="3"/>
  <c r="K2775" i="3" s="1"/>
  <c r="C2763" i="3"/>
  <c r="K2776" i="3" s="1"/>
  <c r="C2764" i="3"/>
  <c r="K2777" i="3" s="1"/>
  <c r="C2765" i="3"/>
  <c r="K2778" i="3" s="1"/>
  <c r="C2766" i="3"/>
  <c r="K2779" i="3" s="1"/>
  <c r="C2767" i="3"/>
  <c r="K2780" i="3" s="1"/>
  <c r="C2768" i="3"/>
  <c r="K2781" i="3" s="1"/>
  <c r="C2769" i="3"/>
  <c r="K2782" i="3" s="1"/>
  <c r="C2770" i="3"/>
  <c r="K2783" i="3" s="1"/>
  <c r="C2771" i="3"/>
  <c r="K2784" i="3" s="1"/>
  <c r="C2772" i="3"/>
  <c r="K2785" i="3" s="1"/>
  <c r="C2773" i="3"/>
  <c r="K2786" i="3" s="1"/>
  <c r="C2774" i="3"/>
  <c r="K2787" i="3" s="1"/>
  <c r="C2775" i="3"/>
  <c r="K2788" i="3" s="1"/>
  <c r="C2776" i="3"/>
  <c r="K2789" i="3" s="1"/>
  <c r="C2777" i="3"/>
  <c r="K2790" i="3" s="1"/>
  <c r="C2778" i="3"/>
  <c r="K2791" i="3" s="1"/>
  <c r="C2779" i="3"/>
  <c r="K2792" i="3" s="1"/>
  <c r="C2780" i="3"/>
  <c r="K2793" i="3" s="1"/>
  <c r="C2781" i="3"/>
  <c r="K2794" i="3" s="1"/>
  <c r="C2782" i="3"/>
  <c r="K2795" i="3" s="1"/>
  <c r="C2783" i="3"/>
  <c r="K2796" i="3" s="1"/>
  <c r="C2784" i="3"/>
  <c r="K2797" i="3" s="1"/>
  <c r="C2785" i="3"/>
  <c r="K2798" i="3" s="1"/>
  <c r="C2786" i="3"/>
  <c r="K2799" i="3" s="1"/>
  <c r="C2787" i="3"/>
  <c r="K2800" i="3" s="1"/>
  <c r="C2788" i="3"/>
  <c r="K2801" i="3" s="1"/>
  <c r="C2789" i="3"/>
  <c r="K2802" i="3" s="1"/>
  <c r="C2790" i="3"/>
  <c r="K2803" i="3" s="1"/>
  <c r="C2791" i="3"/>
  <c r="K2804" i="3" s="1"/>
  <c r="C2792" i="3"/>
  <c r="K2805" i="3" s="1"/>
  <c r="C2793" i="3"/>
  <c r="K2806" i="3" s="1"/>
  <c r="C2794" i="3"/>
  <c r="K2807" i="3" s="1"/>
  <c r="C2795" i="3"/>
  <c r="K2808" i="3" s="1"/>
  <c r="C2796" i="3"/>
  <c r="K2809" i="3" s="1"/>
  <c r="C2797" i="3"/>
  <c r="K2810" i="3" s="1"/>
  <c r="C2798" i="3"/>
  <c r="K2811" i="3" s="1"/>
  <c r="C2799" i="3"/>
  <c r="K2812" i="3" s="1"/>
  <c r="C2800" i="3"/>
  <c r="K2813" i="3" s="1"/>
  <c r="C2801" i="3"/>
  <c r="K2814" i="3" s="1"/>
  <c r="C2802" i="3"/>
  <c r="K2815" i="3" s="1"/>
  <c r="C2803" i="3"/>
  <c r="K2816" i="3" s="1"/>
  <c r="C2804" i="3"/>
  <c r="K2817" i="3" s="1"/>
  <c r="C2805" i="3"/>
  <c r="K2818" i="3" s="1"/>
  <c r="C2806" i="3"/>
  <c r="K2819" i="3" s="1"/>
  <c r="C2807" i="3"/>
  <c r="K2820" i="3" s="1"/>
  <c r="C2808" i="3"/>
  <c r="K2821" i="3" s="1"/>
  <c r="C2809" i="3"/>
  <c r="K2822" i="3" s="1"/>
  <c r="C2810" i="3"/>
  <c r="K2823" i="3" s="1"/>
  <c r="C2811" i="3"/>
  <c r="K2824" i="3" s="1"/>
  <c r="C2812" i="3"/>
  <c r="K2825" i="3" s="1"/>
  <c r="C2813" i="3"/>
  <c r="K2826" i="3" s="1"/>
  <c r="C2814" i="3"/>
  <c r="K2827" i="3" s="1"/>
  <c r="C2815" i="3"/>
  <c r="K2828" i="3" s="1"/>
  <c r="C2816" i="3"/>
  <c r="K2829" i="3" s="1"/>
  <c r="C2817" i="3"/>
  <c r="K2830" i="3" s="1"/>
  <c r="C2818" i="3"/>
  <c r="K2831" i="3" s="1"/>
  <c r="C2819" i="3"/>
  <c r="K2832" i="3" s="1"/>
  <c r="C2820" i="3"/>
  <c r="K2833" i="3" s="1"/>
  <c r="C2821" i="3"/>
  <c r="K2834" i="3" s="1"/>
  <c r="C2822" i="3"/>
  <c r="K2835" i="3" s="1"/>
  <c r="C2823" i="3"/>
  <c r="K2836" i="3" s="1"/>
  <c r="C2824" i="3"/>
  <c r="K2837" i="3" s="1"/>
  <c r="C2825" i="3"/>
  <c r="K2838" i="3" s="1"/>
  <c r="C2826" i="3"/>
  <c r="K2839" i="3" s="1"/>
  <c r="C2827" i="3"/>
  <c r="K2840" i="3" s="1"/>
  <c r="C2828" i="3"/>
  <c r="K2841" i="3" s="1"/>
  <c r="C2829" i="3"/>
  <c r="K2842" i="3" s="1"/>
  <c r="C2830" i="3"/>
  <c r="K2843" i="3" s="1"/>
  <c r="C2831" i="3"/>
  <c r="K2844" i="3" s="1"/>
  <c r="C2832" i="3"/>
  <c r="K2845" i="3" s="1"/>
  <c r="C2833" i="3"/>
  <c r="K2846" i="3" s="1"/>
  <c r="C2834" i="3"/>
  <c r="K2847" i="3" s="1"/>
  <c r="C2835" i="3"/>
  <c r="K2848" i="3" s="1"/>
  <c r="C2836" i="3"/>
  <c r="K2849" i="3" s="1"/>
  <c r="C2837" i="3"/>
  <c r="K2850" i="3" s="1"/>
  <c r="C2838" i="3"/>
  <c r="K2851" i="3" s="1"/>
  <c r="C2839" i="3"/>
  <c r="K2852" i="3" s="1"/>
  <c r="C2840" i="3"/>
  <c r="K2853" i="3" s="1"/>
  <c r="C2841" i="3"/>
  <c r="K2854" i="3" s="1"/>
  <c r="C2842" i="3"/>
  <c r="K2855" i="3" s="1"/>
  <c r="C2843" i="3"/>
  <c r="K2856" i="3" s="1"/>
  <c r="C2844" i="3"/>
  <c r="K2857" i="3" s="1"/>
  <c r="C2845" i="3"/>
  <c r="K2858" i="3" s="1"/>
  <c r="C2846" i="3"/>
  <c r="K2859" i="3" s="1"/>
  <c r="C2847" i="3"/>
  <c r="K2860" i="3" s="1"/>
  <c r="C2848" i="3"/>
  <c r="K2861" i="3" s="1"/>
  <c r="C2849" i="3"/>
  <c r="K2862" i="3" s="1"/>
  <c r="C2850" i="3"/>
  <c r="K2863" i="3" s="1"/>
  <c r="C2851" i="3"/>
  <c r="K2864" i="3" s="1"/>
  <c r="C2852" i="3"/>
  <c r="K2865" i="3" s="1"/>
  <c r="C2853" i="3"/>
  <c r="K2866" i="3" s="1"/>
  <c r="C2854" i="3"/>
  <c r="K2867" i="3" s="1"/>
  <c r="C2855" i="3"/>
  <c r="K2868" i="3" s="1"/>
  <c r="C2856" i="3"/>
  <c r="K2869" i="3" s="1"/>
  <c r="C2857" i="3"/>
  <c r="K2870" i="3" s="1"/>
  <c r="C2858" i="3"/>
  <c r="K2871" i="3" s="1"/>
  <c r="C2859" i="3"/>
  <c r="K2872" i="3" s="1"/>
  <c r="C2860" i="3"/>
  <c r="K2873" i="3" s="1"/>
  <c r="C2861" i="3"/>
  <c r="K2874" i="3" s="1"/>
  <c r="C2862" i="3"/>
  <c r="K2875" i="3" s="1"/>
  <c r="C2863" i="3"/>
  <c r="K2876" i="3" s="1"/>
  <c r="C2864" i="3"/>
  <c r="K2877" i="3" s="1"/>
  <c r="C2865" i="3"/>
  <c r="K2878" i="3" s="1"/>
  <c r="C2866" i="3"/>
  <c r="K2879" i="3" s="1"/>
  <c r="C2867" i="3"/>
  <c r="K2880" i="3" s="1"/>
  <c r="C2868" i="3"/>
  <c r="K2881" i="3" s="1"/>
  <c r="C2869" i="3"/>
  <c r="K2882" i="3" s="1"/>
  <c r="C2870" i="3"/>
  <c r="K2883" i="3" s="1"/>
  <c r="C2871" i="3"/>
  <c r="K2884" i="3" s="1"/>
  <c r="C2872" i="3"/>
  <c r="K2885" i="3" s="1"/>
  <c r="C2873" i="3"/>
  <c r="K2886" i="3" s="1"/>
  <c r="C2874" i="3"/>
  <c r="K2887" i="3" s="1"/>
  <c r="C2875" i="3"/>
  <c r="K2888" i="3" s="1"/>
  <c r="C2876" i="3"/>
  <c r="K2889" i="3" s="1"/>
  <c r="C2877" i="3"/>
  <c r="K2890" i="3" s="1"/>
  <c r="C2878" i="3"/>
  <c r="K2891" i="3" s="1"/>
  <c r="C2879" i="3"/>
  <c r="K2892" i="3" s="1"/>
  <c r="C2880" i="3"/>
  <c r="K2893" i="3" s="1"/>
  <c r="C2881" i="3"/>
  <c r="K2894" i="3" s="1"/>
  <c r="C2882" i="3"/>
  <c r="K2895" i="3" s="1"/>
  <c r="C2883" i="3"/>
  <c r="K2896" i="3" s="1"/>
  <c r="C2884" i="3"/>
  <c r="K2897" i="3" s="1"/>
  <c r="C2885" i="3"/>
  <c r="K2898" i="3" s="1"/>
  <c r="C2886" i="3"/>
  <c r="K2899" i="3" s="1"/>
  <c r="C2887" i="3"/>
  <c r="K2900" i="3" s="1"/>
  <c r="C2888" i="3"/>
  <c r="K2901" i="3" s="1"/>
  <c r="C2889" i="3"/>
  <c r="K2902" i="3" s="1"/>
  <c r="C2890" i="3"/>
  <c r="K2903" i="3" s="1"/>
  <c r="C2891" i="3"/>
  <c r="K2904" i="3" s="1"/>
  <c r="C2892" i="3"/>
  <c r="K2905" i="3" s="1"/>
  <c r="C2893" i="3"/>
  <c r="K2906" i="3" s="1"/>
  <c r="C2894" i="3"/>
  <c r="K2907" i="3" s="1"/>
  <c r="C2895" i="3"/>
  <c r="K2908" i="3" s="1"/>
  <c r="C2896" i="3"/>
  <c r="K2909" i="3" s="1"/>
  <c r="C2897" i="3"/>
  <c r="K2910" i="3" s="1"/>
  <c r="C2898" i="3"/>
  <c r="K2911" i="3" s="1"/>
  <c r="C2899" i="3"/>
  <c r="K2912" i="3" s="1"/>
  <c r="C2900" i="3"/>
  <c r="K2913" i="3" s="1"/>
  <c r="C2901" i="3"/>
  <c r="K2914" i="3" s="1"/>
  <c r="C2902" i="3"/>
  <c r="K2915" i="3" s="1"/>
  <c r="C2903" i="3"/>
  <c r="K2916" i="3" s="1"/>
  <c r="C2904" i="3"/>
  <c r="K2917" i="3" s="1"/>
  <c r="C2905" i="3"/>
  <c r="K2918" i="3" s="1"/>
  <c r="C2906" i="3"/>
  <c r="K2919" i="3" s="1"/>
  <c r="C2907" i="3"/>
  <c r="K2920" i="3" s="1"/>
  <c r="C2908" i="3"/>
  <c r="K2921" i="3" s="1"/>
  <c r="C2909" i="3"/>
  <c r="K2922" i="3" s="1"/>
  <c r="C2910" i="3"/>
  <c r="K2923" i="3" s="1"/>
  <c r="C2911" i="3"/>
  <c r="K2924" i="3" s="1"/>
  <c r="C2912" i="3"/>
  <c r="K2925" i="3" s="1"/>
  <c r="C2913" i="3"/>
  <c r="K2926" i="3" s="1"/>
  <c r="C2914" i="3"/>
  <c r="K2927" i="3" s="1"/>
  <c r="C2915" i="3"/>
  <c r="K2928" i="3" s="1"/>
  <c r="C2916" i="3"/>
  <c r="K2929" i="3" s="1"/>
  <c r="C2917" i="3"/>
  <c r="K2930" i="3" s="1"/>
  <c r="C2918" i="3"/>
  <c r="K2931" i="3" s="1"/>
  <c r="C2919" i="3"/>
  <c r="K2932" i="3" s="1"/>
  <c r="C2920" i="3"/>
  <c r="K2933" i="3" s="1"/>
  <c r="C2921" i="3"/>
  <c r="K2934" i="3" s="1"/>
  <c r="C2922" i="3"/>
  <c r="K2935" i="3" s="1"/>
  <c r="C2923" i="3"/>
  <c r="K2936" i="3" s="1"/>
  <c r="C2924" i="3"/>
  <c r="K2937" i="3" s="1"/>
  <c r="C2925" i="3"/>
  <c r="K2938" i="3" s="1"/>
  <c r="C2926" i="3"/>
  <c r="K2939" i="3" s="1"/>
  <c r="C2927" i="3"/>
  <c r="K2940" i="3" s="1"/>
  <c r="C2928" i="3"/>
  <c r="K2941" i="3" s="1"/>
  <c r="C2929" i="3"/>
  <c r="K2942" i="3" s="1"/>
  <c r="C2930" i="3"/>
  <c r="K2943" i="3" s="1"/>
  <c r="C2931" i="3"/>
  <c r="K2944" i="3" s="1"/>
  <c r="C2932" i="3"/>
  <c r="K2945" i="3" s="1"/>
  <c r="C2933" i="3"/>
  <c r="K2946" i="3" s="1"/>
  <c r="C2934" i="3"/>
  <c r="K2947" i="3" s="1"/>
  <c r="C2935" i="3"/>
  <c r="K2948" i="3" s="1"/>
  <c r="C2936" i="3"/>
  <c r="K2949" i="3" s="1"/>
  <c r="C2937" i="3"/>
  <c r="K2950" i="3" s="1"/>
  <c r="C2938" i="3"/>
  <c r="K2951" i="3" s="1"/>
  <c r="C2939" i="3"/>
  <c r="K2952" i="3" s="1"/>
  <c r="C2940" i="3"/>
  <c r="K2953" i="3" s="1"/>
  <c r="C2941" i="3"/>
  <c r="K2954" i="3" s="1"/>
  <c r="C2942" i="3"/>
  <c r="K2955" i="3" s="1"/>
  <c r="C2943" i="3"/>
  <c r="K2956" i="3" s="1"/>
  <c r="C2944" i="3"/>
  <c r="K2957" i="3" s="1"/>
  <c r="C2945" i="3"/>
  <c r="K2958" i="3" s="1"/>
  <c r="C2946" i="3"/>
  <c r="K2959" i="3" s="1"/>
  <c r="C2947" i="3"/>
  <c r="K2960" i="3" s="1"/>
  <c r="C2948" i="3"/>
  <c r="K2961" i="3" s="1"/>
  <c r="C2949" i="3"/>
  <c r="K2962" i="3" s="1"/>
  <c r="C2950" i="3"/>
  <c r="K2963" i="3" s="1"/>
  <c r="C2951" i="3"/>
  <c r="K2964" i="3" s="1"/>
  <c r="C2952" i="3"/>
  <c r="K2965" i="3" s="1"/>
  <c r="C2953" i="3"/>
  <c r="K2966" i="3" s="1"/>
  <c r="C2954" i="3"/>
  <c r="K2967" i="3" s="1"/>
  <c r="C2955" i="3"/>
  <c r="K2968" i="3" s="1"/>
  <c r="C2956" i="3"/>
  <c r="K2969" i="3" s="1"/>
  <c r="C2957" i="3"/>
  <c r="K2970" i="3" s="1"/>
  <c r="C2958" i="3"/>
  <c r="K2971" i="3" s="1"/>
  <c r="C2959" i="3"/>
  <c r="K2972" i="3" s="1"/>
  <c r="C2960" i="3"/>
  <c r="K2973" i="3" s="1"/>
  <c r="C2961" i="3"/>
  <c r="K2974" i="3" s="1"/>
  <c r="C2962" i="3"/>
  <c r="K2975" i="3" s="1"/>
  <c r="C2963" i="3"/>
  <c r="K2976" i="3" s="1"/>
  <c r="C2964" i="3"/>
  <c r="K2977" i="3" s="1"/>
  <c r="C2965" i="3"/>
  <c r="K2978" i="3" s="1"/>
  <c r="C2966" i="3"/>
  <c r="K2979" i="3" s="1"/>
  <c r="C2967" i="3"/>
  <c r="K2980" i="3" s="1"/>
  <c r="C2968" i="3"/>
  <c r="K2981" i="3" s="1"/>
  <c r="C2969" i="3"/>
  <c r="K2982" i="3" s="1"/>
  <c r="C2970" i="3"/>
  <c r="K2983" i="3" s="1"/>
  <c r="C2971" i="3"/>
  <c r="K2984" i="3" s="1"/>
  <c r="C2972" i="3"/>
  <c r="K2985" i="3" s="1"/>
  <c r="C2973" i="3"/>
  <c r="K2986" i="3" s="1"/>
  <c r="C2974" i="3"/>
  <c r="K2987" i="3" s="1"/>
  <c r="C2975" i="3"/>
  <c r="K2988" i="3" s="1"/>
  <c r="C2976" i="3"/>
  <c r="K2989" i="3" s="1"/>
  <c r="C2977" i="3"/>
  <c r="K2990" i="3" s="1"/>
  <c r="C2978" i="3"/>
  <c r="K2991" i="3" s="1"/>
  <c r="C2979" i="3"/>
  <c r="K2992" i="3" s="1"/>
  <c r="C2980" i="3"/>
  <c r="K2993" i="3" s="1"/>
  <c r="C2981" i="3"/>
  <c r="K2994" i="3" s="1"/>
  <c r="C2982" i="3"/>
  <c r="K2995" i="3" s="1"/>
  <c r="C2983" i="3"/>
  <c r="K2996" i="3" s="1"/>
  <c r="C2984" i="3"/>
  <c r="K2997" i="3" s="1"/>
  <c r="C2985" i="3"/>
  <c r="K2998" i="3" s="1"/>
  <c r="C2986" i="3"/>
  <c r="K2999" i="3" s="1"/>
  <c r="C2987" i="3"/>
  <c r="K3000" i="3" s="1"/>
  <c r="C2988" i="3"/>
  <c r="K3001" i="3" s="1"/>
  <c r="C2989" i="3"/>
  <c r="K3002" i="3" s="1"/>
  <c r="C2990" i="3"/>
  <c r="K3003" i="3" s="1"/>
  <c r="C2991" i="3"/>
  <c r="K3004" i="3" s="1"/>
  <c r="C2992" i="3"/>
  <c r="K3005" i="3" s="1"/>
  <c r="C2993" i="3"/>
  <c r="K3006" i="3" s="1"/>
  <c r="C2994" i="3"/>
  <c r="K3007" i="3" s="1"/>
  <c r="C2995" i="3"/>
  <c r="K3008" i="3" s="1"/>
  <c r="C2996" i="3"/>
  <c r="K3009" i="3" s="1"/>
  <c r="C2997" i="3"/>
  <c r="K3010" i="3" s="1"/>
  <c r="C2998" i="3"/>
  <c r="K3011" i="3" s="1"/>
  <c r="C2999" i="3"/>
  <c r="K3012" i="3" s="1"/>
  <c r="C3000" i="3"/>
  <c r="K3013" i="3" s="1"/>
  <c r="C3001" i="3"/>
  <c r="K3014" i="3" s="1"/>
  <c r="C3002" i="3"/>
  <c r="K3015" i="3" s="1"/>
  <c r="C3003" i="3"/>
  <c r="K3016" i="3" s="1"/>
  <c r="C3004" i="3"/>
  <c r="C3005" i="3"/>
  <c r="C3006" i="3"/>
  <c r="C3007" i="3"/>
  <c r="C3008" i="3"/>
  <c r="C3009" i="3"/>
  <c r="C3010" i="3"/>
  <c r="C3011" i="3"/>
  <c r="C3012" i="3"/>
  <c r="C3013" i="3"/>
  <c r="C3014" i="3"/>
  <c r="C3015" i="3"/>
  <c r="C3016" i="3"/>
  <c r="C17" i="3"/>
  <c r="K30" i="3" s="1"/>
  <c r="E34" i="7" l="1"/>
  <c r="AD34" i="7" s="1"/>
  <c r="E226" i="7"/>
  <c r="AD226" i="7" s="1"/>
  <c r="E418" i="7"/>
  <c r="AD418" i="7" s="1"/>
  <c r="E191" i="7"/>
  <c r="AD191" i="7" s="1"/>
  <c r="E383" i="7"/>
  <c r="AD383" i="7" s="1"/>
  <c r="E156" i="7"/>
  <c r="AD156" i="7" s="1"/>
  <c r="E348" i="7"/>
  <c r="AD348" i="7" s="1"/>
  <c r="E121" i="7"/>
  <c r="AD121" i="7" s="1"/>
  <c r="E313" i="7"/>
  <c r="AD313" i="7" s="1"/>
  <c r="E505" i="7"/>
  <c r="AD505" i="7" s="1"/>
  <c r="E74" i="7"/>
  <c r="AD74" i="7" s="1"/>
  <c r="E266" i="7"/>
  <c r="AD266" i="7" s="1"/>
  <c r="E458" i="7"/>
  <c r="AD458" i="7" s="1"/>
  <c r="E27" i="7"/>
  <c r="AD27" i="7" s="1"/>
  <c r="E219" i="7"/>
  <c r="AD219" i="7" s="1"/>
  <c r="E411" i="7"/>
  <c r="AD411" i="7" s="1"/>
  <c r="E172" i="7"/>
  <c r="AD172" i="7" s="1"/>
  <c r="E364" i="7"/>
  <c r="AD364" i="7" s="1"/>
  <c r="E125" i="7"/>
  <c r="AD125" i="7" s="1"/>
  <c r="E317" i="7"/>
  <c r="AD317" i="7" s="1"/>
  <c r="E509" i="7"/>
  <c r="AD509" i="7" s="1"/>
  <c r="E90" i="7"/>
  <c r="AD90" i="7" s="1"/>
  <c r="E282" i="7"/>
  <c r="AD282" i="7" s="1"/>
  <c r="E474" i="7"/>
  <c r="AD474" i="7" s="1"/>
  <c r="E55" i="7"/>
  <c r="AD55" i="7" s="1"/>
  <c r="E247" i="7"/>
  <c r="AD247" i="7" s="1"/>
  <c r="E439" i="7"/>
  <c r="AD439" i="7" s="1"/>
  <c r="E212" i="7"/>
  <c r="AD212" i="7" s="1"/>
  <c r="E404" i="7"/>
  <c r="AD404" i="7" s="1"/>
  <c r="E189" i="7"/>
  <c r="AD189" i="7" s="1"/>
  <c r="E381" i="7"/>
  <c r="AD381" i="7" s="1"/>
  <c r="E129" i="7"/>
  <c r="AD129" i="7" s="1"/>
  <c r="E46" i="7"/>
  <c r="AD46" i="7" s="1"/>
  <c r="E238" i="7"/>
  <c r="AD238" i="7" s="1"/>
  <c r="E430" i="7"/>
  <c r="AD430" i="7" s="1"/>
  <c r="E203" i="7"/>
  <c r="AD203" i="7" s="1"/>
  <c r="E395" i="7"/>
  <c r="AD395" i="7" s="1"/>
  <c r="E168" i="7"/>
  <c r="AD168" i="7" s="1"/>
  <c r="E360" i="7"/>
  <c r="AD360" i="7" s="1"/>
  <c r="E133" i="7"/>
  <c r="AD133" i="7" s="1"/>
  <c r="E325" i="7"/>
  <c r="AD325" i="7" s="1"/>
  <c r="E517" i="7"/>
  <c r="AD517" i="7" s="1"/>
  <c r="E86" i="7"/>
  <c r="AD86" i="7" s="1"/>
  <c r="E278" i="7"/>
  <c r="AD278" i="7" s="1"/>
  <c r="E470" i="7"/>
  <c r="AD470" i="7" s="1"/>
  <c r="E39" i="7"/>
  <c r="AD39" i="7" s="1"/>
  <c r="E231" i="7"/>
  <c r="AD231" i="7" s="1"/>
  <c r="E423" i="7"/>
  <c r="AD423" i="7" s="1"/>
  <c r="E184" i="7"/>
  <c r="AD184" i="7" s="1"/>
  <c r="E376" i="7"/>
  <c r="AD376" i="7" s="1"/>
  <c r="E137" i="7"/>
  <c r="AD137" i="7" s="1"/>
  <c r="E329" i="7"/>
  <c r="AD329" i="7" s="1"/>
  <c r="E102" i="7"/>
  <c r="AD102" i="7" s="1"/>
  <c r="E294" i="7"/>
  <c r="AD294" i="7" s="1"/>
  <c r="E486" i="7"/>
  <c r="AD486" i="7" s="1"/>
  <c r="E67" i="7"/>
  <c r="AD67" i="7" s="1"/>
  <c r="E259" i="7"/>
  <c r="AD259" i="7" s="1"/>
  <c r="E451" i="7"/>
  <c r="AD451" i="7" s="1"/>
  <c r="E32" i="7"/>
  <c r="AD32" i="7" s="1"/>
  <c r="E224" i="7"/>
  <c r="AD224" i="7" s="1"/>
  <c r="E416" i="7"/>
  <c r="AD416" i="7" s="1"/>
  <c r="E201" i="7"/>
  <c r="AD201" i="7" s="1"/>
  <c r="E393" i="7"/>
  <c r="AD393" i="7" s="1"/>
  <c r="E58" i="7"/>
  <c r="AD58" i="7" s="1"/>
  <c r="E250" i="7"/>
  <c r="AD250" i="7" s="1"/>
  <c r="E442" i="7"/>
  <c r="AD442" i="7" s="1"/>
  <c r="E23" i="7"/>
  <c r="AD23" i="7" s="1"/>
  <c r="E215" i="7"/>
  <c r="AD215" i="7" s="1"/>
  <c r="E407" i="7"/>
  <c r="AD407" i="7" s="1"/>
  <c r="E180" i="7"/>
  <c r="AD180" i="7" s="1"/>
  <c r="E372" i="7"/>
  <c r="AD372" i="7" s="1"/>
  <c r="E145" i="7"/>
  <c r="AD145" i="7" s="1"/>
  <c r="E337" i="7"/>
  <c r="AD337" i="7" s="1"/>
  <c r="E98" i="7"/>
  <c r="AD98" i="7" s="1"/>
  <c r="E290" i="7"/>
  <c r="AD290" i="7" s="1"/>
  <c r="E482" i="7"/>
  <c r="AD482" i="7" s="1"/>
  <c r="E51" i="7"/>
  <c r="AD51" i="7" s="1"/>
  <c r="E243" i="7"/>
  <c r="AD243" i="7" s="1"/>
  <c r="E435" i="7"/>
  <c r="AD435" i="7" s="1"/>
  <c r="E196" i="7"/>
  <c r="AD196" i="7" s="1"/>
  <c r="E388" i="7"/>
  <c r="AD388" i="7" s="1"/>
  <c r="E149" i="7"/>
  <c r="AD149" i="7" s="1"/>
  <c r="E341" i="7"/>
  <c r="AD341" i="7" s="1"/>
  <c r="E114" i="7"/>
  <c r="AD114" i="7" s="1"/>
  <c r="E306" i="7"/>
  <c r="AD306" i="7" s="1"/>
  <c r="E498" i="7"/>
  <c r="AD498" i="7" s="1"/>
  <c r="E79" i="7"/>
  <c r="AD79" i="7" s="1"/>
  <c r="E271" i="7"/>
  <c r="AD271" i="7" s="1"/>
  <c r="E463" i="7"/>
  <c r="AD463" i="7" s="1"/>
  <c r="E44" i="7"/>
  <c r="AD44" i="7" s="1"/>
  <c r="E236" i="7"/>
  <c r="AD236" i="7" s="1"/>
  <c r="E428" i="7"/>
  <c r="AD428" i="7" s="1"/>
  <c r="E213" i="7"/>
  <c r="AD213" i="7" s="1"/>
  <c r="E405" i="7"/>
  <c r="AD405" i="7" s="1"/>
  <c r="E70" i="7"/>
  <c r="AD70" i="7" s="1"/>
  <c r="E262" i="7"/>
  <c r="AD262" i="7" s="1"/>
  <c r="E454" i="7"/>
  <c r="AD454" i="7" s="1"/>
  <c r="E35" i="7"/>
  <c r="AD35" i="7" s="1"/>
  <c r="E227" i="7"/>
  <c r="AD227" i="7" s="1"/>
  <c r="E419" i="7"/>
  <c r="AD419" i="7" s="1"/>
  <c r="E192" i="7"/>
  <c r="AD192" i="7" s="1"/>
  <c r="E384" i="7"/>
  <c r="AD384" i="7" s="1"/>
  <c r="E157" i="7"/>
  <c r="AD157" i="7" s="1"/>
  <c r="E349" i="7"/>
  <c r="AD349" i="7" s="1"/>
  <c r="E110" i="7"/>
  <c r="AD110" i="7" s="1"/>
  <c r="E302" i="7"/>
  <c r="AD302" i="7" s="1"/>
  <c r="E494" i="7"/>
  <c r="AD494" i="7" s="1"/>
  <c r="E63" i="7"/>
  <c r="AD63" i="7" s="1"/>
  <c r="E255" i="7"/>
  <c r="AD255" i="7" s="1"/>
  <c r="E447" i="7"/>
  <c r="AD447" i="7" s="1"/>
  <c r="E208" i="7"/>
  <c r="AD208" i="7" s="1"/>
  <c r="E400" i="7"/>
  <c r="AD400" i="7" s="1"/>
  <c r="E161" i="7"/>
  <c r="AD161" i="7" s="1"/>
  <c r="E353" i="7"/>
  <c r="AD353" i="7" s="1"/>
  <c r="E126" i="7"/>
  <c r="AD126" i="7" s="1"/>
  <c r="E318" i="7"/>
  <c r="AD318" i="7" s="1"/>
  <c r="E510" i="7"/>
  <c r="AD510" i="7" s="1"/>
  <c r="E91" i="7"/>
  <c r="AD91" i="7" s="1"/>
  <c r="E283" i="7"/>
  <c r="AD283" i="7" s="1"/>
  <c r="E475" i="7"/>
  <c r="AD475" i="7" s="1"/>
  <c r="E56" i="7"/>
  <c r="AD56" i="7" s="1"/>
  <c r="E248" i="7"/>
  <c r="AD248" i="7" s="1"/>
  <c r="E440" i="7"/>
  <c r="AD440" i="7" s="1"/>
  <c r="E33" i="7"/>
  <c r="AD33" i="7" s="1"/>
  <c r="E225" i="7"/>
  <c r="AD225" i="7" s="1"/>
  <c r="E417" i="7"/>
  <c r="AD417" i="7" s="1"/>
  <c r="E321" i="7"/>
  <c r="AD321" i="7" s="1"/>
  <c r="E82" i="7"/>
  <c r="AD82" i="7" s="1"/>
  <c r="E274" i="7"/>
  <c r="AD274" i="7" s="1"/>
  <c r="E466" i="7"/>
  <c r="AD466" i="7" s="1"/>
  <c r="E47" i="7"/>
  <c r="AD47" i="7" s="1"/>
  <c r="E239" i="7"/>
  <c r="AD239" i="7" s="1"/>
  <c r="E431" i="7"/>
  <c r="AD431" i="7" s="1"/>
  <c r="E204" i="7"/>
  <c r="AD204" i="7" s="1"/>
  <c r="E396" i="7"/>
  <c r="AD396" i="7" s="1"/>
  <c r="E169" i="7"/>
  <c r="AD169" i="7" s="1"/>
  <c r="E361" i="7"/>
  <c r="AD361" i="7" s="1"/>
  <c r="E122" i="7"/>
  <c r="AD122" i="7" s="1"/>
  <c r="E314" i="7"/>
  <c r="AD314" i="7" s="1"/>
  <c r="E506" i="7"/>
  <c r="AD506" i="7" s="1"/>
  <c r="E75" i="7"/>
  <c r="AD75" i="7" s="1"/>
  <c r="E267" i="7"/>
  <c r="AD267" i="7" s="1"/>
  <c r="E459" i="7"/>
  <c r="AD459" i="7" s="1"/>
  <c r="E28" i="7"/>
  <c r="AD28" i="7" s="1"/>
  <c r="E220" i="7"/>
  <c r="AD220" i="7" s="1"/>
  <c r="E412" i="7"/>
  <c r="AD412" i="7" s="1"/>
  <c r="E173" i="7"/>
  <c r="AD173" i="7" s="1"/>
  <c r="E365" i="7"/>
  <c r="AD365" i="7" s="1"/>
  <c r="E138" i="7"/>
  <c r="AD138" i="7" s="1"/>
  <c r="E330" i="7"/>
  <c r="AD330" i="7" s="1"/>
  <c r="E103" i="7"/>
  <c r="AD103" i="7" s="1"/>
  <c r="E295" i="7"/>
  <c r="AD295" i="7" s="1"/>
  <c r="E487" i="7"/>
  <c r="AD487" i="7" s="1"/>
  <c r="E68" i="7"/>
  <c r="AD68" i="7" s="1"/>
  <c r="E260" i="7"/>
  <c r="AD260" i="7" s="1"/>
  <c r="E452" i="7"/>
  <c r="AD452" i="7" s="1"/>
  <c r="E45" i="7"/>
  <c r="AD45" i="7" s="1"/>
  <c r="E237" i="7"/>
  <c r="AD237" i="7" s="1"/>
  <c r="E429" i="7"/>
  <c r="AD429" i="7" s="1"/>
  <c r="E344" i="7"/>
  <c r="AD344" i="7" s="1"/>
  <c r="E94" i="7"/>
  <c r="AD94" i="7" s="1"/>
  <c r="E286" i="7"/>
  <c r="AD286" i="7" s="1"/>
  <c r="E478" i="7"/>
  <c r="AD478" i="7" s="1"/>
  <c r="E59" i="7"/>
  <c r="AD59" i="7" s="1"/>
  <c r="E251" i="7"/>
  <c r="AD251" i="7" s="1"/>
  <c r="E443" i="7"/>
  <c r="AD443" i="7" s="1"/>
  <c r="E24" i="7"/>
  <c r="AD24" i="7" s="1"/>
  <c r="E216" i="7"/>
  <c r="AD216" i="7" s="1"/>
  <c r="E408" i="7"/>
  <c r="AD408" i="7" s="1"/>
  <c r="E181" i="7"/>
  <c r="AD181" i="7" s="1"/>
  <c r="E373" i="7"/>
  <c r="AD373" i="7" s="1"/>
  <c r="E134" i="7"/>
  <c r="AD134" i="7" s="1"/>
  <c r="E326" i="7"/>
  <c r="AD326" i="7" s="1"/>
  <c r="E518" i="7"/>
  <c r="AD518" i="7" s="1"/>
  <c r="E87" i="7"/>
  <c r="AD87" i="7" s="1"/>
  <c r="E279" i="7"/>
  <c r="AD279" i="7" s="1"/>
  <c r="E471" i="7"/>
  <c r="AD471" i="7" s="1"/>
  <c r="E40" i="7"/>
  <c r="AD40" i="7" s="1"/>
  <c r="E232" i="7"/>
  <c r="AD232" i="7" s="1"/>
  <c r="E424" i="7"/>
  <c r="AD424" i="7" s="1"/>
  <c r="E185" i="7"/>
  <c r="AD185" i="7" s="1"/>
  <c r="E377" i="7"/>
  <c r="AD377" i="7" s="1"/>
  <c r="E150" i="7"/>
  <c r="AD150" i="7" s="1"/>
  <c r="E342" i="7"/>
  <c r="AD342" i="7" s="1"/>
  <c r="E115" i="7"/>
  <c r="AD115" i="7" s="1"/>
  <c r="E307" i="7"/>
  <c r="AD307" i="7" s="1"/>
  <c r="E499" i="7"/>
  <c r="AD499" i="7" s="1"/>
  <c r="E80" i="7"/>
  <c r="AD80" i="7" s="1"/>
  <c r="E272" i="7"/>
  <c r="AD272" i="7" s="1"/>
  <c r="E464" i="7"/>
  <c r="AD464" i="7" s="1"/>
  <c r="E57" i="7"/>
  <c r="AD57" i="7" s="1"/>
  <c r="E249" i="7"/>
  <c r="AD249" i="7" s="1"/>
  <c r="E441" i="7"/>
  <c r="AD441" i="7" s="1"/>
  <c r="E106" i="7"/>
  <c r="AD106" i="7" s="1"/>
  <c r="E298" i="7"/>
  <c r="AD298" i="7" s="1"/>
  <c r="E490" i="7"/>
  <c r="AD490" i="7" s="1"/>
  <c r="E71" i="7"/>
  <c r="AD71" i="7" s="1"/>
  <c r="E263" i="7"/>
  <c r="AD263" i="7" s="1"/>
  <c r="E455" i="7"/>
  <c r="AD455" i="7" s="1"/>
  <c r="E36" i="7"/>
  <c r="AD36" i="7" s="1"/>
  <c r="E228" i="7"/>
  <c r="AD228" i="7" s="1"/>
  <c r="E420" i="7"/>
  <c r="AD420" i="7" s="1"/>
  <c r="E193" i="7"/>
  <c r="AD193" i="7" s="1"/>
  <c r="E385" i="7"/>
  <c r="AD385" i="7" s="1"/>
  <c r="E146" i="7"/>
  <c r="AD146" i="7" s="1"/>
  <c r="E338" i="7"/>
  <c r="AD338" i="7" s="1"/>
  <c r="E99" i="7"/>
  <c r="AD99" i="7" s="1"/>
  <c r="E291" i="7"/>
  <c r="AD291" i="7" s="1"/>
  <c r="E483" i="7"/>
  <c r="AD483" i="7" s="1"/>
  <c r="E52" i="7"/>
  <c r="AD52" i="7" s="1"/>
  <c r="E244" i="7"/>
  <c r="AD244" i="7" s="1"/>
  <c r="E436" i="7"/>
  <c r="AD436" i="7" s="1"/>
  <c r="E197" i="7"/>
  <c r="AD197" i="7" s="1"/>
  <c r="E389" i="7"/>
  <c r="AD389" i="7" s="1"/>
  <c r="E162" i="7"/>
  <c r="AD162" i="7" s="1"/>
  <c r="E354" i="7"/>
  <c r="AD354" i="7" s="1"/>
  <c r="E127" i="7"/>
  <c r="AD127" i="7" s="1"/>
  <c r="E319" i="7"/>
  <c r="AD319" i="7" s="1"/>
  <c r="E511" i="7"/>
  <c r="AD511" i="7" s="1"/>
  <c r="E92" i="7"/>
  <c r="AD92" i="7" s="1"/>
  <c r="E284" i="7"/>
  <c r="AD284" i="7" s="1"/>
  <c r="E476" i="7"/>
  <c r="AD476" i="7" s="1"/>
  <c r="E69" i="7"/>
  <c r="AD69" i="7" s="1"/>
  <c r="E261" i="7"/>
  <c r="AD261" i="7" s="1"/>
  <c r="E453" i="7"/>
  <c r="AD453" i="7" s="1"/>
  <c r="E118" i="7"/>
  <c r="AD118" i="7" s="1"/>
  <c r="E310" i="7"/>
  <c r="AD310" i="7" s="1"/>
  <c r="E502" i="7"/>
  <c r="AD502" i="7" s="1"/>
  <c r="E83" i="7"/>
  <c r="AD83" i="7" s="1"/>
  <c r="E275" i="7"/>
  <c r="AD275" i="7" s="1"/>
  <c r="E467" i="7"/>
  <c r="AD467" i="7" s="1"/>
  <c r="E48" i="7"/>
  <c r="AD48" i="7" s="1"/>
  <c r="E240" i="7"/>
  <c r="AD240" i="7" s="1"/>
  <c r="E432" i="7"/>
  <c r="AD432" i="7" s="1"/>
  <c r="E205" i="7"/>
  <c r="AD205" i="7" s="1"/>
  <c r="E397" i="7"/>
  <c r="AD397" i="7" s="1"/>
  <c r="E158" i="7"/>
  <c r="AD158" i="7" s="1"/>
  <c r="E350" i="7"/>
  <c r="AD350" i="7" s="1"/>
  <c r="E111" i="7"/>
  <c r="AD111" i="7" s="1"/>
  <c r="E303" i="7"/>
  <c r="AD303" i="7" s="1"/>
  <c r="E495" i="7"/>
  <c r="AD495" i="7" s="1"/>
  <c r="E64" i="7"/>
  <c r="AD64" i="7" s="1"/>
  <c r="E256" i="7"/>
  <c r="AD256" i="7" s="1"/>
  <c r="E448" i="7"/>
  <c r="AD448" i="7" s="1"/>
  <c r="E209" i="7"/>
  <c r="AD209" i="7" s="1"/>
  <c r="E401" i="7"/>
  <c r="AD401" i="7" s="1"/>
  <c r="E174" i="7"/>
  <c r="AD174" i="7" s="1"/>
  <c r="E366" i="7"/>
  <c r="AD366" i="7" s="1"/>
  <c r="E139" i="7"/>
  <c r="AD139" i="7" s="1"/>
  <c r="E331" i="7"/>
  <c r="AD331" i="7" s="1"/>
  <c r="E104" i="7"/>
  <c r="AD104" i="7" s="1"/>
  <c r="E296" i="7"/>
  <c r="AD296" i="7" s="1"/>
  <c r="E488" i="7"/>
  <c r="AD488" i="7" s="1"/>
  <c r="E81" i="7"/>
  <c r="AD81" i="7" s="1"/>
  <c r="E273" i="7"/>
  <c r="AD273" i="7" s="1"/>
  <c r="E465" i="7"/>
  <c r="AD465" i="7" s="1"/>
  <c r="E152" i="7"/>
  <c r="AD152" i="7" s="1"/>
  <c r="E130" i="7"/>
  <c r="AD130" i="7" s="1"/>
  <c r="E322" i="7"/>
  <c r="AD322" i="7" s="1"/>
  <c r="E514" i="7"/>
  <c r="AD514" i="7" s="1"/>
  <c r="E95" i="7"/>
  <c r="AD95" i="7" s="1"/>
  <c r="E287" i="7"/>
  <c r="AD287" i="7" s="1"/>
  <c r="E479" i="7"/>
  <c r="AD479" i="7" s="1"/>
  <c r="E60" i="7"/>
  <c r="AD60" i="7" s="1"/>
  <c r="E252" i="7"/>
  <c r="AD252" i="7" s="1"/>
  <c r="E444" i="7"/>
  <c r="AD444" i="7" s="1"/>
  <c r="E25" i="7"/>
  <c r="AD25" i="7" s="1"/>
  <c r="E217" i="7"/>
  <c r="AD217" i="7" s="1"/>
  <c r="E409" i="7"/>
  <c r="AD409" i="7" s="1"/>
  <c r="E170" i="7"/>
  <c r="AD170" i="7" s="1"/>
  <c r="E362" i="7"/>
  <c r="AD362" i="7" s="1"/>
  <c r="E123" i="7"/>
  <c r="AD123" i="7" s="1"/>
  <c r="E315" i="7"/>
  <c r="AD315" i="7" s="1"/>
  <c r="E507" i="7"/>
  <c r="AD507" i="7" s="1"/>
  <c r="E76" i="7"/>
  <c r="AD76" i="7" s="1"/>
  <c r="E268" i="7"/>
  <c r="AD268" i="7" s="1"/>
  <c r="E460" i="7"/>
  <c r="AD460" i="7" s="1"/>
  <c r="E29" i="7"/>
  <c r="AD29" i="7" s="1"/>
  <c r="E221" i="7"/>
  <c r="AD221" i="7" s="1"/>
  <c r="E413" i="7"/>
  <c r="AD413" i="7" s="1"/>
  <c r="E186" i="7"/>
  <c r="AD186" i="7" s="1"/>
  <c r="E378" i="7"/>
  <c r="AD378" i="7" s="1"/>
  <c r="E151" i="7"/>
  <c r="AD151" i="7" s="1"/>
  <c r="E343" i="7"/>
  <c r="AD343" i="7" s="1"/>
  <c r="E116" i="7"/>
  <c r="AD116" i="7" s="1"/>
  <c r="E308" i="7"/>
  <c r="AD308" i="7" s="1"/>
  <c r="E500" i="7"/>
  <c r="AD500" i="7" s="1"/>
  <c r="E93" i="7"/>
  <c r="AD93" i="7" s="1"/>
  <c r="E285" i="7"/>
  <c r="AD285" i="7" s="1"/>
  <c r="E477" i="7"/>
  <c r="AD477" i="7" s="1"/>
  <c r="E142" i="7"/>
  <c r="AD142" i="7" s="1"/>
  <c r="E334" i="7"/>
  <c r="AD334" i="7" s="1"/>
  <c r="E107" i="7"/>
  <c r="AD107" i="7" s="1"/>
  <c r="E299" i="7"/>
  <c r="AD299" i="7" s="1"/>
  <c r="E491" i="7"/>
  <c r="AD491" i="7" s="1"/>
  <c r="E72" i="7"/>
  <c r="AD72" i="7" s="1"/>
  <c r="E264" i="7"/>
  <c r="AD264" i="7" s="1"/>
  <c r="E456" i="7"/>
  <c r="AD456" i="7" s="1"/>
  <c r="E37" i="7"/>
  <c r="AD37" i="7" s="1"/>
  <c r="E229" i="7"/>
  <c r="AD229" i="7" s="1"/>
  <c r="E421" i="7"/>
  <c r="AD421" i="7" s="1"/>
  <c r="E182" i="7"/>
  <c r="AD182" i="7" s="1"/>
  <c r="E374" i="7"/>
  <c r="AD374" i="7" s="1"/>
  <c r="E135" i="7"/>
  <c r="AD135" i="7" s="1"/>
  <c r="E327" i="7"/>
  <c r="AD327" i="7" s="1"/>
  <c r="E519" i="7"/>
  <c r="AD519" i="7" s="1"/>
  <c r="E88" i="7"/>
  <c r="AD88" i="7" s="1"/>
  <c r="E280" i="7"/>
  <c r="AD280" i="7" s="1"/>
  <c r="E472" i="7"/>
  <c r="AD472" i="7" s="1"/>
  <c r="E41" i="7"/>
  <c r="AD41" i="7" s="1"/>
  <c r="E233" i="7"/>
  <c r="AD233" i="7" s="1"/>
  <c r="E425" i="7"/>
  <c r="AD425" i="7" s="1"/>
  <c r="E198" i="7"/>
  <c r="AD198" i="7" s="1"/>
  <c r="E390" i="7"/>
  <c r="AD390" i="7" s="1"/>
  <c r="E163" i="7"/>
  <c r="AD163" i="7" s="1"/>
  <c r="E355" i="7"/>
  <c r="AD355" i="7" s="1"/>
  <c r="E128" i="7"/>
  <c r="AD128" i="7" s="1"/>
  <c r="E320" i="7"/>
  <c r="AD320" i="7" s="1"/>
  <c r="E512" i="7"/>
  <c r="AD512" i="7" s="1"/>
  <c r="E105" i="7"/>
  <c r="AD105" i="7" s="1"/>
  <c r="E297" i="7"/>
  <c r="AD297" i="7" s="1"/>
  <c r="E489" i="7"/>
  <c r="AD489" i="7" s="1"/>
  <c r="E154" i="7"/>
  <c r="AD154" i="7" s="1"/>
  <c r="E346" i="7"/>
  <c r="AD346" i="7" s="1"/>
  <c r="E119" i="7"/>
  <c r="AD119" i="7" s="1"/>
  <c r="E311" i="7"/>
  <c r="AD311" i="7" s="1"/>
  <c r="E503" i="7"/>
  <c r="AD503" i="7" s="1"/>
  <c r="E84" i="7"/>
  <c r="AD84" i="7" s="1"/>
  <c r="E276" i="7"/>
  <c r="AD276" i="7" s="1"/>
  <c r="E468" i="7"/>
  <c r="AD468" i="7" s="1"/>
  <c r="E49" i="7"/>
  <c r="AD49" i="7" s="1"/>
  <c r="E241" i="7"/>
  <c r="AD241" i="7" s="1"/>
  <c r="E433" i="7"/>
  <c r="AD433" i="7" s="1"/>
  <c r="E194" i="7"/>
  <c r="AD194" i="7" s="1"/>
  <c r="E386" i="7"/>
  <c r="AD386" i="7" s="1"/>
  <c r="E147" i="7"/>
  <c r="AD147" i="7" s="1"/>
  <c r="E339" i="7"/>
  <c r="AD339" i="7" s="1"/>
  <c r="E100" i="7"/>
  <c r="AD100" i="7" s="1"/>
  <c r="E292" i="7"/>
  <c r="AD292" i="7" s="1"/>
  <c r="E484" i="7"/>
  <c r="AD484" i="7" s="1"/>
  <c r="E53" i="7"/>
  <c r="AD53" i="7" s="1"/>
  <c r="E245" i="7"/>
  <c r="AD245" i="7" s="1"/>
  <c r="E437" i="7"/>
  <c r="AD437" i="7" s="1"/>
  <c r="E210" i="7"/>
  <c r="AD210" i="7" s="1"/>
  <c r="E402" i="7"/>
  <c r="AD402" i="7" s="1"/>
  <c r="E175" i="7"/>
  <c r="AD175" i="7" s="1"/>
  <c r="E367" i="7"/>
  <c r="AD367" i="7" s="1"/>
  <c r="E140" i="7"/>
  <c r="AD140" i="7" s="1"/>
  <c r="E332" i="7"/>
  <c r="AD332" i="7" s="1"/>
  <c r="E117" i="7"/>
  <c r="AD117" i="7" s="1"/>
  <c r="E309" i="7"/>
  <c r="AD309" i="7" s="1"/>
  <c r="E501" i="7"/>
  <c r="AD501" i="7" s="1"/>
  <c r="E166" i="7"/>
  <c r="AD166" i="7" s="1"/>
  <c r="E358" i="7"/>
  <c r="AD358" i="7" s="1"/>
  <c r="E131" i="7"/>
  <c r="AD131" i="7" s="1"/>
  <c r="E323" i="7"/>
  <c r="AD323" i="7" s="1"/>
  <c r="E515" i="7"/>
  <c r="AD515" i="7" s="1"/>
  <c r="E96" i="7"/>
  <c r="AD96" i="7" s="1"/>
  <c r="E288" i="7"/>
  <c r="AD288" i="7" s="1"/>
  <c r="E480" i="7"/>
  <c r="AD480" i="7" s="1"/>
  <c r="E61" i="7"/>
  <c r="AD61" i="7" s="1"/>
  <c r="E253" i="7"/>
  <c r="AD253" i="7" s="1"/>
  <c r="E445" i="7"/>
  <c r="AD445" i="7" s="1"/>
  <c r="E206" i="7"/>
  <c r="AD206" i="7" s="1"/>
  <c r="E398" i="7"/>
  <c r="AD398" i="7" s="1"/>
  <c r="E159" i="7"/>
  <c r="AD159" i="7" s="1"/>
  <c r="E351" i="7"/>
  <c r="AD351" i="7" s="1"/>
  <c r="E112" i="7"/>
  <c r="AD112" i="7" s="1"/>
  <c r="E304" i="7"/>
  <c r="AD304" i="7" s="1"/>
  <c r="E496" i="7"/>
  <c r="AD496" i="7" s="1"/>
  <c r="E65" i="7"/>
  <c r="AD65" i="7" s="1"/>
  <c r="E257" i="7"/>
  <c r="AD257" i="7" s="1"/>
  <c r="E449" i="7"/>
  <c r="AD449" i="7" s="1"/>
  <c r="E30" i="7"/>
  <c r="AD30" i="7" s="1"/>
  <c r="E222" i="7"/>
  <c r="AD222" i="7" s="1"/>
  <c r="E414" i="7"/>
  <c r="AD414" i="7" s="1"/>
  <c r="E187" i="7"/>
  <c r="AD187" i="7" s="1"/>
  <c r="E379" i="7"/>
  <c r="AD379" i="7" s="1"/>
  <c r="E513" i="7"/>
  <c r="AD513" i="7" s="1"/>
  <c r="E178" i="7"/>
  <c r="AD178" i="7" s="1"/>
  <c r="E370" i="7"/>
  <c r="AD370" i="7" s="1"/>
  <c r="E143" i="7"/>
  <c r="AD143" i="7" s="1"/>
  <c r="E335" i="7"/>
  <c r="AD335" i="7" s="1"/>
  <c r="E108" i="7"/>
  <c r="AD108" i="7" s="1"/>
  <c r="E300" i="7"/>
  <c r="AD300" i="7" s="1"/>
  <c r="E492" i="7"/>
  <c r="AD492" i="7" s="1"/>
  <c r="E73" i="7"/>
  <c r="AD73" i="7" s="1"/>
  <c r="E265" i="7"/>
  <c r="AD265" i="7" s="1"/>
  <c r="E457" i="7"/>
  <c r="AD457" i="7" s="1"/>
  <c r="E26" i="7"/>
  <c r="AD26" i="7" s="1"/>
  <c r="E218" i="7"/>
  <c r="AD218" i="7" s="1"/>
  <c r="E410" i="7"/>
  <c r="AD410" i="7" s="1"/>
  <c r="E171" i="7"/>
  <c r="AD171" i="7" s="1"/>
  <c r="E363" i="7"/>
  <c r="AD363" i="7" s="1"/>
  <c r="E124" i="7"/>
  <c r="AD124" i="7" s="1"/>
  <c r="E316" i="7"/>
  <c r="AD316" i="7" s="1"/>
  <c r="E508" i="7"/>
  <c r="AD508" i="7" s="1"/>
  <c r="E77" i="7"/>
  <c r="AD77" i="7" s="1"/>
  <c r="E269" i="7"/>
  <c r="AD269" i="7" s="1"/>
  <c r="E461" i="7"/>
  <c r="AD461" i="7" s="1"/>
  <c r="E42" i="7"/>
  <c r="AD42" i="7" s="1"/>
  <c r="E234" i="7"/>
  <c r="AD234" i="7" s="1"/>
  <c r="E426" i="7"/>
  <c r="AD426" i="7" s="1"/>
  <c r="E199" i="7"/>
  <c r="AD199" i="7" s="1"/>
  <c r="E391" i="7"/>
  <c r="AD391" i="7" s="1"/>
  <c r="E164" i="7"/>
  <c r="AD164" i="7" s="1"/>
  <c r="E356" i="7"/>
  <c r="AD356" i="7" s="1"/>
  <c r="E141" i="7"/>
  <c r="AD141" i="7" s="1"/>
  <c r="E333" i="7"/>
  <c r="AD333" i="7" s="1"/>
  <c r="E368" i="7"/>
  <c r="AD368" i="7" s="1"/>
  <c r="E153" i="7"/>
  <c r="AD153" i="7" s="1"/>
  <c r="E345" i="7"/>
  <c r="AD345" i="7" s="1"/>
  <c r="E190" i="7"/>
  <c r="AD190" i="7" s="1"/>
  <c r="E382" i="7"/>
  <c r="AD382" i="7" s="1"/>
  <c r="E155" i="7"/>
  <c r="AD155" i="7" s="1"/>
  <c r="E347" i="7"/>
  <c r="AD347" i="7" s="1"/>
  <c r="E120" i="7"/>
  <c r="AD120" i="7" s="1"/>
  <c r="E312" i="7"/>
  <c r="AD312" i="7" s="1"/>
  <c r="E504" i="7"/>
  <c r="AD504" i="7" s="1"/>
  <c r="E85" i="7"/>
  <c r="AD85" i="7" s="1"/>
  <c r="E277" i="7"/>
  <c r="AD277" i="7" s="1"/>
  <c r="E469" i="7"/>
  <c r="AD469" i="7" s="1"/>
  <c r="E38" i="7"/>
  <c r="AD38" i="7" s="1"/>
  <c r="E230" i="7"/>
  <c r="AD230" i="7" s="1"/>
  <c r="E422" i="7"/>
  <c r="AD422" i="7" s="1"/>
  <c r="E183" i="7"/>
  <c r="AD183" i="7" s="1"/>
  <c r="E375" i="7"/>
  <c r="AD375" i="7" s="1"/>
  <c r="E136" i="7"/>
  <c r="AD136" i="7" s="1"/>
  <c r="E328" i="7"/>
  <c r="AD328" i="7" s="1"/>
  <c r="E520" i="7"/>
  <c r="AD520" i="7" s="1"/>
  <c r="E89" i="7"/>
  <c r="AD89" i="7" s="1"/>
  <c r="E281" i="7"/>
  <c r="AD281" i="7" s="1"/>
  <c r="E473" i="7"/>
  <c r="AD473" i="7" s="1"/>
  <c r="E54" i="7"/>
  <c r="AD54" i="7" s="1"/>
  <c r="E246" i="7"/>
  <c r="AD246" i="7" s="1"/>
  <c r="E438" i="7"/>
  <c r="AD438" i="7" s="1"/>
  <c r="E211" i="7"/>
  <c r="AD211" i="7" s="1"/>
  <c r="E403" i="7"/>
  <c r="AD403" i="7" s="1"/>
  <c r="E176" i="7"/>
  <c r="AD176" i="7" s="1"/>
  <c r="E202" i="7"/>
  <c r="AD202" i="7" s="1"/>
  <c r="E394" i="7"/>
  <c r="AD394" i="7" s="1"/>
  <c r="E167" i="7"/>
  <c r="AD167" i="7" s="1"/>
  <c r="E359" i="7"/>
  <c r="AD359" i="7" s="1"/>
  <c r="E132" i="7"/>
  <c r="AD132" i="7" s="1"/>
  <c r="E324" i="7"/>
  <c r="AD324" i="7" s="1"/>
  <c r="E516" i="7"/>
  <c r="AD516" i="7" s="1"/>
  <c r="E97" i="7"/>
  <c r="AD97" i="7" s="1"/>
  <c r="E289" i="7"/>
  <c r="AD289" i="7" s="1"/>
  <c r="E481" i="7"/>
  <c r="AD481" i="7" s="1"/>
  <c r="E50" i="7"/>
  <c r="AD50" i="7" s="1"/>
  <c r="E242" i="7"/>
  <c r="AD242" i="7" s="1"/>
  <c r="E434" i="7"/>
  <c r="AD434" i="7" s="1"/>
  <c r="E195" i="7"/>
  <c r="AD195" i="7" s="1"/>
  <c r="E387" i="7"/>
  <c r="AD387" i="7" s="1"/>
  <c r="E148" i="7"/>
  <c r="AD148" i="7" s="1"/>
  <c r="E340" i="7"/>
  <c r="AD340" i="7" s="1"/>
  <c r="E101" i="7"/>
  <c r="AD101" i="7" s="1"/>
  <c r="E293" i="7"/>
  <c r="AD293" i="7" s="1"/>
  <c r="E485" i="7"/>
  <c r="AD485" i="7" s="1"/>
  <c r="E66" i="7"/>
  <c r="AD66" i="7" s="1"/>
  <c r="E258" i="7"/>
  <c r="AD258" i="7" s="1"/>
  <c r="E450" i="7"/>
  <c r="AD450" i="7" s="1"/>
  <c r="E31" i="7"/>
  <c r="AD31" i="7" s="1"/>
  <c r="E223" i="7"/>
  <c r="AD223" i="7" s="1"/>
  <c r="E415" i="7"/>
  <c r="AD415" i="7" s="1"/>
  <c r="E188" i="7"/>
  <c r="AD188" i="7" s="1"/>
  <c r="E380" i="7"/>
  <c r="AD380" i="7" s="1"/>
  <c r="E165" i="7"/>
  <c r="AD165" i="7" s="1"/>
  <c r="E357" i="7"/>
  <c r="AD357" i="7" s="1"/>
  <c r="E22" i="7"/>
  <c r="AD22" i="7" s="1"/>
  <c r="E214" i="7"/>
  <c r="AD214" i="7" s="1"/>
  <c r="E406" i="7"/>
  <c r="AD406" i="7" s="1"/>
  <c r="E179" i="7"/>
  <c r="AD179" i="7" s="1"/>
  <c r="E371" i="7"/>
  <c r="AD371" i="7" s="1"/>
  <c r="E144" i="7"/>
  <c r="AD144" i="7" s="1"/>
  <c r="E336" i="7"/>
  <c r="AD336" i="7" s="1"/>
  <c r="E109" i="7"/>
  <c r="AD109" i="7" s="1"/>
  <c r="E301" i="7"/>
  <c r="AD301" i="7" s="1"/>
  <c r="E493" i="7"/>
  <c r="AD493" i="7" s="1"/>
  <c r="E62" i="7"/>
  <c r="AD62" i="7" s="1"/>
  <c r="E254" i="7"/>
  <c r="AD254" i="7" s="1"/>
  <c r="E446" i="7"/>
  <c r="AD446" i="7" s="1"/>
  <c r="E207" i="7"/>
  <c r="AD207" i="7" s="1"/>
  <c r="E399" i="7"/>
  <c r="AD399" i="7" s="1"/>
  <c r="E160" i="7"/>
  <c r="AD160" i="7" s="1"/>
  <c r="E352" i="7"/>
  <c r="AD352" i="7" s="1"/>
  <c r="E113" i="7"/>
  <c r="AD113" i="7" s="1"/>
  <c r="E305" i="7"/>
  <c r="AD305" i="7" s="1"/>
  <c r="E497" i="7"/>
  <c r="AD497" i="7" s="1"/>
  <c r="E78" i="7"/>
  <c r="AD78" i="7" s="1"/>
  <c r="E270" i="7"/>
  <c r="AD270" i="7" s="1"/>
  <c r="E462" i="7"/>
  <c r="AD462" i="7" s="1"/>
  <c r="E43" i="7"/>
  <c r="AD43" i="7" s="1"/>
  <c r="E235" i="7"/>
  <c r="AD235" i="7" s="1"/>
  <c r="E427" i="7"/>
  <c r="AD427" i="7" s="1"/>
  <c r="E200" i="7"/>
  <c r="AD200" i="7" s="1"/>
  <c r="E392" i="7"/>
  <c r="AD392" i="7" s="1"/>
  <c r="E177" i="7"/>
  <c r="AD177" i="7" s="1"/>
  <c r="E369" i="7"/>
  <c r="AD369" i="7" s="1"/>
  <c r="D150" i="7"/>
  <c r="AC150" i="7" s="1"/>
  <c r="D342" i="7"/>
  <c r="AC342" i="7" s="1"/>
  <c r="D115" i="7"/>
  <c r="AC115" i="7" s="1"/>
  <c r="D307" i="7"/>
  <c r="AC307" i="7" s="1"/>
  <c r="D499" i="7"/>
  <c r="AC499" i="7" s="1"/>
  <c r="D80" i="7"/>
  <c r="AC80" i="7" s="1"/>
  <c r="D272" i="7"/>
  <c r="AC272" i="7" s="1"/>
  <c r="D464" i="7"/>
  <c r="AC464" i="7" s="1"/>
  <c r="D45" i="7"/>
  <c r="AC45" i="7" s="1"/>
  <c r="D237" i="7"/>
  <c r="AC237" i="7" s="1"/>
  <c r="D429" i="7"/>
  <c r="AC429" i="7" s="1"/>
  <c r="D190" i="7"/>
  <c r="AC190" i="7" s="1"/>
  <c r="D382" i="7"/>
  <c r="AC382" i="7" s="1"/>
  <c r="D143" i="7"/>
  <c r="AC143" i="7" s="1"/>
  <c r="D335" i="7"/>
  <c r="AC335" i="7" s="1"/>
  <c r="D96" i="7"/>
  <c r="AC96" i="7" s="1"/>
  <c r="D288" i="7"/>
  <c r="AC288" i="7" s="1"/>
  <c r="D480" i="7"/>
  <c r="AC480" i="7" s="1"/>
  <c r="D49" i="7"/>
  <c r="AC49" i="7" s="1"/>
  <c r="D241" i="7"/>
  <c r="AC241" i="7" s="1"/>
  <c r="D433" i="7"/>
  <c r="AC433" i="7" s="1"/>
  <c r="D206" i="7"/>
  <c r="AC206" i="7" s="1"/>
  <c r="D398" i="7"/>
  <c r="AC398" i="7" s="1"/>
  <c r="D171" i="7"/>
  <c r="AC171" i="7" s="1"/>
  <c r="D363" i="7"/>
  <c r="AC363" i="7" s="1"/>
  <c r="D136" i="7"/>
  <c r="AC136" i="7" s="1"/>
  <c r="D328" i="7"/>
  <c r="AC328" i="7" s="1"/>
  <c r="D520" i="7"/>
  <c r="AC520" i="7" s="1"/>
  <c r="D101" i="7"/>
  <c r="AC101" i="7" s="1"/>
  <c r="D293" i="7"/>
  <c r="AC293" i="7" s="1"/>
  <c r="D485" i="7"/>
  <c r="AC485" i="7" s="1"/>
  <c r="D162" i="7"/>
  <c r="AC162" i="7" s="1"/>
  <c r="D354" i="7"/>
  <c r="AC354" i="7" s="1"/>
  <c r="D127" i="7"/>
  <c r="AC127" i="7" s="1"/>
  <c r="D319" i="7"/>
  <c r="AC319" i="7" s="1"/>
  <c r="D511" i="7"/>
  <c r="AC511" i="7" s="1"/>
  <c r="D92" i="7"/>
  <c r="AC92" i="7" s="1"/>
  <c r="D284" i="7"/>
  <c r="AC284" i="7" s="1"/>
  <c r="D476" i="7"/>
  <c r="AC476" i="7" s="1"/>
  <c r="D57" i="7"/>
  <c r="AC57" i="7" s="1"/>
  <c r="D249" i="7"/>
  <c r="AC249" i="7" s="1"/>
  <c r="D441" i="7"/>
  <c r="AC441" i="7" s="1"/>
  <c r="D202" i="7"/>
  <c r="AC202" i="7" s="1"/>
  <c r="D394" i="7"/>
  <c r="AC394" i="7" s="1"/>
  <c r="D155" i="7"/>
  <c r="AC155" i="7" s="1"/>
  <c r="D347" i="7"/>
  <c r="AC347" i="7" s="1"/>
  <c r="D108" i="7"/>
  <c r="AC108" i="7" s="1"/>
  <c r="D300" i="7"/>
  <c r="AC300" i="7" s="1"/>
  <c r="D492" i="7"/>
  <c r="AC492" i="7" s="1"/>
  <c r="D61" i="7"/>
  <c r="AC61" i="7" s="1"/>
  <c r="D253" i="7"/>
  <c r="AC253" i="7" s="1"/>
  <c r="D445" i="7"/>
  <c r="AC445" i="7" s="1"/>
  <c r="D26" i="7"/>
  <c r="AC26" i="7" s="1"/>
  <c r="D218" i="7"/>
  <c r="AC218" i="7" s="1"/>
  <c r="D410" i="7"/>
  <c r="AC410" i="7" s="1"/>
  <c r="D183" i="7"/>
  <c r="AC183" i="7" s="1"/>
  <c r="D375" i="7"/>
  <c r="AC375" i="7" s="1"/>
  <c r="D148" i="7"/>
  <c r="AC148" i="7" s="1"/>
  <c r="D340" i="7"/>
  <c r="AC340" i="7" s="1"/>
  <c r="D113" i="7"/>
  <c r="AC113" i="7" s="1"/>
  <c r="D305" i="7"/>
  <c r="AC305" i="7" s="1"/>
  <c r="D497" i="7"/>
  <c r="AC497" i="7" s="1"/>
  <c r="D233" i="7"/>
  <c r="AC233" i="7" s="1"/>
  <c r="D174" i="7"/>
  <c r="AC174" i="7" s="1"/>
  <c r="D366" i="7"/>
  <c r="AC366" i="7" s="1"/>
  <c r="D139" i="7"/>
  <c r="AC139" i="7" s="1"/>
  <c r="D331" i="7"/>
  <c r="AC331" i="7" s="1"/>
  <c r="D104" i="7"/>
  <c r="AC104" i="7" s="1"/>
  <c r="D296" i="7"/>
  <c r="AC296" i="7" s="1"/>
  <c r="D488" i="7"/>
  <c r="AC488" i="7" s="1"/>
  <c r="D69" i="7"/>
  <c r="AC69" i="7" s="1"/>
  <c r="D261" i="7"/>
  <c r="AC261" i="7" s="1"/>
  <c r="D453" i="7"/>
  <c r="AC453" i="7" s="1"/>
  <c r="D22" i="7"/>
  <c r="AC22" i="7" s="1"/>
  <c r="D214" i="7"/>
  <c r="AC214" i="7" s="1"/>
  <c r="D406" i="7"/>
  <c r="AC406" i="7" s="1"/>
  <c r="D167" i="7"/>
  <c r="AC167" i="7" s="1"/>
  <c r="D359" i="7"/>
  <c r="AC359" i="7" s="1"/>
  <c r="D120" i="7"/>
  <c r="AC120" i="7" s="1"/>
  <c r="D312" i="7"/>
  <c r="AC312" i="7" s="1"/>
  <c r="D504" i="7"/>
  <c r="AC504" i="7" s="1"/>
  <c r="D73" i="7"/>
  <c r="AC73" i="7" s="1"/>
  <c r="D265" i="7"/>
  <c r="AC265" i="7" s="1"/>
  <c r="D457" i="7"/>
  <c r="AC457" i="7" s="1"/>
  <c r="D38" i="7"/>
  <c r="AC38" i="7" s="1"/>
  <c r="D230" i="7"/>
  <c r="AC230" i="7" s="1"/>
  <c r="D422" i="7"/>
  <c r="AC422" i="7" s="1"/>
  <c r="D195" i="7"/>
  <c r="AC195" i="7" s="1"/>
  <c r="D387" i="7"/>
  <c r="AC387" i="7" s="1"/>
  <c r="D160" i="7"/>
  <c r="AC160" i="7" s="1"/>
  <c r="D352" i="7"/>
  <c r="AC352" i="7" s="1"/>
  <c r="D125" i="7"/>
  <c r="AC125" i="7" s="1"/>
  <c r="D317" i="7"/>
  <c r="AC317" i="7" s="1"/>
  <c r="D509" i="7"/>
  <c r="AC509" i="7" s="1"/>
  <c r="D186" i="7"/>
  <c r="AC186" i="7" s="1"/>
  <c r="D378" i="7"/>
  <c r="AC378" i="7" s="1"/>
  <c r="D151" i="7"/>
  <c r="AC151" i="7" s="1"/>
  <c r="D343" i="7"/>
  <c r="AC343" i="7" s="1"/>
  <c r="D116" i="7"/>
  <c r="AC116" i="7" s="1"/>
  <c r="D308" i="7"/>
  <c r="AC308" i="7" s="1"/>
  <c r="D500" i="7"/>
  <c r="AC500" i="7" s="1"/>
  <c r="D81" i="7"/>
  <c r="AC81" i="7" s="1"/>
  <c r="D273" i="7"/>
  <c r="AC273" i="7" s="1"/>
  <c r="D465" i="7"/>
  <c r="AC465" i="7" s="1"/>
  <c r="D34" i="7"/>
  <c r="AC34" i="7" s="1"/>
  <c r="D226" i="7"/>
  <c r="AC226" i="7" s="1"/>
  <c r="D418" i="7"/>
  <c r="AC418" i="7" s="1"/>
  <c r="D179" i="7"/>
  <c r="AC179" i="7" s="1"/>
  <c r="D371" i="7"/>
  <c r="AC371" i="7" s="1"/>
  <c r="D132" i="7"/>
  <c r="AC132" i="7" s="1"/>
  <c r="D324" i="7"/>
  <c r="AC324" i="7" s="1"/>
  <c r="D516" i="7"/>
  <c r="AC516" i="7" s="1"/>
  <c r="D85" i="7"/>
  <c r="AC85" i="7" s="1"/>
  <c r="D277" i="7"/>
  <c r="AC277" i="7" s="1"/>
  <c r="D469" i="7"/>
  <c r="AC469" i="7" s="1"/>
  <c r="D50" i="7"/>
  <c r="AC50" i="7" s="1"/>
  <c r="D242" i="7"/>
  <c r="AC242" i="7" s="1"/>
  <c r="D434" i="7"/>
  <c r="AC434" i="7" s="1"/>
  <c r="D207" i="7"/>
  <c r="AC207" i="7" s="1"/>
  <c r="D399" i="7"/>
  <c r="AC399" i="7" s="1"/>
  <c r="D172" i="7"/>
  <c r="AC172" i="7" s="1"/>
  <c r="D364" i="7"/>
  <c r="AC364" i="7" s="1"/>
  <c r="D137" i="7"/>
  <c r="AC137" i="7" s="1"/>
  <c r="D329" i="7"/>
  <c r="AC329" i="7" s="1"/>
  <c r="D198" i="7"/>
  <c r="AC198" i="7" s="1"/>
  <c r="D390" i="7"/>
  <c r="AC390" i="7" s="1"/>
  <c r="D163" i="7"/>
  <c r="AC163" i="7" s="1"/>
  <c r="D355" i="7"/>
  <c r="AC355" i="7" s="1"/>
  <c r="D128" i="7"/>
  <c r="AC128" i="7" s="1"/>
  <c r="D320" i="7"/>
  <c r="AC320" i="7" s="1"/>
  <c r="D512" i="7"/>
  <c r="AC512" i="7" s="1"/>
  <c r="D93" i="7"/>
  <c r="AC93" i="7" s="1"/>
  <c r="D285" i="7"/>
  <c r="AC285" i="7" s="1"/>
  <c r="D477" i="7"/>
  <c r="AC477" i="7" s="1"/>
  <c r="D46" i="7"/>
  <c r="AC46" i="7" s="1"/>
  <c r="D238" i="7"/>
  <c r="AC238" i="7" s="1"/>
  <c r="D430" i="7"/>
  <c r="AC430" i="7" s="1"/>
  <c r="D191" i="7"/>
  <c r="AC191" i="7" s="1"/>
  <c r="D383" i="7"/>
  <c r="AC383" i="7" s="1"/>
  <c r="D144" i="7"/>
  <c r="AC144" i="7" s="1"/>
  <c r="D336" i="7"/>
  <c r="AC336" i="7" s="1"/>
  <c r="D97" i="7"/>
  <c r="AC97" i="7" s="1"/>
  <c r="D289" i="7"/>
  <c r="AC289" i="7" s="1"/>
  <c r="D481" i="7"/>
  <c r="AC481" i="7" s="1"/>
  <c r="D62" i="7"/>
  <c r="AC62" i="7" s="1"/>
  <c r="D254" i="7"/>
  <c r="AC254" i="7" s="1"/>
  <c r="D446" i="7"/>
  <c r="AC446" i="7" s="1"/>
  <c r="D27" i="7"/>
  <c r="AC27" i="7" s="1"/>
  <c r="D219" i="7"/>
  <c r="AC219" i="7" s="1"/>
  <c r="D411" i="7"/>
  <c r="AC411" i="7" s="1"/>
  <c r="D184" i="7"/>
  <c r="AC184" i="7" s="1"/>
  <c r="D376" i="7"/>
  <c r="AC376" i="7" s="1"/>
  <c r="D149" i="7"/>
  <c r="AC149" i="7" s="1"/>
  <c r="D341" i="7"/>
  <c r="AC341" i="7" s="1"/>
  <c r="D210" i="7"/>
  <c r="AC210" i="7" s="1"/>
  <c r="D402" i="7"/>
  <c r="AC402" i="7" s="1"/>
  <c r="D175" i="7"/>
  <c r="AC175" i="7" s="1"/>
  <c r="D367" i="7"/>
  <c r="AC367" i="7" s="1"/>
  <c r="D140" i="7"/>
  <c r="AC140" i="7" s="1"/>
  <c r="D332" i="7"/>
  <c r="AC332" i="7" s="1"/>
  <c r="D105" i="7"/>
  <c r="AC105" i="7" s="1"/>
  <c r="D297" i="7"/>
  <c r="AC297" i="7" s="1"/>
  <c r="D489" i="7"/>
  <c r="AC489" i="7" s="1"/>
  <c r="D58" i="7"/>
  <c r="AC58" i="7" s="1"/>
  <c r="D250" i="7"/>
  <c r="AC250" i="7" s="1"/>
  <c r="D442" i="7"/>
  <c r="AC442" i="7" s="1"/>
  <c r="D203" i="7"/>
  <c r="AC203" i="7" s="1"/>
  <c r="D395" i="7"/>
  <c r="AC395" i="7" s="1"/>
  <c r="D156" i="7"/>
  <c r="AC156" i="7" s="1"/>
  <c r="D348" i="7"/>
  <c r="AC348" i="7" s="1"/>
  <c r="D109" i="7"/>
  <c r="AC109" i="7" s="1"/>
  <c r="D301" i="7"/>
  <c r="AC301" i="7" s="1"/>
  <c r="D493" i="7"/>
  <c r="AC493" i="7" s="1"/>
  <c r="D74" i="7"/>
  <c r="AC74" i="7" s="1"/>
  <c r="D266" i="7"/>
  <c r="AC266" i="7" s="1"/>
  <c r="D458" i="7"/>
  <c r="AC458" i="7" s="1"/>
  <c r="D39" i="7"/>
  <c r="AC39" i="7" s="1"/>
  <c r="D231" i="7"/>
  <c r="AC231" i="7" s="1"/>
  <c r="D423" i="7"/>
  <c r="AC423" i="7" s="1"/>
  <c r="D196" i="7"/>
  <c r="AC196" i="7" s="1"/>
  <c r="D388" i="7"/>
  <c r="AC388" i="7" s="1"/>
  <c r="D161" i="7"/>
  <c r="AC161" i="7" s="1"/>
  <c r="D353" i="7"/>
  <c r="AC353" i="7" s="1"/>
  <c r="D41" i="7"/>
  <c r="AC41" i="7" s="1"/>
  <c r="D30" i="7"/>
  <c r="AC30" i="7" s="1"/>
  <c r="D222" i="7"/>
  <c r="AC222" i="7" s="1"/>
  <c r="D414" i="7"/>
  <c r="AC414" i="7" s="1"/>
  <c r="D187" i="7"/>
  <c r="AC187" i="7" s="1"/>
  <c r="D379" i="7"/>
  <c r="AC379" i="7" s="1"/>
  <c r="D152" i="7"/>
  <c r="AC152" i="7" s="1"/>
  <c r="D344" i="7"/>
  <c r="AC344" i="7" s="1"/>
  <c r="D117" i="7"/>
  <c r="AC117" i="7" s="1"/>
  <c r="D309" i="7"/>
  <c r="AC309" i="7" s="1"/>
  <c r="D501" i="7"/>
  <c r="AC501" i="7" s="1"/>
  <c r="D70" i="7"/>
  <c r="AC70" i="7" s="1"/>
  <c r="D262" i="7"/>
  <c r="AC262" i="7" s="1"/>
  <c r="D454" i="7"/>
  <c r="AC454" i="7" s="1"/>
  <c r="D23" i="7"/>
  <c r="AC23" i="7" s="1"/>
  <c r="D215" i="7"/>
  <c r="AC215" i="7" s="1"/>
  <c r="D407" i="7"/>
  <c r="AC407" i="7" s="1"/>
  <c r="D168" i="7"/>
  <c r="AC168" i="7" s="1"/>
  <c r="D360" i="7"/>
  <c r="AC360" i="7" s="1"/>
  <c r="D121" i="7"/>
  <c r="AC121" i="7" s="1"/>
  <c r="D313" i="7"/>
  <c r="AC313" i="7" s="1"/>
  <c r="D505" i="7"/>
  <c r="AC505" i="7" s="1"/>
  <c r="D86" i="7"/>
  <c r="AC86" i="7" s="1"/>
  <c r="D278" i="7"/>
  <c r="AC278" i="7" s="1"/>
  <c r="D470" i="7"/>
  <c r="AC470" i="7" s="1"/>
  <c r="D51" i="7"/>
  <c r="AC51" i="7" s="1"/>
  <c r="D243" i="7"/>
  <c r="AC243" i="7" s="1"/>
  <c r="D435" i="7"/>
  <c r="AC435" i="7" s="1"/>
  <c r="D208" i="7"/>
  <c r="AC208" i="7" s="1"/>
  <c r="D400" i="7"/>
  <c r="AC400" i="7" s="1"/>
  <c r="D173" i="7"/>
  <c r="AC173" i="7" s="1"/>
  <c r="D365" i="7"/>
  <c r="AC365" i="7" s="1"/>
  <c r="D460" i="7"/>
  <c r="AC460" i="7" s="1"/>
  <c r="D42" i="7"/>
  <c r="AC42" i="7" s="1"/>
  <c r="D234" i="7"/>
  <c r="AC234" i="7" s="1"/>
  <c r="D426" i="7"/>
  <c r="AC426" i="7" s="1"/>
  <c r="D199" i="7"/>
  <c r="AC199" i="7" s="1"/>
  <c r="D391" i="7"/>
  <c r="AC391" i="7" s="1"/>
  <c r="D164" i="7"/>
  <c r="AC164" i="7" s="1"/>
  <c r="D356" i="7"/>
  <c r="AC356" i="7" s="1"/>
  <c r="D129" i="7"/>
  <c r="AC129" i="7" s="1"/>
  <c r="D321" i="7"/>
  <c r="AC321" i="7" s="1"/>
  <c r="D513" i="7"/>
  <c r="AC513" i="7" s="1"/>
  <c r="D82" i="7"/>
  <c r="AC82" i="7" s="1"/>
  <c r="D274" i="7"/>
  <c r="AC274" i="7" s="1"/>
  <c r="D466" i="7"/>
  <c r="AC466" i="7" s="1"/>
  <c r="D35" i="7"/>
  <c r="AC35" i="7" s="1"/>
  <c r="D227" i="7"/>
  <c r="AC227" i="7" s="1"/>
  <c r="D419" i="7"/>
  <c r="AC419" i="7" s="1"/>
  <c r="D180" i="7"/>
  <c r="AC180" i="7" s="1"/>
  <c r="D372" i="7"/>
  <c r="AC372" i="7" s="1"/>
  <c r="D133" i="7"/>
  <c r="AC133" i="7" s="1"/>
  <c r="D325" i="7"/>
  <c r="AC325" i="7" s="1"/>
  <c r="D517" i="7"/>
  <c r="AC517" i="7" s="1"/>
  <c r="D98" i="7"/>
  <c r="AC98" i="7" s="1"/>
  <c r="D290" i="7"/>
  <c r="AC290" i="7" s="1"/>
  <c r="D482" i="7"/>
  <c r="AC482" i="7" s="1"/>
  <c r="D63" i="7"/>
  <c r="AC63" i="7" s="1"/>
  <c r="D255" i="7"/>
  <c r="AC255" i="7" s="1"/>
  <c r="D447" i="7"/>
  <c r="AC447" i="7" s="1"/>
  <c r="D28" i="7"/>
  <c r="AC28" i="7" s="1"/>
  <c r="D220" i="7"/>
  <c r="AC220" i="7" s="1"/>
  <c r="D412" i="7"/>
  <c r="AC412" i="7" s="1"/>
  <c r="D185" i="7"/>
  <c r="AC185" i="7" s="1"/>
  <c r="D377" i="7"/>
  <c r="AC377" i="7" s="1"/>
  <c r="D54" i="7"/>
  <c r="AC54" i="7" s="1"/>
  <c r="D246" i="7"/>
  <c r="AC246" i="7" s="1"/>
  <c r="D438" i="7"/>
  <c r="AC438" i="7" s="1"/>
  <c r="D211" i="7"/>
  <c r="AC211" i="7" s="1"/>
  <c r="D403" i="7"/>
  <c r="AC403" i="7" s="1"/>
  <c r="D176" i="7"/>
  <c r="AC176" i="7" s="1"/>
  <c r="D368" i="7"/>
  <c r="AC368" i="7" s="1"/>
  <c r="D141" i="7"/>
  <c r="AC141" i="7" s="1"/>
  <c r="D333" i="7"/>
  <c r="AC333" i="7" s="1"/>
  <c r="D94" i="7"/>
  <c r="AC94" i="7" s="1"/>
  <c r="D286" i="7"/>
  <c r="AC286" i="7" s="1"/>
  <c r="D478" i="7"/>
  <c r="AC478" i="7" s="1"/>
  <c r="D47" i="7"/>
  <c r="AC47" i="7" s="1"/>
  <c r="D239" i="7"/>
  <c r="AC239" i="7" s="1"/>
  <c r="D431" i="7"/>
  <c r="AC431" i="7" s="1"/>
  <c r="D192" i="7"/>
  <c r="AC192" i="7" s="1"/>
  <c r="D384" i="7"/>
  <c r="AC384" i="7" s="1"/>
  <c r="D145" i="7"/>
  <c r="AC145" i="7" s="1"/>
  <c r="D337" i="7"/>
  <c r="AC337" i="7" s="1"/>
  <c r="D110" i="7"/>
  <c r="AC110" i="7" s="1"/>
  <c r="D302" i="7"/>
  <c r="AC302" i="7" s="1"/>
  <c r="D494" i="7"/>
  <c r="AC494" i="7" s="1"/>
  <c r="D75" i="7"/>
  <c r="AC75" i="7" s="1"/>
  <c r="D267" i="7"/>
  <c r="AC267" i="7" s="1"/>
  <c r="D459" i="7"/>
  <c r="AC459" i="7" s="1"/>
  <c r="D40" i="7"/>
  <c r="AC40" i="7" s="1"/>
  <c r="D232" i="7"/>
  <c r="AC232" i="7" s="1"/>
  <c r="D424" i="7"/>
  <c r="AC424" i="7" s="1"/>
  <c r="D197" i="7"/>
  <c r="AC197" i="7" s="1"/>
  <c r="D389" i="7"/>
  <c r="AC389" i="7" s="1"/>
  <c r="D425" i="7"/>
  <c r="AC425" i="7" s="1"/>
  <c r="D66" i="7"/>
  <c r="AC66" i="7" s="1"/>
  <c r="D258" i="7"/>
  <c r="AC258" i="7" s="1"/>
  <c r="D450" i="7"/>
  <c r="AC450" i="7" s="1"/>
  <c r="D31" i="7"/>
  <c r="AC31" i="7" s="1"/>
  <c r="D223" i="7"/>
  <c r="AC223" i="7" s="1"/>
  <c r="D415" i="7"/>
  <c r="AC415" i="7" s="1"/>
  <c r="D188" i="7"/>
  <c r="AC188" i="7" s="1"/>
  <c r="D380" i="7"/>
  <c r="AC380" i="7" s="1"/>
  <c r="D153" i="7"/>
  <c r="AC153" i="7" s="1"/>
  <c r="D345" i="7"/>
  <c r="AC345" i="7" s="1"/>
  <c r="D106" i="7"/>
  <c r="AC106" i="7" s="1"/>
  <c r="D298" i="7"/>
  <c r="AC298" i="7" s="1"/>
  <c r="D490" i="7"/>
  <c r="AC490" i="7" s="1"/>
  <c r="D59" i="7"/>
  <c r="AC59" i="7" s="1"/>
  <c r="D251" i="7"/>
  <c r="AC251" i="7" s="1"/>
  <c r="D443" i="7"/>
  <c r="AC443" i="7" s="1"/>
  <c r="D204" i="7"/>
  <c r="AC204" i="7" s="1"/>
  <c r="D396" i="7"/>
  <c r="AC396" i="7" s="1"/>
  <c r="D157" i="7"/>
  <c r="AC157" i="7" s="1"/>
  <c r="D349" i="7"/>
  <c r="AC349" i="7" s="1"/>
  <c r="D122" i="7"/>
  <c r="AC122" i="7" s="1"/>
  <c r="D314" i="7"/>
  <c r="AC314" i="7" s="1"/>
  <c r="D506" i="7"/>
  <c r="AC506" i="7" s="1"/>
  <c r="D87" i="7"/>
  <c r="AC87" i="7" s="1"/>
  <c r="D279" i="7"/>
  <c r="AC279" i="7" s="1"/>
  <c r="D471" i="7"/>
  <c r="AC471" i="7" s="1"/>
  <c r="D52" i="7"/>
  <c r="AC52" i="7" s="1"/>
  <c r="D244" i="7"/>
  <c r="AC244" i="7" s="1"/>
  <c r="D436" i="7"/>
  <c r="AC436" i="7" s="1"/>
  <c r="D209" i="7"/>
  <c r="AC209" i="7" s="1"/>
  <c r="D401" i="7"/>
  <c r="AC401" i="7" s="1"/>
  <c r="D268" i="7"/>
  <c r="AC268" i="7" s="1"/>
  <c r="D78" i="7"/>
  <c r="AC78" i="7" s="1"/>
  <c r="D270" i="7"/>
  <c r="AC270" i="7" s="1"/>
  <c r="D462" i="7"/>
  <c r="AC462" i="7" s="1"/>
  <c r="D43" i="7"/>
  <c r="AC43" i="7" s="1"/>
  <c r="D235" i="7"/>
  <c r="AC235" i="7" s="1"/>
  <c r="D427" i="7"/>
  <c r="AC427" i="7" s="1"/>
  <c r="D200" i="7"/>
  <c r="AC200" i="7" s="1"/>
  <c r="D392" i="7"/>
  <c r="AC392" i="7" s="1"/>
  <c r="D165" i="7"/>
  <c r="AC165" i="7" s="1"/>
  <c r="D357" i="7"/>
  <c r="AC357" i="7" s="1"/>
  <c r="D118" i="7"/>
  <c r="AC118" i="7" s="1"/>
  <c r="D310" i="7"/>
  <c r="AC310" i="7" s="1"/>
  <c r="D502" i="7"/>
  <c r="AC502" i="7" s="1"/>
  <c r="D71" i="7"/>
  <c r="AC71" i="7" s="1"/>
  <c r="D263" i="7"/>
  <c r="AC263" i="7" s="1"/>
  <c r="D455" i="7"/>
  <c r="AC455" i="7" s="1"/>
  <c r="D24" i="7"/>
  <c r="AC24" i="7" s="1"/>
  <c r="D216" i="7"/>
  <c r="AC216" i="7" s="1"/>
  <c r="D408" i="7"/>
  <c r="AC408" i="7" s="1"/>
  <c r="D169" i="7"/>
  <c r="AC169" i="7" s="1"/>
  <c r="D361" i="7"/>
  <c r="AC361" i="7" s="1"/>
  <c r="D134" i="7"/>
  <c r="AC134" i="7" s="1"/>
  <c r="D326" i="7"/>
  <c r="AC326" i="7" s="1"/>
  <c r="D518" i="7"/>
  <c r="AC518" i="7" s="1"/>
  <c r="D99" i="7"/>
  <c r="AC99" i="7" s="1"/>
  <c r="D291" i="7"/>
  <c r="AC291" i="7" s="1"/>
  <c r="D483" i="7"/>
  <c r="AC483" i="7" s="1"/>
  <c r="D64" i="7"/>
  <c r="AC64" i="7" s="1"/>
  <c r="D256" i="7"/>
  <c r="AC256" i="7" s="1"/>
  <c r="D448" i="7"/>
  <c r="AC448" i="7" s="1"/>
  <c r="D29" i="7"/>
  <c r="AC29" i="7" s="1"/>
  <c r="D221" i="7"/>
  <c r="AC221" i="7" s="1"/>
  <c r="D413" i="7"/>
  <c r="AC413" i="7" s="1"/>
  <c r="D76" i="7"/>
  <c r="AC76" i="7" s="1"/>
  <c r="D90" i="7"/>
  <c r="AC90" i="7" s="1"/>
  <c r="D282" i="7"/>
  <c r="AC282" i="7" s="1"/>
  <c r="D474" i="7"/>
  <c r="AC474" i="7" s="1"/>
  <c r="D55" i="7"/>
  <c r="AC55" i="7" s="1"/>
  <c r="D247" i="7"/>
  <c r="AC247" i="7" s="1"/>
  <c r="D439" i="7"/>
  <c r="AC439" i="7" s="1"/>
  <c r="D212" i="7"/>
  <c r="AC212" i="7" s="1"/>
  <c r="D404" i="7"/>
  <c r="AC404" i="7" s="1"/>
  <c r="D177" i="7"/>
  <c r="AC177" i="7" s="1"/>
  <c r="D369" i="7"/>
  <c r="AC369" i="7" s="1"/>
  <c r="D130" i="7"/>
  <c r="AC130" i="7" s="1"/>
  <c r="D322" i="7"/>
  <c r="AC322" i="7" s="1"/>
  <c r="D514" i="7"/>
  <c r="AC514" i="7" s="1"/>
  <c r="D83" i="7"/>
  <c r="AC83" i="7" s="1"/>
  <c r="D275" i="7"/>
  <c r="AC275" i="7" s="1"/>
  <c r="D467" i="7"/>
  <c r="AC467" i="7" s="1"/>
  <c r="D36" i="7"/>
  <c r="AC36" i="7" s="1"/>
  <c r="D228" i="7"/>
  <c r="AC228" i="7" s="1"/>
  <c r="D420" i="7"/>
  <c r="AC420" i="7" s="1"/>
  <c r="D181" i="7"/>
  <c r="AC181" i="7" s="1"/>
  <c r="D373" i="7"/>
  <c r="AC373" i="7" s="1"/>
  <c r="D146" i="7"/>
  <c r="AC146" i="7" s="1"/>
  <c r="D338" i="7"/>
  <c r="AC338" i="7" s="1"/>
  <c r="D111" i="7"/>
  <c r="AC111" i="7" s="1"/>
  <c r="D303" i="7"/>
  <c r="AC303" i="7" s="1"/>
  <c r="D495" i="7"/>
  <c r="AC495" i="7" s="1"/>
  <c r="D102" i="7"/>
  <c r="AC102" i="7" s="1"/>
  <c r="D294" i="7"/>
  <c r="AC294" i="7" s="1"/>
  <c r="D486" i="7"/>
  <c r="AC486" i="7" s="1"/>
  <c r="D67" i="7"/>
  <c r="AC67" i="7" s="1"/>
  <c r="D259" i="7"/>
  <c r="AC259" i="7" s="1"/>
  <c r="D451" i="7"/>
  <c r="AC451" i="7" s="1"/>
  <c r="D32" i="7"/>
  <c r="AC32" i="7" s="1"/>
  <c r="D224" i="7"/>
  <c r="AC224" i="7" s="1"/>
  <c r="D416" i="7"/>
  <c r="AC416" i="7" s="1"/>
  <c r="D189" i="7"/>
  <c r="AC189" i="7" s="1"/>
  <c r="D381" i="7"/>
  <c r="AC381" i="7" s="1"/>
  <c r="D142" i="7"/>
  <c r="AC142" i="7" s="1"/>
  <c r="D334" i="7"/>
  <c r="AC334" i="7" s="1"/>
  <c r="D95" i="7"/>
  <c r="AC95" i="7" s="1"/>
  <c r="D287" i="7"/>
  <c r="AC287" i="7" s="1"/>
  <c r="D479" i="7"/>
  <c r="AC479" i="7" s="1"/>
  <c r="D48" i="7"/>
  <c r="AC48" i="7" s="1"/>
  <c r="D240" i="7"/>
  <c r="AC240" i="7" s="1"/>
  <c r="D432" i="7"/>
  <c r="AC432" i="7" s="1"/>
  <c r="D193" i="7"/>
  <c r="AC193" i="7" s="1"/>
  <c r="D385" i="7"/>
  <c r="AC385" i="7" s="1"/>
  <c r="D158" i="7"/>
  <c r="AC158" i="7" s="1"/>
  <c r="D350" i="7"/>
  <c r="AC350" i="7" s="1"/>
  <c r="D123" i="7"/>
  <c r="AC123" i="7" s="1"/>
  <c r="D315" i="7"/>
  <c r="AC315" i="7" s="1"/>
  <c r="D507" i="7"/>
  <c r="AC507" i="7" s="1"/>
  <c r="D88" i="7"/>
  <c r="AC88" i="7" s="1"/>
  <c r="D280" i="7"/>
  <c r="AC280" i="7" s="1"/>
  <c r="D472" i="7"/>
  <c r="AC472" i="7" s="1"/>
  <c r="D53" i="7"/>
  <c r="AC53" i="7" s="1"/>
  <c r="D245" i="7"/>
  <c r="AC245" i="7" s="1"/>
  <c r="D437" i="7"/>
  <c r="AC437" i="7" s="1"/>
  <c r="D65" i="7"/>
  <c r="AC65" i="7" s="1"/>
  <c r="D257" i="7"/>
  <c r="AC257" i="7" s="1"/>
  <c r="D449" i="7"/>
  <c r="AC449" i="7" s="1"/>
  <c r="D114" i="7"/>
  <c r="AC114" i="7" s="1"/>
  <c r="D306" i="7"/>
  <c r="AC306" i="7" s="1"/>
  <c r="D498" i="7"/>
  <c r="AC498" i="7" s="1"/>
  <c r="D79" i="7"/>
  <c r="AC79" i="7" s="1"/>
  <c r="D271" i="7"/>
  <c r="AC271" i="7" s="1"/>
  <c r="D463" i="7"/>
  <c r="AC463" i="7" s="1"/>
  <c r="D44" i="7"/>
  <c r="AC44" i="7" s="1"/>
  <c r="D236" i="7"/>
  <c r="AC236" i="7" s="1"/>
  <c r="D428" i="7"/>
  <c r="AC428" i="7" s="1"/>
  <c r="D201" i="7"/>
  <c r="AC201" i="7" s="1"/>
  <c r="D393" i="7"/>
  <c r="AC393" i="7" s="1"/>
  <c r="D154" i="7"/>
  <c r="AC154" i="7" s="1"/>
  <c r="D346" i="7"/>
  <c r="AC346" i="7" s="1"/>
  <c r="D107" i="7"/>
  <c r="AC107" i="7" s="1"/>
  <c r="D299" i="7"/>
  <c r="AC299" i="7" s="1"/>
  <c r="D491" i="7"/>
  <c r="AC491" i="7" s="1"/>
  <c r="D60" i="7"/>
  <c r="AC60" i="7" s="1"/>
  <c r="D252" i="7"/>
  <c r="AC252" i="7" s="1"/>
  <c r="D444" i="7"/>
  <c r="AC444" i="7" s="1"/>
  <c r="D205" i="7"/>
  <c r="AC205" i="7" s="1"/>
  <c r="D397" i="7"/>
  <c r="AC397" i="7" s="1"/>
  <c r="D170" i="7"/>
  <c r="AC170" i="7" s="1"/>
  <c r="D362" i="7"/>
  <c r="AC362" i="7" s="1"/>
  <c r="D135" i="7"/>
  <c r="AC135" i="7" s="1"/>
  <c r="D327" i="7"/>
  <c r="AC327" i="7" s="1"/>
  <c r="D519" i="7"/>
  <c r="AC519" i="7" s="1"/>
  <c r="D100" i="7"/>
  <c r="AC100" i="7" s="1"/>
  <c r="D292" i="7"/>
  <c r="AC292" i="7" s="1"/>
  <c r="D484" i="7"/>
  <c r="AC484" i="7" s="1"/>
  <c r="D126" i="7"/>
  <c r="AC126" i="7" s="1"/>
  <c r="D318" i="7"/>
  <c r="AC318" i="7" s="1"/>
  <c r="D510" i="7"/>
  <c r="AC510" i="7" s="1"/>
  <c r="D91" i="7"/>
  <c r="AC91" i="7" s="1"/>
  <c r="D283" i="7"/>
  <c r="AC283" i="7" s="1"/>
  <c r="D475" i="7"/>
  <c r="AC475" i="7" s="1"/>
  <c r="D56" i="7"/>
  <c r="AC56" i="7" s="1"/>
  <c r="D248" i="7"/>
  <c r="AC248" i="7" s="1"/>
  <c r="D440" i="7"/>
  <c r="AC440" i="7" s="1"/>
  <c r="D213" i="7"/>
  <c r="AC213" i="7" s="1"/>
  <c r="D405" i="7"/>
  <c r="AC405" i="7" s="1"/>
  <c r="D166" i="7"/>
  <c r="AC166" i="7" s="1"/>
  <c r="D358" i="7"/>
  <c r="AC358" i="7" s="1"/>
  <c r="D119" i="7"/>
  <c r="AC119" i="7" s="1"/>
  <c r="D311" i="7"/>
  <c r="AC311" i="7" s="1"/>
  <c r="D503" i="7"/>
  <c r="AC503" i="7" s="1"/>
  <c r="D72" i="7"/>
  <c r="AC72" i="7" s="1"/>
  <c r="D264" i="7"/>
  <c r="AC264" i="7" s="1"/>
  <c r="D456" i="7"/>
  <c r="AC456" i="7" s="1"/>
  <c r="D25" i="7"/>
  <c r="AC25" i="7" s="1"/>
  <c r="D217" i="7"/>
  <c r="AC217" i="7" s="1"/>
  <c r="D409" i="7"/>
  <c r="AC409" i="7" s="1"/>
  <c r="D182" i="7"/>
  <c r="AC182" i="7" s="1"/>
  <c r="D374" i="7"/>
  <c r="AC374" i="7" s="1"/>
  <c r="D147" i="7"/>
  <c r="AC147" i="7" s="1"/>
  <c r="D339" i="7"/>
  <c r="AC339" i="7" s="1"/>
  <c r="D112" i="7"/>
  <c r="AC112" i="7" s="1"/>
  <c r="D304" i="7"/>
  <c r="AC304" i="7" s="1"/>
  <c r="D496" i="7"/>
  <c r="AC496" i="7" s="1"/>
  <c r="D77" i="7"/>
  <c r="AC77" i="7" s="1"/>
  <c r="D269" i="7"/>
  <c r="AC269" i="7" s="1"/>
  <c r="D461" i="7"/>
  <c r="AC461" i="7" s="1"/>
  <c r="D138" i="7"/>
  <c r="AC138" i="7" s="1"/>
  <c r="D330" i="7"/>
  <c r="AC330" i="7" s="1"/>
  <c r="D103" i="7"/>
  <c r="AC103" i="7" s="1"/>
  <c r="D295" i="7"/>
  <c r="AC295" i="7" s="1"/>
  <c r="D487" i="7"/>
  <c r="AC487" i="7" s="1"/>
  <c r="D68" i="7"/>
  <c r="AC68" i="7" s="1"/>
  <c r="D260" i="7"/>
  <c r="AC260" i="7" s="1"/>
  <c r="D452" i="7"/>
  <c r="AC452" i="7" s="1"/>
  <c r="D33" i="7"/>
  <c r="AC33" i="7" s="1"/>
  <c r="D225" i="7"/>
  <c r="AC225" i="7" s="1"/>
  <c r="D417" i="7"/>
  <c r="AC417" i="7" s="1"/>
  <c r="D178" i="7"/>
  <c r="AC178" i="7" s="1"/>
  <c r="D370" i="7"/>
  <c r="AC370" i="7" s="1"/>
  <c r="D131" i="7"/>
  <c r="AC131" i="7" s="1"/>
  <c r="D323" i="7"/>
  <c r="AC323" i="7" s="1"/>
  <c r="D515" i="7"/>
  <c r="AC515" i="7" s="1"/>
  <c r="D84" i="7"/>
  <c r="AC84" i="7" s="1"/>
  <c r="D276" i="7"/>
  <c r="AC276" i="7" s="1"/>
  <c r="D468" i="7"/>
  <c r="AC468" i="7" s="1"/>
  <c r="D37" i="7"/>
  <c r="AC37" i="7" s="1"/>
  <c r="D229" i="7"/>
  <c r="AC229" i="7" s="1"/>
  <c r="D421" i="7"/>
  <c r="AC421" i="7" s="1"/>
  <c r="D194" i="7"/>
  <c r="AC194" i="7" s="1"/>
  <c r="D386" i="7"/>
  <c r="AC386" i="7" s="1"/>
  <c r="D159" i="7"/>
  <c r="AC159" i="7" s="1"/>
  <c r="D351" i="7"/>
  <c r="AC351" i="7" s="1"/>
  <c r="D124" i="7"/>
  <c r="AC124" i="7" s="1"/>
  <c r="D316" i="7"/>
  <c r="AC316" i="7" s="1"/>
  <c r="D508" i="7"/>
  <c r="AC508" i="7" s="1"/>
  <c r="D89" i="7"/>
  <c r="AC89" i="7" s="1"/>
  <c r="D281" i="7"/>
  <c r="AC281" i="7" s="1"/>
  <c r="D473" i="7"/>
  <c r="AC473" i="7" s="1"/>
  <c r="D21" i="7"/>
  <c r="AC21" i="7" s="1"/>
  <c r="D1567" i="18"/>
  <c r="G1536" i="18"/>
  <c r="B1504" i="18"/>
  <c r="B1505" i="18" s="1"/>
  <c r="B1506" i="18" s="1"/>
  <c r="B1507" i="18" s="1"/>
  <c r="B1508" i="18" s="1"/>
  <c r="B1509" i="18" s="1"/>
  <c r="B1510" i="18" s="1"/>
  <c r="B1511" i="18" s="1"/>
  <c r="B1512" i="18" s="1"/>
  <c r="B1513" i="18" s="1"/>
  <c r="B1514" i="18" s="1"/>
  <c r="B1515" i="18" s="1"/>
  <c r="B1516" i="18" s="1"/>
  <c r="B1517" i="18" s="1"/>
  <c r="B1518" i="18" s="1"/>
  <c r="B1519" i="18" s="1"/>
  <c r="B1520" i="18" s="1"/>
  <c r="B1521" i="18" s="1"/>
  <c r="B1522" i="18" s="1"/>
  <c r="B1523" i="18" s="1"/>
  <c r="B1524" i="18" s="1"/>
  <c r="B1525" i="18" s="1"/>
  <c r="B1526" i="18" s="1"/>
  <c r="B1527" i="18" s="1"/>
  <c r="B1528" i="18" s="1"/>
  <c r="B1529" i="18" s="1"/>
  <c r="B1530" i="18" s="1"/>
  <c r="B1531" i="18" s="1"/>
  <c r="B1532" i="18" s="1"/>
  <c r="B1533" i="18" s="1"/>
  <c r="B1534" i="18" s="1"/>
  <c r="T1524" i="18"/>
  <c r="Y1524" i="18" s="1"/>
  <c r="T1523" i="18"/>
  <c r="O1509" i="18"/>
  <c r="T1525" i="18"/>
  <c r="N1509" i="18"/>
  <c r="O1507" i="18"/>
  <c r="N1507" i="18"/>
  <c r="T1527" i="18"/>
  <c r="T1522" i="18"/>
  <c r="T1520" i="18"/>
  <c r="T1521" i="18"/>
  <c r="T1533" i="18"/>
  <c r="T1531" i="18"/>
  <c r="T1532" i="18"/>
  <c r="T1529" i="18"/>
  <c r="T1530" i="18"/>
  <c r="T1519" i="18"/>
  <c r="T1528" i="18"/>
  <c r="T1526" i="18"/>
  <c r="E21" i="7"/>
  <c r="AD21" i="7" s="1"/>
  <c r="L6" i="7"/>
  <c r="O19" i="18" l="1"/>
  <c r="T21" i="7"/>
  <c r="S21" i="7"/>
  <c r="B1535" i="18"/>
  <c r="B1536" i="18" s="1"/>
  <c r="B1537" i="18" s="1"/>
  <c r="B1538" i="18" s="1"/>
  <c r="B1539" i="18" s="1"/>
  <c r="B1540" i="18" s="1"/>
  <c r="B1541" i="18" s="1"/>
  <c r="B1542" i="18" s="1"/>
  <c r="B1543" i="18" s="1"/>
  <c r="B1544" i="18" s="1"/>
  <c r="B1545" i="18" s="1"/>
  <c r="B1546" i="18" s="1"/>
  <c r="B1547" i="18" s="1"/>
  <c r="B1548" i="18" s="1"/>
  <c r="B1549" i="18" s="1"/>
  <c r="B1550" i="18" s="1"/>
  <c r="B1551" i="18" s="1"/>
  <c r="B1552" i="18" s="1"/>
  <c r="B1553" i="18" s="1"/>
  <c r="B1554" i="18" s="1"/>
  <c r="B1555" i="18" s="1"/>
  <c r="B1556" i="18" s="1"/>
  <c r="B1557" i="18" s="1"/>
  <c r="B1558" i="18" s="1"/>
  <c r="B1559" i="18" s="1"/>
  <c r="B1560" i="18" s="1"/>
  <c r="B1561" i="18" s="1"/>
  <c r="B1562" i="18" s="1"/>
  <c r="B1563" i="18" s="1"/>
  <c r="B1564" i="18" s="1"/>
  <c r="B1565" i="18" s="1"/>
  <c r="T1554" i="18"/>
  <c r="O1538" i="18"/>
  <c r="T1558" i="18"/>
  <c r="N1538" i="18"/>
  <c r="T1563" i="18"/>
  <c r="T1562" i="18"/>
  <c r="T1559" i="18"/>
  <c r="T1560" i="18"/>
  <c r="T1555" i="18"/>
  <c r="Y1555" i="18" s="1"/>
  <c r="T1550" i="18"/>
  <c r="O1540" i="18"/>
  <c r="T1557" i="18"/>
  <c r="T1551" i="18"/>
  <c r="T1564" i="18"/>
  <c r="T1556" i="18"/>
  <c r="T1553" i="18"/>
  <c r="T1552" i="18"/>
  <c r="T1561" i="18"/>
  <c r="N1540" i="18"/>
  <c r="G1567" i="18"/>
  <c r="D1598" i="18"/>
  <c r="C38" i="13"/>
  <c r="C39" i="13"/>
  <c r="F10" i="2"/>
  <c r="G10" i="2"/>
  <c r="H10" i="2"/>
  <c r="E10" i="2"/>
  <c r="O21" i="18" l="1"/>
  <c r="L13" i="7"/>
  <c r="N21" i="18"/>
  <c r="K13" i="7"/>
  <c r="B1566" i="18"/>
  <c r="B1567" i="18" s="1"/>
  <c r="B1568" i="18" s="1"/>
  <c r="B1569" i="18" s="1"/>
  <c r="B1570" i="18" s="1"/>
  <c r="B1571" i="18" s="1"/>
  <c r="B1572" i="18" s="1"/>
  <c r="B1573" i="18" s="1"/>
  <c r="B1574" i="18" s="1"/>
  <c r="B1575" i="18" s="1"/>
  <c r="B1576" i="18" s="1"/>
  <c r="B1577" i="18" s="1"/>
  <c r="B1578" i="18" s="1"/>
  <c r="B1579" i="18" s="1"/>
  <c r="B1580" i="18" s="1"/>
  <c r="B1581" i="18" s="1"/>
  <c r="B1582" i="18" s="1"/>
  <c r="B1583" i="18" s="1"/>
  <c r="B1584" i="18" s="1"/>
  <c r="B1585" i="18" s="1"/>
  <c r="B1586" i="18" s="1"/>
  <c r="B1587" i="18" s="1"/>
  <c r="B1588" i="18" s="1"/>
  <c r="B1589" i="18" s="1"/>
  <c r="B1590" i="18" s="1"/>
  <c r="B1591" i="18" s="1"/>
  <c r="B1592" i="18" s="1"/>
  <c r="B1593" i="18" s="1"/>
  <c r="B1594" i="18" s="1"/>
  <c r="B1595" i="18" s="1"/>
  <c r="B1596" i="18" s="1"/>
  <c r="T1595" i="18"/>
  <c r="T1591" i="18"/>
  <c r="T1590" i="18"/>
  <c r="T1581" i="18"/>
  <c r="T1586" i="18"/>
  <c r="Y1586" i="18" s="1"/>
  <c r="T1585" i="18"/>
  <c r="N1571" i="18"/>
  <c r="T1589" i="18"/>
  <c r="N1569" i="18"/>
  <c r="T1583" i="18"/>
  <c r="T1582" i="18"/>
  <c r="O1571" i="18"/>
  <c r="T1594" i="18"/>
  <c r="O1569" i="18"/>
  <c r="T1593" i="18"/>
  <c r="T1588" i="18"/>
  <c r="T1587" i="18"/>
  <c r="T1584" i="18"/>
  <c r="T1592" i="18"/>
  <c r="D1629" i="18"/>
  <c r="G1598" i="18"/>
  <c r="H11" i="2"/>
  <c r="F11" i="2"/>
  <c r="G11" i="2"/>
  <c r="E11" i="2"/>
  <c r="AD37" i="18"/>
  <c r="AD33" i="18"/>
  <c r="AD32" i="18"/>
  <c r="G1629" i="18" l="1"/>
  <c r="D1660" i="18"/>
  <c r="B1597" i="18"/>
  <c r="B1598" i="18" s="1"/>
  <c r="B1599" i="18" s="1"/>
  <c r="B1600" i="18" s="1"/>
  <c r="B1601" i="18" s="1"/>
  <c r="B1602" i="18" s="1"/>
  <c r="B1603" i="18" s="1"/>
  <c r="B1604" i="18" s="1"/>
  <c r="B1605" i="18" s="1"/>
  <c r="B1606" i="18" s="1"/>
  <c r="B1607" i="18" s="1"/>
  <c r="B1608" i="18" s="1"/>
  <c r="B1609" i="18" s="1"/>
  <c r="B1610" i="18" s="1"/>
  <c r="B1611" i="18" s="1"/>
  <c r="B1612" i="18" s="1"/>
  <c r="B1613" i="18" s="1"/>
  <c r="B1614" i="18" s="1"/>
  <c r="B1615" i="18" s="1"/>
  <c r="B1616" i="18" s="1"/>
  <c r="B1617" i="18" s="1"/>
  <c r="B1618" i="18" s="1"/>
  <c r="B1619" i="18" s="1"/>
  <c r="B1620" i="18" s="1"/>
  <c r="B1621" i="18" s="1"/>
  <c r="B1622" i="18" s="1"/>
  <c r="B1623" i="18" s="1"/>
  <c r="B1624" i="18" s="1"/>
  <c r="B1625" i="18" s="1"/>
  <c r="B1626" i="18" s="1"/>
  <c r="B1627" i="18" s="1"/>
  <c r="O1600" i="18"/>
  <c r="T1615" i="18"/>
  <c r="N1600" i="18"/>
  <c r="T1614" i="18"/>
  <c r="T1613" i="18"/>
  <c r="T1626" i="18"/>
  <c r="T1624" i="18"/>
  <c r="T1625" i="18"/>
  <c r="T1622" i="18"/>
  <c r="T1623" i="18"/>
  <c r="T1612" i="18"/>
  <c r="T1621" i="18"/>
  <c r="T1619" i="18"/>
  <c r="T1617" i="18"/>
  <c r="Y1617" i="18" s="1"/>
  <c r="T1618" i="18"/>
  <c r="O1602" i="18"/>
  <c r="T1616" i="18"/>
  <c r="N1602" i="18"/>
  <c r="T1620" i="18"/>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Q395" i="11"/>
  <c r="Q396" i="11"/>
  <c r="Q397" i="11"/>
  <c r="Q398" i="11"/>
  <c r="Q399" i="11"/>
  <c r="Q400" i="11"/>
  <c r="Q401" i="11"/>
  <c r="Q402" i="11"/>
  <c r="Q403" i="11"/>
  <c r="Q404" i="11"/>
  <c r="Q405" i="11"/>
  <c r="Q406" i="11"/>
  <c r="Q407" i="11"/>
  <c r="Q408" i="11"/>
  <c r="Q409" i="11"/>
  <c r="Q410" i="11"/>
  <c r="Q411" i="11"/>
  <c r="Q412" i="11"/>
  <c r="Q413" i="11"/>
  <c r="Q414" i="11"/>
  <c r="Q415" i="11"/>
  <c r="Q416" i="11"/>
  <c r="Q417" i="11"/>
  <c r="Q418" i="11"/>
  <c r="Q419" i="11"/>
  <c r="Q420" i="11"/>
  <c r="Q421" i="11"/>
  <c r="Q422" i="11"/>
  <c r="Q423" i="11"/>
  <c r="Q424" i="11"/>
  <c r="Q425" i="11"/>
  <c r="Q426" i="11"/>
  <c r="Q427" i="11"/>
  <c r="Q428" i="11"/>
  <c r="Q429" i="11"/>
  <c r="Q430" i="11"/>
  <c r="Q431" i="11"/>
  <c r="Q432" i="11"/>
  <c r="Q433" i="11"/>
  <c r="Q434" i="11"/>
  <c r="Q435" i="11"/>
  <c r="Q436" i="11"/>
  <c r="Q437" i="11"/>
  <c r="Q438" i="11"/>
  <c r="Q439" i="11"/>
  <c r="Q440" i="11"/>
  <c r="Q441" i="11"/>
  <c r="Q442" i="11"/>
  <c r="Q443" i="11"/>
  <c r="Q444" i="11"/>
  <c r="Q445" i="11"/>
  <c r="Q446" i="11"/>
  <c r="Q447" i="11"/>
  <c r="Q448" i="11"/>
  <c r="Q449" i="11"/>
  <c r="Q450" i="11"/>
  <c r="Q451" i="11"/>
  <c r="Q452" i="11"/>
  <c r="Q453" i="11"/>
  <c r="Q454" i="11"/>
  <c r="Q455" i="11"/>
  <c r="Q456" i="11"/>
  <c r="Q457" i="11"/>
  <c r="Q458" i="11"/>
  <c r="Q459" i="11"/>
  <c r="Q460" i="11"/>
  <c r="Q461" i="11"/>
  <c r="Q462" i="11"/>
  <c r="Q463" i="11"/>
  <c r="Q464" i="11"/>
  <c r="Q465" i="11"/>
  <c r="Q466" i="11"/>
  <c r="Q467" i="11"/>
  <c r="Q468" i="11"/>
  <c r="Q469" i="11"/>
  <c r="Q470" i="11"/>
  <c r="Q471" i="11"/>
  <c r="Q472" i="11"/>
  <c r="Q473" i="11"/>
  <c r="Q474" i="11"/>
  <c r="Q475" i="11"/>
  <c r="Q476" i="11"/>
  <c r="Q477" i="11"/>
  <c r="Q478" i="11"/>
  <c r="Q479" i="11"/>
  <c r="Q480" i="11"/>
  <c r="Q481" i="11"/>
  <c r="Q482" i="11"/>
  <c r="Q483" i="11"/>
  <c r="Q484" i="11"/>
  <c r="Q485" i="11"/>
  <c r="Q486" i="11"/>
  <c r="Q487" i="11"/>
  <c r="Q488" i="11"/>
  <c r="Q489" i="11"/>
  <c r="Q490" i="11"/>
  <c r="Q491" i="11"/>
  <c r="Q492" i="11"/>
  <c r="Q493" i="11"/>
  <c r="Q494" i="11"/>
  <c r="Q495" i="11"/>
  <c r="Q496" i="11"/>
  <c r="Q497" i="11"/>
  <c r="Q498" i="11"/>
  <c r="Q499" i="11"/>
  <c r="Q500" i="11"/>
  <c r="Q501" i="11"/>
  <c r="Q502" i="11"/>
  <c r="Q503" i="11"/>
  <c r="Q504" i="11"/>
  <c r="Q505" i="11"/>
  <c r="Q506" i="11"/>
  <c r="Q507" i="11"/>
  <c r="Q508" i="11"/>
  <c r="Q509" i="11"/>
  <c r="Q510" i="11"/>
  <c r="Q511" i="11"/>
  <c r="Q512" i="11"/>
  <c r="Q513" i="11"/>
  <c r="Q514" i="11"/>
  <c r="Q515" i="11"/>
  <c r="Q516" i="11"/>
  <c r="Q517" i="11"/>
  <c r="Q518" i="11"/>
  <c r="Q519" i="11"/>
  <c r="Q520" i="11"/>
  <c r="Q521" i="11"/>
  <c r="Q522" i="11"/>
  <c r="Q523" i="11"/>
  <c r="Q524" i="11"/>
  <c r="Q525" i="11"/>
  <c r="Q526" i="11"/>
  <c r="Q527" i="11"/>
  <c r="Q528" i="11"/>
  <c r="Q529" i="11"/>
  <c r="Q530" i="11"/>
  <c r="Q531" i="11"/>
  <c r="Q532" i="11"/>
  <c r="Q533" i="11"/>
  <c r="Q534" i="11"/>
  <c r="Q535" i="11"/>
  <c r="Q536" i="11"/>
  <c r="Q537" i="11"/>
  <c r="Q538" i="11"/>
  <c r="Q539" i="11"/>
  <c r="Q540" i="11"/>
  <c r="Q541"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Q679" i="11"/>
  <c r="Q680" i="11"/>
  <c r="Q681" i="11"/>
  <c r="Q682" i="11"/>
  <c r="Q683" i="11"/>
  <c r="Q684" i="11"/>
  <c r="Q685" i="11"/>
  <c r="Q686" i="11"/>
  <c r="Q687" i="11"/>
  <c r="Q688" i="11"/>
  <c r="Q689" i="11"/>
  <c r="Q690" i="11"/>
  <c r="Q691" i="11"/>
  <c r="Q692" i="11"/>
  <c r="Q693" i="11"/>
  <c r="Q694" i="11"/>
  <c r="Q695" i="11"/>
  <c r="Q696" i="11"/>
  <c r="Q697" i="11"/>
  <c r="Q698" i="11"/>
  <c r="Q699" i="11"/>
  <c r="Q700" i="11"/>
  <c r="Q701" i="11"/>
  <c r="Q702" i="11"/>
  <c r="Q703" i="11"/>
  <c r="Q704" i="11"/>
  <c r="Q705" i="11"/>
  <c r="Q706" i="11"/>
  <c r="Q707" i="11"/>
  <c r="Q708" i="11"/>
  <c r="Q709" i="11"/>
  <c r="Q710" i="11"/>
  <c r="Q711" i="11"/>
  <c r="Q712" i="11"/>
  <c r="Q713" i="11"/>
  <c r="Q714" i="11"/>
  <c r="Q715" i="11"/>
  <c r="Q716" i="11"/>
  <c r="Q717" i="11"/>
  <c r="Q718" i="11"/>
  <c r="Q719" i="11"/>
  <c r="Q720" i="11"/>
  <c r="Q721" i="11"/>
  <c r="Q722" i="11"/>
  <c r="Q723" i="11"/>
  <c r="Q724" i="11"/>
  <c r="Q725" i="11"/>
  <c r="Q726" i="11"/>
  <c r="Q727" i="11"/>
  <c r="Q728" i="11"/>
  <c r="Q729" i="11"/>
  <c r="Q730" i="11"/>
  <c r="Q731" i="11"/>
  <c r="Q732" i="11"/>
  <c r="Q733" i="11"/>
  <c r="Q734" i="11"/>
  <c r="Q735" i="11"/>
  <c r="Q736" i="11"/>
  <c r="Q737" i="11"/>
  <c r="Q738" i="11"/>
  <c r="Q739" i="11"/>
  <c r="Q740" i="11"/>
  <c r="Q741" i="11"/>
  <c r="Q742" i="11"/>
  <c r="Q743" i="11"/>
  <c r="Q744" i="11"/>
  <c r="Q745" i="11"/>
  <c r="Q746" i="11"/>
  <c r="Q747" i="11"/>
  <c r="Q748" i="11"/>
  <c r="Q749" i="11"/>
  <c r="Q750" i="11"/>
  <c r="Q751" i="11"/>
  <c r="Q752" i="11"/>
  <c r="Q753" i="11"/>
  <c r="Q754" i="11"/>
  <c r="Q755" i="11"/>
  <c r="Q756" i="11"/>
  <c r="Q757" i="11"/>
  <c r="Q758" i="11"/>
  <c r="Q759" i="11"/>
  <c r="Q760" i="11"/>
  <c r="Q761" i="11"/>
  <c r="Q762" i="11"/>
  <c r="Q763" i="11"/>
  <c r="Q764" i="11"/>
  <c r="Q765" i="11"/>
  <c r="Q766" i="11"/>
  <c r="Q767" i="11"/>
  <c r="Q768" i="11"/>
  <c r="Q769" i="11"/>
  <c r="Q770" i="11"/>
  <c r="Q771" i="11"/>
  <c r="Q772" i="11"/>
  <c r="Q773" i="11"/>
  <c r="Q774" i="11"/>
  <c r="Q775" i="11"/>
  <c r="Q776" i="11"/>
  <c r="Q777" i="11"/>
  <c r="Q778" i="11"/>
  <c r="Q779" i="11"/>
  <c r="Q780" i="11"/>
  <c r="Q781" i="11"/>
  <c r="Q782" i="11"/>
  <c r="Q783" i="11"/>
  <c r="Q784" i="11"/>
  <c r="Q785" i="11"/>
  <c r="Q786" i="11"/>
  <c r="Q787" i="11"/>
  <c r="Q788" i="11"/>
  <c r="Q789" i="11"/>
  <c r="Q790" i="11"/>
  <c r="Q791" i="11"/>
  <c r="Q792" i="11"/>
  <c r="Q793" i="11"/>
  <c r="Q794" i="11"/>
  <c r="Q795" i="11"/>
  <c r="Q796" i="11"/>
  <c r="Q797" i="11"/>
  <c r="Q798" i="11"/>
  <c r="Q799" i="11"/>
  <c r="Q800" i="11"/>
  <c r="Q801" i="11"/>
  <c r="Q802" i="11"/>
  <c r="Q803" i="11"/>
  <c r="Q804" i="11"/>
  <c r="Q805" i="11"/>
  <c r="Q806" i="11"/>
  <c r="Q807" i="11"/>
  <c r="Q808" i="11"/>
  <c r="Q809" i="11"/>
  <c r="Q810" i="11"/>
  <c r="Q811" i="11"/>
  <c r="Q812" i="11"/>
  <c r="Q813" i="11"/>
  <c r="Q814" i="11"/>
  <c r="Q815" i="11"/>
  <c r="Q816" i="11"/>
  <c r="Q817" i="11"/>
  <c r="Q818" i="11"/>
  <c r="Q819" i="11"/>
  <c r="Q820" i="11"/>
  <c r="Q821" i="11"/>
  <c r="Q822" i="11"/>
  <c r="Q823" i="11"/>
  <c r="Q824" i="11"/>
  <c r="Q825" i="11"/>
  <c r="Q826" i="11"/>
  <c r="Q827" i="11"/>
  <c r="Q828" i="11"/>
  <c r="Q829" i="11"/>
  <c r="Q830" i="11"/>
  <c r="Q831" i="11"/>
  <c r="Q832" i="11"/>
  <c r="Q833" i="11"/>
  <c r="Q834" i="11"/>
  <c r="Q835" i="11"/>
  <c r="Q836" i="11"/>
  <c r="Q837" i="11"/>
  <c r="Q838" i="11"/>
  <c r="Q839" i="11"/>
  <c r="Q840" i="11"/>
  <c r="Q841" i="11"/>
  <c r="Q842" i="11"/>
  <c r="Q843" i="11"/>
  <c r="Q844" i="11"/>
  <c r="Q845" i="11"/>
  <c r="Q846" i="11"/>
  <c r="Q847" i="11"/>
  <c r="Q848" i="11"/>
  <c r="Q849" i="11"/>
  <c r="Q850" i="11"/>
  <c r="Q851" i="11"/>
  <c r="Q852" i="11"/>
  <c r="Q853" i="11"/>
  <c r="Q854" i="11"/>
  <c r="Q855" i="11"/>
  <c r="Q856" i="11"/>
  <c r="Q857" i="11"/>
  <c r="Q858" i="11"/>
  <c r="Q859" i="11"/>
  <c r="Q860" i="11"/>
  <c r="Q861" i="11"/>
  <c r="Q862" i="11"/>
  <c r="Q863" i="11"/>
  <c r="Q864" i="11"/>
  <c r="Q865" i="11"/>
  <c r="Q866" i="11"/>
  <c r="Q867" i="11"/>
  <c r="Q868" i="11"/>
  <c r="Q869" i="11"/>
  <c r="Q870" i="11"/>
  <c r="Q871" i="11"/>
  <c r="Q872" i="11"/>
  <c r="Q873" i="11"/>
  <c r="Q874" i="11"/>
  <c r="Q875" i="11"/>
  <c r="Q876" i="11"/>
  <c r="Q877" i="11"/>
  <c r="Q878" i="11"/>
  <c r="Q879" i="11"/>
  <c r="Q880" i="11"/>
  <c r="Q881" i="11"/>
  <c r="Q882" i="11"/>
  <c r="Q883" i="11"/>
  <c r="Q884" i="11"/>
  <c r="Q885" i="11"/>
  <c r="Q886" i="11"/>
  <c r="Q887" i="11"/>
  <c r="Q888" i="11"/>
  <c r="Q889" i="11"/>
  <c r="Q890" i="11"/>
  <c r="Q891" i="11"/>
  <c r="Q892" i="11"/>
  <c r="Q893" i="11"/>
  <c r="Q894" i="11"/>
  <c r="Q895" i="11"/>
  <c r="Q896" i="11"/>
  <c r="Q897" i="11"/>
  <c r="Q898" i="11"/>
  <c r="Q899" i="11"/>
  <c r="Q900" i="11"/>
  <c r="Q901" i="11"/>
  <c r="Q902" i="11"/>
  <c r="Q903" i="11"/>
  <c r="Q904" i="11"/>
  <c r="Q905" i="11"/>
  <c r="Q906" i="11"/>
  <c r="Q907" i="11"/>
  <c r="Q908" i="11"/>
  <c r="Q909" i="11"/>
  <c r="Q910" i="11"/>
  <c r="Q911" i="11"/>
  <c r="Q912" i="11"/>
  <c r="Q913" i="11"/>
  <c r="Q914" i="11"/>
  <c r="Q915" i="11"/>
  <c r="Q916" i="11"/>
  <c r="Q917" i="11"/>
  <c r="Q918" i="11"/>
  <c r="Q919" i="11"/>
  <c r="Q920" i="11"/>
  <c r="Q921" i="11"/>
  <c r="Q922" i="11"/>
  <c r="Q923" i="11"/>
  <c r="Q924" i="11"/>
  <c r="Q925" i="11"/>
  <c r="Q926" i="11"/>
  <c r="Q927" i="11"/>
  <c r="Q928" i="11"/>
  <c r="Q929" i="11"/>
  <c r="Q930" i="11"/>
  <c r="Q931" i="11"/>
  <c r="Q932" i="11"/>
  <c r="Q933" i="11"/>
  <c r="Q934" i="11"/>
  <c r="Q935" i="11"/>
  <c r="Q936" i="11"/>
  <c r="Q937" i="11"/>
  <c r="Q938" i="11"/>
  <c r="Q939" i="11"/>
  <c r="Q940" i="11"/>
  <c r="Q941" i="11"/>
  <c r="Q942" i="11"/>
  <c r="Q943" i="11"/>
  <c r="Q944" i="11"/>
  <c r="Q945" i="11"/>
  <c r="Q946" i="11"/>
  <c r="Q947" i="11"/>
  <c r="Q948" i="11"/>
  <c r="Q949" i="11"/>
  <c r="Q950" i="11"/>
  <c r="Q951" i="11"/>
  <c r="Q952" i="11"/>
  <c r="Q953" i="11"/>
  <c r="Q954" i="11"/>
  <c r="Q955" i="11"/>
  <c r="Q956" i="11"/>
  <c r="Q957" i="11"/>
  <c r="Q958" i="11"/>
  <c r="Q959" i="11"/>
  <c r="Q960" i="11"/>
  <c r="Q961" i="11"/>
  <c r="Q962" i="11"/>
  <c r="Q963" i="11"/>
  <c r="Q964" i="11"/>
  <c r="Q965" i="11"/>
  <c r="Q966" i="11"/>
  <c r="Q967" i="11"/>
  <c r="Q968" i="11"/>
  <c r="Q969" i="11"/>
  <c r="Q970" i="11"/>
  <c r="Q971" i="11"/>
  <c r="Q972" i="11"/>
  <c r="Q973" i="11"/>
  <c r="Q974" i="11"/>
  <c r="Q975" i="11"/>
  <c r="Q976" i="11"/>
  <c r="Q977" i="11"/>
  <c r="Q978" i="11"/>
  <c r="Q979" i="11"/>
  <c r="Q980" i="11"/>
  <c r="Q981" i="11"/>
  <c r="Q982" i="11"/>
  <c r="Q983" i="11"/>
  <c r="Q984" i="11"/>
  <c r="Q985" i="11"/>
  <c r="Q986" i="11"/>
  <c r="Q987" i="11"/>
  <c r="Q988" i="11"/>
  <c r="Q989" i="11"/>
  <c r="Q990" i="11"/>
  <c r="Q991" i="11"/>
  <c r="Q992" i="11"/>
  <c r="Q993" i="11"/>
  <c r="Q994" i="11"/>
  <c r="Q995" i="11"/>
  <c r="Q996" i="11"/>
  <c r="Q997" i="11"/>
  <c r="Q998" i="11"/>
  <c r="Q999" i="11"/>
  <c r="Q1000" i="11"/>
  <c r="Q1001" i="11"/>
  <c r="Q1002" i="11"/>
  <c r="Q1003" i="11"/>
  <c r="Q1004" i="11"/>
  <c r="Q1005" i="11"/>
  <c r="Q1006" i="11"/>
  <c r="Q1007" i="11"/>
  <c r="Q1008" i="11"/>
  <c r="Q1009" i="11"/>
  <c r="Q1010" i="11"/>
  <c r="Q1011" i="11"/>
  <c r="Q1012" i="11"/>
  <c r="Q1013" i="11"/>
  <c r="Q1014" i="11"/>
  <c r="Q1015" i="11"/>
  <c r="Q1016" i="11"/>
  <c r="Q1017" i="11"/>
  <c r="Q1018" i="11"/>
  <c r="Q1019" i="11"/>
  <c r="Q1020" i="11"/>
  <c r="Q1021" i="11"/>
  <c r="Q1022" i="11"/>
  <c r="Q1023" i="11"/>
  <c r="Q1024" i="11"/>
  <c r="Q1025" i="11"/>
  <c r="Q1026" i="11"/>
  <c r="Q1027" i="11"/>
  <c r="Q1028" i="11"/>
  <c r="Q1029" i="11"/>
  <c r="Q1030" i="11"/>
  <c r="Q1031" i="11"/>
  <c r="Q1032" i="11"/>
  <c r="Q1033" i="11"/>
  <c r="Q1034" i="11"/>
  <c r="Q1035" i="11"/>
  <c r="Q1036" i="11"/>
  <c r="Q1037" i="11"/>
  <c r="Q1038" i="11"/>
  <c r="Q1039" i="11"/>
  <c r="Q1040" i="11"/>
  <c r="Q1041" i="11"/>
  <c r="Q1042" i="11"/>
  <c r="Q1043" i="11"/>
  <c r="Q1044" i="11"/>
  <c r="Q1045" i="11"/>
  <c r="Q1046" i="11"/>
  <c r="Q1047" i="11"/>
  <c r="Q1048" i="11"/>
  <c r="Q1049" i="11"/>
  <c r="Q1050" i="11"/>
  <c r="Q1051" i="11"/>
  <c r="Q1052" i="11"/>
  <c r="Q1053" i="11"/>
  <c r="Q1054" i="11"/>
  <c r="Q1055" i="11"/>
  <c r="Q1056" i="11"/>
  <c r="Q1057" i="11"/>
  <c r="Q1058" i="11"/>
  <c r="Q1059" i="11"/>
  <c r="Q1060" i="11"/>
  <c r="Q1061" i="11"/>
  <c r="Q1062" i="11"/>
  <c r="Q1063" i="11"/>
  <c r="Q1064" i="11"/>
  <c r="Q1065" i="11"/>
  <c r="Q1066" i="11"/>
  <c r="Q1067" i="11"/>
  <c r="Q1068" i="11"/>
  <c r="Q1069" i="11"/>
  <c r="Q1070" i="11"/>
  <c r="Q1071" i="11"/>
  <c r="Q1072" i="11"/>
  <c r="Q1073" i="11"/>
  <c r="Q1074" i="11"/>
  <c r="Q1075" i="11"/>
  <c r="Q1076" i="11"/>
  <c r="Q1077" i="11"/>
  <c r="Q1078" i="11"/>
  <c r="Q1079" i="11"/>
  <c r="Q1080" i="11"/>
  <c r="Q1081" i="11"/>
  <c r="Q1082" i="11"/>
  <c r="Q1083" i="11"/>
  <c r="Q1084" i="11"/>
  <c r="Q1085" i="11"/>
  <c r="Q1086" i="11"/>
  <c r="Q1087" i="11"/>
  <c r="Q1088" i="11"/>
  <c r="Q1089" i="11"/>
  <c r="Q1090" i="11"/>
  <c r="Q1091" i="11"/>
  <c r="Q1092" i="11"/>
  <c r="Q1093" i="11"/>
  <c r="Q1094" i="11"/>
  <c r="Q1095" i="11"/>
  <c r="Q1096" i="11"/>
  <c r="Q1097" i="11"/>
  <c r="Q1098" i="11"/>
  <c r="Q1099" i="11"/>
  <c r="Q1100" i="11"/>
  <c r="Q1101" i="11"/>
  <c r="Q1102" i="11"/>
  <c r="Q1103" i="11"/>
  <c r="Q1104" i="11"/>
  <c r="Q1105" i="11"/>
  <c r="Q1106" i="11"/>
  <c r="Q1107" i="11"/>
  <c r="Q1108" i="11"/>
  <c r="Q1109" i="11"/>
  <c r="Q1110" i="11"/>
  <c r="Q1111" i="11"/>
  <c r="Q1112" i="11"/>
  <c r="Q1113" i="11"/>
  <c r="Q1114" i="11"/>
  <c r="Q1115" i="11"/>
  <c r="Q1116" i="11"/>
  <c r="Q1117" i="11"/>
  <c r="Q1118" i="11"/>
  <c r="Q1119" i="11"/>
  <c r="Q1120" i="11"/>
  <c r="Q1121" i="11"/>
  <c r="Q1122" i="11"/>
  <c r="Q1123" i="11"/>
  <c r="Q1124" i="11"/>
  <c r="Q1125" i="11"/>
  <c r="Q1126" i="11"/>
  <c r="Q1127" i="11"/>
  <c r="Q1128" i="11"/>
  <c r="Q1129" i="11"/>
  <c r="Q1130" i="11"/>
  <c r="Q1131" i="11"/>
  <c r="Q1132" i="11"/>
  <c r="Q1133" i="11"/>
  <c r="Q1134" i="11"/>
  <c r="Q1135" i="11"/>
  <c r="Q1136" i="11"/>
  <c r="Q1137" i="11"/>
  <c r="Q1138" i="11"/>
  <c r="Q1139" i="11"/>
  <c r="Q1140" i="11"/>
  <c r="Q1141" i="11"/>
  <c r="Q1142" i="11"/>
  <c r="Q1143" i="11"/>
  <c r="Q1144" i="11"/>
  <c r="Q1145" i="11"/>
  <c r="Q1146" i="11"/>
  <c r="Q1147" i="11"/>
  <c r="Q1148" i="11"/>
  <c r="Q1149" i="11"/>
  <c r="Q1150" i="11"/>
  <c r="Q1151" i="11"/>
  <c r="Q1152" i="11"/>
  <c r="Q1153" i="11"/>
  <c r="Q1154" i="11"/>
  <c r="Q1155" i="11"/>
  <c r="Q1156" i="11"/>
  <c r="Q1157" i="11"/>
  <c r="Q1158" i="11"/>
  <c r="Q1159" i="11"/>
  <c r="Q1160" i="11"/>
  <c r="Q1161" i="11"/>
  <c r="Q1162" i="11"/>
  <c r="Q1163" i="11"/>
  <c r="Q1164" i="11"/>
  <c r="Q1165" i="11"/>
  <c r="Q1166" i="11"/>
  <c r="Q1167" i="11"/>
  <c r="Q1168" i="11"/>
  <c r="Q1169" i="11"/>
  <c r="Q1170" i="11"/>
  <c r="Q1171" i="11"/>
  <c r="Q1172" i="11"/>
  <c r="Q1173" i="11"/>
  <c r="Q1174" i="11"/>
  <c r="Q1175" i="11"/>
  <c r="Q1176" i="11"/>
  <c r="Q1177" i="11"/>
  <c r="Q1178" i="11"/>
  <c r="Q1179" i="11"/>
  <c r="Q1180" i="11"/>
  <c r="Q1181" i="11"/>
  <c r="Q1182" i="11"/>
  <c r="Q1183" i="11"/>
  <c r="Q1184" i="11"/>
  <c r="Q1185" i="11"/>
  <c r="Q1186" i="11"/>
  <c r="Q1187" i="11"/>
  <c r="Q1188" i="11"/>
  <c r="Q1189" i="11"/>
  <c r="Q1190" i="11"/>
  <c r="Q1191" i="11"/>
  <c r="Q1192" i="11"/>
  <c r="Q1193" i="11"/>
  <c r="Q1194" i="11"/>
  <c r="Q1195" i="11"/>
  <c r="Q1196" i="11"/>
  <c r="Q1197" i="11"/>
  <c r="Q1198" i="11"/>
  <c r="Q1199" i="11"/>
  <c r="Q1200" i="11"/>
  <c r="Q1201" i="11"/>
  <c r="Q1202" i="11"/>
  <c r="Q1203" i="11"/>
  <c r="Q1204" i="11"/>
  <c r="Q1205" i="11"/>
  <c r="Q1206" i="11"/>
  <c r="Q1207" i="11"/>
  <c r="Q1208" i="11"/>
  <c r="Q1209" i="11"/>
  <c r="Q1210" i="11"/>
  <c r="Q1211" i="11"/>
  <c r="Q1212" i="11"/>
  <c r="Q1213" i="11"/>
  <c r="Q1214" i="11"/>
  <c r="Q1215" i="11"/>
  <c r="Q1216" i="11"/>
  <c r="Q1217" i="11"/>
  <c r="Q1218" i="11"/>
  <c r="Q1219" i="11"/>
  <c r="Q1220" i="11"/>
  <c r="Q1221" i="11"/>
  <c r="Q1222" i="11"/>
  <c r="Q1223" i="11"/>
  <c r="Q1224" i="11"/>
  <c r="Q1225" i="11"/>
  <c r="Q1226" i="11"/>
  <c r="Q1227" i="11"/>
  <c r="Q1228" i="11"/>
  <c r="Q1229" i="11"/>
  <c r="Q1230" i="11"/>
  <c r="Q1231" i="11"/>
  <c r="Q1232" i="11"/>
  <c r="Q1233" i="11"/>
  <c r="Q1234" i="11"/>
  <c r="Q1235" i="11"/>
  <c r="Q1236" i="11"/>
  <c r="Q1237" i="11"/>
  <c r="Q1238" i="11"/>
  <c r="Q1239" i="11"/>
  <c r="Q1240" i="11"/>
  <c r="Q1241" i="11"/>
  <c r="Q1242" i="11"/>
  <c r="Q1243" i="11"/>
  <c r="Q1244" i="11"/>
  <c r="Q1245" i="11"/>
  <c r="Q1246" i="11"/>
  <c r="Q1247" i="11"/>
  <c r="Q1248" i="11"/>
  <c r="Q1249" i="11"/>
  <c r="Q1250" i="11"/>
  <c r="Q1251" i="11"/>
  <c r="Q1252" i="11"/>
  <c r="Q1253" i="11"/>
  <c r="Q1254" i="11"/>
  <c r="Q1255" i="11"/>
  <c r="Q1256" i="11"/>
  <c r="Q1257" i="11"/>
  <c r="Q1258" i="11"/>
  <c r="Q1259" i="11"/>
  <c r="Q1260" i="11"/>
  <c r="Q1261" i="11"/>
  <c r="Q1262" i="11"/>
  <c r="Q1263" i="11"/>
  <c r="Q1264" i="11"/>
  <c r="Q1265" i="11"/>
  <c r="Q1266" i="11"/>
  <c r="Q1267" i="11"/>
  <c r="Q1268" i="11"/>
  <c r="Q1269" i="11"/>
  <c r="Q1270" i="11"/>
  <c r="Q1271" i="11"/>
  <c r="Q1272" i="11"/>
  <c r="Q1273" i="11"/>
  <c r="Q1274" i="11"/>
  <c r="Q1275" i="11"/>
  <c r="Q1276" i="11"/>
  <c r="Q1277" i="11"/>
  <c r="Q1278" i="11"/>
  <c r="Q1279" i="11"/>
  <c r="Q1280" i="11"/>
  <c r="Q1281" i="11"/>
  <c r="Q1282" i="11"/>
  <c r="Q1283" i="11"/>
  <c r="Q1284" i="11"/>
  <c r="Q1285" i="11"/>
  <c r="Q1286" i="11"/>
  <c r="Q1287" i="11"/>
  <c r="Q1288" i="11"/>
  <c r="Q1289" i="11"/>
  <c r="Q1290" i="11"/>
  <c r="Q1291" i="11"/>
  <c r="Q1292" i="11"/>
  <c r="Q1293" i="11"/>
  <c r="Q1294" i="11"/>
  <c r="Q1295" i="11"/>
  <c r="Q1296" i="11"/>
  <c r="Q1297" i="11"/>
  <c r="Q1298" i="11"/>
  <c r="Q1299" i="11"/>
  <c r="Q1300" i="11"/>
  <c r="Q1301" i="11"/>
  <c r="Q1302" i="11"/>
  <c r="Q1303" i="11"/>
  <c r="Q1304" i="11"/>
  <c r="Q1305" i="11"/>
  <c r="Q1306" i="11"/>
  <c r="Q1307" i="11"/>
  <c r="Q1308" i="11"/>
  <c r="Q1309" i="11"/>
  <c r="Q1310" i="11"/>
  <c r="Q1311" i="11"/>
  <c r="Q1312" i="11"/>
  <c r="Q1313" i="11"/>
  <c r="Q1314" i="11"/>
  <c r="Q1315" i="11"/>
  <c r="Q1316" i="11"/>
  <c r="Q1317" i="11"/>
  <c r="Q1318" i="11"/>
  <c r="Q1319" i="11"/>
  <c r="Q1320" i="11"/>
  <c r="Q1321" i="11"/>
  <c r="Q1322" i="11"/>
  <c r="Q1323" i="11"/>
  <c r="Q1324" i="11"/>
  <c r="Q1325" i="11"/>
  <c r="Q1326" i="11"/>
  <c r="Q1327" i="11"/>
  <c r="Q1328" i="11"/>
  <c r="Q1329" i="11"/>
  <c r="Q1330" i="11"/>
  <c r="Q1331" i="11"/>
  <c r="Q1332" i="11"/>
  <c r="Q1333" i="11"/>
  <c r="Q1334" i="11"/>
  <c r="Q1335" i="11"/>
  <c r="Q1336" i="11"/>
  <c r="Q1337" i="11"/>
  <c r="Q1338" i="11"/>
  <c r="Q1339" i="11"/>
  <c r="Q1340" i="11"/>
  <c r="Q1341" i="11"/>
  <c r="Q1342" i="11"/>
  <c r="Q1343" i="11"/>
  <c r="Q1344" i="11"/>
  <c r="Q1345" i="11"/>
  <c r="Q1346" i="11"/>
  <c r="Q1347" i="11"/>
  <c r="Q1348" i="11"/>
  <c r="Q1349" i="11"/>
  <c r="Q1350" i="11"/>
  <c r="Q1351" i="11"/>
  <c r="Q1352" i="11"/>
  <c r="Q1353" i="11"/>
  <c r="Q1354" i="11"/>
  <c r="Q1355" i="11"/>
  <c r="Q1356" i="11"/>
  <c r="Q1357" i="11"/>
  <c r="Q1358" i="11"/>
  <c r="Q1359" i="11"/>
  <c r="Q1360" i="11"/>
  <c r="Q1361" i="11"/>
  <c r="Q1362" i="11"/>
  <c r="Q1363" i="11"/>
  <c r="Q1364" i="11"/>
  <c r="Q1365" i="11"/>
  <c r="Q1366" i="11"/>
  <c r="Q1367" i="11"/>
  <c r="Q1368" i="11"/>
  <c r="Q1369" i="11"/>
  <c r="Q1370" i="11"/>
  <c r="Q1371" i="11"/>
  <c r="Q1372" i="11"/>
  <c r="Q1373" i="11"/>
  <c r="Q1374" i="11"/>
  <c r="Q1375" i="11"/>
  <c r="Q1376" i="11"/>
  <c r="Q1377" i="11"/>
  <c r="Q1378" i="11"/>
  <c r="Q1379" i="11"/>
  <c r="Q1380" i="11"/>
  <c r="Q1381" i="11"/>
  <c r="Q1382" i="11"/>
  <c r="Q1383" i="11"/>
  <c r="Q1384" i="11"/>
  <c r="Q1385" i="11"/>
  <c r="Q1386" i="11"/>
  <c r="Q1387" i="11"/>
  <c r="Q1388" i="11"/>
  <c r="Q1389" i="11"/>
  <c r="Q1390" i="11"/>
  <c r="Q1391" i="11"/>
  <c r="Q1392" i="11"/>
  <c r="Q1393" i="11"/>
  <c r="Q1394" i="11"/>
  <c r="Q1395" i="11"/>
  <c r="Q1396" i="11"/>
  <c r="Q1397" i="11"/>
  <c r="Q1398" i="11"/>
  <c r="Q1399" i="11"/>
  <c r="Q1400" i="11"/>
  <c r="Q1401" i="11"/>
  <c r="Q1402" i="11"/>
  <c r="Q1403" i="11"/>
  <c r="Q1404" i="11"/>
  <c r="Q1405" i="11"/>
  <c r="Q1406" i="11"/>
  <c r="Q1407" i="11"/>
  <c r="Q1408" i="11"/>
  <c r="Q1409" i="11"/>
  <c r="Q1410" i="11"/>
  <c r="Q1411" i="11"/>
  <c r="Q1412" i="11"/>
  <c r="Q1413" i="11"/>
  <c r="Q1414" i="11"/>
  <c r="Q1415" i="11"/>
  <c r="Q1416" i="11"/>
  <c r="Q1417" i="11"/>
  <c r="Q1418" i="11"/>
  <c r="Q1419" i="11"/>
  <c r="Q1420" i="11"/>
  <c r="Q1421" i="11"/>
  <c r="Q1422" i="11"/>
  <c r="Q1423" i="11"/>
  <c r="Q1424" i="11"/>
  <c r="Q1425" i="11"/>
  <c r="Q1426" i="11"/>
  <c r="Q1427" i="11"/>
  <c r="Q1428" i="11"/>
  <c r="Q1429" i="11"/>
  <c r="Q1430" i="11"/>
  <c r="Q1431" i="11"/>
  <c r="Q1432" i="11"/>
  <c r="Q1433" i="11"/>
  <c r="Q1434" i="11"/>
  <c r="Q1435" i="11"/>
  <c r="Q1436" i="11"/>
  <c r="Q1437" i="11"/>
  <c r="Q1438" i="11"/>
  <c r="Q1439" i="11"/>
  <c r="Q1440" i="11"/>
  <c r="Q1441" i="11"/>
  <c r="Q1442" i="11"/>
  <c r="Q1443" i="11"/>
  <c r="Q1444" i="11"/>
  <c r="Q1445" i="11"/>
  <c r="Q1446" i="11"/>
  <c r="Q1447" i="11"/>
  <c r="Q1448" i="11"/>
  <c r="Q1449" i="11"/>
  <c r="Q1450" i="11"/>
  <c r="Q1451" i="11"/>
  <c r="Q1452" i="11"/>
  <c r="Q1453" i="11"/>
  <c r="Q1454" i="11"/>
  <c r="Q1455" i="11"/>
  <c r="Q1456" i="11"/>
  <c r="Q1457" i="11"/>
  <c r="Q1458" i="11"/>
  <c r="Q1459" i="11"/>
  <c r="Q1460" i="11"/>
  <c r="Q1461" i="11"/>
  <c r="Q1462" i="11"/>
  <c r="Q1463" i="11"/>
  <c r="Q1464" i="11"/>
  <c r="Q1465" i="11"/>
  <c r="Q1466" i="11"/>
  <c r="Q1467" i="11"/>
  <c r="Q1468" i="11"/>
  <c r="Q1469" i="11"/>
  <c r="Q1470" i="11"/>
  <c r="Q1471" i="11"/>
  <c r="Q1472" i="11"/>
  <c r="Q1473" i="11"/>
  <c r="Q1474" i="11"/>
  <c r="Q1475" i="11"/>
  <c r="Q1476" i="11"/>
  <c r="Q1477" i="11"/>
  <c r="Q1478" i="11"/>
  <c r="Q1479" i="11"/>
  <c r="Q1480" i="11"/>
  <c r="Q1481" i="11"/>
  <c r="Q1482" i="11"/>
  <c r="Q1483" i="11"/>
  <c r="Q1484" i="11"/>
  <c r="Q1485" i="11"/>
  <c r="Q1486" i="11"/>
  <c r="Q1487" i="11"/>
  <c r="Q1488" i="11"/>
  <c r="Q1489" i="11"/>
  <c r="Q1490" i="11"/>
  <c r="Q1491" i="11"/>
  <c r="Q1492" i="11"/>
  <c r="Q1493" i="11"/>
  <c r="Q1494" i="11"/>
  <c r="Q1495" i="11"/>
  <c r="Q1496" i="11"/>
  <c r="Q1497" i="11"/>
  <c r="Q1498" i="11"/>
  <c r="Q1499" i="11"/>
  <c r="Q1500" i="11"/>
  <c r="Q1501" i="11"/>
  <c r="Q1502" i="11"/>
  <c r="Q1503" i="11"/>
  <c r="Q1504" i="11"/>
  <c r="Q1505" i="11"/>
  <c r="Q1506" i="11"/>
  <c r="Q1507" i="11"/>
  <c r="Q1508" i="11"/>
  <c r="Q1509" i="11"/>
  <c r="Q1510" i="11"/>
  <c r="Q1511" i="11"/>
  <c r="Q1512" i="11"/>
  <c r="Q1513" i="11"/>
  <c r="Q1514" i="11"/>
  <c r="Q1515" i="11"/>
  <c r="Q1516" i="11"/>
  <c r="Q1517" i="11"/>
  <c r="Q1518" i="11"/>
  <c r="Q1519" i="11"/>
  <c r="Q1520" i="11"/>
  <c r="Q1521" i="11"/>
  <c r="Q1522" i="11"/>
  <c r="Q1523" i="11"/>
  <c r="Q1524" i="11"/>
  <c r="Q1525" i="11"/>
  <c r="Q1526" i="11"/>
  <c r="Q1527" i="11"/>
  <c r="Q1528" i="11"/>
  <c r="Q1529" i="11"/>
  <c r="Q1530" i="11"/>
  <c r="Q1531" i="11"/>
  <c r="Q1532" i="11"/>
  <c r="Q1533" i="11"/>
  <c r="Q1534" i="11"/>
  <c r="Q1535" i="11"/>
  <c r="Q1536" i="11"/>
  <c r="Q1537" i="11"/>
  <c r="Q1538" i="11"/>
  <c r="Q1539" i="11"/>
  <c r="Q1540" i="11"/>
  <c r="Q1541" i="11"/>
  <c r="Q1542" i="11"/>
  <c r="Q1543" i="11"/>
  <c r="Q1544" i="11"/>
  <c r="Q1545" i="11"/>
  <c r="Q1546" i="11"/>
  <c r="Q1547" i="11"/>
  <c r="Q1548" i="11"/>
  <c r="Q1549" i="11"/>
  <c r="Q1550" i="11"/>
  <c r="Q1551" i="11"/>
  <c r="Q1552" i="11"/>
  <c r="Q1553" i="11"/>
  <c r="Q1554" i="11"/>
  <c r="Q1555" i="11"/>
  <c r="Q1556" i="11"/>
  <c r="Q1557" i="11"/>
  <c r="Q1558" i="11"/>
  <c r="Q1559" i="11"/>
  <c r="Q1560" i="11"/>
  <c r="Q1561" i="11"/>
  <c r="Q1562" i="11"/>
  <c r="Q1563" i="11"/>
  <c r="Q1564" i="11"/>
  <c r="Q1565" i="11"/>
  <c r="Q1566" i="11"/>
  <c r="Q1567" i="11"/>
  <c r="Q1568" i="11"/>
  <c r="Q1569" i="11"/>
  <c r="Q1570" i="11"/>
  <c r="Q1571" i="11"/>
  <c r="Q1572" i="11"/>
  <c r="Q1573" i="11"/>
  <c r="Q1574" i="11"/>
  <c r="Q1575" i="11"/>
  <c r="Q1576" i="11"/>
  <c r="Q1577" i="11"/>
  <c r="Q1578" i="11"/>
  <c r="Q1579" i="11"/>
  <c r="Q1580" i="11"/>
  <c r="Q1581" i="11"/>
  <c r="Q1582" i="11"/>
  <c r="Q1583" i="11"/>
  <c r="Q1584" i="11"/>
  <c r="Q1585" i="11"/>
  <c r="Q1586" i="11"/>
  <c r="Q1587" i="11"/>
  <c r="Q1588" i="11"/>
  <c r="Q1589" i="11"/>
  <c r="Q1590" i="11"/>
  <c r="Q1591" i="11"/>
  <c r="Q1592" i="11"/>
  <c r="Q1593" i="11"/>
  <c r="Q1594" i="11"/>
  <c r="Q1595" i="11"/>
  <c r="Q1596" i="11"/>
  <c r="Q1597" i="11"/>
  <c r="Q1598" i="11"/>
  <c r="Q1599" i="11"/>
  <c r="Q1600" i="11"/>
  <c r="Q1601" i="11"/>
  <c r="Q1602" i="11"/>
  <c r="Q1603" i="11"/>
  <c r="Q1604" i="11"/>
  <c r="Q1605" i="11"/>
  <c r="Q1606" i="11"/>
  <c r="Q1607" i="11"/>
  <c r="Q1608" i="11"/>
  <c r="Q1609" i="11"/>
  <c r="Q1610" i="11"/>
  <c r="Q1611" i="11"/>
  <c r="Q1612" i="11"/>
  <c r="Q1613" i="11"/>
  <c r="Q1614" i="11"/>
  <c r="Q1615" i="11"/>
  <c r="Q1616" i="11"/>
  <c r="Q1617" i="11"/>
  <c r="Q1618" i="11"/>
  <c r="Q1619" i="11"/>
  <c r="Q1620" i="11"/>
  <c r="Q1621" i="11"/>
  <c r="Q1622" i="11"/>
  <c r="Q1623" i="11"/>
  <c r="Q1624" i="11"/>
  <c r="Q1625" i="11"/>
  <c r="Q1626" i="11"/>
  <c r="Q1627" i="11"/>
  <c r="Q1628" i="11"/>
  <c r="Q1629" i="11"/>
  <c r="Q1630" i="11"/>
  <c r="Q1631" i="11"/>
  <c r="Q1632" i="11"/>
  <c r="Q1633" i="11"/>
  <c r="Q1634" i="11"/>
  <c r="Q1635" i="11"/>
  <c r="Q1636" i="11"/>
  <c r="Q1637" i="11"/>
  <c r="Q1638" i="11"/>
  <c r="Q1639" i="11"/>
  <c r="Q1640" i="11"/>
  <c r="Q1641" i="11"/>
  <c r="Q1642" i="11"/>
  <c r="Q1643" i="11"/>
  <c r="Q1644" i="11"/>
  <c r="Q1645" i="11"/>
  <c r="Q1646" i="11"/>
  <c r="Q1647" i="11"/>
  <c r="Q1648" i="11"/>
  <c r="Q1649" i="11"/>
  <c r="Q1650" i="11"/>
  <c r="Q1651" i="11"/>
  <c r="Q1652" i="11"/>
  <c r="Q1653" i="11"/>
  <c r="Q1654" i="11"/>
  <c r="Q1655" i="11"/>
  <c r="Q1656" i="11"/>
  <c r="Q1657" i="11"/>
  <c r="Q1658" i="11"/>
  <c r="Q1659" i="11"/>
  <c r="Q1660" i="11"/>
  <c r="Q1661" i="11"/>
  <c r="Q1662" i="11"/>
  <c r="Q1663" i="11"/>
  <c r="Q1664" i="11"/>
  <c r="Q1665" i="11"/>
  <c r="Q1666" i="11"/>
  <c r="Q1667" i="11"/>
  <c r="Q1668" i="11"/>
  <c r="Q1669" i="11"/>
  <c r="Q1670" i="11"/>
  <c r="Q1671" i="11"/>
  <c r="Q1672" i="11"/>
  <c r="Q1673" i="11"/>
  <c r="Q1674" i="11"/>
  <c r="Q1675" i="11"/>
  <c r="Q1676" i="11"/>
  <c r="Q1677" i="11"/>
  <c r="Q1678" i="11"/>
  <c r="Q1679" i="11"/>
  <c r="Q1680" i="11"/>
  <c r="Q1681" i="11"/>
  <c r="Q1682" i="11"/>
  <c r="Q1683" i="11"/>
  <c r="Q1684" i="11"/>
  <c r="Q1685" i="11"/>
  <c r="Q1686" i="11"/>
  <c r="Q1687" i="11"/>
  <c r="Q1688" i="11"/>
  <c r="Q1689" i="11"/>
  <c r="Q1690" i="11"/>
  <c r="Q1691" i="11"/>
  <c r="Q1692" i="11"/>
  <c r="Q1693" i="11"/>
  <c r="Q1694" i="11"/>
  <c r="Q1695" i="11"/>
  <c r="Q1696" i="11"/>
  <c r="Q1697" i="11"/>
  <c r="Q1698" i="11"/>
  <c r="Q1699" i="11"/>
  <c r="Q1700" i="11"/>
  <c r="Q1701" i="11"/>
  <c r="Q1702" i="11"/>
  <c r="Q1703" i="11"/>
  <c r="Q1704" i="11"/>
  <c r="Q1705" i="11"/>
  <c r="Q1706" i="11"/>
  <c r="Q1707" i="11"/>
  <c r="Q1708" i="11"/>
  <c r="Q1709" i="11"/>
  <c r="Q1710" i="11"/>
  <c r="Q1711" i="11"/>
  <c r="Q1712" i="11"/>
  <c r="Q1713" i="11"/>
  <c r="Q1714" i="11"/>
  <c r="Q1715" i="11"/>
  <c r="Q1716" i="11"/>
  <c r="Q1717" i="11"/>
  <c r="Q1718" i="11"/>
  <c r="Q1719" i="11"/>
  <c r="Q1720" i="11"/>
  <c r="Q1721" i="11"/>
  <c r="Q1722" i="11"/>
  <c r="Q1723" i="11"/>
  <c r="Q1724" i="11"/>
  <c r="Q1725" i="11"/>
  <c r="Q1726" i="11"/>
  <c r="Q1727" i="11"/>
  <c r="Q1728" i="11"/>
  <c r="Q1729" i="11"/>
  <c r="Q1730" i="11"/>
  <c r="Q1731" i="11"/>
  <c r="Q1732" i="11"/>
  <c r="Q1733" i="11"/>
  <c r="Q1734" i="11"/>
  <c r="Q1735" i="11"/>
  <c r="Q1736" i="11"/>
  <c r="Q1737" i="11"/>
  <c r="Q1738" i="11"/>
  <c r="Q1739" i="11"/>
  <c r="Q1740" i="11"/>
  <c r="Q1741" i="11"/>
  <c r="Q1742" i="11"/>
  <c r="Q1743" i="11"/>
  <c r="Q1744" i="11"/>
  <c r="Q1745" i="11"/>
  <c r="Q1746" i="11"/>
  <c r="Q1747" i="11"/>
  <c r="Q1748" i="11"/>
  <c r="Q1749" i="11"/>
  <c r="Q1750" i="11"/>
  <c r="Q1751" i="11"/>
  <c r="Q1752" i="11"/>
  <c r="Q1753" i="11"/>
  <c r="Q1754" i="11"/>
  <c r="Q1755" i="11"/>
  <c r="Q1756" i="11"/>
  <c r="Q1757" i="11"/>
  <c r="Q1758" i="11"/>
  <c r="Q1759" i="11"/>
  <c r="Q1760" i="11"/>
  <c r="Q1761" i="11"/>
  <c r="Q1762" i="11"/>
  <c r="Q1763" i="11"/>
  <c r="Q1764" i="11"/>
  <c r="Q1765" i="11"/>
  <c r="Q1766" i="11"/>
  <c r="Q1767" i="11"/>
  <c r="Q1768" i="11"/>
  <c r="Q1769" i="11"/>
  <c r="Q1770" i="11"/>
  <c r="Q1771" i="11"/>
  <c r="Q1772" i="11"/>
  <c r="Q1773" i="11"/>
  <c r="Q1774" i="11"/>
  <c r="Q1775" i="11"/>
  <c r="Q1776" i="11"/>
  <c r="Q1777" i="11"/>
  <c r="Q1778" i="11"/>
  <c r="Q1779" i="11"/>
  <c r="Q1780" i="11"/>
  <c r="Q1781" i="11"/>
  <c r="Q1782" i="11"/>
  <c r="Q1783" i="11"/>
  <c r="Q1784" i="11"/>
  <c r="Q1785" i="11"/>
  <c r="Q1786" i="11"/>
  <c r="Q1787" i="11"/>
  <c r="Q1788" i="11"/>
  <c r="Q1789" i="11"/>
  <c r="Q1790" i="11"/>
  <c r="Q1791" i="11"/>
  <c r="Q1792" i="11"/>
  <c r="Q1793" i="11"/>
  <c r="Q1794" i="11"/>
  <c r="Q1795" i="11"/>
  <c r="Q1796" i="11"/>
  <c r="Q1797" i="11"/>
  <c r="Q1798" i="11"/>
  <c r="Q1799" i="11"/>
  <c r="Q1800" i="11"/>
  <c r="Q1801" i="11"/>
  <c r="Q1802" i="11"/>
  <c r="Q1803" i="11"/>
  <c r="Q1804" i="11"/>
  <c r="Q1805" i="11"/>
  <c r="Q1806" i="11"/>
  <c r="Q1807" i="11"/>
  <c r="Q1808" i="11"/>
  <c r="Q1809" i="11"/>
  <c r="Q1810" i="11"/>
  <c r="Q1811" i="11"/>
  <c r="Q1812" i="11"/>
  <c r="Q1813" i="11"/>
  <c r="Q1814" i="11"/>
  <c r="Q1815" i="11"/>
  <c r="Q1816" i="11"/>
  <c r="Q1817" i="11"/>
  <c r="Q1818" i="11"/>
  <c r="Q1819" i="11"/>
  <c r="Q1820" i="11"/>
  <c r="Q1821" i="11"/>
  <c r="Q1822" i="11"/>
  <c r="Q1823" i="11"/>
  <c r="Q1824" i="11"/>
  <c r="Q1825" i="11"/>
  <c r="Q1826" i="11"/>
  <c r="Q1827" i="11"/>
  <c r="Q1828" i="11"/>
  <c r="Q1829" i="11"/>
  <c r="Q1830" i="11"/>
  <c r="Q1831" i="11"/>
  <c r="Q1832" i="11"/>
  <c r="Q1833" i="11"/>
  <c r="Q1834" i="11"/>
  <c r="Q1835" i="11"/>
  <c r="Q1836" i="11"/>
  <c r="Q1837" i="11"/>
  <c r="Q1838" i="11"/>
  <c r="Q1839" i="11"/>
  <c r="Q1840" i="11"/>
  <c r="Q1841" i="11"/>
  <c r="Q1842" i="11"/>
  <c r="Q1843" i="11"/>
  <c r="Q1844" i="11"/>
  <c r="Q1845" i="11"/>
  <c r="Q1846" i="11"/>
  <c r="Q1847" i="11"/>
  <c r="Q1848" i="11"/>
  <c r="Q1849" i="11"/>
  <c r="Q1850" i="11"/>
  <c r="Q1851" i="11"/>
  <c r="Q1852" i="11"/>
  <c r="Q1853" i="11"/>
  <c r="Q1854" i="11"/>
  <c r="Q1855" i="11"/>
  <c r="Q1856" i="11"/>
  <c r="Q1857" i="11"/>
  <c r="Q1858" i="11"/>
  <c r="Q1859" i="11"/>
  <c r="Q1860" i="11"/>
  <c r="Q1861" i="11"/>
  <c r="Q1862" i="11"/>
  <c r="Q1863" i="11"/>
  <c r="Q1864" i="11"/>
  <c r="Q1865" i="11"/>
  <c r="Q1866" i="11"/>
  <c r="Q1867" i="11"/>
  <c r="Q1868" i="11"/>
  <c r="Q1869" i="11"/>
  <c r="Q1870" i="11"/>
  <c r="Q1871" i="11"/>
  <c r="Q1872" i="11"/>
  <c r="Q1873" i="11"/>
  <c r="Q1874" i="11"/>
  <c r="Q1875" i="11"/>
  <c r="Q1876" i="11"/>
  <c r="Q1877" i="11"/>
  <c r="Q1878" i="11"/>
  <c r="Q1879" i="11"/>
  <c r="Q1880" i="11"/>
  <c r="Q1881" i="11"/>
  <c r="Q1882" i="11"/>
  <c r="Q1883" i="11"/>
  <c r="Q1884" i="11"/>
  <c r="Q1885" i="11"/>
  <c r="Q1886" i="11"/>
  <c r="Q1887" i="11"/>
  <c r="Q1888" i="11"/>
  <c r="Q1889" i="11"/>
  <c r="Q1890" i="11"/>
  <c r="Q1891" i="11"/>
  <c r="Q1892" i="11"/>
  <c r="Q1893" i="11"/>
  <c r="Q1894" i="11"/>
  <c r="Q1895" i="11"/>
  <c r="Q1896" i="11"/>
  <c r="Q1897" i="11"/>
  <c r="Q1898" i="11"/>
  <c r="Q1899" i="11"/>
  <c r="Q1900" i="11"/>
  <c r="Q1901" i="11"/>
  <c r="Q1902" i="11"/>
  <c r="Q1903" i="11"/>
  <c r="Q1904" i="11"/>
  <c r="Q1905" i="11"/>
  <c r="Q1906" i="11"/>
  <c r="Q1907" i="11"/>
  <c r="Q1908" i="11"/>
  <c r="Q1909" i="11"/>
  <c r="Q1910" i="11"/>
  <c r="Q1911" i="11"/>
  <c r="Q1912" i="11"/>
  <c r="Q1913" i="11"/>
  <c r="Q1914" i="11"/>
  <c r="Q1915" i="11"/>
  <c r="Q1916" i="11"/>
  <c r="Q1917" i="11"/>
  <c r="Q1918" i="11"/>
  <c r="Q1919" i="11"/>
  <c r="Q1920" i="11"/>
  <c r="Q1921" i="11"/>
  <c r="Q1922" i="11"/>
  <c r="Q1923" i="11"/>
  <c r="Q1924" i="11"/>
  <c r="Q1925" i="11"/>
  <c r="Q1926" i="11"/>
  <c r="Q1927" i="11"/>
  <c r="Q1928" i="11"/>
  <c r="Q1929" i="11"/>
  <c r="Q1930" i="11"/>
  <c r="Q1931" i="11"/>
  <c r="Q1932" i="11"/>
  <c r="Q1933" i="11"/>
  <c r="Q1934" i="11"/>
  <c r="Q1935" i="11"/>
  <c r="Q1936" i="11"/>
  <c r="Q1937" i="11"/>
  <c r="Q1938" i="11"/>
  <c r="Q1939" i="11"/>
  <c r="Q1940" i="11"/>
  <c r="Q1941" i="11"/>
  <c r="Q1942" i="11"/>
  <c r="Q1943" i="11"/>
  <c r="Q1944" i="11"/>
  <c r="Q1945" i="11"/>
  <c r="Q1946" i="11"/>
  <c r="Q1947" i="11"/>
  <c r="Q1948" i="11"/>
  <c r="Q1949" i="11"/>
  <c r="Q1950" i="11"/>
  <c r="Q1951" i="11"/>
  <c r="Q1952" i="11"/>
  <c r="Q1953" i="11"/>
  <c r="Q1954" i="11"/>
  <c r="Q1955" i="11"/>
  <c r="Q1956" i="11"/>
  <c r="Q1957" i="11"/>
  <c r="Q1958" i="11"/>
  <c r="Q1959" i="11"/>
  <c r="Q1960" i="11"/>
  <c r="Q1961" i="11"/>
  <c r="Q1962" i="11"/>
  <c r="Q1963" i="11"/>
  <c r="Q1964" i="11"/>
  <c r="Q1965" i="11"/>
  <c r="Q1966" i="11"/>
  <c r="Q1967" i="11"/>
  <c r="Q1968" i="11"/>
  <c r="Q1969" i="11"/>
  <c r="Q1970" i="11"/>
  <c r="Q1971" i="11"/>
  <c r="Q1972" i="11"/>
  <c r="Q1973" i="11"/>
  <c r="Q1974" i="11"/>
  <c r="Q1975" i="11"/>
  <c r="Q1976" i="11"/>
  <c r="Q1977" i="11"/>
  <c r="Q1978" i="11"/>
  <c r="Q1979" i="11"/>
  <c r="Q1980" i="11"/>
  <c r="Q1981" i="11"/>
  <c r="Q1982" i="11"/>
  <c r="Q1983" i="11"/>
  <c r="Q1984" i="11"/>
  <c r="Q1985" i="11"/>
  <c r="Q1986" i="11"/>
  <c r="Q1987" i="11"/>
  <c r="Q1988" i="11"/>
  <c r="Q1989" i="11"/>
  <c r="Q1990" i="11"/>
  <c r="Q1991" i="11"/>
  <c r="Q1992" i="11"/>
  <c r="Q1993" i="11"/>
  <c r="Q1994" i="11"/>
  <c r="Q1995" i="11"/>
  <c r="Q1996" i="11"/>
  <c r="Q1997" i="11"/>
  <c r="Q1998" i="11"/>
  <c r="Q1999" i="11"/>
  <c r="Q2000" i="11"/>
  <c r="Q2001" i="11"/>
  <c r="Q2002" i="11"/>
  <c r="Q2003" i="11"/>
  <c r="Q2004" i="11"/>
  <c r="Q2005" i="11"/>
  <c r="Q2006" i="11"/>
  <c r="Q2007" i="11"/>
  <c r="Q2008" i="11"/>
  <c r="Q2009" i="11"/>
  <c r="Q2010" i="11"/>
  <c r="Q2011" i="11"/>
  <c r="Q2012" i="11"/>
  <c r="Q2013" i="11"/>
  <c r="Q2014" i="11"/>
  <c r="Q2015" i="11"/>
  <c r="Q2016" i="11"/>
  <c r="Q2017" i="11"/>
  <c r="Q2018" i="11"/>
  <c r="Q2019" i="11"/>
  <c r="Q2020" i="11"/>
  <c r="Q2021" i="11"/>
  <c r="Q2022" i="11"/>
  <c r="Q2023" i="11"/>
  <c r="Q2024" i="11"/>
  <c r="Q2025" i="11"/>
  <c r="Q2026" i="11"/>
  <c r="Q2027" i="11"/>
  <c r="Q2028" i="11"/>
  <c r="Q2029" i="11"/>
  <c r="Q2030" i="11"/>
  <c r="Q2031" i="11"/>
  <c r="Q2032" i="11"/>
  <c r="Q2033" i="11"/>
  <c r="Q2034" i="11"/>
  <c r="Q2035" i="11"/>
  <c r="Q2036" i="11"/>
  <c r="Q2037" i="11"/>
  <c r="Q2038" i="11"/>
  <c r="Q2039" i="11"/>
  <c r="Q2040" i="11"/>
  <c r="Q2041" i="11"/>
  <c r="Q2042" i="11"/>
  <c r="Q2043" i="11"/>
  <c r="Q2044" i="11"/>
  <c r="Q2045" i="11"/>
  <c r="Q2046" i="11"/>
  <c r="Q2047" i="11"/>
  <c r="Q2048" i="11"/>
  <c r="Q2049" i="11"/>
  <c r="Q2050" i="11"/>
  <c r="Q2051" i="11"/>
  <c r="Q2052" i="11"/>
  <c r="Q2053" i="11"/>
  <c r="Q2054" i="11"/>
  <c r="Q2055" i="11"/>
  <c r="Q2056" i="11"/>
  <c r="Q2057" i="11"/>
  <c r="Q2058" i="11"/>
  <c r="Q2059" i="11"/>
  <c r="Q2060" i="11"/>
  <c r="Q2061" i="11"/>
  <c r="Q2062" i="11"/>
  <c r="Q2063" i="11"/>
  <c r="Q2064" i="11"/>
  <c r="Q2065" i="11"/>
  <c r="Q2066" i="11"/>
  <c r="Q2067" i="11"/>
  <c r="Q2068" i="11"/>
  <c r="Q2069" i="11"/>
  <c r="Q2070" i="11"/>
  <c r="Q2071" i="11"/>
  <c r="Q2072" i="11"/>
  <c r="Q2073" i="11"/>
  <c r="Q2074" i="11"/>
  <c r="Q2075" i="11"/>
  <c r="Q2076" i="11"/>
  <c r="Q2077" i="11"/>
  <c r="Q2078" i="11"/>
  <c r="Q2079" i="11"/>
  <c r="Q2080" i="11"/>
  <c r="Q2081" i="11"/>
  <c r="Q2082" i="11"/>
  <c r="Q2083" i="11"/>
  <c r="Q2084" i="11"/>
  <c r="Q2085" i="11"/>
  <c r="Q2086" i="11"/>
  <c r="Q2087" i="11"/>
  <c r="Q2088" i="11"/>
  <c r="Q2089" i="11"/>
  <c r="Q2090" i="11"/>
  <c r="Q2091" i="11"/>
  <c r="Q2092" i="11"/>
  <c r="Q2093" i="11"/>
  <c r="Q2094" i="11"/>
  <c r="Q2095" i="11"/>
  <c r="Q2096" i="11"/>
  <c r="Q2097" i="11"/>
  <c r="Q2098" i="11"/>
  <c r="Q2099" i="11"/>
  <c r="Q2100" i="11"/>
  <c r="Q2101" i="11"/>
  <c r="Q2102" i="11"/>
  <c r="Q2103" i="11"/>
  <c r="Q2104" i="11"/>
  <c r="Q2105" i="11"/>
  <c r="Q2106" i="11"/>
  <c r="Q2107" i="11"/>
  <c r="Q2108" i="11"/>
  <c r="Q2109" i="11"/>
  <c r="Q2110" i="11"/>
  <c r="Q2111" i="11"/>
  <c r="Q2112" i="11"/>
  <c r="Q2113" i="11"/>
  <c r="Q2114" i="11"/>
  <c r="Q2115" i="11"/>
  <c r="Q2116" i="11"/>
  <c r="Q2117" i="11"/>
  <c r="Q2118" i="11"/>
  <c r="Q2119" i="11"/>
  <c r="Q2120" i="11"/>
  <c r="Q2121" i="11"/>
  <c r="Q2122" i="11"/>
  <c r="Q2123" i="11"/>
  <c r="Q2124" i="11"/>
  <c r="Q2125" i="11"/>
  <c r="Q2126" i="11"/>
  <c r="Q2127" i="11"/>
  <c r="Q2128" i="11"/>
  <c r="Q2129" i="11"/>
  <c r="Q2130" i="11"/>
  <c r="Q2131" i="11"/>
  <c r="Q2132" i="11"/>
  <c r="Q2133" i="11"/>
  <c r="Q2134" i="11"/>
  <c r="Q2135" i="11"/>
  <c r="Q2136" i="11"/>
  <c r="Q2137" i="11"/>
  <c r="Q2138" i="11"/>
  <c r="Q2139" i="11"/>
  <c r="Q2140" i="11"/>
  <c r="Q2141" i="11"/>
  <c r="Q2142" i="11"/>
  <c r="Q2143" i="11"/>
  <c r="Q2144" i="11"/>
  <c r="Q2145" i="11"/>
  <c r="Q2146" i="11"/>
  <c r="Q2147" i="11"/>
  <c r="Q2148" i="11"/>
  <c r="Q2149" i="11"/>
  <c r="Q2150" i="11"/>
  <c r="Q2151" i="11"/>
  <c r="Q2152" i="11"/>
  <c r="Q2153" i="11"/>
  <c r="Q2154" i="11"/>
  <c r="Q2155" i="11"/>
  <c r="Q2156" i="11"/>
  <c r="Q2157" i="11"/>
  <c r="Q2158" i="11"/>
  <c r="Q2159" i="11"/>
  <c r="Q2160" i="11"/>
  <c r="Q2161" i="11"/>
  <c r="Q2162" i="11"/>
  <c r="Q2163" i="11"/>
  <c r="Q2164" i="11"/>
  <c r="Q2165" i="11"/>
  <c r="Q2166" i="11"/>
  <c r="Q2167" i="11"/>
  <c r="Q2168" i="11"/>
  <c r="Q2169" i="11"/>
  <c r="Q2170" i="11"/>
  <c r="Q2171" i="11"/>
  <c r="Q2172" i="11"/>
  <c r="Q2173" i="11"/>
  <c r="Q2174" i="11"/>
  <c r="Q2175" i="11"/>
  <c r="Q2176" i="11"/>
  <c r="Q2177" i="11"/>
  <c r="Q2178" i="11"/>
  <c r="Q2179" i="11"/>
  <c r="Q2180" i="11"/>
  <c r="Q2181" i="11"/>
  <c r="Q2182" i="11"/>
  <c r="Q2183" i="11"/>
  <c r="Q2184" i="11"/>
  <c r="Q2185" i="11"/>
  <c r="Q2186" i="11"/>
  <c r="Q2187" i="11"/>
  <c r="Q2188" i="11"/>
  <c r="Q2189" i="11"/>
  <c r="Q2190" i="11"/>
  <c r="Q2191" i="11"/>
  <c r="Q2192" i="11"/>
  <c r="Q2193" i="11"/>
  <c r="Q2194" i="11"/>
  <c r="Q2195" i="11"/>
  <c r="Q2196" i="11"/>
  <c r="Q2197" i="11"/>
  <c r="Q2198" i="11"/>
  <c r="Q2199" i="11"/>
  <c r="Q2200" i="11"/>
  <c r="Q2201" i="11"/>
  <c r="Q2202" i="11"/>
  <c r="Q2203" i="11"/>
  <c r="Q2204" i="11"/>
  <c r="Q2205" i="11"/>
  <c r="Q2206" i="11"/>
  <c r="Q2207" i="11"/>
  <c r="Q2208" i="11"/>
  <c r="Q2209" i="11"/>
  <c r="Q2210" i="11"/>
  <c r="Q2211" i="11"/>
  <c r="Q2212" i="11"/>
  <c r="Q2213" i="11"/>
  <c r="Q2214" i="11"/>
  <c r="Q2215" i="11"/>
  <c r="Q2216" i="11"/>
  <c r="Q2217" i="11"/>
  <c r="Q2218" i="11"/>
  <c r="Q2219" i="11"/>
  <c r="Q2220" i="11"/>
  <c r="Q2221" i="11"/>
  <c r="Q2222" i="11"/>
  <c r="Q2223" i="11"/>
  <c r="Q2224" i="11"/>
  <c r="Q2225" i="11"/>
  <c r="Q2226" i="11"/>
  <c r="Q2227" i="11"/>
  <c r="Q2228" i="11"/>
  <c r="Q2229" i="11"/>
  <c r="Q2230" i="11"/>
  <c r="Q2231" i="11"/>
  <c r="Q2232" i="11"/>
  <c r="Q2233" i="11"/>
  <c r="Q2234" i="11"/>
  <c r="Q2235" i="11"/>
  <c r="Q2236" i="11"/>
  <c r="Q2237" i="11"/>
  <c r="Q2238" i="11"/>
  <c r="Q2239" i="11"/>
  <c r="Q2240" i="11"/>
  <c r="Q2241" i="11"/>
  <c r="Q2242" i="11"/>
  <c r="Q2243" i="11"/>
  <c r="Q2244" i="11"/>
  <c r="Q2245" i="11"/>
  <c r="Q2246" i="11"/>
  <c r="Q2247" i="11"/>
  <c r="Q2248" i="11"/>
  <c r="Q2249" i="11"/>
  <c r="Q2250" i="11"/>
  <c r="Q2251" i="11"/>
  <c r="Q2252" i="11"/>
  <c r="Q2253" i="11"/>
  <c r="Q2254" i="11"/>
  <c r="Q2255" i="11"/>
  <c r="Q2256" i="11"/>
  <c r="Q2257" i="11"/>
  <c r="Q2258" i="11"/>
  <c r="Q2259" i="11"/>
  <c r="Q2260" i="11"/>
  <c r="Q2261" i="11"/>
  <c r="Q2262" i="11"/>
  <c r="Q2263" i="11"/>
  <c r="Q2264" i="11"/>
  <c r="Q2265" i="11"/>
  <c r="Q2266" i="11"/>
  <c r="Q2267" i="11"/>
  <c r="Q2268" i="11"/>
  <c r="Q2269" i="11"/>
  <c r="Q2270" i="11"/>
  <c r="Q2271" i="11"/>
  <c r="Q2272" i="11"/>
  <c r="Q2273" i="11"/>
  <c r="Q2274" i="11"/>
  <c r="Q2275" i="11"/>
  <c r="Q2276" i="11"/>
  <c r="Q2277" i="11"/>
  <c r="Q2278" i="11"/>
  <c r="Q2279" i="11"/>
  <c r="Q2280" i="11"/>
  <c r="Q2281" i="11"/>
  <c r="Q2282" i="11"/>
  <c r="Q2283" i="11"/>
  <c r="Q2284" i="11"/>
  <c r="Q2285" i="11"/>
  <c r="Q2286" i="11"/>
  <c r="Q2287" i="11"/>
  <c r="Q2288" i="11"/>
  <c r="Q2289" i="11"/>
  <c r="Q2290" i="11"/>
  <c r="Q2291" i="11"/>
  <c r="Q2292" i="11"/>
  <c r="Q2293" i="11"/>
  <c r="Q2294" i="11"/>
  <c r="Q2295" i="11"/>
  <c r="Q2296" i="11"/>
  <c r="Q2297" i="11"/>
  <c r="Q2298" i="11"/>
  <c r="Q2299" i="11"/>
  <c r="Q2300" i="11"/>
  <c r="Q2301" i="11"/>
  <c r="Q2302" i="11"/>
  <c r="Q2303" i="11"/>
  <c r="Q2304" i="11"/>
  <c r="Q2305" i="11"/>
  <c r="Q2306" i="11"/>
  <c r="Q2307" i="11"/>
  <c r="Q2308" i="11"/>
  <c r="Q2309" i="11"/>
  <c r="Q2310" i="11"/>
  <c r="Q2311" i="11"/>
  <c r="Q2312" i="11"/>
  <c r="Q2313" i="11"/>
  <c r="Q2314" i="11"/>
  <c r="Q2315" i="11"/>
  <c r="Q2316" i="11"/>
  <c r="Q2317" i="11"/>
  <c r="Q2318" i="11"/>
  <c r="Q2319" i="11"/>
  <c r="Q2320" i="11"/>
  <c r="Q2321" i="11"/>
  <c r="Q2322" i="11"/>
  <c r="Q2323" i="11"/>
  <c r="Q2324" i="11"/>
  <c r="Q2325" i="11"/>
  <c r="Q2326" i="11"/>
  <c r="Q2327" i="11"/>
  <c r="Q2328" i="11"/>
  <c r="Q2329" i="11"/>
  <c r="Q2330" i="11"/>
  <c r="Q2331" i="11"/>
  <c r="Q2332" i="11"/>
  <c r="Q2333" i="11"/>
  <c r="Q2334" i="11"/>
  <c r="Q2335" i="11"/>
  <c r="Q2336" i="11"/>
  <c r="Q2337" i="11"/>
  <c r="Q2338" i="11"/>
  <c r="Q2339" i="11"/>
  <c r="Q2340" i="11"/>
  <c r="Q2341" i="11"/>
  <c r="Q2342" i="11"/>
  <c r="Q2343" i="11"/>
  <c r="Q2344" i="11"/>
  <c r="Q2345" i="11"/>
  <c r="Q2346" i="11"/>
  <c r="Q2347" i="11"/>
  <c r="Q2348" i="11"/>
  <c r="Q2349" i="11"/>
  <c r="Q2350" i="11"/>
  <c r="Q2351" i="11"/>
  <c r="Q2352" i="11"/>
  <c r="Q2353" i="11"/>
  <c r="Q2354" i="11"/>
  <c r="Q2355" i="11"/>
  <c r="Q2356" i="11"/>
  <c r="Q2357" i="11"/>
  <c r="Q2358" i="11"/>
  <c r="Q2359" i="11"/>
  <c r="Q2360" i="11"/>
  <c r="Q2361" i="11"/>
  <c r="Q2362" i="11"/>
  <c r="Q2363" i="11"/>
  <c r="Q2364" i="11"/>
  <c r="Q2365" i="11"/>
  <c r="Q2366" i="11"/>
  <c r="Q2367" i="11"/>
  <c r="Q2368" i="11"/>
  <c r="Q2369" i="11"/>
  <c r="Q2370" i="11"/>
  <c r="Q2371" i="11"/>
  <c r="Q2372" i="11"/>
  <c r="Q2373" i="11"/>
  <c r="Q2374" i="11"/>
  <c r="Q2375" i="11"/>
  <c r="Q2376" i="11"/>
  <c r="Q2377" i="11"/>
  <c r="Q2378" i="11"/>
  <c r="Q2379" i="11"/>
  <c r="Q2380" i="11"/>
  <c r="Q2381" i="11"/>
  <c r="Q2382" i="11"/>
  <c r="Q2383" i="11"/>
  <c r="Q2384" i="11"/>
  <c r="Q2385" i="11"/>
  <c r="Q2386" i="11"/>
  <c r="Q2387" i="11"/>
  <c r="Q2388" i="11"/>
  <c r="Q2389" i="11"/>
  <c r="Q2390" i="11"/>
  <c r="Q2391" i="11"/>
  <c r="Q2392" i="11"/>
  <c r="Q2393" i="11"/>
  <c r="Q2394" i="11"/>
  <c r="Q2395" i="11"/>
  <c r="Q2396" i="11"/>
  <c r="Q2397" i="11"/>
  <c r="Q2398" i="11"/>
  <c r="Q2399" i="11"/>
  <c r="Q2400" i="11"/>
  <c r="Q2401" i="11"/>
  <c r="Q2402" i="11"/>
  <c r="Q2403" i="11"/>
  <c r="Q2404" i="11"/>
  <c r="Q2405" i="11"/>
  <c r="Q2406" i="11"/>
  <c r="Q2407" i="11"/>
  <c r="Q2408" i="11"/>
  <c r="Q2409" i="11"/>
  <c r="Q2410" i="11"/>
  <c r="Q2411" i="11"/>
  <c r="Q2412" i="11"/>
  <c r="Q2413" i="11"/>
  <c r="Q2414" i="11"/>
  <c r="Q2415" i="11"/>
  <c r="Q2416" i="11"/>
  <c r="Q2417" i="11"/>
  <c r="Q2418" i="11"/>
  <c r="Q2419" i="11"/>
  <c r="Q2420" i="11"/>
  <c r="Q2421" i="11"/>
  <c r="Q2422" i="11"/>
  <c r="Q2423" i="11"/>
  <c r="Q2424" i="11"/>
  <c r="Q2425" i="11"/>
  <c r="Q2426" i="11"/>
  <c r="Q2427" i="11"/>
  <c r="Q2428" i="11"/>
  <c r="Q2429" i="11"/>
  <c r="Q2430" i="11"/>
  <c r="Q2431" i="11"/>
  <c r="Q2432" i="11"/>
  <c r="Q2433" i="11"/>
  <c r="Q2434" i="11"/>
  <c r="Q2435" i="11"/>
  <c r="Q2436" i="11"/>
  <c r="Q2437" i="11"/>
  <c r="Q2438" i="11"/>
  <c r="Q2439" i="11"/>
  <c r="Q2440" i="11"/>
  <c r="Q2441" i="11"/>
  <c r="Q2442" i="11"/>
  <c r="Q2443" i="11"/>
  <c r="Q2444" i="11"/>
  <c r="Q2445" i="11"/>
  <c r="Q2446" i="11"/>
  <c r="Q2447" i="11"/>
  <c r="Q2448" i="11"/>
  <c r="Q2449" i="11"/>
  <c r="Q2450" i="11"/>
  <c r="Q2451" i="11"/>
  <c r="Q2452" i="11"/>
  <c r="Q2453" i="11"/>
  <c r="Q2454" i="11"/>
  <c r="Q2455" i="11"/>
  <c r="Q2456" i="11"/>
  <c r="Q2457" i="11"/>
  <c r="Q2458" i="11"/>
  <c r="Q2459" i="11"/>
  <c r="Q2460" i="11"/>
  <c r="Q2461" i="11"/>
  <c r="Q2462" i="11"/>
  <c r="Q2463" i="11"/>
  <c r="Q2464" i="11"/>
  <c r="Q2465" i="11"/>
  <c r="Q2466" i="11"/>
  <c r="Q2467" i="11"/>
  <c r="Q2468" i="11"/>
  <c r="Q2469" i="11"/>
  <c r="Q2470" i="11"/>
  <c r="Q2471" i="11"/>
  <c r="Q2472" i="11"/>
  <c r="Q2473" i="11"/>
  <c r="Q2474" i="11"/>
  <c r="Q2475" i="11"/>
  <c r="Q2476" i="11"/>
  <c r="Q2477" i="11"/>
  <c r="Q2478" i="11"/>
  <c r="Q2479" i="11"/>
  <c r="Q2480" i="11"/>
  <c r="Q2481" i="11"/>
  <c r="Q2482" i="11"/>
  <c r="Q2483" i="11"/>
  <c r="Q2484" i="11"/>
  <c r="Q2485" i="11"/>
  <c r="Q2486" i="11"/>
  <c r="Q2487" i="11"/>
  <c r="Q2488" i="11"/>
  <c r="Q2489" i="11"/>
  <c r="Q2490" i="11"/>
  <c r="Q2491" i="11"/>
  <c r="Q2492" i="11"/>
  <c r="Q2493" i="11"/>
  <c r="Q2494" i="11"/>
  <c r="Q2495" i="11"/>
  <c r="Q2496" i="11"/>
  <c r="Q2497" i="11"/>
  <c r="Q2498" i="11"/>
  <c r="Q2499" i="11"/>
  <c r="Q2500" i="11"/>
  <c r="Q2501" i="11"/>
  <c r="Q2502" i="11"/>
  <c r="Q2503" i="11"/>
  <c r="Q2504" i="11"/>
  <c r="Q2505" i="11"/>
  <c r="Q2506" i="11"/>
  <c r="Q2507" i="11"/>
  <c r="Q2508" i="11"/>
  <c r="Q2509" i="11"/>
  <c r="Q2510" i="11"/>
  <c r="Q2511" i="11"/>
  <c r="Q2512" i="11"/>
  <c r="Q2513" i="11"/>
  <c r="Q2514" i="11"/>
  <c r="Q2515" i="11"/>
  <c r="Q2516" i="11"/>
  <c r="Q2517" i="11"/>
  <c r="Q2518" i="11"/>
  <c r="Q2519" i="11"/>
  <c r="Q2520" i="11"/>
  <c r="Q2521" i="11"/>
  <c r="Q2522" i="11"/>
  <c r="Q2523" i="11"/>
  <c r="Q2524" i="11"/>
  <c r="Q2525" i="11"/>
  <c r="Q2526" i="11"/>
  <c r="Q2527" i="11"/>
  <c r="Q2528" i="11"/>
  <c r="Q2529" i="11"/>
  <c r="Q2530" i="11"/>
  <c r="Q2531" i="11"/>
  <c r="Q2532" i="11"/>
  <c r="Q2533" i="11"/>
  <c r="Q2534" i="11"/>
  <c r="Q2535" i="11"/>
  <c r="Q2536" i="11"/>
  <c r="Q2537" i="11"/>
  <c r="Q2538" i="11"/>
  <c r="Q2539" i="11"/>
  <c r="Q2540" i="11"/>
  <c r="Q2541" i="11"/>
  <c r="Q2542" i="11"/>
  <c r="Q2543" i="11"/>
  <c r="Q2544" i="11"/>
  <c r="Q2545" i="11"/>
  <c r="Q2546" i="11"/>
  <c r="Q2547" i="11"/>
  <c r="Q2548" i="11"/>
  <c r="Q2549" i="11"/>
  <c r="Q2550" i="11"/>
  <c r="Q2551" i="11"/>
  <c r="Q2552" i="11"/>
  <c r="Q2553" i="11"/>
  <c r="Q2554" i="11"/>
  <c r="Q2555" i="11"/>
  <c r="Q2556" i="11"/>
  <c r="Q2557" i="11"/>
  <c r="Q2558" i="11"/>
  <c r="Q2559" i="11"/>
  <c r="Q2560" i="11"/>
  <c r="Q2561" i="11"/>
  <c r="Q2562" i="11"/>
  <c r="Q2563" i="11"/>
  <c r="Q2564" i="11"/>
  <c r="Q2565" i="11"/>
  <c r="Q2566" i="11"/>
  <c r="Q2567" i="11"/>
  <c r="Q2568" i="11"/>
  <c r="Q2569" i="11"/>
  <c r="Q2570" i="11"/>
  <c r="Q2571" i="11"/>
  <c r="Q2572" i="11"/>
  <c r="Q2573" i="11"/>
  <c r="Q2574" i="11"/>
  <c r="Q2575" i="11"/>
  <c r="Q2576" i="11"/>
  <c r="Q2577" i="11"/>
  <c r="Q2578" i="11"/>
  <c r="Q2579" i="11"/>
  <c r="Q2580" i="11"/>
  <c r="Q2581" i="11"/>
  <c r="Q2582" i="11"/>
  <c r="Q2583" i="11"/>
  <c r="Q2584" i="11"/>
  <c r="Q2585" i="11"/>
  <c r="Q2586" i="11"/>
  <c r="Q2587" i="11"/>
  <c r="Q2588" i="11"/>
  <c r="Q2589" i="11"/>
  <c r="Q2590" i="11"/>
  <c r="Q2591" i="11"/>
  <c r="Q2592" i="11"/>
  <c r="Q2593" i="11"/>
  <c r="Q2594" i="11"/>
  <c r="Q2595" i="11"/>
  <c r="Q2596" i="11"/>
  <c r="Q2597" i="11"/>
  <c r="Q2598" i="11"/>
  <c r="Q2599" i="11"/>
  <c r="Q2600" i="11"/>
  <c r="Q2601" i="11"/>
  <c r="Q2602" i="11"/>
  <c r="Q2603" i="11"/>
  <c r="Q2604" i="11"/>
  <c r="Q2605" i="11"/>
  <c r="Q2606" i="11"/>
  <c r="Q2607" i="11"/>
  <c r="Q2608" i="11"/>
  <c r="Q2609" i="11"/>
  <c r="Q2610" i="11"/>
  <c r="Q2611" i="11"/>
  <c r="Q2612" i="11"/>
  <c r="Q2613" i="11"/>
  <c r="Q2614" i="11"/>
  <c r="Q2615" i="11"/>
  <c r="Q2616" i="11"/>
  <c r="Q2617" i="11"/>
  <c r="Q2618" i="11"/>
  <c r="Q2619" i="11"/>
  <c r="Q2620" i="11"/>
  <c r="Q2621" i="11"/>
  <c r="Q2622" i="11"/>
  <c r="Q2623" i="11"/>
  <c r="Q2624" i="11"/>
  <c r="Q2625" i="11"/>
  <c r="Q2626" i="11"/>
  <c r="Q2627" i="11"/>
  <c r="Q2628" i="11"/>
  <c r="Q2629" i="11"/>
  <c r="Q2630" i="11"/>
  <c r="Q2631" i="11"/>
  <c r="Q2632" i="11"/>
  <c r="Q2633" i="11"/>
  <c r="Q2634" i="11"/>
  <c r="Q2635" i="11"/>
  <c r="Q2636" i="11"/>
  <c r="Q2637" i="11"/>
  <c r="Q2638" i="11"/>
  <c r="Q2639" i="11"/>
  <c r="Q2640" i="11"/>
  <c r="Q2641" i="11"/>
  <c r="Q2642" i="11"/>
  <c r="Q2643" i="11"/>
  <c r="Q2644" i="11"/>
  <c r="Q2645" i="11"/>
  <c r="Q2646" i="11"/>
  <c r="Q2647" i="11"/>
  <c r="Q2648" i="11"/>
  <c r="Q2649" i="11"/>
  <c r="Q2650" i="11"/>
  <c r="Q2651" i="11"/>
  <c r="Q2652" i="11"/>
  <c r="Q2653" i="11"/>
  <c r="Q2654" i="11"/>
  <c r="Q2655" i="11"/>
  <c r="Q2656" i="11"/>
  <c r="Q2657" i="11"/>
  <c r="Q2658" i="11"/>
  <c r="Q2659" i="11"/>
  <c r="Q2660" i="11"/>
  <c r="Q2661" i="11"/>
  <c r="Q2662" i="11"/>
  <c r="Q2663" i="11"/>
  <c r="Q2664" i="11"/>
  <c r="Q2665" i="11"/>
  <c r="Q2666" i="11"/>
  <c r="Q2667" i="11"/>
  <c r="Q2668" i="11"/>
  <c r="Q2669" i="11"/>
  <c r="Q2670" i="11"/>
  <c r="Q2671" i="11"/>
  <c r="Q2672" i="11"/>
  <c r="Q2673" i="11"/>
  <c r="Q2674" i="11"/>
  <c r="Q2675" i="11"/>
  <c r="Q2676" i="11"/>
  <c r="Q2677" i="11"/>
  <c r="Q2678" i="11"/>
  <c r="Q2679" i="11"/>
  <c r="Q2680" i="11"/>
  <c r="Q2681" i="11"/>
  <c r="Q2682" i="11"/>
  <c r="Q2683" i="11"/>
  <c r="Q2684" i="11"/>
  <c r="Q2685" i="11"/>
  <c r="Q2686" i="11"/>
  <c r="Q2687" i="11"/>
  <c r="Q2688" i="11"/>
  <c r="Q2689" i="11"/>
  <c r="Q2690" i="11"/>
  <c r="Q2691" i="11"/>
  <c r="Q2692" i="11"/>
  <c r="Q2693" i="11"/>
  <c r="Q2694" i="11"/>
  <c r="Q2695" i="11"/>
  <c r="Q2696" i="11"/>
  <c r="Q2697" i="11"/>
  <c r="Q2698" i="11"/>
  <c r="Q2699" i="11"/>
  <c r="Q2700" i="11"/>
  <c r="Q2701" i="11"/>
  <c r="Q2702" i="11"/>
  <c r="Q2703" i="11"/>
  <c r="Q2704" i="11"/>
  <c r="Q2705" i="11"/>
  <c r="Q2706" i="11"/>
  <c r="Q2707" i="11"/>
  <c r="Q2708" i="11"/>
  <c r="Q2709" i="11"/>
  <c r="Q2710" i="11"/>
  <c r="Q2711" i="11"/>
  <c r="Q2712" i="11"/>
  <c r="Q2713" i="11"/>
  <c r="Q2714" i="11"/>
  <c r="Q2715" i="11"/>
  <c r="Q2716" i="11"/>
  <c r="Q2717" i="11"/>
  <c r="Q2718" i="11"/>
  <c r="Q2719" i="11"/>
  <c r="Q2720" i="11"/>
  <c r="Q2721" i="11"/>
  <c r="Q2722" i="11"/>
  <c r="Q2723" i="11"/>
  <c r="Q2724" i="11"/>
  <c r="Q2725" i="11"/>
  <c r="Q2726" i="11"/>
  <c r="Q2727" i="11"/>
  <c r="Q2728" i="11"/>
  <c r="Q2729" i="11"/>
  <c r="Q2730" i="11"/>
  <c r="Q2731" i="11"/>
  <c r="Q2732" i="11"/>
  <c r="Q2733" i="11"/>
  <c r="Q2734" i="11"/>
  <c r="Q2735" i="11"/>
  <c r="Q2736" i="11"/>
  <c r="Q2737" i="11"/>
  <c r="Q2738" i="11"/>
  <c r="Q2739" i="11"/>
  <c r="Q2740" i="11"/>
  <c r="Q2741" i="11"/>
  <c r="Q2742" i="11"/>
  <c r="Q2743" i="11"/>
  <c r="Q2744" i="11"/>
  <c r="Q2745" i="11"/>
  <c r="Q2746" i="11"/>
  <c r="Q2747" i="11"/>
  <c r="Q2748" i="11"/>
  <c r="Q2749" i="11"/>
  <c r="Q2750" i="11"/>
  <c r="Q2751" i="11"/>
  <c r="Q2752" i="11"/>
  <c r="Q2753" i="11"/>
  <c r="Q2754" i="11"/>
  <c r="Q2755" i="11"/>
  <c r="Q2756" i="11"/>
  <c r="Q2757" i="11"/>
  <c r="Q2758" i="11"/>
  <c r="Q2759" i="11"/>
  <c r="Q2760" i="11"/>
  <c r="Q2761" i="11"/>
  <c r="Q2762" i="11"/>
  <c r="Q2763" i="11"/>
  <c r="Q2764" i="11"/>
  <c r="Q2765" i="11"/>
  <c r="Q2766" i="11"/>
  <c r="Q2767" i="11"/>
  <c r="Q2768" i="11"/>
  <c r="Q2769" i="11"/>
  <c r="Q2770" i="11"/>
  <c r="Q2771" i="11"/>
  <c r="Q2772" i="11"/>
  <c r="Q2773" i="11"/>
  <c r="Q2774" i="11"/>
  <c r="Q2775" i="11"/>
  <c r="Q2776" i="11"/>
  <c r="Q2777" i="11"/>
  <c r="Q2778" i="11"/>
  <c r="Q2779" i="11"/>
  <c r="Q2780" i="11"/>
  <c r="Q2781" i="11"/>
  <c r="Q2782" i="11"/>
  <c r="Q2783" i="11"/>
  <c r="Q2784" i="11"/>
  <c r="Q2785" i="11"/>
  <c r="Q2786" i="11"/>
  <c r="Q2787" i="11"/>
  <c r="Q2788" i="11"/>
  <c r="Q2789" i="11"/>
  <c r="Q2790" i="11"/>
  <c r="Q2791" i="11"/>
  <c r="Q2792" i="11"/>
  <c r="Q2793" i="11"/>
  <c r="Q2794" i="11"/>
  <c r="Q2795" i="11"/>
  <c r="Q2796" i="11"/>
  <c r="Q2797" i="11"/>
  <c r="Q2798" i="11"/>
  <c r="Q2799" i="11"/>
  <c r="Q2800" i="11"/>
  <c r="Q2801" i="11"/>
  <c r="Q2802" i="11"/>
  <c r="Q2803" i="11"/>
  <c r="Q2804" i="11"/>
  <c r="Q2805" i="11"/>
  <c r="Q2806" i="11"/>
  <c r="Q2807" i="11"/>
  <c r="Q2808" i="11"/>
  <c r="Q2809" i="11"/>
  <c r="Q2810" i="11"/>
  <c r="Q2811" i="11"/>
  <c r="Q2812" i="11"/>
  <c r="Q2813" i="11"/>
  <c r="Q2814" i="11"/>
  <c r="Q2815" i="11"/>
  <c r="Q2816" i="11"/>
  <c r="Q2817" i="11"/>
  <c r="Q2818" i="11"/>
  <c r="Q2819" i="11"/>
  <c r="Q2820" i="11"/>
  <c r="Q2821" i="11"/>
  <c r="Q2822" i="11"/>
  <c r="Q2823" i="11"/>
  <c r="Q2824" i="11"/>
  <c r="Q2825" i="11"/>
  <c r="Q2826" i="11"/>
  <c r="Q2827" i="11"/>
  <c r="Q2828" i="11"/>
  <c r="Q2829" i="11"/>
  <c r="Q2830" i="11"/>
  <c r="Q2831" i="11"/>
  <c r="Q2832" i="11"/>
  <c r="Q2833" i="11"/>
  <c r="Q2834" i="11"/>
  <c r="Q2835" i="11"/>
  <c r="Q2836" i="11"/>
  <c r="Q2837" i="11"/>
  <c r="Q2838" i="11"/>
  <c r="Q2839" i="11"/>
  <c r="Q2840" i="11"/>
  <c r="Q2841" i="11"/>
  <c r="Q2842" i="11"/>
  <c r="Q2843" i="11"/>
  <c r="Q2844" i="11"/>
  <c r="Q2845" i="11"/>
  <c r="Q2846" i="11"/>
  <c r="Q2847" i="11"/>
  <c r="Q2848" i="11"/>
  <c r="Q2849" i="11"/>
  <c r="Q2850" i="11"/>
  <c r="Q2851" i="11"/>
  <c r="Q2852" i="11"/>
  <c r="Q2853" i="11"/>
  <c r="Q2854" i="11"/>
  <c r="Q2855" i="11"/>
  <c r="Q2856" i="11"/>
  <c r="Q2857" i="11"/>
  <c r="Q2858" i="11"/>
  <c r="Q2859" i="11"/>
  <c r="Q2860" i="11"/>
  <c r="Q2861" i="11"/>
  <c r="Q2862" i="11"/>
  <c r="Q2863" i="11"/>
  <c r="Q2864" i="11"/>
  <c r="Q2865" i="11"/>
  <c r="Q2866" i="11"/>
  <c r="Q2867" i="11"/>
  <c r="Q2868" i="11"/>
  <c r="Q2869" i="11"/>
  <c r="Q2870" i="11"/>
  <c r="Q2871" i="11"/>
  <c r="Q2872" i="11"/>
  <c r="Q2873" i="11"/>
  <c r="Q2874" i="11"/>
  <c r="Q2875" i="11"/>
  <c r="Q2876" i="11"/>
  <c r="Q2877" i="11"/>
  <c r="Q2878" i="11"/>
  <c r="Q2879" i="11"/>
  <c r="Q2880" i="11"/>
  <c r="Q2881" i="11"/>
  <c r="Q2882" i="11"/>
  <c r="Q2883" i="11"/>
  <c r="Q2884" i="11"/>
  <c r="Q2885" i="11"/>
  <c r="Q2886" i="11"/>
  <c r="Q2887" i="11"/>
  <c r="Q2888" i="11"/>
  <c r="Q2889" i="11"/>
  <c r="Q2890" i="11"/>
  <c r="Q2891" i="11"/>
  <c r="Q2892" i="11"/>
  <c r="Q2893" i="11"/>
  <c r="Q2894" i="11"/>
  <c r="Q2895" i="11"/>
  <c r="Q2896" i="11"/>
  <c r="Q2897" i="11"/>
  <c r="Q2898" i="11"/>
  <c r="Q2899" i="11"/>
  <c r="Q2900" i="11"/>
  <c r="Q2901" i="11"/>
  <c r="Q2902" i="11"/>
  <c r="Q2903" i="11"/>
  <c r="Q2904" i="11"/>
  <c r="Q2905" i="11"/>
  <c r="Q2906" i="11"/>
  <c r="Q2907" i="11"/>
  <c r="Q2908" i="11"/>
  <c r="Q2909" i="11"/>
  <c r="Q2910" i="11"/>
  <c r="Q2911" i="11"/>
  <c r="Q2912" i="11"/>
  <c r="Q2913" i="11"/>
  <c r="Q2914" i="11"/>
  <c r="Q2915" i="11"/>
  <c r="Q2916" i="11"/>
  <c r="Q2917" i="11"/>
  <c r="Q2918" i="11"/>
  <c r="Q2919" i="11"/>
  <c r="Q2920" i="11"/>
  <c r="Q2921" i="11"/>
  <c r="Q2922" i="11"/>
  <c r="Q2923" i="11"/>
  <c r="Q2924" i="11"/>
  <c r="Q2925" i="11"/>
  <c r="Q2926" i="11"/>
  <c r="Q2927" i="11"/>
  <c r="Q2928" i="11"/>
  <c r="Q2929" i="11"/>
  <c r="Q2930" i="11"/>
  <c r="Q2931" i="11"/>
  <c r="Q2932" i="11"/>
  <c r="Q2933" i="11"/>
  <c r="Q2934" i="11"/>
  <c r="Q2935" i="11"/>
  <c r="Q2936" i="11"/>
  <c r="Q2937" i="11"/>
  <c r="Q2938" i="11"/>
  <c r="Q2939" i="11"/>
  <c r="Q2940" i="11"/>
  <c r="Q2941" i="11"/>
  <c r="Q2942" i="11"/>
  <c r="Q2943" i="11"/>
  <c r="Q2944" i="11"/>
  <c r="Q2945" i="11"/>
  <c r="Q2946" i="11"/>
  <c r="Q2947" i="11"/>
  <c r="Q2948" i="11"/>
  <c r="Q2949" i="11"/>
  <c r="Q2950" i="11"/>
  <c r="Q2951" i="11"/>
  <c r="Q2952" i="11"/>
  <c r="Q2953" i="11"/>
  <c r="Q2954" i="11"/>
  <c r="Q2955" i="11"/>
  <c r="Q2956" i="11"/>
  <c r="Q2957" i="11"/>
  <c r="Q2958" i="11"/>
  <c r="Q2959" i="11"/>
  <c r="Q2960" i="11"/>
  <c r="Q2961" i="11"/>
  <c r="Q2962" i="11"/>
  <c r="Q2963" i="11"/>
  <c r="Q2964" i="11"/>
  <c r="Q2965" i="11"/>
  <c r="Q2966" i="11"/>
  <c r="Q2967" i="11"/>
  <c r="Q2968" i="11"/>
  <c r="Q2969" i="11"/>
  <c r="Q2970" i="11"/>
  <c r="Q2971" i="11"/>
  <c r="Q2972" i="11"/>
  <c r="Q2973" i="11"/>
  <c r="Q2974" i="11"/>
  <c r="Q2975" i="11"/>
  <c r="Q2976" i="11"/>
  <c r="Q2977" i="11"/>
  <c r="Q2978" i="11"/>
  <c r="Q2979" i="11"/>
  <c r="Q2980" i="11"/>
  <c r="Q2981" i="11"/>
  <c r="Q2982" i="11"/>
  <c r="Q2983" i="11"/>
  <c r="Q2984" i="11"/>
  <c r="Q2985" i="11"/>
  <c r="Q2986" i="11"/>
  <c r="Q2987" i="11"/>
  <c r="Q2988" i="11"/>
  <c r="Q2989" i="11"/>
  <c r="Q2990" i="11"/>
  <c r="Q2991" i="11"/>
  <c r="Q2992" i="11"/>
  <c r="Q2993" i="11"/>
  <c r="Q2994" i="11"/>
  <c r="Q2995" i="11"/>
  <c r="Q2996" i="11"/>
  <c r="Q2997" i="11"/>
  <c r="Q2998" i="11"/>
  <c r="Q2999" i="11"/>
  <c r="Q3000" i="11"/>
  <c r="Q3001" i="11"/>
  <c r="Q3002" i="11"/>
  <c r="Q3003" i="11"/>
  <c r="Q3004" i="11"/>
  <c r="Q3005" i="11"/>
  <c r="Q3006" i="11"/>
  <c r="Q3007" i="11"/>
  <c r="Q3008" i="11"/>
  <c r="Q3009" i="11"/>
  <c r="Q3010" i="11"/>
  <c r="Q3011" i="11"/>
  <c r="Q3012" i="11"/>
  <c r="Q3013" i="11"/>
  <c r="Q3014" i="11"/>
  <c r="Q15" i="11"/>
  <c r="D1691" i="18" l="1"/>
  <c r="G1660" i="18"/>
  <c r="B1628" i="18"/>
  <c r="B1629" i="18" s="1"/>
  <c r="B1630" i="18" s="1"/>
  <c r="B1631" i="18" s="1"/>
  <c r="B1632" i="18" s="1"/>
  <c r="B1633" i="18" s="1"/>
  <c r="B1634" i="18" s="1"/>
  <c r="B1635" i="18" s="1"/>
  <c r="B1636" i="18" s="1"/>
  <c r="B1637" i="18" s="1"/>
  <c r="B1638" i="18" s="1"/>
  <c r="B1639" i="18" s="1"/>
  <c r="B1640" i="18" s="1"/>
  <c r="B1641" i="18" s="1"/>
  <c r="B1642" i="18" s="1"/>
  <c r="B1643" i="18" s="1"/>
  <c r="B1644" i="18" s="1"/>
  <c r="B1645" i="18" s="1"/>
  <c r="B1646" i="18" s="1"/>
  <c r="B1647" i="18" s="1"/>
  <c r="B1648" i="18" s="1"/>
  <c r="B1649" i="18" s="1"/>
  <c r="B1650" i="18" s="1"/>
  <c r="B1651" i="18" s="1"/>
  <c r="B1652" i="18" s="1"/>
  <c r="B1653" i="18" s="1"/>
  <c r="B1654" i="18" s="1"/>
  <c r="B1655" i="18" s="1"/>
  <c r="B1656" i="18" s="1"/>
  <c r="B1657" i="18" s="1"/>
  <c r="B1658" i="18" s="1"/>
  <c r="N1633" i="18"/>
  <c r="O1631" i="18"/>
  <c r="N1631" i="18"/>
  <c r="T1651" i="18"/>
  <c r="T1646" i="18"/>
  <c r="T1644" i="18"/>
  <c r="T1645" i="18"/>
  <c r="T1647" i="18"/>
  <c r="T1657" i="18"/>
  <c r="T1656" i="18"/>
  <c r="T1655" i="18"/>
  <c r="T1654" i="18"/>
  <c r="T1653" i="18"/>
  <c r="T1652" i="18"/>
  <c r="T1643" i="18"/>
  <c r="T1648" i="18"/>
  <c r="Y1648" i="18" s="1"/>
  <c r="T1650" i="18"/>
  <c r="O1633" i="18"/>
  <c r="T1649" i="18"/>
  <c r="W32" i="18"/>
  <c r="W33" i="18"/>
  <c r="W37" i="18"/>
  <c r="W39" i="18"/>
  <c r="W40" i="18"/>
  <c r="W41" i="18"/>
  <c r="W42" i="18"/>
  <c r="W43" i="18"/>
  <c r="W44" i="18"/>
  <c r="B1659" i="18" l="1"/>
  <c r="B1660" i="18" s="1"/>
  <c r="B1661" i="18" s="1"/>
  <c r="B1662" i="18" s="1"/>
  <c r="B1663" i="18" s="1"/>
  <c r="B1664" i="18" s="1"/>
  <c r="B1665" i="18" s="1"/>
  <c r="B1666" i="18" s="1"/>
  <c r="B1667" i="18" s="1"/>
  <c r="B1668" i="18" s="1"/>
  <c r="B1669" i="18" s="1"/>
  <c r="B1670" i="18" s="1"/>
  <c r="B1671" i="18" s="1"/>
  <c r="B1672" i="18" s="1"/>
  <c r="B1673" i="18" s="1"/>
  <c r="B1674" i="18" s="1"/>
  <c r="B1675" i="18" s="1"/>
  <c r="B1676" i="18" s="1"/>
  <c r="B1677" i="18" s="1"/>
  <c r="B1678" i="18" s="1"/>
  <c r="B1679" i="18" s="1"/>
  <c r="B1680" i="18" s="1"/>
  <c r="B1681" i="18" s="1"/>
  <c r="B1682" i="18" s="1"/>
  <c r="B1683" i="18" s="1"/>
  <c r="B1684" i="18" s="1"/>
  <c r="B1685" i="18" s="1"/>
  <c r="B1686" i="18" s="1"/>
  <c r="B1687" i="18" s="1"/>
  <c r="B1688" i="18" s="1"/>
  <c r="B1689" i="18" s="1"/>
  <c r="T1684" i="18"/>
  <c r="T1687" i="18"/>
  <c r="T1674" i="18"/>
  <c r="T1685" i="18"/>
  <c r="T1680" i="18"/>
  <c r="O1664" i="18"/>
  <c r="T1678" i="18"/>
  <c r="N1664" i="18"/>
  <c r="T1682" i="18"/>
  <c r="T1677" i="18"/>
  <c r="T1676" i="18"/>
  <c r="T1688" i="18"/>
  <c r="T1686" i="18"/>
  <c r="T1681" i="18"/>
  <c r="N1662" i="18"/>
  <c r="T1675" i="18"/>
  <c r="T1683" i="18"/>
  <c r="T1679" i="18"/>
  <c r="Y1679" i="18" s="1"/>
  <c r="O1662" i="18"/>
  <c r="G1691" i="18"/>
  <c r="D1722" i="18"/>
  <c r="T39" i="18"/>
  <c r="T43" i="18"/>
  <c r="T44" i="18"/>
  <c r="T38" i="18"/>
  <c r="T40" i="18"/>
  <c r="T41" i="18"/>
  <c r="T42" i="18"/>
  <c r="T45" i="18"/>
  <c r="T32" i="18"/>
  <c r="T35" i="18"/>
  <c r="T36" i="18"/>
  <c r="Y36" i="18" s="1"/>
  <c r="T31" i="18"/>
  <c r="T33" i="18"/>
  <c r="T37" i="18"/>
  <c r="T34" i="18"/>
  <c r="B1690" i="18" l="1"/>
  <c r="B1691" i="18" s="1"/>
  <c r="B1692" i="18" s="1"/>
  <c r="B1693" i="18" s="1"/>
  <c r="B1694" i="18" s="1"/>
  <c r="B1695" i="18" s="1"/>
  <c r="B1696" i="18" s="1"/>
  <c r="B1697" i="18" s="1"/>
  <c r="B1698" i="18" s="1"/>
  <c r="B1699" i="18" s="1"/>
  <c r="B1700" i="18" s="1"/>
  <c r="B1701" i="18" s="1"/>
  <c r="B1702" i="18" s="1"/>
  <c r="B1703" i="18" s="1"/>
  <c r="B1704" i="18" s="1"/>
  <c r="B1705" i="18" s="1"/>
  <c r="B1706" i="18" s="1"/>
  <c r="B1707" i="18" s="1"/>
  <c r="B1708" i="18" s="1"/>
  <c r="B1709" i="18" s="1"/>
  <c r="B1710" i="18" s="1"/>
  <c r="B1711" i="18" s="1"/>
  <c r="B1712" i="18" s="1"/>
  <c r="B1713" i="18" s="1"/>
  <c r="B1714" i="18" s="1"/>
  <c r="B1715" i="18" s="1"/>
  <c r="B1716" i="18" s="1"/>
  <c r="B1717" i="18" s="1"/>
  <c r="B1718" i="18" s="1"/>
  <c r="B1719" i="18" s="1"/>
  <c r="B1720" i="18" s="1"/>
  <c r="T1708" i="18"/>
  <c r="T1706" i="18"/>
  <c r="T1707" i="18"/>
  <c r="T1715" i="18"/>
  <c r="T1716" i="18"/>
  <c r="T1705" i="18"/>
  <c r="T1714" i="18"/>
  <c r="O1695" i="18"/>
  <c r="T1712" i="18"/>
  <c r="N1695" i="18"/>
  <c r="T1711" i="18"/>
  <c r="O1693" i="18"/>
  <c r="T1709" i="18"/>
  <c r="T1717" i="18"/>
  <c r="T1710" i="18"/>
  <c r="Y1710" i="18" s="1"/>
  <c r="T1713" i="18"/>
  <c r="T1718" i="18"/>
  <c r="N1693" i="18"/>
  <c r="T1719" i="18"/>
  <c r="G1722" i="18"/>
  <c r="D1753" i="18"/>
  <c r="B1721" i="18" l="1"/>
  <c r="B1722" i="18" s="1"/>
  <c r="B1723" i="18" s="1"/>
  <c r="B1724" i="18" s="1"/>
  <c r="B1725" i="18" s="1"/>
  <c r="B1726" i="18" s="1"/>
  <c r="B1727" i="18" s="1"/>
  <c r="B1728" i="18" s="1"/>
  <c r="B1729" i="18" s="1"/>
  <c r="B1730" i="18" s="1"/>
  <c r="B1731" i="18" s="1"/>
  <c r="B1732" i="18" s="1"/>
  <c r="B1733" i="18" s="1"/>
  <c r="B1734" i="18" s="1"/>
  <c r="B1735" i="18" s="1"/>
  <c r="B1736" i="18" s="1"/>
  <c r="B1737" i="18" s="1"/>
  <c r="B1738" i="18" s="1"/>
  <c r="B1739" i="18" s="1"/>
  <c r="B1740" i="18" s="1"/>
  <c r="B1741" i="18" s="1"/>
  <c r="B1742" i="18" s="1"/>
  <c r="B1743" i="18" s="1"/>
  <c r="B1744" i="18" s="1"/>
  <c r="B1745" i="18" s="1"/>
  <c r="B1746" i="18" s="1"/>
  <c r="B1747" i="18" s="1"/>
  <c r="B1748" i="18" s="1"/>
  <c r="B1749" i="18" s="1"/>
  <c r="B1750" i="18" s="1"/>
  <c r="B1751" i="18" s="1"/>
  <c r="T1749" i="18"/>
  <c r="T1747" i="18"/>
  <c r="T1739" i="18"/>
  <c r="T1745" i="18"/>
  <c r="T1737" i="18"/>
  <c r="T1750" i="18"/>
  <c r="T1741" i="18"/>
  <c r="T1748" i="18"/>
  <c r="T1738" i="18"/>
  <c r="T1746" i="18"/>
  <c r="O1726" i="18"/>
  <c r="T1744" i="18"/>
  <c r="N1726" i="18"/>
  <c r="T1736" i="18"/>
  <c r="O1724" i="18"/>
  <c r="T1743" i="18"/>
  <c r="T1742" i="18"/>
  <c r="T1740" i="18"/>
  <c r="N1724" i="18"/>
  <c r="G1753" i="18"/>
  <c r="D1784" i="18"/>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Y187" i="7"/>
  <c r="Y188" i="7"/>
  <c r="Y189" i="7"/>
  <c r="Y190" i="7"/>
  <c r="Y191" i="7"/>
  <c r="Y192" i="7"/>
  <c r="Y193" i="7"/>
  <c r="Y194" i="7"/>
  <c r="Y195" i="7"/>
  <c r="Y196" i="7"/>
  <c r="Y197" i="7"/>
  <c r="Y198" i="7"/>
  <c r="Y199" i="7"/>
  <c r="Y200" i="7"/>
  <c r="Y201" i="7"/>
  <c r="Y202" i="7"/>
  <c r="Y203" i="7"/>
  <c r="Y204" i="7"/>
  <c r="Y205" i="7"/>
  <c r="Y206" i="7"/>
  <c r="Y207" i="7"/>
  <c r="Y208" i="7"/>
  <c r="Y209" i="7"/>
  <c r="Y210" i="7"/>
  <c r="Y211" i="7"/>
  <c r="Y212" i="7"/>
  <c r="Y213" i="7"/>
  <c r="Y214" i="7"/>
  <c r="Y215" i="7"/>
  <c r="Y216" i="7"/>
  <c r="Y217" i="7"/>
  <c r="Y218" i="7"/>
  <c r="Y219" i="7"/>
  <c r="Y220" i="7"/>
  <c r="Y221" i="7"/>
  <c r="Y222" i="7"/>
  <c r="Y223" i="7"/>
  <c r="Y224" i="7"/>
  <c r="Y225" i="7"/>
  <c r="Y226" i="7"/>
  <c r="Y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Y253" i="7"/>
  <c r="Y254" i="7"/>
  <c r="Y255" i="7"/>
  <c r="Y256" i="7"/>
  <c r="Y257" i="7"/>
  <c r="Y258" i="7"/>
  <c r="Y259" i="7"/>
  <c r="Y260" i="7"/>
  <c r="Y261" i="7"/>
  <c r="Y262" i="7"/>
  <c r="Y263" i="7"/>
  <c r="Y264" i="7"/>
  <c r="Y265" i="7"/>
  <c r="Y266" i="7"/>
  <c r="Y267" i="7"/>
  <c r="Y268" i="7"/>
  <c r="Y269" i="7"/>
  <c r="Y270" i="7"/>
  <c r="Y271" i="7"/>
  <c r="Y272" i="7"/>
  <c r="Y273" i="7"/>
  <c r="Y274" i="7"/>
  <c r="Y275" i="7"/>
  <c r="Y276" i="7"/>
  <c r="Y277" i="7"/>
  <c r="Y278" i="7"/>
  <c r="Y279" i="7"/>
  <c r="Y280" i="7"/>
  <c r="Y281" i="7"/>
  <c r="Y282" i="7"/>
  <c r="Y283" i="7"/>
  <c r="Y284" i="7"/>
  <c r="Y285" i="7"/>
  <c r="Y286" i="7"/>
  <c r="Y287" i="7"/>
  <c r="Y288" i="7"/>
  <c r="Y289" i="7"/>
  <c r="Y290" i="7"/>
  <c r="Y291" i="7"/>
  <c r="Y292" i="7"/>
  <c r="Y293" i="7"/>
  <c r="Y294" i="7"/>
  <c r="Y295" i="7"/>
  <c r="Y296" i="7"/>
  <c r="Y297" i="7"/>
  <c r="Y298" i="7"/>
  <c r="Y299" i="7"/>
  <c r="Y300" i="7"/>
  <c r="Y301" i="7"/>
  <c r="Y302" i="7"/>
  <c r="Y303" i="7"/>
  <c r="Y304" i="7"/>
  <c r="Y305" i="7"/>
  <c r="Y306" i="7"/>
  <c r="Y307" i="7"/>
  <c r="Y308" i="7"/>
  <c r="Y309" i="7"/>
  <c r="Y310" i="7"/>
  <c r="Y311" i="7"/>
  <c r="Y312" i="7"/>
  <c r="Y313" i="7"/>
  <c r="Y314" i="7"/>
  <c r="Y315" i="7"/>
  <c r="Y316" i="7"/>
  <c r="Y317" i="7"/>
  <c r="Y318" i="7"/>
  <c r="Y319" i="7"/>
  <c r="Y320" i="7"/>
  <c r="Y321" i="7"/>
  <c r="Y322" i="7"/>
  <c r="Y323" i="7"/>
  <c r="Y324" i="7"/>
  <c r="Y325" i="7"/>
  <c r="Y326" i="7"/>
  <c r="Y327" i="7"/>
  <c r="Y328" i="7"/>
  <c r="Y329" i="7"/>
  <c r="Y330" i="7"/>
  <c r="Y331" i="7"/>
  <c r="Y332" i="7"/>
  <c r="Y333" i="7"/>
  <c r="Y334" i="7"/>
  <c r="Y335" i="7"/>
  <c r="Y336" i="7"/>
  <c r="Y337" i="7"/>
  <c r="Y338" i="7"/>
  <c r="Y339" i="7"/>
  <c r="Y340" i="7"/>
  <c r="Y341" i="7"/>
  <c r="Y342" i="7"/>
  <c r="Y343" i="7"/>
  <c r="Y344" i="7"/>
  <c r="Y345" i="7"/>
  <c r="Y346" i="7"/>
  <c r="Y347" i="7"/>
  <c r="Y348" i="7"/>
  <c r="Y349" i="7"/>
  <c r="Y350" i="7"/>
  <c r="Y351" i="7"/>
  <c r="Y352" i="7"/>
  <c r="Y353" i="7"/>
  <c r="Y354" i="7"/>
  <c r="Y355" i="7"/>
  <c r="Y356" i="7"/>
  <c r="Y357" i="7"/>
  <c r="Y358" i="7"/>
  <c r="Y359" i="7"/>
  <c r="Y360" i="7"/>
  <c r="Y361" i="7"/>
  <c r="Y362" i="7"/>
  <c r="Y363" i="7"/>
  <c r="Y364" i="7"/>
  <c r="Y365" i="7"/>
  <c r="Y366" i="7"/>
  <c r="Y367" i="7"/>
  <c r="Y368" i="7"/>
  <c r="Y369" i="7"/>
  <c r="Y370" i="7"/>
  <c r="Y371" i="7"/>
  <c r="Y372" i="7"/>
  <c r="Y373" i="7"/>
  <c r="Y374" i="7"/>
  <c r="Y375" i="7"/>
  <c r="Y376" i="7"/>
  <c r="Y377" i="7"/>
  <c r="Y378" i="7"/>
  <c r="Y379" i="7"/>
  <c r="Y380" i="7"/>
  <c r="Y381" i="7"/>
  <c r="Y382" i="7"/>
  <c r="Y383" i="7"/>
  <c r="Y384" i="7"/>
  <c r="Y385" i="7"/>
  <c r="Y386" i="7"/>
  <c r="Y387" i="7"/>
  <c r="Y388" i="7"/>
  <c r="Y389" i="7"/>
  <c r="Y390" i="7"/>
  <c r="Y391" i="7"/>
  <c r="Y392" i="7"/>
  <c r="Y393" i="7"/>
  <c r="Y394" i="7"/>
  <c r="Y395" i="7"/>
  <c r="Y396" i="7"/>
  <c r="Y397" i="7"/>
  <c r="Y398" i="7"/>
  <c r="Y399" i="7"/>
  <c r="Y400" i="7"/>
  <c r="Y401" i="7"/>
  <c r="Y402" i="7"/>
  <c r="Y403" i="7"/>
  <c r="Y404" i="7"/>
  <c r="Y405" i="7"/>
  <c r="Y406" i="7"/>
  <c r="Y407" i="7"/>
  <c r="Y408" i="7"/>
  <c r="Y409" i="7"/>
  <c r="Y410" i="7"/>
  <c r="Y411" i="7"/>
  <c r="Y412" i="7"/>
  <c r="Y413" i="7"/>
  <c r="Y414" i="7"/>
  <c r="Y415" i="7"/>
  <c r="Y416" i="7"/>
  <c r="Y417" i="7"/>
  <c r="Y418" i="7"/>
  <c r="Y419" i="7"/>
  <c r="Y420" i="7"/>
  <c r="Y421" i="7"/>
  <c r="Y422" i="7"/>
  <c r="Y423" i="7"/>
  <c r="Y424" i="7"/>
  <c r="Y425" i="7"/>
  <c r="Y426" i="7"/>
  <c r="Y427" i="7"/>
  <c r="Y428" i="7"/>
  <c r="Y429" i="7"/>
  <c r="Y430" i="7"/>
  <c r="Y431" i="7"/>
  <c r="Y432" i="7"/>
  <c r="Y433" i="7"/>
  <c r="Y434" i="7"/>
  <c r="Y435" i="7"/>
  <c r="Y436" i="7"/>
  <c r="Y437" i="7"/>
  <c r="Y438" i="7"/>
  <c r="Y439" i="7"/>
  <c r="Y440" i="7"/>
  <c r="Y441" i="7"/>
  <c r="Y442" i="7"/>
  <c r="Y443" i="7"/>
  <c r="Y444" i="7"/>
  <c r="Y445" i="7"/>
  <c r="Y446" i="7"/>
  <c r="Y447" i="7"/>
  <c r="Y448" i="7"/>
  <c r="Y449" i="7"/>
  <c r="Y450" i="7"/>
  <c r="Y451" i="7"/>
  <c r="Y452" i="7"/>
  <c r="Y453" i="7"/>
  <c r="Y454" i="7"/>
  <c r="Y455" i="7"/>
  <c r="Y456" i="7"/>
  <c r="Y457" i="7"/>
  <c r="Y458" i="7"/>
  <c r="Y459" i="7"/>
  <c r="Y460" i="7"/>
  <c r="Y461" i="7"/>
  <c r="Y462" i="7"/>
  <c r="Y463" i="7"/>
  <c r="Y464" i="7"/>
  <c r="Y465" i="7"/>
  <c r="Y466" i="7"/>
  <c r="Y467" i="7"/>
  <c r="Y468" i="7"/>
  <c r="Y469" i="7"/>
  <c r="Y470" i="7"/>
  <c r="Y471" i="7"/>
  <c r="Y472" i="7"/>
  <c r="Y473" i="7"/>
  <c r="Y474" i="7"/>
  <c r="Y475" i="7"/>
  <c r="Y476" i="7"/>
  <c r="Y477" i="7"/>
  <c r="Y478" i="7"/>
  <c r="Y479" i="7"/>
  <c r="Y480" i="7"/>
  <c r="Y481" i="7"/>
  <c r="Y482" i="7"/>
  <c r="Y483" i="7"/>
  <c r="Y484" i="7"/>
  <c r="Y485" i="7"/>
  <c r="Y486" i="7"/>
  <c r="Y487" i="7"/>
  <c r="Y488" i="7"/>
  <c r="Y489" i="7"/>
  <c r="Y490" i="7"/>
  <c r="Y491" i="7"/>
  <c r="Y492" i="7"/>
  <c r="Y493" i="7"/>
  <c r="Y494" i="7"/>
  <c r="Y495" i="7"/>
  <c r="Y496" i="7"/>
  <c r="Y497" i="7"/>
  <c r="Y498" i="7"/>
  <c r="Y499" i="7"/>
  <c r="Y500" i="7"/>
  <c r="Y501" i="7"/>
  <c r="Y502" i="7"/>
  <c r="Y503" i="7"/>
  <c r="Y504" i="7"/>
  <c r="Y505" i="7"/>
  <c r="Y506" i="7"/>
  <c r="Y507" i="7"/>
  <c r="Y508" i="7"/>
  <c r="Y509" i="7"/>
  <c r="Y510" i="7"/>
  <c r="Y511" i="7"/>
  <c r="Y512" i="7"/>
  <c r="Y513" i="7"/>
  <c r="Y514" i="7"/>
  <c r="Y515" i="7"/>
  <c r="Y516" i="7"/>
  <c r="Y517" i="7"/>
  <c r="Y518" i="7"/>
  <c r="Y519" i="7"/>
  <c r="Y520" i="7"/>
  <c r="Y21" i="7"/>
  <c r="Y22" i="7"/>
  <c r="Y23" i="7"/>
  <c r="Y24" i="7"/>
  <c r="Y25" i="7"/>
  <c r="C18" i="8"/>
  <c r="C19" i="8"/>
  <c r="C20" i="8"/>
  <c r="C21" i="8"/>
  <c r="Y1741" i="18" l="1"/>
  <c r="B1752" i="18"/>
  <c r="B1753" i="18" s="1"/>
  <c r="B1754" i="18" s="1"/>
  <c r="B1755" i="18" s="1"/>
  <c r="B1756" i="18" s="1"/>
  <c r="B1757" i="18" s="1"/>
  <c r="B1758" i="18" s="1"/>
  <c r="B1759" i="18" s="1"/>
  <c r="B1760" i="18" s="1"/>
  <c r="B1761" i="18" s="1"/>
  <c r="B1762" i="18" s="1"/>
  <c r="B1763" i="18" s="1"/>
  <c r="B1764" i="18" s="1"/>
  <c r="B1765" i="18" s="1"/>
  <c r="B1766" i="18" s="1"/>
  <c r="B1767" i="18" s="1"/>
  <c r="B1768" i="18" s="1"/>
  <c r="B1769" i="18" s="1"/>
  <c r="B1770" i="18" s="1"/>
  <c r="B1771" i="18" s="1"/>
  <c r="B1772" i="18" s="1"/>
  <c r="B1773" i="18" s="1"/>
  <c r="B1774" i="18" s="1"/>
  <c r="B1775" i="18" s="1"/>
  <c r="B1776" i="18" s="1"/>
  <c r="B1777" i="18" s="1"/>
  <c r="B1778" i="18" s="1"/>
  <c r="B1779" i="18" s="1"/>
  <c r="B1780" i="18" s="1"/>
  <c r="B1781" i="18" s="1"/>
  <c r="B1782" i="18" s="1"/>
  <c r="T1776" i="18"/>
  <c r="T1777" i="18"/>
  <c r="T1774" i="18"/>
  <c r="T1767" i="18"/>
  <c r="T1772" i="18"/>
  <c r="Y1772" i="18" s="1"/>
  <c r="O1757" i="18"/>
  <c r="T1773" i="18"/>
  <c r="T1775" i="18"/>
  <c r="N1757" i="18"/>
  <c r="T1770" i="18"/>
  <c r="O1755" i="18"/>
  <c r="T1769" i="18"/>
  <c r="N1755" i="18"/>
  <c r="T1771" i="18"/>
  <c r="T1768" i="18"/>
  <c r="T1780" i="18"/>
  <c r="T1781" i="18"/>
  <c r="T1778" i="18"/>
  <c r="T1779" i="18"/>
  <c r="D1815" i="18"/>
  <c r="G1784" i="18"/>
  <c r="P19" i="8"/>
  <c r="O19" i="8"/>
  <c r="O18" i="8"/>
  <c r="P18" i="8"/>
  <c r="P21" i="8"/>
  <c r="O21" i="8"/>
  <c r="P20" i="8"/>
  <c r="O20" i="8"/>
  <c r="G9" i="3"/>
  <c r="BS10" i="18" s="1"/>
  <c r="E9" i="3"/>
  <c r="BQ10" i="18" s="1"/>
  <c r="BR10" i="18"/>
  <c r="D9" i="3"/>
  <c r="BP10" i="18" s="1"/>
  <c r="C9" i="3"/>
  <c r="B1783" i="18" l="1"/>
  <c r="B1784" i="18" s="1"/>
  <c r="B1785" i="18" s="1"/>
  <c r="B1786" i="18" s="1"/>
  <c r="B1787" i="18" s="1"/>
  <c r="B1788" i="18" s="1"/>
  <c r="B1789" i="18" s="1"/>
  <c r="B1790" i="18" s="1"/>
  <c r="B1791" i="18" s="1"/>
  <c r="B1792" i="18" s="1"/>
  <c r="B1793" i="18" s="1"/>
  <c r="B1794" i="18" s="1"/>
  <c r="B1795" i="18" s="1"/>
  <c r="B1796" i="18" s="1"/>
  <c r="B1797" i="18" s="1"/>
  <c r="B1798" i="18" s="1"/>
  <c r="B1799" i="18" s="1"/>
  <c r="B1800" i="18" s="1"/>
  <c r="B1801" i="18" s="1"/>
  <c r="B1802" i="18" s="1"/>
  <c r="B1803" i="18" s="1"/>
  <c r="B1804" i="18" s="1"/>
  <c r="B1805" i="18" s="1"/>
  <c r="B1806" i="18" s="1"/>
  <c r="B1807" i="18" s="1"/>
  <c r="B1808" i="18" s="1"/>
  <c r="B1809" i="18" s="1"/>
  <c r="B1810" i="18" s="1"/>
  <c r="B1811" i="18" s="1"/>
  <c r="B1812" i="18" s="1"/>
  <c r="B1813" i="18" s="1"/>
  <c r="T1801" i="18"/>
  <c r="T1800" i="18"/>
  <c r="T1808" i="18"/>
  <c r="T1807" i="18"/>
  <c r="T1798" i="18"/>
  <c r="T1803" i="18"/>
  <c r="O1786" i="18"/>
  <c r="N1788" i="18"/>
  <c r="T1805" i="18"/>
  <c r="T1799" i="18"/>
  <c r="T1804" i="18"/>
  <c r="O1788" i="18"/>
  <c r="T1802" i="18"/>
  <c r="N1786" i="18"/>
  <c r="T1806" i="18"/>
  <c r="T1812" i="18"/>
  <c r="T1810" i="18"/>
  <c r="T1811" i="18"/>
  <c r="T1809" i="18"/>
  <c r="D1846" i="18"/>
  <c r="G1815" i="18"/>
  <c r="K22" i="3"/>
  <c r="BM10" i="18"/>
  <c r="H9" i="3"/>
  <c r="F13" i="31" s="1"/>
  <c r="Y1803" i="18" l="1"/>
  <c r="B1814" i="18"/>
  <c r="B1815" i="18" s="1"/>
  <c r="B1816" i="18" s="1"/>
  <c r="B1817" i="18" s="1"/>
  <c r="B1818" i="18" s="1"/>
  <c r="B1819" i="18" s="1"/>
  <c r="B1820" i="18" s="1"/>
  <c r="B1821" i="18" s="1"/>
  <c r="B1822" i="18" s="1"/>
  <c r="B1823" i="18" s="1"/>
  <c r="B1824" i="18" s="1"/>
  <c r="B1825" i="18" s="1"/>
  <c r="B1826" i="18" s="1"/>
  <c r="B1827" i="18" s="1"/>
  <c r="B1828" i="18" s="1"/>
  <c r="B1829" i="18" s="1"/>
  <c r="B1830" i="18" s="1"/>
  <c r="B1831" i="18" s="1"/>
  <c r="B1832" i="18" s="1"/>
  <c r="B1833" i="18" s="1"/>
  <c r="B1834" i="18" s="1"/>
  <c r="B1835" i="18" s="1"/>
  <c r="B1836" i="18" s="1"/>
  <c r="B1837" i="18" s="1"/>
  <c r="B1838" i="18" s="1"/>
  <c r="B1839" i="18" s="1"/>
  <c r="B1840" i="18" s="1"/>
  <c r="B1841" i="18" s="1"/>
  <c r="B1842" i="18" s="1"/>
  <c r="B1843" i="18" s="1"/>
  <c r="B1844" i="18" s="1"/>
  <c r="T1829" i="18"/>
  <c r="N1819" i="18"/>
  <c r="T1838" i="18"/>
  <c r="N1817" i="18"/>
  <c r="T1833" i="18"/>
  <c r="T1837" i="18"/>
  <c r="T1830" i="18"/>
  <c r="T1832" i="18"/>
  <c r="T1840" i="18"/>
  <c r="T1831" i="18"/>
  <c r="T1843" i="18"/>
  <c r="T1841" i="18"/>
  <c r="T1834" i="18"/>
  <c r="T1839" i="18"/>
  <c r="T1836" i="18"/>
  <c r="T1835" i="18"/>
  <c r="O1817" i="18"/>
  <c r="O1819" i="18"/>
  <c r="T1842" i="18"/>
  <c r="G1846" i="18"/>
  <c r="D1877" i="18"/>
  <c r="D1908" i="18" s="1"/>
  <c r="G1908" i="18" s="1"/>
  <c r="C22" i="8"/>
  <c r="C23" i="8"/>
  <c r="C24" i="8"/>
  <c r="C25" i="8"/>
  <c r="C26"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T1930" i="18" l="1"/>
  <c r="T1936" i="18"/>
  <c r="T1925" i="18"/>
  <c r="T1934" i="18"/>
  <c r="T1924" i="18"/>
  <c r="T1932" i="18"/>
  <c r="G1913" i="18"/>
  <c r="T1922" i="18"/>
  <c r="T1926" i="18"/>
  <c r="T1928" i="18"/>
  <c r="T1935" i="18"/>
  <c r="T1933" i="18"/>
  <c r="T1931" i="18"/>
  <c r="T1927" i="18"/>
  <c r="Y1927" i="18" s="1"/>
  <c r="N1912" i="18"/>
  <c r="O1910" i="18"/>
  <c r="N1910" i="18"/>
  <c r="O1912" i="18"/>
  <c r="T1929" i="18"/>
  <c r="T1923" i="18"/>
  <c r="B1845" i="18"/>
  <c r="B1846" i="18" s="1"/>
  <c r="B1847" i="18" s="1"/>
  <c r="B1848" i="18" s="1"/>
  <c r="B1849" i="18" s="1"/>
  <c r="B1850" i="18" s="1"/>
  <c r="B1851" i="18" s="1"/>
  <c r="B1852" i="18" s="1"/>
  <c r="B1853" i="18" s="1"/>
  <c r="B1854" i="18" s="1"/>
  <c r="B1855" i="18" s="1"/>
  <c r="B1856" i="18" s="1"/>
  <c r="B1857" i="18" s="1"/>
  <c r="B1858" i="18" s="1"/>
  <c r="B1859" i="18" s="1"/>
  <c r="B1860" i="18" s="1"/>
  <c r="B1861" i="18" s="1"/>
  <c r="B1862" i="18" s="1"/>
  <c r="B1863" i="18" s="1"/>
  <c r="B1864" i="18" s="1"/>
  <c r="B1865" i="18" s="1"/>
  <c r="B1866" i="18" s="1"/>
  <c r="B1867" i="18" s="1"/>
  <c r="B1868" i="18" s="1"/>
  <c r="B1869" i="18" s="1"/>
  <c r="B1870" i="18" s="1"/>
  <c r="B1871" i="18" s="1"/>
  <c r="B1872" i="18" s="1"/>
  <c r="B1873" i="18" s="1"/>
  <c r="B1874" i="18" s="1"/>
  <c r="B1875" i="18" s="1"/>
  <c r="T1869" i="18"/>
  <c r="T1867" i="18"/>
  <c r="T1865" i="18"/>
  <c r="T1866" i="18"/>
  <c r="O1850" i="18"/>
  <c r="T1864" i="18"/>
  <c r="N1850" i="18"/>
  <c r="T1868" i="18"/>
  <c r="O1848" i="18"/>
  <c r="T1863" i="18"/>
  <c r="N1848" i="18"/>
  <c r="T1862" i="18"/>
  <c r="G1851" i="18"/>
  <c r="T1861" i="18"/>
  <c r="T1874" i="18"/>
  <c r="T1872" i="18"/>
  <c r="T1873" i="18"/>
  <c r="T1870" i="18"/>
  <c r="T1871" i="18"/>
  <c r="T1860" i="18"/>
  <c r="G1727" i="18"/>
  <c r="G611" i="18"/>
  <c r="G952" i="18"/>
  <c r="G425" i="18"/>
  <c r="G828" i="18"/>
  <c r="G1696" i="18"/>
  <c r="G146" i="18"/>
  <c r="G983" i="18"/>
  <c r="G270" i="18"/>
  <c r="G735" i="18"/>
  <c r="G518" i="18"/>
  <c r="G1200" i="18"/>
  <c r="G921" i="18"/>
  <c r="G1386" i="18"/>
  <c r="G580" i="18"/>
  <c r="G642" i="18"/>
  <c r="G1107" i="18"/>
  <c r="G1417" i="18"/>
  <c r="G456" i="18"/>
  <c r="G1076" i="18"/>
  <c r="G1448" i="18"/>
  <c r="G859" i="18"/>
  <c r="G115" i="18"/>
  <c r="G797" i="18"/>
  <c r="G1479" i="18"/>
  <c r="G673" i="18"/>
  <c r="G1045" i="18"/>
  <c r="G177" i="18"/>
  <c r="G1510" i="18"/>
  <c r="G704" i="18"/>
  <c r="G1665" i="18"/>
  <c r="G1324" i="18"/>
  <c r="G1231" i="18"/>
  <c r="G332" i="18"/>
  <c r="G549" i="18"/>
  <c r="G1541" i="18"/>
  <c r="G1758" i="18"/>
  <c r="G1138" i="18"/>
  <c r="G394" i="18"/>
  <c r="G1262" i="18"/>
  <c r="G208" i="18"/>
  <c r="G1572" i="18"/>
  <c r="G487" i="18"/>
  <c r="G1014" i="18"/>
  <c r="G890" i="18"/>
  <c r="G1355" i="18"/>
  <c r="G1603" i="18"/>
  <c r="G766" i="18"/>
  <c r="G239" i="18"/>
  <c r="G301" i="18"/>
  <c r="G1293" i="18"/>
  <c r="G363" i="18"/>
  <c r="G1634" i="18"/>
  <c r="G1789" i="18"/>
  <c r="G1803" i="18" s="1"/>
  <c r="Y1834" i="18"/>
  <c r="G1820" i="18"/>
  <c r="G1877" i="18"/>
  <c r="F514" i="8"/>
  <c r="F382" i="8"/>
  <c r="F262" i="8"/>
  <c r="F202" i="8"/>
  <c r="F70" i="8"/>
  <c r="F513" i="8"/>
  <c r="F501" i="8"/>
  <c r="F489" i="8"/>
  <c r="F477" i="8"/>
  <c r="F465" i="8"/>
  <c r="F453" i="8"/>
  <c r="F441" i="8"/>
  <c r="F429" i="8"/>
  <c r="F417" i="8"/>
  <c r="F405" i="8"/>
  <c r="F393" i="8"/>
  <c r="F381" i="8"/>
  <c r="F369" i="8"/>
  <c r="F357" i="8"/>
  <c r="F345" i="8"/>
  <c r="F333" i="8"/>
  <c r="F321" i="8"/>
  <c r="F309" i="8"/>
  <c r="F297" i="8"/>
  <c r="F285" i="8"/>
  <c r="F273" i="8"/>
  <c r="F261" i="8"/>
  <c r="F249" i="8"/>
  <c r="F237" i="8"/>
  <c r="F225" i="8"/>
  <c r="F213" i="8"/>
  <c r="F201" i="8"/>
  <c r="F189" i="8"/>
  <c r="F177" i="8"/>
  <c r="F165" i="8"/>
  <c r="F153" i="8"/>
  <c r="F141" i="8"/>
  <c r="F129" i="8"/>
  <c r="F117" i="8"/>
  <c r="F105" i="8"/>
  <c r="F93" i="8"/>
  <c r="F81" i="8"/>
  <c r="F69" i="8"/>
  <c r="F57" i="8"/>
  <c r="F45" i="8"/>
  <c r="F33" i="8"/>
  <c r="F442" i="8"/>
  <c r="F310" i="8"/>
  <c r="F214" i="8"/>
  <c r="F94" i="8"/>
  <c r="F34" i="8"/>
  <c r="F512" i="8"/>
  <c r="F500" i="8"/>
  <c r="F488" i="8"/>
  <c r="F476" i="8"/>
  <c r="F464" i="8"/>
  <c r="F452" i="8"/>
  <c r="F440" i="8"/>
  <c r="F428" i="8"/>
  <c r="F416" i="8"/>
  <c r="F404" i="8"/>
  <c r="F392" i="8"/>
  <c r="F380" i="8"/>
  <c r="F368" i="8"/>
  <c r="F356" i="8"/>
  <c r="F344" i="8"/>
  <c r="F332" i="8"/>
  <c r="F320" i="8"/>
  <c r="F308" i="8"/>
  <c r="F296" i="8"/>
  <c r="F284" i="8"/>
  <c r="F272" i="8"/>
  <c r="F260" i="8"/>
  <c r="F248" i="8"/>
  <c r="F236" i="8"/>
  <c r="F224" i="8"/>
  <c r="F212" i="8"/>
  <c r="F200" i="8"/>
  <c r="F188" i="8"/>
  <c r="F176" i="8"/>
  <c r="F164" i="8"/>
  <c r="F152" i="8"/>
  <c r="F140" i="8"/>
  <c r="F128" i="8"/>
  <c r="F116" i="8"/>
  <c r="F104" i="8"/>
  <c r="F92" i="8"/>
  <c r="F80" i="8"/>
  <c r="F68" i="8"/>
  <c r="F56" i="8"/>
  <c r="F44" i="8"/>
  <c r="F32" i="8"/>
  <c r="F490" i="8"/>
  <c r="F358" i="8"/>
  <c r="F226" i="8"/>
  <c r="F154" i="8"/>
  <c r="F46" i="8"/>
  <c r="F511" i="8"/>
  <c r="F499" i="8"/>
  <c r="F487" i="8"/>
  <c r="F475" i="8"/>
  <c r="F463" i="8"/>
  <c r="F451" i="8"/>
  <c r="F439" i="8"/>
  <c r="F427" i="8"/>
  <c r="F415" i="8"/>
  <c r="F403" i="8"/>
  <c r="F391" i="8"/>
  <c r="F379" i="8"/>
  <c r="F367" i="8"/>
  <c r="F355" i="8"/>
  <c r="F343" i="8"/>
  <c r="F331" i="8"/>
  <c r="F319" i="8"/>
  <c r="F307" i="8"/>
  <c r="F295" i="8"/>
  <c r="F283" i="8"/>
  <c r="F271" i="8"/>
  <c r="F259" i="8"/>
  <c r="F247" i="8"/>
  <c r="F235" i="8"/>
  <c r="F223" i="8"/>
  <c r="F211" i="8"/>
  <c r="F199" i="8"/>
  <c r="F187" i="8"/>
  <c r="F175" i="8"/>
  <c r="F163" i="8"/>
  <c r="F151" i="8"/>
  <c r="F139" i="8"/>
  <c r="F127" i="8"/>
  <c r="F115" i="8"/>
  <c r="F103" i="8"/>
  <c r="F91" i="8"/>
  <c r="F79" i="8"/>
  <c r="F67" i="8"/>
  <c r="F55" i="8"/>
  <c r="F43" i="8"/>
  <c r="F31" i="8"/>
  <c r="F430" i="8"/>
  <c r="F250" i="8"/>
  <c r="F82" i="8"/>
  <c r="F450" i="8"/>
  <c r="F438" i="8"/>
  <c r="F426" i="8"/>
  <c r="F414" i="8"/>
  <c r="F402" i="8"/>
  <c r="F390" i="8"/>
  <c r="F378" i="8"/>
  <c r="F366" i="8"/>
  <c r="F354" i="8"/>
  <c r="F342" i="8"/>
  <c r="F330" i="8"/>
  <c r="F318" i="8"/>
  <c r="F306" i="8"/>
  <c r="F294" i="8"/>
  <c r="F282" i="8"/>
  <c r="F270" i="8"/>
  <c r="F258" i="8"/>
  <c r="F246" i="8"/>
  <c r="F234" i="8"/>
  <c r="F222" i="8"/>
  <c r="F210" i="8"/>
  <c r="F198" i="8"/>
  <c r="F186" i="8"/>
  <c r="F174" i="8"/>
  <c r="F162" i="8"/>
  <c r="F150" i="8"/>
  <c r="F138" i="8"/>
  <c r="F126" i="8"/>
  <c r="F114" i="8"/>
  <c r="F102" i="8"/>
  <c r="F90" i="8"/>
  <c r="F78" i="8"/>
  <c r="F66" i="8"/>
  <c r="F54" i="8"/>
  <c r="F42" i="8"/>
  <c r="F30" i="8"/>
  <c r="F394" i="8"/>
  <c r="F274" i="8"/>
  <c r="F190" i="8"/>
  <c r="F58" i="8"/>
  <c r="F509" i="8"/>
  <c r="F497" i="8"/>
  <c r="F485" i="8"/>
  <c r="F473" i="8"/>
  <c r="F461" i="8"/>
  <c r="F449" i="8"/>
  <c r="F437" i="8"/>
  <c r="F425" i="8"/>
  <c r="F413" i="8"/>
  <c r="F401" i="8"/>
  <c r="F389" i="8"/>
  <c r="F377" i="8"/>
  <c r="F365" i="8"/>
  <c r="F353" i="8"/>
  <c r="F341" i="8"/>
  <c r="F329" i="8"/>
  <c r="F317" i="8"/>
  <c r="F305" i="8"/>
  <c r="F293" i="8"/>
  <c r="F281" i="8"/>
  <c r="F269" i="8"/>
  <c r="F257" i="8"/>
  <c r="F245" i="8"/>
  <c r="F233" i="8"/>
  <c r="F221" i="8"/>
  <c r="F209" i="8"/>
  <c r="F197" i="8"/>
  <c r="F185" i="8"/>
  <c r="F173" i="8"/>
  <c r="F161" i="8"/>
  <c r="F149" i="8"/>
  <c r="F137" i="8"/>
  <c r="F125" i="8"/>
  <c r="F113" i="8"/>
  <c r="F101" i="8"/>
  <c r="F89" i="8"/>
  <c r="F77" i="8"/>
  <c r="F65" i="8"/>
  <c r="F53" i="8"/>
  <c r="F41" i="8"/>
  <c r="F29" i="8"/>
  <c r="F478" i="8"/>
  <c r="F334" i="8"/>
  <c r="F142" i="8"/>
  <c r="F510" i="8"/>
  <c r="F508" i="8"/>
  <c r="F496" i="8"/>
  <c r="F484" i="8"/>
  <c r="F472" i="8"/>
  <c r="F460" i="8"/>
  <c r="F448" i="8"/>
  <c r="F436" i="8"/>
  <c r="F424" i="8"/>
  <c r="F412" i="8"/>
  <c r="F400" i="8"/>
  <c r="F388" i="8"/>
  <c r="F376" i="8"/>
  <c r="F364" i="8"/>
  <c r="F352" i="8"/>
  <c r="F340" i="8"/>
  <c r="F328" i="8"/>
  <c r="F316" i="8"/>
  <c r="F304" i="8"/>
  <c r="F292" i="8"/>
  <c r="F280" i="8"/>
  <c r="F268" i="8"/>
  <c r="F256" i="8"/>
  <c r="F244" i="8"/>
  <c r="F232" i="8"/>
  <c r="F220" i="8"/>
  <c r="F208" i="8"/>
  <c r="F196" i="8"/>
  <c r="F184" i="8"/>
  <c r="F172" i="8"/>
  <c r="F160" i="8"/>
  <c r="F148" i="8"/>
  <c r="F136" i="8"/>
  <c r="F124" i="8"/>
  <c r="F112" i="8"/>
  <c r="F100" i="8"/>
  <c r="F88" i="8"/>
  <c r="F76" i="8"/>
  <c r="F64" i="8"/>
  <c r="F52" i="8"/>
  <c r="F40" i="8"/>
  <c r="F28" i="8"/>
  <c r="F406" i="8"/>
  <c r="F286" i="8"/>
  <c r="F130" i="8"/>
  <c r="F474" i="8"/>
  <c r="F507" i="8"/>
  <c r="F495" i="8"/>
  <c r="F483" i="8"/>
  <c r="F471" i="8"/>
  <c r="F459" i="8"/>
  <c r="F447" i="8"/>
  <c r="F435" i="8"/>
  <c r="F423" i="8"/>
  <c r="F411" i="8"/>
  <c r="F399" i="8"/>
  <c r="F387" i="8"/>
  <c r="F375" i="8"/>
  <c r="F363" i="8"/>
  <c r="F351" i="8"/>
  <c r="F339" i="8"/>
  <c r="F327" i="8"/>
  <c r="F315" i="8"/>
  <c r="F303" i="8"/>
  <c r="F291" i="8"/>
  <c r="F279" i="8"/>
  <c r="F267" i="8"/>
  <c r="F255" i="8"/>
  <c r="F243" i="8"/>
  <c r="F231" i="8"/>
  <c r="F219" i="8"/>
  <c r="F207" i="8"/>
  <c r="F195" i="8"/>
  <c r="F183" i="8"/>
  <c r="F171" i="8"/>
  <c r="F159" i="8"/>
  <c r="F147" i="8"/>
  <c r="F135" i="8"/>
  <c r="F123" i="8"/>
  <c r="F111" i="8"/>
  <c r="F99" i="8"/>
  <c r="F87" i="8"/>
  <c r="F75" i="8"/>
  <c r="F63" i="8"/>
  <c r="F51" i="8"/>
  <c r="F39" i="8"/>
  <c r="F26" i="8"/>
  <c r="F454" i="8"/>
  <c r="F322" i="8"/>
  <c r="F178" i="8"/>
  <c r="F498" i="8"/>
  <c r="F506" i="8"/>
  <c r="F494" i="8"/>
  <c r="F482" i="8"/>
  <c r="F470" i="8"/>
  <c r="F458" i="8"/>
  <c r="F446" i="8"/>
  <c r="F434" i="8"/>
  <c r="F422" i="8"/>
  <c r="F410" i="8"/>
  <c r="F398" i="8"/>
  <c r="F386" i="8"/>
  <c r="F374" i="8"/>
  <c r="F362" i="8"/>
  <c r="F350" i="8"/>
  <c r="F338" i="8"/>
  <c r="F326" i="8"/>
  <c r="F314" i="8"/>
  <c r="F302" i="8"/>
  <c r="F290" i="8"/>
  <c r="F278" i="8"/>
  <c r="F266" i="8"/>
  <c r="F254" i="8"/>
  <c r="F242" i="8"/>
  <c r="F230" i="8"/>
  <c r="F218" i="8"/>
  <c r="F206" i="8"/>
  <c r="F194" i="8"/>
  <c r="F182" i="8"/>
  <c r="F170" i="8"/>
  <c r="F158" i="8"/>
  <c r="F146" i="8"/>
  <c r="F134" i="8"/>
  <c r="F122" i="8"/>
  <c r="F110" i="8"/>
  <c r="F98" i="8"/>
  <c r="F86" i="8"/>
  <c r="F74" i="8"/>
  <c r="F62" i="8"/>
  <c r="F50" i="8"/>
  <c r="F38" i="8"/>
  <c r="F25" i="8"/>
  <c r="F466" i="8"/>
  <c r="F346" i="8"/>
  <c r="F166" i="8"/>
  <c r="F486" i="8"/>
  <c r="F505" i="8"/>
  <c r="F493" i="8"/>
  <c r="F481" i="8"/>
  <c r="F469" i="8"/>
  <c r="F457" i="8"/>
  <c r="F445" i="8"/>
  <c r="F433" i="8"/>
  <c r="F421" i="8"/>
  <c r="F409" i="8"/>
  <c r="F397" i="8"/>
  <c r="F385" i="8"/>
  <c r="F373" i="8"/>
  <c r="F361" i="8"/>
  <c r="F349" i="8"/>
  <c r="F337" i="8"/>
  <c r="F325" i="8"/>
  <c r="F313" i="8"/>
  <c r="F301" i="8"/>
  <c r="F289" i="8"/>
  <c r="F277" i="8"/>
  <c r="F265" i="8"/>
  <c r="F253" i="8"/>
  <c r="F241" i="8"/>
  <c r="F229" i="8"/>
  <c r="F217" i="8"/>
  <c r="F205" i="8"/>
  <c r="F193" i="8"/>
  <c r="F181" i="8"/>
  <c r="F169" i="8"/>
  <c r="F157" i="8"/>
  <c r="F145" i="8"/>
  <c r="F133" i="8"/>
  <c r="F121" i="8"/>
  <c r="F109" i="8"/>
  <c r="F97" i="8"/>
  <c r="F85" i="8"/>
  <c r="F73" i="8"/>
  <c r="F61" i="8"/>
  <c r="F49" i="8"/>
  <c r="F37" i="8"/>
  <c r="F24" i="8"/>
  <c r="F418" i="8"/>
  <c r="F298" i="8"/>
  <c r="F118" i="8"/>
  <c r="F462" i="8"/>
  <c r="F504" i="8"/>
  <c r="F492" i="8"/>
  <c r="F480" i="8"/>
  <c r="F468" i="8"/>
  <c r="F456" i="8"/>
  <c r="F444" i="8"/>
  <c r="F432" i="8"/>
  <c r="F420" i="8"/>
  <c r="F408" i="8"/>
  <c r="F396" i="8"/>
  <c r="F384" i="8"/>
  <c r="F372" i="8"/>
  <c r="F360" i="8"/>
  <c r="F348" i="8"/>
  <c r="F336" i="8"/>
  <c r="F324" i="8"/>
  <c r="F312" i="8"/>
  <c r="F300" i="8"/>
  <c r="F288" i="8"/>
  <c r="F276" i="8"/>
  <c r="F264" i="8"/>
  <c r="F252" i="8"/>
  <c r="F240" i="8"/>
  <c r="F228" i="8"/>
  <c r="F216" i="8"/>
  <c r="F204" i="8"/>
  <c r="F192" i="8"/>
  <c r="F180" i="8"/>
  <c r="F168" i="8"/>
  <c r="F156" i="8"/>
  <c r="F144" i="8"/>
  <c r="F132" i="8"/>
  <c r="F120" i="8"/>
  <c r="F108" i="8"/>
  <c r="F96" i="8"/>
  <c r="F84" i="8"/>
  <c r="F72" i="8"/>
  <c r="F60" i="8"/>
  <c r="F48" i="8"/>
  <c r="F36" i="8"/>
  <c r="F502" i="8"/>
  <c r="F370" i="8"/>
  <c r="F238" i="8"/>
  <c r="F106" i="8"/>
  <c r="F515" i="8"/>
  <c r="F503" i="8"/>
  <c r="F491" i="8"/>
  <c r="F479" i="8"/>
  <c r="F467" i="8"/>
  <c r="F455" i="8"/>
  <c r="F443" i="8"/>
  <c r="F431" i="8"/>
  <c r="F419" i="8"/>
  <c r="F407" i="8"/>
  <c r="F395" i="8"/>
  <c r="F383" i="8"/>
  <c r="F371" i="8"/>
  <c r="F359" i="8"/>
  <c r="F347" i="8"/>
  <c r="F335" i="8"/>
  <c r="F323" i="8"/>
  <c r="F311" i="8"/>
  <c r="F299" i="8"/>
  <c r="F287" i="8"/>
  <c r="F275" i="8"/>
  <c r="F263" i="8"/>
  <c r="F251" i="8"/>
  <c r="F239" i="8"/>
  <c r="F227" i="8"/>
  <c r="F215" i="8"/>
  <c r="F203" i="8"/>
  <c r="F191" i="8"/>
  <c r="F179" i="8"/>
  <c r="F167" i="8"/>
  <c r="F155" i="8"/>
  <c r="F143" i="8"/>
  <c r="F131" i="8"/>
  <c r="F119" i="8"/>
  <c r="F107" i="8"/>
  <c r="F95" i="8"/>
  <c r="F83" i="8"/>
  <c r="F71" i="8"/>
  <c r="F59" i="8"/>
  <c r="F47" i="8"/>
  <c r="F35" i="8"/>
  <c r="P513" i="8"/>
  <c r="O513" i="8"/>
  <c r="P501" i="8"/>
  <c r="O501" i="8"/>
  <c r="P489" i="8"/>
  <c r="O489" i="8"/>
  <c r="P477" i="8"/>
  <c r="O477" i="8"/>
  <c r="P465" i="8"/>
  <c r="O465" i="8"/>
  <c r="O453" i="8"/>
  <c r="P453" i="8"/>
  <c r="P441" i="8"/>
  <c r="O441" i="8"/>
  <c r="P429" i="8"/>
  <c r="O429" i="8"/>
  <c r="O417" i="8"/>
  <c r="P417" i="8"/>
  <c r="O405" i="8"/>
  <c r="P405" i="8"/>
  <c r="P393" i="8"/>
  <c r="O393" i="8"/>
  <c r="O381" i="8"/>
  <c r="P381" i="8"/>
  <c r="P369" i="8"/>
  <c r="O369" i="8"/>
  <c r="P357" i="8"/>
  <c r="O357" i="8"/>
  <c r="P345" i="8"/>
  <c r="O345" i="8"/>
  <c r="P333" i="8"/>
  <c r="O333" i="8"/>
  <c r="P321" i="8"/>
  <c r="O321" i="8"/>
  <c r="P309" i="8"/>
  <c r="O309" i="8"/>
  <c r="P297" i="8"/>
  <c r="O297" i="8"/>
  <c r="P285" i="8"/>
  <c r="O285" i="8"/>
  <c r="P273" i="8"/>
  <c r="O273" i="8"/>
  <c r="P261" i="8"/>
  <c r="O261" i="8"/>
  <c r="P249" i="8"/>
  <c r="O249" i="8"/>
  <c r="O237" i="8"/>
  <c r="P237" i="8"/>
  <c r="O225" i="8"/>
  <c r="P225" i="8"/>
  <c r="P213" i="8"/>
  <c r="O213" i="8"/>
  <c r="O201" i="8"/>
  <c r="P201" i="8"/>
  <c r="P189" i="8"/>
  <c r="O189" i="8"/>
  <c r="P177" i="8"/>
  <c r="O177" i="8"/>
  <c r="O165" i="8"/>
  <c r="P165" i="8"/>
  <c r="P153" i="8"/>
  <c r="O153" i="8"/>
  <c r="O141" i="8"/>
  <c r="P141" i="8"/>
  <c r="P129" i="8"/>
  <c r="O129" i="8"/>
  <c r="P117" i="8"/>
  <c r="O117" i="8"/>
  <c r="P105" i="8"/>
  <c r="O105" i="8"/>
  <c r="O93" i="8"/>
  <c r="P93" i="8"/>
  <c r="O81" i="8"/>
  <c r="P81" i="8"/>
  <c r="O69" i="8"/>
  <c r="P69" i="8"/>
  <c r="P57" i="8"/>
  <c r="O57" i="8"/>
  <c r="P45" i="8"/>
  <c r="O45" i="8"/>
  <c r="O33" i="8"/>
  <c r="P33" i="8"/>
  <c r="O512" i="8"/>
  <c r="P512" i="8"/>
  <c r="P500" i="8"/>
  <c r="O500" i="8"/>
  <c r="P488" i="8"/>
  <c r="O488" i="8"/>
  <c r="P476" i="8"/>
  <c r="O476" i="8"/>
  <c r="P464" i="8"/>
  <c r="O464" i="8"/>
  <c r="O452" i="8"/>
  <c r="P452" i="8"/>
  <c r="P440" i="8"/>
  <c r="O440" i="8"/>
  <c r="P428" i="8"/>
  <c r="O428" i="8"/>
  <c r="O416" i="8"/>
  <c r="P416" i="8"/>
  <c r="O404" i="8"/>
  <c r="P404" i="8"/>
  <c r="O392" i="8"/>
  <c r="P392" i="8"/>
  <c r="P380" i="8"/>
  <c r="O380" i="8"/>
  <c r="O368" i="8"/>
  <c r="P368" i="8"/>
  <c r="P356" i="8"/>
  <c r="O356" i="8"/>
  <c r="P344" i="8"/>
  <c r="O344" i="8"/>
  <c r="P332" i="8"/>
  <c r="O332" i="8"/>
  <c r="P320" i="8"/>
  <c r="O320" i="8"/>
  <c r="P308" i="8"/>
  <c r="O308" i="8"/>
  <c r="O296" i="8"/>
  <c r="P296" i="8"/>
  <c r="P284" i="8"/>
  <c r="O284" i="8"/>
  <c r="O272" i="8"/>
  <c r="P272" i="8"/>
  <c r="O260" i="8"/>
  <c r="P260" i="8"/>
  <c r="O248" i="8"/>
  <c r="P248" i="8"/>
  <c r="P236" i="8"/>
  <c r="O236" i="8"/>
  <c r="O224" i="8"/>
  <c r="P224" i="8"/>
  <c r="O212" i="8"/>
  <c r="P212" i="8"/>
  <c r="O200" i="8"/>
  <c r="P200" i="8"/>
  <c r="P188" i="8"/>
  <c r="O188" i="8"/>
  <c r="P176" i="8"/>
  <c r="O176" i="8"/>
  <c r="P164" i="8"/>
  <c r="O164" i="8"/>
  <c r="P152" i="8"/>
  <c r="O152" i="8"/>
  <c r="O140" i="8"/>
  <c r="P140" i="8"/>
  <c r="P128" i="8"/>
  <c r="O128" i="8"/>
  <c r="P116" i="8"/>
  <c r="O116" i="8"/>
  <c r="O104" i="8"/>
  <c r="P104" i="8"/>
  <c r="P92" i="8"/>
  <c r="O92" i="8"/>
  <c r="O80" i="8"/>
  <c r="P80" i="8"/>
  <c r="O68" i="8"/>
  <c r="P68" i="8"/>
  <c r="P56" i="8"/>
  <c r="O56" i="8"/>
  <c r="P44" i="8"/>
  <c r="O44" i="8"/>
  <c r="O32" i="8"/>
  <c r="P32" i="8"/>
  <c r="P511" i="8"/>
  <c r="O511" i="8"/>
  <c r="O499" i="8"/>
  <c r="P499" i="8"/>
  <c r="P487" i="8"/>
  <c r="O487" i="8"/>
  <c r="P475" i="8"/>
  <c r="O475" i="8"/>
  <c r="P463" i="8"/>
  <c r="O463" i="8"/>
  <c r="P451" i="8"/>
  <c r="O451" i="8"/>
  <c r="P439" i="8"/>
  <c r="O439" i="8"/>
  <c r="P427" i="8"/>
  <c r="O427" i="8"/>
  <c r="P415" i="8"/>
  <c r="O415" i="8"/>
  <c r="O403" i="8"/>
  <c r="P403" i="8"/>
  <c r="O391" i="8"/>
  <c r="P391" i="8"/>
  <c r="O379" i="8"/>
  <c r="P379" i="8"/>
  <c r="O367" i="8"/>
  <c r="P367" i="8"/>
  <c r="O355" i="8"/>
  <c r="P355" i="8"/>
  <c r="P343" i="8"/>
  <c r="O343" i="8"/>
  <c r="P331" i="8"/>
  <c r="O331" i="8"/>
  <c r="P319" i="8"/>
  <c r="O319" i="8"/>
  <c r="P307" i="8"/>
  <c r="O307" i="8"/>
  <c r="O295" i="8"/>
  <c r="P295" i="8"/>
  <c r="P283" i="8"/>
  <c r="O283" i="8"/>
  <c r="O271" i="8"/>
  <c r="P271" i="8"/>
  <c r="O259" i="8"/>
  <c r="P259" i="8"/>
  <c r="P247" i="8"/>
  <c r="O247" i="8"/>
  <c r="O235" i="8"/>
  <c r="P235" i="8"/>
  <c r="P223" i="8"/>
  <c r="O223" i="8"/>
  <c r="O211" i="8"/>
  <c r="P211" i="8"/>
  <c r="O199" i="8"/>
  <c r="P199" i="8"/>
  <c r="P187" i="8"/>
  <c r="O187" i="8"/>
  <c r="P175" i="8"/>
  <c r="O175" i="8"/>
  <c r="P163" i="8"/>
  <c r="O163" i="8"/>
  <c r="P151" i="8"/>
  <c r="O151" i="8"/>
  <c r="O139" i="8"/>
  <c r="P139" i="8"/>
  <c r="P127" i="8"/>
  <c r="O127" i="8"/>
  <c r="P115" i="8"/>
  <c r="O115" i="8"/>
  <c r="P103" i="8"/>
  <c r="O103" i="8"/>
  <c r="O91" i="8"/>
  <c r="P91" i="8"/>
  <c r="O79" i="8"/>
  <c r="P79" i="8"/>
  <c r="O67" i="8"/>
  <c r="P67" i="8"/>
  <c r="O55" i="8"/>
  <c r="P55" i="8"/>
  <c r="P43" i="8"/>
  <c r="O43" i="8"/>
  <c r="P31" i="8"/>
  <c r="O31" i="8"/>
  <c r="P510" i="8"/>
  <c r="O510" i="8"/>
  <c r="P498" i="8"/>
  <c r="O498" i="8"/>
  <c r="P486" i="8"/>
  <c r="O486" i="8"/>
  <c r="P474" i="8"/>
  <c r="O474" i="8"/>
  <c r="P462" i="8"/>
  <c r="O462" i="8"/>
  <c r="P450" i="8"/>
  <c r="O450" i="8"/>
  <c r="P438" i="8"/>
  <c r="O438" i="8"/>
  <c r="P426" i="8"/>
  <c r="O426" i="8"/>
  <c r="P414" i="8"/>
  <c r="O414" i="8"/>
  <c r="P402" i="8"/>
  <c r="O402" i="8"/>
  <c r="P390" i="8"/>
  <c r="O390" i="8"/>
  <c r="P378" i="8"/>
  <c r="O378" i="8"/>
  <c r="P366" i="8"/>
  <c r="O366" i="8"/>
  <c r="P354" i="8"/>
  <c r="O354" i="8"/>
  <c r="P342" i="8"/>
  <c r="O342" i="8"/>
  <c r="P330" i="8"/>
  <c r="O330" i="8"/>
  <c r="P318" i="8"/>
  <c r="O318" i="8"/>
  <c r="P306" i="8"/>
  <c r="O306" i="8"/>
  <c r="P294" i="8"/>
  <c r="O294" i="8"/>
  <c r="P282" i="8"/>
  <c r="O282" i="8"/>
  <c r="P270" i="8"/>
  <c r="O270" i="8"/>
  <c r="P258" i="8"/>
  <c r="O258" i="8"/>
  <c r="P246" i="8"/>
  <c r="O246" i="8"/>
  <c r="P234" i="8"/>
  <c r="O234" i="8"/>
  <c r="P222" i="8"/>
  <c r="O222" i="8"/>
  <c r="P210" i="8"/>
  <c r="O210" i="8"/>
  <c r="P198" i="8"/>
  <c r="O198" i="8"/>
  <c r="P186" i="8"/>
  <c r="O186" i="8"/>
  <c r="P174" i="8"/>
  <c r="O174" i="8"/>
  <c r="P162" i="8"/>
  <c r="O162" i="8"/>
  <c r="P150" i="8"/>
  <c r="O150" i="8"/>
  <c r="P138" i="8"/>
  <c r="O138" i="8"/>
  <c r="P126" i="8"/>
  <c r="O126" i="8"/>
  <c r="P114" i="8"/>
  <c r="O114" i="8"/>
  <c r="P102" i="8"/>
  <c r="O102" i="8"/>
  <c r="P90" i="8"/>
  <c r="O90" i="8"/>
  <c r="P78" i="8"/>
  <c r="O78" i="8"/>
  <c r="P66" i="8"/>
  <c r="O66" i="8"/>
  <c r="P54" i="8"/>
  <c r="O54" i="8"/>
  <c r="P42" i="8"/>
  <c r="O42" i="8"/>
  <c r="O30" i="8"/>
  <c r="P30" i="8"/>
  <c r="O509" i="8"/>
  <c r="P509" i="8"/>
  <c r="O497" i="8"/>
  <c r="P497" i="8"/>
  <c r="P485" i="8"/>
  <c r="O485" i="8"/>
  <c r="P473" i="8"/>
  <c r="O473" i="8"/>
  <c r="P461" i="8"/>
  <c r="O461" i="8"/>
  <c r="P449" i="8"/>
  <c r="O449" i="8"/>
  <c r="P437" i="8"/>
  <c r="O437" i="8"/>
  <c r="O425" i="8"/>
  <c r="P425" i="8"/>
  <c r="O413" i="8"/>
  <c r="P413" i="8"/>
  <c r="O401" i="8"/>
  <c r="P401" i="8"/>
  <c r="O389" i="8"/>
  <c r="P389" i="8"/>
  <c r="P377" i="8"/>
  <c r="O377" i="8"/>
  <c r="O365" i="8"/>
  <c r="P365" i="8"/>
  <c r="O353" i="8"/>
  <c r="P353" i="8"/>
  <c r="P341" i="8"/>
  <c r="O341" i="8"/>
  <c r="P329" i="8"/>
  <c r="O329" i="8"/>
  <c r="P317" i="8"/>
  <c r="O317" i="8"/>
  <c r="P305" i="8"/>
  <c r="O305" i="8"/>
  <c r="P293" i="8"/>
  <c r="O293" i="8"/>
  <c r="O281" i="8"/>
  <c r="P281" i="8"/>
  <c r="O269" i="8"/>
  <c r="P269" i="8"/>
  <c r="P257" i="8"/>
  <c r="O257" i="8"/>
  <c r="O245" i="8"/>
  <c r="P245" i="8"/>
  <c r="P233" i="8"/>
  <c r="O233" i="8"/>
  <c r="P221" i="8"/>
  <c r="O221" i="8"/>
  <c r="O209" i="8"/>
  <c r="P209" i="8"/>
  <c r="P197" i="8"/>
  <c r="O197" i="8"/>
  <c r="O185" i="8"/>
  <c r="P185" i="8"/>
  <c r="O173" i="8"/>
  <c r="P173" i="8"/>
  <c r="P161" i="8"/>
  <c r="O161" i="8"/>
  <c r="P149" i="8"/>
  <c r="O149" i="8"/>
  <c r="P137" i="8"/>
  <c r="O137" i="8"/>
  <c r="P125" i="8"/>
  <c r="O125" i="8"/>
  <c r="P113" i="8"/>
  <c r="O113" i="8"/>
  <c r="P101" i="8"/>
  <c r="O101" i="8"/>
  <c r="P89" i="8"/>
  <c r="O89" i="8"/>
  <c r="P77" i="8"/>
  <c r="O77" i="8"/>
  <c r="P65" i="8"/>
  <c r="O65" i="8"/>
  <c r="P53" i="8"/>
  <c r="O53" i="8"/>
  <c r="P41" i="8"/>
  <c r="O41" i="8"/>
  <c r="P29" i="8"/>
  <c r="O29" i="8"/>
  <c r="O508" i="8"/>
  <c r="P508" i="8"/>
  <c r="P496" i="8"/>
  <c r="O496" i="8"/>
  <c r="O484" i="8"/>
  <c r="P484" i="8"/>
  <c r="P472" i="8"/>
  <c r="O472" i="8"/>
  <c r="P460" i="8"/>
  <c r="O460" i="8"/>
  <c r="P448" i="8"/>
  <c r="O448" i="8"/>
  <c r="P436" i="8"/>
  <c r="O436" i="8"/>
  <c r="P424" i="8"/>
  <c r="O424" i="8"/>
  <c r="O412" i="8"/>
  <c r="P412" i="8"/>
  <c r="O400" i="8"/>
  <c r="P400" i="8"/>
  <c r="O388" i="8"/>
  <c r="P388" i="8"/>
  <c r="P376" i="8"/>
  <c r="O376" i="8"/>
  <c r="O364" i="8"/>
  <c r="P364" i="8"/>
  <c r="O352" i="8"/>
  <c r="P352" i="8"/>
  <c r="O340" i="8"/>
  <c r="P340" i="8"/>
  <c r="P328" i="8"/>
  <c r="O328" i="8"/>
  <c r="P316" i="8"/>
  <c r="O316" i="8"/>
  <c r="P304" i="8"/>
  <c r="O304" i="8"/>
  <c r="P292" i="8"/>
  <c r="O292" i="8"/>
  <c r="O280" i="8"/>
  <c r="P280" i="8"/>
  <c r="O268" i="8"/>
  <c r="P268" i="8"/>
  <c r="P256" i="8"/>
  <c r="O256" i="8"/>
  <c r="O244" i="8"/>
  <c r="P244" i="8"/>
  <c r="P232" i="8"/>
  <c r="O232" i="8"/>
  <c r="P220" i="8"/>
  <c r="O220" i="8"/>
  <c r="O208" i="8"/>
  <c r="P208" i="8"/>
  <c r="O196" i="8"/>
  <c r="P196" i="8"/>
  <c r="O184" i="8"/>
  <c r="P184" i="8"/>
  <c r="O172" i="8"/>
  <c r="P172" i="8"/>
  <c r="P160" i="8"/>
  <c r="O160" i="8"/>
  <c r="P148" i="8"/>
  <c r="O148" i="8"/>
  <c r="P136" i="8"/>
  <c r="O136" i="8"/>
  <c r="P124" i="8"/>
  <c r="O124" i="8"/>
  <c r="P112" i="8"/>
  <c r="O112" i="8"/>
  <c r="P100" i="8"/>
  <c r="O100" i="8"/>
  <c r="P88" i="8"/>
  <c r="O88" i="8"/>
  <c r="O76" i="8"/>
  <c r="P76" i="8"/>
  <c r="P64" i="8"/>
  <c r="O64" i="8"/>
  <c r="O52" i="8"/>
  <c r="P52" i="8"/>
  <c r="P40" i="8"/>
  <c r="O40" i="8"/>
  <c r="P28" i="8"/>
  <c r="O28" i="8"/>
  <c r="O507" i="8"/>
  <c r="P507" i="8"/>
  <c r="P495" i="8"/>
  <c r="O495" i="8"/>
  <c r="P483" i="8"/>
  <c r="O483" i="8"/>
  <c r="O471" i="8"/>
  <c r="P471" i="8"/>
  <c r="P459" i="8"/>
  <c r="O459" i="8"/>
  <c r="P447" i="8"/>
  <c r="O447" i="8"/>
  <c r="P435" i="8"/>
  <c r="O435" i="8"/>
  <c r="P423" i="8"/>
  <c r="O423" i="8"/>
  <c r="P411" i="8"/>
  <c r="O411" i="8"/>
  <c r="P399" i="8"/>
  <c r="O399" i="8"/>
  <c r="O387" i="8"/>
  <c r="P387" i="8"/>
  <c r="P375" i="8"/>
  <c r="O375" i="8"/>
  <c r="P363" i="8"/>
  <c r="O363" i="8"/>
  <c r="O351" i="8"/>
  <c r="P351" i="8"/>
  <c r="P339" i="8"/>
  <c r="O339" i="8"/>
  <c r="O327" i="8"/>
  <c r="P327" i="8"/>
  <c r="P315" i="8"/>
  <c r="O315" i="8"/>
  <c r="P303" i="8"/>
  <c r="O303" i="8"/>
  <c r="P291" i="8"/>
  <c r="O291" i="8"/>
  <c r="P279" i="8"/>
  <c r="O279" i="8"/>
  <c r="P267" i="8"/>
  <c r="O267" i="8"/>
  <c r="P255" i="8"/>
  <c r="O255" i="8"/>
  <c r="P243" i="8"/>
  <c r="O243" i="8"/>
  <c r="P231" i="8"/>
  <c r="O231" i="8"/>
  <c r="P219" i="8"/>
  <c r="O219" i="8"/>
  <c r="P207" i="8"/>
  <c r="O207" i="8"/>
  <c r="P195" i="8"/>
  <c r="O195" i="8"/>
  <c r="P183" i="8"/>
  <c r="O183" i="8"/>
  <c r="P171" i="8"/>
  <c r="O171" i="8"/>
  <c r="P159" i="8"/>
  <c r="O159" i="8"/>
  <c r="P147" i="8"/>
  <c r="O147" i="8"/>
  <c r="P135" i="8"/>
  <c r="O135" i="8"/>
  <c r="P123" i="8"/>
  <c r="O123" i="8"/>
  <c r="P111" i="8"/>
  <c r="O111" i="8"/>
  <c r="P99" i="8"/>
  <c r="O99" i="8"/>
  <c r="P87" i="8"/>
  <c r="O87" i="8"/>
  <c r="P75" i="8"/>
  <c r="O75" i="8"/>
  <c r="P63" i="8"/>
  <c r="O63" i="8"/>
  <c r="P51" i="8"/>
  <c r="O51" i="8"/>
  <c r="P39" i="8"/>
  <c r="O39" i="8"/>
  <c r="P27" i="8"/>
  <c r="O27" i="8"/>
  <c r="O506" i="8"/>
  <c r="P506" i="8"/>
  <c r="P494" i="8"/>
  <c r="O494" i="8"/>
  <c r="P482" i="8"/>
  <c r="O482" i="8"/>
  <c r="O470" i="8"/>
  <c r="P470" i="8"/>
  <c r="O458" i="8"/>
  <c r="P458" i="8"/>
  <c r="O446" i="8"/>
  <c r="P446" i="8"/>
  <c r="P434" i="8"/>
  <c r="O434" i="8"/>
  <c r="P422" i="8"/>
  <c r="O422" i="8"/>
  <c r="P410" i="8"/>
  <c r="O410" i="8"/>
  <c r="P398" i="8"/>
  <c r="O398" i="8"/>
  <c r="O386" i="8"/>
  <c r="P386" i="8"/>
  <c r="O374" i="8"/>
  <c r="P374" i="8"/>
  <c r="P362" i="8"/>
  <c r="O362" i="8"/>
  <c r="O350" i="8"/>
  <c r="P350" i="8"/>
  <c r="P338" i="8"/>
  <c r="O338" i="8"/>
  <c r="P326" i="8"/>
  <c r="O326" i="8"/>
  <c r="O314" i="8"/>
  <c r="P314" i="8"/>
  <c r="P302" i="8"/>
  <c r="O302" i="8"/>
  <c r="P290" i="8"/>
  <c r="O290" i="8"/>
  <c r="P278" i="8"/>
  <c r="O278" i="8"/>
  <c r="O266" i="8"/>
  <c r="P266" i="8"/>
  <c r="P254" i="8"/>
  <c r="O254" i="8"/>
  <c r="P242" i="8"/>
  <c r="O242" i="8"/>
  <c r="P230" i="8"/>
  <c r="O230" i="8"/>
  <c r="P218" i="8"/>
  <c r="O218" i="8"/>
  <c r="P206" i="8"/>
  <c r="O206" i="8"/>
  <c r="P194" i="8"/>
  <c r="O194" i="8"/>
  <c r="O182" i="8"/>
  <c r="P182" i="8"/>
  <c r="O170" i="8"/>
  <c r="P170" i="8"/>
  <c r="O158" i="8"/>
  <c r="P158" i="8"/>
  <c r="P146" i="8"/>
  <c r="O146" i="8"/>
  <c r="P134" i="8"/>
  <c r="O134" i="8"/>
  <c r="O122" i="8"/>
  <c r="P122" i="8"/>
  <c r="O110" i="8"/>
  <c r="P110" i="8"/>
  <c r="O98" i="8"/>
  <c r="P98" i="8"/>
  <c r="P86" i="8"/>
  <c r="O86" i="8"/>
  <c r="P74" i="8"/>
  <c r="O74" i="8"/>
  <c r="P62" i="8"/>
  <c r="O62" i="8"/>
  <c r="O50" i="8"/>
  <c r="P50" i="8"/>
  <c r="P38" i="8"/>
  <c r="O38" i="8"/>
  <c r="P26" i="8"/>
  <c r="O26" i="8"/>
  <c r="O505" i="8"/>
  <c r="P505" i="8"/>
  <c r="P493" i="8"/>
  <c r="O493" i="8"/>
  <c r="P481" i="8"/>
  <c r="O481" i="8"/>
  <c r="O469" i="8"/>
  <c r="P469" i="8"/>
  <c r="P457" i="8"/>
  <c r="O457" i="8"/>
  <c r="O445" i="8"/>
  <c r="P445" i="8"/>
  <c r="P433" i="8"/>
  <c r="O433" i="8"/>
  <c r="P421" i="8"/>
  <c r="O421" i="8"/>
  <c r="P409" i="8"/>
  <c r="O409" i="8"/>
  <c r="P397" i="8"/>
  <c r="O397" i="8"/>
  <c r="P385" i="8"/>
  <c r="O385" i="8"/>
  <c r="O373" i="8"/>
  <c r="P373" i="8"/>
  <c r="P361" i="8"/>
  <c r="O361" i="8"/>
  <c r="O349" i="8"/>
  <c r="P349" i="8"/>
  <c r="P337" i="8"/>
  <c r="O337" i="8"/>
  <c r="P325" i="8"/>
  <c r="O325" i="8"/>
  <c r="O313" i="8"/>
  <c r="P313" i="8"/>
  <c r="O301" i="8"/>
  <c r="P301" i="8"/>
  <c r="P289" i="8"/>
  <c r="O289" i="8"/>
  <c r="P277" i="8"/>
  <c r="O277" i="8"/>
  <c r="O265" i="8"/>
  <c r="P265" i="8"/>
  <c r="P253" i="8"/>
  <c r="O253" i="8"/>
  <c r="P241" i="8"/>
  <c r="O241" i="8"/>
  <c r="P229" i="8"/>
  <c r="O229" i="8"/>
  <c r="P217" i="8"/>
  <c r="O217" i="8"/>
  <c r="P205" i="8"/>
  <c r="O205" i="8"/>
  <c r="P193" i="8"/>
  <c r="O193" i="8"/>
  <c r="O181" i="8"/>
  <c r="P181" i="8"/>
  <c r="P169" i="8"/>
  <c r="O169" i="8"/>
  <c r="O157" i="8"/>
  <c r="P157" i="8"/>
  <c r="P145" i="8"/>
  <c r="O145" i="8"/>
  <c r="P133" i="8"/>
  <c r="O133" i="8"/>
  <c r="O121" i="8"/>
  <c r="P121" i="8"/>
  <c r="O109" i="8"/>
  <c r="P109" i="8"/>
  <c r="O97" i="8"/>
  <c r="P97" i="8"/>
  <c r="P85" i="8"/>
  <c r="O85" i="8"/>
  <c r="P73" i="8"/>
  <c r="O73" i="8"/>
  <c r="P61" i="8"/>
  <c r="O61" i="8"/>
  <c r="P49" i="8"/>
  <c r="O49" i="8"/>
  <c r="O37" i="8"/>
  <c r="P37" i="8"/>
  <c r="O25" i="8"/>
  <c r="P25" i="8"/>
  <c r="P504" i="8"/>
  <c r="O504" i="8"/>
  <c r="O492" i="8"/>
  <c r="P492" i="8"/>
  <c r="P480" i="8"/>
  <c r="O480" i="8"/>
  <c r="P468" i="8"/>
  <c r="O468" i="8"/>
  <c r="P456" i="8"/>
  <c r="O456" i="8"/>
  <c r="P444" i="8"/>
  <c r="O444" i="8"/>
  <c r="O432" i="8"/>
  <c r="P432" i="8"/>
  <c r="O420" i="8"/>
  <c r="P420" i="8"/>
  <c r="P408" i="8"/>
  <c r="O408" i="8"/>
  <c r="P396" i="8"/>
  <c r="O396" i="8"/>
  <c r="P384" i="8"/>
  <c r="O384" i="8"/>
  <c r="P372" i="8"/>
  <c r="O372" i="8"/>
  <c r="P360" i="8"/>
  <c r="O360" i="8"/>
  <c r="O348" i="8"/>
  <c r="P348" i="8"/>
  <c r="P336" i="8"/>
  <c r="O336" i="8"/>
  <c r="P324" i="8"/>
  <c r="O324" i="8"/>
  <c r="O312" i="8"/>
  <c r="P312" i="8"/>
  <c r="P300" i="8"/>
  <c r="O300" i="8"/>
  <c r="O288" i="8"/>
  <c r="P288" i="8"/>
  <c r="P276" i="8"/>
  <c r="O276" i="8"/>
  <c r="O264" i="8"/>
  <c r="P264" i="8"/>
  <c r="O252" i="8"/>
  <c r="P252" i="8"/>
  <c r="P240" i="8"/>
  <c r="O240" i="8"/>
  <c r="O228" i="8"/>
  <c r="P228" i="8"/>
  <c r="P216" i="8"/>
  <c r="O216" i="8"/>
  <c r="P204" i="8"/>
  <c r="O204" i="8"/>
  <c r="P192" i="8"/>
  <c r="O192" i="8"/>
  <c r="O180" i="8"/>
  <c r="P180" i="8"/>
  <c r="P168" i="8"/>
  <c r="O168" i="8"/>
  <c r="O156" i="8"/>
  <c r="P156" i="8"/>
  <c r="O144" i="8"/>
  <c r="P144" i="8"/>
  <c r="P132" i="8"/>
  <c r="O132" i="8"/>
  <c r="O120" i="8"/>
  <c r="P120" i="8"/>
  <c r="O108" i="8"/>
  <c r="P108" i="8"/>
  <c r="O96" i="8"/>
  <c r="P96" i="8"/>
  <c r="P84" i="8"/>
  <c r="O84" i="8"/>
  <c r="P72" i="8"/>
  <c r="O72" i="8"/>
  <c r="P60" i="8"/>
  <c r="O60" i="8"/>
  <c r="P48" i="8"/>
  <c r="O48" i="8"/>
  <c r="P36" i="8"/>
  <c r="O36" i="8"/>
  <c r="P24" i="8"/>
  <c r="O24" i="8"/>
  <c r="P515" i="8"/>
  <c r="O515" i="8"/>
  <c r="P503" i="8"/>
  <c r="O503" i="8"/>
  <c r="O491" i="8"/>
  <c r="P491" i="8"/>
  <c r="P479" i="8"/>
  <c r="O479" i="8"/>
  <c r="P467" i="8"/>
  <c r="O467" i="8"/>
  <c r="P455" i="8"/>
  <c r="O455" i="8"/>
  <c r="P443" i="8"/>
  <c r="O443" i="8"/>
  <c r="O431" i="8"/>
  <c r="P431" i="8"/>
  <c r="O419" i="8"/>
  <c r="P419" i="8"/>
  <c r="O407" i="8"/>
  <c r="P407" i="8"/>
  <c r="P395" i="8"/>
  <c r="O395" i="8"/>
  <c r="P383" i="8"/>
  <c r="O383" i="8"/>
  <c r="P371" i="8"/>
  <c r="O371" i="8"/>
  <c r="P359" i="8"/>
  <c r="O359" i="8"/>
  <c r="P347" i="8"/>
  <c r="O347" i="8"/>
  <c r="O335" i="8"/>
  <c r="P335" i="8"/>
  <c r="P323" i="8"/>
  <c r="O323" i="8"/>
  <c r="P311" i="8"/>
  <c r="O311" i="8"/>
  <c r="P299" i="8"/>
  <c r="O299" i="8"/>
  <c r="O287" i="8"/>
  <c r="P287" i="8"/>
  <c r="P275" i="8"/>
  <c r="O275" i="8"/>
  <c r="P263" i="8"/>
  <c r="O263" i="8"/>
  <c r="O251" i="8"/>
  <c r="P251" i="8"/>
  <c r="O239" i="8"/>
  <c r="P239" i="8"/>
  <c r="O227" i="8"/>
  <c r="P227" i="8"/>
  <c r="P215" i="8"/>
  <c r="O215" i="8"/>
  <c r="P203" i="8"/>
  <c r="O203" i="8"/>
  <c r="P191" i="8"/>
  <c r="O191" i="8"/>
  <c r="O179" i="8"/>
  <c r="P179" i="8"/>
  <c r="P167" i="8"/>
  <c r="O167" i="8"/>
  <c r="O155" i="8"/>
  <c r="P155" i="8"/>
  <c r="P143" i="8"/>
  <c r="O143" i="8"/>
  <c r="P131" i="8"/>
  <c r="O131" i="8"/>
  <c r="P119" i="8"/>
  <c r="O119" i="8"/>
  <c r="O107" i="8"/>
  <c r="P107" i="8"/>
  <c r="O95" i="8"/>
  <c r="P95" i="8"/>
  <c r="P83" i="8"/>
  <c r="O83" i="8"/>
  <c r="P71" i="8"/>
  <c r="O71" i="8"/>
  <c r="P59" i="8"/>
  <c r="O59" i="8"/>
  <c r="P47" i="8"/>
  <c r="O47" i="8"/>
  <c r="O35" i="8"/>
  <c r="P35" i="8"/>
  <c r="P23" i="8"/>
  <c r="O23" i="8"/>
  <c r="O514" i="8"/>
  <c r="P514" i="8"/>
  <c r="O502" i="8"/>
  <c r="P502" i="8"/>
  <c r="O490" i="8"/>
  <c r="P490" i="8"/>
  <c r="O478" i="8"/>
  <c r="P478" i="8"/>
  <c r="O466" i="8"/>
  <c r="P466" i="8"/>
  <c r="O454" i="8"/>
  <c r="P454" i="8"/>
  <c r="O442" i="8"/>
  <c r="P442" i="8"/>
  <c r="O430" i="8"/>
  <c r="P430" i="8"/>
  <c r="O418" i="8"/>
  <c r="P418" i="8"/>
  <c r="O406" i="8"/>
  <c r="P406" i="8"/>
  <c r="O394" i="8"/>
  <c r="P394" i="8"/>
  <c r="O382" i="8"/>
  <c r="P382" i="8"/>
  <c r="O370" i="8"/>
  <c r="P370" i="8"/>
  <c r="O358" i="8"/>
  <c r="P358" i="8"/>
  <c r="O346" i="8"/>
  <c r="P346" i="8"/>
  <c r="O334" i="8"/>
  <c r="P334" i="8"/>
  <c r="O322" i="8"/>
  <c r="P322" i="8"/>
  <c r="O310" i="8"/>
  <c r="P310" i="8"/>
  <c r="O298" i="8"/>
  <c r="P298" i="8"/>
  <c r="O286" i="8"/>
  <c r="P286" i="8"/>
  <c r="O274" i="8"/>
  <c r="P274" i="8"/>
  <c r="O262" i="8"/>
  <c r="P262" i="8"/>
  <c r="O250" i="8"/>
  <c r="P250" i="8"/>
  <c r="O238" i="8"/>
  <c r="P238" i="8"/>
  <c r="O226" i="8"/>
  <c r="P226" i="8"/>
  <c r="O214" i="8"/>
  <c r="P214" i="8"/>
  <c r="O202" i="8"/>
  <c r="P202" i="8"/>
  <c r="O190" i="8"/>
  <c r="P190" i="8"/>
  <c r="O178" i="8"/>
  <c r="P178" i="8"/>
  <c r="O166" i="8"/>
  <c r="P166" i="8"/>
  <c r="O154" i="8"/>
  <c r="P154" i="8"/>
  <c r="O142" i="8"/>
  <c r="P142" i="8"/>
  <c r="O130" i="8"/>
  <c r="P130" i="8"/>
  <c r="O118" i="8"/>
  <c r="P118" i="8"/>
  <c r="O106" i="8"/>
  <c r="P106" i="8"/>
  <c r="O94" i="8"/>
  <c r="P94" i="8"/>
  <c r="O82" i="8"/>
  <c r="P82" i="8"/>
  <c r="O70" i="8"/>
  <c r="P70" i="8"/>
  <c r="O58" i="8"/>
  <c r="P58" i="8"/>
  <c r="O46" i="8"/>
  <c r="P46" i="8"/>
  <c r="O34" i="8"/>
  <c r="P34" i="8"/>
  <c r="O22" i="8"/>
  <c r="P22" i="8"/>
  <c r="K496" i="8"/>
  <c r="N496" i="8" s="1"/>
  <c r="K476" i="8"/>
  <c r="N476" i="8" s="1"/>
  <c r="K456" i="8"/>
  <c r="N456" i="8" s="1"/>
  <c r="K436" i="8"/>
  <c r="N436" i="8" s="1"/>
  <c r="K416" i="8"/>
  <c r="N416" i="8" s="1"/>
  <c r="K396" i="8"/>
  <c r="N396" i="8" s="1"/>
  <c r="K376" i="8"/>
  <c r="N376" i="8" s="1"/>
  <c r="K356" i="8"/>
  <c r="N356" i="8" s="1"/>
  <c r="K336" i="8"/>
  <c r="N336" i="8" s="1"/>
  <c r="K316" i="8"/>
  <c r="N316" i="8" s="1"/>
  <c r="K296" i="8"/>
  <c r="N296" i="8" s="1"/>
  <c r="K276" i="8"/>
  <c r="N276" i="8" s="1"/>
  <c r="K256" i="8"/>
  <c r="N256" i="8" s="1"/>
  <c r="K236" i="8"/>
  <c r="N236" i="8" s="1"/>
  <c r="K216" i="8"/>
  <c r="N216" i="8" s="1"/>
  <c r="K196" i="8"/>
  <c r="N196" i="8" s="1"/>
  <c r="K176" i="8"/>
  <c r="N176" i="8" s="1"/>
  <c r="K156" i="8"/>
  <c r="N156" i="8" s="1"/>
  <c r="K136" i="8"/>
  <c r="N136" i="8" s="1"/>
  <c r="K116" i="8"/>
  <c r="N116" i="8" s="1"/>
  <c r="K96" i="8"/>
  <c r="N96" i="8" s="1"/>
  <c r="K76" i="8"/>
  <c r="N76" i="8" s="1"/>
  <c r="K56" i="8"/>
  <c r="N56" i="8" s="1"/>
  <c r="K36" i="8"/>
  <c r="N36" i="8" s="1"/>
  <c r="K515" i="8"/>
  <c r="G53" i="18" s="1"/>
  <c r="K495" i="8"/>
  <c r="N495" i="8" s="1"/>
  <c r="K475" i="8"/>
  <c r="N475" i="8" s="1"/>
  <c r="K455" i="8"/>
  <c r="N455" i="8" s="1"/>
  <c r="K435" i="8"/>
  <c r="N435" i="8" s="1"/>
  <c r="K415" i="8"/>
  <c r="N415" i="8" s="1"/>
  <c r="K395" i="8"/>
  <c r="N395" i="8" s="1"/>
  <c r="K375" i="8"/>
  <c r="N375" i="8" s="1"/>
  <c r="K355" i="8"/>
  <c r="N355" i="8" s="1"/>
  <c r="K335" i="8"/>
  <c r="N335" i="8" s="1"/>
  <c r="K315" i="8"/>
  <c r="N315" i="8" s="1"/>
  <c r="K295" i="8"/>
  <c r="N295" i="8" s="1"/>
  <c r="K275" i="8"/>
  <c r="N275" i="8" s="1"/>
  <c r="K255" i="8"/>
  <c r="N255" i="8" s="1"/>
  <c r="K235" i="8"/>
  <c r="N235" i="8" s="1"/>
  <c r="K215" i="8"/>
  <c r="N215" i="8" s="1"/>
  <c r="K195" i="8"/>
  <c r="N195" i="8" s="1"/>
  <c r="K175" i="8"/>
  <c r="N175" i="8" s="1"/>
  <c r="K155" i="8"/>
  <c r="N155" i="8" s="1"/>
  <c r="K135" i="8"/>
  <c r="N135" i="8" s="1"/>
  <c r="K115" i="8"/>
  <c r="N115" i="8" s="1"/>
  <c r="K95" i="8"/>
  <c r="N95" i="8" s="1"/>
  <c r="K75" i="8"/>
  <c r="N75" i="8" s="1"/>
  <c r="K55" i="8"/>
  <c r="N55" i="8" s="1"/>
  <c r="K35" i="8"/>
  <c r="N35" i="8" s="1"/>
  <c r="K494" i="8"/>
  <c r="N494" i="8" s="1"/>
  <c r="K474" i="8"/>
  <c r="N474" i="8" s="1"/>
  <c r="K454" i="8"/>
  <c r="N454" i="8" s="1"/>
  <c r="K434" i="8"/>
  <c r="N434" i="8" s="1"/>
  <c r="K414" i="8"/>
  <c r="N414" i="8" s="1"/>
  <c r="K394" i="8"/>
  <c r="N394" i="8" s="1"/>
  <c r="K374" i="8"/>
  <c r="N374" i="8" s="1"/>
  <c r="K354" i="8"/>
  <c r="N354" i="8" s="1"/>
  <c r="K334" i="8"/>
  <c r="N334" i="8" s="1"/>
  <c r="K314" i="8"/>
  <c r="N314" i="8" s="1"/>
  <c r="K294" i="8"/>
  <c r="N294" i="8" s="1"/>
  <c r="K274" i="8"/>
  <c r="N274" i="8" s="1"/>
  <c r="K254" i="8"/>
  <c r="N254" i="8" s="1"/>
  <c r="K234" i="8"/>
  <c r="N234" i="8" s="1"/>
  <c r="K214" i="8"/>
  <c r="N214" i="8" s="1"/>
  <c r="K194" i="8"/>
  <c r="N194" i="8" s="1"/>
  <c r="K174" i="8"/>
  <c r="N174" i="8" s="1"/>
  <c r="K154" i="8"/>
  <c r="N154" i="8" s="1"/>
  <c r="K134" i="8"/>
  <c r="N134" i="8" s="1"/>
  <c r="K114" i="8"/>
  <c r="N114" i="8" s="1"/>
  <c r="K94" i="8"/>
  <c r="N94" i="8" s="1"/>
  <c r="K74" i="8"/>
  <c r="N74" i="8" s="1"/>
  <c r="K54" i="8"/>
  <c r="N54" i="8" s="1"/>
  <c r="K34" i="8"/>
  <c r="N34" i="8" s="1"/>
  <c r="K513" i="8"/>
  <c r="N513" i="8" s="1"/>
  <c r="K493" i="8"/>
  <c r="N493" i="8" s="1"/>
  <c r="K473" i="8"/>
  <c r="N473" i="8" s="1"/>
  <c r="K453" i="8"/>
  <c r="N453" i="8" s="1"/>
  <c r="K433" i="8"/>
  <c r="N433" i="8" s="1"/>
  <c r="K413" i="8"/>
  <c r="N413" i="8" s="1"/>
  <c r="K393" i="8"/>
  <c r="N393" i="8" s="1"/>
  <c r="K373" i="8"/>
  <c r="N373" i="8" s="1"/>
  <c r="K353" i="8"/>
  <c r="N353" i="8" s="1"/>
  <c r="K333" i="8"/>
  <c r="N333" i="8" s="1"/>
  <c r="K313" i="8"/>
  <c r="N313" i="8" s="1"/>
  <c r="K293" i="8"/>
  <c r="N293" i="8" s="1"/>
  <c r="K273" i="8"/>
  <c r="N273" i="8" s="1"/>
  <c r="K253" i="8"/>
  <c r="N253" i="8" s="1"/>
  <c r="K233" i="8"/>
  <c r="N233" i="8" s="1"/>
  <c r="K213" i="8"/>
  <c r="N213" i="8" s="1"/>
  <c r="K193" i="8"/>
  <c r="N193" i="8" s="1"/>
  <c r="K173" i="8"/>
  <c r="N173" i="8" s="1"/>
  <c r="K153" i="8"/>
  <c r="N153" i="8" s="1"/>
  <c r="K133" i="8"/>
  <c r="N133" i="8" s="1"/>
  <c r="K113" i="8"/>
  <c r="N113" i="8" s="1"/>
  <c r="K93" i="8"/>
  <c r="N93" i="8" s="1"/>
  <c r="K73" i="8"/>
  <c r="N73" i="8" s="1"/>
  <c r="K53" i="8"/>
  <c r="N53" i="8" s="1"/>
  <c r="K33" i="8"/>
  <c r="N33" i="8" s="1"/>
  <c r="K512" i="8"/>
  <c r="N512" i="8" s="1"/>
  <c r="K492" i="8"/>
  <c r="N492" i="8" s="1"/>
  <c r="K472" i="8"/>
  <c r="N472" i="8" s="1"/>
  <c r="K452" i="8"/>
  <c r="N452" i="8" s="1"/>
  <c r="K432" i="8"/>
  <c r="N432" i="8" s="1"/>
  <c r="K412" i="8"/>
  <c r="N412" i="8" s="1"/>
  <c r="K392" i="8"/>
  <c r="N392" i="8" s="1"/>
  <c r="K372" i="8"/>
  <c r="N372" i="8" s="1"/>
  <c r="K352" i="8"/>
  <c r="N352" i="8" s="1"/>
  <c r="K332" i="8"/>
  <c r="N332" i="8" s="1"/>
  <c r="K312" i="8"/>
  <c r="N312" i="8" s="1"/>
  <c r="K292" i="8"/>
  <c r="N292" i="8" s="1"/>
  <c r="K272" i="8"/>
  <c r="N272" i="8" s="1"/>
  <c r="K252" i="8"/>
  <c r="N252" i="8" s="1"/>
  <c r="K232" i="8"/>
  <c r="N232" i="8" s="1"/>
  <c r="K212" i="8"/>
  <c r="N212" i="8" s="1"/>
  <c r="K192" i="8"/>
  <c r="N192" i="8" s="1"/>
  <c r="K172" i="8"/>
  <c r="N172" i="8" s="1"/>
  <c r="K152" i="8"/>
  <c r="N152" i="8" s="1"/>
  <c r="K132" i="8"/>
  <c r="N132" i="8" s="1"/>
  <c r="K112" i="8"/>
  <c r="N112" i="8" s="1"/>
  <c r="K92" i="8"/>
  <c r="N92" i="8" s="1"/>
  <c r="K72" i="8"/>
  <c r="N72" i="8" s="1"/>
  <c r="K52" i="8"/>
  <c r="N52" i="8" s="1"/>
  <c r="K32" i="8"/>
  <c r="N32" i="8" s="1"/>
  <c r="K511" i="8"/>
  <c r="N511" i="8" s="1"/>
  <c r="K491" i="8"/>
  <c r="N491" i="8" s="1"/>
  <c r="K471" i="8"/>
  <c r="N471" i="8" s="1"/>
  <c r="K451" i="8"/>
  <c r="N451" i="8" s="1"/>
  <c r="K431" i="8"/>
  <c r="N431" i="8" s="1"/>
  <c r="K411" i="8"/>
  <c r="N411" i="8" s="1"/>
  <c r="K391" i="8"/>
  <c r="N391" i="8" s="1"/>
  <c r="K371" i="8"/>
  <c r="N371" i="8" s="1"/>
  <c r="K351" i="8"/>
  <c r="N351" i="8" s="1"/>
  <c r="K331" i="8"/>
  <c r="N331" i="8" s="1"/>
  <c r="K311" i="8"/>
  <c r="N311" i="8" s="1"/>
  <c r="K291" i="8"/>
  <c r="N291" i="8" s="1"/>
  <c r="K271" i="8"/>
  <c r="N271" i="8" s="1"/>
  <c r="K251" i="8"/>
  <c r="N251" i="8" s="1"/>
  <c r="K231" i="8"/>
  <c r="N231" i="8" s="1"/>
  <c r="K211" i="8"/>
  <c r="N211" i="8" s="1"/>
  <c r="K191" i="8"/>
  <c r="N191" i="8" s="1"/>
  <c r="K171" i="8"/>
  <c r="N171" i="8" s="1"/>
  <c r="K151" i="8"/>
  <c r="N151" i="8" s="1"/>
  <c r="K131" i="8"/>
  <c r="N131" i="8" s="1"/>
  <c r="K111" i="8"/>
  <c r="N111" i="8" s="1"/>
  <c r="K91" i="8"/>
  <c r="N91" i="8" s="1"/>
  <c r="K71" i="8"/>
  <c r="N71" i="8" s="1"/>
  <c r="K51" i="8"/>
  <c r="N51" i="8" s="1"/>
  <c r="K31" i="8"/>
  <c r="N31" i="8" s="1"/>
  <c r="K510" i="8"/>
  <c r="N510" i="8" s="1"/>
  <c r="K490" i="8"/>
  <c r="N490" i="8" s="1"/>
  <c r="K470" i="8"/>
  <c r="N470" i="8" s="1"/>
  <c r="K450" i="8"/>
  <c r="N450" i="8" s="1"/>
  <c r="K430" i="8"/>
  <c r="N430" i="8" s="1"/>
  <c r="K410" i="8"/>
  <c r="N410" i="8" s="1"/>
  <c r="K390" i="8"/>
  <c r="N390" i="8" s="1"/>
  <c r="K370" i="8"/>
  <c r="N370" i="8" s="1"/>
  <c r="K350" i="8"/>
  <c r="N350" i="8" s="1"/>
  <c r="K330" i="8"/>
  <c r="N330" i="8" s="1"/>
  <c r="K310" i="8"/>
  <c r="N310" i="8" s="1"/>
  <c r="K290" i="8"/>
  <c r="N290" i="8" s="1"/>
  <c r="K270" i="8"/>
  <c r="N270" i="8" s="1"/>
  <c r="K250" i="8"/>
  <c r="N250" i="8" s="1"/>
  <c r="K230" i="8"/>
  <c r="N230" i="8" s="1"/>
  <c r="K210" i="8"/>
  <c r="N210" i="8" s="1"/>
  <c r="K190" i="8"/>
  <c r="N190" i="8" s="1"/>
  <c r="K170" i="8"/>
  <c r="N170" i="8" s="1"/>
  <c r="K150" i="8"/>
  <c r="N150" i="8" s="1"/>
  <c r="K130" i="8"/>
  <c r="N130" i="8" s="1"/>
  <c r="K110" i="8"/>
  <c r="N110" i="8" s="1"/>
  <c r="K90" i="8"/>
  <c r="N90" i="8" s="1"/>
  <c r="K70" i="8"/>
  <c r="N70" i="8" s="1"/>
  <c r="K50" i="8"/>
  <c r="N50" i="8" s="1"/>
  <c r="K30" i="8"/>
  <c r="N30" i="8" s="1"/>
  <c r="K509" i="8"/>
  <c r="N509" i="8" s="1"/>
  <c r="K489" i="8"/>
  <c r="N489" i="8" s="1"/>
  <c r="K469" i="8"/>
  <c r="N469" i="8" s="1"/>
  <c r="K449" i="8"/>
  <c r="N449" i="8" s="1"/>
  <c r="K429" i="8"/>
  <c r="N429" i="8" s="1"/>
  <c r="K409" i="8"/>
  <c r="N409" i="8" s="1"/>
  <c r="K389" i="8"/>
  <c r="N389" i="8" s="1"/>
  <c r="K369" i="8"/>
  <c r="N369" i="8" s="1"/>
  <c r="K349" i="8"/>
  <c r="N349" i="8" s="1"/>
  <c r="K329" i="8"/>
  <c r="N329" i="8" s="1"/>
  <c r="K309" i="8"/>
  <c r="N309" i="8" s="1"/>
  <c r="K289" i="8"/>
  <c r="N289" i="8" s="1"/>
  <c r="K269" i="8"/>
  <c r="N269" i="8" s="1"/>
  <c r="K249" i="8"/>
  <c r="N249" i="8" s="1"/>
  <c r="K229" i="8"/>
  <c r="N229" i="8" s="1"/>
  <c r="K209" i="8"/>
  <c r="N209" i="8" s="1"/>
  <c r="K189" i="8"/>
  <c r="N189" i="8" s="1"/>
  <c r="K169" i="8"/>
  <c r="N169" i="8" s="1"/>
  <c r="K149" i="8"/>
  <c r="N149" i="8" s="1"/>
  <c r="K129" i="8"/>
  <c r="N129" i="8" s="1"/>
  <c r="K109" i="8"/>
  <c r="N109" i="8" s="1"/>
  <c r="K89" i="8"/>
  <c r="N89" i="8" s="1"/>
  <c r="K69" i="8"/>
  <c r="N69" i="8" s="1"/>
  <c r="K49" i="8"/>
  <c r="N49" i="8" s="1"/>
  <c r="K29" i="8"/>
  <c r="N29" i="8" s="1"/>
  <c r="K508" i="8"/>
  <c r="N508" i="8" s="1"/>
  <c r="K488" i="8"/>
  <c r="N488" i="8" s="1"/>
  <c r="K468" i="8"/>
  <c r="N468" i="8" s="1"/>
  <c r="K448" i="8"/>
  <c r="N448" i="8" s="1"/>
  <c r="K428" i="8"/>
  <c r="N428" i="8" s="1"/>
  <c r="K408" i="8"/>
  <c r="N408" i="8" s="1"/>
  <c r="K388" i="8"/>
  <c r="N388" i="8" s="1"/>
  <c r="K368" i="8"/>
  <c r="N368" i="8" s="1"/>
  <c r="K348" i="8"/>
  <c r="N348" i="8" s="1"/>
  <c r="K328" i="8"/>
  <c r="N328" i="8" s="1"/>
  <c r="K308" i="8"/>
  <c r="N308" i="8" s="1"/>
  <c r="K288" i="8"/>
  <c r="N288" i="8" s="1"/>
  <c r="K268" i="8"/>
  <c r="N268" i="8" s="1"/>
  <c r="K248" i="8"/>
  <c r="N248" i="8" s="1"/>
  <c r="K228" i="8"/>
  <c r="N228" i="8" s="1"/>
  <c r="K208" i="8"/>
  <c r="N208" i="8" s="1"/>
  <c r="K188" i="8"/>
  <c r="N188" i="8" s="1"/>
  <c r="K168" i="8"/>
  <c r="N168" i="8" s="1"/>
  <c r="K148" i="8"/>
  <c r="N148" i="8" s="1"/>
  <c r="K128" i="8"/>
  <c r="N128" i="8" s="1"/>
  <c r="K108" i="8"/>
  <c r="N108" i="8" s="1"/>
  <c r="K88" i="8"/>
  <c r="N88" i="8" s="1"/>
  <c r="K68" i="8"/>
  <c r="N68" i="8" s="1"/>
  <c r="K48" i="8"/>
  <c r="N48" i="8" s="1"/>
  <c r="K28" i="8"/>
  <c r="N28" i="8" s="1"/>
  <c r="K507" i="8"/>
  <c r="N507" i="8" s="1"/>
  <c r="K487" i="8"/>
  <c r="N487" i="8" s="1"/>
  <c r="K467" i="8"/>
  <c r="N467" i="8" s="1"/>
  <c r="K447" i="8"/>
  <c r="N447" i="8" s="1"/>
  <c r="K427" i="8"/>
  <c r="N427" i="8" s="1"/>
  <c r="K407" i="8"/>
  <c r="N407" i="8" s="1"/>
  <c r="K387" i="8"/>
  <c r="N387" i="8" s="1"/>
  <c r="K367" i="8"/>
  <c r="N367" i="8" s="1"/>
  <c r="K347" i="8"/>
  <c r="N347" i="8" s="1"/>
  <c r="K327" i="8"/>
  <c r="N327" i="8" s="1"/>
  <c r="K307" i="8"/>
  <c r="N307" i="8" s="1"/>
  <c r="K287" i="8"/>
  <c r="N287" i="8" s="1"/>
  <c r="K267" i="8"/>
  <c r="N267" i="8" s="1"/>
  <c r="K247" i="8"/>
  <c r="N247" i="8" s="1"/>
  <c r="K227" i="8"/>
  <c r="N227" i="8" s="1"/>
  <c r="K207" i="8"/>
  <c r="N207" i="8" s="1"/>
  <c r="K187" i="8"/>
  <c r="N187" i="8" s="1"/>
  <c r="K167" i="8"/>
  <c r="N167" i="8" s="1"/>
  <c r="K147" i="8"/>
  <c r="N147" i="8" s="1"/>
  <c r="K127" i="8"/>
  <c r="N127" i="8" s="1"/>
  <c r="K107" i="8"/>
  <c r="N107" i="8" s="1"/>
  <c r="K87" i="8"/>
  <c r="N87" i="8" s="1"/>
  <c r="K67" i="8"/>
  <c r="N67" i="8" s="1"/>
  <c r="K47" i="8"/>
  <c r="N47" i="8" s="1"/>
  <c r="K506" i="8"/>
  <c r="N506" i="8" s="1"/>
  <c r="K486" i="8"/>
  <c r="N486" i="8" s="1"/>
  <c r="K466" i="8"/>
  <c r="N466" i="8" s="1"/>
  <c r="K446" i="8"/>
  <c r="N446" i="8" s="1"/>
  <c r="K426" i="8"/>
  <c r="N426" i="8" s="1"/>
  <c r="K406" i="8"/>
  <c r="N406" i="8" s="1"/>
  <c r="K386" i="8"/>
  <c r="N386" i="8" s="1"/>
  <c r="K366" i="8"/>
  <c r="N366" i="8" s="1"/>
  <c r="K346" i="8"/>
  <c r="N346" i="8" s="1"/>
  <c r="K326" i="8"/>
  <c r="N326" i="8" s="1"/>
  <c r="K306" i="8"/>
  <c r="N306" i="8" s="1"/>
  <c r="K286" i="8"/>
  <c r="N286" i="8" s="1"/>
  <c r="K266" i="8"/>
  <c r="N266" i="8" s="1"/>
  <c r="K246" i="8"/>
  <c r="N246" i="8" s="1"/>
  <c r="K226" i="8"/>
  <c r="N226" i="8" s="1"/>
  <c r="K206" i="8"/>
  <c r="N206" i="8" s="1"/>
  <c r="K186" i="8"/>
  <c r="N186" i="8" s="1"/>
  <c r="K166" i="8"/>
  <c r="N166" i="8" s="1"/>
  <c r="K146" i="8"/>
  <c r="N146" i="8" s="1"/>
  <c r="K126" i="8"/>
  <c r="N126" i="8" s="1"/>
  <c r="K106" i="8"/>
  <c r="N106" i="8" s="1"/>
  <c r="K86" i="8"/>
  <c r="N86" i="8" s="1"/>
  <c r="K66" i="8"/>
  <c r="N66" i="8" s="1"/>
  <c r="K46" i="8"/>
  <c r="N46" i="8" s="1"/>
  <c r="K505" i="8"/>
  <c r="N505" i="8" s="1"/>
  <c r="K485" i="8"/>
  <c r="N485" i="8" s="1"/>
  <c r="K465" i="8"/>
  <c r="N465" i="8" s="1"/>
  <c r="K445" i="8"/>
  <c r="N445" i="8" s="1"/>
  <c r="K425" i="8"/>
  <c r="N425" i="8" s="1"/>
  <c r="K405" i="8"/>
  <c r="N405" i="8" s="1"/>
  <c r="K385" i="8"/>
  <c r="N385" i="8" s="1"/>
  <c r="K365" i="8"/>
  <c r="N365" i="8" s="1"/>
  <c r="K345" i="8"/>
  <c r="N345" i="8" s="1"/>
  <c r="K325" i="8"/>
  <c r="N325" i="8" s="1"/>
  <c r="K305" i="8"/>
  <c r="N305" i="8" s="1"/>
  <c r="K285" i="8"/>
  <c r="N285" i="8" s="1"/>
  <c r="K265" i="8"/>
  <c r="N265" i="8" s="1"/>
  <c r="K245" i="8"/>
  <c r="N245" i="8" s="1"/>
  <c r="K225" i="8"/>
  <c r="N225" i="8" s="1"/>
  <c r="K205" i="8"/>
  <c r="N205" i="8" s="1"/>
  <c r="K185" i="8"/>
  <c r="N185" i="8" s="1"/>
  <c r="K165" i="8"/>
  <c r="N165" i="8" s="1"/>
  <c r="K145" i="8"/>
  <c r="N145" i="8" s="1"/>
  <c r="K125" i="8"/>
  <c r="N125" i="8" s="1"/>
  <c r="K105" i="8"/>
  <c r="N105" i="8" s="1"/>
  <c r="K85" i="8"/>
  <c r="N85" i="8" s="1"/>
  <c r="K65" i="8"/>
  <c r="N65" i="8" s="1"/>
  <c r="K45" i="8"/>
  <c r="N45" i="8" s="1"/>
  <c r="K504" i="8"/>
  <c r="N504" i="8" s="1"/>
  <c r="K484" i="8"/>
  <c r="N484" i="8" s="1"/>
  <c r="K464" i="8"/>
  <c r="N464" i="8" s="1"/>
  <c r="K444" i="8"/>
  <c r="N444" i="8" s="1"/>
  <c r="K424" i="8"/>
  <c r="N424" i="8" s="1"/>
  <c r="K404" i="8"/>
  <c r="N404" i="8" s="1"/>
  <c r="K384" i="8"/>
  <c r="N384" i="8" s="1"/>
  <c r="K364" i="8"/>
  <c r="N364" i="8" s="1"/>
  <c r="K344" i="8"/>
  <c r="N344" i="8" s="1"/>
  <c r="K324" i="8"/>
  <c r="N324" i="8" s="1"/>
  <c r="K304" i="8"/>
  <c r="N304" i="8" s="1"/>
  <c r="K284" i="8"/>
  <c r="N284" i="8" s="1"/>
  <c r="K264" i="8"/>
  <c r="N264" i="8" s="1"/>
  <c r="K244" i="8"/>
  <c r="N244" i="8" s="1"/>
  <c r="K224" i="8"/>
  <c r="N224" i="8" s="1"/>
  <c r="K204" i="8"/>
  <c r="N204" i="8" s="1"/>
  <c r="K184" i="8"/>
  <c r="N184" i="8" s="1"/>
  <c r="K164" i="8"/>
  <c r="N164" i="8" s="1"/>
  <c r="K144" i="8"/>
  <c r="N144" i="8" s="1"/>
  <c r="K124" i="8"/>
  <c r="N124" i="8" s="1"/>
  <c r="K104" i="8"/>
  <c r="N104" i="8" s="1"/>
  <c r="K84" i="8"/>
  <c r="N84" i="8" s="1"/>
  <c r="K64" i="8"/>
  <c r="N64" i="8" s="1"/>
  <c r="K44" i="8"/>
  <c r="N44" i="8" s="1"/>
  <c r="K503" i="8"/>
  <c r="N503" i="8" s="1"/>
  <c r="K483" i="8"/>
  <c r="N483" i="8" s="1"/>
  <c r="K463" i="8"/>
  <c r="N463" i="8" s="1"/>
  <c r="K443" i="8"/>
  <c r="N443" i="8" s="1"/>
  <c r="K423" i="8"/>
  <c r="N423" i="8" s="1"/>
  <c r="K403" i="8"/>
  <c r="N403" i="8" s="1"/>
  <c r="K383" i="8"/>
  <c r="N383" i="8" s="1"/>
  <c r="K363" i="8"/>
  <c r="N363" i="8" s="1"/>
  <c r="K343" i="8"/>
  <c r="N343" i="8" s="1"/>
  <c r="K323" i="8"/>
  <c r="N323" i="8" s="1"/>
  <c r="K303" i="8"/>
  <c r="N303" i="8" s="1"/>
  <c r="K283" i="8"/>
  <c r="N283" i="8" s="1"/>
  <c r="K263" i="8"/>
  <c r="N263" i="8" s="1"/>
  <c r="K243" i="8"/>
  <c r="N243" i="8" s="1"/>
  <c r="K223" i="8"/>
  <c r="N223" i="8" s="1"/>
  <c r="K203" i="8"/>
  <c r="N203" i="8" s="1"/>
  <c r="K183" i="8"/>
  <c r="N183" i="8" s="1"/>
  <c r="K163" i="8"/>
  <c r="N163" i="8" s="1"/>
  <c r="K143" i="8"/>
  <c r="N143" i="8" s="1"/>
  <c r="K123" i="8"/>
  <c r="N123" i="8" s="1"/>
  <c r="K103" i="8"/>
  <c r="N103" i="8" s="1"/>
  <c r="K83" i="8"/>
  <c r="N83" i="8" s="1"/>
  <c r="K63" i="8"/>
  <c r="N63" i="8" s="1"/>
  <c r="K43" i="8"/>
  <c r="N43" i="8" s="1"/>
  <c r="K502" i="8"/>
  <c r="N502" i="8" s="1"/>
  <c r="K482" i="8"/>
  <c r="N482" i="8" s="1"/>
  <c r="K462" i="8"/>
  <c r="N462" i="8" s="1"/>
  <c r="K442" i="8"/>
  <c r="N442" i="8" s="1"/>
  <c r="K422" i="8"/>
  <c r="N422" i="8" s="1"/>
  <c r="K402" i="8"/>
  <c r="N402" i="8" s="1"/>
  <c r="K382" i="8"/>
  <c r="N382" i="8" s="1"/>
  <c r="K362" i="8"/>
  <c r="N362" i="8" s="1"/>
  <c r="K342" i="8"/>
  <c r="N342" i="8" s="1"/>
  <c r="K322" i="8"/>
  <c r="N322" i="8" s="1"/>
  <c r="K302" i="8"/>
  <c r="N302" i="8" s="1"/>
  <c r="K282" i="8"/>
  <c r="N282" i="8" s="1"/>
  <c r="K262" i="8"/>
  <c r="N262" i="8" s="1"/>
  <c r="K242" i="8"/>
  <c r="N242" i="8" s="1"/>
  <c r="K222" i="8"/>
  <c r="N222" i="8" s="1"/>
  <c r="K202" i="8"/>
  <c r="N202" i="8" s="1"/>
  <c r="K182" i="8"/>
  <c r="N182" i="8" s="1"/>
  <c r="K162" i="8"/>
  <c r="N162" i="8" s="1"/>
  <c r="K142" i="8"/>
  <c r="N142" i="8" s="1"/>
  <c r="K122" i="8"/>
  <c r="N122" i="8" s="1"/>
  <c r="K102" i="8"/>
  <c r="N102" i="8" s="1"/>
  <c r="K82" i="8"/>
  <c r="N82" i="8" s="1"/>
  <c r="K62" i="8"/>
  <c r="N62" i="8" s="1"/>
  <c r="K42" i="8"/>
  <c r="N42" i="8" s="1"/>
  <c r="K501" i="8"/>
  <c r="N501" i="8" s="1"/>
  <c r="K481" i="8"/>
  <c r="N481" i="8" s="1"/>
  <c r="K461" i="8"/>
  <c r="N461" i="8" s="1"/>
  <c r="K441" i="8"/>
  <c r="N441" i="8" s="1"/>
  <c r="K421" i="8"/>
  <c r="N421" i="8" s="1"/>
  <c r="K401" i="8"/>
  <c r="N401" i="8" s="1"/>
  <c r="K381" i="8"/>
  <c r="N381" i="8" s="1"/>
  <c r="K361" i="8"/>
  <c r="N361" i="8" s="1"/>
  <c r="K341" i="8"/>
  <c r="N341" i="8" s="1"/>
  <c r="K321" i="8"/>
  <c r="N321" i="8" s="1"/>
  <c r="K301" i="8"/>
  <c r="N301" i="8" s="1"/>
  <c r="K281" i="8"/>
  <c r="N281" i="8" s="1"/>
  <c r="K261" i="8"/>
  <c r="N261" i="8" s="1"/>
  <c r="K241" i="8"/>
  <c r="N241" i="8" s="1"/>
  <c r="K221" i="8"/>
  <c r="N221" i="8" s="1"/>
  <c r="K201" i="8"/>
  <c r="N201" i="8" s="1"/>
  <c r="K181" i="8"/>
  <c r="N181" i="8" s="1"/>
  <c r="K161" i="8"/>
  <c r="N161" i="8" s="1"/>
  <c r="K141" i="8"/>
  <c r="N141" i="8" s="1"/>
  <c r="K121" i="8"/>
  <c r="N121" i="8" s="1"/>
  <c r="K101" i="8"/>
  <c r="N101" i="8" s="1"/>
  <c r="K81" i="8"/>
  <c r="N81" i="8" s="1"/>
  <c r="K61" i="8"/>
  <c r="N61" i="8" s="1"/>
  <c r="K41" i="8"/>
  <c r="N41" i="8" s="1"/>
  <c r="K500" i="8"/>
  <c r="N500" i="8" s="1"/>
  <c r="K480" i="8"/>
  <c r="N480" i="8" s="1"/>
  <c r="K460" i="8"/>
  <c r="N460" i="8" s="1"/>
  <c r="K440" i="8"/>
  <c r="N440" i="8" s="1"/>
  <c r="K420" i="8"/>
  <c r="N420" i="8" s="1"/>
  <c r="K400" i="8"/>
  <c r="N400" i="8" s="1"/>
  <c r="K380" i="8"/>
  <c r="N380" i="8" s="1"/>
  <c r="K360" i="8"/>
  <c r="N360" i="8" s="1"/>
  <c r="K340" i="8"/>
  <c r="N340" i="8" s="1"/>
  <c r="K320" i="8"/>
  <c r="N320" i="8" s="1"/>
  <c r="K300" i="8"/>
  <c r="N300" i="8" s="1"/>
  <c r="K280" i="8"/>
  <c r="N280" i="8" s="1"/>
  <c r="K260" i="8"/>
  <c r="N260" i="8" s="1"/>
  <c r="K240" i="8"/>
  <c r="N240" i="8" s="1"/>
  <c r="K220" i="8"/>
  <c r="N220" i="8" s="1"/>
  <c r="K200" i="8"/>
  <c r="N200" i="8" s="1"/>
  <c r="K180" i="8"/>
  <c r="N180" i="8" s="1"/>
  <c r="K160" i="8"/>
  <c r="N160" i="8" s="1"/>
  <c r="K140" i="8"/>
  <c r="N140" i="8" s="1"/>
  <c r="K120" i="8"/>
  <c r="N120" i="8" s="1"/>
  <c r="K100" i="8"/>
  <c r="N100" i="8" s="1"/>
  <c r="K80" i="8"/>
  <c r="N80" i="8" s="1"/>
  <c r="K60" i="8"/>
  <c r="N60" i="8" s="1"/>
  <c r="K40" i="8"/>
  <c r="N40" i="8" s="1"/>
  <c r="K499" i="8"/>
  <c r="N499" i="8" s="1"/>
  <c r="K479" i="8"/>
  <c r="N479" i="8" s="1"/>
  <c r="K459" i="8"/>
  <c r="N459" i="8" s="1"/>
  <c r="K439" i="8"/>
  <c r="N439" i="8" s="1"/>
  <c r="K419" i="8"/>
  <c r="N419" i="8" s="1"/>
  <c r="K399" i="8"/>
  <c r="N399" i="8" s="1"/>
  <c r="K379" i="8"/>
  <c r="N379" i="8" s="1"/>
  <c r="K359" i="8"/>
  <c r="N359" i="8" s="1"/>
  <c r="K339" i="8"/>
  <c r="N339" i="8" s="1"/>
  <c r="K319" i="8"/>
  <c r="N319" i="8" s="1"/>
  <c r="K299" i="8"/>
  <c r="N299" i="8" s="1"/>
  <c r="K279" i="8"/>
  <c r="N279" i="8" s="1"/>
  <c r="K259" i="8"/>
  <c r="N259" i="8" s="1"/>
  <c r="K239" i="8"/>
  <c r="N239" i="8" s="1"/>
  <c r="K219" i="8"/>
  <c r="N219" i="8" s="1"/>
  <c r="K199" i="8"/>
  <c r="N199" i="8" s="1"/>
  <c r="K179" i="8"/>
  <c r="N179" i="8" s="1"/>
  <c r="K159" i="8"/>
  <c r="N159" i="8" s="1"/>
  <c r="K139" i="8"/>
  <c r="N139" i="8" s="1"/>
  <c r="K119" i="8"/>
  <c r="N119" i="8" s="1"/>
  <c r="K99" i="8"/>
  <c r="N99" i="8" s="1"/>
  <c r="K79" i="8"/>
  <c r="N79" i="8" s="1"/>
  <c r="K59" i="8"/>
  <c r="N59" i="8" s="1"/>
  <c r="K39" i="8"/>
  <c r="N39" i="8" s="1"/>
  <c r="K478" i="8"/>
  <c r="N478" i="8" s="1"/>
  <c r="K458" i="8"/>
  <c r="N458" i="8" s="1"/>
  <c r="K438" i="8"/>
  <c r="N438" i="8" s="1"/>
  <c r="K418" i="8"/>
  <c r="N418" i="8" s="1"/>
  <c r="K398" i="8"/>
  <c r="N398" i="8" s="1"/>
  <c r="K378" i="8"/>
  <c r="N378" i="8" s="1"/>
  <c r="K358" i="8"/>
  <c r="N358" i="8" s="1"/>
  <c r="K338" i="8"/>
  <c r="N338" i="8" s="1"/>
  <c r="K318" i="8"/>
  <c r="N318" i="8" s="1"/>
  <c r="K298" i="8"/>
  <c r="N298" i="8" s="1"/>
  <c r="K278" i="8"/>
  <c r="N278" i="8" s="1"/>
  <c r="K258" i="8"/>
  <c r="N258" i="8" s="1"/>
  <c r="K238" i="8"/>
  <c r="N238" i="8" s="1"/>
  <c r="K218" i="8"/>
  <c r="N218" i="8" s="1"/>
  <c r="K198" i="8"/>
  <c r="N198" i="8" s="1"/>
  <c r="K178" i="8"/>
  <c r="N178" i="8" s="1"/>
  <c r="K158" i="8"/>
  <c r="N158" i="8" s="1"/>
  <c r="K138" i="8"/>
  <c r="N138" i="8" s="1"/>
  <c r="K118" i="8"/>
  <c r="N118" i="8" s="1"/>
  <c r="K98" i="8"/>
  <c r="N98" i="8" s="1"/>
  <c r="K78" i="8"/>
  <c r="N78" i="8" s="1"/>
  <c r="K58" i="8"/>
  <c r="N58" i="8" s="1"/>
  <c r="K38" i="8"/>
  <c r="N38" i="8" s="1"/>
  <c r="K477" i="8"/>
  <c r="N477" i="8" s="1"/>
  <c r="K457" i="8"/>
  <c r="N457" i="8" s="1"/>
  <c r="K437" i="8"/>
  <c r="N437" i="8" s="1"/>
  <c r="K417" i="8"/>
  <c r="N417" i="8" s="1"/>
  <c r="K397" i="8"/>
  <c r="N397" i="8" s="1"/>
  <c r="K377" i="8"/>
  <c r="N377" i="8" s="1"/>
  <c r="K357" i="8"/>
  <c r="N357" i="8" s="1"/>
  <c r="K337" i="8"/>
  <c r="N337" i="8" s="1"/>
  <c r="K317" i="8"/>
  <c r="N317" i="8" s="1"/>
  <c r="K297" i="8"/>
  <c r="N297" i="8" s="1"/>
  <c r="K277" i="8"/>
  <c r="N277" i="8" s="1"/>
  <c r="K257" i="8"/>
  <c r="N257" i="8" s="1"/>
  <c r="K237" i="8"/>
  <c r="N237" i="8" s="1"/>
  <c r="K217" i="8"/>
  <c r="N217" i="8" s="1"/>
  <c r="K197" i="8"/>
  <c r="N197" i="8" s="1"/>
  <c r="K177" i="8"/>
  <c r="N177" i="8" s="1"/>
  <c r="K157" i="8"/>
  <c r="N157" i="8" s="1"/>
  <c r="K137" i="8"/>
  <c r="N137" i="8" s="1"/>
  <c r="K117" i="8"/>
  <c r="N117" i="8" s="1"/>
  <c r="K97" i="8"/>
  <c r="N97" i="8" s="1"/>
  <c r="K77" i="8"/>
  <c r="N77" i="8" s="1"/>
  <c r="K57" i="8"/>
  <c r="N57" i="8" s="1"/>
  <c r="K37" i="8"/>
  <c r="N37" i="8" s="1"/>
  <c r="M358" i="8"/>
  <c r="M294" i="8"/>
  <c r="M262" i="8"/>
  <c r="M214" i="8"/>
  <c r="M182" i="8"/>
  <c r="M150" i="8"/>
  <c r="M118" i="8"/>
  <c r="M86" i="8"/>
  <c r="M54" i="8"/>
  <c r="M485" i="8"/>
  <c r="M469" i="8"/>
  <c r="M437" i="8"/>
  <c r="M421" i="8"/>
  <c r="M405" i="8"/>
  <c r="M389" i="8"/>
  <c r="M373" i="8"/>
  <c r="M357" i="8"/>
  <c r="M341" i="8"/>
  <c r="M325" i="8"/>
  <c r="M309" i="8"/>
  <c r="M277" i="8"/>
  <c r="M261" i="8"/>
  <c r="M245" i="8"/>
  <c r="M229" i="8"/>
  <c r="M213" i="8"/>
  <c r="M181" i="8"/>
  <c r="M165" i="8"/>
  <c r="M149" i="8"/>
  <c r="M117" i="8"/>
  <c r="M101" i="8"/>
  <c r="M69" i="8"/>
  <c r="M53" i="8"/>
  <c r="M37" i="8"/>
  <c r="M21" i="8"/>
  <c r="M406" i="8"/>
  <c r="M310" i="8"/>
  <c r="M278" i="8"/>
  <c r="M230" i="8"/>
  <c r="M198" i="8"/>
  <c r="M166" i="8"/>
  <c r="M134" i="8"/>
  <c r="M102" i="8"/>
  <c r="M70" i="8"/>
  <c r="M38" i="8"/>
  <c r="M501" i="8"/>
  <c r="M453" i="8"/>
  <c r="M500" i="8"/>
  <c r="M484" i="8"/>
  <c r="M468" i="8"/>
  <c r="M452" i="8"/>
  <c r="M436" i="8"/>
  <c r="M420" i="8"/>
  <c r="M404" i="8"/>
  <c r="M388" i="8"/>
  <c r="M372" i="8"/>
  <c r="M356" i="8"/>
  <c r="M340" i="8"/>
  <c r="M308" i="8"/>
  <c r="M276" i="8"/>
  <c r="M260" i="8"/>
  <c r="M244" i="8"/>
  <c r="M228" i="8"/>
  <c r="M212" i="8"/>
  <c r="M196" i="8"/>
  <c r="M180" i="8"/>
  <c r="M164" i="8"/>
  <c r="M100" i="8"/>
  <c r="M84" i="8"/>
  <c r="M52" i="8"/>
  <c r="M36" i="8"/>
  <c r="M20" i="8"/>
  <c r="M470" i="8"/>
  <c r="M326" i="8"/>
  <c r="M246" i="8"/>
  <c r="M515" i="8"/>
  <c r="M499" i="8"/>
  <c r="M483" i="8"/>
  <c r="M467" i="8"/>
  <c r="M451" i="8"/>
  <c r="M419" i="8"/>
  <c r="M403" i="8"/>
  <c r="M387" i="8"/>
  <c r="M371" i="8"/>
  <c r="M355" i="8"/>
  <c r="M339" i="8"/>
  <c r="M323" i="8"/>
  <c r="M307" i="8"/>
  <c r="M259" i="8"/>
  <c r="M243" i="8"/>
  <c r="M179" i="8"/>
  <c r="M163" i="8"/>
  <c r="M131" i="8"/>
  <c r="M115" i="8"/>
  <c r="M99" i="8"/>
  <c r="M83" i="8"/>
  <c r="M51" i="8"/>
  <c r="M19" i="8"/>
  <c r="M342" i="8"/>
  <c r="M402" i="8"/>
  <c r="M322" i="8"/>
  <c r="M258" i="8"/>
  <c r="M82" i="8"/>
  <c r="M18" i="8"/>
  <c r="M513" i="8"/>
  <c r="M497" i="8"/>
  <c r="M481" i="8"/>
  <c r="M465" i="8"/>
  <c r="M449" i="8"/>
  <c r="M417" i="8"/>
  <c r="M401" i="8"/>
  <c r="M385" i="8"/>
  <c r="M369" i="8"/>
  <c r="M353" i="8"/>
  <c r="M337" i="8"/>
  <c r="M321" i="8"/>
  <c r="M305" i="8"/>
  <c r="M289" i="8"/>
  <c r="M273" i="8"/>
  <c r="M257" i="8"/>
  <c r="M241" i="8"/>
  <c r="M225" i="8"/>
  <c r="M209" i="8"/>
  <c r="M161" i="8"/>
  <c r="M145" i="8"/>
  <c r="M129" i="8"/>
  <c r="M113" i="8"/>
  <c r="M97" i="8"/>
  <c r="M81" i="8"/>
  <c r="M65" i="8"/>
  <c r="M49" i="8"/>
  <c r="M33" i="8"/>
  <c r="M306" i="8"/>
  <c r="M242" i="8"/>
  <c r="M464" i="8"/>
  <c r="M400" i="8"/>
  <c r="M384" i="8"/>
  <c r="M352" i="8"/>
  <c r="M336" i="8"/>
  <c r="M320" i="8"/>
  <c r="M304" i="8"/>
  <c r="M272" i="8"/>
  <c r="M256" i="8"/>
  <c r="M240" i="8"/>
  <c r="M224" i="8"/>
  <c r="M160" i="8"/>
  <c r="M144" i="8"/>
  <c r="M112" i="8"/>
  <c r="M96" i="8"/>
  <c r="M80" i="8"/>
  <c r="M32" i="8"/>
  <c r="M514" i="8"/>
  <c r="M386" i="8"/>
  <c r="M495" i="8"/>
  <c r="M463" i="8"/>
  <c r="M415" i="8"/>
  <c r="M319" i="8"/>
  <c r="M303" i="8"/>
  <c r="M271" i="8"/>
  <c r="M255" i="8"/>
  <c r="M239" i="8"/>
  <c r="M223" i="8"/>
  <c r="M159" i="8"/>
  <c r="M143" i="8"/>
  <c r="M111" i="8"/>
  <c r="M95" i="8"/>
  <c r="M79" i="8"/>
  <c r="M63" i="8"/>
  <c r="M454" i="8"/>
  <c r="M466" i="8"/>
  <c r="M354" i="8"/>
  <c r="M114" i="8"/>
  <c r="M512" i="8"/>
  <c r="M511" i="8"/>
  <c r="M479" i="8"/>
  <c r="M431" i="8"/>
  <c r="M383" i="8"/>
  <c r="M510" i="8"/>
  <c r="M494" i="8"/>
  <c r="M478" i="8"/>
  <c r="M462" i="8"/>
  <c r="M446" i="8"/>
  <c r="M430" i="8"/>
  <c r="M414" i="8"/>
  <c r="M398" i="8"/>
  <c r="M382" i="8"/>
  <c r="M350" i="8"/>
  <c r="M334" i="8"/>
  <c r="M318" i="8"/>
  <c r="M302" i="8"/>
  <c r="M286" i="8"/>
  <c r="M270" i="8"/>
  <c r="M254" i="8"/>
  <c r="M238" i="8"/>
  <c r="M222" i="8"/>
  <c r="M206" i="8"/>
  <c r="M190" i="8"/>
  <c r="M174" i="8"/>
  <c r="M158" i="8"/>
  <c r="M142" i="8"/>
  <c r="M126" i="8"/>
  <c r="M110" i="8"/>
  <c r="M94" i="8"/>
  <c r="M78" i="8"/>
  <c r="M62" i="8"/>
  <c r="M46" i="8"/>
  <c r="M30" i="8"/>
  <c r="M390" i="8"/>
  <c r="M418" i="8"/>
  <c r="M338" i="8"/>
  <c r="M274" i="8"/>
  <c r="M194" i="8"/>
  <c r="M146" i="8"/>
  <c r="M66" i="8"/>
  <c r="M480" i="8"/>
  <c r="M399" i="8"/>
  <c r="M509" i="8"/>
  <c r="M493" i="8"/>
  <c r="M477" i="8"/>
  <c r="M461" i="8"/>
  <c r="M445" i="8"/>
  <c r="M429" i="8"/>
  <c r="M413" i="8"/>
  <c r="M397" i="8"/>
  <c r="M381" i="8"/>
  <c r="M365" i="8"/>
  <c r="M349" i="8"/>
  <c r="M333" i="8"/>
  <c r="M317" i="8"/>
  <c r="M301" i="8"/>
  <c r="M285" i="8"/>
  <c r="M269" i="8"/>
  <c r="M253" i="8"/>
  <c r="M237" i="8"/>
  <c r="M221" i="8"/>
  <c r="M205" i="8"/>
  <c r="M189" i="8"/>
  <c r="M173" i="8"/>
  <c r="M157" i="8"/>
  <c r="M141" i="8"/>
  <c r="M125" i="8"/>
  <c r="M109" i="8"/>
  <c r="M93" i="8"/>
  <c r="M77" i="8"/>
  <c r="M61" i="8"/>
  <c r="M45" i="8"/>
  <c r="M29" i="8"/>
  <c r="M498" i="8"/>
  <c r="M226" i="8"/>
  <c r="M162" i="8"/>
  <c r="M98" i="8"/>
  <c r="M496" i="8"/>
  <c r="M508" i="8"/>
  <c r="M476" i="8"/>
  <c r="M460" i="8"/>
  <c r="M444" i="8"/>
  <c r="M428" i="8"/>
  <c r="M412" i="8"/>
  <c r="M396" i="8"/>
  <c r="M380" i="8"/>
  <c r="M364" i="8"/>
  <c r="M348" i="8"/>
  <c r="M316" i="8"/>
  <c r="M300" i="8"/>
  <c r="M284" i="8"/>
  <c r="M268" i="8"/>
  <c r="M252" i="8"/>
  <c r="M236" i="8"/>
  <c r="M220" i="8"/>
  <c r="M204" i="8"/>
  <c r="M188" i="8"/>
  <c r="M172" i="8"/>
  <c r="M156" i="8"/>
  <c r="M140" i="8"/>
  <c r="M124" i="8"/>
  <c r="M60" i="8"/>
  <c r="M44" i="8"/>
  <c r="M219" i="8"/>
  <c r="M203" i="8"/>
  <c r="M171" i="8"/>
  <c r="M155" i="8"/>
  <c r="M139" i="8"/>
  <c r="M123" i="8"/>
  <c r="M75" i="8"/>
  <c r="M59" i="8"/>
  <c r="M43" i="8"/>
  <c r="M502" i="8"/>
  <c r="M482" i="8"/>
  <c r="M507" i="8"/>
  <c r="M459" i="8"/>
  <c r="M411" i="8"/>
  <c r="M363" i="8"/>
  <c r="M331" i="8"/>
  <c r="M299" i="8"/>
  <c r="M267" i="8"/>
  <c r="M490" i="8"/>
  <c r="M474" i="8"/>
  <c r="M458" i="8"/>
  <c r="M442" i="8"/>
  <c r="M426" i="8"/>
  <c r="M394" i="8"/>
  <c r="M378" i="8"/>
  <c r="M362" i="8"/>
  <c r="M346" i="8"/>
  <c r="M314" i="8"/>
  <c r="M298" i="8"/>
  <c r="M282" i="8"/>
  <c r="M266" i="8"/>
  <c r="M234" i="8"/>
  <c r="M218" i="8"/>
  <c r="M202" i="8"/>
  <c r="M186" i="8"/>
  <c r="M154" i="8"/>
  <c r="M138" i="8"/>
  <c r="M122" i="8"/>
  <c r="M106" i="8"/>
  <c r="M74" i="8"/>
  <c r="M26" i="8"/>
  <c r="M422" i="8"/>
  <c r="M434" i="8"/>
  <c r="M491" i="8"/>
  <c r="M443" i="8"/>
  <c r="M395" i="8"/>
  <c r="M347" i="8"/>
  <c r="M315" i="8"/>
  <c r="M283" i="8"/>
  <c r="M506" i="8"/>
  <c r="M505" i="8"/>
  <c r="M489" i="8"/>
  <c r="M473" i="8"/>
  <c r="M457" i="8"/>
  <c r="M441" i="8"/>
  <c r="M425" i="8"/>
  <c r="M409" i="8"/>
  <c r="M377" i="8"/>
  <c r="M361" i="8"/>
  <c r="M345" i="8"/>
  <c r="M329" i="8"/>
  <c r="M313" i="8"/>
  <c r="M297" i="8"/>
  <c r="M281" i="8"/>
  <c r="M265" i="8"/>
  <c r="M249" i="8"/>
  <c r="M217" i="8"/>
  <c r="M201" i="8"/>
  <c r="M185" i="8"/>
  <c r="M169" i="8"/>
  <c r="M153" i="8"/>
  <c r="M137" i="8"/>
  <c r="M121" i="8"/>
  <c r="M89" i="8"/>
  <c r="M73" i="8"/>
  <c r="M57" i="8"/>
  <c r="M41" i="8"/>
  <c r="M25" i="8"/>
  <c r="M374" i="8"/>
  <c r="M427" i="8"/>
  <c r="M379" i="8"/>
  <c r="M504" i="8"/>
  <c r="M472" i="8"/>
  <c r="M456" i="8"/>
  <c r="M440" i="8"/>
  <c r="M424" i="8"/>
  <c r="M408" i="8"/>
  <c r="M360" i="8"/>
  <c r="M344" i="8"/>
  <c r="M312" i="8"/>
  <c r="M296" i="8"/>
  <c r="M280" i="8"/>
  <c r="M264" i="8"/>
  <c r="M200" i="8"/>
  <c r="M184" i="8"/>
  <c r="M152" i="8"/>
  <c r="M136" i="8"/>
  <c r="M120" i="8"/>
  <c r="M104" i="8"/>
  <c r="M88" i="8"/>
  <c r="M72" i="8"/>
  <c r="M40" i="8"/>
  <c r="M24" i="8"/>
  <c r="M438" i="8"/>
  <c r="M503" i="8"/>
  <c r="M471" i="8"/>
  <c r="M455" i="8"/>
  <c r="M439" i="8"/>
  <c r="M423" i="8"/>
  <c r="M359" i="8"/>
  <c r="M343" i="8"/>
  <c r="M311" i="8"/>
  <c r="M295" i="8"/>
  <c r="M279" i="8"/>
  <c r="M231" i="8"/>
  <c r="M215" i="8"/>
  <c r="M199" i="8"/>
  <c r="M183" i="8"/>
  <c r="M119" i="8"/>
  <c r="M103" i="8"/>
  <c r="M71" i="8"/>
  <c r="M39" i="8"/>
  <c r="M23" i="8"/>
  <c r="M324" i="8"/>
  <c r="M263" i="8"/>
  <c r="M330" i="8"/>
  <c r="M90" i="8"/>
  <c r="M233" i="8"/>
  <c r="M76" i="8"/>
  <c r="M58" i="8"/>
  <c r="M178" i="8"/>
  <c r="M177" i="8"/>
  <c r="M135" i="8"/>
  <c r="M216" i="8"/>
  <c r="M56" i="8"/>
  <c r="M55" i="8"/>
  <c r="M293" i="8"/>
  <c r="M193" i="8"/>
  <c r="M133" i="8"/>
  <c r="M291" i="8"/>
  <c r="M251" i="8"/>
  <c r="M191" i="8"/>
  <c r="M151" i="8"/>
  <c r="M351" i="8"/>
  <c r="M211" i="8"/>
  <c r="M91" i="8"/>
  <c r="M132" i="8"/>
  <c r="M292" i="8"/>
  <c r="M332" i="8"/>
  <c r="M92" i="8"/>
  <c r="M448" i="8"/>
  <c r="M370" i="8"/>
  <c r="M290" i="8"/>
  <c r="M250" i="8"/>
  <c r="M210" i="8"/>
  <c r="M130" i="8"/>
  <c r="M50" i="8"/>
  <c r="M366" i="8"/>
  <c r="M64" i="8"/>
  <c r="M16" i="8"/>
  <c r="M416" i="8"/>
  <c r="M410" i="8"/>
  <c r="M170" i="8"/>
  <c r="M475" i="8"/>
  <c r="M116" i="8"/>
  <c r="M175" i="8"/>
  <c r="M176" i="8"/>
  <c r="M34" i="8"/>
  <c r="M197" i="8"/>
  <c r="M288" i="8"/>
  <c r="M487" i="8"/>
  <c r="M407" i="8"/>
  <c r="M367" i="8"/>
  <c r="M207" i="8"/>
  <c r="M167" i="8"/>
  <c r="M147" i="8"/>
  <c r="M87" i="8"/>
  <c r="M27" i="8"/>
  <c r="M105" i="8"/>
  <c r="M85" i="8"/>
  <c r="M435" i="8"/>
  <c r="M368" i="8"/>
  <c r="M433" i="8"/>
  <c r="M328" i="8"/>
  <c r="M432" i="8"/>
  <c r="M393" i="8"/>
  <c r="M392" i="8"/>
  <c r="M48" i="8"/>
  <c r="M391" i="8"/>
  <c r="M275" i="8"/>
  <c r="M235" i="8"/>
  <c r="M195" i="8"/>
  <c r="M232" i="8"/>
  <c r="M192" i="8"/>
  <c r="M35" i="8"/>
  <c r="M492" i="8"/>
  <c r="M248" i="8"/>
  <c r="M208" i="8"/>
  <c r="M168" i="8"/>
  <c r="M148" i="8"/>
  <c r="M128" i="8"/>
  <c r="M108" i="8"/>
  <c r="M28" i="8"/>
  <c r="M447" i="8"/>
  <c r="M327" i="8"/>
  <c r="M227" i="8"/>
  <c r="M127" i="8"/>
  <c r="M47" i="8"/>
  <c r="M376" i="8"/>
  <c r="M375" i="8"/>
  <c r="M31" i="8"/>
  <c r="M17" i="8"/>
  <c r="M488" i="8"/>
  <c r="M450" i="8"/>
  <c r="M68" i="8"/>
  <c r="M287" i="8"/>
  <c r="M247" i="8"/>
  <c r="M187" i="8"/>
  <c r="M107" i="8"/>
  <c r="M67" i="8"/>
  <c r="M486" i="8"/>
  <c r="M335" i="8"/>
  <c r="M42" i="8"/>
  <c r="M22" i="8"/>
  <c r="I1937" i="18" l="1"/>
  <c r="G1923" i="18"/>
  <c r="G1924" i="18"/>
  <c r="G1911" i="18"/>
  <c r="G1927" i="18"/>
  <c r="G1929" i="18"/>
  <c r="G1912" i="18"/>
  <c r="G1910" i="18"/>
  <c r="G1932" i="18"/>
  <c r="V1803" i="18"/>
  <c r="W1803" i="18" s="1"/>
  <c r="G1792" i="18"/>
  <c r="I790" i="18"/>
  <c r="G776" i="18"/>
  <c r="G777" i="18"/>
  <c r="G764" i="18"/>
  <c r="G782" i="18"/>
  <c r="G765" i="18"/>
  <c r="G785" i="18"/>
  <c r="G763" i="18"/>
  <c r="G780" i="18"/>
  <c r="G1757" i="18"/>
  <c r="G1777" i="18"/>
  <c r="I1782" i="18"/>
  <c r="G1768" i="18"/>
  <c r="G1769" i="18"/>
  <c r="G1756" i="18"/>
  <c r="G1774" i="18"/>
  <c r="G1755" i="18"/>
  <c r="G1772" i="18"/>
  <c r="G1477" i="18"/>
  <c r="G1478" i="18"/>
  <c r="G1498" i="18"/>
  <c r="G1476" i="18"/>
  <c r="G1489" i="18"/>
  <c r="G1495" i="18"/>
  <c r="I1503" i="18"/>
  <c r="G1490" i="18"/>
  <c r="G1493" i="18"/>
  <c r="G920" i="18"/>
  <c r="G940" i="18"/>
  <c r="G918" i="18"/>
  <c r="I945" i="18"/>
  <c r="G931" i="18"/>
  <c r="G937" i="18"/>
  <c r="G932" i="18"/>
  <c r="G919" i="18"/>
  <c r="G935" i="18"/>
  <c r="G1738" i="18"/>
  <c r="G1725" i="18"/>
  <c r="I1751" i="18"/>
  <c r="G1737" i="18"/>
  <c r="G1743" i="18"/>
  <c r="G1726" i="18"/>
  <c r="G1746" i="18"/>
  <c r="G1724" i="18"/>
  <c r="G1741" i="18"/>
  <c r="G1619" i="18"/>
  <c r="G1602" i="18"/>
  <c r="G1622" i="18"/>
  <c r="G1600" i="18"/>
  <c r="I1627" i="18"/>
  <c r="G1613" i="18"/>
  <c r="G1614" i="18"/>
  <c r="G1601" i="18"/>
  <c r="G1617" i="18"/>
  <c r="G1538" i="18"/>
  <c r="I1565" i="18"/>
  <c r="G1551" i="18"/>
  <c r="G1552" i="18"/>
  <c r="G1539" i="18"/>
  <c r="G1557" i="18"/>
  <c r="G1540" i="18"/>
  <c r="G1560" i="18"/>
  <c r="G1555" i="18"/>
  <c r="G796" i="18"/>
  <c r="G816" i="18"/>
  <c r="I821" i="18"/>
  <c r="G807" i="18"/>
  <c r="G808" i="18"/>
  <c r="G795" i="18"/>
  <c r="G794" i="18"/>
  <c r="G813" i="18"/>
  <c r="G811" i="18"/>
  <c r="G1197" i="18"/>
  <c r="I1224" i="18"/>
  <c r="G1210" i="18"/>
  <c r="G1211" i="18"/>
  <c r="G1198" i="18"/>
  <c r="G1216" i="18"/>
  <c r="G1199" i="18"/>
  <c r="G1219" i="18"/>
  <c r="G1214" i="18"/>
  <c r="G1834" i="18"/>
  <c r="G1374" i="18"/>
  <c r="G1352" i="18"/>
  <c r="G1366" i="18"/>
  <c r="G1353" i="18"/>
  <c r="I1379" i="18"/>
  <c r="G1371" i="18"/>
  <c r="G1365" i="18"/>
  <c r="G1354" i="18"/>
  <c r="G1369" i="18"/>
  <c r="G560" i="18"/>
  <c r="G547" i="18"/>
  <c r="G548" i="18"/>
  <c r="G568" i="18"/>
  <c r="G546" i="18"/>
  <c r="I573" i="18"/>
  <c r="G559" i="18"/>
  <c r="G565" i="18"/>
  <c r="G563" i="18"/>
  <c r="G126" i="18"/>
  <c r="G134" i="18"/>
  <c r="I139" i="18"/>
  <c r="G125" i="18"/>
  <c r="G113" i="18"/>
  <c r="G112" i="18"/>
  <c r="G131" i="18"/>
  <c r="G114" i="18"/>
  <c r="G129" i="18"/>
  <c r="I542" i="18"/>
  <c r="G529" i="18"/>
  <c r="G516" i="18"/>
  <c r="G534" i="18"/>
  <c r="G515" i="18"/>
  <c r="G517" i="18"/>
  <c r="G537" i="18"/>
  <c r="G528" i="18"/>
  <c r="G532" i="18"/>
  <c r="N515" i="8"/>
  <c r="G1169" i="18"/>
  <c r="I914" i="18"/>
  <c r="G900" i="18"/>
  <c r="G901" i="18"/>
  <c r="G888" i="18"/>
  <c r="G889" i="18"/>
  <c r="G906" i="18"/>
  <c r="G909" i="18"/>
  <c r="G887" i="18"/>
  <c r="G904" i="18"/>
  <c r="G351" i="18"/>
  <c r="G329" i="18"/>
  <c r="I356" i="18"/>
  <c r="G342" i="18"/>
  <c r="G343" i="18"/>
  <c r="G330" i="18"/>
  <c r="G348" i="18"/>
  <c r="G331" i="18"/>
  <c r="G346" i="18"/>
  <c r="G870" i="18"/>
  <c r="G857" i="18"/>
  <c r="G878" i="18"/>
  <c r="G856" i="18"/>
  <c r="G875" i="18"/>
  <c r="G858" i="18"/>
  <c r="I883" i="18"/>
  <c r="G869" i="18"/>
  <c r="G873" i="18"/>
  <c r="G754" i="18"/>
  <c r="G732" i="18"/>
  <c r="G746" i="18"/>
  <c r="G733" i="18"/>
  <c r="I759" i="18"/>
  <c r="G745" i="18"/>
  <c r="G751" i="18"/>
  <c r="G734" i="18"/>
  <c r="G749" i="18"/>
  <c r="I1410" i="18"/>
  <c r="G1396" i="18"/>
  <c r="G1397" i="18"/>
  <c r="G1384" i="18"/>
  <c r="G1402" i="18"/>
  <c r="G1385" i="18"/>
  <c r="G1383" i="18"/>
  <c r="G1405" i="18"/>
  <c r="G1400" i="18"/>
  <c r="G1024" i="18"/>
  <c r="G1025" i="18"/>
  <c r="G1012" i="18"/>
  <c r="G1030" i="18"/>
  <c r="G1013" i="18"/>
  <c r="G1033" i="18"/>
  <c r="G1011" i="18"/>
  <c r="I1038" i="18"/>
  <c r="G1028" i="18"/>
  <c r="G1242" i="18"/>
  <c r="G1229" i="18"/>
  <c r="I1255" i="18"/>
  <c r="G1247" i="18"/>
  <c r="G1230" i="18"/>
  <c r="G1250" i="18"/>
  <c r="G1228" i="18"/>
  <c r="G1241" i="18"/>
  <c r="G1245" i="18"/>
  <c r="I1472" i="18"/>
  <c r="G1458" i="18"/>
  <c r="G1459" i="18"/>
  <c r="G1464" i="18"/>
  <c r="G1447" i="18"/>
  <c r="G1467" i="18"/>
  <c r="G1445" i="18"/>
  <c r="G1446" i="18"/>
  <c r="G1462" i="18"/>
  <c r="I294" i="18"/>
  <c r="G280" i="18"/>
  <c r="G281" i="18"/>
  <c r="G268" i="18"/>
  <c r="G286" i="18"/>
  <c r="G269" i="18"/>
  <c r="G289" i="18"/>
  <c r="G267" i="18"/>
  <c r="G284" i="18"/>
  <c r="G1788" i="18"/>
  <c r="G1808" i="18"/>
  <c r="G1786" i="18"/>
  <c r="I1813" i="18"/>
  <c r="G1799" i="18"/>
  <c r="G1800" i="18"/>
  <c r="G1787" i="18"/>
  <c r="G1805" i="18"/>
  <c r="I511" i="18"/>
  <c r="G484" i="18"/>
  <c r="G497" i="18"/>
  <c r="G506" i="18"/>
  <c r="G498" i="18"/>
  <c r="G486" i="18"/>
  <c r="G485" i="18"/>
  <c r="G503" i="18"/>
  <c r="G501" i="18"/>
  <c r="I1348" i="18"/>
  <c r="G1334" i="18"/>
  <c r="G1335" i="18"/>
  <c r="G1322" i="18"/>
  <c r="G1340" i="18"/>
  <c r="G1323" i="18"/>
  <c r="G1343" i="18"/>
  <c r="G1321" i="18"/>
  <c r="G1338" i="18"/>
  <c r="G1073" i="18"/>
  <c r="I1100" i="18"/>
  <c r="G1086" i="18"/>
  <c r="G1092" i="18"/>
  <c r="G1087" i="18"/>
  <c r="G1074" i="18"/>
  <c r="G1075" i="18"/>
  <c r="G1095" i="18"/>
  <c r="G1090" i="18"/>
  <c r="G994" i="18"/>
  <c r="G981" i="18"/>
  <c r="I1007" i="18"/>
  <c r="G999" i="18"/>
  <c r="G982" i="18"/>
  <c r="G1002" i="18"/>
  <c r="G980" i="18"/>
  <c r="G993" i="18"/>
  <c r="G997" i="18"/>
  <c r="G1645" i="18"/>
  <c r="G1632" i="18"/>
  <c r="G1650" i="18"/>
  <c r="G1633" i="18"/>
  <c r="G1653" i="18"/>
  <c r="G1631" i="18"/>
  <c r="I1658" i="18"/>
  <c r="G1644" i="18"/>
  <c r="G1648" i="18"/>
  <c r="G1588" i="18"/>
  <c r="G1571" i="18"/>
  <c r="G1591" i="18"/>
  <c r="G1569" i="18"/>
  <c r="I1596" i="18"/>
  <c r="G1582" i="18"/>
  <c r="G1583" i="18"/>
  <c r="G1570" i="18"/>
  <c r="G1586" i="18"/>
  <c r="G1664" i="18"/>
  <c r="G1684" i="18"/>
  <c r="G1681" i="18"/>
  <c r="G1662" i="18"/>
  <c r="I1689" i="18"/>
  <c r="G1675" i="18"/>
  <c r="G1676" i="18"/>
  <c r="G1663" i="18"/>
  <c r="G1679" i="18"/>
  <c r="G455" i="18"/>
  <c r="G475" i="18"/>
  <c r="G453" i="18"/>
  <c r="I480" i="18"/>
  <c r="G466" i="18"/>
  <c r="G467" i="18"/>
  <c r="G454" i="18"/>
  <c r="G472" i="18"/>
  <c r="G470" i="18"/>
  <c r="G144" i="18"/>
  <c r="G165" i="18"/>
  <c r="G143" i="18"/>
  <c r="G157" i="18"/>
  <c r="G162" i="18"/>
  <c r="G145" i="18"/>
  <c r="I170" i="18"/>
  <c r="G156" i="18"/>
  <c r="G160" i="18"/>
  <c r="I697" i="18"/>
  <c r="G683" i="18"/>
  <c r="G684" i="18"/>
  <c r="G671" i="18"/>
  <c r="G689" i="18"/>
  <c r="G672" i="18"/>
  <c r="G692" i="18"/>
  <c r="G670" i="18"/>
  <c r="G687" i="18"/>
  <c r="G379" i="18"/>
  <c r="G362" i="18"/>
  <c r="G382" i="18"/>
  <c r="G360" i="18"/>
  <c r="G374" i="18"/>
  <c r="G361" i="18"/>
  <c r="G373" i="18"/>
  <c r="I387" i="18"/>
  <c r="G377" i="18"/>
  <c r="G205" i="18"/>
  <c r="G219" i="18"/>
  <c r="G206" i="18"/>
  <c r="I232" i="18"/>
  <c r="G218" i="18"/>
  <c r="G224" i="18"/>
  <c r="G207" i="18"/>
  <c r="G227" i="18"/>
  <c r="G222" i="18"/>
  <c r="G702" i="18"/>
  <c r="G720" i="18"/>
  <c r="G703" i="18"/>
  <c r="G723" i="18"/>
  <c r="G701" i="18"/>
  <c r="I728" i="18"/>
  <c r="G714" i="18"/>
  <c r="G715" i="18"/>
  <c r="G718" i="18"/>
  <c r="G1427" i="18"/>
  <c r="G1428" i="18"/>
  <c r="G1415" i="18"/>
  <c r="G1433" i="18"/>
  <c r="G1416" i="18"/>
  <c r="G1436" i="18"/>
  <c r="G1414" i="18"/>
  <c r="I1441" i="18"/>
  <c r="G1431" i="18"/>
  <c r="G1693" i="18"/>
  <c r="I1720" i="18"/>
  <c r="G1706" i="18"/>
  <c r="G1707" i="18"/>
  <c r="G1694" i="18"/>
  <c r="G1712" i="18"/>
  <c r="G1695" i="18"/>
  <c r="G1715" i="18"/>
  <c r="G1710" i="18"/>
  <c r="Y1865" i="18"/>
  <c r="G1865" i="18" s="1"/>
  <c r="D1939" i="18"/>
  <c r="G1818" i="18"/>
  <c r="I1844" i="18"/>
  <c r="G1830" i="18"/>
  <c r="G1836" i="18"/>
  <c r="G1819" i="18"/>
  <c r="G1839" i="18"/>
  <c r="G1817" i="18"/>
  <c r="G1831" i="18"/>
  <c r="G1292" i="18"/>
  <c r="G1312" i="18"/>
  <c r="G1290" i="18"/>
  <c r="I1317" i="18"/>
  <c r="G1303" i="18"/>
  <c r="G1309" i="18"/>
  <c r="G1304" i="18"/>
  <c r="G1291" i="18"/>
  <c r="G1307" i="18"/>
  <c r="I1534" i="18"/>
  <c r="G1520" i="18"/>
  <c r="G1521" i="18"/>
  <c r="G1508" i="18"/>
  <c r="G1526" i="18"/>
  <c r="G1529" i="18"/>
  <c r="G1509" i="18"/>
  <c r="G1507" i="18"/>
  <c r="G1524" i="18"/>
  <c r="G1118" i="18"/>
  <c r="G1105" i="18"/>
  <c r="G1123" i="18"/>
  <c r="I1131" i="18"/>
  <c r="G1104" i="18"/>
  <c r="G1106" i="18"/>
  <c r="G1126" i="18"/>
  <c r="G1117" i="18"/>
  <c r="G1121" i="18"/>
  <c r="G825" i="18"/>
  <c r="I852" i="18"/>
  <c r="G838" i="18"/>
  <c r="G844" i="18"/>
  <c r="G827" i="18"/>
  <c r="G839" i="18"/>
  <c r="G826" i="18"/>
  <c r="G847" i="18"/>
  <c r="G842" i="18"/>
  <c r="G1862" i="18"/>
  <c r="G1849" i="18"/>
  <c r="G1867" i="18"/>
  <c r="G1848" i="18"/>
  <c r="G1850" i="18"/>
  <c r="G1870" i="18"/>
  <c r="I1875" i="18"/>
  <c r="G1861" i="18"/>
  <c r="G1157" i="18"/>
  <c r="G1136" i="18"/>
  <c r="G1154" i="18"/>
  <c r="G1137" i="18"/>
  <c r="G1135" i="18"/>
  <c r="I1162" i="18"/>
  <c r="G1149" i="18"/>
  <c r="G1148" i="18"/>
  <c r="G1152" i="18"/>
  <c r="B1876" i="18"/>
  <c r="B1877" i="18" s="1"/>
  <c r="B1878" i="18" s="1"/>
  <c r="B1879" i="18" s="1"/>
  <c r="B1880" i="18" s="1"/>
  <c r="B1881" i="18" s="1"/>
  <c r="B1882" i="18" s="1"/>
  <c r="B1883" i="18" s="1"/>
  <c r="B1884" i="18" s="1"/>
  <c r="B1885" i="18" s="1"/>
  <c r="B1886" i="18" s="1"/>
  <c r="B1887" i="18" s="1"/>
  <c r="B1888" i="18" s="1"/>
  <c r="B1889" i="18" s="1"/>
  <c r="B1890" i="18" s="1"/>
  <c r="B1891" i="18" s="1"/>
  <c r="B1892" i="18" s="1"/>
  <c r="B1893" i="18" s="1"/>
  <c r="B1894" i="18" s="1"/>
  <c r="B1895" i="18" s="1"/>
  <c r="B1896" i="18" s="1"/>
  <c r="B1897" i="18" s="1"/>
  <c r="B1898" i="18" s="1"/>
  <c r="B1899" i="18" s="1"/>
  <c r="B1900" i="18" s="1"/>
  <c r="B1901" i="18" s="1"/>
  <c r="B1902" i="18" s="1"/>
  <c r="B1903" i="18" s="1"/>
  <c r="B1904" i="18" s="1"/>
  <c r="B1905" i="18" s="1"/>
  <c r="B1906" i="18" s="1"/>
  <c r="N1881" i="18"/>
  <c r="O1879" i="18"/>
  <c r="N1879" i="18"/>
  <c r="T1899" i="18"/>
  <c r="T1894" i="18"/>
  <c r="T1892" i="18"/>
  <c r="T1893" i="18"/>
  <c r="T1905" i="18"/>
  <c r="G1882" i="18"/>
  <c r="T1903" i="18"/>
  <c r="T1904" i="18"/>
  <c r="T1901" i="18"/>
  <c r="T1902" i="18"/>
  <c r="T1891" i="18"/>
  <c r="T1900" i="18"/>
  <c r="T1898" i="18"/>
  <c r="T1896" i="18"/>
  <c r="T1897" i="18"/>
  <c r="O1881" i="18"/>
  <c r="T1895" i="18"/>
  <c r="G300" i="18"/>
  <c r="G320" i="18"/>
  <c r="G298" i="18"/>
  <c r="I325" i="18"/>
  <c r="G311" i="18"/>
  <c r="G317" i="18"/>
  <c r="G312" i="18"/>
  <c r="G299" i="18"/>
  <c r="G315" i="18"/>
  <c r="G1272" i="18"/>
  <c r="G1273" i="18"/>
  <c r="G1260" i="18"/>
  <c r="G1278" i="18"/>
  <c r="G1261" i="18"/>
  <c r="G1281" i="18"/>
  <c r="G1259" i="18"/>
  <c r="I1286" i="18"/>
  <c r="G1276" i="18"/>
  <c r="G188" i="18"/>
  <c r="G175" i="18"/>
  <c r="G176" i="18"/>
  <c r="G196" i="18"/>
  <c r="G174" i="18"/>
  <c r="I201" i="18"/>
  <c r="G187" i="18"/>
  <c r="G193" i="18"/>
  <c r="G191" i="18"/>
  <c r="I666" i="18"/>
  <c r="G652" i="18"/>
  <c r="G653" i="18"/>
  <c r="G640" i="18"/>
  <c r="G661" i="18"/>
  <c r="G658" i="18"/>
  <c r="G641" i="18"/>
  <c r="G639" i="18"/>
  <c r="G656" i="18"/>
  <c r="G424" i="18"/>
  <c r="G444" i="18"/>
  <c r="G422" i="18"/>
  <c r="I449" i="18"/>
  <c r="G435" i="18"/>
  <c r="G436" i="18"/>
  <c r="G423" i="18"/>
  <c r="G441" i="18"/>
  <c r="G439" i="18"/>
  <c r="G621" i="18"/>
  <c r="G622" i="18"/>
  <c r="G609" i="18"/>
  <c r="G608" i="18"/>
  <c r="G627" i="18"/>
  <c r="G610" i="18"/>
  <c r="G630" i="18"/>
  <c r="I635" i="18"/>
  <c r="G625" i="18"/>
  <c r="G238" i="18"/>
  <c r="G236" i="18"/>
  <c r="G258" i="18"/>
  <c r="I263" i="18"/>
  <c r="G249" i="18"/>
  <c r="G250" i="18"/>
  <c r="G237" i="18"/>
  <c r="G255" i="18"/>
  <c r="G253" i="18"/>
  <c r="G391" i="18"/>
  <c r="I418" i="18"/>
  <c r="G404" i="18"/>
  <c r="G405" i="18"/>
  <c r="G392" i="18"/>
  <c r="G410" i="18"/>
  <c r="G393" i="18"/>
  <c r="G413" i="18"/>
  <c r="G408" i="18"/>
  <c r="G1042" i="18"/>
  <c r="G1061" i="18"/>
  <c r="G1056" i="18"/>
  <c r="G1043" i="18"/>
  <c r="G1044" i="18"/>
  <c r="G1064" i="18"/>
  <c r="I1069" i="18"/>
  <c r="G1055" i="18"/>
  <c r="G1059" i="18"/>
  <c r="G590" i="18"/>
  <c r="G578" i="18"/>
  <c r="G596" i="18"/>
  <c r="G579" i="18"/>
  <c r="G599" i="18"/>
  <c r="G577" i="18"/>
  <c r="G591" i="18"/>
  <c r="I604" i="18"/>
  <c r="G594" i="18"/>
  <c r="I976" i="18"/>
  <c r="G962" i="18"/>
  <c r="G963" i="18"/>
  <c r="G950" i="18"/>
  <c r="G968" i="18"/>
  <c r="G951" i="18"/>
  <c r="G971" i="18"/>
  <c r="G949" i="18"/>
  <c r="G966" i="18"/>
  <c r="P2006" i="11"/>
  <c r="R2006" i="11"/>
  <c r="S2006" i="11"/>
  <c r="X2006" i="11"/>
  <c r="Y2006" i="11"/>
  <c r="Z2006" i="11"/>
  <c r="AA2006" i="11"/>
  <c r="P2007" i="11"/>
  <c r="R2007" i="11"/>
  <c r="S2007" i="11"/>
  <c r="X2007" i="11"/>
  <c r="Y2007" i="11"/>
  <c r="Z2007" i="11"/>
  <c r="AA2007" i="11"/>
  <c r="P2008" i="11"/>
  <c r="R2008" i="11"/>
  <c r="S2008" i="11"/>
  <c r="X2008" i="11"/>
  <c r="Y2008" i="11"/>
  <c r="Z2008" i="11"/>
  <c r="AA2008" i="11"/>
  <c r="P2009" i="11"/>
  <c r="R2009" i="11"/>
  <c r="S2009" i="11"/>
  <c r="X2009" i="11"/>
  <c r="Y2009" i="11"/>
  <c r="Z2009" i="11"/>
  <c r="AA2009" i="11"/>
  <c r="P2010" i="11"/>
  <c r="R2010" i="11"/>
  <c r="S2010" i="11"/>
  <c r="X2010" i="11"/>
  <c r="Y2010" i="11"/>
  <c r="Z2010" i="11"/>
  <c r="AA2010" i="11"/>
  <c r="P2011" i="11"/>
  <c r="R2011" i="11"/>
  <c r="S2011" i="11"/>
  <c r="X2011" i="11"/>
  <c r="Y2011" i="11"/>
  <c r="Z2011" i="11"/>
  <c r="AA2011" i="11"/>
  <c r="P2012" i="11"/>
  <c r="R2012" i="11"/>
  <c r="S2012" i="11"/>
  <c r="X2012" i="11"/>
  <c r="Y2012" i="11"/>
  <c r="Z2012" i="11"/>
  <c r="AA2012" i="11"/>
  <c r="P2013" i="11"/>
  <c r="R2013" i="11"/>
  <c r="S2013" i="11"/>
  <c r="X2013" i="11"/>
  <c r="Y2013" i="11"/>
  <c r="Z2013" i="11"/>
  <c r="AA2013" i="11"/>
  <c r="P2014" i="11"/>
  <c r="R2014" i="11"/>
  <c r="S2014" i="11"/>
  <c r="X2014" i="11"/>
  <c r="Y2014" i="11"/>
  <c r="Z2014" i="11"/>
  <c r="AA2014" i="11"/>
  <c r="P2015" i="11"/>
  <c r="R2015" i="11"/>
  <c r="S2015" i="11"/>
  <c r="X2015" i="11"/>
  <c r="Y2015" i="11"/>
  <c r="Z2015" i="11"/>
  <c r="AA2015" i="11"/>
  <c r="P2016" i="11"/>
  <c r="R2016" i="11"/>
  <c r="S2016" i="11"/>
  <c r="X2016" i="11"/>
  <c r="Y2016" i="11"/>
  <c r="Z2016" i="11"/>
  <c r="AA2016" i="11"/>
  <c r="P2017" i="11"/>
  <c r="R2017" i="11"/>
  <c r="S2017" i="11"/>
  <c r="X2017" i="11"/>
  <c r="Y2017" i="11"/>
  <c r="Z2017" i="11"/>
  <c r="AA2017" i="11"/>
  <c r="P2018" i="11"/>
  <c r="R2018" i="11"/>
  <c r="S2018" i="11"/>
  <c r="X2018" i="11"/>
  <c r="Y2018" i="11"/>
  <c r="Z2018" i="11"/>
  <c r="AA2018" i="11"/>
  <c r="P2019" i="11"/>
  <c r="R2019" i="11"/>
  <c r="S2019" i="11"/>
  <c r="X2019" i="11"/>
  <c r="Y2019" i="11"/>
  <c r="Z2019" i="11"/>
  <c r="AA2019" i="11"/>
  <c r="P2020" i="11"/>
  <c r="R2020" i="11"/>
  <c r="S2020" i="11"/>
  <c r="X2020" i="11"/>
  <c r="Y2020" i="11"/>
  <c r="Z2020" i="11"/>
  <c r="AA2020" i="11"/>
  <c r="P2021" i="11"/>
  <c r="R2021" i="11"/>
  <c r="S2021" i="11"/>
  <c r="X2021" i="11"/>
  <c r="Y2021" i="11"/>
  <c r="Z2021" i="11"/>
  <c r="AA2021" i="11"/>
  <c r="P2022" i="11"/>
  <c r="R2022" i="11"/>
  <c r="S2022" i="11"/>
  <c r="X2022" i="11"/>
  <c r="Y2022" i="11"/>
  <c r="Z2022" i="11"/>
  <c r="AA2022" i="11"/>
  <c r="P2023" i="11"/>
  <c r="R2023" i="11"/>
  <c r="S2023" i="11"/>
  <c r="X2023" i="11"/>
  <c r="Y2023" i="11"/>
  <c r="Z2023" i="11"/>
  <c r="AA2023" i="11"/>
  <c r="P2024" i="11"/>
  <c r="R2024" i="11"/>
  <c r="S2024" i="11"/>
  <c r="X2024" i="11"/>
  <c r="Y2024" i="11"/>
  <c r="Z2024" i="11"/>
  <c r="AA2024" i="11"/>
  <c r="P2025" i="11"/>
  <c r="R2025" i="11"/>
  <c r="S2025" i="11"/>
  <c r="X2025" i="11"/>
  <c r="Y2025" i="11"/>
  <c r="Z2025" i="11"/>
  <c r="AA2025" i="11"/>
  <c r="P2026" i="11"/>
  <c r="R2026" i="11"/>
  <c r="S2026" i="11"/>
  <c r="X2026" i="11"/>
  <c r="Y2026" i="11"/>
  <c r="Z2026" i="11"/>
  <c r="AA2026" i="11"/>
  <c r="P2027" i="11"/>
  <c r="R2027" i="11"/>
  <c r="S2027" i="11"/>
  <c r="X2027" i="11"/>
  <c r="Y2027" i="11"/>
  <c r="Z2027" i="11"/>
  <c r="AA2027" i="11"/>
  <c r="P2028" i="11"/>
  <c r="R2028" i="11"/>
  <c r="S2028" i="11"/>
  <c r="X2028" i="11"/>
  <c r="Y2028" i="11"/>
  <c r="Z2028" i="11"/>
  <c r="AA2028" i="11"/>
  <c r="P2029" i="11"/>
  <c r="R2029" i="11"/>
  <c r="S2029" i="11"/>
  <c r="X2029" i="11"/>
  <c r="Y2029" i="11"/>
  <c r="Z2029" i="11"/>
  <c r="AA2029" i="11"/>
  <c r="P2030" i="11"/>
  <c r="R2030" i="11"/>
  <c r="S2030" i="11"/>
  <c r="X2030" i="11"/>
  <c r="Y2030" i="11"/>
  <c r="Z2030" i="11"/>
  <c r="AA2030" i="11"/>
  <c r="P2031" i="11"/>
  <c r="R2031" i="11"/>
  <c r="S2031" i="11"/>
  <c r="X2031" i="11"/>
  <c r="Y2031" i="11"/>
  <c r="Z2031" i="11"/>
  <c r="AA2031" i="11"/>
  <c r="P2032" i="11"/>
  <c r="R2032" i="11"/>
  <c r="S2032" i="11"/>
  <c r="X2032" i="11"/>
  <c r="Y2032" i="11"/>
  <c r="Z2032" i="11"/>
  <c r="AA2032" i="11"/>
  <c r="P2033" i="11"/>
  <c r="R2033" i="11"/>
  <c r="S2033" i="11"/>
  <c r="X2033" i="11"/>
  <c r="Y2033" i="11"/>
  <c r="Z2033" i="11"/>
  <c r="AA2033" i="11"/>
  <c r="P2034" i="11"/>
  <c r="R2034" i="11"/>
  <c r="S2034" i="11"/>
  <c r="X2034" i="11"/>
  <c r="Y2034" i="11"/>
  <c r="Z2034" i="11"/>
  <c r="AA2034" i="11"/>
  <c r="P2035" i="11"/>
  <c r="R2035" i="11"/>
  <c r="S2035" i="11"/>
  <c r="X2035" i="11"/>
  <c r="Y2035" i="11"/>
  <c r="Z2035" i="11"/>
  <c r="AA2035" i="11"/>
  <c r="P2036" i="11"/>
  <c r="R2036" i="11"/>
  <c r="S2036" i="11"/>
  <c r="X2036" i="11"/>
  <c r="Y2036" i="11"/>
  <c r="Z2036" i="11"/>
  <c r="AA2036" i="11"/>
  <c r="P2037" i="11"/>
  <c r="R2037" i="11"/>
  <c r="S2037" i="11"/>
  <c r="X2037" i="11"/>
  <c r="Y2037" i="11"/>
  <c r="Z2037" i="11"/>
  <c r="AA2037" i="11"/>
  <c r="P2038" i="11"/>
  <c r="R2038" i="11"/>
  <c r="S2038" i="11"/>
  <c r="X2038" i="11"/>
  <c r="Y2038" i="11"/>
  <c r="Z2038" i="11"/>
  <c r="AA2038" i="11"/>
  <c r="P2039" i="11"/>
  <c r="R2039" i="11"/>
  <c r="S2039" i="11"/>
  <c r="X2039" i="11"/>
  <c r="Y2039" i="11"/>
  <c r="Z2039" i="11"/>
  <c r="AA2039" i="11"/>
  <c r="P2040" i="11"/>
  <c r="R2040" i="11"/>
  <c r="S2040" i="11"/>
  <c r="X2040" i="11"/>
  <c r="Y2040" i="11"/>
  <c r="Z2040" i="11"/>
  <c r="AA2040" i="11"/>
  <c r="P2041" i="11"/>
  <c r="R2041" i="11"/>
  <c r="S2041" i="11"/>
  <c r="X2041" i="11"/>
  <c r="Y2041" i="11"/>
  <c r="Z2041" i="11"/>
  <c r="AA2041" i="11"/>
  <c r="P2042" i="11"/>
  <c r="R2042" i="11"/>
  <c r="S2042" i="11"/>
  <c r="X2042" i="11"/>
  <c r="Y2042" i="11"/>
  <c r="Z2042" i="11"/>
  <c r="AA2042" i="11"/>
  <c r="P2043" i="11"/>
  <c r="R2043" i="11"/>
  <c r="S2043" i="11"/>
  <c r="X2043" i="11"/>
  <c r="Y2043" i="11"/>
  <c r="Z2043" i="11"/>
  <c r="AA2043" i="11"/>
  <c r="P2044" i="11"/>
  <c r="R2044" i="11"/>
  <c r="S2044" i="11"/>
  <c r="X2044" i="11"/>
  <c r="Y2044" i="11"/>
  <c r="Z2044" i="11"/>
  <c r="AA2044" i="11"/>
  <c r="P2045" i="11"/>
  <c r="R2045" i="11"/>
  <c r="S2045" i="11"/>
  <c r="X2045" i="11"/>
  <c r="Y2045" i="11"/>
  <c r="Z2045" i="11"/>
  <c r="AA2045" i="11"/>
  <c r="P2046" i="11"/>
  <c r="R2046" i="11"/>
  <c r="S2046" i="11"/>
  <c r="X2046" i="11"/>
  <c r="Y2046" i="11"/>
  <c r="Z2046" i="11"/>
  <c r="AA2046" i="11"/>
  <c r="P2047" i="11"/>
  <c r="R2047" i="11"/>
  <c r="S2047" i="11"/>
  <c r="X2047" i="11"/>
  <c r="Y2047" i="11"/>
  <c r="Z2047" i="11"/>
  <c r="AA2047" i="11"/>
  <c r="P2048" i="11"/>
  <c r="R2048" i="11"/>
  <c r="S2048" i="11"/>
  <c r="X2048" i="11"/>
  <c r="Y2048" i="11"/>
  <c r="Z2048" i="11"/>
  <c r="AA2048" i="11"/>
  <c r="P2049" i="11"/>
  <c r="R2049" i="11"/>
  <c r="S2049" i="11"/>
  <c r="X2049" i="11"/>
  <c r="Y2049" i="11"/>
  <c r="Z2049" i="11"/>
  <c r="AA2049" i="11"/>
  <c r="P2050" i="11"/>
  <c r="R2050" i="11"/>
  <c r="S2050" i="11"/>
  <c r="X2050" i="11"/>
  <c r="Y2050" i="11"/>
  <c r="Z2050" i="11"/>
  <c r="AA2050" i="11"/>
  <c r="P2051" i="11"/>
  <c r="R2051" i="11"/>
  <c r="S2051" i="11"/>
  <c r="X2051" i="11"/>
  <c r="Y2051" i="11"/>
  <c r="Z2051" i="11"/>
  <c r="AA2051" i="11"/>
  <c r="P2052" i="11"/>
  <c r="R2052" i="11"/>
  <c r="S2052" i="11"/>
  <c r="X2052" i="11"/>
  <c r="Y2052" i="11"/>
  <c r="Z2052" i="11"/>
  <c r="AA2052" i="11"/>
  <c r="P2053" i="11"/>
  <c r="R2053" i="11"/>
  <c r="S2053" i="11"/>
  <c r="X2053" i="11"/>
  <c r="Y2053" i="11"/>
  <c r="Z2053" i="11"/>
  <c r="AA2053" i="11"/>
  <c r="P2054" i="11"/>
  <c r="R2054" i="11"/>
  <c r="S2054" i="11"/>
  <c r="X2054" i="11"/>
  <c r="Y2054" i="11"/>
  <c r="Z2054" i="11"/>
  <c r="AA2054" i="11"/>
  <c r="P2055" i="11"/>
  <c r="R2055" i="11"/>
  <c r="S2055" i="11"/>
  <c r="X2055" i="11"/>
  <c r="Y2055" i="11"/>
  <c r="Z2055" i="11"/>
  <c r="AA2055" i="11"/>
  <c r="P2056" i="11"/>
  <c r="R2056" i="11"/>
  <c r="S2056" i="11"/>
  <c r="X2056" i="11"/>
  <c r="Y2056" i="11"/>
  <c r="Z2056" i="11"/>
  <c r="AA2056" i="11"/>
  <c r="P2057" i="11"/>
  <c r="R2057" i="11"/>
  <c r="S2057" i="11"/>
  <c r="X2057" i="11"/>
  <c r="Y2057" i="11"/>
  <c r="Z2057" i="11"/>
  <c r="AA2057" i="11"/>
  <c r="P2058" i="11"/>
  <c r="R2058" i="11"/>
  <c r="S2058" i="11"/>
  <c r="X2058" i="11"/>
  <c r="Y2058" i="11"/>
  <c r="Z2058" i="11"/>
  <c r="AA2058" i="11"/>
  <c r="P2059" i="11"/>
  <c r="R2059" i="11"/>
  <c r="S2059" i="11"/>
  <c r="X2059" i="11"/>
  <c r="Y2059" i="11"/>
  <c r="Z2059" i="11"/>
  <c r="AA2059" i="11"/>
  <c r="P2060" i="11"/>
  <c r="R2060" i="11"/>
  <c r="S2060" i="11"/>
  <c r="X2060" i="11"/>
  <c r="Y2060" i="11"/>
  <c r="Z2060" i="11"/>
  <c r="AA2060" i="11"/>
  <c r="P2061" i="11"/>
  <c r="R2061" i="11"/>
  <c r="S2061" i="11"/>
  <c r="X2061" i="11"/>
  <c r="Y2061" i="11"/>
  <c r="Z2061" i="11"/>
  <c r="AA2061" i="11"/>
  <c r="P2062" i="11"/>
  <c r="R2062" i="11"/>
  <c r="S2062" i="11"/>
  <c r="X2062" i="11"/>
  <c r="Y2062" i="11"/>
  <c r="Z2062" i="11"/>
  <c r="AA2062" i="11"/>
  <c r="P2063" i="11"/>
  <c r="R2063" i="11"/>
  <c r="S2063" i="11"/>
  <c r="X2063" i="11"/>
  <c r="Y2063" i="11"/>
  <c r="Z2063" i="11"/>
  <c r="AA2063" i="11"/>
  <c r="P2064" i="11"/>
  <c r="R2064" i="11"/>
  <c r="S2064" i="11"/>
  <c r="X2064" i="11"/>
  <c r="Y2064" i="11"/>
  <c r="Z2064" i="11"/>
  <c r="AA2064" i="11"/>
  <c r="P2065" i="11"/>
  <c r="R2065" i="11"/>
  <c r="S2065" i="11"/>
  <c r="X2065" i="11"/>
  <c r="Y2065" i="11"/>
  <c r="Z2065" i="11"/>
  <c r="AA2065" i="11"/>
  <c r="P2066" i="11"/>
  <c r="R2066" i="11"/>
  <c r="S2066" i="11"/>
  <c r="X2066" i="11"/>
  <c r="Y2066" i="11"/>
  <c r="Z2066" i="11"/>
  <c r="AA2066" i="11"/>
  <c r="P2067" i="11"/>
  <c r="R2067" i="11"/>
  <c r="S2067" i="11"/>
  <c r="X2067" i="11"/>
  <c r="Y2067" i="11"/>
  <c r="Z2067" i="11"/>
  <c r="AA2067" i="11"/>
  <c r="P2068" i="11"/>
  <c r="R2068" i="11"/>
  <c r="S2068" i="11"/>
  <c r="X2068" i="11"/>
  <c r="Y2068" i="11"/>
  <c r="Z2068" i="11"/>
  <c r="AA2068" i="11"/>
  <c r="P2069" i="11"/>
  <c r="R2069" i="11"/>
  <c r="S2069" i="11"/>
  <c r="X2069" i="11"/>
  <c r="Y2069" i="11"/>
  <c r="Z2069" i="11"/>
  <c r="AA2069" i="11"/>
  <c r="P2070" i="11"/>
  <c r="R2070" i="11"/>
  <c r="S2070" i="11"/>
  <c r="X2070" i="11"/>
  <c r="Y2070" i="11"/>
  <c r="Z2070" i="11"/>
  <c r="AA2070" i="11"/>
  <c r="P2071" i="11"/>
  <c r="R2071" i="11"/>
  <c r="S2071" i="11"/>
  <c r="X2071" i="11"/>
  <c r="Y2071" i="11"/>
  <c r="Z2071" i="11"/>
  <c r="AA2071" i="11"/>
  <c r="P2072" i="11"/>
  <c r="R2072" i="11"/>
  <c r="S2072" i="11"/>
  <c r="X2072" i="11"/>
  <c r="Y2072" i="11"/>
  <c r="Z2072" i="11"/>
  <c r="AA2072" i="11"/>
  <c r="P2073" i="11"/>
  <c r="R2073" i="11"/>
  <c r="S2073" i="11"/>
  <c r="X2073" i="11"/>
  <c r="Y2073" i="11"/>
  <c r="Z2073" i="11"/>
  <c r="AA2073" i="11"/>
  <c r="P2074" i="11"/>
  <c r="R2074" i="11"/>
  <c r="S2074" i="11"/>
  <c r="X2074" i="11"/>
  <c r="Y2074" i="11"/>
  <c r="Z2074" i="11"/>
  <c r="AA2074" i="11"/>
  <c r="P2075" i="11"/>
  <c r="R2075" i="11"/>
  <c r="S2075" i="11"/>
  <c r="X2075" i="11"/>
  <c r="Y2075" i="11"/>
  <c r="Z2075" i="11"/>
  <c r="AA2075" i="11"/>
  <c r="P2076" i="11"/>
  <c r="R2076" i="11"/>
  <c r="S2076" i="11"/>
  <c r="X2076" i="11"/>
  <c r="Y2076" i="11"/>
  <c r="Z2076" i="11"/>
  <c r="AA2076" i="11"/>
  <c r="P2077" i="11"/>
  <c r="R2077" i="11"/>
  <c r="S2077" i="11"/>
  <c r="X2077" i="11"/>
  <c r="Y2077" i="11"/>
  <c r="Z2077" i="11"/>
  <c r="AA2077" i="11"/>
  <c r="P2078" i="11"/>
  <c r="R2078" i="11"/>
  <c r="S2078" i="11"/>
  <c r="X2078" i="11"/>
  <c r="Y2078" i="11"/>
  <c r="Z2078" i="11"/>
  <c r="AA2078" i="11"/>
  <c r="P2079" i="11"/>
  <c r="R2079" i="11"/>
  <c r="S2079" i="11"/>
  <c r="X2079" i="11"/>
  <c r="Y2079" i="11"/>
  <c r="Z2079" i="11"/>
  <c r="AA2079" i="11"/>
  <c r="P2080" i="11"/>
  <c r="R2080" i="11"/>
  <c r="S2080" i="11"/>
  <c r="X2080" i="11"/>
  <c r="Y2080" i="11"/>
  <c r="Z2080" i="11"/>
  <c r="AA2080" i="11"/>
  <c r="P2081" i="11"/>
  <c r="R2081" i="11"/>
  <c r="S2081" i="11"/>
  <c r="X2081" i="11"/>
  <c r="Y2081" i="11"/>
  <c r="Z2081" i="11"/>
  <c r="AA2081" i="11"/>
  <c r="P2082" i="11"/>
  <c r="R2082" i="11"/>
  <c r="S2082" i="11"/>
  <c r="X2082" i="11"/>
  <c r="Y2082" i="11"/>
  <c r="Z2082" i="11"/>
  <c r="AA2082" i="11"/>
  <c r="P2083" i="11"/>
  <c r="R2083" i="11"/>
  <c r="S2083" i="11"/>
  <c r="X2083" i="11"/>
  <c r="Y2083" i="11"/>
  <c r="Z2083" i="11"/>
  <c r="AA2083" i="11"/>
  <c r="P2084" i="11"/>
  <c r="R2084" i="11"/>
  <c r="S2084" i="11"/>
  <c r="X2084" i="11"/>
  <c r="Y2084" i="11"/>
  <c r="Z2084" i="11"/>
  <c r="AA2084" i="11"/>
  <c r="P2085" i="11"/>
  <c r="R2085" i="11"/>
  <c r="S2085" i="11"/>
  <c r="X2085" i="11"/>
  <c r="Y2085" i="11"/>
  <c r="Z2085" i="11"/>
  <c r="AA2085" i="11"/>
  <c r="P2086" i="11"/>
  <c r="R2086" i="11"/>
  <c r="S2086" i="11"/>
  <c r="X2086" i="11"/>
  <c r="Y2086" i="11"/>
  <c r="Z2086" i="11"/>
  <c r="AA2086" i="11"/>
  <c r="P2087" i="11"/>
  <c r="R2087" i="11"/>
  <c r="S2087" i="11"/>
  <c r="X2087" i="11"/>
  <c r="Y2087" i="11"/>
  <c r="Z2087" i="11"/>
  <c r="AA2087" i="11"/>
  <c r="P2088" i="11"/>
  <c r="R2088" i="11"/>
  <c r="S2088" i="11"/>
  <c r="X2088" i="11"/>
  <c r="Y2088" i="11"/>
  <c r="Z2088" i="11"/>
  <c r="AA2088" i="11"/>
  <c r="P2089" i="11"/>
  <c r="R2089" i="11"/>
  <c r="S2089" i="11"/>
  <c r="X2089" i="11"/>
  <c r="Y2089" i="11"/>
  <c r="Z2089" i="11"/>
  <c r="AA2089" i="11"/>
  <c r="P2090" i="11"/>
  <c r="R2090" i="11"/>
  <c r="S2090" i="11"/>
  <c r="X2090" i="11"/>
  <c r="Y2090" i="11"/>
  <c r="Z2090" i="11"/>
  <c r="AA2090" i="11"/>
  <c r="P2091" i="11"/>
  <c r="R2091" i="11"/>
  <c r="S2091" i="11"/>
  <c r="X2091" i="11"/>
  <c r="Y2091" i="11"/>
  <c r="Z2091" i="11"/>
  <c r="AA2091" i="11"/>
  <c r="P2092" i="11"/>
  <c r="R2092" i="11"/>
  <c r="S2092" i="11"/>
  <c r="X2092" i="11"/>
  <c r="Y2092" i="11"/>
  <c r="Z2092" i="11"/>
  <c r="AA2092" i="11"/>
  <c r="P2093" i="11"/>
  <c r="R2093" i="11"/>
  <c r="S2093" i="11"/>
  <c r="X2093" i="11"/>
  <c r="Y2093" i="11"/>
  <c r="Z2093" i="11"/>
  <c r="AA2093" i="11"/>
  <c r="P2094" i="11"/>
  <c r="R2094" i="11"/>
  <c r="S2094" i="11"/>
  <c r="X2094" i="11"/>
  <c r="Y2094" i="11"/>
  <c r="Z2094" i="11"/>
  <c r="AA2094" i="11"/>
  <c r="P2095" i="11"/>
  <c r="R2095" i="11"/>
  <c r="S2095" i="11"/>
  <c r="X2095" i="11"/>
  <c r="Y2095" i="11"/>
  <c r="Z2095" i="11"/>
  <c r="AA2095" i="11"/>
  <c r="P2096" i="11"/>
  <c r="R2096" i="11"/>
  <c r="S2096" i="11"/>
  <c r="X2096" i="11"/>
  <c r="Y2096" i="11"/>
  <c r="Z2096" i="11"/>
  <c r="AA2096" i="11"/>
  <c r="P2097" i="11"/>
  <c r="R2097" i="11"/>
  <c r="S2097" i="11"/>
  <c r="X2097" i="11"/>
  <c r="Y2097" i="11"/>
  <c r="Z2097" i="11"/>
  <c r="AA2097" i="11"/>
  <c r="P2098" i="11"/>
  <c r="R2098" i="11"/>
  <c r="S2098" i="11"/>
  <c r="X2098" i="11"/>
  <c r="Y2098" i="11"/>
  <c r="Z2098" i="11"/>
  <c r="AA2098" i="11"/>
  <c r="P2099" i="11"/>
  <c r="R2099" i="11"/>
  <c r="S2099" i="11"/>
  <c r="X2099" i="11"/>
  <c r="Y2099" i="11"/>
  <c r="Z2099" i="11"/>
  <c r="AA2099" i="11"/>
  <c r="P2100" i="11"/>
  <c r="R2100" i="11"/>
  <c r="S2100" i="11"/>
  <c r="X2100" i="11"/>
  <c r="Y2100" i="11"/>
  <c r="Z2100" i="11"/>
  <c r="AA2100" i="11"/>
  <c r="P2101" i="11"/>
  <c r="R2101" i="11"/>
  <c r="S2101" i="11"/>
  <c r="X2101" i="11"/>
  <c r="Y2101" i="11"/>
  <c r="Z2101" i="11"/>
  <c r="AA2101" i="11"/>
  <c r="P2102" i="11"/>
  <c r="R2102" i="11"/>
  <c r="S2102" i="11"/>
  <c r="X2102" i="11"/>
  <c r="Y2102" i="11"/>
  <c r="Z2102" i="11"/>
  <c r="AA2102" i="11"/>
  <c r="P2103" i="11"/>
  <c r="R2103" i="11"/>
  <c r="S2103" i="11"/>
  <c r="X2103" i="11"/>
  <c r="Y2103" i="11"/>
  <c r="Z2103" i="11"/>
  <c r="AA2103" i="11"/>
  <c r="P2104" i="11"/>
  <c r="R2104" i="11"/>
  <c r="S2104" i="11"/>
  <c r="X2104" i="11"/>
  <c r="Y2104" i="11"/>
  <c r="Z2104" i="11"/>
  <c r="AA2104" i="11"/>
  <c r="P2105" i="11"/>
  <c r="R2105" i="11"/>
  <c r="S2105" i="11"/>
  <c r="X2105" i="11"/>
  <c r="Y2105" i="11"/>
  <c r="Z2105" i="11"/>
  <c r="AA2105" i="11"/>
  <c r="P2106" i="11"/>
  <c r="R2106" i="11"/>
  <c r="S2106" i="11"/>
  <c r="X2106" i="11"/>
  <c r="Y2106" i="11"/>
  <c r="Z2106" i="11"/>
  <c r="AA2106" i="11"/>
  <c r="P2107" i="11"/>
  <c r="R2107" i="11"/>
  <c r="S2107" i="11"/>
  <c r="X2107" i="11"/>
  <c r="Y2107" i="11"/>
  <c r="Z2107" i="11"/>
  <c r="AA2107" i="11"/>
  <c r="P2108" i="11"/>
  <c r="R2108" i="11"/>
  <c r="S2108" i="11"/>
  <c r="X2108" i="11"/>
  <c r="Y2108" i="11"/>
  <c r="Z2108" i="11"/>
  <c r="AA2108" i="11"/>
  <c r="P2109" i="11"/>
  <c r="R2109" i="11"/>
  <c r="S2109" i="11"/>
  <c r="X2109" i="11"/>
  <c r="Y2109" i="11"/>
  <c r="Z2109" i="11"/>
  <c r="AA2109" i="11"/>
  <c r="P2110" i="11"/>
  <c r="R2110" i="11"/>
  <c r="S2110" i="11"/>
  <c r="X2110" i="11"/>
  <c r="Y2110" i="11"/>
  <c r="Z2110" i="11"/>
  <c r="AA2110" i="11"/>
  <c r="P2111" i="11"/>
  <c r="R2111" i="11"/>
  <c r="S2111" i="11"/>
  <c r="X2111" i="11"/>
  <c r="Y2111" i="11"/>
  <c r="Z2111" i="11"/>
  <c r="AA2111" i="11"/>
  <c r="P2112" i="11"/>
  <c r="R2112" i="11"/>
  <c r="S2112" i="11"/>
  <c r="X2112" i="11"/>
  <c r="Y2112" i="11"/>
  <c r="Z2112" i="11"/>
  <c r="AA2112" i="11"/>
  <c r="P2113" i="11"/>
  <c r="R2113" i="11"/>
  <c r="S2113" i="11"/>
  <c r="X2113" i="11"/>
  <c r="Y2113" i="11"/>
  <c r="Z2113" i="11"/>
  <c r="AA2113" i="11"/>
  <c r="P2114" i="11"/>
  <c r="R2114" i="11"/>
  <c r="S2114" i="11"/>
  <c r="X2114" i="11"/>
  <c r="Y2114" i="11"/>
  <c r="Z2114" i="11"/>
  <c r="AA2114" i="11"/>
  <c r="P2115" i="11"/>
  <c r="R2115" i="11"/>
  <c r="S2115" i="11"/>
  <c r="X2115" i="11"/>
  <c r="Y2115" i="11"/>
  <c r="Z2115" i="11"/>
  <c r="AA2115" i="11"/>
  <c r="P2116" i="11"/>
  <c r="R2116" i="11"/>
  <c r="S2116" i="11"/>
  <c r="X2116" i="11"/>
  <c r="Y2116" i="11"/>
  <c r="Z2116" i="11"/>
  <c r="AA2116" i="11"/>
  <c r="P2117" i="11"/>
  <c r="R2117" i="11"/>
  <c r="S2117" i="11"/>
  <c r="X2117" i="11"/>
  <c r="Y2117" i="11"/>
  <c r="Z2117" i="11"/>
  <c r="AA2117" i="11"/>
  <c r="P2118" i="11"/>
  <c r="R2118" i="11"/>
  <c r="S2118" i="11"/>
  <c r="X2118" i="11"/>
  <c r="Y2118" i="11"/>
  <c r="Z2118" i="11"/>
  <c r="AA2118" i="11"/>
  <c r="P2119" i="11"/>
  <c r="R2119" i="11"/>
  <c r="S2119" i="11"/>
  <c r="X2119" i="11"/>
  <c r="Y2119" i="11"/>
  <c r="Z2119" i="11"/>
  <c r="AA2119" i="11"/>
  <c r="P2120" i="11"/>
  <c r="R2120" i="11"/>
  <c r="S2120" i="11"/>
  <c r="X2120" i="11"/>
  <c r="Y2120" i="11"/>
  <c r="Z2120" i="11"/>
  <c r="AA2120" i="11"/>
  <c r="P2121" i="11"/>
  <c r="R2121" i="11"/>
  <c r="S2121" i="11"/>
  <c r="X2121" i="11"/>
  <c r="Y2121" i="11"/>
  <c r="Z2121" i="11"/>
  <c r="AA2121" i="11"/>
  <c r="P2122" i="11"/>
  <c r="R2122" i="11"/>
  <c r="S2122" i="11"/>
  <c r="X2122" i="11"/>
  <c r="Y2122" i="11"/>
  <c r="Z2122" i="11"/>
  <c r="AA2122" i="11"/>
  <c r="P2123" i="11"/>
  <c r="R2123" i="11"/>
  <c r="S2123" i="11"/>
  <c r="X2123" i="11"/>
  <c r="Y2123" i="11"/>
  <c r="Z2123" i="11"/>
  <c r="AA2123" i="11"/>
  <c r="P2124" i="11"/>
  <c r="R2124" i="11"/>
  <c r="S2124" i="11"/>
  <c r="X2124" i="11"/>
  <c r="Y2124" i="11"/>
  <c r="Z2124" i="11"/>
  <c r="AA2124" i="11"/>
  <c r="P2125" i="11"/>
  <c r="R2125" i="11"/>
  <c r="S2125" i="11"/>
  <c r="X2125" i="11"/>
  <c r="Y2125" i="11"/>
  <c r="Z2125" i="11"/>
  <c r="AA2125" i="11"/>
  <c r="P2126" i="11"/>
  <c r="R2126" i="11"/>
  <c r="S2126" i="11"/>
  <c r="X2126" i="11"/>
  <c r="Y2126" i="11"/>
  <c r="Z2126" i="11"/>
  <c r="AA2126" i="11"/>
  <c r="P2127" i="11"/>
  <c r="R2127" i="11"/>
  <c r="S2127" i="11"/>
  <c r="X2127" i="11"/>
  <c r="Y2127" i="11"/>
  <c r="Z2127" i="11"/>
  <c r="AA2127" i="11"/>
  <c r="P2128" i="11"/>
  <c r="R2128" i="11"/>
  <c r="S2128" i="11"/>
  <c r="X2128" i="11"/>
  <c r="Y2128" i="11"/>
  <c r="Z2128" i="11"/>
  <c r="AA2128" i="11"/>
  <c r="P2129" i="11"/>
  <c r="R2129" i="11"/>
  <c r="S2129" i="11"/>
  <c r="X2129" i="11"/>
  <c r="Y2129" i="11"/>
  <c r="Z2129" i="11"/>
  <c r="AA2129" i="11"/>
  <c r="P2130" i="11"/>
  <c r="R2130" i="11"/>
  <c r="S2130" i="11"/>
  <c r="X2130" i="11"/>
  <c r="Y2130" i="11"/>
  <c r="Z2130" i="11"/>
  <c r="AA2130" i="11"/>
  <c r="P2131" i="11"/>
  <c r="R2131" i="11"/>
  <c r="S2131" i="11"/>
  <c r="X2131" i="11"/>
  <c r="Y2131" i="11"/>
  <c r="Z2131" i="11"/>
  <c r="AA2131" i="11"/>
  <c r="P2132" i="11"/>
  <c r="R2132" i="11"/>
  <c r="S2132" i="11"/>
  <c r="X2132" i="11"/>
  <c r="Y2132" i="11"/>
  <c r="Z2132" i="11"/>
  <c r="AA2132" i="11"/>
  <c r="P2133" i="11"/>
  <c r="R2133" i="11"/>
  <c r="S2133" i="11"/>
  <c r="X2133" i="11"/>
  <c r="Y2133" i="11"/>
  <c r="Z2133" i="11"/>
  <c r="AA2133" i="11"/>
  <c r="P2134" i="11"/>
  <c r="R2134" i="11"/>
  <c r="S2134" i="11"/>
  <c r="X2134" i="11"/>
  <c r="Y2134" i="11"/>
  <c r="Z2134" i="11"/>
  <c r="AA2134" i="11"/>
  <c r="P2135" i="11"/>
  <c r="R2135" i="11"/>
  <c r="S2135" i="11"/>
  <c r="X2135" i="11"/>
  <c r="Y2135" i="11"/>
  <c r="Z2135" i="11"/>
  <c r="AA2135" i="11"/>
  <c r="P2136" i="11"/>
  <c r="R2136" i="11"/>
  <c r="S2136" i="11"/>
  <c r="X2136" i="11"/>
  <c r="Y2136" i="11"/>
  <c r="Z2136" i="11"/>
  <c r="AA2136" i="11"/>
  <c r="P2137" i="11"/>
  <c r="R2137" i="11"/>
  <c r="S2137" i="11"/>
  <c r="X2137" i="11"/>
  <c r="Y2137" i="11"/>
  <c r="Z2137" i="11"/>
  <c r="AA2137" i="11"/>
  <c r="P2138" i="11"/>
  <c r="R2138" i="11"/>
  <c r="S2138" i="11"/>
  <c r="X2138" i="11"/>
  <c r="Y2138" i="11"/>
  <c r="Z2138" i="11"/>
  <c r="AA2138" i="11"/>
  <c r="P2139" i="11"/>
  <c r="R2139" i="11"/>
  <c r="S2139" i="11"/>
  <c r="X2139" i="11"/>
  <c r="Y2139" i="11"/>
  <c r="Z2139" i="11"/>
  <c r="AA2139" i="11"/>
  <c r="P2140" i="11"/>
  <c r="R2140" i="11"/>
  <c r="S2140" i="11"/>
  <c r="X2140" i="11"/>
  <c r="Y2140" i="11"/>
  <c r="Z2140" i="11"/>
  <c r="AA2140" i="11"/>
  <c r="P2141" i="11"/>
  <c r="R2141" i="11"/>
  <c r="S2141" i="11"/>
  <c r="X2141" i="11"/>
  <c r="Y2141" i="11"/>
  <c r="Z2141" i="11"/>
  <c r="AA2141" i="11"/>
  <c r="P2142" i="11"/>
  <c r="R2142" i="11"/>
  <c r="S2142" i="11"/>
  <c r="X2142" i="11"/>
  <c r="Y2142" i="11"/>
  <c r="Z2142" i="11"/>
  <c r="AA2142" i="11"/>
  <c r="P2143" i="11"/>
  <c r="R2143" i="11"/>
  <c r="S2143" i="11"/>
  <c r="X2143" i="11"/>
  <c r="Y2143" i="11"/>
  <c r="Z2143" i="11"/>
  <c r="AA2143" i="11"/>
  <c r="P2144" i="11"/>
  <c r="R2144" i="11"/>
  <c r="S2144" i="11"/>
  <c r="X2144" i="11"/>
  <c r="Y2144" i="11"/>
  <c r="Z2144" i="11"/>
  <c r="AA2144" i="11"/>
  <c r="P2145" i="11"/>
  <c r="R2145" i="11"/>
  <c r="S2145" i="11"/>
  <c r="X2145" i="11"/>
  <c r="Y2145" i="11"/>
  <c r="Z2145" i="11"/>
  <c r="AA2145" i="11"/>
  <c r="P2146" i="11"/>
  <c r="R2146" i="11"/>
  <c r="S2146" i="11"/>
  <c r="X2146" i="11"/>
  <c r="Y2146" i="11"/>
  <c r="Z2146" i="11"/>
  <c r="AA2146" i="11"/>
  <c r="P2147" i="11"/>
  <c r="R2147" i="11"/>
  <c r="S2147" i="11"/>
  <c r="X2147" i="11"/>
  <c r="Y2147" i="11"/>
  <c r="Z2147" i="11"/>
  <c r="AA2147" i="11"/>
  <c r="P2148" i="11"/>
  <c r="R2148" i="11"/>
  <c r="S2148" i="11"/>
  <c r="X2148" i="11"/>
  <c r="Y2148" i="11"/>
  <c r="Z2148" i="11"/>
  <c r="AA2148" i="11"/>
  <c r="P2149" i="11"/>
  <c r="R2149" i="11"/>
  <c r="S2149" i="11"/>
  <c r="X2149" i="11"/>
  <c r="Y2149" i="11"/>
  <c r="Z2149" i="11"/>
  <c r="AA2149" i="11"/>
  <c r="P2150" i="11"/>
  <c r="R2150" i="11"/>
  <c r="S2150" i="11"/>
  <c r="X2150" i="11"/>
  <c r="Y2150" i="11"/>
  <c r="Z2150" i="11"/>
  <c r="AA2150" i="11"/>
  <c r="P2151" i="11"/>
  <c r="R2151" i="11"/>
  <c r="S2151" i="11"/>
  <c r="X2151" i="11"/>
  <c r="Y2151" i="11"/>
  <c r="Z2151" i="11"/>
  <c r="AA2151" i="11"/>
  <c r="P2152" i="11"/>
  <c r="R2152" i="11"/>
  <c r="S2152" i="11"/>
  <c r="X2152" i="11"/>
  <c r="Y2152" i="11"/>
  <c r="Z2152" i="11"/>
  <c r="AA2152" i="11"/>
  <c r="P2153" i="11"/>
  <c r="R2153" i="11"/>
  <c r="S2153" i="11"/>
  <c r="X2153" i="11"/>
  <c r="Y2153" i="11"/>
  <c r="Z2153" i="11"/>
  <c r="AA2153" i="11"/>
  <c r="P2154" i="11"/>
  <c r="R2154" i="11"/>
  <c r="S2154" i="11"/>
  <c r="X2154" i="11"/>
  <c r="Y2154" i="11"/>
  <c r="Z2154" i="11"/>
  <c r="AA2154" i="11"/>
  <c r="P2155" i="11"/>
  <c r="R2155" i="11"/>
  <c r="S2155" i="11"/>
  <c r="X2155" i="11"/>
  <c r="Y2155" i="11"/>
  <c r="Z2155" i="11"/>
  <c r="AA2155" i="11"/>
  <c r="P2156" i="11"/>
  <c r="R2156" i="11"/>
  <c r="S2156" i="11"/>
  <c r="X2156" i="11"/>
  <c r="Y2156" i="11"/>
  <c r="Z2156" i="11"/>
  <c r="AA2156" i="11"/>
  <c r="P2157" i="11"/>
  <c r="R2157" i="11"/>
  <c r="S2157" i="11"/>
  <c r="X2157" i="11"/>
  <c r="Y2157" i="11"/>
  <c r="Z2157" i="11"/>
  <c r="AA2157" i="11"/>
  <c r="P2158" i="11"/>
  <c r="R2158" i="11"/>
  <c r="S2158" i="11"/>
  <c r="X2158" i="11"/>
  <c r="Y2158" i="11"/>
  <c r="Z2158" i="11"/>
  <c r="AA2158" i="11"/>
  <c r="P2159" i="11"/>
  <c r="R2159" i="11"/>
  <c r="S2159" i="11"/>
  <c r="X2159" i="11"/>
  <c r="Y2159" i="11"/>
  <c r="Z2159" i="11"/>
  <c r="AA2159" i="11"/>
  <c r="P2160" i="11"/>
  <c r="R2160" i="11"/>
  <c r="S2160" i="11"/>
  <c r="X2160" i="11"/>
  <c r="Y2160" i="11"/>
  <c r="Z2160" i="11"/>
  <c r="AA2160" i="11"/>
  <c r="P2161" i="11"/>
  <c r="R2161" i="11"/>
  <c r="S2161" i="11"/>
  <c r="X2161" i="11"/>
  <c r="Y2161" i="11"/>
  <c r="Z2161" i="11"/>
  <c r="AA2161" i="11"/>
  <c r="P2162" i="11"/>
  <c r="R2162" i="11"/>
  <c r="S2162" i="11"/>
  <c r="X2162" i="11"/>
  <c r="Y2162" i="11"/>
  <c r="Z2162" i="11"/>
  <c r="AA2162" i="11"/>
  <c r="P2163" i="11"/>
  <c r="R2163" i="11"/>
  <c r="S2163" i="11"/>
  <c r="X2163" i="11"/>
  <c r="Y2163" i="11"/>
  <c r="Z2163" i="11"/>
  <c r="AA2163" i="11"/>
  <c r="P2164" i="11"/>
  <c r="R2164" i="11"/>
  <c r="S2164" i="11"/>
  <c r="X2164" i="11"/>
  <c r="Y2164" i="11"/>
  <c r="Z2164" i="11"/>
  <c r="AA2164" i="11"/>
  <c r="P2165" i="11"/>
  <c r="R2165" i="11"/>
  <c r="S2165" i="11"/>
  <c r="X2165" i="11"/>
  <c r="Y2165" i="11"/>
  <c r="Z2165" i="11"/>
  <c r="AA2165" i="11"/>
  <c r="P2166" i="11"/>
  <c r="R2166" i="11"/>
  <c r="S2166" i="11"/>
  <c r="X2166" i="11"/>
  <c r="Y2166" i="11"/>
  <c r="Z2166" i="11"/>
  <c r="AA2166" i="11"/>
  <c r="P2167" i="11"/>
  <c r="R2167" i="11"/>
  <c r="S2167" i="11"/>
  <c r="X2167" i="11"/>
  <c r="Y2167" i="11"/>
  <c r="Z2167" i="11"/>
  <c r="AA2167" i="11"/>
  <c r="P2168" i="11"/>
  <c r="R2168" i="11"/>
  <c r="S2168" i="11"/>
  <c r="X2168" i="11"/>
  <c r="Y2168" i="11"/>
  <c r="Z2168" i="11"/>
  <c r="AA2168" i="11"/>
  <c r="P2169" i="11"/>
  <c r="R2169" i="11"/>
  <c r="S2169" i="11"/>
  <c r="X2169" i="11"/>
  <c r="Y2169" i="11"/>
  <c r="Z2169" i="11"/>
  <c r="AA2169" i="11"/>
  <c r="P2170" i="11"/>
  <c r="R2170" i="11"/>
  <c r="S2170" i="11"/>
  <c r="X2170" i="11"/>
  <c r="Y2170" i="11"/>
  <c r="Z2170" i="11"/>
  <c r="AA2170" i="11"/>
  <c r="P2171" i="11"/>
  <c r="R2171" i="11"/>
  <c r="S2171" i="11"/>
  <c r="X2171" i="11"/>
  <c r="Y2171" i="11"/>
  <c r="Z2171" i="11"/>
  <c r="AA2171" i="11"/>
  <c r="P2172" i="11"/>
  <c r="R2172" i="11"/>
  <c r="S2172" i="11"/>
  <c r="X2172" i="11"/>
  <c r="Y2172" i="11"/>
  <c r="Z2172" i="11"/>
  <c r="AA2172" i="11"/>
  <c r="P2173" i="11"/>
  <c r="R2173" i="11"/>
  <c r="S2173" i="11"/>
  <c r="X2173" i="11"/>
  <c r="Y2173" i="11"/>
  <c r="Z2173" i="11"/>
  <c r="AA2173" i="11"/>
  <c r="P2174" i="11"/>
  <c r="R2174" i="11"/>
  <c r="S2174" i="11"/>
  <c r="X2174" i="11"/>
  <c r="Y2174" i="11"/>
  <c r="Z2174" i="11"/>
  <c r="AA2174" i="11"/>
  <c r="P2175" i="11"/>
  <c r="R2175" i="11"/>
  <c r="S2175" i="11"/>
  <c r="X2175" i="11"/>
  <c r="Y2175" i="11"/>
  <c r="Z2175" i="11"/>
  <c r="AA2175" i="11"/>
  <c r="P2176" i="11"/>
  <c r="R2176" i="11"/>
  <c r="S2176" i="11"/>
  <c r="X2176" i="11"/>
  <c r="Y2176" i="11"/>
  <c r="Z2176" i="11"/>
  <c r="AA2176" i="11"/>
  <c r="P2177" i="11"/>
  <c r="R2177" i="11"/>
  <c r="S2177" i="11"/>
  <c r="X2177" i="11"/>
  <c r="Y2177" i="11"/>
  <c r="Z2177" i="11"/>
  <c r="AA2177" i="11"/>
  <c r="P2178" i="11"/>
  <c r="R2178" i="11"/>
  <c r="S2178" i="11"/>
  <c r="X2178" i="11"/>
  <c r="Y2178" i="11"/>
  <c r="Z2178" i="11"/>
  <c r="AA2178" i="11"/>
  <c r="P2179" i="11"/>
  <c r="R2179" i="11"/>
  <c r="S2179" i="11"/>
  <c r="X2179" i="11"/>
  <c r="Y2179" i="11"/>
  <c r="Z2179" i="11"/>
  <c r="AA2179" i="11"/>
  <c r="P2180" i="11"/>
  <c r="R2180" i="11"/>
  <c r="S2180" i="11"/>
  <c r="X2180" i="11"/>
  <c r="Y2180" i="11"/>
  <c r="Z2180" i="11"/>
  <c r="AA2180" i="11"/>
  <c r="P2181" i="11"/>
  <c r="R2181" i="11"/>
  <c r="S2181" i="11"/>
  <c r="X2181" i="11"/>
  <c r="Y2181" i="11"/>
  <c r="Z2181" i="11"/>
  <c r="AA2181" i="11"/>
  <c r="P2182" i="11"/>
  <c r="R2182" i="11"/>
  <c r="S2182" i="11"/>
  <c r="X2182" i="11"/>
  <c r="Y2182" i="11"/>
  <c r="Z2182" i="11"/>
  <c r="AA2182" i="11"/>
  <c r="P2183" i="11"/>
  <c r="R2183" i="11"/>
  <c r="S2183" i="11"/>
  <c r="X2183" i="11"/>
  <c r="Y2183" i="11"/>
  <c r="Z2183" i="11"/>
  <c r="AA2183" i="11"/>
  <c r="P2184" i="11"/>
  <c r="R2184" i="11"/>
  <c r="S2184" i="11"/>
  <c r="X2184" i="11"/>
  <c r="Y2184" i="11"/>
  <c r="Z2184" i="11"/>
  <c r="AA2184" i="11"/>
  <c r="P2185" i="11"/>
  <c r="R2185" i="11"/>
  <c r="S2185" i="11"/>
  <c r="X2185" i="11"/>
  <c r="Y2185" i="11"/>
  <c r="Z2185" i="11"/>
  <c r="AA2185" i="11"/>
  <c r="P2186" i="11"/>
  <c r="R2186" i="11"/>
  <c r="S2186" i="11"/>
  <c r="X2186" i="11"/>
  <c r="Y2186" i="11"/>
  <c r="Z2186" i="11"/>
  <c r="AA2186" i="11"/>
  <c r="P2187" i="11"/>
  <c r="R2187" i="11"/>
  <c r="S2187" i="11"/>
  <c r="X2187" i="11"/>
  <c r="Y2187" i="11"/>
  <c r="Z2187" i="11"/>
  <c r="AA2187" i="11"/>
  <c r="P2188" i="11"/>
  <c r="R2188" i="11"/>
  <c r="S2188" i="11"/>
  <c r="X2188" i="11"/>
  <c r="Y2188" i="11"/>
  <c r="Z2188" i="11"/>
  <c r="AA2188" i="11"/>
  <c r="P2189" i="11"/>
  <c r="R2189" i="11"/>
  <c r="S2189" i="11"/>
  <c r="X2189" i="11"/>
  <c r="Y2189" i="11"/>
  <c r="Z2189" i="11"/>
  <c r="AA2189" i="11"/>
  <c r="P2190" i="11"/>
  <c r="R2190" i="11"/>
  <c r="S2190" i="11"/>
  <c r="X2190" i="11"/>
  <c r="Y2190" i="11"/>
  <c r="Z2190" i="11"/>
  <c r="AA2190" i="11"/>
  <c r="P2191" i="11"/>
  <c r="R2191" i="11"/>
  <c r="S2191" i="11"/>
  <c r="X2191" i="11"/>
  <c r="Y2191" i="11"/>
  <c r="Z2191" i="11"/>
  <c r="AA2191" i="11"/>
  <c r="P2192" i="11"/>
  <c r="R2192" i="11"/>
  <c r="S2192" i="11"/>
  <c r="X2192" i="11"/>
  <c r="Y2192" i="11"/>
  <c r="Z2192" i="11"/>
  <c r="AA2192" i="11"/>
  <c r="P2193" i="11"/>
  <c r="R2193" i="11"/>
  <c r="S2193" i="11"/>
  <c r="X2193" i="11"/>
  <c r="Y2193" i="11"/>
  <c r="Z2193" i="11"/>
  <c r="AA2193" i="11"/>
  <c r="P2194" i="11"/>
  <c r="R2194" i="11"/>
  <c r="S2194" i="11"/>
  <c r="X2194" i="11"/>
  <c r="Y2194" i="11"/>
  <c r="Z2194" i="11"/>
  <c r="AA2194" i="11"/>
  <c r="P2195" i="11"/>
  <c r="R2195" i="11"/>
  <c r="S2195" i="11"/>
  <c r="X2195" i="11"/>
  <c r="Y2195" i="11"/>
  <c r="Z2195" i="11"/>
  <c r="AA2195" i="11"/>
  <c r="P2196" i="11"/>
  <c r="R2196" i="11"/>
  <c r="S2196" i="11"/>
  <c r="X2196" i="11"/>
  <c r="Y2196" i="11"/>
  <c r="Z2196" i="11"/>
  <c r="AA2196" i="11"/>
  <c r="P2197" i="11"/>
  <c r="R2197" i="11"/>
  <c r="S2197" i="11"/>
  <c r="X2197" i="11"/>
  <c r="Y2197" i="11"/>
  <c r="Z2197" i="11"/>
  <c r="AA2197" i="11"/>
  <c r="P2198" i="11"/>
  <c r="R2198" i="11"/>
  <c r="S2198" i="11"/>
  <c r="X2198" i="11"/>
  <c r="Y2198" i="11"/>
  <c r="Z2198" i="11"/>
  <c r="AA2198" i="11"/>
  <c r="P2199" i="11"/>
  <c r="R2199" i="11"/>
  <c r="S2199" i="11"/>
  <c r="X2199" i="11"/>
  <c r="Y2199" i="11"/>
  <c r="Z2199" i="11"/>
  <c r="AA2199" i="11"/>
  <c r="P2200" i="11"/>
  <c r="R2200" i="11"/>
  <c r="S2200" i="11"/>
  <c r="X2200" i="11"/>
  <c r="Y2200" i="11"/>
  <c r="Z2200" i="11"/>
  <c r="AA2200" i="11"/>
  <c r="P2201" i="11"/>
  <c r="R2201" i="11"/>
  <c r="S2201" i="11"/>
  <c r="X2201" i="11"/>
  <c r="Y2201" i="11"/>
  <c r="Z2201" i="11"/>
  <c r="AA2201" i="11"/>
  <c r="P2202" i="11"/>
  <c r="R2202" i="11"/>
  <c r="S2202" i="11"/>
  <c r="X2202" i="11"/>
  <c r="Y2202" i="11"/>
  <c r="Z2202" i="11"/>
  <c r="AA2202" i="11"/>
  <c r="P2203" i="11"/>
  <c r="R2203" i="11"/>
  <c r="S2203" i="11"/>
  <c r="X2203" i="11"/>
  <c r="Y2203" i="11"/>
  <c r="Z2203" i="11"/>
  <c r="AA2203" i="11"/>
  <c r="P2204" i="11"/>
  <c r="R2204" i="11"/>
  <c r="S2204" i="11"/>
  <c r="X2204" i="11"/>
  <c r="Y2204" i="11"/>
  <c r="Z2204" i="11"/>
  <c r="AA2204" i="11"/>
  <c r="P2205" i="11"/>
  <c r="R2205" i="11"/>
  <c r="S2205" i="11"/>
  <c r="X2205" i="11"/>
  <c r="Y2205" i="11"/>
  <c r="Z2205" i="11"/>
  <c r="AA2205" i="11"/>
  <c r="P2206" i="11"/>
  <c r="R2206" i="11"/>
  <c r="S2206" i="11"/>
  <c r="X2206" i="11"/>
  <c r="Y2206" i="11"/>
  <c r="Z2206" i="11"/>
  <c r="AA2206" i="11"/>
  <c r="P2207" i="11"/>
  <c r="R2207" i="11"/>
  <c r="S2207" i="11"/>
  <c r="X2207" i="11"/>
  <c r="Y2207" i="11"/>
  <c r="Z2207" i="11"/>
  <c r="AA2207" i="11"/>
  <c r="P2208" i="11"/>
  <c r="R2208" i="11"/>
  <c r="S2208" i="11"/>
  <c r="X2208" i="11"/>
  <c r="Y2208" i="11"/>
  <c r="Z2208" i="11"/>
  <c r="AA2208" i="11"/>
  <c r="P2209" i="11"/>
  <c r="R2209" i="11"/>
  <c r="S2209" i="11"/>
  <c r="X2209" i="11"/>
  <c r="Y2209" i="11"/>
  <c r="Z2209" i="11"/>
  <c r="AA2209" i="11"/>
  <c r="P2210" i="11"/>
  <c r="R2210" i="11"/>
  <c r="S2210" i="11"/>
  <c r="X2210" i="11"/>
  <c r="Y2210" i="11"/>
  <c r="Z2210" i="11"/>
  <c r="AA2210" i="11"/>
  <c r="P2211" i="11"/>
  <c r="R2211" i="11"/>
  <c r="S2211" i="11"/>
  <c r="X2211" i="11"/>
  <c r="Y2211" i="11"/>
  <c r="Z2211" i="11"/>
  <c r="AA2211" i="11"/>
  <c r="P2212" i="11"/>
  <c r="R2212" i="11"/>
  <c r="S2212" i="11"/>
  <c r="X2212" i="11"/>
  <c r="Y2212" i="11"/>
  <c r="Z2212" i="11"/>
  <c r="AA2212" i="11"/>
  <c r="P2213" i="11"/>
  <c r="R2213" i="11"/>
  <c r="S2213" i="11"/>
  <c r="X2213" i="11"/>
  <c r="Y2213" i="11"/>
  <c r="Z2213" i="11"/>
  <c r="AA2213" i="11"/>
  <c r="P2214" i="11"/>
  <c r="R2214" i="11"/>
  <c r="S2214" i="11"/>
  <c r="X2214" i="11"/>
  <c r="Y2214" i="11"/>
  <c r="Z2214" i="11"/>
  <c r="AA2214" i="11"/>
  <c r="P2215" i="11"/>
  <c r="R2215" i="11"/>
  <c r="S2215" i="11"/>
  <c r="X2215" i="11"/>
  <c r="Y2215" i="11"/>
  <c r="Z2215" i="11"/>
  <c r="AA2215" i="11"/>
  <c r="P2216" i="11"/>
  <c r="R2216" i="11"/>
  <c r="S2216" i="11"/>
  <c r="X2216" i="11"/>
  <c r="Y2216" i="11"/>
  <c r="Z2216" i="11"/>
  <c r="AA2216" i="11"/>
  <c r="P2217" i="11"/>
  <c r="R2217" i="11"/>
  <c r="S2217" i="11"/>
  <c r="X2217" i="11"/>
  <c r="Y2217" i="11"/>
  <c r="Z2217" i="11"/>
  <c r="AA2217" i="11"/>
  <c r="P2218" i="11"/>
  <c r="R2218" i="11"/>
  <c r="S2218" i="11"/>
  <c r="X2218" i="11"/>
  <c r="Y2218" i="11"/>
  <c r="Z2218" i="11"/>
  <c r="AA2218" i="11"/>
  <c r="P2219" i="11"/>
  <c r="R2219" i="11"/>
  <c r="S2219" i="11"/>
  <c r="X2219" i="11"/>
  <c r="Y2219" i="11"/>
  <c r="Z2219" i="11"/>
  <c r="AA2219" i="11"/>
  <c r="P2220" i="11"/>
  <c r="R2220" i="11"/>
  <c r="S2220" i="11"/>
  <c r="X2220" i="11"/>
  <c r="Y2220" i="11"/>
  <c r="Z2220" i="11"/>
  <c r="AA2220" i="11"/>
  <c r="P2221" i="11"/>
  <c r="R2221" i="11"/>
  <c r="S2221" i="11"/>
  <c r="X2221" i="11"/>
  <c r="Y2221" i="11"/>
  <c r="Z2221" i="11"/>
  <c r="AA2221" i="11"/>
  <c r="P2222" i="11"/>
  <c r="R2222" i="11"/>
  <c r="S2222" i="11"/>
  <c r="X2222" i="11"/>
  <c r="Y2222" i="11"/>
  <c r="Z2222" i="11"/>
  <c r="AA2222" i="11"/>
  <c r="P2223" i="11"/>
  <c r="R2223" i="11"/>
  <c r="S2223" i="11"/>
  <c r="X2223" i="11"/>
  <c r="Y2223" i="11"/>
  <c r="Z2223" i="11"/>
  <c r="AA2223" i="11"/>
  <c r="P2224" i="11"/>
  <c r="R2224" i="11"/>
  <c r="S2224" i="11"/>
  <c r="X2224" i="11"/>
  <c r="Y2224" i="11"/>
  <c r="Z2224" i="11"/>
  <c r="AA2224" i="11"/>
  <c r="P2225" i="11"/>
  <c r="R2225" i="11"/>
  <c r="S2225" i="11"/>
  <c r="X2225" i="11"/>
  <c r="Y2225" i="11"/>
  <c r="Z2225" i="11"/>
  <c r="AA2225" i="11"/>
  <c r="P2226" i="11"/>
  <c r="R2226" i="11"/>
  <c r="S2226" i="11"/>
  <c r="X2226" i="11"/>
  <c r="Y2226" i="11"/>
  <c r="Z2226" i="11"/>
  <c r="AA2226" i="11"/>
  <c r="P2227" i="11"/>
  <c r="R2227" i="11"/>
  <c r="S2227" i="11"/>
  <c r="X2227" i="11"/>
  <c r="Y2227" i="11"/>
  <c r="Z2227" i="11"/>
  <c r="AA2227" i="11"/>
  <c r="P2228" i="11"/>
  <c r="R2228" i="11"/>
  <c r="S2228" i="11"/>
  <c r="X2228" i="11"/>
  <c r="Y2228" i="11"/>
  <c r="Z2228" i="11"/>
  <c r="AA2228" i="11"/>
  <c r="P2229" i="11"/>
  <c r="R2229" i="11"/>
  <c r="S2229" i="11"/>
  <c r="X2229" i="11"/>
  <c r="Y2229" i="11"/>
  <c r="Z2229" i="11"/>
  <c r="AA2229" i="11"/>
  <c r="P2230" i="11"/>
  <c r="R2230" i="11"/>
  <c r="S2230" i="11"/>
  <c r="X2230" i="11"/>
  <c r="Y2230" i="11"/>
  <c r="Z2230" i="11"/>
  <c r="AA2230" i="11"/>
  <c r="P2231" i="11"/>
  <c r="R2231" i="11"/>
  <c r="S2231" i="11"/>
  <c r="X2231" i="11"/>
  <c r="Y2231" i="11"/>
  <c r="Z2231" i="11"/>
  <c r="AA2231" i="11"/>
  <c r="P2232" i="11"/>
  <c r="R2232" i="11"/>
  <c r="S2232" i="11"/>
  <c r="X2232" i="11"/>
  <c r="Y2232" i="11"/>
  <c r="Z2232" i="11"/>
  <c r="AA2232" i="11"/>
  <c r="P2233" i="11"/>
  <c r="R2233" i="11"/>
  <c r="S2233" i="11"/>
  <c r="X2233" i="11"/>
  <c r="Y2233" i="11"/>
  <c r="Z2233" i="11"/>
  <c r="AA2233" i="11"/>
  <c r="P2234" i="11"/>
  <c r="R2234" i="11"/>
  <c r="S2234" i="11"/>
  <c r="X2234" i="11"/>
  <c r="Y2234" i="11"/>
  <c r="Z2234" i="11"/>
  <c r="AA2234" i="11"/>
  <c r="P2235" i="11"/>
  <c r="R2235" i="11"/>
  <c r="S2235" i="11"/>
  <c r="X2235" i="11"/>
  <c r="Y2235" i="11"/>
  <c r="Z2235" i="11"/>
  <c r="AA2235" i="11"/>
  <c r="P2236" i="11"/>
  <c r="R2236" i="11"/>
  <c r="S2236" i="11"/>
  <c r="X2236" i="11"/>
  <c r="Y2236" i="11"/>
  <c r="Z2236" i="11"/>
  <c r="AA2236" i="11"/>
  <c r="P2237" i="11"/>
  <c r="R2237" i="11"/>
  <c r="S2237" i="11"/>
  <c r="X2237" i="11"/>
  <c r="Y2237" i="11"/>
  <c r="Z2237" i="11"/>
  <c r="AA2237" i="11"/>
  <c r="P2238" i="11"/>
  <c r="R2238" i="11"/>
  <c r="S2238" i="11"/>
  <c r="X2238" i="11"/>
  <c r="Y2238" i="11"/>
  <c r="Z2238" i="11"/>
  <c r="AA2238" i="11"/>
  <c r="P2239" i="11"/>
  <c r="R2239" i="11"/>
  <c r="S2239" i="11"/>
  <c r="X2239" i="11"/>
  <c r="Y2239" i="11"/>
  <c r="Z2239" i="11"/>
  <c r="AA2239" i="11"/>
  <c r="P2240" i="11"/>
  <c r="R2240" i="11"/>
  <c r="S2240" i="11"/>
  <c r="X2240" i="11"/>
  <c r="Y2240" i="11"/>
  <c r="Z2240" i="11"/>
  <c r="AA2240" i="11"/>
  <c r="P2241" i="11"/>
  <c r="R2241" i="11"/>
  <c r="S2241" i="11"/>
  <c r="X2241" i="11"/>
  <c r="Y2241" i="11"/>
  <c r="Z2241" i="11"/>
  <c r="AA2241" i="11"/>
  <c r="P2242" i="11"/>
  <c r="R2242" i="11"/>
  <c r="S2242" i="11"/>
  <c r="X2242" i="11"/>
  <c r="Y2242" i="11"/>
  <c r="Z2242" i="11"/>
  <c r="AA2242" i="11"/>
  <c r="P2243" i="11"/>
  <c r="R2243" i="11"/>
  <c r="S2243" i="11"/>
  <c r="X2243" i="11"/>
  <c r="Y2243" i="11"/>
  <c r="Z2243" i="11"/>
  <c r="AA2243" i="11"/>
  <c r="P2244" i="11"/>
  <c r="R2244" i="11"/>
  <c r="S2244" i="11"/>
  <c r="X2244" i="11"/>
  <c r="Y2244" i="11"/>
  <c r="Z2244" i="11"/>
  <c r="AA2244" i="11"/>
  <c r="P2245" i="11"/>
  <c r="R2245" i="11"/>
  <c r="S2245" i="11"/>
  <c r="X2245" i="11"/>
  <c r="Y2245" i="11"/>
  <c r="Z2245" i="11"/>
  <c r="AA2245" i="11"/>
  <c r="P2246" i="11"/>
  <c r="R2246" i="11"/>
  <c r="S2246" i="11"/>
  <c r="X2246" i="11"/>
  <c r="Y2246" i="11"/>
  <c r="Z2246" i="11"/>
  <c r="AA2246" i="11"/>
  <c r="P2247" i="11"/>
  <c r="R2247" i="11"/>
  <c r="S2247" i="11"/>
  <c r="X2247" i="11"/>
  <c r="Y2247" i="11"/>
  <c r="Z2247" i="11"/>
  <c r="AA2247" i="11"/>
  <c r="P2248" i="11"/>
  <c r="R2248" i="11"/>
  <c r="S2248" i="11"/>
  <c r="X2248" i="11"/>
  <c r="Y2248" i="11"/>
  <c r="Z2248" i="11"/>
  <c r="AA2248" i="11"/>
  <c r="P2249" i="11"/>
  <c r="R2249" i="11"/>
  <c r="S2249" i="11"/>
  <c r="X2249" i="11"/>
  <c r="Y2249" i="11"/>
  <c r="Z2249" i="11"/>
  <c r="AA2249" i="11"/>
  <c r="P2250" i="11"/>
  <c r="R2250" i="11"/>
  <c r="S2250" i="11"/>
  <c r="X2250" i="11"/>
  <c r="Y2250" i="11"/>
  <c r="Z2250" i="11"/>
  <c r="AA2250" i="11"/>
  <c r="P2251" i="11"/>
  <c r="R2251" i="11"/>
  <c r="S2251" i="11"/>
  <c r="X2251" i="11"/>
  <c r="Y2251" i="11"/>
  <c r="Z2251" i="11"/>
  <c r="AA2251" i="11"/>
  <c r="P2252" i="11"/>
  <c r="R2252" i="11"/>
  <c r="S2252" i="11"/>
  <c r="X2252" i="11"/>
  <c r="Y2252" i="11"/>
  <c r="Z2252" i="11"/>
  <c r="AA2252" i="11"/>
  <c r="P2253" i="11"/>
  <c r="R2253" i="11"/>
  <c r="S2253" i="11"/>
  <c r="X2253" i="11"/>
  <c r="Y2253" i="11"/>
  <c r="Z2253" i="11"/>
  <c r="AA2253" i="11"/>
  <c r="P2254" i="11"/>
  <c r="R2254" i="11"/>
  <c r="S2254" i="11"/>
  <c r="X2254" i="11"/>
  <c r="Y2254" i="11"/>
  <c r="Z2254" i="11"/>
  <c r="AA2254" i="11"/>
  <c r="P2255" i="11"/>
  <c r="R2255" i="11"/>
  <c r="S2255" i="11"/>
  <c r="X2255" i="11"/>
  <c r="Y2255" i="11"/>
  <c r="Z2255" i="11"/>
  <c r="AA2255" i="11"/>
  <c r="P2256" i="11"/>
  <c r="R2256" i="11"/>
  <c r="S2256" i="11"/>
  <c r="X2256" i="11"/>
  <c r="Y2256" i="11"/>
  <c r="Z2256" i="11"/>
  <c r="AA2256" i="11"/>
  <c r="P2257" i="11"/>
  <c r="R2257" i="11"/>
  <c r="S2257" i="11"/>
  <c r="X2257" i="11"/>
  <c r="Y2257" i="11"/>
  <c r="Z2257" i="11"/>
  <c r="AA2257" i="11"/>
  <c r="P2258" i="11"/>
  <c r="R2258" i="11"/>
  <c r="S2258" i="11"/>
  <c r="X2258" i="11"/>
  <c r="Y2258" i="11"/>
  <c r="Z2258" i="11"/>
  <c r="AA2258" i="11"/>
  <c r="P2259" i="11"/>
  <c r="R2259" i="11"/>
  <c r="S2259" i="11"/>
  <c r="X2259" i="11"/>
  <c r="Y2259" i="11"/>
  <c r="Z2259" i="11"/>
  <c r="AA2259" i="11"/>
  <c r="P2260" i="11"/>
  <c r="R2260" i="11"/>
  <c r="S2260" i="11"/>
  <c r="X2260" i="11"/>
  <c r="Y2260" i="11"/>
  <c r="Z2260" i="11"/>
  <c r="AA2260" i="11"/>
  <c r="P2261" i="11"/>
  <c r="R2261" i="11"/>
  <c r="S2261" i="11"/>
  <c r="X2261" i="11"/>
  <c r="Y2261" i="11"/>
  <c r="Z2261" i="11"/>
  <c r="AA2261" i="11"/>
  <c r="P2262" i="11"/>
  <c r="R2262" i="11"/>
  <c r="S2262" i="11"/>
  <c r="X2262" i="11"/>
  <c r="Y2262" i="11"/>
  <c r="Z2262" i="11"/>
  <c r="AA2262" i="11"/>
  <c r="P2263" i="11"/>
  <c r="R2263" i="11"/>
  <c r="S2263" i="11"/>
  <c r="X2263" i="11"/>
  <c r="Y2263" i="11"/>
  <c r="Z2263" i="11"/>
  <c r="AA2263" i="11"/>
  <c r="P2264" i="11"/>
  <c r="R2264" i="11"/>
  <c r="S2264" i="11"/>
  <c r="X2264" i="11"/>
  <c r="Y2264" i="11"/>
  <c r="Z2264" i="11"/>
  <c r="AA2264" i="11"/>
  <c r="P2265" i="11"/>
  <c r="R2265" i="11"/>
  <c r="S2265" i="11"/>
  <c r="X2265" i="11"/>
  <c r="Y2265" i="11"/>
  <c r="Z2265" i="11"/>
  <c r="AA2265" i="11"/>
  <c r="P2266" i="11"/>
  <c r="R2266" i="11"/>
  <c r="S2266" i="11"/>
  <c r="X2266" i="11"/>
  <c r="Y2266" i="11"/>
  <c r="Z2266" i="11"/>
  <c r="AA2266" i="11"/>
  <c r="P2267" i="11"/>
  <c r="R2267" i="11"/>
  <c r="S2267" i="11"/>
  <c r="X2267" i="11"/>
  <c r="Y2267" i="11"/>
  <c r="Z2267" i="11"/>
  <c r="AA2267" i="11"/>
  <c r="P2268" i="11"/>
  <c r="R2268" i="11"/>
  <c r="S2268" i="11"/>
  <c r="X2268" i="11"/>
  <c r="Y2268" i="11"/>
  <c r="Z2268" i="11"/>
  <c r="AA2268" i="11"/>
  <c r="P2269" i="11"/>
  <c r="R2269" i="11"/>
  <c r="S2269" i="11"/>
  <c r="X2269" i="11"/>
  <c r="Y2269" i="11"/>
  <c r="Z2269" i="11"/>
  <c r="AA2269" i="11"/>
  <c r="P2270" i="11"/>
  <c r="R2270" i="11"/>
  <c r="S2270" i="11"/>
  <c r="X2270" i="11"/>
  <c r="Y2270" i="11"/>
  <c r="Z2270" i="11"/>
  <c r="AA2270" i="11"/>
  <c r="P2271" i="11"/>
  <c r="R2271" i="11"/>
  <c r="S2271" i="11"/>
  <c r="X2271" i="11"/>
  <c r="Y2271" i="11"/>
  <c r="Z2271" i="11"/>
  <c r="AA2271" i="11"/>
  <c r="P2272" i="11"/>
  <c r="R2272" i="11"/>
  <c r="S2272" i="11"/>
  <c r="X2272" i="11"/>
  <c r="Y2272" i="11"/>
  <c r="Z2272" i="11"/>
  <c r="AA2272" i="11"/>
  <c r="P2273" i="11"/>
  <c r="R2273" i="11"/>
  <c r="S2273" i="11"/>
  <c r="X2273" i="11"/>
  <c r="Y2273" i="11"/>
  <c r="Z2273" i="11"/>
  <c r="AA2273" i="11"/>
  <c r="P2274" i="11"/>
  <c r="R2274" i="11"/>
  <c r="S2274" i="11"/>
  <c r="X2274" i="11"/>
  <c r="Y2274" i="11"/>
  <c r="Z2274" i="11"/>
  <c r="AA2274" i="11"/>
  <c r="P2275" i="11"/>
  <c r="R2275" i="11"/>
  <c r="S2275" i="11"/>
  <c r="X2275" i="11"/>
  <c r="Y2275" i="11"/>
  <c r="Z2275" i="11"/>
  <c r="AA2275" i="11"/>
  <c r="P2276" i="11"/>
  <c r="R2276" i="11"/>
  <c r="S2276" i="11"/>
  <c r="X2276" i="11"/>
  <c r="Y2276" i="11"/>
  <c r="Z2276" i="11"/>
  <c r="AA2276" i="11"/>
  <c r="P2277" i="11"/>
  <c r="R2277" i="11"/>
  <c r="S2277" i="11"/>
  <c r="X2277" i="11"/>
  <c r="Y2277" i="11"/>
  <c r="Z2277" i="11"/>
  <c r="AA2277" i="11"/>
  <c r="P2278" i="11"/>
  <c r="R2278" i="11"/>
  <c r="S2278" i="11"/>
  <c r="X2278" i="11"/>
  <c r="Y2278" i="11"/>
  <c r="Z2278" i="11"/>
  <c r="AA2278" i="11"/>
  <c r="P2279" i="11"/>
  <c r="R2279" i="11"/>
  <c r="S2279" i="11"/>
  <c r="X2279" i="11"/>
  <c r="Y2279" i="11"/>
  <c r="Z2279" i="11"/>
  <c r="AA2279" i="11"/>
  <c r="P2280" i="11"/>
  <c r="R2280" i="11"/>
  <c r="S2280" i="11"/>
  <c r="X2280" i="11"/>
  <c r="Y2280" i="11"/>
  <c r="Z2280" i="11"/>
  <c r="AA2280" i="11"/>
  <c r="P2281" i="11"/>
  <c r="R2281" i="11"/>
  <c r="S2281" i="11"/>
  <c r="X2281" i="11"/>
  <c r="Y2281" i="11"/>
  <c r="Z2281" i="11"/>
  <c r="AA2281" i="11"/>
  <c r="P2282" i="11"/>
  <c r="R2282" i="11"/>
  <c r="S2282" i="11"/>
  <c r="X2282" i="11"/>
  <c r="Y2282" i="11"/>
  <c r="Z2282" i="11"/>
  <c r="AA2282" i="11"/>
  <c r="P2283" i="11"/>
  <c r="R2283" i="11"/>
  <c r="S2283" i="11"/>
  <c r="X2283" i="11"/>
  <c r="Y2283" i="11"/>
  <c r="Z2283" i="11"/>
  <c r="AA2283" i="11"/>
  <c r="P2284" i="11"/>
  <c r="R2284" i="11"/>
  <c r="S2284" i="11"/>
  <c r="X2284" i="11"/>
  <c r="Y2284" i="11"/>
  <c r="Z2284" i="11"/>
  <c r="AA2284" i="11"/>
  <c r="P2285" i="11"/>
  <c r="R2285" i="11"/>
  <c r="S2285" i="11"/>
  <c r="X2285" i="11"/>
  <c r="Y2285" i="11"/>
  <c r="Z2285" i="11"/>
  <c r="AA2285" i="11"/>
  <c r="P2286" i="11"/>
  <c r="R2286" i="11"/>
  <c r="S2286" i="11"/>
  <c r="X2286" i="11"/>
  <c r="Y2286" i="11"/>
  <c r="Z2286" i="11"/>
  <c r="AA2286" i="11"/>
  <c r="P2287" i="11"/>
  <c r="R2287" i="11"/>
  <c r="S2287" i="11"/>
  <c r="X2287" i="11"/>
  <c r="Y2287" i="11"/>
  <c r="Z2287" i="11"/>
  <c r="AA2287" i="11"/>
  <c r="P2288" i="11"/>
  <c r="R2288" i="11"/>
  <c r="S2288" i="11"/>
  <c r="X2288" i="11"/>
  <c r="Y2288" i="11"/>
  <c r="Z2288" i="11"/>
  <c r="AA2288" i="11"/>
  <c r="P2289" i="11"/>
  <c r="R2289" i="11"/>
  <c r="S2289" i="11"/>
  <c r="X2289" i="11"/>
  <c r="Y2289" i="11"/>
  <c r="Z2289" i="11"/>
  <c r="AA2289" i="11"/>
  <c r="P2290" i="11"/>
  <c r="R2290" i="11"/>
  <c r="S2290" i="11"/>
  <c r="X2290" i="11"/>
  <c r="Y2290" i="11"/>
  <c r="Z2290" i="11"/>
  <c r="AA2290" i="11"/>
  <c r="P2291" i="11"/>
  <c r="R2291" i="11"/>
  <c r="S2291" i="11"/>
  <c r="X2291" i="11"/>
  <c r="Y2291" i="11"/>
  <c r="Z2291" i="11"/>
  <c r="AA2291" i="11"/>
  <c r="P2292" i="11"/>
  <c r="R2292" i="11"/>
  <c r="S2292" i="11"/>
  <c r="X2292" i="11"/>
  <c r="Y2292" i="11"/>
  <c r="Z2292" i="11"/>
  <c r="AA2292" i="11"/>
  <c r="P2293" i="11"/>
  <c r="R2293" i="11"/>
  <c r="S2293" i="11"/>
  <c r="X2293" i="11"/>
  <c r="Y2293" i="11"/>
  <c r="Z2293" i="11"/>
  <c r="AA2293" i="11"/>
  <c r="P2294" i="11"/>
  <c r="R2294" i="11"/>
  <c r="S2294" i="11"/>
  <c r="X2294" i="11"/>
  <c r="Y2294" i="11"/>
  <c r="Z2294" i="11"/>
  <c r="AA2294" i="11"/>
  <c r="P2295" i="11"/>
  <c r="R2295" i="11"/>
  <c r="S2295" i="11"/>
  <c r="X2295" i="11"/>
  <c r="Y2295" i="11"/>
  <c r="Z2295" i="11"/>
  <c r="AA2295" i="11"/>
  <c r="P2296" i="11"/>
  <c r="R2296" i="11"/>
  <c r="S2296" i="11"/>
  <c r="X2296" i="11"/>
  <c r="Y2296" i="11"/>
  <c r="Z2296" i="11"/>
  <c r="AA2296" i="11"/>
  <c r="P2297" i="11"/>
  <c r="R2297" i="11"/>
  <c r="S2297" i="11"/>
  <c r="X2297" i="11"/>
  <c r="Y2297" i="11"/>
  <c r="Z2297" i="11"/>
  <c r="AA2297" i="11"/>
  <c r="P2298" i="11"/>
  <c r="R2298" i="11"/>
  <c r="S2298" i="11"/>
  <c r="X2298" i="11"/>
  <c r="Y2298" i="11"/>
  <c r="Z2298" i="11"/>
  <c r="AA2298" i="11"/>
  <c r="P2299" i="11"/>
  <c r="R2299" i="11"/>
  <c r="S2299" i="11"/>
  <c r="X2299" i="11"/>
  <c r="Y2299" i="11"/>
  <c r="Z2299" i="11"/>
  <c r="AA2299" i="11"/>
  <c r="P2300" i="11"/>
  <c r="R2300" i="11"/>
  <c r="S2300" i="11"/>
  <c r="X2300" i="11"/>
  <c r="Y2300" i="11"/>
  <c r="Z2300" i="11"/>
  <c r="AA2300" i="11"/>
  <c r="P2301" i="11"/>
  <c r="R2301" i="11"/>
  <c r="S2301" i="11"/>
  <c r="X2301" i="11"/>
  <c r="Y2301" i="11"/>
  <c r="Z2301" i="11"/>
  <c r="AA2301" i="11"/>
  <c r="P2302" i="11"/>
  <c r="R2302" i="11"/>
  <c r="S2302" i="11"/>
  <c r="X2302" i="11"/>
  <c r="Y2302" i="11"/>
  <c r="Z2302" i="11"/>
  <c r="AA2302" i="11"/>
  <c r="P2303" i="11"/>
  <c r="R2303" i="11"/>
  <c r="S2303" i="11"/>
  <c r="X2303" i="11"/>
  <c r="Y2303" i="11"/>
  <c r="Z2303" i="11"/>
  <c r="AA2303" i="11"/>
  <c r="P2304" i="11"/>
  <c r="R2304" i="11"/>
  <c r="S2304" i="11"/>
  <c r="X2304" i="11"/>
  <c r="Y2304" i="11"/>
  <c r="Z2304" i="11"/>
  <c r="AA2304" i="11"/>
  <c r="P2305" i="11"/>
  <c r="R2305" i="11"/>
  <c r="S2305" i="11"/>
  <c r="X2305" i="11"/>
  <c r="Y2305" i="11"/>
  <c r="Z2305" i="11"/>
  <c r="AA2305" i="11"/>
  <c r="P2306" i="11"/>
  <c r="R2306" i="11"/>
  <c r="S2306" i="11"/>
  <c r="X2306" i="11"/>
  <c r="Y2306" i="11"/>
  <c r="Z2306" i="11"/>
  <c r="AA2306" i="11"/>
  <c r="P2307" i="11"/>
  <c r="R2307" i="11"/>
  <c r="S2307" i="11"/>
  <c r="X2307" i="11"/>
  <c r="Y2307" i="11"/>
  <c r="Z2307" i="11"/>
  <c r="AA2307" i="11"/>
  <c r="P2308" i="11"/>
  <c r="R2308" i="11"/>
  <c r="S2308" i="11"/>
  <c r="X2308" i="11"/>
  <c r="Y2308" i="11"/>
  <c r="Z2308" i="11"/>
  <c r="AA2308" i="11"/>
  <c r="P2309" i="11"/>
  <c r="R2309" i="11"/>
  <c r="S2309" i="11"/>
  <c r="X2309" i="11"/>
  <c r="Y2309" i="11"/>
  <c r="Z2309" i="11"/>
  <c r="AA2309" i="11"/>
  <c r="P2310" i="11"/>
  <c r="R2310" i="11"/>
  <c r="S2310" i="11"/>
  <c r="X2310" i="11"/>
  <c r="Y2310" i="11"/>
  <c r="Z2310" i="11"/>
  <c r="AA2310" i="11"/>
  <c r="P2311" i="11"/>
  <c r="R2311" i="11"/>
  <c r="S2311" i="11"/>
  <c r="X2311" i="11"/>
  <c r="Y2311" i="11"/>
  <c r="Z2311" i="11"/>
  <c r="AA2311" i="11"/>
  <c r="P2312" i="11"/>
  <c r="R2312" i="11"/>
  <c r="S2312" i="11"/>
  <c r="X2312" i="11"/>
  <c r="Y2312" i="11"/>
  <c r="Z2312" i="11"/>
  <c r="AA2312" i="11"/>
  <c r="P2313" i="11"/>
  <c r="R2313" i="11"/>
  <c r="S2313" i="11"/>
  <c r="X2313" i="11"/>
  <c r="Y2313" i="11"/>
  <c r="Z2313" i="11"/>
  <c r="AA2313" i="11"/>
  <c r="P2314" i="11"/>
  <c r="R2314" i="11"/>
  <c r="S2314" i="11"/>
  <c r="X2314" i="11"/>
  <c r="Y2314" i="11"/>
  <c r="Z2314" i="11"/>
  <c r="AA2314" i="11"/>
  <c r="P2315" i="11"/>
  <c r="R2315" i="11"/>
  <c r="S2315" i="11"/>
  <c r="X2315" i="11"/>
  <c r="Y2315" i="11"/>
  <c r="Z2315" i="11"/>
  <c r="AA2315" i="11"/>
  <c r="P2316" i="11"/>
  <c r="R2316" i="11"/>
  <c r="S2316" i="11"/>
  <c r="X2316" i="11"/>
  <c r="Y2316" i="11"/>
  <c r="Z2316" i="11"/>
  <c r="AA2316" i="11"/>
  <c r="P2317" i="11"/>
  <c r="R2317" i="11"/>
  <c r="S2317" i="11"/>
  <c r="X2317" i="11"/>
  <c r="Y2317" i="11"/>
  <c r="Z2317" i="11"/>
  <c r="AA2317" i="11"/>
  <c r="P2318" i="11"/>
  <c r="R2318" i="11"/>
  <c r="S2318" i="11"/>
  <c r="X2318" i="11"/>
  <c r="Y2318" i="11"/>
  <c r="Z2318" i="11"/>
  <c r="AA2318" i="11"/>
  <c r="P2319" i="11"/>
  <c r="R2319" i="11"/>
  <c r="S2319" i="11"/>
  <c r="X2319" i="11"/>
  <c r="Y2319" i="11"/>
  <c r="Z2319" i="11"/>
  <c r="AA2319" i="11"/>
  <c r="P2320" i="11"/>
  <c r="R2320" i="11"/>
  <c r="S2320" i="11"/>
  <c r="X2320" i="11"/>
  <c r="Y2320" i="11"/>
  <c r="Z2320" i="11"/>
  <c r="AA2320" i="11"/>
  <c r="P2321" i="11"/>
  <c r="R2321" i="11"/>
  <c r="S2321" i="11"/>
  <c r="X2321" i="11"/>
  <c r="Y2321" i="11"/>
  <c r="Z2321" i="11"/>
  <c r="AA2321" i="11"/>
  <c r="P2322" i="11"/>
  <c r="R2322" i="11"/>
  <c r="S2322" i="11"/>
  <c r="X2322" i="11"/>
  <c r="Y2322" i="11"/>
  <c r="Z2322" i="11"/>
  <c r="AA2322" i="11"/>
  <c r="P2323" i="11"/>
  <c r="R2323" i="11"/>
  <c r="S2323" i="11"/>
  <c r="X2323" i="11"/>
  <c r="Y2323" i="11"/>
  <c r="Z2323" i="11"/>
  <c r="AA2323" i="11"/>
  <c r="P2324" i="11"/>
  <c r="R2324" i="11"/>
  <c r="S2324" i="11"/>
  <c r="X2324" i="11"/>
  <c r="Y2324" i="11"/>
  <c r="Z2324" i="11"/>
  <c r="AA2324" i="11"/>
  <c r="P2325" i="11"/>
  <c r="R2325" i="11"/>
  <c r="S2325" i="11"/>
  <c r="X2325" i="11"/>
  <c r="Y2325" i="11"/>
  <c r="Z2325" i="11"/>
  <c r="AA2325" i="11"/>
  <c r="P2326" i="11"/>
  <c r="R2326" i="11"/>
  <c r="S2326" i="11"/>
  <c r="X2326" i="11"/>
  <c r="Y2326" i="11"/>
  <c r="Z2326" i="11"/>
  <c r="AA2326" i="11"/>
  <c r="P2327" i="11"/>
  <c r="R2327" i="11"/>
  <c r="S2327" i="11"/>
  <c r="X2327" i="11"/>
  <c r="Y2327" i="11"/>
  <c r="Z2327" i="11"/>
  <c r="AA2327" i="11"/>
  <c r="P2328" i="11"/>
  <c r="R2328" i="11"/>
  <c r="S2328" i="11"/>
  <c r="X2328" i="11"/>
  <c r="Y2328" i="11"/>
  <c r="Z2328" i="11"/>
  <c r="AA2328" i="11"/>
  <c r="P2329" i="11"/>
  <c r="R2329" i="11"/>
  <c r="S2329" i="11"/>
  <c r="X2329" i="11"/>
  <c r="Y2329" i="11"/>
  <c r="Z2329" i="11"/>
  <c r="AA2329" i="11"/>
  <c r="P2330" i="11"/>
  <c r="R2330" i="11"/>
  <c r="S2330" i="11"/>
  <c r="X2330" i="11"/>
  <c r="Y2330" i="11"/>
  <c r="Z2330" i="11"/>
  <c r="AA2330" i="11"/>
  <c r="P2331" i="11"/>
  <c r="R2331" i="11"/>
  <c r="S2331" i="11"/>
  <c r="X2331" i="11"/>
  <c r="Y2331" i="11"/>
  <c r="Z2331" i="11"/>
  <c r="AA2331" i="11"/>
  <c r="P2332" i="11"/>
  <c r="R2332" i="11"/>
  <c r="S2332" i="11"/>
  <c r="X2332" i="11"/>
  <c r="Y2332" i="11"/>
  <c r="Z2332" i="11"/>
  <c r="AA2332" i="11"/>
  <c r="P2333" i="11"/>
  <c r="R2333" i="11"/>
  <c r="S2333" i="11"/>
  <c r="X2333" i="11"/>
  <c r="Y2333" i="11"/>
  <c r="Z2333" i="11"/>
  <c r="AA2333" i="11"/>
  <c r="P2334" i="11"/>
  <c r="R2334" i="11"/>
  <c r="S2334" i="11"/>
  <c r="X2334" i="11"/>
  <c r="Y2334" i="11"/>
  <c r="Z2334" i="11"/>
  <c r="AA2334" i="11"/>
  <c r="P2335" i="11"/>
  <c r="R2335" i="11"/>
  <c r="S2335" i="11"/>
  <c r="X2335" i="11"/>
  <c r="Y2335" i="11"/>
  <c r="Z2335" i="11"/>
  <c r="AA2335" i="11"/>
  <c r="P2336" i="11"/>
  <c r="R2336" i="11"/>
  <c r="S2336" i="11"/>
  <c r="X2336" i="11"/>
  <c r="Y2336" i="11"/>
  <c r="Z2336" i="11"/>
  <c r="AA2336" i="11"/>
  <c r="P2337" i="11"/>
  <c r="R2337" i="11"/>
  <c r="S2337" i="11"/>
  <c r="X2337" i="11"/>
  <c r="Y2337" i="11"/>
  <c r="Z2337" i="11"/>
  <c r="AA2337" i="11"/>
  <c r="P2338" i="11"/>
  <c r="R2338" i="11"/>
  <c r="S2338" i="11"/>
  <c r="X2338" i="11"/>
  <c r="Y2338" i="11"/>
  <c r="Z2338" i="11"/>
  <c r="AA2338" i="11"/>
  <c r="P2339" i="11"/>
  <c r="R2339" i="11"/>
  <c r="S2339" i="11"/>
  <c r="X2339" i="11"/>
  <c r="Y2339" i="11"/>
  <c r="Z2339" i="11"/>
  <c r="AA2339" i="11"/>
  <c r="P2340" i="11"/>
  <c r="R2340" i="11"/>
  <c r="S2340" i="11"/>
  <c r="X2340" i="11"/>
  <c r="Y2340" i="11"/>
  <c r="Z2340" i="11"/>
  <c r="AA2340" i="11"/>
  <c r="P2341" i="11"/>
  <c r="R2341" i="11"/>
  <c r="S2341" i="11"/>
  <c r="X2341" i="11"/>
  <c r="Y2341" i="11"/>
  <c r="Z2341" i="11"/>
  <c r="AA2341" i="11"/>
  <c r="P2342" i="11"/>
  <c r="R2342" i="11"/>
  <c r="S2342" i="11"/>
  <c r="X2342" i="11"/>
  <c r="Y2342" i="11"/>
  <c r="Z2342" i="11"/>
  <c r="AA2342" i="11"/>
  <c r="P2343" i="11"/>
  <c r="R2343" i="11"/>
  <c r="S2343" i="11"/>
  <c r="X2343" i="11"/>
  <c r="Y2343" i="11"/>
  <c r="Z2343" i="11"/>
  <c r="AA2343" i="11"/>
  <c r="P2344" i="11"/>
  <c r="R2344" i="11"/>
  <c r="S2344" i="11"/>
  <c r="X2344" i="11"/>
  <c r="Y2344" i="11"/>
  <c r="Z2344" i="11"/>
  <c r="AA2344" i="11"/>
  <c r="P2345" i="11"/>
  <c r="R2345" i="11"/>
  <c r="S2345" i="11"/>
  <c r="X2345" i="11"/>
  <c r="Y2345" i="11"/>
  <c r="Z2345" i="11"/>
  <c r="AA2345" i="11"/>
  <c r="P2346" i="11"/>
  <c r="R2346" i="11"/>
  <c r="S2346" i="11"/>
  <c r="X2346" i="11"/>
  <c r="Y2346" i="11"/>
  <c r="Z2346" i="11"/>
  <c r="AA2346" i="11"/>
  <c r="P2347" i="11"/>
  <c r="R2347" i="11"/>
  <c r="S2347" i="11"/>
  <c r="X2347" i="11"/>
  <c r="Y2347" i="11"/>
  <c r="Z2347" i="11"/>
  <c r="AA2347" i="11"/>
  <c r="P2348" i="11"/>
  <c r="R2348" i="11"/>
  <c r="S2348" i="11"/>
  <c r="X2348" i="11"/>
  <c r="Y2348" i="11"/>
  <c r="Z2348" i="11"/>
  <c r="AA2348" i="11"/>
  <c r="P2349" i="11"/>
  <c r="R2349" i="11"/>
  <c r="S2349" i="11"/>
  <c r="X2349" i="11"/>
  <c r="Y2349" i="11"/>
  <c r="Z2349" i="11"/>
  <c r="AA2349" i="11"/>
  <c r="P2350" i="11"/>
  <c r="R2350" i="11"/>
  <c r="S2350" i="11"/>
  <c r="X2350" i="11"/>
  <c r="Y2350" i="11"/>
  <c r="Z2350" i="11"/>
  <c r="AA2350" i="11"/>
  <c r="P2351" i="11"/>
  <c r="R2351" i="11"/>
  <c r="S2351" i="11"/>
  <c r="X2351" i="11"/>
  <c r="Y2351" i="11"/>
  <c r="Z2351" i="11"/>
  <c r="AA2351" i="11"/>
  <c r="P2352" i="11"/>
  <c r="R2352" i="11"/>
  <c r="S2352" i="11"/>
  <c r="X2352" i="11"/>
  <c r="Y2352" i="11"/>
  <c r="Z2352" i="11"/>
  <c r="AA2352" i="11"/>
  <c r="P2353" i="11"/>
  <c r="R2353" i="11"/>
  <c r="S2353" i="11"/>
  <c r="X2353" i="11"/>
  <c r="Y2353" i="11"/>
  <c r="Z2353" i="11"/>
  <c r="AA2353" i="11"/>
  <c r="P2354" i="11"/>
  <c r="R2354" i="11"/>
  <c r="S2354" i="11"/>
  <c r="X2354" i="11"/>
  <c r="Y2354" i="11"/>
  <c r="Z2354" i="11"/>
  <c r="AA2354" i="11"/>
  <c r="P2355" i="11"/>
  <c r="R2355" i="11"/>
  <c r="S2355" i="11"/>
  <c r="X2355" i="11"/>
  <c r="Y2355" i="11"/>
  <c r="Z2355" i="11"/>
  <c r="AA2355" i="11"/>
  <c r="P2356" i="11"/>
  <c r="R2356" i="11"/>
  <c r="S2356" i="11"/>
  <c r="X2356" i="11"/>
  <c r="Y2356" i="11"/>
  <c r="Z2356" i="11"/>
  <c r="AA2356" i="11"/>
  <c r="P2357" i="11"/>
  <c r="R2357" i="11"/>
  <c r="S2357" i="11"/>
  <c r="X2357" i="11"/>
  <c r="Y2357" i="11"/>
  <c r="Z2357" i="11"/>
  <c r="AA2357" i="11"/>
  <c r="P2358" i="11"/>
  <c r="R2358" i="11"/>
  <c r="S2358" i="11"/>
  <c r="X2358" i="11"/>
  <c r="Y2358" i="11"/>
  <c r="Z2358" i="11"/>
  <c r="AA2358" i="11"/>
  <c r="P2359" i="11"/>
  <c r="R2359" i="11"/>
  <c r="S2359" i="11"/>
  <c r="X2359" i="11"/>
  <c r="Y2359" i="11"/>
  <c r="Z2359" i="11"/>
  <c r="AA2359" i="11"/>
  <c r="P2360" i="11"/>
  <c r="R2360" i="11"/>
  <c r="S2360" i="11"/>
  <c r="X2360" i="11"/>
  <c r="Y2360" i="11"/>
  <c r="Z2360" i="11"/>
  <c r="AA2360" i="11"/>
  <c r="P2361" i="11"/>
  <c r="R2361" i="11"/>
  <c r="S2361" i="11"/>
  <c r="X2361" i="11"/>
  <c r="Y2361" i="11"/>
  <c r="Z2361" i="11"/>
  <c r="AA2361" i="11"/>
  <c r="P2362" i="11"/>
  <c r="R2362" i="11"/>
  <c r="S2362" i="11"/>
  <c r="X2362" i="11"/>
  <c r="Y2362" i="11"/>
  <c r="Z2362" i="11"/>
  <c r="AA2362" i="11"/>
  <c r="P2363" i="11"/>
  <c r="R2363" i="11"/>
  <c r="S2363" i="11"/>
  <c r="X2363" i="11"/>
  <c r="Y2363" i="11"/>
  <c r="Z2363" i="11"/>
  <c r="AA2363" i="11"/>
  <c r="P2364" i="11"/>
  <c r="R2364" i="11"/>
  <c r="S2364" i="11"/>
  <c r="X2364" i="11"/>
  <c r="Y2364" i="11"/>
  <c r="Z2364" i="11"/>
  <c r="AA2364" i="11"/>
  <c r="P2365" i="11"/>
  <c r="R2365" i="11"/>
  <c r="S2365" i="11"/>
  <c r="X2365" i="11"/>
  <c r="Y2365" i="11"/>
  <c r="Z2365" i="11"/>
  <c r="AA2365" i="11"/>
  <c r="P2366" i="11"/>
  <c r="R2366" i="11"/>
  <c r="S2366" i="11"/>
  <c r="X2366" i="11"/>
  <c r="Y2366" i="11"/>
  <c r="Z2366" i="11"/>
  <c r="AA2366" i="11"/>
  <c r="P2367" i="11"/>
  <c r="R2367" i="11"/>
  <c r="S2367" i="11"/>
  <c r="X2367" i="11"/>
  <c r="Y2367" i="11"/>
  <c r="Z2367" i="11"/>
  <c r="AA2367" i="11"/>
  <c r="P2368" i="11"/>
  <c r="R2368" i="11"/>
  <c r="S2368" i="11"/>
  <c r="X2368" i="11"/>
  <c r="Y2368" i="11"/>
  <c r="Z2368" i="11"/>
  <c r="AA2368" i="11"/>
  <c r="P2369" i="11"/>
  <c r="R2369" i="11"/>
  <c r="S2369" i="11"/>
  <c r="X2369" i="11"/>
  <c r="Y2369" i="11"/>
  <c r="Z2369" i="11"/>
  <c r="AA2369" i="11"/>
  <c r="P2370" i="11"/>
  <c r="R2370" i="11"/>
  <c r="S2370" i="11"/>
  <c r="X2370" i="11"/>
  <c r="Y2370" i="11"/>
  <c r="Z2370" i="11"/>
  <c r="AA2370" i="11"/>
  <c r="P2371" i="11"/>
  <c r="R2371" i="11"/>
  <c r="S2371" i="11"/>
  <c r="X2371" i="11"/>
  <c r="Y2371" i="11"/>
  <c r="Z2371" i="11"/>
  <c r="AA2371" i="11"/>
  <c r="P2372" i="11"/>
  <c r="R2372" i="11"/>
  <c r="S2372" i="11"/>
  <c r="X2372" i="11"/>
  <c r="Y2372" i="11"/>
  <c r="Z2372" i="11"/>
  <c r="AA2372" i="11"/>
  <c r="P2373" i="11"/>
  <c r="R2373" i="11"/>
  <c r="S2373" i="11"/>
  <c r="X2373" i="11"/>
  <c r="Y2373" i="11"/>
  <c r="Z2373" i="11"/>
  <c r="AA2373" i="11"/>
  <c r="P2374" i="11"/>
  <c r="R2374" i="11"/>
  <c r="S2374" i="11"/>
  <c r="X2374" i="11"/>
  <c r="Y2374" i="11"/>
  <c r="Z2374" i="11"/>
  <c r="AA2374" i="11"/>
  <c r="P2375" i="11"/>
  <c r="R2375" i="11"/>
  <c r="S2375" i="11"/>
  <c r="X2375" i="11"/>
  <c r="Y2375" i="11"/>
  <c r="Z2375" i="11"/>
  <c r="AA2375" i="11"/>
  <c r="P2376" i="11"/>
  <c r="R2376" i="11"/>
  <c r="S2376" i="11"/>
  <c r="X2376" i="11"/>
  <c r="Y2376" i="11"/>
  <c r="Z2376" i="11"/>
  <c r="AA2376" i="11"/>
  <c r="P2377" i="11"/>
  <c r="R2377" i="11"/>
  <c r="S2377" i="11"/>
  <c r="X2377" i="11"/>
  <c r="Y2377" i="11"/>
  <c r="Z2377" i="11"/>
  <c r="AA2377" i="11"/>
  <c r="P2378" i="11"/>
  <c r="R2378" i="11"/>
  <c r="S2378" i="11"/>
  <c r="X2378" i="11"/>
  <c r="Y2378" i="11"/>
  <c r="Z2378" i="11"/>
  <c r="AA2378" i="11"/>
  <c r="P2379" i="11"/>
  <c r="R2379" i="11"/>
  <c r="S2379" i="11"/>
  <c r="X2379" i="11"/>
  <c r="Y2379" i="11"/>
  <c r="Z2379" i="11"/>
  <c r="AA2379" i="11"/>
  <c r="P2380" i="11"/>
  <c r="R2380" i="11"/>
  <c r="S2380" i="11"/>
  <c r="X2380" i="11"/>
  <c r="Y2380" i="11"/>
  <c r="Z2380" i="11"/>
  <c r="AA2380" i="11"/>
  <c r="P2381" i="11"/>
  <c r="R2381" i="11"/>
  <c r="S2381" i="11"/>
  <c r="X2381" i="11"/>
  <c r="Y2381" i="11"/>
  <c r="Z2381" i="11"/>
  <c r="AA2381" i="11"/>
  <c r="P2382" i="11"/>
  <c r="R2382" i="11"/>
  <c r="S2382" i="11"/>
  <c r="X2382" i="11"/>
  <c r="Y2382" i="11"/>
  <c r="Z2382" i="11"/>
  <c r="AA2382" i="11"/>
  <c r="P2383" i="11"/>
  <c r="R2383" i="11"/>
  <c r="S2383" i="11"/>
  <c r="X2383" i="11"/>
  <c r="Y2383" i="11"/>
  <c r="Z2383" i="11"/>
  <c r="AA2383" i="11"/>
  <c r="P2384" i="11"/>
  <c r="R2384" i="11"/>
  <c r="S2384" i="11"/>
  <c r="X2384" i="11"/>
  <c r="Y2384" i="11"/>
  <c r="Z2384" i="11"/>
  <c r="AA2384" i="11"/>
  <c r="P2385" i="11"/>
  <c r="R2385" i="11"/>
  <c r="S2385" i="11"/>
  <c r="X2385" i="11"/>
  <c r="Y2385" i="11"/>
  <c r="Z2385" i="11"/>
  <c r="AA2385" i="11"/>
  <c r="P2386" i="11"/>
  <c r="R2386" i="11"/>
  <c r="S2386" i="11"/>
  <c r="X2386" i="11"/>
  <c r="Y2386" i="11"/>
  <c r="Z2386" i="11"/>
  <c r="AA2386" i="11"/>
  <c r="P2387" i="11"/>
  <c r="R2387" i="11"/>
  <c r="S2387" i="11"/>
  <c r="X2387" i="11"/>
  <c r="Y2387" i="11"/>
  <c r="Z2387" i="11"/>
  <c r="AA2387" i="11"/>
  <c r="P2388" i="11"/>
  <c r="R2388" i="11"/>
  <c r="S2388" i="11"/>
  <c r="X2388" i="11"/>
  <c r="Y2388" i="11"/>
  <c r="Z2388" i="11"/>
  <c r="AA2388" i="11"/>
  <c r="P2389" i="11"/>
  <c r="R2389" i="11"/>
  <c r="S2389" i="11"/>
  <c r="X2389" i="11"/>
  <c r="Y2389" i="11"/>
  <c r="Z2389" i="11"/>
  <c r="AA2389" i="11"/>
  <c r="P2390" i="11"/>
  <c r="R2390" i="11"/>
  <c r="S2390" i="11"/>
  <c r="X2390" i="11"/>
  <c r="Y2390" i="11"/>
  <c r="Z2390" i="11"/>
  <c r="AA2390" i="11"/>
  <c r="P2391" i="11"/>
  <c r="R2391" i="11"/>
  <c r="S2391" i="11"/>
  <c r="X2391" i="11"/>
  <c r="Y2391" i="11"/>
  <c r="Z2391" i="11"/>
  <c r="AA2391" i="11"/>
  <c r="P2392" i="11"/>
  <c r="R2392" i="11"/>
  <c r="S2392" i="11"/>
  <c r="X2392" i="11"/>
  <c r="Y2392" i="11"/>
  <c r="Z2392" i="11"/>
  <c r="AA2392" i="11"/>
  <c r="P2393" i="11"/>
  <c r="R2393" i="11"/>
  <c r="S2393" i="11"/>
  <c r="X2393" i="11"/>
  <c r="Y2393" i="11"/>
  <c r="Z2393" i="11"/>
  <c r="AA2393" i="11"/>
  <c r="P2394" i="11"/>
  <c r="R2394" i="11"/>
  <c r="S2394" i="11"/>
  <c r="X2394" i="11"/>
  <c r="Y2394" i="11"/>
  <c r="Z2394" i="11"/>
  <c r="AA2394" i="11"/>
  <c r="P2395" i="11"/>
  <c r="R2395" i="11"/>
  <c r="S2395" i="11"/>
  <c r="X2395" i="11"/>
  <c r="Y2395" i="11"/>
  <c r="Z2395" i="11"/>
  <c r="AA2395" i="11"/>
  <c r="P2396" i="11"/>
  <c r="R2396" i="11"/>
  <c r="S2396" i="11"/>
  <c r="X2396" i="11"/>
  <c r="Y2396" i="11"/>
  <c r="Z2396" i="11"/>
  <c r="AA2396" i="11"/>
  <c r="P2397" i="11"/>
  <c r="R2397" i="11"/>
  <c r="S2397" i="11"/>
  <c r="X2397" i="11"/>
  <c r="Y2397" i="11"/>
  <c r="Z2397" i="11"/>
  <c r="AA2397" i="11"/>
  <c r="P2398" i="11"/>
  <c r="R2398" i="11"/>
  <c r="S2398" i="11"/>
  <c r="X2398" i="11"/>
  <c r="Y2398" i="11"/>
  <c r="Z2398" i="11"/>
  <c r="AA2398" i="11"/>
  <c r="P2399" i="11"/>
  <c r="R2399" i="11"/>
  <c r="S2399" i="11"/>
  <c r="X2399" i="11"/>
  <c r="Y2399" i="11"/>
  <c r="Z2399" i="11"/>
  <c r="AA2399" i="11"/>
  <c r="P2400" i="11"/>
  <c r="R2400" i="11"/>
  <c r="S2400" i="11"/>
  <c r="X2400" i="11"/>
  <c r="Y2400" i="11"/>
  <c r="Z2400" i="11"/>
  <c r="AA2400" i="11"/>
  <c r="P2401" i="11"/>
  <c r="R2401" i="11"/>
  <c r="S2401" i="11"/>
  <c r="X2401" i="11"/>
  <c r="Y2401" i="11"/>
  <c r="Z2401" i="11"/>
  <c r="AA2401" i="11"/>
  <c r="P2402" i="11"/>
  <c r="R2402" i="11"/>
  <c r="S2402" i="11"/>
  <c r="X2402" i="11"/>
  <c r="Y2402" i="11"/>
  <c r="Z2402" i="11"/>
  <c r="AA2402" i="11"/>
  <c r="P2403" i="11"/>
  <c r="R2403" i="11"/>
  <c r="S2403" i="11"/>
  <c r="X2403" i="11"/>
  <c r="Y2403" i="11"/>
  <c r="Z2403" i="11"/>
  <c r="AA2403" i="11"/>
  <c r="P2404" i="11"/>
  <c r="R2404" i="11"/>
  <c r="S2404" i="11"/>
  <c r="X2404" i="11"/>
  <c r="Y2404" i="11"/>
  <c r="Z2404" i="11"/>
  <c r="AA2404" i="11"/>
  <c r="P2405" i="11"/>
  <c r="R2405" i="11"/>
  <c r="S2405" i="11"/>
  <c r="X2405" i="11"/>
  <c r="Y2405" i="11"/>
  <c r="Z2405" i="11"/>
  <c r="AA2405" i="11"/>
  <c r="P2406" i="11"/>
  <c r="R2406" i="11"/>
  <c r="S2406" i="11"/>
  <c r="X2406" i="11"/>
  <c r="Y2406" i="11"/>
  <c r="Z2406" i="11"/>
  <c r="AA2406" i="11"/>
  <c r="P2407" i="11"/>
  <c r="R2407" i="11"/>
  <c r="S2407" i="11"/>
  <c r="X2407" i="11"/>
  <c r="Y2407" i="11"/>
  <c r="Z2407" i="11"/>
  <c r="AA2407" i="11"/>
  <c r="P2408" i="11"/>
  <c r="R2408" i="11"/>
  <c r="S2408" i="11"/>
  <c r="X2408" i="11"/>
  <c r="Y2408" i="11"/>
  <c r="Z2408" i="11"/>
  <c r="AA2408" i="11"/>
  <c r="P2409" i="11"/>
  <c r="R2409" i="11"/>
  <c r="S2409" i="11"/>
  <c r="X2409" i="11"/>
  <c r="Y2409" i="11"/>
  <c r="Z2409" i="11"/>
  <c r="AA2409" i="11"/>
  <c r="P2410" i="11"/>
  <c r="R2410" i="11"/>
  <c r="S2410" i="11"/>
  <c r="X2410" i="11"/>
  <c r="Y2410" i="11"/>
  <c r="Z2410" i="11"/>
  <c r="AA2410" i="11"/>
  <c r="P2411" i="11"/>
  <c r="R2411" i="11"/>
  <c r="S2411" i="11"/>
  <c r="X2411" i="11"/>
  <c r="Y2411" i="11"/>
  <c r="Z2411" i="11"/>
  <c r="AA2411" i="11"/>
  <c r="P2412" i="11"/>
  <c r="R2412" i="11"/>
  <c r="S2412" i="11"/>
  <c r="X2412" i="11"/>
  <c r="Y2412" i="11"/>
  <c r="Z2412" i="11"/>
  <c r="AA2412" i="11"/>
  <c r="P2413" i="11"/>
  <c r="R2413" i="11"/>
  <c r="S2413" i="11"/>
  <c r="X2413" i="11"/>
  <c r="Y2413" i="11"/>
  <c r="Z2413" i="11"/>
  <c r="AA2413" i="11"/>
  <c r="P2414" i="11"/>
  <c r="R2414" i="11"/>
  <c r="S2414" i="11"/>
  <c r="X2414" i="11"/>
  <c r="Y2414" i="11"/>
  <c r="Z2414" i="11"/>
  <c r="AA2414" i="11"/>
  <c r="P2415" i="11"/>
  <c r="R2415" i="11"/>
  <c r="S2415" i="11"/>
  <c r="X2415" i="11"/>
  <c r="Y2415" i="11"/>
  <c r="Z2415" i="11"/>
  <c r="AA2415" i="11"/>
  <c r="P2416" i="11"/>
  <c r="R2416" i="11"/>
  <c r="S2416" i="11"/>
  <c r="X2416" i="11"/>
  <c r="Y2416" i="11"/>
  <c r="Z2416" i="11"/>
  <c r="AA2416" i="11"/>
  <c r="P2417" i="11"/>
  <c r="R2417" i="11"/>
  <c r="S2417" i="11"/>
  <c r="X2417" i="11"/>
  <c r="Y2417" i="11"/>
  <c r="Z2417" i="11"/>
  <c r="AA2417" i="11"/>
  <c r="P2418" i="11"/>
  <c r="R2418" i="11"/>
  <c r="S2418" i="11"/>
  <c r="X2418" i="11"/>
  <c r="Y2418" i="11"/>
  <c r="Z2418" i="11"/>
  <c r="AA2418" i="11"/>
  <c r="P2419" i="11"/>
  <c r="R2419" i="11"/>
  <c r="S2419" i="11"/>
  <c r="X2419" i="11"/>
  <c r="Y2419" i="11"/>
  <c r="Z2419" i="11"/>
  <c r="AA2419" i="11"/>
  <c r="P2420" i="11"/>
  <c r="R2420" i="11"/>
  <c r="S2420" i="11"/>
  <c r="X2420" i="11"/>
  <c r="Y2420" i="11"/>
  <c r="Z2420" i="11"/>
  <c r="AA2420" i="11"/>
  <c r="P2421" i="11"/>
  <c r="R2421" i="11"/>
  <c r="S2421" i="11"/>
  <c r="X2421" i="11"/>
  <c r="Y2421" i="11"/>
  <c r="Z2421" i="11"/>
  <c r="AA2421" i="11"/>
  <c r="P2422" i="11"/>
  <c r="R2422" i="11"/>
  <c r="S2422" i="11"/>
  <c r="X2422" i="11"/>
  <c r="Y2422" i="11"/>
  <c r="Z2422" i="11"/>
  <c r="AA2422" i="11"/>
  <c r="P2423" i="11"/>
  <c r="R2423" i="11"/>
  <c r="S2423" i="11"/>
  <c r="X2423" i="11"/>
  <c r="Y2423" i="11"/>
  <c r="Z2423" i="11"/>
  <c r="AA2423" i="11"/>
  <c r="P2424" i="11"/>
  <c r="R2424" i="11"/>
  <c r="S2424" i="11"/>
  <c r="X2424" i="11"/>
  <c r="Y2424" i="11"/>
  <c r="Z2424" i="11"/>
  <c r="AA2424" i="11"/>
  <c r="P2425" i="11"/>
  <c r="R2425" i="11"/>
  <c r="S2425" i="11"/>
  <c r="X2425" i="11"/>
  <c r="Y2425" i="11"/>
  <c r="Z2425" i="11"/>
  <c r="AA2425" i="11"/>
  <c r="P2426" i="11"/>
  <c r="R2426" i="11"/>
  <c r="S2426" i="11"/>
  <c r="X2426" i="11"/>
  <c r="Y2426" i="11"/>
  <c r="Z2426" i="11"/>
  <c r="AA2426" i="11"/>
  <c r="P2427" i="11"/>
  <c r="R2427" i="11"/>
  <c r="S2427" i="11"/>
  <c r="X2427" i="11"/>
  <c r="Y2427" i="11"/>
  <c r="Z2427" i="11"/>
  <c r="AA2427" i="11"/>
  <c r="P2428" i="11"/>
  <c r="R2428" i="11"/>
  <c r="S2428" i="11"/>
  <c r="X2428" i="11"/>
  <c r="Y2428" i="11"/>
  <c r="Z2428" i="11"/>
  <c r="AA2428" i="11"/>
  <c r="P2429" i="11"/>
  <c r="R2429" i="11"/>
  <c r="S2429" i="11"/>
  <c r="X2429" i="11"/>
  <c r="Y2429" i="11"/>
  <c r="Z2429" i="11"/>
  <c r="AA2429" i="11"/>
  <c r="P2430" i="11"/>
  <c r="R2430" i="11"/>
  <c r="S2430" i="11"/>
  <c r="X2430" i="11"/>
  <c r="Y2430" i="11"/>
  <c r="Z2430" i="11"/>
  <c r="AA2430" i="11"/>
  <c r="P2431" i="11"/>
  <c r="R2431" i="11"/>
  <c r="S2431" i="11"/>
  <c r="X2431" i="11"/>
  <c r="Y2431" i="11"/>
  <c r="Z2431" i="11"/>
  <c r="AA2431" i="11"/>
  <c r="P2432" i="11"/>
  <c r="R2432" i="11"/>
  <c r="S2432" i="11"/>
  <c r="X2432" i="11"/>
  <c r="Y2432" i="11"/>
  <c r="Z2432" i="11"/>
  <c r="AA2432" i="11"/>
  <c r="P2433" i="11"/>
  <c r="R2433" i="11"/>
  <c r="S2433" i="11"/>
  <c r="X2433" i="11"/>
  <c r="Y2433" i="11"/>
  <c r="Z2433" i="11"/>
  <c r="AA2433" i="11"/>
  <c r="P2434" i="11"/>
  <c r="R2434" i="11"/>
  <c r="S2434" i="11"/>
  <c r="X2434" i="11"/>
  <c r="Y2434" i="11"/>
  <c r="Z2434" i="11"/>
  <c r="AA2434" i="11"/>
  <c r="P2435" i="11"/>
  <c r="R2435" i="11"/>
  <c r="S2435" i="11"/>
  <c r="X2435" i="11"/>
  <c r="Y2435" i="11"/>
  <c r="Z2435" i="11"/>
  <c r="AA2435" i="11"/>
  <c r="P2436" i="11"/>
  <c r="R2436" i="11"/>
  <c r="S2436" i="11"/>
  <c r="X2436" i="11"/>
  <c r="Y2436" i="11"/>
  <c r="Z2436" i="11"/>
  <c r="AA2436" i="11"/>
  <c r="P2437" i="11"/>
  <c r="R2437" i="11"/>
  <c r="S2437" i="11"/>
  <c r="X2437" i="11"/>
  <c r="Y2437" i="11"/>
  <c r="Z2437" i="11"/>
  <c r="AA2437" i="11"/>
  <c r="P2438" i="11"/>
  <c r="R2438" i="11"/>
  <c r="S2438" i="11"/>
  <c r="X2438" i="11"/>
  <c r="Y2438" i="11"/>
  <c r="Z2438" i="11"/>
  <c r="AA2438" i="11"/>
  <c r="P2439" i="11"/>
  <c r="R2439" i="11"/>
  <c r="S2439" i="11"/>
  <c r="X2439" i="11"/>
  <c r="Y2439" i="11"/>
  <c r="Z2439" i="11"/>
  <c r="AA2439" i="11"/>
  <c r="P2440" i="11"/>
  <c r="R2440" i="11"/>
  <c r="S2440" i="11"/>
  <c r="X2440" i="11"/>
  <c r="Y2440" i="11"/>
  <c r="Z2440" i="11"/>
  <c r="AA2440" i="11"/>
  <c r="P2441" i="11"/>
  <c r="R2441" i="11"/>
  <c r="S2441" i="11"/>
  <c r="X2441" i="11"/>
  <c r="Y2441" i="11"/>
  <c r="Z2441" i="11"/>
  <c r="AA2441" i="11"/>
  <c r="P2442" i="11"/>
  <c r="R2442" i="11"/>
  <c r="S2442" i="11"/>
  <c r="X2442" i="11"/>
  <c r="Y2442" i="11"/>
  <c r="Z2442" i="11"/>
  <c r="AA2442" i="11"/>
  <c r="P2443" i="11"/>
  <c r="R2443" i="11"/>
  <c r="S2443" i="11"/>
  <c r="X2443" i="11"/>
  <c r="Y2443" i="11"/>
  <c r="Z2443" i="11"/>
  <c r="AA2443" i="11"/>
  <c r="P2444" i="11"/>
  <c r="R2444" i="11"/>
  <c r="S2444" i="11"/>
  <c r="X2444" i="11"/>
  <c r="Y2444" i="11"/>
  <c r="Z2444" i="11"/>
  <c r="AA2444" i="11"/>
  <c r="P2445" i="11"/>
  <c r="R2445" i="11"/>
  <c r="S2445" i="11"/>
  <c r="X2445" i="11"/>
  <c r="Y2445" i="11"/>
  <c r="Z2445" i="11"/>
  <c r="AA2445" i="11"/>
  <c r="P2446" i="11"/>
  <c r="R2446" i="11"/>
  <c r="S2446" i="11"/>
  <c r="X2446" i="11"/>
  <c r="Y2446" i="11"/>
  <c r="Z2446" i="11"/>
  <c r="AA2446" i="11"/>
  <c r="P2447" i="11"/>
  <c r="R2447" i="11"/>
  <c r="S2447" i="11"/>
  <c r="X2447" i="11"/>
  <c r="Y2447" i="11"/>
  <c r="Z2447" i="11"/>
  <c r="AA2447" i="11"/>
  <c r="P2448" i="11"/>
  <c r="R2448" i="11"/>
  <c r="S2448" i="11"/>
  <c r="X2448" i="11"/>
  <c r="Y2448" i="11"/>
  <c r="Z2448" i="11"/>
  <c r="AA2448" i="11"/>
  <c r="P2449" i="11"/>
  <c r="R2449" i="11"/>
  <c r="S2449" i="11"/>
  <c r="X2449" i="11"/>
  <c r="Y2449" i="11"/>
  <c r="Z2449" i="11"/>
  <c r="AA2449" i="11"/>
  <c r="P2450" i="11"/>
  <c r="R2450" i="11"/>
  <c r="S2450" i="11"/>
  <c r="X2450" i="11"/>
  <c r="Y2450" i="11"/>
  <c r="Z2450" i="11"/>
  <c r="AA2450" i="11"/>
  <c r="P2451" i="11"/>
  <c r="R2451" i="11"/>
  <c r="S2451" i="11"/>
  <c r="X2451" i="11"/>
  <c r="Y2451" i="11"/>
  <c r="Z2451" i="11"/>
  <c r="AA2451" i="11"/>
  <c r="P2452" i="11"/>
  <c r="R2452" i="11"/>
  <c r="S2452" i="11"/>
  <c r="X2452" i="11"/>
  <c r="Y2452" i="11"/>
  <c r="Z2452" i="11"/>
  <c r="AA2452" i="11"/>
  <c r="P2453" i="11"/>
  <c r="R2453" i="11"/>
  <c r="S2453" i="11"/>
  <c r="X2453" i="11"/>
  <c r="Y2453" i="11"/>
  <c r="Z2453" i="11"/>
  <c r="AA2453" i="11"/>
  <c r="P2454" i="11"/>
  <c r="R2454" i="11"/>
  <c r="S2454" i="11"/>
  <c r="X2454" i="11"/>
  <c r="Y2454" i="11"/>
  <c r="Z2454" i="11"/>
  <c r="AA2454" i="11"/>
  <c r="P2455" i="11"/>
  <c r="R2455" i="11"/>
  <c r="S2455" i="11"/>
  <c r="X2455" i="11"/>
  <c r="Y2455" i="11"/>
  <c r="Z2455" i="11"/>
  <c r="AA2455" i="11"/>
  <c r="P2456" i="11"/>
  <c r="R2456" i="11"/>
  <c r="S2456" i="11"/>
  <c r="X2456" i="11"/>
  <c r="Y2456" i="11"/>
  <c r="Z2456" i="11"/>
  <c r="AA2456" i="11"/>
  <c r="P2457" i="11"/>
  <c r="R2457" i="11"/>
  <c r="S2457" i="11"/>
  <c r="X2457" i="11"/>
  <c r="Y2457" i="11"/>
  <c r="Z2457" i="11"/>
  <c r="AA2457" i="11"/>
  <c r="P2458" i="11"/>
  <c r="R2458" i="11"/>
  <c r="S2458" i="11"/>
  <c r="X2458" i="11"/>
  <c r="Y2458" i="11"/>
  <c r="Z2458" i="11"/>
  <c r="AA2458" i="11"/>
  <c r="P2459" i="11"/>
  <c r="R2459" i="11"/>
  <c r="S2459" i="11"/>
  <c r="X2459" i="11"/>
  <c r="Y2459" i="11"/>
  <c r="Z2459" i="11"/>
  <c r="AA2459" i="11"/>
  <c r="P2460" i="11"/>
  <c r="R2460" i="11"/>
  <c r="S2460" i="11"/>
  <c r="X2460" i="11"/>
  <c r="Y2460" i="11"/>
  <c r="Z2460" i="11"/>
  <c r="AA2460" i="11"/>
  <c r="P2461" i="11"/>
  <c r="R2461" i="11"/>
  <c r="S2461" i="11"/>
  <c r="X2461" i="11"/>
  <c r="Y2461" i="11"/>
  <c r="Z2461" i="11"/>
  <c r="AA2461" i="11"/>
  <c r="P2462" i="11"/>
  <c r="R2462" i="11"/>
  <c r="S2462" i="11"/>
  <c r="X2462" i="11"/>
  <c r="Y2462" i="11"/>
  <c r="Z2462" i="11"/>
  <c r="AA2462" i="11"/>
  <c r="P2463" i="11"/>
  <c r="R2463" i="11"/>
  <c r="S2463" i="11"/>
  <c r="X2463" i="11"/>
  <c r="Y2463" i="11"/>
  <c r="Z2463" i="11"/>
  <c r="AA2463" i="11"/>
  <c r="P2464" i="11"/>
  <c r="R2464" i="11"/>
  <c r="S2464" i="11"/>
  <c r="X2464" i="11"/>
  <c r="Y2464" i="11"/>
  <c r="Z2464" i="11"/>
  <c r="AA2464" i="11"/>
  <c r="P2465" i="11"/>
  <c r="R2465" i="11"/>
  <c r="S2465" i="11"/>
  <c r="X2465" i="11"/>
  <c r="Y2465" i="11"/>
  <c r="Z2465" i="11"/>
  <c r="AA2465" i="11"/>
  <c r="P2466" i="11"/>
  <c r="R2466" i="11"/>
  <c r="S2466" i="11"/>
  <c r="X2466" i="11"/>
  <c r="Y2466" i="11"/>
  <c r="Z2466" i="11"/>
  <c r="AA2466" i="11"/>
  <c r="P2467" i="11"/>
  <c r="R2467" i="11"/>
  <c r="S2467" i="11"/>
  <c r="X2467" i="11"/>
  <c r="Y2467" i="11"/>
  <c r="Z2467" i="11"/>
  <c r="AA2467" i="11"/>
  <c r="P2468" i="11"/>
  <c r="R2468" i="11"/>
  <c r="S2468" i="11"/>
  <c r="X2468" i="11"/>
  <c r="Y2468" i="11"/>
  <c r="Z2468" i="11"/>
  <c r="AA2468" i="11"/>
  <c r="P2469" i="11"/>
  <c r="R2469" i="11"/>
  <c r="S2469" i="11"/>
  <c r="X2469" i="11"/>
  <c r="Y2469" i="11"/>
  <c r="Z2469" i="11"/>
  <c r="AA2469" i="11"/>
  <c r="P2470" i="11"/>
  <c r="R2470" i="11"/>
  <c r="S2470" i="11"/>
  <c r="X2470" i="11"/>
  <c r="Y2470" i="11"/>
  <c r="Z2470" i="11"/>
  <c r="AA2470" i="11"/>
  <c r="P2471" i="11"/>
  <c r="R2471" i="11"/>
  <c r="S2471" i="11"/>
  <c r="X2471" i="11"/>
  <c r="Y2471" i="11"/>
  <c r="Z2471" i="11"/>
  <c r="AA2471" i="11"/>
  <c r="P2472" i="11"/>
  <c r="R2472" i="11"/>
  <c r="S2472" i="11"/>
  <c r="X2472" i="11"/>
  <c r="Y2472" i="11"/>
  <c r="Z2472" i="11"/>
  <c r="AA2472" i="11"/>
  <c r="P2473" i="11"/>
  <c r="R2473" i="11"/>
  <c r="S2473" i="11"/>
  <c r="X2473" i="11"/>
  <c r="Y2473" i="11"/>
  <c r="Z2473" i="11"/>
  <c r="AA2473" i="11"/>
  <c r="P2474" i="11"/>
  <c r="R2474" i="11"/>
  <c r="S2474" i="11"/>
  <c r="X2474" i="11"/>
  <c r="Y2474" i="11"/>
  <c r="Z2474" i="11"/>
  <c r="AA2474" i="11"/>
  <c r="P2475" i="11"/>
  <c r="R2475" i="11"/>
  <c r="S2475" i="11"/>
  <c r="X2475" i="11"/>
  <c r="Y2475" i="11"/>
  <c r="Z2475" i="11"/>
  <c r="AA2475" i="11"/>
  <c r="P2476" i="11"/>
  <c r="R2476" i="11"/>
  <c r="S2476" i="11"/>
  <c r="X2476" i="11"/>
  <c r="Y2476" i="11"/>
  <c r="Z2476" i="11"/>
  <c r="AA2476" i="11"/>
  <c r="P2477" i="11"/>
  <c r="R2477" i="11"/>
  <c r="S2477" i="11"/>
  <c r="X2477" i="11"/>
  <c r="Y2477" i="11"/>
  <c r="Z2477" i="11"/>
  <c r="AA2477" i="11"/>
  <c r="P2478" i="11"/>
  <c r="R2478" i="11"/>
  <c r="S2478" i="11"/>
  <c r="X2478" i="11"/>
  <c r="Y2478" i="11"/>
  <c r="Z2478" i="11"/>
  <c r="AA2478" i="11"/>
  <c r="P2479" i="11"/>
  <c r="R2479" i="11"/>
  <c r="S2479" i="11"/>
  <c r="X2479" i="11"/>
  <c r="Y2479" i="11"/>
  <c r="Z2479" i="11"/>
  <c r="AA2479" i="11"/>
  <c r="P2480" i="11"/>
  <c r="R2480" i="11"/>
  <c r="S2480" i="11"/>
  <c r="X2480" i="11"/>
  <c r="Y2480" i="11"/>
  <c r="Z2480" i="11"/>
  <c r="AA2480" i="11"/>
  <c r="P2481" i="11"/>
  <c r="R2481" i="11"/>
  <c r="S2481" i="11"/>
  <c r="X2481" i="11"/>
  <c r="Y2481" i="11"/>
  <c r="Z2481" i="11"/>
  <c r="AA2481" i="11"/>
  <c r="P2482" i="11"/>
  <c r="R2482" i="11"/>
  <c r="S2482" i="11"/>
  <c r="X2482" i="11"/>
  <c r="Y2482" i="11"/>
  <c r="Z2482" i="11"/>
  <c r="AA2482" i="11"/>
  <c r="P2483" i="11"/>
  <c r="R2483" i="11"/>
  <c r="S2483" i="11"/>
  <c r="X2483" i="11"/>
  <c r="Y2483" i="11"/>
  <c r="Z2483" i="11"/>
  <c r="AA2483" i="11"/>
  <c r="P2484" i="11"/>
  <c r="R2484" i="11"/>
  <c r="S2484" i="11"/>
  <c r="X2484" i="11"/>
  <c r="Y2484" i="11"/>
  <c r="Z2484" i="11"/>
  <c r="AA2484" i="11"/>
  <c r="P2485" i="11"/>
  <c r="R2485" i="11"/>
  <c r="S2485" i="11"/>
  <c r="X2485" i="11"/>
  <c r="Y2485" i="11"/>
  <c r="Z2485" i="11"/>
  <c r="AA2485" i="11"/>
  <c r="P2486" i="11"/>
  <c r="R2486" i="11"/>
  <c r="S2486" i="11"/>
  <c r="X2486" i="11"/>
  <c r="Y2486" i="11"/>
  <c r="Z2486" i="11"/>
  <c r="AA2486" i="11"/>
  <c r="P2487" i="11"/>
  <c r="R2487" i="11"/>
  <c r="S2487" i="11"/>
  <c r="X2487" i="11"/>
  <c r="Y2487" i="11"/>
  <c r="Z2487" i="11"/>
  <c r="AA2487" i="11"/>
  <c r="P2488" i="11"/>
  <c r="R2488" i="11"/>
  <c r="S2488" i="11"/>
  <c r="X2488" i="11"/>
  <c r="Y2488" i="11"/>
  <c r="Z2488" i="11"/>
  <c r="AA2488" i="11"/>
  <c r="P2489" i="11"/>
  <c r="R2489" i="11"/>
  <c r="S2489" i="11"/>
  <c r="X2489" i="11"/>
  <c r="Y2489" i="11"/>
  <c r="Z2489" i="11"/>
  <c r="AA2489" i="11"/>
  <c r="P2490" i="11"/>
  <c r="R2490" i="11"/>
  <c r="S2490" i="11"/>
  <c r="X2490" i="11"/>
  <c r="Y2490" i="11"/>
  <c r="Z2490" i="11"/>
  <c r="AA2490" i="11"/>
  <c r="P2491" i="11"/>
  <c r="R2491" i="11"/>
  <c r="S2491" i="11"/>
  <c r="X2491" i="11"/>
  <c r="Y2491" i="11"/>
  <c r="Z2491" i="11"/>
  <c r="AA2491" i="11"/>
  <c r="P2492" i="11"/>
  <c r="R2492" i="11"/>
  <c r="S2492" i="11"/>
  <c r="X2492" i="11"/>
  <c r="Y2492" i="11"/>
  <c r="Z2492" i="11"/>
  <c r="AA2492" i="11"/>
  <c r="P2493" i="11"/>
  <c r="R2493" i="11"/>
  <c r="S2493" i="11"/>
  <c r="X2493" i="11"/>
  <c r="Y2493" i="11"/>
  <c r="Z2493" i="11"/>
  <c r="AA2493" i="11"/>
  <c r="P2494" i="11"/>
  <c r="R2494" i="11"/>
  <c r="S2494" i="11"/>
  <c r="X2494" i="11"/>
  <c r="Y2494" i="11"/>
  <c r="Z2494" i="11"/>
  <c r="AA2494" i="11"/>
  <c r="P2495" i="11"/>
  <c r="R2495" i="11"/>
  <c r="S2495" i="11"/>
  <c r="X2495" i="11"/>
  <c r="Y2495" i="11"/>
  <c r="Z2495" i="11"/>
  <c r="AA2495" i="11"/>
  <c r="P2496" i="11"/>
  <c r="R2496" i="11"/>
  <c r="S2496" i="11"/>
  <c r="X2496" i="11"/>
  <c r="Y2496" i="11"/>
  <c r="Z2496" i="11"/>
  <c r="AA2496" i="11"/>
  <c r="P2497" i="11"/>
  <c r="R2497" i="11"/>
  <c r="S2497" i="11"/>
  <c r="X2497" i="11"/>
  <c r="Y2497" i="11"/>
  <c r="Z2497" i="11"/>
  <c r="AA2497" i="11"/>
  <c r="P2498" i="11"/>
  <c r="R2498" i="11"/>
  <c r="S2498" i="11"/>
  <c r="X2498" i="11"/>
  <c r="Y2498" i="11"/>
  <c r="Z2498" i="11"/>
  <c r="AA2498" i="11"/>
  <c r="P2499" i="11"/>
  <c r="R2499" i="11"/>
  <c r="S2499" i="11"/>
  <c r="X2499" i="11"/>
  <c r="Y2499" i="11"/>
  <c r="Z2499" i="11"/>
  <c r="AA2499" i="11"/>
  <c r="P2500" i="11"/>
  <c r="R2500" i="11"/>
  <c r="S2500" i="11"/>
  <c r="X2500" i="11"/>
  <c r="Y2500" i="11"/>
  <c r="Z2500" i="11"/>
  <c r="AA2500" i="11"/>
  <c r="P2501" i="11"/>
  <c r="R2501" i="11"/>
  <c r="S2501" i="11"/>
  <c r="X2501" i="11"/>
  <c r="Y2501" i="11"/>
  <c r="Z2501" i="11"/>
  <c r="AA2501" i="11"/>
  <c r="P2502" i="11"/>
  <c r="R2502" i="11"/>
  <c r="S2502" i="11"/>
  <c r="X2502" i="11"/>
  <c r="Y2502" i="11"/>
  <c r="Z2502" i="11"/>
  <c r="AA2502" i="11"/>
  <c r="P2503" i="11"/>
  <c r="R2503" i="11"/>
  <c r="S2503" i="11"/>
  <c r="X2503" i="11"/>
  <c r="Y2503" i="11"/>
  <c r="Z2503" i="11"/>
  <c r="AA2503" i="11"/>
  <c r="P2504" i="11"/>
  <c r="R2504" i="11"/>
  <c r="S2504" i="11"/>
  <c r="X2504" i="11"/>
  <c r="Y2504" i="11"/>
  <c r="Z2504" i="11"/>
  <c r="AA2504" i="11"/>
  <c r="P2505" i="11"/>
  <c r="R2505" i="11"/>
  <c r="S2505" i="11"/>
  <c r="X2505" i="11"/>
  <c r="Y2505" i="11"/>
  <c r="Z2505" i="11"/>
  <c r="AA2505" i="11"/>
  <c r="P2506" i="11"/>
  <c r="R2506" i="11"/>
  <c r="S2506" i="11"/>
  <c r="X2506" i="11"/>
  <c r="Y2506" i="11"/>
  <c r="Z2506" i="11"/>
  <c r="AA2506" i="11"/>
  <c r="P2507" i="11"/>
  <c r="R2507" i="11"/>
  <c r="S2507" i="11"/>
  <c r="X2507" i="11"/>
  <c r="Y2507" i="11"/>
  <c r="Z2507" i="11"/>
  <c r="AA2507" i="11"/>
  <c r="P2508" i="11"/>
  <c r="R2508" i="11"/>
  <c r="S2508" i="11"/>
  <c r="X2508" i="11"/>
  <c r="Y2508" i="11"/>
  <c r="Z2508" i="11"/>
  <c r="AA2508" i="11"/>
  <c r="P2509" i="11"/>
  <c r="R2509" i="11"/>
  <c r="S2509" i="11"/>
  <c r="X2509" i="11"/>
  <c r="Y2509" i="11"/>
  <c r="Z2509" i="11"/>
  <c r="AA2509" i="11"/>
  <c r="P2510" i="11"/>
  <c r="R2510" i="11"/>
  <c r="S2510" i="11"/>
  <c r="X2510" i="11"/>
  <c r="Y2510" i="11"/>
  <c r="Z2510" i="11"/>
  <c r="AA2510" i="11"/>
  <c r="P2511" i="11"/>
  <c r="R2511" i="11"/>
  <c r="S2511" i="11"/>
  <c r="X2511" i="11"/>
  <c r="Y2511" i="11"/>
  <c r="Z2511" i="11"/>
  <c r="AA2511" i="11"/>
  <c r="P2512" i="11"/>
  <c r="R2512" i="11"/>
  <c r="S2512" i="11"/>
  <c r="X2512" i="11"/>
  <c r="Y2512" i="11"/>
  <c r="Z2512" i="11"/>
  <c r="AA2512" i="11"/>
  <c r="P2513" i="11"/>
  <c r="R2513" i="11"/>
  <c r="S2513" i="11"/>
  <c r="X2513" i="11"/>
  <c r="Y2513" i="11"/>
  <c r="Z2513" i="11"/>
  <c r="AA2513" i="11"/>
  <c r="P2514" i="11"/>
  <c r="R2514" i="11"/>
  <c r="S2514" i="11"/>
  <c r="X2514" i="11"/>
  <c r="Y2514" i="11"/>
  <c r="Z2514" i="11"/>
  <c r="AA2514" i="11"/>
  <c r="P2515" i="11"/>
  <c r="R2515" i="11"/>
  <c r="S2515" i="11"/>
  <c r="X2515" i="11"/>
  <c r="Y2515" i="11"/>
  <c r="Z2515" i="11"/>
  <c r="AA2515" i="11"/>
  <c r="P2516" i="11"/>
  <c r="R2516" i="11"/>
  <c r="S2516" i="11"/>
  <c r="X2516" i="11"/>
  <c r="Y2516" i="11"/>
  <c r="Z2516" i="11"/>
  <c r="AA2516" i="11"/>
  <c r="P2517" i="11"/>
  <c r="R2517" i="11"/>
  <c r="S2517" i="11"/>
  <c r="X2517" i="11"/>
  <c r="Y2517" i="11"/>
  <c r="Z2517" i="11"/>
  <c r="AA2517" i="11"/>
  <c r="P2518" i="11"/>
  <c r="R2518" i="11"/>
  <c r="S2518" i="11"/>
  <c r="X2518" i="11"/>
  <c r="Y2518" i="11"/>
  <c r="Z2518" i="11"/>
  <c r="AA2518" i="11"/>
  <c r="P2519" i="11"/>
  <c r="R2519" i="11"/>
  <c r="S2519" i="11"/>
  <c r="X2519" i="11"/>
  <c r="Y2519" i="11"/>
  <c r="Z2519" i="11"/>
  <c r="AA2519" i="11"/>
  <c r="P2520" i="11"/>
  <c r="R2520" i="11"/>
  <c r="S2520" i="11"/>
  <c r="X2520" i="11"/>
  <c r="Y2520" i="11"/>
  <c r="Z2520" i="11"/>
  <c r="AA2520" i="11"/>
  <c r="P2521" i="11"/>
  <c r="R2521" i="11"/>
  <c r="S2521" i="11"/>
  <c r="X2521" i="11"/>
  <c r="Y2521" i="11"/>
  <c r="Z2521" i="11"/>
  <c r="AA2521" i="11"/>
  <c r="P2522" i="11"/>
  <c r="R2522" i="11"/>
  <c r="S2522" i="11"/>
  <c r="X2522" i="11"/>
  <c r="Y2522" i="11"/>
  <c r="Z2522" i="11"/>
  <c r="AA2522" i="11"/>
  <c r="P2523" i="11"/>
  <c r="R2523" i="11"/>
  <c r="S2523" i="11"/>
  <c r="X2523" i="11"/>
  <c r="Y2523" i="11"/>
  <c r="Z2523" i="11"/>
  <c r="AA2523" i="11"/>
  <c r="P2524" i="11"/>
  <c r="R2524" i="11"/>
  <c r="S2524" i="11"/>
  <c r="X2524" i="11"/>
  <c r="Y2524" i="11"/>
  <c r="Z2524" i="11"/>
  <c r="AA2524" i="11"/>
  <c r="P2525" i="11"/>
  <c r="R2525" i="11"/>
  <c r="S2525" i="11"/>
  <c r="X2525" i="11"/>
  <c r="Y2525" i="11"/>
  <c r="Z2525" i="11"/>
  <c r="AA2525" i="11"/>
  <c r="P2526" i="11"/>
  <c r="R2526" i="11"/>
  <c r="S2526" i="11"/>
  <c r="X2526" i="11"/>
  <c r="Y2526" i="11"/>
  <c r="Z2526" i="11"/>
  <c r="AA2526" i="11"/>
  <c r="P2527" i="11"/>
  <c r="R2527" i="11"/>
  <c r="S2527" i="11"/>
  <c r="X2527" i="11"/>
  <c r="Y2527" i="11"/>
  <c r="Z2527" i="11"/>
  <c r="AA2527" i="11"/>
  <c r="P2528" i="11"/>
  <c r="R2528" i="11"/>
  <c r="S2528" i="11"/>
  <c r="X2528" i="11"/>
  <c r="Y2528" i="11"/>
  <c r="Z2528" i="11"/>
  <c r="AA2528" i="11"/>
  <c r="P2529" i="11"/>
  <c r="R2529" i="11"/>
  <c r="S2529" i="11"/>
  <c r="X2529" i="11"/>
  <c r="Y2529" i="11"/>
  <c r="Z2529" i="11"/>
  <c r="AA2529" i="11"/>
  <c r="P2530" i="11"/>
  <c r="R2530" i="11"/>
  <c r="S2530" i="11"/>
  <c r="X2530" i="11"/>
  <c r="Y2530" i="11"/>
  <c r="Z2530" i="11"/>
  <c r="AA2530" i="11"/>
  <c r="P2531" i="11"/>
  <c r="R2531" i="11"/>
  <c r="S2531" i="11"/>
  <c r="X2531" i="11"/>
  <c r="Y2531" i="11"/>
  <c r="Z2531" i="11"/>
  <c r="AA2531" i="11"/>
  <c r="P2532" i="11"/>
  <c r="R2532" i="11"/>
  <c r="S2532" i="11"/>
  <c r="X2532" i="11"/>
  <c r="Y2532" i="11"/>
  <c r="Z2532" i="11"/>
  <c r="AA2532" i="11"/>
  <c r="P2533" i="11"/>
  <c r="R2533" i="11"/>
  <c r="S2533" i="11"/>
  <c r="X2533" i="11"/>
  <c r="Y2533" i="11"/>
  <c r="Z2533" i="11"/>
  <c r="AA2533" i="11"/>
  <c r="P2534" i="11"/>
  <c r="R2534" i="11"/>
  <c r="S2534" i="11"/>
  <c r="X2534" i="11"/>
  <c r="Y2534" i="11"/>
  <c r="Z2534" i="11"/>
  <c r="AA2534" i="11"/>
  <c r="P2535" i="11"/>
  <c r="R2535" i="11"/>
  <c r="S2535" i="11"/>
  <c r="X2535" i="11"/>
  <c r="Y2535" i="11"/>
  <c r="Z2535" i="11"/>
  <c r="AA2535" i="11"/>
  <c r="P2536" i="11"/>
  <c r="R2536" i="11"/>
  <c r="S2536" i="11"/>
  <c r="X2536" i="11"/>
  <c r="Y2536" i="11"/>
  <c r="Z2536" i="11"/>
  <c r="AA2536" i="11"/>
  <c r="P2537" i="11"/>
  <c r="R2537" i="11"/>
  <c r="S2537" i="11"/>
  <c r="X2537" i="11"/>
  <c r="Y2537" i="11"/>
  <c r="Z2537" i="11"/>
  <c r="AA2537" i="11"/>
  <c r="P2538" i="11"/>
  <c r="R2538" i="11"/>
  <c r="S2538" i="11"/>
  <c r="X2538" i="11"/>
  <c r="Y2538" i="11"/>
  <c r="Z2538" i="11"/>
  <c r="AA2538" i="11"/>
  <c r="P2539" i="11"/>
  <c r="R2539" i="11"/>
  <c r="S2539" i="11"/>
  <c r="X2539" i="11"/>
  <c r="Y2539" i="11"/>
  <c r="Z2539" i="11"/>
  <c r="AA2539" i="11"/>
  <c r="P2540" i="11"/>
  <c r="R2540" i="11"/>
  <c r="S2540" i="11"/>
  <c r="X2540" i="11"/>
  <c r="Y2540" i="11"/>
  <c r="Z2540" i="11"/>
  <c r="AA2540" i="11"/>
  <c r="P2541" i="11"/>
  <c r="R2541" i="11"/>
  <c r="S2541" i="11"/>
  <c r="X2541" i="11"/>
  <c r="Y2541" i="11"/>
  <c r="Z2541" i="11"/>
  <c r="AA2541" i="11"/>
  <c r="P2542" i="11"/>
  <c r="R2542" i="11"/>
  <c r="S2542" i="11"/>
  <c r="X2542" i="11"/>
  <c r="Y2542" i="11"/>
  <c r="Z2542" i="11"/>
  <c r="AA2542" i="11"/>
  <c r="P2543" i="11"/>
  <c r="R2543" i="11"/>
  <c r="S2543" i="11"/>
  <c r="X2543" i="11"/>
  <c r="Y2543" i="11"/>
  <c r="Z2543" i="11"/>
  <c r="AA2543" i="11"/>
  <c r="P2544" i="11"/>
  <c r="R2544" i="11"/>
  <c r="S2544" i="11"/>
  <c r="X2544" i="11"/>
  <c r="Y2544" i="11"/>
  <c r="Z2544" i="11"/>
  <c r="AA2544" i="11"/>
  <c r="P2545" i="11"/>
  <c r="R2545" i="11"/>
  <c r="S2545" i="11"/>
  <c r="X2545" i="11"/>
  <c r="Y2545" i="11"/>
  <c r="Z2545" i="11"/>
  <c r="AA2545" i="11"/>
  <c r="P2546" i="11"/>
  <c r="R2546" i="11"/>
  <c r="S2546" i="11"/>
  <c r="X2546" i="11"/>
  <c r="Y2546" i="11"/>
  <c r="Z2546" i="11"/>
  <c r="AA2546" i="11"/>
  <c r="P2547" i="11"/>
  <c r="R2547" i="11"/>
  <c r="S2547" i="11"/>
  <c r="X2547" i="11"/>
  <c r="Y2547" i="11"/>
  <c r="Z2547" i="11"/>
  <c r="AA2547" i="11"/>
  <c r="P2548" i="11"/>
  <c r="R2548" i="11"/>
  <c r="S2548" i="11"/>
  <c r="X2548" i="11"/>
  <c r="Y2548" i="11"/>
  <c r="Z2548" i="11"/>
  <c r="AA2548" i="11"/>
  <c r="P2549" i="11"/>
  <c r="R2549" i="11"/>
  <c r="S2549" i="11"/>
  <c r="X2549" i="11"/>
  <c r="Y2549" i="11"/>
  <c r="Z2549" i="11"/>
  <c r="AA2549" i="11"/>
  <c r="P2550" i="11"/>
  <c r="R2550" i="11"/>
  <c r="S2550" i="11"/>
  <c r="X2550" i="11"/>
  <c r="Y2550" i="11"/>
  <c r="Z2550" i="11"/>
  <c r="AA2550" i="11"/>
  <c r="P2551" i="11"/>
  <c r="R2551" i="11"/>
  <c r="S2551" i="11"/>
  <c r="X2551" i="11"/>
  <c r="Y2551" i="11"/>
  <c r="Z2551" i="11"/>
  <c r="AA2551" i="11"/>
  <c r="P2552" i="11"/>
  <c r="R2552" i="11"/>
  <c r="S2552" i="11"/>
  <c r="X2552" i="11"/>
  <c r="Y2552" i="11"/>
  <c r="Z2552" i="11"/>
  <c r="AA2552" i="11"/>
  <c r="P2553" i="11"/>
  <c r="R2553" i="11"/>
  <c r="S2553" i="11"/>
  <c r="X2553" i="11"/>
  <c r="Y2553" i="11"/>
  <c r="Z2553" i="11"/>
  <c r="AA2553" i="11"/>
  <c r="P2554" i="11"/>
  <c r="R2554" i="11"/>
  <c r="S2554" i="11"/>
  <c r="X2554" i="11"/>
  <c r="Y2554" i="11"/>
  <c r="Z2554" i="11"/>
  <c r="AA2554" i="11"/>
  <c r="P2555" i="11"/>
  <c r="R2555" i="11"/>
  <c r="S2555" i="11"/>
  <c r="X2555" i="11"/>
  <c r="Y2555" i="11"/>
  <c r="Z2555" i="11"/>
  <c r="AA2555" i="11"/>
  <c r="P2556" i="11"/>
  <c r="R2556" i="11"/>
  <c r="S2556" i="11"/>
  <c r="X2556" i="11"/>
  <c r="Y2556" i="11"/>
  <c r="Z2556" i="11"/>
  <c r="AA2556" i="11"/>
  <c r="P2557" i="11"/>
  <c r="R2557" i="11"/>
  <c r="S2557" i="11"/>
  <c r="X2557" i="11"/>
  <c r="Y2557" i="11"/>
  <c r="Z2557" i="11"/>
  <c r="AA2557" i="11"/>
  <c r="P2558" i="11"/>
  <c r="R2558" i="11"/>
  <c r="S2558" i="11"/>
  <c r="X2558" i="11"/>
  <c r="Y2558" i="11"/>
  <c r="Z2558" i="11"/>
  <c r="AA2558" i="11"/>
  <c r="P2559" i="11"/>
  <c r="R2559" i="11"/>
  <c r="S2559" i="11"/>
  <c r="X2559" i="11"/>
  <c r="Y2559" i="11"/>
  <c r="Z2559" i="11"/>
  <c r="AA2559" i="11"/>
  <c r="P2560" i="11"/>
  <c r="R2560" i="11"/>
  <c r="S2560" i="11"/>
  <c r="X2560" i="11"/>
  <c r="Y2560" i="11"/>
  <c r="Z2560" i="11"/>
  <c r="AA2560" i="11"/>
  <c r="P2561" i="11"/>
  <c r="R2561" i="11"/>
  <c r="S2561" i="11"/>
  <c r="X2561" i="11"/>
  <c r="Y2561" i="11"/>
  <c r="Z2561" i="11"/>
  <c r="AA2561" i="11"/>
  <c r="P2562" i="11"/>
  <c r="R2562" i="11"/>
  <c r="S2562" i="11"/>
  <c r="X2562" i="11"/>
  <c r="Y2562" i="11"/>
  <c r="Z2562" i="11"/>
  <c r="AA2562" i="11"/>
  <c r="P2563" i="11"/>
  <c r="R2563" i="11"/>
  <c r="S2563" i="11"/>
  <c r="X2563" i="11"/>
  <c r="Y2563" i="11"/>
  <c r="Z2563" i="11"/>
  <c r="AA2563" i="11"/>
  <c r="P2564" i="11"/>
  <c r="R2564" i="11"/>
  <c r="S2564" i="11"/>
  <c r="X2564" i="11"/>
  <c r="Y2564" i="11"/>
  <c r="Z2564" i="11"/>
  <c r="AA2564" i="11"/>
  <c r="P2565" i="11"/>
  <c r="R2565" i="11"/>
  <c r="S2565" i="11"/>
  <c r="X2565" i="11"/>
  <c r="Y2565" i="11"/>
  <c r="Z2565" i="11"/>
  <c r="AA2565" i="11"/>
  <c r="P2566" i="11"/>
  <c r="R2566" i="11"/>
  <c r="S2566" i="11"/>
  <c r="X2566" i="11"/>
  <c r="Y2566" i="11"/>
  <c r="Z2566" i="11"/>
  <c r="AA2566" i="11"/>
  <c r="P2567" i="11"/>
  <c r="R2567" i="11"/>
  <c r="S2567" i="11"/>
  <c r="X2567" i="11"/>
  <c r="Y2567" i="11"/>
  <c r="Z2567" i="11"/>
  <c r="AA2567" i="11"/>
  <c r="P2568" i="11"/>
  <c r="R2568" i="11"/>
  <c r="S2568" i="11"/>
  <c r="X2568" i="11"/>
  <c r="Y2568" i="11"/>
  <c r="Z2568" i="11"/>
  <c r="AA2568" i="11"/>
  <c r="P2569" i="11"/>
  <c r="R2569" i="11"/>
  <c r="S2569" i="11"/>
  <c r="X2569" i="11"/>
  <c r="Y2569" i="11"/>
  <c r="Z2569" i="11"/>
  <c r="AA2569" i="11"/>
  <c r="P2570" i="11"/>
  <c r="R2570" i="11"/>
  <c r="S2570" i="11"/>
  <c r="X2570" i="11"/>
  <c r="Y2570" i="11"/>
  <c r="Z2570" i="11"/>
  <c r="AA2570" i="11"/>
  <c r="P2571" i="11"/>
  <c r="R2571" i="11"/>
  <c r="S2571" i="11"/>
  <c r="X2571" i="11"/>
  <c r="Y2571" i="11"/>
  <c r="Z2571" i="11"/>
  <c r="AA2571" i="11"/>
  <c r="P2572" i="11"/>
  <c r="R2572" i="11"/>
  <c r="S2572" i="11"/>
  <c r="X2572" i="11"/>
  <c r="Y2572" i="11"/>
  <c r="Z2572" i="11"/>
  <c r="AA2572" i="11"/>
  <c r="P2573" i="11"/>
  <c r="R2573" i="11"/>
  <c r="S2573" i="11"/>
  <c r="X2573" i="11"/>
  <c r="Y2573" i="11"/>
  <c r="Z2573" i="11"/>
  <c r="AA2573" i="11"/>
  <c r="P2574" i="11"/>
  <c r="R2574" i="11"/>
  <c r="S2574" i="11"/>
  <c r="X2574" i="11"/>
  <c r="Y2574" i="11"/>
  <c r="Z2574" i="11"/>
  <c r="AA2574" i="11"/>
  <c r="P2575" i="11"/>
  <c r="R2575" i="11"/>
  <c r="S2575" i="11"/>
  <c r="X2575" i="11"/>
  <c r="Y2575" i="11"/>
  <c r="Z2575" i="11"/>
  <c r="AA2575" i="11"/>
  <c r="P2576" i="11"/>
  <c r="R2576" i="11"/>
  <c r="S2576" i="11"/>
  <c r="X2576" i="11"/>
  <c r="Y2576" i="11"/>
  <c r="Z2576" i="11"/>
  <c r="AA2576" i="11"/>
  <c r="P2577" i="11"/>
  <c r="R2577" i="11"/>
  <c r="S2577" i="11"/>
  <c r="X2577" i="11"/>
  <c r="Y2577" i="11"/>
  <c r="Z2577" i="11"/>
  <c r="AA2577" i="11"/>
  <c r="P2578" i="11"/>
  <c r="R2578" i="11"/>
  <c r="S2578" i="11"/>
  <c r="X2578" i="11"/>
  <c r="Y2578" i="11"/>
  <c r="Z2578" i="11"/>
  <c r="AA2578" i="11"/>
  <c r="P2579" i="11"/>
  <c r="R2579" i="11"/>
  <c r="S2579" i="11"/>
  <c r="X2579" i="11"/>
  <c r="Y2579" i="11"/>
  <c r="Z2579" i="11"/>
  <c r="AA2579" i="11"/>
  <c r="P2580" i="11"/>
  <c r="R2580" i="11"/>
  <c r="S2580" i="11"/>
  <c r="X2580" i="11"/>
  <c r="Y2580" i="11"/>
  <c r="Z2580" i="11"/>
  <c r="AA2580" i="11"/>
  <c r="P2581" i="11"/>
  <c r="R2581" i="11"/>
  <c r="S2581" i="11"/>
  <c r="X2581" i="11"/>
  <c r="Y2581" i="11"/>
  <c r="Z2581" i="11"/>
  <c r="AA2581" i="11"/>
  <c r="P2582" i="11"/>
  <c r="R2582" i="11"/>
  <c r="S2582" i="11"/>
  <c r="X2582" i="11"/>
  <c r="Y2582" i="11"/>
  <c r="Z2582" i="11"/>
  <c r="AA2582" i="11"/>
  <c r="P2583" i="11"/>
  <c r="R2583" i="11"/>
  <c r="S2583" i="11"/>
  <c r="X2583" i="11"/>
  <c r="Y2583" i="11"/>
  <c r="Z2583" i="11"/>
  <c r="AA2583" i="11"/>
  <c r="P2584" i="11"/>
  <c r="R2584" i="11"/>
  <c r="S2584" i="11"/>
  <c r="X2584" i="11"/>
  <c r="Y2584" i="11"/>
  <c r="Z2584" i="11"/>
  <c r="AA2584" i="11"/>
  <c r="P2585" i="11"/>
  <c r="R2585" i="11"/>
  <c r="S2585" i="11"/>
  <c r="X2585" i="11"/>
  <c r="Y2585" i="11"/>
  <c r="Z2585" i="11"/>
  <c r="AA2585" i="11"/>
  <c r="P2586" i="11"/>
  <c r="R2586" i="11"/>
  <c r="S2586" i="11"/>
  <c r="X2586" i="11"/>
  <c r="Y2586" i="11"/>
  <c r="Z2586" i="11"/>
  <c r="AA2586" i="11"/>
  <c r="P2587" i="11"/>
  <c r="R2587" i="11"/>
  <c r="S2587" i="11"/>
  <c r="X2587" i="11"/>
  <c r="Y2587" i="11"/>
  <c r="Z2587" i="11"/>
  <c r="AA2587" i="11"/>
  <c r="P2588" i="11"/>
  <c r="R2588" i="11"/>
  <c r="S2588" i="11"/>
  <c r="X2588" i="11"/>
  <c r="Y2588" i="11"/>
  <c r="Z2588" i="11"/>
  <c r="AA2588" i="11"/>
  <c r="P2589" i="11"/>
  <c r="R2589" i="11"/>
  <c r="S2589" i="11"/>
  <c r="X2589" i="11"/>
  <c r="Y2589" i="11"/>
  <c r="Z2589" i="11"/>
  <c r="AA2589" i="11"/>
  <c r="P2590" i="11"/>
  <c r="R2590" i="11"/>
  <c r="S2590" i="11"/>
  <c r="X2590" i="11"/>
  <c r="Y2590" i="11"/>
  <c r="Z2590" i="11"/>
  <c r="AA2590" i="11"/>
  <c r="P2591" i="11"/>
  <c r="R2591" i="11"/>
  <c r="S2591" i="11"/>
  <c r="X2591" i="11"/>
  <c r="Y2591" i="11"/>
  <c r="Z2591" i="11"/>
  <c r="AA2591" i="11"/>
  <c r="P2592" i="11"/>
  <c r="R2592" i="11"/>
  <c r="S2592" i="11"/>
  <c r="X2592" i="11"/>
  <c r="Y2592" i="11"/>
  <c r="Z2592" i="11"/>
  <c r="AA2592" i="11"/>
  <c r="P2593" i="11"/>
  <c r="R2593" i="11"/>
  <c r="S2593" i="11"/>
  <c r="X2593" i="11"/>
  <c r="Y2593" i="11"/>
  <c r="Z2593" i="11"/>
  <c r="AA2593" i="11"/>
  <c r="P2594" i="11"/>
  <c r="R2594" i="11"/>
  <c r="S2594" i="11"/>
  <c r="X2594" i="11"/>
  <c r="Y2594" i="11"/>
  <c r="Z2594" i="11"/>
  <c r="AA2594" i="11"/>
  <c r="P2595" i="11"/>
  <c r="R2595" i="11"/>
  <c r="S2595" i="11"/>
  <c r="X2595" i="11"/>
  <c r="Y2595" i="11"/>
  <c r="Z2595" i="11"/>
  <c r="AA2595" i="11"/>
  <c r="P2596" i="11"/>
  <c r="R2596" i="11"/>
  <c r="S2596" i="11"/>
  <c r="X2596" i="11"/>
  <c r="Y2596" i="11"/>
  <c r="Z2596" i="11"/>
  <c r="AA2596" i="11"/>
  <c r="P2597" i="11"/>
  <c r="R2597" i="11"/>
  <c r="S2597" i="11"/>
  <c r="X2597" i="11"/>
  <c r="Y2597" i="11"/>
  <c r="Z2597" i="11"/>
  <c r="AA2597" i="11"/>
  <c r="P2598" i="11"/>
  <c r="R2598" i="11"/>
  <c r="S2598" i="11"/>
  <c r="X2598" i="11"/>
  <c r="Y2598" i="11"/>
  <c r="Z2598" i="11"/>
  <c r="AA2598" i="11"/>
  <c r="P2599" i="11"/>
  <c r="R2599" i="11"/>
  <c r="S2599" i="11"/>
  <c r="X2599" i="11"/>
  <c r="Y2599" i="11"/>
  <c r="Z2599" i="11"/>
  <c r="AA2599" i="11"/>
  <c r="P2600" i="11"/>
  <c r="R2600" i="11"/>
  <c r="S2600" i="11"/>
  <c r="X2600" i="11"/>
  <c r="Y2600" i="11"/>
  <c r="Z2600" i="11"/>
  <c r="AA2600" i="11"/>
  <c r="P2601" i="11"/>
  <c r="R2601" i="11"/>
  <c r="S2601" i="11"/>
  <c r="X2601" i="11"/>
  <c r="Y2601" i="11"/>
  <c r="Z2601" i="11"/>
  <c r="AA2601" i="11"/>
  <c r="P2602" i="11"/>
  <c r="R2602" i="11"/>
  <c r="S2602" i="11"/>
  <c r="X2602" i="11"/>
  <c r="Y2602" i="11"/>
  <c r="Z2602" i="11"/>
  <c r="AA2602" i="11"/>
  <c r="P2603" i="11"/>
  <c r="R2603" i="11"/>
  <c r="S2603" i="11"/>
  <c r="X2603" i="11"/>
  <c r="Y2603" i="11"/>
  <c r="Z2603" i="11"/>
  <c r="AA2603" i="11"/>
  <c r="P2604" i="11"/>
  <c r="R2604" i="11"/>
  <c r="S2604" i="11"/>
  <c r="X2604" i="11"/>
  <c r="Y2604" i="11"/>
  <c r="Z2604" i="11"/>
  <c r="AA2604" i="11"/>
  <c r="P2605" i="11"/>
  <c r="R2605" i="11"/>
  <c r="S2605" i="11"/>
  <c r="X2605" i="11"/>
  <c r="Y2605" i="11"/>
  <c r="Z2605" i="11"/>
  <c r="AA2605" i="11"/>
  <c r="P2606" i="11"/>
  <c r="R2606" i="11"/>
  <c r="S2606" i="11"/>
  <c r="X2606" i="11"/>
  <c r="Y2606" i="11"/>
  <c r="Z2606" i="11"/>
  <c r="AA2606" i="11"/>
  <c r="P2607" i="11"/>
  <c r="R2607" i="11"/>
  <c r="S2607" i="11"/>
  <c r="X2607" i="11"/>
  <c r="Y2607" i="11"/>
  <c r="Z2607" i="11"/>
  <c r="AA2607" i="11"/>
  <c r="P2608" i="11"/>
  <c r="R2608" i="11"/>
  <c r="S2608" i="11"/>
  <c r="X2608" i="11"/>
  <c r="Y2608" i="11"/>
  <c r="Z2608" i="11"/>
  <c r="AA2608" i="11"/>
  <c r="P2609" i="11"/>
  <c r="R2609" i="11"/>
  <c r="S2609" i="11"/>
  <c r="X2609" i="11"/>
  <c r="Y2609" i="11"/>
  <c r="Z2609" i="11"/>
  <c r="AA2609" i="11"/>
  <c r="P2610" i="11"/>
  <c r="R2610" i="11"/>
  <c r="S2610" i="11"/>
  <c r="X2610" i="11"/>
  <c r="Y2610" i="11"/>
  <c r="Z2610" i="11"/>
  <c r="AA2610" i="11"/>
  <c r="P2611" i="11"/>
  <c r="R2611" i="11"/>
  <c r="S2611" i="11"/>
  <c r="X2611" i="11"/>
  <c r="Y2611" i="11"/>
  <c r="Z2611" i="11"/>
  <c r="AA2611" i="11"/>
  <c r="P2612" i="11"/>
  <c r="R2612" i="11"/>
  <c r="S2612" i="11"/>
  <c r="X2612" i="11"/>
  <c r="Y2612" i="11"/>
  <c r="Z2612" i="11"/>
  <c r="AA2612" i="11"/>
  <c r="P2613" i="11"/>
  <c r="R2613" i="11"/>
  <c r="S2613" i="11"/>
  <c r="X2613" i="11"/>
  <c r="Y2613" i="11"/>
  <c r="Z2613" i="11"/>
  <c r="AA2613" i="11"/>
  <c r="P2614" i="11"/>
  <c r="R2614" i="11"/>
  <c r="S2614" i="11"/>
  <c r="X2614" i="11"/>
  <c r="Y2614" i="11"/>
  <c r="Z2614" i="11"/>
  <c r="AA2614" i="11"/>
  <c r="P2615" i="11"/>
  <c r="R2615" i="11"/>
  <c r="S2615" i="11"/>
  <c r="X2615" i="11"/>
  <c r="Y2615" i="11"/>
  <c r="Z2615" i="11"/>
  <c r="AA2615" i="11"/>
  <c r="P2616" i="11"/>
  <c r="R2616" i="11"/>
  <c r="S2616" i="11"/>
  <c r="X2616" i="11"/>
  <c r="Y2616" i="11"/>
  <c r="Z2616" i="11"/>
  <c r="AA2616" i="11"/>
  <c r="P2617" i="11"/>
  <c r="R2617" i="11"/>
  <c r="S2617" i="11"/>
  <c r="X2617" i="11"/>
  <c r="Y2617" i="11"/>
  <c r="Z2617" i="11"/>
  <c r="AA2617" i="11"/>
  <c r="P2618" i="11"/>
  <c r="R2618" i="11"/>
  <c r="S2618" i="11"/>
  <c r="X2618" i="11"/>
  <c r="Y2618" i="11"/>
  <c r="Z2618" i="11"/>
  <c r="AA2618" i="11"/>
  <c r="P2619" i="11"/>
  <c r="R2619" i="11"/>
  <c r="S2619" i="11"/>
  <c r="X2619" i="11"/>
  <c r="Y2619" i="11"/>
  <c r="Z2619" i="11"/>
  <c r="AA2619" i="11"/>
  <c r="P2620" i="11"/>
  <c r="R2620" i="11"/>
  <c r="S2620" i="11"/>
  <c r="X2620" i="11"/>
  <c r="Y2620" i="11"/>
  <c r="Z2620" i="11"/>
  <c r="AA2620" i="11"/>
  <c r="P2621" i="11"/>
  <c r="R2621" i="11"/>
  <c r="S2621" i="11"/>
  <c r="X2621" i="11"/>
  <c r="Y2621" i="11"/>
  <c r="Z2621" i="11"/>
  <c r="AA2621" i="11"/>
  <c r="P2622" i="11"/>
  <c r="R2622" i="11"/>
  <c r="S2622" i="11"/>
  <c r="X2622" i="11"/>
  <c r="Y2622" i="11"/>
  <c r="Z2622" i="11"/>
  <c r="AA2622" i="11"/>
  <c r="P2623" i="11"/>
  <c r="R2623" i="11"/>
  <c r="S2623" i="11"/>
  <c r="X2623" i="11"/>
  <c r="Y2623" i="11"/>
  <c r="Z2623" i="11"/>
  <c r="AA2623" i="11"/>
  <c r="P2624" i="11"/>
  <c r="R2624" i="11"/>
  <c r="S2624" i="11"/>
  <c r="X2624" i="11"/>
  <c r="Y2624" i="11"/>
  <c r="Z2624" i="11"/>
  <c r="AA2624" i="11"/>
  <c r="P2625" i="11"/>
  <c r="R2625" i="11"/>
  <c r="S2625" i="11"/>
  <c r="X2625" i="11"/>
  <c r="Y2625" i="11"/>
  <c r="Z2625" i="11"/>
  <c r="AA2625" i="11"/>
  <c r="P2626" i="11"/>
  <c r="R2626" i="11"/>
  <c r="S2626" i="11"/>
  <c r="X2626" i="11"/>
  <c r="Y2626" i="11"/>
  <c r="Z2626" i="11"/>
  <c r="AA2626" i="11"/>
  <c r="P2627" i="11"/>
  <c r="R2627" i="11"/>
  <c r="S2627" i="11"/>
  <c r="X2627" i="11"/>
  <c r="Y2627" i="11"/>
  <c r="Z2627" i="11"/>
  <c r="AA2627" i="11"/>
  <c r="P2628" i="11"/>
  <c r="R2628" i="11"/>
  <c r="S2628" i="11"/>
  <c r="X2628" i="11"/>
  <c r="Y2628" i="11"/>
  <c r="Z2628" i="11"/>
  <c r="AA2628" i="11"/>
  <c r="P2629" i="11"/>
  <c r="R2629" i="11"/>
  <c r="S2629" i="11"/>
  <c r="X2629" i="11"/>
  <c r="Y2629" i="11"/>
  <c r="Z2629" i="11"/>
  <c r="AA2629" i="11"/>
  <c r="P2630" i="11"/>
  <c r="R2630" i="11"/>
  <c r="S2630" i="11"/>
  <c r="X2630" i="11"/>
  <c r="Y2630" i="11"/>
  <c r="Z2630" i="11"/>
  <c r="AA2630" i="11"/>
  <c r="P2631" i="11"/>
  <c r="R2631" i="11"/>
  <c r="S2631" i="11"/>
  <c r="X2631" i="11"/>
  <c r="Y2631" i="11"/>
  <c r="Z2631" i="11"/>
  <c r="AA2631" i="11"/>
  <c r="P2632" i="11"/>
  <c r="R2632" i="11"/>
  <c r="S2632" i="11"/>
  <c r="X2632" i="11"/>
  <c r="Y2632" i="11"/>
  <c r="Z2632" i="11"/>
  <c r="AA2632" i="11"/>
  <c r="P2633" i="11"/>
  <c r="R2633" i="11"/>
  <c r="S2633" i="11"/>
  <c r="X2633" i="11"/>
  <c r="Y2633" i="11"/>
  <c r="Z2633" i="11"/>
  <c r="AA2633" i="11"/>
  <c r="P2634" i="11"/>
  <c r="R2634" i="11"/>
  <c r="S2634" i="11"/>
  <c r="X2634" i="11"/>
  <c r="Y2634" i="11"/>
  <c r="Z2634" i="11"/>
  <c r="AA2634" i="11"/>
  <c r="P2635" i="11"/>
  <c r="R2635" i="11"/>
  <c r="S2635" i="11"/>
  <c r="X2635" i="11"/>
  <c r="Y2635" i="11"/>
  <c r="Z2635" i="11"/>
  <c r="AA2635" i="11"/>
  <c r="P2636" i="11"/>
  <c r="R2636" i="11"/>
  <c r="S2636" i="11"/>
  <c r="X2636" i="11"/>
  <c r="Y2636" i="11"/>
  <c r="Z2636" i="11"/>
  <c r="AA2636" i="11"/>
  <c r="P2637" i="11"/>
  <c r="R2637" i="11"/>
  <c r="S2637" i="11"/>
  <c r="X2637" i="11"/>
  <c r="Y2637" i="11"/>
  <c r="Z2637" i="11"/>
  <c r="AA2637" i="11"/>
  <c r="P2638" i="11"/>
  <c r="R2638" i="11"/>
  <c r="S2638" i="11"/>
  <c r="X2638" i="11"/>
  <c r="Y2638" i="11"/>
  <c r="Z2638" i="11"/>
  <c r="AA2638" i="11"/>
  <c r="P2639" i="11"/>
  <c r="R2639" i="11"/>
  <c r="S2639" i="11"/>
  <c r="X2639" i="11"/>
  <c r="Y2639" i="11"/>
  <c r="Z2639" i="11"/>
  <c r="AA2639" i="11"/>
  <c r="P2640" i="11"/>
  <c r="R2640" i="11"/>
  <c r="S2640" i="11"/>
  <c r="X2640" i="11"/>
  <c r="Y2640" i="11"/>
  <c r="Z2640" i="11"/>
  <c r="AA2640" i="11"/>
  <c r="P2641" i="11"/>
  <c r="R2641" i="11"/>
  <c r="S2641" i="11"/>
  <c r="X2641" i="11"/>
  <c r="Y2641" i="11"/>
  <c r="Z2641" i="11"/>
  <c r="AA2641" i="11"/>
  <c r="P2642" i="11"/>
  <c r="R2642" i="11"/>
  <c r="S2642" i="11"/>
  <c r="X2642" i="11"/>
  <c r="Y2642" i="11"/>
  <c r="Z2642" i="11"/>
  <c r="AA2642" i="11"/>
  <c r="P2643" i="11"/>
  <c r="R2643" i="11"/>
  <c r="S2643" i="11"/>
  <c r="X2643" i="11"/>
  <c r="Y2643" i="11"/>
  <c r="Z2643" i="11"/>
  <c r="AA2643" i="11"/>
  <c r="P2644" i="11"/>
  <c r="R2644" i="11"/>
  <c r="S2644" i="11"/>
  <c r="X2644" i="11"/>
  <c r="Y2644" i="11"/>
  <c r="Z2644" i="11"/>
  <c r="AA2644" i="11"/>
  <c r="P2645" i="11"/>
  <c r="R2645" i="11"/>
  <c r="S2645" i="11"/>
  <c r="X2645" i="11"/>
  <c r="Y2645" i="11"/>
  <c r="Z2645" i="11"/>
  <c r="AA2645" i="11"/>
  <c r="P2646" i="11"/>
  <c r="R2646" i="11"/>
  <c r="S2646" i="11"/>
  <c r="X2646" i="11"/>
  <c r="Y2646" i="11"/>
  <c r="Z2646" i="11"/>
  <c r="AA2646" i="11"/>
  <c r="P2647" i="11"/>
  <c r="R2647" i="11"/>
  <c r="S2647" i="11"/>
  <c r="X2647" i="11"/>
  <c r="Y2647" i="11"/>
  <c r="Z2647" i="11"/>
  <c r="AA2647" i="11"/>
  <c r="P2648" i="11"/>
  <c r="R2648" i="11"/>
  <c r="S2648" i="11"/>
  <c r="X2648" i="11"/>
  <c r="Y2648" i="11"/>
  <c r="Z2648" i="11"/>
  <c r="AA2648" i="11"/>
  <c r="P2649" i="11"/>
  <c r="R2649" i="11"/>
  <c r="S2649" i="11"/>
  <c r="X2649" i="11"/>
  <c r="Y2649" i="11"/>
  <c r="Z2649" i="11"/>
  <c r="AA2649" i="11"/>
  <c r="P2650" i="11"/>
  <c r="R2650" i="11"/>
  <c r="S2650" i="11"/>
  <c r="X2650" i="11"/>
  <c r="Y2650" i="11"/>
  <c r="Z2650" i="11"/>
  <c r="AA2650" i="11"/>
  <c r="P2651" i="11"/>
  <c r="R2651" i="11"/>
  <c r="S2651" i="11"/>
  <c r="X2651" i="11"/>
  <c r="Y2651" i="11"/>
  <c r="Z2651" i="11"/>
  <c r="AA2651" i="11"/>
  <c r="P2652" i="11"/>
  <c r="R2652" i="11"/>
  <c r="S2652" i="11"/>
  <c r="X2652" i="11"/>
  <c r="Y2652" i="11"/>
  <c r="Z2652" i="11"/>
  <c r="AA2652" i="11"/>
  <c r="P2653" i="11"/>
  <c r="R2653" i="11"/>
  <c r="S2653" i="11"/>
  <c r="X2653" i="11"/>
  <c r="Y2653" i="11"/>
  <c r="Z2653" i="11"/>
  <c r="AA2653" i="11"/>
  <c r="P2654" i="11"/>
  <c r="R2654" i="11"/>
  <c r="S2654" i="11"/>
  <c r="X2654" i="11"/>
  <c r="Y2654" i="11"/>
  <c r="Z2654" i="11"/>
  <c r="AA2654" i="11"/>
  <c r="P2655" i="11"/>
  <c r="R2655" i="11"/>
  <c r="S2655" i="11"/>
  <c r="X2655" i="11"/>
  <c r="Y2655" i="11"/>
  <c r="Z2655" i="11"/>
  <c r="AA2655" i="11"/>
  <c r="P2656" i="11"/>
  <c r="R2656" i="11"/>
  <c r="S2656" i="11"/>
  <c r="X2656" i="11"/>
  <c r="Y2656" i="11"/>
  <c r="Z2656" i="11"/>
  <c r="AA2656" i="11"/>
  <c r="P2657" i="11"/>
  <c r="R2657" i="11"/>
  <c r="S2657" i="11"/>
  <c r="X2657" i="11"/>
  <c r="Y2657" i="11"/>
  <c r="Z2657" i="11"/>
  <c r="AA2657" i="11"/>
  <c r="P2658" i="11"/>
  <c r="R2658" i="11"/>
  <c r="S2658" i="11"/>
  <c r="X2658" i="11"/>
  <c r="Y2658" i="11"/>
  <c r="Z2658" i="11"/>
  <c r="AA2658" i="11"/>
  <c r="P2659" i="11"/>
  <c r="R2659" i="11"/>
  <c r="S2659" i="11"/>
  <c r="X2659" i="11"/>
  <c r="Y2659" i="11"/>
  <c r="Z2659" i="11"/>
  <c r="AA2659" i="11"/>
  <c r="P2660" i="11"/>
  <c r="R2660" i="11"/>
  <c r="S2660" i="11"/>
  <c r="X2660" i="11"/>
  <c r="Y2660" i="11"/>
  <c r="Z2660" i="11"/>
  <c r="AA2660" i="11"/>
  <c r="P2661" i="11"/>
  <c r="R2661" i="11"/>
  <c r="S2661" i="11"/>
  <c r="X2661" i="11"/>
  <c r="Y2661" i="11"/>
  <c r="Z2661" i="11"/>
  <c r="AA2661" i="11"/>
  <c r="P2662" i="11"/>
  <c r="R2662" i="11"/>
  <c r="S2662" i="11"/>
  <c r="X2662" i="11"/>
  <c r="Y2662" i="11"/>
  <c r="Z2662" i="11"/>
  <c r="AA2662" i="11"/>
  <c r="P2663" i="11"/>
  <c r="R2663" i="11"/>
  <c r="S2663" i="11"/>
  <c r="X2663" i="11"/>
  <c r="Y2663" i="11"/>
  <c r="Z2663" i="11"/>
  <c r="AA2663" i="11"/>
  <c r="P2664" i="11"/>
  <c r="R2664" i="11"/>
  <c r="S2664" i="11"/>
  <c r="X2664" i="11"/>
  <c r="Y2664" i="11"/>
  <c r="Z2664" i="11"/>
  <c r="AA2664" i="11"/>
  <c r="P2665" i="11"/>
  <c r="R2665" i="11"/>
  <c r="S2665" i="11"/>
  <c r="X2665" i="11"/>
  <c r="Y2665" i="11"/>
  <c r="Z2665" i="11"/>
  <c r="AA2665" i="11"/>
  <c r="P2666" i="11"/>
  <c r="R2666" i="11"/>
  <c r="S2666" i="11"/>
  <c r="X2666" i="11"/>
  <c r="Y2666" i="11"/>
  <c r="Z2666" i="11"/>
  <c r="AA2666" i="11"/>
  <c r="P2667" i="11"/>
  <c r="R2667" i="11"/>
  <c r="S2667" i="11"/>
  <c r="X2667" i="11"/>
  <c r="Y2667" i="11"/>
  <c r="Z2667" i="11"/>
  <c r="AA2667" i="11"/>
  <c r="P2668" i="11"/>
  <c r="R2668" i="11"/>
  <c r="S2668" i="11"/>
  <c r="X2668" i="11"/>
  <c r="Y2668" i="11"/>
  <c r="Z2668" i="11"/>
  <c r="AA2668" i="11"/>
  <c r="P2669" i="11"/>
  <c r="R2669" i="11"/>
  <c r="S2669" i="11"/>
  <c r="X2669" i="11"/>
  <c r="Y2669" i="11"/>
  <c r="Z2669" i="11"/>
  <c r="AA2669" i="11"/>
  <c r="P2670" i="11"/>
  <c r="R2670" i="11"/>
  <c r="S2670" i="11"/>
  <c r="X2670" i="11"/>
  <c r="Y2670" i="11"/>
  <c r="Z2670" i="11"/>
  <c r="AA2670" i="11"/>
  <c r="P2671" i="11"/>
  <c r="R2671" i="11"/>
  <c r="S2671" i="11"/>
  <c r="X2671" i="11"/>
  <c r="Y2671" i="11"/>
  <c r="Z2671" i="11"/>
  <c r="AA2671" i="11"/>
  <c r="P2672" i="11"/>
  <c r="R2672" i="11"/>
  <c r="S2672" i="11"/>
  <c r="X2672" i="11"/>
  <c r="Y2672" i="11"/>
  <c r="Z2672" i="11"/>
  <c r="AA2672" i="11"/>
  <c r="P2673" i="11"/>
  <c r="R2673" i="11"/>
  <c r="S2673" i="11"/>
  <c r="X2673" i="11"/>
  <c r="Y2673" i="11"/>
  <c r="Z2673" i="11"/>
  <c r="AA2673" i="11"/>
  <c r="P2674" i="11"/>
  <c r="R2674" i="11"/>
  <c r="S2674" i="11"/>
  <c r="X2674" i="11"/>
  <c r="Y2674" i="11"/>
  <c r="Z2674" i="11"/>
  <c r="AA2674" i="11"/>
  <c r="P2675" i="11"/>
  <c r="R2675" i="11"/>
  <c r="S2675" i="11"/>
  <c r="X2675" i="11"/>
  <c r="Y2675" i="11"/>
  <c r="Z2675" i="11"/>
  <c r="AA2675" i="11"/>
  <c r="P2676" i="11"/>
  <c r="R2676" i="11"/>
  <c r="S2676" i="11"/>
  <c r="X2676" i="11"/>
  <c r="Y2676" i="11"/>
  <c r="Z2676" i="11"/>
  <c r="AA2676" i="11"/>
  <c r="P2677" i="11"/>
  <c r="R2677" i="11"/>
  <c r="S2677" i="11"/>
  <c r="X2677" i="11"/>
  <c r="Y2677" i="11"/>
  <c r="Z2677" i="11"/>
  <c r="AA2677" i="11"/>
  <c r="P2678" i="11"/>
  <c r="R2678" i="11"/>
  <c r="S2678" i="11"/>
  <c r="X2678" i="11"/>
  <c r="Y2678" i="11"/>
  <c r="Z2678" i="11"/>
  <c r="AA2678" i="11"/>
  <c r="P2679" i="11"/>
  <c r="R2679" i="11"/>
  <c r="S2679" i="11"/>
  <c r="X2679" i="11"/>
  <c r="Y2679" i="11"/>
  <c r="Z2679" i="11"/>
  <c r="AA2679" i="11"/>
  <c r="P2680" i="11"/>
  <c r="R2680" i="11"/>
  <c r="S2680" i="11"/>
  <c r="X2680" i="11"/>
  <c r="Y2680" i="11"/>
  <c r="Z2680" i="11"/>
  <c r="AA2680" i="11"/>
  <c r="P2681" i="11"/>
  <c r="R2681" i="11"/>
  <c r="S2681" i="11"/>
  <c r="X2681" i="11"/>
  <c r="Y2681" i="11"/>
  <c r="Z2681" i="11"/>
  <c r="AA2681" i="11"/>
  <c r="P2682" i="11"/>
  <c r="R2682" i="11"/>
  <c r="S2682" i="11"/>
  <c r="X2682" i="11"/>
  <c r="Y2682" i="11"/>
  <c r="Z2682" i="11"/>
  <c r="AA2682" i="11"/>
  <c r="P2683" i="11"/>
  <c r="R2683" i="11"/>
  <c r="S2683" i="11"/>
  <c r="X2683" i="11"/>
  <c r="Y2683" i="11"/>
  <c r="Z2683" i="11"/>
  <c r="AA2683" i="11"/>
  <c r="P2684" i="11"/>
  <c r="R2684" i="11"/>
  <c r="S2684" i="11"/>
  <c r="X2684" i="11"/>
  <c r="Y2684" i="11"/>
  <c r="Z2684" i="11"/>
  <c r="AA2684" i="11"/>
  <c r="P2685" i="11"/>
  <c r="R2685" i="11"/>
  <c r="S2685" i="11"/>
  <c r="X2685" i="11"/>
  <c r="Y2685" i="11"/>
  <c r="Z2685" i="11"/>
  <c r="AA2685" i="11"/>
  <c r="P2686" i="11"/>
  <c r="R2686" i="11"/>
  <c r="S2686" i="11"/>
  <c r="X2686" i="11"/>
  <c r="Y2686" i="11"/>
  <c r="Z2686" i="11"/>
  <c r="AA2686" i="11"/>
  <c r="P2687" i="11"/>
  <c r="R2687" i="11"/>
  <c r="S2687" i="11"/>
  <c r="X2687" i="11"/>
  <c r="Y2687" i="11"/>
  <c r="Z2687" i="11"/>
  <c r="AA2687" i="11"/>
  <c r="P2688" i="11"/>
  <c r="R2688" i="11"/>
  <c r="S2688" i="11"/>
  <c r="X2688" i="11"/>
  <c r="Y2688" i="11"/>
  <c r="Z2688" i="11"/>
  <c r="AA2688" i="11"/>
  <c r="P2689" i="11"/>
  <c r="R2689" i="11"/>
  <c r="S2689" i="11"/>
  <c r="X2689" i="11"/>
  <c r="Y2689" i="11"/>
  <c r="Z2689" i="11"/>
  <c r="AA2689" i="11"/>
  <c r="P2690" i="11"/>
  <c r="R2690" i="11"/>
  <c r="S2690" i="11"/>
  <c r="X2690" i="11"/>
  <c r="Y2690" i="11"/>
  <c r="Z2690" i="11"/>
  <c r="AA2690" i="11"/>
  <c r="P2691" i="11"/>
  <c r="R2691" i="11"/>
  <c r="S2691" i="11"/>
  <c r="X2691" i="11"/>
  <c r="Y2691" i="11"/>
  <c r="Z2691" i="11"/>
  <c r="AA2691" i="11"/>
  <c r="P2692" i="11"/>
  <c r="R2692" i="11"/>
  <c r="S2692" i="11"/>
  <c r="X2692" i="11"/>
  <c r="Y2692" i="11"/>
  <c r="Z2692" i="11"/>
  <c r="AA2692" i="11"/>
  <c r="P2693" i="11"/>
  <c r="R2693" i="11"/>
  <c r="S2693" i="11"/>
  <c r="X2693" i="11"/>
  <c r="Y2693" i="11"/>
  <c r="Z2693" i="11"/>
  <c r="AA2693" i="11"/>
  <c r="P2694" i="11"/>
  <c r="R2694" i="11"/>
  <c r="S2694" i="11"/>
  <c r="X2694" i="11"/>
  <c r="Y2694" i="11"/>
  <c r="Z2694" i="11"/>
  <c r="AA2694" i="11"/>
  <c r="P2695" i="11"/>
  <c r="R2695" i="11"/>
  <c r="S2695" i="11"/>
  <c r="X2695" i="11"/>
  <c r="Y2695" i="11"/>
  <c r="Z2695" i="11"/>
  <c r="AA2695" i="11"/>
  <c r="P2696" i="11"/>
  <c r="R2696" i="11"/>
  <c r="S2696" i="11"/>
  <c r="X2696" i="11"/>
  <c r="Y2696" i="11"/>
  <c r="Z2696" i="11"/>
  <c r="AA2696" i="11"/>
  <c r="P2697" i="11"/>
  <c r="R2697" i="11"/>
  <c r="S2697" i="11"/>
  <c r="X2697" i="11"/>
  <c r="Y2697" i="11"/>
  <c r="Z2697" i="11"/>
  <c r="AA2697" i="11"/>
  <c r="P2698" i="11"/>
  <c r="R2698" i="11"/>
  <c r="S2698" i="11"/>
  <c r="X2698" i="11"/>
  <c r="Y2698" i="11"/>
  <c r="Z2698" i="11"/>
  <c r="AA2698" i="11"/>
  <c r="P2699" i="11"/>
  <c r="R2699" i="11"/>
  <c r="S2699" i="11"/>
  <c r="X2699" i="11"/>
  <c r="Y2699" i="11"/>
  <c r="Z2699" i="11"/>
  <c r="AA2699" i="11"/>
  <c r="P2700" i="11"/>
  <c r="R2700" i="11"/>
  <c r="S2700" i="11"/>
  <c r="X2700" i="11"/>
  <c r="Y2700" i="11"/>
  <c r="Z2700" i="11"/>
  <c r="AA2700" i="11"/>
  <c r="P2701" i="11"/>
  <c r="R2701" i="11"/>
  <c r="S2701" i="11"/>
  <c r="X2701" i="11"/>
  <c r="Y2701" i="11"/>
  <c r="Z2701" i="11"/>
  <c r="AA2701" i="11"/>
  <c r="P2702" i="11"/>
  <c r="R2702" i="11"/>
  <c r="S2702" i="11"/>
  <c r="X2702" i="11"/>
  <c r="Y2702" i="11"/>
  <c r="Z2702" i="11"/>
  <c r="AA2702" i="11"/>
  <c r="P2703" i="11"/>
  <c r="R2703" i="11"/>
  <c r="S2703" i="11"/>
  <c r="X2703" i="11"/>
  <c r="Y2703" i="11"/>
  <c r="Z2703" i="11"/>
  <c r="AA2703" i="11"/>
  <c r="P2704" i="11"/>
  <c r="R2704" i="11"/>
  <c r="S2704" i="11"/>
  <c r="X2704" i="11"/>
  <c r="Y2704" i="11"/>
  <c r="Z2704" i="11"/>
  <c r="AA2704" i="11"/>
  <c r="P2705" i="11"/>
  <c r="R2705" i="11"/>
  <c r="S2705" i="11"/>
  <c r="X2705" i="11"/>
  <c r="Y2705" i="11"/>
  <c r="Z2705" i="11"/>
  <c r="AA2705" i="11"/>
  <c r="P2706" i="11"/>
  <c r="R2706" i="11"/>
  <c r="S2706" i="11"/>
  <c r="X2706" i="11"/>
  <c r="Y2706" i="11"/>
  <c r="Z2706" i="11"/>
  <c r="AA2706" i="11"/>
  <c r="P2707" i="11"/>
  <c r="R2707" i="11"/>
  <c r="S2707" i="11"/>
  <c r="X2707" i="11"/>
  <c r="Y2707" i="11"/>
  <c r="Z2707" i="11"/>
  <c r="AA2707" i="11"/>
  <c r="P2708" i="11"/>
  <c r="R2708" i="11"/>
  <c r="S2708" i="11"/>
  <c r="X2708" i="11"/>
  <c r="Y2708" i="11"/>
  <c r="Z2708" i="11"/>
  <c r="AA2708" i="11"/>
  <c r="P2709" i="11"/>
  <c r="R2709" i="11"/>
  <c r="S2709" i="11"/>
  <c r="X2709" i="11"/>
  <c r="Y2709" i="11"/>
  <c r="Z2709" i="11"/>
  <c r="AA2709" i="11"/>
  <c r="P2710" i="11"/>
  <c r="R2710" i="11"/>
  <c r="S2710" i="11"/>
  <c r="X2710" i="11"/>
  <c r="Y2710" i="11"/>
  <c r="Z2710" i="11"/>
  <c r="AA2710" i="11"/>
  <c r="P2711" i="11"/>
  <c r="R2711" i="11"/>
  <c r="S2711" i="11"/>
  <c r="X2711" i="11"/>
  <c r="Y2711" i="11"/>
  <c r="Z2711" i="11"/>
  <c r="AA2711" i="11"/>
  <c r="P2712" i="11"/>
  <c r="R2712" i="11"/>
  <c r="S2712" i="11"/>
  <c r="X2712" i="11"/>
  <c r="Y2712" i="11"/>
  <c r="Z2712" i="11"/>
  <c r="AA2712" i="11"/>
  <c r="P2713" i="11"/>
  <c r="R2713" i="11"/>
  <c r="S2713" i="11"/>
  <c r="X2713" i="11"/>
  <c r="Y2713" i="11"/>
  <c r="Z2713" i="11"/>
  <c r="AA2713" i="11"/>
  <c r="P2714" i="11"/>
  <c r="R2714" i="11"/>
  <c r="S2714" i="11"/>
  <c r="X2714" i="11"/>
  <c r="Y2714" i="11"/>
  <c r="Z2714" i="11"/>
  <c r="AA2714" i="11"/>
  <c r="P2715" i="11"/>
  <c r="R2715" i="11"/>
  <c r="S2715" i="11"/>
  <c r="X2715" i="11"/>
  <c r="Y2715" i="11"/>
  <c r="Z2715" i="11"/>
  <c r="AA2715" i="11"/>
  <c r="P2716" i="11"/>
  <c r="R2716" i="11"/>
  <c r="S2716" i="11"/>
  <c r="X2716" i="11"/>
  <c r="Y2716" i="11"/>
  <c r="Z2716" i="11"/>
  <c r="AA2716" i="11"/>
  <c r="P2717" i="11"/>
  <c r="R2717" i="11"/>
  <c r="S2717" i="11"/>
  <c r="X2717" i="11"/>
  <c r="Y2717" i="11"/>
  <c r="Z2717" i="11"/>
  <c r="AA2717" i="11"/>
  <c r="P2718" i="11"/>
  <c r="R2718" i="11"/>
  <c r="S2718" i="11"/>
  <c r="X2718" i="11"/>
  <c r="Y2718" i="11"/>
  <c r="Z2718" i="11"/>
  <c r="AA2718" i="11"/>
  <c r="P2719" i="11"/>
  <c r="R2719" i="11"/>
  <c r="S2719" i="11"/>
  <c r="X2719" i="11"/>
  <c r="Y2719" i="11"/>
  <c r="Z2719" i="11"/>
  <c r="AA2719" i="11"/>
  <c r="P2720" i="11"/>
  <c r="R2720" i="11"/>
  <c r="S2720" i="11"/>
  <c r="X2720" i="11"/>
  <c r="Y2720" i="11"/>
  <c r="Z2720" i="11"/>
  <c r="AA2720" i="11"/>
  <c r="P2721" i="11"/>
  <c r="R2721" i="11"/>
  <c r="S2721" i="11"/>
  <c r="X2721" i="11"/>
  <c r="Y2721" i="11"/>
  <c r="Z2721" i="11"/>
  <c r="AA2721" i="11"/>
  <c r="P2722" i="11"/>
  <c r="R2722" i="11"/>
  <c r="S2722" i="11"/>
  <c r="X2722" i="11"/>
  <c r="Y2722" i="11"/>
  <c r="Z2722" i="11"/>
  <c r="AA2722" i="11"/>
  <c r="P2723" i="11"/>
  <c r="R2723" i="11"/>
  <c r="S2723" i="11"/>
  <c r="X2723" i="11"/>
  <c r="Y2723" i="11"/>
  <c r="Z2723" i="11"/>
  <c r="AA2723" i="11"/>
  <c r="P2724" i="11"/>
  <c r="R2724" i="11"/>
  <c r="S2724" i="11"/>
  <c r="X2724" i="11"/>
  <c r="Y2724" i="11"/>
  <c r="Z2724" i="11"/>
  <c r="AA2724" i="11"/>
  <c r="P2725" i="11"/>
  <c r="R2725" i="11"/>
  <c r="S2725" i="11"/>
  <c r="X2725" i="11"/>
  <c r="Y2725" i="11"/>
  <c r="Z2725" i="11"/>
  <c r="AA2725" i="11"/>
  <c r="P2726" i="11"/>
  <c r="R2726" i="11"/>
  <c r="S2726" i="11"/>
  <c r="X2726" i="11"/>
  <c r="Y2726" i="11"/>
  <c r="Z2726" i="11"/>
  <c r="AA2726" i="11"/>
  <c r="P2727" i="11"/>
  <c r="R2727" i="11"/>
  <c r="S2727" i="11"/>
  <c r="X2727" i="11"/>
  <c r="Y2727" i="11"/>
  <c r="Z2727" i="11"/>
  <c r="AA2727" i="11"/>
  <c r="P2728" i="11"/>
  <c r="R2728" i="11"/>
  <c r="S2728" i="11"/>
  <c r="X2728" i="11"/>
  <c r="Y2728" i="11"/>
  <c r="Z2728" i="11"/>
  <c r="AA2728" i="11"/>
  <c r="P2729" i="11"/>
  <c r="R2729" i="11"/>
  <c r="S2729" i="11"/>
  <c r="X2729" i="11"/>
  <c r="Y2729" i="11"/>
  <c r="Z2729" i="11"/>
  <c r="AA2729" i="11"/>
  <c r="P2730" i="11"/>
  <c r="R2730" i="11"/>
  <c r="S2730" i="11"/>
  <c r="X2730" i="11"/>
  <c r="Y2730" i="11"/>
  <c r="Z2730" i="11"/>
  <c r="AA2730" i="11"/>
  <c r="P2731" i="11"/>
  <c r="R2731" i="11"/>
  <c r="S2731" i="11"/>
  <c r="X2731" i="11"/>
  <c r="Y2731" i="11"/>
  <c r="Z2731" i="11"/>
  <c r="AA2731" i="11"/>
  <c r="P2732" i="11"/>
  <c r="R2732" i="11"/>
  <c r="S2732" i="11"/>
  <c r="X2732" i="11"/>
  <c r="Y2732" i="11"/>
  <c r="Z2732" i="11"/>
  <c r="AA2732" i="11"/>
  <c r="P2733" i="11"/>
  <c r="R2733" i="11"/>
  <c r="S2733" i="11"/>
  <c r="X2733" i="11"/>
  <c r="Y2733" i="11"/>
  <c r="Z2733" i="11"/>
  <c r="AA2733" i="11"/>
  <c r="P2734" i="11"/>
  <c r="R2734" i="11"/>
  <c r="S2734" i="11"/>
  <c r="X2734" i="11"/>
  <c r="Y2734" i="11"/>
  <c r="Z2734" i="11"/>
  <c r="AA2734" i="11"/>
  <c r="P2735" i="11"/>
  <c r="R2735" i="11"/>
  <c r="S2735" i="11"/>
  <c r="X2735" i="11"/>
  <c r="Y2735" i="11"/>
  <c r="Z2735" i="11"/>
  <c r="AA2735" i="11"/>
  <c r="P2736" i="11"/>
  <c r="R2736" i="11"/>
  <c r="S2736" i="11"/>
  <c r="X2736" i="11"/>
  <c r="Y2736" i="11"/>
  <c r="Z2736" i="11"/>
  <c r="AA2736" i="11"/>
  <c r="P2737" i="11"/>
  <c r="R2737" i="11"/>
  <c r="S2737" i="11"/>
  <c r="X2737" i="11"/>
  <c r="Y2737" i="11"/>
  <c r="Z2737" i="11"/>
  <c r="AA2737" i="11"/>
  <c r="P2738" i="11"/>
  <c r="R2738" i="11"/>
  <c r="S2738" i="11"/>
  <c r="X2738" i="11"/>
  <c r="Y2738" i="11"/>
  <c r="Z2738" i="11"/>
  <c r="AA2738" i="11"/>
  <c r="P2739" i="11"/>
  <c r="R2739" i="11"/>
  <c r="S2739" i="11"/>
  <c r="X2739" i="11"/>
  <c r="Y2739" i="11"/>
  <c r="Z2739" i="11"/>
  <c r="AA2739" i="11"/>
  <c r="P2740" i="11"/>
  <c r="R2740" i="11"/>
  <c r="S2740" i="11"/>
  <c r="X2740" i="11"/>
  <c r="Y2740" i="11"/>
  <c r="Z2740" i="11"/>
  <c r="AA2740" i="11"/>
  <c r="P2741" i="11"/>
  <c r="R2741" i="11"/>
  <c r="S2741" i="11"/>
  <c r="X2741" i="11"/>
  <c r="Y2741" i="11"/>
  <c r="Z2741" i="11"/>
  <c r="AA2741" i="11"/>
  <c r="P2742" i="11"/>
  <c r="R2742" i="11"/>
  <c r="S2742" i="11"/>
  <c r="X2742" i="11"/>
  <c r="Y2742" i="11"/>
  <c r="Z2742" i="11"/>
  <c r="AA2742" i="11"/>
  <c r="P2743" i="11"/>
  <c r="R2743" i="11"/>
  <c r="S2743" i="11"/>
  <c r="X2743" i="11"/>
  <c r="Y2743" i="11"/>
  <c r="Z2743" i="11"/>
  <c r="AA2743" i="11"/>
  <c r="P2744" i="11"/>
  <c r="R2744" i="11"/>
  <c r="S2744" i="11"/>
  <c r="X2744" i="11"/>
  <c r="Y2744" i="11"/>
  <c r="Z2744" i="11"/>
  <c r="AA2744" i="11"/>
  <c r="P2745" i="11"/>
  <c r="R2745" i="11"/>
  <c r="S2745" i="11"/>
  <c r="X2745" i="11"/>
  <c r="Y2745" i="11"/>
  <c r="Z2745" i="11"/>
  <c r="AA2745" i="11"/>
  <c r="P2746" i="11"/>
  <c r="R2746" i="11"/>
  <c r="S2746" i="11"/>
  <c r="X2746" i="11"/>
  <c r="Y2746" i="11"/>
  <c r="Z2746" i="11"/>
  <c r="AA2746" i="11"/>
  <c r="P2747" i="11"/>
  <c r="R2747" i="11"/>
  <c r="S2747" i="11"/>
  <c r="X2747" i="11"/>
  <c r="Y2747" i="11"/>
  <c r="Z2747" i="11"/>
  <c r="AA2747" i="11"/>
  <c r="P2748" i="11"/>
  <c r="R2748" i="11"/>
  <c r="S2748" i="11"/>
  <c r="X2748" i="11"/>
  <c r="Y2748" i="11"/>
  <c r="Z2748" i="11"/>
  <c r="AA2748" i="11"/>
  <c r="P2749" i="11"/>
  <c r="R2749" i="11"/>
  <c r="S2749" i="11"/>
  <c r="X2749" i="11"/>
  <c r="Y2749" i="11"/>
  <c r="Z2749" i="11"/>
  <c r="AA2749" i="11"/>
  <c r="P2750" i="11"/>
  <c r="R2750" i="11"/>
  <c r="S2750" i="11"/>
  <c r="X2750" i="11"/>
  <c r="Y2750" i="11"/>
  <c r="Z2750" i="11"/>
  <c r="AA2750" i="11"/>
  <c r="P2751" i="11"/>
  <c r="R2751" i="11"/>
  <c r="S2751" i="11"/>
  <c r="X2751" i="11"/>
  <c r="Y2751" i="11"/>
  <c r="Z2751" i="11"/>
  <c r="AA2751" i="11"/>
  <c r="P2752" i="11"/>
  <c r="R2752" i="11"/>
  <c r="S2752" i="11"/>
  <c r="X2752" i="11"/>
  <c r="Y2752" i="11"/>
  <c r="Z2752" i="11"/>
  <c r="AA2752" i="11"/>
  <c r="P2753" i="11"/>
  <c r="R2753" i="11"/>
  <c r="S2753" i="11"/>
  <c r="X2753" i="11"/>
  <c r="Y2753" i="11"/>
  <c r="Z2753" i="11"/>
  <c r="AA2753" i="11"/>
  <c r="P2754" i="11"/>
  <c r="R2754" i="11"/>
  <c r="S2754" i="11"/>
  <c r="X2754" i="11"/>
  <c r="Y2754" i="11"/>
  <c r="Z2754" i="11"/>
  <c r="AA2754" i="11"/>
  <c r="P2755" i="11"/>
  <c r="R2755" i="11"/>
  <c r="S2755" i="11"/>
  <c r="X2755" i="11"/>
  <c r="Y2755" i="11"/>
  <c r="Z2755" i="11"/>
  <c r="AA2755" i="11"/>
  <c r="P2756" i="11"/>
  <c r="R2756" i="11"/>
  <c r="S2756" i="11"/>
  <c r="X2756" i="11"/>
  <c r="Y2756" i="11"/>
  <c r="Z2756" i="11"/>
  <c r="AA2756" i="11"/>
  <c r="P2757" i="11"/>
  <c r="R2757" i="11"/>
  <c r="S2757" i="11"/>
  <c r="X2757" i="11"/>
  <c r="Y2757" i="11"/>
  <c r="Z2757" i="11"/>
  <c r="AA2757" i="11"/>
  <c r="P2758" i="11"/>
  <c r="R2758" i="11"/>
  <c r="S2758" i="11"/>
  <c r="X2758" i="11"/>
  <c r="Y2758" i="11"/>
  <c r="Z2758" i="11"/>
  <c r="AA2758" i="11"/>
  <c r="P2759" i="11"/>
  <c r="R2759" i="11"/>
  <c r="S2759" i="11"/>
  <c r="X2759" i="11"/>
  <c r="Y2759" i="11"/>
  <c r="Z2759" i="11"/>
  <c r="AA2759" i="11"/>
  <c r="P2760" i="11"/>
  <c r="R2760" i="11"/>
  <c r="S2760" i="11"/>
  <c r="X2760" i="11"/>
  <c r="Y2760" i="11"/>
  <c r="Z2760" i="11"/>
  <c r="AA2760" i="11"/>
  <c r="P2761" i="11"/>
  <c r="R2761" i="11"/>
  <c r="S2761" i="11"/>
  <c r="X2761" i="11"/>
  <c r="Y2761" i="11"/>
  <c r="Z2761" i="11"/>
  <c r="AA2761" i="11"/>
  <c r="P2762" i="11"/>
  <c r="R2762" i="11"/>
  <c r="S2762" i="11"/>
  <c r="X2762" i="11"/>
  <c r="Y2762" i="11"/>
  <c r="Z2762" i="11"/>
  <c r="AA2762" i="11"/>
  <c r="P2763" i="11"/>
  <c r="R2763" i="11"/>
  <c r="S2763" i="11"/>
  <c r="X2763" i="11"/>
  <c r="Y2763" i="11"/>
  <c r="Z2763" i="11"/>
  <c r="AA2763" i="11"/>
  <c r="P2764" i="11"/>
  <c r="R2764" i="11"/>
  <c r="S2764" i="11"/>
  <c r="X2764" i="11"/>
  <c r="Y2764" i="11"/>
  <c r="Z2764" i="11"/>
  <c r="AA2764" i="11"/>
  <c r="P2765" i="11"/>
  <c r="R2765" i="11"/>
  <c r="S2765" i="11"/>
  <c r="X2765" i="11"/>
  <c r="Y2765" i="11"/>
  <c r="Z2765" i="11"/>
  <c r="AA2765" i="11"/>
  <c r="P2766" i="11"/>
  <c r="R2766" i="11"/>
  <c r="S2766" i="11"/>
  <c r="X2766" i="11"/>
  <c r="Y2766" i="11"/>
  <c r="Z2766" i="11"/>
  <c r="AA2766" i="11"/>
  <c r="P2767" i="11"/>
  <c r="R2767" i="11"/>
  <c r="S2767" i="11"/>
  <c r="X2767" i="11"/>
  <c r="Y2767" i="11"/>
  <c r="Z2767" i="11"/>
  <c r="AA2767" i="11"/>
  <c r="P2768" i="11"/>
  <c r="R2768" i="11"/>
  <c r="S2768" i="11"/>
  <c r="X2768" i="11"/>
  <c r="Y2768" i="11"/>
  <c r="Z2768" i="11"/>
  <c r="AA2768" i="11"/>
  <c r="P2769" i="11"/>
  <c r="R2769" i="11"/>
  <c r="S2769" i="11"/>
  <c r="X2769" i="11"/>
  <c r="Y2769" i="11"/>
  <c r="Z2769" i="11"/>
  <c r="AA2769" i="11"/>
  <c r="P2770" i="11"/>
  <c r="R2770" i="11"/>
  <c r="S2770" i="11"/>
  <c r="X2770" i="11"/>
  <c r="Y2770" i="11"/>
  <c r="Z2770" i="11"/>
  <c r="AA2770" i="11"/>
  <c r="P2771" i="11"/>
  <c r="R2771" i="11"/>
  <c r="S2771" i="11"/>
  <c r="X2771" i="11"/>
  <c r="Y2771" i="11"/>
  <c r="Z2771" i="11"/>
  <c r="AA2771" i="11"/>
  <c r="P2772" i="11"/>
  <c r="R2772" i="11"/>
  <c r="S2772" i="11"/>
  <c r="X2772" i="11"/>
  <c r="Y2772" i="11"/>
  <c r="Z2772" i="11"/>
  <c r="AA2772" i="11"/>
  <c r="P2773" i="11"/>
  <c r="R2773" i="11"/>
  <c r="S2773" i="11"/>
  <c r="X2773" i="11"/>
  <c r="Y2773" i="11"/>
  <c r="Z2773" i="11"/>
  <c r="AA2773" i="11"/>
  <c r="P2774" i="11"/>
  <c r="R2774" i="11"/>
  <c r="S2774" i="11"/>
  <c r="X2774" i="11"/>
  <c r="Y2774" i="11"/>
  <c r="Z2774" i="11"/>
  <c r="AA2774" i="11"/>
  <c r="P2775" i="11"/>
  <c r="R2775" i="11"/>
  <c r="S2775" i="11"/>
  <c r="X2775" i="11"/>
  <c r="Y2775" i="11"/>
  <c r="Z2775" i="11"/>
  <c r="AA2775" i="11"/>
  <c r="P2776" i="11"/>
  <c r="R2776" i="11"/>
  <c r="S2776" i="11"/>
  <c r="X2776" i="11"/>
  <c r="Y2776" i="11"/>
  <c r="Z2776" i="11"/>
  <c r="AA2776" i="11"/>
  <c r="P2777" i="11"/>
  <c r="R2777" i="11"/>
  <c r="S2777" i="11"/>
  <c r="X2777" i="11"/>
  <c r="Y2777" i="11"/>
  <c r="Z2777" i="11"/>
  <c r="AA2777" i="11"/>
  <c r="P2778" i="11"/>
  <c r="R2778" i="11"/>
  <c r="S2778" i="11"/>
  <c r="X2778" i="11"/>
  <c r="Y2778" i="11"/>
  <c r="Z2778" i="11"/>
  <c r="AA2778" i="11"/>
  <c r="P2779" i="11"/>
  <c r="R2779" i="11"/>
  <c r="S2779" i="11"/>
  <c r="X2779" i="11"/>
  <c r="Y2779" i="11"/>
  <c r="Z2779" i="11"/>
  <c r="AA2779" i="11"/>
  <c r="P2780" i="11"/>
  <c r="R2780" i="11"/>
  <c r="S2780" i="11"/>
  <c r="X2780" i="11"/>
  <c r="Y2780" i="11"/>
  <c r="Z2780" i="11"/>
  <c r="AA2780" i="11"/>
  <c r="P2781" i="11"/>
  <c r="R2781" i="11"/>
  <c r="S2781" i="11"/>
  <c r="X2781" i="11"/>
  <c r="Y2781" i="11"/>
  <c r="Z2781" i="11"/>
  <c r="AA2781" i="11"/>
  <c r="P2782" i="11"/>
  <c r="R2782" i="11"/>
  <c r="S2782" i="11"/>
  <c r="X2782" i="11"/>
  <c r="Y2782" i="11"/>
  <c r="Z2782" i="11"/>
  <c r="AA2782" i="11"/>
  <c r="P2783" i="11"/>
  <c r="R2783" i="11"/>
  <c r="S2783" i="11"/>
  <c r="X2783" i="11"/>
  <c r="Y2783" i="11"/>
  <c r="Z2783" i="11"/>
  <c r="AA2783" i="11"/>
  <c r="P2784" i="11"/>
  <c r="R2784" i="11"/>
  <c r="S2784" i="11"/>
  <c r="X2784" i="11"/>
  <c r="Y2784" i="11"/>
  <c r="Z2784" i="11"/>
  <c r="AA2784" i="11"/>
  <c r="P2785" i="11"/>
  <c r="R2785" i="11"/>
  <c r="S2785" i="11"/>
  <c r="X2785" i="11"/>
  <c r="Y2785" i="11"/>
  <c r="Z2785" i="11"/>
  <c r="AA2785" i="11"/>
  <c r="P2786" i="11"/>
  <c r="R2786" i="11"/>
  <c r="S2786" i="11"/>
  <c r="X2786" i="11"/>
  <c r="Y2786" i="11"/>
  <c r="Z2786" i="11"/>
  <c r="AA2786" i="11"/>
  <c r="P2787" i="11"/>
  <c r="R2787" i="11"/>
  <c r="S2787" i="11"/>
  <c r="X2787" i="11"/>
  <c r="Y2787" i="11"/>
  <c r="Z2787" i="11"/>
  <c r="AA2787" i="11"/>
  <c r="P2788" i="11"/>
  <c r="R2788" i="11"/>
  <c r="S2788" i="11"/>
  <c r="X2788" i="11"/>
  <c r="Y2788" i="11"/>
  <c r="Z2788" i="11"/>
  <c r="AA2788" i="11"/>
  <c r="P2789" i="11"/>
  <c r="R2789" i="11"/>
  <c r="S2789" i="11"/>
  <c r="X2789" i="11"/>
  <c r="Y2789" i="11"/>
  <c r="Z2789" i="11"/>
  <c r="AA2789" i="11"/>
  <c r="P2790" i="11"/>
  <c r="R2790" i="11"/>
  <c r="S2790" i="11"/>
  <c r="X2790" i="11"/>
  <c r="Y2790" i="11"/>
  <c r="Z2790" i="11"/>
  <c r="AA2790" i="11"/>
  <c r="P2791" i="11"/>
  <c r="R2791" i="11"/>
  <c r="S2791" i="11"/>
  <c r="X2791" i="11"/>
  <c r="Y2791" i="11"/>
  <c r="Z2791" i="11"/>
  <c r="AA2791" i="11"/>
  <c r="P2792" i="11"/>
  <c r="R2792" i="11"/>
  <c r="S2792" i="11"/>
  <c r="X2792" i="11"/>
  <c r="Y2792" i="11"/>
  <c r="Z2792" i="11"/>
  <c r="AA2792" i="11"/>
  <c r="P2793" i="11"/>
  <c r="R2793" i="11"/>
  <c r="S2793" i="11"/>
  <c r="X2793" i="11"/>
  <c r="Y2793" i="11"/>
  <c r="Z2793" i="11"/>
  <c r="AA2793" i="11"/>
  <c r="P2794" i="11"/>
  <c r="R2794" i="11"/>
  <c r="S2794" i="11"/>
  <c r="X2794" i="11"/>
  <c r="Y2794" i="11"/>
  <c r="Z2794" i="11"/>
  <c r="AA2794" i="11"/>
  <c r="P2795" i="11"/>
  <c r="R2795" i="11"/>
  <c r="S2795" i="11"/>
  <c r="X2795" i="11"/>
  <c r="Y2795" i="11"/>
  <c r="Z2795" i="11"/>
  <c r="AA2795" i="11"/>
  <c r="P2796" i="11"/>
  <c r="R2796" i="11"/>
  <c r="S2796" i="11"/>
  <c r="X2796" i="11"/>
  <c r="Y2796" i="11"/>
  <c r="Z2796" i="11"/>
  <c r="AA2796" i="11"/>
  <c r="P2797" i="11"/>
  <c r="R2797" i="11"/>
  <c r="S2797" i="11"/>
  <c r="X2797" i="11"/>
  <c r="Y2797" i="11"/>
  <c r="Z2797" i="11"/>
  <c r="AA2797" i="11"/>
  <c r="P2798" i="11"/>
  <c r="R2798" i="11"/>
  <c r="S2798" i="11"/>
  <c r="X2798" i="11"/>
  <c r="Y2798" i="11"/>
  <c r="Z2798" i="11"/>
  <c r="AA2798" i="11"/>
  <c r="P2799" i="11"/>
  <c r="R2799" i="11"/>
  <c r="S2799" i="11"/>
  <c r="X2799" i="11"/>
  <c r="Y2799" i="11"/>
  <c r="Z2799" i="11"/>
  <c r="AA2799" i="11"/>
  <c r="P2800" i="11"/>
  <c r="R2800" i="11"/>
  <c r="S2800" i="11"/>
  <c r="X2800" i="11"/>
  <c r="Y2800" i="11"/>
  <c r="Z2800" i="11"/>
  <c r="AA2800" i="11"/>
  <c r="P2801" i="11"/>
  <c r="R2801" i="11"/>
  <c r="S2801" i="11"/>
  <c r="X2801" i="11"/>
  <c r="Y2801" i="11"/>
  <c r="Z2801" i="11"/>
  <c r="AA2801" i="11"/>
  <c r="P2802" i="11"/>
  <c r="R2802" i="11"/>
  <c r="S2802" i="11"/>
  <c r="X2802" i="11"/>
  <c r="Y2802" i="11"/>
  <c r="Z2802" i="11"/>
  <c r="AA2802" i="11"/>
  <c r="P2803" i="11"/>
  <c r="R2803" i="11"/>
  <c r="S2803" i="11"/>
  <c r="X2803" i="11"/>
  <c r="Y2803" i="11"/>
  <c r="Z2803" i="11"/>
  <c r="AA2803" i="11"/>
  <c r="P2804" i="11"/>
  <c r="R2804" i="11"/>
  <c r="S2804" i="11"/>
  <c r="X2804" i="11"/>
  <c r="Y2804" i="11"/>
  <c r="Z2804" i="11"/>
  <c r="AA2804" i="11"/>
  <c r="P2805" i="11"/>
  <c r="R2805" i="11"/>
  <c r="S2805" i="11"/>
  <c r="X2805" i="11"/>
  <c r="Y2805" i="11"/>
  <c r="Z2805" i="11"/>
  <c r="AA2805" i="11"/>
  <c r="P2806" i="11"/>
  <c r="R2806" i="11"/>
  <c r="S2806" i="11"/>
  <c r="X2806" i="11"/>
  <c r="Y2806" i="11"/>
  <c r="Z2806" i="11"/>
  <c r="AA2806" i="11"/>
  <c r="P2807" i="11"/>
  <c r="R2807" i="11"/>
  <c r="S2807" i="11"/>
  <c r="X2807" i="11"/>
  <c r="Y2807" i="11"/>
  <c r="Z2807" i="11"/>
  <c r="AA2807" i="11"/>
  <c r="P2808" i="11"/>
  <c r="R2808" i="11"/>
  <c r="S2808" i="11"/>
  <c r="X2808" i="11"/>
  <c r="Y2808" i="11"/>
  <c r="Z2808" i="11"/>
  <c r="AA2808" i="11"/>
  <c r="P2809" i="11"/>
  <c r="R2809" i="11"/>
  <c r="S2809" i="11"/>
  <c r="X2809" i="11"/>
  <c r="Y2809" i="11"/>
  <c r="Z2809" i="11"/>
  <c r="AA2809" i="11"/>
  <c r="P2810" i="11"/>
  <c r="R2810" i="11"/>
  <c r="S2810" i="11"/>
  <c r="X2810" i="11"/>
  <c r="Y2810" i="11"/>
  <c r="Z2810" i="11"/>
  <c r="AA2810" i="11"/>
  <c r="P2811" i="11"/>
  <c r="R2811" i="11"/>
  <c r="S2811" i="11"/>
  <c r="X2811" i="11"/>
  <c r="Y2811" i="11"/>
  <c r="Z2811" i="11"/>
  <c r="AA2811" i="11"/>
  <c r="P2812" i="11"/>
  <c r="R2812" i="11"/>
  <c r="S2812" i="11"/>
  <c r="X2812" i="11"/>
  <c r="Y2812" i="11"/>
  <c r="Z2812" i="11"/>
  <c r="AA2812" i="11"/>
  <c r="P2813" i="11"/>
  <c r="R2813" i="11"/>
  <c r="S2813" i="11"/>
  <c r="X2813" i="11"/>
  <c r="Y2813" i="11"/>
  <c r="Z2813" i="11"/>
  <c r="AA2813" i="11"/>
  <c r="P2814" i="11"/>
  <c r="R2814" i="11"/>
  <c r="S2814" i="11"/>
  <c r="X2814" i="11"/>
  <c r="Y2814" i="11"/>
  <c r="Z2814" i="11"/>
  <c r="AA2814" i="11"/>
  <c r="P2815" i="11"/>
  <c r="R2815" i="11"/>
  <c r="S2815" i="11"/>
  <c r="X2815" i="11"/>
  <c r="Y2815" i="11"/>
  <c r="Z2815" i="11"/>
  <c r="AA2815" i="11"/>
  <c r="P2816" i="11"/>
  <c r="R2816" i="11"/>
  <c r="S2816" i="11"/>
  <c r="X2816" i="11"/>
  <c r="Y2816" i="11"/>
  <c r="Z2816" i="11"/>
  <c r="AA2816" i="11"/>
  <c r="P2817" i="11"/>
  <c r="R2817" i="11"/>
  <c r="S2817" i="11"/>
  <c r="X2817" i="11"/>
  <c r="Y2817" i="11"/>
  <c r="Z2817" i="11"/>
  <c r="AA2817" i="11"/>
  <c r="P2818" i="11"/>
  <c r="R2818" i="11"/>
  <c r="S2818" i="11"/>
  <c r="X2818" i="11"/>
  <c r="Y2818" i="11"/>
  <c r="Z2818" i="11"/>
  <c r="AA2818" i="11"/>
  <c r="P2819" i="11"/>
  <c r="R2819" i="11"/>
  <c r="S2819" i="11"/>
  <c r="X2819" i="11"/>
  <c r="Y2819" i="11"/>
  <c r="Z2819" i="11"/>
  <c r="AA2819" i="11"/>
  <c r="P2820" i="11"/>
  <c r="R2820" i="11"/>
  <c r="S2820" i="11"/>
  <c r="X2820" i="11"/>
  <c r="Y2820" i="11"/>
  <c r="Z2820" i="11"/>
  <c r="AA2820" i="11"/>
  <c r="P2821" i="11"/>
  <c r="R2821" i="11"/>
  <c r="S2821" i="11"/>
  <c r="X2821" i="11"/>
  <c r="Y2821" i="11"/>
  <c r="Z2821" i="11"/>
  <c r="AA2821" i="11"/>
  <c r="P2822" i="11"/>
  <c r="R2822" i="11"/>
  <c r="S2822" i="11"/>
  <c r="X2822" i="11"/>
  <c r="Y2822" i="11"/>
  <c r="Z2822" i="11"/>
  <c r="AA2822" i="11"/>
  <c r="P2823" i="11"/>
  <c r="R2823" i="11"/>
  <c r="S2823" i="11"/>
  <c r="X2823" i="11"/>
  <c r="Y2823" i="11"/>
  <c r="Z2823" i="11"/>
  <c r="AA2823" i="11"/>
  <c r="P2824" i="11"/>
  <c r="R2824" i="11"/>
  <c r="S2824" i="11"/>
  <c r="X2824" i="11"/>
  <c r="Y2824" i="11"/>
  <c r="Z2824" i="11"/>
  <c r="AA2824" i="11"/>
  <c r="P2825" i="11"/>
  <c r="R2825" i="11"/>
  <c r="S2825" i="11"/>
  <c r="X2825" i="11"/>
  <c r="Y2825" i="11"/>
  <c r="Z2825" i="11"/>
  <c r="AA2825" i="11"/>
  <c r="P2826" i="11"/>
  <c r="R2826" i="11"/>
  <c r="S2826" i="11"/>
  <c r="X2826" i="11"/>
  <c r="Y2826" i="11"/>
  <c r="Z2826" i="11"/>
  <c r="AA2826" i="11"/>
  <c r="P2827" i="11"/>
  <c r="R2827" i="11"/>
  <c r="S2827" i="11"/>
  <c r="X2827" i="11"/>
  <c r="Y2827" i="11"/>
  <c r="Z2827" i="11"/>
  <c r="AA2827" i="11"/>
  <c r="P2828" i="11"/>
  <c r="R2828" i="11"/>
  <c r="S2828" i="11"/>
  <c r="X2828" i="11"/>
  <c r="Y2828" i="11"/>
  <c r="Z2828" i="11"/>
  <c r="AA2828" i="11"/>
  <c r="P2829" i="11"/>
  <c r="R2829" i="11"/>
  <c r="S2829" i="11"/>
  <c r="X2829" i="11"/>
  <c r="Y2829" i="11"/>
  <c r="Z2829" i="11"/>
  <c r="AA2829" i="11"/>
  <c r="P2830" i="11"/>
  <c r="R2830" i="11"/>
  <c r="S2830" i="11"/>
  <c r="X2830" i="11"/>
  <c r="Y2830" i="11"/>
  <c r="Z2830" i="11"/>
  <c r="AA2830" i="11"/>
  <c r="P2831" i="11"/>
  <c r="R2831" i="11"/>
  <c r="S2831" i="11"/>
  <c r="X2831" i="11"/>
  <c r="Y2831" i="11"/>
  <c r="Z2831" i="11"/>
  <c r="AA2831" i="11"/>
  <c r="P2832" i="11"/>
  <c r="R2832" i="11"/>
  <c r="S2832" i="11"/>
  <c r="X2832" i="11"/>
  <c r="Y2832" i="11"/>
  <c r="Z2832" i="11"/>
  <c r="AA2832" i="11"/>
  <c r="P2833" i="11"/>
  <c r="R2833" i="11"/>
  <c r="S2833" i="11"/>
  <c r="X2833" i="11"/>
  <c r="Y2833" i="11"/>
  <c r="Z2833" i="11"/>
  <c r="AA2833" i="11"/>
  <c r="P2834" i="11"/>
  <c r="R2834" i="11"/>
  <c r="S2834" i="11"/>
  <c r="X2834" i="11"/>
  <c r="Y2834" i="11"/>
  <c r="Z2834" i="11"/>
  <c r="AA2834" i="11"/>
  <c r="P2835" i="11"/>
  <c r="R2835" i="11"/>
  <c r="S2835" i="11"/>
  <c r="X2835" i="11"/>
  <c r="Y2835" i="11"/>
  <c r="Z2835" i="11"/>
  <c r="AA2835" i="11"/>
  <c r="P2836" i="11"/>
  <c r="R2836" i="11"/>
  <c r="S2836" i="11"/>
  <c r="X2836" i="11"/>
  <c r="Y2836" i="11"/>
  <c r="Z2836" i="11"/>
  <c r="AA2836" i="11"/>
  <c r="P2837" i="11"/>
  <c r="R2837" i="11"/>
  <c r="S2837" i="11"/>
  <c r="X2837" i="11"/>
  <c r="Y2837" i="11"/>
  <c r="Z2837" i="11"/>
  <c r="AA2837" i="11"/>
  <c r="P2838" i="11"/>
  <c r="R2838" i="11"/>
  <c r="S2838" i="11"/>
  <c r="X2838" i="11"/>
  <c r="Y2838" i="11"/>
  <c r="Z2838" i="11"/>
  <c r="AA2838" i="11"/>
  <c r="P2839" i="11"/>
  <c r="R2839" i="11"/>
  <c r="S2839" i="11"/>
  <c r="X2839" i="11"/>
  <c r="Y2839" i="11"/>
  <c r="Z2839" i="11"/>
  <c r="AA2839" i="11"/>
  <c r="P2840" i="11"/>
  <c r="R2840" i="11"/>
  <c r="S2840" i="11"/>
  <c r="X2840" i="11"/>
  <c r="Y2840" i="11"/>
  <c r="Z2840" i="11"/>
  <c r="AA2840" i="11"/>
  <c r="P2841" i="11"/>
  <c r="R2841" i="11"/>
  <c r="S2841" i="11"/>
  <c r="X2841" i="11"/>
  <c r="Y2841" i="11"/>
  <c r="Z2841" i="11"/>
  <c r="AA2841" i="11"/>
  <c r="P2842" i="11"/>
  <c r="R2842" i="11"/>
  <c r="S2842" i="11"/>
  <c r="X2842" i="11"/>
  <c r="Y2842" i="11"/>
  <c r="Z2842" i="11"/>
  <c r="AA2842" i="11"/>
  <c r="P2843" i="11"/>
  <c r="R2843" i="11"/>
  <c r="S2843" i="11"/>
  <c r="X2843" i="11"/>
  <c r="Y2843" i="11"/>
  <c r="Z2843" i="11"/>
  <c r="AA2843" i="11"/>
  <c r="P2844" i="11"/>
  <c r="R2844" i="11"/>
  <c r="S2844" i="11"/>
  <c r="X2844" i="11"/>
  <c r="Y2844" i="11"/>
  <c r="Z2844" i="11"/>
  <c r="AA2844" i="11"/>
  <c r="P2845" i="11"/>
  <c r="R2845" i="11"/>
  <c r="S2845" i="11"/>
  <c r="X2845" i="11"/>
  <c r="Y2845" i="11"/>
  <c r="Z2845" i="11"/>
  <c r="AA2845" i="11"/>
  <c r="P2846" i="11"/>
  <c r="R2846" i="11"/>
  <c r="S2846" i="11"/>
  <c r="X2846" i="11"/>
  <c r="Y2846" i="11"/>
  <c r="Z2846" i="11"/>
  <c r="AA2846" i="11"/>
  <c r="P2847" i="11"/>
  <c r="R2847" i="11"/>
  <c r="S2847" i="11"/>
  <c r="X2847" i="11"/>
  <c r="Y2847" i="11"/>
  <c r="Z2847" i="11"/>
  <c r="AA2847" i="11"/>
  <c r="P2848" i="11"/>
  <c r="R2848" i="11"/>
  <c r="S2848" i="11"/>
  <c r="X2848" i="11"/>
  <c r="Y2848" i="11"/>
  <c r="Z2848" i="11"/>
  <c r="AA2848" i="11"/>
  <c r="P2849" i="11"/>
  <c r="R2849" i="11"/>
  <c r="S2849" i="11"/>
  <c r="X2849" i="11"/>
  <c r="Y2849" i="11"/>
  <c r="Z2849" i="11"/>
  <c r="AA2849" i="11"/>
  <c r="P2850" i="11"/>
  <c r="R2850" i="11"/>
  <c r="S2850" i="11"/>
  <c r="X2850" i="11"/>
  <c r="Y2850" i="11"/>
  <c r="Z2850" i="11"/>
  <c r="AA2850" i="11"/>
  <c r="P2851" i="11"/>
  <c r="R2851" i="11"/>
  <c r="S2851" i="11"/>
  <c r="X2851" i="11"/>
  <c r="Y2851" i="11"/>
  <c r="Z2851" i="11"/>
  <c r="AA2851" i="11"/>
  <c r="P2852" i="11"/>
  <c r="R2852" i="11"/>
  <c r="S2852" i="11"/>
  <c r="X2852" i="11"/>
  <c r="Y2852" i="11"/>
  <c r="Z2852" i="11"/>
  <c r="AA2852" i="11"/>
  <c r="P2853" i="11"/>
  <c r="R2853" i="11"/>
  <c r="S2853" i="11"/>
  <c r="X2853" i="11"/>
  <c r="Y2853" i="11"/>
  <c r="Z2853" i="11"/>
  <c r="AA2853" i="11"/>
  <c r="P2854" i="11"/>
  <c r="R2854" i="11"/>
  <c r="S2854" i="11"/>
  <c r="X2854" i="11"/>
  <c r="Y2854" i="11"/>
  <c r="Z2854" i="11"/>
  <c r="AA2854" i="11"/>
  <c r="P2855" i="11"/>
  <c r="R2855" i="11"/>
  <c r="S2855" i="11"/>
  <c r="X2855" i="11"/>
  <c r="Y2855" i="11"/>
  <c r="Z2855" i="11"/>
  <c r="AA2855" i="11"/>
  <c r="P2856" i="11"/>
  <c r="R2856" i="11"/>
  <c r="S2856" i="11"/>
  <c r="X2856" i="11"/>
  <c r="Y2856" i="11"/>
  <c r="Z2856" i="11"/>
  <c r="AA2856" i="11"/>
  <c r="P2857" i="11"/>
  <c r="R2857" i="11"/>
  <c r="S2857" i="11"/>
  <c r="X2857" i="11"/>
  <c r="Y2857" i="11"/>
  <c r="Z2857" i="11"/>
  <c r="AA2857" i="11"/>
  <c r="P2858" i="11"/>
  <c r="R2858" i="11"/>
  <c r="S2858" i="11"/>
  <c r="X2858" i="11"/>
  <c r="Y2858" i="11"/>
  <c r="Z2858" i="11"/>
  <c r="AA2858" i="11"/>
  <c r="P2859" i="11"/>
  <c r="R2859" i="11"/>
  <c r="S2859" i="11"/>
  <c r="X2859" i="11"/>
  <c r="Y2859" i="11"/>
  <c r="Z2859" i="11"/>
  <c r="AA2859" i="11"/>
  <c r="P2860" i="11"/>
  <c r="R2860" i="11"/>
  <c r="S2860" i="11"/>
  <c r="X2860" i="11"/>
  <c r="Y2860" i="11"/>
  <c r="Z2860" i="11"/>
  <c r="AA2860" i="11"/>
  <c r="P2861" i="11"/>
  <c r="R2861" i="11"/>
  <c r="S2861" i="11"/>
  <c r="X2861" i="11"/>
  <c r="Y2861" i="11"/>
  <c r="Z2861" i="11"/>
  <c r="AA2861" i="11"/>
  <c r="P2862" i="11"/>
  <c r="R2862" i="11"/>
  <c r="S2862" i="11"/>
  <c r="X2862" i="11"/>
  <c r="Y2862" i="11"/>
  <c r="Z2862" i="11"/>
  <c r="AA2862" i="11"/>
  <c r="P2863" i="11"/>
  <c r="R2863" i="11"/>
  <c r="S2863" i="11"/>
  <c r="X2863" i="11"/>
  <c r="Y2863" i="11"/>
  <c r="Z2863" i="11"/>
  <c r="AA2863" i="11"/>
  <c r="P2864" i="11"/>
  <c r="R2864" i="11"/>
  <c r="S2864" i="11"/>
  <c r="X2864" i="11"/>
  <c r="Y2864" i="11"/>
  <c r="Z2864" i="11"/>
  <c r="AA2864" i="11"/>
  <c r="P2865" i="11"/>
  <c r="R2865" i="11"/>
  <c r="S2865" i="11"/>
  <c r="X2865" i="11"/>
  <c r="Y2865" i="11"/>
  <c r="Z2865" i="11"/>
  <c r="AA2865" i="11"/>
  <c r="P2866" i="11"/>
  <c r="R2866" i="11"/>
  <c r="S2866" i="11"/>
  <c r="X2866" i="11"/>
  <c r="Y2866" i="11"/>
  <c r="Z2866" i="11"/>
  <c r="AA2866" i="11"/>
  <c r="P2867" i="11"/>
  <c r="R2867" i="11"/>
  <c r="S2867" i="11"/>
  <c r="X2867" i="11"/>
  <c r="Y2867" i="11"/>
  <c r="Z2867" i="11"/>
  <c r="AA2867" i="11"/>
  <c r="P2868" i="11"/>
  <c r="R2868" i="11"/>
  <c r="S2868" i="11"/>
  <c r="X2868" i="11"/>
  <c r="Y2868" i="11"/>
  <c r="Z2868" i="11"/>
  <c r="AA2868" i="11"/>
  <c r="P2869" i="11"/>
  <c r="R2869" i="11"/>
  <c r="S2869" i="11"/>
  <c r="X2869" i="11"/>
  <c r="Y2869" i="11"/>
  <c r="Z2869" i="11"/>
  <c r="AA2869" i="11"/>
  <c r="P2870" i="11"/>
  <c r="R2870" i="11"/>
  <c r="S2870" i="11"/>
  <c r="X2870" i="11"/>
  <c r="Y2870" i="11"/>
  <c r="Z2870" i="11"/>
  <c r="AA2870" i="11"/>
  <c r="P2871" i="11"/>
  <c r="R2871" i="11"/>
  <c r="S2871" i="11"/>
  <c r="X2871" i="11"/>
  <c r="Y2871" i="11"/>
  <c r="Z2871" i="11"/>
  <c r="AA2871" i="11"/>
  <c r="P2872" i="11"/>
  <c r="R2872" i="11"/>
  <c r="S2872" i="11"/>
  <c r="X2872" i="11"/>
  <c r="Y2872" i="11"/>
  <c r="Z2872" i="11"/>
  <c r="AA2872" i="11"/>
  <c r="P2873" i="11"/>
  <c r="R2873" i="11"/>
  <c r="S2873" i="11"/>
  <c r="X2873" i="11"/>
  <c r="Y2873" i="11"/>
  <c r="Z2873" i="11"/>
  <c r="AA2873" i="11"/>
  <c r="P2874" i="11"/>
  <c r="R2874" i="11"/>
  <c r="S2874" i="11"/>
  <c r="X2874" i="11"/>
  <c r="Y2874" i="11"/>
  <c r="Z2874" i="11"/>
  <c r="AA2874" i="11"/>
  <c r="P2875" i="11"/>
  <c r="R2875" i="11"/>
  <c r="S2875" i="11"/>
  <c r="X2875" i="11"/>
  <c r="Y2875" i="11"/>
  <c r="Z2875" i="11"/>
  <c r="AA2875" i="11"/>
  <c r="P2876" i="11"/>
  <c r="R2876" i="11"/>
  <c r="S2876" i="11"/>
  <c r="X2876" i="11"/>
  <c r="Y2876" i="11"/>
  <c r="Z2876" i="11"/>
  <c r="AA2876" i="11"/>
  <c r="P2877" i="11"/>
  <c r="R2877" i="11"/>
  <c r="S2877" i="11"/>
  <c r="X2877" i="11"/>
  <c r="Y2877" i="11"/>
  <c r="Z2877" i="11"/>
  <c r="AA2877" i="11"/>
  <c r="P2878" i="11"/>
  <c r="R2878" i="11"/>
  <c r="S2878" i="11"/>
  <c r="X2878" i="11"/>
  <c r="Y2878" i="11"/>
  <c r="Z2878" i="11"/>
  <c r="AA2878" i="11"/>
  <c r="P2879" i="11"/>
  <c r="R2879" i="11"/>
  <c r="S2879" i="11"/>
  <c r="X2879" i="11"/>
  <c r="Y2879" i="11"/>
  <c r="Z2879" i="11"/>
  <c r="AA2879" i="11"/>
  <c r="P2880" i="11"/>
  <c r="R2880" i="11"/>
  <c r="S2880" i="11"/>
  <c r="X2880" i="11"/>
  <c r="Y2880" i="11"/>
  <c r="Z2880" i="11"/>
  <c r="AA2880" i="11"/>
  <c r="P2881" i="11"/>
  <c r="R2881" i="11"/>
  <c r="S2881" i="11"/>
  <c r="X2881" i="11"/>
  <c r="Y2881" i="11"/>
  <c r="Z2881" i="11"/>
  <c r="AA2881" i="11"/>
  <c r="P2882" i="11"/>
  <c r="R2882" i="11"/>
  <c r="S2882" i="11"/>
  <c r="X2882" i="11"/>
  <c r="Y2882" i="11"/>
  <c r="Z2882" i="11"/>
  <c r="AA2882" i="11"/>
  <c r="P2883" i="11"/>
  <c r="R2883" i="11"/>
  <c r="S2883" i="11"/>
  <c r="X2883" i="11"/>
  <c r="Y2883" i="11"/>
  <c r="Z2883" i="11"/>
  <c r="AA2883" i="11"/>
  <c r="P2884" i="11"/>
  <c r="R2884" i="11"/>
  <c r="S2884" i="11"/>
  <c r="X2884" i="11"/>
  <c r="Y2884" i="11"/>
  <c r="Z2884" i="11"/>
  <c r="AA2884" i="11"/>
  <c r="P2885" i="11"/>
  <c r="R2885" i="11"/>
  <c r="S2885" i="11"/>
  <c r="X2885" i="11"/>
  <c r="Y2885" i="11"/>
  <c r="Z2885" i="11"/>
  <c r="AA2885" i="11"/>
  <c r="P2886" i="11"/>
  <c r="R2886" i="11"/>
  <c r="S2886" i="11"/>
  <c r="X2886" i="11"/>
  <c r="Y2886" i="11"/>
  <c r="Z2886" i="11"/>
  <c r="AA2886" i="11"/>
  <c r="P2887" i="11"/>
  <c r="R2887" i="11"/>
  <c r="S2887" i="11"/>
  <c r="X2887" i="11"/>
  <c r="Y2887" i="11"/>
  <c r="Z2887" i="11"/>
  <c r="AA2887" i="11"/>
  <c r="P2888" i="11"/>
  <c r="R2888" i="11"/>
  <c r="S2888" i="11"/>
  <c r="X2888" i="11"/>
  <c r="Y2888" i="11"/>
  <c r="Z2888" i="11"/>
  <c r="AA2888" i="11"/>
  <c r="P2889" i="11"/>
  <c r="R2889" i="11"/>
  <c r="S2889" i="11"/>
  <c r="X2889" i="11"/>
  <c r="Y2889" i="11"/>
  <c r="Z2889" i="11"/>
  <c r="AA2889" i="11"/>
  <c r="P2890" i="11"/>
  <c r="R2890" i="11"/>
  <c r="S2890" i="11"/>
  <c r="X2890" i="11"/>
  <c r="Y2890" i="11"/>
  <c r="Z2890" i="11"/>
  <c r="AA2890" i="11"/>
  <c r="P2891" i="11"/>
  <c r="R2891" i="11"/>
  <c r="S2891" i="11"/>
  <c r="X2891" i="11"/>
  <c r="Y2891" i="11"/>
  <c r="Z2891" i="11"/>
  <c r="AA2891" i="11"/>
  <c r="P2892" i="11"/>
  <c r="R2892" i="11"/>
  <c r="S2892" i="11"/>
  <c r="X2892" i="11"/>
  <c r="Y2892" i="11"/>
  <c r="Z2892" i="11"/>
  <c r="AA2892" i="11"/>
  <c r="P2893" i="11"/>
  <c r="R2893" i="11"/>
  <c r="S2893" i="11"/>
  <c r="X2893" i="11"/>
  <c r="Y2893" i="11"/>
  <c r="Z2893" i="11"/>
  <c r="AA2893" i="11"/>
  <c r="P2894" i="11"/>
  <c r="R2894" i="11"/>
  <c r="S2894" i="11"/>
  <c r="X2894" i="11"/>
  <c r="Y2894" i="11"/>
  <c r="Z2894" i="11"/>
  <c r="AA2894" i="11"/>
  <c r="P2895" i="11"/>
  <c r="R2895" i="11"/>
  <c r="S2895" i="11"/>
  <c r="X2895" i="11"/>
  <c r="Y2895" i="11"/>
  <c r="Z2895" i="11"/>
  <c r="AA2895" i="11"/>
  <c r="P2896" i="11"/>
  <c r="R2896" i="11"/>
  <c r="S2896" i="11"/>
  <c r="X2896" i="11"/>
  <c r="Y2896" i="11"/>
  <c r="Z2896" i="11"/>
  <c r="AA2896" i="11"/>
  <c r="P2897" i="11"/>
  <c r="R2897" i="11"/>
  <c r="S2897" i="11"/>
  <c r="X2897" i="11"/>
  <c r="Y2897" i="11"/>
  <c r="Z2897" i="11"/>
  <c r="AA2897" i="11"/>
  <c r="P2898" i="11"/>
  <c r="R2898" i="11"/>
  <c r="S2898" i="11"/>
  <c r="X2898" i="11"/>
  <c r="Y2898" i="11"/>
  <c r="Z2898" i="11"/>
  <c r="AA2898" i="11"/>
  <c r="P2899" i="11"/>
  <c r="R2899" i="11"/>
  <c r="S2899" i="11"/>
  <c r="X2899" i="11"/>
  <c r="Y2899" i="11"/>
  <c r="Z2899" i="11"/>
  <c r="AA2899" i="11"/>
  <c r="P2900" i="11"/>
  <c r="R2900" i="11"/>
  <c r="S2900" i="11"/>
  <c r="X2900" i="11"/>
  <c r="Y2900" i="11"/>
  <c r="Z2900" i="11"/>
  <c r="AA2900" i="11"/>
  <c r="P2901" i="11"/>
  <c r="R2901" i="11"/>
  <c r="S2901" i="11"/>
  <c r="X2901" i="11"/>
  <c r="Y2901" i="11"/>
  <c r="Z2901" i="11"/>
  <c r="AA2901" i="11"/>
  <c r="P2902" i="11"/>
  <c r="R2902" i="11"/>
  <c r="S2902" i="11"/>
  <c r="X2902" i="11"/>
  <c r="Y2902" i="11"/>
  <c r="Z2902" i="11"/>
  <c r="AA2902" i="11"/>
  <c r="P2903" i="11"/>
  <c r="R2903" i="11"/>
  <c r="S2903" i="11"/>
  <c r="X2903" i="11"/>
  <c r="Y2903" i="11"/>
  <c r="Z2903" i="11"/>
  <c r="AA2903" i="11"/>
  <c r="P2904" i="11"/>
  <c r="R2904" i="11"/>
  <c r="S2904" i="11"/>
  <c r="X2904" i="11"/>
  <c r="Y2904" i="11"/>
  <c r="Z2904" i="11"/>
  <c r="AA2904" i="11"/>
  <c r="P2905" i="11"/>
  <c r="R2905" i="11"/>
  <c r="S2905" i="11"/>
  <c r="X2905" i="11"/>
  <c r="Y2905" i="11"/>
  <c r="Z2905" i="11"/>
  <c r="AA2905" i="11"/>
  <c r="P2906" i="11"/>
  <c r="R2906" i="11"/>
  <c r="S2906" i="11"/>
  <c r="X2906" i="11"/>
  <c r="Y2906" i="11"/>
  <c r="Z2906" i="11"/>
  <c r="AA2906" i="11"/>
  <c r="P2907" i="11"/>
  <c r="R2907" i="11"/>
  <c r="S2907" i="11"/>
  <c r="X2907" i="11"/>
  <c r="Y2907" i="11"/>
  <c r="Z2907" i="11"/>
  <c r="AA2907" i="11"/>
  <c r="P2908" i="11"/>
  <c r="R2908" i="11"/>
  <c r="S2908" i="11"/>
  <c r="X2908" i="11"/>
  <c r="Y2908" i="11"/>
  <c r="Z2908" i="11"/>
  <c r="AA2908" i="11"/>
  <c r="P2909" i="11"/>
  <c r="R2909" i="11"/>
  <c r="S2909" i="11"/>
  <c r="X2909" i="11"/>
  <c r="Y2909" i="11"/>
  <c r="Z2909" i="11"/>
  <c r="AA2909" i="11"/>
  <c r="P2910" i="11"/>
  <c r="R2910" i="11"/>
  <c r="S2910" i="11"/>
  <c r="X2910" i="11"/>
  <c r="Y2910" i="11"/>
  <c r="Z2910" i="11"/>
  <c r="AA2910" i="11"/>
  <c r="P2911" i="11"/>
  <c r="R2911" i="11"/>
  <c r="S2911" i="11"/>
  <c r="X2911" i="11"/>
  <c r="Y2911" i="11"/>
  <c r="Z2911" i="11"/>
  <c r="AA2911" i="11"/>
  <c r="P2912" i="11"/>
  <c r="R2912" i="11"/>
  <c r="S2912" i="11"/>
  <c r="X2912" i="11"/>
  <c r="Y2912" i="11"/>
  <c r="Z2912" i="11"/>
  <c r="AA2912" i="11"/>
  <c r="P2913" i="11"/>
  <c r="R2913" i="11"/>
  <c r="S2913" i="11"/>
  <c r="X2913" i="11"/>
  <c r="Y2913" i="11"/>
  <c r="Z2913" i="11"/>
  <c r="AA2913" i="11"/>
  <c r="P2914" i="11"/>
  <c r="R2914" i="11"/>
  <c r="S2914" i="11"/>
  <c r="X2914" i="11"/>
  <c r="Y2914" i="11"/>
  <c r="Z2914" i="11"/>
  <c r="AA2914" i="11"/>
  <c r="P2915" i="11"/>
  <c r="R2915" i="11"/>
  <c r="S2915" i="11"/>
  <c r="X2915" i="11"/>
  <c r="Y2915" i="11"/>
  <c r="Z2915" i="11"/>
  <c r="AA2915" i="11"/>
  <c r="P2916" i="11"/>
  <c r="R2916" i="11"/>
  <c r="S2916" i="11"/>
  <c r="X2916" i="11"/>
  <c r="Y2916" i="11"/>
  <c r="Z2916" i="11"/>
  <c r="AA2916" i="11"/>
  <c r="P2917" i="11"/>
  <c r="R2917" i="11"/>
  <c r="S2917" i="11"/>
  <c r="X2917" i="11"/>
  <c r="Y2917" i="11"/>
  <c r="Z2917" i="11"/>
  <c r="AA2917" i="11"/>
  <c r="P2918" i="11"/>
  <c r="R2918" i="11"/>
  <c r="S2918" i="11"/>
  <c r="X2918" i="11"/>
  <c r="Y2918" i="11"/>
  <c r="Z2918" i="11"/>
  <c r="AA2918" i="11"/>
  <c r="P2919" i="11"/>
  <c r="R2919" i="11"/>
  <c r="S2919" i="11"/>
  <c r="X2919" i="11"/>
  <c r="Y2919" i="11"/>
  <c r="Z2919" i="11"/>
  <c r="AA2919" i="11"/>
  <c r="P2920" i="11"/>
  <c r="R2920" i="11"/>
  <c r="S2920" i="11"/>
  <c r="X2920" i="11"/>
  <c r="Y2920" i="11"/>
  <c r="Z2920" i="11"/>
  <c r="AA2920" i="11"/>
  <c r="P2921" i="11"/>
  <c r="R2921" i="11"/>
  <c r="S2921" i="11"/>
  <c r="X2921" i="11"/>
  <c r="Y2921" i="11"/>
  <c r="Z2921" i="11"/>
  <c r="AA2921" i="11"/>
  <c r="P2922" i="11"/>
  <c r="R2922" i="11"/>
  <c r="S2922" i="11"/>
  <c r="X2922" i="11"/>
  <c r="Y2922" i="11"/>
  <c r="Z2922" i="11"/>
  <c r="AA2922" i="11"/>
  <c r="P2923" i="11"/>
  <c r="R2923" i="11"/>
  <c r="S2923" i="11"/>
  <c r="X2923" i="11"/>
  <c r="Y2923" i="11"/>
  <c r="Z2923" i="11"/>
  <c r="AA2923" i="11"/>
  <c r="P2924" i="11"/>
  <c r="R2924" i="11"/>
  <c r="S2924" i="11"/>
  <c r="X2924" i="11"/>
  <c r="Y2924" i="11"/>
  <c r="Z2924" i="11"/>
  <c r="AA2924" i="11"/>
  <c r="P2925" i="11"/>
  <c r="R2925" i="11"/>
  <c r="S2925" i="11"/>
  <c r="X2925" i="11"/>
  <c r="Y2925" i="11"/>
  <c r="Z2925" i="11"/>
  <c r="AA2925" i="11"/>
  <c r="P2926" i="11"/>
  <c r="R2926" i="11"/>
  <c r="S2926" i="11"/>
  <c r="X2926" i="11"/>
  <c r="Y2926" i="11"/>
  <c r="Z2926" i="11"/>
  <c r="AA2926" i="11"/>
  <c r="P2927" i="11"/>
  <c r="R2927" i="11"/>
  <c r="S2927" i="11"/>
  <c r="X2927" i="11"/>
  <c r="Y2927" i="11"/>
  <c r="Z2927" i="11"/>
  <c r="AA2927" i="11"/>
  <c r="P2928" i="11"/>
  <c r="R2928" i="11"/>
  <c r="S2928" i="11"/>
  <c r="X2928" i="11"/>
  <c r="Y2928" i="11"/>
  <c r="Z2928" i="11"/>
  <c r="AA2928" i="11"/>
  <c r="P2929" i="11"/>
  <c r="R2929" i="11"/>
  <c r="S2929" i="11"/>
  <c r="X2929" i="11"/>
  <c r="Y2929" i="11"/>
  <c r="Z2929" i="11"/>
  <c r="AA2929" i="11"/>
  <c r="P2930" i="11"/>
  <c r="R2930" i="11"/>
  <c r="S2930" i="11"/>
  <c r="X2930" i="11"/>
  <c r="Y2930" i="11"/>
  <c r="Z2930" i="11"/>
  <c r="AA2930" i="11"/>
  <c r="P2931" i="11"/>
  <c r="R2931" i="11"/>
  <c r="S2931" i="11"/>
  <c r="X2931" i="11"/>
  <c r="Y2931" i="11"/>
  <c r="Z2931" i="11"/>
  <c r="AA2931" i="11"/>
  <c r="P2932" i="11"/>
  <c r="R2932" i="11"/>
  <c r="S2932" i="11"/>
  <c r="X2932" i="11"/>
  <c r="Y2932" i="11"/>
  <c r="Z2932" i="11"/>
  <c r="AA2932" i="11"/>
  <c r="P2933" i="11"/>
  <c r="R2933" i="11"/>
  <c r="S2933" i="11"/>
  <c r="X2933" i="11"/>
  <c r="Y2933" i="11"/>
  <c r="Z2933" i="11"/>
  <c r="AA2933" i="11"/>
  <c r="P2934" i="11"/>
  <c r="R2934" i="11"/>
  <c r="S2934" i="11"/>
  <c r="X2934" i="11"/>
  <c r="Y2934" i="11"/>
  <c r="Z2934" i="11"/>
  <c r="AA2934" i="11"/>
  <c r="P2935" i="11"/>
  <c r="R2935" i="11"/>
  <c r="S2935" i="11"/>
  <c r="X2935" i="11"/>
  <c r="Y2935" i="11"/>
  <c r="Z2935" i="11"/>
  <c r="AA2935" i="11"/>
  <c r="P2936" i="11"/>
  <c r="R2936" i="11"/>
  <c r="S2936" i="11"/>
  <c r="X2936" i="11"/>
  <c r="Y2936" i="11"/>
  <c r="Z2936" i="11"/>
  <c r="AA2936" i="11"/>
  <c r="P2937" i="11"/>
  <c r="R2937" i="11"/>
  <c r="S2937" i="11"/>
  <c r="X2937" i="11"/>
  <c r="Y2937" i="11"/>
  <c r="Z2937" i="11"/>
  <c r="AA2937" i="11"/>
  <c r="P2938" i="11"/>
  <c r="R2938" i="11"/>
  <c r="S2938" i="11"/>
  <c r="X2938" i="11"/>
  <c r="Y2938" i="11"/>
  <c r="Z2938" i="11"/>
  <c r="AA2938" i="11"/>
  <c r="P2939" i="11"/>
  <c r="R2939" i="11"/>
  <c r="S2939" i="11"/>
  <c r="X2939" i="11"/>
  <c r="Y2939" i="11"/>
  <c r="Z2939" i="11"/>
  <c r="AA2939" i="11"/>
  <c r="P2940" i="11"/>
  <c r="R2940" i="11"/>
  <c r="S2940" i="11"/>
  <c r="X2940" i="11"/>
  <c r="Y2940" i="11"/>
  <c r="Z2940" i="11"/>
  <c r="AA2940" i="11"/>
  <c r="P2941" i="11"/>
  <c r="R2941" i="11"/>
  <c r="S2941" i="11"/>
  <c r="X2941" i="11"/>
  <c r="Y2941" i="11"/>
  <c r="Z2941" i="11"/>
  <c r="AA2941" i="11"/>
  <c r="P2942" i="11"/>
  <c r="R2942" i="11"/>
  <c r="S2942" i="11"/>
  <c r="X2942" i="11"/>
  <c r="Y2942" i="11"/>
  <c r="Z2942" i="11"/>
  <c r="AA2942" i="11"/>
  <c r="P2943" i="11"/>
  <c r="R2943" i="11"/>
  <c r="S2943" i="11"/>
  <c r="X2943" i="11"/>
  <c r="Y2943" i="11"/>
  <c r="Z2943" i="11"/>
  <c r="AA2943" i="11"/>
  <c r="P2944" i="11"/>
  <c r="R2944" i="11"/>
  <c r="S2944" i="11"/>
  <c r="X2944" i="11"/>
  <c r="Y2944" i="11"/>
  <c r="Z2944" i="11"/>
  <c r="AA2944" i="11"/>
  <c r="P2945" i="11"/>
  <c r="R2945" i="11"/>
  <c r="S2945" i="11"/>
  <c r="X2945" i="11"/>
  <c r="Y2945" i="11"/>
  <c r="Z2945" i="11"/>
  <c r="AA2945" i="11"/>
  <c r="P2946" i="11"/>
  <c r="R2946" i="11"/>
  <c r="S2946" i="11"/>
  <c r="X2946" i="11"/>
  <c r="Y2946" i="11"/>
  <c r="Z2946" i="11"/>
  <c r="AA2946" i="11"/>
  <c r="P2947" i="11"/>
  <c r="R2947" i="11"/>
  <c r="S2947" i="11"/>
  <c r="X2947" i="11"/>
  <c r="Y2947" i="11"/>
  <c r="Z2947" i="11"/>
  <c r="AA2947" i="11"/>
  <c r="P2948" i="11"/>
  <c r="R2948" i="11"/>
  <c r="S2948" i="11"/>
  <c r="X2948" i="11"/>
  <c r="Y2948" i="11"/>
  <c r="Z2948" i="11"/>
  <c r="AA2948" i="11"/>
  <c r="P2949" i="11"/>
  <c r="R2949" i="11"/>
  <c r="S2949" i="11"/>
  <c r="X2949" i="11"/>
  <c r="Y2949" i="11"/>
  <c r="Z2949" i="11"/>
  <c r="AA2949" i="11"/>
  <c r="P2950" i="11"/>
  <c r="R2950" i="11"/>
  <c r="S2950" i="11"/>
  <c r="X2950" i="11"/>
  <c r="Y2950" i="11"/>
  <c r="Z2950" i="11"/>
  <c r="AA2950" i="11"/>
  <c r="P2951" i="11"/>
  <c r="R2951" i="11"/>
  <c r="S2951" i="11"/>
  <c r="X2951" i="11"/>
  <c r="Y2951" i="11"/>
  <c r="Z2951" i="11"/>
  <c r="AA2951" i="11"/>
  <c r="P2952" i="11"/>
  <c r="R2952" i="11"/>
  <c r="S2952" i="11"/>
  <c r="X2952" i="11"/>
  <c r="Y2952" i="11"/>
  <c r="Z2952" i="11"/>
  <c r="AA2952" i="11"/>
  <c r="P2953" i="11"/>
  <c r="R2953" i="11"/>
  <c r="S2953" i="11"/>
  <c r="X2953" i="11"/>
  <c r="Y2953" i="11"/>
  <c r="Z2953" i="11"/>
  <c r="AA2953" i="11"/>
  <c r="P2954" i="11"/>
  <c r="R2954" i="11"/>
  <c r="S2954" i="11"/>
  <c r="X2954" i="11"/>
  <c r="Y2954" i="11"/>
  <c r="Z2954" i="11"/>
  <c r="AA2954" i="11"/>
  <c r="P2955" i="11"/>
  <c r="R2955" i="11"/>
  <c r="S2955" i="11"/>
  <c r="X2955" i="11"/>
  <c r="Y2955" i="11"/>
  <c r="Z2955" i="11"/>
  <c r="AA2955" i="11"/>
  <c r="P2956" i="11"/>
  <c r="R2956" i="11"/>
  <c r="S2956" i="11"/>
  <c r="X2956" i="11"/>
  <c r="Y2956" i="11"/>
  <c r="Z2956" i="11"/>
  <c r="AA2956" i="11"/>
  <c r="P2957" i="11"/>
  <c r="R2957" i="11"/>
  <c r="S2957" i="11"/>
  <c r="X2957" i="11"/>
  <c r="Y2957" i="11"/>
  <c r="Z2957" i="11"/>
  <c r="AA2957" i="11"/>
  <c r="P2958" i="11"/>
  <c r="R2958" i="11"/>
  <c r="S2958" i="11"/>
  <c r="X2958" i="11"/>
  <c r="Y2958" i="11"/>
  <c r="Z2958" i="11"/>
  <c r="AA2958" i="11"/>
  <c r="P2959" i="11"/>
  <c r="R2959" i="11"/>
  <c r="S2959" i="11"/>
  <c r="X2959" i="11"/>
  <c r="Y2959" i="11"/>
  <c r="Z2959" i="11"/>
  <c r="AA2959" i="11"/>
  <c r="P2960" i="11"/>
  <c r="R2960" i="11"/>
  <c r="S2960" i="11"/>
  <c r="X2960" i="11"/>
  <c r="Y2960" i="11"/>
  <c r="Z2960" i="11"/>
  <c r="AA2960" i="11"/>
  <c r="P2961" i="11"/>
  <c r="R2961" i="11"/>
  <c r="S2961" i="11"/>
  <c r="X2961" i="11"/>
  <c r="Y2961" i="11"/>
  <c r="Z2961" i="11"/>
  <c r="AA2961" i="11"/>
  <c r="P2962" i="11"/>
  <c r="R2962" i="11"/>
  <c r="S2962" i="11"/>
  <c r="X2962" i="11"/>
  <c r="Y2962" i="11"/>
  <c r="Z2962" i="11"/>
  <c r="AA2962" i="11"/>
  <c r="P2963" i="11"/>
  <c r="R2963" i="11"/>
  <c r="S2963" i="11"/>
  <c r="X2963" i="11"/>
  <c r="Y2963" i="11"/>
  <c r="Z2963" i="11"/>
  <c r="AA2963" i="11"/>
  <c r="P2964" i="11"/>
  <c r="R2964" i="11"/>
  <c r="S2964" i="11"/>
  <c r="X2964" i="11"/>
  <c r="Y2964" i="11"/>
  <c r="Z2964" i="11"/>
  <c r="AA2964" i="11"/>
  <c r="P2965" i="11"/>
  <c r="R2965" i="11"/>
  <c r="S2965" i="11"/>
  <c r="X2965" i="11"/>
  <c r="Y2965" i="11"/>
  <c r="Z2965" i="11"/>
  <c r="AA2965" i="11"/>
  <c r="P2966" i="11"/>
  <c r="R2966" i="11"/>
  <c r="S2966" i="11"/>
  <c r="X2966" i="11"/>
  <c r="Y2966" i="11"/>
  <c r="Z2966" i="11"/>
  <c r="AA2966" i="11"/>
  <c r="P2967" i="11"/>
  <c r="R2967" i="11"/>
  <c r="S2967" i="11"/>
  <c r="X2967" i="11"/>
  <c r="Y2967" i="11"/>
  <c r="Z2967" i="11"/>
  <c r="AA2967" i="11"/>
  <c r="P2968" i="11"/>
  <c r="R2968" i="11"/>
  <c r="S2968" i="11"/>
  <c r="X2968" i="11"/>
  <c r="Y2968" i="11"/>
  <c r="Z2968" i="11"/>
  <c r="AA2968" i="11"/>
  <c r="P2969" i="11"/>
  <c r="R2969" i="11"/>
  <c r="S2969" i="11"/>
  <c r="X2969" i="11"/>
  <c r="Y2969" i="11"/>
  <c r="Z2969" i="11"/>
  <c r="AA2969" i="11"/>
  <c r="P2970" i="11"/>
  <c r="R2970" i="11"/>
  <c r="S2970" i="11"/>
  <c r="X2970" i="11"/>
  <c r="Y2970" i="11"/>
  <c r="Z2970" i="11"/>
  <c r="AA2970" i="11"/>
  <c r="P2971" i="11"/>
  <c r="R2971" i="11"/>
  <c r="S2971" i="11"/>
  <c r="X2971" i="11"/>
  <c r="Y2971" i="11"/>
  <c r="Z2971" i="11"/>
  <c r="AA2971" i="11"/>
  <c r="P2972" i="11"/>
  <c r="R2972" i="11"/>
  <c r="S2972" i="11"/>
  <c r="X2972" i="11"/>
  <c r="Y2972" i="11"/>
  <c r="Z2972" i="11"/>
  <c r="AA2972" i="11"/>
  <c r="P2973" i="11"/>
  <c r="R2973" i="11"/>
  <c r="S2973" i="11"/>
  <c r="X2973" i="11"/>
  <c r="Y2973" i="11"/>
  <c r="Z2973" i="11"/>
  <c r="AA2973" i="11"/>
  <c r="P2974" i="11"/>
  <c r="R2974" i="11"/>
  <c r="S2974" i="11"/>
  <c r="X2974" i="11"/>
  <c r="Y2974" i="11"/>
  <c r="Z2974" i="11"/>
  <c r="AA2974" i="11"/>
  <c r="P2975" i="11"/>
  <c r="R2975" i="11"/>
  <c r="S2975" i="11"/>
  <c r="X2975" i="11"/>
  <c r="Y2975" i="11"/>
  <c r="Z2975" i="11"/>
  <c r="AA2975" i="11"/>
  <c r="P2976" i="11"/>
  <c r="R2976" i="11"/>
  <c r="S2976" i="11"/>
  <c r="X2976" i="11"/>
  <c r="Y2976" i="11"/>
  <c r="Z2976" i="11"/>
  <c r="AA2976" i="11"/>
  <c r="P2977" i="11"/>
  <c r="R2977" i="11"/>
  <c r="S2977" i="11"/>
  <c r="X2977" i="11"/>
  <c r="Y2977" i="11"/>
  <c r="Z2977" i="11"/>
  <c r="AA2977" i="11"/>
  <c r="P2978" i="11"/>
  <c r="R2978" i="11"/>
  <c r="S2978" i="11"/>
  <c r="X2978" i="11"/>
  <c r="Y2978" i="11"/>
  <c r="Z2978" i="11"/>
  <c r="AA2978" i="11"/>
  <c r="P2979" i="11"/>
  <c r="R2979" i="11"/>
  <c r="S2979" i="11"/>
  <c r="X2979" i="11"/>
  <c r="Y2979" i="11"/>
  <c r="Z2979" i="11"/>
  <c r="AA2979" i="11"/>
  <c r="P2980" i="11"/>
  <c r="R2980" i="11"/>
  <c r="S2980" i="11"/>
  <c r="X2980" i="11"/>
  <c r="Y2980" i="11"/>
  <c r="Z2980" i="11"/>
  <c r="AA2980" i="11"/>
  <c r="P2981" i="11"/>
  <c r="R2981" i="11"/>
  <c r="S2981" i="11"/>
  <c r="X2981" i="11"/>
  <c r="Y2981" i="11"/>
  <c r="Z2981" i="11"/>
  <c r="AA2981" i="11"/>
  <c r="P2982" i="11"/>
  <c r="R2982" i="11"/>
  <c r="S2982" i="11"/>
  <c r="X2982" i="11"/>
  <c r="Y2982" i="11"/>
  <c r="Z2982" i="11"/>
  <c r="AA2982" i="11"/>
  <c r="P2983" i="11"/>
  <c r="R2983" i="11"/>
  <c r="S2983" i="11"/>
  <c r="X2983" i="11"/>
  <c r="Y2983" i="11"/>
  <c r="Z2983" i="11"/>
  <c r="AA2983" i="11"/>
  <c r="P2984" i="11"/>
  <c r="R2984" i="11"/>
  <c r="S2984" i="11"/>
  <c r="X2984" i="11"/>
  <c r="Y2984" i="11"/>
  <c r="Z2984" i="11"/>
  <c r="AA2984" i="11"/>
  <c r="P2985" i="11"/>
  <c r="R2985" i="11"/>
  <c r="S2985" i="11"/>
  <c r="X2985" i="11"/>
  <c r="Y2985" i="11"/>
  <c r="Z2985" i="11"/>
  <c r="AA2985" i="11"/>
  <c r="P2986" i="11"/>
  <c r="R2986" i="11"/>
  <c r="S2986" i="11"/>
  <c r="X2986" i="11"/>
  <c r="Y2986" i="11"/>
  <c r="Z2986" i="11"/>
  <c r="AA2986" i="11"/>
  <c r="P2987" i="11"/>
  <c r="R2987" i="11"/>
  <c r="S2987" i="11"/>
  <c r="X2987" i="11"/>
  <c r="Y2987" i="11"/>
  <c r="Z2987" i="11"/>
  <c r="AA2987" i="11"/>
  <c r="P2988" i="11"/>
  <c r="R2988" i="11"/>
  <c r="S2988" i="11"/>
  <c r="X2988" i="11"/>
  <c r="Y2988" i="11"/>
  <c r="Z2988" i="11"/>
  <c r="AA2988" i="11"/>
  <c r="P2989" i="11"/>
  <c r="R2989" i="11"/>
  <c r="S2989" i="11"/>
  <c r="X2989" i="11"/>
  <c r="Y2989" i="11"/>
  <c r="Z2989" i="11"/>
  <c r="AA2989" i="11"/>
  <c r="P2990" i="11"/>
  <c r="R2990" i="11"/>
  <c r="S2990" i="11"/>
  <c r="X2990" i="11"/>
  <c r="Y2990" i="11"/>
  <c r="Z2990" i="11"/>
  <c r="AA2990" i="11"/>
  <c r="P2991" i="11"/>
  <c r="R2991" i="11"/>
  <c r="S2991" i="11"/>
  <c r="X2991" i="11"/>
  <c r="Y2991" i="11"/>
  <c r="Z2991" i="11"/>
  <c r="AA2991" i="11"/>
  <c r="P2992" i="11"/>
  <c r="R2992" i="11"/>
  <c r="S2992" i="11"/>
  <c r="X2992" i="11"/>
  <c r="Y2992" i="11"/>
  <c r="Z2992" i="11"/>
  <c r="AA2992" i="11"/>
  <c r="P2993" i="11"/>
  <c r="R2993" i="11"/>
  <c r="S2993" i="11"/>
  <c r="X2993" i="11"/>
  <c r="Y2993" i="11"/>
  <c r="Z2993" i="11"/>
  <c r="AA2993" i="11"/>
  <c r="P2994" i="11"/>
  <c r="R2994" i="11"/>
  <c r="S2994" i="11"/>
  <c r="X2994" i="11"/>
  <c r="Y2994" i="11"/>
  <c r="Z2994" i="11"/>
  <c r="AA2994" i="11"/>
  <c r="P2995" i="11"/>
  <c r="R2995" i="11"/>
  <c r="S2995" i="11"/>
  <c r="X2995" i="11"/>
  <c r="Y2995" i="11"/>
  <c r="Z2995" i="11"/>
  <c r="AA2995" i="11"/>
  <c r="P2996" i="11"/>
  <c r="R2996" i="11"/>
  <c r="S2996" i="11"/>
  <c r="X2996" i="11"/>
  <c r="Y2996" i="11"/>
  <c r="Z2996" i="11"/>
  <c r="AA2996" i="11"/>
  <c r="P2997" i="11"/>
  <c r="R2997" i="11"/>
  <c r="S2997" i="11"/>
  <c r="X2997" i="11"/>
  <c r="Y2997" i="11"/>
  <c r="Z2997" i="11"/>
  <c r="AA2997" i="11"/>
  <c r="P2998" i="11"/>
  <c r="R2998" i="11"/>
  <c r="S2998" i="11"/>
  <c r="X2998" i="11"/>
  <c r="Y2998" i="11"/>
  <c r="Z2998" i="11"/>
  <c r="AA2998" i="11"/>
  <c r="P2999" i="11"/>
  <c r="R2999" i="11"/>
  <c r="S2999" i="11"/>
  <c r="X2999" i="11"/>
  <c r="Y2999" i="11"/>
  <c r="Z2999" i="11"/>
  <c r="AA2999" i="11"/>
  <c r="P3000" i="11"/>
  <c r="R3000" i="11"/>
  <c r="S3000" i="11"/>
  <c r="X3000" i="11"/>
  <c r="Y3000" i="11"/>
  <c r="Z3000" i="11"/>
  <c r="AA3000" i="11"/>
  <c r="P3001" i="11"/>
  <c r="R3001" i="11"/>
  <c r="S3001" i="11"/>
  <c r="X3001" i="11"/>
  <c r="Y3001" i="11"/>
  <c r="Z3001" i="11"/>
  <c r="AA3001" i="11"/>
  <c r="P3002" i="11"/>
  <c r="R3002" i="11"/>
  <c r="S3002" i="11"/>
  <c r="X3002" i="11"/>
  <c r="Y3002" i="11"/>
  <c r="Z3002" i="11"/>
  <c r="AA3002" i="11"/>
  <c r="P3003" i="11"/>
  <c r="R3003" i="11"/>
  <c r="S3003" i="11"/>
  <c r="X3003" i="11"/>
  <c r="Y3003" i="11"/>
  <c r="Z3003" i="11"/>
  <c r="AA3003" i="11"/>
  <c r="P3004" i="11"/>
  <c r="R3004" i="11"/>
  <c r="S3004" i="11"/>
  <c r="X3004" i="11"/>
  <c r="Y3004" i="11"/>
  <c r="Z3004" i="11"/>
  <c r="AA3004" i="11"/>
  <c r="P3005" i="11"/>
  <c r="R3005" i="11"/>
  <c r="S3005" i="11"/>
  <c r="X3005" i="11"/>
  <c r="Y3005" i="11"/>
  <c r="Z3005" i="11"/>
  <c r="AA3005" i="11"/>
  <c r="P3006" i="11"/>
  <c r="R3006" i="11"/>
  <c r="S3006" i="11"/>
  <c r="X3006" i="11"/>
  <c r="Y3006" i="11"/>
  <c r="Z3006" i="11"/>
  <c r="AA3006" i="11"/>
  <c r="P3007" i="11"/>
  <c r="R3007" i="11"/>
  <c r="S3007" i="11"/>
  <c r="X3007" i="11"/>
  <c r="Y3007" i="11"/>
  <c r="Z3007" i="11"/>
  <c r="AA3007" i="11"/>
  <c r="P3008" i="11"/>
  <c r="R3008" i="11"/>
  <c r="S3008" i="11"/>
  <c r="X3008" i="11"/>
  <c r="Y3008" i="11"/>
  <c r="Z3008" i="11"/>
  <c r="AA3008" i="11"/>
  <c r="P3009" i="11"/>
  <c r="R3009" i="11"/>
  <c r="S3009" i="11"/>
  <c r="X3009" i="11"/>
  <c r="Y3009" i="11"/>
  <c r="Z3009" i="11"/>
  <c r="AA3009" i="11"/>
  <c r="P3010" i="11"/>
  <c r="R3010" i="11"/>
  <c r="S3010" i="11"/>
  <c r="X3010" i="11"/>
  <c r="Y3010" i="11"/>
  <c r="Z3010" i="11"/>
  <c r="AA3010" i="11"/>
  <c r="P3011" i="11"/>
  <c r="R3011" i="11"/>
  <c r="S3011" i="11"/>
  <c r="X3011" i="11"/>
  <c r="Y3011" i="11"/>
  <c r="Z3011" i="11"/>
  <c r="AA3011" i="11"/>
  <c r="P3012" i="11"/>
  <c r="R3012" i="11"/>
  <c r="S3012" i="11"/>
  <c r="X3012" i="11"/>
  <c r="Y3012" i="11"/>
  <c r="Z3012" i="11"/>
  <c r="AA3012" i="11"/>
  <c r="P3013" i="11"/>
  <c r="R3013" i="11"/>
  <c r="S3013" i="11"/>
  <c r="X3013" i="11"/>
  <c r="Y3013" i="11"/>
  <c r="Z3013" i="11"/>
  <c r="AA3013" i="11"/>
  <c r="P3014" i="11"/>
  <c r="R3014" i="11"/>
  <c r="S3014" i="11"/>
  <c r="X3014" i="11"/>
  <c r="Y3014" i="11"/>
  <c r="Z3014" i="11"/>
  <c r="AA3014" i="11"/>
  <c r="N1911" i="18" l="1"/>
  <c r="N1913" i="18" s="1"/>
  <c r="O1911" i="18"/>
  <c r="O1913" i="18" s="1"/>
  <c r="V1929" i="18"/>
  <c r="W1929" i="18" s="1"/>
  <c r="V1927" i="18"/>
  <c r="W1927" i="18" s="1"/>
  <c r="G1916" i="18"/>
  <c r="I1912" i="18"/>
  <c r="J1930" i="18" s="1"/>
  <c r="H1912" i="18"/>
  <c r="H1930" i="18" s="1"/>
  <c r="J1912" i="18"/>
  <c r="G1909" i="18"/>
  <c r="G1930" i="18"/>
  <c r="G597" i="18"/>
  <c r="G1868" i="18"/>
  <c r="G628" i="18"/>
  <c r="G1713" i="18"/>
  <c r="G1496" i="18"/>
  <c r="G1093" i="18"/>
  <c r="G969" i="18"/>
  <c r="G721" i="18"/>
  <c r="G380" i="18"/>
  <c r="G1310" i="18"/>
  <c r="G1465" i="18"/>
  <c r="G349" i="18"/>
  <c r="G814" i="18"/>
  <c r="G1217" i="18"/>
  <c r="G783" i="18"/>
  <c r="G566" i="18"/>
  <c r="G163" i="18"/>
  <c r="G1651" i="18"/>
  <c r="G1775" i="18"/>
  <c r="G1527" i="18"/>
  <c r="G473" i="18"/>
  <c r="G411" i="18"/>
  <c r="G442" i="18"/>
  <c r="G659" i="18"/>
  <c r="G752" i="18"/>
  <c r="G1620" i="18"/>
  <c r="G535" i="18"/>
  <c r="G256" i="18"/>
  <c r="O1043" i="18"/>
  <c r="O1045" i="18" s="1"/>
  <c r="N1043" i="18"/>
  <c r="N1045" i="18" s="1"/>
  <c r="G235" i="18"/>
  <c r="I238" i="18"/>
  <c r="J256" i="18" s="1"/>
  <c r="J238" i="18"/>
  <c r="H238" i="18"/>
  <c r="H256" i="18" s="1"/>
  <c r="N609" i="18"/>
  <c r="N611" i="18" s="1"/>
  <c r="O609" i="18"/>
  <c r="O611" i="18" s="1"/>
  <c r="V193" i="18"/>
  <c r="W193" i="18" s="1"/>
  <c r="G1141" i="18"/>
  <c r="V1152" i="18"/>
  <c r="W1152" i="18" s="1"/>
  <c r="V1524" i="18"/>
  <c r="W1524" i="18" s="1"/>
  <c r="G1513" i="18"/>
  <c r="N361" i="18"/>
  <c r="N363" i="18" s="1"/>
  <c r="O361" i="18"/>
  <c r="O363" i="18" s="1"/>
  <c r="V472" i="18"/>
  <c r="W472" i="18" s="1"/>
  <c r="G1785" i="18"/>
  <c r="I1788" i="18"/>
  <c r="J1806" i="18" s="1"/>
  <c r="J1788" i="18"/>
  <c r="H1788" i="18"/>
  <c r="H1806" i="18" s="1"/>
  <c r="V565" i="18"/>
  <c r="W565" i="18" s="1"/>
  <c r="N1725" i="18"/>
  <c r="N1727" i="18" s="1"/>
  <c r="O1725" i="18"/>
  <c r="O1727" i="18" s="1"/>
  <c r="N764" i="18"/>
  <c r="N766" i="18" s="1"/>
  <c r="O764" i="18"/>
  <c r="O766" i="18" s="1"/>
  <c r="V596" i="18"/>
  <c r="W596" i="18" s="1"/>
  <c r="G397" i="18"/>
  <c r="V408" i="18"/>
  <c r="W408" i="18" s="1"/>
  <c r="H610" i="18"/>
  <c r="H628" i="18" s="1"/>
  <c r="J610" i="18"/>
  <c r="G607" i="18"/>
  <c r="I610" i="18"/>
  <c r="J628" i="18" s="1"/>
  <c r="V1278" i="18"/>
  <c r="W1278" i="18" s="1"/>
  <c r="G1893" i="18"/>
  <c r="G1880" i="18"/>
  <c r="G1901" i="18"/>
  <c r="G1898" i="18"/>
  <c r="G1881" i="18"/>
  <c r="G1879" i="18"/>
  <c r="I1906" i="18"/>
  <c r="G1892" i="18"/>
  <c r="N1508" i="18"/>
  <c r="N1510" i="18" s="1"/>
  <c r="O1508" i="18"/>
  <c r="O1510" i="18" s="1"/>
  <c r="G1837" i="18"/>
  <c r="V718" i="18"/>
  <c r="W718" i="18" s="1"/>
  <c r="G707" i="18"/>
  <c r="V224" i="18"/>
  <c r="W224" i="18" s="1"/>
  <c r="H455" i="18"/>
  <c r="H473" i="18" s="1"/>
  <c r="I455" i="18"/>
  <c r="J473" i="18" s="1"/>
  <c r="J455" i="18"/>
  <c r="G452" i="18"/>
  <c r="O1663" i="18"/>
  <c r="O1665" i="18" s="1"/>
  <c r="N1663" i="18"/>
  <c r="N1665" i="18" s="1"/>
  <c r="V1588" i="18"/>
  <c r="W1588" i="18" s="1"/>
  <c r="N981" i="18"/>
  <c r="N983" i="18" s="1"/>
  <c r="O981" i="18"/>
  <c r="O983" i="18" s="1"/>
  <c r="V1092" i="18"/>
  <c r="W1092" i="18" s="1"/>
  <c r="G1806" i="18"/>
  <c r="O1229" i="18"/>
  <c r="O1231" i="18" s="1"/>
  <c r="N1229" i="18"/>
  <c r="N1231" i="18" s="1"/>
  <c r="V1030" i="18"/>
  <c r="W1030" i="18" s="1"/>
  <c r="H1354" i="18"/>
  <c r="H1372" i="18" s="1"/>
  <c r="J1354" i="18"/>
  <c r="G1351" i="18"/>
  <c r="I1354" i="18"/>
  <c r="J1372" i="18" s="1"/>
  <c r="O1539" i="18"/>
  <c r="O1541" i="18" s="1"/>
  <c r="N1539" i="18"/>
  <c r="N1541" i="18" s="1"/>
  <c r="H1478" i="18"/>
  <c r="H1496" i="18" s="1"/>
  <c r="J1478" i="18"/>
  <c r="G1475" i="18"/>
  <c r="I1478" i="18"/>
  <c r="J1496" i="18" s="1"/>
  <c r="V968" i="18"/>
  <c r="W968" i="18" s="1"/>
  <c r="J579" i="18"/>
  <c r="G576" i="18"/>
  <c r="H579" i="18"/>
  <c r="H597" i="18" s="1"/>
  <c r="I579" i="18"/>
  <c r="J597" i="18" s="1"/>
  <c r="V656" i="18"/>
  <c r="W656" i="18" s="1"/>
  <c r="G645" i="18"/>
  <c r="G1258" i="18"/>
  <c r="I1261" i="18"/>
  <c r="J1279" i="18" s="1"/>
  <c r="J1261" i="18"/>
  <c r="H1261" i="18"/>
  <c r="H1279" i="18" s="1"/>
  <c r="G1155" i="18"/>
  <c r="O1849" i="18"/>
  <c r="O1851" i="18" s="1"/>
  <c r="N1849" i="18"/>
  <c r="N1851" i="18" s="1"/>
  <c r="N826" i="18"/>
  <c r="N828" i="18" s="1"/>
  <c r="O826" i="18"/>
  <c r="O828" i="18" s="1"/>
  <c r="O1818" i="18"/>
  <c r="O1820" i="18" s="1"/>
  <c r="N1818" i="18"/>
  <c r="N1820" i="18" s="1"/>
  <c r="V160" i="18"/>
  <c r="W160" i="18" s="1"/>
  <c r="G149" i="18"/>
  <c r="V1681" i="18"/>
  <c r="W1681" i="18" s="1"/>
  <c r="V1648" i="18"/>
  <c r="W1648" i="18" s="1"/>
  <c r="G1637" i="18"/>
  <c r="V501" i="18"/>
  <c r="W501" i="18" s="1"/>
  <c r="G490" i="18"/>
  <c r="V1462" i="18"/>
  <c r="W1462" i="18" s="1"/>
  <c r="G1451" i="18"/>
  <c r="G1010" i="18"/>
  <c r="I1013" i="18"/>
  <c r="J1031" i="18" s="1"/>
  <c r="J1013" i="18"/>
  <c r="H1013" i="18"/>
  <c r="H1031" i="18" s="1"/>
  <c r="V749" i="18"/>
  <c r="W749" i="18" s="1"/>
  <c r="G738" i="18"/>
  <c r="G1168" i="18"/>
  <c r="G1188" i="18"/>
  <c r="G1166" i="18"/>
  <c r="I1193" i="18"/>
  <c r="G1179" i="18"/>
  <c r="G1180" i="18"/>
  <c r="G1167" i="18"/>
  <c r="G1185" i="18"/>
  <c r="G1183" i="18"/>
  <c r="V129" i="18"/>
  <c r="W129" i="18" s="1"/>
  <c r="G118" i="18"/>
  <c r="G1372" i="18"/>
  <c r="V1216" i="18"/>
  <c r="W1216" i="18" s="1"/>
  <c r="V1617" i="18"/>
  <c r="W1617" i="18" s="1"/>
  <c r="G1606" i="18"/>
  <c r="O919" i="18"/>
  <c r="O921" i="18" s="1"/>
  <c r="N919" i="18"/>
  <c r="N921" i="18" s="1"/>
  <c r="G1761" i="18"/>
  <c r="V1772" i="18"/>
  <c r="W1772" i="18" s="1"/>
  <c r="G948" i="18"/>
  <c r="J951" i="18"/>
  <c r="H951" i="18"/>
  <c r="H969" i="18" s="1"/>
  <c r="I951" i="18"/>
  <c r="J969" i="18" s="1"/>
  <c r="N640" i="18"/>
  <c r="N642" i="18" s="1"/>
  <c r="O640" i="18"/>
  <c r="O642" i="18" s="1"/>
  <c r="O175" i="18"/>
  <c r="O177" i="18" s="1"/>
  <c r="N175" i="18"/>
  <c r="N177" i="18" s="1"/>
  <c r="G1279" i="18"/>
  <c r="V1867" i="18"/>
  <c r="W1867" i="18" s="1"/>
  <c r="V1121" i="18"/>
  <c r="W1121" i="18" s="1"/>
  <c r="G1110" i="18"/>
  <c r="O1694" i="18"/>
  <c r="O1696" i="18" s="1"/>
  <c r="N1694" i="18"/>
  <c r="N1696" i="18" s="1"/>
  <c r="V379" i="18"/>
  <c r="W379" i="18" s="1"/>
  <c r="V503" i="18"/>
  <c r="W503" i="18" s="1"/>
  <c r="J1447" i="18"/>
  <c r="I1447" i="18"/>
  <c r="J1465" i="18" s="1"/>
  <c r="G1444" i="18"/>
  <c r="H1447" i="18"/>
  <c r="H1465" i="18" s="1"/>
  <c r="G1031" i="18"/>
  <c r="V875" i="18"/>
  <c r="W875" i="18" s="1"/>
  <c r="N330" i="18"/>
  <c r="N332" i="18" s="1"/>
  <c r="O330" i="18"/>
  <c r="O332" i="18" s="1"/>
  <c r="O547" i="18"/>
  <c r="O549" i="18" s="1"/>
  <c r="N547" i="18"/>
  <c r="N549" i="18" s="1"/>
  <c r="N1353" i="18"/>
  <c r="N1355" i="18" s="1"/>
  <c r="O1353" i="18"/>
  <c r="O1355" i="18" s="1"/>
  <c r="J1199" i="18"/>
  <c r="G1196" i="18"/>
  <c r="I1199" i="18"/>
  <c r="J1217" i="18" s="1"/>
  <c r="H1199" i="18"/>
  <c r="H1217" i="18" s="1"/>
  <c r="G1599" i="18"/>
  <c r="I1602" i="18"/>
  <c r="J1620" i="18" s="1"/>
  <c r="J1602" i="18"/>
  <c r="H1602" i="18"/>
  <c r="H1620" i="18" s="1"/>
  <c r="V1743" i="18"/>
  <c r="W1743" i="18" s="1"/>
  <c r="N1756" i="18"/>
  <c r="N1758" i="18" s="1"/>
  <c r="O1756" i="18"/>
  <c r="O1758" i="18" s="1"/>
  <c r="V782" i="18"/>
  <c r="W782" i="18" s="1"/>
  <c r="G1048" i="18"/>
  <c r="V1059" i="18"/>
  <c r="W1059" i="18" s="1"/>
  <c r="V410" i="18"/>
  <c r="W410" i="18" s="1"/>
  <c r="N1136" i="18"/>
  <c r="N1138" i="18" s="1"/>
  <c r="O1136" i="18"/>
  <c r="O1138" i="18" s="1"/>
  <c r="H1850" i="18"/>
  <c r="H1868" i="18" s="1"/>
  <c r="J1850" i="18"/>
  <c r="G1847" i="18"/>
  <c r="I1850" i="18"/>
  <c r="J1868" i="18" s="1"/>
  <c r="V1526" i="18"/>
  <c r="W1526" i="18" s="1"/>
  <c r="G1296" i="18"/>
  <c r="V1307" i="18"/>
  <c r="W1307" i="18" s="1"/>
  <c r="V1431" i="18"/>
  <c r="W1431" i="18" s="1"/>
  <c r="G1420" i="18"/>
  <c r="I207" i="18"/>
  <c r="J225" i="18" s="1"/>
  <c r="J207" i="18"/>
  <c r="H207" i="18"/>
  <c r="H225" i="18" s="1"/>
  <c r="G204" i="18"/>
  <c r="G676" i="18"/>
  <c r="V687" i="18"/>
  <c r="W687" i="18" s="1"/>
  <c r="V999" i="18"/>
  <c r="W999" i="18" s="1"/>
  <c r="O1074" i="18"/>
  <c r="O1076" i="18" s="1"/>
  <c r="N1074" i="18"/>
  <c r="N1076" i="18" s="1"/>
  <c r="I486" i="18"/>
  <c r="J504" i="18" s="1"/>
  <c r="G483" i="18"/>
  <c r="H486" i="18"/>
  <c r="H504" i="18" s="1"/>
  <c r="J486" i="18"/>
  <c r="O1787" i="18"/>
  <c r="O1789" i="18" s="1"/>
  <c r="N1787" i="18"/>
  <c r="N1789" i="18" s="1"/>
  <c r="O1446" i="18"/>
  <c r="O1448" i="18" s="1"/>
  <c r="N1446" i="18"/>
  <c r="N1448" i="18" s="1"/>
  <c r="V1247" i="18"/>
  <c r="W1247" i="18" s="1"/>
  <c r="V751" i="18"/>
  <c r="W751" i="18" s="1"/>
  <c r="N857" i="18"/>
  <c r="N859" i="18" s="1"/>
  <c r="O857" i="18"/>
  <c r="O859" i="18" s="1"/>
  <c r="V131" i="18"/>
  <c r="W131" i="18" s="1"/>
  <c r="V1774" i="18"/>
  <c r="W1774" i="18" s="1"/>
  <c r="H765" i="18"/>
  <c r="H783" i="18" s="1"/>
  <c r="G762" i="18"/>
  <c r="J765" i="18"/>
  <c r="I765" i="18"/>
  <c r="J783" i="18" s="1"/>
  <c r="H393" i="18"/>
  <c r="H411" i="18" s="1"/>
  <c r="J393" i="18"/>
  <c r="G390" i="18"/>
  <c r="I393" i="18"/>
  <c r="J411" i="18" s="1"/>
  <c r="O237" i="18"/>
  <c r="O239" i="18" s="1"/>
  <c r="N237" i="18"/>
  <c r="N239" i="18" s="1"/>
  <c r="V439" i="18"/>
  <c r="W439" i="18" s="1"/>
  <c r="G428" i="18"/>
  <c r="V658" i="18"/>
  <c r="W658" i="18" s="1"/>
  <c r="G304" i="18"/>
  <c r="V315" i="18"/>
  <c r="W315" i="18" s="1"/>
  <c r="Y1896" i="18"/>
  <c r="G1896" i="18" s="1"/>
  <c r="G1506" i="18"/>
  <c r="I1509" i="18"/>
  <c r="J1527" i="18" s="1"/>
  <c r="H1509" i="18"/>
  <c r="H1527" i="18" s="1"/>
  <c r="J1509" i="18"/>
  <c r="G1289" i="18"/>
  <c r="J1292" i="18"/>
  <c r="H1292" i="18"/>
  <c r="H1310" i="18" s="1"/>
  <c r="I1292" i="18"/>
  <c r="J1310" i="18" s="1"/>
  <c r="V1836" i="18"/>
  <c r="W1836" i="18" s="1"/>
  <c r="O702" i="18"/>
  <c r="O704" i="18" s="1"/>
  <c r="N702" i="18"/>
  <c r="N704" i="18" s="1"/>
  <c r="G225" i="18"/>
  <c r="N671" i="18"/>
  <c r="N673" i="18" s="1"/>
  <c r="O671" i="18"/>
  <c r="O673" i="18" s="1"/>
  <c r="O454" i="18"/>
  <c r="O456" i="18" s="1"/>
  <c r="N454" i="18"/>
  <c r="N456" i="18" s="1"/>
  <c r="G1575" i="18"/>
  <c r="V1586" i="18"/>
  <c r="W1586" i="18" s="1"/>
  <c r="N1632" i="18"/>
  <c r="N1634" i="18" s="1"/>
  <c r="O1632" i="18"/>
  <c r="O1634" i="18" s="1"/>
  <c r="G1327" i="18"/>
  <c r="V1338" i="18"/>
  <c r="W1338" i="18" s="1"/>
  <c r="V284" i="18"/>
  <c r="W284" i="18" s="1"/>
  <c r="G273" i="18"/>
  <c r="V1400" i="18"/>
  <c r="W1400" i="18" s="1"/>
  <c r="G1389" i="18"/>
  <c r="V904" i="18"/>
  <c r="W904" i="18" s="1"/>
  <c r="G893" i="18"/>
  <c r="V532" i="18"/>
  <c r="W532" i="18" s="1"/>
  <c r="G521" i="18"/>
  <c r="N113" i="18"/>
  <c r="N115" i="18" s="1"/>
  <c r="O113" i="18"/>
  <c r="O115" i="18" s="1"/>
  <c r="G1823" i="18"/>
  <c r="V1834" i="18"/>
  <c r="W1834" i="18" s="1"/>
  <c r="V1555" i="18"/>
  <c r="W1555" i="18" s="1"/>
  <c r="G1544" i="18"/>
  <c r="V1493" i="18"/>
  <c r="W1493" i="18" s="1"/>
  <c r="G1482" i="18"/>
  <c r="J1757" i="18"/>
  <c r="H1757" i="18"/>
  <c r="H1775" i="18" s="1"/>
  <c r="G1754" i="18"/>
  <c r="I1757" i="18"/>
  <c r="J1775" i="18" s="1"/>
  <c r="V441" i="18"/>
  <c r="W441" i="18" s="1"/>
  <c r="J176" i="18"/>
  <c r="H176" i="18"/>
  <c r="H194" i="18" s="1"/>
  <c r="G173" i="18"/>
  <c r="I176" i="18"/>
  <c r="J194" i="18" s="1"/>
  <c r="H300" i="18"/>
  <c r="H318" i="18" s="1"/>
  <c r="J300" i="18"/>
  <c r="G297" i="18"/>
  <c r="I300" i="18"/>
  <c r="J318" i="18" s="1"/>
  <c r="V1154" i="18"/>
  <c r="W1154" i="18" s="1"/>
  <c r="G831" i="18"/>
  <c r="V842" i="18"/>
  <c r="W842" i="18" s="1"/>
  <c r="V1865" i="18"/>
  <c r="W1865" i="18" s="1"/>
  <c r="G1854" i="18"/>
  <c r="O1415" i="18"/>
  <c r="O1417" i="18" s="1"/>
  <c r="N1415" i="18"/>
  <c r="N1417" i="18" s="1"/>
  <c r="O206" i="18"/>
  <c r="O208" i="18" s="1"/>
  <c r="N206" i="18"/>
  <c r="N208" i="18" s="1"/>
  <c r="V162" i="18"/>
  <c r="W162" i="18" s="1"/>
  <c r="J1571" i="18"/>
  <c r="H1571" i="18"/>
  <c r="H1589" i="18" s="1"/>
  <c r="I1571" i="18"/>
  <c r="J1589" i="18" s="1"/>
  <c r="G1568" i="18"/>
  <c r="G979" i="18"/>
  <c r="I982" i="18"/>
  <c r="J1000" i="18" s="1"/>
  <c r="J982" i="18"/>
  <c r="H982" i="18"/>
  <c r="H1000" i="18" s="1"/>
  <c r="O1322" i="18"/>
  <c r="O1324" i="18" s="1"/>
  <c r="N1322" i="18"/>
  <c r="N1324" i="18" s="1"/>
  <c r="G504" i="18"/>
  <c r="O268" i="18"/>
  <c r="O270" i="18" s="1"/>
  <c r="N268" i="18"/>
  <c r="N270" i="18" s="1"/>
  <c r="I1230" i="18"/>
  <c r="J1248" i="18" s="1"/>
  <c r="G1227" i="18"/>
  <c r="H1230" i="18"/>
  <c r="H1248" i="18" s="1"/>
  <c r="J1230" i="18"/>
  <c r="H858" i="18"/>
  <c r="H876" i="18" s="1"/>
  <c r="J858" i="18"/>
  <c r="G855" i="18"/>
  <c r="I858" i="18"/>
  <c r="J876" i="18" s="1"/>
  <c r="N888" i="18"/>
  <c r="N890" i="18" s="1"/>
  <c r="O888" i="18"/>
  <c r="O890" i="18" s="1"/>
  <c r="J114" i="18"/>
  <c r="H114" i="18"/>
  <c r="H132" i="18" s="1"/>
  <c r="G111" i="18"/>
  <c r="I114" i="18"/>
  <c r="J132" i="18" s="1"/>
  <c r="J548" i="18"/>
  <c r="G545" i="18"/>
  <c r="H548" i="18"/>
  <c r="H566" i="18" s="1"/>
  <c r="I548" i="18"/>
  <c r="J566" i="18" s="1"/>
  <c r="H1726" i="18"/>
  <c r="H1744" i="18" s="1"/>
  <c r="J1726" i="18"/>
  <c r="G1723" i="18"/>
  <c r="I1726" i="18"/>
  <c r="J1744" i="18" s="1"/>
  <c r="V594" i="18"/>
  <c r="W594" i="18" s="1"/>
  <c r="G583" i="18"/>
  <c r="G614" i="18"/>
  <c r="V625" i="18"/>
  <c r="W625" i="18" s="1"/>
  <c r="I424" i="18"/>
  <c r="J442" i="18" s="1"/>
  <c r="H424" i="18"/>
  <c r="H442" i="18" s="1"/>
  <c r="J424" i="18"/>
  <c r="G421" i="18"/>
  <c r="G638" i="18"/>
  <c r="H641" i="18"/>
  <c r="H659" i="18" s="1"/>
  <c r="J641" i="18"/>
  <c r="I641" i="18"/>
  <c r="J659" i="18" s="1"/>
  <c r="G194" i="18"/>
  <c r="G318" i="18"/>
  <c r="H1137" i="18"/>
  <c r="H1155" i="18" s="1"/>
  <c r="G1134" i="18"/>
  <c r="J1137" i="18"/>
  <c r="I1137" i="18"/>
  <c r="J1155" i="18" s="1"/>
  <c r="O1105" i="18"/>
  <c r="O1107" i="18" s="1"/>
  <c r="N1105" i="18"/>
  <c r="N1107" i="18" s="1"/>
  <c r="V1309" i="18"/>
  <c r="W1309" i="18" s="1"/>
  <c r="G1699" i="18"/>
  <c r="V1710" i="18"/>
  <c r="W1710" i="18" s="1"/>
  <c r="V377" i="18"/>
  <c r="W377" i="18" s="1"/>
  <c r="G366" i="18"/>
  <c r="G1589" i="18"/>
  <c r="G1000" i="18"/>
  <c r="V1464" i="18"/>
  <c r="W1464" i="18" s="1"/>
  <c r="G1248" i="18"/>
  <c r="N1384" i="18"/>
  <c r="N1386" i="18" s="1"/>
  <c r="O1384" i="18"/>
  <c r="O1386" i="18" s="1"/>
  <c r="G731" i="18"/>
  <c r="I734" i="18"/>
  <c r="J752" i="18" s="1"/>
  <c r="H734" i="18"/>
  <c r="H752" i="18" s="1"/>
  <c r="J734" i="18"/>
  <c r="G876" i="18"/>
  <c r="O1198" i="18"/>
  <c r="O1200" i="18" s="1"/>
  <c r="N1198" i="18"/>
  <c r="N1200" i="18" s="1"/>
  <c r="N1601" i="18"/>
  <c r="N1603" i="18" s="1"/>
  <c r="O1601" i="18"/>
  <c r="O1603" i="18" s="1"/>
  <c r="G1744" i="18"/>
  <c r="V1276" i="18"/>
  <c r="W1276" i="18" s="1"/>
  <c r="G1265" i="18"/>
  <c r="V317" i="18"/>
  <c r="W317" i="18" s="1"/>
  <c r="H827" i="18"/>
  <c r="H845" i="18" s="1"/>
  <c r="J827" i="18"/>
  <c r="I827" i="18"/>
  <c r="J845" i="18" s="1"/>
  <c r="G824" i="18"/>
  <c r="H1819" i="18"/>
  <c r="H1837" i="18" s="1"/>
  <c r="J1819" i="18"/>
  <c r="I1819" i="18"/>
  <c r="J1837" i="18" s="1"/>
  <c r="G1816" i="18"/>
  <c r="V720" i="18"/>
  <c r="W720" i="18" s="1"/>
  <c r="V689" i="18"/>
  <c r="W689" i="18" s="1"/>
  <c r="N144" i="18"/>
  <c r="N146" i="18" s="1"/>
  <c r="O144" i="18"/>
  <c r="O146" i="18" s="1"/>
  <c r="G1668" i="18"/>
  <c r="V1679" i="18"/>
  <c r="W1679" i="18" s="1"/>
  <c r="V1650" i="18"/>
  <c r="W1650" i="18" s="1"/>
  <c r="V1090" i="18"/>
  <c r="W1090" i="18" s="1"/>
  <c r="G1079" i="18"/>
  <c r="V1028" i="18"/>
  <c r="W1028" i="18" s="1"/>
  <c r="G1017" i="18"/>
  <c r="G335" i="18"/>
  <c r="V346" i="18"/>
  <c r="W346" i="18" s="1"/>
  <c r="V906" i="18"/>
  <c r="W906" i="18" s="1"/>
  <c r="V1369" i="18"/>
  <c r="W1369" i="18" s="1"/>
  <c r="G1358" i="18"/>
  <c r="V811" i="18"/>
  <c r="W811" i="18" s="1"/>
  <c r="G800" i="18"/>
  <c r="V1557" i="18"/>
  <c r="W1557" i="18" s="1"/>
  <c r="V935" i="18"/>
  <c r="W935" i="18" s="1"/>
  <c r="G924" i="18"/>
  <c r="V1495" i="18"/>
  <c r="W1495" i="18" s="1"/>
  <c r="I1044" i="18"/>
  <c r="J1062" i="18" s="1"/>
  <c r="G1041" i="18"/>
  <c r="H1044" i="18"/>
  <c r="H1062" i="18" s="1"/>
  <c r="J1044" i="18"/>
  <c r="O392" i="18"/>
  <c r="O394" i="18" s="1"/>
  <c r="N392" i="18"/>
  <c r="N394" i="18" s="1"/>
  <c r="G845" i="18"/>
  <c r="V1123" i="18"/>
  <c r="W1123" i="18" s="1"/>
  <c r="B1907" i="18"/>
  <c r="B1908" i="18" s="1"/>
  <c r="B1909" i="18" s="1"/>
  <c r="B1910" i="18" s="1"/>
  <c r="B1911" i="18" s="1"/>
  <c r="B1912" i="18" s="1"/>
  <c r="B1913" i="18" s="1"/>
  <c r="B1914" i="18" s="1"/>
  <c r="B1915" i="18" s="1"/>
  <c r="B1916" i="18" s="1"/>
  <c r="B1917" i="18" s="1"/>
  <c r="B1918" i="18" s="1"/>
  <c r="B1919" i="18" s="1"/>
  <c r="B1920" i="18" s="1"/>
  <c r="B1921" i="18" s="1"/>
  <c r="B1922" i="18" s="1"/>
  <c r="B1923" i="18" s="1"/>
  <c r="B1924" i="18" s="1"/>
  <c r="B1925" i="18" s="1"/>
  <c r="B1926" i="18" s="1"/>
  <c r="B1927" i="18" s="1"/>
  <c r="B1928" i="18" s="1"/>
  <c r="B1929" i="18" s="1"/>
  <c r="B1930" i="18" s="1"/>
  <c r="B1931" i="18" s="1"/>
  <c r="B1932" i="18" s="1"/>
  <c r="B1933" i="18" s="1"/>
  <c r="B1934" i="18" s="1"/>
  <c r="B1935" i="18" s="1"/>
  <c r="B1936" i="18" s="1"/>
  <c r="B1937" i="18" s="1"/>
  <c r="V1433" i="18"/>
  <c r="W1433" i="18" s="1"/>
  <c r="I703" i="18"/>
  <c r="J721" i="18" s="1"/>
  <c r="G700" i="18"/>
  <c r="H703" i="18"/>
  <c r="H721" i="18" s="1"/>
  <c r="J703" i="18"/>
  <c r="I672" i="18"/>
  <c r="J690" i="18" s="1"/>
  <c r="G669" i="18"/>
  <c r="J672" i="18"/>
  <c r="H672" i="18"/>
  <c r="H690" i="18" s="1"/>
  <c r="J1664" i="18"/>
  <c r="I1664" i="18"/>
  <c r="J1682" i="18" s="1"/>
  <c r="H1664" i="18"/>
  <c r="H1682" i="18" s="1"/>
  <c r="G1661" i="18"/>
  <c r="J1633" i="18"/>
  <c r="H1633" i="18"/>
  <c r="H1651" i="18" s="1"/>
  <c r="G1630" i="18"/>
  <c r="I1633" i="18"/>
  <c r="J1651" i="18" s="1"/>
  <c r="V1340" i="18"/>
  <c r="W1340" i="18" s="1"/>
  <c r="N485" i="18"/>
  <c r="N487" i="18" s="1"/>
  <c r="O485" i="18"/>
  <c r="O487" i="18" s="1"/>
  <c r="V286" i="18"/>
  <c r="W286" i="18" s="1"/>
  <c r="V1402" i="18"/>
  <c r="W1402" i="18" s="1"/>
  <c r="N733" i="18"/>
  <c r="N735" i="18" s="1"/>
  <c r="O733" i="18"/>
  <c r="O735" i="18" s="1"/>
  <c r="N516" i="18"/>
  <c r="N518" i="18" s="1"/>
  <c r="O516" i="18"/>
  <c r="O518" i="18" s="1"/>
  <c r="V813" i="18"/>
  <c r="W813" i="18" s="1"/>
  <c r="J1540" i="18"/>
  <c r="G1537" i="18"/>
  <c r="I1540" i="18"/>
  <c r="J1558" i="18" s="1"/>
  <c r="H1540" i="18"/>
  <c r="H1558" i="18" s="1"/>
  <c r="G917" i="18"/>
  <c r="J920" i="18"/>
  <c r="H920" i="18"/>
  <c r="H938" i="18" s="1"/>
  <c r="I920" i="18"/>
  <c r="J938" i="18" s="1"/>
  <c r="G955" i="18"/>
  <c r="V966" i="18"/>
  <c r="W966" i="18" s="1"/>
  <c r="O578" i="18"/>
  <c r="O580" i="18" s="1"/>
  <c r="N578" i="18"/>
  <c r="N580" i="18" s="1"/>
  <c r="G1062" i="18"/>
  <c r="V253" i="18"/>
  <c r="W253" i="18" s="1"/>
  <c r="G242" i="18"/>
  <c r="N1260" i="18"/>
  <c r="N1262" i="18" s="1"/>
  <c r="O1260" i="18"/>
  <c r="O1262" i="18" s="1"/>
  <c r="I1106" i="18"/>
  <c r="J1124" i="18" s="1"/>
  <c r="H1106" i="18"/>
  <c r="H1124" i="18" s="1"/>
  <c r="J1106" i="18"/>
  <c r="G1103" i="18"/>
  <c r="O1291" i="18"/>
  <c r="O1293" i="18" s="1"/>
  <c r="N1291" i="18"/>
  <c r="N1293" i="18" s="1"/>
  <c r="G1939" i="18"/>
  <c r="D1970" i="18"/>
  <c r="D2001" i="18" s="1"/>
  <c r="G2001" i="18" s="1"/>
  <c r="V1712" i="18"/>
  <c r="W1712" i="18" s="1"/>
  <c r="G1413" i="18"/>
  <c r="I1416" i="18"/>
  <c r="J1434" i="18" s="1"/>
  <c r="J1416" i="18"/>
  <c r="H1416" i="18"/>
  <c r="H1434" i="18" s="1"/>
  <c r="V222" i="18"/>
  <c r="W222" i="18" s="1"/>
  <c r="G211" i="18"/>
  <c r="I362" i="18"/>
  <c r="J380" i="18" s="1"/>
  <c r="H362" i="18"/>
  <c r="H380" i="18" s="1"/>
  <c r="K380" i="18" s="1"/>
  <c r="J362" i="18"/>
  <c r="G359" i="18"/>
  <c r="G690" i="18"/>
  <c r="J145" i="18"/>
  <c r="H145" i="18"/>
  <c r="H163" i="18" s="1"/>
  <c r="G142" i="18"/>
  <c r="I145" i="18"/>
  <c r="J163" i="18" s="1"/>
  <c r="G1682" i="18"/>
  <c r="O1570" i="18"/>
  <c r="O1572" i="18" s="1"/>
  <c r="N1570" i="18"/>
  <c r="N1572" i="18" s="1"/>
  <c r="H1323" i="18"/>
  <c r="H1341" i="18" s="1"/>
  <c r="I1323" i="18"/>
  <c r="J1341" i="18" s="1"/>
  <c r="G1320" i="18"/>
  <c r="J1323" i="18"/>
  <c r="J269" i="18"/>
  <c r="H269" i="18"/>
  <c r="H287" i="18" s="1"/>
  <c r="G266" i="18"/>
  <c r="I269" i="18"/>
  <c r="J287" i="18" s="1"/>
  <c r="N1012" i="18"/>
  <c r="N1014" i="18" s="1"/>
  <c r="O1012" i="18"/>
  <c r="O1014" i="18" s="1"/>
  <c r="J1385" i="18"/>
  <c r="G1382" i="18"/>
  <c r="I1385" i="18"/>
  <c r="J1403" i="18" s="1"/>
  <c r="H1385" i="18"/>
  <c r="H1403" i="18" s="1"/>
  <c r="V348" i="18"/>
  <c r="W348" i="18" s="1"/>
  <c r="J889" i="18"/>
  <c r="H889" i="18"/>
  <c r="H907" i="18" s="1"/>
  <c r="G886" i="18"/>
  <c r="I889" i="18"/>
  <c r="J907" i="18" s="1"/>
  <c r="V534" i="18"/>
  <c r="W534" i="18" s="1"/>
  <c r="G132" i="18"/>
  <c r="O795" i="18"/>
  <c r="O797" i="18" s="1"/>
  <c r="N795" i="18"/>
  <c r="N797" i="18" s="1"/>
  <c r="G1558" i="18"/>
  <c r="V1619" i="18"/>
  <c r="W1619" i="18" s="1"/>
  <c r="G938" i="18"/>
  <c r="N1477" i="18"/>
  <c r="N1479" i="18" s="1"/>
  <c r="O1477" i="18"/>
  <c r="O1479" i="18" s="1"/>
  <c r="O950" i="18"/>
  <c r="O952" i="18" s="1"/>
  <c r="N950" i="18"/>
  <c r="N952" i="18" s="1"/>
  <c r="V1061" i="18"/>
  <c r="W1061" i="18" s="1"/>
  <c r="V255" i="18"/>
  <c r="W255" i="18" s="1"/>
  <c r="V627" i="18"/>
  <c r="W627" i="18" s="1"/>
  <c r="O423" i="18"/>
  <c r="O425" i="18" s="1"/>
  <c r="N423" i="18"/>
  <c r="N425" i="18" s="1"/>
  <c r="V191" i="18"/>
  <c r="W191" i="18" s="1"/>
  <c r="G180" i="18"/>
  <c r="O299" i="18"/>
  <c r="O301" i="18" s="1"/>
  <c r="N299" i="18"/>
  <c r="N301" i="18" s="1"/>
  <c r="V844" i="18"/>
  <c r="W844" i="18" s="1"/>
  <c r="G1124" i="18"/>
  <c r="I1695" i="18"/>
  <c r="J1713" i="18" s="1"/>
  <c r="H1695" i="18"/>
  <c r="H1713" i="18" s="1"/>
  <c r="J1695" i="18"/>
  <c r="G1692" i="18"/>
  <c r="G1434" i="18"/>
  <c r="G459" i="18"/>
  <c r="V470" i="18"/>
  <c r="W470" i="18" s="1"/>
  <c r="V997" i="18"/>
  <c r="W997" i="18" s="1"/>
  <c r="G986" i="18"/>
  <c r="I1075" i="18"/>
  <c r="J1093" i="18" s="1"/>
  <c r="G1072" i="18"/>
  <c r="H1075" i="18"/>
  <c r="H1093" i="18" s="1"/>
  <c r="J1075" i="18"/>
  <c r="G1341" i="18"/>
  <c r="V1805" i="18"/>
  <c r="W1805" i="18" s="1"/>
  <c r="G287" i="18"/>
  <c r="V1245" i="18"/>
  <c r="W1245" i="18" s="1"/>
  <c r="G1234" i="18"/>
  <c r="G1403" i="18"/>
  <c r="V873" i="18"/>
  <c r="W873" i="18" s="1"/>
  <c r="G862" i="18"/>
  <c r="I331" i="18"/>
  <c r="J349" i="18" s="1"/>
  <c r="H331" i="18"/>
  <c r="H349" i="18" s="1"/>
  <c r="J331" i="18"/>
  <c r="G328" i="18"/>
  <c r="G907" i="18"/>
  <c r="G514" i="18"/>
  <c r="H517" i="18"/>
  <c r="H535" i="18" s="1"/>
  <c r="J517" i="18"/>
  <c r="I517" i="18"/>
  <c r="J535" i="18" s="1"/>
  <c r="V563" i="18"/>
  <c r="W563" i="18" s="1"/>
  <c r="G552" i="18"/>
  <c r="V1371" i="18"/>
  <c r="W1371" i="18" s="1"/>
  <c r="V1214" i="18"/>
  <c r="W1214" i="18" s="1"/>
  <c r="G1203" i="18"/>
  <c r="H796" i="18"/>
  <c r="H814" i="18" s="1"/>
  <c r="J796" i="18"/>
  <c r="G793" i="18"/>
  <c r="I796" i="18"/>
  <c r="J814" i="18" s="1"/>
  <c r="V1741" i="18"/>
  <c r="W1741" i="18" s="1"/>
  <c r="G1730" i="18"/>
  <c r="V937" i="18"/>
  <c r="W937" i="18" s="1"/>
  <c r="V780" i="18"/>
  <c r="W780" i="18" s="1"/>
  <c r="G769" i="18"/>
  <c r="C3" i="3"/>
  <c r="D1" i="3"/>
  <c r="C1" i="22"/>
  <c r="K1093" i="18" l="1"/>
  <c r="K1651" i="18"/>
  <c r="K1465" i="18"/>
  <c r="K1868" i="18"/>
  <c r="K1713" i="18"/>
  <c r="I1930" i="18"/>
  <c r="K1930" i="18"/>
  <c r="G2006" i="18"/>
  <c r="T2027" i="18"/>
  <c r="T2028" i="18"/>
  <c r="T2025" i="18"/>
  <c r="T2026" i="18"/>
  <c r="T2015" i="18"/>
  <c r="T2018" i="18"/>
  <c r="T2024" i="18"/>
  <c r="T2022" i="18"/>
  <c r="T2020" i="18"/>
  <c r="Y2020" i="18" s="1"/>
  <c r="T2021" i="18"/>
  <c r="T2017" i="18"/>
  <c r="O2005" i="18"/>
  <c r="T2019" i="18"/>
  <c r="N2005" i="18"/>
  <c r="O2003" i="18"/>
  <c r="N2003" i="18"/>
  <c r="T2016" i="18"/>
  <c r="T2029" i="18"/>
  <c r="T2023" i="18"/>
  <c r="K597" i="18"/>
  <c r="K349" i="18"/>
  <c r="K628" i="18"/>
  <c r="K1310" i="18"/>
  <c r="K163" i="18"/>
  <c r="K442" i="18"/>
  <c r="K411" i="18"/>
  <c r="K814" i="18"/>
  <c r="I1465" i="18"/>
  <c r="K1775" i="18"/>
  <c r="K969" i="18"/>
  <c r="K1496" i="18"/>
  <c r="I411" i="18"/>
  <c r="I132" i="18"/>
  <c r="K1527" i="18"/>
  <c r="K659" i="18"/>
  <c r="K1217" i="18"/>
  <c r="I1062" i="18"/>
  <c r="K721" i="18"/>
  <c r="I1744" i="18"/>
  <c r="K752" i="18"/>
  <c r="I1496" i="18"/>
  <c r="K783" i="18"/>
  <c r="K566" i="18"/>
  <c r="I1682" i="18"/>
  <c r="I1620" i="18"/>
  <c r="I504" i="18"/>
  <c r="I783" i="18"/>
  <c r="K1558" i="18"/>
  <c r="I318" i="18"/>
  <c r="I597" i="18"/>
  <c r="K1620" i="18"/>
  <c r="I256" i="18"/>
  <c r="I1279" i="18"/>
  <c r="I1124" i="18"/>
  <c r="I969" i="18"/>
  <c r="I752" i="18"/>
  <c r="I1403" i="18"/>
  <c r="K473" i="18"/>
  <c r="I1434" i="18"/>
  <c r="I1868" i="18"/>
  <c r="G1186" i="18"/>
  <c r="I1217" i="18"/>
  <c r="I1310" i="18"/>
  <c r="I1372" i="18"/>
  <c r="K535" i="18"/>
  <c r="I225" i="18"/>
  <c r="I1248" i="18"/>
  <c r="K690" i="18"/>
  <c r="K1837" i="18"/>
  <c r="I1341" i="18"/>
  <c r="K938" i="18"/>
  <c r="K1000" i="18"/>
  <c r="I907" i="18"/>
  <c r="K1031" i="18"/>
  <c r="K287" i="18"/>
  <c r="K1155" i="18"/>
  <c r="I1527" i="18"/>
  <c r="I876" i="18"/>
  <c r="I194" i="18"/>
  <c r="K1589" i="18"/>
  <c r="K845" i="18"/>
  <c r="K1806" i="18"/>
  <c r="I380" i="18"/>
  <c r="K256" i="18"/>
  <c r="B1938" i="18"/>
  <c r="B1939" i="18" s="1"/>
  <c r="B1940" i="18" s="1"/>
  <c r="B1941" i="18" s="1"/>
  <c r="B1942" i="18" s="1"/>
  <c r="B1943" i="18" s="1"/>
  <c r="B1944" i="18" s="1"/>
  <c r="B1945" i="18" s="1"/>
  <c r="B1946" i="18" s="1"/>
  <c r="B1947" i="18" s="1"/>
  <c r="B1948" i="18" s="1"/>
  <c r="B1949" i="18" s="1"/>
  <c r="B1950" i="18" s="1"/>
  <c r="B1951" i="18" s="1"/>
  <c r="B1952" i="18" s="1"/>
  <c r="B1953" i="18" s="1"/>
  <c r="B1954" i="18" s="1"/>
  <c r="B1955" i="18" s="1"/>
  <c r="B1956" i="18" s="1"/>
  <c r="B1957" i="18" s="1"/>
  <c r="B1958" i="18" s="1"/>
  <c r="B1959" i="18" s="1"/>
  <c r="B1960" i="18" s="1"/>
  <c r="B1961" i="18" s="1"/>
  <c r="B1962" i="18" s="1"/>
  <c r="B1963" i="18" s="1"/>
  <c r="B1964" i="18" s="1"/>
  <c r="B1965" i="18" s="1"/>
  <c r="B1966" i="18" s="1"/>
  <c r="B1967" i="18" s="1"/>
  <c r="B1968" i="18" s="1"/>
  <c r="T1960" i="18"/>
  <c r="T1959" i="18"/>
  <c r="T1957" i="18"/>
  <c r="N1943" i="18"/>
  <c r="T1962" i="18"/>
  <c r="O1941" i="18"/>
  <c r="T1961" i="18"/>
  <c r="N1941" i="18"/>
  <c r="T1956" i="18"/>
  <c r="T1955" i="18"/>
  <c r="T1954" i="18"/>
  <c r="G1944" i="18"/>
  <c r="T1967" i="18"/>
  <c r="T1966" i="18"/>
  <c r="T1965" i="18"/>
  <c r="T1964" i="18"/>
  <c r="T1963" i="18"/>
  <c r="T1958" i="18"/>
  <c r="T1953" i="18"/>
  <c r="O1943" i="18"/>
  <c r="K1341" i="18"/>
  <c r="K1434" i="18"/>
  <c r="K132" i="18"/>
  <c r="K876" i="18"/>
  <c r="G1172" i="18"/>
  <c r="V1183" i="18"/>
  <c r="W1183" i="18" s="1"/>
  <c r="V1898" i="18"/>
  <c r="W1898" i="18" s="1"/>
  <c r="I814" i="18"/>
  <c r="I1713" i="18"/>
  <c r="G1970" i="18"/>
  <c r="K1403" i="18"/>
  <c r="I1651" i="18"/>
  <c r="I690" i="18"/>
  <c r="K1062" i="18"/>
  <c r="I566" i="18"/>
  <c r="I1775" i="18"/>
  <c r="K504" i="18"/>
  <c r="I1031" i="18"/>
  <c r="V1185" i="18"/>
  <c r="W1185" i="18" s="1"/>
  <c r="I628" i="18"/>
  <c r="J1168" i="18"/>
  <c r="G1165" i="18"/>
  <c r="I1168" i="18"/>
  <c r="J1186" i="18" s="1"/>
  <c r="H1168" i="18"/>
  <c r="H1186" i="18" s="1"/>
  <c r="I1155" i="18"/>
  <c r="H1881" i="18"/>
  <c r="H1899" i="18" s="1"/>
  <c r="J1881" i="18"/>
  <c r="I1881" i="18"/>
  <c r="J1899" i="18" s="1"/>
  <c r="G1878" i="18"/>
  <c r="K1248" i="18"/>
  <c r="K1279" i="18"/>
  <c r="G1899" i="18"/>
  <c r="I535" i="18"/>
  <c r="N1880" i="18"/>
  <c r="N1882" i="18" s="1"/>
  <c r="O1880" i="18"/>
  <c r="O1882" i="18" s="1"/>
  <c r="I938" i="18"/>
  <c r="K1682" i="18"/>
  <c r="K318" i="18"/>
  <c r="I473" i="18"/>
  <c r="I349" i="18"/>
  <c r="V1896" i="18"/>
  <c r="W1896" i="18" s="1"/>
  <c r="G1885" i="18"/>
  <c r="K1372" i="18"/>
  <c r="I1837" i="18"/>
  <c r="I1093" i="18"/>
  <c r="I659" i="18"/>
  <c r="K225" i="18"/>
  <c r="O1167" i="18"/>
  <c r="O1169" i="18" s="1"/>
  <c r="N1167" i="18"/>
  <c r="N1169" i="18" s="1"/>
  <c r="I1806" i="18"/>
  <c r="I287" i="18"/>
  <c r="K1124" i="18"/>
  <c r="I1558" i="18"/>
  <c r="K907" i="18"/>
  <c r="I845" i="18"/>
  <c r="I442" i="18"/>
  <c r="I1000" i="18"/>
  <c r="I721" i="18"/>
  <c r="I1589" i="18"/>
  <c r="K1744" i="18"/>
  <c r="K194" i="18"/>
  <c r="I163" i="18"/>
  <c r="C5" i="3"/>
  <c r="C4" i="4"/>
  <c r="G2003" i="18" l="1"/>
  <c r="I2030" i="18"/>
  <c r="G2016" i="18"/>
  <c r="G2017" i="18"/>
  <c r="G2004" i="18"/>
  <c r="G2020" i="18"/>
  <c r="G2005" i="18"/>
  <c r="G2022" i="18"/>
  <c r="G2025" i="18"/>
  <c r="K1186" i="18"/>
  <c r="I1899" i="18"/>
  <c r="Y1958" i="18"/>
  <c r="G1958" i="18" s="1"/>
  <c r="K1899" i="18"/>
  <c r="I1186" i="18"/>
  <c r="G1941" i="18"/>
  <c r="G1955" i="18"/>
  <c r="I1968" i="18"/>
  <c r="G1954" i="18"/>
  <c r="G1960" i="18"/>
  <c r="G1943" i="18"/>
  <c r="G1942" i="18"/>
  <c r="G1963" i="18"/>
  <c r="B2000" i="18"/>
  <c r="B2001" i="18" s="1"/>
  <c r="B2002" i="18" s="1"/>
  <c r="B2003" i="18" s="1"/>
  <c r="B2004" i="18" s="1"/>
  <c r="B2005" i="18" s="1"/>
  <c r="B2006" i="18" s="1"/>
  <c r="B2007" i="18" s="1"/>
  <c r="B2008" i="18" s="1"/>
  <c r="B2009" i="18" s="1"/>
  <c r="B2010" i="18" s="1"/>
  <c r="B2011" i="18" s="1"/>
  <c r="B2012" i="18" s="1"/>
  <c r="B2013" i="18" s="1"/>
  <c r="B2014" i="18" s="1"/>
  <c r="B2015" i="18" s="1"/>
  <c r="B2016" i="18" s="1"/>
  <c r="B2017" i="18" s="1"/>
  <c r="B2018" i="18" s="1"/>
  <c r="B2019" i="18" s="1"/>
  <c r="B2020" i="18" s="1"/>
  <c r="B2021" i="18" s="1"/>
  <c r="B2022" i="18" s="1"/>
  <c r="B2023" i="18" s="1"/>
  <c r="B2024" i="18" s="1"/>
  <c r="B2025" i="18" s="1"/>
  <c r="B2026" i="18" s="1"/>
  <c r="B2027" i="18" s="1"/>
  <c r="B2028" i="18" s="1"/>
  <c r="B2029" i="18" s="1"/>
  <c r="B2030" i="18" s="1"/>
  <c r="B1969" i="18"/>
  <c r="B1970" i="18" s="1"/>
  <c r="B1971" i="18" s="1"/>
  <c r="B1972" i="18" s="1"/>
  <c r="B1973" i="18" s="1"/>
  <c r="B1974" i="18" s="1"/>
  <c r="B1975" i="18" s="1"/>
  <c r="B1976" i="18" s="1"/>
  <c r="B1977" i="18" s="1"/>
  <c r="B1978" i="18" s="1"/>
  <c r="B1979" i="18" s="1"/>
  <c r="B1980" i="18" s="1"/>
  <c r="B1981" i="18" s="1"/>
  <c r="B1982" i="18" s="1"/>
  <c r="B1983" i="18" s="1"/>
  <c r="B1984" i="18" s="1"/>
  <c r="B1985" i="18" s="1"/>
  <c r="B1986" i="18" s="1"/>
  <c r="B1987" i="18" s="1"/>
  <c r="B1988" i="18" s="1"/>
  <c r="B1989" i="18" s="1"/>
  <c r="B1990" i="18" s="1"/>
  <c r="B1991" i="18" s="1"/>
  <c r="B1992" i="18" s="1"/>
  <c r="B1993" i="18" s="1"/>
  <c r="B1994" i="18" s="1"/>
  <c r="B1995" i="18" s="1"/>
  <c r="B1996" i="18" s="1"/>
  <c r="B1997" i="18" s="1"/>
  <c r="B1998" i="18" s="1"/>
  <c r="B1999" i="18" s="1"/>
  <c r="T1985" i="18"/>
  <c r="T1998" i="18"/>
  <c r="T1996" i="18"/>
  <c r="T1997" i="18"/>
  <c r="T1994" i="18"/>
  <c r="T1995" i="18"/>
  <c r="T1984" i="18"/>
  <c r="T1993" i="18"/>
  <c r="T1991" i="18"/>
  <c r="T1989" i="18"/>
  <c r="Y1989" i="18" s="1"/>
  <c r="T1990" i="18"/>
  <c r="O1974" i="18"/>
  <c r="T1988" i="18"/>
  <c r="N1974" i="18"/>
  <c r="T1992" i="18"/>
  <c r="O1972" i="18"/>
  <c r="T1987" i="18"/>
  <c r="N1972" i="18"/>
  <c r="T1986" i="18"/>
  <c r="G1975" i="18"/>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345" i="11"/>
  <c r="P346" i="11"/>
  <c r="P347" i="11"/>
  <c r="P348" i="11"/>
  <c r="P349" i="11"/>
  <c r="P350" i="11"/>
  <c r="P351" i="11"/>
  <c r="P352" i="11"/>
  <c r="P353" i="11"/>
  <c r="P354" i="11"/>
  <c r="P355" i="11"/>
  <c r="P356" i="11"/>
  <c r="P357" i="11"/>
  <c r="P358" i="11"/>
  <c r="P359" i="11"/>
  <c r="P360" i="11"/>
  <c r="P361" i="11"/>
  <c r="P362" i="11"/>
  <c r="P363" i="11"/>
  <c r="P364" i="11"/>
  <c r="P365" i="11"/>
  <c r="P366" i="11"/>
  <c r="P367" i="11"/>
  <c r="P368" i="11"/>
  <c r="P369" i="11"/>
  <c r="P370" i="11"/>
  <c r="P371" i="11"/>
  <c r="P372" i="11"/>
  <c r="P373" i="11"/>
  <c r="P374" i="11"/>
  <c r="P375" i="11"/>
  <c r="P376" i="11"/>
  <c r="P377" i="11"/>
  <c r="P378" i="11"/>
  <c r="P379" i="11"/>
  <c r="P380" i="11"/>
  <c r="P381" i="11"/>
  <c r="P382" i="11"/>
  <c r="P383" i="11"/>
  <c r="P384" i="11"/>
  <c r="P385" i="11"/>
  <c r="P386" i="11"/>
  <c r="P387" i="11"/>
  <c r="P388" i="11"/>
  <c r="P389" i="11"/>
  <c r="P390" i="11"/>
  <c r="P391" i="11"/>
  <c r="P392" i="11"/>
  <c r="P393" i="11"/>
  <c r="P394" i="11"/>
  <c r="P395" i="11"/>
  <c r="P396" i="11"/>
  <c r="P397" i="11"/>
  <c r="P398" i="11"/>
  <c r="P399"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7" i="11"/>
  <c r="P458" i="11"/>
  <c r="P459" i="11"/>
  <c r="P460" i="11"/>
  <c r="P461" i="11"/>
  <c r="P462" i="11"/>
  <c r="P463" i="11"/>
  <c r="P464" i="11"/>
  <c r="P465" i="11"/>
  <c r="P466" i="11"/>
  <c r="P467" i="11"/>
  <c r="P468" i="11"/>
  <c r="P469" i="11"/>
  <c r="P470" i="11"/>
  <c r="P471" i="11"/>
  <c r="P472" i="11"/>
  <c r="P473" i="11"/>
  <c r="P474" i="11"/>
  <c r="P475" i="11"/>
  <c r="P476" i="11"/>
  <c r="P477" i="11"/>
  <c r="P478" i="11"/>
  <c r="P479" i="11"/>
  <c r="P480" i="11"/>
  <c r="P481" i="11"/>
  <c r="P482" i="11"/>
  <c r="P483" i="11"/>
  <c r="P484" i="11"/>
  <c r="P485" i="11"/>
  <c r="P486" i="11"/>
  <c r="P487" i="11"/>
  <c r="P488" i="11"/>
  <c r="P489" i="11"/>
  <c r="P490" i="11"/>
  <c r="P491" i="11"/>
  <c r="P492" i="11"/>
  <c r="P493" i="11"/>
  <c r="P494" i="11"/>
  <c r="P495" i="11"/>
  <c r="P496" i="11"/>
  <c r="P497" i="11"/>
  <c r="P498" i="11"/>
  <c r="P499" i="11"/>
  <c r="P500" i="11"/>
  <c r="P501" i="11"/>
  <c r="P502" i="11"/>
  <c r="P503" i="11"/>
  <c r="P504" i="11"/>
  <c r="P505" i="11"/>
  <c r="P506" i="11"/>
  <c r="P507" i="11"/>
  <c r="P508" i="11"/>
  <c r="P509" i="11"/>
  <c r="P510" i="11"/>
  <c r="P511" i="11"/>
  <c r="P512" i="11"/>
  <c r="P513" i="11"/>
  <c r="P514" i="11"/>
  <c r="P515" i="11"/>
  <c r="P516" i="11"/>
  <c r="P517" i="11"/>
  <c r="P518" i="11"/>
  <c r="P519" i="11"/>
  <c r="P520" i="11"/>
  <c r="P521" i="11"/>
  <c r="P522" i="11"/>
  <c r="P523" i="11"/>
  <c r="P524" i="11"/>
  <c r="P525" i="11"/>
  <c r="P526" i="11"/>
  <c r="P527" i="11"/>
  <c r="P528" i="11"/>
  <c r="P529" i="11"/>
  <c r="P530" i="11"/>
  <c r="P531" i="11"/>
  <c r="P532" i="11"/>
  <c r="P533" i="11"/>
  <c r="P534" i="11"/>
  <c r="P535" i="11"/>
  <c r="P536" i="11"/>
  <c r="P537" i="11"/>
  <c r="P538" i="11"/>
  <c r="P539" i="11"/>
  <c r="P540" i="11"/>
  <c r="P541"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P679" i="11"/>
  <c r="P680" i="11"/>
  <c r="P681" i="11"/>
  <c r="P682" i="11"/>
  <c r="P683" i="11"/>
  <c r="P684" i="11"/>
  <c r="P685" i="11"/>
  <c r="P686" i="11"/>
  <c r="P687" i="11"/>
  <c r="P688" i="11"/>
  <c r="P689" i="11"/>
  <c r="P690" i="11"/>
  <c r="P691" i="11"/>
  <c r="P692" i="11"/>
  <c r="P693" i="11"/>
  <c r="P694" i="11"/>
  <c r="P695" i="11"/>
  <c r="P696" i="11"/>
  <c r="P697" i="11"/>
  <c r="P698" i="11"/>
  <c r="P699" i="11"/>
  <c r="P700" i="11"/>
  <c r="P701" i="11"/>
  <c r="P702" i="11"/>
  <c r="P703" i="11"/>
  <c r="P704" i="11"/>
  <c r="P705" i="11"/>
  <c r="P706" i="11"/>
  <c r="P707" i="11"/>
  <c r="P708" i="11"/>
  <c r="P709" i="11"/>
  <c r="P710" i="11"/>
  <c r="P711" i="11"/>
  <c r="P712" i="11"/>
  <c r="P713" i="11"/>
  <c r="P714" i="11"/>
  <c r="P715" i="11"/>
  <c r="P716" i="11"/>
  <c r="P717" i="11"/>
  <c r="P718" i="11"/>
  <c r="P719" i="11"/>
  <c r="P720" i="11"/>
  <c r="P721" i="11"/>
  <c r="P722" i="11"/>
  <c r="P723" i="11"/>
  <c r="P724" i="11"/>
  <c r="P725" i="11"/>
  <c r="P726" i="11"/>
  <c r="P727" i="11"/>
  <c r="P728" i="11"/>
  <c r="P729" i="11"/>
  <c r="P730" i="11"/>
  <c r="P731" i="11"/>
  <c r="P732" i="11"/>
  <c r="P733" i="11"/>
  <c r="P734" i="11"/>
  <c r="P735" i="11"/>
  <c r="P736" i="11"/>
  <c r="P737" i="11"/>
  <c r="P738" i="11"/>
  <c r="P739" i="11"/>
  <c r="P740"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0" i="11"/>
  <c r="P791" i="11"/>
  <c r="P792" i="11"/>
  <c r="P793" i="11"/>
  <c r="P794" i="11"/>
  <c r="P795" i="11"/>
  <c r="P796" i="11"/>
  <c r="P797" i="11"/>
  <c r="P798" i="11"/>
  <c r="P799" i="11"/>
  <c r="P800" i="11"/>
  <c r="P801" i="11"/>
  <c r="P802" i="11"/>
  <c r="P803" i="11"/>
  <c r="P804" i="11"/>
  <c r="P805" i="11"/>
  <c r="P806" i="11"/>
  <c r="P807" i="11"/>
  <c r="P808" i="11"/>
  <c r="P809" i="11"/>
  <c r="P810" i="11"/>
  <c r="P811" i="11"/>
  <c r="P812" i="11"/>
  <c r="P813" i="11"/>
  <c r="P814" i="11"/>
  <c r="P815" i="11"/>
  <c r="P816" i="11"/>
  <c r="P817" i="11"/>
  <c r="P818" i="11"/>
  <c r="P819" i="11"/>
  <c r="P820" i="11"/>
  <c r="P821" i="11"/>
  <c r="P822" i="11"/>
  <c r="P823" i="11"/>
  <c r="P824" i="11"/>
  <c r="P825" i="11"/>
  <c r="P826" i="11"/>
  <c r="P827" i="11"/>
  <c r="P828" i="11"/>
  <c r="P829" i="11"/>
  <c r="P830" i="11"/>
  <c r="P831" i="11"/>
  <c r="P832" i="11"/>
  <c r="P833" i="11"/>
  <c r="P834" i="11"/>
  <c r="P835" i="11"/>
  <c r="P836" i="11"/>
  <c r="P837" i="11"/>
  <c r="P838" i="11"/>
  <c r="P839" i="11"/>
  <c r="P840" i="11"/>
  <c r="P841" i="11"/>
  <c r="P842" i="11"/>
  <c r="P843" i="11"/>
  <c r="P844" i="11"/>
  <c r="P845" i="11"/>
  <c r="P846" i="11"/>
  <c r="P847"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8" i="11"/>
  <c r="P889" i="11"/>
  <c r="P890" i="11"/>
  <c r="P891" i="11"/>
  <c r="P892" i="11"/>
  <c r="P893" i="11"/>
  <c r="P894" i="11"/>
  <c r="P895" i="11"/>
  <c r="P896" i="11"/>
  <c r="P897" i="11"/>
  <c r="P898" i="11"/>
  <c r="P899" i="11"/>
  <c r="P900" i="11"/>
  <c r="P901" i="11"/>
  <c r="P902" i="11"/>
  <c r="P903" i="11"/>
  <c r="P904" i="11"/>
  <c r="P905" i="11"/>
  <c r="P906" i="11"/>
  <c r="P907" i="11"/>
  <c r="P908" i="11"/>
  <c r="P909" i="11"/>
  <c r="P910" i="11"/>
  <c r="P911" i="11"/>
  <c r="P912" i="11"/>
  <c r="P913" i="11"/>
  <c r="P914" i="11"/>
  <c r="P915" i="11"/>
  <c r="P916" i="11"/>
  <c r="P917" i="11"/>
  <c r="P918" i="11"/>
  <c r="P919" i="11"/>
  <c r="P920" i="11"/>
  <c r="P921" i="11"/>
  <c r="P922" i="11"/>
  <c r="P923" i="11"/>
  <c r="P924" i="11"/>
  <c r="P925" i="11"/>
  <c r="P926" i="11"/>
  <c r="P927" i="11"/>
  <c r="P928" i="11"/>
  <c r="P929" i="11"/>
  <c r="P930" i="11"/>
  <c r="P931" i="11"/>
  <c r="P932" i="11"/>
  <c r="P933" i="11"/>
  <c r="P934" i="11"/>
  <c r="P935" i="11"/>
  <c r="P936" i="11"/>
  <c r="P937" i="11"/>
  <c r="P938" i="11"/>
  <c r="P939" i="11"/>
  <c r="P940" i="11"/>
  <c r="P941" i="11"/>
  <c r="P942" i="11"/>
  <c r="P943" i="11"/>
  <c r="P944" i="11"/>
  <c r="P945" i="11"/>
  <c r="P946" i="11"/>
  <c r="P947" i="11"/>
  <c r="P948" i="11"/>
  <c r="P949" i="11"/>
  <c r="P950" i="11"/>
  <c r="P951" i="11"/>
  <c r="P952" i="11"/>
  <c r="P953" i="11"/>
  <c r="P954" i="11"/>
  <c r="P955" i="11"/>
  <c r="P956" i="11"/>
  <c r="P957" i="11"/>
  <c r="P958" i="11"/>
  <c r="P959" i="11"/>
  <c r="P960" i="11"/>
  <c r="P961" i="11"/>
  <c r="P962" i="11"/>
  <c r="P963" i="11"/>
  <c r="P964" i="11"/>
  <c r="P965" i="11"/>
  <c r="P966" i="11"/>
  <c r="P967" i="11"/>
  <c r="P968" i="11"/>
  <c r="P969" i="11"/>
  <c r="P970" i="11"/>
  <c r="P971" i="11"/>
  <c r="P972" i="11"/>
  <c r="P973" i="11"/>
  <c r="P974" i="11"/>
  <c r="P975" i="11"/>
  <c r="P976" i="11"/>
  <c r="P977" i="11"/>
  <c r="P978" i="11"/>
  <c r="P979" i="11"/>
  <c r="P980" i="11"/>
  <c r="P981" i="11"/>
  <c r="P982" i="11"/>
  <c r="P983" i="11"/>
  <c r="P984" i="11"/>
  <c r="P985" i="11"/>
  <c r="P986" i="11"/>
  <c r="P987" i="11"/>
  <c r="P988" i="11"/>
  <c r="P989" i="11"/>
  <c r="P990" i="11"/>
  <c r="P991" i="11"/>
  <c r="P992" i="11"/>
  <c r="P993" i="11"/>
  <c r="P994" i="11"/>
  <c r="P995" i="11"/>
  <c r="P996" i="11"/>
  <c r="P997" i="11"/>
  <c r="P998" i="11"/>
  <c r="P999" i="11"/>
  <c r="P1000" i="11"/>
  <c r="P1001" i="11"/>
  <c r="P1002" i="11"/>
  <c r="P1003" i="11"/>
  <c r="P1004" i="11"/>
  <c r="P1005" i="11"/>
  <c r="P1006" i="11"/>
  <c r="P1007" i="11"/>
  <c r="P1008" i="11"/>
  <c r="P1009" i="11"/>
  <c r="P1010" i="11"/>
  <c r="P1011"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3"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6" i="11"/>
  <c r="P1117" i="11"/>
  <c r="P1118" i="11"/>
  <c r="P1119" i="11"/>
  <c r="P1120" i="11"/>
  <c r="P1121" i="11"/>
  <c r="P1122" i="11"/>
  <c r="P1123" i="11"/>
  <c r="P1124" i="11"/>
  <c r="P1125" i="11"/>
  <c r="P1126" i="11"/>
  <c r="P1127" i="11"/>
  <c r="P1128" i="11"/>
  <c r="P1129" i="11"/>
  <c r="P1130" i="11"/>
  <c r="P1131" i="11"/>
  <c r="P1132" i="11"/>
  <c r="P1133" i="11"/>
  <c r="P1134" i="11"/>
  <c r="P1135" i="11"/>
  <c r="P1136" i="11"/>
  <c r="P1137" i="11"/>
  <c r="P1138" i="11"/>
  <c r="P1139" i="11"/>
  <c r="P1140" i="11"/>
  <c r="P1141" i="11"/>
  <c r="P1142" i="11"/>
  <c r="P1143" i="11"/>
  <c r="P1144" i="11"/>
  <c r="P1145" i="11"/>
  <c r="P1146" i="11"/>
  <c r="P1147" i="11"/>
  <c r="P1148" i="11"/>
  <c r="P1149" i="11"/>
  <c r="P1150" i="11"/>
  <c r="P1151" i="11"/>
  <c r="P1152" i="11"/>
  <c r="P1153" i="11"/>
  <c r="P1154" i="11"/>
  <c r="P1155" i="11"/>
  <c r="P1156" i="11"/>
  <c r="P1157" i="11"/>
  <c r="P1158" i="11"/>
  <c r="P1159" i="11"/>
  <c r="P1160" i="11"/>
  <c r="P1161" i="11"/>
  <c r="P1162" i="11"/>
  <c r="P1163" i="11"/>
  <c r="P1164" i="11"/>
  <c r="P1165" i="11"/>
  <c r="P1166" i="11"/>
  <c r="P1167" i="11"/>
  <c r="P1168" i="11"/>
  <c r="P1169" i="11"/>
  <c r="P1170" i="11"/>
  <c r="P1171" i="11"/>
  <c r="P1172" i="11"/>
  <c r="P1173" i="11"/>
  <c r="P1174" i="11"/>
  <c r="P1175" i="11"/>
  <c r="P1176" i="11"/>
  <c r="P1177" i="11"/>
  <c r="P1178" i="11"/>
  <c r="P1179" i="11"/>
  <c r="P1180" i="11"/>
  <c r="P1181" i="11"/>
  <c r="P1182" i="11"/>
  <c r="P1183" i="11"/>
  <c r="P1184" i="11"/>
  <c r="P1185" i="11"/>
  <c r="P1186" i="11"/>
  <c r="P1187" i="11"/>
  <c r="P1188" i="11"/>
  <c r="P1189" i="11"/>
  <c r="P1190" i="11"/>
  <c r="P1191" i="11"/>
  <c r="P1192" i="11"/>
  <c r="P1193" i="11"/>
  <c r="P1194" i="11"/>
  <c r="P1195" i="11"/>
  <c r="P1196" i="11"/>
  <c r="P1197" i="11"/>
  <c r="P1198" i="11"/>
  <c r="P1199" i="11"/>
  <c r="P1200" i="11"/>
  <c r="P1201" i="11"/>
  <c r="P1202" i="11"/>
  <c r="P1203" i="11"/>
  <c r="P1204" i="11"/>
  <c r="P1205" i="11"/>
  <c r="P1206" i="11"/>
  <c r="P1207" i="11"/>
  <c r="P1208" i="11"/>
  <c r="P1209" i="11"/>
  <c r="P1210" i="11"/>
  <c r="P1211" i="11"/>
  <c r="P1212" i="11"/>
  <c r="P1213" i="11"/>
  <c r="P1214" i="11"/>
  <c r="P1215" i="11"/>
  <c r="P1216" i="11"/>
  <c r="P1217" i="11"/>
  <c r="P1218" i="11"/>
  <c r="P1219" i="11"/>
  <c r="P1220" i="11"/>
  <c r="P1221" i="11"/>
  <c r="P1222" i="11"/>
  <c r="P1223" i="11"/>
  <c r="P1224" i="11"/>
  <c r="P1225" i="11"/>
  <c r="P1226" i="11"/>
  <c r="P1227" i="11"/>
  <c r="P1228" i="11"/>
  <c r="P1229" i="11"/>
  <c r="P1230" i="11"/>
  <c r="P1231" i="11"/>
  <c r="P1232" i="11"/>
  <c r="P1233" i="11"/>
  <c r="P1234" i="11"/>
  <c r="P1235" i="11"/>
  <c r="P1236" i="11"/>
  <c r="P1237" i="11"/>
  <c r="P1238" i="11"/>
  <c r="P1239" i="11"/>
  <c r="P1240" i="11"/>
  <c r="P1241" i="11"/>
  <c r="P1242" i="11"/>
  <c r="P1243" i="11"/>
  <c r="P1244" i="11"/>
  <c r="P1245" i="11"/>
  <c r="P1246" i="11"/>
  <c r="P1247" i="11"/>
  <c r="P1248" i="11"/>
  <c r="P1249" i="11"/>
  <c r="P1250" i="11"/>
  <c r="P1251" i="11"/>
  <c r="P1252" i="11"/>
  <c r="P1253" i="11"/>
  <c r="P1254" i="11"/>
  <c r="P1255" i="11"/>
  <c r="P1256" i="11"/>
  <c r="P1257" i="11"/>
  <c r="P1258" i="11"/>
  <c r="P1259" i="11"/>
  <c r="P1260" i="11"/>
  <c r="P1261" i="11"/>
  <c r="P1262" i="11"/>
  <c r="P1263" i="11"/>
  <c r="P1264" i="11"/>
  <c r="P1265" i="11"/>
  <c r="P1266" i="11"/>
  <c r="P1267" i="11"/>
  <c r="P1268" i="11"/>
  <c r="P1269" i="11"/>
  <c r="P1270" i="11"/>
  <c r="P1271" i="11"/>
  <c r="P1272" i="11"/>
  <c r="P1273" i="11"/>
  <c r="P1274" i="11"/>
  <c r="P1275" i="11"/>
  <c r="P1276" i="11"/>
  <c r="P1277" i="11"/>
  <c r="P1278" i="11"/>
  <c r="P1279" i="11"/>
  <c r="P1280" i="11"/>
  <c r="P1281" i="11"/>
  <c r="P1282" i="11"/>
  <c r="P1283" i="11"/>
  <c r="P1284" i="11"/>
  <c r="P1285" i="11"/>
  <c r="P1286" i="11"/>
  <c r="P1287" i="11"/>
  <c r="P1288" i="11"/>
  <c r="P1289" i="11"/>
  <c r="P1290" i="11"/>
  <c r="P1291" i="11"/>
  <c r="P1292" i="11"/>
  <c r="P1293" i="11"/>
  <c r="P1294" i="11"/>
  <c r="P1295" i="11"/>
  <c r="P1296" i="11"/>
  <c r="P1297" i="11"/>
  <c r="P1298" i="11"/>
  <c r="P1299" i="11"/>
  <c r="P1300" i="11"/>
  <c r="P1301" i="11"/>
  <c r="P1302" i="11"/>
  <c r="P1303" i="11"/>
  <c r="P1304" i="11"/>
  <c r="P1305" i="11"/>
  <c r="P1306" i="11"/>
  <c r="P1307" i="11"/>
  <c r="P1308" i="11"/>
  <c r="P1309" i="11"/>
  <c r="P1310" i="11"/>
  <c r="P1311" i="11"/>
  <c r="P1312" i="11"/>
  <c r="P1313" i="11"/>
  <c r="P1314" i="11"/>
  <c r="P1315" i="11"/>
  <c r="P1316" i="11"/>
  <c r="P1317" i="11"/>
  <c r="P1318" i="11"/>
  <c r="P1319" i="11"/>
  <c r="P1320" i="11"/>
  <c r="P1321" i="11"/>
  <c r="P1322" i="11"/>
  <c r="P1323" i="11"/>
  <c r="P1324" i="11"/>
  <c r="P1325" i="11"/>
  <c r="P1326" i="11"/>
  <c r="P1327" i="11"/>
  <c r="P1328" i="11"/>
  <c r="P1329" i="11"/>
  <c r="P1330" i="11"/>
  <c r="P1331" i="11"/>
  <c r="P1332" i="11"/>
  <c r="P1333" i="11"/>
  <c r="P1334" i="11"/>
  <c r="P1335" i="11"/>
  <c r="P1336" i="11"/>
  <c r="P1337" i="11"/>
  <c r="P1338" i="11"/>
  <c r="P1339" i="11"/>
  <c r="P1340" i="11"/>
  <c r="P1341" i="11"/>
  <c r="P1342" i="11"/>
  <c r="P1343" i="11"/>
  <c r="P1344" i="11"/>
  <c r="P1345" i="11"/>
  <c r="P1346" i="11"/>
  <c r="P1347" i="11"/>
  <c r="P1348" i="11"/>
  <c r="P1349" i="11"/>
  <c r="P1350" i="11"/>
  <c r="P1351" i="11"/>
  <c r="P1352" i="11"/>
  <c r="P1353" i="11"/>
  <c r="P1354" i="11"/>
  <c r="P1355" i="11"/>
  <c r="P1356"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79" i="11"/>
  <c r="P1380" i="11"/>
  <c r="P1381" i="11"/>
  <c r="P1382" i="11"/>
  <c r="P1383" i="11"/>
  <c r="P1384" i="11"/>
  <c r="P1385" i="11"/>
  <c r="P1386" i="11"/>
  <c r="P1387" i="11"/>
  <c r="P1388" i="11"/>
  <c r="P1389" i="11"/>
  <c r="P1390" i="11"/>
  <c r="P1391" i="11"/>
  <c r="P1392" i="11"/>
  <c r="P1393" i="11"/>
  <c r="P1394" i="11"/>
  <c r="P1395" i="11"/>
  <c r="P1396" i="11"/>
  <c r="P1397" i="11"/>
  <c r="P1398" i="11"/>
  <c r="P1399" i="11"/>
  <c r="P1400" i="11"/>
  <c r="P1401" i="11"/>
  <c r="P1402" i="11"/>
  <c r="P1403" i="11"/>
  <c r="P1404" i="11"/>
  <c r="P1405" i="11"/>
  <c r="P1406" i="11"/>
  <c r="P1407" i="11"/>
  <c r="P1408" i="11"/>
  <c r="P1409" i="11"/>
  <c r="P1410" i="11"/>
  <c r="P1411" i="11"/>
  <c r="P1412" i="11"/>
  <c r="P1413" i="11"/>
  <c r="P1414" i="11"/>
  <c r="P1415" i="11"/>
  <c r="P1416" i="11"/>
  <c r="P1417" i="11"/>
  <c r="P1418" i="11"/>
  <c r="P1419" i="11"/>
  <c r="P1420" i="11"/>
  <c r="P1421" i="11"/>
  <c r="P1422" i="11"/>
  <c r="P1423" i="11"/>
  <c r="P1424" i="11"/>
  <c r="P1425" i="11"/>
  <c r="P1426" i="11"/>
  <c r="P1427" i="11"/>
  <c r="P1428" i="11"/>
  <c r="P1429" i="11"/>
  <c r="P1430" i="11"/>
  <c r="P1431" i="11"/>
  <c r="P1432" i="11"/>
  <c r="P1433" i="11"/>
  <c r="P1434" i="11"/>
  <c r="P1435" i="11"/>
  <c r="P1436" i="11"/>
  <c r="P1437" i="11"/>
  <c r="P1438" i="11"/>
  <c r="P1439" i="11"/>
  <c r="P1440" i="11"/>
  <c r="P1441" i="11"/>
  <c r="P1442" i="11"/>
  <c r="P1443" i="11"/>
  <c r="P1444" i="11"/>
  <c r="P1445" i="11"/>
  <c r="P1446" i="11"/>
  <c r="P1447" i="11"/>
  <c r="P1448" i="11"/>
  <c r="P1449" i="11"/>
  <c r="P1450" i="11"/>
  <c r="P1451" i="11"/>
  <c r="P1452" i="11"/>
  <c r="P1453" i="11"/>
  <c r="P1454" i="11"/>
  <c r="P1455" i="11"/>
  <c r="P1456" i="11"/>
  <c r="P1457" i="11"/>
  <c r="P1458" i="11"/>
  <c r="P1459" i="11"/>
  <c r="P1460" i="11"/>
  <c r="P1461" i="11"/>
  <c r="P1462" i="11"/>
  <c r="P1463" i="11"/>
  <c r="P1464" i="11"/>
  <c r="P1465" i="11"/>
  <c r="P1466" i="11"/>
  <c r="P1467" i="11"/>
  <c r="P1468" i="11"/>
  <c r="P1469" i="11"/>
  <c r="P1470" i="11"/>
  <c r="P1471" i="11"/>
  <c r="P1472" i="11"/>
  <c r="P1473" i="11"/>
  <c r="P1474" i="11"/>
  <c r="P1475" i="11"/>
  <c r="P1476" i="11"/>
  <c r="P1477" i="11"/>
  <c r="P1478" i="11"/>
  <c r="P1479" i="11"/>
  <c r="P1480" i="11"/>
  <c r="P1481" i="11"/>
  <c r="P1482" i="11"/>
  <c r="P1483" i="11"/>
  <c r="P1484" i="11"/>
  <c r="P1485" i="11"/>
  <c r="P1486" i="11"/>
  <c r="P1487" i="11"/>
  <c r="P1488" i="11"/>
  <c r="P1489" i="11"/>
  <c r="P1490" i="11"/>
  <c r="P1491" i="11"/>
  <c r="P1492" i="11"/>
  <c r="P1493" i="11"/>
  <c r="P1494" i="11"/>
  <c r="P1495" i="11"/>
  <c r="P1496" i="11"/>
  <c r="P1497" i="11"/>
  <c r="P1498" i="11"/>
  <c r="P1499" i="11"/>
  <c r="P1500" i="11"/>
  <c r="P1501" i="11"/>
  <c r="P1502" i="11"/>
  <c r="P1503" i="11"/>
  <c r="P1504" i="11"/>
  <c r="P1505" i="11"/>
  <c r="P1506" i="11"/>
  <c r="P1507" i="11"/>
  <c r="P1508" i="11"/>
  <c r="P1509" i="11"/>
  <c r="P1510" i="11"/>
  <c r="P1511" i="11"/>
  <c r="P1512" i="11"/>
  <c r="P1513" i="11"/>
  <c r="P1514" i="11"/>
  <c r="P1515" i="11"/>
  <c r="P1516" i="11"/>
  <c r="P1517" i="11"/>
  <c r="P1518" i="11"/>
  <c r="P1519" i="11"/>
  <c r="P1520" i="11"/>
  <c r="P1521" i="11"/>
  <c r="P1522" i="11"/>
  <c r="P1523" i="11"/>
  <c r="P1524" i="11"/>
  <c r="P1525" i="11"/>
  <c r="P1526" i="11"/>
  <c r="P1527" i="11"/>
  <c r="P1528" i="11"/>
  <c r="P1529" i="11"/>
  <c r="P1530" i="11"/>
  <c r="P1531" i="11"/>
  <c r="P1532" i="11"/>
  <c r="P1533" i="11"/>
  <c r="P1534" i="11"/>
  <c r="P1535" i="11"/>
  <c r="P1536" i="11"/>
  <c r="P1537" i="11"/>
  <c r="P1538" i="11"/>
  <c r="P1539" i="11"/>
  <c r="P1540" i="11"/>
  <c r="P1541" i="11"/>
  <c r="P1542" i="11"/>
  <c r="P1543" i="11"/>
  <c r="P1544" i="11"/>
  <c r="P1545" i="11"/>
  <c r="P1546" i="11"/>
  <c r="P1547" i="11"/>
  <c r="P1548" i="11"/>
  <c r="P1549" i="11"/>
  <c r="P1550" i="11"/>
  <c r="P1551" i="11"/>
  <c r="P1552" i="11"/>
  <c r="P1553" i="11"/>
  <c r="P1554" i="11"/>
  <c r="P1555" i="11"/>
  <c r="P1556" i="11"/>
  <c r="P1557" i="11"/>
  <c r="P1558" i="11"/>
  <c r="P1559" i="11"/>
  <c r="P1560" i="11"/>
  <c r="P1561" i="11"/>
  <c r="P1562" i="11"/>
  <c r="P1563" i="11"/>
  <c r="P1564" i="11"/>
  <c r="P1565" i="11"/>
  <c r="P1566" i="11"/>
  <c r="P1567" i="11"/>
  <c r="P1568" i="11"/>
  <c r="P1569" i="11"/>
  <c r="P1570" i="11"/>
  <c r="P1571" i="11"/>
  <c r="P1572" i="11"/>
  <c r="P1573" i="11"/>
  <c r="P1574" i="11"/>
  <c r="P1575" i="11"/>
  <c r="P1576" i="11"/>
  <c r="P1577" i="11"/>
  <c r="P1578" i="11"/>
  <c r="P1579" i="11"/>
  <c r="P1580" i="11"/>
  <c r="P1581" i="11"/>
  <c r="P1582" i="11"/>
  <c r="P1583" i="11"/>
  <c r="P1584" i="11"/>
  <c r="P1585" i="11"/>
  <c r="P1586" i="11"/>
  <c r="P1587" i="11"/>
  <c r="P1588" i="11"/>
  <c r="P1589" i="11"/>
  <c r="P1590" i="11"/>
  <c r="P1591" i="11"/>
  <c r="P1592" i="11"/>
  <c r="P1593" i="11"/>
  <c r="P1594" i="11"/>
  <c r="P1595" i="11"/>
  <c r="P1596" i="11"/>
  <c r="P1597" i="11"/>
  <c r="P1598" i="11"/>
  <c r="P1599" i="11"/>
  <c r="P1600" i="11"/>
  <c r="P1601" i="11"/>
  <c r="P1602" i="11"/>
  <c r="P1603" i="11"/>
  <c r="P1604" i="11"/>
  <c r="P1605" i="11"/>
  <c r="P1606" i="11"/>
  <c r="P1607" i="11"/>
  <c r="P1608" i="11"/>
  <c r="P1609" i="11"/>
  <c r="P1610" i="11"/>
  <c r="P1611" i="11"/>
  <c r="P1612" i="11"/>
  <c r="P1613" i="11"/>
  <c r="P1614" i="11"/>
  <c r="P1615" i="11"/>
  <c r="P1616" i="11"/>
  <c r="P1617" i="11"/>
  <c r="P1618" i="11"/>
  <c r="P1619" i="11"/>
  <c r="P1620" i="11"/>
  <c r="P1621" i="11"/>
  <c r="P1622" i="11"/>
  <c r="P1623" i="11"/>
  <c r="P1624" i="11"/>
  <c r="P1625" i="11"/>
  <c r="P1626" i="11"/>
  <c r="P1627" i="11"/>
  <c r="P1628" i="11"/>
  <c r="P1629" i="11"/>
  <c r="P1630" i="11"/>
  <c r="P1631" i="11"/>
  <c r="P1632" i="11"/>
  <c r="P1633" i="11"/>
  <c r="P1634" i="11"/>
  <c r="P1635" i="11"/>
  <c r="P1636" i="11"/>
  <c r="P1637" i="11"/>
  <c r="P1638" i="11"/>
  <c r="P1639" i="11"/>
  <c r="P1640" i="11"/>
  <c r="P1641" i="11"/>
  <c r="P1642" i="11"/>
  <c r="P1643" i="11"/>
  <c r="P1644" i="11"/>
  <c r="P1645" i="11"/>
  <c r="P1646" i="11"/>
  <c r="P1647" i="11"/>
  <c r="P1648" i="11"/>
  <c r="P1649" i="11"/>
  <c r="P1650" i="11"/>
  <c r="P1651" i="11"/>
  <c r="P1652" i="11"/>
  <c r="P1653" i="11"/>
  <c r="P1654" i="11"/>
  <c r="P1655" i="11"/>
  <c r="P1656" i="11"/>
  <c r="P1657" i="11"/>
  <c r="P1658" i="11"/>
  <c r="P1659" i="11"/>
  <c r="P1660" i="11"/>
  <c r="P1661" i="11"/>
  <c r="P1662" i="11"/>
  <c r="P1663" i="11"/>
  <c r="P1664" i="11"/>
  <c r="P1665" i="11"/>
  <c r="P1666" i="11"/>
  <c r="P1667" i="11"/>
  <c r="P1668" i="11"/>
  <c r="P1669" i="11"/>
  <c r="P1670" i="11"/>
  <c r="P1671" i="11"/>
  <c r="P1672" i="11"/>
  <c r="P1673" i="11"/>
  <c r="P1674" i="11"/>
  <c r="P1675" i="11"/>
  <c r="P1676" i="11"/>
  <c r="P1677" i="11"/>
  <c r="P1678" i="11"/>
  <c r="P1679" i="11"/>
  <c r="P1680"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4" i="11"/>
  <c r="P1705" i="11"/>
  <c r="P1706" i="11"/>
  <c r="P1707" i="11"/>
  <c r="P1708" i="11"/>
  <c r="P1709" i="11"/>
  <c r="P1710" i="11"/>
  <c r="P1711" i="11"/>
  <c r="P1712" i="11"/>
  <c r="P1713" i="11"/>
  <c r="P1714" i="11"/>
  <c r="P1715" i="11"/>
  <c r="P1716" i="11"/>
  <c r="P1717" i="11"/>
  <c r="P1718" i="11"/>
  <c r="P1719" i="11"/>
  <c r="P1720" i="11"/>
  <c r="P1721" i="11"/>
  <c r="P1722" i="11"/>
  <c r="P1723" i="11"/>
  <c r="P1724" i="11"/>
  <c r="P1725" i="11"/>
  <c r="P1726" i="11"/>
  <c r="P1727" i="11"/>
  <c r="P1728" i="11"/>
  <c r="P1729" i="11"/>
  <c r="P1730" i="11"/>
  <c r="P1731" i="11"/>
  <c r="P1732" i="11"/>
  <c r="P1733" i="11"/>
  <c r="P1734" i="11"/>
  <c r="P1735" i="11"/>
  <c r="P1736" i="11"/>
  <c r="P1737" i="11"/>
  <c r="P1738" i="11"/>
  <c r="P1739" i="11"/>
  <c r="P1740" i="11"/>
  <c r="P1741" i="11"/>
  <c r="P1742" i="11"/>
  <c r="P1743" i="11"/>
  <c r="P1744" i="11"/>
  <c r="P1745" i="11"/>
  <c r="P1746" i="11"/>
  <c r="P1747" i="11"/>
  <c r="P1748" i="11"/>
  <c r="P1749" i="11"/>
  <c r="P1750" i="11"/>
  <c r="P1751" i="11"/>
  <c r="P1752" i="11"/>
  <c r="P1753" i="11"/>
  <c r="P1754" i="11"/>
  <c r="P1755" i="11"/>
  <c r="P1756" i="11"/>
  <c r="P1757" i="11"/>
  <c r="P1758" i="11"/>
  <c r="P1759" i="11"/>
  <c r="P1760" i="11"/>
  <c r="P1761" i="11"/>
  <c r="P1762" i="11"/>
  <c r="P1763" i="11"/>
  <c r="P1764" i="11"/>
  <c r="P1765" i="11"/>
  <c r="P1766" i="11"/>
  <c r="P1767" i="11"/>
  <c r="P1768" i="11"/>
  <c r="P1769" i="11"/>
  <c r="P1770" i="11"/>
  <c r="P1771" i="11"/>
  <c r="P1772" i="11"/>
  <c r="P1773" i="11"/>
  <c r="P1774" i="11"/>
  <c r="P1775" i="11"/>
  <c r="P1776" i="11"/>
  <c r="P1777" i="11"/>
  <c r="P1778" i="11"/>
  <c r="P1779" i="11"/>
  <c r="P1780" i="11"/>
  <c r="P1781" i="11"/>
  <c r="P1782" i="11"/>
  <c r="P1783" i="11"/>
  <c r="P1784" i="11"/>
  <c r="P1785" i="11"/>
  <c r="P1786" i="11"/>
  <c r="P1787" i="11"/>
  <c r="P1788" i="11"/>
  <c r="P1789" i="11"/>
  <c r="P1790" i="11"/>
  <c r="P1791" i="11"/>
  <c r="P1792" i="11"/>
  <c r="P1793" i="11"/>
  <c r="P1794" i="11"/>
  <c r="P1795" i="11"/>
  <c r="P1796" i="11"/>
  <c r="P1797" i="11"/>
  <c r="P1798" i="11"/>
  <c r="P1799" i="11"/>
  <c r="P1800" i="11"/>
  <c r="P1801" i="11"/>
  <c r="P1802" i="11"/>
  <c r="P1803" i="11"/>
  <c r="P1804" i="11"/>
  <c r="P1805" i="11"/>
  <c r="P1806" i="11"/>
  <c r="P1807" i="11"/>
  <c r="P1808" i="11"/>
  <c r="P1809" i="11"/>
  <c r="P1810" i="11"/>
  <c r="P1811" i="11"/>
  <c r="P1812" i="11"/>
  <c r="P1813" i="11"/>
  <c r="P1814" i="11"/>
  <c r="P1815" i="11"/>
  <c r="P1816" i="11"/>
  <c r="P1817" i="11"/>
  <c r="P1818" i="11"/>
  <c r="P1819" i="11"/>
  <c r="P1820" i="11"/>
  <c r="P1821" i="11"/>
  <c r="P1822" i="11"/>
  <c r="P1823" i="11"/>
  <c r="P1824" i="11"/>
  <c r="P1825" i="11"/>
  <c r="P1826" i="11"/>
  <c r="P1827" i="11"/>
  <c r="P1828" i="11"/>
  <c r="P1829" i="11"/>
  <c r="P1830" i="11"/>
  <c r="P1831" i="11"/>
  <c r="P1832" i="11"/>
  <c r="P1833" i="11"/>
  <c r="P1834" i="11"/>
  <c r="P1835" i="11"/>
  <c r="P1836" i="11"/>
  <c r="P1837" i="11"/>
  <c r="P1838" i="11"/>
  <c r="P1839" i="11"/>
  <c r="P1840" i="11"/>
  <c r="P1841" i="11"/>
  <c r="P1842" i="11"/>
  <c r="P1843" i="11"/>
  <c r="P1844" i="11"/>
  <c r="P1845" i="11"/>
  <c r="P1846" i="11"/>
  <c r="P1847" i="11"/>
  <c r="P1848" i="11"/>
  <c r="P1849" i="11"/>
  <c r="P1850" i="11"/>
  <c r="P1851" i="11"/>
  <c r="P1852" i="11"/>
  <c r="P1853" i="11"/>
  <c r="P1854" i="11"/>
  <c r="P1855" i="11"/>
  <c r="P1856" i="11"/>
  <c r="P1857" i="11"/>
  <c r="P1858" i="11"/>
  <c r="P1859" i="11"/>
  <c r="P1860" i="11"/>
  <c r="P1861" i="11"/>
  <c r="P1862" i="11"/>
  <c r="P1863" i="11"/>
  <c r="P1864" i="11"/>
  <c r="P1865" i="11"/>
  <c r="P1866" i="11"/>
  <c r="P1867" i="11"/>
  <c r="P1868" i="11"/>
  <c r="P1869" i="11"/>
  <c r="P1870" i="11"/>
  <c r="P1871" i="11"/>
  <c r="P1872" i="11"/>
  <c r="P1873" i="11"/>
  <c r="P1874" i="11"/>
  <c r="P1875" i="11"/>
  <c r="P1876" i="11"/>
  <c r="P1877" i="11"/>
  <c r="P1878" i="11"/>
  <c r="P1879" i="11"/>
  <c r="P1880" i="11"/>
  <c r="P1881" i="11"/>
  <c r="P1882" i="11"/>
  <c r="P1883" i="11"/>
  <c r="P1884" i="11"/>
  <c r="P1885" i="11"/>
  <c r="P1886" i="11"/>
  <c r="P1887" i="11"/>
  <c r="P1888" i="11"/>
  <c r="P1889" i="11"/>
  <c r="P1890" i="11"/>
  <c r="P1891" i="11"/>
  <c r="P1892" i="11"/>
  <c r="P1893" i="11"/>
  <c r="P1894" i="11"/>
  <c r="P1895" i="11"/>
  <c r="P1896" i="11"/>
  <c r="P1897" i="11"/>
  <c r="P1898" i="11"/>
  <c r="P1899" i="11"/>
  <c r="P1900" i="11"/>
  <c r="P1901" i="11"/>
  <c r="P1902" i="11"/>
  <c r="P1903" i="11"/>
  <c r="P1904" i="11"/>
  <c r="P1905" i="11"/>
  <c r="P1906" i="11"/>
  <c r="P1907" i="11"/>
  <c r="P1908" i="11"/>
  <c r="P1909" i="11"/>
  <c r="P1910" i="11"/>
  <c r="P1911" i="11"/>
  <c r="P1912" i="11"/>
  <c r="P1913" i="11"/>
  <c r="P1914" i="11"/>
  <c r="P1915" i="11"/>
  <c r="P1916" i="11"/>
  <c r="P1917" i="11"/>
  <c r="P1918" i="11"/>
  <c r="P1919" i="11"/>
  <c r="P1920" i="11"/>
  <c r="P1921" i="11"/>
  <c r="P1922" i="11"/>
  <c r="P1923" i="11"/>
  <c r="P1924" i="11"/>
  <c r="P1925" i="11"/>
  <c r="P1926" i="11"/>
  <c r="P1927" i="11"/>
  <c r="P1928" i="11"/>
  <c r="P1929" i="11"/>
  <c r="P1930" i="11"/>
  <c r="P1931" i="11"/>
  <c r="P1932" i="11"/>
  <c r="P1933" i="11"/>
  <c r="P1934" i="11"/>
  <c r="P1935" i="11"/>
  <c r="P1936" i="11"/>
  <c r="P1937" i="11"/>
  <c r="P1938" i="11"/>
  <c r="P1939" i="11"/>
  <c r="P1940" i="11"/>
  <c r="P1941" i="11"/>
  <c r="P1942" i="11"/>
  <c r="P1943" i="11"/>
  <c r="P1944" i="11"/>
  <c r="P1945" i="11"/>
  <c r="P1946" i="11"/>
  <c r="P1947" i="11"/>
  <c r="P1948" i="11"/>
  <c r="P1949" i="11"/>
  <c r="P1950" i="11"/>
  <c r="P1951" i="11"/>
  <c r="P1952" i="11"/>
  <c r="P1953" i="11"/>
  <c r="P1954" i="11"/>
  <c r="P1955" i="11"/>
  <c r="P1956" i="11"/>
  <c r="P1957" i="11"/>
  <c r="P1958" i="11"/>
  <c r="P1959" i="11"/>
  <c r="P1960" i="11"/>
  <c r="P1961" i="11"/>
  <c r="P1962" i="11"/>
  <c r="P1963" i="11"/>
  <c r="P1964" i="11"/>
  <c r="P1965" i="11"/>
  <c r="P1966" i="11"/>
  <c r="P1967" i="11"/>
  <c r="P1968" i="11"/>
  <c r="P1969" i="11"/>
  <c r="P1970" i="11"/>
  <c r="P1971" i="11"/>
  <c r="P1972" i="11"/>
  <c r="P1973" i="11"/>
  <c r="P1974" i="11"/>
  <c r="P1975" i="11"/>
  <c r="P1976" i="11"/>
  <c r="P1977" i="11"/>
  <c r="P1978" i="11"/>
  <c r="P1979" i="11"/>
  <c r="P1980" i="11"/>
  <c r="P1981" i="11"/>
  <c r="P1982" i="11"/>
  <c r="P1983" i="11"/>
  <c r="P1984" i="11"/>
  <c r="P1985" i="11"/>
  <c r="P1986" i="11"/>
  <c r="P1987" i="11"/>
  <c r="P1988" i="11"/>
  <c r="P1989" i="11"/>
  <c r="P1990" i="11"/>
  <c r="P1991" i="11"/>
  <c r="P1992" i="11"/>
  <c r="P1993" i="11"/>
  <c r="P1994" i="11"/>
  <c r="P1995" i="11"/>
  <c r="P1996" i="11"/>
  <c r="P1997" i="11"/>
  <c r="P1998" i="11"/>
  <c r="P1999" i="11"/>
  <c r="P2000" i="11"/>
  <c r="P2001" i="11"/>
  <c r="P2002" i="11"/>
  <c r="P2003" i="11"/>
  <c r="P2004" i="11"/>
  <c r="P2005" i="11"/>
  <c r="X32"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X72" i="11"/>
  <c r="X73" i="11"/>
  <c r="X74" i="11"/>
  <c r="X75" i="11"/>
  <c r="X76" i="11"/>
  <c r="X77" i="11"/>
  <c r="X78" i="11"/>
  <c r="X79" i="11"/>
  <c r="X80" i="11"/>
  <c r="X81" i="11"/>
  <c r="X82" i="11"/>
  <c r="X83" i="11"/>
  <c r="X84" i="11"/>
  <c r="X85" i="11"/>
  <c r="X86" i="11"/>
  <c r="X87" i="11"/>
  <c r="X88" i="11"/>
  <c r="X89" i="11"/>
  <c r="X90" i="11"/>
  <c r="X91" i="11"/>
  <c r="X92" i="11"/>
  <c r="X93" i="11"/>
  <c r="X94" i="11"/>
  <c r="X95" i="11"/>
  <c r="X96" i="11"/>
  <c r="X97" i="11"/>
  <c r="X98" i="11"/>
  <c r="X99" i="11"/>
  <c r="X100" i="11"/>
  <c r="X101" i="11"/>
  <c r="X102" i="11"/>
  <c r="X103" i="11"/>
  <c r="X104" i="11"/>
  <c r="X105" i="11"/>
  <c r="X106" i="11"/>
  <c r="X107" i="11"/>
  <c r="X108" i="11"/>
  <c r="X109" i="11"/>
  <c r="X110" i="11"/>
  <c r="X111" i="11"/>
  <c r="X112" i="11"/>
  <c r="X113" i="11"/>
  <c r="X114" i="11"/>
  <c r="X115" i="11"/>
  <c r="X116" i="11"/>
  <c r="X117" i="11"/>
  <c r="X118" i="11"/>
  <c r="X119" i="11"/>
  <c r="X120" i="11"/>
  <c r="X121" i="11"/>
  <c r="X122" i="11"/>
  <c r="X123" i="11"/>
  <c r="X124" i="11"/>
  <c r="X125" i="11"/>
  <c r="X126" i="11"/>
  <c r="X127" i="11"/>
  <c r="X128" i="11"/>
  <c r="X129" i="11"/>
  <c r="X130" i="11"/>
  <c r="X131" i="11"/>
  <c r="X132" i="11"/>
  <c r="X133" i="11"/>
  <c r="X134" i="11"/>
  <c r="X135" i="11"/>
  <c r="X136" i="11"/>
  <c r="X137" i="11"/>
  <c r="X138" i="11"/>
  <c r="X139" i="11"/>
  <c r="X140" i="11"/>
  <c r="X141" i="11"/>
  <c r="X142" i="11"/>
  <c r="X143" i="11"/>
  <c r="X144" i="11"/>
  <c r="X145" i="11"/>
  <c r="X146" i="11"/>
  <c r="X147" i="11"/>
  <c r="X148" i="11"/>
  <c r="X149" i="11"/>
  <c r="X150" i="11"/>
  <c r="X151" i="11"/>
  <c r="X152" i="11"/>
  <c r="X153" i="11"/>
  <c r="X154" i="11"/>
  <c r="X155" i="11"/>
  <c r="X156" i="11"/>
  <c r="X157" i="11"/>
  <c r="X158" i="11"/>
  <c r="X159" i="11"/>
  <c r="X160" i="11"/>
  <c r="X161" i="11"/>
  <c r="X162" i="11"/>
  <c r="X163" i="11"/>
  <c r="X164" i="11"/>
  <c r="X165" i="11"/>
  <c r="X166" i="11"/>
  <c r="X167" i="11"/>
  <c r="X168" i="11"/>
  <c r="X169" i="11"/>
  <c r="X170" i="11"/>
  <c r="X171" i="11"/>
  <c r="X172" i="11"/>
  <c r="X173" i="11"/>
  <c r="X174" i="11"/>
  <c r="X175" i="11"/>
  <c r="X176" i="11"/>
  <c r="X177" i="11"/>
  <c r="X178" i="11"/>
  <c r="X179" i="11"/>
  <c r="X180" i="11"/>
  <c r="X181" i="11"/>
  <c r="X182" i="11"/>
  <c r="X183" i="11"/>
  <c r="X184" i="11"/>
  <c r="X185" i="11"/>
  <c r="X186" i="11"/>
  <c r="X187" i="11"/>
  <c r="X188" i="11"/>
  <c r="X189" i="11"/>
  <c r="X190" i="11"/>
  <c r="X191" i="11"/>
  <c r="X192" i="11"/>
  <c r="X193" i="11"/>
  <c r="X194" i="11"/>
  <c r="X195" i="11"/>
  <c r="X196" i="11"/>
  <c r="X197" i="11"/>
  <c r="X198" i="11"/>
  <c r="X199" i="11"/>
  <c r="X200" i="11"/>
  <c r="X201" i="11"/>
  <c r="X202" i="11"/>
  <c r="X203" i="11"/>
  <c r="X204" i="11"/>
  <c r="X205" i="11"/>
  <c r="X206" i="11"/>
  <c r="X207" i="11"/>
  <c r="X208" i="11"/>
  <c r="X209" i="11"/>
  <c r="X210" i="11"/>
  <c r="X211" i="11"/>
  <c r="X212" i="11"/>
  <c r="X213" i="11"/>
  <c r="X214" i="11"/>
  <c r="X215" i="11"/>
  <c r="X216" i="11"/>
  <c r="X217" i="11"/>
  <c r="X218" i="11"/>
  <c r="X219" i="11"/>
  <c r="X220" i="11"/>
  <c r="X221" i="11"/>
  <c r="X222" i="11"/>
  <c r="X223" i="11"/>
  <c r="X224" i="11"/>
  <c r="X225" i="11"/>
  <c r="X226" i="11"/>
  <c r="X227" i="11"/>
  <c r="X228" i="11"/>
  <c r="X229" i="11"/>
  <c r="X230" i="11"/>
  <c r="X231" i="11"/>
  <c r="X232" i="11"/>
  <c r="X233" i="11"/>
  <c r="X234" i="11"/>
  <c r="X235" i="11"/>
  <c r="X236" i="11"/>
  <c r="X237" i="11"/>
  <c r="X238" i="11"/>
  <c r="X239" i="11"/>
  <c r="X240" i="11"/>
  <c r="X241" i="11"/>
  <c r="X242" i="11"/>
  <c r="X243" i="11"/>
  <c r="X244" i="11"/>
  <c r="X245" i="11"/>
  <c r="X246" i="11"/>
  <c r="X247" i="11"/>
  <c r="X248" i="11"/>
  <c r="X249" i="11"/>
  <c r="X250" i="11"/>
  <c r="X251" i="11"/>
  <c r="X252" i="11"/>
  <c r="X253" i="11"/>
  <c r="X254" i="11"/>
  <c r="X255" i="11"/>
  <c r="X256" i="11"/>
  <c r="X257" i="11"/>
  <c r="X258" i="11"/>
  <c r="X259" i="11"/>
  <c r="X260" i="11"/>
  <c r="X261" i="11"/>
  <c r="X262" i="11"/>
  <c r="X263" i="11"/>
  <c r="X264" i="11"/>
  <c r="X265" i="11"/>
  <c r="X266" i="11"/>
  <c r="X267" i="11"/>
  <c r="X268" i="11"/>
  <c r="X269" i="11"/>
  <c r="X270" i="11"/>
  <c r="X271" i="11"/>
  <c r="X272" i="11"/>
  <c r="X273" i="11"/>
  <c r="X274" i="11"/>
  <c r="X275" i="11"/>
  <c r="X276" i="11"/>
  <c r="X277" i="11"/>
  <c r="X278" i="11"/>
  <c r="X279" i="11"/>
  <c r="X280" i="11"/>
  <c r="X281" i="11"/>
  <c r="X282" i="11"/>
  <c r="X283" i="11"/>
  <c r="X284" i="11"/>
  <c r="X285" i="11"/>
  <c r="X286" i="11"/>
  <c r="X287" i="11"/>
  <c r="X288" i="11"/>
  <c r="X289" i="11"/>
  <c r="X290" i="11"/>
  <c r="X291" i="11"/>
  <c r="X292" i="11"/>
  <c r="X293" i="11"/>
  <c r="X294" i="11"/>
  <c r="X295" i="11"/>
  <c r="X296" i="11"/>
  <c r="X297" i="11"/>
  <c r="X298" i="11"/>
  <c r="X299" i="11"/>
  <c r="X300" i="11"/>
  <c r="X301" i="11"/>
  <c r="X302" i="11"/>
  <c r="X303" i="11"/>
  <c r="X304" i="11"/>
  <c r="X305" i="11"/>
  <c r="X306" i="11"/>
  <c r="X307" i="11"/>
  <c r="X308" i="11"/>
  <c r="X309" i="11"/>
  <c r="X310" i="11"/>
  <c r="X311" i="11"/>
  <c r="X312" i="11"/>
  <c r="X313" i="11"/>
  <c r="X314" i="11"/>
  <c r="X315" i="11"/>
  <c r="X316" i="11"/>
  <c r="X317" i="11"/>
  <c r="X318" i="11"/>
  <c r="X319" i="11"/>
  <c r="X320" i="11"/>
  <c r="X321" i="11"/>
  <c r="X322" i="11"/>
  <c r="X323" i="11"/>
  <c r="X324" i="11"/>
  <c r="X325" i="11"/>
  <c r="X326" i="11"/>
  <c r="X327" i="11"/>
  <c r="X328" i="11"/>
  <c r="X329" i="11"/>
  <c r="X330" i="11"/>
  <c r="X331" i="11"/>
  <c r="X332" i="11"/>
  <c r="X333" i="11"/>
  <c r="X334" i="11"/>
  <c r="X335" i="11"/>
  <c r="X336" i="11"/>
  <c r="X337" i="11"/>
  <c r="X338" i="11"/>
  <c r="X339" i="11"/>
  <c r="X340" i="11"/>
  <c r="X341" i="11"/>
  <c r="X342" i="11"/>
  <c r="X343" i="11"/>
  <c r="X344" i="11"/>
  <c r="X345" i="11"/>
  <c r="X346" i="11"/>
  <c r="X347" i="11"/>
  <c r="X348" i="11"/>
  <c r="X349" i="11"/>
  <c r="X350" i="11"/>
  <c r="X351" i="11"/>
  <c r="X352" i="11"/>
  <c r="X353" i="11"/>
  <c r="X354" i="11"/>
  <c r="X355" i="11"/>
  <c r="X356" i="11"/>
  <c r="X357" i="11"/>
  <c r="X358" i="11"/>
  <c r="X359" i="11"/>
  <c r="X360" i="11"/>
  <c r="X361" i="11"/>
  <c r="X362" i="11"/>
  <c r="X363" i="11"/>
  <c r="X364" i="11"/>
  <c r="X365" i="11"/>
  <c r="X366" i="11"/>
  <c r="X367" i="11"/>
  <c r="X368" i="11"/>
  <c r="X369" i="11"/>
  <c r="X370" i="11"/>
  <c r="X371" i="11"/>
  <c r="X372" i="11"/>
  <c r="X373" i="11"/>
  <c r="X374" i="11"/>
  <c r="X375" i="11"/>
  <c r="X376" i="11"/>
  <c r="X377" i="11"/>
  <c r="X378" i="11"/>
  <c r="X379" i="11"/>
  <c r="X380" i="11"/>
  <c r="X381" i="11"/>
  <c r="X382" i="11"/>
  <c r="X383" i="11"/>
  <c r="X384" i="11"/>
  <c r="X385" i="11"/>
  <c r="X386" i="11"/>
  <c r="X387" i="11"/>
  <c r="X388" i="11"/>
  <c r="X389" i="11"/>
  <c r="X390" i="11"/>
  <c r="X391" i="11"/>
  <c r="X392" i="11"/>
  <c r="X393" i="11"/>
  <c r="X394" i="11"/>
  <c r="X395" i="11"/>
  <c r="X396" i="11"/>
  <c r="X397" i="11"/>
  <c r="X398" i="11"/>
  <c r="X399" i="11"/>
  <c r="X400" i="11"/>
  <c r="X401" i="11"/>
  <c r="X402" i="11"/>
  <c r="X403" i="11"/>
  <c r="X404" i="11"/>
  <c r="X405" i="11"/>
  <c r="X406" i="11"/>
  <c r="X407" i="11"/>
  <c r="X408" i="11"/>
  <c r="X409" i="11"/>
  <c r="X410" i="11"/>
  <c r="X411" i="11"/>
  <c r="X412" i="11"/>
  <c r="X413" i="11"/>
  <c r="X414" i="11"/>
  <c r="X415" i="11"/>
  <c r="X416" i="11"/>
  <c r="X417" i="11"/>
  <c r="X418" i="11"/>
  <c r="X419" i="11"/>
  <c r="X420" i="11"/>
  <c r="X421" i="11"/>
  <c r="X422" i="11"/>
  <c r="X423" i="11"/>
  <c r="X424" i="11"/>
  <c r="X425" i="11"/>
  <c r="X426" i="11"/>
  <c r="X427" i="11"/>
  <c r="X428" i="11"/>
  <c r="X429" i="11"/>
  <c r="X430" i="11"/>
  <c r="X431" i="11"/>
  <c r="X432" i="11"/>
  <c r="X433" i="11"/>
  <c r="X434" i="11"/>
  <c r="X435" i="11"/>
  <c r="X436" i="11"/>
  <c r="X437" i="11"/>
  <c r="X438" i="11"/>
  <c r="X439" i="11"/>
  <c r="X440" i="11"/>
  <c r="X441" i="11"/>
  <c r="X442" i="11"/>
  <c r="X443" i="11"/>
  <c r="X444" i="11"/>
  <c r="X445" i="11"/>
  <c r="X446" i="11"/>
  <c r="X447" i="11"/>
  <c r="X448" i="11"/>
  <c r="X449" i="11"/>
  <c r="X450" i="11"/>
  <c r="X451" i="11"/>
  <c r="X452" i="11"/>
  <c r="X453" i="11"/>
  <c r="X454" i="11"/>
  <c r="X455" i="11"/>
  <c r="X456" i="11"/>
  <c r="X457" i="11"/>
  <c r="X458" i="11"/>
  <c r="X459" i="11"/>
  <c r="X460" i="11"/>
  <c r="X461" i="11"/>
  <c r="X462" i="11"/>
  <c r="X463" i="11"/>
  <c r="X464" i="11"/>
  <c r="X465" i="11"/>
  <c r="X466" i="11"/>
  <c r="X467" i="11"/>
  <c r="X468" i="11"/>
  <c r="X469" i="11"/>
  <c r="X470" i="11"/>
  <c r="X471" i="11"/>
  <c r="X472" i="11"/>
  <c r="X473" i="11"/>
  <c r="X474" i="11"/>
  <c r="X475" i="11"/>
  <c r="X476" i="11"/>
  <c r="X477" i="11"/>
  <c r="X478" i="11"/>
  <c r="X479" i="11"/>
  <c r="X480" i="11"/>
  <c r="X481" i="11"/>
  <c r="X482" i="11"/>
  <c r="X483" i="11"/>
  <c r="X484" i="11"/>
  <c r="X485" i="11"/>
  <c r="X486" i="11"/>
  <c r="X487" i="11"/>
  <c r="X488" i="11"/>
  <c r="X489" i="11"/>
  <c r="X490" i="11"/>
  <c r="X491" i="11"/>
  <c r="X492" i="11"/>
  <c r="X493" i="11"/>
  <c r="X494" i="11"/>
  <c r="X495" i="11"/>
  <c r="X496" i="11"/>
  <c r="X497" i="11"/>
  <c r="X498" i="11"/>
  <c r="X499" i="11"/>
  <c r="X500" i="11"/>
  <c r="X501" i="11"/>
  <c r="X502" i="11"/>
  <c r="X503" i="11"/>
  <c r="X504" i="11"/>
  <c r="X505" i="11"/>
  <c r="X506" i="11"/>
  <c r="X507" i="11"/>
  <c r="X508" i="11"/>
  <c r="X509" i="11"/>
  <c r="X510" i="11"/>
  <c r="X511" i="11"/>
  <c r="X512" i="11"/>
  <c r="X513" i="11"/>
  <c r="X514" i="11"/>
  <c r="X515" i="11"/>
  <c r="X516" i="11"/>
  <c r="X517" i="11"/>
  <c r="X518" i="11"/>
  <c r="X519" i="11"/>
  <c r="X520" i="11"/>
  <c r="X521" i="11"/>
  <c r="X522" i="11"/>
  <c r="X523" i="11"/>
  <c r="X524" i="11"/>
  <c r="X525" i="11"/>
  <c r="X526" i="11"/>
  <c r="X527" i="11"/>
  <c r="X528" i="11"/>
  <c r="X529" i="11"/>
  <c r="X530" i="11"/>
  <c r="X531" i="11"/>
  <c r="X532" i="11"/>
  <c r="X533" i="11"/>
  <c r="X534" i="11"/>
  <c r="X535" i="11"/>
  <c r="X536" i="11"/>
  <c r="X537" i="11"/>
  <c r="X538" i="11"/>
  <c r="X539" i="11"/>
  <c r="X540" i="11"/>
  <c r="X541" i="11"/>
  <c r="X542" i="11"/>
  <c r="X543" i="11"/>
  <c r="X544" i="11"/>
  <c r="X545" i="11"/>
  <c r="X546" i="11"/>
  <c r="X547" i="11"/>
  <c r="X548" i="11"/>
  <c r="X549" i="11"/>
  <c r="X550" i="11"/>
  <c r="X551" i="11"/>
  <c r="X552" i="11"/>
  <c r="X553" i="11"/>
  <c r="X554" i="11"/>
  <c r="X555" i="11"/>
  <c r="X556" i="11"/>
  <c r="X557" i="11"/>
  <c r="X558" i="11"/>
  <c r="X559" i="11"/>
  <c r="X560" i="11"/>
  <c r="X561" i="11"/>
  <c r="X562" i="11"/>
  <c r="X563" i="11"/>
  <c r="X564" i="11"/>
  <c r="X565" i="11"/>
  <c r="X566" i="11"/>
  <c r="X567" i="11"/>
  <c r="X568" i="11"/>
  <c r="X569" i="11"/>
  <c r="X570" i="11"/>
  <c r="X571" i="11"/>
  <c r="X572" i="11"/>
  <c r="X573" i="11"/>
  <c r="X574" i="11"/>
  <c r="X575" i="11"/>
  <c r="X576" i="11"/>
  <c r="X577" i="11"/>
  <c r="X578" i="11"/>
  <c r="X579" i="11"/>
  <c r="X580" i="11"/>
  <c r="X581" i="11"/>
  <c r="X582" i="11"/>
  <c r="X583" i="11"/>
  <c r="X584" i="11"/>
  <c r="X585" i="11"/>
  <c r="X586" i="11"/>
  <c r="X587" i="11"/>
  <c r="X588" i="11"/>
  <c r="X589" i="11"/>
  <c r="X590" i="11"/>
  <c r="X591" i="11"/>
  <c r="X592" i="11"/>
  <c r="X593" i="11"/>
  <c r="X594" i="11"/>
  <c r="X595" i="11"/>
  <c r="X596" i="11"/>
  <c r="X597" i="11"/>
  <c r="X598" i="11"/>
  <c r="X599" i="11"/>
  <c r="X600" i="11"/>
  <c r="X601" i="11"/>
  <c r="X602" i="11"/>
  <c r="X603" i="11"/>
  <c r="X604" i="11"/>
  <c r="X605" i="11"/>
  <c r="X606" i="11"/>
  <c r="X607" i="11"/>
  <c r="X608" i="11"/>
  <c r="X609" i="11"/>
  <c r="X610" i="11"/>
  <c r="X611" i="11"/>
  <c r="X612" i="11"/>
  <c r="X613" i="11"/>
  <c r="X614" i="11"/>
  <c r="X615" i="11"/>
  <c r="X616" i="11"/>
  <c r="X617" i="11"/>
  <c r="X618" i="11"/>
  <c r="X619" i="11"/>
  <c r="X620" i="11"/>
  <c r="X621" i="11"/>
  <c r="X622" i="11"/>
  <c r="X623" i="11"/>
  <c r="X624" i="11"/>
  <c r="X625" i="11"/>
  <c r="X626" i="11"/>
  <c r="X627" i="11"/>
  <c r="X628" i="11"/>
  <c r="X629" i="11"/>
  <c r="X630" i="11"/>
  <c r="X631" i="11"/>
  <c r="X632" i="11"/>
  <c r="X633" i="11"/>
  <c r="X634" i="11"/>
  <c r="X635" i="11"/>
  <c r="X636" i="11"/>
  <c r="X637" i="11"/>
  <c r="X638" i="11"/>
  <c r="X639" i="11"/>
  <c r="X640" i="11"/>
  <c r="X641" i="11"/>
  <c r="X642" i="11"/>
  <c r="X643" i="11"/>
  <c r="X644" i="11"/>
  <c r="X645" i="11"/>
  <c r="X646" i="11"/>
  <c r="X647" i="11"/>
  <c r="X648" i="11"/>
  <c r="X649" i="11"/>
  <c r="X650" i="11"/>
  <c r="X651" i="11"/>
  <c r="X652" i="11"/>
  <c r="X653" i="11"/>
  <c r="X654" i="11"/>
  <c r="X655" i="11"/>
  <c r="X656" i="11"/>
  <c r="X657" i="11"/>
  <c r="X658" i="11"/>
  <c r="X659" i="11"/>
  <c r="X660" i="11"/>
  <c r="X661" i="11"/>
  <c r="X662" i="11"/>
  <c r="X663" i="11"/>
  <c r="X664" i="11"/>
  <c r="X665" i="11"/>
  <c r="X666" i="11"/>
  <c r="X667" i="11"/>
  <c r="X668" i="11"/>
  <c r="X669" i="11"/>
  <c r="X670" i="11"/>
  <c r="X671" i="11"/>
  <c r="X672" i="11"/>
  <c r="X673" i="11"/>
  <c r="X674" i="11"/>
  <c r="X675" i="11"/>
  <c r="X676" i="11"/>
  <c r="X677" i="11"/>
  <c r="X678" i="11"/>
  <c r="X679" i="11"/>
  <c r="X680" i="11"/>
  <c r="X681" i="11"/>
  <c r="X682" i="11"/>
  <c r="X683" i="11"/>
  <c r="X684" i="11"/>
  <c r="X685" i="11"/>
  <c r="X686" i="11"/>
  <c r="X687" i="11"/>
  <c r="X688" i="11"/>
  <c r="X689" i="11"/>
  <c r="X690" i="11"/>
  <c r="X691" i="11"/>
  <c r="X692" i="11"/>
  <c r="X693" i="11"/>
  <c r="X694" i="11"/>
  <c r="X695" i="11"/>
  <c r="X696" i="11"/>
  <c r="X697" i="11"/>
  <c r="X698" i="11"/>
  <c r="X699" i="11"/>
  <c r="X700" i="11"/>
  <c r="X701" i="11"/>
  <c r="X702" i="11"/>
  <c r="X703" i="11"/>
  <c r="X704" i="11"/>
  <c r="X705" i="11"/>
  <c r="X706" i="11"/>
  <c r="X707" i="11"/>
  <c r="X708" i="11"/>
  <c r="X709" i="11"/>
  <c r="X710" i="11"/>
  <c r="X711" i="11"/>
  <c r="X712" i="11"/>
  <c r="X713" i="11"/>
  <c r="X714" i="11"/>
  <c r="X715" i="11"/>
  <c r="X716" i="11"/>
  <c r="X717" i="11"/>
  <c r="X718" i="11"/>
  <c r="X719" i="11"/>
  <c r="X720" i="11"/>
  <c r="X721" i="11"/>
  <c r="X722" i="11"/>
  <c r="X723" i="11"/>
  <c r="X724" i="11"/>
  <c r="X725" i="11"/>
  <c r="X726" i="11"/>
  <c r="X727" i="11"/>
  <c r="X728" i="11"/>
  <c r="X729" i="11"/>
  <c r="X730" i="11"/>
  <c r="X731" i="11"/>
  <c r="X732" i="11"/>
  <c r="X733" i="11"/>
  <c r="X734" i="11"/>
  <c r="X735" i="11"/>
  <c r="X736" i="11"/>
  <c r="X737" i="11"/>
  <c r="X738" i="11"/>
  <c r="X739" i="11"/>
  <c r="X740" i="11"/>
  <c r="X741" i="11"/>
  <c r="X742" i="11"/>
  <c r="X743" i="11"/>
  <c r="X744" i="11"/>
  <c r="X745" i="11"/>
  <c r="X746" i="11"/>
  <c r="X747" i="11"/>
  <c r="X748" i="11"/>
  <c r="X749" i="11"/>
  <c r="X750" i="11"/>
  <c r="X751" i="11"/>
  <c r="X752" i="11"/>
  <c r="X753" i="11"/>
  <c r="X754" i="11"/>
  <c r="X755" i="11"/>
  <c r="X756" i="11"/>
  <c r="X757" i="11"/>
  <c r="X758" i="11"/>
  <c r="X759" i="11"/>
  <c r="X760" i="11"/>
  <c r="X761" i="11"/>
  <c r="X762" i="11"/>
  <c r="X763" i="11"/>
  <c r="X764" i="11"/>
  <c r="X765" i="11"/>
  <c r="X766" i="11"/>
  <c r="X767" i="11"/>
  <c r="X768" i="11"/>
  <c r="X769" i="11"/>
  <c r="X770" i="11"/>
  <c r="X771" i="11"/>
  <c r="X772" i="11"/>
  <c r="X773" i="11"/>
  <c r="X774" i="11"/>
  <c r="X775" i="11"/>
  <c r="X776" i="11"/>
  <c r="X777" i="11"/>
  <c r="X778" i="11"/>
  <c r="X779" i="11"/>
  <c r="X780" i="11"/>
  <c r="X781" i="11"/>
  <c r="X782" i="11"/>
  <c r="X783" i="11"/>
  <c r="X784" i="11"/>
  <c r="X785" i="11"/>
  <c r="X786" i="11"/>
  <c r="X787" i="11"/>
  <c r="X788" i="11"/>
  <c r="X789" i="11"/>
  <c r="X790" i="11"/>
  <c r="X791" i="11"/>
  <c r="X792" i="11"/>
  <c r="X793" i="11"/>
  <c r="X794" i="11"/>
  <c r="X795" i="11"/>
  <c r="X796" i="11"/>
  <c r="X797" i="11"/>
  <c r="X798" i="11"/>
  <c r="X799" i="11"/>
  <c r="X800" i="11"/>
  <c r="X801" i="11"/>
  <c r="X802" i="11"/>
  <c r="X803" i="11"/>
  <c r="X804" i="11"/>
  <c r="X805" i="11"/>
  <c r="X806" i="11"/>
  <c r="X807" i="11"/>
  <c r="X808" i="11"/>
  <c r="X809" i="11"/>
  <c r="X810" i="11"/>
  <c r="X811" i="11"/>
  <c r="X812" i="11"/>
  <c r="X813" i="11"/>
  <c r="X814" i="11"/>
  <c r="X815" i="11"/>
  <c r="X816" i="11"/>
  <c r="X817" i="11"/>
  <c r="X818" i="11"/>
  <c r="X819" i="11"/>
  <c r="X820" i="11"/>
  <c r="X821" i="11"/>
  <c r="X822" i="11"/>
  <c r="X823" i="11"/>
  <c r="X824" i="11"/>
  <c r="X825" i="11"/>
  <c r="X826" i="11"/>
  <c r="X827" i="11"/>
  <c r="X828" i="11"/>
  <c r="X829" i="11"/>
  <c r="X830" i="11"/>
  <c r="X831" i="11"/>
  <c r="X832" i="11"/>
  <c r="X833" i="11"/>
  <c r="X834" i="11"/>
  <c r="X835" i="11"/>
  <c r="X836" i="11"/>
  <c r="X837" i="11"/>
  <c r="X838" i="11"/>
  <c r="X839" i="11"/>
  <c r="X840" i="11"/>
  <c r="X841" i="11"/>
  <c r="X842" i="11"/>
  <c r="X843" i="11"/>
  <c r="X844" i="11"/>
  <c r="X845" i="11"/>
  <c r="X846" i="11"/>
  <c r="X847" i="11"/>
  <c r="X848" i="11"/>
  <c r="X849" i="11"/>
  <c r="X850" i="11"/>
  <c r="X851" i="11"/>
  <c r="X852" i="11"/>
  <c r="X853" i="11"/>
  <c r="X854" i="11"/>
  <c r="X855" i="11"/>
  <c r="X856" i="11"/>
  <c r="X857" i="11"/>
  <c r="X858" i="11"/>
  <c r="X859" i="11"/>
  <c r="X860" i="11"/>
  <c r="X861" i="11"/>
  <c r="X862" i="11"/>
  <c r="X863" i="11"/>
  <c r="X864" i="11"/>
  <c r="X865" i="11"/>
  <c r="X866" i="11"/>
  <c r="X867" i="11"/>
  <c r="X868" i="11"/>
  <c r="X869" i="11"/>
  <c r="X870" i="11"/>
  <c r="X871" i="11"/>
  <c r="X872" i="11"/>
  <c r="X873" i="11"/>
  <c r="X874" i="11"/>
  <c r="X875" i="11"/>
  <c r="X876" i="11"/>
  <c r="X877" i="11"/>
  <c r="X878" i="11"/>
  <c r="X879" i="11"/>
  <c r="X880" i="11"/>
  <c r="X881" i="11"/>
  <c r="X882" i="11"/>
  <c r="X883" i="11"/>
  <c r="X884" i="11"/>
  <c r="X885" i="11"/>
  <c r="X886" i="11"/>
  <c r="X887" i="11"/>
  <c r="X888" i="11"/>
  <c r="X889" i="11"/>
  <c r="X890" i="11"/>
  <c r="X891" i="11"/>
  <c r="X892" i="11"/>
  <c r="X893" i="11"/>
  <c r="X894" i="11"/>
  <c r="X895" i="11"/>
  <c r="X896" i="11"/>
  <c r="X897" i="11"/>
  <c r="X898" i="11"/>
  <c r="X899" i="11"/>
  <c r="X900" i="11"/>
  <c r="X901" i="11"/>
  <c r="X902" i="11"/>
  <c r="X903" i="11"/>
  <c r="X904" i="11"/>
  <c r="X905" i="11"/>
  <c r="X906" i="11"/>
  <c r="X907" i="11"/>
  <c r="X908" i="11"/>
  <c r="X909" i="11"/>
  <c r="X910" i="11"/>
  <c r="X911" i="11"/>
  <c r="X912" i="11"/>
  <c r="X913" i="11"/>
  <c r="X914" i="11"/>
  <c r="X915" i="11"/>
  <c r="X916" i="11"/>
  <c r="X917" i="11"/>
  <c r="X918" i="11"/>
  <c r="X919" i="11"/>
  <c r="X920" i="11"/>
  <c r="X921" i="11"/>
  <c r="X922" i="11"/>
  <c r="X923" i="11"/>
  <c r="X924" i="11"/>
  <c r="X925" i="11"/>
  <c r="X926" i="11"/>
  <c r="X927" i="11"/>
  <c r="X928" i="11"/>
  <c r="X929" i="11"/>
  <c r="X930" i="11"/>
  <c r="X931" i="11"/>
  <c r="X932" i="11"/>
  <c r="X933" i="11"/>
  <c r="X934" i="11"/>
  <c r="X935" i="11"/>
  <c r="X936" i="11"/>
  <c r="X937" i="11"/>
  <c r="X938" i="11"/>
  <c r="X939" i="11"/>
  <c r="X940" i="11"/>
  <c r="X941" i="11"/>
  <c r="X942" i="11"/>
  <c r="X943" i="11"/>
  <c r="X944" i="11"/>
  <c r="X945" i="11"/>
  <c r="X946" i="11"/>
  <c r="X947" i="11"/>
  <c r="X948" i="11"/>
  <c r="X949" i="11"/>
  <c r="X950" i="11"/>
  <c r="X951" i="11"/>
  <c r="X952" i="11"/>
  <c r="X953" i="11"/>
  <c r="X954" i="11"/>
  <c r="X955" i="11"/>
  <c r="X956" i="11"/>
  <c r="X957" i="11"/>
  <c r="X958" i="11"/>
  <c r="X959" i="11"/>
  <c r="X960" i="11"/>
  <c r="X961" i="11"/>
  <c r="X962" i="11"/>
  <c r="X963" i="11"/>
  <c r="X964" i="11"/>
  <c r="X965" i="11"/>
  <c r="X966" i="11"/>
  <c r="X967" i="11"/>
  <c r="X968" i="11"/>
  <c r="X969" i="11"/>
  <c r="X970" i="11"/>
  <c r="X971" i="11"/>
  <c r="X972" i="11"/>
  <c r="X973" i="11"/>
  <c r="X974" i="11"/>
  <c r="X975" i="11"/>
  <c r="X976" i="11"/>
  <c r="X977" i="11"/>
  <c r="X978" i="11"/>
  <c r="X979" i="11"/>
  <c r="X980" i="11"/>
  <c r="X981" i="11"/>
  <c r="X982" i="11"/>
  <c r="X983" i="11"/>
  <c r="X984" i="11"/>
  <c r="X985" i="11"/>
  <c r="X986" i="11"/>
  <c r="X987" i="11"/>
  <c r="X988" i="11"/>
  <c r="X989" i="11"/>
  <c r="X990" i="11"/>
  <c r="X991" i="11"/>
  <c r="X992" i="11"/>
  <c r="X993" i="11"/>
  <c r="X994" i="11"/>
  <c r="X995" i="11"/>
  <c r="X996" i="11"/>
  <c r="X997" i="11"/>
  <c r="X998" i="11"/>
  <c r="X999" i="11"/>
  <c r="X1000" i="11"/>
  <c r="X1001" i="11"/>
  <c r="X1002" i="11"/>
  <c r="X1003" i="11"/>
  <c r="X1004" i="11"/>
  <c r="X1005" i="11"/>
  <c r="X1006" i="11"/>
  <c r="X1007" i="11"/>
  <c r="X1008" i="11"/>
  <c r="X1009" i="11"/>
  <c r="X1010" i="11"/>
  <c r="X1011" i="11"/>
  <c r="X1012" i="11"/>
  <c r="X1013" i="11"/>
  <c r="X1014" i="11"/>
  <c r="X1015" i="11"/>
  <c r="X1016" i="11"/>
  <c r="X1017" i="11"/>
  <c r="X1018" i="11"/>
  <c r="X1019" i="11"/>
  <c r="X1020" i="11"/>
  <c r="X1021" i="11"/>
  <c r="X1022" i="11"/>
  <c r="X1023" i="11"/>
  <c r="X1024" i="11"/>
  <c r="X1025" i="11"/>
  <c r="X1026" i="11"/>
  <c r="X1027" i="11"/>
  <c r="X1028" i="11"/>
  <c r="X1029" i="11"/>
  <c r="X1030" i="11"/>
  <c r="X1031" i="11"/>
  <c r="X1032" i="11"/>
  <c r="X1033" i="11"/>
  <c r="X1034" i="11"/>
  <c r="X1035" i="11"/>
  <c r="X1036" i="11"/>
  <c r="X1037" i="11"/>
  <c r="X1038" i="11"/>
  <c r="X1039" i="11"/>
  <c r="X1040" i="11"/>
  <c r="X1041" i="11"/>
  <c r="X1042" i="11"/>
  <c r="X1043" i="11"/>
  <c r="X1044" i="11"/>
  <c r="X1045" i="11"/>
  <c r="X1046" i="11"/>
  <c r="X1047" i="11"/>
  <c r="X1048" i="11"/>
  <c r="X1049" i="11"/>
  <c r="X1050" i="11"/>
  <c r="X1051" i="11"/>
  <c r="X1052" i="11"/>
  <c r="X1053" i="11"/>
  <c r="X1054" i="11"/>
  <c r="X1055" i="11"/>
  <c r="X1056" i="11"/>
  <c r="X1057" i="11"/>
  <c r="X1058" i="11"/>
  <c r="X1059" i="11"/>
  <c r="X1060" i="11"/>
  <c r="X1061" i="11"/>
  <c r="X1062" i="11"/>
  <c r="X1063" i="11"/>
  <c r="X1064" i="11"/>
  <c r="X1065" i="11"/>
  <c r="X1066" i="11"/>
  <c r="X1067" i="11"/>
  <c r="X1068" i="11"/>
  <c r="X1069" i="11"/>
  <c r="X1070" i="11"/>
  <c r="X1071" i="11"/>
  <c r="X1072" i="11"/>
  <c r="X1073" i="11"/>
  <c r="X1074" i="11"/>
  <c r="X1075" i="11"/>
  <c r="X1076" i="11"/>
  <c r="X1077" i="11"/>
  <c r="X1078" i="11"/>
  <c r="X1079" i="11"/>
  <c r="X1080" i="11"/>
  <c r="X1081" i="11"/>
  <c r="X1082" i="11"/>
  <c r="X1083" i="11"/>
  <c r="X1084" i="11"/>
  <c r="X1085" i="11"/>
  <c r="X1086" i="11"/>
  <c r="X1087" i="11"/>
  <c r="X1088" i="11"/>
  <c r="X1089" i="11"/>
  <c r="X1090" i="11"/>
  <c r="X1091" i="11"/>
  <c r="X1092" i="11"/>
  <c r="X1093" i="11"/>
  <c r="X1094" i="11"/>
  <c r="X1095" i="11"/>
  <c r="X1096" i="11"/>
  <c r="X1097" i="11"/>
  <c r="X1098" i="11"/>
  <c r="X1099" i="11"/>
  <c r="X1100" i="11"/>
  <c r="X1101" i="11"/>
  <c r="X1102" i="11"/>
  <c r="X1103" i="11"/>
  <c r="X1104" i="11"/>
  <c r="X1105" i="11"/>
  <c r="X1106" i="11"/>
  <c r="X1107" i="11"/>
  <c r="X1108" i="11"/>
  <c r="X1109" i="11"/>
  <c r="X1110" i="11"/>
  <c r="X1111" i="11"/>
  <c r="X1112" i="11"/>
  <c r="X1113" i="11"/>
  <c r="X1114" i="11"/>
  <c r="X1115" i="11"/>
  <c r="X1116" i="11"/>
  <c r="X1117" i="11"/>
  <c r="X1118" i="11"/>
  <c r="X1119" i="11"/>
  <c r="X1120" i="11"/>
  <c r="X1121" i="11"/>
  <c r="X1122" i="11"/>
  <c r="X1123" i="11"/>
  <c r="X1124" i="11"/>
  <c r="X1125" i="11"/>
  <c r="X1126" i="11"/>
  <c r="X1127" i="11"/>
  <c r="X1128" i="11"/>
  <c r="X1129" i="11"/>
  <c r="X1130" i="11"/>
  <c r="X1131" i="11"/>
  <c r="X1132" i="11"/>
  <c r="X1133" i="11"/>
  <c r="X1134" i="11"/>
  <c r="X1135" i="11"/>
  <c r="X1136" i="11"/>
  <c r="X1137" i="11"/>
  <c r="X1138" i="11"/>
  <c r="X1139" i="11"/>
  <c r="X1140" i="11"/>
  <c r="X1141" i="11"/>
  <c r="X1142" i="11"/>
  <c r="X1143" i="11"/>
  <c r="X1144" i="11"/>
  <c r="X1145" i="11"/>
  <c r="X1146" i="11"/>
  <c r="X1147" i="11"/>
  <c r="X1148" i="11"/>
  <c r="X1149" i="11"/>
  <c r="X1150" i="11"/>
  <c r="X1151" i="11"/>
  <c r="X1152" i="11"/>
  <c r="X1153" i="11"/>
  <c r="X1154" i="11"/>
  <c r="X1155" i="11"/>
  <c r="X1156" i="11"/>
  <c r="X1157" i="11"/>
  <c r="X1158" i="11"/>
  <c r="X1159" i="11"/>
  <c r="X1160" i="11"/>
  <c r="X1161" i="11"/>
  <c r="X1162" i="11"/>
  <c r="X1163" i="11"/>
  <c r="X1164" i="11"/>
  <c r="X1165" i="11"/>
  <c r="X1166" i="11"/>
  <c r="X1167" i="11"/>
  <c r="X1168" i="11"/>
  <c r="X1169" i="11"/>
  <c r="X1170" i="11"/>
  <c r="X1171" i="11"/>
  <c r="X1172" i="11"/>
  <c r="X1173" i="11"/>
  <c r="X1174" i="11"/>
  <c r="X1175" i="11"/>
  <c r="X1176" i="11"/>
  <c r="X1177" i="11"/>
  <c r="X1178" i="11"/>
  <c r="X1179" i="11"/>
  <c r="X1180" i="11"/>
  <c r="X1181" i="11"/>
  <c r="X1182" i="11"/>
  <c r="X1183" i="11"/>
  <c r="X1184" i="11"/>
  <c r="X1185" i="11"/>
  <c r="X1186" i="11"/>
  <c r="X1187" i="11"/>
  <c r="X1188" i="11"/>
  <c r="X1189" i="11"/>
  <c r="X1190" i="11"/>
  <c r="X1191" i="11"/>
  <c r="X1192" i="11"/>
  <c r="X1193" i="11"/>
  <c r="X1194" i="11"/>
  <c r="X1195" i="11"/>
  <c r="X1196" i="11"/>
  <c r="X1197" i="11"/>
  <c r="X1198" i="11"/>
  <c r="X1199" i="11"/>
  <c r="X1200" i="11"/>
  <c r="X1201" i="11"/>
  <c r="X1202" i="11"/>
  <c r="X1203" i="11"/>
  <c r="X1204" i="11"/>
  <c r="X1205" i="11"/>
  <c r="X1206" i="11"/>
  <c r="X1207" i="11"/>
  <c r="X1208" i="11"/>
  <c r="X1209" i="11"/>
  <c r="X1210" i="11"/>
  <c r="X1211" i="11"/>
  <c r="X1212" i="11"/>
  <c r="X1213" i="11"/>
  <c r="X1214" i="11"/>
  <c r="X1215" i="11"/>
  <c r="X1216" i="11"/>
  <c r="X1217" i="11"/>
  <c r="X1218" i="11"/>
  <c r="X1219" i="11"/>
  <c r="X1220" i="11"/>
  <c r="X1221" i="11"/>
  <c r="X1222" i="11"/>
  <c r="X1223" i="11"/>
  <c r="X1224" i="11"/>
  <c r="X1225" i="11"/>
  <c r="X1226" i="11"/>
  <c r="X1227" i="11"/>
  <c r="X1228" i="11"/>
  <c r="X1229" i="11"/>
  <c r="X1230" i="11"/>
  <c r="X1231" i="11"/>
  <c r="X1232" i="11"/>
  <c r="X1233" i="11"/>
  <c r="X1234" i="11"/>
  <c r="X1235" i="11"/>
  <c r="X1236" i="11"/>
  <c r="X1237" i="11"/>
  <c r="X1238" i="11"/>
  <c r="X1239" i="11"/>
  <c r="X1240" i="11"/>
  <c r="X1241" i="11"/>
  <c r="X1242" i="11"/>
  <c r="X1243" i="11"/>
  <c r="X1244" i="11"/>
  <c r="X1245" i="11"/>
  <c r="X1246" i="11"/>
  <c r="X1247" i="11"/>
  <c r="X1248" i="11"/>
  <c r="X1249" i="11"/>
  <c r="X1250" i="11"/>
  <c r="X1251" i="11"/>
  <c r="X1252" i="11"/>
  <c r="X1253" i="11"/>
  <c r="X1254" i="11"/>
  <c r="X1255" i="11"/>
  <c r="X1256" i="11"/>
  <c r="X1257" i="11"/>
  <c r="X1258" i="11"/>
  <c r="X1259" i="11"/>
  <c r="X1260" i="11"/>
  <c r="X1261" i="11"/>
  <c r="X1262" i="11"/>
  <c r="X1263" i="11"/>
  <c r="X1264" i="11"/>
  <c r="X1265" i="11"/>
  <c r="X1266" i="11"/>
  <c r="X1267" i="11"/>
  <c r="X1268" i="11"/>
  <c r="X1269" i="11"/>
  <c r="X1270" i="11"/>
  <c r="X1271" i="11"/>
  <c r="X1272" i="11"/>
  <c r="X1273" i="11"/>
  <c r="X1274" i="11"/>
  <c r="X1275" i="11"/>
  <c r="X1276" i="11"/>
  <c r="X1277" i="11"/>
  <c r="X1278" i="11"/>
  <c r="X1279" i="11"/>
  <c r="X1280" i="11"/>
  <c r="X1281" i="11"/>
  <c r="X1282" i="11"/>
  <c r="X1283" i="11"/>
  <c r="X1284" i="11"/>
  <c r="X1285" i="11"/>
  <c r="X1286" i="11"/>
  <c r="X1287" i="11"/>
  <c r="X1288" i="11"/>
  <c r="X1289" i="11"/>
  <c r="X1290" i="11"/>
  <c r="X1291" i="11"/>
  <c r="X1292" i="11"/>
  <c r="X1293" i="11"/>
  <c r="X1294" i="11"/>
  <c r="X1295" i="11"/>
  <c r="X1296" i="11"/>
  <c r="X1297" i="11"/>
  <c r="X1298" i="11"/>
  <c r="X1299" i="11"/>
  <c r="X1300" i="11"/>
  <c r="X1301" i="11"/>
  <c r="X1302" i="11"/>
  <c r="X1303" i="11"/>
  <c r="X1304" i="11"/>
  <c r="X1305" i="11"/>
  <c r="X1306" i="11"/>
  <c r="X1307" i="11"/>
  <c r="X1308" i="11"/>
  <c r="X1309" i="11"/>
  <c r="X1310" i="11"/>
  <c r="X1311" i="11"/>
  <c r="X1312" i="11"/>
  <c r="X1313" i="11"/>
  <c r="X1314" i="11"/>
  <c r="X1315" i="11"/>
  <c r="X1316" i="11"/>
  <c r="X1317" i="11"/>
  <c r="X1318" i="11"/>
  <c r="X1319" i="11"/>
  <c r="X1320" i="11"/>
  <c r="X1321" i="11"/>
  <c r="X1322" i="11"/>
  <c r="X1323" i="11"/>
  <c r="X1324" i="11"/>
  <c r="X1325" i="11"/>
  <c r="X1326" i="11"/>
  <c r="X1327" i="11"/>
  <c r="X1328" i="11"/>
  <c r="X1329" i="11"/>
  <c r="X1330" i="11"/>
  <c r="X1331" i="11"/>
  <c r="X1332" i="11"/>
  <c r="X1333" i="11"/>
  <c r="X1334" i="11"/>
  <c r="X1335" i="11"/>
  <c r="X1336" i="11"/>
  <c r="X1337" i="11"/>
  <c r="X1338" i="11"/>
  <c r="X1339" i="11"/>
  <c r="X1340" i="11"/>
  <c r="X1341" i="11"/>
  <c r="X1342" i="11"/>
  <c r="X1343" i="11"/>
  <c r="X1344" i="11"/>
  <c r="X1345" i="11"/>
  <c r="X1346" i="11"/>
  <c r="X1347" i="11"/>
  <c r="X1348" i="11"/>
  <c r="X1349" i="11"/>
  <c r="X1350" i="11"/>
  <c r="X1351" i="11"/>
  <c r="X1352" i="11"/>
  <c r="X1353" i="11"/>
  <c r="X1354" i="11"/>
  <c r="X1355" i="11"/>
  <c r="X1356" i="11"/>
  <c r="X1357" i="11"/>
  <c r="X1358" i="11"/>
  <c r="X1359" i="11"/>
  <c r="X1360" i="11"/>
  <c r="X1361" i="11"/>
  <c r="X1362" i="11"/>
  <c r="X1363" i="11"/>
  <c r="X1364" i="11"/>
  <c r="X1365" i="11"/>
  <c r="X1366" i="11"/>
  <c r="X1367" i="11"/>
  <c r="X1368" i="11"/>
  <c r="X1369" i="11"/>
  <c r="X1370" i="11"/>
  <c r="X1371" i="11"/>
  <c r="X1372" i="11"/>
  <c r="X1373" i="11"/>
  <c r="X1374" i="11"/>
  <c r="X1375" i="11"/>
  <c r="X1376" i="11"/>
  <c r="X1377" i="11"/>
  <c r="X1378" i="11"/>
  <c r="X1379" i="11"/>
  <c r="X1380" i="11"/>
  <c r="X1381" i="11"/>
  <c r="X1382" i="11"/>
  <c r="X1383" i="11"/>
  <c r="X1384" i="11"/>
  <c r="X1385" i="11"/>
  <c r="X1386" i="11"/>
  <c r="X1387" i="11"/>
  <c r="X1388" i="11"/>
  <c r="X1389" i="11"/>
  <c r="X1390" i="11"/>
  <c r="X1391" i="11"/>
  <c r="X1392" i="11"/>
  <c r="X1393" i="11"/>
  <c r="X1394" i="11"/>
  <c r="X1395" i="11"/>
  <c r="X1396" i="11"/>
  <c r="X1397" i="11"/>
  <c r="X1398" i="11"/>
  <c r="X1399" i="11"/>
  <c r="X1400" i="11"/>
  <c r="X1401" i="11"/>
  <c r="X1402" i="11"/>
  <c r="X1403" i="11"/>
  <c r="X1404" i="11"/>
  <c r="X1405" i="11"/>
  <c r="X1406" i="11"/>
  <c r="X1407" i="11"/>
  <c r="X1408" i="11"/>
  <c r="X1409" i="11"/>
  <c r="X1410" i="11"/>
  <c r="X1411" i="11"/>
  <c r="X1412" i="11"/>
  <c r="X1413" i="11"/>
  <c r="X1414" i="11"/>
  <c r="X1415" i="11"/>
  <c r="X1416" i="11"/>
  <c r="X1417" i="11"/>
  <c r="X1418" i="11"/>
  <c r="X1419" i="11"/>
  <c r="X1420" i="11"/>
  <c r="X1421" i="11"/>
  <c r="X1422" i="11"/>
  <c r="X1423" i="11"/>
  <c r="X1424" i="11"/>
  <c r="X1425" i="11"/>
  <c r="X1426" i="11"/>
  <c r="X1427" i="11"/>
  <c r="X1428" i="11"/>
  <c r="X1429" i="11"/>
  <c r="X1430" i="11"/>
  <c r="X1431" i="11"/>
  <c r="X1432" i="11"/>
  <c r="X1433" i="11"/>
  <c r="X1434" i="11"/>
  <c r="X1435" i="11"/>
  <c r="X1436" i="11"/>
  <c r="X1437" i="11"/>
  <c r="X1438" i="11"/>
  <c r="X1439" i="11"/>
  <c r="X1440" i="11"/>
  <c r="X1441" i="11"/>
  <c r="X1442" i="11"/>
  <c r="X1443" i="11"/>
  <c r="X1444" i="11"/>
  <c r="X1445" i="11"/>
  <c r="X1446" i="11"/>
  <c r="X1447" i="11"/>
  <c r="X1448" i="11"/>
  <c r="X1449" i="11"/>
  <c r="X1450" i="11"/>
  <c r="X1451" i="11"/>
  <c r="X1452" i="11"/>
  <c r="X1453" i="11"/>
  <c r="X1454" i="11"/>
  <c r="X1455" i="11"/>
  <c r="X1456" i="11"/>
  <c r="X1457" i="11"/>
  <c r="X1458" i="11"/>
  <c r="X1459" i="11"/>
  <c r="X1460" i="11"/>
  <c r="X1461" i="11"/>
  <c r="X1462" i="11"/>
  <c r="X1463" i="11"/>
  <c r="X1464" i="11"/>
  <c r="X1465" i="11"/>
  <c r="X1466" i="11"/>
  <c r="X1467" i="11"/>
  <c r="X1468" i="11"/>
  <c r="X1469" i="11"/>
  <c r="X1470" i="11"/>
  <c r="X1471" i="11"/>
  <c r="X1472" i="11"/>
  <c r="X1473" i="11"/>
  <c r="X1474" i="11"/>
  <c r="X1475" i="11"/>
  <c r="X1476" i="11"/>
  <c r="X1477" i="11"/>
  <c r="X1478" i="11"/>
  <c r="X1479" i="11"/>
  <c r="X1480" i="11"/>
  <c r="X1481" i="11"/>
  <c r="X1482" i="11"/>
  <c r="X1483" i="11"/>
  <c r="X1484" i="11"/>
  <c r="X1485" i="11"/>
  <c r="X1486" i="11"/>
  <c r="X1487" i="11"/>
  <c r="X1488" i="11"/>
  <c r="X1489" i="11"/>
  <c r="X1490" i="11"/>
  <c r="X1491" i="11"/>
  <c r="X1492" i="11"/>
  <c r="X1493" i="11"/>
  <c r="X1494" i="11"/>
  <c r="X1495" i="11"/>
  <c r="X1496" i="11"/>
  <c r="X1497" i="11"/>
  <c r="X1498" i="11"/>
  <c r="X1499" i="11"/>
  <c r="X1500" i="11"/>
  <c r="X1501" i="11"/>
  <c r="X1502" i="11"/>
  <c r="X1503" i="11"/>
  <c r="X1504" i="11"/>
  <c r="X1505" i="11"/>
  <c r="X1506" i="11"/>
  <c r="X1507" i="11"/>
  <c r="X1508" i="11"/>
  <c r="X1509" i="11"/>
  <c r="X1510" i="11"/>
  <c r="X1511" i="11"/>
  <c r="X1512" i="11"/>
  <c r="X1513" i="11"/>
  <c r="X1514" i="11"/>
  <c r="X1515" i="11"/>
  <c r="X1516" i="11"/>
  <c r="X1517" i="11"/>
  <c r="X1518" i="11"/>
  <c r="X1519" i="11"/>
  <c r="X1520" i="11"/>
  <c r="X1521" i="11"/>
  <c r="X1522" i="11"/>
  <c r="X1523" i="11"/>
  <c r="X1524" i="11"/>
  <c r="X1525" i="11"/>
  <c r="X1526" i="11"/>
  <c r="X1527" i="11"/>
  <c r="X1528" i="11"/>
  <c r="X1529" i="11"/>
  <c r="X1530" i="11"/>
  <c r="X1531" i="11"/>
  <c r="X1532" i="11"/>
  <c r="X1533" i="11"/>
  <c r="X1534" i="11"/>
  <c r="X1535" i="11"/>
  <c r="X1536" i="11"/>
  <c r="X1537" i="11"/>
  <c r="X1538" i="11"/>
  <c r="X1539" i="11"/>
  <c r="X1540" i="11"/>
  <c r="X1541" i="11"/>
  <c r="X1542" i="11"/>
  <c r="X1543" i="11"/>
  <c r="X1544" i="11"/>
  <c r="X1545" i="11"/>
  <c r="X1546" i="11"/>
  <c r="X1547" i="11"/>
  <c r="X1548" i="11"/>
  <c r="X1549" i="11"/>
  <c r="X1550" i="11"/>
  <c r="X1551" i="11"/>
  <c r="X1552" i="11"/>
  <c r="X1553" i="11"/>
  <c r="X1554" i="11"/>
  <c r="X1555" i="11"/>
  <c r="X1556" i="11"/>
  <c r="X1557" i="11"/>
  <c r="X1558" i="11"/>
  <c r="X1559" i="11"/>
  <c r="X1560" i="11"/>
  <c r="X1561" i="11"/>
  <c r="X1562" i="11"/>
  <c r="X1563" i="11"/>
  <c r="X1564" i="11"/>
  <c r="X1565" i="11"/>
  <c r="X1566" i="11"/>
  <c r="X1567" i="11"/>
  <c r="X1568" i="11"/>
  <c r="X1569" i="11"/>
  <c r="X1570" i="11"/>
  <c r="X1571" i="11"/>
  <c r="X1572" i="11"/>
  <c r="X1573" i="11"/>
  <c r="X1574" i="11"/>
  <c r="X1575" i="11"/>
  <c r="X1576" i="11"/>
  <c r="X1577" i="11"/>
  <c r="X1578" i="11"/>
  <c r="X1579" i="11"/>
  <c r="X1580" i="11"/>
  <c r="X1581" i="11"/>
  <c r="X1582" i="11"/>
  <c r="X1583" i="11"/>
  <c r="X1584" i="11"/>
  <c r="X1585" i="11"/>
  <c r="X1586" i="11"/>
  <c r="X1587" i="11"/>
  <c r="X1588" i="11"/>
  <c r="X1589" i="11"/>
  <c r="X1590" i="11"/>
  <c r="X1591" i="11"/>
  <c r="X1592" i="11"/>
  <c r="X1593" i="11"/>
  <c r="X1594" i="11"/>
  <c r="X1595" i="11"/>
  <c r="X1596" i="11"/>
  <c r="X1597" i="11"/>
  <c r="X1598" i="11"/>
  <c r="X1599" i="11"/>
  <c r="X1600" i="11"/>
  <c r="X1601" i="11"/>
  <c r="X1602" i="11"/>
  <c r="X1603" i="11"/>
  <c r="X1604" i="11"/>
  <c r="X1605" i="11"/>
  <c r="X1606" i="11"/>
  <c r="X1607" i="11"/>
  <c r="X1608" i="11"/>
  <c r="X1609" i="11"/>
  <c r="X1610" i="11"/>
  <c r="X1611" i="11"/>
  <c r="X1612" i="11"/>
  <c r="X1613" i="11"/>
  <c r="X1614" i="11"/>
  <c r="X1615" i="11"/>
  <c r="X1616" i="11"/>
  <c r="X1617" i="11"/>
  <c r="X1618" i="11"/>
  <c r="X1619" i="11"/>
  <c r="X1620" i="11"/>
  <c r="X1621" i="11"/>
  <c r="X1622" i="11"/>
  <c r="X1623" i="11"/>
  <c r="X1624" i="11"/>
  <c r="X1625" i="11"/>
  <c r="X1626" i="11"/>
  <c r="X1627" i="11"/>
  <c r="X1628" i="11"/>
  <c r="X1629" i="11"/>
  <c r="X1630" i="11"/>
  <c r="X1631" i="11"/>
  <c r="X1632" i="11"/>
  <c r="X1633" i="11"/>
  <c r="X1634" i="11"/>
  <c r="X1635" i="11"/>
  <c r="X1636" i="11"/>
  <c r="X1637" i="11"/>
  <c r="X1638" i="11"/>
  <c r="X1639" i="11"/>
  <c r="X1640" i="11"/>
  <c r="X1641" i="11"/>
  <c r="X1642" i="11"/>
  <c r="X1643" i="11"/>
  <c r="X1644" i="11"/>
  <c r="X1645" i="11"/>
  <c r="X1646" i="11"/>
  <c r="X1647" i="11"/>
  <c r="X1648" i="11"/>
  <c r="X1649" i="11"/>
  <c r="X1650" i="11"/>
  <c r="X1651" i="11"/>
  <c r="X1652" i="11"/>
  <c r="X1653" i="11"/>
  <c r="X1654" i="11"/>
  <c r="X1655" i="11"/>
  <c r="X1656" i="11"/>
  <c r="X1657" i="11"/>
  <c r="X1658" i="11"/>
  <c r="X1659" i="11"/>
  <c r="X1660" i="11"/>
  <c r="X1661" i="11"/>
  <c r="X1662" i="11"/>
  <c r="X1663" i="11"/>
  <c r="X1664" i="11"/>
  <c r="X1665" i="11"/>
  <c r="X1666" i="11"/>
  <c r="X1667" i="11"/>
  <c r="X1668" i="11"/>
  <c r="X1669" i="11"/>
  <c r="X1670" i="11"/>
  <c r="X1671" i="11"/>
  <c r="X1672" i="11"/>
  <c r="X1673" i="11"/>
  <c r="X1674" i="11"/>
  <c r="X1675" i="11"/>
  <c r="X1676" i="11"/>
  <c r="X1677" i="11"/>
  <c r="X1678" i="11"/>
  <c r="X1679" i="11"/>
  <c r="X1680" i="11"/>
  <c r="X1681" i="11"/>
  <c r="X1682" i="11"/>
  <c r="X1683" i="11"/>
  <c r="X1684" i="11"/>
  <c r="X1685" i="11"/>
  <c r="X1686" i="11"/>
  <c r="X1687" i="11"/>
  <c r="X1688" i="11"/>
  <c r="X1689" i="11"/>
  <c r="X1690" i="11"/>
  <c r="X1691" i="11"/>
  <c r="X1692" i="11"/>
  <c r="X1693" i="11"/>
  <c r="X1694" i="11"/>
  <c r="X1695" i="11"/>
  <c r="X1696" i="11"/>
  <c r="X1697" i="11"/>
  <c r="X1698" i="11"/>
  <c r="X1699" i="11"/>
  <c r="X1700" i="11"/>
  <c r="X1701" i="11"/>
  <c r="X1702" i="11"/>
  <c r="X1703" i="11"/>
  <c r="X1704" i="11"/>
  <c r="X1705" i="11"/>
  <c r="X1706" i="11"/>
  <c r="X1707" i="11"/>
  <c r="X1708" i="11"/>
  <c r="X1709" i="11"/>
  <c r="X1710" i="11"/>
  <c r="X1711" i="11"/>
  <c r="X1712" i="11"/>
  <c r="X1713" i="11"/>
  <c r="X1714" i="11"/>
  <c r="X1715" i="11"/>
  <c r="X1716" i="11"/>
  <c r="X1717" i="11"/>
  <c r="X1718" i="11"/>
  <c r="X1719" i="11"/>
  <c r="X1720" i="11"/>
  <c r="X1721" i="11"/>
  <c r="X1722" i="11"/>
  <c r="X1723" i="11"/>
  <c r="X1724" i="11"/>
  <c r="X1725" i="11"/>
  <c r="X1726" i="11"/>
  <c r="X1727" i="11"/>
  <c r="X1728" i="11"/>
  <c r="X1729" i="11"/>
  <c r="X1730" i="11"/>
  <c r="X1731" i="11"/>
  <c r="X1732" i="11"/>
  <c r="X1733" i="11"/>
  <c r="X1734" i="11"/>
  <c r="X1735" i="11"/>
  <c r="X1736" i="11"/>
  <c r="X1737" i="11"/>
  <c r="X1738" i="11"/>
  <c r="X1739" i="11"/>
  <c r="X1740" i="11"/>
  <c r="X1741" i="11"/>
  <c r="X1742" i="11"/>
  <c r="X1743" i="11"/>
  <c r="X1744" i="11"/>
  <c r="X1745" i="11"/>
  <c r="X1746" i="11"/>
  <c r="X1747" i="11"/>
  <c r="X1748" i="11"/>
  <c r="X1749" i="11"/>
  <c r="X1750" i="11"/>
  <c r="X1751" i="11"/>
  <c r="X1752" i="11"/>
  <c r="X1753" i="11"/>
  <c r="X1754" i="11"/>
  <c r="X1755" i="11"/>
  <c r="X1756" i="11"/>
  <c r="X1757" i="11"/>
  <c r="X1758" i="11"/>
  <c r="X1759" i="11"/>
  <c r="X1760" i="11"/>
  <c r="X1761" i="11"/>
  <c r="X1762" i="11"/>
  <c r="X1763" i="11"/>
  <c r="X1764" i="11"/>
  <c r="X1765" i="11"/>
  <c r="X1766" i="11"/>
  <c r="X1767" i="11"/>
  <c r="X1768" i="11"/>
  <c r="X1769" i="11"/>
  <c r="X1770" i="11"/>
  <c r="X1771" i="11"/>
  <c r="X1772" i="11"/>
  <c r="X1773" i="11"/>
  <c r="X1774" i="11"/>
  <c r="X1775" i="11"/>
  <c r="X1776" i="11"/>
  <c r="X1777" i="11"/>
  <c r="X1778" i="11"/>
  <c r="X1779" i="11"/>
  <c r="X1780" i="11"/>
  <c r="X1781" i="11"/>
  <c r="X1782" i="11"/>
  <c r="X1783" i="11"/>
  <c r="X1784" i="11"/>
  <c r="X1785" i="11"/>
  <c r="X1786" i="11"/>
  <c r="X1787" i="11"/>
  <c r="X1788" i="11"/>
  <c r="X1789" i="11"/>
  <c r="X1790" i="11"/>
  <c r="X1791" i="11"/>
  <c r="X1792" i="11"/>
  <c r="X1793" i="11"/>
  <c r="X1794" i="11"/>
  <c r="X1795" i="11"/>
  <c r="X1796" i="11"/>
  <c r="X1797" i="11"/>
  <c r="X1798" i="11"/>
  <c r="X1799" i="11"/>
  <c r="X1800" i="11"/>
  <c r="X1801" i="11"/>
  <c r="X1802" i="11"/>
  <c r="X1803" i="11"/>
  <c r="X1804" i="11"/>
  <c r="X1805" i="11"/>
  <c r="X1806" i="11"/>
  <c r="X1807" i="11"/>
  <c r="X1808" i="11"/>
  <c r="X1809" i="11"/>
  <c r="X1810" i="11"/>
  <c r="X1811" i="11"/>
  <c r="X1812" i="11"/>
  <c r="X1813" i="11"/>
  <c r="X1814" i="11"/>
  <c r="X1815" i="11"/>
  <c r="X1816" i="11"/>
  <c r="X1817" i="11"/>
  <c r="X1818" i="11"/>
  <c r="X1819" i="11"/>
  <c r="X1820" i="11"/>
  <c r="X1821" i="11"/>
  <c r="X1822" i="11"/>
  <c r="X1823" i="11"/>
  <c r="X1824" i="11"/>
  <c r="X1825" i="11"/>
  <c r="X1826" i="11"/>
  <c r="X1827" i="11"/>
  <c r="X1828" i="11"/>
  <c r="X1829" i="11"/>
  <c r="X1830" i="11"/>
  <c r="X1831" i="11"/>
  <c r="X1832" i="11"/>
  <c r="X1833" i="11"/>
  <c r="X1834" i="11"/>
  <c r="X1835" i="11"/>
  <c r="X1836" i="11"/>
  <c r="X1837" i="11"/>
  <c r="X1838" i="11"/>
  <c r="X1839" i="11"/>
  <c r="X1840" i="11"/>
  <c r="X1841" i="11"/>
  <c r="X1842" i="11"/>
  <c r="X1843" i="11"/>
  <c r="X1844" i="11"/>
  <c r="X1845" i="11"/>
  <c r="X1846" i="11"/>
  <c r="X1847" i="11"/>
  <c r="X1848" i="11"/>
  <c r="X1849" i="11"/>
  <c r="X1850" i="11"/>
  <c r="X1851" i="11"/>
  <c r="X1852" i="11"/>
  <c r="X1853" i="11"/>
  <c r="X1854" i="11"/>
  <c r="X1855" i="11"/>
  <c r="X1856" i="11"/>
  <c r="X1857" i="11"/>
  <c r="X1858" i="11"/>
  <c r="X1859" i="11"/>
  <c r="X1860" i="11"/>
  <c r="X1861" i="11"/>
  <c r="X1862" i="11"/>
  <c r="X1863" i="11"/>
  <c r="X1864" i="11"/>
  <c r="X1865" i="11"/>
  <c r="X1866" i="11"/>
  <c r="X1867" i="11"/>
  <c r="X1868" i="11"/>
  <c r="X1869" i="11"/>
  <c r="X1870" i="11"/>
  <c r="X1871" i="11"/>
  <c r="X1872" i="11"/>
  <c r="X1873" i="11"/>
  <c r="X1874" i="11"/>
  <c r="X1875" i="11"/>
  <c r="X1876" i="11"/>
  <c r="X1877" i="11"/>
  <c r="X1878" i="11"/>
  <c r="X1879" i="11"/>
  <c r="X1880" i="11"/>
  <c r="X1881" i="11"/>
  <c r="X1882" i="11"/>
  <c r="X1883" i="11"/>
  <c r="X1884" i="11"/>
  <c r="X1885" i="11"/>
  <c r="X1886" i="11"/>
  <c r="X1887" i="11"/>
  <c r="X1888" i="11"/>
  <c r="X1889" i="11"/>
  <c r="X1890" i="11"/>
  <c r="X1891" i="11"/>
  <c r="X1892" i="11"/>
  <c r="X1893" i="11"/>
  <c r="X1894" i="11"/>
  <c r="X1895" i="11"/>
  <c r="X1896" i="11"/>
  <c r="X1897" i="11"/>
  <c r="X1898" i="11"/>
  <c r="X1899" i="11"/>
  <c r="X1900" i="11"/>
  <c r="X1901" i="11"/>
  <c r="X1902" i="11"/>
  <c r="X1903" i="11"/>
  <c r="X1904" i="11"/>
  <c r="X1905" i="11"/>
  <c r="X1906" i="11"/>
  <c r="X1907" i="11"/>
  <c r="X1908" i="11"/>
  <c r="X1909" i="11"/>
  <c r="X1910" i="11"/>
  <c r="X1911" i="11"/>
  <c r="X1912" i="11"/>
  <c r="X1913" i="11"/>
  <c r="X1914" i="11"/>
  <c r="X1915" i="11"/>
  <c r="X1916" i="11"/>
  <c r="X1917" i="11"/>
  <c r="X1918" i="11"/>
  <c r="X1919" i="11"/>
  <c r="X1920" i="11"/>
  <c r="X1921" i="11"/>
  <c r="X1922" i="11"/>
  <c r="X1923" i="11"/>
  <c r="X1924" i="11"/>
  <c r="X1925" i="11"/>
  <c r="X1926" i="11"/>
  <c r="X1927" i="11"/>
  <c r="X1928" i="11"/>
  <c r="X1929" i="11"/>
  <c r="X1930" i="11"/>
  <c r="X1931" i="11"/>
  <c r="X1932" i="11"/>
  <c r="X1933" i="11"/>
  <c r="X1934" i="11"/>
  <c r="X1935" i="11"/>
  <c r="X1936" i="11"/>
  <c r="X1937" i="11"/>
  <c r="X1938" i="11"/>
  <c r="X1939" i="11"/>
  <c r="X1940" i="11"/>
  <c r="X1941" i="11"/>
  <c r="X1942" i="11"/>
  <c r="X1943" i="11"/>
  <c r="X1944" i="11"/>
  <c r="X1945" i="11"/>
  <c r="X1946" i="11"/>
  <c r="X1947" i="11"/>
  <c r="X1948" i="11"/>
  <c r="X1949" i="11"/>
  <c r="X1950" i="11"/>
  <c r="X1951" i="11"/>
  <c r="X1952" i="11"/>
  <c r="X1953" i="11"/>
  <c r="X1954" i="11"/>
  <c r="X1955" i="11"/>
  <c r="X1956" i="11"/>
  <c r="X1957" i="11"/>
  <c r="X1958" i="11"/>
  <c r="X1959" i="11"/>
  <c r="X1960" i="11"/>
  <c r="X1961" i="11"/>
  <c r="X1962" i="11"/>
  <c r="X1963" i="11"/>
  <c r="X1964" i="11"/>
  <c r="X1965" i="11"/>
  <c r="X1966" i="11"/>
  <c r="X1967" i="11"/>
  <c r="X1968" i="11"/>
  <c r="X1969" i="11"/>
  <c r="X1970" i="11"/>
  <c r="X1971" i="11"/>
  <c r="X1972" i="11"/>
  <c r="X1973" i="11"/>
  <c r="X1974" i="11"/>
  <c r="X1975" i="11"/>
  <c r="X1976" i="11"/>
  <c r="X1977" i="11"/>
  <c r="X1978" i="11"/>
  <c r="X1979" i="11"/>
  <c r="X1980" i="11"/>
  <c r="X1981" i="11"/>
  <c r="X1982" i="11"/>
  <c r="X1983" i="11"/>
  <c r="X1984" i="11"/>
  <c r="X1985" i="11"/>
  <c r="X1986" i="11"/>
  <c r="X1987" i="11"/>
  <c r="X1988" i="11"/>
  <c r="X1989" i="11"/>
  <c r="X1990" i="11"/>
  <c r="X1991" i="11"/>
  <c r="X1992" i="11"/>
  <c r="X1993" i="11"/>
  <c r="X1994" i="11"/>
  <c r="X1995" i="11"/>
  <c r="X1996" i="11"/>
  <c r="X1997" i="11"/>
  <c r="X1998" i="11"/>
  <c r="X1999" i="11"/>
  <c r="X2000" i="11"/>
  <c r="X2001" i="11"/>
  <c r="X2002" i="11"/>
  <c r="X2003" i="11"/>
  <c r="X2004" i="11"/>
  <c r="X2005" i="11"/>
  <c r="AF16" i="11"/>
  <c r="H16" i="8" s="1"/>
  <c r="AF15" i="11"/>
  <c r="T111" i="24" l="1"/>
  <c r="T106" i="24"/>
  <c r="T56" i="24"/>
  <c r="T96" i="24"/>
  <c r="T101" i="24"/>
  <c r="T31" i="24"/>
  <c r="T81" i="24"/>
  <c r="T66" i="24"/>
  <c r="T91" i="24"/>
  <c r="G1989" i="18"/>
  <c r="V1989" i="18" s="1"/>
  <c r="W1989" i="18" s="1"/>
  <c r="T116" i="24"/>
  <c r="T36" i="24"/>
  <c r="T21" i="24"/>
  <c r="T16" i="24"/>
  <c r="T26" i="24"/>
  <c r="T51" i="24"/>
  <c r="T46" i="24"/>
  <c r="T6" i="24"/>
  <c r="T121" i="24"/>
  <c r="T126" i="24"/>
  <c r="T76" i="24"/>
  <c r="T71" i="24"/>
  <c r="T86" i="24"/>
  <c r="T41" i="24"/>
  <c r="T61" i="24"/>
  <c r="T11" i="24"/>
  <c r="O2004" i="18"/>
  <c r="O2006" i="18" s="1"/>
  <c r="N2004" i="18"/>
  <c r="N2006" i="18" s="1"/>
  <c r="V2022" i="18"/>
  <c r="W2022" i="18" s="1"/>
  <c r="G2009" i="18"/>
  <c r="V2020" i="18"/>
  <c r="W2020" i="18" s="1"/>
  <c r="J2005" i="18"/>
  <c r="I2005" i="18"/>
  <c r="J2023" i="18" s="1"/>
  <c r="H2005" i="18"/>
  <c r="H2023" i="18" s="1"/>
  <c r="G2002" i="18"/>
  <c r="G2023" i="18"/>
  <c r="G1961" i="18"/>
  <c r="O1942" i="18"/>
  <c r="O1944" i="18" s="1"/>
  <c r="N1942" i="18"/>
  <c r="N1944" i="18" s="1"/>
  <c r="L68" i="24"/>
  <c r="M68" i="24" s="1"/>
  <c r="L118" i="24"/>
  <c r="M118" i="24" s="1"/>
  <c r="L106" i="24"/>
  <c r="L48" i="24"/>
  <c r="M48" i="24" s="1"/>
  <c r="L38" i="24"/>
  <c r="M38" i="24" s="1"/>
  <c r="L86" i="24"/>
  <c r="L88" i="24"/>
  <c r="M88" i="24" s="1"/>
  <c r="L36" i="24"/>
  <c r="L61" i="24"/>
  <c r="L123" i="24"/>
  <c r="M123" i="24" s="1"/>
  <c r="L113" i="24"/>
  <c r="M113" i="24" s="1"/>
  <c r="L116" i="24"/>
  <c r="L28" i="24"/>
  <c r="M28" i="24" s="1"/>
  <c r="L63" i="24"/>
  <c r="M63" i="24" s="1"/>
  <c r="L103" i="24"/>
  <c r="M103" i="24" s="1"/>
  <c r="L73" i="24"/>
  <c r="M73" i="24" s="1"/>
  <c r="L33" i="24"/>
  <c r="M33" i="24" s="1"/>
  <c r="L46" i="24"/>
  <c r="L111" i="24"/>
  <c r="L18" i="24"/>
  <c r="M18" i="24" s="1"/>
  <c r="L108" i="24"/>
  <c r="M108" i="24" s="1"/>
  <c r="L101" i="24"/>
  <c r="L21" i="24"/>
  <c r="L43" i="24"/>
  <c r="M43" i="24" s="1"/>
  <c r="L93" i="24"/>
  <c r="M93" i="24" s="1"/>
  <c r="L26" i="24"/>
  <c r="L121" i="24"/>
  <c r="L16" i="24"/>
  <c r="L71" i="24"/>
  <c r="L83" i="24"/>
  <c r="M83" i="24" s="1"/>
  <c r="L41" i="24"/>
  <c r="L11" i="24"/>
  <c r="M11" i="24" s="1"/>
  <c r="L23" i="24"/>
  <c r="M23" i="24" s="1"/>
  <c r="L81" i="24"/>
  <c r="L91" i="24"/>
  <c r="L96" i="24"/>
  <c r="L56" i="24"/>
  <c r="L8" i="24"/>
  <c r="M8" i="24" s="1"/>
  <c r="L78" i="24"/>
  <c r="M78" i="24" s="1"/>
  <c r="L51" i="24"/>
  <c r="L6" i="24"/>
  <c r="L76" i="24"/>
  <c r="L66" i="24"/>
  <c r="L31" i="24"/>
  <c r="L126" i="24"/>
  <c r="V1958" i="18"/>
  <c r="W1958" i="18" s="1"/>
  <c r="G1947" i="18"/>
  <c r="L58" i="24"/>
  <c r="M58" i="24" s="1"/>
  <c r="I1943" i="18"/>
  <c r="J1961" i="18" s="1"/>
  <c r="H1943" i="18"/>
  <c r="H1961" i="18" s="1"/>
  <c r="G1940" i="18"/>
  <c r="J1943" i="18"/>
  <c r="L53" i="24"/>
  <c r="M53" i="24" s="1"/>
  <c r="L98" i="24"/>
  <c r="M98" i="24" s="1"/>
  <c r="V1960" i="18"/>
  <c r="W1960" i="18" s="1"/>
  <c r="L13" i="24"/>
  <c r="M13" i="24" s="1"/>
  <c r="G1973" i="18"/>
  <c r="G1974" i="18"/>
  <c r="G1994" i="18"/>
  <c r="G1972" i="18"/>
  <c r="I1999" i="18"/>
  <c r="G1985" i="18"/>
  <c r="G1991" i="18"/>
  <c r="G1986" i="18"/>
  <c r="D12" i="4"/>
  <c r="F14" i="31" s="1"/>
  <c r="AF562" i="11"/>
  <c r="AF382" i="11"/>
  <c r="AF130" i="11"/>
  <c r="AF26" i="11"/>
  <c r="AF651" i="11"/>
  <c r="AF639" i="11"/>
  <c r="AF627" i="11"/>
  <c r="AF615" i="11"/>
  <c r="AF603" i="11"/>
  <c r="AF591" i="11"/>
  <c r="AF579" i="11"/>
  <c r="AF567" i="11"/>
  <c r="AF555" i="11"/>
  <c r="AF543" i="11"/>
  <c r="AF531" i="11"/>
  <c r="AF519" i="11"/>
  <c r="AF507" i="11"/>
  <c r="AF495" i="11"/>
  <c r="AF483" i="11"/>
  <c r="AF471" i="11"/>
  <c r="AF459" i="11"/>
  <c r="AF447" i="11"/>
  <c r="AF435" i="11"/>
  <c r="AF423" i="11"/>
  <c r="AF411" i="11"/>
  <c r="AF399" i="11"/>
  <c r="AF387" i="11"/>
  <c r="AF375" i="11"/>
  <c r="AF363" i="11"/>
  <c r="AF351" i="11"/>
  <c r="AF339" i="11"/>
  <c r="AF327" i="11"/>
  <c r="AF315" i="11"/>
  <c r="AF303" i="11"/>
  <c r="AF291" i="11"/>
  <c r="AF279" i="11"/>
  <c r="AF267" i="11"/>
  <c r="AF255" i="11"/>
  <c r="AF243" i="11"/>
  <c r="AF231" i="11"/>
  <c r="AF219" i="11"/>
  <c r="AF207" i="11"/>
  <c r="AF195" i="11"/>
  <c r="AF183" i="11"/>
  <c r="AF171" i="11"/>
  <c r="AF159" i="11"/>
  <c r="AF147" i="11"/>
  <c r="AF135" i="11"/>
  <c r="AF123" i="11"/>
  <c r="AF111" i="11"/>
  <c r="AF99" i="11"/>
  <c r="AF87" i="11"/>
  <c r="AF75" i="11"/>
  <c r="AF63" i="11"/>
  <c r="AF51" i="11"/>
  <c r="AF39" i="11"/>
  <c r="AF659" i="11"/>
  <c r="AF3007" i="11"/>
  <c r="AF2995" i="11"/>
  <c r="AF2983" i="11"/>
  <c r="AF2971" i="11"/>
  <c r="AF2959" i="11"/>
  <c r="AF2947" i="11"/>
  <c r="AF2935" i="11"/>
  <c r="AF2923" i="11"/>
  <c r="AF2911" i="11"/>
  <c r="AF2899" i="11"/>
  <c r="AF2887" i="11"/>
  <c r="AF2875" i="11"/>
  <c r="AF2863" i="11"/>
  <c r="AF2851" i="11"/>
  <c r="AF2839" i="11"/>
  <c r="AF2827" i="11"/>
  <c r="AF2815" i="11"/>
  <c r="AF2803" i="11"/>
  <c r="AF2791" i="11"/>
  <c r="AF2779" i="11"/>
  <c r="AF2767" i="11"/>
  <c r="AF2755" i="11"/>
  <c r="AF2743" i="11"/>
  <c r="AF2731" i="11"/>
  <c r="AF2719" i="11"/>
  <c r="AF2707" i="11"/>
  <c r="AF2695" i="11"/>
  <c r="AF2683" i="11"/>
  <c r="AF2671" i="11"/>
  <c r="AF2659" i="11"/>
  <c r="AF2647" i="11"/>
  <c r="AF2635" i="11"/>
  <c r="AF2623" i="11"/>
  <c r="AF2611" i="11"/>
  <c r="AF2599" i="11"/>
  <c r="AF2587" i="11"/>
  <c r="AF2575" i="11"/>
  <c r="AF2563" i="11"/>
  <c r="AF2551" i="11"/>
  <c r="AF2539" i="11"/>
  <c r="AF2527" i="11"/>
  <c r="AF2515" i="11"/>
  <c r="AF2503" i="11"/>
  <c r="AF2491" i="11"/>
  <c r="AF2479" i="11"/>
  <c r="AF2467" i="11"/>
  <c r="AF2455" i="11"/>
  <c r="AF2443" i="11"/>
  <c r="AF2431" i="11"/>
  <c r="AF2419" i="11"/>
  <c r="AF2407" i="11"/>
  <c r="AF2395" i="11"/>
  <c r="AF2383" i="11"/>
  <c r="AF2371" i="11"/>
  <c r="AF2359" i="11"/>
  <c r="AF2347" i="11"/>
  <c r="AF2335" i="11"/>
  <c r="AF2323" i="11"/>
  <c r="AF2311" i="11"/>
  <c r="AF2299" i="11"/>
  <c r="AF2287" i="11"/>
  <c r="AF2275" i="11"/>
  <c r="AF2263" i="11"/>
  <c r="AF2251" i="11"/>
  <c r="AF2239" i="11"/>
  <c r="AF2227" i="11"/>
  <c r="AF2215" i="11"/>
  <c r="AF2203" i="11"/>
  <c r="AF2191" i="11"/>
  <c r="AF2179" i="11"/>
  <c r="AF2167" i="11"/>
  <c r="AF2155" i="11"/>
  <c r="AF2143" i="11"/>
  <c r="AF2131" i="11"/>
  <c r="AF2119" i="11"/>
  <c r="AF2107" i="11"/>
  <c r="AF2095" i="11"/>
  <c r="AF2083" i="11"/>
  <c r="AF2071" i="11"/>
  <c r="AF2059" i="11"/>
  <c r="AF2047" i="11"/>
  <c r="AF2035" i="11"/>
  <c r="AF2023" i="11"/>
  <c r="AF2011" i="11"/>
  <c r="AF1999" i="11"/>
  <c r="AF1987" i="11"/>
  <c r="AF1975" i="11"/>
  <c r="AF1963" i="11"/>
  <c r="AF1951" i="11"/>
  <c r="AF1939" i="11"/>
  <c r="AF1927" i="11"/>
  <c r="AF1915" i="11"/>
  <c r="AF1903" i="11"/>
  <c r="AF1891" i="11"/>
  <c r="AF1879" i="11"/>
  <c r="AF1867" i="11"/>
  <c r="AF1855" i="11"/>
  <c r="AF1843" i="11"/>
  <c r="AF1831" i="11"/>
  <c r="AF1819" i="11"/>
  <c r="AF1807" i="11"/>
  <c r="AF1795" i="11"/>
  <c r="AF1783" i="11"/>
  <c r="AF1771" i="11"/>
  <c r="AF1759" i="11"/>
  <c r="AF1747" i="11"/>
  <c r="AF1735" i="11"/>
  <c r="AF1723" i="11"/>
  <c r="AF1711" i="11"/>
  <c r="AF1699" i="11"/>
  <c r="AF1687" i="11"/>
  <c r="AF1675" i="11"/>
  <c r="AF1663" i="11"/>
  <c r="AF1651" i="11"/>
  <c r="AF1639" i="11"/>
  <c r="AF1627" i="11"/>
  <c r="AF1615" i="11"/>
  <c r="AF1603" i="11"/>
  <c r="AF1591" i="11"/>
  <c r="AF1579" i="11"/>
  <c r="AF1567" i="11"/>
  <c r="AF1555" i="11"/>
  <c r="AF1543" i="11"/>
  <c r="AF1531" i="11"/>
  <c r="AF1519" i="11"/>
  <c r="AF1507" i="11"/>
  <c r="AF1495" i="11"/>
  <c r="AF1483" i="11"/>
  <c r="AF1471" i="11"/>
  <c r="AF1459" i="11"/>
  <c r="AF1447" i="11"/>
  <c r="AF1435" i="11"/>
  <c r="AF1423" i="11"/>
  <c r="AF1411" i="11"/>
  <c r="AF1399" i="11"/>
  <c r="AF1387" i="11"/>
  <c r="AF1375" i="11"/>
  <c r="AF1363" i="11"/>
  <c r="AF1351" i="11"/>
  <c r="AF1339" i="11"/>
  <c r="AF1327" i="11"/>
  <c r="AF1315" i="11"/>
  <c r="AF1303" i="11"/>
  <c r="AF1291" i="11"/>
  <c r="AF1279" i="11"/>
  <c r="AF1267" i="11"/>
  <c r="AF1255" i="11"/>
  <c r="AF1243" i="11"/>
  <c r="AF1231" i="11"/>
  <c r="AF1219" i="11"/>
  <c r="AF1207" i="11"/>
  <c r="AF1195" i="11"/>
  <c r="AF1183" i="11"/>
  <c r="AF1171" i="11"/>
  <c r="AF1159" i="11"/>
  <c r="AF1147" i="11"/>
  <c r="AF1135" i="11"/>
  <c r="AF1123" i="11"/>
  <c r="AF1111" i="11"/>
  <c r="AF1099" i="11"/>
  <c r="AF1087" i="11"/>
  <c r="AF1075" i="11"/>
  <c r="AF1063" i="11"/>
  <c r="AF1051" i="11"/>
  <c r="AF1039" i="11"/>
  <c r="AF1027" i="11"/>
  <c r="AF1015" i="11"/>
  <c r="AF1003" i="11"/>
  <c r="AF991" i="11"/>
  <c r="AF979" i="11"/>
  <c r="AF967" i="11"/>
  <c r="AF955" i="11"/>
  <c r="AF943" i="11"/>
  <c r="AF931" i="11"/>
  <c r="AF919" i="11"/>
  <c r="AF907" i="11"/>
  <c r="AF895" i="11"/>
  <c r="AF883" i="11"/>
  <c r="AF871" i="11"/>
  <c r="AF859" i="11"/>
  <c r="AF847" i="11"/>
  <c r="AF835" i="11"/>
  <c r="AF823" i="11"/>
  <c r="AF811" i="11"/>
  <c r="AF799" i="11"/>
  <c r="AF787" i="11"/>
  <c r="AF775" i="11"/>
  <c r="AF763" i="11"/>
  <c r="AF751" i="11"/>
  <c r="AF739" i="11"/>
  <c r="AF727" i="11"/>
  <c r="AF715" i="11"/>
  <c r="AF703" i="11"/>
  <c r="AF691" i="11"/>
  <c r="AF679" i="11"/>
  <c r="AF667" i="11"/>
  <c r="AF598" i="11"/>
  <c r="AF478" i="11"/>
  <c r="AF358" i="11"/>
  <c r="AF286" i="11"/>
  <c r="AF202" i="11"/>
  <c r="AF25" i="11"/>
  <c r="AF650" i="11"/>
  <c r="AF638" i="11"/>
  <c r="AF626" i="11"/>
  <c r="AF614" i="11"/>
  <c r="AF602" i="11"/>
  <c r="AF590" i="11"/>
  <c r="AF578" i="11"/>
  <c r="AF566" i="11"/>
  <c r="AF554" i="11"/>
  <c r="AF542" i="11"/>
  <c r="AF530" i="11"/>
  <c r="AF518" i="11"/>
  <c r="AF506" i="11"/>
  <c r="AF494" i="11"/>
  <c r="AF482" i="11"/>
  <c r="AF470" i="11"/>
  <c r="AF458" i="11"/>
  <c r="AF446" i="11"/>
  <c r="AF434" i="11"/>
  <c r="AF422" i="11"/>
  <c r="AF410" i="11"/>
  <c r="AF398" i="11"/>
  <c r="AF386" i="11"/>
  <c r="AF374" i="11"/>
  <c r="AF362" i="11"/>
  <c r="AF350" i="11"/>
  <c r="AF338" i="11"/>
  <c r="AF326" i="11"/>
  <c r="AF314" i="11"/>
  <c r="AF302" i="11"/>
  <c r="AF290" i="11"/>
  <c r="AF278" i="11"/>
  <c r="AF266" i="11"/>
  <c r="AF254" i="11"/>
  <c r="AF242" i="11"/>
  <c r="AF230" i="11"/>
  <c r="AF218" i="11"/>
  <c r="AF206" i="11"/>
  <c r="AF194" i="11"/>
  <c r="AF182" i="11"/>
  <c r="AF170" i="11"/>
  <c r="AF158" i="11"/>
  <c r="AF146" i="11"/>
  <c r="AF134" i="11"/>
  <c r="AF122" i="11"/>
  <c r="AF110" i="11"/>
  <c r="AF98" i="11"/>
  <c r="AF86" i="11"/>
  <c r="AF74" i="11"/>
  <c r="AF62" i="11"/>
  <c r="AF50" i="11"/>
  <c r="AF38" i="11"/>
  <c r="AF658" i="11"/>
  <c r="AF3006" i="11"/>
  <c r="AF2994" i="11"/>
  <c r="AF2982" i="11"/>
  <c r="AF2970" i="11"/>
  <c r="AF2958" i="11"/>
  <c r="AF2946" i="11"/>
  <c r="AF2934" i="11"/>
  <c r="AF2922" i="11"/>
  <c r="AF2910" i="11"/>
  <c r="AF2898" i="11"/>
  <c r="AF2886" i="11"/>
  <c r="AF2874" i="11"/>
  <c r="AF2862" i="11"/>
  <c r="AF2850" i="11"/>
  <c r="AF2838" i="11"/>
  <c r="AF2826" i="11"/>
  <c r="AF2814" i="11"/>
  <c r="AF2802" i="11"/>
  <c r="AF2790" i="11"/>
  <c r="AF2778" i="11"/>
  <c r="AF2766" i="11"/>
  <c r="AF2754" i="11"/>
  <c r="AF2742" i="11"/>
  <c r="AF2730" i="11"/>
  <c r="AF2718" i="11"/>
  <c r="AF2706" i="11"/>
  <c r="AF2694" i="11"/>
  <c r="AF2682" i="11"/>
  <c r="AF2670" i="11"/>
  <c r="AF2658" i="11"/>
  <c r="AF2646" i="11"/>
  <c r="AF2634" i="11"/>
  <c r="AF2622" i="11"/>
  <c r="AF2610" i="11"/>
  <c r="AF2598" i="11"/>
  <c r="AF2586" i="11"/>
  <c r="AF2574" i="11"/>
  <c r="AF2562" i="11"/>
  <c r="AF2550" i="11"/>
  <c r="AF2538" i="11"/>
  <c r="AF2526" i="11"/>
  <c r="AF2514" i="11"/>
  <c r="AF2502" i="11"/>
  <c r="AF2490" i="11"/>
  <c r="AF2478" i="11"/>
  <c r="AF2466" i="11"/>
  <c r="AF2454" i="11"/>
  <c r="AF2442" i="11"/>
  <c r="AF2430" i="11"/>
  <c r="AF2418" i="11"/>
  <c r="AF2406" i="11"/>
  <c r="AF2394" i="11"/>
  <c r="AF2382" i="11"/>
  <c r="AF2370" i="11"/>
  <c r="AF2358" i="11"/>
  <c r="AF2346" i="11"/>
  <c r="AF2334" i="11"/>
  <c r="AF2322" i="11"/>
  <c r="AF2310" i="11"/>
  <c r="AF2298" i="11"/>
  <c r="AF2286" i="11"/>
  <c r="AF2274" i="11"/>
  <c r="AF2262" i="11"/>
  <c r="AF2250" i="11"/>
  <c r="AF2238" i="11"/>
  <c r="AF2226" i="11"/>
  <c r="AF2214" i="11"/>
  <c r="AF2202" i="11"/>
  <c r="AF2190" i="11"/>
  <c r="AF2178" i="11"/>
  <c r="AF2166" i="11"/>
  <c r="AF2154" i="11"/>
  <c r="AF2142" i="11"/>
  <c r="AF2130" i="11"/>
  <c r="AF2118" i="11"/>
  <c r="AF2106" i="11"/>
  <c r="AF2094" i="11"/>
  <c r="AF2082" i="11"/>
  <c r="AF2070" i="11"/>
  <c r="AF2058" i="11"/>
  <c r="AF2046" i="11"/>
  <c r="AF2034" i="11"/>
  <c r="AF2022" i="11"/>
  <c r="AF2010" i="11"/>
  <c r="AF1998" i="11"/>
  <c r="AF1986" i="11"/>
  <c r="AF1974" i="11"/>
  <c r="AF1962" i="11"/>
  <c r="AF1950" i="11"/>
  <c r="AF1938" i="11"/>
  <c r="AF1926" i="11"/>
  <c r="AF1914" i="11"/>
  <c r="AF1902" i="11"/>
  <c r="AF1890" i="11"/>
  <c r="AF1878" i="11"/>
  <c r="AF1866" i="11"/>
  <c r="AF1854" i="11"/>
  <c r="AF1842" i="11"/>
  <c r="AF1830" i="11"/>
  <c r="AF1818" i="11"/>
  <c r="AF1806" i="11"/>
  <c r="AF1794" i="11"/>
  <c r="AF1782" i="11"/>
  <c r="AF1770" i="11"/>
  <c r="AF1758" i="11"/>
  <c r="AF1746" i="11"/>
  <c r="AF1734" i="11"/>
  <c r="AF1722" i="11"/>
  <c r="AF1710" i="11"/>
  <c r="AF1698" i="11"/>
  <c r="AF1686" i="11"/>
  <c r="AF1674" i="11"/>
  <c r="AF1662" i="11"/>
  <c r="AF1650" i="11"/>
  <c r="AF1638" i="11"/>
  <c r="AF1626" i="11"/>
  <c r="AF1614" i="11"/>
  <c r="AF1602" i="11"/>
  <c r="AF1590" i="11"/>
  <c r="AF1578" i="11"/>
  <c r="AF1566" i="11"/>
  <c r="AF1554" i="11"/>
  <c r="AF1542" i="11"/>
  <c r="AF1530" i="11"/>
  <c r="AF1518" i="11"/>
  <c r="AF1506" i="11"/>
  <c r="AF1494" i="11"/>
  <c r="AF1482" i="11"/>
  <c r="AF1470" i="11"/>
  <c r="AF1458" i="11"/>
  <c r="AF1446" i="11"/>
  <c r="AF1434" i="11"/>
  <c r="AF1422" i="11"/>
  <c r="AF1410" i="11"/>
  <c r="AF1398" i="11"/>
  <c r="AF1386" i="11"/>
  <c r="AF1374" i="11"/>
  <c r="AF1362" i="11"/>
  <c r="AF1350" i="11"/>
  <c r="AF1338" i="11"/>
  <c r="AF1326" i="11"/>
  <c r="AF1314" i="11"/>
  <c r="AF1302" i="11"/>
  <c r="AF1290" i="11"/>
  <c r="AF1278" i="11"/>
  <c r="AF1266" i="11"/>
  <c r="AF1254" i="11"/>
  <c r="AF1242" i="11"/>
  <c r="AF1230" i="11"/>
  <c r="AF1218" i="11"/>
  <c r="AF1206" i="11"/>
  <c r="AF1194" i="11"/>
  <c r="AF1182" i="11"/>
  <c r="AF1170" i="11"/>
  <c r="AF1158" i="11"/>
  <c r="AF1146" i="11"/>
  <c r="AF1134" i="11"/>
  <c r="AF1122" i="11"/>
  <c r="AF1110" i="11"/>
  <c r="AF1098" i="11"/>
  <c r="AF1086" i="11"/>
  <c r="AF1074" i="11"/>
  <c r="AF1062" i="11"/>
  <c r="AF1050" i="11"/>
  <c r="AF1038" i="11"/>
  <c r="AF1026" i="11"/>
  <c r="AF1014" i="11"/>
  <c r="AF1002" i="11"/>
  <c r="AF990" i="11"/>
  <c r="AF978" i="11"/>
  <c r="AF966" i="11"/>
  <c r="AF954" i="11"/>
  <c r="AF942" i="11"/>
  <c r="AF930" i="11"/>
  <c r="AF918" i="11"/>
  <c r="AF906" i="11"/>
  <c r="AF894" i="11"/>
  <c r="AF882" i="11"/>
  <c r="AF870" i="11"/>
  <c r="AF858" i="11"/>
  <c r="AF846" i="11"/>
  <c r="AF834" i="11"/>
  <c r="AF822" i="11"/>
  <c r="AF810" i="11"/>
  <c r="AF798" i="11"/>
  <c r="AF786" i="11"/>
  <c r="AF774" i="11"/>
  <c r="AF762" i="11"/>
  <c r="AF750" i="11"/>
  <c r="AF738" i="11"/>
  <c r="AF726" i="11"/>
  <c r="AF714" i="11"/>
  <c r="AF702" i="11"/>
  <c r="AF690" i="11"/>
  <c r="AF678" i="11"/>
  <c r="AF666" i="11"/>
  <c r="AF574" i="11"/>
  <c r="AF406" i="11"/>
  <c r="AF94" i="11"/>
  <c r="AF24" i="11"/>
  <c r="AF649" i="11"/>
  <c r="AF637" i="11"/>
  <c r="AF625" i="11"/>
  <c r="AF613" i="11"/>
  <c r="AF601" i="11"/>
  <c r="AF589" i="11"/>
  <c r="AF577" i="11"/>
  <c r="AF565" i="11"/>
  <c r="AF553" i="11"/>
  <c r="AF541" i="11"/>
  <c r="AF529" i="11"/>
  <c r="AF517" i="11"/>
  <c r="AF505" i="11"/>
  <c r="AF493" i="11"/>
  <c r="AF481" i="11"/>
  <c r="AF469" i="11"/>
  <c r="AF457" i="11"/>
  <c r="AF445" i="11"/>
  <c r="AF433" i="11"/>
  <c r="AF421" i="11"/>
  <c r="AF409" i="11"/>
  <c r="AF397" i="11"/>
  <c r="AF385" i="11"/>
  <c r="AF373" i="11"/>
  <c r="AF361" i="11"/>
  <c r="AF349" i="11"/>
  <c r="AF337" i="11"/>
  <c r="AF325" i="11"/>
  <c r="AF313" i="11"/>
  <c r="AF301" i="11"/>
  <c r="AF289" i="11"/>
  <c r="AF277" i="11"/>
  <c r="AF265" i="11"/>
  <c r="AF253" i="11"/>
  <c r="AF241" i="11"/>
  <c r="AF229" i="11"/>
  <c r="AF217" i="11"/>
  <c r="AF205" i="11"/>
  <c r="AF193" i="11"/>
  <c r="AF181" i="11"/>
  <c r="AF169" i="11"/>
  <c r="AF157" i="11"/>
  <c r="AF145" i="11"/>
  <c r="AF133" i="11"/>
  <c r="AF121" i="11"/>
  <c r="AF109" i="11"/>
  <c r="AF97" i="11"/>
  <c r="AF85" i="11"/>
  <c r="AF73" i="11"/>
  <c r="AF61" i="11"/>
  <c r="AF49" i="11"/>
  <c r="AF37" i="11"/>
  <c r="AF657" i="11"/>
  <c r="AF3005" i="11"/>
  <c r="AF2993" i="11"/>
  <c r="AF2981" i="11"/>
  <c r="AF2969" i="11"/>
  <c r="AF2957" i="11"/>
  <c r="AF2945" i="11"/>
  <c r="AF2933" i="11"/>
  <c r="AF2921" i="11"/>
  <c r="AF2909" i="11"/>
  <c r="AF2897" i="11"/>
  <c r="AF2885" i="11"/>
  <c r="AF2873" i="11"/>
  <c r="AF2861" i="11"/>
  <c r="AF2849" i="11"/>
  <c r="AF2837" i="11"/>
  <c r="AF2825" i="11"/>
  <c r="AF2813" i="11"/>
  <c r="AF2801" i="11"/>
  <c r="AF2789" i="11"/>
  <c r="AF2777" i="11"/>
  <c r="AF2765" i="11"/>
  <c r="AF2753" i="11"/>
  <c r="AF2741" i="11"/>
  <c r="AF2729" i="11"/>
  <c r="AF2717" i="11"/>
  <c r="AF2705" i="11"/>
  <c r="AF2693" i="11"/>
  <c r="AF2681" i="11"/>
  <c r="AF2669" i="11"/>
  <c r="AF2657" i="11"/>
  <c r="AF2645" i="11"/>
  <c r="AF2633" i="11"/>
  <c r="AF2621" i="11"/>
  <c r="AF2609" i="11"/>
  <c r="AF2597" i="11"/>
  <c r="AF2585" i="11"/>
  <c r="AF2573" i="11"/>
  <c r="AF2561" i="11"/>
  <c r="AF2549" i="11"/>
  <c r="AF2537" i="11"/>
  <c r="AF2525" i="11"/>
  <c r="AF2513" i="11"/>
  <c r="AF2501" i="11"/>
  <c r="AF2489" i="11"/>
  <c r="AF2477" i="11"/>
  <c r="AF2465" i="11"/>
  <c r="AF2453" i="11"/>
  <c r="AF2441" i="11"/>
  <c r="AF2429" i="11"/>
  <c r="AF2417" i="11"/>
  <c r="AF2405" i="11"/>
  <c r="AF2393" i="11"/>
  <c r="AF2381" i="11"/>
  <c r="AF2369" i="11"/>
  <c r="AF2357" i="11"/>
  <c r="AF2345" i="11"/>
  <c r="AF2333" i="11"/>
  <c r="AF2321" i="11"/>
  <c r="AF2309" i="11"/>
  <c r="AF2297" i="11"/>
  <c r="AF2285" i="11"/>
  <c r="AF2273" i="11"/>
  <c r="AF2261" i="11"/>
  <c r="AF2249" i="11"/>
  <c r="AF2237" i="11"/>
  <c r="AF2225" i="11"/>
  <c r="AF2213" i="11"/>
  <c r="AF2201" i="11"/>
  <c r="AF2189" i="11"/>
  <c r="AF2177" i="11"/>
  <c r="AF2165" i="11"/>
  <c r="AF2153" i="11"/>
  <c r="AF2141" i="11"/>
  <c r="AF2129" i="11"/>
  <c r="AF2117" i="11"/>
  <c r="AF2105" i="11"/>
  <c r="AF2093" i="11"/>
  <c r="AF2081" i="11"/>
  <c r="AF2069" i="11"/>
  <c r="AF2057" i="11"/>
  <c r="AF2045" i="11"/>
  <c r="AF2033" i="11"/>
  <c r="AF2021" i="11"/>
  <c r="AF2009" i="11"/>
  <c r="AF1997" i="11"/>
  <c r="AF1985" i="11"/>
  <c r="AF1973" i="11"/>
  <c r="AF1961" i="11"/>
  <c r="AF1949" i="11"/>
  <c r="AF1937" i="11"/>
  <c r="AF1925" i="11"/>
  <c r="AF1913" i="11"/>
  <c r="AF1901" i="11"/>
  <c r="AF1889" i="11"/>
  <c r="AF1877" i="11"/>
  <c r="AF1865" i="11"/>
  <c r="AF1853" i="11"/>
  <c r="AF1841" i="11"/>
  <c r="AF1829" i="11"/>
  <c r="AF1817" i="11"/>
  <c r="AF1805" i="11"/>
  <c r="AF1793" i="11"/>
  <c r="AF1781" i="11"/>
  <c r="AF1769" i="11"/>
  <c r="AF1757" i="11"/>
  <c r="AF1745" i="11"/>
  <c r="AF1733" i="11"/>
  <c r="AF1721" i="11"/>
  <c r="AF1709" i="11"/>
  <c r="AF1697" i="11"/>
  <c r="AF1685" i="11"/>
  <c r="AF1673" i="11"/>
  <c r="AF1661" i="11"/>
  <c r="AF1649" i="11"/>
  <c r="AF1637" i="11"/>
  <c r="AF1625" i="11"/>
  <c r="AF1613" i="11"/>
  <c r="AF1601" i="11"/>
  <c r="AF1589" i="11"/>
  <c r="AF1577" i="11"/>
  <c r="AF1565" i="11"/>
  <c r="AF1553" i="11"/>
  <c r="AF1541" i="11"/>
  <c r="AF1529" i="11"/>
  <c r="AF1517" i="11"/>
  <c r="AF1505" i="11"/>
  <c r="AF1493" i="11"/>
  <c r="AF1481" i="11"/>
  <c r="AF1469" i="11"/>
  <c r="AF1457" i="11"/>
  <c r="AF1445" i="11"/>
  <c r="AF1433" i="11"/>
  <c r="AF1421" i="11"/>
  <c r="AF1409" i="11"/>
  <c r="AF1397" i="11"/>
  <c r="AF1385" i="11"/>
  <c r="AF1373" i="11"/>
  <c r="AF1361" i="11"/>
  <c r="AF1349" i="11"/>
  <c r="AF1337" i="11"/>
  <c r="AF1325" i="11"/>
  <c r="AF1313" i="11"/>
  <c r="AF1301" i="11"/>
  <c r="AF1289" i="11"/>
  <c r="AF1277" i="11"/>
  <c r="AF1265" i="11"/>
  <c r="AF1253" i="11"/>
  <c r="AF1241" i="11"/>
  <c r="AF1229" i="11"/>
  <c r="AF1217" i="11"/>
  <c r="AF1205" i="11"/>
  <c r="AF1193" i="11"/>
  <c r="AF1181" i="11"/>
  <c r="AF1169" i="11"/>
  <c r="AF1157" i="11"/>
  <c r="AF1145" i="11"/>
  <c r="AF1133" i="11"/>
  <c r="AF1121" i="11"/>
  <c r="AF1109" i="11"/>
  <c r="AF1097" i="11"/>
  <c r="AF1085" i="11"/>
  <c r="AF1073" i="11"/>
  <c r="AF1061" i="11"/>
  <c r="AF1049" i="11"/>
  <c r="AF1037" i="11"/>
  <c r="AF1025" i="11"/>
  <c r="AF1013" i="11"/>
  <c r="AF1001" i="11"/>
  <c r="AF989" i="11"/>
  <c r="AF977" i="11"/>
  <c r="AF965" i="11"/>
  <c r="AF953" i="11"/>
  <c r="AF941" i="11"/>
  <c r="AF929" i="11"/>
  <c r="AF917" i="11"/>
  <c r="AF905" i="11"/>
  <c r="AF893" i="11"/>
  <c r="AF881" i="11"/>
  <c r="AF869" i="11"/>
  <c r="AF857" i="11"/>
  <c r="AF845" i="11"/>
  <c r="AF833" i="11"/>
  <c r="AF821" i="11"/>
  <c r="AF809" i="11"/>
  <c r="AF797" i="11"/>
  <c r="AF785" i="11"/>
  <c r="AF773" i="11"/>
  <c r="AF761" i="11"/>
  <c r="AF749" i="11"/>
  <c r="AF737" i="11"/>
  <c r="AF725" i="11"/>
  <c r="AF713" i="11"/>
  <c r="AF701" i="11"/>
  <c r="AF689" i="11"/>
  <c r="AF677" i="11"/>
  <c r="AF665" i="11"/>
  <c r="AF33" i="11"/>
  <c r="AF538" i="11"/>
  <c r="AF394" i="11"/>
  <c r="AF118" i="11"/>
  <c r="AF23" i="11"/>
  <c r="AF648" i="11"/>
  <c r="AF636" i="11"/>
  <c r="AF624" i="11"/>
  <c r="AF612" i="11"/>
  <c r="AF600" i="11"/>
  <c r="AF588" i="11"/>
  <c r="AF576" i="11"/>
  <c r="AF564" i="11"/>
  <c r="AF552" i="11"/>
  <c r="AF540" i="11"/>
  <c r="AF528" i="11"/>
  <c r="AF516" i="11"/>
  <c r="AF504" i="11"/>
  <c r="AF492" i="11"/>
  <c r="AF480" i="11"/>
  <c r="AF468" i="11"/>
  <c r="AF456" i="11"/>
  <c r="AF444" i="11"/>
  <c r="AF432" i="11"/>
  <c r="AF420" i="11"/>
  <c r="AF408" i="11"/>
  <c r="AF396" i="11"/>
  <c r="AF384" i="11"/>
  <c r="AF372" i="11"/>
  <c r="AF360" i="11"/>
  <c r="AF348" i="11"/>
  <c r="AF336" i="11"/>
  <c r="AF324" i="11"/>
  <c r="AF312" i="11"/>
  <c r="AF300" i="11"/>
  <c r="AF288" i="11"/>
  <c r="AF276" i="11"/>
  <c r="AF264" i="11"/>
  <c r="AF252" i="11"/>
  <c r="AF240" i="11"/>
  <c r="AF228" i="11"/>
  <c r="AF216" i="11"/>
  <c r="AF204" i="11"/>
  <c r="AF192" i="11"/>
  <c r="AF180" i="11"/>
  <c r="AF168" i="11"/>
  <c r="AF156" i="11"/>
  <c r="AF144" i="11"/>
  <c r="AF132" i="11"/>
  <c r="AF120" i="11"/>
  <c r="AF108" i="11"/>
  <c r="AF96" i="11"/>
  <c r="AF84" i="11"/>
  <c r="AF72" i="11"/>
  <c r="AF60" i="11"/>
  <c r="AF48" i="11"/>
  <c r="AF36" i="11"/>
  <c r="AF656" i="11"/>
  <c r="AF3004" i="11"/>
  <c r="AF2992" i="11"/>
  <c r="AF2980" i="11"/>
  <c r="AF2968" i="11"/>
  <c r="AF2956" i="11"/>
  <c r="AF2944" i="11"/>
  <c r="AF2932" i="11"/>
  <c r="AF2920" i="11"/>
  <c r="AF2908" i="11"/>
  <c r="AF2896" i="11"/>
  <c r="AF2884" i="11"/>
  <c r="AF2872" i="11"/>
  <c r="AF2860" i="11"/>
  <c r="AF2848" i="11"/>
  <c r="AF2836" i="11"/>
  <c r="AF2824" i="11"/>
  <c r="AF2812" i="11"/>
  <c r="AF2800" i="11"/>
  <c r="AF2788" i="11"/>
  <c r="AF2776" i="11"/>
  <c r="AF2764" i="11"/>
  <c r="AF2752" i="11"/>
  <c r="AF2740" i="11"/>
  <c r="AF2728" i="11"/>
  <c r="AF2716" i="11"/>
  <c r="AF2704" i="11"/>
  <c r="AF2692" i="11"/>
  <c r="AF2680" i="11"/>
  <c r="AF2668" i="11"/>
  <c r="AF2656" i="11"/>
  <c r="AF2644" i="11"/>
  <c r="AF2632" i="11"/>
  <c r="AF2620" i="11"/>
  <c r="AF2608" i="11"/>
  <c r="AF2596" i="11"/>
  <c r="AF2584" i="11"/>
  <c r="AF2572" i="11"/>
  <c r="AF2560" i="11"/>
  <c r="AF2548" i="11"/>
  <c r="AF2536" i="11"/>
  <c r="AF2524" i="11"/>
  <c r="AF2512" i="11"/>
  <c r="AF2500" i="11"/>
  <c r="AF2488" i="11"/>
  <c r="AF2476" i="11"/>
  <c r="AF2464" i="11"/>
  <c r="AF2452" i="11"/>
  <c r="AF2440" i="11"/>
  <c r="AF2428" i="11"/>
  <c r="AF2416" i="11"/>
  <c r="AF2404" i="11"/>
  <c r="AF2392" i="11"/>
  <c r="AF2380" i="11"/>
  <c r="AF2368" i="11"/>
  <c r="AF2356" i="11"/>
  <c r="AF2344" i="11"/>
  <c r="AF2332" i="11"/>
  <c r="AF2320" i="11"/>
  <c r="AF2308" i="11"/>
  <c r="AF2296" i="11"/>
  <c r="AF2284" i="11"/>
  <c r="AF2272" i="11"/>
  <c r="AF2260" i="11"/>
  <c r="AF2248" i="11"/>
  <c r="AF2236" i="11"/>
  <c r="AF2224" i="11"/>
  <c r="AF2212" i="11"/>
  <c r="AF2200" i="11"/>
  <c r="AF2188" i="11"/>
  <c r="AF2176" i="11"/>
  <c r="AF2164" i="11"/>
  <c r="AF2152" i="11"/>
  <c r="AF2140" i="11"/>
  <c r="AF2128" i="11"/>
  <c r="AF2116" i="11"/>
  <c r="AF2104" i="11"/>
  <c r="AF2092" i="11"/>
  <c r="AF2080" i="11"/>
  <c r="AF2068" i="11"/>
  <c r="AF2056" i="11"/>
  <c r="AF2044" i="11"/>
  <c r="AF2032" i="11"/>
  <c r="AF2020" i="11"/>
  <c r="AF2008" i="11"/>
  <c r="AF1996" i="11"/>
  <c r="AF1984" i="11"/>
  <c r="AF1972" i="11"/>
  <c r="AF1960" i="11"/>
  <c r="AF1948" i="11"/>
  <c r="AF1936" i="11"/>
  <c r="AF1924" i="11"/>
  <c r="AF1912" i="11"/>
  <c r="AF1900" i="11"/>
  <c r="AF1888" i="11"/>
  <c r="AF1876" i="11"/>
  <c r="AF1864" i="11"/>
  <c r="AF1852" i="11"/>
  <c r="AF1840" i="11"/>
  <c r="AF1828" i="11"/>
  <c r="AF1816" i="11"/>
  <c r="AF1804" i="11"/>
  <c r="AF1792" i="11"/>
  <c r="AF1780" i="11"/>
  <c r="AF1768" i="11"/>
  <c r="AF1756" i="11"/>
  <c r="AF1744" i="11"/>
  <c r="AF1732" i="11"/>
  <c r="AF1720" i="11"/>
  <c r="AF1708" i="11"/>
  <c r="AF1696" i="11"/>
  <c r="AF1684" i="11"/>
  <c r="AF1672" i="11"/>
  <c r="AF1660" i="11"/>
  <c r="AF1648" i="11"/>
  <c r="AF1636" i="11"/>
  <c r="AF1624" i="11"/>
  <c r="AF1612" i="11"/>
  <c r="AF1600" i="11"/>
  <c r="AF1588" i="11"/>
  <c r="AF1576" i="11"/>
  <c r="AF1564" i="11"/>
  <c r="AF1552" i="11"/>
  <c r="AF1540" i="11"/>
  <c r="AF1528" i="11"/>
  <c r="AF1516" i="11"/>
  <c r="AF1504" i="11"/>
  <c r="AF1492" i="11"/>
  <c r="AF1480" i="11"/>
  <c r="AF1468" i="11"/>
  <c r="AF1456" i="11"/>
  <c r="AF1444" i="11"/>
  <c r="AF1432" i="11"/>
  <c r="AF1420" i="11"/>
  <c r="AF1408" i="11"/>
  <c r="AF1396" i="11"/>
  <c r="AF1384" i="11"/>
  <c r="AF1372" i="11"/>
  <c r="AF1360" i="11"/>
  <c r="AF1348" i="11"/>
  <c r="AF1336" i="11"/>
  <c r="AF1324" i="11"/>
  <c r="AF1312" i="11"/>
  <c r="AF1300" i="11"/>
  <c r="AF1288" i="11"/>
  <c r="AF1276" i="11"/>
  <c r="AF1264" i="11"/>
  <c r="AF1252" i="11"/>
  <c r="AF1240" i="11"/>
  <c r="AF1228" i="11"/>
  <c r="AF1216" i="11"/>
  <c r="AF1204" i="11"/>
  <c r="AF1192" i="11"/>
  <c r="AF1180" i="11"/>
  <c r="AF1168" i="11"/>
  <c r="AF1156" i="11"/>
  <c r="AF1144" i="11"/>
  <c r="AF1132" i="11"/>
  <c r="AF1120" i="11"/>
  <c r="AF1108" i="11"/>
  <c r="AF1096" i="11"/>
  <c r="AF1084" i="11"/>
  <c r="AF1072" i="11"/>
  <c r="AF1060" i="11"/>
  <c r="AF1048" i="11"/>
  <c r="AF1036" i="11"/>
  <c r="AF1024" i="11"/>
  <c r="AF1012" i="11"/>
  <c r="AF1000" i="11"/>
  <c r="AF988" i="11"/>
  <c r="AF976" i="11"/>
  <c r="AF964" i="11"/>
  <c r="AF952" i="11"/>
  <c r="AF940" i="11"/>
  <c r="AF928" i="11"/>
  <c r="AF916" i="11"/>
  <c r="AF904" i="11"/>
  <c r="AF892" i="11"/>
  <c r="AF880" i="11"/>
  <c r="AF868" i="11"/>
  <c r="AF856" i="11"/>
  <c r="AF844" i="11"/>
  <c r="AF832" i="11"/>
  <c r="AF820" i="11"/>
  <c r="AF808" i="11"/>
  <c r="AF796" i="11"/>
  <c r="AF784" i="11"/>
  <c r="AF772" i="11"/>
  <c r="AF760" i="11"/>
  <c r="AF748" i="11"/>
  <c r="AF736" i="11"/>
  <c r="AF724" i="11"/>
  <c r="AF712" i="11"/>
  <c r="AF700" i="11"/>
  <c r="AF688" i="11"/>
  <c r="AF676" i="11"/>
  <c r="AF664" i="11"/>
  <c r="AF22" i="11"/>
  <c r="AF647" i="11"/>
  <c r="AF635" i="11"/>
  <c r="AF623" i="11"/>
  <c r="AF611" i="11"/>
  <c r="AF599" i="11"/>
  <c r="AF587" i="11"/>
  <c r="AF575" i="11"/>
  <c r="AF563" i="11"/>
  <c r="AF551" i="11"/>
  <c r="AF539" i="11"/>
  <c r="AF527" i="11"/>
  <c r="AF515" i="11"/>
  <c r="AF503" i="11"/>
  <c r="AF491" i="11"/>
  <c r="AF479" i="11"/>
  <c r="AF467" i="11"/>
  <c r="AF455" i="11"/>
  <c r="AF443" i="11"/>
  <c r="AF431" i="11"/>
  <c r="AF419" i="11"/>
  <c r="AF407" i="11"/>
  <c r="AF395" i="11"/>
  <c r="AF383" i="11"/>
  <c r="AF371" i="11"/>
  <c r="AF359" i="11"/>
  <c r="AF347" i="11"/>
  <c r="AF335" i="11"/>
  <c r="AF323" i="11"/>
  <c r="AF311" i="11"/>
  <c r="AF299" i="11"/>
  <c r="AF287" i="11"/>
  <c r="AF275" i="11"/>
  <c r="AF263" i="11"/>
  <c r="AF251" i="11"/>
  <c r="AF239" i="11"/>
  <c r="AF227" i="11"/>
  <c r="AF215" i="11"/>
  <c r="AF203" i="11"/>
  <c r="AF191" i="11"/>
  <c r="AF179" i="11"/>
  <c r="AF167" i="11"/>
  <c r="AF155" i="11"/>
  <c r="AF143" i="11"/>
  <c r="AF131" i="11"/>
  <c r="AF119" i="11"/>
  <c r="AF107" i="11"/>
  <c r="AF95" i="11"/>
  <c r="AF83" i="11"/>
  <c r="AF71" i="11"/>
  <c r="AF59" i="11"/>
  <c r="AF47" i="11"/>
  <c r="AF35" i="11"/>
  <c r="AF655" i="11"/>
  <c r="AF3003" i="11"/>
  <c r="AF2991" i="11"/>
  <c r="AF2979" i="11"/>
  <c r="AF2967" i="11"/>
  <c r="AF2955" i="11"/>
  <c r="AF2943" i="11"/>
  <c r="AF2931" i="11"/>
  <c r="AF2919" i="11"/>
  <c r="AF2907" i="11"/>
  <c r="AF2895" i="11"/>
  <c r="AF2883" i="11"/>
  <c r="AF2871" i="11"/>
  <c r="AF2859" i="11"/>
  <c r="AF2847" i="11"/>
  <c r="AF2835" i="11"/>
  <c r="AF2823" i="11"/>
  <c r="AF2811" i="11"/>
  <c r="AF2799" i="11"/>
  <c r="AF2787" i="11"/>
  <c r="AF2775" i="11"/>
  <c r="AF2763" i="11"/>
  <c r="AF2751" i="11"/>
  <c r="AF2739" i="11"/>
  <c r="AF2727" i="11"/>
  <c r="AF2715" i="11"/>
  <c r="AF2703" i="11"/>
  <c r="AF2691" i="11"/>
  <c r="AF2679" i="11"/>
  <c r="AF2667" i="11"/>
  <c r="AF2655" i="11"/>
  <c r="AF2643" i="11"/>
  <c r="AF2631" i="11"/>
  <c r="AF2619" i="11"/>
  <c r="AF2607" i="11"/>
  <c r="AF2595" i="11"/>
  <c r="AF2583" i="11"/>
  <c r="AF2571" i="11"/>
  <c r="AF2559" i="11"/>
  <c r="AF2547" i="11"/>
  <c r="AF2535" i="11"/>
  <c r="AF2523" i="11"/>
  <c r="AF2511" i="11"/>
  <c r="AF2499" i="11"/>
  <c r="AF2487" i="11"/>
  <c r="AF2475" i="11"/>
  <c r="AF2463" i="11"/>
  <c r="AF2451" i="11"/>
  <c r="AF2439" i="11"/>
  <c r="AF2427" i="11"/>
  <c r="AF2415" i="11"/>
  <c r="AF2403" i="11"/>
  <c r="AF2391" i="11"/>
  <c r="AF2379" i="11"/>
  <c r="AF2367" i="11"/>
  <c r="AF2355" i="11"/>
  <c r="AF2343" i="11"/>
  <c r="AF2331" i="11"/>
  <c r="AF2319" i="11"/>
  <c r="AF2307" i="11"/>
  <c r="AF2295" i="11"/>
  <c r="AF2283" i="11"/>
  <c r="AF2271" i="11"/>
  <c r="AF2259" i="11"/>
  <c r="AF2247" i="11"/>
  <c r="AF2235" i="11"/>
  <c r="AF2223" i="11"/>
  <c r="AF2211" i="11"/>
  <c r="AF2199" i="11"/>
  <c r="AF2187" i="11"/>
  <c r="AF2175" i="11"/>
  <c r="AF2163" i="11"/>
  <c r="AF2151" i="11"/>
  <c r="AF2139" i="11"/>
  <c r="AF2127" i="11"/>
  <c r="AF2115" i="11"/>
  <c r="AF2103" i="11"/>
  <c r="AF2091" i="11"/>
  <c r="AF2079" i="11"/>
  <c r="AF2067" i="11"/>
  <c r="AF2055" i="11"/>
  <c r="AF2043" i="11"/>
  <c r="AF2031" i="11"/>
  <c r="AF2019" i="11"/>
  <c r="AF2007" i="11"/>
  <c r="AF1995" i="11"/>
  <c r="AF1983" i="11"/>
  <c r="AF1971" i="11"/>
  <c r="AF1959" i="11"/>
  <c r="AF1947" i="11"/>
  <c r="AF1935" i="11"/>
  <c r="AF1923" i="11"/>
  <c r="AF1911" i="11"/>
  <c r="AF1899" i="11"/>
  <c r="AF1887" i="11"/>
  <c r="AF1875" i="11"/>
  <c r="AF1863" i="11"/>
  <c r="AF1851" i="11"/>
  <c r="AF1839" i="11"/>
  <c r="AF1827" i="11"/>
  <c r="AF1815" i="11"/>
  <c r="AF1803" i="11"/>
  <c r="AF1791" i="11"/>
  <c r="AF1779" i="11"/>
  <c r="AF1767" i="11"/>
  <c r="AF1755" i="11"/>
  <c r="AF1743" i="11"/>
  <c r="AF1731" i="11"/>
  <c r="AF1719" i="11"/>
  <c r="AF1707" i="11"/>
  <c r="AF1695" i="11"/>
  <c r="AF1683" i="11"/>
  <c r="AF1671" i="11"/>
  <c r="AF1659" i="11"/>
  <c r="AF1647" i="11"/>
  <c r="AF1635" i="11"/>
  <c r="AF1623" i="11"/>
  <c r="AF1611" i="11"/>
  <c r="AF1599" i="11"/>
  <c r="AF1587" i="11"/>
  <c r="AF1575" i="11"/>
  <c r="AF1563" i="11"/>
  <c r="AF1551" i="11"/>
  <c r="AF1539" i="11"/>
  <c r="AF1527" i="11"/>
  <c r="AF1515" i="11"/>
  <c r="AF1503" i="11"/>
  <c r="AF1491" i="11"/>
  <c r="AF1479" i="11"/>
  <c r="AF1467" i="11"/>
  <c r="AF1455" i="11"/>
  <c r="AF1443" i="11"/>
  <c r="AF1431" i="11"/>
  <c r="AF1419" i="11"/>
  <c r="AF1407" i="11"/>
  <c r="AF1395" i="11"/>
  <c r="AF1383" i="11"/>
  <c r="AF1371" i="11"/>
  <c r="AF1359" i="11"/>
  <c r="AF1347" i="11"/>
  <c r="AF1335" i="11"/>
  <c r="AF1323" i="11"/>
  <c r="AF1311" i="11"/>
  <c r="AF1299" i="11"/>
  <c r="AF1287" i="11"/>
  <c r="AF1275" i="11"/>
  <c r="AF1263" i="11"/>
  <c r="AF1251" i="11"/>
  <c r="AF1239" i="11"/>
  <c r="AF1227" i="11"/>
  <c r="AF1215" i="11"/>
  <c r="AF1203" i="11"/>
  <c r="AF1191" i="11"/>
  <c r="AF1179" i="11"/>
  <c r="AF1167" i="11"/>
  <c r="AF1155" i="11"/>
  <c r="AF1143" i="11"/>
  <c r="AF1131" i="11"/>
  <c r="AF1119" i="11"/>
  <c r="AF1107" i="11"/>
  <c r="AF1095" i="11"/>
  <c r="AF1083" i="11"/>
  <c r="AF1071" i="11"/>
  <c r="AF1059" i="11"/>
  <c r="AF1047" i="11"/>
  <c r="AF1035" i="11"/>
  <c r="AF1023" i="11"/>
  <c r="AF1011" i="11"/>
  <c r="AF999" i="11"/>
  <c r="AF987" i="11"/>
  <c r="AF975" i="11"/>
  <c r="AF963" i="11"/>
  <c r="AF951" i="11"/>
  <c r="AF939" i="11"/>
  <c r="AF927" i="11"/>
  <c r="AF915" i="11"/>
  <c r="AF903" i="11"/>
  <c r="AF891" i="11"/>
  <c r="AF879" i="11"/>
  <c r="AF867" i="11"/>
  <c r="AF855" i="11"/>
  <c r="AF843" i="11"/>
  <c r="AF831" i="11"/>
  <c r="AF819" i="11"/>
  <c r="AF807" i="11"/>
  <c r="AF795" i="11"/>
  <c r="AF783" i="11"/>
  <c r="AF771" i="11"/>
  <c r="AF759" i="11"/>
  <c r="AF747" i="11"/>
  <c r="AF735" i="11"/>
  <c r="AF723" i="11"/>
  <c r="AF711" i="11"/>
  <c r="AF699" i="11"/>
  <c r="AF687" i="11"/>
  <c r="AF675" i="11"/>
  <c r="AF646" i="11"/>
  <c r="AF514" i="11"/>
  <c r="AF442" i="11"/>
  <c r="AF310" i="11"/>
  <c r="AF250" i="11"/>
  <c r="AF238" i="11"/>
  <c r="AF226" i="11"/>
  <c r="AF214" i="11"/>
  <c r="AF154" i="11"/>
  <c r="AF70" i="11"/>
  <c r="AF58" i="11"/>
  <c r="AF46" i="11"/>
  <c r="AF34" i="11"/>
  <c r="AF3014" i="11"/>
  <c r="AF3002" i="11"/>
  <c r="AF2990" i="11"/>
  <c r="AF2978" i="11"/>
  <c r="AF2966" i="11"/>
  <c r="AF2954" i="11"/>
  <c r="AF2942" i="11"/>
  <c r="AF2930" i="11"/>
  <c r="AF2918" i="11"/>
  <c r="AF2906" i="11"/>
  <c r="AF2894" i="11"/>
  <c r="AF2882" i="11"/>
  <c r="AF2870" i="11"/>
  <c r="AF2858" i="11"/>
  <c r="AF2846" i="11"/>
  <c r="AF2834" i="11"/>
  <c r="AF2822" i="11"/>
  <c r="AF2810" i="11"/>
  <c r="AF2798" i="11"/>
  <c r="AF2786" i="11"/>
  <c r="AF2774" i="11"/>
  <c r="AF2762" i="11"/>
  <c r="AF2750" i="11"/>
  <c r="AF2738" i="11"/>
  <c r="AF2726" i="11"/>
  <c r="AF2714" i="11"/>
  <c r="AF2702" i="11"/>
  <c r="AF2690" i="11"/>
  <c r="AF2678" i="11"/>
  <c r="AF2666" i="11"/>
  <c r="AF2654" i="11"/>
  <c r="AF2642" i="11"/>
  <c r="AF2630" i="11"/>
  <c r="AF2618" i="11"/>
  <c r="AF2606" i="11"/>
  <c r="AF2594" i="11"/>
  <c r="AF2582" i="11"/>
  <c r="AF2570" i="11"/>
  <c r="AF2558" i="11"/>
  <c r="AF2546" i="11"/>
  <c r="AF2534" i="11"/>
  <c r="AF2522" i="11"/>
  <c r="AF2510" i="11"/>
  <c r="AF2498" i="11"/>
  <c r="AF2486" i="11"/>
  <c r="AF2474" i="11"/>
  <c r="AF2462" i="11"/>
  <c r="AF2450" i="11"/>
  <c r="AF2438" i="11"/>
  <c r="AF2426" i="11"/>
  <c r="AF2414" i="11"/>
  <c r="AF2402" i="11"/>
  <c r="AF2390" i="11"/>
  <c r="AF2378" i="11"/>
  <c r="AF2366" i="11"/>
  <c r="AF2354" i="11"/>
  <c r="AF2342" i="11"/>
  <c r="AF2330" i="11"/>
  <c r="AF2318" i="11"/>
  <c r="AF2306" i="11"/>
  <c r="AF2294" i="11"/>
  <c r="AF2282" i="11"/>
  <c r="AF2270" i="11"/>
  <c r="AF2258" i="11"/>
  <c r="AF2246" i="11"/>
  <c r="AF2234" i="11"/>
  <c r="AF2222" i="11"/>
  <c r="AF2210" i="11"/>
  <c r="AF2198" i="11"/>
  <c r="AF2186" i="11"/>
  <c r="AF2174" i="11"/>
  <c r="AF2162" i="11"/>
  <c r="AF2150" i="11"/>
  <c r="AF2138" i="11"/>
  <c r="AF2126" i="11"/>
  <c r="AF2114" i="11"/>
  <c r="AF2102" i="11"/>
  <c r="AF2090" i="11"/>
  <c r="AF2078" i="11"/>
  <c r="AF2066" i="11"/>
  <c r="AF2054" i="11"/>
  <c r="AF2042" i="11"/>
  <c r="AF2030" i="11"/>
  <c r="AF2018" i="11"/>
  <c r="AF2006" i="11"/>
  <c r="AF1994" i="11"/>
  <c r="AF1982" i="11"/>
  <c r="AF1970" i="11"/>
  <c r="AF1958" i="11"/>
  <c r="AF1946" i="11"/>
  <c r="AF1934" i="11"/>
  <c r="AF1922" i="11"/>
  <c r="AF1910" i="11"/>
  <c r="AF1898" i="11"/>
  <c r="AF1886" i="11"/>
  <c r="AF1874" i="11"/>
  <c r="AF1862" i="11"/>
  <c r="AF1850" i="11"/>
  <c r="AF1838" i="11"/>
  <c r="AF1826" i="11"/>
  <c r="AF1814" i="11"/>
  <c r="AF1802" i="11"/>
  <c r="AF1790" i="11"/>
  <c r="AF1778" i="11"/>
  <c r="AF1766" i="11"/>
  <c r="AF1754" i="11"/>
  <c r="AF1742" i="11"/>
  <c r="AF1730" i="11"/>
  <c r="AF1718" i="11"/>
  <c r="AF1706" i="11"/>
  <c r="AF1694" i="11"/>
  <c r="AF1682" i="11"/>
  <c r="AF1670" i="11"/>
  <c r="AF1658" i="11"/>
  <c r="AF1646" i="11"/>
  <c r="AF1634" i="11"/>
  <c r="AF1622" i="11"/>
  <c r="AF1610" i="11"/>
  <c r="AF1598" i="11"/>
  <c r="AF1586" i="11"/>
  <c r="AF1574" i="11"/>
  <c r="AF1562" i="11"/>
  <c r="AF1550" i="11"/>
  <c r="AF1538" i="11"/>
  <c r="AF1526" i="11"/>
  <c r="AF1514" i="11"/>
  <c r="AF1502" i="11"/>
  <c r="AF1490" i="11"/>
  <c r="AF1478" i="11"/>
  <c r="AF1466" i="11"/>
  <c r="AF1454" i="11"/>
  <c r="AF1442" i="11"/>
  <c r="AF1430" i="11"/>
  <c r="AF1418" i="11"/>
  <c r="AF1406" i="11"/>
  <c r="AF1394" i="11"/>
  <c r="AF1382" i="11"/>
  <c r="AF1370" i="11"/>
  <c r="AF1358" i="11"/>
  <c r="AF1346" i="11"/>
  <c r="AF1334" i="11"/>
  <c r="AF1322" i="11"/>
  <c r="AF1310" i="11"/>
  <c r="AF1298" i="11"/>
  <c r="AF1286" i="11"/>
  <c r="AF1274" i="11"/>
  <c r="AF1262" i="11"/>
  <c r="AF1250" i="11"/>
  <c r="AF1238" i="11"/>
  <c r="AF1226" i="11"/>
  <c r="AF1214" i="11"/>
  <c r="AF1202" i="11"/>
  <c r="AF1190" i="11"/>
  <c r="AF1178" i="11"/>
  <c r="AF1166" i="11"/>
  <c r="AF1154" i="11"/>
  <c r="AF1142" i="11"/>
  <c r="AF1130" i="11"/>
  <c r="AF1118" i="11"/>
  <c r="AF1106" i="11"/>
  <c r="AF1094" i="11"/>
  <c r="AF1082" i="11"/>
  <c r="AF1070" i="11"/>
  <c r="AF1058" i="11"/>
  <c r="AF1046" i="11"/>
  <c r="AF1034" i="11"/>
  <c r="AF1022" i="11"/>
  <c r="AF1010" i="11"/>
  <c r="AF998" i="11"/>
  <c r="AF986" i="11"/>
  <c r="AF974" i="11"/>
  <c r="AF962" i="11"/>
  <c r="AF950" i="11"/>
  <c r="AF938" i="11"/>
  <c r="AF926" i="11"/>
  <c r="AF914" i="11"/>
  <c r="AF902" i="11"/>
  <c r="AF890" i="11"/>
  <c r="AF878" i="11"/>
  <c r="AF866" i="11"/>
  <c r="AF854" i="11"/>
  <c r="AF842" i="11"/>
  <c r="AF830" i="11"/>
  <c r="AF818" i="11"/>
  <c r="AF806" i="11"/>
  <c r="AF794" i="11"/>
  <c r="AF782" i="11"/>
  <c r="AF770" i="11"/>
  <c r="AF758" i="11"/>
  <c r="AF746" i="11"/>
  <c r="AF734" i="11"/>
  <c r="AF722" i="11"/>
  <c r="AF710" i="11"/>
  <c r="AF698" i="11"/>
  <c r="AF686" i="11"/>
  <c r="AF674" i="11"/>
  <c r="AF622" i="11"/>
  <c r="AF430" i="11"/>
  <c r="AF82" i="11"/>
  <c r="AF32" i="11"/>
  <c r="AF20" i="11"/>
  <c r="AF645" i="11"/>
  <c r="AF633" i="11"/>
  <c r="AF621" i="11"/>
  <c r="AF609" i="11"/>
  <c r="AF597" i="11"/>
  <c r="AF585" i="11"/>
  <c r="AF573" i="11"/>
  <c r="AF561" i="11"/>
  <c r="AF549" i="11"/>
  <c r="AF537" i="11"/>
  <c r="AF525" i="11"/>
  <c r="AF513" i="11"/>
  <c r="AF501" i="11"/>
  <c r="AF489" i="11"/>
  <c r="AF477" i="11"/>
  <c r="AF465" i="11"/>
  <c r="AF453" i="11"/>
  <c r="AF441" i="11"/>
  <c r="AF429" i="11"/>
  <c r="AF417" i="11"/>
  <c r="AF405" i="11"/>
  <c r="AF393" i="11"/>
  <c r="AF381" i="11"/>
  <c r="AF369" i="11"/>
  <c r="AF357" i="11"/>
  <c r="AF345" i="11"/>
  <c r="AF333" i="11"/>
  <c r="AF321" i="11"/>
  <c r="AF309" i="11"/>
  <c r="AF297" i="11"/>
  <c r="AF285" i="11"/>
  <c r="AF273" i="11"/>
  <c r="AF261" i="11"/>
  <c r="AF249" i="11"/>
  <c r="AF237" i="11"/>
  <c r="AF225" i="11"/>
  <c r="AF213" i="11"/>
  <c r="AF201" i="11"/>
  <c r="AF189" i="11"/>
  <c r="AF177" i="11"/>
  <c r="AF165" i="11"/>
  <c r="AF153" i="11"/>
  <c r="AF141" i="11"/>
  <c r="AF129" i="11"/>
  <c r="AF117" i="11"/>
  <c r="AF105" i="11"/>
  <c r="AF93" i="11"/>
  <c r="AF81" i="11"/>
  <c r="AF69" i="11"/>
  <c r="AF57" i="11"/>
  <c r="AF45" i="11"/>
  <c r="AF654" i="11"/>
  <c r="AF3013" i="11"/>
  <c r="AF3001" i="11"/>
  <c r="AF2989" i="11"/>
  <c r="AF2977" i="11"/>
  <c r="AF2965" i="11"/>
  <c r="AF2953" i="11"/>
  <c r="AF2941" i="11"/>
  <c r="AF2929" i="11"/>
  <c r="AF2917" i="11"/>
  <c r="AF2905" i="11"/>
  <c r="AF2893" i="11"/>
  <c r="AF2881" i="11"/>
  <c r="AF2869" i="11"/>
  <c r="AF2857" i="11"/>
  <c r="AF2845" i="11"/>
  <c r="AF2833" i="11"/>
  <c r="AF2821" i="11"/>
  <c r="AF2809" i="11"/>
  <c r="AF2797" i="11"/>
  <c r="AF2785" i="11"/>
  <c r="AF2773" i="11"/>
  <c r="AF2761" i="11"/>
  <c r="AF2749" i="11"/>
  <c r="AF2737" i="11"/>
  <c r="AF2725" i="11"/>
  <c r="AF2713" i="11"/>
  <c r="AF2701" i="11"/>
  <c r="AF2689" i="11"/>
  <c r="AF2677" i="11"/>
  <c r="AF2665" i="11"/>
  <c r="AF2653" i="11"/>
  <c r="AF2641" i="11"/>
  <c r="AF2629" i="11"/>
  <c r="AF2617" i="11"/>
  <c r="AF2605" i="11"/>
  <c r="AF2593" i="11"/>
  <c r="AF2581" i="11"/>
  <c r="AF2569" i="11"/>
  <c r="AF2557" i="11"/>
  <c r="AF2545" i="11"/>
  <c r="AF2533" i="11"/>
  <c r="AF2521" i="11"/>
  <c r="AF2509" i="11"/>
  <c r="AF2497" i="11"/>
  <c r="AF2485" i="11"/>
  <c r="AF2473" i="11"/>
  <c r="AF2461" i="11"/>
  <c r="AF2449" i="11"/>
  <c r="AF2437" i="11"/>
  <c r="AF2425" i="11"/>
  <c r="AF2413" i="11"/>
  <c r="AF2401" i="11"/>
  <c r="AF2389" i="11"/>
  <c r="AF2377" i="11"/>
  <c r="AF2365" i="11"/>
  <c r="AF2353" i="11"/>
  <c r="AF2341" i="11"/>
  <c r="AF2329" i="11"/>
  <c r="AF2317" i="11"/>
  <c r="AF2305" i="11"/>
  <c r="AF2293" i="11"/>
  <c r="AF2281" i="11"/>
  <c r="AF2269" i="11"/>
  <c r="AF2257" i="11"/>
  <c r="AF2245" i="11"/>
  <c r="AF2233" i="11"/>
  <c r="AF2221" i="11"/>
  <c r="AF2209" i="11"/>
  <c r="AF2197" i="11"/>
  <c r="AF2185" i="11"/>
  <c r="AF2173" i="11"/>
  <c r="AF2161" i="11"/>
  <c r="AF2149" i="11"/>
  <c r="AF2137" i="11"/>
  <c r="AF2125" i="11"/>
  <c r="AF2113" i="11"/>
  <c r="AF2101" i="11"/>
  <c r="AF2089" i="11"/>
  <c r="AF2077" i="11"/>
  <c r="AF2065" i="11"/>
  <c r="AF2053" i="11"/>
  <c r="AF2041" i="11"/>
  <c r="AF2029" i="11"/>
  <c r="AF2017" i="11"/>
  <c r="AF2005" i="11"/>
  <c r="AF1993" i="11"/>
  <c r="AF1981" i="11"/>
  <c r="AF1969" i="11"/>
  <c r="AF1957" i="11"/>
  <c r="AF1945" i="11"/>
  <c r="AF1933" i="11"/>
  <c r="AF1921" i="11"/>
  <c r="AF1909" i="11"/>
  <c r="AF1897" i="11"/>
  <c r="AF1885" i="11"/>
  <c r="AF1873" i="11"/>
  <c r="AF1861" i="11"/>
  <c r="AF1849" i="11"/>
  <c r="AF1837" i="11"/>
  <c r="AF1825" i="11"/>
  <c r="AF1813" i="11"/>
  <c r="AF1801" i="11"/>
  <c r="AF1789" i="11"/>
  <c r="AF1777" i="11"/>
  <c r="AF1765" i="11"/>
  <c r="AF1753" i="11"/>
  <c r="AF1741" i="11"/>
  <c r="AF1729" i="11"/>
  <c r="AF1717" i="11"/>
  <c r="AF1705" i="11"/>
  <c r="AF1693" i="11"/>
  <c r="AF1681" i="11"/>
  <c r="AF1669" i="11"/>
  <c r="AF1657" i="11"/>
  <c r="AF1645" i="11"/>
  <c r="AF1633" i="11"/>
  <c r="AF1621" i="11"/>
  <c r="AF1609" i="11"/>
  <c r="AF1597" i="11"/>
  <c r="AF1585" i="11"/>
  <c r="AF1573" i="11"/>
  <c r="AF1561" i="11"/>
  <c r="AF1549" i="11"/>
  <c r="AF1537" i="11"/>
  <c r="AF1525" i="11"/>
  <c r="AF1513" i="11"/>
  <c r="AF1501" i="11"/>
  <c r="AF1489" i="11"/>
  <c r="AF1477" i="11"/>
  <c r="AF1465" i="11"/>
  <c r="AF1453" i="11"/>
  <c r="AF1441" i="11"/>
  <c r="AF1429" i="11"/>
  <c r="AF1417" i="11"/>
  <c r="AF1405" i="11"/>
  <c r="AF1393" i="11"/>
  <c r="AF1381" i="11"/>
  <c r="AF1369" i="11"/>
  <c r="AF1357" i="11"/>
  <c r="AF1345" i="11"/>
  <c r="AF1333" i="11"/>
  <c r="AF1321" i="11"/>
  <c r="AF1309" i="11"/>
  <c r="AF1297" i="11"/>
  <c r="AF1285" i="11"/>
  <c r="AF1273" i="11"/>
  <c r="AF1261" i="11"/>
  <c r="AF1249" i="11"/>
  <c r="AF1237" i="11"/>
  <c r="AF1225" i="11"/>
  <c r="AF1213" i="11"/>
  <c r="AF1201" i="11"/>
  <c r="AF1189" i="11"/>
  <c r="AF1177" i="11"/>
  <c r="AF1165" i="11"/>
  <c r="AF1153" i="11"/>
  <c r="AF1141" i="11"/>
  <c r="AF1129" i="11"/>
  <c r="AF1117" i="11"/>
  <c r="AF1105" i="11"/>
  <c r="AF1093" i="11"/>
  <c r="AF1081" i="11"/>
  <c r="AF1069" i="11"/>
  <c r="AF1057" i="11"/>
  <c r="AF1045" i="11"/>
  <c r="AF1033" i="11"/>
  <c r="AF1021" i="11"/>
  <c r="AF1009" i="11"/>
  <c r="AF997" i="11"/>
  <c r="AF985" i="11"/>
  <c r="AF973" i="11"/>
  <c r="AF961" i="11"/>
  <c r="AF949" i="11"/>
  <c r="AF937" i="11"/>
  <c r="AF925" i="11"/>
  <c r="AF913" i="11"/>
  <c r="AF901" i="11"/>
  <c r="AF889" i="11"/>
  <c r="AF877" i="11"/>
  <c r="AF865" i="11"/>
  <c r="AF853" i="11"/>
  <c r="AF841" i="11"/>
  <c r="AF829" i="11"/>
  <c r="AF817" i="11"/>
  <c r="AF805" i="11"/>
  <c r="AF793" i="11"/>
  <c r="AF781" i="11"/>
  <c r="AF769" i="11"/>
  <c r="AF757" i="11"/>
  <c r="AF745" i="11"/>
  <c r="AF733" i="11"/>
  <c r="AF721" i="11"/>
  <c r="AF709" i="11"/>
  <c r="AF697" i="11"/>
  <c r="AF685" i="11"/>
  <c r="AF673" i="11"/>
  <c r="AF21" i="11"/>
  <c r="AF550" i="11"/>
  <c r="AF454" i="11"/>
  <c r="AF322" i="11"/>
  <c r="AF166" i="11"/>
  <c r="AF19" i="11"/>
  <c r="AF644" i="11"/>
  <c r="AF632" i="11"/>
  <c r="AF620" i="11"/>
  <c r="AF608" i="11"/>
  <c r="AF596" i="11"/>
  <c r="AF584" i="11"/>
  <c r="AF572" i="11"/>
  <c r="AF560" i="11"/>
  <c r="AF548" i="11"/>
  <c r="AF536" i="11"/>
  <c r="AF524" i="11"/>
  <c r="AF512" i="11"/>
  <c r="AF500" i="11"/>
  <c r="AF488" i="11"/>
  <c r="AF476" i="11"/>
  <c r="AF464" i="11"/>
  <c r="AF452" i="11"/>
  <c r="AF440" i="11"/>
  <c r="AF428" i="11"/>
  <c r="AF416" i="11"/>
  <c r="AF404" i="11"/>
  <c r="AF392" i="11"/>
  <c r="AF380" i="11"/>
  <c r="AF368" i="11"/>
  <c r="AF356" i="11"/>
  <c r="AF344" i="11"/>
  <c r="AF332" i="11"/>
  <c r="AF320" i="11"/>
  <c r="AF308" i="11"/>
  <c r="AF296" i="11"/>
  <c r="AF284" i="11"/>
  <c r="AF272" i="11"/>
  <c r="AF260" i="11"/>
  <c r="AF248" i="11"/>
  <c r="AF236" i="11"/>
  <c r="AF224" i="11"/>
  <c r="AF212" i="11"/>
  <c r="AF200" i="11"/>
  <c r="AF188" i="11"/>
  <c r="AF176" i="11"/>
  <c r="AF164" i="11"/>
  <c r="AF152" i="11"/>
  <c r="AF140" i="11"/>
  <c r="AF128" i="11"/>
  <c r="AF116" i="11"/>
  <c r="AF104" i="11"/>
  <c r="AF92" i="11"/>
  <c r="AF80" i="11"/>
  <c r="AF68" i="11"/>
  <c r="AF56" i="11"/>
  <c r="AF44" i="11"/>
  <c r="AF653" i="11"/>
  <c r="AF3012" i="11"/>
  <c r="AF3000" i="11"/>
  <c r="AF2988" i="11"/>
  <c r="AF2976" i="11"/>
  <c r="AF2964" i="11"/>
  <c r="AF2952" i="11"/>
  <c r="AF2940" i="11"/>
  <c r="AF2928" i="11"/>
  <c r="AF2916" i="11"/>
  <c r="AF2904" i="11"/>
  <c r="AF2892" i="11"/>
  <c r="AF2880" i="11"/>
  <c r="AF2868" i="11"/>
  <c r="AF2856" i="11"/>
  <c r="AF2844" i="11"/>
  <c r="AF2832" i="11"/>
  <c r="AF2820" i="11"/>
  <c r="AF2808" i="11"/>
  <c r="AF2796" i="11"/>
  <c r="AF2784" i="11"/>
  <c r="AF2772" i="11"/>
  <c r="AF2760" i="11"/>
  <c r="AF2748" i="11"/>
  <c r="AF2736" i="11"/>
  <c r="AF2724" i="11"/>
  <c r="AF2712" i="11"/>
  <c r="AF2700" i="11"/>
  <c r="AF2688" i="11"/>
  <c r="AF2676" i="11"/>
  <c r="AF2664" i="11"/>
  <c r="AF2652" i="11"/>
  <c r="AF2640" i="11"/>
  <c r="AF2628" i="11"/>
  <c r="AF2616" i="11"/>
  <c r="AF2604" i="11"/>
  <c r="AF2592" i="11"/>
  <c r="AF2580" i="11"/>
  <c r="AF2568" i="11"/>
  <c r="AF2556" i="11"/>
  <c r="AF2544" i="11"/>
  <c r="AF2532" i="11"/>
  <c r="AF2520" i="11"/>
  <c r="AF2508" i="11"/>
  <c r="AF2496" i="11"/>
  <c r="AF2484" i="11"/>
  <c r="AF2472" i="11"/>
  <c r="AF2460" i="11"/>
  <c r="AF2448" i="11"/>
  <c r="AF2436" i="11"/>
  <c r="AF2424" i="11"/>
  <c r="AF2412" i="11"/>
  <c r="AF2400" i="11"/>
  <c r="AF2388" i="11"/>
  <c r="AF2376" i="11"/>
  <c r="AF2364" i="11"/>
  <c r="AF2352" i="11"/>
  <c r="AF2340" i="11"/>
  <c r="AF2328" i="11"/>
  <c r="AF2316" i="11"/>
  <c r="AF2304" i="11"/>
  <c r="AF2292" i="11"/>
  <c r="AF2280" i="11"/>
  <c r="AF2268" i="11"/>
  <c r="AF2256" i="11"/>
  <c r="AF2244" i="11"/>
  <c r="AF2232" i="11"/>
  <c r="AF2220" i="11"/>
  <c r="AF2208" i="11"/>
  <c r="AF2196" i="11"/>
  <c r="AF2184" i="11"/>
  <c r="AF2172" i="11"/>
  <c r="AF2160" i="11"/>
  <c r="AF2148" i="11"/>
  <c r="AF2136" i="11"/>
  <c r="AF2124" i="11"/>
  <c r="AF2112" i="11"/>
  <c r="AF2100" i="11"/>
  <c r="AF2088" i="11"/>
  <c r="AF2076" i="11"/>
  <c r="AF2064" i="11"/>
  <c r="AF2052" i="11"/>
  <c r="AF2040" i="11"/>
  <c r="AF2028" i="11"/>
  <c r="AF2016" i="11"/>
  <c r="AF2004" i="11"/>
  <c r="AF1992" i="11"/>
  <c r="AF1980" i="11"/>
  <c r="AF1968" i="11"/>
  <c r="AF1956" i="11"/>
  <c r="AF1944" i="11"/>
  <c r="AF1932" i="11"/>
  <c r="AF1920" i="11"/>
  <c r="AF1908" i="11"/>
  <c r="AF1896" i="11"/>
  <c r="AF1884" i="11"/>
  <c r="AF1872" i="11"/>
  <c r="AF1860" i="11"/>
  <c r="AF1848" i="11"/>
  <c r="AF1836" i="11"/>
  <c r="AF1824" i="11"/>
  <c r="AF1812" i="11"/>
  <c r="AF1800" i="11"/>
  <c r="AF1788" i="11"/>
  <c r="AF1776" i="11"/>
  <c r="AF1764" i="11"/>
  <c r="AF1752" i="11"/>
  <c r="AF1740" i="11"/>
  <c r="AF1728" i="11"/>
  <c r="AF1716" i="11"/>
  <c r="AF1704" i="11"/>
  <c r="AF1692" i="11"/>
  <c r="AF1680" i="11"/>
  <c r="AF1668" i="11"/>
  <c r="AF1656" i="11"/>
  <c r="AF1644" i="11"/>
  <c r="AF1632" i="11"/>
  <c r="AF1620" i="11"/>
  <c r="AF1608" i="11"/>
  <c r="AF1596" i="11"/>
  <c r="AF1584" i="11"/>
  <c r="AF1572" i="11"/>
  <c r="AF1560" i="11"/>
  <c r="AF1548" i="11"/>
  <c r="AF1536" i="11"/>
  <c r="AF1524" i="11"/>
  <c r="AF1512" i="11"/>
  <c r="AF1500" i="11"/>
  <c r="AF1488" i="11"/>
  <c r="AF1476" i="11"/>
  <c r="AF1464" i="11"/>
  <c r="AF1452" i="11"/>
  <c r="AF1440" i="11"/>
  <c r="AF1428" i="11"/>
  <c r="AF1416" i="11"/>
  <c r="AF1404" i="11"/>
  <c r="AF1392" i="11"/>
  <c r="AF1380" i="11"/>
  <c r="AF1368" i="11"/>
  <c r="AF1356" i="11"/>
  <c r="AF1344" i="11"/>
  <c r="AF1332" i="11"/>
  <c r="AF1320" i="11"/>
  <c r="AF1308" i="11"/>
  <c r="AF1296" i="11"/>
  <c r="AF1284" i="11"/>
  <c r="AF1272" i="11"/>
  <c r="AF1260" i="11"/>
  <c r="AF1248" i="11"/>
  <c r="AF1236" i="11"/>
  <c r="AF1224" i="11"/>
  <c r="AF1212" i="11"/>
  <c r="AF1200" i="11"/>
  <c r="AF1188" i="11"/>
  <c r="AF1176" i="11"/>
  <c r="AF1164" i="11"/>
  <c r="AF1152" i="11"/>
  <c r="AF1140" i="11"/>
  <c r="AF1128" i="11"/>
  <c r="AF1116" i="11"/>
  <c r="AF1104" i="11"/>
  <c r="AF1092" i="11"/>
  <c r="AF1080" i="11"/>
  <c r="AF1068" i="11"/>
  <c r="AF1056" i="11"/>
  <c r="AF1044" i="11"/>
  <c r="AF1032" i="11"/>
  <c r="AF1020" i="11"/>
  <c r="AF1008" i="11"/>
  <c r="AF996" i="11"/>
  <c r="AF984" i="11"/>
  <c r="AF972" i="11"/>
  <c r="AF960" i="11"/>
  <c r="AF948" i="11"/>
  <c r="AF936" i="11"/>
  <c r="AF924" i="11"/>
  <c r="AF912" i="11"/>
  <c r="AF900" i="11"/>
  <c r="AF888" i="11"/>
  <c r="AF876" i="11"/>
  <c r="AF864" i="11"/>
  <c r="AF852" i="11"/>
  <c r="AF840" i="11"/>
  <c r="AF828" i="11"/>
  <c r="AF816" i="11"/>
  <c r="AF804" i="11"/>
  <c r="AF792" i="11"/>
  <c r="AF780" i="11"/>
  <c r="AF768" i="11"/>
  <c r="AF756" i="11"/>
  <c r="AF744" i="11"/>
  <c r="AF732" i="11"/>
  <c r="AF720" i="11"/>
  <c r="AF708" i="11"/>
  <c r="AF696" i="11"/>
  <c r="AF684" i="11"/>
  <c r="AF672" i="11"/>
  <c r="AF634" i="11"/>
  <c r="AF502" i="11"/>
  <c r="AF418" i="11"/>
  <c r="AF298" i="11"/>
  <c r="AF178" i="11"/>
  <c r="AF31" i="11"/>
  <c r="AF30" i="11"/>
  <c r="AF18" i="11"/>
  <c r="AF643" i="11"/>
  <c r="AF631" i="11"/>
  <c r="AF619" i="11"/>
  <c r="AF607" i="11"/>
  <c r="AF595" i="11"/>
  <c r="AF583" i="11"/>
  <c r="AF571" i="11"/>
  <c r="AF559" i="11"/>
  <c r="AF547" i="11"/>
  <c r="AF535" i="11"/>
  <c r="AF523" i="11"/>
  <c r="AF511" i="11"/>
  <c r="AF499" i="11"/>
  <c r="AF487" i="11"/>
  <c r="AF475" i="11"/>
  <c r="AF463" i="11"/>
  <c r="AF451" i="11"/>
  <c r="AF439" i="11"/>
  <c r="AF427" i="11"/>
  <c r="AF415" i="11"/>
  <c r="AF403" i="11"/>
  <c r="AF391" i="11"/>
  <c r="AF379" i="11"/>
  <c r="AF367" i="11"/>
  <c r="AF355" i="11"/>
  <c r="AF343" i="11"/>
  <c r="AF331" i="11"/>
  <c r="AF319" i="11"/>
  <c r="AF307" i="11"/>
  <c r="AF295" i="11"/>
  <c r="AF283" i="11"/>
  <c r="AF271" i="11"/>
  <c r="AF259" i="11"/>
  <c r="AF247" i="11"/>
  <c r="AF235" i="11"/>
  <c r="AF223" i="11"/>
  <c r="AF211" i="11"/>
  <c r="AF199" i="11"/>
  <c r="AF187" i="11"/>
  <c r="AF175" i="11"/>
  <c r="AF163" i="11"/>
  <c r="AF151" i="11"/>
  <c r="AF139" i="11"/>
  <c r="AF127" i="11"/>
  <c r="AF115" i="11"/>
  <c r="AF103" i="11"/>
  <c r="AF91" i="11"/>
  <c r="AF79" i="11"/>
  <c r="AF67" i="11"/>
  <c r="AF55" i="11"/>
  <c r="AF43" i="11"/>
  <c r="AF663" i="11"/>
  <c r="AF3011" i="11"/>
  <c r="AF2999" i="11"/>
  <c r="AF2987" i="11"/>
  <c r="AF2975" i="11"/>
  <c r="AF2963" i="11"/>
  <c r="AF2951" i="11"/>
  <c r="AF2939" i="11"/>
  <c r="AF2927" i="11"/>
  <c r="AF2915" i="11"/>
  <c r="AF2903" i="11"/>
  <c r="AF2891" i="11"/>
  <c r="AF2879" i="11"/>
  <c r="AF2867" i="11"/>
  <c r="AF2855" i="11"/>
  <c r="AF2843" i="11"/>
  <c r="AF2831" i="11"/>
  <c r="AF2819" i="11"/>
  <c r="AF2807" i="11"/>
  <c r="AF2795" i="11"/>
  <c r="AF2783" i="11"/>
  <c r="AF2771" i="11"/>
  <c r="AF2759" i="11"/>
  <c r="AF2747" i="11"/>
  <c r="AF2735" i="11"/>
  <c r="AF2723" i="11"/>
  <c r="AF2711" i="11"/>
  <c r="AF2699" i="11"/>
  <c r="AF2687" i="11"/>
  <c r="AF2675" i="11"/>
  <c r="AF2663" i="11"/>
  <c r="AF2651" i="11"/>
  <c r="AF2639" i="11"/>
  <c r="AF2627" i="11"/>
  <c r="AF2615" i="11"/>
  <c r="AF2603" i="11"/>
  <c r="AF2591" i="11"/>
  <c r="AF2579" i="11"/>
  <c r="AF2567" i="11"/>
  <c r="AF2555" i="11"/>
  <c r="AF2543" i="11"/>
  <c r="AF2531" i="11"/>
  <c r="AF2519" i="11"/>
  <c r="AF2507" i="11"/>
  <c r="AF2495" i="11"/>
  <c r="AF2483" i="11"/>
  <c r="AF2471" i="11"/>
  <c r="AF2459" i="11"/>
  <c r="AF2447" i="11"/>
  <c r="AF2435" i="11"/>
  <c r="AF2423" i="11"/>
  <c r="AF2411" i="11"/>
  <c r="AF2399" i="11"/>
  <c r="AF2387" i="11"/>
  <c r="AF2375" i="11"/>
  <c r="AF2363" i="11"/>
  <c r="AF2351" i="11"/>
  <c r="AF2339" i="11"/>
  <c r="AF2327" i="11"/>
  <c r="AF2315" i="11"/>
  <c r="AF2303" i="11"/>
  <c r="AF2291" i="11"/>
  <c r="AF2279" i="11"/>
  <c r="AF2267" i="11"/>
  <c r="AF2255" i="11"/>
  <c r="AF2243" i="11"/>
  <c r="AF2231" i="11"/>
  <c r="AF2219" i="11"/>
  <c r="AF2207" i="11"/>
  <c r="AF2195" i="11"/>
  <c r="AF2183" i="11"/>
  <c r="AF2171" i="11"/>
  <c r="AF2159" i="11"/>
  <c r="AF2147" i="11"/>
  <c r="AF2135" i="11"/>
  <c r="AF2123" i="11"/>
  <c r="AF2111" i="11"/>
  <c r="AF2099" i="11"/>
  <c r="AF2087" i="11"/>
  <c r="AF2075" i="11"/>
  <c r="AF2063" i="11"/>
  <c r="AF2051" i="11"/>
  <c r="AF2039" i="11"/>
  <c r="AF2027" i="11"/>
  <c r="AF2015" i="11"/>
  <c r="AF2003" i="11"/>
  <c r="AF1991" i="11"/>
  <c r="AF1979" i="11"/>
  <c r="AF1967" i="11"/>
  <c r="AF1955" i="11"/>
  <c r="AF1943" i="11"/>
  <c r="AF1931" i="11"/>
  <c r="AF1919" i="11"/>
  <c r="AF1907" i="11"/>
  <c r="AF1895" i="11"/>
  <c r="AF1883" i="11"/>
  <c r="AF1871" i="11"/>
  <c r="AF1859" i="11"/>
  <c r="AF1847" i="11"/>
  <c r="AF1835" i="11"/>
  <c r="AF1823" i="11"/>
  <c r="AF1811" i="11"/>
  <c r="AF1799" i="11"/>
  <c r="AF1787" i="11"/>
  <c r="AF1775" i="11"/>
  <c r="AF1763" i="11"/>
  <c r="AF1751" i="11"/>
  <c r="AF1739" i="11"/>
  <c r="AF1727" i="11"/>
  <c r="AF1715" i="11"/>
  <c r="AF1703" i="11"/>
  <c r="AF1691" i="11"/>
  <c r="AF1679" i="11"/>
  <c r="AF1667" i="11"/>
  <c r="AF1655" i="11"/>
  <c r="AF1643" i="11"/>
  <c r="AF1631" i="11"/>
  <c r="AF1619" i="11"/>
  <c r="AF1607" i="11"/>
  <c r="AF1595" i="11"/>
  <c r="AF1583" i="11"/>
  <c r="AF1571" i="11"/>
  <c r="AF1559" i="11"/>
  <c r="AF1547" i="11"/>
  <c r="AF1535" i="11"/>
  <c r="AF1523" i="11"/>
  <c r="AF1511" i="11"/>
  <c r="AF1499" i="11"/>
  <c r="AF1487" i="11"/>
  <c r="AF1475" i="11"/>
  <c r="AF1463" i="11"/>
  <c r="AF1451" i="11"/>
  <c r="AF1439" i="11"/>
  <c r="AF1427" i="11"/>
  <c r="AF1415" i="11"/>
  <c r="AF1403" i="11"/>
  <c r="AF1391" i="11"/>
  <c r="AF1379" i="11"/>
  <c r="AF1367" i="11"/>
  <c r="AF1355" i="11"/>
  <c r="AF1343" i="11"/>
  <c r="AF1331" i="11"/>
  <c r="AF1319" i="11"/>
  <c r="AF1307" i="11"/>
  <c r="AF1295" i="11"/>
  <c r="AF1283" i="11"/>
  <c r="AF1271" i="11"/>
  <c r="AF1259" i="11"/>
  <c r="AF1247" i="11"/>
  <c r="AF1235" i="11"/>
  <c r="AF1223" i="11"/>
  <c r="AF1211" i="11"/>
  <c r="AF1199" i="11"/>
  <c r="AF1187" i="11"/>
  <c r="AF1175" i="11"/>
  <c r="AF1163" i="11"/>
  <c r="AF1151" i="11"/>
  <c r="AF1139" i="11"/>
  <c r="AF1127" i="11"/>
  <c r="AF1115" i="11"/>
  <c r="AF1103" i="11"/>
  <c r="AF1091" i="11"/>
  <c r="AF1079" i="11"/>
  <c r="AF1067" i="11"/>
  <c r="AF1055" i="11"/>
  <c r="AF1043" i="11"/>
  <c r="AF1031" i="11"/>
  <c r="AF1019" i="11"/>
  <c r="AF1007" i="11"/>
  <c r="AF995" i="11"/>
  <c r="AF983" i="11"/>
  <c r="AF971" i="11"/>
  <c r="AF959" i="11"/>
  <c r="AF947" i="11"/>
  <c r="AF935" i="11"/>
  <c r="AF923" i="11"/>
  <c r="AF911" i="11"/>
  <c r="AF899" i="11"/>
  <c r="AF887" i="11"/>
  <c r="AF875" i="11"/>
  <c r="AF863" i="11"/>
  <c r="AF851" i="11"/>
  <c r="AF839" i="11"/>
  <c r="AF827" i="11"/>
  <c r="AF815" i="11"/>
  <c r="AF803" i="11"/>
  <c r="AF791" i="11"/>
  <c r="AF779" i="11"/>
  <c r="AF767" i="11"/>
  <c r="AF755" i="11"/>
  <c r="AF743" i="11"/>
  <c r="AF731" i="11"/>
  <c r="AF719" i="11"/>
  <c r="AF707" i="11"/>
  <c r="AF695" i="11"/>
  <c r="AF683" i="11"/>
  <c r="AF671" i="11"/>
  <c r="AF526" i="11"/>
  <c r="AF370" i="11"/>
  <c r="AF106" i="11"/>
  <c r="AF29" i="11"/>
  <c r="AF17" i="11"/>
  <c r="AF642" i="11"/>
  <c r="AF630" i="11"/>
  <c r="AF618" i="11"/>
  <c r="AF606" i="11"/>
  <c r="AF594" i="11"/>
  <c r="AF582" i="11"/>
  <c r="AF570" i="11"/>
  <c r="AF558" i="11"/>
  <c r="AF546" i="11"/>
  <c r="AF534" i="11"/>
  <c r="AF522" i="11"/>
  <c r="AF510" i="11"/>
  <c r="AF498" i="11"/>
  <c r="AF486" i="11"/>
  <c r="AF474" i="11"/>
  <c r="AF462" i="11"/>
  <c r="AF450" i="11"/>
  <c r="AF438" i="11"/>
  <c r="AF426" i="11"/>
  <c r="AF414" i="11"/>
  <c r="AF402" i="11"/>
  <c r="AF390" i="11"/>
  <c r="AF378" i="11"/>
  <c r="AF366" i="11"/>
  <c r="AF354" i="11"/>
  <c r="AF342" i="11"/>
  <c r="AF330" i="11"/>
  <c r="AF318" i="11"/>
  <c r="AF306" i="11"/>
  <c r="AF294" i="11"/>
  <c r="AF282" i="11"/>
  <c r="AF270" i="11"/>
  <c r="AF258" i="11"/>
  <c r="AF246" i="11"/>
  <c r="AF234" i="11"/>
  <c r="AF222" i="11"/>
  <c r="AF210" i="11"/>
  <c r="AF198" i="11"/>
  <c r="AF186" i="11"/>
  <c r="AF174" i="11"/>
  <c r="AF162" i="11"/>
  <c r="AF150" i="11"/>
  <c r="AF138" i="11"/>
  <c r="AF126" i="11"/>
  <c r="AF114" i="11"/>
  <c r="AF102" i="11"/>
  <c r="AF90" i="11"/>
  <c r="AF78" i="11"/>
  <c r="AF66" i="11"/>
  <c r="AF54" i="11"/>
  <c r="AF42" i="11"/>
  <c r="AF662" i="11"/>
  <c r="AF3010" i="11"/>
  <c r="AF2998" i="11"/>
  <c r="AF2986" i="11"/>
  <c r="AF2974" i="11"/>
  <c r="AF2962" i="11"/>
  <c r="AF2950" i="11"/>
  <c r="AF2938" i="11"/>
  <c r="AF2926" i="11"/>
  <c r="AF2914" i="11"/>
  <c r="AF2902" i="11"/>
  <c r="AF2890" i="11"/>
  <c r="AF2878" i="11"/>
  <c r="AF2866" i="11"/>
  <c r="AF2854" i="11"/>
  <c r="AF2842" i="11"/>
  <c r="AF2830" i="11"/>
  <c r="AF2818" i="11"/>
  <c r="AF2806" i="11"/>
  <c r="AF2794" i="11"/>
  <c r="AF2782" i="11"/>
  <c r="AF2770" i="11"/>
  <c r="AF2758" i="11"/>
  <c r="AF2746" i="11"/>
  <c r="AF2734" i="11"/>
  <c r="AF2722" i="11"/>
  <c r="AF2710" i="11"/>
  <c r="AF2698" i="11"/>
  <c r="AF2686" i="11"/>
  <c r="AF2674" i="11"/>
  <c r="AF2662" i="11"/>
  <c r="AF2650" i="11"/>
  <c r="AF2638" i="11"/>
  <c r="AF2626" i="11"/>
  <c r="AF2614" i="11"/>
  <c r="AF2602" i="11"/>
  <c r="AF2590" i="11"/>
  <c r="AF2578" i="11"/>
  <c r="AF2566" i="11"/>
  <c r="AF2554" i="11"/>
  <c r="AF2542" i="11"/>
  <c r="AF2530" i="11"/>
  <c r="AF2518" i="11"/>
  <c r="AF2506" i="11"/>
  <c r="AF2494" i="11"/>
  <c r="AF2482" i="11"/>
  <c r="AF2470" i="11"/>
  <c r="AF2458" i="11"/>
  <c r="AF2446" i="11"/>
  <c r="AF2434" i="11"/>
  <c r="AF2422" i="11"/>
  <c r="AF2410" i="11"/>
  <c r="AF2398" i="11"/>
  <c r="AF2386" i="11"/>
  <c r="AF2374" i="11"/>
  <c r="AF2362" i="11"/>
  <c r="AF2350" i="11"/>
  <c r="AF2338" i="11"/>
  <c r="AF2326" i="11"/>
  <c r="AF2314" i="11"/>
  <c r="AF2302" i="11"/>
  <c r="AF2290" i="11"/>
  <c r="AF2278" i="11"/>
  <c r="AF2266" i="11"/>
  <c r="AF2254" i="11"/>
  <c r="AF2242" i="11"/>
  <c r="AF2230" i="11"/>
  <c r="AF2218" i="11"/>
  <c r="AF2206" i="11"/>
  <c r="AF2194" i="11"/>
  <c r="AF2182" i="11"/>
  <c r="AF2170" i="11"/>
  <c r="AF2158" i="11"/>
  <c r="AF2146" i="11"/>
  <c r="AF2134" i="11"/>
  <c r="AF2122" i="11"/>
  <c r="AF2110" i="11"/>
  <c r="AF2098" i="11"/>
  <c r="AF2086" i="11"/>
  <c r="AF2074" i="11"/>
  <c r="AF2062" i="11"/>
  <c r="AF2050" i="11"/>
  <c r="AF2038" i="11"/>
  <c r="AF2026" i="11"/>
  <c r="AF2014" i="11"/>
  <c r="AF2002" i="11"/>
  <c r="AF1990" i="11"/>
  <c r="AF1978" i="11"/>
  <c r="AF1966" i="11"/>
  <c r="AF1954" i="11"/>
  <c r="AF1942" i="11"/>
  <c r="AF1930" i="11"/>
  <c r="AF1918" i="11"/>
  <c r="AF1906" i="11"/>
  <c r="AF1894" i="11"/>
  <c r="AF1882" i="11"/>
  <c r="AF1870" i="11"/>
  <c r="AF1858" i="11"/>
  <c r="AF1846" i="11"/>
  <c r="AF1834" i="11"/>
  <c r="AF1822" i="11"/>
  <c r="AF1810" i="11"/>
  <c r="AF1798" i="11"/>
  <c r="AF1786" i="11"/>
  <c r="AF1774" i="11"/>
  <c r="AF1762" i="11"/>
  <c r="AF1750" i="11"/>
  <c r="AF1738" i="11"/>
  <c r="AF1726" i="11"/>
  <c r="AF1714" i="11"/>
  <c r="AF1702" i="11"/>
  <c r="AF1690" i="11"/>
  <c r="AF1678" i="11"/>
  <c r="AF1666" i="11"/>
  <c r="AF1654" i="11"/>
  <c r="AF1642" i="11"/>
  <c r="AF1630" i="11"/>
  <c r="AF1618" i="11"/>
  <c r="AF1606" i="11"/>
  <c r="AF1594" i="11"/>
  <c r="AF1582" i="11"/>
  <c r="AF1570" i="11"/>
  <c r="AF1558" i="11"/>
  <c r="AF1546" i="11"/>
  <c r="AF1534" i="11"/>
  <c r="AF1522" i="11"/>
  <c r="AF1510" i="11"/>
  <c r="AF1498" i="11"/>
  <c r="AF1486" i="11"/>
  <c r="AF1474" i="11"/>
  <c r="AF1462" i="11"/>
  <c r="AF1450" i="11"/>
  <c r="AF1438" i="11"/>
  <c r="AF1426" i="11"/>
  <c r="AF1414" i="11"/>
  <c r="AF1402" i="11"/>
  <c r="AF1390" i="11"/>
  <c r="AF1378" i="11"/>
  <c r="AF1366" i="11"/>
  <c r="AF1354" i="11"/>
  <c r="AF1342" i="11"/>
  <c r="AF1330" i="11"/>
  <c r="AF1318" i="11"/>
  <c r="AF1306" i="11"/>
  <c r="AF1294" i="11"/>
  <c r="AF1282" i="11"/>
  <c r="AF1270" i="11"/>
  <c r="AF1258" i="11"/>
  <c r="AF1246" i="11"/>
  <c r="AF1234" i="11"/>
  <c r="AF1222" i="11"/>
  <c r="AF1210" i="11"/>
  <c r="AF1198" i="11"/>
  <c r="AF1186" i="11"/>
  <c r="AF1174" i="11"/>
  <c r="AF1162" i="11"/>
  <c r="AF1150" i="11"/>
  <c r="AF1138" i="11"/>
  <c r="AF1126" i="11"/>
  <c r="AF1114" i="11"/>
  <c r="AF1102" i="11"/>
  <c r="AF1090" i="11"/>
  <c r="AF1078" i="11"/>
  <c r="AF1066" i="11"/>
  <c r="AF1054" i="11"/>
  <c r="AF1042" i="11"/>
  <c r="AF1030" i="11"/>
  <c r="AF1018" i="11"/>
  <c r="AF1006" i="11"/>
  <c r="AF994" i="11"/>
  <c r="AF982" i="11"/>
  <c r="AF970" i="11"/>
  <c r="AF958" i="11"/>
  <c r="AF946" i="11"/>
  <c r="AF934" i="11"/>
  <c r="AF922" i="11"/>
  <c r="AF910" i="11"/>
  <c r="AF898" i="11"/>
  <c r="AF886" i="11"/>
  <c r="AF874" i="11"/>
  <c r="AF862" i="11"/>
  <c r="AF850" i="11"/>
  <c r="AF838" i="11"/>
  <c r="AF826" i="11"/>
  <c r="AF814" i="11"/>
  <c r="AF802" i="11"/>
  <c r="AF790" i="11"/>
  <c r="AF778" i="11"/>
  <c r="AF766" i="11"/>
  <c r="AF754" i="11"/>
  <c r="AF742" i="11"/>
  <c r="AF730" i="11"/>
  <c r="AF718" i="11"/>
  <c r="AF706" i="11"/>
  <c r="AF694" i="11"/>
  <c r="AF682" i="11"/>
  <c r="AF670" i="11"/>
  <c r="AF586" i="11"/>
  <c r="AF466" i="11"/>
  <c r="AF334" i="11"/>
  <c r="AF274" i="11"/>
  <c r="AF190" i="11"/>
  <c r="AF28" i="11"/>
  <c r="AF641" i="11"/>
  <c r="AF629" i="11"/>
  <c r="AF617" i="11"/>
  <c r="AF605" i="11"/>
  <c r="AF593" i="11"/>
  <c r="AF581" i="11"/>
  <c r="AF569" i="11"/>
  <c r="AF557" i="11"/>
  <c r="AF545" i="11"/>
  <c r="AF533" i="11"/>
  <c r="AF521" i="11"/>
  <c r="AF509" i="11"/>
  <c r="AF497" i="11"/>
  <c r="AF485" i="11"/>
  <c r="AF473" i="11"/>
  <c r="AF461" i="11"/>
  <c r="AF449" i="11"/>
  <c r="AF437" i="11"/>
  <c r="AF425" i="11"/>
  <c r="AF413" i="11"/>
  <c r="AF401" i="11"/>
  <c r="AF389" i="11"/>
  <c r="AF377" i="11"/>
  <c r="AF365" i="11"/>
  <c r="AF353" i="11"/>
  <c r="AF341" i="11"/>
  <c r="AF329" i="11"/>
  <c r="AF317" i="11"/>
  <c r="AF305" i="11"/>
  <c r="AF293" i="11"/>
  <c r="AF281" i="11"/>
  <c r="AF269" i="11"/>
  <c r="AF257" i="11"/>
  <c r="AF245" i="11"/>
  <c r="AF233" i="11"/>
  <c r="AF221" i="11"/>
  <c r="AF209" i="11"/>
  <c r="AF197" i="11"/>
  <c r="AF185" i="11"/>
  <c r="AF173" i="11"/>
  <c r="AF161" i="11"/>
  <c r="AF149" i="11"/>
  <c r="AF137" i="11"/>
  <c r="AF125" i="11"/>
  <c r="AF113" i="11"/>
  <c r="AF101" i="11"/>
  <c r="AF89" i="11"/>
  <c r="AF77" i="11"/>
  <c r="AF65" i="11"/>
  <c r="AF53" i="11"/>
  <c r="AF41" i="11"/>
  <c r="AF661" i="11"/>
  <c r="AF3009" i="11"/>
  <c r="AF2997" i="11"/>
  <c r="AF2985" i="11"/>
  <c r="AF2973" i="11"/>
  <c r="AF2961" i="11"/>
  <c r="AF2949" i="11"/>
  <c r="AF2937" i="11"/>
  <c r="AF2925" i="11"/>
  <c r="AF2913" i="11"/>
  <c r="AF2901" i="11"/>
  <c r="AF2889" i="11"/>
  <c r="AF2877" i="11"/>
  <c r="AF2865" i="11"/>
  <c r="AF2853" i="11"/>
  <c r="AF2841" i="11"/>
  <c r="AF2829" i="11"/>
  <c r="AF2817" i="11"/>
  <c r="AF2805" i="11"/>
  <c r="AF2793" i="11"/>
  <c r="AF2781" i="11"/>
  <c r="AF2769" i="11"/>
  <c r="AF2757" i="11"/>
  <c r="AF2745" i="11"/>
  <c r="AF2733" i="11"/>
  <c r="AF2721" i="11"/>
  <c r="AF2709" i="11"/>
  <c r="AF2697" i="11"/>
  <c r="AF2685" i="11"/>
  <c r="AF2673" i="11"/>
  <c r="AF2661" i="11"/>
  <c r="AF2649" i="11"/>
  <c r="AF2637" i="11"/>
  <c r="AF2625" i="11"/>
  <c r="AF2613" i="11"/>
  <c r="AF2601" i="11"/>
  <c r="AF2589" i="11"/>
  <c r="AF2577" i="11"/>
  <c r="AF2565" i="11"/>
  <c r="AF2553" i="11"/>
  <c r="AF2541" i="11"/>
  <c r="AF2529" i="11"/>
  <c r="AF2517" i="11"/>
  <c r="AF2505" i="11"/>
  <c r="AF2493" i="11"/>
  <c r="AF2481" i="11"/>
  <c r="AF2469" i="11"/>
  <c r="AF2457" i="11"/>
  <c r="AF2445" i="11"/>
  <c r="AF2433" i="11"/>
  <c r="AF2421" i="11"/>
  <c r="AF2409" i="11"/>
  <c r="AF2397" i="11"/>
  <c r="AF2385" i="11"/>
  <c r="AF2373" i="11"/>
  <c r="AF2361" i="11"/>
  <c r="AF2349" i="11"/>
  <c r="AF2337" i="11"/>
  <c r="AF2325" i="11"/>
  <c r="AF2313" i="11"/>
  <c r="AF2301" i="11"/>
  <c r="AF2289" i="11"/>
  <c r="AF2277" i="11"/>
  <c r="AF2265" i="11"/>
  <c r="AF2253" i="11"/>
  <c r="AF2241" i="11"/>
  <c r="AF2229" i="11"/>
  <c r="AF2217" i="11"/>
  <c r="AF2205" i="11"/>
  <c r="AF2193" i="11"/>
  <c r="AF2181" i="11"/>
  <c r="AF2169" i="11"/>
  <c r="AF2157" i="11"/>
  <c r="AF2145" i="11"/>
  <c r="AF2133" i="11"/>
  <c r="AF2121" i="11"/>
  <c r="AF2109" i="11"/>
  <c r="AF2097" i="11"/>
  <c r="AF2085" i="11"/>
  <c r="AF2073" i="11"/>
  <c r="AF2061" i="11"/>
  <c r="AF2049" i="11"/>
  <c r="AF2037" i="11"/>
  <c r="AF2025" i="11"/>
  <c r="AF2013" i="11"/>
  <c r="AF2001" i="11"/>
  <c r="AF1989" i="11"/>
  <c r="AF1977" i="11"/>
  <c r="AF1965" i="11"/>
  <c r="AF1953" i="11"/>
  <c r="AF1941" i="11"/>
  <c r="AF1929" i="11"/>
  <c r="AF1917" i="11"/>
  <c r="AF1905" i="11"/>
  <c r="AF1893" i="11"/>
  <c r="AF1881" i="11"/>
  <c r="AF1869" i="11"/>
  <c r="AF1857" i="11"/>
  <c r="AF1845" i="11"/>
  <c r="AF1833" i="11"/>
  <c r="AF1821" i="11"/>
  <c r="AF1809" i="11"/>
  <c r="AF1797" i="11"/>
  <c r="AF1785" i="11"/>
  <c r="AF1773" i="11"/>
  <c r="AF1761" i="11"/>
  <c r="AF1749" i="11"/>
  <c r="AF1737" i="11"/>
  <c r="AF1725" i="11"/>
  <c r="AF1713" i="11"/>
  <c r="AF1701" i="11"/>
  <c r="AF1689" i="11"/>
  <c r="AF1677" i="11"/>
  <c r="AF1665" i="11"/>
  <c r="AF1653" i="11"/>
  <c r="AF1641" i="11"/>
  <c r="AF1629" i="11"/>
  <c r="AF1617" i="11"/>
  <c r="AF1605" i="11"/>
  <c r="AF1593" i="11"/>
  <c r="AF1581" i="11"/>
  <c r="AF1569" i="11"/>
  <c r="AF1557" i="11"/>
  <c r="AF1545" i="11"/>
  <c r="AF1533" i="11"/>
  <c r="AF1521" i="11"/>
  <c r="AF1509" i="11"/>
  <c r="AF1497" i="11"/>
  <c r="AF1485" i="11"/>
  <c r="AF1473" i="11"/>
  <c r="AF1461" i="11"/>
  <c r="AF1449" i="11"/>
  <c r="AF1437" i="11"/>
  <c r="AF1425" i="11"/>
  <c r="AF1413" i="11"/>
  <c r="AF1401" i="11"/>
  <c r="AF1389" i="11"/>
  <c r="AF1377" i="11"/>
  <c r="AF1365" i="11"/>
  <c r="AF1353" i="11"/>
  <c r="AF1341" i="11"/>
  <c r="AF1329" i="11"/>
  <c r="AF1317" i="11"/>
  <c r="AF1305" i="11"/>
  <c r="AF1293" i="11"/>
  <c r="AF1281" i="11"/>
  <c r="AF1269" i="11"/>
  <c r="AF1257" i="11"/>
  <c r="AF1245" i="11"/>
  <c r="AF1233" i="11"/>
  <c r="AF1221" i="11"/>
  <c r="AF1209" i="11"/>
  <c r="AF1197" i="11"/>
  <c r="AF1185" i="11"/>
  <c r="AF1173" i="11"/>
  <c r="AF1161" i="11"/>
  <c r="AF1149" i="11"/>
  <c r="AF1137" i="11"/>
  <c r="AF1125" i="11"/>
  <c r="AF1113" i="11"/>
  <c r="AF1101" i="11"/>
  <c r="AF1089" i="11"/>
  <c r="AF1077" i="11"/>
  <c r="AF1065" i="11"/>
  <c r="AF1053" i="11"/>
  <c r="AF1041" i="11"/>
  <c r="AF1029" i="11"/>
  <c r="AF1017" i="11"/>
  <c r="AF1005" i="11"/>
  <c r="AF993" i="11"/>
  <c r="AF981" i="11"/>
  <c r="AF969" i="11"/>
  <c r="AF957" i="11"/>
  <c r="AF945" i="11"/>
  <c r="AF933" i="11"/>
  <c r="AF921" i="11"/>
  <c r="AF909" i="11"/>
  <c r="AF897" i="11"/>
  <c r="AF885" i="11"/>
  <c r="AF873" i="11"/>
  <c r="AF861" i="11"/>
  <c r="AF849" i="11"/>
  <c r="AF837" i="11"/>
  <c r="AF825" i="11"/>
  <c r="AF813" i="11"/>
  <c r="AF801" i="11"/>
  <c r="AF789" i="11"/>
  <c r="AF777" i="11"/>
  <c r="AF765" i="11"/>
  <c r="AF753" i="11"/>
  <c r="AF741" i="11"/>
  <c r="AF729" i="11"/>
  <c r="AF717" i="11"/>
  <c r="AF705" i="11"/>
  <c r="AF693" i="11"/>
  <c r="AF681" i="11"/>
  <c r="AF669" i="11"/>
  <c r="AF610" i="11"/>
  <c r="AF490" i="11"/>
  <c r="AF346" i="11"/>
  <c r="AF262" i="11"/>
  <c r="AF142" i="11"/>
  <c r="AF27" i="11"/>
  <c r="AF652" i="11"/>
  <c r="AF640" i="11"/>
  <c r="AF628" i="11"/>
  <c r="AF616" i="11"/>
  <c r="AF604" i="11"/>
  <c r="AF592" i="11"/>
  <c r="AF580" i="11"/>
  <c r="AF568" i="11"/>
  <c r="AF556" i="11"/>
  <c r="AF544" i="11"/>
  <c r="AF532" i="11"/>
  <c r="AF520" i="11"/>
  <c r="AF508" i="11"/>
  <c r="AF496" i="11"/>
  <c r="AF484" i="11"/>
  <c r="AF472" i="11"/>
  <c r="AF460" i="11"/>
  <c r="AF448" i="11"/>
  <c r="AF436" i="11"/>
  <c r="AF424" i="11"/>
  <c r="AF412" i="11"/>
  <c r="AF400" i="11"/>
  <c r="AF388" i="11"/>
  <c r="AF376" i="11"/>
  <c r="AF364" i="11"/>
  <c r="AF352" i="11"/>
  <c r="AF340" i="11"/>
  <c r="AF328" i="11"/>
  <c r="AF316" i="11"/>
  <c r="AF304" i="11"/>
  <c r="AF292" i="11"/>
  <c r="AF280" i="11"/>
  <c r="AF268" i="11"/>
  <c r="AF256" i="11"/>
  <c r="AF244" i="11"/>
  <c r="AF232" i="11"/>
  <c r="AF220" i="11"/>
  <c r="AF208" i="11"/>
  <c r="AF196" i="11"/>
  <c r="AF184" i="11"/>
  <c r="AF172" i="11"/>
  <c r="AF160" i="11"/>
  <c r="AF148" i="11"/>
  <c r="AF136" i="11"/>
  <c r="AF124" i="11"/>
  <c r="AF112" i="11"/>
  <c r="AF100" i="11"/>
  <c r="AF88" i="11"/>
  <c r="AF76" i="11"/>
  <c r="AF64" i="11"/>
  <c r="AF52" i="11"/>
  <c r="AF40" i="11"/>
  <c r="AF660" i="11"/>
  <c r="AF3008" i="11"/>
  <c r="AF2996" i="11"/>
  <c r="AF2984" i="11"/>
  <c r="AF2972" i="11"/>
  <c r="AF2960" i="11"/>
  <c r="AF2948" i="11"/>
  <c r="AF2936" i="11"/>
  <c r="AF2924" i="11"/>
  <c r="AF2912" i="11"/>
  <c r="AF2900" i="11"/>
  <c r="AF2888" i="11"/>
  <c r="AF2876" i="11"/>
  <c r="AF2864" i="11"/>
  <c r="AF2852" i="11"/>
  <c r="AF2840" i="11"/>
  <c r="AF2828" i="11"/>
  <c r="AF2816" i="11"/>
  <c r="AF2804" i="11"/>
  <c r="AF2792" i="11"/>
  <c r="AF2780" i="11"/>
  <c r="AF2768" i="11"/>
  <c r="AF2756" i="11"/>
  <c r="AF2744" i="11"/>
  <c r="AF2732" i="11"/>
  <c r="AF2720" i="11"/>
  <c r="AF2708" i="11"/>
  <c r="AF2696" i="11"/>
  <c r="AF2684" i="11"/>
  <c r="AF2672" i="11"/>
  <c r="AF2660" i="11"/>
  <c r="AF2648" i="11"/>
  <c r="AF2636" i="11"/>
  <c r="AF2624" i="11"/>
  <c r="AF2612" i="11"/>
  <c r="AF2600" i="11"/>
  <c r="AF2588" i="11"/>
  <c r="AF2576" i="11"/>
  <c r="AF2564" i="11"/>
  <c r="AF2552" i="11"/>
  <c r="AF2540" i="11"/>
  <c r="AF2528" i="11"/>
  <c r="AF2516" i="11"/>
  <c r="AF2504" i="11"/>
  <c r="AF2492" i="11"/>
  <c r="AF2480" i="11"/>
  <c r="AF2468" i="11"/>
  <c r="AF2456" i="11"/>
  <c r="AF2444" i="11"/>
  <c r="AF2432" i="11"/>
  <c r="AF2420" i="11"/>
  <c r="AF2408" i="11"/>
  <c r="AF2396" i="11"/>
  <c r="AF2384" i="11"/>
  <c r="AF2372" i="11"/>
  <c r="AF2360" i="11"/>
  <c r="AF2348" i="11"/>
  <c r="AF2336" i="11"/>
  <c r="AF2324" i="11"/>
  <c r="AF2312" i="11"/>
  <c r="AF2300" i="11"/>
  <c r="AF2288" i="11"/>
  <c r="AF2276" i="11"/>
  <c r="AF2264" i="11"/>
  <c r="AF2252" i="11"/>
  <c r="AF2240" i="11"/>
  <c r="AF2228" i="11"/>
  <c r="AF2216" i="11"/>
  <c r="AF2204" i="11"/>
  <c r="AF2192" i="11"/>
  <c r="AF2180" i="11"/>
  <c r="AF2168" i="11"/>
  <c r="AF2156" i="11"/>
  <c r="AF2144" i="11"/>
  <c r="AF2132" i="11"/>
  <c r="AF2120" i="11"/>
  <c r="AF2108" i="11"/>
  <c r="AF2096" i="11"/>
  <c r="AF2084" i="11"/>
  <c r="AF2072" i="11"/>
  <c r="AF2060" i="11"/>
  <c r="AF2048" i="11"/>
  <c r="AF2036" i="11"/>
  <c r="AF2024" i="11"/>
  <c r="AF2012" i="11"/>
  <c r="AF2000" i="11"/>
  <c r="AF1988" i="11"/>
  <c r="AF1976" i="11"/>
  <c r="AF1964" i="11"/>
  <c r="AF1952" i="11"/>
  <c r="AF1940" i="11"/>
  <c r="AF1928" i="11"/>
  <c r="AF1916" i="11"/>
  <c r="AF1904" i="11"/>
  <c r="AF1892" i="11"/>
  <c r="AF1880" i="11"/>
  <c r="AF1868" i="11"/>
  <c r="AF1856" i="11"/>
  <c r="AF1844" i="11"/>
  <c r="AF1832" i="11"/>
  <c r="AF1820" i="11"/>
  <c r="AF1808" i="11"/>
  <c r="AF1796" i="11"/>
  <c r="AF1784" i="11"/>
  <c r="AF1772" i="11"/>
  <c r="AF1760" i="11"/>
  <c r="AF1748" i="11"/>
  <c r="AF1736" i="11"/>
  <c r="AF1724" i="11"/>
  <c r="AF1712" i="11"/>
  <c r="AF1700" i="11"/>
  <c r="AF1688" i="11"/>
  <c r="AF1676" i="11"/>
  <c r="AF1664" i="11"/>
  <c r="AF1652" i="11"/>
  <c r="AF1640" i="11"/>
  <c r="AF1628" i="11"/>
  <c r="AF1616" i="11"/>
  <c r="AF1604" i="11"/>
  <c r="AF1592" i="11"/>
  <c r="AF1580" i="11"/>
  <c r="AF1568" i="11"/>
  <c r="AF1556" i="11"/>
  <c r="AF1544" i="11"/>
  <c r="AF1532" i="11"/>
  <c r="AF1520" i="11"/>
  <c r="AF1508" i="11"/>
  <c r="AF1496" i="11"/>
  <c r="AF1484" i="11"/>
  <c r="AF1472" i="11"/>
  <c r="AF1460" i="11"/>
  <c r="AF1448" i="11"/>
  <c r="AF1436" i="11"/>
  <c r="AF1424" i="11"/>
  <c r="AF1412" i="11"/>
  <c r="AF1400" i="11"/>
  <c r="AF1388" i="11"/>
  <c r="AF1376" i="11"/>
  <c r="AF1364" i="11"/>
  <c r="AF1352" i="11"/>
  <c r="AF1340" i="11"/>
  <c r="AF1328" i="11"/>
  <c r="AF1316" i="11"/>
  <c r="AF1304" i="11"/>
  <c r="AF1292" i="11"/>
  <c r="AF1280" i="11"/>
  <c r="AF1268" i="11"/>
  <c r="AF1256" i="11"/>
  <c r="AF1244" i="11"/>
  <c r="AF1232" i="11"/>
  <c r="AF1220" i="11"/>
  <c r="AF1208" i="11"/>
  <c r="AF1196" i="11"/>
  <c r="AF1184" i="11"/>
  <c r="AF1172" i="11"/>
  <c r="AF1160" i="11"/>
  <c r="AF1148" i="11"/>
  <c r="AF1136" i="11"/>
  <c r="AF1124" i="11"/>
  <c r="AF1112" i="11"/>
  <c r="AF1100" i="11"/>
  <c r="AF1088" i="11"/>
  <c r="AF1076" i="11"/>
  <c r="AF1064" i="11"/>
  <c r="AF1052" i="11"/>
  <c r="AF1040" i="11"/>
  <c r="AF1028" i="11"/>
  <c r="AF1016" i="11"/>
  <c r="AF1004" i="11"/>
  <c r="AF992" i="11"/>
  <c r="AF980" i="11"/>
  <c r="AF968" i="11"/>
  <c r="AF956" i="11"/>
  <c r="AF944" i="11"/>
  <c r="AF932" i="11"/>
  <c r="AF920" i="11"/>
  <c r="AF908" i="11"/>
  <c r="AF896" i="11"/>
  <c r="AF884" i="11"/>
  <c r="AF872" i="11"/>
  <c r="AF860" i="11"/>
  <c r="AF848" i="11"/>
  <c r="AF836" i="11"/>
  <c r="AF824" i="11"/>
  <c r="AF812" i="11"/>
  <c r="AF800" i="11"/>
  <c r="AF788" i="11"/>
  <c r="AF776" i="11"/>
  <c r="AF764" i="11"/>
  <c r="AF752" i="11"/>
  <c r="AF740" i="11"/>
  <c r="AF728" i="11"/>
  <c r="AF716" i="11"/>
  <c r="AF704" i="11"/>
  <c r="AF692" i="11"/>
  <c r="AF680" i="11"/>
  <c r="AF668" i="11"/>
  <c r="BT10" i="18"/>
  <c r="P15" i="11"/>
  <c r="Y22" i="11"/>
  <c r="Y23" i="11"/>
  <c r="Y24" i="11"/>
  <c r="Y25" i="11"/>
  <c r="Y26" i="11"/>
  <c r="Y27" i="11"/>
  <c r="Y28" i="11"/>
  <c r="Y29" i="11"/>
  <c r="Y30" i="11"/>
  <c r="Y31" i="11"/>
  <c r="Y32" i="11"/>
  <c r="Y33" i="11"/>
  <c r="Y34" i="11"/>
  <c r="Y35" i="11"/>
  <c r="Y36" i="11"/>
  <c r="Y37" i="11"/>
  <c r="Y38" i="11"/>
  <c r="Y39" i="11"/>
  <c r="Y40" i="11"/>
  <c r="Y41" i="11"/>
  <c r="Y42" i="11"/>
  <c r="Y43" i="11"/>
  <c r="Y44" i="11"/>
  <c r="Y45" i="11"/>
  <c r="Y46" i="11"/>
  <c r="Y47" i="11"/>
  <c r="Y48" i="11"/>
  <c r="Y49" i="11"/>
  <c r="Y50" i="11"/>
  <c r="Y51" i="11"/>
  <c r="Y52" i="11"/>
  <c r="Y53" i="11"/>
  <c r="Y54" i="11"/>
  <c r="Y55" i="11"/>
  <c r="Y56" i="11"/>
  <c r="Y57" i="11"/>
  <c r="Y58" i="11"/>
  <c r="Y59" i="11"/>
  <c r="Y60" i="11"/>
  <c r="Y61" i="11"/>
  <c r="Y62" i="11"/>
  <c r="Y63" i="11"/>
  <c r="Y64" i="11"/>
  <c r="Y65" i="11"/>
  <c r="Y66" i="11"/>
  <c r="Y67" i="11"/>
  <c r="Y68" i="11"/>
  <c r="Y69" i="11"/>
  <c r="Y70" i="11"/>
  <c r="Y71" i="11"/>
  <c r="Y72" i="11"/>
  <c r="Y73" i="11"/>
  <c r="Y74" i="11"/>
  <c r="Y75" i="11"/>
  <c r="Y76" i="11"/>
  <c r="Y77" i="11"/>
  <c r="Y78" i="11"/>
  <c r="Y79" i="11"/>
  <c r="Y80" i="11"/>
  <c r="Y81" i="11"/>
  <c r="Y82" i="11"/>
  <c r="Y83" i="11"/>
  <c r="Y84" i="11"/>
  <c r="Y85" i="11"/>
  <c r="Y86" i="11"/>
  <c r="Y87" i="11"/>
  <c r="Y88" i="11"/>
  <c r="Y89" i="11"/>
  <c r="Y90" i="11"/>
  <c r="Y91" i="11"/>
  <c r="Y92" i="11"/>
  <c r="Y93" i="11"/>
  <c r="Y94" i="11"/>
  <c r="Y95" i="11"/>
  <c r="Y96" i="11"/>
  <c r="Y97" i="11"/>
  <c r="Y98" i="11"/>
  <c r="Y99" i="11"/>
  <c r="Y100" i="11"/>
  <c r="Y101" i="11"/>
  <c r="Y102" i="11"/>
  <c r="Y103" i="11"/>
  <c r="Y104" i="11"/>
  <c r="Y105" i="11"/>
  <c r="Y106" i="11"/>
  <c r="Y107" i="11"/>
  <c r="Y108" i="11"/>
  <c r="Y109" i="11"/>
  <c r="Y110" i="11"/>
  <c r="Y111" i="11"/>
  <c r="Y112" i="11"/>
  <c r="Y113" i="11"/>
  <c r="Y114" i="11"/>
  <c r="Y115" i="11"/>
  <c r="Y116" i="11"/>
  <c r="Y117" i="11"/>
  <c r="Y118" i="11"/>
  <c r="Y119" i="11"/>
  <c r="Y120" i="11"/>
  <c r="Y121" i="11"/>
  <c r="Y122" i="11"/>
  <c r="Y123" i="11"/>
  <c r="Y124" i="11"/>
  <c r="Y125" i="11"/>
  <c r="Y126" i="11"/>
  <c r="Y127" i="11"/>
  <c r="Y128" i="11"/>
  <c r="Y129" i="11"/>
  <c r="Y130" i="11"/>
  <c r="Y131" i="11"/>
  <c r="Y132" i="11"/>
  <c r="Y133" i="11"/>
  <c r="Y134" i="11"/>
  <c r="Y135" i="11"/>
  <c r="Y136" i="11"/>
  <c r="Y137" i="11"/>
  <c r="Y138" i="11"/>
  <c r="Y139" i="11"/>
  <c r="Y140" i="11"/>
  <c r="Y141" i="11"/>
  <c r="Y142" i="11"/>
  <c r="Y143" i="11"/>
  <c r="Y144" i="11"/>
  <c r="Y145" i="11"/>
  <c r="Y146" i="11"/>
  <c r="Y147" i="11"/>
  <c r="Y148" i="11"/>
  <c r="Y149" i="11"/>
  <c r="Y150" i="11"/>
  <c r="Y151" i="11"/>
  <c r="Y152" i="11"/>
  <c r="Y153" i="11"/>
  <c r="Y154" i="11"/>
  <c r="Y155" i="11"/>
  <c r="Y156" i="11"/>
  <c r="Y157" i="11"/>
  <c r="Y158" i="11"/>
  <c r="Y159" i="11"/>
  <c r="Y160" i="11"/>
  <c r="Y161" i="11"/>
  <c r="Y162" i="11"/>
  <c r="Y163" i="11"/>
  <c r="Y164" i="11"/>
  <c r="Y165" i="11"/>
  <c r="Y166" i="11"/>
  <c r="Y167" i="11"/>
  <c r="Y168" i="11"/>
  <c r="Y169" i="11"/>
  <c r="Y170" i="11"/>
  <c r="Y171" i="11"/>
  <c r="Y172" i="11"/>
  <c r="Y173" i="11"/>
  <c r="Y174" i="11"/>
  <c r="Y175" i="11"/>
  <c r="Y176" i="11"/>
  <c r="Y177" i="11"/>
  <c r="Y178" i="11"/>
  <c r="Y179" i="11"/>
  <c r="Y180" i="11"/>
  <c r="Y181" i="11"/>
  <c r="Y182" i="11"/>
  <c r="Y183" i="11"/>
  <c r="Y184" i="11"/>
  <c r="Y185" i="11"/>
  <c r="Y186" i="11"/>
  <c r="Y187" i="11"/>
  <c r="Y188" i="11"/>
  <c r="Y189" i="11"/>
  <c r="Y190" i="11"/>
  <c r="Y191" i="11"/>
  <c r="Y192" i="11"/>
  <c r="Y193" i="11"/>
  <c r="Y194" i="11"/>
  <c r="Y195" i="11"/>
  <c r="Y196" i="11"/>
  <c r="Y197" i="11"/>
  <c r="Y198" i="11"/>
  <c r="Y199" i="11"/>
  <c r="Y200" i="11"/>
  <c r="Y201" i="11"/>
  <c r="Y202" i="11"/>
  <c r="Y203" i="11"/>
  <c r="Y204" i="11"/>
  <c r="Y205" i="11"/>
  <c r="Y206" i="11"/>
  <c r="Y207" i="11"/>
  <c r="Y208" i="11"/>
  <c r="Y209" i="11"/>
  <c r="Y210" i="11"/>
  <c r="Y211" i="11"/>
  <c r="Y212" i="11"/>
  <c r="Y213" i="11"/>
  <c r="Y214" i="11"/>
  <c r="Y215" i="11"/>
  <c r="Y216" i="11"/>
  <c r="Y217" i="11"/>
  <c r="Y218" i="11"/>
  <c r="Y219" i="11"/>
  <c r="Y220" i="11"/>
  <c r="Y221" i="11"/>
  <c r="Y222" i="11"/>
  <c r="Y223" i="11"/>
  <c r="Y224" i="11"/>
  <c r="Y225" i="11"/>
  <c r="Y226" i="11"/>
  <c r="Y227" i="11"/>
  <c r="Y228" i="11"/>
  <c r="Y229" i="11"/>
  <c r="Y230" i="11"/>
  <c r="Y231" i="11"/>
  <c r="Y232" i="11"/>
  <c r="Y233" i="11"/>
  <c r="Y234" i="11"/>
  <c r="Y235" i="11"/>
  <c r="Y236" i="11"/>
  <c r="Y237" i="11"/>
  <c r="Y238" i="11"/>
  <c r="Y239" i="11"/>
  <c r="Y240" i="11"/>
  <c r="Y241" i="11"/>
  <c r="Y242" i="11"/>
  <c r="Y243" i="11"/>
  <c r="Y244" i="11"/>
  <c r="Y245" i="11"/>
  <c r="Y246" i="11"/>
  <c r="Y247" i="11"/>
  <c r="Y248" i="11"/>
  <c r="Y249" i="11"/>
  <c r="Y250" i="11"/>
  <c r="Y251" i="11"/>
  <c r="Y252" i="11"/>
  <c r="Y253" i="11"/>
  <c r="Y254" i="11"/>
  <c r="Y255" i="11"/>
  <c r="Y256" i="11"/>
  <c r="Y257" i="11"/>
  <c r="Y258" i="11"/>
  <c r="Y259" i="11"/>
  <c r="Y260" i="11"/>
  <c r="Y261" i="11"/>
  <c r="Y262" i="11"/>
  <c r="Y263" i="11"/>
  <c r="Y264" i="11"/>
  <c r="Y265" i="11"/>
  <c r="Y266" i="11"/>
  <c r="Y267" i="11"/>
  <c r="Y268" i="11"/>
  <c r="Y269" i="11"/>
  <c r="Y270" i="11"/>
  <c r="Y271" i="11"/>
  <c r="Y272" i="11"/>
  <c r="Y273" i="11"/>
  <c r="Y274" i="11"/>
  <c r="Y275" i="11"/>
  <c r="Y276" i="11"/>
  <c r="Y277" i="11"/>
  <c r="Y278" i="11"/>
  <c r="Y279" i="11"/>
  <c r="Y280" i="11"/>
  <c r="Y281" i="11"/>
  <c r="Y282" i="11"/>
  <c r="Y283" i="11"/>
  <c r="Y284" i="11"/>
  <c r="Y285" i="11"/>
  <c r="Y286" i="11"/>
  <c r="Y287" i="11"/>
  <c r="Y288" i="11"/>
  <c r="Y289" i="11"/>
  <c r="Y290" i="11"/>
  <c r="Y291" i="11"/>
  <c r="Y292" i="11"/>
  <c r="Y293" i="11"/>
  <c r="Y294" i="11"/>
  <c r="Y295" i="11"/>
  <c r="Y296" i="11"/>
  <c r="Y297" i="11"/>
  <c r="Y298" i="11"/>
  <c r="Y299" i="11"/>
  <c r="Y300" i="11"/>
  <c r="Y301" i="11"/>
  <c r="Y302" i="11"/>
  <c r="Y303" i="11"/>
  <c r="Y304" i="11"/>
  <c r="Y305" i="11"/>
  <c r="Y306" i="11"/>
  <c r="Y307" i="11"/>
  <c r="Y308" i="11"/>
  <c r="Y309" i="11"/>
  <c r="Y310" i="11"/>
  <c r="Y311" i="11"/>
  <c r="Y312" i="11"/>
  <c r="Y313" i="11"/>
  <c r="Y314" i="11"/>
  <c r="Y315" i="11"/>
  <c r="Y316" i="11"/>
  <c r="Y317" i="11"/>
  <c r="Y318" i="11"/>
  <c r="Y319" i="11"/>
  <c r="Y320" i="11"/>
  <c r="Y321" i="11"/>
  <c r="Y322" i="11"/>
  <c r="Y323" i="11"/>
  <c r="Y324" i="11"/>
  <c r="Y325" i="11"/>
  <c r="Y326" i="11"/>
  <c r="Y327" i="11"/>
  <c r="Y328" i="11"/>
  <c r="Y329" i="11"/>
  <c r="Y330" i="11"/>
  <c r="Y331" i="11"/>
  <c r="Y332" i="11"/>
  <c r="Y333" i="11"/>
  <c r="Y334" i="11"/>
  <c r="Y335" i="11"/>
  <c r="Y336" i="11"/>
  <c r="Y337" i="11"/>
  <c r="Y338" i="11"/>
  <c r="Y339" i="11"/>
  <c r="Y340" i="11"/>
  <c r="Y341" i="11"/>
  <c r="Y342" i="11"/>
  <c r="Y343" i="11"/>
  <c r="Y344" i="11"/>
  <c r="Y345" i="11"/>
  <c r="Y346" i="11"/>
  <c r="Y347" i="11"/>
  <c r="Y348" i="11"/>
  <c r="Y349" i="11"/>
  <c r="Y350" i="11"/>
  <c r="Y351" i="11"/>
  <c r="Y352" i="11"/>
  <c r="Y353" i="11"/>
  <c r="Y354" i="11"/>
  <c r="Y355" i="11"/>
  <c r="Y356" i="11"/>
  <c r="Y357" i="11"/>
  <c r="Y358" i="11"/>
  <c r="Y359" i="11"/>
  <c r="Y360" i="11"/>
  <c r="Y361" i="11"/>
  <c r="Y362" i="11"/>
  <c r="Y363" i="11"/>
  <c r="Y364" i="11"/>
  <c r="Y365" i="11"/>
  <c r="Y366" i="11"/>
  <c r="Y367" i="11"/>
  <c r="Y368" i="11"/>
  <c r="Y369" i="11"/>
  <c r="Y370" i="11"/>
  <c r="Y371" i="11"/>
  <c r="Y372" i="11"/>
  <c r="Y373" i="11"/>
  <c r="Y374" i="11"/>
  <c r="Y375" i="11"/>
  <c r="Y376" i="11"/>
  <c r="Y377" i="11"/>
  <c r="Y378" i="11"/>
  <c r="Y379" i="11"/>
  <c r="Y380" i="11"/>
  <c r="Y381" i="11"/>
  <c r="Y382" i="11"/>
  <c r="Y383" i="11"/>
  <c r="Y384" i="11"/>
  <c r="Y385" i="11"/>
  <c r="Y386" i="11"/>
  <c r="Y387" i="11"/>
  <c r="Y388" i="11"/>
  <c r="Y389" i="11"/>
  <c r="Y390" i="11"/>
  <c r="Y391" i="11"/>
  <c r="Y392" i="11"/>
  <c r="Y393" i="11"/>
  <c r="Y394" i="11"/>
  <c r="Y395" i="11"/>
  <c r="Y396" i="11"/>
  <c r="Y397" i="11"/>
  <c r="Y398" i="11"/>
  <c r="Y399" i="11"/>
  <c r="Y400" i="11"/>
  <c r="Y401" i="11"/>
  <c r="Y402" i="11"/>
  <c r="Y403" i="11"/>
  <c r="Y404" i="11"/>
  <c r="Y405" i="11"/>
  <c r="Y406" i="11"/>
  <c r="Y407" i="11"/>
  <c r="Y408" i="11"/>
  <c r="Y409" i="11"/>
  <c r="Y410" i="11"/>
  <c r="Y411" i="11"/>
  <c r="Y412" i="11"/>
  <c r="Y413" i="11"/>
  <c r="Y414" i="11"/>
  <c r="Y415" i="11"/>
  <c r="Y416" i="11"/>
  <c r="Y417" i="11"/>
  <c r="Y418" i="11"/>
  <c r="Y419" i="11"/>
  <c r="Y420" i="11"/>
  <c r="Y421" i="11"/>
  <c r="Y422" i="11"/>
  <c r="Y423" i="11"/>
  <c r="Y424" i="11"/>
  <c r="Y425" i="11"/>
  <c r="Y426" i="11"/>
  <c r="Y427" i="11"/>
  <c r="Y428" i="11"/>
  <c r="Y429" i="11"/>
  <c r="Y430" i="11"/>
  <c r="Y431" i="11"/>
  <c r="Y432" i="11"/>
  <c r="Y433" i="11"/>
  <c r="Y434" i="11"/>
  <c r="Y435" i="11"/>
  <c r="Y436" i="11"/>
  <c r="Y437" i="11"/>
  <c r="Y438" i="11"/>
  <c r="Y439" i="11"/>
  <c r="Y440" i="11"/>
  <c r="Y441" i="11"/>
  <c r="Y442" i="11"/>
  <c r="Y443" i="11"/>
  <c r="Y444" i="11"/>
  <c r="Y445" i="11"/>
  <c r="Y446" i="11"/>
  <c r="Y447" i="11"/>
  <c r="Y448" i="11"/>
  <c r="Y449" i="11"/>
  <c r="Y450" i="11"/>
  <c r="Y451" i="11"/>
  <c r="Y452" i="11"/>
  <c r="Y453" i="11"/>
  <c r="Y454" i="11"/>
  <c r="Y455" i="11"/>
  <c r="Y456" i="11"/>
  <c r="Y457" i="11"/>
  <c r="Y458" i="11"/>
  <c r="Y459" i="11"/>
  <c r="Y460" i="11"/>
  <c r="Y461" i="11"/>
  <c r="Y462" i="11"/>
  <c r="Y463" i="11"/>
  <c r="Y464" i="11"/>
  <c r="Y465" i="11"/>
  <c r="Y466" i="11"/>
  <c r="Y467" i="11"/>
  <c r="Y468" i="11"/>
  <c r="Y469" i="11"/>
  <c r="Y470" i="11"/>
  <c r="Y471" i="11"/>
  <c r="Y472" i="11"/>
  <c r="Y473" i="11"/>
  <c r="Y474" i="11"/>
  <c r="Y475" i="11"/>
  <c r="Y476" i="11"/>
  <c r="Y477" i="11"/>
  <c r="Y478" i="11"/>
  <c r="Y479" i="11"/>
  <c r="Y480" i="11"/>
  <c r="Y481" i="11"/>
  <c r="Y482" i="11"/>
  <c r="Y483" i="11"/>
  <c r="Y484" i="11"/>
  <c r="Y485" i="11"/>
  <c r="Y486" i="11"/>
  <c r="Y487" i="11"/>
  <c r="Y488" i="11"/>
  <c r="Y489" i="11"/>
  <c r="Y490" i="11"/>
  <c r="Y491" i="11"/>
  <c r="Y492" i="11"/>
  <c r="Y493" i="11"/>
  <c r="Y494" i="11"/>
  <c r="Y495" i="11"/>
  <c r="Y496" i="11"/>
  <c r="Y497" i="11"/>
  <c r="Y498" i="11"/>
  <c r="Y499" i="11"/>
  <c r="Y500" i="11"/>
  <c r="Y501" i="11"/>
  <c r="Y502" i="11"/>
  <c r="Y503" i="11"/>
  <c r="Y504" i="11"/>
  <c r="Y505" i="11"/>
  <c r="Y506" i="11"/>
  <c r="Y507" i="11"/>
  <c r="Y508" i="11"/>
  <c r="Y509" i="11"/>
  <c r="Y510" i="11"/>
  <c r="Y511" i="11"/>
  <c r="Y512" i="11"/>
  <c r="Y513" i="11"/>
  <c r="Y514" i="11"/>
  <c r="Y515" i="11"/>
  <c r="Y516" i="11"/>
  <c r="Y517" i="11"/>
  <c r="Y518" i="11"/>
  <c r="Y519" i="11"/>
  <c r="Y520" i="11"/>
  <c r="Y521" i="11"/>
  <c r="Y522" i="11"/>
  <c r="Y523" i="11"/>
  <c r="Y524" i="11"/>
  <c r="Y525" i="11"/>
  <c r="Y526" i="11"/>
  <c r="Y527" i="11"/>
  <c r="Y528" i="11"/>
  <c r="Y529" i="11"/>
  <c r="Y530" i="11"/>
  <c r="Y531" i="11"/>
  <c r="Y532" i="11"/>
  <c r="Y533" i="11"/>
  <c r="Y534" i="11"/>
  <c r="Y535" i="11"/>
  <c r="Y536" i="11"/>
  <c r="Y537" i="11"/>
  <c r="Y538" i="11"/>
  <c r="Y539" i="11"/>
  <c r="Y540" i="11"/>
  <c r="Y541" i="11"/>
  <c r="Y542" i="11"/>
  <c r="Y543" i="11"/>
  <c r="Y544" i="11"/>
  <c r="Y545" i="11"/>
  <c r="Y546" i="11"/>
  <c r="Y547" i="11"/>
  <c r="Y548" i="11"/>
  <c r="Y549" i="11"/>
  <c r="Y550" i="11"/>
  <c r="Y551" i="11"/>
  <c r="Y552" i="11"/>
  <c r="Y553" i="11"/>
  <c r="Y554" i="11"/>
  <c r="Y555" i="11"/>
  <c r="Y556" i="11"/>
  <c r="Y557" i="11"/>
  <c r="Y558" i="11"/>
  <c r="Y559" i="11"/>
  <c r="Y560" i="11"/>
  <c r="Y561" i="11"/>
  <c r="Y562" i="11"/>
  <c r="Y563" i="11"/>
  <c r="Y564" i="11"/>
  <c r="Y565" i="11"/>
  <c r="Y566" i="11"/>
  <c r="Y567" i="11"/>
  <c r="Y568" i="11"/>
  <c r="Y569" i="11"/>
  <c r="Y570" i="11"/>
  <c r="Y571" i="11"/>
  <c r="Y572" i="11"/>
  <c r="Y573" i="11"/>
  <c r="Y574" i="11"/>
  <c r="Y575" i="11"/>
  <c r="Y576" i="11"/>
  <c r="Y577" i="11"/>
  <c r="Y578" i="11"/>
  <c r="Y579" i="11"/>
  <c r="Y580" i="11"/>
  <c r="Y581" i="11"/>
  <c r="Y582" i="11"/>
  <c r="Y583" i="11"/>
  <c r="Y584" i="11"/>
  <c r="Y585" i="11"/>
  <c r="Y586" i="11"/>
  <c r="Y587" i="11"/>
  <c r="Y588" i="11"/>
  <c r="Y589" i="11"/>
  <c r="Y590" i="11"/>
  <c r="Y591" i="11"/>
  <c r="Y592" i="11"/>
  <c r="Y593" i="11"/>
  <c r="Y594" i="11"/>
  <c r="Y595" i="11"/>
  <c r="Y596" i="11"/>
  <c r="Y597" i="11"/>
  <c r="Y598" i="11"/>
  <c r="Y599" i="11"/>
  <c r="Y600" i="11"/>
  <c r="Y601" i="11"/>
  <c r="Y602" i="11"/>
  <c r="Y603" i="11"/>
  <c r="Y604" i="11"/>
  <c r="Y605" i="11"/>
  <c r="Y606" i="11"/>
  <c r="Y607" i="11"/>
  <c r="Y608" i="11"/>
  <c r="Y609" i="11"/>
  <c r="Y610" i="11"/>
  <c r="Y611" i="11"/>
  <c r="Y612" i="11"/>
  <c r="Y613" i="11"/>
  <c r="Y614" i="11"/>
  <c r="Y615" i="11"/>
  <c r="Y616" i="11"/>
  <c r="Y617" i="11"/>
  <c r="Y618" i="11"/>
  <c r="Y619" i="11"/>
  <c r="Y620" i="11"/>
  <c r="Y621" i="11"/>
  <c r="Y622" i="11"/>
  <c r="Y623" i="11"/>
  <c r="Y624" i="11"/>
  <c r="Y625" i="11"/>
  <c r="Y626" i="11"/>
  <c r="Y627" i="11"/>
  <c r="Y628" i="11"/>
  <c r="Y629" i="11"/>
  <c r="Y630" i="11"/>
  <c r="Y631" i="11"/>
  <c r="Y632" i="11"/>
  <c r="Y633" i="11"/>
  <c r="Y634" i="11"/>
  <c r="Y635" i="11"/>
  <c r="Y636" i="11"/>
  <c r="Y637" i="11"/>
  <c r="Y638" i="11"/>
  <c r="Y639" i="11"/>
  <c r="Y640" i="11"/>
  <c r="Y641" i="11"/>
  <c r="Y642" i="11"/>
  <c r="Y643" i="11"/>
  <c r="Y644" i="11"/>
  <c r="Y645" i="11"/>
  <c r="Y646" i="11"/>
  <c r="Y647" i="11"/>
  <c r="Y648" i="11"/>
  <c r="Y649" i="11"/>
  <c r="Y650" i="11"/>
  <c r="Y651" i="11"/>
  <c r="Y652" i="11"/>
  <c r="Y653" i="11"/>
  <c r="Y654" i="11"/>
  <c r="Y655" i="11"/>
  <c r="Y656" i="11"/>
  <c r="Y657" i="11"/>
  <c r="Y658" i="11"/>
  <c r="Y659" i="11"/>
  <c r="Y660" i="11"/>
  <c r="Y661" i="11"/>
  <c r="Y662" i="11"/>
  <c r="Y663" i="11"/>
  <c r="Y664" i="11"/>
  <c r="Y665" i="11"/>
  <c r="Y666" i="11"/>
  <c r="Y667" i="11"/>
  <c r="Y668" i="11"/>
  <c r="Y669" i="11"/>
  <c r="Y670" i="11"/>
  <c r="Y671" i="11"/>
  <c r="Y672" i="11"/>
  <c r="Y673" i="11"/>
  <c r="Y674" i="11"/>
  <c r="Y675" i="11"/>
  <c r="Y676" i="11"/>
  <c r="Y677" i="11"/>
  <c r="Y678" i="11"/>
  <c r="Y679" i="11"/>
  <c r="Y680" i="11"/>
  <c r="Y681" i="11"/>
  <c r="Y682" i="11"/>
  <c r="Y683" i="11"/>
  <c r="Y684" i="11"/>
  <c r="Y685" i="11"/>
  <c r="Y686" i="11"/>
  <c r="Y687" i="11"/>
  <c r="Y688" i="11"/>
  <c r="Y689" i="11"/>
  <c r="Y690" i="11"/>
  <c r="Y691" i="11"/>
  <c r="Y692" i="11"/>
  <c r="Y693" i="11"/>
  <c r="Y694" i="11"/>
  <c r="Y695" i="11"/>
  <c r="Y696" i="11"/>
  <c r="Y697" i="11"/>
  <c r="Y698" i="11"/>
  <c r="Y699" i="11"/>
  <c r="Y700" i="11"/>
  <c r="Y701" i="11"/>
  <c r="Y702" i="11"/>
  <c r="Y703" i="11"/>
  <c r="Y704" i="11"/>
  <c r="Y705" i="11"/>
  <c r="Y706" i="11"/>
  <c r="Y707" i="11"/>
  <c r="Y708" i="11"/>
  <c r="Y709" i="11"/>
  <c r="Y710" i="11"/>
  <c r="Y711" i="11"/>
  <c r="Y712" i="11"/>
  <c r="Y713" i="11"/>
  <c r="Y714" i="11"/>
  <c r="Y715" i="11"/>
  <c r="Y716" i="11"/>
  <c r="Y717" i="11"/>
  <c r="Y718" i="11"/>
  <c r="Y719" i="11"/>
  <c r="Y720" i="11"/>
  <c r="Y721" i="11"/>
  <c r="Y722" i="11"/>
  <c r="Y723" i="11"/>
  <c r="Y724" i="11"/>
  <c r="Y725" i="11"/>
  <c r="Y726" i="11"/>
  <c r="Y727" i="11"/>
  <c r="Y728" i="11"/>
  <c r="Y729" i="11"/>
  <c r="Y730" i="11"/>
  <c r="Y731" i="11"/>
  <c r="Y732" i="11"/>
  <c r="Y733" i="11"/>
  <c r="Y734" i="11"/>
  <c r="Y735" i="11"/>
  <c r="Y736" i="11"/>
  <c r="Y737" i="11"/>
  <c r="Y738" i="11"/>
  <c r="Y739" i="11"/>
  <c r="Y740" i="11"/>
  <c r="Y741" i="11"/>
  <c r="Y742" i="11"/>
  <c r="Y743" i="11"/>
  <c r="Y744" i="11"/>
  <c r="Y745" i="11"/>
  <c r="Y746" i="11"/>
  <c r="Y747" i="11"/>
  <c r="Y748" i="11"/>
  <c r="Y749" i="11"/>
  <c r="Y750" i="11"/>
  <c r="Y751" i="11"/>
  <c r="Y752" i="11"/>
  <c r="Y753" i="11"/>
  <c r="Y754" i="11"/>
  <c r="Y755" i="11"/>
  <c r="Y756" i="11"/>
  <c r="Y757" i="11"/>
  <c r="Y758" i="11"/>
  <c r="Y759" i="11"/>
  <c r="Y760" i="11"/>
  <c r="Y761" i="11"/>
  <c r="Y762" i="11"/>
  <c r="Y763" i="11"/>
  <c r="Y764" i="11"/>
  <c r="Y765" i="11"/>
  <c r="Y766" i="11"/>
  <c r="Y767" i="11"/>
  <c r="Y768" i="11"/>
  <c r="Y769" i="11"/>
  <c r="Y770" i="11"/>
  <c r="Y771" i="11"/>
  <c r="Y772" i="11"/>
  <c r="Y773" i="11"/>
  <c r="Y774" i="11"/>
  <c r="Y775" i="11"/>
  <c r="Y776" i="11"/>
  <c r="Y777" i="11"/>
  <c r="Y778" i="11"/>
  <c r="Y779" i="11"/>
  <c r="Y780" i="11"/>
  <c r="Y781" i="11"/>
  <c r="Y782" i="11"/>
  <c r="Y783" i="11"/>
  <c r="Y784" i="11"/>
  <c r="Y785" i="11"/>
  <c r="Y786" i="11"/>
  <c r="Y787" i="11"/>
  <c r="Y788" i="11"/>
  <c r="Y789" i="11"/>
  <c r="Y790" i="11"/>
  <c r="Y791" i="11"/>
  <c r="Y792" i="11"/>
  <c r="Y793" i="11"/>
  <c r="Y794" i="11"/>
  <c r="Y795" i="11"/>
  <c r="Y796" i="11"/>
  <c r="Y797" i="11"/>
  <c r="Y798" i="11"/>
  <c r="Y799" i="11"/>
  <c r="Y800" i="11"/>
  <c r="Y801" i="11"/>
  <c r="Y802" i="11"/>
  <c r="Y803" i="11"/>
  <c r="Y804" i="11"/>
  <c r="Y805" i="11"/>
  <c r="Y806" i="11"/>
  <c r="Y807" i="11"/>
  <c r="Y808" i="11"/>
  <c r="Y809" i="11"/>
  <c r="Y810" i="11"/>
  <c r="Y811" i="11"/>
  <c r="Y812" i="11"/>
  <c r="Y813" i="11"/>
  <c r="Y814" i="11"/>
  <c r="Y815" i="11"/>
  <c r="Y816" i="11"/>
  <c r="Y817" i="11"/>
  <c r="Y818" i="11"/>
  <c r="Y819" i="11"/>
  <c r="Y820" i="11"/>
  <c r="Y821" i="11"/>
  <c r="Y822" i="11"/>
  <c r="Y823" i="11"/>
  <c r="Y824" i="11"/>
  <c r="Y825" i="11"/>
  <c r="Y826" i="11"/>
  <c r="Y827" i="11"/>
  <c r="Y828" i="11"/>
  <c r="Y829" i="11"/>
  <c r="Y830" i="11"/>
  <c r="Y831" i="11"/>
  <c r="Y832" i="11"/>
  <c r="Y833" i="11"/>
  <c r="Y834" i="11"/>
  <c r="Y835" i="11"/>
  <c r="Y836" i="11"/>
  <c r="Y837" i="11"/>
  <c r="Y838" i="11"/>
  <c r="Y839" i="11"/>
  <c r="Y840" i="11"/>
  <c r="Y841" i="11"/>
  <c r="Y842" i="11"/>
  <c r="Y843" i="11"/>
  <c r="Y844" i="11"/>
  <c r="Y845" i="11"/>
  <c r="Y846" i="11"/>
  <c r="Y847" i="11"/>
  <c r="Y848" i="11"/>
  <c r="Y849" i="11"/>
  <c r="Y850" i="11"/>
  <c r="Y851" i="11"/>
  <c r="Y852" i="11"/>
  <c r="Y853" i="11"/>
  <c r="Y854" i="11"/>
  <c r="Y855" i="11"/>
  <c r="Y856" i="11"/>
  <c r="Y857" i="11"/>
  <c r="Y858" i="11"/>
  <c r="Y859" i="11"/>
  <c r="Y860" i="11"/>
  <c r="Y861" i="11"/>
  <c r="Y862" i="11"/>
  <c r="Y863" i="11"/>
  <c r="Y864" i="11"/>
  <c r="Y865" i="11"/>
  <c r="Y866" i="11"/>
  <c r="Y867" i="11"/>
  <c r="Y868" i="11"/>
  <c r="Y869" i="11"/>
  <c r="Y870" i="11"/>
  <c r="Y871" i="11"/>
  <c r="Y872" i="11"/>
  <c r="Y873" i="11"/>
  <c r="Y874" i="11"/>
  <c r="Y875" i="11"/>
  <c r="Y876" i="11"/>
  <c r="Y877" i="11"/>
  <c r="Y878" i="11"/>
  <c r="Y879" i="11"/>
  <c r="Y880" i="11"/>
  <c r="Y881" i="11"/>
  <c r="Y882" i="11"/>
  <c r="Y883" i="11"/>
  <c r="Y884" i="11"/>
  <c r="Y885" i="11"/>
  <c r="Y886" i="11"/>
  <c r="Y887" i="11"/>
  <c r="Y888" i="11"/>
  <c r="Y889" i="11"/>
  <c r="Y890" i="11"/>
  <c r="Y891" i="11"/>
  <c r="Y892" i="11"/>
  <c r="Y893" i="11"/>
  <c r="Y894" i="11"/>
  <c r="Y895" i="11"/>
  <c r="Y896" i="11"/>
  <c r="Y897" i="11"/>
  <c r="Y898" i="11"/>
  <c r="Y899" i="11"/>
  <c r="Y900" i="11"/>
  <c r="Y901" i="11"/>
  <c r="Y902" i="11"/>
  <c r="Y903" i="11"/>
  <c r="Y904" i="11"/>
  <c r="Y905" i="11"/>
  <c r="Y906" i="11"/>
  <c r="Y907" i="11"/>
  <c r="Y908" i="11"/>
  <c r="Y909" i="11"/>
  <c r="Y910" i="11"/>
  <c r="Y911" i="11"/>
  <c r="Y912" i="11"/>
  <c r="Y913" i="11"/>
  <c r="Y914" i="11"/>
  <c r="Y915" i="11"/>
  <c r="Y916" i="11"/>
  <c r="Y917" i="11"/>
  <c r="Y918" i="11"/>
  <c r="Y919" i="11"/>
  <c r="Y920" i="11"/>
  <c r="Y921" i="11"/>
  <c r="Y922" i="11"/>
  <c r="Y923" i="11"/>
  <c r="Y924" i="11"/>
  <c r="Y925" i="11"/>
  <c r="Y926" i="11"/>
  <c r="Y927" i="11"/>
  <c r="Y928" i="11"/>
  <c r="Y929" i="11"/>
  <c r="Y930" i="11"/>
  <c r="Y931" i="11"/>
  <c r="Y932" i="11"/>
  <c r="Y933" i="11"/>
  <c r="Y934" i="11"/>
  <c r="Y935" i="11"/>
  <c r="Y936" i="11"/>
  <c r="Y937" i="11"/>
  <c r="Y938" i="11"/>
  <c r="Y939" i="11"/>
  <c r="Y940" i="11"/>
  <c r="Y941" i="11"/>
  <c r="Y942" i="11"/>
  <c r="Y943" i="11"/>
  <c r="Y944" i="11"/>
  <c r="Y945" i="11"/>
  <c r="Y946" i="11"/>
  <c r="Y947" i="11"/>
  <c r="Y948" i="11"/>
  <c r="Y949" i="11"/>
  <c r="Y950" i="11"/>
  <c r="Y951" i="11"/>
  <c r="Y952" i="11"/>
  <c r="Y953" i="11"/>
  <c r="Y954" i="11"/>
  <c r="Y955" i="11"/>
  <c r="Y956" i="11"/>
  <c r="Y957" i="11"/>
  <c r="Y958" i="11"/>
  <c r="Y959" i="11"/>
  <c r="Y960" i="11"/>
  <c r="Y961" i="11"/>
  <c r="Y962" i="11"/>
  <c r="Y963" i="11"/>
  <c r="Y964" i="11"/>
  <c r="Y965" i="11"/>
  <c r="Y966" i="11"/>
  <c r="Y967" i="11"/>
  <c r="Y968" i="11"/>
  <c r="Y969" i="11"/>
  <c r="Y970" i="11"/>
  <c r="Y971" i="11"/>
  <c r="Y972" i="11"/>
  <c r="Y973" i="11"/>
  <c r="Y974" i="11"/>
  <c r="Y975" i="11"/>
  <c r="Y976" i="11"/>
  <c r="Y977" i="11"/>
  <c r="Y978" i="11"/>
  <c r="Y979" i="11"/>
  <c r="Y980" i="11"/>
  <c r="Y981" i="11"/>
  <c r="Y982" i="11"/>
  <c r="Y983" i="11"/>
  <c r="Y984" i="11"/>
  <c r="Y985" i="11"/>
  <c r="Y986" i="11"/>
  <c r="Y987" i="11"/>
  <c r="Y988" i="11"/>
  <c r="Y989" i="11"/>
  <c r="Y990" i="11"/>
  <c r="Y991" i="11"/>
  <c r="Y992" i="11"/>
  <c r="Y993" i="11"/>
  <c r="Y994" i="11"/>
  <c r="Y995" i="11"/>
  <c r="Y996" i="11"/>
  <c r="Y997" i="11"/>
  <c r="Y998" i="11"/>
  <c r="Y999" i="11"/>
  <c r="Y1000" i="11"/>
  <c r="Y1001" i="11"/>
  <c r="Y1002" i="11"/>
  <c r="Y1003" i="11"/>
  <c r="Y1004" i="11"/>
  <c r="Y1005" i="11"/>
  <c r="Y1006" i="11"/>
  <c r="Y1007" i="11"/>
  <c r="Y1008" i="11"/>
  <c r="Y1009" i="11"/>
  <c r="Y1010" i="11"/>
  <c r="Y1011" i="11"/>
  <c r="Y1012" i="11"/>
  <c r="Y1013" i="11"/>
  <c r="Y1014" i="11"/>
  <c r="Y1015" i="11"/>
  <c r="Y1016" i="11"/>
  <c r="Y1017" i="11"/>
  <c r="Y1018" i="11"/>
  <c r="Y1019" i="11"/>
  <c r="Y1020" i="11"/>
  <c r="Y1021" i="11"/>
  <c r="Y1022" i="11"/>
  <c r="Y1023" i="11"/>
  <c r="Y1024" i="11"/>
  <c r="Y1025" i="11"/>
  <c r="Y1026" i="11"/>
  <c r="Y1027" i="11"/>
  <c r="Y1028" i="11"/>
  <c r="Y1029" i="11"/>
  <c r="Y1030" i="11"/>
  <c r="Y1031" i="11"/>
  <c r="Y1032" i="11"/>
  <c r="Y1033" i="11"/>
  <c r="Y1034" i="11"/>
  <c r="Y1035" i="11"/>
  <c r="Y1036" i="11"/>
  <c r="Y1037" i="11"/>
  <c r="Y1038" i="11"/>
  <c r="Y1039" i="11"/>
  <c r="Y1040" i="11"/>
  <c r="Y1041" i="11"/>
  <c r="Y1042" i="11"/>
  <c r="Y1043" i="11"/>
  <c r="Y1044" i="11"/>
  <c r="Y1045" i="11"/>
  <c r="Y1046" i="11"/>
  <c r="Y1047" i="11"/>
  <c r="Y1048" i="11"/>
  <c r="Y1049" i="11"/>
  <c r="Y1050" i="11"/>
  <c r="Y1051" i="11"/>
  <c r="Y1052" i="11"/>
  <c r="Y1053" i="11"/>
  <c r="Y1054" i="11"/>
  <c r="Y1055" i="11"/>
  <c r="Y1056" i="11"/>
  <c r="Y1057" i="11"/>
  <c r="Y1058" i="11"/>
  <c r="Y1059" i="11"/>
  <c r="Y1060" i="11"/>
  <c r="Y1061" i="11"/>
  <c r="Y1062" i="11"/>
  <c r="Y1063" i="11"/>
  <c r="Y1064" i="11"/>
  <c r="Y1065" i="11"/>
  <c r="Y1066" i="11"/>
  <c r="Y1067" i="11"/>
  <c r="Y1068" i="11"/>
  <c r="Y1069" i="11"/>
  <c r="Y1070" i="11"/>
  <c r="Y1071" i="11"/>
  <c r="Y1072" i="11"/>
  <c r="Y1073" i="11"/>
  <c r="Y1074" i="11"/>
  <c r="Y1075" i="11"/>
  <c r="Y1076" i="11"/>
  <c r="Y1077" i="11"/>
  <c r="Y1078" i="11"/>
  <c r="Y1079" i="11"/>
  <c r="Y1080" i="11"/>
  <c r="Y1081" i="11"/>
  <c r="Y1082" i="11"/>
  <c r="Y1083" i="11"/>
  <c r="Y1084" i="11"/>
  <c r="Y1085" i="11"/>
  <c r="Y1086" i="11"/>
  <c r="Y1087" i="11"/>
  <c r="Y1088" i="11"/>
  <c r="Y1089" i="11"/>
  <c r="Y1090" i="11"/>
  <c r="Y1091" i="11"/>
  <c r="Y1092" i="11"/>
  <c r="Y1093" i="11"/>
  <c r="Y1094" i="11"/>
  <c r="Y1095" i="11"/>
  <c r="Y1096" i="11"/>
  <c r="Y1097" i="11"/>
  <c r="Y1098" i="11"/>
  <c r="Y1099" i="11"/>
  <c r="Y1100" i="11"/>
  <c r="Y1101" i="11"/>
  <c r="Y1102" i="11"/>
  <c r="Y1103" i="11"/>
  <c r="Y1104" i="11"/>
  <c r="Y1105" i="11"/>
  <c r="Y1106" i="11"/>
  <c r="Y1107" i="11"/>
  <c r="Y1108" i="11"/>
  <c r="Y1109" i="11"/>
  <c r="Y1110" i="11"/>
  <c r="Y1111" i="11"/>
  <c r="Y1112" i="11"/>
  <c r="Y1113" i="11"/>
  <c r="Y1114" i="11"/>
  <c r="Y1115" i="11"/>
  <c r="Y1116" i="11"/>
  <c r="Y1117" i="11"/>
  <c r="Y1118" i="11"/>
  <c r="Y1119" i="11"/>
  <c r="Y1120" i="11"/>
  <c r="Y1121" i="11"/>
  <c r="Y1122" i="11"/>
  <c r="Y1123" i="11"/>
  <c r="Y1124" i="11"/>
  <c r="Y1125" i="11"/>
  <c r="Y1126" i="11"/>
  <c r="Y1127" i="11"/>
  <c r="Y1128" i="11"/>
  <c r="Y1129" i="11"/>
  <c r="Y1130" i="11"/>
  <c r="Y1131" i="11"/>
  <c r="Y1132" i="11"/>
  <c r="Y1133" i="11"/>
  <c r="Y1134" i="11"/>
  <c r="Y1135" i="11"/>
  <c r="Y1136" i="11"/>
  <c r="Y1137" i="11"/>
  <c r="Y1138" i="11"/>
  <c r="Y1139" i="11"/>
  <c r="Y1140" i="11"/>
  <c r="Y1141" i="11"/>
  <c r="Y1142" i="11"/>
  <c r="Y1143" i="11"/>
  <c r="Y1144" i="11"/>
  <c r="Y1145" i="11"/>
  <c r="Y1146" i="11"/>
  <c r="Y1147" i="11"/>
  <c r="Y1148" i="11"/>
  <c r="Y1149" i="11"/>
  <c r="Y1150" i="11"/>
  <c r="Y1151" i="11"/>
  <c r="Y1152" i="11"/>
  <c r="Y1153" i="11"/>
  <c r="Y1154" i="11"/>
  <c r="Y1155" i="11"/>
  <c r="Y1156" i="11"/>
  <c r="Y1157" i="11"/>
  <c r="Y1158" i="11"/>
  <c r="Y1159" i="11"/>
  <c r="Y1160" i="11"/>
  <c r="Y1161" i="11"/>
  <c r="Y1162" i="11"/>
  <c r="Y1163" i="11"/>
  <c r="Y1164" i="11"/>
  <c r="Y1165" i="11"/>
  <c r="Y1166" i="11"/>
  <c r="Y1167" i="11"/>
  <c r="Y1168" i="11"/>
  <c r="Y1169" i="11"/>
  <c r="Y1170" i="11"/>
  <c r="Y1171" i="11"/>
  <c r="Y1172" i="11"/>
  <c r="Y1173" i="11"/>
  <c r="Y1174" i="11"/>
  <c r="Y1175" i="11"/>
  <c r="Y1176" i="11"/>
  <c r="Y1177" i="11"/>
  <c r="Y1178" i="11"/>
  <c r="Y1179" i="11"/>
  <c r="Y1180" i="11"/>
  <c r="Y1181" i="11"/>
  <c r="Y1182" i="11"/>
  <c r="Y1183" i="11"/>
  <c r="Y1184" i="11"/>
  <c r="Y1185" i="11"/>
  <c r="Y1186" i="11"/>
  <c r="Y1187" i="11"/>
  <c r="Y1188" i="11"/>
  <c r="Y1189" i="11"/>
  <c r="Y1190" i="11"/>
  <c r="Y1191" i="11"/>
  <c r="Y1192" i="11"/>
  <c r="Y1193" i="11"/>
  <c r="Y1194" i="11"/>
  <c r="Y1195" i="11"/>
  <c r="Y1196" i="11"/>
  <c r="Y1197" i="11"/>
  <c r="Y1198" i="11"/>
  <c r="Y1199" i="11"/>
  <c r="Y1200" i="11"/>
  <c r="Y1201" i="11"/>
  <c r="Y1202" i="11"/>
  <c r="Y1203" i="11"/>
  <c r="Y1204" i="11"/>
  <c r="Y1205" i="11"/>
  <c r="Y1206" i="11"/>
  <c r="Y1207" i="11"/>
  <c r="Y1208" i="11"/>
  <c r="Y1209" i="11"/>
  <c r="Y1210" i="11"/>
  <c r="Y1211" i="11"/>
  <c r="Y1212" i="11"/>
  <c r="Y1213" i="11"/>
  <c r="Y1214" i="11"/>
  <c r="Y1215" i="11"/>
  <c r="Y1216" i="11"/>
  <c r="Y1217" i="11"/>
  <c r="Y1218" i="11"/>
  <c r="Y1219" i="11"/>
  <c r="Y1220" i="11"/>
  <c r="Y1221" i="11"/>
  <c r="Y1222" i="11"/>
  <c r="Y1223" i="11"/>
  <c r="Y1224" i="11"/>
  <c r="Y1225" i="11"/>
  <c r="Y1226" i="11"/>
  <c r="Y1227" i="11"/>
  <c r="Y1228" i="11"/>
  <c r="Y1229" i="11"/>
  <c r="Y1230" i="11"/>
  <c r="Y1231" i="11"/>
  <c r="Y1232" i="11"/>
  <c r="Y1233" i="11"/>
  <c r="Y1234" i="11"/>
  <c r="Y1235" i="11"/>
  <c r="Y1236" i="11"/>
  <c r="Y1237" i="11"/>
  <c r="Y1238" i="11"/>
  <c r="Y1239" i="11"/>
  <c r="Y1240" i="11"/>
  <c r="Y1241" i="11"/>
  <c r="Y1242" i="11"/>
  <c r="Y1243" i="11"/>
  <c r="Y1244" i="11"/>
  <c r="Y1245" i="11"/>
  <c r="Y1246" i="11"/>
  <c r="Y1247" i="11"/>
  <c r="Y1248" i="11"/>
  <c r="Y1249" i="11"/>
  <c r="Y1250" i="11"/>
  <c r="Y1251" i="11"/>
  <c r="Y1252" i="11"/>
  <c r="Y1253" i="11"/>
  <c r="Y1254" i="11"/>
  <c r="Y1255" i="11"/>
  <c r="Y1256" i="11"/>
  <c r="Y1257" i="11"/>
  <c r="Y1258" i="11"/>
  <c r="Y1259" i="11"/>
  <c r="Y1260" i="11"/>
  <c r="Y1261" i="11"/>
  <c r="Y1262" i="11"/>
  <c r="Y1263" i="11"/>
  <c r="Y1264" i="11"/>
  <c r="Y1265" i="11"/>
  <c r="Y1266" i="11"/>
  <c r="Y1267" i="11"/>
  <c r="Y1268" i="11"/>
  <c r="Y1269" i="11"/>
  <c r="Y1270" i="11"/>
  <c r="Y1271" i="11"/>
  <c r="Y1272" i="11"/>
  <c r="Y1273" i="11"/>
  <c r="Y1274" i="11"/>
  <c r="Y1275" i="11"/>
  <c r="Y1276" i="11"/>
  <c r="Y1277" i="11"/>
  <c r="Y1278" i="11"/>
  <c r="Y1279" i="11"/>
  <c r="Y1280" i="11"/>
  <c r="Y1281" i="11"/>
  <c r="Y1282" i="11"/>
  <c r="Y1283" i="11"/>
  <c r="Y1284" i="11"/>
  <c r="Y1285" i="11"/>
  <c r="Y1286" i="11"/>
  <c r="Y1287" i="11"/>
  <c r="Y1288" i="11"/>
  <c r="Y1289" i="11"/>
  <c r="Y1290" i="11"/>
  <c r="Y1291" i="11"/>
  <c r="Y1292" i="11"/>
  <c r="Y1293" i="11"/>
  <c r="Y1294" i="11"/>
  <c r="Y1295" i="11"/>
  <c r="Y1296" i="11"/>
  <c r="Y1297" i="11"/>
  <c r="Y1298" i="11"/>
  <c r="Y1299" i="11"/>
  <c r="Y1300" i="11"/>
  <c r="Y1301" i="11"/>
  <c r="Y1302" i="11"/>
  <c r="Y1303" i="11"/>
  <c r="Y1304" i="11"/>
  <c r="Y1305" i="11"/>
  <c r="Y1306" i="11"/>
  <c r="Y1307" i="11"/>
  <c r="Y1308" i="11"/>
  <c r="Y1309" i="11"/>
  <c r="Y1310" i="11"/>
  <c r="Y1311" i="11"/>
  <c r="Y1312" i="11"/>
  <c r="Y1313" i="11"/>
  <c r="Y1314" i="11"/>
  <c r="Y1315" i="11"/>
  <c r="Y1316" i="11"/>
  <c r="Y1317" i="11"/>
  <c r="Y1318" i="11"/>
  <c r="Y1319" i="11"/>
  <c r="Y1320" i="11"/>
  <c r="Y1321" i="11"/>
  <c r="Y1322" i="11"/>
  <c r="Y1323" i="11"/>
  <c r="Y1324" i="11"/>
  <c r="Y1325" i="11"/>
  <c r="Y1326" i="11"/>
  <c r="Y1327" i="11"/>
  <c r="Y1328" i="11"/>
  <c r="Y1329" i="11"/>
  <c r="Y1330" i="11"/>
  <c r="Y1331" i="11"/>
  <c r="Y1332" i="11"/>
  <c r="Y1333" i="11"/>
  <c r="Y1334" i="11"/>
  <c r="Y1335" i="11"/>
  <c r="Y1336" i="11"/>
  <c r="Y1337" i="11"/>
  <c r="Y1338" i="11"/>
  <c r="Y1339" i="11"/>
  <c r="Y1340" i="11"/>
  <c r="Y1341" i="11"/>
  <c r="Y1342" i="11"/>
  <c r="Y1343" i="11"/>
  <c r="Y1344" i="11"/>
  <c r="Y1345" i="11"/>
  <c r="Y1346" i="11"/>
  <c r="Y1347" i="11"/>
  <c r="Y1348" i="11"/>
  <c r="Y1349" i="11"/>
  <c r="Y1350" i="11"/>
  <c r="Y1351" i="11"/>
  <c r="Y1352" i="11"/>
  <c r="Y1353" i="11"/>
  <c r="Y1354" i="11"/>
  <c r="Y1355" i="11"/>
  <c r="Y1356" i="11"/>
  <c r="Y1357" i="11"/>
  <c r="Y1358" i="11"/>
  <c r="Y1359" i="11"/>
  <c r="Y1360" i="11"/>
  <c r="Y1361" i="11"/>
  <c r="Y1362" i="11"/>
  <c r="Y1363" i="11"/>
  <c r="Y1364" i="11"/>
  <c r="Y1365" i="11"/>
  <c r="Y1366" i="11"/>
  <c r="Y1367" i="11"/>
  <c r="Y1368" i="11"/>
  <c r="Y1369" i="11"/>
  <c r="Y1370" i="11"/>
  <c r="Y1371" i="11"/>
  <c r="Y1372" i="11"/>
  <c r="Y1373" i="11"/>
  <c r="Y1374" i="11"/>
  <c r="Y1375" i="11"/>
  <c r="Y1376" i="11"/>
  <c r="Y1377" i="11"/>
  <c r="Y1378" i="11"/>
  <c r="Y1379" i="11"/>
  <c r="Y1380" i="11"/>
  <c r="Y1381" i="11"/>
  <c r="Y1382" i="11"/>
  <c r="Y1383" i="11"/>
  <c r="Y1384" i="11"/>
  <c r="Y1385" i="11"/>
  <c r="Y1386" i="11"/>
  <c r="Y1387" i="11"/>
  <c r="Y1388" i="11"/>
  <c r="Y1389" i="11"/>
  <c r="Y1390" i="11"/>
  <c r="Y1391" i="11"/>
  <c r="Y1392" i="11"/>
  <c r="Y1393" i="11"/>
  <c r="Y1394" i="11"/>
  <c r="Y1395" i="11"/>
  <c r="Y1396" i="11"/>
  <c r="Y1397" i="11"/>
  <c r="Y1398" i="11"/>
  <c r="Y1399" i="11"/>
  <c r="Y1400" i="11"/>
  <c r="Y1401" i="11"/>
  <c r="Y1402" i="11"/>
  <c r="Y1403" i="11"/>
  <c r="Y1404" i="11"/>
  <c r="Y1405" i="11"/>
  <c r="Y1406" i="11"/>
  <c r="Y1407" i="11"/>
  <c r="Y1408" i="11"/>
  <c r="Y1409" i="11"/>
  <c r="Y1410" i="11"/>
  <c r="Y1411" i="11"/>
  <c r="Y1412" i="11"/>
  <c r="Y1413" i="11"/>
  <c r="Y1414" i="11"/>
  <c r="Y1415" i="11"/>
  <c r="Y1416" i="11"/>
  <c r="Y1417" i="11"/>
  <c r="Y1418" i="11"/>
  <c r="Y1419" i="11"/>
  <c r="Y1420" i="11"/>
  <c r="Y1421" i="11"/>
  <c r="Y1422" i="11"/>
  <c r="Y1423" i="11"/>
  <c r="Y1424" i="11"/>
  <c r="Y1425" i="11"/>
  <c r="Y1426" i="11"/>
  <c r="Y1427" i="11"/>
  <c r="Y1428" i="11"/>
  <c r="Y1429" i="11"/>
  <c r="Y1430" i="11"/>
  <c r="Y1431" i="11"/>
  <c r="Y1432" i="11"/>
  <c r="Y1433" i="11"/>
  <c r="Y1434" i="11"/>
  <c r="Y1435" i="11"/>
  <c r="Y1436" i="11"/>
  <c r="Y1437" i="11"/>
  <c r="Y1438" i="11"/>
  <c r="Y1439" i="11"/>
  <c r="Y1440" i="11"/>
  <c r="Y1441" i="11"/>
  <c r="Y1442" i="11"/>
  <c r="Y1443" i="11"/>
  <c r="Y1444" i="11"/>
  <c r="Y1445" i="11"/>
  <c r="Y1446" i="11"/>
  <c r="Y1447" i="11"/>
  <c r="Y1448" i="11"/>
  <c r="Y1449" i="11"/>
  <c r="Y1450" i="11"/>
  <c r="Y1451" i="11"/>
  <c r="Y1452" i="11"/>
  <c r="Y1453" i="11"/>
  <c r="Y1454" i="11"/>
  <c r="Y1455" i="11"/>
  <c r="Y1456" i="11"/>
  <c r="Y1457" i="11"/>
  <c r="Y1458" i="11"/>
  <c r="Y1459" i="11"/>
  <c r="Y1460" i="11"/>
  <c r="Y1461" i="11"/>
  <c r="Y1462" i="11"/>
  <c r="Y1463" i="11"/>
  <c r="Y1464" i="11"/>
  <c r="Y1465" i="11"/>
  <c r="Y1466" i="11"/>
  <c r="Y1467" i="11"/>
  <c r="Y1468" i="11"/>
  <c r="Y1469" i="11"/>
  <c r="Y1470" i="11"/>
  <c r="Y1471" i="11"/>
  <c r="Y1472" i="11"/>
  <c r="Y1473" i="11"/>
  <c r="Y1474" i="11"/>
  <c r="Y1475" i="11"/>
  <c r="Y1476" i="11"/>
  <c r="Y1477" i="11"/>
  <c r="Y1478" i="11"/>
  <c r="Y1479" i="11"/>
  <c r="Y1480" i="11"/>
  <c r="Y1481" i="11"/>
  <c r="Y1482" i="11"/>
  <c r="Y1483" i="11"/>
  <c r="Y1484" i="11"/>
  <c r="Y1485" i="11"/>
  <c r="Y1486" i="11"/>
  <c r="Y1487" i="11"/>
  <c r="Y1488" i="11"/>
  <c r="Y1489" i="11"/>
  <c r="Y1490" i="11"/>
  <c r="Y1491" i="11"/>
  <c r="Y1492" i="11"/>
  <c r="Y1493" i="11"/>
  <c r="Y1494" i="11"/>
  <c r="Y1495" i="11"/>
  <c r="Y1496" i="11"/>
  <c r="Y1497" i="11"/>
  <c r="Y1498" i="11"/>
  <c r="Y1499" i="11"/>
  <c r="Y1500" i="11"/>
  <c r="Y1501" i="11"/>
  <c r="Y1502" i="11"/>
  <c r="Y1503" i="11"/>
  <c r="Y1504" i="11"/>
  <c r="Y1505" i="11"/>
  <c r="Y1506" i="11"/>
  <c r="Y1507" i="11"/>
  <c r="Y1508" i="11"/>
  <c r="Y1509" i="11"/>
  <c r="Y1510" i="11"/>
  <c r="Y1511" i="11"/>
  <c r="Y1512" i="11"/>
  <c r="Y1513" i="11"/>
  <c r="Y1514" i="11"/>
  <c r="Y1515" i="11"/>
  <c r="Y1516" i="11"/>
  <c r="Y1517" i="11"/>
  <c r="Y1518" i="11"/>
  <c r="Y1519" i="11"/>
  <c r="Y1520" i="11"/>
  <c r="Y1521" i="11"/>
  <c r="Y1522" i="11"/>
  <c r="Y1523" i="11"/>
  <c r="Y1524" i="11"/>
  <c r="Y1525" i="11"/>
  <c r="Y1526" i="11"/>
  <c r="Y1527" i="11"/>
  <c r="Y1528" i="11"/>
  <c r="Y1529" i="11"/>
  <c r="Y1530" i="11"/>
  <c r="Y1531" i="11"/>
  <c r="Y1532" i="11"/>
  <c r="Y1533" i="11"/>
  <c r="Y1534" i="11"/>
  <c r="Y1535" i="11"/>
  <c r="Y1536" i="11"/>
  <c r="Y1537" i="11"/>
  <c r="Y1538" i="11"/>
  <c r="Y1539" i="11"/>
  <c r="Y1540" i="11"/>
  <c r="Y1541" i="11"/>
  <c r="Y1542" i="11"/>
  <c r="Y1543" i="11"/>
  <c r="Y1544" i="11"/>
  <c r="Y1545" i="11"/>
  <c r="Y1546" i="11"/>
  <c r="Y1547" i="11"/>
  <c r="Y1548" i="11"/>
  <c r="Y1549" i="11"/>
  <c r="Y1550" i="11"/>
  <c r="Y1551" i="11"/>
  <c r="Y1552" i="11"/>
  <c r="Y1553" i="11"/>
  <c r="Y1554" i="11"/>
  <c r="Y1555" i="11"/>
  <c r="Y1556" i="11"/>
  <c r="Y1557" i="11"/>
  <c r="Y1558" i="11"/>
  <c r="Y1559" i="11"/>
  <c r="Y1560" i="11"/>
  <c r="Y1561" i="11"/>
  <c r="Y1562" i="11"/>
  <c r="Y1563" i="11"/>
  <c r="Y1564" i="11"/>
  <c r="Y1565" i="11"/>
  <c r="Y1566" i="11"/>
  <c r="Y1567" i="11"/>
  <c r="Y1568" i="11"/>
  <c r="Y1569" i="11"/>
  <c r="Y1570" i="11"/>
  <c r="Y1571" i="11"/>
  <c r="Y1572" i="11"/>
  <c r="Y1573" i="11"/>
  <c r="Y1574" i="11"/>
  <c r="Y1575" i="11"/>
  <c r="Y1576" i="11"/>
  <c r="Y1577" i="11"/>
  <c r="Y1578" i="11"/>
  <c r="Y1579" i="11"/>
  <c r="Y1580" i="11"/>
  <c r="Y1581" i="11"/>
  <c r="Y1582" i="11"/>
  <c r="Y1583" i="11"/>
  <c r="Y1584" i="11"/>
  <c r="Y1585" i="11"/>
  <c r="Y1586" i="11"/>
  <c r="Y1587" i="11"/>
  <c r="Y1588" i="11"/>
  <c r="Y1589" i="11"/>
  <c r="Y1590" i="11"/>
  <c r="Y1591" i="11"/>
  <c r="Y1592" i="11"/>
  <c r="Y1593" i="11"/>
  <c r="Y1594" i="11"/>
  <c r="Y1595" i="11"/>
  <c r="Y1596" i="11"/>
  <c r="Y1597" i="11"/>
  <c r="Y1598" i="11"/>
  <c r="Y1599" i="11"/>
  <c r="Y1600" i="11"/>
  <c r="Y1601" i="11"/>
  <c r="Y1602" i="11"/>
  <c r="Y1603" i="11"/>
  <c r="Y1604" i="11"/>
  <c r="Y1605" i="11"/>
  <c r="Y1606" i="11"/>
  <c r="Y1607" i="11"/>
  <c r="Y1608" i="11"/>
  <c r="Y1609" i="11"/>
  <c r="Y1610" i="11"/>
  <c r="Y1611" i="11"/>
  <c r="Y1612" i="11"/>
  <c r="Y1613" i="11"/>
  <c r="Y1614" i="11"/>
  <c r="Y1615" i="11"/>
  <c r="Y1616" i="11"/>
  <c r="Y1617" i="11"/>
  <c r="Y1618" i="11"/>
  <c r="Y1619" i="11"/>
  <c r="Y1620" i="11"/>
  <c r="Y1621" i="11"/>
  <c r="Y1622" i="11"/>
  <c r="Y1623" i="11"/>
  <c r="Y1624" i="11"/>
  <c r="Y1625" i="11"/>
  <c r="Y1626" i="11"/>
  <c r="Y1627" i="11"/>
  <c r="Y1628" i="11"/>
  <c r="Y1629" i="11"/>
  <c r="Y1630" i="11"/>
  <c r="Y1631" i="11"/>
  <c r="Y1632" i="11"/>
  <c r="Y1633" i="11"/>
  <c r="Y1634" i="11"/>
  <c r="Y1635" i="11"/>
  <c r="Y1636" i="11"/>
  <c r="Y1637" i="11"/>
  <c r="Y1638" i="11"/>
  <c r="Y1639" i="11"/>
  <c r="Y1640" i="11"/>
  <c r="Y1641" i="11"/>
  <c r="Y1642" i="11"/>
  <c r="Y1643" i="11"/>
  <c r="Y1644" i="11"/>
  <c r="Y1645" i="11"/>
  <c r="Y1646" i="11"/>
  <c r="Y1647" i="11"/>
  <c r="Y1648" i="11"/>
  <c r="Y1649" i="11"/>
  <c r="Y1650" i="11"/>
  <c r="Y1651" i="11"/>
  <c r="Y1652" i="11"/>
  <c r="Y1653" i="11"/>
  <c r="Y1654" i="11"/>
  <c r="Y1655" i="11"/>
  <c r="Y1656" i="11"/>
  <c r="Y1657" i="11"/>
  <c r="Y1658" i="11"/>
  <c r="Y1659" i="11"/>
  <c r="Y1660" i="11"/>
  <c r="Y1661" i="11"/>
  <c r="Y1662" i="11"/>
  <c r="Y1663" i="11"/>
  <c r="Y1664" i="11"/>
  <c r="Y1665" i="11"/>
  <c r="Y1666" i="11"/>
  <c r="Y1667" i="11"/>
  <c r="Y1668" i="11"/>
  <c r="Y1669" i="11"/>
  <c r="Y1670" i="11"/>
  <c r="Y1671" i="11"/>
  <c r="Y1672" i="11"/>
  <c r="Y1673" i="11"/>
  <c r="Y1674" i="11"/>
  <c r="Y1675" i="11"/>
  <c r="Y1676" i="11"/>
  <c r="Y1677" i="11"/>
  <c r="Y1678" i="11"/>
  <c r="Y1679" i="11"/>
  <c r="Y1680" i="11"/>
  <c r="Y1681" i="11"/>
  <c r="Y1682" i="11"/>
  <c r="Y1683" i="11"/>
  <c r="Y1684" i="11"/>
  <c r="Y1685" i="11"/>
  <c r="Y1686" i="11"/>
  <c r="Y1687" i="11"/>
  <c r="Y1688" i="11"/>
  <c r="Y1689" i="11"/>
  <c r="Y1690" i="11"/>
  <c r="Y1691" i="11"/>
  <c r="Y1692" i="11"/>
  <c r="Y1693" i="11"/>
  <c r="Y1694" i="11"/>
  <c r="Y1695" i="11"/>
  <c r="Y1696" i="11"/>
  <c r="Y1697" i="11"/>
  <c r="Y1698" i="11"/>
  <c r="Y1699" i="11"/>
  <c r="Y1700" i="11"/>
  <c r="Y1701" i="11"/>
  <c r="Y1702" i="11"/>
  <c r="Y1703" i="11"/>
  <c r="Y1704" i="11"/>
  <c r="Y1705" i="11"/>
  <c r="Y1706" i="11"/>
  <c r="Y1707" i="11"/>
  <c r="Y1708" i="11"/>
  <c r="Y1709" i="11"/>
  <c r="Y1710" i="11"/>
  <c r="Y1711" i="11"/>
  <c r="Y1712" i="11"/>
  <c r="Y1713" i="11"/>
  <c r="Y1714" i="11"/>
  <c r="Y1715" i="11"/>
  <c r="Y1716" i="11"/>
  <c r="Y1717" i="11"/>
  <c r="Y1718" i="11"/>
  <c r="Y1719" i="11"/>
  <c r="Y1720" i="11"/>
  <c r="Y1721" i="11"/>
  <c r="Y1722" i="11"/>
  <c r="Y1723" i="11"/>
  <c r="Y1724" i="11"/>
  <c r="Y1725" i="11"/>
  <c r="Y1726" i="11"/>
  <c r="Y1727" i="11"/>
  <c r="Y1728" i="11"/>
  <c r="Y1729" i="11"/>
  <c r="Y1730" i="11"/>
  <c r="Y1731" i="11"/>
  <c r="Y1732" i="11"/>
  <c r="Y1733" i="11"/>
  <c r="Y1734" i="11"/>
  <c r="Y1735" i="11"/>
  <c r="Y1736" i="11"/>
  <c r="Y1737" i="11"/>
  <c r="Y1738" i="11"/>
  <c r="Y1739" i="11"/>
  <c r="Y1740" i="11"/>
  <c r="Y1741" i="11"/>
  <c r="Y1742" i="11"/>
  <c r="Y1743" i="11"/>
  <c r="Y1744" i="11"/>
  <c r="Y1745" i="11"/>
  <c r="Y1746" i="11"/>
  <c r="Y1747" i="11"/>
  <c r="Y1748" i="11"/>
  <c r="Y1749" i="11"/>
  <c r="Y1750" i="11"/>
  <c r="Y1751" i="11"/>
  <c r="Y1752" i="11"/>
  <c r="Y1753" i="11"/>
  <c r="Y1754" i="11"/>
  <c r="Y1755" i="11"/>
  <c r="Y1756" i="11"/>
  <c r="Y1757" i="11"/>
  <c r="Y1758" i="11"/>
  <c r="Y1759" i="11"/>
  <c r="Y1760" i="11"/>
  <c r="Y1761" i="11"/>
  <c r="Y1762" i="11"/>
  <c r="Y1763" i="11"/>
  <c r="Y1764" i="11"/>
  <c r="Y1765" i="11"/>
  <c r="Y1766" i="11"/>
  <c r="Y1767" i="11"/>
  <c r="Y1768" i="11"/>
  <c r="Y1769" i="11"/>
  <c r="Y1770" i="11"/>
  <c r="Y1771" i="11"/>
  <c r="Y1772" i="11"/>
  <c r="Y1773" i="11"/>
  <c r="Y1774" i="11"/>
  <c r="Y1775" i="11"/>
  <c r="Y1776" i="11"/>
  <c r="Y1777" i="11"/>
  <c r="Y1778" i="11"/>
  <c r="Y1779" i="11"/>
  <c r="Y1780" i="11"/>
  <c r="Y1781" i="11"/>
  <c r="Y1782" i="11"/>
  <c r="Y1783" i="11"/>
  <c r="Y1784" i="11"/>
  <c r="Y1785" i="11"/>
  <c r="Y1786" i="11"/>
  <c r="Y1787" i="11"/>
  <c r="Y1788" i="11"/>
  <c r="Y1789" i="11"/>
  <c r="Y1790" i="11"/>
  <c r="Y1791" i="11"/>
  <c r="Y1792" i="11"/>
  <c r="Y1793" i="11"/>
  <c r="Y1794" i="11"/>
  <c r="Y1795" i="11"/>
  <c r="Y1796" i="11"/>
  <c r="Y1797" i="11"/>
  <c r="Y1798" i="11"/>
  <c r="Y1799" i="11"/>
  <c r="Y1800" i="11"/>
  <c r="Y1801" i="11"/>
  <c r="Y1802" i="11"/>
  <c r="Y1803" i="11"/>
  <c r="Y1804" i="11"/>
  <c r="Y1805" i="11"/>
  <c r="Y1806" i="11"/>
  <c r="Y1807" i="11"/>
  <c r="Y1808" i="11"/>
  <c r="Y1809" i="11"/>
  <c r="Y1810" i="11"/>
  <c r="Y1811" i="11"/>
  <c r="Y1812" i="11"/>
  <c r="Y1813" i="11"/>
  <c r="Y1814" i="11"/>
  <c r="Y1815" i="11"/>
  <c r="Y1816" i="11"/>
  <c r="Y1817" i="11"/>
  <c r="Y1818" i="11"/>
  <c r="Y1819" i="11"/>
  <c r="Y1820" i="11"/>
  <c r="Y1821" i="11"/>
  <c r="Y1822" i="11"/>
  <c r="Y1823" i="11"/>
  <c r="Y1824" i="11"/>
  <c r="Y1825" i="11"/>
  <c r="Y1826" i="11"/>
  <c r="Y1827" i="11"/>
  <c r="Y1828" i="11"/>
  <c r="Y1829" i="11"/>
  <c r="Y1830" i="11"/>
  <c r="Y1831" i="11"/>
  <c r="Y1832" i="11"/>
  <c r="Y1833" i="11"/>
  <c r="Y1834" i="11"/>
  <c r="Y1835" i="11"/>
  <c r="Y1836" i="11"/>
  <c r="Y1837" i="11"/>
  <c r="Y1838" i="11"/>
  <c r="Y1839" i="11"/>
  <c r="Y1840" i="11"/>
  <c r="Y1841" i="11"/>
  <c r="Y1842" i="11"/>
  <c r="Y1843" i="11"/>
  <c r="Y1844" i="11"/>
  <c r="Y1845" i="11"/>
  <c r="Y1846" i="11"/>
  <c r="Y1847" i="11"/>
  <c r="Y1848" i="11"/>
  <c r="Y1849" i="11"/>
  <c r="Y1850" i="11"/>
  <c r="Y1851" i="11"/>
  <c r="Y1852" i="11"/>
  <c r="Y1853" i="11"/>
  <c r="Y1854" i="11"/>
  <c r="Y1855" i="11"/>
  <c r="Y1856" i="11"/>
  <c r="Y1857" i="11"/>
  <c r="Y1858" i="11"/>
  <c r="Y1859" i="11"/>
  <c r="Y1860" i="11"/>
  <c r="Y1861" i="11"/>
  <c r="Y1862" i="11"/>
  <c r="Y1863" i="11"/>
  <c r="Y1864" i="11"/>
  <c r="Y1865" i="11"/>
  <c r="Y1866" i="11"/>
  <c r="Y1867" i="11"/>
  <c r="Y1868" i="11"/>
  <c r="Y1869" i="11"/>
  <c r="Y1870" i="11"/>
  <c r="Y1871" i="11"/>
  <c r="Y1872" i="11"/>
  <c r="Y1873" i="11"/>
  <c r="Y1874" i="11"/>
  <c r="Y1875" i="11"/>
  <c r="Y1876" i="11"/>
  <c r="Y1877" i="11"/>
  <c r="Y1878" i="11"/>
  <c r="Y1879" i="11"/>
  <c r="Y1880" i="11"/>
  <c r="Y1881" i="11"/>
  <c r="Y1882" i="11"/>
  <c r="Y1883" i="11"/>
  <c r="Y1884" i="11"/>
  <c r="Y1885" i="11"/>
  <c r="Y1886" i="11"/>
  <c r="Y1887" i="11"/>
  <c r="Y1888" i="11"/>
  <c r="Y1889" i="11"/>
  <c r="Y1890" i="11"/>
  <c r="Y1891" i="11"/>
  <c r="Y1892" i="11"/>
  <c r="Y1893" i="11"/>
  <c r="Y1894" i="11"/>
  <c r="Y1895" i="11"/>
  <c r="Y1896" i="11"/>
  <c r="Y1897" i="11"/>
  <c r="Y1898" i="11"/>
  <c r="Y1899" i="11"/>
  <c r="Y1900" i="11"/>
  <c r="Y1901" i="11"/>
  <c r="Y1902" i="11"/>
  <c r="Y1903" i="11"/>
  <c r="Y1904" i="11"/>
  <c r="Y1905" i="11"/>
  <c r="Y1906" i="11"/>
  <c r="Y1907" i="11"/>
  <c r="Y1908" i="11"/>
  <c r="Y1909" i="11"/>
  <c r="Y1910" i="11"/>
  <c r="Y1911" i="11"/>
  <c r="Y1912" i="11"/>
  <c r="Y1913" i="11"/>
  <c r="Y1914" i="11"/>
  <c r="Y1915" i="11"/>
  <c r="Y1916" i="11"/>
  <c r="Y1917" i="11"/>
  <c r="Y1918" i="11"/>
  <c r="Y1919" i="11"/>
  <c r="Y1920" i="11"/>
  <c r="Y1921" i="11"/>
  <c r="Y1922" i="11"/>
  <c r="Y1923" i="11"/>
  <c r="Y1924" i="11"/>
  <c r="Y1925" i="11"/>
  <c r="Y1926" i="11"/>
  <c r="Y1927" i="11"/>
  <c r="Y1928" i="11"/>
  <c r="Y1929" i="11"/>
  <c r="Y1930" i="11"/>
  <c r="Y1931" i="11"/>
  <c r="Y1932" i="11"/>
  <c r="Y1933" i="11"/>
  <c r="Y1934" i="11"/>
  <c r="Y1935" i="11"/>
  <c r="Y1936" i="11"/>
  <c r="Y1937" i="11"/>
  <c r="Y1938" i="11"/>
  <c r="Y1939" i="11"/>
  <c r="Y1940" i="11"/>
  <c r="Y1941" i="11"/>
  <c r="Y1942" i="11"/>
  <c r="Y1943" i="11"/>
  <c r="Y1944" i="11"/>
  <c r="Y1945" i="11"/>
  <c r="Y1946" i="11"/>
  <c r="Y1947" i="11"/>
  <c r="Y1948" i="11"/>
  <c r="Y1949" i="11"/>
  <c r="Y1950" i="11"/>
  <c r="Y1951" i="11"/>
  <c r="Y1952" i="11"/>
  <c r="Y1953" i="11"/>
  <c r="Y1954" i="11"/>
  <c r="Y1955" i="11"/>
  <c r="Y1956" i="11"/>
  <c r="Y1957" i="11"/>
  <c r="Y1958" i="11"/>
  <c r="Y1959" i="11"/>
  <c r="Y1960" i="11"/>
  <c r="Y1961" i="11"/>
  <c r="Y1962" i="11"/>
  <c r="Y1963" i="11"/>
  <c r="Y1964" i="11"/>
  <c r="Y1965" i="11"/>
  <c r="Y1966" i="11"/>
  <c r="Y1967" i="11"/>
  <c r="Y1968" i="11"/>
  <c r="Y1969" i="11"/>
  <c r="Y1970" i="11"/>
  <c r="Y1971" i="11"/>
  <c r="Y1972" i="11"/>
  <c r="Y1973" i="11"/>
  <c r="Y1974" i="11"/>
  <c r="Y1975" i="11"/>
  <c r="Y1976" i="11"/>
  <c r="Y1977" i="11"/>
  <c r="Y1978" i="11"/>
  <c r="Y1979" i="11"/>
  <c r="Y1980" i="11"/>
  <c r="Y1981" i="11"/>
  <c r="Y1982" i="11"/>
  <c r="Y1983" i="11"/>
  <c r="Y1984" i="11"/>
  <c r="Y1985" i="11"/>
  <c r="Y1986" i="11"/>
  <c r="Y1987" i="11"/>
  <c r="Y1988" i="11"/>
  <c r="Y1989" i="11"/>
  <c r="Y1990" i="11"/>
  <c r="Y1991" i="11"/>
  <c r="Y1992" i="11"/>
  <c r="Y1993" i="11"/>
  <c r="Y1994" i="11"/>
  <c r="Y1995" i="11"/>
  <c r="Y1996" i="11"/>
  <c r="Y1997" i="11"/>
  <c r="Y1998" i="11"/>
  <c r="Y1999" i="11"/>
  <c r="Y2000" i="11"/>
  <c r="Y2001" i="11"/>
  <c r="Y2002" i="11"/>
  <c r="Y2003" i="11"/>
  <c r="Y2004" i="11"/>
  <c r="Y2005" i="11"/>
  <c r="Y15" i="11"/>
  <c r="Y16" i="11"/>
  <c r="Y17" i="11"/>
  <c r="Y18" i="11"/>
  <c r="Y19" i="11"/>
  <c r="Y20" i="11"/>
  <c r="Y21" i="11"/>
  <c r="R31" i="11"/>
  <c r="S31" i="11"/>
  <c r="AA31" i="11"/>
  <c r="P31" i="11" s="1"/>
  <c r="R32" i="11"/>
  <c r="S32" i="11"/>
  <c r="Z32" i="11"/>
  <c r="AA32" i="11"/>
  <c r="R33" i="11"/>
  <c r="S33" i="11"/>
  <c r="Z33" i="11"/>
  <c r="AA33" i="11"/>
  <c r="R34" i="11"/>
  <c r="S34" i="11"/>
  <c r="Z34" i="11"/>
  <c r="AA34" i="11"/>
  <c r="R35" i="11"/>
  <c r="S35" i="11"/>
  <c r="Z35" i="11"/>
  <c r="AA35" i="11"/>
  <c r="R36" i="11"/>
  <c r="S36" i="11"/>
  <c r="Z36" i="11"/>
  <c r="AA36" i="11"/>
  <c r="R37" i="11"/>
  <c r="S37" i="11"/>
  <c r="Z37" i="11"/>
  <c r="AA37" i="11"/>
  <c r="R38" i="11"/>
  <c r="S38" i="11"/>
  <c r="Z38" i="11"/>
  <c r="AA38" i="11"/>
  <c r="R39" i="11"/>
  <c r="S39" i="11"/>
  <c r="Z39" i="11"/>
  <c r="AA39" i="11"/>
  <c r="R40" i="11"/>
  <c r="S40" i="11"/>
  <c r="Z40" i="11"/>
  <c r="AA40" i="11"/>
  <c r="R41" i="11"/>
  <c r="S41" i="11"/>
  <c r="Z41" i="11"/>
  <c r="AA41" i="11"/>
  <c r="R42" i="11"/>
  <c r="S42" i="11"/>
  <c r="Z42" i="11"/>
  <c r="AA42" i="11"/>
  <c r="R43" i="11"/>
  <c r="S43" i="11"/>
  <c r="Z43" i="11"/>
  <c r="AA43" i="11"/>
  <c r="R44" i="11"/>
  <c r="S44" i="11"/>
  <c r="Z44" i="11"/>
  <c r="AA44" i="11"/>
  <c r="R45" i="11"/>
  <c r="S45" i="11"/>
  <c r="Z45" i="11"/>
  <c r="AA45" i="11"/>
  <c r="R46" i="11"/>
  <c r="S46" i="11"/>
  <c r="Z46" i="11"/>
  <c r="AA46" i="11"/>
  <c r="R47" i="11"/>
  <c r="S47" i="11"/>
  <c r="Z47" i="11"/>
  <c r="AA47" i="11"/>
  <c r="R48" i="11"/>
  <c r="S48" i="11"/>
  <c r="Z48" i="11"/>
  <c r="AA48" i="11"/>
  <c r="R49" i="11"/>
  <c r="S49" i="11"/>
  <c r="Z49" i="11"/>
  <c r="AA49" i="11"/>
  <c r="R50" i="11"/>
  <c r="S50" i="11"/>
  <c r="Z50" i="11"/>
  <c r="AA50" i="11"/>
  <c r="R51" i="11"/>
  <c r="S51" i="11"/>
  <c r="Z51" i="11"/>
  <c r="AA51" i="11"/>
  <c r="R52" i="11"/>
  <c r="S52" i="11"/>
  <c r="Z52" i="11"/>
  <c r="AA52" i="11"/>
  <c r="R53" i="11"/>
  <c r="S53" i="11"/>
  <c r="Z53" i="11"/>
  <c r="AA53" i="11"/>
  <c r="R54" i="11"/>
  <c r="S54" i="11"/>
  <c r="Z54" i="11"/>
  <c r="AA54" i="11"/>
  <c r="R55" i="11"/>
  <c r="S55" i="11"/>
  <c r="Z55" i="11"/>
  <c r="AA55" i="11"/>
  <c r="R56" i="11"/>
  <c r="S56" i="11"/>
  <c r="Z56" i="11"/>
  <c r="AA56" i="11"/>
  <c r="R57" i="11"/>
  <c r="S57" i="11"/>
  <c r="Z57" i="11"/>
  <c r="AA57" i="11"/>
  <c r="R58" i="11"/>
  <c r="S58" i="11"/>
  <c r="Z58" i="11"/>
  <c r="AA58" i="11"/>
  <c r="R59" i="11"/>
  <c r="S59" i="11"/>
  <c r="Z59" i="11"/>
  <c r="AA59" i="11"/>
  <c r="R60" i="11"/>
  <c r="S60" i="11"/>
  <c r="Z60" i="11"/>
  <c r="AA60" i="11"/>
  <c r="R61" i="11"/>
  <c r="S61" i="11"/>
  <c r="Z61" i="11"/>
  <c r="AA61" i="11"/>
  <c r="R62" i="11"/>
  <c r="S62" i="11"/>
  <c r="Z62" i="11"/>
  <c r="AA62" i="11"/>
  <c r="R63" i="11"/>
  <c r="S63" i="11"/>
  <c r="Z63" i="11"/>
  <c r="AA63" i="11"/>
  <c r="R64" i="11"/>
  <c r="S64" i="11"/>
  <c r="Z64" i="11"/>
  <c r="AA64" i="11"/>
  <c r="R65" i="11"/>
  <c r="S65" i="11"/>
  <c r="Z65" i="11"/>
  <c r="AA65" i="11"/>
  <c r="R66" i="11"/>
  <c r="S66" i="11"/>
  <c r="Z66" i="11"/>
  <c r="AA66" i="11"/>
  <c r="R67" i="11"/>
  <c r="S67" i="11"/>
  <c r="Z67" i="11"/>
  <c r="AA67" i="11"/>
  <c r="R68" i="11"/>
  <c r="S68" i="11"/>
  <c r="Z68" i="11"/>
  <c r="AA68" i="11"/>
  <c r="R69" i="11"/>
  <c r="S69" i="11"/>
  <c r="Z69" i="11"/>
  <c r="AA69" i="11"/>
  <c r="R70" i="11"/>
  <c r="S70" i="11"/>
  <c r="Z70" i="11"/>
  <c r="AA70" i="11"/>
  <c r="R71" i="11"/>
  <c r="S71" i="11"/>
  <c r="Z71" i="11"/>
  <c r="AA71" i="11"/>
  <c r="R72" i="11"/>
  <c r="S72" i="11"/>
  <c r="Z72" i="11"/>
  <c r="AA72" i="11"/>
  <c r="R73" i="11"/>
  <c r="S73" i="11"/>
  <c r="Z73" i="11"/>
  <c r="AA73" i="11"/>
  <c r="R74" i="11"/>
  <c r="S74" i="11"/>
  <c r="Z74" i="11"/>
  <c r="AA74" i="11"/>
  <c r="R75" i="11"/>
  <c r="S75" i="11"/>
  <c r="Z75" i="11"/>
  <c r="AA75" i="11"/>
  <c r="R76" i="11"/>
  <c r="S76" i="11"/>
  <c r="Z76" i="11"/>
  <c r="AA76" i="11"/>
  <c r="R77" i="11"/>
  <c r="S77" i="11"/>
  <c r="Z77" i="11"/>
  <c r="AA77" i="11"/>
  <c r="R78" i="11"/>
  <c r="S78" i="11"/>
  <c r="Z78" i="11"/>
  <c r="AA78" i="11"/>
  <c r="R79" i="11"/>
  <c r="S79" i="11"/>
  <c r="Z79" i="11"/>
  <c r="AA79" i="11"/>
  <c r="R80" i="11"/>
  <c r="S80" i="11"/>
  <c r="Z80" i="11"/>
  <c r="AA80" i="11"/>
  <c r="R81" i="11"/>
  <c r="S81" i="11"/>
  <c r="Z81" i="11"/>
  <c r="AA81" i="11"/>
  <c r="R82" i="11"/>
  <c r="S82" i="11"/>
  <c r="Z82" i="11"/>
  <c r="AA82" i="11"/>
  <c r="R83" i="11"/>
  <c r="S83" i="11"/>
  <c r="Z83" i="11"/>
  <c r="AA83" i="11"/>
  <c r="R84" i="11"/>
  <c r="S84" i="11"/>
  <c r="Z84" i="11"/>
  <c r="AA84" i="11"/>
  <c r="R85" i="11"/>
  <c r="S85" i="11"/>
  <c r="Z85" i="11"/>
  <c r="AA85" i="11"/>
  <c r="R86" i="11"/>
  <c r="S86" i="11"/>
  <c r="Z86" i="11"/>
  <c r="AA86" i="11"/>
  <c r="R87" i="11"/>
  <c r="S87" i="11"/>
  <c r="Z87" i="11"/>
  <c r="AA87" i="11"/>
  <c r="R88" i="11"/>
  <c r="S88" i="11"/>
  <c r="Z88" i="11"/>
  <c r="AA88" i="11"/>
  <c r="R89" i="11"/>
  <c r="S89" i="11"/>
  <c r="Z89" i="11"/>
  <c r="AA89" i="11"/>
  <c r="R90" i="11"/>
  <c r="S90" i="11"/>
  <c r="Z90" i="11"/>
  <c r="AA90" i="11"/>
  <c r="R91" i="11"/>
  <c r="S91" i="11"/>
  <c r="Z91" i="11"/>
  <c r="AA91" i="11"/>
  <c r="R92" i="11"/>
  <c r="S92" i="11"/>
  <c r="Z92" i="11"/>
  <c r="AA92" i="11"/>
  <c r="R93" i="11"/>
  <c r="S93" i="11"/>
  <c r="Z93" i="11"/>
  <c r="AA93" i="11"/>
  <c r="R94" i="11"/>
  <c r="S94" i="11"/>
  <c r="Z94" i="11"/>
  <c r="AA94" i="11"/>
  <c r="R95" i="11"/>
  <c r="S95" i="11"/>
  <c r="Z95" i="11"/>
  <c r="AA95" i="11"/>
  <c r="R96" i="11"/>
  <c r="S96" i="11"/>
  <c r="Z96" i="11"/>
  <c r="AA96" i="11"/>
  <c r="R97" i="11"/>
  <c r="S97" i="11"/>
  <c r="Z97" i="11"/>
  <c r="AA97" i="11"/>
  <c r="R98" i="11"/>
  <c r="S98" i="11"/>
  <c r="Z98" i="11"/>
  <c r="AA98" i="11"/>
  <c r="R99" i="11"/>
  <c r="S99" i="11"/>
  <c r="Z99" i="11"/>
  <c r="AA99" i="11"/>
  <c r="R100" i="11"/>
  <c r="S100" i="11"/>
  <c r="Z100" i="11"/>
  <c r="AA100" i="11"/>
  <c r="R101" i="11"/>
  <c r="S101" i="11"/>
  <c r="Z101" i="11"/>
  <c r="AA101" i="11"/>
  <c r="R102" i="11"/>
  <c r="S102" i="11"/>
  <c r="Z102" i="11"/>
  <c r="AA102" i="11"/>
  <c r="R103" i="11"/>
  <c r="S103" i="11"/>
  <c r="Z103" i="11"/>
  <c r="AA103" i="11"/>
  <c r="R104" i="11"/>
  <c r="S104" i="11"/>
  <c r="Z104" i="11"/>
  <c r="AA104" i="11"/>
  <c r="R105" i="11"/>
  <c r="S105" i="11"/>
  <c r="Z105" i="11"/>
  <c r="AA105" i="11"/>
  <c r="R106" i="11"/>
  <c r="S106" i="11"/>
  <c r="Z106" i="11"/>
  <c r="AA106" i="11"/>
  <c r="R107" i="11"/>
  <c r="S107" i="11"/>
  <c r="Z107" i="11"/>
  <c r="AA107" i="11"/>
  <c r="R108" i="11"/>
  <c r="S108" i="11"/>
  <c r="Z108" i="11"/>
  <c r="AA108" i="11"/>
  <c r="R109" i="11"/>
  <c r="S109" i="11"/>
  <c r="Z109" i="11"/>
  <c r="AA109" i="11"/>
  <c r="R110" i="11"/>
  <c r="S110" i="11"/>
  <c r="Z110" i="11"/>
  <c r="AA110" i="11"/>
  <c r="R111" i="11"/>
  <c r="S111" i="11"/>
  <c r="Z111" i="11"/>
  <c r="AA111" i="11"/>
  <c r="R112" i="11"/>
  <c r="S112" i="11"/>
  <c r="Z112" i="11"/>
  <c r="AA112" i="11"/>
  <c r="R113" i="11"/>
  <c r="S113" i="11"/>
  <c r="Z113" i="11"/>
  <c r="AA113" i="11"/>
  <c r="R114" i="11"/>
  <c r="S114" i="11"/>
  <c r="Z114" i="11"/>
  <c r="AA114" i="11"/>
  <c r="R115" i="11"/>
  <c r="S115" i="11"/>
  <c r="Z115" i="11"/>
  <c r="AA115" i="11"/>
  <c r="R116" i="11"/>
  <c r="S116" i="11"/>
  <c r="Z116" i="11"/>
  <c r="AA116" i="11"/>
  <c r="R117" i="11"/>
  <c r="S117" i="11"/>
  <c r="Z117" i="11"/>
  <c r="AA117" i="11"/>
  <c r="R118" i="11"/>
  <c r="S118" i="11"/>
  <c r="Z118" i="11"/>
  <c r="AA118" i="11"/>
  <c r="R119" i="11"/>
  <c r="S119" i="11"/>
  <c r="Z119" i="11"/>
  <c r="AA119" i="11"/>
  <c r="R120" i="11"/>
  <c r="S120" i="11"/>
  <c r="Z120" i="11"/>
  <c r="AA120" i="11"/>
  <c r="R121" i="11"/>
  <c r="S121" i="11"/>
  <c r="Z121" i="11"/>
  <c r="AA121" i="11"/>
  <c r="R122" i="11"/>
  <c r="S122" i="11"/>
  <c r="Z122" i="11"/>
  <c r="AA122" i="11"/>
  <c r="R123" i="11"/>
  <c r="S123" i="11"/>
  <c r="Z123" i="11"/>
  <c r="AA123" i="11"/>
  <c r="R124" i="11"/>
  <c r="S124" i="11"/>
  <c r="Z124" i="11"/>
  <c r="AA124" i="11"/>
  <c r="R125" i="11"/>
  <c r="S125" i="11"/>
  <c r="Z125" i="11"/>
  <c r="AA125" i="11"/>
  <c r="R126" i="11"/>
  <c r="S126" i="11"/>
  <c r="Z126" i="11"/>
  <c r="AA126" i="11"/>
  <c r="R127" i="11"/>
  <c r="S127" i="11"/>
  <c r="Z127" i="11"/>
  <c r="AA127" i="11"/>
  <c r="R128" i="11"/>
  <c r="S128" i="11"/>
  <c r="Z128" i="11"/>
  <c r="AA128" i="11"/>
  <c r="R129" i="11"/>
  <c r="S129" i="11"/>
  <c r="Z129" i="11"/>
  <c r="AA129" i="11"/>
  <c r="R130" i="11"/>
  <c r="S130" i="11"/>
  <c r="Z130" i="11"/>
  <c r="AA130" i="11"/>
  <c r="R131" i="11"/>
  <c r="S131" i="11"/>
  <c r="Z131" i="11"/>
  <c r="AA131" i="11"/>
  <c r="R132" i="11"/>
  <c r="S132" i="11"/>
  <c r="Z132" i="11"/>
  <c r="AA132" i="11"/>
  <c r="R133" i="11"/>
  <c r="S133" i="11"/>
  <c r="Z133" i="11"/>
  <c r="AA133" i="11"/>
  <c r="R134" i="11"/>
  <c r="S134" i="11"/>
  <c r="Z134" i="11"/>
  <c r="AA134" i="11"/>
  <c r="R135" i="11"/>
  <c r="S135" i="11"/>
  <c r="Z135" i="11"/>
  <c r="AA135" i="11"/>
  <c r="R136" i="11"/>
  <c r="S136" i="11"/>
  <c r="Z136" i="11"/>
  <c r="AA136" i="11"/>
  <c r="R137" i="11"/>
  <c r="S137" i="11"/>
  <c r="Z137" i="11"/>
  <c r="AA137" i="11"/>
  <c r="R138" i="11"/>
  <c r="S138" i="11"/>
  <c r="Z138" i="11"/>
  <c r="AA138" i="11"/>
  <c r="R139" i="11"/>
  <c r="S139" i="11"/>
  <c r="Z139" i="11"/>
  <c r="AA139" i="11"/>
  <c r="R140" i="11"/>
  <c r="S140" i="11"/>
  <c r="Z140" i="11"/>
  <c r="AA140" i="11"/>
  <c r="R141" i="11"/>
  <c r="S141" i="11"/>
  <c r="Z141" i="11"/>
  <c r="AA141" i="11"/>
  <c r="R142" i="11"/>
  <c r="S142" i="11"/>
  <c r="Z142" i="11"/>
  <c r="AA142" i="11"/>
  <c r="R143" i="11"/>
  <c r="S143" i="11"/>
  <c r="Z143" i="11"/>
  <c r="AA143" i="11"/>
  <c r="R144" i="11"/>
  <c r="S144" i="11"/>
  <c r="Z144" i="11"/>
  <c r="AA144" i="11"/>
  <c r="R145" i="11"/>
  <c r="S145" i="11"/>
  <c r="Z145" i="11"/>
  <c r="AA145" i="11"/>
  <c r="R146" i="11"/>
  <c r="S146" i="11"/>
  <c r="Z146" i="11"/>
  <c r="AA146" i="11"/>
  <c r="R147" i="11"/>
  <c r="S147" i="11"/>
  <c r="Z147" i="11"/>
  <c r="AA147" i="11"/>
  <c r="R148" i="11"/>
  <c r="S148" i="11"/>
  <c r="Z148" i="11"/>
  <c r="AA148" i="11"/>
  <c r="R149" i="11"/>
  <c r="S149" i="11"/>
  <c r="Z149" i="11"/>
  <c r="AA149" i="11"/>
  <c r="R150" i="11"/>
  <c r="S150" i="11"/>
  <c r="Z150" i="11"/>
  <c r="AA150" i="11"/>
  <c r="R151" i="11"/>
  <c r="S151" i="11"/>
  <c r="Z151" i="11"/>
  <c r="AA151" i="11"/>
  <c r="R152" i="11"/>
  <c r="S152" i="11"/>
  <c r="Z152" i="11"/>
  <c r="AA152" i="11"/>
  <c r="R153" i="11"/>
  <c r="S153" i="11"/>
  <c r="Z153" i="11"/>
  <c r="AA153" i="11"/>
  <c r="R154" i="11"/>
  <c r="S154" i="11"/>
  <c r="Z154" i="11"/>
  <c r="AA154" i="11"/>
  <c r="R155" i="11"/>
  <c r="S155" i="11"/>
  <c r="Z155" i="11"/>
  <c r="AA155" i="11"/>
  <c r="R156" i="11"/>
  <c r="S156" i="11"/>
  <c r="Z156" i="11"/>
  <c r="AA156" i="11"/>
  <c r="R157" i="11"/>
  <c r="S157" i="11"/>
  <c r="Z157" i="11"/>
  <c r="AA157" i="11"/>
  <c r="R158" i="11"/>
  <c r="S158" i="11"/>
  <c r="Z158" i="11"/>
  <c r="AA158" i="11"/>
  <c r="R159" i="11"/>
  <c r="S159" i="11"/>
  <c r="Z159" i="11"/>
  <c r="AA159" i="11"/>
  <c r="R160" i="11"/>
  <c r="S160" i="11"/>
  <c r="Z160" i="11"/>
  <c r="AA160" i="11"/>
  <c r="R161" i="11"/>
  <c r="S161" i="11"/>
  <c r="Z161" i="11"/>
  <c r="AA161" i="11"/>
  <c r="R162" i="11"/>
  <c r="S162" i="11"/>
  <c r="Z162" i="11"/>
  <c r="AA162" i="11"/>
  <c r="R163" i="11"/>
  <c r="S163" i="11"/>
  <c r="Z163" i="11"/>
  <c r="AA163" i="11"/>
  <c r="R164" i="11"/>
  <c r="S164" i="11"/>
  <c r="Z164" i="11"/>
  <c r="AA164" i="11"/>
  <c r="R165" i="11"/>
  <c r="S165" i="11"/>
  <c r="Z165" i="11"/>
  <c r="AA165" i="11"/>
  <c r="R166" i="11"/>
  <c r="S166" i="11"/>
  <c r="Z166" i="11"/>
  <c r="AA166" i="11"/>
  <c r="R167" i="11"/>
  <c r="S167" i="11"/>
  <c r="Z167" i="11"/>
  <c r="AA167" i="11"/>
  <c r="R168" i="11"/>
  <c r="S168" i="11"/>
  <c r="Z168" i="11"/>
  <c r="AA168" i="11"/>
  <c r="R169" i="11"/>
  <c r="S169" i="11"/>
  <c r="Z169" i="11"/>
  <c r="AA169" i="11"/>
  <c r="R170" i="11"/>
  <c r="S170" i="11"/>
  <c r="Z170" i="11"/>
  <c r="AA170" i="11"/>
  <c r="R171" i="11"/>
  <c r="S171" i="11"/>
  <c r="Z171" i="11"/>
  <c r="AA171" i="11"/>
  <c r="R172" i="11"/>
  <c r="S172" i="11"/>
  <c r="Z172" i="11"/>
  <c r="AA172" i="11"/>
  <c r="R173" i="11"/>
  <c r="S173" i="11"/>
  <c r="Z173" i="11"/>
  <c r="AA173" i="11"/>
  <c r="R174" i="11"/>
  <c r="S174" i="11"/>
  <c r="Z174" i="11"/>
  <c r="AA174" i="11"/>
  <c r="R175" i="11"/>
  <c r="S175" i="11"/>
  <c r="Z175" i="11"/>
  <c r="AA175" i="11"/>
  <c r="R176" i="11"/>
  <c r="S176" i="11"/>
  <c r="Z176" i="11"/>
  <c r="AA176" i="11"/>
  <c r="R177" i="11"/>
  <c r="S177" i="11"/>
  <c r="Z177" i="11"/>
  <c r="AA177" i="11"/>
  <c r="R178" i="11"/>
  <c r="S178" i="11"/>
  <c r="Z178" i="11"/>
  <c r="AA178" i="11"/>
  <c r="R179" i="11"/>
  <c r="S179" i="11"/>
  <c r="Z179" i="11"/>
  <c r="AA179" i="11"/>
  <c r="R180" i="11"/>
  <c r="S180" i="11"/>
  <c r="Z180" i="11"/>
  <c r="AA180" i="11"/>
  <c r="R181" i="11"/>
  <c r="S181" i="11"/>
  <c r="Z181" i="11"/>
  <c r="AA181" i="11"/>
  <c r="R182" i="11"/>
  <c r="S182" i="11"/>
  <c r="Z182" i="11"/>
  <c r="AA182" i="11"/>
  <c r="R183" i="11"/>
  <c r="S183" i="11"/>
  <c r="Z183" i="11"/>
  <c r="AA183" i="11"/>
  <c r="R184" i="11"/>
  <c r="S184" i="11"/>
  <c r="Z184" i="11"/>
  <c r="AA184" i="11"/>
  <c r="R185" i="11"/>
  <c r="S185" i="11"/>
  <c r="Z185" i="11"/>
  <c r="AA185" i="11"/>
  <c r="R186" i="11"/>
  <c r="S186" i="11"/>
  <c r="Z186" i="11"/>
  <c r="AA186" i="11"/>
  <c r="R187" i="11"/>
  <c r="S187" i="11"/>
  <c r="Z187" i="11"/>
  <c r="AA187" i="11"/>
  <c r="R188" i="11"/>
  <c r="S188" i="11"/>
  <c r="Z188" i="11"/>
  <c r="AA188" i="11"/>
  <c r="R189" i="11"/>
  <c r="S189" i="11"/>
  <c r="Z189" i="11"/>
  <c r="AA189" i="11"/>
  <c r="R190" i="11"/>
  <c r="S190" i="11"/>
  <c r="Z190" i="11"/>
  <c r="AA190" i="11"/>
  <c r="R191" i="11"/>
  <c r="S191" i="11"/>
  <c r="Z191" i="11"/>
  <c r="AA191" i="11"/>
  <c r="R192" i="11"/>
  <c r="S192" i="11"/>
  <c r="Z192" i="11"/>
  <c r="AA192" i="11"/>
  <c r="R193" i="11"/>
  <c r="S193" i="11"/>
  <c r="Z193" i="11"/>
  <c r="AA193" i="11"/>
  <c r="R194" i="11"/>
  <c r="S194" i="11"/>
  <c r="Z194" i="11"/>
  <c r="AA194" i="11"/>
  <c r="R195" i="11"/>
  <c r="S195" i="11"/>
  <c r="Z195" i="11"/>
  <c r="AA195" i="11"/>
  <c r="R196" i="11"/>
  <c r="S196" i="11"/>
  <c r="Z196" i="11"/>
  <c r="AA196" i="11"/>
  <c r="R197" i="11"/>
  <c r="S197" i="11"/>
  <c r="Z197" i="11"/>
  <c r="AA197" i="11"/>
  <c r="R198" i="11"/>
  <c r="S198" i="11"/>
  <c r="Z198" i="11"/>
  <c r="AA198" i="11"/>
  <c r="R199" i="11"/>
  <c r="S199" i="11"/>
  <c r="Z199" i="11"/>
  <c r="AA199" i="11"/>
  <c r="R200" i="11"/>
  <c r="S200" i="11"/>
  <c r="Z200" i="11"/>
  <c r="AA200" i="11"/>
  <c r="R201" i="11"/>
  <c r="S201" i="11"/>
  <c r="Z201" i="11"/>
  <c r="AA201" i="11"/>
  <c r="R202" i="11"/>
  <c r="S202" i="11"/>
  <c r="Z202" i="11"/>
  <c r="AA202" i="11"/>
  <c r="R203" i="11"/>
  <c r="S203" i="11"/>
  <c r="Z203" i="11"/>
  <c r="AA203" i="11"/>
  <c r="R204" i="11"/>
  <c r="S204" i="11"/>
  <c r="Z204" i="11"/>
  <c r="AA204" i="11"/>
  <c r="R205" i="11"/>
  <c r="S205" i="11"/>
  <c r="Z205" i="11"/>
  <c r="AA205" i="11"/>
  <c r="R206" i="11"/>
  <c r="S206" i="11"/>
  <c r="Z206" i="11"/>
  <c r="AA206" i="11"/>
  <c r="R207" i="11"/>
  <c r="S207" i="11"/>
  <c r="Z207" i="11"/>
  <c r="AA207" i="11"/>
  <c r="R208" i="11"/>
  <c r="S208" i="11"/>
  <c r="Z208" i="11"/>
  <c r="AA208" i="11"/>
  <c r="R209" i="11"/>
  <c r="S209" i="11"/>
  <c r="Z209" i="11"/>
  <c r="AA209" i="11"/>
  <c r="R210" i="11"/>
  <c r="S210" i="11"/>
  <c r="Z210" i="11"/>
  <c r="AA210" i="11"/>
  <c r="R211" i="11"/>
  <c r="S211" i="11"/>
  <c r="Z211" i="11"/>
  <c r="AA211" i="11"/>
  <c r="R212" i="11"/>
  <c r="S212" i="11"/>
  <c r="Z212" i="11"/>
  <c r="AA212" i="11"/>
  <c r="R213" i="11"/>
  <c r="S213" i="11"/>
  <c r="Z213" i="11"/>
  <c r="AA213" i="11"/>
  <c r="R214" i="11"/>
  <c r="S214" i="11"/>
  <c r="Z214" i="11"/>
  <c r="AA214" i="11"/>
  <c r="R215" i="11"/>
  <c r="S215" i="11"/>
  <c r="Z215" i="11"/>
  <c r="AA215" i="11"/>
  <c r="R216" i="11"/>
  <c r="S216" i="11"/>
  <c r="Z216" i="11"/>
  <c r="AA216" i="11"/>
  <c r="R217" i="11"/>
  <c r="S217" i="11"/>
  <c r="Z217" i="11"/>
  <c r="AA217" i="11"/>
  <c r="R218" i="11"/>
  <c r="S218" i="11"/>
  <c r="Z218" i="11"/>
  <c r="AA218" i="11"/>
  <c r="R219" i="11"/>
  <c r="S219" i="11"/>
  <c r="Z219" i="11"/>
  <c r="AA219" i="11"/>
  <c r="R220" i="11"/>
  <c r="S220" i="11"/>
  <c r="Z220" i="11"/>
  <c r="AA220" i="11"/>
  <c r="R221" i="11"/>
  <c r="S221" i="11"/>
  <c r="Z221" i="11"/>
  <c r="AA221" i="11"/>
  <c r="R222" i="11"/>
  <c r="S222" i="11"/>
  <c r="Z222" i="11"/>
  <c r="AA222" i="11"/>
  <c r="R223" i="11"/>
  <c r="S223" i="11"/>
  <c r="Z223" i="11"/>
  <c r="AA223" i="11"/>
  <c r="R224" i="11"/>
  <c r="S224" i="11"/>
  <c r="Z224" i="11"/>
  <c r="AA224" i="11"/>
  <c r="R225" i="11"/>
  <c r="S225" i="11"/>
  <c r="Z225" i="11"/>
  <c r="AA225" i="11"/>
  <c r="R226" i="11"/>
  <c r="S226" i="11"/>
  <c r="Z226" i="11"/>
  <c r="AA226" i="11"/>
  <c r="R227" i="11"/>
  <c r="S227" i="11"/>
  <c r="Z227" i="11"/>
  <c r="AA227" i="11"/>
  <c r="R228" i="11"/>
  <c r="S228" i="11"/>
  <c r="Z228" i="11"/>
  <c r="AA228" i="11"/>
  <c r="R229" i="11"/>
  <c r="S229" i="11"/>
  <c r="Z229" i="11"/>
  <c r="AA229" i="11"/>
  <c r="R230" i="11"/>
  <c r="S230" i="11"/>
  <c r="Z230" i="11"/>
  <c r="AA230" i="11"/>
  <c r="R231" i="11"/>
  <c r="S231" i="11"/>
  <c r="Z231" i="11"/>
  <c r="AA231" i="11"/>
  <c r="R232" i="11"/>
  <c r="S232" i="11"/>
  <c r="Z232" i="11"/>
  <c r="AA232" i="11"/>
  <c r="R233" i="11"/>
  <c r="S233" i="11"/>
  <c r="Z233" i="11"/>
  <c r="AA233" i="11"/>
  <c r="R234" i="11"/>
  <c r="S234" i="11"/>
  <c r="Z234" i="11"/>
  <c r="AA234" i="11"/>
  <c r="R235" i="11"/>
  <c r="S235" i="11"/>
  <c r="Z235" i="11"/>
  <c r="AA235" i="11"/>
  <c r="R236" i="11"/>
  <c r="S236" i="11"/>
  <c r="Z236" i="11"/>
  <c r="AA236" i="11"/>
  <c r="R237" i="11"/>
  <c r="S237" i="11"/>
  <c r="Z237" i="11"/>
  <c r="AA237" i="11"/>
  <c r="R238" i="11"/>
  <c r="S238" i="11"/>
  <c r="Z238" i="11"/>
  <c r="AA238" i="11"/>
  <c r="R239" i="11"/>
  <c r="S239" i="11"/>
  <c r="Z239" i="11"/>
  <c r="AA239" i="11"/>
  <c r="R240" i="11"/>
  <c r="S240" i="11"/>
  <c r="Z240" i="11"/>
  <c r="AA240" i="11"/>
  <c r="R241" i="11"/>
  <c r="S241" i="11"/>
  <c r="Z241" i="11"/>
  <c r="AA241" i="11"/>
  <c r="R242" i="11"/>
  <c r="S242" i="11"/>
  <c r="Z242" i="11"/>
  <c r="AA242" i="11"/>
  <c r="R243" i="11"/>
  <c r="S243" i="11"/>
  <c r="Z243" i="11"/>
  <c r="AA243" i="11"/>
  <c r="R244" i="11"/>
  <c r="S244" i="11"/>
  <c r="Z244" i="11"/>
  <c r="AA244" i="11"/>
  <c r="R245" i="11"/>
  <c r="S245" i="11"/>
  <c r="Z245" i="11"/>
  <c r="AA245" i="11"/>
  <c r="R246" i="11"/>
  <c r="S246" i="11"/>
  <c r="Z246" i="11"/>
  <c r="AA246" i="11"/>
  <c r="R247" i="11"/>
  <c r="S247" i="11"/>
  <c r="Z247" i="11"/>
  <c r="AA247" i="11"/>
  <c r="R248" i="11"/>
  <c r="S248" i="11"/>
  <c r="Z248" i="11"/>
  <c r="AA248" i="11"/>
  <c r="R249" i="11"/>
  <c r="S249" i="11"/>
  <c r="Z249" i="11"/>
  <c r="AA249" i="11"/>
  <c r="R250" i="11"/>
  <c r="S250" i="11"/>
  <c r="Z250" i="11"/>
  <c r="AA250" i="11"/>
  <c r="R251" i="11"/>
  <c r="S251" i="11"/>
  <c r="Z251" i="11"/>
  <c r="AA251" i="11"/>
  <c r="R252" i="11"/>
  <c r="S252" i="11"/>
  <c r="Z252" i="11"/>
  <c r="AA252" i="11"/>
  <c r="R253" i="11"/>
  <c r="S253" i="11"/>
  <c r="Z253" i="11"/>
  <c r="AA253" i="11"/>
  <c r="R254" i="11"/>
  <c r="S254" i="11"/>
  <c r="Z254" i="11"/>
  <c r="AA254" i="11"/>
  <c r="R255" i="11"/>
  <c r="S255" i="11"/>
  <c r="Z255" i="11"/>
  <c r="AA255" i="11"/>
  <c r="R256" i="11"/>
  <c r="S256" i="11"/>
  <c r="Z256" i="11"/>
  <c r="AA256" i="11"/>
  <c r="R257" i="11"/>
  <c r="S257" i="11"/>
  <c r="Z257" i="11"/>
  <c r="AA257" i="11"/>
  <c r="R258" i="11"/>
  <c r="S258" i="11"/>
  <c r="Z258" i="11"/>
  <c r="AA258" i="11"/>
  <c r="R259" i="11"/>
  <c r="S259" i="11"/>
  <c r="Z259" i="11"/>
  <c r="AA259" i="11"/>
  <c r="R260" i="11"/>
  <c r="S260" i="11"/>
  <c r="Z260" i="11"/>
  <c r="AA260" i="11"/>
  <c r="R261" i="11"/>
  <c r="S261" i="11"/>
  <c r="Z261" i="11"/>
  <c r="AA261" i="11"/>
  <c r="R262" i="11"/>
  <c r="S262" i="11"/>
  <c r="Z262" i="11"/>
  <c r="AA262" i="11"/>
  <c r="R263" i="11"/>
  <c r="S263" i="11"/>
  <c r="Z263" i="11"/>
  <c r="AA263" i="11"/>
  <c r="R264" i="11"/>
  <c r="S264" i="11"/>
  <c r="Z264" i="11"/>
  <c r="AA264" i="11"/>
  <c r="R265" i="11"/>
  <c r="S265" i="11"/>
  <c r="Z265" i="11"/>
  <c r="AA265" i="11"/>
  <c r="R266" i="11"/>
  <c r="S266" i="11"/>
  <c r="Z266" i="11"/>
  <c r="AA266" i="11"/>
  <c r="R267" i="11"/>
  <c r="S267" i="11"/>
  <c r="Z267" i="11"/>
  <c r="AA267" i="11"/>
  <c r="R268" i="11"/>
  <c r="S268" i="11"/>
  <c r="Z268" i="11"/>
  <c r="AA268" i="11"/>
  <c r="R269" i="11"/>
  <c r="S269" i="11"/>
  <c r="Z269" i="11"/>
  <c r="AA269" i="11"/>
  <c r="R270" i="11"/>
  <c r="S270" i="11"/>
  <c r="Z270" i="11"/>
  <c r="AA270" i="11"/>
  <c r="R271" i="11"/>
  <c r="S271" i="11"/>
  <c r="Z271" i="11"/>
  <c r="AA271" i="11"/>
  <c r="R272" i="11"/>
  <c r="S272" i="11"/>
  <c r="Z272" i="11"/>
  <c r="AA272" i="11"/>
  <c r="R273" i="11"/>
  <c r="S273" i="11"/>
  <c r="Z273" i="11"/>
  <c r="AA273" i="11"/>
  <c r="R274" i="11"/>
  <c r="S274" i="11"/>
  <c r="Z274" i="11"/>
  <c r="AA274" i="11"/>
  <c r="R275" i="11"/>
  <c r="S275" i="11"/>
  <c r="Z275" i="11"/>
  <c r="AA275" i="11"/>
  <c r="R276" i="11"/>
  <c r="S276" i="11"/>
  <c r="Z276" i="11"/>
  <c r="AA276" i="11"/>
  <c r="R277" i="11"/>
  <c r="S277" i="11"/>
  <c r="Z277" i="11"/>
  <c r="AA277" i="11"/>
  <c r="R278" i="11"/>
  <c r="S278" i="11"/>
  <c r="Z278" i="11"/>
  <c r="AA278" i="11"/>
  <c r="R279" i="11"/>
  <c r="S279" i="11"/>
  <c r="Z279" i="11"/>
  <c r="AA279" i="11"/>
  <c r="R280" i="11"/>
  <c r="S280" i="11"/>
  <c r="Z280" i="11"/>
  <c r="AA280" i="11"/>
  <c r="R281" i="11"/>
  <c r="S281" i="11"/>
  <c r="Z281" i="11"/>
  <c r="AA281" i="11"/>
  <c r="R282" i="11"/>
  <c r="S282" i="11"/>
  <c r="Z282" i="11"/>
  <c r="AA282" i="11"/>
  <c r="R283" i="11"/>
  <c r="S283" i="11"/>
  <c r="Z283" i="11"/>
  <c r="AA283" i="11"/>
  <c r="R284" i="11"/>
  <c r="S284" i="11"/>
  <c r="Z284" i="11"/>
  <c r="AA284" i="11"/>
  <c r="R285" i="11"/>
  <c r="S285" i="11"/>
  <c r="Z285" i="11"/>
  <c r="AA285" i="11"/>
  <c r="R286" i="11"/>
  <c r="S286" i="11"/>
  <c r="Z286" i="11"/>
  <c r="AA286" i="11"/>
  <c r="R287" i="11"/>
  <c r="S287" i="11"/>
  <c r="Z287" i="11"/>
  <c r="AA287" i="11"/>
  <c r="R288" i="11"/>
  <c r="S288" i="11"/>
  <c r="Z288" i="11"/>
  <c r="AA288" i="11"/>
  <c r="R289" i="11"/>
  <c r="S289" i="11"/>
  <c r="Z289" i="11"/>
  <c r="AA289" i="11"/>
  <c r="R290" i="11"/>
  <c r="S290" i="11"/>
  <c r="Z290" i="11"/>
  <c r="AA290" i="11"/>
  <c r="R291" i="11"/>
  <c r="S291" i="11"/>
  <c r="Z291" i="11"/>
  <c r="AA291" i="11"/>
  <c r="R292" i="11"/>
  <c r="S292" i="11"/>
  <c r="Z292" i="11"/>
  <c r="AA292" i="11"/>
  <c r="R293" i="11"/>
  <c r="S293" i="11"/>
  <c r="Z293" i="11"/>
  <c r="AA293" i="11"/>
  <c r="R294" i="11"/>
  <c r="S294" i="11"/>
  <c r="Z294" i="11"/>
  <c r="AA294" i="11"/>
  <c r="R295" i="11"/>
  <c r="S295" i="11"/>
  <c r="Z295" i="11"/>
  <c r="AA295" i="11"/>
  <c r="R296" i="11"/>
  <c r="S296" i="11"/>
  <c r="Z296" i="11"/>
  <c r="AA296" i="11"/>
  <c r="R297" i="11"/>
  <c r="S297" i="11"/>
  <c r="Z297" i="11"/>
  <c r="AA297" i="11"/>
  <c r="R298" i="11"/>
  <c r="S298" i="11"/>
  <c r="Z298" i="11"/>
  <c r="AA298" i="11"/>
  <c r="R299" i="11"/>
  <c r="S299" i="11"/>
  <c r="Z299" i="11"/>
  <c r="AA299" i="11"/>
  <c r="R300" i="11"/>
  <c r="S300" i="11"/>
  <c r="Z300" i="11"/>
  <c r="AA300" i="11"/>
  <c r="R301" i="11"/>
  <c r="S301" i="11"/>
  <c r="Z301" i="11"/>
  <c r="AA301" i="11"/>
  <c r="R302" i="11"/>
  <c r="S302" i="11"/>
  <c r="Z302" i="11"/>
  <c r="AA302" i="11"/>
  <c r="R303" i="11"/>
  <c r="S303" i="11"/>
  <c r="Z303" i="11"/>
  <c r="AA303" i="11"/>
  <c r="R304" i="11"/>
  <c r="S304" i="11"/>
  <c r="Z304" i="11"/>
  <c r="AA304" i="11"/>
  <c r="R305" i="11"/>
  <c r="S305" i="11"/>
  <c r="Z305" i="11"/>
  <c r="AA305" i="11"/>
  <c r="R306" i="11"/>
  <c r="S306" i="11"/>
  <c r="Z306" i="11"/>
  <c r="AA306" i="11"/>
  <c r="R307" i="11"/>
  <c r="S307" i="11"/>
  <c r="Z307" i="11"/>
  <c r="AA307" i="11"/>
  <c r="R308" i="11"/>
  <c r="S308" i="11"/>
  <c r="Z308" i="11"/>
  <c r="AA308" i="11"/>
  <c r="R309" i="11"/>
  <c r="S309" i="11"/>
  <c r="Z309" i="11"/>
  <c r="AA309" i="11"/>
  <c r="R310" i="11"/>
  <c r="S310" i="11"/>
  <c r="Z310" i="11"/>
  <c r="AA310" i="11"/>
  <c r="R311" i="11"/>
  <c r="S311" i="11"/>
  <c r="Z311" i="11"/>
  <c r="AA311" i="11"/>
  <c r="R312" i="11"/>
  <c r="S312" i="11"/>
  <c r="Z312" i="11"/>
  <c r="AA312" i="11"/>
  <c r="R313" i="11"/>
  <c r="S313" i="11"/>
  <c r="Z313" i="11"/>
  <c r="AA313" i="11"/>
  <c r="R314" i="11"/>
  <c r="S314" i="11"/>
  <c r="Z314" i="11"/>
  <c r="AA314" i="11"/>
  <c r="R315" i="11"/>
  <c r="S315" i="11"/>
  <c r="Z315" i="11"/>
  <c r="AA315" i="11"/>
  <c r="R316" i="11"/>
  <c r="S316" i="11"/>
  <c r="Z316" i="11"/>
  <c r="AA316" i="11"/>
  <c r="R317" i="11"/>
  <c r="S317" i="11"/>
  <c r="Z317" i="11"/>
  <c r="AA317" i="11"/>
  <c r="R318" i="11"/>
  <c r="S318" i="11"/>
  <c r="Z318" i="11"/>
  <c r="AA318" i="11"/>
  <c r="R319" i="11"/>
  <c r="S319" i="11"/>
  <c r="Z319" i="11"/>
  <c r="AA319" i="11"/>
  <c r="R320" i="11"/>
  <c r="S320" i="11"/>
  <c r="Z320" i="11"/>
  <c r="AA320" i="11"/>
  <c r="R321" i="11"/>
  <c r="S321" i="11"/>
  <c r="Z321" i="11"/>
  <c r="AA321" i="11"/>
  <c r="R322" i="11"/>
  <c r="S322" i="11"/>
  <c r="Z322" i="11"/>
  <c r="AA322" i="11"/>
  <c r="R323" i="11"/>
  <c r="S323" i="11"/>
  <c r="Z323" i="11"/>
  <c r="AA323" i="11"/>
  <c r="R324" i="11"/>
  <c r="S324" i="11"/>
  <c r="Z324" i="11"/>
  <c r="AA324" i="11"/>
  <c r="R325" i="11"/>
  <c r="S325" i="11"/>
  <c r="Z325" i="11"/>
  <c r="AA325" i="11"/>
  <c r="R326" i="11"/>
  <c r="S326" i="11"/>
  <c r="Z326" i="11"/>
  <c r="AA326" i="11"/>
  <c r="R327" i="11"/>
  <c r="S327" i="11"/>
  <c r="Z327" i="11"/>
  <c r="AA327" i="11"/>
  <c r="R328" i="11"/>
  <c r="S328" i="11"/>
  <c r="Z328" i="11"/>
  <c r="AA328" i="11"/>
  <c r="R329" i="11"/>
  <c r="S329" i="11"/>
  <c r="Z329" i="11"/>
  <c r="AA329" i="11"/>
  <c r="R330" i="11"/>
  <c r="S330" i="11"/>
  <c r="Z330" i="11"/>
  <c r="AA330" i="11"/>
  <c r="R331" i="11"/>
  <c r="S331" i="11"/>
  <c r="Z331" i="11"/>
  <c r="AA331" i="11"/>
  <c r="R332" i="11"/>
  <c r="S332" i="11"/>
  <c r="Z332" i="11"/>
  <c r="AA332" i="11"/>
  <c r="R333" i="11"/>
  <c r="S333" i="11"/>
  <c r="Z333" i="11"/>
  <c r="AA333" i="11"/>
  <c r="R334" i="11"/>
  <c r="S334" i="11"/>
  <c r="Z334" i="11"/>
  <c r="AA334" i="11"/>
  <c r="R335" i="11"/>
  <c r="S335" i="11"/>
  <c r="Z335" i="11"/>
  <c r="AA335" i="11"/>
  <c r="R336" i="11"/>
  <c r="S336" i="11"/>
  <c r="Z336" i="11"/>
  <c r="AA336" i="11"/>
  <c r="R337" i="11"/>
  <c r="S337" i="11"/>
  <c r="Z337" i="11"/>
  <c r="AA337" i="11"/>
  <c r="R338" i="11"/>
  <c r="S338" i="11"/>
  <c r="Z338" i="11"/>
  <c r="AA338" i="11"/>
  <c r="R339" i="11"/>
  <c r="S339" i="11"/>
  <c r="Z339" i="11"/>
  <c r="AA339" i="11"/>
  <c r="R340" i="11"/>
  <c r="S340" i="11"/>
  <c r="Z340" i="11"/>
  <c r="AA340" i="11"/>
  <c r="R341" i="11"/>
  <c r="S341" i="11"/>
  <c r="Z341" i="11"/>
  <c r="AA341" i="11"/>
  <c r="R342" i="11"/>
  <c r="S342" i="11"/>
  <c r="Z342" i="11"/>
  <c r="AA342" i="11"/>
  <c r="R343" i="11"/>
  <c r="S343" i="11"/>
  <c r="Z343" i="11"/>
  <c r="AA343" i="11"/>
  <c r="R344" i="11"/>
  <c r="S344" i="11"/>
  <c r="Z344" i="11"/>
  <c r="AA344" i="11"/>
  <c r="R345" i="11"/>
  <c r="S345" i="11"/>
  <c r="Z345" i="11"/>
  <c r="AA345" i="11"/>
  <c r="R346" i="11"/>
  <c r="S346" i="11"/>
  <c r="Z346" i="11"/>
  <c r="AA346" i="11"/>
  <c r="R347" i="11"/>
  <c r="S347" i="11"/>
  <c r="Z347" i="11"/>
  <c r="AA347" i="11"/>
  <c r="R348" i="11"/>
  <c r="S348" i="11"/>
  <c r="Z348" i="11"/>
  <c r="AA348" i="11"/>
  <c r="R349" i="11"/>
  <c r="S349" i="11"/>
  <c r="Z349" i="11"/>
  <c r="AA349" i="11"/>
  <c r="R350" i="11"/>
  <c r="S350" i="11"/>
  <c r="Z350" i="11"/>
  <c r="AA350" i="11"/>
  <c r="R351" i="11"/>
  <c r="S351" i="11"/>
  <c r="Z351" i="11"/>
  <c r="AA351" i="11"/>
  <c r="R352" i="11"/>
  <c r="S352" i="11"/>
  <c r="Z352" i="11"/>
  <c r="AA352" i="11"/>
  <c r="R353" i="11"/>
  <c r="S353" i="11"/>
  <c r="Z353" i="11"/>
  <c r="AA353" i="11"/>
  <c r="R354" i="11"/>
  <c r="S354" i="11"/>
  <c r="Z354" i="11"/>
  <c r="AA354" i="11"/>
  <c r="R355" i="11"/>
  <c r="S355" i="11"/>
  <c r="Z355" i="11"/>
  <c r="AA355" i="11"/>
  <c r="R356" i="11"/>
  <c r="S356" i="11"/>
  <c r="Z356" i="11"/>
  <c r="AA356" i="11"/>
  <c r="R357" i="11"/>
  <c r="S357" i="11"/>
  <c r="Z357" i="11"/>
  <c r="AA357" i="11"/>
  <c r="R358" i="11"/>
  <c r="S358" i="11"/>
  <c r="Z358" i="11"/>
  <c r="AA358" i="11"/>
  <c r="R359" i="11"/>
  <c r="S359" i="11"/>
  <c r="Z359" i="11"/>
  <c r="AA359" i="11"/>
  <c r="R360" i="11"/>
  <c r="S360" i="11"/>
  <c r="Z360" i="11"/>
  <c r="AA360" i="11"/>
  <c r="R361" i="11"/>
  <c r="S361" i="11"/>
  <c r="Z361" i="11"/>
  <c r="AA361" i="11"/>
  <c r="R362" i="11"/>
  <c r="S362" i="11"/>
  <c r="Z362" i="11"/>
  <c r="AA362" i="11"/>
  <c r="R363" i="11"/>
  <c r="S363" i="11"/>
  <c r="Z363" i="11"/>
  <c r="AA363" i="11"/>
  <c r="R364" i="11"/>
  <c r="S364" i="11"/>
  <c r="Z364" i="11"/>
  <c r="AA364" i="11"/>
  <c r="R365" i="11"/>
  <c r="S365" i="11"/>
  <c r="Z365" i="11"/>
  <c r="AA365" i="11"/>
  <c r="R366" i="11"/>
  <c r="S366" i="11"/>
  <c r="Z366" i="11"/>
  <c r="AA366" i="11"/>
  <c r="R367" i="11"/>
  <c r="S367" i="11"/>
  <c r="Z367" i="11"/>
  <c r="AA367" i="11"/>
  <c r="R368" i="11"/>
  <c r="S368" i="11"/>
  <c r="Z368" i="11"/>
  <c r="AA368" i="11"/>
  <c r="R369" i="11"/>
  <c r="S369" i="11"/>
  <c r="Z369" i="11"/>
  <c r="AA369" i="11"/>
  <c r="R370" i="11"/>
  <c r="S370" i="11"/>
  <c r="Z370" i="11"/>
  <c r="AA370" i="11"/>
  <c r="R371" i="11"/>
  <c r="S371" i="11"/>
  <c r="Z371" i="11"/>
  <c r="AA371" i="11"/>
  <c r="R372" i="11"/>
  <c r="S372" i="11"/>
  <c r="Z372" i="11"/>
  <c r="AA372" i="11"/>
  <c r="R373" i="11"/>
  <c r="S373" i="11"/>
  <c r="Z373" i="11"/>
  <c r="AA373" i="11"/>
  <c r="R374" i="11"/>
  <c r="S374" i="11"/>
  <c r="Z374" i="11"/>
  <c r="AA374" i="11"/>
  <c r="R375" i="11"/>
  <c r="S375" i="11"/>
  <c r="Z375" i="11"/>
  <c r="AA375" i="11"/>
  <c r="R376" i="11"/>
  <c r="S376" i="11"/>
  <c r="Z376" i="11"/>
  <c r="AA376" i="11"/>
  <c r="R377" i="11"/>
  <c r="S377" i="11"/>
  <c r="Z377" i="11"/>
  <c r="AA377" i="11"/>
  <c r="R378" i="11"/>
  <c r="S378" i="11"/>
  <c r="Z378" i="11"/>
  <c r="AA378" i="11"/>
  <c r="R379" i="11"/>
  <c r="S379" i="11"/>
  <c r="Z379" i="11"/>
  <c r="AA379" i="11"/>
  <c r="R380" i="11"/>
  <c r="S380" i="11"/>
  <c r="Z380" i="11"/>
  <c r="AA380" i="11"/>
  <c r="R381" i="11"/>
  <c r="S381" i="11"/>
  <c r="Z381" i="11"/>
  <c r="AA381" i="11"/>
  <c r="R382" i="11"/>
  <c r="S382" i="11"/>
  <c r="Z382" i="11"/>
  <c r="AA382" i="11"/>
  <c r="R383" i="11"/>
  <c r="S383" i="11"/>
  <c r="Z383" i="11"/>
  <c r="AA383" i="11"/>
  <c r="R384" i="11"/>
  <c r="S384" i="11"/>
  <c r="Z384" i="11"/>
  <c r="AA384" i="11"/>
  <c r="R385" i="11"/>
  <c r="S385" i="11"/>
  <c r="Z385" i="11"/>
  <c r="AA385" i="11"/>
  <c r="R386" i="11"/>
  <c r="S386" i="11"/>
  <c r="Z386" i="11"/>
  <c r="AA386" i="11"/>
  <c r="R387" i="11"/>
  <c r="S387" i="11"/>
  <c r="Z387" i="11"/>
  <c r="AA387" i="11"/>
  <c r="R388" i="11"/>
  <c r="S388" i="11"/>
  <c r="Z388" i="11"/>
  <c r="AA388" i="11"/>
  <c r="R389" i="11"/>
  <c r="S389" i="11"/>
  <c r="Z389" i="11"/>
  <c r="AA389" i="11"/>
  <c r="R390" i="11"/>
  <c r="S390" i="11"/>
  <c r="Z390" i="11"/>
  <c r="AA390" i="11"/>
  <c r="R391" i="11"/>
  <c r="S391" i="11"/>
  <c r="Z391" i="11"/>
  <c r="AA391" i="11"/>
  <c r="R392" i="11"/>
  <c r="S392" i="11"/>
  <c r="Z392" i="11"/>
  <c r="AA392" i="11"/>
  <c r="R393" i="11"/>
  <c r="S393" i="11"/>
  <c r="Z393" i="11"/>
  <c r="AA393" i="11"/>
  <c r="R394" i="11"/>
  <c r="S394" i="11"/>
  <c r="Z394" i="11"/>
  <c r="AA394" i="11"/>
  <c r="R395" i="11"/>
  <c r="S395" i="11"/>
  <c r="Z395" i="11"/>
  <c r="AA395" i="11"/>
  <c r="R396" i="11"/>
  <c r="S396" i="11"/>
  <c r="Z396" i="11"/>
  <c r="AA396" i="11"/>
  <c r="R397" i="11"/>
  <c r="S397" i="11"/>
  <c r="Z397" i="11"/>
  <c r="AA397" i="11"/>
  <c r="R398" i="11"/>
  <c r="S398" i="11"/>
  <c r="Z398" i="11"/>
  <c r="AA398" i="11"/>
  <c r="R399" i="11"/>
  <c r="S399" i="11"/>
  <c r="Z399" i="11"/>
  <c r="AA399" i="11"/>
  <c r="R400" i="11"/>
  <c r="S400" i="11"/>
  <c r="Z400" i="11"/>
  <c r="AA400" i="11"/>
  <c r="R401" i="11"/>
  <c r="S401" i="11"/>
  <c r="Z401" i="11"/>
  <c r="AA401" i="11"/>
  <c r="R402" i="11"/>
  <c r="S402" i="11"/>
  <c r="Z402" i="11"/>
  <c r="AA402" i="11"/>
  <c r="R403" i="11"/>
  <c r="S403" i="11"/>
  <c r="Z403" i="11"/>
  <c r="AA403" i="11"/>
  <c r="R404" i="11"/>
  <c r="S404" i="11"/>
  <c r="Z404" i="11"/>
  <c r="AA404" i="11"/>
  <c r="R405" i="11"/>
  <c r="S405" i="11"/>
  <c r="Z405" i="11"/>
  <c r="AA405" i="11"/>
  <c r="R406" i="11"/>
  <c r="S406" i="11"/>
  <c r="Z406" i="11"/>
  <c r="AA406" i="11"/>
  <c r="R407" i="11"/>
  <c r="S407" i="11"/>
  <c r="Z407" i="11"/>
  <c r="AA407" i="11"/>
  <c r="R408" i="11"/>
  <c r="S408" i="11"/>
  <c r="Z408" i="11"/>
  <c r="AA408" i="11"/>
  <c r="R409" i="11"/>
  <c r="S409" i="11"/>
  <c r="Z409" i="11"/>
  <c r="AA409" i="11"/>
  <c r="R410" i="11"/>
  <c r="S410" i="11"/>
  <c r="Z410" i="11"/>
  <c r="AA410" i="11"/>
  <c r="R411" i="11"/>
  <c r="S411" i="11"/>
  <c r="Z411" i="11"/>
  <c r="AA411" i="11"/>
  <c r="R412" i="11"/>
  <c r="S412" i="11"/>
  <c r="Z412" i="11"/>
  <c r="AA412" i="11"/>
  <c r="R413" i="11"/>
  <c r="S413" i="11"/>
  <c r="Z413" i="11"/>
  <c r="AA413" i="11"/>
  <c r="R414" i="11"/>
  <c r="S414" i="11"/>
  <c r="Z414" i="11"/>
  <c r="AA414" i="11"/>
  <c r="R415" i="11"/>
  <c r="S415" i="11"/>
  <c r="Z415" i="11"/>
  <c r="AA415" i="11"/>
  <c r="R416" i="11"/>
  <c r="S416" i="11"/>
  <c r="Z416" i="11"/>
  <c r="AA416" i="11"/>
  <c r="R417" i="11"/>
  <c r="S417" i="11"/>
  <c r="Z417" i="11"/>
  <c r="AA417" i="11"/>
  <c r="R418" i="11"/>
  <c r="S418" i="11"/>
  <c r="Z418" i="11"/>
  <c r="AA418" i="11"/>
  <c r="R419" i="11"/>
  <c r="S419" i="11"/>
  <c r="Z419" i="11"/>
  <c r="AA419" i="11"/>
  <c r="R420" i="11"/>
  <c r="S420" i="11"/>
  <c r="Z420" i="11"/>
  <c r="AA420" i="11"/>
  <c r="R421" i="11"/>
  <c r="S421" i="11"/>
  <c r="Z421" i="11"/>
  <c r="AA421" i="11"/>
  <c r="R422" i="11"/>
  <c r="S422" i="11"/>
  <c r="Z422" i="11"/>
  <c r="AA422" i="11"/>
  <c r="R423" i="11"/>
  <c r="S423" i="11"/>
  <c r="Z423" i="11"/>
  <c r="AA423" i="11"/>
  <c r="R424" i="11"/>
  <c r="S424" i="11"/>
  <c r="Z424" i="11"/>
  <c r="AA424" i="11"/>
  <c r="R425" i="11"/>
  <c r="S425" i="11"/>
  <c r="Z425" i="11"/>
  <c r="AA425" i="11"/>
  <c r="R426" i="11"/>
  <c r="S426" i="11"/>
  <c r="Z426" i="11"/>
  <c r="AA426" i="11"/>
  <c r="R427" i="11"/>
  <c r="S427" i="11"/>
  <c r="Z427" i="11"/>
  <c r="AA427" i="11"/>
  <c r="R428" i="11"/>
  <c r="S428" i="11"/>
  <c r="Z428" i="11"/>
  <c r="AA428" i="11"/>
  <c r="R429" i="11"/>
  <c r="S429" i="11"/>
  <c r="Z429" i="11"/>
  <c r="AA429" i="11"/>
  <c r="R430" i="11"/>
  <c r="S430" i="11"/>
  <c r="Z430" i="11"/>
  <c r="AA430" i="11"/>
  <c r="R431" i="11"/>
  <c r="S431" i="11"/>
  <c r="Z431" i="11"/>
  <c r="AA431" i="11"/>
  <c r="R432" i="11"/>
  <c r="S432" i="11"/>
  <c r="Z432" i="11"/>
  <c r="AA432" i="11"/>
  <c r="R433" i="11"/>
  <c r="S433" i="11"/>
  <c r="Z433" i="11"/>
  <c r="AA433" i="11"/>
  <c r="R434" i="11"/>
  <c r="S434" i="11"/>
  <c r="Z434" i="11"/>
  <c r="AA434" i="11"/>
  <c r="R435" i="11"/>
  <c r="S435" i="11"/>
  <c r="Z435" i="11"/>
  <c r="AA435" i="11"/>
  <c r="R436" i="11"/>
  <c r="S436" i="11"/>
  <c r="Z436" i="11"/>
  <c r="AA436" i="11"/>
  <c r="R437" i="11"/>
  <c r="S437" i="11"/>
  <c r="Z437" i="11"/>
  <c r="AA437" i="11"/>
  <c r="R438" i="11"/>
  <c r="S438" i="11"/>
  <c r="Z438" i="11"/>
  <c r="AA438" i="11"/>
  <c r="R439" i="11"/>
  <c r="S439" i="11"/>
  <c r="Z439" i="11"/>
  <c r="AA439" i="11"/>
  <c r="R440" i="11"/>
  <c r="S440" i="11"/>
  <c r="Z440" i="11"/>
  <c r="AA440" i="11"/>
  <c r="R441" i="11"/>
  <c r="S441" i="11"/>
  <c r="Z441" i="11"/>
  <c r="AA441" i="11"/>
  <c r="R442" i="11"/>
  <c r="S442" i="11"/>
  <c r="Z442" i="11"/>
  <c r="AA442" i="11"/>
  <c r="R443" i="11"/>
  <c r="S443" i="11"/>
  <c r="Z443" i="11"/>
  <c r="AA443" i="11"/>
  <c r="R444" i="11"/>
  <c r="S444" i="11"/>
  <c r="Z444" i="11"/>
  <c r="AA444" i="11"/>
  <c r="R445" i="11"/>
  <c r="S445" i="11"/>
  <c r="Z445" i="11"/>
  <c r="AA445" i="11"/>
  <c r="R446" i="11"/>
  <c r="S446" i="11"/>
  <c r="Z446" i="11"/>
  <c r="AA446" i="11"/>
  <c r="R447" i="11"/>
  <c r="S447" i="11"/>
  <c r="Z447" i="11"/>
  <c r="AA447" i="11"/>
  <c r="R448" i="11"/>
  <c r="S448" i="11"/>
  <c r="Z448" i="11"/>
  <c r="AA448" i="11"/>
  <c r="R449" i="11"/>
  <c r="S449" i="11"/>
  <c r="Z449" i="11"/>
  <c r="AA449" i="11"/>
  <c r="R450" i="11"/>
  <c r="S450" i="11"/>
  <c r="Z450" i="11"/>
  <c r="AA450" i="11"/>
  <c r="R451" i="11"/>
  <c r="S451" i="11"/>
  <c r="Z451" i="11"/>
  <c r="AA451" i="11"/>
  <c r="R452" i="11"/>
  <c r="S452" i="11"/>
  <c r="Z452" i="11"/>
  <c r="AA452" i="11"/>
  <c r="R453" i="11"/>
  <c r="S453" i="11"/>
  <c r="Z453" i="11"/>
  <c r="AA453" i="11"/>
  <c r="R454" i="11"/>
  <c r="S454" i="11"/>
  <c r="Z454" i="11"/>
  <c r="AA454" i="11"/>
  <c r="R455" i="11"/>
  <c r="S455" i="11"/>
  <c r="Z455" i="11"/>
  <c r="AA455" i="11"/>
  <c r="R456" i="11"/>
  <c r="S456" i="11"/>
  <c r="Z456" i="11"/>
  <c r="AA456" i="11"/>
  <c r="R457" i="11"/>
  <c r="S457" i="11"/>
  <c r="Z457" i="11"/>
  <c r="AA457" i="11"/>
  <c r="R458" i="11"/>
  <c r="S458" i="11"/>
  <c r="Z458" i="11"/>
  <c r="AA458" i="11"/>
  <c r="R459" i="11"/>
  <c r="S459" i="11"/>
  <c r="Z459" i="11"/>
  <c r="AA459" i="11"/>
  <c r="R460" i="11"/>
  <c r="S460" i="11"/>
  <c r="Z460" i="11"/>
  <c r="AA460" i="11"/>
  <c r="R461" i="11"/>
  <c r="S461" i="11"/>
  <c r="Z461" i="11"/>
  <c r="AA461" i="11"/>
  <c r="R462" i="11"/>
  <c r="S462" i="11"/>
  <c r="Z462" i="11"/>
  <c r="AA462" i="11"/>
  <c r="R463" i="11"/>
  <c r="S463" i="11"/>
  <c r="Z463" i="11"/>
  <c r="AA463" i="11"/>
  <c r="R464" i="11"/>
  <c r="S464" i="11"/>
  <c r="Z464" i="11"/>
  <c r="AA464" i="11"/>
  <c r="R465" i="11"/>
  <c r="S465" i="11"/>
  <c r="Z465" i="11"/>
  <c r="AA465" i="11"/>
  <c r="R466" i="11"/>
  <c r="S466" i="11"/>
  <c r="Z466" i="11"/>
  <c r="AA466" i="11"/>
  <c r="R467" i="11"/>
  <c r="S467" i="11"/>
  <c r="Z467" i="11"/>
  <c r="AA467" i="11"/>
  <c r="R468" i="11"/>
  <c r="S468" i="11"/>
  <c r="Z468" i="11"/>
  <c r="AA468" i="11"/>
  <c r="R469" i="11"/>
  <c r="S469" i="11"/>
  <c r="Z469" i="11"/>
  <c r="AA469" i="11"/>
  <c r="R470" i="11"/>
  <c r="S470" i="11"/>
  <c r="Z470" i="11"/>
  <c r="AA470" i="11"/>
  <c r="R471" i="11"/>
  <c r="S471" i="11"/>
  <c r="Z471" i="11"/>
  <c r="AA471" i="11"/>
  <c r="R472" i="11"/>
  <c r="S472" i="11"/>
  <c r="Z472" i="11"/>
  <c r="AA472" i="11"/>
  <c r="R473" i="11"/>
  <c r="S473" i="11"/>
  <c r="Z473" i="11"/>
  <c r="AA473" i="11"/>
  <c r="R474" i="11"/>
  <c r="S474" i="11"/>
  <c r="Z474" i="11"/>
  <c r="AA474" i="11"/>
  <c r="R475" i="11"/>
  <c r="S475" i="11"/>
  <c r="Z475" i="11"/>
  <c r="AA475" i="11"/>
  <c r="R476" i="11"/>
  <c r="S476" i="11"/>
  <c r="Z476" i="11"/>
  <c r="AA476" i="11"/>
  <c r="R477" i="11"/>
  <c r="S477" i="11"/>
  <c r="Z477" i="11"/>
  <c r="AA477" i="11"/>
  <c r="R478" i="11"/>
  <c r="S478" i="11"/>
  <c r="Z478" i="11"/>
  <c r="AA478" i="11"/>
  <c r="R479" i="11"/>
  <c r="S479" i="11"/>
  <c r="Z479" i="11"/>
  <c r="AA479" i="11"/>
  <c r="R480" i="11"/>
  <c r="S480" i="11"/>
  <c r="Z480" i="11"/>
  <c r="AA480" i="11"/>
  <c r="R481" i="11"/>
  <c r="S481" i="11"/>
  <c r="Z481" i="11"/>
  <c r="AA481" i="11"/>
  <c r="R482" i="11"/>
  <c r="S482" i="11"/>
  <c r="Z482" i="11"/>
  <c r="AA482" i="11"/>
  <c r="R483" i="11"/>
  <c r="S483" i="11"/>
  <c r="Z483" i="11"/>
  <c r="AA483" i="11"/>
  <c r="R484" i="11"/>
  <c r="S484" i="11"/>
  <c r="Z484" i="11"/>
  <c r="AA484" i="11"/>
  <c r="R485" i="11"/>
  <c r="S485" i="11"/>
  <c r="Z485" i="11"/>
  <c r="AA485" i="11"/>
  <c r="R486" i="11"/>
  <c r="S486" i="11"/>
  <c r="Z486" i="11"/>
  <c r="AA486" i="11"/>
  <c r="R487" i="11"/>
  <c r="S487" i="11"/>
  <c r="Z487" i="11"/>
  <c r="AA487" i="11"/>
  <c r="R488" i="11"/>
  <c r="S488" i="11"/>
  <c r="Z488" i="11"/>
  <c r="AA488" i="11"/>
  <c r="R489" i="11"/>
  <c r="S489" i="11"/>
  <c r="Z489" i="11"/>
  <c r="AA489" i="11"/>
  <c r="R490" i="11"/>
  <c r="S490" i="11"/>
  <c r="Z490" i="11"/>
  <c r="AA490" i="11"/>
  <c r="R491" i="11"/>
  <c r="S491" i="11"/>
  <c r="Z491" i="11"/>
  <c r="AA491" i="11"/>
  <c r="R492" i="11"/>
  <c r="S492" i="11"/>
  <c r="Z492" i="11"/>
  <c r="AA492" i="11"/>
  <c r="R493" i="11"/>
  <c r="S493" i="11"/>
  <c r="Z493" i="11"/>
  <c r="AA493" i="11"/>
  <c r="R494" i="11"/>
  <c r="S494" i="11"/>
  <c r="Z494" i="11"/>
  <c r="AA494" i="11"/>
  <c r="R495" i="11"/>
  <c r="S495" i="11"/>
  <c r="Z495" i="11"/>
  <c r="AA495" i="11"/>
  <c r="R496" i="11"/>
  <c r="S496" i="11"/>
  <c r="Z496" i="11"/>
  <c r="AA496" i="11"/>
  <c r="R497" i="11"/>
  <c r="S497" i="11"/>
  <c r="Z497" i="11"/>
  <c r="AA497" i="11"/>
  <c r="R498" i="11"/>
  <c r="S498" i="11"/>
  <c r="Z498" i="11"/>
  <c r="AA498" i="11"/>
  <c r="R499" i="11"/>
  <c r="S499" i="11"/>
  <c r="Z499" i="11"/>
  <c r="AA499" i="11"/>
  <c r="R500" i="11"/>
  <c r="S500" i="11"/>
  <c r="Z500" i="11"/>
  <c r="AA500" i="11"/>
  <c r="R501" i="11"/>
  <c r="S501" i="11"/>
  <c r="Z501" i="11"/>
  <c r="AA501" i="11"/>
  <c r="R502" i="11"/>
  <c r="S502" i="11"/>
  <c r="Z502" i="11"/>
  <c r="AA502" i="11"/>
  <c r="R503" i="11"/>
  <c r="S503" i="11"/>
  <c r="Z503" i="11"/>
  <c r="AA503" i="11"/>
  <c r="R504" i="11"/>
  <c r="S504" i="11"/>
  <c r="Z504" i="11"/>
  <c r="AA504" i="11"/>
  <c r="R505" i="11"/>
  <c r="S505" i="11"/>
  <c r="Z505" i="11"/>
  <c r="AA505" i="11"/>
  <c r="R506" i="11"/>
  <c r="S506" i="11"/>
  <c r="Z506" i="11"/>
  <c r="AA506" i="11"/>
  <c r="R507" i="11"/>
  <c r="S507" i="11"/>
  <c r="Z507" i="11"/>
  <c r="AA507" i="11"/>
  <c r="R508" i="11"/>
  <c r="S508" i="11"/>
  <c r="Z508" i="11"/>
  <c r="AA508" i="11"/>
  <c r="R509" i="11"/>
  <c r="S509" i="11"/>
  <c r="Z509" i="11"/>
  <c r="AA509" i="11"/>
  <c r="R510" i="11"/>
  <c r="S510" i="11"/>
  <c r="Z510" i="11"/>
  <c r="AA510" i="11"/>
  <c r="R511" i="11"/>
  <c r="S511" i="11"/>
  <c r="Z511" i="11"/>
  <c r="AA511" i="11"/>
  <c r="R512" i="11"/>
  <c r="S512" i="11"/>
  <c r="Z512" i="11"/>
  <c r="AA512" i="11"/>
  <c r="R513" i="11"/>
  <c r="S513" i="11"/>
  <c r="Z513" i="11"/>
  <c r="AA513" i="11"/>
  <c r="R514" i="11"/>
  <c r="S514" i="11"/>
  <c r="Z514" i="11"/>
  <c r="AA514" i="11"/>
  <c r="R515" i="11"/>
  <c r="S515" i="11"/>
  <c r="Z515" i="11"/>
  <c r="AA515" i="11"/>
  <c r="R516" i="11"/>
  <c r="S516" i="11"/>
  <c r="Z516" i="11"/>
  <c r="AA516" i="11"/>
  <c r="R517" i="11"/>
  <c r="S517" i="11"/>
  <c r="Z517" i="11"/>
  <c r="AA517" i="11"/>
  <c r="R518" i="11"/>
  <c r="S518" i="11"/>
  <c r="Z518" i="11"/>
  <c r="AA518" i="11"/>
  <c r="R519" i="11"/>
  <c r="S519" i="11"/>
  <c r="Z519" i="11"/>
  <c r="AA519" i="11"/>
  <c r="R520" i="11"/>
  <c r="S520" i="11"/>
  <c r="Z520" i="11"/>
  <c r="AA520" i="11"/>
  <c r="R521" i="11"/>
  <c r="S521" i="11"/>
  <c r="Z521" i="11"/>
  <c r="AA521" i="11"/>
  <c r="R522" i="11"/>
  <c r="S522" i="11"/>
  <c r="Z522" i="11"/>
  <c r="AA522" i="11"/>
  <c r="R523" i="11"/>
  <c r="S523" i="11"/>
  <c r="Z523" i="11"/>
  <c r="AA523" i="11"/>
  <c r="R524" i="11"/>
  <c r="S524" i="11"/>
  <c r="Z524" i="11"/>
  <c r="AA524" i="11"/>
  <c r="R525" i="11"/>
  <c r="S525" i="11"/>
  <c r="Z525" i="11"/>
  <c r="AA525" i="11"/>
  <c r="R526" i="11"/>
  <c r="S526" i="11"/>
  <c r="Z526" i="11"/>
  <c r="AA526" i="11"/>
  <c r="R527" i="11"/>
  <c r="S527" i="11"/>
  <c r="Z527" i="11"/>
  <c r="AA527" i="11"/>
  <c r="R528" i="11"/>
  <c r="S528" i="11"/>
  <c r="Z528" i="11"/>
  <c r="AA528" i="11"/>
  <c r="R529" i="11"/>
  <c r="S529" i="11"/>
  <c r="Z529" i="11"/>
  <c r="AA529" i="11"/>
  <c r="R530" i="11"/>
  <c r="S530" i="11"/>
  <c r="Z530" i="11"/>
  <c r="AA530" i="11"/>
  <c r="R531" i="11"/>
  <c r="S531" i="11"/>
  <c r="Z531" i="11"/>
  <c r="AA531" i="11"/>
  <c r="R532" i="11"/>
  <c r="S532" i="11"/>
  <c r="Z532" i="11"/>
  <c r="AA532" i="11"/>
  <c r="R533" i="11"/>
  <c r="S533" i="11"/>
  <c r="Z533" i="11"/>
  <c r="AA533" i="11"/>
  <c r="R534" i="11"/>
  <c r="S534" i="11"/>
  <c r="Z534" i="11"/>
  <c r="AA534" i="11"/>
  <c r="R535" i="11"/>
  <c r="S535" i="11"/>
  <c r="Z535" i="11"/>
  <c r="AA535" i="11"/>
  <c r="R536" i="11"/>
  <c r="S536" i="11"/>
  <c r="Z536" i="11"/>
  <c r="AA536" i="11"/>
  <c r="R537" i="11"/>
  <c r="S537" i="11"/>
  <c r="Z537" i="11"/>
  <c r="AA537" i="11"/>
  <c r="R538" i="11"/>
  <c r="S538" i="11"/>
  <c r="Z538" i="11"/>
  <c r="AA538" i="11"/>
  <c r="R539" i="11"/>
  <c r="S539" i="11"/>
  <c r="Z539" i="11"/>
  <c r="AA539" i="11"/>
  <c r="R540" i="11"/>
  <c r="S540" i="11"/>
  <c r="Z540" i="11"/>
  <c r="AA540" i="11"/>
  <c r="R541" i="11"/>
  <c r="S541" i="11"/>
  <c r="Z541" i="11"/>
  <c r="AA541" i="11"/>
  <c r="R542" i="11"/>
  <c r="S542" i="11"/>
  <c r="Z542" i="11"/>
  <c r="AA542" i="11"/>
  <c r="R543" i="11"/>
  <c r="S543" i="11"/>
  <c r="Z543" i="11"/>
  <c r="AA543" i="11"/>
  <c r="R544" i="11"/>
  <c r="S544" i="11"/>
  <c r="Z544" i="11"/>
  <c r="AA544" i="11"/>
  <c r="R545" i="11"/>
  <c r="S545" i="11"/>
  <c r="Z545" i="11"/>
  <c r="AA545" i="11"/>
  <c r="R546" i="11"/>
  <c r="S546" i="11"/>
  <c r="Z546" i="11"/>
  <c r="AA546" i="11"/>
  <c r="R547" i="11"/>
  <c r="S547" i="11"/>
  <c r="Z547" i="11"/>
  <c r="AA547" i="11"/>
  <c r="R548" i="11"/>
  <c r="S548" i="11"/>
  <c r="Z548" i="11"/>
  <c r="AA548" i="11"/>
  <c r="R549" i="11"/>
  <c r="S549" i="11"/>
  <c r="Z549" i="11"/>
  <c r="AA549" i="11"/>
  <c r="R550" i="11"/>
  <c r="S550" i="11"/>
  <c r="Z550" i="11"/>
  <c r="AA550" i="11"/>
  <c r="R551" i="11"/>
  <c r="S551" i="11"/>
  <c r="Z551" i="11"/>
  <c r="AA551" i="11"/>
  <c r="R552" i="11"/>
  <c r="S552" i="11"/>
  <c r="Z552" i="11"/>
  <c r="AA552" i="11"/>
  <c r="R553" i="11"/>
  <c r="S553" i="11"/>
  <c r="Z553" i="11"/>
  <c r="AA553" i="11"/>
  <c r="R554" i="11"/>
  <c r="S554" i="11"/>
  <c r="Z554" i="11"/>
  <c r="AA554" i="11"/>
  <c r="R555" i="11"/>
  <c r="S555" i="11"/>
  <c r="Z555" i="11"/>
  <c r="AA555" i="11"/>
  <c r="R556" i="11"/>
  <c r="S556" i="11"/>
  <c r="Z556" i="11"/>
  <c r="AA556" i="11"/>
  <c r="R557" i="11"/>
  <c r="S557" i="11"/>
  <c r="Z557" i="11"/>
  <c r="AA557" i="11"/>
  <c r="R558" i="11"/>
  <c r="S558" i="11"/>
  <c r="Z558" i="11"/>
  <c r="AA558" i="11"/>
  <c r="R559" i="11"/>
  <c r="S559" i="11"/>
  <c r="Z559" i="11"/>
  <c r="AA559" i="11"/>
  <c r="R560" i="11"/>
  <c r="S560" i="11"/>
  <c r="Z560" i="11"/>
  <c r="AA560" i="11"/>
  <c r="R561" i="11"/>
  <c r="S561" i="11"/>
  <c r="Z561" i="11"/>
  <c r="AA561" i="11"/>
  <c r="R562" i="11"/>
  <c r="S562" i="11"/>
  <c r="Z562" i="11"/>
  <c r="AA562" i="11"/>
  <c r="R563" i="11"/>
  <c r="S563" i="11"/>
  <c r="Z563" i="11"/>
  <c r="AA563" i="11"/>
  <c r="R564" i="11"/>
  <c r="S564" i="11"/>
  <c r="Z564" i="11"/>
  <c r="AA564" i="11"/>
  <c r="R565" i="11"/>
  <c r="S565" i="11"/>
  <c r="Z565" i="11"/>
  <c r="AA565" i="11"/>
  <c r="R566" i="11"/>
  <c r="S566" i="11"/>
  <c r="Z566" i="11"/>
  <c r="AA566" i="11"/>
  <c r="R567" i="11"/>
  <c r="S567" i="11"/>
  <c r="Z567" i="11"/>
  <c r="AA567" i="11"/>
  <c r="R568" i="11"/>
  <c r="S568" i="11"/>
  <c r="Z568" i="11"/>
  <c r="AA568" i="11"/>
  <c r="R569" i="11"/>
  <c r="S569" i="11"/>
  <c r="Z569" i="11"/>
  <c r="AA569" i="11"/>
  <c r="R570" i="11"/>
  <c r="S570" i="11"/>
  <c r="Z570" i="11"/>
  <c r="AA570" i="11"/>
  <c r="R571" i="11"/>
  <c r="S571" i="11"/>
  <c r="Z571" i="11"/>
  <c r="AA571" i="11"/>
  <c r="R572" i="11"/>
  <c r="S572" i="11"/>
  <c r="Z572" i="11"/>
  <c r="AA572" i="11"/>
  <c r="R573" i="11"/>
  <c r="S573" i="11"/>
  <c r="Z573" i="11"/>
  <c r="AA573" i="11"/>
  <c r="R574" i="11"/>
  <c r="S574" i="11"/>
  <c r="Z574" i="11"/>
  <c r="AA574" i="11"/>
  <c r="R575" i="11"/>
  <c r="S575" i="11"/>
  <c r="Z575" i="11"/>
  <c r="AA575" i="11"/>
  <c r="R576" i="11"/>
  <c r="S576" i="11"/>
  <c r="Z576" i="11"/>
  <c r="AA576" i="11"/>
  <c r="R577" i="11"/>
  <c r="S577" i="11"/>
  <c r="Z577" i="11"/>
  <c r="AA577" i="11"/>
  <c r="R578" i="11"/>
  <c r="S578" i="11"/>
  <c r="Z578" i="11"/>
  <c r="AA578" i="11"/>
  <c r="R579" i="11"/>
  <c r="S579" i="11"/>
  <c r="Z579" i="11"/>
  <c r="AA579" i="11"/>
  <c r="R580" i="11"/>
  <c r="S580" i="11"/>
  <c r="Z580" i="11"/>
  <c r="AA580" i="11"/>
  <c r="R581" i="11"/>
  <c r="S581" i="11"/>
  <c r="Z581" i="11"/>
  <c r="AA581" i="11"/>
  <c r="R582" i="11"/>
  <c r="S582" i="11"/>
  <c r="Z582" i="11"/>
  <c r="AA582" i="11"/>
  <c r="R583" i="11"/>
  <c r="S583" i="11"/>
  <c r="Z583" i="11"/>
  <c r="AA583" i="11"/>
  <c r="R584" i="11"/>
  <c r="S584" i="11"/>
  <c r="Z584" i="11"/>
  <c r="AA584" i="11"/>
  <c r="R585" i="11"/>
  <c r="S585" i="11"/>
  <c r="Z585" i="11"/>
  <c r="AA585" i="11"/>
  <c r="R586" i="11"/>
  <c r="S586" i="11"/>
  <c r="Z586" i="11"/>
  <c r="AA586" i="11"/>
  <c r="R587" i="11"/>
  <c r="S587" i="11"/>
  <c r="Z587" i="11"/>
  <c r="AA587" i="11"/>
  <c r="R588" i="11"/>
  <c r="S588" i="11"/>
  <c r="Z588" i="11"/>
  <c r="AA588" i="11"/>
  <c r="R589" i="11"/>
  <c r="S589" i="11"/>
  <c r="Z589" i="11"/>
  <c r="AA589" i="11"/>
  <c r="R590" i="11"/>
  <c r="S590" i="11"/>
  <c r="Z590" i="11"/>
  <c r="AA590" i="11"/>
  <c r="R591" i="11"/>
  <c r="S591" i="11"/>
  <c r="Z591" i="11"/>
  <c r="AA591" i="11"/>
  <c r="R592" i="11"/>
  <c r="S592" i="11"/>
  <c r="Z592" i="11"/>
  <c r="AA592" i="11"/>
  <c r="R593" i="11"/>
  <c r="S593" i="11"/>
  <c r="Z593" i="11"/>
  <c r="AA593" i="11"/>
  <c r="R594" i="11"/>
  <c r="S594" i="11"/>
  <c r="Z594" i="11"/>
  <c r="AA594" i="11"/>
  <c r="R595" i="11"/>
  <c r="S595" i="11"/>
  <c r="Z595" i="11"/>
  <c r="AA595" i="11"/>
  <c r="R596" i="11"/>
  <c r="S596" i="11"/>
  <c r="Z596" i="11"/>
  <c r="AA596" i="11"/>
  <c r="R597" i="11"/>
  <c r="S597" i="11"/>
  <c r="Z597" i="11"/>
  <c r="AA597" i="11"/>
  <c r="R598" i="11"/>
  <c r="S598" i="11"/>
  <c r="Z598" i="11"/>
  <c r="AA598" i="11"/>
  <c r="R599" i="11"/>
  <c r="S599" i="11"/>
  <c r="Z599" i="11"/>
  <c r="AA599" i="11"/>
  <c r="R600" i="11"/>
  <c r="S600" i="11"/>
  <c r="Z600" i="11"/>
  <c r="AA600" i="11"/>
  <c r="R601" i="11"/>
  <c r="S601" i="11"/>
  <c r="Z601" i="11"/>
  <c r="AA601" i="11"/>
  <c r="R602" i="11"/>
  <c r="S602" i="11"/>
  <c r="Z602" i="11"/>
  <c r="AA602" i="11"/>
  <c r="R603" i="11"/>
  <c r="S603" i="11"/>
  <c r="Z603" i="11"/>
  <c r="AA603" i="11"/>
  <c r="R604" i="11"/>
  <c r="S604" i="11"/>
  <c r="Z604" i="11"/>
  <c r="AA604" i="11"/>
  <c r="R605" i="11"/>
  <c r="S605" i="11"/>
  <c r="Z605" i="11"/>
  <c r="AA605" i="11"/>
  <c r="R606" i="11"/>
  <c r="S606" i="11"/>
  <c r="Z606" i="11"/>
  <c r="AA606" i="11"/>
  <c r="R607" i="11"/>
  <c r="S607" i="11"/>
  <c r="Z607" i="11"/>
  <c r="AA607" i="11"/>
  <c r="R608" i="11"/>
  <c r="S608" i="11"/>
  <c r="Z608" i="11"/>
  <c r="AA608" i="11"/>
  <c r="R609" i="11"/>
  <c r="S609" i="11"/>
  <c r="Z609" i="11"/>
  <c r="AA609" i="11"/>
  <c r="R610" i="11"/>
  <c r="S610" i="11"/>
  <c r="Z610" i="11"/>
  <c r="AA610" i="11"/>
  <c r="R611" i="11"/>
  <c r="S611" i="11"/>
  <c r="Z611" i="11"/>
  <c r="AA611" i="11"/>
  <c r="R612" i="11"/>
  <c r="S612" i="11"/>
  <c r="Z612" i="11"/>
  <c r="AA612" i="11"/>
  <c r="R613" i="11"/>
  <c r="S613" i="11"/>
  <c r="Z613" i="11"/>
  <c r="AA613" i="11"/>
  <c r="R614" i="11"/>
  <c r="S614" i="11"/>
  <c r="Z614" i="11"/>
  <c r="AA614" i="11"/>
  <c r="R615" i="11"/>
  <c r="S615" i="11"/>
  <c r="Z615" i="11"/>
  <c r="AA615" i="11"/>
  <c r="R616" i="11"/>
  <c r="S616" i="11"/>
  <c r="Z616" i="11"/>
  <c r="AA616" i="11"/>
  <c r="R617" i="11"/>
  <c r="S617" i="11"/>
  <c r="Z617" i="11"/>
  <c r="AA617" i="11"/>
  <c r="R618" i="11"/>
  <c r="S618" i="11"/>
  <c r="Z618" i="11"/>
  <c r="AA618" i="11"/>
  <c r="R619" i="11"/>
  <c r="S619" i="11"/>
  <c r="Z619" i="11"/>
  <c r="AA619" i="11"/>
  <c r="R620" i="11"/>
  <c r="S620" i="11"/>
  <c r="Z620" i="11"/>
  <c r="AA620" i="11"/>
  <c r="R621" i="11"/>
  <c r="S621" i="11"/>
  <c r="Z621" i="11"/>
  <c r="AA621" i="11"/>
  <c r="R622" i="11"/>
  <c r="S622" i="11"/>
  <c r="Z622" i="11"/>
  <c r="AA622" i="11"/>
  <c r="R623" i="11"/>
  <c r="S623" i="11"/>
  <c r="Z623" i="11"/>
  <c r="AA623" i="11"/>
  <c r="R624" i="11"/>
  <c r="S624" i="11"/>
  <c r="Z624" i="11"/>
  <c r="AA624" i="11"/>
  <c r="R625" i="11"/>
  <c r="S625" i="11"/>
  <c r="Z625" i="11"/>
  <c r="AA625" i="11"/>
  <c r="R626" i="11"/>
  <c r="S626" i="11"/>
  <c r="Z626" i="11"/>
  <c r="AA626" i="11"/>
  <c r="R627" i="11"/>
  <c r="S627" i="11"/>
  <c r="Z627" i="11"/>
  <c r="AA627" i="11"/>
  <c r="R628" i="11"/>
  <c r="S628" i="11"/>
  <c r="Z628" i="11"/>
  <c r="AA628" i="11"/>
  <c r="R629" i="11"/>
  <c r="S629" i="11"/>
  <c r="Z629" i="11"/>
  <c r="AA629" i="11"/>
  <c r="R630" i="11"/>
  <c r="S630" i="11"/>
  <c r="Z630" i="11"/>
  <c r="AA630" i="11"/>
  <c r="R631" i="11"/>
  <c r="S631" i="11"/>
  <c r="Z631" i="11"/>
  <c r="AA631" i="11"/>
  <c r="R632" i="11"/>
  <c r="S632" i="11"/>
  <c r="Z632" i="11"/>
  <c r="AA632" i="11"/>
  <c r="R633" i="11"/>
  <c r="S633" i="11"/>
  <c r="Z633" i="11"/>
  <c r="AA633" i="11"/>
  <c r="R634" i="11"/>
  <c r="S634" i="11"/>
  <c r="Z634" i="11"/>
  <c r="AA634" i="11"/>
  <c r="R635" i="11"/>
  <c r="S635" i="11"/>
  <c r="Z635" i="11"/>
  <c r="AA635" i="11"/>
  <c r="R636" i="11"/>
  <c r="S636" i="11"/>
  <c r="Z636" i="11"/>
  <c r="AA636" i="11"/>
  <c r="R637" i="11"/>
  <c r="S637" i="11"/>
  <c r="Z637" i="11"/>
  <c r="AA637" i="11"/>
  <c r="R638" i="11"/>
  <c r="S638" i="11"/>
  <c r="Z638" i="11"/>
  <c r="AA638" i="11"/>
  <c r="R639" i="11"/>
  <c r="S639" i="11"/>
  <c r="Z639" i="11"/>
  <c r="AA639" i="11"/>
  <c r="R640" i="11"/>
  <c r="S640" i="11"/>
  <c r="Z640" i="11"/>
  <c r="AA640" i="11"/>
  <c r="R641" i="11"/>
  <c r="S641" i="11"/>
  <c r="Z641" i="11"/>
  <c r="AA641" i="11"/>
  <c r="R642" i="11"/>
  <c r="S642" i="11"/>
  <c r="Z642" i="11"/>
  <c r="AA642" i="11"/>
  <c r="R643" i="11"/>
  <c r="S643" i="11"/>
  <c r="Z643" i="11"/>
  <c r="AA643" i="11"/>
  <c r="R644" i="11"/>
  <c r="S644" i="11"/>
  <c r="Z644" i="11"/>
  <c r="AA644" i="11"/>
  <c r="R645" i="11"/>
  <c r="S645" i="11"/>
  <c r="Z645" i="11"/>
  <c r="AA645" i="11"/>
  <c r="R646" i="11"/>
  <c r="S646" i="11"/>
  <c r="Z646" i="11"/>
  <c r="AA646" i="11"/>
  <c r="R647" i="11"/>
  <c r="S647" i="11"/>
  <c r="Z647" i="11"/>
  <c r="AA647" i="11"/>
  <c r="R648" i="11"/>
  <c r="S648" i="11"/>
  <c r="Z648" i="11"/>
  <c r="AA648" i="11"/>
  <c r="R649" i="11"/>
  <c r="S649" i="11"/>
  <c r="Z649" i="11"/>
  <c r="AA649" i="11"/>
  <c r="R650" i="11"/>
  <c r="S650" i="11"/>
  <c r="Z650" i="11"/>
  <c r="AA650" i="11"/>
  <c r="R651" i="11"/>
  <c r="S651" i="11"/>
  <c r="Z651" i="11"/>
  <c r="AA651" i="11"/>
  <c r="R652" i="11"/>
  <c r="S652" i="11"/>
  <c r="Z652" i="11"/>
  <c r="AA652" i="11"/>
  <c r="R653" i="11"/>
  <c r="S653" i="11"/>
  <c r="Z653" i="11"/>
  <c r="AA653" i="11"/>
  <c r="R654" i="11"/>
  <c r="S654" i="11"/>
  <c r="Z654" i="11"/>
  <c r="AA654" i="11"/>
  <c r="R655" i="11"/>
  <c r="S655" i="11"/>
  <c r="Z655" i="11"/>
  <c r="AA655" i="11"/>
  <c r="R656" i="11"/>
  <c r="S656" i="11"/>
  <c r="Z656" i="11"/>
  <c r="AA656" i="11"/>
  <c r="R657" i="11"/>
  <c r="S657" i="11"/>
  <c r="Z657" i="11"/>
  <c r="AA657" i="11"/>
  <c r="R658" i="11"/>
  <c r="S658" i="11"/>
  <c r="Z658" i="11"/>
  <c r="AA658" i="11"/>
  <c r="R659" i="11"/>
  <c r="S659" i="11"/>
  <c r="Z659" i="11"/>
  <c r="AA659" i="11"/>
  <c r="R660" i="11"/>
  <c r="S660" i="11"/>
  <c r="Z660" i="11"/>
  <c r="AA660" i="11"/>
  <c r="R661" i="11"/>
  <c r="S661" i="11"/>
  <c r="Z661" i="11"/>
  <c r="AA661" i="11"/>
  <c r="R662" i="11"/>
  <c r="S662" i="11"/>
  <c r="Z662" i="11"/>
  <c r="AA662" i="11"/>
  <c r="R663" i="11"/>
  <c r="S663" i="11"/>
  <c r="Z663" i="11"/>
  <c r="AA663" i="11"/>
  <c r="R664" i="11"/>
  <c r="S664" i="11"/>
  <c r="Z664" i="11"/>
  <c r="AA664" i="11"/>
  <c r="R665" i="11"/>
  <c r="S665" i="11"/>
  <c r="Z665" i="11"/>
  <c r="AA665" i="11"/>
  <c r="R666" i="11"/>
  <c r="S666" i="11"/>
  <c r="Z666" i="11"/>
  <c r="AA666" i="11"/>
  <c r="R667" i="11"/>
  <c r="S667" i="11"/>
  <c r="Z667" i="11"/>
  <c r="AA667" i="11"/>
  <c r="R668" i="11"/>
  <c r="S668" i="11"/>
  <c r="Z668" i="11"/>
  <c r="AA668" i="11"/>
  <c r="R669" i="11"/>
  <c r="S669" i="11"/>
  <c r="Z669" i="11"/>
  <c r="AA669" i="11"/>
  <c r="R670" i="11"/>
  <c r="S670" i="11"/>
  <c r="Z670" i="11"/>
  <c r="AA670" i="11"/>
  <c r="R671" i="11"/>
  <c r="S671" i="11"/>
  <c r="Z671" i="11"/>
  <c r="AA671" i="11"/>
  <c r="R672" i="11"/>
  <c r="S672" i="11"/>
  <c r="Z672" i="11"/>
  <c r="AA672" i="11"/>
  <c r="R673" i="11"/>
  <c r="S673" i="11"/>
  <c r="Z673" i="11"/>
  <c r="AA673" i="11"/>
  <c r="R674" i="11"/>
  <c r="S674" i="11"/>
  <c r="Z674" i="11"/>
  <c r="AA674" i="11"/>
  <c r="R675" i="11"/>
  <c r="S675" i="11"/>
  <c r="Z675" i="11"/>
  <c r="AA675" i="11"/>
  <c r="R676" i="11"/>
  <c r="S676" i="11"/>
  <c r="Z676" i="11"/>
  <c r="AA676" i="11"/>
  <c r="R677" i="11"/>
  <c r="S677" i="11"/>
  <c r="Z677" i="11"/>
  <c r="AA677" i="11"/>
  <c r="R678" i="11"/>
  <c r="S678" i="11"/>
  <c r="Z678" i="11"/>
  <c r="AA678" i="11"/>
  <c r="R679" i="11"/>
  <c r="S679" i="11"/>
  <c r="Z679" i="11"/>
  <c r="AA679" i="11"/>
  <c r="R680" i="11"/>
  <c r="S680" i="11"/>
  <c r="Z680" i="11"/>
  <c r="AA680" i="11"/>
  <c r="R681" i="11"/>
  <c r="S681" i="11"/>
  <c r="Z681" i="11"/>
  <c r="AA681" i="11"/>
  <c r="R682" i="11"/>
  <c r="S682" i="11"/>
  <c r="Z682" i="11"/>
  <c r="AA682" i="11"/>
  <c r="R683" i="11"/>
  <c r="S683" i="11"/>
  <c r="Z683" i="11"/>
  <c r="AA683" i="11"/>
  <c r="R684" i="11"/>
  <c r="S684" i="11"/>
  <c r="Z684" i="11"/>
  <c r="AA684" i="11"/>
  <c r="R685" i="11"/>
  <c r="S685" i="11"/>
  <c r="Z685" i="11"/>
  <c r="AA685" i="11"/>
  <c r="R686" i="11"/>
  <c r="S686" i="11"/>
  <c r="Z686" i="11"/>
  <c r="AA686" i="11"/>
  <c r="R687" i="11"/>
  <c r="S687" i="11"/>
  <c r="Z687" i="11"/>
  <c r="AA687" i="11"/>
  <c r="R688" i="11"/>
  <c r="S688" i="11"/>
  <c r="Z688" i="11"/>
  <c r="AA688" i="11"/>
  <c r="R689" i="11"/>
  <c r="S689" i="11"/>
  <c r="Z689" i="11"/>
  <c r="AA689" i="11"/>
  <c r="R690" i="11"/>
  <c r="S690" i="11"/>
  <c r="Z690" i="11"/>
  <c r="AA690" i="11"/>
  <c r="R691" i="11"/>
  <c r="S691" i="11"/>
  <c r="Z691" i="11"/>
  <c r="AA691" i="11"/>
  <c r="R692" i="11"/>
  <c r="S692" i="11"/>
  <c r="Z692" i="11"/>
  <c r="AA692" i="11"/>
  <c r="R693" i="11"/>
  <c r="S693" i="11"/>
  <c r="Z693" i="11"/>
  <c r="AA693" i="11"/>
  <c r="R694" i="11"/>
  <c r="S694" i="11"/>
  <c r="Z694" i="11"/>
  <c r="AA694" i="11"/>
  <c r="R695" i="11"/>
  <c r="S695" i="11"/>
  <c r="Z695" i="11"/>
  <c r="AA695" i="11"/>
  <c r="R696" i="11"/>
  <c r="S696" i="11"/>
  <c r="Z696" i="11"/>
  <c r="AA696" i="11"/>
  <c r="R697" i="11"/>
  <c r="S697" i="11"/>
  <c r="Z697" i="11"/>
  <c r="AA697" i="11"/>
  <c r="R698" i="11"/>
  <c r="S698" i="11"/>
  <c r="Z698" i="11"/>
  <c r="AA698" i="11"/>
  <c r="R699" i="11"/>
  <c r="S699" i="11"/>
  <c r="Z699" i="11"/>
  <c r="AA699" i="11"/>
  <c r="R700" i="11"/>
  <c r="S700" i="11"/>
  <c r="Z700" i="11"/>
  <c r="AA700" i="11"/>
  <c r="R701" i="11"/>
  <c r="S701" i="11"/>
  <c r="Z701" i="11"/>
  <c r="AA701" i="11"/>
  <c r="R702" i="11"/>
  <c r="S702" i="11"/>
  <c r="Z702" i="11"/>
  <c r="AA702" i="11"/>
  <c r="R703" i="11"/>
  <c r="S703" i="11"/>
  <c r="Z703" i="11"/>
  <c r="AA703" i="11"/>
  <c r="R704" i="11"/>
  <c r="S704" i="11"/>
  <c r="Z704" i="11"/>
  <c r="AA704" i="11"/>
  <c r="R705" i="11"/>
  <c r="S705" i="11"/>
  <c r="Z705" i="11"/>
  <c r="AA705" i="11"/>
  <c r="R706" i="11"/>
  <c r="S706" i="11"/>
  <c r="Z706" i="11"/>
  <c r="AA706" i="11"/>
  <c r="R707" i="11"/>
  <c r="S707" i="11"/>
  <c r="Z707" i="11"/>
  <c r="AA707" i="11"/>
  <c r="R708" i="11"/>
  <c r="S708" i="11"/>
  <c r="Z708" i="11"/>
  <c r="AA708" i="11"/>
  <c r="R709" i="11"/>
  <c r="S709" i="11"/>
  <c r="Z709" i="11"/>
  <c r="AA709" i="11"/>
  <c r="R710" i="11"/>
  <c r="S710" i="11"/>
  <c r="Z710" i="11"/>
  <c r="AA710" i="11"/>
  <c r="R711" i="11"/>
  <c r="S711" i="11"/>
  <c r="Z711" i="11"/>
  <c r="AA711" i="11"/>
  <c r="R712" i="11"/>
  <c r="S712" i="11"/>
  <c r="Z712" i="11"/>
  <c r="AA712" i="11"/>
  <c r="R713" i="11"/>
  <c r="S713" i="11"/>
  <c r="Z713" i="11"/>
  <c r="AA713" i="11"/>
  <c r="R714" i="11"/>
  <c r="S714" i="11"/>
  <c r="Z714" i="11"/>
  <c r="AA714" i="11"/>
  <c r="R715" i="11"/>
  <c r="S715" i="11"/>
  <c r="Z715" i="11"/>
  <c r="AA715" i="11"/>
  <c r="R716" i="11"/>
  <c r="S716" i="11"/>
  <c r="Z716" i="11"/>
  <c r="AA716" i="11"/>
  <c r="R717" i="11"/>
  <c r="S717" i="11"/>
  <c r="Z717" i="11"/>
  <c r="AA717" i="11"/>
  <c r="R718" i="11"/>
  <c r="S718" i="11"/>
  <c r="Z718" i="11"/>
  <c r="AA718" i="11"/>
  <c r="R719" i="11"/>
  <c r="S719" i="11"/>
  <c r="Z719" i="11"/>
  <c r="AA719" i="11"/>
  <c r="R720" i="11"/>
  <c r="S720" i="11"/>
  <c r="Z720" i="11"/>
  <c r="AA720" i="11"/>
  <c r="R721" i="11"/>
  <c r="S721" i="11"/>
  <c r="Z721" i="11"/>
  <c r="AA721" i="11"/>
  <c r="R722" i="11"/>
  <c r="S722" i="11"/>
  <c r="Z722" i="11"/>
  <c r="AA722" i="11"/>
  <c r="R723" i="11"/>
  <c r="S723" i="11"/>
  <c r="Z723" i="11"/>
  <c r="AA723" i="11"/>
  <c r="R724" i="11"/>
  <c r="S724" i="11"/>
  <c r="Z724" i="11"/>
  <c r="AA724" i="11"/>
  <c r="R725" i="11"/>
  <c r="S725" i="11"/>
  <c r="Z725" i="11"/>
  <c r="AA725" i="11"/>
  <c r="R726" i="11"/>
  <c r="S726" i="11"/>
  <c r="Z726" i="11"/>
  <c r="AA726" i="11"/>
  <c r="R727" i="11"/>
  <c r="S727" i="11"/>
  <c r="Z727" i="11"/>
  <c r="AA727" i="11"/>
  <c r="R728" i="11"/>
  <c r="S728" i="11"/>
  <c r="Z728" i="11"/>
  <c r="AA728" i="11"/>
  <c r="R729" i="11"/>
  <c r="S729" i="11"/>
  <c r="Z729" i="11"/>
  <c r="AA729" i="11"/>
  <c r="R730" i="11"/>
  <c r="S730" i="11"/>
  <c r="Z730" i="11"/>
  <c r="AA730" i="11"/>
  <c r="R731" i="11"/>
  <c r="S731" i="11"/>
  <c r="Z731" i="11"/>
  <c r="AA731" i="11"/>
  <c r="R732" i="11"/>
  <c r="S732" i="11"/>
  <c r="Z732" i="11"/>
  <c r="AA732" i="11"/>
  <c r="R733" i="11"/>
  <c r="S733" i="11"/>
  <c r="Z733" i="11"/>
  <c r="AA733" i="11"/>
  <c r="R734" i="11"/>
  <c r="S734" i="11"/>
  <c r="Z734" i="11"/>
  <c r="AA734" i="11"/>
  <c r="R735" i="11"/>
  <c r="S735" i="11"/>
  <c r="Z735" i="11"/>
  <c r="AA735" i="11"/>
  <c r="R736" i="11"/>
  <c r="S736" i="11"/>
  <c r="Z736" i="11"/>
  <c r="AA736" i="11"/>
  <c r="R737" i="11"/>
  <c r="S737" i="11"/>
  <c r="Z737" i="11"/>
  <c r="AA737" i="11"/>
  <c r="R738" i="11"/>
  <c r="S738" i="11"/>
  <c r="Z738" i="11"/>
  <c r="AA738" i="11"/>
  <c r="R739" i="11"/>
  <c r="S739" i="11"/>
  <c r="Z739" i="11"/>
  <c r="AA739" i="11"/>
  <c r="R740" i="11"/>
  <c r="S740" i="11"/>
  <c r="Z740" i="11"/>
  <c r="AA740" i="11"/>
  <c r="R741" i="11"/>
  <c r="S741" i="11"/>
  <c r="Z741" i="11"/>
  <c r="AA741" i="11"/>
  <c r="R742" i="11"/>
  <c r="S742" i="11"/>
  <c r="Z742" i="11"/>
  <c r="AA742" i="11"/>
  <c r="R743" i="11"/>
  <c r="S743" i="11"/>
  <c r="Z743" i="11"/>
  <c r="AA743" i="11"/>
  <c r="R744" i="11"/>
  <c r="S744" i="11"/>
  <c r="Z744" i="11"/>
  <c r="AA744" i="11"/>
  <c r="R745" i="11"/>
  <c r="S745" i="11"/>
  <c r="Z745" i="11"/>
  <c r="AA745" i="11"/>
  <c r="R746" i="11"/>
  <c r="S746" i="11"/>
  <c r="Z746" i="11"/>
  <c r="AA746" i="11"/>
  <c r="R747" i="11"/>
  <c r="S747" i="11"/>
  <c r="Z747" i="11"/>
  <c r="AA747" i="11"/>
  <c r="R748" i="11"/>
  <c r="S748" i="11"/>
  <c r="Z748" i="11"/>
  <c r="AA748" i="11"/>
  <c r="R749" i="11"/>
  <c r="S749" i="11"/>
  <c r="Z749" i="11"/>
  <c r="AA749" i="11"/>
  <c r="R750" i="11"/>
  <c r="S750" i="11"/>
  <c r="Z750" i="11"/>
  <c r="AA750" i="11"/>
  <c r="R751" i="11"/>
  <c r="S751" i="11"/>
  <c r="Z751" i="11"/>
  <c r="AA751" i="11"/>
  <c r="R752" i="11"/>
  <c r="S752" i="11"/>
  <c r="Z752" i="11"/>
  <c r="AA752" i="11"/>
  <c r="R753" i="11"/>
  <c r="S753" i="11"/>
  <c r="Z753" i="11"/>
  <c r="AA753" i="11"/>
  <c r="R754" i="11"/>
  <c r="S754" i="11"/>
  <c r="Z754" i="11"/>
  <c r="AA754" i="11"/>
  <c r="R755" i="11"/>
  <c r="S755" i="11"/>
  <c r="Z755" i="11"/>
  <c r="AA755" i="11"/>
  <c r="R756" i="11"/>
  <c r="S756" i="11"/>
  <c r="Z756" i="11"/>
  <c r="AA756" i="11"/>
  <c r="R757" i="11"/>
  <c r="S757" i="11"/>
  <c r="Z757" i="11"/>
  <c r="AA757" i="11"/>
  <c r="R758" i="11"/>
  <c r="S758" i="11"/>
  <c r="Z758" i="11"/>
  <c r="AA758" i="11"/>
  <c r="R759" i="11"/>
  <c r="S759" i="11"/>
  <c r="Z759" i="11"/>
  <c r="AA759" i="11"/>
  <c r="R760" i="11"/>
  <c r="S760" i="11"/>
  <c r="Z760" i="11"/>
  <c r="AA760" i="11"/>
  <c r="R761" i="11"/>
  <c r="S761" i="11"/>
  <c r="Z761" i="11"/>
  <c r="AA761" i="11"/>
  <c r="R762" i="11"/>
  <c r="S762" i="11"/>
  <c r="Z762" i="11"/>
  <c r="AA762" i="11"/>
  <c r="R763" i="11"/>
  <c r="S763" i="11"/>
  <c r="Z763" i="11"/>
  <c r="AA763" i="11"/>
  <c r="R764" i="11"/>
  <c r="S764" i="11"/>
  <c r="Z764" i="11"/>
  <c r="AA764" i="11"/>
  <c r="R765" i="11"/>
  <c r="S765" i="11"/>
  <c r="Z765" i="11"/>
  <c r="AA765" i="11"/>
  <c r="R766" i="11"/>
  <c r="S766" i="11"/>
  <c r="Z766" i="11"/>
  <c r="AA766" i="11"/>
  <c r="R767" i="11"/>
  <c r="S767" i="11"/>
  <c r="Z767" i="11"/>
  <c r="AA767" i="11"/>
  <c r="R768" i="11"/>
  <c r="S768" i="11"/>
  <c r="Z768" i="11"/>
  <c r="AA768" i="11"/>
  <c r="R769" i="11"/>
  <c r="S769" i="11"/>
  <c r="Z769" i="11"/>
  <c r="AA769" i="11"/>
  <c r="R770" i="11"/>
  <c r="S770" i="11"/>
  <c r="Z770" i="11"/>
  <c r="AA770" i="11"/>
  <c r="R771" i="11"/>
  <c r="S771" i="11"/>
  <c r="Z771" i="11"/>
  <c r="AA771" i="11"/>
  <c r="R772" i="11"/>
  <c r="S772" i="11"/>
  <c r="Z772" i="11"/>
  <c r="AA772" i="11"/>
  <c r="R773" i="11"/>
  <c r="S773" i="11"/>
  <c r="Z773" i="11"/>
  <c r="AA773" i="11"/>
  <c r="R774" i="11"/>
  <c r="S774" i="11"/>
  <c r="Z774" i="11"/>
  <c r="AA774" i="11"/>
  <c r="R775" i="11"/>
  <c r="S775" i="11"/>
  <c r="Z775" i="11"/>
  <c r="AA775" i="11"/>
  <c r="R776" i="11"/>
  <c r="S776" i="11"/>
  <c r="Z776" i="11"/>
  <c r="AA776" i="11"/>
  <c r="R777" i="11"/>
  <c r="S777" i="11"/>
  <c r="Z777" i="11"/>
  <c r="AA777" i="11"/>
  <c r="R778" i="11"/>
  <c r="S778" i="11"/>
  <c r="Z778" i="11"/>
  <c r="AA778" i="11"/>
  <c r="R779" i="11"/>
  <c r="S779" i="11"/>
  <c r="Z779" i="11"/>
  <c r="AA779" i="11"/>
  <c r="R780" i="11"/>
  <c r="S780" i="11"/>
  <c r="Z780" i="11"/>
  <c r="AA780" i="11"/>
  <c r="R781" i="11"/>
  <c r="S781" i="11"/>
  <c r="Z781" i="11"/>
  <c r="AA781" i="11"/>
  <c r="R782" i="11"/>
  <c r="S782" i="11"/>
  <c r="Z782" i="11"/>
  <c r="AA782" i="11"/>
  <c r="R783" i="11"/>
  <c r="S783" i="11"/>
  <c r="Z783" i="11"/>
  <c r="AA783" i="11"/>
  <c r="R784" i="11"/>
  <c r="S784" i="11"/>
  <c r="Z784" i="11"/>
  <c r="AA784" i="11"/>
  <c r="R785" i="11"/>
  <c r="S785" i="11"/>
  <c r="Z785" i="11"/>
  <c r="AA785" i="11"/>
  <c r="R786" i="11"/>
  <c r="S786" i="11"/>
  <c r="Z786" i="11"/>
  <c r="AA786" i="11"/>
  <c r="R787" i="11"/>
  <c r="S787" i="11"/>
  <c r="Z787" i="11"/>
  <c r="AA787" i="11"/>
  <c r="R788" i="11"/>
  <c r="S788" i="11"/>
  <c r="Z788" i="11"/>
  <c r="AA788" i="11"/>
  <c r="R789" i="11"/>
  <c r="S789" i="11"/>
  <c r="Z789" i="11"/>
  <c r="AA789" i="11"/>
  <c r="R790" i="11"/>
  <c r="S790" i="11"/>
  <c r="Z790" i="11"/>
  <c r="AA790" i="11"/>
  <c r="R791" i="11"/>
  <c r="S791" i="11"/>
  <c r="Z791" i="11"/>
  <c r="AA791" i="11"/>
  <c r="R792" i="11"/>
  <c r="S792" i="11"/>
  <c r="Z792" i="11"/>
  <c r="AA792" i="11"/>
  <c r="R793" i="11"/>
  <c r="S793" i="11"/>
  <c r="Z793" i="11"/>
  <c r="AA793" i="11"/>
  <c r="R794" i="11"/>
  <c r="S794" i="11"/>
  <c r="Z794" i="11"/>
  <c r="AA794" i="11"/>
  <c r="R795" i="11"/>
  <c r="S795" i="11"/>
  <c r="Z795" i="11"/>
  <c r="AA795" i="11"/>
  <c r="R796" i="11"/>
  <c r="S796" i="11"/>
  <c r="Z796" i="11"/>
  <c r="AA796" i="11"/>
  <c r="R797" i="11"/>
  <c r="S797" i="11"/>
  <c r="Z797" i="11"/>
  <c r="AA797" i="11"/>
  <c r="R798" i="11"/>
  <c r="S798" i="11"/>
  <c r="Z798" i="11"/>
  <c r="AA798" i="11"/>
  <c r="R799" i="11"/>
  <c r="S799" i="11"/>
  <c r="Z799" i="11"/>
  <c r="AA799" i="11"/>
  <c r="R800" i="11"/>
  <c r="S800" i="11"/>
  <c r="Z800" i="11"/>
  <c r="AA800" i="11"/>
  <c r="R801" i="11"/>
  <c r="S801" i="11"/>
  <c r="Z801" i="11"/>
  <c r="AA801" i="11"/>
  <c r="R802" i="11"/>
  <c r="S802" i="11"/>
  <c r="Z802" i="11"/>
  <c r="AA802" i="11"/>
  <c r="R803" i="11"/>
  <c r="S803" i="11"/>
  <c r="Z803" i="11"/>
  <c r="AA803" i="11"/>
  <c r="R804" i="11"/>
  <c r="S804" i="11"/>
  <c r="Z804" i="11"/>
  <c r="AA804" i="11"/>
  <c r="R805" i="11"/>
  <c r="S805" i="11"/>
  <c r="Z805" i="11"/>
  <c r="AA805" i="11"/>
  <c r="R806" i="11"/>
  <c r="S806" i="11"/>
  <c r="Z806" i="11"/>
  <c r="AA806" i="11"/>
  <c r="R807" i="11"/>
  <c r="S807" i="11"/>
  <c r="Z807" i="11"/>
  <c r="AA807" i="11"/>
  <c r="R808" i="11"/>
  <c r="S808" i="11"/>
  <c r="Z808" i="11"/>
  <c r="AA808" i="11"/>
  <c r="R809" i="11"/>
  <c r="S809" i="11"/>
  <c r="Z809" i="11"/>
  <c r="AA809" i="11"/>
  <c r="R810" i="11"/>
  <c r="S810" i="11"/>
  <c r="Z810" i="11"/>
  <c r="AA810" i="11"/>
  <c r="R811" i="11"/>
  <c r="S811" i="11"/>
  <c r="Z811" i="11"/>
  <c r="AA811" i="11"/>
  <c r="R812" i="11"/>
  <c r="S812" i="11"/>
  <c r="Z812" i="11"/>
  <c r="AA812" i="11"/>
  <c r="R813" i="11"/>
  <c r="S813" i="11"/>
  <c r="Z813" i="11"/>
  <c r="AA813" i="11"/>
  <c r="R814" i="11"/>
  <c r="S814" i="11"/>
  <c r="Z814" i="11"/>
  <c r="AA814" i="11"/>
  <c r="R815" i="11"/>
  <c r="S815" i="11"/>
  <c r="Z815" i="11"/>
  <c r="AA815" i="11"/>
  <c r="R816" i="11"/>
  <c r="S816" i="11"/>
  <c r="Z816" i="11"/>
  <c r="AA816" i="11"/>
  <c r="R817" i="11"/>
  <c r="S817" i="11"/>
  <c r="Z817" i="11"/>
  <c r="AA817" i="11"/>
  <c r="R818" i="11"/>
  <c r="S818" i="11"/>
  <c r="Z818" i="11"/>
  <c r="AA818" i="11"/>
  <c r="R819" i="11"/>
  <c r="S819" i="11"/>
  <c r="Z819" i="11"/>
  <c r="AA819" i="11"/>
  <c r="R820" i="11"/>
  <c r="S820" i="11"/>
  <c r="Z820" i="11"/>
  <c r="AA820" i="11"/>
  <c r="R821" i="11"/>
  <c r="S821" i="11"/>
  <c r="Z821" i="11"/>
  <c r="AA821" i="11"/>
  <c r="R822" i="11"/>
  <c r="S822" i="11"/>
  <c r="Z822" i="11"/>
  <c r="AA822" i="11"/>
  <c r="R823" i="11"/>
  <c r="S823" i="11"/>
  <c r="Z823" i="11"/>
  <c r="AA823" i="11"/>
  <c r="R824" i="11"/>
  <c r="S824" i="11"/>
  <c r="Z824" i="11"/>
  <c r="AA824" i="11"/>
  <c r="R825" i="11"/>
  <c r="S825" i="11"/>
  <c r="Z825" i="11"/>
  <c r="AA825" i="11"/>
  <c r="R826" i="11"/>
  <c r="S826" i="11"/>
  <c r="Z826" i="11"/>
  <c r="AA826" i="11"/>
  <c r="R827" i="11"/>
  <c r="S827" i="11"/>
  <c r="Z827" i="11"/>
  <c r="AA827" i="11"/>
  <c r="R828" i="11"/>
  <c r="S828" i="11"/>
  <c r="Z828" i="11"/>
  <c r="AA828" i="11"/>
  <c r="R829" i="11"/>
  <c r="S829" i="11"/>
  <c r="Z829" i="11"/>
  <c r="AA829" i="11"/>
  <c r="R830" i="11"/>
  <c r="S830" i="11"/>
  <c r="Z830" i="11"/>
  <c r="AA830" i="11"/>
  <c r="R831" i="11"/>
  <c r="S831" i="11"/>
  <c r="Z831" i="11"/>
  <c r="AA831" i="11"/>
  <c r="R832" i="11"/>
  <c r="S832" i="11"/>
  <c r="Z832" i="11"/>
  <c r="AA832" i="11"/>
  <c r="R833" i="11"/>
  <c r="S833" i="11"/>
  <c r="Z833" i="11"/>
  <c r="AA833" i="11"/>
  <c r="R834" i="11"/>
  <c r="S834" i="11"/>
  <c r="Z834" i="11"/>
  <c r="AA834" i="11"/>
  <c r="R835" i="11"/>
  <c r="S835" i="11"/>
  <c r="Z835" i="11"/>
  <c r="AA835" i="11"/>
  <c r="R836" i="11"/>
  <c r="S836" i="11"/>
  <c r="Z836" i="11"/>
  <c r="AA836" i="11"/>
  <c r="R837" i="11"/>
  <c r="S837" i="11"/>
  <c r="Z837" i="11"/>
  <c r="AA837" i="11"/>
  <c r="R838" i="11"/>
  <c r="S838" i="11"/>
  <c r="Z838" i="11"/>
  <c r="AA838" i="11"/>
  <c r="R839" i="11"/>
  <c r="S839" i="11"/>
  <c r="Z839" i="11"/>
  <c r="AA839" i="11"/>
  <c r="R840" i="11"/>
  <c r="S840" i="11"/>
  <c r="Z840" i="11"/>
  <c r="AA840" i="11"/>
  <c r="R841" i="11"/>
  <c r="S841" i="11"/>
  <c r="Z841" i="11"/>
  <c r="AA841" i="11"/>
  <c r="R842" i="11"/>
  <c r="S842" i="11"/>
  <c r="Z842" i="11"/>
  <c r="AA842" i="11"/>
  <c r="R843" i="11"/>
  <c r="S843" i="11"/>
  <c r="Z843" i="11"/>
  <c r="AA843" i="11"/>
  <c r="R844" i="11"/>
  <c r="S844" i="11"/>
  <c r="Z844" i="11"/>
  <c r="AA844" i="11"/>
  <c r="R845" i="11"/>
  <c r="S845" i="11"/>
  <c r="Z845" i="11"/>
  <c r="AA845" i="11"/>
  <c r="R846" i="11"/>
  <c r="S846" i="11"/>
  <c r="Z846" i="11"/>
  <c r="AA846" i="11"/>
  <c r="R847" i="11"/>
  <c r="S847" i="11"/>
  <c r="Z847" i="11"/>
  <c r="AA847" i="11"/>
  <c r="R848" i="11"/>
  <c r="S848" i="11"/>
  <c r="Z848" i="11"/>
  <c r="AA848" i="11"/>
  <c r="R849" i="11"/>
  <c r="S849" i="11"/>
  <c r="Z849" i="11"/>
  <c r="AA849" i="11"/>
  <c r="R850" i="11"/>
  <c r="S850" i="11"/>
  <c r="Z850" i="11"/>
  <c r="AA850" i="11"/>
  <c r="R851" i="11"/>
  <c r="S851" i="11"/>
  <c r="Z851" i="11"/>
  <c r="AA851" i="11"/>
  <c r="R852" i="11"/>
  <c r="S852" i="11"/>
  <c r="Z852" i="11"/>
  <c r="AA852" i="11"/>
  <c r="R853" i="11"/>
  <c r="S853" i="11"/>
  <c r="Z853" i="11"/>
  <c r="AA853" i="11"/>
  <c r="R854" i="11"/>
  <c r="S854" i="11"/>
  <c r="Z854" i="11"/>
  <c r="AA854" i="11"/>
  <c r="R855" i="11"/>
  <c r="S855" i="11"/>
  <c r="Z855" i="11"/>
  <c r="AA855" i="11"/>
  <c r="R856" i="11"/>
  <c r="S856" i="11"/>
  <c r="Z856" i="11"/>
  <c r="AA856" i="11"/>
  <c r="R857" i="11"/>
  <c r="S857" i="11"/>
  <c r="Z857" i="11"/>
  <c r="AA857" i="11"/>
  <c r="R858" i="11"/>
  <c r="S858" i="11"/>
  <c r="Z858" i="11"/>
  <c r="AA858" i="11"/>
  <c r="R859" i="11"/>
  <c r="S859" i="11"/>
  <c r="Z859" i="11"/>
  <c r="AA859" i="11"/>
  <c r="R860" i="11"/>
  <c r="S860" i="11"/>
  <c r="Z860" i="11"/>
  <c r="AA860" i="11"/>
  <c r="R861" i="11"/>
  <c r="S861" i="11"/>
  <c r="Z861" i="11"/>
  <c r="AA861" i="11"/>
  <c r="R862" i="11"/>
  <c r="S862" i="11"/>
  <c r="Z862" i="11"/>
  <c r="AA862" i="11"/>
  <c r="R863" i="11"/>
  <c r="S863" i="11"/>
  <c r="Z863" i="11"/>
  <c r="AA863" i="11"/>
  <c r="R864" i="11"/>
  <c r="S864" i="11"/>
  <c r="Z864" i="11"/>
  <c r="AA864" i="11"/>
  <c r="R865" i="11"/>
  <c r="S865" i="11"/>
  <c r="Z865" i="11"/>
  <c r="AA865" i="11"/>
  <c r="R866" i="11"/>
  <c r="S866" i="11"/>
  <c r="Z866" i="11"/>
  <c r="AA866" i="11"/>
  <c r="R867" i="11"/>
  <c r="S867" i="11"/>
  <c r="Z867" i="11"/>
  <c r="AA867" i="11"/>
  <c r="R868" i="11"/>
  <c r="S868" i="11"/>
  <c r="Z868" i="11"/>
  <c r="AA868" i="11"/>
  <c r="R869" i="11"/>
  <c r="S869" i="11"/>
  <c r="Z869" i="11"/>
  <c r="AA869" i="11"/>
  <c r="R870" i="11"/>
  <c r="S870" i="11"/>
  <c r="Z870" i="11"/>
  <c r="AA870" i="11"/>
  <c r="R871" i="11"/>
  <c r="S871" i="11"/>
  <c r="Z871" i="11"/>
  <c r="AA871" i="11"/>
  <c r="R872" i="11"/>
  <c r="S872" i="11"/>
  <c r="Z872" i="11"/>
  <c r="AA872" i="11"/>
  <c r="R873" i="11"/>
  <c r="S873" i="11"/>
  <c r="Z873" i="11"/>
  <c r="AA873" i="11"/>
  <c r="R874" i="11"/>
  <c r="S874" i="11"/>
  <c r="Z874" i="11"/>
  <c r="AA874" i="11"/>
  <c r="R875" i="11"/>
  <c r="S875" i="11"/>
  <c r="Z875" i="11"/>
  <c r="AA875" i="11"/>
  <c r="R876" i="11"/>
  <c r="S876" i="11"/>
  <c r="Z876" i="11"/>
  <c r="AA876" i="11"/>
  <c r="R877" i="11"/>
  <c r="S877" i="11"/>
  <c r="Z877" i="11"/>
  <c r="AA877" i="11"/>
  <c r="R878" i="11"/>
  <c r="S878" i="11"/>
  <c r="Z878" i="11"/>
  <c r="AA878" i="11"/>
  <c r="R879" i="11"/>
  <c r="S879" i="11"/>
  <c r="Z879" i="11"/>
  <c r="AA879" i="11"/>
  <c r="R880" i="11"/>
  <c r="S880" i="11"/>
  <c r="Z880" i="11"/>
  <c r="AA880" i="11"/>
  <c r="R881" i="11"/>
  <c r="S881" i="11"/>
  <c r="Z881" i="11"/>
  <c r="AA881" i="11"/>
  <c r="R882" i="11"/>
  <c r="S882" i="11"/>
  <c r="Z882" i="11"/>
  <c r="AA882" i="11"/>
  <c r="R883" i="11"/>
  <c r="S883" i="11"/>
  <c r="Z883" i="11"/>
  <c r="AA883" i="11"/>
  <c r="R884" i="11"/>
  <c r="S884" i="11"/>
  <c r="Z884" i="11"/>
  <c r="AA884" i="11"/>
  <c r="R885" i="11"/>
  <c r="S885" i="11"/>
  <c r="Z885" i="11"/>
  <c r="AA885" i="11"/>
  <c r="R886" i="11"/>
  <c r="S886" i="11"/>
  <c r="Z886" i="11"/>
  <c r="AA886" i="11"/>
  <c r="R887" i="11"/>
  <c r="S887" i="11"/>
  <c r="Z887" i="11"/>
  <c r="AA887" i="11"/>
  <c r="R888" i="11"/>
  <c r="S888" i="11"/>
  <c r="Z888" i="11"/>
  <c r="AA888" i="11"/>
  <c r="R889" i="11"/>
  <c r="S889" i="11"/>
  <c r="Z889" i="11"/>
  <c r="AA889" i="11"/>
  <c r="R890" i="11"/>
  <c r="S890" i="11"/>
  <c r="Z890" i="11"/>
  <c r="AA890" i="11"/>
  <c r="R891" i="11"/>
  <c r="S891" i="11"/>
  <c r="Z891" i="11"/>
  <c r="AA891" i="11"/>
  <c r="R892" i="11"/>
  <c r="S892" i="11"/>
  <c r="Z892" i="11"/>
  <c r="AA892" i="11"/>
  <c r="R893" i="11"/>
  <c r="S893" i="11"/>
  <c r="Z893" i="11"/>
  <c r="AA893" i="11"/>
  <c r="R894" i="11"/>
  <c r="S894" i="11"/>
  <c r="Z894" i="11"/>
  <c r="AA894" i="11"/>
  <c r="R895" i="11"/>
  <c r="S895" i="11"/>
  <c r="Z895" i="11"/>
  <c r="AA895" i="11"/>
  <c r="R896" i="11"/>
  <c r="S896" i="11"/>
  <c r="Z896" i="11"/>
  <c r="AA896" i="11"/>
  <c r="R897" i="11"/>
  <c r="S897" i="11"/>
  <c r="Z897" i="11"/>
  <c r="AA897" i="11"/>
  <c r="R898" i="11"/>
  <c r="S898" i="11"/>
  <c r="Z898" i="11"/>
  <c r="AA898" i="11"/>
  <c r="R899" i="11"/>
  <c r="S899" i="11"/>
  <c r="Z899" i="11"/>
  <c r="AA899" i="11"/>
  <c r="R900" i="11"/>
  <c r="S900" i="11"/>
  <c r="Z900" i="11"/>
  <c r="AA900" i="11"/>
  <c r="R901" i="11"/>
  <c r="S901" i="11"/>
  <c r="Z901" i="11"/>
  <c r="AA901" i="11"/>
  <c r="R902" i="11"/>
  <c r="S902" i="11"/>
  <c r="Z902" i="11"/>
  <c r="AA902" i="11"/>
  <c r="R903" i="11"/>
  <c r="S903" i="11"/>
  <c r="Z903" i="11"/>
  <c r="AA903" i="11"/>
  <c r="R904" i="11"/>
  <c r="S904" i="11"/>
  <c r="Z904" i="11"/>
  <c r="AA904" i="11"/>
  <c r="R905" i="11"/>
  <c r="S905" i="11"/>
  <c r="Z905" i="11"/>
  <c r="AA905" i="11"/>
  <c r="R906" i="11"/>
  <c r="S906" i="11"/>
  <c r="Z906" i="11"/>
  <c r="AA906" i="11"/>
  <c r="R907" i="11"/>
  <c r="S907" i="11"/>
  <c r="Z907" i="11"/>
  <c r="AA907" i="11"/>
  <c r="R908" i="11"/>
  <c r="S908" i="11"/>
  <c r="Z908" i="11"/>
  <c r="AA908" i="11"/>
  <c r="R909" i="11"/>
  <c r="S909" i="11"/>
  <c r="Z909" i="11"/>
  <c r="AA909" i="11"/>
  <c r="R910" i="11"/>
  <c r="S910" i="11"/>
  <c r="Z910" i="11"/>
  <c r="AA910" i="11"/>
  <c r="R911" i="11"/>
  <c r="S911" i="11"/>
  <c r="Z911" i="11"/>
  <c r="AA911" i="11"/>
  <c r="R912" i="11"/>
  <c r="S912" i="11"/>
  <c r="Z912" i="11"/>
  <c r="AA912" i="11"/>
  <c r="R913" i="11"/>
  <c r="S913" i="11"/>
  <c r="Z913" i="11"/>
  <c r="AA913" i="11"/>
  <c r="R914" i="11"/>
  <c r="S914" i="11"/>
  <c r="Z914" i="11"/>
  <c r="AA914" i="11"/>
  <c r="R915" i="11"/>
  <c r="S915" i="11"/>
  <c r="Z915" i="11"/>
  <c r="AA915" i="11"/>
  <c r="R916" i="11"/>
  <c r="S916" i="11"/>
  <c r="Z916" i="11"/>
  <c r="AA916" i="11"/>
  <c r="R917" i="11"/>
  <c r="S917" i="11"/>
  <c r="Z917" i="11"/>
  <c r="AA917" i="11"/>
  <c r="R918" i="11"/>
  <c r="S918" i="11"/>
  <c r="Z918" i="11"/>
  <c r="AA918" i="11"/>
  <c r="R919" i="11"/>
  <c r="S919" i="11"/>
  <c r="Z919" i="11"/>
  <c r="AA919" i="11"/>
  <c r="R920" i="11"/>
  <c r="S920" i="11"/>
  <c r="Z920" i="11"/>
  <c r="AA920" i="11"/>
  <c r="R921" i="11"/>
  <c r="S921" i="11"/>
  <c r="Z921" i="11"/>
  <c r="AA921" i="11"/>
  <c r="R922" i="11"/>
  <c r="S922" i="11"/>
  <c r="Z922" i="11"/>
  <c r="AA922" i="11"/>
  <c r="R923" i="11"/>
  <c r="S923" i="11"/>
  <c r="Z923" i="11"/>
  <c r="AA923" i="11"/>
  <c r="R924" i="11"/>
  <c r="S924" i="11"/>
  <c r="Z924" i="11"/>
  <c r="AA924" i="11"/>
  <c r="R925" i="11"/>
  <c r="S925" i="11"/>
  <c r="Z925" i="11"/>
  <c r="AA925" i="11"/>
  <c r="R926" i="11"/>
  <c r="S926" i="11"/>
  <c r="Z926" i="11"/>
  <c r="AA926" i="11"/>
  <c r="R927" i="11"/>
  <c r="S927" i="11"/>
  <c r="Z927" i="11"/>
  <c r="AA927" i="11"/>
  <c r="R928" i="11"/>
  <c r="S928" i="11"/>
  <c r="Z928" i="11"/>
  <c r="AA928" i="11"/>
  <c r="R929" i="11"/>
  <c r="S929" i="11"/>
  <c r="Z929" i="11"/>
  <c r="AA929" i="11"/>
  <c r="R930" i="11"/>
  <c r="S930" i="11"/>
  <c r="Z930" i="11"/>
  <c r="AA930" i="11"/>
  <c r="R931" i="11"/>
  <c r="S931" i="11"/>
  <c r="Z931" i="11"/>
  <c r="AA931" i="11"/>
  <c r="R932" i="11"/>
  <c r="S932" i="11"/>
  <c r="Z932" i="11"/>
  <c r="AA932" i="11"/>
  <c r="R933" i="11"/>
  <c r="S933" i="11"/>
  <c r="Z933" i="11"/>
  <c r="AA933" i="11"/>
  <c r="R934" i="11"/>
  <c r="S934" i="11"/>
  <c r="Z934" i="11"/>
  <c r="AA934" i="11"/>
  <c r="R935" i="11"/>
  <c r="S935" i="11"/>
  <c r="Z935" i="11"/>
  <c r="AA935" i="11"/>
  <c r="R936" i="11"/>
  <c r="S936" i="11"/>
  <c r="Z936" i="11"/>
  <c r="AA936" i="11"/>
  <c r="R937" i="11"/>
  <c r="S937" i="11"/>
  <c r="Z937" i="11"/>
  <c r="AA937" i="11"/>
  <c r="R938" i="11"/>
  <c r="S938" i="11"/>
  <c r="Z938" i="11"/>
  <c r="AA938" i="11"/>
  <c r="R939" i="11"/>
  <c r="S939" i="11"/>
  <c r="Z939" i="11"/>
  <c r="AA939" i="11"/>
  <c r="R940" i="11"/>
  <c r="S940" i="11"/>
  <c r="Z940" i="11"/>
  <c r="AA940" i="11"/>
  <c r="R941" i="11"/>
  <c r="S941" i="11"/>
  <c r="Z941" i="11"/>
  <c r="AA941" i="11"/>
  <c r="R942" i="11"/>
  <c r="S942" i="11"/>
  <c r="Z942" i="11"/>
  <c r="AA942" i="11"/>
  <c r="R943" i="11"/>
  <c r="S943" i="11"/>
  <c r="Z943" i="11"/>
  <c r="AA943" i="11"/>
  <c r="R944" i="11"/>
  <c r="S944" i="11"/>
  <c r="Z944" i="11"/>
  <c r="AA944" i="11"/>
  <c r="R945" i="11"/>
  <c r="S945" i="11"/>
  <c r="Z945" i="11"/>
  <c r="AA945" i="11"/>
  <c r="R946" i="11"/>
  <c r="S946" i="11"/>
  <c r="Z946" i="11"/>
  <c r="AA946" i="11"/>
  <c r="R947" i="11"/>
  <c r="S947" i="11"/>
  <c r="Z947" i="11"/>
  <c r="AA947" i="11"/>
  <c r="R948" i="11"/>
  <c r="S948" i="11"/>
  <c r="Z948" i="11"/>
  <c r="AA948" i="11"/>
  <c r="R949" i="11"/>
  <c r="S949" i="11"/>
  <c r="Z949" i="11"/>
  <c r="AA949" i="11"/>
  <c r="R950" i="11"/>
  <c r="S950" i="11"/>
  <c r="Z950" i="11"/>
  <c r="AA950" i="11"/>
  <c r="R951" i="11"/>
  <c r="S951" i="11"/>
  <c r="Z951" i="11"/>
  <c r="AA951" i="11"/>
  <c r="R952" i="11"/>
  <c r="S952" i="11"/>
  <c r="Z952" i="11"/>
  <c r="AA952" i="11"/>
  <c r="R953" i="11"/>
  <c r="S953" i="11"/>
  <c r="Z953" i="11"/>
  <c r="AA953" i="11"/>
  <c r="R954" i="11"/>
  <c r="S954" i="11"/>
  <c r="Z954" i="11"/>
  <c r="AA954" i="11"/>
  <c r="R955" i="11"/>
  <c r="S955" i="11"/>
  <c r="Z955" i="11"/>
  <c r="AA955" i="11"/>
  <c r="R956" i="11"/>
  <c r="S956" i="11"/>
  <c r="Z956" i="11"/>
  <c r="AA956" i="11"/>
  <c r="R957" i="11"/>
  <c r="S957" i="11"/>
  <c r="Z957" i="11"/>
  <c r="AA957" i="11"/>
  <c r="R958" i="11"/>
  <c r="S958" i="11"/>
  <c r="Z958" i="11"/>
  <c r="AA958" i="11"/>
  <c r="R959" i="11"/>
  <c r="S959" i="11"/>
  <c r="Z959" i="11"/>
  <c r="AA959" i="11"/>
  <c r="R960" i="11"/>
  <c r="S960" i="11"/>
  <c r="Z960" i="11"/>
  <c r="AA960" i="11"/>
  <c r="R961" i="11"/>
  <c r="S961" i="11"/>
  <c r="Z961" i="11"/>
  <c r="AA961" i="11"/>
  <c r="R962" i="11"/>
  <c r="S962" i="11"/>
  <c r="Z962" i="11"/>
  <c r="AA962" i="11"/>
  <c r="R963" i="11"/>
  <c r="S963" i="11"/>
  <c r="Z963" i="11"/>
  <c r="AA963" i="11"/>
  <c r="R964" i="11"/>
  <c r="S964" i="11"/>
  <c r="Z964" i="11"/>
  <c r="AA964" i="11"/>
  <c r="R965" i="11"/>
  <c r="S965" i="11"/>
  <c r="Z965" i="11"/>
  <c r="AA965" i="11"/>
  <c r="R966" i="11"/>
  <c r="S966" i="11"/>
  <c r="Z966" i="11"/>
  <c r="AA966" i="11"/>
  <c r="R967" i="11"/>
  <c r="S967" i="11"/>
  <c r="Z967" i="11"/>
  <c r="AA967" i="11"/>
  <c r="R968" i="11"/>
  <c r="S968" i="11"/>
  <c r="Z968" i="11"/>
  <c r="AA968" i="11"/>
  <c r="R969" i="11"/>
  <c r="S969" i="11"/>
  <c r="Z969" i="11"/>
  <c r="AA969" i="11"/>
  <c r="R970" i="11"/>
  <c r="S970" i="11"/>
  <c r="Z970" i="11"/>
  <c r="AA970" i="11"/>
  <c r="R971" i="11"/>
  <c r="S971" i="11"/>
  <c r="Z971" i="11"/>
  <c r="AA971" i="11"/>
  <c r="R972" i="11"/>
  <c r="S972" i="11"/>
  <c r="Z972" i="11"/>
  <c r="AA972" i="11"/>
  <c r="R973" i="11"/>
  <c r="S973" i="11"/>
  <c r="Z973" i="11"/>
  <c r="AA973" i="11"/>
  <c r="R974" i="11"/>
  <c r="S974" i="11"/>
  <c r="Z974" i="11"/>
  <c r="AA974" i="11"/>
  <c r="R975" i="11"/>
  <c r="S975" i="11"/>
  <c r="Z975" i="11"/>
  <c r="AA975" i="11"/>
  <c r="R976" i="11"/>
  <c r="S976" i="11"/>
  <c r="Z976" i="11"/>
  <c r="AA976" i="11"/>
  <c r="R977" i="11"/>
  <c r="S977" i="11"/>
  <c r="Z977" i="11"/>
  <c r="AA977" i="11"/>
  <c r="R978" i="11"/>
  <c r="S978" i="11"/>
  <c r="Z978" i="11"/>
  <c r="AA978" i="11"/>
  <c r="R979" i="11"/>
  <c r="S979" i="11"/>
  <c r="Z979" i="11"/>
  <c r="AA979" i="11"/>
  <c r="R980" i="11"/>
  <c r="S980" i="11"/>
  <c r="Z980" i="11"/>
  <c r="AA980" i="11"/>
  <c r="R981" i="11"/>
  <c r="S981" i="11"/>
  <c r="Z981" i="11"/>
  <c r="AA981" i="11"/>
  <c r="R982" i="11"/>
  <c r="S982" i="11"/>
  <c r="Z982" i="11"/>
  <c r="AA982" i="11"/>
  <c r="R983" i="11"/>
  <c r="S983" i="11"/>
  <c r="Z983" i="11"/>
  <c r="AA983" i="11"/>
  <c r="R984" i="11"/>
  <c r="S984" i="11"/>
  <c r="Z984" i="11"/>
  <c r="AA984" i="11"/>
  <c r="R985" i="11"/>
  <c r="S985" i="11"/>
  <c r="Z985" i="11"/>
  <c r="AA985" i="11"/>
  <c r="R986" i="11"/>
  <c r="S986" i="11"/>
  <c r="Z986" i="11"/>
  <c r="AA986" i="11"/>
  <c r="R987" i="11"/>
  <c r="S987" i="11"/>
  <c r="Z987" i="11"/>
  <c r="AA987" i="11"/>
  <c r="R988" i="11"/>
  <c r="S988" i="11"/>
  <c r="Z988" i="11"/>
  <c r="AA988" i="11"/>
  <c r="R989" i="11"/>
  <c r="S989" i="11"/>
  <c r="Z989" i="11"/>
  <c r="AA989" i="11"/>
  <c r="R990" i="11"/>
  <c r="S990" i="11"/>
  <c r="Z990" i="11"/>
  <c r="AA990" i="11"/>
  <c r="R991" i="11"/>
  <c r="S991" i="11"/>
  <c r="Z991" i="11"/>
  <c r="AA991" i="11"/>
  <c r="R992" i="11"/>
  <c r="S992" i="11"/>
  <c r="Z992" i="11"/>
  <c r="AA992" i="11"/>
  <c r="R993" i="11"/>
  <c r="S993" i="11"/>
  <c r="Z993" i="11"/>
  <c r="AA993" i="11"/>
  <c r="R994" i="11"/>
  <c r="S994" i="11"/>
  <c r="Z994" i="11"/>
  <c r="AA994" i="11"/>
  <c r="R995" i="11"/>
  <c r="S995" i="11"/>
  <c r="Z995" i="11"/>
  <c r="AA995" i="11"/>
  <c r="R996" i="11"/>
  <c r="S996" i="11"/>
  <c r="Z996" i="11"/>
  <c r="AA996" i="11"/>
  <c r="R997" i="11"/>
  <c r="S997" i="11"/>
  <c r="Z997" i="11"/>
  <c r="AA997" i="11"/>
  <c r="R998" i="11"/>
  <c r="S998" i="11"/>
  <c r="Z998" i="11"/>
  <c r="AA998" i="11"/>
  <c r="R999" i="11"/>
  <c r="S999" i="11"/>
  <c r="Z999" i="11"/>
  <c r="AA999" i="11"/>
  <c r="R1000" i="11"/>
  <c r="S1000" i="11"/>
  <c r="Z1000" i="11"/>
  <c r="AA1000" i="11"/>
  <c r="R1001" i="11"/>
  <c r="S1001" i="11"/>
  <c r="Z1001" i="11"/>
  <c r="AA1001" i="11"/>
  <c r="R1002" i="11"/>
  <c r="S1002" i="11"/>
  <c r="Z1002" i="11"/>
  <c r="AA1002" i="11"/>
  <c r="R1003" i="11"/>
  <c r="S1003" i="11"/>
  <c r="Z1003" i="11"/>
  <c r="AA1003" i="11"/>
  <c r="R1004" i="11"/>
  <c r="S1004" i="11"/>
  <c r="Z1004" i="11"/>
  <c r="AA1004" i="11"/>
  <c r="R1005" i="11"/>
  <c r="S1005" i="11"/>
  <c r="Z1005" i="11"/>
  <c r="AA1005" i="11"/>
  <c r="R1006" i="11"/>
  <c r="S1006" i="11"/>
  <c r="Z1006" i="11"/>
  <c r="AA1006" i="11"/>
  <c r="R1007" i="11"/>
  <c r="S1007" i="11"/>
  <c r="Z1007" i="11"/>
  <c r="AA1007" i="11"/>
  <c r="R1008" i="11"/>
  <c r="S1008" i="11"/>
  <c r="Z1008" i="11"/>
  <c r="AA1008" i="11"/>
  <c r="R1009" i="11"/>
  <c r="S1009" i="11"/>
  <c r="Z1009" i="11"/>
  <c r="AA1009" i="11"/>
  <c r="R1010" i="11"/>
  <c r="S1010" i="11"/>
  <c r="Z1010" i="11"/>
  <c r="AA1010" i="11"/>
  <c r="R1011" i="11"/>
  <c r="S1011" i="11"/>
  <c r="Z1011" i="11"/>
  <c r="AA1011" i="11"/>
  <c r="R1012" i="11"/>
  <c r="S1012" i="11"/>
  <c r="Z1012" i="11"/>
  <c r="AA1012" i="11"/>
  <c r="R1013" i="11"/>
  <c r="S1013" i="11"/>
  <c r="Z1013" i="11"/>
  <c r="AA1013" i="11"/>
  <c r="R1014" i="11"/>
  <c r="S1014" i="11"/>
  <c r="Z1014" i="11"/>
  <c r="AA1014" i="11"/>
  <c r="R1015" i="11"/>
  <c r="S1015" i="11"/>
  <c r="Z1015" i="11"/>
  <c r="AA1015" i="11"/>
  <c r="R1016" i="11"/>
  <c r="S1016" i="11"/>
  <c r="Z1016" i="11"/>
  <c r="AA1016" i="11"/>
  <c r="R1017" i="11"/>
  <c r="S1017" i="11"/>
  <c r="Z1017" i="11"/>
  <c r="AA1017" i="11"/>
  <c r="R1018" i="11"/>
  <c r="S1018" i="11"/>
  <c r="Z1018" i="11"/>
  <c r="AA1018" i="11"/>
  <c r="R1019" i="11"/>
  <c r="S1019" i="11"/>
  <c r="Z1019" i="11"/>
  <c r="AA1019" i="11"/>
  <c r="R1020" i="11"/>
  <c r="S1020" i="11"/>
  <c r="Z1020" i="11"/>
  <c r="AA1020" i="11"/>
  <c r="R1021" i="11"/>
  <c r="S1021" i="11"/>
  <c r="Z1021" i="11"/>
  <c r="AA1021" i="11"/>
  <c r="R1022" i="11"/>
  <c r="S1022" i="11"/>
  <c r="Z1022" i="11"/>
  <c r="AA1022" i="11"/>
  <c r="R1023" i="11"/>
  <c r="S1023" i="11"/>
  <c r="Z1023" i="11"/>
  <c r="AA1023" i="11"/>
  <c r="R1024" i="11"/>
  <c r="S1024" i="11"/>
  <c r="Z1024" i="11"/>
  <c r="AA1024" i="11"/>
  <c r="R1025" i="11"/>
  <c r="S1025" i="11"/>
  <c r="Z1025" i="11"/>
  <c r="AA1025" i="11"/>
  <c r="R1026" i="11"/>
  <c r="S1026" i="11"/>
  <c r="Z1026" i="11"/>
  <c r="AA1026" i="11"/>
  <c r="R1027" i="11"/>
  <c r="S1027" i="11"/>
  <c r="Z1027" i="11"/>
  <c r="AA1027" i="11"/>
  <c r="R1028" i="11"/>
  <c r="S1028" i="11"/>
  <c r="Z1028" i="11"/>
  <c r="AA1028" i="11"/>
  <c r="R1029" i="11"/>
  <c r="S1029" i="11"/>
  <c r="Z1029" i="11"/>
  <c r="AA1029" i="11"/>
  <c r="R1030" i="11"/>
  <c r="S1030" i="11"/>
  <c r="Z1030" i="11"/>
  <c r="AA1030" i="11"/>
  <c r="R1031" i="11"/>
  <c r="S1031" i="11"/>
  <c r="Z1031" i="11"/>
  <c r="AA1031" i="11"/>
  <c r="R1032" i="11"/>
  <c r="S1032" i="11"/>
  <c r="Z1032" i="11"/>
  <c r="AA1032" i="11"/>
  <c r="R1033" i="11"/>
  <c r="S1033" i="11"/>
  <c r="Z1033" i="11"/>
  <c r="AA1033" i="11"/>
  <c r="R1034" i="11"/>
  <c r="S1034" i="11"/>
  <c r="Z1034" i="11"/>
  <c r="AA1034" i="11"/>
  <c r="R1035" i="11"/>
  <c r="S1035" i="11"/>
  <c r="Z1035" i="11"/>
  <c r="AA1035" i="11"/>
  <c r="R1036" i="11"/>
  <c r="S1036" i="11"/>
  <c r="Z1036" i="11"/>
  <c r="AA1036" i="11"/>
  <c r="R1037" i="11"/>
  <c r="S1037" i="11"/>
  <c r="Z1037" i="11"/>
  <c r="AA1037" i="11"/>
  <c r="R1038" i="11"/>
  <c r="S1038" i="11"/>
  <c r="Z1038" i="11"/>
  <c r="AA1038" i="11"/>
  <c r="R1039" i="11"/>
  <c r="S1039" i="11"/>
  <c r="Z1039" i="11"/>
  <c r="AA1039" i="11"/>
  <c r="R1040" i="11"/>
  <c r="S1040" i="11"/>
  <c r="Z1040" i="11"/>
  <c r="AA1040" i="11"/>
  <c r="R1041" i="11"/>
  <c r="S1041" i="11"/>
  <c r="Z1041" i="11"/>
  <c r="AA1041" i="11"/>
  <c r="R1042" i="11"/>
  <c r="S1042" i="11"/>
  <c r="Z1042" i="11"/>
  <c r="AA1042" i="11"/>
  <c r="R1043" i="11"/>
  <c r="S1043" i="11"/>
  <c r="Z1043" i="11"/>
  <c r="AA1043" i="11"/>
  <c r="R1044" i="11"/>
  <c r="S1044" i="11"/>
  <c r="Z1044" i="11"/>
  <c r="AA1044" i="11"/>
  <c r="R1045" i="11"/>
  <c r="S1045" i="11"/>
  <c r="Z1045" i="11"/>
  <c r="AA1045" i="11"/>
  <c r="R1046" i="11"/>
  <c r="S1046" i="11"/>
  <c r="Z1046" i="11"/>
  <c r="AA1046" i="11"/>
  <c r="R1047" i="11"/>
  <c r="S1047" i="11"/>
  <c r="Z1047" i="11"/>
  <c r="AA1047" i="11"/>
  <c r="R1048" i="11"/>
  <c r="S1048" i="11"/>
  <c r="Z1048" i="11"/>
  <c r="AA1048" i="11"/>
  <c r="R1049" i="11"/>
  <c r="S1049" i="11"/>
  <c r="Z1049" i="11"/>
  <c r="AA1049" i="11"/>
  <c r="R1050" i="11"/>
  <c r="S1050" i="11"/>
  <c r="Z1050" i="11"/>
  <c r="AA1050" i="11"/>
  <c r="R1051" i="11"/>
  <c r="S1051" i="11"/>
  <c r="Z1051" i="11"/>
  <c r="AA1051" i="11"/>
  <c r="R1052" i="11"/>
  <c r="S1052" i="11"/>
  <c r="Z1052" i="11"/>
  <c r="AA1052" i="11"/>
  <c r="R1053" i="11"/>
  <c r="S1053" i="11"/>
  <c r="Z1053" i="11"/>
  <c r="AA1053" i="11"/>
  <c r="R1054" i="11"/>
  <c r="S1054" i="11"/>
  <c r="Z1054" i="11"/>
  <c r="AA1054" i="11"/>
  <c r="R1055" i="11"/>
  <c r="S1055" i="11"/>
  <c r="Z1055" i="11"/>
  <c r="AA1055" i="11"/>
  <c r="R1056" i="11"/>
  <c r="S1056" i="11"/>
  <c r="Z1056" i="11"/>
  <c r="AA1056" i="11"/>
  <c r="R1057" i="11"/>
  <c r="S1057" i="11"/>
  <c r="Z1057" i="11"/>
  <c r="AA1057" i="11"/>
  <c r="R1058" i="11"/>
  <c r="S1058" i="11"/>
  <c r="Z1058" i="11"/>
  <c r="AA1058" i="11"/>
  <c r="R1059" i="11"/>
  <c r="S1059" i="11"/>
  <c r="Z1059" i="11"/>
  <c r="AA1059" i="11"/>
  <c r="R1060" i="11"/>
  <c r="S1060" i="11"/>
  <c r="Z1060" i="11"/>
  <c r="AA1060" i="11"/>
  <c r="R1061" i="11"/>
  <c r="S1061" i="11"/>
  <c r="Z1061" i="11"/>
  <c r="AA1061" i="11"/>
  <c r="R1062" i="11"/>
  <c r="S1062" i="11"/>
  <c r="Z1062" i="11"/>
  <c r="AA1062" i="11"/>
  <c r="R1063" i="11"/>
  <c r="S1063" i="11"/>
  <c r="Z1063" i="11"/>
  <c r="AA1063" i="11"/>
  <c r="R1064" i="11"/>
  <c r="S1064" i="11"/>
  <c r="Z1064" i="11"/>
  <c r="AA1064" i="11"/>
  <c r="R1065" i="11"/>
  <c r="S1065" i="11"/>
  <c r="Z1065" i="11"/>
  <c r="AA1065" i="11"/>
  <c r="R1066" i="11"/>
  <c r="S1066" i="11"/>
  <c r="Z1066" i="11"/>
  <c r="AA1066" i="11"/>
  <c r="R1067" i="11"/>
  <c r="S1067" i="11"/>
  <c r="Z1067" i="11"/>
  <c r="AA1067" i="11"/>
  <c r="R1068" i="11"/>
  <c r="S1068" i="11"/>
  <c r="Z1068" i="11"/>
  <c r="AA1068" i="11"/>
  <c r="R1069" i="11"/>
  <c r="S1069" i="11"/>
  <c r="Z1069" i="11"/>
  <c r="AA1069" i="11"/>
  <c r="R1070" i="11"/>
  <c r="S1070" i="11"/>
  <c r="Z1070" i="11"/>
  <c r="AA1070" i="11"/>
  <c r="R1071" i="11"/>
  <c r="S1071" i="11"/>
  <c r="Z1071" i="11"/>
  <c r="AA1071" i="11"/>
  <c r="R1072" i="11"/>
  <c r="S1072" i="11"/>
  <c r="Z1072" i="11"/>
  <c r="AA1072" i="11"/>
  <c r="R1073" i="11"/>
  <c r="S1073" i="11"/>
  <c r="Z1073" i="11"/>
  <c r="AA1073" i="11"/>
  <c r="R1074" i="11"/>
  <c r="S1074" i="11"/>
  <c r="Z1074" i="11"/>
  <c r="AA1074" i="11"/>
  <c r="R1075" i="11"/>
  <c r="S1075" i="11"/>
  <c r="Z1075" i="11"/>
  <c r="AA1075" i="11"/>
  <c r="R1076" i="11"/>
  <c r="S1076" i="11"/>
  <c r="Z1076" i="11"/>
  <c r="AA1076" i="11"/>
  <c r="R1077" i="11"/>
  <c r="S1077" i="11"/>
  <c r="Z1077" i="11"/>
  <c r="AA1077" i="11"/>
  <c r="R1078" i="11"/>
  <c r="S1078" i="11"/>
  <c r="Z1078" i="11"/>
  <c r="AA1078" i="11"/>
  <c r="R1079" i="11"/>
  <c r="S1079" i="11"/>
  <c r="Z1079" i="11"/>
  <c r="AA1079" i="11"/>
  <c r="R1080" i="11"/>
  <c r="S1080" i="11"/>
  <c r="Z1080" i="11"/>
  <c r="AA1080" i="11"/>
  <c r="R1081" i="11"/>
  <c r="S1081" i="11"/>
  <c r="Z1081" i="11"/>
  <c r="AA1081" i="11"/>
  <c r="R1082" i="11"/>
  <c r="S1082" i="11"/>
  <c r="Z1082" i="11"/>
  <c r="AA1082" i="11"/>
  <c r="R1083" i="11"/>
  <c r="S1083" i="11"/>
  <c r="Z1083" i="11"/>
  <c r="AA1083" i="11"/>
  <c r="R1084" i="11"/>
  <c r="S1084" i="11"/>
  <c r="Z1084" i="11"/>
  <c r="AA1084" i="11"/>
  <c r="R1085" i="11"/>
  <c r="S1085" i="11"/>
  <c r="Z1085" i="11"/>
  <c r="AA1085" i="11"/>
  <c r="R1086" i="11"/>
  <c r="S1086" i="11"/>
  <c r="Z1086" i="11"/>
  <c r="AA1086" i="11"/>
  <c r="R1087" i="11"/>
  <c r="S1087" i="11"/>
  <c r="Z1087" i="11"/>
  <c r="AA1087" i="11"/>
  <c r="R1088" i="11"/>
  <c r="S1088" i="11"/>
  <c r="Z1088" i="11"/>
  <c r="AA1088" i="11"/>
  <c r="R1089" i="11"/>
  <c r="S1089" i="11"/>
  <c r="Z1089" i="11"/>
  <c r="AA1089" i="11"/>
  <c r="R1090" i="11"/>
  <c r="S1090" i="11"/>
  <c r="Z1090" i="11"/>
  <c r="AA1090" i="11"/>
  <c r="R1091" i="11"/>
  <c r="S1091" i="11"/>
  <c r="Z1091" i="11"/>
  <c r="AA1091" i="11"/>
  <c r="R1092" i="11"/>
  <c r="S1092" i="11"/>
  <c r="Z1092" i="11"/>
  <c r="AA1092" i="11"/>
  <c r="R1093" i="11"/>
  <c r="S1093" i="11"/>
  <c r="Z1093" i="11"/>
  <c r="AA1093" i="11"/>
  <c r="R1094" i="11"/>
  <c r="S1094" i="11"/>
  <c r="Z1094" i="11"/>
  <c r="AA1094" i="11"/>
  <c r="R1095" i="11"/>
  <c r="S1095" i="11"/>
  <c r="Z1095" i="11"/>
  <c r="AA1095" i="11"/>
  <c r="R1096" i="11"/>
  <c r="S1096" i="11"/>
  <c r="Z1096" i="11"/>
  <c r="AA1096" i="11"/>
  <c r="R1097" i="11"/>
  <c r="S1097" i="11"/>
  <c r="Z1097" i="11"/>
  <c r="AA1097" i="11"/>
  <c r="R1098" i="11"/>
  <c r="S1098" i="11"/>
  <c r="Z1098" i="11"/>
  <c r="AA1098" i="11"/>
  <c r="R1099" i="11"/>
  <c r="S1099" i="11"/>
  <c r="Z1099" i="11"/>
  <c r="AA1099" i="11"/>
  <c r="R1100" i="11"/>
  <c r="S1100" i="11"/>
  <c r="Z1100" i="11"/>
  <c r="AA1100" i="11"/>
  <c r="R1101" i="11"/>
  <c r="S1101" i="11"/>
  <c r="Z1101" i="11"/>
  <c r="AA1101" i="11"/>
  <c r="R1102" i="11"/>
  <c r="S1102" i="11"/>
  <c r="Z1102" i="11"/>
  <c r="AA1102" i="11"/>
  <c r="R1103" i="11"/>
  <c r="S1103" i="11"/>
  <c r="Z1103" i="11"/>
  <c r="AA1103" i="11"/>
  <c r="R1104" i="11"/>
  <c r="S1104" i="11"/>
  <c r="Z1104" i="11"/>
  <c r="AA1104" i="11"/>
  <c r="R1105" i="11"/>
  <c r="S1105" i="11"/>
  <c r="Z1105" i="11"/>
  <c r="AA1105" i="11"/>
  <c r="R1106" i="11"/>
  <c r="S1106" i="11"/>
  <c r="Z1106" i="11"/>
  <c r="AA1106" i="11"/>
  <c r="R1107" i="11"/>
  <c r="S1107" i="11"/>
  <c r="Z1107" i="11"/>
  <c r="AA1107" i="11"/>
  <c r="R1108" i="11"/>
  <c r="S1108" i="11"/>
  <c r="Z1108" i="11"/>
  <c r="AA1108" i="11"/>
  <c r="R1109" i="11"/>
  <c r="S1109" i="11"/>
  <c r="Z1109" i="11"/>
  <c r="AA1109" i="11"/>
  <c r="R1110" i="11"/>
  <c r="S1110" i="11"/>
  <c r="Z1110" i="11"/>
  <c r="AA1110" i="11"/>
  <c r="R1111" i="11"/>
  <c r="S1111" i="11"/>
  <c r="Z1111" i="11"/>
  <c r="AA1111" i="11"/>
  <c r="R1112" i="11"/>
  <c r="S1112" i="11"/>
  <c r="Z1112" i="11"/>
  <c r="AA1112" i="11"/>
  <c r="R1113" i="11"/>
  <c r="S1113" i="11"/>
  <c r="Z1113" i="11"/>
  <c r="AA1113" i="11"/>
  <c r="R1114" i="11"/>
  <c r="S1114" i="11"/>
  <c r="Z1114" i="11"/>
  <c r="AA1114" i="11"/>
  <c r="R1115" i="11"/>
  <c r="S1115" i="11"/>
  <c r="Z1115" i="11"/>
  <c r="AA1115" i="11"/>
  <c r="R1116" i="11"/>
  <c r="S1116" i="11"/>
  <c r="Z1116" i="11"/>
  <c r="AA1116" i="11"/>
  <c r="R1117" i="11"/>
  <c r="S1117" i="11"/>
  <c r="Z1117" i="11"/>
  <c r="AA1117" i="11"/>
  <c r="R1118" i="11"/>
  <c r="S1118" i="11"/>
  <c r="Z1118" i="11"/>
  <c r="AA1118" i="11"/>
  <c r="R1119" i="11"/>
  <c r="S1119" i="11"/>
  <c r="Z1119" i="11"/>
  <c r="AA1119" i="11"/>
  <c r="R1120" i="11"/>
  <c r="S1120" i="11"/>
  <c r="Z1120" i="11"/>
  <c r="AA1120" i="11"/>
  <c r="R1121" i="11"/>
  <c r="S1121" i="11"/>
  <c r="Z1121" i="11"/>
  <c r="AA1121" i="11"/>
  <c r="R1122" i="11"/>
  <c r="S1122" i="11"/>
  <c r="Z1122" i="11"/>
  <c r="AA1122" i="11"/>
  <c r="R1123" i="11"/>
  <c r="S1123" i="11"/>
  <c r="Z1123" i="11"/>
  <c r="AA1123" i="11"/>
  <c r="R1124" i="11"/>
  <c r="S1124" i="11"/>
  <c r="Z1124" i="11"/>
  <c r="AA1124" i="11"/>
  <c r="R1125" i="11"/>
  <c r="S1125" i="11"/>
  <c r="Z1125" i="11"/>
  <c r="AA1125" i="11"/>
  <c r="R1126" i="11"/>
  <c r="S1126" i="11"/>
  <c r="Z1126" i="11"/>
  <c r="AA1126" i="11"/>
  <c r="R1127" i="11"/>
  <c r="S1127" i="11"/>
  <c r="Z1127" i="11"/>
  <c r="AA1127" i="11"/>
  <c r="R1128" i="11"/>
  <c r="S1128" i="11"/>
  <c r="Z1128" i="11"/>
  <c r="AA1128" i="11"/>
  <c r="R1129" i="11"/>
  <c r="S1129" i="11"/>
  <c r="Z1129" i="11"/>
  <c r="AA1129" i="11"/>
  <c r="R1130" i="11"/>
  <c r="S1130" i="11"/>
  <c r="Z1130" i="11"/>
  <c r="AA1130" i="11"/>
  <c r="R1131" i="11"/>
  <c r="S1131" i="11"/>
  <c r="Z1131" i="11"/>
  <c r="AA1131" i="11"/>
  <c r="R1132" i="11"/>
  <c r="S1132" i="11"/>
  <c r="Z1132" i="11"/>
  <c r="AA1132" i="11"/>
  <c r="R1133" i="11"/>
  <c r="S1133" i="11"/>
  <c r="Z1133" i="11"/>
  <c r="AA1133" i="11"/>
  <c r="R1134" i="11"/>
  <c r="S1134" i="11"/>
  <c r="Z1134" i="11"/>
  <c r="AA1134" i="11"/>
  <c r="R1135" i="11"/>
  <c r="S1135" i="11"/>
  <c r="Z1135" i="11"/>
  <c r="AA1135" i="11"/>
  <c r="R1136" i="11"/>
  <c r="S1136" i="11"/>
  <c r="Z1136" i="11"/>
  <c r="AA1136" i="11"/>
  <c r="R1137" i="11"/>
  <c r="S1137" i="11"/>
  <c r="Z1137" i="11"/>
  <c r="AA1137" i="11"/>
  <c r="R1138" i="11"/>
  <c r="S1138" i="11"/>
  <c r="Z1138" i="11"/>
  <c r="AA1138" i="11"/>
  <c r="R1139" i="11"/>
  <c r="S1139" i="11"/>
  <c r="Z1139" i="11"/>
  <c r="AA1139" i="11"/>
  <c r="R1140" i="11"/>
  <c r="S1140" i="11"/>
  <c r="Z1140" i="11"/>
  <c r="AA1140" i="11"/>
  <c r="R1141" i="11"/>
  <c r="S1141" i="11"/>
  <c r="Z1141" i="11"/>
  <c r="AA1141" i="11"/>
  <c r="R1142" i="11"/>
  <c r="S1142" i="11"/>
  <c r="Z1142" i="11"/>
  <c r="AA1142" i="11"/>
  <c r="R1143" i="11"/>
  <c r="S1143" i="11"/>
  <c r="Z1143" i="11"/>
  <c r="AA1143" i="11"/>
  <c r="R1144" i="11"/>
  <c r="S1144" i="11"/>
  <c r="Z1144" i="11"/>
  <c r="AA1144" i="11"/>
  <c r="R1145" i="11"/>
  <c r="S1145" i="11"/>
  <c r="Z1145" i="11"/>
  <c r="AA1145" i="11"/>
  <c r="R1146" i="11"/>
  <c r="S1146" i="11"/>
  <c r="Z1146" i="11"/>
  <c r="AA1146" i="11"/>
  <c r="R1147" i="11"/>
  <c r="S1147" i="11"/>
  <c r="Z1147" i="11"/>
  <c r="AA1147" i="11"/>
  <c r="R1148" i="11"/>
  <c r="S1148" i="11"/>
  <c r="Z1148" i="11"/>
  <c r="AA1148" i="11"/>
  <c r="R1149" i="11"/>
  <c r="S1149" i="11"/>
  <c r="Z1149" i="11"/>
  <c r="AA1149" i="11"/>
  <c r="R1150" i="11"/>
  <c r="S1150" i="11"/>
  <c r="Z1150" i="11"/>
  <c r="AA1150" i="11"/>
  <c r="R1151" i="11"/>
  <c r="S1151" i="11"/>
  <c r="Z1151" i="11"/>
  <c r="AA1151" i="11"/>
  <c r="R1152" i="11"/>
  <c r="S1152" i="11"/>
  <c r="Z1152" i="11"/>
  <c r="AA1152" i="11"/>
  <c r="R1153" i="11"/>
  <c r="S1153" i="11"/>
  <c r="Z1153" i="11"/>
  <c r="AA1153" i="11"/>
  <c r="R1154" i="11"/>
  <c r="S1154" i="11"/>
  <c r="Z1154" i="11"/>
  <c r="AA1154" i="11"/>
  <c r="R1155" i="11"/>
  <c r="S1155" i="11"/>
  <c r="Z1155" i="11"/>
  <c r="AA1155" i="11"/>
  <c r="R1156" i="11"/>
  <c r="S1156" i="11"/>
  <c r="Z1156" i="11"/>
  <c r="AA1156" i="11"/>
  <c r="R1157" i="11"/>
  <c r="S1157" i="11"/>
  <c r="Z1157" i="11"/>
  <c r="AA1157" i="11"/>
  <c r="R1158" i="11"/>
  <c r="S1158" i="11"/>
  <c r="Z1158" i="11"/>
  <c r="AA1158" i="11"/>
  <c r="R1159" i="11"/>
  <c r="S1159" i="11"/>
  <c r="Z1159" i="11"/>
  <c r="AA1159" i="11"/>
  <c r="R1160" i="11"/>
  <c r="S1160" i="11"/>
  <c r="Z1160" i="11"/>
  <c r="AA1160" i="11"/>
  <c r="R1161" i="11"/>
  <c r="S1161" i="11"/>
  <c r="Z1161" i="11"/>
  <c r="AA1161" i="11"/>
  <c r="R1162" i="11"/>
  <c r="S1162" i="11"/>
  <c r="Z1162" i="11"/>
  <c r="AA1162" i="11"/>
  <c r="R1163" i="11"/>
  <c r="S1163" i="11"/>
  <c r="Z1163" i="11"/>
  <c r="AA1163" i="11"/>
  <c r="R1164" i="11"/>
  <c r="S1164" i="11"/>
  <c r="Z1164" i="11"/>
  <c r="AA1164" i="11"/>
  <c r="R1165" i="11"/>
  <c r="S1165" i="11"/>
  <c r="Z1165" i="11"/>
  <c r="AA1165" i="11"/>
  <c r="R1166" i="11"/>
  <c r="S1166" i="11"/>
  <c r="Z1166" i="11"/>
  <c r="AA1166" i="11"/>
  <c r="R1167" i="11"/>
  <c r="S1167" i="11"/>
  <c r="Z1167" i="11"/>
  <c r="AA1167" i="11"/>
  <c r="R1168" i="11"/>
  <c r="S1168" i="11"/>
  <c r="Z1168" i="11"/>
  <c r="AA1168" i="11"/>
  <c r="R1169" i="11"/>
  <c r="S1169" i="11"/>
  <c r="Z1169" i="11"/>
  <c r="AA1169" i="11"/>
  <c r="R1170" i="11"/>
  <c r="S1170" i="11"/>
  <c r="Z1170" i="11"/>
  <c r="AA1170" i="11"/>
  <c r="R1171" i="11"/>
  <c r="S1171" i="11"/>
  <c r="Z1171" i="11"/>
  <c r="AA1171" i="11"/>
  <c r="R1172" i="11"/>
  <c r="S1172" i="11"/>
  <c r="Z1172" i="11"/>
  <c r="AA1172" i="11"/>
  <c r="R1173" i="11"/>
  <c r="S1173" i="11"/>
  <c r="Z1173" i="11"/>
  <c r="AA1173" i="11"/>
  <c r="R1174" i="11"/>
  <c r="S1174" i="11"/>
  <c r="Z1174" i="11"/>
  <c r="AA1174" i="11"/>
  <c r="R1175" i="11"/>
  <c r="S1175" i="11"/>
  <c r="Z1175" i="11"/>
  <c r="AA1175" i="11"/>
  <c r="R1176" i="11"/>
  <c r="S1176" i="11"/>
  <c r="Z1176" i="11"/>
  <c r="AA1176" i="11"/>
  <c r="R1177" i="11"/>
  <c r="S1177" i="11"/>
  <c r="Z1177" i="11"/>
  <c r="AA1177" i="11"/>
  <c r="R1178" i="11"/>
  <c r="S1178" i="11"/>
  <c r="Z1178" i="11"/>
  <c r="AA1178" i="11"/>
  <c r="R1179" i="11"/>
  <c r="S1179" i="11"/>
  <c r="Z1179" i="11"/>
  <c r="AA1179" i="11"/>
  <c r="R1180" i="11"/>
  <c r="S1180" i="11"/>
  <c r="Z1180" i="11"/>
  <c r="AA1180" i="11"/>
  <c r="R1181" i="11"/>
  <c r="S1181" i="11"/>
  <c r="Z1181" i="11"/>
  <c r="AA1181" i="11"/>
  <c r="R1182" i="11"/>
  <c r="S1182" i="11"/>
  <c r="Z1182" i="11"/>
  <c r="AA1182" i="11"/>
  <c r="R1183" i="11"/>
  <c r="S1183" i="11"/>
  <c r="Z1183" i="11"/>
  <c r="AA1183" i="11"/>
  <c r="R1184" i="11"/>
  <c r="S1184" i="11"/>
  <c r="Z1184" i="11"/>
  <c r="AA1184" i="11"/>
  <c r="R1185" i="11"/>
  <c r="S1185" i="11"/>
  <c r="Z1185" i="11"/>
  <c r="AA1185" i="11"/>
  <c r="R1186" i="11"/>
  <c r="S1186" i="11"/>
  <c r="Z1186" i="11"/>
  <c r="AA1186" i="11"/>
  <c r="R1187" i="11"/>
  <c r="S1187" i="11"/>
  <c r="Z1187" i="11"/>
  <c r="AA1187" i="11"/>
  <c r="R1188" i="11"/>
  <c r="S1188" i="11"/>
  <c r="Z1188" i="11"/>
  <c r="AA1188" i="11"/>
  <c r="R1189" i="11"/>
  <c r="S1189" i="11"/>
  <c r="Z1189" i="11"/>
  <c r="AA1189" i="11"/>
  <c r="R1190" i="11"/>
  <c r="S1190" i="11"/>
  <c r="Z1190" i="11"/>
  <c r="AA1190" i="11"/>
  <c r="R1191" i="11"/>
  <c r="S1191" i="11"/>
  <c r="Z1191" i="11"/>
  <c r="AA1191" i="11"/>
  <c r="R1192" i="11"/>
  <c r="S1192" i="11"/>
  <c r="Z1192" i="11"/>
  <c r="AA1192" i="11"/>
  <c r="R1193" i="11"/>
  <c r="S1193" i="11"/>
  <c r="Z1193" i="11"/>
  <c r="AA1193" i="11"/>
  <c r="R1194" i="11"/>
  <c r="S1194" i="11"/>
  <c r="Z1194" i="11"/>
  <c r="AA1194" i="11"/>
  <c r="R1195" i="11"/>
  <c r="S1195" i="11"/>
  <c r="Z1195" i="11"/>
  <c r="AA1195" i="11"/>
  <c r="R1196" i="11"/>
  <c r="S1196" i="11"/>
  <c r="Z1196" i="11"/>
  <c r="AA1196" i="11"/>
  <c r="R1197" i="11"/>
  <c r="S1197" i="11"/>
  <c r="Z1197" i="11"/>
  <c r="AA1197" i="11"/>
  <c r="R1198" i="11"/>
  <c r="S1198" i="11"/>
  <c r="Z1198" i="11"/>
  <c r="AA1198" i="11"/>
  <c r="R1199" i="11"/>
  <c r="S1199" i="11"/>
  <c r="Z1199" i="11"/>
  <c r="AA1199" i="11"/>
  <c r="R1200" i="11"/>
  <c r="S1200" i="11"/>
  <c r="Z1200" i="11"/>
  <c r="AA1200" i="11"/>
  <c r="R1201" i="11"/>
  <c r="S1201" i="11"/>
  <c r="Z1201" i="11"/>
  <c r="AA1201" i="11"/>
  <c r="R1202" i="11"/>
  <c r="S1202" i="11"/>
  <c r="Z1202" i="11"/>
  <c r="AA1202" i="11"/>
  <c r="R1203" i="11"/>
  <c r="S1203" i="11"/>
  <c r="Z1203" i="11"/>
  <c r="AA1203" i="11"/>
  <c r="R1204" i="11"/>
  <c r="S1204" i="11"/>
  <c r="Z1204" i="11"/>
  <c r="AA1204" i="11"/>
  <c r="R1205" i="11"/>
  <c r="S1205" i="11"/>
  <c r="Z1205" i="11"/>
  <c r="AA1205" i="11"/>
  <c r="R1206" i="11"/>
  <c r="S1206" i="11"/>
  <c r="Z1206" i="11"/>
  <c r="AA1206" i="11"/>
  <c r="R1207" i="11"/>
  <c r="S1207" i="11"/>
  <c r="Z1207" i="11"/>
  <c r="AA1207" i="11"/>
  <c r="R1208" i="11"/>
  <c r="S1208" i="11"/>
  <c r="Z1208" i="11"/>
  <c r="AA1208" i="11"/>
  <c r="R1209" i="11"/>
  <c r="S1209" i="11"/>
  <c r="Z1209" i="11"/>
  <c r="AA1209" i="11"/>
  <c r="R1210" i="11"/>
  <c r="S1210" i="11"/>
  <c r="Z1210" i="11"/>
  <c r="AA1210" i="11"/>
  <c r="R1211" i="11"/>
  <c r="S1211" i="11"/>
  <c r="Z1211" i="11"/>
  <c r="AA1211" i="11"/>
  <c r="R1212" i="11"/>
  <c r="S1212" i="11"/>
  <c r="Z1212" i="11"/>
  <c r="AA1212" i="11"/>
  <c r="R1213" i="11"/>
  <c r="S1213" i="11"/>
  <c r="Z1213" i="11"/>
  <c r="AA1213" i="11"/>
  <c r="R1214" i="11"/>
  <c r="S1214" i="11"/>
  <c r="Z1214" i="11"/>
  <c r="AA1214" i="11"/>
  <c r="R1215" i="11"/>
  <c r="S1215" i="11"/>
  <c r="Z1215" i="11"/>
  <c r="AA1215" i="11"/>
  <c r="R1216" i="11"/>
  <c r="S1216" i="11"/>
  <c r="Z1216" i="11"/>
  <c r="AA1216" i="11"/>
  <c r="R1217" i="11"/>
  <c r="S1217" i="11"/>
  <c r="Z1217" i="11"/>
  <c r="AA1217" i="11"/>
  <c r="R1218" i="11"/>
  <c r="S1218" i="11"/>
  <c r="Z1218" i="11"/>
  <c r="AA1218" i="11"/>
  <c r="R1219" i="11"/>
  <c r="S1219" i="11"/>
  <c r="Z1219" i="11"/>
  <c r="AA1219" i="11"/>
  <c r="R1220" i="11"/>
  <c r="S1220" i="11"/>
  <c r="Z1220" i="11"/>
  <c r="AA1220" i="11"/>
  <c r="R1221" i="11"/>
  <c r="S1221" i="11"/>
  <c r="Z1221" i="11"/>
  <c r="AA1221" i="11"/>
  <c r="R1222" i="11"/>
  <c r="S1222" i="11"/>
  <c r="Z1222" i="11"/>
  <c r="AA1222" i="11"/>
  <c r="R1223" i="11"/>
  <c r="S1223" i="11"/>
  <c r="Z1223" i="11"/>
  <c r="AA1223" i="11"/>
  <c r="R1224" i="11"/>
  <c r="S1224" i="11"/>
  <c r="Z1224" i="11"/>
  <c r="AA1224" i="11"/>
  <c r="R1225" i="11"/>
  <c r="S1225" i="11"/>
  <c r="Z1225" i="11"/>
  <c r="AA1225" i="11"/>
  <c r="R1226" i="11"/>
  <c r="S1226" i="11"/>
  <c r="Z1226" i="11"/>
  <c r="AA1226" i="11"/>
  <c r="R1227" i="11"/>
  <c r="S1227" i="11"/>
  <c r="Z1227" i="11"/>
  <c r="AA1227" i="11"/>
  <c r="R1228" i="11"/>
  <c r="S1228" i="11"/>
  <c r="Z1228" i="11"/>
  <c r="AA1228" i="11"/>
  <c r="R1229" i="11"/>
  <c r="S1229" i="11"/>
  <c r="Z1229" i="11"/>
  <c r="AA1229" i="11"/>
  <c r="R1230" i="11"/>
  <c r="S1230" i="11"/>
  <c r="Z1230" i="11"/>
  <c r="AA1230" i="11"/>
  <c r="R1231" i="11"/>
  <c r="S1231" i="11"/>
  <c r="Z1231" i="11"/>
  <c r="AA1231" i="11"/>
  <c r="R1232" i="11"/>
  <c r="S1232" i="11"/>
  <c r="Z1232" i="11"/>
  <c r="AA1232" i="11"/>
  <c r="R1233" i="11"/>
  <c r="S1233" i="11"/>
  <c r="Z1233" i="11"/>
  <c r="AA1233" i="11"/>
  <c r="R1234" i="11"/>
  <c r="S1234" i="11"/>
  <c r="Z1234" i="11"/>
  <c r="AA1234" i="11"/>
  <c r="R1235" i="11"/>
  <c r="S1235" i="11"/>
  <c r="Z1235" i="11"/>
  <c r="AA1235" i="11"/>
  <c r="R1236" i="11"/>
  <c r="S1236" i="11"/>
  <c r="Z1236" i="11"/>
  <c r="AA1236" i="11"/>
  <c r="R1237" i="11"/>
  <c r="S1237" i="11"/>
  <c r="Z1237" i="11"/>
  <c r="AA1237" i="11"/>
  <c r="R1238" i="11"/>
  <c r="S1238" i="11"/>
  <c r="Z1238" i="11"/>
  <c r="AA1238" i="11"/>
  <c r="R1239" i="11"/>
  <c r="S1239" i="11"/>
  <c r="Z1239" i="11"/>
  <c r="AA1239" i="11"/>
  <c r="R1240" i="11"/>
  <c r="S1240" i="11"/>
  <c r="Z1240" i="11"/>
  <c r="AA1240" i="11"/>
  <c r="R1241" i="11"/>
  <c r="S1241" i="11"/>
  <c r="Z1241" i="11"/>
  <c r="AA1241" i="11"/>
  <c r="R1242" i="11"/>
  <c r="S1242" i="11"/>
  <c r="Z1242" i="11"/>
  <c r="AA1242" i="11"/>
  <c r="R1243" i="11"/>
  <c r="S1243" i="11"/>
  <c r="Z1243" i="11"/>
  <c r="AA1243" i="11"/>
  <c r="R1244" i="11"/>
  <c r="S1244" i="11"/>
  <c r="Z1244" i="11"/>
  <c r="AA1244" i="11"/>
  <c r="R1245" i="11"/>
  <c r="S1245" i="11"/>
  <c r="Z1245" i="11"/>
  <c r="AA1245" i="11"/>
  <c r="R1246" i="11"/>
  <c r="S1246" i="11"/>
  <c r="Z1246" i="11"/>
  <c r="AA1246" i="11"/>
  <c r="R1247" i="11"/>
  <c r="S1247" i="11"/>
  <c r="Z1247" i="11"/>
  <c r="AA1247" i="11"/>
  <c r="R1248" i="11"/>
  <c r="S1248" i="11"/>
  <c r="Z1248" i="11"/>
  <c r="AA1248" i="11"/>
  <c r="R1249" i="11"/>
  <c r="S1249" i="11"/>
  <c r="Z1249" i="11"/>
  <c r="AA1249" i="11"/>
  <c r="R1250" i="11"/>
  <c r="S1250" i="11"/>
  <c r="Z1250" i="11"/>
  <c r="AA1250" i="11"/>
  <c r="R1251" i="11"/>
  <c r="S1251" i="11"/>
  <c r="Z1251" i="11"/>
  <c r="AA1251" i="11"/>
  <c r="R1252" i="11"/>
  <c r="S1252" i="11"/>
  <c r="Z1252" i="11"/>
  <c r="AA1252" i="11"/>
  <c r="R1253" i="11"/>
  <c r="S1253" i="11"/>
  <c r="Z1253" i="11"/>
  <c r="AA1253" i="11"/>
  <c r="R1254" i="11"/>
  <c r="S1254" i="11"/>
  <c r="Z1254" i="11"/>
  <c r="AA1254" i="11"/>
  <c r="R1255" i="11"/>
  <c r="S1255" i="11"/>
  <c r="Z1255" i="11"/>
  <c r="AA1255" i="11"/>
  <c r="R1256" i="11"/>
  <c r="S1256" i="11"/>
  <c r="Z1256" i="11"/>
  <c r="AA1256" i="11"/>
  <c r="R1257" i="11"/>
  <c r="S1257" i="11"/>
  <c r="Z1257" i="11"/>
  <c r="AA1257" i="11"/>
  <c r="R1258" i="11"/>
  <c r="S1258" i="11"/>
  <c r="Z1258" i="11"/>
  <c r="AA1258" i="11"/>
  <c r="R1259" i="11"/>
  <c r="S1259" i="11"/>
  <c r="Z1259" i="11"/>
  <c r="AA1259" i="11"/>
  <c r="R1260" i="11"/>
  <c r="S1260" i="11"/>
  <c r="Z1260" i="11"/>
  <c r="AA1260" i="11"/>
  <c r="R1261" i="11"/>
  <c r="S1261" i="11"/>
  <c r="Z1261" i="11"/>
  <c r="AA1261" i="11"/>
  <c r="R1262" i="11"/>
  <c r="S1262" i="11"/>
  <c r="Z1262" i="11"/>
  <c r="AA1262" i="11"/>
  <c r="R1263" i="11"/>
  <c r="S1263" i="11"/>
  <c r="Z1263" i="11"/>
  <c r="AA1263" i="11"/>
  <c r="R1264" i="11"/>
  <c r="S1264" i="11"/>
  <c r="Z1264" i="11"/>
  <c r="AA1264" i="11"/>
  <c r="R1265" i="11"/>
  <c r="S1265" i="11"/>
  <c r="Z1265" i="11"/>
  <c r="AA1265" i="11"/>
  <c r="R1266" i="11"/>
  <c r="S1266" i="11"/>
  <c r="Z1266" i="11"/>
  <c r="AA1266" i="11"/>
  <c r="R1267" i="11"/>
  <c r="S1267" i="11"/>
  <c r="Z1267" i="11"/>
  <c r="AA1267" i="11"/>
  <c r="R1268" i="11"/>
  <c r="S1268" i="11"/>
  <c r="Z1268" i="11"/>
  <c r="AA1268" i="11"/>
  <c r="R1269" i="11"/>
  <c r="S1269" i="11"/>
  <c r="Z1269" i="11"/>
  <c r="AA1269" i="11"/>
  <c r="R1270" i="11"/>
  <c r="S1270" i="11"/>
  <c r="Z1270" i="11"/>
  <c r="AA1270" i="11"/>
  <c r="R1271" i="11"/>
  <c r="S1271" i="11"/>
  <c r="Z1271" i="11"/>
  <c r="AA1271" i="11"/>
  <c r="R1272" i="11"/>
  <c r="S1272" i="11"/>
  <c r="Z1272" i="11"/>
  <c r="AA1272" i="11"/>
  <c r="R1273" i="11"/>
  <c r="S1273" i="11"/>
  <c r="Z1273" i="11"/>
  <c r="AA1273" i="11"/>
  <c r="R1274" i="11"/>
  <c r="S1274" i="11"/>
  <c r="Z1274" i="11"/>
  <c r="AA1274" i="11"/>
  <c r="R1275" i="11"/>
  <c r="S1275" i="11"/>
  <c r="Z1275" i="11"/>
  <c r="AA1275" i="11"/>
  <c r="R1276" i="11"/>
  <c r="S1276" i="11"/>
  <c r="Z1276" i="11"/>
  <c r="AA1276" i="11"/>
  <c r="R1277" i="11"/>
  <c r="S1277" i="11"/>
  <c r="Z1277" i="11"/>
  <c r="AA1277" i="11"/>
  <c r="R1278" i="11"/>
  <c r="S1278" i="11"/>
  <c r="Z1278" i="11"/>
  <c r="AA1278" i="11"/>
  <c r="R1279" i="11"/>
  <c r="S1279" i="11"/>
  <c r="Z1279" i="11"/>
  <c r="AA1279" i="11"/>
  <c r="R1280" i="11"/>
  <c r="S1280" i="11"/>
  <c r="Z1280" i="11"/>
  <c r="AA1280" i="11"/>
  <c r="R1281" i="11"/>
  <c r="S1281" i="11"/>
  <c r="Z1281" i="11"/>
  <c r="AA1281" i="11"/>
  <c r="R1282" i="11"/>
  <c r="S1282" i="11"/>
  <c r="Z1282" i="11"/>
  <c r="AA1282" i="11"/>
  <c r="R1283" i="11"/>
  <c r="S1283" i="11"/>
  <c r="Z1283" i="11"/>
  <c r="AA1283" i="11"/>
  <c r="R1284" i="11"/>
  <c r="S1284" i="11"/>
  <c r="Z1284" i="11"/>
  <c r="AA1284" i="11"/>
  <c r="R1285" i="11"/>
  <c r="S1285" i="11"/>
  <c r="Z1285" i="11"/>
  <c r="AA1285" i="11"/>
  <c r="R1286" i="11"/>
  <c r="S1286" i="11"/>
  <c r="Z1286" i="11"/>
  <c r="AA1286" i="11"/>
  <c r="R1287" i="11"/>
  <c r="S1287" i="11"/>
  <c r="Z1287" i="11"/>
  <c r="AA1287" i="11"/>
  <c r="R1288" i="11"/>
  <c r="S1288" i="11"/>
  <c r="Z1288" i="11"/>
  <c r="AA1288" i="11"/>
  <c r="R1289" i="11"/>
  <c r="S1289" i="11"/>
  <c r="Z1289" i="11"/>
  <c r="AA1289" i="11"/>
  <c r="R1290" i="11"/>
  <c r="S1290" i="11"/>
  <c r="Z1290" i="11"/>
  <c r="AA1290" i="11"/>
  <c r="R1291" i="11"/>
  <c r="S1291" i="11"/>
  <c r="Z1291" i="11"/>
  <c r="AA1291" i="11"/>
  <c r="R1292" i="11"/>
  <c r="S1292" i="11"/>
  <c r="Z1292" i="11"/>
  <c r="AA1292" i="11"/>
  <c r="R1293" i="11"/>
  <c r="S1293" i="11"/>
  <c r="Z1293" i="11"/>
  <c r="AA1293" i="11"/>
  <c r="R1294" i="11"/>
  <c r="S1294" i="11"/>
  <c r="Z1294" i="11"/>
  <c r="AA1294" i="11"/>
  <c r="R1295" i="11"/>
  <c r="S1295" i="11"/>
  <c r="Z1295" i="11"/>
  <c r="AA1295" i="11"/>
  <c r="R1296" i="11"/>
  <c r="S1296" i="11"/>
  <c r="Z1296" i="11"/>
  <c r="AA1296" i="11"/>
  <c r="R1297" i="11"/>
  <c r="S1297" i="11"/>
  <c r="Z1297" i="11"/>
  <c r="AA1297" i="11"/>
  <c r="R1298" i="11"/>
  <c r="S1298" i="11"/>
  <c r="Z1298" i="11"/>
  <c r="AA1298" i="11"/>
  <c r="R1299" i="11"/>
  <c r="S1299" i="11"/>
  <c r="Z1299" i="11"/>
  <c r="AA1299" i="11"/>
  <c r="R1300" i="11"/>
  <c r="S1300" i="11"/>
  <c r="Z1300" i="11"/>
  <c r="AA1300" i="11"/>
  <c r="R1301" i="11"/>
  <c r="S1301" i="11"/>
  <c r="Z1301" i="11"/>
  <c r="AA1301" i="11"/>
  <c r="R1302" i="11"/>
  <c r="S1302" i="11"/>
  <c r="Z1302" i="11"/>
  <c r="AA1302" i="11"/>
  <c r="R1303" i="11"/>
  <c r="S1303" i="11"/>
  <c r="Z1303" i="11"/>
  <c r="AA1303" i="11"/>
  <c r="R1304" i="11"/>
  <c r="S1304" i="11"/>
  <c r="Z1304" i="11"/>
  <c r="AA1304" i="11"/>
  <c r="R1305" i="11"/>
  <c r="S1305" i="11"/>
  <c r="Z1305" i="11"/>
  <c r="AA1305" i="11"/>
  <c r="R1306" i="11"/>
  <c r="S1306" i="11"/>
  <c r="Z1306" i="11"/>
  <c r="AA1306" i="11"/>
  <c r="R1307" i="11"/>
  <c r="S1307" i="11"/>
  <c r="Z1307" i="11"/>
  <c r="AA1307" i="11"/>
  <c r="R1308" i="11"/>
  <c r="S1308" i="11"/>
  <c r="Z1308" i="11"/>
  <c r="AA1308" i="11"/>
  <c r="R1309" i="11"/>
  <c r="S1309" i="11"/>
  <c r="Z1309" i="11"/>
  <c r="AA1309" i="11"/>
  <c r="R1310" i="11"/>
  <c r="S1310" i="11"/>
  <c r="Z1310" i="11"/>
  <c r="AA1310" i="11"/>
  <c r="R1311" i="11"/>
  <c r="S1311" i="11"/>
  <c r="Z1311" i="11"/>
  <c r="AA1311" i="11"/>
  <c r="R1312" i="11"/>
  <c r="S1312" i="11"/>
  <c r="Z1312" i="11"/>
  <c r="AA1312" i="11"/>
  <c r="R1313" i="11"/>
  <c r="S1313" i="11"/>
  <c r="Z1313" i="11"/>
  <c r="AA1313" i="11"/>
  <c r="R1314" i="11"/>
  <c r="S1314" i="11"/>
  <c r="Z1314" i="11"/>
  <c r="AA1314" i="11"/>
  <c r="R1315" i="11"/>
  <c r="S1315" i="11"/>
  <c r="Z1315" i="11"/>
  <c r="AA1315" i="11"/>
  <c r="R1316" i="11"/>
  <c r="S1316" i="11"/>
  <c r="Z1316" i="11"/>
  <c r="AA1316" i="11"/>
  <c r="R1317" i="11"/>
  <c r="S1317" i="11"/>
  <c r="Z1317" i="11"/>
  <c r="AA1317" i="11"/>
  <c r="R1318" i="11"/>
  <c r="S1318" i="11"/>
  <c r="Z1318" i="11"/>
  <c r="AA1318" i="11"/>
  <c r="R1319" i="11"/>
  <c r="S1319" i="11"/>
  <c r="Z1319" i="11"/>
  <c r="AA1319" i="11"/>
  <c r="R1320" i="11"/>
  <c r="S1320" i="11"/>
  <c r="Z1320" i="11"/>
  <c r="AA1320" i="11"/>
  <c r="R1321" i="11"/>
  <c r="S1321" i="11"/>
  <c r="Z1321" i="11"/>
  <c r="AA1321" i="11"/>
  <c r="R1322" i="11"/>
  <c r="S1322" i="11"/>
  <c r="Z1322" i="11"/>
  <c r="AA1322" i="11"/>
  <c r="R1323" i="11"/>
  <c r="S1323" i="11"/>
  <c r="Z1323" i="11"/>
  <c r="AA1323" i="11"/>
  <c r="R1324" i="11"/>
  <c r="S1324" i="11"/>
  <c r="Z1324" i="11"/>
  <c r="AA1324" i="11"/>
  <c r="R1325" i="11"/>
  <c r="S1325" i="11"/>
  <c r="Z1325" i="11"/>
  <c r="AA1325" i="11"/>
  <c r="R1326" i="11"/>
  <c r="S1326" i="11"/>
  <c r="Z1326" i="11"/>
  <c r="AA1326" i="11"/>
  <c r="R1327" i="11"/>
  <c r="S1327" i="11"/>
  <c r="Z1327" i="11"/>
  <c r="AA1327" i="11"/>
  <c r="R1328" i="11"/>
  <c r="S1328" i="11"/>
  <c r="Z1328" i="11"/>
  <c r="AA1328" i="11"/>
  <c r="R1329" i="11"/>
  <c r="S1329" i="11"/>
  <c r="Z1329" i="11"/>
  <c r="AA1329" i="11"/>
  <c r="R1330" i="11"/>
  <c r="S1330" i="11"/>
  <c r="Z1330" i="11"/>
  <c r="AA1330" i="11"/>
  <c r="R1331" i="11"/>
  <c r="S1331" i="11"/>
  <c r="Z1331" i="11"/>
  <c r="AA1331" i="11"/>
  <c r="R1332" i="11"/>
  <c r="S1332" i="11"/>
  <c r="Z1332" i="11"/>
  <c r="AA1332" i="11"/>
  <c r="R1333" i="11"/>
  <c r="S1333" i="11"/>
  <c r="Z1333" i="11"/>
  <c r="AA1333" i="11"/>
  <c r="R1334" i="11"/>
  <c r="S1334" i="11"/>
  <c r="Z1334" i="11"/>
  <c r="AA1334" i="11"/>
  <c r="R1335" i="11"/>
  <c r="S1335" i="11"/>
  <c r="Z1335" i="11"/>
  <c r="AA1335" i="11"/>
  <c r="R1336" i="11"/>
  <c r="S1336" i="11"/>
  <c r="Z1336" i="11"/>
  <c r="AA1336" i="11"/>
  <c r="R1337" i="11"/>
  <c r="S1337" i="11"/>
  <c r="Z1337" i="11"/>
  <c r="AA1337" i="11"/>
  <c r="R1338" i="11"/>
  <c r="S1338" i="11"/>
  <c r="Z1338" i="11"/>
  <c r="AA1338" i="11"/>
  <c r="R1339" i="11"/>
  <c r="S1339" i="11"/>
  <c r="Z1339" i="11"/>
  <c r="AA1339" i="11"/>
  <c r="R1340" i="11"/>
  <c r="S1340" i="11"/>
  <c r="Z1340" i="11"/>
  <c r="AA1340" i="11"/>
  <c r="R1341" i="11"/>
  <c r="S1341" i="11"/>
  <c r="Z1341" i="11"/>
  <c r="AA1341" i="11"/>
  <c r="R1342" i="11"/>
  <c r="S1342" i="11"/>
  <c r="Z1342" i="11"/>
  <c r="AA1342" i="11"/>
  <c r="R1343" i="11"/>
  <c r="S1343" i="11"/>
  <c r="Z1343" i="11"/>
  <c r="AA1343" i="11"/>
  <c r="R1344" i="11"/>
  <c r="S1344" i="11"/>
  <c r="Z1344" i="11"/>
  <c r="AA1344" i="11"/>
  <c r="R1345" i="11"/>
  <c r="S1345" i="11"/>
  <c r="Z1345" i="11"/>
  <c r="AA1345" i="11"/>
  <c r="R1346" i="11"/>
  <c r="S1346" i="11"/>
  <c r="Z1346" i="11"/>
  <c r="AA1346" i="11"/>
  <c r="R1347" i="11"/>
  <c r="S1347" i="11"/>
  <c r="Z1347" i="11"/>
  <c r="AA1347" i="11"/>
  <c r="R1348" i="11"/>
  <c r="S1348" i="11"/>
  <c r="Z1348" i="11"/>
  <c r="AA1348" i="11"/>
  <c r="R1349" i="11"/>
  <c r="S1349" i="11"/>
  <c r="Z1349" i="11"/>
  <c r="AA1349" i="11"/>
  <c r="R1350" i="11"/>
  <c r="S1350" i="11"/>
  <c r="Z1350" i="11"/>
  <c r="AA1350" i="11"/>
  <c r="R1351" i="11"/>
  <c r="S1351" i="11"/>
  <c r="Z1351" i="11"/>
  <c r="AA1351" i="11"/>
  <c r="R1352" i="11"/>
  <c r="S1352" i="11"/>
  <c r="Z1352" i="11"/>
  <c r="AA1352" i="11"/>
  <c r="R1353" i="11"/>
  <c r="S1353" i="11"/>
  <c r="Z1353" i="11"/>
  <c r="AA1353" i="11"/>
  <c r="R1354" i="11"/>
  <c r="S1354" i="11"/>
  <c r="Z1354" i="11"/>
  <c r="AA1354" i="11"/>
  <c r="R1355" i="11"/>
  <c r="S1355" i="11"/>
  <c r="Z1355" i="11"/>
  <c r="AA1355" i="11"/>
  <c r="R1356" i="11"/>
  <c r="S1356" i="11"/>
  <c r="Z1356" i="11"/>
  <c r="AA1356" i="11"/>
  <c r="R1357" i="11"/>
  <c r="S1357" i="11"/>
  <c r="Z1357" i="11"/>
  <c r="AA1357" i="11"/>
  <c r="R1358" i="11"/>
  <c r="S1358" i="11"/>
  <c r="Z1358" i="11"/>
  <c r="AA1358" i="11"/>
  <c r="R1359" i="11"/>
  <c r="S1359" i="11"/>
  <c r="Z1359" i="11"/>
  <c r="AA1359" i="11"/>
  <c r="R1360" i="11"/>
  <c r="S1360" i="11"/>
  <c r="Z1360" i="11"/>
  <c r="AA1360" i="11"/>
  <c r="R1361" i="11"/>
  <c r="S1361" i="11"/>
  <c r="Z1361" i="11"/>
  <c r="AA1361" i="11"/>
  <c r="R1362" i="11"/>
  <c r="S1362" i="11"/>
  <c r="Z1362" i="11"/>
  <c r="AA1362" i="11"/>
  <c r="R1363" i="11"/>
  <c r="S1363" i="11"/>
  <c r="Z1363" i="11"/>
  <c r="AA1363" i="11"/>
  <c r="R1364" i="11"/>
  <c r="S1364" i="11"/>
  <c r="Z1364" i="11"/>
  <c r="AA1364" i="11"/>
  <c r="R1365" i="11"/>
  <c r="S1365" i="11"/>
  <c r="Z1365" i="11"/>
  <c r="AA1365" i="11"/>
  <c r="R1366" i="11"/>
  <c r="S1366" i="11"/>
  <c r="Z1366" i="11"/>
  <c r="AA1366" i="11"/>
  <c r="R1367" i="11"/>
  <c r="S1367" i="11"/>
  <c r="Z1367" i="11"/>
  <c r="AA1367" i="11"/>
  <c r="R1368" i="11"/>
  <c r="S1368" i="11"/>
  <c r="Z1368" i="11"/>
  <c r="AA1368" i="11"/>
  <c r="R1369" i="11"/>
  <c r="S1369" i="11"/>
  <c r="Z1369" i="11"/>
  <c r="AA1369" i="11"/>
  <c r="R1370" i="11"/>
  <c r="S1370" i="11"/>
  <c r="Z1370" i="11"/>
  <c r="AA1370" i="11"/>
  <c r="R1371" i="11"/>
  <c r="S1371" i="11"/>
  <c r="Z1371" i="11"/>
  <c r="AA1371" i="11"/>
  <c r="R1372" i="11"/>
  <c r="S1372" i="11"/>
  <c r="Z1372" i="11"/>
  <c r="AA1372" i="11"/>
  <c r="R1373" i="11"/>
  <c r="S1373" i="11"/>
  <c r="Z1373" i="11"/>
  <c r="AA1373" i="11"/>
  <c r="R1374" i="11"/>
  <c r="S1374" i="11"/>
  <c r="Z1374" i="11"/>
  <c r="AA1374" i="11"/>
  <c r="R1375" i="11"/>
  <c r="S1375" i="11"/>
  <c r="Z1375" i="11"/>
  <c r="AA1375" i="11"/>
  <c r="R1376" i="11"/>
  <c r="S1376" i="11"/>
  <c r="Z1376" i="11"/>
  <c r="AA1376" i="11"/>
  <c r="R1377" i="11"/>
  <c r="S1377" i="11"/>
  <c r="Z1377" i="11"/>
  <c r="AA1377" i="11"/>
  <c r="R1378" i="11"/>
  <c r="S1378" i="11"/>
  <c r="Z1378" i="11"/>
  <c r="AA1378" i="11"/>
  <c r="R1379" i="11"/>
  <c r="S1379" i="11"/>
  <c r="Z1379" i="11"/>
  <c r="AA1379" i="11"/>
  <c r="R1380" i="11"/>
  <c r="S1380" i="11"/>
  <c r="Z1380" i="11"/>
  <c r="AA1380" i="11"/>
  <c r="R1381" i="11"/>
  <c r="S1381" i="11"/>
  <c r="Z1381" i="11"/>
  <c r="AA1381" i="11"/>
  <c r="R1382" i="11"/>
  <c r="S1382" i="11"/>
  <c r="Z1382" i="11"/>
  <c r="AA1382" i="11"/>
  <c r="R1383" i="11"/>
  <c r="S1383" i="11"/>
  <c r="Z1383" i="11"/>
  <c r="AA1383" i="11"/>
  <c r="R1384" i="11"/>
  <c r="S1384" i="11"/>
  <c r="Z1384" i="11"/>
  <c r="AA1384" i="11"/>
  <c r="R1385" i="11"/>
  <c r="S1385" i="11"/>
  <c r="Z1385" i="11"/>
  <c r="AA1385" i="11"/>
  <c r="R1386" i="11"/>
  <c r="S1386" i="11"/>
  <c r="Z1386" i="11"/>
  <c r="AA1386" i="11"/>
  <c r="R1387" i="11"/>
  <c r="S1387" i="11"/>
  <c r="Z1387" i="11"/>
  <c r="AA1387" i="11"/>
  <c r="R1388" i="11"/>
  <c r="S1388" i="11"/>
  <c r="Z1388" i="11"/>
  <c r="AA1388" i="11"/>
  <c r="R1389" i="11"/>
  <c r="S1389" i="11"/>
  <c r="Z1389" i="11"/>
  <c r="AA1389" i="11"/>
  <c r="R1390" i="11"/>
  <c r="S1390" i="11"/>
  <c r="Z1390" i="11"/>
  <c r="AA1390" i="11"/>
  <c r="R1391" i="11"/>
  <c r="S1391" i="11"/>
  <c r="Z1391" i="11"/>
  <c r="AA1391" i="11"/>
  <c r="R1392" i="11"/>
  <c r="S1392" i="11"/>
  <c r="Z1392" i="11"/>
  <c r="AA1392" i="11"/>
  <c r="R1393" i="11"/>
  <c r="S1393" i="11"/>
  <c r="Z1393" i="11"/>
  <c r="AA1393" i="11"/>
  <c r="R1394" i="11"/>
  <c r="S1394" i="11"/>
  <c r="Z1394" i="11"/>
  <c r="AA1394" i="11"/>
  <c r="R1395" i="11"/>
  <c r="S1395" i="11"/>
  <c r="Z1395" i="11"/>
  <c r="AA1395" i="11"/>
  <c r="R1396" i="11"/>
  <c r="S1396" i="11"/>
  <c r="Z1396" i="11"/>
  <c r="AA1396" i="11"/>
  <c r="R1397" i="11"/>
  <c r="S1397" i="11"/>
  <c r="Z1397" i="11"/>
  <c r="AA1397" i="11"/>
  <c r="R1398" i="11"/>
  <c r="S1398" i="11"/>
  <c r="Z1398" i="11"/>
  <c r="AA1398" i="11"/>
  <c r="R1399" i="11"/>
  <c r="S1399" i="11"/>
  <c r="Z1399" i="11"/>
  <c r="AA1399" i="11"/>
  <c r="R1400" i="11"/>
  <c r="S1400" i="11"/>
  <c r="Z1400" i="11"/>
  <c r="AA1400" i="11"/>
  <c r="R1401" i="11"/>
  <c r="S1401" i="11"/>
  <c r="Z1401" i="11"/>
  <c r="AA1401" i="11"/>
  <c r="R1402" i="11"/>
  <c r="S1402" i="11"/>
  <c r="Z1402" i="11"/>
  <c r="AA1402" i="11"/>
  <c r="R1403" i="11"/>
  <c r="S1403" i="11"/>
  <c r="Z1403" i="11"/>
  <c r="AA1403" i="11"/>
  <c r="R1404" i="11"/>
  <c r="S1404" i="11"/>
  <c r="Z1404" i="11"/>
  <c r="AA1404" i="11"/>
  <c r="R1405" i="11"/>
  <c r="S1405" i="11"/>
  <c r="Z1405" i="11"/>
  <c r="AA1405" i="11"/>
  <c r="R1406" i="11"/>
  <c r="S1406" i="11"/>
  <c r="Z1406" i="11"/>
  <c r="AA1406" i="11"/>
  <c r="R1407" i="11"/>
  <c r="S1407" i="11"/>
  <c r="Z1407" i="11"/>
  <c r="AA1407" i="11"/>
  <c r="R1408" i="11"/>
  <c r="S1408" i="11"/>
  <c r="Z1408" i="11"/>
  <c r="AA1408" i="11"/>
  <c r="R1409" i="11"/>
  <c r="S1409" i="11"/>
  <c r="Z1409" i="11"/>
  <c r="AA1409" i="11"/>
  <c r="R1410" i="11"/>
  <c r="S1410" i="11"/>
  <c r="Z1410" i="11"/>
  <c r="AA1410" i="11"/>
  <c r="R1411" i="11"/>
  <c r="S1411" i="11"/>
  <c r="Z1411" i="11"/>
  <c r="AA1411" i="11"/>
  <c r="R1412" i="11"/>
  <c r="S1412" i="11"/>
  <c r="Z1412" i="11"/>
  <c r="AA1412" i="11"/>
  <c r="R1413" i="11"/>
  <c r="S1413" i="11"/>
  <c r="Z1413" i="11"/>
  <c r="AA1413" i="11"/>
  <c r="R1414" i="11"/>
  <c r="S1414" i="11"/>
  <c r="Z1414" i="11"/>
  <c r="AA1414" i="11"/>
  <c r="R1415" i="11"/>
  <c r="S1415" i="11"/>
  <c r="Z1415" i="11"/>
  <c r="AA1415" i="11"/>
  <c r="R1416" i="11"/>
  <c r="S1416" i="11"/>
  <c r="Z1416" i="11"/>
  <c r="AA1416" i="11"/>
  <c r="R1417" i="11"/>
  <c r="S1417" i="11"/>
  <c r="Z1417" i="11"/>
  <c r="AA1417" i="11"/>
  <c r="R1418" i="11"/>
  <c r="S1418" i="11"/>
  <c r="Z1418" i="11"/>
  <c r="AA1418" i="11"/>
  <c r="R1419" i="11"/>
  <c r="S1419" i="11"/>
  <c r="Z1419" i="11"/>
  <c r="AA1419" i="11"/>
  <c r="R1420" i="11"/>
  <c r="S1420" i="11"/>
  <c r="Z1420" i="11"/>
  <c r="AA1420" i="11"/>
  <c r="R1421" i="11"/>
  <c r="S1421" i="11"/>
  <c r="Z1421" i="11"/>
  <c r="AA1421" i="11"/>
  <c r="R1422" i="11"/>
  <c r="S1422" i="11"/>
  <c r="Z1422" i="11"/>
  <c r="AA1422" i="11"/>
  <c r="R1423" i="11"/>
  <c r="S1423" i="11"/>
  <c r="Z1423" i="11"/>
  <c r="AA1423" i="11"/>
  <c r="R1424" i="11"/>
  <c r="S1424" i="11"/>
  <c r="Z1424" i="11"/>
  <c r="AA1424" i="11"/>
  <c r="R1425" i="11"/>
  <c r="S1425" i="11"/>
  <c r="Z1425" i="11"/>
  <c r="AA1425" i="11"/>
  <c r="R1426" i="11"/>
  <c r="S1426" i="11"/>
  <c r="Z1426" i="11"/>
  <c r="AA1426" i="11"/>
  <c r="R1427" i="11"/>
  <c r="S1427" i="11"/>
  <c r="Z1427" i="11"/>
  <c r="AA1427" i="11"/>
  <c r="R1428" i="11"/>
  <c r="S1428" i="11"/>
  <c r="Z1428" i="11"/>
  <c r="AA1428" i="11"/>
  <c r="R1429" i="11"/>
  <c r="S1429" i="11"/>
  <c r="Z1429" i="11"/>
  <c r="AA1429" i="11"/>
  <c r="R1430" i="11"/>
  <c r="S1430" i="11"/>
  <c r="Z1430" i="11"/>
  <c r="AA1430" i="11"/>
  <c r="R1431" i="11"/>
  <c r="S1431" i="11"/>
  <c r="Z1431" i="11"/>
  <c r="AA1431" i="11"/>
  <c r="R1432" i="11"/>
  <c r="S1432" i="11"/>
  <c r="Z1432" i="11"/>
  <c r="AA1432" i="11"/>
  <c r="R1433" i="11"/>
  <c r="S1433" i="11"/>
  <c r="Z1433" i="11"/>
  <c r="AA1433" i="11"/>
  <c r="R1434" i="11"/>
  <c r="S1434" i="11"/>
  <c r="Z1434" i="11"/>
  <c r="AA1434" i="11"/>
  <c r="R1435" i="11"/>
  <c r="S1435" i="11"/>
  <c r="Z1435" i="11"/>
  <c r="AA1435" i="11"/>
  <c r="R1436" i="11"/>
  <c r="S1436" i="11"/>
  <c r="Z1436" i="11"/>
  <c r="AA1436" i="11"/>
  <c r="R1437" i="11"/>
  <c r="S1437" i="11"/>
  <c r="Z1437" i="11"/>
  <c r="AA1437" i="11"/>
  <c r="R1438" i="11"/>
  <c r="S1438" i="11"/>
  <c r="Z1438" i="11"/>
  <c r="AA1438" i="11"/>
  <c r="R1439" i="11"/>
  <c r="S1439" i="11"/>
  <c r="Z1439" i="11"/>
  <c r="AA1439" i="11"/>
  <c r="R1440" i="11"/>
  <c r="S1440" i="11"/>
  <c r="Z1440" i="11"/>
  <c r="AA1440" i="11"/>
  <c r="R1441" i="11"/>
  <c r="S1441" i="11"/>
  <c r="Z1441" i="11"/>
  <c r="AA1441" i="11"/>
  <c r="R1442" i="11"/>
  <c r="S1442" i="11"/>
  <c r="Z1442" i="11"/>
  <c r="AA1442" i="11"/>
  <c r="R1443" i="11"/>
  <c r="S1443" i="11"/>
  <c r="Z1443" i="11"/>
  <c r="AA1443" i="11"/>
  <c r="R1444" i="11"/>
  <c r="S1444" i="11"/>
  <c r="Z1444" i="11"/>
  <c r="AA1444" i="11"/>
  <c r="R1445" i="11"/>
  <c r="S1445" i="11"/>
  <c r="Z1445" i="11"/>
  <c r="AA1445" i="11"/>
  <c r="R1446" i="11"/>
  <c r="S1446" i="11"/>
  <c r="Z1446" i="11"/>
  <c r="AA1446" i="11"/>
  <c r="R1447" i="11"/>
  <c r="S1447" i="11"/>
  <c r="Z1447" i="11"/>
  <c r="AA1447" i="11"/>
  <c r="R1448" i="11"/>
  <c r="S1448" i="11"/>
  <c r="Z1448" i="11"/>
  <c r="AA1448" i="11"/>
  <c r="R1449" i="11"/>
  <c r="S1449" i="11"/>
  <c r="Z1449" i="11"/>
  <c r="AA1449" i="11"/>
  <c r="R1450" i="11"/>
  <c r="S1450" i="11"/>
  <c r="Z1450" i="11"/>
  <c r="AA1450" i="11"/>
  <c r="R1451" i="11"/>
  <c r="S1451" i="11"/>
  <c r="Z1451" i="11"/>
  <c r="AA1451" i="11"/>
  <c r="R1452" i="11"/>
  <c r="S1452" i="11"/>
  <c r="Z1452" i="11"/>
  <c r="AA1452" i="11"/>
  <c r="R1453" i="11"/>
  <c r="S1453" i="11"/>
  <c r="Z1453" i="11"/>
  <c r="AA1453" i="11"/>
  <c r="R1454" i="11"/>
  <c r="S1454" i="11"/>
  <c r="Z1454" i="11"/>
  <c r="AA1454" i="11"/>
  <c r="R1455" i="11"/>
  <c r="S1455" i="11"/>
  <c r="Z1455" i="11"/>
  <c r="AA1455" i="11"/>
  <c r="R1456" i="11"/>
  <c r="S1456" i="11"/>
  <c r="Z1456" i="11"/>
  <c r="AA1456" i="11"/>
  <c r="R1457" i="11"/>
  <c r="S1457" i="11"/>
  <c r="Z1457" i="11"/>
  <c r="AA1457" i="11"/>
  <c r="R1458" i="11"/>
  <c r="S1458" i="11"/>
  <c r="Z1458" i="11"/>
  <c r="AA1458" i="11"/>
  <c r="R1459" i="11"/>
  <c r="S1459" i="11"/>
  <c r="Z1459" i="11"/>
  <c r="AA1459" i="11"/>
  <c r="R1460" i="11"/>
  <c r="S1460" i="11"/>
  <c r="Z1460" i="11"/>
  <c r="AA1460" i="11"/>
  <c r="R1461" i="11"/>
  <c r="S1461" i="11"/>
  <c r="Z1461" i="11"/>
  <c r="AA1461" i="11"/>
  <c r="R1462" i="11"/>
  <c r="S1462" i="11"/>
  <c r="Z1462" i="11"/>
  <c r="AA1462" i="11"/>
  <c r="R1463" i="11"/>
  <c r="S1463" i="11"/>
  <c r="Z1463" i="11"/>
  <c r="AA1463" i="11"/>
  <c r="R1464" i="11"/>
  <c r="S1464" i="11"/>
  <c r="Z1464" i="11"/>
  <c r="AA1464" i="11"/>
  <c r="R1465" i="11"/>
  <c r="S1465" i="11"/>
  <c r="Z1465" i="11"/>
  <c r="AA1465" i="11"/>
  <c r="R1466" i="11"/>
  <c r="S1466" i="11"/>
  <c r="Z1466" i="11"/>
  <c r="AA1466" i="11"/>
  <c r="R1467" i="11"/>
  <c r="S1467" i="11"/>
  <c r="Z1467" i="11"/>
  <c r="AA1467" i="11"/>
  <c r="R1468" i="11"/>
  <c r="S1468" i="11"/>
  <c r="Z1468" i="11"/>
  <c r="AA1468" i="11"/>
  <c r="R1469" i="11"/>
  <c r="S1469" i="11"/>
  <c r="Z1469" i="11"/>
  <c r="AA1469" i="11"/>
  <c r="R1470" i="11"/>
  <c r="S1470" i="11"/>
  <c r="Z1470" i="11"/>
  <c r="AA1470" i="11"/>
  <c r="R1471" i="11"/>
  <c r="S1471" i="11"/>
  <c r="Z1471" i="11"/>
  <c r="AA1471" i="11"/>
  <c r="R1472" i="11"/>
  <c r="S1472" i="11"/>
  <c r="Z1472" i="11"/>
  <c r="AA1472" i="11"/>
  <c r="R1473" i="11"/>
  <c r="S1473" i="11"/>
  <c r="Z1473" i="11"/>
  <c r="AA1473" i="11"/>
  <c r="R1474" i="11"/>
  <c r="S1474" i="11"/>
  <c r="Z1474" i="11"/>
  <c r="AA1474" i="11"/>
  <c r="R1475" i="11"/>
  <c r="S1475" i="11"/>
  <c r="Z1475" i="11"/>
  <c r="AA1475" i="11"/>
  <c r="R1476" i="11"/>
  <c r="S1476" i="11"/>
  <c r="Z1476" i="11"/>
  <c r="AA1476" i="11"/>
  <c r="R1477" i="11"/>
  <c r="S1477" i="11"/>
  <c r="Z1477" i="11"/>
  <c r="AA1477" i="11"/>
  <c r="R1478" i="11"/>
  <c r="S1478" i="11"/>
  <c r="Z1478" i="11"/>
  <c r="AA1478" i="11"/>
  <c r="R1479" i="11"/>
  <c r="S1479" i="11"/>
  <c r="Z1479" i="11"/>
  <c r="AA1479" i="11"/>
  <c r="R1480" i="11"/>
  <c r="S1480" i="11"/>
  <c r="Z1480" i="11"/>
  <c r="AA1480" i="11"/>
  <c r="R1481" i="11"/>
  <c r="S1481" i="11"/>
  <c r="Z1481" i="11"/>
  <c r="AA1481" i="11"/>
  <c r="R1482" i="11"/>
  <c r="S1482" i="11"/>
  <c r="Z1482" i="11"/>
  <c r="AA1482" i="11"/>
  <c r="R1483" i="11"/>
  <c r="S1483" i="11"/>
  <c r="Z1483" i="11"/>
  <c r="AA1483" i="11"/>
  <c r="R1484" i="11"/>
  <c r="S1484" i="11"/>
  <c r="Z1484" i="11"/>
  <c r="AA1484" i="11"/>
  <c r="R1485" i="11"/>
  <c r="S1485" i="11"/>
  <c r="Z1485" i="11"/>
  <c r="AA1485" i="11"/>
  <c r="R1486" i="11"/>
  <c r="S1486" i="11"/>
  <c r="Z1486" i="11"/>
  <c r="AA1486" i="11"/>
  <c r="R1487" i="11"/>
  <c r="S1487" i="11"/>
  <c r="Z1487" i="11"/>
  <c r="AA1487" i="11"/>
  <c r="R1488" i="11"/>
  <c r="S1488" i="11"/>
  <c r="Z1488" i="11"/>
  <c r="AA1488" i="11"/>
  <c r="R1489" i="11"/>
  <c r="S1489" i="11"/>
  <c r="Z1489" i="11"/>
  <c r="AA1489" i="11"/>
  <c r="R1490" i="11"/>
  <c r="S1490" i="11"/>
  <c r="Z1490" i="11"/>
  <c r="AA1490" i="11"/>
  <c r="R1491" i="11"/>
  <c r="S1491" i="11"/>
  <c r="Z1491" i="11"/>
  <c r="AA1491" i="11"/>
  <c r="R1492" i="11"/>
  <c r="S1492" i="11"/>
  <c r="Z1492" i="11"/>
  <c r="AA1492" i="11"/>
  <c r="R1493" i="11"/>
  <c r="S1493" i="11"/>
  <c r="Z1493" i="11"/>
  <c r="AA1493" i="11"/>
  <c r="R1494" i="11"/>
  <c r="S1494" i="11"/>
  <c r="Z1494" i="11"/>
  <c r="AA1494" i="11"/>
  <c r="R1495" i="11"/>
  <c r="S1495" i="11"/>
  <c r="Z1495" i="11"/>
  <c r="AA1495" i="11"/>
  <c r="R1496" i="11"/>
  <c r="S1496" i="11"/>
  <c r="Z1496" i="11"/>
  <c r="AA1496" i="11"/>
  <c r="R1497" i="11"/>
  <c r="S1497" i="11"/>
  <c r="Z1497" i="11"/>
  <c r="AA1497" i="11"/>
  <c r="R1498" i="11"/>
  <c r="S1498" i="11"/>
  <c r="Z1498" i="11"/>
  <c r="AA1498" i="11"/>
  <c r="R1499" i="11"/>
  <c r="S1499" i="11"/>
  <c r="Z1499" i="11"/>
  <c r="AA1499" i="11"/>
  <c r="R1500" i="11"/>
  <c r="S1500" i="11"/>
  <c r="Z1500" i="11"/>
  <c r="AA1500" i="11"/>
  <c r="R1501" i="11"/>
  <c r="S1501" i="11"/>
  <c r="Z1501" i="11"/>
  <c r="AA1501" i="11"/>
  <c r="R1502" i="11"/>
  <c r="S1502" i="11"/>
  <c r="Z1502" i="11"/>
  <c r="AA1502" i="11"/>
  <c r="R1503" i="11"/>
  <c r="S1503" i="11"/>
  <c r="Z1503" i="11"/>
  <c r="AA1503" i="11"/>
  <c r="R1504" i="11"/>
  <c r="S1504" i="11"/>
  <c r="Z1504" i="11"/>
  <c r="AA1504" i="11"/>
  <c r="R1505" i="11"/>
  <c r="S1505" i="11"/>
  <c r="Z1505" i="11"/>
  <c r="AA1505" i="11"/>
  <c r="R1506" i="11"/>
  <c r="S1506" i="11"/>
  <c r="Z1506" i="11"/>
  <c r="AA1506" i="11"/>
  <c r="R1507" i="11"/>
  <c r="S1507" i="11"/>
  <c r="Z1507" i="11"/>
  <c r="AA1507" i="11"/>
  <c r="R1508" i="11"/>
  <c r="S1508" i="11"/>
  <c r="Z1508" i="11"/>
  <c r="AA1508" i="11"/>
  <c r="R1509" i="11"/>
  <c r="S1509" i="11"/>
  <c r="Z1509" i="11"/>
  <c r="AA1509" i="11"/>
  <c r="R1510" i="11"/>
  <c r="S1510" i="11"/>
  <c r="Z1510" i="11"/>
  <c r="AA1510" i="11"/>
  <c r="R1511" i="11"/>
  <c r="S1511" i="11"/>
  <c r="Z1511" i="11"/>
  <c r="AA1511" i="11"/>
  <c r="R1512" i="11"/>
  <c r="S1512" i="11"/>
  <c r="Z1512" i="11"/>
  <c r="AA1512" i="11"/>
  <c r="R1513" i="11"/>
  <c r="S1513" i="11"/>
  <c r="Z1513" i="11"/>
  <c r="AA1513" i="11"/>
  <c r="R1514" i="11"/>
  <c r="S1514" i="11"/>
  <c r="Z1514" i="11"/>
  <c r="AA1514" i="11"/>
  <c r="R1515" i="11"/>
  <c r="S1515" i="11"/>
  <c r="Z1515" i="11"/>
  <c r="AA1515" i="11"/>
  <c r="R1516" i="11"/>
  <c r="S1516" i="11"/>
  <c r="Z1516" i="11"/>
  <c r="AA1516" i="11"/>
  <c r="R1517" i="11"/>
  <c r="S1517" i="11"/>
  <c r="Z1517" i="11"/>
  <c r="AA1517" i="11"/>
  <c r="R1518" i="11"/>
  <c r="S1518" i="11"/>
  <c r="Z1518" i="11"/>
  <c r="AA1518" i="11"/>
  <c r="R1519" i="11"/>
  <c r="S1519" i="11"/>
  <c r="Z1519" i="11"/>
  <c r="AA1519" i="11"/>
  <c r="R1520" i="11"/>
  <c r="S1520" i="11"/>
  <c r="Z1520" i="11"/>
  <c r="AA1520" i="11"/>
  <c r="R1521" i="11"/>
  <c r="S1521" i="11"/>
  <c r="Z1521" i="11"/>
  <c r="AA1521" i="11"/>
  <c r="R1522" i="11"/>
  <c r="S1522" i="11"/>
  <c r="Z1522" i="11"/>
  <c r="AA1522" i="11"/>
  <c r="R1523" i="11"/>
  <c r="S1523" i="11"/>
  <c r="Z1523" i="11"/>
  <c r="AA1523" i="11"/>
  <c r="R1524" i="11"/>
  <c r="S1524" i="11"/>
  <c r="Z1524" i="11"/>
  <c r="AA1524" i="11"/>
  <c r="R1525" i="11"/>
  <c r="S1525" i="11"/>
  <c r="Z1525" i="11"/>
  <c r="AA1525" i="11"/>
  <c r="R1526" i="11"/>
  <c r="S1526" i="11"/>
  <c r="Z1526" i="11"/>
  <c r="AA1526" i="11"/>
  <c r="R1527" i="11"/>
  <c r="S1527" i="11"/>
  <c r="Z1527" i="11"/>
  <c r="AA1527" i="11"/>
  <c r="R1528" i="11"/>
  <c r="S1528" i="11"/>
  <c r="Z1528" i="11"/>
  <c r="AA1528" i="11"/>
  <c r="R1529" i="11"/>
  <c r="S1529" i="11"/>
  <c r="Z1529" i="11"/>
  <c r="AA1529" i="11"/>
  <c r="R1530" i="11"/>
  <c r="S1530" i="11"/>
  <c r="Z1530" i="11"/>
  <c r="AA1530" i="11"/>
  <c r="R1531" i="11"/>
  <c r="S1531" i="11"/>
  <c r="Z1531" i="11"/>
  <c r="AA1531" i="11"/>
  <c r="R1532" i="11"/>
  <c r="S1532" i="11"/>
  <c r="Z1532" i="11"/>
  <c r="AA1532" i="11"/>
  <c r="R1533" i="11"/>
  <c r="S1533" i="11"/>
  <c r="Z1533" i="11"/>
  <c r="AA1533" i="11"/>
  <c r="R1534" i="11"/>
  <c r="S1534" i="11"/>
  <c r="Z1534" i="11"/>
  <c r="AA1534" i="11"/>
  <c r="R1535" i="11"/>
  <c r="S1535" i="11"/>
  <c r="Z1535" i="11"/>
  <c r="AA1535" i="11"/>
  <c r="R1536" i="11"/>
  <c r="S1536" i="11"/>
  <c r="Z1536" i="11"/>
  <c r="AA1536" i="11"/>
  <c r="R1537" i="11"/>
  <c r="S1537" i="11"/>
  <c r="Z1537" i="11"/>
  <c r="AA1537" i="11"/>
  <c r="R1538" i="11"/>
  <c r="S1538" i="11"/>
  <c r="Z1538" i="11"/>
  <c r="AA1538" i="11"/>
  <c r="R1539" i="11"/>
  <c r="S1539" i="11"/>
  <c r="Z1539" i="11"/>
  <c r="AA1539" i="11"/>
  <c r="R1540" i="11"/>
  <c r="S1540" i="11"/>
  <c r="Z1540" i="11"/>
  <c r="AA1540" i="11"/>
  <c r="R1541" i="11"/>
  <c r="S1541" i="11"/>
  <c r="Z1541" i="11"/>
  <c r="AA1541" i="11"/>
  <c r="R1542" i="11"/>
  <c r="S1542" i="11"/>
  <c r="Z1542" i="11"/>
  <c r="AA1542" i="11"/>
  <c r="R1543" i="11"/>
  <c r="S1543" i="11"/>
  <c r="Z1543" i="11"/>
  <c r="AA1543" i="11"/>
  <c r="R1544" i="11"/>
  <c r="S1544" i="11"/>
  <c r="Z1544" i="11"/>
  <c r="AA1544" i="11"/>
  <c r="R1545" i="11"/>
  <c r="S1545" i="11"/>
  <c r="Z1545" i="11"/>
  <c r="AA1545" i="11"/>
  <c r="R1546" i="11"/>
  <c r="S1546" i="11"/>
  <c r="Z1546" i="11"/>
  <c r="AA1546" i="11"/>
  <c r="R1547" i="11"/>
  <c r="S1547" i="11"/>
  <c r="Z1547" i="11"/>
  <c r="AA1547" i="11"/>
  <c r="R1548" i="11"/>
  <c r="S1548" i="11"/>
  <c r="Z1548" i="11"/>
  <c r="AA1548" i="11"/>
  <c r="R1549" i="11"/>
  <c r="S1549" i="11"/>
  <c r="Z1549" i="11"/>
  <c r="AA1549" i="11"/>
  <c r="R1550" i="11"/>
  <c r="S1550" i="11"/>
  <c r="Z1550" i="11"/>
  <c r="AA1550" i="11"/>
  <c r="R1551" i="11"/>
  <c r="S1551" i="11"/>
  <c r="Z1551" i="11"/>
  <c r="AA1551" i="11"/>
  <c r="R1552" i="11"/>
  <c r="S1552" i="11"/>
  <c r="Z1552" i="11"/>
  <c r="AA1552" i="11"/>
  <c r="R1553" i="11"/>
  <c r="S1553" i="11"/>
  <c r="Z1553" i="11"/>
  <c r="AA1553" i="11"/>
  <c r="R1554" i="11"/>
  <c r="S1554" i="11"/>
  <c r="Z1554" i="11"/>
  <c r="AA1554" i="11"/>
  <c r="R1555" i="11"/>
  <c r="S1555" i="11"/>
  <c r="Z1555" i="11"/>
  <c r="AA1555" i="11"/>
  <c r="R1556" i="11"/>
  <c r="S1556" i="11"/>
  <c r="Z1556" i="11"/>
  <c r="AA1556" i="11"/>
  <c r="R1557" i="11"/>
  <c r="S1557" i="11"/>
  <c r="Z1557" i="11"/>
  <c r="AA1557" i="11"/>
  <c r="R1558" i="11"/>
  <c r="S1558" i="11"/>
  <c r="Z1558" i="11"/>
  <c r="AA1558" i="11"/>
  <c r="R1559" i="11"/>
  <c r="S1559" i="11"/>
  <c r="Z1559" i="11"/>
  <c r="AA1559" i="11"/>
  <c r="R1560" i="11"/>
  <c r="S1560" i="11"/>
  <c r="Z1560" i="11"/>
  <c r="AA1560" i="11"/>
  <c r="R1561" i="11"/>
  <c r="S1561" i="11"/>
  <c r="Z1561" i="11"/>
  <c r="AA1561" i="11"/>
  <c r="R1562" i="11"/>
  <c r="S1562" i="11"/>
  <c r="Z1562" i="11"/>
  <c r="AA1562" i="11"/>
  <c r="R1563" i="11"/>
  <c r="S1563" i="11"/>
  <c r="Z1563" i="11"/>
  <c r="AA1563" i="11"/>
  <c r="R1564" i="11"/>
  <c r="S1564" i="11"/>
  <c r="Z1564" i="11"/>
  <c r="AA1564" i="11"/>
  <c r="R1565" i="11"/>
  <c r="S1565" i="11"/>
  <c r="Z1565" i="11"/>
  <c r="AA1565" i="11"/>
  <c r="R1566" i="11"/>
  <c r="S1566" i="11"/>
  <c r="Z1566" i="11"/>
  <c r="AA1566" i="11"/>
  <c r="R1567" i="11"/>
  <c r="S1567" i="11"/>
  <c r="Z1567" i="11"/>
  <c r="AA1567" i="11"/>
  <c r="R1568" i="11"/>
  <c r="S1568" i="11"/>
  <c r="Z1568" i="11"/>
  <c r="AA1568" i="11"/>
  <c r="R1569" i="11"/>
  <c r="S1569" i="11"/>
  <c r="Z1569" i="11"/>
  <c r="AA1569" i="11"/>
  <c r="R1570" i="11"/>
  <c r="S1570" i="11"/>
  <c r="Z1570" i="11"/>
  <c r="AA1570" i="11"/>
  <c r="R1571" i="11"/>
  <c r="S1571" i="11"/>
  <c r="Z1571" i="11"/>
  <c r="AA1571" i="11"/>
  <c r="R1572" i="11"/>
  <c r="S1572" i="11"/>
  <c r="Z1572" i="11"/>
  <c r="AA1572" i="11"/>
  <c r="R1573" i="11"/>
  <c r="S1573" i="11"/>
  <c r="Z1573" i="11"/>
  <c r="AA1573" i="11"/>
  <c r="R1574" i="11"/>
  <c r="S1574" i="11"/>
  <c r="Z1574" i="11"/>
  <c r="AA1574" i="11"/>
  <c r="R1575" i="11"/>
  <c r="S1575" i="11"/>
  <c r="Z1575" i="11"/>
  <c r="AA1575" i="11"/>
  <c r="R1576" i="11"/>
  <c r="S1576" i="11"/>
  <c r="Z1576" i="11"/>
  <c r="AA1576" i="11"/>
  <c r="R1577" i="11"/>
  <c r="S1577" i="11"/>
  <c r="Z1577" i="11"/>
  <c r="AA1577" i="11"/>
  <c r="R1578" i="11"/>
  <c r="S1578" i="11"/>
  <c r="Z1578" i="11"/>
  <c r="AA1578" i="11"/>
  <c r="R1579" i="11"/>
  <c r="S1579" i="11"/>
  <c r="Z1579" i="11"/>
  <c r="AA1579" i="11"/>
  <c r="R1580" i="11"/>
  <c r="S1580" i="11"/>
  <c r="Z1580" i="11"/>
  <c r="AA1580" i="11"/>
  <c r="R1581" i="11"/>
  <c r="S1581" i="11"/>
  <c r="Z1581" i="11"/>
  <c r="AA1581" i="11"/>
  <c r="R1582" i="11"/>
  <c r="S1582" i="11"/>
  <c r="Z1582" i="11"/>
  <c r="AA1582" i="11"/>
  <c r="R1583" i="11"/>
  <c r="S1583" i="11"/>
  <c r="Z1583" i="11"/>
  <c r="AA1583" i="11"/>
  <c r="R1584" i="11"/>
  <c r="S1584" i="11"/>
  <c r="Z1584" i="11"/>
  <c r="AA1584" i="11"/>
  <c r="R1585" i="11"/>
  <c r="S1585" i="11"/>
  <c r="Z1585" i="11"/>
  <c r="AA1585" i="11"/>
  <c r="R1586" i="11"/>
  <c r="S1586" i="11"/>
  <c r="Z1586" i="11"/>
  <c r="AA1586" i="11"/>
  <c r="R1587" i="11"/>
  <c r="S1587" i="11"/>
  <c r="Z1587" i="11"/>
  <c r="AA1587" i="11"/>
  <c r="R1588" i="11"/>
  <c r="S1588" i="11"/>
  <c r="Z1588" i="11"/>
  <c r="AA1588" i="11"/>
  <c r="R1589" i="11"/>
  <c r="S1589" i="11"/>
  <c r="Z1589" i="11"/>
  <c r="AA1589" i="11"/>
  <c r="R1590" i="11"/>
  <c r="S1590" i="11"/>
  <c r="Z1590" i="11"/>
  <c r="AA1590" i="11"/>
  <c r="R1591" i="11"/>
  <c r="S1591" i="11"/>
  <c r="Z1591" i="11"/>
  <c r="AA1591" i="11"/>
  <c r="R1592" i="11"/>
  <c r="S1592" i="11"/>
  <c r="Z1592" i="11"/>
  <c r="AA1592" i="11"/>
  <c r="R1593" i="11"/>
  <c r="S1593" i="11"/>
  <c r="Z1593" i="11"/>
  <c r="AA1593" i="11"/>
  <c r="R1594" i="11"/>
  <c r="S1594" i="11"/>
  <c r="Z1594" i="11"/>
  <c r="AA1594" i="11"/>
  <c r="R1595" i="11"/>
  <c r="S1595" i="11"/>
  <c r="Z1595" i="11"/>
  <c r="AA1595" i="11"/>
  <c r="R1596" i="11"/>
  <c r="S1596" i="11"/>
  <c r="Z1596" i="11"/>
  <c r="AA1596" i="11"/>
  <c r="R1597" i="11"/>
  <c r="S1597" i="11"/>
  <c r="Z1597" i="11"/>
  <c r="AA1597" i="11"/>
  <c r="R1598" i="11"/>
  <c r="S1598" i="11"/>
  <c r="Z1598" i="11"/>
  <c r="AA1598" i="11"/>
  <c r="R1599" i="11"/>
  <c r="S1599" i="11"/>
  <c r="Z1599" i="11"/>
  <c r="AA1599" i="11"/>
  <c r="R1600" i="11"/>
  <c r="S1600" i="11"/>
  <c r="Z1600" i="11"/>
  <c r="AA1600" i="11"/>
  <c r="R1601" i="11"/>
  <c r="S1601" i="11"/>
  <c r="Z1601" i="11"/>
  <c r="AA1601" i="11"/>
  <c r="R1602" i="11"/>
  <c r="S1602" i="11"/>
  <c r="Z1602" i="11"/>
  <c r="AA1602" i="11"/>
  <c r="R1603" i="11"/>
  <c r="S1603" i="11"/>
  <c r="Z1603" i="11"/>
  <c r="AA1603" i="11"/>
  <c r="R1604" i="11"/>
  <c r="S1604" i="11"/>
  <c r="Z1604" i="11"/>
  <c r="AA1604" i="11"/>
  <c r="R1605" i="11"/>
  <c r="S1605" i="11"/>
  <c r="Z1605" i="11"/>
  <c r="AA1605" i="11"/>
  <c r="R1606" i="11"/>
  <c r="S1606" i="11"/>
  <c r="Z1606" i="11"/>
  <c r="AA1606" i="11"/>
  <c r="R1607" i="11"/>
  <c r="S1607" i="11"/>
  <c r="Z1607" i="11"/>
  <c r="AA1607" i="11"/>
  <c r="R1608" i="11"/>
  <c r="S1608" i="11"/>
  <c r="Z1608" i="11"/>
  <c r="AA1608" i="11"/>
  <c r="R1609" i="11"/>
  <c r="S1609" i="11"/>
  <c r="Z1609" i="11"/>
  <c r="AA1609" i="11"/>
  <c r="R1610" i="11"/>
  <c r="S1610" i="11"/>
  <c r="Z1610" i="11"/>
  <c r="AA1610" i="11"/>
  <c r="R1611" i="11"/>
  <c r="S1611" i="11"/>
  <c r="Z1611" i="11"/>
  <c r="AA1611" i="11"/>
  <c r="R1612" i="11"/>
  <c r="S1612" i="11"/>
  <c r="Z1612" i="11"/>
  <c r="AA1612" i="11"/>
  <c r="R1613" i="11"/>
  <c r="S1613" i="11"/>
  <c r="Z1613" i="11"/>
  <c r="AA1613" i="11"/>
  <c r="R1614" i="11"/>
  <c r="S1614" i="11"/>
  <c r="Z1614" i="11"/>
  <c r="AA1614" i="11"/>
  <c r="R1615" i="11"/>
  <c r="S1615" i="11"/>
  <c r="Z1615" i="11"/>
  <c r="AA1615" i="11"/>
  <c r="R1616" i="11"/>
  <c r="S1616" i="11"/>
  <c r="Z1616" i="11"/>
  <c r="AA1616" i="11"/>
  <c r="R1617" i="11"/>
  <c r="S1617" i="11"/>
  <c r="Z1617" i="11"/>
  <c r="AA1617" i="11"/>
  <c r="R1618" i="11"/>
  <c r="S1618" i="11"/>
  <c r="Z1618" i="11"/>
  <c r="AA1618" i="11"/>
  <c r="R1619" i="11"/>
  <c r="S1619" i="11"/>
  <c r="Z1619" i="11"/>
  <c r="AA1619" i="11"/>
  <c r="R1620" i="11"/>
  <c r="S1620" i="11"/>
  <c r="Z1620" i="11"/>
  <c r="AA1620" i="11"/>
  <c r="R1621" i="11"/>
  <c r="S1621" i="11"/>
  <c r="Z1621" i="11"/>
  <c r="AA1621" i="11"/>
  <c r="R1622" i="11"/>
  <c r="S1622" i="11"/>
  <c r="Z1622" i="11"/>
  <c r="AA1622" i="11"/>
  <c r="R1623" i="11"/>
  <c r="S1623" i="11"/>
  <c r="Z1623" i="11"/>
  <c r="AA1623" i="11"/>
  <c r="R1624" i="11"/>
  <c r="S1624" i="11"/>
  <c r="Z1624" i="11"/>
  <c r="AA1624" i="11"/>
  <c r="R1625" i="11"/>
  <c r="S1625" i="11"/>
  <c r="Z1625" i="11"/>
  <c r="AA1625" i="11"/>
  <c r="R1626" i="11"/>
  <c r="S1626" i="11"/>
  <c r="Z1626" i="11"/>
  <c r="AA1626" i="11"/>
  <c r="R1627" i="11"/>
  <c r="S1627" i="11"/>
  <c r="Z1627" i="11"/>
  <c r="AA1627" i="11"/>
  <c r="R1628" i="11"/>
  <c r="S1628" i="11"/>
  <c r="Z1628" i="11"/>
  <c r="AA1628" i="11"/>
  <c r="R1629" i="11"/>
  <c r="S1629" i="11"/>
  <c r="Z1629" i="11"/>
  <c r="AA1629" i="11"/>
  <c r="R1630" i="11"/>
  <c r="S1630" i="11"/>
  <c r="Z1630" i="11"/>
  <c r="AA1630" i="11"/>
  <c r="R1631" i="11"/>
  <c r="S1631" i="11"/>
  <c r="Z1631" i="11"/>
  <c r="AA1631" i="11"/>
  <c r="R1632" i="11"/>
  <c r="S1632" i="11"/>
  <c r="Z1632" i="11"/>
  <c r="AA1632" i="11"/>
  <c r="R1633" i="11"/>
  <c r="S1633" i="11"/>
  <c r="Z1633" i="11"/>
  <c r="AA1633" i="11"/>
  <c r="R1634" i="11"/>
  <c r="S1634" i="11"/>
  <c r="Z1634" i="11"/>
  <c r="AA1634" i="11"/>
  <c r="R1635" i="11"/>
  <c r="S1635" i="11"/>
  <c r="Z1635" i="11"/>
  <c r="AA1635" i="11"/>
  <c r="R1636" i="11"/>
  <c r="S1636" i="11"/>
  <c r="Z1636" i="11"/>
  <c r="AA1636" i="11"/>
  <c r="R1637" i="11"/>
  <c r="S1637" i="11"/>
  <c r="Z1637" i="11"/>
  <c r="AA1637" i="11"/>
  <c r="R1638" i="11"/>
  <c r="S1638" i="11"/>
  <c r="Z1638" i="11"/>
  <c r="AA1638" i="11"/>
  <c r="R1639" i="11"/>
  <c r="S1639" i="11"/>
  <c r="Z1639" i="11"/>
  <c r="AA1639" i="11"/>
  <c r="R1640" i="11"/>
  <c r="S1640" i="11"/>
  <c r="Z1640" i="11"/>
  <c r="AA1640" i="11"/>
  <c r="R1641" i="11"/>
  <c r="S1641" i="11"/>
  <c r="Z1641" i="11"/>
  <c r="AA1641" i="11"/>
  <c r="R1642" i="11"/>
  <c r="S1642" i="11"/>
  <c r="Z1642" i="11"/>
  <c r="AA1642" i="11"/>
  <c r="R1643" i="11"/>
  <c r="S1643" i="11"/>
  <c r="Z1643" i="11"/>
  <c r="AA1643" i="11"/>
  <c r="R1644" i="11"/>
  <c r="S1644" i="11"/>
  <c r="Z1644" i="11"/>
  <c r="AA1644" i="11"/>
  <c r="R1645" i="11"/>
  <c r="S1645" i="11"/>
  <c r="Z1645" i="11"/>
  <c r="AA1645" i="11"/>
  <c r="R1646" i="11"/>
  <c r="S1646" i="11"/>
  <c r="Z1646" i="11"/>
  <c r="AA1646" i="11"/>
  <c r="R1647" i="11"/>
  <c r="S1647" i="11"/>
  <c r="Z1647" i="11"/>
  <c r="AA1647" i="11"/>
  <c r="R1648" i="11"/>
  <c r="S1648" i="11"/>
  <c r="Z1648" i="11"/>
  <c r="AA1648" i="11"/>
  <c r="R1649" i="11"/>
  <c r="S1649" i="11"/>
  <c r="Z1649" i="11"/>
  <c r="AA1649" i="11"/>
  <c r="R1650" i="11"/>
  <c r="S1650" i="11"/>
  <c r="Z1650" i="11"/>
  <c r="AA1650" i="11"/>
  <c r="R1651" i="11"/>
  <c r="S1651" i="11"/>
  <c r="Z1651" i="11"/>
  <c r="AA1651" i="11"/>
  <c r="R1652" i="11"/>
  <c r="S1652" i="11"/>
  <c r="Z1652" i="11"/>
  <c r="AA1652" i="11"/>
  <c r="R1653" i="11"/>
  <c r="S1653" i="11"/>
  <c r="Z1653" i="11"/>
  <c r="AA1653" i="11"/>
  <c r="R1654" i="11"/>
  <c r="S1654" i="11"/>
  <c r="Z1654" i="11"/>
  <c r="AA1654" i="11"/>
  <c r="R1655" i="11"/>
  <c r="S1655" i="11"/>
  <c r="Z1655" i="11"/>
  <c r="AA1655" i="11"/>
  <c r="R1656" i="11"/>
  <c r="S1656" i="11"/>
  <c r="Z1656" i="11"/>
  <c r="AA1656" i="11"/>
  <c r="R1657" i="11"/>
  <c r="S1657" i="11"/>
  <c r="Z1657" i="11"/>
  <c r="AA1657" i="11"/>
  <c r="R1658" i="11"/>
  <c r="S1658" i="11"/>
  <c r="Z1658" i="11"/>
  <c r="AA1658" i="11"/>
  <c r="R1659" i="11"/>
  <c r="S1659" i="11"/>
  <c r="Z1659" i="11"/>
  <c r="AA1659" i="11"/>
  <c r="R1660" i="11"/>
  <c r="S1660" i="11"/>
  <c r="Z1660" i="11"/>
  <c r="AA1660" i="11"/>
  <c r="R1661" i="11"/>
  <c r="S1661" i="11"/>
  <c r="Z1661" i="11"/>
  <c r="AA1661" i="11"/>
  <c r="R1662" i="11"/>
  <c r="S1662" i="11"/>
  <c r="Z1662" i="11"/>
  <c r="AA1662" i="11"/>
  <c r="R1663" i="11"/>
  <c r="S1663" i="11"/>
  <c r="Z1663" i="11"/>
  <c r="AA1663" i="11"/>
  <c r="R1664" i="11"/>
  <c r="S1664" i="11"/>
  <c r="Z1664" i="11"/>
  <c r="AA1664" i="11"/>
  <c r="R1665" i="11"/>
  <c r="S1665" i="11"/>
  <c r="Z1665" i="11"/>
  <c r="AA1665" i="11"/>
  <c r="R1666" i="11"/>
  <c r="S1666" i="11"/>
  <c r="Z1666" i="11"/>
  <c r="AA1666" i="11"/>
  <c r="R1667" i="11"/>
  <c r="S1667" i="11"/>
  <c r="Z1667" i="11"/>
  <c r="AA1667" i="11"/>
  <c r="R1668" i="11"/>
  <c r="S1668" i="11"/>
  <c r="Z1668" i="11"/>
  <c r="AA1668" i="11"/>
  <c r="R1669" i="11"/>
  <c r="S1669" i="11"/>
  <c r="Z1669" i="11"/>
  <c r="AA1669" i="11"/>
  <c r="R1670" i="11"/>
  <c r="S1670" i="11"/>
  <c r="Z1670" i="11"/>
  <c r="AA1670" i="11"/>
  <c r="R1671" i="11"/>
  <c r="S1671" i="11"/>
  <c r="Z1671" i="11"/>
  <c r="AA1671" i="11"/>
  <c r="R1672" i="11"/>
  <c r="S1672" i="11"/>
  <c r="Z1672" i="11"/>
  <c r="AA1672" i="11"/>
  <c r="R1673" i="11"/>
  <c r="S1673" i="11"/>
  <c r="Z1673" i="11"/>
  <c r="AA1673" i="11"/>
  <c r="R1674" i="11"/>
  <c r="S1674" i="11"/>
  <c r="Z1674" i="11"/>
  <c r="AA1674" i="11"/>
  <c r="R1675" i="11"/>
  <c r="S1675" i="11"/>
  <c r="Z1675" i="11"/>
  <c r="AA1675" i="11"/>
  <c r="R1676" i="11"/>
  <c r="S1676" i="11"/>
  <c r="Z1676" i="11"/>
  <c r="AA1676" i="11"/>
  <c r="R1677" i="11"/>
  <c r="S1677" i="11"/>
  <c r="Z1677" i="11"/>
  <c r="AA1677" i="11"/>
  <c r="R1678" i="11"/>
  <c r="S1678" i="11"/>
  <c r="Z1678" i="11"/>
  <c r="AA1678" i="11"/>
  <c r="R1679" i="11"/>
  <c r="S1679" i="11"/>
  <c r="Z1679" i="11"/>
  <c r="AA1679" i="11"/>
  <c r="R1680" i="11"/>
  <c r="S1680" i="11"/>
  <c r="Z1680" i="11"/>
  <c r="AA1680" i="11"/>
  <c r="R1681" i="11"/>
  <c r="S1681" i="11"/>
  <c r="Z1681" i="11"/>
  <c r="AA1681" i="11"/>
  <c r="R1682" i="11"/>
  <c r="S1682" i="11"/>
  <c r="Z1682" i="11"/>
  <c r="AA1682" i="11"/>
  <c r="R1683" i="11"/>
  <c r="S1683" i="11"/>
  <c r="Z1683" i="11"/>
  <c r="AA1683" i="11"/>
  <c r="R1684" i="11"/>
  <c r="S1684" i="11"/>
  <c r="Z1684" i="11"/>
  <c r="AA1684" i="11"/>
  <c r="R1685" i="11"/>
  <c r="S1685" i="11"/>
  <c r="Z1685" i="11"/>
  <c r="AA1685" i="11"/>
  <c r="R1686" i="11"/>
  <c r="S1686" i="11"/>
  <c r="Z1686" i="11"/>
  <c r="AA1686" i="11"/>
  <c r="R1687" i="11"/>
  <c r="S1687" i="11"/>
  <c r="Z1687" i="11"/>
  <c r="AA1687" i="11"/>
  <c r="R1688" i="11"/>
  <c r="S1688" i="11"/>
  <c r="Z1688" i="11"/>
  <c r="AA1688" i="11"/>
  <c r="R1689" i="11"/>
  <c r="S1689" i="11"/>
  <c r="Z1689" i="11"/>
  <c r="AA1689" i="11"/>
  <c r="R1690" i="11"/>
  <c r="S1690" i="11"/>
  <c r="Z1690" i="11"/>
  <c r="AA1690" i="11"/>
  <c r="R1691" i="11"/>
  <c r="S1691" i="11"/>
  <c r="Z1691" i="11"/>
  <c r="AA1691" i="11"/>
  <c r="R1692" i="11"/>
  <c r="S1692" i="11"/>
  <c r="Z1692" i="11"/>
  <c r="AA1692" i="11"/>
  <c r="R1693" i="11"/>
  <c r="S1693" i="11"/>
  <c r="Z1693" i="11"/>
  <c r="AA1693" i="11"/>
  <c r="R1694" i="11"/>
  <c r="S1694" i="11"/>
  <c r="Z1694" i="11"/>
  <c r="AA1694" i="11"/>
  <c r="R1695" i="11"/>
  <c r="S1695" i="11"/>
  <c r="Z1695" i="11"/>
  <c r="AA1695" i="11"/>
  <c r="R1696" i="11"/>
  <c r="S1696" i="11"/>
  <c r="Z1696" i="11"/>
  <c r="AA1696" i="11"/>
  <c r="R1697" i="11"/>
  <c r="S1697" i="11"/>
  <c r="Z1697" i="11"/>
  <c r="AA1697" i="11"/>
  <c r="R1698" i="11"/>
  <c r="S1698" i="11"/>
  <c r="Z1698" i="11"/>
  <c r="AA1698" i="11"/>
  <c r="R1699" i="11"/>
  <c r="S1699" i="11"/>
  <c r="Z1699" i="11"/>
  <c r="AA1699" i="11"/>
  <c r="R1700" i="11"/>
  <c r="S1700" i="11"/>
  <c r="Z1700" i="11"/>
  <c r="AA1700" i="11"/>
  <c r="R1701" i="11"/>
  <c r="S1701" i="11"/>
  <c r="Z1701" i="11"/>
  <c r="AA1701" i="11"/>
  <c r="R1702" i="11"/>
  <c r="S1702" i="11"/>
  <c r="Z1702" i="11"/>
  <c r="AA1702" i="11"/>
  <c r="R1703" i="11"/>
  <c r="S1703" i="11"/>
  <c r="Z1703" i="11"/>
  <c r="AA1703" i="11"/>
  <c r="R1704" i="11"/>
  <c r="S1704" i="11"/>
  <c r="Z1704" i="11"/>
  <c r="AA1704" i="11"/>
  <c r="R1705" i="11"/>
  <c r="S1705" i="11"/>
  <c r="Z1705" i="11"/>
  <c r="AA1705" i="11"/>
  <c r="R1706" i="11"/>
  <c r="S1706" i="11"/>
  <c r="Z1706" i="11"/>
  <c r="AA1706" i="11"/>
  <c r="R1707" i="11"/>
  <c r="S1707" i="11"/>
  <c r="Z1707" i="11"/>
  <c r="AA1707" i="11"/>
  <c r="R1708" i="11"/>
  <c r="S1708" i="11"/>
  <c r="Z1708" i="11"/>
  <c r="AA1708" i="11"/>
  <c r="R1709" i="11"/>
  <c r="S1709" i="11"/>
  <c r="Z1709" i="11"/>
  <c r="AA1709" i="11"/>
  <c r="R1710" i="11"/>
  <c r="S1710" i="11"/>
  <c r="Z1710" i="11"/>
  <c r="AA1710" i="11"/>
  <c r="R1711" i="11"/>
  <c r="S1711" i="11"/>
  <c r="Z1711" i="11"/>
  <c r="AA1711" i="11"/>
  <c r="R1712" i="11"/>
  <c r="S1712" i="11"/>
  <c r="Z1712" i="11"/>
  <c r="AA1712" i="11"/>
  <c r="R1713" i="11"/>
  <c r="S1713" i="11"/>
  <c r="Z1713" i="11"/>
  <c r="AA1713" i="11"/>
  <c r="R1714" i="11"/>
  <c r="S1714" i="11"/>
  <c r="Z1714" i="11"/>
  <c r="AA1714" i="11"/>
  <c r="R1715" i="11"/>
  <c r="S1715" i="11"/>
  <c r="Z1715" i="11"/>
  <c r="AA1715" i="11"/>
  <c r="R1716" i="11"/>
  <c r="S1716" i="11"/>
  <c r="Z1716" i="11"/>
  <c r="AA1716" i="11"/>
  <c r="R1717" i="11"/>
  <c r="S1717" i="11"/>
  <c r="Z1717" i="11"/>
  <c r="AA1717" i="11"/>
  <c r="R1718" i="11"/>
  <c r="S1718" i="11"/>
  <c r="Z1718" i="11"/>
  <c r="AA1718" i="11"/>
  <c r="R1719" i="11"/>
  <c r="S1719" i="11"/>
  <c r="Z1719" i="11"/>
  <c r="AA1719" i="11"/>
  <c r="R1720" i="11"/>
  <c r="S1720" i="11"/>
  <c r="Z1720" i="11"/>
  <c r="AA1720" i="11"/>
  <c r="R1721" i="11"/>
  <c r="S1721" i="11"/>
  <c r="Z1721" i="11"/>
  <c r="AA1721" i="11"/>
  <c r="R1722" i="11"/>
  <c r="S1722" i="11"/>
  <c r="Z1722" i="11"/>
  <c r="AA1722" i="11"/>
  <c r="R1723" i="11"/>
  <c r="S1723" i="11"/>
  <c r="Z1723" i="11"/>
  <c r="AA1723" i="11"/>
  <c r="R1724" i="11"/>
  <c r="S1724" i="11"/>
  <c r="Z1724" i="11"/>
  <c r="AA1724" i="11"/>
  <c r="R1725" i="11"/>
  <c r="S1725" i="11"/>
  <c r="Z1725" i="11"/>
  <c r="AA1725" i="11"/>
  <c r="R1726" i="11"/>
  <c r="S1726" i="11"/>
  <c r="Z1726" i="11"/>
  <c r="AA1726" i="11"/>
  <c r="R1727" i="11"/>
  <c r="S1727" i="11"/>
  <c r="Z1727" i="11"/>
  <c r="AA1727" i="11"/>
  <c r="R1728" i="11"/>
  <c r="S1728" i="11"/>
  <c r="Z1728" i="11"/>
  <c r="AA1728" i="11"/>
  <c r="R1729" i="11"/>
  <c r="S1729" i="11"/>
  <c r="Z1729" i="11"/>
  <c r="AA1729" i="11"/>
  <c r="R1730" i="11"/>
  <c r="S1730" i="11"/>
  <c r="Z1730" i="11"/>
  <c r="AA1730" i="11"/>
  <c r="R1731" i="11"/>
  <c r="S1731" i="11"/>
  <c r="Z1731" i="11"/>
  <c r="AA1731" i="11"/>
  <c r="R1732" i="11"/>
  <c r="S1732" i="11"/>
  <c r="Z1732" i="11"/>
  <c r="AA1732" i="11"/>
  <c r="R1733" i="11"/>
  <c r="S1733" i="11"/>
  <c r="Z1733" i="11"/>
  <c r="AA1733" i="11"/>
  <c r="R1734" i="11"/>
  <c r="S1734" i="11"/>
  <c r="Z1734" i="11"/>
  <c r="AA1734" i="11"/>
  <c r="R1735" i="11"/>
  <c r="S1735" i="11"/>
  <c r="Z1735" i="11"/>
  <c r="AA1735" i="11"/>
  <c r="R1736" i="11"/>
  <c r="S1736" i="11"/>
  <c r="Z1736" i="11"/>
  <c r="AA1736" i="11"/>
  <c r="R1737" i="11"/>
  <c r="S1737" i="11"/>
  <c r="Z1737" i="11"/>
  <c r="AA1737" i="11"/>
  <c r="R1738" i="11"/>
  <c r="S1738" i="11"/>
  <c r="Z1738" i="11"/>
  <c r="AA1738" i="11"/>
  <c r="R1739" i="11"/>
  <c r="S1739" i="11"/>
  <c r="Z1739" i="11"/>
  <c r="AA1739" i="11"/>
  <c r="R1740" i="11"/>
  <c r="S1740" i="11"/>
  <c r="Z1740" i="11"/>
  <c r="AA1740" i="11"/>
  <c r="R1741" i="11"/>
  <c r="S1741" i="11"/>
  <c r="Z1741" i="11"/>
  <c r="AA1741" i="11"/>
  <c r="R1742" i="11"/>
  <c r="S1742" i="11"/>
  <c r="Z1742" i="11"/>
  <c r="AA1742" i="11"/>
  <c r="R1743" i="11"/>
  <c r="S1743" i="11"/>
  <c r="Z1743" i="11"/>
  <c r="AA1743" i="11"/>
  <c r="R1744" i="11"/>
  <c r="S1744" i="11"/>
  <c r="Z1744" i="11"/>
  <c r="AA1744" i="11"/>
  <c r="R1745" i="11"/>
  <c r="S1745" i="11"/>
  <c r="Z1745" i="11"/>
  <c r="AA1745" i="11"/>
  <c r="R1746" i="11"/>
  <c r="S1746" i="11"/>
  <c r="Z1746" i="11"/>
  <c r="AA1746" i="11"/>
  <c r="R1747" i="11"/>
  <c r="S1747" i="11"/>
  <c r="Z1747" i="11"/>
  <c r="AA1747" i="11"/>
  <c r="R1748" i="11"/>
  <c r="S1748" i="11"/>
  <c r="Z1748" i="11"/>
  <c r="AA1748" i="11"/>
  <c r="R1749" i="11"/>
  <c r="S1749" i="11"/>
  <c r="Z1749" i="11"/>
  <c r="AA1749" i="11"/>
  <c r="R1750" i="11"/>
  <c r="S1750" i="11"/>
  <c r="Z1750" i="11"/>
  <c r="AA1750" i="11"/>
  <c r="R1751" i="11"/>
  <c r="S1751" i="11"/>
  <c r="Z1751" i="11"/>
  <c r="AA1751" i="11"/>
  <c r="R1752" i="11"/>
  <c r="S1752" i="11"/>
  <c r="Z1752" i="11"/>
  <c r="AA1752" i="11"/>
  <c r="R1753" i="11"/>
  <c r="S1753" i="11"/>
  <c r="Z1753" i="11"/>
  <c r="AA1753" i="11"/>
  <c r="R1754" i="11"/>
  <c r="S1754" i="11"/>
  <c r="Z1754" i="11"/>
  <c r="AA1754" i="11"/>
  <c r="R1755" i="11"/>
  <c r="S1755" i="11"/>
  <c r="Z1755" i="11"/>
  <c r="AA1755" i="11"/>
  <c r="R1756" i="11"/>
  <c r="S1756" i="11"/>
  <c r="Z1756" i="11"/>
  <c r="AA1756" i="11"/>
  <c r="R1757" i="11"/>
  <c r="S1757" i="11"/>
  <c r="Z1757" i="11"/>
  <c r="AA1757" i="11"/>
  <c r="R1758" i="11"/>
  <c r="S1758" i="11"/>
  <c r="Z1758" i="11"/>
  <c r="AA1758" i="11"/>
  <c r="R1759" i="11"/>
  <c r="S1759" i="11"/>
  <c r="Z1759" i="11"/>
  <c r="AA1759" i="11"/>
  <c r="R1760" i="11"/>
  <c r="S1760" i="11"/>
  <c r="Z1760" i="11"/>
  <c r="AA1760" i="11"/>
  <c r="R1761" i="11"/>
  <c r="S1761" i="11"/>
  <c r="Z1761" i="11"/>
  <c r="AA1761" i="11"/>
  <c r="R1762" i="11"/>
  <c r="S1762" i="11"/>
  <c r="Z1762" i="11"/>
  <c r="AA1762" i="11"/>
  <c r="R1763" i="11"/>
  <c r="S1763" i="11"/>
  <c r="Z1763" i="11"/>
  <c r="AA1763" i="11"/>
  <c r="R1764" i="11"/>
  <c r="S1764" i="11"/>
  <c r="Z1764" i="11"/>
  <c r="AA1764" i="11"/>
  <c r="R1765" i="11"/>
  <c r="S1765" i="11"/>
  <c r="Z1765" i="11"/>
  <c r="AA1765" i="11"/>
  <c r="R1766" i="11"/>
  <c r="S1766" i="11"/>
  <c r="Z1766" i="11"/>
  <c r="AA1766" i="11"/>
  <c r="R1767" i="11"/>
  <c r="S1767" i="11"/>
  <c r="Z1767" i="11"/>
  <c r="AA1767" i="11"/>
  <c r="R1768" i="11"/>
  <c r="S1768" i="11"/>
  <c r="Z1768" i="11"/>
  <c r="AA1768" i="11"/>
  <c r="R1769" i="11"/>
  <c r="S1769" i="11"/>
  <c r="Z1769" i="11"/>
  <c r="AA1769" i="11"/>
  <c r="R1770" i="11"/>
  <c r="S1770" i="11"/>
  <c r="Z1770" i="11"/>
  <c r="AA1770" i="11"/>
  <c r="R1771" i="11"/>
  <c r="S1771" i="11"/>
  <c r="Z1771" i="11"/>
  <c r="AA1771" i="11"/>
  <c r="R1772" i="11"/>
  <c r="S1772" i="11"/>
  <c r="Z1772" i="11"/>
  <c r="AA1772" i="11"/>
  <c r="R1773" i="11"/>
  <c r="S1773" i="11"/>
  <c r="Z1773" i="11"/>
  <c r="AA1773" i="11"/>
  <c r="R1774" i="11"/>
  <c r="S1774" i="11"/>
  <c r="Z1774" i="11"/>
  <c r="AA1774" i="11"/>
  <c r="R1775" i="11"/>
  <c r="S1775" i="11"/>
  <c r="Z1775" i="11"/>
  <c r="AA1775" i="11"/>
  <c r="R1776" i="11"/>
  <c r="S1776" i="11"/>
  <c r="Z1776" i="11"/>
  <c r="AA1776" i="11"/>
  <c r="R1777" i="11"/>
  <c r="S1777" i="11"/>
  <c r="Z1777" i="11"/>
  <c r="AA1777" i="11"/>
  <c r="R1778" i="11"/>
  <c r="S1778" i="11"/>
  <c r="Z1778" i="11"/>
  <c r="AA1778" i="11"/>
  <c r="R1779" i="11"/>
  <c r="S1779" i="11"/>
  <c r="Z1779" i="11"/>
  <c r="AA1779" i="11"/>
  <c r="R1780" i="11"/>
  <c r="S1780" i="11"/>
  <c r="Z1780" i="11"/>
  <c r="AA1780" i="11"/>
  <c r="R1781" i="11"/>
  <c r="S1781" i="11"/>
  <c r="Z1781" i="11"/>
  <c r="AA1781" i="11"/>
  <c r="R1782" i="11"/>
  <c r="S1782" i="11"/>
  <c r="Z1782" i="11"/>
  <c r="AA1782" i="11"/>
  <c r="R1783" i="11"/>
  <c r="S1783" i="11"/>
  <c r="Z1783" i="11"/>
  <c r="AA1783" i="11"/>
  <c r="R1784" i="11"/>
  <c r="S1784" i="11"/>
  <c r="Z1784" i="11"/>
  <c r="AA1784" i="11"/>
  <c r="R1785" i="11"/>
  <c r="S1785" i="11"/>
  <c r="Z1785" i="11"/>
  <c r="AA1785" i="11"/>
  <c r="R1786" i="11"/>
  <c r="S1786" i="11"/>
  <c r="Z1786" i="11"/>
  <c r="AA1786" i="11"/>
  <c r="R1787" i="11"/>
  <c r="S1787" i="11"/>
  <c r="Z1787" i="11"/>
  <c r="AA1787" i="11"/>
  <c r="R1788" i="11"/>
  <c r="S1788" i="11"/>
  <c r="Z1788" i="11"/>
  <c r="AA1788" i="11"/>
  <c r="R1789" i="11"/>
  <c r="S1789" i="11"/>
  <c r="Z1789" i="11"/>
  <c r="AA1789" i="11"/>
  <c r="R1790" i="11"/>
  <c r="S1790" i="11"/>
  <c r="Z1790" i="11"/>
  <c r="AA1790" i="11"/>
  <c r="R1791" i="11"/>
  <c r="S1791" i="11"/>
  <c r="Z1791" i="11"/>
  <c r="AA1791" i="11"/>
  <c r="R1792" i="11"/>
  <c r="S1792" i="11"/>
  <c r="Z1792" i="11"/>
  <c r="AA1792" i="11"/>
  <c r="R1793" i="11"/>
  <c r="S1793" i="11"/>
  <c r="Z1793" i="11"/>
  <c r="AA1793" i="11"/>
  <c r="R1794" i="11"/>
  <c r="S1794" i="11"/>
  <c r="Z1794" i="11"/>
  <c r="AA1794" i="11"/>
  <c r="R1795" i="11"/>
  <c r="S1795" i="11"/>
  <c r="Z1795" i="11"/>
  <c r="AA1795" i="11"/>
  <c r="R1796" i="11"/>
  <c r="S1796" i="11"/>
  <c r="Z1796" i="11"/>
  <c r="AA1796" i="11"/>
  <c r="R1797" i="11"/>
  <c r="S1797" i="11"/>
  <c r="Z1797" i="11"/>
  <c r="AA1797" i="11"/>
  <c r="R1798" i="11"/>
  <c r="S1798" i="11"/>
  <c r="Z1798" i="11"/>
  <c r="AA1798" i="11"/>
  <c r="R1799" i="11"/>
  <c r="S1799" i="11"/>
  <c r="Z1799" i="11"/>
  <c r="AA1799" i="11"/>
  <c r="R1800" i="11"/>
  <c r="S1800" i="11"/>
  <c r="Z1800" i="11"/>
  <c r="AA1800" i="11"/>
  <c r="R1801" i="11"/>
  <c r="S1801" i="11"/>
  <c r="Z1801" i="11"/>
  <c r="AA1801" i="11"/>
  <c r="R1802" i="11"/>
  <c r="S1802" i="11"/>
  <c r="Z1802" i="11"/>
  <c r="AA1802" i="11"/>
  <c r="R1803" i="11"/>
  <c r="S1803" i="11"/>
  <c r="Z1803" i="11"/>
  <c r="AA1803" i="11"/>
  <c r="R1804" i="11"/>
  <c r="S1804" i="11"/>
  <c r="Z1804" i="11"/>
  <c r="AA1804" i="11"/>
  <c r="R1805" i="11"/>
  <c r="S1805" i="11"/>
  <c r="Z1805" i="11"/>
  <c r="AA1805" i="11"/>
  <c r="R1806" i="11"/>
  <c r="S1806" i="11"/>
  <c r="Z1806" i="11"/>
  <c r="AA1806" i="11"/>
  <c r="R1807" i="11"/>
  <c r="S1807" i="11"/>
  <c r="Z1807" i="11"/>
  <c r="AA1807" i="11"/>
  <c r="R1808" i="11"/>
  <c r="S1808" i="11"/>
  <c r="Z1808" i="11"/>
  <c r="AA1808" i="11"/>
  <c r="R1809" i="11"/>
  <c r="S1809" i="11"/>
  <c r="Z1809" i="11"/>
  <c r="AA1809" i="11"/>
  <c r="R1810" i="11"/>
  <c r="S1810" i="11"/>
  <c r="Z1810" i="11"/>
  <c r="AA1810" i="11"/>
  <c r="R1811" i="11"/>
  <c r="S1811" i="11"/>
  <c r="Z1811" i="11"/>
  <c r="AA1811" i="11"/>
  <c r="R1812" i="11"/>
  <c r="S1812" i="11"/>
  <c r="Z1812" i="11"/>
  <c r="AA1812" i="11"/>
  <c r="R1813" i="11"/>
  <c r="S1813" i="11"/>
  <c r="Z1813" i="11"/>
  <c r="AA1813" i="11"/>
  <c r="R1814" i="11"/>
  <c r="S1814" i="11"/>
  <c r="Z1814" i="11"/>
  <c r="AA1814" i="11"/>
  <c r="R1815" i="11"/>
  <c r="S1815" i="11"/>
  <c r="Z1815" i="11"/>
  <c r="AA1815" i="11"/>
  <c r="R1816" i="11"/>
  <c r="S1816" i="11"/>
  <c r="Z1816" i="11"/>
  <c r="AA1816" i="11"/>
  <c r="R1817" i="11"/>
  <c r="S1817" i="11"/>
  <c r="Z1817" i="11"/>
  <c r="AA1817" i="11"/>
  <c r="R1818" i="11"/>
  <c r="S1818" i="11"/>
  <c r="Z1818" i="11"/>
  <c r="AA1818" i="11"/>
  <c r="R1819" i="11"/>
  <c r="S1819" i="11"/>
  <c r="Z1819" i="11"/>
  <c r="AA1819" i="11"/>
  <c r="R1820" i="11"/>
  <c r="S1820" i="11"/>
  <c r="Z1820" i="11"/>
  <c r="AA1820" i="11"/>
  <c r="R1821" i="11"/>
  <c r="S1821" i="11"/>
  <c r="Z1821" i="11"/>
  <c r="AA1821" i="11"/>
  <c r="R1822" i="11"/>
  <c r="S1822" i="11"/>
  <c r="Z1822" i="11"/>
  <c r="AA1822" i="11"/>
  <c r="R1823" i="11"/>
  <c r="S1823" i="11"/>
  <c r="Z1823" i="11"/>
  <c r="AA1823" i="11"/>
  <c r="R1824" i="11"/>
  <c r="S1824" i="11"/>
  <c r="Z1824" i="11"/>
  <c r="AA1824" i="11"/>
  <c r="R1825" i="11"/>
  <c r="S1825" i="11"/>
  <c r="Z1825" i="11"/>
  <c r="AA1825" i="11"/>
  <c r="R1826" i="11"/>
  <c r="S1826" i="11"/>
  <c r="Z1826" i="11"/>
  <c r="AA1826" i="11"/>
  <c r="R1827" i="11"/>
  <c r="S1827" i="11"/>
  <c r="Z1827" i="11"/>
  <c r="AA1827" i="11"/>
  <c r="R1828" i="11"/>
  <c r="S1828" i="11"/>
  <c r="Z1828" i="11"/>
  <c r="AA1828" i="11"/>
  <c r="R1829" i="11"/>
  <c r="S1829" i="11"/>
  <c r="Z1829" i="11"/>
  <c r="AA1829" i="11"/>
  <c r="R1830" i="11"/>
  <c r="S1830" i="11"/>
  <c r="Z1830" i="11"/>
  <c r="AA1830" i="11"/>
  <c r="R1831" i="11"/>
  <c r="S1831" i="11"/>
  <c r="Z1831" i="11"/>
  <c r="AA1831" i="11"/>
  <c r="R1832" i="11"/>
  <c r="S1832" i="11"/>
  <c r="Z1832" i="11"/>
  <c r="AA1832" i="11"/>
  <c r="R1833" i="11"/>
  <c r="S1833" i="11"/>
  <c r="Z1833" i="11"/>
  <c r="AA1833" i="11"/>
  <c r="R1834" i="11"/>
  <c r="S1834" i="11"/>
  <c r="Z1834" i="11"/>
  <c r="AA1834" i="11"/>
  <c r="R1835" i="11"/>
  <c r="S1835" i="11"/>
  <c r="Z1835" i="11"/>
  <c r="AA1835" i="11"/>
  <c r="R1836" i="11"/>
  <c r="S1836" i="11"/>
  <c r="Z1836" i="11"/>
  <c r="AA1836" i="11"/>
  <c r="R1837" i="11"/>
  <c r="S1837" i="11"/>
  <c r="Z1837" i="11"/>
  <c r="AA1837" i="11"/>
  <c r="R1838" i="11"/>
  <c r="S1838" i="11"/>
  <c r="Z1838" i="11"/>
  <c r="AA1838" i="11"/>
  <c r="R1839" i="11"/>
  <c r="S1839" i="11"/>
  <c r="Z1839" i="11"/>
  <c r="AA1839" i="11"/>
  <c r="R1840" i="11"/>
  <c r="S1840" i="11"/>
  <c r="Z1840" i="11"/>
  <c r="AA1840" i="11"/>
  <c r="R1841" i="11"/>
  <c r="S1841" i="11"/>
  <c r="Z1841" i="11"/>
  <c r="AA1841" i="11"/>
  <c r="R1842" i="11"/>
  <c r="S1842" i="11"/>
  <c r="Z1842" i="11"/>
  <c r="AA1842" i="11"/>
  <c r="R1843" i="11"/>
  <c r="S1843" i="11"/>
  <c r="Z1843" i="11"/>
  <c r="AA1843" i="11"/>
  <c r="R1844" i="11"/>
  <c r="S1844" i="11"/>
  <c r="Z1844" i="11"/>
  <c r="AA1844" i="11"/>
  <c r="R1845" i="11"/>
  <c r="S1845" i="11"/>
  <c r="Z1845" i="11"/>
  <c r="AA1845" i="11"/>
  <c r="R1846" i="11"/>
  <c r="S1846" i="11"/>
  <c r="Z1846" i="11"/>
  <c r="AA1846" i="11"/>
  <c r="R1847" i="11"/>
  <c r="S1847" i="11"/>
  <c r="Z1847" i="11"/>
  <c r="AA1847" i="11"/>
  <c r="R1848" i="11"/>
  <c r="S1848" i="11"/>
  <c r="Z1848" i="11"/>
  <c r="AA1848" i="11"/>
  <c r="R1849" i="11"/>
  <c r="S1849" i="11"/>
  <c r="Z1849" i="11"/>
  <c r="AA1849" i="11"/>
  <c r="R1850" i="11"/>
  <c r="S1850" i="11"/>
  <c r="Z1850" i="11"/>
  <c r="AA1850" i="11"/>
  <c r="R1851" i="11"/>
  <c r="S1851" i="11"/>
  <c r="Z1851" i="11"/>
  <c r="AA1851" i="11"/>
  <c r="R1852" i="11"/>
  <c r="S1852" i="11"/>
  <c r="Z1852" i="11"/>
  <c r="AA1852" i="11"/>
  <c r="R1853" i="11"/>
  <c r="S1853" i="11"/>
  <c r="Z1853" i="11"/>
  <c r="AA1853" i="11"/>
  <c r="R1854" i="11"/>
  <c r="S1854" i="11"/>
  <c r="Z1854" i="11"/>
  <c r="AA1854" i="11"/>
  <c r="R1855" i="11"/>
  <c r="S1855" i="11"/>
  <c r="Z1855" i="11"/>
  <c r="AA1855" i="11"/>
  <c r="R1856" i="11"/>
  <c r="S1856" i="11"/>
  <c r="Z1856" i="11"/>
  <c r="AA1856" i="11"/>
  <c r="R1857" i="11"/>
  <c r="S1857" i="11"/>
  <c r="Z1857" i="11"/>
  <c r="AA1857" i="11"/>
  <c r="R1858" i="11"/>
  <c r="S1858" i="11"/>
  <c r="Z1858" i="11"/>
  <c r="AA1858" i="11"/>
  <c r="R1859" i="11"/>
  <c r="S1859" i="11"/>
  <c r="Z1859" i="11"/>
  <c r="AA1859" i="11"/>
  <c r="R1860" i="11"/>
  <c r="S1860" i="11"/>
  <c r="Z1860" i="11"/>
  <c r="AA1860" i="11"/>
  <c r="R1861" i="11"/>
  <c r="S1861" i="11"/>
  <c r="Z1861" i="11"/>
  <c r="AA1861" i="11"/>
  <c r="R1862" i="11"/>
  <c r="S1862" i="11"/>
  <c r="Z1862" i="11"/>
  <c r="AA1862" i="11"/>
  <c r="R1863" i="11"/>
  <c r="S1863" i="11"/>
  <c r="Z1863" i="11"/>
  <c r="AA1863" i="11"/>
  <c r="R1864" i="11"/>
  <c r="S1864" i="11"/>
  <c r="Z1864" i="11"/>
  <c r="AA1864" i="11"/>
  <c r="R1865" i="11"/>
  <c r="S1865" i="11"/>
  <c r="Z1865" i="11"/>
  <c r="AA1865" i="11"/>
  <c r="R1866" i="11"/>
  <c r="S1866" i="11"/>
  <c r="Z1866" i="11"/>
  <c r="AA1866" i="11"/>
  <c r="R1867" i="11"/>
  <c r="S1867" i="11"/>
  <c r="Z1867" i="11"/>
  <c r="AA1867" i="11"/>
  <c r="R1868" i="11"/>
  <c r="S1868" i="11"/>
  <c r="Z1868" i="11"/>
  <c r="AA1868" i="11"/>
  <c r="R1869" i="11"/>
  <c r="S1869" i="11"/>
  <c r="Z1869" i="11"/>
  <c r="AA1869" i="11"/>
  <c r="R1870" i="11"/>
  <c r="S1870" i="11"/>
  <c r="Z1870" i="11"/>
  <c r="AA1870" i="11"/>
  <c r="R1871" i="11"/>
  <c r="S1871" i="11"/>
  <c r="Z1871" i="11"/>
  <c r="AA1871" i="11"/>
  <c r="R1872" i="11"/>
  <c r="S1872" i="11"/>
  <c r="Z1872" i="11"/>
  <c r="AA1872" i="11"/>
  <c r="R1873" i="11"/>
  <c r="S1873" i="11"/>
  <c r="Z1873" i="11"/>
  <c r="AA1873" i="11"/>
  <c r="R1874" i="11"/>
  <c r="S1874" i="11"/>
  <c r="Z1874" i="11"/>
  <c r="AA1874" i="11"/>
  <c r="R1875" i="11"/>
  <c r="S1875" i="11"/>
  <c r="Z1875" i="11"/>
  <c r="AA1875" i="11"/>
  <c r="R1876" i="11"/>
  <c r="S1876" i="11"/>
  <c r="Z1876" i="11"/>
  <c r="AA1876" i="11"/>
  <c r="R1877" i="11"/>
  <c r="S1877" i="11"/>
  <c r="Z1877" i="11"/>
  <c r="AA1877" i="11"/>
  <c r="R1878" i="11"/>
  <c r="S1878" i="11"/>
  <c r="Z1878" i="11"/>
  <c r="AA1878" i="11"/>
  <c r="R1879" i="11"/>
  <c r="S1879" i="11"/>
  <c r="Z1879" i="11"/>
  <c r="AA1879" i="11"/>
  <c r="R1880" i="11"/>
  <c r="S1880" i="11"/>
  <c r="Z1880" i="11"/>
  <c r="AA1880" i="11"/>
  <c r="R1881" i="11"/>
  <c r="S1881" i="11"/>
  <c r="Z1881" i="11"/>
  <c r="AA1881" i="11"/>
  <c r="R1882" i="11"/>
  <c r="S1882" i="11"/>
  <c r="Z1882" i="11"/>
  <c r="AA1882" i="11"/>
  <c r="R1883" i="11"/>
  <c r="S1883" i="11"/>
  <c r="Z1883" i="11"/>
  <c r="AA1883" i="11"/>
  <c r="R1884" i="11"/>
  <c r="S1884" i="11"/>
  <c r="Z1884" i="11"/>
  <c r="AA1884" i="11"/>
  <c r="R1885" i="11"/>
  <c r="S1885" i="11"/>
  <c r="Z1885" i="11"/>
  <c r="AA1885" i="11"/>
  <c r="R1886" i="11"/>
  <c r="S1886" i="11"/>
  <c r="Z1886" i="11"/>
  <c r="AA1886" i="11"/>
  <c r="R1887" i="11"/>
  <c r="S1887" i="11"/>
  <c r="Z1887" i="11"/>
  <c r="AA1887" i="11"/>
  <c r="R1888" i="11"/>
  <c r="S1888" i="11"/>
  <c r="Z1888" i="11"/>
  <c r="AA1888" i="11"/>
  <c r="R1889" i="11"/>
  <c r="S1889" i="11"/>
  <c r="Z1889" i="11"/>
  <c r="AA1889" i="11"/>
  <c r="R1890" i="11"/>
  <c r="S1890" i="11"/>
  <c r="Z1890" i="11"/>
  <c r="AA1890" i="11"/>
  <c r="R1891" i="11"/>
  <c r="S1891" i="11"/>
  <c r="Z1891" i="11"/>
  <c r="AA1891" i="11"/>
  <c r="R1892" i="11"/>
  <c r="S1892" i="11"/>
  <c r="Z1892" i="11"/>
  <c r="AA1892" i="11"/>
  <c r="R1893" i="11"/>
  <c r="S1893" i="11"/>
  <c r="Z1893" i="11"/>
  <c r="AA1893" i="11"/>
  <c r="R1894" i="11"/>
  <c r="S1894" i="11"/>
  <c r="Z1894" i="11"/>
  <c r="AA1894" i="11"/>
  <c r="R1895" i="11"/>
  <c r="S1895" i="11"/>
  <c r="Z1895" i="11"/>
  <c r="AA1895" i="11"/>
  <c r="R1896" i="11"/>
  <c r="S1896" i="11"/>
  <c r="Z1896" i="11"/>
  <c r="AA1896" i="11"/>
  <c r="R1897" i="11"/>
  <c r="S1897" i="11"/>
  <c r="Z1897" i="11"/>
  <c r="AA1897" i="11"/>
  <c r="R1898" i="11"/>
  <c r="S1898" i="11"/>
  <c r="Z1898" i="11"/>
  <c r="AA1898" i="11"/>
  <c r="R1899" i="11"/>
  <c r="S1899" i="11"/>
  <c r="Z1899" i="11"/>
  <c r="AA1899" i="11"/>
  <c r="R1900" i="11"/>
  <c r="S1900" i="11"/>
  <c r="Z1900" i="11"/>
  <c r="AA1900" i="11"/>
  <c r="R1901" i="11"/>
  <c r="S1901" i="11"/>
  <c r="Z1901" i="11"/>
  <c r="AA1901" i="11"/>
  <c r="R1902" i="11"/>
  <c r="S1902" i="11"/>
  <c r="Z1902" i="11"/>
  <c r="AA1902" i="11"/>
  <c r="R1903" i="11"/>
  <c r="S1903" i="11"/>
  <c r="Z1903" i="11"/>
  <c r="AA1903" i="11"/>
  <c r="R1904" i="11"/>
  <c r="S1904" i="11"/>
  <c r="Z1904" i="11"/>
  <c r="AA1904" i="11"/>
  <c r="R1905" i="11"/>
  <c r="S1905" i="11"/>
  <c r="Z1905" i="11"/>
  <c r="AA1905" i="11"/>
  <c r="R1906" i="11"/>
  <c r="S1906" i="11"/>
  <c r="Z1906" i="11"/>
  <c r="AA1906" i="11"/>
  <c r="R1907" i="11"/>
  <c r="S1907" i="11"/>
  <c r="Z1907" i="11"/>
  <c r="AA1907" i="11"/>
  <c r="R1908" i="11"/>
  <c r="S1908" i="11"/>
  <c r="Z1908" i="11"/>
  <c r="AA1908" i="11"/>
  <c r="R1909" i="11"/>
  <c r="S1909" i="11"/>
  <c r="Z1909" i="11"/>
  <c r="AA1909" i="11"/>
  <c r="R1910" i="11"/>
  <c r="S1910" i="11"/>
  <c r="Z1910" i="11"/>
  <c r="AA1910" i="11"/>
  <c r="R1911" i="11"/>
  <c r="S1911" i="11"/>
  <c r="Z1911" i="11"/>
  <c r="AA1911" i="11"/>
  <c r="R1912" i="11"/>
  <c r="S1912" i="11"/>
  <c r="Z1912" i="11"/>
  <c r="AA1912" i="11"/>
  <c r="R1913" i="11"/>
  <c r="S1913" i="11"/>
  <c r="Z1913" i="11"/>
  <c r="AA1913" i="11"/>
  <c r="R1914" i="11"/>
  <c r="S1914" i="11"/>
  <c r="Z1914" i="11"/>
  <c r="AA1914" i="11"/>
  <c r="R1915" i="11"/>
  <c r="S1915" i="11"/>
  <c r="Z1915" i="11"/>
  <c r="AA1915" i="11"/>
  <c r="R1916" i="11"/>
  <c r="S1916" i="11"/>
  <c r="Z1916" i="11"/>
  <c r="AA1916" i="11"/>
  <c r="R1917" i="11"/>
  <c r="S1917" i="11"/>
  <c r="Z1917" i="11"/>
  <c r="AA1917" i="11"/>
  <c r="R1918" i="11"/>
  <c r="S1918" i="11"/>
  <c r="Z1918" i="11"/>
  <c r="AA1918" i="11"/>
  <c r="R1919" i="11"/>
  <c r="S1919" i="11"/>
  <c r="Z1919" i="11"/>
  <c r="AA1919" i="11"/>
  <c r="R1920" i="11"/>
  <c r="S1920" i="11"/>
  <c r="Z1920" i="11"/>
  <c r="AA1920" i="11"/>
  <c r="R1921" i="11"/>
  <c r="S1921" i="11"/>
  <c r="Z1921" i="11"/>
  <c r="AA1921" i="11"/>
  <c r="R1922" i="11"/>
  <c r="S1922" i="11"/>
  <c r="Z1922" i="11"/>
  <c r="AA1922" i="11"/>
  <c r="R1923" i="11"/>
  <c r="S1923" i="11"/>
  <c r="Z1923" i="11"/>
  <c r="AA1923" i="11"/>
  <c r="R1924" i="11"/>
  <c r="S1924" i="11"/>
  <c r="Z1924" i="11"/>
  <c r="AA1924" i="11"/>
  <c r="R1925" i="11"/>
  <c r="S1925" i="11"/>
  <c r="Z1925" i="11"/>
  <c r="AA1925" i="11"/>
  <c r="R1926" i="11"/>
  <c r="S1926" i="11"/>
  <c r="Z1926" i="11"/>
  <c r="AA1926" i="11"/>
  <c r="R1927" i="11"/>
  <c r="S1927" i="11"/>
  <c r="Z1927" i="11"/>
  <c r="AA1927" i="11"/>
  <c r="R1928" i="11"/>
  <c r="S1928" i="11"/>
  <c r="Z1928" i="11"/>
  <c r="AA1928" i="11"/>
  <c r="R1929" i="11"/>
  <c r="S1929" i="11"/>
  <c r="Z1929" i="11"/>
  <c r="AA1929" i="11"/>
  <c r="R1930" i="11"/>
  <c r="S1930" i="11"/>
  <c r="Z1930" i="11"/>
  <c r="AA1930" i="11"/>
  <c r="R1931" i="11"/>
  <c r="S1931" i="11"/>
  <c r="Z1931" i="11"/>
  <c r="AA1931" i="11"/>
  <c r="R1932" i="11"/>
  <c r="S1932" i="11"/>
  <c r="Z1932" i="11"/>
  <c r="AA1932" i="11"/>
  <c r="R1933" i="11"/>
  <c r="S1933" i="11"/>
  <c r="Z1933" i="11"/>
  <c r="AA1933" i="11"/>
  <c r="R1934" i="11"/>
  <c r="S1934" i="11"/>
  <c r="Z1934" i="11"/>
  <c r="AA1934" i="11"/>
  <c r="R1935" i="11"/>
  <c r="S1935" i="11"/>
  <c r="Z1935" i="11"/>
  <c r="AA1935" i="11"/>
  <c r="R1936" i="11"/>
  <c r="S1936" i="11"/>
  <c r="Z1936" i="11"/>
  <c r="AA1936" i="11"/>
  <c r="R1937" i="11"/>
  <c r="S1937" i="11"/>
  <c r="Z1937" i="11"/>
  <c r="AA1937" i="11"/>
  <c r="R1938" i="11"/>
  <c r="S1938" i="11"/>
  <c r="Z1938" i="11"/>
  <c r="AA1938" i="11"/>
  <c r="R1939" i="11"/>
  <c r="S1939" i="11"/>
  <c r="Z1939" i="11"/>
  <c r="AA1939" i="11"/>
  <c r="R1940" i="11"/>
  <c r="S1940" i="11"/>
  <c r="Z1940" i="11"/>
  <c r="AA1940" i="11"/>
  <c r="R1941" i="11"/>
  <c r="S1941" i="11"/>
  <c r="Z1941" i="11"/>
  <c r="AA1941" i="11"/>
  <c r="R1942" i="11"/>
  <c r="S1942" i="11"/>
  <c r="Z1942" i="11"/>
  <c r="AA1942" i="11"/>
  <c r="R1943" i="11"/>
  <c r="S1943" i="11"/>
  <c r="Z1943" i="11"/>
  <c r="AA1943" i="11"/>
  <c r="R1944" i="11"/>
  <c r="S1944" i="11"/>
  <c r="Z1944" i="11"/>
  <c r="AA1944" i="11"/>
  <c r="R1945" i="11"/>
  <c r="S1945" i="11"/>
  <c r="Z1945" i="11"/>
  <c r="AA1945" i="11"/>
  <c r="R1946" i="11"/>
  <c r="S1946" i="11"/>
  <c r="Z1946" i="11"/>
  <c r="AA1946" i="11"/>
  <c r="R1947" i="11"/>
  <c r="S1947" i="11"/>
  <c r="Z1947" i="11"/>
  <c r="AA1947" i="11"/>
  <c r="R1948" i="11"/>
  <c r="S1948" i="11"/>
  <c r="Z1948" i="11"/>
  <c r="AA1948" i="11"/>
  <c r="R1949" i="11"/>
  <c r="S1949" i="11"/>
  <c r="Z1949" i="11"/>
  <c r="AA1949" i="11"/>
  <c r="R1950" i="11"/>
  <c r="S1950" i="11"/>
  <c r="Z1950" i="11"/>
  <c r="AA1950" i="11"/>
  <c r="R1951" i="11"/>
  <c r="S1951" i="11"/>
  <c r="Z1951" i="11"/>
  <c r="AA1951" i="11"/>
  <c r="R1952" i="11"/>
  <c r="S1952" i="11"/>
  <c r="Z1952" i="11"/>
  <c r="AA1952" i="11"/>
  <c r="R1953" i="11"/>
  <c r="S1953" i="11"/>
  <c r="Z1953" i="11"/>
  <c r="AA1953" i="11"/>
  <c r="R1954" i="11"/>
  <c r="S1954" i="11"/>
  <c r="Z1954" i="11"/>
  <c r="AA1954" i="11"/>
  <c r="R1955" i="11"/>
  <c r="S1955" i="11"/>
  <c r="Z1955" i="11"/>
  <c r="AA1955" i="11"/>
  <c r="R1956" i="11"/>
  <c r="S1956" i="11"/>
  <c r="Z1956" i="11"/>
  <c r="AA1956" i="11"/>
  <c r="R1957" i="11"/>
  <c r="S1957" i="11"/>
  <c r="Z1957" i="11"/>
  <c r="AA1957" i="11"/>
  <c r="R1958" i="11"/>
  <c r="S1958" i="11"/>
  <c r="Z1958" i="11"/>
  <c r="AA1958" i="11"/>
  <c r="R1959" i="11"/>
  <c r="S1959" i="11"/>
  <c r="Z1959" i="11"/>
  <c r="AA1959" i="11"/>
  <c r="R1960" i="11"/>
  <c r="S1960" i="11"/>
  <c r="Z1960" i="11"/>
  <c r="AA1960" i="11"/>
  <c r="R1961" i="11"/>
  <c r="S1961" i="11"/>
  <c r="Z1961" i="11"/>
  <c r="AA1961" i="11"/>
  <c r="R1962" i="11"/>
  <c r="S1962" i="11"/>
  <c r="Z1962" i="11"/>
  <c r="AA1962" i="11"/>
  <c r="R1963" i="11"/>
  <c r="S1963" i="11"/>
  <c r="Z1963" i="11"/>
  <c r="AA1963" i="11"/>
  <c r="R1964" i="11"/>
  <c r="S1964" i="11"/>
  <c r="Z1964" i="11"/>
  <c r="AA1964" i="11"/>
  <c r="R1965" i="11"/>
  <c r="S1965" i="11"/>
  <c r="Z1965" i="11"/>
  <c r="AA1965" i="11"/>
  <c r="R1966" i="11"/>
  <c r="S1966" i="11"/>
  <c r="Z1966" i="11"/>
  <c r="AA1966" i="11"/>
  <c r="R1967" i="11"/>
  <c r="S1967" i="11"/>
  <c r="Z1967" i="11"/>
  <c r="AA1967" i="11"/>
  <c r="R1968" i="11"/>
  <c r="S1968" i="11"/>
  <c r="Z1968" i="11"/>
  <c r="AA1968" i="11"/>
  <c r="R1969" i="11"/>
  <c r="S1969" i="11"/>
  <c r="Z1969" i="11"/>
  <c r="AA1969" i="11"/>
  <c r="R1970" i="11"/>
  <c r="S1970" i="11"/>
  <c r="Z1970" i="11"/>
  <c r="AA1970" i="11"/>
  <c r="R1971" i="11"/>
  <c r="S1971" i="11"/>
  <c r="Z1971" i="11"/>
  <c r="AA1971" i="11"/>
  <c r="R1972" i="11"/>
  <c r="S1972" i="11"/>
  <c r="Z1972" i="11"/>
  <c r="AA1972" i="11"/>
  <c r="R1973" i="11"/>
  <c r="S1973" i="11"/>
  <c r="Z1973" i="11"/>
  <c r="AA1973" i="11"/>
  <c r="R1974" i="11"/>
  <c r="S1974" i="11"/>
  <c r="Z1974" i="11"/>
  <c r="AA1974" i="11"/>
  <c r="R1975" i="11"/>
  <c r="S1975" i="11"/>
  <c r="Z1975" i="11"/>
  <c r="AA1975" i="11"/>
  <c r="R1976" i="11"/>
  <c r="S1976" i="11"/>
  <c r="Z1976" i="11"/>
  <c r="AA1976" i="11"/>
  <c r="R1977" i="11"/>
  <c r="S1977" i="11"/>
  <c r="Z1977" i="11"/>
  <c r="AA1977" i="11"/>
  <c r="R1978" i="11"/>
  <c r="S1978" i="11"/>
  <c r="Z1978" i="11"/>
  <c r="AA1978" i="11"/>
  <c r="R1979" i="11"/>
  <c r="S1979" i="11"/>
  <c r="Z1979" i="11"/>
  <c r="AA1979" i="11"/>
  <c r="R1980" i="11"/>
  <c r="S1980" i="11"/>
  <c r="Z1980" i="11"/>
  <c r="AA1980" i="11"/>
  <c r="R1981" i="11"/>
  <c r="S1981" i="11"/>
  <c r="Z1981" i="11"/>
  <c r="AA1981" i="11"/>
  <c r="R1982" i="11"/>
  <c r="S1982" i="11"/>
  <c r="Z1982" i="11"/>
  <c r="AA1982" i="11"/>
  <c r="R1983" i="11"/>
  <c r="S1983" i="11"/>
  <c r="Z1983" i="11"/>
  <c r="AA1983" i="11"/>
  <c r="R1984" i="11"/>
  <c r="S1984" i="11"/>
  <c r="Z1984" i="11"/>
  <c r="AA1984" i="11"/>
  <c r="R1985" i="11"/>
  <c r="S1985" i="11"/>
  <c r="Z1985" i="11"/>
  <c r="AA1985" i="11"/>
  <c r="R1986" i="11"/>
  <c r="S1986" i="11"/>
  <c r="Z1986" i="11"/>
  <c r="AA1986" i="11"/>
  <c r="R1987" i="11"/>
  <c r="S1987" i="11"/>
  <c r="Z1987" i="11"/>
  <c r="AA1987" i="11"/>
  <c r="R1988" i="11"/>
  <c r="S1988" i="11"/>
  <c r="Z1988" i="11"/>
  <c r="AA1988" i="11"/>
  <c r="R1989" i="11"/>
  <c r="S1989" i="11"/>
  <c r="Z1989" i="11"/>
  <c r="AA1989" i="11"/>
  <c r="R1990" i="11"/>
  <c r="S1990" i="11"/>
  <c r="Z1990" i="11"/>
  <c r="AA1990" i="11"/>
  <c r="R1991" i="11"/>
  <c r="S1991" i="11"/>
  <c r="Z1991" i="11"/>
  <c r="AA1991" i="11"/>
  <c r="R1992" i="11"/>
  <c r="S1992" i="11"/>
  <c r="Z1992" i="11"/>
  <c r="AA1992" i="11"/>
  <c r="R1993" i="11"/>
  <c r="S1993" i="11"/>
  <c r="Z1993" i="11"/>
  <c r="AA1993" i="11"/>
  <c r="R1994" i="11"/>
  <c r="S1994" i="11"/>
  <c r="Z1994" i="11"/>
  <c r="AA1994" i="11"/>
  <c r="R1995" i="11"/>
  <c r="S1995" i="11"/>
  <c r="Z1995" i="11"/>
  <c r="AA1995" i="11"/>
  <c r="R1996" i="11"/>
  <c r="S1996" i="11"/>
  <c r="Z1996" i="11"/>
  <c r="AA1996" i="11"/>
  <c r="R1997" i="11"/>
  <c r="S1997" i="11"/>
  <c r="Z1997" i="11"/>
  <c r="AA1997" i="11"/>
  <c r="R1998" i="11"/>
  <c r="S1998" i="11"/>
  <c r="Z1998" i="11"/>
  <c r="AA1998" i="11"/>
  <c r="R1999" i="11"/>
  <c r="S1999" i="11"/>
  <c r="Z1999" i="11"/>
  <c r="AA1999" i="11"/>
  <c r="R2000" i="11"/>
  <c r="S2000" i="11"/>
  <c r="Z2000" i="11"/>
  <c r="AA2000" i="11"/>
  <c r="R2001" i="11"/>
  <c r="S2001" i="11"/>
  <c r="Z2001" i="11"/>
  <c r="AA2001" i="11"/>
  <c r="R2002" i="11"/>
  <c r="S2002" i="11"/>
  <c r="Z2002" i="11"/>
  <c r="AA2002" i="11"/>
  <c r="R2003" i="11"/>
  <c r="S2003" i="11"/>
  <c r="Z2003" i="11"/>
  <c r="AA2003" i="11"/>
  <c r="R2004" i="11"/>
  <c r="S2004" i="11"/>
  <c r="Z2004" i="11"/>
  <c r="AA2004" i="11"/>
  <c r="R2005" i="11"/>
  <c r="S2005" i="11"/>
  <c r="Z2005" i="11"/>
  <c r="AA2005" i="11"/>
  <c r="G1978" i="18" l="1"/>
  <c r="K1961" i="18"/>
  <c r="H17" i="8"/>
  <c r="H21" i="8"/>
  <c r="H20" i="8"/>
  <c r="H18" i="8"/>
  <c r="H19" i="8"/>
  <c r="H287" i="8"/>
  <c r="H183" i="8"/>
  <c r="H128" i="8"/>
  <c r="H25" i="8"/>
  <c r="H502" i="8"/>
  <c r="H195" i="8"/>
  <c r="H439" i="8"/>
  <c r="H144" i="8"/>
  <c r="H237" i="8"/>
  <c r="H410" i="8"/>
  <c r="H163" i="8"/>
  <c r="H179" i="8"/>
  <c r="H83" i="8"/>
  <c r="H27" i="8"/>
  <c r="H474" i="8"/>
  <c r="H401" i="8"/>
  <c r="H456" i="8"/>
  <c r="H305" i="8"/>
  <c r="H295" i="8"/>
  <c r="H402" i="8"/>
  <c r="H73" i="8"/>
  <c r="H170" i="8"/>
  <c r="H93" i="8"/>
  <c r="H192" i="8"/>
  <c r="H329" i="8"/>
  <c r="H154" i="8"/>
  <c r="H404" i="8"/>
  <c r="H515" i="8"/>
  <c r="H160" i="8"/>
  <c r="H415" i="8"/>
  <c r="H454" i="8"/>
  <c r="H139" i="8"/>
  <c r="H400" i="8"/>
  <c r="H514" i="8"/>
  <c r="H279" i="8"/>
  <c r="H320" i="8"/>
  <c r="H121" i="8"/>
  <c r="H130" i="8"/>
  <c r="H291" i="8"/>
  <c r="H44" i="8"/>
  <c r="H432" i="8"/>
  <c r="H491" i="8"/>
  <c r="H111" i="8"/>
  <c r="H451" i="8"/>
  <c r="H156" i="8"/>
  <c r="H275" i="8"/>
  <c r="H123" i="8"/>
  <c r="H175" i="8"/>
  <c r="H497" i="8"/>
  <c r="H61" i="8"/>
  <c r="H102" i="8"/>
  <c r="H349" i="8"/>
  <c r="H498" i="8"/>
  <c r="H254" i="8"/>
  <c r="H266" i="8"/>
  <c r="H381" i="8"/>
  <c r="H384" i="8"/>
  <c r="H126" i="8"/>
  <c r="H250" i="8"/>
  <c r="H201" i="8"/>
  <c r="H204" i="8"/>
  <c r="H256" i="8"/>
  <c r="H511" i="8"/>
  <c r="H239" i="8"/>
  <c r="H235" i="8"/>
  <c r="H362" i="8"/>
  <c r="H81" i="8"/>
  <c r="H375" i="8"/>
  <c r="H117" i="8"/>
  <c r="H313" i="8"/>
  <c r="H509" i="8"/>
  <c r="H483" i="8"/>
  <c r="H236" i="8"/>
  <c r="H37" i="8"/>
  <c r="H71" i="8"/>
  <c r="H207" i="8"/>
  <c r="H56" i="8"/>
  <c r="H252" i="8"/>
  <c r="H371" i="8"/>
  <c r="H219" i="8"/>
  <c r="H463" i="8"/>
  <c r="H91" i="8"/>
  <c r="H253" i="8"/>
  <c r="H198" i="8"/>
  <c r="H391" i="8"/>
  <c r="H103" i="8"/>
  <c r="H51" i="8"/>
  <c r="H458" i="8"/>
  <c r="H118" i="8"/>
  <c r="H480" i="8"/>
  <c r="H222" i="8"/>
  <c r="H346" i="8"/>
  <c r="H300" i="8"/>
  <c r="H448" i="8"/>
  <c r="H116" i="8"/>
  <c r="H335" i="8"/>
  <c r="H32" i="8"/>
  <c r="H468" i="8"/>
  <c r="H47" i="8"/>
  <c r="H460" i="8"/>
  <c r="H213" i="8"/>
  <c r="H505" i="8"/>
  <c r="H59" i="8"/>
  <c r="H88" i="8"/>
  <c r="H332" i="8"/>
  <c r="H122" i="8"/>
  <c r="H167" i="8"/>
  <c r="H303" i="8"/>
  <c r="H152" i="8"/>
  <c r="H348" i="8"/>
  <c r="H467" i="8"/>
  <c r="H315" i="8"/>
  <c r="H164" i="8"/>
  <c r="H379" i="8"/>
  <c r="H146" i="8"/>
  <c r="H294" i="8"/>
  <c r="H299" i="8"/>
  <c r="H487" i="8"/>
  <c r="H339" i="8"/>
  <c r="H351" i="8"/>
  <c r="H413" i="8"/>
  <c r="H85" i="8"/>
  <c r="H318" i="8"/>
  <c r="H442" i="8"/>
  <c r="H396" i="8"/>
  <c r="H53" i="8"/>
  <c r="H308" i="8"/>
  <c r="H431" i="8"/>
  <c r="H224" i="8"/>
  <c r="H284" i="8"/>
  <c r="H143" i="8"/>
  <c r="H65" i="8"/>
  <c r="H309" i="8"/>
  <c r="H110" i="8"/>
  <c r="H347" i="8"/>
  <c r="H376" i="8"/>
  <c r="H428" i="8"/>
  <c r="H314" i="8"/>
  <c r="H263" i="8"/>
  <c r="H399" i="8"/>
  <c r="H344" i="8"/>
  <c r="H507" i="8"/>
  <c r="H60" i="8"/>
  <c r="H411" i="8"/>
  <c r="H356" i="8"/>
  <c r="H80" i="8"/>
  <c r="H242" i="8"/>
  <c r="H390" i="8"/>
  <c r="H169" i="8"/>
  <c r="H92" i="8"/>
  <c r="H29" i="8"/>
  <c r="H52" i="8"/>
  <c r="H395" i="8"/>
  <c r="H277" i="8"/>
  <c r="H414" i="8"/>
  <c r="H35" i="8"/>
  <c r="H193" i="8"/>
  <c r="H149" i="8"/>
  <c r="H500" i="8"/>
  <c r="H120" i="8"/>
  <c r="H416" i="8"/>
  <c r="H434" i="8"/>
  <c r="H24" i="8"/>
  <c r="H161" i="8"/>
  <c r="H501" i="8"/>
  <c r="H387" i="8"/>
  <c r="H443" i="8"/>
  <c r="H472" i="8"/>
  <c r="H129" i="8"/>
  <c r="H506" i="8"/>
  <c r="H359" i="8"/>
  <c r="H495" i="8"/>
  <c r="H440" i="8"/>
  <c r="H208" i="8"/>
  <c r="H444" i="8"/>
  <c r="H112" i="8"/>
  <c r="H57" i="8"/>
  <c r="H272" i="8"/>
  <c r="H338" i="8"/>
  <c r="H486" i="8"/>
  <c r="H147" i="8"/>
  <c r="H188" i="8"/>
  <c r="H46" i="8"/>
  <c r="H244" i="8"/>
  <c r="H276" i="8"/>
  <c r="H74" i="8"/>
  <c r="H510" i="8"/>
  <c r="H227" i="8"/>
  <c r="H289" i="8"/>
  <c r="H341" i="8"/>
  <c r="H105" i="8"/>
  <c r="H312" i="8"/>
  <c r="H512" i="8"/>
  <c r="H45" i="8"/>
  <c r="H115" i="8"/>
  <c r="H419" i="8"/>
  <c r="H385" i="8"/>
  <c r="H437" i="8"/>
  <c r="H297" i="8"/>
  <c r="H109" i="8"/>
  <c r="H405" i="8"/>
  <c r="H216" i="8"/>
  <c r="H257" i="8"/>
  <c r="H418" i="8"/>
  <c r="H184" i="8"/>
  <c r="H36" i="8"/>
  <c r="H77" i="8"/>
  <c r="H321" i="8"/>
  <c r="H196" i="8"/>
  <c r="H455" i="8"/>
  <c r="H100" i="8"/>
  <c r="H408" i="8"/>
  <c r="H449" i="8"/>
  <c r="H82" i="8"/>
  <c r="H280" i="8"/>
  <c r="H132" i="8"/>
  <c r="H461" i="8"/>
  <c r="H513" i="8"/>
  <c r="H388" i="8"/>
  <c r="H48" i="8"/>
  <c r="H292" i="8"/>
  <c r="H333" i="8"/>
  <c r="H389" i="8"/>
  <c r="H145" i="8"/>
  <c r="H496" i="8"/>
  <c r="H249" i="8"/>
  <c r="H69" i="8"/>
  <c r="H39" i="8"/>
  <c r="H283" i="8"/>
  <c r="H136" i="8"/>
  <c r="H380" i="8"/>
  <c r="H238" i="8"/>
  <c r="H425" i="8"/>
  <c r="H361" i="8"/>
  <c r="H63" i="8"/>
  <c r="H307" i="8"/>
  <c r="H108" i="8"/>
  <c r="H481" i="8"/>
  <c r="H42" i="8"/>
  <c r="H393" i="8"/>
  <c r="H301" i="8"/>
  <c r="H504" i="8"/>
  <c r="H54" i="8"/>
  <c r="H178" i="8"/>
  <c r="H173" i="8"/>
  <c r="H324" i="8"/>
  <c r="H66" i="8"/>
  <c r="H95" i="8"/>
  <c r="H484" i="8"/>
  <c r="H240" i="8"/>
  <c r="H89" i="8"/>
  <c r="H429" i="8"/>
  <c r="H79" i="8"/>
  <c r="H241" i="8"/>
  <c r="H101" i="8"/>
  <c r="H345" i="8"/>
  <c r="H165" i="8"/>
  <c r="H135" i="8"/>
  <c r="H475" i="8"/>
  <c r="H232" i="8"/>
  <c r="H476" i="8"/>
  <c r="H334" i="8"/>
  <c r="H30" i="8"/>
  <c r="H62" i="8"/>
  <c r="H159" i="8"/>
  <c r="H488" i="8"/>
  <c r="H492" i="8"/>
  <c r="H86" i="8"/>
  <c r="H138" i="8"/>
  <c r="H489" i="8"/>
  <c r="H98" i="8"/>
  <c r="H435" i="8"/>
  <c r="H205" i="8"/>
  <c r="H150" i="8"/>
  <c r="H274" i="8"/>
  <c r="H269" i="8"/>
  <c r="H217" i="8"/>
  <c r="H162" i="8"/>
  <c r="H34" i="8"/>
  <c r="H185" i="8"/>
  <c r="H336" i="8"/>
  <c r="H377" i="8"/>
  <c r="H406" i="8"/>
  <c r="H271" i="8"/>
  <c r="H337" i="8"/>
  <c r="H197" i="8"/>
  <c r="H441" i="8"/>
  <c r="H453" i="8"/>
  <c r="H231" i="8"/>
  <c r="H176" i="8"/>
  <c r="H328" i="8"/>
  <c r="H177" i="8"/>
  <c r="H430" i="8"/>
  <c r="H211" i="8"/>
  <c r="H243" i="8"/>
  <c r="H255" i="8"/>
  <c r="H189" i="8"/>
  <c r="H97" i="8"/>
  <c r="H278" i="8"/>
  <c r="H234" i="8"/>
  <c r="H327" i="8"/>
  <c r="H386" i="8"/>
  <c r="H142" i="8"/>
  <c r="H397" i="8"/>
  <c r="H246" i="8"/>
  <c r="H370" i="8"/>
  <c r="H365" i="8"/>
  <c r="H409" i="8"/>
  <c r="H258" i="8"/>
  <c r="H158" i="8"/>
  <c r="H281" i="8"/>
  <c r="H133" i="8"/>
  <c r="H473" i="8"/>
  <c r="H446" i="8"/>
  <c r="H367" i="8"/>
  <c r="H433" i="8"/>
  <c r="H293" i="8"/>
  <c r="H22" i="8"/>
  <c r="H191" i="8"/>
  <c r="H423" i="8"/>
  <c r="H464" i="8"/>
  <c r="H424" i="8"/>
  <c r="H273" i="8"/>
  <c r="H407" i="8"/>
  <c r="H403" i="8"/>
  <c r="H125" i="8"/>
  <c r="H447" i="8"/>
  <c r="H285" i="8"/>
  <c r="H182" i="8"/>
  <c r="H75" i="8"/>
  <c r="H330" i="8"/>
  <c r="H322" i="8"/>
  <c r="H471" i="8"/>
  <c r="H187" i="8"/>
  <c r="H493" i="8"/>
  <c r="H342" i="8"/>
  <c r="H466" i="8"/>
  <c r="H55" i="8"/>
  <c r="H206" i="8"/>
  <c r="H354" i="8"/>
  <c r="H94" i="8"/>
  <c r="H67" i="8"/>
  <c r="H229" i="8"/>
  <c r="H78" i="8"/>
  <c r="H106" i="8"/>
  <c r="H68" i="8"/>
  <c r="H38" i="8"/>
  <c r="H485" i="8"/>
  <c r="H157" i="8"/>
  <c r="H383" i="8"/>
  <c r="H28" i="8"/>
  <c r="H261" i="8"/>
  <c r="H221" i="8"/>
  <c r="H369" i="8"/>
  <c r="H96" i="8"/>
  <c r="H499" i="8"/>
  <c r="H23" i="8"/>
  <c r="H148" i="8"/>
  <c r="H477" i="8"/>
  <c r="H374" i="8"/>
  <c r="H264" i="8"/>
  <c r="H171" i="8"/>
  <c r="H426" i="8"/>
  <c r="H457" i="8"/>
  <c r="H76" i="8"/>
  <c r="H153" i="8"/>
  <c r="H194" i="8"/>
  <c r="H438" i="8"/>
  <c r="H155" i="8"/>
  <c r="H140" i="8"/>
  <c r="H302" i="8"/>
  <c r="H450" i="8"/>
  <c r="H190" i="8"/>
  <c r="H259" i="8"/>
  <c r="H325" i="8"/>
  <c r="H174" i="8"/>
  <c r="H202" i="8"/>
  <c r="H260" i="8"/>
  <c r="H134" i="8"/>
  <c r="H90" i="8"/>
  <c r="H50" i="8"/>
  <c r="H479" i="8"/>
  <c r="H124" i="8"/>
  <c r="H357" i="8"/>
  <c r="H317" i="8"/>
  <c r="H465" i="8"/>
  <c r="H288" i="8"/>
  <c r="H104" i="8"/>
  <c r="H119" i="8"/>
  <c r="H436" i="8"/>
  <c r="H310" i="8"/>
  <c r="H470" i="8"/>
  <c r="H107" i="8"/>
  <c r="H267" i="8"/>
  <c r="H31" i="8"/>
  <c r="H70" i="8"/>
  <c r="H172" i="8"/>
  <c r="H368" i="8"/>
  <c r="H290" i="8"/>
  <c r="H43" i="8"/>
  <c r="H251" i="8"/>
  <c r="H33" i="8"/>
  <c r="H398" i="8"/>
  <c r="H151" i="8"/>
  <c r="H286" i="8"/>
  <c r="H355" i="8"/>
  <c r="H421" i="8"/>
  <c r="H270" i="8"/>
  <c r="H298" i="8"/>
  <c r="H452" i="8"/>
  <c r="H230" i="8"/>
  <c r="H186" i="8"/>
  <c r="H412" i="8"/>
  <c r="H72" i="8"/>
  <c r="H220" i="8"/>
  <c r="H445" i="8"/>
  <c r="H114" i="8"/>
  <c r="H203" i="8"/>
  <c r="H181" i="8"/>
  <c r="H200" i="8"/>
  <c r="H215" i="8"/>
  <c r="H41" i="8"/>
  <c r="H180" i="8"/>
  <c r="H352" i="8"/>
  <c r="H265" i="8"/>
  <c r="H363" i="8"/>
  <c r="H127" i="8"/>
  <c r="H166" i="8"/>
  <c r="H268" i="8"/>
  <c r="H49" i="8"/>
  <c r="H482" i="8"/>
  <c r="H331" i="8"/>
  <c r="H228" i="8"/>
  <c r="H225" i="8"/>
  <c r="H494" i="8"/>
  <c r="H247" i="8"/>
  <c r="H382" i="8"/>
  <c r="H248" i="8"/>
  <c r="H26" i="8"/>
  <c r="H366" i="8"/>
  <c r="H394" i="8"/>
  <c r="H214" i="8"/>
  <c r="H326" i="8"/>
  <c r="H282" i="8"/>
  <c r="H508" i="8"/>
  <c r="H168" i="8"/>
  <c r="H316" i="8"/>
  <c r="H226" i="8"/>
  <c r="H210" i="8"/>
  <c r="H84" i="8"/>
  <c r="H373" i="8"/>
  <c r="H296" i="8"/>
  <c r="H311" i="8"/>
  <c r="H137" i="8"/>
  <c r="H40" i="8"/>
  <c r="H245" i="8"/>
  <c r="H131" i="8"/>
  <c r="H459" i="8"/>
  <c r="H223" i="8"/>
  <c r="H262" i="8"/>
  <c r="H364" i="8"/>
  <c r="H304" i="8"/>
  <c r="H87" i="8"/>
  <c r="H427" i="8"/>
  <c r="H420" i="8"/>
  <c r="H417" i="8"/>
  <c r="H99" i="8"/>
  <c r="H343" i="8"/>
  <c r="H478" i="8"/>
  <c r="H141" i="8"/>
  <c r="H218" i="8"/>
  <c r="H462" i="8"/>
  <c r="H490" i="8"/>
  <c r="H350" i="8"/>
  <c r="H422" i="8"/>
  <c r="H378" i="8"/>
  <c r="H209" i="8"/>
  <c r="H360" i="8"/>
  <c r="H113" i="8"/>
  <c r="H199" i="8"/>
  <c r="H306" i="8"/>
  <c r="H372" i="8"/>
  <c r="H469" i="8"/>
  <c r="H392" i="8"/>
  <c r="H503" i="8"/>
  <c r="H233" i="8"/>
  <c r="H58" i="8"/>
  <c r="H212" i="8"/>
  <c r="H323" i="8"/>
  <c r="H64" i="8"/>
  <c r="H319" i="8"/>
  <c r="H358" i="8"/>
  <c r="H353" i="8"/>
  <c r="H340" i="8"/>
  <c r="M76" i="24"/>
  <c r="S76" i="24" s="1"/>
  <c r="R76" i="24" s="1"/>
  <c r="M46" i="24"/>
  <c r="S46" i="24" s="1"/>
  <c r="R46" i="24" s="1"/>
  <c r="M86" i="24"/>
  <c r="S86" i="24" s="1"/>
  <c r="R86" i="24" s="1"/>
  <c r="M6" i="24"/>
  <c r="S6" i="24" s="1"/>
  <c r="R6" i="24" s="1"/>
  <c r="M71" i="24"/>
  <c r="S71" i="24" s="1"/>
  <c r="R71" i="24" s="1"/>
  <c r="M51" i="24"/>
  <c r="S51" i="24" s="1"/>
  <c r="R51" i="24" s="1"/>
  <c r="M16" i="24"/>
  <c r="S16" i="24" s="1"/>
  <c r="R16" i="24" s="1"/>
  <c r="M121" i="24"/>
  <c r="S121" i="24" s="1"/>
  <c r="R121" i="24" s="1"/>
  <c r="M106" i="24"/>
  <c r="S106" i="24" s="1"/>
  <c r="R106" i="24" s="1"/>
  <c r="M26" i="24"/>
  <c r="S26" i="24" s="1"/>
  <c r="R26" i="24" s="1"/>
  <c r="M56" i="24"/>
  <c r="S56" i="24" s="1"/>
  <c r="R56" i="24" s="1"/>
  <c r="M96" i="24"/>
  <c r="S96" i="24" s="1"/>
  <c r="R96" i="24" s="1"/>
  <c r="M116" i="24"/>
  <c r="S116" i="24" s="1"/>
  <c r="R116" i="24" s="1"/>
  <c r="M91" i="24"/>
  <c r="S91" i="24" s="1"/>
  <c r="R91" i="24" s="1"/>
  <c r="M21" i="24"/>
  <c r="S21" i="24" s="1"/>
  <c r="R21" i="24" s="1"/>
  <c r="M81" i="24"/>
  <c r="S81" i="24" s="1"/>
  <c r="R81" i="24" s="1"/>
  <c r="M101" i="24"/>
  <c r="S101" i="24" s="1"/>
  <c r="R101" i="24" s="1"/>
  <c r="M126" i="24"/>
  <c r="S126" i="24" s="1"/>
  <c r="R126" i="24" s="1"/>
  <c r="M61" i="24"/>
  <c r="S61" i="24" s="1"/>
  <c r="R61" i="24" s="1"/>
  <c r="M31" i="24"/>
  <c r="S31" i="24" s="1"/>
  <c r="R31" i="24" s="1"/>
  <c r="M36" i="24"/>
  <c r="S36" i="24" s="1"/>
  <c r="R36" i="24" s="1"/>
  <c r="M66" i="24"/>
  <c r="S66" i="24" s="1"/>
  <c r="R66" i="24" s="1"/>
  <c r="M41" i="24"/>
  <c r="S41" i="24" s="1"/>
  <c r="R41" i="24" s="1"/>
  <c r="M111" i="24"/>
  <c r="S111" i="24" s="1"/>
  <c r="R111" i="24" s="1"/>
  <c r="K2023" i="18"/>
  <c r="I2023" i="18"/>
  <c r="S53" i="24"/>
  <c r="R53" i="24" s="1"/>
  <c r="S113" i="24"/>
  <c r="R113" i="24" s="1"/>
  <c r="O1973" i="18"/>
  <c r="O1975" i="18" s="1"/>
  <c r="N1973" i="18"/>
  <c r="N1975" i="18" s="1"/>
  <c r="S123" i="24"/>
  <c r="R123" i="24" s="1"/>
  <c r="S23" i="24"/>
  <c r="R23" i="24" s="1"/>
  <c r="S108" i="24"/>
  <c r="R108" i="24" s="1"/>
  <c r="S11" i="24"/>
  <c r="R11" i="24" s="1"/>
  <c r="U11" i="24"/>
  <c r="S18" i="24"/>
  <c r="R18" i="24" s="1"/>
  <c r="S43" i="24"/>
  <c r="R43" i="24" s="1"/>
  <c r="I1974" i="18"/>
  <c r="J1992" i="18" s="1"/>
  <c r="J1974" i="18"/>
  <c r="H1974" i="18"/>
  <c r="H1992" i="18" s="1"/>
  <c r="G1971" i="18"/>
  <c r="S88" i="24"/>
  <c r="R88" i="24" s="1"/>
  <c r="S13" i="24"/>
  <c r="R13" i="24" s="1"/>
  <c r="S83" i="24"/>
  <c r="R83" i="24" s="1"/>
  <c r="S33" i="24"/>
  <c r="R33" i="24" s="1"/>
  <c r="S38" i="24"/>
  <c r="R38" i="24" s="1"/>
  <c r="S73" i="24"/>
  <c r="R73" i="24" s="1"/>
  <c r="S48" i="24"/>
  <c r="R48" i="24" s="1"/>
  <c r="S78" i="24"/>
  <c r="R78" i="24" s="1"/>
  <c r="S103" i="24"/>
  <c r="R103" i="24" s="1"/>
  <c r="G1992" i="18"/>
  <c r="S58" i="24"/>
  <c r="R58" i="24" s="1"/>
  <c r="S8" i="24"/>
  <c r="S63" i="24"/>
  <c r="R63" i="24" s="1"/>
  <c r="S118" i="24"/>
  <c r="R118" i="24" s="1"/>
  <c r="I1961" i="18"/>
  <c r="V1991" i="18"/>
  <c r="W1991" i="18" s="1"/>
  <c r="S98" i="24"/>
  <c r="R98" i="24" s="1"/>
  <c r="S93" i="24"/>
  <c r="R93" i="24" s="1"/>
  <c r="S28" i="24"/>
  <c r="R28" i="24" s="1"/>
  <c r="S68" i="24"/>
  <c r="R68" i="24" s="1"/>
  <c r="S16" i="11"/>
  <c r="R16" i="11"/>
  <c r="S17" i="11"/>
  <c r="R17" i="11"/>
  <c r="S18" i="11"/>
  <c r="R18" i="11"/>
  <c r="S19" i="11"/>
  <c r="R19" i="11"/>
  <c r="S20" i="11"/>
  <c r="R20" i="11"/>
  <c r="S21" i="11"/>
  <c r="R21" i="11"/>
  <c r="S22" i="11"/>
  <c r="R22" i="11"/>
  <c r="S23" i="11"/>
  <c r="R23" i="11"/>
  <c r="S24" i="11"/>
  <c r="R24" i="11"/>
  <c r="S25" i="11"/>
  <c r="R25" i="11"/>
  <c r="S26" i="11"/>
  <c r="R26" i="11"/>
  <c r="S27" i="11"/>
  <c r="R27" i="11"/>
  <c r="S28" i="11"/>
  <c r="R28" i="11"/>
  <c r="S29" i="11"/>
  <c r="R29" i="11"/>
  <c r="S30" i="11"/>
  <c r="R30" i="11"/>
  <c r="R15" i="11"/>
  <c r="S15" i="11"/>
  <c r="AA16" i="11"/>
  <c r="P16" i="11" s="1"/>
  <c r="AA17" i="11"/>
  <c r="P17" i="11" s="1"/>
  <c r="AA18" i="11"/>
  <c r="P18" i="11" s="1"/>
  <c r="AA19" i="11"/>
  <c r="P19" i="11" s="1"/>
  <c r="AA20" i="11"/>
  <c r="P20" i="11" s="1"/>
  <c r="AA21" i="11"/>
  <c r="P21" i="11" s="1"/>
  <c r="AA22" i="11"/>
  <c r="P22" i="11" s="1"/>
  <c r="AA23" i="11"/>
  <c r="P23" i="11" s="1"/>
  <c r="AA24" i="11"/>
  <c r="P24" i="11" s="1"/>
  <c r="AA25" i="11"/>
  <c r="P25" i="11" s="1"/>
  <c r="AA26" i="11"/>
  <c r="P26" i="11" s="1"/>
  <c r="AA27" i="11"/>
  <c r="P27" i="11" s="1"/>
  <c r="AA28" i="11"/>
  <c r="P28" i="11" s="1"/>
  <c r="AA29" i="11"/>
  <c r="P29" i="11" s="1"/>
  <c r="AA30" i="11"/>
  <c r="P30" i="11" s="1"/>
  <c r="R8" i="24" l="1"/>
  <c r="I1992" i="18"/>
  <c r="K1992" i="18"/>
  <c r="E65" i="2"/>
  <c r="D65" i="2"/>
  <c r="I47" i="2"/>
  <c r="H48" i="2" s="1"/>
  <c r="I42" i="2"/>
  <c r="E20" i="2"/>
  <c r="F20" i="2" s="1"/>
  <c r="I8" i="2"/>
  <c r="H1" i="18"/>
  <c r="E1" i="8"/>
  <c r="D1" i="11"/>
  <c r="H1" i="7"/>
  <c r="F1" i="6"/>
  <c r="D1" i="4"/>
  <c r="I44" i="2" l="1"/>
  <c r="I45" i="2"/>
  <c r="H9" i="2"/>
  <c r="I10" i="2"/>
  <c r="I11" i="2"/>
  <c r="G24" i="2" s="1"/>
  <c r="F65" i="2"/>
  <c r="G65" i="2" s="1"/>
  <c r="G79" i="2"/>
  <c r="H43" i="2"/>
  <c r="E43" i="2"/>
  <c r="F9" i="2"/>
  <c r="F43" i="2"/>
  <c r="G9" i="2"/>
  <c r="G43" i="2"/>
  <c r="E9" i="2"/>
  <c r="E48" i="2"/>
  <c r="F48" i="2"/>
  <c r="G48" i="2"/>
  <c r="E34" i="2" l="1"/>
  <c r="E35" i="2"/>
  <c r="E31" i="2"/>
  <c r="E26" i="2"/>
  <c r="E30" i="2"/>
  <c r="E27" i="2"/>
  <c r="E28" i="2"/>
  <c r="E29" i="2"/>
  <c r="E32" i="2"/>
  <c r="E33" i="2"/>
  <c r="G35" i="2"/>
  <c r="G26" i="2"/>
  <c r="G27" i="2"/>
  <c r="G34" i="2"/>
  <c r="G28" i="2"/>
  <c r="G33" i="2"/>
  <c r="G29" i="2"/>
  <c r="G30" i="2"/>
  <c r="G32" i="2"/>
  <c r="G31" i="2"/>
  <c r="G67" i="2"/>
  <c r="G68" i="2" s="1"/>
  <c r="E81" i="2"/>
  <c r="G103" i="2"/>
  <c r="G97" i="2"/>
  <c r="G102" i="2"/>
  <c r="G96" i="2"/>
  <c r="G101" i="2"/>
  <c r="G104" i="2"/>
  <c r="G98" i="2"/>
  <c r="G100" i="2"/>
  <c r="G105" i="2"/>
  <c r="G99" i="2"/>
  <c r="H45" i="2"/>
  <c r="AK6" i="18" s="1"/>
  <c r="H44" i="2"/>
  <c r="H46" i="2" s="1"/>
  <c r="I43" i="2"/>
  <c r="G44" i="2"/>
  <c r="G46" i="2" s="1"/>
  <c r="G45" i="2"/>
  <c r="AJ6" i="18" s="1"/>
  <c r="F44" i="2"/>
  <c r="F46" i="2" s="1"/>
  <c r="F45" i="2"/>
  <c r="AI6" i="18" s="1"/>
  <c r="E44" i="2"/>
  <c r="E46" i="2" s="1"/>
  <c r="E45" i="2"/>
  <c r="AH6" i="18" s="1"/>
  <c r="G50" i="2"/>
  <c r="AJ7" i="18" s="1"/>
  <c r="E50" i="2"/>
  <c r="AH7" i="18" s="1"/>
  <c r="I48" i="2"/>
  <c r="H50" i="2"/>
  <c r="AK7" i="18" s="1"/>
  <c r="I9" i="2"/>
  <c r="D66" i="2"/>
  <c r="E66" i="2"/>
  <c r="F66" i="2"/>
  <c r="F50" i="2"/>
  <c r="AI7" i="18" s="1"/>
  <c r="H1910" i="18" l="1"/>
  <c r="H1929" i="18" s="1"/>
  <c r="H2003" i="18"/>
  <c r="H2022" i="18" s="1"/>
  <c r="I1910" i="18"/>
  <c r="I2003" i="18"/>
  <c r="J1910" i="18"/>
  <c r="H1925" i="18" s="1"/>
  <c r="J2003" i="18"/>
  <c r="H2018" i="18" s="1"/>
  <c r="K1910" i="18"/>
  <c r="H1916" i="18" s="1"/>
  <c r="K2003" i="18"/>
  <c r="H2009" i="18" s="1"/>
  <c r="K1259" i="18"/>
  <c r="H1265" i="18" s="1"/>
  <c r="K732" i="18"/>
  <c r="H738" i="18" s="1"/>
  <c r="K1104" i="18"/>
  <c r="H1110" i="18" s="1"/>
  <c r="K453" i="18"/>
  <c r="H459" i="18" s="1"/>
  <c r="K205" i="18"/>
  <c r="H211" i="18" s="1"/>
  <c r="K1507" i="18"/>
  <c r="H1513" i="18" s="1"/>
  <c r="K980" i="18"/>
  <c r="H986" i="18" s="1"/>
  <c r="K112" i="18"/>
  <c r="H118" i="18" s="1"/>
  <c r="K825" i="18"/>
  <c r="H831" i="18" s="1"/>
  <c r="K1228" i="18"/>
  <c r="H1234" i="18" s="1"/>
  <c r="K639" i="18"/>
  <c r="H645" i="18" s="1"/>
  <c r="K1135" i="18"/>
  <c r="H1141" i="18" s="1"/>
  <c r="K1662" i="18"/>
  <c r="H1668" i="18" s="1"/>
  <c r="K1538" i="18"/>
  <c r="H1544" i="18" s="1"/>
  <c r="K143" i="18"/>
  <c r="H149" i="18" s="1"/>
  <c r="K360" i="18"/>
  <c r="H366" i="18" s="1"/>
  <c r="K1693" i="18"/>
  <c r="H1699" i="18" s="1"/>
  <c r="K794" i="18"/>
  <c r="H800" i="18" s="1"/>
  <c r="K608" i="18"/>
  <c r="H614" i="18" s="1"/>
  <c r="K1600" i="18"/>
  <c r="H1606" i="18" s="1"/>
  <c r="K484" i="18"/>
  <c r="H490" i="18" s="1"/>
  <c r="K422" i="18"/>
  <c r="H428" i="18" s="1"/>
  <c r="K949" i="18"/>
  <c r="H955" i="18" s="1"/>
  <c r="K1755" i="18"/>
  <c r="H1761" i="18" s="1"/>
  <c r="K174" i="18"/>
  <c r="H180" i="18" s="1"/>
  <c r="K1848" i="18"/>
  <c r="H1854" i="18" s="1"/>
  <c r="K1724" i="18"/>
  <c r="H1730" i="18" s="1"/>
  <c r="K1073" i="18"/>
  <c r="H1079" i="18" s="1"/>
  <c r="K1383" i="18"/>
  <c r="H1389" i="18" s="1"/>
  <c r="K236" i="18"/>
  <c r="H242" i="18" s="1"/>
  <c r="K1011" i="18"/>
  <c r="H1017" i="18" s="1"/>
  <c r="K391" i="18"/>
  <c r="H397" i="18" s="1"/>
  <c r="K1290" i="18"/>
  <c r="H1296" i="18" s="1"/>
  <c r="K1569" i="18"/>
  <c r="H1575" i="18" s="1"/>
  <c r="K1042" i="18"/>
  <c r="H1048" i="18" s="1"/>
  <c r="K1414" i="18"/>
  <c r="H1420" i="18" s="1"/>
  <c r="K887" i="18"/>
  <c r="H893" i="18" s="1"/>
  <c r="K1321" i="18"/>
  <c r="H1327" i="18" s="1"/>
  <c r="K515" i="18"/>
  <c r="H521" i="18" s="1"/>
  <c r="K577" i="18"/>
  <c r="H583" i="18" s="1"/>
  <c r="K1445" i="18"/>
  <c r="H1451" i="18" s="1"/>
  <c r="K1352" i="18"/>
  <c r="H1358" i="18" s="1"/>
  <c r="K1476" i="18"/>
  <c r="H1482" i="18" s="1"/>
  <c r="K1197" i="18"/>
  <c r="H1203" i="18" s="1"/>
  <c r="K298" i="18"/>
  <c r="H304" i="18" s="1"/>
  <c r="K856" i="18"/>
  <c r="H862" i="18" s="1"/>
  <c r="K1631" i="18"/>
  <c r="H1637" i="18" s="1"/>
  <c r="K267" i="18"/>
  <c r="H273" i="18" s="1"/>
  <c r="K918" i="18"/>
  <c r="H924" i="18" s="1"/>
  <c r="K1786" i="18"/>
  <c r="H1792" i="18" s="1"/>
  <c r="K546" i="18"/>
  <c r="H552" i="18" s="1"/>
  <c r="K701" i="18"/>
  <c r="H707" i="18" s="1"/>
  <c r="K763" i="18"/>
  <c r="H769" i="18" s="1"/>
  <c r="K1817" i="18"/>
  <c r="H1823" i="18" s="1"/>
  <c r="K670" i="18"/>
  <c r="H676" i="18" s="1"/>
  <c r="K329" i="18"/>
  <c r="H335" i="18" s="1"/>
  <c r="K1166" i="18"/>
  <c r="H1172" i="18" s="1"/>
  <c r="K1879" i="18"/>
  <c r="H1885" i="18" s="1"/>
  <c r="K1941" i="18"/>
  <c r="H1947" i="18" s="1"/>
  <c r="K1972" i="18"/>
  <c r="H1978" i="18" s="1"/>
  <c r="AL7" i="18"/>
  <c r="I46" i="2"/>
  <c r="H79" i="2" s="1"/>
  <c r="AL6" i="18"/>
  <c r="H1197" i="18"/>
  <c r="H1216" i="18" s="1"/>
  <c r="H391" i="18"/>
  <c r="H410" i="18" s="1"/>
  <c r="H174" i="18"/>
  <c r="H193" i="18" s="1"/>
  <c r="H856" i="18"/>
  <c r="H875" i="18" s="1"/>
  <c r="H1724" i="18"/>
  <c r="H1743" i="18" s="1"/>
  <c r="H701" i="18"/>
  <c r="H720" i="18" s="1"/>
  <c r="H794" i="18"/>
  <c r="H813" i="18" s="1"/>
  <c r="H1817" i="18"/>
  <c r="H1836" i="18" s="1"/>
  <c r="H1662" i="18"/>
  <c r="H1681" i="18" s="1"/>
  <c r="H1104" i="18"/>
  <c r="H1123" i="18" s="1"/>
  <c r="H1321" i="18"/>
  <c r="H1340" i="18" s="1"/>
  <c r="H825" i="18"/>
  <c r="H844" i="18" s="1"/>
  <c r="H1042" i="18"/>
  <c r="H1061" i="18" s="1"/>
  <c r="H1414" i="18"/>
  <c r="H1433" i="18" s="1"/>
  <c r="H143" i="18"/>
  <c r="H162" i="18" s="1"/>
  <c r="H515" i="18"/>
  <c r="H534" i="18" s="1"/>
  <c r="H1848" i="18"/>
  <c r="H1867" i="18" s="1"/>
  <c r="H1073" i="18"/>
  <c r="H1092" i="18" s="1"/>
  <c r="H1476" i="18"/>
  <c r="H1495" i="18" s="1"/>
  <c r="H329" i="18"/>
  <c r="H348" i="18" s="1"/>
  <c r="H453" i="18"/>
  <c r="H472" i="18" s="1"/>
  <c r="H1445" i="18"/>
  <c r="H1464" i="18" s="1"/>
  <c r="H763" i="18"/>
  <c r="H782" i="18" s="1"/>
  <c r="H546" i="18"/>
  <c r="H565" i="18" s="1"/>
  <c r="H639" i="18"/>
  <c r="H658" i="18" s="1"/>
  <c r="H577" i="18"/>
  <c r="H596" i="18" s="1"/>
  <c r="H1259" i="18"/>
  <c r="H1278" i="18" s="1"/>
  <c r="H1228" i="18"/>
  <c r="H1247" i="18" s="1"/>
  <c r="H732" i="18"/>
  <c r="H751" i="18" s="1"/>
  <c r="H267" i="18"/>
  <c r="H286" i="18" s="1"/>
  <c r="H1786" i="18"/>
  <c r="H1805" i="18" s="1"/>
  <c r="H1600" i="18"/>
  <c r="H1619" i="18" s="1"/>
  <c r="H205" i="18"/>
  <c r="H224" i="18" s="1"/>
  <c r="H980" i="18"/>
  <c r="H999" i="18" s="1"/>
  <c r="H670" i="18"/>
  <c r="H689" i="18" s="1"/>
  <c r="H360" i="18"/>
  <c r="H379" i="18" s="1"/>
  <c r="H1290" i="18"/>
  <c r="H1309" i="18" s="1"/>
  <c r="H1135" i="18"/>
  <c r="H1154" i="18" s="1"/>
  <c r="H484" i="18"/>
  <c r="H503" i="18" s="1"/>
  <c r="H422" i="18"/>
  <c r="H441" i="18" s="1"/>
  <c r="H887" i="18"/>
  <c r="H906" i="18" s="1"/>
  <c r="H1693" i="18"/>
  <c r="H1712" i="18" s="1"/>
  <c r="H1538" i="18"/>
  <c r="H1557" i="18" s="1"/>
  <c r="H608" i="18"/>
  <c r="H627" i="18" s="1"/>
  <c r="H1569" i="18"/>
  <c r="H1588" i="18" s="1"/>
  <c r="H918" i="18"/>
  <c r="H937" i="18" s="1"/>
  <c r="H236" i="18"/>
  <c r="H255" i="18" s="1"/>
  <c r="H1011" i="18"/>
  <c r="H1030" i="18" s="1"/>
  <c r="H1507" i="18"/>
  <c r="H1526" i="18" s="1"/>
  <c r="H1755" i="18"/>
  <c r="H1774" i="18" s="1"/>
  <c r="H298" i="18"/>
  <c r="H317" i="18" s="1"/>
  <c r="H112" i="18"/>
  <c r="H131" i="18" s="1"/>
  <c r="H1631" i="18"/>
  <c r="H1650" i="18" s="1"/>
  <c r="H1383" i="18"/>
  <c r="H1402" i="18" s="1"/>
  <c r="H1352" i="18"/>
  <c r="H1371" i="18" s="1"/>
  <c r="H949" i="18"/>
  <c r="H968" i="18" s="1"/>
  <c r="H1879" i="18"/>
  <c r="H1898" i="18" s="1"/>
  <c r="H1166" i="18"/>
  <c r="H1185" i="18" s="1"/>
  <c r="H1941" i="18"/>
  <c r="H1960" i="18" s="1"/>
  <c r="H1972" i="18"/>
  <c r="H1991" i="18" s="1"/>
  <c r="I1817" i="18"/>
  <c r="I1662" i="18"/>
  <c r="I1104" i="18"/>
  <c r="I1755" i="18"/>
  <c r="I360" i="18"/>
  <c r="I1321" i="18"/>
  <c r="I1848" i="18"/>
  <c r="I329" i="18"/>
  <c r="I825" i="18"/>
  <c r="I1042" i="18"/>
  <c r="I1383" i="18"/>
  <c r="I887" i="18"/>
  <c r="I1693" i="18"/>
  <c r="I453" i="18"/>
  <c r="I1445" i="18"/>
  <c r="I546" i="18"/>
  <c r="I732" i="18"/>
  <c r="I1414" i="18"/>
  <c r="I577" i="18"/>
  <c r="I1259" i="18"/>
  <c r="I391" i="18"/>
  <c r="I1228" i="18"/>
  <c r="I515" i="18"/>
  <c r="I1786" i="18"/>
  <c r="I1600" i="18"/>
  <c r="I205" i="18"/>
  <c r="I763" i="18"/>
  <c r="I980" i="18"/>
  <c r="I639" i="18"/>
  <c r="I670" i="18"/>
  <c r="I1507" i="18"/>
  <c r="I484" i="18"/>
  <c r="I1724" i="18"/>
  <c r="I422" i="18"/>
  <c r="I236" i="18"/>
  <c r="I1569" i="18"/>
  <c r="I112" i="18"/>
  <c r="I918" i="18"/>
  <c r="I794" i="18"/>
  <c r="I856" i="18"/>
  <c r="I701" i="18"/>
  <c r="I1476" i="18"/>
  <c r="I1011" i="18"/>
  <c r="I298" i="18"/>
  <c r="I1135" i="18"/>
  <c r="I1631" i="18"/>
  <c r="I143" i="18"/>
  <c r="I267" i="18"/>
  <c r="I608" i="18"/>
  <c r="I1352" i="18"/>
  <c r="I949" i="18"/>
  <c r="I1197" i="18"/>
  <c r="I1290" i="18"/>
  <c r="I174" i="18"/>
  <c r="I1538" i="18"/>
  <c r="I1073" i="18"/>
  <c r="I1879" i="18"/>
  <c r="I1166" i="18"/>
  <c r="I1941" i="18"/>
  <c r="I1972" i="18"/>
  <c r="J1786" i="18"/>
  <c r="H1801" i="18" s="1"/>
  <c r="J577" i="18"/>
  <c r="H592" i="18" s="1"/>
  <c r="J1631" i="18"/>
  <c r="H1646" i="18" s="1"/>
  <c r="J1321" i="18"/>
  <c r="H1336" i="18" s="1"/>
  <c r="J856" i="18"/>
  <c r="H871" i="18" s="1"/>
  <c r="J732" i="18"/>
  <c r="H747" i="18" s="1"/>
  <c r="J453" i="18"/>
  <c r="H468" i="18" s="1"/>
  <c r="J1259" i="18"/>
  <c r="H1274" i="18" s="1"/>
  <c r="J1445" i="18"/>
  <c r="H1460" i="18" s="1"/>
  <c r="J112" i="18"/>
  <c r="H127" i="18" s="1"/>
  <c r="J825" i="18"/>
  <c r="H840" i="18" s="1"/>
  <c r="J1042" i="18"/>
  <c r="H1057" i="18" s="1"/>
  <c r="J1414" i="18"/>
  <c r="H1429" i="18" s="1"/>
  <c r="J143" i="18"/>
  <c r="H158" i="18" s="1"/>
  <c r="J670" i="18"/>
  <c r="H685" i="18" s="1"/>
  <c r="J1724" i="18"/>
  <c r="H1739" i="18" s="1"/>
  <c r="J1817" i="18"/>
  <c r="H1832" i="18" s="1"/>
  <c r="J763" i="18"/>
  <c r="H778" i="18" s="1"/>
  <c r="J1507" i="18"/>
  <c r="H1522" i="18" s="1"/>
  <c r="J1228" i="18"/>
  <c r="H1243" i="18" s="1"/>
  <c r="J639" i="18"/>
  <c r="H654" i="18" s="1"/>
  <c r="J1600" i="18"/>
  <c r="H1615" i="18" s="1"/>
  <c r="J205" i="18"/>
  <c r="H220" i="18" s="1"/>
  <c r="J980" i="18"/>
  <c r="H995" i="18" s="1"/>
  <c r="J422" i="18"/>
  <c r="H437" i="18" s="1"/>
  <c r="J1476" i="18"/>
  <c r="H1491" i="18" s="1"/>
  <c r="J484" i="18"/>
  <c r="H499" i="18" s="1"/>
  <c r="J360" i="18"/>
  <c r="H375" i="18" s="1"/>
  <c r="J1693" i="18"/>
  <c r="H1708" i="18" s="1"/>
  <c r="J1662" i="18"/>
  <c r="H1677" i="18" s="1"/>
  <c r="J918" i="18"/>
  <c r="H933" i="18" s="1"/>
  <c r="J887" i="18"/>
  <c r="H902" i="18" s="1"/>
  <c r="J515" i="18"/>
  <c r="H530" i="18" s="1"/>
  <c r="J236" i="18"/>
  <c r="H251" i="18" s="1"/>
  <c r="J391" i="18"/>
  <c r="H406" i="18" s="1"/>
  <c r="J298" i="18"/>
  <c r="H313" i="18" s="1"/>
  <c r="J1569" i="18"/>
  <c r="H1584" i="18" s="1"/>
  <c r="J608" i="18"/>
  <c r="H623" i="18" s="1"/>
  <c r="J1011" i="18"/>
  <c r="H1026" i="18" s="1"/>
  <c r="J1135" i="18"/>
  <c r="H1150" i="18" s="1"/>
  <c r="J1073" i="18"/>
  <c r="H1088" i="18" s="1"/>
  <c r="J794" i="18"/>
  <c r="H809" i="18" s="1"/>
  <c r="J1352" i="18"/>
  <c r="H1367" i="18" s="1"/>
  <c r="J949" i="18"/>
  <c r="H964" i="18" s="1"/>
  <c r="J1197" i="18"/>
  <c r="H1212" i="18" s="1"/>
  <c r="J1290" i="18"/>
  <c r="H1305" i="18" s="1"/>
  <c r="J1755" i="18"/>
  <c r="H1770" i="18" s="1"/>
  <c r="J174" i="18"/>
  <c r="H189" i="18" s="1"/>
  <c r="J1538" i="18"/>
  <c r="H1553" i="18" s="1"/>
  <c r="J1383" i="18"/>
  <c r="H1398" i="18" s="1"/>
  <c r="J329" i="18"/>
  <c r="H344" i="18" s="1"/>
  <c r="J1848" i="18"/>
  <c r="H1863" i="18" s="1"/>
  <c r="J546" i="18"/>
  <c r="H561" i="18" s="1"/>
  <c r="J701" i="18"/>
  <c r="H716" i="18" s="1"/>
  <c r="J267" i="18"/>
  <c r="H282" i="18" s="1"/>
  <c r="J1104" i="18"/>
  <c r="H1119" i="18" s="1"/>
  <c r="J1879" i="18"/>
  <c r="H1894" i="18" s="1"/>
  <c r="J1166" i="18"/>
  <c r="H1181" i="18" s="1"/>
  <c r="J1941" i="18"/>
  <c r="H1956" i="18" s="1"/>
  <c r="J1972" i="18"/>
  <c r="H1987" i="18" s="1"/>
  <c r="G66" i="2"/>
  <c r="F67" i="2"/>
  <c r="AH11" i="18" s="1"/>
  <c r="E67" i="2"/>
  <c r="D67" i="2"/>
  <c r="D68" i="2" s="1"/>
  <c r="K2022" i="18" l="1"/>
  <c r="I2022" i="18"/>
  <c r="P2022" i="18" s="1"/>
  <c r="K1929" i="18"/>
  <c r="I1929" i="18"/>
  <c r="P1929" i="18" s="1"/>
  <c r="K317" i="18"/>
  <c r="I317" i="18"/>
  <c r="P317" i="18" s="1"/>
  <c r="K503" i="18"/>
  <c r="I503" i="18"/>
  <c r="P503" i="18" s="1"/>
  <c r="K1278" i="18"/>
  <c r="I1278" i="18"/>
  <c r="P1278" i="18" s="1"/>
  <c r="K534" i="18"/>
  <c r="I534" i="18"/>
  <c r="P534" i="18" s="1"/>
  <c r="K875" i="18"/>
  <c r="I875" i="18"/>
  <c r="P875" i="18" s="1"/>
  <c r="K1743" i="18"/>
  <c r="I1743" i="18"/>
  <c r="P1743" i="18" s="1"/>
  <c r="K1991" i="18"/>
  <c r="I1991" i="18"/>
  <c r="P1991" i="18" s="1"/>
  <c r="K1774" i="18"/>
  <c r="I1774" i="18"/>
  <c r="P1774" i="18" s="1"/>
  <c r="K1154" i="18"/>
  <c r="I1154" i="18"/>
  <c r="P1154" i="18" s="1"/>
  <c r="K596" i="18"/>
  <c r="I596" i="18"/>
  <c r="P596" i="18" s="1"/>
  <c r="K162" i="18"/>
  <c r="I162" i="18"/>
  <c r="P162" i="18" s="1"/>
  <c r="K193" i="18"/>
  <c r="I193" i="18"/>
  <c r="P193" i="18" s="1"/>
  <c r="K1960" i="18"/>
  <c r="I1960" i="18"/>
  <c r="P1960" i="18" s="1"/>
  <c r="K1526" i="18"/>
  <c r="I1526" i="18"/>
  <c r="P1526" i="18" s="1"/>
  <c r="K1309" i="18"/>
  <c r="I1309" i="18"/>
  <c r="P1309" i="18" s="1"/>
  <c r="K1433" i="18"/>
  <c r="I1433" i="18"/>
  <c r="P1433" i="18" s="1"/>
  <c r="K410" i="18"/>
  <c r="I410" i="18"/>
  <c r="P410" i="18" s="1"/>
  <c r="K131" i="18"/>
  <c r="I131" i="18"/>
  <c r="P131" i="18" s="1"/>
  <c r="K1030" i="18"/>
  <c r="I1030" i="18"/>
  <c r="P1030" i="18" s="1"/>
  <c r="K379" i="18"/>
  <c r="I379" i="18"/>
  <c r="P379" i="18" s="1"/>
  <c r="K658" i="18"/>
  <c r="I658" i="18"/>
  <c r="P658" i="18" s="1"/>
  <c r="K1061" i="18"/>
  <c r="I1061" i="18"/>
  <c r="P1061" i="18" s="1"/>
  <c r="K1216" i="18"/>
  <c r="I1216" i="18"/>
  <c r="P1216" i="18" s="1"/>
  <c r="K255" i="18"/>
  <c r="I255" i="18"/>
  <c r="P255" i="18" s="1"/>
  <c r="K689" i="18"/>
  <c r="I689" i="18"/>
  <c r="P689" i="18" s="1"/>
  <c r="K565" i="18"/>
  <c r="I565" i="18"/>
  <c r="P565" i="18" s="1"/>
  <c r="K844" i="18"/>
  <c r="I844" i="18"/>
  <c r="P844" i="18" s="1"/>
  <c r="K441" i="18"/>
  <c r="I441" i="18"/>
  <c r="P441" i="18" s="1"/>
  <c r="K1185" i="18"/>
  <c r="I1185" i="18"/>
  <c r="P1185" i="18" s="1"/>
  <c r="K937" i="18"/>
  <c r="I937" i="18"/>
  <c r="P937" i="18" s="1"/>
  <c r="K999" i="18"/>
  <c r="I999" i="18"/>
  <c r="P999" i="18" s="1"/>
  <c r="K782" i="18"/>
  <c r="I782" i="18"/>
  <c r="P782" i="18" s="1"/>
  <c r="K1340" i="18"/>
  <c r="I1340" i="18"/>
  <c r="P1340" i="18" s="1"/>
  <c r="H97" i="2"/>
  <c r="F82" i="2"/>
  <c r="H96" i="2"/>
  <c r="F83" i="2"/>
  <c r="H82" i="2"/>
  <c r="F84" i="2"/>
  <c r="F89" i="2"/>
  <c r="H101" i="2"/>
  <c r="H88" i="2"/>
  <c r="F90" i="2"/>
  <c r="H99" i="2"/>
  <c r="H83" i="2"/>
  <c r="F86" i="2"/>
  <c r="H104" i="2"/>
  <c r="F87" i="2"/>
  <c r="H100" i="2"/>
  <c r="H89" i="2"/>
  <c r="F81" i="2"/>
  <c r="H90" i="2"/>
  <c r="H98" i="2"/>
  <c r="H81" i="2"/>
  <c r="F85" i="2"/>
  <c r="H105" i="2"/>
  <c r="H84" i="2"/>
  <c r="H85" i="2"/>
  <c r="H103" i="2"/>
  <c r="H86" i="2"/>
  <c r="F88" i="2"/>
  <c r="H102" i="2"/>
  <c r="H87" i="2"/>
  <c r="K1247" i="18"/>
  <c r="I1247" i="18"/>
  <c r="P1247" i="18" s="1"/>
  <c r="K1898" i="18"/>
  <c r="I1898" i="18"/>
  <c r="P1898" i="18" s="1"/>
  <c r="K1588" i="18"/>
  <c r="I1588" i="18"/>
  <c r="P1588" i="18" s="1"/>
  <c r="K224" i="18"/>
  <c r="I224" i="18"/>
  <c r="P224" i="18" s="1"/>
  <c r="K1464" i="18"/>
  <c r="I1464" i="18"/>
  <c r="P1464" i="18" s="1"/>
  <c r="K1123" i="18"/>
  <c r="I1123" i="18"/>
  <c r="P1123" i="18" s="1"/>
  <c r="K968" i="18"/>
  <c r="I968" i="18"/>
  <c r="P968" i="18" s="1"/>
  <c r="K627" i="18"/>
  <c r="I627" i="18"/>
  <c r="P627" i="18" s="1"/>
  <c r="K1619" i="18"/>
  <c r="I1619" i="18"/>
  <c r="P1619" i="18" s="1"/>
  <c r="K472" i="18"/>
  <c r="I472" i="18"/>
  <c r="P472" i="18" s="1"/>
  <c r="K1681" i="18"/>
  <c r="I1681" i="18"/>
  <c r="P1681" i="18" s="1"/>
  <c r="E68" i="2"/>
  <c r="AI11" i="18"/>
  <c r="AJ11" i="18" s="1"/>
  <c r="AK11" i="18" s="1"/>
  <c r="K1371" i="18"/>
  <c r="I1371" i="18"/>
  <c r="P1371" i="18" s="1"/>
  <c r="K1557" i="18"/>
  <c r="I1557" i="18"/>
  <c r="P1557" i="18" s="1"/>
  <c r="K1805" i="18"/>
  <c r="I1805" i="18"/>
  <c r="P1805" i="18" s="1"/>
  <c r="K348" i="18"/>
  <c r="I348" i="18"/>
  <c r="P348" i="18" s="1"/>
  <c r="K1836" i="18"/>
  <c r="I1836" i="18"/>
  <c r="P1836" i="18" s="1"/>
  <c r="K1867" i="18"/>
  <c r="I1867" i="18"/>
  <c r="P1867" i="18" s="1"/>
  <c r="K1402" i="18"/>
  <c r="I1402" i="18"/>
  <c r="P1402" i="18" s="1"/>
  <c r="K1712" i="18"/>
  <c r="I1712" i="18"/>
  <c r="P1712" i="18" s="1"/>
  <c r="K286" i="18"/>
  <c r="I286" i="18"/>
  <c r="P286" i="18" s="1"/>
  <c r="K1495" i="18"/>
  <c r="I1495" i="18"/>
  <c r="P1495" i="18" s="1"/>
  <c r="K813" i="18"/>
  <c r="I813" i="18"/>
  <c r="P813" i="18" s="1"/>
  <c r="K1650" i="18"/>
  <c r="I1650" i="18"/>
  <c r="P1650" i="18" s="1"/>
  <c r="K906" i="18"/>
  <c r="I906" i="18"/>
  <c r="P906" i="18" s="1"/>
  <c r="K751" i="18"/>
  <c r="I751" i="18"/>
  <c r="P751" i="18" s="1"/>
  <c r="K1092" i="18"/>
  <c r="I1092" i="18"/>
  <c r="P1092" i="18" s="1"/>
  <c r="K720" i="18"/>
  <c r="I720" i="18"/>
  <c r="P720" i="18" s="1"/>
  <c r="G84" i="2"/>
  <c r="E85" i="2"/>
  <c r="G83" i="2"/>
  <c r="E83" i="2"/>
  <c r="E82" i="2"/>
  <c r="G89" i="2"/>
  <c r="E90" i="2"/>
  <c r="G88" i="2"/>
  <c r="G90" i="2"/>
  <c r="E84" i="2"/>
  <c r="E88" i="2"/>
  <c r="G87" i="2"/>
  <c r="G86" i="2"/>
  <c r="E86" i="2"/>
  <c r="G82" i="2"/>
  <c r="E89" i="2"/>
  <c r="E87" i="2"/>
  <c r="G81" i="2"/>
  <c r="G85" i="2"/>
  <c r="F68" i="2"/>
  <c r="B16" i="18"/>
  <c r="B17" i="18" l="1"/>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X405" i="7"/>
  <c r="X406" i="7"/>
  <c r="X407" i="7"/>
  <c r="X408" i="7"/>
  <c r="X409" i="7"/>
  <c r="X410" i="7"/>
  <c r="X411" i="7"/>
  <c r="X412" i="7"/>
  <c r="X413" i="7"/>
  <c r="X414" i="7"/>
  <c r="X415" i="7"/>
  <c r="X416" i="7"/>
  <c r="X417" i="7"/>
  <c r="X418" i="7"/>
  <c r="X419" i="7"/>
  <c r="X420" i="7"/>
  <c r="X421" i="7"/>
  <c r="X422" i="7"/>
  <c r="X423" i="7"/>
  <c r="X424" i="7"/>
  <c r="X425" i="7"/>
  <c r="X426" i="7"/>
  <c r="X427" i="7"/>
  <c r="X428" i="7"/>
  <c r="X429" i="7"/>
  <c r="X430" i="7"/>
  <c r="X431" i="7"/>
  <c r="X432" i="7"/>
  <c r="X433" i="7"/>
  <c r="X434" i="7"/>
  <c r="X435" i="7"/>
  <c r="X436" i="7"/>
  <c r="X437" i="7"/>
  <c r="X438" i="7"/>
  <c r="X439" i="7"/>
  <c r="X440" i="7"/>
  <c r="X441" i="7"/>
  <c r="X442" i="7"/>
  <c r="X443" i="7"/>
  <c r="X444" i="7"/>
  <c r="X445" i="7"/>
  <c r="X446" i="7"/>
  <c r="X447" i="7"/>
  <c r="X448" i="7"/>
  <c r="X449" i="7"/>
  <c r="X450" i="7"/>
  <c r="X451" i="7"/>
  <c r="X452" i="7"/>
  <c r="X453" i="7"/>
  <c r="X454" i="7"/>
  <c r="X455" i="7"/>
  <c r="X456" i="7"/>
  <c r="X457" i="7"/>
  <c r="X458" i="7"/>
  <c r="X459" i="7"/>
  <c r="X460" i="7"/>
  <c r="X461" i="7"/>
  <c r="X462" i="7"/>
  <c r="X463" i="7"/>
  <c r="X464" i="7"/>
  <c r="X465" i="7"/>
  <c r="X466" i="7"/>
  <c r="X467" i="7"/>
  <c r="X468" i="7"/>
  <c r="X469" i="7"/>
  <c r="X470" i="7"/>
  <c r="X471" i="7"/>
  <c r="X472" i="7"/>
  <c r="X473" i="7"/>
  <c r="X474" i="7"/>
  <c r="X475" i="7"/>
  <c r="X476" i="7"/>
  <c r="X477" i="7"/>
  <c r="X478" i="7"/>
  <c r="X479" i="7"/>
  <c r="X480" i="7"/>
  <c r="X481" i="7"/>
  <c r="X482" i="7"/>
  <c r="X483" i="7"/>
  <c r="X484" i="7"/>
  <c r="X485" i="7"/>
  <c r="X486" i="7"/>
  <c r="X487" i="7"/>
  <c r="X488" i="7"/>
  <c r="X489" i="7"/>
  <c r="X490" i="7"/>
  <c r="X491" i="7"/>
  <c r="X492" i="7"/>
  <c r="X493" i="7"/>
  <c r="X494" i="7"/>
  <c r="X495" i="7"/>
  <c r="X496" i="7"/>
  <c r="X497" i="7"/>
  <c r="X498" i="7"/>
  <c r="X499" i="7"/>
  <c r="X500" i="7"/>
  <c r="X501" i="7"/>
  <c r="X502" i="7"/>
  <c r="X503" i="7"/>
  <c r="X504" i="7"/>
  <c r="X505" i="7"/>
  <c r="X506" i="7"/>
  <c r="X507" i="7"/>
  <c r="X508" i="7"/>
  <c r="X509" i="7"/>
  <c r="X510" i="7"/>
  <c r="X511" i="7"/>
  <c r="X512" i="7"/>
  <c r="X513" i="7"/>
  <c r="X514" i="7"/>
  <c r="X515" i="7"/>
  <c r="X516" i="7"/>
  <c r="X517" i="7"/>
  <c r="X518" i="7"/>
  <c r="X519" i="7"/>
  <c r="X520" i="7"/>
  <c r="X21" i="7"/>
  <c r="B18" i="18" l="1"/>
  <c r="D32" i="6"/>
  <c r="D31" i="6"/>
  <c r="D30" i="6"/>
  <c r="D29" i="6"/>
  <c r="D28" i="6"/>
  <c r="D27" i="6"/>
  <c r="D26" i="6"/>
  <c r="D25" i="6"/>
  <c r="D24" i="6"/>
  <c r="D22" i="6"/>
  <c r="D23" i="6"/>
  <c r="D21" i="6"/>
  <c r="B19" i="18" l="1"/>
  <c r="D30" i="8"/>
  <c r="D42" i="8"/>
  <c r="D54" i="8"/>
  <c r="D66" i="8"/>
  <c r="D78" i="8"/>
  <c r="D90" i="8"/>
  <c r="D102" i="8"/>
  <c r="D114" i="8"/>
  <c r="D126" i="8"/>
  <c r="D138" i="8"/>
  <c r="D150" i="8"/>
  <c r="D162" i="8"/>
  <c r="D174" i="8"/>
  <c r="D186" i="8"/>
  <c r="D198" i="8"/>
  <c r="D210" i="8"/>
  <c r="D222" i="8"/>
  <c r="D234" i="8"/>
  <c r="D246" i="8"/>
  <c r="D258" i="8"/>
  <c r="D282" i="8"/>
  <c r="D294" i="8"/>
  <c r="D318" i="8"/>
  <c r="D342" i="8"/>
  <c r="D366" i="8"/>
  <c r="D402" i="8"/>
  <c r="D426" i="8"/>
  <c r="D450" i="8"/>
  <c r="D474" i="8"/>
  <c r="D498" i="8"/>
  <c r="D319" i="8"/>
  <c r="D355" i="8"/>
  <c r="D391" i="8"/>
  <c r="D427" i="8"/>
  <c r="D463" i="8"/>
  <c r="D499" i="8"/>
  <c r="D176" i="8"/>
  <c r="D236" i="8"/>
  <c r="D284" i="8"/>
  <c r="D332" i="8"/>
  <c r="D380" i="8"/>
  <c r="D428" i="8"/>
  <c r="D476" i="8"/>
  <c r="D31" i="8"/>
  <c r="D43" i="8"/>
  <c r="D55" i="8"/>
  <c r="D67" i="8"/>
  <c r="D79" i="8"/>
  <c r="D91" i="8"/>
  <c r="D103" i="8"/>
  <c r="D115" i="8"/>
  <c r="D127" i="8"/>
  <c r="D139" i="8"/>
  <c r="D151" i="8"/>
  <c r="D163" i="8"/>
  <c r="D175" i="8"/>
  <c r="D187" i="8"/>
  <c r="D199" i="8"/>
  <c r="D211" i="8"/>
  <c r="D223" i="8"/>
  <c r="D235" i="8"/>
  <c r="D247" i="8"/>
  <c r="D259" i="8"/>
  <c r="D271" i="8"/>
  <c r="D283" i="8"/>
  <c r="D295" i="8"/>
  <c r="D307" i="8"/>
  <c r="D343" i="8"/>
  <c r="D379" i="8"/>
  <c r="D415" i="8"/>
  <c r="D451" i="8"/>
  <c r="D487" i="8"/>
  <c r="D152" i="8"/>
  <c r="D224" i="8"/>
  <c r="D272" i="8"/>
  <c r="D320" i="8"/>
  <c r="D368" i="8"/>
  <c r="D416" i="8"/>
  <c r="D488" i="8"/>
  <c r="D19" i="8"/>
  <c r="D32" i="8"/>
  <c r="D44" i="8"/>
  <c r="D56" i="8"/>
  <c r="D68" i="8"/>
  <c r="D80" i="8"/>
  <c r="D92" i="8"/>
  <c r="D104" i="8"/>
  <c r="D116" i="8"/>
  <c r="D128" i="8"/>
  <c r="D140" i="8"/>
  <c r="D164" i="8"/>
  <c r="D200" i="8"/>
  <c r="D212" i="8"/>
  <c r="D260" i="8"/>
  <c r="D308" i="8"/>
  <c r="D356" i="8"/>
  <c r="D404" i="8"/>
  <c r="D452" i="8"/>
  <c r="D21" i="8"/>
  <c r="D33" i="8"/>
  <c r="D45" i="8"/>
  <c r="D57" i="8"/>
  <c r="D69" i="8"/>
  <c r="D81" i="8"/>
  <c r="D93" i="8"/>
  <c r="D105" i="8"/>
  <c r="D117" i="8"/>
  <c r="D129" i="8"/>
  <c r="D141" i="8"/>
  <c r="D153" i="8"/>
  <c r="D165" i="8"/>
  <c r="D177" i="8"/>
  <c r="D189" i="8"/>
  <c r="D201" i="8"/>
  <c r="D213" i="8"/>
  <c r="D225" i="8"/>
  <c r="D237" i="8"/>
  <c r="D249" i="8"/>
  <c r="D261" i="8"/>
  <c r="D273" i="8"/>
  <c r="D285" i="8"/>
  <c r="D297" i="8"/>
  <c r="D309" i="8"/>
  <c r="D321" i="8"/>
  <c r="D333" i="8"/>
  <c r="D345" i="8"/>
  <c r="D357" i="8"/>
  <c r="D369" i="8"/>
  <c r="D381" i="8"/>
  <c r="D393" i="8"/>
  <c r="D405" i="8"/>
  <c r="D417" i="8"/>
  <c r="D429" i="8"/>
  <c r="D441" i="8"/>
  <c r="D453" i="8"/>
  <c r="D465" i="8"/>
  <c r="D477" i="8"/>
  <c r="D489" i="8"/>
  <c r="D501" i="8"/>
  <c r="D513" i="8"/>
  <c r="D478" i="8"/>
  <c r="D22" i="8"/>
  <c r="D34" i="8"/>
  <c r="D46" i="8"/>
  <c r="D58" i="8"/>
  <c r="D70" i="8"/>
  <c r="D82" i="8"/>
  <c r="D94" i="8"/>
  <c r="D106" i="8"/>
  <c r="D118" i="8"/>
  <c r="D130" i="8"/>
  <c r="D142" i="8"/>
  <c r="D154" i="8"/>
  <c r="D166" i="8"/>
  <c r="D178" i="8"/>
  <c r="D190" i="8"/>
  <c r="D202" i="8"/>
  <c r="D214" i="8"/>
  <c r="D226" i="8"/>
  <c r="D238" i="8"/>
  <c r="D250" i="8"/>
  <c r="D262" i="8"/>
  <c r="D274" i="8"/>
  <c r="D286" i="8"/>
  <c r="D298" i="8"/>
  <c r="D310" i="8"/>
  <c r="D322" i="8"/>
  <c r="D334" i="8"/>
  <c r="D346" i="8"/>
  <c r="D358" i="8"/>
  <c r="D370" i="8"/>
  <c r="D382" i="8"/>
  <c r="D394" i="8"/>
  <c r="D406" i="8"/>
  <c r="D418" i="8"/>
  <c r="D430" i="8"/>
  <c r="D442" i="8"/>
  <c r="D454" i="8"/>
  <c r="D466" i="8"/>
  <c r="D23" i="8"/>
  <c r="D35" i="8"/>
  <c r="D47" i="8"/>
  <c r="D59" i="8"/>
  <c r="D71" i="8"/>
  <c r="D83" i="8"/>
  <c r="D95" i="8"/>
  <c r="D107" i="8"/>
  <c r="D119" i="8"/>
  <c r="D131" i="8"/>
  <c r="D143" i="8"/>
  <c r="D155" i="8"/>
  <c r="D167" i="8"/>
  <c r="D179" i="8"/>
  <c r="D191" i="8"/>
  <c r="D203" i="8"/>
  <c r="D215" i="8"/>
  <c r="D227" i="8"/>
  <c r="D239" i="8"/>
  <c r="D251" i="8"/>
  <c r="D263" i="8"/>
  <c r="D275" i="8"/>
  <c r="D287" i="8"/>
  <c r="D299" i="8"/>
  <c r="D311" i="8"/>
  <c r="D323" i="8"/>
  <c r="D335" i="8"/>
  <c r="D347" i="8"/>
  <c r="D359" i="8"/>
  <c r="D371" i="8"/>
  <c r="D383" i="8"/>
  <c r="D395" i="8"/>
  <c r="D407" i="8"/>
  <c r="D419" i="8"/>
  <c r="D431" i="8"/>
  <c r="D443" i="8"/>
  <c r="D455" i="8"/>
  <c r="D467" i="8"/>
  <c r="D479" i="8"/>
  <c r="D491" i="8"/>
  <c r="D503" i="8"/>
  <c r="D515" i="8"/>
  <c r="D276" i="8"/>
  <c r="D300" i="8"/>
  <c r="D324" i="8"/>
  <c r="D348" i="8"/>
  <c r="D372" i="8"/>
  <c r="D396" i="8"/>
  <c r="D420" i="8"/>
  <c r="D444" i="8"/>
  <c r="D456" i="8"/>
  <c r="D480" i="8"/>
  <c r="D504" i="8"/>
  <c r="D361" i="8"/>
  <c r="D385" i="8"/>
  <c r="D421" i="8"/>
  <c r="D457" i="8"/>
  <c r="D493" i="8"/>
  <c r="D422" i="8"/>
  <c r="D470" i="8"/>
  <c r="D267" i="8"/>
  <c r="D327" i="8"/>
  <c r="D375" i="8"/>
  <c r="D435" i="8"/>
  <c r="D495" i="8"/>
  <c r="D500" i="8"/>
  <c r="D24" i="8"/>
  <c r="D36" i="8"/>
  <c r="D48" i="8"/>
  <c r="D60" i="8"/>
  <c r="D72" i="8"/>
  <c r="D84" i="8"/>
  <c r="D96" i="8"/>
  <c r="D108" i="8"/>
  <c r="D120" i="8"/>
  <c r="D132" i="8"/>
  <c r="D144" i="8"/>
  <c r="D156" i="8"/>
  <c r="D168" i="8"/>
  <c r="D180" i="8"/>
  <c r="D192" i="8"/>
  <c r="D204" i="8"/>
  <c r="D216" i="8"/>
  <c r="D228" i="8"/>
  <c r="D240" i="8"/>
  <c r="D252" i="8"/>
  <c r="D264" i="8"/>
  <c r="D288" i="8"/>
  <c r="D312" i="8"/>
  <c r="D336" i="8"/>
  <c r="D360" i="8"/>
  <c r="D384" i="8"/>
  <c r="D408" i="8"/>
  <c r="D432" i="8"/>
  <c r="D468" i="8"/>
  <c r="D492" i="8"/>
  <c r="D349" i="8"/>
  <c r="D397" i="8"/>
  <c r="D433" i="8"/>
  <c r="D469" i="8"/>
  <c r="D505" i="8"/>
  <c r="D446" i="8"/>
  <c r="D494" i="8"/>
  <c r="D291" i="8"/>
  <c r="D363" i="8"/>
  <c r="D423" i="8"/>
  <c r="D483" i="8"/>
  <c r="D508" i="8"/>
  <c r="D25" i="8"/>
  <c r="D37" i="8"/>
  <c r="D49" i="8"/>
  <c r="D61" i="8"/>
  <c r="D73" i="8"/>
  <c r="D85" i="8"/>
  <c r="D97" i="8"/>
  <c r="D109" i="8"/>
  <c r="D121" i="8"/>
  <c r="D133" i="8"/>
  <c r="D145" i="8"/>
  <c r="D157" i="8"/>
  <c r="D169" i="8"/>
  <c r="D181" i="8"/>
  <c r="D193" i="8"/>
  <c r="D205" i="8"/>
  <c r="D217" i="8"/>
  <c r="D229" i="8"/>
  <c r="D241" i="8"/>
  <c r="D253" i="8"/>
  <c r="D265" i="8"/>
  <c r="D277" i="8"/>
  <c r="D289" i="8"/>
  <c r="D301" i="8"/>
  <c r="D313" i="8"/>
  <c r="D325" i="8"/>
  <c r="D337" i="8"/>
  <c r="D373" i="8"/>
  <c r="D409" i="8"/>
  <c r="D445" i="8"/>
  <c r="D481" i="8"/>
  <c r="D434" i="8"/>
  <c r="D482" i="8"/>
  <c r="D279" i="8"/>
  <c r="D351" i="8"/>
  <c r="D399" i="8"/>
  <c r="D447" i="8"/>
  <c r="D507" i="8"/>
  <c r="D502" i="8"/>
  <c r="D26" i="8"/>
  <c r="D38" i="8"/>
  <c r="D50" i="8"/>
  <c r="D62" i="8"/>
  <c r="D74" i="8"/>
  <c r="D86" i="8"/>
  <c r="D98" i="8"/>
  <c r="D110" i="8"/>
  <c r="D122" i="8"/>
  <c r="D134" i="8"/>
  <c r="D146" i="8"/>
  <c r="D158" i="8"/>
  <c r="D170" i="8"/>
  <c r="D182" i="8"/>
  <c r="D194" i="8"/>
  <c r="D206" i="8"/>
  <c r="D218" i="8"/>
  <c r="D230" i="8"/>
  <c r="D242" i="8"/>
  <c r="D254" i="8"/>
  <c r="D266" i="8"/>
  <c r="D278" i="8"/>
  <c r="D290" i="8"/>
  <c r="D302" i="8"/>
  <c r="D314" i="8"/>
  <c r="D326" i="8"/>
  <c r="D338" i="8"/>
  <c r="D350" i="8"/>
  <c r="D362" i="8"/>
  <c r="D374" i="8"/>
  <c r="D386" i="8"/>
  <c r="D398" i="8"/>
  <c r="D410" i="8"/>
  <c r="D458" i="8"/>
  <c r="D506" i="8"/>
  <c r="D315" i="8"/>
  <c r="D411" i="8"/>
  <c r="D471" i="8"/>
  <c r="D496" i="8"/>
  <c r="D514" i="8"/>
  <c r="D27" i="8"/>
  <c r="D39" i="8"/>
  <c r="D51" i="8"/>
  <c r="D63" i="8"/>
  <c r="D75" i="8"/>
  <c r="D87" i="8"/>
  <c r="D99" i="8"/>
  <c r="D111" i="8"/>
  <c r="D123" i="8"/>
  <c r="D135" i="8"/>
  <c r="D147" i="8"/>
  <c r="D159" i="8"/>
  <c r="D171" i="8"/>
  <c r="D183" i="8"/>
  <c r="D195" i="8"/>
  <c r="D207" i="8"/>
  <c r="D219" i="8"/>
  <c r="D231" i="8"/>
  <c r="D243" i="8"/>
  <c r="D255" i="8"/>
  <c r="D303" i="8"/>
  <c r="D339" i="8"/>
  <c r="D387" i="8"/>
  <c r="D459" i="8"/>
  <c r="D464" i="8"/>
  <c r="D28" i="8"/>
  <c r="D40" i="8"/>
  <c r="D52" i="8"/>
  <c r="D64" i="8"/>
  <c r="D76" i="8"/>
  <c r="D88" i="8"/>
  <c r="D100" i="8"/>
  <c r="D112" i="8"/>
  <c r="D124" i="8"/>
  <c r="D136" i="8"/>
  <c r="D148" i="8"/>
  <c r="D160" i="8"/>
  <c r="D172" i="8"/>
  <c r="D184" i="8"/>
  <c r="D196" i="8"/>
  <c r="D208" i="8"/>
  <c r="D220" i="8"/>
  <c r="D232" i="8"/>
  <c r="D244" i="8"/>
  <c r="D256" i="8"/>
  <c r="D268" i="8"/>
  <c r="D280" i="8"/>
  <c r="D292" i="8"/>
  <c r="D304" i="8"/>
  <c r="D316" i="8"/>
  <c r="D328" i="8"/>
  <c r="D340" i="8"/>
  <c r="D352" i="8"/>
  <c r="D364" i="8"/>
  <c r="D376" i="8"/>
  <c r="D388" i="8"/>
  <c r="D400" i="8"/>
  <c r="D412" i="8"/>
  <c r="D424" i="8"/>
  <c r="D436" i="8"/>
  <c r="D448" i="8"/>
  <c r="D460" i="8"/>
  <c r="D472" i="8"/>
  <c r="D484" i="8"/>
  <c r="D490" i="8"/>
  <c r="D29" i="8"/>
  <c r="D41" i="8"/>
  <c r="D53" i="8"/>
  <c r="D65" i="8"/>
  <c r="D77" i="8"/>
  <c r="D89" i="8"/>
  <c r="D101" i="8"/>
  <c r="D113" i="8"/>
  <c r="D125" i="8"/>
  <c r="D137" i="8"/>
  <c r="D149" i="8"/>
  <c r="D161" i="8"/>
  <c r="D173" i="8"/>
  <c r="D185" i="8"/>
  <c r="D197" i="8"/>
  <c r="D209" i="8"/>
  <c r="D221" i="8"/>
  <c r="D233" i="8"/>
  <c r="D245" i="8"/>
  <c r="D257" i="8"/>
  <c r="D269" i="8"/>
  <c r="D281" i="8"/>
  <c r="D293" i="8"/>
  <c r="D305" i="8"/>
  <c r="D317" i="8"/>
  <c r="D329" i="8"/>
  <c r="D341" i="8"/>
  <c r="D353" i="8"/>
  <c r="D365" i="8"/>
  <c r="D377" i="8"/>
  <c r="D389" i="8"/>
  <c r="D401" i="8"/>
  <c r="D413" i="8"/>
  <c r="D425" i="8"/>
  <c r="D437" i="8"/>
  <c r="D449" i="8"/>
  <c r="D461" i="8"/>
  <c r="D473" i="8"/>
  <c r="D485" i="8"/>
  <c r="D497" i="8"/>
  <c r="D509" i="8"/>
  <c r="D270" i="8"/>
  <c r="D306" i="8"/>
  <c r="D330" i="8"/>
  <c r="D354" i="8"/>
  <c r="D378" i="8"/>
  <c r="D390" i="8"/>
  <c r="D414" i="8"/>
  <c r="D438" i="8"/>
  <c r="D462" i="8"/>
  <c r="D486" i="8"/>
  <c r="D510" i="8"/>
  <c r="D331" i="8"/>
  <c r="D367" i="8"/>
  <c r="D403" i="8"/>
  <c r="D439" i="8"/>
  <c r="D475" i="8"/>
  <c r="D511" i="8"/>
  <c r="D188" i="8"/>
  <c r="D248" i="8"/>
  <c r="D296" i="8"/>
  <c r="D344" i="8"/>
  <c r="D392" i="8"/>
  <c r="D440" i="8"/>
  <c r="D512" i="8"/>
  <c r="D18" i="8"/>
  <c r="D20" i="8"/>
  <c r="D17" i="8"/>
  <c r="B20" i="18" l="1"/>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17" i="3"/>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703" i="11"/>
  <c r="N704" i="1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754" i="11"/>
  <c r="N755" i="11"/>
  <c r="N756" i="11"/>
  <c r="N757" i="11"/>
  <c r="N758" i="11"/>
  <c r="N759" i="11"/>
  <c r="N760" i="11"/>
  <c r="N761" i="11"/>
  <c r="N762" i="11"/>
  <c r="N763" i="11"/>
  <c r="N764" i="11"/>
  <c r="N765" i="11"/>
  <c r="N766" i="11"/>
  <c r="N767" i="11"/>
  <c r="N768" i="11"/>
  <c r="N769" i="11"/>
  <c r="N770" i="11"/>
  <c r="N771" i="11"/>
  <c r="N772" i="11"/>
  <c r="N773" i="11"/>
  <c r="N774" i="11"/>
  <c r="N775" i="11"/>
  <c r="N776" i="11"/>
  <c r="N777" i="11"/>
  <c r="N778" i="11"/>
  <c r="N779" i="11"/>
  <c r="N780" i="11"/>
  <c r="N781" i="11"/>
  <c r="N782" i="11"/>
  <c r="N783" i="11"/>
  <c r="N784" i="11"/>
  <c r="N785" i="11"/>
  <c r="N786" i="11"/>
  <c r="N787" i="11"/>
  <c r="N788" i="11"/>
  <c r="N789" i="11"/>
  <c r="N790" i="11"/>
  <c r="N791" i="11"/>
  <c r="N792" i="11"/>
  <c r="N793" i="11"/>
  <c r="N794" i="11"/>
  <c r="N795" i="11"/>
  <c r="N796" i="11"/>
  <c r="N797" i="11"/>
  <c r="N798" i="11"/>
  <c r="N799" i="11"/>
  <c r="N800" i="11"/>
  <c r="N801" i="11"/>
  <c r="N802" i="11"/>
  <c r="N803" i="11"/>
  <c r="N804" i="11"/>
  <c r="N805" i="11"/>
  <c r="N806" i="11"/>
  <c r="N807" i="11"/>
  <c r="N808" i="11"/>
  <c r="N809" i="11"/>
  <c r="N810" i="11"/>
  <c r="N811" i="11"/>
  <c r="N812" i="11"/>
  <c r="N813" i="11"/>
  <c r="N814" i="11"/>
  <c r="N815" i="11"/>
  <c r="N816" i="11"/>
  <c r="N817" i="11"/>
  <c r="N818" i="11"/>
  <c r="N819" i="11"/>
  <c r="N820" i="11"/>
  <c r="N821" i="11"/>
  <c r="N822" i="11"/>
  <c r="N823" i="11"/>
  <c r="N824" i="11"/>
  <c r="N825" i="11"/>
  <c r="N826" i="11"/>
  <c r="N827" i="11"/>
  <c r="N828" i="11"/>
  <c r="N829" i="11"/>
  <c r="N830" i="11"/>
  <c r="N831" i="11"/>
  <c r="N832" i="11"/>
  <c r="N833" i="11"/>
  <c r="N834" i="11"/>
  <c r="N835" i="11"/>
  <c r="N836" i="11"/>
  <c r="N837" i="11"/>
  <c r="N838" i="11"/>
  <c r="N839" i="11"/>
  <c r="N840" i="11"/>
  <c r="N841" i="11"/>
  <c r="N842" i="11"/>
  <c r="N843" i="11"/>
  <c r="N844" i="11"/>
  <c r="N845" i="11"/>
  <c r="N846" i="11"/>
  <c r="N847" i="11"/>
  <c r="N848" i="11"/>
  <c r="N849" i="11"/>
  <c r="N850" i="11"/>
  <c r="N851" i="11"/>
  <c r="N852" i="11"/>
  <c r="N853" i="11"/>
  <c r="N854" i="11"/>
  <c r="N855" i="11"/>
  <c r="N856" i="11"/>
  <c r="N857" i="11"/>
  <c r="N858" i="11"/>
  <c r="N859" i="11"/>
  <c r="N860" i="11"/>
  <c r="N861" i="11"/>
  <c r="N862" i="11"/>
  <c r="N863" i="11"/>
  <c r="N864" i="11"/>
  <c r="N865" i="11"/>
  <c r="N866" i="11"/>
  <c r="N867" i="11"/>
  <c r="N868" i="11"/>
  <c r="N869" i="11"/>
  <c r="N870" i="11"/>
  <c r="N871" i="11"/>
  <c r="N872" i="11"/>
  <c r="N873" i="11"/>
  <c r="N874" i="11"/>
  <c r="N875" i="11"/>
  <c r="N876" i="11"/>
  <c r="N877" i="11"/>
  <c r="N878" i="11"/>
  <c r="N879" i="11"/>
  <c r="N880" i="11"/>
  <c r="N881" i="11"/>
  <c r="N882" i="11"/>
  <c r="N883" i="11"/>
  <c r="N884" i="11"/>
  <c r="N885" i="11"/>
  <c r="N886" i="11"/>
  <c r="N887" i="11"/>
  <c r="N888" i="11"/>
  <c r="N889" i="11"/>
  <c r="N890" i="11"/>
  <c r="N891" i="11"/>
  <c r="N892" i="11"/>
  <c r="N893" i="11"/>
  <c r="N894" i="11"/>
  <c r="N895" i="11"/>
  <c r="N896" i="11"/>
  <c r="N897" i="11"/>
  <c r="N898" i="11"/>
  <c r="N899" i="11"/>
  <c r="N900" i="11"/>
  <c r="N901" i="11"/>
  <c r="N902" i="11"/>
  <c r="N903" i="11"/>
  <c r="N904" i="11"/>
  <c r="N905" i="11"/>
  <c r="N906" i="11"/>
  <c r="N907" i="11"/>
  <c r="N908" i="11"/>
  <c r="N909" i="11"/>
  <c r="N910" i="11"/>
  <c r="N911" i="11"/>
  <c r="N912" i="11"/>
  <c r="N913" i="11"/>
  <c r="N914" i="11"/>
  <c r="N915" i="11"/>
  <c r="N916" i="11"/>
  <c r="N917" i="11"/>
  <c r="N918" i="11"/>
  <c r="N919" i="11"/>
  <c r="N920" i="11"/>
  <c r="N921" i="11"/>
  <c r="N922" i="11"/>
  <c r="N923" i="11"/>
  <c r="N924" i="11"/>
  <c r="N925" i="11"/>
  <c r="N926" i="11"/>
  <c r="N927" i="11"/>
  <c r="N928" i="11"/>
  <c r="N929" i="11"/>
  <c r="N930" i="11"/>
  <c r="N931" i="11"/>
  <c r="N932" i="11"/>
  <c r="N933" i="11"/>
  <c r="N934" i="11"/>
  <c r="N935" i="11"/>
  <c r="N936" i="11"/>
  <c r="N937" i="11"/>
  <c r="N938" i="11"/>
  <c r="N939" i="11"/>
  <c r="N940" i="11"/>
  <c r="N941" i="11"/>
  <c r="N942" i="11"/>
  <c r="N943" i="11"/>
  <c r="N944" i="11"/>
  <c r="N945" i="11"/>
  <c r="N946" i="11"/>
  <c r="N947" i="11"/>
  <c r="N948" i="11"/>
  <c r="N949" i="11"/>
  <c r="N950" i="11"/>
  <c r="N951" i="11"/>
  <c r="N952" i="11"/>
  <c r="N953" i="11"/>
  <c r="N954" i="11"/>
  <c r="N955" i="11"/>
  <c r="N956" i="11"/>
  <c r="N957" i="11"/>
  <c r="N958" i="11"/>
  <c r="N959" i="11"/>
  <c r="N960" i="11"/>
  <c r="N961" i="11"/>
  <c r="N962" i="11"/>
  <c r="N963" i="11"/>
  <c r="N964" i="11"/>
  <c r="N965" i="11"/>
  <c r="N966" i="11"/>
  <c r="N967" i="11"/>
  <c r="N968" i="11"/>
  <c r="N969" i="11"/>
  <c r="N970" i="11"/>
  <c r="N971" i="11"/>
  <c r="N972" i="11"/>
  <c r="N973" i="11"/>
  <c r="N974" i="11"/>
  <c r="N975" i="11"/>
  <c r="N976" i="11"/>
  <c r="N977" i="11"/>
  <c r="N978" i="11"/>
  <c r="N979" i="11"/>
  <c r="N980" i="11"/>
  <c r="N981" i="11"/>
  <c r="N982" i="11"/>
  <c r="N983" i="11"/>
  <c r="N984" i="11"/>
  <c r="N985" i="11"/>
  <c r="N986" i="11"/>
  <c r="N987" i="11"/>
  <c r="N988" i="11"/>
  <c r="N989" i="11"/>
  <c r="N990" i="11"/>
  <c r="N991" i="11"/>
  <c r="N992" i="11"/>
  <c r="N993" i="11"/>
  <c r="N994" i="11"/>
  <c r="N995" i="11"/>
  <c r="N996" i="11"/>
  <c r="N997" i="11"/>
  <c r="N998" i="11"/>
  <c r="N999" i="11"/>
  <c r="N1000" i="11"/>
  <c r="N1001" i="11"/>
  <c r="N1002" i="11"/>
  <c r="N1003" i="11"/>
  <c r="N1004" i="11"/>
  <c r="N1005" i="11"/>
  <c r="N1006" i="11"/>
  <c r="N1007" i="11"/>
  <c r="N1008" i="11"/>
  <c r="N1009" i="11"/>
  <c r="N1010" i="11"/>
  <c r="N1011" i="11"/>
  <c r="N1012" i="11"/>
  <c r="N1013" i="11"/>
  <c r="N1014" i="11"/>
  <c r="N1015" i="11"/>
  <c r="N1016" i="11"/>
  <c r="N1017" i="11"/>
  <c r="N1018" i="11"/>
  <c r="N1019" i="11"/>
  <c r="N1020" i="11"/>
  <c r="N1021" i="11"/>
  <c r="N1022" i="11"/>
  <c r="N1023" i="11"/>
  <c r="N1024" i="11"/>
  <c r="N1025" i="11"/>
  <c r="N1026" i="11"/>
  <c r="N1027" i="11"/>
  <c r="N1028" i="11"/>
  <c r="N1029" i="11"/>
  <c r="N1030" i="11"/>
  <c r="N1031" i="11"/>
  <c r="N1032" i="11"/>
  <c r="N1033" i="11"/>
  <c r="N1034" i="11"/>
  <c r="N1035" i="11"/>
  <c r="N1036" i="11"/>
  <c r="N1037" i="11"/>
  <c r="N1038" i="11"/>
  <c r="N1039" i="11"/>
  <c r="N1040" i="11"/>
  <c r="N1041" i="11"/>
  <c r="N1042" i="11"/>
  <c r="N1043" i="11"/>
  <c r="N1044" i="11"/>
  <c r="N1045" i="11"/>
  <c r="N1046" i="11"/>
  <c r="N1047" i="11"/>
  <c r="N1048" i="11"/>
  <c r="N1049" i="11"/>
  <c r="N1050" i="11"/>
  <c r="N1051" i="11"/>
  <c r="N1052" i="11"/>
  <c r="N1053" i="11"/>
  <c r="N1054" i="11"/>
  <c r="N1055" i="11"/>
  <c r="N1056" i="11"/>
  <c r="N1057" i="11"/>
  <c r="N1058" i="11"/>
  <c r="N1059" i="11"/>
  <c r="N1060" i="11"/>
  <c r="N1061" i="11"/>
  <c r="N1062" i="11"/>
  <c r="N1063" i="11"/>
  <c r="N1064" i="11"/>
  <c r="N1065" i="11"/>
  <c r="N1066" i="11"/>
  <c r="N1067" i="11"/>
  <c r="N1068" i="11"/>
  <c r="N1069" i="11"/>
  <c r="N1070" i="11"/>
  <c r="N1071" i="11"/>
  <c r="N1072" i="11"/>
  <c r="N1073" i="11"/>
  <c r="N1074" i="11"/>
  <c r="N1075" i="11"/>
  <c r="N1076" i="11"/>
  <c r="N1077" i="11"/>
  <c r="N1078" i="11"/>
  <c r="N1079" i="11"/>
  <c r="N1080" i="11"/>
  <c r="N1081" i="11"/>
  <c r="N1082" i="11"/>
  <c r="N1083" i="11"/>
  <c r="N1084" i="11"/>
  <c r="N1085" i="11"/>
  <c r="N1086" i="11"/>
  <c r="N1087" i="11"/>
  <c r="N1088" i="11"/>
  <c r="N1089" i="11"/>
  <c r="N1090" i="11"/>
  <c r="N1091" i="11"/>
  <c r="N1092" i="11"/>
  <c r="N1093" i="11"/>
  <c r="N1094" i="11"/>
  <c r="N1095" i="11"/>
  <c r="N1096" i="11"/>
  <c r="N1097" i="11"/>
  <c r="N1098" i="11"/>
  <c r="N1099" i="11"/>
  <c r="N1100" i="11"/>
  <c r="N1101" i="11"/>
  <c r="N1102" i="11"/>
  <c r="N1103" i="11"/>
  <c r="N1104" i="11"/>
  <c r="N1105" i="11"/>
  <c r="N1106" i="11"/>
  <c r="N1107" i="11"/>
  <c r="N1108" i="11"/>
  <c r="N1109" i="11"/>
  <c r="N1110" i="11"/>
  <c r="N1111" i="11"/>
  <c r="N1112" i="11"/>
  <c r="N1113" i="11"/>
  <c r="N1114" i="11"/>
  <c r="N1115" i="11"/>
  <c r="N1116" i="11"/>
  <c r="N1117" i="11"/>
  <c r="N1118" i="11"/>
  <c r="N1119" i="11"/>
  <c r="N1120" i="11"/>
  <c r="N1121" i="11"/>
  <c r="N1122" i="11"/>
  <c r="N1123" i="11"/>
  <c r="N1124" i="11"/>
  <c r="N1125" i="11"/>
  <c r="N1126" i="11"/>
  <c r="N1127" i="11"/>
  <c r="N1128" i="11"/>
  <c r="N1129" i="11"/>
  <c r="N1130" i="11"/>
  <c r="N1131" i="11"/>
  <c r="N1132" i="11"/>
  <c r="N1133" i="11"/>
  <c r="N1134" i="11"/>
  <c r="N1135" i="11"/>
  <c r="N1136" i="11"/>
  <c r="N1137" i="11"/>
  <c r="N1138" i="11"/>
  <c r="N1139" i="11"/>
  <c r="N1140" i="11"/>
  <c r="N1141" i="11"/>
  <c r="N1142" i="11"/>
  <c r="N1143" i="11"/>
  <c r="N1144" i="11"/>
  <c r="N1145" i="11"/>
  <c r="N1146" i="11"/>
  <c r="N1147" i="11"/>
  <c r="N1148" i="11"/>
  <c r="N1149" i="11"/>
  <c r="N1150" i="11"/>
  <c r="N1151" i="11"/>
  <c r="N1152" i="11"/>
  <c r="N1153" i="11"/>
  <c r="N1154" i="11"/>
  <c r="N1155" i="11"/>
  <c r="N1156" i="11"/>
  <c r="N1157" i="11"/>
  <c r="N1158" i="11"/>
  <c r="N1159" i="11"/>
  <c r="N1160" i="11"/>
  <c r="N1161" i="11"/>
  <c r="N1162" i="11"/>
  <c r="N1163" i="11"/>
  <c r="N1164" i="11"/>
  <c r="N1165" i="11"/>
  <c r="N1166" i="11"/>
  <c r="N1167" i="11"/>
  <c r="N1168" i="11"/>
  <c r="N1169" i="11"/>
  <c r="N1170" i="11"/>
  <c r="N1171" i="11"/>
  <c r="N1172" i="11"/>
  <c r="N1173" i="11"/>
  <c r="N1174" i="11"/>
  <c r="N1175" i="11"/>
  <c r="N1176" i="11"/>
  <c r="N1177" i="11"/>
  <c r="N1178" i="11"/>
  <c r="N1179" i="11"/>
  <c r="N1180" i="11"/>
  <c r="N1181" i="11"/>
  <c r="N1182" i="11"/>
  <c r="N1183" i="11"/>
  <c r="N1184" i="11"/>
  <c r="N1185" i="11"/>
  <c r="N1186" i="11"/>
  <c r="N1187" i="11"/>
  <c r="N1188" i="11"/>
  <c r="N1189" i="11"/>
  <c r="N1190" i="11"/>
  <c r="N1191" i="11"/>
  <c r="N1192" i="11"/>
  <c r="N1193" i="11"/>
  <c r="N1194" i="11"/>
  <c r="N1195" i="11"/>
  <c r="N1196" i="11"/>
  <c r="N1197" i="11"/>
  <c r="N1198" i="11"/>
  <c r="N1199" i="11"/>
  <c r="N1200" i="11"/>
  <c r="N1201" i="11"/>
  <c r="N1202" i="11"/>
  <c r="N1203" i="11"/>
  <c r="N1204" i="11"/>
  <c r="N1205" i="11"/>
  <c r="N1206" i="11"/>
  <c r="N1207" i="11"/>
  <c r="N1208" i="11"/>
  <c r="N1209" i="11"/>
  <c r="N1210" i="11"/>
  <c r="N1211" i="11"/>
  <c r="N1212" i="11"/>
  <c r="N1213" i="11"/>
  <c r="N1214" i="11"/>
  <c r="N1215" i="11"/>
  <c r="N1216" i="11"/>
  <c r="N1217" i="11"/>
  <c r="N1218" i="11"/>
  <c r="N1219" i="11"/>
  <c r="N1220" i="11"/>
  <c r="N1221" i="11"/>
  <c r="N1222" i="11"/>
  <c r="N1223" i="11"/>
  <c r="N1224" i="11"/>
  <c r="N1225" i="11"/>
  <c r="N1226" i="11"/>
  <c r="N1227" i="11"/>
  <c r="N1228" i="11"/>
  <c r="N1229" i="11"/>
  <c r="N1230" i="11"/>
  <c r="N1231" i="11"/>
  <c r="N1232" i="11"/>
  <c r="N1233" i="11"/>
  <c r="N1234" i="11"/>
  <c r="N1235" i="11"/>
  <c r="N1236" i="11"/>
  <c r="N1237" i="11"/>
  <c r="N1238" i="11"/>
  <c r="N1239" i="11"/>
  <c r="N1240" i="11"/>
  <c r="N1241" i="11"/>
  <c r="N1242" i="11"/>
  <c r="N1243" i="11"/>
  <c r="N1244" i="11"/>
  <c r="N1245" i="11"/>
  <c r="N1246" i="11"/>
  <c r="N1247" i="11"/>
  <c r="N1248" i="11"/>
  <c r="N1249" i="11"/>
  <c r="N1250" i="11"/>
  <c r="N1251" i="11"/>
  <c r="N1252" i="11"/>
  <c r="N1253" i="11"/>
  <c r="N1254" i="11"/>
  <c r="N1255" i="11"/>
  <c r="N1256" i="11"/>
  <c r="N1257" i="11"/>
  <c r="N1258" i="11"/>
  <c r="N1259" i="11"/>
  <c r="N1260" i="11"/>
  <c r="N1261" i="11"/>
  <c r="N1262" i="11"/>
  <c r="N1263" i="11"/>
  <c r="N1264" i="11"/>
  <c r="N1265" i="11"/>
  <c r="N1266" i="11"/>
  <c r="N1267" i="11"/>
  <c r="N1268" i="11"/>
  <c r="N1269" i="11"/>
  <c r="N1270" i="11"/>
  <c r="N1271" i="11"/>
  <c r="N1272" i="11"/>
  <c r="N1273" i="11"/>
  <c r="N1274" i="11"/>
  <c r="N1275" i="11"/>
  <c r="N1276" i="11"/>
  <c r="N1277" i="11"/>
  <c r="N1278" i="11"/>
  <c r="N1279" i="11"/>
  <c r="N1280" i="11"/>
  <c r="N1281" i="11"/>
  <c r="N1282" i="11"/>
  <c r="N1283" i="11"/>
  <c r="N1284" i="11"/>
  <c r="N1285" i="11"/>
  <c r="N1286" i="11"/>
  <c r="N1287" i="11"/>
  <c r="N1288" i="11"/>
  <c r="N1289" i="11"/>
  <c r="N1290" i="11"/>
  <c r="N1291" i="11"/>
  <c r="N1292" i="11"/>
  <c r="N1293" i="11"/>
  <c r="N1294" i="11"/>
  <c r="N1295" i="11"/>
  <c r="N1296" i="11"/>
  <c r="N1297" i="11"/>
  <c r="N1298" i="11"/>
  <c r="N1299" i="11"/>
  <c r="N1300" i="11"/>
  <c r="N1301" i="11"/>
  <c r="N1302" i="11"/>
  <c r="N1303" i="11"/>
  <c r="N1304" i="11"/>
  <c r="N1305" i="11"/>
  <c r="N1306" i="11"/>
  <c r="N1307" i="11"/>
  <c r="N1308" i="11"/>
  <c r="N1309" i="11"/>
  <c r="N1310" i="11"/>
  <c r="N1311" i="11"/>
  <c r="N1312" i="11"/>
  <c r="N1313" i="11"/>
  <c r="N1314" i="11"/>
  <c r="N1315" i="11"/>
  <c r="N1316" i="11"/>
  <c r="N1317" i="11"/>
  <c r="N1318" i="11"/>
  <c r="N1319" i="11"/>
  <c r="N1320" i="11"/>
  <c r="N1321" i="11"/>
  <c r="N1322" i="11"/>
  <c r="N1323" i="11"/>
  <c r="N1324" i="11"/>
  <c r="N1325" i="11"/>
  <c r="N1326" i="11"/>
  <c r="N1327" i="11"/>
  <c r="N1328" i="11"/>
  <c r="N1329" i="11"/>
  <c r="N1330" i="11"/>
  <c r="N1331" i="11"/>
  <c r="N1332" i="11"/>
  <c r="N1333" i="11"/>
  <c r="N1334" i="11"/>
  <c r="N1335" i="11"/>
  <c r="N1336" i="11"/>
  <c r="N1337" i="11"/>
  <c r="N1338" i="11"/>
  <c r="N1339" i="11"/>
  <c r="N1340" i="11"/>
  <c r="N1341" i="11"/>
  <c r="N1342" i="11"/>
  <c r="N1343" i="11"/>
  <c r="N1344" i="11"/>
  <c r="N1345" i="11"/>
  <c r="N1346" i="11"/>
  <c r="N1347" i="11"/>
  <c r="N1348" i="11"/>
  <c r="N1349" i="11"/>
  <c r="N1350" i="11"/>
  <c r="N1351" i="11"/>
  <c r="N1352" i="11"/>
  <c r="N1353" i="11"/>
  <c r="N1354" i="11"/>
  <c r="N1355" i="11"/>
  <c r="N1356" i="11"/>
  <c r="N1357" i="11"/>
  <c r="N1358" i="11"/>
  <c r="N1359" i="11"/>
  <c r="N1360" i="11"/>
  <c r="N1361" i="11"/>
  <c r="N1362" i="11"/>
  <c r="N1363" i="11"/>
  <c r="N1364" i="11"/>
  <c r="N1365" i="11"/>
  <c r="N1366" i="11"/>
  <c r="N1367" i="11"/>
  <c r="N1368" i="11"/>
  <c r="N1369" i="11"/>
  <c r="N1370" i="11"/>
  <c r="N1371" i="11"/>
  <c r="N1372" i="11"/>
  <c r="N1373" i="11"/>
  <c r="N1374" i="11"/>
  <c r="N1375" i="11"/>
  <c r="N1376" i="11"/>
  <c r="N1377" i="11"/>
  <c r="N1378" i="11"/>
  <c r="N1379" i="11"/>
  <c r="N1380" i="11"/>
  <c r="N1381" i="11"/>
  <c r="N1382" i="11"/>
  <c r="N1383" i="11"/>
  <c r="N1384" i="11"/>
  <c r="N1385" i="11"/>
  <c r="N1386" i="11"/>
  <c r="N1387" i="11"/>
  <c r="N1388" i="11"/>
  <c r="N1389" i="11"/>
  <c r="N1390" i="11"/>
  <c r="N1391" i="11"/>
  <c r="N1392" i="11"/>
  <c r="N1393" i="11"/>
  <c r="N1394" i="11"/>
  <c r="N1395" i="11"/>
  <c r="N1396" i="11"/>
  <c r="N1397" i="11"/>
  <c r="N1398" i="11"/>
  <c r="N1399" i="11"/>
  <c r="N1400" i="11"/>
  <c r="N1401" i="11"/>
  <c r="N1402" i="11"/>
  <c r="N1403" i="11"/>
  <c r="N1404" i="11"/>
  <c r="N1405" i="11"/>
  <c r="N1406" i="11"/>
  <c r="N1407" i="11"/>
  <c r="N1408" i="11"/>
  <c r="N1409" i="11"/>
  <c r="N1410" i="11"/>
  <c r="N1411" i="11"/>
  <c r="N1412" i="11"/>
  <c r="N1413" i="11"/>
  <c r="N1414" i="11"/>
  <c r="N1415" i="11"/>
  <c r="N1416" i="11"/>
  <c r="N1417" i="11"/>
  <c r="N1418" i="11"/>
  <c r="N1419" i="11"/>
  <c r="N1420" i="11"/>
  <c r="N1421" i="11"/>
  <c r="N1422" i="11"/>
  <c r="N1423" i="11"/>
  <c r="N1424" i="11"/>
  <c r="N1425" i="11"/>
  <c r="N1426" i="11"/>
  <c r="N1427" i="11"/>
  <c r="N1428" i="11"/>
  <c r="N1429" i="11"/>
  <c r="N1430" i="11"/>
  <c r="N1431" i="11"/>
  <c r="N1432" i="11"/>
  <c r="N1433" i="11"/>
  <c r="N1434" i="11"/>
  <c r="N1435" i="11"/>
  <c r="N1436" i="11"/>
  <c r="N1437" i="11"/>
  <c r="N1438" i="11"/>
  <c r="N1439" i="11"/>
  <c r="N1440" i="11"/>
  <c r="N1441" i="11"/>
  <c r="N1442" i="11"/>
  <c r="N1443" i="11"/>
  <c r="N1444" i="11"/>
  <c r="N1445" i="11"/>
  <c r="N1446" i="11"/>
  <c r="N1447" i="11"/>
  <c r="N1448" i="11"/>
  <c r="N1449" i="11"/>
  <c r="N1450" i="11"/>
  <c r="N1451" i="11"/>
  <c r="N1452" i="11"/>
  <c r="N1453" i="11"/>
  <c r="N1454" i="11"/>
  <c r="N1455" i="11"/>
  <c r="N1456" i="11"/>
  <c r="N1457" i="11"/>
  <c r="N1458" i="11"/>
  <c r="N1459" i="11"/>
  <c r="N1460" i="11"/>
  <c r="N1461" i="11"/>
  <c r="N1462" i="11"/>
  <c r="N1463" i="11"/>
  <c r="N1464" i="11"/>
  <c r="N1465" i="11"/>
  <c r="N1466" i="11"/>
  <c r="N1467" i="11"/>
  <c r="N1468" i="11"/>
  <c r="N1469" i="11"/>
  <c r="N1470" i="11"/>
  <c r="N1471" i="11"/>
  <c r="N1472" i="11"/>
  <c r="N1473" i="11"/>
  <c r="N1474" i="11"/>
  <c r="N1475" i="11"/>
  <c r="N1476" i="11"/>
  <c r="N1477" i="11"/>
  <c r="N1478" i="11"/>
  <c r="N1479" i="11"/>
  <c r="N1480" i="11"/>
  <c r="N1481" i="11"/>
  <c r="N1482" i="11"/>
  <c r="N1483" i="11"/>
  <c r="N1484" i="11"/>
  <c r="N1485" i="11"/>
  <c r="N1486" i="11"/>
  <c r="N1487" i="11"/>
  <c r="N1488" i="11"/>
  <c r="N1489" i="11"/>
  <c r="N1490" i="11"/>
  <c r="N1491" i="11"/>
  <c r="N1492" i="11"/>
  <c r="N1493" i="11"/>
  <c r="N1494" i="11"/>
  <c r="N1495" i="11"/>
  <c r="N1496" i="11"/>
  <c r="N1497" i="11"/>
  <c r="N1498" i="11"/>
  <c r="N1499" i="11"/>
  <c r="N1500" i="11"/>
  <c r="N1501" i="11"/>
  <c r="N1502" i="11"/>
  <c r="N1503" i="11"/>
  <c r="N1504" i="11"/>
  <c r="N1505" i="11"/>
  <c r="N1506" i="11"/>
  <c r="N1507" i="11"/>
  <c r="N1508" i="11"/>
  <c r="N1509" i="11"/>
  <c r="N1510" i="11"/>
  <c r="N1511" i="11"/>
  <c r="N1512" i="11"/>
  <c r="N1513" i="11"/>
  <c r="N1514" i="11"/>
  <c r="N1515" i="11"/>
  <c r="N1516" i="11"/>
  <c r="N1517" i="11"/>
  <c r="N1518" i="11"/>
  <c r="N1519" i="11"/>
  <c r="N1520" i="11"/>
  <c r="N1521" i="11"/>
  <c r="N1522" i="11"/>
  <c r="N1523" i="11"/>
  <c r="N1524" i="11"/>
  <c r="N1525" i="11"/>
  <c r="N1526" i="11"/>
  <c r="N1527" i="11"/>
  <c r="N1528" i="11"/>
  <c r="N1529" i="11"/>
  <c r="N1530" i="11"/>
  <c r="N1531" i="11"/>
  <c r="N1532" i="11"/>
  <c r="N1533" i="11"/>
  <c r="N1534" i="11"/>
  <c r="N1535" i="11"/>
  <c r="N1536" i="11"/>
  <c r="N1537" i="11"/>
  <c r="N1538" i="11"/>
  <c r="N1539" i="11"/>
  <c r="N1540" i="11"/>
  <c r="N1541" i="11"/>
  <c r="N1542" i="11"/>
  <c r="N1543" i="11"/>
  <c r="N1544" i="11"/>
  <c r="N1545" i="11"/>
  <c r="N1546" i="11"/>
  <c r="N1547" i="11"/>
  <c r="N1548" i="11"/>
  <c r="N1549" i="11"/>
  <c r="N1550" i="11"/>
  <c r="N1551" i="11"/>
  <c r="N1552" i="11"/>
  <c r="N1553" i="11"/>
  <c r="N1554" i="11"/>
  <c r="N1555" i="11"/>
  <c r="N1556" i="11"/>
  <c r="N1557" i="11"/>
  <c r="N1558" i="11"/>
  <c r="N1559" i="11"/>
  <c r="N1560" i="11"/>
  <c r="N1561" i="11"/>
  <c r="N1562" i="11"/>
  <c r="N1563" i="11"/>
  <c r="N1564" i="11"/>
  <c r="N1565" i="11"/>
  <c r="N1566" i="11"/>
  <c r="N1567" i="11"/>
  <c r="N1568" i="11"/>
  <c r="N1569" i="11"/>
  <c r="N1570" i="11"/>
  <c r="N1571" i="11"/>
  <c r="N1572" i="11"/>
  <c r="N1573" i="11"/>
  <c r="N1574" i="11"/>
  <c r="N1575" i="11"/>
  <c r="N1576" i="11"/>
  <c r="N1577" i="11"/>
  <c r="N1578" i="11"/>
  <c r="N1579" i="11"/>
  <c r="N1580" i="11"/>
  <c r="N1581" i="11"/>
  <c r="N1582" i="11"/>
  <c r="N1583" i="11"/>
  <c r="N1584" i="11"/>
  <c r="N1585" i="11"/>
  <c r="N1586" i="11"/>
  <c r="N1587" i="11"/>
  <c r="N1588" i="11"/>
  <c r="N1589" i="11"/>
  <c r="N1590" i="11"/>
  <c r="N1591" i="11"/>
  <c r="N1592" i="11"/>
  <c r="N1593" i="11"/>
  <c r="N1594" i="11"/>
  <c r="N1595" i="11"/>
  <c r="N1596" i="11"/>
  <c r="N1597" i="11"/>
  <c r="N1598" i="11"/>
  <c r="N1599" i="11"/>
  <c r="N1600" i="11"/>
  <c r="N1601" i="11"/>
  <c r="N1602" i="11"/>
  <c r="N1603" i="11"/>
  <c r="N1604" i="11"/>
  <c r="N1605" i="11"/>
  <c r="N1606" i="11"/>
  <c r="N1607" i="11"/>
  <c r="N1608" i="11"/>
  <c r="N1609" i="11"/>
  <c r="N1610" i="11"/>
  <c r="N1611" i="11"/>
  <c r="N1612" i="11"/>
  <c r="N1613" i="11"/>
  <c r="N1614" i="11"/>
  <c r="N1615" i="11"/>
  <c r="N1616" i="11"/>
  <c r="N1617" i="11"/>
  <c r="N1618" i="11"/>
  <c r="N1619" i="11"/>
  <c r="N1620" i="11"/>
  <c r="N1621" i="11"/>
  <c r="N1622" i="11"/>
  <c r="N1623" i="11"/>
  <c r="N1624" i="11"/>
  <c r="N1625" i="11"/>
  <c r="N1626" i="11"/>
  <c r="N1627" i="11"/>
  <c r="N1628" i="11"/>
  <c r="N1629" i="11"/>
  <c r="N1630" i="11"/>
  <c r="N1631" i="11"/>
  <c r="N1632" i="11"/>
  <c r="N1633" i="11"/>
  <c r="N1634" i="11"/>
  <c r="N1635" i="11"/>
  <c r="N1636" i="11"/>
  <c r="N1637" i="11"/>
  <c r="N1638" i="11"/>
  <c r="N1639" i="11"/>
  <c r="N1640" i="11"/>
  <c r="N1641" i="11"/>
  <c r="N1642" i="11"/>
  <c r="N1643" i="11"/>
  <c r="N1644" i="11"/>
  <c r="N1645" i="11"/>
  <c r="N1646" i="11"/>
  <c r="N1647" i="11"/>
  <c r="N1648" i="11"/>
  <c r="N1649" i="11"/>
  <c r="N1650" i="11"/>
  <c r="N1651" i="11"/>
  <c r="N1652" i="11"/>
  <c r="N1653" i="11"/>
  <c r="N1654" i="11"/>
  <c r="N1655" i="11"/>
  <c r="N1656" i="11"/>
  <c r="N1657" i="11"/>
  <c r="N1658" i="11"/>
  <c r="N1659" i="11"/>
  <c r="N1660" i="11"/>
  <c r="N1661" i="11"/>
  <c r="N1662" i="11"/>
  <c r="N1663" i="11"/>
  <c r="N1664" i="11"/>
  <c r="N1665" i="11"/>
  <c r="N1666" i="11"/>
  <c r="N1667" i="11"/>
  <c r="N1668" i="11"/>
  <c r="N1669" i="11"/>
  <c r="N1670" i="11"/>
  <c r="N1671" i="11"/>
  <c r="N1672" i="11"/>
  <c r="N1673" i="11"/>
  <c r="N1674" i="11"/>
  <c r="N1675" i="11"/>
  <c r="N1676" i="11"/>
  <c r="N1677" i="11"/>
  <c r="N1678" i="11"/>
  <c r="N1679" i="11"/>
  <c r="N1680" i="11"/>
  <c r="N1681" i="11"/>
  <c r="N1682" i="11"/>
  <c r="N1683" i="11"/>
  <c r="N1684" i="11"/>
  <c r="N1685" i="11"/>
  <c r="N1686" i="11"/>
  <c r="N1687" i="11"/>
  <c r="N1688" i="11"/>
  <c r="N1689" i="11"/>
  <c r="N1690" i="11"/>
  <c r="N1691" i="11"/>
  <c r="N1692" i="11"/>
  <c r="N1693" i="11"/>
  <c r="N1694" i="11"/>
  <c r="N1695" i="11"/>
  <c r="N1696" i="11"/>
  <c r="N1697" i="11"/>
  <c r="N1698" i="11"/>
  <c r="N1699" i="11"/>
  <c r="N1700" i="11"/>
  <c r="N1701" i="11"/>
  <c r="N1702" i="11"/>
  <c r="N1703" i="11"/>
  <c r="N1704" i="11"/>
  <c r="N1705" i="11"/>
  <c r="N1706" i="11"/>
  <c r="N1707" i="11"/>
  <c r="N1708" i="11"/>
  <c r="N1709" i="11"/>
  <c r="N1710" i="11"/>
  <c r="N1711" i="11"/>
  <c r="N1712" i="11"/>
  <c r="N1713" i="11"/>
  <c r="N1714" i="11"/>
  <c r="N1715" i="11"/>
  <c r="N1716" i="11"/>
  <c r="N1717" i="11"/>
  <c r="N1718" i="11"/>
  <c r="N1719" i="11"/>
  <c r="N1720" i="11"/>
  <c r="N1721" i="11"/>
  <c r="N1722" i="11"/>
  <c r="N1723" i="11"/>
  <c r="N1724" i="11"/>
  <c r="N1725" i="11"/>
  <c r="N1726" i="11"/>
  <c r="N1727" i="11"/>
  <c r="N1728" i="11"/>
  <c r="N1729" i="11"/>
  <c r="N1730" i="11"/>
  <c r="N1731" i="11"/>
  <c r="N1732" i="11"/>
  <c r="N1733" i="11"/>
  <c r="N1734" i="11"/>
  <c r="N1735" i="11"/>
  <c r="N1736" i="11"/>
  <c r="N1737" i="11"/>
  <c r="N1738" i="11"/>
  <c r="N1739" i="11"/>
  <c r="N1740" i="11"/>
  <c r="N1741" i="11"/>
  <c r="N1742" i="11"/>
  <c r="N1743" i="11"/>
  <c r="N1744" i="11"/>
  <c r="N1745" i="11"/>
  <c r="N1746" i="11"/>
  <c r="N1747" i="11"/>
  <c r="N1748" i="11"/>
  <c r="N1749" i="11"/>
  <c r="N1750" i="11"/>
  <c r="N1751" i="11"/>
  <c r="N1752" i="11"/>
  <c r="N1753" i="11"/>
  <c r="N1754" i="11"/>
  <c r="N1755" i="11"/>
  <c r="N1756" i="11"/>
  <c r="N1757" i="11"/>
  <c r="N1758" i="11"/>
  <c r="N1759" i="11"/>
  <c r="N1760" i="11"/>
  <c r="N1761" i="11"/>
  <c r="N1762" i="11"/>
  <c r="N1763" i="11"/>
  <c r="N1764" i="11"/>
  <c r="N1765" i="11"/>
  <c r="N1766" i="11"/>
  <c r="N1767" i="11"/>
  <c r="N1768" i="11"/>
  <c r="N1769" i="11"/>
  <c r="N1770" i="11"/>
  <c r="N1771" i="11"/>
  <c r="N1772" i="11"/>
  <c r="N1773" i="11"/>
  <c r="N1774" i="11"/>
  <c r="N1775" i="11"/>
  <c r="N1776" i="11"/>
  <c r="N1777" i="11"/>
  <c r="N1778" i="11"/>
  <c r="N1779" i="11"/>
  <c r="N1780" i="11"/>
  <c r="N1781" i="11"/>
  <c r="N1782" i="11"/>
  <c r="N1783" i="11"/>
  <c r="N1784" i="11"/>
  <c r="N1785" i="11"/>
  <c r="N1786" i="11"/>
  <c r="N1787" i="11"/>
  <c r="N1788" i="11"/>
  <c r="N1789" i="11"/>
  <c r="N1790" i="11"/>
  <c r="N1791" i="11"/>
  <c r="N1792" i="11"/>
  <c r="N1793" i="11"/>
  <c r="N1794" i="11"/>
  <c r="N1795" i="11"/>
  <c r="N1796" i="11"/>
  <c r="N1797" i="11"/>
  <c r="N1798" i="11"/>
  <c r="N1799" i="11"/>
  <c r="N1800" i="11"/>
  <c r="N1801" i="11"/>
  <c r="N1802" i="11"/>
  <c r="N1803" i="11"/>
  <c r="N1804" i="11"/>
  <c r="N1805" i="11"/>
  <c r="N1806" i="11"/>
  <c r="N1807" i="11"/>
  <c r="N1808" i="11"/>
  <c r="N1809" i="11"/>
  <c r="N1810" i="11"/>
  <c r="N1811" i="11"/>
  <c r="N1812" i="11"/>
  <c r="N1813" i="11"/>
  <c r="N1814" i="11"/>
  <c r="N1815" i="11"/>
  <c r="N1816" i="11"/>
  <c r="N1817" i="11"/>
  <c r="N1818" i="11"/>
  <c r="N1819" i="11"/>
  <c r="N1820" i="11"/>
  <c r="N1821" i="11"/>
  <c r="N1822" i="11"/>
  <c r="N1823" i="11"/>
  <c r="N1824" i="11"/>
  <c r="N1825" i="11"/>
  <c r="N1826" i="11"/>
  <c r="N1827" i="11"/>
  <c r="N1828" i="11"/>
  <c r="N1829" i="11"/>
  <c r="N1830" i="11"/>
  <c r="N1831" i="11"/>
  <c r="N1832" i="11"/>
  <c r="N1833" i="11"/>
  <c r="N1834" i="11"/>
  <c r="N1835" i="11"/>
  <c r="N1836" i="11"/>
  <c r="N1837" i="11"/>
  <c r="N1838" i="11"/>
  <c r="N1839" i="11"/>
  <c r="N1840" i="11"/>
  <c r="N1841" i="11"/>
  <c r="N1842" i="11"/>
  <c r="N1843" i="11"/>
  <c r="N1844" i="11"/>
  <c r="N1845" i="11"/>
  <c r="N1846" i="11"/>
  <c r="N1847" i="11"/>
  <c r="N1848" i="11"/>
  <c r="N1849" i="11"/>
  <c r="N1850" i="11"/>
  <c r="N1851" i="11"/>
  <c r="N1852" i="11"/>
  <c r="N1853" i="11"/>
  <c r="N1854" i="11"/>
  <c r="N1855" i="11"/>
  <c r="N1856" i="11"/>
  <c r="N1857" i="11"/>
  <c r="N1858" i="11"/>
  <c r="N1859" i="11"/>
  <c r="N1860" i="11"/>
  <c r="N1861" i="11"/>
  <c r="N1862" i="11"/>
  <c r="N1863" i="11"/>
  <c r="N1864" i="11"/>
  <c r="N1865" i="11"/>
  <c r="N1866" i="11"/>
  <c r="N1867" i="11"/>
  <c r="N1868" i="11"/>
  <c r="N1869" i="11"/>
  <c r="N1870" i="11"/>
  <c r="N1871" i="11"/>
  <c r="N1872" i="11"/>
  <c r="N1873" i="11"/>
  <c r="N1874" i="11"/>
  <c r="N1875" i="11"/>
  <c r="N1876" i="11"/>
  <c r="N1877" i="11"/>
  <c r="N1878" i="11"/>
  <c r="N1879" i="11"/>
  <c r="N1880" i="11"/>
  <c r="N1881" i="11"/>
  <c r="N1882" i="11"/>
  <c r="N1883" i="11"/>
  <c r="N1884" i="11"/>
  <c r="N1885" i="11"/>
  <c r="N1886" i="11"/>
  <c r="N1887" i="11"/>
  <c r="N1888" i="11"/>
  <c r="N1889" i="11"/>
  <c r="N1890" i="11"/>
  <c r="N1891" i="11"/>
  <c r="N1892" i="11"/>
  <c r="N1893" i="11"/>
  <c r="N1894" i="11"/>
  <c r="N1895" i="11"/>
  <c r="N1896" i="11"/>
  <c r="N1897" i="11"/>
  <c r="N1898" i="11"/>
  <c r="N1899" i="11"/>
  <c r="N1900" i="11"/>
  <c r="N1901" i="11"/>
  <c r="N1902" i="11"/>
  <c r="N1903" i="11"/>
  <c r="N1904" i="11"/>
  <c r="N1905" i="11"/>
  <c r="N1906" i="11"/>
  <c r="N1907" i="11"/>
  <c r="N1908" i="11"/>
  <c r="N1909" i="11"/>
  <c r="N1910" i="11"/>
  <c r="N1911" i="11"/>
  <c r="N1912" i="11"/>
  <c r="N1913" i="11"/>
  <c r="N1914" i="11"/>
  <c r="N1915" i="11"/>
  <c r="N1916" i="11"/>
  <c r="N1917" i="11"/>
  <c r="N1918" i="11"/>
  <c r="N1919" i="11"/>
  <c r="N1920" i="11"/>
  <c r="N1921" i="11"/>
  <c r="N1922" i="11"/>
  <c r="N1923" i="11"/>
  <c r="N1924" i="11"/>
  <c r="N1925" i="11"/>
  <c r="N1926" i="11"/>
  <c r="N1927" i="11"/>
  <c r="N1928" i="11"/>
  <c r="N1929" i="11"/>
  <c r="N1930" i="11"/>
  <c r="N1931" i="11"/>
  <c r="N1932" i="11"/>
  <c r="N1933" i="11"/>
  <c r="N1934" i="11"/>
  <c r="N1935" i="11"/>
  <c r="N1936" i="11"/>
  <c r="N1937" i="11"/>
  <c r="N1938" i="11"/>
  <c r="N1939" i="11"/>
  <c r="N1940" i="11"/>
  <c r="N1941" i="11"/>
  <c r="N1942" i="11"/>
  <c r="N1943" i="11"/>
  <c r="N1944" i="11"/>
  <c r="N1945" i="11"/>
  <c r="N1946" i="11"/>
  <c r="N1947" i="11"/>
  <c r="N1948" i="11"/>
  <c r="N1949" i="11"/>
  <c r="N1950" i="11"/>
  <c r="N1951" i="11"/>
  <c r="N1952" i="11"/>
  <c r="N1953" i="11"/>
  <c r="N1954" i="11"/>
  <c r="N1955" i="11"/>
  <c r="N1956" i="11"/>
  <c r="N1957" i="11"/>
  <c r="N1958" i="11"/>
  <c r="N1959" i="11"/>
  <c r="N1960" i="11"/>
  <c r="N1961" i="11"/>
  <c r="N1962" i="11"/>
  <c r="N1963" i="11"/>
  <c r="N1964" i="11"/>
  <c r="N1965" i="11"/>
  <c r="N1966" i="11"/>
  <c r="N1967" i="11"/>
  <c r="N1968" i="11"/>
  <c r="N1969" i="11"/>
  <c r="N1970" i="11"/>
  <c r="N1971" i="11"/>
  <c r="N1972" i="11"/>
  <c r="N1973" i="11"/>
  <c r="N1974" i="11"/>
  <c r="N1975" i="11"/>
  <c r="N1976" i="11"/>
  <c r="N1977" i="11"/>
  <c r="N1978" i="11"/>
  <c r="N1979" i="11"/>
  <c r="N1980" i="11"/>
  <c r="N1981" i="11"/>
  <c r="N1982" i="11"/>
  <c r="N1983" i="11"/>
  <c r="N1984" i="11"/>
  <c r="N1985" i="11"/>
  <c r="N1986" i="11"/>
  <c r="N1987" i="11"/>
  <c r="N1988" i="11"/>
  <c r="N1989" i="11"/>
  <c r="N1990" i="11"/>
  <c r="N1991" i="11"/>
  <c r="N1992" i="11"/>
  <c r="N1993" i="11"/>
  <c r="N1994" i="11"/>
  <c r="N1995" i="11"/>
  <c r="N1996" i="11"/>
  <c r="N1997" i="11"/>
  <c r="N1998" i="11"/>
  <c r="N1999" i="11"/>
  <c r="N2000" i="11"/>
  <c r="N2001" i="11"/>
  <c r="N2002" i="11"/>
  <c r="N2003" i="11"/>
  <c r="N2004" i="11"/>
  <c r="N2005" i="11"/>
  <c r="N2006" i="11"/>
  <c r="N2007" i="11"/>
  <c r="N2008" i="11"/>
  <c r="N2009" i="11"/>
  <c r="N2010" i="11"/>
  <c r="N2011" i="11"/>
  <c r="N2012" i="11"/>
  <c r="N2013" i="11"/>
  <c r="N2014" i="11"/>
  <c r="N2015" i="11"/>
  <c r="N2016" i="11"/>
  <c r="N2017" i="11"/>
  <c r="N2018" i="11"/>
  <c r="N2019" i="11"/>
  <c r="N2020" i="11"/>
  <c r="N2021" i="11"/>
  <c r="N2022" i="11"/>
  <c r="N2023" i="11"/>
  <c r="N2024" i="11"/>
  <c r="N2025" i="11"/>
  <c r="N2026" i="11"/>
  <c r="N2027" i="11"/>
  <c r="N2028" i="11"/>
  <c r="N2029" i="11"/>
  <c r="N2030" i="11"/>
  <c r="N2031" i="11"/>
  <c r="N2032" i="11"/>
  <c r="N2033" i="11"/>
  <c r="N2034" i="11"/>
  <c r="N2035" i="11"/>
  <c r="N2036" i="11"/>
  <c r="N2037" i="11"/>
  <c r="N2038" i="11"/>
  <c r="N2039" i="11"/>
  <c r="N2040" i="11"/>
  <c r="N2041" i="11"/>
  <c r="N2042" i="11"/>
  <c r="N2043" i="11"/>
  <c r="N2044" i="11"/>
  <c r="N2045" i="11"/>
  <c r="N2046" i="11"/>
  <c r="N2047" i="11"/>
  <c r="N2048" i="11"/>
  <c r="N2049" i="11"/>
  <c r="N2050" i="11"/>
  <c r="N2051" i="11"/>
  <c r="N2052" i="11"/>
  <c r="N2053" i="11"/>
  <c r="N2054" i="11"/>
  <c r="N2055" i="11"/>
  <c r="N2056" i="11"/>
  <c r="N2057" i="11"/>
  <c r="N2058" i="11"/>
  <c r="N2059" i="11"/>
  <c r="N2060" i="11"/>
  <c r="N2061" i="11"/>
  <c r="N2062" i="11"/>
  <c r="N2063" i="11"/>
  <c r="N2064" i="11"/>
  <c r="N2065" i="11"/>
  <c r="N2066" i="11"/>
  <c r="N2067" i="11"/>
  <c r="N2068" i="11"/>
  <c r="N2069" i="11"/>
  <c r="N2070" i="11"/>
  <c r="N2071" i="11"/>
  <c r="N2072" i="11"/>
  <c r="N2073" i="11"/>
  <c r="N2074" i="11"/>
  <c r="N2075" i="11"/>
  <c r="N2076" i="11"/>
  <c r="N2077" i="11"/>
  <c r="N2078" i="11"/>
  <c r="N2079" i="11"/>
  <c r="N2080" i="11"/>
  <c r="N2081" i="11"/>
  <c r="N2082" i="11"/>
  <c r="N2083" i="11"/>
  <c r="N2084" i="11"/>
  <c r="N2085" i="11"/>
  <c r="N2086" i="11"/>
  <c r="N2087" i="11"/>
  <c r="N2088" i="11"/>
  <c r="N2089" i="11"/>
  <c r="N2090" i="11"/>
  <c r="N2091" i="11"/>
  <c r="N2092" i="11"/>
  <c r="N2093" i="11"/>
  <c r="N2094" i="11"/>
  <c r="N2095" i="11"/>
  <c r="N2096" i="11"/>
  <c r="N2097" i="11"/>
  <c r="N2098" i="11"/>
  <c r="N2099" i="11"/>
  <c r="N2100" i="11"/>
  <c r="N2101" i="11"/>
  <c r="N2102" i="11"/>
  <c r="N2103" i="11"/>
  <c r="N2104" i="11"/>
  <c r="N2105" i="11"/>
  <c r="N2106" i="11"/>
  <c r="N2107" i="11"/>
  <c r="N2108" i="11"/>
  <c r="N2109" i="11"/>
  <c r="N2110" i="11"/>
  <c r="N2111" i="11"/>
  <c r="N2112" i="11"/>
  <c r="N2113" i="11"/>
  <c r="N2114" i="11"/>
  <c r="N2115" i="11"/>
  <c r="N2116" i="11"/>
  <c r="N2117" i="11"/>
  <c r="N2118" i="11"/>
  <c r="N2119" i="11"/>
  <c r="N2120" i="11"/>
  <c r="N2121" i="11"/>
  <c r="N2122" i="11"/>
  <c r="N2123" i="11"/>
  <c r="N2124" i="11"/>
  <c r="N2125" i="11"/>
  <c r="N2126" i="11"/>
  <c r="N2127" i="11"/>
  <c r="N2128" i="11"/>
  <c r="N2129" i="11"/>
  <c r="N2130" i="11"/>
  <c r="N2131" i="11"/>
  <c r="N2132" i="11"/>
  <c r="N2133" i="11"/>
  <c r="N2134" i="11"/>
  <c r="N2135" i="11"/>
  <c r="N2136" i="11"/>
  <c r="N2137" i="11"/>
  <c r="N2138" i="11"/>
  <c r="N2139" i="11"/>
  <c r="N2140" i="11"/>
  <c r="N2141" i="11"/>
  <c r="N2142" i="11"/>
  <c r="N2143" i="11"/>
  <c r="N2144" i="11"/>
  <c r="N2145" i="11"/>
  <c r="N2146" i="11"/>
  <c r="N2147" i="11"/>
  <c r="N2148" i="11"/>
  <c r="N2149" i="11"/>
  <c r="N2150" i="11"/>
  <c r="N2151" i="11"/>
  <c r="N2152" i="11"/>
  <c r="N2153" i="11"/>
  <c r="N2154" i="11"/>
  <c r="N2155" i="11"/>
  <c r="N2156" i="11"/>
  <c r="N2157" i="11"/>
  <c r="N2158" i="11"/>
  <c r="N2159" i="11"/>
  <c r="N2160" i="11"/>
  <c r="N2161" i="11"/>
  <c r="N2162" i="11"/>
  <c r="N2163" i="11"/>
  <c r="N2164" i="11"/>
  <c r="N2165" i="11"/>
  <c r="N2166" i="11"/>
  <c r="N2167" i="11"/>
  <c r="N2168" i="11"/>
  <c r="N2169" i="11"/>
  <c r="N2170" i="11"/>
  <c r="N2171" i="11"/>
  <c r="N2172" i="11"/>
  <c r="N2173" i="11"/>
  <c r="N2174" i="11"/>
  <c r="N2175" i="11"/>
  <c r="N2176" i="11"/>
  <c r="N2177" i="11"/>
  <c r="N2178" i="11"/>
  <c r="N2179" i="11"/>
  <c r="N2180" i="11"/>
  <c r="N2181" i="11"/>
  <c r="N2182" i="11"/>
  <c r="N2183" i="11"/>
  <c r="N2184" i="11"/>
  <c r="N2185" i="11"/>
  <c r="N2186" i="11"/>
  <c r="N2187" i="11"/>
  <c r="N2188" i="11"/>
  <c r="N2189" i="11"/>
  <c r="N2190" i="11"/>
  <c r="N2191" i="11"/>
  <c r="N2192" i="11"/>
  <c r="N2193" i="11"/>
  <c r="N2194" i="11"/>
  <c r="N2195" i="11"/>
  <c r="N2196" i="11"/>
  <c r="N2197" i="11"/>
  <c r="N2198" i="11"/>
  <c r="N2199" i="11"/>
  <c r="N2200" i="11"/>
  <c r="N2201" i="11"/>
  <c r="N2202" i="11"/>
  <c r="N2203" i="11"/>
  <c r="N2204" i="11"/>
  <c r="N2205" i="11"/>
  <c r="N2206" i="11"/>
  <c r="N2207" i="11"/>
  <c r="N2208" i="11"/>
  <c r="N2209" i="11"/>
  <c r="N2210" i="11"/>
  <c r="N2211" i="11"/>
  <c r="N2212" i="11"/>
  <c r="N2213" i="11"/>
  <c r="N2214" i="11"/>
  <c r="N2215" i="11"/>
  <c r="N2216" i="11"/>
  <c r="N2217" i="11"/>
  <c r="N2218" i="11"/>
  <c r="N2219" i="11"/>
  <c r="N2220" i="11"/>
  <c r="N2221" i="11"/>
  <c r="N2222" i="11"/>
  <c r="N2223" i="11"/>
  <c r="N2224" i="11"/>
  <c r="N2225" i="11"/>
  <c r="N2226" i="11"/>
  <c r="N2227" i="11"/>
  <c r="N2228" i="11"/>
  <c r="N2229" i="11"/>
  <c r="N2230" i="11"/>
  <c r="N2231" i="11"/>
  <c r="N2232" i="11"/>
  <c r="N2233" i="11"/>
  <c r="N2234" i="11"/>
  <c r="N2235" i="11"/>
  <c r="N2236" i="11"/>
  <c r="N2237" i="11"/>
  <c r="N2238" i="11"/>
  <c r="N2239" i="11"/>
  <c r="N2240" i="11"/>
  <c r="N2241" i="11"/>
  <c r="N2242" i="11"/>
  <c r="N2243" i="11"/>
  <c r="N2244" i="11"/>
  <c r="N2245" i="11"/>
  <c r="N2246" i="11"/>
  <c r="N2247" i="11"/>
  <c r="N2248" i="11"/>
  <c r="N2249" i="11"/>
  <c r="N2250" i="11"/>
  <c r="N2251" i="11"/>
  <c r="N2252" i="11"/>
  <c r="N2253" i="11"/>
  <c r="N2254" i="11"/>
  <c r="N2255" i="11"/>
  <c r="N2256" i="11"/>
  <c r="N2257" i="11"/>
  <c r="N2258" i="11"/>
  <c r="N2259" i="11"/>
  <c r="N2260" i="11"/>
  <c r="N2261" i="11"/>
  <c r="N2262" i="11"/>
  <c r="N2263" i="11"/>
  <c r="N2264" i="11"/>
  <c r="N2265" i="11"/>
  <c r="N2266" i="11"/>
  <c r="N2267" i="11"/>
  <c r="N2268" i="11"/>
  <c r="N2269" i="11"/>
  <c r="N2270" i="11"/>
  <c r="N2271" i="11"/>
  <c r="N2272" i="11"/>
  <c r="N2273" i="11"/>
  <c r="N2274" i="11"/>
  <c r="N2275" i="11"/>
  <c r="N2276" i="11"/>
  <c r="N2277" i="11"/>
  <c r="N2278" i="11"/>
  <c r="N2279" i="11"/>
  <c r="N2280" i="11"/>
  <c r="N2281" i="11"/>
  <c r="N2282" i="11"/>
  <c r="N2283" i="11"/>
  <c r="N2284" i="11"/>
  <c r="N2285" i="11"/>
  <c r="N2286" i="11"/>
  <c r="N2287" i="11"/>
  <c r="N2288" i="11"/>
  <c r="N2289" i="11"/>
  <c r="N2290" i="11"/>
  <c r="N2291" i="11"/>
  <c r="N2292" i="11"/>
  <c r="N2293" i="11"/>
  <c r="N2294" i="11"/>
  <c r="N2295" i="11"/>
  <c r="N2296" i="11"/>
  <c r="N2297" i="11"/>
  <c r="N2298" i="11"/>
  <c r="N2299" i="11"/>
  <c r="N2300" i="11"/>
  <c r="N2301" i="11"/>
  <c r="N2302" i="11"/>
  <c r="N2303" i="11"/>
  <c r="N2304" i="11"/>
  <c r="N2305" i="11"/>
  <c r="N2306" i="11"/>
  <c r="N2307" i="11"/>
  <c r="N2308" i="11"/>
  <c r="N2309" i="11"/>
  <c r="N2310" i="11"/>
  <c r="N2311" i="11"/>
  <c r="N2312" i="11"/>
  <c r="N2313" i="11"/>
  <c r="N2314" i="11"/>
  <c r="N2315" i="11"/>
  <c r="N2316" i="11"/>
  <c r="N2317" i="11"/>
  <c r="N2318" i="11"/>
  <c r="N2319" i="11"/>
  <c r="N2320" i="11"/>
  <c r="N2321" i="11"/>
  <c r="N2322" i="11"/>
  <c r="N2323" i="11"/>
  <c r="N2324" i="11"/>
  <c r="N2325" i="11"/>
  <c r="N2326" i="11"/>
  <c r="N2327" i="11"/>
  <c r="N2328" i="11"/>
  <c r="N2329" i="11"/>
  <c r="N2330" i="11"/>
  <c r="N2331" i="11"/>
  <c r="N2332" i="11"/>
  <c r="N2333" i="11"/>
  <c r="N2334" i="11"/>
  <c r="N2335" i="11"/>
  <c r="N2336" i="11"/>
  <c r="N2337" i="11"/>
  <c r="N2338" i="11"/>
  <c r="N2339" i="11"/>
  <c r="N2340" i="11"/>
  <c r="N2341" i="11"/>
  <c r="N2342" i="11"/>
  <c r="N2343" i="11"/>
  <c r="N2344" i="11"/>
  <c r="N2345" i="11"/>
  <c r="N2346" i="11"/>
  <c r="N2347" i="11"/>
  <c r="N2348" i="11"/>
  <c r="N2349" i="11"/>
  <c r="N2350" i="11"/>
  <c r="N2351" i="11"/>
  <c r="N2352" i="11"/>
  <c r="N2353" i="11"/>
  <c r="N2354" i="11"/>
  <c r="N2355" i="11"/>
  <c r="N2356" i="11"/>
  <c r="N2357" i="11"/>
  <c r="N2358" i="11"/>
  <c r="N2359" i="11"/>
  <c r="N2360" i="11"/>
  <c r="N2361" i="11"/>
  <c r="N2362" i="11"/>
  <c r="N2363" i="11"/>
  <c r="N2364" i="11"/>
  <c r="N2365" i="11"/>
  <c r="N2366" i="11"/>
  <c r="N2367" i="11"/>
  <c r="N2368" i="11"/>
  <c r="N2369" i="11"/>
  <c r="N2370" i="11"/>
  <c r="N2371" i="11"/>
  <c r="N2372" i="11"/>
  <c r="N2373" i="11"/>
  <c r="N2374" i="11"/>
  <c r="N2375" i="11"/>
  <c r="N2376" i="11"/>
  <c r="N2377" i="11"/>
  <c r="N2378" i="11"/>
  <c r="N2379" i="11"/>
  <c r="N2380" i="11"/>
  <c r="N2381" i="11"/>
  <c r="N2382" i="11"/>
  <c r="N2383" i="11"/>
  <c r="N2384" i="11"/>
  <c r="N2385" i="11"/>
  <c r="N2386" i="11"/>
  <c r="N2387" i="11"/>
  <c r="N2388" i="11"/>
  <c r="N2389" i="11"/>
  <c r="N2390" i="11"/>
  <c r="N2391" i="11"/>
  <c r="N2392" i="11"/>
  <c r="N2393" i="11"/>
  <c r="N2394" i="11"/>
  <c r="N2395" i="11"/>
  <c r="N2396" i="11"/>
  <c r="N2397" i="11"/>
  <c r="N2398" i="11"/>
  <c r="N2399" i="11"/>
  <c r="N2400" i="11"/>
  <c r="N2401" i="11"/>
  <c r="N2402" i="11"/>
  <c r="N2403" i="11"/>
  <c r="N2404" i="11"/>
  <c r="N2405" i="11"/>
  <c r="N2406" i="11"/>
  <c r="N2407" i="11"/>
  <c r="N2408" i="11"/>
  <c r="N2409" i="11"/>
  <c r="N2410" i="11"/>
  <c r="N2411" i="11"/>
  <c r="N2412" i="11"/>
  <c r="N2413" i="11"/>
  <c r="N2414" i="11"/>
  <c r="N2415" i="11"/>
  <c r="N2416" i="11"/>
  <c r="N2417" i="11"/>
  <c r="N2418" i="11"/>
  <c r="N2419" i="11"/>
  <c r="N2420" i="11"/>
  <c r="N2421" i="11"/>
  <c r="N2422" i="11"/>
  <c r="N2423" i="11"/>
  <c r="N2424" i="11"/>
  <c r="N2425" i="11"/>
  <c r="N2426" i="11"/>
  <c r="N2427" i="11"/>
  <c r="N2428" i="11"/>
  <c r="N2429" i="11"/>
  <c r="N2430" i="11"/>
  <c r="N2431" i="11"/>
  <c r="N2432" i="11"/>
  <c r="N2433" i="11"/>
  <c r="N2434" i="11"/>
  <c r="N2435" i="11"/>
  <c r="N2436" i="11"/>
  <c r="N2437" i="11"/>
  <c r="N2438" i="11"/>
  <c r="N2439" i="11"/>
  <c r="N2440" i="11"/>
  <c r="N2441" i="11"/>
  <c r="N2442" i="11"/>
  <c r="N2443" i="11"/>
  <c r="N2444" i="11"/>
  <c r="N2445" i="11"/>
  <c r="N2446" i="11"/>
  <c r="N2447" i="11"/>
  <c r="N2448" i="11"/>
  <c r="N2449" i="11"/>
  <c r="N2450" i="11"/>
  <c r="N2451" i="11"/>
  <c r="N2452" i="11"/>
  <c r="N2453" i="11"/>
  <c r="N2454" i="11"/>
  <c r="N2455" i="11"/>
  <c r="N2456" i="11"/>
  <c r="N2457" i="11"/>
  <c r="N2458" i="11"/>
  <c r="N2459" i="11"/>
  <c r="N2460" i="11"/>
  <c r="N2461" i="11"/>
  <c r="N2462" i="11"/>
  <c r="N2463" i="11"/>
  <c r="N2464" i="11"/>
  <c r="N2465" i="11"/>
  <c r="N2466" i="11"/>
  <c r="N2467" i="11"/>
  <c r="N2468" i="11"/>
  <c r="N2469" i="11"/>
  <c r="N2470" i="11"/>
  <c r="N2471" i="11"/>
  <c r="N2472" i="11"/>
  <c r="N2473" i="11"/>
  <c r="N2474" i="11"/>
  <c r="N2475" i="11"/>
  <c r="N2476" i="11"/>
  <c r="N2477" i="11"/>
  <c r="N2478" i="11"/>
  <c r="N2479" i="11"/>
  <c r="N2480" i="11"/>
  <c r="N2481" i="11"/>
  <c r="N2482" i="11"/>
  <c r="N2483" i="11"/>
  <c r="N2484" i="11"/>
  <c r="N2485" i="11"/>
  <c r="N2486" i="11"/>
  <c r="N2487" i="11"/>
  <c r="N2488" i="11"/>
  <c r="N2489" i="11"/>
  <c r="N2490" i="11"/>
  <c r="N2491" i="11"/>
  <c r="N2492" i="11"/>
  <c r="N2493" i="11"/>
  <c r="N2494" i="11"/>
  <c r="N2495" i="11"/>
  <c r="N2496" i="11"/>
  <c r="N2497" i="11"/>
  <c r="N2498" i="11"/>
  <c r="N2499" i="11"/>
  <c r="N2500" i="11"/>
  <c r="N2501" i="11"/>
  <c r="N2502" i="11"/>
  <c r="N2503" i="11"/>
  <c r="N2504" i="11"/>
  <c r="N2505" i="11"/>
  <c r="N2506" i="11"/>
  <c r="N2507" i="11"/>
  <c r="N2508" i="11"/>
  <c r="N2509" i="11"/>
  <c r="N2510" i="11"/>
  <c r="N2511" i="11"/>
  <c r="N2512" i="11"/>
  <c r="N2513" i="11"/>
  <c r="N2514" i="11"/>
  <c r="N2515" i="11"/>
  <c r="N2516" i="11"/>
  <c r="N2517" i="11"/>
  <c r="N2518" i="11"/>
  <c r="N2519" i="11"/>
  <c r="N2520" i="11"/>
  <c r="N2521" i="11"/>
  <c r="N2522" i="11"/>
  <c r="N2523" i="11"/>
  <c r="N2524" i="11"/>
  <c r="N2525" i="11"/>
  <c r="N2526" i="11"/>
  <c r="N2527" i="11"/>
  <c r="N2528" i="11"/>
  <c r="N2529" i="11"/>
  <c r="N2530" i="11"/>
  <c r="N2531" i="11"/>
  <c r="N2532" i="11"/>
  <c r="N2533" i="11"/>
  <c r="N2534" i="11"/>
  <c r="N2535" i="11"/>
  <c r="N2536" i="11"/>
  <c r="N2537" i="11"/>
  <c r="N2538" i="11"/>
  <c r="N2539" i="11"/>
  <c r="N2540" i="11"/>
  <c r="N2541" i="11"/>
  <c r="N2542" i="11"/>
  <c r="N2543" i="11"/>
  <c r="N2544" i="11"/>
  <c r="N2545" i="11"/>
  <c r="N2546" i="11"/>
  <c r="N2547" i="11"/>
  <c r="N2548" i="11"/>
  <c r="N2549" i="11"/>
  <c r="N2550" i="11"/>
  <c r="N2551" i="11"/>
  <c r="N2552" i="11"/>
  <c r="N2553" i="11"/>
  <c r="N2554" i="11"/>
  <c r="N2555" i="11"/>
  <c r="N2556" i="11"/>
  <c r="N2557" i="11"/>
  <c r="N2558" i="11"/>
  <c r="N2559" i="11"/>
  <c r="N2560" i="11"/>
  <c r="N2561" i="11"/>
  <c r="N2562" i="11"/>
  <c r="N2563" i="11"/>
  <c r="N2564" i="11"/>
  <c r="N2565" i="11"/>
  <c r="N2566" i="11"/>
  <c r="N2567" i="11"/>
  <c r="N2568" i="11"/>
  <c r="N2569" i="11"/>
  <c r="N2570" i="11"/>
  <c r="N2571" i="11"/>
  <c r="N2572" i="11"/>
  <c r="N2573" i="11"/>
  <c r="N2574" i="11"/>
  <c r="N2575" i="11"/>
  <c r="N2576" i="11"/>
  <c r="N2577" i="11"/>
  <c r="N2578" i="11"/>
  <c r="N2579" i="11"/>
  <c r="N2580" i="11"/>
  <c r="N2581" i="11"/>
  <c r="N2582" i="11"/>
  <c r="N2583" i="11"/>
  <c r="N2584" i="11"/>
  <c r="N2585" i="11"/>
  <c r="N2586" i="11"/>
  <c r="N2587" i="11"/>
  <c r="N2588" i="11"/>
  <c r="N2589" i="11"/>
  <c r="N2590" i="11"/>
  <c r="N2591" i="11"/>
  <c r="N2592" i="11"/>
  <c r="N2593" i="11"/>
  <c r="N2594" i="11"/>
  <c r="N2595" i="11"/>
  <c r="N2596" i="11"/>
  <c r="N2597" i="11"/>
  <c r="N2598" i="11"/>
  <c r="N2599" i="11"/>
  <c r="N2600" i="11"/>
  <c r="N2601" i="11"/>
  <c r="N2602" i="11"/>
  <c r="N2603" i="11"/>
  <c r="N2604" i="11"/>
  <c r="N2605" i="11"/>
  <c r="N2606" i="11"/>
  <c r="N2607" i="11"/>
  <c r="N2608" i="11"/>
  <c r="N2609" i="11"/>
  <c r="N2610" i="11"/>
  <c r="N2611" i="11"/>
  <c r="N2612" i="11"/>
  <c r="N2613" i="11"/>
  <c r="N2614" i="11"/>
  <c r="N2615" i="11"/>
  <c r="N2616" i="11"/>
  <c r="N2617" i="11"/>
  <c r="N2618" i="11"/>
  <c r="N2619" i="11"/>
  <c r="N2620" i="11"/>
  <c r="N2621" i="11"/>
  <c r="N2622" i="11"/>
  <c r="N2623" i="11"/>
  <c r="N2624" i="11"/>
  <c r="N2625" i="11"/>
  <c r="N2626" i="11"/>
  <c r="N2627" i="11"/>
  <c r="N2628" i="11"/>
  <c r="N2629" i="11"/>
  <c r="N2630" i="11"/>
  <c r="N2631" i="11"/>
  <c r="N2632" i="11"/>
  <c r="N2633" i="11"/>
  <c r="N2634" i="11"/>
  <c r="N2635" i="11"/>
  <c r="N2636" i="11"/>
  <c r="N2637" i="11"/>
  <c r="N2638" i="11"/>
  <c r="N2639" i="11"/>
  <c r="N2640" i="11"/>
  <c r="N2641" i="11"/>
  <c r="N2642" i="11"/>
  <c r="N2643" i="11"/>
  <c r="N2644" i="11"/>
  <c r="N2645" i="11"/>
  <c r="N2646" i="11"/>
  <c r="N2647" i="11"/>
  <c r="N2648" i="11"/>
  <c r="N2649" i="11"/>
  <c r="N2650" i="11"/>
  <c r="N2651" i="11"/>
  <c r="N2652" i="11"/>
  <c r="N2653" i="11"/>
  <c r="N2654" i="11"/>
  <c r="N2655" i="11"/>
  <c r="N2656" i="11"/>
  <c r="N2657" i="11"/>
  <c r="N2658" i="11"/>
  <c r="N2659" i="11"/>
  <c r="N2660" i="11"/>
  <c r="N2661" i="11"/>
  <c r="N2662" i="11"/>
  <c r="N2663" i="11"/>
  <c r="N2664" i="11"/>
  <c r="N2665" i="11"/>
  <c r="N2666" i="11"/>
  <c r="N2667" i="11"/>
  <c r="N2668" i="11"/>
  <c r="N2669" i="11"/>
  <c r="N2670" i="11"/>
  <c r="N2671" i="11"/>
  <c r="N2672" i="11"/>
  <c r="N2673" i="11"/>
  <c r="N2674" i="11"/>
  <c r="N2675" i="11"/>
  <c r="N2676" i="11"/>
  <c r="N2677" i="11"/>
  <c r="N2678" i="11"/>
  <c r="N2679" i="11"/>
  <c r="N2680" i="11"/>
  <c r="N2681" i="11"/>
  <c r="N2682" i="11"/>
  <c r="N2683" i="11"/>
  <c r="N2684" i="11"/>
  <c r="N2685" i="11"/>
  <c r="N2686" i="11"/>
  <c r="N2687" i="11"/>
  <c r="N2688" i="11"/>
  <c r="N2689" i="11"/>
  <c r="N2690" i="11"/>
  <c r="N2691" i="11"/>
  <c r="N2692" i="11"/>
  <c r="N2693" i="11"/>
  <c r="N2694" i="11"/>
  <c r="N2695" i="11"/>
  <c r="N2696" i="11"/>
  <c r="N2697" i="11"/>
  <c r="N2698" i="11"/>
  <c r="N2699" i="11"/>
  <c r="N2700" i="11"/>
  <c r="N2701" i="11"/>
  <c r="N2702" i="11"/>
  <c r="N2703" i="11"/>
  <c r="N2704" i="11"/>
  <c r="N2705" i="11"/>
  <c r="N2706" i="11"/>
  <c r="N2707" i="11"/>
  <c r="N2708" i="11"/>
  <c r="N2709" i="11"/>
  <c r="N2710" i="11"/>
  <c r="N2711" i="11"/>
  <c r="N2712" i="11"/>
  <c r="N2713" i="11"/>
  <c r="N2714" i="11"/>
  <c r="N2715" i="11"/>
  <c r="N2716" i="11"/>
  <c r="N2717" i="11"/>
  <c r="N2718" i="11"/>
  <c r="N2719" i="11"/>
  <c r="N2720" i="11"/>
  <c r="N2721" i="11"/>
  <c r="N2722" i="11"/>
  <c r="N2723" i="11"/>
  <c r="N2724" i="11"/>
  <c r="N2725" i="11"/>
  <c r="N2726" i="11"/>
  <c r="N2727" i="11"/>
  <c r="N2728" i="11"/>
  <c r="N2729" i="11"/>
  <c r="N2730" i="11"/>
  <c r="N2731" i="11"/>
  <c r="N2732" i="11"/>
  <c r="N2733" i="11"/>
  <c r="N2734" i="11"/>
  <c r="N2735" i="11"/>
  <c r="N2736" i="11"/>
  <c r="N2737" i="11"/>
  <c r="N2738" i="11"/>
  <c r="N2739" i="11"/>
  <c r="N2740" i="11"/>
  <c r="N2741" i="11"/>
  <c r="N2742" i="11"/>
  <c r="N2743" i="11"/>
  <c r="N2744" i="11"/>
  <c r="N2745" i="11"/>
  <c r="N2746" i="11"/>
  <c r="N2747" i="11"/>
  <c r="N2748" i="11"/>
  <c r="N2749" i="11"/>
  <c r="N2750" i="11"/>
  <c r="N2751" i="11"/>
  <c r="N2752" i="11"/>
  <c r="N2753" i="11"/>
  <c r="N2754" i="11"/>
  <c r="N2755" i="11"/>
  <c r="N2756" i="11"/>
  <c r="N2757" i="11"/>
  <c r="N2758" i="11"/>
  <c r="N2759" i="11"/>
  <c r="N2760" i="11"/>
  <c r="N2761" i="11"/>
  <c r="N2762" i="11"/>
  <c r="N2763" i="11"/>
  <c r="N2764" i="11"/>
  <c r="N2765" i="11"/>
  <c r="N2766" i="11"/>
  <c r="N2767" i="11"/>
  <c r="N2768" i="11"/>
  <c r="N2769" i="11"/>
  <c r="N2770" i="11"/>
  <c r="N2771" i="11"/>
  <c r="N2772" i="11"/>
  <c r="N2773" i="11"/>
  <c r="N2774" i="11"/>
  <c r="N2775" i="11"/>
  <c r="N2776" i="11"/>
  <c r="N2777" i="11"/>
  <c r="N2778" i="11"/>
  <c r="N2779" i="11"/>
  <c r="N2780" i="11"/>
  <c r="N2781" i="11"/>
  <c r="N2782" i="11"/>
  <c r="N2783" i="11"/>
  <c r="N2784" i="11"/>
  <c r="N2785" i="11"/>
  <c r="N2786" i="11"/>
  <c r="N2787" i="11"/>
  <c r="N2788" i="11"/>
  <c r="N2789" i="11"/>
  <c r="N2790" i="11"/>
  <c r="N2791" i="11"/>
  <c r="N2792" i="11"/>
  <c r="N2793" i="11"/>
  <c r="N2794" i="11"/>
  <c r="N2795" i="11"/>
  <c r="N2796" i="11"/>
  <c r="N2797" i="11"/>
  <c r="N2798" i="11"/>
  <c r="N2799" i="11"/>
  <c r="N2800" i="11"/>
  <c r="N2801" i="11"/>
  <c r="N2802" i="11"/>
  <c r="N2803" i="11"/>
  <c r="N2804" i="11"/>
  <c r="N2805" i="11"/>
  <c r="N2806" i="11"/>
  <c r="N2807" i="11"/>
  <c r="N2808" i="11"/>
  <c r="N2809" i="11"/>
  <c r="N2810" i="11"/>
  <c r="N2811" i="11"/>
  <c r="N2812" i="11"/>
  <c r="N2813" i="11"/>
  <c r="N2814" i="11"/>
  <c r="N2815" i="11"/>
  <c r="N2816" i="11"/>
  <c r="N2817" i="11"/>
  <c r="N2818" i="11"/>
  <c r="N2819" i="11"/>
  <c r="N2820" i="11"/>
  <c r="N2821" i="11"/>
  <c r="N2822" i="11"/>
  <c r="N2823" i="11"/>
  <c r="N2824" i="11"/>
  <c r="N2825" i="11"/>
  <c r="N2826" i="11"/>
  <c r="N2827" i="11"/>
  <c r="N2828" i="11"/>
  <c r="N2829" i="11"/>
  <c r="N2830" i="11"/>
  <c r="N2831" i="11"/>
  <c r="N2832" i="11"/>
  <c r="N2833" i="11"/>
  <c r="N2834" i="11"/>
  <c r="N2835" i="11"/>
  <c r="N2836" i="11"/>
  <c r="N2837" i="11"/>
  <c r="N2838" i="11"/>
  <c r="N2839" i="11"/>
  <c r="N2840" i="11"/>
  <c r="N2841" i="11"/>
  <c r="N2842" i="11"/>
  <c r="N2843" i="11"/>
  <c r="N2844" i="11"/>
  <c r="N2845" i="11"/>
  <c r="N2846" i="11"/>
  <c r="N2847" i="11"/>
  <c r="N2848" i="11"/>
  <c r="N2849" i="11"/>
  <c r="N2850" i="11"/>
  <c r="N2851" i="11"/>
  <c r="N2852" i="11"/>
  <c r="N2853" i="11"/>
  <c r="N2854" i="11"/>
  <c r="N2855" i="11"/>
  <c r="N2856" i="11"/>
  <c r="N2857" i="11"/>
  <c r="N2858" i="11"/>
  <c r="N2859" i="11"/>
  <c r="N2860" i="11"/>
  <c r="N2861" i="11"/>
  <c r="N2862" i="11"/>
  <c r="N2863" i="11"/>
  <c r="N2864" i="11"/>
  <c r="N2865" i="11"/>
  <c r="N2866" i="11"/>
  <c r="N2867" i="11"/>
  <c r="N2868" i="11"/>
  <c r="N2869" i="11"/>
  <c r="N2870" i="11"/>
  <c r="N2871" i="11"/>
  <c r="N2872" i="11"/>
  <c r="N2873" i="11"/>
  <c r="N2874" i="11"/>
  <c r="N2875" i="11"/>
  <c r="N2876" i="11"/>
  <c r="N2877" i="11"/>
  <c r="N2878" i="11"/>
  <c r="N2879" i="11"/>
  <c r="N2880" i="11"/>
  <c r="N2881" i="11"/>
  <c r="N2882" i="11"/>
  <c r="N2883" i="11"/>
  <c r="N2884" i="11"/>
  <c r="N2885" i="11"/>
  <c r="N2886" i="11"/>
  <c r="N2887" i="11"/>
  <c r="N2888" i="11"/>
  <c r="N2889" i="11"/>
  <c r="N2890" i="11"/>
  <c r="N2891" i="11"/>
  <c r="N2892" i="11"/>
  <c r="N2893" i="11"/>
  <c r="N2894" i="11"/>
  <c r="N2895" i="11"/>
  <c r="N2896" i="11"/>
  <c r="N2897" i="11"/>
  <c r="N2898" i="11"/>
  <c r="N2899" i="11"/>
  <c r="N2900" i="11"/>
  <c r="N2901" i="11"/>
  <c r="N2902" i="11"/>
  <c r="N2903" i="11"/>
  <c r="N2904" i="11"/>
  <c r="N2905" i="11"/>
  <c r="N2906" i="11"/>
  <c r="N2907" i="11"/>
  <c r="N2908" i="11"/>
  <c r="N2909" i="11"/>
  <c r="N2910" i="11"/>
  <c r="N2911" i="11"/>
  <c r="N2912" i="11"/>
  <c r="N2913" i="11"/>
  <c r="N2914" i="11"/>
  <c r="N2915" i="11"/>
  <c r="N2916" i="11"/>
  <c r="N2917" i="11"/>
  <c r="N2918" i="11"/>
  <c r="N2919" i="11"/>
  <c r="N2920" i="11"/>
  <c r="N2921" i="11"/>
  <c r="N2922" i="11"/>
  <c r="N2923" i="11"/>
  <c r="N2924" i="11"/>
  <c r="N2925" i="11"/>
  <c r="N2926" i="11"/>
  <c r="N2927" i="11"/>
  <c r="N2928" i="11"/>
  <c r="N2929" i="11"/>
  <c r="N2930" i="11"/>
  <c r="N2931" i="11"/>
  <c r="N2932" i="11"/>
  <c r="N2933" i="11"/>
  <c r="N2934" i="11"/>
  <c r="N2935" i="11"/>
  <c r="N2936" i="11"/>
  <c r="N2937" i="11"/>
  <c r="N2938" i="11"/>
  <c r="N2939" i="11"/>
  <c r="N2940" i="11"/>
  <c r="N2941" i="11"/>
  <c r="N2942" i="11"/>
  <c r="N2943" i="11"/>
  <c r="N2944" i="11"/>
  <c r="N2945" i="11"/>
  <c r="N2946" i="11"/>
  <c r="N2947" i="11"/>
  <c r="N2948" i="11"/>
  <c r="N2949" i="11"/>
  <c r="N2950" i="11"/>
  <c r="N2951" i="11"/>
  <c r="N2952" i="11"/>
  <c r="N2953" i="11"/>
  <c r="N2954" i="11"/>
  <c r="N2955" i="11"/>
  <c r="N2956" i="11"/>
  <c r="N2957" i="11"/>
  <c r="N2958" i="11"/>
  <c r="N2959" i="11"/>
  <c r="N2960" i="11"/>
  <c r="N2961" i="11"/>
  <c r="N2962" i="11"/>
  <c r="N2963" i="11"/>
  <c r="N2964" i="11"/>
  <c r="N2965" i="11"/>
  <c r="N2966" i="11"/>
  <c r="N2967" i="11"/>
  <c r="N2968" i="11"/>
  <c r="N2969" i="11"/>
  <c r="N2970" i="11"/>
  <c r="N2971" i="11"/>
  <c r="N2972" i="11"/>
  <c r="N2973" i="11"/>
  <c r="N2974" i="11"/>
  <c r="N2975" i="11"/>
  <c r="N2976" i="11"/>
  <c r="N2977" i="11"/>
  <c r="N2978" i="11"/>
  <c r="N2979" i="11"/>
  <c r="N2980" i="11"/>
  <c r="N2981" i="11"/>
  <c r="N2982" i="11"/>
  <c r="N2983" i="11"/>
  <c r="N2984" i="11"/>
  <c r="N2985" i="11"/>
  <c r="N2986" i="11"/>
  <c r="N2987" i="11"/>
  <c r="N2988" i="11"/>
  <c r="N2989" i="11"/>
  <c r="N2990" i="11"/>
  <c r="N2991" i="11"/>
  <c r="N2992" i="11"/>
  <c r="N2993" i="11"/>
  <c r="N2994" i="11"/>
  <c r="N2995" i="11"/>
  <c r="N2996" i="11"/>
  <c r="N2997" i="11"/>
  <c r="N2998" i="11"/>
  <c r="N2999" i="11"/>
  <c r="N3000" i="11"/>
  <c r="N3001" i="11"/>
  <c r="N3002" i="11"/>
  <c r="N3003" i="11"/>
  <c r="N3004" i="11"/>
  <c r="N3005" i="11"/>
  <c r="N3006" i="11"/>
  <c r="N3007" i="11"/>
  <c r="N3008" i="11"/>
  <c r="N3009" i="11"/>
  <c r="N3010" i="11"/>
  <c r="N3011" i="11"/>
  <c r="N3012" i="11"/>
  <c r="N3013" i="11"/>
  <c r="N3014" i="11"/>
  <c r="N16" i="11"/>
  <c r="N17" i="11"/>
  <c r="N18" i="11"/>
  <c r="N19" i="11"/>
  <c r="B21" i="18" l="1"/>
  <c r="B22" i="18" s="1"/>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18" i="4"/>
  <c r="B23" i="18" l="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F21" i="24" l="1"/>
  <c r="F22" i="24"/>
  <c r="F20" i="24"/>
  <c r="F18" i="24"/>
  <c r="F19" i="24"/>
  <c r="G5" i="18"/>
  <c r="A1933" i="18" l="1"/>
  <c r="A1915" i="18"/>
  <c r="A2019" i="18"/>
  <c r="A2009" i="18"/>
  <c r="A1925" i="18"/>
  <c r="A1914" i="18"/>
  <c r="A2026" i="18"/>
  <c r="A2008" i="18"/>
  <c r="A2003" i="18"/>
  <c r="A1932" i="18"/>
  <c r="A1913" i="18"/>
  <c r="A2018" i="18"/>
  <c r="A2007" i="18"/>
  <c r="A1912" i="18"/>
  <c r="A2025" i="18"/>
  <c r="A2006" i="18"/>
  <c r="A1931" i="18"/>
  <c r="A1924" i="18"/>
  <c r="A1911" i="18"/>
  <c r="A2005" i="18"/>
  <c r="A1910" i="18"/>
  <c r="A2024" i="18"/>
  <c r="A2017" i="18"/>
  <c r="A2004" i="18"/>
  <c r="A1930" i="18"/>
  <c r="A1909" i="18"/>
  <c r="A1923" i="18"/>
  <c r="A2023" i="18"/>
  <c r="A2002" i="18"/>
  <c r="A1937" i="18"/>
  <c r="A1929" i="18"/>
  <c r="A1908" i="18"/>
  <c r="A2016" i="18"/>
  <c r="A2001" i="18"/>
  <c r="A1922" i="18"/>
  <c r="A2030" i="18"/>
  <c r="A2022" i="18"/>
  <c r="A1936" i="18"/>
  <c r="A1921" i="18"/>
  <c r="A2015" i="18"/>
  <c r="A1928" i="18"/>
  <c r="A1920" i="18"/>
  <c r="A2029" i="18"/>
  <c r="A2014" i="18"/>
  <c r="A1935" i="18"/>
  <c r="A1919" i="18"/>
  <c r="A2021" i="18"/>
  <c r="A2013" i="18"/>
  <c r="A1927" i="18"/>
  <c r="A1918" i="18"/>
  <c r="A2028" i="18"/>
  <c r="A2012" i="18"/>
  <c r="A2010" i="18"/>
  <c r="A1926" i="18"/>
  <c r="A2020" i="18"/>
  <c r="A1934" i="18"/>
  <c r="A1917" i="18"/>
  <c r="A1916" i="18"/>
  <c r="A2027" i="18"/>
  <c r="A2011" i="18"/>
  <c r="E1908" i="18"/>
  <c r="E2001" i="18"/>
  <c r="A78" i="18"/>
  <c r="A89" i="18"/>
  <c r="A101" i="18"/>
  <c r="A112" i="18"/>
  <c r="A124" i="18"/>
  <c r="A136" i="18"/>
  <c r="A147" i="18"/>
  <c r="A159" i="18"/>
  <c r="A171" i="18"/>
  <c r="A182" i="18"/>
  <c r="A194" i="18"/>
  <c r="A205" i="18"/>
  <c r="A217" i="18"/>
  <c r="A229" i="18"/>
  <c r="A240" i="18"/>
  <c r="A252" i="18"/>
  <c r="A264" i="18"/>
  <c r="A275" i="18"/>
  <c r="A287" i="18"/>
  <c r="A298" i="18"/>
  <c r="A310" i="18"/>
  <c r="A322" i="18"/>
  <c r="A333" i="18"/>
  <c r="A345" i="18"/>
  <c r="A357" i="18"/>
  <c r="A368" i="18"/>
  <c r="A380" i="18"/>
  <c r="A391" i="18"/>
  <c r="A403" i="18"/>
  <c r="A415" i="18"/>
  <c r="A426" i="18"/>
  <c r="A438" i="18"/>
  <c r="A450" i="18"/>
  <c r="A461" i="18"/>
  <c r="A473" i="18"/>
  <c r="A484" i="18"/>
  <c r="A496" i="18"/>
  <c r="A508" i="18"/>
  <c r="A519" i="18"/>
  <c r="A531" i="18"/>
  <c r="A543" i="18"/>
  <c r="A554" i="18"/>
  <c r="A566" i="18"/>
  <c r="A577" i="18"/>
  <c r="A589" i="18"/>
  <c r="A601" i="18"/>
  <c r="A612" i="18"/>
  <c r="A624" i="18"/>
  <c r="A636" i="18"/>
  <c r="A647" i="18"/>
  <c r="A659" i="18"/>
  <c r="A670" i="18"/>
  <c r="A682" i="18"/>
  <c r="A694" i="18"/>
  <c r="A705" i="18"/>
  <c r="A717" i="18"/>
  <c r="A729" i="18"/>
  <c r="A740" i="18"/>
  <c r="A752" i="18"/>
  <c r="A763" i="18"/>
  <c r="A775" i="18"/>
  <c r="A787" i="18"/>
  <c r="A798" i="18"/>
  <c r="A810" i="18"/>
  <c r="A822" i="18"/>
  <c r="A833" i="18"/>
  <c r="A845" i="18"/>
  <c r="A856" i="18"/>
  <c r="A868" i="18"/>
  <c r="A880" i="18"/>
  <c r="A891" i="18"/>
  <c r="A903" i="18"/>
  <c r="A915" i="18"/>
  <c r="A926" i="18"/>
  <c r="A938" i="18"/>
  <c r="A949" i="18"/>
  <c r="A961" i="18"/>
  <c r="A973" i="18"/>
  <c r="A984" i="18"/>
  <c r="A996" i="18"/>
  <c r="A1008" i="18"/>
  <c r="A1019" i="18"/>
  <c r="A1031" i="18"/>
  <c r="A1042" i="18"/>
  <c r="A1054" i="18"/>
  <c r="A90" i="18"/>
  <c r="A102" i="18"/>
  <c r="A113" i="18"/>
  <c r="A125" i="18"/>
  <c r="A137" i="18"/>
  <c r="A148" i="18"/>
  <c r="A160" i="18"/>
  <c r="A183" i="18"/>
  <c r="A195" i="18"/>
  <c r="A206" i="18"/>
  <c r="A218" i="18"/>
  <c r="A230" i="18"/>
  <c r="A241" i="18"/>
  <c r="A253" i="18"/>
  <c r="A276" i="18"/>
  <c r="A288" i="18"/>
  <c r="A299" i="18"/>
  <c r="A311" i="18"/>
  <c r="A323" i="18"/>
  <c r="A334" i="18"/>
  <c r="A346" i="18"/>
  <c r="A369" i="18"/>
  <c r="A381" i="18"/>
  <c r="A392" i="18"/>
  <c r="A404" i="18"/>
  <c r="A416" i="18"/>
  <c r="A427" i="18"/>
  <c r="A439" i="18"/>
  <c r="A462" i="18"/>
  <c r="A474" i="18"/>
  <c r="A485" i="18"/>
  <c r="A497" i="18"/>
  <c r="A509" i="18"/>
  <c r="A520" i="18"/>
  <c r="A532" i="18"/>
  <c r="A555" i="18"/>
  <c r="A567" i="18"/>
  <c r="A578" i="18"/>
  <c r="A590" i="18"/>
  <c r="A602" i="18"/>
  <c r="A613" i="18"/>
  <c r="A625" i="18"/>
  <c r="A648" i="18"/>
  <c r="A660" i="18"/>
  <c r="A671" i="18"/>
  <c r="A683" i="18"/>
  <c r="A695" i="18"/>
  <c r="A706" i="18"/>
  <c r="A718" i="18"/>
  <c r="A741" i="18"/>
  <c r="A753" i="18"/>
  <c r="A764" i="18"/>
  <c r="A776" i="18"/>
  <c r="A788" i="18"/>
  <c r="A799" i="18"/>
  <c r="A811" i="18"/>
  <c r="A834" i="18"/>
  <c r="A846" i="18"/>
  <c r="A857" i="18"/>
  <c r="A869" i="18"/>
  <c r="A881" i="18"/>
  <c r="A892" i="18"/>
  <c r="A904" i="18"/>
  <c r="A927" i="18"/>
  <c r="A939" i="18"/>
  <c r="A950" i="18"/>
  <c r="A962" i="18"/>
  <c r="A974" i="18"/>
  <c r="A985" i="18"/>
  <c r="A997" i="18"/>
  <c r="A1020" i="18"/>
  <c r="A1032" i="18"/>
  <c r="A1043" i="18"/>
  <c r="A1055" i="18"/>
  <c r="A79" i="18"/>
  <c r="A91" i="18"/>
  <c r="A103" i="18"/>
  <c r="A114" i="18"/>
  <c r="A126" i="18"/>
  <c r="A138" i="18"/>
  <c r="A149" i="18"/>
  <c r="A161" i="18"/>
  <c r="A172" i="18"/>
  <c r="A184" i="18"/>
  <c r="A196" i="18"/>
  <c r="A207" i="18"/>
  <c r="A219" i="18"/>
  <c r="A231" i="18"/>
  <c r="A242" i="18"/>
  <c r="A254" i="18"/>
  <c r="A265" i="18"/>
  <c r="A277" i="18"/>
  <c r="A289" i="18"/>
  <c r="A300" i="18"/>
  <c r="A312" i="18"/>
  <c r="A324" i="18"/>
  <c r="A335" i="18"/>
  <c r="A347" i="18"/>
  <c r="A358" i="18"/>
  <c r="A370" i="18"/>
  <c r="A382" i="18"/>
  <c r="A393" i="18"/>
  <c r="A405" i="18"/>
  <c r="A417" i="18"/>
  <c r="A428" i="18"/>
  <c r="A440" i="18"/>
  <c r="A451" i="18"/>
  <c r="A463" i="18"/>
  <c r="A475" i="18"/>
  <c r="A486" i="18"/>
  <c r="A498" i="18"/>
  <c r="A510" i="18"/>
  <c r="A521" i="18"/>
  <c r="A533" i="18"/>
  <c r="A544" i="18"/>
  <c r="A556" i="18"/>
  <c r="A568" i="18"/>
  <c r="A579" i="18"/>
  <c r="A591" i="18"/>
  <c r="A603" i="18"/>
  <c r="A614" i="18"/>
  <c r="A626" i="18"/>
  <c r="A637" i="18"/>
  <c r="A649" i="18"/>
  <c r="A661" i="18"/>
  <c r="A672" i="18"/>
  <c r="A684" i="18"/>
  <c r="A696" i="18"/>
  <c r="A707" i="18"/>
  <c r="A719" i="18"/>
  <c r="A730" i="18"/>
  <c r="A742" i="18"/>
  <c r="A754" i="18"/>
  <c r="A765" i="18"/>
  <c r="A777" i="18"/>
  <c r="A789" i="18"/>
  <c r="A800" i="18"/>
  <c r="A812" i="18"/>
  <c r="A823" i="18"/>
  <c r="A835" i="18"/>
  <c r="A847" i="18"/>
  <c r="A858" i="18"/>
  <c r="A870" i="18"/>
  <c r="A882" i="18"/>
  <c r="A893" i="18"/>
  <c r="A905" i="18"/>
  <c r="A916" i="18"/>
  <c r="A928" i="18"/>
  <c r="A940" i="18"/>
  <c r="A951" i="18"/>
  <c r="A963" i="18"/>
  <c r="A975" i="18"/>
  <c r="A986" i="18"/>
  <c r="A998" i="18"/>
  <c r="A1009" i="18"/>
  <c r="A1021" i="18"/>
  <c r="A1033" i="18"/>
  <c r="A1044" i="18"/>
  <c r="A1056" i="18"/>
  <c r="A80" i="18"/>
  <c r="A92" i="18"/>
  <c r="A104" i="18"/>
  <c r="A115" i="18"/>
  <c r="A127" i="18"/>
  <c r="A139" i="18"/>
  <c r="A150" i="18"/>
  <c r="A162" i="18"/>
  <c r="A173" i="18"/>
  <c r="A185" i="18"/>
  <c r="A197" i="18"/>
  <c r="A208" i="18"/>
  <c r="A220" i="18"/>
  <c r="A232" i="18"/>
  <c r="A243" i="18"/>
  <c r="A255" i="18"/>
  <c r="A266" i="18"/>
  <c r="A278" i="18"/>
  <c r="A290" i="18"/>
  <c r="A301" i="18"/>
  <c r="A313" i="18"/>
  <c r="A325" i="18"/>
  <c r="A336" i="18"/>
  <c r="A348" i="18"/>
  <c r="A359" i="18"/>
  <c r="A371" i="18"/>
  <c r="A383" i="18"/>
  <c r="A394" i="18"/>
  <c r="A406" i="18"/>
  <c r="A418" i="18"/>
  <c r="A429" i="18"/>
  <c r="A441" i="18"/>
  <c r="A452" i="18"/>
  <c r="A464" i="18"/>
  <c r="A476" i="18"/>
  <c r="A487" i="18"/>
  <c r="A499" i="18"/>
  <c r="A511" i="18"/>
  <c r="A522" i="18"/>
  <c r="A534" i="18"/>
  <c r="A545" i="18"/>
  <c r="A557" i="18"/>
  <c r="A569" i="18"/>
  <c r="A580" i="18"/>
  <c r="A592" i="18"/>
  <c r="A604" i="18"/>
  <c r="A615" i="18"/>
  <c r="A627" i="18"/>
  <c r="A638" i="18"/>
  <c r="A650" i="18"/>
  <c r="A662" i="18"/>
  <c r="A673" i="18"/>
  <c r="A685" i="18"/>
  <c r="A697" i="18"/>
  <c r="A708" i="18"/>
  <c r="A720" i="18"/>
  <c r="A731" i="18"/>
  <c r="A743" i="18"/>
  <c r="A755" i="18"/>
  <c r="A766" i="18"/>
  <c r="A778" i="18"/>
  <c r="A790" i="18"/>
  <c r="A801" i="18"/>
  <c r="A813" i="18"/>
  <c r="A824" i="18"/>
  <c r="A836" i="18"/>
  <c r="A848" i="18"/>
  <c r="A859" i="18"/>
  <c r="A871" i="18"/>
  <c r="A883" i="18"/>
  <c r="A894" i="18"/>
  <c r="A906" i="18"/>
  <c r="A917" i="18"/>
  <c r="A929" i="18"/>
  <c r="A941" i="18"/>
  <c r="A952" i="18"/>
  <c r="A964" i="18"/>
  <c r="A976" i="18"/>
  <c r="A987" i="18"/>
  <c r="A999" i="18"/>
  <c r="A1010" i="18"/>
  <c r="A1022" i="18"/>
  <c r="A1034" i="18"/>
  <c r="A1045" i="18"/>
  <c r="A1057" i="18"/>
  <c r="A81" i="18"/>
  <c r="A93" i="18"/>
  <c r="A105" i="18"/>
  <c r="A116" i="18"/>
  <c r="A128" i="18"/>
  <c r="A140" i="18"/>
  <c r="A151" i="18"/>
  <c r="A163" i="18"/>
  <c r="A174" i="18"/>
  <c r="A186" i="18"/>
  <c r="A198" i="18"/>
  <c r="A209" i="18"/>
  <c r="A221" i="18"/>
  <c r="A233" i="18"/>
  <c r="A244" i="18"/>
  <c r="A256" i="18"/>
  <c r="A267" i="18"/>
  <c r="A279" i="18"/>
  <c r="A291" i="18"/>
  <c r="A302" i="18"/>
  <c r="A314" i="18"/>
  <c r="A326" i="18"/>
  <c r="A337" i="18"/>
  <c r="A349" i="18"/>
  <c r="A360" i="18"/>
  <c r="A372" i="18"/>
  <c r="A384" i="18"/>
  <c r="A395" i="18"/>
  <c r="A407" i="18"/>
  <c r="A419" i="18"/>
  <c r="A430" i="18"/>
  <c r="A442" i="18"/>
  <c r="A453" i="18"/>
  <c r="A465" i="18"/>
  <c r="A477" i="18"/>
  <c r="A488" i="18"/>
  <c r="A500" i="18"/>
  <c r="A512" i="18"/>
  <c r="A523" i="18"/>
  <c r="A535" i="18"/>
  <c r="A546" i="18"/>
  <c r="A558" i="18"/>
  <c r="A570" i="18"/>
  <c r="A581" i="18"/>
  <c r="A593" i="18"/>
  <c r="A605" i="18"/>
  <c r="A616" i="18"/>
  <c r="A628" i="18"/>
  <c r="A639" i="18"/>
  <c r="A651" i="18"/>
  <c r="A663" i="18"/>
  <c r="A674" i="18"/>
  <c r="A686" i="18"/>
  <c r="A698" i="18"/>
  <c r="A709" i="18"/>
  <c r="A721" i="18"/>
  <c r="A732" i="18"/>
  <c r="A744" i="18"/>
  <c r="A756" i="18"/>
  <c r="A767" i="18"/>
  <c r="A779" i="18"/>
  <c r="A791" i="18"/>
  <c r="A802" i="18"/>
  <c r="A814" i="18"/>
  <c r="A825" i="18"/>
  <c r="A837" i="18"/>
  <c r="A849" i="18"/>
  <c r="A860" i="18"/>
  <c r="A872" i="18"/>
  <c r="A884" i="18"/>
  <c r="A895" i="18"/>
  <c r="A907" i="18"/>
  <c r="A918" i="18"/>
  <c r="A930" i="18"/>
  <c r="A942" i="18"/>
  <c r="A953" i="18"/>
  <c r="A965" i="18"/>
  <c r="A977" i="18"/>
  <c r="A988" i="18"/>
  <c r="A1000" i="18"/>
  <c r="A1011" i="18"/>
  <c r="A1023" i="18"/>
  <c r="A1035" i="18"/>
  <c r="A1046" i="18"/>
  <c r="A1058" i="18"/>
  <c r="A82" i="18"/>
  <c r="A94" i="18"/>
  <c r="A106" i="18"/>
  <c r="A117" i="18"/>
  <c r="A129" i="18"/>
  <c r="A152" i="18"/>
  <c r="A164" i="18"/>
  <c r="A175" i="18"/>
  <c r="A187" i="18"/>
  <c r="A199" i="18"/>
  <c r="A210" i="18"/>
  <c r="A222" i="18"/>
  <c r="A245" i="18"/>
  <c r="A257" i="18"/>
  <c r="A268" i="18"/>
  <c r="A280" i="18"/>
  <c r="A292" i="18"/>
  <c r="A303" i="18"/>
  <c r="A315" i="18"/>
  <c r="A338" i="18"/>
  <c r="A350" i="18"/>
  <c r="A361" i="18"/>
  <c r="A373" i="18"/>
  <c r="A385" i="18"/>
  <c r="A396" i="18"/>
  <c r="A408" i="18"/>
  <c r="A431" i="18"/>
  <c r="A443" i="18"/>
  <c r="A454" i="18"/>
  <c r="A466" i="18"/>
  <c r="A478" i="18"/>
  <c r="A489" i="18"/>
  <c r="A501" i="18"/>
  <c r="A524" i="18"/>
  <c r="A536" i="18"/>
  <c r="A547" i="18"/>
  <c r="A559" i="18"/>
  <c r="A571" i="18"/>
  <c r="A582" i="18"/>
  <c r="A594" i="18"/>
  <c r="A617" i="18"/>
  <c r="A629" i="18"/>
  <c r="A640" i="18"/>
  <c r="A652" i="18"/>
  <c r="A664" i="18"/>
  <c r="A675" i="18"/>
  <c r="A687" i="18"/>
  <c r="A710" i="18"/>
  <c r="A722" i="18"/>
  <c r="A733" i="18"/>
  <c r="A745" i="18"/>
  <c r="A757" i="18"/>
  <c r="A768" i="18"/>
  <c r="A780" i="18"/>
  <c r="A803" i="18"/>
  <c r="A815" i="18"/>
  <c r="A826" i="18"/>
  <c r="A838" i="18"/>
  <c r="A850" i="18"/>
  <c r="A861" i="18"/>
  <c r="A873" i="18"/>
  <c r="A896" i="18"/>
  <c r="A908" i="18"/>
  <c r="A919" i="18"/>
  <c r="A931" i="18"/>
  <c r="A943" i="18"/>
  <c r="A954" i="18"/>
  <c r="A966" i="18"/>
  <c r="A989" i="18"/>
  <c r="A1001" i="18"/>
  <c r="A1012" i="18"/>
  <c r="A1024" i="18"/>
  <c r="A1036" i="18"/>
  <c r="A1047" i="18"/>
  <c r="A1059" i="18"/>
  <c r="A83" i="18"/>
  <c r="A95" i="18"/>
  <c r="A107" i="18"/>
  <c r="A118" i="18"/>
  <c r="A130" i="18"/>
  <c r="A141" i="18"/>
  <c r="A153" i="18"/>
  <c r="A165" i="18"/>
  <c r="A176" i="18"/>
  <c r="A188" i="18"/>
  <c r="A200" i="18"/>
  <c r="A211" i="18"/>
  <c r="A223" i="18"/>
  <c r="A234" i="18"/>
  <c r="A246" i="18"/>
  <c r="A258" i="18"/>
  <c r="A269" i="18"/>
  <c r="A281" i="18"/>
  <c r="A293" i="18"/>
  <c r="A304" i="18"/>
  <c r="A316" i="18"/>
  <c r="A327" i="18"/>
  <c r="A339" i="18"/>
  <c r="A351" i="18"/>
  <c r="A362" i="18"/>
  <c r="A374" i="18"/>
  <c r="A386" i="18"/>
  <c r="A397" i="18"/>
  <c r="A409" i="18"/>
  <c r="A420" i="18"/>
  <c r="A432" i="18"/>
  <c r="A444" i="18"/>
  <c r="A455" i="18"/>
  <c r="A467" i="18"/>
  <c r="A479" i="18"/>
  <c r="A490" i="18"/>
  <c r="A502" i="18"/>
  <c r="A513" i="18"/>
  <c r="A525" i="18"/>
  <c r="A537" i="18"/>
  <c r="A548" i="18"/>
  <c r="A560" i="18"/>
  <c r="A572" i="18"/>
  <c r="A583" i="18"/>
  <c r="A595" i="18"/>
  <c r="A606" i="18"/>
  <c r="A618" i="18"/>
  <c r="A630" i="18"/>
  <c r="A641" i="18"/>
  <c r="A653" i="18"/>
  <c r="A665" i="18"/>
  <c r="A676" i="18"/>
  <c r="A688" i="18"/>
  <c r="A699" i="18"/>
  <c r="A711" i="18"/>
  <c r="A723" i="18"/>
  <c r="A734" i="18"/>
  <c r="A746" i="18"/>
  <c r="A758" i="18"/>
  <c r="A769" i="18"/>
  <c r="A781" i="18"/>
  <c r="A792" i="18"/>
  <c r="A804" i="18"/>
  <c r="A816" i="18"/>
  <c r="A827" i="18"/>
  <c r="A839" i="18"/>
  <c r="A851" i="18"/>
  <c r="A862" i="18"/>
  <c r="A874" i="18"/>
  <c r="A885" i="18"/>
  <c r="A897" i="18"/>
  <c r="A909" i="18"/>
  <c r="A920" i="18"/>
  <c r="A932" i="18"/>
  <c r="A944" i="18"/>
  <c r="A955" i="18"/>
  <c r="A967" i="18"/>
  <c r="A978" i="18"/>
  <c r="A990" i="18"/>
  <c r="A1002" i="18"/>
  <c r="A1013" i="18"/>
  <c r="A1025" i="18"/>
  <c r="A1037" i="18"/>
  <c r="A1048" i="18"/>
  <c r="A1060" i="18"/>
  <c r="A84" i="18"/>
  <c r="A96" i="18"/>
  <c r="A108" i="18"/>
  <c r="A119" i="18"/>
  <c r="A131" i="18"/>
  <c r="A142" i="18"/>
  <c r="A154" i="18"/>
  <c r="A166" i="18"/>
  <c r="A177" i="18"/>
  <c r="A189" i="18"/>
  <c r="A201" i="18"/>
  <c r="A212" i="18"/>
  <c r="A224" i="18"/>
  <c r="A235" i="18"/>
  <c r="A247" i="18"/>
  <c r="A259" i="18"/>
  <c r="A270" i="18"/>
  <c r="A282" i="18"/>
  <c r="A294" i="18"/>
  <c r="A305" i="18"/>
  <c r="A317" i="18"/>
  <c r="A328" i="18"/>
  <c r="A340" i="18"/>
  <c r="A352" i="18"/>
  <c r="A363" i="18"/>
  <c r="A375" i="18"/>
  <c r="A387" i="18"/>
  <c r="A398" i="18"/>
  <c r="A410" i="18"/>
  <c r="A421" i="18"/>
  <c r="A433" i="18"/>
  <c r="A445" i="18"/>
  <c r="A456" i="18"/>
  <c r="A468" i="18"/>
  <c r="A480" i="18"/>
  <c r="A491" i="18"/>
  <c r="A503" i="18"/>
  <c r="A514" i="18"/>
  <c r="A526" i="18"/>
  <c r="A538" i="18"/>
  <c r="A549" i="18"/>
  <c r="A561" i="18"/>
  <c r="A573" i="18"/>
  <c r="A584" i="18"/>
  <c r="A596" i="18"/>
  <c r="A607" i="18"/>
  <c r="A619" i="18"/>
  <c r="A631" i="18"/>
  <c r="A642" i="18"/>
  <c r="A654" i="18"/>
  <c r="A666" i="18"/>
  <c r="A677" i="18"/>
  <c r="A689" i="18"/>
  <c r="A700" i="18"/>
  <c r="A712" i="18"/>
  <c r="A724" i="18"/>
  <c r="A735" i="18"/>
  <c r="A747" i="18"/>
  <c r="A759" i="18"/>
  <c r="A770" i="18"/>
  <c r="A782" i="18"/>
  <c r="A793" i="18"/>
  <c r="A805" i="18"/>
  <c r="A817" i="18"/>
  <c r="A828" i="18"/>
  <c r="A840" i="18"/>
  <c r="A852" i="18"/>
  <c r="A863" i="18"/>
  <c r="A875" i="18"/>
  <c r="A886" i="18"/>
  <c r="A898" i="18"/>
  <c r="A910" i="18"/>
  <c r="A921" i="18"/>
  <c r="A933" i="18"/>
  <c r="A945" i="18"/>
  <c r="A956" i="18"/>
  <c r="A968" i="18"/>
  <c r="A979" i="18"/>
  <c r="A991" i="18"/>
  <c r="A1003" i="18"/>
  <c r="A1014" i="18"/>
  <c r="A1026" i="18"/>
  <c r="A1038" i="18"/>
  <c r="A1049" i="18"/>
  <c r="A1061" i="18"/>
  <c r="A85" i="18"/>
  <c r="A97" i="18"/>
  <c r="A109" i="18"/>
  <c r="A120" i="18"/>
  <c r="A132" i="18"/>
  <c r="A143" i="18"/>
  <c r="A155" i="18"/>
  <c r="A167" i="18"/>
  <c r="A178" i="18"/>
  <c r="A190" i="18"/>
  <c r="A202" i="18"/>
  <c r="A213" i="18"/>
  <c r="A225" i="18"/>
  <c r="A236" i="18"/>
  <c r="A248" i="18"/>
  <c r="A260" i="18"/>
  <c r="A271" i="18"/>
  <c r="A283" i="18"/>
  <c r="A295" i="18"/>
  <c r="A306" i="18"/>
  <c r="A318" i="18"/>
  <c r="A329" i="18"/>
  <c r="A341" i="18"/>
  <c r="A353" i="18"/>
  <c r="A364" i="18"/>
  <c r="A376" i="18"/>
  <c r="A388" i="18"/>
  <c r="A399" i="18"/>
  <c r="A411" i="18"/>
  <c r="A422" i="18"/>
  <c r="A434" i="18"/>
  <c r="A446" i="18"/>
  <c r="A457" i="18"/>
  <c r="A469" i="18"/>
  <c r="A481" i="18"/>
  <c r="A492" i="18"/>
  <c r="A504" i="18"/>
  <c r="A515" i="18"/>
  <c r="A527" i="18"/>
  <c r="A539" i="18"/>
  <c r="A550" i="18"/>
  <c r="A562" i="18"/>
  <c r="A574" i="18"/>
  <c r="A585" i="18"/>
  <c r="A597" i="18"/>
  <c r="A608" i="18"/>
  <c r="A620" i="18"/>
  <c r="A632" i="18"/>
  <c r="A643" i="18"/>
  <c r="A655" i="18"/>
  <c r="A667" i="18"/>
  <c r="A678" i="18"/>
  <c r="A690" i="18"/>
  <c r="A701" i="18"/>
  <c r="A713" i="18"/>
  <c r="A725" i="18"/>
  <c r="A736" i="18"/>
  <c r="A748" i="18"/>
  <c r="A760" i="18"/>
  <c r="A771" i="18"/>
  <c r="A783" i="18"/>
  <c r="A794" i="18"/>
  <c r="A806" i="18"/>
  <c r="A818" i="18"/>
  <c r="A829" i="18"/>
  <c r="A841" i="18"/>
  <c r="A853" i="18"/>
  <c r="A864" i="18"/>
  <c r="A876" i="18"/>
  <c r="A887" i="18"/>
  <c r="A899" i="18"/>
  <c r="A911" i="18"/>
  <c r="A922" i="18"/>
  <c r="A934" i="18"/>
  <c r="A946" i="18"/>
  <c r="A957" i="18"/>
  <c r="A969" i="18"/>
  <c r="A980" i="18"/>
  <c r="A992" i="18"/>
  <c r="A1004" i="18"/>
  <c r="A1015" i="18"/>
  <c r="A1027" i="18"/>
  <c r="A1039" i="18"/>
  <c r="A1050" i="18"/>
  <c r="A1062" i="18"/>
  <c r="A86" i="18"/>
  <c r="A98" i="18"/>
  <c r="A121" i="18"/>
  <c r="A133" i="18"/>
  <c r="A144" i="18"/>
  <c r="A156" i="18"/>
  <c r="A168" i="18"/>
  <c r="A179" i="18"/>
  <c r="A191" i="18"/>
  <c r="A214" i="18"/>
  <c r="A226" i="18"/>
  <c r="A237" i="18"/>
  <c r="A249" i="18"/>
  <c r="A261" i="18"/>
  <c r="A272" i="18"/>
  <c r="A284" i="18"/>
  <c r="A307" i="18"/>
  <c r="A319" i="18"/>
  <c r="A330" i="18"/>
  <c r="A342" i="18"/>
  <c r="A354" i="18"/>
  <c r="A365" i="18"/>
  <c r="A377" i="18"/>
  <c r="A400" i="18"/>
  <c r="A412" i="18"/>
  <c r="A423" i="18"/>
  <c r="A435" i="18"/>
  <c r="A447" i="18"/>
  <c r="A458" i="18"/>
  <c r="A470" i="18"/>
  <c r="A493" i="18"/>
  <c r="A505" i="18"/>
  <c r="A516" i="18"/>
  <c r="A528" i="18"/>
  <c r="A540" i="18"/>
  <c r="A551" i="18"/>
  <c r="A563" i="18"/>
  <c r="A586" i="18"/>
  <c r="A598" i="18"/>
  <c r="A609" i="18"/>
  <c r="A621" i="18"/>
  <c r="A633" i="18"/>
  <c r="A644" i="18"/>
  <c r="A656" i="18"/>
  <c r="A679" i="18"/>
  <c r="A691" i="18"/>
  <c r="A702" i="18"/>
  <c r="A714" i="18"/>
  <c r="A726" i="18"/>
  <c r="A737" i="18"/>
  <c r="A749" i="18"/>
  <c r="A772" i="18"/>
  <c r="A784" i="18"/>
  <c r="A795" i="18"/>
  <c r="A807" i="18"/>
  <c r="A819" i="18"/>
  <c r="A830" i="18"/>
  <c r="A842" i="18"/>
  <c r="A865" i="18"/>
  <c r="A877" i="18"/>
  <c r="A888" i="18"/>
  <c r="A900" i="18"/>
  <c r="A912" i="18"/>
  <c r="A923" i="18"/>
  <c r="A935" i="18"/>
  <c r="A958" i="18"/>
  <c r="A970" i="18"/>
  <c r="A981" i="18"/>
  <c r="A993" i="18"/>
  <c r="A1005" i="18"/>
  <c r="A1016" i="18"/>
  <c r="A1028" i="18"/>
  <c r="A1051" i="18"/>
  <c r="A1063" i="18"/>
  <c r="A87" i="18"/>
  <c r="A157" i="18"/>
  <c r="A227" i="18"/>
  <c r="A296" i="18"/>
  <c r="A366" i="18"/>
  <c r="A436" i="18"/>
  <c r="A506" i="18"/>
  <c r="A575" i="18"/>
  <c r="A645" i="18"/>
  <c r="A715" i="18"/>
  <c r="A785" i="18"/>
  <c r="A854" i="18"/>
  <c r="A924" i="18"/>
  <c r="A994" i="18"/>
  <c r="A1064" i="18"/>
  <c r="A1075" i="18"/>
  <c r="A1087" i="18"/>
  <c r="A1099" i="18"/>
  <c r="A1110" i="18"/>
  <c r="A1122" i="18"/>
  <c r="A1133" i="18"/>
  <c r="A1145" i="18"/>
  <c r="A1157" i="18"/>
  <c r="A1168" i="18"/>
  <c r="A1180" i="18"/>
  <c r="A1192" i="18"/>
  <c r="A1203" i="18"/>
  <c r="A1215" i="18"/>
  <c r="A1226" i="18"/>
  <c r="A1238" i="18"/>
  <c r="A1250" i="18"/>
  <c r="A1261" i="18"/>
  <c r="A1273" i="18"/>
  <c r="A1285" i="18"/>
  <c r="A1296" i="18"/>
  <c r="A1308" i="18"/>
  <c r="A1319" i="18"/>
  <c r="A1331" i="18"/>
  <c r="A1343" i="18"/>
  <c r="A1354" i="18"/>
  <c r="A1366" i="18"/>
  <c r="A1378" i="18"/>
  <c r="A1389" i="18"/>
  <c r="A1401" i="18"/>
  <c r="A1412" i="18"/>
  <c r="A1424" i="18"/>
  <c r="A1436" i="18"/>
  <c r="A1447" i="18"/>
  <c r="A1459" i="18"/>
  <c r="A1471" i="18"/>
  <c r="A1482" i="18"/>
  <c r="A1494" i="18"/>
  <c r="A1505" i="18"/>
  <c r="A1517" i="18"/>
  <c r="A1529" i="18"/>
  <c r="A1540" i="18"/>
  <c r="A1552" i="18"/>
  <c r="A1564" i="18"/>
  <c r="A1575" i="18"/>
  <c r="A1587" i="18"/>
  <c r="A1598" i="18"/>
  <c r="A1610" i="18"/>
  <c r="A1622" i="18"/>
  <c r="A1633" i="18"/>
  <c r="A1645" i="18"/>
  <c r="A1657" i="18"/>
  <c r="A1668" i="18"/>
  <c r="A1680" i="18"/>
  <c r="A1691" i="18"/>
  <c r="A1703" i="18"/>
  <c r="A1715" i="18"/>
  <c r="A1726" i="18"/>
  <c r="A1738" i="18"/>
  <c r="A1750" i="18"/>
  <c r="A1761" i="18"/>
  <c r="A1773" i="18"/>
  <c r="A1784" i="18"/>
  <c r="A1796" i="18"/>
  <c r="A1808" i="18"/>
  <c r="A1819" i="18"/>
  <c r="A1831" i="18"/>
  <c r="A1843" i="18"/>
  <c r="A1854" i="18"/>
  <c r="A1866" i="18"/>
  <c r="A1877" i="18"/>
  <c r="A1889" i="18"/>
  <c r="A88" i="18"/>
  <c r="A158" i="18"/>
  <c r="A228" i="18"/>
  <c r="A297" i="18"/>
  <c r="A367" i="18"/>
  <c r="A437" i="18"/>
  <c r="A507" i="18"/>
  <c r="A576" i="18"/>
  <c r="A646" i="18"/>
  <c r="A716" i="18"/>
  <c r="A786" i="18"/>
  <c r="A855" i="18"/>
  <c r="A925" i="18"/>
  <c r="A995" i="18"/>
  <c r="A1065" i="18"/>
  <c r="A1076" i="18"/>
  <c r="A1088" i="18"/>
  <c r="A1100" i="18"/>
  <c r="A1111" i="18"/>
  <c r="A1123" i="18"/>
  <c r="A1134" i="18"/>
  <c r="A1146" i="18"/>
  <c r="A1158" i="18"/>
  <c r="A1169" i="18"/>
  <c r="A1181" i="18"/>
  <c r="A1193" i="18"/>
  <c r="A1204" i="18"/>
  <c r="A1216" i="18"/>
  <c r="A1227" i="18"/>
  <c r="A1239" i="18"/>
  <c r="A1251" i="18"/>
  <c r="A1262" i="18"/>
  <c r="A1274" i="18"/>
  <c r="A1286" i="18"/>
  <c r="A1297" i="18"/>
  <c r="A1309" i="18"/>
  <c r="A1320" i="18"/>
  <c r="A1332" i="18"/>
  <c r="A1344" i="18"/>
  <c r="A1355" i="18"/>
  <c r="A1367" i="18"/>
  <c r="A1379" i="18"/>
  <c r="A1390" i="18"/>
  <c r="A1402" i="18"/>
  <c r="A1413" i="18"/>
  <c r="A1425" i="18"/>
  <c r="A1437" i="18"/>
  <c r="A1448" i="18"/>
  <c r="A1460" i="18"/>
  <c r="A1472" i="18"/>
  <c r="A1483" i="18"/>
  <c r="A1495" i="18"/>
  <c r="A1506" i="18"/>
  <c r="A1518" i="18"/>
  <c r="A1530" i="18"/>
  <c r="A1541" i="18"/>
  <c r="A1553" i="18"/>
  <c r="A1565" i="18"/>
  <c r="A1576" i="18"/>
  <c r="A1588" i="18"/>
  <c r="A1599" i="18"/>
  <c r="A1611" i="18"/>
  <c r="A1623" i="18"/>
  <c r="A1634" i="18"/>
  <c r="A1646" i="18"/>
  <c r="A1658" i="18"/>
  <c r="A1669" i="18"/>
  <c r="A1681" i="18"/>
  <c r="A1692" i="18"/>
  <c r="A1704" i="18"/>
  <c r="A1716" i="18"/>
  <c r="A1727" i="18"/>
  <c r="A1739" i="18"/>
  <c r="A1751" i="18"/>
  <c r="A1762" i="18"/>
  <c r="A1774" i="18"/>
  <c r="A1785" i="18"/>
  <c r="A1797" i="18"/>
  <c r="A1809" i="18"/>
  <c r="A1820" i="18"/>
  <c r="A1832" i="18"/>
  <c r="A1844" i="18"/>
  <c r="A1855" i="18"/>
  <c r="A1867" i="18"/>
  <c r="A1878" i="18"/>
  <c r="A99" i="18"/>
  <c r="A169" i="18"/>
  <c r="A238" i="18"/>
  <c r="A308" i="18"/>
  <c r="A378" i="18"/>
  <c r="A448" i="18"/>
  <c r="A517" i="18"/>
  <c r="A587" i="18"/>
  <c r="A657" i="18"/>
  <c r="A727" i="18"/>
  <c r="A796" i="18"/>
  <c r="A866" i="18"/>
  <c r="A936" i="18"/>
  <c r="A1006" i="18"/>
  <c r="A1066" i="18"/>
  <c r="A1077" i="18"/>
  <c r="A1089" i="18"/>
  <c r="A1101" i="18"/>
  <c r="A1112" i="18"/>
  <c r="A1124" i="18"/>
  <c r="A1135" i="18"/>
  <c r="A1147" i="18"/>
  <c r="A1159" i="18"/>
  <c r="A1170" i="18"/>
  <c r="A1182" i="18"/>
  <c r="A1194" i="18"/>
  <c r="A1205" i="18"/>
  <c r="A1217" i="18"/>
  <c r="A1228" i="18"/>
  <c r="A1240" i="18"/>
  <c r="A1252" i="18"/>
  <c r="A1263" i="18"/>
  <c r="A1275" i="18"/>
  <c r="A1287" i="18"/>
  <c r="A1298" i="18"/>
  <c r="A1310" i="18"/>
  <c r="A1321" i="18"/>
  <c r="A1333" i="18"/>
  <c r="A1345" i="18"/>
  <c r="A1356" i="18"/>
  <c r="A1368" i="18"/>
  <c r="A1380" i="18"/>
  <c r="A1391" i="18"/>
  <c r="A1403" i="18"/>
  <c r="A1414" i="18"/>
  <c r="A1426" i="18"/>
  <c r="A1438" i="18"/>
  <c r="A1449" i="18"/>
  <c r="A1461" i="18"/>
  <c r="A1473" i="18"/>
  <c r="A1484" i="18"/>
  <c r="A1496" i="18"/>
  <c r="A1507" i="18"/>
  <c r="A1519" i="18"/>
  <c r="A1531" i="18"/>
  <c r="A1542" i="18"/>
  <c r="A1554" i="18"/>
  <c r="A1566" i="18"/>
  <c r="A1577" i="18"/>
  <c r="A1589" i="18"/>
  <c r="A1600" i="18"/>
  <c r="A1612" i="18"/>
  <c r="A1624" i="18"/>
  <c r="A1635" i="18"/>
  <c r="A1647" i="18"/>
  <c r="A1659" i="18"/>
  <c r="A1670" i="18"/>
  <c r="A1682" i="18"/>
  <c r="A1693" i="18"/>
  <c r="A1705" i="18"/>
  <c r="A1717" i="18"/>
  <c r="A1728" i="18"/>
  <c r="A1740" i="18"/>
  <c r="A1752" i="18"/>
  <c r="A1763" i="18"/>
  <c r="A1775" i="18"/>
  <c r="A1786" i="18"/>
  <c r="A1798" i="18"/>
  <c r="A1810" i="18"/>
  <c r="A1821" i="18"/>
  <c r="A1833" i="18"/>
  <c r="A1845" i="18"/>
  <c r="A1856" i="18"/>
  <c r="A1868" i="18"/>
  <c r="A1879" i="18"/>
  <c r="A100" i="18"/>
  <c r="A170" i="18"/>
  <c r="A239" i="18"/>
  <c r="A309" i="18"/>
  <c r="A379" i="18"/>
  <c r="A449" i="18"/>
  <c r="A518" i="18"/>
  <c r="A588" i="18"/>
  <c r="A658" i="18"/>
  <c r="A728" i="18"/>
  <c r="A797" i="18"/>
  <c r="A867" i="18"/>
  <c r="A937" i="18"/>
  <c r="A1007" i="18"/>
  <c r="A1067" i="18"/>
  <c r="A1078" i="18"/>
  <c r="A1090" i="18"/>
  <c r="A1113" i="18"/>
  <c r="A1125" i="18"/>
  <c r="A1136" i="18"/>
  <c r="A1148" i="18"/>
  <c r="A1160" i="18"/>
  <c r="A1171" i="18"/>
  <c r="A1183" i="18"/>
  <c r="A1206" i="18"/>
  <c r="A1218" i="18"/>
  <c r="A1229" i="18"/>
  <c r="A1241" i="18"/>
  <c r="A1253" i="18"/>
  <c r="A1264" i="18"/>
  <c r="A1276" i="18"/>
  <c r="A1299" i="18"/>
  <c r="A1311" i="18"/>
  <c r="A1322" i="18"/>
  <c r="A1334" i="18"/>
  <c r="A1346" i="18"/>
  <c r="A1357" i="18"/>
  <c r="A1369" i="18"/>
  <c r="A1392" i="18"/>
  <c r="A1404" i="18"/>
  <c r="A1415" i="18"/>
  <c r="A1427" i="18"/>
  <c r="A1439" i="18"/>
  <c r="A1450" i="18"/>
  <c r="A1462" i="18"/>
  <c r="A1485" i="18"/>
  <c r="A1497" i="18"/>
  <c r="A1508" i="18"/>
  <c r="A1520" i="18"/>
  <c r="A1532" i="18"/>
  <c r="A1543" i="18"/>
  <c r="A1555" i="18"/>
  <c r="A1578" i="18"/>
  <c r="A1590" i="18"/>
  <c r="A1601" i="18"/>
  <c r="A1613" i="18"/>
  <c r="A1625" i="18"/>
  <c r="A1636" i="18"/>
  <c r="A1648" i="18"/>
  <c r="A1671" i="18"/>
  <c r="A1683" i="18"/>
  <c r="A1694" i="18"/>
  <c r="A1706" i="18"/>
  <c r="A1718" i="18"/>
  <c r="A1729" i="18"/>
  <c r="A1741" i="18"/>
  <c r="A1764" i="18"/>
  <c r="A1776" i="18"/>
  <c r="A1787" i="18"/>
  <c r="A1799" i="18"/>
  <c r="A1811" i="18"/>
  <c r="A1822" i="18"/>
  <c r="A1834" i="18"/>
  <c r="A1857" i="18"/>
  <c r="A1869" i="18"/>
  <c r="A1880" i="18"/>
  <c r="A110" i="18"/>
  <c r="A180" i="18"/>
  <c r="A250" i="18"/>
  <c r="A320" i="18"/>
  <c r="A389" i="18"/>
  <c r="A459" i="18"/>
  <c r="A529" i="18"/>
  <c r="A599" i="18"/>
  <c r="A668" i="18"/>
  <c r="A738" i="18"/>
  <c r="A808" i="18"/>
  <c r="A878" i="18"/>
  <c r="A947" i="18"/>
  <c r="A1017" i="18"/>
  <c r="A1068" i="18"/>
  <c r="A1079" i="18"/>
  <c r="A1091" i="18"/>
  <c r="A1102" i="18"/>
  <c r="A1114" i="18"/>
  <c r="A1126" i="18"/>
  <c r="A1137" i="18"/>
  <c r="A1149" i="18"/>
  <c r="A1161" i="18"/>
  <c r="A1172" i="18"/>
  <c r="A1184" i="18"/>
  <c r="A1195" i="18"/>
  <c r="A1207" i="18"/>
  <c r="A1219" i="18"/>
  <c r="A1230" i="18"/>
  <c r="A1242" i="18"/>
  <c r="A1254" i="18"/>
  <c r="A1265" i="18"/>
  <c r="A1277" i="18"/>
  <c r="A1288" i="18"/>
  <c r="A1300" i="18"/>
  <c r="A1312" i="18"/>
  <c r="A1323" i="18"/>
  <c r="A1335" i="18"/>
  <c r="A1347" i="18"/>
  <c r="A1358" i="18"/>
  <c r="A1370" i="18"/>
  <c r="A1381" i="18"/>
  <c r="A1393" i="18"/>
  <c r="A1405" i="18"/>
  <c r="A1416" i="18"/>
  <c r="A1428" i="18"/>
  <c r="A1440" i="18"/>
  <c r="A1451" i="18"/>
  <c r="A1463" i="18"/>
  <c r="A1474" i="18"/>
  <c r="A1486" i="18"/>
  <c r="A1498" i="18"/>
  <c r="A1509" i="18"/>
  <c r="A1521" i="18"/>
  <c r="A1533" i="18"/>
  <c r="A1544" i="18"/>
  <c r="A1556" i="18"/>
  <c r="A1567" i="18"/>
  <c r="A1579" i="18"/>
  <c r="A1591" i="18"/>
  <c r="A1602" i="18"/>
  <c r="A1614" i="18"/>
  <c r="A1626" i="18"/>
  <c r="A1637" i="18"/>
  <c r="A1649" i="18"/>
  <c r="A1660" i="18"/>
  <c r="A1672" i="18"/>
  <c r="A1684" i="18"/>
  <c r="A1695" i="18"/>
  <c r="A1707" i="18"/>
  <c r="A1719" i="18"/>
  <c r="A1730" i="18"/>
  <c r="A1742" i="18"/>
  <c r="A1753" i="18"/>
  <c r="A1765" i="18"/>
  <c r="A1777" i="18"/>
  <c r="A1788" i="18"/>
  <c r="A1800" i="18"/>
  <c r="A1812" i="18"/>
  <c r="A1823" i="18"/>
  <c r="A1835" i="18"/>
  <c r="A1846" i="18"/>
  <c r="A1858" i="18"/>
  <c r="A1870" i="18"/>
  <c r="A1881" i="18"/>
  <c r="A111" i="18"/>
  <c r="A181" i="18"/>
  <c r="A251" i="18"/>
  <c r="A321" i="18"/>
  <c r="A390" i="18"/>
  <c r="A460" i="18"/>
  <c r="A530" i="18"/>
  <c r="A600" i="18"/>
  <c r="A669" i="18"/>
  <c r="A739" i="18"/>
  <c r="A809" i="18"/>
  <c r="A879" i="18"/>
  <c r="A948" i="18"/>
  <c r="A1018" i="18"/>
  <c r="A1069" i="18"/>
  <c r="A1080" i="18"/>
  <c r="A1092" i="18"/>
  <c r="A1103" i="18"/>
  <c r="A1115" i="18"/>
  <c r="A1127" i="18"/>
  <c r="A1138" i="18"/>
  <c r="A1150" i="18"/>
  <c r="A1162" i="18"/>
  <c r="A1173" i="18"/>
  <c r="A1185" i="18"/>
  <c r="A1196" i="18"/>
  <c r="A1208" i="18"/>
  <c r="A1220" i="18"/>
  <c r="A1231" i="18"/>
  <c r="A1243" i="18"/>
  <c r="A1255" i="18"/>
  <c r="A1266" i="18"/>
  <c r="A1278" i="18"/>
  <c r="A1289" i="18"/>
  <c r="A1301" i="18"/>
  <c r="A1313" i="18"/>
  <c r="A1324" i="18"/>
  <c r="A1336" i="18"/>
  <c r="A1348" i="18"/>
  <c r="A1359" i="18"/>
  <c r="A1371" i="18"/>
  <c r="A1382" i="18"/>
  <c r="A1394" i="18"/>
  <c r="A1406" i="18"/>
  <c r="A1417" i="18"/>
  <c r="A1429" i="18"/>
  <c r="A1441" i="18"/>
  <c r="A1452" i="18"/>
  <c r="A1464" i="18"/>
  <c r="A1475" i="18"/>
  <c r="A1487" i="18"/>
  <c r="A1499" i="18"/>
  <c r="A1510" i="18"/>
  <c r="A1522" i="18"/>
  <c r="A1534" i="18"/>
  <c r="A1545" i="18"/>
  <c r="A1557" i="18"/>
  <c r="A1568" i="18"/>
  <c r="A1580" i="18"/>
  <c r="A1592" i="18"/>
  <c r="A1603" i="18"/>
  <c r="A1615" i="18"/>
  <c r="A1627" i="18"/>
  <c r="A1638" i="18"/>
  <c r="A1650" i="18"/>
  <c r="A1661" i="18"/>
  <c r="A1673" i="18"/>
  <c r="A1685" i="18"/>
  <c r="A1696" i="18"/>
  <c r="A1708" i="18"/>
  <c r="A1720" i="18"/>
  <c r="A1731" i="18"/>
  <c r="A1743" i="18"/>
  <c r="A1754" i="18"/>
  <c r="A1766" i="18"/>
  <c r="A1778" i="18"/>
  <c r="A1789" i="18"/>
  <c r="A1801" i="18"/>
  <c r="A1813" i="18"/>
  <c r="A1824" i="18"/>
  <c r="A1836" i="18"/>
  <c r="A1847" i="18"/>
  <c r="A1859" i="18"/>
  <c r="A1871" i="18"/>
  <c r="A1882" i="18"/>
  <c r="A122" i="18"/>
  <c r="A192" i="18"/>
  <c r="A262" i="18"/>
  <c r="A331" i="18"/>
  <c r="A401" i="18"/>
  <c r="A471" i="18"/>
  <c r="A541" i="18"/>
  <c r="A610" i="18"/>
  <c r="A680" i="18"/>
  <c r="A750" i="18"/>
  <c r="A820" i="18"/>
  <c r="A889" i="18"/>
  <c r="A959" i="18"/>
  <c r="A1029" i="18"/>
  <c r="A1070" i="18"/>
  <c r="A1081" i="18"/>
  <c r="A1093" i="18"/>
  <c r="A1104" i="18"/>
  <c r="A1116" i="18"/>
  <c r="A1128" i="18"/>
  <c r="A1139" i="18"/>
  <c r="A1151" i="18"/>
  <c r="A1163" i="18"/>
  <c r="A1174" i="18"/>
  <c r="A1186" i="18"/>
  <c r="A1197" i="18"/>
  <c r="A1209" i="18"/>
  <c r="A1221" i="18"/>
  <c r="A1232" i="18"/>
  <c r="A1244" i="18"/>
  <c r="A1256" i="18"/>
  <c r="A1267" i="18"/>
  <c r="A1279" i="18"/>
  <c r="A1290" i="18"/>
  <c r="A1302" i="18"/>
  <c r="A1314" i="18"/>
  <c r="A1325" i="18"/>
  <c r="A1337" i="18"/>
  <c r="A1349" i="18"/>
  <c r="A1360" i="18"/>
  <c r="A1372" i="18"/>
  <c r="A1383" i="18"/>
  <c r="A1395" i="18"/>
  <c r="A1407" i="18"/>
  <c r="A1418" i="18"/>
  <c r="A1430" i="18"/>
  <c r="A1442" i="18"/>
  <c r="A1453" i="18"/>
  <c r="A1465" i="18"/>
  <c r="A1476" i="18"/>
  <c r="A1488" i="18"/>
  <c r="A1500" i="18"/>
  <c r="A1511" i="18"/>
  <c r="A1523" i="18"/>
  <c r="A1535" i="18"/>
  <c r="A1546" i="18"/>
  <c r="A1558" i="18"/>
  <c r="A1569" i="18"/>
  <c r="A1581" i="18"/>
  <c r="A1593" i="18"/>
  <c r="A1604" i="18"/>
  <c r="A1616" i="18"/>
  <c r="A1628" i="18"/>
  <c r="A1639" i="18"/>
  <c r="A1651" i="18"/>
  <c r="A1662" i="18"/>
  <c r="A1674" i="18"/>
  <c r="A1686" i="18"/>
  <c r="A1697" i="18"/>
  <c r="A1709" i="18"/>
  <c r="A1721" i="18"/>
  <c r="A1732" i="18"/>
  <c r="A1744" i="18"/>
  <c r="A1755" i="18"/>
  <c r="A1767" i="18"/>
  <c r="A1779" i="18"/>
  <c r="A1790" i="18"/>
  <c r="A1802" i="18"/>
  <c r="A1814" i="18"/>
  <c r="A1825" i="18"/>
  <c r="A1837" i="18"/>
  <c r="A1848" i="18"/>
  <c r="A1860" i="18"/>
  <c r="A1872" i="18"/>
  <c r="A1883" i="18"/>
  <c r="A123" i="18"/>
  <c r="A193" i="18"/>
  <c r="A263" i="18"/>
  <c r="A332" i="18"/>
  <c r="A402" i="18"/>
  <c r="A472" i="18"/>
  <c r="A542" i="18"/>
  <c r="A611" i="18"/>
  <c r="A681" i="18"/>
  <c r="A751" i="18"/>
  <c r="A821" i="18"/>
  <c r="A890" i="18"/>
  <c r="A960" i="18"/>
  <c r="A1030" i="18"/>
  <c r="A1082" i="18"/>
  <c r="A1094" i="18"/>
  <c r="A1105" i="18"/>
  <c r="A1117" i="18"/>
  <c r="A1129" i="18"/>
  <c r="A1140" i="18"/>
  <c r="A1152" i="18"/>
  <c r="A1175" i="18"/>
  <c r="A1187" i="18"/>
  <c r="A1198" i="18"/>
  <c r="A1210" i="18"/>
  <c r="A1222" i="18"/>
  <c r="A1233" i="18"/>
  <c r="A1245" i="18"/>
  <c r="A1268" i="18"/>
  <c r="A1280" i="18"/>
  <c r="A1291" i="18"/>
  <c r="A1303" i="18"/>
  <c r="A1315" i="18"/>
  <c r="A1326" i="18"/>
  <c r="A1338" i="18"/>
  <c r="A1361" i="18"/>
  <c r="A1373" i="18"/>
  <c r="A1384" i="18"/>
  <c r="A1396" i="18"/>
  <c r="A1408" i="18"/>
  <c r="A1419" i="18"/>
  <c r="A1431" i="18"/>
  <c r="A1454" i="18"/>
  <c r="A1466" i="18"/>
  <c r="A1477" i="18"/>
  <c r="A1489" i="18"/>
  <c r="A1501" i="18"/>
  <c r="A1512" i="18"/>
  <c r="A1524" i="18"/>
  <c r="A1547" i="18"/>
  <c r="A1559" i="18"/>
  <c r="A1570" i="18"/>
  <c r="A1582" i="18"/>
  <c r="A1594" i="18"/>
  <c r="A1605" i="18"/>
  <c r="A1617" i="18"/>
  <c r="A1640" i="18"/>
  <c r="A1652" i="18"/>
  <c r="A1663" i="18"/>
  <c r="A1675" i="18"/>
  <c r="A1687" i="18"/>
  <c r="A1698" i="18"/>
  <c r="A1710" i="18"/>
  <c r="A1733" i="18"/>
  <c r="A1745" i="18"/>
  <c r="A1756" i="18"/>
  <c r="A1768" i="18"/>
  <c r="A1780" i="18"/>
  <c r="A1791" i="18"/>
  <c r="A1803" i="18"/>
  <c r="A1826" i="18"/>
  <c r="A1838" i="18"/>
  <c r="A1849" i="18"/>
  <c r="A1861" i="18"/>
  <c r="A1873" i="18"/>
  <c r="A1884" i="18"/>
  <c r="A134" i="18"/>
  <c r="A203" i="18"/>
  <c r="A273" i="18"/>
  <c r="A343" i="18"/>
  <c r="A413" i="18"/>
  <c r="A482" i="18"/>
  <c r="A552" i="18"/>
  <c r="A622" i="18"/>
  <c r="A692" i="18"/>
  <c r="A761" i="18"/>
  <c r="A831" i="18"/>
  <c r="A901" i="18"/>
  <c r="A971" i="18"/>
  <c r="A1040" i="18"/>
  <c r="A1071" i="18"/>
  <c r="A1083" i="18"/>
  <c r="A1095" i="18"/>
  <c r="A1106" i="18"/>
  <c r="A1118" i="18"/>
  <c r="A1130" i="18"/>
  <c r="A1141" i="18"/>
  <c r="A1153" i="18"/>
  <c r="A1164" i="18"/>
  <c r="A1176" i="18"/>
  <c r="A1188" i="18"/>
  <c r="A1199" i="18"/>
  <c r="A1211" i="18"/>
  <c r="A1223" i="18"/>
  <c r="A1234" i="18"/>
  <c r="A1246" i="18"/>
  <c r="A1257" i="18"/>
  <c r="A1269" i="18"/>
  <c r="A1281" i="18"/>
  <c r="A1292" i="18"/>
  <c r="A1304" i="18"/>
  <c r="A1316" i="18"/>
  <c r="A1327" i="18"/>
  <c r="A1339" i="18"/>
  <c r="A1350" i="18"/>
  <c r="A1362" i="18"/>
  <c r="A1374" i="18"/>
  <c r="A1385" i="18"/>
  <c r="A1397" i="18"/>
  <c r="A1409" i="18"/>
  <c r="A1420" i="18"/>
  <c r="A1432" i="18"/>
  <c r="A1443" i="18"/>
  <c r="A1455" i="18"/>
  <c r="A1467" i="18"/>
  <c r="A1478" i="18"/>
  <c r="A1490" i="18"/>
  <c r="A1502" i="18"/>
  <c r="A1513" i="18"/>
  <c r="A1525" i="18"/>
  <c r="A1536" i="18"/>
  <c r="A1548" i="18"/>
  <c r="A1560" i="18"/>
  <c r="A1571" i="18"/>
  <c r="A1583" i="18"/>
  <c r="A1595" i="18"/>
  <c r="A1606" i="18"/>
  <c r="A1618" i="18"/>
  <c r="A1629" i="18"/>
  <c r="A1641" i="18"/>
  <c r="A1653" i="18"/>
  <c r="A1664" i="18"/>
  <c r="A1676" i="18"/>
  <c r="A1688" i="18"/>
  <c r="A1699" i="18"/>
  <c r="A1711" i="18"/>
  <c r="A1722" i="18"/>
  <c r="A1734" i="18"/>
  <c r="A1746" i="18"/>
  <c r="A1757" i="18"/>
  <c r="A1769" i="18"/>
  <c r="A1781" i="18"/>
  <c r="A1792" i="18"/>
  <c r="A1804" i="18"/>
  <c r="A1815" i="18"/>
  <c r="A1827" i="18"/>
  <c r="A1839" i="18"/>
  <c r="A1850" i="18"/>
  <c r="A1862" i="18"/>
  <c r="A1874" i="18"/>
  <c r="A1885" i="18"/>
  <c r="A135" i="18"/>
  <c r="A204" i="18"/>
  <c r="A274" i="18"/>
  <c r="A344" i="18"/>
  <c r="A414" i="18"/>
  <c r="A483" i="18"/>
  <c r="A553" i="18"/>
  <c r="A623" i="18"/>
  <c r="A693" i="18"/>
  <c r="A762" i="18"/>
  <c r="A832" i="18"/>
  <c r="A902" i="18"/>
  <c r="A972" i="18"/>
  <c r="A1041" i="18"/>
  <c r="A1072" i="18"/>
  <c r="A1084" i="18"/>
  <c r="A1096" i="18"/>
  <c r="A1107" i="18"/>
  <c r="A1119" i="18"/>
  <c r="A1131" i="18"/>
  <c r="A1142" i="18"/>
  <c r="A1154" i="18"/>
  <c r="A1165" i="18"/>
  <c r="A1177" i="18"/>
  <c r="A1189" i="18"/>
  <c r="A1200" i="18"/>
  <c r="A1212" i="18"/>
  <c r="A1224" i="18"/>
  <c r="A1235" i="18"/>
  <c r="A1247" i="18"/>
  <c r="A1258" i="18"/>
  <c r="A1270" i="18"/>
  <c r="A1282" i="18"/>
  <c r="A1293" i="18"/>
  <c r="A1305" i="18"/>
  <c r="A1317" i="18"/>
  <c r="A1328" i="18"/>
  <c r="A1340" i="18"/>
  <c r="A1351" i="18"/>
  <c r="A1363" i="18"/>
  <c r="A1375" i="18"/>
  <c r="A1386" i="18"/>
  <c r="A1398" i="18"/>
  <c r="A1410" i="18"/>
  <c r="A1421" i="18"/>
  <c r="A1433" i="18"/>
  <c r="A1444" i="18"/>
  <c r="A1456" i="18"/>
  <c r="A1468" i="18"/>
  <c r="A1479" i="18"/>
  <c r="A1491" i="18"/>
  <c r="A1503" i="18"/>
  <c r="A1514" i="18"/>
  <c r="A1526" i="18"/>
  <c r="A1537" i="18"/>
  <c r="A1549" i="18"/>
  <c r="A1561" i="18"/>
  <c r="A1572" i="18"/>
  <c r="A1584" i="18"/>
  <c r="A1596" i="18"/>
  <c r="A1607" i="18"/>
  <c r="A1619" i="18"/>
  <c r="A1630" i="18"/>
  <c r="A1642" i="18"/>
  <c r="A1654" i="18"/>
  <c r="A1665" i="18"/>
  <c r="A1677" i="18"/>
  <c r="A1689" i="18"/>
  <c r="A1700" i="18"/>
  <c r="A1712" i="18"/>
  <c r="A1723" i="18"/>
  <c r="A1735" i="18"/>
  <c r="A1747" i="18"/>
  <c r="A1758" i="18"/>
  <c r="A1770" i="18"/>
  <c r="A1782" i="18"/>
  <c r="A1793" i="18"/>
  <c r="A1805" i="18"/>
  <c r="A1816" i="18"/>
  <c r="A1828" i="18"/>
  <c r="A1840" i="18"/>
  <c r="A1851" i="18"/>
  <c r="A1863" i="18"/>
  <c r="A1875" i="18"/>
  <c r="A1886" i="18"/>
  <c r="A145" i="18"/>
  <c r="A564" i="18"/>
  <c r="A982" i="18"/>
  <c r="A1120" i="18"/>
  <c r="A1190" i="18"/>
  <c r="A1259" i="18"/>
  <c r="A1329" i="18"/>
  <c r="A1399" i="18"/>
  <c r="A1469" i="18"/>
  <c r="A1538" i="18"/>
  <c r="A1608" i="18"/>
  <c r="A1678" i="18"/>
  <c r="A1748" i="18"/>
  <c r="A1817" i="18"/>
  <c r="A1887" i="18"/>
  <c r="A1900" i="18"/>
  <c r="A1946" i="18"/>
  <c r="A1958" i="18"/>
  <c r="A1981" i="18"/>
  <c r="A1993" i="18"/>
  <c r="A146" i="18"/>
  <c r="A565" i="18"/>
  <c r="A983" i="18"/>
  <c r="A1121" i="18"/>
  <c r="A1191" i="18"/>
  <c r="A1260" i="18"/>
  <c r="A1330" i="18"/>
  <c r="A1400" i="18"/>
  <c r="A1470" i="18"/>
  <c r="A1539" i="18"/>
  <c r="A1609" i="18"/>
  <c r="A1679" i="18"/>
  <c r="A1749" i="18"/>
  <c r="A1818" i="18"/>
  <c r="A1888" i="18"/>
  <c r="A1901" i="18"/>
  <c r="A1959" i="18"/>
  <c r="A1970" i="18"/>
  <c r="A1982" i="18"/>
  <c r="A1994" i="18"/>
  <c r="A215" i="18"/>
  <c r="A1052" i="18"/>
  <c r="A1132" i="18"/>
  <c r="A1201" i="18"/>
  <c r="A1271" i="18"/>
  <c r="A1341" i="18"/>
  <c r="A1411" i="18"/>
  <c r="A1550" i="18"/>
  <c r="A1690" i="18"/>
  <c r="A1902" i="18"/>
  <c r="A1995" i="18"/>
  <c r="A1947" i="18"/>
  <c r="A634" i="18"/>
  <c r="A1480" i="18"/>
  <c r="A1890" i="18"/>
  <c r="A1983" i="18"/>
  <c r="A216" i="18"/>
  <c r="A635" i="18"/>
  <c r="A1053" i="18"/>
  <c r="A1202" i="18"/>
  <c r="A1272" i="18"/>
  <c r="A1342" i="18"/>
  <c r="A1481" i="18"/>
  <c r="A1551" i="18"/>
  <c r="A1621" i="18"/>
  <c r="A1760" i="18"/>
  <c r="A1830" i="18"/>
  <c r="A1891" i="18"/>
  <c r="A1903" i="18"/>
  <c r="A1938" i="18"/>
  <c r="A1949" i="18"/>
  <c r="A1961" i="18"/>
  <c r="A1972" i="18"/>
  <c r="A1984" i="18"/>
  <c r="A1996" i="18"/>
  <c r="A285" i="18"/>
  <c r="A703" i="18"/>
  <c r="A1073" i="18"/>
  <c r="A1143" i="18"/>
  <c r="A1213" i="18"/>
  <c r="A1283" i="18"/>
  <c r="A1352" i="18"/>
  <c r="A1422" i="18"/>
  <c r="A1492" i="18"/>
  <c r="A1562" i="18"/>
  <c r="A1631" i="18"/>
  <c r="A1701" i="18"/>
  <c r="A1771" i="18"/>
  <c r="A1841" i="18"/>
  <c r="A1892" i="18"/>
  <c r="A1904" i="18"/>
  <c r="A1950" i="18"/>
  <c r="A1962" i="18"/>
  <c r="A1973" i="18"/>
  <c r="A1985" i="18"/>
  <c r="A1997" i="18"/>
  <c r="A914" i="18"/>
  <c r="A1899" i="18"/>
  <c r="A1957" i="18"/>
  <c r="A1829" i="18"/>
  <c r="A1948" i="18"/>
  <c r="A286" i="18"/>
  <c r="A704" i="18"/>
  <c r="A1074" i="18"/>
  <c r="A1144" i="18"/>
  <c r="A1214" i="18"/>
  <c r="A1284" i="18"/>
  <c r="A1353" i="18"/>
  <c r="A1423" i="18"/>
  <c r="A1493" i="18"/>
  <c r="A1563" i="18"/>
  <c r="A1632" i="18"/>
  <c r="A1702" i="18"/>
  <c r="A1772" i="18"/>
  <c r="A1842" i="18"/>
  <c r="A1893" i="18"/>
  <c r="A1905" i="18"/>
  <c r="A1939" i="18"/>
  <c r="A1951" i="18"/>
  <c r="A1963" i="18"/>
  <c r="A1974" i="18"/>
  <c r="A1986" i="18"/>
  <c r="A1998" i="18"/>
  <c r="A1941" i="18"/>
  <c r="A1965" i="18"/>
  <c r="A1988" i="18"/>
  <c r="A843" i="18"/>
  <c r="A1724" i="18"/>
  <c r="A1942" i="18"/>
  <c r="A1179" i="18"/>
  <c r="A355" i="18"/>
  <c r="A773" i="18"/>
  <c r="A1085" i="18"/>
  <c r="A1155" i="18"/>
  <c r="A1225" i="18"/>
  <c r="A1294" i="18"/>
  <c r="A1364" i="18"/>
  <c r="A1434" i="18"/>
  <c r="A1504" i="18"/>
  <c r="A1573" i="18"/>
  <c r="A1643" i="18"/>
  <c r="A1713" i="18"/>
  <c r="A1783" i="18"/>
  <c r="A1852" i="18"/>
  <c r="A1894" i="18"/>
  <c r="A1906" i="18"/>
  <c r="A1940" i="18"/>
  <c r="A1952" i="18"/>
  <c r="A1964" i="18"/>
  <c r="A1975" i="18"/>
  <c r="A1987" i="18"/>
  <c r="A1999" i="18"/>
  <c r="A1907" i="18"/>
  <c r="A1976" i="18"/>
  <c r="A424" i="18"/>
  <c r="A1166" i="18"/>
  <c r="A1236" i="18"/>
  <c r="A1306" i="18"/>
  <c r="A1376" i="18"/>
  <c r="A1445" i="18"/>
  <c r="A1515" i="18"/>
  <c r="A1585" i="18"/>
  <c r="A1794" i="18"/>
  <c r="A1864" i="18"/>
  <c r="A1249" i="18"/>
  <c r="A1458" i="18"/>
  <c r="A1667" i="18"/>
  <c r="A1945" i="18"/>
  <c r="A1980" i="18"/>
  <c r="A1759" i="18"/>
  <c r="A1960" i="18"/>
  <c r="A356" i="18"/>
  <c r="A774" i="18"/>
  <c r="A1086" i="18"/>
  <c r="A1156" i="18"/>
  <c r="A1295" i="18"/>
  <c r="A1365" i="18"/>
  <c r="A1435" i="18"/>
  <c r="A1574" i="18"/>
  <c r="A1644" i="18"/>
  <c r="A1714" i="18"/>
  <c r="A1853" i="18"/>
  <c r="A1895" i="18"/>
  <c r="A1953" i="18"/>
  <c r="A2000" i="18"/>
  <c r="A1097" i="18"/>
  <c r="A1655" i="18"/>
  <c r="A1896" i="18"/>
  <c r="A1954" i="18"/>
  <c r="A1977" i="18"/>
  <c r="A1989" i="18"/>
  <c r="A1109" i="18"/>
  <c r="A1966" i="18"/>
  <c r="A1737" i="18"/>
  <c r="A1992" i="18"/>
  <c r="A1620" i="18"/>
  <c r="A425" i="18"/>
  <c r="A844" i="18"/>
  <c r="A1098" i="18"/>
  <c r="A1167" i="18"/>
  <c r="A1237" i="18"/>
  <c r="A1307" i="18"/>
  <c r="A1377" i="18"/>
  <c r="A1446" i="18"/>
  <c r="A1516" i="18"/>
  <c r="A1586" i="18"/>
  <c r="A1656" i="18"/>
  <c r="A1725" i="18"/>
  <c r="A1795" i="18"/>
  <c r="A1865" i="18"/>
  <c r="A1897" i="18"/>
  <c r="A1943" i="18"/>
  <c r="A1955" i="18"/>
  <c r="A1967" i="18"/>
  <c r="A1978" i="18"/>
  <c r="A1990" i="18"/>
  <c r="A494" i="18"/>
  <c r="A913" i="18"/>
  <c r="A1108" i="18"/>
  <c r="A1178" i="18"/>
  <c r="A1248" i="18"/>
  <c r="A1318" i="18"/>
  <c r="A1387" i="18"/>
  <c r="A1457" i="18"/>
  <c r="A1527" i="18"/>
  <c r="A1597" i="18"/>
  <c r="A1666" i="18"/>
  <c r="A1736" i="18"/>
  <c r="A1806" i="18"/>
  <c r="A1876" i="18"/>
  <c r="A1898" i="18"/>
  <c r="A1944" i="18"/>
  <c r="A1956" i="18"/>
  <c r="A1968" i="18"/>
  <c r="A1979" i="18"/>
  <c r="A1991" i="18"/>
  <c r="A495" i="18"/>
  <c r="A1388" i="18"/>
  <c r="A1528" i="18"/>
  <c r="A1807" i="18"/>
  <c r="A1969" i="18"/>
  <c r="A1971" i="18"/>
  <c r="A73" i="18"/>
  <c r="A67" i="18"/>
  <c r="A62" i="18"/>
  <c r="A50" i="18"/>
  <c r="A61" i="18"/>
  <c r="A49" i="18"/>
  <c r="A72" i="18"/>
  <c r="A66" i="18"/>
  <c r="A60" i="18"/>
  <c r="A59" i="18"/>
  <c r="A48" i="18"/>
  <c r="A77" i="18"/>
  <c r="A71" i="18"/>
  <c r="A65" i="18"/>
  <c r="A58" i="18"/>
  <c r="A57" i="18"/>
  <c r="A76" i="18"/>
  <c r="A70" i="18"/>
  <c r="A56" i="18"/>
  <c r="A69" i="18"/>
  <c r="A64" i="18"/>
  <c r="A55" i="18"/>
  <c r="A75" i="18"/>
  <c r="A54" i="18"/>
  <c r="A53" i="18"/>
  <c r="A74" i="18"/>
  <c r="A68" i="18"/>
  <c r="A63" i="18"/>
  <c r="A52" i="18"/>
  <c r="A51" i="18"/>
  <c r="E48" i="18"/>
  <c r="E79" i="18"/>
  <c r="E110" i="18"/>
  <c r="E141" i="18"/>
  <c r="E172" i="18"/>
  <c r="E203" i="18"/>
  <c r="E234" i="18"/>
  <c r="E265" i="18"/>
  <c r="E296" i="18"/>
  <c r="E327" i="18"/>
  <c r="E358" i="18"/>
  <c r="E389" i="18"/>
  <c r="E420" i="18"/>
  <c r="E451" i="18"/>
  <c r="E482" i="18"/>
  <c r="E513" i="18"/>
  <c r="E544" i="18"/>
  <c r="E575" i="18"/>
  <c r="E606" i="18"/>
  <c r="E637" i="18"/>
  <c r="E668" i="18"/>
  <c r="E699" i="18"/>
  <c r="E730" i="18"/>
  <c r="E761" i="18"/>
  <c r="E792" i="18"/>
  <c r="E823" i="18"/>
  <c r="E854" i="18"/>
  <c r="E885" i="18"/>
  <c r="E916" i="18"/>
  <c r="E947" i="18"/>
  <c r="E978" i="18"/>
  <c r="E1009" i="18"/>
  <c r="E1040" i="18"/>
  <c r="E1071" i="18"/>
  <c r="E1102" i="18"/>
  <c r="E1133" i="18"/>
  <c r="E1164" i="18"/>
  <c r="E1195" i="18"/>
  <c r="E1226" i="18"/>
  <c r="E1257" i="18"/>
  <c r="E1288" i="18"/>
  <c r="E1319" i="18"/>
  <c r="E1350" i="18"/>
  <c r="E1381" i="18"/>
  <c r="E1412" i="18"/>
  <c r="E1443" i="18"/>
  <c r="E1474" i="18"/>
  <c r="E1505" i="18"/>
  <c r="E1536" i="18"/>
  <c r="E1567" i="18"/>
  <c r="E1598" i="18"/>
  <c r="E1629" i="18"/>
  <c r="E1660" i="18"/>
  <c r="E1691" i="18"/>
  <c r="E1722" i="18"/>
  <c r="E1753" i="18"/>
  <c r="E1784" i="18"/>
  <c r="E1815" i="18"/>
  <c r="E1846" i="18"/>
  <c r="E1877" i="18"/>
  <c r="E1939" i="18"/>
  <c r="E1970" i="18"/>
  <c r="A11" i="18"/>
  <c r="A12" i="18"/>
  <c r="A46" i="18"/>
  <c r="E17" i="18"/>
  <c r="A37" i="18"/>
  <c r="A38" i="18"/>
  <c r="A2" i="18"/>
  <c r="A39" i="18"/>
  <c r="A6" i="18"/>
  <c r="A43" i="18"/>
  <c r="A3" i="18"/>
  <c r="A45" i="18"/>
  <c r="A27" i="18"/>
  <c r="A4" i="18"/>
  <c r="A28" i="18"/>
  <c r="A10" i="18"/>
  <c r="A5" i="18"/>
  <c r="A30" i="18"/>
  <c r="A7" i="18"/>
  <c r="A31" i="18"/>
  <c r="A8" i="18"/>
  <c r="A17" i="18"/>
  <c r="A15" i="18"/>
  <c r="A32" i="18"/>
  <c r="A33" i="18"/>
  <c r="A9" i="18"/>
  <c r="A23" i="18"/>
  <c r="A18" i="18"/>
  <c r="A13" i="18"/>
  <c r="A24" i="18"/>
  <c r="A29" i="18"/>
  <c r="A35" i="18"/>
  <c r="A16" i="18"/>
  <c r="AQ10" i="18" s="1"/>
  <c r="A14" i="18"/>
  <c r="A25" i="18"/>
  <c r="A34" i="18"/>
  <c r="A26" i="18"/>
  <c r="A36" i="18"/>
  <c r="A40" i="18"/>
  <c r="A19" i="18"/>
  <c r="A20" i="18"/>
  <c r="A21" i="18"/>
  <c r="A41" i="18"/>
  <c r="A42" i="18"/>
  <c r="A44" i="18"/>
  <c r="A47" i="18"/>
  <c r="A22" i="18"/>
  <c r="AP10" i="18"/>
  <c r="AR10" i="18"/>
  <c r="C3" i="4"/>
  <c r="G7" i="18"/>
  <c r="H1932" i="18" l="1"/>
  <c r="H2025" i="18"/>
  <c r="H1064" i="18"/>
  <c r="H568" i="18"/>
  <c r="H816" i="18"/>
  <c r="H196" i="18"/>
  <c r="H165" i="18"/>
  <c r="H134" i="18"/>
  <c r="H1684" i="18"/>
  <c r="H847" i="18"/>
  <c r="H1343" i="18"/>
  <c r="H351" i="18"/>
  <c r="H971" i="18"/>
  <c r="H227" i="18"/>
  <c r="H940" i="18"/>
  <c r="H1436" i="18"/>
  <c r="H599" i="18"/>
  <c r="H1560" i="18"/>
  <c r="H1188" i="18"/>
  <c r="H723" i="18"/>
  <c r="H444" i="18"/>
  <c r="H1839" i="18"/>
  <c r="H1591" i="18"/>
  <c r="H1312" i="18"/>
  <c r="H1715" i="18"/>
  <c r="H1808" i="18"/>
  <c r="H692" i="18"/>
  <c r="H320" i="18"/>
  <c r="H909" i="18"/>
  <c r="H878" i="18"/>
  <c r="H1901" i="18"/>
  <c r="H1467" i="18"/>
  <c r="H785" i="18"/>
  <c r="H754" i="18"/>
  <c r="H1870" i="18"/>
  <c r="H1095" i="18"/>
  <c r="H413" i="18"/>
  <c r="H289" i="18"/>
  <c r="H1405" i="18"/>
  <c r="H475" i="18"/>
  <c r="H258" i="18"/>
  <c r="H1374" i="18"/>
  <c r="H1746" i="18"/>
  <c r="H1622" i="18"/>
  <c r="H382" i="18"/>
  <c r="H1653" i="18"/>
  <c r="H1002" i="18"/>
  <c r="H1033" i="18"/>
  <c r="H630" i="18"/>
  <c r="H1219" i="18"/>
  <c r="H1963" i="18"/>
  <c r="H1777" i="18"/>
  <c r="H661" i="18"/>
  <c r="H1281" i="18"/>
  <c r="H1994" i="18"/>
  <c r="H1126" i="18"/>
  <c r="H1157" i="18"/>
  <c r="H1498" i="18"/>
  <c r="H1529" i="18"/>
  <c r="H537" i="18"/>
  <c r="H1250" i="18"/>
  <c r="H506" i="18"/>
  <c r="D16" i="8"/>
  <c r="H13" i="7" l="1"/>
  <c r="CG10" i="18" s="1"/>
  <c r="G13" i="7"/>
  <c r="CF10" i="18" s="1"/>
  <c r="C13" i="7"/>
  <c r="F12" i="31" l="1"/>
  <c r="B12" i="4"/>
  <c r="B11" i="11"/>
  <c r="BL10" i="18"/>
  <c r="B9" i="3"/>
  <c r="I4" i="3" s="1"/>
  <c r="I3" i="3" s="1"/>
  <c r="G13" i="31" s="1"/>
  <c r="I13" i="6"/>
  <c r="G27" i="8" l="1"/>
  <c r="G16" i="8"/>
  <c r="I16" i="8" s="1"/>
  <c r="G17" i="8"/>
  <c r="G21" i="8"/>
  <c r="G20" i="8"/>
  <c r="G19" i="8"/>
  <c r="G18" i="8"/>
  <c r="G441" i="8"/>
  <c r="G287" i="8"/>
  <c r="G31" i="8"/>
  <c r="G302" i="8"/>
  <c r="G46" i="8"/>
  <c r="G333" i="8"/>
  <c r="G77" i="8"/>
  <c r="G380" i="8"/>
  <c r="G124" i="8"/>
  <c r="G427" i="8"/>
  <c r="G171" i="8"/>
  <c r="G458" i="8"/>
  <c r="G202" i="8"/>
  <c r="G265" i="8"/>
  <c r="G377" i="8"/>
  <c r="G184" i="8"/>
  <c r="G279" i="8"/>
  <c r="G22" i="8"/>
  <c r="G214" i="8"/>
  <c r="G181" i="8"/>
  <c r="G484" i="8"/>
  <c r="G228" i="8"/>
  <c r="G499" i="8"/>
  <c r="G243" i="8"/>
  <c r="G485" i="8"/>
  <c r="G258" i="8"/>
  <c r="G439" i="8"/>
  <c r="G337" i="8"/>
  <c r="G81" i="8"/>
  <c r="G304" i="8"/>
  <c r="G48" i="8"/>
  <c r="G471" i="8"/>
  <c r="G271" i="8"/>
  <c r="G457" i="8"/>
  <c r="G286" i="8"/>
  <c r="G30" i="8"/>
  <c r="G317" i="8"/>
  <c r="G61" i="8"/>
  <c r="G364" i="8"/>
  <c r="G108" i="8"/>
  <c r="G411" i="8"/>
  <c r="G155" i="8"/>
  <c r="G442" i="8"/>
  <c r="G186" i="8"/>
  <c r="G249" i="8"/>
  <c r="G424" i="8"/>
  <c r="G168" i="8"/>
  <c r="G263" i="8"/>
  <c r="G407" i="8"/>
  <c r="G198" i="8"/>
  <c r="G487" i="8"/>
  <c r="G165" i="8"/>
  <c r="G468" i="8"/>
  <c r="G212" i="8"/>
  <c r="G483" i="8"/>
  <c r="G227" i="8"/>
  <c r="G515" i="8"/>
  <c r="G242" i="8"/>
  <c r="G501" i="8"/>
  <c r="G321" i="8"/>
  <c r="G65" i="8"/>
  <c r="G288" i="8"/>
  <c r="G32" i="8"/>
  <c r="G470" i="8"/>
  <c r="G255" i="8"/>
  <c r="G503" i="8"/>
  <c r="G270" i="8"/>
  <c r="G409" i="8"/>
  <c r="G301" i="8"/>
  <c r="G45" i="8"/>
  <c r="G348" i="8"/>
  <c r="G92" i="8"/>
  <c r="G395" i="8"/>
  <c r="G139" i="8"/>
  <c r="G426" i="8"/>
  <c r="G170" i="8"/>
  <c r="G233" i="8"/>
  <c r="G408" i="8"/>
  <c r="G152" i="8"/>
  <c r="G247" i="8"/>
  <c r="G438" i="8"/>
  <c r="G182" i="8"/>
  <c r="G469" i="8"/>
  <c r="G149" i="8"/>
  <c r="G452" i="8"/>
  <c r="G196" i="8"/>
  <c r="G467" i="8"/>
  <c r="G211" i="8"/>
  <c r="G514" i="8"/>
  <c r="G226" i="8"/>
  <c r="G421" i="8"/>
  <c r="G305" i="8"/>
  <c r="G49" i="8"/>
  <c r="G272" i="8"/>
  <c r="G495" i="8"/>
  <c r="G239" i="8"/>
  <c r="G486" i="8"/>
  <c r="G254" i="8"/>
  <c r="G455" i="8"/>
  <c r="G285" i="8"/>
  <c r="G29" i="8"/>
  <c r="G332" i="8"/>
  <c r="G76" i="8"/>
  <c r="G379" i="8"/>
  <c r="G123" i="8"/>
  <c r="G410" i="8"/>
  <c r="G154" i="8"/>
  <c r="G217" i="8"/>
  <c r="G392" i="8"/>
  <c r="G136" i="8"/>
  <c r="G231" i="8"/>
  <c r="G422" i="8"/>
  <c r="G166" i="8"/>
  <c r="G405" i="8"/>
  <c r="G133" i="8"/>
  <c r="G436" i="8"/>
  <c r="G180" i="8"/>
  <c r="G451" i="8"/>
  <c r="G195" i="8"/>
  <c r="G482" i="8"/>
  <c r="G210" i="8"/>
  <c r="G498" i="8"/>
  <c r="G289" i="8"/>
  <c r="G33" i="8"/>
  <c r="G256" i="8"/>
  <c r="G479" i="8"/>
  <c r="G223" i="8"/>
  <c r="G494" i="8"/>
  <c r="G238" i="8"/>
  <c r="G512" i="8"/>
  <c r="G269" i="8"/>
  <c r="G425" i="8"/>
  <c r="G316" i="8"/>
  <c r="G60" i="8"/>
  <c r="G363" i="8"/>
  <c r="G107" i="8"/>
  <c r="G394" i="8"/>
  <c r="G138" i="8"/>
  <c r="G201" i="8"/>
  <c r="G376" i="8"/>
  <c r="G120" i="8"/>
  <c r="G215" i="8"/>
  <c r="G406" i="8"/>
  <c r="G150" i="8"/>
  <c r="G373" i="8"/>
  <c r="G117" i="8"/>
  <c r="G420" i="8"/>
  <c r="G164" i="8"/>
  <c r="G435" i="8"/>
  <c r="G179" i="8"/>
  <c r="G450" i="8"/>
  <c r="G194" i="8"/>
  <c r="G466" i="8"/>
  <c r="G273" i="8"/>
  <c r="G345" i="8"/>
  <c r="G240" i="8"/>
  <c r="G463" i="8"/>
  <c r="G207" i="8"/>
  <c r="G478" i="8"/>
  <c r="G222" i="8"/>
  <c r="G509" i="8"/>
  <c r="G253" i="8"/>
  <c r="G440" i="8"/>
  <c r="G300" i="8"/>
  <c r="G44" i="8"/>
  <c r="G347" i="8"/>
  <c r="G91" i="8"/>
  <c r="G378" i="8"/>
  <c r="G122" i="8"/>
  <c r="G185" i="8"/>
  <c r="G360" i="8"/>
  <c r="G104" i="8"/>
  <c r="G199" i="8"/>
  <c r="G390" i="8"/>
  <c r="G134" i="8"/>
  <c r="G357" i="8"/>
  <c r="G101" i="8"/>
  <c r="G404" i="8"/>
  <c r="G148" i="8"/>
  <c r="G419" i="8"/>
  <c r="G163" i="8"/>
  <c r="G434" i="8"/>
  <c r="G178" i="8"/>
  <c r="G513" i="8"/>
  <c r="G257" i="8"/>
  <c r="G496" i="8"/>
  <c r="G224" i="8"/>
  <c r="G447" i="8"/>
  <c r="G191" i="8"/>
  <c r="G462" i="8"/>
  <c r="G206" i="8"/>
  <c r="G493" i="8"/>
  <c r="G237" i="8"/>
  <c r="G454" i="8"/>
  <c r="G284" i="8"/>
  <c r="G28" i="8"/>
  <c r="G331" i="8"/>
  <c r="G75" i="8"/>
  <c r="G362" i="8"/>
  <c r="G106" i="8"/>
  <c r="G169" i="8"/>
  <c r="G344" i="8"/>
  <c r="G88" i="8"/>
  <c r="G183" i="8"/>
  <c r="G374" i="8"/>
  <c r="G118" i="8"/>
  <c r="G341" i="8"/>
  <c r="G85" i="8"/>
  <c r="G388" i="8"/>
  <c r="G132" i="8"/>
  <c r="G403" i="8"/>
  <c r="G147" i="8"/>
  <c r="G418" i="8"/>
  <c r="G162" i="8"/>
  <c r="G497" i="8"/>
  <c r="G241" i="8"/>
  <c r="G464" i="8"/>
  <c r="G208" i="8"/>
  <c r="G431" i="8"/>
  <c r="G175" i="8"/>
  <c r="G446" i="8"/>
  <c r="G190" i="8"/>
  <c r="G477" i="8"/>
  <c r="G221" i="8"/>
  <c r="G510" i="8"/>
  <c r="G268" i="8"/>
  <c r="G505" i="8"/>
  <c r="G315" i="8"/>
  <c r="G59" i="8"/>
  <c r="G346" i="8"/>
  <c r="G90" i="8"/>
  <c r="G153" i="8"/>
  <c r="G328" i="8"/>
  <c r="G72" i="8"/>
  <c r="G167" i="8"/>
  <c r="G358" i="8"/>
  <c r="G102" i="8"/>
  <c r="G325" i="8"/>
  <c r="G69" i="8"/>
  <c r="G372" i="8"/>
  <c r="G116" i="8"/>
  <c r="G387" i="8"/>
  <c r="G131" i="8"/>
  <c r="G402" i="8"/>
  <c r="G146" i="8"/>
  <c r="G481" i="8"/>
  <c r="G225" i="8"/>
  <c r="G448" i="8"/>
  <c r="G192" i="8"/>
  <c r="G415" i="8"/>
  <c r="G159" i="8"/>
  <c r="G430" i="8"/>
  <c r="G174" i="8"/>
  <c r="G461" i="8"/>
  <c r="G205" i="8"/>
  <c r="G508" i="8"/>
  <c r="G252" i="8"/>
  <c r="G488" i="8"/>
  <c r="G299" i="8"/>
  <c r="G43" i="8"/>
  <c r="G330" i="8"/>
  <c r="G74" i="8"/>
  <c r="G137" i="8"/>
  <c r="G312" i="8"/>
  <c r="G56" i="8"/>
  <c r="G151" i="8"/>
  <c r="G342" i="8"/>
  <c r="G86" i="8"/>
  <c r="G309" i="8"/>
  <c r="G53" i="8"/>
  <c r="G356" i="8"/>
  <c r="G100" i="8"/>
  <c r="G371" i="8"/>
  <c r="G115" i="8"/>
  <c r="G386" i="8"/>
  <c r="G130" i="8"/>
  <c r="G465" i="8"/>
  <c r="G209" i="8"/>
  <c r="G432" i="8"/>
  <c r="G176" i="8"/>
  <c r="G399" i="8"/>
  <c r="G143" i="8"/>
  <c r="G414" i="8"/>
  <c r="G158" i="8"/>
  <c r="G445" i="8"/>
  <c r="G189" i="8"/>
  <c r="G492" i="8"/>
  <c r="G236" i="8"/>
  <c r="G502" i="8"/>
  <c r="G283" i="8"/>
  <c r="G26" i="8"/>
  <c r="G314" i="8"/>
  <c r="G58" i="8"/>
  <c r="G121" i="8"/>
  <c r="G296" i="8"/>
  <c r="G40" i="8"/>
  <c r="G135" i="8"/>
  <c r="G326" i="8"/>
  <c r="G70" i="8"/>
  <c r="G293" i="8"/>
  <c r="G37" i="8"/>
  <c r="G340" i="8"/>
  <c r="G84" i="8"/>
  <c r="G355" i="8"/>
  <c r="G99" i="8"/>
  <c r="G370" i="8"/>
  <c r="G114" i="8"/>
  <c r="G449" i="8"/>
  <c r="G193" i="8"/>
  <c r="G416" i="8"/>
  <c r="G160" i="8"/>
  <c r="G383" i="8"/>
  <c r="G127" i="8"/>
  <c r="G398" i="8"/>
  <c r="G142" i="8"/>
  <c r="G429" i="8"/>
  <c r="G173" i="8"/>
  <c r="G476" i="8"/>
  <c r="G220" i="8"/>
  <c r="G511" i="8"/>
  <c r="G267" i="8"/>
  <c r="G504" i="8"/>
  <c r="G298" i="8"/>
  <c r="G42" i="8"/>
  <c r="G105" i="8"/>
  <c r="G280" i="8"/>
  <c r="G23" i="8"/>
  <c r="G119" i="8"/>
  <c r="G310" i="8"/>
  <c r="G54" i="8"/>
  <c r="G277" i="8"/>
  <c r="G489" i="8"/>
  <c r="G324" i="8"/>
  <c r="G68" i="8"/>
  <c r="G339" i="8"/>
  <c r="G83" i="8"/>
  <c r="G354" i="8"/>
  <c r="G98" i="8"/>
  <c r="G433" i="8"/>
  <c r="G177" i="8"/>
  <c r="G400" i="8"/>
  <c r="G144" i="8"/>
  <c r="G367" i="8"/>
  <c r="G111" i="8"/>
  <c r="G382" i="8"/>
  <c r="G126" i="8"/>
  <c r="G413" i="8"/>
  <c r="G157" i="8"/>
  <c r="G460" i="8"/>
  <c r="G204" i="8"/>
  <c r="G507" i="8"/>
  <c r="G251" i="8"/>
  <c r="G391" i="8"/>
  <c r="G282" i="8"/>
  <c r="G25" i="8"/>
  <c r="G89" i="8"/>
  <c r="G264" i="8"/>
  <c r="G456" i="8"/>
  <c r="G103" i="8"/>
  <c r="G294" i="8"/>
  <c r="G38" i="8"/>
  <c r="G261" i="8"/>
  <c r="G472" i="8"/>
  <c r="G308" i="8"/>
  <c r="G52" i="8"/>
  <c r="G323" i="8"/>
  <c r="G67" i="8"/>
  <c r="G338" i="8"/>
  <c r="G82" i="8"/>
  <c r="G417" i="8"/>
  <c r="G161" i="8"/>
  <c r="G384" i="8"/>
  <c r="G128" i="8"/>
  <c r="G351" i="8"/>
  <c r="G95" i="8"/>
  <c r="G366" i="8"/>
  <c r="G110" i="8"/>
  <c r="G397" i="8"/>
  <c r="G141" i="8"/>
  <c r="G444" i="8"/>
  <c r="G188" i="8"/>
  <c r="G491" i="8"/>
  <c r="G235" i="8"/>
  <c r="G480" i="8"/>
  <c r="G266" i="8"/>
  <c r="G473" i="8"/>
  <c r="G73" i="8"/>
  <c r="G248" i="8"/>
  <c r="G343" i="8"/>
  <c r="G87" i="8"/>
  <c r="G278" i="8"/>
  <c r="G245" i="8"/>
  <c r="G359" i="8"/>
  <c r="G292" i="8"/>
  <c r="G36" i="8"/>
  <c r="G307" i="8"/>
  <c r="G51" i="8"/>
  <c r="G322" i="8"/>
  <c r="G66" i="8"/>
  <c r="G401" i="8"/>
  <c r="G145" i="8"/>
  <c r="G368" i="8"/>
  <c r="G112" i="8"/>
  <c r="G335" i="8"/>
  <c r="G79" i="8"/>
  <c r="G350" i="8"/>
  <c r="G94" i="8"/>
  <c r="G381" i="8"/>
  <c r="G125" i="8"/>
  <c r="G428" i="8"/>
  <c r="G172" i="8"/>
  <c r="G475" i="8"/>
  <c r="G219" i="8"/>
  <c r="G506" i="8"/>
  <c r="G250" i="8"/>
  <c r="G329" i="8"/>
  <c r="G57" i="8"/>
  <c r="G232" i="8"/>
  <c r="G327" i="8"/>
  <c r="G71" i="8"/>
  <c r="G262" i="8"/>
  <c r="G229" i="8"/>
  <c r="G453" i="8"/>
  <c r="G276" i="8"/>
  <c r="G313" i="8"/>
  <c r="G291" i="8"/>
  <c r="G35" i="8"/>
  <c r="G306" i="8"/>
  <c r="G50" i="8"/>
  <c r="G385" i="8"/>
  <c r="G129" i="8"/>
  <c r="G352" i="8"/>
  <c r="G96" i="8"/>
  <c r="G319" i="8"/>
  <c r="G63" i="8"/>
  <c r="G334" i="8"/>
  <c r="G78" i="8"/>
  <c r="G365" i="8"/>
  <c r="G109" i="8"/>
  <c r="G412" i="8"/>
  <c r="G156" i="8"/>
  <c r="G459" i="8"/>
  <c r="G203" i="8"/>
  <c r="G490" i="8"/>
  <c r="G234" i="8"/>
  <c r="G297" i="8"/>
  <c r="G41" i="8"/>
  <c r="G216" i="8"/>
  <c r="G311" i="8"/>
  <c r="G55" i="8"/>
  <c r="G246" i="8"/>
  <c r="G213" i="8"/>
  <c r="G389" i="8"/>
  <c r="G260" i="8"/>
  <c r="G375" i="8"/>
  <c r="G275" i="8"/>
  <c r="G361" i="8"/>
  <c r="G290" i="8"/>
  <c r="G34" i="8"/>
  <c r="G369" i="8"/>
  <c r="G113" i="8"/>
  <c r="G336" i="8"/>
  <c r="G80" i="8"/>
  <c r="G303" i="8"/>
  <c r="G47" i="8"/>
  <c r="G318" i="8"/>
  <c r="G62" i="8"/>
  <c r="G349" i="8"/>
  <c r="G93" i="8"/>
  <c r="G396" i="8"/>
  <c r="G140" i="8"/>
  <c r="G443" i="8"/>
  <c r="G187" i="8"/>
  <c r="G474" i="8"/>
  <c r="G218" i="8"/>
  <c r="G281" i="8"/>
  <c r="G24" i="8"/>
  <c r="G200" i="8"/>
  <c r="G295" i="8"/>
  <c r="G39" i="8"/>
  <c r="G230" i="8"/>
  <c r="G197" i="8"/>
  <c r="G500" i="8"/>
  <c r="G244" i="8"/>
  <c r="G437" i="8"/>
  <c r="G259" i="8"/>
  <c r="G423" i="8"/>
  <c r="G274" i="8"/>
  <c r="G393" i="8"/>
  <c r="G353" i="8"/>
  <c r="G97" i="8"/>
  <c r="G320" i="8"/>
  <c r="G64" i="8"/>
  <c r="L67" i="24"/>
  <c r="M67" i="24" s="1"/>
  <c r="L87" i="24"/>
  <c r="L117" i="24"/>
  <c r="M117" i="24" s="1"/>
  <c r="L82" i="24"/>
  <c r="L107" i="24"/>
  <c r="L42" i="24"/>
  <c r="L112" i="24"/>
  <c r="L22" i="24"/>
  <c r="L102" i="24"/>
  <c r="L57" i="24"/>
  <c r="L27" i="24"/>
  <c r="L52" i="24"/>
  <c r="L72" i="24"/>
  <c r="L37" i="24"/>
  <c r="L77" i="24"/>
  <c r="L32" i="24"/>
  <c r="L17" i="24"/>
  <c r="L127" i="24"/>
  <c r="L47" i="24"/>
  <c r="L12" i="24"/>
  <c r="L97" i="24"/>
  <c r="L92" i="24"/>
  <c r="L122" i="24"/>
  <c r="L62" i="24"/>
  <c r="L7" i="24"/>
  <c r="M7" i="24" s="1"/>
  <c r="H6" i="11"/>
  <c r="AC20" i="11"/>
  <c r="AC26" i="11"/>
  <c r="AC32" i="11"/>
  <c r="AC38" i="11"/>
  <c r="AC44" i="11"/>
  <c r="AC50" i="11"/>
  <c r="AC56" i="11"/>
  <c r="AC62" i="11"/>
  <c r="AC68" i="11"/>
  <c r="AC74" i="11"/>
  <c r="AC80" i="11"/>
  <c r="AC86" i="11"/>
  <c r="AC92" i="11"/>
  <c r="AC98" i="11"/>
  <c r="AC104" i="11"/>
  <c r="AC110" i="11"/>
  <c r="AC116" i="11"/>
  <c r="AC122" i="11"/>
  <c r="AC21" i="11"/>
  <c r="AC27" i="11"/>
  <c r="AC33" i="11"/>
  <c r="AC39" i="11"/>
  <c r="AC45" i="11"/>
  <c r="AC51" i="11"/>
  <c r="AC57" i="11"/>
  <c r="AC63" i="11"/>
  <c r="AC69" i="11"/>
  <c r="AC75" i="11"/>
  <c r="AC81" i="11"/>
  <c r="AC87" i="11"/>
  <c r="AC93" i="11"/>
  <c r="AC99" i="11"/>
  <c r="AC105" i="11"/>
  <c r="AC111" i="11"/>
  <c r="AC117" i="11"/>
  <c r="AC123" i="11"/>
  <c r="AC129" i="11"/>
  <c r="AC135" i="11"/>
  <c r="AC141" i="11"/>
  <c r="AC147" i="11"/>
  <c r="AB16" i="11"/>
  <c r="AB22" i="11"/>
  <c r="AB28" i="11"/>
  <c r="AB34" i="11"/>
  <c r="AB40" i="11"/>
  <c r="AB46" i="11"/>
  <c r="AB52" i="11"/>
  <c r="AB58" i="11"/>
  <c r="AB64" i="11"/>
  <c r="AB70" i="11"/>
  <c r="AB76" i="11"/>
  <c r="AB82" i="11"/>
  <c r="AB88" i="11"/>
  <c r="AB94" i="11"/>
  <c r="AB100" i="11"/>
  <c r="AB106" i="11"/>
  <c r="AB112" i="11"/>
  <c r="AB118" i="11"/>
  <c r="AB124" i="11"/>
  <c r="AB130" i="11"/>
  <c r="AB136" i="11"/>
  <c r="AB142" i="11"/>
  <c r="AB148" i="11"/>
  <c r="AB154" i="11"/>
  <c r="AB160" i="11"/>
  <c r="AB166" i="11"/>
  <c r="AB172" i="11"/>
  <c r="AB178" i="11"/>
  <c r="AB184" i="11"/>
  <c r="AB190" i="11"/>
  <c r="AB196" i="11"/>
  <c r="AB202" i="11"/>
  <c r="AB208" i="11"/>
  <c r="AB214" i="11"/>
  <c r="AB220" i="11"/>
  <c r="AB226" i="11"/>
  <c r="AB232" i="11"/>
  <c r="AB238" i="11"/>
  <c r="AB244" i="11"/>
  <c r="AB250" i="11"/>
  <c r="AB256" i="11"/>
  <c r="AB262" i="11"/>
  <c r="AB268" i="11"/>
  <c r="AB274" i="11"/>
  <c r="AB280" i="11"/>
  <c r="AB286" i="11"/>
  <c r="AB292" i="11"/>
  <c r="AB298" i="11"/>
  <c r="AB304" i="11"/>
  <c r="AB310" i="11"/>
  <c r="AB316" i="11"/>
  <c r="AB322" i="11"/>
  <c r="AB328" i="11"/>
  <c r="AB334" i="11"/>
  <c r="AB340" i="11"/>
  <c r="AB346" i="11"/>
  <c r="AB352" i="11"/>
  <c r="AB358" i="11"/>
  <c r="AB364" i="11"/>
  <c r="AB370" i="11"/>
  <c r="AB376" i="11"/>
  <c r="AB382" i="11"/>
  <c r="AB388" i="11"/>
  <c r="AB394" i="11"/>
  <c r="AB400" i="11"/>
  <c r="AB406" i="11"/>
  <c r="AB412" i="11"/>
  <c r="AB418" i="11"/>
  <c r="AB424" i="11"/>
  <c r="AB430" i="11"/>
  <c r="AB436" i="11"/>
  <c r="AB442" i="11"/>
  <c r="AB448" i="11"/>
  <c r="AB454" i="11"/>
  <c r="AB460" i="11"/>
  <c r="AB466" i="11"/>
  <c r="AB472" i="11"/>
  <c r="AB478" i="11"/>
  <c r="AB484" i="11"/>
  <c r="AB490" i="11"/>
  <c r="AB496" i="11"/>
  <c r="AB502" i="11"/>
  <c r="AC16" i="11"/>
  <c r="AC22" i="11"/>
  <c r="AC28" i="11"/>
  <c r="AC34" i="11"/>
  <c r="AC40" i="11"/>
  <c r="AC46" i="11"/>
  <c r="AC52" i="11"/>
  <c r="AC58" i="11"/>
  <c r="AC64" i="11"/>
  <c r="AC70" i="11"/>
  <c r="AC76" i="11"/>
  <c r="AC82" i="11"/>
  <c r="AC88" i="11"/>
  <c r="AC94" i="11"/>
  <c r="AC100" i="11"/>
  <c r="AC106" i="11"/>
  <c r="AC112" i="11"/>
  <c r="AC118" i="11"/>
  <c r="AC124" i="11"/>
  <c r="AC130" i="11"/>
  <c r="AC136" i="11"/>
  <c r="AC142" i="11"/>
  <c r="AB17" i="11"/>
  <c r="AB23" i="11"/>
  <c r="AB29" i="11"/>
  <c r="AB35" i="11"/>
  <c r="AB41" i="11"/>
  <c r="AB47" i="11"/>
  <c r="AB53" i="11"/>
  <c r="AB59" i="11"/>
  <c r="AB65" i="11"/>
  <c r="AB71" i="11"/>
  <c r="AB77" i="11"/>
  <c r="AB83" i="11"/>
  <c r="AB89" i="11"/>
  <c r="AB95" i="11"/>
  <c r="AB101" i="11"/>
  <c r="AB107" i="11"/>
  <c r="AB113" i="11"/>
  <c r="AB119" i="11"/>
  <c r="AB125" i="11"/>
  <c r="AB131" i="11"/>
  <c r="AB137" i="11"/>
  <c r="AB143" i="11"/>
  <c r="AB149" i="11"/>
  <c r="AB155" i="11"/>
  <c r="AB161" i="11"/>
  <c r="AB167" i="11"/>
  <c r="AB173" i="11"/>
  <c r="AB179" i="11"/>
  <c r="AB185" i="11"/>
  <c r="AB191" i="11"/>
  <c r="AB197" i="11"/>
  <c r="AB203" i="11"/>
  <c r="AB209" i="11"/>
  <c r="AB215" i="11"/>
  <c r="AB221" i="11"/>
  <c r="AB227" i="11"/>
  <c r="AB233" i="11"/>
  <c r="AB239" i="11"/>
  <c r="AB245" i="11"/>
  <c r="AB251" i="11"/>
  <c r="AB257" i="11"/>
  <c r="AB263" i="11"/>
  <c r="AB269" i="11"/>
  <c r="AB275" i="11"/>
  <c r="AB281" i="11"/>
  <c r="AB287" i="11"/>
  <c r="AB293" i="11"/>
  <c r="AB299" i="11"/>
  <c r="AB305" i="11"/>
  <c r="AB311" i="11"/>
  <c r="AB317" i="11"/>
  <c r="AB323" i="11"/>
  <c r="AB329" i="11"/>
  <c r="AB335" i="11"/>
  <c r="AB341" i="11"/>
  <c r="AB347" i="11"/>
  <c r="AB353" i="11"/>
  <c r="AB359" i="11"/>
  <c r="AB365" i="11"/>
  <c r="AB371" i="11"/>
  <c r="AB377" i="11"/>
  <c r="AB383" i="11"/>
  <c r="AB389" i="11"/>
  <c r="AB395" i="11"/>
  <c r="AB401" i="11"/>
  <c r="AB407" i="11"/>
  <c r="AB413" i="11"/>
  <c r="AB419" i="11"/>
  <c r="AB425" i="11"/>
  <c r="AB431" i="11"/>
  <c r="AB437" i="11"/>
  <c r="AB443" i="11"/>
  <c r="AB449" i="11"/>
  <c r="AB455" i="11"/>
  <c r="AB461" i="11"/>
  <c r="AB467" i="11"/>
  <c r="AB473" i="11"/>
  <c r="AB479" i="11"/>
  <c r="AB485" i="11"/>
  <c r="AB491" i="11"/>
  <c r="AB497" i="11"/>
  <c r="AB503" i="11"/>
  <c r="AC17" i="11"/>
  <c r="AC23" i="11"/>
  <c r="AC29" i="11"/>
  <c r="AC35" i="11"/>
  <c r="AC41" i="11"/>
  <c r="AC47" i="11"/>
  <c r="AC53" i="11"/>
  <c r="AC59" i="11"/>
  <c r="AC65" i="11"/>
  <c r="AC71" i="11"/>
  <c r="AC77" i="11"/>
  <c r="AC83" i="11"/>
  <c r="AC89" i="11"/>
  <c r="AC95" i="11"/>
  <c r="AC101" i="11"/>
  <c r="AC107" i="11"/>
  <c r="AC113" i="11"/>
  <c r="AC119" i="11"/>
  <c r="AC125" i="11"/>
  <c r="AC131" i="11"/>
  <c r="AB18" i="11"/>
  <c r="AB24" i="11"/>
  <c r="AB30" i="11"/>
  <c r="AB36" i="11"/>
  <c r="AB42" i="11"/>
  <c r="AB48" i="11"/>
  <c r="AB54" i="11"/>
  <c r="AB60" i="11"/>
  <c r="AB66" i="11"/>
  <c r="AB72" i="11"/>
  <c r="AB78" i="11"/>
  <c r="AB84" i="11"/>
  <c r="AB90" i="11"/>
  <c r="AB96" i="11"/>
  <c r="AB102" i="11"/>
  <c r="AB108" i="11"/>
  <c r="AB114" i="11"/>
  <c r="AB120" i="11"/>
  <c r="AB126" i="11"/>
  <c r="AB132" i="11"/>
  <c r="AB138" i="11"/>
  <c r="AB144" i="11"/>
  <c r="AB150" i="11"/>
  <c r="AB156" i="11"/>
  <c r="AB162" i="11"/>
  <c r="AB168" i="11"/>
  <c r="AB174" i="11"/>
  <c r="AB180" i="11"/>
  <c r="AB186" i="11"/>
  <c r="AB192" i="11"/>
  <c r="AB198" i="11"/>
  <c r="AB204" i="11"/>
  <c r="AB210" i="11"/>
  <c r="AB216" i="11"/>
  <c r="AB222" i="11"/>
  <c r="AB228" i="11"/>
  <c r="AB234" i="11"/>
  <c r="AB240" i="11"/>
  <c r="AB246" i="11"/>
  <c r="AB252" i="11"/>
  <c r="AB258" i="11"/>
  <c r="AB264" i="11"/>
  <c r="AB270" i="11"/>
  <c r="AB276" i="11"/>
  <c r="AB282" i="11"/>
  <c r="AB288" i="11"/>
  <c r="AB294" i="11"/>
  <c r="AB300" i="11"/>
  <c r="AB306" i="11"/>
  <c r="AB312" i="11"/>
  <c r="AB318" i="11"/>
  <c r="AB324" i="11"/>
  <c r="AB330" i="11"/>
  <c r="AB336" i="11"/>
  <c r="AB342" i="11"/>
  <c r="AB348" i="11"/>
  <c r="AB354" i="11"/>
  <c r="AB360" i="11"/>
  <c r="AB366" i="11"/>
  <c r="AB372" i="11"/>
  <c r="AB378" i="11"/>
  <c r="AB384" i="11"/>
  <c r="AB390" i="11"/>
  <c r="AB396" i="11"/>
  <c r="AB402" i="11"/>
  <c r="AC18" i="11"/>
  <c r="AC24" i="11"/>
  <c r="AC30" i="11"/>
  <c r="AC36" i="11"/>
  <c r="AC42" i="11"/>
  <c r="AC48" i="11"/>
  <c r="AC54" i="11"/>
  <c r="AC60" i="11"/>
  <c r="AC66" i="11"/>
  <c r="AC72" i="11"/>
  <c r="AC78" i="11"/>
  <c r="AC84" i="11"/>
  <c r="AC90" i="11"/>
  <c r="AC96" i="11"/>
  <c r="AC102" i="11"/>
  <c r="AC108" i="11"/>
  <c r="AC114" i="11"/>
  <c r="AC120" i="11"/>
  <c r="AC126" i="11"/>
  <c r="AC132" i="11"/>
  <c r="AC138" i="11"/>
  <c r="AC144" i="11"/>
  <c r="AC150" i="11"/>
  <c r="AB19" i="11"/>
  <c r="AB25" i="11"/>
  <c r="AB31" i="11"/>
  <c r="AB37" i="11"/>
  <c r="AB43" i="11"/>
  <c r="AB49" i="11"/>
  <c r="AB55" i="11"/>
  <c r="AB61" i="11"/>
  <c r="AB67" i="11"/>
  <c r="AB73" i="11"/>
  <c r="AB79" i="11"/>
  <c r="AB85" i="11"/>
  <c r="AB91" i="11"/>
  <c r="AB97" i="11"/>
  <c r="AB103" i="11"/>
  <c r="AB109" i="11"/>
  <c r="AB115" i="11"/>
  <c r="AB121" i="11"/>
  <c r="AB127" i="11"/>
  <c r="AB133" i="11"/>
  <c r="AB139" i="11"/>
  <c r="AB145" i="11"/>
  <c r="AB151" i="11"/>
  <c r="AB157" i="11"/>
  <c r="AB163" i="11"/>
  <c r="AB169" i="11"/>
  <c r="AB175" i="11"/>
  <c r="AB181" i="11"/>
  <c r="AB187" i="11"/>
  <c r="AB193" i="11"/>
  <c r="AB199" i="11"/>
  <c r="AB205" i="11"/>
  <c r="AB211" i="11"/>
  <c r="AB217" i="11"/>
  <c r="AB223" i="11"/>
  <c r="AB229" i="11"/>
  <c r="AB235" i="11"/>
  <c r="AB241" i="11"/>
  <c r="AB247" i="11"/>
  <c r="AB253" i="11"/>
  <c r="AB259" i="11"/>
  <c r="AB265" i="11"/>
  <c r="AB271" i="11"/>
  <c r="AB277" i="11"/>
  <c r="AB283" i="11"/>
  <c r="AB289" i="11"/>
  <c r="AB295" i="11"/>
  <c r="AB301" i="11"/>
  <c r="AB307" i="11"/>
  <c r="AB313" i="11"/>
  <c r="AB319" i="11"/>
  <c r="AB325" i="11"/>
  <c r="AB331" i="11"/>
  <c r="AB337" i="11"/>
  <c r="AB343" i="11"/>
  <c r="AB349" i="11"/>
  <c r="AB355" i="11"/>
  <c r="AB361" i="11"/>
  <c r="AB367" i="11"/>
  <c r="AB373" i="11"/>
  <c r="AB379" i="11"/>
  <c r="AB385" i="11"/>
  <c r="AB391" i="11"/>
  <c r="AB397" i="11"/>
  <c r="AB403" i="11"/>
  <c r="AB409" i="11"/>
  <c r="AB415" i="11"/>
  <c r="AB421" i="11"/>
  <c r="AB427" i="11"/>
  <c r="AB433" i="11"/>
  <c r="AB439" i="11"/>
  <c r="AB445" i="11"/>
  <c r="AB451" i="11"/>
  <c r="AB457" i="11"/>
  <c r="AB463" i="11"/>
  <c r="AB469" i="11"/>
  <c r="AB475" i="11"/>
  <c r="AB481" i="11"/>
  <c r="AB487" i="11"/>
  <c r="AB493" i="11"/>
  <c r="AB499" i="11"/>
  <c r="AB505" i="11"/>
  <c r="AB511" i="11"/>
  <c r="AB517" i="11"/>
  <c r="AB523" i="11"/>
  <c r="AC19" i="11"/>
  <c r="AC25" i="11"/>
  <c r="AC31" i="11"/>
  <c r="AC37" i="11"/>
  <c r="AC43" i="11"/>
  <c r="AC49" i="11"/>
  <c r="AC55" i="11"/>
  <c r="AC61" i="11"/>
  <c r="AC67" i="11"/>
  <c r="AC73" i="11"/>
  <c r="AC79" i="11"/>
  <c r="AC85" i="11"/>
  <c r="AC91" i="11"/>
  <c r="AC97" i="11"/>
  <c r="AC103" i="11"/>
  <c r="AC109" i="11"/>
  <c r="AC115" i="11"/>
  <c r="AC121" i="11"/>
  <c r="AC127" i="11"/>
  <c r="AC133" i="11"/>
  <c r="AC139" i="11"/>
  <c r="AC145" i="11"/>
  <c r="AC151" i="11"/>
  <c r="AB20" i="11"/>
  <c r="AB26" i="11"/>
  <c r="AB32" i="11"/>
  <c r="AB38" i="11"/>
  <c r="AB44" i="11"/>
  <c r="AB50" i="11"/>
  <c r="AB56" i="11"/>
  <c r="AB62" i="11"/>
  <c r="AB68" i="11"/>
  <c r="AB74" i="11"/>
  <c r="AB80" i="11"/>
  <c r="AB86" i="11"/>
  <c r="AB92" i="11"/>
  <c r="AB98" i="11"/>
  <c r="AB104" i="11"/>
  <c r="AB110" i="11"/>
  <c r="AB116" i="11"/>
  <c r="AB122" i="11"/>
  <c r="AB128" i="11"/>
  <c r="AB134" i="11"/>
  <c r="AB140" i="11"/>
  <c r="AB146" i="11"/>
  <c r="AB152" i="11"/>
  <c r="AB158" i="11"/>
  <c r="AB164" i="11"/>
  <c r="AB170" i="11"/>
  <c r="AB176" i="11"/>
  <c r="AB182" i="11"/>
  <c r="AB188" i="11"/>
  <c r="AB194" i="11"/>
  <c r="AB200" i="11"/>
  <c r="AB206" i="11"/>
  <c r="AB212" i="11"/>
  <c r="AB218" i="11"/>
  <c r="AB224" i="11"/>
  <c r="AB230" i="11"/>
  <c r="AB236" i="11"/>
  <c r="AB242" i="11"/>
  <c r="AB248" i="11"/>
  <c r="AB254" i="11"/>
  <c r="AB260" i="11"/>
  <c r="AB266" i="11"/>
  <c r="AB272" i="11"/>
  <c r="AB278" i="11"/>
  <c r="AB284" i="11"/>
  <c r="AB290" i="11"/>
  <c r="AB296" i="11"/>
  <c r="AB302" i="11"/>
  <c r="AB308" i="11"/>
  <c r="AB314" i="11"/>
  <c r="AB320" i="11"/>
  <c r="AB326" i="11"/>
  <c r="AB332" i="11"/>
  <c r="AB338" i="11"/>
  <c r="AB344" i="11"/>
  <c r="AB350" i="11"/>
  <c r="AB356" i="11"/>
  <c r="AB362" i="11"/>
  <c r="AB368" i="11"/>
  <c r="AB374" i="11"/>
  <c r="AB380" i="11"/>
  <c r="AB386" i="11"/>
  <c r="AB392" i="11"/>
  <c r="AB398" i="11"/>
  <c r="AB404" i="11"/>
  <c r="AB410" i="11"/>
  <c r="AB416" i="11"/>
  <c r="AB422" i="11"/>
  <c r="AB428" i="11"/>
  <c r="AB434" i="11"/>
  <c r="AB440" i="11"/>
  <c r="AB446" i="11"/>
  <c r="AB452" i="11"/>
  <c r="AB458" i="11"/>
  <c r="AB464" i="11"/>
  <c r="AB470" i="11"/>
  <c r="AB476" i="11"/>
  <c r="AB482" i="11"/>
  <c r="AB488" i="11"/>
  <c r="AB494" i="11"/>
  <c r="AB500" i="11"/>
  <c r="AB506" i="11"/>
  <c r="AB512" i="11"/>
  <c r="AB518" i="11"/>
  <c r="AB75" i="11"/>
  <c r="AB135" i="11"/>
  <c r="AC154" i="11"/>
  <c r="AB165" i="11"/>
  <c r="AC175" i="11"/>
  <c r="AC185" i="11"/>
  <c r="AC195" i="11"/>
  <c r="AC206" i="11"/>
  <c r="AC216" i="11"/>
  <c r="AC226" i="11"/>
  <c r="AB237" i="11"/>
  <c r="AC247" i="11"/>
  <c r="AC257" i="11"/>
  <c r="AC267" i="11"/>
  <c r="AC278" i="11"/>
  <c r="AC288" i="11"/>
  <c r="AC298" i="11"/>
  <c r="AB309" i="11"/>
  <c r="AC319" i="11"/>
  <c r="AC329" i="11"/>
  <c r="AC339" i="11"/>
  <c r="AC350" i="11"/>
  <c r="AC360" i="11"/>
  <c r="AC370" i="11"/>
  <c r="AB381" i="11"/>
  <c r="AC391" i="11"/>
  <c r="AC401" i="11"/>
  <c r="AB411" i="11"/>
  <c r="AB420" i="11"/>
  <c r="AB429" i="11"/>
  <c r="AB438" i="11"/>
  <c r="AB447" i="11"/>
  <c r="AB456" i="11"/>
  <c r="AB465" i="11"/>
  <c r="AB474" i="11"/>
  <c r="AB483" i="11"/>
  <c r="AB492" i="11"/>
  <c r="AB501" i="11"/>
  <c r="AB509" i="11"/>
  <c r="AB516" i="11"/>
  <c r="AC523" i="11"/>
  <c r="AC529" i="11"/>
  <c r="AC535" i="11"/>
  <c r="AC541" i="11"/>
  <c r="AC547" i="11"/>
  <c r="AC553" i="11"/>
  <c r="AC559" i="11"/>
  <c r="AC565" i="11"/>
  <c r="AC571" i="11"/>
  <c r="AC577" i="11"/>
  <c r="AC583" i="11"/>
  <c r="AC589" i="11"/>
  <c r="AC595" i="11"/>
  <c r="AC601" i="11"/>
  <c r="AC607" i="11"/>
  <c r="AC613" i="11"/>
  <c r="AC619" i="11"/>
  <c r="AC625" i="11"/>
  <c r="AC631" i="11"/>
  <c r="AC637" i="11"/>
  <c r="AC643" i="11"/>
  <c r="AC649" i="11"/>
  <c r="AB81" i="11"/>
  <c r="AC137" i="11"/>
  <c r="AC155" i="11"/>
  <c r="AC165" i="11"/>
  <c r="AC176" i="11"/>
  <c r="AC186" i="11"/>
  <c r="AC196" i="11"/>
  <c r="AB207" i="11"/>
  <c r="AC217" i="11"/>
  <c r="AC227" i="11"/>
  <c r="AC237" i="11"/>
  <c r="AC248" i="11"/>
  <c r="AC258" i="11"/>
  <c r="AC268" i="11"/>
  <c r="AB279" i="11"/>
  <c r="AC289" i="11"/>
  <c r="AC299" i="11"/>
  <c r="AC309" i="11"/>
  <c r="AC320" i="11"/>
  <c r="AC330" i="11"/>
  <c r="AC340" i="11"/>
  <c r="AB351" i="11"/>
  <c r="AC361" i="11"/>
  <c r="AC371" i="11"/>
  <c r="AC381" i="11"/>
  <c r="AC392" i="11"/>
  <c r="AC402" i="11"/>
  <c r="AC411" i="11"/>
  <c r="AC420" i="11"/>
  <c r="AC429" i="11"/>
  <c r="AC438" i="11"/>
  <c r="AC447" i="11"/>
  <c r="AC456" i="11"/>
  <c r="AC465" i="11"/>
  <c r="AC474" i="11"/>
  <c r="AC483" i="11"/>
  <c r="AC492" i="11"/>
  <c r="AC501" i="11"/>
  <c r="AC509" i="11"/>
  <c r="AC516" i="11"/>
  <c r="AB524" i="11"/>
  <c r="AB530" i="11"/>
  <c r="AB536" i="11"/>
  <c r="AB542" i="11"/>
  <c r="AB548" i="11"/>
  <c r="AB554" i="11"/>
  <c r="AB560" i="11"/>
  <c r="AB566" i="11"/>
  <c r="AB572" i="11"/>
  <c r="AB578" i="11"/>
  <c r="AB584" i="11"/>
  <c r="AB590" i="11"/>
  <c r="AB596" i="11"/>
  <c r="AB602" i="11"/>
  <c r="AB608" i="11"/>
  <c r="AB614" i="11"/>
  <c r="AB620" i="11"/>
  <c r="AB626" i="11"/>
  <c r="AB632" i="11"/>
  <c r="AB638" i="11"/>
  <c r="AB644" i="11"/>
  <c r="AB650" i="11"/>
  <c r="AB656" i="11"/>
  <c r="AB662" i="11"/>
  <c r="AB668" i="11"/>
  <c r="AB674" i="11"/>
  <c r="AB680" i="11"/>
  <c r="AB686" i="11"/>
  <c r="AB692" i="11"/>
  <c r="AB698" i="11"/>
  <c r="AB704" i="11"/>
  <c r="AB710" i="11"/>
  <c r="AB716" i="11"/>
  <c r="AB722" i="11"/>
  <c r="AB728" i="11"/>
  <c r="AB734" i="11"/>
  <c r="AB740" i="11"/>
  <c r="AB746" i="11"/>
  <c r="AB752" i="11"/>
  <c r="AB758" i="11"/>
  <c r="AB764" i="11"/>
  <c r="AB770" i="11"/>
  <c r="AB776" i="11"/>
  <c r="AB782" i="11"/>
  <c r="AB87" i="11"/>
  <c r="AC140" i="11"/>
  <c r="AC156" i="11"/>
  <c r="AC166" i="11"/>
  <c r="AB177" i="11"/>
  <c r="AC187" i="11"/>
  <c r="AC197" i="11"/>
  <c r="AC207" i="11"/>
  <c r="AC218" i="11"/>
  <c r="AC228" i="11"/>
  <c r="AC238" i="11"/>
  <c r="AB249" i="11"/>
  <c r="AC259" i="11"/>
  <c r="AC269" i="11"/>
  <c r="AC279" i="11"/>
  <c r="AC290" i="11"/>
  <c r="AC300" i="11"/>
  <c r="AC310" i="11"/>
  <c r="AB321" i="11"/>
  <c r="AC331" i="11"/>
  <c r="AC341" i="11"/>
  <c r="AC351" i="11"/>
  <c r="AC362" i="11"/>
  <c r="AC372" i="11"/>
  <c r="AC382" i="11"/>
  <c r="AB393" i="11"/>
  <c r="AC403" i="11"/>
  <c r="AC412" i="11"/>
  <c r="AC421" i="11"/>
  <c r="AC430" i="11"/>
  <c r="AC439" i="11"/>
  <c r="AC448" i="11"/>
  <c r="AC457" i="11"/>
  <c r="AC466" i="11"/>
  <c r="AC475" i="11"/>
  <c r="AC484" i="11"/>
  <c r="AC493" i="11"/>
  <c r="AC502" i="11"/>
  <c r="AB510" i="11"/>
  <c r="AC517" i="11"/>
  <c r="AC524" i="11"/>
  <c r="AC530" i="11"/>
  <c r="AC536" i="11"/>
  <c r="AC542" i="11"/>
  <c r="AC548" i="11"/>
  <c r="AC554" i="11"/>
  <c r="AC560" i="11"/>
  <c r="AC566" i="11"/>
  <c r="AC572" i="11"/>
  <c r="AC578" i="11"/>
  <c r="AC584" i="11"/>
  <c r="AC590" i="11"/>
  <c r="AC596" i="11"/>
  <c r="AC602" i="11"/>
  <c r="AB21" i="11"/>
  <c r="AB93" i="11"/>
  <c r="AB141" i="11"/>
  <c r="AC157" i="11"/>
  <c r="AC167" i="11"/>
  <c r="AC177" i="11"/>
  <c r="AC188" i="11"/>
  <c r="AC198" i="11"/>
  <c r="AC208" i="11"/>
  <c r="AB219" i="11"/>
  <c r="AC229" i="11"/>
  <c r="AC239" i="11"/>
  <c r="AC249" i="11"/>
  <c r="AC260" i="11"/>
  <c r="AC270" i="11"/>
  <c r="AC280" i="11"/>
  <c r="AB291" i="11"/>
  <c r="AC301" i="11"/>
  <c r="AC311" i="11"/>
  <c r="AC321" i="11"/>
  <c r="AC332" i="11"/>
  <c r="AC342" i="11"/>
  <c r="AC352" i="11"/>
  <c r="AB363" i="11"/>
  <c r="AC373" i="11"/>
  <c r="AC383" i="11"/>
  <c r="AC393" i="11"/>
  <c r="AC404" i="11"/>
  <c r="AC413" i="11"/>
  <c r="AC422" i="11"/>
  <c r="AC431" i="11"/>
  <c r="AC440" i="11"/>
  <c r="AC449" i="11"/>
  <c r="AC458" i="11"/>
  <c r="AC467" i="11"/>
  <c r="AC476" i="11"/>
  <c r="AC485" i="11"/>
  <c r="AC494" i="11"/>
  <c r="AC503" i="11"/>
  <c r="AC510" i="11"/>
  <c r="AC518" i="11"/>
  <c r="AB525" i="11"/>
  <c r="AB531" i="11"/>
  <c r="AB537" i="11"/>
  <c r="AB543" i="11"/>
  <c r="AB549" i="11"/>
  <c r="AB555" i="11"/>
  <c r="AB561" i="11"/>
  <c r="AB567" i="11"/>
  <c r="AB573" i="11"/>
  <c r="AB579" i="11"/>
  <c r="AB585" i="11"/>
  <c r="AB591" i="11"/>
  <c r="AB597" i="11"/>
  <c r="AB603" i="11"/>
  <c r="AB609" i="11"/>
  <c r="AB615" i="11"/>
  <c r="AB621" i="11"/>
  <c r="AB627" i="11"/>
  <c r="AB633" i="11"/>
  <c r="AB639" i="11"/>
  <c r="AB645" i="11"/>
  <c r="AB651" i="11"/>
  <c r="AB657" i="11"/>
  <c r="AB663" i="11"/>
  <c r="AB669" i="11"/>
  <c r="AB675" i="11"/>
  <c r="AB681" i="11"/>
  <c r="AB687" i="11"/>
  <c r="AB693" i="11"/>
  <c r="AB699" i="11"/>
  <c r="AB705" i="11"/>
  <c r="AB711" i="11"/>
  <c r="AB717" i="11"/>
  <c r="AB723" i="11"/>
  <c r="AB729" i="11"/>
  <c r="AB735" i="11"/>
  <c r="AB741" i="11"/>
  <c r="AB747" i="11"/>
  <c r="AB753" i="11"/>
  <c r="AB759" i="11"/>
  <c r="AB765" i="11"/>
  <c r="AB771" i="11"/>
  <c r="AB777" i="11"/>
  <c r="AB783" i="11"/>
  <c r="AB27" i="11"/>
  <c r="AB99" i="11"/>
  <c r="AC143" i="11"/>
  <c r="AC158" i="11"/>
  <c r="AC168" i="11"/>
  <c r="AC178" i="11"/>
  <c r="AB189" i="11"/>
  <c r="AC199" i="11"/>
  <c r="AC209" i="11"/>
  <c r="AC219" i="11"/>
  <c r="AC230" i="11"/>
  <c r="AC240" i="11"/>
  <c r="AC250" i="11"/>
  <c r="AB261" i="11"/>
  <c r="AC271" i="11"/>
  <c r="AC281" i="11"/>
  <c r="AC291" i="11"/>
  <c r="AC302" i="11"/>
  <c r="AC312" i="11"/>
  <c r="AC322" i="11"/>
  <c r="AB333" i="11"/>
  <c r="AC343" i="11"/>
  <c r="AC353" i="11"/>
  <c r="AC363" i="11"/>
  <c r="AC374" i="11"/>
  <c r="AC384" i="11"/>
  <c r="AC394" i="11"/>
  <c r="AB405" i="11"/>
  <c r="AB414" i="11"/>
  <c r="AB423" i="11"/>
  <c r="AB432" i="11"/>
  <c r="AB441" i="11"/>
  <c r="AB450" i="11"/>
  <c r="AB459" i="11"/>
  <c r="AB468" i="11"/>
  <c r="AB477" i="11"/>
  <c r="AB486" i="11"/>
  <c r="AB495" i="11"/>
  <c r="AB504" i="11"/>
  <c r="AC511" i="11"/>
  <c r="AB519" i="11"/>
  <c r="AC525" i="11"/>
  <c r="AC531" i="11"/>
  <c r="AC537" i="11"/>
  <c r="AC543" i="11"/>
  <c r="AC549" i="11"/>
  <c r="AC555" i="11"/>
  <c r="AC561" i="11"/>
  <c r="AC567" i="11"/>
  <c r="AC573" i="11"/>
  <c r="AC579" i="11"/>
  <c r="AC585" i="11"/>
  <c r="AC591" i="11"/>
  <c r="AC597" i="11"/>
  <c r="AC603" i="11"/>
  <c r="AC609" i="11"/>
  <c r="AC615" i="11"/>
  <c r="AC621" i="11"/>
  <c r="AC627" i="11"/>
  <c r="AC633" i="11"/>
  <c r="AC639" i="11"/>
  <c r="AC645" i="11"/>
  <c r="AB33" i="11"/>
  <c r="AB105" i="11"/>
  <c r="AC146" i="11"/>
  <c r="AB159" i="11"/>
  <c r="AC169" i="11"/>
  <c r="AC179" i="11"/>
  <c r="AC189" i="11"/>
  <c r="AC200" i="11"/>
  <c r="AC210" i="11"/>
  <c r="AC220" i="11"/>
  <c r="AB231" i="11"/>
  <c r="AC241" i="11"/>
  <c r="AC251" i="11"/>
  <c r="AC261" i="11"/>
  <c r="AC272" i="11"/>
  <c r="AC282" i="11"/>
  <c r="AC292" i="11"/>
  <c r="AB303" i="11"/>
  <c r="AC313" i="11"/>
  <c r="AC323" i="11"/>
  <c r="AC333" i="11"/>
  <c r="AC344" i="11"/>
  <c r="AC354" i="11"/>
  <c r="AC364" i="11"/>
  <c r="AB375" i="11"/>
  <c r="AC385" i="11"/>
  <c r="AC395" i="11"/>
  <c r="AC405" i="11"/>
  <c r="AC414" i="11"/>
  <c r="AC423" i="11"/>
  <c r="AC432" i="11"/>
  <c r="AC441" i="11"/>
  <c r="AC450" i="11"/>
  <c r="AC459" i="11"/>
  <c r="AC468" i="11"/>
  <c r="AC477" i="11"/>
  <c r="AC486" i="11"/>
  <c r="AC495" i="11"/>
  <c r="AC504" i="11"/>
  <c r="AC512" i="11"/>
  <c r="AC519" i="11"/>
  <c r="AB526" i="11"/>
  <c r="AB532" i="11"/>
  <c r="AB538" i="11"/>
  <c r="AB544" i="11"/>
  <c r="AB550" i="11"/>
  <c r="AB556" i="11"/>
  <c r="AB562" i="11"/>
  <c r="AB568" i="11"/>
  <c r="AB574" i="11"/>
  <c r="AB580" i="11"/>
  <c r="AB586" i="11"/>
  <c r="AB592" i="11"/>
  <c r="AB598" i="11"/>
  <c r="AB604" i="11"/>
  <c r="AB610" i="11"/>
  <c r="AB616" i="11"/>
  <c r="AB622" i="11"/>
  <c r="AB628" i="11"/>
  <c r="AB634" i="11"/>
  <c r="AB640" i="11"/>
  <c r="AB646" i="11"/>
  <c r="AB652" i="11"/>
  <c r="AB658" i="11"/>
  <c r="AB664" i="11"/>
  <c r="AB670" i="11"/>
  <c r="AB676" i="11"/>
  <c r="AB682" i="11"/>
  <c r="AB688" i="11"/>
  <c r="AB694" i="11"/>
  <c r="AB700" i="11"/>
  <c r="AB706" i="11"/>
  <c r="AB712" i="11"/>
  <c r="AB718" i="11"/>
  <c r="AB724" i="11"/>
  <c r="AB730" i="11"/>
  <c r="AB736" i="11"/>
  <c r="AB742" i="11"/>
  <c r="AB748" i="11"/>
  <c r="AB754" i="11"/>
  <c r="AB760" i="11"/>
  <c r="AB766" i="11"/>
  <c r="AB772" i="11"/>
  <c r="AB778" i="11"/>
  <c r="AB39" i="11"/>
  <c r="AB111" i="11"/>
  <c r="AB147" i="11"/>
  <c r="AC159" i="11"/>
  <c r="AC170" i="11"/>
  <c r="AC180" i="11"/>
  <c r="AC190" i="11"/>
  <c r="AB201" i="11"/>
  <c r="AC211" i="11"/>
  <c r="AC221" i="11"/>
  <c r="AC231" i="11"/>
  <c r="AC242" i="11"/>
  <c r="AC252" i="11"/>
  <c r="AC262" i="11"/>
  <c r="AB273" i="11"/>
  <c r="AC283" i="11"/>
  <c r="AC293" i="11"/>
  <c r="AC303" i="11"/>
  <c r="AC314" i="11"/>
  <c r="AC324" i="11"/>
  <c r="AC334" i="11"/>
  <c r="AB345" i="11"/>
  <c r="AC355" i="11"/>
  <c r="AC365" i="11"/>
  <c r="AC375" i="11"/>
  <c r="AC386" i="11"/>
  <c r="AC396" i="11"/>
  <c r="AC406" i="11"/>
  <c r="AC415" i="11"/>
  <c r="AC424" i="11"/>
  <c r="AC433" i="11"/>
  <c r="AC442" i="11"/>
  <c r="AC451" i="11"/>
  <c r="AC460" i="11"/>
  <c r="AC469" i="11"/>
  <c r="AC478" i="11"/>
  <c r="AC487" i="11"/>
  <c r="AC496" i="11"/>
  <c r="AC505" i="11"/>
  <c r="AB513" i="11"/>
  <c r="AB520" i="11"/>
  <c r="AC526" i="11"/>
  <c r="AC532" i="11"/>
  <c r="AC538" i="11"/>
  <c r="AC544" i="11"/>
  <c r="AC550" i="11"/>
  <c r="AC556" i="11"/>
  <c r="AC562" i="11"/>
  <c r="AC568" i="11"/>
  <c r="AC574" i="11"/>
  <c r="AC580" i="11"/>
  <c r="AC586" i="11"/>
  <c r="AC592" i="11"/>
  <c r="AB45" i="11"/>
  <c r="AB117" i="11"/>
  <c r="AC148" i="11"/>
  <c r="AC160" i="11"/>
  <c r="AB171" i="11"/>
  <c r="AC181" i="11"/>
  <c r="AC191" i="11"/>
  <c r="AC201" i="11"/>
  <c r="AC212" i="11"/>
  <c r="AC222" i="11"/>
  <c r="AC232" i="11"/>
  <c r="AB243" i="11"/>
  <c r="AC253" i="11"/>
  <c r="AC263" i="11"/>
  <c r="AC273" i="11"/>
  <c r="AC284" i="11"/>
  <c r="AC294" i="11"/>
  <c r="AC304" i="11"/>
  <c r="AB315" i="11"/>
  <c r="AC325" i="11"/>
  <c r="AC335" i="11"/>
  <c r="AC345" i="11"/>
  <c r="AC356" i="11"/>
  <c r="AC366" i="11"/>
  <c r="AC376" i="11"/>
  <c r="AB387" i="11"/>
  <c r="AC397" i="11"/>
  <c r="AC407" i="11"/>
  <c r="AC416" i="11"/>
  <c r="AC425" i="11"/>
  <c r="AC434" i="11"/>
  <c r="AC443" i="11"/>
  <c r="AC452" i="11"/>
  <c r="AC461" i="11"/>
  <c r="AC470" i="11"/>
  <c r="AC479" i="11"/>
  <c r="AC488" i="11"/>
  <c r="AC497" i="11"/>
  <c r="AC506" i="11"/>
  <c r="AB51" i="11"/>
  <c r="AB123" i="11"/>
  <c r="AC149" i="11"/>
  <c r="AC161" i="11"/>
  <c r="AC171" i="11"/>
  <c r="AC182" i="11"/>
  <c r="AC192" i="11"/>
  <c r="AC202" i="11"/>
  <c r="AB213" i="11"/>
  <c r="AC223" i="11"/>
  <c r="AC233" i="11"/>
  <c r="AC243" i="11"/>
  <c r="AC254" i="11"/>
  <c r="AC264" i="11"/>
  <c r="AC274" i="11"/>
  <c r="AB285" i="11"/>
  <c r="AC295" i="11"/>
  <c r="AC305" i="11"/>
  <c r="AC315" i="11"/>
  <c r="AC326" i="11"/>
  <c r="AC336" i="11"/>
  <c r="AC346" i="11"/>
  <c r="AB357" i="11"/>
  <c r="AC367" i="11"/>
  <c r="AC377" i="11"/>
  <c r="AC387" i="11"/>
  <c r="AC398" i="11"/>
  <c r="AB408" i="11"/>
  <c r="AB417" i="11"/>
  <c r="AB426" i="11"/>
  <c r="AB435" i="11"/>
  <c r="AB444" i="11"/>
  <c r="AB453" i="11"/>
  <c r="AB462" i="11"/>
  <c r="AB471" i="11"/>
  <c r="AB480" i="11"/>
  <c r="AB489" i="11"/>
  <c r="AB498" i="11"/>
  <c r="AB507" i="11"/>
  <c r="AB514" i="11"/>
  <c r="AB521" i="11"/>
  <c r="AC527" i="11"/>
  <c r="AC533" i="11"/>
  <c r="AC539" i="11"/>
  <c r="AC545" i="11"/>
  <c r="AC551" i="11"/>
  <c r="AC557" i="11"/>
  <c r="AC563" i="11"/>
  <c r="AC569" i="11"/>
  <c r="AC575" i="11"/>
  <c r="AC581" i="11"/>
  <c r="AC587" i="11"/>
  <c r="AC593" i="11"/>
  <c r="AC599" i="11"/>
  <c r="AC605" i="11"/>
  <c r="AC611" i="11"/>
  <c r="AC617" i="11"/>
  <c r="AC623" i="11"/>
  <c r="AC629" i="11"/>
  <c r="AC635" i="11"/>
  <c r="AC641" i="11"/>
  <c r="AB57" i="11"/>
  <c r="AC128" i="11"/>
  <c r="AC152" i="11"/>
  <c r="AC162" i="11"/>
  <c r="AC172" i="11"/>
  <c r="AB183" i="11"/>
  <c r="AC193" i="11"/>
  <c r="AC203" i="11"/>
  <c r="AC213" i="11"/>
  <c r="AC224" i="11"/>
  <c r="AC234" i="11"/>
  <c r="AC244" i="11"/>
  <c r="AB255" i="11"/>
  <c r="AC265" i="11"/>
  <c r="AC275" i="11"/>
  <c r="AC285" i="11"/>
  <c r="AC296" i="11"/>
  <c r="AC306" i="11"/>
  <c r="AC316" i="11"/>
  <c r="AB327" i="11"/>
  <c r="AC337" i="11"/>
  <c r="AC347" i="11"/>
  <c r="AC357" i="11"/>
  <c r="AC368" i="11"/>
  <c r="AC378" i="11"/>
  <c r="AC388" i="11"/>
  <c r="AB399" i="11"/>
  <c r="AC408" i="11"/>
  <c r="AC417" i="11"/>
  <c r="AC426" i="11"/>
  <c r="AC435" i="11"/>
  <c r="AC444" i="11"/>
  <c r="AC453" i="11"/>
  <c r="AC462" i="11"/>
  <c r="AC471" i="11"/>
  <c r="AC480" i="11"/>
  <c r="AC489" i="11"/>
  <c r="AC498" i="11"/>
  <c r="AC507" i="11"/>
  <c r="AC514" i="11"/>
  <c r="AC521" i="11"/>
  <c r="AB528" i="11"/>
  <c r="AB534" i="11"/>
  <c r="AB540" i="11"/>
  <c r="AB546" i="11"/>
  <c r="AB552" i="11"/>
  <c r="AB558" i="11"/>
  <c r="AB564" i="11"/>
  <c r="AB570" i="11"/>
  <c r="AB576" i="11"/>
  <c r="AB582" i="11"/>
  <c r="AB588" i="11"/>
  <c r="AB594" i="11"/>
  <c r="AB600" i="11"/>
  <c r="AB606" i="11"/>
  <c r="AB612" i="11"/>
  <c r="AB618" i="11"/>
  <c r="AB624" i="11"/>
  <c r="AB630" i="11"/>
  <c r="AB636" i="11"/>
  <c r="AB642" i="11"/>
  <c r="AB648" i="11"/>
  <c r="AB654" i="11"/>
  <c r="AB660" i="11"/>
  <c r="AB666" i="11"/>
  <c r="AB672" i="11"/>
  <c r="AB678" i="11"/>
  <c r="AB684" i="11"/>
  <c r="AB690" i="11"/>
  <c r="AB696" i="11"/>
  <c r="AB702" i="11"/>
  <c r="AB708" i="11"/>
  <c r="AB714" i="11"/>
  <c r="AB720" i="11"/>
  <c r="AB726" i="11"/>
  <c r="AB732" i="11"/>
  <c r="AB738" i="11"/>
  <c r="AB744" i="11"/>
  <c r="AB750" i="11"/>
  <c r="AB756" i="11"/>
  <c r="AB762" i="11"/>
  <c r="AB63" i="11"/>
  <c r="AB129" i="11"/>
  <c r="AB153" i="11"/>
  <c r="AC163" i="11"/>
  <c r="AC173" i="11"/>
  <c r="AC183" i="11"/>
  <c r="AC194" i="11"/>
  <c r="AC204" i="11"/>
  <c r="AC214" i="11"/>
  <c r="AB225" i="11"/>
  <c r="AC235" i="11"/>
  <c r="AC245" i="11"/>
  <c r="AC255" i="11"/>
  <c r="AC266" i="11"/>
  <c r="AC276" i="11"/>
  <c r="AC286" i="11"/>
  <c r="AB297" i="11"/>
  <c r="AC307" i="11"/>
  <c r="AC317" i="11"/>
  <c r="AC327" i="11"/>
  <c r="AC338" i="11"/>
  <c r="AC348" i="11"/>
  <c r="AC358" i="11"/>
  <c r="AB369" i="11"/>
  <c r="AC379" i="11"/>
  <c r="AC389" i="11"/>
  <c r="AC399" i="11"/>
  <c r="AC409" i="11"/>
  <c r="AC418" i="11"/>
  <c r="AC427" i="11"/>
  <c r="AC436" i="11"/>
  <c r="AC445" i="11"/>
  <c r="AC454" i="11"/>
  <c r="AC463" i="11"/>
  <c r="AC472" i="11"/>
  <c r="AC481" i="11"/>
  <c r="AC490" i="11"/>
  <c r="AC499" i="11"/>
  <c r="AB508" i="11"/>
  <c r="AB515" i="11"/>
  <c r="AB522" i="11"/>
  <c r="AC528" i="11"/>
  <c r="AC534" i="11"/>
  <c r="AC540" i="11"/>
  <c r="AC546" i="11"/>
  <c r="AC552" i="11"/>
  <c r="AC558" i="11"/>
  <c r="AC564" i="11"/>
  <c r="AC570" i="11"/>
  <c r="AC576" i="11"/>
  <c r="AC582" i="11"/>
  <c r="AC588" i="11"/>
  <c r="AC594" i="11"/>
  <c r="AC600" i="11"/>
  <c r="AC606" i="11"/>
  <c r="AC225" i="11"/>
  <c r="AC349" i="11"/>
  <c r="AC464" i="11"/>
  <c r="AB533" i="11"/>
  <c r="AB569" i="11"/>
  <c r="AB601" i="11"/>
  <c r="AC618" i="11"/>
  <c r="AC632" i="11"/>
  <c r="AB647" i="11"/>
  <c r="AC656" i="11"/>
  <c r="AC665" i="11"/>
  <c r="AC674" i="11"/>
  <c r="AC683" i="11"/>
  <c r="AC692" i="11"/>
  <c r="AC701" i="11"/>
  <c r="AC710" i="11"/>
  <c r="AC719" i="11"/>
  <c r="AC728" i="11"/>
  <c r="AC737" i="11"/>
  <c r="AC746" i="11"/>
  <c r="AC755" i="11"/>
  <c r="AC764" i="11"/>
  <c r="AB773" i="11"/>
  <c r="AC780" i="11"/>
  <c r="AC787" i="11"/>
  <c r="AC793" i="11"/>
  <c r="AC799" i="11"/>
  <c r="AC805" i="11"/>
  <c r="AC811" i="11"/>
  <c r="AC817" i="11"/>
  <c r="AC823" i="11"/>
  <c r="AC829" i="11"/>
  <c r="AC835" i="11"/>
  <c r="AC841" i="11"/>
  <c r="AC847" i="11"/>
  <c r="AC853" i="11"/>
  <c r="AC859" i="11"/>
  <c r="AC865" i="11"/>
  <c r="AC871" i="11"/>
  <c r="AC877" i="11"/>
  <c r="AC883" i="11"/>
  <c r="AC889" i="11"/>
  <c r="AC895" i="11"/>
  <c r="AC901" i="11"/>
  <c r="AC907" i="11"/>
  <c r="AC913" i="11"/>
  <c r="AC919" i="11"/>
  <c r="AC925" i="11"/>
  <c r="AC931" i="11"/>
  <c r="AC937" i="11"/>
  <c r="AC943" i="11"/>
  <c r="AC949" i="11"/>
  <c r="AC236" i="11"/>
  <c r="AC359" i="11"/>
  <c r="AC473" i="11"/>
  <c r="AB535" i="11"/>
  <c r="AB571" i="11"/>
  <c r="AC604" i="11"/>
  <c r="AB619" i="11"/>
  <c r="AC634" i="11"/>
  <c r="AC647" i="11"/>
  <c r="AC657" i="11"/>
  <c r="AC666" i="11"/>
  <c r="AC675" i="11"/>
  <c r="AC684" i="11"/>
  <c r="AC693" i="11"/>
  <c r="AC702" i="11"/>
  <c r="AC711" i="11"/>
  <c r="AC720" i="11"/>
  <c r="AC729" i="11"/>
  <c r="AC738" i="11"/>
  <c r="AC747" i="11"/>
  <c r="AC756" i="11"/>
  <c r="AC765" i="11"/>
  <c r="AC773" i="11"/>
  <c r="AB781" i="11"/>
  <c r="AB788" i="11"/>
  <c r="AB794" i="11"/>
  <c r="AB800" i="11"/>
  <c r="AB806" i="11"/>
  <c r="AB812" i="11"/>
  <c r="AB818" i="11"/>
  <c r="AB824" i="11"/>
  <c r="AB830" i="11"/>
  <c r="AB836" i="11"/>
  <c r="AB842" i="11"/>
  <c r="AB848" i="11"/>
  <c r="AB854" i="11"/>
  <c r="AB860" i="11"/>
  <c r="AB866" i="11"/>
  <c r="AB872" i="11"/>
  <c r="AB878" i="11"/>
  <c r="AB884" i="11"/>
  <c r="AB890" i="11"/>
  <c r="AB896" i="11"/>
  <c r="AB902" i="11"/>
  <c r="AB908" i="11"/>
  <c r="AB914" i="11"/>
  <c r="AB920" i="11"/>
  <c r="AB926" i="11"/>
  <c r="AB932" i="11"/>
  <c r="AB938" i="11"/>
  <c r="AB944" i="11"/>
  <c r="AB950" i="11"/>
  <c r="AB956" i="11"/>
  <c r="AB962" i="11"/>
  <c r="AB968" i="11"/>
  <c r="AB974" i="11"/>
  <c r="AB980" i="11"/>
  <c r="AB986" i="11"/>
  <c r="AB992" i="11"/>
  <c r="AB998" i="11"/>
  <c r="AB1004" i="11"/>
  <c r="AB1010" i="11"/>
  <c r="AB1016" i="11"/>
  <c r="AB1022" i="11"/>
  <c r="AB1028" i="11"/>
  <c r="AB1034" i="11"/>
  <c r="AB1040" i="11"/>
  <c r="AB1046" i="11"/>
  <c r="AB1052" i="11"/>
  <c r="AB1058" i="11"/>
  <c r="AB1064" i="11"/>
  <c r="AB1070" i="11"/>
  <c r="AB1076" i="11"/>
  <c r="AB1082" i="11"/>
  <c r="AB1088" i="11"/>
  <c r="AB1094" i="11"/>
  <c r="AB1100" i="11"/>
  <c r="AB1106" i="11"/>
  <c r="AB1112" i="11"/>
  <c r="AB1118" i="11"/>
  <c r="AB1124" i="11"/>
  <c r="AB1130" i="11"/>
  <c r="AB1136" i="11"/>
  <c r="AB1142" i="11"/>
  <c r="AB1148" i="11"/>
  <c r="AB1154" i="11"/>
  <c r="AB1160" i="11"/>
  <c r="AB1166" i="11"/>
  <c r="AB1172" i="11"/>
  <c r="AB1178" i="11"/>
  <c r="AB1184" i="11"/>
  <c r="AB1190" i="11"/>
  <c r="AB1196" i="11"/>
  <c r="AB1202" i="11"/>
  <c r="AB1208" i="11"/>
  <c r="AB1214" i="11"/>
  <c r="AB1220" i="11"/>
  <c r="AB1226" i="11"/>
  <c r="AB1232" i="11"/>
  <c r="AB1238" i="11"/>
  <c r="AB1244" i="11"/>
  <c r="AB1250" i="11"/>
  <c r="AB1256" i="11"/>
  <c r="AB1262" i="11"/>
  <c r="AB1268" i="11"/>
  <c r="AB1274" i="11"/>
  <c r="AB1280" i="11"/>
  <c r="AB1286" i="11"/>
  <c r="AB1292" i="11"/>
  <c r="AB1298" i="11"/>
  <c r="AB1304" i="11"/>
  <c r="AB1310" i="11"/>
  <c r="AB1316" i="11"/>
  <c r="AB1322" i="11"/>
  <c r="AB1328" i="11"/>
  <c r="AB1334" i="11"/>
  <c r="AB1340" i="11"/>
  <c r="AB1346" i="11"/>
  <c r="AB1352" i="11"/>
  <c r="AB1358" i="11"/>
  <c r="AB1364" i="11"/>
  <c r="AB1370" i="11"/>
  <c r="AB1376" i="11"/>
  <c r="AB1382" i="11"/>
  <c r="AB1388" i="11"/>
  <c r="AB1394" i="11"/>
  <c r="AC246" i="11"/>
  <c r="AC369" i="11"/>
  <c r="AC482" i="11"/>
  <c r="AB539" i="11"/>
  <c r="AB575" i="11"/>
  <c r="AB605" i="11"/>
  <c r="AC620" i="11"/>
  <c r="AB635" i="11"/>
  <c r="AC648" i="11"/>
  <c r="AC658" i="11"/>
  <c r="AB667" i="11"/>
  <c r="AC676" i="11"/>
  <c r="AB685" i="11"/>
  <c r="AC694" i="11"/>
  <c r="AB703" i="11"/>
  <c r="AC712" i="11"/>
  <c r="AB721" i="11"/>
  <c r="AC730" i="11"/>
  <c r="AB739" i="11"/>
  <c r="AC748" i="11"/>
  <c r="AB757" i="11"/>
  <c r="AC766" i="11"/>
  <c r="AB774" i="11"/>
  <c r="AC781" i="11"/>
  <c r="AC788" i="11"/>
  <c r="AC794" i="11"/>
  <c r="AC800" i="11"/>
  <c r="AC806" i="11"/>
  <c r="AC812" i="11"/>
  <c r="AC818" i="11"/>
  <c r="AC824" i="11"/>
  <c r="AC830" i="11"/>
  <c r="AC836" i="11"/>
  <c r="AC842" i="11"/>
  <c r="AC848" i="11"/>
  <c r="AC854" i="11"/>
  <c r="AC860" i="11"/>
  <c r="AC866" i="11"/>
  <c r="AC872" i="11"/>
  <c r="AC878" i="11"/>
  <c r="AC884" i="11"/>
  <c r="AC890" i="11"/>
  <c r="AC896" i="11"/>
  <c r="AC902" i="11"/>
  <c r="AC908" i="11"/>
  <c r="AC914" i="11"/>
  <c r="AC920" i="11"/>
  <c r="AC926" i="11"/>
  <c r="AC932" i="11"/>
  <c r="AC938" i="11"/>
  <c r="AC944" i="11"/>
  <c r="AC950" i="11"/>
  <c r="AC956" i="11"/>
  <c r="AC962" i="11"/>
  <c r="AB69" i="11"/>
  <c r="AC256" i="11"/>
  <c r="AC380" i="11"/>
  <c r="AC491" i="11"/>
  <c r="AB541" i="11"/>
  <c r="AB577" i="11"/>
  <c r="AB607" i="11"/>
  <c r="AC622" i="11"/>
  <c r="AC636" i="11"/>
  <c r="AB649" i="11"/>
  <c r="AB659" i="11"/>
  <c r="AC667" i="11"/>
  <c r="AB677" i="11"/>
  <c r="AC685" i="11"/>
  <c r="AB695" i="11"/>
  <c r="AC703" i="11"/>
  <c r="AB713" i="11"/>
  <c r="AC721" i="11"/>
  <c r="AB731" i="11"/>
  <c r="AC739" i="11"/>
  <c r="AB749" i="11"/>
  <c r="AC757" i="11"/>
  <c r="AB767" i="11"/>
  <c r="AC774" i="11"/>
  <c r="AC782" i="11"/>
  <c r="AB789" i="11"/>
  <c r="AB795" i="11"/>
  <c r="AB801" i="11"/>
  <c r="AB807" i="11"/>
  <c r="AB813" i="11"/>
  <c r="AB819" i="11"/>
  <c r="AB825" i="11"/>
  <c r="AB831" i="11"/>
  <c r="AB837" i="11"/>
  <c r="AB843" i="11"/>
  <c r="AB849" i="11"/>
  <c r="AB855" i="11"/>
  <c r="AB861" i="11"/>
  <c r="AB867" i="11"/>
  <c r="AB873" i="11"/>
  <c r="AB879" i="11"/>
  <c r="AB885" i="11"/>
  <c r="AB891" i="11"/>
  <c r="AB897" i="11"/>
  <c r="AB903" i="11"/>
  <c r="AB909" i="11"/>
  <c r="AB915" i="11"/>
  <c r="AB921" i="11"/>
  <c r="AB927" i="11"/>
  <c r="AB933" i="11"/>
  <c r="AB939" i="11"/>
  <c r="AB945" i="11"/>
  <c r="AB951" i="11"/>
  <c r="AB957" i="11"/>
  <c r="AB963" i="11"/>
  <c r="AB969" i="11"/>
  <c r="AB975" i="11"/>
  <c r="AB981" i="11"/>
  <c r="AB987" i="11"/>
  <c r="AB993" i="11"/>
  <c r="AB999" i="11"/>
  <c r="AB1005" i="11"/>
  <c r="AB1011" i="11"/>
  <c r="AB1017" i="11"/>
  <c r="AB1023" i="11"/>
  <c r="AB1029" i="11"/>
  <c r="AB1035" i="11"/>
  <c r="AB1041" i="11"/>
  <c r="AB1047" i="11"/>
  <c r="AB1053" i="11"/>
  <c r="AB1059" i="11"/>
  <c r="AB1065" i="11"/>
  <c r="AB1071" i="11"/>
  <c r="AB1077" i="11"/>
  <c r="AB1083" i="11"/>
  <c r="AB1089" i="11"/>
  <c r="AB1095" i="11"/>
  <c r="AB1101" i="11"/>
  <c r="AB1107" i="11"/>
  <c r="AB1113" i="11"/>
  <c r="AB1119" i="11"/>
  <c r="AB1125" i="11"/>
  <c r="AB1131" i="11"/>
  <c r="AB1137" i="11"/>
  <c r="AB1143" i="11"/>
  <c r="AB1149" i="11"/>
  <c r="AB1155" i="11"/>
  <c r="AB1161" i="11"/>
  <c r="AB1167" i="11"/>
  <c r="AB1173" i="11"/>
  <c r="AB1179" i="11"/>
  <c r="AB1185" i="11"/>
  <c r="AB1191" i="11"/>
  <c r="AB1197" i="11"/>
  <c r="AB1203" i="11"/>
  <c r="AB1209" i="11"/>
  <c r="AB1215" i="11"/>
  <c r="AB1221" i="11"/>
  <c r="AB1227" i="11"/>
  <c r="AB1233" i="11"/>
  <c r="AB1239" i="11"/>
  <c r="AB1245" i="11"/>
  <c r="AB1251" i="11"/>
  <c r="AB1257" i="11"/>
  <c r="AB1263" i="11"/>
  <c r="AB1269" i="11"/>
  <c r="AB1275" i="11"/>
  <c r="AB1281" i="11"/>
  <c r="AB1287" i="11"/>
  <c r="AB1293" i="11"/>
  <c r="AB1299" i="11"/>
  <c r="AB1305" i="11"/>
  <c r="AB1311" i="11"/>
  <c r="AB1317" i="11"/>
  <c r="AB1323" i="11"/>
  <c r="AB1329" i="11"/>
  <c r="AB1335" i="11"/>
  <c r="AB1341" i="11"/>
  <c r="AB1347" i="11"/>
  <c r="AB1353" i="11"/>
  <c r="AB1359" i="11"/>
  <c r="AB1365" i="11"/>
  <c r="AB1371" i="11"/>
  <c r="AB1377" i="11"/>
  <c r="AB1383" i="11"/>
  <c r="AB1389" i="11"/>
  <c r="AB1395" i="11"/>
  <c r="AB1401" i="11"/>
  <c r="AB1407" i="11"/>
  <c r="AB1413" i="11"/>
  <c r="AB1419" i="11"/>
  <c r="AB1425" i="11"/>
  <c r="AB1431" i="11"/>
  <c r="AB1437" i="11"/>
  <c r="AB1443" i="11"/>
  <c r="AB1449" i="11"/>
  <c r="AB1455" i="11"/>
  <c r="AB1461" i="11"/>
  <c r="AC134" i="11"/>
  <c r="AB267" i="11"/>
  <c r="AC390" i="11"/>
  <c r="AC500" i="11"/>
  <c r="AB545" i="11"/>
  <c r="AB581" i="11"/>
  <c r="AC608" i="11"/>
  <c r="AB623" i="11"/>
  <c r="AB637" i="11"/>
  <c r="AC650" i="11"/>
  <c r="AC659" i="11"/>
  <c r="AC668" i="11"/>
  <c r="AC677" i="11"/>
  <c r="AC686" i="11"/>
  <c r="AC695" i="11"/>
  <c r="AC704" i="11"/>
  <c r="AC713" i="11"/>
  <c r="AC722" i="11"/>
  <c r="AC731" i="11"/>
  <c r="AC740" i="11"/>
  <c r="AC749" i="11"/>
  <c r="AC758" i="11"/>
  <c r="AC767" i="11"/>
  <c r="AB775" i="11"/>
  <c r="AC783" i="11"/>
  <c r="AC789" i="11"/>
  <c r="AC795" i="11"/>
  <c r="AC801" i="11"/>
  <c r="AC807" i="11"/>
  <c r="AC813" i="11"/>
  <c r="AC819" i="11"/>
  <c r="AC825" i="11"/>
  <c r="AC831" i="11"/>
  <c r="AC837" i="11"/>
  <c r="AC843" i="11"/>
  <c r="AC849" i="11"/>
  <c r="AC855" i="11"/>
  <c r="AC861" i="11"/>
  <c r="AC867" i="11"/>
  <c r="AC873" i="11"/>
  <c r="AC879" i="11"/>
  <c r="AC885" i="11"/>
  <c r="AC891" i="11"/>
  <c r="AC897" i="11"/>
  <c r="AC903" i="11"/>
  <c r="AC909" i="11"/>
  <c r="AC915" i="11"/>
  <c r="AC921" i="11"/>
  <c r="AC927" i="11"/>
  <c r="AC933" i="11"/>
  <c r="AC939" i="11"/>
  <c r="AC153" i="11"/>
  <c r="AC277" i="11"/>
  <c r="AC400" i="11"/>
  <c r="AC508" i="11"/>
  <c r="AB547" i="11"/>
  <c r="AB583" i="11"/>
  <c r="AC610" i="11"/>
  <c r="AC624" i="11"/>
  <c r="AC638" i="11"/>
  <c r="AC651" i="11"/>
  <c r="AC660" i="11"/>
  <c r="AC669" i="11"/>
  <c r="AC678" i="11"/>
  <c r="AC687" i="11"/>
  <c r="AC696" i="11"/>
  <c r="AC705" i="11"/>
  <c r="AC714" i="11"/>
  <c r="AC723" i="11"/>
  <c r="AC732" i="11"/>
  <c r="AC741" i="11"/>
  <c r="AC750" i="11"/>
  <c r="AC759" i="11"/>
  <c r="AB768" i="11"/>
  <c r="AC775" i="11"/>
  <c r="AB784" i="11"/>
  <c r="AB790" i="11"/>
  <c r="AB796" i="11"/>
  <c r="AB802" i="11"/>
  <c r="AB808" i="11"/>
  <c r="AB814" i="11"/>
  <c r="AB820" i="11"/>
  <c r="AB826" i="11"/>
  <c r="AB832" i="11"/>
  <c r="AB838" i="11"/>
  <c r="AB844" i="11"/>
  <c r="AB850" i="11"/>
  <c r="AB856" i="11"/>
  <c r="AB862" i="11"/>
  <c r="AB868" i="11"/>
  <c r="AB874" i="11"/>
  <c r="AB880" i="11"/>
  <c r="AB886" i="11"/>
  <c r="AB892" i="11"/>
  <c r="AB898" i="11"/>
  <c r="AB904" i="11"/>
  <c r="AB910" i="11"/>
  <c r="AB916" i="11"/>
  <c r="AB922" i="11"/>
  <c r="AB928" i="11"/>
  <c r="AB934" i="11"/>
  <c r="AB940" i="11"/>
  <c r="AB946" i="11"/>
  <c r="AB952" i="11"/>
  <c r="AB958" i="11"/>
  <c r="AB964" i="11"/>
  <c r="AB970" i="11"/>
  <c r="AB976" i="11"/>
  <c r="AB982" i="11"/>
  <c r="AB988" i="11"/>
  <c r="AB994" i="11"/>
  <c r="AB1000" i="11"/>
  <c r="AB1006" i="11"/>
  <c r="AB1012" i="11"/>
  <c r="AB1018" i="11"/>
  <c r="AB1024" i="11"/>
  <c r="AB1030" i="11"/>
  <c r="AB1036" i="11"/>
  <c r="AB1042" i="11"/>
  <c r="AB1048" i="11"/>
  <c r="AB1054" i="11"/>
  <c r="AB1060" i="11"/>
  <c r="AB1066" i="11"/>
  <c r="AB1072" i="11"/>
  <c r="AB1078" i="11"/>
  <c r="AB1084" i="11"/>
  <c r="AB1090" i="11"/>
  <c r="AB1096" i="11"/>
  <c r="AB1102" i="11"/>
  <c r="AB1108" i="11"/>
  <c r="AB1114" i="11"/>
  <c r="AB1120" i="11"/>
  <c r="AB1126" i="11"/>
  <c r="AB1132" i="11"/>
  <c r="AB1138" i="11"/>
  <c r="AB1144" i="11"/>
  <c r="AB1150" i="11"/>
  <c r="AB1156" i="11"/>
  <c r="AB1162" i="11"/>
  <c r="AB1168" i="11"/>
  <c r="AB1174" i="11"/>
  <c r="AB1180" i="11"/>
  <c r="AB1186" i="11"/>
  <c r="AB1192" i="11"/>
  <c r="AB1198" i="11"/>
  <c r="AB1204" i="11"/>
  <c r="AB1210" i="11"/>
  <c r="AB1216" i="11"/>
  <c r="AB1222" i="11"/>
  <c r="AB1228" i="11"/>
  <c r="AB1234" i="11"/>
  <c r="AB1240" i="11"/>
  <c r="AB1246" i="11"/>
  <c r="AB1252" i="11"/>
  <c r="AB1258" i="11"/>
  <c r="AB1264" i="11"/>
  <c r="AB1270" i="11"/>
  <c r="AB1276" i="11"/>
  <c r="AB1282" i="11"/>
  <c r="AB1288" i="11"/>
  <c r="AB1294" i="11"/>
  <c r="AB1300" i="11"/>
  <c r="AB1306" i="11"/>
  <c r="AB1312" i="11"/>
  <c r="AB1318" i="11"/>
  <c r="AB1324" i="11"/>
  <c r="AB1330" i="11"/>
  <c r="AB1336" i="11"/>
  <c r="AB1342" i="11"/>
  <c r="AC164" i="11"/>
  <c r="AC287" i="11"/>
  <c r="AC410" i="11"/>
  <c r="AC513" i="11"/>
  <c r="AB551" i="11"/>
  <c r="AB587" i="11"/>
  <c r="AB611" i="11"/>
  <c r="AB625" i="11"/>
  <c r="AC640" i="11"/>
  <c r="AC652" i="11"/>
  <c r="AB661" i="11"/>
  <c r="AC670" i="11"/>
  <c r="AB679" i="11"/>
  <c r="AC688" i="11"/>
  <c r="AB697" i="11"/>
  <c r="AC706" i="11"/>
  <c r="AB715" i="11"/>
  <c r="AC724" i="11"/>
  <c r="AB733" i="11"/>
  <c r="AC742" i="11"/>
  <c r="AB751" i="11"/>
  <c r="AC760" i="11"/>
  <c r="AC768" i="11"/>
  <c r="AC776" i="11"/>
  <c r="AC784" i="11"/>
  <c r="AC790" i="11"/>
  <c r="AC796" i="11"/>
  <c r="AC802" i="11"/>
  <c r="AC808" i="11"/>
  <c r="AC814" i="11"/>
  <c r="AC820" i="11"/>
  <c r="AC826" i="11"/>
  <c r="AC832" i="11"/>
  <c r="AC838" i="11"/>
  <c r="AC844" i="11"/>
  <c r="AC850" i="11"/>
  <c r="AC856" i="11"/>
  <c r="AC862" i="11"/>
  <c r="AC868" i="11"/>
  <c r="AC874" i="11"/>
  <c r="AC880" i="11"/>
  <c r="AC886" i="11"/>
  <c r="AC892" i="11"/>
  <c r="AC898" i="11"/>
  <c r="AC904" i="11"/>
  <c r="AC910" i="11"/>
  <c r="AC916" i="11"/>
  <c r="AC922" i="11"/>
  <c r="AC928" i="11"/>
  <c r="AC934" i="11"/>
  <c r="AC940" i="11"/>
  <c r="AC946" i="11"/>
  <c r="AC952" i="11"/>
  <c r="AC958" i="11"/>
  <c r="AC174" i="11"/>
  <c r="AC297" i="11"/>
  <c r="AC419" i="11"/>
  <c r="AC515" i="11"/>
  <c r="AB553" i="11"/>
  <c r="AB589" i="11"/>
  <c r="AC612" i="11"/>
  <c r="AC626" i="11"/>
  <c r="AB641" i="11"/>
  <c r="AB653" i="11"/>
  <c r="AC661" i="11"/>
  <c r="AB671" i="11"/>
  <c r="AC679" i="11"/>
  <c r="AB689" i="11"/>
  <c r="AC697" i="11"/>
  <c r="AB707" i="11"/>
  <c r="AC715" i="11"/>
  <c r="AB725" i="11"/>
  <c r="AC733" i="11"/>
  <c r="AB743" i="11"/>
  <c r="AC751" i="11"/>
  <c r="AB761" i="11"/>
  <c r="AB769" i="11"/>
  <c r="AC777" i="11"/>
  <c r="AB785" i="11"/>
  <c r="AB791" i="11"/>
  <c r="AB797" i="11"/>
  <c r="AB803" i="11"/>
  <c r="AB809" i="11"/>
  <c r="AB815" i="11"/>
  <c r="AB821" i="11"/>
  <c r="AB827" i="11"/>
  <c r="AB833" i="11"/>
  <c r="AB839" i="11"/>
  <c r="AB845" i="11"/>
  <c r="AB851" i="11"/>
  <c r="AB857" i="11"/>
  <c r="AB863" i="11"/>
  <c r="AB869" i="11"/>
  <c r="AB875" i="11"/>
  <c r="AB881" i="11"/>
  <c r="AB887" i="11"/>
  <c r="AB893" i="11"/>
  <c r="AB899" i="11"/>
  <c r="AB905" i="11"/>
  <c r="AB911" i="11"/>
  <c r="AB917" i="11"/>
  <c r="AB923" i="11"/>
  <c r="AB929" i="11"/>
  <c r="AB935" i="11"/>
  <c r="AB941" i="11"/>
  <c r="AB947" i="11"/>
  <c r="AB953" i="11"/>
  <c r="AB959" i="11"/>
  <c r="AB965" i="11"/>
  <c r="AB971" i="11"/>
  <c r="AB977" i="11"/>
  <c r="AB983" i="11"/>
  <c r="AB989" i="11"/>
  <c r="AB995" i="11"/>
  <c r="AB1001" i="11"/>
  <c r="AB1007" i="11"/>
  <c r="AB1013" i="11"/>
  <c r="AB1019" i="11"/>
  <c r="AB1025" i="11"/>
  <c r="AB1031" i="11"/>
  <c r="AB1037" i="11"/>
  <c r="AB1043" i="11"/>
  <c r="AB1049" i="11"/>
  <c r="AB1055" i="11"/>
  <c r="AB1061" i="11"/>
  <c r="AB1067" i="11"/>
  <c r="AB1073" i="11"/>
  <c r="AB1079" i="11"/>
  <c r="AB1085" i="11"/>
  <c r="AB1091" i="11"/>
  <c r="AB1097" i="11"/>
  <c r="AB1103" i="11"/>
  <c r="AB1109" i="11"/>
  <c r="AB1115" i="11"/>
  <c r="AB1121" i="11"/>
  <c r="AB1127" i="11"/>
  <c r="AB1133" i="11"/>
  <c r="AB1139" i="11"/>
  <c r="AB1145" i="11"/>
  <c r="AC184" i="11"/>
  <c r="AC308" i="11"/>
  <c r="AC428" i="11"/>
  <c r="AC520" i="11"/>
  <c r="AB557" i="11"/>
  <c r="AB593" i="11"/>
  <c r="AB613" i="11"/>
  <c r="AC628" i="11"/>
  <c r="AC642" i="11"/>
  <c r="AC653" i="11"/>
  <c r="AC662" i="11"/>
  <c r="AC671" i="11"/>
  <c r="AC680" i="11"/>
  <c r="AC689" i="11"/>
  <c r="AC698" i="11"/>
  <c r="AC707" i="11"/>
  <c r="AC716" i="11"/>
  <c r="AC725" i="11"/>
  <c r="AC734" i="11"/>
  <c r="AC743" i="11"/>
  <c r="AC752" i="11"/>
  <c r="AC761" i="11"/>
  <c r="AC769" i="11"/>
  <c r="AC778" i="11"/>
  <c r="AC785" i="11"/>
  <c r="AC791" i="11"/>
  <c r="AC797" i="11"/>
  <c r="AC803" i="11"/>
  <c r="AC809" i="11"/>
  <c r="AC815" i="11"/>
  <c r="AC821" i="11"/>
  <c r="AC827" i="11"/>
  <c r="AC833" i="11"/>
  <c r="AC839" i="11"/>
  <c r="AC845" i="11"/>
  <c r="AC851" i="11"/>
  <c r="AC857" i="11"/>
  <c r="AC863" i="11"/>
  <c r="AC869" i="11"/>
  <c r="AC875" i="11"/>
  <c r="AC881" i="11"/>
  <c r="AC887" i="11"/>
  <c r="AC893" i="11"/>
  <c r="AC899" i="11"/>
  <c r="AC905" i="11"/>
  <c r="AC911" i="11"/>
  <c r="AC917" i="11"/>
  <c r="AC923" i="11"/>
  <c r="AC929" i="11"/>
  <c r="AB195" i="11"/>
  <c r="AC318" i="11"/>
  <c r="AC437" i="11"/>
  <c r="AC522" i="11"/>
  <c r="AB559" i="11"/>
  <c r="AB595" i="11"/>
  <c r="AC614" i="11"/>
  <c r="AB629" i="11"/>
  <c r="AB643" i="11"/>
  <c r="AC654" i="11"/>
  <c r="AC663" i="11"/>
  <c r="AC672" i="11"/>
  <c r="AC681" i="11"/>
  <c r="AC690" i="11"/>
  <c r="AC699" i="11"/>
  <c r="AC708" i="11"/>
  <c r="AC717" i="11"/>
  <c r="AC726" i="11"/>
  <c r="AC735" i="11"/>
  <c r="AC744" i="11"/>
  <c r="AC753" i="11"/>
  <c r="AC762" i="11"/>
  <c r="AC770" i="11"/>
  <c r="AB779" i="11"/>
  <c r="AB786" i="11"/>
  <c r="AB792" i="11"/>
  <c r="AB798" i="11"/>
  <c r="AB804" i="11"/>
  <c r="AB810" i="11"/>
  <c r="AB816" i="11"/>
  <c r="AB822" i="11"/>
  <c r="AB828" i="11"/>
  <c r="AB834" i="11"/>
  <c r="AB840" i="11"/>
  <c r="AB846" i="11"/>
  <c r="AB852" i="11"/>
  <c r="AB858" i="11"/>
  <c r="AB864" i="11"/>
  <c r="AB870" i="11"/>
  <c r="AB876" i="11"/>
  <c r="AB882" i="11"/>
  <c r="AB888" i="11"/>
  <c r="AB894" i="11"/>
  <c r="AB900" i="11"/>
  <c r="AB906" i="11"/>
  <c r="AB912" i="11"/>
  <c r="AB918" i="11"/>
  <c r="AB924" i="11"/>
  <c r="AB930" i="11"/>
  <c r="AB936" i="11"/>
  <c r="AB942" i="11"/>
  <c r="AB948" i="11"/>
  <c r="AB954" i="11"/>
  <c r="AB960" i="11"/>
  <c r="AB966" i="11"/>
  <c r="AB972" i="11"/>
  <c r="AB978" i="11"/>
  <c r="AB984" i="11"/>
  <c r="AB990" i="11"/>
  <c r="AB996" i="11"/>
  <c r="AB1002" i="11"/>
  <c r="AB1008" i="11"/>
  <c r="AB1014" i="11"/>
  <c r="AB1020" i="11"/>
  <c r="AB1026" i="11"/>
  <c r="AB1032" i="11"/>
  <c r="AB1038" i="11"/>
  <c r="AB1044" i="11"/>
  <c r="AB1050" i="11"/>
  <c r="AB1056" i="11"/>
  <c r="AB1062" i="11"/>
  <c r="AB1068" i="11"/>
  <c r="AB1074" i="11"/>
  <c r="AB1080" i="11"/>
  <c r="AB1086" i="11"/>
  <c r="AB1092" i="11"/>
  <c r="AB1098" i="11"/>
  <c r="AB1104" i="11"/>
  <c r="AB1110" i="11"/>
  <c r="AB1116" i="11"/>
  <c r="AB1122" i="11"/>
  <c r="AB1128" i="11"/>
  <c r="AB1134" i="11"/>
  <c r="AB1140" i="11"/>
  <c r="AB1146" i="11"/>
  <c r="AB1152" i="11"/>
  <c r="AB1158" i="11"/>
  <c r="AB1164" i="11"/>
  <c r="AB1170" i="11"/>
  <c r="AB1176" i="11"/>
  <c r="AB1182" i="11"/>
  <c r="AB1188" i="11"/>
  <c r="AB1194" i="11"/>
  <c r="AB1200" i="11"/>
  <c r="AB1206" i="11"/>
  <c r="AB1212" i="11"/>
  <c r="AB1218" i="11"/>
  <c r="AB1224" i="11"/>
  <c r="AB1230" i="11"/>
  <c r="AB1236" i="11"/>
  <c r="AB1242" i="11"/>
  <c r="AB1248" i="11"/>
  <c r="AB1254" i="11"/>
  <c r="AB1260" i="11"/>
  <c r="AB1266" i="11"/>
  <c r="AB1272" i="11"/>
  <c r="AB1278" i="11"/>
  <c r="AB1284" i="11"/>
  <c r="AB1290" i="11"/>
  <c r="AB1296" i="11"/>
  <c r="AB1302" i="11"/>
  <c r="AB1308" i="11"/>
  <c r="AB1314" i="11"/>
  <c r="AB1320" i="11"/>
  <c r="AB1326" i="11"/>
  <c r="AB1332" i="11"/>
  <c r="AB1338" i="11"/>
  <c r="AB1344" i="11"/>
  <c r="AB1350" i="11"/>
  <c r="AB1356" i="11"/>
  <c r="AB1362" i="11"/>
  <c r="AB1368" i="11"/>
  <c r="AB1374" i="11"/>
  <c r="AB1380" i="11"/>
  <c r="AB1386" i="11"/>
  <c r="AB1392" i="11"/>
  <c r="AB1398" i="11"/>
  <c r="AB1404" i="11"/>
  <c r="AB1410" i="11"/>
  <c r="AB1416" i="11"/>
  <c r="AC205" i="11"/>
  <c r="AC328" i="11"/>
  <c r="AC446" i="11"/>
  <c r="AB527" i="11"/>
  <c r="AB563" i="11"/>
  <c r="AC598" i="11"/>
  <c r="AC616" i="11"/>
  <c r="AC630" i="11"/>
  <c r="AC644" i="11"/>
  <c r="AB655" i="11"/>
  <c r="AC664" i="11"/>
  <c r="AB673" i="11"/>
  <c r="AC682" i="11"/>
  <c r="AB691" i="11"/>
  <c r="AC700" i="11"/>
  <c r="AB709" i="11"/>
  <c r="AC718" i="11"/>
  <c r="AB727" i="11"/>
  <c r="AC736" i="11"/>
  <c r="AB745" i="11"/>
  <c r="AC754" i="11"/>
  <c r="AB763" i="11"/>
  <c r="AC771" i="11"/>
  <c r="AC779" i="11"/>
  <c r="AC786" i="11"/>
  <c r="AC792" i="11"/>
  <c r="AC798" i="11"/>
  <c r="AC804" i="11"/>
  <c r="AC810" i="11"/>
  <c r="AC816" i="11"/>
  <c r="AC822" i="11"/>
  <c r="AC828" i="11"/>
  <c r="AC834" i="11"/>
  <c r="AC840" i="11"/>
  <c r="AC846" i="11"/>
  <c r="AC852" i="11"/>
  <c r="AC858" i="11"/>
  <c r="AC864" i="11"/>
  <c r="AC870" i="11"/>
  <c r="AC876" i="11"/>
  <c r="AC882" i="11"/>
  <c r="AC888" i="11"/>
  <c r="AC894" i="11"/>
  <c r="AC900" i="11"/>
  <c r="AC906" i="11"/>
  <c r="AC912" i="11"/>
  <c r="AC918" i="11"/>
  <c r="AC924" i="11"/>
  <c r="AC930" i="11"/>
  <c r="AC936" i="11"/>
  <c r="AC942" i="11"/>
  <c r="AC948" i="11"/>
  <c r="AC954" i="11"/>
  <c r="AC960" i="11"/>
  <c r="AC655" i="11"/>
  <c r="AC763" i="11"/>
  <c r="AB841" i="11"/>
  <c r="AB913" i="11"/>
  <c r="AC953" i="11"/>
  <c r="AC967" i="11"/>
  <c r="AC978" i="11"/>
  <c r="AC988" i="11"/>
  <c r="AC998" i="11"/>
  <c r="AB1009" i="11"/>
  <c r="AC1019" i="11"/>
  <c r="AC1029" i="11"/>
  <c r="AC1039" i="11"/>
  <c r="AC1050" i="11"/>
  <c r="AC1060" i="11"/>
  <c r="AC1070" i="11"/>
  <c r="AB1081" i="11"/>
  <c r="AC1091" i="11"/>
  <c r="AC1101" i="11"/>
  <c r="AC1111" i="11"/>
  <c r="AC1122" i="11"/>
  <c r="AC1132" i="11"/>
  <c r="AC1142" i="11"/>
  <c r="AC1152" i="11"/>
  <c r="AC1161" i="11"/>
  <c r="AC1170" i="11"/>
  <c r="AC1179" i="11"/>
  <c r="AC1188" i="11"/>
  <c r="AC1197" i="11"/>
  <c r="AC1206" i="11"/>
  <c r="AC1215" i="11"/>
  <c r="AC1224" i="11"/>
  <c r="AC1233" i="11"/>
  <c r="AC1242" i="11"/>
  <c r="AC1251" i="11"/>
  <c r="AC1260" i="11"/>
  <c r="AC1269" i="11"/>
  <c r="AC1278" i="11"/>
  <c r="AC1287" i="11"/>
  <c r="AC1296" i="11"/>
  <c r="AC1305" i="11"/>
  <c r="AC1314" i="11"/>
  <c r="AC1323" i="11"/>
  <c r="AC1332" i="11"/>
  <c r="AC1341" i="11"/>
  <c r="AC1349" i="11"/>
  <c r="AC1357" i="11"/>
  <c r="AB1366" i="11"/>
  <c r="AC1373" i="11"/>
  <c r="AC1381" i="11"/>
  <c r="AB1390" i="11"/>
  <c r="AC1397" i="11"/>
  <c r="AB1405" i="11"/>
  <c r="AB1412" i="11"/>
  <c r="AC1419" i="11"/>
  <c r="AB1426" i="11"/>
  <c r="AC1432" i="11"/>
  <c r="AB1439" i="11"/>
  <c r="AC1445" i="11"/>
  <c r="AB1452" i="11"/>
  <c r="AC1458" i="11"/>
  <c r="AB1465" i="11"/>
  <c r="AB1471" i="11"/>
  <c r="AB1477" i="11"/>
  <c r="AB1483" i="11"/>
  <c r="AB1489" i="11"/>
  <c r="AB1495" i="11"/>
  <c r="AB1501" i="11"/>
  <c r="AB1507" i="11"/>
  <c r="AB1513" i="11"/>
  <c r="AB1519" i="11"/>
  <c r="AB665" i="11"/>
  <c r="AC772" i="11"/>
  <c r="AB847" i="11"/>
  <c r="AB919" i="11"/>
  <c r="AB955" i="11"/>
  <c r="AC968" i="11"/>
  <c r="AB979" i="11"/>
  <c r="AC989" i="11"/>
  <c r="AC999" i="11"/>
  <c r="AC1009" i="11"/>
  <c r="AC1020" i="11"/>
  <c r="AC1030" i="11"/>
  <c r="AC1040" i="11"/>
  <c r="AB1051" i="11"/>
  <c r="AC1061" i="11"/>
  <c r="AC1071" i="11"/>
  <c r="AC1081" i="11"/>
  <c r="AC1092" i="11"/>
  <c r="AC1102" i="11"/>
  <c r="AC1112" i="11"/>
  <c r="AB1123" i="11"/>
  <c r="AC1133" i="11"/>
  <c r="AC1143" i="11"/>
  <c r="AB1153" i="11"/>
  <c r="AC1162" i="11"/>
  <c r="AB1171" i="11"/>
  <c r="AC1180" i="11"/>
  <c r="AB1189" i="11"/>
  <c r="AC1198" i="11"/>
  <c r="AB1207" i="11"/>
  <c r="AC1216" i="11"/>
  <c r="AB1225" i="11"/>
  <c r="AC1234" i="11"/>
  <c r="AB1243" i="11"/>
  <c r="AC1252" i="11"/>
  <c r="AB1261" i="11"/>
  <c r="AC1270" i="11"/>
  <c r="AB1279" i="11"/>
  <c r="AC1288" i="11"/>
  <c r="AB1297" i="11"/>
  <c r="AC1306" i="11"/>
  <c r="AB1315" i="11"/>
  <c r="AC1324" i="11"/>
  <c r="AB1333" i="11"/>
  <c r="AC1342" i="11"/>
  <c r="AC1350" i="11"/>
  <c r="AC1358" i="11"/>
  <c r="AC1366" i="11"/>
  <c r="AC1374" i="11"/>
  <c r="AC1382" i="11"/>
  <c r="AC1390" i="11"/>
  <c r="AC1398" i="11"/>
  <c r="AC1405" i="11"/>
  <c r="AC1412" i="11"/>
  <c r="AB1420" i="11"/>
  <c r="AC1426" i="11"/>
  <c r="AB1433" i="11"/>
  <c r="AC1439" i="11"/>
  <c r="AB1446" i="11"/>
  <c r="AC1452" i="11"/>
  <c r="AB1459" i="11"/>
  <c r="AC1465" i="11"/>
  <c r="AC1471" i="11"/>
  <c r="AC1477" i="11"/>
  <c r="AC1483" i="11"/>
  <c r="AC1489" i="11"/>
  <c r="AC1495" i="11"/>
  <c r="AC1501" i="11"/>
  <c r="AC1507" i="11"/>
  <c r="AC673" i="11"/>
  <c r="AB780" i="11"/>
  <c r="AB853" i="11"/>
  <c r="AB925" i="11"/>
  <c r="AC955" i="11"/>
  <c r="AC969" i="11"/>
  <c r="AC979" i="11"/>
  <c r="AC990" i="11"/>
  <c r="AC1000" i="11"/>
  <c r="AC1010" i="11"/>
  <c r="AB1021" i="11"/>
  <c r="AC1031" i="11"/>
  <c r="AC1041" i="11"/>
  <c r="AC1051" i="11"/>
  <c r="AC1062" i="11"/>
  <c r="AC1072" i="11"/>
  <c r="AC1082" i="11"/>
  <c r="AB1093" i="11"/>
  <c r="AC1103" i="11"/>
  <c r="AC1113" i="11"/>
  <c r="AC1123" i="11"/>
  <c r="AC1134" i="11"/>
  <c r="AC1144" i="11"/>
  <c r="AC1153" i="11"/>
  <c r="AB1163" i="11"/>
  <c r="AC1171" i="11"/>
  <c r="AB1181" i="11"/>
  <c r="AC1189" i="11"/>
  <c r="AB1199" i="11"/>
  <c r="AC1207" i="11"/>
  <c r="AB1217" i="11"/>
  <c r="AC1225" i="11"/>
  <c r="AB1235" i="11"/>
  <c r="AC1243" i="11"/>
  <c r="AB1253" i="11"/>
  <c r="AC1261" i="11"/>
  <c r="AB1271" i="11"/>
  <c r="AC1279" i="11"/>
  <c r="AB1289" i="11"/>
  <c r="AC1297" i="11"/>
  <c r="AB1307" i="11"/>
  <c r="AC1315" i="11"/>
  <c r="AB1325" i="11"/>
  <c r="AC1333" i="11"/>
  <c r="AB1343" i="11"/>
  <c r="AB1351" i="11"/>
  <c r="AC1359" i="11"/>
  <c r="AB1367" i="11"/>
  <c r="AB1375" i="11"/>
  <c r="AC1383" i="11"/>
  <c r="AB1391" i="11"/>
  <c r="AB1399" i="11"/>
  <c r="AB1406" i="11"/>
  <c r="AC1413" i="11"/>
  <c r="AC1420" i="11"/>
  <c r="AB1427" i="11"/>
  <c r="AC1433" i="11"/>
  <c r="AB1440" i="11"/>
  <c r="AC1446" i="11"/>
  <c r="AB1453" i="11"/>
  <c r="AC1459" i="11"/>
  <c r="AB1466" i="11"/>
  <c r="AB1472" i="11"/>
  <c r="AB1478" i="11"/>
  <c r="AB1484" i="11"/>
  <c r="AB1490" i="11"/>
  <c r="AB1496" i="11"/>
  <c r="AB1502" i="11"/>
  <c r="AB1508" i="11"/>
  <c r="AB1514" i="11"/>
  <c r="AB1520" i="11"/>
  <c r="AB1526" i="11"/>
  <c r="AB1532" i="11"/>
  <c r="AB1538" i="11"/>
  <c r="AB1544" i="11"/>
  <c r="AB1550" i="11"/>
  <c r="AB1556" i="11"/>
  <c r="AB1562" i="11"/>
  <c r="AB1568" i="11"/>
  <c r="AB1574" i="11"/>
  <c r="AB1580" i="11"/>
  <c r="AB1586" i="11"/>
  <c r="AB1592" i="11"/>
  <c r="AB1598" i="11"/>
  <c r="AB1604" i="11"/>
  <c r="AC215" i="11"/>
  <c r="AB683" i="11"/>
  <c r="AB787" i="11"/>
  <c r="AB859" i="11"/>
  <c r="AB931" i="11"/>
  <c r="AC957" i="11"/>
  <c r="AC970" i="11"/>
  <c r="AC980" i="11"/>
  <c r="AB991" i="11"/>
  <c r="AC1001" i="11"/>
  <c r="AC1011" i="11"/>
  <c r="AC1021" i="11"/>
  <c r="AC1032" i="11"/>
  <c r="AC1042" i="11"/>
  <c r="AC1052" i="11"/>
  <c r="AB1063" i="11"/>
  <c r="AC1073" i="11"/>
  <c r="AC1083" i="11"/>
  <c r="AC1093" i="11"/>
  <c r="AC1104" i="11"/>
  <c r="AC1114" i="11"/>
  <c r="AC1124" i="11"/>
  <c r="AB1135" i="11"/>
  <c r="AC1145" i="11"/>
  <c r="AC1154" i="11"/>
  <c r="AC1163" i="11"/>
  <c r="AC1172" i="11"/>
  <c r="AC1181" i="11"/>
  <c r="AC1190" i="11"/>
  <c r="AC1199" i="11"/>
  <c r="AC1208" i="11"/>
  <c r="AC1217" i="11"/>
  <c r="AC1226" i="11"/>
  <c r="AC1235" i="11"/>
  <c r="AC1244" i="11"/>
  <c r="AC1253" i="11"/>
  <c r="AC1262" i="11"/>
  <c r="AC1271" i="11"/>
  <c r="AC1280" i="11"/>
  <c r="AC1289" i="11"/>
  <c r="AC1298" i="11"/>
  <c r="AC1307" i="11"/>
  <c r="AC1316" i="11"/>
  <c r="AC1325" i="11"/>
  <c r="AC1334" i="11"/>
  <c r="AC1343" i="11"/>
  <c r="AC1351" i="11"/>
  <c r="AB1360" i="11"/>
  <c r="AC1367" i="11"/>
  <c r="AC1375" i="11"/>
  <c r="AB1384" i="11"/>
  <c r="AC1391" i="11"/>
  <c r="AC1399" i="11"/>
  <c r="AC1406" i="11"/>
  <c r="AB1414" i="11"/>
  <c r="AB1421" i="11"/>
  <c r="AC1427" i="11"/>
  <c r="AB1434" i="11"/>
  <c r="AC1440" i="11"/>
  <c r="AB1447" i="11"/>
  <c r="AC1453" i="11"/>
  <c r="AB1460" i="11"/>
  <c r="AC1466" i="11"/>
  <c r="AC1472" i="11"/>
  <c r="AB339" i="11"/>
  <c r="AC691" i="11"/>
  <c r="AB793" i="11"/>
  <c r="AB865" i="11"/>
  <c r="AC935" i="11"/>
  <c r="AC959" i="11"/>
  <c r="AC971" i="11"/>
  <c r="AC981" i="11"/>
  <c r="AC991" i="11"/>
  <c r="AC1002" i="11"/>
  <c r="AC1012" i="11"/>
  <c r="AC1022" i="11"/>
  <c r="AB1033" i="11"/>
  <c r="AC1043" i="11"/>
  <c r="AC1053" i="11"/>
  <c r="AC1063" i="11"/>
  <c r="AC1074" i="11"/>
  <c r="AC1084" i="11"/>
  <c r="AC1094" i="11"/>
  <c r="AB1105" i="11"/>
  <c r="AC1115" i="11"/>
  <c r="AC1125" i="11"/>
  <c r="AC1135" i="11"/>
  <c r="AC1146" i="11"/>
  <c r="AC1155" i="11"/>
  <c r="AC1164" i="11"/>
  <c r="AC1173" i="11"/>
  <c r="AC1182" i="11"/>
  <c r="AC1191" i="11"/>
  <c r="AC1200" i="11"/>
  <c r="AC1209" i="11"/>
  <c r="AC1218" i="11"/>
  <c r="AC1227" i="11"/>
  <c r="AC1236" i="11"/>
  <c r="AC1245" i="11"/>
  <c r="AC1254" i="11"/>
  <c r="AC1263" i="11"/>
  <c r="AC1272" i="11"/>
  <c r="AC1281" i="11"/>
  <c r="AC1290" i="11"/>
  <c r="AC1299" i="11"/>
  <c r="AC1308" i="11"/>
  <c r="AC1317" i="11"/>
  <c r="AC1326" i="11"/>
  <c r="AC1335" i="11"/>
  <c r="AC1344" i="11"/>
  <c r="AC1352" i="11"/>
  <c r="AC1360" i="11"/>
  <c r="AC1368" i="11"/>
  <c r="AC1376" i="11"/>
  <c r="AC1384" i="11"/>
  <c r="AC1392" i="11"/>
  <c r="AB1400" i="11"/>
  <c r="AC1407" i="11"/>
  <c r="AC1414" i="11"/>
  <c r="AC1421" i="11"/>
  <c r="AB1428" i="11"/>
  <c r="AC1434" i="11"/>
  <c r="AB1441" i="11"/>
  <c r="AC1447" i="11"/>
  <c r="AB1454" i="11"/>
  <c r="AC1460" i="11"/>
  <c r="AC455" i="11"/>
  <c r="AB701" i="11"/>
  <c r="AB799" i="11"/>
  <c r="AB871" i="11"/>
  <c r="AB937" i="11"/>
  <c r="AB961" i="11"/>
  <c r="AC972" i="11"/>
  <c r="AC982" i="11"/>
  <c r="AC992" i="11"/>
  <c r="AB1003" i="11"/>
  <c r="AC1013" i="11"/>
  <c r="AC1023" i="11"/>
  <c r="AC1033" i="11"/>
  <c r="AC1044" i="11"/>
  <c r="AC1054" i="11"/>
  <c r="AC1064" i="11"/>
  <c r="AB1075" i="11"/>
  <c r="AC1085" i="11"/>
  <c r="AC1095" i="11"/>
  <c r="AC1105" i="11"/>
  <c r="AC1116" i="11"/>
  <c r="AC1126" i="11"/>
  <c r="AC1136" i="11"/>
  <c r="AB1147" i="11"/>
  <c r="AC1156" i="11"/>
  <c r="AB1165" i="11"/>
  <c r="AC1174" i="11"/>
  <c r="AB1183" i="11"/>
  <c r="AC1192" i="11"/>
  <c r="AB1201" i="11"/>
  <c r="AC1210" i="11"/>
  <c r="AB1219" i="11"/>
  <c r="AC1228" i="11"/>
  <c r="AB1237" i="11"/>
  <c r="AC1246" i="11"/>
  <c r="AB1255" i="11"/>
  <c r="AC1264" i="11"/>
  <c r="AB1273" i="11"/>
  <c r="AC1282" i="11"/>
  <c r="AB1291" i="11"/>
  <c r="AC1300" i="11"/>
  <c r="AB1309" i="11"/>
  <c r="AC1318" i="11"/>
  <c r="AB1327" i="11"/>
  <c r="AC1336" i="11"/>
  <c r="AB1345" i="11"/>
  <c r="AC1353" i="11"/>
  <c r="AB1361" i="11"/>
  <c r="AB1369" i="11"/>
  <c r="AC1377" i="11"/>
  <c r="AB1385" i="11"/>
  <c r="AB1393" i="11"/>
  <c r="AC1400" i="11"/>
  <c r="AB1408" i="11"/>
  <c r="AB1415" i="11"/>
  <c r="AB1422" i="11"/>
  <c r="AC1428" i="11"/>
  <c r="AB1435" i="11"/>
  <c r="AC1441" i="11"/>
  <c r="AB1448" i="11"/>
  <c r="AC1454" i="11"/>
  <c r="AC1461" i="11"/>
  <c r="AC1467" i="11"/>
  <c r="AC1473" i="11"/>
  <c r="AC1479" i="11"/>
  <c r="AC1485" i="11"/>
  <c r="AC1491" i="11"/>
  <c r="AC1497" i="11"/>
  <c r="AC1503" i="11"/>
  <c r="AC1509" i="11"/>
  <c r="AC1515" i="11"/>
  <c r="AC1521" i="11"/>
  <c r="AC1527" i="11"/>
  <c r="AC1533" i="11"/>
  <c r="AB529" i="11"/>
  <c r="AC709" i="11"/>
  <c r="AB805" i="11"/>
  <c r="AB877" i="11"/>
  <c r="AC941" i="11"/>
  <c r="AC961" i="11"/>
  <c r="AB973" i="11"/>
  <c r="AC983" i="11"/>
  <c r="AC993" i="11"/>
  <c r="AC1003" i="11"/>
  <c r="AC1014" i="11"/>
  <c r="AC1024" i="11"/>
  <c r="AC1034" i="11"/>
  <c r="AB1045" i="11"/>
  <c r="AC1055" i="11"/>
  <c r="AC1065" i="11"/>
  <c r="AC1075" i="11"/>
  <c r="AC1086" i="11"/>
  <c r="AC1096" i="11"/>
  <c r="AC1106" i="11"/>
  <c r="AB1117" i="11"/>
  <c r="AC1127" i="11"/>
  <c r="AC1137" i="11"/>
  <c r="AC1147" i="11"/>
  <c r="AB1157" i="11"/>
  <c r="AC1165" i="11"/>
  <c r="AB1175" i="11"/>
  <c r="AC1183" i="11"/>
  <c r="AB1193" i="11"/>
  <c r="AC1201" i="11"/>
  <c r="AB1211" i="11"/>
  <c r="AC1219" i="11"/>
  <c r="AB1229" i="11"/>
  <c r="AC1237" i="11"/>
  <c r="AB1247" i="11"/>
  <c r="AC1255" i="11"/>
  <c r="AB1265" i="11"/>
  <c r="AC1273" i="11"/>
  <c r="AB1283" i="11"/>
  <c r="AC1291" i="11"/>
  <c r="AB1301" i="11"/>
  <c r="AC1309" i="11"/>
  <c r="AB1319" i="11"/>
  <c r="AC1327" i="11"/>
  <c r="AB1337" i="11"/>
  <c r="AC1345" i="11"/>
  <c r="AB1354" i="11"/>
  <c r="AC1361" i="11"/>
  <c r="AC1369" i="11"/>
  <c r="AB1378" i="11"/>
  <c r="AC1385" i="11"/>
  <c r="AC1393" i="11"/>
  <c r="AC1401" i="11"/>
  <c r="AC1408" i="11"/>
  <c r="AC1415" i="11"/>
  <c r="AC1422" i="11"/>
  <c r="AB1429" i="11"/>
  <c r="AC1435" i="11"/>
  <c r="AB1442" i="11"/>
  <c r="AC1448" i="11"/>
  <c r="AC1455" i="11"/>
  <c r="AB1462" i="11"/>
  <c r="AB1468" i="11"/>
  <c r="AB1474" i="11"/>
  <c r="AB1480" i="11"/>
  <c r="AB1486" i="11"/>
  <c r="AB1492" i="11"/>
  <c r="AB1498" i="11"/>
  <c r="AB1504" i="11"/>
  <c r="AB1510" i="11"/>
  <c r="AB1516" i="11"/>
  <c r="AB1522" i="11"/>
  <c r="AB1528" i="11"/>
  <c r="AB1534" i="11"/>
  <c r="AB1540" i="11"/>
  <c r="AB1546" i="11"/>
  <c r="AB1552" i="11"/>
  <c r="AB1558" i="11"/>
  <c r="AB1564" i="11"/>
  <c r="AB1570" i="11"/>
  <c r="AB1576" i="11"/>
  <c r="AB1582" i="11"/>
  <c r="AB1588" i="11"/>
  <c r="AB1594" i="11"/>
  <c r="AB1600" i="11"/>
  <c r="AB1606" i="11"/>
  <c r="AB1612" i="11"/>
  <c r="AB1618" i="11"/>
  <c r="AB1624" i="11"/>
  <c r="AB565" i="11"/>
  <c r="AB719" i="11"/>
  <c r="AB811" i="11"/>
  <c r="AB883" i="11"/>
  <c r="AB943" i="11"/>
  <c r="AC963" i="11"/>
  <c r="AC973" i="11"/>
  <c r="AC984" i="11"/>
  <c r="AC994" i="11"/>
  <c r="AC1004" i="11"/>
  <c r="AB1015" i="11"/>
  <c r="AC1025" i="11"/>
  <c r="AC1035" i="11"/>
  <c r="AC1045" i="11"/>
  <c r="AC1056" i="11"/>
  <c r="AC1066" i="11"/>
  <c r="AC1076" i="11"/>
  <c r="AB1087" i="11"/>
  <c r="AC1097" i="11"/>
  <c r="AC1107" i="11"/>
  <c r="AC1117" i="11"/>
  <c r="AC1128" i="11"/>
  <c r="AC1138" i="11"/>
  <c r="AC1148" i="11"/>
  <c r="AC1157" i="11"/>
  <c r="AC1166" i="11"/>
  <c r="AC1175" i="11"/>
  <c r="AC1184" i="11"/>
  <c r="AC1193" i="11"/>
  <c r="AC1202" i="11"/>
  <c r="AC1211" i="11"/>
  <c r="AC1220" i="11"/>
  <c r="AC1229" i="11"/>
  <c r="AC1238" i="11"/>
  <c r="AC1247" i="11"/>
  <c r="AC1256" i="11"/>
  <c r="AC1265" i="11"/>
  <c r="AC1274" i="11"/>
  <c r="AC1283" i="11"/>
  <c r="AC1292" i="11"/>
  <c r="AC1301" i="11"/>
  <c r="AC1310" i="11"/>
  <c r="AB599" i="11"/>
  <c r="AC727" i="11"/>
  <c r="AB817" i="11"/>
  <c r="AB889" i="11"/>
  <c r="AC945" i="11"/>
  <c r="AC964" i="11"/>
  <c r="AC974" i="11"/>
  <c r="AB985" i="11"/>
  <c r="AC995" i="11"/>
  <c r="AC1005" i="11"/>
  <c r="AC1015" i="11"/>
  <c r="AC1026" i="11"/>
  <c r="AC1036" i="11"/>
  <c r="AC1046" i="11"/>
  <c r="AB1057" i="11"/>
  <c r="AC1067" i="11"/>
  <c r="AC1077" i="11"/>
  <c r="AC1087" i="11"/>
  <c r="AC1098" i="11"/>
  <c r="AC1108" i="11"/>
  <c r="AC1118" i="11"/>
  <c r="AB1129" i="11"/>
  <c r="AC1139" i="11"/>
  <c r="AC1149" i="11"/>
  <c r="AC1158" i="11"/>
  <c r="AC1167" i="11"/>
  <c r="AC1176" i="11"/>
  <c r="AC1185" i="11"/>
  <c r="AC1194" i="11"/>
  <c r="AC1203" i="11"/>
  <c r="AC1212" i="11"/>
  <c r="AC1221" i="11"/>
  <c r="AC1230" i="11"/>
  <c r="AC1239" i="11"/>
  <c r="AC1248" i="11"/>
  <c r="AC1257" i="11"/>
  <c r="AC1266" i="11"/>
  <c r="AC1275" i="11"/>
  <c r="AC1284" i="11"/>
  <c r="AC1293" i="11"/>
  <c r="AC1302" i="11"/>
  <c r="AC1311" i="11"/>
  <c r="AC1320" i="11"/>
  <c r="AC1329" i="11"/>
  <c r="AC1338" i="11"/>
  <c r="AC1347" i="11"/>
  <c r="AB1355" i="11"/>
  <c r="AB1363" i="11"/>
  <c r="AC1371" i="11"/>
  <c r="AB1379" i="11"/>
  <c r="AB1387" i="11"/>
  <c r="AC1395" i="11"/>
  <c r="AC1402" i="11"/>
  <c r="AC1409" i="11"/>
  <c r="AB1417" i="11"/>
  <c r="AC1423" i="11"/>
  <c r="AB1430" i="11"/>
  <c r="AC1436" i="11"/>
  <c r="AC1443" i="11"/>
  <c r="AB1450" i="11"/>
  <c r="AC1456" i="11"/>
  <c r="AB1463" i="11"/>
  <c r="AB1469" i="11"/>
  <c r="AB1475" i="11"/>
  <c r="AB1481" i="11"/>
  <c r="AB1487" i="11"/>
  <c r="AB1493" i="11"/>
  <c r="AB617" i="11"/>
  <c r="AB737" i="11"/>
  <c r="AB823" i="11"/>
  <c r="AB895" i="11"/>
  <c r="AC947" i="11"/>
  <c r="AC965" i="11"/>
  <c r="AC975" i="11"/>
  <c r="AC985" i="11"/>
  <c r="AC996" i="11"/>
  <c r="AC1006" i="11"/>
  <c r="AC1016" i="11"/>
  <c r="AB1027" i="11"/>
  <c r="AC1037" i="11"/>
  <c r="AC1047" i="11"/>
  <c r="AC1057" i="11"/>
  <c r="AC1068" i="11"/>
  <c r="AC1078" i="11"/>
  <c r="AC1088" i="11"/>
  <c r="AB1099" i="11"/>
  <c r="AC1109" i="11"/>
  <c r="AC1119" i="11"/>
  <c r="AC1129" i="11"/>
  <c r="AC1140" i="11"/>
  <c r="AC1150" i="11"/>
  <c r="AB1159" i="11"/>
  <c r="AC1168" i="11"/>
  <c r="AB1177" i="11"/>
  <c r="AC1186" i="11"/>
  <c r="AB1195" i="11"/>
  <c r="AC1204" i="11"/>
  <c r="AB1213" i="11"/>
  <c r="AC1222" i="11"/>
  <c r="AB1231" i="11"/>
  <c r="AC1240" i="11"/>
  <c r="AB1249" i="11"/>
  <c r="AC1258" i="11"/>
  <c r="AB1267" i="11"/>
  <c r="AC1276" i="11"/>
  <c r="AB1285" i="11"/>
  <c r="AC1294" i="11"/>
  <c r="AB1303" i="11"/>
  <c r="AC1312" i="11"/>
  <c r="AB1321" i="11"/>
  <c r="AC1330" i="11"/>
  <c r="AB1339" i="11"/>
  <c r="AB1348" i="11"/>
  <c r="AC1355" i="11"/>
  <c r="AC1363" i="11"/>
  <c r="AB1372" i="11"/>
  <c r="AC1379" i="11"/>
  <c r="AC1387" i="11"/>
  <c r="AB1396" i="11"/>
  <c r="AB1403" i="11"/>
  <c r="AC1410" i="11"/>
  <c r="AC1417" i="11"/>
  <c r="AB1424" i="11"/>
  <c r="AC1430" i="11"/>
  <c r="AC1437" i="11"/>
  <c r="AB1444" i="11"/>
  <c r="AC1450" i="11"/>
  <c r="AB1457" i="11"/>
  <c r="AC1463" i="11"/>
  <c r="AC1469" i="11"/>
  <c r="AC1475" i="11"/>
  <c r="AC1481" i="11"/>
  <c r="AC1487" i="11"/>
  <c r="AC1493" i="11"/>
  <c r="AC1499" i="11"/>
  <c r="AC1505" i="11"/>
  <c r="AC1511" i="11"/>
  <c r="AB631" i="11"/>
  <c r="AC745" i="11"/>
  <c r="AB829" i="11"/>
  <c r="AB901" i="11"/>
  <c r="AB949" i="11"/>
  <c r="AC966" i="11"/>
  <c r="AC976" i="11"/>
  <c r="AC986" i="11"/>
  <c r="AB997" i="11"/>
  <c r="AC1007" i="11"/>
  <c r="AC1017" i="11"/>
  <c r="AC1027" i="11"/>
  <c r="AC1038" i="11"/>
  <c r="AC1048" i="11"/>
  <c r="AC1058" i="11"/>
  <c r="AB1069" i="11"/>
  <c r="AC1079" i="11"/>
  <c r="AC1089" i="11"/>
  <c r="AC1099" i="11"/>
  <c r="AC1110" i="11"/>
  <c r="AC1120" i="11"/>
  <c r="AC1130" i="11"/>
  <c r="AB1141" i="11"/>
  <c r="AB1151" i="11"/>
  <c r="AC1159" i="11"/>
  <c r="AB1169" i="11"/>
  <c r="AC1177" i="11"/>
  <c r="AB1187" i="11"/>
  <c r="AC1195" i="11"/>
  <c r="AB1205" i="11"/>
  <c r="AC1213" i="11"/>
  <c r="AB1223" i="11"/>
  <c r="AC1231" i="11"/>
  <c r="AB1241" i="11"/>
  <c r="AC1249" i="11"/>
  <c r="AB1259" i="11"/>
  <c r="AC1267" i="11"/>
  <c r="AB1277" i="11"/>
  <c r="AC1285" i="11"/>
  <c r="AB1295" i="11"/>
  <c r="AC1303" i="11"/>
  <c r="AB1313" i="11"/>
  <c r="AC1321" i="11"/>
  <c r="AB1331" i="11"/>
  <c r="AC1339" i="11"/>
  <c r="AC1348" i="11"/>
  <c r="AC1356" i="11"/>
  <c r="AC1364" i="11"/>
  <c r="AC1372" i="11"/>
  <c r="AC1380" i="11"/>
  <c r="AC1388" i="11"/>
  <c r="AC1396" i="11"/>
  <c r="AC1403" i="11"/>
  <c r="AB1411" i="11"/>
  <c r="AB1418" i="11"/>
  <c r="AC1424" i="11"/>
  <c r="AC1431" i="11"/>
  <c r="AB1438" i="11"/>
  <c r="AC1444" i="11"/>
  <c r="AB1451" i="11"/>
  <c r="AC1457" i="11"/>
  <c r="AB1464" i="11"/>
  <c r="AB1470" i="11"/>
  <c r="AB1476" i="11"/>
  <c r="AB1482" i="11"/>
  <c r="AB1488" i="11"/>
  <c r="AB1494" i="11"/>
  <c r="AB1500" i="11"/>
  <c r="AB1506" i="11"/>
  <c r="AB1512" i="11"/>
  <c r="AB1518" i="11"/>
  <c r="AB1524" i="11"/>
  <c r="AB1530" i="11"/>
  <c r="AB1536" i="11"/>
  <c r="AB1542" i="11"/>
  <c r="AB1548" i="11"/>
  <c r="AB1554" i="11"/>
  <c r="AB1560" i="11"/>
  <c r="AB1566" i="11"/>
  <c r="AB1572" i="11"/>
  <c r="AB1578" i="11"/>
  <c r="AB1584" i="11"/>
  <c r="AB1590" i="11"/>
  <c r="AB1596" i="11"/>
  <c r="AB1602" i="11"/>
  <c r="AB1608" i="11"/>
  <c r="AB1614" i="11"/>
  <c r="AB1620" i="11"/>
  <c r="AB1626" i="11"/>
  <c r="AB1632" i="11"/>
  <c r="AB1638" i="11"/>
  <c r="AB1644" i="11"/>
  <c r="AB1650" i="11"/>
  <c r="AB1656" i="11"/>
  <c r="AB1662" i="11"/>
  <c r="AC1008" i="11"/>
  <c r="AC1131" i="11"/>
  <c r="AC1241" i="11"/>
  <c r="AC1331" i="11"/>
  <c r="AB1381" i="11"/>
  <c r="AC1425" i="11"/>
  <c r="AC1464" i="11"/>
  <c r="AB1485" i="11"/>
  <c r="AC1502" i="11"/>
  <c r="AB1515" i="11"/>
  <c r="AB1525" i="11"/>
  <c r="AC1534" i="11"/>
  <c r="AC1542" i="11"/>
  <c r="AC1550" i="11"/>
  <c r="AC1558" i="11"/>
  <c r="AC1566" i="11"/>
  <c r="AC1574" i="11"/>
  <c r="AC1582" i="11"/>
  <c r="AC1590" i="11"/>
  <c r="AC1598" i="11"/>
  <c r="AC1606" i="11"/>
  <c r="AC1613" i="11"/>
  <c r="AB1621" i="11"/>
  <c r="AB1628" i="11"/>
  <c r="AC1634" i="11"/>
  <c r="AB1641" i="11"/>
  <c r="AC1647" i="11"/>
  <c r="AB1654" i="11"/>
  <c r="AC1660" i="11"/>
  <c r="AB1667" i="11"/>
  <c r="AB1673" i="11"/>
  <c r="AB1679" i="11"/>
  <c r="AB1685" i="11"/>
  <c r="AB1691" i="11"/>
  <c r="AB1697" i="11"/>
  <c r="AB1703" i="11"/>
  <c r="AB1709" i="11"/>
  <c r="AB1715" i="11"/>
  <c r="AB1721" i="11"/>
  <c r="AB1727" i="11"/>
  <c r="AB1733" i="11"/>
  <c r="AB1739" i="11"/>
  <c r="AB1745" i="11"/>
  <c r="AB1751" i="11"/>
  <c r="AB1757" i="11"/>
  <c r="AB1763" i="11"/>
  <c r="AB1769" i="11"/>
  <c r="AB1775" i="11"/>
  <c r="AB1781" i="11"/>
  <c r="AB1787" i="11"/>
  <c r="AB1793" i="11"/>
  <c r="AB1799" i="11"/>
  <c r="AB1805" i="11"/>
  <c r="AB1811" i="11"/>
  <c r="AB1817" i="11"/>
  <c r="AB1823" i="11"/>
  <c r="AB1829" i="11"/>
  <c r="AB1835" i="11"/>
  <c r="AB1841" i="11"/>
  <c r="AB1847" i="11"/>
  <c r="AB1853" i="11"/>
  <c r="AB1859" i="11"/>
  <c r="AB1865" i="11"/>
  <c r="AB1871" i="11"/>
  <c r="AB1877" i="11"/>
  <c r="AB1883" i="11"/>
  <c r="AB1889" i="11"/>
  <c r="AB1895" i="11"/>
  <c r="AB1901" i="11"/>
  <c r="AB1907" i="11"/>
  <c r="AB1913" i="11"/>
  <c r="AB1919" i="11"/>
  <c r="AB1925" i="11"/>
  <c r="AB1931" i="11"/>
  <c r="AB1937" i="11"/>
  <c r="AB1943" i="11"/>
  <c r="AB1949" i="11"/>
  <c r="AB1955" i="11"/>
  <c r="AB1961" i="11"/>
  <c r="AB1967" i="11"/>
  <c r="AB1973" i="11"/>
  <c r="AB1979" i="11"/>
  <c r="AB1985" i="11"/>
  <c r="AB1991" i="11"/>
  <c r="AB1997" i="11"/>
  <c r="AB2003" i="11"/>
  <c r="AB2009" i="11"/>
  <c r="AB2015" i="11"/>
  <c r="AB2021" i="11"/>
  <c r="AB2027" i="11"/>
  <c r="AB2033" i="11"/>
  <c r="AB2039" i="11"/>
  <c r="AB2045" i="11"/>
  <c r="AB2051" i="11"/>
  <c r="AB2057" i="11"/>
  <c r="AB2063" i="11"/>
  <c r="AB2069" i="11"/>
  <c r="AB2075" i="11"/>
  <c r="AB2081" i="11"/>
  <c r="AB2087" i="11"/>
  <c r="AB2093" i="11"/>
  <c r="AB2099" i="11"/>
  <c r="AB2105" i="11"/>
  <c r="AB2111" i="11"/>
  <c r="AB2117" i="11"/>
  <c r="AB2123" i="11"/>
  <c r="AB2129" i="11"/>
  <c r="AB2135" i="11"/>
  <c r="AB2141" i="11"/>
  <c r="AB2147" i="11"/>
  <c r="AB2153" i="11"/>
  <c r="AB2159" i="11"/>
  <c r="AB2165" i="11"/>
  <c r="AB2171" i="11"/>
  <c r="AB2177" i="11"/>
  <c r="AB2183" i="11"/>
  <c r="AB2189" i="11"/>
  <c r="AB2195" i="11"/>
  <c r="AB2201" i="11"/>
  <c r="AB2207" i="11"/>
  <c r="AB2213" i="11"/>
  <c r="AB2219" i="11"/>
  <c r="AB2225" i="11"/>
  <c r="AB2231" i="11"/>
  <c r="AB2237" i="11"/>
  <c r="AB2243" i="11"/>
  <c r="AB2249" i="11"/>
  <c r="AB2255" i="11"/>
  <c r="AB2261" i="11"/>
  <c r="AB2267" i="11"/>
  <c r="AB2273" i="11"/>
  <c r="AB2279" i="11"/>
  <c r="AB2285" i="11"/>
  <c r="AB2291" i="11"/>
  <c r="AB2297" i="11"/>
  <c r="AB2303" i="11"/>
  <c r="AB2309" i="11"/>
  <c r="AB2315" i="11"/>
  <c r="AB2321" i="11"/>
  <c r="AB2327" i="11"/>
  <c r="AB2333" i="11"/>
  <c r="AB2339" i="11"/>
  <c r="AB2345" i="11"/>
  <c r="AB2351" i="11"/>
  <c r="AB2357" i="11"/>
  <c r="AB2363" i="11"/>
  <c r="AC1018" i="11"/>
  <c r="AC1141" i="11"/>
  <c r="AC1250" i="11"/>
  <c r="AC1337" i="11"/>
  <c r="AC1386" i="11"/>
  <c r="AC1429" i="11"/>
  <c r="AB1467" i="11"/>
  <c r="AC1486" i="11"/>
  <c r="AB1503" i="11"/>
  <c r="AC1516" i="11"/>
  <c r="AC1525" i="11"/>
  <c r="AB1535" i="11"/>
  <c r="AB1543" i="11"/>
  <c r="AB1551" i="11"/>
  <c r="AB1559" i="11"/>
  <c r="AB1567" i="11"/>
  <c r="AB1575" i="11"/>
  <c r="AB1583" i="11"/>
  <c r="AB1591" i="11"/>
  <c r="AB1599" i="11"/>
  <c r="AB1607" i="11"/>
  <c r="AC1614" i="11"/>
  <c r="AC1621" i="11"/>
  <c r="AC1628" i="11"/>
  <c r="AB1635" i="11"/>
  <c r="AC1641" i="11"/>
  <c r="AB1648" i="11"/>
  <c r="AC1654" i="11"/>
  <c r="AB1661" i="11"/>
  <c r="AC1667" i="11"/>
  <c r="AC1673" i="11"/>
  <c r="AC1679" i="11"/>
  <c r="AC1685" i="11"/>
  <c r="AC1691" i="11"/>
  <c r="AC1697" i="11"/>
  <c r="AC1703" i="11"/>
  <c r="AC1709" i="11"/>
  <c r="AC1715" i="11"/>
  <c r="AC1721" i="11"/>
  <c r="AC1727" i="11"/>
  <c r="AC1733" i="11"/>
  <c r="AC1739" i="11"/>
  <c r="AC1745" i="11"/>
  <c r="AC1751" i="11"/>
  <c r="AC1757" i="11"/>
  <c r="AC1763" i="11"/>
  <c r="AC1769" i="11"/>
  <c r="AC1775" i="11"/>
  <c r="AC1781" i="11"/>
  <c r="AC1787" i="11"/>
  <c r="AC1793" i="11"/>
  <c r="AC1799" i="11"/>
  <c r="AC1805" i="11"/>
  <c r="AC1811" i="11"/>
  <c r="AC1817" i="11"/>
  <c r="AC1823" i="11"/>
  <c r="AC1829" i="11"/>
  <c r="AC1835" i="11"/>
  <c r="AC1841" i="11"/>
  <c r="AC1847" i="11"/>
  <c r="AC1853" i="11"/>
  <c r="AC1859" i="11"/>
  <c r="AC1865" i="11"/>
  <c r="AC1871" i="11"/>
  <c r="AC1877" i="11"/>
  <c r="AC1028" i="11"/>
  <c r="AC1151" i="11"/>
  <c r="AC1259" i="11"/>
  <c r="AC1340" i="11"/>
  <c r="AC1389" i="11"/>
  <c r="AB1432" i="11"/>
  <c r="AC1468" i="11"/>
  <c r="AC1488" i="11"/>
  <c r="AC1504" i="11"/>
  <c r="AB1517" i="11"/>
  <c r="AC1526" i="11"/>
  <c r="AC1535" i="11"/>
  <c r="AC1543" i="11"/>
  <c r="AC1551" i="11"/>
  <c r="AC1559" i="11"/>
  <c r="AC1567" i="11"/>
  <c r="AC1575" i="11"/>
  <c r="AC1583" i="11"/>
  <c r="AC1591" i="11"/>
  <c r="AC1599" i="11"/>
  <c r="AC1607" i="11"/>
  <c r="AB1615" i="11"/>
  <c r="AB1622" i="11"/>
  <c r="AB1629" i="11"/>
  <c r="AC1635" i="11"/>
  <c r="AB1642" i="11"/>
  <c r="AC1648" i="11"/>
  <c r="AB1655" i="11"/>
  <c r="AC1661" i="11"/>
  <c r="AB1668" i="11"/>
  <c r="AB1674" i="11"/>
  <c r="AB1680" i="11"/>
  <c r="AB1686" i="11"/>
  <c r="AB1692" i="11"/>
  <c r="AB1698" i="11"/>
  <c r="AB1704" i="11"/>
  <c r="AB1710" i="11"/>
  <c r="AB1716" i="11"/>
  <c r="AB1722" i="11"/>
  <c r="AB1728" i="11"/>
  <c r="AB1734" i="11"/>
  <c r="AB1740" i="11"/>
  <c r="AB1746" i="11"/>
  <c r="AB1752" i="11"/>
  <c r="AB1758" i="11"/>
  <c r="AB1764" i="11"/>
  <c r="AB1770" i="11"/>
  <c r="AB1776" i="11"/>
  <c r="AB1782" i="11"/>
  <c r="AB1788" i="11"/>
  <c r="AB1794" i="11"/>
  <c r="AB1800" i="11"/>
  <c r="AB1806" i="11"/>
  <c r="AB1812" i="11"/>
  <c r="AB1818" i="11"/>
  <c r="AB1824" i="11"/>
  <c r="AB1830" i="11"/>
  <c r="AB1836" i="11"/>
  <c r="AB1842" i="11"/>
  <c r="AB1848" i="11"/>
  <c r="AB1854" i="11"/>
  <c r="AB1860" i="11"/>
  <c r="AB1866" i="11"/>
  <c r="AB1872" i="11"/>
  <c r="AB1878" i="11"/>
  <c r="AB1884" i="11"/>
  <c r="AB1890" i="11"/>
  <c r="AB1896" i="11"/>
  <c r="AB1902" i="11"/>
  <c r="AB1908" i="11"/>
  <c r="AB1914" i="11"/>
  <c r="AB1920" i="11"/>
  <c r="AB1926" i="11"/>
  <c r="AB1932" i="11"/>
  <c r="AB1938" i="11"/>
  <c r="AB1944" i="11"/>
  <c r="AB1950" i="11"/>
  <c r="AB1956" i="11"/>
  <c r="AB1962" i="11"/>
  <c r="AB1968" i="11"/>
  <c r="AB1974" i="11"/>
  <c r="AB1980" i="11"/>
  <c r="AB1986" i="11"/>
  <c r="AB1992" i="11"/>
  <c r="AB1998" i="11"/>
  <c r="AB2004" i="11"/>
  <c r="AB2010" i="11"/>
  <c r="AB2016" i="11"/>
  <c r="AB2022" i="11"/>
  <c r="AB2028" i="11"/>
  <c r="AB2034" i="11"/>
  <c r="AB2040" i="11"/>
  <c r="AB2046" i="11"/>
  <c r="AB2052" i="11"/>
  <c r="AB2058" i="11"/>
  <c r="AB2064" i="11"/>
  <c r="AB2070" i="11"/>
  <c r="AB2076" i="11"/>
  <c r="AB2082" i="11"/>
  <c r="AB2088" i="11"/>
  <c r="AB2094" i="11"/>
  <c r="AB2100" i="11"/>
  <c r="AB2106" i="11"/>
  <c r="AB2112" i="11"/>
  <c r="AB2118" i="11"/>
  <c r="AB2124" i="11"/>
  <c r="AB2130" i="11"/>
  <c r="AB2136" i="11"/>
  <c r="AB2142" i="11"/>
  <c r="AB2148" i="11"/>
  <c r="AB2154" i="11"/>
  <c r="AB2160" i="11"/>
  <c r="AB2166" i="11"/>
  <c r="AB2172" i="11"/>
  <c r="AB2178" i="11"/>
  <c r="AB2184" i="11"/>
  <c r="AB2190" i="11"/>
  <c r="AB2196" i="11"/>
  <c r="AB2202" i="11"/>
  <c r="AB2208" i="11"/>
  <c r="AB2214" i="11"/>
  <c r="AB2220" i="11"/>
  <c r="AB2226" i="11"/>
  <c r="AB2232" i="11"/>
  <c r="AB2238" i="11"/>
  <c r="AB2244" i="11"/>
  <c r="AB2250" i="11"/>
  <c r="AB2256" i="11"/>
  <c r="AB2262" i="11"/>
  <c r="AB2268" i="11"/>
  <c r="AB2274" i="11"/>
  <c r="AB2280" i="11"/>
  <c r="AB2286" i="11"/>
  <c r="AB2292" i="11"/>
  <c r="AB2298" i="11"/>
  <c r="AB2304" i="11"/>
  <c r="AB2310" i="11"/>
  <c r="AB2316" i="11"/>
  <c r="AC646" i="11"/>
  <c r="AB1039" i="11"/>
  <c r="AC1160" i="11"/>
  <c r="AC1268" i="11"/>
  <c r="AC1346" i="11"/>
  <c r="AC1394" i="11"/>
  <c r="AB1436" i="11"/>
  <c r="AC1470" i="11"/>
  <c r="AC1490" i="11"/>
  <c r="AB1505" i="11"/>
  <c r="AC1517" i="11"/>
  <c r="AB1527" i="11"/>
  <c r="AC1536" i="11"/>
  <c r="AC1544" i="11"/>
  <c r="AC1552" i="11"/>
  <c r="AC1560" i="11"/>
  <c r="AC1568" i="11"/>
  <c r="AC1576" i="11"/>
  <c r="AC1584" i="11"/>
  <c r="AC1592" i="11"/>
  <c r="AC1600" i="11"/>
  <c r="AC1608" i="11"/>
  <c r="AC1615" i="11"/>
  <c r="AC1622" i="11"/>
  <c r="AC1629" i="11"/>
  <c r="AB1636" i="11"/>
  <c r="AC1642" i="11"/>
  <c r="AB1649" i="11"/>
  <c r="AC1655" i="11"/>
  <c r="AC1662" i="11"/>
  <c r="AC1668" i="11"/>
  <c r="AC1674" i="11"/>
  <c r="AC1680" i="11"/>
  <c r="AC1686" i="11"/>
  <c r="AC1692" i="11"/>
  <c r="AC1698" i="11"/>
  <c r="AC1704" i="11"/>
  <c r="AC1710" i="11"/>
  <c r="AC1716" i="11"/>
  <c r="AC1722" i="11"/>
  <c r="AC1728" i="11"/>
  <c r="AC1734" i="11"/>
  <c r="AC1740" i="11"/>
  <c r="AC1746" i="11"/>
  <c r="AC1752" i="11"/>
  <c r="AC1758" i="11"/>
  <c r="AC1764" i="11"/>
  <c r="AC1770" i="11"/>
  <c r="AC1776" i="11"/>
  <c r="AC1782" i="11"/>
  <c r="AC1788" i="11"/>
  <c r="AC1794" i="11"/>
  <c r="AC1800" i="11"/>
  <c r="AC1806" i="11"/>
  <c r="AC1812" i="11"/>
  <c r="AC1818" i="11"/>
  <c r="AC1824" i="11"/>
  <c r="AB755" i="11"/>
  <c r="AC1049" i="11"/>
  <c r="AC1169" i="11"/>
  <c r="AC1277" i="11"/>
  <c r="AB1349" i="11"/>
  <c r="AB1397" i="11"/>
  <c r="AC1438" i="11"/>
  <c r="AB1473" i="11"/>
  <c r="AB1491" i="11"/>
  <c r="AC1506" i="11"/>
  <c r="AC1518" i="11"/>
  <c r="AC1528" i="11"/>
  <c r="AB1537" i="11"/>
  <c r="AB1545" i="11"/>
  <c r="AB1553" i="11"/>
  <c r="AB1561" i="11"/>
  <c r="AB1569" i="11"/>
  <c r="AB1577" i="11"/>
  <c r="AB1585" i="11"/>
  <c r="AB1593" i="11"/>
  <c r="AB1601" i="11"/>
  <c r="AB1609" i="11"/>
  <c r="AB1616" i="11"/>
  <c r="AB1623" i="11"/>
  <c r="AB1630" i="11"/>
  <c r="AC1636" i="11"/>
  <c r="AB1643" i="11"/>
  <c r="AC1649" i="11"/>
  <c r="AC1656" i="11"/>
  <c r="AB1663" i="11"/>
  <c r="AB1669" i="11"/>
  <c r="AB1675" i="11"/>
  <c r="AB1681" i="11"/>
  <c r="AB1687" i="11"/>
  <c r="AB1693" i="11"/>
  <c r="AB1699" i="11"/>
  <c r="AB1705" i="11"/>
  <c r="AB1711" i="11"/>
  <c r="AB1717" i="11"/>
  <c r="AB1723" i="11"/>
  <c r="AB1729" i="11"/>
  <c r="AB1735" i="11"/>
  <c r="AB1741" i="11"/>
  <c r="AB1747" i="11"/>
  <c r="AB1753" i="11"/>
  <c r="AB1759" i="11"/>
  <c r="AB1765" i="11"/>
  <c r="AB1771" i="11"/>
  <c r="AB1777" i="11"/>
  <c r="AB1783" i="11"/>
  <c r="AB1789" i="11"/>
  <c r="AB1795" i="11"/>
  <c r="AB1801" i="11"/>
  <c r="AB1807" i="11"/>
  <c r="AB1813" i="11"/>
  <c r="AB1819" i="11"/>
  <c r="AB1825" i="11"/>
  <c r="AB1831" i="11"/>
  <c r="AB1837" i="11"/>
  <c r="AB1843" i="11"/>
  <c r="AB1849" i="11"/>
  <c r="AB1855" i="11"/>
  <c r="AB1861" i="11"/>
  <c r="AB1867" i="11"/>
  <c r="AB1873" i="11"/>
  <c r="AB1879" i="11"/>
  <c r="AB1885" i="11"/>
  <c r="AB1891" i="11"/>
  <c r="AB1897" i="11"/>
  <c r="AB1903" i="11"/>
  <c r="AB1909" i="11"/>
  <c r="AB1915" i="11"/>
  <c r="AB1921" i="11"/>
  <c r="AB1927" i="11"/>
  <c r="AB1933" i="11"/>
  <c r="AB1939" i="11"/>
  <c r="AB1945" i="11"/>
  <c r="AB1951" i="11"/>
  <c r="AB1957" i="11"/>
  <c r="AB1963" i="11"/>
  <c r="AB1969" i="11"/>
  <c r="AB1975" i="11"/>
  <c r="AB1981" i="11"/>
  <c r="AB1987" i="11"/>
  <c r="AB1993" i="11"/>
  <c r="AB1999" i="11"/>
  <c r="AB2005" i="11"/>
  <c r="AB2011" i="11"/>
  <c r="AB2017" i="11"/>
  <c r="AB2023" i="11"/>
  <c r="AB2029" i="11"/>
  <c r="AB2035" i="11"/>
  <c r="AB2041" i="11"/>
  <c r="AB2047" i="11"/>
  <c r="AB2053" i="11"/>
  <c r="AB2059" i="11"/>
  <c r="AB2065" i="11"/>
  <c r="AB2071" i="11"/>
  <c r="AB2077" i="11"/>
  <c r="AB2083" i="11"/>
  <c r="AB2089" i="11"/>
  <c r="AB2095" i="11"/>
  <c r="AB2101" i="11"/>
  <c r="AB2107" i="11"/>
  <c r="AB2113" i="11"/>
  <c r="AB2119" i="11"/>
  <c r="AB2125" i="11"/>
  <c r="AB2131" i="11"/>
  <c r="AB2137" i="11"/>
  <c r="AB2143" i="11"/>
  <c r="AB2149" i="11"/>
  <c r="AB2155" i="11"/>
  <c r="AB2161" i="11"/>
  <c r="AB2167" i="11"/>
  <c r="AB2173" i="11"/>
  <c r="AB2179" i="11"/>
  <c r="AB2185" i="11"/>
  <c r="AB2191" i="11"/>
  <c r="AB2197" i="11"/>
  <c r="AB2203" i="11"/>
  <c r="AB2209" i="11"/>
  <c r="AB2215" i="11"/>
  <c r="AB2221" i="11"/>
  <c r="AB2227" i="11"/>
  <c r="AB2233" i="11"/>
  <c r="AB2239" i="11"/>
  <c r="AB2245" i="11"/>
  <c r="AB2251" i="11"/>
  <c r="AB2257" i="11"/>
  <c r="AB2263" i="11"/>
  <c r="AB2269" i="11"/>
  <c r="AB2275" i="11"/>
  <c r="AB2281" i="11"/>
  <c r="AB2287" i="11"/>
  <c r="AB2293" i="11"/>
  <c r="AB2299" i="11"/>
  <c r="AB2305" i="11"/>
  <c r="AB2311" i="11"/>
  <c r="AB2317" i="11"/>
  <c r="AB2323" i="11"/>
  <c r="AB2329" i="11"/>
  <c r="AB2335" i="11"/>
  <c r="AB2341" i="11"/>
  <c r="AB2347" i="11"/>
  <c r="AB2353" i="11"/>
  <c r="AB2359" i="11"/>
  <c r="AB2365" i="11"/>
  <c r="AB2371" i="11"/>
  <c r="AB2377" i="11"/>
  <c r="AB2383" i="11"/>
  <c r="AB2389" i="11"/>
  <c r="AB2395" i="11"/>
  <c r="AB2401" i="11"/>
  <c r="AB2407" i="11"/>
  <c r="AB2413" i="11"/>
  <c r="AB2419" i="11"/>
  <c r="AB2425" i="11"/>
  <c r="AB2431" i="11"/>
  <c r="AB2437" i="11"/>
  <c r="AB2443" i="11"/>
  <c r="AB2449" i="11"/>
  <c r="AB2455" i="11"/>
  <c r="AB2461" i="11"/>
  <c r="AB2467" i="11"/>
  <c r="AB2473" i="11"/>
  <c r="AB2479" i="11"/>
  <c r="AB2485" i="11"/>
  <c r="AB2491" i="11"/>
  <c r="AB2497" i="11"/>
  <c r="AB2503" i="11"/>
  <c r="AB835" i="11"/>
  <c r="AC1059" i="11"/>
  <c r="AC1178" i="11"/>
  <c r="AC1286" i="11"/>
  <c r="AC1354" i="11"/>
  <c r="AB1402" i="11"/>
  <c r="AC1442" i="11"/>
  <c r="AC1474" i="11"/>
  <c r="AC1492" i="11"/>
  <c r="AC1508" i="11"/>
  <c r="AC1519" i="11"/>
  <c r="AB1529" i="11"/>
  <c r="AC1537" i="11"/>
  <c r="AC1545" i="11"/>
  <c r="AC1553" i="11"/>
  <c r="AC1561" i="11"/>
  <c r="AC1569" i="11"/>
  <c r="AC1577" i="11"/>
  <c r="AC1585" i="11"/>
  <c r="AC1593" i="11"/>
  <c r="AC1601" i="11"/>
  <c r="AC1609" i="11"/>
  <c r="AC1616" i="11"/>
  <c r="AC1623" i="11"/>
  <c r="AC1630" i="11"/>
  <c r="AB1637" i="11"/>
  <c r="AC1643" i="11"/>
  <c r="AC1650" i="11"/>
  <c r="AB1657" i="11"/>
  <c r="AC1663" i="11"/>
  <c r="AC1669" i="11"/>
  <c r="AC1675" i="11"/>
  <c r="AC1681" i="11"/>
  <c r="AC1687" i="11"/>
  <c r="AC1693" i="11"/>
  <c r="AC1699" i="11"/>
  <c r="AC1705" i="11"/>
  <c r="AC1711" i="11"/>
  <c r="AC1717" i="11"/>
  <c r="AC1723" i="11"/>
  <c r="AC1729" i="11"/>
  <c r="AC1735" i="11"/>
  <c r="AC1741" i="11"/>
  <c r="AC1747" i="11"/>
  <c r="AC1753" i="11"/>
  <c r="AC1759" i="11"/>
  <c r="AC1765" i="11"/>
  <c r="AC1771" i="11"/>
  <c r="AC1777" i="11"/>
  <c r="AC1783" i="11"/>
  <c r="AC1789" i="11"/>
  <c r="AC1795" i="11"/>
  <c r="AC1801" i="11"/>
  <c r="AC1807" i="11"/>
  <c r="AC1813" i="11"/>
  <c r="AB907" i="11"/>
  <c r="AC1069" i="11"/>
  <c r="AC1187" i="11"/>
  <c r="AC1295" i="11"/>
  <c r="AB1357" i="11"/>
  <c r="AC1404" i="11"/>
  <c r="AB1445" i="11"/>
  <c r="AC1476" i="11"/>
  <c r="AC1494" i="11"/>
  <c r="AB1509" i="11"/>
  <c r="AC1520" i="11"/>
  <c r="AC1529" i="11"/>
  <c r="AC1538" i="11"/>
  <c r="AC1546" i="11"/>
  <c r="AC1554" i="11"/>
  <c r="AC1562" i="11"/>
  <c r="AC1570" i="11"/>
  <c r="AC1578" i="11"/>
  <c r="AC1586" i="11"/>
  <c r="AC1594" i="11"/>
  <c r="AC1602" i="11"/>
  <c r="AB1610" i="11"/>
  <c r="AB1617" i="11"/>
  <c r="AC1624" i="11"/>
  <c r="AB1631" i="11"/>
  <c r="AC1637" i="11"/>
  <c r="AC1644" i="11"/>
  <c r="AB1651" i="11"/>
  <c r="AC1657" i="11"/>
  <c r="AB1664" i="11"/>
  <c r="AB1670" i="11"/>
  <c r="AB1676" i="11"/>
  <c r="AB1682" i="11"/>
  <c r="AB1688" i="11"/>
  <c r="AB1694" i="11"/>
  <c r="AB1700" i="11"/>
  <c r="AB1706" i="11"/>
  <c r="AB1712" i="11"/>
  <c r="AB1718" i="11"/>
  <c r="AB1724" i="11"/>
  <c r="AB1730" i="11"/>
  <c r="AB1736" i="11"/>
  <c r="AB1742" i="11"/>
  <c r="AB1748" i="11"/>
  <c r="AB1754" i="11"/>
  <c r="AB1760" i="11"/>
  <c r="AB1766" i="11"/>
  <c r="AB1772" i="11"/>
  <c r="AB1778" i="11"/>
  <c r="AB1784" i="11"/>
  <c r="AB1790" i="11"/>
  <c r="AB1796" i="11"/>
  <c r="AB1802" i="11"/>
  <c r="AB1808" i="11"/>
  <c r="AB1814" i="11"/>
  <c r="AB1820" i="11"/>
  <c r="AB1826" i="11"/>
  <c r="AB1832" i="11"/>
  <c r="AB1838" i="11"/>
  <c r="AB1844" i="11"/>
  <c r="AB1850" i="11"/>
  <c r="AB1856" i="11"/>
  <c r="AB1862" i="11"/>
  <c r="AB1868" i="11"/>
  <c r="AB1874" i="11"/>
  <c r="AB1880" i="11"/>
  <c r="AB1886" i="11"/>
  <c r="AB1892" i="11"/>
  <c r="AB1898" i="11"/>
  <c r="AB1904" i="11"/>
  <c r="AB1910" i="11"/>
  <c r="AB1916" i="11"/>
  <c r="AB1922" i="11"/>
  <c r="AB1928" i="11"/>
  <c r="AB1934" i="11"/>
  <c r="AB1940" i="11"/>
  <c r="AB1946" i="11"/>
  <c r="AB1952" i="11"/>
  <c r="AB1958" i="11"/>
  <c r="AB1964" i="11"/>
  <c r="AB1970" i="11"/>
  <c r="AB1976" i="11"/>
  <c r="AB1982" i="11"/>
  <c r="AB1988" i="11"/>
  <c r="AB1994" i="11"/>
  <c r="AB2000" i="11"/>
  <c r="AB2006" i="11"/>
  <c r="AB2012" i="11"/>
  <c r="AB2018" i="11"/>
  <c r="AB2024" i="11"/>
  <c r="AB2030" i="11"/>
  <c r="AB2036" i="11"/>
  <c r="AB2042" i="11"/>
  <c r="AB2048" i="11"/>
  <c r="AB2054" i="11"/>
  <c r="AB2060" i="11"/>
  <c r="AB2066" i="11"/>
  <c r="AB2072" i="11"/>
  <c r="AB2078" i="11"/>
  <c r="AB2084" i="11"/>
  <c r="AB2090" i="11"/>
  <c r="AB2096" i="11"/>
  <c r="AB2102" i="11"/>
  <c r="AB2108" i="11"/>
  <c r="AB2114" i="11"/>
  <c r="AB2120" i="11"/>
  <c r="AB2126" i="11"/>
  <c r="AB2132" i="11"/>
  <c r="AB2138" i="11"/>
  <c r="AB2144" i="11"/>
  <c r="AB2150" i="11"/>
  <c r="AB2156" i="11"/>
  <c r="AB2162" i="11"/>
  <c r="AB2168" i="11"/>
  <c r="AB2174" i="11"/>
  <c r="AB2180" i="11"/>
  <c r="AB2186" i="11"/>
  <c r="AB2192" i="11"/>
  <c r="AB2198" i="11"/>
  <c r="AB2204" i="11"/>
  <c r="AB2210" i="11"/>
  <c r="AB2216" i="11"/>
  <c r="AB2222" i="11"/>
  <c r="AB2228" i="11"/>
  <c r="AB2234" i="11"/>
  <c r="AB2240" i="11"/>
  <c r="AB2246" i="11"/>
  <c r="AB2252" i="11"/>
  <c r="AB2258" i="11"/>
  <c r="AB2264" i="11"/>
  <c r="AB2270" i="11"/>
  <c r="AB2276" i="11"/>
  <c r="AB2282" i="11"/>
  <c r="AB2288" i="11"/>
  <c r="AB2294" i="11"/>
  <c r="AB2300" i="11"/>
  <c r="AB2306" i="11"/>
  <c r="AB2312" i="11"/>
  <c r="AB2318" i="11"/>
  <c r="AB2324" i="11"/>
  <c r="AB2330" i="11"/>
  <c r="AB2336" i="11"/>
  <c r="AB2342" i="11"/>
  <c r="AB2348" i="11"/>
  <c r="AC951" i="11"/>
  <c r="AC1080" i="11"/>
  <c r="AC1196" i="11"/>
  <c r="AC1304" i="11"/>
  <c r="AC1362" i="11"/>
  <c r="AB1409" i="11"/>
  <c r="AC1449" i="11"/>
  <c r="AC1478" i="11"/>
  <c r="AC1496" i="11"/>
  <c r="AC1510" i="11"/>
  <c r="AB1521" i="11"/>
  <c r="AC1530" i="11"/>
  <c r="AB1539" i="11"/>
  <c r="AB1547" i="11"/>
  <c r="AB1555" i="11"/>
  <c r="AB1563" i="11"/>
  <c r="AB1571" i="11"/>
  <c r="AB1579" i="11"/>
  <c r="AB1587" i="11"/>
  <c r="AB1595" i="11"/>
  <c r="AB1603" i="11"/>
  <c r="AC1610" i="11"/>
  <c r="AC1617" i="11"/>
  <c r="AB1625" i="11"/>
  <c r="AC1631" i="11"/>
  <c r="AC1638" i="11"/>
  <c r="AB1645" i="11"/>
  <c r="AC1651" i="11"/>
  <c r="AB1658" i="11"/>
  <c r="AC1664" i="11"/>
  <c r="AC1670" i="11"/>
  <c r="AC1676" i="11"/>
  <c r="AC1682" i="11"/>
  <c r="AC1688" i="11"/>
  <c r="AC1694" i="11"/>
  <c r="AC1700" i="11"/>
  <c r="AC1706" i="11"/>
  <c r="AC1712" i="11"/>
  <c r="AC1718" i="11"/>
  <c r="AC1724" i="11"/>
  <c r="AC1730" i="11"/>
  <c r="AC1736" i="11"/>
  <c r="AC1742" i="11"/>
  <c r="AC1748" i="11"/>
  <c r="AC1754" i="11"/>
  <c r="AC1760" i="11"/>
  <c r="AB967" i="11"/>
  <c r="AC1090" i="11"/>
  <c r="AC1205" i="11"/>
  <c r="AC1313" i="11"/>
  <c r="AC1365" i="11"/>
  <c r="AC1411" i="11"/>
  <c r="AC1451" i="11"/>
  <c r="AB1479" i="11"/>
  <c r="AB1497" i="11"/>
  <c r="AB1511" i="11"/>
  <c r="AC1522" i="11"/>
  <c r="AB1531" i="11"/>
  <c r="AC1539" i="11"/>
  <c r="AC1547" i="11"/>
  <c r="AC1555" i="11"/>
  <c r="AC1563" i="11"/>
  <c r="AC1571" i="11"/>
  <c r="AC1579" i="11"/>
  <c r="AC1587" i="11"/>
  <c r="AC1595" i="11"/>
  <c r="AC1603" i="11"/>
  <c r="AB1611" i="11"/>
  <c r="AC1618" i="11"/>
  <c r="AC1625" i="11"/>
  <c r="AC1632" i="11"/>
  <c r="AB1639" i="11"/>
  <c r="AC1645" i="11"/>
  <c r="AB1652" i="11"/>
  <c r="AC1658" i="11"/>
  <c r="AB1665" i="11"/>
  <c r="AB1671" i="11"/>
  <c r="AB1677" i="11"/>
  <c r="AB1683" i="11"/>
  <c r="AB1689" i="11"/>
  <c r="AB1695" i="11"/>
  <c r="AB1701" i="11"/>
  <c r="AB1707" i="11"/>
  <c r="AB1713" i="11"/>
  <c r="AB1719" i="11"/>
  <c r="AB1725" i="11"/>
  <c r="AB1731" i="11"/>
  <c r="AB1737" i="11"/>
  <c r="AB1743" i="11"/>
  <c r="AB1749" i="11"/>
  <c r="AB1755" i="11"/>
  <c r="AB1761" i="11"/>
  <c r="AB1767" i="11"/>
  <c r="AB1773" i="11"/>
  <c r="AB1779" i="11"/>
  <c r="AB1785" i="11"/>
  <c r="AB1791" i="11"/>
  <c r="AB1797" i="11"/>
  <c r="AB1803" i="11"/>
  <c r="AB1809" i="11"/>
  <c r="AB1815" i="11"/>
  <c r="AB1821" i="11"/>
  <c r="AB1827" i="11"/>
  <c r="AB1833" i="11"/>
  <c r="AB1839" i="11"/>
  <c r="AB1845" i="11"/>
  <c r="AB1851" i="11"/>
  <c r="AB1857" i="11"/>
  <c r="AB1863" i="11"/>
  <c r="AB1869" i="11"/>
  <c r="AB1875" i="11"/>
  <c r="AB1881" i="11"/>
  <c r="AB1887" i="11"/>
  <c r="AB1893" i="11"/>
  <c r="AB1899" i="11"/>
  <c r="AB1905" i="11"/>
  <c r="AB1911" i="11"/>
  <c r="AB1917" i="11"/>
  <c r="AB1923" i="11"/>
  <c r="AB1929" i="11"/>
  <c r="AB1935" i="11"/>
  <c r="AB1941" i="11"/>
  <c r="AB1947" i="11"/>
  <c r="AB1953" i="11"/>
  <c r="AB1959" i="11"/>
  <c r="AB1965" i="11"/>
  <c r="AB1971" i="11"/>
  <c r="AB1977" i="11"/>
  <c r="AB1983" i="11"/>
  <c r="AB1989" i="11"/>
  <c r="AB1995" i="11"/>
  <c r="AB2001" i="11"/>
  <c r="AB2007" i="11"/>
  <c r="AB2013" i="11"/>
  <c r="AB2019" i="11"/>
  <c r="AB2025" i="11"/>
  <c r="AB2031" i="11"/>
  <c r="AB2037" i="11"/>
  <c r="AB2043" i="11"/>
  <c r="AB2049" i="11"/>
  <c r="AB2055" i="11"/>
  <c r="AB2061" i="11"/>
  <c r="AB2067" i="11"/>
  <c r="AB2073" i="11"/>
  <c r="AB2079" i="11"/>
  <c r="AB2085" i="11"/>
  <c r="AB2091" i="11"/>
  <c r="AB2097" i="11"/>
  <c r="AB2103" i="11"/>
  <c r="AB2109" i="11"/>
  <c r="AB2115" i="11"/>
  <c r="AB2121" i="11"/>
  <c r="AB2127" i="11"/>
  <c r="AB2133" i="11"/>
  <c r="AB2139" i="11"/>
  <c r="AB2145" i="11"/>
  <c r="AB2151" i="11"/>
  <c r="AB2157" i="11"/>
  <c r="AB2163" i="11"/>
  <c r="AB2169" i="11"/>
  <c r="AB2175" i="11"/>
  <c r="AB2181" i="11"/>
  <c r="AB2187" i="11"/>
  <c r="AB2193" i="11"/>
  <c r="AB2199" i="11"/>
  <c r="AB2205" i="11"/>
  <c r="AB2211" i="11"/>
  <c r="AB2217" i="11"/>
  <c r="AB2223" i="11"/>
  <c r="AB2229" i="11"/>
  <c r="AB2235" i="11"/>
  <c r="AB2241" i="11"/>
  <c r="AB2247" i="11"/>
  <c r="AB2253" i="11"/>
  <c r="AB2259" i="11"/>
  <c r="AB2265" i="11"/>
  <c r="AB2271" i="11"/>
  <c r="AB2277" i="11"/>
  <c r="AB2283" i="11"/>
  <c r="AB2289" i="11"/>
  <c r="AB2295" i="11"/>
  <c r="AB2301" i="11"/>
  <c r="AB2307" i="11"/>
  <c r="AB2313" i="11"/>
  <c r="AB2319" i="11"/>
  <c r="AB2325" i="11"/>
  <c r="AB2331" i="11"/>
  <c r="AB2337" i="11"/>
  <c r="AB2343" i="11"/>
  <c r="AC977" i="11"/>
  <c r="AC1100" i="11"/>
  <c r="AC1214" i="11"/>
  <c r="AC1319" i="11"/>
  <c r="AC1370" i="11"/>
  <c r="AC1416" i="11"/>
  <c r="AB1456" i="11"/>
  <c r="AC1480" i="11"/>
  <c r="AC1498" i="11"/>
  <c r="AC1512" i="11"/>
  <c r="AB1523" i="11"/>
  <c r="AC1531" i="11"/>
  <c r="AC1540" i="11"/>
  <c r="AC1548" i="11"/>
  <c r="AC1556" i="11"/>
  <c r="AC1564" i="11"/>
  <c r="AC1572" i="11"/>
  <c r="AC1580" i="11"/>
  <c r="AC1588" i="11"/>
  <c r="AC1596" i="11"/>
  <c r="AC1604" i="11"/>
  <c r="AC1611" i="11"/>
  <c r="AB1619" i="11"/>
  <c r="AC1626" i="11"/>
  <c r="AB1633" i="11"/>
  <c r="AC1639" i="11"/>
  <c r="AB1646" i="11"/>
  <c r="AC1652" i="11"/>
  <c r="AB1659" i="11"/>
  <c r="AC1665" i="11"/>
  <c r="AC1671" i="11"/>
  <c r="AC1677" i="11"/>
  <c r="AC1683" i="11"/>
  <c r="AC1689" i="11"/>
  <c r="AC1695" i="11"/>
  <c r="AC1701" i="11"/>
  <c r="AC1707" i="11"/>
  <c r="AC1713" i="11"/>
  <c r="AC1719" i="11"/>
  <c r="AC1725" i="11"/>
  <c r="AC1731" i="11"/>
  <c r="AC1737" i="11"/>
  <c r="AC1743" i="11"/>
  <c r="AC1749" i="11"/>
  <c r="AC1755" i="11"/>
  <c r="AC1761" i="11"/>
  <c r="AC1767" i="11"/>
  <c r="AC1773" i="11"/>
  <c r="AC1779" i="11"/>
  <c r="AC1785" i="11"/>
  <c r="AC1791" i="11"/>
  <c r="AC1797" i="11"/>
  <c r="AC1803" i="11"/>
  <c r="AC1809" i="11"/>
  <c r="AC1815" i="11"/>
  <c r="AC1821" i="11"/>
  <c r="AC1827" i="11"/>
  <c r="AC1833" i="11"/>
  <c r="AC1839" i="11"/>
  <c r="AC987" i="11"/>
  <c r="AB1111" i="11"/>
  <c r="AC1223" i="11"/>
  <c r="AC1322" i="11"/>
  <c r="AB1373" i="11"/>
  <c r="AC1418" i="11"/>
  <c r="AB1458" i="11"/>
  <c r="AC1482" i="11"/>
  <c r="AB1499" i="11"/>
  <c r="AC1513" i="11"/>
  <c r="AC1523" i="11"/>
  <c r="AC1532" i="11"/>
  <c r="AB1541" i="11"/>
  <c r="AB1549" i="11"/>
  <c r="AB1557" i="11"/>
  <c r="AB1565" i="11"/>
  <c r="AB1573" i="11"/>
  <c r="AB1581" i="11"/>
  <c r="AB1589" i="11"/>
  <c r="AB1597" i="11"/>
  <c r="AB1605" i="11"/>
  <c r="AC1612" i="11"/>
  <c r="AC1619" i="11"/>
  <c r="AB1627" i="11"/>
  <c r="AC1633" i="11"/>
  <c r="AB1640" i="11"/>
  <c r="AC1646" i="11"/>
  <c r="AB1653" i="11"/>
  <c r="AC1659" i="11"/>
  <c r="AB1666" i="11"/>
  <c r="AB1672" i="11"/>
  <c r="AB1678" i="11"/>
  <c r="AB1684" i="11"/>
  <c r="AB1690" i="11"/>
  <c r="AB1696" i="11"/>
  <c r="AB1702" i="11"/>
  <c r="AB1708" i="11"/>
  <c r="AB1714" i="11"/>
  <c r="AB1720" i="11"/>
  <c r="AB1726" i="11"/>
  <c r="AB1732" i="11"/>
  <c r="AB1738" i="11"/>
  <c r="AB1744" i="11"/>
  <c r="AB1750" i="11"/>
  <c r="AB1756" i="11"/>
  <c r="AB1762" i="11"/>
  <c r="AB1768" i="11"/>
  <c r="AB1774" i="11"/>
  <c r="AB1780" i="11"/>
  <c r="AB1786" i="11"/>
  <c r="AB1792" i="11"/>
  <c r="AB1798" i="11"/>
  <c r="AB1804" i="11"/>
  <c r="AB1810" i="11"/>
  <c r="AB1816" i="11"/>
  <c r="AB1822" i="11"/>
  <c r="AB1828" i="11"/>
  <c r="AB1834" i="11"/>
  <c r="AB1840" i="11"/>
  <c r="AB1846" i="11"/>
  <c r="AB1852" i="11"/>
  <c r="AB1858" i="11"/>
  <c r="AB1864" i="11"/>
  <c r="AB1870" i="11"/>
  <c r="AB1876" i="11"/>
  <c r="AB1882" i="11"/>
  <c r="AB1888" i="11"/>
  <c r="AB1894" i="11"/>
  <c r="AB1900" i="11"/>
  <c r="AB1906" i="11"/>
  <c r="AB1912" i="11"/>
  <c r="AB1918" i="11"/>
  <c r="AB1924" i="11"/>
  <c r="AB1930" i="11"/>
  <c r="AB1936" i="11"/>
  <c r="AB1942" i="11"/>
  <c r="AB1948" i="11"/>
  <c r="AB1954" i="11"/>
  <c r="AB1960" i="11"/>
  <c r="AB1966" i="11"/>
  <c r="AB1972" i="11"/>
  <c r="AB1978" i="11"/>
  <c r="AB1984" i="11"/>
  <c r="AB1990" i="11"/>
  <c r="AB1996" i="11"/>
  <c r="AB2002" i="11"/>
  <c r="AB2008" i="11"/>
  <c r="AB2014" i="11"/>
  <c r="AB2020" i="11"/>
  <c r="AB2026" i="11"/>
  <c r="AB2032" i="11"/>
  <c r="AB2038" i="11"/>
  <c r="AB2044" i="11"/>
  <c r="AB2050" i="11"/>
  <c r="AB2056" i="11"/>
  <c r="AB2062" i="11"/>
  <c r="AB2068" i="11"/>
  <c r="AB2074" i="11"/>
  <c r="AB2080" i="11"/>
  <c r="AB2086" i="11"/>
  <c r="AB2092" i="11"/>
  <c r="AB2098" i="11"/>
  <c r="AB2104" i="11"/>
  <c r="AB2110" i="11"/>
  <c r="AB2116" i="11"/>
  <c r="AB2122" i="11"/>
  <c r="AB2128" i="11"/>
  <c r="AB2134" i="11"/>
  <c r="AB2140" i="11"/>
  <c r="AB2146" i="11"/>
  <c r="AB2152" i="11"/>
  <c r="AB2158" i="11"/>
  <c r="AB2164" i="11"/>
  <c r="AB2170" i="11"/>
  <c r="AB2176" i="11"/>
  <c r="AB2182" i="11"/>
  <c r="AB2188" i="11"/>
  <c r="AB2194" i="11"/>
  <c r="AB2200" i="11"/>
  <c r="AB2206" i="11"/>
  <c r="AB2212" i="11"/>
  <c r="AB2218" i="11"/>
  <c r="AB2224" i="11"/>
  <c r="AB2230" i="11"/>
  <c r="AB2236" i="11"/>
  <c r="AB2242" i="11"/>
  <c r="AB2248" i="11"/>
  <c r="AB2254" i="11"/>
  <c r="AB2260" i="11"/>
  <c r="AB2266" i="11"/>
  <c r="AB2272" i="11"/>
  <c r="AB2278" i="11"/>
  <c r="AB2284" i="11"/>
  <c r="AB2290" i="11"/>
  <c r="AB2296" i="11"/>
  <c r="AB2302" i="11"/>
  <c r="AB2308" i="11"/>
  <c r="AB2314" i="11"/>
  <c r="AB2320" i="11"/>
  <c r="AB2326" i="11"/>
  <c r="AB2332" i="11"/>
  <c r="AB2338" i="11"/>
  <c r="AB2344" i="11"/>
  <c r="AB2350" i="11"/>
  <c r="AB2356" i="11"/>
  <c r="AB2362" i="11"/>
  <c r="AB2368" i="11"/>
  <c r="AB2374" i="11"/>
  <c r="AB2380" i="11"/>
  <c r="AB2386" i="11"/>
  <c r="AB2392" i="11"/>
  <c r="AB2398" i="11"/>
  <c r="AB2404" i="11"/>
  <c r="AB2410" i="11"/>
  <c r="AB2416" i="11"/>
  <c r="AB2422" i="11"/>
  <c r="AB2428" i="11"/>
  <c r="AB2434" i="11"/>
  <c r="AB2440" i="11"/>
  <c r="AB2446" i="11"/>
  <c r="AB2452" i="11"/>
  <c r="AB2458" i="11"/>
  <c r="AB2464" i="11"/>
  <c r="AB2470" i="11"/>
  <c r="AB2476" i="11"/>
  <c r="AB2482" i="11"/>
  <c r="AC1514" i="11"/>
  <c r="AB1613" i="11"/>
  <c r="AC1690" i="11"/>
  <c r="AC1762" i="11"/>
  <c r="AC1798" i="11"/>
  <c r="AC1828" i="11"/>
  <c r="AC1845" i="11"/>
  <c r="AC1860" i="11"/>
  <c r="AC1874" i="11"/>
  <c r="AC1887" i="11"/>
  <c r="AC1899" i="11"/>
  <c r="AC1911" i="11"/>
  <c r="AC1923" i="11"/>
  <c r="AC1935" i="11"/>
  <c r="AC1947" i="11"/>
  <c r="AC1959" i="11"/>
  <c r="AC1971" i="11"/>
  <c r="AC1983" i="11"/>
  <c r="AC1995" i="11"/>
  <c r="AC2007" i="11"/>
  <c r="AC2019" i="11"/>
  <c r="AC2031" i="11"/>
  <c r="AC2043" i="11"/>
  <c r="AC2055" i="11"/>
  <c r="AC2067" i="11"/>
  <c r="AC2079" i="11"/>
  <c r="AC2091" i="11"/>
  <c r="AC2103" i="11"/>
  <c r="AC2115" i="11"/>
  <c r="AC2127" i="11"/>
  <c r="AC2139" i="11"/>
  <c r="AC2151" i="11"/>
  <c r="AC2163" i="11"/>
  <c r="AC2175" i="11"/>
  <c r="AC2187" i="11"/>
  <c r="AC2199" i="11"/>
  <c r="AC2211" i="11"/>
  <c r="AC2223" i="11"/>
  <c r="AC2235" i="11"/>
  <c r="AC2247" i="11"/>
  <c r="AC2259" i="11"/>
  <c r="AC2271" i="11"/>
  <c r="AC2283" i="11"/>
  <c r="AC2295" i="11"/>
  <c r="AC2307" i="11"/>
  <c r="AC2319" i="11"/>
  <c r="AC2329" i="11"/>
  <c r="AB2340" i="11"/>
  <c r="AC2349" i="11"/>
  <c r="AB2358" i="11"/>
  <c r="AB2366" i="11"/>
  <c r="AB2373" i="11"/>
  <c r="AC2380" i="11"/>
  <c r="AC2387" i="11"/>
  <c r="AC2394" i="11"/>
  <c r="AB2402" i="11"/>
  <c r="AB2409" i="11"/>
  <c r="AC2416" i="11"/>
  <c r="AC2423" i="11"/>
  <c r="AC2430" i="11"/>
  <c r="AB2438" i="11"/>
  <c r="AB2445" i="11"/>
  <c r="AC2452" i="11"/>
  <c r="AC2459" i="11"/>
  <c r="AC2466" i="11"/>
  <c r="AB2474" i="11"/>
  <c r="AB2481" i="11"/>
  <c r="AB2488" i="11"/>
  <c r="AC2494" i="11"/>
  <c r="AB2501" i="11"/>
  <c r="AC2507" i="11"/>
  <c r="AC2513" i="11"/>
  <c r="AC2519" i="11"/>
  <c r="AC2525" i="11"/>
  <c r="AC2531" i="11"/>
  <c r="AC2537" i="11"/>
  <c r="AC2543" i="11"/>
  <c r="AC2549" i="11"/>
  <c r="AC2555" i="11"/>
  <c r="AC2561" i="11"/>
  <c r="AC2567" i="11"/>
  <c r="AC2573" i="11"/>
  <c r="AC2579" i="11"/>
  <c r="AC2585" i="11"/>
  <c r="AC2591" i="11"/>
  <c r="AC2597" i="11"/>
  <c r="AC2603" i="11"/>
  <c r="AC2609" i="11"/>
  <c r="AC2615" i="11"/>
  <c r="AC2621" i="11"/>
  <c r="AC2627" i="11"/>
  <c r="AC2633" i="11"/>
  <c r="AC2639" i="11"/>
  <c r="AC2645" i="11"/>
  <c r="AC2651" i="11"/>
  <c r="AC2657" i="11"/>
  <c r="AC2663" i="11"/>
  <c r="AC2669" i="11"/>
  <c r="AC2675" i="11"/>
  <c r="AC2681" i="11"/>
  <c r="AC2687" i="11"/>
  <c r="AC2693" i="11"/>
  <c r="AC2699" i="11"/>
  <c r="AC2705" i="11"/>
  <c r="AC2711" i="11"/>
  <c r="AC2717" i="11"/>
  <c r="AC2723" i="11"/>
  <c r="AC1524" i="11"/>
  <c r="AC1620" i="11"/>
  <c r="AC1696" i="11"/>
  <c r="AC1766" i="11"/>
  <c r="AC1802" i="11"/>
  <c r="AC1830" i="11"/>
  <c r="AC1846" i="11"/>
  <c r="AC1861" i="11"/>
  <c r="AC1875" i="11"/>
  <c r="AC1888" i="11"/>
  <c r="AC1900" i="11"/>
  <c r="AC1912" i="11"/>
  <c r="AC1924" i="11"/>
  <c r="AC1936" i="11"/>
  <c r="AC1948" i="11"/>
  <c r="AC1960" i="11"/>
  <c r="AC1972" i="11"/>
  <c r="AC1984" i="11"/>
  <c r="AC1996" i="11"/>
  <c r="AC2008" i="11"/>
  <c r="AC2020" i="11"/>
  <c r="AC2032" i="11"/>
  <c r="AC2044" i="11"/>
  <c r="AC2056" i="11"/>
  <c r="AC2068" i="11"/>
  <c r="AC2080" i="11"/>
  <c r="AC2092" i="11"/>
  <c r="AC2104" i="11"/>
  <c r="AC2116" i="11"/>
  <c r="AC2128" i="11"/>
  <c r="AC2140" i="11"/>
  <c r="AC2152" i="11"/>
  <c r="AC2164" i="11"/>
  <c r="AC2176" i="11"/>
  <c r="AC2188" i="11"/>
  <c r="AC2200" i="11"/>
  <c r="AC2212" i="11"/>
  <c r="AC2224" i="11"/>
  <c r="AC2236" i="11"/>
  <c r="AC2248" i="11"/>
  <c r="AC2260" i="11"/>
  <c r="AC2272" i="11"/>
  <c r="AC2284" i="11"/>
  <c r="AC2296" i="11"/>
  <c r="AC2308" i="11"/>
  <c r="AC2320" i="11"/>
  <c r="AC2330" i="11"/>
  <c r="AC2340" i="11"/>
  <c r="AC2350" i="11"/>
  <c r="AC2358" i="11"/>
  <c r="AC2366" i="11"/>
  <c r="AC2373" i="11"/>
  <c r="AB2381" i="11"/>
  <c r="AB2388" i="11"/>
  <c r="AC2395" i="11"/>
  <c r="AC2402" i="11"/>
  <c r="AC2409" i="11"/>
  <c r="AB2417" i="11"/>
  <c r="AB2424" i="11"/>
  <c r="AC2431" i="11"/>
  <c r="AC2438" i="11"/>
  <c r="AC2445" i="11"/>
  <c r="AB2453" i="11"/>
  <c r="AB2460" i="11"/>
  <c r="AC2467" i="11"/>
  <c r="AC2474" i="11"/>
  <c r="AC2481" i="11"/>
  <c r="AC2488" i="11"/>
  <c r="AB2495" i="11"/>
  <c r="AC2501" i="11"/>
  <c r="AB2508" i="11"/>
  <c r="AB2514" i="11"/>
  <c r="AB2520" i="11"/>
  <c r="AB2526" i="11"/>
  <c r="AB2532" i="11"/>
  <c r="AB2538" i="11"/>
  <c r="AB2544" i="11"/>
  <c r="AB2550" i="11"/>
  <c r="AB2556" i="11"/>
  <c r="AB2562" i="11"/>
  <c r="AB2568" i="11"/>
  <c r="AB2574" i="11"/>
  <c r="AB2580" i="11"/>
  <c r="AB2586" i="11"/>
  <c r="AB2592" i="11"/>
  <c r="AB2598" i="11"/>
  <c r="AB2604" i="11"/>
  <c r="AB2610" i="11"/>
  <c r="AB2616" i="11"/>
  <c r="AB2622" i="11"/>
  <c r="AB2628" i="11"/>
  <c r="AB2634" i="11"/>
  <c r="AB2640" i="11"/>
  <c r="AB2646" i="11"/>
  <c r="AB2652" i="11"/>
  <c r="AB2658" i="11"/>
  <c r="AB2664" i="11"/>
  <c r="AB2670" i="11"/>
  <c r="AB2676" i="11"/>
  <c r="AB2682" i="11"/>
  <c r="AB2688" i="11"/>
  <c r="AB2694" i="11"/>
  <c r="AB2700" i="11"/>
  <c r="AB2706" i="11"/>
  <c r="AB2712" i="11"/>
  <c r="AB2718" i="11"/>
  <c r="AB2724" i="11"/>
  <c r="AB2730" i="11"/>
  <c r="AB2736" i="11"/>
  <c r="AB2742" i="11"/>
  <c r="AB2748" i="11"/>
  <c r="AB2754" i="11"/>
  <c r="AB2760" i="11"/>
  <c r="AB2766" i="11"/>
  <c r="AB2772" i="11"/>
  <c r="AB2778" i="11"/>
  <c r="AB2784" i="11"/>
  <c r="AB2790" i="11"/>
  <c r="AB2796" i="11"/>
  <c r="AB2802" i="11"/>
  <c r="AB2808" i="11"/>
  <c r="AB2814" i="11"/>
  <c r="AB2820" i="11"/>
  <c r="AB2826" i="11"/>
  <c r="AB2832" i="11"/>
  <c r="AB2838" i="11"/>
  <c r="AB2844" i="11"/>
  <c r="AB2850" i="11"/>
  <c r="AB2856" i="11"/>
  <c r="AB2862" i="11"/>
  <c r="AB2868" i="11"/>
  <c r="AB2874" i="11"/>
  <c r="AB2880" i="11"/>
  <c r="AB2886" i="11"/>
  <c r="AB2892" i="11"/>
  <c r="AB2898" i="11"/>
  <c r="AB2904" i="11"/>
  <c r="AB2910" i="11"/>
  <c r="AB2916" i="11"/>
  <c r="AB2922" i="11"/>
  <c r="AB2928" i="11"/>
  <c r="AB2934" i="11"/>
  <c r="AB2940" i="11"/>
  <c r="AB2946" i="11"/>
  <c r="AB2952" i="11"/>
  <c r="AB2958" i="11"/>
  <c r="AB2964" i="11"/>
  <c r="AB2970" i="11"/>
  <c r="AB2976" i="11"/>
  <c r="AB2982" i="11"/>
  <c r="AB2988" i="11"/>
  <c r="AB2994" i="11"/>
  <c r="AB3000" i="11"/>
  <c r="AB3006" i="11"/>
  <c r="AB3012" i="11"/>
  <c r="AC2628" i="11"/>
  <c r="AC2646" i="11"/>
  <c r="AC2658" i="11"/>
  <c r="AC2670" i="11"/>
  <c r="AC2682" i="11"/>
  <c r="AC2694" i="11"/>
  <c r="AC2706" i="11"/>
  <c r="AC2718" i="11"/>
  <c r="AC2730" i="11"/>
  <c r="AC2742" i="11"/>
  <c r="AC2754" i="11"/>
  <c r="AC2766" i="11"/>
  <c r="AB1533" i="11"/>
  <c r="AC1627" i="11"/>
  <c r="AC1702" i="11"/>
  <c r="AC1768" i="11"/>
  <c r="AC1804" i="11"/>
  <c r="AC1831" i="11"/>
  <c r="AC1848" i="11"/>
  <c r="AC1862" i="11"/>
  <c r="AC1876" i="11"/>
  <c r="AC1889" i="11"/>
  <c r="AC1901" i="11"/>
  <c r="AC1913" i="11"/>
  <c r="AC1925" i="11"/>
  <c r="AC1937" i="11"/>
  <c r="AC1949" i="11"/>
  <c r="AC1961" i="11"/>
  <c r="AC1973" i="11"/>
  <c r="AC1985" i="11"/>
  <c r="AC1997" i="11"/>
  <c r="AC2009" i="11"/>
  <c r="AC2021" i="11"/>
  <c r="AC2033" i="11"/>
  <c r="AC2045" i="11"/>
  <c r="AC2057" i="11"/>
  <c r="AC2069" i="11"/>
  <c r="AC2081" i="11"/>
  <c r="AC2093" i="11"/>
  <c r="AC2105" i="11"/>
  <c r="AC2117" i="11"/>
  <c r="AC2129" i="11"/>
  <c r="AC2141" i="11"/>
  <c r="AC2153" i="11"/>
  <c r="AC2165" i="11"/>
  <c r="AC2177" i="11"/>
  <c r="AC2189" i="11"/>
  <c r="AC2201" i="11"/>
  <c r="AC2213" i="11"/>
  <c r="AC2225" i="11"/>
  <c r="AC2237" i="11"/>
  <c r="AC2249" i="11"/>
  <c r="AC2261" i="11"/>
  <c r="AC2273" i="11"/>
  <c r="AC2285" i="11"/>
  <c r="AC2297" i="11"/>
  <c r="AC2309" i="11"/>
  <c r="AC2321" i="11"/>
  <c r="AC2331" i="11"/>
  <c r="AC2341" i="11"/>
  <c r="AC2351" i="11"/>
  <c r="AC2359" i="11"/>
  <c r="AB2367" i="11"/>
  <c r="AC2374" i="11"/>
  <c r="AC2381" i="11"/>
  <c r="AC2388" i="11"/>
  <c r="AB2396" i="11"/>
  <c r="AB2403" i="11"/>
  <c r="AC2410" i="11"/>
  <c r="AC2417" i="11"/>
  <c r="AC2424" i="11"/>
  <c r="AB2432" i="11"/>
  <c r="AB2439" i="11"/>
  <c r="AC2446" i="11"/>
  <c r="AC2453" i="11"/>
  <c r="AC2460" i="11"/>
  <c r="AB2468" i="11"/>
  <c r="AB2475" i="11"/>
  <c r="AC2482" i="11"/>
  <c r="AB2489" i="11"/>
  <c r="AC2495" i="11"/>
  <c r="AB2502" i="11"/>
  <c r="AC2508" i="11"/>
  <c r="AC2514" i="11"/>
  <c r="AC2520" i="11"/>
  <c r="AC2526" i="11"/>
  <c r="AC2532" i="11"/>
  <c r="AC2538" i="11"/>
  <c r="AC2544" i="11"/>
  <c r="AC2550" i="11"/>
  <c r="AC2556" i="11"/>
  <c r="AC2562" i="11"/>
  <c r="AC2568" i="11"/>
  <c r="AC2574" i="11"/>
  <c r="AC2580" i="11"/>
  <c r="AC2586" i="11"/>
  <c r="AC2592" i="11"/>
  <c r="AC2598" i="11"/>
  <c r="AC2604" i="11"/>
  <c r="AC2610" i="11"/>
  <c r="AC2616" i="11"/>
  <c r="AC2622" i="11"/>
  <c r="AC2634" i="11"/>
  <c r="AC2640" i="11"/>
  <c r="AC2652" i="11"/>
  <c r="AC2664" i="11"/>
  <c r="AC2676" i="11"/>
  <c r="AC2688" i="11"/>
  <c r="AC2700" i="11"/>
  <c r="AC2712" i="11"/>
  <c r="AC2724" i="11"/>
  <c r="AC2736" i="11"/>
  <c r="AC2748" i="11"/>
  <c r="AC2760" i="11"/>
  <c r="AC997" i="11"/>
  <c r="AC1541" i="11"/>
  <c r="AB1634" i="11"/>
  <c r="AC1708" i="11"/>
  <c r="AC1772" i="11"/>
  <c r="AC1808" i="11"/>
  <c r="AC1832" i="11"/>
  <c r="AC1849" i="11"/>
  <c r="AC1863" i="11"/>
  <c r="AC1878" i="11"/>
  <c r="AC1890" i="11"/>
  <c r="AC1902" i="11"/>
  <c r="AC1914" i="11"/>
  <c r="AC1926" i="11"/>
  <c r="AC1938" i="11"/>
  <c r="AC1950" i="11"/>
  <c r="AC1962" i="11"/>
  <c r="AC1974" i="11"/>
  <c r="AC1986" i="11"/>
  <c r="AC1998" i="11"/>
  <c r="AC2010" i="11"/>
  <c r="AC2022" i="11"/>
  <c r="AC2034" i="11"/>
  <c r="AC2046" i="11"/>
  <c r="AC2058" i="11"/>
  <c r="AC2070" i="11"/>
  <c r="AC2082" i="11"/>
  <c r="AC2094" i="11"/>
  <c r="AC2106" i="11"/>
  <c r="AC2118" i="11"/>
  <c r="AC2130" i="11"/>
  <c r="AC2142" i="11"/>
  <c r="AC2154" i="11"/>
  <c r="AC2166" i="11"/>
  <c r="AC2178" i="11"/>
  <c r="AC2190" i="11"/>
  <c r="AC2202" i="11"/>
  <c r="AC2214" i="11"/>
  <c r="AC2226" i="11"/>
  <c r="AC2238" i="11"/>
  <c r="AC2250" i="11"/>
  <c r="AC2262" i="11"/>
  <c r="AC2274" i="11"/>
  <c r="AC2286" i="11"/>
  <c r="AC2298" i="11"/>
  <c r="AC2310" i="11"/>
  <c r="AB2322" i="11"/>
  <c r="AC2332" i="11"/>
  <c r="AC2342" i="11"/>
  <c r="AB2352" i="11"/>
  <c r="AB2360" i="11"/>
  <c r="AC2367" i="11"/>
  <c r="AB2375" i="11"/>
  <c r="AB2382" i="11"/>
  <c r="AC2389" i="11"/>
  <c r="AC2396" i="11"/>
  <c r="AC2403" i="11"/>
  <c r="AB2411" i="11"/>
  <c r="AB2418" i="11"/>
  <c r="AC2425" i="11"/>
  <c r="AC2432" i="11"/>
  <c r="AC2439" i="11"/>
  <c r="AB2447" i="11"/>
  <c r="AB2454" i="11"/>
  <c r="AC2461" i="11"/>
  <c r="AC2468" i="11"/>
  <c r="AC2475" i="11"/>
  <c r="AB2483" i="11"/>
  <c r="AC2489" i="11"/>
  <c r="AB2496" i="11"/>
  <c r="AC2502" i="11"/>
  <c r="AB2509" i="11"/>
  <c r="AB2515" i="11"/>
  <c r="AB2521" i="11"/>
  <c r="AB2527" i="11"/>
  <c r="AB2533" i="11"/>
  <c r="AB2539" i="11"/>
  <c r="AB2545" i="11"/>
  <c r="AB2551" i="11"/>
  <c r="AB2557" i="11"/>
  <c r="AB2563" i="11"/>
  <c r="AB2569" i="11"/>
  <c r="AB2575" i="11"/>
  <c r="AB2581" i="11"/>
  <c r="AB2587" i="11"/>
  <c r="AB2593" i="11"/>
  <c r="AB2599" i="11"/>
  <c r="AB2605" i="11"/>
  <c r="AB2611" i="11"/>
  <c r="AB2617" i="11"/>
  <c r="AB2623" i="11"/>
  <c r="AB2629" i="11"/>
  <c r="AB2635" i="11"/>
  <c r="AB2641" i="11"/>
  <c r="AB2647" i="11"/>
  <c r="AB2653" i="11"/>
  <c r="AB2659" i="11"/>
  <c r="AB2665" i="11"/>
  <c r="AB2671" i="11"/>
  <c r="AB2677" i="11"/>
  <c r="AB2683" i="11"/>
  <c r="AB2689" i="11"/>
  <c r="AB2695" i="11"/>
  <c r="AB2701" i="11"/>
  <c r="AB2707" i="11"/>
  <c r="AB2713" i="11"/>
  <c r="AB2719" i="11"/>
  <c r="AB2725" i="11"/>
  <c r="AB2731" i="11"/>
  <c r="AB2737" i="11"/>
  <c r="AB2743" i="11"/>
  <c r="AB2749" i="11"/>
  <c r="AB2755" i="11"/>
  <c r="AB2761" i="11"/>
  <c r="AB2767" i="11"/>
  <c r="AB2773" i="11"/>
  <c r="AB2779" i="11"/>
  <c r="AB2785" i="11"/>
  <c r="AB2791" i="11"/>
  <c r="AB2797" i="11"/>
  <c r="AB2803" i="11"/>
  <c r="AB2809" i="11"/>
  <c r="AB2815" i="11"/>
  <c r="AB2821" i="11"/>
  <c r="AB2827" i="11"/>
  <c r="AB2833" i="11"/>
  <c r="AB2839" i="11"/>
  <c r="AB2845" i="11"/>
  <c r="AB2851" i="11"/>
  <c r="AB2857" i="11"/>
  <c r="AB2863" i="11"/>
  <c r="AB2869" i="11"/>
  <c r="AB2875" i="11"/>
  <c r="AB2881" i="11"/>
  <c r="AB2887" i="11"/>
  <c r="AB2893" i="11"/>
  <c r="AB2899" i="11"/>
  <c r="AB2905" i="11"/>
  <c r="AB2911" i="11"/>
  <c r="AB2917" i="11"/>
  <c r="AB2923" i="11"/>
  <c r="AB2929" i="11"/>
  <c r="AB2935" i="11"/>
  <c r="AB2941" i="11"/>
  <c r="AB2947" i="11"/>
  <c r="AB2953" i="11"/>
  <c r="AB2959" i="11"/>
  <c r="AB2965" i="11"/>
  <c r="AB2971" i="11"/>
  <c r="AB2977" i="11"/>
  <c r="AB2983" i="11"/>
  <c r="AB2989" i="11"/>
  <c r="AB2995" i="11"/>
  <c r="AB3001" i="11"/>
  <c r="AB3007" i="11"/>
  <c r="AB3013" i="11"/>
  <c r="AC2593" i="11"/>
  <c r="AC2605" i="11"/>
  <c r="AC2617" i="11"/>
  <c r="AC2629" i="11"/>
  <c r="AC2641" i="11"/>
  <c r="AC2653" i="11"/>
  <c r="AC2665" i="11"/>
  <c r="AC2677" i="11"/>
  <c r="AC2689" i="11"/>
  <c r="AC2701" i="11"/>
  <c r="AC2713" i="11"/>
  <c r="AC2725" i="11"/>
  <c r="AC2737" i="11"/>
  <c r="AC2749" i="11"/>
  <c r="AC1121" i="11"/>
  <c r="AC1549" i="11"/>
  <c r="AC1640" i="11"/>
  <c r="AC1714" i="11"/>
  <c r="AC1774" i="11"/>
  <c r="AC1810" i="11"/>
  <c r="AC1834" i="11"/>
  <c r="AC1850" i="11"/>
  <c r="AC1864" i="11"/>
  <c r="AC1879" i="11"/>
  <c r="AC1891" i="11"/>
  <c r="AC1903" i="11"/>
  <c r="AC1915" i="11"/>
  <c r="AC1927" i="11"/>
  <c r="AC1939" i="11"/>
  <c r="AC1951" i="11"/>
  <c r="AC1963" i="11"/>
  <c r="AC1975" i="11"/>
  <c r="AC1987" i="11"/>
  <c r="AC1999" i="11"/>
  <c r="AC2011" i="11"/>
  <c r="AC2023" i="11"/>
  <c r="AC2035" i="11"/>
  <c r="AC2047" i="11"/>
  <c r="AC2059" i="11"/>
  <c r="AC2071" i="11"/>
  <c r="AC2083" i="11"/>
  <c r="AC2095" i="11"/>
  <c r="AC2107" i="11"/>
  <c r="AC2119" i="11"/>
  <c r="AC2131" i="11"/>
  <c r="AC2143" i="11"/>
  <c r="AC2155" i="11"/>
  <c r="AC2167" i="11"/>
  <c r="AC2179" i="11"/>
  <c r="AC2191" i="11"/>
  <c r="AC2203" i="11"/>
  <c r="AC2215" i="11"/>
  <c r="AC2227" i="11"/>
  <c r="AC2239" i="11"/>
  <c r="AC2251" i="11"/>
  <c r="AC2263" i="11"/>
  <c r="AC2275" i="11"/>
  <c r="AC2287" i="11"/>
  <c r="AC2299" i="11"/>
  <c r="AC2311" i="11"/>
  <c r="AC2322" i="11"/>
  <c r="AC2333" i="11"/>
  <c r="AC2343" i="11"/>
  <c r="AC2352" i="11"/>
  <c r="AC2360" i="11"/>
  <c r="AC2368" i="11"/>
  <c r="AC2375" i="11"/>
  <c r="AC2382" i="11"/>
  <c r="AB2390" i="11"/>
  <c r="AB2397" i="11"/>
  <c r="AC2404" i="11"/>
  <c r="AC2411" i="11"/>
  <c r="AC2418" i="11"/>
  <c r="AB2426" i="11"/>
  <c r="AB2433" i="11"/>
  <c r="AC2440" i="11"/>
  <c r="AC2447" i="11"/>
  <c r="AC2454" i="11"/>
  <c r="AB2462" i="11"/>
  <c r="AB2469" i="11"/>
  <c r="AC2476" i="11"/>
  <c r="AC2483" i="11"/>
  <c r="AB2490" i="11"/>
  <c r="AC2496" i="11"/>
  <c r="AC2503" i="11"/>
  <c r="AC2509" i="11"/>
  <c r="AC2515" i="11"/>
  <c r="AC2521" i="11"/>
  <c r="AC2527" i="11"/>
  <c r="AC2533" i="11"/>
  <c r="AC2539" i="11"/>
  <c r="AC2545" i="11"/>
  <c r="AC2551" i="11"/>
  <c r="AC2557" i="11"/>
  <c r="AC2563" i="11"/>
  <c r="AC2569" i="11"/>
  <c r="AC2575" i="11"/>
  <c r="AC2581" i="11"/>
  <c r="AC2587" i="11"/>
  <c r="AC2599" i="11"/>
  <c r="AC2611" i="11"/>
  <c r="AC2623" i="11"/>
  <c r="AC2635" i="11"/>
  <c r="AC2647" i="11"/>
  <c r="AC2659" i="11"/>
  <c r="AC2671" i="11"/>
  <c r="AC2683" i="11"/>
  <c r="AC2695" i="11"/>
  <c r="AC2707" i="11"/>
  <c r="AC2719" i="11"/>
  <c r="AC2731" i="11"/>
  <c r="AC2743" i="11"/>
  <c r="AC2755" i="11"/>
  <c r="AC1232" i="11"/>
  <c r="AC1557" i="11"/>
  <c r="AB1647" i="11"/>
  <c r="AC1720" i="11"/>
  <c r="AC1778" i="11"/>
  <c r="AC1814" i="11"/>
  <c r="AC1836" i="11"/>
  <c r="AC1851" i="11"/>
  <c r="AC1866" i="11"/>
  <c r="AC1880" i="11"/>
  <c r="AC1892" i="11"/>
  <c r="AC1904" i="11"/>
  <c r="AC1916" i="11"/>
  <c r="AC1928" i="11"/>
  <c r="AC1940" i="11"/>
  <c r="AC1952" i="11"/>
  <c r="AC1964" i="11"/>
  <c r="AC1976" i="11"/>
  <c r="AC1988" i="11"/>
  <c r="AC2000" i="11"/>
  <c r="AC2012" i="11"/>
  <c r="AC2024" i="11"/>
  <c r="AC2036" i="11"/>
  <c r="AC2048" i="11"/>
  <c r="AC2060" i="11"/>
  <c r="AC2072" i="11"/>
  <c r="AC2084" i="11"/>
  <c r="AC2096" i="11"/>
  <c r="AC2108" i="11"/>
  <c r="AC2120" i="11"/>
  <c r="AC2132" i="11"/>
  <c r="AC2144" i="11"/>
  <c r="AC2156" i="11"/>
  <c r="AC2168" i="11"/>
  <c r="AC2180" i="11"/>
  <c r="AC2192" i="11"/>
  <c r="AC2204" i="11"/>
  <c r="AC2216" i="11"/>
  <c r="AC2228" i="11"/>
  <c r="AC2240" i="11"/>
  <c r="AC2252" i="11"/>
  <c r="AC2264" i="11"/>
  <c r="AC2276" i="11"/>
  <c r="AC2288" i="11"/>
  <c r="AC2300" i="11"/>
  <c r="AC2312" i="11"/>
  <c r="AC2323" i="11"/>
  <c r="AB2334" i="11"/>
  <c r="AC2344" i="11"/>
  <c r="AC2353" i="11"/>
  <c r="AB2361" i="11"/>
  <c r="AB2369" i="11"/>
  <c r="AB2376" i="11"/>
  <c r="AC2383" i="11"/>
  <c r="AC2390" i="11"/>
  <c r="AC2397" i="11"/>
  <c r="AB2405" i="11"/>
  <c r="AB2412" i="11"/>
  <c r="AC2419" i="11"/>
  <c r="AC2426" i="11"/>
  <c r="AC2433" i="11"/>
  <c r="AB2441" i="11"/>
  <c r="AB2448" i="11"/>
  <c r="AC2455" i="11"/>
  <c r="AC2462" i="11"/>
  <c r="AC2469" i="11"/>
  <c r="AB2477" i="11"/>
  <c r="AB2484" i="11"/>
  <c r="AC2490" i="11"/>
  <c r="AC2497" i="11"/>
  <c r="AB2504" i="11"/>
  <c r="AB2510" i="11"/>
  <c r="AB2516" i="11"/>
  <c r="AB2522" i="11"/>
  <c r="AB2528" i="11"/>
  <c r="AB2534" i="11"/>
  <c r="AB2540" i="11"/>
  <c r="AB2546" i="11"/>
  <c r="AB2552" i="11"/>
  <c r="AB2558" i="11"/>
  <c r="AB2564" i="11"/>
  <c r="AB2570" i="11"/>
  <c r="AB2576" i="11"/>
  <c r="AB2582" i="11"/>
  <c r="AB2588" i="11"/>
  <c r="AB2594" i="11"/>
  <c r="AB2600" i="11"/>
  <c r="AB2606" i="11"/>
  <c r="AB2612" i="11"/>
  <c r="AB2618" i="11"/>
  <c r="AB2624" i="11"/>
  <c r="AB2630" i="11"/>
  <c r="AB2636" i="11"/>
  <c r="AB2642" i="11"/>
  <c r="AB2648" i="11"/>
  <c r="AB2654" i="11"/>
  <c r="AB2660" i="11"/>
  <c r="AB2666" i="11"/>
  <c r="AB2672" i="11"/>
  <c r="AB2678" i="11"/>
  <c r="AB2684" i="11"/>
  <c r="AB2690" i="11"/>
  <c r="AB2696" i="11"/>
  <c r="AB2702" i="11"/>
  <c r="AB2708" i="11"/>
  <c r="AB2714" i="11"/>
  <c r="AB2720" i="11"/>
  <c r="AB2726" i="11"/>
  <c r="AB2732" i="11"/>
  <c r="AB2738" i="11"/>
  <c r="AB2744" i="11"/>
  <c r="AB2750" i="11"/>
  <c r="AB2756" i="11"/>
  <c r="AB2762" i="11"/>
  <c r="AB2768" i="11"/>
  <c r="AB2774" i="11"/>
  <c r="AB2780" i="11"/>
  <c r="AB2786" i="11"/>
  <c r="AB2792" i="11"/>
  <c r="AB2798" i="11"/>
  <c r="AB2804" i="11"/>
  <c r="AB2810" i="11"/>
  <c r="AB2816" i="11"/>
  <c r="AB2822" i="11"/>
  <c r="AB2828" i="11"/>
  <c r="AB2834" i="11"/>
  <c r="AB2840" i="11"/>
  <c r="AB2846" i="11"/>
  <c r="AB2852" i="11"/>
  <c r="AB2858" i="11"/>
  <c r="AB2864" i="11"/>
  <c r="AB2870" i="11"/>
  <c r="AB2876" i="11"/>
  <c r="AB2882" i="11"/>
  <c r="AB2888" i="11"/>
  <c r="AB2894" i="11"/>
  <c r="AB2900" i="11"/>
  <c r="AB2906" i="11"/>
  <c r="AB2912" i="11"/>
  <c r="AB2918" i="11"/>
  <c r="AB2924" i="11"/>
  <c r="AB2930" i="11"/>
  <c r="AB2936" i="11"/>
  <c r="AB2942" i="11"/>
  <c r="AB2948" i="11"/>
  <c r="AB2954" i="11"/>
  <c r="AB2960" i="11"/>
  <c r="AB2966" i="11"/>
  <c r="AB2972" i="11"/>
  <c r="AB2978" i="11"/>
  <c r="AB2984" i="11"/>
  <c r="AB2990" i="11"/>
  <c r="AB2996" i="11"/>
  <c r="AB3002" i="11"/>
  <c r="AB3008" i="11"/>
  <c r="AB3014" i="11"/>
  <c r="AC2618" i="11"/>
  <c r="AC2630" i="11"/>
  <c r="AC2642" i="11"/>
  <c r="AC2660" i="11"/>
  <c r="AC2672" i="11"/>
  <c r="AC2684" i="11"/>
  <c r="AC2690" i="11"/>
  <c r="AC2708" i="11"/>
  <c r="AC2720" i="11"/>
  <c r="AC2732" i="11"/>
  <c r="AC2744" i="11"/>
  <c r="AC2756" i="11"/>
  <c r="AC2768" i="11"/>
  <c r="AC2780" i="11"/>
  <c r="AC1328" i="11"/>
  <c r="AC1565" i="11"/>
  <c r="AC1653" i="11"/>
  <c r="AC1726" i="11"/>
  <c r="AC1780" i="11"/>
  <c r="AC1816" i="11"/>
  <c r="AC1837" i="11"/>
  <c r="AC1852" i="11"/>
  <c r="AC1867" i="11"/>
  <c r="AC1881" i="11"/>
  <c r="AC1893" i="11"/>
  <c r="AC1905" i="11"/>
  <c r="AC1917" i="11"/>
  <c r="AC1929" i="11"/>
  <c r="AC1941" i="11"/>
  <c r="AC1953" i="11"/>
  <c r="AC1965" i="11"/>
  <c r="AC1977" i="11"/>
  <c r="AC1989" i="11"/>
  <c r="AC2001" i="11"/>
  <c r="AC2013" i="11"/>
  <c r="AC2025" i="11"/>
  <c r="AC2037" i="11"/>
  <c r="AC2049" i="11"/>
  <c r="AC2061" i="11"/>
  <c r="AC2073" i="11"/>
  <c r="AC2085" i="11"/>
  <c r="AC2097" i="11"/>
  <c r="AC2109" i="11"/>
  <c r="AC2121" i="11"/>
  <c r="AC2133" i="11"/>
  <c r="AC2145" i="11"/>
  <c r="AC2157" i="11"/>
  <c r="AC2169" i="11"/>
  <c r="AC2181" i="11"/>
  <c r="AC2193" i="11"/>
  <c r="AC2205" i="11"/>
  <c r="AC2217" i="11"/>
  <c r="AC2229" i="11"/>
  <c r="AC2241" i="11"/>
  <c r="AC2253" i="11"/>
  <c r="AC2265" i="11"/>
  <c r="AC2277" i="11"/>
  <c r="AC2289" i="11"/>
  <c r="AC2301" i="11"/>
  <c r="AC2313" i="11"/>
  <c r="AC2324" i="11"/>
  <c r="AC2334" i="11"/>
  <c r="AC2345" i="11"/>
  <c r="AB2354" i="11"/>
  <c r="AC2361" i="11"/>
  <c r="AC2369" i="11"/>
  <c r="AC2376" i="11"/>
  <c r="AB2384" i="11"/>
  <c r="AB2391" i="11"/>
  <c r="AC2398" i="11"/>
  <c r="AC2405" i="11"/>
  <c r="AC2412" i="11"/>
  <c r="AB2420" i="11"/>
  <c r="AB2427" i="11"/>
  <c r="AC2434" i="11"/>
  <c r="AC2441" i="11"/>
  <c r="AC2448" i="11"/>
  <c r="AB2456" i="11"/>
  <c r="AB2463" i="11"/>
  <c r="AC2470" i="11"/>
  <c r="AC2477" i="11"/>
  <c r="AC2484" i="11"/>
  <c r="AC2491" i="11"/>
  <c r="AB2498" i="11"/>
  <c r="AC2504" i="11"/>
  <c r="AC2510" i="11"/>
  <c r="AC2516" i="11"/>
  <c r="AC2522" i="11"/>
  <c r="AC2528" i="11"/>
  <c r="AC2534" i="11"/>
  <c r="AC2540" i="11"/>
  <c r="AC2546" i="11"/>
  <c r="AC2552" i="11"/>
  <c r="AC2558" i="11"/>
  <c r="AC2564" i="11"/>
  <c r="AC2570" i="11"/>
  <c r="AC2576" i="11"/>
  <c r="AC2582" i="11"/>
  <c r="AC2588" i="11"/>
  <c r="AC2594" i="11"/>
  <c r="AC2600" i="11"/>
  <c r="AC2606" i="11"/>
  <c r="AC2612" i="11"/>
  <c r="AC2624" i="11"/>
  <c r="AC2636" i="11"/>
  <c r="AC2648" i="11"/>
  <c r="AC2654" i="11"/>
  <c r="AC2666" i="11"/>
  <c r="AC2678" i="11"/>
  <c r="AC2696" i="11"/>
  <c r="AC2702" i="11"/>
  <c r="AC2714" i="11"/>
  <c r="AC2726" i="11"/>
  <c r="AC2738" i="11"/>
  <c r="AC2750" i="11"/>
  <c r="AC2762" i="11"/>
  <c r="AC2774" i="11"/>
  <c r="AC1378" i="11"/>
  <c r="AC1573" i="11"/>
  <c r="AB1660" i="11"/>
  <c r="AC1732" i="11"/>
  <c r="AC1784" i="11"/>
  <c r="AC1819" i="11"/>
  <c r="AC1838" i="11"/>
  <c r="AC1854" i="11"/>
  <c r="AC1868" i="11"/>
  <c r="AC1882" i="11"/>
  <c r="AC1894" i="11"/>
  <c r="AC1906" i="11"/>
  <c r="AC1918" i="11"/>
  <c r="AC1930" i="11"/>
  <c r="AC1942" i="11"/>
  <c r="AC1954" i="11"/>
  <c r="AC1966" i="11"/>
  <c r="AC1978" i="11"/>
  <c r="AC1990" i="11"/>
  <c r="AC2002" i="11"/>
  <c r="AC2014" i="11"/>
  <c r="AC2026" i="11"/>
  <c r="AC2038" i="11"/>
  <c r="AC2050" i="11"/>
  <c r="AC2062" i="11"/>
  <c r="AC2074" i="11"/>
  <c r="AC2086" i="11"/>
  <c r="AC2098" i="11"/>
  <c r="AC2110" i="11"/>
  <c r="AC2122" i="11"/>
  <c r="AC2134" i="11"/>
  <c r="AC2146" i="11"/>
  <c r="AC2158" i="11"/>
  <c r="AC2170" i="11"/>
  <c r="AC2182" i="11"/>
  <c r="AC2194" i="11"/>
  <c r="AC2206" i="11"/>
  <c r="AC2218" i="11"/>
  <c r="AC2230" i="11"/>
  <c r="AC2242" i="11"/>
  <c r="AC2254" i="11"/>
  <c r="AC2266" i="11"/>
  <c r="AC2278" i="11"/>
  <c r="AC2290" i="11"/>
  <c r="AC2302" i="11"/>
  <c r="AC2314" i="11"/>
  <c r="AC2325" i="11"/>
  <c r="AC2335" i="11"/>
  <c r="AB2346" i="11"/>
  <c r="AC2354" i="11"/>
  <c r="AC2362" i="11"/>
  <c r="AB2370" i="11"/>
  <c r="AC2377" i="11"/>
  <c r="AC2384" i="11"/>
  <c r="AC2391" i="11"/>
  <c r="AB2399" i="11"/>
  <c r="AB2406" i="11"/>
  <c r="AC2413" i="11"/>
  <c r="AC2420" i="11"/>
  <c r="AC2427" i="11"/>
  <c r="AB2435" i="11"/>
  <c r="AB2442" i="11"/>
  <c r="AC2449" i="11"/>
  <c r="AC2456" i="11"/>
  <c r="AC2463" i="11"/>
  <c r="AB2471" i="11"/>
  <c r="AB2478" i="11"/>
  <c r="AC2485" i="11"/>
  <c r="AB2492" i="11"/>
  <c r="AC2498" i="11"/>
  <c r="AB2505" i="11"/>
  <c r="AB2511" i="11"/>
  <c r="AB2517" i="11"/>
  <c r="AB2523" i="11"/>
  <c r="AB2529" i="11"/>
  <c r="AB2535" i="11"/>
  <c r="AB2541" i="11"/>
  <c r="AB2547" i="11"/>
  <c r="AB2553" i="11"/>
  <c r="AB2559" i="11"/>
  <c r="AB2565" i="11"/>
  <c r="AB2571" i="11"/>
  <c r="AB2577" i="11"/>
  <c r="AB2583" i="11"/>
  <c r="AB2589" i="11"/>
  <c r="AB2595" i="11"/>
  <c r="AB2601" i="11"/>
  <c r="AB2607" i="11"/>
  <c r="AB2613" i="11"/>
  <c r="AB2619" i="11"/>
  <c r="AB2625" i="11"/>
  <c r="AB1423" i="11"/>
  <c r="AC1581" i="11"/>
  <c r="AC1666" i="11"/>
  <c r="AC1738" i="11"/>
  <c r="AC1786" i="11"/>
  <c r="AC1820" i="11"/>
  <c r="AC1840" i="11"/>
  <c r="AC1855" i="11"/>
  <c r="AC1869" i="11"/>
  <c r="AC1883" i="11"/>
  <c r="AC1895" i="11"/>
  <c r="AC1907" i="11"/>
  <c r="AC1919" i="11"/>
  <c r="AC1931" i="11"/>
  <c r="AC1943" i="11"/>
  <c r="AC1955" i="11"/>
  <c r="AC1967" i="11"/>
  <c r="AC1979" i="11"/>
  <c r="AC1991" i="11"/>
  <c r="AC2003" i="11"/>
  <c r="AC2015" i="11"/>
  <c r="AC2027" i="11"/>
  <c r="AC2039" i="11"/>
  <c r="AC2051" i="11"/>
  <c r="AC2063" i="11"/>
  <c r="AC2075" i="11"/>
  <c r="AC2087" i="11"/>
  <c r="AC2099" i="11"/>
  <c r="AC2111" i="11"/>
  <c r="AC2123" i="11"/>
  <c r="AC2135" i="11"/>
  <c r="AC2147" i="11"/>
  <c r="AC2159" i="11"/>
  <c r="AC2171" i="11"/>
  <c r="AC2183" i="11"/>
  <c r="AC2195" i="11"/>
  <c r="AC2207" i="11"/>
  <c r="AC2219" i="11"/>
  <c r="AC2231" i="11"/>
  <c r="AC2243" i="11"/>
  <c r="AC2255" i="11"/>
  <c r="AC2267" i="11"/>
  <c r="AC2279" i="11"/>
  <c r="AC2291" i="11"/>
  <c r="AC2303" i="11"/>
  <c r="AC2315" i="11"/>
  <c r="AC2326" i="11"/>
  <c r="AC2336" i="11"/>
  <c r="AC2346" i="11"/>
  <c r="AB2355" i="11"/>
  <c r="AC2363" i="11"/>
  <c r="AC2370" i="11"/>
  <c r="AB2378" i="11"/>
  <c r="AB2385" i="11"/>
  <c r="AC2392" i="11"/>
  <c r="AC2399" i="11"/>
  <c r="AC2406" i="11"/>
  <c r="AB2414" i="11"/>
  <c r="AB2421" i="11"/>
  <c r="AC2428" i="11"/>
  <c r="AC2435" i="11"/>
  <c r="AC2442" i="11"/>
  <c r="AB2450" i="11"/>
  <c r="AB2457" i="11"/>
  <c r="AC2464" i="11"/>
  <c r="AC2471" i="11"/>
  <c r="AC2478" i="11"/>
  <c r="AB2486" i="11"/>
  <c r="AC2492" i="11"/>
  <c r="AB2499" i="11"/>
  <c r="AC2505" i="11"/>
  <c r="AC2511" i="11"/>
  <c r="AC2517" i="11"/>
  <c r="AC2523" i="11"/>
  <c r="AC2529" i="11"/>
  <c r="AC2535" i="11"/>
  <c r="AC2541" i="11"/>
  <c r="AC2547" i="11"/>
  <c r="AC2553" i="11"/>
  <c r="AC2559" i="11"/>
  <c r="AC2565" i="11"/>
  <c r="AC2571" i="11"/>
  <c r="AC2577" i="11"/>
  <c r="AC2583" i="11"/>
  <c r="AC2589" i="11"/>
  <c r="AC2595" i="11"/>
  <c r="AC2601" i="11"/>
  <c r="AC2607" i="11"/>
  <c r="AC2613" i="11"/>
  <c r="AC2619" i="11"/>
  <c r="AC2625" i="11"/>
  <c r="AC2631" i="11"/>
  <c r="AC2637" i="11"/>
  <c r="AC2643" i="11"/>
  <c r="AC2649" i="11"/>
  <c r="AC2655" i="11"/>
  <c r="AC2661" i="11"/>
  <c r="AC2667" i="11"/>
  <c r="AC2673" i="11"/>
  <c r="AC2679" i="11"/>
  <c r="AC2685" i="11"/>
  <c r="AC2691" i="11"/>
  <c r="AC2697" i="11"/>
  <c r="AC2703" i="11"/>
  <c r="AC2709" i="11"/>
  <c r="AC2715" i="11"/>
  <c r="AC2721" i="11"/>
  <c r="AC1462" i="11"/>
  <c r="AC1589" i="11"/>
  <c r="AC1672" i="11"/>
  <c r="AC1744" i="11"/>
  <c r="AC1790" i="11"/>
  <c r="AC1822" i="11"/>
  <c r="AC1842" i="11"/>
  <c r="AC1856" i="11"/>
  <c r="AC1870" i="11"/>
  <c r="AC1884" i="11"/>
  <c r="AC1896" i="11"/>
  <c r="AC1908" i="11"/>
  <c r="AC1920" i="11"/>
  <c r="AC1932" i="11"/>
  <c r="AC1944" i="11"/>
  <c r="AC1956" i="11"/>
  <c r="AC1968" i="11"/>
  <c r="AC1980" i="11"/>
  <c r="AC1992" i="11"/>
  <c r="AC2004" i="11"/>
  <c r="AC2016" i="11"/>
  <c r="AC2028" i="11"/>
  <c r="AC2040" i="11"/>
  <c r="AC2052" i="11"/>
  <c r="AC2064" i="11"/>
  <c r="AC2076" i="11"/>
  <c r="AC2088" i="11"/>
  <c r="AC2100" i="11"/>
  <c r="AC2112" i="11"/>
  <c r="AC2124" i="11"/>
  <c r="AC2136" i="11"/>
  <c r="AC2148" i="11"/>
  <c r="AC2160" i="11"/>
  <c r="AC2172" i="11"/>
  <c r="AC2184" i="11"/>
  <c r="AC2196" i="11"/>
  <c r="AC2208" i="11"/>
  <c r="AC2220" i="11"/>
  <c r="AC2232" i="11"/>
  <c r="AC2244" i="11"/>
  <c r="AC2256" i="11"/>
  <c r="AC2268" i="11"/>
  <c r="AC2280" i="11"/>
  <c r="AC2292" i="11"/>
  <c r="AC2304" i="11"/>
  <c r="AC2316" i="11"/>
  <c r="AC2327" i="11"/>
  <c r="AC2337" i="11"/>
  <c r="AC2347" i="11"/>
  <c r="AC2355" i="11"/>
  <c r="AB2364" i="11"/>
  <c r="AC2371" i="11"/>
  <c r="AC2378" i="11"/>
  <c r="AC2385" i="11"/>
  <c r="AB2393" i="11"/>
  <c r="AB2400" i="11"/>
  <c r="AC2407" i="11"/>
  <c r="AC2414" i="11"/>
  <c r="AC2421" i="11"/>
  <c r="AB2429" i="11"/>
  <c r="AB2436" i="11"/>
  <c r="AC2443" i="11"/>
  <c r="AC2450" i="11"/>
  <c r="AC2457" i="11"/>
  <c r="AB2465" i="11"/>
  <c r="AB2472" i="11"/>
  <c r="AC2479" i="11"/>
  <c r="AC2486" i="11"/>
  <c r="AB2493" i="11"/>
  <c r="AC2499" i="11"/>
  <c r="AB2506" i="11"/>
  <c r="AB2512" i="11"/>
  <c r="AB2518" i="11"/>
  <c r="AB2524" i="11"/>
  <c r="AB2530" i="11"/>
  <c r="AB2536" i="11"/>
  <c r="AB2542" i="11"/>
  <c r="AB2548" i="11"/>
  <c r="AB2554" i="11"/>
  <c r="AB2560" i="11"/>
  <c r="AB2566" i="11"/>
  <c r="AB2572" i="11"/>
  <c r="AB2578" i="11"/>
  <c r="AB2584" i="11"/>
  <c r="AB2590" i="11"/>
  <c r="AB2596" i="11"/>
  <c r="AB2602" i="11"/>
  <c r="AB2608" i="11"/>
  <c r="AB2614" i="11"/>
  <c r="AB2620" i="11"/>
  <c r="AB2626" i="11"/>
  <c r="AB2632" i="11"/>
  <c r="AB2638" i="11"/>
  <c r="AB2644" i="11"/>
  <c r="AB2650" i="11"/>
  <c r="AB2656" i="11"/>
  <c r="AB2662" i="11"/>
  <c r="AB2668" i="11"/>
  <c r="AB2674" i="11"/>
  <c r="AB2680" i="11"/>
  <c r="AB2686" i="11"/>
  <c r="AB2692" i="11"/>
  <c r="AB2698" i="11"/>
  <c r="AB2704" i="11"/>
  <c r="AB2710" i="11"/>
  <c r="AB2716" i="11"/>
  <c r="AB2722" i="11"/>
  <c r="AB2728" i="11"/>
  <c r="AB2734" i="11"/>
  <c r="AB2740" i="11"/>
  <c r="AB2746" i="11"/>
  <c r="AB2752" i="11"/>
  <c r="AB2758" i="11"/>
  <c r="AB2764" i="11"/>
  <c r="AB2770" i="11"/>
  <c r="AB2776" i="11"/>
  <c r="AB2782" i="11"/>
  <c r="AB2788" i="11"/>
  <c r="AB2794" i="11"/>
  <c r="AB2800" i="11"/>
  <c r="AB2806" i="11"/>
  <c r="AB2812" i="11"/>
  <c r="AB2818" i="11"/>
  <c r="AB2824" i="11"/>
  <c r="AB2830" i="11"/>
  <c r="AB2836" i="11"/>
  <c r="AB2842" i="11"/>
  <c r="AB2848" i="11"/>
  <c r="AB2854" i="11"/>
  <c r="AB2860" i="11"/>
  <c r="AB2866" i="11"/>
  <c r="AB2872" i="11"/>
  <c r="AB2878" i="11"/>
  <c r="AB2884" i="11"/>
  <c r="AB2890" i="11"/>
  <c r="AB2896" i="11"/>
  <c r="AB2902" i="11"/>
  <c r="AB2908" i="11"/>
  <c r="AB2914" i="11"/>
  <c r="AB2920" i="11"/>
  <c r="AB2926" i="11"/>
  <c r="AB2932" i="11"/>
  <c r="AB2938" i="11"/>
  <c r="AB2944" i="11"/>
  <c r="AB2950" i="11"/>
  <c r="AB2956" i="11"/>
  <c r="AB2962" i="11"/>
  <c r="AB2968" i="11"/>
  <c r="AB2974" i="11"/>
  <c r="AB2980" i="11"/>
  <c r="AB2986" i="11"/>
  <c r="AB2992" i="11"/>
  <c r="AB2998" i="11"/>
  <c r="AB3004" i="11"/>
  <c r="AB3010" i="11"/>
  <c r="AC2644" i="11"/>
  <c r="AC2656" i="11"/>
  <c r="AC2668" i="11"/>
  <c r="AC2680" i="11"/>
  <c r="AC2692" i="11"/>
  <c r="AC2704" i="11"/>
  <c r="AC2716" i="11"/>
  <c r="AC2728" i="11"/>
  <c r="AC1484" i="11"/>
  <c r="AC1597" i="11"/>
  <c r="AC1678" i="11"/>
  <c r="AC1750" i="11"/>
  <c r="AC1792" i="11"/>
  <c r="AC1825" i="11"/>
  <c r="AC1843" i="11"/>
  <c r="AC1857" i="11"/>
  <c r="AC1872" i="11"/>
  <c r="AC1885" i="11"/>
  <c r="AC1897" i="11"/>
  <c r="AC1909" i="11"/>
  <c r="AC1921" i="11"/>
  <c r="AC1933" i="11"/>
  <c r="AC1945" i="11"/>
  <c r="AC1957" i="11"/>
  <c r="AC1969" i="11"/>
  <c r="AC1981" i="11"/>
  <c r="AC1993" i="11"/>
  <c r="AC2005" i="11"/>
  <c r="AC2017" i="11"/>
  <c r="AC2029" i="11"/>
  <c r="AC2041" i="11"/>
  <c r="AC2053" i="11"/>
  <c r="AC2065" i="11"/>
  <c r="AC2077" i="11"/>
  <c r="AC2089" i="11"/>
  <c r="AC2101" i="11"/>
  <c r="AC2113" i="11"/>
  <c r="AC2125" i="11"/>
  <c r="AC2137" i="11"/>
  <c r="AC2149" i="11"/>
  <c r="AC2161" i="11"/>
  <c r="AC2173" i="11"/>
  <c r="AC2185" i="11"/>
  <c r="AC2197" i="11"/>
  <c r="AC2209" i="11"/>
  <c r="AC2221" i="11"/>
  <c r="AC2233" i="11"/>
  <c r="AC2245" i="11"/>
  <c r="AC2257" i="11"/>
  <c r="AC2269" i="11"/>
  <c r="AC2281" i="11"/>
  <c r="AC2293" i="11"/>
  <c r="AC2305" i="11"/>
  <c r="AC2317" i="11"/>
  <c r="AB2328" i="11"/>
  <c r="AC2338" i="11"/>
  <c r="AC2348" i="11"/>
  <c r="AC2356" i="11"/>
  <c r="AC2364" i="11"/>
  <c r="AB2372" i="11"/>
  <c r="AB2379" i="11"/>
  <c r="AC2386" i="11"/>
  <c r="AC2393" i="11"/>
  <c r="AC2400" i="11"/>
  <c r="AB2408" i="11"/>
  <c r="AB2415" i="11"/>
  <c r="AC2422" i="11"/>
  <c r="AC2429" i="11"/>
  <c r="AC2436" i="11"/>
  <c r="AB2444" i="11"/>
  <c r="AB2451" i="11"/>
  <c r="AC2458" i="11"/>
  <c r="AC2465" i="11"/>
  <c r="AC2472" i="11"/>
  <c r="AB2480" i="11"/>
  <c r="AB2487" i="11"/>
  <c r="AC2493" i="11"/>
  <c r="AB2500" i="11"/>
  <c r="AC2506" i="11"/>
  <c r="AC2512" i="11"/>
  <c r="AC2518" i="11"/>
  <c r="AC2524" i="11"/>
  <c r="AC2530" i="11"/>
  <c r="AC2536" i="11"/>
  <c r="AC2542" i="11"/>
  <c r="AC2548" i="11"/>
  <c r="AC2554" i="11"/>
  <c r="AC2560" i="11"/>
  <c r="AC2566" i="11"/>
  <c r="AC2572" i="11"/>
  <c r="AC2578" i="11"/>
  <c r="AC2584" i="11"/>
  <c r="AC2590" i="11"/>
  <c r="AC2596" i="11"/>
  <c r="AC2602" i="11"/>
  <c r="AC2608" i="11"/>
  <c r="AC2614" i="11"/>
  <c r="AC2620" i="11"/>
  <c r="AC2626" i="11"/>
  <c r="AC2632" i="11"/>
  <c r="AC2638" i="11"/>
  <c r="AC2650" i="11"/>
  <c r="AC2662" i="11"/>
  <c r="AC2674" i="11"/>
  <c r="AC2686" i="11"/>
  <c r="AC2698" i="11"/>
  <c r="AC2710" i="11"/>
  <c r="AC2722" i="11"/>
  <c r="AC1886" i="11"/>
  <c r="AC2030" i="11"/>
  <c r="AC2174" i="11"/>
  <c r="AC2318" i="11"/>
  <c r="AC2415" i="11"/>
  <c r="AC2500" i="11"/>
  <c r="AB2573" i="11"/>
  <c r="AB2637" i="11"/>
  <c r="AB2673" i="11"/>
  <c r="AB2709" i="11"/>
  <c r="AC2734" i="11"/>
  <c r="AC2747" i="11"/>
  <c r="AB2763" i="11"/>
  <c r="AC2773" i="11"/>
  <c r="AC2783" i="11"/>
  <c r="AB2793" i="11"/>
  <c r="AC2801" i="11"/>
  <c r="AB2811" i="11"/>
  <c r="AC2819" i="11"/>
  <c r="AB2829" i="11"/>
  <c r="AC2837" i="11"/>
  <c r="AB2847" i="11"/>
  <c r="AC2855" i="11"/>
  <c r="AB2865" i="11"/>
  <c r="AC2873" i="11"/>
  <c r="AB2883" i="11"/>
  <c r="AC2891" i="11"/>
  <c r="AB2901" i="11"/>
  <c r="AC2909" i="11"/>
  <c r="AB2919" i="11"/>
  <c r="AC2927" i="11"/>
  <c r="AB2937" i="11"/>
  <c r="AC2945" i="11"/>
  <c r="AB2955" i="11"/>
  <c r="AC2963" i="11"/>
  <c r="AB2973" i="11"/>
  <c r="AC2981" i="11"/>
  <c r="AB2991" i="11"/>
  <c r="AC2999" i="11"/>
  <c r="AB3009" i="11"/>
  <c r="AC2946" i="11"/>
  <c r="AC2964" i="11"/>
  <c r="AC2982" i="11"/>
  <c r="AC3000" i="11"/>
  <c r="AC2983" i="11"/>
  <c r="AC3010" i="11"/>
  <c r="AC2872" i="11"/>
  <c r="AC2962" i="11"/>
  <c r="AB2494" i="11"/>
  <c r="AB2747" i="11"/>
  <c r="AC2810" i="11"/>
  <c r="AC2954" i="11"/>
  <c r="AC1898" i="11"/>
  <c r="AC2042" i="11"/>
  <c r="AC2186" i="11"/>
  <c r="AC2328" i="11"/>
  <c r="AB2423" i="11"/>
  <c r="AB2507" i="11"/>
  <c r="AB2579" i="11"/>
  <c r="AB2639" i="11"/>
  <c r="AB2675" i="11"/>
  <c r="AB2711" i="11"/>
  <c r="AB2735" i="11"/>
  <c r="AB2751" i="11"/>
  <c r="AC2763" i="11"/>
  <c r="AB2775" i="11"/>
  <c r="AC2784" i="11"/>
  <c r="AC2793" i="11"/>
  <c r="AC2802" i="11"/>
  <c r="AC2811" i="11"/>
  <c r="AC2820" i="11"/>
  <c r="AC2829" i="11"/>
  <c r="AC2838" i="11"/>
  <c r="AC2847" i="11"/>
  <c r="AC2856" i="11"/>
  <c r="AC2865" i="11"/>
  <c r="AC2874" i="11"/>
  <c r="AC2883" i="11"/>
  <c r="AC2892" i="11"/>
  <c r="AC2901" i="11"/>
  <c r="AC2910" i="11"/>
  <c r="AC2919" i="11"/>
  <c r="AC2928" i="11"/>
  <c r="AC2937" i="11"/>
  <c r="AC2955" i="11"/>
  <c r="AC2973" i="11"/>
  <c r="AC2991" i="11"/>
  <c r="AC3009" i="11"/>
  <c r="AC3001" i="11"/>
  <c r="AC2908" i="11"/>
  <c r="AC2018" i="11"/>
  <c r="AC2792" i="11"/>
  <c r="AC2936" i="11"/>
  <c r="AC1910" i="11"/>
  <c r="AC2054" i="11"/>
  <c r="AC2198" i="11"/>
  <c r="AC2339" i="11"/>
  <c r="AB2430" i="11"/>
  <c r="AB2513" i="11"/>
  <c r="AB2585" i="11"/>
  <c r="AB2643" i="11"/>
  <c r="AB2679" i="11"/>
  <c r="AB2715" i="11"/>
  <c r="AC2735" i="11"/>
  <c r="AC2751" i="11"/>
  <c r="AC2764" i="11"/>
  <c r="AC2775" i="11"/>
  <c r="AC2785" i="11"/>
  <c r="AC2794" i="11"/>
  <c r="AC2803" i="11"/>
  <c r="AC2812" i="11"/>
  <c r="AC2821" i="11"/>
  <c r="AC2830" i="11"/>
  <c r="AC2839" i="11"/>
  <c r="AC2848" i="11"/>
  <c r="AC2857" i="11"/>
  <c r="AC2866" i="11"/>
  <c r="AC2875" i="11"/>
  <c r="AC2884" i="11"/>
  <c r="AC2893" i="11"/>
  <c r="AC2902" i="11"/>
  <c r="AC2911" i="11"/>
  <c r="AC2920" i="11"/>
  <c r="AC2929" i="11"/>
  <c r="AC2938" i="11"/>
  <c r="AC2947" i="11"/>
  <c r="AC2956" i="11"/>
  <c r="AC2965" i="11"/>
  <c r="AC2974" i="11"/>
  <c r="AC2992" i="11"/>
  <c r="AC2845" i="11"/>
  <c r="AC2935" i="11"/>
  <c r="AC2162" i="11"/>
  <c r="AC2828" i="11"/>
  <c r="AB2981" i="11"/>
  <c r="AC1500" i="11"/>
  <c r="AC1922" i="11"/>
  <c r="AC2066" i="11"/>
  <c r="AC2210" i="11"/>
  <c r="AB2349" i="11"/>
  <c r="AC2437" i="11"/>
  <c r="AB2519" i="11"/>
  <c r="AB2591" i="11"/>
  <c r="AB2645" i="11"/>
  <c r="AB2681" i="11"/>
  <c r="AB2717" i="11"/>
  <c r="AB2739" i="11"/>
  <c r="AC2752" i="11"/>
  <c r="AB2765" i="11"/>
  <c r="AC2776" i="11"/>
  <c r="AC2786" i="11"/>
  <c r="AB2795" i="11"/>
  <c r="AC2804" i="11"/>
  <c r="AB2813" i="11"/>
  <c r="AC2822" i="11"/>
  <c r="AB2831" i="11"/>
  <c r="AC2840" i="11"/>
  <c r="AB2849" i="11"/>
  <c r="AC2858" i="11"/>
  <c r="AB2867" i="11"/>
  <c r="AC2876" i="11"/>
  <c r="AB2885" i="11"/>
  <c r="AC2894" i="11"/>
  <c r="AB2903" i="11"/>
  <c r="AC2912" i="11"/>
  <c r="AB2921" i="11"/>
  <c r="AC2930" i="11"/>
  <c r="AB2939" i="11"/>
  <c r="AC2948" i="11"/>
  <c r="AB2957" i="11"/>
  <c r="AC2966" i="11"/>
  <c r="AB2975" i="11"/>
  <c r="AC2984" i="11"/>
  <c r="AB2993" i="11"/>
  <c r="AC3002" i="11"/>
  <c r="AB3011" i="11"/>
  <c r="AB2985" i="11"/>
  <c r="AB3003" i="11"/>
  <c r="AC3011" i="11"/>
  <c r="AC2940" i="11"/>
  <c r="AC2967" i="11"/>
  <c r="AC2994" i="11"/>
  <c r="AC2986" i="11"/>
  <c r="AC3013" i="11"/>
  <c r="AC2863" i="11"/>
  <c r="AC2953" i="11"/>
  <c r="AC2306" i="11"/>
  <c r="AC2846" i="11"/>
  <c r="AC2972" i="11"/>
  <c r="AC1605" i="11"/>
  <c r="AC1934" i="11"/>
  <c r="AC2078" i="11"/>
  <c r="AC2222" i="11"/>
  <c r="AC2357" i="11"/>
  <c r="AC2444" i="11"/>
  <c r="AB2525" i="11"/>
  <c r="AB2597" i="11"/>
  <c r="AB2649" i="11"/>
  <c r="AB2685" i="11"/>
  <c r="AB2721" i="11"/>
  <c r="AC2739" i="11"/>
  <c r="AB2753" i="11"/>
  <c r="AC2765" i="11"/>
  <c r="AB2777" i="11"/>
  <c r="AB2787" i="11"/>
  <c r="AC2795" i="11"/>
  <c r="AB2805" i="11"/>
  <c r="AC2813" i="11"/>
  <c r="AB2823" i="11"/>
  <c r="AC2831" i="11"/>
  <c r="AB2841" i="11"/>
  <c r="AC2849" i="11"/>
  <c r="AB2859" i="11"/>
  <c r="AC2867" i="11"/>
  <c r="AB2877" i="11"/>
  <c r="AC2885" i="11"/>
  <c r="AB2895" i="11"/>
  <c r="AC2903" i="11"/>
  <c r="AB2913" i="11"/>
  <c r="AC2921" i="11"/>
  <c r="AB2931" i="11"/>
  <c r="AC2939" i="11"/>
  <c r="AB2949" i="11"/>
  <c r="AC2957" i="11"/>
  <c r="AB2967" i="11"/>
  <c r="AC2975" i="11"/>
  <c r="AC2993" i="11"/>
  <c r="AC2931" i="11"/>
  <c r="AC2958" i="11"/>
  <c r="AC2985" i="11"/>
  <c r="AC3012" i="11"/>
  <c r="AC2791" i="11"/>
  <c r="AC2854" i="11"/>
  <c r="AC2980" i="11"/>
  <c r="AB2633" i="11"/>
  <c r="AB2783" i="11"/>
  <c r="AB2837" i="11"/>
  <c r="AB2891" i="11"/>
  <c r="AB2927" i="11"/>
  <c r="AB2963" i="11"/>
  <c r="AC1684" i="11"/>
  <c r="AC1946" i="11"/>
  <c r="AC2090" i="11"/>
  <c r="AC2234" i="11"/>
  <c r="AC2365" i="11"/>
  <c r="AC2451" i="11"/>
  <c r="AB2531" i="11"/>
  <c r="AB2603" i="11"/>
  <c r="AB2651" i="11"/>
  <c r="AB2687" i="11"/>
  <c r="AB2723" i="11"/>
  <c r="AC2740" i="11"/>
  <c r="AC2753" i="11"/>
  <c r="AC2767" i="11"/>
  <c r="AC2777" i="11"/>
  <c r="AC2787" i="11"/>
  <c r="AC2796" i="11"/>
  <c r="AC2805" i="11"/>
  <c r="AC2814" i="11"/>
  <c r="AC2823" i="11"/>
  <c r="AC2832" i="11"/>
  <c r="AC2841" i="11"/>
  <c r="AC2850" i="11"/>
  <c r="AC2859" i="11"/>
  <c r="AC2868" i="11"/>
  <c r="AC2877" i="11"/>
  <c r="AC2886" i="11"/>
  <c r="AC2895" i="11"/>
  <c r="AC2904" i="11"/>
  <c r="AC2913" i="11"/>
  <c r="AC2922" i="11"/>
  <c r="AC2949" i="11"/>
  <c r="AC2976" i="11"/>
  <c r="AC3003" i="11"/>
  <c r="AC3004" i="11"/>
  <c r="AC2800" i="11"/>
  <c r="AC2881" i="11"/>
  <c r="AC2971" i="11"/>
  <c r="AB2669" i="11"/>
  <c r="AC2761" i="11"/>
  <c r="AB2945" i="11"/>
  <c r="AC2990" i="11"/>
  <c r="AC1756" i="11"/>
  <c r="AC1958" i="11"/>
  <c r="AC2102" i="11"/>
  <c r="AC2246" i="11"/>
  <c r="AC2372" i="11"/>
  <c r="AB2459" i="11"/>
  <c r="AB2537" i="11"/>
  <c r="AB2609" i="11"/>
  <c r="AB2655" i="11"/>
  <c r="AB2691" i="11"/>
  <c r="AB2727" i="11"/>
  <c r="AB2741" i="11"/>
  <c r="AB2757" i="11"/>
  <c r="AB2769" i="11"/>
  <c r="AC2778" i="11"/>
  <c r="AC2788" i="11"/>
  <c r="AC2797" i="11"/>
  <c r="AC2806" i="11"/>
  <c r="AC2815" i="11"/>
  <c r="AC2824" i="11"/>
  <c r="AC2833" i="11"/>
  <c r="AC2842" i="11"/>
  <c r="AC2851" i="11"/>
  <c r="AC2860" i="11"/>
  <c r="AC2869" i="11"/>
  <c r="AC2878" i="11"/>
  <c r="AC2887" i="11"/>
  <c r="AC2896" i="11"/>
  <c r="AC2905" i="11"/>
  <c r="AC2914" i="11"/>
  <c r="AC2923" i="11"/>
  <c r="AC2932" i="11"/>
  <c r="AC2941" i="11"/>
  <c r="AC2950" i="11"/>
  <c r="AC2959" i="11"/>
  <c r="AC2968" i="11"/>
  <c r="AC2977" i="11"/>
  <c r="AC2995" i="11"/>
  <c r="AC2809" i="11"/>
  <c r="AC2899" i="11"/>
  <c r="AC2989" i="11"/>
  <c r="AB2567" i="11"/>
  <c r="AC2733" i="11"/>
  <c r="AC2900" i="11"/>
  <c r="AC1796" i="11"/>
  <c r="AC1970" i="11"/>
  <c r="AC2114" i="11"/>
  <c r="AC2258" i="11"/>
  <c r="AC2379" i="11"/>
  <c r="AB2466" i="11"/>
  <c r="AB2543" i="11"/>
  <c r="AB2615" i="11"/>
  <c r="AB2657" i="11"/>
  <c r="AB2693" i="11"/>
  <c r="AC2727" i="11"/>
  <c r="AC2741" i="11"/>
  <c r="AC2757" i="11"/>
  <c r="AC2769" i="11"/>
  <c r="AC2779" i="11"/>
  <c r="AB2789" i="11"/>
  <c r="AC2798" i="11"/>
  <c r="AB2807" i="11"/>
  <c r="AC2816" i="11"/>
  <c r="AB2825" i="11"/>
  <c r="AC2834" i="11"/>
  <c r="AB2843" i="11"/>
  <c r="AC2852" i="11"/>
  <c r="AB2861" i="11"/>
  <c r="AC2870" i="11"/>
  <c r="AB2879" i="11"/>
  <c r="AC2888" i="11"/>
  <c r="AB2897" i="11"/>
  <c r="AC2906" i="11"/>
  <c r="AB2915" i="11"/>
  <c r="AC2924" i="11"/>
  <c r="AB2933" i="11"/>
  <c r="AC2942" i="11"/>
  <c r="AB2951" i="11"/>
  <c r="AC2960" i="11"/>
  <c r="AB2969" i="11"/>
  <c r="AC2978" i="11"/>
  <c r="AB2987" i="11"/>
  <c r="AC2996" i="11"/>
  <c r="AB3005" i="11"/>
  <c r="AC3014" i="11"/>
  <c r="AC2952" i="11"/>
  <c r="AC2979" i="11"/>
  <c r="AC3006" i="11"/>
  <c r="AB2631" i="11"/>
  <c r="AC2746" i="11"/>
  <c r="AC2818" i="11"/>
  <c r="AC2944" i="11"/>
  <c r="AC2408" i="11"/>
  <c r="AB2855" i="11"/>
  <c r="AC2882" i="11"/>
  <c r="AC1826" i="11"/>
  <c r="AC1982" i="11"/>
  <c r="AC2126" i="11"/>
  <c r="AC2270" i="11"/>
  <c r="AB2387" i="11"/>
  <c r="AC2473" i="11"/>
  <c r="AB2549" i="11"/>
  <c r="AB2621" i="11"/>
  <c r="AB2661" i="11"/>
  <c r="AB2697" i="11"/>
  <c r="AB2729" i="11"/>
  <c r="AB2745" i="11"/>
  <c r="AC2758" i="11"/>
  <c r="AC2770" i="11"/>
  <c r="AB2781" i="11"/>
  <c r="AC2789" i="11"/>
  <c r="AB2799" i="11"/>
  <c r="AC2807" i="11"/>
  <c r="AB2817" i="11"/>
  <c r="AC2825" i="11"/>
  <c r="AB2835" i="11"/>
  <c r="AC2843" i="11"/>
  <c r="AB2853" i="11"/>
  <c r="AC2861" i="11"/>
  <c r="AB2871" i="11"/>
  <c r="AC2879" i="11"/>
  <c r="AB2889" i="11"/>
  <c r="AC2897" i="11"/>
  <c r="AB2907" i="11"/>
  <c r="AC2915" i="11"/>
  <c r="AB2925" i="11"/>
  <c r="AC2933" i="11"/>
  <c r="AB2943" i="11"/>
  <c r="AC2951" i="11"/>
  <c r="AB2961" i="11"/>
  <c r="AC2969" i="11"/>
  <c r="AB2979" i="11"/>
  <c r="AC2987" i="11"/>
  <c r="AB2997" i="11"/>
  <c r="AC3005" i="11"/>
  <c r="AB15" i="11"/>
  <c r="AC2916" i="11"/>
  <c r="AC2934" i="11"/>
  <c r="AC2970" i="11"/>
  <c r="AC2988" i="11"/>
  <c r="AC15" i="11"/>
  <c r="AB2703" i="11"/>
  <c r="AC2759" i="11"/>
  <c r="AC2836" i="11"/>
  <c r="AC2926" i="11"/>
  <c r="AC1873" i="11"/>
  <c r="AC2772" i="11"/>
  <c r="AB2909" i="11"/>
  <c r="AB2999" i="11"/>
  <c r="AC1844" i="11"/>
  <c r="AC1994" i="11"/>
  <c r="AC2138" i="11"/>
  <c r="AC2282" i="11"/>
  <c r="AB2394" i="11"/>
  <c r="AC2480" i="11"/>
  <c r="AB2555" i="11"/>
  <c r="AB2627" i="11"/>
  <c r="AB2663" i="11"/>
  <c r="AB2699" i="11"/>
  <c r="AC2729" i="11"/>
  <c r="AC2745" i="11"/>
  <c r="AB2759" i="11"/>
  <c r="AB2771" i="11"/>
  <c r="AC2781" i="11"/>
  <c r="AC2790" i="11"/>
  <c r="AC2799" i="11"/>
  <c r="AC2808" i="11"/>
  <c r="AC2817" i="11"/>
  <c r="AC2826" i="11"/>
  <c r="AC2835" i="11"/>
  <c r="AC2844" i="11"/>
  <c r="AC2853" i="11"/>
  <c r="AC2862" i="11"/>
  <c r="AC2871" i="11"/>
  <c r="AC2880" i="11"/>
  <c r="AC2889" i="11"/>
  <c r="AC2898" i="11"/>
  <c r="AC2907" i="11"/>
  <c r="AC2925" i="11"/>
  <c r="AC2943" i="11"/>
  <c r="AC2961" i="11"/>
  <c r="AC2997" i="11"/>
  <c r="AB2561" i="11"/>
  <c r="AB2667" i="11"/>
  <c r="AB2733" i="11"/>
  <c r="AC2771" i="11"/>
  <c r="AC2827" i="11"/>
  <c r="AC2917" i="11"/>
  <c r="AC2998" i="11"/>
  <c r="AB2705" i="11"/>
  <c r="AB2819" i="11"/>
  <c r="AC2864" i="11"/>
  <c r="AC3008" i="11"/>
  <c r="AC1858" i="11"/>
  <c r="AC2006" i="11"/>
  <c r="AC2150" i="11"/>
  <c r="AC2294" i="11"/>
  <c r="AC2401" i="11"/>
  <c r="AC2487" i="11"/>
  <c r="AC2782" i="11"/>
  <c r="AC2890" i="11"/>
  <c r="AC3007" i="11"/>
  <c r="AB2801" i="11"/>
  <c r="AB2873" i="11"/>
  <c r="AC2918" i="11"/>
  <c r="I4" i="4"/>
  <c r="I3" i="4" s="1"/>
  <c r="G14" i="31" s="1"/>
  <c r="K514" i="8"/>
  <c r="N514" i="8" s="1"/>
  <c r="K497" i="8"/>
  <c r="N497" i="8" s="1"/>
  <c r="M52" i="24" l="1"/>
  <c r="S52" i="24" s="1"/>
  <c r="R52" i="24" s="1"/>
  <c r="M27" i="24"/>
  <c r="S27" i="24" s="1"/>
  <c r="R27" i="24" s="1"/>
  <c r="M57" i="24"/>
  <c r="S57" i="24" s="1"/>
  <c r="R57" i="24" s="1"/>
  <c r="M102" i="24"/>
  <c r="S102" i="24" s="1"/>
  <c r="R102" i="24" s="1"/>
  <c r="M62" i="24"/>
  <c r="S62" i="24" s="1"/>
  <c r="R62" i="24" s="1"/>
  <c r="M22" i="24"/>
  <c r="S22" i="24" s="1"/>
  <c r="R22" i="24" s="1"/>
  <c r="M122" i="24"/>
  <c r="S122" i="24" s="1"/>
  <c r="R122" i="24" s="1"/>
  <c r="M112" i="24"/>
  <c r="S112" i="24" s="1"/>
  <c r="R112" i="24" s="1"/>
  <c r="M92" i="24"/>
  <c r="S92" i="24" s="1"/>
  <c r="R92" i="24" s="1"/>
  <c r="M42" i="24"/>
  <c r="S42" i="24" s="1"/>
  <c r="R42" i="24" s="1"/>
  <c r="M97" i="24"/>
  <c r="S97" i="24" s="1"/>
  <c r="R97" i="24" s="1"/>
  <c r="M107" i="24"/>
  <c r="S107" i="24" s="1"/>
  <c r="R107" i="24" s="1"/>
  <c r="M12" i="24"/>
  <c r="S12" i="24" s="1"/>
  <c r="R12" i="24" s="1"/>
  <c r="M82" i="24"/>
  <c r="S82" i="24" s="1"/>
  <c r="R82" i="24" s="1"/>
  <c r="M47" i="24"/>
  <c r="S47" i="24" s="1"/>
  <c r="R47" i="24" s="1"/>
  <c r="M127" i="24"/>
  <c r="S127" i="24" s="1"/>
  <c r="R127" i="24" s="1"/>
  <c r="M87" i="24"/>
  <c r="S87" i="24" s="1"/>
  <c r="R87" i="24" s="1"/>
  <c r="M17" i="24"/>
  <c r="S17" i="24" s="1"/>
  <c r="R17" i="24" s="1"/>
  <c r="M32" i="24"/>
  <c r="S32" i="24" s="1"/>
  <c r="R32" i="24" s="1"/>
  <c r="M77" i="24"/>
  <c r="S77" i="24" s="1"/>
  <c r="R77" i="24" s="1"/>
  <c r="M37" i="24"/>
  <c r="S37" i="24" s="1"/>
  <c r="R37" i="24" s="1"/>
  <c r="M72" i="24"/>
  <c r="S72" i="24" s="1"/>
  <c r="R72" i="24" s="1"/>
  <c r="S117" i="24"/>
  <c r="R117" i="24" s="1"/>
  <c r="S67" i="24"/>
  <c r="R67" i="24" s="1"/>
  <c r="S7" i="24"/>
  <c r="R7" i="24" s="1"/>
  <c r="D4" i="11"/>
  <c r="D3" i="11"/>
  <c r="I519" i="7"/>
  <c r="I520" i="7"/>
  <c r="I511" i="7"/>
  <c r="I512" i="7"/>
  <c r="I513" i="7"/>
  <c r="I514" i="7"/>
  <c r="I515" i="7"/>
  <c r="I516" i="7"/>
  <c r="I517" i="7"/>
  <c r="I518"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22" i="7"/>
  <c r="I23" i="7"/>
  <c r="I21" i="7"/>
  <c r="I24" i="7"/>
  <c r="I25" i="7"/>
  <c r="I26" i="7"/>
  <c r="K18" i="4" l="1"/>
  <c r="K19" i="4"/>
  <c r="AB21" i="7"/>
  <c r="N19" i="18" s="1"/>
  <c r="AB22" i="7"/>
  <c r="Z31" i="11"/>
  <c r="X31" i="11" s="1"/>
  <c r="Z25" i="11"/>
  <c r="X25" i="11" s="1"/>
  <c r="Z19" i="11"/>
  <c r="Z18" i="11"/>
  <c r="Z28" i="11"/>
  <c r="X28" i="11" s="1"/>
  <c r="Z21" i="11"/>
  <c r="X21" i="11" s="1"/>
  <c r="Z16" i="11"/>
  <c r="Z15" i="11"/>
  <c r="X15" i="11" s="1"/>
  <c r="Z30" i="11"/>
  <c r="X30" i="11" s="1"/>
  <c r="Z20" i="11"/>
  <c r="Z24" i="11"/>
  <c r="X24" i="11" s="1"/>
  <c r="Z22" i="11"/>
  <c r="X22" i="11" s="1"/>
  <c r="Z27" i="11"/>
  <c r="X27" i="11" s="1"/>
  <c r="Z17" i="11"/>
  <c r="Z23" i="11"/>
  <c r="X23" i="11" s="1"/>
  <c r="Z29" i="11"/>
  <c r="X29" i="11" s="1"/>
  <c r="Z26" i="11"/>
  <c r="X26" i="11" s="1"/>
  <c r="E5" i="8"/>
  <c r="E3" i="8"/>
  <c r="H5" i="7"/>
  <c r="H3" i="7"/>
  <c r="F6" i="6"/>
  <c r="U20" i="11" l="1"/>
  <c r="X20" i="11" s="1"/>
  <c r="U19" i="11"/>
  <c r="X19" i="11" s="1"/>
  <c r="U16" i="11"/>
  <c r="X16" i="11" s="1"/>
  <c r="U18" i="11"/>
  <c r="X18" i="11" s="1"/>
  <c r="U17" i="11"/>
  <c r="X17" i="11" s="1"/>
  <c r="C5" i="4"/>
  <c r="L19" i="4" l="1"/>
  <c r="L31" i="4"/>
  <c r="L43" i="4"/>
  <c r="L55" i="4"/>
  <c r="L67" i="4"/>
  <c r="L79" i="4"/>
  <c r="L91" i="4"/>
  <c r="L103" i="4"/>
  <c r="L115" i="4"/>
  <c r="L127" i="4"/>
  <c r="L139" i="4"/>
  <c r="L151" i="4"/>
  <c r="L163" i="4"/>
  <c r="L175" i="4"/>
  <c r="L187" i="4"/>
  <c r="L199" i="4"/>
  <c r="L211" i="4"/>
  <c r="L223" i="4"/>
  <c r="L235" i="4"/>
  <c r="L247" i="4"/>
  <c r="L259" i="4"/>
  <c r="L271" i="4"/>
  <c r="L283" i="4"/>
  <c r="L295" i="4"/>
  <c r="L307" i="4"/>
  <c r="L319" i="4"/>
  <c r="L331" i="4"/>
  <c r="L343" i="4"/>
  <c r="L355" i="4"/>
  <c r="L367" i="4"/>
  <c r="L379" i="4"/>
  <c r="L391" i="4"/>
  <c r="L403" i="4"/>
  <c r="L415" i="4"/>
  <c r="L427" i="4"/>
  <c r="L439" i="4"/>
  <c r="L451" i="4"/>
  <c r="L463" i="4"/>
  <c r="L475" i="4"/>
  <c r="L487" i="4"/>
  <c r="L499" i="4"/>
  <c r="L511" i="4"/>
  <c r="L248" i="4"/>
  <c r="L320" i="4"/>
  <c r="L368" i="4"/>
  <c r="L404" i="4"/>
  <c r="L428" i="4"/>
  <c r="L464" i="4"/>
  <c r="L512" i="4"/>
  <c r="L489" i="4"/>
  <c r="L303" i="4"/>
  <c r="L40" i="4"/>
  <c r="L148" i="4"/>
  <c r="L256" i="4"/>
  <c r="L412" i="4"/>
  <c r="L472" i="4"/>
  <c r="L20" i="4"/>
  <c r="L32" i="4"/>
  <c r="L44" i="4"/>
  <c r="L56" i="4"/>
  <c r="L68" i="4"/>
  <c r="L80" i="4"/>
  <c r="L92" i="4"/>
  <c r="L104" i="4"/>
  <c r="L116" i="4"/>
  <c r="L128" i="4"/>
  <c r="L140" i="4"/>
  <c r="L152" i="4"/>
  <c r="L164" i="4"/>
  <c r="L176" i="4"/>
  <c r="L188" i="4"/>
  <c r="L200" i="4"/>
  <c r="L212" i="4"/>
  <c r="L224" i="4"/>
  <c r="L236" i="4"/>
  <c r="L260" i="4"/>
  <c r="L296" i="4"/>
  <c r="L308" i="4"/>
  <c r="L476" i="4"/>
  <c r="L477" i="4"/>
  <c r="L351" i="4"/>
  <c r="L459" i="4"/>
  <c r="L76" i="4"/>
  <c r="L184" i="4"/>
  <c r="L244" i="4"/>
  <c r="L388" i="4"/>
  <c r="L21" i="4"/>
  <c r="L33" i="4"/>
  <c r="L45" i="4"/>
  <c r="L57" i="4"/>
  <c r="L69" i="4"/>
  <c r="L81" i="4"/>
  <c r="L93" i="4"/>
  <c r="L105" i="4"/>
  <c r="L117" i="4"/>
  <c r="L129" i="4"/>
  <c r="L141" i="4"/>
  <c r="L153" i="4"/>
  <c r="L165" i="4"/>
  <c r="L177" i="4"/>
  <c r="L189" i="4"/>
  <c r="L201" i="4"/>
  <c r="L213" i="4"/>
  <c r="L225" i="4"/>
  <c r="L237" i="4"/>
  <c r="L249" i="4"/>
  <c r="L261" i="4"/>
  <c r="L273" i="4"/>
  <c r="L285" i="4"/>
  <c r="L297" i="4"/>
  <c r="L309" i="4"/>
  <c r="L321" i="4"/>
  <c r="L333" i="4"/>
  <c r="L345" i="4"/>
  <c r="L357" i="4"/>
  <c r="L369" i="4"/>
  <c r="L381" i="4"/>
  <c r="L393" i="4"/>
  <c r="L405" i="4"/>
  <c r="L417" i="4"/>
  <c r="L453" i="4"/>
  <c r="L267" i="4"/>
  <c r="L387" i="4"/>
  <c r="L507" i="4"/>
  <c r="L64" i="4"/>
  <c r="L316" i="4"/>
  <c r="L424" i="4"/>
  <c r="L484" i="4"/>
  <c r="L22" i="4"/>
  <c r="L34" i="4"/>
  <c r="L46" i="4"/>
  <c r="L58" i="4"/>
  <c r="L70" i="4"/>
  <c r="L82" i="4"/>
  <c r="L94" i="4"/>
  <c r="L106" i="4"/>
  <c r="L118" i="4"/>
  <c r="L130" i="4"/>
  <c r="L142" i="4"/>
  <c r="L154" i="4"/>
  <c r="L166" i="4"/>
  <c r="L178" i="4"/>
  <c r="L190" i="4"/>
  <c r="L202" i="4"/>
  <c r="L214" i="4"/>
  <c r="L226" i="4"/>
  <c r="L238" i="4"/>
  <c r="L250" i="4"/>
  <c r="L262" i="4"/>
  <c r="L274" i="4"/>
  <c r="L286" i="4"/>
  <c r="L298" i="4"/>
  <c r="L310" i="4"/>
  <c r="L322" i="4"/>
  <c r="L334" i="4"/>
  <c r="L346" i="4"/>
  <c r="L358" i="4"/>
  <c r="L370" i="4"/>
  <c r="L382" i="4"/>
  <c r="L394" i="4"/>
  <c r="L406" i="4"/>
  <c r="L418" i="4"/>
  <c r="L430" i="4"/>
  <c r="L442" i="4"/>
  <c r="L454" i="4"/>
  <c r="L466" i="4"/>
  <c r="L478" i="4"/>
  <c r="L490" i="4"/>
  <c r="L502" i="4"/>
  <c r="L514" i="4"/>
  <c r="L51" i="4"/>
  <c r="L243" i="4"/>
  <c r="L423" i="4"/>
  <c r="L124" i="4"/>
  <c r="L304" i="4"/>
  <c r="L448" i="4"/>
  <c r="L23" i="4"/>
  <c r="L35" i="4"/>
  <c r="L47" i="4"/>
  <c r="L59" i="4"/>
  <c r="L71" i="4"/>
  <c r="L83" i="4"/>
  <c r="L95" i="4"/>
  <c r="L107" i="4"/>
  <c r="L119" i="4"/>
  <c r="L131" i="4"/>
  <c r="L143" i="4"/>
  <c r="L155" i="4"/>
  <c r="L167" i="4"/>
  <c r="L179" i="4"/>
  <c r="L191" i="4"/>
  <c r="L203" i="4"/>
  <c r="L215" i="4"/>
  <c r="L227" i="4"/>
  <c r="L239" i="4"/>
  <c r="L251" i="4"/>
  <c r="L263" i="4"/>
  <c r="L275" i="4"/>
  <c r="L287" i="4"/>
  <c r="L299" i="4"/>
  <c r="L311" i="4"/>
  <c r="L323" i="4"/>
  <c r="L335" i="4"/>
  <c r="L347" i="4"/>
  <c r="L359" i="4"/>
  <c r="L371" i="4"/>
  <c r="L383" i="4"/>
  <c r="L395" i="4"/>
  <c r="L407" i="4"/>
  <c r="L419" i="4"/>
  <c r="L431" i="4"/>
  <c r="L443" i="4"/>
  <c r="L455" i="4"/>
  <c r="L467" i="4"/>
  <c r="L479" i="4"/>
  <c r="L491" i="4"/>
  <c r="L503" i="4"/>
  <c r="L515" i="4"/>
  <c r="L63" i="4"/>
  <c r="L135" i="4"/>
  <c r="L171" i="4"/>
  <c r="L231" i="4"/>
  <c r="L315" i="4"/>
  <c r="L411" i="4"/>
  <c r="L495" i="4"/>
  <c r="L100" i="4"/>
  <c r="L196" i="4"/>
  <c r="L280" i="4"/>
  <c r="L376" i="4"/>
  <c r="L24" i="4"/>
  <c r="L36" i="4"/>
  <c r="L48" i="4"/>
  <c r="L60" i="4"/>
  <c r="L72" i="4"/>
  <c r="L84" i="4"/>
  <c r="L96" i="4"/>
  <c r="L108" i="4"/>
  <c r="L120" i="4"/>
  <c r="L132" i="4"/>
  <c r="L144" i="4"/>
  <c r="L156" i="4"/>
  <c r="L168" i="4"/>
  <c r="L180" i="4"/>
  <c r="L192" i="4"/>
  <c r="L204" i="4"/>
  <c r="L216" i="4"/>
  <c r="L228" i="4"/>
  <c r="L240" i="4"/>
  <c r="L252" i="4"/>
  <c r="L264" i="4"/>
  <c r="L276" i="4"/>
  <c r="L288" i="4"/>
  <c r="L300" i="4"/>
  <c r="L312" i="4"/>
  <c r="L324" i="4"/>
  <c r="L336" i="4"/>
  <c r="L348" i="4"/>
  <c r="L360" i="4"/>
  <c r="L372" i="4"/>
  <c r="L384" i="4"/>
  <c r="L396" i="4"/>
  <c r="L408" i="4"/>
  <c r="L420" i="4"/>
  <c r="L432" i="4"/>
  <c r="L444" i="4"/>
  <c r="L456" i="4"/>
  <c r="L468" i="4"/>
  <c r="L480" i="4"/>
  <c r="L492" i="4"/>
  <c r="L504" i="4"/>
  <c r="L516" i="4"/>
  <c r="L39" i="4"/>
  <c r="L159" i="4"/>
  <c r="L195" i="4"/>
  <c r="L255" i="4"/>
  <c r="L291" i="4"/>
  <c r="L399" i="4"/>
  <c r="L88" i="4"/>
  <c r="L136" i="4"/>
  <c r="L160" i="4"/>
  <c r="L220" i="4"/>
  <c r="L328" i="4"/>
  <c r="L400" i="4"/>
  <c r="L508" i="4"/>
  <c r="L25" i="4"/>
  <c r="L37" i="4"/>
  <c r="L49" i="4"/>
  <c r="L61" i="4"/>
  <c r="L73" i="4"/>
  <c r="L85" i="4"/>
  <c r="L97" i="4"/>
  <c r="L109" i="4"/>
  <c r="L121" i="4"/>
  <c r="L133" i="4"/>
  <c r="L145" i="4"/>
  <c r="L157" i="4"/>
  <c r="L169" i="4"/>
  <c r="L181" i="4"/>
  <c r="L193" i="4"/>
  <c r="L205" i="4"/>
  <c r="L217" i="4"/>
  <c r="L229" i="4"/>
  <c r="L241" i="4"/>
  <c r="L253" i="4"/>
  <c r="L265" i="4"/>
  <c r="L277" i="4"/>
  <c r="L289" i="4"/>
  <c r="L301" i="4"/>
  <c r="L313" i="4"/>
  <c r="L325" i="4"/>
  <c r="L337" i="4"/>
  <c r="L349" i="4"/>
  <c r="L361" i="4"/>
  <c r="L373" i="4"/>
  <c r="L385" i="4"/>
  <c r="L397" i="4"/>
  <c r="L409" i="4"/>
  <c r="L421" i="4"/>
  <c r="L433" i="4"/>
  <c r="L445" i="4"/>
  <c r="L457" i="4"/>
  <c r="L469" i="4"/>
  <c r="L481" i="4"/>
  <c r="L493" i="4"/>
  <c r="L505" i="4"/>
  <c r="L517" i="4"/>
  <c r="L27" i="4"/>
  <c r="L87" i="4"/>
  <c r="L99" i="4"/>
  <c r="L111" i="4"/>
  <c r="L123" i="4"/>
  <c r="L147" i="4"/>
  <c r="L183" i="4"/>
  <c r="L207" i="4"/>
  <c r="L279" i="4"/>
  <c r="L375" i="4"/>
  <c r="L435" i="4"/>
  <c r="L28" i="4"/>
  <c r="L232" i="4"/>
  <c r="L352" i="4"/>
  <c r="L26" i="4"/>
  <c r="L38" i="4"/>
  <c r="L50" i="4"/>
  <c r="L62" i="4"/>
  <c r="L74" i="4"/>
  <c r="L86" i="4"/>
  <c r="L98" i="4"/>
  <c r="L110" i="4"/>
  <c r="L122" i="4"/>
  <c r="L134" i="4"/>
  <c r="L146" i="4"/>
  <c r="L158" i="4"/>
  <c r="L170" i="4"/>
  <c r="L182" i="4"/>
  <c r="L194" i="4"/>
  <c r="L206" i="4"/>
  <c r="L218" i="4"/>
  <c r="L230" i="4"/>
  <c r="L242" i="4"/>
  <c r="L254" i="4"/>
  <c r="L266" i="4"/>
  <c r="L278" i="4"/>
  <c r="L290" i="4"/>
  <c r="L302" i="4"/>
  <c r="L314" i="4"/>
  <c r="L326" i="4"/>
  <c r="L338" i="4"/>
  <c r="L350" i="4"/>
  <c r="L362" i="4"/>
  <c r="L374" i="4"/>
  <c r="L386" i="4"/>
  <c r="L398" i="4"/>
  <c r="L410" i="4"/>
  <c r="L422" i="4"/>
  <c r="L434" i="4"/>
  <c r="L446" i="4"/>
  <c r="L458" i="4"/>
  <c r="L470" i="4"/>
  <c r="L482" i="4"/>
  <c r="L494" i="4"/>
  <c r="L506" i="4"/>
  <c r="L18" i="4"/>
  <c r="L75" i="4"/>
  <c r="L219" i="4"/>
  <c r="L327" i="4"/>
  <c r="L471" i="4"/>
  <c r="L172" i="4"/>
  <c r="L340" i="4"/>
  <c r="L460" i="4"/>
  <c r="L29" i="4"/>
  <c r="L41" i="4"/>
  <c r="L53" i="4"/>
  <c r="L65" i="4"/>
  <c r="L77" i="4"/>
  <c r="L89" i="4"/>
  <c r="L101" i="4"/>
  <c r="L113" i="4"/>
  <c r="L125" i="4"/>
  <c r="L137" i="4"/>
  <c r="L149" i="4"/>
  <c r="L161" i="4"/>
  <c r="L173" i="4"/>
  <c r="L185" i="4"/>
  <c r="L197" i="4"/>
  <c r="L209" i="4"/>
  <c r="L221" i="4"/>
  <c r="L233" i="4"/>
  <c r="L245" i="4"/>
  <c r="L257" i="4"/>
  <c r="L269" i="4"/>
  <c r="L281" i="4"/>
  <c r="L293" i="4"/>
  <c r="L305" i="4"/>
  <c r="L317" i="4"/>
  <c r="L329" i="4"/>
  <c r="L341" i="4"/>
  <c r="L353" i="4"/>
  <c r="L365" i="4"/>
  <c r="L377" i="4"/>
  <c r="L389" i="4"/>
  <c r="L401" i="4"/>
  <c r="L413" i="4"/>
  <c r="L425" i="4"/>
  <c r="L437" i="4"/>
  <c r="L449" i="4"/>
  <c r="L461" i="4"/>
  <c r="L473" i="4"/>
  <c r="L485" i="4"/>
  <c r="L497" i="4"/>
  <c r="L509" i="4"/>
  <c r="L272" i="4"/>
  <c r="L344" i="4"/>
  <c r="L380" i="4"/>
  <c r="L416" i="4"/>
  <c r="L452" i="4"/>
  <c r="L500" i="4"/>
  <c r="L465" i="4"/>
  <c r="L513" i="4"/>
  <c r="L363" i="4"/>
  <c r="L447" i="4"/>
  <c r="L483" i="4"/>
  <c r="L112" i="4"/>
  <c r="L292" i="4"/>
  <c r="L436" i="4"/>
  <c r="L30" i="4"/>
  <c r="L42" i="4"/>
  <c r="L54" i="4"/>
  <c r="L66" i="4"/>
  <c r="L78" i="4"/>
  <c r="L90" i="4"/>
  <c r="L102" i="4"/>
  <c r="L114" i="4"/>
  <c r="L126" i="4"/>
  <c r="L138" i="4"/>
  <c r="L150" i="4"/>
  <c r="L162" i="4"/>
  <c r="L174" i="4"/>
  <c r="L186" i="4"/>
  <c r="L198" i="4"/>
  <c r="L210" i="4"/>
  <c r="L222" i="4"/>
  <c r="L234" i="4"/>
  <c r="L246" i="4"/>
  <c r="L258" i="4"/>
  <c r="L270" i="4"/>
  <c r="L282" i="4"/>
  <c r="L294" i="4"/>
  <c r="L306" i="4"/>
  <c r="L318" i="4"/>
  <c r="L330" i="4"/>
  <c r="L342" i="4"/>
  <c r="L354" i="4"/>
  <c r="L366" i="4"/>
  <c r="L378" i="4"/>
  <c r="L390" i="4"/>
  <c r="L402" i="4"/>
  <c r="L414" i="4"/>
  <c r="L426" i="4"/>
  <c r="L438" i="4"/>
  <c r="L450" i="4"/>
  <c r="L462" i="4"/>
  <c r="L474" i="4"/>
  <c r="L486" i="4"/>
  <c r="L498" i="4"/>
  <c r="L510" i="4"/>
  <c r="L284" i="4"/>
  <c r="L332" i="4"/>
  <c r="L356" i="4"/>
  <c r="L392" i="4"/>
  <c r="L440" i="4"/>
  <c r="L488" i="4"/>
  <c r="L429" i="4"/>
  <c r="L441" i="4"/>
  <c r="L501" i="4"/>
  <c r="L339" i="4"/>
  <c r="L52" i="4"/>
  <c r="L208" i="4"/>
  <c r="L268" i="4"/>
  <c r="L364" i="4"/>
  <c r="L496" i="4"/>
  <c r="E19" i="4"/>
  <c r="E12" i="4" s="1"/>
  <c r="L124" i="6" l="1"/>
  <c r="M124" i="6" s="1"/>
  <c r="I453" i="6"/>
  <c r="L164" i="6"/>
  <c r="M164" i="6" s="1"/>
  <c r="L453" i="6"/>
  <c r="M453" i="6" s="1"/>
  <c r="L239" i="6"/>
  <c r="M239" i="6" s="1"/>
  <c r="L354" i="6"/>
  <c r="M354" i="6" s="1"/>
  <c r="L519" i="6"/>
  <c r="M519" i="6" s="1"/>
  <c r="L463" i="6"/>
  <c r="M463" i="6" s="1"/>
  <c r="I205" i="6"/>
  <c r="L421" i="6"/>
  <c r="M421" i="6" s="1"/>
  <c r="I193" i="6"/>
  <c r="L400" i="6"/>
  <c r="M400" i="6" s="1"/>
  <c r="L309" i="6"/>
  <c r="M309" i="6" s="1"/>
  <c r="I286" i="6"/>
  <c r="L334" i="6"/>
  <c r="M334" i="6" s="1"/>
  <c r="I223" i="6"/>
  <c r="L294" i="6"/>
  <c r="M294" i="6" s="1"/>
  <c r="I120" i="6"/>
  <c r="L211" i="6"/>
  <c r="M211" i="6" s="1"/>
  <c r="L118" i="6"/>
  <c r="M118" i="6" s="1"/>
  <c r="I171" i="6"/>
  <c r="L317" i="6"/>
  <c r="M317" i="6" s="1"/>
  <c r="L494" i="6"/>
  <c r="M494" i="6" s="1"/>
  <c r="I270" i="6"/>
  <c r="L51" i="6"/>
  <c r="I235" i="6"/>
  <c r="L221" i="6"/>
  <c r="M221" i="6" s="1"/>
  <c r="I393" i="6"/>
  <c r="L508" i="6"/>
  <c r="M508" i="6" s="1"/>
  <c r="L198" i="6"/>
  <c r="M198" i="6" s="1"/>
  <c r="I122" i="6"/>
  <c r="I89" i="6"/>
  <c r="I349" i="6"/>
  <c r="L489" i="6"/>
  <c r="M489" i="6" s="1"/>
  <c r="I75" i="6"/>
  <c r="L169" i="6"/>
  <c r="M169" i="6" s="1"/>
  <c r="I380" i="6"/>
  <c r="I206" i="6"/>
  <c r="I240" i="6"/>
  <c r="L237" i="6"/>
  <c r="M237" i="6" s="1"/>
  <c r="I93" i="6"/>
  <c r="I58" i="6"/>
  <c r="I230" i="6"/>
  <c r="I180" i="6"/>
  <c r="L37" i="6"/>
  <c r="I384" i="6"/>
  <c r="I405" i="6"/>
  <c r="I322" i="6"/>
  <c r="I149" i="6"/>
  <c r="I55" i="6"/>
  <c r="I423" i="6"/>
  <c r="I222" i="6"/>
  <c r="I372" i="6"/>
  <c r="I175" i="6"/>
  <c r="L467" i="6"/>
  <c r="M467" i="6" s="1"/>
  <c r="L151" i="6"/>
  <c r="M151" i="6" s="1"/>
  <c r="I105" i="6"/>
  <c r="L351" i="6"/>
  <c r="M351" i="6" s="1"/>
  <c r="I410" i="6"/>
  <c r="L391" i="6"/>
  <c r="M391" i="6" s="1"/>
  <c r="L209" i="6"/>
  <c r="M209" i="6" s="1"/>
  <c r="I355" i="6"/>
  <c r="L76" i="6"/>
  <c r="M76" i="6" s="1"/>
  <c r="I375" i="6"/>
  <c r="I255" i="6"/>
  <c r="L504" i="6"/>
  <c r="M504" i="6" s="1"/>
  <c r="I446" i="6"/>
  <c r="L210" i="6"/>
  <c r="M210" i="6" s="1"/>
  <c r="L196" i="6"/>
  <c r="M196" i="6" s="1"/>
  <c r="I203" i="6"/>
  <c r="I46" i="6"/>
  <c r="I57" i="6"/>
  <c r="L130" i="6"/>
  <c r="M130" i="6" s="1"/>
  <c r="L438" i="6"/>
  <c r="M438" i="6" s="1"/>
  <c r="L491" i="6"/>
  <c r="M491" i="6" s="1"/>
  <c r="I447" i="6"/>
  <c r="L159" i="6"/>
  <c r="M159" i="6" s="1"/>
  <c r="I363" i="6"/>
  <c r="L141" i="6"/>
  <c r="M141" i="6" s="1"/>
  <c r="L131" i="6"/>
  <c r="M131" i="6" s="1"/>
  <c r="L471" i="6"/>
  <c r="M471" i="6" s="1"/>
  <c r="I35" i="6"/>
  <c r="L458" i="6"/>
  <c r="M458" i="6" s="1"/>
  <c r="L129" i="6"/>
  <c r="M129" i="6" s="1"/>
  <c r="L396" i="6"/>
  <c r="M396" i="6" s="1"/>
  <c r="I207" i="6"/>
  <c r="I112" i="6"/>
  <c r="I227" i="6"/>
  <c r="L40" i="6"/>
  <c r="L431" i="6"/>
  <c r="M431" i="6" s="1"/>
  <c r="I152" i="6"/>
  <c r="I32" i="6"/>
  <c r="I73" i="6"/>
  <c r="I188" i="6"/>
  <c r="I39" i="6"/>
  <c r="L84" i="6"/>
  <c r="M84" i="6" s="1"/>
  <c r="L365" i="6"/>
  <c r="M365" i="6" s="1"/>
  <c r="I162" i="6"/>
  <c r="L266" i="6"/>
  <c r="M266" i="6" s="1"/>
  <c r="I383" i="6"/>
  <c r="L314" i="6"/>
  <c r="M314" i="6" s="1"/>
  <c r="I445" i="6"/>
  <c r="L244" i="6"/>
  <c r="M244" i="6" s="1"/>
  <c r="I463" i="6"/>
  <c r="I309" i="6"/>
  <c r="L96" i="6"/>
  <c r="M96" i="6" s="1"/>
  <c r="L326" i="6"/>
  <c r="M326" i="6" s="1"/>
  <c r="I519" i="6"/>
  <c r="I316" i="6"/>
  <c r="L193" i="6"/>
  <c r="M193" i="6" s="1"/>
  <c r="I285" i="6"/>
  <c r="I400" i="6"/>
  <c r="I515" i="6"/>
  <c r="I67" i="6"/>
  <c r="L223" i="6"/>
  <c r="M223" i="6" s="1"/>
  <c r="I476" i="6"/>
  <c r="I211" i="6"/>
  <c r="L171" i="6"/>
  <c r="M171" i="6" s="1"/>
  <c r="I145" i="6"/>
  <c r="I306" i="6"/>
  <c r="I437" i="6"/>
  <c r="I36" i="6"/>
  <c r="I119" i="6"/>
  <c r="I317" i="6"/>
  <c r="I432" i="6"/>
  <c r="L284" i="6"/>
  <c r="M284" i="6" s="1"/>
  <c r="L270" i="6"/>
  <c r="M270" i="6" s="1"/>
  <c r="I147" i="6"/>
  <c r="I508" i="6"/>
  <c r="I382" i="6"/>
  <c r="I500" i="6"/>
  <c r="I296" i="6"/>
  <c r="I426" i="6"/>
  <c r="L154" i="6"/>
  <c r="M154" i="6" s="1"/>
  <c r="L384" i="6"/>
  <c r="M384" i="6" s="1"/>
  <c r="L423" i="6"/>
  <c r="M423" i="6" s="1"/>
  <c r="I95" i="6"/>
  <c r="L248" i="6"/>
  <c r="M248" i="6" s="1"/>
  <c r="L493" i="6"/>
  <c r="M493" i="6" s="1"/>
  <c r="I166" i="6"/>
  <c r="I347" i="6"/>
  <c r="L74" i="6"/>
  <c r="M74" i="6" s="1"/>
  <c r="L234" i="6"/>
  <c r="M234" i="6" s="1"/>
  <c r="I493" i="6"/>
  <c r="L219" i="6"/>
  <c r="M219" i="6" s="1"/>
  <c r="I315" i="6"/>
  <c r="L430" i="6"/>
  <c r="M430" i="6" s="1"/>
  <c r="I50" i="6"/>
  <c r="L415" i="6"/>
  <c r="M415" i="6" s="1"/>
  <c r="L378" i="6"/>
  <c r="M378" i="6" s="1"/>
  <c r="L340" i="6"/>
  <c r="M340" i="6" s="1"/>
  <c r="I289" i="6"/>
  <c r="I199" i="6"/>
  <c r="L293" i="6"/>
  <c r="M293" i="6" s="1"/>
  <c r="L486" i="6"/>
  <c r="M486" i="6" s="1"/>
  <c r="I389" i="6"/>
  <c r="L297" i="6"/>
  <c r="M297" i="6" s="1"/>
  <c r="L510" i="6"/>
  <c r="M510" i="6" s="1"/>
  <c r="L263" i="6"/>
  <c r="M263" i="6" s="1"/>
  <c r="I507" i="6"/>
  <c r="L455" i="6"/>
  <c r="M455" i="6" s="1"/>
  <c r="L43" i="6"/>
  <c r="L273" i="6"/>
  <c r="M273" i="6" s="1"/>
  <c r="L70" i="6"/>
  <c r="I261" i="6"/>
  <c r="L173" i="6"/>
  <c r="M173" i="6" s="1"/>
  <c r="L138" i="6"/>
  <c r="M138" i="6" s="1"/>
  <c r="I38" i="6"/>
  <c r="L220" i="6"/>
  <c r="M220" i="6" s="1"/>
  <c r="I267" i="6"/>
  <c r="I236" i="6"/>
  <c r="L217" i="6"/>
  <c r="M217" i="6" s="1"/>
  <c r="I116" i="6"/>
  <c r="I452" i="6"/>
  <c r="L123" i="6"/>
  <c r="M123" i="6" s="1"/>
  <c r="I238" i="6"/>
  <c r="L353" i="6"/>
  <c r="M353" i="6" s="1"/>
  <c r="I440" i="6"/>
  <c r="L343" i="6"/>
  <c r="M343" i="6" s="1"/>
  <c r="I117" i="6"/>
  <c r="L83" i="6"/>
  <c r="M83" i="6" s="1"/>
  <c r="I373" i="6"/>
  <c r="I308" i="6"/>
  <c r="I209" i="6"/>
  <c r="L355" i="6"/>
  <c r="M355" i="6" s="1"/>
  <c r="I477" i="6"/>
  <c r="I76" i="6"/>
  <c r="L469" i="6"/>
  <c r="M469" i="6" s="1"/>
  <c r="L140" i="6"/>
  <c r="M140" i="6" s="1"/>
  <c r="L60" i="6"/>
  <c r="L446" i="6"/>
  <c r="M446" i="6" s="1"/>
  <c r="I137" i="6"/>
  <c r="I196" i="6"/>
  <c r="L203" i="6"/>
  <c r="M203" i="6" s="1"/>
  <c r="L57" i="6"/>
  <c r="I438" i="6"/>
  <c r="L447" i="6"/>
  <c r="M447" i="6" s="1"/>
  <c r="I159" i="6"/>
  <c r="I197" i="6"/>
  <c r="I478" i="6"/>
  <c r="L97" i="6"/>
  <c r="M97" i="6" s="1"/>
  <c r="L59" i="6"/>
  <c r="I427" i="6"/>
  <c r="I458" i="6"/>
  <c r="I422" i="6"/>
  <c r="I129" i="6"/>
  <c r="I396" i="6"/>
  <c r="L136" i="6"/>
  <c r="M136" i="6" s="1"/>
  <c r="L414" i="6"/>
  <c r="M414" i="6" s="1"/>
  <c r="L34" i="6"/>
  <c r="I72" i="6"/>
  <c r="L233" i="6"/>
  <c r="M233" i="6" s="1"/>
  <c r="L511" i="6"/>
  <c r="M511" i="6" s="1"/>
  <c r="L428" i="6"/>
  <c r="M428" i="6" s="1"/>
  <c r="L429" i="6"/>
  <c r="M429" i="6" s="1"/>
  <c r="L386" i="6"/>
  <c r="M386" i="6" s="1"/>
  <c r="I269" i="6"/>
  <c r="I499" i="6"/>
  <c r="I47" i="6"/>
  <c r="I125" i="6"/>
  <c r="I219" i="6"/>
  <c r="I216" i="6"/>
  <c r="L315" i="6"/>
  <c r="M315" i="6" s="1"/>
  <c r="I430" i="6"/>
  <c r="L464" i="6"/>
  <c r="M464" i="6" s="1"/>
  <c r="I415" i="6"/>
  <c r="L341" i="6"/>
  <c r="M341" i="6" s="1"/>
  <c r="I378" i="6"/>
  <c r="I69" i="6"/>
  <c r="I340" i="6"/>
  <c r="I506" i="6"/>
  <c r="L241" i="6"/>
  <c r="M241" i="6" s="1"/>
  <c r="L289" i="6"/>
  <c r="M289" i="6" s="1"/>
  <c r="L199" i="6"/>
  <c r="M199" i="6" s="1"/>
  <c r="I293" i="6"/>
  <c r="L81" i="6"/>
  <c r="M81" i="6" s="1"/>
  <c r="I486" i="6"/>
  <c r="L389" i="6"/>
  <c r="M389" i="6" s="1"/>
  <c r="L78" i="6"/>
  <c r="M78" i="6" s="1"/>
  <c r="I510" i="6"/>
  <c r="I339" i="6"/>
  <c r="I263" i="6"/>
  <c r="I249" i="6"/>
  <c r="I435" i="6"/>
  <c r="L101" i="6"/>
  <c r="M101" i="6" s="1"/>
  <c r="I273" i="6"/>
  <c r="L144" i="6"/>
  <c r="M144" i="6" s="1"/>
  <c r="L224" i="6"/>
  <c r="M224" i="6" s="1"/>
  <c r="I336" i="6"/>
  <c r="I467" i="6"/>
  <c r="L261" i="6"/>
  <c r="M261" i="6" s="1"/>
  <c r="I173" i="6"/>
  <c r="L38" i="6"/>
  <c r="L436" i="6"/>
  <c r="M436" i="6" s="1"/>
  <c r="L505" i="6"/>
  <c r="M505" i="6" s="1"/>
  <c r="L267" i="6"/>
  <c r="M267" i="6" s="1"/>
  <c r="L54" i="6"/>
  <c r="L236" i="6"/>
  <c r="M236" i="6" s="1"/>
  <c r="I360" i="6"/>
  <c r="I217" i="6"/>
  <c r="L410" i="6"/>
  <c r="M410" i="6" s="1"/>
  <c r="L116" i="6"/>
  <c r="M116" i="6" s="1"/>
  <c r="L24" i="6"/>
  <c r="M24" i="6" s="1"/>
  <c r="I353" i="6"/>
  <c r="I468" i="6"/>
  <c r="L440" i="6"/>
  <c r="M440" i="6" s="1"/>
  <c r="I343" i="6"/>
  <c r="L117" i="6"/>
  <c r="M117" i="6" s="1"/>
  <c r="I83" i="6"/>
  <c r="L373" i="6"/>
  <c r="M373" i="6" s="1"/>
  <c r="L56" i="6"/>
  <c r="L488" i="6"/>
  <c r="M488" i="6" s="1"/>
  <c r="I96" i="6"/>
  <c r="L243" i="6"/>
  <c r="M243" i="6" s="1"/>
  <c r="L148" i="6"/>
  <c r="M148" i="6" s="1"/>
  <c r="I274" i="6"/>
  <c r="L135" i="6"/>
  <c r="M135" i="6" s="1"/>
  <c r="L448" i="6"/>
  <c r="M448" i="6" s="1"/>
  <c r="L352" i="6"/>
  <c r="M352" i="6" s="1"/>
  <c r="L342" i="6"/>
  <c r="M342" i="6" s="1"/>
  <c r="L417" i="6"/>
  <c r="M417" i="6" s="1"/>
  <c r="I31" i="6"/>
  <c r="I201" i="6"/>
  <c r="L215" i="6"/>
  <c r="M215" i="6" s="1"/>
  <c r="I212" i="6"/>
  <c r="I334" i="6"/>
  <c r="L361" i="6"/>
  <c r="M361" i="6" s="1"/>
  <c r="L382" i="6"/>
  <c r="M382" i="6" s="1"/>
  <c r="L357" i="6"/>
  <c r="M357" i="6" s="1"/>
  <c r="I64" i="6"/>
  <c r="L403" i="6"/>
  <c r="M403" i="6" s="1"/>
  <c r="L407" i="6"/>
  <c r="M407" i="6" s="1"/>
  <c r="L258" i="6"/>
  <c r="M258" i="6" s="1"/>
  <c r="I174" i="6"/>
  <c r="L369" i="6"/>
  <c r="M369" i="6" s="1"/>
  <c r="L312" i="6"/>
  <c r="M312" i="6" s="1"/>
  <c r="L132" i="6"/>
  <c r="M132" i="6" s="1"/>
  <c r="I357" i="6"/>
  <c r="L94" i="6"/>
  <c r="M94" i="6" s="1"/>
  <c r="L304" i="6"/>
  <c r="M304" i="6" s="1"/>
  <c r="I259" i="6"/>
  <c r="I187" i="6"/>
  <c r="L139" i="6"/>
  <c r="M139" i="6" s="1"/>
  <c r="L48" i="6"/>
  <c r="I287" i="6"/>
  <c r="I482" i="6"/>
  <c r="L168" i="6"/>
  <c r="M168" i="6" s="1"/>
  <c r="L264" i="6"/>
  <c r="M264" i="6" s="1"/>
  <c r="I98" i="6"/>
  <c r="I189" i="6"/>
  <c r="I483" i="6"/>
  <c r="L344" i="6"/>
  <c r="M344" i="6" s="1"/>
  <c r="I443" i="6"/>
  <c r="I451" i="6"/>
  <c r="L487" i="6"/>
  <c r="M487" i="6" s="1"/>
  <c r="I473" i="6"/>
  <c r="L254" i="6"/>
  <c r="M254" i="6" s="1"/>
  <c r="L470" i="6"/>
  <c r="M470" i="6" s="1"/>
  <c r="I28" i="6"/>
  <c r="I420" i="6"/>
  <c r="I503" i="6"/>
  <c r="L44" i="6"/>
  <c r="I198" i="6"/>
  <c r="L89" i="6"/>
  <c r="M89" i="6" s="1"/>
  <c r="L349" i="6"/>
  <c r="M349" i="6" s="1"/>
  <c r="I489" i="6"/>
  <c r="I472" i="6"/>
  <c r="L190" i="6"/>
  <c r="M190" i="6" s="1"/>
  <c r="I169" i="6"/>
  <c r="L206" i="6"/>
  <c r="M206" i="6" s="1"/>
  <c r="I237" i="6"/>
  <c r="L238" i="6"/>
  <c r="M238" i="6" s="1"/>
  <c r="I292" i="6"/>
  <c r="I319" i="6"/>
  <c r="L484" i="6"/>
  <c r="M484" i="6" s="1"/>
  <c r="L388" i="6"/>
  <c r="M388" i="6" s="1"/>
  <c r="L277" i="6"/>
  <c r="M277" i="6" s="1"/>
  <c r="I63" i="6"/>
  <c r="L474" i="6"/>
  <c r="M474" i="6" s="1"/>
  <c r="L259" i="6"/>
  <c r="M259" i="6" s="1"/>
  <c r="L288" i="6"/>
  <c r="M288" i="6" s="1"/>
  <c r="I232" i="6"/>
  <c r="I335" i="6"/>
  <c r="I139" i="6"/>
  <c r="I62" i="6"/>
  <c r="L287" i="6"/>
  <c r="M287" i="6" s="1"/>
  <c r="L482" i="6"/>
  <c r="M482" i="6" s="1"/>
  <c r="I85" i="6"/>
  <c r="L98" i="6"/>
  <c r="M98" i="6" s="1"/>
  <c r="L434" i="6"/>
  <c r="M434" i="6" s="1"/>
  <c r="I282" i="6"/>
  <c r="I388" i="6"/>
  <c r="I252" i="6"/>
  <c r="L483" i="6"/>
  <c r="M483" i="6" s="1"/>
  <c r="L425" i="6"/>
  <c r="M425" i="6" s="1"/>
  <c r="L394" i="6"/>
  <c r="M394" i="6" s="1"/>
  <c r="L61" i="6"/>
  <c r="I49" i="6"/>
  <c r="I242" i="6"/>
  <c r="I133" i="6"/>
  <c r="I299" i="6"/>
  <c r="L146" i="6"/>
  <c r="M146" i="6" s="1"/>
  <c r="I109" i="6"/>
  <c r="I233" i="6"/>
  <c r="I511" i="6"/>
  <c r="L278" i="6"/>
  <c r="M278" i="6" s="1"/>
  <c r="L345" i="6"/>
  <c r="M345" i="6" s="1"/>
  <c r="L26" i="6"/>
  <c r="M26" i="6" s="1"/>
  <c r="I127" i="6"/>
  <c r="I320" i="6"/>
  <c r="I253" i="6"/>
  <c r="I485" i="6"/>
  <c r="L156" i="6"/>
  <c r="M156" i="6" s="1"/>
  <c r="L271" i="6"/>
  <c r="M271" i="6" s="1"/>
  <c r="I386" i="6"/>
  <c r="L397" i="6"/>
  <c r="M397" i="6" s="1"/>
  <c r="L454" i="6"/>
  <c r="M454" i="6" s="1"/>
  <c r="L88" i="6"/>
  <c r="M88" i="6" s="1"/>
  <c r="I113" i="6"/>
  <c r="I350" i="6"/>
  <c r="I497" i="6"/>
  <c r="I163" i="6"/>
  <c r="I310" i="6"/>
  <c r="L492" i="6"/>
  <c r="M492" i="6" s="1"/>
  <c r="L227" i="6"/>
  <c r="M227" i="6" s="1"/>
  <c r="I496" i="6"/>
  <c r="I40" i="6"/>
  <c r="I155" i="6"/>
  <c r="I295" i="6"/>
  <c r="I327" i="6"/>
  <c r="L517" i="6"/>
  <c r="M517" i="6" s="1"/>
  <c r="L73" i="6"/>
  <c r="M73" i="6" s="1"/>
  <c r="L188" i="6"/>
  <c r="M188" i="6" s="1"/>
  <c r="I303" i="6"/>
  <c r="L418" i="6"/>
  <c r="M418" i="6" s="1"/>
  <c r="I160" i="6"/>
  <c r="L367" i="6"/>
  <c r="M367" i="6" s="1"/>
  <c r="L401" i="6"/>
  <c r="M401" i="6" s="1"/>
  <c r="L104" i="6"/>
  <c r="M104" i="6" s="1"/>
  <c r="L214" i="6"/>
  <c r="M214" i="6" s="1"/>
  <c r="L39" i="6"/>
  <c r="L313" i="6"/>
  <c r="M313" i="6" s="1"/>
  <c r="I213" i="6"/>
  <c r="I280" i="6"/>
  <c r="I379" i="6"/>
  <c r="L512" i="6"/>
  <c r="M512" i="6" s="1"/>
  <c r="I346" i="6"/>
  <c r="I456" i="6"/>
  <c r="I167" i="6"/>
  <c r="L250" i="6"/>
  <c r="M250" i="6" s="1"/>
  <c r="I365" i="6"/>
  <c r="L392" i="6"/>
  <c r="M392" i="6" s="1"/>
  <c r="I99" i="6"/>
  <c r="I100" i="6"/>
  <c r="I183" i="6"/>
  <c r="L381" i="6"/>
  <c r="M381" i="6" s="1"/>
  <c r="L328" i="6"/>
  <c r="M328" i="6" s="1"/>
  <c r="L318" i="6"/>
  <c r="M318" i="6" s="1"/>
  <c r="I481" i="6"/>
  <c r="I86" i="6"/>
  <c r="I153" i="6"/>
  <c r="L383" i="6"/>
  <c r="M383" i="6" s="1"/>
  <c r="L157" i="6"/>
  <c r="M157" i="6" s="1"/>
  <c r="L451" i="6"/>
  <c r="M451" i="6" s="1"/>
  <c r="L368" i="6"/>
  <c r="M368" i="6" s="1"/>
  <c r="L276" i="6"/>
  <c r="M276" i="6" s="1"/>
  <c r="I368" i="6"/>
  <c r="L432" i="6"/>
  <c r="M432" i="6" s="1"/>
  <c r="I348" i="6"/>
  <c r="L64" i="6"/>
  <c r="I179" i="6"/>
  <c r="I247" i="6"/>
  <c r="I403" i="6"/>
  <c r="I407" i="6"/>
  <c r="I110" i="6"/>
  <c r="L424" i="6"/>
  <c r="M424" i="6" s="1"/>
  <c r="I177" i="6"/>
  <c r="I103" i="6"/>
  <c r="L186" i="6"/>
  <c r="M186" i="6" s="1"/>
  <c r="I416" i="6"/>
  <c r="I204" i="6"/>
  <c r="L291" i="6"/>
  <c r="M291" i="6" s="1"/>
  <c r="L307" i="6"/>
  <c r="M307" i="6" s="1"/>
  <c r="I300" i="6"/>
  <c r="L479" i="6"/>
  <c r="M479" i="6" s="1"/>
  <c r="I23" i="6"/>
  <c r="L359" i="6"/>
  <c r="M359" i="6" s="1"/>
  <c r="L356" i="6"/>
  <c r="M356" i="6" s="1"/>
  <c r="L439" i="6"/>
  <c r="M439" i="6" s="1"/>
  <c r="I495" i="6"/>
  <c r="I161" i="6"/>
  <c r="I135" i="6"/>
  <c r="I333" i="6"/>
  <c r="L459" i="6"/>
  <c r="M459" i="6" s="1"/>
  <c r="L409" i="6"/>
  <c r="M409" i="6" s="1"/>
  <c r="I387" i="6"/>
  <c r="L442" i="6"/>
  <c r="M442" i="6" s="1"/>
  <c r="I229" i="6"/>
  <c r="L296" i="6"/>
  <c r="M296" i="6" s="1"/>
  <c r="I395" i="6"/>
  <c r="I245" i="6"/>
  <c r="I215" i="6"/>
  <c r="L216" i="6"/>
  <c r="M216" i="6" s="1"/>
  <c r="L457" i="6"/>
  <c r="M457" i="6" s="1"/>
  <c r="L229" i="6"/>
  <c r="M229" i="6" s="1"/>
  <c r="L395" i="6"/>
  <c r="M395" i="6" s="1"/>
  <c r="L480" i="6"/>
  <c r="M480" i="6" s="1"/>
  <c r="L245" i="6"/>
  <c r="M245" i="6" s="1"/>
  <c r="I411" i="6"/>
  <c r="I132" i="6"/>
  <c r="I185" i="6"/>
  <c r="L443" i="6"/>
  <c r="M443" i="6" s="1"/>
  <c r="L63" i="6"/>
  <c r="L182" i="6"/>
  <c r="M182" i="6" s="1"/>
  <c r="L320" i="6"/>
  <c r="M320" i="6" s="1"/>
  <c r="I326" i="6"/>
  <c r="L128" i="6"/>
  <c r="M128" i="6" s="1"/>
  <c r="I243" i="6"/>
  <c r="L28" i="6"/>
  <c r="L503" i="6"/>
  <c r="M503" i="6" s="1"/>
  <c r="L228" i="6"/>
  <c r="M228" i="6" s="1"/>
  <c r="L456" i="6"/>
  <c r="M456" i="6" s="1"/>
  <c r="I42" i="6"/>
  <c r="L404" i="6"/>
  <c r="M404" i="6" s="1"/>
  <c r="L412" i="6"/>
  <c r="M412" i="6" s="1"/>
  <c r="L473" i="6"/>
  <c r="M473" i="6" s="1"/>
  <c r="I377" i="6"/>
  <c r="L30" i="6"/>
  <c r="L260" i="6"/>
  <c r="M260" i="6" s="1"/>
  <c r="I26" i="6"/>
  <c r="I399" i="6"/>
  <c r="L327" i="6"/>
  <c r="M327" i="6" s="1"/>
  <c r="L379" i="6"/>
  <c r="M379" i="6" s="1"/>
  <c r="L364" i="6"/>
  <c r="M364" i="6" s="1"/>
  <c r="L184" i="6"/>
  <c r="M184" i="6" s="1"/>
  <c r="L218" i="6"/>
  <c r="M218" i="6" s="1"/>
  <c r="L174" i="6"/>
  <c r="M174" i="6" s="1"/>
  <c r="I268" i="6"/>
  <c r="L295" i="6"/>
  <c r="M295" i="6" s="1"/>
  <c r="L376" i="6"/>
  <c r="M376" i="6" s="1"/>
  <c r="L268" i="6"/>
  <c r="M268" i="6" s="1"/>
  <c r="L120" i="6"/>
  <c r="M120" i="6" s="1"/>
  <c r="L324" i="6"/>
  <c r="M324" i="6" s="1"/>
  <c r="I272" i="6"/>
  <c r="I356" i="6"/>
  <c r="L281" i="6"/>
  <c r="M281" i="6" s="1"/>
  <c r="I146" i="6"/>
  <c r="L195" i="6"/>
  <c r="M195" i="6" s="1"/>
  <c r="I450" i="6"/>
  <c r="I328" i="6"/>
  <c r="L86" i="6"/>
  <c r="M86" i="6" s="1"/>
  <c r="I329" i="6"/>
  <c r="L179" i="6"/>
  <c r="M179" i="6" s="1"/>
  <c r="I290" i="6"/>
  <c r="I490" i="6"/>
  <c r="L110" i="6"/>
  <c r="M110" i="6" s="1"/>
  <c r="I256" i="6"/>
  <c r="L177" i="6"/>
  <c r="M177" i="6" s="1"/>
  <c r="L103" i="6"/>
  <c r="M103" i="6" s="1"/>
  <c r="I186" i="6"/>
  <c r="I307" i="6"/>
  <c r="L257" i="6"/>
  <c r="M257" i="6" s="1"/>
  <c r="L298" i="6"/>
  <c r="M298" i="6" s="1"/>
  <c r="L33" i="6"/>
  <c r="I148" i="6"/>
  <c r="L143" i="6"/>
  <c r="M143" i="6" s="1"/>
  <c r="L350" i="6"/>
  <c r="M350" i="6" s="1"/>
  <c r="L155" i="6"/>
  <c r="M155" i="6" s="1"/>
  <c r="L280" i="6"/>
  <c r="M280" i="6" s="1"/>
  <c r="I250" i="6"/>
  <c r="I381" i="6"/>
  <c r="L516" i="6"/>
  <c r="M516" i="6" s="1"/>
  <c r="L108" i="6"/>
  <c r="M108" i="6" s="1"/>
  <c r="L422" i="6"/>
  <c r="M422" i="6" s="1"/>
  <c r="I516" i="6"/>
  <c r="I108" i="6"/>
  <c r="I136" i="6"/>
  <c r="I182" i="6"/>
  <c r="L502" i="6"/>
  <c r="M502" i="6" s="1"/>
  <c r="I21" i="6"/>
  <c r="I297" i="6"/>
  <c r="I138" i="6"/>
  <c r="I74" i="6"/>
  <c r="L269" i="6"/>
  <c r="M269" i="6" s="1"/>
  <c r="I126" i="6"/>
  <c r="I106" i="6"/>
  <c r="L302" i="6"/>
  <c r="M302" i="6" s="1"/>
  <c r="L166" i="6"/>
  <c r="M166" i="6" s="1"/>
  <c r="L265" i="6"/>
  <c r="M265" i="6" s="1"/>
  <c r="I344" i="6"/>
  <c r="L275" i="6"/>
  <c r="M275" i="6" s="1"/>
  <c r="L255" i="6"/>
  <c r="M255" i="6" s="1"/>
  <c r="L172" i="6"/>
  <c r="M172" i="6" s="1"/>
  <c r="I509" i="6"/>
  <c r="I45" i="6"/>
  <c r="L242" i="6"/>
  <c r="M242" i="6" s="1"/>
  <c r="L207" i="6"/>
  <c r="M207" i="6" s="1"/>
  <c r="I376" i="6"/>
  <c r="I364" i="6"/>
  <c r="I498" i="6"/>
  <c r="L133" i="6"/>
  <c r="M133" i="6" s="1"/>
  <c r="I200" i="6"/>
  <c r="L299" i="6"/>
  <c r="M299" i="6" s="1"/>
  <c r="I34" i="6"/>
  <c r="I518" i="6"/>
  <c r="I428" i="6"/>
  <c r="I278" i="6"/>
  <c r="L460" i="6"/>
  <c r="M460" i="6" s="1"/>
  <c r="I80" i="6"/>
  <c r="I429" i="6"/>
  <c r="L127" i="6"/>
  <c r="M127" i="6" s="1"/>
  <c r="L311" i="6"/>
  <c r="M311" i="6" s="1"/>
  <c r="L253" i="6"/>
  <c r="M253" i="6" s="1"/>
  <c r="L41" i="6"/>
  <c r="I156" i="6"/>
  <c r="I271" i="6"/>
  <c r="I397" i="6"/>
  <c r="L113" i="6"/>
  <c r="M113" i="6" s="1"/>
  <c r="L191" i="6"/>
  <c r="M191" i="6" s="1"/>
  <c r="L497" i="6"/>
  <c r="M497" i="6" s="1"/>
  <c r="L163" i="6"/>
  <c r="M163" i="6" s="1"/>
  <c r="L310" i="6"/>
  <c r="M310" i="6" s="1"/>
  <c r="I492" i="6"/>
  <c r="L496" i="6"/>
  <c r="M496" i="6" s="1"/>
  <c r="I517" i="6"/>
  <c r="L303" i="6"/>
  <c r="M303" i="6" s="1"/>
  <c r="I418" i="6"/>
  <c r="L160" i="6"/>
  <c r="M160" i="6" s="1"/>
  <c r="I104" i="6"/>
  <c r="I449" i="6"/>
  <c r="I214" i="6"/>
  <c r="I313" i="6"/>
  <c r="L213" i="6"/>
  <c r="M213" i="6" s="1"/>
  <c r="I512" i="6"/>
  <c r="I84" i="6"/>
  <c r="L167" i="6"/>
  <c r="M167" i="6" s="1"/>
  <c r="I392" i="6"/>
  <c r="L99" i="6"/>
  <c r="M99" i="6" s="1"/>
  <c r="L100" i="6"/>
  <c r="M100" i="6" s="1"/>
  <c r="L183" i="6"/>
  <c r="M183" i="6" s="1"/>
  <c r="I318" i="6"/>
  <c r="L481" i="6"/>
  <c r="M481" i="6" s="1"/>
  <c r="L153" i="6"/>
  <c r="M153" i="6" s="1"/>
  <c r="L498" i="6"/>
  <c r="M498" i="6" s="1"/>
  <c r="I314" i="6"/>
  <c r="I157" i="6"/>
  <c r="I244" i="6"/>
  <c r="I276" i="6"/>
  <c r="I502" i="6"/>
  <c r="L445" i="6"/>
  <c r="M445" i="6" s="1"/>
  <c r="L212" i="6"/>
  <c r="M212" i="6" s="1"/>
  <c r="L279" i="6"/>
  <c r="M279" i="6" s="1"/>
  <c r="I248" i="6"/>
  <c r="I158" i="6"/>
  <c r="L477" i="6"/>
  <c r="M477" i="6" s="1"/>
  <c r="L231" i="6"/>
  <c r="M231" i="6" s="1"/>
  <c r="I402" i="6"/>
  <c r="L335" i="6"/>
  <c r="M335" i="6" s="1"/>
  <c r="L246" i="6"/>
  <c r="M246" i="6" s="1"/>
  <c r="L109" i="6"/>
  <c r="M109" i="6" s="1"/>
  <c r="I367" i="6"/>
  <c r="L50" i="6"/>
  <c r="I220" i="6"/>
  <c r="I484" i="6"/>
  <c r="L125" i="6"/>
  <c r="M125" i="6" s="1"/>
  <c r="L55" i="6"/>
  <c r="L308" i="6"/>
  <c r="M308" i="6" s="1"/>
  <c r="L66" i="6"/>
  <c r="L509" i="6"/>
  <c r="M509" i="6" s="1"/>
  <c r="I304" i="6"/>
  <c r="I425" i="6"/>
  <c r="I391" i="6"/>
  <c r="I265" i="6"/>
  <c r="I414" i="6"/>
  <c r="L285" i="6"/>
  <c r="M285" i="6" s="1"/>
  <c r="L476" i="6"/>
  <c r="M476" i="6" s="1"/>
  <c r="L321" i="6"/>
  <c r="M321" i="6" s="1"/>
  <c r="I192" i="6"/>
  <c r="I332" i="6"/>
  <c r="L145" i="6"/>
  <c r="M145" i="6" s="1"/>
  <c r="L306" i="6"/>
  <c r="M306" i="6" s="1"/>
  <c r="L437" i="6"/>
  <c r="M437" i="6" s="1"/>
  <c r="L36" i="6"/>
  <c r="L119" i="6"/>
  <c r="M119" i="6" s="1"/>
  <c r="I202" i="6"/>
  <c r="I284" i="6"/>
  <c r="L147" i="6"/>
  <c r="M147" i="6" s="1"/>
  <c r="L393" i="6"/>
  <c r="M393" i="6" s="1"/>
  <c r="I102" i="6"/>
  <c r="L251" i="6"/>
  <c r="M251" i="6" s="1"/>
  <c r="I398" i="6"/>
  <c r="I22" i="6"/>
  <c r="L472" i="6"/>
  <c r="M472" i="6" s="1"/>
  <c r="I487" i="6"/>
  <c r="I190" i="6"/>
  <c r="L91" i="6"/>
  <c r="M91" i="6" s="1"/>
  <c r="L77" i="6"/>
  <c r="M77" i="6" s="1"/>
  <c r="I406" i="6"/>
  <c r="L208" i="6"/>
  <c r="M208" i="6" s="1"/>
  <c r="L134" i="6"/>
  <c r="M134" i="6" s="1"/>
  <c r="I260" i="6"/>
  <c r="I455" i="6"/>
  <c r="L347" i="6"/>
  <c r="M347" i="6" s="1"/>
  <c r="L468" i="6"/>
  <c r="M468" i="6" s="1"/>
  <c r="I71" i="6"/>
  <c r="L331" i="6"/>
  <c r="M331" i="6" s="1"/>
  <c r="L187" i="6"/>
  <c r="M187" i="6" s="1"/>
  <c r="L25" i="6"/>
  <c r="M25" i="6" s="1"/>
  <c r="I491" i="6"/>
  <c r="I56" i="6"/>
  <c r="I460" i="6"/>
  <c r="L72" i="6"/>
  <c r="M72" i="6" s="1"/>
  <c r="I311" i="6"/>
  <c r="I431" i="6"/>
  <c r="L87" i="6"/>
  <c r="M87" i="6" s="1"/>
  <c r="L390" i="6"/>
  <c r="M390" i="6" s="1"/>
  <c r="I305" i="6"/>
  <c r="I470" i="6"/>
  <c r="L408" i="6"/>
  <c r="M408" i="6" s="1"/>
  <c r="L420" i="6"/>
  <c r="M420" i="6" s="1"/>
  <c r="I44" i="6"/>
  <c r="L406" i="6"/>
  <c r="M406" i="6" s="1"/>
  <c r="L93" i="6"/>
  <c r="M93" i="6" s="1"/>
  <c r="I323" i="6"/>
  <c r="I254" i="6"/>
  <c r="I134" i="6"/>
  <c r="L58" i="6"/>
  <c r="I30" i="6"/>
  <c r="L230" i="6"/>
  <c r="M230" i="6" s="1"/>
  <c r="L180" i="6"/>
  <c r="M180" i="6" s="1"/>
  <c r="I37" i="6"/>
  <c r="I228" i="6"/>
  <c r="L371" i="6"/>
  <c r="M371" i="6" s="1"/>
  <c r="I224" i="6"/>
  <c r="L499" i="6"/>
  <c r="M499" i="6" s="1"/>
  <c r="L69" i="6"/>
  <c r="L372" i="6"/>
  <c r="M372" i="6" s="1"/>
  <c r="L137" i="6"/>
  <c r="M137" i="6" s="1"/>
  <c r="I246" i="6"/>
  <c r="I172" i="6"/>
  <c r="L85" i="6"/>
  <c r="M85" i="6" s="1"/>
  <c r="L35" i="6"/>
  <c r="L80" i="6"/>
  <c r="M80" i="6" s="1"/>
  <c r="I88" i="6"/>
  <c r="I321" i="6"/>
  <c r="L192" i="6"/>
  <c r="M192" i="6" s="1"/>
  <c r="L202" i="6"/>
  <c r="M202" i="6" s="1"/>
  <c r="I494" i="6"/>
  <c r="I390" i="6"/>
  <c r="I51" i="6"/>
  <c r="L348" i="6"/>
  <c r="M348" i="6" s="1"/>
  <c r="L235" i="6"/>
  <c r="M235" i="6" s="1"/>
  <c r="I221" i="6"/>
  <c r="I128" i="6"/>
  <c r="L305" i="6"/>
  <c r="M305" i="6" s="1"/>
  <c r="L102" i="6"/>
  <c r="M102" i="6" s="1"/>
  <c r="I251" i="6"/>
  <c r="L122" i="6"/>
  <c r="M122" i="6" s="1"/>
  <c r="L398" i="6"/>
  <c r="M398" i="6" s="1"/>
  <c r="L22" i="6"/>
  <c r="M22" i="6" s="1"/>
  <c r="L42" i="6"/>
  <c r="I404" i="6"/>
  <c r="L75" i="6"/>
  <c r="M75" i="6" s="1"/>
  <c r="I408" i="6"/>
  <c r="L380" i="6"/>
  <c r="M380" i="6" s="1"/>
  <c r="I91" i="6"/>
  <c r="I77" i="6"/>
  <c r="L240" i="6"/>
  <c r="M240" i="6" s="1"/>
  <c r="I412" i="6"/>
  <c r="I208" i="6"/>
  <c r="L323" i="6"/>
  <c r="M323" i="6" s="1"/>
  <c r="L126" i="6"/>
  <c r="M126" i="6" s="1"/>
  <c r="L452" i="6"/>
  <c r="M452" i="6" s="1"/>
  <c r="L47" i="6"/>
  <c r="L149" i="6"/>
  <c r="M149" i="6" s="1"/>
  <c r="L506" i="6"/>
  <c r="M506" i="6" s="1"/>
  <c r="I181" i="6"/>
  <c r="L249" i="6"/>
  <c r="M249" i="6" s="1"/>
  <c r="L175" i="6"/>
  <c r="M175" i="6" s="1"/>
  <c r="I436" i="6"/>
  <c r="I121" i="6"/>
  <c r="L178" i="6"/>
  <c r="M178" i="6" s="1"/>
  <c r="L370" i="6"/>
  <c r="M370" i="6" s="1"/>
  <c r="I60" i="6"/>
  <c r="L501" i="6"/>
  <c r="M501" i="6" s="1"/>
  <c r="L189" i="6"/>
  <c r="M189" i="6" s="1"/>
  <c r="L466" i="6"/>
  <c r="M466" i="6" s="1"/>
  <c r="L375" i="6"/>
  <c r="M375" i="6" s="1"/>
  <c r="I288" i="6"/>
  <c r="I331" i="6"/>
  <c r="I501" i="6"/>
  <c r="I130" i="6"/>
  <c r="I434" i="6"/>
  <c r="I465" i="6"/>
  <c r="L385" i="6"/>
  <c r="M385" i="6" s="1"/>
  <c r="I441" i="6"/>
  <c r="L185" i="6"/>
  <c r="M185" i="6" s="1"/>
  <c r="I178" i="6"/>
  <c r="I195" i="6"/>
  <c r="L485" i="6"/>
  <c r="M485" i="6" s="1"/>
  <c r="I191" i="6"/>
  <c r="L32" i="6"/>
  <c r="L162" i="6"/>
  <c r="M162" i="6" s="1"/>
  <c r="I239" i="6"/>
  <c r="L205" i="6"/>
  <c r="M205" i="6" s="1"/>
  <c r="I170" i="6"/>
  <c r="I433" i="6"/>
  <c r="I513" i="6"/>
  <c r="I369" i="6"/>
  <c r="L411" i="6"/>
  <c r="M411" i="6" s="1"/>
  <c r="L337" i="6"/>
  <c r="M337" i="6" s="1"/>
  <c r="I283" i="6"/>
  <c r="I298" i="6"/>
  <c r="I413" i="6"/>
  <c r="I33" i="6"/>
  <c r="L461" i="6"/>
  <c r="M461" i="6" s="1"/>
  <c r="I143" i="6"/>
  <c r="I115" i="6"/>
  <c r="L500" i="6"/>
  <c r="M500" i="6" s="1"/>
  <c r="I53" i="6"/>
  <c r="F13" i="6"/>
  <c r="L181" i="6"/>
  <c r="M181" i="6" s="1"/>
  <c r="I70" i="6"/>
  <c r="I78" i="6"/>
  <c r="I101" i="6"/>
  <c r="I144" i="6"/>
  <c r="I68" i="6"/>
  <c r="L405" i="6"/>
  <c r="M405" i="6" s="1"/>
  <c r="I241" i="6"/>
  <c r="L95" i="6"/>
  <c r="M95" i="6" s="1"/>
  <c r="L222" i="6"/>
  <c r="M222" i="6" s="1"/>
  <c r="L435" i="6"/>
  <c r="M435" i="6" s="1"/>
  <c r="L336" i="6"/>
  <c r="M336" i="6" s="1"/>
  <c r="I151" i="6"/>
  <c r="I275" i="6"/>
  <c r="I469" i="6"/>
  <c r="I325" i="6"/>
  <c r="L165" i="6"/>
  <c r="M165" i="6" s="1"/>
  <c r="L197" i="6"/>
  <c r="M197" i="6" s="1"/>
  <c r="L478" i="6"/>
  <c r="M478" i="6" s="1"/>
  <c r="L427" i="6"/>
  <c r="M427" i="6" s="1"/>
  <c r="I25" i="6"/>
  <c r="L282" i="6"/>
  <c r="M282" i="6" s="1"/>
  <c r="L252" i="6"/>
  <c r="M252" i="6" s="1"/>
  <c r="L49" i="6"/>
  <c r="I231" i="6"/>
  <c r="L325" i="6"/>
  <c r="M325" i="6" s="1"/>
  <c r="I210" i="6"/>
  <c r="I48" i="6"/>
  <c r="L402" i="6"/>
  <c r="M402" i="6" s="1"/>
  <c r="I168" i="6"/>
  <c r="I466" i="6"/>
  <c r="I277" i="6"/>
  <c r="L399" i="6"/>
  <c r="M399" i="6" s="1"/>
  <c r="L449" i="6"/>
  <c r="M449" i="6" s="1"/>
  <c r="I454" i="6"/>
  <c r="L112" i="6"/>
  <c r="M112" i="6" s="1"/>
  <c r="I401" i="6"/>
  <c r="L316" i="6"/>
  <c r="M316" i="6" s="1"/>
  <c r="I488" i="6"/>
  <c r="I118" i="6"/>
  <c r="I262" i="6"/>
  <c r="L329" i="6"/>
  <c r="M329" i="6" s="1"/>
  <c r="L444" i="6"/>
  <c r="M444" i="6" s="1"/>
  <c r="L107" i="6"/>
  <c r="M107" i="6" s="1"/>
  <c r="L226" i="6"/>
  <c r="M226" i="6" s="1"/>
  <c r="L290" i="6"/>
  <c r="M290" i="6" s="1"/>
  <c r="I92" i="6"/>
  <c r="L490" i="6"/>
  <c r="M490" i="6" s="1"/>
  <c r="I225" i="6"/>
  <c r="I29" i="6"/>
  <c r="I475" i="6"/>
  <c r="L256" i="6"/>
  <c r="M256" i="6" s="1"/>
  <c r="I338" i="6"/>
  <c r="L301" i="6"/>
  <c r="M301" i="6" s="1"/>
  <c r="L27" i="6"/>
  <c r="M27" i="6" s="1"/>
  <c r="I142" i="6"/>
  <c r="I257" i="6"/>
  <c r="L114" i="6"/>
  <c r="M114" i="6" s="1"/>
  <c r="I457" i="6"/>
  <c r="L79" i="6"/>
  <c r="M79" i="6" s="1"/>
  <c r="I65" i="6"/>
  <c r="L150" i="6"/>
  <c r="M150" i="6" s="1"/>
  <c r="L161" i="6"/>
  <c r="M161" i="6" s="1"/>
  <c r="I52" i="6"/>
  <c r="I218" i="6"/>
  <c r="I176" i="6"/>
  <c r="I362" i="6"/>
  <c r="L433" i="6"/>
  <c r="M433" i="6" s="1"/>
  <c r="L90" i="6"/>
  <c r="M90" i="6" s="1"/>
  <c r="I366" i="6"/>
  <c r="I352" i="6"/>
  <c r="L513" i="6"/>
  <c r="M513" i="6" s="1"/>
  <c r="I342" i="6"/>
  <c r="L319" i="6"/>
  <c r="M319" i="6" s="1"/>
  <c r="L194" i="6"/>
  <c r="M194" i="6" s="1"/>
  <c r="I480" i="6"/>
  <c r="I417" i="6"/>
  <c r="I312" i="6"/>
  <c r="L31" i="6"/>
  <c r="L201" i="6"/>
  <c r="M201" i="6" s="1"/>
  <c r="L274" i="6"/>
  <c r="M274" i="6" s="1"/>
  <c r="L514" i="6"/>
  <c r="M514" i="6" s="1"/>
  <c r="I43" i="6"/>
  <c r="L330" i="6"/>
  <c r="M330" i="6" s="1"/>
  <c r="L121" i="6"/>
  <c r="M121" i="6" s="1"/>
  <c r="I123" i="6"/>
  <c r="J13" i="6"/>
  <c r="I302" i="6"/>
  <c r="I234" i="6"/>
  <c r="I24" i="6"/>
  <c r="I154" i="6"/>
  <c r="L322" i="6"/>
  <c r="M322" i="6" s="1"/>
  <c r="I464" i="6"/>
  <c r="L82" i="6"/>
  <c r="M82" i="6" s="1"/>
  <c r="L68" i="6"/>
  <c r="L105" i="6"/>
  <c r="M105" i="6" s="1"/>
  <c r="L360" i="6"/>
  <c r="M360" i="6" s="1"/>
  <c r="I140" i="6"/>
  <c r="L45" i="6"/>
  <c r="L374" i="6"/>
  <c r="M374" i="6" s="1"/>
  <c r="I264" i="6"/>
  <c r="I385" i="6"/>
  <c r="I504" i="6"/>
  <c r="I66" i="6"/>
  <c r="L46" i="6"/>
  <c r="L363" i="6"/>
  <c r="M363" i="6" s="1"/>
  <c r="I131" i="6"/>
  <c r="I374" i="6"/>
  <c r="L200" i="6"/>
  <c r="M200" i="6" s="1"/>
  <c r="L377" i="6"/>
  <c r="M377" i="6" s="1"/>
  <c r="I41" i="6"/>
  <c r="L520" i="6"/>
  <c r="M520" i="6" s="1"/>
  <c r="L170" i="6"/>
  <c r="M170" i="6" s="1"/>
  <c r="L67" i="6"/>
  <c r="I164" i="6"/>
  <c r="I294" i="6"/>
  <c r="I520" i="6"/>
  <c r="I421" i="6"/>
  <c r="L286" i="6"/>
  <c r="M286" i="6" s="1"/>
  <c r="I361" i="6"/>
  <c r="I324" i="6"/>
  <c r="L419" i="6"/>
  <c r="M419" i="6" s="1"/>
  <c r="L111" i="6"/>
  <c r="M111" i="6" s="1"/>
  <c r="I184" i="6"/>
  <c r="I114" i="6"/>
  <c r="I79" i="6"/>
  <c r="L495" i="6"/>
  <c r="M495" i="6" s="1"/>
  <c r="L333" i="6"/>
  <c r="M333" i="6" s="1"/>
  <c r="I448" i="6"/>
  <c r="L176" i="6"/>
  <c r="M176" i="6" s="1"/>
  <c r="I459" i="6"/>
  <c r="I90" i="6"/>
  <c r="L366" i="6"/>
  <c r="M366" i="6" s="1"/>
  <c r="I409" i="6"/>
  <c r="I194" i="6"/>
  <c r="L387" i="6"/>
  <c r="M387" i="6" s="1"/>
  <c r="I442" i="6"/>
  <c r="L426" i="6"/>
  <c r="M426" i="6" s="1"/>
  <c r="L283" i="6"/>
  <c r="M283" i="6" s="1"/>
  <c r="L53" i="6"/>
  <c r="L106" i="6"/>
  <c r="M106" i="6" s="1"/>
  <c r="L462" i="6"/>
  <c r="M462" i="6" s="1"/>
  <c r="L507" i="6"/>
  <c r="M507" i="6" s="1"/>
  <c r="L158" i="6"/>
  <c r="M158" i="6" s="1"/>
  <c r="L71" i="6"/>
  <c r="M71" i="6" s="1"/>
  <c r="I82" i="6"/>
  <c r="I54" i="6"/>
  <c r="L21" i="6"/>
  <c r="M21" i="6" s="1"/>
  <c r="I279" i="6"/>
  <c r="I341" i="6"/>
  <c r="I81" i="6"/>
  <c r="I462" i="6"/>
  <c r="L339" i="6"/>
  <c r="M339" i="6" s="1"/>
  <c r="I330" i="6"/>
  <c r="I505" i="6"/>
  <c r="I351" i="6"/>
  <c r="I371" i="6"/>
  <c r="I97" i="6"/>
  <c r="I59" i="6"/>
  <c r="L358" i="6"/>
  <c r="M358" i="6" s="1"/>
  <c r="L441" i="6"/>
  <c r="M441" i="6" s="1"/>
  <c r="I94" i="6"/>
  <c r="L232" i="6"/>
  <c r="M232" i="6" s="1"/>
  <c r="L62" i="6"/>
  <c r="L465" i="6"/>
  <c r="M465" i="6" s="1"/>
  <c r="I474" i="6"/>
  <c r="I370" i="6"/>
  <c r="I165" i="6"/>
  <c r="I141" i="6"/>
  <c r="I471" i="6"/>
  <c r="I358" i="6"/>
  <c r="I394" i="6"/>
  <c r="I61" i="6"/>
  <c r="I281" i="6"/>
  <c r="L518" i="6"/>
  <c r="M518" i="6" s="1"/>
  <c r="L450" i="6"/>
  <c r="M450" i="6" s="1"/>
  <c r="I345" i="6"/>
  <c r="L152" i="6"/>
  <c r="M152" i="6" s="1"/>
  <c r="L346" i="6"/>
  <c r="M346" i="6" s="1"/>
  <c r="I266" i="6"/>
  <c r="L515" i="6"/>
  <c r="M515" i="6" s="1"/>
  <c r="I124" i="6"/>
  <c r="I354" i="6"/>
  <c r="I87" i="6"/>
  <c r="L332" i="6"/>
  <c r="M332" i="6" s="1"/>
  <c r="L262" i="6"/>
  <c r="M262" i="6" s="1"/>
  <c r="I444" i="6"/>
  <c r="I107" i="6"/>
  <c r="L247" i="6"/>
  <c r="M247" i="6" s="1"/>
  <c r="I226" i="6"/>
  <c r="L92" i="6"/>
  <c r="M92" i="6" s="1"/>
  <c r="L225" i="6"/>
  <c r="M225" i="6" s="1"/>
  <c r="L29" i="6"/>
  <c r="L475" i="6"/>
  <c r="M475" i="6" s="1"/>
  <c r="I424" i="6"/>
  <c r="I419" i="6"/>
  <c r="L338" i="6"/>
  <c r="M338" i="6" s="1"/>
  <c r="I301" i="6"/>
  <c r="L416" i="6"/>
  <c r="M416" i="6" s="1"/>
  <c r="L204" i="6"/>
  <c r="M204" i="6" s="1"/>
  <c r="I291" i="6"/>
  <c r="L300" i="6"/>
  <c r="M300" i="6" s="1"/>
  <c r="I111" i="6"/>
  <c r="L272" i="6"/>
  <c r="M272" i="6" s="1"/>
  <c r="I479" i="6"/>
  <c r="L23" i="6"/>
  <c r="M23" i="6" s="1"/>
  <c r="I359" i="6"/>
  <c r="I439" i="6"/>
  <c r="I27" i="6"/>
  <c r="L142" i="6"/>
  <c r="M142" i="6" s="1"/>
  <c r="L65" i="6"/>
  <c r="I150" i="6"/>
  <c r="I258" i="6"/>
  <c r="L52" i="6"/>
  <c r="L362" i="6"/>
  <c r="M362" i="6" s="1"/>
  <c r="I337" i="6"/>
  <c r="L413" i="6"/>
  <c r="M413" i="6" s="1"/>
  <c r="I514" i="6"/>
  <c r="I461" i="6"/>
  <c r="L115" i="6"/>
  <c r="M115" i="6" s="1"/>
  <c r="L292" i="6"/>
  <c r="M292" i="6" s="1"/>
  <c r="W22" i="7" l="1"/>
  <c r="W35" i="7"/>
  <c r="W463" i="7"/>
  <c r="W514" i="7"/>
  <c r="W104" i="7"/>
  <c r="W365" i="7"/>
  <c r="W320" i="7"/>
  <c r="W180" i="7"/>
  <c r="W26" i="7"/>
  <c r="W88" i="7"/>
  <c r="W318" i="7"/>
  <c r="W518" i="7"/>
  <c r="W114" i="7"/>
  <c r="W283" i="7"/>
  <c r="W228" i="7"/>
  <c r="W146" i="7"/>
  <c r="W284" i="7"/>
  <c r="W101" i="7"/>
  <c r="W56" i="7"/>
  <c r="W287" i="7"/>
  <c r="W240" i="7"/>
  <c r="W123" i="7"/>
  <c r="W198" i="7"/>
  <c r="W189" i="7"/>
  <c r="W203" i="7"/>
  <c r="W110" i="7"/>
  <c r="W78" i="7"/>
  <c r="W330" i="7"/>
  <c r="W502" i="7"/>
  <c r="W488" i="7"/>
  <c r="W204" i="7"/>
  <c r="W350" i="7"/>
  <c r="W262" i="7"/>
  <c r="W368" i="7"/>
  <c r="W311" i="7"/>
  <c r="W120" i="7"/>
  <c r="W418" i="7"/>
  <c r="W510" i="7"/>
  <c r="W442" i="7"/>
  <c r="W138" i="7"/>
  <c r="W476" i="7"/>
  <c r="W97" i="7"/>
  <c r="W77" i="7"/>
  <c r="W194" i="7"/>
  <c r="W82" i="7"/>
  <c r="W212" i="7"/>
  <c r="W496" i="7"/>
  <c r="W70" i="7"/>
  <c r="W515" i="7"/>
  <c r="W315" i="7"/>
  <c r="W53" i="7"/>
  <c r="W139" i="7"/>
  <c r="W417" i="7"/>
  <c r="W466" i="7"/>
  <c r="W108" i="7"/>
  <c r="W202" i="7"/>
  <c r="W349" i="7"/>
  <c r="W173" i="7"/>
  <c r="W436" i="7"/>
  <c r="W308" i="7"/>
  <c r="W395" i="7"/>
  <c r="W458" i="7"/>
  <c r="W375" i="7"/>
  <c r="W162" i="7"/>
  <c r="W297" i="7"/>
  <c r="W443" i="7"/>
  <c r="W362" i="7"/>
  <c r="W137" i="7"/>
  <c r="W177" i="7"/>
  <c r="W172" i="7"/>
  <c r="W105" i="7"/>
  <c r="W312" i="7"/>
  <c r="W339" i="7"/>
  <c r="W377" i="7"/>
  <c r="W188" i="7"/>
  <c r="W192" i="7"/>
  <c r="W381" i="7"/>
  <c r="W255" i="7"/>
  <c r="W42" i="7"/>
  <c r="W455" i="7"/>
  <c r="W469" i="7"/>
  <c r="W237" i="7"/>
  <c r="W396" i="7"/>
  <c r="W28" i="7"/>
  <c r="W310" i="7"/>
  <c r="W221" i="7"/>
  <c r="W176" i="7"/>
  <c r="W36" i="7"/>
  <c r="W494" i="7"/>
  <c r="W408" i="7"/>
  <c r="W135" i="7"/>
  <c r="W354" i="7"/>
  <c r="W260" i="7"/>
  <c r="W208" i="7"/>
  <c r="W205" i="7"/>
  <c r="W29" i="7"/>
  <c r="W32" i="7"/>
  <c r="W509" i="7"/>
  <c r="W280" i="7"/>
  <c r="W380" i="7"/>
  <c r="W219" i="7"/>
  <c r="W359" i="7"/>
  <c r="W420" i="7"/>
  <c r="W487" i="7"/>
  <c r="W414" i="7"/>
  <c r="W261" i="7"/>
  <c r="W373" i="7"/>
  <c r="W63" i="7"/>
  <c r="W389" i="7"/>
  <c r="W344" i="7"/>
  <c r="W60" i="7"/>
  <c r="W391" i="7"/>
  <c r="W276" i="7"/>
  <c r="W447" i="7"/>
  <c r="W378" i="7"/>
  <c r="W154" i="7"/>
  <c r="W239" i="7"/>
  <c r="W327" i="7"/>
  <c r="W505" i="7"/>
  <c r="W294" i="7"/>
  <c r="W141" i="7"/>
  <c r="W109" i="7"/>
  <c r="W400" i="7"/>
  <c r="W264" i="7"/>
  <c r="W147" i="7"/>
  <c r="W79" i="7"/>
  <c r="W241" i="7"/>
  <c r="W428" i="7"/>
  <c r="W371" i="7"/>
  <c r="W171" i="7"/>
  <c r="W484" i="7"/>
  <c r="W439" i="7"/>
  <c r="W174" i="7"/>
  <c r="W465" i="7"/>
  <c r="W65" i="7"/>
  <c r="W457" i="7"/>
  <c r="W136" i="7"/>
  <c r="W236" i="7"/>
  <c r="W386" i="7"/>
  <c r="W475" i="7"/>
  <c r="W331" i="7"/>
  <c r="W143" i="7"/>
  <c r="W96" i="7"/>
  <c r="W58" i="7"/>
  <c r="W54" i="7"/>
  <c r="W45" i="7"/>
  <c r="W226" i="7"/>
  <c r="W193" i="7"/>
  <c r="W304" i="7"/>
  <c r="W102" i="7"/>
  <c r="W178" i="7"/>
  <c r="W168" i="7"/>
  <c r="W195" i="7"/>
  <c r="W145" i="7"/>
  <c r="W411" i="7"/>
  <c r="W486" i="7"/>
  <c r="W46" i="7"/>
  <c r="W491" i="7"/>
  <c r="W398" i="7"/>
  <c r="W366" i="7"/>
  <c r="W223" i="7"/>
  <c r="W393" i="7"/>
  <c r="W217" i="7"/>
  <c r="W40" i="7"/>
  <c r="W227" i="7"/>
  <c r="W399" i="7"/>
  <c r="W186" i="7"/>
  <c r="W38" i="7"/>
  <c r="W340" i="7"/>
  <c r="W252" i="7"/>
  <c r="W274" i="7"/>
  <c r="W210" i="7"/>
  <c r="W116" i="7"/>
  <c r="W358" i="7"/>
  <c r="W273" i="7"/>
  <c r="W446" i="7"/>
  <c r="W282" i="7"/>
  <c r="W388" i="7"/>
  <c r="W187" i="7"/>
  <c r="W357" i="7"/>
  <c r="W68" i="7"/>
  <c r="W164" i="7"/>
  <c r="W251" i="7"/>
  <c r="W302" i="7"/>
  <c r="W231" i="7"/>
  <c r="W504" i="7"/>
  <c r="W153" i="7"/>
  <c r="W299" i="7"/>
  <c r="W461" i="7"/>
  <c r="W124" i="7"/>
  <c r="W355" i="7"/>
  <c r="W201" i="7"/>
  <c r="W132" i="7"/>
  <c r="W303" i="7"/>
  <c r="W234" i="7"/>
  <c r="W76" i="7"/>
  <c r="W450" i="7"/>
  <c r="W353" i="7"/>
  <c r="W216" i="7"/>
  <c r="W111" i="7"/>
  <c r="W425" i="7"/>
  <c r="W501" i="7"/>
  <c r="W75" i="7"/>
  <c r="W181" i="7"/>
  <c r="W148" i="7"/>
  <c r="W91" i="7"/>
  <c r="W291" i="7"/>
  <c r="W438" i="7"/>
  <c r="W285" i="7"/>
  <c r="W253" i="7"/>
  <c r="W387" i="7"/>
  <c r="W30" i="7"/>
  <c r="W309" i="7"/>
  <c r="W507" i="7"/>
  <c r="W133" i="7"/>
  <c r="W61" i="7"/>
  <c r="W460" i="7"/>
  <c r="W429" i="7"/>
  <c r="W490" i="7"/>
  <c r="W107" i="7"/>
  <c r="W158" i="7"/>
  <c r="W397" i="7"/>
  <c r="W215" i="7"/>
  <c r="W410" i="7"/>
  <c r="W329" i="7"/>
  <c r="W270" i="7"/>
  <c r="W117" i="7"/>
  <c r="W229" i="7"/>
  <c r="W482" i="7"/>
  <c r="W415" i="7"/>
  <c r="W175" i="7"/>
  <c r="W275" i="7"/>
  <c r="W384" i="7"/>
  <c r="W267" i="7"/>
  <c r="W342" i="7"/>
  <c r="W333" i="7"/>
  <c r="W127" i="7"/>
  <c r="W444" i="7"/>
  <c r="W370" i="7"/>
  <c r="W351" i="7"/>
  <c r="W150" i="7"/>
  <c r="W382" i="7"/>
  <c r="W348" i="7"/>
  <c r="W433" i="7"/>
  <c r="W112" i="7"/>
  <c r="W199" i="7"/>
  <c r="W277" i="7"/>
  <c r="W407" i="7"/>
  <c r="W454" i="7"/>
  <c r="W361" i="7"/>
  <c r="W184" i="7"/>
  <c r="W426" i="7"/>
  <c r="W129" i="7"/>
  <c r="W385" i="7"/>
  <c r="W499" i="7"/>
  <c r="W313" i="7"/>
  <c r="W334" i="7"/>
  <c r="W92" i="7"/>
  <c r="W363" i="7"/>
  <c r="W71" i="7"/>
  <c r="W266" i="7"/>
  <c r="W185" i="7"/>
  <c r="W467" i="7"/>
  <c r="W374" i="7"/>
  <c r="W437" i="7"/>
  <c r="W477" i="7"/>
  <c r="W369" i="7"/>
  <c r="W49" i="7"/>
  <c r="W160" i="7"/>
  <c r="W94" i="7"/>
  <c r="W152" i="7"/>
  <c r="W118" i="7"/>
  <c r="W434" i="7"/>
  <c r="W473" i="7"/>
  <c r="W306" i="7"/>
  <c r="W441" i="7"/>
  <c r="W72" i="7"/>
  <c r="W47" i="7"/>
  <c r="W481" i="7"/>
  <c r="W516" i="7"/>
  <c r="W390" i="7"/>
  <c r="W249" i="7"/>
  <c r="W73" i="7"/>
  <c r="W483" i="7"/>
  <c r="W364" i="7"/>
  <c r="W163" i="7"/>
  <c r="W119" i="7"/>
  <c r="W121" i="7"/>
  <c r="W328" i="7"/>
  <c r="W325" i="7"/>
  <c r="W292" i="7"/>
  <c r="W235" i="7"/>
  <c r="W346" i="7"/>
  <c r="W300" i="7"/>
  <c r="W316" i="7"/>
  <c r="W413" i="7"/>
  <c r="W244" i="7"/>
  <c r="W43" i="7"/>
  <c r="W115" i="7"/>
  <c r="W323" i="7"/>
  <c r="W230" i="7"/>
  <c r="W293" i="7"/>
  <c r="W392" i="7"/>
  <c r="W87" i="7"/>
  <c r="W401" i="7"/>
  <c r="W478" i="7"/>
  <c r="W155" i="7"/>
  <c r="W445" i="7"/>
  <c r="W214" i="7"/>
  <c r="W211" i="7"/>
  <c r="W57" i="7"/>
  <c r="W59" i="7"/>
  <c r="W190" i="7"/>
  <c r="W485" i="7"/>
  <c r="W250" i="7"/>
  <c r="W405" i="7"/>
  <c r="W517" i="7"/>
  <c r="W207" i="7"/>
  <c r="W206" i="7"/>
  <c r="W412" i="7"/>
  <c r="W224" i="7"/>
  <c r="W66" i="7"/>
  <c r="W37" i="7"/>
  <c r="W430" i="7"/>
  <c r="W403" i="7"/>
  <c r="W130" i="7"/>
  <c r="W427" i="7"/>
  <c r="W278" i="7"/>
  <c r="W52" i="7"/>
  <c r="W519" i="7"/>
  <c r="W256" i="7"/>
  <c r="W343" i="7"/>
  <c r="W182" i="7"/>
  <c r="W169" i="7"/>
  <c r="W435" i="7"/>
  <c r="W367" i="7"/>
  <c r="W27" i="7"/>
  <c r="W295" i="7"/>
  <c r="W259" i="7"/>
  <c r="W480" i="7"/>
  <c r="W508" i="7"/>
  <c r="W257" i="7"/>
  <c r="W500" i="7"/>
  <c r="W513" i="7"/>
  <c r="W126" i="7"/>
  <c r="W238" i="7"/>
  <c r="W85" i="7"/>
  <c r="W314" i="7"/>
  <c r="W376" i="7"/>
  <c r="W31" i="7"/>
  <c r="W131" i="7"/>
  <c r="W506" i="7"/>
  <c r="W218" i="7"/>
  <c r="W406" i="7"/>
  <c r="W33" i="7"/>
  <c r="W326" i="7"/>
  <c r="W337" i="7"/>
  <c r="W448" i="7"/>
  <c r="W246" i="7"/>
  <c r="W233" i="7"/>
  <c r="W44" i="7"/>
  <c r="W48" i="7"/>
  <c r="W289" i="7"/>
  <c r="W106" i="7"/>
  <c r="W55" i="7"/>
  <c r="W167" i="7"/>
  <c r="W335" i="7"/>
  <c r="W98" i="7"/>
  <c r="W305" i="7"/>
  <c r="W103" i="7"/>
  <c r="W520" i="7"/>
  <c r="W307" i="7"/>
  <c r="W263" i="7"/>
  <c r="W265" i="7"/>
  <c r="W25" i="7"/>
  <c r="W100" i="7"/>
  <c r="W474" i="7"/>
  <c r="W209" i="7"/>
  <c r="W379" i="7"/>
  <c r="W213" i="7"/>
  <c r="W122" i="7"/>
  <c r="W41" i="7"/>
  <c r="W298" i="7"/>
  <c r="W464" i="7"/>
  <c r="W324" i="7"/>
  <c r="W170" i="7"/>
  <c r="W225" i="7"/>
  <c r="W288" i="7"/>
  <c r="W432" i="7"/>
  <c r="W341" i="7"/>
  <c r="W322" i="7"/>
  <c r="W352" i="7"/>
  <c r="W290" i="7"/>
  <c r="W156" i="7"/>
  <c r="W245" i="7"/>
  <c r="W200" i="7"/>
  <c r="W431" i="7"/>
  <c r="W62" i="7"/>
  <c r="W268" i="7"/>
  <c r="W80" i="7"/>
  <c r="W345" i="7"/>
  <c r="W440" i="7"/>
  <c r="W95" i="7"/>
  <c r="W183" i="7"/>
  <c r="W220" i="7"/>
  <c r="W456" i="7"/>
  <c r="W166" i="7"/>
  <c r="W360" i="7"/>
  <c r="W497" i="7"/>
  <c r="W125" i="7"/>
  <c r="W512" i="7"/>
  <c r="W372" i="7"/>
  <c r="W140" i="7"/>
  <c r="W83" i="7"/>
  <c r="W422" i="7"/>
  <c r="W196" i="7"/>
  <c r="W151" i="7"/>
  <c r="W64" i="7"/>
  <c r="W470" i="7"/>
  <c r="W179" i="7"/>
  <c r="W86" i="7"/>
  <c r="W149" i="7"/>
  <c r="W248" i="7"/>
  <c r="W81" i="7"/>
  <c r="W144" i="7"/>
  <c r="W459" i="7"/>
  <c r="W197" i="7"/>
  <c r="W301" i="7"/>
  <c r="W423" i="7"/>
  <c r="W67" i="7"/>
  <c r="W489" i="7"/>
  <c r="W416" i="7"/>
  <c r="W493" i="7"/>
  <c r="W317" i="7"/>
  <c r="W165" i="7"/>
  <c r="W452" i="7"/>
  <c r="W492" i="7"/>
  <c r="W51" i="7"/>
  <c r="W89" i="7"/>
  <c r="W319" i="7"/>
  <c r="W419" i="7"/>
  <c r="W142" i="7"/>
  <c r="W347" i="7"/>
  <c r="W254" i="7"/>
  <c r="W222" i="7"/>
  <c r="W271" i="7"/>
  <c r="W84" i="7"/>
  <c r="W134" i="7"/>
  <c r="W495" i="7"/>
  <c r="W394" i="7"/>
  <c r="W332" i="7"/>
  <c r="W336" i="7"/>
  <c r="W50" i="7"/>
  <c r="W479" i="7"/>
  <c r="W242" i="7"/>
  <c r="W449" i="7"/>
  <c r="W247" i="7"/>
  <c r="W402" i="7"/>
  <c r="W286" i="7"/>
  <c r="W472" i="7"/>
  <c r="W338" i="7"/>
  <c r="W113" i="7"/>
  <c r="W356" i="7"/>
  <c r="W258" i="7"/>
  <c r="W157" i="7"/>
  <c r="W279" i="7"/>
  <c r="W498" i="7"/>
  <c r="W404" i="7"/>
  <c r="W232" i="7"/>
  <c r="W462" i="7"/>
  <c r="W128" i="7"/>
  <c r="W272" i="7"/>
  <c r="W74" i="7"/>
  <c r="W424" i="7"/>
  <c r="W453" i="7"/>
  <c r="W409" i="7"/>
  <c r="W503" i="7"/>
  <c r="W159" i="7"/>
  <c r="W90" i="7"/>
  <c r="W296" i="7"/>
  <c r="W69" i="7"/>
  <c r="W39" i="7"/>
  <c r="W243" i="7"/>
  <c r="W451" i="7"/>
  <c r="W281" i="7"/>
  <c r="W321" i="7"/>
  <c r="W191" i="7"/>
  <c r="W34" i="7"/>
  <c r="W161" i="7"/>
  <c r="W511" i="7"/>
  <c r="W93" i="7"/>
  <c r="W383" i="7"/>
  <c r="W471" i="7"/>
  <c r="W24" i="7"/>
  <c r="W99" i="7"/>
  <c r="W269" i="7"/>
  <c r="W468" i="7"/>
  <c r="W421" i="7"/>
  <c r="F21" i="7"/>
  <c r="D13" i="7"/>
  <c r="F69" i="7"/>
  <c r="J69" i="7" s="1"/>
  <c r="F245" i="7"/>
  <c r="J245" i="7" s="1"/>
  <c r="U245" i="7"/>
  <c r="F424" i="7"/>
  <c r="J424" i="7" s="1"/>
  <c r="U424" i="7"/>
  <c r="F205" i="7"/>
  <c r="J205" i="7" s="1"/>
  <c r="U205" i="7"/>
  <c r="F232" i="7"/>
  <c r="J232" i="7" s="1"/>
  <c r="U232" i="7"/>
  <c r="U129" i="7"/>
  <c r="F129" i="7"/>
  <c r="J129" i="7" s="1"/>
  <c r="F131" i="7"/>
  <c r="J131" i="7" s="1"/>
  <c r="U131" i="7"/>
  <c r="U330" i="7"/>
  <c r="F330" i="7"/>
  <c r="J330" i="7" s="1"/>
  <c r="U94" i="7"/>
  <c r="F94" i="7"/>
  <c r="J94" i="7" s="1"/>
  <c r="F171" i="7"/>
  <c r="J171" i="7" s="1"/>
  <c r="U171" i="7"/>
  <c r="U155" i="7"/>
  <c r="F155" i="7"/>
  <c r="J155" i="7" s="1"/>
  <c r="U448" i="7"/>
  <c r="F448" i="7"/>
  <c r="J448" i="7" s="1"/>
  <c r="F64" i="7"/>
  <c r="J64" i="7" s="1"/>
  <c r="F169" i="7"/>
  <c r="J169" i="7" s="1"/>
  <c r="U169" i="7"/>
  <c r="F157" i="7"/>
  <c r="J157" i="7" s="1"/>
  <c r="U157" i="7"/>
  <c r="F488" i="7"/>
  <c r="J488" i="7" s="1"/>
  <c r="U488" i="7"/>
  <c r="F181" i="7"/>
  <c r="J181" i="7" s="1"/>
  <c r="U181" i="7"/>
  <c r="F332" i="7"/>
  <c r="J332" i="7" s="1"/>
  <c r="U332" i="7"/>
  <c r="F462" i="7"/>
  <c r="J462" i="7" s="1"/>
  <c r="U462" i="7"/>
  <c r="F58" i="7"/>
  <c r="J58" i="7" s="1"/>
  <c r="F294" i="7"/>
  <c r="J294" i="7" s="1"/>
  <c r="U294" i="7"/>
  <c r="F239" i="7"/>
  <c r="J239" i="7" s="1"/>
  <c r="U239" i="7"/>
  <c r="F214" i="7"/>
  <c r="J214" i="7" s="1"/>
  <c r="U214" i="7"/>
  <c r="F231" i="7"/>
  <c r="J231" i="7" s="1"/>
  <c r="U231" i="7"/>
  <c r="U258" i="7"/>
  <c r="F258" i="7"/>
  <c r="J258" i="7" s="1"/>
  <c r="F292" i="7"/>
  <c r="J292" i="7" s="1"/>
  <c r="F24" i="7"/>
  <c r="U24" i="7"/>
  <c r="F57" i="7"/>
  <c r="J57" i="7" s="1"/>
  <c r="U506" i="7"/>
  <c r="F506" i="7"/>
  <c r="J506" i="7" s="1"/>
  <c r="F436" i="7"/>
  <c r="J436" i="7" s="1"/>
  <c r="U436" i="7"/>
  <c r="F140" i="7"/>
  <c r="J140" i="7" s="1"/>
  <c r="U140" i="7"/>
  <c r="U234" i="7"/>
  <c r="F234" i="7"/>
  <c r="J234" i="7" s="1"/>
  <c r="F311" i="7"/>
  <c r="J311" i="7" s="1"/>
  <c r="U311" i="7"/>
  <c r="F497" i="7"/>
  <c r="J497" i="7" s="1"/>
  <c r="U497" i="7"/>
  <c r="F293" i="7"/>
  <c r="J293" i="7" s="1"/>
  <c r="U293" i="7"/>
  <c r="F116" i="7"/>
  <c r="J116" i="7" s="1"/>
  <c r="U116" i="7"/>
  <c r="F158" i="7"/>
  <c r="J158" i="7" s="1"/>
  <c r="U158" i="7"/>
  <c r="U210" i="7"/>
  <c r="F210" i="7"/>
  <c r="J210" i="7" s="1"/>
  <c r="F316" i="7"/>
  <c r="J316" i="7" s="1"/>
  <c r="U316" i="7"/>
  <c r="F138" i="7"/>
  <c r="J138" i="7" s="1"/>
  <c r="U138" i="7"/>
  <c r="F466" i="7"/>
  <c r="J466" i="7" s="1"/>
  <c r="U466" i="7"/>
  <c r="F352" i="7"/>
  <c r="J352" i="7" s="1"/>
  <c r="U352" i="7"/>
  <c r="F118" i="7"/>
  <c r="J118" i="7" s="1"/>
  <c r="U118" i="7"/>
  <c r="F102" i="7"/>
  <c r="J102" i="7" s="1"/>
  <c r="U102" i="7"/>
  <c r="U504" i="7"/>
  <c r="F504" i="7"/>
  <c r="J504" i="7" s="1"/>
  <c r="F52" i="7"/>
  <c r="J52" i="7" s="1"/>
  <c r="F41" i="7"/>
  <c r="J41" i="7" s="1"/>
  <c r="U502" i="7"/>
  <c r="F502" i="7"/>
  <c r="J502" i="7" s="1"/>
  <c r="F445" i="7"/>
  <c r="J445" i="7" s="1"/>
  <c r="U445" i="7"/>
  <c r="U387" i="7"/>
  <c r="F387" i="7"/>
  <c r="J387" i="7" s="1"/>
  <c r="F513" i="7"/>
  <c r="J513" i="7" s="1"/>
  <c r="U513" i="7"/>
  <c r="U483" i="7"/>
  <c r="F483" i="7"/>
  <c r="J483" i="7" s="1"/>
  <c r="F42" i="7"/>
  <c r="J42" i="7" s="1"/>
  <c r="F270" i="7"/>
  <c r="J270" i="7" s="1"/>
  <c r="U270" i="7"/>
  <c r="F56" i="7"/>
  <c r="J56" i="7" s="1"/>
  <c r="F403" i="7"/>
  <c r="J403" i="7" s="1"/>
  <c r="U403" i="7"/>
  <c r="F507" i="7"/>
  <c r="J507" i="7" s="1"/>
  <c r="U507" i="7"/>
  <c r="F146" i="7"/>
  <c r="J146" i="7" s="1"/>
  <c r="U146" i="7"/>
  <c r="F480" i="7"/>
  <c r="J480" i="7" s="1"/>
  <c r="U480" i="7"/>
  <c r="F248" i="7"/>
  <c r="J248" i="7" s="1"/>
  <c r="U248" i="7"/>
  <c r="F453" i="7"/>
  <c r="J453" i="7" s="1"/>
  <c r="U453" i="7"/>
  <c r="F357" i="7"/>
  <c r="J357" i="7" s="1"/>
  <c r="U357" i="7"/>
  <c r="F196" i="7"/>
  <c r="J196" i="7" s="1"/>
  <c r="U196" i="7"/>
  <c r="U518" i="7"/>
  <c r="F518" i="7"/>
  <c r="J518" i="7" s="1"/>
  <c r="U132" i="7"/>
  <c r="F132" i="7"/>
  <c r="J132" i="7" s="1"/>
  <c r="F395" i="7"/>
  <c r="J395" i="7" s="1"/>
  <c r="U395" i="7"/>
  <c r="U82" i="7"/>
  <c r="F82" i="7"/>
  <c r="J82" i="7" s="1"/>
  <c r="F468" i="7"/>
  <c r="J468" i="7" s="1"/>
  <c r="U468" i="7"/>
  <c r="F303" i="7"/>
  <c r="J303" i="7" s="1"/>
  <c r="U303" i="7"/>
  <c r="F451" i="7"/>
  <c r="J451" i="7" s="1"/>
  <c r="U451" i="7"/>
  <c r="F251" i="7"/>
  <c r="J251" i="7" s="1"/>
  <c r="U251" i="7"/>
  <c r="U229" i="7"/>
  <c r="F229" i="7"/>
  <c r="J229" i="7" s="1"/>
  <c r="F419" i="7"/>
  <c r="J419" i="7" s="1"/>
  <c r="U419" i="7"/>
  <c r="F236" i="7"/>
  <c r="J236" i="7" s="1"/>
  <c r="U236" i="7"/>
  <c r="F503" i="7"/>
  <c r="J503" i="7" s="1"/>
  <c r="U503" i="7"/>
  <c r="F257" i="7"/>
  <c r="J257" i="7" s="1"/>
  <c r="U257" i="7"/>
  <c r="U491" i="7"/>
  <c r="F491" i="7"/>
  <c r="J491" i="7" s="1"/>
  <c r="U253" i="7"/>
  <c r="F253" i="7"/>
  <c r="J253" i="7" s="1"/>
  <c r="F457" i="7"/>
  <c r="J457" i="7" s="1"/>
  <c r="U457" i="7"/>
  <c r="U409" i="7"/>
  <c r="F409" i="7"/>
  <c r="J409" i="7" s="1"/>
  <c r="F344" i="7"/>
  <c r="J344" i="7" s="1"/>
  <c r="U344" i="7"/>
  <c r="U437" i="7"/>
  <c r="F437" i="7"/>
  <c r="J437" i="7" s="1"/>
  <c r="U124" i="7"/>
  <c r="F124" i="7"/>
  <c r="J124" i="7" s="1"/>
  <c r="U195" i="7"/>
  <c r="F195" i="7"/>
  <c r="J195" i="7" s="1"/>
  <c r="U417" i="7"/>
  <c r="F417" i="7"/>
  <c r="J417" i="7" s="1"/>
  <c r="U281" i="7"/>
  <c r="F281" i="7"/>
  <c r="J281" i="7" s="1"/>
  <c r="U178" i="7"/>
  <c r="F178" i="7"/>
  <c r="J178" i="7" s="1"/>
  <c r="F355" i="7"/>
  <c r="J355" i="7" s="1"/>
  <c r="U355" i="7"/>
  <c r="F426" i="7"/>
  <c r="J426" i="7" s="1"/>
  <c r="U426" i="7"/>
  <c r="F496" i="7"/>
  <c r="J496" i="7" s="1"/>
  <c r="U496" i="7"/>
  <c r="U414" i="7"/>
  <c r="F414" i="7"/>
  <c r="J414" i="7" s="1"/>
  <c r="F156" i="7"/>
  <c r="J156" i="7" s="1"/>
  <c r="U156" i="7"/>
  <c r="F470" i="7"/>
  <c r="J470" i="7" s="1"/>
  <c r="U470" i="7"/>
  <c r="F136" i="7"/>
  <c r="J136" i="7" s="1"/>
  <c r="U136" i="7"/>
  <c r="U514" i="7"/>
  <c r="F514" i="7"/>
  <c r="J514" i="7" s="1"/>
  <c r="F163" i="7"/>
  <c r="J163" i="7" s="1"/>
  <c r="U163" i="7"/>
  <c r="F191" i="7"/>
  <c r="J191" i="7" s="1"/>
  <c r="U191" i="7"/>
  <c r="F374" i="7"/>
  <c r="J374" i="7" s="1"/>
  <c r="U374" i="7"/>
  <c r="F240" i="7"/>
  <c r="J240" i="7" s="1"/>
  <c r="U240" i="7"/>
  <c r="F209" i="7"/>
  <c r="J209" i="7" s="1"/>
  <c r="U209" i="7"/>
  <c r="F111" i="7"/>
  <c r="J111" i="7" s="1"/>
  <c r="U111" i="7"/>
  <c r="U117" i="7"/>
  <c r="F117" i="7"/>
  <c r="J117" i="7" s="1"/>
  <c r="U347" i="7"/>
  <c r="F347" i="7"/>
  <c r="J347" i="7" s="1"/>
  <c r="F278" i="7"/>
  <c r="J278" i="7" s="1"/>
  <c r="U278" i="7"/>
  <c r="U93" i="7"/>
  <c r="F93" i="7"/>
  <c r="J93" i="7" s="1"/>
  <c r="F51" i="7"/>
  <c r="J51" i="7" s="1"/>
  <c r="F317" i="7"/>
  <c r="J317" i="7" s="1"/>
  <c r="U317" i="7"/>
  <c r="F265" i="7"/>
  <c r="J265" i="7" s="1"/>
  <c r="U265" i="7"/>
  <c r="F63" i="7"/>
  <c r="J63" i="7" s="1"/>
  <c r="U244" i="7"/>
  <c r="F244" i="7"/>
  <c r="J244" i="7" s="1"/>
  <c r="F250" i="7"/>
  <c r="J250" i="7" s="1"/>
  <c r="U250" i="7"/>
  <c r="F405" i="7"/>
  <c r="J405" i="7" s="1"/>
  <c r="U405" i="7"/>
  <c r="U179" i="7"/>
  <c r="F179" i="7"/>
  <c r="J179" i="7" s="1"/>
  <c r="F435" i="7"/>
  <c r="J435" i="7" s="1"/>
  <c r="U435" i="7"/>
  <c r="F263" i="7"/>
  <c r="J263" i="7" s="1"/>
  <c r="U263" i="7"/>
  <c r="F310" i="7"/>
  <c r="J310" i="7" s="1"/>
  <c r="F149" i="7"/>
  <c r="J149" i="7" s="1"/>
  <c r="U149" i="7"/>
  <c r="F463" i="7"/>
  <c r="J463" i="7" s="1"/>
  <c r="U463" i="7"/>
  <c r="U217" i="7"/>
  <c r="F217" i="7"/>
  <c r="J217" i="7" s="1"/>
  <c r="F492" i="7"/>
  <c r="J492" i="7" s="1"/>
  <c r="U492" i="7"/>
  <c r="F227" i="7"/>
  <c r="J227" i="7" s="1"/>
  <c r="U227" i="7"/>
  <c r="U197" i="7"/>
  <c r="F197" i="7"/>
  <c r="J197" i="7" s="1"/>
  <c r="F182" i="7"/>
  <c r="J182" i="7" s="1"/>
  <c r="U182" i="7"/>
  <c r="F423" i="7"/>
  <c r="J423" i="7" s="1"/>
  <c r="U423" i="7"/>
  <c r="U177" i="7"/>
  <c r="F177" i="7"/>
  <c r="J177" i="7" s="1"/>
  <c r="F175" i="7"/>
  <c r="J175" i="7" s="1"/>
  <c r="U175" i="7"/>
  <c r="F147" i="7"/>
  <c r="J147" i="7" s="1"/>
  <c r="U147" i="7"/>
  <c r="F356" i="7"/>
  <c r="J356" i="7" s="1"/>
  <c r="U356" i="7"/>
  <c r="F418" i="7"/>
  <c r="J418" i="7" s="1"/>
  <c r="U418" i="7"/>
  <c r="U226" i="7"/>
  <c r="F226" i="7"/>
  <c r="J226" i="7" s="1"/>
  <c r="F107" i="7"/>
  <c r="J107" i="7" s="1"/>
  <c r="U107" i="7"/>
  <c r="F482" i="7"/>
  <c r="J482" i="7" s="1"/>
  <c r="U482" i="7"/>
  <c r="U368" i="7"/>
  <c r="F368" i="7"/>
  <c r="J368" i="7" s="1"/>
  <c r="U334" i="7"/>
  <c r="F334" i="7"/>
  <c r="J334" i="7" s="1"/>
  <c r="F212" i="7"/>
  <c r="J212" i="7" s="1"/>
  <c r="U212" i="7"/>
  <c r="U329" i="7"/>
  <c r="F329" i="7"/>
  <c r="J329" i="7" s="1"/>
  <c r="F450" i="7"/>
  <c r="J450" i="7" s="1"/>
  <c r="U450" i="7"/>
  <c r="F172" i="7"/>
  <c r="J172" i="7" s="1"/>
  <c r="U172" i="7"/>
  <c r="U441" i="7"/>
  <c r="F441" i="7"/>
  <c r="J441" i="7" s="1"/>
  <c r="F48" i="7"/>
  <c r="J48" i="7" s="1"/>
  <c r="F55" i="7"/>
  <c r="J55" i="7" s="1"/>
  <c r="U519" i="7"/>
  <c r="F519" i="7"/>
  <c r="J519" i="7" s="1"/>
  <c r="U376" i="7"/>
  <c r="F376" i="7"/>
  <c r="J376" i="7" s="1"/>
  <c r="F363" i="7"/>
  <c r="J363" i="7" s="1"/>
  <c r="U363" i="7"/>
  <c r="U190" i="7"/>
  <c r="F190" i="7"/>
  <c r="J190" i="7" s="1"/>
  <c r="F427" i="7"/>
  <c r="J427" i="7" s="1"/>
  <c r="U427" i="7"/>
  <c r="F38" i="7"/>
  <c r="J38" i="7" s="1"/>
  <c r="F324" i="7"/>
  <c r="J324" i="7" s="1"/>
  <c r="U324" i="7"/>
  <c r="F323" i="7"/>
  <c r="J323" i="7" s="1"/>
  <c r="U323" i="7"/>
  <c r="F77" i="7"/>
  <c r="J77" i="7" s="1"/>
  <c r="U77" i="7"/>
  <c r="U489" i="7"/>
  <c r="F489" i="7"/>
  <c r="J489" i="7" s="1"/>
  <c r="F341" i="7"/>
  <c r="J341" i="7" s="1"/>
  <c r="U341" i="7"/>
  <c r="F362" i="7"/>
  <c r="J362" i="7" s="1"/>
  <c r="U362" i="7"/>
  <c r="U388" i="7"/>
  <c r="F388" i="7"/>
  <c r="J388" i="7" s="1"/>
  <c r="F454" i="7"/>
  <c r="J454" i="7" s="1"/>
  <c r="U454" i="7"/>
  <c r="F458" i="7"/>
  <c r="J458" i="7" s="1"/>
  <c r="U458" i="7"/>
  <c r="F207" i="7"/>
  <c r="J207" i="7" s="1"/>
  <c r="U207" i="7"/>
  <c r="F23" i="7"/>
  <c r="U76" i="7"/>
  <c r="F76" i="7"/>
  <c r="J76" i="7" s="1"/>
  <c r="F406" i="7"/>
  <c r="J406" i="7" s="1"/>
  <c r="U406" i="7"/>
  <c r="U223" i="7"/>
  <c r="F223" i="7"/>
  <c r="J223" i="7" s="1"/>
  <c r="F252" i="7"/>
  <c r="J252" i="7" s="1"/>
  <c r="U252" i="7"/>
  <c r="F150" i="7"/>
  <c r="J150" i="7" s="1"/>
  <c r="U150" i="7"/>
  <c r="U443" i="7"/>
  <c r="F443" i="7"/>
  <c r="J443" i="7" s="1"/>
  <c r="U328" i="7"/>
  <c r="F328" i="7"/>
  <c r="J328" i="7" s="1"/>
  <c r="F433" i="7"/>
  <c r="J433" i="7" s="1"/>
  <c r="U433" i="7"/>
  <c r="F183" i="7"/>
  <c r="J183" i="7" s="1"/>
  <c r="U183" i="7"/>
  <c r="F154" i="7"/>
  <c r="J154" i="7" s="1"/>
  <c r="U154" i="7"/>
  <c r="F139" i="7"/>
  <c r="J139" i="7" s="1"/>
  <c r="U139" i="7"/>
  <c r="F127" i="7"/>
  <c r="J127" i="7" s="1"/>
  <c r="U127" i="7"/>
  <c r="U412" i="7"/>
  <c r="F412" i="7"/>
  <c r="J412" i="7" s="1"/>
  <c r="U336" i="7"/>
  <c r="F336" i="7"/>
  <c r="J336" i="7" s="1"/>
  <c r="F273" i="7"/>
  <c r="J273" i="7" s="1"/>
  <c r="U273" i="7"/>
  <c r="F74" i="7"/>
  <c r="J74" i="7" s="1"/>
  <c r="U74" i="7"/>
  <c r="F425" i="7"/>
  <c r="J425" i="7" s="1"/>
  <c r="U425" i="7"/>
  <c r="F106" i="7"/>
  <c r="J106" i="7" s="1"/>
  <c r="U106" i="7"/>
  <c r="F392" i="7"/>
  <c r="J392" i="7" s="1"/>
  <c r="U392" i="7"/>
  <c r="U71" i="7"/>
  <c r="F71" i="7"/>
  <c r="J71" i="7" s="1"/>
  <c r="U249" i="7"/>
  <c r="F249" i="7"/>
  <c r="J249" i="7" s="1"/>
  <c r="U490" i="7"/>
  <c r="F490" i="7"/>
  <c r="J490" i="7" s="1"/>
  <c r="U201" i="7"/>
  <c r="F201" i="7"/>
  <c r="J201" i="7" s="1"/>
  <c r="U390" i="7"/>
  <c r="F390" i="7"/>
  <c r="J390" i="7" s="1"/>
  <c r="F371" i="7"/>
  <c r="J371" i="7" s="1"/>
  <c r="U371" i="7"/>
  <c r="F279" i="7"/>
  <c r="J279" i="7" s="1"/>
  <c r="U279" i="7"/>
  <c r="F31" i="7"/>
  <c r="J31" i="7" s="1"/>
  <c r="F123" i="7"/>
  <c r="J123" i="7" s="1"/>
  <c r="U123" i="7"/>
  <c r="F151" i="7"/>
  <c r="J151" i="7" s="1"/>
  <c r="U151" i="7"/>
  <c r="F85" i="7"/>
  <c r="J85" i="7" s="1"/>
  <c r="U85" i="7"/>
  <c r="U337" i="7"/>
  <c r="F337" i="7"/>
  <c r="J337" i="7" s="1"/>
  <c r="F291" i="7"/>
  <c r="J291" i="7" s="1"/>
  <c r="U291" i="7"/>
  <c r="U83" i="7"/>
  <c r="F83" i="7"/>
  <c r="J83" i="7" s="1"/>
  <c r="F449" i="7"/>
  <c r="J449" i="7" s="1"/>
  <c r="U449" i="7"/>
  <c r="F372" i="7"/>
  <c r="J372" i="7" s="1"/>
  <c r="U372" i="7"/>
  <c r="U101" i="7"/>
  <c r="F101" i="7"/>
  <c r="J101" i="7" s="1"/>
  <c r="U452" i="7"/>
  <c r="F452" i="7"/>
  <c r="J452" i="7" s="1"/>
  <c r="U109" i="7"/>
  <c r="F109" i="7"/>
  <c r="J109" i="7" s="1"/>
  <c r="U112" i="7"/>
  <c r="F112" i="7"/>
  <c r="J112" i="7" s="1"/>
  <c r="U218" i="7"/>
  <c r="F218" i="7"/>
  <c r="J218" i="7" s="1"/>
  <c r="F289" i="7"/>
  <c r="J289" i="7" s="1"/>
  <c r="U289" i="7"/>
  <c r="F301" i="7"/>
  <c r="J301" i="7" s="1"/>
  <c r="U301" i="7"/>
  <c r="U75" i="7"/>
  <c r="F75" i="7"/>
  <c r="J75" i="7" s="1"/>
  <c r="F115" i="7"/>
  <c r="J115" i="7" s="1"/>
  <c r="U115" i="7"/>
  <c r="F501" i="7"/>
  <c r="J501" i="7" s="1"/>
  <c r="U501" i="7"/>
  <c r="F446" i="7"/>
  <c r="J446" i="7" s="1"/>
  <c r="U446" i="7"/>
  <c r="F235" i="7"/>
  <c r="J235" i="7" s="1"/>
  <c r="U235" i="7"/>
  <c r="U203" i="7"/>
  <c r="F203" i="7"/>
  <c r="J203" i="7" s="1"/>
  <c r="U194" i="7"/>
  <c r="F194" i="7"/>
  <c r="J194" i="7" s="1"/>
  <c r="F91" i="7"/>
  <c r="J91" i="7" s="1"/>
  <c r="U91" i="7"/>
  <c r="F461" i="7"/>
  <c r="J461" i="7" s="1"/>
  <c r="U461" i="7"/>
  <c r="U447" i="7"/>
  <c r="F447" i="7"/>
  <c r="J447" i="7" s="1"/>
  <c r="F353" i="7"/>
  <c r="J353" i="7" s="1"/>
  <c r="U353" i="7"/>
  <c r="U225" i="7"/>
  <c r="F225" i="7"/>
  <c r="J225" i="7" s="1"/>
  <c r="F415" i="7"/>
  <c r="J415" i="7" s="1"/>
  <c r="U415" i="7"/>
  <c r="F285" i="7"/>
  <c r="J285" i="7" s="1"/>
  <c r="U285" i="7"/>
  <c r="U208" i="7"/>
  <c r="F208" i="7"/>
  <c r="J208" i="7" s="1"/>
  <c r="F44" i="7"/>
  <c r="J44" i="7" s="1"/>
  <c r="F211" i="7"/>
  <c r="J211" i="7" s="1"/>
  <c r="U211" i="7"/>
  <c r="F108" i="7"/>
  <c r="J108" i="7" s="1"/>
  <c r="U108" i="7"/>
  <c r="F166" i="7"/>
  <c r="J166" i="7" s="1"/>
  <c r="U166" i="7"/>
  <c r="F173" i="7"/>
  <c r="J173" i="7" s="1"/>
  <c r="U173" i="7"/>
  <c r="F500" i="7"/>
  <c r="J500" i="7" s="1"/>
  <c r="U500" i="7"/>
  <c r="F306" i="7"/>
  <c r="J306" i="7" s="1"/>
  <c r="U306" i="7"/>
  <c r="U26" i="7"/>
  <c r="F26" i="7"/>
  <c r="F39" i="7"/>
  <c r="J39" i="7" s="1"/>
  <c r="F349" i="7"/>
  <c r="J349" i="7" s="1"/>
  <c r="U349" i="7"/>
  <c r="F401" i="7"/>
  <c r="J401" i="7" s="1"/>
  <c r="U401" i="7"/>
  <c r="F350" i="7"/>
  <c r="J350" i="7" s="1"/>
  <c r="U350" i="7"/>
  <c r="F343" i="7"/>
  <c r="J343" i="7" s="1"/>
  <c r="U343" i="7"/>
  <c r="F97" i="7"/>
  <c r="J97" i="7" s="1"/>
  <c r="U97" i="7"/>
  <c r="U404" i="7"/>
  <c r="F404" i="7"/>
  <c r="J404" i="7" s="1"/>
  <c r="U361" i="7"/>
  <c r="F361" i="7"/>
  <c r="J361" i="7" s="1"/>
  <c r="F309" i="7"/>
  <c r="J309" i="7" s="1"/>
  <c r="U309" i="7"/>
  <c r="F27" i="7"/>
  <c r="F400" i="7"/>
  <c r="J400" i="7" s="1"/>
  <c r="U400" i="7"/>
  <c r="F185" i="7"/>
  <c r="J185" i="7" s="1"/>
  <c r="U185" i="7"/>
  <c r="F333" i="7"/>
  <c r="J333" i="7" s="1"/>
  <c r="U333" i="7"/>
  <c r="U464" i="7"/>
  <c r="F464" i="7"/>
  <c r="J464" i="7" s="1"/>
  <c r="F517" i="7"/>
  <c r="J517" i="7" s="1"/>
  <c r="U517" i="7"/>
  <c r="F314" i="7"/>
  <c r="J314" i="7" s="1"/>
  <c r="U314" i="7"/>
  <c r="F61" i="7"/>
  <c r="J61" i="7" s="1"/>
  <c r="F442" i="7"/>
  <c r="J442" i="7" s="1"/>
  <c r="U442" i="7"/>
  <c r="F256" i="7"/>
  <c r="J256" i="7" s="1"/>
  <c r="U256" i="7"/>
  <c r="U261" i="7"/>
  <c r="F261" i="7"/>
  <c r="J261" i="7" s="1"/>
  <c r="U167" i="7"/>
  <c r="F167" i="7"/>
  <c r="J167" i="7" s="1"/>
  <c r="F465" i="7"/>
  <c r="J465" i="7" s="1"/>
  <c r="U465" i="7"/>
  <c r="F481" i="7"/>
  <c r="J481" i="7" s="1"/>
  <c r="U481" i="7"/>
  <c r="F272" i="7"/>
  <c r="J272" i="7" s="1"/>
  <c r="U272" i="7"/>
  <c r="F174" i="7"/>
  <c r="J174" i="7" s="1"/>
  <c r="U174" i="7"/>
  <c r="U221" i="7"/>
  <c r="F221" i="7"/>
  <c r="J221" i="7" s="1"/>
  <c r="U413" i="7"/>
  <c r="F413" i="7"/>
  <c r="J413" i="7" s="1"/>
  <c r="U242" i="7"/>
  <c r="F242" i="7"/>
  <c r="J242" i="7" s="1"/>
  <c r="F134" i="7"/>
  <c r="J134" i="7" s="1"/>
  <c r="U134" i="7"/>
  <c r="F110" i="7"/>
  <c r="J110" i="7" s="1"/>
  <c r="U110" i="7"/>
  <c r="U288" i="7"/>
  <c r="F288" i="7"/>
  <c r="J288" i="7" s="1"/>
  <c r="F295" i="7"/>
  <c r="J295" i="7" s="1"/>
  <c r="U295" i="7"/>
  <c r="F340" i="7"/>
  <c r="J340" i="7" s="1"/>
  <c r="U340" i="7"/>
  <c r="F100" i="7"/>
  <c r="J100" i="7" s="1"/>
  <c r="U100" i="7"/>
  <c r="F213" i="7"/>
  <c r="J213" i="7" s="1"/>
  <c r="U213" i="7"/>
  <c r="F216" i="7"/>
  <c r="J216" i="7" s="1"/>
  <c r="U216" i="7"/>
  <c r="F247" i="7"/>
  <c r="J247" i="7" s="1"/>
  <c r="U247" i="7"/>
  <c r="F364" i="7"/>
  <c r="J364" i="7" s="1"/>
  <c r="U364" i="7"/>
  <c r="U402" i="7"/>
  <c r="F402" i="7"/>
  <c r="J402" i="7" s="1"/>
  <c r="F260" i="7"/>
  <c r="J260" i="7" s="1"/>
  <c r="U260" i="7"/>
  <c r="U267" i="7"/>
  <c r="F267" i="7"/>
  <c r="J267" i="7" s="1"/>
  <c r="U254" i="7"/>
  <c r="F254" i="7"/>
  <c r="J254" i="7" s="1"/>
  <c r="F318" i="7"/>
  <c r="J318" i="7" s="1"/>
  <c r="U318" i="7"/>
  <c r="F410" i="7"/>
  <c r="J410" i="7" s="1"/>
  <c r="U410" i="7"/>
  <c r="F161" i="7"/>
  <c r="J161" i="7" s="1"/>
  <c r="U161" i="7"/>
  <c r="F322" i="7"/>
  <c r="J322" i="7" s="1"/>
  <c r="U322" i="7"/>
  <c r="F103" i="7"/>
  <c r="J103" i="7" s="1"/>
  <c r="U103" i="7"/>
  <c r="F35" i="7"/>
  <c r="J35" i="7" s="1"/>
  <c r="F54" i="7"/>
  <c r="J54" i="7" s="1"/>
  <c r="F121" i="7"/>
  <c r="J121" i="7" s="1"/>
  <c r="U121" i="7"/>
  <c r="F308" i="7"/>
  <c r="J308" i="7" s="1"/>
  <c r="U308" i="7"/>
  <c r="U255" i="7"/>
  <c r="F255" i="7"/>
  <c r="J255" i="7" s="1"/>
  <c r="U160" i="7"/>
  <c r="F160" i="7"/>
  <c r="J160" i="7" s="1"/>
  <c r="U354" i="7"/>
  <c r="F354" i="7"/>
  <c r="J354" i="7" s="1"/>
  <c r="F266" i="7"/>
  <c r="J266" i="7" s="1"/>
  <c r="U266" i="7"/>
  <c r="F342" i="7"/>
  <c r="J342" i="7" s="1"/>
  <c r="U342" i="7"/>
  <c r="U277" i="7"/>
  <c r="F277" i="7"/>
  <c r="J277" i="7" s="1"/>
  <c r="F184" i="7"/>
  <c r="J184" i="7" s="1"/>
  <c r="U184" i="7"/>
  <c r="F360" i="7"/>
  <c r="J360" i="7" s="1"/>
  <c r="U360" i="7"/>
  <c r="F422" i="7"/>
  <c r="J422" i="7" s="1"/>
  <c r="U422" i="7"/>
  <c r="U487" i="7"/>
  <c r="F487" i="7"/>
  <c r="J487" i="7" s="1"/>
  <c r="F62" i="7"/>
  <c r="J62" i="7" s="1"/>
  <c r="F153" i="7"/>
  <c r="J153" i="7" s="1"/>
  <c r="U153" i="7"/>
  <c r="F122" i="7"/>
  <c r="J122" i="7" s="1"/>
  <c r="U122" i="7"/>
  <c r="U241" i="7"/>
  <c r="F241" i="7"/>
  <c r="J241" i="7" s="1"/>
  <c r="F307" i="7"/>
  <c r="J307" i="7" s="1"/>
  <c r="U307" i="7"/>
  <c r="F204" i="7"/>
  <c r="J204" i="7" s="1"/>
  <c r="U204" i="7"/>
  <c r="U520" i="7"/>
  <c r="F520" i="7"/>
  <c r="J520" i="7" s="1"/>
  <c r="U385" i="7"/>
  <c r="F385" i="7"/>
  <c r="J385" i="7" s="1"/>
  <c r="U393" i="7"/>
  <c r="F393" i="7"/>
  <c r="J393" i="7" s="1"/>
  <c r="U472" i="7"/>
  <c r="F472" i="7"/>
  <c r="J472" i="7" s="1"/>
  <c r="U284" i="7"/>
  <c r="F284" i="7"/>
  <c r="J284" i="7" s="1"/>
  <c r="F477" i="7"/>
  <c r="J477" i="7" s="1"/>
  <c r="U477" i="7"/>
  <c r="F237" i="7"/>
  <c r="J237" i="7" s="1"/>
  <c r="U237" i="7"/>
  <c r="U386" i="7"/>
  <c r="F386" i="7"/>
  <c r="J386" i="7" s="1"/>
  <c r="F243" i="7"/>
  <c r="J243" i="7" s="1"/>
  <c r="U243" i="7"/>
  <c r="U411" i="7"/>
  <c r="F411" i="7"/>
  <c r="J411" i="7" s="1"/>
  <c r="F325" i="7"/>
  <c r="J325" i="7" s="1"/>
  <c r="U325" i="7"/>
  <c r="F53" i="7"/>
  <c r="J53" i="7" s="1"/>
  <c r="U299" i="7"/>
  <c r="F299" i="7"/>
  <c r="J299" i="7" s="1"/>
  <c r="F408" i="7"/>
  <c r="J408" i="7" s="1"/>
  <c r="U408" i="7"/>
  <c r="U485" i="7"/>
  <c r="F485" i="7"/>
  <c r="J485" i="7" s="1"/>
  <c r="F78" i="7"/>
  <c r="J78" i="7" s="1"/>
  <c r="U78" i="7"/>
  <c r="U456" i="7"/>
  <c r="F456" i="7"/>
  <c r="J456" i="7" s="1"/>
  <c r="F460" i="7"/>
  <c r="J460" i="7" s="1"/>
  <c r="U460" i="7"/>
  <c r="U152" i="7"/>
  <c r="F152" i="7"/>
  <c r="J152" i="7" s="1"/>
  <c r="U381" i="7"/>
  <c r="F381" i="7"/>
  <c r="J381" i="7" s="1"/>
  <c r="F367" i="7"/>
  <c r="J367" i="7" s="1"/>
  <c r="U367" i="7"/>
  <c r="F29" i="7"/>
  <c r="J29" i="7" s="1"/>
  <c r="F420" i="7"/>
  <c r="J420" i="7" s="1"/>
  <c r="U420" i="7"/>
  <c r="U282" i="7"/>
  <c r="F282" i="7"/>
  <c r="J282" i="7" s="1"/>
  <c r="F515" i="7"/>
  <c r="J515" i="7" s="1"/>
  <c r="U515" i="7"/>
  <c r="F439" i="7"/>
  <c r="J439" i="7" s="1"/>
  <c r="U439" i="7"/>
  <c r="F510" i="7"/>
  <c r="J510" i="7" s="1"/>
  <c r="U510" i="7"/>
  <c r="F326" i="7"/>
  <c r="J326" i="7" s="1"/>
  <c r="U326" i="7"/>
  <c r="U283" i="7"/>
  <c r="F283" i="7"/>
  <c r="J283" i="7" s="1"/>
  <c r="F37" i="7"/>
  <c r="J37" i="7" s="1"/>
  <c r="F202" i="7"/>
  <c r="J202" i="7" s="1"/>
  <c r="U202" i="7"/>
  <c r="F120" i="7"/>
  <c r="J120" i="7" s="1"/>
  <c r="U120" i="7"/>
  <c r="U389" i="7"/>
  <c r="F389" i="7"/>
  <c r="J389" i="7" s="1"/>
  <c r="U145" i="7"/>
  <c r="F145" i="7"/>
  <c r="J145" i="7" s="1"/>
  <c r="U320" i="7"/>
  <c r="F320" i="7"/>
  <c r="J320" i="7" s="1"/>
  <c r="F365" i="7"/>
  <c r="J365" i="7" s="1"/>
  <c r="U365" i="7"/>
  <c r="F290" i="7"/>
  <c r="J290" i="7" s="1"/>
  <c r="U290" i="7"/>
  <c r="F300" i="7"/>
  <c r="J300" i="7" s="1"/>
  <c r="U300" i="7"/>
  <c r="F276" i="7"/>
  <c r="J276" i="7" s="1"/>
  <c r="U276" i="7"/>
  <c r="F315" i="7"/>
  <c r="J315" i="7" s="1"/>
  <c r="U315" i="7"/>
  <c r="U280" i="7"/>
  <c r="F280" i="7"/>
  <c r="J280" i="7" s="1"/>
  <c r="U168" i="7"/>
  <c r="F168" i="7"/>
  <c r="J168" i="7" s="1"/>
  <c r="F22" i="7"/>
  <c r="F302" i="7"/>
  <c r="J302" i="7" s="1"/>
  <c r="U302" i="7"/>
  <c r="F516" i="7"/>
  <c r="J516" i="7" s="1"/>
  <c r="U516" i="7"/>
  <c r="F165" i="7"/>
  <c r="J165" i="7" s="1"/>
  <c r="U165" i="7"/>
  <c r="F391" i="7"/>
  <c r="J391" i="7" s="1"/>
  <c r="U391" i="7"/>
  <c r="F475" i="7"/>
  <c r="J475" i="7" s="1"/>
  <c r="U475" i="7"/>
  <c r="F246" i="7"/>
  <c r="J246" i="7" s="1"/>
  <c r="U246" i="7"/>
  <c r="U274" i="7"/>
  <c r="F274" i="7"/>
  <c r="J274" i="7" s="1"/>
  <c r="F335" i="7"/>
  <c r="J335" i="7" s="1"/>
  <c r="U335" i="7"/>
  <c r="F379" i="7"/>
  <c r="J379" i="7" s="1"/>
  <c r="U379" i="7"/>
  <c r="U186" i="7"/>
  <c r="F186" i="7"/>
  <c r="J186" i="7" s="1"/>
  <c r="F434" i="7"/>
  <c r="J434" i="7" s="1"/>
  <c r="U434" i="7"/>
  <c r="F90" i="7"/>
  <c r="J90" i="7" s="1"/>
  <c r="U90" i="7"/>
  <c r="F59" i="7"/>
  <c r="J59" i="7" s="1"/>
  <c r="F65" i="7"/>
  <c r="J65" i="7" s="1"/>
  <c r="F142" i="7"/>
  <c r="J142" i="7" s="1"/>
  <c r="U142" i="7"/>
  <c r="F377" i="7"/>
  <c r="J377" i="7" s="1"/>
  <c r="U377" i="7"/>
  <c r="U114" i="7"/>
  <c r="F114" i="7"/>
  <c r="J114" i="7" s="1"/>
  <c r="U220" i="7"/>
  <c r="F220" i="7"/>
  <c r="J220" i="7" s="1"/>
  <c r="F430" i="7"/>
  <c r="J430" i="7" s="1"/>
  <c r="U430" i="7"/>
  <c r="F141" i="7"/>
  <c r="J141" i="7" s="1"/>
  <c r="U141" i="7"/>
  <c r="U366" i="7"/>
  <c r="F366" i="7"/>
  <c r="J366" i="7" s="1"/>
  <c r="F287" i="7"/>
  <c r="J287" i="7" s="1"/>
  <c r="U287" i="7"/>
  <c r="F180" i="7"/>
  <c r="J180" i="7" s="1"/>
  <c r="U180" i="7"/>
  <c r="F46" i="7"/>
  <c r="J46" i="7" s="1"/>
  <c r="U486" i="7"/>
  <c r="F486" i="7"/>
  <c r="J486" i="7" s="1"/>
  <c r="F199" i="7"/>
  <c r="J199" i="7" s="1"/>
  <c r="U199" i="7"/>
  <c r="F49" i="7"/>
  <c r="J49" i="7" s="1"/>
  <c r="F493" i="7"/>
  <c r="J493" i="7" s="1"/>
  <c r="U493" i="7"/>
  <c r="F43" i="7"/>
  <c r="J43" i="7" s="1"/>
  <c r="U193" i="7"/>
  <c r="F193" i="7"/>
  <c r="J193" i="7" s="1"/>
  <c r="F262" i="7"/>
  <c r="J262" i="7" s="1"/>
  <c r="U262" i="7"/>
  <c r="F399" i="7"/>
  <c r="J399" i="7" s="1"/>
  <c r="U399" i="7"/>
  <c r="U269" i="7"/>
  <c r="F269" i="7"/>
  <c r="J269" i="7" s="1"/>
  <c r="U432" i="7"/>
  <c r="F432" i="7"/>
  <c r="J432" i="7" s="1"/>
  <c r="F80" i="7"/>
  <c r="J80" i="7" s="1"/>
  <c r="U80" i="7"/>
  <c r="F508" i="7"/>
  <c r="J508" i="7" s="1"/>
  <c r="U508" i="7"/>
  <c r="U230" i="7"/>
  <c r="F230" i="7"/>
  <c r="J230" i="7" s="1"/>
  <c r="F60" i="7"/>
  <c r="J60" i="7" s="1"/>
  <c r="U105" i="7"/>
  <c r="F105" i="7"/>
  <c r="J105" i="7" s="1"/>
  <c r="U429" i="7"/>
  <c r="F429" i="7"/>
  <c r="J429" i="7" s="1"/>
  <c r="F40" i="7"/>
  <c r="J40" i="7" s="1"/>
  <c r="F68" i="7"/>
  <c r="J68" i="7" s="1"/>
  <c r="F36" i="7"/>
  <c r="J36" i="7" s="1"/>
  <c r="F396" i="7"/>
  <c r="J396" i="7" s="1"/>
  <c r="U396" i="7"/>
  <c r="F162" i="7"/>
  <c r="J162" i="7" s="1"/>
  <c r="U162" i="7"/>
  <c r="F72" i="7"/>
  <c r="J72" i="7" s="1"/>
  <c r="U72" i="7"/>
  <c r="F188" i="7"/>
  <c r="J188" i="7" s="1"/>
  <c r="U188" i="7"/>
  <c r="U394" i="7"/>
  <c r="F394" i="7"/>
  <c r="J394" i="7" s="1"/>
  <c r="U444" i="7"/>
  <c r="F444" i="7"/>
  <c r="J444" i="7" s="1"/>
  <c r="F495" i="7"/>
  <c r="J495" i="7" s="1"/>
  <c r="U495" i="7"/>
  <c r="U304" i="7"/>
  <c r="F304" i="7"/>
  <c r="J304" i="7" s="1"/>
  <c r="U187" i="7"/>
  <c r="F187" i="7"/>
  <c r="J187" i="7" s="1"/>
  <c r="F92" i="7"/>
  <c r="J92" i="7" s="1"/>
  <c r="U92" i="7"/>
  <c r="F286" i="7"/>
  <c r="J286" i="7" s="1"/>
  <c r="U286" i="7"/>
  <c r="F338" i="7"/>
  <c r="J338" i="7" s="1"/>
  <c r="U338" i="7"/>
  <c r="F66" i="7"/>
  <c r="J66" i="7" s="1"/>
  <c r="U383" i="7"/>
  <c r="F383" i="7"/>
  <c r="J383" i="7" s="1"/>
  <c r="U137" i="7"/>
  <c r="F137" i="7"/>
  <c r="J137" i="7" s="1"/>
  <c r="F264" i="7"/>
  <c r="J264" i="7" s="1"/>
  <c r="U264" i="7"/>
  <c r="F499" i="7"/>
  <c r="J499" i="7" s="1"/>
  <c r="U499" i="7"/>
  <c r="F88" i="7"/>
  <c r="J88" i="7" s="1"/>
  <c r="U88" i="7"/>
  <c r="U440" i="7"/>
  <c r="F440" i="7"/>
  <c r="J440" i="7" s="1"/>
  <c r="F505" i="7"/>
  <c r="J505" i="7" s="1"/>
  <c r="U505" i="7"/>
  <c r="F33" i="7"/>
  <c r="J33" i="7" s="1"/>
  <c r="F459" i="7"/>
  <c r="J459" i="7" s="1"/>
  <c r="U459" i="7"/>
  <c r="U104" i="7"/>
  <c r="F104" i="7"/>
  <c r="J104" i="7" s="1"/>
  <c r="F144" i="7"/>
  <c r="J144" i="7" s="1"/>
  <c r="U144" i="7"/>
  <c r="F478" i="7"/>
  <c r="J478" i="7" s="1"/>
  <c r="U478" i="7"/>
  <c r="U275" i="7"/>
  <c r="F275" i="7"/>
  <c r="J275" i="7" s="1"/>
  <c r="U233" i="7"/>
  <c r="F233" i="7"/>
  <c r="J233" i="7" s="1"/>
  <c r="F321" i="7"/>
  <c r="J321" i="7" s="1"/>
  <c r="U321" i="7"/>
  <c r="F192" i="7"/>
  <c r="J192" i="7" s="1"/>
  <c r="U192" i="7"/>
  <c r="U428" i="7"/>
  <c r="F428" i="7"/>
  <c r="J428" i="7" s="1"/>
  <c r="F159" i="7"/>
  <c r="J159" i="7" s="1"/>
  <c r="U159" i="7"/>
  <c r="U268" i="7"/>
  <c r="F268" i="7"/>
  <c r="J268" i="7" s="1"/>
  <c r="F28" i="7"/>
  <c r="F359" i="7"/>
  <c r="J359" i="7" s="1"/>
  <c r="U359" i="7"/>
  <c r="U215" i="7"/>
  <c r="F215" i="7"/>
  <c r="J215" i="7" s="1"/>
  <c r="F431" i="7"/>
  <c r="J431" i="7" s="1"/>
  <c r="U431" i="7"/>
  <c r="F339" i="7"/>
  <c r="J339" i="7" s="1"/>
  <c r="U339" i="7"/>
  <c r="F416" i="7"/>
  <c r="J416" i="7" s="1"/>
  <c r="U416" i="7"/>
  <c r="F87" i="7"/>
  <c r="J87" i="7" s="1"/>
  <c r="U87" i="7"/>
  <c r="F319" i="7"/>
  <c r="J319" i="7" s="1"/>
  <c r="U319" i="7"/>
  <c r="F70" i="7"/>
  <c r="J70" i="7" s="1"/>
  <c r="F96" i="7"/>
  <c r="J96" i="7" s="1"/>
  <c r="U96" i="7"/>
  <c r="F471" i="7"/>
  <c r="J471" i="7" s="1"/>
  <c r="U471" i="7"/>
  <c r="F95" i="7"/>
  <c r="J95" i="7" s="1"/>
  <c r="U95" i="7"/>
  <c r="F45" i="7"/>
  <c r="J45" i="7" s="1"/>
  <c r="U469" i="7"/>
  <c r="F469" i="7"/>
  <c r="J469" i="7" s="1"/>
  <c r="F296" i="7"/>
  <c r="J296" i="7" s="1"/>
  <c r="U296" i="7"/>
  <c r="U84" i="7"/>
  <c r="F84" i="7"/>
  <c r="J84" i="7" s="1"/>
  <c r="F47" i="7"/>
  <c r="J47" i="7" s="1"/>
  <c r="F50" i="7"/>
  <c r="J50" i="7" s="1"/>
  <c r="F473" i="7"/>
  <c r="J473" i="7" s="1"/>
  <c r="U473" i="7"/>
  <c r="F125" i="7"/>
  <c r="J125" i="7" s="1"/>
  <c r="U125" i="7"/>
  <c r="F126" i="7"/>
  <c r="J126" i="7" s="1"/>
  <c r="U126" i="7"/>
  <c r="F98" i="7"/>
  <c r="J98" i="7" s="1"/>
  <c r="U98" i="7"/>
  <c r="U375" i="7"/>
  <c r="F375" i="7"/>
  <c r="J375" i="7" s="1"/>
  <c r="F143" i="7"/>
  <c r="J143" i="7" s="1"/>
  <c r="U143" i="7"/>
  <c r="F476" i="7"/>
  <c r="J476" i="7" s="1"/>
  <c r="U476" i="7"/>
  <c r="F345" i="7"/>
  <c r="J345" i="7" s="1"/>
  <c r="U345" i="7"/>
  <c r="F259" i="7"/>
  <c r="J259" i="7" s="1"/>
  <c r="U259" i="7"/>
  <c r="F148" i="7"/>
  <c r="J148" i="7" s="1"/>
  <c r="U148" i="7"/>
  <c r="F200" i="7"/>
  <c r="J200" i="7" s="1"/>
  <c r="U200" i="7"/>
  <c r="F509" i="7"/>
  <c r="J509" i="7" s="1"/>
  <c r="U509" i="7"/>
  <c r="U512" i="7"/>
  <c r="F512" i="7"/>
  <c r="J512" i="7" s="1"/>
  <c r="F219" i="7"/>
  <c r="J219" i="7" s="1"/>
  <c r="U219" i="7"/>
  <c r="F73" i="7"/>
  <c r="J73" i="7" s="1"/>
  <c r="U73" i="7"/>
  <c r="F89" i="7"/>
  <c r="J89" i="7" s="1"/>
  <c r="U89" i="7"/>
  <c r="U238" i="7"/>
  <c r="F238" i="7"/>
  <c r="J238" i="7" s="1"/>
  <c r="F271" i="7"/>
  <c r="J271" i="7" s="1"/>
  <c r="U271" i="7"/>
  <c r="F373" i="7"/>
  <c r="J373" i="7" s="1"/>
  <c r="U373" i="7"/>
  <c r="U81" i="7"/>
  <c r="F81" i="7"/>
  <c r="J81" i="7" s="1"/>
  <c r="F222" i="7"/>
  <c r="J222" i="7" s="1"/>
  <c r="U222" i="7"/>
  <c r="U86" i="7"/>
  <c r="F86" i="7"/>
  <c r="J86" i="7" s="1"/>
  <c r="F438" i="7"/>
  <c r="J438" i="7" s="1"/>
  <c r="U438" i="7"/>
  <c r="U467" i="7"/>
  <c r="F467" i="7"/>
  <c r="J467" i="7" s="1"/>
  <c r="F370" i="7"/>
  <c r="J370" i="7" s="1"/>
  <c r="U370" i="7"/>
  <c r="F119" i="7"/>
  <c r="J119" i="7" s="1"/>
  <c r="U119" i="7"/>
  <c r="F34" i="7"/>
  <c r="J34" i="7" s="1"/>
  <c r="F455" i="7"/>
  <c r="J455" i="7" s="1"/>
  <c r="U455" i="7"/>
  <c r="F99" i="7"/>
  <c r="J99" i="7" s="1"/>
  <c r="U99" i="7"/>
  <c r="F67" i="7"/>
  <c r="J67" i="7" s="1"/>
  <c r="U206" i="7"/>
  <c r="F206" i="7"/>
  <c r="J206" i="7" s="1"/>
  <c r="F79" i="7"/>
  <c r="J79" i="7" s="1"/>
  <c r="U79" i="7"/>
  <c r="F331" i="7"/>
  <c r="J331" i="7" s="1"/>
  <c r="U331" i="7"/>
  <c r="F327" i="7"/>
  <c r="J327" i="7" s="1"/>
  <c r="U327" i="7"/>
  <c r="U384" i="7"/>
  <c r="F384" i="7"/>
  <c r="J384" i="7" s="1"/>
  <c r="F189" i="7"/>
  <c r="J189" i="7" s="1"/>
  <c r="U189" i="7"/>
  <c r="U305" i="7"/>
  <c r="F305" i="7"/>
  <c r="J305" i="7" s="1"/>
  <c r="F130" i="7"/>
  <c r="J130" i="7" s="1"/>
  <c r="U130" i="7"/>
  <c r="F135" i="7"/>
  <c r="J135" i="7" s="1"/>
  <c r="U135" i="7"/>
  <c r="F351" i="7"/>
  <c r="J351" i="7" s="1"/>
  <c r="U351" i="7"/>
  <c r="U128" i="7"/>
  <c r="F128" i="7"/>
  <c r="J128" i="7" s="1"/>
  <c r="F224" i="7"/>
  <c r="J224" i="7" s="1"/>
  <c r="U224" i="7"/>
  <c r="F407" i="7"/>
  <c r="J407" i="7" s="1"/>
  <c r="U407" i="7"/>
  <c r="F511" i="7"/>
  <c r="J511" i="7" s="1"/>
  <c r="U511" i="7"/>
  <c r="U397" i="7"/>
  <c r="F397" i="7"/>
  <c r="J397" i="7" s="1"/>
  <c r="F30" i="7"/>
  <c r="J30" i="7" s="1"/>
  <c r="U421" i="7"/>
  <c r="F421" i="7"/>
  <c r="J421" i="7" s="1"/>
  <c r="F133" i="7"/>
  <c r="J133" i="7" s="1"/>
  <c r="U133" i="7"/>
  <c r="U228" i="7"/>
  <c r="F228" i="7"/>
  <c r="J228" i="7" s="1"/>
  <c r="F298" i="7"/>
  <c r="J298" i="7" s="1"/>
  <c r="U298" i="7"/>
  <c r="F313" i="7"/>
  <c r="J313" i="7" s="1"/>
  <c r="U313" i="7"/>
  <c r="F479" i="7"/>
  <c r="J479" i="7" s="1"/>
  <c r="U479" i="7"/>
  <c r="U164" i="7"/>
  <c r="F164" i="7"/>
  <c r="J164" i="7" s="1"/>
  <c r="U170" i="7"/>
  <c r="F170" i="7"/>
  <c r="J170" i="7" s="1"/>
  <c r="U498" i="7"/>
  <c r="F498" i="7"/>
  <c r="J498" i="7" s="1"/>
  <c r="F32" i="7"/>
  <c r="J32" i="7" s="1"/>
  <c r="U369" i="7"/>
  <c r="F369" i="7"/>
  <c r="J369" i="7" s="1"/>
  <c r="F297" i="7"/>
  <c r="J297" i="7" s="1"/>
  <c r="U297" i="7"/>
  <c r="U484" i="7"/>
  <c r="F484" i="7"/>
  <c r="J484" i="7" s="1"/>
  <c r="U346" i="7"/>
  <c r="F346" i="7"/>
  <c r="J346" i="7" s="1"/>
  <c r="U380" i="7"/>
  <c r="F380" i="7"/>
  <c r="J380" i="7" s="1"/>
  <c r="F494" i="7"/>
  <c r="J494" i="7" s="1"/>
  <c r="U494" i="7"/>
  <c r="F348" i="7"/>
  <c r="J348" i="7" s="1"/>
  <c r="U348" i="7"/>
  <c r="F198" i="7"/>
  <c r="J198" i="7" s="1"/>
  <c r="U198" i="7"/>
  <c r="U176" i="7"/>
  <c r="F176" i="7"/>
  <c r="J176" i="7" s="1"/>
  <c r="U25" i="7"/>
  <c r="F25" i="7"/>
  <c r="U398" i="7"/>
  <c r="F398" i="7"/>
  <c r="J398" i="7" s="1"/>
  <c r="F474" i="7"/>
  <c r="J474" i="7" s="1"/>
  <c r="U474" i="7"/>
  <c r="U113" i="7"/>
  <c r="F113" i="7"/>
  <c r="J113" i="7" s="1"/>
  <c r="U378" i="7"/>
  <c r="F378" i="7"/>
  <c r="J378" i="7" s="1"/>
  <c r="F382" i="7"/>
  <c r="J382" i="7" s="1"/>
  <c r="U382" i="7"/>
  <c r="U312" i="7"/>
  <c r="F312" i="7"/>
  <c r="J312" i="7" s="1"/>
  <c r="U358" i="7"/>
  <c r="F358" i="7"/>
  <c r="J358" i="7" s="1"/>
  <c r="U292" i="7"/>
  <c r="U310" i="7"/>
  <c r="W21" i="7"/>
  <c r="W23" i="7"/>
  <c r="J22" i="7" l="1"/>
  <c r="E17" i="8"/>
  <c r="E27" i="8"/>
  <c r="E514" i="8"/>
  <c r="E501" i="8"/>
  <c r="E429" i="8"/>
  <c r="E357" i="8"/>
  <c r="E285" i="8"/>
  <c r="E213" i="8"/>
  <c r="E141" i="8"/>
  <c r="E69" i="8"/>
  <c r="E214" i="8"/>
  <c r="E476" i="8"/>
  <c r="E404" i="8"/>
  <c r="E332" i="8"/>
  <c r="E260" i="8"/>
  <c r="E188" i="8"/>
  <c r="E116" i="8"/>
  <c r="E44" i="8"/>
  <c r="E46" i="8"/>
  <c r="E451" i="8"/>
  <c r="E379" i="8"/>
  <c r="E307" i="8"/>
  <c r="E235" i="8"/>
  <c r="E163" i="8"/>
  <c r="E91" i="8"/>
  <c r="E430" i="8"/>
  <c r="E414" i="8"/>
  <c r="E342" i="8"/>
  <c r="E270" i="8"/>
  <c r="E198" i="8"/>
  <c r="E126" i="8"/>
  <c r="E54" i="8"/>
  <c r="E58" i="8"/>
  <c r="E449" i="8"/>
  <c r="E377" i="8"/>
  <c r="E305" i="8"/>
  <c r="E233" i="8"/>
  <c r="E161" i="8"/>
  <c r="E89" i="8"/>
  <c r="E478" i="8"/>
  <c r="E484" i="8"/>
  <c r="E412" i="8"/>
  <c r="E340" i="8"/>
  <c r="E268" i="8"/>
  <c r="E196" i="8"/>
  <c r="E124" i="8"/>
  <c r="E52" i="8"/>
  <c r="E474" i="8"/>
  <c r="E447" i="8"/>
  <c r="E375" i="8"/>
  <c r="E303" i="8"/>
  <c r="E231" i="8"/>
  <c r="E159" i="8"/>
  <c r="E87" i="8"/>
  <c r="E454" i="8"/>
  <c r="E482" i="8"/>
  <c r="E410" i="8"/>
  <c r="E338" i="8"/>
  <c r="E266" i="8"/>
  <c r="E194" i="8"/>
  <c r="E122" i="8"/>
  <c r="E50" i="8"/>
  <c r="E486" i="8"/>
  <c r="E445" i="8"/>
  <c r="E373" i="8"/>
  <c r="E301" i="8"/>
  <c r="E229" i="8"/>
  <c r="E157" i="8"/>
  <c r="E85" i="8"/>
  <c r="E418" i="8"/>
  <c r="E480" i="8"/>
  <c r="E408" i="8"/>
  <c r="E336" i="8"/>
  <c r="E264" i="8"/>
  <c r="E192" i="8"/>
  <c r="E120" i="8"/>
  <c r="E48" i="8"/>
  <c r="E515" i="8"/>
  <c r="E443" i="8"/>
  <c r="E371" i="8"/>
  <c r="E299" i="8"/>
  <c r="E227" i="8"/>
  <c r="E155" i="8"/>
  <c r="E83" i="8"/>
  <c r="E382" i="8"/>
  <c r="E489" i="8"/>
  <c r="E417" i="8"/>
  <c r="E345" i="8"/>
  <c r="E273" i="8"/>
  <c r="E201" i="8"/>
  <c r="E129" i="8"/>
  <c r="E57" i="8"/>
  <c r="E94" i="8"/>
  <c r="E464" i="8"/>
  <c r="E392" i="8"/>
  <c r="E320" i="8"/>
  <c r="E248" i="8"/>
  <c r="E176" i="8"/>
  <c r="E104" i="8"/>
  <c r="E32" i="8"/>
  <c r="E511" i="8"/>
  <c r="E439" i="8"/>
  <c r="E367" i="8"/>
  <c r="E295" i="8"/>
  <c r="E223" i="8"/>
  <c r="E151" i="8"/>
  <c r="E79" i="8"/>
  <c r="E250" i="8"/>
  <c r="E402" i="8"/>
  <c r="E330" i="8"/>
  <c r="E258" i="8"/>
  <c r="E186" i="8"/>
  <c r="E114" i="8"/>
  <c r="E42" i="8"/>
  <c r="E509" i="8"/>
  <c r="E437" i="8"/>
  <c r="E365" i="8"/>
  <c r="E293" i="8"/>
  <c r="E221" i="8"/>
  <c r="E149" i="8"/>
  <c r="E77" i="8"/>
  <c r="E334" i="8"/>
  <c r="E472" i="8"/>
  <c r="E400" i="8"/>
  <c r="E328" i="8"/>
  <c r="E256" i="8"/>
  <c r="E184" i="8"/>
  <c r="E112" i="8"/>
  <c r="E40" i="8"/>
  <c r="E507" i="8"/>
  <c r="E435" i="8"/>
  <c r="E363" i="8"/>
  <c r="E291" i="8"/>
  <c r="E219" i="8"/>
  <c r="E147" i="8"/>
  <c r="E75" i="8"/>
  <c r="E322" i="8"/>
  <c r="E470" i="8"/>
  <c r="E398" i="8"/>
  <c r="E326" i="8"/>
  <c r="E254" i="8"/>
  <c r="E182" i="8"/>
  <c r="E110" i="8"/>
  <c r="E38" i="8"/>
  <c r="E505" i="8"/>
  <c r="E433" i="8"/>
  <c r="E361" i="8"/>
  <c r="E289" i="8"/>
  <c r="E217" i="8"/>
  <c r="E145" i="8"/>
  <c r="E73" i="8"/>
  <c r="E298" i="8"/>
  <c r="E468" i="8"/>
  <c r="E396" i="8"/>
  <c r="E324" i="8"/>
  <c r="E252" i="8"/>
  <c r="E180" i="8"/>
  <c r="E108" i="8"/>
  <c r="E36" i="8"/>
  <c r="E503" i="8"/>
  <c r="E431" i="8"/>
  <c r="E359" i="8"/>
  <c r="E287" i="8"/>
  <c r="E215" i="8"/>
  <c r="E143" i="8"/>
  <c r="E71" i="8"/>
  <c r="E262" i="8"/>
  <c r="E477" i="8"/>
  <c r="E405" i="8"/>
  <c r="E333" i="8"/>
  <c r="E261" i="8"/>
  <c r="E189" i="8"/>
  <c r="E117" i="8"/>
  <c r="E45" i="8"/>
  <c r="E34" i="8"/>
  <c r="E452" i="8"/>
  <c r="E380" i="8"/>
  <c r="E308" i="8"/>
  <c r="E236" i="8"/>
  <c r="E164" i="8"/>
  <c r="E92" i="8"/>
  <c r="E490" i="8"/>
  <c r="E499" i="8"/>
  <c r="E427" i="8"/>
  <c r="E355" i="8"/>
  <c r="E283" i="8"/>
  <c r="E211" i="8"/>
  <c r="E139" i="8"/>
  <c r="E67" i="8"/>
  <c r="E82" i="8"/>
  <c r="E390" i="8"/>
  <c r="E318" i="8"/>
  <c r="E246" i="8"/>
  <c r="E174" i="8"/>
  <c r="E102" i="8"/>
  <c r="E30" i="8"/>
  <c r="E497" i="8"/>
  <c r="E425" i="8"/>
  <c r="E353" i="8"/>
  <c r="E281" i="8"/>
  <c r="E209" i="8"/>
  <c r="E137" i="8"/>
  <c r="E65" i="8"/>
  <c r="E142" i="8"/>
  <c r="E460" i="8"/>
  <c r="E388" i="8"/>
  <c r="E316" i="8"/>
  <c r="E244" i="8"/>
  <c r="E172" i="8"/>
  <c r="E100" i="8"/>
  <c r="E28" i="8"/>
  <c r="E495" i="8"/>
  <c r="E423" i="8"/>
  <c r="E351" i="8"/>
  <c r="E279" i="8"/>
  <c r="E207" i="8"/>
  <c r="E135" i="8"/>
  <c r="E63" i="8"/>
  <c r="E178" i="8"/>
  <c r="E458" i="8"/>
  <c r="E386" i="8"/>
  <c r="E314" i="8"/>
  <c r="E242" i="8"/>
  <c r="E170" i="8"/>
  <c r="E98" i="8"/>
  <c r="E25" i="8"/>
  <c r="E493" i="8"/>
  <c r="E421" i="8"/>
  <c r="E349" i="8"/>
  <c r="E277" i="8"/>
  <c r="E205" i="8"/>
  <c r="E133" i="8"/>
  <c r="E61" i="8"/>
  <c r="E118" i="8"/>
  <c r="E456" i="8"/>
  <c r="E384" i="8"/>
  <c r="E312" i="8"/>
  <c r="E240" i="8"/>
  <c r="E168" i="8"/>
  <c r="E96" i="8"/>
  <c r="E502" i="8"/>
  <c r="E491" i="8"/>
  <c r="E419" i="8"/>
  <c r="E347" i="8"/>
  <c r="E275" i="8"/>
  <c r="E203" i="8"/>
  <c r="E131" i="8"/>
  <c r="E59" i="8"/>
  <c r="E202" i="8"/>
  <c r="E465" i="8"/>
  <c r="E393" i="8"/>
  <c r="E321" i="8"/>
  <c r="E249" i="8"/>
  <c r="E177" i="8"/>
  <c r="E105" i="8"/>
  <c r="E33" i="8"/>
  <c r="E512" i="8"/>
  <c r="E440" i="8"/>
  <c r="E368" i="8"/>
  <c r="E296" i="8"/>
  <c r="E224" i="8"/>
  <c r="E152" i="8"/>
  <c r="E80" i="8"/>
  <c r="E358" i="8"/>
  <c r="E487" i="8"/>
  <c r="E415" i="8"/>
  <c r="E343" i="8"/>
  <c r="E271" i="8"/>
  <c r="E199" i="8"/>
  <c r="E127" i="8"/>
  <c r="E55" i="8"/>
  <c r="E450" i="8"/>
  <c r="E378" i="8"/>
  <c r="E306" i="8"/>
  <c r="E234" i="8"/>
  <c r="E162" i="8"/>
  <c r="E90" i="8"/>
  <c r="E394" i="8"/>
  <c r="E485" i="8"/>
  <c r="E413" i="8"/>
  <c r="E341" i="8"/>
  <c r="E269" i="8"/>
  <c r="E197" i="8"/>
  <c r="E125" i="8"/>
  <c r="E53" i="8"/>
  <c r="E510" i="8"/>
  <c r="E448" i="8"/>
  <c r="E376" i="8"/>
  <c r="E304" i="8"/>
  <c r="E232" i="8"/>
  <c r="E160" i="8"/>
  <c r="E88" i="8"/>
  <c r="E406" i="8"/>
  <c r="E483" i="8"/>
  <c r="E411" i="8"/>
  <c r="E339" i="8"/>
  <c r="E267" i="8"/>
  <c r="E195" i="8"/>
  <c r="E123" i="8"/>
  <c r="E51" i="8"/>
  <c r="E498" i="8"/>
  <c r="E446" i="8"/>
  <c r="E374" i="8"/>
  <c r="E302" i="8"/>
  <c r="E230" i="8"/>
  <c r="E158" i="8"/>
  <c r="E86" i="8"/>
  <c r="E466" i="8"/>
  <c r="E481" i="8"/>
  <c r="E409" i="8"/>
  <c r="E337" i="8"/>
  <c r="E265" i="8"/>
  <c r="E193" i="8"/>
  <c r="E121" i="8"/>
  <c r="E49" i="8"/>
  <c r="E462" i="8"/>
  <c r="E444" i="8"/>
  <c r="E372" i="8"/>
  <c r="E300" i="8"/>
  <c r="E228" i="8"/>
  <c r="E156" i="8"/>
  <c r="E84" i="8"/>
  <c r="E370" i="8"/>
  <c r="E479" i="8"/>
  <c r="E407" i="8"/>
  <c r="E335" i="8"/>
  <c r="E263" i="8"/>
  <c r="E191" i="8"/>
  <c r="E119" i="8"/>
  <c r="E47" i="8"/>
  <c r="E441" i="8"/>
  <c r="E391" i="8"/>
  <c r="E70" i="8"/>
  <c r="E453" i="8"/>
  <c r="E381" i="8"/>
  <c r="E309" i="8"/>
  <c r="E237" i="8"/>
  <c r="E165" i="8"/>
  <c r="E93" i="8"/>
  <c r="E442" i="8"/>
  <c r="E500" i="8"/>
  <c r="E428" i="8"/>
  <c r="E356" i="8"/>
  <c r="E284" i="8"/>
  <c r="E212" i="8"/>
  <c r="E140" i="8"/>
  <c r="E68" i="8"/>
  <c r="E226" i="8"/>
  <c r="E475" i="8"/>
  <c r="E403" i="8"/>
  <c r="E331" i="8"/>
  <c r="E259" i="8"/>
  <c r="E187" i="8"/>
  <c r="E115" i="8"/>
  <c r="E43" i="8"/>
  <c r="E438" i="8"/>
  <c r="E366" i="8"/>
  <c r="E294" i="8"/>
  <c r="E222" i="8"/>
  <c r="E150" i="8"/>
  <c r="E78" i="8"/>
  <c r="E274" i="8"/>
  <c r="E473" i="8"/>
  <c r="E401" i="8"/>
  <c r="E329" i="8"/>
  <c r="E257" i="8"/>
  <c r="E185" i="8"/>
  <c r="E113" i="8"/>
  <c r="E41" i="8"/>
  <c r="E508" i="8"/>
  <c r="E436" i="8"/>
  <c r="E364" i="8"/>
  <c r="E292" i="8"/>
  <c r="E220" i="8"/>
  <c r="E148" i="8"/>
  <c r="E76" i="8"/>
  <c r="E286" i="8"/>
  <c r="E471" i="8"/>
  <c r="E399" i="8"/>
  <c r="E327" i="8"/>
  <c r="E255" i="8"/>
  <c r="E183" i="8"/>
  <c r="E111" i="8"/>
  <c r="E39" i="8"/>
  <c r="E506" i="8"/>
  <c r="E434" i="8"/>
  <c r="E362" i="8"/>
  <c r="E290" i="8"/>
  <c r="E218" i="8"/>
  <c r="E146" i="8"/>
  <c r="E74" i="8"/>
  <c r="E346" i="8"/>
  <c r="E469" i="8"/>
  <c r="E397" i="8"/>
  <c r="E325" i="8"/>
  <c r="E253" i="8"/>
  <c r="E181" i="8"/>
  <c r="E109" i="8"/>
  <c r="E37" i="8"/>
  <c r="E504" i="8"/>
  <c r="E432" i="8"/>
  <c r="E360" i="8"/>
  <c r="E288" i="8"/>
  <c r="E216" i="8"/>
  <c r="E144" i="8"/>
  <c r="E72" i="8"/>
  <c r="E238" i="8"/>
  <c r="E467" i="8"/>
  <c r="E395" i="8"/>
  <c r="E323" i="8"/>
  <c r="E251" i="8"/>
  <c r="E179" i="8"/>
  <c r="E107" i="8"/>
  <c r="E35" i="8"/>
  <c r="E369" i="8"/>
  <c r="E154" i="8"/>
  <c r="E247" i="8"/>
  <c r="E513" i="8"/>
  <c r="E297" i="8"/>
  <c r="E225" i="8"/>
  <c r="E153" i="8"/>
  <c r="E200" i="8"/>
  <c r="E463" i="8"/>
  <c r="E319" i="8"/>
  <c r="E175" i="8"/>
  <c r="E282" i="8"/>
  <c r="E496" i="8"/>
  <c r="E171" i="8"/>
  <c r="E385" i="8"/>
  <c r="E60" i="8"/>
  <c r="E310" i="8"/>
  <c r="E56" i="8"/>
  <c r="E317" i="8"/>
  <c r="E130" i="8"/>
  <c r="E206" i="8"/>
  <c r="E420" i="8"/>
  <c r="E95" i="8"/>
  <c r="E138" i="8"/>
  <c r="E352" i="8"/>
  <c r="E26" i="8"/>
  <c r="E241" i="8"/>
  <c r="E455" i="8"/>
  <c r="E416" i="8"/>
  <c r="E31" i="8"/>
  <c r="E173" i="8"/>
  <c r="E387" i="8"/>
  <c r="E62" i="8"/>
  <c r="E276" i="8"/>
  <c r="E190" i="8"/>
  <c r="E208" i="8"/>
  <c r="E422" i="8"/>
  <c r="E97" i="8"/>
  <c r="E311" i="8"/>
  <c r="E272" i="8"/>
  <c r="E354" i="8"/>
  <c r="E29" i="8"/>
  <c r="E243" i="8"/>
  <c r="E457" i="8"/>
  <c r="E132" i="8"/>
  <c r="E81" i="8"/>
  <c r="E128" i="8"/>
  <c r="E389" i="8"/>
  <c r="E64" i="8"/>
  <c r="E278" i="8"/>
  <c r="E492" i="8"/>
  <c r="E167" i="8"/>
  <c r="E210" i="8"/>
  <c r="E424" i="8"/>
  <c r="E99" i="8"/>
  <c r="E313" i="8"/>
  <c r="E106" i="8"/>
  <c r="E488" i="8"/>
  <c r="E103" i="8"/>
  <c r="E245" i="8"/>
  <c r="E459" i="8"/>
  <c r="E134" i="8"/>
  <c r="E348" i="8"/>
  <c r="E66" i="8"/>
  <c r="E280" i="8"/>
  <c r="E494" i="8"/>
  <c r="E169" i="8"/>
  <c r="E383" i="8"/>
  <c r="E136" i="8"/>
  <c r="E24" i="8"/>
  <c r="E344" i="8"/>
  <c r="E426" i="8"/>
  <c r="E101" i="8"/>
  <c r="E315" i="8"/>
  <c r="E166" i="8"/>
  <c r="E204" i="8"/>
  <c r="E461" i="8"/>
  <c r="E350" i="8"/>
  <c r="E239" i="8"/>
  <c r="J25" i="7"/>
  <c r="E20" i="8"/>
  <c r="F20" i="8" s="1"/>
  <c r="J24" i="7"/>
  <c r="E19" i="8"/>
  <c r="F19" i="8" s="1"/>
  <c r="J28" i="7"/>
  <c r="E23" i="8"/>
  <c r="F23" i="8" s="1"/>
  <c r="J27" i="7"/>
  <c r="E22" i="8"/>
  <c r="F22" i="8" s="1"/>
  <c r="J23" i="7"/>
  <c r="E18" i="8"/>
  <c r="F18" i="8" s="1"/>
  <c r="J26" i="7"/>
  <c r="E21" i="8"/>
  <c r="F21" i="8" s="1"/>
  <c r="J21" i="7"/>
  <c r="E16" i="8"/>
  <c r="F16" i="8" s="1"/>
  <c r="J16" i="8" s="1"/>
  <c r="F17" i="8"/>
  <c r="U22" i="7"/>
  <c r="U23" i="7"/>
  <c r="BK10" i="18"/>
  <c r="F13" i="7"/>
  <c r="BJ10" i="18"/>
  <c r="U21" i="7"/>
  <c r="L5" i="7" l="1"/>
  <c r="L3" i="7" s="1"/>
  <c r="G12" i="31" s="1"/>
  <c r="E13" i="7"/>
  <c r="M70" i="6" l="1"/>
  <c r="I27" i="7" l="1"/>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I13" i="7" l="1"/>
  <c r="K13" i="6"/>
  <c r="L13" i="6" s="1"/>
  <c r="G13" i="6"/>
  <c r="H13" i="6"/>
  <c r="U65" i="7"/>
  <c r="M13" i="6"/>
  <c r="U35" i="7" l="1"/>
  <c r="U55" i="7"/>
  <c r="U41" i="7"/>
  <c r="U61" i="7"/>
  <c r="U33" i="7"/>
  <c r="U43" i="7"/>
  <c r="U49" i="7"/>
  <c r="U67" i="7"/>
  <c r="U51" i="7"/>
  <c r="U45" i="7"/>
  <c r="U57" i="7"/>
  <c r="U53" i="7"/>
  <c r="U69" i="7"/>
  <c r="U59" i="7"/>
  <c r="U63" i="7"/>
  <c r="U39" i="7"/>
  <c r="U47" i="7"/>
  <c r="U29" i="7"/>
  <c r="U31" i="7"/>
  <c r="U37" i="7"/>
  <c r="U27" i="7"/>
  <c r="J13" i="7"/>
  <c r="U34" i="7"/>
  <c r="U32" i="7"/>
  <c r="U60" i="7"/>
  <c r="U54" i="7" l="1"/>
  <c r="U68" i="7"/>
  <c r="U40" i="7"/>
  <c r="U42" i="7"/>
  <c r="U44" i="7"/>
  <c r="U50" i="7"/>
  <c r="U70" i="7"/>
  <c r="U56" i="7"/>
  <c r="U58" i="7"/>
  <c r="U38" i="7"/>
  <c r="U46" i="7"/>
  <c r="U28" i="7"/>
  <c r="U52" i="7"/>
  <c r="U36" i="7"/>
  <c r="U48" i="7"/>
  <c r="U64" i="7"/>
  <c r="U66" i="7"/>
  <c r="U30" i="7"/>
  <c r="U62" i="7"/>
  <c r="M13" i="7" l="1"/>
  <c r="AD36" i="18" l="1"/>
  <c r="AD45" i="18"/>
  <c r="K498" i="8" l="1"/>
  <c r="N498" i="8" s="1"/>
  <c r="J200" i="8" l="1"/>
  <c r="J243" i="8"/>
  <c r="J215" i="8"/>
  <c r="J435" i="8"/>
  <c r="J177" i="8"/>
  <c r="J361" i="8"/>
  <c r="J143" i="8"/>
  <c r="J362" i="8"/>
  <c r="J375" i="8"/>
  <c r="J370" i="8"/>
  <c r="J83" i="8"/>
  <c r="J171" i="8"/>
  <c r="J356" i="8"/>
  <c r="J314" i="8"/>
  <c r="J503" i="8"/>
  <c r="J58" i="8"/>
  <c r="J53" i="8"/>
  <c r="J179" i="8"/>
  <c r="J508" i="8"/>
  <c r="I508" i="8"/>
  <c r="J99" i="8"/>
  <c r="J192" i="8"/>
  <c r="J222" i="8"/>
  <c r="J464" i="8"/>
  <c r="I464" i="8"/>
  <c r="J304" i="8"/>
  <c r="J300" i="8"/>
  <c r="J188" i="8"/>
  <c r="J39" i="8"/>
  <c r="J350" i="8"/>
  <c r="J218" i="8"/>
  <c r="J139" i="8"/>
  <c r="J460" i="8"/>
  <c r="J27" i="8"/>
  <c r="J265" i="8"/>
  <c r="J320" i="8"/>
  <c r="J127" i="8"/>
  <c r="J339" i="8"/>
  <c r="J272" i="8"/>
  <c r="J432" i="8"/>
  <c r="J157" i="8"/>
  <c r="J263" i="8"/>
  <c r="J303" i="8"/>
  <c r="J458" i="8"/>
  <c r="J498" i="8"/>
  <c r="J382" i="8"/>
  <c r="J372" i="8"/>
  <c r="J217" i="8"/>
  <c r="J206" i="8"/>
  <c r="J144" i="8"/>
  <c r="J429" i="8"/>
  <c r="J387" i="8"/>
  <c r="J430" i="8"/>
  <c r="J199" i="8"/>
  <c r="I199" i="8"/>
  <c r="J341" i="8"/>
  <c r="J373" i="8"/>
  <c r="J209" i="8"/>
  <c r="J152" i="8"/>
  <c r="J268" i="8"/>
  <c r="I268" i="8"/>
  <c r="J295" i="8"/>
  <c r="J428" i="8"/>
  <c r="J270" i="8"/>
  <c r="J180" i="8"/>
  <c r="J424" i="8"/>
  <c r="J457" i="8"/>
  <c r="J386" i="8"/>
  <c r="J514" i="8"/>
  <c r="J444" i="8"/>
  <c r="J309" i="8"/>
  <c r="I309" i="8"/>
  <c r="J67" i="8"/>
  <c r="J456" i="8"/>
  <c r="J266" i="8"/>
  <c r="J284" i="8"/>
  <c r="J165" i="8"/>
  <c r="I165" i="8"/>
  <c r="J287" i="8"/>
  <c r="J486" i="8"/>
  <c r="J299" i="8"/>
  <c r="J267" i="8"/>
  <c r="J510" i="8"/>
  <c r="J316" i="8"/>
  <c r="J470" i="8"/>
  <c r="J366" i="8"/>
  <c r="I366" i="8"/>
  <c r="J101" i="8"/>
  <c r="J493" i="8"/>
  <c r="J61" i="8"/>
  <c r="J327" i="8"/>
  <c r="I327" i="8"/>
  <c r="J246" i="8"/>
  <c r="J251" i="8"/>
  <c r="J26" i="8"/>
  <c r="J137" i="8"/>
  <c r="J474" i="8"/>
  <c r="J68" i="8"/>
  <c r="J96" i="8"/>
  <c r="J455" i="8"/>
  <c r="I455" i="8"/>
  <c r="J37" i="8"/>
  <c r="J421" i="8"/>
  <c r="J357" i="8"/>
  <c r="J278" i="8"/>
  <c r="J446" i="8"/>
  <c r="I446" i="8"/>
  <c r="J94" i="8"/>
  <c r="J48" i="8"/>
  <c r="J321" i="8"/>
  <c r="J332" i="8"/>
  <c r="J359" i="8"/>
  <c r="J170" i="8"/>
  <c r="J511" i="8"/>
  <c r="J241" i="8"/>
  <c r="J433" i="8"/>
  <c r="J115" i="8"/>
  <c r="J325" i="8"/>
  <c r="J225" i="8"/>
  <c r="J468" i="8"/>
  <c r="J247" i="8"/>
  <c r="J106" i="8"/>
  <c r="J214" i="8"/>
  <c r="J135" i="8"/>
  <c r="J336" i="8"/>
  <c r="J483" i="8"/>
  <c r="J410" i="8"/>
  <c r="J122" i="8"/>
  <c r="J319" i="8"/>
  <c r="J108" i="8"/>
  <c r="J480" i="8"/>
  <c r="J504" i="8"/>
  <c r="J439" i="8"/>
  <c r="J149" i="8"/>
  <c r="J477" i="8"/>
  <c r="J417" i="8"/>
  <c r="J396" i="8"/>
  <c r="J403" i="8"/>
  <c r="I403" i="8"/>
  <c r="J196" i="8"/>
  <c r="J383" i="8"/>
  <c r="J331" i="8"/>
  <c r="J250" i="8"/>
  <c r="J207" i="8"/>
  <c r="J35" i="8"/>
  <c r="J112" i="8"/>
  <c r="J55" i="8"/>
  <c r="J484" i="8"/>
  <c r="J236" i="8"/>
  <c r="J333" i="8"/>
  <c r="I333" i="8"/>
  <c r="J33" i="8"/>
  <c r="J491" i="8"/>
  <c r="J116" i="8"/>
  <c r="J416" i="8"/>
  <c r="J273" i="8"/>
  <c r="I273" i="8"/>
  <c r="J463" i="8"/>
  <c r="J465" i="8"/>
  <c r="I465" i="8"/>
  <c r="J513" i="8"/>
  <c r="J442" i="8"/>
  <c r="I442" i="8"/>
  <c r="J437" i="8"/>
  <c r="J374" i="8"/>
  <c r="J399" i="8"/>
  <c r="J349" i="8"/>
  <c r="J454" i="8"/>
  <c r="J274" i="8"/>
  <c r="J322" i="8"/>
  <c r="J489" i="8"/>
  <c r="J111" i="8"/>
  <c r="J473" i="8"/>
  <c r="J369" i="8"/>
  <c r="J345" i="8"/>
  <c r="J19" i="8"/>
  <c r="J69" i="8"/>
  <c r="I69" i="8"/>
  <c r="J185" i="8"/>
  <c r="I185" i="8"/>
  <c r="J113" i="8"/>
  <c r="J190" i="8"/>
  <c r="J47" i="8"/>
  <c r="J395" i="8"/>
  <c r="J512" i="8"/>
  <c r="J76" i="8"/>
  <c r="J18" i="8"/>
  <c r="J220" i="8"/>
  <c r="J77" i="8"/>
  <c r="J166" i="8"/>
  <c r="J103" i="8"/>
  <c r="I103" i="8"/>
  <c r="J70" i="8"/>
  <c r="J499" i="8"/>
  <c r="J394" i="8"/>
  <c r="J302" i="8"/>
  <c r="J492" i="8"/>
  <c r="I492" i="8"/>
  <c r="J466" i="8"/>
  <c r="J312" i="8"/>
  <c r="J34" i="8"/>
  <c r="J158" i="8"/>
  <c r="J156" i="8"/>
  <c r="J340" i="8"/>
  <c r="J482" i="8"/>
  <c r="J496" i="8"/>
  <c r="J294" i="8"/>
  <c r="J507" i="8"/>
  <c r="J104" i="8"/>
  <c r="J420" i="8"/>
  <c r="J397" i="8"/>
  <c r="I397" i="8"/>
  <c r="J230" i="8"/>
  <c r="J114" i="8"/>
  <c r="J54" i="8"/>
  <c r="J102" i="8"/>
  <c r="J376" i="8"/>
  <c r="J205" i="8"/>
  <c r="J89" i="8"/>
  <c r="J360" i="8"/>
  <c r="J310" i="8"/>
  <c r="J385" i="8"/>
  <c r="J30" i="8"/>
  <c r="J118" i="8"/>
  <c r="J335" i="8"/>
  <c r="J471" i="8"/>
  <c r="J407" i="8"/>
  <c r="J253" i="8"/>
  <c r="J24" i="8"/>
  <c r="J210" i="8"/>
  <c r="J488" i="8"/>
  <c r="J286" i="8"/>
  <c r="J249" i="8"/>
  <c r="J49" i="8"/>
  <c r="J381" i="8"/>
  <c r="J264" i="8"/>
  <c r="J154" i="8"/>
  <c r="J459" i="8"/>
  <c r="J261" i="8"/>
  <c r="J172" i="8"/>
  <c r="J43" i="8"/>
  <c r="J426" i="8"/>
  <c r="J226" i="8"/>
  <c r="I226" i="8"/>
  <c r="J425" i="8"/>
  <c r="I472" i="8"/>
  <c r="J365" i="8"/>
  <c r="J358" i="8"/>
  <c r="J324" i="8"/>
  <c r="J415" i="8"/>
  <c r="J91" i="8"/>
  <c r="J32" i="8"/>
  <c r="J98" i="8"/>
  <c r="J368" i="8"/>
  <c r="J141" i="8"/>
  <c r="J311" i="8"/>
  <c r="I311" i="8"/>
  <c r="J490" i="8"/>
  <c r="I490" i="8"/>
  <c r="J153" i="8"/>
  <c r="J186" i="8"/>
  <c r="J377" i="8"/>
  <c r="J128" i="8"/>
  <c r="J285" i="8"/>
  <c r="J255" i="8"/>
  <c r="J65" i="8"/>
  <c r="J163" i="8"/>
  <c r="J500" i="8"/>
  <c r="J450" i="8"/>
  <c r="I479" i="8"/>
  <c r="J66" i="8"/>
  <c r="I363" i="8"/>
  <c r="J133" i="8"/>
  <c r="J197" i="8"/>
  <c r="J306" i="8"/>
  <c r="J441" i="8"/>
  <c r="J136" i="8"/>
  <c r="J384" i="8"/>
  <c r="I384" i="8"/>
  <c r="J461" i="8"/>
  <c r="I461" i="8"/>
  <c r="J392" i="8"/>
  <c r="J131" i="8"/>
  <c r="J227" i="8"/>
  <c r="I227" i="8"/>
  <c r="J167" i="8"/>
  <c r="J367" i="8"/>
  <c r="J64" i="8"/>
  <c r="J445" i="8"/>
  <c r="J453" i="8"/>
  <c r="J411" i="8"/>
  <c r="J438" i="8"/>
  <c r="J184" i="8"/>
  <c r="I235" i="8"/>
  <c r="J423" i="8"/>
  <c r="J233" i="8"/>
  <c r="J451" i="8"/>
  <c r="J353" i="8"/>
  <c r="J419" i="8"/>
  <c r="I419" i="8"/>
  <c r="J195" i="8"/>
  <c r="I195" i="8"/>
  <c r="J348" i="8"/>
  <c r="J296" i="8"/>
  <c r="I296" i="8"/>
  <c r="J110" i="8"/>
  <c r="I110" i="8"/>
  <c r="J109" i="8"/>
  <c r="J298" i="8"/>
  <c r="J22" i="8"/>
  <c r="J297" i="8"/>
  <c r="J413" i="8"/>
  <c r="I413" i="8"/>
  <c r="J121" i="8"/>
  <c r="J140" i="8"/>
  <c r="J258" i="8"/>
  <c r="J308" i="8"/>
  <c r="J317" i="8"/>
  <c r="J119" i="8"/>
  <c r="J202" i="8"/>
  <c r="I481" i="8"/>
  <c r="I501" i="8"/>
  <c r="I151" i="8"/>
  <c r="J427" i="8"/>
  <c r="I63" i="8"/>
  <c r="J63" i="8"/>
  <c r="J62" i="8"/>
  <c r="J159" i="8"/>
  <c r="I159" i="8"/>
  <c r="J193" i="8"/>
  <c r="I193" i="8"/>
  <c r="J279" i="8"/>
  <c r="J485" i="8"/>
  <c r="I485" i="8"/>
  <c r="J291" i="8"/>
  <c r="I291" i="8"/>
  <c r="J398" i="8"/>
  <c r="J252" i="8"/>
  <c r="J57" i="8"/>
  <c r="J17" i="8"/>
  <c r="J79" i="8"/>
  <c r="J242" i="8"/>
  <c r="J134" i="8"/>
  <c r="J229" i="8"/>
  <c r="J120" i="8"/>
  <c r="J95" i="8"/>
  <c r="J248" i="8"/>
  <c r="J271" i="8"/>
  <c r="J44" i="8"/>
  <c r="I44" i="8"/>
  <c r="J259" i="8"/>
  <c r="J125" i="8"/>
  <c r="J269" i="8"/>
  <c r="J93" i="8"/>
  <c r="J338" i="8"/>
  <c r="J364" i="8"/>
  <c r="J487" i="8"/>
  <c r="J329" i="8"/>
  <c r="J194" i="8"/>
  <c r="J31" i="8"/>
  <c r="I90" i="8"/>
  <c r="J476" i="8"/>
  <c r="J404" i="8"/>
  <c r="J502" i="8"/>
  <c r="J75" i="8"/>
  <c r="I173" i="8"/>
  <c r="J204" i="8"/>
  <c r="J313" i="8"/>
  <c r="J147" i="8"/>
  <c r="J405" i="8"/>
  <c r="I405" i="8"/>
  <c r="J301" i="8"/>
  <c r="J343" i="8"/>
  <c r="J323" i="8"/>
  <c r="I208" i="8"/>
  <c r="J231" i="8"/>
  <c r="J56" i="8"/>
  <c r="J29" i="8"/>
  <c r="J449" i="8"/>
  <c r="J92" i="8"/>
  <c r="I346" i="8"/>
  <c r="J337" i="8"/>
  <c r="J478" i="8"/>
  <c r="J130" i="8"/>
  <c r="J20" i="8"/>
  <c r="J176" i="8"/>
  <c r="I515" i="8"/>
  <c r="J334" i="8"/>
  <c r="J495" i="8"/>
  <c r="J168" i="8"/>
  <c r="J142" i="8"/>
  <c r="J393" i="8"/>
  <c r="J211" i="8"/>
  <c r="J238" i="8"/>
  <c r="J434" i="8"/>
  <c r="J280" i="8"/>
  <c r="J221" i="8"/>
  <c r="I221" i="8"/>
  <c r="J212" i="8"/>
  <c r="J40" i="8"/>
  <c r="I40" i="8"/>
  <c r="J187" i="8"/>
  <c r="J219" i="8"/>
  <c r="J402" i="8"/>
  <c r="J328" i="8"/>
  <c r="J290" i="8"/>
  <c r="J371" i="8"/>
  <c r="J28" i="8"/>
  <c r="J174" i="8"/>
  <c r="J342" i="8"/>
  <c r="I342" i="8"/>
  <c r="J475" i="8"/>
  <c r="J292" i="8"/>
  <c r="J160" i="8"/>
  <c r="J262" i="8"/>
  <c r="J234" i="8"/>
  <c r="J347" i="8"/>
  <c r="J105" i="8"/>
  <c r="J257" i="8"/>
  <c r="J81" i="8"/>
  <c r="J21" i="8"/>
  <c r="J401" i="8"/>
  <c r="J82" i="8"/>
  <c r="J97" i="8"/>
  <c r="I315" i="8"/>
  <c r="J80" i="8"/>
  <c r="J201" i="8"/>
  <c r="J305" i="8"/>
  <c r="J352" i="8"/>
  <c r="J38" i="8"/>
  <c r="J509" i="8"/>
  <c r="J443" i="8"/>
  <c r="J414" i="8"/>
  <c r="J117" i="8"/>
  <c r="I245" i="8"/>
  <c r="J23" i="8"/>
  <c r="J276" i="8"/>
  <c r="J59" i="8"/>
  <c r="J189" i="8"/>
  <c r="J41" i="8"/>
  <c r="I41" i="8"/>
  <c r="J281" i="8"/>
  <c r="J293" i="8"/>
  <c r="I406" i="8"/>
  <c r="J239" i="8"/>
  <c r="J326" i="8"/>
  <c r="J289" i="8"/>
  <c r="J344" i="8"/>
  <c r="J237" i="8"/>
  <c r="J84" i="8"/>
  <c r="I288" i="8"/>
  <c r="J146" i="8"/>
  <c r="J60" i="8"/>
  <c r="J191" i="8"/>
  <c r="J282" i="8"/>
  <c r="J277" i="8"/>
  <c r="J181" i="8"/>
  <c r="I343" i="8"/>
  <c r="I260" i="8" l="1"/>
  <c r="I17" i="8"/>
  <c r="I365" i="8"/>
  <c r="I37" i="8"/>
  <c r="I256" i="8"/>
  <c r="I120" i="8"/>
  <c r="I150" i="8"/>
  <c r="I303" i="8"/>
  <c r="I127" i="8"/>
  <c r="I317" i="8"/>
  <c r="I216" i="8"/>
  <c r="I434" i="8"/>
  <c r="J515" i="8"/>
  <c r="I502" i="8"/>
  <c r="I252" i="8"/>
  <c r="I182" i="8"/>
  <c r="I500" i="8"/>
  <c r="I164" i="8"/>
  <c r="I136" i="8"/>
  <c r="J363" i="8"/>
  <c r="I198" i="8"/>
  <c r="I262" i="8"/>
  <c r="I237" i="8"/>
  <c r="I168" i="8"/>
  <c r="I258" i="8"/>
  <c r="I244" i="8"/>
  <c r="I163" i="8"/>
  <c r="I324" i="8"/>
  <c r="I157" i="8"/>
  <c r="I265" i="8"/>
  <c r="I64" i="8"/>
  <c r="I344" i="8"/>
  <c r="I175" i="8"/>
  <c r="I51" i="8"/>
  <c r="I476" i="8"/>
  <c r="I467" i="8"/>
  <c r="I358" i="8"/>
  <c r="I29" i="8"/>
  <c r="I505" i="8"/>
  <c r="I100" i="8"/>
  <c r="I95" i="8"/>
  <c r="I50" i="8"/>
  <c r="I66" i="8"/>
  <c r="I448" i="8"/>
  <c r="I205" i="8"/>
  <c r="I74" i="8"/>
  <c r="I169" i="8"/>
  <c r="I53" i="8"/>
  <c r="J406" i="8"/>
  <c r="I240" i="8"/>
  <c r="I219" i="8"/>
  <c r="I440" i="8"/>
  <c r="I329" i="8"/>
  <c r="I436" i="8"/>
  <c r="I285" i="8"/>
  <c r="I158" i="8"/>
  <c r="I395" i="8"/>
  <c r="I214" i="8"/>
  <c r="I146" i="8"/>
  <c r="I203" i="8"/>
  <c r="I404" i="8"/>
  <c r="I57" i="8"/>
  <c r="I445" i="8"/>
  <c r="J467" i="8"/>
  <c r="J472" i="8"/>
  <c r="I372" i="8"/>
  <c r="I277" i="8"/>
  <c r="J245" i="8"/>
  <c r="J175" i="8"/>
  <c r="I92" i="8"/>
  <c r="I271" i="8"/>
  <c r="I469" i="8"/>
  <c r="J235" i="8"/>
  <c r="I88" i="8"/>
  <c r="I34" i="8"/>
  <c r="I47" i="8"/>
  <c r="I39" i="8"/>
  <c r="I105" i="8"/>
  <c r="I98" i="8"/>
  <c r="I172" i="8"/>
  <c r="I510" i="8"/>
  <c r="I192" i="8"/>
  <c r="I25" i="8"/>
  <c r="I32" i="8"/>
  <c r="I482" i="8"/>
  <c r="I369" i="8"/>
  <c r="I201" i="8"/>
  <c r="I391" i="8"/>
  <c r="I46" i="8"/>
  <c r="I125" i="8"/>
  <c r="I233" i="8"/>
  <c r="I438" i="8"/>
  <c r="I379" i="8"/>
  <c r="I70" i="8"/>
  <c r="I48" i="8"/>
  <c r="I272" i="8"/>
  <c r="I80" i="8"/>
  <c r="J216" i="8"/>
  <c r="I473" i="8"/>
  <c r="I81" i="8"/>
  <c r="I388" i="8"/>
  <c r="I355" i="8"/>
  <c r="I87" i="8"/>
  <c r="I313" i="8"/>
  <c r="I412" i="8"/>
  <c r="J501" i="8"/>
  <c r="I42" i="8"/>
  <c r="I131" i="8"/>
  <c r="I441" i="8"/>
  <c r="I129" i="8"/>
  <c r="I141" i="8"/>
  <c r="I459" i="8"/>
  <c r="I471" i="8"/>
  <c r="J164" i="8"/>
  <c r="I126" i="8"/>
  <c r="I124" i="8"/>
  <c r="I281" i="8"/>
  <c r="I234" i="8"/>
  <c r="I475" i="8"/>
  <c r="I138" i="8"/>
  <c r="I423" i="8"/>
  <c r="I306" i="8"/>
  <c r="J169" i="8"/>
  <c r="I107" i="8"/>
  <c r="I149" i="8"/>
  <c r="I52" i="8"/>
  <c r="I371" i="8"/>
  <c r="I212" i="8"/>
  <c r="I280" i="8"/>
  <c r="I301" i="8"/>
  <c r="I364" i="8"/>
  <c r="I123" i="8"/>
  <c r="I202" i="8"/>
  <c r="I411" i="8"/>
  <c r="I255" i="8"/>
  <c r="I186" i="8"/>
  <c r="I91" i="8"/>
  <c r="I104" i="8"/>
  <c r="I466" i="8"/>
  <c r="I113" i="8"/>
  <c r="I416" i="8"/>
  <c r="I108" i="8"/>
  <c r="I241" i="8"/>
  <c r="I137" i="8"/>
  <c r="I300" i="8"/>
  <c r="I191" i="8"/>
  <c r="I275" i="8"/>
  <c r="J74" i="8"/>
  <c r="I23" i="8"/>
  <c r="K23" i="8" s="1"/>
  <c r="I231" i="8"/>
  <c r="J173" i="8"/>
  <c r="I194" i="8"/>
  <c r="I269" i="8"/>
  <c r="J151" i="8"/>
  <c r="I119" i="8"/>
  <c r="J42" i="8"/>
  <c r="J436" i="8"/>
  <c r="I367" i="8"/>
  <c r="I336" i="8"/>
  <c r="I375" i="8"/>
  <c r="J288" i="8"/>
  <c r="I443" i="8"/>
  <c r="J208" i="8"/>
  <c r="J379" i="8"/>
  <c r="J88" i="8"/>
  <c r="I210" i="8"/>
  <c r="I118" i="8"/>
  <c r="I514" i="8"/>
  <c r="I209" i="8"/>
  <c r="J198" i="8"/>
  <c r="I402" i="8"/>
  <c r="K16" i="8"/>
  <c r="I352" i="8"/>
  <c r="I130" i="8"/>
  <c r="I45" i="8"/>
  <c r="I75" i="8"/>
  <c r="I298" i="8"/>
  <c r="I453" i="8"/>
  <c r="I85" i="8"/>
  <c r="I425" i="8"/>
  <c r="I156" i="8"/>
  <c r="I512" i="8"/>
  <c r="I513" i="8"/>
  <c r="I101" i="8"/>
  <c r="I218" i="8"/>
  <c r="J51" i="8"/>
  <c r="I147" i="8"/>
  <c r="I134" i="8"/>
  <c r="I279" i="8"/>
  <c r="I62" i="8"/>
  <c r="J469" i="8"/>
  <c r="I451" i="8"/>
  <c r="I349" i="8"/>
  <c r="I386" i="8"/>
  <c r="I430" i="8"/>
  <c r="I356" i="8"/>
  <c r="J330" i="8"/>
  <c r="I213" i="8"/>
  <c r="I239" i="8"/>
  <c r="I509" i="8"/>
  <c r="I305" i="8"/>
  <c r="I257" i="8"/>
  <c r="I328" i="8"/>
  <c r="I393" i="8"/>
  <c r="J203" i="8"/>
  <c r="I337" i="8"/>
  <c r="I323" i="8"/>
  <c r="J100" i="8"/>
  <c r="I242" i="8"/>
  <c r="I140" i="8"/>
  <c r="J50" i="8"/>
  <c r="I109" i="8"/>
  <c r="I348" i="8"/>
  <c r="I167" i="8"/>
  <c r="I128" i="8"/>
  <c r="I253" i="8"/>
  <c r="I30" i="8"/>
  <c r="I77" i="8"/>
  <c r="I489" i="8"/>
  <c r="I399" i="8"/>
  <c r="I484" i="8"/>
  <c r="I207" i="8"/>
  <c r="I196" i="8"/>
  <c r="I457" i="8"/>
  <c r="I341" i="8"/>
  <c r="I401" i="8"/>
  <c r="J260" i="8"/>
  <c r="J90" i="8"/>
  <c r="I338" i="8"/>
  <c r="J481" i="8"/>
  <c r="J479" i="8"/>
  <c r="I377" i="8"/>
  <c r="J150" i="8"/>
  <c r="I426" i="8"/>
  <c r="I249" i="8"/>
  <c r="I385" i="8"/>
  <c r="I491" i="8"/>
  <c r="I276" i="8"/>
  <c r="I307" i="8"/>
  <c r="I71" i="8"/>
  <c r="I93" i="8"/>
  <c r="J182" i="8"/>
  <c r="I133" i="8"/>
  <c r="J448" i="8"/>
  <c r="I415" i="8"/>
  <c r="I220" i="8"/>
  <c r="I374" i="8"/>
  <c r="I332" i="8"/>
  <c r="I67" i="8"/>
  <c r="I429" i="8"/>
  <c r="I362" i="8"/>
  <c r="I161" i="8"/>
  <c r="J138" i="8"/>
  <c r="I487" i="8"/>
  <c r="I398" i="8"/>
  <c r="I121" i="8"/>
  <c r="I264" i="8"/>
  <c r="I499" i="8"/>
  <c r="I345" i="8"/>
  <c r="J126" i="8"/>
  <c r="I382" i="8"/>
  <c r="I449" i="8"/>
  <c r="I224" i="8"/>
  <c r="I73" i="8"/>
  <c r="I204" i="8"/>
  <c r="I308" i="8"/>
  <c r="I310" i="8"/>
  <c r="I460" i="8"/>
  <c r="I143" i="8"/>
  <c r="J389" i="8"/>
  <c r="I254" i="8"/>
  <c r="J275" i="8"/>
  <c r="I211" i="8"/>
  <c r="I380" i="8"/>
  <c r="I184" i="8"/>
  <c r="I326" i="8"/>
  <c r="I293" i="8"/>
  <c r="I117" i="8"/>
  <c r="I292" i="8"/>
  <c r="I28" i="8"/>
  <c r="I290" i="8"/>
  <c r="J46" i="8"/>
  <c r="I494" i="8"/>
  <c r="J494" i="8"/>
  <c r="I282" i="8"/>
  <c r="J505" i="8"/>
  <c r="J315" i="8"/>
  <c r="J307" i="8"/>
  <c r="I347" i="8"/>
  <c r="J71" i="8"/>
  <c r="I229" i="8"/>
  <c r="I65" i="8"/>
  <c r="I21" i="8"/>
  <c r="K21" i="8" s="1"/>
  <c r="I174" i="8"/>
  <c r="J355" i="8"/>
  <c r="I187" i="8"/>
  <c r="I238" i="8"/>
  <c r="I353" i="8"/>
  <c r="I497" i="8"/>
  <c r="J497" i="8"/>
  <c r="J85" i="8"/>
  <c r="I450" i="8"/>
  <c r="I181" i="8"/>
  <c r="I414" i="8"/>
  <c r="I400" i="8"/>
  <c r="J400" i="8"/>
  <c r="I495" i="8"/>
  <c r="I20" i="8"/>
  <c r="K20" i="8" s="1"/>
  <c r="J346" i="8"/>
  <c r="I56" i="8"/>
  <c r="I248" i="8"/>
  <c r="I427" i="8"/>
  <c r="I148" i="8"/>
  <c r="J148" i="8"/>
  <c r="I60" i="8"/>
  <c r="I289" i="8"/>
  <c r="I97" i="8"/>
  <c r="I31" i="8"/>
  <c r="I368" i="8"/>
  <c r="J213" i="8"/>
  <c r="I84" i="8"/>
  <c r="J240" i="8"/>
  <c r="I189" i="8"/>
  <c r="J256" i="8"/>
  <c r="I38" i="8"/>
  <c r="I82" i="8"/>
  <c r="I183" i="8"/>
  <c r="J183" i="8"/>
  <c r="I422" i="8"/>
  <c r="J422" i="8"/>
  <c r="I142" i="8"/>
  <c r="I334" i="8"/>
  <c r="I176" i="8"/>
  <c r="J440" i="8"/>
  <c r="I259" i="8"/>
  <c r="I22" i="8"/>
  <c r="K22" i="8" s="1"/>
  <c r="I392" i="8"/>
  <c r="I197" i="8"/>
  <c r="J224" i="8"/>
  <c r="I59" i="8"/>
  <c r="J52" i="8"/>
  <c r="J391" i="8"/>
  <c r="I160" i="8"/>
  <c r="J388" i="8"/>
  <c r="J87" i="8"/>
  <c r="I478" i="8"/>
  <c r="J412" i="8"/>
  <c r="J123" i="8"/>
  <c r="I79" i="8"/>
  <c r="I297" i="8"/>
  <c r="J25" i="8"/>
  <c r="J73" i="8"/>
  <c r="I223" i="8"/>
  <c r="J223" i="8"/>
  <c r="J45" i="8"/>
  <c r="J244" i="8"/>
  <c r="J129" i="8"/>
  <c r="I153" i="8"/>
  <c r="J155" i="8"/>
  <c r="I506" i="8"/>
  <c r="J506" i="8"/>
  <c r="J380" i="8"/>
  <c r="J107" i="8"/>
  <c r="J254" i="8"/>
  <c r="I286" i="8"/>
  <c r="I360" i="8"/>
  <c r="I102" i="8"/>
  <c r="I294" i="8"/>
  <c r="I33" i="8"/>
  <c r="I55" i="8"/>
  <c r="I250" i="8"/>
  <c r="I483" i="8"/>
  <c r="I225" i="8"/>
  <c r="I474" i="8"/>
  <c r="I246" i="8"/>
  <c r="I287" i="8"/>
  <c r="I456" i="8"/>
  <c r="I180" i="8"/>
  <c r="I206" i="8"/>
  <c r="I498" i="8"/>
  <c r="I503" i="8"/>
  <c r="I407" i="8"/>
  <c r="I89" i="8"/>
  <c r="I54" i="8"/>
  <c r="I420" i="8"/>
  <c r="I496" i="8"/>
  <c r="I396" i="8"/>
  <c r="I319" i="8"/>
  <c r="I106" i="8"/>
  <c r="I325" i="8"/>
  <c r="I511" i="8"/>
  <c r="I321" i="8"/>
  <c r="I278" i="8"/>
  <c r="I387" i="8"/>
  <c r="I217" i="8"/>
  <c r="I458" i="8"/>
  <c r="I432" i="8"/>
  <c r="I320" i="8"/>
  <c r="I139" i="8"/>
  <c r="I222" i="8"/>
  <c r="I179" i="8"/>
  <c r="I314" i="8"/>
  <c r="I370" i="8"/>
  <c r="I215" i="8"/>
  <c r="I261" i="8"/>
  <c r="I381" i="8"/>
  <c r="I488" i="8"/>
  <c r="I322" i="8"/>
  <c r="I112" i="8"/>
  <c r="I331" i="8"/>
  <c r="I439" i="8"/>
  <c r="I267" i="8"/>
  <c r="I270" i="8"/>
  <c r="I152" i="8"/>
  <c r="I188" i="8"/>
  <c r="J161" i="8"/>
  <c r="I417" i="8"/>
  <c r="I504" i="8"/>
  <c r="I122" i="8"/>
  <c r="I247" i="8"/>
  <c r="I115" i="8"/>
  <c r="I170" i="8"/>
  <c r="I357" i="8"/>
  <c r="I96" i="8"/>
  <c r="I26" i="8"/>
  <c r="K26" i="8" s="1"/>
  <c r="I61" i="8"/>
  <c r="I470" i="8"/>
  <c r="I299" i="8"/>
  <c r="I284" i="8"/>
  <c r="I49" i="8"/>
  <c r="I114" i="8"/>
  <c r="I302" i="8"/>
  <c r="I18" i="8"/>
  <c r="K18" i="8" s="1"/>
  <c r="G84" i="18" s="1"/>
  <c r="I274" i="8"/>
  <c r="I116" i="8"/>
  <c r="I236" i="8"/>
  <c r="I35" i="8"/>
  <c r="I383" i="8"/>
  <c r="I428" i="8"/>
  <c r="I361" i="8"/>
  <c r="I243" i="8"/>
  <c r="I43" i="8"/>
  <c r="I154" i="8"/>
  <c r="I24" i="8"/>
  <c r="K24" i="8" s="1"/>
  <c r="I335" i="8"/>
  <c r="I376" i="8"/>
  <c r="I230" i="8"/>
  <c r="I507" i="8"/>
  <c r="I340" i="8"/>
  <c r="I312" i="8"/>
  <c r="I394" i="8"/>
  <c r="I166" i="8"/>
  <c r="I76" i="8"/>
  <c r="I190" i="8"/>
  <c r="I19" i="8"/>
  <c r="K19" i="8" s="1"/>
  <c r="I111" i="8"/>
  <c r="I454" i="8"/>
  <c r="I437" i="8"/>
  <c r="I463" i="8"/>
  <c r="I477" i="8"/>
  <c r="I480" i="8"/>
  <c r="I410" i="8"/>
  <c r="I135" i="8"/>
  <c r="I468" i="8"/>
  <c r="I433" i="8"/>
  <c r="I359" i="8"/>
  <c r="I94" i="8"/>
  <c r="I421" i="8"/>
  <c r="I68" i="8"/>
  <c r="I251" i="8"/>
  <c r="I493" i="8"/>
  <c r="I316" i="8"/>
  <c r="I486" i="8"/>
  <c r="I266" i="8"/>
  <c r="I444" i="8"/>
  <c r="I424" i="8"/>
  <c r="I295" i="8"/>
  <c r="I373" i="8"/>
  <c r="I144" i="8"/>
  <c r="I263" i="8"/>
  <c r="I339" i="8"/>
  <c r="I27" i="8"/>
  <c r="K27" i="8" s="1"/>
  <c r="I350" i="8"/>
  <c r="I304" i="8"/>
  <c r="I99" i="8"/>
  <c r="I58" i="8"/>
  <c r="I171" i="8"/>
  <c r="I177" i="8"/>
  <c r="I389" i="8"/>
  <c r="J124" i="8"/>
  <c r="I330" i="8"/>
  <c r="I155" i="8"/>
  <c r="I83" i="8"/>
  <c r="I435" i="8"/>
  <c r="I200" i="8"/>
  <c r="G103" i="18" l="1"/>
  <c r="G83" i="18"/>
  <c r="G94" i="18"/>
  <c r="G82" i="18"/>
  <c r="G81" i="18"/>
  <c r="I108" i="18"/>
  <c r="G95" i="18"/>
  <c r="G100" i="18"/>
  <c r="G98" i="18"/>
  <c r="G72" i="18"/>
  <c r="I77" i="18"/>
  <c r="G63" i="18"/>
  <c r="G64" i="18"/>
  <c r="G50" i="18"/>
  <c r="G69" i="18"/>
  <c r="G67" i="18"/>
  <c r="N17" i="8"/>
  <c r="N27" i="8"/>
  <c r="K25" i="8"/>
  <c r="N19" i="8"/>
  <c r="N20" i="8"/>
  <c r="N24" i="8"/>
  <c r="N26" i="8"/>
  <c r="N21" i="8"/>
  <c r="N23" i="8"/>
  <c r="N22" i="8"/>
  <c r="N18" i="8"/>
  <c r="N16" i="8"/>
  <c r="G22" i="18"/>
  <c r="J418" i="8"/>
  <c r="I418" i="8"/>
  <c r="J431" i="8"/>
  <c r="I431" i="8"/>
  <c r="I390" i="8"/>
  <c r="J390" i="8"/>
  <c r="J378" i="8"/>
  <c r="I378" i="8"/>
  <c r="J452" i="8"/>
  <c r="I452" i="8"/>
  <c r="J145" i="8"/>
  <c r="I145" i="8"/>
  <c r="J86" i="8"/>
  <c r="I86" i="8"/>
  <c r="I78" i="8"/>
  <c r="J78" i="8"/>
  <c r="J283" i="8"/>
  <c r="I283" i="8"/>
  <c r="I354" i="8"/>
  <c r="J354" i="8"/>
  <c r="J351" i="8"/>
  <c r="I351" i="8"/>
  <c r="I318" i="8"/>
  <c r="J318" i="8"/>
  <c r="J232" i="8"/>
  <c r="I232" i="8"/>
  <c r="J462" i="8"/>
  <c r="I462" i="8"/>
  <c r="I72" i="8"/>
  <c r="J72" i="8"/>
  <c r="I228" i="8"/>
  <c r="J228" i="8"/>
  <c r="J178" i="8"/>
  <c r="I178" i="8"/>
  <c r="I447" i="8"/>
  <c r="J447" i="8"/>
  <c r="I408" i="8"/>
  <c r="J408" i="8"/>
  <c r="I36" i="8"/>
  <c r="J36" i="8"/>
  <c r="J132" i="8"/>
  <c r="I132" i="8"/>
  <c r="I162" i="8"/>
  <c r="J162" i="8"/>
  <c r="I409" i="8"/>
  <c r="J409" i="8"/>
  <c r="G101" i="18" l="1"/>
  <c r="G70" i="18"/>
  <c r="G87" i="18"/>
  <c r="V98" i="18"/>
  <c r="W98" i="18" s="1"/>
  <c r="V100" i="18"/>
  <c r="W100" i="18" s="1"/>
  <c r="O82" i="18"/>
  <c r="O84" i="18" s="1"/>
  <c r="N82" i="18"/>
  <c r="N84" i="18" s="1"/>
  <c r="G80" i="18"/>
  <c r="I83" i="18"/>
  <c r="J101" i="18" s="1"/>
  <c r="J83" i="18"/>
  <c r="H83" i="18"/>
  <c r="H101" i="18" s="1"/>
  <c r="H81" i="18"/>
  <c r="H100" i="18" s="1"/>
  <c r="K100" i="18" s="1"/>
  <c r="I81" i="18"/>
  <c r="K81" i="18"/>
  <c r="H87" i="18" s="1"/>
  <c r="J81" i="18"/>
  <c r="H96" i="18" s="1"/>
  <c r="H103" i="18"/>
  <c r="G56" i="18"/>
  <c r="V67" i="18"/>
  <c r="W67" i="18" s="1"/>
  <c r="V69" i="18"/>
  <c r="W69" i="18" s="1"/>
  <c r="O51" i="18"/>
  <c r="O53" i="18" s="1"/>
  <c r="G52" i="18" s="1"/>
  <c r="N51" i="18"/>
  <c r="N53" i="18" s="1"/>
  <c r="G51" i="18" s="1"/>
  <c r="G36" i="18"/>
  <c r="I46" i="18"/>
  <c r="G11" i="18" s="1"/>
  <c r="G19" i="18"/>
  <c r="G32" i="18"/>
  <c r="G41" i="18"/>
  <c r="N25" i="8"/>
  <c r="K6" i="8" s="1"/>
  <c r="G33" i="18"/>
  <c r="G38" i="18"/>
  <c r="K101" i="18" l="1"/>
  <c r="I101" i="18"/>
  <c r="I100" i="18"/>
  <c r="P100" i="18" s="1"/>
  <c r="H52" i="18"/>
  <c r="H70" i="18" s="1"/>
  <c r="J52" i="18"/>
  <c r="G49" i="18"/>
  <c r="I52" i="18"/>
  <c r="J70" i="18" s="1"/>
  <c r="J50" i="18"/>
  <c r="H65" i="18" s="1"/>
  <c r="K50" i="18"/>
  <c r="H56" i="18" s="1"/>
  <c r="I50" i="18"/>
  <c r="H50" i="18"/>
  <c r="H69" i="18" s="1"/>
  <c r="H72" i="18"/>
  <c r="AD38" i="18"/>
  <c r="F53" i="24"/>
  <c r="F38" i="24"/>
  <c r="F42" i="24"/>
  <c r="F25" i="24"/>
  <c r="L3" i="24"/>
  <c r="AD31" i="18"/>
  <c r="K5" i="8"/>
  <c r="G17" i="31" s="1"/>
  <c r="H7" i="11"/>
  <c r="H5" i="11" s="1"/>
  <c r="G15" i="31" s="1"/>
  <c r="G39" i="18"/>
  <c r="N20" i="18"/>
  <c r="N22" i="18" s="1"/>
  <c r="O20" i="18"/>
  <c r="O22" i="18" s="1"/>
  <c r="G21" i="18" s="1"/>
  <c r="V38" i="18"/>
  <c r="BX10" i="18"/>
  <c r="CC10" i="18" s="1"/>
  <c r="V36" i="18"/>
  <c r="W36" i="18" s="1"/>
  <c r="G25" i="18"/>
  <c r="BW10" i="18"/>
  <c r="CB10" i="18" s="1"/>
  <c r="K69" i="18" l="1"/>
  <c r="I69" i="18"/>
  <c r="P69" i="18" s="1"/>
  <c r="K70" i="18"/>
  <c r="I70" i="18"/>
  <c r="M3" i="24"/>
  <c r="S3" i="24" s="1"/>
  <c r="W38" i="18"/>
  <c r="F36" i="24"/>
  <c r="G20" i="18"/>
  <c r="J21" i="18" s="1"/>
  <c r="F69" i="24"/>
  <c r="F48" i="24"/>
  <c r="F106" i="24"/>
  <c r="F123" i="24"/>
  <c r="F54" i="24"/>
  <c r="F107" i="24"/>
  <c r="F90" i="24"/>
  <c r="F96" i="24"/>
  <c r="F45" i="24"/>
  <c r="F43" i="24"/>
  <c r="F125" i="24"/>
  <c r="F71" i="24"/>
  <c r="F92" i="24"/>
  <c r="F73" i="24"/>
  <c r="F112" i="24"/>
  <c r="F101" i="24"/>
  <c r="F60" i="24"/>
  <c r="F57" i="24"/>
  <c r="F77" i="24"/>
  <c r="F83" i="24"/>
  <c r="F124" i="24"/>
  <c r="F59" i="24"/>
  <c r="F84" i="24"/>
  <c r="F61" i="24"/>
  <c r="F52" i="24"/>
  <c r="F103" i="24"/>
  <c r="F93" i="24"/>
  <c r="F80" i="24"/>
  <c r="F65" i="24"/>
  <c r="F79" i="24"/>
  <c r="F89" i="24"/>
  <c r="F51" i="24"/>
  <c r="F75" i="24"/>
  <c r="F120" i="24"/>
  <c r="F119" i="24"/>
  <c r="F109" i="24"/>
  <c r="F74" i="24"/>
  <c r="F102" i="24"/>
  <c r="F100" i="24"/>
  <c r="F85" i="24"/>
  <c r="F82" i="24"/>
  <c r="F99" i="24"/>
  <c r="F72" i="24"/>
  <c r="F44" i="24"/>
  <c r="F115" i="24"/>
  <c r="F66" i="24"/>
  <c r="F50" i="24"/>
  <c r="F88" i="24"/>
  <c r="F56" i="24"/>
  <c r="F117" i="24"/>
  <c r="F121" i="24"/>
  <c r="F118" i="24"/>
  <c r="F86" i="24"/>
  <c r="F55" i="24"/>
  <c r="F68" i="24"/>
  <c r="F113" i="24"/>
  <c r="F122" i="24"/>
  <c r="F104" i="24"/>
  <c r="F63" i="24"/>
  <c r="F127" i="24"/>
  <c r="F111" i="24"/>
  <c r="F64" i="24"/>
  <c r="F81" i="24"/>
  <c r="F78" i="24"/>
  <c r="F98" i="24"/>
  <c r="F116" i="24"/>
  <c r="F105" i="24"/>
  <c r="F95" i="24"/>
  <c r="F49" i="24"/>
  <c r="F97" i="24"/>
  <c r="F62" i="24"/>
  <c r="F108" i="24"/>
  <c r="F126" i="24"/>
  <c r="F58" i="24"/>
  <c r="F87" i="24"/>
  <c r="F70" i="24"/>
  <c r="F47" i="24"/>
  <c r="F110" i="24"/>
  <c r="F94" i="24"/>
  <c r="F76" i="24"/>
  <c r="F46" i="24"/>
  <c r="F67" i="24"/>
  <c r="F91" i="24"/>
  <c r="F114" i="24"/>
  <c r="F39" i="24"/>
  <c r="F34" i="24"/>
  <c r="F40" i="24"/>
  <c r="F29" i="24"/>
  <c r="F31" i="24"/>
  <c r="F26" i="24"/>
  <c r="F30" i="24"/>
  <c r="F24" i="24"/>
  <c r="F27" i="24"/>
  <c r="F23" i="24"/>
  <c r="F33" i="24"/>
  <c r="F35" i="24"/>
  <c r="F28" i="24"/>
  <c r="F37" i="24"/>
  <c r="F32" i="24"/>
  <c r="F41" i="24"/>
  <c r="F14" i="24"/>
  <c r="F17" i="24"/>
  <c r="F15" i="24"/>
  <c r="F16" i="24"/>
  <c r="F13" i="24"/>
  <c r="L34" i="24"/>
  <c r="M34" i="24" s="1"/>
  <c r="L29" i="24"/>
  <c r="M29" i="24" s="1"/>
  <c r="L84" i="24"/>
  <c r="M84" i="24" s="1"/>
  <c r="L99" i="24"/>
  <c r="M99" i="24" s="1"/>
  <c r="L124" i="24"/>
  <c r="M124" i="24" s="1"/>
  <c r="L69" i="24"/>
  <c r="M69" i="24" s="1"/>
  <c r="L44" i="24"/>
  <c r="M44" i="24" s="1"/>
  <c r="L104" i="24"/>
  <c r="M104" i="24" s="1"/>
  <c r="L119" i="24"/>
  <c r="M119" i="24" s="1"/>
  <c r="L59" i="24"/>
  <c r="M59" i="24" s="1"/>
  <c r="L109" i="24"/>
  <c r="M109" i="24" s="1"/>
  <c r="L114" i="24"/>
  <c r="M114" i="24" s="1"/>
  <c r="L49" i="24"/>
  <c r="M49" i="24" s="1"/>
  <c r="L14" i="24"/>
  <c r="M14" i="24" s="1"/>
  <c r="L19" i="24"/>
  <c r="M19" i="24" s="1"/>
  <c r="L24" i="24"/>
  <c r="M24" i="24" s="1"/>
  <c r="L79" i="24"/>
  <c r="M79" i="24" s="1"/>
  <c r="L89" i="24"/>
  <c r="M89" i="24" s="1"/>
  <c r="L64" i="24"/>
  <c r="M64" i="24" s="1"/>
  <c r="L74" i="24"/>
  <c r="M74" i="24" s="1"/>
  <c r="L39" i="24"/>
  <c r="M39" i="24" s="1"/>
  <c r="L94" i="24"/>
  <c r="M94" i="24" s="1"/>
  <c r="L54" i="24"/>
  <c r="M54" i="24" s="1"/>
  <c r="L95" i="24"/>
  <c r="M95" i="24" s="1"/>
  <c r="L25" i="24"/>
  <c r="M25" i="24" s="1"/>
  <c r="L60" i="24"/>
  <c r="M60" i="24" s="1"/>
  <c r="L80" i="24"/>
  <c r="M80" i="24" s="1"/>
  <c r="L120" i="24"/>
  <c r="M120" i="24" s="1"/>
  <c r="L65" i="24"/>
  <c r="M65" i="24" s="1"/>
  <c r="L55" i="24"/>
  <c r="M55" i="24" s="1"/>
  <c r="L125" i="24"/>
  <c r="M125" i="24" s="1"/>
  <c r="L30" i="24"/>
  <c r="M30" i="24" s="1"/>
  <c r="L100" i="24"/>
  <c r="M100" i="24" s="1"/>
  <c r="L110" i="24"/>
  <c r="M110" i="24" s="1"/>
  <c r="L85" i="24"/>
  <c r="M85" i="24" s="1"/>
  <c r="L40" i="24"/>
  <c r="M40" i="24" s="1"/>
  <c r="L115" i="24"/>
  <c r="M115" i="24" s="1"/>
  <c r="L105" i="24"/>
  <c r="M105" i="24" s="1"/>
  <c r="L70" i="24"/>
  <c r="M70" i="24" s="1"/>
  <c r="L15" i="24"/>
  <c r="M15" i="24" s="1"/>
  <c r="L75" i="24"/>
  <c r="M75" i="24" s="1"/>
  <c r="L90" i="24"/>
  <c r="M90" i="24" s="1"/>
  <c r="L45" i="24"/>
  <c r="M45" i="24" s="1"/>
  <c r="L20" i="24"/>
  <c r="M20" i="24" s="1"/>
  <c r="L50" i="24"/>
  <c r="M50" i="24" s="1"/>
  <c r="L35" i="24"/>
  <c r="M35" i="24" s="1"/>
  <c r="L9" i="24"/>
  <c r="M9" i="24" s="1"/>
  <c r="L10" i="24"/>
  <c r="M10" i="24" s="1"/>
  <c r="F12" i="24"/>
  <c r="F10" i="24"/>
  <c r="F9" i="24"/>
  <c r="F11" i="24"/>
  <c r="F8" i="24"/>
  <c r="F7" i="24"/>
  <c r="F4" i="24"/>
  <c r="F6" i="24"/>
  <c r="F5" i="24"/>
  <c r="F3" i="24"/>
  <c r="AT10" i="18"/>
  <c r="Y1922" i="18" l="1"/>
  <c r="G1922" i="18" s="1"/>
  <c r="Y837" i="18"/>
  <c r="G837" i="18" s="1"/>
  <c r="Y682" i="18"/>
  <c r="G682" i="18" s="1"/>
  <c r="Y1705" i="18"/>
  <c r="G1705" i="18" s="1"/>
  <c r="Y1984" i="18"/>
  <c r="G1984" i="18" s="1"/>
  <c r="Y1240" i="18"/>
  <c r="G1240" i="18" s="1"/>
  <c r="Y930" i="18"/>
  <c r="G930" i="18" s="1"/>
  <c r="Y744" i="18"/>
  <c r="G744" i="18" s="1"/>
  <c r="Y434" i="18"/>
  <c r="G434" i="18" s="1"/>
  <c r="Y1736" i="18"/>
  <c r="G1736" i="18" s="1"/>
  <c r="Y403" i="18"/>
  <c r="G403" i="18" s="1"/>
  <c r="Y465" i="18"/>
  <c r="G465" i="18" s="1"/>
  <c r="Y310" i="18"/>
  <c r="G310" i="18" s="1"/>
  <c r="Y1333" i="18"/>
  <c r="G1333" i="18" s="1"/>
  <c r="Y1643" i="18"/>
  <c r="G1643" i="18" s="1"/>
  <c r="Y341" i="18"/>
  <c r="G341" i="18" s="1"/>
  <c r="Y1147" i="18"/>
  <c r="G1147" i="18" s="1"/>
  <c r="Y589" i="18"/>
  <c r="G589" i="18" s="1"/>
  <c r="Y372" i="18"/>
  <c r="G372" i="18" s="1"/>
  <c r="Y1798" i="18"/>
  <c r="G1798" i="18" s="1"/>
  <c r="Y775" i="18"/>
  <c r="G775" i="18" s="1"/>
  <c r="Y1054" i="18"/>
  <c r="G1054" i="18" s="1"/>
  <c r="Y2015" i="18"/>
  <c r="G2015" i="18" s="1"/>
  <c r="Y124" i="18"/>
  <c r="G124" i="18" s="1"/>
  <c r="Y1457" i="18"/>
  <c r="G1457" i="18" s="1"/>
  <c r="Y961" i="18"/>
  <c r="G961" i="18" s="1"/>
  <c r="Y713" i="18"/>
  <c r="G713" i="18" s="1"/>
  <c r="Y1302" i="18"/>
  <c r="G1302" i="18" s="1"/>
  <c r="Y1581" i="18"/>
  <c r="G1581" i="18" s="1"/>
  <c r="Y217" i="18"/>
  <c r="G217" i="18" s="1"/>
  <c r="Y1519" i="18"/>
  <c r="G1519" i="18" s="1"/>
  <c r="Y1860" i="18"/>
  <c r="G1860" i="18" s="1"/>
  <c r="Y1209" i="18"/>
  <c r="G1209" i="18" s="1"/>
  <c r="Y1023" i="18"/>
  <c r="G1023" i="18" s="1"/>
  <c r="Y1085" i="18"/>
  <c r="G1085" i="18" s="1"/>
  <c r="Y558" i="18"/>
  <c r="G558" i="18" s="1"/>
  <c r="Y186" i="18"/>
  <c r="G186" i="18" s="1"/>
  <c r="Y1488" i="18"/>
  <c r="G1488" i="18" s="1"/>
  <c r="Y93" i="18"/>
  <c r="G93" i="18" s="1"/>
  <c r="Y1612" i="18"/>
  <c r="G1612" i="18" s="1"/>
  <c r="Y527" i="18"/>
  <c r="G527" i="18" s="1"/>
  <c r="Y1550" i="18"/>
  <c r="G1550" i="18" s="1"/>
  <c r="Y1953" i="18"/>
  <c r="G1953" i="18" s="1"/>
  <c r="Y1395" i="18"/>
  <c r="G1395" i="18" s="1"/>
  <c r="Y1178" i="18"/>
  <c r="G1178" i="18" s="1"/>
  <c r="Y1426" i="18"/>
  <c r="G1426" i="18" s="1"/>
  <c r="Y992" i="18"/>
  <c r="G992" i="18" s="1"/>
  <c r="Y1674" i="18"/>
  <c r="G1674" i="18" s="1"/>
  <c r="Y1829" i="18"/>
  <c r="G1829" i="18" s="1"/>
  <c r="Y620" i="18"/>
  <c r="G620" i="18" s="1"/>
  <c r="Y651" i="18"/>
  <c r="G651" i="18" s="1"/>
  <c r="Y899" i="18"/>
  <c r="G899" i="18" s="1"/>
  <c r="Y155" i="18"/>
  <c r="G155" i="18" s="1"/>
  <c r="Y248" i="18"/>
  <c r="G248" i="18" s="1"/>
  <c r="Y496" i="18"/>
  <c r="G496" i="18" s="1"/>
  <c r="Y1116" i="18"/>
  <c r="G1116" i="18" s="1"/>
  <c r="Y806" i="18"/>
  <c r="G806" i="18" s="1"/>
  <c r="Y1271" i="18"/>
  <c r="G1271" i="18" s="1"/>
  <c r="Y279" i="18"/>
  <c r="G279" i="18" s="1"/>
  <c r="Y1767" i="18"/>
  <c r="G1767" i="18" s="1"/>
  <c r="Y868" i="18"/>
  <c r="G868" i="18" s="1"/>
  <c r="Y1364" i="18"/>
  <c r="G1364" i="18" s="1"/>
  <c r="Y1891" i="18"/>
  <c r="G1891" i="18" s="1"/>
  <c r="Y62" i="18"/>
  <c r="G62" i="18" s="1"/>
  <c r="Y31" i="18"/>
  <c r="G31" i="18" s="1"/>
  <c r="AS10" i="18"/>
  <c r="CH10" i="18" s="1"/>
  <c r="G18" i="18"/>
  <c r="H41" i="18"/>
  <c r="S45" i="24"/>
  <c r="R45" i="24" s="1"/>
  <c r="S75" i="24"/>
  <c r="R75" i="24" s="1"/>
  <c r="S40" i="24"/>
  <c r="R40" i="24" s="1"/>
  <c r="S30" i="24"/>
  <c r="R30" i="24" s="1"/>
  <c r="S35" i="24"/>
  <c r="R35" i="24" s="1"/>
  <c r="S15" i="24"/>
  <c r="S79" i="24"/>
  <c r="R79" i="24" s="1"/>
  <c r="S50" i="24"/>
  <c r="R50" i="24" s="1"/>
  <c r="S80" i="24"/>
  <c r="R80" i="24" s="1"/>
  <c r="S64" i="24"/>
  <c r="R64" i="24" s="1"/>
  <c r="S24" i="24"/>
  <c r="R24" i="24" s="1"/>
  <c r="S59" i="24"/>
  <c r="R59" i="24" s="1"/>
  <c r="S70" i="24"/>
  <c r="R70" i="24" s="1"/>
  <c r="S60" i="24"/>
  <c r="R60" i="24" s="1"/>
  <c r="S89" i="24"/>
  <c r="R89" i="24" s="1"/>
  <c r="S19" i="24"/>
  <c r="R19" i="24" s="1"/>
  <c r="S119" i="24"/>
  <c r="R119" i="24" s="1"/>
  <c r="S105" i="24"/>
  <c r="R105" i="24" s="1"/>
  <c r="S85" i="24"/>
  <c r="R85" i="24" s="1"/>
  <c r="S90" i="24"/>
  <c r="R90" i="24" s="1"/>
  <c r="S110" i="24"/>
  <c r="R110" i="24" s="1"/>
  <c r="S65" i="24"/>
  <c r="R65" i="24" s="1"/>
  <c r="S39" i="24"/>
  <c r="R39" i="24" s="1"/>
  <c r="S114" i="24"/>
  <c r="R114" i="24" s="1"/>
  <c r="S29" i="24"/>
  <c r="R29" i="24" s="1"/>
  <c r="S120" i="24"/>
  <c r="R120" i="24" s="1"/>
  <c r="S74" i="24"/>
  <c r="R74" i="24" s="1"/>
  <c r="S109" i="24"/>
  <c r="R109" i="24" s="1"/>
  <c r="S69" i="24"/>
  <c r="R69" i="24" s="1"/>
  <c r="S34" i="24"/>
  <c r="R34" i="24" s="1"/>
  <c r="S125" i="24"/>
  <c r="R125" i="24" s="1"/>
  <c r="S54" i="24"/>
  <c r="R54" i="24" s="1"/>
  <c r="S14" i="24"/>
  <c r="S124" i="24"/>
  <c r="R124" i="24" s="1"/>
  <c r="S55" i="24"/>
  <c r="R55" i="24" s="1"/>
  <c r="S94" i="24"/>
  <c r="R94" i="24" s="1"/>
  <c r="S49" i="24"/>
  <c r="R49" i="24" s="1"/>
  <c r="S104" i="24"/>
  <c r="R104" i="24" s="1"/>
  <c r="S99" i="24"/>
  <c r="R99" i="24" s="1"/>
  <c r="S25" i="24"/>
  <c r="R25" i="24" s="1"/>
  <c r="S44" i="24"/>
  <c r="R44" i="24" s="1"/>
  <c r="S84" i="24"/>
  <c r="R84" i="24" s="1"/>
  <c r="S20" i="24"/>
  <c r="R20" i="24" s="1"/>
  <c r="S115" i="24"/>
  <c r="R115" i="24" s="1"/>
  <c r="S100" i="24"/>
  <c r="R100" i="24" s="1"/>
  <c r="S95" i="24"/>
  <c r="R95" i="24" s="1"/>
  <c r="S10" i="24"/>
  <c r="S9" i="24"/>
  <c r="R3" i="24"/>
  <c r="G1887" i="18" l="1"/>
  <c r="V1891" i="18"/>
  <c r="W1891" i="18" s="1"/>
  <c r="P1891" i="18"/>
  <c r="G864" i="18"/>
  <c r="V868" i="18"/>
  <c r="W868" i="18" s="1"/>
  <c r="P868" i="18"/>
  <c r="V1178" i="18"/>
  <c r="W1178" i="18" s="1"/>
  <c r="G1174" i="18"/>
  <c r="P1178" i="18"/>
  <c r="V1581" i="18"/>
  <c r="W1581" i="18" s="1"/>
  <c r="G1577" i="18"/>
  <c r="P1581" i="18"/>
  <c r="G306" i="18"/>
  <c r="V310" i="18"/>
  <c r="W310" i="18" s="1"/>
  <c r="P310" i="18"/>
  <c r="G1856" i="18"/>
  <c r="V1860" i="18"/>
  <c r="W1860" i="18" s="1"/>
  <c r="P1860" i="18"/>
  <c r="G1763" i="18"/>
  <c r="V1767" i="18"/>
  <c r="W1767" i="18" s="1"/>
  <c r="P1767" i="18"/>
  <c r="V1395" i="18"/>
  <c r="W1395" i="18" s="1"/>
  <c r="G1391" i="18"/>
  <c r="P1395" i="18"/>
  <c r="G1298" i="18"/>
  <c r="V1302" i="18"/>
  <c r="W1302" i="18" s="1"/>
  <c r="P1302" i="18"/>
  <c r="G461" i="18"/>
  <c r="V465" i="18"/>
  <c r="W465" i="18" s="1"/>
  <c r="P465" i="18"/>
  <c r="V217" i="18"/>
  <c r="W217" i="18" s="1"/>
  <c r="G213" i="18"/>
  <c r="P217" i="18"/>
  <c r="V1953" i="18"/>
  <c r="W1953" i="18" s="1"/>
  <c r="G1949" i="18"/>
  <c r="P1953" i="18"/>
  <c r="V713" i="18"/>
  <c r="W713" i="18" s="1"/>
  <c r="G709" i="18"/>
  <c r="P713" i="18"/>
  <c r="V403" i="18"/>
  <c r="W403" i="18" s="1"/>
  <c r="G399" i="18"/>
  <c r="P403" i="18"/>
  <c r="V341" i="18"/>
  <c r="W341" i="18" s="1"/>
  <c r="G337" i="18"/>
  <c r="P341" i="18"/>
  <c r="V1271" i="18"/>
  <c r="W1271" i="18" s="1"/>
  <c r="G1267" i="18"/>
  <c r="P1271" i="18"/>
  <c r="G1546" i="18"/>
  <c r="V1550" i="18"/>
  <c r="W1550" i="18" s="1"/>
  <c r="P1550" i="18"/>
  <c r="V961" i="18"/>
  <c r="W961" i="18" s="1"/>
  <c r="G957" i="18"/>
  <c r="P961" i="18"/>
  <c r="G1732" i="18"/>
  <c r="V1736" i="18"/>
  <c r="W1736" i="18" s="1"/>
  <c r="P1736" i="18"/>
  <c r="G988" i="18"/>
  <c r="V992" i="18"/>
  <c r="W992" i="18" s="1"/>
  <c r="P992" i="18"/>
  <c r="V527" i="18"/>
  <c r="W527" i="18" s="1"/>
  <c r="G523" i="18"/>
  <c r="P527" i="18"/>
  <c r="G1453" i="18"/>
  <c r="V1457" i="18"/>
  <c r="W1457" i="18" s="1"/>
  <c r="P1457" i="18"/>
  <c r="G430" i="18"/>
  <c r="V434" i="18"/>
  <c r="W434" i="18" s="1"/>
  <c r="P434" i="18"/>
  <c r="V1426" i="18"/>
  <c r="W1426" i="18" s="1"/>
  <c r="G1422" i="18"/>
  <c r="P1426" i="18"/>
  <c r="G1608" i="18"/>
  <c r="V1612" i="18"/>
  <c r="W1612" i="18" s="1"/>
  <c r="P1612" i="18"/>
  <c r="G120" i="18"/>
  <c r="V124" i="18"/>
  <c r="W124" i="18" s="1"/>
  <c r="P124" i="18"/>
  <c r="V744" i="18"/>
  <c r="W744" i="18" s="1"/>
  <c r="G740" i="18"/>
  <c r="P744" i="18"/>
  <c r="V1519" i="18"/>
  <c r="W1519" i="18" s="1"/>
  <c r="G1515" i="18"/>
  <c r="P1519" i="18"/>
  <c r="V93" i="18"/>
  <c r="W93" i="18" s="1"/>
  <c r="G89" i="18"/>
  <c r="P93" i="18"/>
  <c r="G2011" i="18"/>
  <c r="V2015" i="18"/>
  <c r="W2015" i="18" s="1"/>
  <c r="P2015" i="18"/>
  <c r="G926" i="18"/>
  <c r="V930" i="18"/>
  <c r="W930" i="18" s="1"/>
  <c r="P930" i="18"/>
  <c r="V1364" i="18"/>
  <c r="W1364" i="18" s="1"/>
  <c r="G1360" i="18"/>
  <c r="P1364" i="18"/>
  <c r="G244" i="18"/>
  <c r="V248" i="18"/>
  <c r="W248" i="18" s="1"/>
  <c r="P248" i="18"/>
  <c r="G1050" i="18"/>
  <c r="V1054" i="18"/>
  <c r="W1054" i="18" s="1"/>
  <c r="P1054" i="18"/>
  <c r="G1236" i="18"/>
  <c r="V1240" i="18"/>
  <c r="W1240" i="18" s="1"/>
  <c r="P1240" i="18"/>
  <c r="V1674" i="18"/>
  <c r="W1674" i="18" s="1"/>
  <c r="G1670" i="18"/>
  <c r="P1674" i="18"/>
  <c r="G275" i="18"/>
  <c r="V279" i="18"/>
  <c r="W279" i="18" s="1"/>
  <c r="P279" i="18"/>
  <c r="G492" i="18"/>
  <c r="V496" i="18"/>
  <c r="W496" i="18" s="1"/>
  <c r="P496" i="18"/>
  <c r="V155" i="18"/>
  <c r="W155" i="18" s="1"/>
  <c r="G151" i="18"/>
  <c r="P155" i="18"/>
  <c r="V186" i="18"/>
  <c r="W186" i="18" s="1"/>
  <c r="G182" i="18"/>
  <c r="P186" i="18"/>
  <c r="V775" i="18"/>
  <c r="W775" i="18" s="1"/>
  <c r="G771" i="18"/>
  <c r="P775" i="18"/>
  <c r="G1980" i="18"/>
  <c r="V1984" i="18"/>
  <c r="W1984" i="18" s="1"/>
  <c r="P1984" i="18"/>
  <c r="G1112" i="18"/>
  <c r="V1116" i="18"/>
  <c r="W1116" i="18" s="1"/>
  <c r="P1116" i="18"/>
  <c r="G554" i="18"/>
  <c r="V558" i="18"/>
  <c r="W558" i="18" s="1"/>
  <c r="P558" i="18"/>
  <c r="G1794" i="18"/>
  <c r="V1798" i="18"/>
  <c r="W1798" i="18" s="1"/>
  <c r="P1798" i="18"/>
  <c r="V1705" i="18"/>
  <c r="W1705" i="18" s="1"/>
  <c r="G1701" i="18"/>
  <c r="P1705" i="18"/>
  <c r="G1639" i="18"/>
  <c r="V1643" i="18"/>
  <c r="W1643" i="18" s="1"/>
  <c r="P1643" i="18"/>
  <c r="G802" i="18"/>
  <c r="V806" i="18"/>
  <c r="W806" i="18" s="1"/>
  <c r="P806" i="18"/>
  <c r="G1484" i="18"/>
  <c r="V1488" i="18"/>
  <c r="W1488" i="18" s="1"/>
  <c r="P1488" i="18"/>
  <c r="V899" i="18"/>
  <c r="W899" i="18" s="1"/>
  <c r="G895" i="18"/>
  <c r="P899" i="18"/>
  <c r="G647" i="18"/>
  <c r="V651" i="18"/>
  <c r="W651" i="18" s="1"/>
  <c r="P651" i="18"/>
  <c r="G1081" i="18"/>
  <c r="V1085" i="18"/>
  <c r="W1085" i="18" s="1"/>
  <c r="P1085" i="18"/>
  <c r="G368" i="18"/>
  <c r="V372" i="18"/>
  <c r="W372" i="18" s="1"/>
  <c r="P372" i="18"/>
  <c r="G678" i="18"/>
  <c r="V682" i="18"/>
  <c r="W682" i="18" s="1"/>
  <c r="P682" i="18"/>
  <c r="V1023" i="18"/>
  <c r="W1023" i="18" s="1"/>
  <c r="G1019" i="18"/>
  <c r="P1023" i="18"/>
  <c r="G585" i="18"/>
  <c r="V589" i="18"/>
  <c r="W589" i="18" s="1"/>
  <c r="P589" i="18"/>
  <c r="V837" i="18"/>
  <c r="W837" i="18" s="1"/>
  <c r="G833" i="18"/>
  <c r="P837" i="18"/>
  <c r="G1329" i="18"/>
  <c r="V1333" i="18"/>
  <c r="W1333" i="18" s="1"/>
  <c r="P1333" i="18"/>
  <c r="V620" i="18"/>
  <c r="W620" i="18" s="1"/>
  <c r="G616" i="18"/>
  <c r="P620" i="18"/>
  <c r="V1829" i="18"/>
  <c r="W1829" i="18" s="1"/>
  <c r="G1825" i="18"/>
  <c r="P1829" i="18"/>
  <c r="V1209" i="18"/>
  <c r="W1209" i="18" s="1"/>
  <c r="G1205" i="18"/>
  <c r="P1209" i="18"/>
  <c r="G1143" i="18"/>
  <c r="V1147" i="18"/>
  <c r="W1147" i="18" s="1"/>
  <c r="P1147" i="18"/>
  <c r="G1918" i="18"/>
  <c r="V1922" i="18"/>
  <c r="W1922" i="18" s="1"/>
  <c r="P1922" i="18"/>
  <c r="G58" i="18"/>
  <c r="V62" i="18"/>
  <c r="W62" i="18" s="1"/>
  <c r="P62" i="18"/>
  <c r="R15" i="24"/>
  <c r="R14" i="24"/>
  <c r="R9" i="24"/>
  <c r="R10" i="24"/>
  <c r="G27" i="18"/>
  <c r="V31" i="18"/>
  <c r="W31" i="18" s="1"/>
  <c r="BY10" i="18"/>
  <c r="CD10" i="18" s="1"/>
  <c r="D71" i="2" l="1"/>
  <c r="E71" i="2"/>
  <c r="F71" i="2"/>
  <c r="E62" i="2"/>
  <c r="E64" i="2" s="1"/>
  <c r="F62" i="2"/>
  <c r="F64" i="2" s="1"/>
  <c r="D62" i="2"/>
  <c r="G62" i="2" l="1"/>
  <c r="D64" i="2"/>
  <c r="D58" i="2" l="1"/>
  <c r="E58" i="2"/>
  <c r="F58" i="2"/>
  <c r="G58" i="2" l="1"/>
  <c r="F60" i="2"/>
  <c r="F59" i="2"/>
  <c r="AH10" i="18" s="1"/>
  <c r="D59" i="2"/>
  <c r="AI10" i="18" s="1"/>
  <c r="I21" i="18" s="1"/>
  <c r="J39" i="18" s="1"/>
  <c r="D60" i="2"/>
  <c r="E60" i="2"/>
  <c r="E59" i="2"/>
  <c r="G72" i="2"/>
  <c r="AJ10" i="18" l="1"/>
  <c r="AK10" i="18" s="1"/>
  <c r="H21" i="18"/>
  <c r="H39" i="18" s="1"/>
  <c r="AD34" i="18"/>
  <c r="L4" i="24"/>
  <c r="M4" i="24" s="1"/>
  <c r="BH10" i="18" l="1"/>
  <c r="K39" i="18"/>
  <c r="I39" i="18"/>
  <c r="S4" i="24"/>
  <c r="Y65" i="18" l="1"/>
  <c r="G65" i="18" s="1"/>
  <c r="Q65" i="18" s="1"/>
  <c r="Y2018" i="18"/>
  <c r="G2018" i="18" s="1"/>
  <c r="Y964" i="18"/>
  <c r="G964" i="18" s="1"/>
  <c r="Y716" i="18"/>
  <c r="G716" i="18" s="1"/>
  <c r="Y437" i="18"/>
  <c r="G437" i="18" s="1"/>
  <c r="Y747" i="18"/>
  <c r="G747" i="18" s="1"/>
  <c r="Y158" i="18"/>
  <c r="G158" i="18" s="1"/>
  <c r="Y1708" i="18"/>
  <c r="G1708" i="18" s="1"/>
  <c r="Y189" i="18"/>
  <c r="G189" i="18" s="1"/>
  <c r="Y220" i="18"/>
  <c r="G220" i="18" s="1"/>
  <c r="Y561" i="18"/>
  <c r="G561" i="18" s="1"/>
  <c r="Y1925" i="18"/>
  <c r="G1925" i="18" s="1"/>
  <c r="Y933" i="18"/>
  <c r="G933" i="18" s="1"/>
  <c r="Y685" i="18"/>
  <c r="G685" i="18" s="1"/>
  <c r="Y468" i="18"/>
  <c r="G468" i="18" s="1"/>
  <c r="Y995" i="18"/>
  <c r="G995" i="18" s="1"/>
  <c r="Y1212" i="18"/>
  <c r="G1212" i="18" s="1"/>
  <c r="Y1274" i="18"/>
  <c r="G1274" i="18" s="1"/>
  <c r="Y1243" i="18"/>
  <c r="G1243" i="18" s="1"/>
  <c r="Y344" i="18"/>
  <c r="G344" i="18" s="1"/>
  <c r="Y499" i="18"/>
  <c r="G499" i="18" s="1"/>
  <c r="Y1460" i="18"/>
  <c r="G1460" i="18" s="1"/>
  <c r="Y1770" i="18"/>
  <c r="G1770" i="18" s="1"/>
  <c r="Y1026" i="18"/>
  <c r="G1026" i="18" s="1"/>
  <c r="Y778" i="18"/>
  <c r="G778" i="18" s="1"/>
  <c r="Y530" i="18"/>
  <c r="G530" i="18" s="1"/>
  <c r="Y1677" i="18"/>
  <c r="G1677" i="18" s="1"/>
  <c r="Y1181" i="18"/>
  <c r="G1181" i="18" s="1"/>
  <c r="Y282" i="18"/>
  <c r="G282" i="18" s="1"/>
  <c r="Y1429" i="18"/>
  <c r="G1429" i="18" s="1"/>
  <c r="Y1522" i="18"/>
  <c r="G1522" i="18" s="1"/>
  <c r="Y1956" i="18"/>
  <c r="G1956" i="18" s="1"/>
  <c r="Y1491" i="18"/>
  <c r="G1491" i="18" s="1"/>
  <c r="Y1987" i="18"/>
  <c r="G1987" i="18" s="1"/>
  <c r="Y1739" i="18"/>
  <c r="G1739" i="18" s="1"/>
  <c r="Y251" i="18"/>
  <c r="G251" i="18" s="1"/>
  <c r="Y1832" i="18"/>
  <c r="G1832" i="18" s="1"/>
  <c r="Y1553" i="18"/>
  <c r="G1553" i="18" s="1"/>
  <c r="Y1336" i="18"/>
  <c r="G1336" i="18" s="1"/>
  <c r="Y1801" i="18"/>
  <c r="G1801" i="18" s="1"/>
  <c r="Y1584" i="18"/>
  <c r="G1584" i="18" s="1"/>
  <c r="Y1305" i="18"/>
  <c r="G1305" i="18" s="1"/>
  <c r="Y592" i="18"/>
  <c r="G592" i="18" s="1"/>
  <c r="Y313" i="18"/>
  <c r="G313" i="18" s="1"/>
  <c r="Y1088" i="18"/>
  <c r="G1088" i="18" s="1"/>
  <c r="Y1119" i="18"/>
  <c r="G1119" i="18" s="1"/>
  <c r="Y1863" i="18"/>
  <c r="G1863" i="18" s="1"/>
  <c r="Y1646" i="18"/>
  <c r="G1646" i="18" s="1"/>
  <c r="Y1367" i="18"/>
  <c r="G1367" i="18" s="1"/>
  <c r="Y654" i="18"/>
  <c r="G654" i="18" s="1"/>
  <c r="Y375" i="18"/>
  <c r="G375" i="18" s="1"/>
  <c r="Y902" i="18"/>
  <c r="G902" i="18" s="1"/>
  <c r="Y1150" i="18"/>
  <c r="G1150" i="18" s="1"/>
  <c r="Y1894" i="18"/>
  <c r="G1894" i="18" s="1"/>
  <c r="Y1615" i="18"/>
  <c r="G1615" i="18" s="1"/>
  <c r="Y1398" i="18"/>
  <c r="G1398" i="18" s="1"/>
  <c r="Y623" i="18"/>
  <c r="G623" i="18" s="1"/>
  <c r="Y406" i="18"/>
  <c r="G406" i="18" s="1"/>
  <c r="Y96" i="18"/>
  <c r="G96" i="18" s="1"/>
  <c r="Y871" i="18"/>
  <c r="G871" i="18" s="1"/>
  <c r="Y1057" i="18"/>
  <c r="G1057" i="18" s="1"/>
  <c r="Y809" i="18"/>
  <c r="G809" i="18" s="1"/>
  <c r="Y127" i="18"/>
  <c r="G127" i="18" s="1"/>
  <c r="Y840" i="18"/>
  <c r="G840" i="18" s="1"/>
  <c r="R4" i="24"/>
  <c r="Y34" i="18"/>
  <c r="G34" i="18" s="1"/>
  <c r="V65" i="18" l="1"/>
  <c r="W65" i="18" s="1"/>
  <c r="K65" i="18"/>
  <c r="I65" i="18"/>
  <c r="P65" i="18" s="1"/>
  <c r="P68" i="18" s="1"/>
  <c r="P71" i="18" s="1"/>
  <c r="J65" i="18"/>
  <c r="J1646" i="18"/>
  <c r="I1646" i="18"/>
  <c r="P1646" i="18" s="1"/>
  <c r="P1649" i="18" s="1"/>
  <c r="P1652" i="18" s="1"/>
  <c r="V1646" i="18"/>
  <c r="W1646" i="18" s="1"/>
  <c r="K1646" i="18"/>
  <c r="Q1646" i="18"/>
  <c r="J1057" i="18"/>
  <c r="V1057" i="18"/>
  <c r="W1057" i="18" s="1"/>
  <c r="Q1057" i="18"/>
  <c r="I1057" i="18"/>
  <c r="P1057" i="18" s="1"/>
  <c r="P1060" i="18" s="1"/>
  <c r="P1063" i="18" s="1"/>
  <c r="K1057" i="18"/>
  <c r="V1088" i="18"/>
  <c r="W1088" i="18" s="1"/>
  <c r="Q1088" i="18"/>
  <c r="K1088" i="18"/>
  <c r="J1088" i="18"/>
  <c r="I1088" i="18"/>
  <c r="P1088" i="18" s="1"/>
  <c r="P1091" i="18" s="1"/>
  <c r="P1094" i="18" s="1"/>
  <c r="Q282" i="18"/>
  <c r="J282" i="18"/>
  <c r="I282" i="18"/>
  <c r="P282" i="18" s="1"/>
  <c r="P285" i="18" s="1"/>
  <c r="P288" i="18" s="1"/>
  <c r="K282" i="18"/>
  <c r="V282" i="18"/>
  <c r="W282" i="18" s="1"/>
  <c r="V933" i="18"/>
  <c r="W933" i="18" s="1"/>
  <c r="Q933" i="18"/>
  <c r="J933" i="18"/>
  <c r="I933" i="18"/>
  <c r="P933" i="18" s="1"/>
  <c r="P936" i="18" s="1"/>
  <c r="P939" i="18" s="1"/>
  <c r="K933" i="18"/>
  <c r="V840" i="18"/>
  <c r="W840" i="18" s="1"/>
  <c r="K840" i="18"/>
  <c r="J840" i="18"/>
  <c r="I840" i="18"/>
  <c r="P840" i="18" s="1"/>
  <c r="P843" i="18" s="1"/>
  <c r="P846" i="18" s="1"/>
  <c r="Q840" i="18"/>
  <c r="Q871" i="18"/>
  <c r="J871" i="18"/>
  <c r="I871" i="18"/>
  <c r="P871" i="18" s="1"/>
  <c r="P874" i="18" s="1"/>
  <c r="P877" i="18" s="1"/>
  <c r="V871" i="18"/>
  <c r="W871" i="18" s="1"/>
  <c r="K871" i="18"/>
  <c r="V313" i="18"/>
  <c r="W313" i="18" s="1"/>
  <c r="Q313" i="18"/>
  <c r="J313" i="18"/>
  <c r="I313" i="18"/>
  <c r="P313" i="18" s="1"/>
  <c r="P316" i="18" s="1"/>
  <c r="P319" i="18" s="1"/>
  <c r="K313" i="18"/>
  <c r="V1181" i="18"/>
  <c r="W1181" i="18" s="1"/>
  <c r="Q1181" i="18"/>
  <c r="I1181" i="18"/>
  <c r="P1181" i="18" s="1"/>
  <c r="P1184" i="18" s="1"/>
  <c r="P1187" i="18" s="1"/>
  <c r="J1181" i="18"/>
  <c r="K1181" i="18"/>
  <c r="Q1925" i="18"/>
  <c r="J1925" i="18"/>
  <c r="I1925" i="18"/>
  <c r="P1925" i="18" s="1"/>
  <c r="P1928" i="18" s="1"/>
  <c r="P1931" i="18" s="1"/>
  <c r="V1925" i="18"/>
  <c r="W1925" i="18" s="1"/>
  <c r="K1925" i="18"/>
  <c r="J1956" i="18"/>
  <c r="I1956" i="18"/>
  <c r="P1956" i="18" s="1"/>
  <c r="P1959" i="18" s="1"/>
  <c r="P1962" i="18" s="1"/>
  <c r="Q1956" i="18"/>
  <c r="V1956" i="18"/>
  <c r="W1956" i="18" s="1"/>
  <c r="K1956" i="18"/>
  <c r="J96" i="18"/>
  <c r="K96" i="18"/>
  <c r="V96" i="18"/>
  <c r="W96" i="18" s="1"/>
  <c r="I96" i="18"/>
  <c r="P96" i="18" s="1"/>
  <c r="P99" i="18" s="1"/>
  <c r="P102" i="18" s="1"/>
  <c r="Q96" i="18"/>
  <c r="J592" i="18"/>
  <c r="Q592" i="18"/>
  <c r="I592" i="18"/>
  <c r="P592" i="18" s="1"/>
  <c r="P595" i="18" s="1"/>
  <c r="P598" i="18" s="1"/>
  <c r="V592" i="18"/>
  <c r="W592" i="18" s="1"/>
  <c r="K592" i="18"/>
  <c r="V1677" i="18"/>
  <c r="W1677" i="18" s="1"/>
  <c r="Q1677" i="18"/>
  <c r="I1677" i="18"/>
  <c r="P1677" i="18" s="1"/>
  <c r="P1680" i="18" s="1"/>
  <c r="P1683" i="18" s="1"/>
  <c r="J1677" i="18"/>
  <c r="K1677" i="18"/>
  <c r="J561" i="18"/>
  <c r="I561" i="18"/>
  <c r="P561" i="18" s="1"/>
  <c r="P564" i="18" s="1"/>
  <c r="P567" i="18" s="1"/>
  <c r="K561" i="18"/>
  <c r="V561" i="18"/>
  <c r="W561" i="18" s="1"/>
  <c r="Q561" i="18"/>
  <c r="K127" i="18"/>
  <c r="I127" i="18"/>
  <c r="P127" i="18" s="1"/>
  <c r="P130" i="18" s="1"/>
  <c r="P133" i="18" s="1"/>
  <c r="Q127" i="18"/>
  <c r="V127" i="18"/>
  <c r="W127" i="18" s="1"/>
  <c r="J127" i="18"/>
  <c r="Q406" i="18"/>
  <c r="K406" i="18"/>
  <c r="J406" i="18"/>
  <c r="I406" i="18"/>
  <c r="P406" i="18" s="1"/>
  <c r="P409" i="18" s="1"/>
  <c r="P412" i="18" s="1"/>
  <c r="V406" i="18"/>
  <c r="W406" i="18" s="1"/>
  <c r="V1305" i="18"/>
  <c r="W1305" i="18" s="1"/>
  <c r="I1305" i="18"/>
  <c r="P1305" i="18" s="1"/>
  <c r="P1308" i="18" s="1"/>
  <c r="P1311" i="18" s="1"/>
  <c r="Q1305" i="18"/>
  <c r="J1305" i="18"/>
  <c r="K1305" i="18"/>
  <c r="K530" i="18"/>
  <c r="Q530" i="18"/>
  <c r="J530" i="18"/>
  <c r="I530" i="18"/>
  <c r="P530" i="18" s="1"/>
  <c r="P533" i="18" s="1"/>
  <c r="P536" i="18" s="1"/>
  <c r="V530" i="18"/>
  <c r="W530" i="18" s="1"/>
  <c r="J220" i="18"/>
  <c r="I220" i="18"/>
  <c r="P220" i="18" s="1"/>
  <c r="P223" i="18" s="1"/>
  <c r="P226" i="18" s="1"/>
  <c r="V220" i="18"/>
  <c r="W220" i="18" s="1"/>
  <c r="Q220" i="18"/>
  <c r="K220" i="18"/>
  <c r="J1863" i="18"/>
  <c r="I1863" i="18"/>
  <c r="P1863" i="18" s="1"/>
  <c r="P1866" i="18" s="1"/>
  <c r="P1869" i="18" s="1"/>
  <c r="V1863" i="18"/>
  <c r="W1863" i="18" s="1"/>
  <c r="K1863" i="18"/>
  <c r="Q1863" i="18"/>
  <c r="J1584" i="18"/>
  <c r="I1584" i="18"/>
  <c r="P1584" i="18" s="1"/>
  <c r="P1587" i="18" s="1"/>
  <c r="P1590" i="18" s="1"/>
  <c r="V1584" i="18"/>
  <c r="W1584" i="18" s="1"/>
  <c r="Q1584" i="18"/>
  <c r="K1584" i="18"/>
  <c r="V778" i="18"/>
  <c r="W778" i="18" s="1"/>
  <c r="Q778" i="18"/>
  <c r="J778" i="18"/>
  <c r="I778" i="18"/>
  <c r="P778" i="18" s="1"/>
  <c r="P781" i="18" s="1"/>
  <c r="P784" i="18" s="1"/>
  <c r="K778" i="18"/>
  <c r="K189" i="18"/>
  <c r="J189" i="18"/>
  <c r="Q189" i="18"/>
  <c r="V189" i="18"/>
  <c r="W189" i="18" s="1"/>
  <c r="I189" i="18"/>
  <c r="P189" i="18" s="1"/>
  <c r="P192" i="18" s="1"/>
  <c r="P195" i="18" s="1"/>
  <c r="V1429" i="18"/>
  <c r="W1429" i="18" s="1"/>
  <c r="Q1429" i="18"/>
  <c r="J1429" i="18"/>
  <c r="I1429" i="18"/>
  <c r="P1429" i="18" s="1"/>
  <c r="P1432" i="18" s="1"/>
  <c r="P1435" i="18" s="1"/>
  <c r="K1429" i="18"/>
  <c r="J1801" i="18"/>
  <c r="V1801" i="18"/>
  <c r="W1801" i="18" s="1"/>
  <c r="Q1801" i="18"/>
  <c r="I1801" i="18"/>
  <c r="P1801" i="18" s="1"/>
  <c r="P1804" i="18" s="1"/>
  <c r="P1807" i="18" s="1"/>
  <c r="K1801" i="18"/>
  <c r="Q1026" i="18"/>
  <c r="V1026" i="18"/>
  <c r="W1026" i="18" s="1"/>
  <c r="J1026" i="18"/>
  <c r="K1026" i="18"/>
  <c r="I1026" i="18"/>
  <c r="P1026" i="18" s="1"/>
  <c r="P1029" i="18" s="1"/>
  <c r="P1032" i="18" s="1"/>
  <c r="Q1708" i="18"/>
  <c r="V1708" i="18"/>
  <c r="W1708" i="18" s="1"/>
  <c r="K1708" i="18"/>
  <c r="J1708" i="18"/>
  <c r="I1708" i="18"/>
  <c r="P1708" i="18" s="1"/>
  <c r="P1711" i="18" s="1"/>
  <c r="P1714" i="18" s="1"/>
  <c r="Q1522" i="18"/>
  <c r="J1522" i="18"/>
  <c r="I1522" i="18"/>
  <c r="P1522" i="18" s="1"/>
  <c r="P1525" i="18" s="1"/>
  <c r="P1528" i="18" s="1"/>
  <c r="V1522" i="18"/>
  <c r="W1522" i="18" s="1"/>
  <c r="K1522" i="18"/>
  <c r="Q1336" i="18"/>
  <c r="K1336" i="18"/>
  <c r="V1336" i="18"/>
  <c r="W1336" i="18" s="1"/>
  <c r="J1336" i="18"/>
  <c r="I1336" i="18"/>
  <c r="P1336" i="18" s="1"/>
  <c r="P1339" i="18" s="1"/>
  <c r="P1342" i="18" s="1"/>
  <c r="Q1770" i="18"/>
  <c r="J1770" i="18"/>
  <c r="I1770" i="18"/>
  <c r="P1770" i="18" s="1"/>
  <c r="P1773" i="18" s="1"/>
  <c r="P1776" i="18" s="1"/>
  <c r="V1770" i="18"/>
  <c r="W1770" i="18" s="1"/>
  <c r="K1770" i="18"/>
  <c r="K158" i="18"/>
  <c r="I158" i="18"/>
  <c r="P158" i="18" s="1"/>
  <c r="P161" i="18" s="1"/>
  <c r="P164" i="18" s="1"/>
  <c r="V158" i="18"/>
  <c r="W158" i="18" s="1"/>
  <c r="J158" i="18"/>
  <c r="Q158" i="18"/>
  <c r="Q1119" i="18"/>
  <c r="J1119" i="18"/>
  <c r="I1119" i="18"/>
  <c r="P1119" i="18" s="1"/>
  <c r="P1122" i="18" s="1"/>
  <c r="P1125" i="18" s="1"/>
  <c r="V1119" i="18"/>
  <c r="W1119" i="18" s="1"/>
  <c r="K1119" i="18"/>
  <c r="Q1894" i="18"/>
  <c r="K1894" i="18"/>
  <c r="J1894" i="18"/>
  <c r="I1894" i="18"/>
  <c r="P1894" i="18" s="1"/>
  <c r="P1897" i="18" s="1"/>
  <c r="P1900" i="18" s="1"/>
  <c r="V1894" i="18"/>
  <c r="W1894" i="18" s="1"/>
  <c r="V1460" i="18"/>
  <c r="W1460" i="18" s="1"/>
  <c r="K1460" i="18"/>
  <c r="J1460" i="18"/>
  <c r="I1460" i="18"/>
  <c r="P1460" i="18" s="1"/>
  <c r="P1463" i="18" s="1"/>
  <c r="P1466" i="18" s="1"/>
  <c r="Q1460" i="18"/>
  <c r="J747" i="18"/>
  <c r="I747" i="18"/>
  <c r="P747" i="18" s="1"/>
  <c r="P750" i="18" s="1"/>
  <c r="P753" i="18" s="1"/>
  <c r="V747" i="18"/>
  <c r="W747" i="18" s="1"/>
  <c r="K747" i="18"/>
  <c r="Q747" i="18"/>
  <c r="J468" i="18"/>
  <c r="I468" i="18"/>
  <c r="P468" i="18" s="1"/>
  <c r="P471" i="18" s="1"/>
  <c r="P474" i="18" s="1"/>
  <c r="V468" i="18"/>
  <c r="W468" i="18" s="1"/>
  <c r="Q468" i="18"/>
  <c r="K468" i="18"/>
  <c r="K1615" i="18"/>
  <c r="Q1615" i="18"/>
  <c r="J1615" i="18"/>
  <c r="I1615" i="18"/>
  <c r="P1615" i="18" s="1"/>
  <c r="P1618" i="18" s="1"/>
  <c r="P1621" i="18" s="1"/>
  <c r="V1615" i="18"/>
  <c r="W1615" i="18" s="1"/>
  <c r="J1553" i="18"/>
  <c r="K1553" i="18"/>
  <c r="I1553" i="18"/>
  <c r="P1553" i="18" s="1"/>
  <c r="P1556" i="18" s="1"/>
  <c r="P1559" i="18" s="1"/>
  <c r="V1553" i="18"/>
  <c r="W1553" i="18" s="1"/>
  <c r="Q1553" i="18"/>
  <c r="Q1150" i="18"/>
  <c r="J1150" i="18"/>
  <c r="I1150" i="18"/>
  <c r="P1150" i="18" s="1"/>
  <c r="P1153" i="18" s="1"/>
  <c r="P1156" i="18" s="1"/>
  <c r="V1150" i="18"/>
  <c r="W1150" i="18" s="1"/>
  <c r="K1150" i="18"/>
  <c r="K1832" i="18"/>
  <c r="V1832" i="18"/>
  <c r="W1832" i="18" s="1"/>
  <c r="J1832" i="18"/>
  <c r="I1832" i="18"/>
  <c r="P1832" i="18" s="1"/>
  <c r="P1835" i="18" s="1"/>
  <c r="P1838" i="18" s="1"/>
  <c r="Q1832" i="18"/>
  <c r="J499" i="18"/>
  <c r="V499" i="18"/>
  <c r="W499" i="18" s="1"/>
  <c r="I499" i="18"/>
  <c r="P499" i="18" s="1"/>
  <c r="P502" i="18" s="1"/>
  <c r="P505" i="18" s="1"/>
  <c r="K499" i="18"/>
  <c r="Q499" i="18"/>
  <c r="I437" i="18"/>
  <c r="P437" i="18" s="1"/>
  <c r="P440" i="18" s="1"/>
  <c r="P443" i="18" s="1"/>
  <c r="J437" i="18"/>
  <c r="K437" i="18"/>
  <c r="V437" i="18"/>
  <c r="W437" i="18" s="1"/>
  <c r="Q437" i="18"/>
  <c r="K623" i="18"/>
  <c r="Q623" i="18"/>
  <c r="J623" i="18"/>
  <c r="I623" i="18"/>
  <c r="P623" i="18" s="1"/>
  <c r="P626" i="18" s="1"/>
  <c r="P629" i="18" s="1"/>
  <c r="V623" i="18"/>
  <c r="W623" i="18" s="1"/>
  <c r="J251" i="18"/>
  <c r="I251" i="18"/>
  <c r="P251" i="18" s="1"/>
  <c r="P254" i="18" s="1"/>
  <c r="P257" i="18" s="1"/>
  <c r="V251" i="18"/>
  <c r="W251" i="18" s="1"/>
  <c r="Q251" i="18"/>
  <c r="K251" i="18"/>
  <c r="Q344" i="18"/>
  <c r="V344" i="18"/>
  <c r="W344" i="18" s="1"/>
  <c r="K344" i="18"/>
  <c r="J344" i="18"/>
  <c r="I344" i="18"/>
  <c r="P344" i="18" s="1"/>
  <c r="P347" i="18" s="1"/>
  <c r="P350" i="18" s="1"/>
  <c r="K716" i="18"/>
  <c r="V716" i="18"/>
  <c r="W716" i="18" s="1"/>
  <c r="J716" i="18"/>
  <c r="I716" i="18"/>
  <c r="P716" i="18" s="1"/>
  <c r="P719" i="18" s="1"/>
  <c r="P722" i="18" s="1"/>
  <c r="Q716" i="18"/>
  <c r="J995" i="18"/>
  <c r="I995" i="18"/>
  <c r="P995" i="18" s="1"/>
  <c r="P998" i="18" s="1"/>
  <c r="P1001" i="18" s="1"/>
  <c r="V995" i="18"/>
  <c r="W995" i="18" s="1"/>
  <c r="Q995" i="18"/>
  <c r="K995" i="18"/>
  <c r="V685" i="18"/>
  <c r="W685" i="18" s="1"/>
  <c r="Q685" i="18"/>
  <c r="J685" i="18"/>
  <c r="I685" i="18"/>
  <c r="P685" i="18" s="1"/>
  <c r="P688" i="18" s="1"/>
  <c r="P691" i="18" s="1"/>
  <c r="K685" i="18"/>
  <c r="Q902" i="18"/>
  <c r="J902" i="18"/>
  <c r="I902" i="18"/>
  <c r="P902" i="18" s="1"/>
  <c r="P905" i="18" s="1"/>
  <c r="P908" i="18" s="1"/>
  <c r="V902" i="18"/>
  <c r="W902" i="18" s="1"/>
  <c r="K902" i="18"/>
  <c r="J375" i="18"/>
  <c r="I375" i="18"/>
  <c r="P375" i="18" s="1"/>
  <c r="P378" i="18" s="1"/>
  <c r="P381" i="18" s="1"/>
  <c r="V375" i="18"/>
  <c r="W375" i="18" s="1"/>
  <c r="K375" i="18"/>
  <c r="Q375" i="18"/>
  <c r="Q1739" i="18"/>
  <c r="J1739" i="18"/>
  <c r="V1739" i="18"/>
  <c r="W1739" i="18" s="1"/>
  <c r="I1739" i="18"/>
  <c r="P1739" i="18" s="1"/>
  <c r="P1742" i="18" s="1"/>
  <c r="P1745" i="18" s="1"/>
  <c r="K1739" i="18"/>
  <c r="Q1243" i="18"/>
  <c r="J1243" i="18"/>
  <c r="I1243" i="18"/>
  <c r="P1243" i="18" s="1"/>
  <c r="P1246" i="18" s="1"/>
  <c r="P1249" i="18" s="1"/>
  <c r="V1243" i="18"/>
  <c r="W1243" i="18" s="1"/>
  <c r="K1243" i="18"/>
  <c r="Q964" i="18"/>
  <c r="V964" i="18"/>
  <c r="W964" i="18" s="1"/>
  <c r="J964" i="18"/>
  <c r="K964" i="18"/>
  <c r="I964" i="18"/>
  <c r="P964" i="18" s="1"/>
  <c r="P967" i="18" s="1"/>
  <c r="P970" i="18" s="1"/>
  <c r="K1398" i="18"/>
  <c r="Q1398" i="18"/>
  <c r="J1398" i="18"/>
  <c r="I1398" i="18"/>
  <c r="P1398" i="18" s="1"/>
  <c r="P1401" i="18" s="1"/>
  <c r="P1404" i="18" s="1"/>
  <c r="V1398" i="18"/>
  <c r="W1398" i="18" s="1"/>
  <c r="Q1987" i="18"/>
  <c r="J1987" i="18"/>
  <c r="I1987" i="18"/>
  <c r="P1987" i="18" s="1"/>
  <c r="P1990" i="18" s="1"/>
  <c r="P1993" i="18" s="1"/>
  <c r="V1987" i="18"/>
  <c r="W1987" i="18" s="1"/>
  <c r="K1987" i="18"/>
  <c r="Q1274" i="18"/>
  <c r="J1274" i="18"/>
  <c r="I1274" i="18"/>
  <c r="P1274" i="18" s="1"/>
  <c r="P1277" i="18" s="1"/>
  <c r="P1280" i="18" s="1"/>
  <c r="V1274" i="18"/>
  <c r="W1274" i="18" s="1"/>
  <c r="K1274" i="18"/>
  <c r="Q2018" i="18"/>
  <c r="K2018" i="18"/>
  <c r="V2018" i="18"/>
  <c r="W2018" i="18" s="1"/>
  <c r="I2018" i="18"/>
  <c r="P2018" i="18" s="1"/>
  <c r="P2021" i="18" s="1"/>
  <c r="P2024" i="18" s="1"/>
  <c r="J2018" i="18"/>
  <c r="V809" i="18"/>
  <c r="W809" i="18" s="1"/>
  <c r="Q809" i="18"/>
  <c r="I809" i="18"/>
  <c r="P809" i="18" s="1"/>
  <c r="P812" i="18" s="1"/>
  <c r="P815" i="18" s="1"/>
  <c r="J809" i="18"/>
  <c r="K809" i="18"/>
  <c r="J654" i="18"/>
  <c r="I654" i="18"/>
  <c r="P654" i="18" s="1"/>
  <c r="P657" i="18" s="1"/>
  <c r="P660" i="18" s="1"/>
  <c r="V654" i="18"/>
  <c r="W654" i="18" s="1"/>
  <c r="K654" i="18"/>
  <c r="Q654" i="18"/>
  <c r="J1367" i="18"/>
  <c r="I1367" i="18"/>
  <c r="P1367" i="18" s="1"/>
  <c r="P1370" i="18" s="1"/>
  <c r="P1373" i="18" s="1"/>
  <c r="V1367" i="18"/>
  <c r="W1367" i="18" s="1"/>
  <c r="K1367" i="18"/>
  <c r="Q1367" i="18"/>
  <c r="Q1491" i="18"/>
  <c r="J1491" i="18"/>
  <c r="I1491" i="18"/>
  <c r="P1491" i="18" s="1"/>
  <c r="P1494" i="18" s="1"/>
  <c r="P1497" i="18" s="1"/>
  <c r="V1491" i="18"/>
  <c r="W1491" i="18" s="1"/>
  <c r="K1491" i="18"/>
  <c r="Q1212" i="18"/>
  <c r="K1212" i="18"/>
  <c r="J1212" i="18"/>
  <c r="V1212" i="18"/>
  <c r="W1212" i="18" s="1"/>
  <c r="I1212" i="18"/>
  <c r="P1212" i="18" s="1"/>
  <c r="P1215" i="18" s="1"/>
  <c r="P1218" i="18" s="1"/>
  <c r="BU10" i="18"/>
  <c r="BZ10" i="18" s="1"/>
  <c r="V34" i="18"/>
  <c r="W34" i="18" s="1"/>
  <c r="AD35" i="18"/>
  <c r="L5" i="24"/>
  <c r="M5" i="24" s="1"/>
  <c r="S5" i="24" l="1"/>
  <c r="Y66" i="18" l="1"/>
  <c r="G66" i="18" s="1"/>
  <c r="V66" i="18" s="1"/>
  <c r="W66" i="18" s="1"/>
  <c r="Y1709" i="18"/>
  <c r="G1709" i="18" s="1"/>
  <c r="Y1430" i="18"/>
  <c r="G1430" i="18" s="1"/>
  <c r="Y1182" i="18"/>
  <c r="G1182" i="18" s="1"/>
  <c r="Y190" i="18"/>
  <c r="G190" i="18" s="1"/>
  <c r="Y1244" i="18"/>
  <c r="G1244" i="18" s="1"/>
  <c r="Y252" i="18"/>
  <c r="G252" i="18" s="1"/>
  <c r="Y965" i="18"/>
  <c r="G965" i="18" s="1"/>
  <c r="Y748" i="18"/>
  <c r="G748" i="18" s="1"/>
  <c r="Y531" i="18"/>
  <c r="G531" i="18" s="1"/>
  <c r="Y624" i="18"/>
  <c r="G624" i="18" s="1"/>
  <c r="Y1678" i="18"/>
  <c r="G1678" i="18" s="1"/>
  <c r="Y1461" i="18"/>
  <c r="G1461" i="18" s="1"/>
  <c r="Y1213" i="18"/>
  <c r="G1213" i="18" s="1"/>
  <c r="Y221" i="18"/>
  <c r="G221" i="18" s="1"/>
  <c r="Y1492" i="18"/>
  <c r="G1492" i="18" s="1"/>
  <c r="Y438" i="18"/>
  <c r="G438" i="18" s="1"/>
  <c r="Y1368" i="18"/>
  <c r="G1368" i="18" s="1"/>
  <c r="Y2019" i="18"/>
  <c r="G2019" i="18" s="1"/>
  <c r="Y1771" i="18"/>
  <c r="G1771" i="18" s="1"/>
  <c r="Y717" i="18"/>
  <c r="G717" i="18" s="1"/>
  <c r="Y500" i="18"/>
  <c r="G500" i="18" s="1"/>
  <c r="Y996" i="18"/>
  <c r="G996" i="18" s="1"/>
  <c r="Y810" i="18"/>
  <c r="G810" i="18" s="1"/>
  <c r="Y1926" i="18"/>
  <c r="G1926" i="18" s="1"/>
  <c r="Y1740" i="18"/>
  <c r="G1740" i="18" s="1"/>
  <c r="Y1523" i="18"/>
  <c r="G1523" i="18" s="1"/>
  <c r="Y1275" i="18"/>
  <c r="G1275" i="18" s="1"/>
  <c r="Y283" i="18"/>
  <c r="G283" i="18" s="1"/>
  <c r="Y686" i="18"/>
  <c r="G686" i="18" s="1"/>
  <c r="Y469" i="18"/>
  <c r="G469" i="18" s="1"/>
  <c r="Y1027" i="18"/>
  <c r="G1027" i="18" s="1"/>
  <c r="Y779" i="18"/>
  <c r="G779" i="18" s="1"/>
  <c r="Y1895" i="18"/>
  <c r="G1895" i="18" s="1"/>
  <c r="Y1957" i="18"/>
  <c r="G1957" i="18" s="1"/>
  <c r="Y934" i="18"/>
  <c r="G934" i="18" s="1"/>
  <c r="Y1988" i="18"/>
  <c r="G1988" i="18" s="1"/>
  <c r="Y407" i="18"/>
  <c r="G407" i="18" s="1"/>
  <c r="Y1058" i="18"/>
  <c r="G1058" i="18" s="1"/>
  <c r="Y1647" i="18"/>
  <c r="G1647" i="18" s="1"/>
  <c r="Y1089" i="18"/>
  <c r="G1089" i="18" s="1"/>
  <c r="Y841" i="18"/>
  <c r="G841" i="18" s="1"/>
  <c r="Y128" i="18"/>
  <c r="G128" i="18" s="1"/>
  <c r="Y97" i="18"/>
  <c r="G97" i="18" s="1"/>
  <c r="Y1120" i="18"/>
  <c r="G1120" i="18" s="1"/>
  <c r="Y903" i="18"/>
  <c r="G903" i="18" s="1"/>
  <c r="Y159" i="18"/>
  <c r="G159" i="18" s="1"/>
  <c r="Y1585" i="18"/>
  <c r="G1585" i="18" s="1"/>
  <c r="Y345" i="18"/>
  <c r="G345" i="18" s="1"/>
  <c r="Y1864" i="18"/>
  <c r="G1864" i="18" s="1"/>
  <c r="Y1151" i="18"/>
  <c r="G1151" i="18" s="1"/>
  <c r="Y872" i="18"/>
  <c r="G872" i="18" s="1"/>
  <c r="Y1337" i="18"/>
  <c r="G1337" i="18" s="1"/>
  <c r="Y593" i="18"/>
  <c r="G593" i="18" s="1"/>
  <c r="Y1399" i="18"/>
  <c r="G1399" i="18" s="1"/>
  <c r="Y376" i="18"/>
  <c r="G376" i="18" s="1"/>
  <c r="Y1833" i="18"/>
  <c r="G1833" i="18" s="1"/>
  <c r="Y1554" i="18"/>
  <c r="G1554" i="18" s="1"/>
  <c r="Y1306" i="18"/>
  <c r="G1306" i="18" s="1"/>
  <c r="Y562" i="18"/>
  <c r="G562" i="18" s="1"/>
  <c r="Y314" i="18"/>
  <c r="G314" i="18" s="1"/>
  <c r="Y1802" i="18"/>
  <c r="G1802" i="18" s="1"/>
  <c r="Y1616" i="18"/>
  <c r="G1616" i="18" s="1"/>
  <c r="Y655" i="18"/>
  <c r="G655" i="18" s="1"/>
  <c r="R5" i="24"/>
  <c r="Y35" i="18"/>
  <c r="G35" i="18" s="1"/>
  <c r="G68" i="18" l="1"/>
  <c r="G71" i="18" s="1"/>
  <c r="G57" i="18"/>
  <c r="I58" i="18" s="1"/>
  <c r="J58" i="18" s="1"/>
  <c r="G150" i="18"/>
  <c r="I151" i="18" s="1"/>
  <c r="V159" i="18"/>
  <c r="W159" i="18" s="1"/>
  <c r="G161" i="18"/>
  <c r="G460" i="18"/>
  <c r="I461" i="18" s="1"/>
  <c r="V469" i="18"/>
  <c r="W469" i="18" s="1"/>
  <c r="G471" i="18"/>
  <c r="V221" i="18"/>
  <c r="W221" i="18" s="1"/>
  <c r="G212" i="18"/>
  <c r="I213" i="18" s="1"/>
  <c r="G223" i="18"/>
  <c r="V903" i="18"/>
  <c r="W903" i="18" s="1"/>
  <c r="G894" i="18"/>
  <c r="I895" i="18" s="1"/>
  <c r="G905" i="18"/>
  <c r="G1297" i="18"/>
  <c r="I1298" i="18" s="1"/>
  <c r="V1306" i="18"/>
  <c r="W1306" i="18" s="1"/>
  <c r="G1308" i="18"/>
  <c r="V128" i="18"/>
  <c r="W128" i="18" s="1"/>
  <c r="G119" i="18"/>
  <c r="I120" i="18" s="1"/>
  <c r="G130" i="18"/>
  <c r="G1514" i="18"/>
  <c r="I1515" i="18" s="1"/>
  <c r="V1523" i="18"/>
  <c r="W1523" i="18" s="1"/>
  <c r="G1525" i="18"/>
  <c r="G615" i="18"/>
  <c r="I616" i="18" s="1"/>
  <c r="V624" i="18"/>
  <c r="W624" i="18" s="1"/>
  <c r="G626" i="18"/>
  <c r="G1793" i="18"/>
  <c r="I1794" i="18" s="1"/>
  <c r="V1802" i="18"/>
  <c r="W1802" i="18" s="1"/>
  <c r="G1804" i="18"/>
  <c r="G1545" i="18"/>
  <c r="I1546" i="18" s="1"/>
  <c r="V1554" i="18"/>
  <c r="W1554" i="18" s="1"/>
  <c r="G1556" i="18"/>
  <c r="V841" i="18"/>
  <c r="W841" i="18" s="1"/>
  <c r="G832" i="18"/>
  <c r="I833" i="18" s="1"/>
  <c r="G843" i="18"/>
  <c r="G1731" i="18"/>
  <c r="I1732" i="18" s="1"/>
  <c r="V1740" i="18"/>
  <c r="W1740" i="18" s="1"/>
  <c r="G1742" i="18"/>
  <c r="V531" i="18"/>
  <c r="W531" i="18" s="1"/>
  <c r="G522" i="18"/>
  <c r="I523" i="18" s="1"/>
  <c r="G533" i="18"/>
  <c r="V655" i="18"/>
  <c r="W655" i="18" s="1"/>
  <c r="G646" i="18"/>
  <c r="I647" i="18" s="1"/>
  <c r="G657" i="18"/>
  <c r="G1452" i="18"/>
  <c r="I1453" i="18" s="1"/>
  <c r="V1461" i="18"/>
  <c r="W1461" i="18" s="1"/>
  <c r="G1463" i="18"/>
  <c r="V1089" i="18"/>
  <c r="W1089" i="18" s="1"/>
  <c r="G1080" i="18"/>
  <c r="I1081" i="18" s="1"/>
  <c r="G1091" i="18"/>
  <c r="V1926" i="18"/>
  <c r="W1926" i="18" s="1"/>
  <c r="G1917" i="18"/>
  <c r="I1918" i="18" s="1"/>
  <c r="G1928" i="18"/>
  <c r="G739" i="18"/>
  <c r="I740" i="18" s="1"/>
  <c r="V748" i="18"/>
  <c r="W748" i="18" s="1"/>
  <c r="G750" i="18"/>
  <c r="G1204" i="18"/>
  <c r="I1205" i="18" s="1"/>
  <c r="V1213" i="18"/>
  <c r="W1213" i="18" s="1"/>
  <c r="G1215" i="18"/>
  <c r="V376" i="18"/>
  <c r="W376" i="18" s="1"/>
  <c r="G367" i="18"/>
  <c r="I368" i="18" s="1"/>
  <c r="G378" i="18"/>
  <c r="G1638" i="18"/>
  <c r="I1639" i="18" s="1"/>
  <c r="V1647" i="18"/>
  <c r="W1647" i="18" s="1"/>
  <c r="G1649" i="18"/>
  <c r="V810" i="18"/>
  <c r="W810" i="18" s="1"/>
  <c r="G801" i="18"/>
  <c r="I802" i="18" s="1"/>
  <c r="G812" i="18"/>
  <c r="G956" i="18"/>
  <c r="I957" i="18" s="1"/>
  <c r="V965" i="18"/>
  <c r="W965" i="18" s="1"/>
  <c r="G967" i="18"/>
  <c r="G1607" i="18"/>
  <c r="I1608" i="18" s="1"/>
  <c r="V1616" i="18"/>
  <c r="W1616" i="18" s="1"/>
  <c r="G1618" i="18"/>
  <c r="G1824" i="18"/>
  <c r="I1825" i="18" s="1"/>
  <c r="V1833" i="18"/>
  <c r="W1833" i="18" s="1"/>
  <c r="G1835" i="18"/>
  <c r="V1058" i="18"/>
  <c r="W1058" i="18" s="1"/>
  <c r="G1049" i="18"/>
  <c r="I1050" i="18" s="1"/>
  <c r="G1060" i="18"/>
  <c r="G987" i="18"/>
  <c r="I988" i="18" s="1"/>
  <c r="V996" i="18"/>
  <c r="W996" i="18" s="1"/>
  <c r="G998" i="18"/>
  <c r="V252" i="18"/>
  <c r="W252" i="18" s="1"/>
  <c r="G243" i="18"/>
  <c r="I244" i="18" s="1"/>
  <c r="G254" i="18"/>
  <c r="G553" i="18"/>
  <c r="I554" i="18" s="1"/>
  <c r="V562" i="18"/>
  <c r="W562" i="18" s="1"/>
  <c r="G564" i="18"/>
  <c r="G491" i="18"/>
  <c r="I492" i="18" s="1"/>
  <c r="V500" i="18"/>
  <c r="W500" i="18" s="1"/>
  <c r="G502" i="18"/>
  <c r="G1235" i="18"/>
  <c r="I1236" i="18" s="1"/>
  <c r="V1244" i="18"/>
  <c r="W1244" i="18" s="1"/>
  <c r="G1246" i="18"/>
  <c r="G1483" i="18"/>
  <c r="I1484" i="18" s="1"/>
  <c r="V1492" i="18"/>
  <c r="W1492" i="18" s="1"/>
  <c r="G1494" i="18"/>
  <c r="G88" i="18"/>
  <c r="I89" i="18" s="1"/>
  <c r="V97" i="18"/>
  <c r="W97" i="18" s="1"/>
  <c r="G99" i="18"/>
  <c r="G1328" i="18"/>
  <c r="I1329" i="18" s="1"/>
  <c r="V1337" i="18"/>
  <c r="W1337" i="18" s="1"/>
  <c r="G1339" i="18"/>
  <c r="G708" i="18"/>
  <c r="I709" i="18" s="1"/>
  <c r="V717" i="18"/>
  <c r="W717" i="18" s="1"/>
  <c r="G719" i="18"/>
  <c r="G181" i="18"/>
  <c r="I182" i="18" s="1"/>
  <c r="V190" i="18"/>
  <c r="W190" i="18" s="1"/>
  <c r="G192" i="18"/>
  <c r="G1576" i="18"/>
  <c r="I1577" i="18" s="1"/>
  <c r="V1585" i="18"/>
  <c r="W1585" i="18" s="1"/>
  <c r="G1587" i="18"/>
  <c r="G1111" i="18"/>
  <c r="I1112" i="18" s="1"/>
  <c r="V1120" i="18"/>
  <c r="W1120" i="18" s="1"/>
  <c r="G1122" i="18"/>
  <c r="G1266" i="18"/>
  <c r="I1267" i="18" s="1"/>
  <c r="V1275" i="18"/>
  <c r="W1275" i="18" s="1"/>
  <c r="G1277" i="18"/>
  <c r="G584" i="18"/>
  <c r="I585" i="18" s="1"/>
  <c r="V593" i="18"/>
  <c r="W593" i="18" s="1"/>
  <c r="G595" i="18"/>
  <c r="G1979" i="18"/>
  <c r="I1980" i="18" s="1"/>
  <c r="V1988" i="18"/>
  <c r="W1988" i="18" s="1"/>
  <c r="G1990" i="18"/>
  <c r="V872" i="18"/>
  <c r="W872" i="18" s="1"/>
  <c r="G863" i="18"/>
  <c r="I864" i="18" s="1"/>
  <c r="G874" i="18"/>
  <c r="G925" i="18"/>
  <c r="I926" i="18" s="1"/>
  <c r="V934" i="18"/>
  <c r="W934" i="18" s="1"/>
  <c r="G936" i="18"/>
  <c r="V1771" i="18"/>
  <c r="W1771" i="18" s="1"/>
  <c r="G1762" i="18"/>
  <c r="I1763" i="18" s="1"/>
  <c r="G1773" i="18"/>
  <c r="V1182" i="18"/>
  <c r="W1182" i="18" s="1"/>
  <c r="G1173" i="18"/>
  <c r="I1174" i="18" s="1"/>
  <c r="G1184" i="18"/>
  <c r="G677" i="18"/>
  <c r="I678" i="18" s="1"/>
  <c r="V686" i="18"/>
  <c r="W686" i="18" s="1"/>
  <c r="G688" i="18"/>
  <c r="V1399" i="18"/>
  <c r="W1399" i="18" s="1"/>
  <c r="G1390" i="18"/>
  <c r="I1391" i="18" s="1"/>
  <c r="G1401" i="18"/>
  <c r="V1957" i="18"/>
  <c r="W1957" i="18" s="1"/>
  <c r="G1948" i="18"/>
  <c r="I1949" i="18" s="1"/>
  <c r="G1959" i="18"/>
  <c r="G2010" i="18"/>
  <c r="I2011" i="18" s="1"/>
  <c r="V2019" i="18"/>
  <c r="W2019" i="18" s="1"/>
  <c r="G2021" i="18"/>
  <c r="V1430" i="18"/>
  <c r="W1430" i="18" s="1"/>
  <c r="G1421" i="18"/>
  <c r="I1422" i="18" s="1"/>
  <c r="G1432" i="18"/>
  <c r="G1018" i="18"/>
  <c r="I1019" i="18" s="1"/>
  <c r="V1027" i="18"/>
  <c r="W1027" i="18" s="1"/>
  <c r="G1029" i="18"/>
  <c r="G305" i="18"/>
  <c r="I306" i="18" s="1"/>
  <c r="V314" i="18"/>
  <c r="W314" i="18" s="1"/>
  <c r="G316" i="18"/>
  <c r="V1678" i="18"/>
  <c r="W1678" i="18" s="1"/>
  <c r="G1669" i="18"/>
  <c r="I1670" i="18" s="1"/>
  <c r="G1680" i="18"/>
  <c r="G398" i="18"/>
  <c r="I399" i="18" s="1"/>
  <c r="V407" i="18"/>
  <c r="W407" i="18" s="1"/>
  <c r="G409" i="18"/>
  <c r="G1142" i="18"/>
  <c r="I1143" i="18" s="1"/>
  <c r="V1151" i="18"/>
  <c r="W1151" i="18" s="1"/>
  <c r="G1153" i="18"/>
  <c r="V1864" i="18"/>
  <c r="W1864" i="18" s="1"/>
  <c r="G1855" i="18"/>
  <c r="I1856" i="18" s="1"/>
  <c r="G1866" i="18"/>
  <c r="G1886" i="18"/>
  <c r="I1887" i="18" s="1"/>
  <c r="V1895" i="18"/>
  <c r="W1895" i="18" s="1"/>
  <c r="G1897" i="18"/>
  <c r="G1359" i="18"/>
  <c r="I1360" i="18" s="1"/>
  <c r="V1368" i="18"/>
  <c r="W1368" i="18" s="1"/>
  <c r="G1370" i="18"/>
  <c r="V1709" i="18"/>
  <c r="W1709" i="18" s="1"/>
  <c r="G1700" i="18"/>
  <c r="I1701" i="18" s="1"/>
  <c r="G1711" i="18"/>
  <c r="G274" i="18"/>
  <c r="I275" i="18" s="1"/>
  <c r="V283" i="18"/>
  <c r="W283" i="18" s="1"/>
  <c r="G285" i="18"/>
  <c r="G336" i="18"/>
  <c r="I337" i="18" s="1"/>
  <c r="V345" i="18"/>
  <c r="W345" i="18" s="1"/>
  <c r="G347" i="18"/>
  <c r="G770" i="18"/>
  <c r="I771" i="18" s="1"/>
  <c r="V779" i="18"/>
  <c r="W779" i="18" s="1"/>
  <c r="G781" i="18"/>
  <c r="G429" i="18"/>
  <c r="I430" i="18" s="1"/>
  <c r="V438" i="18"/>
  <c r="W438" i="18" s="1"/>
  <c r="G440" i="18"/>
  <c r="V35" i="18"/>
  <c r="W35" i="18" s="1"/>
  <c r="G26" i="18"/>
  <c r="BV10" i="18"/>
  <c r="CA10" i="18" s="1"/>
  <c r="CE10" i="18" s="1"/>
  <c r="G37" i="18"/>
  <c r="G40" i="18" s="1"/>
  <c r="G42" i="18" s="1"/>
  <c r="I56" i="18" l="1"/>
  <c r="I59" i="18" s="1"/>
  <c r="R59" i="18"/>
  <c r="J63" i="18" s="1"/>
  <c r="J1174" i="18"/>
  <c r="R1175" i="18"/>
  <c r="I1172" i="18"/>
  <c r="J1546" i="18"/>
  <c r="R1547" i="18"/>
  <c r="R1545" i="18" s="1"/>
  <c r="I1544" i="18"/>
  <c r="J337" i="18"/>
  <c r="R338" i="18"/>
  <c r="I335" i="18"/>
  <c r="G1900" i="18"/>
  <c r="I1947" i="18"/>
  <c r="R1950" i="18"/>
  <c r="J1949" i="18"/>
  <c r="G1993" i="18"/>
  <c r="J554" i="18"/>
  <c r="R555" i="18"/>
  <c r="R553" i="18" s="1"/>
  <c r="I552" i="18"/>
  <c r="G1838" i="18"/>
  <c r="J1081" i="18"/>
  <c r="R1082" i="18"/>
  <c r="I1079" i="18"/>
  <c r="G1807" i="18"/>
  <c r="R865" i="18"/>
  <c r="R863" i="18" s="1"/>
  <c r="J864" i="18"/>
  <c r="I862" i="18"/>
  <c r="G722" i="18"/>
  <c r="G133" i="18"/>
  <c r="G288" i="18"/>
  <c r="G1776" i="18"/>
  <c r="J1484" i="18"/>
  <c r="R1485" i="18"/>
  <c r="R1483" i="18" s="1"/>
  <c r="I1482" i="18"/>
  <c r="G257" i="18"/>
  <c r="G1745" i="18"/>
  <c r="J213" i="18"/>
  <c r="R214" i="18"/>
  <c r="I211" i="18"/>
  <c r="J523" i="18"/>
  <c r="I521" i="18"/>
  <c r="R524" i="18"/>
  <c r="J1019" i="18"/>
  <c r="R1020" i="18"/>
  <c r="R1018" i="18" s="1"/>
  <c r="I1017" i="18"/>
  <c r="G1404" i="18"/>
  <c r="J709" i="18"/>
  <c r="R710" i="18"/>
  <c r="R708" i="18" s="1"/>
  <c r="I707" i="18"/>
  <c r="G1249" i="18"/>
  <c r="J802" i="18"/>
  <c r="R803" i="18"/>
  <c r="R801" i="18" s="1"/>
  <c r="I800" i="18"/>
  <c r="J1205" i="18"/>
  <c r="R1206" i="18"/>
  <c r="R1204" i="18" s="1"/>
  <c r="I1203" i="18"/>
  <c r="G1466" i="18"/>
  <c r="J120" i="18"/>
  <c r="I118" i="18"/>
  <c r="R121" i="18"/>
  <c r="J306" i="18"/>
  <c r="R307" i="18"/>
  <c r="I304" i="18"/>
  <c r="J1143" i="18"/>
  <c r="R1144" i="18"/>
  <c r="I1141" i="18"/>
  <c r="G443" i="18"/>
  <c r="R400" i="18"/>
  <c r="R398" i="18" s="1"/>
  <c r="I397" i="18"/>
  <c r="J399" i="18"/>
  <c r="G1435" i="18"/>
  <c r="I1110" i="18"/>
  <c r="J1112" i="18"/>
  <c r="R1113" i="18"/>
  <c r="G1342" i="18"/>
  <c r="G753" i="18"/>
  <c r="G474" i="18"/>
  <c r="G1125" i="18"/>
  <c r="G1683" i="18"/>
  <c r="J1763" i="18"/>
  <c r="R1764" i="18"/>
  <c r="R1762" i="18" s="1"/>
  <c r="I1761" i="18"/>
  <c r="R1981" i="18"/>
  <c r="I1978" i="18"/>
  <c r="J1980" i="18"/>
  <c r="G1590" i="18"/>
  <c r="J244" i="18"/>
  <c r="I242" i="18"/>
  <c r="R245" i="18"/>
  <c r="R243" i="18" s="1"/>
  <c r="J1825" i="18"/>
  <c r="I1823" i="18"/>
  <c r="R1826" i="18"/>
  <c r="G1652" i="18"/>
  <c r="J1794" i="18"/>
  <c r="R1795" i="18"/>
  <c r="R1793" i="18" s="1"/>
  <c r="I1792" i="18"/>
  <c r="G1311" i="18"/>
  <c r="G1497" i="18"/>
  <c r="J957" i="18"/>
  <c r="R958" i="18"/>
  <c r="R956" i="18" s="1"/>
  <c r="I955" i="18"/>
  <c r="J1391" i="18"/>
  <c r="R1392" i="18"/>
  <c r="R1390" i="18" s="1"/>
  <c r="I1389" i="18"/>
  <c r="G598" i="18"/>
  <c r="G1621" i="18"/>
  <c r="R1733" i="18"/>
  <c r="I1730" i="18"/>
  <c r="J1732" i="18"/>
  <c r="G629" i="18"/>
  <c r="J182" i="18"/>
  <c r="R183" i="18"/>
  <c r="I180" i="18"/>
  <c r="G226" i="18"/>
  <c r="J1422" i="18"/>
  <c r="I1420" i="18"/>
  <c r="R1423" i="18"/>
  <c r="J1236" i="18"/>
  <c r="R1237" i="18"/>
  <c r="I1234" i="18"/>
  <c r="G1001" i="18"/>
  <c r="J1453" i="18"/>
  <c r="I1451" i="18"/>
  <c r="R1454" i="18"/>
  <c r="G846" i="18"/>
  <c r="G1962" i="18"/>
  <c r="J1050" i="18"/>
  <c r="R1051" i="18"/>
  <c r="R1049" i="18" s="1"/>
  <c r="I1048" i="18"/>
  <c r="G784" i="18"/>
  <c r="J1329" i="18"/>
  <c r="R1330" i="18"/>
  <c r="R1328" i="18" s="1"/>
  <c r="I1327" i="18"/>
  <c r="G505" i="18"/>
  <c r="J740" i="18"/>
  <c r="R741" i="18"/>
  <c r="R739" i="18" s="1"/>
  <c r="I738" i="18"/>
  <c r="G660" i="18"/>
  <c r="J461" i="18"/>
  <c r="R462" i="18"/>
  <c r="R460" i="18" s="1"/>
  <c r="I459" i="18"/>
  <c r="J1360" i="18"/>
  <c r="I1358" i="18"/>
  <c r="R1361" i="18"/>
  <c r="G815" i="18"/>
  <c r="R276" i="18"/>
  <c r="R274" i="18" s="1"/>
  <c r="J275" i="18"/>
  <c r="I273" i="18"/>
  <c r="G1714" i="18"/>
  <c r="J1856" i="18"/>
  <c r="R1857" i="18"/>
  <c r="I1854" i="18"/>
  <c r="G2024" i="18"/>
  <c r="J1577" i="18"/>
  <c r="R1578" i="18"/>
  <c r="I1575" i="18"/>
  <c r="G102" i="18"/>
  <c r="I1637" i="18"/>
  <c r="J1639" i="18"/>
  <c r="R1640" i="18"/>
  <c r="G1931" i="18"/>
  <c r="J1298" i="18"/>
  <c r="R1299" i="18"/>
  <c r="I1296" i="18"/>
  <c r="G164" i="18"/>
  <c r="G1032" i="18"/>
  <c r="R1516" i="18"/>
  <c r="R1514" i="18" s="1"/>
  <c r="I1513" i="18"/>
  <c r="J1515" i="18"/>
  <c r="G412" i="18"/>
  <c r="I1885" i="18"/>
  <c r="R1888" i="18"/>
  <c r="J1887" i="18"/>
  <c r="G939" i="18"/>
  <c r="J1670" i="18"/>
  <c r="R1671" i="18"/>
  <c r="I1668" i="18"/>
  <c r="J1701" i="18"/>
  <c r="I1699" i="18"/>
  <c r="R1702" i="18"/>
  <c r="G319" i="18"/>
  <c r="J585" i="18"/>
  <c r="R586" i="18"/>
  <c r="I583" i="18"/>
  <c r="G195" i="18"/>
  <c r="J1608" i="18"/>
  <c r="R1609" i="18"/>
  <c r="I1606" i="18"/>
  <c r="G381" i="18"/>
  <c r="J833" i="18"/>
  <c r="R834" i="18"/>
  <c r="I831" i="18"/>
  <c r="J616" i="18"/>
  <c r="R617" i="18"/>
  <c r="I614" i="18"/>
  <c r="G908" i="18"/>
  <c r="G1094" i="18"/>
  <c r="R1268" i="18"/>
  <c r="J1267" i="18"/>
  <c r="I1265" i="18"/>
  <c r="G1218" i="18"/>
  <c r="G1869" i="18"/>
  <c r="G1156" i="18"/>
  <c r="J926" i="18"/>
  <c r="R927" i="18"/>
  <c r="R925" i="18" s="1"/>
  <c r="I924" i="18"/>
  <c r="G1280" i="18"/>
  <c r="J988" i="18"/>
  <c r="R989" i="18"/>
  <c r="I986" i="18"/>
  <c r="G970" i="18"/>
  <c r="R648" i="18"/>
  <c r="R646" i="18" s="1"/>
  <c r="I645" i="18"/>
  <c r="J647" i="18"/>
  <c r="G1528" i="18"/>
  <c r="R772" i="18"/>
  <c r="J771" i="18"/>
  <c r="I769" i="18"/>
  <c r="G1373" i="18"/>
  <c r="J678" i="18"/>
  <c r="I676" i="18"/>
  <c r="R679" i="18"/>
  <c r="R677" i="18" s="1"/>
  <c r="G877" i="18"/>
  <c r="I490" i="18"/>
  <c r="J492" i="18"/>
  <c r="R493" i="18"/>
  <c r="G1063" i="18"/>
  <c r="J1918" i="18"/>
  <c r="I1916" i="18"/>
  <c r="R1919" i="18"/>
  <c r="G1559" i="18"/>
  <c r="I428" i="18"/>
  <c r="R431" i="18"/>
  <c r="J430" i="18"/>
  <c r="G691" i="18"/>
  <c r="G350" i="18"/>
  <c r="I2009" i="18"/>
  <c r="R2012" i="18"/>
  <c r="J2011" i="18"/>
  <c r="G1187" i="18"/>
  <c r="J89" i="18"/>
  <c r="R90" i="18"/>
  <c r="R88" i="18" s="1"/>
  <c r="I87" i="18"/>
  <c r="G567" i="18"/>
  <c r="I366" i="18"/>
  <c r="J368" i="18"/>
  <c r="R369" i="18"/>
  <c r="R367" i="18" s="1"/>
  <c r="G536" i="18"/>
  <c r="J895" i="18"/>
  <c r="R896" i="18"/>
  <c r="R894" i="18" s="1"/>
  <c r="I893" i="18"/>
  <c r="R152" i="18"/>
  <c r="J151" i="18"/>
  <c r="I149" i="18"/>
  <c r="G73" i="18"/>
  <c r="J56" i="18" l="1"/>
  <c r="J59" i="18" s="1"/>
  <c r="H66" i="18"/>
  <c r="K66" i="18" s="1"/>
  <c r="R57" i="18"/>
  <c r="J62" i="18" s="1"/>
  <c r="H63" i="18"/>
  <c r="K63" i="18" s="1"/>
  <c r="J744" i="18"/>
  <c r="H744" i="18"/>
  <c r="Q744" i="18"/>
  <c r="Q750" i="18" s="1"/>
  <c r="H1209" i="18"/>
  <c r="J1209" i="18"/>
  <c r="Q1209" i="18"/>
  <c r="Q1215" i="18" s="1"/>
  <c r="J1519" i="18"/>
  <c r="H1519" i="18"/>
  <c r="Q1519" i="18"/>
  <c r="Q1525" i="18" s="1"/>
  <c r="Q279" i="18"/>
  <c r="Q285" i="18" s="1"/>
  <c r="J279" i="18"/>
  <c r="H279" i="18"/>
  <c r="H868" i="18"/>
  <c r="Q868" i="18"/>
  <c r="Q874" i="18" s="1"/>
  <c r="J868" i="18"/>
  <c r="H248" i="18"/>
  <c r="J248" i="18"/>
  <c r="Q248" i="18"/>
  <c r="Q254" i="18" s="1"/>
  <c r="J961" i="18"/>
  <c r="Q961" i="18"/>
  <c r="Q967" i="18" s="1"/>
  <c r="H961" i="18"/>
  <c r="J403" i="18"/>
  <c r="H403" i="18"/>
  <c r="Q403" i="18"/>
  <c r="Q409" i="18" s="1"/>
  <c r="H930" i="18"/>
  <c r="Q930" i="18"/>
  <c r="Q936" i="18" s="1"/>
  <c r="J930" i="18"/>
  <c r="Q465" i="18"/>
  <c r="Q471" i="18" s="1"/>
  <c r="H465" i="18"/>
  <c r="J465" i="18"/>
  <c r="J1798" i="18"/>
  <c r="Q1798" i="18"/>
  <c r="Q1804" i="18" s="1"/>
  <c r="H1798" i="18"/>
  <c r="J899" i="18"/>
  <c r="H899" i="18"/>
  <c r="Q899" i="18"/>
  <c r="Q905" i="18" s="1"/>
  <c r="Q713" i="18"/>
  <c r="Q719" i="18" s="1"/>
  <c r="J713" i="18"/>
  <c r="H713" i="18"/>
  <c r="H372" i="18"/>
  <c r="Q372" i="18"/>
  <c r="Q378" i="18" s="1"/>
  <c r="J372" i="18"/>
  <c r="G259" i="18"/>
  <c r="J652" i="18"/>
  <c r="H652" i="18"/>
  <c r="H1058" i="18"/>
  <c r="J1048" i="18"/>
  <c r="J1051" i="18" s="1"/>
  <c r="I1051" i="18"/>
  <c r="G1065" i="18"/>
  <c r="G1530" i="18"/>
  <c r="J831" i="18"/>
  <c r="J834" i="18" s="1"/>
  <c r="I834" i="18"/>
  <c r="H841" i="18"/>
  <c r="J1699" i="18"/>
  <c r="J1702" i="18" s="1"/>
  <c r="H1709" i="18"/>
  <c r="I1702" i="18"/>
  <c r="H1244" i="18"/>
  <c r="J1234" i="18"/>
  <c r="J1237" i="18" s="1"/>
  <c r="I1237" i="18"/>
  <c r="J1978" i="18"/>
  <c r="J1981" i="18" s="1"/>
  <c r="H1988" i="18"/>
  <c r="I1981" i="18"/>
  <c r="R1111" i="18"/>
  <c r="J1117" i="18"/>
  <c r="H1117" i="18"/>
  <c r="G1995" i="18"/>
  <c r="J459" i="18"/>
  <c r="J462" i="18" s="1"/>
  <c r="H469" i="18"/>
  <c r="I462" i="18"/>
  <c r="J2016" i="18"/>
  <c r="H2016" i="18"/>
  <c r="R491" i="18"/>
  <c r="J497" i="18"/>
  <c r="H497" i="18"/>
  <c r="H651" i="18"/>
  <c r="Q651" i="18"/>
  <c r="Q657" i="18" s="1"/>
  <c r="J651" i="18"/>
  <c r="G1158" i="18"/>
  <c r="R832" i="18"/>
  <c r="H838" i="18"/>
  <c r="J838" i="18"/>
  <c r="G1034" i="18"/>
  <c r="R1235" i="18"/>
  <c r="J1241" i="18"/>
  <c r="H1241" i="18"/>
  <c r="G1623" i="18"/>
  <c r="I1795" i="18"/>
  <c r="J1792" i="18"/>
  <c r="J1795" i="18" s="1"/>
  <c r="H1802" i="18"/>
  <c r="R1979" i="18"/>
  <c r="J1985" i="18"/>
  <c r="H1985" i="18"/>
  <c r="R119" i="18"/>
  <c r="H125" i="18"/>
  <c r="J125" i="18"/>
  <c r="H717" i="18"/>
  <c r="I710" i="18"/>
  <c r="J707" i="18"/>
  <c r="J710" i="18" s="1"/>
  <c r="G1747" i="18"/>
  <c r="H872" i="18"/>
  <c r="I865" i="18"/>
  <c r="J862" i="18"/>
  <c r="J865" i="18" s="1"/>
  <c r="J1054" i="18"/>
  <c r="H1054" i="18"/>
  <c r="Q1054" i="18"/>
  <c r="Q1060" i="18" s="1"/>
  <c r="G879" i="18"/>
  <c r="G1220" i="18"/>
  <c r="H1616" i="18"/>
  <c r="I1609" i="18"/>
  <c r="J1606" i="18"/>
  <c r="J1609" i="18" s="1"/>
  <c r="R1297" i="18"/>
  <c r="J1303" i="18"/>
  <c r="H1303" i="18"/>
  <c r="J1055" i="18"/>
  <c r="H1055" i="18"/>
  <c r="H1399" i="18"/>
  <c r="I1392" i="18"/>
  <c r="J1389" i="18"/>
  <c r="J1392" i="18" s="1"/>
  <c r="G1654" i="18"/>
  <c r="G1468" i="18"/>
  <c r="G1406" i="18"/>
  <c r="H1492" i="18"/>
  <c r="I1485" i="18"/>
  <c r="J1482" i="18"/>
  <c r="J1485" i="18" s="1"/>
  <c r="G1809" i="18"/>
  <c r="G1902" i="18"/>
  <c r="I2012" i="18"/>
  <c r="J2009" i="18"/>
  <c r="J2012" i="18" s="1"/>
  <c r="H2019" i="18"/>
  <c r="J714" i="18"/>
  <c r="H714" i="18"/>
  <c r="G166" i="18"/>
  <c r="I1764" i="18"/>
  <c r="J1761" i="18"/>
  <c r="J1764" i="18" s="1"/>
  <c r="H1771" i="18"/>
  <c r="G352" i="18"/>
  <c r="J1488" i="18"/>
  <c r="H1488" i="18"/>
  <c r="Q1488" i="18"/>
  <c r="Q1494" i="18" s="1"/>
  <c r="G693" i="18"/>
  <c r="Q682" i="18"/>
  <c r="Q688" i="18" s="1"/>
  <c r="J682" i="18"/>
  <c r="H682" i="18"/>
  <c r="G972" i="18"/>
  <c r="H1275" i="18"/>
  <c r="I1268" i="18"/>
  <c r="J1265" i="18"/>
  <c r="J1268" i="18" s="1"/>
  <c r="R1607" i="18"/>
  <c r="J1613" i="18"/>
  <c r="H1613" i="18"/>
  <c r="G941" i="18"/>
  <c r="G662" i="18"/>
  <c r="J1396" i="18"/>
  <c r="H1396" i="18"/>
  <c r="R1824" i="18"/>
  <c r="J1830" i="18"/>
  <c r="H1830" i="18"/>
  <c r="J1023" i="18"/>
  <c r="H1023" i="18"/>
  <c r="Q1023" i="18"/>
  <c r="Q1029" i="18" s="1"/>
  <c r="H1489" i="18"/>
  <c r="J1489" i="18"/>
  <c r="H1089" i="18"/>
  <c r="I1082" i="18"/>
  <c r="J1079" i="18"/>
  <c r="J1082" i="18" s="1"/>
  <c r="J335" i="18"/>
  <c r="J338" i="18" s="1"/>
  <c r="H345" i="18"/>
  <c r="I338" i="18"/>
  <c r="G2026" i="18"/>
  <c r="I1113" i="18"/>
  <c r="J1110" i="18"/>
  <c r="J1113" i="18" s="1"/>
  <c r="H1120" i="18"/>
  <c r="R1669" i="18"/>
  <c r="J1675" i="18"/>
  <c r="H1675" i="18"/>
  <c r="J366" i="18"/>
  <c r="J369" i="18" s="1"/>
  <c r="H376" i="18"/>
  <c r="I369" i="18"/>
  <c r="H683" i="18"/>
  <c r="J683" i="18"/>
  <c r="J986" i="18"/>
  <c r="J989" i="18" s="1"/>
  <c r="H996" i="18"/>
  <c r="I989" i="18"/>
  <c r="G1716" i="18"/>
  <c r="G228" i="18"/>
  <c r="H1833" i="18"/>
  <c r="I1826" i="18"/>
  <c r="J1823" i="18"/>
  <c r="J1826" i="18" s="1"/>
  <c r="G1685" i="18"/>
  <c r="H407" i="18"/>
  <c r="I400" i="18"/>
  <c r="J397" i="18"/>
  <c r="J400" i="18" s="1"/>
  <c r="J1203" i="18"/>
  <c r="J1206" i="18" s="1"/>
  <c r="H1213" i="18"/>
  <c r="I1206" i="18"/>
  <c r="I1020" i="18"/>
  <c r="J1017" i="18"/>
  <c r="J1020" i="18" s="1"/>
  <c r="H1027" i="18"/>
  <c r="R1080" i="18"/>
  <c r="J1086" i="18"/>
  <c r="H1086" i="18"/>
  <c r="R336" i="18"/>
  <c r="J342" i="18"/>
  <c r="H342" i="18"/>
  <c r="H1678" i="18"/>
  <c r="I1671" i="18"/>
  <c r="J1668" i="18"/>
  <c r="J1671" i="18" s="1"/>
  <c r="H128" i="18"/>
  <c r="I121" i="18"/>
  <c r="J118" i="18"/>
  <c r="J121" i="18" s="1"/>
  <c r="H500" i="18"/>
  <c r="I493" i="18"/>
  <c r="J490" i="18"/>
  <c r="J493" i="18" s="1"/>
  <c r="R1421" i="18"/>
  <c r="J1427" i="18"/>
  <c r="H1427" i="18"/>
  <c r="G383" i="18"/>
  <c r="G569" i="18"/>
  <c r="R429" i="18"/>
  <c r="J435" i="18"/>
  <c r="H435" i="18"/>
  <c r="I679" i="18"/>
  <c r="J676" i="18"/>
  <c r="J679" i="18" s="1"/>
  <c r="H686" i="18"/>
  <c r="R987" i="18"/>
  <c r="J993" i="18"/>
  <c r="H993" i="18"/>
  <c r="R1266" i="18"/>
  <c r="J1272" i="18"/>
  <c r="H1272" i="18"/>
  <c r="R1886" i="18"/>
  <c r="J1892" i="18"/>
  <c r="H1892" i="18"/>
  <c r="G1933" i="18"/>
  <c r="J738" i="18"/>
  <c r="J741" i="18" s="1"/>
  <c r="H748" i="18"/>
  <c r="I741" i="18"/>
  <c r="G1964" i="18"/>
  <c r="H190" i="18"/>
  <c r="J180" i="18"/>
  <c r="J183" i="18" s="1"/>
  <c r="I183" i="18"/>
  <c r="J404" i="18"/>
  <c r="H404" i="18"/>
  <c r="J1210" i="18"/>
  <c r="H1210" i="18"/>
  <c r="J1024" i="18"/>
  <c r="H1024" i="18"/>
  <c r="J869" i="18"/>
  <c r="H869" i="18"/>
  <c r="G197" i="18"/>
  <c r="I1888" i="18"/>
  <c r="J1885" i="18"/>
  <c r="J1888" i="18" s="1"/>
  <c r="H1895" i="18"/>
  <c r="R1638" i="18"/>
  <c r="J1644" i="18"/>
  <c r="H1644" i="18"/>
  <c r="I276" i="18"/>
  <c r="J273" i="18"/>
  <c r="J276" i="18" s="1"/>
  <c r="H283" i="18"/>
  <c r="H745" i="18"/>
  <c r="J745" i="18"/>
  <c r="R181" i="18"/>
  <c r="H187" i="18"/>
  <c r="J187" i="18"/>
  <c r="J955" i="18"/>
  <c r="J958" i="18" s="1"/>
  <c r="I958" i="18"/>
  <c r="H965" i="18"/>
  <c r="G1127" i="18"/>
  <c r="G1778" i="18"/>
  <c r="Q1550" i="18"/>
  <c r="Q1556" i="18" s="1"/>
  <c r="J1550" i="18"/>
  <c r="H1550" i="18"/>
  <c r="J1799" i="18"/>
  <c r="H1799" i="18"/>
  <c r="J466" i="18"/>
  <c r="H466" i="18"/>
  <c r="H373" i="18"/>
  <c r="J373" i="18"/>
  <c r="J1395" i="18"/>
  <c r="H1395" i="18"/>
  <c r="Q1395" i="18"/>
  <c r="Q1401" i="18" s="1"/>
  <c r="I586" i="18"/>
  <c r="J583" i="18"/>
  <c r="J586" i="18" s="1"/>
  <c r="H593" i="18"/>
  <c r="G848" i="18"/>
  <c r="J962" i="18"/>
  <c r="H962" i="18"/>
  <c r="H249" i="18"/>
  <c r="J249" i="18"/>
  <c r="G445" i="18"/>
  <c r="J806" i="18"/>
  <c r="H806" i="18"/>
  <c r="Q806" i="18"/>
  <c r="Q812" i="18" s="1"/>
  <c r="R522" i="18"/>
  <c r="J528" i="18"/>
  <c r="H528" i="18"/>
  <c r="G1840" i="18"/>
  <c r="I1547" i="18"/>
  <c r="J1544" i="18"/>
  <c r="J1547" i="18" s="1"/>
  <c r="H1554" i="18"/>
  <c r="G538" i="18"/>
  <c r="G786" i="18"/>
  <c r="I1423" i="18"/>
  <c r="J1420" i="18"/>
  <c r="J1423" i="18" s="1"/>
  <c r="H1430" i="18"/>
  <c r="R584" i="18"/>
  <c r="J590" i="18"/>
  <c r="H590" i="18"/>
  <c r="J280" i="18"/>
  <c r="H280" i="18"/>
  <c r="R1452" i="18"/>
  <c r="H1458" i="18"/>
  <c r="J1458" i="18"/>
  <c r="J242" i="18"/>
  <c r="J245" i="18" s="1"/>
  <c r="I245" i="18"/>
  <c r="H252" i="18"/>
  <c r="G476" i="18"/>
  <c r="I1144" i="18"/>
  <c r="J1141" i="18"/>
  <c r="J1144" i="18" s="1"/>
  <c r="H1151" i="18"/>
  <c r="H810" i="18"/>
  <c r="I803" i="18"/>
  <c r="J800" i="18"/>
  <c r="J803" i="18" s="1"/>
  <c r="I524" i="18"/>
  <c r="J521" i="18"/>
  <c r="J524" i="18" s="1"/>
  <c r="H531" i="18"/>
  <c r="G290" i="18"/>
  <c r="Q558" i="18"/>
  <c r="Q564" i="18" s="1"/>
  <c r="J558" i="18"/>
  <c r="H558" i="18"/>
  <c r="J1551" i="18"/>
  <c r="H1551" i="18"/>
  <c r="J1854" i="18"/>
  <c r="J1857" i="18" s="1"/>
  <c r="I1857" i="18"/>
  <c r="H1864" i="18"/>
  <c r="H93" i="18"/>
  <c r="Q93" i="18"/>
  <c r="Q99" i="18" s="1"/>
  <c r="J93" i="18"/>
  <c r="G1375" i="18"/>
  <c r="R150" i="18"/>
  <c r="H156" i="18"/>
  <c r="J156" i="18"/>
  <c r="R1917" i="18"/>
  <c r="J1923" i="18"/>
  <c r="H1923" i="18"/>
  <c r="H779" i="18"/>
  <c r="J769" i="18"/>
  <c r="J772" i="18" s="1"/>
  <c r="I772" i="18"/>
  <c r="G910" i="18"/>
  <c r="G507" i="18"/>
  <c r="I1454" i="18"/>
  <c r="J1451" i="18"/>
  <c r="J1454" i="18" s="1"/>
  <c r="H1461" i="18"/>
  <c r="G631" i="18"/>
  <c r="R1142" i="18"/>
  <c r="J1148" i="18"/>
  <c r="H1148" i="18"/>
  <c r="J807" i="18"/>
  <c r="H807" i="18"/>
  <c r="H562" i="18"/>
  <c r="I555" i="18"/>
  <c r="J552" i="18"/>
  <c r="J555" i="18" s="1"/>
  <c r="J1767" i="18"/>
  <c r="H1767" i="18"/>
  <c r="Q1767" i="18"/>
  <c r="Q1773" i="18" s="1"/>
  <c r="G1871" i="18"/>
  <c r="H1768" i="18"/>
  <c r="J1768" i="18"/>
  <c r="I90" i="18"/>
  <c r="J87" i="18"/>
  <c r="J90" i="18" s="1"/>
  <c r="H97" i="18"/>
  <c r="I1640" i="18"/>
  <c r="J1637" i="18"/>
  <c r="J1640" i="18" s="1"/>
  <c r="H1647" i="18"/>
  <c r="I1919" i="18"/>
  <c r="J1916" i="18"/>
  <c r="J1919" i="18" s="1"/>
  <c r="H1926" i="18"/>
  <c r="I927" i="18"/>
  <c r="J924" i="18"/>
  <c r="J927" i="18" s="1"/>
  <c r="H934" i="18"/>
  <c r="H624" i="18"/>
  <c r="I617" i="18"/>
  <c r="J614" i="18"/>
  <c r="J617" i="18" s="1"/>
  <c r="G104" i="18"/>
  <c r="G817" i="18"/>
  <c r="Q1333" i="18"/>
  <c r="Q1339" i="18" s="1"/>
  <c r="J1333" i="18"/>
  <c r="H1333" i="18"/>
  <c r="G1499" i="18"/>
  <c r="G755" i="18"/>
  <c r="I214" i="18"/>
  <c r="J211" i="18"/>
  <c r="J214" i="18" s="1"/>
  <c r="H221" i="18"/>
  <c r="G135" i="18"/>
  <c r="J559" i="18"/>
  <c r="H559" i="18"/>
  <c r="I1175" i="18"/>
  <c r="J1172" i="18"/>
  <c r="J1175" i="18" s="1"/>
  <c r="H1182" i="18"/>
  <c r="I1950" i="18"/>
  <c r="J1947" i="18"/>
  <c r="J1950" i="18" s="1"/>
  <c r="H1957" i="18"/>
  <c r="I1299" i="18"/>
  <c r="J1296" i="18"/>
  <c r="J1299" i="18" s="1"/>
  <c r="H1306" i="18"/>
  <c r="H159" i="18"/>
  <c r="I152" i="18"/>
  <c r="J149" i="18"/>
  <c r="J152" i="18" s="1"/>
  <c r="J94" i="18"/>
  <c r="H94" i="18"/>
  <c r="G414" i="18"/>
  <c r="H903" i="18"/>
  <c r="I896" i="18"/>
  <c r="J893" i="18"/>
  <c r="J896" i="18" s="1"/>
  <c r="G1189" i="18"/>
  <c r="R770" i="18"/>
  <c r="H776" i="18"/>
  <c r="J776" i="18"/>
  <c r="J931" i="18"/>
  <c r="H931" i="18"/>
  <c r="R615" i="18"/>
  <c r="J621" i="18"/>
  <c r="H621" i="18"/>
  <c r="G321" i="18"/>
  <c r="I1516" i="18"/>
  <c r="J1513" i="18"/>
  <c r="J1516" i="18" s="1"/>
  <c r="H1523" i="18"/>
  <c r="I1578" i="18"/>
  <c r="J1575" i="18"/>
  <c r="J1578" i="18" s="1"/>
  <c r="H1585" i="18"/>
  <c r="R1359" i="18"/>
  <c r="J1365" i="18"/>
  <c r="H1365" i="18"/>
  <c r="J1327" i="18"/>
  <c r="J1330" i="18" s="1"/>
  <c r="H1337" i="18"/>
  <c r="I1330" i="18"/>
  <c r="I1733" i="18"/>
  <c r="H1740" i="18"/>
  <c r="J1730" i="18"/>
  <c r="J1733" i="18" s="1"/>
  <c r="G1592" i="18"/>
  <c r="H314" i="18"/>
  <c r="I307" i="18"/>
  <c r="J304" i="18"/>
  <c r="J307" i="18" s="1"/>
  <c r="R212" i="18"/>
  <c r="J218" i="18"/>
  <c r="H218" i="18"/>
  <c r="R1173" i="18"/>
  <c r="J1179" i="18"/>
  <c r="H1179" i="18"/>
  <c r="R1948" i="18"/>
  <c r="J1954" i="18"/>
  <c r="H1954" i="18"/>
  <c r="I648" i="18"/>
  <c r="J645" i="18"/>
  <c r="J648" i="18" s="1"/>
  <c r="H655" i="18"/>
  <c r="G600" i="18"/>
  <c r="R1855" i="18"/>
  <c r="J1861" i="18"/>
  <c r="H1861" i="18"/>
  <c r="G1437" i="18"/>
  <c r="I431" i="18"/>
  <c r="J428" i="18"/>
  <c r="J431" i="18" s="1"/>
  <c r="H438" i="18"/>
  <c r="G1096" i="18"/>
  <c r="G1561" i="18"/>
  <c r="G1282" i="18"/>
  <c r="J900" i="18"/>
  <c r="H900" i="18"/>
  <c r="R2010" i="18"/>
  <c r="R1700" i="18"/>
  <c r="J1706" i="18"/>
  <c r="H1706" i="18"/>
  <c r="H1520" i="18"/>
  <c r="J1520" i="18"/>
  <c r="R1576" i="18"/>
  <c r="J1582" i="18"/>
  <c r="H1582" i="18"/>
  <c r="I1361" i="18"/>
  <c r="H1368" i="18"/>
  <c r="J1358" i="18"/>
  <c r="J1361" i="18" s="1"/>
  <c r="J1334" i="18"/>
  <c r="H1334" i="18"/>
  <c r="G1003" i="18"/>
  <c r="R1731" i="18"/>
  <c r="J1737" i="18"/>
  <c r="H1737" i="18"/>
  <c r="G1313" i="18"/>
  <c r="G1344" i="18"/>
  <c r="R305" i="18"/>
  <c r="J311" i="18"/>
  <c r="H311" i="18"/>
  <c r="G1251" i="18"/>
  <c r="G724" i="18"/>
  <c r="BB10" i="18"/>
  <c r="I63" i="18" l="1"/>
  <c r="I66" i="18"/>
  <c r="J66" i="18"/>
  <c r="J68" i="18" s="1"/>
  <c r="H62" i="18"/>
  <c r="I62" i="18" s="1"/>
  <c r="Q62" i="18"/>
  <c r="Q68" i="18" s="1"/>
  <c r="K1740" i="18"/>
  <c r="J1740" i="18"/>
  <c r="I1740" i="18"/>
  <c r="K807" i="18"/>
  <c r="I807" i="18"/>
  <c r="J1891" i="18"/>
  <c r="Q1891" i="18"/>
  <c r="Q1897" i="18" s="1"/>
  <c r="H1891" i="18"/>
  <c r="K1089" i="18"/>
  <c r="I1089" i="18"/>
  <c r="J1089" i="18"/>
  <c r="I868" i="18"/>
  <c r="H874" i="18"/>
  <c r="K868" i="18"/>
  <c r="K593" i="18"/>
  <c r="J593" i="18"/>
  <c r="I593" i="18"/>
  <c r="K469" i="18"/>
  <c r="I469" i="18"/>
  <c r="J469" i="18"/>
  <c r="J471" i="18" s="1"/>
  <c r="K903" i="18"/>
  <c r="I903" i="18"/>
  <c r="J903" i="18"/>
  <c r="J905" i="18" s="1"/>
  <c r="H1339" i="18"/>
  <c r="K1333" i="18"/>
  <c r="I1333" i="18"/>
  <c r="K280" i="18"/>
  <c r="I280" i="18"/>
  <c r="K1550" i="18"/>
  <c r="I1550" i="18"/>
  <c r="H1556" i="18"/>
  <c r="K745" i="18"/>
  <c r="I745" i="18"/>
  <c r="K407" i="18"/>
  <c r="I407" i="18"/>
  <c r="J407" i="18"/>
  <c r="J409" i="18" s="1"/>
  <c r="K1616" i="18"/>
  <c r="J1616" i="18"/>
  <c r="I1616" i="18"/>
  <c r="Q496" i="18"/>
  <c r="Q502" i="18" s="1"/>
  <c r="H496" i="18"/>
  <c r="J496" i="18"/>
  <c r="K1058" i="18"/>
  <c r="I1058" i="18"/>
  <c r="J1058" i="18"/>
  <c r="J1060" i="18" s="1"/>
  <c r="K248" i="18"/>
  <c r="I248" i="18"/>
  <c r="H254" i="18"/>
  <c r="K1864" i="18"/>
  <c r="J1864" i="18"/>
  <c r="I1864" i="18"/>
  <c r="H1581" i="18"/>
  <c r="Q1581" i="18"/>
  <c r="Q1587" i="18" s="1"/>
  <c r="J1581" i="18"/>
  <c r="K283" i="18"/>
  <c r="I283" i="18"/>
  <c r="J283" i="18"/>
  <c r="J285" i="18" s="1"/>
  <c r="I1210" i="18"/>
  <c r="K1210" i="18"/>
  <c r="K1892" i="18"/>
  <c r="I1892" i="18"/>
  <c r="K1678" i="18"/>
  <c r="J1678" i="18"/>
  <c r="I1678" i="18"/>
  <c r="K683" i="18"/>
  <c r="I683" i="18"/>
  <c r="K2019" i="18"/>
  <c r="I2019" i="18"/>
  <c r="J2019" i="18"/>
  <c r="J1240" i="18"/>
  <c r="H1240" i="18"/>
  <c r="Q1240" i="18"/>
  <c r="Q1246" i="18" s="1"/>
  <c r="I2016" i="18"/>
  <c r="K2016" i="18"/>
  <c r="K1244" i="18"/>
  <c r="J1244" i="18"/>
  <c r="I1244" i="18"/>
  <c r="I652" i="18"/>
  <c r="K652" i="18"/>
  <c r="I404" i="18"/>
  <c r="K404" i="18"/>
  <c r="K1737" i="18"/>
  <c r="I1737" i="18"/>
  <c r="H341" i="18"/>
  <c r="Q341" i="18"/>
  <c r="Q347" i="18" s="1"/>
  <c r="J341" i="18"/>
  <c r="I1179" i="18"/>
  <c r="K1179" i="18"/>
  <c r="K1337" i="18"/>
  <c r="I1337" i="18"/>
  <c r="J1337" i="18"/>
  <c r="J1339" i="18" s="1"/>
  <c r="H620" i="18"/>
  <c r="Q620" i="18"/>
  <c r="Q626" i="18" s="1"/>
  <c r="J620" i="18"/>
  <c r="K97" i="18"/>
  <c r="I97" i="18"/>
  <c r="J97" i="18"/>
  <c r="J99" i="18" s="1"/>
  <c r="K1148" i="18"/>
  <c r="I1148" i="18"/>
  <c r="K1430" i="18"/>
  <c r="J1430" i="18"/>
  <c r="I1430" i="18"/>
  <c r="K1086" i="18"/>
  <c r="I1086" i="18"/>
  <c r="K1675" i="18"/>
  <c r="I1675" i="18"/>
  <c r="I1489" i="18"/>
  <c r="K1489" i="18"/>
  <c r="Q124" i="18"/>
  <c r="Q130" i="18" s="1"/>
  <c r="J124" i="18"/>
  <c r="H124" i="18"/>
  <c r="K841" i="18"/>
  <c r="J841" i="18"/>
  <c r="I841" i="18"/>
  <c r="I1520" i="18"/>
  <c r="K1520" i="18"/>
  <c r="K1709" i="18"/>
  <c r="I1709" i="18"/>
  <c r="J1709" i="18"/>
  <c r="I931" i="18"/>
  <c r="K931" i="18"/>
  <c r="K779" i="18"/>
  <c r="J779" i="18"/>
  <c r="I779" i="18"/>
  <c r="K1551" i="18"/>
  <c r="I1551" i="18"/>
  <c r="J527" i="18"/>
  <c r="H527" i="18"/>
  <c r="Q527" i="18"/>
  <c r="Q533" i="18" s="1"/>
  <c r="J1643" i="18"/>
  <c r="H1643" i="18"/>
  <c r="Q1643" i="18"/>
  <c r="Q1649" i="18" s="1"/>
  <c r="J1271" i="18"/>
  <c r="H1271" i="18"/>
  <c r="Q1271" i="18"/>
  <c r="Q1277" i="18" s="1"/>
  <c r="I1427" i="18"/>
  <c r="K1427" i="18"/>
  <c r="K1833" i="18"/>
  <c r="J1833" i="18"/>
  <c r="I1833" i="18"/>
  <c r="H1612" i="18"/>
  <c r="Q1612" i="18"/>
  <c r="Q1618" i="18" s="1"/>
  <c r="J1612" i="18"/>
  <c r="I1985" i="18"/>
  <c r="K1985" i="18"/>
  <c r="I838" i="18"/>
  <c r="K838" i="18"/>
  <c r="K1647" i="18"/>
  <c r="J1647" i="18"/>
  <c r="I1647" i="18"/>
  <c r="K717" i="18"/>
  <c r="I717" i="18"/>
  <c r="J717" i="18"/>
  <c r="J719" i="18" s="1"/>
  <c r="J589" i="18"/>
  <c r="Q589" i="18"/>
  <c r="Q595" i="18" s="1"/>
  <c r="H589" i="18"/>
  <c r="H1736" i="18"/>
  <c r="J1736" i="18"/>
  <c r="Q1736" i="18"/>
  <c r="Q1742" i="18" s="1"/>
  <c r="Q1705" i="18"/>
  <c r="Q1711" i="18" s="1"/>
  <c r="H1705" i="18"/>
  <c r="J1705" i="18"/>
  <c r="J2015" i="18"/>
  <c r="H2015" i="18"/>
  <c r="Q2015" i="18"/>
  <c r="Q2021" i="18" s="1"/>
  <c r="Q1178" i="18"/>
  <c r="Q1184" i="18" s="1"/>
  <c r="J1178" i="18"/>
  <c r="H1178" i="18"/>
  <c r="I1365" i="18"/>
  <c r="K1365" i="18"/>
  <c r="K221" i="18"/>
  <c r="J221" i="18"/>
  <c r="I221" i="18"/>
  <c r="J1147" i="18"/>
  <c r="H1147" i="18"/>
  <c r="Q1147" i="18"/>
  <c r="Q1153" i="18" s="1"/>
  <c r="I1923" i="18"/>
  <c r="K1923" i="18"/>
  <c r="K1895" i="18"/>
  <c r="J1895" i="18"/>
  <c r="I1895" i="18"/>
  <c r="K190" i="18"/>
  <c r="J190" i="18"/>
  <c r="I190" i="18"/>
  <c r="K993" i="18"/>
  <c r="I993" i="18"/>
  <c r="Q1085" i="18"/>
  <c r="Q1091" i="18" s="1"/>
  <c r="J1085" i="18"/>
  <c r="H1085" i="18"/>
  <c r="H1674" i="18"/>
  <c r="Q1674" i="18"/>
  <c r="Q1680" i="18" s="1"/>
  <c r="J1674" i="18"/>
  <c r="I1023" i="18"/>
  <c r="H1029" i="18"/>
  <c r="K1023" i="18"/>
  <c r="Q837" i="18"/>
  <c r="Q843" i="18" s="1"/>
  <c r="J837" i="18"/>
  <c r="H837" i="18"/>
  <c r="K930" i="18"/>
  <c r="I930" i="18"/>
  <c r="H936" i="18"/>
  <c r="K1644" i="18"/>
  <c r="I1644" i="18"/>
  <c r="I279" i="18"/>
  <c r="H285" i="18"/>
  <c r="K279" i="18"/>
  <c r="K900" i="18"/>
  <c r="I900" i="18"/>
  <c r="I218" i="18"/>
  <c r="K218" i="18"/>
  <c r="K159" i="18"/>
  <c r="I159" i="18"/>
  <c r="J159" i="18"/>
  <c r="K558" i="18"/>
  <c r="I558" i="18"/>
  <c r="H564" i="18"/>
  <c r="K806" i="18"/>
  <c r="I806" i="18"/>
  <c r="H812" i="18"/>
  <c r="I1395" i="18"/>
  <c r="K1395" i="18"/>
  <c r="H1401" i="18"/>
  <c r="J1426" i="18"/>
  <c r="H1426" i="18"/>
  <c r="Q1426" i="18"/>
  <c r="Q1432" i="18" s="1"/>
  <c r="K1027" i="18"/>
  <c r="I1027" i="18"/>
  <c r="J1027" i="18"/>
  <c r="J1029" i="18" s="1"/>
  <c r="K1120" i="18"/>
  <c r="J1120" i="18"/>
  <c r="I1120" i="18"/>
  <c r="K1399" i="18"/>
  <c r="J1399" i="18"/>
  <c r="J1401" i="18" s="1"/>
  <c r="I1399" i="18"/>
  <c r="H1060" i="18"/>
  <c r="K1054" i="18"/>
  <c r="I1054" i="18"/>
  <c r="H1984" i="18"/>
  <c r="Q1984" i="18"/>
  <c r="Q1990" i="18" s="1"/>
  <c r="J1984" i="18"/>
  <c r="K372" i="18"/>
  <c r="H378" i="18"/>
  <c r="I372" i="18"/>
  <c r="H1525" i="18"/>
  <c r="I1519" i="18"/>
  <c r="K1519" i="18"/>
  <c r="I93" i="18"/>
  <c r="H99" i="18"/>
  <c r="K93" i="18"/>
  <c r="Q1953" i="18"/>
  <c r="Q1959" i="18" s="1"/>
  <c r="J1953" i="18"/>
  <c r="H1953" i="18"/>
  <c r="K1151" i="18"/>
  <c r="J1151" i="18"/>
  <c r="I1151" i="18"/>
  <c r="K1861" i="18"/>
  <c r="I1861" i="18"/>
  <c r="J1364" i="18"/>
  <c r="H1364" i="18"/>
  <c r="Q1364" i="18"/>
  <c r="Q1370" i="18" s="1"/>
  <c r="K776" i="18"/>
  <c r="I776" i="18"/>
  <c r="K1306" i="18"/>
  <c r="J1306" i="18"/>
  <c r="I1306" i="18"/>
  <c r="I1768" i="18"/>
  <c r="K1768" i="18"/>
  <c r="Q1922" i="18"/>
  <c r="Q1928" i="18" s="1"/>
  <c r="J1922" i="18"/>
  <c r="H1922" i="18"/>
  <c r="K965" i="18"/>
  <c r="J965" i="18"/>
  <c r="J967" i="18" s="1"/>
  <c r="I965" i="18"/>
  <c r="H992" i="18"/>
  <c r="Q992" i="18"/>
  <c r="Q998" i="18" s="1"/>
  <c r="J992" i="18"/>
  <c r="K1830" i="18"/>
  <c r="I1830" i="18"/>
  <c r="K1275" i="18"/>
  <c r="J1275" i="18"/>
  <c r="I1275" i="18"/>
  <c r="K1771" i="18"/>
  <c r="J1771" i="18"/>
  <c r="J1773" i="18" s="1"/>
  <c r="I1771" i="18"/>
  <c r="K1055" i="18"/>
  <c r="I1055" i="18"/>
  <c r="K1802" i="18"/>
  <c r="I1802" i="18"/>
  <c r="J1802" i="18"/>
  <c r="J1804" i="18" s="1"/>
  <c r="K1117" i="18"/>
  <c r="I1117" i="18"/>
  <c r="H719" i="18"/>
  <c r="K713" i="18"/>
  <c r="I713" i="18"/>
  <c r="K403" i="18"/>
  <c r="I403" i="18"/>
  <c r="H409" i="18"/>
  <c r="K562" i="18"/>
  <c r="J562" i="18"/>
  <c r="J564" i="18" s="1"/>
  <c r="I562" i="18"/>
  <c r="K810" i="18"/>
  <c r="J810" i="18"/>
  <c r="J812" i="18" s="1"/>
  <c r="I810" i="18"/>
  <c r="K94" i="18"/>
  <c r="I94" i="18"/>
  <c r="I1488" i="18"/>
  <c r="H1494" i="18"/>
  <c r="K1488" i="18"/>
  <c r="K1334" i="18"/>
  <c r="I1334" i="18"/>
  <c r="K1585" i="18"/>
  <c r="I1585" i="18"/>
  <c r="J1585" i="18"/>
  <c r="K252" i="18"/>
  <c r="I252" i="18"/>
  <c r="J252" i="18"/>
  <c r="J254" i="18" s="1"/>
  <c r="K686" i="18"/>
  <c r="J686" i="18"/>
  <c r="J688" i="18" s="1"/>
  <c r="I686" i="18"/>
  <c r="K1954" i="18"/>
  <c r="I1954" i="18"/>
  <c r="K590" i="18"/>
  <c r="I590" i="18"/>
  <c r="I621" i="18"/>
  <c r="K621" i="18"/>
  <c r="K1706" i="18"/>
  <c r="I1706" i="18"/>
  <c r="K528" i="18"/>
  <c r="I528" i="18"/>
  <c r="K156" i="18"/>
  <c r="I156" i="18"/>
  <c r="K373" i="18"/>
  <c r="I373" i="18"/>
  <c r="K500" i="18"/>
  <c r="J500" i="18"/>
  <c r="I500" i="18"/>
  <c r="Q1829" i="18"/>
  <c r="Q1835" i="18" s="1"/>
  <c r="J1829" i="18"/>
  <c r="H1829" i="18"/>
  <c r="K1303" i="18"/>
  <c r="I1303" i="18"/>
  <c r="H1116" i="18"/>
  <c r="Q1116" i="18"/>
  <c r="Q1122" i="18" s="1"/>
  <c r="J1116" i="18"/>
  <c r="K961" i="18"/>
  <c r="I961" i="18"/>
  <c r="H967" i="18"/>
  <c r="K376" i="18"/>
  <c r="J376" i="18"/>
  <c r="J378" i="18" s="1"/>
  <c r="I376" i="18"/>
  <c r="H1860" i="18"/>
  <c r="Q1860" i="18"/>
  <c r="Q1866" i="18" s="1"/>
  <c r="J1860" i="18"/>
  <c r="K1461" i="18"/>
  <c r="J1461" i="18"/>
  <c r="I1461" i="18"/>
  <c r="K1957" i="18"/>
  <c r="I1957" i="18"/>
  <c r="J1957" i="18"/>
  <c r="K934" i="18"/>
  <c r="J934" i="18"/>
  <c r="J936" i="18" s="1"/>
  <c r="I934" i="18"/>
  <c r="Q155" i="18"/>
  <c r="Q161" i="18" s="1"/>
  <c r="H155" i="18"/>
  <c r="J155" i="18"/>
  <c r="K466" i="18"/>
  <c r="I466" i="18"/>
  <c r="K748" i="18"/>
  <c r="J748" i="18"/>
  <c r="J750" i="18" s="1"/>
  <c r="I748" i="18"/>
  <c r="K1213" i="18"/>
  <c r="J1213" i="18"/>
  <c r="J1215" i="18" s="1"/>
  <c r="I1213" i="18"/>
  <c r="K1396" i="18"/>
  <c r="I1396" i="18"/>
  <c r="K1492" i="18"/>
  <c r="J1492" i="18"/>
  <c r="J1494" i="18" s="1"/>
  <c r="I1492" i="18"/>
  <c r="K872" i="18"/>
  <c r="I872" i="18"/>
  <c r="J872" i="18"/>
  <c r="J874" i="18" s="1"/>
  <c r="H1215" i="18"/>
  <c r="K1209" i="18"/>
  <c r="I1209" i="18"/>
  <c r="J310" i="18"/>
  <c r="H310" i="18"/>
  <c r="Q310" i="18"/>
  <c r="Q316" i="18" s="1"/>
  <c r="K1368" i="18"/>
  <c r="I1368" i="18"/>
  <c r="J1368" i="18"/>
  <c r="K314" i="18"/>
  <c r="I314" i="18"/>
  <c r="J314" i="18"/>
  <c r="K1523" i="18"/>
  <c r="J1523" i="18"/>
  <c r="J1525" i="18" s="1"/>
  <c r="I1523" i="18"/>
  <c r="K187" i="18"/>
  <c r="I187" i="18"/>
  <c r="I869" i="18"/>
  <c r="K869" i="18"/>
  <c r="K435" i="18"/>
  <c r="I435" i="18"/>
  <c r="I682" i="18"/>
  <c r="H688" i="18"/>
  <c r="K682" i="18"/>
  <c r="J1302" i="18"/>
  <c r="H1302" i="18"/>
  <c r="Q1302" i="18"/>
  <c r="Q1308" i="18" s="1"/>
  <c r="K651" i="18"/>
  <c r="I651" i="18"/>
  <c r="H657" i="18"/>
  <c r="K1988" i="18"/>
  <c r="J1988" i="18"/>
  <c r="I1988" i="18"/>
  <c r="K899" i="18"/>
  <c r="H905" i="18"/>
  <c r="I899" i="18"/>
  <c r="K125" i="18"/>
  <c r="I125" i="18"/>
  <c r="J775" i="18"/>
  <c r="H775" i="18"/>
  <c r="Q775" i="18"/>
  <c r="Q781" i="18" s="1"/>
  <c r="K311" i="18"/>
  <c r="I311" i="18"/>
  <c r="K624" i="18"/>
  <c r="J624" i="18"/>
  <c r="I624" i="18"/>
  <c r="H1773" i="18"/>
  <c r="K1767" i="18"/>
  <c r="I1767" i="18"/>
  <c r="K531" i="18"/>
  <c r="J531" i="18"/>
  <c r="I531" i="18"/>
  <c r="K1458" i="18"/>
  <c r="I1458" i="18"/>
  <c r="K1554" i="18"/>
  <c r="I1554" i="18"/>
  <c r="J1554" i="18"/>
  <c r="J1556" i="18" s="1"/>
  <c r="K249" i="18"/>
  <c r="I249" i="18"/>
  <c r="K1799" i="18"/>
  <c r="I1799" i="18"/>
  <c r="J186" i="18"/>
  <c r="Q186" i="18"/>
  <c r="Q192" i="18" s="1"/>
  <c r="H186" i="18"/>
  <c r="K128" i="18"/>
  <c r="I128" i="18"/>
  <c r="J128" i="18"/>
  <c r="K996" i="18"/>
  <c r="J996" i="18"/>
  <c r="I996" i="18"/>
  <c r="K497" i="18"/>
  <c r="I497" i="18"/>
  <c r="I744" i="18"/>
  <c r="H750" i="18"/>
  <c r="K744" i="18"/>
  <c r="I559" i="18"/>
  <c r="K559" i="18"/>
  <c r="K342" i="18"/>
  <c r="I342" i="18"/>
  <c r="K438" i="18"/>
  <c r="J438" i="18"/>
  <c r="I438" i="18"/>
  <c r="I465" i="18"/>
  <c r="K465" i="18"/>
  <c r="H471" i="18"/>
  <c r="K1272" i="18"/>
  <c r="I1272" i="18"/>
  <c r="K1613" i="18"/>
  <c r="I1613" i="18"/>
  <c r="J217" i="18"/>
  <c r="Q217" i="18"/>
  <c r="Q223" i="18" s="1"/>
  <c r="H217" i="18"/>
  <c r="K1582" i="18"/>
  <c r="I1582" i="18"/>
  <c r="K655" i="18"/>
  <c r="J655" i="18"/>
  <c r="J657" i="18" s="1"/>
  <c r="I655" i="18"/>
  <c r="K1182" i="18"/>
  <c r="I1182" i="18"/>
  <c r="J1182" i="18"/>
  <c r="K1926" i="18"/>
  <c r="J1926" i="18"/>
  <c r="I1926" i="18"/>
  <c r="Q1457" i="18"/>
  <c r="Q1463" i="18" s="1"/>
  <c r="J1457" i="18"/>
  <c r="H1457" i="18"/>
  <c r="K962" i="18"/>
  <c r="I962" i="18"/>
  <c r="K1024" i="18"/>
  <c r="I1024" i="18"/>
  <c r="J434" i="18"/>
  <c r="H434" i="18"/>
  <c r="Q434" i="18"/>
  <c r="Q440" i="18" s="1"/>
  <c r="K345" i="18"/>
  <c r="J345" i="18"/>
  <c r="I345" i="18"/>
  <c r="K714" i="18"/>
  <c r="I714" i="18"/>
  <c r="K1241" i="18"/>
  <c r="I1241" i="18"/>
  <c r="K1798" i="18"/>
  <c r="I1798" i="18"/>
  <c r="H1804" i="18"/>
  <c r="F49" i="2"/>
  <c r="F51" i="2" s="1"/>
  <c r="G49" i="2"/>
  <c r="G51" i="2" s="1"/>
  <c r="H49" i="2"/>
  <c r="H51" i="2" s="1"/>
  <c r="E49" i="2"/>
  <c r="E51" i="2" s="1"/>
  <c r="J19" i="18"/>
  <c r="H34" i="18" s="1"/>
  <c r="K34" i="18" s="1"/>
  <c r="K62" i="18" l="1"/>
  <c r="K68" i="18" s="1"/>
  <c r="K71" i="18" s="1"/>
  <c r="J1587" i="18"/>
  <c r="H68" i="18"/>
  <c r="I68" i="18" s="1"/>
  <c r="J1711" i="18"/>
  <c r="J1370" i="18"/>
  <c r="J1649" i="18"/>
  <c r="J595" i="18"/>
  <c r="J1153" i="18"/>
  <c r="K285" i="18"/>
  <c r="K288" i="18" s="1"/>
  <c r="J347" i="18"/>
  <c r="K1525" i="18"/>
  <c r="K1528" i="18" s="1"/>
  <c r="J2021" i="18"/>
  <c r="J1959" i="18"/>
  <c r="K409" i="18"/>
  <c r="K412" i="18" s="1"/>
  <c r="K688" i="18"/>
  <c r="K691" i="18" s="1"/>
  <c r="J1990" i="18"/>
  <c r="J1928" i="18"/>
  <c r="K1804" i="18"/>
  <c r="K1807" i="18" s="1"/>
  <c r="K1060" i="18"/>
  <c r="K1063" i="18" s="1"/>
  <c r="K936" i="18"/>
  <c r="K939" i="18" s="1"/>
  <c r="J161" i="18"/>
  <c r="K564" i="18"/>
  <c r="K567" i="18" s="1"/>
  <c r="J1897" i="18"/>
  <c r="J502" i="18"/>
  <c r="K1401" i="18"/>
  <c r="K1404" i="18" s="1"/>
  <c r="K471" i="18"/>
  <c r="K474" i="18" s="1"/>
  <c r="K1556" i="18"/>
  <c r="K1559" i="18" s="1"/>
  <c r="J998" i="18"/>
  <c r="J1246" i="18"/>
  <c r="K254" i="18"/>
  <c r="K257" i="18" s="1"/>
  <c r="J533" i="18"/>
  <c r="J1122" i="18"/>
  <c r="K750" i="18"/>
  <c r="K753" i="18" s="1"/>
  <c r="J626" i="18"/>
  <c r="K657" i="18"/>
  <c r="K660" i="18" s="1"/>
  <c r="J316" i="18"/>
  <c r="H970" i="18"/>
  <c r="I967" i="18"/>
  <c r="I1364" i="18"/>
  <c r="H1370" i="18"/>
  <c r="K1364" i="18"/>
  <c r="K1370" i="18" s="1"/>
  <c r="K1373" i="18" s="1"/>
  <c r="I2015" i="18"/>
  <c r="H2021" i="18"/>
  <c r="K2015" i="18"/>
  <c r="K2021" i="18" s="1"/>
  <c r="K2024" i="18" s="1"/>
  <c r="H877" i="18"/>
  <c r="I874" i="18"/>
  <c r="H1559" i="18"/>
  <c r="I1556" i="18"/>
  <c r="H843" i="18"/>
  <c r="I837" i="18"/>
  <c r="K837" i="18"/>
  <c r="K843" i="18" s="1"/>
  <c r="K846" i="18" s="1"/>
  <c r="H381" i="18"/>
  <c r="I378" i="18"/>
  <c r="K1029" i="18"/>
  <c r="K1032" i="18" s="1"/>
  <c r="I217" i="18"/>
  <c r="H223" i="18"/>
  <c r="K217" i="18"/>
  <c r="K223" i="18" s="1"/>
  <c r="K226" i="18" s="1"/>
  <c r="H660" i="18"/>
  <c r="I657" i="18"/>
  <c r="K992" i="18"/>
  <c r="K998" i="18" s="1"/>
  <c r="K1001" i="18" s="1"/>
  <c r="H998" i="18"/>
  <c r="I992" i="18"/>
  <c r="H753" i="18"/>
  <c r="I750" i="18"/>
  <c r="K874" i="18"/>
  <c r="K877" i="18" s="1"/>
  <c r="K967" i="18"/>
  <c r="K970" i="18" s="1"/>
  <c r="K378" i="18"/>
  <c r="K381" i="18" s="1"/>
  <c r="H1032" i="18"/>
  <c r="I1029" i="18"/>
  <c r="I1643" i="18"/>
  <c r="H1649" i="18"/>
  <c r="K1643" i="18"/>
  <c r="K1649" i="18" s="1"/>
  <c r="K1652" i="18" s="1"/>
  <c r="J1091" i="18"/>
  <c r="I1302" i="18"/>
  <c r="H1308" i="18"/>
  <c r="K1302" i="18"/>
  <c r="K1308" i="18" s="1"/>
  <c r="K1311" i="18" s="1"/>
  <c r="I775" i="18"/>
  <c r="K775" i="18"/>
  <c r="K781" i="18" s="1"/>
  <c r="K784" i="18" s="1"/>
  <c r="H781" i="18"/>
  <c r="H1711" i="18"/>
  <c r="K1705" i="18"/>
  <c r="K1711" i="18" s="1"/>
  <c r="K1714" i="18" s="1"/>
  <c r="I1705" i="18"/>
  <c r="J1432" i="18"/>
  <c r="I1240" i="18"/>
  <c r="H1246" i="18"/>
  <c r="K1240" i="18"/>
  <c r="K1246" i="18" s="1"/>
  <c r="K1249" i="18" s="1"/>
  <c r="I496" i="18"/>
  <c r="H502" i="18"/>
  <c r="K496" i="18"/>
  <c r="K502" i="18" s="1"/>
  <c r="K505" i="18" s="1"/>
  <c r="K1426" i="18"/>
  <c r="K1432" i="18" s="1"/>
  <c r="K1435" i="18" s="1"/>
  <c r="I1426" i="18"/>
  <c r="H1432" i="18"/>
  <c r="I341" i="18"/>
  <c r="K341" i="18"/>
  <c r="K347" i="18" s="1"/>
  <c r="K350" i="18" s="1"/>
  <c r="H347" i="18"/>
  <c r="K1339" i="18"/>
  <c r="K1342" i="18" s="1"/>
  <c r="H691" i="18"/>
  <c r="I688" i="18"/>
  <c r="I1116" i="18"/>
  <c r="H1122" i="18"/>
  <c r="K1116" i="18"/>
  <c r="K1122" i="18" s="1"/>
  <c r="K1125" i="18" s="1"/>
  <c r="I1922" i="18"/>
  <c r="H1928" i="18"/>
  <c r="K1922" i="18"/>
  <c r="K1928" i="18" s="1"/>
  <c r="K1931" i="18" s="1"/>
  <c r="I1984" i="18"/>
  <c r="H1990" i="18"/>
  <c r="K1984" i="18"/>
  <c r="K1990" i="18" s="1"/>
  <c r="K1993" i="18" s="1"/>
  <c r="K1147" i="18"/>
  <c r="K1153" i="18" s="1"/>
  <c r="K1156" i="18" s="1"/>
  <c r="H1153" i="18"/>
  <c r="I1147" i="18"/>
  <c r="I527" i="18"/>
  <c r="K527" i="18"/>
  <c r="K533" i="18" s="1"/>
  <c r="K536" i="18" s="1"/>
  <c r="H533" i="18"/>
  <c r="H1342" i="18"/>
  <c r="I1339" i="18"/>
  <c r="I1891" i="18"/>
  <c r="H1897" i="18"/>
  <c r="K1891" i="18"/>
  <c r="K1897" i="18" s="1"/>
  <c r="K1900" i="18" s="1"/>
  <c r="J1463" i="18"/>
  <c r="H412" i="18"/>
  <c r="I409" i="18"/>
  <c r="H1404" i="18"/>
  <c r="I1401" i="18"/>
  <c r="H1680" i="18"/>
  <c r="K1674" i="18"/>
  <c r="K1680" i="18" s="1"/>
  <c r="K1683" i="18" s="1"/>
  <c r="I1674" i="18"/>
  <c r="J843" i="18"/>
  <c r="J1618" i="18"/>
  <c r="H1959" i="18"/>
  <c r="K1953" i="18"/>
  <c r="K1959" i="18" s="1"/>
  <c r="K1962" i="18" s="1"/>
  <c r="I1953" i="18"/>
  <c r="H288" i="18"/>
  <c r="I285" i="18"/>
  <c r="I1085" i="18"/>
  <c r="H1091" i="18"/>
  <c r="K1085" i="18"/>
  <c r="K1091" i="18" s="1"/>
  <c r="K1094" i="18" s="1"/>
  <c r="I1736" i="18"/>
  <c r="K1736" i="18"/>
  <c r="K1742" i="18" s="1"/>
  <c r="K1745" i="18" s="1"/>
  <c r="H1742" i="18"/>
  <c r="H440" i="18"/>
  <c r="K434" i="18"/>
  <c r="K440" i="18" s="1"/>
  <c r="K443" i="18" s="1"/>
  <c r="I434" i="18"/>
  <c r="J440" i="18"/>
  <c r="J1277" i="18"/>
  <c r="H1063" i="18"/>
  <c r="I1060" i="18"/>
  <c r="J223" i="18"/>
  <c r="K589" i="18"/>
  <c r="K595" i="18" s="1"/>
  <c r="K598" i="18" s="1"/>
  <c r="H595" i="18"/>
  <c r="I589" i="18"/>
  <c r="I1612" i="18"/>
  <c r="H1618" i="18"/>
  <c r="K1612" i="18"/>
  <c r="K1618" i="18" s="1"/>
  <c r="K1621" i="18" s="1"/>
  <c r="I124" i="18"/>
  <c r="H130" i="18"/>
  <c r="K124" i="18"/>
  <c r="K130" i="18" s="1"/>
  <c r="K133" i="18" s="1"/>
  <c r="H1587" i="18"/>
  <c r="K1581" i="18"/>
  <c r="K1587" i="18" s="1"/>
  <c r="K1590" i="18" s="1"/>
  <c r="I1581" i="18"/>
  <c r="H1463" i="18"/>
  <c r="K1457" i="18"/>
  <c r="K1463" i="18" s="1"/>
  <c r="K1466" i="18" s="1"/>
  <c r="I1457" i="18"/>
  <c r="H1277" i="18"/>
  <c r="K1271" i="18"/>
  <c r="K1277" i="18" s="1"/>
  <c r="K1280" i="18" s="1"/>
  <c r="I1271" i="18"/>
  <c r="H908" i="18"/>
  <c r="I905" i="18"/>
  <c r="H1835" i="18"/>
  <c r="K1829" i="18"/>
  <c r="K1835" i="18" s="1"/>
  <c r="K1838" i="18" s="1"/>
  <c r="I1829" i="18"/>
  <c r="H815" i="18"/>
  <c r="I812" i="18"/>
  <c r="J130" i="18"/>
  <c r="H1807" i="18"/>
  <c r="I1804" i="18"/>
  <c r="K155" i="18"/>
  <c r="K161" i="18" s="1"/>
  <c r="K164" i="18" s="1"/>
  <c r="I155" i="18"/>
  <c r="H161" i="18"/>
  <c r="J192" i="18"/>
  <c r="J1184" i="18"/>
  <c r="K905" i="18"/>
  <c r="K908" i="18" s="1"/>
  <c r="K1215" i="18"/>
  <c r="K1218" i="18" s="1"/>
  <c r="H1866" i="18"/>
  <c r="I1860" i="18"/>
  <c r="K1860" i="18"/>
  <c r="K1866" i="18" s="1"/>
  <c r="K1869" i="18" s="1"/>
  <c r="K1494" i="18"/>
  <c r="K1497" i="18" s="1"/>
  <c r="K719" i="18"/>
  <c r="K722" i="18" s="1"/>
  <c r="K99" i="18"/>
  <c r="K102" i="18" s="1"/>
  <c r="J1835" i="18"/>
  <c r="J781" i="18"/>
  <c r="J1866" i="18"/>
  <c r="H1528" i="18"/>
  <c r="I1525" i="18"/>
  <c r="K186" i="18"/>
  <c r="K192" i="18" s="1"/>
  <c r="K195" i="18" s="1"/>
  <c r="I186" i="18"/>
  <c r="H192" i="18"/>
  <c r="H1218" i="18"/>
  <c r="I1215" i="18"/>
  <c r="H1497" i="18"/>
  <c r="I1494" i="18"/>
  <c r="H722" i="18"/>
  <c r="I719" i="18"/>
  <c r="J1308" i="18"/>
  <c r="H102" i="18"/>
  <c r="I99" i="18"/>
  <c r="K812" i="18"/>
  <c r="K815" i="18" s="1"/>
  <c r="H939" i="18"/>
  <c r="I936" i="18"/>
  <c r="J1680" i="18"/>
  <c r="J1742" i="18"/>
  <c r="H474" i="18"/>
  <c r="I471" i="18"/>
  <c r="I310" i="18"/>
  <c r="H316" i="18"/>
  <c r="K310" i="18"/>
  <c r="K316" i="18" s="1"/>
  <c r="K319" i="18" s="1"/>
  <c r="K1773" i="18"/>
  <c r="K1776" i="18" s="1"/>
  <c r="H1776" i="18"/>
  <c r="I1773" i="18"/>
  <c r="H567" i="18"/>
  <c r="I564" i="18"/>
  <c r="K1178" i="18"/>
  <c r="K1184" i="18" s="1"/>
  <c r="K1187" i="18" s="1"/>
  <c r="I1178" i="18"/>
  <c r="H1184" i="18"/>
  <c r="K620" i="18"/>
  <c r="K626" i="18" s="1"/>
  <c r="K629" i="18" s="1"/>
  <c r="H626" i="18"/>
  <c r="I620" i="18"/>
  <c r="H257" i="18"/>
  <c r="I254" i="18"/>
  <c r="I19" i="18"/>
  <c r="H19" i="18"/>
  <c r="H38" i="18" s="1"/>
  <c r="K19" i="18"/>
  <c r="H25" i="18" s="1"/>
  <c r="Q34" i="18"/>
  <c r="J34" i="18"/>
  <c r="I34" i="18"/>
  <c r="P34" i="18" s="1"/>
  <c r="H71" i="18" l="1"/>
  <c r="J75" i="18" s="1"/>
  <c r="Q1030" i="18"/>
  <c r="Q1032" i="18" s="1"/>
  <c r="H1034" i="18"/>
  <c r="J1030" i="18"/>
  <c r="J1032" i="18" s="1"/>
  <c r="J1036" i="18"/>
  <c r="I1032" i="18"/>
  <c r="H1280" i="18"/>
  <c r="I1277" i="18"/>
  <c r="H1065" i="18"/>
  <c r="J1061" i="18"/>
  <c r="J1063" i="18" s="1"/>
  <c r="J1067" i="18"/>
  <c r="Q1061" i="18"/>
  <c r="Q1063" i="18" s="1"/>
  <c r="I1063" i="18"/>
  <c r="H1962" i="18"/>
  <c r="I1959" i="18"/>
  <c r="H536" i="18"/>
  <c r="I533" i="18"/>
  <c r="H693" i="18"/>
  <c r="J689" i="18"/>
  <c r="J691" i="18" s="1"/>
  <c r="Q689" i="18"/>
  <c r="Q691" i="18" s="1"/>
  <c r="J695" i="18"/>
  <c r="I691" i="18"/>
  <c r="H846" i="18"/>
  <c r="I843" i="18"/>
  <c r="H1714" i="18"/>
  <c r="I1711" i="18"/>
  <c r="H1125" i="18"/>
  <c r="I1122" i="18"/>
  <c r="J1526" i="18"/>
  <c r="J1528" i="18" s="1"/>
  <c r="J1532" i="18"/>
  <c r="H1530" i="18"/>
  <c r="Q1526" i="18"/>
  <c r="Q1528" i="18" s="1"/>
  <c r="I1528" i="18"/>
  <c r="H1466" i="18"/>
  <c r="I1463" i="18"/>
  <c r="H1187" i="18"/>
  <c r="I1184" i="18"/>
  <c r="J937" i="18"/>
  <c r="J939" i="18" s="1"/>
  <c r="H941" i="18"/>
  <c r="J943" i="18"/>
  <c r="Q937" i="18"/>
  <c r="Q939" i="18" s="1"/>
  <c r="I939" i="18"/>
  <c r="H350" i="18"/>
  <c r="I347" i="18"/>
  <c r="H784" i="18"/>
  <c r="I781" i="18"/>
  <c r="H755" i="18"/>
  <c r="J757" i="18"/>
  <c r="J751" i="18"/>
  <c r="J753" i="18" s="1"/>
  <c r="Q751" i="18"/>
  <c r="Q753" i="18" s="1"/>
  <c r="I753" i="18"/>
  <c r="H1561" i="18"/>
  <c r="J1557" i="18"/>
  <c r="J1559" i="18" s="1"/>
  <c r="Q1557" i="18"/>
  <c r="Q1559" i="18" s="1"/>
  <c r="J1563" i="18"/>
  <c r="I1559" i="18"/>
  <c r="J1811" i="18"/>
  <c r="Q1805" i="18"/>
  <c r="Q1807" i="18" s="1"/>
  <c r="H1809" i="18"/>
  <c r="J1805" i="18"/>
  <c r="J1807" i="18" s="1"/>
  <c r="I1807" i="18"/>
  <c r="H1156" i="18"/>
  <c r="I1153" i="18"/>
  <c r="H1001" i="18"/>
  <c r="I998" i="18"/>
  <c r="H879" i="18"/>
  <c r="Q875" i="18"/>
  <c r="Q877" i="18" s="1"/>
  <c r="J875" i="18"/>
  <c r="J877" i="18" s="1"/>
  <c r="J881" i="18"/>
  <c r="I877" i="18"/>
  <c r="H164" i="18"/>
  <c r="I161" i="18"/>
  <c r="H1435" i="18"/>
  <c r="I1432" i="18"/>
  <c r="H133" i="18"/>
  <c r="I130" i="18"/>
  <c r="H1745" i="18"/>
  <c r="I1742" i="18"/>
  <c r="H1311" i="18"/>
  <c r="I1308" i="18"/>
  <c r="H2024" i="18"/>
  <c r="I2021" i="18"/>
  <c r="H1406" i="18"/>
  <c r="Q1402" i="18"/>
  <c r="Q1404" i="18" s="1"/>
  <c r="J1408" i="18"/>
  <c r="J1402" i="18"/>
  <c r="J1404" i="18" s="1"/>
  <c r="I1404" i="18"/>
  <c r="H1993" i="18"/>
  <c r="I1990" i="18"/>
  <c r="H662" i="18"/>
  <c r="J658" i="18"/>
  <c r="J660" i="18" s="1"/>
  <c r="Q658" i="18"/>
  <c r="Q660" i="18" s="1"/>
  <c r="J664" i="18"/>
  <c r="I660" i="18"/>
  <c r="H195" i="18"/>
  <c r="I192" i="18"/>
  <c r="H259" i="18"/>
  <c r="J255" i="18"/>
  <c r="J257" i="18" s="1"/>
  <c r="J261" i="18"/>
  <c r="Q255" i="18"/>
  <c r="Q257" i="18" s="1"/>
  <c r="I257" i="18"/>
  <c r="H1683" i="18"/>
  <c r="I1680" i="18"/>
  <c r="Q565" i="18"/>
  <c r="Q567" i="18" s="1"/>
  <c r="H569" i="18"/>
  <c r="J565" i="18"/>
  <c r="J567" i="18" s="1"/>
  <c r="J571" i="18"/>
  <c r="I567" i="18"/>
  <c r="J292" i="18"/>
  <c r="Q286" i="18"/>
  <c r="Q288" i="18" s="1"/>
  <c r="H290" i="18"/>
  <c r="J286" i="18"/>
  <c r="J288" i="18" s="1"/>
  <c r="I288" i="18"/>
  <c r="H629" i="18"/>
  <c r="I626" i="18"/>
  <c r="H443" i="18"/>
  <c r="I440" i="18"/>
  <c r="H1621" i="18"/>
  <c r="I1618" i="18"/>
  <c r="Q410" i="18"/>
  <c r="Q412" i="18" s="1"/>
  <c r="J410" i="18"/>
  <c r="J412" i="18" s="1"/>
  <c r="H414" i="18"/>
  <c r="J416" i="18"/>
  <c r="I412" i="18"/>
  <c r="H505" i="18"/>
  <c r="I502" i="18"/>
  <c r="H226" i="18"/>
  <c r="I223" i="18"/>
  <c r="H1373" i="18"/>
  <c r="I1370" i="18"/>
  <c r="H1590" i="18"/>
  <c r="I1587" i="18"/>
  <c r="H817" i="18"/>
  <c r="J813" i="18"/>
  <c r="J815" i="18" s="1"/>
  <c r="J819" i="18"/>
  <c r="Q813" i="18"/>
  <c r="Q815" i="18" s="1"/>
  <c r="I815" i="18"/>
  <c r="J720" i="18"/>
  <c r="J722" i="18" s="1"/>
  <c r="Q720" i="18"/>
  <c r="Q722" i="18" s="1"/>
  <c r="J726" i="18"/>
  <c r="H724" i="18"/>
  <c r="I722" i="18"/>
  <c r="H1499" i="18"/>
  <c r="J1495" i="18"/>
  <c r="J1497" i="18" s="1"/>
  <c r="Q1495" i="18"/>
  <c r="Q1497" i="18" s="1"/>
  <c r="J1501" i="18"/>
  <c r="I1497" i="18"/>
  <c r="H1869" i="18"/>
  <c r="I1866" i="18"/>
  <c r="H1094" i="18"/>
  <c r="I1091" i="18"/>
  <c r="H1931" i="18"/>
  <c r="I1928" i="18"/>
  <c r="H1652" i="18"/>
  <c r="I1649" i="18"/>
  <c r="J472" i="18"/>
  <c r="J474" i="18" s="1"/>
  <c r="J478" i="18"/>
  <c r="Q472" i="18"/>
  <c r="Q474" i="18" s="1"/>
  <c r="H476" i="18"/>
  <c r="I474" i="18"/>
  <c r="J1346" i="18"/>
  <c r="J1340" i="18"/>
  <c r="J1342" i="18" s="1"/>
  <c r="Q1340" i="18"/>
  <c r="Q1342" i="18" s="1"/>
  <c r="H1344" i="18"/>
  <c r="I1342" i="18"/>
  <c r="H104" i="18"/>
  <c r="J100" i="18"/>
  <c r="J102" i="18" s="1"/>
  <c r="J106" i="18"/>
  <c r="Q100" i="18"/>
  <c r="Q102" i="18" s="1"/>
  <c r="I102" i="18"/>
  <c r="H319" i="18"/>
  <c r="I316" i="18"/>
  <c r="Q906" i="18"/>
  <c r="Q908" i="18" s="1"/>
  <c r="J912" i="18"/>
  <c r="H910" i="18"/>
  <c r="J906" i="18"/>
  <c r="J908" i="18" s="1"/>
  <c r="I908" i="18"/>
  <c r="H383" i="18"/>
  <c r="J385" i="18"/>
  <c r="Q379" i="18"/>
  <c r="Q381" i="18" s="1"/>
  <c r="J379" i="18"/>
  <c r="J381" i="18" s="1"/>
  <c r="I381" i="18"/>
  <c r="J1780" i="18"/>
  <c r="J1774" i="18"/>
  <c r="J1776" i="18" s="1"/>
  <c r="H1778" i="18"/>
  <c r="Q1774" i="18"/>
  <c r="Q1776" i="18" s="1"/>
  <c r="I1776" i="18"/>
  <c r="H1838" i="18"/>
  <c r="I1835" i="18"/>
  <c r="H1220" i="18"/>
  <c r="J1216" i="18"/>
  <c r="J1218" i="18" s="1"/>
  <c r="J1222" i="18"/>
  <c r="Q1216" i="18"/>
  <c r="Q1218" i="18" s="1"/>
  <c r="I1218" i="18"/>
  <c r="H598" i="18"/>
  <c r="I595" i="18"/>
  <c r="H1900" i="18"/>
  <c r="I1897" i="18"/>
  <c r="H1249" i="18"/>
  <c r="I1246" i="18"/>
  <c r="J974" i="18"/>
  <c r="Q968" i="18"/>
  <c r="Q970" i="18" s="1"/>
  <c r="J968" i="18"/>
  <c r="J970" i="18" s="1"/>
  <c r="H972" i="18"/>
  <c r="I970" i="18"/>
  <c r="P31" i="18"/>
  <c r="I27" i="18"/>
  <c r="R28" i="18" s="1"/>
  <c r="H32" i="18" s="1"/>
  <c r="I38" i="18"/>
  <c r="P38" i="18" s="1"/>
  <c r="K38" i="18"/>
  <c r="Q69" i="18" l="1"/>
  <c r="Q71" i="18" s="1"/>
  <c r="R63" i="18" s="1"/>
  <c r="J69" i="18"/>
  <c r="J71" i="18" s="1"/>
  <c r="H73" i="18"/>
  <c r="I71" i="18"/>
  <c r="H1251" i="18"/>
  <c r="Q1247" i="18"/>
  <c r="Q1249" i="18" s="1"/>
  <c r="J1247" i="18"/>
  <c r="J1249" i="18" s="1"/>
  <c r="J1253" i="18"/>
  <c r="I1249" i="18"/>
  <c r="Q317" i="18"/>
  <c r="Q319" i="18" s="1"/>
  <c r="H321" i="18"/>
  <c r="J317" i="18"/>
  <c r="J319" i="18" s="1"/>
  <c r="J323" i="18"/>
  <c r="I319" i="18"/>
  <c r="R466" i="18"/>
  <c r="J477" i="18"/>
  <c r="I479" i="18" s="1"/>
  <c r="H1375" i="18"/>
  <c r="J1371" i="18"/>
  <c r="J1373" i="18" s="1"/>
  <c r="Q1371" i="18"/>
  <c r="Q1373" i="18" s="1"/>
  <c r="J1377" i="18"/>
  <c r="I1373" i="18"/>
  <c r="H631" i="18"/>
  <c r="Q627" i="18"/>
  <c r="Q629" i="18" s="1"/>
  <c r="J627" i="18"/>
  <c r="J629" i="18" s="1"/>
  <c r="J633" i="18"/>
  <c r="I629" i="18"/>
  <c r="J168" i="18"/>
  <c r="Q162" i="18"/>
  <c r="Q164" i="18" s="1"/>
  <c r="H166" i="18"/>
  <c r="J162" i="18"/>
  <c r="J164" i="18" s="1"/>
  <c r="I164" i="18"/>
  <c r="Q348" i="18"/>
  <c r="Q350" i="18" s="1"/>
  <c r="J354" i="18"/>
  <c r="J348" i="18"/>
  <c r="J350" i="18" s="1"/>
  <c r="H352" i="18"/>
  <c r="I350" i="18"/>
  <c r="H1964" i="18"/>
  <c r="Q1960" i="18"/>
  <c r="Q1962" i="18" s="1"/>
  <c r="J1960" i="18"/>
  <c r="J1962" i="18" s="1"/>
  <c r="J1966" i="18"/>
  <c r="I1962" i="18"/>
  <c r="Q596" i="18"/>
  <c r="Q598" i="18" s="1"/>
  <c r="J596" i="18"/>
  <c r="J598" i="18" s="1"/>
  <c r="J602" i="18"/>
  <c r="H600" i="18"/>
  <c r="I598" i="18"/>
  <c r="H1654" i="18"/>
  <c r="J1650" i="18"/>
  <c r="J1652" i="18" s="1"/>
  <c r="J1656" i="18"/>
  <c r="Q1650" i="18"/>
  <c r="Q1652" i="18" s="1"/>
  <c r="I1652" i="18"/>
  <c r="H507" i="18"/>
  <c r="J509" i="18"/>
  <c r="J503" i="18"/>
  <c r="J505" i="18" s="1"/>
  <c r="Q503" i="18"/>
  <c r="Q505" i="18" s="1"/>
  <c r="I505" i="18"/>
  <c r="R1551" i="18"/>
  <c r="J1562" i="18"/>
  <c r="I1564" i="18" s="1"/>
  <c r="H1716" i="18"/>
  <c r="J1712" i="18"/>
  <c r="J1714" i="18" s="1"/>
  <c r="J1718" i="18"/>
  <c r="Q1712" i="18"/>
  <c r="Q1714" i="18" s="1"/>
  <c r="I1714" i="18"/>
  <c r="J1407" i="18"/>
  <c r="I1409" i="18" s="1"/>
  <c r="R1396" i="18"/>
  <c r="J725" i="18"/>
  <c r="I727" i="18" s="1"/>
  <c r="R714" i="18"/>
  <c r="J291" i="18"/>
  <c r="I293" i="18" s="1"/>
  <c r="R280" i="18"/>
  <c r="R869" i="18"/>
  <c r="J880" i="18"/>
  <c r="I882" i="18" s="1"/>
  <c r="H1933" i="18"/>
  <c r="J1929" i="18"/>
  <c r="J1931" i="18" s="1"/>
  <c r="J1935" i="18"/>
  <c r="Q1929" i="18"/>
  <c r="Q1931" i="18" s="1"/>
  <c r="I1931" i="18"/>
  <c r="J193" i="18"/>
  <c r="J195" i="18" s="1"/>
  <c r="J199" i="18"/>
  <c r="H197" i="18"/>
  <c r="Q193" i="18"/>
  <c r="Q195" i="18" s="1"/>
  <c r="I195" i="18"/>
  <c r="H2026" i="18"/>
  <c r="Q2022" i="18"/>
  <c r="Q2024" i="18" s="1"/>
  <c r="J2022" i="18"/>
  <c r="J2024" i="18" s="1"/>
  <c r="J2028" i="18"/>
  <c r="I2024" i="18"/>
  <c r="H848" i="18"/>
  <c r="J844" i="18"/>
  <c r="J846" i="18" s="1"/>
  <c r="J850" i="18"/>
  <c r="Q844" i="18"/>
  <c r="Q846" i="18" s="1"/>
  <c r="I846" i="18"/>
  <c r="J1810" i="18"/>
  <c r="I1812" i="18" s="1"/>
  <c r="R1799" i="18"/>
  <c r="J105" i="18"/>
  <c r="I107" i="18" s="1"/>
  <c r="R94" i="18"/>
  <c r="R1210" i="18"/>
  <c r="J1221" i="18"/>
  <c r="I1223" i="18" s="1"/>
  <c r="J1066" i="18"/>
  <c r="I1068" i="18" s="1"/>
  <c r="R1055" i="18"/>
  <c r="H1096" i="18"/>
  <c r="J1092" i="18"/>
  <c r="J1094" i="18" s="1"/>
  <c r="Q1092" i="18"/>
  <c r="Q1094" i="18" s="1"/>
  <c r="J1098" i="18"/>
  <c r="I1094" i="18"/>
  <c r="J1315" i="18"/>
  <c r="Q1309" i="18"/>
  <c r="Q1311" i="18" s="1"/>
  <c r="H1313" i="18"/>
  <c r="J1309" i="18"/>
  <c r="J1311" i="18" s="1"/>
  <c r="I1311" i="18"/>
  <c r="H1003" i="18"/>
  <c r="Q999" i="18"/>
  <c r="Q1001" i="18" s="1"/>
  <c r="J999" i="18"/>
  <c r="J1001" i="18" s="1"/>
  <c r="J1005" i="18"/>
  <c r="I1001" i="18"/>
  <c r="H1189" i="18"/>
  <c r="J1185" i="18"/>
  <c r="J1187" i="18" s="1"/>
  <c r="Q1185" i="18"/>
  <c r="Q1187" i="18" s="1"/>
  <c r="J1191" i="18"/>
  <c r="I1187" i="18"/>
  <c r="J1284" i="18"/>
  <c r="J1278" i="18"/>
  <c r="J1280" i="18" s="1"/>
  <c r="Q1278" i="18"/>
  <c r="Q1280" i="18" s="1"/>
  <c r="H1282" i="18"/>
  <c r="I1280" i="18"/>
  <c r="R931" i="18"/>
  <c r="J942" i="18"/>
  <c r="I944" i="18" s="1"/>
  <c r="J818" i="18"/>
  <c r="I820" i="18" s="1"/>
  <c r="R807" i="18"/>
  <c r="R745" i="18"/>
  <c r="J756" i="18"/>
  <c r="I758" i="18" s="1"/>
  <c r="J1129" i="18"/>
  <c r="J1123" i="18"/>
  <c r="J1125" i="18" s="1"/>
  <c r="H1127" i="18"/>
  <c r="Q1123" i="18"/>
  <c r="Q1125" i="18" s="1"/>
  <c r="I1125" i="18"/>
  <c r="R1334" i="18"/>
  <c r="J1345" i="18"/>
  <c r="I1347" i="18" s="1"/>
  <c r="H1871" i="18"/>
  <c r="J1867" i="18"/>
  <c r="J1869" i="18" s="1"/>
  <c r="J1873" i="18"/>
  <c r="Q1867" i="18"/>
  <c r="Q1869" i="18" s="1"/>
  <c r="I1869" i="18"/>
  <c r="R404" i="18"/>
  <c r="J415" i="18"/>
  <c r="I417" i="18" s="1"/>
  <c r="R652" i="18"/>
  <c r="J663" i="18"/>
  <c r="I665" i="18" s="1"/>
  <c r="H1747" i="18"/>
  <c r="J1743" i="18"/>
  <c r="J1745" i="18" s="1"/>
  <c r="Q1743" i="18"/>
  <c r="Q1745" i="18" s="1"/>
  <c r="J1749" i="18"/>
  <c r="I1745" i="18"/>
  <c r="H1158" i="18"/>
  <c r="J1154" i="18"/>
  <c r="J1156" i="18" s="1"/>
  <c r="Q1154" i="18"/>
  <c r="Q1156" i="18" s="1"/>
  <c r="J1160" i="18"/>
  <c r="I1156" i="18"/>
  <c r="H1468" i="18"/>
  <c r="Q1464" i="18"/>
  <c r="Q1466" i="18" s="1"/>
  <c r="J1464" i="18"/>
  <c r="J1466" i="18" s="1"/>
  <c r="J1470" i="18"/>
  <c r="I1466" i="18"/>
  <c r="R683" i="18"/>
  <c r="J694" i="18"/>
  <c r="I696" i="18" s="1"/>
  <c r="H1902" i="18"/>
  <c r="Q1898" i="18"/>
  <c r="Q1900" i="18" s="1"/>
  <c r="J1898" i="18"/>
  <c r="J1900" i="18" s="1"/>
  <c r="J1904" i="18"/>
  <c r="I1900" i="18"/>
  <c r="J224" i="18"/>
  <c r="J226" i="18" s="1"/>
  <c r="J230" i="18"/>
  <c r="H228" i="18"/>
  <c r="Q224" i="18"/>
  <c r="Q226" i="18" s="1"/>
  <c r="I226" i="18"/>
  <c r="J1842" i="18"/>
  <c r="Q1836" i="18"/>
  <c r="Q1838" i="18" s="1"/>
  <c r="H1840" i="18"/>
  <c r="J1836" i="18"/>
  <c r="J1838" i="18" s="1"/>
  <c r="I1838" i="18"/>
  <c r="J1625" i="18"/>
  <c r="H1623" i="18"/>
  <c r="Q1619" i="18"/>
  <c r="Q1621" i="18" s="1"/>
  <c r="J1619" i="18"/>
  <c r="J1621" i="18" s="1"/>
  <c r="I1621" i="18"/>
  <c r="J570" i="18"/>
  <c r="I572" i="18" s="1"/>
  <c r="R559" i="18"/>
  <c r="H135" i="18"/>
  <c r="J131" i="18"/>
  <c r="J133" i="18" s="1"/>
  <c r="J137" i="18"/>
  <c r="Q131" i="18"/>
  <c r="Q133" i="18" s="1"/>
  <c r="I133" i="18"/>
  <c r="R1768" i="18"/>
  <c r="J1779" i="18"/>
  <c r="I1781" i="18" s="1"/>
  <c r="R373" i="18"/>
  <c r="J384" i="18"/>
  <c r="I386" i="18" s="1"/>
  <c r="R962" i="18"/>
  <c r="J973" i="18"/>
  <c r="I975" i="18" s="1"/>
  <c r="J1531" i="18"/>
  <c r="I1533" i="18" s="1"/>
  <c r="R1520" i="18"/>
  <c r="R249" i="18"/>
  <c r="J260" i="18"/>
  <c r="I262" i="18" s="1"/>
  <c r="J911" i="18"/>
  <c r="I913" i="18" s="1"/>
  <c r="R900" i="18"/>
  <c r="R1489" i="18"/>
  <c r="J1500" i="18"/>
  <c r="I1502" i="18" s="1"/>
  <c r="H1592" i="18"/>
  <c r="J1588" i="18"/>
  <c r="J1590" i="18" s="1"/>
  <c r="Q1588" i="18"/>
  <c r="Q1590" i="18" s="1"/>
  <c r="J1594" i="18"/>
  <c r="I1590" i="18"/>
  <c r="Q441" i="18"/>
  <c r="Q443" i="18" s="1"/>
  <c r="J447" i="18"/>
  <c r="J441" i="18"/>
  <c r="J443" i="18" s="1"/>
  <c r="H445" i="18"/>
  <c r="I443" i="18"/>
  <c r="J1681" i="18"/>
  <c r="J1683" i="18" s="1"/>
  <c r="Q1681" i="18"/>
  <c r="Q1683" i="18" s="1"/>
  <c r="J1687" i="18"/>
  <c r="H1685" i="18"/>
  <c r="I1683" i="18"/>
  <c r="J1991" i="18"/>
  <c r="J1993" i="18" s="1"/>
  <c r="J1997" i="18"/>
  <c r="Q1991" i="18"/>
  <c r="Q1993" i="18" s="1"/>
  <c r="H1995" i="18"/>
  <c r="I1993" i="18"/>
  <c r="H1437" i="18"/>
  <c r="J1433" i="18"/>
  <c r="J1435" i="18" s="1"/>
  <c r="Q1433" i="18"/>
  <c r="Q1435" i="18" s="1"/>
  <c r="J1439" i="18"/>
  <c r="I1435" i="18"/>
  <c r="H786" i="18"/>
  <c r="Q782" i="18"/>
  <c r="Q784" i="18" s="1"/>
  <c r="J782" i="18"/>
  <c r="J784" i="18" s="1"/>
  <c r="J788" i="18"/>
  <c r="I784" i="18"/>
  <c r="H538" i="18"/>
  <c r="J534" i="18"/>
  <c r="J536" i="18" s="1"/>
  <c r="J540" i="18"/>
  <c r="Q534" i="18"/>
  <c r="Q536" i="18" s="1"/>
  <c r="I536" i="18"/>
  <c r="R1024" i="18"/>
  <c r="J1035" i="18"/>
  <c r="I1037" i="18" s="1"/>
  <c r="J27" i="18"/>
  <c r="I25" i="18"/>
  <c r="P37" i="18"/>
  <c r="P40" i="18" s="1"/>
  <c r="J74" i="18" l="1"/>
  <c r="I76" i="18" s="1"/>
  <c r="V76" i="18" s="1"/>
  <c r="W76" i="18" s="1"/>
  <c r="V975" i="18"/>
  <c r="W975" i="18" s="1"/>
  <c r="Q975" i="18"/>
  <c r="Q974" i="18" s="1"/>
  <c r="Q973" i="18" s="1"/>
  <c r="R1613" i="18"/>
  <c r="J1624" i="18"/>
  <c r="I1626" i="18" s="1"/>
  <c r="V386" i="18"/>
  <c r="W386" i="18" s="1"/>
  <c r="Q386" i="18"/>
  <c r="Q385" i="18" s="1"/>
  <c r="Q384" i="18" s="1"/>
  <c r="R993" i="18"/>
  <c r="J1004" i="18"/>
  <c r="I1006" i="18" s="1"/>
  <c r="V1223" i="18"/>
  <c r="W1223" i="18" s="1"/>
  <c r="Q1223" i="18"/>
  <c r="Q1222" i="18" s="1"/>
  <c r="Q1221" i="18" s="1"/>
  <c r="R2016" i="18"/>
  <c r="J2027" i="18"/>
  <c r="I2029" i="18" s="1"/>
  <c r="R497" i="18"/>
  <c r="J508" i="18"/>
  <c r="I510" i="18" s="1"/>
  <c r="R156" i="18"/>
  <c r="J167" i="18"/>
  <c r="I169" i="18" s="1"/>
  <c r="V1533" i="18"/>
  <c r="W1533" i="18" s="1"/>
  <c r="Q1533" i="18"/>
  <c r="Q1532" i="18" s="1"/>
  <c r="Q1531" i="18" s="1"/>
  <c r="R528" i="18"/>
  <c r="J539" i="18"/>
  <c r="I541" i="18" s="1"/>
  <c r="R1985" i="18"/>
  <c r="J1996" i="18"/>
  <c r="I1998" i="18" s="1"/>
  <c r="V293" i="18"/>
  <c r="W293" i="18" s="1"/>
  <c r="Q293" i="18"/>
  <c r="Q292" i="18" s="1"/>
  <c r="Q291" i="18" s="1"/>
  <c r="V820" i="18"/>
  <c r="W820" i="18" s="1"/>
  <c r="Q820" i="18"/>
  <c r="Q819" i="18" s="1"/>
  <c r="Q818" i="18" s="1"/>
  <c r="R1892" i="18"/>
  <c r="J1903" i="18"/>
  <c r="I1905" i="18" s="1"/>
  <c r="V1347" i="18"/>
  <c r="W1347" i="18" s="1"/>
  <c r="Q1347" i="18"/>
  <c r="Q1346" i="18" s="1"/>
  <c r="Q1345" i="18" s="1"/>
  <c r="R1582" i="18"/>
  <c r="J1593" i="18"/>
  <c r="I1595" i="18" s="1"/>
  <c r="R1272" i="18"/>
  <c r="J1283" i="18"/>
  <c r="I1285" i="18" s="1"/>
  <c r="V107" i="18"/>
  <c r="W107" i="18" s="1"/>
  <c r="Q107" i="18"/>
  <c r="Q106" i="18" s="1"/>
  <c r="Q105" i="18" s="1"/>
  <c r="V727" i="18"/>
  <c r="W727" i="18" s="1"/>
  <c r="Q727" i="18"/>
  <c r="Q726" i="18" s="1"/>
  <c r="Q725" i="18" s="1"/>
  <c r="V1068" i="18"/>
  <c r="W1068" i="18" s="1"/>
  <c r="Q1068" i="18"/>
  <c r="Q1067" i="18" s="1"/>
  <c r="Q1066" i="18" s="1"/>
  <c r="V696" i="18"/>
  <c r="W696" i="18" s="1"/>
  <c r="Q696" i="18"/>
  <c r="Q695" i="18" s="1"/>
  <c r="Q694" i="18" s="1"/>
  <c r="R187" i="18"/>
  <c r="J198" i="18"/>
  <c r="I200" i="18" s="1"/>
  <c r="J1965" i="18"/>
  <c r="I1967" i="18" s="1"/>
  <c r="R1954" i="18"/>
  <c r="R1861" i="18"/>
  <c r="J1872" i="18"/>
  <c r="I1874" i="18" s="1"/>
  <c r="J1159" i="18"/>
  <c r="I1161" i="18" s="1"/>
  <c r="R1148" i="18"/>
  <c r="R1737" i="18"/>
  <c r="J1748" i="18"/>
  <c r="I1750" i="18" s="1"/>
  <c r="V1812" i="18"/>
  <c r="W1812" i="18" s="1"/>
  <c r="Q1812" i="18"/>
  <c r="Q1811" i="18" s="1"/>
  <c r="Q1810" i="18" s="1"/>
  <c r="V1409" i="18"/>
  <c r="W1409" i="18" s="1"/>
  <c r="Q1409" i="18"/>
  <c r="Q1408" i="18" s="1"/>
  <c r="Q1407" i="18" s="1"/>
  <c r="R311" i="18"/>
  <c r="J322" i="18"/>
  <c r="I324" i="18" s="1"/>
  <c r="V1502" i="18"/>
  <c r="W1502" i="18" s="1"/>
  <c r="Q1502" i="18"/>
  <c r="Q1501" i="18" s="1"/>
  <c r="Q1500" i="18" s="1"/>
  <c r="R125" i="18"/>
  <c r="J136" i="18"/>
  <c r="I138" i="18" s="1"/>
  <c r="R1830" i="18"/>
  <c r="J1841" i="18"/>
  <c r="I1843" i="18" s="1"/>
  <c r="R1117" i="18"/>
  <c r="J1128" i="18"/>
  <c r="I1130" i="18" s="1"/>
  <c r="J1314" i="18"/>
  <c r="I1316" i="18" s="1"/>
  <c r="R1303" i="18"/>
  <c r="R1644" i="18"/>
  <c r="J1655" i="18"/>
  <c r="I1657" i="18" s="1"/>
  <c r="R621" i="18"/>
  <c r="J632" i="18"/>
  <c r="I634" i="18" s="1"/>
  <c r="V1564" i="18"/>
  <c r="W1564" i="18" s="1"/>
  <c r="Q1564" i="18"/>
  <c r="Q1563" i="18" s="1"/>
  <c r="Q1562" i="18" s="1"/>
  <c r="V882" i="18"/>
  <c r="W882" i="18" s="1"/>
  <c r="Q882" i="18"/>
  <c r="Q881" i="18" s="1"/>
  <c r="Q880" i="18" s="1"/>
  <c r="R1675" i="18"/>
  <c r="J1686" i="18"/>
  <c r="I1688" i="18" s="1"/>
  <c r="V665" i="18"/>
  <c r="W665" i="18" s="1"/>
  <c r="Q665" i="18"/>
  <c r="Q664" i="18" s="1"/>
  <c r="Q663" i="18" s="1"/>
  <c r="R838" i="18"/>
  <c r="J849" i="18"/>
  <c r="I851" i="18" s="1"/>
  <c r="R1706" i="18"/>
  <c r="J1717" i="18"/>
  <c r="I1719" i="18" s="1"/>
  <c r="V944" i="18"/>
  <c r="W944" i="18" s="1"/>
  <c r="Q944" i="18"/>
  <c r="Q943" i="18" s="1"/>
  <c r="Q942" i="18" s="1"/>
  <c r="J601" i="18"/>
  <c r="I603" i="18" s="1"/>
  <c r="R590" i="18"/>
  <c r="V913" i="18"/>
  <c r="W913" i="18" s="1"/>
  <c r="Q913" i="18"/>
  <c r="Q912" i="18" s="1"/>
  <c r="Q911" i="18" s="1"/>
  <c r="R1179" i="18"/>
  <c r="J1190" i="18"/>
  <c r="I1192" i="18" s="1"/>
  <c r="R435" i="18"/>
  <c r="J446" i="18"/>
  <c r="I448" i="18" s="1"/>
  <c r="V262" i="18"/>
  <c r="W262" i="18" s="1"/>
  <c r="Q262" i="18"/>
  <c r="Q261" i="18" s="1"/>
  <c r="Q260" i="18" s="1"/>
  <c r="J229" i="18"/>
  <c r="I231" i="18" s="1"/>
  <c r="R218" i="18"/>
  <c r="R1458" i="18"/>
  <c r="J1469" i="18"/>
  <c r="I1471" i="18" s="1"/>
  <c r="V417" i="18"/>
  <c r="W417" i="18" s="1"/>
  <c r="Q417" i="18"/>
  <c r="Q416" i="18" s="1"/>
  <c r="Q415" i="18" s="1"/>
  <c r="V758" i="18"/>
  <c r="W758" i="18" s="1"/>
  <c r="Q758" i="18"/>
  <c r="Q757" i="18" s="1"/>
  <c r="Q756" i="18" s="1"/>
  <c r="R1923" i="18"/>
  <c r="J1934" i="18"/>
  <c r="I1936" i="18" s="1"/>
  <c r="J1252" i="18"/>
  <c r="I1254" i="18" s="1"/>
  <c r="R1241" i="18"/>
  <c r="V479" i="18"/>
  <c r="W479" i="18" s="1"/>
  <c r="Q479" i="18"/>
  <c r="Q478" i="18" s="1"/>
  <c r="Q477" i="18" s="1"/>
  <c r="V1781" i="18"/>
  <c r="W1781" i="18" s="1"/>
  <c r="Q1781" i="18"/>
  <c r="Q1780" i="18" s="1"/>
  <c r="Q1779" i="18" s="1"/>
  <c r="J787" i="18"/>
  <c r="I789" i="18" s="1"/>
  <c r="R776" i="18"/>
  <c r="V1037" i="18"/>
  <c r="W1037" i="18" s="1"/>
  <c r="Q1037" i="18"/>
  <c r="Q1036" i="18" s="1"/>
  <c r="Q1035" i="18" s="1"/>
  <c r="R1427" i="18"/>
  <c r="J1438" i="18"/>
  <c r="I1440" i="18" s="1"/>
  <c r="V572" i="18"/>
  <c r="W572" i="18" s="1"/>
  <c r="Q572" i="18"/>
  <c r="Q571" i="18" s="1"/>
  <c r="Q570" i="18" s="1"/>
  <c r="R1086" i="18"/>
  <c r="J1097" i="18"/>
  <c r="I1099" i="18" s="1"/>
  <c r="J353" i="18"/>
  <c r="I355" i="18" s="1"/>
  <c r="R342" i="18"/>
  <c r="R1365" i="18"/>
  <c r="J1376" i="18"/>
  <c r="I1378" i="18" s="1"/>
  <c r="J25" i="18"/>
  <c r="J28" i="18" s="1"/>
  <c r="I28" i="18"/>
  <c r="H35" i="18"/>
  <c r="J32" i="18"/>
  <c r="R26" i="18"/>
  <c r="Q76" i="18" l="1"/>
  <c r="Q75" i="18" s="1"/>
  <c r="Q74" i="18" s="1"/>
  <c r="X470" i="18"/>
  <c r="X469" i="18"/>
  <c r="X468" i="18"/>
  <c r="X465" i="18"/>
  <c r="V1967" i="18"/>
  <c r="W1967" i="18" s="1"/>
  <c r="Q1967" i="18"/>
  <c r="Q1966" i="18" s="1"/>
  <c r="Q1965" i="18" s="1"/>
  <c r="X1333" i="18"/>
  <c r="X1337" i="18"/>
  <c r="X1336" i="18"/>
  <c r="X1338" i="18"/>
  <c r="V200" i="18"/>
  <c r="W200" i="18" s="1"/>
  <c r="Q200" i="18"/>
  <c r="Q199" i="18" s="1"/>
  <c r="Q198" i="18" s="1"/>
  <c r="V1905" i="18"/>
  <c r="W1905" i="18" s="1"/>
  <c r="Q1905" i="18"/>
  <c r="Q1904" i="18" s="1"/>
  <c r="Q1903" i="18" s="1"/>
  <c r="V2029" i="18"/>
  <c r="W2029" i="18" s="1"/>
  <c r="Q2029" i="18"/>
  <c r="Q2028" i="18" s="1"/>
  <c r="Q2027" i="18" s="1"/>
  <c r="V138" i="18"/>
  <c r="W138" i="18" s="1"/>
  <c r="Q138" i="18"/>
  <c r="Q137" i="18" s="1"/>
  <c r="Q136" i="18" s="1"/>
  <c r="V355" i="18"/>
  <c r="W355" i="18" s="1"/>
  <c r="Q355" i="18"/>
  <c r="Q354" i="18" s="1"/>
  <c r="Q353" i="18" s="1"/>
  <c r="V1254" i="18"/>
  <c r="W1254" i="18" s="1"/>
  <c r="Q1254" i="18"/>
  <c r="Q1253" i="18" s="1"/>
  <c r="Q1252" i="18" s="1"/>
  <c r="X868" i="18"/>
  <c r="X872" i="18"/>
  <c r="X873" i="18"/>
  <c r="X871" i="18"/>
  <c r="X1493" i="18"/>
  <c r="X1491" i="18"/>
  <c r="X1492" i="18"/>
  <c r="X1488" i="18"/>
  <c r="X651" i="18"/>
  <c r="X655" i="18"/>
  <c r="X654" i="18"/>
  <c r="X656" i="18"/>
  <c r="V324" i="18"/>
  <c r="W324" i="18" s="1"/>
  <c r="Q324" i="18"/>
  <c r="Q323" i="18" s="1"/>
  <c r="Q322" i="18" s="1"/>
  <c r="X1770" i="18"/>
  <c r="X1772" i="18"/>
  <c r="X1771" i="18"/>
  <c r="X1767" i="18"/>
  <c r="V1936" i="18"/>
  <c r="W1936" i="18" s="1"/>
  <c r="Q1936" i="18"/>
  <c r="Q1935" i="18" s="1"/>
  <c r="Q1934" i="18" s="1"/>
  <c r="X902" i="18"/>
  <c r="X904" i="18"/>
  <c r="X903" i="18"/>
  <c r="X899" i="18"/>
  <c r="X1554" i="18"/>
  <c r="X1553" i="18"/>
  <c r="X1555" i="18"/>
  <c r="X1550" i="18"/>
  <c r="X682" i="18"/>
  <c r="X686" i="18"/>
  <c r="X685" i="18"/>
  <c r="X687" i="18"/>
  <c r="X810" i="18"/>
  <c r="X809" i="18"/>
  <c r="X811" i="18"/>
  <c r="X806" i="18"/>
  <c r="X1213" i="18"/>
  <c r="X1214" i="18"/>
  <c r="X1212" i="18"/>
  <c r="X1209" i="18"/>
  <c r="V1006" i="18"/>
  <c r="W1006" i="18" s="1"/>
  <c r="Q1006" i="18"/>
  <c r="Q1005" i="18" s="1"/>
  <c r="Q1004" i="18" s="1"/>
  <c r="V603" i="18"/>
  <c r="W603" i="18" s="1"/>
  <c r="Q603" i="18"/>
  <c r="Q602" i="18" s="1"/>
  <c r="Q601" i="18" s="1"/>
  <c r="X1395" i="18"/>
  <c r="X1400" i="18"/>
  <c r="X1399" i="18"/>
  <c r="X1398" i="18"/>
  <c r="X1059" i="18"/>
  <c r="X1054" i="18"/>
  <c r="X1057" i="18"/>
  <c r="X1058" i="18"/>
  <c r="X284" i="18"/>
  <c r="X282" i="18"/>
  <c r="X283" i="18"/>
  <c r="X279" i="18"/>
  <c r="V1688" i="18"/>
  <c r="W1688" i="18" s="1"/>
  <c r="Q1688" i="18"/>
  <c r="Q1687" i="18" s="1"/>
  <c r="Q1686" i="18" s="1"/>
  <c r="V1657" i="18"/>
  <c r="W1657" i="18" s="1"/>
  <c r="Q1657" i="18"/>
  <c r="Q1656" i="18" s="1"/>
  <c r="Q1655" i="18" s="1"/>
  <c r="V1998" i="18"/>
  <c r="W1998" i="18" s="1"/>
  <c r="Q1998" i="18"/>
  <c r="Q1997" i="18" s="1"/>
  <c r="Q1996" i="18" s="1"/>
  <c r="V1843" i="18"/>
  <c r="W1843" i="18" s="1"/>
  <c r="Q1843" i="18"/>
  <c r="Q1842" i="18" s="1"/>
  <c r="Q1841" i="18" s="1"/>
  <c r="V1099" i="18"/>
  <c r="W1099" i="18" s="1"/>
  <c r="Q1099" i="18"/>
  <c r="Q1098" i="18" s="1"/>
  <c r="Q1097" i="18" s="1"/>
  <c r="X407" i="18"/>
  <c r="X406" i="18"/>
  <c r="X408" i="18"/>
  <c r="X403" i="18"/>
  <c r="X935" i="18"/>
  <c r="X930" i="18"/>
  <c r="X933" i="18"/>
  <c r="X934" i="18"/>
  <c r="X1802" i="18"/>
  <c r="X1801" i="18"/>
  <c r="X1803" i="18"/>
  <c r="X1798" i="18"/>
  <c r="X713" i="18"/>
  <c r="X717" i="18"/>
  <c r="X716" i="18"/>
  <c r="X718" i="18"/>
  <c r="X372" i="18"/>
  <c r="X376" i="18"/>
  <c r="X375" i="18"/>
  <c r="X377" i="18"/>
  <c r="V510" i="18"/>
  <c r="W510" i="18" s="1"/>
  <c r="Q510" i="18"/>
  <c r="Q509" i="18" s="1"/>
  <c r="Q508" i="18" s="1"/>
  <c r="V1471" i="18"/>
  <c r="W1471" i="18" s="1"/>
  <c r="Q1471" i="18"/>
  <c r="Q1470" i="18" s="1"/>
  <c r="Q1469" i="18" s="1"/>
  <c r="V1750" i="18"/>
  <c r="W1750" i="18" s="1"/>
  <c r="Q1750" i="18"/>
  <c r="Q1749" i="18" s="1"/>
  <c r="Q1748" i="18" s="1"/>
  <c r="V541" i="18"/>
  <c r="W541" i="18" s="1"/>
  <c r="Q541" i="18"/>
  <c r="Q540" i="18" s="1"/>
  <c r="Q539" i="18" s="1"/>
  <c r="V1626" i="18"/>
  <c r="W1626" i="18" s="1"/>
  <c r="Q1626" i="18"/>
  <c r="Q1625" i="18" s="1"/>
  <c r="Q1624" i="18" s="1"/>
  <c r="V1874" i="18"/>
  <c r="W1874" i="18" s="1"/>
  <c r="Q1874" i="18"/>
  <c r="Q1873" i="18" s="1"/>
  <c r="Q1872" i="18" s="1"/>
  <c r="V448" i="18"/>
  <c r="W448" i="18" s="1"/>
  <c r="Q448" i="18"/>
  <c r="Q447" i="18" s="1"/>
  <c r="Q446" i="18" s="1"/>
  <c r="V1192" i="18"/>
  <c r="W1192" i="18" s="1"/>
  <c r="Q1192" i="18"/>
  <c r="Q1191" i="18" s="1"/>
  <c r="Q1190" i="18" s="1"/>
  <c r="V1440" i="18"/>
  <c r="W1440" i="18" s="1"/>
  <c r="Q1440" i="18"/>
  <c r="Q1439" i="18" s="1"/>
  <c r="Q1438" i="18" s="1"/>
  <c r="V1719" i="18"/>
  <c r="W1719" i="18" s="1"/>
  <c r="Q1719" i="18"/>
  <c r="Q1718" i="18" s="1"/>
  <c r="Q1717" i="18" s="1"/>
  <c r="X1028" i="18"/>
  <c r="X1023" i="18"/>
  <c r="X1026" i="18"/>
  <c r="X1027" i="18"/>
  <c r="V1316" i="18"/>
  <c r="W1316" i="18" s="1"/>
  <c r="Q1316" i="18"/>
  <c r="Q1315" i="18" s="1"/>
  <c r="Q1314" i="18" s="1"/>
  <c r="X98" i="18"/>
  <c r="X93" i="18"/>
  <c r="X96" i="18"/>
  <c r="X97" i="18"/>
  <c r="V1595" i="18"/>
  <c r="W1595" i="18" s="1"/>
  <c r="Q1595" i="18"/>
  <c r="Q1594" i="18" s="1"/>
  <c r="Q1593" i="18" s="1"/>
  <c r="V1378" i="18"/>
  <c r="W1378" i="18" s="1"/>
  <c r="Q1378" i="18"/>
  <c r="Q1377" i="18" s="1"/>
  <c r="Q1376" i="18" s="1"/>
  <c r="V851" i="18"/>
  <c r="W851" i="18" s="1"/>
  <c r="Q851" i="18"/>
  <c r="Q850" i="18" s="1"/>
  <c r="Q849" i="18" s="1"/>
  <c r="V1130" i="18"/>
  <c r="W1130" i="18" s="1"/>
  <c r="Q1130" i="18"/>
  <c r="Q1129" i="18" s="1"/>
  <c r="Q1128" i="18" s="1"/>
  <c r="V1285" i="18"/>
  <c r="W1285" i="18" s="1"/>
  <c r="Q1285" i="18"/>
  <c r="Q1284" i="18" s="1"/>
  <c r="Q1283" i="18" s="1"/>
  <c r="V169" i="18"/>
  <c r="W169" i="18" s="1"/>
  <c r="Q169" i="18"/>
  <c r="Q168" i="18" s="1"/>
  <c r="Q167" i="18" s="1"/>
  <c r="X253" i="18"/>
  <c r="X248" i="18"/>
  <c r="X252" i="18"/>
  <c r="X251" i="18"/>
  <c r="V634" i="18"/>
  <c r="W634" i="18" s="1"/>
  <c r="Q634" i="18"/>
  <c r="Q633" i="18" s="1"/>
  <c r="Q632" i="18" s="1"/>
  <c r="X561" i="18"/>
  <c r="X562" i="18"/>
  <c r="X563" i="18"/>
  <c r="X558" i="18"/>
  <c r="X749" i="18"/>
  <c r="X748" i="18"/>
  <c r="X747" i="18"/>
  <c r="X744" i="18"/>
  <c r="V789" i="18"/>
  <c r="W789" i="18" s="1"/>
  <c r="Q789" i="18"/>
  <c r="Q788" i="18" s="1"/>
  <c r="Q787" i="18" s="1"/>
  <c r="V231" i="18"/>
  <c r="W231" i="18" s="1"/>
  <c r="Q231" i="18"/>
  <c r="Q230" i="18" s="1"/>
  <c r="Q229" i="18" s="1"/>
  <c r="V1161" i="18"/>
  <c r="W1161" i="18" s="1"/>
  <c r="Q1161" i="18"/>
  <c r="Q1160" i="18" s="1"/>
  <c r="Q1159" i="18" s="1"/>
  <c r="X1519" i="18"/>
  <c r="X1522" i="18"/>
  <c r="X1523" i="18"/>
  <c r="X1524" i="18"/>
  <c r="X965" i="18"/>
  <c r="X961" i="18"/>
  <c r="X964" i="18"/>
  <c r="X966" i="18"/>
  <c r="X67" i="18"/>
  <c r="X62" i="18"/>
  <c r="X66" i="18"/>
  <c r="X65" i="18"/>
  <c r="Q31" i="18"/>
  <c r="Q37" i="18" s="1"/>
  <c r="J31" i="18"/>
  <c r="H31" i="18"/>
  <c r="I35" i="18"/>
  <c r="K35" i="18"/>
  <c r="J35" i="18"/>
  <c r="K32" i="18"/>
  <c r="I32" i="18"/>
  <c r="X820" i="18" l="1"/>
  <c r="X913" i="18"/>
  <c r="X293" i="18"/>
  <c r="X1502" i="18"/>
  <c r="X572" i="18"/>
  <c r="X1223" i="18"/>
  <c r="X975" i="18"/>
  <c r="X758" i="18"/>
  <c r="X1812" i="18"/>
  <c r="X479" i="18"/>
  <c r="X417" i="18"/>
  <c r="X1068" i="18"/>
  <c r="X107" i="18"/>
  <c r="X837" i="18"/>
  <c r="X841" i="18"/>
  <c r="X840" i="18"/>
  <c r="X842" i="18"/>
  <c r="X1364" i="18"/>
  <c r="X1369" i="18"/>
  <c r="X1368" i="18"/>
  <c r="X1367" i="18"/>
  <c r="X1430" i="18"/>
  <c r="X1429" i="18"/>
  <c r="X1431" i="18"/>
  <c r="X1426" i="18"/>
  <c r="X500" i="18"/>
  <c r="X496" i="18"/>
  <c r="X499" i="18"/>
  <c r="X501" i="18"/>
  <c r="X1896" i="18"/>
  <c r="X1891" i="18"/>
  <c r="X1895" i="18"/>
  <c r="X1894" i="18"/>
  <c r="X1533" i="18"/>
  <c r="X624" i="18"/>
  <c r="X623" i="18"/>
  <c r="X625" i="18"/>
  <c r="X620" i="18"/>
  <c r="X1581" i="18"/>
  <c r="X1585" i="18"/>
  <c r="X1584" i="18"/>
  <c r="X1586" i="18"/>
  <c r="X1183" i="18"/>
  <c r="X1182" i="18"/>
  <c r="X1181" i="18"/>
  <c r="X1178" i="18"/>
  <c r="X189" i="18"/>
  <c r="X191" i="18"/>
  <c r="X186" i="18"/>
  <c r="X190" i="18"/>
  <c r="X437" i="18"/>
  <c r="X434" i="18"/>
  <c r="X438" i="18"/>
  <c r="X439" i="18"/>
  <c r="X386" i="18"/>
  <c r="X1925" i="18"/>
  <c r="X1927" i="18"/>
  <c r="X1922" i="18"/>
  <c r="X1926" i="18"/>
  <c r="X1678" i="18"/>
  <c r="X1677" i="18"/>
  <c r="X1679" i="18"/>
  <c r="X1674" i="18"/>
  <c r="X1781" i="18"/>
  <c r="X2018" i="18"/>
  <c r="X2020" i="18"/>
  <c r="X2015" i="18"/>
  <c r="X2019" i="18"/>
  <c r="X1860" i="18"/>
  <c r="X1864" i="18"/>
  <c r="X1863" i="18"/>
  <c r="X1865" i="18"/>
  <c r="X1085" i="18"/>
  <c r="X1089" i="18"/>
  <c r="X1090" i="18"/>
  <c r="X1088" i="18"/>
  <c r="X882" i="18"/>
  <c r="X1347" i="18"/>
  <c r="X1462" i="18"/>
  <c r="X1457" i="18"/>
  <c r="X1461" i="18"/>
  <c r="X1460" i="18"/>
  <c r="X944" i="18"/>
  <c r="X665" i="18"/>
  <c r="X222" i="18"/>
  <c r="X221" i="18"/>
  <c r="X217" i="18"/>
  <c r="X220" i="18"/>
  <c r="X780" i="18"/>
  <c r="X778" i="18"/>
  <c r="X775" i="18"/>
  <c r="X779" i="18"/>
  <c r="X158" i="18"/>
  <c r="X160" i="18"/>
  <c r="X155" i="18"/>
  <c r="X159" i="18"/>
  <c r="X1306" i="18"/>
  <c r="X1305" i="18"/>
  <c r="X1307" i="18"/>
  <c r="X1302" i="18"/>
  <c r="X1617" i="18"/>
  <c r="X1616" i="18"/>
  <c r="X1615" i="18"/>
  <c r="X1612" i="18"/>
  <c r="X727" i="18"/>
  <c r="X1829" i="18"/>
  <c r="X1833" i="18"/>
  <c r="X1832" i="18"/>
  <c r="X1834" i="18"/>
  <c r="X1240" i="18"/>
  <c r="X1244" i="18"/>
  <c r="X1243" i="18"/>
  <c r="X1245" i="18"/>
  <c r="X1953" i="18"/>
  <c r="X1957" i="18"/>
  <c r="X1956" i="18"/>
  <c r="X1958" i="18"/>
  <c r="X1710" i="18"/>
  <c r="X1705" i="18"/>
  <c r="X1709" i="18"/>
  <c r="X1708" i="18"/>
  <c r="X1151" i="18"/>
  <c r="X1147" i="18"/>
  <c r="X1150" i="18"/>
  <c r="X1152" i="18"/>
  <c r="X1274" i="18"/>
  <c r="X1271" i="18"/>
  <c r="X1276" i="18"/>
  <c r="X1275" i="18"/>
  <c r="X532" i="18"/>
  <c r="X530" i="18"/>
  <c r="X531" i="18"/>
  <c r="X527" i="18"/>
  <c r="X1984" i="18"/>
  <c r="X1988" i="18"/>
  <c r="X1987" i="18"/>
  <c r="X1989" i="18"/>
  <c r="X1409" i="18"/>
  <c r="X696" i="18"/>
  <c r="X310" i="18"/>
  <c r="X314" i="18"/>
  <c r="X313" i="18"/>
  <c r="X315" i="18"/>
  <c r="X341" i="18"/>
  <c r="X345" i="18"/>
  <c r="X344" i="18"/>
  <c r="X346" i="18"/>
  <c r="X1037" i="18"/>
  <c r="X1564" i="18"/>
  <c r="X995" i="18"/>
  <c r="X997" i="18"/>
  <c r="X992" i="18"/>
  <c r="X996" i="18"/>
  <c r="X262" i="18"/>
  <c r="X1119" i="18"/>
  <c r="X1121" i="18"/>
  <c r="X1120" i="18"/>
  <c r="X1116" i="18"/>
  <c r="X1740" i="18"/>
  <c r="X1739" i="18"/>
  <c r="X1741" i="18"/>
  <c r="X1736" i="18"/>
  <c r="X1643" i="18"/>
  <c r="X1647" i="18"/>
  <c r="X1646" i="18"/>
  <c r="X1648" i="18"/>
  <c r="X589" i="18"/>
  <c r="X593" i="18"/>
  <c r="X592" i="18"/>
  <c r="X594" i="18"/>
  <c r="X129" i="18"/>
  <c r="X124" i="18"/>
  <c r="X128" i="18"/>
  <c r="X127" i="18"/>
  <c r="X76" i="18"/>
  <c r="K31" i="18"/>
  <c r="K37" i="18" s="1"/>
  <c r="K40" i="18" s="1"/>
  <c r="I31" i="18"/>
  <c r="H37" i="18"/>
  <c r="J37" i="18"/>
  <c r="X1316" i="18" l="1"/>
  <c r="X634" i="18"/>
  <c r="X1750" i="18"/>
  <c r="X1440" i="18"/>
  <c r="X541" i="18"/>
  <c r="X1626" i="18"/>
  <c r="X1719" i="18"/>
  <c r="X231" i="18"/>
  <c r="X1998" i="18"/>
  <c r="X1843" i="18"/>
  <c r="X1936" i="18"/>
  <c r="X138" i="18"/>
  <c r="X1099" i="18"/>
  <c r="X789" i="18"/>
  <c r="X1595" i="18"/>
  <c r="X1874" i="18"/>
  <c r="X448" i="18"/>
  <c r="X2029" i="18"/>
  <c r="X1967" i="18"/>
  <c r="X1378" i="18"/>
  <c r="X1006" i="18"/>
  <c r="X200" i="18"/>
  <c r="X510" i="18"/>
  <c r="X603" i="18"/>
  <c r="X355" i="18"/>
  <c r="X1471" i="18"/>
  <c r="X324" i="18"/>
  <c r="X1161" i="18"/>
  <c r="X1657" i="18"/>
  <c r="X1285" i="18"/>
  <c r="X169" i="18"/>
  <c r="X1688" i="18"/>
  <c r="X1905" i="18"/>
  <c r="X1130" i="18"/>
  <c r="X1254" i="18"/>
  <c r="X1192" i="18"/>
  <c r="X851" i="18"/>
  <c r="I37" i="18"/>
  <c r="H40" i="18"/>
  <c r="CI10" i="18" l="1"/>
  <c r="I40" i="18"/>
  <c r="J38" i="18"/>
  <c r="J40" i="18" s="1"/>
  <c r="H42" i="18"/>
  <c r="J44" i="18"/>
  <c r="Q38" i="18"/>
  <c r="Q40" i="18" s="1"/>
  <c r="BE10" i="18" l="1"/>
  <c r="AY10" i="18"/>
  <c r="CJ10" i="18"/>
  <c r="J43" i="18"/>
  <c r="I45" i="18" s="1"/>
  <c r="Q3" i="18" s="1"/>
  <c r="Q4" i="18" s="1"/>
  <c r="R32" i="18"/>
  <c r="BD10" i="18" s="1"/>
  <c r="V45" i="18" l="1"/>
  <c r="G10" i="18"/>
  <c r="BC10" i="18"/>
  <c r="Q45" i="18"/>
  <c r="Q44" i="18" s="1"/>
  <c r="Q6" i="18"/>
  <c r="BI10" i="18"/>
  <c r="Q43" i="18" l="1"/>
  <c r="AZ10" i="18"/>
  <c r="BA10" i="18"/>
  <c r="AV10" i="18"/>
  <c r="AU10" i="18"/>
  <c r="V16" i="18"/>
  <c r="W16" i="18" s="1"/>
  <c r="W45" i="18"/>
  <c r="T95" i="24" l="1"/>
  <c r="U95" i="24" s="1"/>
  <c r="T53" i="24"/>
  <c r="U53" i="24" s="1"/>
  <c r="X36" i="18"/>
  <c r="X31" i="18"/>
  <c r="T123" i="24" s="1"/>
  <c r="U123" i="24" s="1"/>
  <c r="X16" i="18"/>
  <c r="Q5" i="18" s="1"/>
  <c r="X35" i="18"/>
  <c r="T120" i="24" s="1"/>
  <c r="U120" i="24" s="1"/>
  <c r="X34" i="18"/>
  <c r="T109" i="24" s="1"/>
  <c r="U109" i="24" s="1"/>
  <c r="T49" i="24"/>
  <c r="U49" i="24" s="1"/>
  <c r="T119" i="24"/>
  <c r="U119" i="24" s="1"/>
  <c r="T108" i="24"/>
  <c r="U108" i="24" s="1"/>
  <c r="BN10" i="18"/>
  <c r="BO10" i="18" s="1"/>
  <c r="T79" i="24"/>
  <c r="U79" i="24" s="1"/>
  <c r="T98" i="24"/>
  <c r="U98" i="24" s="1"/>
  <c r="T43" i="24"/>
  <c r="U43" i="24" s="1"/>
  <c r="T73" i="24" l="1"/>
  <c r="U73" i="24" s="1"/>
  <c r="T48" i="24"/>
  <c r="U48" i="24" s="1"/>
  <c r="T113" i="24"/>
  <c r="U113" i="24" s="1"/>
  <c r="T104" i="24"/>
  <c r="U104" i="24" s="1"/>
  <c r="T69" i="24"/>
  <c r="U69" i="24" s="1"/>
  <c r="T64" i="24"/>
  <c r="U64" i="24" s="1"/>
  <c r="T88" i="24"/>
  <c r="U88" i="24" s="1"/>
  <c r="T8" i="24"/>
  <c r="U8" i="24" s="1"/>
  <c r="T78" i="24"/>
  <c r="U78" i="24" s="1"/>
  <c r="T68" i="24"/>
  <c r="U68" i="24" s="1"/>
  <c r="T105" i="24"/>
  <c r="U105" i="24" s="1"/>
  <c r="T15" i="24"/>
  <c r="U15" i="24" s="1"/>
  <c r="T19" i="24"/>
  <c r="U19" i="24" s="1"/>
  <c r="T34" i="24"/>
  <c r="U34" i="24" s="1"/>
  <c r="T60" i="24"/>
  <c r="U60" i="24" s="1"/>
  <c r="T115" i="24"/>
  <c r="U115" i="24" s="1"/>
  <c r="T70" i="24"/>
  <c r="U70" i="24" s="1"/>
  <c r="T103" i="24"/>
  <c r="U103" i="24" s="1"/>
  <c r="T100" i="24"/>
  <c r="U100" i="24" s="1"/>
  <c r="T58" i="24"/>
  <c r="U58" i="24" s="1"/>
  <c r="T114" i="24"/>
  <c r="U114" i="24" s="1"/>
  <c r="T4" i="24"/>
  <c r="U4" i="24" s="1"/>
  <c r="T59" i="24"/>
  <c r="U59" i="24" s="1"/>
  <c r="T5" i="24"/>
  <c r="U5" i="24" s="1"/>
  <c r="T55" i="24"/>
  <c r="U55" i="24" s="1"/>
  <c r="T20" i="24"/>
  <c r="U20" i="24" s="1"/>
  <c r="T75" i="24"/>
  <c r="U75" i="24" s="1"/>
  <c r="T40" i="24"/>
  <c r="U40" i="24" s="1"/>
  <c r="T94" i="24"/>
  <c r="U94" i="24" s="1"/>
  <c r="T9" i="24"/>
  <c r="U9" i="24" s="1"/>
  <c r="T35" i="24"/>
  <c r="U35" i="24" s="1"/>
  <c r="T10" i="24"/>
  <c r="U10" i="24" s="1"/>
  <c r="T18" i="24"/>
  <c r="U18" i="24" s="1"/>
  <c r="T85" i="24"/>
  <c r="U85" i="24" s="1"/>
  <c r="T125" i="24"/>
  <c r="U125" i="24" s="1"/>
  <c r="T63" i="24"/>
  <c r="U63" i="24" s="1"/>
  <c r="T44" i="24"/>
  <c r="U44" i="24" s="1"/>
  <c r="T33" i="24"/>
  <c r="U33" i="24" s="1"/>
  <c r="T30" i="24"/>
  <c r="U30" i="24" s="1"/>
  <c r="T29" i="24"/>
  <c r="U29" i="24" s="1"/>
  <c r="T65" i="24"/>
  <c r="U65" i="24" s="1"/>
  <c r="T39" i="24"/>
  <c r="U39" i="24" s="1"/>
  <c r="T118" i="24"/>
  <c r="U118" i="24" s="1"/>
  <c r="T38" i="24"/>
  <c r="U38" i="24" s="1"/>
  <c r="T89" i="24"/>
  <c r="U89" i="24" s="1"/>
  <c r="T28" i="24"/>
  <c r="U28" i="24" s="1"/>
  <c r="T83" i="24"/>
  <c r="U83" i="24" s="1"/>
  <c r="T110" i="24"/>
  <c r="U110" i="24" s="1"/>
  <c r="T93" i="24"/>
  <c r="U93" i="24" s="1"/>
  <c r="T23" i="24"/>
  <c r="U23" i="24" s="1"/>
  <c r="T80" i="24"/>
  <c r="U80" i="24" s="1"/>
  <c r="T84" i="24"/>
  <c r="U84" i="24" s="1"/>
  <c r="T45" i="24"/>
  <c r="U45" i="24" s="1"/>
  <c r="T14" i="24"/>
  <c r="U14" i="24" s="1"/>
  <c r="T24" i="24"/>
  <c r="U24" i="24" s="1"/>
  <c r="T54" i="24"/>
  <c r="U54" i="24" s="1"/>
  <c r="T99" i="24"/>
  <c r="U99" i="24" s="1"/>
  <c r="T124" i="24"/>
  <c r="U124" i="24" s="1"/>
  <c r="T74" i="24"/>
  <c r="U74" i="24" s="1"/>
  <c r="T13" i="24"/>
  <c r="U13" i="24" s="1"/>
  <c r="T50" i="24"/>
  <c r="U50" i="24" s="1"/>
  <c r="T25" i="24"/>
  <c r="U25" i="24" s="1"/>
  <c r="T90" i="24"/>
  <c r="U90" i="24" s="1"/>
  <c r="X45" i="18"/>
  <c r="T3" i="24"/>
  <c r="U3" i="24" s="1"/>
  <c r="AH21" i="7" l="1"/>
  <c r="AG21" i="7"/>
  <c r="AI21" i="7" l="1"/>
  <c r="Q319" i="21" l="1"/>
  <c r="Q2473" i="21"/>
  <c r="Q1300" i="21"/>
  <c r="Q2494" i="21"/>
  <c r="Q365" i="21"/>
  <c r="Q1461" i="21"/>
  <c r="Q50" i="21"/>
  <c r="Q2133" i="21"/>
  <c r="Q2194" i="21"/>
  <c r="Q2366" i="21"/>
  <c r="Q2369" i="21"/>
  <c r="Q2219" i="21"/>
  <c r="Q2181" i="21"/>
  <c r="Q89" i="21"/>
  <c r="Q1371" i="21"/>
  <c r="Q1147" i="21"/>
  <c r="Q2110" i="21"/>
  <c r="Q2268" i="21"/>
  <c r="Q917" i="21"/>
  <c r="Q2324" i="21"/>
  <c r="Q2316" i="21"/>
  <c r="Q1436" i="21"/>
  <c r="Q1607" i="21"/>
  <c r="Q2350" i="21"/>
  <c r="Q606" i="21"/>
  <c r="Q1286" i="21"/>
  <c r="Q1307" i="21"/>
  <c r="Q2104" i="21"/>
  <c r="Q2317" i="21"/>
  <c r="Q2434" i="21"/>
  <c r="Q2341" i="21"/>
  <c r="Q2201" i="21"/>
  <c r="Q890" i="21"/>
  <c r="Q1740" i="21"/>
  <c r="Q2143" i="21"/>
  <c r="Q1205" i="21"/>
  <c r="Q650" i="21"/>
  <c r="Q1351" i="21"/>
  <c r="Q2470" i="21"/>
  <c r="Q2276" i="21"/>
  <c r="Q2203" i="21"/>
  <c r="Q1909" i="21"/>
  <c r="Q2072" i="21"/>
  <c r="Q2604" i="21"/>
  <c r="Q2545" i="21"/>
  <c r="Q2406" i="21"/>
  <c r="Q1559" i="21"/>
  <c r="Q1782" i="21"/>
  <c r="Q2691" i="21"/>
  <c r="Q2264" i="21"/>
  <c r="Q2227" i="21"/>
  <c r="Q2489" i="21"/>
  <c r="Q1142" i="21"/>
  <c r="Q2125" i="21"/>
  <c r="Q2109" i="21"/>
  <c r="Q2314" i="21"/>
  <c r="Q1367" i="21"/>
  <c r="Q1349" i="21"/>
  <c r="Q1943" i="21"/>
  <c r="Q2480" i="21"/>
  <c r="Q2357" i="21"/>
  <c r="Q2478" i="21"/>
  <c r="Q2113" i="21"/>
  <c r="Q1246" i="21"/>
  <c r="Q2265" i="21"/>
  <c r="Q1323" i="21"/>
  <c r="Q2618" i="21"/>
  <c r="Q2289" i="21"/>
  <c r="Q1428" i="21"/>
  <c r="Q2275" i="21"/>
  <c r="Q1780" i="21"/>
  <c r="Q1095" i="21"/>
  <c r="Q1226" i="21"/>
  <c r="Q2033" i="21"/>
  <c r="Q1288" i="21"/>
  <c r="Q445" i="21"/>
  <c r="Q2177" i="21"/>
  <c r="Q2551" i="21"/>
  <c r="Q1443" i="21"/>
  <c r="Q2600" i="21"/>
  <c r="Q605" i="21"/>
  <c r="Q2298" i="21"/>
  <c r="Q2199" i="21"/>
  <c r="Q1247" i="21"/>
  <c r="Q1883" i="21"/>
  <c r="Q2112" i="21"/>
  <c r="Q2030" i="21"/>
  <c r="Q353" i="21"/>
  <c r="Q2525" i="21"/>
  <c r="Q2238" i="21"/>
  <c r="Q2375" i="21"/>
  <c r="Q2207" i="21"/>
  <c r="Q2353" i="21"/>
  <c r="Q2260" i="21"/>
  <c r="Q1431" i="21"/>
  <c r="Q2313" i="21"/>
  <c r="Q2584" i="21"/>
  <c r="Q1282" i="21"/>
  <c r="Q1894" i="21"/>
  <c r="Q1545" i="21"/>
  <c r="Q2182" i="21"/>
  <c r="Q1143" i="21"/>
  <c r="Q1469" i="21"/>
  <c r="Q1459" i="21"/>
  <c r="Q2491" i="21"/>
  <c r="Q2532" i="21"/>
  <c r="Q513" i="21"/>
  <c r="Q2510" i="21"/>
  <c r="Q509" i="21"/>
  <c r="Q2111" i="21"/>
  <c r="Q2541" i="21"/>
  <c r="Q2228" i="21"/>
  <c r="Q2124" i="21"/>
  <c r="Q2462" i="21"/>
  <c r="Q1592" i="21"/>
  <c r="Q2479" i="21"/>
  <c r="Q2359" i="21"/>
  <c r="Q2400" i="21"/>
  <c r="Q2528" i="21"/>
  <c r="Q1971" i="21"/>
  <c r="Q2364" i="21"/>
  <c r="Q2354" i="21"/>
  <c r="Q2499" i="21"/>
  <c r="Q2490" i="21"/>
  <c r="Q2209" i="21"/>
  <c r="Q2372" i="21"/>
  <c r="Q2831" i="21"/>
  <c r="Q2429" i="21"/>
  <c r="Q861" i="21"/>
  <c r="Q2127" i="21"/>
  <c r="Q2188" i="21"/>
  <c r="Q2417" i="21"/>
  <c r="Q2524" i="21"/>
  <c r="Q2115" i="21"/>
  <c r="Q2454" i="21"/>
  <c r="Q2492" i="21"/>
  <c r="Q1238" i="21"/>
  <c r="Q2345" i="21"/>
  <c r="Q2477" i="21"/>
  <c r="Q2407" i="21"/>
  <c r="Q2360" i="21"/>
  <c r="Q1416" i="21"/>
  <c r="Q2550" i="21"/>
  <c r="Q2537" i="21"/>
  <c r="Q1121" i="21"/>
  <c r="Q2832" i="21"/>
  <c r="Q2178" i="21"/>
  <c r="Q901" i="21"/>
  <c r="Q2475" i="21"/>
  <c r="Q1604" i="21"/>
  <c r="Q2239" i="21"/>
  <c r="Q1097" i="21"/>
  <c r="Q2511" i="21"/>
  <c r="Q2418" i="21"/>
  <c r="Q1678" i="21"/>
  <c r="Q1942" i="21"/>
  <c r="Q1081" i="21"/>
  <c r="Q1940" i="21"/>
  <c r="Q1202" i="21"/>
  <c r="Q1368" i="21"/>
  <c r="Q1802" i="21"/>
  <c r="Q1259" i="21"/>
  <c r="Q1691" i="21"/>
  <c r="Q642" i="21"/>
  <c r="Q2256" i="21"/>
  <c r="Q680" i="21"/>
  <c r="Q946" i="21"/>
  <c r="Q2131" i="21"/>
  <c r="Q1513" i="21"/>
  <c r="Q1157" i="21"/>
  <c r="Q2521" i="21"/>
  <c r="Q1414" i="21"/>
  <c r="Q2439" i="21"/>
  <c r="Q2561" i="21"/>
  <c r="Q2505" i="21"/>
  <c r="Q924" i="21"/>
  <c r="Q4" i="21"/>
  <c r="Q1410" i="21"/>
  <c r="Q262" i="21"/>
  <c r="Q1296" i="21"/>
  <c r="Q1262" i="21"/>
  <c r="Q1041" i="21"/>
  <c r="Q1937" i="21"/>
  <c r="Q1339" i="21"/>
  <c r="Q1319" i="21"/>
  <c r="Q2698" i="21"/>
  <c r="Q2365" i="21"/>
  <c r="Q2495" i="21"/>
  <c r="Q1254" i="21"/>
  <c r="Q1272" i="21"/>
  <c r="Q2063" i="21"/>
  <c r="Q2281" i="21"/>
  <c r="Q1122" i="21"/>
  <c r="Q2229" i="21"/>
  <c r="Q2225" i="21"/>
  <c r="Q1215" i="21"/>
  <c r="Q2628" i="21"/>
  <c r="Q1269" i="21"/>
  <c r="Q2472" i="21"/>
  <c r="Q68" i="21"/>
  <c r="Q673" i="21"/>
  <c r="Q2374" i="21"/>
  <c r="Q2120" i="21"/>
  <c r="Q1818" i="21"/>
  <c r="Q2458" i="21"/>
  <c r="Q2602" i="21"/>
  <c r="Q1171" i="21"/>
  <c r="Q1662" i="21"/>
  <c r="Q2107" i="21"/>
  <c r="Q2235" i="21"/>
  <c r="Q2390" i="21"/>
  <c r="Q2608" i="21"/>
  <c r="Q926" i="21"/>
  <c r="Q987" i="21"/>
  <c r="Q2558" i="21"/>
  <c r="Q1885" i="21"/>
  <c r="Q2476" i="21"/>
  <c r="Q2486" i="21"/>
  <c r="Q2556" i="21"/>
  <c r="Q2192" i="21"/>
  <c r="Q1375" i="21"/>
  <c r="Q2385" i="21"/>
  <c r="Q1731" i="21"/>
  <c r="Q2539" i="21"/>
  <c r="Q1779" i="21"/>
  <c r="Q2438" i="21"/>
  <c r="Q1902" i="21"/>
  <c r="Q1165" i="21"/>
  <c r="Q1379" i="21"/>
  <c r="Q1781" i="21"/>
  <c r="Q1949" i="21"/>
  <c r="Q1533" i="21"/>
  <c r="Q750" i="21"/>
  <c r="Q1284" i="21"/>
  <c r="Q1407" i="21"/>
  <c r="Q1200" i="21"/>
  <c r="Q1765" i="21"/>
  <c r="Q484" i="21"/>
  <c r="Q347" i="21"/>
  <c r="Q2100" i="21"/>
  <c r="Q2326" i="21"/>
  <c r="Q654" i="21"/>
  <c r="Q1527" i="21"/>
  <c r="Q1435" i="21"/>
  <c r="Q1892" i="21"/>
  <c r="Q2105" i="21"/>
  <c r="Q792" i="21"/>
  <c r="Q1012" i="21"/>
  <c r="Q1815" i="21"/>
  <c r="Q1506" i="21"/>
  <c r="Q2098" i="21"/>
  <c r="Q2581" i="21"/>
  <c r="Q1661" i="21"/>
  <c r="Q2580" i="21"/>
  <c r="Q2723" i="21"/>
  <c r="Q624" i="21"/>
  <c r="Q1056" i="21"/>
  <c r="Q2273" i="21"/>
  <c r="Q1373" i="21"/>
  <c r="Q2062" i="21"/>
  <c r="Q807" i="21"/>
  <c r="Q1131" i="21"/>
  <c r="Q1532" i="21"/>
  <c r="Q1042" i="21"/>
  <c r="Q2387" i="21"/>
  <c r="Q65" i="21"/>
  <c r="Q2142" i="21"/>
  <c r="Q2441" i="21"/>
  <c r="Q2118" i="21"/>
  <c r="Q589" i="21"/>
  <c r="Q983" i="21"/>
  <c r="Q1301" i="21"/>
  <c r="Q1964" i="21"/>
  <c r="Q1170" i="21"/>
  <c r="Q2215" i="21"/>
  <c r="Q332" i="21"/>
  <c r="Q438" i="21"/>
  <c r="Q2447" i="21"/>
  <c r="Q1660" i="21"/>
  <c r="Q2287" i="21"/>
  <c r="Q2318" i="21"/>
  <c r="Q1309" i="21"/>
  <c r="Q1960" i="21"/>
  <c r="Q1169" i="21"/>
  <c r="Q1198" i="21"/>
  <c r="Q1344" i="21"/>
  <c r="Q2245" i="21"/>
  <c r="Q1290" i="21"/>
  <c r="Q2024" i="21"/>
  <c r="Q1868" i="21"/>
  <c r="Q1378" i="21"/>
  <c r="Q1967" i="21"/>
  <c r="Q1849" i="21"/>
  <c r="Q1305" i="21"/>
  <c r="Q2589" i="21"/>
  <c r="Q100" i="21"/>
  <c r="Q773" i="21"/>
  <c r="Q1107" i="21"/>
  <c r="Q18" i="21"/>
  <c r="Q2200" i="21"/>
  <c r="Q1566" i="21"/>
  <c r="Q1467" i="21"/>
  <c r="Q949" i="21"/>
  <c r="Q2246" i="21"/>
  <c r="Q645" i="21"/>
  <c r="Q1538" i="21"/>
  <c r="Q1920" i="21"/>
  <c r="Q2173" i="21"/>
  <c r="Q440" i="21"/>
  <c r="Q2639" i="21"/>
  <c r="Q2299" i="21"/>
  <c r="Q2656" i="21"/>
  <c r="Q2230" i="21"/>
  <c r="Q1109" i="21"/>
  <c r="Q2263" i="21"/>
  <c r="Q1724" i="21"/>
  <c r="Q1335" i="21"/>
  <c r="Q721" i="21"/>
  <c r="Q165" i="21"/>
  <c r="Q2751" i="21"/>
  <c r="Q1972" i="21"/>
  <c r="Q217" i="21"/>
  <c r="Q1669" i="21"/>
  <c r="Q2423" i="21"/>
  <c r="Q1059" i="21"/>
  <c r="Q2389" i="21"/>
  <c r="Q1809" i="21"/>
  <c r="Q1939" i="21"/>
  <c r="Q1929" i="21"/>
  <c r="Q775" i="21"/>
  <c r="Q2071" i="21"/>
  <c r="Q94" i="21"/>
  <c r="Q1853" i="21"/>
  <c r="Q1336" i="21"/>
  <c r="Q431" i="21"/>
  <c r="Q2079" i="21"/>
  <c r="Q1911" i="21"/>
  <c r="Q2302" i="21"/>
  <c r="Q480" i="21"/>
  <c r="Q2425" i="21"/>
  <c r="Q1651" i="21"/>
  <c r="Q442" i="21"/>
  <c r="Q2101" i="21"/>
  <c r="Q2251" i="21"/>
  <c r="Q665" i="21"/>
  <c r="Q1828" i="21"/>
  <c r="Q523" i="21"/>
  <c r="Q1270" i="21"/>
  <c r="Q1199" i="21"/>
  <c r="Q883" i="21"/>
  <c r="Q1688" i="21"/>
  <c r="Q1355" i="21"/>
  <c r="Q849" i="21"/>
  <c r="Q1756" i="21"/>
  <c r="Q1178" i="21"/>
  <c r="Q2248" i="21"/>
  <c r="Q2279" i="21"/>
  <c r="Q2623" i="21"/>
  <c r="Q765" i="21"/>
  <c r="Q1256" i="21"/>
  <c r="Q2066" i="21"/>
  <c r="Q1146" i="21"/>
  <c r="Q93" i="21"/>
  <c r="Q1833" i="21"/>
  <c r="Q1464" i="21"/>
  <c r="Q1719" i="21"/>
  <c r="Q102" i="21"/>
  <c r="Q2022" i="21"/>
  <c r="Q547" i="21"/>
  <c r="Q1854" i="21"/>
  <c r="Q156" i="21"/>
  <c r="Q2334" i="21"/>
  <c r="Q1181" i="21"/>
  <c r="Q1736" i="21"/>
  <c r="Q2615" i="21"/>
  <c r="Q2493" i="21"/>
  <c r="Q761" i="21"/>
  <c r="Q848" i="21"/>
  <c r="Q1098" i="21"/>
  <c r="Q1664" i="21"/>
  <c r="Q2731" i="21"/>
  <c r="Q1859" i="21"/>
  <c r="Q2620" i="21"/>
  <c r="Q396" i="21"/>
  <c r="Q14" i="21"/>
  <c r="Q723" i="21"/>
  <c r="Q2004" i="21"/>
  <c r="Q1687" i="21"/>
  <c r="Q354" i="21"/>
  <c r="Q1228" i="21"/>
  <c r="Q1786" i="21"/>
  <c r="Q2356" i="21"/>
  <c r="Q915" i="21"/>
  <c r="Q857" i="21"/>
  <c r="Q1752" i="21"/>
  <c r="Q404" i="21"/>
  <c r="Q821" i="21"/>
  <c r="Q676" i="21"/>
  <c r="Q1969" i="21"/>
  <c r="Q2593" i="21"/>
  <c r="Q609" i="21"/>
  <c r="Q1716" i="21"/>
  <c r="Q596" i="21"/>
  <c r="Q1941" i="21"/>
  <c r="Q1954" i="21"/>
  <c r="Q1906" i="21"/>
  <c r="Q2837" i="21"/>
  <c r="Q1903" i="21"/>
  <c r="Q2247" i="21"/>
  <c r="Q1316" i="21"/>
  <c r="Q1706" i="21"/>
  <c r="Q2601" i="21"/>
  <c r="Q7" i="21"/>
  <c r="Q886" i="21"/>
  <c r="Q1167" i="21"/>
  <c r="Q1260" i="21"/>
  <c r="Q67" i="21"/>
  <c r="Q359" i="21"/>
  <c r="Q1899" i="21"/>
  <c r="Q1865" i="21"/>
  <c r="Q2304" i="21"/>
  <c r="Q1737" i="21"/>
  <c r="Q2436" i="21"/>
  <c r="Q1408" i="21"/>
  <c r="Q2641" i="21"/>
  <c r="Q913" i="21"/>
  <c r="Q364" i="21"/>
  <c r="Q2048" i="21"/>
  <c r="Q2496" i="21"/>
  <c r="Q876" i="21"/>
  <c r="Q1195" i="21"/>
  <c r="Q904" i="21"/>
  <c r="Q1568" i="21"/>
  <c r="Q2675" i="21"/>
  <c r="Q1655" i="21"/>
  <c r="Q174" i="21"/>
  <c r="Q2401" i="21"/>
  <c r="Q2301" i="21"/>
  <c r="Q479" i="21"/>
  <c r="Q2036" i="21"/>
  <c r="Q777" i="21"/>
  <c r="Q457" i="21"/>
  <c r="Q1609" i="21"/>
  <c r="Q685" i="21"/>
  <c r="Q762" i="21"/>
  <c r="Q1844" i="21"/>
  <c r="Q148" i="21"/>
  <c r="Q1680" i="21"/>
  <c r="Q469" i="21"/>
  <c r="Q1575" i="21"/>
  <c r="Q419" i="21"/>
  <c r="Q2272" i="21"/>
  <c r="Q2319" i="21"/>
  <c r="Q1047" i="21"/>
  <c r="Q2196" i="21"/>
  <c r="Q2469" i="21"/>
  <c r="Q2728" i="21"/>
  <c r="Q1388" i="21"/>
  <c r="Q1869" i="21"/>
  <c r="Q421" i="21"/>
  <c r="Q1040" i="21"/>
  <c r="Q2549" i="21"/>
  <c r="Q1924" i="21"/>
  <c r="Q2689" i="21"/>
  <c r="Q2223" i="21"/>
  <c r="Q2504" i="21"/>
  <c r="Q115" i="21"/>
  <c r="Q2217" i="21"/>
  <c r="Q206" i="21"/>
  <c r="Q826" i="21"/>
  <c r="Q799" i="21"/>
  <c r="Q2126" i="21"/>
  <c r="Q2237" i="21"/>
  <c r="Q1925" i="21"/>
  <c r="Q1776" i="21"/>
  <c r="Q1439" i="21"/>
  <c r="Q655" i="21"/>
  <c r="Q1110" i="21"/>
  <c r="Q2146" i="21"/>
  <c r="Q871" i="21"/>
  <c r="Q1751" i="21"/>
  <c r="Q1298" i="21"/>
  <c r="Q1632" i="21"/>
  <c r="Q2255" i="21"/>
  <c r="Q1413" i="21"/>
  <c r="Q137" i="21"/>
  <c r="Q327" i="21"/>
  <c r="Q1164" i="21"/>
  <c r="Q2114" i="21"/>
  <c r="Q1851" i="21"/>
  <c r="Q56" i="21"/>
  <c r="Q2431" i="21"/>
  <c r="Q434" i="21"/>
  <c r="Q2346" i="21"/>
  <c r="Q334" i="21"/>
  <c r="Q870" i="21"/>
  <c r="Q937" i="21"/>
  <c r="Q1858" i="21"/>
  <c r="Q487" i="21"/>
  <c r="Q2386" i="21"/>
  <c r="Q916" i="21"/>
  <c r="Q817" i="21"/>
  <c r="Q2102" i="21"/>
  <c r="Q1446" i="21"/>
  <c r="Q776" i="21"/>
  <c r="Q2340" i="21"/>
  <c r="Q1062" i="21"/>
  <c r="Q1224" i="21"/>
  <c r="Q2152" i="21"/>
  <c r="Q856" i="21"/>
  <c r="Q417" i="21"/>
  <c r="Q1389" i="21"/>
  <c r="Q1841" i="21"/>
  <c r="Q1768" i="21"/>
  <c r="Q134" i="21"/>
  <c r="Q759" i="21"/>
  <c r="Q2280" i="21"/>
  <c r="Q2208" i="21"/>
  <c r="Q2221" i="21"/>
  <c r="Q2411" i="21"/>
  <c r="Q1718" i="21"/>
  <c r="Q2536" i="21"/>
  <c r="Q800" i="21"/>
  <c r="Q2116" i="21"/>
  <c r="Q1050" i="21"/>
  <c r="Q2482" i="21"/>
  <c r="Q1905" i="21"/>
  <c r="Q1602" i="21"/>
  <c r="Q306" i="21"/>
  <c r="Q539" i="21"/>
  <c r="Q2520" i="21"/>
  <c r="Q656" i="21"/>
  <c r="Q894" i="21"/>
  <c r="Q603" i="21"/>
  <c r="Q2622" i="21"/>
  <c r="Q1930" i="21"/>
  <c r="Q908" i="21"/>
  <c r="Q1839" i="21"/>
  <c r="Q1931" i="21"/>
  <c r="Q1054" i="21"/>
  <c r="Q678" i="21"/>
  <c r="Q2051" i="21"/>
  <c r="Q1625" i="21"/>
  <c r="Q859" i="21"/>
  <c r="Q2093" i="21"/>
  <c r="Q1775" i="21"/>
  <c r="Q1479" i="21"/>
  <c r="Q1491" i="21"/>
  <c r="Q1128" i="21"/>
  <c r="Q666" i="21"/>
  <c r="Q1334" i="21"/>
  <c r="Q1705" i="21"/>
  <c r="Q1730" i="21"/>
  <c r="Q141" i="21"/>
  <c r="Q328" i="21"/>
  <c r="Q2028" i="21"/>
  <c r="Q397" i="21"/>
  <c r="Q2677" i="21"/>
  <c r="Q329" i="21"/>
  <c r="Q2597" i="21"/>
  <c r="Q2457" i="21"/>
  <c r="Q2106" i="21"/>
  <c r="Q333" i="21"/>
  <c r="Q1053" i="21"/>
  <c r="Q1701" i="21"/>
  <c r="Q2598" i="21"/>
  <c r="Q2740" i="21"/>
  <c r="Q149" i="21"/>
  <c r="Q704" i="21"/>
  <c r="Q127" i="21"/>
  <c r="Q755" i="21"/>
  <c r="Q1845" i="21"/>
  <c r="Q326" i="21"/>
  <c r="Q1539" i="21"/>
  <c r="Q2555" i="21"/>
  <c r="Q2483" i="21"/>
  <c r="Q2123" i="21"/>
  <c r="Q847" i="21"/>
  <c r="Q1473" i="21"/>
  <c r="Q855" i="21"/>
  <c r="Q2708" i="21"/>
  <c r="Q82" i="21"/>
  <c r="Q1502" i="21"/>
  <c r="Q2032" i="21"/>
  <c r="Q1285" i="21"/>
  <c r="Q889" i="21"/>
  <c r="Q1848" i="21"/>
  <c r="Q2157" i="21"/>
  <c r="Q832" i="21"/>
  <c r="Q226" i="21"/>
  <c r="Q2005" i="21"/>
  <c r="Q569" i="21"/>
  <c r="Q1381" i="21"/>
  <c r="Q1180" i="21"/>
  <c r="Q1631" i="21"/>
  <c r="Q1104" i="21"/>
  <c r="Q410" i="21"/>
  <c r="Q2081" i="21"/>
  <c r="Q2702" i="21"/>
  <c r="Q823" i="21"/>
  <c r="Q360" i="21"/>
  <c r="Q1471" i="21"/>
  <c r="Q437" i="21"/>
  <c r="Q2402" i="21"/>
  <c r="Q343" i="21"/>
  <c r="Q2045" i="21"/>
  <c r="Q1709" i="21"/>
  <c r="Q853" i="21"/>
  <c r="Q2474" i="21"/>
  <c r="Q1759" i="21"/>
  <c r="Q1338" i="21"/>
  <c r="Q458" i="21"/>
  <c r="Q2503" i="21"/>
  <c r="Q1209" i="21"/>
  <c r="Q374" i="21"/>
  <c r="Q1492" i="21"/>
  <c r="Q1806" i="21"/>
  <c r="Q833" i="21"/>
  <c r="Q28" i="21"/>
  <c r="Q2153" i="21"/>
  <c r="Q841" i="21"/>
  <c r="Q1904" i="21"/>
  <c r="Q376" i="21"/>
  <c r="Q1788" i="21"/>
  <c r="Q2332" i="21"/>
  <c r="Q2485" i="21"/>
  <c r="Q213" i="21"/>
  <c r="Q1666" i="21"/>
  <c r="Q672" i="21"/>
  <c r="Q1510" i="21"/>
  <c r="Q2333" i="21"/>
  <c r="Q2330" i="21"/>
  <c r="Q1785" i="21"/>
  <c r="Q1493" i="21"/>
  <c r="Q2627" i="21"/>
  <c r="Q362" i="21"/>
  <c r="Q51" i="21"/>
  <c r="Q2094" i="21"/>
  <c r="Q155" i="21"/>
  <c r="Q863" i="21"/>
  <c r="Q1760" i="21"/>
  <c r="Q2607" i="21"/>
  <c r="Q822" i="21"/>
  <c r="Q92" i="21"/>
  <c r="Q452" i="21"/>
  <c r="Q1639" i="21"/>
  <c r="Q352" i="21"/>
  <c r="Q2383" i="21"/>
  <c r="Q964" i="21"/>
  <c r="Q2377" i="21"/>
  <c r="Q2139" i="21"/>
  <c r="Q229" i="21"/>
  <c r="Q1488" i="21"/>
  <c r="Q1093" i="21"/>
  <c r="Q197" i="21"/>
  <c r="Q715" i="21"/>
  <c r="Q2542" i="21"/>
  <c r="Q216" i="21"/>
  <c r="Q325" i="21"/>
  <c r="Q579" i="21"/>
  <c r="Q1817" i="21"/>
  <c r="Q254" i="21"/>
  <c r="Q2547" i="21"/>
  <c r="Q399" i="21"/>
  <c r="Q2069" i="21"/>
  <c r="Q471" i="21"/>
  <c r="Q1299" i="21"/>
  <c r="Q73" i="21"/>
  <c r="Q1111" i="21"/>
  <c r="Q2565" i="21"/>
  <c r="Q2222" i="21"/>
  <c r="Q1617" i="21"/>
  <c r="Q825" i="21"/>
  <c r="Q2164" i="21"/>
  <c r="Q2034" i="21"/>
  <c r="Q2398" i="21"/>
  <c r="Q2379" i="21"/>
  <c r="Q377" i="21"/>
  <c r="Q1346" i="21"/>
  <c r="Q1230" i="21"/>
  <c r="Q1612" i="21"/>
  <c r="Q2380" i="21"/>
  <c r="Q236" i="21"/>
  <c r="Q1524" i="21"/>
  <c r="Q532" i="21"/>
  <c r="Q373" i="21"/>
  <c r="Q1800" i="21"/>
  <c r="Q113" i="21"/>
  <c r="Q1597" i="21"/>
  <c r="Q1554" i="21"/>
  <c r="Q1084" i="21"/>
  <c r="Q2312" i="21"/>
  <c r="Q1900" i="21"/>
  <c r="Q518" i="21"/>
  <c r="Q112" i="21"/>
  <c r="Q1548" i="21"/>
  <c r="Q2266" i="21"/>
  <c r="Q1275" i="21"/>
  <c r="Q1536" i="21"/>
  <c r="Q393" i="21"/>
  <c r="Q2257" i="21"/>
  <c r="Q1962" i="21"/>
  <c r="Q2132" i="21"/>
  <c r="Q740" i="21"/>
  <c r="Q945" i="21"/>
  <c r="Q1176" i="21"/>
  <c r="Q12" i="21"/>
  <c r="Q2529" i="21"/>
  <c r="Q1793" i="21"/>
  <c r="Q2500" i="21"/>
  <c r="Q1003" i="21"/>
  <c r="Q2508" i="21"/>
  <c r="Q1155" i="21"/>
  <c r="Q772" i="21"/>
  <c r="Q1438" i="21"/>
  <c r="Q1570" i="21"/>
  <c r="Q400" i="21"/>
  <c r="Q2573" i="21"/>
  <c r="Q1951" i="21"/>
  <c r="Q1801" i="21"/>
  <c r="Q923" i="21"/>
  <c r="Q2445" i="21"/>
  <c r="Q2421" i="21"/>
  <c r="Q429" i="21"/>
  <c r="Q1807" i="21"/>
  <c r="Q2497" i="21"/>
  <c r="Q1876" i="21"/>
  <c r="Q124" i="21"/>
  <c r="Q2506" i="21"/>
  <c r="Q2242" i="21"/>
  <c r="Q2095" i="21"/>
  <c r="Q1370" i="21"/>
  <c r="Q1992" i="21"/>
  <c r="Q60" i="21"/>
  <c r="Q2368" i="21"/>
  <c r="Q774" i="21"/>
  <c r="Q1417" i="21"/>
  <c r="Q1036" i="21"/>
  <c r="Q2535" i="21"/>
  <c r="Q2270" i="21"/>
  <c r="Q1855" i="21"/>
  <c r="Q1168" i="21"/>
  <c r="Q1830" i="21"/>
  <c r="Q607" i="21"/>
  <c r="Q1261" i="21"/>
  <c r="Q1912" i="21"/>
  <c r="Q1384" i="21"/>
  <c r="Q2509" i="21"/>
  <c r="Q2517" i="21"/>
  <c r="Q897" i="21"/>
  <c r="Q130" i="21"/>
  <c r="Q1462" i="21"/>
  <c r="Q2519" i="21"/>
  <c r="Q2259" i="21"/>
  <c r="Q2515" i="21"/>
  <c r="Q604" i="21"/>
  <c r="Q367" i="21"/>
  <c r="Q2351" i="21"/>
  <c r="Q1546" i="21"/>
  <c r="Q15" i="21"/>
  <c r="Q443" i="21"/>
  <c r="Q2484" i="21"/>
  <c r="Q2533" i="21"/>
  <c r="Q997" i="21"/>
  <c r="Q505" i="21"/>
  <c r="Q969" i="21"/>
  <c r="Q2159" i="21"/>
  <c r="Q2534" i="21"/>
  <c r="Q426" i="21"/>
  <c r="Q1132" i="21"/>
  <c r="Q2626" i="21"/>
  <c r="Q2468" i="21"/>
  <c r="Q550" i="21"/>
  <c r="Q5" i="21"/>
  <c r="Q379" i="21"/>
  <c r="Q570" i="21"/>
  <c r="Q1874" i="21"/>
  <c r="Q1279" i="21"/>
  <c r="Q1133" i="21"/>
  <c r="Q1442" i="21"/>
  <c r="Q2471" i="21"/>
  <c r="Q610" i="21"/>
  <c r="Q2216" i="21"/>
  <c r="Q76" i="21"/>
  <c r="Q1244" i="21"/>
  <c r="Q2575" i="21"/>
  <c r="Q1135" i="21"/>
  <c r="Q625" i="21"/>
  <c r="Q1774" i="21"/>
  <c r="Q10" i="21"/>
  <c r="Q2258" i="21"/>
  <c r="Q301" i="21"/>
  <c r="Q1203" i="21"/>
  <c r="Q180" i="21"/>
  <c r="Q1798" i="21"/>
  <c r="Q1383" i="21"/>
  <c r="Q1657" i="21"/>
  <c r="Q1293" i="21"/>
  <c r="Q30" i="21"/>
  <c r="Q8" i="21"/>
  <c r="Q129" i="21"/>
  <c r="Q2358" i="21"/>
  <c r="Q1049" i="21"/>
  <c r="Q311" i="21"/>
  <c r="Q975" i="21"/>
  <c r="Q628" i="21"/>
  <c r="Q1769" i="21"/>
  <c r="Q1796" i="21"/>
  <c r="Q1589" i="21"/>
  <c r="Q2003" i="21"/>
  <c r="Q2140" i="21"/>
  <c r="Q1083" i="21"/>
  <c r="Q125" i="21"/>
  <c r="Q1184" i="21"/>
  <c r="Q9" i="21"/>
  <c r="Q1923" i="21"/>
  <c r="Q860" i="21"/>
  <c r="Q1727" i="21"/>
  <c r="Q26" i="21"/>
  <c r="Q571" i="21"/>
  <c r="Q1704" i="21"/>
  <c r="Q2703" i="21"/>
  <c r="Q1499" i="21"/>
  <c r="Q658" i="21"/>
  <c r="Q2047" i="21"/>
  <c r="Q2546" i="21"/>
  <c r="Q83" i="21"/>
  <c r="Q1448" i="21"/>
  <c r="Q698" i="21"/>
  <c r="Q454" i="21"/>
  <c r="Q1231" i="21"/>
  <c r="Q2121" i="21"/>
  <c r="Q1621" i="21"/>
  <c r="Q786" i="21"/>
  <c r="Q1426" i="21"/>
  <c r="Q1374" i="21"/>
  <c r="Q2352" i="21"/>
  <c r="Q2661" i="21"/>
  <c r="Q401" i="21"/>
  <c r="Q742" i="21"/>
  <c r="Q406" i="21"/>
  <c r="Q1187" i="21"/>
  <c r="Q1112" i="21"/>
  <c r="Q2612" i="21"/>
  <c r="Q451" i="21"/>
  <c r="Q1208" i="21"/>
  <c r="Q787" i="21"/>
  <c r="Q151" i="21"/>
  <c r="Q1862" i="21"/>
  <c r="Q1292" i="21"/>
  <c r="Q1337" i="21"/>
  <c r="Q363" i="21"/>
  <c r="Q598" i="21"/>
  <c r="Q427" i="21"/>
  <c r="Q1712" i="21"/>
  <c r="Q2058" i="21"/>
  <c r="Q1324" i="21"/>
  <c r="Q546" i="21"/>
  <c r="Q1211" i="21"/>
  <c r="Q568" i="21"/>
  <c r="Q114" i="21"/>
  <c r="Q962" i="21"/>
  <c r="Q238" i="21"/>
  <c r="Q185" i="21"/>
  <c r="Q1562" i="21"/>
  <c r="Q72" i="21"/>
  <c r="Q1166" i="21"/>
  <c r="Q37" i="21"/>
  <c r="Q2138" i="21"/>
  <c r="Q61" i="21"/>
  <c r="Q675" i="21"/>
  <c r="Q1067" i="21"/>
  <c r="Q2644" i="21"/>
  <c r="Q1046" i="21"/>
  <c r="Q1253" i="21"/>
  <c r="Q121" i="21"/>
  <c r="Q520" i="21"/>
  <c r="Q1094" i="21"/>
  <c r="Q961" i="21"/>
  <c r="Q590" i="21"/>
  <c r="Q920" i="21"/>
  <c r="Q1985" i="21"/>
  <c r="Q919" i="21"/>
  <c r="Q1152" i="21"/>
  <c r="Q128" i="21"/>
  <c r="Q46" i="21"/>
  <c r="Q938" i="21"/>
  <c r="Q2553" i="21"/>
  <c r="Q1360" i="21"/>
  <c r="Q2569" i="21"/>
  <c r="Q195" i="21"/>
  <c r="Q1717" i="21"/>
  <c r="Q1534" i="21"/>
  <c r="Q1068" i="21"/>
  <c r="Q1656" i="21"/>
  <c r="Q249" i="21"/>
  <c r="Q2724" i="21"/>
  <c r="Q892" i="21"/>
  <c r="Q1117" i="21"/>
  <c r="Q1552" i="21"/>
  <c r="Q2070" i="21"/>
  <c r="Q310" i="21"/>
  <c r="Q52" i="21"/>
  <c r="Q1770" i="21"/>
  <c r="Q785" i="21"/>
  <c r="Q54" i="21"/>
  <c r="Q769" i="21"/>
  <c r="Q1303" i="21"/>
  <c r="Q619" i="21"/>
  <c r="Q1182" i="21"/>
  <c r="Q862" i="21"/>
  <c r="Q781" i="21"/>
  <c r="Q536" i="21"/>
  <c r="Q223" i="21"/>
  <c r="Q1314" i="21"/>
  <c r="Q64" i="21"/>
  <c r="Q835" i="21"/>
  <c r="Q1794" i="21"/>
  <c r="Q1123" i="21"/>
  <c r="Q120" i="21"/>
  <c r="Q2678" i="21"/>
  <c r="Q2236" i="21"/>
  <c r="Q27" i="21"/>
  <c r="Q150" i="21"/>
  <c r="Q511" i="21"/>
  <c r="Q1557" i="21"/>
  <c r="Q2621" i="21"/>
  <c r="Q2158" i="21"/>
  <c r="Q476" i="21"/>
  <c r="Q1283" i="21"/>
  <c r="Q1797" i="21"/>
  <c r="Q1197" i="21"/>
  <c r="Q829" i="21"/>
  <c r="Q1419" i="21"/>
  <c r="Q1579" i="21"/>
  <c r="Q1075" i="21"/>
  <c r="Q1938" i="21"/>
  <c r="Q483" i="21"/>
  <c r="Q918" i="21"/>
  <c r="Q554" i="21"/>
  <c r="Q430" i="21"/>
  <c r="Q875" i="21"/>
  <c r="Q1711" i="21"/>
  <c r="Q1551" i="21"/>
  <c r="Q1948" i="21"/>
  <c r="Q460" i="21"/>
  <c r="Q175" i="21"/>
  <c r="Q1188" i="21"/>
  <c r="Q810" i="21"/>
  <c r="Q105" i="21"/>
  <c r="Q2068" i="21"/>
  <c r="Q1483" i="21"/>
  <c r="Q2514" i="21"/>
  <c r="Q714" i="21"/>
  <c r="Q899" i="21"/>
  <c r="Q649" i="21"/>
  <c r="Q662" i="21"/>
  <c r="Q237" i="21"/>
  <c r="Q1827" i="21"/>
  <c r="Q162" i="21"/>
  <c r="Q32" i="21"/>
  <c r="Q922" i="21"/>
  <c r="Q2080" i="21"/>
  <c r="Q2662" i="21"/>
  <c r="Q636" i="21"/>
  <c r="Q1696" i="21"/>
  <c r="Q1984" i="21"/>
  <c r="Q1605" i="21"/>
  <c r="Q845" i="21"/>
  <c r="Q1137" i="21"/>
  <c r="Q747" i="21"/>
  <c r="Q455" i="21"/>
  <c r="Q1302" i="21"/>
  <c r="Q679" i="21"/>
  <c r="Q1086" i="21"/>
  <c r="Q1682" i="21"/>
  <c r="Q71" i="21"/>
  <c r="Q2463" i="21"/>
  <c r="Q724" i="21"/>
  <c r="Q601" i="21"/>
  <c r="Q1725" i="21"/>
  <c r="Q350" i="21"/>
  <c r="Q42" i="21"/>
  <c r="Q1667" i="21"/>
  <c r="Q1465" i="21"/>
  <c r="Q2108" i="21"/>
  <c r="Q1430" i="21"/>
  <c r="Q743" i="21"/>
  <c r="Q246" i="21"/>
  <c r="Q193" i="21"/>
  <c r="Q816" i="21"/>
  <c r="Q998" i="21"/>
  <c r="Q576" i="21"/>
  <c r="Q586" i="21"/>
  <c r="Q1145" i="21"/>
  <c r="Q2824" i="21"/>
  <c r="Q247" i="21"/>
  <c r="Q709" i="21"/>
  <c r="Q1297" i="21"/>
  <c r="Q1703" i="21"/>
  <c r="Q1692" i="21"/>
  <c r="Q736" i="21"/>
  <c r="Q1767" i="21"/>
  <c r="Q1729" i="21"/>
  <c r="Q1935" i="21"/>
  <c r="Q573" i="21"/>
  <c r="Q1304" i="21"/>
  <c r="Q179" i="21"/>
  <c r="Q895" i="21"/>
  <c r="Q2527" i="21"/>
  <c r="Q19" i="21"/>
  <c r="Q482" i="21"/>
  <c r="Q1675" i="21"/>
  <c r="Q424" i="21"/>
  <c r="Q1721" i="21"/>
  <c r="Q671" i="21"/>
  <c r="Q1454" i="21"/>
  <c r="Q1151" i="21"/>
  <c r="Q2145" i="21"/>
  <c r="Q131" i="21"/>
  <c r="Q323" i="21"/>
  <c r="Q738" i="21"/>
  <c r="Q778" i="21"/>
  <c r="Q751" i="21"/>
  <c r="Q1174" i="21"/>
  <c r="Q1377" i="21"/>
  <c r="Q55" i="21"/>
  <c r="Q565" i="21"/>
  <c r="Q342" i="21"/>
  <c r="Q1698" i="21"/>
  <c r="Q356" i="21"/>
  <c r="Q2657" i="21"/>
  <c r="Q1002" i="21"/>
  <c r="Q2295" i="21"/>
  <c r="Q1432" i="21"/>
  <c r="Q1001" i="21"/>
  <c r="Q1016" i="21"/>
  <c r="Q1611" i="21"/>
  <c r="Q1636" i="21"/>
  <c r="Q2857" i="21"/>
  <c r="Q1511" i="21"/>
  <c r="Q1073" i="21"/>
  <c r="Q588" i="21"/>
  <c r="Q1700" i="21"/>
  <c r="Q2231" i="21"/>
  <c r="Q2681" i="21"/>
  <c r="Q1522" i="21"/>
  <c r="Q640" i="21"/>
  <c r="Q1433" i="21"/>
  <c r="Q809" i="21"/>
  <c r="Q1196" i="21"/>
  <c r="Q1321" i="21"/>
  <c r="Q1884" i="21"/>
  <c r="Q1030" i="21"/>
  <c r="Q1447" i="21"/>
  <c r="Q1409" i="21"/>
  <c r="Q1535" i="21"/>
  <c r="Q441" i="21"/>
  <c r="Q181" i="21"/>
  <c r="Q1106" i="21"/>
  <c r="Q2456" i="21"/>
  <c r="Q86" i="21"/>
  <c r="Q407" i="21"/>
  <c r="Q1194" i="21"/>
  <c r="Q2614" i="21"/>
  <c r="Q1077" i="21"/>
  <c r="Q1280" i="21"/>
  <c r="Q176" i="21"/>
  <c r="Q2585" i="21"/>
  <c r="Q38" i="21"/>
  <c r="Q552" i="21"/>
  <c r="Q2428" i="21"/>
  <c r="Q1618" i="21"/>
  <c r="Q2150" i="21"/>
  <c r="Q2839" i="21"/>
  <c r="Q1310" i="21"/>
  <c r="Q75" i="21"/>
  <c r="Q1580" i="21"/>
  <c r="Q1445" i="21"/>
  <c r="Q1783" i="21"/>
  <c r="Q1955" i="21"/>
  <c r="Q795" i="21"/>
  <c r="Q428" i="21"/>
  <c r="Q2057" i="21"/>
  <c r="Q1289" i="21"/>
  <c r="Q1257" i="21"/>
  <c r="Q2184" i="21"/>
  <c r="Q574" i="21"/>
  <c r="Q1936" i="21"/>
  <c r="Q292" i="21"/>
  <c r="Q1249" i="21"/>
  <c r="Q906" i="21"/>
  <c r="Q933" i="21"/>
  <c r="Q1683" i="21"/>
  <c r="Q2097" i="21"/>
  <c r="Q936" i="21"/>
  <c r="Q1429" i="21"/>
  <c r="Q534" i="21"/>
  <c r="Q1243" i="21"/>
  <c r="Q1179" i="21"/>
  <c r="Q2432" i="21"/>
  <c r="Q214" i="21"/>
  <c r="Q2195" i="21"/>
  <c r="Q136" i="21"/>
  <c r="Q1322" i="21"/>
  <c r="Q2603" i="21"/>
  <c r="Q930" i="21"/>
  <c r="Q722" i="21"/>
  <c r="Q1622" i="21"/>
  <c r="Q25" i="21"/>
  <c r="Q459" i="21"/>
  <c r="Q1512" i="21"/>
  <c r="Q703" i="21"/>
  <c r="Q2783" i="21"/>
  <c r="Q1857" i="21"/>
  <c r="Q1064" i="21"/>
  <c r="Q2682" i="21"/>
  <c r="Q1468" i="21"/>
  <c r="Q2851" i="21"/>
  <c r="Q1018" i="21"/>
  <c r="Q409" i="21"/>
  <c r="Q1340" i="21"/>
  <c r="Q1484" i="21"/>
  <c r="Q1463" i="21"/>
  <c r="Q183" i="21"/>
  <c r="Q1444" i="21"/>
  <c r="Q49" i="21"/>
  <c r="Q2240" i="21"/>
  <c r="Q1173" i="21"/>
  <c r="Q1790" i="21"/>
  <c r="Q1694" i="21"/>
  <c r="Q1581" i="21"/>
  <c r="Q1033" i="21"/>
  <c r="Q1686" i="21"/>
  <c r="Q1529" i="21"/>
  <c r="Q2371" i="21"/>
  <c r="Q2321" i="21"/>
  <c r="Q1472" i="21"/>
  <c r="Q1278" i="21"/>
  <c r="Q351" i="21"/>
  <c r="Q2183" i="21"/>
  <c r="Q1412" i="21"/>
  <c r="Q2099" i="21"/>
  <c r="Q2812" i="21"/>
  <c r="Q1258" i="21"/>
  <c r="Q284" i="21"/>
  <c r="Q265" i="21"/>
  <c r="Q1722" i="21"/>
  <c r="Q1799" i="21"/>
  <c r="Q514" i="21"/>
  <c r="Q1477" i="21"/>
  <c r="Q1103" i="21"/>
  <c r="Q2078" i="21"/>
  <c r="Q2253" i="21"/>
  <c r="Q2754" i="21"/>
  <c r="Q1085" i="21"/>
  <c r="Q398" i="21"/>
  <c r="Q2738" i="21"/>
  <c r="Q2185" i="21"/>
  <c r="Q663" i="21"/>
  <c r="Q2625" i="21"/>
  <c r="Q1642" i="21"/>
  <c r="Q1087" i="21"/>
  <c r="Q558" i="21"/>
  <c r="Q1547" i="21"/>
  <c r="Q1306" i="21"/>
  <c r="Q1755" i="21"/>
  <c r="Q78" i="21"/>
  <c r="Q643" i="21"/>
  <c r="Q361" i="21"/>
  <c r="Q2865" i="21"/>
  <c r="Q188" i="21"/>
  <c r="Q1475" i="21"/>
  <c r="Q1564" i="21"/>
  <c r="Q1440" i="21"/>
  <c r="Q2726" i="21"/>
  <c r="Q2466" i="21"/>
  <c r="Q2397" i="21"/>
  <c r="Q1672" i="21"/>
  <c r="Q1515" i="21"/>
  <c r="Q602" i="21"/>
  <c r="Q893" i="21"/>
  <c r="Q2249" i="21"/>
  <c r="Q1525" i="21"/>
  <c r="Q182" i="21"/>
  <c r="Q1424" i="21"/>
  <c r="Q578" i="21"/>
  <c r="Q2594" i="21"/>
  <c r="Q1072" i="21"/>
  <c r="Q2329" i="21"/>
  <c r="Q1750" i="21"/>
  <c r="Q2526" i="21"/>
  <c r="Q2518" i="21"/>
  <c r="Q1485" i="21"/>
  <c r="Q1638" i="21"/>
  <c r="Q682" i="21"/>
  <c r="Q2278" i="21"/>
  <c r="Q1089" i="21"/>
  <c r="Q2252" i="21"/>
  <c r="Q720" i="21"/>
  <c r="Q84" i="21"/>
  <c r="Q1101" i="21"/>
  <c r="Q827" i="21"/>
  <c r="Q1732" i="21"/>
  <c r="Q2481" i="21"/>
  <c r="Q1658" i="21"/>
  <c r="Q1403" i="21"/>
  <c r="Q285" i="21"/>
  <c r="Q1784" i="21"/>
  <c r="Q2590" i="21"/>
  <c r="Q1028" i="21"/>
  <c r="Q2408" i="21"/>
  <c r="Q2695" i="21"/>
  <c r="Q1550" i="21"/>
  <c r="Q1610" i="21"/>
  <c r="Q808" i="21"/>
  <c r="Q638" i="21"/>
  <c r="Q1274" i="21"/>
  <c r="Q1646" i="21"/>
  <c r="Q1204" i="21"/>
  <c r="Q940" i="21"/>
  <c r="Q542" i="21"/>
  <c r="Q1183" i="21"/>
  <c r="Q1427" i="21"/>
  <c r="Q1348" i="21"/>
  <c r="Q966" i="21"/>
  <c r="Q1457" i="21"/>
  <c r="Q519" i="21"/>
  <c r="Q1421" i="21"/>
  <c r="Q439" i="21"/>
  <c r="Q283" i="21"/>
  <c r="Q1560" i="21"/>
  <c r="Q1728" i="21"/>
  <c r="Q194" i="21"/>
  <c r="Q1214" i="21"/>
  <c r="Q2347" i="21"/>
  <c r="Q87" i="21"/>
  <c r="Q690" i="21"/>
  <c r="Q948" i="21"/>
  <c r="Q2729" i="21"/>
  <c r="Q1217" i="21"/>
  <c r="Q659" i="21"/>
  <c r="Q74" i="21"/>
  <c r="Q153" i="21"/>
  <c r="Q2294" i="21"/>
  <c r="Q2714" i="21"/>
  <c r="Q2267" i="21"/>
  <c r="Q1543" i="21"/>
  <c r="Q697" i="21"/>
  <c r="Q1263" i="21"/>
  <c r="Q2175" i="21"/>
  <c r="Q1057" i="21"/>
  <c r="Q717" i="21"/>
  <c r="Q1871" i="21"/>
  <c r="Q639" i="21"/>
  <c r="Q1596" i="21"/>
  <c r="Q1507" i="21"/>
  <c r="Q302" i="21"/>
  <c r="Q2784" i="21"/>
  <c r="Q1486" i="21"/>
  <c r="Q1008" i="21"/>
  <c r="Q1114" i="21"/>
  <c r="Q688" i="21"/>
  <c r="Q256" i="21"/>
  <c r="Q2448" i="21"/>
  <c r="Q1702" i="21"/>
  <c r="Q70" i="21"/>
  <c r="Q2395" i="21"/>
  <c r="Q370" i="21"/>
  <c r="Q2212" i="21"/>
  <c r="Q1120" i="21"/>
  <c r="Q312" i="21"/>
  <c r="Q298" i="21"/>
  <c r="Q2498" i="21"/>
  <c r="Q2342" i="21"/>
  <c r="Q767" i="21"/>
  <c r="Q2128" i="21"/>
  <c r="Q1804" i="21"/>
  <c r="Q951" i="21"/>
  <c r="Q1509" i="21"/>
  <c r="Q1353" i="21"/>
  <c r="Q494" i="21"/>
  <c r="Q66" i="21"/>
  <c r="Q2198" i="21"/>
  <c r="Q138" i="21"/>
  <c r="Q1773" i="21"/>
  <c r="Q53" i="21"/>
  <c r="Q537" i="21"/>
  <c r="Q1572" i="21"/>
  <c r="Q1391" i="21"/>
  <c r="Q1699" i="21"/>
  <c r="Q988" i="21"/>
  <c r="Q1670" i="21"/>
  <c r="Q2856" i="21"/>
  <c r="Q1159" i="21"/>
  <c r="Q1563" i="21"/>
  <c r="Q1671" i="21"/>
  <c r="Q2378" i="21"/>
  <c r="Q1555" i="21"/>
  <c r="Q2151" i="21"/>
  <c r="Q43" i="21"/>
  <c r="Q187" i="21"/>
  <c r="Q2096" i="21"/>
  <c r="Q287" i="21"/>
  <c r="Q1503" i="21"/>
  <c r="Q2433" i="21"/>
  <c r="Q119" i="21"/>
  <c r="Q2382" i="21"/>
  <c r="Q839" i="21"/>
  <c r="Q88" i="21"/>
  <c r="Q911" i="21"/>
  <c r="Q1032" i="21"/>
  <c r="Q1363" i="21"/>
  <c r="Q2135" i="21"/>
  <c r="Q248" i="21"/>
  <c r="Q716" i="21"/>
  <c r="Q1708" i="21"/>
  <c r="Q854" i="21"/>
  <c r="Q739" i="21"/>
  <c r="Q1162" i="21"/>
  <c r="Q647" i="21"/>
  <c r="Q1023" i="21"/>
  <c r="Q208" i="21"/>
  <c r="Q1684" i="21"/>
  <c r="Q2339" i="21"/>
  <c r="Q760" i="21"/>
  <c r="Q203" i="21"/>
  <c r="Q1193" i="21"/>
  <c r="Q1126" i="21"/>
  <c r="Q1663" i="21"/>
  <c r="Q346" i="21"/>
  <c r="Q1713" i="21"/>
  <c r="Q300" i="21"/>
  <c r="Q1063" i="21"/>
  <c r="Q1051" i="21"/>
  <c r="Q2488" i="21"/>
  <c r="Q1311" i="21"/>
  <c r="Q1138" i="21"/>
  <c r="Q1035" i="21"/>
  <c r="Q1695" i="21"/>
  <c r="Q921" i="21"/>
  <c r="Q2277" i="21"/>
  <c r="Q1677" i="21"/>
  <c r="Q2161" i="21"/>
  <c r="Q1978" i="21"/>
  <c r="Q993" i="21"/>
  <c r="Q104" i="21"/>
  <c r="Q1549" i="21"/>
  <c r="Q981" i="21"/>
  <c r="Q1630" i="21"/>
  <c r="Q2841" i="21"/>
  <c r="Q1843" i="21"/>
  <c r="Q1676" i="21"/>
  <c r="Q1060" i="21"/>
  <c r="Q2741" i="21"/>
  <c r="Q422" i="21"/>
  <c r="Q1320" i="21"/>
  <c r="Q2820" i="21"/>
  <c r="Q146" i="21"/>
  <c r="Q1541" i="21"/>
  <c r="Q819" i="21"/>
  <c r="Q2160" i="21"/>
  <c r="Q1619" i="21"/>
  <c r="Q1241" i="21"/>
  <c r="Q820" i="21"/>
  <c r="Q2450" i="21"/>
  <c r="Q2540" i="21"/>
  <c r="Q1425" i="21"/>
  <c r="Q1685" i="21"/>
  <c r="Q1251" i="21"/>
  <c r="Q1399" i="21"/>
  <c r="Q2250" i="21"/>
  <c r="Q1386" i="21"/>
  <c r="Q44" i="21"/>
  <c r="Q1201" i="21"/>
  <c r="Q515" i="21"/>
  <c r="Q1495" i="21"/>
  <c r="Q677" i="21"/>
  <c r="Q970" i="21"/>
  <c r="Q1252" i="21"/>
  <c r="Q1434" i="21"/>
  <c r="Q2046" i="21"/>
  <c r="Q1531" i="21"/>
  <c r="Q1088" i="21"/>
  <c r="Q2213" i="21"/>
  <c r="Q1017" i="21"/>
  <c r="Q2315" i="21"/>
  <c r="Q2205" i="21"/>
  <c r="Q782" i="21"/>
  <c r="Q1481" i="21"/>
  <c r="Q41" i="21"/>
  <c r="Q959" i="21"/>
  <c r="Q664" i="21"/>
  <c r="Q1805" i="21"/>
  <c r="Q909" i="21"/>
  <c r="Q1981" i="21"/>
  <c r="Q1460" i="21"/>
  <c r="Q1571" i="21"/>
  <c r="Q2232" i="21"/>
  <c r="Q2349" i="21"/>
  <c r="Q793" i="21"/>
  <c r="Q108" i="21"/>
  <c r="Q1361" i="21"/>
  <c r="Q660" i="21"/>
  <c r="Q1999" i="21"/>
  <c r="Q2530" i="21"/>
  <c r="Q796" i="21"/>
  <c r="Q186" i="21"/>
  <c r="Q2303" i="21"/>
  <c r="Q737" i="21"/>
  <c r="Q2220" i="21"/>
  <c r="Q1061" i="21"/>
  <c r="Q1332" i="21"/>
  <c r="Q1019" i="21"/>
  <c r="Q1222" i="21"/>
  <c r="Q583" i="21"/>
  <c r="Q2502" i="21"/>
  <c r="Q103" i="21"/>
  <c r="Q2869" i="21"/>
  <c r="Q2165" i="21"/>
  <c r="Q2719" i="21"/>
  <c r="Q2788" i="21"/>
  <c r="Q1160" i="21"/>
  <c r="Q2214" i="21"/>
  <c r="Q1207" i="21"/>
  <c r="Q2713" i="21"/>
  <c r="Q533" i="21"/>
  <c r="Q2840" i="21"/>
  <c r="Q17" i="21"/>
  <c r="Q1039" i="21"/>
  <c r="Q1218" i="21"/>
  <c r="Q184" i="21"/>
  <c r="Q766" i="21"/>
  <c r="Q2700" i="21"/>
  <c r="Q6" i="21"/>
  <c r="Q1225" i="21"/>
  <c r="Q1345" i="21"/>
  <c r="Q1139" i="21"/>
  <c r="Q684" i="21"/>
  <c r="Q557" i="21"/>
  <c r="Q824" i="21"/>
  <c r="Q1009" i="21"/>
  <c r="Q2300" i="21"/>
  <c r="Q1926" i="21"/>
  <c r="Q348" i="21"/>
  <c r="Q1177" i="21"/>
  <c r="Q2645" i="21"/>
  <c r="Q2323" i="21"/>
  <c r="Q1186" i="21"/>
  <c r="Q1569" i="21"/>
  <c r="Q1325" i="21"/>
  <c r="Q1356" i="21"/>
  <c r="Q1140" i="21"/>
  <c r="Q48" i="21"/>
  <c r="Q929" i="21"/>
  <c r="Q1544" i="21"/>
  <c r="Q1308" i="21"/>
  <c r="Q584" i="21"/>
  <c r="Q634" i="21"/>
  <c r="Q1420" i="21"/>
  <c r="Q371" i="21"/>
  <c r="Q2202" i="21"/>
  <c r="Q2697" i="21"/>
  <c r="Q408" i="21"/>
  <c r="Q2771" i="21"/>
  <c r="Q2189" i="21"/>
  <c r="Q1514" i="21"/>
  <c r="Q844" i="21"/>
  <c r="Q1496" i="21"/>
  <c r="Q13" i="21"/>
  <c r="Q1405" i="21"/>
  <c r="Q730" i="21"/>
  <c r="Q2137" i="21"/>
  <c r="Q313" i="21"/>
  <c r="Q2076" i="21"/>
  <c r="Q2420" i="21"/>
  <c r="Q2624" i="21"/>
  <c r="Q2331" i="21"/>
  <c r="Q1347" i="21"/>
  <c r="Q110" i="21"/>
  <c r="Q1846" i="21"/>
  <c r="Q2197" i="21"/>
  <c r="Q744" i="21"/>
  <c r="Q1614" i="21"/>
  <c r="Q1946" i="21"/>
  <c r="Q1963" i="21"/>
  <c r="Q1082" i="21"/>
  <c r="Q1715" i="21"/>
  <c r="Q2085" i="21"/>
  <c r="Q143" i="21"/>
  <c r="Q2204" i="21"/>
  <c r="Q687" i="21"/>
  <c r="Q144" i="21"/>
  <c r="Q575" i="21"/>
  <c r="Q1376" i="21"/>
  <c r="Q2396" i="21"/>
  <c r="Q355" i="21"/>
  <c r="Q1357" i="21"/>
  <c r="Q2577" i="21"/>
  <c r="Q2426" i="21"/>
  <c r="Q1741" i="21"/>
  <c r="Q392" i="21"/>
  <c r="Q189" i="21"/>
  <c r="Q2744" i="21"/>
  <c r="Q1108" i="21"/>
  <c r="Q31" i="21"/>
  <c r="Q2039" i="21"/>
  <c r="Q2742" i="21"/>
  <c r="Q644" i="21"/>
  <c r="Q212" i="21"/>
  <c r="Q1273" i="21"/>
  <c r="Q1480" i="21"/>
  <c r="Q2522" i="21"/>
  <c r="Q2440" i="21"/>
  <c r="Q1847" i="21"/>
  <c r="Q2679" i="21"/>
  <c r="Q118" i="21"/>
  <c r="Q631" i="21"/>
  <c r="Q1185" i="21"/>
  <c r="Q2574" i="21"/>
  <c r="Q230" i="21"/>
  <c r="Q2174" i="21"/>
  <c r="Q1679" i="21"/>
  <c r="Q2285" i="21"/>
  <c r="Q1277" i="21"/>
  <c r="Q1382" i="21"/>
  <c r="Q252" i="21"/>
  <c r="Q2451" i="21"/>
  <c r="Q2136" i="21"/>
  <c r="Q270" i="21"/>
  <c r="Q1010" i="21"/>
  <c r="Q1312" i="21"/>
  <c r="Q276" i="21"/>
  <c r="Q1362" i="21"/>
  <c r="Q2613" i="21"/>
  <c r="Q1880" i="21"/>
  <c r="Q2206" i="21"/>
  <c r="Q2191" i="21"/>
  <c r="Q507" i="21"/>
  <c r="Q1090" i="21"/>
  <c r="Q205" i="21"/>
  <c r="Q1266" i="21"/>
  <c r="Q637" i="21"/>
  <c r="Q749" i="21"/>
  <c r="Q794" i="21"/>
  <c r="Q1113" i="21"/>
  <c r="Q648" i="21"/>
  <c r="Q756" i="21"/>
  <c r="Q1520" i="21"/>
  <c r="Q178" i="21"/>
  <c r="Q764" i="21"/>
  <c r="Q1291" i="21"/>
  <c r="Q768" i="21"/>
  <c r="Q1331" i="21"/>
  <c r="Q880" i="21"/>
  <c r="Q905" i="21"/>
  <c r="Q581" i="21"/>
  <c r="Q1856" i="21"/>
  <c r="Q667" i="21"/>
  <c r="Q965" i="21"/>
  <c r="Q1542" i="21"/>
  <c r="Q741" i="21"/>
  <c r="Q567" i="21"/>
  <c r="Q1998" i="21"/>
  <c r="Q2082" i="21"/>
  <c r="Q797" i="21"/>
  <c r="Q1144" i="21"/>
  <c r="Q123" i="21"/>
  <c r="Q1341" i="21"/>
  <c r="Q725" i="21"/>
  <c r="Q931" i="21"/>
  <c r="Q1372" i="21"/>
  <c r="Q62" i="21"/>
  <c r="Q1738" i="21"/>
  <c r="Q2065" i="21"/>
  <c r="Q1500" i="21"/>
  <c r="Q1758" i="21"/>
  <c r="Q16" i="21"/>
  <c r="Q2770" i="21"/>
  <c r="Q1873" i="21"/>
  <c r="Q1216" i="21"/>
  <c r="Q2427" i="21"/>
  <c r="Q1919" i="21"/>
  <c r="Q670" i="21"/>
  <c r="Q1764" i="21"/>
  <c r="Q2144" i="21"/>
  <c r="Q932" i="21"/>
  <c r="Q1105" i="21"/>
  <c r="Q1627" i="21"/>
  <c r="Q331" i="21"/>
  <c r="Q147" i="21"/>
  <c r="Q947" i="21"/>
  <c r="Q758" i="21"/>
  <c r="Q2156" i="21"/>
  <c r="Q874" i="21"/>
  <c r="Q1762" i="21"/>
  <c r="Q465" i="21"/>
  <c r="Q2241" i="21"/>
  <c r="Q2049" i="21"/>
  <c r="Q339" i="21"/>
  <c r="Q204" i="21"/>
  <c r="Q828" i="21"/>
  <c r="Q2465" i="21"/>
  <c r="Q804" i="21"/>
  <c r="Q780" i="21"/>
  <c r="Q453" i="21"/>
  <c r="Q753" i="21"/>
  <c r="Q879" i="21"/>
  <c r="Q456" i="21"/>
  <c r="Q971" i="21"/>
  <c r="Q2052" i="21"/>
  <c r="Q1726" i="21"/>
  <c r="Q1501" i="21"/>
  <c r="Q1007" i="21"/>
  <c r="Q69" i="21"/>
  <c r="Q693" i="21"/>
  <c r="Q734" i="21"/>
  <c r="Q2026" i="21"/>
  <c r="Q806" i="21"/>
  <c r="Q2797" i="21"/>
  <c r="Q789" i="21"/>
  <c r="Q412" i="21"/>
  <c r="Q1594" i="21"/>
  <c r="Q475" i="21"/>
  <c r="Q1390" i="21"/>
  <c r="Q2861" i="21"/>
  <c r="Q2858" i="21"/>
  <c r="Q805" i="21"/>
  <c r="Q2338" i="21"/>
  <c r="Q2031" i="21"/>
  <c r="Q2274" i="21"/>
  <c r="Q1449" i="21"/>
  <c r="Q2794" i="21"/>
  <c r="Q314" i="21"/>
  <c r="Q1125" i="21"/>
  <c r="Q2591" i="21"/>
  <c r="Q1505" i="21"/>
  <c r="Q900" i="21"/>
  <c r="Q1996" i="21"/>
  <c r="Q712" i="21"/>
  <c r="Q1863" i="21"/>
  <c r="Q2579" i="21"/>
  <c r="Q1965" i="21"/>
  <c r="Q1058" i="21"/>
  <c r="Q299" i="21"/>
  <c r="Q2631" i="21"/>
  <c r="Q754" i="21"/>
  <c r="Q1066" i="21"/>
  <c r="Q1508" i="21"/>
  <c r="Q200" i="21"/>
  <c r="Q818" i="21"/>
  <c r="Q1070" i="21"/>
  <c r="Q2792" i="21"/>
  <c r="Q2576" i="21"/>
  <c r="Q1490" i="21"/>
  <c r="Q296" i="21"/>
  <c r="Q2412" i="21"/>
  <c r="Q1882" i="21"/>
  <c r="Q1223" i="21"/>
  <c r="Q474" i="21"/>
  <c r="Q2557" i="21"/>
  <c r="Q1385" i="21"/>
  <c r="Q902" i="21"/>
  <c r="Q304" i="21"/>
  <c r="Q466" i="21"/>
  <c r="Q2361" i="21"/>
  <c r="Q2829" i="21"/>
  <c r="Q1915" i="21"/>
  <c r="Q978" i="21"/>
  <c r="Q1034" i="21"/>
  <c r="Q1693" i="21"/>
  <c r="Q1213" i="21"/>
  <c r="Q2690" i="21"/>
  <c r="Q2392" i="21"/>
  <c r="Q152" i="21"/>
  <c r="Q999" i="21"/>
  <c r="Q613" i="21"/>
  <c r="Q1595" i="21"/>
  <c r="Q449" i="21"/>
  <c r="Q135" i="21"/>
  <c r="Q2455" i="21"/>
  <c r="Q1875" i="21"/>
  <c r="Q163" i="21"/>
  <c r="Q117" i="21"/>
  <c r="Q974" i="21"/>
  <c r="Q2769" i="21"/>
  <c r="Q157" i="21"/>
  <c r="Q1988" i="21"/>
  <c r="Q275" i="21"/>
  <c r="Q2461" i="21"/>
  <c r="Q831" i="21"/>
  <c r="Q2578" i="21"/>
  <c r="Q500" i="21"/>
  <c r="Q472" i="21"/>
  <c r="Q1004" i="21"/>
  <c r="Q2059" i="21"/>
  <c r="Q1233" i="21"/>
  <c r="Q1397" i="21"/>
  <c r="Q2271" i="21"/>
  <c r="Q811" i="21"/>
  <c r="Q1763" i="21"/>
  <c r="Q1221" i="21"/>
  <c r="Q387" i="21"/>
  <c r="Q446" i="21"/>
  <c r="Q2513" i="21"/>
  <c r="Q45" i="21"/>
  <c r="Q166" i="21"/>
  <c r="Q2516" i="21"/>
  <c r="Q59" i="21"/>
  <c r="Q2460" i="21"/>
  <c r="Q2467" i="21"/>
  <c r="Q591" i="21"/>
  <c r="Q713" i="21"/>
  <c r="Q2103" i="21"/>
  <c r="Q2414" i="21"/>
  <c r="Q1608" i="21"/>
  <c r="Q1015" i="21"/>
  <c r="Q626" i="21"/>
  <c r="Q2452" i="21"/>
  <c r="Q1315" i="21"/>
  <c r="Q757" i="21"/>
  <c r="Q2640" i="21"/>
  <c r="Q2531" i="21"/>
  <c r="Q745" i="21"/>
  <c r="Q221" i="21"/>
  <c r="Q40" i="21"/>
  <c r="Q2523" i="21"/>
  <c r="Q85" i="21"/>
  <c r="Q2009" i="21"/>
  <c r="Q1287" i="21"/>
  <c r="Q2501" i="21"/>
  <c r="Q2512" i="21"/>
  <c r="Q2297" i="21"/>
  <c r="Q1326" i="21"/>
  <c r="Q1055" i="21"/>
  <c r="Q674" i="21"/>
  <c r="Q2487" i="21"/>
  <c r="Q161" i="21"/>
  <c r="Q1127" i="21"/>
  <c r="Q2630" i="21"/>
  <c r="Q587" i="21"/>
  <c r="Q2168" i="21"/>
  <c r="Q464" i="21"/>
  <c r="Q2637" i="21"/>
  <c r="Q209" i="21"/>
  <c r="Q1271" i="21"/>
  <c r="Q423" i="21"/>
  <c r="Q2056" i="21"/>
  <c r="Q1812" i="21"/>
  <c r="Q418" i="21"/>
  <c r="Q852" i="21"/>
  <c r="Q779" i="21"/>
  <c r="Q2179" i="21"/>
  <c r="Q1983" i="21"/>
  <c r="Q623" i="21"/>
  <c r="Q834" i="21"/>
  <c r="Q1172" i="21"/>
  <c r="Q2668" i="21"/>
  <c r="Q1267" i="21"/>
  <c r="Q1069" i="21"/>
  <c r="Q2025" i="21"/>
  <c r="Q318" i="21"/>
  <c r="Q2064" i="21"/>
  <c r="Q2077" i="21"/>
  <c r="Q2269" i="21"/>
  <c r="Q1212" i="21"/>
  <c r="Q1294" i="21"/>
  <c r="Q770" i="21"/>
  <c r="Q728" i="21"/>
  <c r="Q1043" i="21"/>
  <c r="Q553" i="21"/>
  <c r="Q2785" i="21"/>
  <c r="Q1455" i="21"/>
  <c r="Q218" i="21"/>
  <c r="Q1190" i="21"/>
  <c r="Q1917" i="21"/>
  <c r="Q29" i="21"/>
  <c r="Q2787" i="21"/>
  <c r="Q836" i="21"/>
  <c r="Q201" i="21"/>
  <c r="Q1219" i="21"/>
  <c r="Q1052" i="21"/>
  <c r="Q1593" i="21"/>
  <c r="Q1979" i="21"/>
  <c r="Q309" i="21"/>
  <c r="Q1136" i="21"/>
  <c r="Q2055" i="21"/>
  <c r="Q2422" i="21"/>
  <c r="Q1295" i="21"/>
  <c r="Q239" i="21"/>
  <c r="Q783" i="21"/>
  <c r="Q2669" i="21"/>
  <c r="Q746" i="21"/>
  <c r="Q1148" i="21"/>
  <c r="Q444" i="21"/>
  <c r="Q984" i="21"/>
  <c r="Q1626" i="21"/>
  <c r="Q1149" i="21"/>
  <c r="Q2883" i="21"/>
  <c r="Q968" i="21"/>
  <c r="Q600" i="21"/>
  <c r="Q2663" i="21"/>
  <c r="Q1150" i="21"/>
  <c r="Q2826" i="21"/>
  <c r="Q1842" i="21"/>
  <c r="Q718" i="21"/>
  <c r="Q686" i="21"/>
  <c r="Q1313" i="21"/>
  <c r="Q1928" i="21"/>
  <c r="Q837" i="21"/>
  <c r="Q2306" i="21"/>
  <c r="Q1916" i="21"/>
  <c r="Q191" i="21"/>
  <c r="Q540" i="21"/>
  <c r="Q771" i="21"/>
  <c r="Q884" i="21"/>
  <c r="Q846" i="21"/>
  <c r="Q878" i="21"/>
  <c r="Q790" i="21"/>
  <c r="Q939" i="21"/>
  <c r="Q990" i="21"/>
  <c r="Q1518" i="21"/>
  <c r="Q842" i="21"/>
  <c r="Q335" i="21"/>
  <c r="Q2320" i="21"/>
  <c r="Q385" i="21"/>
  <c r="Q2122" i="21"/>
  <c r="Q384" i="21"/>
  <c r="Q2211" i="21"/>
  <c r="Q286" i="21"/>
  <c r="Q1720" i="21"/>
  <c r="Q2670" i="21"/>
  <c r="Q366" i="21"/>
  <c r="Q1723" i="21"/>
  <c r="Q2562" i="21"/>
  <c r="Q669" i="21"/>
  <c r="R319" i="21"/>
  <c r="R2473" i="21"/>
  <c r="R1300" i="21"/>
  <c r="R2494" i="21"/>
  <c r="R365" i="21"/>
  <c r="R1461" i="21"/>
  <c r="R50" i="21"/>
  <c r="R2133" i="21"/>
  <c r="R2194" i="21"/>
  <c r="R2366" i="21"/>
  <c r="R2369" i="21"/>
  <c r="R2219" i="21"/>
  <c r="R2181" i="21"/>
  <c r="R89" i="21"/>
  <c r="R1371" i="21"/>
  <c r="R1147" i="21"/>
  <c r="R2110" i="21"/>
  <c r="R2268" i="21"/>
  <c r="R917" i="21"/>
  <c r="R2324" i="21"/>
  <c r="R2316" i="21"/>
  <c r="R1436" i="21"/>
  <c r="R1607" i="21"/>
  <c r="R2350" i="21"/>
  <c r="R606" i="21"/>
  <c r="R1286" i="21"/>
  <c r="R1307" i="21"/>
  <c r="R2104" i="21"/>
  <c r="R2317" i="21"/>
  <c r="R2434" i="21"/>
  <c r="R2341" i="21"/>
  <c r="R2201" i="21"/>
  <c r="R890" i="21"/>
  <c r="R1740" i="21"/>
  <c r="R2143" i="21"/>
  <c r="R1205" i="21"/>
  <c r="R650" i="21"/>
  <c r="R1351" i="21"/>
  <c r="R2470" i="21"/>
  <c r="R2276" i="21"/>
  <c r="R2203" i="21"/>
  <c r="R1909" i="21"/>
  <c r="R2072" i="21"/>
  <c r="R2604" i="21"/>
  <c r="R2545" i="21"/>
  <c r="R2406" i="21"/>
  <c r="R1559" i="21"/>
  <c r="R1782" i="21"/>
  <c r="R2691" i="21"/>
  <c r="R2264" i="21"/>
  <c r="R2227" i="21"/>
  <c r="R2489" i="21"/>
  <c r="R1142" i="21"/>
  <c r="R2125" i="21"/>
  <c r="R2109" i="21"/>
  <c r="R2314" i="21"/>
  <c r="R1367" i="21"/>
  <c r="R1349" i="21"/>
  <c r="R1943" i="21"/>
  <c r="R2480" i="21"/>
  <c r="R2357" i="21"/>
  <c r="R2478" i="21"/>
  <c r="R2113" i="21"/>
  <c r="R1246" i="21"/>
  <c r="R2265" i="21"/>
  <c r="R1323" i="21"/>
  <c r="R2618" i="21"/>
  <c r="R2289" i="21"/>
  <c r="R1428" i="21"/>
  <c r="R2275" i="21"/>
  <c r="R1780" i="21"/>
  <c r="R1095" i="21"/>
  <c r="R1226" i="21"/>
  <c r="R2033" i="21"/>
  <c r="R1288" i="21"/>
  <c r="R445" i="21"/>
  <c r="R2177" i="21"/>
  <c r="R2551" i="21"/>
  <c r="R1443" i="21"/>
  <c r="R2600" i="21"/>
  <c r="R605" i="21"/>
  <c r="R2298" i="21"/>
  <c r="R2199" i="21"/>
  <c r="R1247" i="21"/>
  <c r="R1883" i="21"/>
  <c r="R2112" i="21"/>
  <c r="R2030" i="21"/>
  <c r="R353" i="21"/>
  <c r="R2525" i="21"/>
  <c r="R2238" i="21"/>
  <c r="R2375" i="21"/>
  <c r="R2207" i="21"/>
  <c r="R2353" i="21"/>
  <c r="R2260" i="21"/>
  <c r="R1431" i="21"/>
  <c r="R2313" i="21"/>
  <c r="R2584" i="21"/>
  <c r="R1282" i="21"/>
  <c r="R1894" i="21"/>
  <c r="R1545" i="21"/>
  <c r="R2182" i="21"/>
  <c r="R1143" i="21"/>
  <c r="R1469" i="21"/>
  <c r="R1459" i="21"/>
  <c r="R2491" i="21"/>
  <c r="R2532" i="21"/>
  <c r="R513" i="21"/>
  <c r="R2510" i="21"/>
  <c r="R509" i="21"/>
  <c r="R2111" i="21"/>
  <c r="R2541" i="21"/>
  <c r="R2228" i="21"/>
  <c r="R2124" i="21"/>
  <c r="R2462" i="21"/>
  <c r="R1592" i="21"/>
  <c r="R2479" i="21"/>
  <c r="R2359" i="21"/>
  <c r="R2400" i="21"/>
  <c r="R2528" i="21"/>
  <c r="R1971" i="21"/>
  <c r="R2364" i="21"/>
  <c r="R2354" i="21"/>
  <c r="R2499" i="21"/>
  <c r="R2490" i="21"/>
  <c r="R2209" i="21"/>
  <c r="R2372" i="21"/>
  <c r="R2831" i="21"/>
  <c r="R2429" i="21"/>
  <c r="R861" i="21"/>
  <c r="R2127" i="21"/>
  <c r="R2188" i="21"/>
  <c r="R2417" i="21"/>
  <c r="R2524" i="21"/>
  <c r="R2115" i="21"/>
  <c r="R2454" i="21"/>
  <c r="R2492" i="21"/>
  <c r="R1238" i="21"/>
  <c r="R2345" i="21"/>
  <c r="R2477" i="21"/>
  <c r="R2407" i="21"/>
  <c r="R2360" i="21"/>
  <c r="R1416" i="21"/>
  <c r="R2550" i="21"/>
  <c r="R2537" i="21"/>
  <c r="R1121" i="21"/>
  <c r="R2832" i="21"/>
  <c r="R2178" i="21"/>
  <c r="R901" i="21"/>
  <c r="R2475" i="21"/>
  <c r="R1604" i="21"/>
  <c r="R2239" i="21"/>
  <c r="R1097" i="21"/>
  <c r="R2511" i="21"/>
  <c r="R2418" i="21"/>
  <c r="R1678" i="21"/>
  <c r="R1942" i="21"/>
  <c r="R1081" i="21"/>
  <c r="R1940" i="21"/>
  <c r="R1202" i="21"/>
  <c r="R1368" i="21"/>
  <c r="R1802" i="21"/>
  <c r="R1259" i="21"/>
  <c r="R1691" i="21"/>
  <c r="R642" i="21"/>
  <c r="R2256" i="21"/>
  <c r="R680" i="21"/>
  <c r="R946" i="21"/>
  <c r="R2131" i="21"/>
  <c r="R1513" i="21"/>
  <c r="R1157" i="21"/>
  <c r="R2521" i="21"/>
  <c r="R1414" i="21"/>
  <c r="R2439" i="21"/>
  <c r="R2561" i="21"/>
  <c r="R2505" i="21"/>
  <c r="R924" i="21"/>
  <c r="R4" i="21"/>
  <c r="R1410" i="21"/>
  <c r="R262" i="21"/>
  <c r="R1296" i="21"/>
  <c r="R1262" i="21"/>
  <c r="R1041" i="21"/>
  <c r="R1937" i="21"/>
  <c r="R1339" i="21"/>
  <c r="R1319" i="21"/>
  <c r="R2698" i="21"/>
  <c r="R2365" i="21"/>
  <c r="R2495" i="21"/>
  <c r="R1254" i="21"/>
  <c r="R1272" i="21"/>
  <c r="R2063" i="21"/>
  <c r="R2281" i="21"/>
  <c r="R1122" i="21"/>
  <c r="R2229" i="21"/>
  <c r="R2225" i="21"/>
  <c r="R1215" i="21"/>
  <c r="R2628" i="21"/>
  <c r="R1269" i="21"/>
  <c r="R2472" i="21"/>
  <c r="R68" i="21"/>
  <c r="R673" i="21"/>
  <c r="R2374" i="21"/>
  <c r="R2120" i="21"/>
  <c r="R1818" i="21"/>
  <c r="R2458" i="21"/>
  <c r="R2602" i="21"/>
  <c r="R1171" i="21"/>
  <c r="R1662" i="21"/>
  <c r="R2107" i="21"/>
  <c r="R2235" i="21"/>
  <c r="R2390" i="21"/>
  <c r="R2608" i="21"/>
  <c r="R926" i="21"/>
  <c r="R987" i="21"/>
  <c r="R2558" i="21"/>
  <c r="R1885" i="21"/>
  <c r="R2476" i="21"/>
  <c r="R2486" i="21"/>
  <c r="R2556" i="21"/>
  <c r="R2192" i="21"/>
  <c r="R1375" i="21"/>
  <c r="R2385" i="21"/>
  <c r="R1731" i="21"/>
  <c r="R2539" i="21"/>
  <c r="R1779" i="21"/>
  <c r="R2438" i="21"/>
  <c r="R1902" i="21"/>
  <c r="R1165" i="21"/>
  <c r="R1379" i="21"/>
  <c r="R1781" i="21"/>
  <c r="R1949" i="21"/>
  <c r="R1533" i="21"/>
  <c r="R750" i="21"/>
  <c r="R1284" i="21"/>
  <c r="R1407" i="21"/>
  <c r="R1200" i="21"/>
  <c r="R1765" i="21"/>
  <c r="R484" i="21"/>
  <c r="R347" i="21"/>
  <c r="R2100" i="21"/>
  <c r="R2326" i="21"/>
  <c r="R654" i="21"/>
  <c r="R1527" i="21"/>
  <c r="R1435" i="21"/>
  <c r="R1892" i="21"/>
  <c r="R2105" i="21"/>
  <c r="R792" i="21"/>
  <c r="R1012" i="21"/>
  <c r="R1815" i="21"/>
  <c r="R1506" i="21"/>
  <c r="R2098" i="21"/>
  <c r="R2581" i="21"/>
  <c r="R1661" i="21"/>
  <c r="R2580" i="21"/>
  <c r="R2723" i="21"/>
  <c r="R624" i="21"/>
  <c r="R1056" i="21"/>
  <c r="R2273" i="21"/>
  <c r="R1373" i="21"/>
  <c r="R2062" i="21"/>
  <c r="R807" i="21"/>
  <c r="R1131" i="21"/>
  <c r="R1532" i="21"/>
  <c r="R1042" i="21"/>
  <c r="R2387" i="21"/>
  <c r="R65" i="21"/>
  <c r="R2142" i="21"/>
  <c r="R2441" i="21"/>
  <c r="R2118" i="21"/>
  <c r="R589" i="21"/>
  <c r="R983" i="21"/>
  <c r="R1301" i="21"/>
  <c r="R1964" i="21"/>
  <c r="R1170" i="21"/>
  <c r="R2215" i="21"/>
  <c r="R332" i="21"/>
  <c r="R438" i="21"/>
  <c r="R2447" i="21"/>
  <c r="R1660" i="21"/>
  <c r="R2287" i="21"/>
  <c r="R2318" i="21"/>
  <c r="R1309" i="21"/>
  <c r="R1960" i="21"/>
  <c r="R1169" i="21"/>
  <c r="R1198" i="21"/>
  <c r="R1344" i="21"/>
  <c r="R2245" i="21"/>
  <c r="R1290" i="21"/>
  <c r="R2024" i="21"/>
  <c r="R1868" i="21"/>
  <c r="R1378" i="21"/>
  <c r="R1967" i="21"/>
  <c r="R1849" i="21"/>
  <c r="R1305" i="21"/>
  <c r="R2589" i="21"/>
  <c r="R100" i="21"/>
  <c r="R773" i="21"/>
  <c r="R1107" i="21"/>
  <c r="R18" i="21"/>
  <c r="R2200" i="21"/>
  <c r="R1566" i="21"/>
  <c r="R1467" i="21"/>
  <c r="R949" i="21"/>
  <c r="R2246" i="21"/>
  <c r="R645" i="21"/>
  <c r="R1538" i="21"/>
  <c r="R1920" i="21"/>
  <c r="R2173" i="21"/>
  <c r="R440" i="21"/>
  <c r="R2639" i="21"/>
  <c r="R2299" i="21"/>
  <c r="R2656" i="21"/>
  <c r="R2230" i="21"/>
  <c r="R1109" i="21"/>
  <c r="R2263" i="21"/>
  <c r="R1724" i="21"/>
  <c r="R1335" i="21"/>
  <c r="R721" i="21"/>
  <c r="R165" i="21"/>
  <c r="R2751" i="21"/>
  <c r="R1972" i="21"/>
  <c r="R217" i="21"/>
  <c r="R1669" i="21"/>
  <c r="R2423" i="21"/>
  <c r="R1059" i="21"/>
  <c r="R2389" i="21"/>
  <c r="R1809" i="21"/>
  <c r="R1939" i="21"/>
  <c r="R1929" i="21"/>
  <c r="R775" i="21"/>
  <c r="R2071" i="21"/>
  <c r="R94" i="21"/>
  <c r="R1853" i="21"/>
  <c r="R1336" i="21"/>
  <c r="R431" i="21"/>
  <c r="R2079" i="21"/>
  <c r="R1911" i="21"/>
  <c r="R2302" i="21"/>
  <c r="R480" i="21"/>
  <c r="R2425" i="21"/>
  <c r="R1651" i="21"/>
  <c r="R442" i="21"/>
  <c r="R2101" i="21"/>
  <c r="R2251" i="21"/>
  <c r="R665" i="21"/>
  <c r="R1828" i="21"/>
  <c r="R523" i="21"/>
  <c r="R1270" i="21"/>
  <c r="R1199" i="21"/>
  <c r="R883" i="21"/>
  <c r="R1688" i="21"/>
  <c r="R1355" i="21"/>
  <c r="R849" i="21"/>
  <c r="R1756" i="21"/>
  <c r="R1178" i="21"/>
  <c r="R2248" i="21"/>
  <c r="R2279" i="21"/>
  <c r="R2623" i="21"/>
  <c r="R765" i="21"/>
  <c r="R1256" i="21"/>
  <c r="R2066" i="21"/>
  <c r="R1146" i="21"/>
  <c r="R93" i="21"/>
  <c r="R1833" i="21"/>
  <c r="R1464" i="21"/>
  <c r="R1719" i="21"/>
  <c r="R102" i="21"/>
  <c r="R2022" i="21"/>
  <c r="R547" i="21"/>
  <c r="R1854" i="21"/>
  <c r="R156" i="21"/>
  <c r="R2334" i="21"/>
  <c r="R1181" i="21"/>
  <c r="R1736" i="21"/>
  <c r="R2615" i="21"/>
  <c r="R2493" i="21"/>
  <c r="R761" i="21"/>
  <c r="R848" i="21"/>
  <c r="R1098" i="21"/>
  <c r="R1664" i="21"/>
  <c r="R2731" i="21"/>
  <c r="R1859" i="21"/>
  <c r="R2620" i="21"/>
  <c r="R396" i="21"/>
  <c r="R14" i="21"/>
  <c r="R723" i="21"/>
  <c r="R2004" i="21"/>
  <c r="R1687" i="21"/>
  <c r="R354" i="21"/>
  <c r="R1228" i="21"/>
  <c r="R1786" i="21"/>
  <c r="R2356" i="21"/>
  <c r="R915" i="21"/>
  <c r="R857" i="21"/>
  <c r="R1752" i="21"/>
  <c r="R404" i="21"/>
  <c r="R821" i="21"/>
  <c r="R676" i="21"/>
  <c r="R1969" i="21"/>
  <c r="R2593" i="21"/>
  <c r="R609" i="21"/>
  <c r="R1716" i="21"/>
  <c r="R596" i="21"/>
  <c r="R1941" i="21"/>
  <c r="R1954" i="21"/>
  <c r="R1906" i="21"/>
  <c r="R2837" i="21"/>
  <c r="R1903" i="21"/>
  <c r="R2247" i="21"/>
  <c r="R1316" i="21"/>
  <c r="R1706" i="21"/>
  <c r="R2601" i="21"/>
  <c r="R7" i="21"/>
  <c r="R886" i="21"/>
  <c r="R1167" i="21"/>
  <c r="R1260" i="21"/>
  <c r="R67" i="21"/>
  <c r="R359" i="21"/>
  <c r="R1899" i="21"/>
  <c r="R1865" i="21"/>
  <c r="R2304" i="21"/>
  <c r="R1737" i="21"/>
  <c r="R2436" i="21"/>
  <c r="R1408" i="21"/>
  <c r="R2641" i="21"/>
  <c r="R913" i="21"/>
  <c r="R364" i="21"/>
  <c r="R2048" i="21"/>
  <c r="R2496" i="21"/>
  <c r="R876" i="21"/>
  <c r="R1195" i="21"/>
  <c r="R904" i="21"/>
  <c r="R1568" i="21"/>
  <c r="R2675" i="21"/>
  <c r="R1655" i="21"/>
  <c r="R174" i="21"/>
  <c r="R2401" i="21"/>
  <c r="R2301" i="21"/>
  <c r="R479" i="21"/>
  <c r="R2036" i="21"/>
  <c r="R777" i="21"/>
  <c r="R457" i="21"/>
  <c r="R1609" i="21"/>
  <c r="R685" i="21"/>
  <c r="R762" i="21"/>
  <c r="R1844" i="21"/>
  <c r="R148" i="21"/>
  <c r="R1680" i="21"/>
  <c r="R469" i="21"/>
  <c r="R1575" i="21"/>
  <c r="R419" i="21"/>
  <c r="R2272" i="21"/>
  <c r="R2319" i="21"/>
  <c r="R1047" i="21"/>
  <c r="R2196" i="21"/>
  <c r="R2469" i="21"/>
  <c r="R2728" i="21"/>
  <c r="R1388" i="21"/>
  <c r="R1869" i="21"/>
  <c r="R421" i="21"/>
  <c r="R1040" i="21"/>
  <c r="R2549" i="21"/>
  <c r="R1924" i="21"/>
  <c r="R2689" i="21"/>
  <c r="R2223" i="21"/>
  <c r="R2504" i="21"/>
  <c r="R115" i="21"/>
  <c r="R2217" i="21"/>
  <c r="R206" i="21"/>
  <c r="R826" i="21"/>
  <c r="R799" i="21"/>
  <c r="R2126" i="21"/>
  <c r="R2237" i="21"/>
  <c r="R1925" i="21"/>
  <c r="R1776" i="21"/>
  <c r="R1439" i="21"/>
  <c r="R655" i="21"/>
  <c r="R1110" i="21"/>
  <c r="R2146" i="21"/>
  <c r="R871" i="21"/>
  <c r="R1751" i="21"/>
  <c r="R1298" i="21"/>
  <c r="R1632" i="21"/>
  <c r="R2255" i="21"/>
  <c r="R1413" i="21"/>
  <c r="R137" i="21"/>
  <c r="R327" i="21"/>
  <c r="R1164" i="21"/>
  <c r="R2114" i="21"/>
  <c r="R1851" i="21"/>
  <c r="R56" i="21"/>
  <c r="R2431" i="21"/>
  <c r="R434" i="21"/>
  <c r="R2346" i="21"/>
  <c r="R334" i="21"/>
  <c r="R870" i="21"/>
  <c r="R937" i="21"/>
  <c r="R1858" i="21"/>
  <c r="R487" i="21"/>
  <c r="R2386" i="21"/>
  <c r="R916" i="21"/>
  <c r="R817" i="21"/>
  <c r="R2102" i="21"/>
  <c r="R1446" i="21"/>
  <c r="R776" i="21"/>
  <c r="R2340" i="21"/>
  <c r="R1062" i="21"/>
  <c r="R1224" i="21"/>
  <c r="R2152" i="21"/>
  <c r="R856" i="21"/>
  <c r="R417" i="21"/>
  <c r="R1389" i="21"/>
  <c r="R1841" i="21"/>
  <c r="R1768" i="21"/>
  <c r="R134" i="21"/>
  <c r="R759" i="21"/>
  <c r="R2280" i="21"/>
  <c r="R2208" i="21"/>
  <c r="R2221" i="21"/>
  <c r="R2411" i="21"/>
  <c r="R1718" i="21"/>
  <c r="R2536" i="21"/>
  <c r="R800" i="21"/>
  <c r="R2116" i="21"/>
  <c r="R1050" i="21"/>
  <c r="R2482" i="21"/>
  <c r="R1905" i="21"/>
  <c r="R1602" i="21"/>
  <c r="R306" i="21"/>
  <c r="R539" i="21"/>
  <c r="R2520" i="21"/>
  <c r="R656" i="21"/>
  <c r="R894" i="21"/>
  <c r="R603" i="21"/>
  <c r="R2622" i="21"/>
  <c r="R1930" i="21"/>
  <c r="R908" i="21"/>
  <c r="R1839" i="21"/>
  <c r="R1931" i="21"/>
  <c r="R1054" i="21"/>
  <c r="R678" i="21"/>
  <c r="R2051" i="21"/>
  <c r="R1625" i="21"/>
  <c r="R859" i="21"/>
  <c r="R2093" i="21"/>
  <c r="R1775" i="21"/>
  <c r="R1479" i="21"/>
  <c r="R1491" i="21"/>
  <c r="R1128" i="21"/>
  <c r="R666" i="21"/>
  <c r="R1334" i="21"/>
  <c r="R1705" i="21"/>
  <c r="R1730" i="21"/>
  <c r="R141" i="21"/>
  <c r="R328" i="21"/>
  <c r="R2028" i="21"/>
  <c r="R397" i="21"/>
  <c r="R329" i="21"/>
  <c r="R2597" i="21"/>
  <c r="R2457" i="21"/>
  <c r="R2106" i="21"/>
  <c r="R333" i="21"/>
  <c r="R1053" i="21"/>
  <c r="R1701" i="21"/>
  <c r="R2598" i="21"/>
  <c r="R2740" i="21"/>
  <c r="R149" i="21"/>
  <c r="R704" i="21"/>
  <c r="R127" i="21"/>
  <c r="R755" i="21"/>
  <c r="R1845" i="21"/>
  <c r="R326" i="21"/>
  <c r="R1539" i="21"/>
  <c r="R2555" i="21"/>
  <c r="R2483" i="21"/>
  <c r="R2123" i="21"/>
  <c r="R847" i="21"/>
  <c r="R1473" i="21"/>
  <c r="R855" i="21"/>
  <c r="R2708" i="21"/>
  <c r="R82" i="21"/>
  <c r="R1502" i="21"/>
  <c r="R2032" i="21"/>
  <c r="R1285" i="21"/>
  <c r="R889" i="21"/>
  <c r="R1848" i="21"/>
  <c r="R2157" i="21"/>
  <c r="R832" i="21"/>
  <c r="R226" i="21"/>
  <c r="R2005" i="21"/>
  <c r="R569" i="21"/>
  <c r="R1381" i="21"/>
  <c r="R1180" i="21"/>
  <c r="R1631" i="21"/>
  <c r="R1104" i="21"/>
  <c r="R410" i="21"/>
  <c r="R2081" i="21"/>
  <c r="R2702" i="21"/>
  <c r="R823" i="21"/>
  <c r="R360" i="21"/>
  <c r="R1471" i="21"/>
  <c r="R437" i="21"/>
  <c r="R2402" i="21"/>
  <c r="R343" i="21"/>
  <c r="R2045" i="21"/>
  <c r="R1709" i="21"/>
  <c r="R853" i="21"/>
  <c r="R2474" i="21"/>
  <c r="R1759" i="21"/>
  <c r="R1338" i="21"/>
  <c r="R458" i="21"/>
  <c r="R2503" i="21"/>
  <c r="R1209" i="21"/>
  <c r="R374" i="21"/>
  <c r="R1492" i="21"/>
  <c r="R1806" i="21"/>
  <c r="R833" i="21"/>
  <c r="R28" i="21"/>
  <c r="R2153" i="21"/>
  <c r="R841" i="21"/>
  <c r="R1904" i="21"/>
  <c r="R376" i="21"/>
  <c r="R1788" i="21"/>
  <c r="R2332" i="21"/>
  <c r="R2485" i="21"/>
  <c r="R213" i="21"/>
  <c r="R1666" i="21"/>
  <c r="R672" i="21"/>
  <c r="R1510" i="21"/>
  <c r="R2333" i="21"/>
  <c r="R2330" i="21"/>
  <c r="R1785" i="21"/>
  <c r="R1493" i="21"/>
  <c r="R2627" i="21"/>
  <c r="R362" i="21"/>
  <c r="R51" i="21"/>
  <c r="R2094" i="21"/>
  <c r="R155" i="21"/>
  <c r="R863" i="21"/>
  <c r="R1760" i="21"/>
  <c r="R2607" i="21"/>
  <c r="R822" i="21"/>
  <c r="R92" i="21"/>
  <c r="R452" i="21"/>
  <c r="R1639" i="21"/>
  <c r="R352" i="21"/>
  <c r="R2383" i="21"/>
  <c r="R964" i="21"/>
  <c r="R2377" i="21"/>
  <c r="R2139" i="21"/>
  <c r="R229" i="21"/>
  <c r="R1488" i="21"/>
  <c r="R1093" i="21"/>
  <c r="R197" i="21"/>
  <c r="R715" i="21"/>
  <c r="R2542" i="21"/>
  <c r="R216" i="21"/>
  <c r="R325" i="21"/>
  <c r="R579" i="21"/>
  <c r="R1817" i="21"/>
  <c r="R254" i="21"/>
  <c r="R2547" i="21"/>
  <c r="R399" i="21"/>
  <c r="R2069" i="21"/>
  <c r="R471" i="21"/>
  <c r="R1299" i="21"/>
  <c r="R73" i="21"/>
  <c r="R1111" i="21"/>
  <c r="R2565" i="21"/>
  <c r="R2222" i="21"/>
  <c r="R1617" i="21"/>
  <c r="R825" i="21"/>
  <c r="R2164" i="21"/>
  <c r="R2034" i="21"/>
  <c r="R2398" i="21"/>
  <c r="R2379" i="21"/>
  <c r="R377" i="21"/>
  <c r="R1346" i="21"/>
  <c r="R1230" i="21"/>
  <c r="R1612" i="21"/>
  <c r="R2380" i="21"/>
  <c r="R236" i="21"/>
  <c r="R1524" i="21"/>
  <c r="R532" i="21"/>
  <c r="R373" i="21"/>
  <c r="R1800" i="21"/>
  <c r="R113" i="21"/>
  <c r="R1597" i="21"/>
  <c r="R1554" i="21"/>
  <c r="R1084" i="21"/>
  <c r="R2312" i="21"/>
  <c r="R1900" i="21"/>
  <c r="R518" i="21"/>
  <c r="R112" i="21"/>
  <c r="R1548" i="21"/>
  <c r="R2266" i="21"/>
  <c r="R1275" i="21"/>
  <c r="R1536" i="21"/>
  <c r="R393" i="21"/>
  <c r="R2257" i="21"/>
  <c r="R1962" i="21"/>
  <c r="R2132" i="21"/>
  <c r="R740" i="21"/>
  <c r="R945" i="21"/>
  <c r="R1176" i="21"/>
  <c r="R12" i="21"/>
  <c r="R2529" i="21"/>
  <c r="R1793" i="21"/>
  <c r="R2500" i="21"/>
  <c r="R1003" i="21"/>
  <c r="R2508" i="21"/>
  <c r="R1155" i="21"/>
  <c r="R772" i="21"/>
  <c r="R1438" i="21"/>
  <c r="R1570" i="21"/>
  <c r="R400" i="21"/>
  <c r="R2573" i="21"/>
  <c r="R1951" i="21"/>
  <c r="R1801" i="21"/>
  <c r="R923" i="21"/>
  <c r="R2445" i="21"/>
  <c r="R2421" i="21"/>
  <c r="R429" i="21"/>
  <c r="R1807" i="21"/>
  <c r="R2497" i="21"/>
  <c r="R1876" i="21"/>
  <c r="R124" i="21"/>
  <c r="R2506" i="21"/>
  <c r="R2242" i="21"/>
  <c r="R2095" i="21"/>
  <c r="R1370" i="21"/>
  <c r="R1992" i="21"/>
  <c r="R60" i="21"/>
  <c r="R2368" i="21"/>
  <c r="R774" i="21"/>
  <c r="R1417" i="21"/>
  <c r="R1036" i="21"/>
  <c r="R2535" i="21"/>
  <c r="R2270" i="21"/>
  <c r="R1855" i="21"/>
  <c r="R1168" i="21"/>
  <c r="R1830" i="21"/>
  <c r="R607" i="21"/>
  <c r="R1261" i="21"/>
  <c r="R1912" i="21"/>
  <c r="R1384" i="21"/>
  <c r="R2509" i="21"/>
  <c r="R2517" i="21"/>
  <c r="R897" i="21"/>
  <c r="R130" i="21"/>
  <c r="R1462" i="21"/>
  <c r="R2519" i="21"/>
  <c r="R2259" i="21"/>
  <c r="R2515" i="21"/>
  <c r="R604" i="21"/>
  <c r="R367" i="21"/>
  <c r="R2351" i="21"/>
  <c r="R1546" i="21"/>
  <c r="R15" i="21"/>
  <c r="R443" i="21"/>
  <c r="R2484" i="21"/>
  <c r="R2533" i="21"/>
  <c r="R997" i="21"/>
  <c r="R505" i="21"/>
  <c r="R969" i="21"/>
  <c r="R2159" i="21"/>
  <c r="R2534" i="21"/>
  <c r="R426" i="21"/>
  <c r="R1132" i="21"/>
  <c r="R2626" i="21"/>
  <c r="R2468" i="21"/>
  <c r="R550" i="21"/>
  <c r="R5" i="21"/>
  <c r="R379" i="21"/>
  <c r="R570" i="21"/>
  <c r="R1874" i="21"/>
  <c r="R1279" i="21"/>
  <c r="R1133" i="21"/>
  <c r="R1442" i="21"/>
  <c r="R2471" i="21"/>
  <c r="R610" i="21"/>
  <c r="R2216" i="21"/>
  <c r="R76" i="21"/>
  <c r="R1244" i="21"/>
  <c r="R2575" i="21"/>
  <c r="R1135" i="21"/>
  <c r="R625" i="21"/>
  <c r="R1774" i="21"/>
  <c r="R10" i="21"/>
  <c r="R2258" i="21"/>
  <c r="R301" i="21"/>
  <c r="R1203" i="21"/>
  <c r="R180" i="21"/>
  <c r="R1798" i="21"/>
  <c r="R1383" i="21"/>
  <c r="R1657" i="21"/>
  <c r="R1293" i="21"/>
  <c r="R30" i="21"/>
  <c r="R8" i="21"/>
  <c r="R129" i="21"/>
  <c r="R2358" i="21"/>
  <c r="R1049" i="21"/>
  <c r="R311" i="21"/>
  <c r="R975" i="21"/>
  <c r="R628" i="21"/>
  <c r="R1769" i="21"/>
  <c r="R1796" i="21"/>
  <c r="R1589" i="21"/>
  <c r="R2003" i="21"/>
  <c r="R2140" i="21"/>
  <c r="R1083" i="21"/>
  <c r="R125" i="21"/>
  <c r="R1184" i="21"/>
  <c r="R9" i="21"/>
  <c r="R1923" i="21"/>
  <c r="R860" i="21"/>
  <c r="R1727" i="21"/>
  <c r="R26" i="21"/>
  <c r="R571" i="21"/>
  <c r="R1704" i="21"/>
  <c r="R2703" i="21"/>
  <c r="R1499" i="21"/>
  <c r="R658" i="21"/>
  <c r="R2047" i="21"/>
  <c r="R2546" i="21"/>
  <c r="R83" i="21"/>
  <c r="R1448" i="21"/>
  <c r="R698" i="21"/>
  <c r="R454" i="21"/>
  <c r="R1231" i="21"/>
  <c r="R2121" i="21"/>
  <c r="R1621" i="21"/>
  <c r="R786" i="21"/>
  <c r="R1426" i="21"/>
  <c r="R1374" i="21"/>
  <c r="R2352" i="21"/>
  <c r="R2661" i="21"/>
  <c r="R401" i="21"/>
  <c r="R742" i="21"/>
  <c r="R406" i="21"/>
  <c r="R1187" i="21"/>
  <c r="R1112" i="21"/>
  <c r="R2612" i="21"/>
  <c r="R451" i="21"/>
  <c r="R1208" i="21"/>
  <c r="R787" i="21"/>
  <c r="R151" i="21"/>
  <c r="R1862" i="21"/>
  <c r="R1292" i="21"/>
  <c r="R1337" i="21"/>
  <c r="R363" i="21"/>
  <c r="R598" i="21"/>
  <c r="R427" i="21"/>
  <c r="R1712" i="21"/>
  <c r="R2058" i="21"/>
  <c r="R1324" i="21"/>
  <c r="R546" i="21"/>
  <c r="R1211" i="21"/>
  <c r="R568" i="21"/>
  <c r="R114" i="21"/>
  <c r="R962" i="21"/>
  <c r="R238" i="21"/>
  <c r="R185" i="21"/>
  <c r="R1562" i="21"/>
  <c r="R72" i="21"/>
  <c r="R1166" i="21"/>
  <c r="R37" i="21"/>
  <c r="R2138" i="21"/>
  <c r="R61" i="21"/>
  <c r="R675" i="21"/>
  <c r="R1067" i="21"/>
  <c r="R2644" i="21"/>
  <c r="R1046" i="21"/>
  <c r="R1253" i="21"/>
  <c r="R121" i="21"/>
  <c r="R520" i="21"/>
  <c r="R1094" i="21"/>
  <c r="R961" i="21"/>
  <c r="R590" i="21"/>
  <c r="R920" i="21"/>
  <c r="R1985" i="21"/>
  <c r="R919" i="21"/>
  <c r="R1152" i="21"/>
  <c r="R128" i="21"/>
  <c r="R46" i="21"/>
  <c r="R938" i="21"/>
  <c r="R2553" i="21"/>
  <c r="R1360" i="21"/>
  <c r="R2569" i="21"/>
  <c r="R195" i="21"/>
  <c r="R1717" i="21"/>
  <c r="R1534" i="21"/>
  <c r="R1068" i="21"/>
  <c r="R1656" i="21"/>
  <c r="R249" i="21"/>
  <c r="R2724" i="21"/>
  <c r="R892" i="21"/>
  <c r="R1117" i="21"/>
  <c r="R1552" i="21"/>
  <c r="R2070" i="21"/>
  <c r="R310" i="21"/>
  <c r="R52" i="21"/>
  <c r="R1770" i="21"/>
  <c r="R785" i="21"/>
  <c r="R54" i="21"/>
  <c r="R769" i="21"/>
  <c r="R1303" i="21"/>
  <c r="R619" i="21"/>
  <c r="R1182" i="21"/>
  <c r="R862" i="21"/>
  <c r="R781" i="21"/>
  <c r="R536" i="21"/>
  <c r="R223" i="21"/>
  <c r="R1314" i="21"/>
  <c r="R64" i="21"/>
  <c r="R835" i="21"/>
  <c r="R1794" i="21"/>
  <c r="R1123" i="21"/>
  <c r="R120" i="21"/>
  <c r="R2678" i="21"/>
  <c r="R2236" i="21"/>
  <c r="R27" i="21"/>
  <c r="R150" i="21"/>
  <c r="R511" i="21"/>
  <c r="R1557" i="21"/>
  <c r="R2621" i="21"/>
  <c r="R2158" i="21"/>
  <c r="R476" i="21"/>
  <c r="R1283" i="21"/>
  <c r="R1797" i="21"/>
  <c r="R1197" i="21"/>
  <c r="R829" i="21"/>
  <c r="R1419" i="21"/>
  <c r="R1579" i="21"/>
  <c r="R1075" i="21"/>
  <c r="R1938" i="21"/>
  <c r="R483" i="21"/>
  <c r="R918" i="21"/>
  <c r="R554" i="21"/>
  <c r="R430" i="21"/>
  <c r="R875" i="21"/>
  <c r="R1711" i="21"/>
  <c r="R1551" i="21"/>
  <c r="R1948" i="21"/>
  <c r="R460" i="21"/>
  <c r="R175" i="21"/>
  <c r="R1188" i="21"/>
  <c r="R810" i="21"/>
  <c r="R105" i="21"/>
  <c r="R2068" i="21"/>
  <c r="R1483" i="21"/>
  <c r="R2514" i="21"/>
  <c r="R714" i="21"/>
  <c r="R899" i="21"/>
  <c r="R649" i="21"/>
  <c r="R662" i="21"/>
  <c r="R237" i="21"/>
  <c r="R1827" i="21"/>
  <c r="R162" i="21"/>
  <c r="R32" i="21"/>
  <c r="R922" i="21"/>
  <c r="R2080" i="21"/>
  <c r="R2662" i="21"/>
  <c r="R636" i="21"/>
  <c r="R1696" i="21"/>
  <c r="R1984" i="21"/>
  <c r="R1605" i="21"/>
  <c r="R845" i="21"/>
  <c r="R1137" i="21"/>
  <c r="R747" i="21"/>
  <c r="R455" i="21"/>
  <c r="R1302" i="21"/>
  <c r="R679" i="21"/>
  <c r="R1086" i="21"/>
  <c r="R1682" i="21"/>
  <c r="R71" i="21"/>
  <c r="R2463" i="21"/>
  <c r="R724" i="21"/>
  <c r="R601" i="21"/>
  <c r="R1725" i="21"/>
  <c r="R350" i="21"/>
  <c r="R42" i="21"/>
  <c r="R1667" i="21"/>
  <c r="R1465" i="21"/>
  <c r="R2108" i="21"/>
  <c r="R1430" i="21"/>
  <c r="R743" i="21"/>
  <c r="R246" i="21"/>
  <c r="R193" i="21"/>
  <c r="R816" i="21"/>
  <c r="R998" i="21"/>
  <c r="R576" i="21"/>
  <c r="R586" i="21"/>
  <c r="R1145" i="21"/>
  <c r="R2824" i="21"/>
  <c r="R247" i="21"/>
  <c r="R709" i="21"/>
  <c r="R1297" i="21"/>
  <c r="R1703" i="21"/>
  <c r="R1692" i="21"/>
  <c r="R736" i="21"/>
  <c r="R1767" i="21"/>
  <c r="R1729" i="21"/>
  <c r="R1935" i="21"/>
  <c r="R573" i="21"/>
  <c r="R1304" i="21"/>
  <c r="R179" i="21"/>
  <c r="R895" i="21"/>
  <c r="R2527" i="21"/>
  <c r="R19" i="21"/>
  <c r="R482" i="21"/>
  <c r="R1675" i="21"/>
  <c r="R424" i="21"/>
  <c r="R1721" i="21"/>
  <c r="R671" i="21"/>
  <c r="R1454" i="21"/>
  <c r="R1151" i="21"/>
  <c r="R2145" i="21"/>
  <c r="R131" i="21"/>
  <c r="R323" i="21"/>
  <c r="R738" i="21"/>
  <c r="R778" i="21"/>
  <c r="R751" i="21"/>
  <c r="R1174" i="21"/>
  <c r="R1377" i="21"/>
  <c r="R55" i="21"/>
  <c r="R565" i="21"/>
  <c r="R342" i="21"/>
  <c r="R1698" i="21"/>
  <c r="R356" i="21"/>
  <c r="R2657" i="21"/>
  <c r="R1002" i="21"/>
  <c r="R2295" i="21"/>
  <c r="R1432" i="21"/>
  <c r="R1001" i="21"/>
  <c r="R1016" i="21"/>
  <c r="R1611" i="21"/>
  <c r="R1636" i="21"/>
  <c r="R2857" i="21"/>
  <c r="R1511" i="21"/>
  <c r="R1073" i="21"/>
  <c r="R588" i="21"/>
  <c r="R1700" i="21"/>
  <c r="R2231" i="21"/>
  <c r="R2681" i="21"/>
  <c r="R1522" i="21"/>
  <c r="R640" i="21"/>
  <c r="R1433" i="21"/>
  <c r="R809" i="21"/>
  <c r="R1196" i="21"/>
  <c r="R1321" i="21"/>
  <c r="R1884" i="21"/>
  <c r="R1030" i="21"/>
  <c r="R1447" i="21"/>
  <c r="R1409" i="21"/>
  <c r="R1535" i="21"/>
  <c r="R441" i="21"/>
  <c r="R181" i="21"/>
  <c r="R1106" i="21"/>
  <c r="R2456" i="21"/>
  <c r="R86" i="21"/>
  <c r="R407" i="21"/>
  <c r="R1194" i="21"/>
  <c r="R2614" i="21"/>
  <c r="R1077" i="21"/>
  <c r="R1280" i="21"/>
  <c r="R176" i="21"/>
  <c r="R2585" i="21"/>
  <c r="R38" i="21"/>
  <c r="R552" i="21"/>
  <c r="R2428" i="21"/>
  <c r="R1618" i="21"/>
  <c r="R2150" i="21"/>
  <c r="R2839" i="21"/>
  <c r="R1310" i="21"/>
  <c r="R75" i="21"/>
  <c r="R1580" i="21"/>
  <c r="R1445" i="21"/>
  <c r="R1783" i="21"/>
  <c r="R1955" i="21"/>
  <c r="R795" i="21"/>
  <c r="R428" i="21"/>
  <c r="R2057" i="21"/>
  <c r="R1289" i="21"/>
  <c r="R1257" i="21"/>
  <c r="R2184" i="21"/>
  <c r="R574" i="21"/>
  <c r="R1936" i="21"/>
  <c r="R292" i="21"/>
  <c r="R1249" i="21"/>
  <c r="R906" i="21"/>
  <c r="R933" i="21"/>
  <c r="R1683" i="21"/>
  <c r="R2097" i="21"/>
  <c r="R936" i="21"/>
  <c r="R1429" i="21"/>
  <c r="R534" i="21"/>
  <c r="R1243" i="21"/>
  <c r="R1179" i="21"/>
  <c r="R2432" i="21"/>
  <c r="R214" i="21"/>
  <c r="R2195" i="21"/>
  <c r="R136" i="21"/>
  <c r="R1322" i="21"/>
  <c r="R2603" i="21"/>
  <c r="R930" i="21"/>
  <c r="R722" i="21"/>
  <c r="R1622" i="21"/>
  <c r="R25" i="21"/>
  <c r="R459" i="21"/>
  <c r="R1512" i="21"/>
  <c r="R703" i="21"/>
  <c r="R2783" i="21"/>
  <c r="R1857" i="21"/>
  <c r="R1064" i="21"/>
  <c r="R2682" i="21"/>
  <c r="R1468" i="21"/>
  <c r="R2851" i="21"/>
  <c r="R1018" i="21"/>
  <c r="R409" i="21"/>
  <c r="R1340" i="21"/>
  <c r="R1484" i="21"/>
  <c r="R1463" i="21"/>
  <c r="R183" i="21"/>
  <c r="R1444" i="21"/>
  <c r="R49" i="21"/>
  <c r="R2240" i="21"/>
  <c r="R1173" i="21"/>
  <c r="R1790" i="21"/>
  <c r="R1694" i="21"/>
  <c r="R1581" i="21"/>
  <c r="R1033" i="21"/>
  <c r="R1686" i="21"/>
  <c r="R1529" i="21"/>
  <c r="R2371" i="21"/>
  <c r="R2321" i="21"/>
  <c r="R1472" i="21"/>
  <c r="R1278" i="21"/>
  <c r="R351" i="21"/>
  <c r="R2183" i="21"/>
  <c r="R1412" i="21"/>
  <c r="R2099" i="21"/>
  <c r="R2812" i="21"/>
  <c r="R1258" i="21"/>
  <c r="R284" i="21"/>
  <c r="R265" i="21"/>
  <c r="R1722" i="21"/>
  <c r="R1799" i="21"/>
  <c r="R514" i="21"/>
  <c r="R1477" i="21"/>
  <c r="R1103" i="21"/>
  <c r="R2078" i="21"/>
  <c r="R2253" i="21"/>
  <c r="R2754" i="21"/>
  <c r="R1085" i="21"/>
  <c r="R398" i="21"/>
  <c r="R2738" i="21"/>
  <c r="R2185" i="21"/>
  <c r="R663" i="21"/>
  <c r="R2625" i="21"/>
  <c r="R1642" i="21"/>
  <c r="R1087" i="21"/>
  <c r="R558" i="21"/>
  <c r="R1547" i="21"/>
  <c r="R1306" i="21"/>
  <c r="R1755" i="21"/>
  <c r="R78" i="21"/>
  <c r="R643" i="21"/>
  <c r="R361" i="21"/>
  <c r="R2865" i="21"/>
  <c r="R188" i="21"/>
  <c r="R1475" i="21"/>
  <c r="R1564" i="21"/>
  <c r="R1440" i="21"/>
  <c r="R2726" i="21"/>
  <c r="R2466" i="21"/>
  <c r="R2397" i="21"/>
  <c r="R1672" i="21"/>
  <c r="R1515" i="21"/>
  <c r="R602" i="21"/>
  <c r="R893" i="21"/>
  <c r="R2249" i="21"/>
  <c r="R1525" i="21"/>
  <c r="R182" i="21"/>
  <c r="R1424" i="21"/>
  <c r="R578" i="21"/>
  <c r="R2594" i="21"/>
  <c r="R1072" i="21"/>
  <c r="R2329" i="21"/>
  <c r="R1750" i="21"/>
  <c r="R2526" i="21"/>
  <c r="R2518" i="21"/>
  <c r="R1485" i="21"/>
  <c r="R1638" i="21"/>
  <c r="R682" i="21"/>
  <c r="R2278" i="21"/>
  <c r="R1089" i="21"/>
  <c r="R2252" i="21"/>
  <c r="R720" i="21"/>
  <c r="R84" i="21"/>
  <c r="R1101" i="21"/>
  <c r="R827" i="21"/>
  <c r="R1732" i="21"/>
  <c r="R2481" i="21"/>
  <c r="R1658" i="21"/>
  <c r="R1403" i="21"/>
  <c r="R285" i="21"/>
  <c r="R1784" i="21"/>
  <c r="R2590" i="21"/>
  <c r="R1028" i="21"/>
  <c r="R2408" i="21"/>
  <c r="R1550" i="21"/>
  <c r="R1610" i="21"/>
  <c r="R808" i="21"/>
  <c r="R638" i="21"/>
  <c r="R1274" i="21"/>
  <c r="R1646" i="21"/>
  <c r="R1204" i="21"/>
  <c r="R940" i="21"/>
  <c r="R542" i="21"/>
  <c r="R1183" i="21"/>
  <c r="R1427" i="21"/>
  <c r="R1348" i="21"/>
  <c r="R966" i="21"/>
  <c r="R1457" i="21"/>
  <c r="R519" i="21"/>
  <c r="R1421" i="21"/>
  <c r="R439" i="21"/>
  <c r="R283" i="21"/>
  <c r="R1560" i="21"/>
  <c r="R1728" i="21"/>
  <c r="R194" i="21"/>
  <c r="R1214" i="21"/>
  <c r="R2347" i="21"/>
  <c r="R87" i="21"/>
  <c r="R690" i="21"/>
  <c r="R948" i="21"/>
  <c r="R2729" i="21"/>
  <c r="R1217" i="21"/>
  <c r="R659" i="21"/>
  <c r="R74" i="21"/>
  <c r="R153" i="21"/>
  <c r="R2294" i="21"/>
  <c r="R2714" i="21"/>
  <c r="R2267" i="21"/>
  <c r="R1543" i="21"/>
  <c r="R697" i="21"/>
  <c r="R1263" i="21"/>
  <c r="R2175" i="21"/>
  <c r="R1057" i="21"/>
  <c r="R717" i="21"/>
  <c r="R1871" i="21"/>
  <c r="R639" i="21"/>
  <c r="R1596" i="21"/>
  <c r="R1507" i="21"/>
  <c r="R302" i="21"/>
  <c r="R2784" i="21"/>
  <c r="R1486" i="21"/>
  <c r="R1008" i="21"/>
  <c r="R1114" i="21"/>
  <c r="R688" i="21"/>
  <c r="R256" i="21"/>
  <c r="R2448" i="21"/>
  <c r="R1702" i="21"/>
  <c r="R70" i="21"/>
  <c r="R2395" i="21"/>
  <c r="R370" i="21"/>
  <c r="R2212" i="21"/>
  <c r="R1120" i="21"/>
  <c r="R312" i="21"/>
  <c r="R2498" i="21"/>
  <c r="R2342" i="21"/>
  <c r="R767" i="21"/>
  <c r="R2128" i="21"/>
  <c r="R1804" i="21"/>
  <c r="R951" i="21"/>
  <c r="R1509" i="21"/>
  <c r="R1353" i="21"/>
  <c r="R494" i="21"/>
  <c r="R66" i="21"/>
  <c r="R2198" i="21"/>
  <c r="R138" i="21"/>
  <c r="R1773" i="21"/>
  <c r="R53" i="21"/>
  <c r="R537" i="21"/>
  <c r="R1572" i="21"/>
  <c r="R1391" i="21"/>
  <c r="R1699" i="21"/>
  <c r="R988" i="21"/>
  <c r="R1670" i="21"/>
  <c r="R2856" i="21"/>
  <c r="R1159" i="21"/>
  <c r="R1563" i="21"/>
  <c r="R1671" i="21"/>
  <c r="R2378" i="21"/>
  <c r="R1555" i="21"/>
  <c r="R2151" i="21"/>
  <c r="R43" i="21"/>
  <c r="R187" i="21"/>
  <c r="R2096" i="21"/>
  <c r="R287" i="21"/>
  <c r="R1503" i="21"/>
  <c r="R2433" i="21"/>
  <c r="R119" i="21"/>
  <c r="R839" i="21"/>
  <c r="R88" i="21"/>
  <c r="R911" i="21"/>
  <c r="R1032" i="21"/>
  <c r="R1363" i="21"/>
  <c r="R2135" i="21"/>
  <c r="R248" i="21"/>
  <c r="R716" i="21"/>
  <c r="R1708" i="21"/>
  <c r="R854" i="21"/>
  <c r="R739" i="21"/>
  <c r="R1162" i="21"/>
  <c r="R647" i="21"/>
  <c r="R1023" i="21"/>
  <c r="R208" i="21"/>
  <c r="R1684" i="21"/>
  <c r="R2339" i="21"/>
  <c r="R760" i="21"/>
  <c r="R203" i="21"/>
  <c r="R1193" i="21"/>
  <c r="R1126" i="21"/>
  <c r="R1663" i="21"/>
  <c r="R346" i="21"/>
  <c r="R1713" i="21"/>
  <c r="R300" i="21"/>
  <c r="R1063" i="21"/>
  <c r="R1051" i="21"/>
  <c r="R2488" i="21"/>
  <c r="R1311" i="21"/>
  <c r="R1138" i="21"/>
  <c r="R1035" i="21"/>
  <c r="R1695" i="21"/>
  <c r="R921" i="21"/>
  <c r="R2277" i="21"/>
  <c r="R1677" i="21"/>
  <c r="R2161" i="21"/>
  <c r="R1978" i="21"/>
  <c r="R993" i="21"/>
  <c r="R104" i="21"/>
  <c r="R1549" i="21"/>
  <c r="R981" i="21"/>
  <c r="R1630" i="21"/>
  <c r="R2841" i="21"/>
  <c r="R1843" i="21"/>
  <c r="R1676" i="21"/>
  <c r="R1060" i="21"/>
  <c r="R2741" i="21"/>
  <c r="R422" i="21"/>
  <c r="R1320" i="21"/>
  <c r="R2820" i="21"/>
  <c r="R146" i="21"/>
  <c r="R1541" i="21"/>
  <c r="R819" i="21"/>
  <c r="R2160" i="21"/>
  <c r="R1619" i="21"/>
  <c r="R1241" i="21"/>
  <c r="R820" i="21"/>
  <c r="R2450" i="21"/>
  <c r="R2540" i="21"/>
  <c r="R1425" i="21"/>
  <c r="R1685" i="21"/>
  <c r="R1251" i="21"/>
  <c r="R1399" i="21"/>
  <c r="R2250" i="21"/>
  <c r="R1386" i="21"/>
  <c r="R44" i="21"/>
  <c r="R1201" i="21"/>
  <c r="R515" i="21"/>
  <c r="R1495" i="21"/>
  <c r="R677" i="21"/>
  <c r="R970" i="21"/>
  <c r="R1252" i="21"/>
  <c r="R1434" i="21"/>
  <c r="R2046" i="21"/>
  <c r="R1531" i="21"/>
  <c r="R1088" i="21"/>
  <c r="R2213" i="21"/>
  <c r="R1017" i="21"/>
  <c r="R2315" i="21"/>
  <c r="R2205" i="21"/>
  <c r="R782" i="21"/>
  <c r="R1481" i="21"/>
  <c r="R41" i="21"/>
  <c r="R959" i="21"/>
  <c r="R664" i="21"/>
  <c r="R1805" i="21"/>
  <c r="R909" i="21"/>
  <c r="R1981" i="21"/>
  <c r="R1460" i="21"/>
  <c r="R1571" i="21"/>
  <c r="R2232" i="21"/>
  <c r="R2349" i="21"/>
  <c r="R793" i="21"/>
  <c r="R108" i="21"/>
  <c r="R1361" i="21"/>
  <c r="R660" i="21"/>
  <c r="R1999" i="21"/>
  <c r="R2530" i="21"/>
  <c r="R796" i="21"/>
  <c r="R186" i="21"/>
  <c r="R2303" i="21"/>
  <c r="R737" i="21"/>
  <c r="R2220" i="21"/>
  <c r="R1061" i="21"/>
  <c r="R1332" i="21"/>
  <c r="R1019" i="21"/>
  <c r="R1222" i="21"/>
  <c r="R583" i="21"/>
  <c r="R2502" i="21"/>
  <c r="R103" i="21"/>
  <c r="R2869" i="21"/>
  <c r="R2165" i="21"/>
  <c r="R2719" i="21"/>
  <c r="R2788" i="21"/>
  <c r="R1160" i="21"/>
  <c r="R2214" i="21"/>
  <c r="R1207" i="21"/>
  <c r="R2713" i="21"/>
  <c r="R533" i="21"/>
  <c r="R2840" i="21"/>
  <c r="R17" i="21"/>
  <c r="R1039" i="21"/>
  <c r="R1218" i="21"/>
  <c r="R184" i="21"/>
  <c r="R766" i="21"/>
  <c r="R2700" i="21"/>
  <c r="R6" i="21"/>
  <c r="R1225" i="21"/>
  <c r="R1345" i="21"/>
  <c r="R1139" i="21"/>
  <c r="R684" i="21"/>
  <c r="R557" i="21"/>
  <c r="R1009" i="21"/>
  <c r="R2300" i="21"/>
  <c r="R1926" i="21"/>
  <c r="R348" i="21"/>
  <c r="R1177" i="21"/>
  <c r="R2645" i="21"/>
  <c r="R2323" i="21"/>
  <c r="R1186" i="21"/>
  <c r="R1569" i="21"/>
  <c r="R1325" i="21"/>
  <c r="R1356" i="21"/>
  <c r="R1140" i="21"/>
  <c r="R48" i="21"/>
  <c r="R929" i="21"/>
  <c r="R1544" i="21"/>
  <c r="R1308" i="21"/>
  <c r="R584" i="21"/>
  <c r="R634" i="21"/>
  <c r="R1420" i="21"/>
  <c r="R371" i="21"/>
  <c r="R2202" i="21"/>
  <c r="R2697" i="21"/>
  <c r="R408" i="21"/>
  <c r="R2771" i="21"/>
  <c r="R2189" i="21"/>
  <c r="R1514" i="21"/>
  <c r="R844" i="21"/>
  <c r="R1496" i="21"/>
  <c r="R13" i="21"/>
  <c r="R1405" i="21"/>
  <c r="R730" i="21"/>
  <c r="R2137" i="21"/>
  <c r="R313" i="21"/>
  <c r="R2076" i="21"/>
  <c r="R2420" i="21"/>
  <c r="R2624" i="21"/>
  <c r="R2331" i="21"/>
  <c r="R1347" i="21"/>
  <c r="R110" i="21"/>
  <c r="R1846" i="21"/>
  <c r="R2197" i="21"/>
  <c r="R744" i="21"/>
  <c r="R1614" i="21"/>
  <c r="R1946" i="21"/>
  <c r="R1963" i="21"/>
  <c r="R1082" i="21"/>
  <c r="R1715" i="21"/>
  <c r="R2085" i="21"/>
  <c r="R143" i="21"/>
  <c r="R687" i="21"/>
  <c r="R144" i="21"/>
  <c r="R575" i="21"/>
  <c r="R1376" i="21"/>
  <c r="R2396" i="21"/>
  <c r="R355" i="21"/>
  <c r="R1357" i="21"/>
  <c r="R2577" i="21"/>
  <c r="R2426" i="21"/>
  <c r="R1741" i="21"/>
  <c r="R392" i="21"/>
  <c r="R189" i="21"/>
  <c r="R2744" i="21"/>
  <c r="R1108" i="21"/>
  <c r="R31" i="21"/>
  <c r="R2039" i="21"/>
  <c r="R2742" i="21"/>
  <c r="R644" i="21"/>
  <c r="R212" i="21"/>
  <c r="R1273" i="21"/>
  <c r="R1480" i="21"/>
  <c r="R2522" i="21"/>
  <c r="R2440" i="21"/>
  <c r="R1847" i="21"/>
  <c r="R2679" i="21"/>
  <c r="R118" i="21"/>
  <c r="R631" i="21"/>
  <c r="R1185" i="21"/>
  <c r="R2574" i="21"/>
  <c r="R230" i="21"/>
  <c r="R2174" i="21"/>
  <c r="R1679" i="21"/>
  <c r="R2285" i="21"/>
  <c r="R1277" i="21"/>
  <c r="R1382" i="21"/>
  <c r="R252" i="21"/>
  <c r="R2451" i="21"/>
  <c r="R2136" i="21"/>
  <c r="R270" i="21"/>
  <c r="R1010" i="21"/>
  <c r="R1312" i="21"/>
  <c r="R276" i="21"/>
  <c r="R1362" i="21"/>
  <c r="R2613" i="21"/>
  <c r="R1880" i="21"/>
  <c r="R2206" i="21"/>
  <c r="R2191" i="21"/>
  <c r="R507" i="21"/>
  <c r="R1090" i="21"/>
  <c r="R205" i="21"/>
  <c r="R1266" i="21"/>
  <c r="R637" i="21"/>
  <c r="R749" i="21"/>
  <c r="R794" i="21"/>
  <c r="R1113" i="21"/>
  <c r="R648" i="21"/>
  <c r="R756" i="21"/>
  <c r="R1520" i="21"/>
  <c r="R178" i="21"/>
  <c r="R764" i="21"/>
  <c r="R1291" i="21"/>
  <c r="R768" i="21"/>
  <c r="R1331" i="21"/>
  <c r="R880" i="21"/>
  <c r="R905" i="21"/>
  <c r="R581" i="21"/>
  <c r="R1856" i="21"/>
  <c r="R667" i="21"/>
  <c r="R965" i="21"/>
  <c r="R1542" i="21"/>
  <c r="R741" i="21"/>
  <c r="R567" i="21"/>
  <c r="R1998" i="21"/>
  <c r="R2082" i="21"/>
  <c r="R797" i="21"/>
  <c r="R1144" i="21"/>
  <c r="R123" i="21"/>
  <c r="R1341" i="21"/>
  <c r="R725" i="21"/>
  <c r="R931" i="21"/>
  <c r="R1372" i="21"/>
  <c r="R62" i="21"/>
  <c r="R1738" i="21"/>
  <c r="R2065" i="21"/>
  <c r="R1500" i="21"/>
  <c r="R1758" i="21"/>
  <c r="R16" i="21"/>
  <c r="R2770" i="21"/>
  <c r="R1873" i="21"/>
  <c r="R1216" i="21"/>
  <c r="R2427" i="21"/>
  <c r="R1919" i="21"/>
  <c r="R670" i="21"/>
  <c r="R1764" i="21"/>
  <c r="R2144" i="21"/>
  <c r="R932" i="21"/>
  <c r="R1105" i="21"/>
  <c r="R1627" i="21"/>
  <c r="R331" i="21"/>
  <c r="R147" i="21"/>
  <c r="R947" i="21"/>
  <c r="R2156" i="21"/>
  <c r="R874" i="21"/>
  <c r="R1762" i="21"/>
  <c r="R465" i="21"/>
  <c r="R2241" i="21"/>
  <c r="R2049" i="21"/>
  <c r="R339" i="21"/>
  <c r="R204" i="21"/>
  <c r="R828" i="21"/>
  <c r="R2465" i="21"/>
  <c r="R804" i="21"/>
  <c r="R780" i="21"/>
  <c r="R453" i="21"/>
  <c r="R753" i="21"/>
  <c r="R879" i="21"/>
  <c r="R456" i="21"/>
  <c r="R971" i="21"/>
  <c r="R2052" i="21"/>
  <c r="R1726" i="21"/>
  <c r="R1501" i="21"/>
  <c r="R1007" i="21"/>
  <c r="R69" i="21"/>
  <c r="R693" i="21"/>
  <c r="R734" i="21"/>
  <c r="R2026" i="21"/>
  <c r="R806" i="21"/>
  <c r="R2797" i="21"/>
  <c r="R789" i="21"/>
  <c r="R412" i="21"/>
  <c r="R1594" i="21"/>
  <c r="R475" i="21"/>
  <c r="R1390" i="21"/>
  <c r="R2861" i="21"/>
  <c r="R2858" i="21"/>
  <c r="R805" i="21"/>
  <c r="R2338" i="21"/>
  <c r="R2031" i="21"/>
  <c r="R2274" i="21"/>
  <c r="R1449" i="21"/>
  <c r="R2794" i="21"/>
  <c r="R314" i="21"/>
  <c r="R1125" i="21"/>
  <c r="R2591" i="21"/>
  <c r="R1505" i="21"/>
  <c r="R900" i="21"/>
  <c r="R1996" i="21"/>
  <c r="R712" i="21"/>
  <c r="R1863" i="21"/>
  <c r="R2579" i="21"/>
  <c r="R1965" i="21"/>
  <c r="R1058" i="21"/>
  <c r="R299" i="21"/>
  <c r="R2631" i="21"/>
  <c r="R754" i="21"/>
  <c r="R1066" i="21"/>
  <c r="R1508" i="21"/>
  <c r="R200" i="21"/>
  <c r="R818" i="21"/>
  <c r="R1070" i="21"/>
  <c r="R2792" i="21"/>
  <c r="R2576" i="21"/>
  <c r="R1490" i="21"/>
  <c r="R296" i="21"/>
  <c r="R2412" i="21"/>
  <c r="R1223" i="21"/>
  <c r="R474" i="21"/>
  <c r="R2557" i="21"/>
  <c r="R1385" i="21"/>
  <c r="R902" i="21"/>
  <c r="R304" i="21"/>
  <c r="R466" i="21"/>
  <c r="R2361" i="21"/>
  <c r="R2829" i="21"/>
  <c r="R1915" i="21"/>
  <c r="R978" i="21"/>
  <c r="R1034" i="21"/>
  <c r="R1693" i="21"/>
  <c r="R1213" i="21"/>
  <c r="R2690" i="21"/>
  <c r="R2392" i="21"/>
  <c r="R152" i="21"/>
  <c r="R999" i="21"/>
  <c r="R613" i="21"/>
  <c r="R1595" i="21"/>
  <c r="R449" i="21"/>
  <c r="R135" i="21"/>
  <c r="R2455" i="21"/>
  <c r="R1875" i="21"/>
  <c r="R163" i="21"/>
  <c r="R117" i="21"/>
  <c r="R974" i="21"/>
  <c r="R2769" i="21"/>
  <c r="R157" i="21"/>
  <c r="R1988" i="21"/>
  <c r="R275" i="21"/>
  <c r="R2461" i="21"/>
  <c r="R831" i="21"/>
  <c r="R2578" i="21"/>
  <c r="R500" i="21"/>
  <c r="R472" i="21"/>
  <c r="R1004" i="21"/>
  <c r="R2059" i="21"/>
  <c r="R1233" i="21"/>
  <c r="R1397" i="21"/>
  <c r="R2271" i="21"/>
  <c r="R811" i="21"/>
  <c r="R1763" i="21"/>
  <c r="R1221" i="21"/>
  <c r="R387" i="21"/>
  <c r="R446" i="21"/>
  <c r="R2513" i="21"/>
  <c r="R45" i="21"/>
  <c r="R166" i="21"/>
  <c r="R2516" i="21"/>
  <c r="R59" i="21"/>
  <c r="R2460" i="21"/>
  <c r="R2467" i="21"/>
  <c r="R591" i="21"/>
  <c r="R713" i="21"/>
  <c r="R2103" i="21"/>
  <c r="R2414" i="21"/>
  <c r="R1608" i="21"/>
  <c r="R1015" i="21"/>
  <c r="R626" i="21"/>
  <c r="R2452" i="21"/>
  <c r="R1315" i="21"/>
  <c r="R757" i="21"/>
  <c r="R2640" i="21"/>
  <c r="R2531" i="21"/>
  <c r="R745" i="21"/>
  <c r="R221" i="21"/>
  <c r="R40" i="21"/>
  <c r="R2523" i="21"/>
  <c r="R85" i="21"/>
  <c r="R2009" i="21"/>
  <c r="R1287" i="21"/>
  <c r="R2501" i="21"/>
  <c r="R2512" i="21"/>
  <c r="R2297" i="21"/>
  <c r="R1326" i="21"/>
  <c r="R674" i="21"/>
  <c r="R2487" i="21"/>
  <c r="R161" i="21"/>
  <c r="R1127" i="21"/>
  <c r="R2630" i="21"/>
  <c r="R587" i="21"/>
  <c r="R2168" i="21"/>
  <c r="R464" i="21"/>
  <c r="R2637" i="21"/>
  <c r="R209" i="21"/>
  <c r="R1271" i="21"/>
  <c r="R423" i="21"/>
  <c r="R2056" i="21"/>
  <c r="R1812" i="21"/>
  <c r="R418" i="21"/>
  <c r="R852" i="21"/>
  <c r="R779" i="21"/>
  <c r="R2179" i="21"/>
  <c r="R1983" i="21"/>
  <c r="R623" i="21"/>
  <c r="R834" i="21"/>
  <c r="R1172" i="21"/>
  <c r="R2668" i="21"/>
  <c r="R1267" i="21"/>
  <c r="R1069" i="21"/>
  <c r="R2025" i="21"/>
  <c r="R318" i="21"/>
  <c r="R2064" i="21"/>
  <c r="R2077" i="21"/>
  <c r="R2269" i="21"/>
  <c r="R1212" i="21"/>
  <c r="R1294" i="21"/>
  <c r="R770" i="21"/>
  <c r="R728" i="21"/>
  <c r="R1043" i="21"/>
  <c r="R553" i="21"/>
  <c r="R2785" i="21"/>
  <c r="R1455" i="21"/>
  <c r="R218" i="21"/>
  <c r="R1190" i="21"/>
  <c r="R1917" i="21"/>
  <c r="R29" i="21"/>
  <c r="R2787" i="21"/>
  <c r="R836" i="21"/>
  <c r="R201" i="21"/>
  <c r="R1219" i="21"/>
  <c r="R1052" i="21"/>
  <c r="R1593" i="21"/>
  <c r="R1979" i="21"/>
  <c r="R309" i="21"/>
  <c r="R1136" i="21"/>
  <c r="R2055" i="21"/>
  <c r="R2422" i="21"/>
  <c r="R1295" i="21"/>
  <c r="R239" i="21"/>
  <c r="R783" i="21"/>
  <c r="R2669" i="21"/>
  <c r="R746" i="21"/>
  <c r="R1148" i="21"/>
  <c r="R444" i="21"/>
  <c r="R984" i="21"/>
  <c r="R1626" i="21"/>
  <c r="R1149" i="21"/>
  <c r="R2883" i="21"/>
  <c r="R968" i="21"/>
  <c r="R600" i="21"/>
  <c r="R2663" i="21"/>
  <c r="R1150" i="21"/>
  <c r="R2826" i="21"/>
  <c r="R1842" i="21"/>
  <c r="R718" i="21"/>
  <c r="R686" i="21"/>
  <c r="R1313" i="21"/>
  <c r="R1928" i="21"/>
  <c r="R837" i="21"/>
  <c r="R2306" i="21"/>
  <c r="R1916" i="21"/>
  <c r="R191" i="21"/>
  <c r="R540" i="21"/>
  <c r="R884" i="21"/>
  <c r="R846" i="21"/>
  <c r="R878" i="21"/>
  <c r="R790" i="21"/>
  <c r="R939" i="21"/>
  <c r="R990" i="21"/>
  <c r="R1518" i="21"/>
  <c r="R842" i="21"/>
  <c r="R335" i="21"/>
  <c r="R2320" i="21"/>
  <c r="R385" i="21"/>
  <c r="R2122" i="21"/>
  <c r="R384" i="21"/>
  <c r="R2211" i="21"/>
  <c r="R286" i="21"/>
  <c r="R1720" i="21"/>
  <c r="R2670" i="21"/>
  <c r="R366" i="21"/>
  <c r="R1723" i="21"/>
  <c r="R2562" i="21"/>
  <c r="R669" i="21"/>
  <c r="R1882" i="21" l="1"/>
  <c r="R758" i="21"/>
  <c r="R298" i="21"/>
  <c r="R771" i="21"/>
  <c r="R1055" i="21"/>
  <c r="R2204" i="21"/>
  <c r="R824" i="21"/>
  <c r="R2695" i="21"/>
  <c r="R2382" i="21"/>
  <c r="R2677"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amir</author>
  </authors>
  <commentList>
    <comment ref="AZ9" authorId="0" shapeId="0" xr:uid="{00000000-0006-0000-0B00-000001000000}">
      <text>
        <r>
          <rPr>
            <b/>
            <sz val="9"/>
            <color indexed="81"/>
            <rFont val="Tahoma"/>
            <family val="2"/>
          </rPr>
          <t>USER:</t>
        </r>
        <r>
          <rPr>
            <sz val="9"/>
            <color indexed="81"/>
            <rFont val="Tahoma"/>
            <family val="2"/>
          </rPr>
          <t xml:space="preserve">
הפחתה בגין חוסר שימוש בתקציב - לדוג' תקציב של 100 אש"ח שימוש 50 אש"ח</t>
        </r>
      </text>
    </comment>
    <comment ref="BA9" authorId="0" shapeId="0" xr:uid="{00000000-0006-0000-0B00-000002000000}">
      <text>
        <r>
          <rPr>
            <b/>
            <sz val="9"/>
            <color indexed="81"/>
            <rFont val="Tahoma"/>
            <family val="2"/>
          </rPr>
          <t>USER:</t>
        </r>
        <r>
          <rPr>
            <sz val="9"/>
            <color indexed="81"/>
            <rFont val="Tahoma"/>
            <family val="2"/>
          </rPr>
          <t xml:space="preserve">
הפחתה בגין שימוש לא נכון בתקציב - תקציב של 100 אש"ח, שימוש של 100 אש"ח בחלוקה שונה מהתקציב. 
התוצאה - תקבול נמוך.</t>
        </r>
      </text>
    </comment>
    <comment ref="BE9" authorId="1" shapeId="0" xr:uid="{00000000-0006-0000-0B00-000003000000}">
      <text>
        <r>
          <rPr>
            <b/>
            <sz val="9"/>
            <color indexed="81"/>
            <rFont val="Tahoma"/>
            <family val="2"/>
          </rPr>
          <t>amir:</t>
        </r>
        <r>
          <rPr>
            <sz val="9"/>
            <color indexed="81"/>
            <rFont val="Tahoma"/>
            <family val="2"/>
          </rPr>
          <t xml:space="preserve">
לפני הכפלה בשיעור השתתפות וללא גמישות</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lea</author>
  </authors>
  <commentList>
    <comment ref="Q2" authorId="0" shapeId="0" xr:uid="{09BED985-E659-4A04-8AE2-70BA09477AB2}">
      <text>
        <r>
          <rPr>
            <b/>
            <sz val="9"/>
            <color indexed="81"/>
            <rFont val="Tahoma"/>
            <family val="2"/>
          </rPr>
          <t>lea:</t>
        </r>
        <r>
          <rPr>
            <sz val="9"/>
            <color indexed="81"/>
            <rFont val="Tahoma"/>
            <family val="2"/>
          </rPr>
          <t xml:space="preserve">
לבדוק תקינות בבקרת גביה ומלגות</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<sst xmlns="http://schemas.openxmlformats.org/spreadsheetml/2006/main" count="21273" uniqueCount="3417">
  <si>
    <t>העשרה</t>
  </si>
  <si>
    <t>מס' סידורי</t>
  </si>
  <si>
    <t>סלים</t>
  </si>
  <si>
    <t>ניהול ותפעול</t>
  </si>
  <si>
    <t>שם כרטיס</t>
  </si>
  <si>
    <t xml:space="preserve">דוח ביצוע כספי - הוצאות בפועל </t>
  </si>
  <si>
    <t>אשכול למ"ס</t>
  </si>
  <si>
    <t>מספר אשכול למ"ס</t>
  </si>
  <si>
    <t>סיכום</t>
  </si>
  <si>
    <t>עלות קבועה למוסד שמשתתף בתוכנית</t>
  </si>
  <si>
    <t>סוג המסגרת</t>
  </si>
  <si>
    <t>סוג עלות</t>
  </si>
  <si>
    <t>סל ניהול ותפעול</t>
  </si>
  <si>
    <t>סל הדרכה</t>
  </si>
  <si>
    <t>סל העשרה</t>
  </si>
  <si>
    <t xml:space="preserve">סה"כ </t>
  </si>
  <si>
    <t>שם הרשות המקומית</t>
  </si>
  <si>
    <t>התאמת תקציב נורמטיבי לביצוע כספי</t>
  </si>
  <si>
    <t>ביצוע בפועל - סכום - ש"ח</t>
  </si>
  <si>
    <t>תקציב נורמטיבי - סכום - ש"ח</t>
  </si>
  <si>
    <t>אחוז ביצוע מהתקצוב</t>
  </si>
  <si>
    <t>סה"כ נטו</t>
  </si>
  <si>
    <t>הסכום המירבי המוכר - ש"ח</t>
  </si>
  <si>
    <t>סה"כ הוצאות לפעילות</t>
  </si>
  <si>
    <t>נרשם ברשות בכרטיס הנה"ח מס'</t>
  </si>
  <si>
    <t>מס' תלמידים רשומים חינוך רגיל</t>
  </si>
  <si>
    <t>מס' תלמידים רשומים חינוך מיוחד</t>
  </si>
  <si>
    <t>הערות</t>
  </si>
  <si>
    <t>פרטי חברה מנהלת</t>
  </si>
  <si>
    <t>מספר עמותה/ חברה/ עוסק</t>
  </si>
  <si>
    <t>שם הגוף המפעיל ו/או מעסיק את העובדים</t>
  </si>
  <si>
    <t>סה"כ תלמידים שנרשמו</t>
  </si>
  <si>
    <t>גנים</t>
  </si>
  <si>
    <t>גן רגיל</t>
  </si>
  <si>
    <t xml:space="preserve">לתלמיד נורמטיבי </t>
  </si>
  <si>
    <t>מספר ימים</t>
  </si>
  <si>
    <t>עלות קבועה לרכזת גנים שאושרה</t>
  </si>
  <si>
    <t>עלות לרכזת</t>
  </si>
  <si>
    <t xml:space="preserve">גבייה מההורים </t>
  </si>
  <si>
    <t>סבסוד המשרד - חינוך רגיל</t>
  </si>
  <si>
    <t>אחוז הסבסוד חינוך רגיל</t>
  </si>
  <si>
    <t>דוח ביצוע כספי - הכנסות בפועל עבור חלק ההורים</t>
  </si>
  <si>
    <t>א.</t>
  </si>
  <si>
    <t>תעריף לילד חלק ההורים - ש"ח</t>
  </si>
  <si>
    <t>שכר רכזים בבתי הספר</t>
  </si>
  <si>
    <t>שכר סגני רכזים בבתי הספר</t>
  </si>
  <si>
    <t>מלגות להורים</t>
  </si>
  <si>
    <t>האם בי"ס גדול - 150 תלמידים ומעלה</t>
  </si>
  <si>
    <t>סה"כ תלמידי חינוך מיוחד שנרשמו</t>
  </si>
  <si>
    <t>סה"כ תלמידי חינוך רגיל שנרשמו</t>
  </si>
  <si>
    <t>סה"כ תלמידים במצבת</t>
  </si>
  <si>
    <t>סמל בית ספר</t>
  </si>
  <si>
    <t>חינוך מיוחד</t>
  </si>
  <si>
    <t>חינוך רגיל</t>
  </si>
  <si>
    <t>מס' בתי"ס גדולים - 150 תלמידים ומעלה</t>
  </si>
  <si>
    <t>מס' תלמידים רשומים</t>
  </si>
  <si>
    <t>מס' בתי"ס בהם מתקיימת פעילות</t>
  </si>
  <si>
    <t>מספר בתי"ס במצבת</t>
  </si>
  <si>
    <t>בתי ספר גדולים</t>
  </si>
  <si>
    <t>סה"כ תלמידים בביה"ס</t>
  </si>
  <si>
    <t>ריכוז לפי בתי הספר בהם מופעלת התכנית</t>
  </si>
  <si>
    <t xml:space="preserve">דוח ביצוע מפורט לפי תלמידים </t>
  </si>
  <si>
    <t>שכר סגן רכז</t>
  </si>
  <si>
    <t xml:space="preserve"> בי"ס רגיל</t>
  </si>
  <si>
    <t>לפי תלמיד נורמטיבי לתקופה</t>
  </si>
  <si>
    <t>בי"ס חנ"מ</t>
  </si>
  <si>
    <t xml:space="preserve">שכר רכז </t>
  </si>
  <si>
    <t>סה"כ</t>
  </si>
  <si>
    <t>בי"ס רגיל עד 150 תלמידים</t>
  </si>
  <si>
    <t>מספר ימי פעילות בפועל</t>
  </si>
  <si>
    <t>מספר ימים/תלמידים</t>
  </si>
  <si>
    <t>משקל יחסי</t>
  </si>
  <si>
    <t>לתלמיד ליום</t>
  </si>
  <si>
    <t>לבי"ס ליום</t>
  </si>
  <si>
    <t>מס' תלמידים  חינוך רגיל</t>
  </si>
  <si>
    <t>מס' תלמידים  חינוך מיוחד</t>
  </si>
  <si>
    <t>שכר צוות חינוכי בבתי הספר</t>
  </si>
  <si>
    <t>סוג מוסד</t>
  </si>
  <si>
    <t>בתי ספר</t>
  </si>
  <si>
    <t>תאריך פתיחה</t>
  </si>
  <si>
    <t>תאריך סיום</t>
  </si>
  <si>
    <t>עלות לגן</t>
  </si>
  <si>
    <t>הנחיות למילוי דוח הביצוע</t>
  </si>
  <si>
    <t>יש להקפיד ולרשום את מספרי הכרטיסים בהם נרשמו ההכנסות בסעיפים אלו.</t>
  </si>
  <si>
    <t>במקרים שישנה בנוסף גם חברה מנהלת (כגון משכ"ל, החברה למשאבי אנוש וכו') יש לציין זאת. במקרים שהרשות מפעילה את הפעילות בעצמה, ומעסיקה את העובדים בתכנית, יש לציין זאת.</t>
  </si>
  <si>
    <t>מס'</t>
  </si>
  <si>
    <t>בקרת סמלי מוסדות</t>
  </si>
  <si>
    <t xml:space="preserve">נתוני עזר </t>
  </si>
  <si>
    <t>סל ניהול</t>
  </si>
  <si>
    <t>בתי"ס רגיל</t>
  </si>
  <si>
    <t>בתי"ס חנ"מ</t>
  </si>
  <si>
    <t>סל שכר ריכוז</t>
  </si>
  <si>
    <t>בתי"ס גדולים</t>
  </si>
  <si>
    <t>ארוחת בוקר</t>
  </si>
  <si>
    <t>סל גמיש</t>
  </si>
  <si>
    <t>לבי"ס ל- 15 ימים</t>
  </si>
  <si>
    <t xml:space="preserve"> </t>
  </si>
  <si>
    <t>סמל מוסד</t>
  </si>
  <si>
    <t>שם מוסד</t>
  </si>
  <si>
    <t>ת.ז. עובד</t>
  </si>
  <si>
    <t>שם פרטי</t>
  </si>
  <si>
    <t>שם משפחה</t>
  </si>
  <si>
    <t>הועסק ע"י</t>
  </si>
  <si>
    <t>איש צוות</t>
  </si>
  <si>
    <t>תפקיד</t>
  </si>
  <si>
    <t>סך שעות</t>
  </si>
  <si>
    <t>עלות שכר לתקופה</t>
  </si>
  <si>
    <t>מורה</t>
  </si>
  <si>
    <t>בעל/ת תעודת הוראה שסיימ/ה 80% מהתואר</t>
  </si>
  <si>
    <t>מד"צ</t>
  </si>
  <si>
    <t>רכזת תכנית בבית הספר</t>
  </si>
  <si>
    <t xml:space="preserve">סגנית רכזת&gt;150 </t>
  </si>
  <si>
    <t xml:space="preserve">תוספת כ"א </t>
  </si>
  <si>
    <t>מהות ההוצאה</t>
  </si>
  <si>
    <t>סכום ההוצאה בפועל</t>
  </si>
  <si>
    <t>מספר כרטיס ספק בהנהלת חשבונות</t>
  </si>
  <si>
    <t>מקור הפעלה (רשות/קבלן משנה)</t>
  </si>
  <si>
    <t>דוח ביצוע כספי - הוצאות בפועל - עלויות שכר</t>
  </si>
  <si>
    <t>מדצ/ית</t>
  </si>
  <si>
    <t>מדריכ/ה מוסמכ/ת</t>
  </si>
  <si>
    <t>סטודנט/ית</t>
  </si>
  <si>
    <t>עוזר/ת חינוך</t>
  </si>
  <si>
    <t>יועצ/ת</t>
  </si>
  <si>
    <t>מורה להוראה מתקנת</t>
  </si>
  <si>
    <t>מורה מקצוע/ית למתמטיקה/אנגלית/מדעים</t>
  </si>
  <si>
    <t>רכז/ת תכנית בבית הספר</t>
  </si>
  <si>
    <t xml:space="preserve">סגנ/ית רכ/זת&gt;150 </t>
  </si>
  <si>
    <t>מדצ</t>
  </si>
  <si>
    <t>רכזת</t>
  </si>
  <si>
    <t>סגנית</t>
  </si>
  <si>
    <t>סגנית רכזת מעל 150</t>
  </si>
  <si>
    <t>תוספת כח אדם</t>
  </si>
  <si>
    <t>הכנסות נטו</t>
  </si>
  <si>
    <t>בתי"ס רגילים</t>
  </si>
  <si>
    <t>שם בית הספר</t>
  </si>
  <si>
    <t xml:space="preserve">מפתח חלוקה בין מפעילים </t>
  </si>
  <si>
    <t>מפעיל התכנית</t>
  </si>
  <si>
    <t xml:space="preserve">סמל בית ספר </t>
  </si>
  <si>
    <t>שימוש אפשרי בסל</t>
  </si>
  <si>
    <t>תמהיל שימוש בסל</t>
  </si>
  <si>
    <t xml:space="preserve">סל ניהול </t>
  </si>
  <si>
    <t xml:space="preserve"> יש לרשום בגליון את פרטי כל הגופים איתם הרשות התקשרה בהסכמים לביצוע הפעילות כולה או חלקה. בעמודת הערות יש לפרט את הפעילות שבוצעה ע"י כל אחד מהגופים. </t>
  </si>
  <si>
    <t>בדיקת ניצול תקציב סל גמיש</t>
  </si>
  <si>
    <t>כמות ילדים להם ניתנו מלגות</t>
  </si>
  <si>
    <t>ימי פעילות בית הספר</t>
  </si>
  <si>
    <t>גודל בית הספר</t>
  </si>
  <si>
    <t>סמל המוסד</t>
  </si>
  <si>
    <t>גליון תקצוב לפי מוסד</t>
  </si>
  <si>
    <t>כמות ילדים - גביה</t>
  </si>
  <si>
    <t>גבייה מההורים בפועל - ש"ח</t>
  </si>
  <si>
    <t>תקצוב לבית הספר ע"פ סלים</t>
  </si>
  <si>
    <t>סל ניהול (תקורה)</t>
  </si>
  <si>
    <t>עבור כל סמל מוסד, יש לרשום את סך הגבייה מההורים עבור התכנית.</t>
  </si>
  <si>
    <t>יש למלא בעמודה H את כמות הילדים להם ניתנה מלגה.</t>
  </si>
  <si>
    <t>יש למלא בעמודה I את כמות הילדים עבורם בוצעה גביה.</t>
  </si>
  <si>
    <t>בקרת סמלי מוסדות - האם קיים כמוסד בו מתבצעת פעילות?</t>
  </si>
  <si>
    <t>יש לבחור מתוך הרשימה הנפתחת בלבד!</t>
  </si>
  <si>
    <t>תקצוב סל גמיש לשכר רגיל</t>
  </si>
  <si>
    <t>תקצוב סל גמיש לשכר רכזים/סגנים</t>
  </si>
  <si>
    <t>רשמי</t>
  </si>
  <si>
    <t>אבו גוש</t>
  </si>
  <si>
    <t>אבו סנאן</t>
  </si>
  <si>
    <t>אבן יהודה</t>
  </si>
  <si>
    <t>אום אל-פחם</t>
  </si>
  <si>
    <t>אופקים</t>
  </si>
  <si>
    <t>אור יהודה</t>
  </si>
  <si>
    <t>אור עקיבא</t>
  </si>
  <si>
    <t>אורנית</t>
  </si>
  <si>
    <t>אזור</t>
  </si>
  <si>
    <t>אילת</t>
  </si>
  <si>
    <t>אכסאל</t>
  </si>
  <si>
    <t>אל בטוף</t>
  </si>
  <si>
    <t>אל קסום</t>
  </si>
  <si>
    <t>אלונה</t>
  </si>
  <si>
    <t>אליכין</t>
  </si>
  <si>
    <t>אלעד</t>
  </si>
  <si>
    <t>אלפי מנשה</t>
  </si>
  <si>
    <t>אלקנה</t>
  </si>
  <si>
    <t>אעבלין</t>
  </si>
  <si>
    <t>אפרת</t>
  </si>
  <si>
    <t>אריאל</t>
  </si>
  <si>
    <t>אשדוד</t>
  </si>
  <si>
    <t>אשכול</t>
  </si>
  <si>
    <t>אשקלון</t>
  </si>
  <si>
    <t>באקה אל-גרביה</t>
  </si>
  <si>
    <t>באר טוביה</t>
  </si>
  <si>
    <t>באר יעקב</t>
  </si>
  <si>
    <t>באר שבע</t>
  </si>
  <si>
    <t>בוסתאן אל מרג</t>
  </si>
  <si>
    <t>בוקעאתה</t>
  </si>
  <si>
    <t>ביר אל-מכסור</t>
  </si>
  <si>
    <t>בית אל</t>
  </si>
  <si>
    <t>בית אריה</t>
  </si>
  <si>
    <t>בית ג'ן</t>
  </si>
  <si>
    <t>בית דגן</t>
  </si>
  <si>
    <t>בית שאן</t>
  </si>
  <si>
    <t>בית שמש</t>
  </si>
  <si>
    <t>ביתר עילית</t>
  </si>
  <si>
    <t>בני ברק</t>
  </si>
  <si>
    <t>בני עי"ש</t>
  </si>
  <si>
    <t>בני שמעון</t>
  </si>
  <si>
    <t>בנימינה גבעת עדה</t>
  </si>
  <si>
    <t>בסמ"ה</t>
  </si>
  <si>
    <t>בסמת טבעון</t>
  </si>
  <si>
    <t>בענה</t>
  </si>
  <si>
    <t>ברנר</t>
  </si>
  <si>
    <t>בת ים</t>
  </si>
  <si>
    <t>ג'דיידה-מכר</t>
  </si>
  <si>
    <t>ג'וליס</t>
  </si>
  <si>
    <t>ג'לג'וליה</t>
  </si>
  <si>
    <t>ג'סר א-זרקא</t>
  </si>
  <si>
    <t>ג'ת</t>
  </si>
  <si>
    <t>גבעת זאב</t>
  </si>
  <si>
    <t>גבעת שמואל</t>
  </si>
  <si>
    <t>גבעתיים</t>
  </si>
  <si>
    <t>גדרה</t>
  </si>
  <si>
    <t>גדרות</t>
  </si>
  <si>
    <t>גולן</t>
  </si>
  <si>
    <t>גוש חלב</t>
  </si>
  <si>
    <t>גוש עציון</t>
  </si>
  <si>
    <t>גזר</t>
  </si>
  <si>
    <t>גן יבנה</t>
  </si>
  <si>
    <t>דאלית אל-כרמל</t>
  </si>
  <si>
    <t>דבוריה</t>
  </si>
  <si>
    <t>דייר אל-אסד</t>
  </si>
  <si>
    <t>דימונה</t>
  </si>
  <si>
    <t>דיר חנא</t>
  </si>
  <si>
    <t>דרום השרון</t>
  </si>
  <si>
    <t>הגלבוע</t>
  </si>
  <si>
    <t>הגליל העליון</t>
  </si>
  <si>
    <t>הגליל התחתון</t>
  </si>
  <si>
    <t>הוד השרון</t>
  </si>
  <si>
    <t>הערבה התיכונה</t>
  </si>
  <si>
    <t>הר-אדר</t>
  </si>
  <si>
    <t>הר חברון</t>
  </si>
  <si>
    <t>הרצליה</t>
  </si>
  <si>
    <t>זבולון</t>
  </si>
  <si>
    <t>זכרון יעקב</t>
  </si>
  <si>
    <t>זמר</t>
  </si>
  <si>
    <t>זרזיר</t>
  </si>
  <si>
    <t>חבל אילות</t>
  </si>
  <si>
    <t>חבל יבנה</t>
  </si>
  <si>
    <t>חבל מודיעין</t>
  </si>
  <si>
    <t>חברון</t>
  </si>
  <si>
    <t>חדרה</t>
  </si>
  <si>
    <t>חולון</t>
  </si>
  <si>
    <t>חוף אשקלון</t>
  </si>
  <si>
    <t>חוף הכרמל</t>
  </si>
  <si>
    <t>חוף השרון</t>
  </si>
  <si>
    <t>חורה</t>
  </si>
  <si>
    <t>חורפיש</t>
  </si>
  <si>
    <t>חיפה</t>
  </si>
  <si>
    <t>חצור הגלילית</t>
  </si>
  <si>
    <t>חריש</t>
  </si>
  <si>
    <t>טבריה</t>
  </si>
  <si>
    <t>טובא-זנגריה</t>
  </si>
  <si>
    <t>טורעאן</t>
  </si>
  <si>
    <t>טייבה</t>
  </si>
  <si>
    <t>טירה</t>
  </si>
  <si>
    <t>טירת כרמל</t>
  </si>
  <si>
    <t>טמרה</t>
  </si>
  <si>
    <t>יבנאל</t>
  </si>
  <si>
    <t>יבנה</t>
  </si>
  <si>
    <t>יהוד נווה אפרים</t>
  </si>
  <si>
    <t>יואב</t>
  </si>
  <si>
    <t>ינוח-ג'ת</t>
  </si>
  <si>
    <t>יסוד המעלה</t>
  </si>
  <si>
    <t>יפיע</t>
  </si>
  <si>
    <t>יקנעם עילית</t>
  </si>
  <si>
    <t>ירוחם</t>
  </si>
  <si>
    <t>ירושלים</t>
  </si>
  <si>
    <t>ירכא</t>
  </si>
  <si>
    <t>כאבול</t>
  </si>
  <si>
    <t>כאוכב אבו אל-היג'א</t>
  </si>
  <si>
    <t>כוכב יאיר</t>
  </si>
  <si>
    <t>כסיפה</t>
  </si>
  <si>
    <t>כסרא-סמיע</t>
  </si>
  <si>
    <t>כעביה-טבאש-חג'אג'רה</t>
  </si>
  <si>
    <t>כפר ברא</t>
  </si>
  <si>
    <t>כפר ורדים</t>
  </si>
  <si>
    <t>כפר יאסיף</t>
  </si>
  <si>
    <t>כפר יונה</t>
  </si>
  <si>
    <t>כפר כנא</t>
  </si>
  <si>
    <t>כפר מנדא</t>
  </si>
  <si>
    <t>כפר סבא</t>
  </si>
  <si>
    <t>כפר קאסם</t>
  </si>
  <si>
    <t>כפר קמא</t>
  </si>
  <si>
    <t>כפר קרע</t>
  </si>
  <si>
    <t>כפר שמריהו</t>
  </si>
  <si>
    <t>כפר תבור</t>
  </si>
  <si>
    <t>כרמיאל</t>
  </si>
  <si>
    <t>לב השרון</t>
  </si>
  <si>
    <t>להבים</t>
  </si>
  <si>
    <t>לוד</t>
  </si>
  <si>
    <t>לכיש</t>
  </si>
  <si>
    <t>לקיה</t>
  </si>
  <si>
    <t>מבואות החרמון</t>
  </si>
  <si>
    <t>מבשרת ציון</t>
  </si>
  <si>
    <t>מג'אר</t>
  </si>
  <si>
    <t>מג'ד אל-כרום</t>
  </si>
  <si>
    <t>מג'דל שמס</t>
  </si>
  <si>
    <t>מגדל</t>
  </si>
  <si>
    <t>מגדל העמק</t>
  </si>
  <si>
    <t>מגידו</t>
  </si>
  <si>
    <t>מגילות ים המלח</t>
  </si>
  <si>
    <t>מודיעין מכבים רעות</t>
  </si>
  <si>
    <t>מודיעין עילית</t>
  </si>
  <si>
    <t>מזכרת בתיה</t>
  </si>
  <si>
    <t>מזרעה</t>
  </si>
  <si>
    <t>מטה אשר</t>
  </si>
  <si>
    <t>מטה בנימין</t>
  </si>
  <si>
    <t>מטה יהודה</t>
  </si>
  <si>
    <t>מטולה</t>
  </si>
  <si>
    <t>מיתר</t>
  </si>
  <si>
    <t>מנשה</t>
  </si>
  <si>
    <t>מסעדה</t>
  </si>
  <si>
    <t>מעיליא</t>
  </si>
  <si>
    <t>מעלה אדומים</t>
  </si>
  <si>
    <t>מעלה אפרים</t>
  </si>
  <si>
    <t>מעלה יוסף</t>
  </si>
  <si>
    <t>מעלה עירון</t>
  </si>
  <si>
    <t>מעלות-תרשיחא</t>
  </si>
  <si>
    <t>מצפה רמון</t>
  </si>
  <si>
    <t>מרום הגליל</t>
  </si>
  <si>
    <t>מרחבים</t>
  </si>
  <si>
    <t>משגב</t>
  </si>
  <si>
    <t>משהד</t>
  </si>
  <si>
    <t>נהריה</t>
  </si>
  <si>
    <t>נווה מדבר</t>
  </si>
  <si>
    <t>נוף הגליל</t>
  </si>
  <si>
    <t>נחל שורק</t>
  </si>
  <si>
    <t>נחף</t>
  </si>
  <si>
    <t>נס ציונה</t>
  </si>
  <si>
    <t>נצרת</t>
  </si>
  <si>
    <t>נשר</t>
  </si>
  <si>
    <t>נתיבות</t>
  </si>
  <si>
    <t>נתניה</t>
  </si>
  <si>
    <t>סאג'ור</t>
  </si>
  <si>
    <t>סביון</t>
  </si>
  <si>
    <t>סח'נין</t>
  </si>
  <si>
    <t>עג'ר</t>
  </si>
  <si>
    <t>עומר</t>
  </si>
  <si>
    <t>עילבון</t>
  </si>
  <si>
    <t>עילוט</t>
  </si>
  <si>
    <t>עין מאה'ל</t>
  </si>
  <si>
    <t>עין קניה</t>
  </si>
  <si>
    <t>עכו</t>
  </si>
  <si>
    <t>עמנואל</t>
  </si>
  <si>
    <t>עמק הירדן</t>
  </si>
  <si>
    <t>עמק המעיינות</t>
  </si>
  <si>
    <t>עמק חפר</t>
  </si>
  <si>
    <t>עמק יזרעאל</t>
  </si>
  <si>
    <t>עספיא</t>
  </si>
  <si>
    <t>עפולה</t>
  </si>
  <si>
    <t>עראבה</t>
  </si>
  <si>
    <t>ערד</t>
  </si>
  <si>
    <t>ערערה</t>
  </si>
  <si>
    <t>ערערה בנגב</t>
  </si>
  <si>
    <t>פוריידיס</t>
  </si>
  <si>
    <t>פסוטה</t>
  </si>
  <si>
    <t>פקיעין - בוקייעה</t>
  </si>
  <si>
    <t>פרדס חנה-כרכור</t>
  </si>
  <si>
    <t>פרדסיה</t>
  </si>
  <si>
    <t>פתח תקוה</t>
  </si>
  <si>
    <t>צורן קדימה</t>
  </si>
  <si>
    <t>צפת</t>
  </si>
  <si>
    <t>קדומים</t>
  </si>
  <si>
    <t>קלנסווה</t>
  </si>
  <si>
    <t>קצרין</t>
  </si>
  <si>
    <t>קרית אונו</t>
  </si>
  <si>
    <t>קרית ארבע</t>
  </si>
  <si>
    <t>קרית אתא</t>
  </si>
  <si>
    <t>קרית ביאליק</t>
  </si>
  <si>
    <t>קרית גת</t>
  </si>
  <si>
    <t>קרית טבעון</t>
  </si>
  <si>
    <t>קרית ים</t>
  </si>
  <si>
    <t>קרית יערים</t>
  </si>
  <si>
    <t>קרית מוצקין</t>
  </si>
  <si>
    <t>קרית מלאכי</t>
  </si>
  <si>
    <t>קרית עקרון</t>
  </si>
  <si>
    <t>קרית שמונה</t>
  </si>
  <si>
    <t>קרני שומרון</t>
  </si>
  <si>
    <t>ראמה</t>
  </si>
  <si>
    <t>ראש העין</t>
  </si>
  <si>
    <t>ראש פינה</t>
  </si>
  <si>
    <t>ראשון לציון</t>
  </si>
  <si>
    <t>רהט</t>
  </si>
  <si>
    <t>רחובות</t>
  </si>
  <si>
    <t>ריינה</t>
  </si>
  <si>
    <t>רכסים</t>
  </si>
  <si>
    <t>רמלה</t>
  </si>
  <si>
    <t>רמת גן</t>
  </si>
  <si>
    <t>רמת השרון</t>
  </si>
  <si>
    <t>רמת ישי</t>
  </si>
  <si>
    <t>רמת נגב</t>
  </si>
  <si>
    <t>רעננה</t>
  </si>
  <si>
    <t>שבלי-אום אל-גנם</t>
  </si>
  <si>
    <t>שגב שלום</t>
  </si>
  <si>
    <t>שדות דן</t>
  </si>
  <si>
    <t>שדות נגב עזתה</t>
  </si>
  <si>
    <t>שדרות</t>
  </si>
  <si>
    <t>שוהם</t>
  </si>
  <si>
    <t>שומרון</t>
  </si>
  <si>
    <t>שלומי</t>
  </si>
  <si>
    <t>שעב</t>
  </si>
  <si>
    <t>שער הנגב</t>
  </si>
  <si>
    <t>שפיר</t>
  </si>
  <si>
    <t>שפרעם</t>
  </si>
  <si>
    <t>תל אביב-יפו</t>
  </si>
  <si>
    <t>תל מונד</t>
  </si>
  <si>
    <t>תל שבע</t>
  </si>
  <si>
    <t>תמר</t>
  </si>
  <si>
    <t>דיווח הרשות</t>
  </si>
  <si>
    <t xml:space="preserve">חינוך רגיל </t>
  </si>
  <si>
    <t>שם הרשות</t>
  </si>
  <si>
    <t>סמל מוטב</t>
  </si>
  <si>
    <t>סהכ ביצוע</t>
  </si>
  <si>
    <t>אי ניצול תקציב</t>
  </si>
  <si>
    <t>בתי ספר תלמידים ח.ר</t>
  </si>
  <si>
    <t>בתי ספר תלמידים ח.מ</t>
  </si>
  <si>
    <t>בתי ספר רגילים</t>
  </si>
  <si>
    <t>גנים מספר תלמידים</t>
  </si>
  <si>
    <t>גנים -רכזות גנים</t>
  </si>
  <si>
    <t>סה"כ תקצוב</t>
  </si>
  <si>
    <t>הפחתה אי  ניצול תקציב</t>
  </si>
  <si>
    <t>הפחתה חריגה</t>
  </si>
  <si>
    <t>תקצוב רכז רשותי</t>
  </si>
  <si>
    <t>ממוצע בקרה</t>
  </si>
  <si>
    <t>קרית רבין ממ' חדש</t>
  </si>
  <si>
    <t>"צליל" למצוינות</t>
  </si>
  <si>
    <t>רימלט</t>
  </si>
  <si>
    <t>שמרית</t>
  </si>
  <si>
    <t>איתמר בן אב"י</t>
  </si>
  <si>
    <t>אלומות</t>
  </si>
  <si>
    <t>בארי</t>
  </si>
  <si>
    <t>ביאליק</t>
  </si>
  <si>
    <t>הלל צור</t>
  </si>
  <si>
    <t>ע"ש אהרון דוידי</t>
  </si>
  <si>
    <t>שורשים</t>
  </si>
  <si>
    <t>אילן רמון</t>
  </si>
  <si>
    <t>חיים חפר</t>
  </si>
  <si>
    <t>שזר</t>
  </si>
  <si>
    <t>רזיאל</t>
  </si>
  <si>
    <t>לאה גולדברג</t>
  </si>
  <si>
    <t>מ"מ תשרי</t>
  </si>
  <si>
    <t>יונתן</t>
  </si>
  <si>
    <t>הרצוג</t>
  </si>
  <si>
    <t>ע"ש נעמי שמר</t>
  </si>
  <si>
    <t>מ"מ מנחם בגין</t>
  </si>
  <si>
    <t>דבורה עומר</t>
  </si>
  <si>
    <t>קמפוס יצחק נבון לאמנויות</t>
  </si>
  <si>
    <t>יצחק נבון</t>
  </si>
  <si>
    <t>אלון</t>
  </si>
  <si>
    <t>אילנות</t>
  </si>
  <si>
    <t>יוחנני</t>
  </si>
  <si>
    <t>ברנדיס</t>
  </si>
  <si>
    <t>ח.ברנר</t>
  </si>
  <si>
    <t>גורדון</t>
  </si>
  <si>
    <t>ויצמן</t>
  </si>
  <si>
    <t>יצחק בן צבי</t>
  </si>
  <si>
    <t>נוף ים</t>
  </si>
  <si>
    <t>בר אילן מד</t>
  </si>
  <si>
    <t>רמבם מד</t>
  </si>
  <si>
    <t>הנדיב</t>
  </si>
  <si>
    <t>לב-טוב</t>
  </si>
  <si>
    <t>ג.יוספטל</t>
  </si>
  <si>
    <t>מינזר הנזירות</t>
  </si>
  <si>
    <t>בראשית</t>
  </si>
  <si>
    <t>אחדות</t>
  </si>
  <si>
    <t>מצפה</t>
  </si>
  <si>
    <t>יסודי אלקאוס</t>
  </si>
  <si>
    <t>אל חיואר</t>
  </si>
  <si>
    <t>אלראזי</t>
  </si>
  <si>
    <t>פסגות</t>
  </si>
  <si>
    <t>קורצאק</t>
  </si>
  <si>
    <t>אלעין</t>
  </si>
  <si>
    <t>אלאשראק</t>
  </si>
  <si>
    <t>יסודי שכ' קחאוש</t>
  </si>
  <si>
    <t>יסודי אל באטן</t>
  </si>
  <si>
    <t>רוממה</t>
  </si>
  <si>
    <t>יזרעאליה</t>
  </si>
  <si>
    <t>אהוד</t>
  </si>
  <si>
    <t>נועם</t>
  </si>
  <si>
    <t>פיכמן</t>
  </si>
  <si>
    <t>אמירים</t>
  </si>
  <si>
    <t>שרת</t>
  </si>
  <si>
    <t>עלומים</t>
  </si>
  <si>
    <t>בית יהושע</t>
  </si>
  <si>
    <t>גלילות</t>
  </si>
  <si>
    <t>אזורי אלונה</t>
  </si>
  <si>
    <t>ערערה אלסלאם</t>
  </si>
  <si>
    <t>עראק אלשבאב</t>
  </si>
  <si>
    <t>אל-סדיק</t>
  </si>
  <si>
    <t>כפר קרע א</t>
  </si>
  <si>
    <t>אל-שאפעי</t>
  </si>
  <si>
    <t>עבד אלרחמן אלחא'ג</t>
  </si>
  <si>
    <t>אופק</t>
  </si>
  <si>
    <t>אבן חלדון</t>
  </si>
  <si>
    <t>גת אלזהראא</t>
  </si>
  <si>
    <t>אלהלאל</t>
  </si>
  <si>
    <t>אלחיאם</t>
  </si>
  <si>
    <t>טאהא חוסין ערערה</t>
  </si>
  <si>
    <t>אלונים</t>
  </si>
  <si>
    <t>ישורון</t>
  </si>
  <si>
    <t>יסודי אלחוארנה</t>
  </si>
  <si>
    <t>הבונים</t>
  </si>
  <si>
    <t>שפרינצק</t>
  </si>
  <si>
    <t>נרקיסים</t>
  </si>
  <si>
    <t>רימונים</t>
  </si>
  <si>
    <t>קרית עמל</t>
  </si>
  <si>
    <t>יד ביד גשר על</t>
  </si>
  <si>
    <t>המשלב קרית טבעון</t>
  </si>
  <si>
    <t>אורים</t>
  </si>
  <si>
    <t>אלחנסאא</t>
  </si>
  <si>
    <t>אלחכמה</t>
  </si>
  <si>
    <t>עומר אבן אלח'טאב</t>
  </si>
  <si>
    <t>ערערה אלדהראת</t>
  </si>
  <si>
    <t>אלסביל</t>
  </si>
  <si>
    <t>אחמדיה כבאביר חיפה</t>
  </si>
  <si>
    <t>אלאחוה</t>
  </si>
  <si>
    <t>אלכרמה</t>
  </si>
  <si>
    <t>אלחכים</t>
  </si>
  <si>
    <t>אל-פארוק</t>
  </si>
  <si>
    <t>נזירות הכרמל חיפה</t>
  </si>
  <si>
    <t>אלמוגים</t>
  </si>
  <si>
    <t>אלמוסתקבל</t>
  </si>
  <si>
    <t>מועאויה</t>
  </si>
  <si>
    <t>מוסמוס</t>
  </si>
  <si>
    <t>מושירפה</t>
  </si>
  <si>
    <t>סאלם</t>
  </si>
  <si>
    <t>עארה ב</t>
  </si>
  <si>
    <t>עין אברהים</t>
  </si>
  <si>
    <t>דינור</t>
  </si>
  <si>
    <t>הגורן</t>
  </si>
  <si>
    <t>ארלוזורוב</t>
  </si>
  <si>
    <t>חב"ד</t>
  </si>
  <si>
    <t>עין אלסהלה</t>
  </si>
  <si>
    <t>יסודי עש פארוק שחידם</t>
  </si>
  <si>
    <t>עוספיא א</t>
  </si>
  <si>
    <t>חופית</t>
  </si>
  <si>
    <t>אינשטיין</t>
  </si>
  <si>
    <t>הצבי ישראל</t>
  </si>
  <si>
    <t>בית חיה</t>
  </si>
  <si>
    <t>חנה סנש</t>
  </si>
  <si>
    <t>קציר</t>
  </si>
  <si>
    <t>נופים</t>
  </si>
  <si>
    <t>ימית</t>
  </si>
  <si>
    <t>ממד נעם</t>
  </si>
  <si>
    <t>יסודי בגבעת רם</t>
  </si>
  <si>
    <t>ביה"ס הדמוקרטי-חדרה</t>
  </si>
  <si>
    <t>דגניה</t>
  </si>
  <si>
    <t>דוד ילין</t>
  </si>
  <si>
    <t>דרור</t>
  </si>
  <si>
    <t>החורש</t>
  </si>
  <si>
    <t>ע"ש יצחק רבין</t>
  </si>
  <si>
    <t>יסודי ע"ש תמרי</t>
  </si>
  <si>
    <t>יסודי ע"ש אילן רמון</t>
  </si>
  <si>
    <t>שקד</t>
  </si>
  <si>
    <t>הריאלי העברי חיפה</t>
  </si>
  <si>
    <t>הרצל</t>
  </si>
  <si>
    <t>טשרניחובסקי</t>
  </si>
  <si>
    <t>יבניאלי</t>
  </si>
  <si>
    <t>יסודי 1 רמת יצחק</t>
  </si>
  <si>
    <t>צליל</t>
  </si>
  <si>
    <t>החיטה ע"ש אהרונסון</t>
  </si>
  <si>
    <t>ע"ש זבולון המר</t>
  </si>
  <si>
    <t>מ"מ רעות</t>
  </si>
  <si>
    <t>יצחק רבין</t>
  </si>
  <si>
    <t>גימס רוטשילד</t>
  </si>
  <si>
    <t>עליזה ומנחם בגין</t>
  </si>
  <si>
    <t>ליאו בק</t>
  </si>
  <si>
    <t>מגינים</t>
  </si>
  <si>
    <t>נירים</t>
  </si>
  <si>
    <t>רבי עקיבא</t>
  </si>
  <si>
    <t>עין הים</t>
  </si>
  <si>
    <t>עליה</t>
  </si>
  <si>
    <t>רמות</t>
  </si>
  <si>
    <t>שלוה</t>
  </si>
  <si>
    <t>אשכולות</t>
  </si>
  <si>
    <t>אהרון הראה</t>
  </si>
  <si>
    <t>כרמל-נתיב אליעזר</t>
  </si>
  <si>
    <t>מוריה</t>
  </si>
  <si>
    <t>רמבם</t>
  </si>
  <si>
    <t>יגאל אלון</t>
  </si>
  <si>
    <t>גבע- גבעת עדה</t>
  </si>
  <si>
    <t>נילי</t>
  </si>
  <si>
    <t>יעבץ</t>
  </si>
  <si>
    <t>אחד העם</t>
  </si>
  <si>
    <t>עליזה ארבילי-דגניה</t>
  </si>
  <si>
    <t>אלזהראא</t>
  </si>
  <si>
    <t>אבן סינא</t>
  </si>
  <si>
    <t>עמר אבן אלחטאב</t>
  </si>
  <si>
    <t>ליאו באק</t>
  </si>
  <si>
    <t>ברטעה</t>
  </si>
  <si>
    <t>אלשאטאא</t>
  </si>
  <si>
    <t>אבן רושד</t>
  </si>
  <si>
    <t>אלמסאר</t>
  </si>
  <si>
    <t>אלפארוק</t>
  </si>
  <si>
    <t>נזירות הכרמלית</t>
  </si>
  <si>
    <t>אלואדי</t>
  </si>
  <si>
    <t>אלמותנבי</t>
  </si>
  <si>
    <t>יוחנן הקדוש</t>
  </si>
  <si>
    <t>פינסקר</t>
  </si>
  <si>
    <t>כרכור</t>
  </si>
  <si>
    <t>גבעול</t>
  </si>
  <si>
    <t>צפרירים</t>
  </si>
  <si>
    <t>מורשה</t>
  </si>
  <si>
    <t>בן גוריון</t>
  </si>
  <si>
    <t>אלנהדה</t>
  </si>
  <si>
    <t>זלפה</t>
  </si>
  <si>
    <t>חיפה אחוה</t>
  </si>
  <si>
    <t>הנסיוני</t>
  </si>
  <si>
    <t>קפלן</t>
  </si>
  <si>
    <t>שילה</t>
  </si>
  <si>
    <t>תחכמוני</t>
  </si>
  <si>
    <t>אחוזה</t>
  </si>
  <si>
    <t>יסודי בסביוני ים</t>
  </si>
  <si>
    <t>כנפי רוח בנים</t>
  </si>
  <si>
    <t>תלמי רון</t>
  </si>
  <si>
    <t>שבילי רעות</t>
  </si>
  <si>
    <t>יסודי ע"ש יצחק נבון</t>
  </si>
  <si>
    <t>תלמי הדר</t>
  </si>
  <si>
    <t>לב</t>
  </si>
  <si>
    <t>גבעת אלונים</t>
  </si>
  <si>
    <t>רונה רמון</t>
  </si>
  <si>
    <t>חב"ד בנים</t>
  </si>
  <si>
    <t>מיתרים</t>
  </si>
  <si>
    <t>רימון</t>
  </si>
  <si>
    <t>שבילים ע"ש בגין</t>
  </si>
  <si>
    <t>גלי עתלית</t>
  </si>
  <si>
    <t>ניצני רעות</t>
  </si>
  <si>
    <t>מעיינות</t>
  </si>
  <si>
    <t>מופת חופים</t>
  </si>
  <si>
    <t>חמ"ד אהרון הרא"ה בנים</t>
  </si>
  <si>
    <t>כנפי רוח בנות</t>
  </si>
  <si>
    <t>שכ הפרחים</t>
  </si>
  <si>
    <t>יסודי 3</t>
  </si>
  <si>
    <t>פארק</t>
  </si>
  <si>
    <t>חב"ד חריש</t>
  </si>
  <si>
    <t>חיואר</t>
  </si>
  <si>
    <t>העמר</t>
  </si>
  <si>
    <t>נטעים</t>
  </si>
  <si>
    <t>קשת</t>
  </si>
  <si>
    <t>אלקנדיל</t>
  </si>
  <si>
    <t>שדות</t>
  </si>
  <si>
    <t>כרמל וים</t>
  </si>
  <si>
    <t>יסודי מנהיגות אומנו</t>
  </si>
  <si>
    <t>הבית העגול</t>
  </si>
  <si>
    <t>מעגנים</t>
  </si>
  <si>
    <t>משעולים</t>
  </si>
  <si>
    <t>נופית</t>
  </si>
  <si>
    <t>ניצנים</t>
  </si>
  <si>
    <t>ניר עציון</t>
  </si>
  <si>
    <t>תל חי</t>
  </si>
  <si>
    <t>א. ד. גורדון</t>
  </si>
  <si>
    <t>אג'יאל - ערבי יסודי</t>
  </si>
  <si>
    <t>ממ"ד חבד בנים ד.מנחם</t>
  </si>
  <si>
    <t>דורון ע"ש מאיר דורון</t>
  </si>
  <si>
    <t>רועי קליין</t>
  </si>
  <si>
    <t>נתן יונתן</t>
  </si>
  <si>
    <t>ממ"ד תורני נווה אברהם</t>
  </si>
  <si>
    <t>מ"ד מעלות חיים</t>
  </si>
  <si>
    <t>ת"ת צמח צדק</t>
  </si>
  <si>
    <t>בית צורי - רמת אביב</t>
  </si>
  <si>
    <t>ביכורים - המכיל</t>
  </si>
  <si>
    <t>צופיה</t>
  </si>
  <si>
    <t>אוסישקין</t>
  </si>
  <si>
    <t>ביה"ס השכונתי שפירא</t>
  </si>
  <si>
    <t>גוונים</t>
  </si>
  <si>
    <t>שלהבות</t>
  </si>
  <si>
    <t>יעל רום</t>
  </si>
  <si>
    <t>ארנון</t>
  </si>
  <si>
    <t>איתמר בן אבי</t>
  </si>
  <si>
    <t>אלומות מד</t>
  </si>
  <si>
    <t>עמיטל תורני</t>
  </si>
  <si>
    <t>אמיר</t>
  </si>
  <si>
    <t>ממ"ד בית מרגלית</t>
  </si>
  <si>
    <t>שמעוני</t>
  </si>
  <si>
    <t>ממ"ד תחכמוני</t>
  </si>
  <si>
    <t>הס</t>
  </si>
  <si>
    <t>נוה עוז</t>
  </si>
  <si>
    <t>פיק"א</t>
  </si>
  <si>
    <t>קרול</t>
  </si>
  <si>
    <t>ע"ש אהוד מנור</t>
  </si>
  <si>
    <t>יסודות</t>
  </si>
  <si>
    <t>אורנים</t>
  </si>
  <si>
    <t>חמ"ד אורי אורבך</t>
  </si>
  <si>
    <t>ממ"ד נצח ישראל</t>
  </si>
  <si>
    <t>מ"ד מורשה</t>
  </si>
  <si>
    <t>עין גנים</t>
  </si>
  <si>
    <t>בעל שם טוב מד</t>
  </si>
  <si>
    <t>דיזנגוף</t>
  </si>
  <si>
    <t>שיפר</t>
  </si>
  <si>
    <t>ממ"ד חבד בנות ח.מושק</t>
  </si>
  <si>
    <t>הדר</t>
  </si>
  <si>
    <t>ממ"ד עוזיאל</t>
  </si>
  <si>
    <t>המשותף</t>
  </si>
  <si>
    <t>בי"ס חב"ד לבנות</t>
  </si>
  <si>
    <t>הר נבו</t>
  </si>
  <si>
    <t>חב"ד בנות</t>
  </si>
  <si>
    <t>מורשת זבולון ק.רבין</t>
  </si>
  <si>
    <t>חסן ערפה יפו</t>
  </si>
  <si>
    <t>הוברמן</t>
  </si>
  <si>
    <t>ממ"ד ישורון</t>
  </si>
  <si>
    <t>ממ"ד נועם</t>
  </si>
  <si>
    <t>בר לב</t>
  </si>
  <si>
    <t>יפה נוף</t>
  </si>
  <si>
    <t>בית חינוך פאול קור</t>
  </si>
  <si>
    <t>בי"ס עוזי חיטמן</t>
  </si>
  <si>
    <t>גולדטק</t>
  </si>
  <si>
    <t>כוכב הצפון</t>
  </si>
  <si>
    <t>עתיד</t>
  </si>
  <si>
    <t>רמת אביב</t>
  </si>
  <si>
    <t>אביגור</t>
  </si>
  <si>
    <t>דביר</t>
  </si>
  <si>
    <t>כפיר</t>
  </si>
  <si>
    <t>י.ישעיהו</t>
  </si>
  <si>
    <t>אהוד מנור</t>
  </si>
  <si>
    <t>ע"ש "חיים חפר"</t>
  </si>
  <si>
    <t>מורדי הגיטאות</t>
  </si>
  <si>
    <t>רמת חן ע"ש א. רמון</t>
  </si>
  <si>
    <t>אושא מד</t>
  </si>
  <si>
    <t>הראה מד</t>
  </si>
  <si>
    <t>ת"ת ברקאי</t>
  </si>
  <si>
    <t>מגן</t>
  </si>
  <si>
    <t>שלום מד</t>
  </si>
  <si>
    <t>אהבת ציון</t>
  </si>
  <si>
    <t>צהלה</t>
  </si>
  <si>
    <t>רוקח</t>
  </si>
  <si>
    <t>מודיעים מד</t>
  </si>
  <si>
    <t>מוריה מד</t>
  </si>
  <si>
    <t>מירון מד</t>
  </si>
  <si>
    <t>לוי אשכול</t>
  </si>
  <si>
    <t>דוד אלעזר</t>
  </si>
  <si>
    <t>סביונים</t>
  </si>
  <si>
    <t>רמת החיל</t>
  </si>
  <si>
    <t>שפירא</t>
  </si>
  <si>
    <t>אילון</t>
  </si>
  <si>
    <t>אלחריזי</t>
  </si>
  <si>
    <t>תל-נורדוי</t>
  </si>
  <si>
    <t>בלפור</t>
  </si>
  <si>
    <t>הדקל</t>
  </si>
  <si>
    <t>לאמנויות</t>
  </si>
  <si>
    <t>לטבע סביבה וחברה</t>
  </si>
  <si>
    <t>אשלים</t>
  </si>
  <si>
    <t>ערמונים</t>
  </si>
  <si>
    <t>שיזף</t>
  </si>
  <si>
    <t>גבורי ישראל</t>
  </si>
  <si>
    <t>נופים ע"ש דוד רמז</t>
  </si>
  <si>
    <t>גרץ</t>
  </si>
  <si>
    <t>עש דינור</t>
  </si>
  <si>
    <t>התבור</t>
  </si>
  <si>
    <t>יעקב ניב</t>
  </si>
  <si>
    <t>דוד בלוך</t>
  </si>
  <si>
    <t>הגליל</t>
  </si>
  <si>
    <t>היובל</t>
  </si>
  <si>
    <t>אביב</t>
  </si>
  <si>
    <t>שכונת המשתלה</t>
  </si>
  <si>
    <t>בן צבי</t>
  </si>
  <si>
    <t>ע"ש יגאל אלון</t>
  </si>
  <si>
    <t>גבעולים</t>
  </si>
  <si>
    <t>הגפן</t>
  </si>
  <si>
    <t>החשמונאים</t>
  </si>
  <si>
    <t>הלל</t>
  </si>
  <si>
    <t>המנחיל</t>
  </si>
  <si>
    <t>זומר</t>
  </si>
  <si>
    <t>המתמיד</t>
  </si>
  <si>
    <t>עליות</t>
  </si>
  <si>
    <t>יהלם</t>
  </si>
  <si>
    <t>מכלל</t>
  </si>
  <si>
    <t>א. ארנון</t>
  </si>
  <si>
    <t>גבריאלי-הכרמל</t>
  </si>
  <si>
    <t>שרון</t>
  </si>
  <si>
    <t>מוהליבר מד</t>
  </si>
  <si>
    <t>ראשונים</t>
  </si>
  <si>
    <t>יצחק שדה א</t>
  </si>
  <si>
    <t>א.ד.גורדון</t>
  </si>
  <si>
    <t>תחכמוני מד</t>
  </si>
  <si>
    <t>בורוכוב</t>
  </si>
  <si>
    <t>אמי"ת אורגד</t>
  </si>
  <si>
    <t>ממ"ד קרליבך</t>
  </si>
  <si>
    <t>דרויינוב</t>
  </si>
  <si>
    <t>גבעון</t>
  </si>
  <si>
    <t>י.ח. ברנר</t>
  </si>
  <si>
    <t>הנשיא-מ"מ. י.</t>
  </si>
  <si>
    <t>סוקולוב</t>
  </si>
  <si>
    <t>הראל מד</t>
  </si>
  <si>
    <t>ארזים</t>
  </si>
  <si>
    <t>צוקי אביב</t>
  </si>
  <si>
    <t>יצחק שמיר</t>
  </si>
  <si>
    <t>נופי ים</t>
  </si>
  <si>
    <t>כצנלסון</t>
  </si>
  <si>
    <t>אמונים מד</t>
  </si>
  <si>
    <t>ישגב</t>
  </si>
  <si>
    <t>מורשת משה מד</t>
  </si>
  <si>
    <t>יהודה המכבי</t>
  </si>
  <si>
    <t>אורות בנות</t>
  </si>
  <si>
    <t>טבנקין</t>
  </si>
  <si>
    <t>בבלי</t>
  </si>
  <si>
    <t>ארן</t>
  </si>
  <si>
    <t>יד מרדכי</t>
  </si>
  <si>
    <t>נחשונים</t>
  </si>
  <si>
    <t>צפורי מד</t>
  </si>
  <si>
    <t>אביחי</t>
  </si>
  <si>
    <t>אריק איינשטיין</t>
  </si>
  <si>
    <t>שער האריות</t>
  </si>
  <si>
    <t>המגינים</t>
  </si>
  <si>
    <t>משה הס</t>
  </si>
  <si>
    <t>סגולה מד</t>
  </si>
  <si>
    <t>רביבים</t>
  </si>
  <si>
    <t>שנקר</t>
  </si>
  <si>
    <t>ישורון מ"ד</t>
  </si>
  <si>
    <t>סעדיה גאון מד</t>
  </si>
  <si>
    <t>אור מנחם</t>
  </si>
  <si>
    <t>השבעה</t>
  </si>
  <si>
    <t>מימון מד</t>
  </si>
  <si>
    <t>יחד</t>
  </si>
  <si>
    <t>הבילויים</t>
  </si>
  <si>
    <t>עפרה חזה</t>
  </si>
  <si>
    <t>עציון מד</t>
  </si>
  <si>
    <t>שרשים מד</t>
  </si>
  <si>
    <t>רתמים</t>
  </si>
  <si>
    <t>יוסף קארו</t>
  </si>
  <si>
    <t>נווה דקלים</t>
  </si>
  <si>
    <t>צאלים</t>
  </si>
  <si>
    <t>תורני מדעי-עץ החיים</t>
  </si>
  <si>
    <t>בן-צבי</t>
  </si>
  <si>
    <t>צין</t>
  </si>
  <si>
    <t>בן עטר</t>
  </si>
  <si>
    <t>אלי כהן</t>
  </si>
  <si>
    <t>נגב סיני</t>
  </si>
  <si>
    <t>נווה אילן</t>
  </si>
  <si>
    <t>אלמג'ד</t>
  </si>
  <si>
    <t>יד שבתאי</t>
  </si>
  <si>
    <t>הרי אילת</t>
  </si>
  <si>
    <t>רננות</t>
  </si>
  <si>
    <t>מצפה ימים</t>
  </si>
  <si>
    <t>מצפה ברנע א</t>
  </si>
  <si>
    <t>עצמונה</t>
  </si>
  <si>
    <t>נווה מנחם ע"ש מ.בגין</t>
  </si>
  <si>
    <t>אסף-מימון</t>
  </si>
  <si>
    <t>יד יצחק</t>
  </si>
  <si>
    <t>יעלים-עופרים</t>
  </si>
  <si>
    <t>הקרייה</t>
  </si>
  <si>
    <t>יחדיו</t>
  </si>
  <si>
    <t>נועם אורות הנגב</t>
  </si>
  <si>
    <t>אפיקים בנגב</t>
  </si>
  <si>
    <t>גלים</t>
  </si>
  <si>
    <t>עמי אסף</t>
  </si>
  <si>
    <t>נאות לון</t>
  </si>
  <si>
    <t>יעלים</t>
  </si>
  <si>
    <t>הראל</t>
  </si>
  <si>
    <t>אפיק</t>
  </si>
  <si>
    <t>מצפה ים</t>
  </si>
  <si>
    <t>מורשת ישורון</t>
  </si>
  <si>
    <t>נוף אדום</t>
  </si>
  <si>
    <t>אלסלאם</t>
  </si>
  <si>
    <t>אלמוג</t>
  </si>
  <si>
    <t>ימין הרצוג</t>
  </si>
  <si>
    <t>רגבים</t>
  </si>
  <si>
    <t>אפאק</t>
  </si>
  <si>
    <t>יסודי א' חורה</t>
  </si>
  <si>
    <t>אלאמל</t>
  </si>
  <si>
    <t>סיגליות</t>
  </si>
  <si>
    <t>הגבעה</t>
  </si>
  <si>
    <t>גאולים</t>
  </si>
  <si>
    <t>בית יחזקאל</t>
  </si>
  <si>
    <t>יסודי חדש שכו 1</t>
  </si>
  <si>
    <t>יסודי דתי חדש בנות</t>
  </si>
  <si>
    <t>יסודי דתי חדש בנים</t>
  </si>
  <si>
    <t>שדות סילבר</t>
  </si>
  <si>
    <t>אלביאן</t>
  </si>
  <si>
    <t>אל עזאזמה א</t>
  </si>
  <si>
    <t>יסודי חדש בבית פלט</t>
  </si>
  <si>
    <t>יסודי חדש באלהוואשלה</t>
  </si>
  <si>
    <t>אלפרדוס</t>
  </si>
  <si>
    <t>אלזהרא</t>
  </si>
  <si>
    <t>אלפורעה ב</t>
  </si>
  <si>
    <t>סיני</t>
  </si>
  <si>
    <t>יד חזון</t>
  </si>
  <si>
    <t>נוה מדבר</t>
  </si>
  <si>
    <t>חופים</t>
  </si>
  <si>
    <t>רשב"י</t>
  </si>
  <si>
    <t>משואה ע"ש יוסף שלום</t>
  </si>
  <si>
    <t>אוהל יוסף יצחק</t>
  </si>
  <si>
    <t>אחוות אחים</t>
  </si>
  <si>
    <t>נצח ישראל</t>
  </si>
  <si>
    <t>אלנג'אח</t>
  </si>
  <si>
    <t>ביר אלמשוש</t>
  </si>
  <si>
    <t>עובדת</t>
  </si>
  <si>
    <t>יסודי מכחול</t>
  </si>
  <si>
    <t>אלאימאן</t>
  </si>
  <si>
    <t>אלמעראג ע"ש שיח' פראג</t>
  </si>
  <si>
    <t>נווה שלום</t>
  </si>
  <si>
    <t>מדעי תורני</t>
  </si>
  <si>
    <t>רננים</t>
  </si>
  <si>
    <t>נווה עמרם</t>
  </si>
  <si>
    <t>גבים</t>
  </si>
  <si>
    <t>עמית</t>
  </si>
  <si>
    <t>יצחק שדה</t>
  </si>
  <si>
    <t>דוד בן גוריון</t>
  </si>
  <si>
    <t>שקמים</t>
  </si>
  <si>
    <t>הרואה</t>
  </si>
  <si>
    <t>אלסנאבל</t>
  </si>
  <si>
    <t>אלאנדלוס</t>
  </si>
  <si>
    <t>אל אמל</t>
  </si>
  <si>
    <t>אלעזאזמה ג'</t>
  </si>
  <si>
    <t>אלפוראת</t>
  </si>
  <si>
    <t>ז'בוטינסקי</t>
  </si>
  <si>
    <t>ע"ש חג' סלמאן אלעתאיקה</t>
  </si>
  <si>
    <t>סוסיא</t>
  </si>
  <si>
    <t>נאות אברהם</t>
  </si>
  <si>
    <t>כרמים</t>
  </si>
  <si>
    <t>שיטים</t>
  </si>
  <si>
    <t>עוזיאל</t>
  </si>
  <si>
    <t>רמב"ם</t>
  </si>
  <si>
    <t>נטע ארז</t>
  </si>
  <si>
    <t>נווה במדבר</t>
  </si>
  <si>
    <t>יסודי 5</t>
  </si>
  <si>
    <t>בני נצרים בנים</t>
  </si>
  <si>
    <t>רעים</t>
  </si>
  <si>
    <t>מבואות</t>
  </si>
  <si>
    <t>המאוחד</t>
  </si>
  <si>
    <t>אוהלי מנחם חב"ד</t>
  </si>
  <si>
    <t>הרב קוק</t>
  </si>
  <si>
    <t>שכונה 14</t>
  </si>
  <si>
    <t>יסודי רכמה</t>
  </si>
  <si>
    <t>ביה"ס אור חיה</t>
  </si>
  <si>
    <t>מענית</t>
  </si>
  <si>
    <t>נתיבות-יורם</t>
  </si>
  <si>
    <t>יסודי דתי - באר גנים</t>
  </si>
  <si>
    <t>מבועים</t>
  </si>
  <si>
    <t>רמון</t>
  </si>
  <si>
    <t>משאבים</t>
  </si>
  <si>
    <t>כרמי גת</t>
  </si>
  <si>
    <t>מרחבי אשכול</t>
  </si>
  <si>
    <t>כלניות</t>
  </si>
  <si>
    <t>ביר עסלוג'</t>
  </si>
  <si>
    <t>אורות</t>
  </si>
  <si>
    <t>טללים</t>
  </si>
  <si>
    <t>אופיר</t>
  </si>
  <si>
    <t>דקל</t>
  </si>
  <si>
    <t>חזון יעקב</t>
  </si>
  <si>
    <t>אביר יעקב</t>
  </si>
  <si>
    <t>רבקה גובר</t>
  </si>
  <si>
    <t>אלבאט</t>
  </si>
  <si>
    <t>אלמנארה</t>
  </si>
  <si>
    <t>אבו קרינאת</t>
  </si>
  <si>
    <t>חמד אבו רביעה</t>
  </si>
  <si>
    <t>ערב אלהוזייל</t>
  </si>
  <si>
    <t>נוף השדות</t>
  </si>
  <si>
    <t>אלרסאלה</t>
  </si>
  <si>
    <t>אגמים מ"מ</t>
  </si>
  <si>
    <t>יהלום</t>
  </si>
  <si>
    <t>ת"ת אור מנחם</t>
  </si>
  <si>
    <t>שחר</t>
  </si>
  <si>
    <t>יח"ד</t>
  </si>
  <si>
    <t>צמח א'</t>
  </si>
  <si>
    <t>יובלי הנגב</t>
  </si>
  <si>
    <t>נועם אליהו</t>
  </si>
  <si>
    <t>נוף ים ב'</t>
  </si>
  <si>
    <t>נתיבי עם</t>
  </si>
  <si>
    <t>אומנויות</t>
  </si>
  <si>
    <t>אלעטאונה</t>
  </si>
  <si>
    <t>עבד רבה אלאסד</t>
  </si>
  <si>
    <t>אלסייד</t>
  </si>
  <si>
    <t>אלעזאזמה ב'</t>
  </si>
  <si>
    <t>תל אלמלח</t>
  </si>
  <si>
    <t>ג'ובראן</t>
  </si>
  <si>
    <t>שחקים</t>
  </si>
  <si>
    <t>תומר</t>
  </si>
  <si>
    <t>האלה</t>
  </si>
  <si>
    <t>ממ"ד תורני למדעים</t>
  </si>
  <si>
    <t>ברנע</t>
  </si>
  <si>
    <t>אל אנדלוס</t>
  </si>
  <si>
    <t>אלמסתקבל</t>
  </si>
  <si>
    <t>תל כסיף</t>
  </si>
  <si>
    <t>אלטורשאן</t>
  </si>
  <si>
    <t>אלהושאלה</t>
  </si>
  <si>
    <t>אל פורעה ראש זוהר</t>
  </si>
  <si>
    <t>אבו בכר א'</t>
  </si>
  <si>
    <t>נועם נצרים</t>
  </si>
  <si>
    <t>בי"ס כפר דרום</t>
  </si>
  <si>
    <t>רמות רכס</t>
  </si>
  <si>
    <t>מרחב</t>
  </si>
  <si>
    <t>אבן-ח'לדון</t>
  </si>
  <si>
    <t>אל סלאם</t>
  </si>
  <si>
    <t>אלהודא</t>
  </si>
  <si>
    <t>אל-זהרא</t>
  </si>
  <si>
    <t>אבו ערר</t>
  </si>
  <si>
    <t>בית אל-חכמה</t>
  </si>
  <si>
    <t>איבן סינא ערערה</t>
  </si>
  <si>
    <t>עומר בן אלח'טאב</t>
  </si>
  <si>
    <t>יסודי אבו סולב</t>
  </si>
  <si>
    <t>ניצני קטיף</t>
  </si>
  <si>
    <t>קדם</t>
  </si>
  <si>
    <t>אזורי אבן שמואל</t>
  </si>
  <si>
    <t>רותם</t>
  </si>
  <si>
    <t>נווה ציון - ורדימון</t>
  </si>
  <si>
    <t>ניצני הנגב</t>
  </si>
  <si>
    <t>יסודי רמת כרמים</t>
  </si>
  <si>
    <t>גבריאל</t>
  </si>
  <si>
    <t>ניצן</t>
  </si>
  <si>
    <t>אגמים</t>
  </si>
  <si>
    <t>אלנור ע"ש אברהים</t>
  </si>
  <si>
    <t>אל-אח'א</t>
  </si>
  <si>
    <t>אל אעצם ב'</t>
  </si>
  <si>
    <t>אבו עוביידה</t>
  </si>
  <si>
    <t>סלאח א'דין</t>
  </si>
  <si>
    <t>אלעהד</t>
  </si>
  <si>
    <t>אלביירוני</t>
  </si>
  <si>
    <t>אלקאדיסיה</t>
  </si>
  <si>
    <t>אבישור</t>
  </si>
  <si>
    <t>שז"ר</t>
  </si>
  <si>
    <t>עציון גבר</t>
  </si>
  <si>
    <t>נועם חיים</t>
  </si>
  <si>
    <t>יסודי כוחלה</t>
  </si>
  <si>
    <t>אבו-ואדי</t>
  </si>
  <si>
    <t>נחלים</t>
  </si>
  <si>
    <t>מולדת</t>
  </si>
  <si>
    <t>לבאות</t>
  </si>
  <si>
    <t>אלרחמה</t>
  </si>
  <si>
    <t>אלביאדר</t>
  </si>
  <si>
    <t>אלירמוק</t>
  </si>
  <si>
    <t>אלרואד</t>
  </si>
  <si>
    <t>שירת הים</t>
  </si>
  <si>
    <t>יסודי ע"ש לובה אליאב</t>
  </si>
  <si>
    <t>נאות</t>
  </si>
  <si>
    <t>שחר אשכול</t>
  </si>
  <si>
    <t>ע'ש חמיס אלקרנאוי ז'</t>
  </si>
  <si>
    <t>באר-חייל ביר הדג'ג</t>
  </si>
  <si>
    <t>נווה-מדבר</t>
  </si>
  <si>
    <t>דרגות</t>
  </si>
  <si>
    <t>אלע'זאלי ע"ש שייך אחמד אלטורי</t>
  </si>
  <si>
    <t>יסודי הרצוג</t>
  </si>
  <si>
    <t>גולדה מאיר</t>
  </si>
  <si>
    <t>חמדת</t>
  </si>
  <si>
    <t>אלחייאת</t>
  </si>
  <si>
    <t>מנחם בגין</t>
  </si>
  <si>
    <t>מעוז מכבים</t>
  </si>
  <si>
    <t>צורים</t>
  </si>
  <si>
    <t>מבוא חורון בנות</t>
  </si>
  <si>
    <t>ענבלים</t>
  </si>
  <si>
    <t>גשר ממ"ד</t>
  </si>
  <si>
    <t>מעיין חיים</t>
  </si>
  <si>
    <t>שיבולים</t>
  </si>
  <si>
    <t>נוף הרים</t>
  </si>
  <si>
    <t>מעינות</t>
  </si>
  <si>
    <t>אהבת יצחק</t>
  </si>
  <si>
    <t>ת"ת מצפה יריחו</t>
  </si>
  <si>
    <t>זמרת הארץ</t>
  </si>
  <si>
    <t>אלומים</t>
  </si>
  <si>
    <t>כנפי רוח</t>
  </si>
  <si>
    <t>משואת נריה</t>
  </si>
  <si>
    <t>אהל שילה בנים</t>
  </si>
  <si>
    <t>אדם ועולמו</t>
  </si>
  <si>
    <t>תל"י נופי הסלע</t>
  </si>
  <si>
    <t>קהילתי השלום</t>
  </si>
  <si>
    <t>אורות עציון בנים</t>
  </si>
  <si>
    <t>מגדים</t>
  </si>
  <si>
    <t>הדרור</t>
  </si>
  <si>
    <t>כוכב השחר בנות</t>
  </si>
  <si>
    <t>נחלת בנימין בנים</t>
  </si>
  <si>
    <t>שדי חמד</t>
  </si>
  <si>
    <t>מבוא חורון</t>
  </si>
  <si>
    <t>בית חורון</t>
  </si>
  <si>
    <t>בית-אל בנות</t>
  </si>
  <si>
    <t>ראשית</t>
  </si>
  <si>
    <t>גפנים</t>
  </si>
  <si>
    <t>הרב מאיר עוזיאל</t>
  </si>
  <si>
    <t>מ"מ ע"ש יצחק נבון</t>
  </si>
  <si>
    <t>נוה צוף</t>
  </si>
  <si>
    <t>השחר</t>
  </si>
  <si>
    <t>עין הרים</t>
  </si>
  <si>
    <t>טלמון</t>
  </si>
  <si>
    <t>רמת מודיעין</t>
  </si>
  <si>
    <t>חן עפרה</t>
  </si>
  <si>
    <t>ממ"ד צמח השדה</t>
  </si>
  <si>
    <t>כוכב יעקב בנות</t>
  </si>
  <si>
    <t>חברון בנות</t>
  </si>
  <si>
    <t>נוה שלום-ואחד אל-סלם</t>
  </si>
  <si>
    <t>מעלה מכמש</t>
  </si>
  <si>
    <t>דמוקרטי ע"ש נדב</t>
  </si>
  <si>
    <t>אבני החושן</t>
  </si>
  <si>
    <t>מ"מ צמח השדה</t>
  </si>
  <si>
    <t>עידנים</t>
  </si>
  <si>
    <t>דורות</t>
  </si>
  <si>
    <t>צור הדסה</t>
  </si>
  <si>
    <t>מעלה התורה בנות</t>
  </si>
  <si>
    <t>הראל ממ"ד</t>
  </si>
  <si>
    <t>אהבת ישראל בנים</t>
  </si>
  <si>
    <t>קרית ארבע בנים</t>
  </si>
  <si>
    <t>חטיבה צעירה אורות עציון</t>
  </si>
  <si>
    <t>תורני אורות בנות</t>
  </si>
  <si>
    <t>כרמי חן</t>
  </si>
  <si>
    <t>חוט השני</t>
  </si>
  <si>
    <t>ת"ת חברון</t>
  </si>
  <si>
    <t>גוונים מ"מ</t>
  </si>
  <si>
    <t>אלוני ממרא</t>
  </si>
  <si>
    <t>נהג כצאן יוסף</t>
  </si>
  <si>
    <t>כפר אדומים</t>
  </si>
  <si>
    <t>זאב זבוטינסקי</t>
  </si>
  <si>
    <t>יהושע גן</t>
  </si>
  <si>
    <t>ממלכתי ג'</t>
  </si>
  <si>
    <t>דולב</t>
  </si>
  <si>
    <t>אסיף</t>
  </si>
  <si>
    <t>ע"ש אילן רמון</t>
  </si>
  <si>
    <t>חב"ד לבנים ביתר עלית</t>
  </si>
  <si>
    <t>אהל שילה בנות</t>
  </si>
  <si>
    <t>תומר רחל</t>
  </si>
  <si>
    <t>מעלה התורה בנים</t>
  </si>
  <si>
    <t>בית-אל בנים</t>
  </si>
  <si>
    <t>בית חיה לבנות</t>
  </si>
  <si>
    <t>ניל"י</t>
  </si>
  <si>
    <t>עשה חייל</t>
  </si>
  <si>
    <t>מתתיהו</t>
  </si>
  <si>
    <t>הר טוב</t>
  </si>
  <si>
    <t>תורני אורות בנים</t>
  </si>
  <si>
    <t>בית חינוך כרמים</t>
  </si>
  <si>
    <t>יפה נוף ממ"ד</t>
  </si>
  <si>
    <t>האלה ממ"ד</t>
  </si>
  <si>
    <t>אהבת תורה</t>
  </si>
  <si>
    <t>לביא ממ"ד</t>
  </si>
  <si>
    <t>תורני אריאל</t>
  </si>
  <si>
    <t>ממלכתי רעים</t>
  </si>
  <si>
    <t>ממלכתי עמית</t>
  </si>
  <si>
    <t>חמד"ת השקד</t>
  </si>
  <si>
    <t>קציר מ"מ</t>
  </si>
  <si>
    <t>לביא</t>
  </si>
  <si>
    <t>קרוב</t>
  </si>
  <si>
    <t>אור לציון</t>
  </si>
  <si>
    <t>קס"ם-קהילה סביבה מקו</t>
  </si>
  <si>
    <t>אהבת ישראל בנות</t>
  </si>
  <si>
    <t>דרכי יהודה</t>
  </si>
  <si>
    <t>ממ"ד שבטי ישראל</t>
  </si>
  <si>
    <t>תתמ"ד בנות נריה</t>
  </si>
  <si>
    <t>ביה"ס אל-פריר</t>
  </si>
  <si>
    <t>אביבים</t>
  </si>
  <si>
    <t>ת"ת נר שמואל</t>
  </si>
  <si>
    <t>בית יעקב מרכז</t>
  </si>
  <si>
    <t>יחל ישראל</t>
  </si>
  <si>
    <t>יסודי ד' עבהרה</t>
  </si>
  <si>
    <t>ת"ת תורת אמת</t>
  </si>
  <si>
    <t>ת"ת תורה תמימה</t>
  </si>
  <si>
    <t>מדעים ויהדות</t>
  </si>
  <si>
    <t>בית חינוך יצחק נבון</t>
  </si>
  <si>
    <t>אבו חאמד אלגזאלי</t>
  </si>
  <si>
    <t>אלמעאלי</t>
  </si>
  <si>
    <t>ת"ת תשב"ר בית שמש</t>
  </si>
  <si>
    <t>אלבאשאר</t>
  </si>
  <si>
    <t>בית יעקב חסידי</t>
  </si>
  <si>
    <t>חסדי אבות</t>
  </si>
  <si>
    <t>בי"ס עודד</t>
  </si>
  <si>
    <t>ת"ת זכרון מאיר שמעון</t>
  </si>
  <si>
    <t>שיר חדש</t>
  </si>
  <si>
    <t>ת"ת דרך התורה</t>
  </si>
  <si>
    <t>ת"ת המסילה</t>
  </si>
  <si>
    <t>ת"ת אהלי יעקב</t>
  </si>
  <si>
    <t>ממלכתי נופים</t>
  </si>
  <si>
    <t>ממלכתי נוה דליה</t>
  </si>
  <si>
    <t>קשת שהם</t>
  </si>
  <si>
    <t>ממלכתי חדשני אופק</t>
  </si>
  <si>
    <t>אור לציון בנות</t>
  </si>
  <si>
    <t>שדות איילון</t>
  </si>
  <si>
    <t>עוז והדר</t>
  </si>
  <si>
    <t>אום כלתום</t>
  </si>
  <si>
    <t>ממ"ד ברקאי לבנים</t>
  </si>
  <si>
    <t>ממ"ד שילה</t>
  </si>
  <si>
    <t>למרחב</t>
  </si>
  <si>
    <t>סנט ג'וזף</t>
  </si>
  <si>
    <t>יסודי אורטודוקסי</t>
  </si>
  <si>
    <t>כפר קאסם ז'</t>
  </si>
  <si>
    <t>אופירה נבון</t>
  </si>
  <si>
    <t>בית אב"י</t>
  </si>
  <si>
    <t>ממ"ד בנים נחשון</t>
  </si>
  <si>
    <t>ממ' רימון - ג.שומרון</t>
  </si>
  <si>
    <t>ממ"ד אור זבולון</t>
  </si>
  <si>
    <t>ממ' גנים</t>
  </si>
  <si>
    <t>ממלכתי שדות -רמז</t>
  </si>
  <si>
    <t>בית מרגלית</t>
  </si>
  <si>
    <t>ממלכתי לפיד</t>
  </si>
  <si>
    <t>ממל' מילקין</t>
  </si>
  <si>
    <t>ממ"ד חב"ד בנים</t>
  </si>
  <si>
    <t>דרכי נעם</t>
  </si>
  <si>
    <t>ממ"ד מעלה שמעוני</t>
  </si>
  <si>
    <t>קרית האומנים</t>
  </si>
  <si>
    <t>פרחי המדע</t>
  </si>
  <si>
    <t>נאות מרגלית</t>
  </si>
  <si>
    <t>ממלכתי אשכול</t>
  </si>
  <si>
    <t>חדשני בן גוריון</t>
  </si>
  <si>
    <t>ממלכתי הדר השרון</t>
  </si>
  <si>
    <t>רש"ש</t>
  </si>
  <si>
    <t>תת למרחב עמותה תורני</t>
  </si>
  <si>
    <t>ממ"ד מורשת זבולון</t>
  </si>
  <si>
    <t>ממלכתי טל</t>
  </si>
  <si>
    <t>ממלכתי אפק</t>
  </si>
  <si>
    <t>ממ"ד נועם-כפר בתיה</t>
  </si>
  <si>
    <t>בנות חייל</t>
  </si>
  <si>
    <t>בנות ירושלים</t>
  </si>
  <si>
    <t>גנזי המלך</t>
  </si>
  <si>
    <t>הר-שכניה</t>
  </si>
  <si>
    <t>הרעות</t>
  </si>
  <si>
    <t>שושנים לבנות</t>
  </si>
  <si>
    <t>תורת שלום</t>
  </si>
  <si>
    <t>עטרת אסתר</t>
  </si>
  <si>
    <t>אנתרופוסופי</t>
  </si>
  <si>
    <t>אתרוג בנות</t>
  </si>
  <si>
    <t>מעיין חיים ושלום בנות</t>
  </si>
  <si>
    <t>שירה חדשה</t>
  </si>
  <si>
    <t>ת"ת תורה לשמה</t>
  </si>
  <si>
    <t>אורים ע"ז לשם</t>
  </si>
  <si>
    <t>ב"י חורב אשדוד</t>
  </si>
  <si>
    <t>ב"י מעלות חיה</t>
  </si>
  <si>
    <t>בית יעקב גור ערד</t>
  </si>
  <si>
    <t>ת"ת דרכי חיים</t>
  </si>
  <si>
    <t>תורני לבנות נווה חנה</t>
  </si>
  <si>
    <t>יובלים</t>
  </si>
  <si>
    <t>איתמר</t>
  </si>
  <si>
    <t>אורחות שרה</t>
  </si>
  <si>
    <t>אהבת ישראל אור מלכה</t>
  </si>
  <si>
    <t>זהרת אלמדאן</t>
  </si>
  <si>
    <t>ב. יעקב בנות כה תאמר</t>
  </si>
  <si>
    <t>הלל חמ"ד ניסויי</t>
  </si>
  <si>
    <t>בנות חברון</t>
  </si>
  <si>
    <t>אור ליובאוויטש צעירים</t>
  </si>
  <si>
    <t>יבוא ברינה</t>
  </si>
  <si>
    <t>חניכי הישיבות</t>
  </si>
  <si>
    <t>בית יעקב הדסים</t>
  </si>
  <si>
    <t>יסודי תורני סביבתי</t>
  </si>
  <si>
    <t>אור מנחם חב"ד בנות</t>
  </si>
  <si>
    <t>בי"ס לבנות כלל חסידי</t>
  </si>
  <si>
    <t>ב"י האחוד החסידי</t>
  </si>
  <si>
    <t>ת"ת עצמונה</t>
  </si>
  <si>
    <t>אהל משה בנות</t>
  </si>
  <si>
    <t>דמוקרטי אל מרחב</t>
  </si>
  <si>
    <t>יד אשר בנים</t>
  </si>
  <si>
    <t>יד אשר בנות</t>
  </si>
  <si>
    <t>תתמ"ד נעם חומת שמואל</t>
  </si>
  <si>
    <t>ת"ת מפי עוללים</t>
  </si>
  <si>
    <t>אמת ושלום</t>
  </si>
  <si>
    <t>יסודי ג'</t>
  </si>
  <si>
    <t>שלהבות חב"ד</t>
  </si>
  <si>
    <t>אלפא</t>
  </si>
  <si>
    <t>תשב"ר ממ"ח</t>
  </si>
  <si>
    <t>ת"ת נתיבות יהודה</t>
  </si>
  <si>
    <t>אלחואר</t>
  </si>
  <si>
    <t>ב"י נצח ישראל</t>
  </si>
  <si>
    <t>ת"ת כלל חסידי</t>
  </si>
  <si>
    <t>ברסלב</t>
  </si>
  <si>
    <t>אילת השחר</t>
  </si>
  <si>
    <t>ת"ת נטעי ראובן</t>
  </si>
  <si>
    <t>שדות אשכול</t>
  </si>
  <si>
    <t>ב"י קוממיות</t>
  </si>
  <si>
    <t>ת"ת ובי' ישורון</t>
  </si>
  <si>
    <t>ת"ת בית יוסף</t>
  </si>
  <si>
    <t>ת"ת פלא יועץ</t>
  </si>
  <si>
    <t>באר מרים</t>
  </si>
  <si>
    <t>אורות מרגלית</t>
  </si>
  <si>
    <t>ת"ת וב"י יסודי התורה</t>
  </si>
  <si>
    <t>צמח דוד</t>
  </si>
  <si>
    <t>תורת חסד</t>
  </si>
  <si>
    <t>בית יעקב החדיש</t>
  </si>
  <si>
    <t>תורת מנחם</t>
  </si>
  <si>
    <t>אום ליסון</t>
  </si>
  <si>
    <t>אחינועם</t>
  </si>
  <si>
    <t>אשירה</t>
  </si>
  <si>
    <t>חב"ד טבריה</t>
  </si>
  <si>
    <t>בית יעקב עוז והדר</t>
  </si>
  <si>
    <t>הרכס</t>
  </si>
  <si>
    <t>בית המעיין</t>
  </si>
  <si>
    <t>באר</t>
  </si>
  <si>
    <t>נער ישראל</t>
  </si>
  <si>
    <t>בית חינוך גלילי</t>
  </si>
  <si>
    <t>תלמוד תורה נווה</t>
  </si>
  <si>
    <t>נווה חיה</t>
  </si>
  <si>
    <t>ב"י אוהלי ספר</t>
  </si>
  <si>
    <t>ממ"ד הראל</t>
  </si>
  <si>
    <t>קטמון</t>
  </si>
  <si>
    <t>ת"ת הדסים תפרח</t>
  </si>
  <si>
    <t>תורני נווה זאב</t>
  </si>
  <si>
    <t>אשבאל אלקודס</t>
  </si>
  <si>
    <t>ב"י גור רובע ז'</t>
  </si>
  <si>
    <t>גבעת רם</t>
  </si>
  <si>
    <t>תלמוד תורה פני מנחם גור</t>
  </si>
  <si>
    <t>נאות אסתר בנות</t>
  </si>
  <si>
    <t>ב"י תבונת יעקב</t>
  </si>
  <si>
    <t>מ. חינוכי בנות מוריה</t>
  </si>
  <si>
    <t>מנחת שלמה</t>
  </si>
  <si>
    <t>חניכי הישיבות בנות</t>
  </si>
  <si>
    <t>בית יעקב בית וגן</t>
  </si>
  <si>
    <t>ת"ת הדר יוסף</t>
  </si>
  <si>
    <t>אורחות איש</t>
  </si>
  <si>
    <t>ת"ת פקודת אלעזר</t>
  </si>
  <si>
    <t>דרכי שלום</t>
  </si>
  <si>
    <t>ת"ת גירסת ישראל</t>
  </si>
  <si>
    <t>שועפט בנות ב'</t>
  </si>
  <si>
    <t>אלעלא</t>
  </si>
  <si>
    <t>אל בירוני</t>
  </si>
  <si>
    <t>כפר עקב</t>
  </si>
  <si>
    <t>בי"ס דו-לשוני</t>
  </si>
  <si>
    <t>ת"ת נתיבות שלמה</t>
  </si>
  <si>
    <t>אהבת תורה המסורה</t>
  </si>
  <si>
    <t>אור וערכים</t>
  </si>
  <si>
    <t>תת וישיבה דחסידי גור</t>
  </si>
  <si>
    <t>בית יעקב באידיש</t>
  </si>
  <si>
    <t>לחם ביכורים</t>
  </si>
  <si>
    <t>ביה"ס גולן-חיספין</t>
  </si>
  <si>
    <t>מגן אבות</t>
  </si>
  <si>
    <t>מ"מד הר חומה</t>
  </si>
  <si>
    <t>דרכי אבות צאנז ביתר</t>
  </si>
  <si>
    <t>כפר עקב חדש</t>
  </si>
  <si>
    <t>חמ"ד תירוש</t>
  </si>
  <si>
    <t>בית מלכה י-ם</t>
  </si>
  <si>
    <t>בית יעקב רמות פולין</t>
  </si>
  <si>
    <t>ב"י חסידי ירושלים</t>
  </si>
  <si>
    <t>ת"ת וב"י חשמונאים</t>
  </si>
  <si>
    <t>מקור חיים</t>
  </si>
  <si>
    <t>וולדורף אדם</t>
  </si>
  <si>
    <t>ביה"ס הפתוח</t>
  </si>
  <si>
    <t>בי"ס יוסף ה' עליכם</t>
  </si>
  <si>
    <t>גילה ממלכתי תל"י</t>
  </si>
  <si>
    <t>הר נוף ממ"ד בנים</t>
  </si>
  <si>
    <t>בית יעקב הר נוף</t>
  </si>
  <si>
    <t>ביה"ס קהילה</t>
  </si>
  <si>
    <t>ת"ת אהלי ספר</t>
  </si>
  <si>
    <t>פסגת זאב ממלכתי א</t>
  </si>
  <si>
    <t>אתרוג בנים</t>
  </si>
  <si>
    <t>סדיגורא</t>
  </si>
  <si>
    <t>ת"ת לויכטר</t>
  </si>
  <si>
    <t>בית יעקב בית ישראל</t>
  </si>
  <si>
    <t>בית יעקב הארי</t>
  </si>
  <si>
    <t>פרנקל גבעת שפירא</t>
  </si>
  <si>
    <t>מרכז תורני בנות ציון</t>
  </si>
  <si>
    <t>ידיד ה'</t>
  </si>
  <si>
    <t>קרלין סטולין</t>
  </si>
  <si>
    <t>ב"י עזרת תורה</t>
  </si>
  <si>
    <t>רמת מוריה</t>
  </si>
  <si>
    <t>ממ"ד פסגת דוד</t>
  </si>
  <si>
    <t>בית חינוך בראשית בני</t>
  </si>
  <si>
    <t>ת"ת מוריה</t>
  </si>
  <si>
    <t>נועם בנים רמות</t>
  </si>
  <si>
    <t>מנשה אלישר</t>
  </si>
  <si>
    <t>ב"י מנוחה ונחלה</t>
  </si>
  <si>
    <t>על איזורי קשת</t>
  </si>
  <si>
    <t>חיי שרה בנות</t>
  </si>
  <si>
    <t>בית יעקב ולאה בנות</t>
  </si>
  <si>
    <t>ת"ת דרכי תורה</t>
  </si>
  <si>
    <t>בית יעקב מטרסדורף</t>
  </si>
  <si>
    <t>ממלכתי משואה</t>
  </si>
  <si>
    <t>נועם בנים פסגת זאב</t>
  </si>
  <si>
    <t>גילה ממלכתי ב</t>
  </si>
  <si>
    <t>ת"ת יקירי ירושלים</t>
  </si>
  <si>
    <t>נועם בנים ק.משה</t>
  </si>
  <si>
    <t>ביחד</t>
  </si>
  <si>
    <t>תלמוד תורה כתב סופר</t>
  </si>
  <si>
    <t>ב"י ברסלב באר מרים</t>
  </si>
  <si>
    <t>סלואן יסודי חדש</t>
  </si>
  <si>
    <t>אטור יסודי בנים</t>
  </si>
  <si>
    <t>אגרון גרשון</t>
  </si>
  <si>
    <t>סוכת דוד</t>
  </si>
  <si>
    <t>דרכי אבות צאנז</t>
  </si>
  <si>
    <t>זלמן ארן</t>
  </si>
  <si>
    <t>פסגת זאב צפון</t>
  </si>
  <si>
    <t>בית ברכה</t>
  </si>
  <si>
    <t>בנות ויזניץ</t>
  </si>
  <si>
    <t>תהילה</t>
  </si>
  <si>
    <t>חומת שמואל מ"מ</t>
  </si>
  <si>
    <t>סאלד</t>
  </si>
  <si>
    <t>בית הכרם</t>
  </si>
  <si>
    <t>תל"י גאולים ע"ש יצחק נבון</t>
  </si>
  <si>
    <t>מ"מ רחביה ע"ש דוד גו</t>
  </si>
  <si>
    <t>ת"ת תורה ברמה</t>
  </si>
  <si>
    <t>הצנע לכת</t>
  </si>
  <si>
    <t>ב"י דרך החיים</t>
  </si>
  <si>
    <t>אום טובא</t>
  </si>
  <si>
    <t>אחמד סאמח אלחלדי</t>
  </si>
  <si>
    <t>בית חנינה לבנים</t>
  </si>
  <si>
    <t>ת"ת קנין תורה</t>
  </si>
  <si>
    <t>ב"י הרמה</t>
  </si>
  <si>
    <t>בית יעקב אביעזרי</t>
  </si>
  <si>
    <t>לוריא</t>
  </si>
  <si>
    <t>למען אחי-ת"ת שערי תורה</t>
  </si>
  <si>
    <t>גבעת גונן</t>
  </si>
  <si>
    <t>חב"ד בית חנה</t>
  </si>
  <si>
    <t>בית צפאפא יסודי</t>
  </si>
  <si>
    <t>טור מכין לבנים</t>
  </si>
  <si>
    <t>טור מכין לבנות</t>
  </si>
  <si>
    <t>סואחרה לבנות</t>
  </si>
  <si>
    <t>סלואן יסודי מעורב</t>
  </si>
  <si>
    <t>סלואן יסודי לבנות</t>
  </si>
  <si>
    <t>אהל שרה</t>
  </si>
  <si>
    <t>ארגנטינה</t>
  </si>
  <si>
    <t>חטיבה לגיל הצעיר</t>
  </si>
  <si>
    <t>הניסויי</t>
  </si>
  <si>
    <t>סלואן מכין לבנים</t>
  </si>
  <si>
    <t>סלואן מכין לבנות</t>
  </si>
  <si>
    <t>עיסאויה לבנים</t>
  </si>
  <si>
    <t>עיסאויה לבנות</t>
  </si>
  <si>
    <t>ב"י עטרת שיח</t>
  </si>
  <si>
    <t>נוות יעקב</t>
  </si>
  <si>
    <t>ת"ת חניכי הישיבות</t>
  </si>
  <si>
    <t>בית ספר ע"ש נמר עראידה</t>
  </si>
  <si>
    <t>בית יעקב גור</t>
  </si>
  <si>
    <t>ת"ת מעלה מכמש</t>
  </si>
  <si>
    <t>גואטמלה</t>
  </si>
  <si>
    <t>טל חיים</t>
  </si>
  <si>
    <t>יהודה הלוי</t>
  </si>
  <si>
    <t>נועם בנות רמות</t>
  </si>
  <si>
    <t>בית יעקב אוהל רחל</t>
  </si>
  <si>
    <t>תת רוממה ירושלים</t>
  </si>
  <si>
    <t>ת"ת דברות משה</t>
  </si>
  <si>
    <t>ת"ת נטעי מאיר</t>
  </si>
  <si>
    <t>בית יעקב מגן אבות</t>
  </si>
  <si>
    <t>ת"ת נתיבי התורה</t>
  </si>
  <si>
    <t>כלל חסידי לאנשי י-ם</t>
  </si>
  <si>
    <t>ת"ת חסידי אור</t>
  </si>
  <si>
    <t>ביה"ס ממ"ד דרור</t>
  </si>
  <si>
    <t>המסלה</t>
  </si>
  <si>
    <t>בית יעקב אהבת חסד</t>
  </si>
  <si>
    <t>יאנוש קורצאק</t>
  </si>
  <si>
    <t>צור באהר מכין</t>
  </si>
  <si>
    <t>שעפאט לבנים א</t>
  </si>
  <si>
    <t>אלתורי לבנות</t>
  </si>
  <si>
    <t>עמריה</t>
  </si>
  <si>
    <t>מולויה לבנות</t>
  </si>
  <si>
    <t>צלעה</t>
  </si>
  <si>
    <t>סואחרה י</t>
  </si>
  <si>
    <t>ב.חינוך לבנות באידיש</t>
  </si>
  <si>
    <t>ב"י חסידי רמות</t>
  </si>
  <si>
    <t>מימון</t>
  </si>
  <si>
    <t>א.ד.רוטשילד</t>
  </si>
  <si>
    <t>נועם בנות ק.משה</t>
  </si>
  <si>
    <t>גילה ממלכתי א</t>
  </si>
  <si>
    <t>בנות באיאן רוזין</t>
  </si>
  <si>
    <t>ת"ת משנת יהודה</t>
  </si>
  <si>
    <t>ת"ת מאיר עיניים</t>
  </si>
  <si>
    <t>ת"ת אהבת משה</t>
  </si>
  <si>
    <t>שירת דבורה</t>
  </si>
  <si>
    <t>אור שרגא</t>
  </si>
  <si>
    <t>הר נוף ממד בנות</t>
  </si>
  <si>
    <t>מנחת</t>
  </si>
  <si>
    <t>פסגת זאב מערב</t>
  </si>
  <si>
    <t>פסגת זאב מזרח א</t>
  </si>
  <si>
    <t>ב"י רמת שלמה</t>
  </si>
  <si>
    <t>נועם בנות פסגת זאב</t>
  </si>
  <si>
    <t>משמרת מאיר</t>
  </si>
  <si>
    <t>ב"י בית מרגלית</t>
  </si>
  <si>
    <t>ת"ת נחמת ציון</t>
  </si>
  <si>
    <t>ת"ת וב"י שערי ציון</t>
  </si>
  <si>
    <t>תלפיות מזרח ממלכתי ב</t>
  </si>
  <si>
    <t>מצפה יריחו</t>
  </si>
  <si>
    <t>נות ישראל</t>
  </si>
  <si>
    <t>ת"ת פאר יוסף</t>
  </si>
  <si>
    <t>ת"ת אור חדש הר-נוף</t>
  </si>
  <si>
    <t>רמות ממלכתי ג</t>
  </si>
  <si>
    <t>רמות ממ"ד ב'</t>
  </si>
  <si>
    <t>אפרתה</t>
  </si>
  <si>
    <t>ברנדט ממ"ד נוה יעקב</t>
  </si>
  <si>
    <t>ב"י הצפון</t>
  </si>
  <si>
    <t>תלי בית וגן</t>
  </si>
  <si>
    <t>הרובע היהודי ממ"ד</t>
  </si>
  <si>
    <t>ת"ת סנהדרין</t>
  </si>
  <si>
    <t>ביה"ס וולדרוף שפרעם</t>
  </si>
  <si>
    <t>אור אבנר למצוינות</t>
  </si>
  <si>
    <t>בינתחומי הדר</t>
  </si>
  <si>
    <t>הממלכתי בכר</t>
  </si>
  <si>
    <t>ממ"ד רמב"ם</t>
  </si>
  <si>
    <t>הירוק ע"ש אריאל שרון</t>
  </si>
  <si>
    <t>ממ"ד מודיעים</t>
  </si>
  <si>
    <t>ת"ת נטיעים</t>
  </si>
  <si>
    <t>טללי החיים</t>
  </si>
  <si>
    <t>ת"ת שירת יוסף</t>
  </si>
  <si>
    <t>דמוקרטי הוד השרון</t>
  </si>
  <si>
    <t>יסודי מ"מ שערי תקוה</t>
  </si>
  <si>
    <t>ממלכתי הדר</t>
  </si>
  <si>
    <t>בית יעקב עמנואל</t>
  </si>
  <si>
    <t>תולדות ניסים</t>
  </si>
  <si>
    <t>יסודי ד'</t>
  </si>
  <si>
    <t>יסודי תדהר</t>
  </si>
  <si>
    <t>צאלון</t>
  </si>
  <si>
    <t>בנות צופיה</t>
  </si>
  <si>
    <t>איבן סינא ב'</t>
  </si>
  <si>
    <t>אלעומריה</t>
  </si>
  <si>
    <t>אבן רשד</t>
  </si>
  <si>
    <t>יסודי ערבי נווה שלום</t>
  </si>
  <si>
    <t>לב הפרדס</t>
  </si>
  <si>
    <t>ממלכתי ניצנים</t>
  </si>
  <si>
    <t>ממ"ד מורשת מנחם</t>
  </si>
  <si>
    <t>ממל' עליזה בגין</t>
  </si>
  <si>
    <t>ממ"ד דק"ל</t>
  </si>
  <si>
    <t>ת"ת יסודי התורה רה"ע</t>
  </si>
  <si>
    <t>ב"י נוה שלום רמלה</t>
  </si>
  <si>
    <t>אג'יאל</t>
  </si>
  <si>
    <t>אבן ח'ולדון</t>
  </si>
  <si>
    <t>יסודי ו'</t>
  </si>
  <si>
    <t>הדרים</t>
  </si>
  <si>
    <t>הדמוקרטי בלב השרון</t>
  </si>
  <si>
    <t>בית מרגלית החדש</t>
  </si>
  <si>
    <t>רנסנס</t>
  </si>
  <si>
    <t>בין ההדרים</t>
  </si>
  <si>
    <t>יסודי סביון-גני יהודה</t>
  </si>
  <si>
    <t>ממ' מעבר אפק</t>
  </si>
  <si>
    <t>לב המושבה</t>
  </si>
  <si>
    <t>ממ' גן רווה ע"ש יצחק נבון</t>
  </si>
  <si>
    <t>ת"ת פרי תואר</t>
  </si>
  <si>
    <t>ממלכתי מאוחד יובלים</t>
  </si>
  <si>
    <t>יסודי ממלכתי אקולוגי</t>
  </si>
  <si>
    <t>עיינת הגליל</t>
  </si>
  <si>
    <t>אזורי בן שמן</t>
  </si>
  <si>
    <t>אלימלך כנר</t>
  </si>
  <si>
    <t>יסודי שכ' בית צפאפה</t>
  </si>
  <si>
    <t>חפץ חיים</t>
  </si>
  <si>
    <t>איילת השחר</t>
  </si>
  <si>
    <t>ת"ת ארץ המוריה</t>
  </si>
  <si>
    <t>ממ' פינס</t>
  </si>
  <si>
    <t>ממ"ד סיני</t>
  </si>
  <si>
    <t>יסודי ב'</t>
  </si>
  <si>
    <t>עין הקורא</t>
  </si>
  <si>
    <t>רעות</t>
  </si>
  <si>
    <t>נגבה</t>
  </si>
  <si>
    <t>שביט</t>
  </si>
  <si>
    <t>זיו בו ציון</t>
  </si>
  <si>
    <t>לשון לימודים</t>
  </si>
  <si>
    <t>בת מלך</t>
  </si>
  <si>
    <t>אלנור</t>
  </si>
  <si>
    <t>ממ' רביבים</t>
  </si>
  <si>
    <t>ממלכתי א</t>
  </si>
  <si>
    <t>נוה נאמן</t>
  </si>
  <si>
    <t>אוהל רחל</t>
  </si>
  <si>
    <t>יסודי ממ לאומנויות</t>
  </si>
  <si>
    <t>ממלכתי צופית</t>
  </si>
  <si>
    <t>ממ' בכר רוסו</t>
  </si>
  <si>
    <t>ממ"ד אור תורה</t>
  </si>
  <si>
    <t>בכור לוי</t>
  </si>
  <si>
    <t>ממלכתי</t>
  </si>
  <si>
    <t>ממל' נחשונים</t>
  </si>
  <si>
    <t>השיטה</t>
  </si>
  <si>
    <t>ממ"ד יחידני</t>
  </si>
  <si>
    <t>ת"ת ובי' שערי ציון</t>
  </si>
  <si>
    <t>בראשית בנות</t>
  </si>
  <si>
    <t>חסידי בעלזא</t>
  </si>
  <si>
    <t>ת"ת כלל חסידי ביתר ע</t>
  </si>
  <si>
    <t>חב"ד לבנות בית מושקא</t>
  </si>
  <si>
    <t>בית יעקב אור המאיר</t>
  </si>
  <si>
    <t>בית אור</t>
  </si>
  <si>
    <t>ממ"ד אוהל שלום</t>
  </si>
  <si>
    <t>ממ"ד אוהל שרה</t>
  </si>
  <si>
    <t>ויתקין</t>
  </si>
  <si>
    <t>חביב</t>
  </si>
  <si>
    <t>גדרות -עשרת</t>
  </si>
  <si>
    <t>ידלין</t>
  </si>
  <si>
    <t>ממ"ד לבנים שלהבת</t>
  </si>
  <si>
    <t>רוזן</t>
  </si>
  <si>
    <t>שקד -לב הפארק</t>
  </si>
  <si>
    <t>רעות -גני דן</t>
  </si>
  <si>
    <t>ת"ת חפץ חיים</t>
  </si>
  <si>
    <t>נופי החורש</t>
  </si>
  <si>
    <t>דרך המלך פרי תואר</t>
  </si>
  <si>
    <t>תולדות ניסים בנים</t>
  </si>
  <si>
    <t>דמוקרטי</t>
  </si>
  <si>
    <t>שחף</t>
  </si>
  <si>
    <t>ממ"ד לבנות שלהבת</t>
  </si>
  <si>
    <t>הירוק ע"ש יצחק רבין</t>
  </si>
  <si>
    <t>צמרות</t>
  </si>
  <si>
    <t>מ"מ הפעמונים</t>
  </si>
  <si>
    <t>מורשת נריה</t>
  </si>
  <si>
    <t>בה"ס הניסויי תפן</t>
  </si>
  <si>
    <t>ת"ת ניצני התורה</t>
  </si>
  <si>
    <t>בנות ויזניץ-מודיעין</t>
  </si>
  <si>
    <t>עדיני</t>
  </si>
  <si>
    <t>סמילנסקי</t>
  </si>
  <si>
    <t>נוה דקלים</t>
  </si>
  <si>
    <t>סורקיס</t>
  </si>
  <si>
    <t>שקמה</t>
  </si>
  <si>
    <t>מרחבים -נאות שקמה</t>
  </si>
  <si>
    <t>בית יעקב בנות אלעד</t>
  </si>
  <si>
    <t>מאור ישראל</t>
  </si>
  <si>
    <t>תרבות</t>
  </si>
  <si>
    <t>ארגמן</t>
  </si>
  <si>
    <t>צלעה בנות</t>
  </si>
  <si>
    <t>ממ"ד הרי"ן</t>
  </si>
  <si>
    <t>יסודי רומאנה</t>
  </si>
  <si>
    <t>ממלכתי ויתקין</t>
  </si>
  <si>
    <t>רמות ויצמן</t>
  </si>
  <si>
    <t>יסודי צור יצחק</t>
  </si>
  <si>
    <t>ממ"ד בר אילן</t>
  </si>
  <si>
    <t>אל ראשידיה</t>
  </si>
  <si>
    <t>אל עומריה</t>
  </si>
  <si>
    <t>ממ"ד ביל"ו</t>
  </si>
  <si>
    <t>חדשני בגין</t>
  </si>
  <si>
    <t>ממ"ד אריאל</t>
  </si>
  <si>
    <t>שריד</t>
  </si>
  <si>
    <t>ב"י רזאל</t>
  </si>
  <si>
    <t>ממלכתי נוף צורים</t>
  </si>
  <si>
    <t>דעת יוסף</t>
  </si>
  <si>
    <t>מעלות הגולן</t>
  </si>
  <si>
    <t>קשת בגליל</t>
  </si>
  <si>
    <t>שירת הגליל</t>
  </si>
  <si>
    <t>ממלכתי עמל</t>
  </si>
  <si>
    <t>ממ' אהרונוביץ</t>
  </si>
  <si>
    <t>הירוק ע"ש פרס</t>
  </si>
  <si>
    <t>מגד</t>
  </si>
  <si>
    <t>ברטוב</t>
  </si>
  <si>
    <t>ממ"ד יבנה</t>
  </si>
  <si>
    <t>ממלכתי א'</t>
  </si>
  <si>
    <t>אל בוחארי</t>
  </si>
  <si>
    <t>אל זהרא</t>
  </si>
  <si>
    <t>אל מנאר</t>
  </si>
  <si>
    <t>יסמין</t>
  </si>
  <si>
    <t>ממלכתי אל סאלם -חדש</t>
  </si>
  <si>
    <t>נוה עוז -שקמה-חדש</t>
  </si>
  <si>
    <t>גני יער</t>
  </si>
  <si>
    <t>אורי אורבך קשת</t>
  </si>
  <si>
    <t>חב"ד חיה מושקא</t>
  </si>
  <si>
    <t>דרך אמותינו</t>
  </si>
  <si>
    <t>ת"ת דרכי איש</t>
  </si>
  <si>
    <t>תורת משה</t>
  </si>
  <si>
    <t>המגן</t>
  </si>
  <si>
    <t>ממלכתי בן צבי</t>
  </si>
  <si>
    <t>ממ"ד אוהל מאיר</t>
  </si>
  <si>
    <t>ממ"ד לפידים</t>
  </si>
  <si>
    <t>חב"ד אור מנחם</t>
  </si>
  <si>
    <t>בית חינוך כלל חסידי</t>
  </si>
  <si>
    <t>אמונת ציון</t>
  </si>
  <si>
    <t>ת"ת דרכי נועם</t>
  </si>
  <si>
    <t>בנות ציון</t>
  </si>
  <si>
    <t>ממ"ד עמיח"י</t>
  </si>
  <si>
    <t>ממ"ד בנות חב"ד ב</t>
  </si>
  <si>
    <t>ממלכתי שלנו</t>
  </si>
  <si>
    <t>בית יעקב תבונות</t>
  </si>
  <si>
    <t>הממלכתי צוקים</t>
  </si>
  <si>
    <t>ממ"ד בנות נחשון</t>
  </si>
  <si>
    <t>מעיין</t>
  </si>
  <si>
    <t>ממ"ד מעלות משולם</t>
  </si>
  <si>
    <t>ממלכתי שדות</t>
  </si>
  <si>
    <t>ממ' הרצוג</t>
  </si>
  <si>
    <t>תל"י ע"ש פרנקל</t>
  </si>
  <si>
    <t>האנתרופוסופי תמר</t>
  </si>
  <si>
    <t>בית יעקב יסודות</t>
  </si>
  <si>
    <t>ת"ת סיני יבנה</t>
  </si>
  <si>
    <t>ממלכתי תפו"ז</t>
  </si>
  <si>
    <t>ממ"ד אפרתי</t>
  </si>
  <si>
    <t>שלמון</t>
  </si>
  <si>
    <t>ספיר</t>
  </si>
  <si>
    <t>חמד אזורי ממד מירון</t>
  </si>
  <si>
    <t>נווה אריאל</t>
  </si>
  <si>
    <t>ת"ת הראם</t>
  </si>
  <si>
    <t>צופה שרון</t>
  </si>
  <si>
    <t>דרכי רחל</t>
  </si>
  <si>
    <t>ממל' אורנים</t>
  </si>
  <si>
    <t>ממלכתי מתן</t>
  </si>
  <si>
    <t>ת"ת חורב</t>
  </si>
  <si>
    <t>ת"ת שארית ישראל</t>
  </si>
  <si>
    <t>ממלכתי אזורי</t>
  </si>
  <si>
    <t>ממ"ד אבני החושן</t>
  </si>
  <si>
    <t>נוה חוף</t>
  </si>
  <si>
    <t>ממ"ד צורים</t>
  </si>
  <si>
    <t>כלל חסידי קרית הבעשט</t>
  </si>
  <si>
    <t>שובו ראשון לציון</t>
  </si>
  <si>
    <t>לביא אזורי ממד</t>
  </si>
  <si>
    <t>רמון ע"ש אילן רונה ואסף רמון</t>
  </si>
  <si>
    <t>הארי ממד מגדל העמק</t>
  </si>
  <si>
    <t>תלמוד תורה גולני</t>
  </si>
  <si>
    <t>דרך יהודית</t>
  </si>
  <si>
    <t>אלמנארה -כסרא</t>
  </si>
  <si>
    <t>כפר יסיף ב</t>
  </si>
  <si>
    <t>מבוא גליל-איילת השחר</t>
  </si>
  <si>
    <t>קשת התקווה</t>
  </si>
  <si>
    <t>אפיקי-ירדן</t>
  </si>
  <si>
    <t>ערב אלחגאגרה</t>
  </si>
  <si>
    <t>אזורי דקלים-חמדיה</t>
  </si>
  <si>
    <t>יסודי ע"ש אברט</t>
  </si>
  <si>
    <t>חוני המעגל</t>
  </si>
  <si>
    <t>ארליך - טבריה</t>
  </si>
  <si>
    <t>כינר</t>
  </si>
  <si>
    <t>זכרון מאיר</t>
  </si>
  <si>
    <t>אפק-יסודי</t>
  </si>
  <si>
    <t>רמבם מד-בית שאן</t>
  </si>
  <si>
    <t>נתיב מאיר-מעלות</t>
  </si>
  <si>
    <t>רעות-טבריה</t>
  </si>
  <si>
    <t>גולן ע"ש שמעון פרס</t>
  </si>
  <si>
    <t>ת"ת וב"י קול מנחם</t>
  </si>
  <si>
    <t>אלקבץ</t>
  </si>
  <si>
    <t>ולדורף-הרדוף</t>
  </si>
  <si>
    <t>האיריסים-כרמיאל</t>
  </si>
  <si>
    <t>הר נוף</t>
  </si>
  <si>
    <t>איזורי מעונה</t>
  </si>
  <si>
    <t>גמלא -קצרין</t>
  </si>
  <si>
    <t>ז.שזר-עכו</t>
  </si>
  <si>
    <t>ניצנים כרמיאל</t>
  </si>
  <si>
    <t>ת"ת פרחי כהונה</t>
  </si>
  <si>
    <t>נר הגלבוע</t>
  </si>
  <si>
    <t>ערב אלחלף</t>
  </si>
  <si>
    <t>המעפילים</t>
  </si>
  <si>
    <t>בית יעקב נתניה</t>
  </si>
  <si>
    <t>תת מוריה רמת בית שמש</t>
  </si>
  <si>
    <t>ב"י משכנות תמר אחוזת ברכפלד</t>
  </si>
  <si>
    <t>תת תורת חסד</t>
  </si>
  <si>
    <t>ערב אלחרובייה</t>
  </si>
  <si>
    <t>ערב אלכעבייה</t>
  </si>
  <si>
    <t>ערב אלמזאריב</t>
  </si>
  <si>
    <t>יסודי שבלי</t>
  </si>
  <si>
    <t>יסודי אום אלגנם</t>
  </si>
  <si>
    <t>פקיעין ממלכתי ב</t>
  </si>
  <si>
    <t>בי"ס ע"ש סמיח אלקאסם</t>
  </si>
  <si>
    <t>גני אביב</t>
  </si>
  <si>
    <t>מישור הנוף</t>
  </si>
  <si>
    <t>יסודי בוקעאתא</t>
  </si>
  <si>
    <t>ממלכתי א מגדל שמס</t>
  </si>
  <si>
    <t>אלמנאהל</t>
  </si>
  <si>
    <t>אלאנואר מסעדה</t>
  </si>
  <si>
    <t>יסודי אלע'ג'ר</t>
  </si>
  <si>
    <t>כפר כנא ב</t>
  </si>
  <si>
    <t>כפר כנא א</t>
  </si>
  <si>
    <t>יסודי כפר מסר</t>
  </si>
  <si>
    <t>יסודי א' כפר מנדא</t>
  </si>
  <si>
    <t>מגדאלכרום עמר אלחטאב</t>
  </si>
  <si>
    <t>נארת</t>
  </si>
  <si>
    <t>יסודי ע"ש כאמל סעדה</t>
  </si>
  <si>
    <t>יסודי א' שפרעם</t>
  </si>
  <si>
    <t>גבור גבור שפרעם</t>
  </si>
  <si>
    <t>תחכמוני מד-טבריה</t>
  </si>
  <si>
    <t>יסודי ממ"ד</t>
  </si>
  <si>
    <t>חתני פרס נובל</t>
  </si>
  <si>
    <t>ממ"ד ג.מרדכי</t>
  </si>
  <si>
    <t>תמיר</t>
  </si>
  <si>
    <t>שדה אליהו משותף דתי</t>
  </si>
  <si>
    <t>שדה יעקב מד</t>
  </si>
  <si>
    <t>הרב מימון ממ"ד שלומי</t>
  </si>
  <si>
    <t>מגדאלכרום אלסלאם</t>
  </si>
  <si>
    <t>אבן סינא-מכר</t>
  </si>
  <si>
    <t>יסודי א' משהד</t>
  </si>
  <si>
    <t>נועם ישראל</t>
  </si>
  <si>
    <t>נפתלי -יבנאל</t>
  </si>
  <si>
    <t>ממ"ד חב"ד -יבנאל</t>
  </si>
  <si>
    <t>איבן סינא א'</t>
  </si>
  <si>
    <t>אל גזאלי</t>
  </si>
  <si>
    <t>גלבוע -בית שאן</t>
  </si>
  <si>
    <t>מאיר מד-בית שאן</t>
  </si>
  <si>
    <t>קשת יונתן</t>
  </si>
  <si>
    <t>תחכמוני מד-בית שאן</t>
  </si>
  <si>
    <t>הדסים-יקנעם עלית</t>
  </si>
  <si>
    <t>יגאל אלון-מגדל העמק</t>
  </si>
  <si>
    <t>ממ"ד הצבי - קשת</t>
  </si>
  <si>
    <t>כתב סופר אלעד</t>
  </si>
  <si>
    <t>ת"ת אמונת ציון -בנים</t>
  </si>
  <si>
    <t>מרשאן שפרעם</t>
  </si>
  <si>
    <t>ערב אלהיב פרוש רמאנה</t>
  </si>
  <si>
    <t>יודפת</t>
  </si>
  <si>
    <t>ממ"ד אבן שוהם</t>
  </si>
  <si>
    <t>כרמל</t>
  </si>
  <si>
    <t>יסודי ד' 'אלשרק'</t>
  </si>
  <si>
    <t>תינאל בית ספר יסודי כפר קמא</t>
  </si>
  <si>
    <t>בי"ס לייף ליצרתיות ומצויינות</t>
  </si>
  <si>
    <t>חב"ד עטרת חי'ה מושקא</t>
  </si>
  <si>
    <t>ממ"ד גוננים</t>
  </si>
  <si>
    <t>ארבל מד</t>
  </si>
  <si>
    <t>גליל</t>
  </si>
  <si>
    <t>מוריה ממ"ד כרמיאל</t>
  </si>
  <si>
    <t>אור פנחס</t>
  </si>
  <si>
    <t>תורת אמת</t>
  </si>
  <si>
    <t>דמוקרטי בעמק</t>
  </si>
  <si>
    <t>שירת מרים</t>
  </si>
  <si>
    <t>נחלת יעקב</t>
  </si>
  <si>
    <t>בדרך אבותינו</t>
  </si>
  <si>
    <t>נוף ילדות</t>
  </si>
  <si>
    <t>הביל"ויים</t>
  </si>
  <si>
    <t>תלמים</t>
  </si>
  <si>
    <t>בית שכונת זגיר</t>
  </si>
  <si>
    <t>בה"ס סאמי עבדאלסלאם</t>
  </si>
  <si>
    <t>יסודי נין</t>
  </si>
  <si>
    <t>מרים בוארדי</t>
  </si>
  <si>
    <t>גובראן חליל גובראן</t>
  </si>
  <si>
    <t>אלקלעה - קשלה ב'</t>
  </si>
  <si>
    <t>יסודי ג' שפרעם</t>
  </si>
  <si>
    <t>אלשריף</t>
  </si>
  <si>
    <t>אבן סינא סכנין</t>
  </si>
  <si>
    <t>כפר יאסיף א</t>
  </si>
  <si>
    <t>יסודי א' טורעאן</t>
  </si>
  <si>
    <t>יסודי א' אכסאל</t>
  </si>
  <si>
    <t>שירת שרה</t>
  </si>
  <si>
    <t>ת"ת מוריה רמת ב.שמש</t>
  </si>
  <si>
    <t>שהם</t>
  </si>
  <si>
    <t>חורב בנות</t>
  </si>
  <si>
    <t>אל-רואאה</t>
  </si>
  <si>
    <t>אל נג'אח בועינה</t>
  </si>
  <si>
    <t>יסודי ב' בענה</t>
  </si>
  <si>
    <t>מ"מ-א ע"ש נאיף קבלאן</t>
  </si>
  <si>
    <t>אלראזי- ג'דידה</t>
  </si>
  <si>
    <t>אלראזי ב</t>
  </si>
  <si>
    <t>נצרת אלכרום</t>
  </si>
  <si>
    <t>מאי זיאדה -אלשיכון</t>
  </si>
  <si>
    <t>יסודי סאגור</t>
  </si>
  <si>
    <t>יסודי סולם</t>
  </si>
  <si>
    <t>אלכנדי דבוריה</t>
  </si>
  <si>
    <t>יסודי א כאבול</t>
  </si>
  <si>
    <t>בית ג'אן ממלכתי ב'</t>
  </si>
  <si>
    <t>אזורי כדורי</t>
  </si>
  <si>
    <t>בה"ס נעמי שמר</t>
  </si>
  <si>
    <t>הגומא אזורי כפר בלום</t>
  </si>
  <si>
    <t>מר.חינוכי בנות מוריה</t>
  </si>
  <si>
    <t>ממלכתי ב' גוליס</t>
  </si>
  <si>
    <t>אלחכמה ג'ת</t>
  </si>
  <si>
    <t>אלטור דבוריה</t>
  </si>
  <si>
    <t>ע"ש עבד אלעזיז אמון</t>
  </si>
  <si>
    <t>ממלכתי ב' דיר חנא</t>
  </si>
  <si>
    <t>דנון</t>
  </si>
  <si>
    <t>ואדי אלחמאם</t>
  </si>
  <si>
    <t>נופי ארבל-גנוסר</t>
  </si>
  <si>
    <t>עמק יזרעאל-גניגר</t>
  </si>
  <si>
    <t>אזורי חופי-הגליל</t>
  </si>
  <si>
    <t>יד לחמישה -דבורה</t>
  </si>
  <si>
    <t>עלי גבעה -כפר גלעדי</t>
  </si>
  <si>
    <t>מרחבים כפר יהושע</t>
  </si>
  <si>
    <t>בית זאב-גאולים עפולה</t>
  </si>
  <si>
    <t>בית הספר האזורי משגב</t>
  </si>
  <si>
    <t>מעשי הגדולים</t>
  </si>
  <si>
    <t>יסודי אלשמאלי</t>
  </si>
  <si>
    <t>ת"ת מוריה אלעד</t>
  </si>
  <si>
    <t>ערב חגיראת מכסור א</t>
  </si>
  <si>
    <t>הארי מד צפת</t>
  </si>
  <si>
    <t>בית החינוך -דגניה א</t>
  </si>
  <si>
    <t>הזורע -פלגים</t>
  </si>
  <si>
    <t>אביטל-מרום גולן</t>
  </si>
  <si>
    <t>עליזה בגין מגדל העמק</t>
  </si>
  <si>
    <t>עש גולדה מאיר נהריה</t>
  </si>
  <si>
    <t>בית חינוך קהילתי"קשת</t>
  </si>
  <si>
    <t>אשכול עכו</t>
  </si>
  <si>
    <t>ניצני המדע</t>
  </si>
  <si>
    <t>יסודי ממלכתי ברקן</t>
  </si>
  <si>
    <t>אור וערכים - בנות</t>
  </si>
  <si>
    <t>אורות ירושלים</t>
  </si>
  <si>
    <t>משנת חיים</t>
  </si>
  <si>
    <t>נחשוני החולה יסוד המ</t>
  </si>
  <si>
    <t>שבט סופר</t>
  </si>
  <si>
    <t>תפארת בית יעקב</t>
  </si>
  <si>
    <t>איילים -טבריה</t>
  </si>
  <si>
    <t>מול גלעד אשדות יעקוב</t>
  </si>
  <si>
    <t>פנינת אור</t>
  </si>
  <si>
    <t>אבן סינא כפר מנדא</t>
  </si>
  <si>
    <t>אלמחבה ע"ש נגיב ניקולא</t>
  </si>
  <si>
    <t>אלחכמה פקיעין</t>
  </si>
  <si>
    <t>יסודי בוסמת טבעון</t>
  </si>
  <si>
    <t>יאפת נצרת א</t>
  </si>
  <si>
    <t>ביר אל מכסור ב</t>
  </si>
  <si>
    <t>חורפיש א-סולטאן אלאט</t>
  </si>
  <si>
    <t>יסודי טובא</t>
  </si>
  <si>
    <t>יסודי א' טמרה</t>
  </si>
  <si>
    <t>מצפה גולן</t>
  </si>
  <si>
    <t>אלסלאם סכנין</t>
  </si>
  <si>
    <t>יסודי ב' עבדו סלים</t>
  </si>
  <si>
    <t>יסודי עילבון</t>
  </si>
  <si>
    <t>עיילוט ב '</t>
  </si>
  <si>
    <t>אל מנארה</t>
  </si>
  <si>
    <t>ממלכתי א' גוליס</t>
  </si>
  <si>
    <t>נצרת ביר אלאמיר</t>
  </si>
  <si>
    <t>יסודי א'-אלעין</t>
  </si>
  <si>
    <t>יסודי ואדי סלאמה</t>
  </si>
  <si>
    <t>חורב</t>
  </si>
  <si>
    <t>אבו אלרומאן טמרה ב</t>
  </si>
  <si>
    <t>יסודי סלמאן פרג'</t>
  </si>
  <si>
    <t>אלביארוני</t>
  </si>
  <si>
    <t>ירכא ממלכתי ב</t>
  </si>
  <si>
    <t>אלאמל ירכא</t>
  </si>
  <si>
    <t>אלחדיקה</t>
  </si>
  <si>
    <t>כוכב אבו אלהיגא</t>
  </si>
  <si>
    <t>אלביאדר עין אלאסד</t>
  </si>
  <si>
    <t>אלאמל עכו</t>
  </si>
  <si>
    <t>יסודי עוזיר</t>
  </si>
  <si>
    <t>אבן סינא עראבה</t>
  </si>
  <si>
    <t>ע"ש חוסיין יאסין ב</t>
  </si>
  <si>
    <t>ערב אלגריפאת</t>
  </si>
  <si>
    <t>חרובית כסרא</t>
  </si>
  <si>
    <t>תדהר</t>
  </si>
  <si>
    <t>טרה סנטה עכו</t>
  </si>
  <si>
    <t>יסודי ה' כפר מנדא</t>
  </si>
  <si>
    <t>יסודי חדש משותף</t>
  </si>
  <si>
    <t>סאלח סמור</t>
  </si>
  <si>
    <t>יסודי ג' בענה</t>
  </si>
  <si>
    <t>אופק כרמיאל</t>
  </si>
  <si>
    <t>אל זייתון</t>
  </si>
  <si>
    <t>אלמוטראן תימותיוס</t>
  </si>
  <si>
    <t>עוזיאל מד-קרית שמונה</t>
  </si>
  <si>
    <t>רמבם מד-קרית שמונה</t>
  </si>
  <si>
    <t>וילקומיץ-ראש פינה</t>
  </si>
  <si>
    <t>ביס יסודי</t>
  </si>
  <si>
    <t>יעלת חן -חסידי לבנות</t>
  </si>
  <si>
    <t>יסודי אלבורג'</t>
  </si>
  <si>
    <t>יסודי אלבוכארי</t>
  </si>
  <si>
    <t>בית ספר יסודי אאפאק</t>
  </si>
  <si>
    <t>יסודי שכ' ג'משה</t>
  </si>
  <si>
    <t>יסודי ד' אעבלין</t>
  </si>
  <si>
    <t>ראס אלעין עראבה</t>
  </si>
  <si>
    <t>רגבה אזורי</t>
  </si>
  <si>
    <t>ביכורים</t>
  </si>
  <si>
    <t>ארזים רמת ישי</t>
  </si>
  <si>
    <t>יסודי ד' כאבול</t>
  </si>
  <si>
    <t>ת"ת נפש החיים</t>
  </si>
  <si>
    <t>אלנג'אח סכנין</t>
  </si>
  <si>
    <t>עצמון</t>
  </si>
  <si>
    <t>סאסא-נוף הרים</t>
  </si>
  <si>
    <t>גוונים-עין המפרץ</t>
  </si>
  <si>
    <t>יסודי השלום</t>
  </si>
  <si>
    <t>אור שערים-קרלין סטול</t>
  </si>
  <si>
    <t>יסודי אבן רושד</t>
  </si>
  <si>
    <t>יסודי אלבסליה</t>
  </si>
  <si>
    <t>אלגזאלי עראבה</t>
  </si>
  <si>
    <t>יסודי בית זרזיר</t>
  </si>
  <si>
    <t>קהילתי מ"מ ג' יפיע</t>
  </si>
  <si>
    <t>אלראזי טמרה</t>
  </si>
  <si>
    <t>אלנור - ג'דידה</t>
  </si>
  <si>
    <t>משותף עמק חרוד</t>
  </si>
  <si>
    <t>ברכת ישראל</t>
  </si>
  <si>
    <t>עומר אבן אלח'טאב מכר</t>
  </si>
  <si>
    <t>יסודי א' שעב</t>
  </si>
  <si>
    <t>יסודי ג' כפר כנא</t>
  </si>
  <si>
    <t>אלספא סכנין</t>
  </si>
  <si>
    <t>ת"ת ילדי חן</t>
  </si>
  <si>
    <t>בית פייגא לבנות</t>
  </si>
  <si>
    <t>כלנית -כרמיאל</t>
  </si>
  <si>
    <t>ממ"ד נועם טבריה</t>
  </si>
  <si>
    <t>נועם - נריה</t>
  </si>
  <si>
    <t>חיידר אידיש חב"ד</t>
  </si>
  <si>
    <t>משותף רימון מסילות</t>
  </si>
  <si>
    <t>ארזים -מעלות תרשיחא</t>
  </si>
  <si>
    <t>ממ ג'-גוונים עפולה</t>
  </si>
  <si>
    <t>ביה"ס משותף עומרים</t>
  </si>
  <si>
    <t>ביה"ס הלטיני ראמה</t>
  </si>
  <si>
    <t>אוסקפויה שפרעם</t>
  </si>
  <si>
    <t>נזירות נצרת</t>
  </si>
  <si>
    <t>יסודי ב' משהד</t>
  </si>
  <si>
    <t>בית יעקב תל ציון</t>
  </si>
  <si>
    <t>הר חומה ממ"ד</t>
  </si>
  <si>
    <t>יוסף לקח בנות</t>
  </si>
  <si>
    <t>נחליאל</t>
  </si>
  <si>
    <t>ב"י מאור חיים</t>
  </si>
  <si>
    <t>אלתסאמוח ע"ש כמאל ג'ונבלאט</t>
  </si>
  <si>
    <t>אלמותנבי בסחנין</t>
  </si>
  <si>
    <t>אלאמל בית ג'אן ג'</t>
  </si>
  <si>
    <t>יסודי ה' ע"ש שיח אחמד אלח'טיב</t>
  </si>
  <si>
    <t>יסודי אבן ח'לדון</t>
  </si>
  <si>
    <t>יסודי אבן סינא כאבול</t>
  </si>
  <si>
    <t>יחי ראובן</t>
  </si>
  <si>
    <t>אלבירוני עראבה</t>
  </si>
  <si>
    <t>נתיב</t>
  </si>
  <si>
    <t>גורדון - עכו</t>
  </si>
  <si>
    <t>התומר -עכו</t>
  </si>
  <si>
    <t>וייצמן-עכו</t>
  </si>
  <si>
    <t>רמבם מד-עכו</t>
  </si>
  <si>
    <t>יסודי אלנג'אח</t>
  </si>
  <si>
    <t>אלפאראבי</t>
  </si>
  <si>
    <t>הרצוג מד-עכו</t>
  </si>
  <si>
    <t>אלון יזרעאל-עפולה</t>
  </si>
  <si>
    <t>מצפור סביונים</t>
  </si>
  <si>
    <t>מגדל אור בנים</t>
  </si>
  <si>
    <t>חדשני - ירכא</t>
  </si>
  <si>
    <t>הפטריאכלי הלטיני</t>
  </si>
  <si>
    <t>נצרת אלחורש א'</t>
  </si>
  <si>
    <t>אלגזאלי טמרה ו'</t>
  </si>
  <si>
    <t>יסודי ג' אכסאל</t>
  </si>
  <si>
    <t>דליות -יקנעם</t>
  </si>
  <si>
    <t>יסודי מ"מ רמת כורזים</t>
  </si>
  <si>
    <t>אלזהראא עראבה</t>
  </si>
  <si>
    <t>יאפת נצרת ד</t>
  </si>
  <si>
    <t>יסודי א' עילוט</t>
  </si>
  <si>
    <t>מגאר ד ראס אלחבייה</t>
  </si>
  <si>
    <t>יסודי ג' כפר מנדא</t>
  </si>
  <si>
    <t>בי"ס אלראזי</t>
  </si>
  <si>
    <t>יסודי ג' טורעאן</t>
  </si>
  <si>
    <t>יסודי ב'-יפיע</t>
  </si>
  <si>
    <t>ג'בל סיך</t>
  </si>
  <si>
    <t>יסודי ה'</t>
  </si>
  <si>
    <t>אהבת ישראל</t>
  </si>
  <si>
    <t>לב העמק-נאות מרדכי</t>
  </si>
  <si>
    <t>נהלל אזורי</t>
  </si>
  <si>
    <t>אוסישקין-נהריה</t>
  </si>
  <si>
    <t>וייצמן-נהריה</t>
  </si>
  <si>
    <t>אלגדיר סכנין</t>
  </si>
  <si>
    <t>יסודי ב' טובא</t>
  </si>
  <si>
    <t>אלנהדה ירכא</t>
  </si>
  <si>
    <t>יסודי ינוח ב'</t>
  </si>
  <si>
    <t>ביה"ס היסודי כמאנה</t>
  </si>
  <si>
    <t>יסודי ב' אכסאל</t>
  </si>
  <si>
    <t>בית יעקב רמב"ש</t>
  </si>
  <si>
    <t>ברל כצנלסון נהריה</t>
  </si>
  <si>
    <t>רמז -נהריה</t>
  </si>
  <si>
    <t>רמבם מד-נהריה</t>
  </si>
  <si>
    <t>ת"ת תפארת טבריה</t>
  </si>
  <si>
    <t>רקפת-כרמיאל</t>
  </si>
  <si>
    <t>יסודי אבן סינא</t>
  </si>
  <si>
    <t>יסודי ואדי אלעין</t>
  </si>
  <si>
    <t>מסאר</t>
  </si>
  <si>
    <t>תת מעיין החינוך אלעד</t>
  </si>
  <si>
    <t>ב"י נאות רחל</t>
  </si>
  <si>
    <t>יסודי ממ"ד קצרין</t>
  </si>
  <si>
    <t>יסודי ארזים</t>
  </si>
  <si>
    <t>יסודי הר גילון</t>
  </si>
  <si>
    <t>הראשונים מעלות</t>
  </si>
  <si>
    <t>יסודי נופים</t>
  </si>
  <si>
    <t>אזורי"עלי גבעה</t>
  </si>
  <si>
    <t>אוהל מאיר מד-עפולה</t>
  </si>
  <si>
    <t>מעלות נסים ממד עפולה</t>
  </si>
  <si>
    <t>מוריה מד-עפולה</t>
  </si>
  <si>
    <t>עופרים</t>
  </si>
  <si>
    <t>פטריאכט לטינה ריינה</t>
  </si>
  <si>
    <t>ס ד ס יוניקתולי נצרת</t>
  </si>
  <si>
    <t>חבד מד -אביטל</t>
  </si>
  <si>
    <t>ממ כי"ח -צפת ב'</t>
  </si>
  <si>
    <t>ממד בירב -צפת</t>
  </si>
  <si>
    <t>המגינים -קרית שמונה</t>
  </si>
  <si>
    <t>מצודות-קרית שמונה</t>
  </si>
  <si>
    <t>אור-מנחם חב"ד בנים</t>
  </si>
  <si>
    <t>בני מנחם חב"ד</t>
  </si>
  <si>
    <t>בית חיה מושקא</t>
  </si>
  <si>
    <t>בית יוסף</t>
  </si>
  <si>
    <t>בנות הדסה</t>
  </si>
  <si>
    <t>בית יעקב בנות שרה</t>
  </si>
  <si>
    <t>שירת חנה</t>
  </si>
  <si>
    <t>תורה ומדע ע"ש הרמב"ם</t>
  </si>
  <si>
    <t>פסגות ע"ש חיים גורי</t>
  </si>
  <si>
    <t>בית רבקה צעירות</t>
  </si>
  <si>
    <t>לפיד</t>
  </si>
  <si>
    <t>יסודי אלחוארזמי</t>
  </si>
  <si>
    <t>ב"י מכתב מאליהו</t>
  </si>
  <si>
    <t>ב"י אהלי שמעון</t>
  </si>
  <si>
    <t>ת"ת רזי-לי</t>
  </si>
  <si>
    <t>ת"ת ובי' וולפסון</t>
  </si>
  <si>
    <t>יד המלך</t>
  </si>
  <si>
    <t>זכרון ישראל</t>
  </si>
  <si>
    <t>בית יעקב סלונים</t>
  </si>
  <si>
    <t>יסודי אלשאפעי</t>
  </si>
  <si>
    <t>תלמוד תורה הראי"ה</t>
  </si>
  <si>
    <t>בארי בשדה</t>
  </si>
  <si>
    <t>ת"ת תלפיות</t>
  </si>
  <si>
    <t>ת"ת אור דוד</t>
  </si>
  <si>
    <t>בנציון נתניהו</t>
  </si>
  <si>
    <t>שרונה</t>
  </si>
  <si>
    <t>אום טובה לבנות</t>
  </si>
  <si>
    <t>מרומי שדה</t>
  </si>
  <si>
    <t>ת"ת בית רבן</t>
  </si>
  <si>
    <t>בית ישראל</t>
  </si>
  <si>
    <t>בית יעקב מעלות הדסה</t>
  </si>
  <si>
    <t>חיי שרה</t>
  </si>
  <si>
    <t>בית יעקב גני איילון</t>
  </si>
  <si>
    <t>בית חינוך ע"ש רונה רמון</t>
  </si>
  <si>
    <t>בית החינוך ע"ש שמעון פרס</t>
  </si>
  <si>
    <t>איילות</t>
  </si>
  <si>
    <t>דרך ע"ש רונה רמון</t>
  </si>
  <si>
    <t>נוה זמר</t>
  </si>
  <si>
    <t>מ"מ נופרים</t>
  </si>
  <si>
    <t>רקפות</t>
  </si>
  <si>
    <t>אור השחר</t>
  </si>
  <si>
    <t>ת"ת ישועת יעקב יוסף</t>
  </si>
  <si>
    <t>ממ"ד אבני חפץ</t>
  </si>
  <si>
    <t>בית יעקב החדש עפולה</t>
  </si>
  <si>
    <t>ממ"ד במעלה</t>
  </si>
  <si>
    <t>ממ"ד בנות הר ברכה</t>
  </si>
  <si>
    <t>ממ"ד בנות נחלת צבי</t>
  </si>
  <si>
    <t>בית מלכה ב"ב</t>
  </si>
  <si>
    <t>אית"ן</t>
  </si>
  <si>
    <t>אליאב</t>
  </si>
  <si>
    <t>אלונים ע"ש שולמית אלוני</t>
  </si>
  <si>
    <t>יסדת עוז</t>
  </si>
  <si>
    <t>ממ"ד בנים הר ברכה</t>
  </si>
  <si>
    <t>שדמה</t>
  </si>
  <si>
    <t>ממ"ד בנים חב"ד ב</t>
  </si>
  <si>
    <t>בית יעקב - אידיש גור</t>
  </si>
  <si>
    <t>ממ"ד בנים נחלת צבי</t>
  </si>
  <si>
    <t>ממ"ד חב"ד</t>
  </si>
  <si>
    <t>ממ"ד חב"ד אוהל יצחק</t>
  </si>
  <si>
    <t>ממ"ד טללי אורות</t>
  </si>
  <si>
    <t>ב"י מסורת ישראל</t>
  </si>
  <si>
    <t>אוצר החיים בנות</t>
  </si>
  <si>
    <t>מעוז חיים</t>
  </si>
  <si>
    <t>הראשונים</t>
  </si>
  <si>
    <t>בנות אסתר</t>
  </si>
  <si>
    <t>בית מלכה בית שמש</t>
  </si>
  <si>
    <t>אורות התורה מד</t>
  </si>
  <si>
    <t>מרכז למידה תמרים</t>
  </si>
  <si>
    <t>ממ"ד יקיר</t>
  </si>
  <si>
    <t>עתידים</t>
  </si>
  <si>
    <t>תת בני אחים פרמישלאן</t>
  </si>
  <si>
    <t>ממ"ד מורשת</t>
  </si>
  <si>
    <t>ממ"ד פדואל</t>
  </si>
  <si>
    <t>ממ"ד רבבה בנות</t>
  </si>
  <si>
    <t>ממ"ד רבבה בנים</t>
  </si>
  <si>
    <t>אור האמת - בנות</t>
  </si>
  <si>
    <t>תפארת חיה</t>
  </si>
  <si>
    <t>ברכת ישראל בנות</t>
  </si>
  <si>
    <t>אדרת אליהו</t>
  </si>
  <si>
    <t>ממ"ד רעות</t>
  </si>
  <si>
    <t>ממ"ד שערי תקווה</t>
  </si>
  <si>
    <t>ממל' עומר</t>
  </si>
  <si>
    <t>ותתפלל חנה - בנות</t>
  </si>
  <si>
    <t>עטרת חיה</t>
  </si>
  <si>
    <t>פנינת בית יעקב</t>
  </si>
  <si>
    <t>נתיבות רבקה</t>
  </si>
  <si>
    <t>ת"ת איש מצליח</t>
  </si>
  <si>
    <t>ת"ת שערי חסד</t>
  </si>
  <si>
    <t>בית ספר מעיין</t>
  </si>
  <si>
    <t>מורשת רחל</t>
  </si>
  <si>
    <t>ב"י רמת אהרון</t>
  </si>
  <si>
    <t>מקור ברוך סרט ויזניץ</t>
  </si>
  <si>
    <t>ת"ת וב"י הרמב"ם</t>
  </si>
  <si>
    <t>ב"י הרב כהנמן</t>
  </si>
  <si>
    <t>רחל המשוררת</t>
  </si>
  <si>
    <t>ת"ת עץ חיים</t>
  </si>
  <si>
    <t>ת"ת תפארת מרדכי</t>
  </si>
  <si>
    <t>ב"י אוהלי אליעזר</t>
  </si>
  <si>
    <t>ת"ת כלל חסידי בית שמש</t>
  </si>
  <si>
    <t>אלברט אינשטיין</t>
  </si>
  <si>
    <t>חמ"ד תורני חבל יבנה</t>
  </si>
  <si>
    <t>אריאל שרון</t>
  </si>
  <si>
    <t>סלעית ע"ש עוז</t>
  </si>
  <si>
    <t>ת"ת חמדת התורה טבריה</t>
  </si>
  <si>
    <t>ב"י נאות הפסגה</t>
  </si>
  <si>
    <t>בית חינוך לבנות</t>
  </si>
  <si>
    <t>נחלת שלמה</t>
  </si>
  <si>
    <t>אשרינו</t>
  </si>
  <si>
    <t>מקום לחלום</t>
  </si>
  <si>
    <t>כאייל תערוג</t>
  </si>
  <si>
    <t>פאר מנחם</t>
  </si>
  <si>
    <t>עקיבא מד</t>
  </si>
  <si>
    <t>מקור חכמה</t>
  </si>
  <si>
    <t>בנות מנחם חב"ד</t>
  </si>
  <si>
    <t>ת"ת פני מנחם</t>
  </si>
  <si>
    <t>נוה משה רשב"י</t>
  </si>
  <si>
    <t>בית אהרון וישראל</t>
  </si>
  <si>
    <t>בני יוסף שדרות</t>
  </si>
  <si>
    <t>ת"ת מכתב מאליהו</t>
  </si>
  <si>
    <t>נוף גליל</t>
  </si>
  <si>
    <t>דרכי אבות בנות</t>
  </si>
  <si>
    <t>ישועות יעקב ויוסף</t>
  </si>
  <si>
    <t>כפר עקב לבנים</t>
  </si>
  <si>
    <t>בית יעקב נווה מאיר</t>
  </si>
  <si>
    <t>נצח ישראל בנות</t>
  </si>
  <si>
    <t>ב"י בית חנה</t>
  </si>
  <si>
    <t>בית יעקב זהרי תורה</t>
  </si>
  <si>
    <t>ב"י ויזניץ בית לאה</t>
  </si>
  <si>
    <t>ברסלב בוגרי ישיבות</t>
  </si>
  <si>
    <t>דרך הילד</t>
  </si>
  <si>
    <t>קוממיות</t>
  </si>
  <si>
    <t>היכל משה</t>
  </si>
  <si>
    <t>בנות מרגלית- ויזניץ</t>
  </si>
  <si>
    <t>תלמוד תורה מרכז העיר</t>
  </si>
  <si>
    <t>יסוד החינוך</t>
  </si>
  <si>
    <t>משך חכמה</t>
  </si>
  <si>
    <t>אור-מנחם חב"ד בנות</t>
  </si>
  <si>
    <t>דרכי מרדכי</t>
  </si>
  <si>
    <t>בית יעקב אפיקי מים</t>
  </si>
  <si>
    <t>בית ספר בנות נווה</t>
  </si>
  <si>
    <t>ראשית חכמה</t>
  </si>
  <si>
    <t>עטרת מלכה</t>
  </si>
  <si>
    <t>חניכי הישיבות-אור חדש</t>
  </si>
  <si>
    <t>בית יעקב חורב</t>
  </si>
  <si>
    <t>ת"ת החדש יסודות</t>
  </si>
  <si>
    <t>מעוז חיים ירושלים</t>
  </si>
  <si>
    <t>בית מלכה חיפה</t>
  </si>
  <si>
    <t>תלמוד תורה מתיבתא</t>
  </si>
  <si>
    <t>בית יעקב היובל</t>
  </si>
  <si>
    <t>מנחת ירושלים</t>
  </si>
  <si>
    <t>בני יוסף</t>
  </si>
  <si>
    <t>בית ספר יסודי אלסלאם</t>
  </si>
  <si>
    <t>חזון מאיר ובית ישראל</t>
  </si>
  <si>
    <t>יראת ה''</t>
  </si>
  <si>
    <t>בנות צאנז</t>
  </si>
  <si>
    <t>בית מיתר</t>
  </si>
  <si>
    <t>תורני אקדמי באר יעקב</t>
  </si>
  <si>
    <t>תלמוד תורה חפץ חיים</t>
  </si>
  <si>
    <t>בית חינוך לבנות ביידיש</t>
  </si>
  <si>
    <t>תת תורת אהרון רמת אשכול</t>
  </si>
  <si>
    <t>מים חיים מירושלים</t>
  </si>
  <si>
    <t>ת"ת נתיבות משה נהריה</t>
  </si>
  <si>
    <t>הליכות שרה</t>
  </si>
  <si>
    <t>בית ספר בית ברל</t>
  </si>
  <si>
    <t>תפארת שרה</t>
  </si>
  <si>
    <t>קהילות יעקב-בני יוסף</t>
  </si>
  <si>
    <t>עטרת חיים</t>
  </si>
  <si>
    <t>עטרת חיים בנות</t>
  </si>
  <si>
    <t>עלי זהב מזרח</t>
  </si>
  <si>
    <t>פרדס צפוני</t>
  </si>
  <si>
    <t>רמז</t>
  </si>
  <si>
    <t>רש"י בנות</t>
  </si>
  <si>
    <t>ש"י עגנון</t>
  </si>
  <si>
    <t>ת"ת יסודי התורה ת"א</t>
  </si>
  <si>
    <t>תבנית החינוך המוזהב</t>
  </si>
  <si>
    <t>תלמוד תורה בן פורת יוסף</t>
  </si>
  <si>
    <t>תלמוד תורה חב"ד</t>
  </si>
  <si>
    <t>בנות יעקב חריש</t>
  </si>
  <si>
    <t>בית ספר</t>
  </si>
  <si>
    <t>ממוצע ח.ר</t>
  </si>
  <si>
    <t>ממוצע ח.מ</t>
  </si>
  <si>
    <t>מעמד משפטי</t>
  </si>
  <si>
    <t>שיעור השתתפות המדינה</t>
  </si>
  <si>
    <t>רשות</t>
  </si>
  <si>
    <t>ילדים זכאים ח.רגיל לאחר הפחתה ובקרה</t>
  </si>
  <si>
    <t>ילדים זכאים ח.מיוחד לאחר הפחתה ובקרה</t>
  </si>
  <si>
    <t>תוספת גמישות</t>
  </si>
  <si>
    <t xml:space="preserve">  </t>
  </si>
  <si>
    <t xml:space="preserve">סה"כ תלמידי חינוך רגיל א-ג במצבת </t>
  </si>
  <si>
    <t xml:space="preserve">סה"כ תלמידי חינוך מיוחד א-ג במצבת </t>
  </si>
  <si>
    <t>בית יעקב מרכז ירושלים</t>
  </si>
  <si>
    <t>אלאופק יסודי לבנות</t>
  </si>
  <si>
    <t>אלוואדי למצוינות</t>
  </si>
  <si>
    <t>ב"י בית יוסף</t>
  </si>
  <si>
    <t>בית יעקב אלשיך</t>
  </si>
  <si>
    <t>ת"ת וב"י תהילת אדיר</t>
  </si>
  <si>
    <t>אלאמל ע"ש חוסין אבריק</t>
  </si>
  <si>
    <t>יסודי ד' ע"ש מוחמד סובח</t>
  </si>
  <si>
    <t>ת"ת חזון אברהם שובו</t>
  </si>
  <si>
    <t>ב"י חורב פ. חנה</t>
  </si>
  <si>
    <t>אלפנאר יסודי מעורב</t>
  </si>
  <si>
    <t>החותרים</t>
  </si>
  <si>
    <t>אוהלי יוסף יצחק עתלית חוף הכרמ</t>
  </si>
  <si>
    <t>בית חנה חוף הכרמל</t>
  </si>
  <si>
    <t>בצוותא ממ"ד</t>
  </si>
  <si>
    <t>בצוותא מ"מ</t>
  </si>
  <si>
    <t>ממ"ד יסודי הרואה</t>
  </si>
  <si>
    <t>נועם המאירי בנות</t>
  </si>
  <si>
    <t>ממ"ד נועם -עציון</t>
  </si>
  <si>
    <t>ממ"ד בנות נועם הצבי</t>
  </si>
  <si>
    <t>ממ"ד שבי שומרון</t>
  </si>
  <si>
    <t>ממ"ד נועם הצבי-בנים</t>
  </si>
  <si>
    <t>רשב"י בית יעקב גני איילון</t>
  </si>
  <si>
    <t>איילים בנים</t>
  </si>
  <si>
    <t>ת"ת בוסטון</t>
  </si>
  <si>
    <t>שובו נתניה</t>
  </si>
  <si>
    <t>בית יעקב סיני יבנה</t>
  </si>
  <si>
    <t>נועם נריה בנים</t>
  </si>
  <si>
    <t>תגלית</t>
  </si>
  <si>
    <t>צופים</t>
  </si>
  <si>
    <t>ממ"ד ברוכין</t>
  </si>
  <si>
    <t>בית חינוך אוסישקין</t>
  </si>
  <si>
    <t>ת"ת יפיק תבונה זכרון מאיר</t>
  </si>
  <si>
    <t>ת"ת פרי חדש</t>
  </si>
  <si>
    <t>ביה"ס הדמוקרטי</t>
  </si>
  <si>
    <t>פינלנד סקול</t>
  </si>
  <si>
    <t>בית יעקב החדש אשדוד</t>
  </si>
  <si>
    <t>ב"י סיני מעלות רחל</t>
  </si>
  <si>
    <t>שובו אשדוד</t>
  </si>
  <si>
    <t>אורות אליהו</t>
  </si>
  <si>
    <t>ים סוף ע"ש יצחק נבון</t>
  </si>
  <si>
    <t>אלסופרא</t>
  </si>
  <si>
    <t>גלבוע</t>
  </si>
  <si>
    <t>ארתיקאא לשפות</t>
  </si>
  <si>
    <t>אשראקת אלג'נוב</t>
  </si>
  <si>
    <t>אפיקי מים בנות</t>
  </si>
  <si>
    <t>מוסדי עולם משך חכמה</t>
  </si>
  <si>
    <t>תורני חדש - בנות</t>
  </si>
  <si>
    <t>"אמיר" ע"ש ג'אק אמיר</t>
  </si>
  <si>
    <t>בית חינוך רונסון לטבע וקהילה</t>
  </si>
  <si>
    <t>ארנונה</t>
  </si>
  <si>
    <t>אשירה בנות</t>
  </si>
  <si>
    <t>ת"ת אור יאיר</t>
  </si>
  <si>
    <t>דרך התורה</t>
  </si>
  <si>
    <t>בנות מלך בית שמש</t>
  </si>
  <si>
    <t>בית יעקב רמה ד'</t>
  </si>
  <si>
    <t>החדש</t>
  </si>
  <si>
    <t>חניכי הישיבות - משך</t>
  </si>
  <si>
    <t>בית יעקב הר יונה</t>
  </si>
  <si>
    <t>סמל מוסד מקום פעילות</t>
  </si>
  <si>
    <t>השתתפות הורים</t>
  </si>
  <si>
    <t>חישוב לפי מרכיבי התקצוב והעלויות  שפורסמו</t>
  </si>
  <si>
    <t>מבנה תקציבי גנים</t>
  </si>
  <si>
    <r>
      <t xml:space="preserve">כוללת למסגרת של </t>
    </r>
    <r>
      <rPr>
        <b/>
        <sz val="11"/>
        <color rgb="FFFF0000"/>
        <rFont val="David"/>
        <family val="2"/>
      </rPr>
      <t>25</t>
    </r>
    <r>
      <rPr>
        <sz val="11"/>
        <color theme="1"/>
        <rFont val="David"/>
        <family val="2"/>
      </rPr>
      <t xml:space="preserve"> תלמידים</t>
    </r>
  </si>
  <si>
    <r>
      <t xml:space="preserve">לתלמיד ל- </t>
    </r>
    <r>
      <rPr>
        <b/>
        <sz val="11"/>
        <rFont val="David"/>
        <family val="2"/>
      </rPr>
      <t>15</t>
    </r>
    <r>
      <rPr>
        <sz val="11"/>
        <rFont val="David"/>
        <family val="2"/>
      </rPr>
      <t xml:space="preserve"> ימים</t>
    </r>
  </si>
  <si>
    <t>שכר עבור ריכוז 5 גנים בהם המובילה איננה גננת, לפי 5  שעות ביום ו- 103.6 ש"ח עלות שעה</t>
  </si>
  <si>
    <t>ב.</t>
  </si>
  <si>
    <t>מבנה תקציבי בתי ספר</t>
  </si>
  <si>
    <t>בי"ס גדול מעל 150 תלמידים</t>
  </si>
  <si>
    <t>בקרת תקינות ת.ז.</t>
  </si>
  <si>
    <t>בקרת שכר ברוטו שעתי</t>
  </si>
  <si>
    <t>בדיקת עלות שכר שעתית</t>
  </si>
  <si>
    <t>תקינות</t>
  </si>
  <si>
    <t>בדיקת כפילות</t>
  </si>
  <si>
    <t>בדיקת תקינות תעודת זהות</t>
  </si>
  <si>
    <t>בקרת עלות שכר שעתית</t>
  </si>
  <si>
    <t>בקרת שעות עבודה</t>
  </si>
  <si>
    <t>בקרת כפילויות עובדים</t>
  </si>
  <si>
    <t>אי ניצול חריגה</t>
  </si>
  <si>
    <t xml:space="preserve">מלגות להורים - </t>
  </si>
  <si>
    <t>ארוחת בוקר -</t>
  </si>
  <si>
    <t>שכר -</t>
  </si>
  <si>
    <t>הנחיות למילוי</t>
  </si>
  <si>
    <t>בקרת כמות ילדים גביה לעומת דיווח</t>
  </si>
  <si>
    <t>בקרת גביה לילד</t>
  </si>
  <si>
    <t>הסבר במידה ולא תקין</t>
  </si>
  <si>
    <t>בקרת תקינות</t>
  </si>
  <si>
    <t>כמות ימים רגיל</t>
  </si>
  <si>
    <t>כמות ימים גדול</t>
  </si>
  <si>
    <t>סה"כ סל גמיש</t>
  </si>
  <si>
    <t>סה"כ תקורה</t>
  </si>
  <si>
    <t>גזבר</t>
  </si>
  <si>
    <t>מנהלת מחלקת חינוך</t>
  </si>
  <si>
    <t>מייל</t>
  </si>
  <si>
    <t>נתונים כללים</t>
  </si>
  <si>
    <t>נתונים כלליים (1)</t>
  </si>
  <si>
    <t>כללי</t>
  </si>
  <si>
    <t>יתרת תקציב להעברה (גמישות)</t>
  </si>
  <si>
    <t>ביצוע ביתר (גמישות)</t>
  </si>
  <si>
    <t>נתונים לחישוב תקציב</t>
  </si>
  <si>
    <t>סה"כ מס' תלמידים</t>
  </si>
  <si>
    <t xml:space="preserve">בכל שורה יש למלא ראשית את איש הצוות ולאחר מכן את התפקיד
</t>
  </si>
  <si>
    <t>יש לבחור את הנתונים מתוך הרשימה הנפתחת בלבד!</t>
  </si>
  <si>
    <t>בקרת איוש משרות רכז וסגן רכז</t>
  </si>
  <si>
    <t>תקציב שכר רכז/ת</t>
  </si>
  <si>
    <t>אנשי קשר נוספים:</t>
  </si>
  <si>
    <t>כמות תלמידים  לחישוב תקציב</t>
  </si>
  <si>
    <t>בקרת איוש משרות</t>
  </si>
  <si>
    <t>דיווח שכר רכז/ת</t>
  </si>
  <si>
    <t>דיווח שכר סגן/נית רכז/ת</t>
  </si>
  <si>
    <t>תקציב שכר סגן/נית רכז/ת</t>
  </si>
  <si>
    <t>טלפון</t>
  </si>
  <si>
    <t>אנשי קשר ברשות</t>
  </si>
  <si>
    <t xml:space="preserve"> אי ניצול תקציב ברמת סעיף</t>
  </si>
  <si>
    <t>הערת הרשות</t>
  </si>
  <si>
    <t xml:space="preserve">     נתוני בקרות שטח</t>
  </si>
  <si>
    <t>סה"כ אי ניצול</t>
  </si>
  <si>
    <t>שורת סיכום</t>
  </si>
  <si>
    <t>מספר אשכול</t>
  </si>
  <si>
    <t>כמות מוסדות מדווחים</t>
  </si>
  <si>
    <t>בקרת כמות מוסדות</t>
  </si>
  <si>
    <t>סה"כ לתשלום עבור הרשות -</t>
  </si>
  <si>
    <t>סכום מירבי כולל גמישות (סה"כ לתשלום)</t>
  </si>
  <si>
    <t>סמל מוטב רשות</t>
  </si>
  <si>
    <t>שם רשות</t>
  </si>
  <si>
    <t>ערבות הירדן</t>
  </si>
  <si>
    <t>הזכאות לתקציב עבור סגן רכז הינה לבתי ספר גדולים - עם מעל 149 ילדים.</t>
  </si>
  <si>
    <t>בס"ד</t>
  </si>
  <si>
    <t>&gt;&gt; חשוב לקרוא בעיון את ההוראות על מנת להגיש את המסמכים בצורה תקינה ולמנוע קיזוזים מיותרים!</t>
  </si>
  <si>
    <r>
      <t>כרטסת ארוחת בוקר</t>
    </r>
    <r>
      <rPr>
        <sz val="12"/>
        <color theme="1"/>
        <rFont val="David"/>
        <family val="2"/>
      </rPr>
      <t xml:space="preserve"> - כרטסת הנהלת חשבונות נפרדת המכילה את ההוצאות </t>
    </r>
    <r>
      <rPr>
        <u/>
        <sz val="12"/>
        <color theme="1"/>
        <rFont val="David"/>
        <family val="2"/>
      </rPr>
      <t>שדווחו</t>
    </r>
    <r>
      <rPr>
        <sz val="12"/>
        <color theme="1"/>
        <rFont val="David"/>
        <family val="2"/>
      </rPr>
      <t xml:space="preserve"> בדוח ביצוע בגין ארוחת בוקר כהגדרתה בקול קורא – "ארוחת בוקר קלה במימון המסגרת" (לא ממתקים כגון קרטיבים וכד'). הכרטסת צריכה להכיל את פירוט מהות ההוצאות ושמות הספקים של כל חשבונית. </t>
    </r>
  </si>
  <si>
    <t xml:space="preserve">ברשויות בהן קיימת גביה מההורים נדרש להגיש את המסמכים הבאים: </t>
  </si>
  <si>
    <t>ביצוע בפועל</t>
  </si>
  <si>
    <t>סה"כ מוסדות שדווח עבורם הוצאות</t>
  </si>
  <si>
    <t>סה"כ הוצאות שדווחו</t>
  </si>
  <si>
    <t>בקרות</t>
  </si>
  <si>
    <t>נתונים</t>
  </si>
  <si>
    <t>הסבר הרשות במידה ויש הפרש</t>
  </si>
  <si>
    <t>דוח ביצוע מפורט</t>
  </si>
  <si>
    <t>סה"כ מוסדות מדווחים בדוח ביצוע</t>
  </si>
  <si>
    <t>תעריף לילד חלק ההורים ש"ח</t>
  </si>
  <si>
    <t>כמות מוסדות שדווחו הוצאות</t>
  </si>
  <si>
    <t>שכר</t>
  </si>
  <si>
    <r>
      <rPr>
        <b/>
        <sz val="12"/>
        <color theme="1"/>
        <rFont val="David"/>
        <family val="2"/>
      </rPr>
      <t>דוח עלות</t>
    </r>
    <r>
      <rPr>
        <sz val="12"/>
        <color theme="1"/>
        <rFont val="David"/>
        <family val="2"/>
      </rPr>
      <t xml:space="preserve"> – דוח מרכז המפרט את עלויות המעסיק של כלל העובדים (נקרא: דוח 66) בהתאמה לסכום שדווח בדוח ביצוע.</t>
    </r>
  </si>
  <si>
    <t>גביה</t>
  </si>
  <si>
    <r>
      <rPr>
        <b/>
        <sz val="12"/>
        <color theme="1"/>
        <rFont val="David"/>
        <family val="2"/>
      </rPr>
      <t>כרטסת גביה מההורים</t>
    </r>
    <r>
      <rPr>
        <sz val="12"/>
        <color theme="1"/>
        <rFont val="David"/>
        <family val="2"/>
      </rPr>
      <t xml:space="preserve"> - כרטסת הנהלת חשבונות נפרדת המכילה את ההכנסות בגין הכנסות גביה</t>
    </r>
    <r>
      <rPr>
        <u/>
        <sz val="12"/>
        <color theme="1"/>
        <rFont val="David"/>
        <family val="2"/>
      </rPr>
      <t xml:space="preserve"> בהתאמה</t>
    </r>
    <r>
      <rPr>
        <sz val="12"/>
        <color theme="1"/>
        <rFont val="David"/>
        <family val="2"/>
      </rPr>
      <t xml:space="preserve"> לסכום שדווח בדוח ביצוע.</t>
    </r>
  </si>
  <si>
    <t>חשוב מאוד!</t>
  </si>
  <si>
    <t>נדרש להעביר את הקבצים בפורמט אקסל.</t>
  </si>
  <si>
    <t>סעיף</t>
  </si>
  <si>
    <t>מסמכים נדרשים ודגשים לדיווח</t>
  </si>
  <si>
    <t>מסמכים נדרשים ודגשים לדיווח לצורך קבלת תקצוב</t>
  </si>
  <si>
    <t>תקציב רכז רשותי</t>
  </si>
  <si>
    <t>זכאות לסגן/נית רכז/ת</t>
  </si>
  <si>
    <t>כמות מוסדות משולמים</t>
  </si>
  <si>
    <t xml:space="preserve">במידה ונתוני הרישום הרשומים בקובץ אינם תואמים לנתונים המאושרים על ידי משה"ח, </t>
  </si>
  <si>
    <t>איוש משרות רכז וסגן רכז</t>
  </si>
  <si>
    <t xml:space="preserve">        נתוני מצבת</t>
  </si>
  <si>
    <t xml:space="preserve">             נתונים כללים</t>
  </si>
  <si>
    <t xml:space="preserve">             מס' תלמידי א-ג במצבת </t>
  </si>
  <si>
    <r>
      <rPr>
        <u/>
        <sz val="12"/>
        <color rgb="FF000000"/>
        <rFont val="David"/>
        <family val="2"/>
      </rPr>
      <t>בגיליון זה אין צורך להזין נתונים</t>
    </r>
    <r>
      <rPr>
        <sz val="12"/>
        <color indexed="8"/>
        <rFont val="David"/>
        <family val="2"/>
      </rPr>
      <t xml:space="preserve">, נתוני איוש המשרות נלקחים מגיליון 'פירוט עלויות כח אדם (7)', נתוני המוסדות וכמות תלמידים נלקחים מגיליון 'בתי ספר דוח ביצוע (4)' במידה ויש לרשות הערות ניתן לציין </t>
    </r>
    <r>
      <rPr>
        <u/>
        <sz val="12"/>
        <color rgb="FF000000"/>
        <rFont val="David"/>
        <family val="2"/>
      </rPr>
      <t>בעמודה L</t>
    </r>
    <r>
      <rPr>
        <sz val="12"/>
        <color indexed="8"/>
        <rFont val="David"/>
        <family val="2"/>
      </rPr>
      <t>.</t>
    </r>
  </si>
  <si>
    <r>
      <rPr>
        <b/>
        <sz val="12"/>
        <color rgb="FF000000"/>
        <rFont val="David"/>
        <family val="2"/>
      </rPr>
      <t>שימו לב, בהתאם לסעיף ד.2.ב.ב בקול קורא איוש רכז/ת וסגן/נית רכז/ת הינם תנאי סף לתקצוב התוכנית כולה</t>
    </r>
    <r>
      <rPr>
        <sz val="12"/>
        <color indexed="8"/>
        <rFont val="David"/>
        <family val="2"/>
      </rPr>
      <t xml:space="preserve"> - ועל כן במידה וישנם מוסדות אשר לא אוישו המשרות הנ"ל כנדרש אין זכאות לתקציב במוסד. יצויין כי הזכאות לתקציב עבור סגן רכז הינה לבתי ספר גדולים - עם מעל 149 ילדים.</t>
    </r>
  </si>
  <si>
    <r>
      <rPr>
        <u/>
        <sz val="12"/>
        <color rgb="FF000000"/>
        <rFont val="David"/>
        <family val="2"/>
      </rPr>
      <t>בגיליון זה אין צורך להזין נתונים</t>
    </r>
    <r>
      <rPr>
        <sz val="12"/>
        <color indexed="8"/>
        <rFont val="David"/>
        <family val="2"/>
      </rPr>
      <t>, הגיליון כולו מחושב עפ"י הנתונים שמולאו בגיליונות 1-8 כאמור לעיל.</t>
    </r>
  </si>
  <si>
    <t>הסכום מירבי המוכר</t>
  </si>
  <si>
    <t>יש להגדיר בתוכנת השכר מחלקה/רכיב נפרדת עבור שכר עובדי הקייטנה.</t>
  </si>
  <si>
    <r>
      <rPr>
        <b/>
        <sz val="12"/>
        <color theme="1"/>
        <rFont val="David"/>
        <family val="2"/>
      </rPr>
      <t>כרטסת הוצאות שכר</t>
    </r>
    <r>
      <rPr>
        <sz val="12"/>
        <color theme="1"/>
        <rFont val="David"/>
        <family val="2"/>
      </rPr>
      <t xml:space="preserve"> – כרטסת הנהלת חשבונות נפרדת המכילה את הוצאות השכר בגין הקייטנה בלבד, בהתאמה לסכום שדווח בדוח ביצוע.
במידה וכרטסת השכר כוללת הוצאות שכר בגין פעילות העשרה יש לצרף מסמך התאמה ברור ולציין  את שם העובד המועסק ותפקידו בקייטנה (לדוג' ישראל ישראלי – פעילות ספורט). </t>
    </r>
  </si>
  <si>
    <r>
      <rPr>
        <b/>
        <sz val="12"/>
        <color theme="1"/>
        <rFont val="David"/>
        <family val="2"/>
      </rPr>
      <t>כרטסת מלגות</t>
    </r>
    <r>
      <rPr>
        <sz val="12"/>
        <color theme="1"/>
        <rFont val="David"/>
        <family val="2"/>
      </rPr>
      <t xml:space="preserve"> – כרטסת הנהלת חשבונות נפרדת המכילה את המלגות שניתנו להורים </t>
    </r>
    <r>
      <rPr>
        <u/>
        <sz val="12"/>
        <color theme="1"/>
        <rFont val="David"/>
        <family val="2"/>
      </rPr>
      <t>בהתאמה</t>
    </r>
    <r>
      <rPr>
        <sz val="12"/>
        <color theme="1"/>
        <rFont val="David"/>
        <family val="2"/>
      </rPr>
      <t xml:space="preserve"> לסכום שדווח בדוח ביצוע, יש להקפיד על רישום בשיטת הברוטו ובהתאמה לדרישות קול הקורא בנושא.</t>
    </r>
  </si>
  <si>
    <r>
      <t xml:space="preserve">נדרש רישום הוצאות או הכנסות </t>
    </r>
    <r>
      <rPr>
        <u/>
        <sz val="12"/>
        <color theme="1"/>
        <rFont val="David"/>
        <family val="2"/>
      </rPr>
      <t>בכרטסות נפרדות</t>
    </r>
    <r>
      <rPr>
        <sz val="12"/>
        <color theme="1"/>
        <rFont val="David"/>
        <family val="2"/>
      </rPr>
      <t xml:space="preserve"> למוסדות כדלהלן: גנים רשמי – לכלל הגנים יחד (שכר בנפרד העשרה בנפרד וכו', כל כרטסת מכילה את ההוצאות של כל הגנים רשמי בלבד), גנים מוכשר – לכלל הגנים יחד, בתי ספר רשמי – כל בית ספר בנפרד (שכר בנפרד העשרה בנפרד וכו', כל כרטסת מכילה את ההוצאות של כל מוסד בנפרד), בתי ספר מוכשר – כל בית ספר בנפרד.</t>
    </r>
  </si>
  <si>
    <r>
      <t xml:space="preserve">שכר ברוטו </t>
    </r>
    <r>
      <rPr>
        <b/>
        <u/>
        <sz val="12"/>
        <color theme="1"/>
        <rFont val="David"/>
        <family val="2"/>
      </rPr>
      <t>שעתי</t>
    </r>
  </si>
  <si>
    <r>
      <t xml:space="preserve">עלות שכר </t>
    </r>
    <r>
      <rPr>
        <b/>
        <u/>
        <sz val="12"/>
        <color theme="1"/>
        <rFont val="David"/>
        <family val="2"/>
      </rPr>
      <t>שעתית</t>
    </r>
  </si>
  <si>
    <t>מגילות</t>
  </si>
  <si>
    <t>תקוע</t>
  </si>
  <si>
    <t>אהבת ישראל (חרד"ל)</t>
  </si>
  <si>
    <t>תל"י פסגות</t>
  </si>
  <si>
    <t>אורה ברמה (בנות)</t>
  </si>
  <si>
    <t>שירת חנן</t>
  </si>
  <si>
    <t>דתי מיצד</t>
  </si>
  <si>
    <t>דמוקרטי אורנים ע"ש יצחק שמיר</t>
  </si>
  <si>
    <t>יהלם-מעלות תרשיחא</t>
  </si>
  <si>
    <t>בית יעקב מרכז טבריה</t>
  </si>
  <si>
    <t>ילקוט הרועים</t>
  </si>
  <si>
    <t>הדמוקרטי כנף</t>
  </si>
  <si>
    <t>קול יהודה (מעורב)</t>
  </si>
  <si>
    <t>נטופה</t>
  </si>
  <si>
    <t>ב"י בת מלך</t>
  </si>
  <si>
    <t>באר החיים</t>
  </si>
  <si>
    <t>נזירות פרנציסקניות</t>
  </si>
  <si>
    <t>המשיח האונגלית</t>
  </si>
  <si>
    <t>יסודי גוש חלב-ג'יש</t>
  </si>
  <si>
    <t>יסודי השלום ע"ש זייד בלעוס</t>
  </si>
  <si>
    <t>אל-מג'ד (מסלך)</t>
  </si>
  <si>
    <t>נזירות הסיליזיאן</t>
  </si>
  <si>
    <t>אלזהרא (ג) טמרה</t>
  </si>
  <si>
    <t>סאלח מוחמד ח'לאילה</t>
  </si>
  <si>
    <t>אבן עאמר(אבו אלג'יש)</t>
  </si>
  <si>
    <t>אל-קסטל (קשלה א')</t>
  </si>
  <si>
    <t>אלראזי כפר מנדא(ד')</t>
  </si>
  <si>
    <t>ת"ת תורה ודעת</t>
  </si>
  <si>
    <t>בית יעקב משכנות דעת</t>
  </si>
  <si>
    <t>קדימה</t>
  </si>
  <si>
    <t>נעורים</t>
  </si>
  <si>
    <t>צמח צדיק (רמב"ם)</t>
  </si>
  <si>
    <t>ת"ת מורשת התורה</t>
  </si>
  <si>
    <t>אור שלום</t>
  </si>
  <si>
    <t>יסודי שועפט</t>
  </si>
  <si>
    <t>ת"ת וב"י אור חדש</t>
  </si>
  <si>
    <t>תהלת שלמה</t>
  </si>
  <si>
    <t>יסודי מ"מ רקפות</t>
  </si>
  <si>
    <t>אבנר ע"ש אבנר ברזני</t>
  </si>
  <si>
    <t>מעיין האמונה בנות</t>
  </si>
  <si>
    <t>ברטעה ב</t>
  </si>
  <si>
    <t>בית חנוך קהלתי חוב"ב</t>
  </si>
  <si>
    <t>אדם וסביבה</t>
  </si>
  <si>
    <t>ממ"ד ברויאר בנות</t>
  </si>
  <si>
    <t>שובו לוד</t>
  </si>
  <si>
    <t>בית יעקב באר יעקב</t>
  </si>
  <si>
    <t>בית יעקב מרכז פתח תקוה</t>
  </si>
  <si>
    <t>האירוס</t>
  </si>
  <si>
    <t>שובו פתח תקווה</t>
  </si>
  <si>
    <t>מכבים-חדשני</t>
  </si>
  <si>
    <t>ממ"ד ברויאר בנים</t>
  </si>
  <si>
    <t>ממ"ד משואה</t>
  </si>
  <si>
    <t>ת"ת יסודי התורה עמנואל</t>
  </si>
  <si>
    <t>ממלכתי לב רן</t>
  </si>
  <si>
    <t>ממלכתי ניצני השרון</t>
  </si>
  <si>
    <t>אוריאל ואלירז פרץ</t>
  </si>
  <si>
    <t>ממ"ד שכטרמן</t>
  </si>
  <si>
    <t>בית מנחם תורני(מעורב)</t>
  </si>
  <si>
    <t>בית יעקב גני הדר פ"ת</t>
  </si>
  <si>
    <t>ממ' המר(גני אביב ב)</t>
  </si>
  <si>
    <t>ב"י נתיבות משה "שערי יהודית"</t>
  </si>
  <si>
    <t>בית יעקב ויזניץ "אוהל מרים"</t>
  </si>
  <si>
    <t>חמ"ד בורג</t>
  </si>
  <si>
    <t>דעת מבינים</t>
  </si>
  <si>
    <t>טוהר נחל שורק</t>
  </si>
  <si>
    <t>אמרי דוד</t>
  </si>
  <si>
    <t>מוסדות חסידי בעלזא ח</t>
  </si>
  <si>
    <t>נופי מולדת</t>
  </si>
  <si>
    <t>רעות ע"ש רועי קליין</t>
  </si>
  <si>
    <t>נועם רז</t>
  </si>
  <si>
    <t>נעם נהורא</t>
  </si>
  <si>
    <t>אורחות אמותינו(בנות)</t>
  </si>
  <si>
    <t>ת"ת ובית יעקב "יצהר"</t>
  </si>
  <si>
    <t>ניר</t>
  </si>
  <si>
    <t>כלנא יחד</t>
  </si>
  <si>
    <t>תתמ"ד אזורי גוש עציון</t>
  </si>
  <si>
    <t>ב"י זכרון מאיר</t>
  </si>
  <si>
    <t>ב"י רמת שמואל נוה אחיעזר</t>
  </si>
  <si>
    <t>שובו בת ים</t>
  </si>
  <si>
    <t>שרת משה</t>
  </si>
  <si>
    <t>שילה מד</t>
  </si>
  <si>
    <t>ב"י בית דוד</t>
  </si>
  <si>
    <t>בית יעקב גור "אוהל צביה"</t>
  </si>
  <si>
    <t>תת רוזין בני ברק</t>
  </si>
  <si>
    <t>ת"ת עטרת ראובן</t>
  </si>
  <si>
    <t>ת"ת אהלי אברהם</t>
  </si>
  <si>
    <t>ע"ש יעקב כהן</t>
  </si>
  <si>
    <t>דמוקרטי קרית אונו</t>
  </si>
  <si>
    <t>אביגדור ורשה</t>
  </si>
  <si>
    <t>אלאוכווה</t>
  </si>
  <si>
    <t>נעמי שמר</t>
  </si>
  <si>
    <t>מאיר שמגר</t>
  </si>
  <si>
    <t>עירוני חרדי</t>
  </si>
  <si>
    <t>נוה</t>
  </si>
  <si>
    <t>נטעים מיתרים</t>
  </si>
  <si>
    <t>בית הגדי</t>
  </si>
  <si>
    <t>אלונים שער הנגב</t>
  </si>
  <si>
    <t>מעגלים</t>
  </si>
  <si>
    <t>דעת</t>
  </si>
  <si>
    <t>ב"י אוהל תמר</t>
  </si>
  <si>
    <t>יסודי ע"ש יואב גבעתי</t>
  </si>
  <si>
    <t>מסילת ישרים</t>
  </si>
  <si>
    <t>שובו באר שבע</t>
  </si>
  <si>
    <t>אור-ע'ש זבולון המר</t>
  </si>
  <si>
    <t>ת"ת אהל משה</t>
  </si>
  <si>
    <t>בית יעקב חסידי ורשביאק</t>
  </si>
  <si>
    <t>ת"ת אהבת תורה</t>
  </si>
  <si>
    <t>עיר היין</t>
  </si>
  <si>
    <t>נתיבי אור (מעורב)</t>
  </si>
  <si>
    <t>ת"ת יסדת עוז</t>
  </si>
  <si>
    <t>תורני מדעי נועם</t>
  </si>
  <si>
    <t>שלהבת הדרום(בנות)</t>
  </si>
  <si>
    <t>אוצר החיים</t>
  </si>
  <si>
    <t>קשת שער הנגב</t>
  </si>
  <si>
    <t>נוות ישראל</t>
  </si>
  <si>
    <t>תלמוד תורה עקבי אביר</t>
  </si>
  <si>
    <t>תורת חיים ביתר</t>
  </si>
  <si>
    <t>שדות נגב</t>
  </si>
  <si>
    <t>תפארת מרדכי שלמה</t>
  </si>
  <si>
    <t>יסודי ממ"ד כרמי גת</t>
  </si>
  <si>
    <t>היכל משה רמות</t>
  </si>
  <si>
    <t>תתמ"ד אלומה</t>
  </si>
  <si>
    <t>לב הפארק</t>
  </si>
  <si>
    <t>נריה</t>
  </si>
  <si>
    <t>אורחות חנה</t>
  </si>
  <si>
    <t>ממ"ד הרב יונתן זקס</t>
  </si>
  <si>
    <t>אשירה בנים</t>
  </si>
  <si>
    <t>בני הישיבות גבעת זאב</t>
  </si>
  <si>
    <t>מוסדות ישועות משה ויזניץ</t>
  </si>
  <si>
    <t>בנות לאה אסתר</t>
  </si>
  <si>
    <t>בית חינוך קהילתי לחדשנות ומנהי</t>
  </si>
  <si>
    <t>ארץ מולדת</t>
  </si>
  <si>
    <t>תת כינור דוד</t>
  </si>
  <si>
    <t>חאשם זאנה</t>
  </si>
  <si>
    <t>עטרת בית יעקב</t>
  </si>
  <si>
    <t>תפארת ישראל</t>
  </si>
  <si>
    <t>בית יעקב החסידי</t>
  </si>
  <si>
    <t>עץ החיים</t>
  </si>
  <si>
    <t>היכל משה גבעת זאב</t>
  </si>
  <si>
    <t>שלהבות חב"ד חיפה</t>
  </si>
  <si>
    <t>אליעזר שמואלי</t>
  </si>
  <si>
    <t>תורת חיים</t>
  </si>
  <si>
    <t>נתיבותיה</t>
  </si>
  <si>
    <t>תלמוד תורה מקור חיים</t>
  </si>
  <si>
    <t>בנות חנה</t>
  </si>
  <si>
    <t>בית יעקב סלונים ירושלים</t>
  </si>
  <si>
    <t>בית יעקב רמה ג בית שמש</t>
  </si>
  <si>
    <t>דרכי אבות צאנז חיפה</t>
  </si>
  <si>
    <t>בית מלכה בעלזא קרית גת</t>
  </si>
  <si>
    <t>טרה סנטה בית חנינא</t>
  </si>
  <si>
    <t>סל</t>
  </si>
  <si>
    <t>לאחר שינוי</t>
  </si>
  <si>
    <t>לפני שינוי</t>
  </si>
  <si>
    <t>השפעה כספית</t>
  </si>
  <si>
    <t>סכום להורדה</t>
  </si>
  <si>
    <t xml:space="preserve">הפרש </t>
  </si>
  <si>
    <t>*</t>
  </si>
  <si>
    <t>מעמד - רשמי/ מוכש"ר</t>
  </si>
  <si>
    <t>נתוני מצבת תלמידים והרשמה</t>
  </si>
  <si>
    <t>לכל שאלה בנושא אופן הגשת המסמכים יש לפנות למדריכות מטעם משרד החינוך בדוא"ל.</t>
  </si>
  <si>
    <t xml:space="preserve">יש להקפיד על ניהול ותיעוד אסמכתאות מפורטות ברמת מוסד ככל הניתן. </t>
  </si>
  <si>
    <t>במידה והרשות מבצעת את פעילות העשרה או הדרכה באמצעות עובדים חיצוניים (תשלום בחשבונית), יש לצרף בנוסף לכרטסת חשבונית מס או קבלה בגין השירות שניתן. על החשבונית להיות מפורטת וכוללת כמות שעות תאריכים ותעריפים.</t>
  </si>
  <si>
    <r>
      <t xml:space="preserve">יש להעביר </t>
    </r>
    <r>
      <rPr>
        <u/>
        <sz val="12"/>
        <color theme="1"/>
        <rFont val="David"/>
        <family val="2"/>
      </rPr>
      <t>קבצים מקוריים</t>
    </r>
    <r>
      <rPr>
        <sz val="12"/>
        <color theme="1"/>
        <rFont val="David"/>
        <family val="2"/>
      </rPr>
      <t xml:space="preserve"> מתוכנת השכר או מתוכנת הנהלת חשבונות ולא קבצים מעובדים. (במידת הצורך ניתן להעביר מסמך התאמה).  </t>
    </r>
  </si>
  <si>
    <t>שלב חינוך</t>
  </si>
  <si>
    <t>תלמידים רשומים חנ"מ</t>
  </si>
  <si>
    <t>מעודכן לתאריך</t>
  </si>
  <si>
    <t>תעריף מינמאלי</t>
  </si>
  <si>
    <r>
      <t xml:space="preserve">סמל בית ספר בו </t>
    </r>
    <r>
      <rPr>
        <b/>
        <u val="singleAccounting"/>
        <sz val="11"/>
        <rFont val="David"/>
        <family val="2"/>
      </rPr>
      <t>מתקיימת הפעילות</t>
    </r>
  </si>
  <si>
    <r>
      <t xml:space="preserve">סמל מוסד </t>
    </r>
    <r>
      <rPr>
        <b/>
        <u/>
        <sz val="12"/>
        <color theme="1"/>
        <rFont val="David"/>
        <family val="2"/>
      </rPr>
      <t>מקום פעילות</t>
    </r>
  </si>
  <si>
    <t>עלויות שדווחו</t>
  </si>
  <si>
    <t>אחוז תלמידים משולמים מתוך דיווח</t>
  </si>
  <si>
    <t>כמות תלמידים שדווחו ח.ר</t>
  </si>
  <si>
    <t>בקרת תשלום מתוך דיווח תלמידים</t>
  </si>
  <si>
    <t>עלויות ביצוע בגיליון תקציב</t>
  </si>
  <si>
    <t>הפרשים</t>
  </si>
  <si>
    <t>העשרה דיווח</t>
  </si>
  <si>
    <t>ארוחת בוקר דיווח</t>
  </si>
  <si>
    <t>מלגות להורים דיווח</t>
  </si>
  <si>
    <t>ניהול ותפעול דיווח</t>
  </si>
  <si>
    <t>עלות שכר דיווח</t>
  </si>
  <si>
    <t>העשרה - ביצוע בתקציב</t>
  </si>
  <si>
    <t>ארוחת בוקר - ביצוע בתקציב</t>
  </si>
  <si>
    <t>מלגות להורים - ביצוע בתקציב</t>
  </si>
  <si>
    <t>ניהול ותפעול - ביצוע בתקציב</t>
  </si>
  <si>
    <t>עלות שכר - ביצוע בתקציב</t>
  </si>
  <si>
    <t>העשרה - הפרש</t>
  </si>
  <si>
    <t>ארוחת בוקר - הפרש</t>
  </si>
  <si>
    <t>מלגות להורים - הפרש</t>
  </si>
  <si>
    <t>ניהול ותפעול - הפרש</t>
  </si>
  <si>
    <t>עלות שכר - הפרש</t>
  </si>
  <si>
    <t>תקינות  הוצאות - דיווח מול ביצוע בתקציב</t>
  </si>
  <si>
    <t>כמות תלמידים שדווחו ח.מ</t>
  </si>
  <si>
    <t>סה"כ תקציב נורמטיבי לפני הורים</t>
  </si>
  <si>
    <t>סה"כ לפני בקרה</t>
  </si>
  <si>
    <t>סה"כ לאחר בקרה</t>
  </si>
  <si>
    <t>הפרש לקיזוז</t>
  </si>
  <si>
    <t>בדיקה</t>
  </si>
  <si>
    <t>השפעת ערעור</t>
  </si>
  <si>
    <t>אופן הטיפול בערעורים:</t>
  </si>
  <si>
    <t>לפני ערעור</t>
  </si>
  <si>
    <t>הפרש בגין ערעור</t>
  </si>
  <si>
    <t>שם המוסד</t>
  </si>
  <si>
    <t>הוצאה שדווחה</t>
  </si>
  <si>
    <t>הוצאה בכרטסת</t>
  </si>
  <si>
    <t>הוצאה בדוח עלות</t>
  </si>
  <si>
    <t>הוצאה בדוח ריכוז משכורות</t>
  </si>
  <si>
    <t xml:space="preserve">בדיקת שכר </t>
  </si>
  <si>
    <t>סכום לא מאושר</t>
  </si>
  <si>
    <t>תוצאה</t>
  </si>
  <si>
    <t>גננת</t>
  </si>
  <si>
    <t>סייעת ממשיכה</t>
  </si>
  <si>
    <t>סייעת רפואית/אישית</t>
  </si>
  <si>
    <t>180 ₪ ליום</t>
  </si>
  <si>
    <t>75 ₪ ליום</t>
  </si>
  <si>
    <t>עמודות בדיקה לחישוב קיזוז בגין ליקויים או חוסרים - מחושב באופן אוטומטי</t>
  </si>
  <si>
    <t>כמות ילדים</t>
  </si>
  <si>
    <t>בקרה בתוספת 25%</t>
  </si>
  <si>
    <t>תקצוב (הנמוך)</t>
  </si>
  <si>
    <r>
      <t xml:space="preserve">1. יש לערוך את השינוי הנדרש ולצבוע אותו </t>
    </r>
    <r>
      <rPr>
        <u/>
        <sz val="11"/>
        <rFont val="David"/>
        <family val="2"/>
      </rPr>
      <t>בצהוב</t>
    </r>
    <r>
      <rPr>
        <sz val="11"/>
        <rFont val="David"/>
        <family val="2"/>
      </rPr>
      <t xml:space="preserve">.
2. יש להעתיק את עמודה </t>
    </r>
    <r>
      <rPr>
        <u/>
        <sz val="11"/>
        <rFont val="David"/>
        <family val="2"/>
      </rPr>
      <t>V</t>
    </r>
    <r>
      <rPr>
        <sz val="11"/>
        <rFont val="David"/>
        <family val="2"/>
      </rPr>
      <t xml:space="preserve"> ולהדביק ערכים בעמודה U. 
יש להחליף ערכים בעמודה U  "לאחר" = "לפני".
3. בעמודה AD ניתן לראות את ההשפעה הכספית של הערעור.</t>
    </r>
  </si>
  <si>
    <t>סה"כ תקציב נטו</t>
  </si>
  <si>
    <t>תקציב לילד</t>
  </si>
  <si>
    <t>תקציב למוסד</t>
  </si>
  <si>
    <t>סה"כ ליום</t>
  </si>
  <si>
    <t>סה"כ ל-15 ימים</t>
  </si>
  <si>
    <t>סיבה לאי ביצוע בקרה</t>
  </si>
  <si>
    <t>בקרות -  יש לוודא כי לא קיימות שורות עם התראה</t>
  </si>
  <si>
    <t>בקרת מילוי מס' ימי פעילות</t>
  </si>
  <si>
    <t>סמל מוטב קצר</t>
  </si>
  <si>
    <t>שנה</t>
  </si>
  <si>
    <t>שער השומרון</t>
  </si>
  <si>
    <t>חב"ד נתיבות</t>
  </si>
  <si>
    <t>קול יעקב ב'</t>
  </si>
  <si>
    <t>עציון ע"ש הרב דרוקמן</t>
  </si>
  <si>
    <t>שיח' סלימאן גבועה</t>
  </si>
  <si>
    <t>האופק</t>
  </si>
  <si>
    <t>ממ"ד הרצוג</t>
  </si>
  <si>
    <t>קול אליהו</t>
  </si>
  <si>
    <t>עיר ימים</t>
  </si>
  <si>
    <t>חמ"ד עיר היין</t>
  </si>
  <si>
    <t>יסודי אתגרי העתיד</t>
  </si>
  <si>
    <t>הדו לשוני</t>
  </si>
  <si>
    <t>אור לטף</t>
  </si>
  <si>
    <t>ילדי מוהראש</t>
  </si>
  <si>
    <t>ב"י אוהל אסתר ויז'ניץ</t>
  </si>
  <si>
    <t>מעלות אסתר</t>
  </si>
  <si>
    <t>בית יעקב יסודי רכסים</t>
  </si>
  <si>
    <t>תשב"ר יקירי רכסים</t>
  </si>
  <si>
    <t>ת"ת נתיבות משה קדימה</t>
  </si>
  <si>
    <t>שובו בית שמש</t>
  </si>
  <si>
    <t>תורת אמך</t>
  </si>
  <si>
    <t>מתיקות החינוך</t>
  </si>
  <si>
    <t>בית יעקב "דרך אמונה" רמה ג'2</t>
  </si>
  <si>
    <t>בית יעקב בעש"ט בנות</t>
  </si>
  <si>
    <t>בית יעקב בעש"ט בנים</t>
  </si>
  <si>
    <t>אור החיים</t>
  </si>
  <si>
    <t>בית יעקב סלונים ק. גת</t>
  </si>
  <si>
    <t>ת"ת וב"י אלומות רחל נתיבות משה</t>
  </si>
  <si>
    <t>גדולת יעקב</t>
  </si>
  <si>
    <t>ת"ת וב"י "אורות" נפש אורל</t>
  </si>
  <si>
    <t>ביס לבנות אורה ושמחה</t>
  </si>
  <si>
    <t>בית יעקב נוה יעקב טב</t>
  </si>
  <si>
    <t>שלהבות חב"ד - קטמון</t>
  </si>
  <si>
    <t>חסידי עמנואל</t>
  </si>
  <si>
    <t>ת"ת נטעי מאיר 2</t>
  </si>
  <si>
    <t>ב"י "איילת השחר" הגבעה המזרחית</t>
  </si>
  <si>
    <t>בית יעקב מרכז חיפה</t>
  </si>
  <si>
    <t>ת"ת וב"י תנופה בשערי תורה</t>
  </si>
  <si>
    <t>מעלות גרשון</t>
  </si>
  <si>
    <t>ת"ת בני ציון</t>
  </si>
  <si>
    <t>בנות יעל</t>
  </si>
  <si>
    <t>בית חינוך חב"ד בנים</t>
  </si>
  <si>
    <t>בראשית בנים</t>
  </si>
  <si>
    <t>בית יעקב מרכז רחובות</t>
  </si>
  <si>
    <t>פנינים</t>
  </si>
  <si>
    <t>ת"ת וב"י חורב רמת גן</t>
  </si>
  <si>
    <t>ב"י שערי שמחה נתיבות משה</t>
  </si>
  <si>
    <t>מיצד לבנות</t>
  </si>
  <si>
    <t>ארץ הצבר</t>
  </si>
  <si>
    <t>ארץ הצבי</t>
  </si>
  <si>
    <t>צבר ממ"ד</t>
  </si>
  <si>
    <t>נווה הראל</t>
  </si>
  <si>
    <t>נווה השחר</t>
  </si>
  <si>
    <t>נוה עציון</t>
  </si>
  <si>
    <t>שובך</t>
  </si>
  <si>
    <t>אבדאאע</t>
  </si>
  <si>
    <t>צור באהר מעורב</t>
  </si>
  <si>
    <t>איליאא</t>
  </si>
  <si>
    <t>בין הפרדסים</t>
  </si>
  <si>
    <t>עומר אבן אלחטאב</t>
  </si>
  <si>
    <t>בית חינוך עוז</t>
  </si>
  <si>
    <t>בית חינוך שיא ע"ש אורה הרצוג</t>
  </si>
  <si>
    <t>בית חינוך אסף</t>
  </si>
  <si>
    <t>עמיחי</t>
  </si>
  <si>
    <t>אורנה פורת</t>
  </si>
  <si>
    <t>אומניות ע"ש חיים ואורה הרצוג</t>
  </si>
  <si>
    <t>רמון למדעים-טק</t>
  </si>
  <si>
    <t>יסודי ג' ע"ש שיח' יחיא מוחמד</t>
  </si>
  <si>
    <t>כסולות</t>
  </si>
  <si>
    <t>יסודי אלאשראק עין קניה</t>
  </si>
  <si>
    <t>גש"ר ע"ש שירלי לואי</t>
  </si>
  <si>
    <t>בית חינוך רעות</t>
  </si>
  <si>
    <t>הנרייטה סאלד</t>
  </si>
  <si>
    <t>חמ"ד אפיקים</t>
  </si>
  <si>
    <t>נתן אלבז</t>
  </si>
  <si>
    <t>רמת אפעל ע"ש א.קופלמן</t>
  </si>
  <si>
    <t>נבון</t>
  </si>
  <si>
    <t>פוטנציאל חנ"מ</t>
  </si>
  <si>
    <t>בקרת מילוי מס' ימי פעילות - עמודה M</t>
  </si>
  <si>
    <r>
      <t xml:space="preserve">בכל שורה בטבלה, יש למלא את התא </t>
    </r>
    <r>
      <rPr>
        <u/>
        <sz val="12"/>
        <color rgb="FF000000"/>
        <rFont val="David"/>
        <family val="2"/>
      </rPr>
      <t>בעמודה I</t>
    </r>
    <r>
      <rPr>
        <sz val="12"/>
        <color indexed="8"/>
        <rFont val="David"/>
        <family val="2"/>
      </rPr>
      <t xml:space="preserve"> רק לאחר מילוי התא </t>
    </r>
    <r>
      <rPr>
        <u/>
        <sz val="12"/>
        <color rgb="FF000000"/>
        <rFont val="David"/>
        <family val="2"/>
      </rPr>
      <t>בעמודה H</t>
    </r>
    <r>
      <rPr>
        <sz val="12"/>
        <color rgb="FF000000"/>
        <rFont val="David"/>
        <family val="2"/>
      </rPr>
      <t>.</t>
    </r>
    <r>
      <rPr>
        <sz val="12"/>
        <color indexed="8"/>
        <rFont val="David"/>
        <family val="2"/>
      </rPr>
      <t xml:space="preserve">
בעמודות אלו </t>
    </r>
    <r>
      <rPr>
        <b/>
        <sz val="12"/>
        <color indexed="8"/>
        <rFont val="David"/>
        <family val="2"/>
      </rPr>
      <t>יש לבחור את סוג איש הצוות ואת התפקיד מתוך הרשימה הנפתחת, סעיפים שיירשמו באופן שונה לא ייכנסו לחישוב התשלום בגיליון (9).</t>
    </r>
    <r>
      <rPr>
        <sz val="12"/>
        <color indexed="8"/>
        <rFont val="David"/>
        <family val="2"/>
      </rPr>
      <t xml:space="preserve">
יש לשים לב שחלק מהתאים בעמודה I ימולאו באופן אוטומטי ללא צורך בבחירה מתוך הרשימה הנפתחת (התאים ייצבעו בלבן אוטומטית).</t>
    </r>
  </si>
  <si>
    <t>לגבי "מלגות להורים" - יש לרשום את הסכום הכולל שהרשות חילקה להורים כמלגות ושימשו למימון התכנית במקום תשלומי הורים. בכלל זה, גם סכומי המלגות שמתוקצבות ע"י משרד החינוך.</t>
  </si>
  <si>
    <r>
      <t xml:space="preserve">סה"כ לתשלום </t>
    </r>
    <r>
      <rPr>
        <b/>
        <sz val="13"/>
        <color rgb="FF000000"/>
        <rFont val="David"/>
        <family val="2"/>
      </rPr>
      <t>בתוספת גמישות 25% במעבר בין הסלים</t>
    </r>
    <r>
      <rPr>
        <b/>
        <sz val="13"/>
        <color indexed="8"/>
        <rFont val="David"/>
        <family val="2"/>
      </rPr>
      <t xml:space="preserve"> </t>
    </r>
  </si>
  <si>
    <t>סייעת</t>
  </si>
  <si>
    <t>סייעת רפואית או אישית</t>
  </si>
  <si>
    <t>בקרת רכזות בתי ספר (גדול מ-1 בכל בית ספר)</t>
  </si>
  <si>
    <t>בקרת סגנית רכזת בתי ספר (גדול מ-1 בכל בית ספר)</t>
  </si>
  <si>
    <t>בקרת תשלום שכר למורה/רכזת/סגנית רכזת- נמוך מ-75 ש"ח לשעה</t>
  </si>
  <si>
    <t>בקרת ברוטו שעתי- לא חרג מ-120 ש"ח</t>
  </si>
  <si>
    <t>עזר- רכזת</t>
  </si>
  <si>
    <t>עזר- סגנית</t>
  </si>
  <si>
    <t>עזר- רכזות</t>
  </si>
  <si>
    <t>עזר- שכר</t>
  </si>
  <si>
    <t>נווה צדק</t>
  </si>
  <si>
    <t>שלהבת</t>
  </si>
  <si>
    <t>בית חינוך רבין</t>
  </si>
  <si>
    <t>יסודי אלמוכתאר</t>
  </si>
  <si>
    <t>ב"י בנות אסתר קרטשנוף</t>
  </si>
  <si>
    <t>ת"ת ובי' נתיבות משה</t>
  </si>
  <si>
    <t>ב"י ראשל"צ</t>
  </si>
  <si>
    <t>בית יעקב ראה"ע</t>
  </si>
  <si>
    <t>תל חי-קרית שמונה</t>
  </si>
  <si>
    <t>חב"ד בנים חדש</t>
  </si>
  <si>
    <t>אוהל חסיה טלזסטון</t>
  </si>
  <si>
    <t>צל אורנים</t>
  </si>
  <si>
    <t>אמת ואמונה חניכי הישיבות</t>
  </si>
  <si>
    <t>בית יוכבד חסידי גור</t>
  </si>
  <si>
    <t>ת"ת ובי' חזון יחזקאל</t>
  </si>
  <si>
    <t>אפרים בן דוד</t>
  </si>
  <si>
    <t>ת"ת גור ק. גת</t>
  </si>
  <si>
    <t>שלהבות- חב"ד קריית ביאליק</t>
  </si>
  <si>
    <t>יסודי גבעת טל</t>
  </si>
  <si>
    <t>ביה"ס יסודי ע"ש גולדה מאיר</t>
  </si>
  <si>
    <t>ת"ת גור ערד</t>
  </si>
  <si>
    <t>אלפורעה ג' ע"ש הרצוג חיים</t>
  </si>
  <si>
    <t>מרום</t>
  </si>
  <si>
    <t>תת ובי כפר גדעון</t>
  </si>
  <si>
    <t>כלל חסידי עמנואל</t>
  </si>
  <si>
    <t>ת"ת עכו צפון</t>
  </si>
  <si>
    <t>ב"י עכו ציבורי</t>
  </si>
  <si>
    <t>אורות רש"י</t>
  </si>
  <si>
    <t>אורחות יצחק שערי ציון</t>
  </si>
  <si>
    <t>עמיטל</t>
  </si>
  <si>
    <t>ב"י נתיבות נוה יעקב</t>
  </si>
  <si>
    <t>חיים הרצוג</t>
  </si>
  <si>
    <t>חמ"ד נווה שרון</t>
  </si>
  <si>
    <t>בניהו</t>
  </si>
  <si>
    <t>בית מלכה הר יונה</t>
  </si>
  <si>
    <t>תורני חסידי</t>
  </si>
  <si>
    <t>לב החורש</t>
  </si>
  <si>
    <t>ת"ת איילת השחר</t>
  </si>
  <si>
    <t>בית יעקב קרית ספר</t>
  </si>
  <si>
    <t>ברכפלד חדש</t>
  </si>
  <si>
    <t>תשב"ר הגבעה הדרומית</t>
  </si>
  <si>
    <t>חב"ד גני איילון בנים</t>
  </si>
  <si>
    <t>ממ"ח תורני לבנות</t>
  </si>
  <si>
    <t>חב"ד גני איילון בנות</t>
  </si>
  <si>
    <t>ת"ת וב"י עמיחי כרמיא</t>
  </si>
  <si>
    <t>בית חינוך ע"ש אורנה פורת</t>
  </si>
  <si>
    <t>בית יעקב נתיב בתיה קארו</t>
  </si>
  <si>
    <t>בית יעקב נוה יעקב</t>
  </si>
  <si>
    <t>בית יעקב נווה בת שבע</t>
  </si>
  <si>
    <t>דרכי נועם</t>
  </si>
  <si>
    <t>בית יעקב גילה</t>
  </si>
  <si>
    <t>ת"ת ובי' נר ישראל</t>
  </si>
  <si>
    <t>דעת ותבונה מסורת אבות</t>
  </si>
  <si>
    <t>תפארת יוחנן</t>
  </si>
  <si>
    <t>פוריה עמלי תורה</t>
  </si>
  <si>
    <t>מעוף</t>
  </si>
  <si>
    <t>לבי"א</t>
  </si>
  <si>
    <t>ב"י גור חיפה</t>
  </si>
  <si>
    <t>יסודי קיסריה</t>
  </si>
  <si>
    <t>אדוות גיא</t>
  </si>
  <si>
    <t>ב"י נר שמואל</t>
  </si>
  <si>
    <t>שיר השירים</t>
  </si>
  <si>
    <t>ב"י מעלה עמוס</t>
  </si>
  <si>
    <t>באר מנחם</t>
  </si>
  <si>
    <t>ת"ת מרכז ב"ב</t>
  </si>
  <si>
    <t>ב"י יהודה הנשיא</t>
  </si>
  <si>
    <t>תפארת תמר</t>
  </si>
  <si>
    <t>מוסדות חסידי בעלזא בני ברק</t>
  </si>
  <si>
    <t>בית יעקב אילת השחר</t>
  </si>
  <si>
    <t>שלהבת ביתר עלית</t>
  </si>
  <si>
    <t>אוהלי תפארת משה</t>
  </si>
  <si>
    <t>ב"י בנות ויזניץ</t>
  </si>
  <si>
    <t>ת"ת חשקת התורה</t>
  </si>
  <si>
    <t>בנות שירה</t>
  </si>
  <si>
    <t>בני ישראל</t>
  </si>
  <si>
    <t>בנות הינדא</t>
  </si>
  <si>
    <t>ברכת יצחק</t>
  </si>
  <si>
    <t>המסילה -נתיבות משה</t>
  </si>
  <si>
    <t>גפן</t>
  </si>
  <si>
    <t>בית מלכה</t>
  </si>
  <si>
    <t>בי"ס לבנות ב"י אידיש</t>
  </si>
  <si>
    <t>בית יעקב גור רובע ו</t>
  </si>
  <si>
    <t>בית מלכה רובע ג</t>
  </si>
  <si>
    <t>ב"י החדש</t>
  </si>
  <si>
    <t>דרכי אבות אלעד</t>
  </si>
  <si>
    <t>הוצאות פעילות</t>
  </si>
  <si>
    <t>הוצאות פעילות ללא מלגות</t>
  </si>
  <si>
    <t>גני תקווה</t>
  </si>
  <si>
    <t>בועיינה נוג'ידאת</t>
  </si>
  <si>
    <t>גן רווה</t>
  </si>
  <si>
    <t>תקצוב עבור סייעות רפואיות/ אישיות</t>
  </si>
  <si>
    <t xml:space="preserve">מספר סייעות רפואיות/אישיות שהועסקו </t>
  </si>
  <si>
    <t>תקצוב משרד החינוך</t>
  </si>
  <si>
    <t>תשלום</t>
  </si>
  <si>
    <t>מעמד</t>
  </si>
  <si>
    <t>ת.ז סייעת רפואית/אישית</t>
  </si>
  <si>
    <t>שכר ברוטו ליום</t>
  </si>
  <si>
    <t>מס' ימי העסקה</t>
  </si>
  <si>
    <t>סה"כ שכר ברוטו לתקופה</t>
  </si>
  <si>
    <t>בדיקת כפילויות</t>
  </si>
  <si>
    <t>מס' יחידות לתשלום</t>
  </si>
  <si>
    <t>ת.ז תלמיד</t>
  </si>
  <si>
    <t>סה"כ שכר שדווח</t>
  </si>
  <si>
    <t>תוספת סייעות רפואיות או אישיות</t>
  </si>
  <si>
    <t xml:space="preserve">תכנית בתי הספר והגנים של החופש הגדול, קיץ תשפ"ו </t>
  </si>
  <si>
    <r>
      <rPr>
        <b/>
        <sz val="12"/>
        <color theme="1"/>
        <rFont val="David"/>
        <family val="2"/>
      </rPr>
      <t>דוח ריכוז משכורות</t>
    </r>
    <r>
      <rPr>
        <sz val="12"/>
        <color theme="1"/>
        <rFont val="David"/>
        <family val="2"/>
      </rPr>
      <t xml:space="preserve"> – דוח </t>
    </r>
    <r>
      <rPr>
        <u/>
        <sz val="12"/>
        <color theme="1"/>
        <rFont val="David"/>
        <family val="2"/>
      </rPr>
      <t>מרוכז</t>
    </r>
    <r>
      <rPr>
        <sz val="12"/>
        <color theme="1"/>
        <rFont val="David"/>
        <family val="2"/>
      </rPr>
      <t xml:space="preserve"> </t>
    </r>
    <r>
      <rPr>
        <u/>
        <sz val="12"/>
        <color theme="1"/>
        <rFont val="David"/>
        <family val="2"/>
      </rPr>
      <t>לכלל העובדים</t>
    </r>
    <r>
      <rPr>
        <sz val="12"/>
        <color theme="1"/>
        <rFont val="David"/>
        <family val="2"/>
      </rPr>
      <t xml:space="preserve"> המכיל פירוט של כל רכיבי השכר ששולמו לעובדים בחודש הקייטנה – יולי 2026, בהתאמה לנתונים שדווחו בדוח ביצוע. 
יצוין כי כל תוכנה מגדירה את הדוח בשם אחר (לדוגמא: דוח חזותי, ריכוז תלושים, דוח רכיבי שכר) ולכן נא להתייחס לרכיבים הנדרשים בדוח. </t>
    </r>
  </si>
  <si>
    <r>
      <rPr>
        <b/>
        <sz val="12"/>
        <color theme="1"/>
        <rFont val="David"/>
        <family val="2"/>
      </rPr>
      <t>כרטסת העשרה</t>
    </r>
    <r>
      <rPr>
        <sz val="12"/>
        <color theme="1"/>
        <rFont val="David"/>
        <family val="2"/>
      </rPr>
      <t xml:space="preserve"> – 
א. כרטסת הנהלת חשבונות נפרדת המכילה את הוצאות העשרה </t>
    </r>
    <r>
      <rPr>
        <u/>
        <sz val="12"/>
        <color theme="1"/>
        <rFont val="David"/>
        <family val="2"/>
      </rPr>
      <t>בהתאמה</t>
    </r>
    <r>
      <rPr>
        <sz val="12"/>
        <color theme="1"/>
        <rFont val="David"/>
        <family val="2"/>
      </rPr>
      <t xml:space="preserve"> לסכום שדווח בדוח ביצוע. הכרטסת צריכה להכיל את פירוט מהות ההוצאות ושמות הספקים של כל חשבונית. 
ב. ההוצאות צריכות להתבצע בחודש הפעילות – חודש יולי 2026. במידה וההוצאות רשומות במועדים אחרים יש לצרף הסבר.</t>
    </r>
  </si>
  <si>
    <t>תכנית בתי הספר והגנים של החופש הגדול, קיץ תשפ"ו</t>
  </si>
  <si>
    <t>יש לרשום מייל מפורט לכתובת: hofesh-gadol26@cdk-cpa.co.il</t>
  </si>
  <si>
    <t>נתוני רישום (01.07.26-21.07.26)</t>
  </si>
  <si>
    <t>מפעילי התכנית</t>
  </si>
  <si>
    <t xml:space="preserve">יש למלא קודם את גיליון " נתונים כלליים (1)"
</t>
  </si>
  <si>
    <t>ואת גיליון  "דוח ביצוע (3)"</t>
  </si>
  <si>
    <r>
      <t xml:space="preserve">לתלמיד ל- </t>
    </r>
    <r>
      <rPr>
        <b/>
        <sz val="11"/>
        <rFont val="David"/>
        <family val="2"/>
      </rPr>
      <t>7</t>
    </r>
    <r>
      <rPr>
        <sz val="11"/>
        <rFont val="David"/>
        <family val="2"/>
      </rPr>
      <t xml:space="preserve"> ימים</t>
    </r>
  </si>
  <si>
    <r>
      <t xml:space="preserve">כוללת למסגרת של </t>
    </r>
    <r>
      <rPr>
        <b/>
        <sz val="11"/>
        <rFont val="David"/>
        <family val="2"/>
      </rPr>
      <t>28</t>
    </r>
    <r>
      <rPr>
        <sz val="11"/>
        <rFont val="David"/>
        <family val="2"/>
      </rPr>
      <t xml:space="preserve"> תלמידים</t>
    </r>
  </si>
  <si>
    <r>
      <t xml:space="preserve">כוללת למסגרת של </t>
    </r>
    <r>
      <rPr>
        <b/>
        <sz val="11"/>
        <rFont val="David"/>
        <family val="2"/>
      </rPr>
      <t>8</t>
    </r>
    <r>
      <rPr>
        <sz val="11"/>
        <rFont val="David"/>
        <family val="2"/>
      </rPr>
      <t xml:space="preserve"> תלמידים</t>
    </r>
  </si>
  <si>
    <t>הרחבה</t>
  </si>
  <si>
    <t>בי"ס רגיל עד 150 תלמידים- הרחבה</t>
  </si>
  <si>
    <t>לבי"ס ל- 7 ימים</t>
  </si>
  <si>
    <t>בי"ס גדול מעל 150 תלמידים- הרחבה</t>
  </si>
  <si>
    <t>אחוז הסבסוד חינוך רגיל-הרחבה</t>
  </si>
  <si>
    <t>סבסוד המשרד - חינוך רגיל -הרחבה</t>
  </si>
  <si>
    <t>גבייה מההורים - הרחבה</t>
  </si>
  <si>
    <t>בגיליון זה אין צורך להזין נתונים!</t>
  </si>
  <si>
    <t>סמל בית ספר בו מתקיימת הפעילות לפי נתוני הרשמה</t>
  </si>
  <si>
    <t>מלגות</t>
  </si>
  <si>
    <t>את גיליון  " דוח ביצוע (3)" ואת גיליון "דוח הוצאות בפועל (4)"</t>
  </si>
  <si>
    <t>סה"כ אנשי צוות שדווחו</t>
  </si>
  <si>
    <t>סה"כ מוסדות שדווח עבורם הוצאות שכר</t>
  </si>
  <si>
    <t>בהתאם לסעיף ג.2.ב. בקול קורא איוש רכז/ת וסגן/נית רכז/ת הינם תנאי סף לתקצוב התוכנית כולה</t>
  </si>
  <si>
    <t>יש להקפיד למלא את הגיליונות לפי סדר הצגתם בדוח מגיליון 1 עד גיליון 7.</t>
  </si>
  <si>
    <t>יש לבחור את שם הרשות מהרשימה הנפתחת.</t>
  </si>
  <si>
    <t>יש למלא נתוני אנשי קשר- גזבר ומנהל מחלקת חינוך. לתשומת לב, לכתובות מייל אלו יישלחו המכתבים.</t>
  </si>
  <si>
    <t>מצבת והרשמה (2)</t>
  </si>
  <si>
    <t>הגיליון כולו מוזן באופן אוטומטי.</t>
  </si>
  <si>
    <t xml:space="preserve"> דוח ביצוע (3)</t>
  </si>
  <si>
    <t>יש לבחור מרשימה נפתחת את מפעיל התוכנית.</t>
  </si>
  <si>
    <t>דוח הוצאות בפועל (4)</t>
  </si>
  <si>
    <r>
      <rPr>
        <sz val="12"/>
        <color rgb="FF000000"/>
        <rFont val="David"/>
        <family val="2"/>
      </rPr>
      <t>בעמודה  B - "סמל מוסד מקום הפעילות"</t>
    </r>
    <r>
      <rPr>
        <sz val="12"/>
        <color indexed="8"/>
        <rFont val="David"/>
        <family val="2"/>
      </rPr>
      <t xml:space="preserve"> - יש לבחור סמל מוסד מהרשימה הנפתחת.</t>
    </r>
  </si>
  <si>
    <t>תשלומי הורים ומלגות להורים (5)</t>
  </si>
  <si>
    <t>הסכום שחולק כמלגות להורים, מועבר מגיליון דוח הוצאות בפועל (4), כאמור לעיל.</t>
  </si>
  <si>
    <t>עלויות כח אדם (6)</t>
  </si>
  <si>
    <t>בקרת כפילות מילוי מוסדות</t>
  </si>
  <si>
    <t>בקרת אי מילוי תלמידים</t>
  </si>
  <si>
    <t>את הוצאות השכר יש לדווח בגיליון נפרד - 'עלויות כח אדם (6)'</t>
  </si>
  <si>
    <t>סייעות רפואיות או אישיות (7)</t>
  </si>
  <si>
    <t>איוש משרות (8)</t>
  </si>
  <si>
    <t>תקצוב לפי מוסד (9)</t>
  </si>
  <si>
    <t>בדיקת תקינות</t>
  </si>
  <si>
    <t>מקרא צבעים:</t>
  </si>
  <si>
    <t>תא קלט - יש למלא</t>
  </si>
  <si>
    <t>תא מחושב/נעול - אין לערוך</t>
  </si>
  <si>
    <t>שגיאה / לא תקין</t>
  </si>
  <si>
    <t>#</t>
  </si>
  <si>
    <t>שלב / גיליון</t>
  </si>
  <si>
    <t>הסבר קצר</t>
  </si>
  <si>
    <t>מתעדכן אוטומטית - אין למלא</t>
  </si>
  <si>
    <t>נבדק אוטומטית - אין למלא</t>
  </si>
  <si>
    <t>גיליון מחושב ונעול - לעיון בלבד</t>
  </si>
  <si>
    <t>סטטוס מילוי</t>
  </si>
  <si>
    <t>הנחיות מפורטות</t>
  </si>
  <si>
    <t>תוכן העניינים</t>
  </si>
  <si>
    <t>הנחיות כלליות</t>
  </si>
  <si>
    <t>הנחיות למילוי הדוח</t>
  </si>
  <si>
    <t>שם גיליון</t>
  </si>
  <si>
    <t>מספר ילדים לתשלום</t>
  </si>
  <si>
    <t>כמות מוסדות לדגימה</t>
  </si>
  <si>
    <t>עובד מטפל</t>
  </si>
  <si>
    <t>מוסדות שנותרו לדגימה</t>
  </si>
  <si>
    <t>שם הסל</t>
  </si>
  <si>
    <t>בקרה</t>
  </si>
  <si>
    <t>ההסבר לקיזוז</t>
  </si>
  <si>
    <t>הסבר ידני- רק במידה ואין שום הסבר אחר</t>
  </si>
  <si>
    <t>ל"ר</t>
  </si>
  <si>
    <t>השפעה כספית- סכום לקיזוז</t>
  </si>
  <si>
    <t>כרטסת שהוגשה נמוכה מדיווח</t>
  </si>
  <si>
    <t>דוח עלות נמוך מדיווח</t>
  </si>
  <si>
    <t>כן</t>
  </si>
  <si>
    <t>לא הוגשה כרטסת</t>
  </si>
  <si>
    <t>רשימה נפתחת</t>
  </si>
  <si>
    <r>
      <t>האם המוסד נדגם?</t>
    </r>
    <r>
      <rPr>
        <b/>
        <sz val="11"/>
        <color theme="4"/>
        <rFont val="David"/>
        <family val="2"/>
      </rPr>
      <t xml:space="preserve"> (יש לציין "כן" בכל מענה שנבדק)</t>
    </r>
  </si>
  <si>
    <t>בדיקת גביה ומלגות</t>
  </si>
  <si>
    <t>רכז רשותי</t>
  </si>
  <si>
    <t>סה"כ שכר רכז רשותי שדווח</t>
  </si>
  <si>
    <t xml:space="preserve">  נתוני הרשמה מגליון מצבת והרשמה (2)</t>
  </si>
  <si>
    <t>הוצאה מאושרת</t>
  </si>
  <si>
    <t>תקין</t>
  </si>
  <si>
    <t>ליקויים בבקרת שכר</t>
  </si>
  <si>
    <t>כפילות עובדים</t>
  </si>
  <si>
    <t>הוצאה לא מאושרת בסל זה</t>
  </si>
  <si>
    <t>לא תואם לתוכנית העבודה שאושרה</t>
  </si>
  <si>
    <t>חשבונית שהוגשה אינה תקינה</t>
  </si>
  <si>
    <t xml:space="preserve">בכרטסת שהוגשה אין נתוני מס' ילדים שניתנה המילגה </t>
  </si>
  <si>
    <t>הדוח גביה שהוגש איננו ממערכת גביה</t>
  </si>
  <si>
    <t xml:space="preserve">הדוח גביה שהוגש אינו כולל נתוני מס' ילדים </t>
  </si>
  <si>
    <t>ליקויים בבקרת גביה ומלגות</t>
  </si>
  <si>
    <t>לא תקין</t>
  </si>
  <si>
    <t>תקופת הפעילות</t>
  </si>
  <si>
    <t>האם הופעל קיץ פלוס בבית הספר?</t>
  </si>
  <si>
    <t>נתוני רישום ד-ו</t>
  </si>
  <si>
    <t>תוספת תקצוב רכז בית ספר ד-ו</t>
  </si>
  <si>
    <t>לבי"ס ל- 15 ימים (20 ימים תוספת שכר רכז ד-ו)</t>
  </si>
  <si>
    <t>תקורה שכר רכז</t>
  </si>
  <si>
    <t>תוספת תקצוב תקורה רכז בית ספר ד-ו</t>
  </si>
  <si>
    <t>להלן רשימת מסמכים הנדרשים לצורך קבלת תקצוב ברשויות עבור תוכנית "הגנים ובית הספר של החופש הגדול" תשפ"ו בגני הילדים ובכיתות א-ג:</t>
  </si>
  <si>
    <t>בקרה ג.2.ב</t>
  </si>
  <si>
    <t>עפ"י סעיף ג.1.ד.1 לקול קורא לתלמידים עם זכאות לסל אישי ו/או זכאות לסייעת רפואית, בגן/בכיתה לחינוך רגיל, שמקבלים בפועל תמיכה מסוג סיוע לאורך השנה, תתאפשר סייעת אישית גם במהלך הפעילות בחופשה בהיקף שעות שבועיות דומה לזה שהיה במהלך השנה. עלות תגמול הנוסף לסייעת אישית (שצמודה לילד) הינה 75 ש"ח ליום (מעבר לשכרה שמשולם עבור תקופה זו).</t>
  </si>
  <si>
    <t>תוכנית הגנים ובתי הספר של החופש הגדול - תשפ"ו | תוכן עניינים</t>
  </si>
  <si>
    <t>יש לעדכן פרטי רשות, אנשי קשר וגופים מפעילים</t>
  </si>
  <si>
    <t xml:space="preserve">דיווח הוצאות בפועל לפי מהות ההוצאה </t>
  </si>
  <si>
    <t>דייוח גבייה מהורים ומלגות שניתנו</t>
  </si>
  <si>
    <t>דיווח כח אדם שהועסק בתוכנית, תפקידים ושעות</t>
  </si>
  <si>
    <t>דיווח פרטי סייעות רפואיות שהועסקו בתכנית</t>
  </si>
  <si>
    <t xml:space="preserve">דיווח סמלי מוסד שהשתתפו בתוכנית, מספר ילדים ומפעיל </t>
  </si>
  <si>
    <t>יש למלא את הגיליונות לפי הסדר המוצג מטה (שלב 1 עד 9). לחצו על שם הגיליון למעבר ישיר.</t>
  </si>
  <si>
    <t>מפתח עלות לתלמיד - כל האשכולות כולל גבייה מהורים</t>
  </si>
  <si>
    <t>בית ספר - עלות לתלמיד</t>
  </si>
  <si>
    <t xml:space="preserve">בית ספר תקציב קבוע למוסד </t>
  </si>
  <si>
    <t>תוספת שכר רכז -קיץ פלוס ד-ו  (רק במוסדות רשמי)</t>
  </si>
  <si>
    <t xml:space="preserve">ניהול ותפעול </t>
  </si>
  <si>
    <r>
      <rPr>
        <b/>
        <sz val="12"/>
        <color theme="1"/>
        <rFont val="David"/>
        <family val="2"/>
      </rPr>
      <t>כרטסת ניהול ותפעול</t>
    </r>
    <r>
      <rPr>
        <sz val="12"/>
        <color theme="1"/>
        <rFont val="David"/>
        <family val="2"/>
      </rPr>
      <t xml:space="preserve"> – 
א. כרטסת הנהלת חשבונות נפרדת המכילה את הוצאות הניהול והתפעול </t>
    </r>
    <r>
      <rPr>
        <u/>
        <sz val="12"/>
        <color theme="1"/>
        <rFont val="David"/>
        <family val="2"/>
      </rPr>
      <t>בהתאמה</t>
    </r>
    <r>
      <rPr>
        <sz val="12"/>
        <color theme="1"/>
        <rFont val="David"/>
        <family val="2"/>
      </rPr>
      <t xml:space="preserve"> לסכום שדווח בדוח ביצוע. הכרטסת צריכה להכיל את פירוט מהות ההוצאות ושמות הספקים של כל חשבונית. 
ב. ההוצאות צריכות להתבצע בחודש הפעילות – חודש יולי 2026. במידה וההוצאות רשומות במועדים אחרים יש לצרף הסבר.</t>
    </r>
  </si>
  <si>
    <r>
      <rPr>
        <sz val="12"/>
        <color rgb="FF000000"/>
        <rFont val="David"/>
        <family val="2"/>
      </rPr>
      <t>בעמודה  B - "סמל בי"ס בו מתקיימת הפעילות"</t>
    </r>
    <r>
      <rPr>
        <sz val="12"/>
        <color indexed="8"/>
        <rFont val="David"/>
        <family val="2"/>
      </rPr>
      <t xml:space="preserve"> - יש לבחור סמל מוסד מהרשימה הנפתחת. </t>
    </r>
    <r>
      <rPr>
        <b/>
        <sz val="12"/>
        <color indexed="8"/>
        <rFont val="David"/>
        <family val="2"/>
      </rPr>
      <t xml:space="preserve">יש להקפיד כי כל סמל מוסד יירשם פעם אחת בלבד. </t>
    </r>
    <r>
      <rPr>
        <sz val="12"/>
        <color indexed="8"/>
        <rFont val="David"/>
        <family val="2"/>
      </rPr>
      <t xml:space="preserve"> </t>
    </r>
  </si>
  <si>
    <r>
      <rPr>
        <u/>
        <sz val="12"/>
        <color rgb="FF000000"/>
        <rFont val="David"/>
        <family val="2"/>
      </rPr>
      <t>בעמודות G ו-H "ביצוע בפועל</t>
    </r>
    <r>
      <rPr>
        <sz val="12"/>
        <color indexed="8"/>
        <rFont val="David"/>
        <family val="2"/>
      </rPr>
      <t>" - יש למלא את מספר התלמידים עבורם הרשות דורשת תשלום.</t>
    </r>
  </si>
  <si>
    <r>
      <rPr>
        <u/>
        <sz val="12"/>
        <color rgb="FF000000"/>
        <rFont val="David"/>
        <family val="2"/>
      </rPr>
      <t>בעמודות  L, K "תקופת הפעילות"</t>
    </r>
    <r>
      <rPr>
        <sz val="12"/>
        <color indexed="8"/>
        <rFont val="David"/>
        <family val="2"/>
      </rPr>
      <t xml:space="preserve"> - יש לרשום את תאריכי הפתיחה והסגירה בבית הספר.</t>
    </r>
  </si>
  <si>
    <t>יש להקפיד ולערוך את הדוח אך ורק עפ"י ההוצאות והנתונים שנכללו במערכת הנהלת החשבונות של הרשות/ המפעיל. יש  למלא את מספר הסעיף התקציבי בו נרשמה ההוצאה בכל אחד מהסעיפים בדוח הביצוע הכספי.</t>
  </si>
  <si>
    <t>השורה הראשונה לדיווח (שורה 15 בגיליון מסומנת בצהוב חזק) מיועדת לדיווח עלות השכר של הרכז הרשותי</t>
  </si>
  <si>
    <t>סה"כ לתשלום בגין סייעות רפואיות/אישיות</t>
  </si>
  <si>
    <t>תשלום בגין רכז רשותי</t>
  </si>
  <si>
    <t xml:space="preserve">תקורה 7% </t>
  </si>
  <si>
    <t>לתשומת לביכם, התקציב המחושב הינו על פי דיווח הרשות, התקציב שיתקבל יתבסס בנוסף על ממוצע בקרות שטח שבוצעו למוסדות ובדיקת דוח הביצוע</t>
  </si>
  <si>
    <t>דיווח בגין רכז מוסדי בהתאם לסעיף ג.2 בקול הקורא, ככל שלא ניתן להעסיק את רכז כיתות א-ג במוסד, יהיה ניתן להעסיק רכז ייעודי . ככל שהועסק רכז יעודי יש לדווח את מלוא משרתו, התקציב ינתן בהתאם להנחיות ובעבור 1.5 שעות ליום. במידה ולא הועסק רכז מוסדי ייעודי הדיווח בגינו יעשה בדוח הביצוע לבתי הספר המוגש על ידי הרשות.</t>
  </si>
  <si>
    <t>מפתח השתתפויות לתלמיד גן</t>
  </si>
  <si>
    <t>מפתח השתתפויות לתלמיד בית ספר</t>
  </si>
  <si>
    <t xml:space="preserve">תקצוב עבור רכז רשותי </t>
  </si>
  <si>
    <t>עלות חודשית רכז</t>
  </si>
  <si>
    <t>מספר חודשי פעילות</t>
  </si>
  <si>
    <t>ס"ה תקציב רכז רשותי</t>
  </si>
  <si>
    <t>לבדוק שתקין</t>
  </si>
  <si>
    <t>האם פעלו פחות מ-15 יום</t>
  </si>
  <si>
    <t>מס' תלמידים מדווחים חינוך רגיל</t>
  </si>
  <si>
    <t>מס' תלמידים מדווחים חינוך מיוחד</t>
  </si>
  <si>
    <t>בית יעקב גבעת שאול</t>
  </si>
  <si>
    <t>ת"ת מורשה</t>
  </si>
  <si>
    <t>צלילי נעם</t>
  </si>
  <si>
    <t>אל-מוטראן</t>
  </si>
  <si>
    <t>יסודי עין נקובא</t>
  </si>
  <si>
    <t>שעפט לבנות א</t>
  </si>
  <si>
    <t>איברהמיה</t>
  </si>
  <si>
    <t>ת"ת במסילה נעלה</t>
  </si>
  <si>
    <t>טרה סנטה יסודי</t>
  </si>
  <si>
    <t>ת"ת תורני עץ החיים</t>
  </si>
  <si>
    <t>מנזר רוזרי</t>
  </si>
  <si>
    <t>צור באהר בנות</t>
  </si>
  <si>
    <t>תלמוד תורה דביר</t>
  </si>
  <si>
    <t>אמירה בסמא</t>
  </si>
  <si>
    <t>אל מדאר</t>
  </si>
  <si>
    <t>פריר בית חנינא</t>
  </si>
  <si>
    <t>אלחיה מעורב כפר עקב</t>
  </si>
  <si>
    <t>ביס שמידט קולג' בנות</t>
  </si>
  <si>
    <t>יסודי פסגות"-יראון</t>
  </si>
  <si>
    <t>כברי -מעיינות</t>
  </si>
  <si>
    <t>אלומות -עפולה</t>
  </si>
  <si>
    <t>שריד -שגיא</t>
  </si>
  <si>
    <t>הדקל -כרמיאל</t>
  </si>
  <si>
    <t>בית חינוך חב"ד</t>
  </si>
  <si>
    <t>תת חב"ד</t>
  </si>
  <si>
    <t>ת"ת נר הצפון</t>
  </si>
  <si>
    <t>ת"ת המאוחד</t>
  </si>
  <si>
    <t>חסד ורחמים</t>
  </si>
  <si>
    <t>שובו רננים נוף הגליל</t>
  </si>
  <si>
    <t>טרה סנטה נצרת</t>
  </si>
  <si>
    <t>ישוע הנער דון בוסקו</t>
  </si>
  <si>
    <t>סנט גוזף נצרת</t>
  </si>
  <si>
    <t>בפטיסטים</t>
  </si>
  <si>
    <t>אלאוסופיה</t>
  </si>
  <si>
    <t>יסודי ב' טורעאן</t>
  </si>
  <si>
    <t>יסודי טייבה העמק</t>
  </si>
  <si>
    <t>טמרה של העמק</t>
  </si>
  <si>
    <t>אחווה סמיע ע"ש ד"ר סלמאן פלאח</t>
  </si>
  <si>
    <t>יסודי מוקיבלה</t>
  </si>
  <si>
    <t>יסודי אלקנאטר מזרעה</t>
  </si>
  <si>
    <t>יסודי מעיליא</t>
  </si>
  <si>
    <t>ממלכתי נאעורה</t>
  </si>
  <si>
    <t>יסודי סנדלה</t>
  </si>
  <si>
    <t>ערב אלעראמשה</t>
  </si>
  <si>
    <t>ראס עלי ואלחואלד</t>
  </si>
  <si>
    <t>יסודי תרשיחא</t>
  </si>
  <si>
    <t>יסודי ע"ש שיח' אמין טריף</t>
  </si>
  <si>
    <t>גשרים</t>
  </si>
  <si>
    <t>סאלח שיח' אחמד</t>
  </si>
  <si>
    <t>ג'וסור</t>
  </si>
  <si>
    <t>תורת-משה שעי קול יעק</t>
  </si>
  <si>
    <t>יסודי אלאימאן לבנים</t>
  </si>
  <si>
    <t>יסודי אלאימאן בנות</t>
  </si>
  <si>
    <t>סמהר לבנות</t>
  </si>
  <si>
    <t>ג'רוזלם סקול יסודי</t>
  </si>
  <si>
    <t>תיכון סנט טרקמנצ'ץ</t>
  </si>
  <si>
    <t>אלמוסתקבל אלאהלייה</t>
  </si>
  <si>
    <t>ביה"ס אמליסון</t>
  </si>
  <si>
    <t>ניצני זבולון</t>
  </si>
  <si>
    <t>גבריאלי</t>
  </si>
  <si>
    <t>עציון</t>
  </si>
  <si>
    <t>ביס חבד ק חיים</t>
  </si>
  <si>
    <t>ב"י אהבת שלום</t>
  </si>
  <si>
    <t>בית יעקב קרית אתא</t>
  </si>
  <si>
    <t>אלפראבי</t>
  </si>
  <si>
    <t>איבטין</t>
  </si>
  <si>
    <t>אלגזאלי</t>
  </si>
  <si>
    <t>עומר בן אלחטאב</t>
  </si>
  <si>
    <t>מייסר</t>
  </si>
  <si>
    <t>אלשאפעי</t>
  </si>
  <si>
    <t>יסודי אלמחג'ר</t>
  </si>
  <si>
    <t>אלנבראס</t>
  </si>
  <si>
    <t>ת"ת שלום בניך</t>
  </si>
  <si>
    <t>אלח'וארזמי</t>
  </si>
  <si>
    <t>יסודי דאר אלאולאד</t>
  </si>
  <si>
    <t>בי"ס יסודי אלקודס</t>
  </si>
  <si>
    <t>ברידג' אינטרנשיונל</t>
  </si>
  <si>
    <t>שדא אלוורד</t>
  </si>
  <si>
    <t>על יסודי מאר מטרי</t>
  </si>
  <si>
    <t>סאדברי ירושלים</t>
  </si>
  <si>
    <t>בי"ס ע"י אלאספניול</t>
  </si>
  <si>
    <t>תלמוד תורה ברסלב בנים</t>
  </si>
  <si>
    <t>יסודי עוספייה</t>
  </si>
  <si>
    <t>נאות פרס</t>
  </si>
  <si>
    <t>כנפי נשרים</t>
  </si>
  <si>
    <t>אקליל אלג'בל</t>
  </si>
  <si>
    <t>נאות אפק</t>
  </si>
  <si>
    <t>אל האופק</t>
  </si>
  <si>
    <t>בית חינוך בית יצחק</t>
  </si>
  <si>
    <t>ממלכתי משגב</t>
  </si>
  <si>
    <t>ממ"ד יובלים</t>
  </si>
  <si>
    <t>אלנוריין</t>
  </si>
  <si>
    <t>ממ"ד לבנים- יסודי תלמוד תורה</t>
  </si>
  <si>
    <t>אבירים</t>
  </si>
  <si>
    <t>מ.חינוכי תורני חורב</t>
  </si>
  <si>
    <t>אלהדאיה אלנמודג'יה</t>
  </si>
  <si>
    <t>אפרים קישון</t>
  </si>
  <si>
    <t>בית ספר לטבע ומדעים</t>
  </si>
  <si>
    <t>ממ"ד אור השרון</t>
  </si>
  <si>
    <t>תת ובי יסודי התורה</t>
  </si>
  <si>
    <t>כנפי רוח זבולון המר</t>
  </si>
  <si>
    <t>ב"י ישמח משה</t>
  </si>
  <si>
    <t>איילים בנות</t>
  </si>
  <si>
    <t>פסגת הדר ממ"ד</t>
  </si>
  <si>
    <t>בית חינוך קשת</t>
  </si>
  <si>
    <t>בני משה</t>
  </si>
  <si>
    <t>ת"ת משיבת נפש</t>
  </si>
  <si>
    <t>ת"ת אור לציון</t>
  </si>
  <si>
    <t>ת"ת נווה שלום</t>
  </si>
  <si>
    <t>אשלים לחדשנות דיגיטלית</t>
  </si>
  <si>
    <t>פני מאיר (מעורב)</t>
  </si>
  <si>
    <t>ת"ת בן איש חיל</t>
  </si>
  <si>
    <t>טרה סנטה</t>
  </si>
  <si>
    <t>אל נג'אח</t>
  </si>
  <si>
    <t>ת"ת מגן אברהם</t>
  </si>
  <si>
    <t>ביר אל סיכה</t>
  </si>
  <si>
    <t>אל ג'ואריש</t>
  </si>
  <si>
    <t>אלמג'ד-ע"ש המנוח אחמד אבו זאיד</t>
  </si>
  <si>
    <t>חדש אל זהרא</t>
  </si>
  <si>
    <t>אקדמיית אלמסתקבאל</t>
  </si>
  <si>
    <t>נור אלהודא אלמקדסיה</t>
  </si>
  <si>
    <t>מקור התקווה</t>
  </si>
  <si>
    <t>בית ספר יסודי אלפגר אלגדיד</t>
  </si>
  <si>
    <t>גיל אלמוסתקבל</t>
  </si>
  <si>
    <t>בית ספר רואא</t>
  </si>
  <si>
    <t>תיכון מקיף אלראזי</t>
  </si>
  <si>
    <t>למען אחי</t>
  </si>
  <si>
    <t>דרכי משה</t>
  </si>
  <si>
    <t>להורות נתן</t>
  </si>
  <si>
    <t>טריהאוס</t>
  </si>
  <si>
    <t>בית ספר אלמעאלי המעו</t>
  </si>
  <si>
    <t>קינג סלמון סקול</t>
  </si>
  <si>
    <t>אור מלכה</t>
  </si>
  <si>
    <t>סימני דרך</t>
  </si>
  <si>
    <t>תלמוד תורה מעלות רם</t>
  </si>
  <si>
    <t>נוריות</t>
  </si>
  <si>
    <t>יסודי ממד</t>
  </si>
  <si>
    <t>החופש להיות</t>
  </si>
  <si>
    <t>אוהלי יוסף יצחק בנות</t>
  </si>
  <si>
    <t>בי"ס אשרקאת אלג'ד</t>
  </si>
  <si>
    <t>מקום לגדול</t>
  </si>
  <si>
    <t>בי"ס יסודי מדל איסט</t>
  </si>
  <si>
    <t>אור הגנוז בנים</t>
  </si>
  <si>
    <t>שיח</t>
  </si>
  <si>
    <t>שדה צופים</t>
  </si>
  <si>
    <t>ב"י בית הילד</t>
  </si>
  <si>
    <t>ק.יעקב שערי ציון</t>
  </si>
  <si>
    <t>יסודי אלמסתקבל שועפט</t>
  </si>
  <si>
    <t>ב"י קרית הרים לוין</t>
  </si>
  <si>
    <t>בית יעקב רסג ת"א</t>
  </si>
  <si>
    <t>בית יעקב אור ישראל לבנדה</t>
  </si>
  <si>
    <t>הניסויי כפר אדומים</t>
  </si>
  <si>
    <t>ישיבת תורה והוראה</t>
  </si>
  <si>
    <t>ת"ת בית דוד</t>
  </si>
  <si>
    <t>תלמוד תורה בני-מנחם</t>
  </si>
  <si>
    <t>ת"ת בעל"ז</t>
  </si>
  <si>
    <t>ב"י בובוב</t>
  </si>
  <si>
    <t>ת"ת רש"י</t>
  </si>
  <si>
    <t>ת"ת בן איש חייל</t>
  </si>
  <si>
    <t>ת"ת שמחת תורה</t>
  </si>
  <si>
    <t>שובו תל אביב</t>
  </si>
  <si>
    <t>שער שמעון אור תורה</t>
  </si>
  <si>
    <t>ת"ת יחד</t>
  </si>
  <si>
    <t>ת"ת פיתוחי חותם</t>
  </si>
  <si>
    <t>ת"ת האיש משה</t>
  </si>
  <si>
    <t>ת"ת יחד ת"א</t>
  </si>
  <si>
    <t>טביטה הכנסיה הסקוטית</t>
  </si>
  <si>
    <t>הפטריארכיה היונית האורתודוקסי</t>
  </si>
  <si>
    <t>אלפקיה</t>
  </si>
  <si>
    <t>הדר ישראל</t>
  </si>
  <si>
    <t>תיכון פרר</t>
  </si>
  <si>
    <t>פלג</t>
  </si>
  <si>
    <t>אבני דרך על שם רונה רמון</t>
  </si>
  <si>
    <t>כיכר המדינה</t>
  </si>
  <si>
    <t>חמ"ד צומח</t>
  </si>
  <si>
    <t>חזון עובדיה</t>
  </si>
  <si>
    <t>ת"ת לב שמחה" רובע ג'</t>
  </si>
  <si>
    <t>ת"ת "לב שמחה" רובע ח'</t>
  </si>
  <si>
    <t>ת"ת וב"י מרכז באר שבע</t>
  </si>
  <si>
    <t>ת"ת ברסלב אלעד</t>
  </si>
  <si>
    <t>ת"ת וב"י נתיב מאיר</t>
  </si>
  <si>
    <t>עומרים</t>
  </si>
  <si>
    <t>ת"ת בית ישראל</t>
  </si>
  <si>
    <t>דב"ש</t>
  </si>
  <si>
    <t>ת"ת דעת מישרים</t>
  </si>
  <si>
    <t>ת"ת ובי' שילה דימונה</t>
  </si>
  <si>
    <t>אוריין</t>
  </si>
  <si>
    <t>ת"ת לב שמחה רובע ז'</t>
  </si>
  <si>
    <t>ת"ת ניצני הנגב</t>
  </si>
  <si>
    <t>אוצר החיים מעורב</t>
  </si>
  <si>
    <t>דרכי ניסים</t>
  </si>
  <si>
    <t>יהבים</t>
  </si>
  <si>
    <t>ת"ת נחלת מאיר</t>
  </si>
  <si>
    <t>מעיין חיים ושלום בנים</t>
  </si>
  <si>
    <t>ת"ת מאיר עיני ישראל</t>
  </si>
  <si>
    <t>ביס קהילתי נאות סמדר</t>
  </si>
  <si>
    <t>שדות יואב</t>
  </si>
  <si>
    <t>שובו ניצנים-מעורב</t>
  </si>
  <si>
    <t>ת"ת אור מאיר</t>
  </si>
  <si>
    <t>ת"ת אורות התורה</t>
  </si>
  <si>
    <t>ת"ת משכן מאיר</t>
  </si>
  <si>
    <t>אחווה</t>
  </si>
  <si>
    <t>ת"ת המסורה</t>
  </si>
  <si>
    <t>תלמוד תורה אומץ</t>
  </si>
  <si>
    <t>מעלה ההר</t>
  </si>
  <si>
    <t>אבו כף</t>
  </si>
  <si>
    <t>תל-ערד</t>
  </si>
  <si>
    <t>אל - אמל</t>
  </si>
  <si>
    <t>תרבין-יסודי</t>
  </si>
  <si>
    <t>דרך התבור</t>
  </si>
  <si>
    <t>משיבת נפש</t>
  </si>
  <si>
    <t>אנקור</t>
  </si>
  <si>
    <t>אוצר התורה</t>
  </si>
  <si>
    <t>צופיה קרית יובל</t>
  </si>
  <si>
    <t>בית ספר ענבר</t>
  </si>
  <si>
    <t>בית ספר חב"ד יצהר</t>
  </si>
  <si>
    <t>בית הספר האמריקאי יר</t>
  </si>
  <si>
    <t>בית ספר אלבראא אלנמו</t>
  </si>
  <si>
    <t>בי''ס יסודי אלהודא א</t>
  </si>
  <si>
    <t>תלמוד תורה "עץ חיים"</t>
  </si>
  <si>
    <t>קריית חינוך מונטסורי</t>
  </si>
  <si>
    <t>בית יעקב בית שמש</t>
  </si>
  <si>
    <t>ייסדת עוז</t>
  </si>
  <si>
    <t>ת"ת עוד יוסף חי</t>
  </si>
  <si>
    <t>אורות ישראל</t>
  </si>
  <si>
    <t>שיח התלמוד בני יוסף</t>
  </si>
  <si>
    <t>נחלת דוד</t>
  </si>
  <si>
    <t>תלמוד תורה חריש</t>
  </si>
  <si>
    <t>בית ספר גילה</t>
  </si>
  <si>
    <t>בית חינוך חב"ד רעננה</t>
  </si>
  <si>
    <t>ב''ס עהדונא</t>
  </si>
  <si>
    <t>הבוסתן</t>
  </si>
  <si>
    <t>רוואד הטכנולוגי</t>
  </si>
  <si>
    <t>ב"ס אלחסאד</t>
  </si>
  <si>
    <t>קדרון</t>
  </si>
  <si>
    <t>ממ"ח בנות עפולה</t>
  </si>
  <si>
    <t>דרכי אבות צאנז צפת</t>
  </si>
  <si>
    <t>מחזיקי תורה</t>
  </si>
  <si>
    <t>ת"ת חסידי ב'</t>
  </si>
  <si>
    <t>מרכז חסידי ויזניץ</t>
  </si>
  <si>
    <t>בית יששכר בעלז</t>
  </si>
  <si>
    <t>נתיבי התורה</t>
  </si>
  <si>
    <t>קדושת אהרון בעלז</t>
  </si>
  <si>
    <t>ברקת</t>
  </si>
  <si>
    <t>חדשני נווה שרון</t>
  </si>
  <si>
    <t>תורני בנים</t>
  </si>
  <si>
    <t>שדות רוחמה</t>
  </si>
  <si>
    <t>שמש גבולות</t>
  </si>
  <si>
    <t>אשראקה</t>
  </si>
  <si>
    <t>בנים</t>
  </si>
  <si>
    <t>יער במושבה</t>
  </si>
  <si>
    <t>יסודי ב</t>
  </si>
  <si>
    <t>אהלי יוסף יצחק ליובאוויטש</t>
  </si>
  <si>
    <t>מחזיקי הדת</t>
  </si>
  <si>
    <t>יעלת חן</t>
  </si>
  <si>
    <t>עוז נתיבות</t>
  </si>
  <si>
    <t>אבן ישראל</t>
  </si>
  <si>
    <t>נחלי אמונה</t>
  </si>
  <si>
    <t>יסודי הר הזיתים</t>
  </si>
  <si>
    <t>בית ספר יחיאל</t>
  </si>
  <si>
    <t>בית ספר אלעמליה אלנמ</t>
  </si>
  <si>
    <t>ת"ת שער השמים</t>
  </si>
  <si>
    <t>בית ספר דאר אלהודה אלנמודג'יה</t>
  </si>
  <si>
    <t>בית ספר יסודי אלקאסמי</t>
  </si>
  <si>
    <t>בוסתן במדבר</t>
  </si>
  <si>
    <t>אור דוד</t>
  </si>
  <si>
    <t>נתיב התורה</t>
  </si>
  <si>
    <t>זרקור</t>
  </si>
  <si>
    <t>בית ספר עהדונא</t>
  </si>
  <si>
    <t>בית ספר אלסראג</t>
  </si>
  <si>
    <t>בית ספר יסודי אלפארו</t>
  </si>
  <si>
    <t>בי"ס אלמטאר</t>
  </si>
  <si>
    <t>בי"ס אלמוסתקבל</t>
  </si>
  <si>
    <t>דאוחת אלאבדאע</t>
  </si>
  <si>
    <t>חזון שמעון</t>
  </si>
  <si>
    <t>דאר אל חכמה</t>
  </si>
  <si>
    <t>ת"ת תפארת נחמי'ה</t>
  </si>
  <si>
    <t>בית חינוך מונטסורי יער</t>
  </si>
  <si>
    <t>בית ספר סמירא מיס</t>
  </si>
  <si>
    <t>יסודי אלאימאן בנים</t>
  </si>
  <si>
    <t>בית חינוך יסמין</t>
  </si>
  <si>
    <t>ת"ת דרכי אבות</t>
  </si>
  <si>
    <t>סדנת שילוב יובלים</t>
  </si>
  <si>
    <t>בית יעקב החדש</t>
  </si>
  <si>
    <t>תפארת יעקב ישראל</t>
  </si>
  <si>
    <t>בני יוסף עמלי תורה</t>
  </si>
  <si>
    <t>דרכי אבות נתיבות</t>
  </si>
  <si>
    <t>בית הספר הבינלאומי ברונר</t>
  </si>
  <si>
    <t>בי"ס אמריקאי בנלאומי</t>
  </si>
  <si>
    <t>בית ספר קאדת אלעלם</t>
  </si>
  <si>
    <t>תורת גבריאל</t>
  </si>
  <si>
    <t>שערי ציון נאות שמיר</t>
  </si>
  <si>
    <t>בית ספר סערט ויזניץ</t>
  </si>
  <si>
    <t>בית מלכה גבעת זאב</t>
  </si>
  <si>
    <t>אוהל יצחק</t>
  </si>
  <si>
    <t>בית ספר תפארת תמר</t>
  </si>
  <si>
    <t>כלל חסידי צפת</t>
  </si>
  <si>
    <t>בית ספר עטרת חייל</t>
  </si>
  <si>
    <t>דרך תבונה</t>
  </si>
  <si>
    <t>ת"ת אור שמחה גור ערד</t>
  </si>
  <si>
    <t>בנות ויזניץ רמה ד</t>
  </si>
  <si>
    <t>ת"ת גור רמה ד'</t>
  </si>
  <si>
    <t>טומשין ירושלים יסודי בנים</t>
  </si>
  <si>
    <t>טומשין ירושלים יסודי בנות</t>
  </si>
  <si>
    <t>שלהבות חב"ד- אור עקיבא</t>
  </si>
  <si>
    <t>מוסדי עולם נתיבות</t>
  </si>
  <si>
    <t>בית יעקב השיר והשבח חריש</t>
  </si>
  <si>
    <t>בית יעקב איילת השחר בני ברק</t>
  </si>
  <si>
    <t>בית יעקב נוף כינרת</t>
  </si>
  <si>
    <t>בית יעקב רמה ד' 3</t>
  </si>
  <si>
    <t>בית יעקב פנים מאירות בית שמש</t>
  </si>
  <si>
    <t>בית יעקב גור רמה ד</t>
  </si>
  <si>
    <t>בני יוסף נווה שאנן</t>
  </si>
  <si>
    <t>בית יעקב גבעת הפרסה</t>
  </si>
  <si>
    <t>בית יעקב עפולה עילית</t>
  </si>
  <si>
    <t>תורני אקדמי 2 באר יעקב</t>
  </si>
  <si>
    <t>שלהבות חב"ד- מזכרת בתיה</t>
  </si>
  <si>
    <t>בני יוסף נווה שאנן - בנות</t>
  </si>
  <si>
    <r>
      <t xml:space="preserve">רישום חינוך רגיל </t>
    </r>
    <r>
      <rPr>
        <sz val="8"/>
        <rFont val="Arial"/>
        <family val="2"/>
        <scheme val="minor"/>
      </rPr>
      <t>(א,ב,ג)</t>
    </r>
  </si>
  <si>
    <r>
      <t xml:space="preserve">פונטציאל חינוך רגיל </t>
    </r>
    <r>
      <rPr>
        <sz val="8"/>
        <rFont val="Arial"/>
        <family val="2"/>
        <scheme val="minor"/>
      </rPr>
      <t>(א,ב,ג)</t>
    </r>
  </si>
  <si>
    <t>-</t>
  </si>
  <si>
    <t>מוכש"ר</t>
  </si>
  <si>
    <t>קיץ פלוס</t>
  </si>
  <si>
    <t>מס' תלמידים רשומים חינוך ד-ו</t>
  </si>
  <si>
    <t>214437</t>
  </si>
  <si>
    <t>210930</t>
  </si>
  <si>
    <t>211326</t>
  </si>
  <si>
    <t>682294</t>
  </si>
  <si>
    <t>211441</t>
  </si>
  <si>
    <t>616177</t>
  </si>
  <si>
    <t>210484</t>
  </si>
  <si>
    <t>211953</t>
  </si>
  <si>
    <t>616730</t>
  </si>
  <si>
    <t>211458</t>
  </si>
  <si>
    <t>213413</t>
  </si>
  <si>
    <t>214452</t>
  </si>
  <si>
    <t>210948</t>
  </si>
  <si>
    <t>218669</t>
  </si>
  <si>
    <t>675520</t>
  </si>
  <si>
    <t>219055</t>
  </si>
  <si>
    <t>218388</t>
  </si>
  <si>
    <t>310219</t>
  </si>
  <si>
    <t>312538</t>
  </si>
  <si>
    <t>311514</t>
  </si>
  <si>
    <t>384784</t>
  </si>
  <si>
    <t>310029</t>
  </si>
  <si>
    <t>357467</t>
  </si>
  <si>
    <t>313676</t>
  </si>
  <si>
    <t>318105</t>
  </si>
  <si>
    <t>430256</t>
  </si>
  <si>
    <t>172197</t>
  </si>
  <si>
    <t>384206</t>
  </si>
  <si>
    <t>344259</t>
  </si>
  <si>
    <t>384354</t>
  </si>
  <si>
    <t>384669</t>
  </si>
  <si>
    <t>384842</t>
  </si>
  <si>
    <t>482935</t>
  </si>
  <si>
    <t>217810</t>
  </si>
  <si>
    <t>410308</t>
  </si>
  <si>
    <t>413732</t>
  </si>
  <si>
    <t>413997</t>
  </si>
  <si>
    <t>414029</t>
  </si>
  <si>
    <t>456624</t>
  </si>
  <si>
    <t>441667</t>
  </si>
  <si>
    <t>416651</t>
  </si>
  <si>
    <t>440115</t>
  </si>
  <si>
    <t>414425</t>
  </si>
  <si>
    <t>414201</t>
  </si>
  <si>
    <t>417121</t>
  </si>
  <si>
    <t>412023</t>
  </si>
  <si>
    <t>241034</t>
  </si>
  <si>
    <t>417188</t>
  </si>
  <si>
    <t>411793</t>
  </si>
  <si>
    <t>412122</t>
  </si>
  <si>
    <t>410373</t>
  </si>
  <si>
    <t>411264</t>
  </si>
  <si>
    <t>411496</t>
  </si>
  <si>
    <t>412726</t>
  </si>
  <si>
    <t>414508</t>
  </si>
  <si>
    <t>482356</t>
  </si>
  <si>
    <t>484014</t>
  </si>
  <si>
    <t>413211</t>
  </si>
  <si>
    <t>482760</t>
  </si>
  <si>
    <t>484345</t>
  </si>
  <si>
    <t>566901</t>
  </si>
  <si>
    <t>512400</t>
  </si>
  <si>
    <t>415232</t>
  </si>
  <si>
    <t>415257</t>
  </si>
  <si>
    <t>418368</t>
  </si>
  <si>
    <t>412577</t>
  </si>
  <si>
    <t>418061</t>
  </si>
  <si>
    <t>416446</t>
  </si>
  <si>
    <t>367730</t>
  </si>
  <si>
    <t>413799</t>
  </si>
  <si>
    <t>413666</t>
  </si>
  <si>
    <t>410134</t>
  </si>
  <si>
    <t>513572</t>
  </si>
  <si>
    <t>510073</t>
  </si>
  <si>
    <t>510388</t>
  </si>
  <si>
    <t>510511</t>
  </si>
  <si>
    <t>513317</t>
  </si>
  <si>
    <t>512913</t>
  </si>
  <si>
    <t>511212</t>
  </si>
  <si>
    <t>510214</t>
  </si>
  <si>
    <t>566893</t>
  </si>
  <si>
    <t>510271</t>
  </si>
  <si>
    <t>573006</t>
  </si>
  <si>
    <t>512988</t>
  </si>
  <si>
    <t>514117</t>
  </si>
  <si>
    <t>513416</t>
  </si>
  <si>
    <t>510594</t>
  </si>
  <si>
    <t>513721</t>
  </si>
  <si>
    <t>513184</t>
  </si>
  <si>
    <t>512871</t>
  </si>
  <si>
    <t>544528</t>
  </si>
  <si>
    <t>514901</t>
  </si>
  <si>
    <t>510784</t>
  </si>
  <si>
    <t>542282</t>
  </si>
  <si>
    <t>611772</t>
  </si>
  <si>
    <t>412874</t>
  </si>
  <si>
    <t>413260</t>
  </si>
  <si>
    <t>510982</t>
  </si>
  <si>
    <t>511725</t>
  </si>
  <si>
    <t>610733</t>
  </si>
  <si>
    <t>610923</t>
  </si>
  <si>
    <t>641316</t>
  </si>
  <si>
    <t>611376</t>
  </si>
  <si>
    <t>610030</t>
  </si>
  <si>
    <t>640581</t>
  </si>
  <si>
    <t>612374</t>
  </si>
  <si>
    <t>613596</t>
  </si>
  <si>
    <t>612556</t>
  </si>
  <si>
    <t>613430</t>
  </si>
  <si>
    <t>611459</t>
  </si>
  <si>
    <t>612333</t>
  </si>
  <si>
    <t>611939</t>
  </si>
  <si>
    <t>610741</t>
  </si>
  <si>
    <t>615252</t>
  </si>
  <si>
    <t>614537</t>
  </si>
  <si>
    <t>644484</t>
  </si>
  <si>
    <t>614628</t>
  </si>
  <si>
    <t>614958</t>
  </si>
  <si>
    <t>610485</t>
  </si>
  <si>
    <t>616789</t>
  </si>
  <si>
    <t>618744</t>
  </si>
  <si>
    <t>213132</t>
  </si>
  <si>
    <t>682419</t>
  </si>
  <si>
    <t>112367</t>
  </si>
  <si>
    <t>612457</t>
  </si>
  <si>
    <t>611897</t>
  </si>
  <si>
    <t>613828</t>
  </si>
  <si>
    <t>214643</t>
  </si>
  <si>
    <t>פוטנציאל ד-ו</t>
  </si>
  <si>
    <t>מס' תלמידים במצבת חינוך ד-ו</t>
  </si>
  <si>
    <t>לעדכן</t>
  </si>
  <si>
    <r>
      <t xml:space="preserve">בבתי"ס בהם מספר הימים נמוך מ- 15 יש לציין  </t>
    </r>
    <r>
      <rPr>
        <u/>
        <sz val="12"/>
        <color rgb="FF000000"/>
        <rFont val="David"/>
        <family val="2"/>
      </rPr>
      <t>בעמודה Q</t>
    </r>
    <r>
      <rPr>
        <sz val="12"/>
        <color indexed="8"/>
        <rFont val="David"/>
        <family val="2"/>
      </rPr>
      <t xml:space="preserve"> את הסיבה וכן </t>
    </r>
    <r>
      <rPr>
        <u/>
        <sz val="12"/>
        <color rgb="FF000000"/>
        <rFont val="David"/>
        <family val="2"/>
      </rPr>
      <t xml:space="preserve">בעמודה R </t>
    </r>
    <r>
      <rPr>
        <sz val="12"/>
        <color indexed="8"/>
        <rFont val="David"/>
        <family val="2"/>
      </rPr>
      <t>האם אושר ע"י המשרד. 
כמו כן בבתי"ס בהם מספר התלמידים נמוך ממינימום משתתפים - 60 תלמידים יש לציין את הסיבה לכך ולצרף את אישור כאסמכתא.</t>
    </r>
  </si>
  <si>
    <t>בעמודה P- יש למלא מס' משתתפים בפועל במסגרת פעילות קיץ פלוס, ד-ו</t>
  </si>
  <si>
    <t>מס' תלמידים משתתפים בפועל ד-ו</t>
  </si>
  <si>
    <t>מדד סוציו-אקונומי 2026</t>
  </si>
  <si>
    <t>סמל מוסד של גני ילדים בחטיבות צעירות ידווח כחלק מגני הילדים של הרשות בדו״ח הביצוע של גני הילדים.</t>
  </si>
  <si>
    <t>לתשומת ליבכם, סמל מוסד של גני ילדים בחטיבות צעירות ידווח כחלק מגני הילדים של הרשות בדו״ח הביצוע של גני הילדים.</t>
  </si>
  <si>
    <t xml:space="preserve">מפתח השתתפויות לתלמיד ח. רגיל </t>
  </si>
  <si>
    <t>מפתח השתתפויות לתלמיד ח. מיוחד</t>
  </si>
  <si>
    <t>בדיקת תנאי סף לקיום מלוא ימי הפעילות</t>
  </si>
  <si>
    <t>שכבת גיל (א-ג, ד-ו)</t>
  </si>
  <si>
    <t>סל שכר תוספת ריכוז (ד-ו)</t>
  </si>
  <si>
    <t>קול יעקב</t>
  </si>
  <si>
    <t>חן נריה</t>
  </si>
  <si>
    <t>כרמי יהודה</t>
  </si>
  <si>
    <t>תנאי סף לתקצוב: 0=לפרסום, 1=פעיל</t>
  </si>
  <si>
    <t>יש למלא סייעות רפואיות או אישיות שהועסקו במהלך הפעילות ומספרי הזהות של התלמידים הזכאים במהלך השנה. לתשומת ליבכם יש לדווח גם בגין העסקת סיעות רפואיות בתוכנית קיץ פלוס שהתקיימה ברשמי ובמוכשר</t>
  </si>
  <si>
    <t>דיווח א-ג</t>
  </si>
  <si>
    <t>דיווח ד-ו</t>
  </si>
  <si>
    <t>מס' יחידות לתשלום סייעות רפואיות-א-ג</t>
  </si>
  <si>
    <t>מס' יחידות לתשלום סייעות רפואיות-ד-ו</t>
  </si>
  <si>
    <t>בקרת סמלי בתי"ס - עמודה B</t>
  </si>
  <si>
    <t>בקרת שורות ריקות - עמודה B</t>
  </si>
  <si>
    <t>גירסה בתי ספר 8.2026</t>
  </si>
  <si>
    <t>ענבל</t>
  </si>
  <si>
    <t>דורון</t>
  </si>
  <si>
    <t>ברמי</t>
  </si>
  <si>
    <t>חנין</t>
  </si>
  <si>
    <t>אמיתי לוי יזמות בע"מ</t>
  </si>
  <si>
    <t>קייטנת בוקר</t>
  </si>
  <si>
    <t>inbalb@beer-tuvia.org.il</t>
  </si>
  <si>
    <t>doronh@beer-tuvia.org.il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</si>
</sst>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 &quot;₪&quot;\ * #,##0.00_ ;_ &quot;₪&quot;\ * \-#,##0.00_ ;_ &quot;₪&quot;\ * &quot;-&quot;??_ ;_ @_ "/>
    <numFmt numFmtId="43" formatCode="_ * #,##0.00_ ;_ * \-#,##0.00_ ;_ * &quot;-&quot;??_ ;_ @_ "/>
    <numFmt numFmtId="164" formatCode="_ * #,##0_ ;_ * \-#,##0_ ;_ * &quot;-&quot;??_ ;_ @_ "/>
    <numFmt numFmtId="165" formatCode="#,##0.0"/>
    <numFmt numFmtId="166" formatCode="_ &quot;₪&quot;\ * #,##0_ ;_ &quot;₪&quot;\ * \-#,##0_ ;_ &quot;₪&quot;\ * &quot;-&quot;??_ ;_ @_ "/>
    <numFmt numFmtId="167" formatCode="0.0%"/>
    <numFmt numFmtId="168" formatCode="_(* #,##0_);_(* \(#,##0\);_(* &quot;-&quot;??_);_(@_)"/>
    <numFmt numFmtId="169" formatCode="_(* ###0_);_(* \(###0\);_(* &quot;-&quot;??_);_(@_)"/>
    <numFmt numFmtId="170" formatCode="_ * #,##0.0_ ;_ * \-#,##0.0_ ;_ * &quot;-&quot;??_ ;_ @_ "/>
    <numFmt numFmtId="171" formatCode="[$-1000000]00000000\-0"/>
    <numFmt numFmtId="172" formatCode="_ * #,##0.0_ ;_ * \-#,##0.0_ ;_ * &quot;-&quot;?_ ;_ @_ "/>
    <numFmt numFmtId="173" formatCode="_(* #,##0.00_);_(* \(#,##0.00\);_(* \-??_);_(@_)"/>
  </numFmts>
  <fonts count="107" x14ac:knownFonts="1">
    <font>
      <sz val="11"/>
      <color theme="1"/>
      <name val="Arial"/>
      <family val="2"/>
      <charset val="177"/>
      <scheme val="minor"/>
    </font>
    <font>
      <b/>
      <u/>
      <sz val="14"/>
      <color indexed="8"/>
      <name val="David"/>
      <family val="2"/>
      <charset val="177"/>
    </font>
    <font>
      <sz val="11"/>
      <color indexed="8"/>
      <name val="David"/>
      <family val="2"/>
      <charset val="177"/>
    </font>
    <font>
      <sz val="11"/>
      <color indexed="8"/>
      <name val="David"/>
      <family val="2"/>
      <charset val="177"/>
    </font>
    <font>
      <sz val="11"/>
      <color indexed="8"/>
      <name val="Arial"/>
      <family val="2"/>
      <charset val="177"/>
    </font>
    <font>
      <b/>
      <sz val="12"/>
      <color indexed="8"/>
      <name val="David"/>
      <family val="2"/>
      <charset val="177"/>
    </font>
    <font>
      <sz val="12"/>
      <color indexed="8"/>
      <name val="David"/>
      <family val="2"/>
      <charset val="177"/>
    </font>
    <font>
      <b/>
      <u/>
      <sz val="14"/>
      <color indexed="8"/>
      <name val="David"/>
      <family val="2"/>
      <charset val="177"/>
    </font>
    <font>
      <sz val="14"/>
      <color indexed="8"/>
      <name val="David"/>
      <family val="2"/>
      <charset val="177"/>
    </font>
    <font>
      <b/>
      <u/>
      <sz val="12"/>
      <color indexed="8"/>
      <name val="David"/>
      <family val="2"/>
      <charset val="177"/>
    </font>
    <font>
      <b/>
      <sz val="14"/>
      <color indexed="8"/>
      <name val="David"/>
      <family val="2"/>
      <charset val="177"/>
    </font>
    <font>
      <b/>
      <u/>
      <sz val="18"/>
      <color indexed="8"/>
      <name val="David"/>
      <family val="2"/>
      <charset val="177"/>
    </font>
    <font>
      <b/>
      <u/>
      <sz val="16"/>
      <color indexed="8"/>
      <name val="David"/>
      <family val="2"/>
      <charset val="177"/>
    </font>
    <font>
      <b/>
      <sz val="14"/>
      <color indexed="8"/>
      <name val="David"/>
      <family val="2"/>
      <charset val="177"/>
    </font>
    <font>
      <b/>
      <sz val="11"/>
      <color indexed="8"/>
      <name val="David"/>
      <family val="2"/>
    </font>
    <font>
      <b/>
      <sz val="12"/>
      <color indexed="8"/>
      <name val="David"/>
      <family val="2"/>
    </font>
    <font>
      <sz val="12"/>
      <color theme="1"/>
      <name val="David"/>
      <family val="2"/>
    </font>
    <font>
      <b/>
      <u/>
      <sz val="14"/>
      <color indexed="8"/>
      <name val="David"/>
      <family val="2"/>
    </font>
    <font>
      <sz val="12"/>
      <color indexed="8"/>
      <name val="David"/>
      <family val="2"/>
    </font>
    <font>
      <b/>
      <sz val="12"/>
      <color theme="1"/>
      <name val="David"/>
      <family val="2"/>
    </font>
    <font>
      <b/>
      <sz val="11"/>
      <color theme="1"/>
      <name val="David"/>
      <family val="2"/>
    </font>
    <font>
      <u/>
      <sz val="12"/>
      <color rgb="FF000000"/>
      <name val="David"/>
      <family val="2"/>
    </font>
    <font>
      <b/>
      <sz val="12"/>
      <color rgb="FF000000"/>
      <name val="David"/>
      <family val="2"/>
    </font>
    <font>
      <sz val="12"/>
      <color rgb="FF000000"/>
      <name val="David"/>
      <family val="2"/>
    </font>
    <font>
      <b/>
      <u/>
      <sz val="12"/>
      <color indexed="8"/>
      <name val="David"/>
      <family val="2"/>
    </font>
    <font>
      <sz val="11"/>
      <color indexed="8"/>
      <name val="David"/>
      <family val="2"/>
    </font>
    <font>
      <sz val="14"/>
      <color indexed="8"/>
      <name val="David"/>
      <family val="2"/>
    </font>
    <font>
      <sz val="14"/>
      <color theme="1"/>
      <name val="David"/>
      <family val="2"/>
    </font>
    <font>
      <sz val="14"/>
      <name val="David"/>
      <family val="2"/>
    </font>
    <font>
      <sz val="11"/>
      <color theme="1"/>
      <name val="Arial"/>
      <family val="2"/>
      <charset val="177"/>
      <scheme val="minor"/>
    </font>
    <font>
      <sz val="11"/>
      <color theme="1"/>
      <name val="David"/>
      <family val="2"/>
    </font>
    <font>
      <b/>
      <u/>
      <sz val="16"/>
      <color indexed="8"/>
      <name val="David"/>
      <family val="2"/>
    </font>
    <font>
      <b/>
      <sz val="14"/>
      <color indexed="8"/>
      <name val="David"/>
      <family val="2"/>
    </font>
    <font>
      <b/>
      <u/>
      <sz val="11"/>
      <color indexed="8"/>
      <name val="David"/>
      <family val="2"/>
    </font>
    <font>
      <b/>
      <sz val="10"/>
      <color indexed="8"/>
      <name val="David"/>
      <family val="2"/>
    </font>
    <font>
      <b/>
      <u/>
      <sz val="16"/>
      <color theme="1"/>
      <name val="David"/>
      <family val="2"/>
    </font>
    <font>
      <b/>
      <u/>
      <sz val="14"/>
      <color theme="1"/>
      <name val="David"/>
      <family val="2"/>
    </font>
    <font>
      <sz val="11"/>
      <name val="David"/>
      <family val="2"/>
    </font>
    <font>
      <b/>
      <u/>
      <sz val="18"/>
      <color indexed="8"/>
      <name val="David"/>
      <family val="2"/>
    </font>
    <font>
      <b/>
      <u/>
      <sz val="12"/>
      <color theme="1"/>
      <name val="David"/>
      <family val="2"/>
    </font>
    <font>
      <sz val="26"/>
      <color theme="1"/>
      <name val="David"/>
      <family val="2"/>
    </font>
    <font>
      <b/>
      <sz val="11"/>
      <color indexed="8"/>
      <name val="David"/>
      <family val="2"/>
      <charset val="177"/>
    </font>
    <font>
      <sz val="10"/>
      <color theme="1"/>
      <name val="David"/>
      <family val="2"/>
    </font>
    <font>
      <b/>
      <sz val="11"/>
      <color rgb="FFFF0000"/>
      <name val="David"/>
      <family val="2"/>
    </font>
    <font>
      <b/>
      <sz val="12"/>
      <color theme="0"/>
      <name val="David"/>
      <family val="2"/>
    </font>
    <font>
      <u/>
      <sz val="11"/>
      <color theme="10"/>
      <name val="Arial"/>
      <family val="2"/>
      <charset val="177"/>
      <scheme val="minor"/>
    </font>
    <font>
      <sz val="12"/>
      <color rgb="FFFF0000"/>
      <name val="David"/>
      <family val="2"/>
    </font>
    <font>
      <sz val="11"/>
      <color rgb="FFFF0000"/>
      <name val="David"/>
      <family val="2"/>
    </font>
    <font>
      <b/>
      <sz val="11"/>
      <name val="David"/>
      <family val="2"/>
    </font>
    <font>
      <sz val="11"/>
      <color theme="0"/>
      <name val="David"/>
      <family val="2"/>
    </font>
    <font>
      <sz val="12"/>
      <color theme="0"/>
      <name val="David"/>
      <family val="2"/>
    </font>
    <font>
      <b/>
      <sz val="12"/>
      <color rgb="FFFF0000"/>
      <name val="David"/>
      <family val="2"/>
    </font>
    <font>
      <b/>
      <sz val="10"/>
      <color theme="1"/>
      <name val="David"/>
      <family val="2"/>
    </font>
    <font>
      <sz val="9"/>
      <color indexed="81"/>
      <name val="Tahoma"/>
      <family val="2"/>
    </font>
    <font>
      <b/>
      <sz val="9"/>
      <color indexed="81"/>
      <name val="Tahoma"/>
      <family val="2"/>
    </font>
    <font>
      <b/>
      <sz val="12"/>
      <name val="David"/>
      <family val="2"/>
    </font>
    <font>
      <b/>
      <u/>
      <sz val="16"/>
      <color theme="1"/>
      <name val="David"/>
      <family val="2"/>
      <charset val="177"/>
    </font>
    <font>
      <sz val="11"/>
      <color theme="1"/>
      <name val="David"/>
      <family val="2"/>
      <charset val="177"/>
    </font>
    <font>
      <sz val="14"/>
      <color theme="1"/>
      <name val="David"/>
      <family val="2"/>
      <charset val="177"/>
    </font>
    <font>
      <b/>
      <sz val="12"/>
      <color theme="1"/>
      <name val="David"/>
      <family val="2"/>
      <charset val="177"/>
    </font>
    <font>
      <sz val="12"/>
      <color theme="1"/>
      <name val="David"/>
      <family val="2"/>
      <charset val="177"/>
    </font>
    <font>
      <sz val="11"/>
      <color rgb="FFFF0000"/>
      <name val="Arial"/>
      <family val="2"/>
      <scheme val="minor"/>
    </font>
    <font>
      <sz val="12"/>
      <name val="David"/>
      <family val="2"/>
    </font>
    <font>
      <b/>
      <sz val="11"/>
      <color theme="1"/>
      <name val="Arial"/>
      <family val="2"/>
      <charset val="177"/>
      <scheme val="minor"/>
    </font>
    <font>
      <b/>
      <sz val="11"/>
      <color theme="1"/>
      <name val="David"/>
      <family val="2"/>
      <charset val="177"/>
    </font>
    <font>
      <b/>
      <sz val="11"/>
      <name val="David"/>
      <family val="2"/>
      <charset val="177"/>
    </font>
    <font>
      <sz val="11"/>
      <color theme="4" tint="-0.249977111117893"/>
      <name val="David"/>
      <family val="2"/>
    </font>
    <font>
      <b/>
      <sz val="12"/>
      <color rgb="FF2F5496"/>
      <name val="David"/>
      <family val="2"/>
    </font>
    <font>
      <u/>
      <sz val="12"/>
      <color theme="1"/>
      <name val="David"/>
      <family val="2"/>
    </font>
    <font>
      <b/>
      <u/>
      <sz val="18"/>
      <color rgb="FFFF0000"/>
      <name val="David"/>
      <family val="2"/>
      <charset val="177"/>
    </font>
    <font>
      <b/>
      <sz val="11"/>
      <color theme="1"/>
      <name val="Arial"/>
      <family val="2"/>
      <scheme val="minor"/>
    </font>
    <font>
      <b/>
      <u/>
      <sz val="14"/>
      <color rgb="FF2F5496"/>
      <name val="David"/>
      <family val="2"/>
    </font>
    <font>
      <b/>
      <sz val="10"/>
      <color theme="0"/>
      <name val="David"/>
      <family val="2"/>
    </font>
    <font>
      <sz val="11"/>
      <color theme="0"/>
      <name val="David"/>
      <family val="2"/>
      <charset val="177"/>
    </font>
    <font>
      <sz val="16"/>
      <color theme="1"/>
      <name val="David"/>
      <family val="2"/>
    </font>
    <font>
      <b/>
      <u/>
      <sz val="14"/>
      <color rgb="FFFF0000"/>
      <name val="David"/>
      <family val="2"/>
    </font>
    <font>
      <b/>
      <u val="singleAccounting"/>
      <sz val="11"/>
      <color indexed="8"/>
      <name val="David"/>
      <family val="2"/>
    </font>
    <font>
      <b/>
      <u val="singleAccounting"/>
      <sz val="11"/>
      <name val="David"/>
      <family val="2"/>
    </font>
    <font>
      <u/>
      <sz val="11"/>
      <name val="David"/>
      <family val="2"/>
    </font>
    <font>
      <sz val="10"/>
      <name val="David"/>
      <family val="2"/>
    </font>
    <font>
      <b/>
      <u val="singleAccounting"/>
      <sz val="12"/>
      <color indexed="8"/>
      <name val="David"/>
      <family val="2"/>
    </font>
    <font>
      <b/>
      <sz val="10"/>
      <name val="David"/>
      <family val="2"/>
    </font>
    <font>
      <sz val="11"/>
      <name val="Arial"/>
      <family val="2"/>
      <charset val="177"/>
      <scheme val="minor"/>
    </font>
    <font>
      <sz val="20"/>
      <color indexed="8"/>
      <name val="David"/>
      <family val="2"/>
    </font>
    <font>
      <sz val="20"/>
      <color theme="1"/>
      <name val="David"/>
      <family val="2"/>
    </font>
    <font>
      <b/>
      <sz val="13"/>
      <color indexed="8"/>
      <name val="David"/>
      <family val="2"/>
    </font>
    <font>
      <b/>
      <sz val="13"/>
      <color rgb="FF000000"/>
      <name val="David"/>
      <family val="2"/>
    </font>
    <font>
      <b/>
      <sz val="11"/>
      <color rgb="FF000000"/>
      <name val="David"/>
      <family val="2"/>
    </font>
    <font>
      <b/>
      <u/>
      <sz val="16"/>
      <color rgb="FFFF0000"/>
      <name val="David"/>
      <family val="2"/>
    </font>
    <font>
      <b/>
      <sz val="14"/>
      <color rgb="FFFF0000"/>
      <name val="David"/>
      <family val="2"/>
    </font>
    <font>
      <sz val="11"/>
      <color theme="1"/>
      <name val="Arial"/>
      <family val="2"/>
      <charset val="177"/>
    </font>
    <font>
      <u/>
      <sz val="11"/>
      <color theme="10"/>
      <name val="Arial"/>
      <family val="2"/>
      <charset val="177"/>
    </font>
    <font>
      <sz val="11"/>
      <color rgb="FF000000"/>
      <name val="Arial"/>
      <family val="2"/>
      <charset val="177"/>
    </font>
    <font>
      <sz val="9"/>
      <name val="David"/>
      <family val="2"/>
    </font>
    <font>
      <b/>
      <sz val="11"/>
      <color rgb="FFFFFFFF"/>
      <name val="David"/>
      <family val="2"/>
    </font>
    <font>
      <i/>
      <sz val="10"/>
      <color rgb="FF808080"/>
      <name val="David"/>
      <family val="2"/>
    </font>
    <font>
      <u/>
      <sz val="10"/>
      <color theme="10"/>
      <name val="David"/>
      <family val="2"/>
    </font>
    <font>
      <b/>
      <sz val="11"/>
      <color theme="0"/>
      <name val="David"/>
      <family val="2"/>
    </font>
    <font>
      <b/>
      <sz val="16"/>
      <color rgb="FFFFFFFF"/>
      <name val="David"/>
      <family val="2"/>
    </font>
    <font>
      <i/>
      <sz val="11"/>
      <color rgb="FF595959"/>
      <name val="David"/>
      <family val="2"/>
    </font>
    <font>
      <b/>
      <sz val="11"/>
      <color theme="4"/>
      <name val="David"/>
      <family val="2"/>
    </font>
    <font>
      <b/>
      <u/>
      <sz val="11"/>
      <color rgb="FFFF0000"/>
      <name val="David"/>
      <family val="2"/>
    </font>
    <font>
      <b/>
      <u/>
      <sz val="11"/>
      <name val="David"/>
      <family val="2"/>
    </font>
    <font>
      <b/>
      <sz val="11"/>
      <name val="Arial"/>
      <family val="2"/>
      <scheme val="minor"/>
    </font>
    <font>
      <sz val="11"/>
      <name val="Arial"/>
      <family val="2"/>
      <scheme val="minor"/>
    </font>
    <font>
      <sz val="8"/>
      <name val="Arial"/>
      <family val="2"/>
      <scheme val="minor"/>
    </font>
    <font>
      <sz val="11"/>
      <name val="Calibri"/>
      <family val="2"/>
    </font>
  </fonts>
  <fills count="42">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DDFFFF"/>
        <bgColor indexed="64"/>
      </patternFill>
    </fill>
    <fill>
      <patternFill patternType="solid">
        <fgColor rgb="FFF7F7F7"/>
        <bgColor indexed="64"/>
      </patternFill>
    </fill>
    <fill>
      <patternFill patternType="solid">
        <fgColor theme="5" tint="0.79998168889431442"/>
        <bgColor indexed="64"/>
      </patternFill>
    </fill>
    <fill>
      <patternFill patternType="solid">
        <fgColor rgb="FFF4F7FA"/>
        <bgColor indexed="64"/>
      </patternFill>
    </fill>
    <fill>
      <patternFill patternType="solid">
        <fgColor rgb="FFFAF0F0"/>
        <bgColor indexed="64"/>
      </patternFill>
    </fill>
    <fill>
      <patternFill patternType="solid">
        <fgColor theme="8" tint="0.79998168889431442"/>
        <bgColor indexed="64"/>
      </patternFill>
    </fill>
    <fill>
      <patternFill patternType="solid">
        <fgColor rgb="FF66FFFF"/>
        <bgColor indexed="64"/>
      </patternFill>
    </fill>
    <fill>
      <patternFill patternType="solid">
        <fgColor theme="8" tint="0.59999389629810485"/>
        <bgColor indexed="64"/>
      </patternFill>
    </fill>
    <fill>
      <patternFill patternType="solid">
        <fgColor rgb="FFCCFFCC"/>
        <bgColor indexed="64"/>
      </patternFill>
    </fill>
    <fill>
      <patternFill patternType="solid">
        <fgColor rgb="FF99FFCC"/>
        <bgColor indexed="64"/>
      </patternFill>
    </fill>
    <fill>
      <patternFill patternType="solid">
        <fgColor rgb="FFFFFFE7"/>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rgb="FF1F4E78"/>
        <bgColor rgb="FF2F5496"/>
      </patternFill>
    </fill>
    <fill>
      <patternFill patternType="solid">
        <fgColor rgb="FFFFC7CE"/>
        <bgColor rgb="FFF4CCCC"/>
      </patternFill>
    </fill>
    <fill>
      <patternFill patternType="solid">
        <fgColor rgb="FFFFFFE7"/>
        <bgColor rgb="FFDCE6F2"/>
      </patternFill>
    </fill>
    <fill>
      <patternFill patternType="solid">
        <fgColor rgb="FFFFFFE7"/>
        <bgColor rgb="FFFFFFCC"/>
      </patternFill>
    </fill>
    <fill>
      <patternFill patternType="solid">
        <fgColor rgb="FFFFFFE7"/>
        <bgColor rgb="FFDBEEF4"/>
      </patternFill>
    </fill>
    <fill>
      <patternFill patternType="solid">
        <fgColor rgb="FFFFFFE7"/>
        <bgColor rgb="FFD9D9D9"/>
      </patternFill>
    </fill>
    <fill>
      <patternFill patternType="solid">
        <fgColor rgb="FFFFFFE7"/>
        <bgColor rgb="FFFFC7CE"/>
      </patternFill>
    </fill>
    <fill>
      <patternFill patternType="solid">
        <fgColor rgb="FFFFFFE7"/>
        <bgColor rgb="FFD9E1F2"/>
      </patternFill>
    </fill>
    <fill>
      <patternFill patternType="solid">
        <fgColor rgb="FF0070C0"/>
        <bgColor indexed="64"/>
      </patternFill>
    </fill>
    <fill>
      <patternFill patternType="solid">
        <fgColor theme="6" tint="0.79998168889431442"/>
        <bgColor indexed="64"/>
      </patternFill>
    </fill>
    <fill>
      <patternFill patternType="solid">
        <fgColor rgb="FF99FFCC"/>
        <bgColor theme="9"/>
      </patternFill>
    </fill>
    <fill>
      <patternFill patternType="solid">
        <fgColor theme="7" tint="0.79998168889431442"/>
        <bgColor indexed="64"/>
      </patternFill>
    </fill>
    <fill>
      <patternFill patternType="solid">
        <fgColor rgb="FFFFFFE5"/>
        <bgColor indexed="64"/>
      </patternFill>
    </fill>
    <fill>
      <patternFill patternType="solid">
        <fgColor rgb="FFFFFF00"/>
        <bgColor indexed="64"/>
      </patternFill>
    </fill>
    <fill>
      <patternFill patternType="solid">
        <fgColor rgb="FFAFFFD7"/>
        <bgColor indexed="64"/>
      </patternFill>
    </fill>
    <fill>
      <patternFill patternType="solid">
        <fgColor rgb="FFEFFFEF"/>
        <bgColor indexed="64"/>
      </patternFill>
    </fill>
    <fill>
      <patternFill patternType="solid">
        <fgColor rgb="FFFFFFEB"/>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s>
  <cellStyleXfs count="13">
    <xf numFmtId="0" fontId="0"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4"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29" fillId="0" borderId="0" applyFont="0" applyFill="0" applyBorder="0" applyAlignment="0" applyProtection="0"/>
    <xf numFmtId="0" fontId="45" fillId="0" borderId="0" applyNumberFormat="0" applyFill="0" applyBorder="0" applyAlignment="0" applyProtection="0"/>
    <xf numFmtId="43" fontId="29" fillId="0" borderId="0" applyFont="0" applyFill="0" applyBorder="0" applyAlignment="0" applyProtection="0"/>
    <xf numFmtId="0" fontId="90" fillId="0" borderId="0"/>
    <xf numFmtId="0" fontId="91" fillId="0" borderId="0"/>
    <xf numFmtId="173" fontId="92" fillId="0" borderId="0"/>
  </cellStyleXfs>
  <cellXfs count="1154">
    <xf numFmtId="0" fontId="0" fillId="0" borderId="0" xfId="0"/>
    <xf numFmtId="0" fontId="16" fillId="0" borderId="0" xfId="0" applyFont="1" applyAlignment="1" applyProtection="1">
      <alignment horizontal="right" vertical="center" wrapText="1" readingOrder="2"/>
      <protection hidden="1"/>
    </xf>
    <xf numFmtId="0" fontId="45" fillId="0" borderId="0" xfId="8" quotePrefix="1" applyProtection="1">
      <protection hidden="1"/>
    </xf>
    <xf numFmtId="0" fontId="16" fillId="0" borderId="0" xfId="0" applyFont="1" applyAlignment="1" applyProtection="1">
      <alignment horizontal="right" wrapText="1" readingOrder="2"/>
      <protection hidden="1"/>
    </xf>
    <xf numFmtId="0" fontId="16" fillId="0" borderId="0" xfId="0" applyFont="1" applyAlignment="1" applyProtection="1">
      <alignment horizontal="right" vertical="top" wrapText="1"/>
      <protection hidden="1"/>
    </xf>
    <xf numFmtId="0" fontId="16" fillId="0" borderId="0" xfId="0" applyFont="1" applyAlignment="1" applyProtection="1">
      <alignment vertical="top" wrapText="1"/>
      <protection hidden="1"/>
    </xf>
    <xf numFmtId="0" fontId="67" fillId="0" borderId="0" xfId="0" applyFont="1" applyAlignment="1" applyProtection="1">
      <alignment horizontal="center" vertical="center" wrapText="1" readingOrder="2"/>
      <protection hidden="1"/>
    </xf>
    <xf numFmtId="0" fontId="67" fillId="0" borderId="0" xfId="0" applyFont="1" applyAlignment="1" applyProtection="1">
      <alignment horizontal="right" vertical="center" readingOrder="2"/>
      <protection hidden="1"/>
    </xf>
    <xf numFmtId="0" fontId="67" fillId="0" borderId="0" xfId="0" applyFont="1" applyAlignment="1" applyProtection="1">
      <alignment horizontal="right" vertical="center" wrapText="1" readingOrder="2"/>
      <protection hidden="1"/>
    </xf>
    <xf numFmtId="0" fontId="67" fillId="0" borderId="1" xfId="0" applyFont="1" applyBorder="1" applyAlignment="1" applyProtection="1">
      <alignment horizontal="right" vertical="top" wrapText="1" readingOrder="2"/>
      <protection hidden="1"/>
    </xf>
    <xf numFmtId="0" fontId="67" fillId="0" borderId="1" xfId="0" applyFont="1" applyBorder="1" applyAlignment="1" applyProtection="1">
      <alignment horizontal="center" vertical="top" wrapText="1" readingOrder="2"/>
      <protection hidden="1"/>
    </xf>
    <xf numFmtId="0" fontId="16" fillId="0" borderId="0" xfId="0" applyFont="1" applyAlignment="1" applyProtection="1">
      <alignment horizontal="right" vertical="top" wrapText="1" readingOrder="2"/>
      <protection hidden="1"/>
    </xf>
    <xf numFmtId="0" fontId="16" fillId="0" borderId="1" xfId="0" applyFont="1" applyBorder="1" applyAlignment="1" applyProtection="1">
      <alignment vertical="top" wrapText="1"/>
      <protection hidden="1"/>
    </xf>
    <xf numFmtId="0" fontId="19" fillId="0" borderId="1" xfId="0" applyFont="1" applyBorder="1" applyAlignment="1" applyProtection="1">
      <alignment horizontal="right" vertical="top" readingOrder="2"/>
      <protection hidden="1"/>
    </xf>
    <xf numFmtId="0" fontId="16" fillId="0" borderId="1" xfId="0" applyFont="1" applyBorder="1" applyAlignment="1" applyProtection="1">
      <alignment horizontal="right" vertical="top" wrapText="1" readingOrder="2"/>
      <protection hidden="1"/>
    </xf>
    <xf numFmtId="0" fontId="16" fillId="0" borderId="1" xfId="0" applyFont="1" applyBorder="1" applyAlignment="1" applyProtection="1">
      <alignment horizontal="right" vertical="top" readingOrder="2"/>
      <protection hidden="1"/>
    </xf>
    <xf numFmtId="0" fontId="19" fillId="0" borderId="1" xfId="0" applyFont="1" applyBorder="1" applyAlignment="1" applyProtection="1">
      <alignment horizontal="right" vertical="top" wrapText="1" readingOrder="2"/>
      <protection hidden="1"/>
    </xf>
    <xf numFmtId="0" fontId="0" fillId="0" borderId="0" xfId="0" applyProtection="1">
      <protection hidden="1"/>
    </xf>
    <xf numFmtId="0" fontId="61" fillId="0" borderId="0" xfId="0" applyFont="1" applyProtection="1">
      <protection hidden="1"/>
    </xf>
    <xf numFmtId="0" fontId="30" fillId="0" borderId="0" xfId="0" applyFont="1" applyAlignment="1" applyProtection="1">
      <alignment horizontal="center" vertical="center"/>
      <protection hidden="1"/>
    </xf>
    <xf numFmtId="0" fontId="16" fillId="0" borderId="0" xfId="0" applyFont="1" applyProtection="1">
      <protection hidden="1"/>
    </xf>
    <xf numFmtId="0" fontId="3" fillId="0" borderId="0" xfId="0" applyFont="1" applyProtection="1">
      <protection hidden="1"/>
    </xf>
    <xf numFmtId="0" fontId="30" fillId="0" borderId="0" xfId="0" applyFont="1" applyProtection="1">
      <protection hidden="1"/>
    </xf>
    <xf numFmtId="0" fontId="14" fillId="0" borderId="0" xfId="0" applyFont="1" applyAlignment="1" applyProtection="1">
      <alignment horizontal="center" vertical="center" wrapText="1"/>
      <protection hidden="1"/>
    </xf>
    <xf numFmtId="0" fontId="14" fillId="0" borderId="0" xfId="0" applyFont="1" applyProtection="1">
      <protection hidden="1"/>
    </xf>
    <xf numFmtId="0" fontId="26" fillId="6" borderId="4" xfId="0" applyFont="1" applyFill="1" applyBorder="1" applyAlignment="1" applyProtection="1">
      <alignment horizontal="center" vertical="center"/>
      <protection hidden="1"/>
    </xf>
    <xf numFmtId="0" fontId="27" fillId="7" borderId="1" xfId="0" applyFont="1" applyFill="1" applyBorder="1" applyAlignment="1" applyProtection="1">
      <alignment horizontal="center" vertical="center" readingOrder="2"/>
      <protection hidden="1"/>
    </xf>
    <xf numFmtId="0" fontId="27" fillId="8" borderId="1" xfId="0" applyFont="1" applyFill="1" applyBorder="1" applyAlignment="1" applyProtection="1">
      <alignment horizontal="center" vertical="center" readingOrder="2"/>
      <protection hidden="1"/>
    </xf>
    <xf numFmtId="0" fontId="28" fillId="9" borderId="1" xfId="0" applyFont="1" applyFill="1" applyBorder="1" applyAlignment="1" applyProtection="1">
      <alignment horizontal="center" vertical="center"/>
      <protection hidden="1"/>
    </xf>
    <xf numFmtId="0" fontId="27" fillId="10" borderId="1" xfId="0" applyFont="1" applyFill="1" applyBorder="1" applyAlignment="1" applyProtection="1">
      <alignment horizontal="center" vertical="center" readingOrder="2"/>
      <protection hidden="1"/>
    </xf>
    <xf numFmtId="0" fontId="6" fillId="0" borderId="0" xfId="0" applyFont="1" applyProtection="1">
      <protection hidden="1"/>
    </xf>
    <xf numFmtId="0" fontId="25" fillId="0" borderId="0" xfId="0" applyFont="1" applyProtection="1">
      <protection hidden="1"/>
    </xf>
    <xf numFmtId="0" fontId="31" fillId="0" borderId="0" xfId="0" applyFont="1" applyProtection="1">
      <protection hidden="1"/>
    </xf>
    <xf numFmtId="0" fontId="17" fillId="0" borderId="0" xfId="0" applyFont="1" applyProtection="1">
      <protection hidden="1"/>
    </xf>
    <xf numFmtId="0" fontId="15" fillId="0" borderId="0" xfId="0" applyFont="1" applyProtection="1">
      <protection hidden="1"/>
    </xf>
    <xf numFmtId="43" fontId="30" fillId="0" borderId="0" xfId="1" applyFont="1" applyProtection="1">
      <protection hidden="1"/>
    </xf>
    <xf numFmtId="43" fontId="66" fillId="0" borderId="0" xfId="1" applyFont="1" applyProtection="1">
      <protection hidden="1"/>
    </xf>
    <xf numFmtId="43" fontId="30" fillId="0" borderId="0" xfId="1" applyFont="1" applyAlignment="1" applyProtection="1">
      <alignment horizontal="center"/>
      <protection hidden="1"/>
    </xf>
    <xf numFmtId="43" fontId="25" fillId="0" borderId="0" xfId="1" applyFont="1" applyProtection="1">
      <protection hidden="1"/>
    </xf>
    <xf numFmtId="0" fontId="47" fillId="0" borderId="0" xfId="0" applyFont="1" applyProtection="1">
      <protection hidden="1"/>
    </xf>
    <xf numFmtId="0" fontId="30" fillId="0" borderId="0" xfId="0" applyFont="1" applyAlignment="1" applyProtection="1">
      <alignment wrapText="1"/>
      <protection hidden="1"/>
    </xf>
    <xf numFmtId="0" fontId="33" fillId="0" borderId="0" xfId="0" applyFont="1" applyAlignment="1" applyProtection="1">
      <alignment wrapText="1"/>
      <protection hidden="1"/>
    </xf>
    <xf numFmtId="0" fontId="17" fillId="0" borderId="0" xfId="0" applyFont="1" applyAlignment="1" applyProtection="1">
      <alignment horizontal="center"/>
      <protection hidden="1"/>
    </xf>
    <xf numFmtId="43" fontId="30" fillId="0" borderId="0" xfId="1" applyFont="1" applyAlignment="1" applyProtection="1">
      <alignment wrapText="1"/>
      <protection hidden="1"/>
    </xf>
    <xf numFmtId="0" fontId="47" fillId="0" borderId="0" xfId="0" applyFont="1" applyAlignment="1" applyProtection="1">
      <alignment wrapText="1"/>
      <protection hidden="1"/>
    </xf>
    <xf numFmtId="0" fontId="38" fillId="0" borderId="0" xfId="0" applyFont="1" applyProtection="1">
      <protection hidden="1"/>
    </xf>
    <xf numFmtId="20" fontId="38" fillId="0" borderId="0" xfId="0" applyNumberFormat="1" applyFont="1" applyProtection="1">
      <protection hidden="1"/>
    </xf>
    <xf numFmtId="20" fontId="30" fillId="0" borderId="0" xfId="0" applyNumberFormat="1" applyFont="1" applyAlignment="1" applyProtection="1">
      <alignment wrapText="1"/>
      <protection hidden="1"/>
    </xf>
    <xf numFmtId="20" fontId="30" fillId="0" borderId="0" xfId="0" applyNumberFormat="1" applyFont="1" applyProtection="1">
      <protection hidden="1"/>
    </xf>
    <xf numFmtId="0" fontId="24" fillId="0" borderId="0" xfId="0" applyFont="1" applyProtection="1">
      <protection hidden="1"/>
    </xf>
    <xf numFmtId="0" fontId="38" fillId="0" borderId="0" xfId="0" applyFont="1" applyAlignment="1" applyProtection="1">
      <alignment horizontal="center"/>
      <protection hidden="1"/>
    </xf>
    <xf numFmtId="20" fontId="38" fillId="0" borderId="0" xfId="0" applyNumberFormat="1" applyFont="1" applyAlignment="1" applyProtection="1">
      <alignment horizontal="center"/>
      <protection hidden="1"/>
    </xf>
    <xf numFmtId="14" fontId="38" fillId="0" borderId="0" xfId="0" applyNumberFormat="1" applyFont="1" applyProtection="1">
      <protection hidden="1"/>
    </xf>
    <xf numFmtId="10" fontId="49" fillId="0" borderId="0" xfId="2" applyNumberFormat="1" applyFont="1" applyProtection="1">
      <protection hidden="1"/>
    </xf>
    <xf numFmtId="0" fontId="46" fillId="0" borderId="0" xfId="0" applyFont="1" applyProtection="1">
      <protection hidden="1"/>
    </xf>
    <xf numFmtId="0" fontId="18" fillId="0" borderId="0" xfId="0" applyFont="1" applyProtection="1">
      <protection hidden="1"/>
    </xf>
    <xf numFmtId="3" fontId="15" fillId="0" borderId="11" xfId="0" applyNumberFormat="1" applyFont="1" applyBorder="1" applyAlignment="1" applyProtection="1">
      <alignment horizontal="center"/>
      <protection hidden="1"/>
    </xf>
    <xf numFmtId="0" fontId="30" fillId="0" borderId="1" xfId="0" applyFont="1" applyBorder="1" applyProtection="1">
      <protection hidden="1"/>
    </xf>
    <xf numFmtId="164" fontId="15" fillId="0" borderId="1" xfId="0" applyNumberFormat="1" applyFont="1" applyBorder="1" applyProtection="1">
      <protection hidden="1"/>
    </xf>
    <xf numFmtId="3" fontId="32" fillId="0" borderId="11" xfId="0" applyNumberFormat="1" applyFont="1" applyBorder="1" applyAlignment="1" applyProtection="1">
      <alignment horizontal="center"/>
      <protection hidden="1"/>
    </xf>
    <xf numFmtId="0" fontId="18" fillId="0" borderId="1" xfId="0" applyFont="1" applyBorder="1" applyProtection="1">
      <protection hidden="1"/>
    </xf>
    <xf numFmtId="0" fontId="24" fillId="0" borderId="0" xfId="0" applyFont="1" applyAlignment="1" applyProtection="1">
      <alignment horizontal="right"/>
      <protection hidden="1"/>
    </xf>
    <xf numFmtId="3" fontId="15" fillId="0" borderId="26" xfId="0" applyNumberFormat="1" applyFont="1" applyBorder="1" applyAlignment="1" applyProtection="1">
      <alignment horizontal="center"/>
      <protection hidden="1"/>
    </xf>
    <xf numFmtId="43" fontId="18" fillId="0" borderId="0" xfId="1" applyFont="1" applyProtection="1">
      <protection hidden="1"/>
    </xf>
    <xf numFmtId="164" fontId="18" fillId="0" borderId="1" xfId="0" applyNumberFormat="1" applyFont="1" applyBorder="1" applyProtection="1">
      <protection hidden="1"/>
    </xf>
    <xf numFmtId="164" fontId="51" fillId="0" borderId="0" xfId="1" applyNumberFormat="1" applyFont="1" applyFill="1" applyBorder="1" applyProtection="1">
      <protection hidden="1"/>
    </xf>
    <xf numFmtId="43" fontId="30" fillId="12" borderId="1" xfId="1" applyFont="1" applyFill="1" applyBorder="1" applyProtection="1">
      <protection hidden="1"/>
    </xf>
    <xf numFmtId="0" fontId="30" fillId="12" borderId="1" xfId="1" applyNumberFormat="1" applyFont="1" applyFill="1" applyBorder="1" applyProtection="1">
      <protection hidden="1"/>
    </xf>
    <xf numFmtId="43" fontId="30" fillId="0" borderId="1" xfId="1" applyFont="1" applyFill="1" applyBorder="1" applyProtection="1">
      <protection hidden="1"/>
    </xf>
    <xf numFmtId="43" fontId="37" fillId="12" borderId="1" xfId="1" applyFont="1" applyFill="1" applyBorder="1" applyProtection="1">
      <protection hidden="1"/>
    </xf>
    <xf numFmtId="43" fontId="30" fillId="12" borderId="1" xfId="1" applyFont="1" applyFill="1" applyBorder="1" applyAlignment="1" applyProtection="1">
      <alignment wrapText="1"/>
      <protection hidden="1"/>
    </xf>
    <xf numFmtId="0" fontId="75" fillId="0" borderId="0" xfId="0" applyFont="1" applyAlignment="1" applyProtection="1">
      <alignment horizontal="right"/>
      <protection hidden="1"/>
    </xf>
    <xf numFmtId="43" fontId="44" fillId="0" borderId="0" xfId="1" applyFont="1" applyFill="1" applyBorder="1" applyProtection="1">
      <protection hidden="1"/>
    </xf>
    <xf numFmtId="43" fontId="18" fillId="0" borderId="0" xfId="1" applyFont="1" applyBorder="1" applyProtection="1">
      <protection hidden="1"/>
    </xf>
    <xf numFmtId="164" fontId="16" fillId="0" borderId="0" xfId="1" applyNumberFormat="1" applyFont="1" applyFill="1" applyBorder="1" applyProtection="1">
      <protection hidden="1"/>
    </xf>
    <xf numFmtId="164" fontId="19" fillId="0" borderId="0" xfId="1" applyNumberFormat="1" applyFont="1" applyFill="1" applyBorder="1" applyAlignment="1" applyProtection="1">
      <alignment horizontal="center"/>
      <protection hidden="1"/>
    </xf>
    <xf numFmtId="43" fontId="16" fillId="0" borderId="0" xfId="1" applyFont="1" applyProtection="1">
      <protection hidden="1"/>
    </xf>
    <xf numFmtId="43" fontId="30" fillId="0" borderId="0" xfId="1" applyFont="1" applyBorder="1" applyProtection="1">
      <protection hidden="1"/>
    </xf>
    <xf numFmtId="167" fontId="16" fillId="0" borderId="0" xfId="0" applyNumberFormat="1" applyFont="1" applyProtection="1">
      <protection hidden="1"/>
    </xf>
    <xf numFmtId="0" fontId="16" fillId="0" borderId="20" xfId="0" applyFont="1" applyBorder="1" applyProtection="1">
      <protection hidden="1"/>
    </xf>
    <xf numFmtId="0" fontId="39" fillId="0" borderId="41" xfId="0" applyFont="1" applyBorder="1" applyProtection="1">
      <protection hidden="1"/>
    </xf>
    <xf numFmtId="0" fontId="39" fillId="0" borderId="23" xfId="0" applyFont="1" applyBorder="1" applyProtection="1">
      <protection hidden="1"/>
    </xf>
    <xf numFmtId="0" fontId="30" fillId="0" borderId="44" xfId="0" applyFont="1" applyBorder="1" applyProtection="1">
      <protection hidden="1"/>
    </xf>
    <xf numFmtId="0" fontId="16" fillId="0" borderId="45" xfId="0" applyFont="1" applyBorder="1" applyProtection="1">
      <protection hidden="1"/>
    </xf>
    <xf numFmtId="0" fontId="30" fillId="0" borderId="11" xfId="0" applyFont="1" applyBorder="1" applyAlignment="1" applyProtection="1">
      <alignment horizontal="center" vertical="center"/>
      <protection hidden="1"/>
    </xf>
    <xf numFmtId="0" fontId="16" fillId="0" borderId="47" xfId="0" applyFont="1" applyBorder="1" applyProtection="1">
      <protection hidden="1"/>
    </xf>
    <xf numFmtId="167" fontId="30" fillId="0" borderId="0" xfId="2" applyNumberFormat="1" applyFont="1" applyProtection="1">
      <protection hidden="1"/>
    </xf>
    <xf numFmtId="164" fontId="16" fillId="0" borderId="3" xfId="1" applyNumberFormat="1" applyFont="1" applyFill="1" applyBorder="1" applyProtection="1">
      <protection hidden="1"/>
    </xf>
    <xf numFmtId="44" fontId="16" fillId="0" borderId="26" xfId="4" applyFont="1" applyBorder="1" applyProtection="1">
      <protection hidden="1"/>
    </xf>
    <xf numFmtId="43" fontId="16" fillId="0" borderId="3" xfId="1" applyFont="1" applyFill="1" applyBorder="1" applyProtection="1">
      <protection hidden="1"/>
    </xf>
    <xf numFmtId="164" fontId="55" fillId="0" borderId="0" xfId="1" applyNumberFormat="1" applyFont="1" applyFill="1" applyBorder="1" applyProtection="1">
      <protection hidden="1"/>
    </xf>
    <xf numFmtId="44" fontId="16" fillId="0" borderId="0" xfId="4" applyFont="1" applyBorder="1" applyProtection="1">
      <protection hidden="1"/>
    </xf>
    <xf numFmtId="164" fontId="14" fillId="0" borderId="0" xfId="1" applyNumberFormat="1" applyFont="1" applyBorder="1" applyProtection="1">
      <protection hidden="1"/>
    </xf>
    <xf numFmtId="0" fontId="18" fillId="0" borderId="47" xfId="0" applyFont="1" applyBorder="1" applyProtection="1">
      <protection hidden="1"/>
    </xf>
    <xf numFmtId="164" fontId="15" fillId="0" borderId="0" xfId="0" applyNumberFormat="1" applyFont="1" applyProtection="1">
      <protection hidden="1"/>
    </xf>
    <xf numFmtId="0" fontId="15" fillId="0" borderId="25" xfId="0" applyFont="1" applyBorder="1" applyAlignment="1" applyProtection="1">
      <alignment horizontal="center" vertical="center" wrapText="1"/>
      <protection hidden="1"/>
    </xf>
    <xf numFmtId="0" fontId="15" fillId="0" borderId="17" xfId="0" applyFont="1" applyBorder="1" applyAlignment="1" applyProtection="1">
      <alignment horizontal="center" vertical="center" wrapText="1"/>
      <protection hidden="1"/>
    </xf>
    <xf numFmtId="164" fontId="15" fillId="0" borderId="47" xfId="0" applyNumberFormat="1" applyFont="1" applyBorder="1" applyProtection="1">
      <protection hidden="1"/>
    </xf>
    <xf numFmtId="2" fontId="30" fillId="0" borderId="0" xfId="0" applyNumberFormat="1" applyFont="1" applyProtection="1">
      <protection hidden="1"/>
    </xf>
    <xf numFmtId="166" fontId="18" fillId="0" borderId="1" xfId="4" applyNumberFormat="1" applyFont="1" applyFill="1" applyBorder="1" applyAlignment="1" applyProtection="1">
      <alignment horizontal="center" vertical="center"/>
      <protection hidden="1"/>
    </xf>
    <xf numFmtId="166" fontId="18" fillId="0" borderId="4" xfId="4" applyNumberFormat="1" applyFont="1" applyBorder="1" applyAlignment="1" applyProtection="1">
      <alignment vertical="center"/>
      <protection hidden="1"/>
    </xf>
    <xf numFmtId="9" fontId="18" fillId="0" borderId="52" xfId="2" applyFont="1" applyBorder="1" applyAlignment="1" applyProtection="1">
      <alignment horizontal="center" vertical="center"/>
      <protection hidden="1"/>
    </xf>
    <xf numFmtId="164" fontId="18" fillId="0" borderId="47" xfId="0" applyNumberFormat="1" applyFont="1" applyBorder="1" applyProtection="1">
      <protection hidden="1"/>
    </xf>
    <xf numFmtId="166" fontId="18" fillId="0" borderId="6" xfId="4" applyNumberFormat="1" applyFont="1" applyBorder="1" applyAlignment="1" applyProtection="1">
      <alignment vertical="center"/>
      <protection hidden="1"/>
    </xf>
    <xf numFmtId="166" fontId="18" fillId="0" borderId="5" xfId="4" applyNumberFormat="1" applyFont="1" applyBorder="1" applyAlignment="1" applyProtection="1">
      <alignment vertical="center"/>
      <protection hidden="1"/>
    </xf>
    <xf numFmtId="9" fontId="18" fillId="0" borderId="42" xfId="2" applyFont="1" applyBorder="1" applyAlignment="1" applyProtection="1">
      <alignment vertical="center"/>
      <protection hidden="1"/>
    </xf>
    <xf numFmtId="0" fontId="30" fillId="0" borderId="47" xfId="0" applyFont="1" applyBorder="1" applyProtection="1">
      <protection hidden="1"/>
    </xf>
    <xf numFmtId="166" fontId="18" fillId="0" borderId="1" xfId="4" applyNumberFormat="1" applyFont="1" applyBorder="1" applyAlignment="1" applyProtection="1">
      <alignment horizontal="center" vertical="center"/>
      <protection hidden="1"/>
    </xf>
    <xf numFmtId="9" fontId="18" fillId="0" borderId="3" xfId="0" applyNumberFormat="1" applyFont="1" applyBorder="1" applyAlignment="1" applyProtection="1">
      <alignment horizontal="center" vertical="center"/>
      <protection hidden="1"/>
    </xf>
    <xf numFmtId="164" fontId="14" fillId="0" borderId="15" xfId="1" applyNumberFormat="1" applyFont="1" applyFill="1" applyBorder="1" applyAlignment="1" applyProtection="1">
      <alignment horizontal="center" vertical="center"/>
      <protection hidden="1"/>
    </xf>
    <xf numFmtId="164" fontId="14" fillId="0" borderId="32" xfId="1" applyNumberFormat="1" applyFont="1" applyBorder="1" applyAlignment="1" applyProtection="1">
      <alignment horizontal="center" vertical="center"/>
      <protection hidden="1"/>
    </xf>
    <xf numFmtId="166" fontId="14" fillId="0" borderId="15" xfId="4" applyNumberFormat="1" applyFont="1" applyBorder="1" applyAlignment="1" applyProtection="1">
      <alignment horizontal="center" vertical="center"/>
      <protection hidden="1"/>
    </xf>
    <xf numFmtId="9" fontId="14" fillId="0" borderId="53" xfId="2" applyFont="1" applyBorder="1" applyAlignment="1" applyProtection="1">
      <alignment horizontal="center" vertical="center"/>
      <protection hidden="1"/>
    </xf>
    <xf numFmtId="164" fontId="14" fillId="0" borderId="0" xfId="1" applyNumberFormat="1" applyFont="1" applyFill="1" applyBorder="1" applyProtection="1">
      <protection hidden="1"/>
    </xf>
    <xf numFmtId="9" fontId="15" fillId="0" borderId="0" xfId="2" applyFont="1" applyBorder="1" applyProtection="1">
      <protection hidden="1"/>
    </xf>
    <xf numFmtId="9" fontId="19" fillId="0" borderId="0" xfId="2" applyFont="1" applyBorder="1" applyAlignment="1" applyProtection="1">
      <alignment horizontal="center" vertical="center"/>
      <protection hidden="1"/>
    </xf>
    <xf numFmtId="164" fontId="15" fillId="0" borderId="0" xfId="1" applyNumberFormat="1" applyFont="1" applyBorder="1" applyAlignment="1" applyProtection="1">
      <alignment horizontal="center" vertical="center"/>
      <protection hidden="1"/>
    </xf>
    <xf numFmtId="166" fontId="18" fillId="0" borderId="1" xfId="4" applyNumberFormat="1" applyFont="1" applyFill="1" applyBorder="1" applyProtection="1">
      <protection hidden="1"/>
    </xf>
    <xf numFmtId="166" fontId="18" fillId="0" borderId="4" xfId="4" applyNumberFormat="1" applyFont="1" applyFill="1" applyBorder="1" applyAlignment="1" applyProtection="1">
      <alignment vertical="center"/>
      <protection hidden="1"/>
    </xf>
    <xf numFmtId="9" fontId="18" fillId="0" borderId="4" xfId="2" applyFont="1" applyBorder="1" applyAlignment="1" applyProtection="1">
      <alignment horizontal="center" vertical="center"/>
      <protection hidden="1"/>
    </xf>
    <xf numFmtId="166" fontId="18" fillId="0" borderId="3" xfId="4" applyNumberFormat="1" applyFont="1" applyBorder="1" applyAlignment="1" applyProtection="1">
      <alignment horizontal="center" vertical="center"/>
      <protection hidden="1"/>
    </xf>
    <xf numFmtId="166" fontId="30" fillId="0" borderId="47" xfId="0" applyNumberFormat="1" applyFont="1" applyBorder="1" applyProtection="1">
      <protection hidden="1"/>
    </xf>
    <xf numFmtId="164" fontId="18" fillId="0" borderId="0" xfId="0" applyNumberFormat="1" applyFont="1" applyProtection="1">
      <protection hidden="1"/>
    </xf>
    <xf numFmtId="166" fontId="62" fillId="0" borderId="2" xfId="4" applyNumberFormat="1" applyFont="1" applyFill="1" applyBorder="1" applyProtection="1">
      <protection hidden="1"/>
    </xf>
    <xf numFmtId="166" fontId="18" fillId="0" borderId="51" xfId="4" applyNumberFormat="1" applyFont="1" applyBorder="1" applyAlignment="1" applyProtection="1">
      <alignment vertical="center"/>
      <protection hidden="1"/>
    </xf>
    <xf numFmtId="166" fontId="18" fillId="0" borderId="40" xfId="4" applyNumberFormat="1" applyFont="1" applyBorder="1" applyAlignment="1" applyProtection="1">
      <alignment vertical="center"/>
      <protection hidden="1"/>
    </xf>
    <xf numFmtId="9" fontId="18" fillId="0" borderId="5" xfId="2" applyFont="1" applyBorder="1" applyAlignment="1" applyProtection="1">
      <alignment vertical="center"/>
      <protection hidden="1"/>
    </xf>
    <xf numFmtId="166" fontId="18" fillId="0" borderId="5" xfId="4" applyNumberFormat="1" applyFont="1" applyFill="1" applyBorder="1" applyProtection="1">
      <protection hidden="1"/>
    </xf>
    <xf numFmtId="9" fontId="18" fillId="0" borderId="5" xfId="2" applyFont="1" applyBorder="1" applyAlignment="1" applyProtection="1">
      <alignment horizontal="center" vertical="center"/>
      <protection hidden="1"/>
    </xf>
    <xf numFmtId="166" fontId="18" fillId="0" borderId="5" xfId="4" applyNumberFormat="1" applyFont="1" applyBorder="1" applyAlignment="1" applyProtection="1">
      <alignment horizontal="center" vertical="center"/>
      <protection hidden="1"/>
    </xf>
    <xf numFmtId="166" fontId="18" fillId="0" borderId="2" xfId="4" applyNumberFormat="1" applyFont="1" applyFill="1" applyBorder="1" applyProtection="1">
      <protection hidden="1"/>
    </xf>
    <xf numFmtId="9" fontId="18" fillId="0" borderId="4" xfId="2" applyFont="1" applyFill="1" applyBorder="1" applyAlignment="1" applyProtection="1">
      <alignment horizontal="center" vertical="center"/>
      <protection hidden="1"/>
    </xf>
    <xf numFmtId="166" fontId="18" fillId="0" borderId="5" xfId="4" applyNumberFormat="1" applyFont="1" applyFill="1" applyBorder="1" applyAlignment="1" applyProtection="1">
      <alignment vertical="center"/>
      <protection hidden="1"/>
    </xf>
    <xf numFmtId="9" fontId="18" fillId="0" borderId="5" xfId="2" applyFont="1" applyFill="1" applyBorder="1" applyAlignment="1" applyProtection="1">
      <alignment horizontal="center" vertical="center"/>
      <protection hidden="1"/>
    </xf>
    <xf numFmtId="166" fontId="15" fillId="0" borderId="1" xfId="4" applyNumberFormat="1" applyFont="1" applyFill="1" applyBorder="1" applyProtection="1">
      <protection hidden="1"/>
    </xf>
    <xf numFmtId="166" fontId="15" fillId="0" borderId="5" xfId="4" applyNumberFormat="1" applyFont="1" applyFill="1" applyBorder="1" applyProtection="1">
      <protection hidden="1"/>
    </xf>
    <xf numFmtId="166" fontId="15" fillId="0" borderId="5" xfId="4" applyNumberFormat="1" applyFont="1" applyBorder="1" applyProtection="1">
      <protection hidden="1"/>
    </xf>
    <xf numFmtId="166" fontId="15" fillId="0" borderId="3" xfId="4" applyNumberFormat="1" applyFont="1" applyBorder="1" applyProtection="1">
      <protection hidden="1"/>
    </xf>
    <xf numFmtId="9" fontId="18" fillId="0" borderId="1" xfId="2" applyFont="1" applyBorder="1" applyAlignment="1" applyProtection="1">
      <alignment horizontal="center" vertical="center"/>
      <protection hidden="1"/>
    </xf>
    <xf numFmtId="166" fontId="15" fillId="0" borderId="1" xfId="4" applyNumberFormat="1" applyFont="1" applyBorder="1" applyProtection="1">
      <protection hidden="1"/>
    </xf>
    <xf numFmtId="44" fontId="18" fillId="0" borderId="0" xfId="0" applyNumberFormat="1" applyFont="1" applyProtection="1">
      <protection hidden="1"/>
    </xf>
    <xf numFmtId="9" fontId="18" fillId="0" borderId="1" xfId="2" applyFont="1" applyFill="1" applyBorder="1" applyAlignment="1" applyProtection="1">
      <alignment horizontal="center" vertical="center"/>
      <protection hidden="1"/>
    </xf>
    <xf numFmtId="166" fontId="18" fillId="0" borderId="3" xfId="4" applyNumberFormat="1" applyFont="1" applyFill="1" applyBorder="1" applyProtection="1">
      <protection hidden="1"/>
    </xf>
    <xf numFmtId="166" fontId="30" fillId="0" borderId="0" xfId="0" applyNumberFormat="1" applyFont="1" applyProtection="1">
      <protection hidden="1"/>
    </xf>
    <xf numFmtId="166" fontId="14" fillId="0" borderId="15" xfId="4" applyNumberFormat="1" applyFont="1" applyBorder="1" applyProtection="1">
      <protection hidden="1"/>
    </xf>
    <xf numFmtId="0" fontId="30" fillId="0" borderId="15" xfId="0" applyFont="1" applyBorder="1" applyAlignment="1" applyProtection="1">
      <alignment horizontal="center" vertical="center"/>
      <protection hidden="1"/>
    </xf>
    <xf numFmtId="166" fontId="14" fillId="0" borderId="10" xfId="4" applyNumberFormat="1" applyFont="1" applyFill="1" applyBorder="1" applyProtection="1">
      <protection hidden="1"/>
    </xf>
    <xf numFmtId="44" fontId="30" fillId="0" borderId="47" xfId="0" applyNumberFormat="1" applyFont="1" applyBorder="1" applyProtection="1">
      <protection hidden="1"/>
    </xf>
    <xf numFmtId="44" fontId="30" fillId="0" borderId="0" xfId="0" applyNumberFormat="1" applyFont="1" applyProtection="1">
      <protection hidden="1"/>
    </xf>
    <xf numFmtId="0" fontId="30" fillId="0" borderId="26" xfId="0" applyFont="1" applyBorder="1" applyAlignment="1" applyProtection="1">
      <alignment horizontal="center" vertical="center"/>
      <protection hidden="1"/>
    </xf>
    <xf numFmtId="166" fontId="18" fillId="0" borderId="58" xfId="4" applyNumberFormat="1" applyFont="1" applyFill="1" applyBorder="1" applyProtection="1">
      <protection hidden="1"/>
    </xf>
    <xf numFmtId="166" fontId="43" fillId="0" borderId="49" xfId="4" applyNumberFormat="1" applyFont="1" applyBorder="1" applyProtection="1">
      <protection hidden="1"/>
    </xf>
    <xf numFmtId="166" fontId="14" fillId="0" borderId="49" xfId="4" applyNumberFormat="1" applyFont="1" applyBorder="1" applyProtection="1">
      <protection hidden="1"/>
    </xf>
    <xf numFmtId="0" fontId="30" fillId="0" borderId="36" xfId="0" applyFont="1" applyBorder="1" applyProtection="1">
      <protection hidden="1"/>
    </xf>
    <xf numFmtId="0" fontId="40" fillId="0" borderId="0" xfId="0" applyFont="1" applyProtection="1">
      <protection hidden="1"/>
    </xf>
    <xf numFmtId="0" fontId="64" fillId="0" borderId="0" xfId="0" applyFont="1" applyProtection="1">
      <protection hidden="1"/>
    </xf>
    <xf numFmtId="164" fontId="30" fillId="0" borderId="0" xfId="1" applyNumberFormat="1" applyFont="1" applyProtection="1">
      <protection hidden="1"/>
    </xf>
    <xf numFmtId="3" fontId="32" fillId="0" borderId="11" xfId="0" applyNumberFormat="1" applyFont="1" applyBorder="1" applyAlignment="1" applyProtection="1">
      <alignment horizontal="center" vertical="center"/>
      <protection hidden="1"/>
    </xf>
    <xf numFmtId="3" fontId="32" fillId="0" borderId="0" xfId="0" applyNumberFormat="1" applyFont="1" applyAlignment="1" applyProtection="1">
      <alignment horizontal="center" vertical="center"/>
      <protection hidden="1"/>
    </xf>
    <xf numFmtId="164" fontId="18" fillId="0" borderId="0" xfId="1" applyNumberFormat="1" applyFont="1" applyProtection="1">
      <protection hidden="1"/>
    </xf>
    <xf numFmtId="0" fontId="26" fillId="0" borderId="0" xfId="0" applyFont="1" applyProtection="1">
      <protection hidden="1"/>
    </xf>
    <xf numFmtId="3" fontId="32" fillId="0" borderId="26" xfId="0" applyNumberFormat="1" applyFont="1" applyBorder="1" applyAlignment="1" applyProtection="1">
      <alignment horizontal="center" vertical="center"/>
      <protection hidden="1"/>
    </xf>
    <xf numFmtId="0" fontId="10" fillId="0" borderId="0" xfId="0" applyFont="1" applyProtection="1">
      <protection hidden="1"/>
    </xf>
    <xf numFmtId="164" fontId="26" fillId="0" borderId="0" xfId="1" applyNumberFormat="1" applyFont="1" applyProtection="1">
      <protection hidden="1"/>
    </xf>
    <xf numFmtId="0" fontId="16" fillId="0" borderId="0" xfId="0" applyFont="1" applyAlignment="1" applyProtection="1">
      <alignment wrapText="1"/>
      <protection hidden="1"/>
    </xf>
    <xf numFmtId="3" fontId="32" fillId="0" borderId="26" xfId="0" applyNumberFormat="1" applyFont="1" applyBorder="1" applyAlignment="1" applyProtection="1">
      <alignment horizontal="center"/>
      <protection hidden="1"/>
    </xf>
    <xf numFmtId="3" fontId="32" fillId="0" borderId="0" xfId="0" applyNumberFormat="1" applyFont="1" applyAlignment="1" applyProtection="1">
      <alignment horizontal="center"/>
      <protection hidden="1"/>
    </xf>
    <xf numFmtId="0" fontId="59" fillId="0" borderId="0" xfId="0" applyFont="1" applyAlignment="1" applyProtection="1">
      <alignment wrapText="1"/>
      <protection hidden="1"/>
    </xf>
    <xf numFmtId="0" fontId="17" fillId="0" borderId="0" xfId="0" applyFont="1" applyAlignment="1" applyProtection="1">
      <alignment horizontal="right"/>
      <protection hidden="1"/>
    </xf>
    <xf numFmtId="0" fontId="63" fillId="0" borderId="0" xfId="0" applyFont="1" applyProtection="1">
      <protection hidden="1"/>
    </xf>
    <xf numFmtId="0" fontId="35" fillId="0" borderId="0" xfId="0" applyFont="1" applyProtection="1">
      <protection hidden="1"/>
    </xf>
    <xf numFmtId="0" fontId="36" fillId="0" borderId="0" xfId="0" applyFont="1" applyAlignment="1" applyProtection="1">
      <alignment horizontal="center"/>
      <protection hidden="1"/>
    </xf>
    <xf numFmtId="0" fontId="56" fillId="0" borderId="0" xfId="0" applyFont="1" applyProtection="1">
      <protection hidden="1"/>
    </xf>
    <xf numFmtId="0" fontId="74" fillId="0" borderId="0" xfId="0" applyFont="1" applyProtection="1">
      <protection hidden="1"/>
    </xf>
    <xf numFmtId="0" fontId="14" fillId="0" borderId="1" xfId="0" applyFont="1" applyBorder="1" applyAlignment="1" applyProtection="1">
      <alignment horizontal="center" vertical="center" wrapText="1"/>
      <protection hidden="1"/>
    </xf>
    <xf numFmtId="0" fontId="41" fillId="0" borderId="1" xfId="0" applyFont="1" applyBorder="1" applyAlignment="1" applyProtection="1">
      <alignment horizontal="center" vertical="center" wrapText="1"/>
      <protection hidden="1"/>
    </xf>
    <xf numFmtId="0" fontId="30" fillId="0" borderId="5" xfId="0" applyFont="1" applyBorder="1" applyProtection="1">
      <protection hidden="1"/>
    </xf>
    <xf numFmtId="0" fontId="37" fillId="0" borderId="5" xfId="0" applyFont="1" applyBorder="1" applyAlignment="1" applyProtection="1">
      <alignment horizontal="right"/>
      <protection hidden="1"/>
    </xf>
    <xf numFmtId="164" fontId="65" fillId="0" borderId="5" xfId="1" applyNumberFormat="1" applyFont="1" applyBorder="1" applyAlignment="1" applyProtection="1">
      <alignment horizontal="right"/>
      <protection hidden="1"/>
    </xf>
    <xf numFmtId="164" fontId="37" fillId="0" borderId="5" xfId="1" applyNumberFormat="1" applyFont="1" applyFill="1" applyBorder="1" applyAlignment="1" applyProtection="1">
      <alignment horizontal="right"/>
      <protection hidden="1"/>
    </xf>
    <xf numFmtId="164" fontId="30" fillId="0" borderId="1" xfId="1" applyNumberFormat="1" applyFont="1" applyBorder="1" applyProtection="1">
      <protection hidden="1"/>
    </xf>
    <xf numFmtId="0" fontId="12" fillId="0" borderId="0" xfId="0" applyFont="1" applyAlignment="1" applyProtection="1">
      <alignment horizontal="center"/>
      <protection hidden="1"/>
    </xf>
    <xf numFmtId="0" fontId="12" fillId="0" borderId="0" xfId="0" applyFont="1" applyProtection="1">
      <protection hidden="1"/>
    </xf>
    <xf numFmtId="0" fontId="52" fillId="0" borderId="0" xfId="0" applyFont="1" applyProtection="1">
      <protection hidden="1"/>
    </xf>
    <xf numFmtId="0" fontId="1" fillId="0" borderId="0" xfId="0" applyFont="1" applyProtection="1">
      <protection hidden="1"/>
    </xf>
    <xf numFmtId="0" fontId="15" fillId="0" borderId="11" xfId="0" applyFont="1" applyBorder="1" applyAlignment="1" applyProtection="1">
      <alignment horizontal="center" vertical="center"/>
      <protection hidden="1"/>
    </xf>
    <xf numFmtId="0" fontId="15" fillId="0" borderId="26" xfId="0" applyFont="1" applyBorder="1" applyAlignment="1" applyProtection="1">
      <alignment horizontal="center" vertical="center"/>
      <protection hidden="1"/>
    </xf>
    <xf numFmtId="0" fontId="7" fillId="0" borderId="0" xfId="0" applyFont="1" applyAlignment="1" applyProtection="1">
      <alignment horizontal="center"/>
      <protection hidden="1"/>
    </xf>
    <xf numFmtId="0" fontId="19" fillId="4" borderId="43" xfId="0" applyFont="1" applyFill="1" applyBorder="1" applyProtection="1">
      <protection hidden="1"/>
    </xf>
    <xf numFmtId="0" fontId="19" fillId="4" borderId="45" xfId="0" applyFont="1" applyFill="1" applyBorder="1" applyProtection="1">
      <protection hidden="1"/>
    </xf>
    <xf numFmtId="0" fontId="2" fillId="0" borderId="0" xfId="0" applyFont="1" applyProtection="1">
      <protection hidden="1"/>
    </xf>
    <xf numFmtId="0" fontId="19" fillId="4" borderId="48" xfId="0" applyFont="1" applyFill="1" applyBorder="1" applyProtection="1">
      <protection hidden="1"/>
    </xf>
    <xf numFmtId="0" fontId="19" fillId="4" borderId="36" xfId="0" applyFont="1" applyFill="1" applyBorder="1" applyProtection="1">
      <protection hidden="1"/>
    </xf>
    <xf numFmtId="0" fontId="39" fillId="0" borderId="0" xfId="0" applyFont="1" applyProtection="1">
      <protection hidden="1"/>
    </xf>
    <xf numFmtId="0" fontId="19" fillId="0" borderId="1" xfId="0" applyFont="1" applyBorder="1" applyAlignment="1" applyProtection="1">
      <alignment horizontal="center" vertical="center" wrapText="1"/>
      <protection hidden="1"/>
    </xf>
    <xf numFmtId="0" fontId="72" fillId="0" borderId="0" xfId="0" applyFont="1" applyProtection="1">
      <protection hidden="1"/>
    </xf>
    <xf numFmtId="0" fontId="50" fillId="0" borderId="0" xfId="0" applyFont="1" applyProtection="1">
      <protection hidden="1"/>
    </xf>
    <xf numFmtId="164" fontId="18" fillId="0" borderId="1" xfId="1" applyNumberFormat="1" applyFont="1" applyFill="1" applyBorder="1" applyProtection="1">
      <protection hidden="1"/>
    </xf>
    <xf numFmtId="44" fontId="18" fillId="0" borderId="1" xfId="4" applyFont="1" applyFill="1" applyBorder="1" applyProtection="1">
      <protection hidden="1"/>
    </xf>
    <xf numFmtId="0" fontId="37" fillId="0" borderId="1" xfId="0" applyFont="1" applyBorder="1" applyProtection="1">
      <protection hidden="1"/>
    </xf>
    <xf numFmtId="0" fontId="56" fillId="0" borderId="0" xfId="0" applyFont="1" applyAlignment="1" applyProtection="1">
      <alignment horizontal="center"/>
      <protection hidden="1"/>
    </xf>
    <xf numFmtId="0" fontId="57" fillId="0" borderId="0" xfId="0" applyFont="1" applyProtection="1">
      <protection hidden="1"/>
    </xf>
    <xf numFmtId="0" fontId="9" fillId="0" borderId="0" xfId="0" applyFont="1" applyProtection="1">
      <protection hidden="1"/>
    </xf>
    <xf numFmtId="3" fontId="10" fillId="0" borderId="0" xfId="0" applyNumberFormat="1" applyFont="1" applyProtection="1">
      <protection hidden="1"/>
    </xf>
    <xf numFmtId="0" fontId="9" fillId="0" borderId="0" xfId="0" applyFont="1" applyAlignment="1" applyProtection="1">
      <alignment horizontal="right"/>
      <protection hidden="1"/>
    </xf>
    <xf numFmtId="0" fontId="14" fillId="4" borderId="43" xfId="0" applyFont="1" applyFill="1" applyBorder="1" applyAlignment="1" applyProtection="1">
      <alignment vertical="center"/>
      <protection hidden="1"/>
    </xf>
    <xf numFmtId="0" fontId="14" fillId="4" borderId="45" xfId="0" applyFont="1" applyFill="1" applyBorder="1" applyAlignment="1" applyProtection="1">
      <alignment vertical="center"/>
      <protection hidden="1"/>
    </xf>
    <xf numFmtId="0" fontId="14" fillId="4" borderId="48" xfId="0" applyFont="1" applyFill="1" applyBorder="1" applyAlignment="1" applyProtection="1">
      <alignment vertical="center"/>
      <protection hidden="1"/>
    </xf>
    <xf numFmtId="0" fontId="14" fillId="4" borderId="36" xfId="0" applyFont="1" applyFill="1" applyBorder="1" applyAlignment="1" applyProtection="1">
      <alignment vertical="center"/>
      <protection hidden="1"/>
    </xf>
    <xf numFmtId="0" fontId="8" fillId="0" borderId="0" xfId="0" applyFont="1" applyProtection="1">
      <protection hidden="1"/>
    </xf>
    <xf numFmtId="0" fontId="58" fillId="0" borderId="0" xfId="0" applyFont="1" applyProtection="1">
      <protection hidden="1"/>
    </xf>
    <xf numFmtId="0" fontId="11" fillId="0" borderId="0" xfId="0" applyFont="1" applyProtection="1">
      <protection hidden="1"/>
    </xf>
    <xf numFmtId="0" fontId="11" fillId="0" borderId="0" xfId="0" applyFont="1" applyAlignment="1" applyProtection="1">
      <alignment horizontal="center"/>
      <protection hidden="1"/>
    </xf>
    <xf numFmtId="0" fontId="69" fillId="0" borderId="0" xfId="0" applyFont="1" applyAlignment="1" applyProtection="1">
      <alignment horizontal="center"/>
      <protection hidden="1"/>
    </xf>
    <xf numFmtId="0" fontId="3" fillId="0" borderId="0" xfId="0" applyFont="1" applyAlignment="1" applyProtection="1">
      <alignment vertical="center"/>
      <protection hidden="1"/>
    </xf>
    <xf numFmtId="0" fontId="5" fillId="0" borderId="1" xfId="0" applyFont="1" applyBorder="1" applyAlignment="1" applyProtection="1">
      <alignment horizontal="center" vertical="center"/>
      <protection hidden="1"/>
    </xf>
    <xf numFmtId="0" fontId="5" fillId="0" borderId="1" xfId="0" applyFont="1" applyBorder="1" applyAlignment="1" applyProtection="1">
      <alignment horizontal="center" vertical="center" wrapText="1"/>
      <protection hidden="1"/>
    </xf>
    <xf numFmtId="0" fontId="73" fillId="0" borderId="0" xfId="0" applyFont="1" applyAlignment="1" applyProtection="1">
      <alignment vertical="center"/>
      <protection hidden="1"/>
    </xf>
    <xf numFmtId="0" fontId="59" fillId="0" borderId="1" xfId="0" applyFont="1" applyBorder="1" applyAlignment="1" applyProtection="1">
      <alignment horizontal="center" vertical="center" wrapText="1"/>
      <protection hidden="1"/>
    </xf>
    <xf numFmtId="164" fontId="6" fillId="0" borderId="1" xfId="1" applyNumberFormat="1" applyFont="1" applyFill="1" applyBorder="1" applyProtection="1">
      <protection hidden="1"/>
    </xf>
    <xf numFmtId="164" fontId="60" fillId="0" borderId="1" xfId="1" applyNumberFormat="1" applyFont="1" applyFill="1" applyBorder="1" applyProtection="1">
      <protection hidden="1"/>
    </xf>
    <xf numFmtId="0" fontId="5" fillId="0" borderId="0" xfId="0" applyFont="1" applyProtection="1">
      <protection hidden="1"/>
    </xf>
    <xf numFmtId="43" fontId="3" fillId="0" borderId="0" xfId="0" applyNumberFormat="1" applyFont="1" applyProtection="1">
      <protection hidden="1"/>
    </xf>
    <xf numFmtId="43" fontId="57" fillId="0" borderId="0" xfId="0" applyNumberFormat="1" applyFont="1" applyProtection="1">
      <protection hidden="1"/>
    </xf>
    <xf numFmtId="0" fontId="3" fillId="0" borderId="0" xfId="0" applyFont="1" applyAlignment="1" applyProtection="1">
      <alignment horizontal="right"/>
      <protection hidden="1"/>
    </xf>
    <xf numFmtId="3" fontId="32" fillId="0" borderId="0" xfId="0" applyNumberFormat="1" applyFont="1" applyProtection="1">
      <protection hidden="1"/>
    </xf>
    <xf numFmtId="0" fontId="14" fillId="4" borderId="44" xfId="0" applyFont="1" applyFill="1" applyBorder="1" applyAlignment="1" applyProtection="1">
      <alignment vertical="center"/>
      <protection hidden="1"/>
    </xf>
    <xf numFmtId="0" fontId="14" fillId="4" borderId="49" xfId="0" applyFont="1" applyFill="1" applyBorder="1" applyAlignment="1" applyProtection="1">
      <alignment vertical="center"/>
      <protection hidden="1"/>
    </xf>
    <xf numFmtId="0" fontId="30" fillId="0" borderId="0" xfId="0" applyFont="1" applyAlignment="1" applyProtection="1">
      <alignment horizontal="right"/>
      <protection hidden="1"/>
    </xf>
    <xf numFmtId="164" fontId="24" fillId="0" borderId="0" xfId="1" applyNumberFormat="1" applyFont="1" applyAlignment="1" applyProtection="1">
      <alignment horizontal="right" readingOrder="1"/>
      <protection hidden="1"/>
    </xf>
    <xf numFmtId="164" fontId="14" fillId="0" borderId="1" xfId="1" applyNumberFormat="1" applyFont="1" applyBorder="1" applyAlignment="1" applyProtection="1">
      <alignment horizontal="center" wrapText="1"/>
      <protection hidden="1"/>
    </xf>
    <xf numFmtId="0" fontId="43" fillId="0" borderId="0" xfId="0" applyFont="1" applyProtection="1">
      <protection hidden="1"/>
    </xf>
    <xf numFmtId="164" fontId="14" fillId="0" borderId="0" xfId="1" applyNumberFormat="1" applyFont="1" applyBorder="1" applyAlignment="1" applyProtection="1">
      <alignment horizontal="center" wrapText="1"/>
      <protection hidden="1"/>
    </xf>
    <xf numFmtId="0" fontId="30" fillId="0" borderId="0" xfId="0" applyFont="1" applyAlignment="1" applyProtection="1">
      <alignment horizontal="center"/>
      <protection hidden="1"/>
    </xf>
    <xf numFmtId="49" fontId="30" fillId="0" borderId="0" xfId="0" applyNumberFormat="1" applyFont="1" applyAlignment="1" applyProtection="1">
      <alignment horizontal="right"/>
      <protection hidden="1"/>
    </xf>
    <xf numFmtId="0" fontId="32" fillId="0" borderId="0" xfId="0" applyFont="1" applyAlignment="1" applyProtection="1">
      <alignment readingOrder="2"/>
      <protection hidden="1"/>
    </xf>
    <xf numFmtId="0" fontId="17" fillId="0" borderId="0" xfId="0" applyFont="1" applyAlignment="1" applyProtection="1">
      <alignment horizontal="center" readingOrder="2"/>
      <protection hidden="1"/>
    </xf>
    <xf numFmtId="0" fontId="32" fillId="0" borderId="0" xfId="0" applyFont="1" applyAlignment="1" applyProtection="1">
      <alignment horizontal="center" readingOrder="2"/>
      <protection hidden="1"/>
    </xf>
    <xf numFmtId="0" fontId="14" fillId="0" borderId="2" xfId="0" applyFont="1" applyBorder="1" applyProtection="1">
      <protection hidden="1"/>
    </xf>
    <xf numFmtId="0" fontId="14" fillId="0" borderId="13" xfId="0" applyFont="1" applyBorder="1" applyAlignment="1" applyProtection="1">
      <alignment horizontal="center"/>
      <protection hidden="1"/>
    </xf>
    <xf numFmtId="0" fontId="14" fillId="0" borderId="13" xfId="0" applyFont="1" applyBorder="1" applyProtection="1">
      <protection hidden="1"/>
    </xf>
    <xf numFmtId="0" fontId="14" fillId="0" borderId="5" xfId="0" applyFont="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164" fontId="14" fillId="0" borderId="1" xfId="1" applyNumberFormat="1" applyFont="1" applyBorder="1" applyProtection="1">
      <protection hidden="1"/>
    </xf>
    <xf numFmtId="164" fontId="34" fillId="0" borderId="1" xfId="1" applyNumberFormat="1" applyFont="1" applyBorder="1" applyAlignment="1" applyProtection="1">
      <alignment vertical="center"/>
      <protection hidden="1"/>
    </xf>
    <xf numFmtId="0" fontId="25" fillId="0" borderId="0" xfId="0" applyFont="1" applyAlignment="1" applyProtection="1">
      <alignment horizontal="left" wrapText="1" readingOrder="1"/>
      <protection hidden="1"/>
    </xf>
    <xf numFmtId="0" fontId="24" fillId="0" borderId="0" xfId="0" applyFont="1" applyAlignment="1" applyProtection="1">
      <alignment horizontal="right" readingOrder="1"/>
      <protection hidden="1"/>
    </xf>
    <xf numFmtId="49" fontId="14" fillId="0" borderId="0" xfId="0" applyNumberFormat="1" applyFont="1" applyProtection="1">
      <protection hidden="1"/>
    </xf>
    <xf numFmtId="49" fontId="14" fillId="0" borderId="0" xfId="0" applyNumberFormat="1" applyFont="1" applyAlignment="1" applyProtection="1">
      <alignment horizontal="center"/>
      <protection hidden="1"/>
    </xf>
    <xf numFmtId="49" fontId="25" fillId="0" borderId="0" xfId="0" applyNumberFormat="1" applyFont="1" applyAlignment="1" applyProtection="1">
      <alignment horizontal="center"/>
      <protection hidden="1"/>
    </xf>
    <xf numFmtId="49" fontId="25" fillId="0" borderId="0" xfId="0" applyNumberFormat="1" applyFont="1" applyProtection="1">
      <protection hidden="1"/>
    </xf>
    <xf numFmtId="49" fontId="14" fillId="0" borderId="0" xfId="0" applyNumberFormat="1" applyFont="1" applyAlignment="1" applyProtection="1">
      <alignment vertical="top"/>
      <protection hidden="1"/>
    </xf>
    <xf numFmtId="164" fontId="30" fillId="0" borderId="5" xfId="1" applyNumberFormat="1" applyFont="1" applyFill="1" applyBorder="1" applyProtection="1">
      <protection hidden="1"/>
    </xf>
    <xf numFmtId="164" fontId="30" fillId="0" borderId="16" xfId="1" applyNumberFormat="1" applyFont="1" applyFill="1" applyBorder="1" applyProtection="1">
      <protection hidden="1"/>
    </xf>
    <xf numFmtId="164" fontId="30" fillId="0" borderId="5" xfId="1" applyNumberFormat="1" applyFont="1" applyBorder="1" applyProtection="1">
      <protection hidden="1"/>
    </xf>
    <xf numFmtId="164" fontId="20" fillId="0" borderId="5" xfId="1" applyNumberFormat="1" applyFont="1" applyBorder="1" applyProtection="1">
      <protection hidden="1"/>
    </xf>
    <xf numFmtId="164" fontId="20" fillId="0" borderId="1" xfId="1" applyNumberFormat="1" applyFont="1" applyBorder="1" applyProtection="1">
      <protection hidden="1"/>
    </xf>
    <xf numFmtId="164" fontId="17" fillId="0" borderId="0" xfId="1" applyNumberFormat="1" applyFont="1" applyAlignment="1" applyProtection="1">
      <protection hidden="1"/>
    </xf>
    <xf numFmtId="0" fontId="27" fillId="0" borderId="0" xfId="0" applyFont="1" applyProtection="1">
      <protection hidden="1"/>
    </xf>
    <xf numFmtId="164" fontId="27" fillId="0" borderId="0" xfId="1" applyNumberFormat="1" applyFont="1" applyProtection="1">
      <protection hidden="1"/>
    </xf>
    <xf numFmtId="164" fontId="26" fillId="0" borderId="0" xfId="1" applyNumberFormat="1" applyFont="1" applyFill="1" applyProtection="1">
      <protection hidden="1"/>
    </xf>
    <xf numFmtId="164" fontId="32" fillId="0" borderId="26" xfId="1" applyNumberFormat="1" applyFont="1" applyFill="1" applyBorder="1" applyAlignment="1" applyProtection="1">
      <alignment horizontal="center"/>
      <protection hidden="1"/>
    </xf>
    <xf numFmtId="164" fontId="17" fillId="0" borderId="0" xfId="1" applyNumberFormat="1" applyFont="1" applyAlignment="1" applyProtection="1">
      <alignment horizontal="center"/>
      <protection hidden="1"/>
    </xf>
    <xf numFmtId="164" fontId="30" fillId="0" borderId="0" xfId="1" applyNumberFormat="1" applyFont="1" applyAlignment="1" applyProtection="1">
      <alignment wrapText="1"/>
      <protection hidden="1"/>
    </xf>
    <xf numFmtId="0" fontId="24" fillId="0" borderId="0" xfId="0" applyFont="1" applyAlignment="1" applyProtection="1">
      <alignment vertical="center" wrapText="1"/>
      <protection hidden="1"/>
    </xf>
    <xf numFmtId="164" fontId="15" fillId="0" borderId="25" xfId="1" applyNumberFormat="1" applyFont="1" applyBorder="1" applyAlignment="1" applyProtection="1">
      <protection hidden="1"/>
    </xf>
    <xf numFmtId="0" fontId="14" fillId="0" borderId="0" xfId="0" applyFont="1" applyAlignment="1" applyProtection="1">
      <alignment horizontal="center" wrapText="1"/>
      <protection hidden="1"/>
    </xf>
    <xf numFmtId="164" fontId="14" fillId="0" borderId="5" xfId="1" applyNumberFormat="1" applyFont="1" applyBorder="1" applyAlignment="1" applyProtection="1">
      <alignment horizontal="center" wrapText="1"/>
      <protection hidden="1"/>
    </xf>
    <xf numFmtId="0" fontId="14" fillId="0" borderId="0" xfId="0" applyFont="1" applyAlignment="1" applyProtection="1">
      <alignment horizontal="center"/>
      <protection hidden="1"/>
    </xf>
    <xf numFmtId="164" fontId="15" fillId="0" borderId="15" xfId="1" applyNumberFormat="1" applyFont="1" applyBorder="1" applyProtection="1">
      <protection hidden="1"/>
    </xf>
    <xf numFmtId="164" fontId="15" fillId="0" borderId="10" xfId="1" applyNumberFormat="1" applyFont="1" applyBorder="1" applyProtection="1">
      <protection hidden="1"/>
    </xf>
    <xf numFmtId="0" fontId="24" fillId="0" borderId="0" xfId="0" applyFont="1" applyAlignment="1" applyProtection="1">
      <alignment horizontal="center" vertical="center" wrapText="1"/>
      <protection hidden="1"/>
    </xf>
    <xf numFmtId="164" fontId="14" fillId="0" borderId="0" xfId="1" applyNumberFormat="1" applyFont="1" applyProtection="1">
      <protection hidden="1"/>
    </xf>
    <xf numFmtId="0" fontId="18" fillId="0" borderId="0" xfId="0" applyFont="1" applyAlignment="1" applyProtection="1">
      <alignment horizontal="right"/>
      <protection hidden="1"/>
    </xf>
    <xf numFmtId="0" fontId="18" fillId="0" borderId="0" xfId="0" applyFont="1" applyAlignment="1" applyProtection="1">
      <alignment horizontal="center"/>
      <protection hidden="1"/>
    </xf>
    <xf numFmtId="164" fontId="18" fillId="0" borderId="0" xfId="1" applyNumberFormat="1" applyFont="1" applyAlignment="1" applyProtection="1">
      <alignment horizontal="center"/>
      <protection hidden="1"/>
    </xf>
    <xf numFmtId="0" fontId="20" fillId="0" borderId="41" xfId="0" applyFont="1" applyBorder="1" applyAlignment="1" applyProtection="1">
      <alignment horizontal="right"/>
      <protection hidden="1"/>
    </xf>
    <xf numFmtId="164" fontId="30" fillId="0" borderId="41" xfId="1" applyNumberFormat="1" applyFont="1" applyBorder="1" applyProtection="1">
      <protection hidden="1"/>
    </xf>
    <xf numFmtId="0" fontId="14" fillId="0" borderId="20" xfId="0" applyFont="1" applyBorder="1" applyAlignment="1" applyProtection="1">
      <alignment horizontal="center" vertical="center" wrapText="1"/>
      <protection hidden="1"/>
    </xf>
    <xf numFmtId="0" fontId="14" fillId="0" borderId="9" xfId="0" applyFont="1" applyBorder="1" applyAlignment="1" applyProtection="1">
      <alignment horizontal="center" vertical="center" wrapText="1"/>
      <protection hidden="1"/>
    </xf>
    <xf numFmtId="0" fontId="30" fillId="0" borderId="2" xfId="0" applyFont="1" applyBorder="1" applyProtection="1">
      <protection hidden="1"/>
    </xf>
    <xf numFmtId="1" fontId="30" fillId="0" borderId="40" xfId="0" applyNumberFormat="1" applyFont="1" applyBorder="1" applyProtection="1">
      <protection hidden="1"/>
    </xf>
    <xf numFmtId="164" fontId="25" fillId="0" borderId="5" xfId="1" applyNumberFormat="1" applyFont="1" applyBorder="1" applyProtection="1">
      <protection hidden="1"/>
    </xf>
    <xf numFmtId="0" fontId="30" fillId="0" borderId="16" xfId="0" applyFont="1" applyBorder="1" applyAlignment="1" applyProtection="1">
      <alignment horizontal="center"/>
      <protection hidden="1"/>
    </xf>
    <xf numFmtId="164" fontId="25" fillId="0" borderId="1" xfId="1" applyNumberFormat="1" applyFont="1" applyBorder="1" applyProtection="1">
      <protection hidden="1"/>
    </xf>
    <xf numFmtId="164" fontId="30" fillId="0" borderId="0" xfId="1" applyNumberFormat="1" applyFont="1" applyFill="1" applyProtection="1">
      <protection hidden="1"/>
    </xf>
    <xf numFmtId="0" fontId="31" fillId="0" borderId="0" xfId="0" applyFont="1" applyAlignment="1" applyProtection="1">
      <alignment horizontal="center"/>
      <protection hidden="1"/>
    </xf>
    <xf numFmtId="0" fontId="30" fillId="0" borderId="1" xfId="0" applyFont="1" applyBorder="1" applyAlignment="1" applyProtection="1">
      <alignment horizontal="center"/>
      <protection hidden="1"/>
    </xf>
    <xf numFmtId="0" fontId="42" fillId="0" borderId="0" xfId="0" applyFont="1" applyProtection="1">
      <protection hidden="1"/>
    </xf>
    <xf numFmtId="0" fontId="19" fillId="5" borderId="24" xfId="0" applyFont="1" applyFill="1" applyBorder="1" applyAlignment="1" applyProtection="1">
      <alignment horizontal="center" vertical="center" wrapText="1"/>
      <protection hidden="1"/>
    </xf>
    <xf numFmtId="0" fontId="19" fillId="5" borderId="25" xfId="0" applyFont="1" applyFill="1" applyBorder="1" applyAlignment="1" applyProtection="1">
      <alignment horizontal="center" vertical="center" wrapText="1"/>
      <protection hidden="1"/>
    </xf>
    <xf numFmtId="0" fontId="19" fillId="5" borderId="56" xfId="0" applyFont="1" applyFill="1" applyBorder="1" applyAlignment="1" applyProtection="1">
      <alignment horizontal="center" vertical="center" wrapText="1"/>
      <protection hidden="1"/>
    </xf>
    <xf numFmtId="0" fontId="19" fillId="5" borderId="17" xfId="0" applyFont="1" applyFill="1" applyBorder="1" applyAlignment="1" applyProtection="1">
      <alignment horizontal="center" vertical="center" wrapText="1"/>
      <protection hidden="1"/>
    </xf>
    <xf numFmtId="0" fontId="30" fillId="0" borderId="18" xfId="0" applyFont="1" applyBorder="1" applyProtection="1">
      <protection hidden="1"/>
    </xf>
    <xf numFmtId="0" fontId="25" fillId="0" borderId="0" xfId="0" applyFont="1" applyAlignment="1" applyProtection="1">
      <alignment horizontal="center"/>
      <protection hidden="1"/>
    </xf>
    <xf numFmtId="43" fontId="25" fillId="0" borderId="0" xfId="0" applyNumberFormat="1" applyFont="1" applyAlignment="1" applyProtection="1">
      <alignment horizontal="center"/>
      <protection hidden="1"/>
    </xf>
    <xf numFmtId="0" fontId="32" fillId="0" borderId="0" xfId="0" applyFont="1" applyAlignment="1" applyProtection="1">
      <alignment horizontal="right"/>
      <protection hidden="1"/>
    </xf>
    <xf numFmtId="0" fontId="31" fillId="0" borderId="0" xfId="0" applyFont="1" applyAlignment="1" applyProtection="1">
      <alignment horizontal="right"/>
      <protection hidden="1"/>
    </xf>
    <xf numFmtId="10" fontId="30" fillId="0" borderId="0" xfId="0" applyNumberFormat="1" applyFont="1" applyProtection="1">
      <protection hidden="1"/>
    </xf>
    <xf numFmtId="43" fontId="30" fillId="0" borderId="0" xfId="0" applyNumberFormat="1" applyFont="1" applyProtection="1">
      <protection hidden="1"/>
    </xf>
    <xf numFmtId="0" fontId="14" fillId="4" borderId="19" xfId="0" applyFont="1" applyFill="1" applyBorder="1" applyAlignment="1" applyProtection="1">
      <alignment horizontal="center" wrapText="1"/>
      <protection hidden="1"/>
    </xf>
    <xf numFmtId="0" fontId="14" fillId="4" borderId="29" xfId="0" applyFont="1" applyFill="1" applyBorder="1" applyAlignment="1" applyProtection="1">
      <alignment horizontal="center"/>
      <protection hidden="1"/>
    </xf>
    <xf numFmtId="0" fontId="14" fillId="4" borderId="29" xfId="0" applyFont="1" applyFill="1" applyBorder="1" applyAlignment="1" applyProtection="1">
      <alignment horizontal="center" wrapText="1"/>
      <protection hidden="1"/>
    </xf>
    <xf numFmtId="0" fontId="14" fillId="4" borderId="38" xfId="0" applyFont="1" applyFill="1" applyBorder="1" applyAlignment="1" applyProtection="1">
      <alignment horizontal="center" wrapText="1"/>
      <protection hidden="1"/>
    </xf>
    <xf numFmtId="0" fontId="30" fillId="0" borderId="25" xfId="0" applyFont="1" applyBorder="1" applyAlignment="1" applyProtection="1">
      <alignment wrapText="1"/>
      <protection hidden="1"/>
    </xf>
    <xf numFmtId="43" fontId="30" fillId="0" borderId="25" xfId="1" applyFont="1" applyFill="1" applyBorder="1" applyProtection="1">
      <protection hidden="1"/>
    </xf>
    <xf numFmtId="43" fontId="20" fillId="0" borderId="17" xfId="1" applyFont="1" applyBorder="1" applyProtection="1">
      <protection hidden="1"/>
    </xf>
    <xf numFmtId="0" fontId="30" fillId="0" borderId="1" xfId="0" applyFont="1" applyBorder="1" applyAlignment="1" applyProtection="1">
      <alignment wrapText="1"/>
      <protection hidden="1"/>
    </xf>
    <xf numFmtId="10" fontId="20" fillId="0" borderId="1" xfId="1" applyNumberFormat="1" applyFont="1" applyFill="1" applyBorder="1" applyProtection="1">
      <protection hidden="1"/>
    </xf>
    <xf numFmtId="10" fontId="20" fillId="0" borderId="3" xfId="1" applyNumberFormat="1" applyFont="1" applyBorder="1" applyProtection="1">
      <protection hidden="1"/>
    </xf>
    <xf numFmtId="0" fontId="37" fillId="11" borderId="15" xfId="0" applyFont="1" applyFill="1" applyBorder="1" applyAlignment="1" applyProtection="1">
      <alignment wrapText="1"/>
      <protection hidden="1"/>
    </xf>
    <xf numFmtId="0" fontId="14" fillId="4" borderId="5" xfId="0" applyFont="1" applyFill="1" applyBorder="1" applyAlignment="1" applyProtection="1">
      <alignment horizontal="center" wrapText="1"/>
      <protection hidden="1"/>
    </xf>
    <xf numFmtId="0" fontId="14" fillId="4" borderId="1" xfId="0" applyFont="1" applyFill="1" applyBorder="1" applyAlignment="1" applyProtection="1">
      <alignment horizontal="center" wrapText="1"/>
      <protection hidden="1"/>
    </xf>
    <xf numFmtId="0" fontId="30" fillId="0" borderId="0" xfId="0" applyFont="1" applyAlignment="1" applyProtection="1">
      <alignment vertical="center"/>
      <protection hidden="1"/>
    </xf>
    <xf numFmtId="0" fontId="25" fillId="0" borderId="1" xfId="0" applyFont="1" applyBorder="1" applyAlignment="1" applyProtection="1">
      <alignment vertical="center" wrapText="1"/>
      <protection hidden="1"/>
    </xf>
    <xf numFmtId="0" fontId="30" fillId="0" borderId="1" xfId="0" applyFont="1" applyBorder="1" applyAlignment="1" applyProtection="1">
      <alignment vertical="center" wrapText="1"/>
      <protection hidden="1"/>
    </xf>
    <xf numFmtId="0" fontId="30" fillId="0" borderId="1" xfId="0" applyFont="1" applyBorder="1" applyAlignment="1" applyProtection="1">
      <alignment horizontal="right" vertical="center"/>
      <protection hidden="1"/>
    </xf>
    <xf numFmtId="164" fontId="30" fillId="0" borderId="1" xfId="1" applyNumberFormat="1" applyFont="1" applyFill="1" applyBorder="1" applyAlignment="1" applyProtection="1">
      <alignment horizontal="right" vertical="center"/>
      <protection hidden="1"/>
    </xf>
    <xf numFmtId="43" fontId="30" fillId="0" borderId="1" xfId="0" applyNumberFormat="1" applyFont="1" applyBorder="1" applyAlignment="1" applyProtection="1">
      <alignment vertical="center"/>
      <protection hidden="1"/>
    </xf>
    <xf numFmtId="43" fontId="30" fillId="0" borderId="0" xfId="0" applyNumberFormat="1" applyFont="1" applyAlignment="1" applyProtection="1">
      <alignment vertical="center"/>
      <protection hidden="1"/>
    </xf>
    <xf numFmtId="0" fontId="33" fillId="0" borderId="0" xfId="0" applyFont="1" applyProtection="1">
      <protection hidden="1"/>
    </xf>
    <xf numFmtId="0" fontId="14" fillId="4" borderId="5" xfId="0" applyFont="1" applyFill="1" applyBorder="1" applyAlignment="1" applyProtection="1">
      <alignment horizontal="center" vertical="center" wrapText="1"/>
      <protection hidden="1"/>
    </xf>
    <xf numFmtId="9" fontId="30" fillId="0" borderId="1" xfId="2" applyFont="1" applyBorder="1" applyProtection="1">
      <protection hidden="1"/>
    </xf>
    <xf numFmtId="164" fontId="14" fillId="2" borderId="0" xfId="0" applyNumberFormat="1" applyFont="1" applyFill="1" applyAlignment="1" applyProtection="1">
      <alignment horizontal="center" vertical="center"/>
      <protection hidden="1"/>
    </xf>
    <xf numFmtId="3" fontId="14" fillId="2" borderId="0" xfId="0" applyNumberFormat="1" applyFont="1" applyFill="1" applyAlignment="1" applyProtection="1">
      <alignment horizontal="center" vertical="center"/>
      <protection hidden="1"/>
    </xf>
    <xf numFmtId="43" fontId="20" fillId="0" borderId="0" xfId="0" applyNumberFormat="1" applyFont="1" applyProtection="1">
      <protection hidden="1"/>
    </xf>
    <xf numFmtId="9" fontId="30" fillId="0" borderId="0" xfId="2" applyFont="1" applyBorder="1" applyProtection="1">
      <protection hidden="1"/>
    </xf>
    <xf numFmtId="0" fontId="30" fillId="0" borderId="0" xfId="0" applyFont="1" applyAlignment="1" applyProtection="1">
      <alignment horizontal="left"/>
      <protection hidden="1"/>
    </xf>
    <xf numFmtId="43" fontId="25" fillId="0" borderId="1" xfId="1" applyFont="1" applyFill="1" applyBorder="1" applyProtection="1">
      <protection hidden="1"/>
    </xf>
    <xf numFmtId="0" fontId="20" fillId="0" borderId="0" xfId="0" applyFont="1" applyProtection="1">
      <protection hidden="1"/>
    </xf>
    <xf numFmtId="0" fontId="20" fillId="0" borderId="0" xfId="0" applyFont="1" applyAlignment="1" applyProtection="1">
      <alignment horizontal="center" vertical="center"/>
      <protection hidden="1"/>
    </xf>
    <xf numFmtId="0" fontId="25" fillId="0" borderId="0" xfId="0" applyFont="1" applyAlignment="1" applyProtection="1">
      <alignment wrapText="1"/>
      <protection hidden="1"/>
    </xf>
    <xf numFmtId="43" fontId="20" fillId="0" borderId="0" xfId="1" applyFont="1" applyBorder="1" applyProtection="1">
      <protection hidden="1"/>
    </xf>
    <xf numFmtId="0" fontId="14" fillId="4" borderId="19" xfId="0" applyFont="1" applyFill="1" applyBorder="1" applyAlignment="1" applyProtection="1">
      <alignment wrapText="1"/>
      <protection hidden="1"/>
    </xf>
    <xf numFmtId="0" fontId="14" fillId="4" borderId="29" xfId="0" applyFont="1" applyFill="1" applyBorder="1" applyAlignment="1" applyProtection="1">
      <alignment wrapText="1"/>
      <protection hidden="1"/>
    </xf>
    <xf numFmtId="0" fontId="14" fillId="4" borderId="38" xfId="0" applyFont="1" applyFill="1" applyBorder="1" applyAlignment="1" applyProtection="1">
      <alignment wrapText="1"/>
      <protection hidden="1"/>
    </xf>
    <xf numFmtId="0" fontId="30" fillId="0" borderId="30" xfId="0" applyFont="1" applyBorder="1" applyAlignment="1" applyProtection="1">
      <alignment wrapText="1"/>
      <protection hidden="1"/>
    </xf>
    <xf numFmtId="165" fontId="25" fillId="0" borderId="25" xfId="0" applyNumberFormat="1" applyFont="1" applyBorder="1" applyProtection="1">
      <protection hidden="1"/>
    </xf>
    <xf numFmtId="165" fontId="14" fillId="0" borderId="17" xfId="0" applyNumberFormat="1" applyFont="1" applyBorder="1" applyProtection="1">
      <protection hidden="1"/>
    </xf>
    <xf numFmtId="0" fontId="30" fillId="0" borderId="7" xfId="0" applyFont="1" applyBorder="1" applyAlignment="1" applyProtection="1">
      <alignment wrapText="1"/>
      <protection hidden="1"/>
    </xf>
    <xf numFmtId="10" fontId="14" fillId="0" borderId="1" xfId="0" applyNumberFormat="1" applyFont="1" applyBorder="1" applyProtection="1">
      <protection hidden="1"/>
    </xf>
    <xf numFmtId="10" fontId="14" fillId="0" borderId="3" xfId="0" applyNumberFormat="1" applyFont="1" applyBorder="1" applyProtection="1">
      <protection hidden="1"/>
    </xf>
    <xf numFmtId="43" fontId="30" fillId="0" borderId="1" xfId="0" applyNumberFormat="1" applyFont="1" applyBorder="1" applyProtection="1">
      <protection hidden="1"/>
    </xf>
    <xf numFmtId="0" fontId="30" fillId="0" borderId="31" xfId="0" applyFont="1" applyBorder="1" applyAlignment="1" applyProtection="1">
      <alignment horizontal="right" vertical="center"/>
      <protection hidden="1"/>
    </xf>
    <xf numFmtId="165" fontId="14" fillId="0" borderId="15" xfId="0" applyNumberFormat="1" applyFont="1" applyBorder="1" applyProtection="1">
      <protection hidden="1"/>
    </xf>
    <xf numFmtId="43" fontId="14" fillId="0" borderId="15" xfId="1" applyFont="1" applyFill="1" applyBorder="1" applyProtection="1">
      <protection hidden="1"/>
    </xf>
    <xf numFmtId="0" fontId="30" fillId="0" borderId="0" xfId="0" applyFont="1" applyAlignment="1" applyProtection="1">
      <alignment horizontal="right" vertical="center"/>
      <protection hidden="1"/>
    </xf>
    <xf numFmtId="43" fontId="25" fillId="0" borderId="0" xfId="1" applyFont="1" applyBorder="1" applyProtection="1">
      <protection hidden="1"/>
    </xf>
    <xf numFmtId="164" fontId="14" fillId="2" borderId="1" xfId="0" applyNumberFormat="1" applyFont="1" applyFill="1" applyBorder="1" applyAlignment="1" applyProtection="1">
      <alignment horizontal="center" vertical="center"/>
      <protection hidden="1"/>
    </xf>
    <xf numFmtId="0" fontId="25" fillId="0" borderId="1" xfId="0" applyFont="1" applyBorder="1" applyAlignment="1" applyProtection="1">
      <alignment horizontal="center" vertical="top"/>
      <protection hidden="1"/>
    </xf>
    <xf numFmtId="0" fontId="18" fillId="0" borderId="1" xfId="0" applyFont="1" applyBorder="1" applyAlignment="1" applyProtection="1">
      <alignment vertical="top" wrapText="1"/>
      <protection hidden="1"/>
    </xf>
    <xf numFmtId="0" fontId="17" fillId="0" borderId="1" xfId="0" applyFont="1" applyBorder="1" applyAlignment="1" applyProtection="1">
      <alignment horizontal="center" vertical="top" wrapText="1"/>
      <protection hidden="1"/>
    </xf>
    <xf numFmtId="0" fontId="18" fillId="0" borderId="1" xfId="0" applyFont="1" applyBorder="1" applyAlignment="1" applyProtection="1">
      <alignment horizontal="center" vertical="top"/>
      <protection hidden="1"/>
    </xf>
    <xf numFmtId="49" fontId="22" fillId="0" borderId="1" xfId="0" applyNumberFormat="1" applyFont="1" applyBorder="1" applyAlignment="1" applyProtection="1">
      <alignment horizontal="right" vertical="top" wrapText="1"/>
      <protection hidden="1"/>
    </xf>
    <xf numFmtId="49" fontId="18" fillId="0" borderId="1" xfId="0" applyNumberFormat="1" applyFont="1" applyBorder="1" applyAlignment="1" applyProtection="1">
      <alignment horizontal="right" vertical="top" wrapText="1"/>
      <protection hidden="1"/>
    </xf>
    <xf numFmtId="0" fontId="18" fillId="0" borderId="1" xfId="0" applyFont="1" applyBorder="1" applyAlignment="1" applyProtection="1">
      <alignment horizontal="right" vertical="center" wrapText="1"/>
      <protection hidden="1"/>
    </xf>
    <xf numFmtId="0" fontId="25" fillId="0" borderId="1" xfId="0" applyFont="1" applyBorder="1" applyAlignment="1" applyProtection="1">
      <alignment horizontal="center" vertical="center"/>
      <protection hidden="1"/>
    </xf>
    <xf numFmtId="0" fontId="67" fillId="0" borderId="4" xfId="0" applyFont="1" applyBorder="1" applyAlignment="1" applyProtection="1">
      <alignment horizontal="right" vertical="top" wrapText="1" readingOrder="2"/>
      <protection hidden="1"/>
    </xf>
    <xf numFmtId="0" fontId="25" fillId="11" borderId="0" xfId="0" applyFont="1" applyFill="1" applyProtection="1">
      <protection hidden="1"/>
    </xf>
    <xf numFmtId="0" fontId="30" fillId="11" borderId="0" xfId="0" applyFont="1" applyFill="1" applyProtection="1">
      <protection hidden="1"/>
    </xf>
    <xf numFmtId="0" fontId="25" fillId="13" borderId="0" xfId="0" applyFont="1" applyFill="1" applyProtection="1">
      <protection hidden="1"/>
    </xf>
    <xf numFmtId="0" fontId="48" fillId="13" borderId="0" xfId="0" applyFont="1" applyFill="1" applyAlignment="1" applyProtection="1">
      <alignment wrapText="1"/>
      <protection hidden="1"/>
    </xf>
    <xf numFmtId="43" fontId="37" fillId="13" borderId="0" xfId="1" applyFont="1" applyFill="1" applyProtection="1">
      <protection hidden="1"/>
    </xf>
    <xf numFmtId="0" fontId="30" fillId="13" borderId="0" xfId="0" applyFont="1" applyFill="1" applyProtection="1">
      <protection hidden="1"/>
    </xf>
    <xf numFmtId="0" fontId="18" fillId="11" borderId="0" xfId="0" applyFont="1" applyFill="1" applyProtection="1">
      <protection hidden="1"/>
    </xf>
    <xf numFmtId="0" fontId="26" fillId="11" borderId="0" xfId="0" applyFont="1" applyFill="1" applyProtection="1">
      <protection hidden="1"/>
    </xf>
    <xf numFmtId="0" fontId="16" fillId="11" borderId="0" xfId="0" applyFont="1" applyFill="1" applyAlignment="1" applyProtection="1">
      <alignment wrapText="1"/>
      <protection hidden="1"/>
    </xf>
    <xf numFmtId="0" fontId="14" fillId="11" borderId="1" xfId="0" applyFont="1" applyFill="1" applyBorder="1" applyAlignment="1" applyProtection="1">
      <alignment horizontal="center" vertical="center" wrapText="1"/>
      <protection hidden="1"/>
    </xf>
    <xf numFmtId="0" fontId="30" fillId="11" borderId="1" xfId="0" applyFont="1" applyFill="1" applyBorder="1" applyProtection="1">
      <protection hidden="1"/>
    </xf>
    <xf numFmtId="0" fontId="16" fillId="11" borderId="0" xfId="0" applyFont="1" applyFill="1" applyProtection="1">
      <protection hidden="1"/>
    </xf>
    <xf numFmtId="0" fontId="62" fillId="11" borderId="0" xfId="0" applyFont="1" applyFill="1" applyProtection="1">
      <protection hidden="1"/>
    </xf>
    <xf numFmtId="9" fontId="62" fillId="11" borderId="0" xfId="2" applyFont="1" applyFill="1" applyProtection="1">
      <protection hidden="1"/>
    </xf>
    <xf numFmtId="0" fontId="55" fillId="11" borderId="1" xfId="0" applyFont="1" applyFill="1" applyBorder="1" applyAlignment="1" applyProtection="1">
      <alignment horizontal="center" vertical="center" wrapText="1"/>
      <protection hidden="1"/>
    </xf>
    <xf numFmtId="9" fontId="55" fillId="11" borderId="1" xfId="2" applyFont="1" applyFill="1" applyBorder="1" applyAlignment="1" applyProtection="1">
      <alignment horizontal="center" vertical="center" wrapText="1"/>
      <protection hidden="1"/>
    </xf>
    <xf numFmtId="0" fontId="37" fillId="11" borderId="1" xfId="0" applyFont="1" applyFill="1" applyBorder="1" applyProtection="1">
      <protection hidden="1"/>
    </xf>
    <xf numFmtId="9" fontId="37" fillId="11" borderId="1" xfId="2" applyFont="1" applyFill="1" applyBorder="1" applyProtection="1">
      <protection hidden="1"/>
    </xf>
    <xf numFmtId="164" fontId="30" fillId="11" borderId="1" xfId="1" applyNumberFormat="1" applyFont="1" applyFill="1" applyBorder="1" applyProtection="1">
      <protection hidden="1"/>
    </xf>
    <xf numFmtId="2" fontId="43" fillId="0" borderId="39" xfId="0" applyNumberFormat="1" applyFont="1" applyBorder="1" applyProtection="1">
      <protection hidden="1"/>
    </xf>
    <xf numFmtId="0" fontId="0" fillId="0" borderId="1" xfId="0" applyBorder="1" applyProtection="1">
      <protection hidden="1"/>
    </xf>
    <xf numFmtId="0" fontId="70" fillId="4" borderId="1" xfId="0" applyFont="1" applyFill="1" applyBorder="1" applyProtection="1">
      <protection hidden="1"/>
    </xf>
    <xf numFmtId="0" fontId="26" fillId="6" borderId="1" xfId="0" applyFont="1" applyFill="1" applyBorder="1" applyAlignment="1" applyProtection="1">
      <alignment horizontal="right" vertical="center"/>
      <protection hidden="1"/>
    </xf>
    <xf numFmtId="0" fontId="27" fillId="7" borderId="1" xfId="0" applyFont="1" applyFill="1" applyBorder="1" applyAlignment="1" applyProtection="1">
      <alignment horizontal="right" vertical="center" readingOrder="2"/>
      <protection hidden="1"/>
    </xf>
    <xf numFmtId="0" fontId="27" fillId="8" borderId="1" xfId="0" applyFont="1" applyFill="1" applyBorder="1" applyAlignment="1" applyProtection="1">
      <alignment horizontal="right" vertical="center" readingOrder="2"/>
      <protection hidden="1"/>
    </xf>
    <xf numFmtId="0" fontId="28" fillId="9" borderId="1" xfId="0" applyFont="1" applyFill="1" applyBorder="1" applyAlignment="1" applyProtection="1">
      <alignment horizontal="right" vertical="center"/>
      <protection hidden="1"/>
    </xf>
    <xf numFmtId="0" fontId="27" fillId="10" borderId="1" xfId="0" applyFont="1" applyFill="1" applyBorder="1" applyAlignment="1" applyProtection="1">
      <alignment horizontal="right" vertical="center" readingOrder="2"/>
      <protection hidden="1"/>
    </xf>
    <xf numFmtId="0" fontId="14" fillId="11" borderId="5" xfId="0" applyFont="1" applyFill="1" applyBorder="1" applyAlignment="1" applyProtection="1">
      <alignment horizontal="center" vertical="center" wrapText="1"/>
      <protection hidden="1"/>
    </xf>
    <xf numFmtId="164" fontId="30" fillId="11" borderId="5" xfId="1" applyNumberFormat="1" applyFont="1" applyFill="1" applyBorder="1" applyProtection="1">
      <protection hidden="1"/>
    </xf>
    <xf numFmtId="164" fontId="48" fillId="0" borderId="9" xfId="1" applyNumberFormat="1" applyFont="1" applyFill="1" applyBorder="1" applyAlignment="1" applyProtection="1">
      <alignment horizontal="center" vertical="center" wrapText="1"/>
      <protection hidden="1"/>
    </xf>
    <xf numFmtId="0" fontId="20" fillId="4" borderId="34" xfId="0" applyFont="1" applyFill="1" applyBorder="1" applyAlignment="1" applyProtection="1">
      <alignment horizontal="center" wrapText="1"/>
      <protection hidden="1"/>
    </xf>
    <xf numFmtId="0" fontId="19" fillId="5" borderId="1" xfId="0" applyFont="1" applyFill="1" applyBorder="1" applyAlignment="1" applyProtection="1">
      <alignment horizontal="center" vertical="center" wrapText="1"/>
      <protection hidden="1"/>
    </xf>
    <xf numFmtId="43" fontId="19" fillId="5" borderId="1" xfId="1" applyFont="1" applyFill="1" applyBorder="1" applyAlignment="1" applyProtection="1">
      <alignment horizontal="center" vertical="center" wrapText="1"/>
      <protection hidden="1"/>
    </xf>
    <xf numFmtId="0" fontId="37" fillId="0" borderId="0" xfId="0" applyFont="1" applyProtection="1">
      <protection hidden="1"/>
    </xf>
    <xf numFmtId="0" fontId="39" fillId="0" borderId="44" xfId="0" applyFont="1" applyBorder="1" applyProtection="1">
      <protection hidden="1"/>
    </xf>
    <xf numFmtId="166" fontId="18" fillId="0" borderId="0" xfId="4" applyNumberFormat="1" applyFont="1" applyBorder="1" applyAlignment="1" applyProtection="1">
      <alignment horizontal="center" vertical="center"/>
      <protection hidden="1"/>
    </xf>
    <xf numFmtId="166" fontId="15" fillId="0" borderId="0" xfId="4" applyNumberFormat="1" applyFont="1" applyBorder="1" applyProtection="1">
      <protection hidden="1"/>
    </xf>
    <xf numFmtId="166" fontId="18" fillId="0" borderId="0" xfId="4" applyNumberFormat="1" applyFont="1" applyFill="1" applyBorder="1" applyProtection="1">
      <protection hidden="1"/>
    </xf>
    <xf numFmtId="166" fontId="14" fillId="0" borderId="0" xfId="4" applyNumberFormat="1" applyFont="1" applyFill="1" applyBorder="1" applyProtection="1">
      <protection hidden="1"/>
    </xf>
    <xf numFmtId="43" fontId="16" fillId="0" borderId="25" xfId="1" applyFont="1" applyFill="1" applyBorder="1" applyProtection="1">
      <protection hidden="1"/>
    </xf>
    <xf numFmtId="43" fontId="16" fillId="0" borderId="17" xfId="1" applyFont="1" applyFill="1" applyBorder="1" applyProtection="1">
      <protection hidden="1"/>
    </xf>
    <xf numFmtId="43" fontId="16" fillId="0" borderId="18" xfId="1" applyFont="1" applyFill="1" applyBorder="1" applyProtection="1">
      <protection hidden="1"/>
    </xf>
    <xf numFmtId="43" fontId="62" fillId="0" borderId="1" xfId="1" applyFont="1" applyFill="1" applyBorder="1" applyProtection="1">
      <protection hidden="1"/>
    </xf>
    <xf numFmtId="43" fontId="62" fillId="0" borderId="3" xfId="1" applyFont="1" applyFill="1" applyBorder="1" applyProtection="1">
      <protection hidden="1"/>
    </xf>
    <xf numFmtId="43" fontId="18" fillId="0" borderId="14" xfId="1" applyFont="1" applyFill="1" applyBorder="1" applyProtection="1">
      <protection hidden="1"/>
    </xf>
    <xf numFmtId="43" fontId="18" fillId="0" borderId="15" xfId="1" applyFont="1" applyFill="1" applyBorder="1" applyProtection="1">
      <protection hidden="1"/>
    </xf>
    <xf numFmtId="43" fontId="18" fillId="0" borderId="10" xfId="1" applyFont="1" applyFill="1" applyBorder="1" applyAlignment="1" applyProtection="1">
      <protection hidden="1"/>
    </xf>
    <xf numFmtId="44" fontId="16" fillId="0" borderId="0" xfId="4" applyFont="1" applyFill="1" applyBorder="1" applyProtection="1">
      <protection hidden="1"/>
    </xf>
    <xf numFmtId="164" fontId="15" fillId="0" borderId="0" xfId="1" applyNumberFormat="1" applyFont="1" applyFill="1" applyBorder="1" applyAlignment="1" applyProtection="1">
      <alignment horizontal="center" vertical="center"/>
      <protection hidden="1"/>
    </xf>
    <xf numFmtId="166" fontId="18" fillId="0" borderId="0" xfId="4" applyNumberFormat="1" applyFont="1" applyFill="1" applyBorder="1" applyAlignment="1" applyProtection="1">
      <alignment horizontal="center" vertical="center"/>
      <protection hidden="1"/>
    </xf>
    <xf numFmtId="166" fontId="15" fillId="0" borderId="0" xfId="4" applyNumberFormat="1" applyFont="1" applyFill="1" applyBorder="1" applyProtection="1">
      <protection hidden="1"/>
    </xf>
    <xf numFmtId="166" fontId="14" fillId="0" borderId="49" xfId="4" applyNumberFormat="1" applyFont="1" applyFill="1" applyBorder="1" applyProtection="1">
      <protection hidden="1"/>
    </xf>
    <xf numFmtId="0" fontId="37" fillId="0" borderId="0" xfId="0" applyFont="1"/>
    <xf numFmtId="0" fontId="37" fillId="11" borderId="1" xfId="0" applyFont="1" applyFill="1" applyBorder="1"/>
    <xf numFmtId="10" fontId="30" fillId="0" borderId="1" xfId="1" applyNumberFormat="1" applyFont="1" applyFill="1" applyBorder="1" applyProtection="1">
      <protection hidden="1"/>
    </xf>
    <xf numFmtId="10" fontId="30" fillId="0" borderId="3" xfId="1" applyNumberFormat="1" applyFont="1" applyFill="1" applyBorder="1" applyProtection="1">
      <protection hidden="1"/>
    </xf>
    <xf numFmtId="170" fontId="30" fillId="0" borderId="1" xfId="1" applyNumberFormat="1" applyFont="1" applyFill="1" applyBorder="1" applyProtection="1">
      <protection hidden="1"/>
    </xf>
    <xf numFmtId="170" fontId="14" fillId="11" borderId="15" xfId="1" applyNumberFormat="1" applyFont="1" applyFill="1" applyBorder="1" applyProtection="1">
      <protection hidden="1"/>
    </xf>
    <xf numFmtId="170" fontId="14" fillId="11" borderId="1" xfId="1" applyNumberFormat="1" applyFont="1" applyFill="1" applyBorder="1" applyAlignment="1" applyProtection="1">
      <alignment horizontal="center" vertical="center"/>
      <protection hidden="1"/>
    </xf>
    <xf numFmtId="170" fontId="20" fillId="0" borderId="1" xfId="0" applyNumberFormat="1" applyFont="1" applyBorder="1" applyProtection="1">
      <protection hidden="1"/>
    </xf>
    <xf numFmtId="170" fontId="48" fillId="0" borderId="1" xfId="0" applyNumberFormat="1" applyFont="1" applyBorder="1" applyProtection="1">
      <protection hidden="1"/>
    </xf>
    <xf numFmtId="0" fontId="46" fillId="0" borderId="0" xfId="0" applyFont="1" applyAlignment="1" applyProtection="1">
      <alignment horizontal="right" vertical="top"/>
      <protection hidden="1"/>
    </xf>
    <xf numFmtId="43" fontId="16" fillId="0" borderId="24" xfId="1" applyFont="1" applyFill="1" applyBorder="1" applyProtection="1">
      <protection hidden="1"/>
    </xf>
    <xf numFmtId="0" fontId="34" fillId="12" borderId="1" xfId="0" applyFont="1" applyFill="1" applyBorder="1" applyAlignment="1" applyProtection="1">
      <alignment horizontal="center" vertical="center" wrapText="1"/>
      <protection hidden="1"/>
    </xf>
    <xf numFmtId="0" fontId="39" fillId="0" borderId="1" xfId="0" applyFont="1" applyBorder="1" applyProtection="1">
      <protection hidden="1"/>
    </xf>
    <xf numFmtId="164" fontId="80" fillId="0" borderId="1" xfId="0" applyNumberFormat="1" applyFont="1" applyBorder="1" applyAlignment="1" applyProtection="1">
      <alignment horizontal="right" vertical="center"/>
      <protection hidden="1"/>
    </xf>
    <xf numFmtId="166" fontId="50" fillId="0" borderId="0" xfId="2" applyNumberFormat="1" applyFont="1" applyProtection="1">
      <protection hidden="1"/>
    </xf>
    <xf numFmtId="166" fontId="25" fillId="0" borderId="0" xfId="0" applyNumberFormat="1" applyFont="1" applyProtection="1">
      <protection hidden="1"/>
    </xf>
    <xf numFmtId="166" fontId="15" fillId="0" borderId="1" xfId="0" applyNumberFormat="1" applyFont="1" applyBorder="1" applyAlignment="1" applyProtection="1">
      <alignment horizontal="right" vertical="center" wrapText="1"/>
      <protection hidden="1"/>
    </xf>
    <xf numFmtId="166" fontId="18" fillId="0" borderId="1" xfId="0" applyNumberFormat="1" applyFont="1" applyBorder="1" applyAlignment="1" applyProtection="1">
      <alignment horizontal="right" vertical="center" wrapText="1"/>
      <protection hidden="1"/>
    </xf>
    <xf numFmtId="43" fontId="52" fillId="12" borderId="1" xfId="1" applyFont="1" applyFill="1" applyBorder="1" applyAlignment="1" applyProtection="1">
      <alignment horizontal="center" vertical="center" wrapText="1"/>
      <protection hidden="1"/>
    </xf>
    <xf numFmtId="43" fontId="81" fillId="12" borderId="1" xfId="1" applyFont="1" applyFill="1" applyBorder="1" applyAlignment="1" applyProtection="1">
      <alignment horizontal="center" vertical="center" wrapText="1"/>
      <protection hidden="1"/>
    </xf>
    <xf numFmtId="0" fontId="52" fillId="12" borderId="1" xfId="0" applyFont="1" applyFill="1" applyBorder="1" applyAlignment="1" applyProtection="1">
      <alignment horizontal="center" vertical="center" wrapText="1"/>
      <protection hidden="1"/>
    </xf>
    <xf numFmtId="0" fontId="39" fillId="0" borderId="0" xfId="0" applyFont="1" applyAlignment="1" applyProtection="1">
      <alignment vertical="center"/>
      <protection hidden="1"/>
    </xf>
    <xf numFmtId="164" fontId="17" fillId="0" borderId="0" xfId="0" applyNumberFormat="1" applyFont="1" applyProtection="1">
      <protection hidden="1"/>
    </xf>
    <xf numFmtId="164" fontId="26" fillId="0" borderId="0" xfId="0" applyNumberFormat="1" applyFont="1" applyProtection="1">
      <protection hidden="1"/>
    </xf>
    <xf numFmtId="164" fontId="27" fillId="0" borderId="0" xfId="0" applyNumberFormat="1" applyFont="1" applyProtection="1">
      <protection hidden="1"/>
    </xf>
    <xf numFmtId="164" fontId="30" fillId="0" borderId="0" xfId="0" applyNumberFormat="1" applyFont="1" applyProtection="1">
      <protection hidden="1"/>
    </xf>
    <xf numFmtId="164" fontId="30" fillId="0" borderId="0" xfId="0" applyNumberFormat="1" applyFont="1" applyAlignment="1" applyProtection="1">
      <alignment wrapText="1"/>
      <protection hidden="1"/>
    </xf>
    <xf numFmtId="164" fontId="18" fillId="0" borderId="56" xfId="0" applyNumberFormat="1" applyFont="1" applyBorder="1" applyProtection="1">
      <protection hidden="1"/>
    </xf>
    <xf numFmtId="164" fontId="15" fillId="0" borderId="22" xfId="0" applyNumberFormat="1" applyFont="1" applyBorder="1" applyAlignment="1" applyProtection="1">
      <alignment horizontal="center"/>
      <protection hidden="1"/>
    </xf>
    <xf numFmtId="164" fontId="15" fillId="0" borderId="30" xfId="0" applyNumberFormat="1" applyFont="1" applyBorder="1" applyProtection="1">
      <protection hidden="1"/>
    </xf>
    <xf numFmtId="164" fontId="15" fillId="0" borderId="14" xfId="0" applyNumberFormat="1" applyFont="1" applyBorder="1" applyAlignment="1" applyProtection="1">
      <alignment horizontal="center" wrapText="1"/>
      <protection hidden="1"/>
    </xf>
    <xf numFmtId="164" fontId="14" fillId="0" borderId="0" xfId="0" applyNumberFormat="1" applyFont="1" applyAlignment="1" applyProtection="1">
      <alignment horizontal="center" wrapText="1"/>
      <protection hidden="1"/>
    </xf>
    <xf numFmtId="164" fontId="0" fillId="0" borderId="0" xfId="0" applyNumberFormat="1" applyProtection="1">
      <protection hidden="1"/>
    </xf>
    <xf numFmtId="164" fontId="30" fillId="0" borderId="5" xfId="0" applyNumberFormat="1" applyFont="1" applyBorder="1" applyProtection="1">
      <protection hidden="1"/>
    </xf>
    <xf numFmtId="164" fontId="30" fillId="0" borderId="1" xfId="0" applyNumberFormat="1" applyFont="1" applyBorder="1" applyProtection="1">
      <protection hidden="1"/>
    </xf>
    <xf numFmtId="0" fontId="25" fillId="0" borderId="0" xfId="0" applyFont="1" applyAlignment="1" applyProtection="1">
      <alignment horizontal="right"/>
      <protection hidden="1"/>
    </xf>
    <xf numFmtId="0" fontId="26" fillId="0" borderId="0" xfId="0" applyFont="1" applyAlignment="1" applyProtection="1">
      <alignment horizontal="right"/>
      <protection hidden="1"/>
    </xf>
    <xf numFmtId="0" fontId="16" fillId="0" borderId="0" xfId="0" applyFont="1" applyAlignment="1" applyProtection="1">
      <alignment horizontal="right" wrapText="1"/>
      <protection hidden="1"/>
    </xf>
    <xf numFmtId="0" fontId="30" fillId="0" borderId="0" xfId="0" applyFont="1" applyAlignment="1" applyProtection="1">
      <alignment horizontal="right" wrapText="1"/>
      <protection hidden="1"/>
    </xf>
    <xf numFmtId="0" fontId="14" fillId="0" borderId="5" xfId="0" applyFont="1" applyBorder="1" applyAlignment="1" applyProtection="1">
      <alignment horizontal="right" vertical="center" wrapText="1"/>
      <protection hidden="1"/>
    </xf>
    <xf numFmtId="43" fontId="14" fillId="0" borderId="1" xfId="1" applyFont="1" applyFill="1" applyBorder="1" applyAlignment="1" applyProtection="1">
      <alignment horizontal="right"/>
      <protection hidden="1"/>
    </xf>
    <xf numFmtId="0" fontId="0" fillId="0" borderId="0" xfId="0" applyAlignment="1" applyProtection="1">
      <alignment horizontal="right"/>
      <protection hidden="1"/>
    </xf>
    <xf numFmtId="49" fontId="14" fillId="0" borderId="0" xfId="0" applyNumberFormat="1" applyFont="1" applyAlignment="1" applyProtection="1">
      <alignment horizontal="right"/>
      <protection hidden="1"/>
    </xf>
    <xf numFmtId="164" fontId="30" fillId="0" borderId="16" xfId="1" applyNumberFormat="1" applyFont="1" applyFill="1" applyBorder="1" applyAlignment="1" applyProtection="1">
      <alignment horizontal="right"/>
      <protection hidden="1"/>
    </xf>
    <xf numFmtId="0" fontId="25" fillId="15" borderId="0" xfId="0" applyFont="1" applyFill="1" applyProtection="1">
      <protection hidden="1"/>
    </xf>
    <xf numFmtId="0" fontId="37" fillId="15" borderId="0" xfId="0" applyFont="1" applyFill="1" applyProtection="1">
      <protection hidden="1"/>
    </xf>
    <xf numFmtId="0" fontId="14" fillId="15" borderId="43" xfId="0" applyFont="1" applyFill="1" applyBorder="1" applyProtection="1">
      <protection hidden="1"/>
    </xf>
    <xf numFmtId="168" fontId="14" fillId="15" borderId="45" xfId="1" applyNumberFormat="1" applyFont="1" applyFill="1" applyBorder="1" applyProtection="1">
      <protection hidden="1"/>
    </xf>
    <xf numFmtId="0" fontId="20" fillId="15" borderId="61" xfId="0" applyFont="1" applyFill="1" applyBorder="1" applyProtection="1">
      <protection hidden="1"/>
    </xf>
    <xf numFmtId="168" fontId="20" fillId="15" borderId="62" xfId="1" applyNumberFormat="1" applyFont="1" applyFill="1" applyBorder="1" applyAlignment="1" applyProtection="1">
      <alignment wrapText="1"/>
      <protection hidden="1"/>
    </xf>
    <xf numFmtId="0" fontId="20" fillId="15" borderId="46" xfId="0" applyFont="1" applyFill="1" applyBorder="1" applyProtection="1">
      <protection hidden="1"/>
    </xf>
    <xf numFmtId="168" fontId="20" fillId="15" borderId="47" xfId="1" applyNumberFormat="1" applyFont="1" applyFill="1" applyBorder="1" applyAlignment="1" applyProtection="1">
      <alignment wrapText="1"/>
      <protection hidden="1"/>
    </xf>
    <xf numFmtId="0" fontId="18" fillId="15" borderId="46" xfId="0" applyFont="1" applyFill="1" applyBorder="1" applyProtection="1">
      <protection hidden="1"/>
    </xf>
    <xf numFmtId="43" fontId="18" fillId="15" borderId="47" xfId="0" applyNumberFormat="1" applyFont="1" applyFill="1" applyBorder="1" applyAlignment="1" applyProtection="1">
      <alignment horizontal="right"/>
      <protection hidden="1"/>
    </xf>
    <xf numFmtId="0" fontId="62" fillId="15" borderId="0" xfId="0" applyFont="1" applyFill="1" applyProtection="1">
      <protection hidden="1"/>
    </xf>
    <xf numFmtId="0" fontId="14" fillId="15" borderId="20" xfId="0" applyFont="1" applyFill="1" applyBorder="1" applyProtection="1">
      <protection hidden="1"/>
    </xf>
    <xf numFmtId="168" fontId="20" fillId="15" borderId="23" xfId="1" applyNumberFormat="1" applyFont="1" applyFill="1" applyBorder="1" applyAlignment="1" applyProtection="1">
      <alignment wrapText="1"/>
      <protection hidden="1"/>
    </xf>
    <xf numFmtId="0" fontId="30" fillId="15" borderId="0" xfId="0" applyFont="1" applyFill="1" applyProtection="1">
      <protection hidden="1"/>
    </xf>
    <xf numFmtId="164" fontId="19" fillId="15" borderId="0" xfId="1" applyNumberFormat="1" applyFont="1" applyFill="1" applyBorder="1" applyAlignment="1" applyProtection="1">
      <alignment horizontal="center"/>
      <protection hidden="1"/>
    </xf>
    <xf numFmtId="0" fontId="16" fillId="15" borderId="0" xfId="0" applyFont="1" applyFill="1" applyProtection="1">
      <protection hidden="1"/>
    </xf>
    <xf numFmtId="164" fontId="16" fillId="15" borderId="44" xfId="1" applyNumberFormat="1" applyFont="1" applyFill="1" applyBorder="1" applyProtection="1">
      <protection hidden="1"/>
    </xf>
    <xf numFmtId="0" fontId="16" fillId="15" borderId="44" xfId="0" applyFont="1" applyFill="1" applyBorder="1" applyProtection="1">
      <protection hidden="1"/>
    </xf>
    <xf numFmtId="0" fontId="62" fillId="15" borderId="44" xfId="0" applyFont="1" applyFill="1" applyBorder="1" applyProtection="1">
      <protection hidden="1"/>
    </xf>
    <xf numFmtId="44" fontId="37" fillId="15" borderId="11" xfId="4" applyFont="1" applyFill="1" applyBorder="1" applyAlignment="1" applyProtection="1">
      <protection hidden="1"/>
    </xf>
    <xf numFmtId="164" fontId="14" fillId="15" borderId="0" xfId="1" applyNumberFormat="1" applyFont="1" applyFill="1" applyBorder="1" applyAlignment="1" applyProtection="1">
      <alignment horizontal="center" vertical="center"/>
      <protection hidden="1"/>
    </xf>
    <xf numFmtId="166" fontId="37" fillId="15" borderId="49" xfId="4" applyNumberFormat="1" applyFont="1" applyFill="1" applyBorder="1" applyProtection="1">
      <protection hidden="1"/>
    </xf>
    <xf numFmtId="0" fontId="47" fillId="13" borderId="0" xfId="0" applyFont="1" applyFill="1" applyProtection="1">
      <protection hidden="1"/>
    </xf>
    <xf numFmtId="0" fontId="30" fillId="13" borderId="0" xfId="0" applyFont="1" applyFill="1" applyAlignment="1" applyProtection="1">
      <alignment horizontal="right" readingOrder="2"/>
      <protection hidden="1"/>
    </xf>
    <xf numFmtId="0" fontId="37" fillId="13" borderId="0" xfId="0" applyFont="1" applyFill="1" applyProtection="1">
      <protection hidden="1"/>
    </xf>
    <xf numFmtId="0" fontId="30" fillId="13" borderId="0" xfId="0" applyFont="1" applyFill="1" applyAlignment="1" applyProtection="1">
      <alignment horizontal="right" vertical="top" readingOrder="2"/>
      <protection hidden="1"/>
    </xf>
    <xf numFmtId="0" fontId="20" fillId="13" borderId="0" xfId="0" applyFont="1" applyFill="1" applyProtection="1">
      <protection hidden="1"/>
    </xf>
    <xf numFmtId="43" fontId="30" fillId="13" borderId="0" xfId="1" applyFont="1" applyFill="1" applyProtection="1">
      <protection hidden="1"/>
    </xf>
    <xf numFmtId="0" fontId="14" fillId="13" borderId="0" xfId="0" applyFont="1" applyFill="1" applyProtection="1">
      <protection hidden="1"/>
    </xf>
    <xf numFmtId="0" fontId="43" fillId="13" borderId="0" xfId="0" applyFont="1" applyFill="1" applyAlignment="1" applyProtection="1">
      <alignment wrapText="1"/>
      <protection hidden="1"/>
    </xf>
    <xf numFmtId="0" fontId="14" fillId="13" borderId="0" xfId="0" applyFont="1" applyFill="1" applyAlignment="1" applyProtection="1">
      <alignment wrapText="1"/>
      <protection hidden="1"/>
    </xf>
    <xf numFmtId="43" fontId="47" fillId="13" borderId="0" xfId="1" applyFont="1" applyFill="1" applyProtection="1">
      <protection hidden="1"/>
    </xf>
    <xf numFmtId="0" fontId="46" fillId="13" borderId="44" xfId="0" applyFont="1" applyFill="1" applyBorder="1" applyProtection="1">
      <protection hidden="1"/>
    </xf>
    <xf numFmtId="0" fontId="62" fillId="13" borderId="44" xfId="0" applyFont="1" applyFill="1" applyBorder="1" applyProtection="1">
      <protection hidden="1"/>
    </xf>
    <xf numFmtId="0" fontId="42" fillId="13" borderId="0" xfId="0" applyFont="1" applyFill="1" applyProtection="1">
      <protection hidden="1"/>
    </xf>
    <xf numFmtId="43" fontId="37" fillId="13" borderId="49" xfId="1" applyFont="1" applyFill="1" applyBorder="1" applyProtection="1">
      <protection hidden="1"/>
    </xf>
    <xf numFmtId="0" fontId="37" fillId="13" borderId="49" xfId="1" applyNumberFormat="1" applyFont="1" applyFill="1" applyBorder="1" applyProtection="1">
      <protection hidden="1"/>
    </xf>
    <xf numFmtId="164" fontId="47" fillId="13" borderId="49" xfId="1" applyNumberFormat="1" applyFont="1" applyFill="1" applyBorder="1" applyProtection="1">
      <protection hidden="1"/>
    </xf>
    <xf numFmtId="164" fontId="37" fillId="13" borderId="49" xfId="1" applyNumberFormat="1" applyFont="1" applyFill="1" applyBorder="1" applyProtection="1">
      <protection hidden="1"/>
    </xf>
    <xf numFmtId="0" fontId="47" fillId="16" borderId="0" xfId="0" applyFont="1" applyFill="1" applyProtection="1">
      <protection hidden="1"/>
    </xf>
    <xf numFmtId="0" fontId="25" fillId="16" borderId="0" xfId="0" applyFont="1" applyFill="1" applyProtection="1">
      <protection hidden="1"/>
    </xf>
    <xf numFmtId="0" fontId="37" fillId="16" borderId="0" xfId="0" applyFont="1" applyFill="1" applyProtection="1">
      <protection hidden="1"/>
    </xf>
    <xf numFmtId="0" fontId="43" fillId="16" borderId="51" xfId="0" applyFont="1" applyFill="1" applyBorder="1" applyProtection="1">
      <protection hidden="1"/>
    </xf>
    <xf numFmtId="0" fontId="37" fillId="16" borderId="59" xfId="0" applyFont="1" applyFill="1" applyBorder="1" applyProtection="1">
      <protection hidden="1"/>
    </xf>
    <xf numFmtId="0" fontId="43" fillId="16" borderId="0" xfId="0" applyFont="1" applyFill="1" applyAlignment="1" applyProtection="1">
      <alignment wrapText="1"/>
      <protection hidden="1"/>
    </xf>
    <xf numFmtId="0" fontId="48" fillId="16" borderId="0" xfId="0" applyFont="1" applyFill="1" applyAlignment="1" applyProtection="1">
      <alignment wrapText="1"/>
      <protection hidden="1"/>
    </xf>
    <xf numFmtId="43" fontId="47" fillId="16" borderId="12" xfId="1" applyFont="1" applyFill="1" applyBorder="1" applyProtection="1">
      <protection hidden="1"/>
    </xf>
    <xf numFmtId="43" fontId="37" fillId="16" borderId="12" xfId="1" applyFont="1" applyFill="1" applyBorder="1" applyProtection="1">
      <protection hidden="1"/>
    </xf>
    <xf numFmtId="0" fontId="46" fillId="16" borderId="0" xfId="0" applyFont="1" applyFill="1" applyProtection="1">
      <protection hidden="1"/>
    </xf>
    <xf numFmtId="0" fontId="62" fillId="16" borderId="0" xfId="0" applyFont="1" applyFill="1" applyProtection="1">
      <protection hidden="1"/>
    </xf>
    <xf numFmtId="164" fontId="47" fillId="16" borderId="0" xfId="1" applyNumberFormat="1" applyFont="1" applyFill="1" applyProtection="1">
      <protection hidden="1"/>
    </xf>
    <xf numFmtId="164" fontId="37" fillId="16" borderId="0" xfId="1" applyNumberFormat="1" applyFont="1" applyFill="1" applyProtection="1">
      <protection hidden="1"/>
    </xf>
    <xf numFmtId="164" fontId="43" fillId="16" borderId="12" xfId="1" applyNumberFormat="1" applyFont="1" applyFill="1" applyBorder="1" applyProtection="1">
      <protection hidden="1"/>
    </xf>
    <xf numFmtId="164" fontId="48" fillId="16" borderId="12" xfId="1" applyNumberFormat="1" applyFont="1" applyFill="1" applyBorder="1" applyProtection="1">
      <protection hidden="1"/>
    </xf>
    <xf numFmtId="0" fontId="20" fillId="0" borderId="12" xfId="0" applyFont="1" applyBorder="1" applyAlignment="1" applyProtection="1">
      <alignment horizontal="center" vertical="center" wrapText="1"/>
      <protection hidden="1"/>
    </xf>
    <xf numFmtId="49" fontId="5" fillId="0" borderId="11" xfId="0" applyNumberFormat="1" applyFont="1" applyBorder="1" applyAlignment="1" applyProtection="1">
      <alignment horizontal="center" vertical="center"/>
      <protection hidden="1"/>
    </xf>
    <xf numFmtId="3" fontId="5" fillId="0" borderId="11" xfId="0" applyNumberFormat="1" applyFont="1" applyBorder="1" applyAlignment="1" applyProtection="1">
      <alignment horizontal="center" vertical="center"/>
      <protection hidden="1"/>
    </xf>
    <xf numFmtId="3" fontId="5" fillId="0" borderId="11" xfId="0" applyNumberFormat="1" applyFont="1" applyBorder="1" applyAlignment="1" applyProtection="1">
      <alignment horizontal="center"/>
      <protection hidden="1"/>
    </xf>
    <xf numFmtId="0" fontId="1" fillId="0" borderId="0" xfId="0" applyFont="1" applyAlignment="1" applyProtection="1">
      <alignment horizontal="center"/>
      <protection hidden="1"/>
    </xf>
    <xf numFmtId="164" fontId="30" fillId="0" borderId="5" xfId="1" applyNumberFormat="1" applyFont="1" applyBorder="1" applyAlignment="1" applyProtection="1">
      <alignment horizontal="right" readingOrder="2"/>
      <protection hidden="1"/>
    </xf>
    <xf numFmtId="43" fontId="16" fillId="0" borderId="10" xfId="1" applyFont="1" applyFill="1" applyBorder="1" applyAlignment="1" applyProtection="1">
      <alignment horizontal="right" readingOrder="2"/>
      <protection hidden="1"/>
    </xf>
    <xf numFmtId="10" fontId="14" fillId="0" borderId="11" xfId="2" applyNumberFormat="1" applyFont="1" applyFill="1" applyBorder="1" applyAlignment="1" applyProtection="1">
      <alignment horizontal="center"/>
      <protection hidden="1"/>
    </xf>
    <xf numFmtId="0" fontId="16" fillId="0" borderId="42" xfId="0" applyFont="1" applyBorder="1" applyAlignment="1" applyProtection="1">
      <alignment horizontal="center" vertical="center"/>
      <protection hidden="1"/>
    </xf>
    <xf numFmtId="0" fontId="83" fillId="0" borderId="0" xfId="0" applyFont="1" applyProtection="1">
      <protection hidden="1"/>
    </xf>
    <xf numFmtId="0" fontId="84" fillId="0" borderId="0" xfId="0" applyFont="1" applyAlignment="1" applyProtection="1">
      <alignment wrapText="1"/>
      <protection hidden="1"/>
    </xf>
    <xf numFmtId="0" fontId="84" fillId="0" borderId="0" xfId="0" applyFont="1" applyProtection="1">
      <protection hidden="1"/>
    </xf>
    <xf numFmtId="0" fontId="79" fillId="13" borderId="0" xfId="0" applyFont="1" applyFill="1" applyProtection="1">
      <protection hidden="1"/>
    </xf>
    <xf numFmtId="0" fontId="79" fillId="13" borderId="0" xfId="0" applyFont="1" applyFill="1" applyAlignment="1" applyProtection="1">
      <alignment wrapText="1"/>
      <protection hidden="1"/>
    </xf>
    <xf numFmtId="43" fontId="42" fillId="12" borderId="0" xfId="1" applyFont="1" applyFill="1" applyAlignment="1" applyProtection="1">
      <alignment horizontal="center"/>
      <protection hidden="1"/>
    </xf>
    <xf numFmtId="0" fontId="19" fillId="17" borderId="1" xfId="0" applyFont="1" applyFill="1" applyBorder="1" applyAlignment="1" applyProtection="1">
      <alignment horizontal="center" vertical="center" wrapText="1"/>
      <protection hidden="1"/>
    </xf>
    <xf numFmtId="0" fontId="55" fillId="17" borderId="1" xfId="0" applyFont="1" applyFill="1" applyBorder="1" applyAlignment="1" applyProtection="1">
      <alignment horizontal="center" vertical="center" wrapText="1"/>
      <protection hidden="1"/>
    </xf>
    <xf numFmtId="164" fontId="30" fillId="4" borderId="0" xfId="1" applyNumberFormat="1" applyFont="1" applyFill="1" applyProtection="1">
      <protection hidden="1"/>
    </xf>
    <xf numFmtId="164" fontId="18" fillId="4" borderId="0" xfId="1" applyNumberFormat="1" applyFont="1" applyFill="1" applyProtection="1">
      <protection hidden="1"/>
    </xf>
    <xf numFmtId="164" fontId="26" fillId="4" borderId="0" xfId="1" applyNumberFormat="1" applyFont="1" applyFill="1" applyProtection="1">
      <protection hidden="1"/>
    </xf>
    <xf numFmtId="164" fontId="16" fillId="4" borderId="0" xfId="1" applyNumberFormat="1" applyFont="1" applyFill="1" applyAlignment="1" applyProtection="1">
      <alignment wrapText="1"/>
      <protection hidden="1"/>
    </xf>
    <xf numFmtId="164" fontId="25" fillId="4" borderId="0" xfId="1" applyNumberFormat="1" applyFont="1" applyFill="1" applyProtection="1">
      <protection hidden="1"/>
    </xf>
    <xf numFmtId="164" fontId="14" fillId="4" borderId="1" xfId="1" applyNumberFormat="1" applyFont="1" applyFill="1" applyBorder="1" applyAlignment="1" applyProtection="1">
      <alignment horizontal="center" vertical="center" wrapText="1"/>
      <protection hidden="1"/>
    </xf>
    <xf numFmtId="164" fontId="30" fillId="4" borderId="1" xfId="1" applyNumberFormat="1" applyFont="1" applyFill="1" applyBorder="1" applyProtection="1">
      <protection hidden="1"/>
    </xf>
    <xf numFmtId="44" fontId="37" fillId="11" borderId="1" xfId="0" applyNumberFormat="1" applyFont="1" applyFill="1" applyBorder="1" applyProtection="1">
      <protection hidden="1"/>
    </xf>
    <xf numFmtId="0" fontId="82" fillId="14" borderId="0" xfId="0" applyFont="1" applyFill="1" applyProtection="1">
      <protection hidden="1"/>
    </xf>
    <xf numFmtId="0" fontId="30" fillId="4" borderId="0" xfId="0" applyFont="1" applyFill="1" applyProtection="1">
      <protection hidden="1"/>
    </xf>
    <xf numFmtId="0" fontId="0" fillId="4" borderId="0" xfId="0" applyFill="1" applyProtection="1">
      <protection hidden="1"/>
    </xf>
    <xf numFmtId="0" fontId="14" fillId="0" borderId="1" xfId="0" applyFont="1" applyBorder="1" applyAlignment="1" applyProtection="1">
      <alignment horizontal="center" vertical="center" wrapText="1"/>
      <protection hidden="1"/>
    </xf>
    <xf numFmtId="0" fontId="17" fillId="0" borderId="0" xfId="0" applyFont="1" applyAlignment="1" applyProtection="1">
      <alignment horizontal="center"/>
      <protection hidden="1"/>
    </xf>
    <xf numFmtId="0" fontId="17" fillId="0" borderId="0" xfId="0" applyFont="1" applyFill="1" applyProtection="1">
      <protection hidden="1"/>
    </xf>
    <xf numFmtId="0" fontId="27" fillId="0" borderId="0" xfId="0" applyFont="1" applyFill="1" applyProtection="1">
      <protection hidden="1"/>
    </xf>
    <xf numFmtId="0" fontId="24" fillId="0" borderId="0" xfId="0" applyFont="1" applyFill="1" applyProtection="1">
      <protection hidden="1"/>
    </xf>
    <xf numFmtId="0" fontId="24" fillId="0" borderId="0" xfId="0" applyFont="1" applyFill="1" applyAlignment="1" applyProtection="1">
      <alignment horizontal="right"/>
      <protection hidden="1"/>
    </xf>
    <xf numFmtId="0" fontId="17" fillId="0" borderId="0" xfId="0" applyFont="1" applyFill="1" applyAlignment="1" applyProtection="1">
      <alignment horizontal="center"/>
      <protection hidden="1"/>
    </xf>
    <xf numFmtId="0" fontId="30" fillId="0" borderId="0" xfId="0" applyFont="1" applyFill="1" applyProtection="1">
      <protection hidden="1"/>
    </xf>
    <xf numFmtId="0" fontId="14" fillId="0" borderId="0" xfId="0" applyFont="1" applyFill="1" applyAlignment="1" applyProtection="1">
      <alignment horizontal="center" wrapText="1"/>
      <protection hidden="1"/>
    </xf>
    <xf numFmtId="0" fontId="0" fillId="0" borderId="0" xfId="0" applyFill="1" applyProtection="1">
      <protection hidden="1"/>
    </xf>
    <xf numFmtId="0" fontId="30" fillId="0" borderId="20" xfId="0" applyFont="1" applyFill="1" applyBorder="1" applyProtection="1">
      <protection hidden="1"/>
    </xf>
    <xf numFmtId="0" fontId="30" fillId="0" borderId="41" xfId="0" applyFont="1" applyFill="1" applyBorder="1" applyProtection="1">
      <protection hidden="1"/>
    </xf>
    <xf numFmtId="1" fontId="20" fillId="0" borderId="9" xfId="0" applyNumberFormat="1" applyFont="1" applyFill="1" applyBorder="1" applyAlignment="1" applyProtection="1">
      <alignment horizontal="center" vertical="center" wrapText="1"/>
      <protection hidden="1"/>
    </xf>
    <xf numFmtId="0" fontId="30" fillId="0" borderId="5" xfId="0" applyFont="1" applyFill="1" applyBorder="1" applyProtection="1">
      <protection hidden="1"/>
    </xf>
    <xf numFmtId="164" fontId="14" fillId="0" borderId="1" xfId="1" applyNumberFormat="1" applyFont="1" applyBorder="1" applyAlignment="1" applyProtection="1">
      <alignment horizontal="center" vertical="center" wrapText="1"/>
      <protection hidden="1"/>
    </xf>
    <xf numFmtId="0" fontId="0" fillId="4" borderId="0" xfId="0" applyFill="1" applyAlignment="1" applyProtection="1">
      <alignment vertical="center"/>
      <protection hidden="1"/>
    </xf>
    <xf numFmtId="164" fontId="14" fillId="0" borderId="1" xfId="1" applyNumberFormat="1" applyFont="1" applyBorder="1" applyAlignment="1" applyProtection="1">
      <alignment vertical="center" wrapText="1"/>
      <protection hidden="1"/>
    </xf>
    <xf numFmtId="164" fontId="76" fillId="0" borderId="1" xfId="1" applyNumberFormat="1" applyFont="1" applyBorder="1" applyAlignment="1" applyProtection="1">
      <alignment vertical="center" wrapText="1"/>
      <protection hidden="1"/>
    </xf>
    <xf numFmtId="0" fontId="0" fillId="0" borderId="0" xfId="0" applyFill="1"/>
    <xf numFmtId="0" fontId="0" fillId="0" borderId="0" xfId="0" applyBorder="1"/>
    <xf numFmtId="0" fontId="0" fillId="0" borderId="0" xfId="0" applyFill="1" applyBorder="1"/>
    <xf numFmtId="0" fontId="17" fillId="0" borderId="0" xfId="0" applyFont="1" applyAlignment="1" applyProtection="1">
      <alignment horizontal="left" vertical="center"/>
      <protection hidden="1"/>
    </xf>
    <xf numFmtId="164" fontId="27" fillId="0" borderId="0" xfId="1" applyNumberFormat="1" applyFont="1" applyAlignment="1" applyProtection="1">
      <alignment horizontal="left" vertical="center"/>
      <protection hidden="1"/>
    </xf>
    <xf numFmtId="164" fontId="17" fillId="0" borderId="0" xfId="1" applyNumberFormat="1" applyFont="1" applyAlignment="1" applyProtection="1">
      <alignment horizontal="left" vertical="center"/>
      <protection hidden="1"/>
    </xf>
    <xf numFmtId="164" fontId="30" fillId="0" borderId="0" xfId="1" applyNumberFormat="1" applyFont="1" applyAlignment="1" applyProtection="1">
      <alignment horizontal="left" vertical="center"/>
      <protection hidden="1"/>
    </xf>
    <xf numFmtId="0" fontId="0" fillId="0" borderId="0" xfId="0" applyAlignment="1">
      <alignment horizontal="left" vertical="center"/>
    </xf>
    <xf numFmtId="164" fontId="32" fillId="0" borderId="11" xfId="1" applyNumberFormat="1" applyFont="1" applyFill="1" applyBorder="1" applyAlignment="1" applyProtection="1">
      <alignment horizontal="center" vertical="center"/>
      <protection hidden="1"/>
    </xf>
    <xf numFmtId="164" fontId="32" fillId="0" borderId="26" xfId="1" applyNumberFormat="1" applyFont="1" applyFill="1" applyBorder="1" applyAlignment="1" applyProtection="1">
      <alignment horizontal="center" vertical="center"/>
      <protection hidden="1"/>
    </xf>
    <xf numFmtId="0" fontId="32" fillId="0" borderId="11" xfId="1" applyNumberFormat="1" applyFont="1" applyFill="1" applyBorder="1" applyAlignment="1" applyProtection="1">
      <alignment horizontal="center" vertical="center"/>
      <protection hidden="1"/>
    </xf>
    <xf numFmtId="0" fontId="24" fillId="0" borderId="0" xfId="0" applyFont="1" applyFill="1" applyBorder="1" applyAlignment="1" applyProtection="1">
      <alignment vertical="center" wrapText="1"/>
      <protection hidden="1"/>
    </xf>
    <xf numFmtId="168" fontId="19" fillId="0" borderId="1" xfId="1" applyNumberFormat="1" applyFont="1" applyFill="1" applyBorder="1" applyAlignment="1" applyProtection="1">
      <alignment horizontal="center" vertical="center" wrapText="1"/>
      <protection hidden="1"/>
    </xf>
    <xf numFmtId="0" fontId="18" fillId="0" borderId="7" xfId="4" applyNumberFormat="1" applyFont="1" applyFill="1" applyBorder="1" applyProtection="1">
      <protection hidden="1"/>
    </xf>
    <xf numFmtId="168" fontId="18" fillId="0" borderId="1" xfId="1" applyNumberFormat="1" applyFont="1" applyFill="1" applyBorder="1" applyAlignment="1" applyProtection="1">
      <alignment horizontal="center"/>
      <protection hidden="1"/>
    </xf>
    <xf numFmtId="0" fontId="25" fillId="0" borderId="0" xfId="0" applyFont="1" applyBorder="1" applyAlignment="1" applyProtection="1">
      <alignment vertical="center" wrapText="1"/>
      <protection hidden="1"/>
    </xf>
    <xf numFmtId="0" fontId="15" fillId="0" borderId="1" xfId="0" applyFont="1" applyBorder="1" applyAlignment="1" applyProtection="1">
      <alignment horizontal="center" vertical="center" wrapText="1"/>
      <protection hidden="1"/>
    </xf>
    <xf numFmtId="0" fontId="15" fillId="0" borderId="1" xfId="0" applyFont="1" applyFill="1" applyBorder="1" applyAlignment="1" applyProtection="1">
      <alignment horizontal="center" vertical="center" wrapText="1"/>
      <protection hidden="1"/>
    </xf>
    <xf numFmtId="168" fontId="14" fillId="0" borderId="1" xfId="0" applyNumberFormat="1" applyFont="1" applyBorder="1" applyAlignment="1" applyProtection="1">
      <alignment wrapText="1"/>
      <protection hidden="1"/>
    </xf>
    <xf numFmtId="166" fontId="43" fillId="0" borderId="0" xfId="4" applyNumberFormat="1" applyFont="1" applyBorder="1" applyProtection="1">
      <protection hidden="1"/>
    </xf>
    <xf numFmtId="166" fontId="14" fillId="0" borderId="0" xfId="4" applyNumberFormat="1" applyFont="1" applyBorder="1" applyProtection="1">
      <protection hidden="1"/>
    </xf>
    <xf numFmtId="166" fontId="37" fillId="15" borderId="0" xfId="4" applyNumberFormat="1" applyFont="1" applyFill="1" applyBorder="1" applyProtection="1">
      <protection hidden="1"/>
    </xf>
    <xf numFmtId="43" fontId="37" fillId="13" borderId="0" xfId="1" applyFont="1" applyFill="1" applyBorder="1" applyProtection="1">
      <protection hidden="1"/>
    </xf>
    <xf numFmtId="0" fontId="37" fillId="13" borderId="0" xfId="1" applyNumberFormat="1" applyFont="1" applyFill="1" applyBorder="1" applyProtection="1">
      <protection hidden="1"/>
    </xf>
    <xf numFmtId="164" fontId="47" fillId="13" borderId="0" xfId="1" applyNumberFormat="1" applyFont="1" applyFill="1" applyBorder="1" applyProtection="1">
      <protection hidden="1"/>
    </xf>
    <xf numFmtId="164" fontId="37" fillId="13" borderId="0" xfId="1" applyNumberFormat="1" applyFont="1" applyFill="1" applyBorder="1" applyProtection="1">
      <protection hidden="1"/>
    </xf>
    <xf numFmtId="0" fontId="30" fillId="0" borderId="0" xfId="0" applyFont="1" applyBorder="1" applyProtection="1">
      <protection hidden="1"/>
    </xf>
    <xf numFmtId="164" fontId="43" fillId="16" borderId="0" xfId="1" applyNumberFormat="1" applyFont="1" applyFill="1" applyBorder="1" applyProtection="1">
      <protection hidden="1"/>
    </xf>
    <xf numFmtId="164" fontId="48" fillId="16" borderId="0" xfId="1" applyNumberFormat="1" applyFont="1" applyFill="1" applyBorder="1" applyProtection="1">
      <protection hidden="1"/>
    </xf>
    <xf numFmtId="0" fontId="19" fillId="0" borderId="16" xfId="0" applyFont="1" applyBorder="1" applyProtection="1">
      <protection hidden="1"/>
    </xf>
    <xf numFmtId="0" fontId="19" fillId="0" borderId="7" xfId="0" applyFont="1" applyBorder="1" applyProtection="1">
      <protection hidden="1"/>
    </xf>
    <xf numFmtId="164" fontId="19" fillId="0" borderId="7" xfId="1" applyNumberFormat="1" applyFont="1" applyFill="1" applyBorder="1" applyProtection="1">
      <protection hidden="1"/>
    </xf>
    <xf numFmtId="164" fontId="19" fillId="0" borderId="31" xfId="1" applyNumberFormat="1" applyFont="1" applyFill="1" applyBorder="1" applyProtection="1">
      <protection hidden="1"/>
    </xf>
    <xf numFmtId="0" fontId="24" fillId="0" borderId="0" xfId="0" applyFont="1" applyBorder="1" applyProtection="1">
      <protection hidden="1"/>
    </xf>
    <xf numFmtId="0" fontId="15" fillId="0" borderId="30" xfId="0" applyFont="1" applyBorder="1" applyAlignment="1" applyProtection="1">
      <alignment horizontal="center" vertical="center" wrapText="1"/>
      <protection hidden="1"/>
    </xf>
    <xf numFmtId="0" fontId="18" fillId="0" borderId="7" xfId="0" applyFont="1" applyBorder="1" applyProtection="1">
      <protection hidden="1"/>
    </xf>
    <xf numFmtId="0" fontId="14" fillId="0" borderId="32" xfId="0" applyFont="1" applyBorder="1" applyProtection="1">
      <protection hidden="1"/>
    </xf>
    <xf numFmtId="0" fontId="15" fillId="0" borderId="7" xfId="0" applyFont="1" applyBorder="1" applyProtection="1">
      <protection hidden="1"/>
    </xf>
    <xf numFmtId="0" fontId="14" fillId="0" borderId="31" xfId="0" applyFont="1" applyBorder="1" applyProtection="1">
      <protection hidden="1"/>
    </xf>
    <xf numFmtId="166" fontId="15" fillId="0" borderId="23" xfId="4" applyNumberFormat="1" applyFont="1" applyFill="1" applyBorder="1" applyAlignment="1" applyProtection="1">
      <alignment horizontal="right" vertical="center"/>
      <protection hidden="1"/>
    </xf>
    <xf numFmtId="0" fontId="19" fillId="0" borderId="0" xfId="0" applyFont="1" applyBorder="1" applyProtection="1">
      <protection hidden="1"/>
    </xf>
    <xf numFmtId="0" fontId="30" fillId="15" borderId="0" xfId="0" applyFont="1" applyFill="1" applyBorder="1" applyProtection="1">
      <protection hidden="1"/>
    </xf>
    <xf numFmtId="0" fontId="37" fillId="15" borderId="0" xfId="0" applyFont="1" applyFill="1" applyBorder="1" applyProtection="1">
      <protection hidden="1"/>
    </xf>
    <xf numFmtId="43" fontId="30" fillId="13" borderId="0" xfId="1" applyFont="1" applyFill="1" applyBorder="1" applyProtection="1">
      <protection hidden="1"/>
    </xf>
    <xf numFmtId="0" fontId="47" fillId="13" borderId="0" xfId="0" applyFont="1" applyFill="1" applyBorder="1" applyProtection="1">
      <protection hidden="1"/>
    </xf>
    <xf numFmtId="0" fontId="37" fillId="13" borderId="0" xfId="0" applyFont="1" applyFill="1" applyBorder="1" applyProtection="1">
      <protection hidden="1"/>
    </xf>
    <xf numFmtId="0" fontId="30" fillId="13" borderId="0" xfId="0" applyFont="1" applyFill="1" applyBorder="1" applyProtection="1">
      <protection hidden="1"/>
    </xf>
    <xf numFmtId="0" fontId="16" fillId="0" borderId="0" xfId="0" applyFont="1" applyBorder="1" applyProtection="1">
      <protection hidden="1"/>
    </xf>
    <xf numFmtId="0" fontId="18" fillId="0" borderId="0" xfId="0" applyFont="1" applyBorder="1" applyProtection="1">
      <protection hidden="1"/>
    </xf>
    <xf numFmtId="0" fontId="30" fillId="0" borderId="0" xfId="0" applyFont="1" applyBorder="1" applyAlignment="1" applyProtection="1">
      <alignment wrapText="1"/>
      <protection hidden="1"/>
    </xf>
    <xf numFmtId="0" fontId="30" fillId="15" borderId="0" xfId="0" applyFont="1" applyFill="1" applyBorder="1" applyAlignment="1" applyProtection="1">
      <alignment wrapText="1"/>
      <protection hidden="1"/>
    </xf>
    <xf numFmtId="44" fontId="30" fillId="15" borderId="0" xfId="0" applyNumberFormat="1" applyFont="1" applyFill="1" applyBorder="1" applyAlignment="1" applyProtection="1">
      <alignment wrapText="1"/>
      <protection hidden="1"/>
    </xf>
    <xf numFmtId="0" fontId="79" fillId="15" borderId="0" xfId="0" applyFont="1" applyFill="1" applyBorder="1" applyProtection="1">
      <protection hidden="1"/>
    </xf>
    <xf numFmtId="0" fontId="18" fillId="15" borderId="0" xfId="0" applyFont="1" applyFill="1" applyBorder="1" applyProtection="1">
      <protection hidden="1"/>
    </xf>
    <xf numFmtId="164" fontId="37" fillId="15" borderId="0" xfId="0" applyNumberFormat="1" applyFont="1" applyFill="1" applyBorder="1" applyProtection="1">
      <protection hidden="1"/>
    </xf>
    <xf numFmtId="0" fontId="15" fillId="0" borderId="0" xfId="0" applyFont="1" applyBorder="1" applyAlignment="1" applyProtection="1">
      <alignment horizontal="center" vertical="center" wrapText="1"/>
      <protection hidden="1"/>
    </xf>
    <xf numFmtId="0" fontId="25" fillId="13" borderId="0" xfId="0" applyFont="1" applyFill="1" applyBorder="1"/>
    <xf numFmtId="0" fontId="30" fillId="13" borderId="0" xfId="0" applyFont="1" applyFill="1" applyBorder="1"/>
    <xf numFmtId="0" fontId="0" fillId="13" borderId="0" xfId="0" applyFill="1" applyBorder="1"/>
    <xf numFmtId="164" fontId="62" fillId="15" borderId="49" xfId="1" applyNumberFormat="1" applyFont="1" applyFill="1" applyBorder="1" applyAlignment="1" applyProtection="1">
      <alignment horizontal="left" vertical="center"/>
      <protection hidden="1"/>
    </xf>
    <xf numFmtId="166" fontId="62" fillId="15" borderId="49" xfId="4" applyNumberFormat="1" applyFont="1" applyFill="1" applyBorder="1" applyProtection="1">
      <protection hidden="1"/>
    </xf>
    <xf numFmtId="164" fontId="62" fillId="15" borderId="1" xfId="1" applyNumberFormat="1" applyFont="1" applyFill="1" applyBorder="1" applyAlignment="1" applyProtection="1">
      <alignment horizontal="left" vertical="center"/>
      <protection hidden="1"/>
    </xf>
    <xf numFmtId="166" fontId="62" fillId="15" borderId="1" xfId="4" applyNumberFormat="1" applyFont="1" applyFill="1" applyBorder="1" applyProtection="1">
      <protection hidden="1"/>
    </xf>
    <xf numFmtId="43" fontId="37" fillId="15" borderId="23" xfId="1" applyFont="1" applyFill="1" applyBorder="1" applyProtection="1">
      <protection hidden="1"/>
    </xf>
    <xf numFmtId="0" fontId="15" fillId="15" borderId="1" xfId="0" applyFont="1" applyFill="1" applyBorder="1" applyAlignment="1" applyProtection="1">
      <alignment horizontal="center" vertical="center" wrapText="1"/>
      <protection hidden="1"/>
    </xf>
    <xf numFmtId="166" fontId="30" fillId="15" borderId="1" xfId="4" applyNumberFormat="1" applyFont="1" applyFill="1" applyBorder="1" applyProtection="1">
      <protection hidden="1"/>
    </xf>
    <xf numFmtId="166" fontId="18" fillId="15" borderId="1" xfId="4" applyNumberFormat="1" applyFont="1" applyFill="1" applyBorder="1" applyProtection="1">
      <protection hidden="1"/>
    </xf>
    <xf numFmtId="166" fontId="15" fillId="15" borderId="1" xfId="4" applyNumberFormat="1" applyFont="1" applyFill="1" applyBorder="1" applyProtection="1">
      <protection hidden="1"/>
    </xf>
    <xf numFmtId="166" fontId="20" fillId="15" borderId="1" xfId="4" applyNumberFormat="1" applyFont="1" applyFill="1" applyBorder="1" applyProtection="1">
      <protection hidden="1"/>
    </xf>
    <xf numFmtId="0" fontId="30" fillId="15" borderId="1" xfId="0" applyFont="1" applyFill="1" applyBorder="1" applyProtection="1">
      <protection hidden="1"/>
    </xf>
    <xf numFmtId="166" fontId="55" fillId="15" borderId="1" xfId="4" applyNumberFormat="1" applyFont="1" applyFill="1" applyBorder="1" applyProtection="1">
      <protection hidden="1"/>
    </xf>
    <xf numFmtId="43" fontId="30" fillId="0" borderId="0" xfId="1" applyFont="1" applyFill="1" applyAlignment="1" applyProtection="1">
      <alignment horizontal="center"/>
      <protection hidden="1"/>
    </xf>
    <xf numFmtId="43" fontId="81" fillId="19" borderId="1" xfId="1" applyFont="1" applyFill="1" applyBorder="1" applyAlignment="1" applyProtection="1">
      <alignment horizontal="center" vertical="center" wrapText="1"/>
      <protection hidden="1"/>
    </xf>
    <xf numFmtId="43" fontId="30" fillId="19" borderId="1" xfId="1" applyFont="1" applyFill="1" applyBorder="1" applyProtection="1">
      <protection hidden="1"/>
    </xf>
    <xf numFmtId="0" fontId="0" fillId="4" borderId="0" xfId="0" applyFill="1"/>
    <xf numFmtId="168" fontId="19" fillId="4" borderId="1" xfId="1" applyNumberFormat="1" applyFont="1" applyFill="1" applyBorder="1" applyAlignment="1" applyProtection="1">
      <alignment horizontal="center" vertical="center" wrapText="1"/>
      <protection hidden="1"/>
    </xf>
    <xf numFmtId="0" fontId="20" fillId="0" borderId="1" xfId="0" applyFont="1" applyBorder="1" applyAlignment="1" applyProtection="1">
      <alignment horizontal="center" vertical="center" wrapText="1"/>
      <protection hidden="1"/>
    </xf>
    <xf numFmtId="0" fontId="61" fillId="0" borderId="0" xfId="0" applyFont="1"/>
    <xf numFmtId="3" fontId="61" fillId="0" borderId="0" xfId="0" applyNumberFormat="1" applyFont="1"/>
    <xf numFmtId="0" fontId="61" fillId="9" borderId="0" xfId="0" applyFont="1" applyFill="1"/>
    <xf numFmtId="0" fontId="61" fillId="14" borderId="0" xfId="0" applyFont="1" applyFill="1"/>
    <xf numFmtId="0" fontId="61" fillId="14" borderId="0" xfId="0" applyFont="1" applyFill="1" applyProtection="1">
      <protection hidden="1"/>
    </xf>
    <xf numFmtId="0" fontId="61" fillId="18" borderId="0" xfId="0" applyFont="1" applyFill="1"/>
    <xf numFmtId="164" fontId="48" fillId="0" borderId="55" xfId="1" applyNumberFormat="1" applyFont="1" applyFill="1" applyBorder="1" applyAlignment="1" applyProtection="1">
      <alignment horizontal="center" vertical="center" wrapText="1"/>
      <protection hidden="1"/>
    </xf>
    <xf numFmtId="49" fontId="30" fillId="0" borderId="43" xfId="0" applyNumberFormat="1" applyFont="1" applyFill="1" applyBorder="1" applyAlignment="1" applyProtection="1">
      <alignment horizontal="right"/>
      <protection hidden="1"/>
    </xf>
    <xf numFmtId="164" fontId="30" fillId="0" borderId="44" xfId="0" applyNumberFormat="1" applyFont="1" applyFill="1" applyBorder="1" applyProtection="1">
      <protection hidden="1"/>
    </xf>
    <xf numFmtId="164" fontId="25" fillId="0" borderId="44" xfId="0" applyNumberFormat="1" applyFont="1" applyFill="1" applyBorder="1" applyProtection="1">
      <protection hidden="1"/>
    </xf>
    <xf numFmtId="0" fontId="25" fillId="0" borderId="44" xfId="0" applyFont="1" applyFill="1" applyBorder="1" applyProtection="1">
      <protection hidden="1"/>
    </xf>
    <xf numFmtId="49" fontId="25" fillId="0" borderId="48" xfId="0" applyNumberFormat="1" applyFont="1" applyFill="1" applyBorder="1" applyAlignment="1" applyProtection="1">
      <alignment horizontal="right"/>
      <protection locked="0"/>
    </xf>
    <xf numFmtId="164" fontId="25" fillId="0" borderId="49" xfId="1" applyNumberFormat="1" applyFont="1" applyFill="1" applyBorder="1" applyProtection="1">
      <protection locked="0"/>
    </xf>
    <xf numFmtId="164" fontId="25" fillId="0" borderId="49" xfId="0" applyNumberFormat="1" applyFont="1" applyFill="1" applyBorder="1" applyProtection="1">
      <protection locked="0"/>
    </xf>
    <xf numFmtId="0" fontId="25" fillId="0" borderId="49" xfId="0" applyFont="1" applyFill="1" applyBorder="1" applyAlignment="1" applyProtection="1">
      <alignment horizontal="center"/>
      <protection locked="0"/>
    </xf>
    <xf numFmtId="164" fontId="37" fillId="0" borderId="20" xfId="0" applyNumberFormat="1" applyFont="1" applyFill="1" applyBorder="1" applyAlignment="1" applyProtection="1">
      <alignment wrapText="1"/>
      <protection hidden="1"/>
    </xf>
    <xf numFmtId="164" fontId="48" fillId="0" borderId="41" xfId="1" applyNumberFormat="1" applyFont="1" applyFill="1" applyBorder="1" applyProtection="1">
      <protection hidden="1"/>
    </xf>
    <xf numFmtId="164" fontId="37" fillId="0" borderId="23" xfId="1" applyNumberFormat="1" applyFont="1" applyFill="1" applyBorder="1" applyProtection="1">
      <protection hidden="1"/>
    </xf>
    <xf numFmtId="164" fontId="48" fillId="0" borderId="50" xfId="0" applyNumberFormat="1" applyFont="1" applyFill="1" applyBorder="1" applyAlignment="1" applyProtection="1">
      <alignment horizontal="center" vertical="center" wrapText="1"/>
      <protection hidden="1"/>
    </xf>
    <xf numFmtId="164" fontId="48" fillId="0" borderId="9" xfId="0" applyNumberFormat="1" applyFont="1" applyFill="1" applyBorder="1" applyAlignment="1" applyProtection="1">
      <alignment horizontal="center" vertical="center" wrapText="1"/>
      <protection hidden="1"/>
    </xf>
    <xf numFmtId="164" fontId="20" fillId="0" borderId="8" xfId="0" applyNumberFormat="1" applyFont="1" applyFill="1" applyBorder="1" applyAlignment="1" applyProtection="1">
      <alignment horizontal="center" vertical="center" wrapText="1"/>
      <protection hidden="1"/>
    </xf>
    <xf numFmtId="164" fontId="20" fillId="0" borderId="9" xfId="0" applyNumberFormat="1" applyFont="1" applyFill="1" applyBorder="1" applyAlignment="1" applyProtection="1">
      <alignment horizontal="center" vertical="center" wrapText="1"/>
      <protection hidden="1"/>
    </xf>
    <xf numFmtId="164" fontId="14" fillId="0" borderId="9" xfId="1" applyNumberFormat="1" applyFont="1" applyFill="1" applyBorder="1" applyAlignment="1" applyProtection="1">
      <alignment horizontal="center" vertical="center" wrapText="1"/>
      <protection hidden="1"/>
    </xf>
    <xf numFmtId="0" fontId="14" fillId="0" borderId="9" xfId="0" applyFont="1" applyFill="1" applyBorder="1" applyAlignment="1" applyProtection="1">
      <alignment horizontal="center" vertical="center" wrapText="1"/>
      <protection hidden="1"/>
    </xf>
    <xf numFmtId="172" fontId="30" fillId="0" borderId="0" xfId="0" applyNumberFormat="1" applyFont="1" applyProtection="1">
      <protection hidden="1"/>
    </xf>
    <xf numFmtId="43" fontId="20" fillId="20" borderId="3" xfId="1" applyFont="1" applyFill="1" applyBorder="1" applyProtection="1">
      <protection hidden="1"/>
    </xf>
    <xf numFmtId="43" fontId="30" fillId="0" borderId="3" xfId="1" applyFont="1" applyFill="1" applyBorder="1" applyProtection="1">
      <protection hidden="1"/>
    </xf>
    <xf numFmtId="43" fontId="30" fillId="0" borderId="25" xfId="1" applyFont="1" applyFill="1" applyBorder="1" applyAlignment="1" applyProtection="1">
      <alignment horizontal="center"/>
      <protection hidden="1"/>
    </xf>
    <xf numFmtId="170" fontId="25" fillId="11" borderId="15" xfId="1" applyNumberFormat="1" applyFont="1" applyFill="1" applyBorder="1" applyProtection="1">
      <protection hidden="1"/>
    </xf>
    <xf numFmtId="10" fontId="14" fillId="11" borderId="15" xfId="2" applyNumberFormat="1" applyFont="1" applyFill="1" applyBorder="1" applyProtection="1">
      <protection hidden="1"/>
    </xf>
    <xf numFmtId="43" fontId="20" fillId="0" borderId="10" xfId="1" applyNumberFormat="1" applyFont="1" applyFill="1" applyBorder="1" applyProtection="1">
      <protection hidden="1"/>
    </xf>
    <xf numFmtId="10" fontId="20" fillId="0" borderId="10" xfId="1" applyNumberFormat="1" applyFont="1" applyFill="1" applyBorder="1" applyProtection="1">
      <protection hidden="1"/>
    </xf>
    <xf numFmtId="43" fontId="48" fillId="11" borderId="15" xfId="1" applyFont="1" applyFill="1" applyBorder="1" applyProtection="1">
      <protection hidden="1"/>
    </xf>
    <xf numFmtId="43" fontId="20" fillId="20" borderId="10" xfId="1" applyNumberFormat="1" applyFont="1" applyFill="1" applyBorder="1" applyProtection="1">
      <protection hidden="1"/>
    </xf>
    <xf numFmtId="0" fontId="30" fillId="0" borderId="0" xfId="0" applyFont="1" applyBorder="1" applyAlignment="1" applyProtection="1">
      <alignment horizontal="center" vertical="center" wrapText="1"/>
      <protection hidden="1"/>
    </xf>
    <xf numFmtId="0" fontId="30" fillId="0" borderId="0" xfId="0" applyFont="1" applyBorder="1" applyAlignment="1" applyProtection="1">
      <alignment horizontal="right" vertical="center"/>
      <protection hidden="1"/>
    </xf>
    <xf numFmtId="43" fontId="14" fillId="0" borderId="0" xfId="1" applyFont="1" applyFill="1" applyBorder="1" applyProtection="1">
      <protection hidden="1"/>
    </xf>
    <xf numFmtId="165" fontId="14" fillId="20" borderId="10" xfId="0" applyNumberFormat="1" applyFont="1" applyFill="1" applyBorder="1" applyProtection="1">
      <protection hidden="1"/>
    </xf>
    <xf numFmtId="0" fontId="37" fillId="0" borderId="30" xfId="0" applyFont="1" applyBorder="1" applyAlignment="1" applyProtection="1">
      <alignment wrapText="1"/>
      <protection hidden="1"/>
    </xf>
    <xf numFmtId="0" fontId="37" fillId="0" borderId="7" xfId="0" applyFont="1" applyBorder="1" applyAlignment="1" applyProtection="1">
      <alignment wrapText="1"/>
      <protection hidden="1"/>
    </xf>
    <xf numFmtId="0" fontId="37" fillId="0" borderId="31" xfId="0" applyFont="1" applyBorder="1" applyAlignment="1" applyProtection="1">
      <alignment horizontal="right" vertical="center"/>
      <protection hidden="1"/>
    </xf>
    <xf numFmtId="165" fontId="37" fillId="0" borderId="25" xfId="0" applyNumberFormat="1" applyFont="1" applyBorder="1" applyProtection="1">
      <protection hidden="1"/>
    </xf>
    <xf numFmtId="165" fontId="48" fillId="0" borderId="17" xfId="0" applyNumberFormat="1" applyFont="1" applyBorder="1" applyProtection="1">
      <protection hidden="1"/>
    </xf>
    <xf numFmtId="10" fontId="48" fillId="0" borderId="1" xfId="0" applyNumberFormat="1" applyFont="1" applyBorder="1" applyProtection="1">
      <protection hidden="1"/>
    </xf>
    <xf numFmtId="10" fontId="48" fillId="0" borderId="3" xfId="0" applyNumberFormat="1" applyFont="1" applyBorder="1" applyProtection="1">
      <protection hidden="1"/>
    </xf>
    <xf numFmtId="43" fontId="37" fillId="0" borderId="1" xfId="0" applyNumberFormat="1" applyFont="1" applyBorder="1" applyProtection="1">
      <protection hidden="1"/>
    </xf>
    <xf numFmtId="43" fontId="48" fillId="0" borderId="15" xfId="1" applyFont="1" applyFill="1" applyBorder="1" applyProtection="1">
      <protection hidden="1"/>
    </xf>
    <xf numFmtId="43" fontId="20" fillId="20" borderId="11" xfId="0" applyNumberFormat="1" applyFont="1" applyFill="1" applyBorder="1" applyProtection="1">
      <protection hidden="1"/>
    </xf>
    <xf numFmtId="43" fontId="30" fillId="0" borderId="0" xfId="1" applyNumberFormat="1" applyFont="1" applyProtection="1">
      <protection hidden="1"/>
    </xf>
    <xf numFmtId="0" fontId="30" fillId="22" borderId="1" xfId="0" applyFont="1" applyFill="1" applyBorder="1" applyProtection="1">
      <protection locked="0"/>
    </xf>
    <xf numFmtId="49" fontId="32" fillId="22" borderId="11" xfId="0" applyNumberFormat="1" applyFont="1" applyFill="1" applyBorder="1" applyAlignment="1" applyProtection="1">
      <alignment horizontal="center"/>
      <protection locked="0"/>
    </xf>
    <xf numFmtId="0" fontId="25" fillId="22" borderId="4" xfId="0" applyFont="1" applyFill="1" applyBorder="1" applyProtection="1">
      <protection locked="0"/>
    </xf>
    <xf numFmtId="0" fontId="25" fillId="22" borderId="1" xfId="0" applyFont="1" applyFill="1" applyBorder="1" applyProtection="1">
      <protection locked="0"/>
    </xf>
    <xf numFmtId="9" fontId="25" fillId="22" borderId="1" xfId="0" applyNumberFormat="1" applyFont="1" applyFill="1" applyBorder="1" applyProtection="1">
      <protection locked="0"/>
    </xf>
    <xf numFmtId="164" fontId="32" fillId="0" borderId="0" xfId="1" applyNumberFormat="1" applyFont="1" applyFill="1" applyBorder="1" applyAlignment="1" applyProtection="1">
      <alignment horizontal="center"/>
      <protection hidden="1"/>
    </xf>
    <xf numFmtId="0" fontId="75" fillId="0" borderId="0" xfId="0" applyFont="1" applyAlignment="1" applyProtection="1">
      <alignment horizontal="center"/>
      <protection hidden="1"/>
    </xf>
    <xf numFmtId="0" fontId="30" fillId="22" borderId="7" xfId="0" applyFont="1" applyFill="1" applyBorder="1" applyProtection="1">
      <protection locked="0"/>
    </xf>
    <xf numFmtId="164" fontId="30" fillId="22" borderId="7" xfId="1" applyNumberFormat="1" applyFont="1" applyFill="1" applyBorder="1" applyProtection="1">
      <protection locked="0"/>
    </xf>
    <xf numFmtId="14" fontId="30" fillId="22" borderId="1" xfId="1" applyNumberFormat="1" applyFont="1" applyFill="1" applyBorder="1" applyProtection="1">
      <protection locked="0"/>
    </xf>
    <xf numFmtId="0" fontId="30" fillId="22" borderId="1" xfId="1" applyNumberFormat="1" applyFont="1" applyFill="1" applyBorder="1" applyProtection="1">
      <protection locked="0"/>
    </xf>
    <xf numFmtId="1" fontId="30" fillId="22" borderId="2" xfId="0" applyNumberFormat="1" applyFont="1" applyFill="1" applyBorder="1" applyAlignment="1" applyProtection="1">
      <alignment horizontal="right"/>
      <protection locked="0"/>
    </xf>
    <xf numFmtId="1" fontId="18" fillId="22" borderId="1" xfId="1" applyNumberFormat="1" applyFont="1" applyFill="1" applyBorder="1" applyAlignment="1" applyProtection="1">
      <alignment horizontal="right" vertical="center"/>
      <protection locked="0"/>
    </xf>
    <xf numFmtId="164" fontId="25" fillId="22" borderId="1" xfId="1" applyNumberFormat="1" applyFont="1" applyFill="1" applyBorder="1" applyProtection="1">
      <protection locked="0"/>
    </xf>
    <xf numFmtId="166" fontId="18" fillId="22" borderId="1" xfId="4" applyNumberFormat="1" applyFont="1" applyFill="1" applyBorder="1" applyProtection="1">
      <protection locked="0"/>
    </xf>
    <xf numFmtId="0" fontId="18" fillId="22" borderId="1" xfId="1" applyNumberFormat="1" applyFont="1" applyFill="1" applyBorder="1" applyProtection="1">
      <protection locked="0"/>
    </xf>
    <xf numFmtId="164" fontId="18" fillId="22" borderId="1" xfId="1" applyNumberFormat="1" applyFont="1" applyFill="1" applyBorder="1" applyProtection="1">
      <protection locked="0"/>
    </xf>
    <xf numFmtId="44" fontId="18" fillId="22" borderId="1" xfId="4" applyFont="1" applyFill="1" applyBorder="1" applyProtection="1">
      <protection locked="0"/>
    </xf>
    <xf numFmtId="0" fontId="14" fillId="0" borderId="1" xfId="0" applyFont="1" applyBorder="1" applyAlignment="1" applyProtection="1">
      <alignment horizontal="center" vertical="center" wrapText="1"/>
      <protection hidden="1"/>
    </xf>
    <xf numFmtId="164" fontId="18" fillId="0" borderId="44" xfId="0" applyNumberFormat="1" applyFont="1" applyBorder="1" applyProtection="1">
      <protection hidden="1"/>
    </xf>
    <xf numFmtId="0" fontId="18" fillId="0" borderId="45" xfId="0" applyFont="1" applyBorder="1" applyProtection="1">
      <protection hidden="1"/>
    </xf>
    <xf numFmtId="0" fontId="18" fillId="0" borderId="49" xfId="0" applyFont="1" applyBorder="1" applyProtection="1">
      <protection hidden="1"/>
    </xf>
    <xf numFmtId="0" fontId="18" fillId="0" borderId="36" xfId="0" applyFont="1" applyBorder="1" applyProtection="1">
      <protection hidden="1"/>
    </xf>
    <xf numFmtId="0" fontId="6" fillId="0" borderId="1" xfId="4" applyNumberFormat="1" applyFont="1" applyFill="1" applyBorder="1" applyProtection="1"/>
    <xf numFmtId="0" fontId="6" fillId="22" borderId="1" xfId="0" applyFont="1" applyFill="1" applyBorder="1" applyProtection="1">
      <protection locked="0"/>
    </xf>
    <xf numFmtId="3" fontId="6" fillId="22" borderId="1" xfId="0" applyNumberFormat="1" applyFont="1" applyFill="1" applyBorder="1" applyProtection="1">
      <protection locked="0"/>
    </xf>
    <xf numFmtId="0" fontId="6" fillId="22" borderId="4" xfId="0" applyFont="1" applyFill="1" applyBorder="1" applyProtection="1">
      <protection locked="0"/>
    </xf>
    <xf numFmtId="3" fontId="6" fillId="22" borderId="4" xfId="0" applyNumberFormat="1" applyFont="1" applyFill="1" applyBorder="1" applyProtection="1">
      <protection locked="0"/>
    </xf>
    <xf numFmtId="1" fontId="30" fillId="22" borderId="40" xfId="0" applyNumberFormat="1" applyFont="1" applyFill="1" applyBorder="1" applyProtection="1">
      <protection locked="0"/>
    </xf>
    <xf numFmtId="0" fontId="14" fillId="0" borderId="0" xfId="0" applyFont="1" applyBorder="1" applyAlignment="1" applyProtection="1">
      <alignment horizontal="center" vertical="center" wrapText="1"/>
      <protection hidden="1"/>
    </xf>
    <xf numFmtId="43" fontId="0" fillId="4" borderId="0" xfId="1" applyFont="1" applyFill="1"/>
    <xf numFmtId="43" fontId="19" fillId="4" borderId="1" xfId="1" applyFont="1" applyFill="1" applyBorder="1" applyAlignment="1" applyProtection="1">
      <alignment horizontal="center" vertical="center" wrapText="1"/>
      <protection hidden="1"/>
    </xf>
    <xf numFmtId="43" fontId="6" fillId="4" borderId="1" xfId="1" applyFont="1" applyFill="1" applyBorder="1" applyAlignment="1" applyProtection="1">
      <alignment horizontal="center"/>
    </xf>
    <xf numFmtId="171" fontId="18" fillId="22" borderId="1" xfId="4" applyNumberFormat="1" applyFont="1" applyFill="1" applyBorder="1" applyProtection="1">
      <protection locked="0"/>
    </xf>
    <xf numFmtId="0" fontId="18" fillId="22" borderId="7" xfId="4" applyNumberFormat="1" applyFont="1" applyFill="1" applyBorder="1" applyAlignment="1" applyProtection="1">
      <alignment horizontal="center"/>
      <protection locked="0"/>
    </xf>
    <xf numFmtId="49" fontId="18" fillId="22" borderId="7" xfId="4" applyNumberFormat="1" applyFont="1" applyFill="1" applyBorder="1" applyAlignment="1" applyProtection="1">
      <alignment horizontal="center"/>
      <protection locked="0"/>
    </xf>
    <xf numFmtId="0" fontId="88" fillId="0" borderId="0" xfId="0" applyFont="1" applyProtection="1">
      <protection hidden="1"/>
    </xf>
    <xf numFmtId="0" fontId="16" fillId="22" borderId="1" xfId="0" applyFont="1" applyFill="1" applyBorder="1" applyProtection="1">
      <protection locked="0"/>
    </xf>
    <xf numFmtId="0" fontId="16" fillId="22" borderId="5" xfId="0" applyFont="1" applyFill="1" applyBorder="1" applyProtection="1">
      <protection locked="0"/>
    </xf>
    <xf numFmtId="0" fontId="28" fillId="0" borderId="0" xfId="0" applyFont="1" applyAlignment="1" applyProtection="1">
      <alignment horizontal="right"/>
      <protection hidden="1"/>
    </xf>
    <xf numFmtId="0" fontId="19" fillId="23" borderId="50" xfId="0" applyFont="1" applyFill="1" applyBorder="1" applyProtection="1">
      <protection hidden="1"/>
    </xf>
    <xf numFmtId="0" fontId="16" fillId="23" borderId="55" xfId="0" applyFont="1" applyFill="1" applyBorder="1" applyAlignment="1" applyProtection="1">
      <alignment horizontal="center" vertical="center"/>
      <protection hidden="1"/>
    </xf>
    <xf numFmtId="166" fontId="85" fillId="24" borderId="45" xfId="4" applyNumberFormat="1" applyFont="1" applyFill="1" applyBorder="1" applyAlignment="1" applyProtection="1">
      <alignment horizontal="right" vertical="center"/>
      <protection hidden="1"/>
    </xf>
    <xf numFmtId="0" fontId="19" fillId="24" borderId="26" xfId="0" applyFont="1" applyFill="1" applyBorder="1" applyProtection="1">
      <protection hidden="1"/>
    </xf>
    <xf numFmtId="0" fontId="19" fillId="24" borderId="36" xfId="0" applyFont="1" applyFill="1" applyBorder="1" applyProtection="1">
      <protection hidden="1"/>
    </xf>
    <xf numFmtId="0" fontId="19" fillId="24" borderId="11" xfId="0" applyFont="1" applyFill="1" applyBorder="1" applyProtection="1">
      <protection hidden="1"/>
    </xf>
    <xf numFmtId="0" fontId="17" fillId="0" borderId="1" xfId="0" applyFont="1" applyBorder="1" applyAlignment="1" applyProtection="1">
      <alignment horizontal="center" vertical="top"/>
      <protection hidden="1"/>
    </xf>
    <xf numFmtId="0" fontId="0" fillId="0" borderId="0" xfId="0" applyAlignment="1">
      <alignment wrapText="1"/>
    </xf>
    <xf numFmtId="0" fontId="25" fillId="0" borderId="0" xfId="0" applyFont="1" applyFill="1" applyProtection="1">
      <protection hidden="1"/>
    </xf>
    <xf numFmtId="0" fontId="14" fillId="0" borderId="1" xfId="0" applyFont="1" applyFill="1" applyBorder="1" applyAlignment="1" applyProtection="1">
      <alignment horizontal="center" vertical="center" wrapText="1"/>
      <protection hidden="1"/>
    </xf>
    <xf numFmtId="43" fontId="14" fillId="0" borderId="0" xfId="1" applyFont="1" applyFill="1" applyBorder="1" applyAlignment="1" applyProtection="1">
      <alignment horizontal="right"/>
      <protection hidden="1"/>
    </xf>
    <xf numFmtId="164" fontId="34" fillId="0" borderId="0" xfId="1" applyNumberFormat="1" applyFont="1" applyFill="1" applyBorder="1" applyAlignment="1" applyProtection="1">
      <alignment horizontal="center" wrapText="1"/>
      <protection hidden="1"/>
    </xf>
    <xf numFmtId="164" fontId="34" fillId="0" borderId="0" xfId="1" applyNumberFormat="1" applyFont="1" applyBorder="1" applyAlignment="1" applyProtection="1">
      <alignment vertical="center"/>
      <protection hidden="1"/>
    </xf>
    <xf numFmtId="0" fontId="30" fillId="0" borderId="0" xfId="0" applyFont="1" applyAlignment="1" applyProtection="1">
      <protection hidden="1"/>
    </xf>
    <xf numFmtId="0" fontId="43" fillId="0" borderId="0" xfId="0" applyFont="1" applyAlignment="1" applyProtection="1">
      <alignment vertical="center"/>
      <protection hidden="1"/>
    </xf>
    <xf numFmtId="0" fontId="25" fillId="17" borderId="0" xfId="0" applyFont="1" applyFill="1" applyProtection="1">
      <protection hidden="1"/>
    </xf>
    <xf numFmtId="0" fontId="30" fillId="17" borderId="0" xfId="0" applyFont="1" applyFill="1" applyProtection="1">
      <protection hidden="1"/>
    </xf>
    <xf numFmtId="0" fontId="18" fillId="17" borderId="0" xfId="0" applyFont="1" applyFill="1" applyProtection="1">
      <protection hidden="1"/>
    </xf>
    <xf numFmtId="0" fontId="26" fillId="17" borderId="0" xfId="0" applyFont="1" applyFill="1" applyProtection="1">
      <protection hidden="1"/>
    </xf>
    <xf numFmtId="0" fontId="16" fillId="17" borderId="0" xfId="0" applyFont="1" applyFill="1" applyAlignment="1" applyProtection="1">
      <alignment wrapText="1"/>
      <protection hidden="1"/>
    </xf>
    <xf numFmtId="0" fontId="14" fillId="17" borderId="1" xfId="0" applyFont="1" applyFill="1" applyBorder="1" applyAlignment="1" applyProtection="1">
      <alignment horizontal="center" vertical="center" wrapText="1"/>
      <protection hidden="1"/>
    </xf>
    <xf numFmtId="164" fontId="30" fillId="17" borderId="1" xfId="1" applyNumberFormat="1" applyFont="1" applyFill="1" applyBorder="1" applyProtection="1">
      <protection hidden="1"/>
    </xf>
    <xf numFmtId="164" fontId="76" fillId="0" borderId="0" xfId="1" applyNumberFormat="1" applyFont="1" applyBorder="1" applyAlignment="1" applyProtection="1">
      <alignment vertical="center" wrapText="1"/>
      <protection hidden="1"/>
    </xf>
    <xf numFmtId="0" fontId="89" fillId="0" borderId="0" xfId="0" applyFont="1" applyProtection="1">
      <protection hidden="1"/>
    </xf>
    <xf numFmtId="0" fontId="89" fillId="0" borderId="0" xfId="0" applyFont="1" applyAlignment="1" applyProtection="1">
      <alignment vertical="center"/>
      <protection hidden="1"/>
    </xf>
    <xf numFmtId="2" fontId="89" fillId="0" borderId="0" xfId="0" applyNumberFormat="1" applyFont="1" applyBorder="1" applyProtection="1">
      <protection hidden="1"/>
    </xf>
    <xf numFmtId="0" fontId="14" fillId="0" borderId="1" xfId="0" applyFont="1" applyBorder="1" applyAlignment="1" applyProtection="1">
      <alignment horizontal="center" vertical="center" wrapText="1"/>
      <protection hidden="1"/>
    </xf>
    <xf numFmtId="49" fontId="14" fillId="11" borderId="2" xfId="0" applyNumberFormat="1" applyFont="1" applyFill="1" applyBorder="1" applyAlignment="1" applyProtection="1">
      <alignment horizontal="center" vertical="top"/>
      <protection hidden="1"/>
    </xf>
    <xf numFmtId="49" fontId="14" fillId="11" borderId="13" xfId="0" applyNumberFormat="1" applyFont="1" applyFill="1" applyBorder="1" applyAlignment="1" applyProtection="1">
      <alignment horizontal="center" vertical="top"/>
      <protection hidden="1"/>
    </xf>
    <xf numFmtId="49" fontId="14" fillId="11" borderId="7" xfId="0" applyNumberFormat="1" applyFont="1" applyFill="1" applyBorder="1" applyAlignment="1" applyProtection="1">
      <alignment horizontal="center" vertical="top"/>
      <protection hidden="1"/>
    </xf>
    <xf numFmtId="0" fontId="14" fillId="0" borderId="2" xfId="0" applyFont="1" applyBorder="1" applyAlignment="1" applyProtection="1">
      <alignment horizontal="center"/>
      <protection hidden="1"/>
    </xf>
    <xf numFmtId="0" fontId="14" fillId="0" borderId="13" xfId="0" applyFont="1" applyBorder="1" applyAlignment="1" applyProtection="1">
      <alignment horizontal="center"/>
      <protection hidden="1"/>
    </xf>
    <xf numFmtId="0" fontId="14" fillId="0" borderId="7" xfId="0" applyFont="1" applyBorder="1" applyAlignment="1" applyProtection="1">
      <alignment horizontal="center"/>
      <protection hidden="1"/>
    </xf>
    <xf numFmtId="164" fontId="14" fillId="0" borderId="13" xfId="1" applyNumberFormat="1" applyFont="1" applyBorder="1" applyAlignment="1" applyProtection="1">
      <alignment horizontal="center"/>
      <protection hidden="1"/>
    </xf>
    <xf numFmtId="164" fontId="14" fillId="0" borderId="7" xfId="1" applyNumberFormat="1" applyFont="1" applyBorder="1" applyAlignment="1" applyProtection="1">
      <alignment horizontal="center"/>
      <protection hidden="1"/>
    </xf>
    <xf numFmtId="0" fontId="90" fillId="0" borderId="0" xfId="10"/>
    <xf numFmtId="0" fontId="30" fillId="0" borderId="0" xfId="10" applyFont="1"/>
    <xf numFmtId="0" fontId="48" fillId="0" borderId="0" xfId="10" applyFont="1" applyAlignment="1"/>
    <xf numFmtId="0" fontId="30" fillId="26" borderId="1" xfId="10" applyFont="1" applyFill="1" applyBorder="1"/>
    <xf numFmtId="0" fontId="93" fillId="0" borderId="0" xfId="10" applyFont="1"/>
    <xf numFmtId="0" fontId="30" fillId="0" borderId="0" xfId="10" applyFont="1" applyFill="1"/>
    <xf numFmtId="0" fontId="79" fillId="0" borderId="65" xfId="10" applyFont="1" applyFill="1" applyBorder="1"/>
    <xf numFmtId="0" fontId="95" fillId="0" borderId="65" xfId="10" applyFont="1" applyFill="1" applyBorder="1" applyAlignment="1">
      <alignment horizontal="center"/>
    </xf>
    <xf numFmtId="0" fontId="90" fillId="0" borderId="0" xfId="10" applyFill="1"/>
    <xf numFmtId="0" fontId="79" fillId="27" borderId="65" xfId="10" applyFont="1" applyFill="1" applyBorder="1"/>
    <xf numFmtId="0" fontId="95" fillId="27" borderId="65" xfId="10" applyFont="1" applyFill="1" applyBorder="1" applyAlignment="1">
      <alignment horizontal="center"/>
    </xf>
    <xf numFmtId="0" fontId="30" fillId="28" borderId="1" xfId="10" applyFont="1" applyFill="1" applyBorder="1"/>
    <xf numFmtId="0" fontId="30" fillId="0" borderId="1" xfId="10" applyFont="1" applyFill="1" applyBorder="1"/>
    <xf numFmtId="0" fontId="79" fillId="29" borderId="65" xfId="10" applyFont="1" applyFill="1" applyBorder="1"/>
    <xf numFmtId="0" fontId="95" fillId="29" borderId="65" xfId="10" applyFont="1" applyFill="1" applyBorder="1" applyAlignment="1">
      <alignment horizontal="center"/>
    </xf>
    <xf numFmtId="0" fontId="79" fillId="28" borderId="65" xfId="10" applyFont="1" applyFill="1" applyBorder="1"/>
    <xf numFmtId="0" fontId="95" fillId="28" borderId="65" xfId="10" applyFont="1" applyFill="1" applyBorder="1" applyAlignment="1">
      <alignment horizontal="center"/>
    </xf>
    <xf numFmtId="0" fontId="79" fillId="30" borderId="65" xfId="10" applyFont="1" applyFill="1" applyBorder="1"/>
    <xf numFmtId="0" fontId="95" fillId="30" borderId="65" xfId="10" applyFont="1" applyFill="1" applyBorder="1" applyAlignment="1">
      <alignment horizontal="center"/>
    </xf>
    <xf numFmtId="0" fontId="79" fillId="31" borderId="65" xfId="10" applyFont="1" applyFill="1" applyBorder="1"/>
    <xf numFmtId="0" fontId="95" fillId="31" borderId="65" xfId="10" applyFont="1" applyFill="1" applyBorder="1" applyAlignment="1">
      <alignment horizontal="center"/>
    </xf>
    <xf numFmtId="0" fontId="79" fillId="32" borderId="65" xfId="10" applyFont="1" applyFill="1" applyBorder="1"/>
    <xf numFmtId="0" fontId="95" fillId="32" borderId="65" xfId="10" applyFont="1" applyFill="1" applyBorder="1" applyAlignment="1">
      <alignment horizontal="center"/>
    </xf>
    <xf numFmtId="0" fontId="94" fillId="25" borderId="43" xfId="10" applyFont="1" applyFill="1" applyBorder="1" applyAlignment="1">
      <alignment horizontal="center"/>
    </xf>
    <xf numFmtId="0" fontId="94" fillId="25" borderId="44" xfId="10" applyFont="1" applyFill="1" applyBorder="1" applyAlignment="1">
      <alignment horizontal="center"/>
    </xf>
    <xf numFmtId="0" fontId="94" fillId="25" borderId="45" xfId="10" applyFont="1" applyFill="1" applyBorder="1" applyAlignment="1">
      <alignment horizontal="center"/>
    </xf>
    <xf numFmtId="0" fontId="30" fillId="27" borderId="66" xfId="10" applyFont="1" applyFill="1" applyBorder="1" applyAlignment="1">
      <alignment horizontal="center"/>
    </xf>
    <xf numFmtId="0" fontId="95" fillId="27" borderId="67" xfId="10" applyFont="1" applyFill="1" applyBorder="1" applyAlignment="1">
      <alignment horizontal="center"/>
    </xf>
    <xf numFmtId="0" fontId="30" fillId="0" borderId="66" xfId="10" applyFont="1" applyFill="1" applyBorder="1" applyAlignment="1">
      <alignment horizontal="center"/>
    </xf>
    <xf numFmtId="0" fontId="95" fillId="0" borderId="67" xfId="10" applyFont="1" applyFill="1" applyBorder="1" applyAlignment="1">
      <alignment horizontal="center"/>
    </xf>
    <xf numFmtId="0" fontId="30" fillId="29" borderId="66" xfId="10" applyFont="1" applyFill="1" applyBorder="1" applyAlignment="1">
      <alignment horizontal="center"/>
    </xf>
    <xf numFmtId="0" fontId="95" fillId="29" borderId="67" xfId="10" applyFont="1" applyFill="1" applyBorder="1" applyAlignment="1">
      <alignment horizontal="center"/>
    </xf>
    <xf numFmtId="0" fontId="30" fillId="28" borderId="66" xfId="10" applyFont="1" applyFill="1" applyBorder="1" applyAlignment="1">
      <alignment horizontal="center"/>
    </xf>
    <xf numFmtId="0" fontId="95" fillId="28" borderId="67" xfId="10" applyFont="1" applyFill="1" applyBorder="1" applyAlignment="1">
      <alignment horizontal="center"/>
    </xf>
    <xf numFmtId="0" fontId="30" fillId="30" borderId="66" xfId="10" applyFont="1" applyFill="1" applyBorder="1" applyAlignment="1">
      <alignment horizontal="center"/>
    </xf>
    <xf numFmtId="0" fontId="95" fillId="30" borderId="67" xfId="10" applyFont="1" applyFill="1" applyBorder="1" applyAlignment="1">
      <alignment horizontal="center"/>
    </xf>
    <xf numFmtId="0" fontId="30" fillId="31" borderId="66" xfId="10" applyFont="1" applyFill="1" applyBorder="1" applyAlignment="1">
      <alignment horizontal="center"/>
    </xf>
    <xf numFmtId="0" fontId="95" fillId="31" borderId="67" xfId="10" applyFont="1" applyFill="1" applyBorder="1" applyAlignment="1">
      <alignment horizontal="center"/>
    </xf>
    <xf numFmtId="0" fontId="30" fillId="32" borderId="66" xfId="10" applyFont="1" applyFill="1" applyBorder="1" applyAlignment="1">
      <alignment horizontal="center"/>
    </xf>
    <xf numFmtId="0" fontId="30" fillId="0" borderId="68" xfId="10" applyFont="1" applyFill="1" applyBorder="1" applyAlignment="1">
      <alignment horizontal="center"/>
    </xf>
    <xf numFmtId="0" fontId="79" fillId="0" borderId="69" xfId="10" applyFont="1" applyFill="1" applyBorder="1"/>
    <xf numFmtId="0" fontId="95" fillId="0" borderId="69" xfId="10" applyFont="1" applyFill="1" applyBorder="1" applyAlignment="1">
      <alignment horizontal="center"/>
    </xf>
    <xf numFmtId="0" fontId="95" fillId="0" borderId="70" xfId="10" applyFont="1" applyFill="1" applyBorder="1" applyAlignment="1">
      <alignment horizontal="center"/>
    </xf>
    <xf numFmtId="0" fontId="96" fillId="27" borderId="65" xfId="8" applyFont="1" applyFill="1" applyBorder="1"/>
    <xf numFmtId="0" fontId="96" fillId="0" borderId="65" xfId="8" applyFont="1" applyFill="1" applyBorder="1"/>
    <xf numFmtId="0" fontId="96" fillId="29" borderId="65" xfId="8" applyFont="1" applyFill="1" applyBorder="1"/>
    <xf numFmtId="0" fontId="96" fillId="28" borderId="65" xfId="8" applyFont="1" applyFill="1" applyBorder="1"/>
    <xf numFmtId="0" fontId="97" fillId="33" borderId="11" xfId="8" applyFont="1" applyFill="1" applyBorder="1" applyAlignment="1" applyProtection="1">
      <alignment horizontal="center"/>
      <protection hidden="1"/>
    </xf>
    <xf numFmtId="0" fontId="96" fillId="0" borderId="69" xfId="8" applyFont="1" applyFill="1" applyBorder="1"/>
    <xf numFmtId="0" fontId="14" fillId="0" borderId="1" xfId="0" applyFont="1" applyBorder="1" applyAlignment="1" applyProtection="1">
      <alignment horizontal="center" vertical="center" wrapText="1"/>
      <protection hidden="1"/>
    </xf>
    <xf numFmtId="0" fontId="37" fillId="0" borderId="0" xfId="0" applyFont="1" applyFill="1"/>
    <xf numFmtId="0" fontId="37" fillId="0" borderId="1" xfId="0" applyFont="1" applyFill="1" applyBorder="1"/>
    <xf numFmtId="0" fontId="48" fillId="0" borderId="0" xfId="0" applyFont="1" applyFill="1"/>
    <xf numFmtId="0" fontId="48" fillId="11" borderId="1" xfId="0" applyFont="1" applyFill="1" applyBorder="1" applyAlignment="1">
      <alignment horizontal="center" vertical="center" wrapText="1" readingOrder="2"/>
    </xf>
    <xf numFmtId="0" fontId="48" fillId="22" borderId="1" xfId="0" applyFont="1" applyFill="1" applyBorder="1"/>
    <xf numFmtId="3" fontId="37" fillId="22" borderId="1" xfId="0" applyNumberFormat="1" applyFont="1" applyFill="1" applyBorder="1"/>
    <xf numFmtId="0" fontId="37" fillId="22" borderId="1" xfId="0" applyNumberFormat="1" applyFont="1" applyFill="1" applyBorder="1"/>
    <xf numFmtId="169" fontId="37" fillId="22" borderId="1" xfId="1" applyNumberFormat="1" applyFont="1" applyFill="1" applyBorder="1"/>
    <xf numFmtId="0" fontId="37" fillId="22" borderId="1" xfId="0" applyFont="1" applyFill="1" applyBorder="1"/>
    <xf numFmtId="0" fontId="48" fillId="34" borderId="1" xfId="0" applyFont="1" applyFill="1" applyBorder="1"/>
    <xf numFmtId="3" fontId="37" fillId="34" borderId="1" xfId="0" applyNumberFormat="1" applyFont="1" applyFill="1" applyBorder="1"/>
    <xf numFmtId="0" fontId="37" fillId="34" borderId="1" xfId="0" applyNumberFormat="1" applyFont="1" applyFill="1" applyBorder="1"/>
    <xf numFmtId="169" fontId="37" fillId="34" borderId="1" xfId="1" applyNumberFormat="1" applyFont="1" applyFill="1" applyBorder="1"/>
    <xf numFmtId="0" fontId="37" fillId="34" borderId="1" xfId="0" applyFont="1" applyFill="1" applyBorder="1"/>
    <xf numFmtId="0" fontId="48" fillId="17" borderId="1" xfId="0" applyFont="1" applyFill="1" applyBorder="1"/>
    <xf numFmtId="3" fontId="37" fillId="17" borderId="1" xfId="0" applyNumberFormat="1" applyFont="1" applyFill="1" applyBorder="1"/>
    <xf numFmtId="0" fontId="37" fillId="17" borderId="1" xfId="0" applyNumberFormat="1" applyFont="1" applyFill="1" applyBorder="1"/>
    <xf numFmtId="169" fontId="37" fillId="17" borderId="1" xfId="1" applyNumberFormat="1" applyFont="1" applyFill="1" applyBorder="1"/>
    <xf numFmtId="0" fontId="37" fillId="17" borderId="1" xfId="0" applyFont="1" applyFill="1" applyBorder="1"/>
    <xf numFmtId="0" fontId="48" fillId="11" borderId="1" xfId="0" applyFont="1" applyFill="1" applyBorder="1"/>
    <xf numFmtId="164" fontId="37" fillId="0" borderId="1" xfId="1" applyNumberFormat="1" applyFont="1" applyFill="1" applyBorder="1"/>
    <xf numFmtId="164" fontId="37" fillId="0" borderId="0" xfId="1" applyNumberFormat="1" applyFont="1" applyFill="1"/>
    <xf numFmtId="164" fontId="48" fillId="21" borderId="1" xfId="1" applyNumberFormat="1" applyFont="1" applyFill="1" applyBorder="1" applyAlignment="1">
      <alignment horizontal="center" vertical="center" wrapText="1" readingOrder="2"/>
    </xf>
    <xf numFmtId="168" fontId="48" fillId="35" borderId="1" xfId="1" applyNumberFormat="1" applyFont="1" applyFill="1" applyBorder="1" applyAlignment="1">
      <alignment horizontal="center" vertical="center" wrapText="1" readingOrder="2"/>
    </xf>
    <xf numFmtId="0" fontId="48" fillId="35" borderId="1" xfId="0" applyFont="1" applyFill="1" applyBorder="1" applyAlignment="1">
      <alignment horizontal="center" vertical="center" wrapText="1" readingOrder="2"/>
    </xf>
    <xf numFmtId="0" fontId="48" fillId="35" borderId="1" xfId="1" applyNumberFormat="1" applyFont="1" applyFill="1" applyBorder="1" applyAlignment="1">
      <alignment horizontal="center" vertical="center" wrapText="1" readingOrder="2"/>
    </xf>
    <xf numFmtId="0" fontId="37" fillId="36" borderId="1" xfId="0" applyFont="1" applyFill="1" applyBorder="1"/>
    <xf numFmtId="0" fontId="48" fillId="36" borderId="1" xfId="0" applyFont="1" applyFill="1" applyBorder="1"/>
    <xf numFmtId="3" fontId="37" fillId="36" borderId="1" xfId="0" applyNumberFormat="1" applyFont="1" applyFill="1" applyBorder="1"/>
    <xf numFmtId="0" fontId="37" fillId="36" borderId="1" xfId="0" applyNumberFormat="1" applyFont="1" applyFill="1" applyBorder="1"/>
    <xf numFmtId="169" fontId="37" fillId="36" borderId="1" xfId="1" applyNumberFormat="1" applyFont="1" applyFill="1" applyBorder="1"/>
    <xf numFmtId="0" fontId="48" fillId="14" borderId="1" xfId="0" applyFont="1" applyFill="1" applyBorder="1"/>
    <xf numFmtId="3" fontId="37" fillId="14" borderId="1" xfId="0" applyNumberFormat="1" applyFont="1" applyFill="1" applyBorder="1"/>
    <xf numFmtId="0" fontId="37" fillId="14" borderId="1" xfId="0" applyNumberFormat="1" applyFont="1" applyFill="1" applyBorder="1"/>
    <xf numFmtId="169" fontId="37" fillId="14" borderId="1" xfId="1" applyNumberFormat="1" applyFont="1" applyFill="1" applyBorder="1"/>
    <xf numFmtId="0" fontId="37" fillId="14" borderId="1" xfId="0" applyFont="1" applyFill="1" applyBorder="1"/>
    <xf numFmtId="164" fontId="37" fillId="0" borderId="1" xfId="0" applyNumberFormat="1" applyFont="1" applyFill="1" applyBorder="1"/>
    <xf numFmtId="164" fontId="3" fillId="0" borderId="0" xfId="1" applyNumberFormat="1" applyFont="1" applyProtection="1">
      <protection hidden="1"/>
    </xf>
    <xf numFmtId="164" fontId="10" fillId="0" borderId="11" xfId="1" applyNumberFormat="1" applyFont="1" applyBorder="1" applyAlignment="1" applyProtection="1">
      <alignment horizontal="center" vertical="center"/>
      <protection hidden="1"/>
    </xf>
    <xf numFmtId="164" fontId="13" fillId="0" borderId="11" xfId="1" applyNumberFormat="1" applyFont="1" applyBorder="1" applyAlignment="1" applyProtection="1">
      <alignment horizontal="center"/>
      <protection hidden="1"/>
    </xf>
    <xf numFmtId="164" fontId="7" fillId="0" borderId="0" xfId="1" applyNumberFormat="1" applyFont="1" applyAlignment="1" applyProtection="1">
      <alignment horizontal="center"/>
      <protection hidden="1"/>
    </xf>
    <xf numFmtId="164" fontId="11" fillId="0" borderId="0" xfId="1" applyNumberFormat="1" applyFont="1" applyProtection="1">
      <protection hidden="1"/>
    </xf>
    <xf numFmtId="164" fontId="2" fillId="0" borderId="0" xfId="1" applyNumberFormat="1" applyFont="1" applyProtection="1">
      <protection hidden="1"/>
    </xf>
    <xf numFmtId="164" fontId="5" fillId="0" borderId="1" xfId="1" applyNumberFormat="1" applyFont="1" applyBorder="1" applyAlignment="1" applyProtection="1">
      <alignment horizontal="center" vertical="center" wrapText="1"/>
      <protection hidden="1"/>
    </xf>
    <xf numFmtId="164" fontId="6" fillId="22" borderId="1" xfId="1" applyNumberFormat="1" applyFont="1" applyFill="1" applyBorder="1" applyProtection="1">
      <protection locked="0"/>
    </xf>
    <xf numFmtId="164" fontId="6" fillId="22" borderId="4" xfId="1" applyNumberFormat="1" applyFont="1" applyFill="1" applyBorder="1" applyProtection="1">
      <protection locked="0"/>
    </xf>
    <xf numFmtId="164" fontId="5" fillId="0" borderId="0" xfId="1" applyNumberFormat="1" applyFont="1" applyProtection="1">
      <protection hidden="1"/>
    </xf>
    <xf numFmtId="0" fontId="18" fillId="3" borderId="1" xfId="1" applyNumberFormat="1" applyFont="1" applyFill="1" applyBorder="1" applyProtection="1">
      <protection locked="0"/>
    </xf>
    <xf numFmtId="164" fontId="18" fillId="3" borderId="1" xfId="1" applyNumberFormat="1" applyFont="1" applyFill="1" applyBorder="1" applyProtection="1">
      <protection hidden="1"/>
    </xf>
    <xf numFmtId="164" fontId="18" fillId="3" borderId="1" xfId="1" applyNumberFormat="1" applyFont="1" applyFill="1" applyBorder="1" applyProtection="1">
      <protection locked="0"/>
    </xf>
    <xf numFmtId="44" fontId="18" fillId="3" borderId="1" xfId="4" applyFont="1" applyFill="1" applyBorder="1" applyProtection="1">
      <protection locked="0"/>
    </xf>
    <xf numFmtId="0" fontId="30" fillId="37" borderId="1" xfId="0" applyFont="1" applyFill="1" applyBorder="1" applyProtection="1">
      <protection locked="0"/>
    </xf>
    <xf numFmtId="0" fontId="30" fillId="37" borderId="2" xfId="0" applyFont="1" applyFill="1" applyBorder="1" applyProtection="1">
      <protection locked="0"/>
    </xf>
    <xf numFmtId="0" fontId="30" fillId="37" borderId="3" xfId="0" applyFont="1" applyFill="1" applyBorder="1" applyProtection="1">
      <protection locked="0"/>
    </xf>
    <xf numFmtId="0" fontId="30" fillId="37" borderId="4" xfId="0" applyFont="1" applyFill="1" applyBorder="1" applyProtection="1">
      <protection locked="0"/>
    </xf>
    <xf numFmtId="0" fontId="30" fillId="37" borderId="51" xfId="0" applyFont="1" applyFill="1" applyBorder="1" applyProtection="1">
      <protection locked="0"/>
    </xf>
    <xf numFmtId="0" fontId="30" fillId="37" borderId="52" xfId="0" applyFont="1" applyFill="1" applyBorder="1" applyProtection="1">
      <protection locked="0"/>
    </xf>
    <xf numFmtId="0" fontId="30" fillId="37" borderId="15" xfId="0" applyFont="1" applyFill="1" applyBorder="1" applyProtection="1">
      <protection locked="0"/>
    </xf>
    <xf numFmtId="0" fontId="30" fillId="37" borderId="57" xfId="0" applyFont="1" applyFill="1" applyBorder="1" applyProtection="1">
      <protection locked="0"/>
    </xf>
    <xf numFmtId="0" fontId="30" fillId="37" borderId="10" xfId="0" applyFont="1" applyFill="1" applyBorder="1" applyProtection="1">
      <protection locked="0"/>
    </xf>
    <xf numFmtId="0" fontId="30" fillId="37" borderId="18" xfId="0" applyFont="1" applyFill="1" applyBorder="1" applyProtection="1">
      <protection locked="0"/>
    </xf>
    <xf numFmtId="0" fontId="30" fillId="37" borderId="14" xfId="0" applyFont="1" applyFill="1" applyBorder="1" applyProtection="1">
      <protection locked="0"/>
    </xf>
    <xf numFmtId="166" fontId="18" fillId="15" borderId="1" xfId="4" applyNumberFormat="1" applyFont="1" applyFill="1" applyBorder="1" applyAlignment="1" applyProtection="1">
      <alignment horizontal="center" vertical="center"/>
      <protection hidden="1"/>
    </xf>
    <xf numFmtId="0" fontId="37" fillId="4" borderId="1" xfId="0" applyFont="1" applyFill="1" applyBorder="1"/>
    <xf numFmtId="164" fontId="37" fillId="4" borderId="1" xfId="1" applyNumberFormat="1" applyFont="1" applyFill="1" applyBorder="1"/>
    <xf numFmtId="164" fontId="48" fillId="11" borderId="1" xfId="1" applyNumberFormat="1" applyFont="1" applyFill="1" applyBorder="1" applyAlignment="1">
      <alignment horizontal="center" readingOrder="2"/>
    </xf>
    <xf numFmtId="164" fontId="48" fillId="11" borderId="1" xfId="1" applyNumberFormat="1" applyFont="1" applyFill="1" applyBorder="1" applyAlignment="1">
      <alignment horizontal="center" vertical="center" wrapText="1" readingOrder="2"/>
    </xf>
    <xf numFmtId="164" fontId="37" fillId="17" borderId="1" xfId="1" applyNumberFormat="1" applyFont="1" applyFill="1" applyBorder="1"/>
    <xf numFmtId="164" fontId="37" fillId="36" borderId="1" xfId="1" applyNumberFormat="1" applyFont="1" applyFill="1" applyBorder="1"/>
    <xf numFmtId="164" fontId="37" fillId="14" borderId="1" xfId="1" applyNumberFormat="1" applyFont="1" applyFill="1" applyBorder="1"/>
    <xf numFmtId="164" fontId="37" fillId="22" borderId="1" xfId="1" applyNumberFormat="1" applyFont="1" applyFill="1" applyBorder="1"/>
    <xf numFmtId="164" fontId="37" fillId="34" borderId="1" xfId="1" applyNumberFormat="1" applyFont="1" applyFill="1" applyBorder="1"/>
    <xf numFmtId="0" fontId="48" fillId="0" borderId="0" xfId="0" applyFont="1" applyFill="1" applyAlignment="1" applyProtection="1">
      <alignment wrapText="1"/>
      <protection hidden="1"/>
    </xf>
    <xf numFmtId="0" fontId="30" fillId="0" borderId="0" xfId="0" applyFont="1" applyFill="1" applyBorder="1" applyProtection="1">
      <protection hidden="1"/>
    </xf>
    <xf numFmtId="164" fontId="30" fillId="0" borderId="0" xfId="1" applyNumberFormat="1" applyFont="1" applyFill="1" applyBorder="1" applyProtection="1">
      <protection hidden="1"/>
    </xf>
    <xf numFmtId="164" fontId="30" fillId="0" borderId="49" xfId="1" applyNumberFormat="1" applyFont="1" applyFill="1" applyBorder="1" applyProtection="1">
      <protection hidden="1"/>
    </xf>
    <xf numFmtId="0" fontId="30" fillId="13" borderId="0" xfId="1" applyNumberFormat="1" applyFont="1" applyFill="1" applyBorder="1" applyProtection="1">
      <protection hidden="1"/>
    </xf>
    <xf numFmtId="0" fontId="42" fillId="0" borderId="34" xfId="0" applyFont="1" applyBorder="1" applyAlignment="1" applyProtection="1">
      <alignment horizontal="center"/>
      <protection hidden="1"/>
    </xf>
    <xf numFmtId="0" fontId="25" fillId="13" borderId="44" xfId="0" applyFont="1" applyFill="1" applyBorder="1"/>
    <xf numFmtId="0" fontId="37" fillId="13" borderId="44" xfId="0" applyFont="1" applyFill="1" applyBorder="1" applyProtection="1">
      <protection hidden="1"/>
    </xf>
    <xf numFmtId="164" fontId="30" fillId="0" borderId="44" xfId="1" applyNumberFormat="1" applyFont="1" applyFill="1" applyBorder="1" applyProtection="1">
      <protection hidden="1"/>
    </xf>
    <xf numFmtId="0" fontId="84" fillId="0" borderId="46" xfId="0" applyFont="1" applyBorder="1" applyProtection="1">
      <protection hidden="1"/>
    </xf>
    <xf numFmtId="0" fontId="40" fillId="0" borderId="0" xfId="0" applyFont="1" applyBorder="1" applyProtection="1">
      <protection hidden="1"/>
    </xf>
    <xf numFmtId="166" fontId="30" fillId="0" borderId="0" xfId="0" applyNumberFormat="1" applyFont="1" applyBorder="1" applyProtection="1">
      <protection hidden="1"/>
    </xf>
    <xf numFmtId="44" fontId="30" fillId="0" borderId="0" xfId="0" applyNumberFormat="1" applyFont="1" applyBorder="1" applyProtection="1">
      <protection hidden="1"/>
    </xf>
    <xf numFmtId="0" fontId="33" fillId="13" borderId="0" xfId="0" applyFont="1" applyFill="1" applyBorder="1" applyProtection="1">
      <protection hidden="1"/>
    </xf>
    <xf numFmtId="0" fontId="101" fillId="13" borderId="0" xfId="0" applyFont="1" applyFill="1" applyBorder="1" applyAlignment="1" applyProtection="1">
      <alignment wrapText="1"/>
      <protection hidden="1"/>
    </xf>
    <xf numFmtId="0" fontId="102" fillId="13" borderId="0" xfId="0" applyFont="1" applyFill="1" applyBorder="1" applyAlignment="1" applyProtection="1">
      <alignment wrapText="1"/>
      <protection hidden="1"/>
    </xf>
    <xf numFmtId="0" fontId="33" fillId="13" borderId="0" xfId="0" applyFont="1" applyFill="1" applyBorder="1" applyAlignment="1" applyProtection="1">
      <alignment wrapText="1"/>
      <protection hidden="1"/>
    </xf>
    <xf numFmtId="0" fontId="102" fillId="0" borderId="0" xfId="0" applyFont="1" applyFill="1" applyBorder="1" applyAlignment="1" applyProtection="1">
      <alignment wrapText="1"/>
      <protection hidden="1"/>
    </xf>
    <xf numFmtId="0" fontId="30" fillId="0" borderId="31" xfId="0" applyFont="1" applyBorder="1" applyAlignment="1" applyProtection="1">
      <alignment horizontal="right" vertical="center" wrapText="1"/>
      <protection hidden="1"/>
    </xf>
    <xf numFmtId="165" fontId="25" fillId="0" borderId="17" xfId="0" applyNumberFormat="1" applyFont="1" applyBorder="1" applyProtection="1">
      <protection hidden="1"/>
    </xf>
    <xf numFmtId="43" fontId="30" fillId="0" borderId="3" xfId="0" applyNumberFormat="1" applyFont="1" applyBorder="1" applyProtection="1">
      <protection hidden="1"/>
    </xf>
    <xf numFmtId="165" fontId="14" fillId="0" borderId="10" xfId="0" applyNumberFormat="1" applyFont="1" applyBorder="1" applyProtection="1">
      <protection hidden="1"/>
    </xf>
    <xf numFmtId="0" fontId="37" fillId="0" borderId="0" xfId="0" applyFont="1" applyBorder="1" applyProtection="1">
      <protection hidden="1"/>
    </xf>
    <xf numFmtId="0" fontId="14" fillId="4" borderId="29" xfId="0" applyFont="1" applyFill="1" applyBorder="1" applyProtection="1">
      <protection hidden="1"/>
    </xf>
    <xf numFmtId="0" fontId="14" fillId="0" borderId="1" xfId="0" applyFont="1" applyBorder="1" applyAlignment="1" applyProtection="1">
      <alignment horizontal="center" vertical="center" wrapText="1"/>
      <protection hidden="1"/>
    </xf>
    <xf numFmtId="0" fontId="14" fillId="17" borderId="13" xfId="0" applyFont="1" applyFill="1" applyBorder="1" applyProtection="1">
      <protection hidden="1"/>
    </xf>
    <xf numFmtId="0" fontId="14" fillId="17" borderId="7" xfId="0" applyFont="1" applyFill="1" applyBorder="1" applyProtection="1">
      <protection hidden="1"/>
    </xf>
    <xf numFmtId="164" fontId="16" fillId="0" borderId="0" xfId="1" applyNumberFormat="1" applyFont="1" applyAlignment="1" applyProtection="1">
      <alignment wrapText="1"/>
      <protection hidden="1"/>
    </xf>
    <xf numFmtId="164" fontId="14" fillId="0" borderId="0" xfId="1" applyNumberFormat="1" applyFont="1" applyAlignment="1" applyProtection="1">
      <alignment horizontal="center" vertical="center"/>
      <protection hidden="1"/>
    </xf>
    <xf numFmtId="164" fontId="14" fillId="0" borderId="0" xfId="1" applyNumberFormat="1" applyFont="1" applyAlignment="1" applyProtection="1">
      <alignment vertical="top"/>
      <protection hidden="1"/>
    </xf>
    <xf numFmtId="0" fontId="67" fillId="0" borderId="6" xfId="0" applyFont="1" applyBorder="1" applyAlignment="1" applyProtection="1">
      <alignment horizontal="right" vertical="top" wrapText="1" readingOrder="2"/>
      <protection hidden="1"/>
    </xf>
    <xf numFmtId="0" fontId="18" fillId="0" borderId="5" xfId="0" applyFont="1" applyBorder="1" applyAlignment="1" applyProtection="1">
      <alignment horizontal="center" vertical="top"/>
      <protection hidden="1"/>
    </xf>
    <xf numFmtId="0" fontId="14" fillId="0" borderId="18" xfId="0" applyFont="1" applyFill="1" applyBorder="1" applyAlignment="1" applyProtection="1">
      <alignment wrapText="1"/>
      <protection hidden="1"/>
    </xf>
    <xf numFmtId="0" fontId="14" fillId="0" borderId="1" xfId="0" applyFont="1" applyFill="1" applyBorder="1" applyProtection="1">
      <protection hidden="1"/>
    </xf>
    <xf numFmtId="0" fontId="14" fillId="0" borderId="1" xfId="0" applyFont="1" applyFill="1" applyBorder="1" applyAlignment="1" applyProtection="1">
      <alignment wrapText="1"/>
      <protection hidden="1"/>
    </xf>
    <xf numFmtId="0" fontId="14" fillId="0" borderId="3" xfId="0" applyFont="1" applyFill="1" applyBorder="1" applyAlignment="1" applyProtection="1">
      <alignment wrapText="1"/>
      <protection hidden="1"/>
    </xf>
    <xf numFmtId="0" fontId="30" fillId="0" borderId="1" xfId="0" applyFont="1" applyFill="1" applyBorder="1" applyAlignment="1" applyProtection="1">
      <alignment wrapText="1"/>
      <protection hidden="1"/>
    </xf>
    <xf numFmtId="0" fontId="37" fillId="0" borderId="1" xfId="0" applyFont="1" applyFill="1" applyBorder="1" applyAlignment="1" applyProtection="1">
      <alignment wrapText="1"/>
      <protection hidden="1"/>
    </xf>
    <xf numFmtId="43" fontId="20" fillId="0" borderId="1" xfId="0" applyNumberFormat="1" applyFont="1" applyFill="1" applyBorder="1" applyProtection="1">
      <protection hidden="1"/>
    </xf>
    <xf numFmtId="0" fontId="37" fillId="0" borderId="15" xfId="0" applyFont="1" applyFill="1" applyBorder="1" applyAlignment="1" applyProtection="1">
      <alignment wrapText="1"/>
      <protection hidden="1"/>
    </xf>
    <xf numFmtId="43" fontId="20" fillId="40" borderId="3" xfId="1" applyNumberFormat="1" applyFont="1" applyFill="1" applyBorder="1" applyProtection="1">
      <protection hidden="1"/>
    </xf>
    <xf numFmtId="43" fontId="20" fillId="40" borderId="3" xfId="1" applyFont="1" applyFill="1" applyBorder="1" applyProtection="1">
      <protection hidden="1"/>
    </xf>
    <xf numFmtId="43" fontId="20" fillId="20" borderId="10" xfId="1" applyFont="1" applyFill="1" applyBorder="1" applyProtection="1">
      <protection hidden="1"/>
    </xf>
    <xf numFmtId="43" fontId="14" fillId="11" borderId="15" xfId="1" applyNumberFormat="1" applyFont="1" applyFill="1" applyBorder="1" applyProtection="1">
      <protection hidden="1"/>
    </xf>
    <xf numFmtId="43" fontId="20" fillId="40" borderId="10" xfId="1" applyNumberFormat="1" applyFont="1" applyFill="1" applyBorder="1" applyProtection="1">
      <protection hidden="1"/>
    </xf>
    <xf numFmtId="43" fontId="48" fillId="20" borderId="10" xfId="1" applyNumberFormat="1" applyFont="1" applyFill="1" applyBorder="1" applyProtection="1">
      <protection hidden="1"/>
    </xf>
    <xf numFmtId="0" fontId="14" fillId="40" borderId="20" xfId="0" applyFont="1" applyFill="1" applyBorder="1" applyAlignment="1" applyProtection="1">
      <alignment horizontal="right"/>
      <protection hidden="1"/>
    </xf>
    <xf numFmtId="0" fontId="14" fillId="40" borderId="41" xfId="0" applyFont="1" applyFill="1" applyBorder="1" applyAlignment="1" applyProtection="1">
      <alignment horizontal="right"/>
      <protection hidden="1"/>
    </xf>
    <xf numFmtId="0" fontId="14" fillId="40" borderId="23" xfId="0" applyFont="1" applyFill="1" applyBorder="1" applyAlignment="1" applyProtection="1">
      <alignment horizontal="right"/>
      <protection hidden="1"/>
    </xf>
    <xf numFmtId="43" fontId="20" fillId="40" borderId="11" xfId="0" applyNumberFormat="1" applyFont="1" applyFill="1" applyBorder="1" applyProtection="1">
      <protection hidden="1"/>
    </xf>
    <xf numFmtId="0" fontId="14" fillId="20" borderId="5" xfId="0" applyFont="1" applyFill="1" applyBorder="1" applyAlignment="1" applyProtection="1">
      <alignment horizontal="center" vertical="center" wrapText="1"/>
      <protection hidden="1"/>
    </xf>
    <xf numFmtId="165" fontId="14" fillId="40" borderId="10" xfId="0" applyNumberFormat="1" applyFont="1" applyFill="1" applyBorder="1" applyProtection="1">
      <protection hidden="1"/>
    </xf>
    <xf numFmtId="43" fontId="48" fillId="20" borderId="3" xfId="1" applyFont="1" applyFill="1" applyBorder="1" applyProtection="1">
      <protection hidden="1"/>
    </xf>
    <xf numFmtId="165" fontId="48" fillId="20" borderId="10" xfId="0" applyNumberFormat="1" applyFont="1" applyFill="1" applyBorder="1" applyProtection="1">
      <protection hidden="1"/>
    </xf>
    <xf numFmtId="0" fontId="14" fillId="39" borderId="26" xfId="0" applyFont="1" applyFill="1" applyBorder="1" applyAlignment="1" applyProtection="1">
      <alignment wrapText="1"/>
      <protection hidden="1"/>
    </xf>
    <xf numFmtId="0" fontId="14" fillId="39" borderId="38" xfId="0" applyFont="1" applyFill="1" applyBorder="1" applyAlignment="1" applyProtection="1">
      <alignment wrapText="1"/>
      <protection hidden="1"/>
    </xf>
    <xf numFmtId="0" fontId="14" fillId="40" borderId="5" xfId="0" applyFont="1" applyFill="1" applyBorder="1" applyAlignment="1" applyProtection="1">
      <alignment horizontal="center" vertical="center" wrapText="1"/>
      <protection hidden="1"/>
    </xf>
    <xf numFmtId="0" fontId="37" fillId="16" borderId="0" xfId="0" applyFont="1" applyFill="1" applyBorder="1" applyAlignment="1" applyProtection="1">
      <alignment horizontal="center" vertical="center" wrapText="1" readingOrder="2"/>
      <protection hidden="1"/>
    </xf>
    <xf numFmtId="43" fontId="30" fillId="0" borderId="0" xfId="1" applyFont="1" applyFill="1" applyBorder="1" applyProtection="1">
      <protection hidden="1"/>
    </xf>
    <xf numFmtId="0" fontId="23" fillId="0" borderId="1" xfId="0" applyFont="1" applyBorder="1" applyAlignment="1">
      <alignment horizontal="right" vertical="top" wrapText="1" readingOrder="2"/>
    </xf>
    <xf numFmtId="0" fontId="20" fillId="0" borderId="1" xfId="0" applyFont="1" applyBorder="1" applyProtection="1">
      <protection hidden="1"/>
    </xf>
    <xf numFmtId="0" fontId="20" fillId="0" borderId="1" xfId="0" applyFont="1" applyBorder="1" applyAlignment="1" applyProtection="1">
      <alignment wrapText="1"/>
      <protection hidden="1"/>
    </xf>
    <xf numFmtId="49" fontId="14" fillId="0" borderId="0" xfId="0" applyNumberFormat="1" applyFont="1" applyBorder="1" applyAlignment="1" applyProtection="1">
      <alignment vertical="top"/>
      <protection hidden="1"/>
    </xf>
    <xf numFmtId="0" fontId="14" fillId="38" borderId="1" xfId="0" applyFont="1" applyFill="1" applyBorder="1" applyAlignment="1" applyProtection="1">
      <alignment horizontal="center" vertical="center" wrapText="1"/>
      <protection hidden="1"/>
    </xf>
    <xf numFmtId="164" fontId="14" fillId="38" borderId="1" xfId="1" applyNumberFormat="1" applyFont="1" applyFill="1" applyBorder="1" applyAlignment="1" applyProtection="1">
      <alignment horizontal="center" vertical="center" wrapText="1"/>
      <protection hidden="1"/>
    </xf>
    <xf numFmtId="0" fontId="30" fillId="11" borderId="0" xfId="0" applyFont="1" applyFill="1" applyAlignment="1" applyProtection="1">
      <alignment wrapText="1"/>
      <protection hidden="1"/>
    </xf>
    <xf numFmtId="0" fontId="14" fillId="11" borderId="0" xfId="0" applyFont="1" applyFill="1" applyProtection="1">
      <protection hidden="1"/>
    </xf>
    <xf numFmtId="0" fontId="14" fillId="11" borderId="0" xfId="0" applyFont="1" applyFill="1" applyAlignment="1" applyProtection="1">
      <alignment horizontal="center" vertical="center"/>
      <protection hidden="1"/>
    </xf>
    <xf numFmtId="49" fontId="14" fillId="11" borderId="0" xfId="0" applyNumberFormat="1" applyFont="1" applyFill="1" applyProtection="1">
      <protection hidden="1"/>
    </xf>
    <xf numFmtId="49" fontId="14" fillId="11" borderId="0" xfId="0" applyNumberFormat="1" applyFont="1" applyFill="1" applyAlignment="1" applyProtection="1">
      <alignment vertical="top"/>
      <protection hidden="1"/>
    </xf>
    <xf numFmtId="0" fontId="104" fillId="0" borderId="0" xfId="0" applyFont="1"/>
    <xf numFmtId="0" fontId="104" fillId="9" borderId="0" xfId="0" applyFont="1" applyFill="1"/>
    <xf numFmtId="0" fontId="104" fillId="14" borderId="0" xfId="0" applyFont="1" applyFill="1"/>
    <xf numFmtId="0" fontId="104" fillId="0" borderId="0" xfId="0" applyFont="1" applyProtection="1">
      <protection hidden="1"/>
    </xf>
    <xf numFmtId="3" fontId="104" fillId="0" borderId="0" xfId="0" applyNumberFormat="1" applyFont="1"/>
    <xf numFmtId="3" fontId="104" fillId="14" borderId="0" xfId="0" applyNumberFormat="1" applyFont="1" applyFill="1"/>
    <xf numFmtId="0" fontId="104" fillId="18" borderId="0" xfId="0" applyFont="1" applyFill="1"/>
    <xf numFmtId="0" fontId="14" fillId="0" borderId="0" xfId="0" applyFont="1" applyBorder="1" applyAlignment="1" applyProtection="1">
      <alignment horizontal="center"/>
      <protection hidden="1"/>
    </xf>
    <xf numFmtId="0" fontId="104" fillId="0" borderId="0" xfId="0" applyNumberFormat="1" applyFont="1" applyProtection="1">
      <protection hidden="1"/>
    </xf>
    <xf numFmtId="3" fontId="104" fillId="34" borderId="0" xfId="0" applyNumberFormat="1" applyFont="1" applyFill="1"/>
    <xf numFmtId="0" fontId="104" fillId="0" borderId="0" xfId="0" applyNumberFormat="1" applyFont="1"/>
    <xf numFmtId="43" fontId="48" fillId="0" borderId="1" xfId="0" applyNumberFormat="1" applyFont="1" applyBorder="1" applyProtection="1">
      <protection hidden="1"/>
    </xf>
    <xf numFmtId="43" fontId="20" fillId="0" borderId="1" xfId="0" applyNumberFormat="1" applyFont="1" applyBorder="1" applyProtection="1">
      <protection hidden="1"/>
    </xf>
    <xf numFmtId="0" fontId="104" fillId="19" borderId="0" xfId="0" applyFont="1" applyFill="1" applyAlignment="1">
      <alignment horizontal="center" vertical="center" wrapText="1"/>
    </xf>
    <xf numFmtId="3" fontId="104" fillId="19" borderId="0" xfId="0" applyNumberFormat="1" applyFont="1" applyFill="1" applyAlignment="1">
      <alignment horizontal="center" vertical="center" wrapText="1"/>
    </xf>
    <xf numFmtId="0" fontId="61" fillId="19" borderId="0" xfId="0" applyFont="1" applyFill="1"/>
    <xf numFmtId="3" fontId="61" fillId="19" borderId="0" xfId="0" applyNumberFormat="1" applyFont="1" applyFill="1" applyAlignment="1">
      <alignment horizontal="center" vertical="center" wrapText="1"/>
    </xf>
    <xf numFmtId="0" fontId="104" fillId="19" borderId="0" xfId="0" applyFont="1" applyFill="1" applyAlignment="1" applyProtection="1">
      <alignment wrapText="1"/>
      <protection hidden="1"/>
    </xf>
    <xf numFmtId="14" fontId="104" fillId="19" borderId="0" xfId="0" applyNumberFormat="1" applyFont="1" applyFill="1" applyProtection="1">
      <protection hidden="1"/>
    </xf>
    <xf numFmtId="14" fontId="103" fillId="19" borderId="0" xfId="0" applyNumberFormat="1" applyFont="1" applyFill="1" applyProtection="1">
      <protection hidden="1"/>
    </xf>
    <xf numFmtId="0" fontId="104" fillId="34" borderId="0" xfId="0" applyFont="1" applyFill="1" applyProtection="1">
      <protection hidden="1"/>
    </xf>
    <xf numFmtId="166" fontId="18" fillId="15" borderId="1" xfId="4" applyNumberFormat="1" applyFont="1" applyFill="1" applyBorder="1" applyAlignment="1" applyProtection="1">
      <alignment horizontal="center" vertical="center"/>
      <protection hidden="1"/>
    </xf>
    <xf numFmtId="164" fontId="30" fillId="0" borderId="1" xfId="1" applyNumberFormat="1" applyFont="1" applyFill="1" applyBorder="1" applyProtection="1"/>
    <xf numFmtId="0" fontId="19" fillId="24" borderId="11" xfId="0" applyFont="1" applyFill="1" applyBorder="1" applyAlignment="1" applyProtection="1">
      <alignment horizontal="center" wrapText="1"/>
      <protection hidden="1"/>
    </xf>
    <xf numFmtId="0" fontId="25" fillId="0" borderId="0" xfId="0" applyNumberFormat="1" applyFont="1" applyProtection="1">
      <protection hidden="1"/>
    </xf>
    <xf numFmtId="0" fontId="30" fillId="0" borderId="0" xfId="0" applyNumberFormat="1" applyFont="1" applyProtection="1">
      <protection hidden="1"/>
    </xf>
    <xf numFmtId="0" fontId="18" fillId="0" borderId="0" xfId="0" applyNumberFormat="1" applyFont="1" applyProtection="1">
      <protection hidden="1"/>
    </xf>
    <xf numFmtId="0" fontId="26" fillId="0" borderId="0" xfId="0" applyNumberFormat="1" applyFont="1" applyProtection="1">
      <protection hidden="1"/>
    </xf>
    <xf numFmtId="0" fontId="16" fillId="0" borderId="0" xfId="0" applyNumberFormat="1" applyFont="1" applyAlignment="1" applyProtection="1">
      <alignment wrapText="1"/>
      <protection hidden="1"/>
    </xf>
    <xf numFmtId="0" fontId="17" fillId="0" borderId="0" xfId="0" applyNumberFormat="1" applyFont="1" applyAlignment="1" applyProtection="1">
      <alignment horizontal="right"/>
      <protection hidden="1"/>
    </xf>
    <xf numFmtId="0" fontId="30" fillId="0" borderId="0" xfId="0" applyNumberFormat="1" applyFont="1" applyAlignment="1" applyProtection="1">
      <alignment wrapText="1"/>
      <protection hidden="1"/>
    </xf>
    <xf numFmtId="0" fontId="14" fillId="0" borderId="0" xfId="0" applyNumberFormat="1" applyFont="1" applyProtection="1">
      <protection hidden="1"/>
    </xf>
    <xf numFmtId="0" fontId="14" fillId="0" borderId="0" xfId="0" applyNumberFormat="1" applyFont="1" applyAlignment="1" applyProtection="1">
      <alignment horizontal="center" vertical="center" wrapText="1"/>
      <protection hidden="1"/>
    </xf>
    <xf numFmtId="0" fontId="0" fillId="0" borderId="0" xfId="0" applyNumberFormat="1" applyProtection="1">
      <protection hidden="1"/>
    </xf>
    <xf numFmtId="0" fontId="14" fillId="0" borderId="2" xfId="0" applyNumberFormat="1" applyFont="1" applyBorder="1" applyAlignment="1" applyProtection="1">
      <alignment horizontal="center"/>
      <protection hidden="1"/>
    </xf>
    <xf numFmtId="0" fontId="87" fillId="0" borderId="1" xfId="0" applyNumberFormat="1" applyFont="1" applyBorder="1" applyAlignment="1" applyProtection="1">
      <alignment horizontal="center" vertical="center" wrapText="1"/>
      <protection hidden="1"/>
    </xf>
    <xf numFmtId="43" fontId="16" fillId="0" borderId="18" xfId="1" applyFont="1" applyFill="1" applyBorder="1" applyAlignment="1" applyProtection="1">
      <alignment horizontal="right"/>
      <protection hidden="1"/>
    </xf>
    <xf numFmtId="166" fontId="18" fillId="17" borderId="1" xfId="4" applyNumberFormat="1" applyFont="1" applyFill="1" applyBorder="1" applyAlignment="1" applyProtection="1">
      <alignment horizontal="center" vertical="center"/>
      <protection hidden="1"/>
    </xf>
    <xf numFmtId="166" fontId="15" fillId="17" borderId="1" xfId="4" applyNumberFormat="1" applyFont="1" applyFill="1" applyBorder="1" applyAlignment="1" applyProtection="1">
      <protection hidden="1"/>
    </xf>
    <xf numFmtId="166" fontId="18" fillId="17" borderId="1" xfId="4" applyNumberFormat="1" applyFont="1" applyFill="1" applyBorder="1" applyAlignment="1" applyProtection="1">
      <protection hidden="1"/>
    </xf>
    <xf numFmtId="164" fontId="30" fillId="11" borderId="1" xfId="0" applyNumberFormat="1" applyFont="1" applyFill="1" applyBorder="1" applyProtection="1">
      <protection hidden="1"/>
    </xf>
    <xf numFmtId="0" fontId="51" fillId="0" borderId="0" xfId="0" applyFont="1" applyAlignment="1" applyProtection="1">
      <alignment wrapText="1"/>
      <protection hidden="1"/>
    </xf>
    <xf numFmtId="164" fontId="18" fillId="41" borderId="1" xfId="1" applyNumberFormat="1" applyFont="1" applyFill="1" applyBorder="1" applyProtection="1">
      <protection locked="0"/>
    </xf>
    <xf numFmtId="1" fontId="106" fillId="0" borderId="0" xfId="0" applyNumberFormat="1" applyFont="1"/>
    <xf numFmtId="0" fontId="104" fillId="3" borderId="0" xfId="0" applyFont="1" applyFill="1" applyProtection="1">
      <protection hidden="1"/>
    </xf>
    <xf numFmtId="0" fontId="103" fillId="3" borderId="0" xfId="0" applyFont="1" applyFill="1" applyAlignment="1" applyProtection="1">
      <alignment wrapText="1"/>
      <protection hidden="1"/>
    </xf>
    <xf numFmtId="0" fontId="106" fillId="0" borderId="0" xfId="0" applyFont="1"/>
    <xf numFmtId="0" fontId="82" fillId="0" borderId="0" xfId="0" applyFont="1"/>
    <xf numFmtId="0" fontId="51" fillId="0" borderId="1" xfId="0" applyFont="1" applyBorder="1" applyAlignment="1" applyProtection="1">
      <alignment vertical="top" wrapText="1"/>
      <protection hidden="1"/>
    </xf>
    <xf numFmtId="1" fontId="106" fillId="0" borderId="0" xfId="0" applyNumberFormat="1" applyFont="1" applyFill="1"/>
    <xf numFmtId="0" fontId="82" fillId="0" borderId="0" xfId="0" applyFont="1" applyProtection="1">
      <protection hidden="1"/>
    </xf>
    <xf numFmtId="0" fontId="25" fillId="4" borderId="0" xfId="0" applyFont="1" applyFill="1" applyProtection="1">
      <protection hidden="1"/>
    </xf>
    <xf numFmtId="0" fontId="18" fillId="4" borderId="0" xfId="0" applyFont="1" applyFill="1" applyProtection="1">
      <protection hidden="1"/>
    </xf>
    <xf numFmtId="0" fontId="26" fillId="4" borderId="0" xfId="0" applyFont="1" applyFill="1" applyProtection="1">
      <protection hidden="1"/>
    </xf>
    <xf numFmtId="0" fontId="16" fillId="4" borderId="0" xfId="0" applyFont="1" applyFill="1" applyAlignment="1" applyProtection="1">
      <alignment wrapText="1"/>
      <protection hidden="1"/>
    </xf>
    <xf numFmtId="0" fontId="30" fillId="4" borderId="0" xfId="0" applyFont="1" applyFill="1" applyAlignment="1" applyProtection="1">
      <alignment wrapText="1"/>
      <protection hidden="1"/>
    </xf>
    <xf numFmtId="0" fontId="14" fillId="4" borderId="0" xfId="0" applyFont="1" applyFill="1" applyBorder="1" applyProtection="1">
      <protection hidden="1"/>
    </xf>
    <xf numFmtId="0" fontId="14" fillId="4" borderId="0" xfId="0" applyFont="1" applyFill="1" applyBorder="1" applyAlignment="1" applyProtection="1">
      <alignment horizontal="center" vertical="center" wrapText="1"/>
      <protection hidden="1"/>
    </xf>
    <xf numFmtId="164" fontId="34" fillId="4" borderId="0" xfId="1" applyNumberFormat="1" applyFont="1" applyFill="1" applyBorder="1" applyAlignment="1" applyProtection="1">
      <alignment vertical="center"/>
      <protection hidden="1"/>
    </xf>
    <xf numFmtId="49" fontId="14" fillId="4" borderId="0" xfId="0" applyNumberFormat="1" applyFont="1" applyFill="1" applyProtection="1">
      <protection hidden="1"/>
    </xf>
    <xf numFmtId="49" fontId="14" fillId="4" borderId="7" xfId="0" applyNumberFormat="1" applyFont="1" applyFill="1" applyBorder="1" applyAlignment="1" applyProtection="1">
      <alignment horizontal="center" vertical="top"/>
      <protection hidden="1"/>
    </xf>
    <xf numFmtId="0" fontId="14" fillId="4" borderId="1" xfId="0" applyFont="1" applyFill="1" applyBorder="1" applyAlignment="1" applyProtection="1">
      <alignment horizontal="center" vertical="center" wrapText="1"/>
      <protection hidden="1"/>
    </xf>
    <xf numFmtId="0" fontId="30" fillId="4" borderId="1" xfId="1" applyNumberFormat="1" applyFont="1" applyFill="1" applyBorder="1" applyProtection="1">
      <protection locked="0"/>
    </xf>
    <xf numFmtId="166" fontId="18" fillId="15" borderId="1" xfId="4" applyNumberFormat="1" applyFont="1" applyFill="1" applyBorder="1" applyAlignment="1" applyProtection="1">
      <alignment horizontal="center" vertical="center"/>
      <protection hidden="1"/>
    </xf>
    <xf numFmtId="43" fontId="37" fillId="17" borderId="1" xfId="1" applyFont="1" applyFill="1" applyBorder="1"/>
    <xf numFmtId="43" fontId="37" fillId="36" borderId="1" xfId="1" applyFont="1" applyFill="1" applyBorder="1"/>
    <xf numFmtId="43" fontId="37" fillId="14" borderId="1" xfId="1" applyFont="1" applyFill="1" applyBorder="1"/>
    <xf numFmtId="43" fontId="37" fillId="22" borderId="1" xfId="1" applyFont="1" applyFill="1" applyBorder="1"/>
    <xf numFmtId="43" fontId="37" fillId="34" borderId="1" xfId="1" applyFont="1" applyFill="1" applyBorder="1"/>
    <xf numFmtId="43" fontId="37" fillId="0" borderId="0" xfId="1" applyFont="1" applyFill="1"/>
    <xf numFmtId="3" fontId="61" fillId="34" borderId="0" xfId="0" applyNumberFormat="1" applyFont="1" applyFill="1"/>
    <xf numFmtId="0" fontId="14" fillId="11" borderId="0" xfId="0" applyFont="1" applyFill="1" applyBorder="1" applyProtection="1">
      <protection hidden="1"/>
    </xf>
    <xf numFmtId="0" fontId="14" fillId="11" borderId="0" xfId="0" applyFont="1" applyFill="1" applyBorder="1" applyAlignment="1" applyProtection="1">
      <alignment horizontal="center" vertical="center" wrapText="1"/>
      <protection hidden="1"/>
    </xf>
    <xf numFmtId="0" fontId="14" fillId="11" borderId="0" xfId="0" applyFont="1" applyFill="1" applyBorder="1" applyAlignment="1" applyProtection="1">
      <alignment horizontal="center" vertical="center"/>
      <protection hidden="1"/>
    </xf>
    <xf numFmtId="0" fontId="34" fillId="11" borderId="0" xfId="0" applyFont="1" applyFill="1" applyAlignment="1" applyProtection="1">
      <alignment horizontal="center" vertical="center" wrapText="1"/>
      <protection hidden="1"/>
    </xf>
    <xf numFmtId="164" fontId="34" fillId="11" borderId="0" xfId="1" applyNumberFormat="1" applyFont="1" applyFill="1" applyBorder="1" applyAlignment="1" applyProtection="1">
      <alignment vertical="center"/>
      <protection hidden="1"/>
    </xf>
    <xf numFmtId="164" fontId="14" fillId="11" borderId="0" xfId="1" applyNumberFormat="1" applyFont="1" applyFill="1" applyBorder="1" applyProtection="1">
      <protection hidden="1"/>
    </xf>
    <xf numFmtId="0" fontId="0" fillId="11" borderId="0" xfId="0" applyFill="1" applyProtection="1">
      <protection hidden="1"/>
    </xf>
    <xf numFmtId="0" fontId="2" fillId="11" borderId="0" xfId="0" applyFont="1" applyFill="1" applyProtection="1">
      <protection hidden="1"/>
    </xf>
    <xf numFmtId="0" fontId="43" fillId="11" borderId="0" xfId="0" applyFont="1" applyFill="1" applyAlignment="1" applyProtection="1">
      <alignment vertical="center"/>
      <protection hidden="1"/>
    </xf>
    <xf numFmtId="0" fontId="14" fillId="11" borderId="0" xfId="0" applyFont="1" applyFill="1" applyBorder="1" applyAlignment="1" applyProtection="1">
      <alignment horizontal="center"/>
      <protection hidden="1"/>
    </xf>
    <xf numFmtId="164" fontId="14" fillId="11" borderId="13" xfId="1" applyNumberFormat="1" applyFont="1" applyFill="1" applyBorder="1" applyAlignment="1" applyProtection="1">
      <alignment horizontal="center"/>
      <protection hidden="1"/>
    </xf>
    <xf numFmtId="164" fontId="30" fillId="11" borderId="1" xfId="1" applyNumberFormat="1" applyFont="1" applyFill="1" applyBorder="1" applyProtection="1"/>
    <xf numFmtId="0" fontId="37" fillId="0" borderId="0" xfId="0" applyFont="1" applyBorder="1" applyAlignment="1" applyProtection="1">
      <alignment horizontal="right" vertical="center" wrapText="1"/>
      <protection hidden="1"/>
    </xf>
    <xf numFmtId="49" fontId="32" fillId="0" borderId="11" xfId="1" applyNumberFormat="1" applyFont="1" applyFill="1" applyBorder="1" applyAlignment="1" applyProtection="1">
      <alignment horizontal="center"/>
      <protection hidden="1"/>
    </xf>
    <xf numFmtId="0" fontId="96" fillId="32" borderId="65" xfId="8" applyFont="1" applyFill="1" applyBorder="1"/>
    <xf numFmtId="0" fontId="96" fillId="31" borderId="65" xfId="8" applyFont="1" applyFill="1" applyBorder="1"/>
    <xf numFmtId="0" fontId="96" fillId="30" borderId="65" xfId="8" applyFont="1" applyFill="1" applyBorder="1"/>
    <xf numFmtId="164" fontId="18" fillId="0" borderId="1" xfId="1" applyNumberFormat="1" applyFont="1" applyFill="1" applyBorder="1" applyProtection="1"/>
    <xf numFmtId="168" fontId="18" fillId="0" borderId="7" xfId="1" applyNumberFormat="1" applyFont="1" applyFill="1" applyBorder="1" applyAlignment="1" applyProtection="1">
      <alignment horizontal="center"/>
      <protection hidden="1"/>
    </xf>
    <xf numFmtId="0" fontId="0" fillId="0" borderId="0" xfId="0" applyAlignment="1"/>
    <xf numFmtId="0" fontId="19" fillId="5" borderId="6" xfId="0" applyFont="1" applyFill="1" applyBorder="1" applyAlignment="1" applyProtection="1">
      <alignment horizontal="center" vertical="center" wrapText="1"/>
      <protection hidden="1"/>
    </xf>
    <xf numFmtId="0" fontId="19" fillId="0" borderId="5" xfId="0" applyFont="1" applyBorder="1" applyAlignment="1" applyProtection="1">
      <alignment horizontal="center" vertical="center" wrapText="1"/>
      <protection hidden="1"/>
    </xf>
    <xf numFmtId="168" fontId="19" fillId="0" borderId="5" xfId="1" applyNumberFormat="1" applyFont="1" applyFill="1" applyBorder="1" applyAlignment="1" applyProtection="1">
      <alignment horizontal="center" vertical="center" wrapText="1"/>
      <protection hidden="1"/>
    </xf>
    <xf numFmtId="49" fontId="0" fillId="0" borderId="0" xfId="0" applyNumberFormat="1"/>
    <xf numFmtId="0" fontId="30" fillId="0" borderId="0" xfId="1" applyNumberFormat="1" applyFont="1" applyFill="1" applyBorder="1" applyProtection="1">
      <protection hidden="1"/>
    </xf>
    <xf numFmtId="43" fontId="37" fillId="0" borderId="0" xfId="1" applyFont="1" applyFill="1" applyBorder="1" applyProtection="1">
      <protection hidden="1"/>
    </xf>
    <xf numFmtId="43" fontId="30" fillId="0" borderId="0" xfId="1" applyFont="1" applyFill="1" applyBorder="1" applyAlignment="1" applyProtection="1">
      <alignment wrapText="1"/>
      <protection hidden="1"/>
    </xf>
    <xf numFmtId="43" fontId="30" fillId="0" borderId="0" xfId="1" applyFont="1" applyFill="1" applyProtection="1">
      <protection hidden="1"/>
    </xf>
    <xf numFmtId="49" fontId="14" fillId="17" borderId="13" xfId="0" applyNumberFormat="1" applyFont="1" applyFill="1" applyBorder="1" applyAlignment="1" applyProtection="1">
      <alignment horizontal="center" vertical="top"/>
      <protection hidden="1"/>
    </xf>
    <xf numFmtId="49" fontId="14" fillId="0" borderId="2" xfId="0" applyNumberFormat="1" applyFont="1" applyBorder="1" applyAlignment="1" applyProtection="1">
      <alignment horizontal="center" vertical="top"/>
      <protection hidden="1"/>
    </xf>
    <xf numFmtId="49" fontId="14" fillId="0" borderId="13" xfId="0" applyNumberFormat="1" applyFont="1" applyBorder="1" applyAlignment="1" applyProtection="1">
      <alignment horizontal="center" vertical="top"/>
      <protection hidden="1"/>
    </xf>
    <xf numFmtId="49" fontId="14" fillId="0" borderId="7" xfId="0" applyNumberFormat="1" applyFont="1" applyBorder="1" applyAlignment="1" applyProtection="1">
      <alignment horizontal="center" vertical="top"/>
      <protection hidden="1"/>
    </xf>
    <xf numFmtId="164" fontId="18" fillId="22" borderId="1" xfId="1" applyNumberFormat="1" applyFont="1" applyFill="1" applyBorder="1" applyProtection="1">
      <protection locked="0" hidden="1"/>
    </xf>
    <xf numFmtId="168" fontId="18" fillId="41" borderId="7" xfId="1" applyNumberFormat="1" applyFont="1" applyFill="1" applyBorder="1" applyAlignment="1" applyProtection="1">
      <alignment horizontal="center"/>
      <protection locked="0"/>
    </xf>
    <xf numFmtId="168" fontId="18" fillId="4" borderId="7" xfId="1" applyNumberFormat="1" applyFont="1" applyFill="1" applyBorder="1" applyAlignment="1" applyProtection="1">
      <alignment horizontal="center"/>
      <protection hidden="1"/>
    </xf>
    <xf numFmtId="168" fontId="6" fillId="0" borderId="1" xfId="1" applyNumberFormat="1" applyFont="1" applyFill="1" applyBorder="1" applyAlignment="1" applyProtection="1">
      <alignment horizontal="center"/>
      <protection hidden="1"/>
    </xf>
    <xf numFmtId="0" fontId="98" fillId="25" borderId="0" xfId="10" applyFont="1" applyFill="1" applyAlignment="1">
      <alignment horizontal="center" vertical="center"/>
    </xf>
    <xf numFmtId="0" fontId="99" fillId="0" borderId="0" xfId="10" applyFont="1" applyAlignment="1">
      <alignment horizontal="center"/>
    </xf>
    <xf numFmtId="0" fontId="67" fillId="0" borderId="4" xfId="0" applyFont="1" applyBorder="1" applyAlignment="1" applyProtection="1">
      <alignment horizontal="center" vertical="top" wrapText="1" readingOrder="2"/>
      <protection hidden="1"/>
    </xf>
    <xf numFmtId="0" fontId="67" fillId="0" borderId="6" xfId="0" applyFont="1" applyBorder="1" applyAlignment="1" applyProtection="1">
      <alignment horizontal="center" vertical="top" wrapText="1" readingOrder="2"/>
      <protection hidden="1"/>
    </xf>
    <xf numFmtId="0" fontId="67" fillId="0" borderId="5" xfId="0" applyFont="1" applyBorder="1" applyAlignment="1" applyProtection="1">
      <alignment horizontal="center" vertical="top" wrapText="1" readingOrder="2"/>
      <protection hidden="1"/>
    </xf>
    <xf numFmtId="0" fontId="71" fillId="0" borderId="0" xfId="0" applyFont="1" applyAlignment="1" applyProtection="1">
      <alignment horizontal="center" vertical="center" wrapText="1" readingOrder="2"/>
      <protection hidden="1"/>
    </xf>
    <xf numFmtId="0" fontId="67" fillId="0" borderId="4" xfId="0" applyFont="1" applyBorder="1" applyAlignment="1" applyProtection="1">
      <alignment horizontal="right" vertical="top" wrapText="1" readingOrder="2"/>
      <protection hidden="1"/>
    </xf>
    <xf numFmtId="0" fontId="67" fillId="0" borderId="6" xfId="0" applyFont="1" applyBorder="1" applyAlignment="1" applyProtection="1">
      <alignment horizontal="right" vertical="top" wrapText="1" readingOrder="2"/>
      <protection hidden="1"/>
    </xf>
    <xf numFmtId="0" fontId="67" fillId="0" borderId="5" xfId="0" applyFont="1" applyBorder="1" applyAlignment="1" applyProtection="1">
      <alignment horizontal="right" vertical="top" wrapText="1" readingOrder="2"/>
      <protection hidden="1"/>
    </xf>
    <xf numFmtId="0" fontId="16" fillId="0" borderId="0" xfId="0" applyFont="1" applyAlignment="1" applyProtection="1">
      <alignment horizontal="right" vertical="center" wrapText="1" readingOrder="2"/>
      <protection hidden="1"/>
    </xf>
    <xf numFmtId="0" fontId="18" fillId="0" borderId="4" xfId="0" applyFont="1" applyBorder="1" applyAlignment="1" applyProtection="1">
      <alignment horizontal="center" vertical="top"/>
      <protection hidden="1"/>
    </xf>
    <xf numFmtId="0" fontId="18" fillId="0" borderId="6" xfId="0" applyFont="1" applyBorder="1" applyAlignment="1" applyProtection="1">
      <alignment horizontal="center" vertical="top"/>
      <protection hidden="1"/>
    </xf>
    <xf numFmtId="0" fontId="18" fillId="0" borderId="5" xfId="0" applyFont="1" applyBorder="1" applyAlignment="1" applyProtection="1">
      <alignment horizontal="center" vertical="top"/>
      <protection hidden="1"/>
    </xf>
    <xf numFmtId="0" fontId="25" fillId="0" borderId="4" xfId="0" applyFont="1" applyBorder="1" applyAlignment="1" applyProtection="1">
      <alignment horizontal="center" vertical="top"/>
      <protection hidden="1"/>
    </xf>
    <xf numFmtId="0" fontId="25" fillId="0" borderId="6" xfId="0" applyFont="1" applyBorder="1" applyAlignment="1" applyProtection="1">
      <alignment horizontal="center" vertical="top"/>
      <protection hidden="1"/>
    </xf>
    <xf numFmtId="0" fontId="25" fillId="0" borderId="5" xfId="0" applyFont="1" applyBorder="1" applyAlignment="1" applyProtection="1">
      <alignment horizontal="center" vertical="top"/>
      <protection hidden="1"/>
    </xf>
    <xf numFmtId="0" fontId="30" fillId="0" borderId="27" xfId="0" applyFont="1" applyFill="1" applyBorder="1" applyAlignment="1" applyProtection="1">
      <alignment horizontal="center" vertical="center" wrapText="1"/>
      <protection hidden="1"/>
    </xf>
    <xf numFmtId="0" fontId="30" fillId="0" borderId="28" xfId="0" applyFont="1" applyFill="1" applyBorder="1" applyAlignment="1" applyProtection="1">
      <alignment horizontal="center" vertical="center" wrapText="1"/>
      <protection hidden="1"/>
    </xf>
    <xf numFmtId="0" fontId="30" fillId="0" borderId="19" xfId="0" applyFont="1" applyFill="1" applyBorder="1" applyAlignment="1" applyProtection="1">
      <alignment horizontal="center" vertical="center" wrapText="1"/>
      <protection hidden="1"/>
    </xf>
    <xf numFmtId="0" fontId="30" fillId="0" borderId="27" xfId="0" applyFont="1" applyBorder="1" applyAlignment="1" applyProtection="1">
      <alignment horizontal="center" vertical="center" wrapText="1"/>
      <protection hidden="1"/>
    </xf>
    <xf numFmtId="0" fontId="30" fillId="0" borderId="28" xfId="0" applyFont="1" applyBorder="1" applyAlignment="1" applyProtection="1">
      <alignment horizontal="center" vertical="center" wrapText="1"/>
      <protection hidden="1"/>
    </xf>
    <xf numFmtId="0" fontId="30" fillId="0" borderId="19" xfId="0" applyFont="1" applyBorder="1" applyAlignment="1" applyProtection="1">
      <alignment horizontal="center" vertical="center" wrapText="1"/>
      <protection hidden="1"/>
    </xf>
    <xf numFmtId="0" fontId="37" fillId="0" borderId="1" xfId="0" applyFont="1" applyFill="1" applyBorder="1" applyAlignment="1" applyProtection="1">
      <alignment horizontal="center" vertical="center" wrapText="1"/>
      <protection hidden="1"/>
    </xf>
    <xf numFmtId="0" fontId="30" fillId="0" borderId="25" xfId="0" applyFont="1" applyBorder="1" applyAlignment="1" applyProtection="1">
      <alignment horizontal="center" vertical="center" wrapText="1"/>
      <protection hidden="1"/>
    </xf>
    <xf numFmtId="0" fontId="30" fillId="0" borderId="1" xfId="0" applyFont="1" applyBorder="1" applyAlignment="1" applyProtection="1">
      <alignment horizontal="center" vertical="center" wrapText="1"/>
      <protection hidden="1"/>
    </xf>
    <xf numFmtId="0" fontId="14" fillId="0" borderId="1" xfId="0" applyFont="1" applyBorder="1" applyAlignment="1" applyProtection="1">
      <alignment horizontal="center" vertical="center" wrapText="1"/>
      <protection hidden="1"/>
    </xf>
    <xf numFmtId="0" fontId="14" fillId="40" borderId="2" xfId="0" applyFont="1" applyFill="1" applyBorder="1" applyAlignment="1" applyProtection="1">
      <alignment horizontal="center"/>
      <protection hidden="1"/>
    </xf>
    <xf numFmtId="0" fontId="14" fillId="40" borderId="13" xfId="0" applyFont="1" applyFill="1" applyBorder="1" applyAlignment="1" applyProtection="1">
      <alignment horizontal="center"/>
      <protection hidden="1"/>
    </xf>
    <xf numFmtId="0" fontId="14" fillId="40" borderId="7" xfId="0" applyFont="1" applyFill="1" applyBorder="1" applyAlignment="1" applyProtection="1">
      <alignment horizontal="center"/>
      <protection hidden="1"/>
    </xf>
    <xf numFmtId="0" fontId="20" fillId="0" borderId="1" xfId="0" applyFont="1" applyFill="1" applyBorder="1" applyAlignment="1" applyProtection="1">
      <alignment horizontal="center" vertical="center" wrapText="1"/>
      <protection hidden="1"/>
    </xf>
    <xf numFmtId="0" fontId="30" fillId="0" borderId="18" xfId="0" applyFont="1" applyFill="1" applyBorder="1" applyAlignment="1" applyProtection="1">
      <alignment horizontal="center" vertical="center"/>
      <protection hidden="1"/>
    </xf>
    <xf numFmtId="0" fontId="30" fillId="0" borderId="14" xfId="0" applyFont="1" applyFill="1" applyBorder="1" applyAlignment="1" applyProtection="1">
      <alignment horizontal="center" vertical="center"/>
      <protection hidden="1"/>
    </xf>
    <xf numFmtId="0" fontId="20" fillId="0" borderId="15" xfId="0" applyFont="1" applyFill="1" applyBorder="1" applyAlignment="1" applyProtection="1">
      <alignment horizontal="center" vertical="center" wrapText="1"/>
      <protection hidden="1"/>
    </xf>
    <xf numFmtId="0" fontId="14" fillId="40" borderId="21" xfId="0" applyFont="1" applyFill="1" applyBorder="1" applyAlignment="1" applyProtection="1">
      <alignment horizontal="center"/>
      <protection hidden="1"/>
    </xf>
    <xf numFmtId="0" fontId="14" fillId="40" borderId="22" xfId="0" applyFont="1" applyFill="1" applyBorder="1" applyAlignment="1" applyProtection="1">
      <alignment horizontal="center"/>
      <protection hidden="1"/>
    </xf>
    <xf numFmtId="0" fontId="14" fillId="40" borderId="37" xfId="0" applyFont="1" applyFill="1" applyBorder="1" applyAlignment="1" applyProtection="1">
      <alignment horizontal="center"/>
      <protection hidden="1"/>
    </xf>
    <xf numFmtId="0" fontId="30" fillId="0" borderId="27" xfId="0" applyFont="1" applyBorder="1" applyAlignment="1" applyProtection="1">
      <alignment horizontal="center" vertical="center"/>
      <protection hidden="1"/>
    </xf>
    <xf numFmtId="0" fontId="30" fillId="0" borderId="28" xfId="0" applyFont="1" applyBorder="1" applyAlignment="1" applyProtection="1">
      <alignment horizontal="center" vertical="center"/>
      <protection hidden="1"/>
    </xf>
    <xf numFmtId="0" fontId="30" fillId="0" borderId="19" xfId="0" applyFont="1" applyBorder="1" applyAlignment="1" applyProtection="1">
      <alignment horizontal="center" vertical="center"/>
      <protection hidden="1"/>
    </xf>
    <xf numFmtId="0" fontId="14" fillId="0" borderId="6" xfId="0" applyFont="1" applyFill="1" applyBorder="1" applyAlignment="1" applyProtection="1">
      <alignment horizontal="center" vertical="center" wrapText="1"/>
      <protection hidden="1"/>
    </xf>
    <xf numFmtId="0" fontId="14" fillId="0" borderId="29" xfId="0" applyFont="1" applyFill="1" applyBorder="1" applyAlignment="1" applyProtection="1">
      <alignment horizontal="center" vertical="center" wrapText="1"/>
      <protection hidden="1"/>
    </xf>
    <xf numFmtId="0" fontId="14" fillId="40" borderId="20" xfId="0" applyFont="1" applyFill="1" applyBorder="1" applyAlignment="1" applyProtection="1">
      <alignment horizontal="center"/>
      <protection hidden="1"/>
    </xf>
    <xf numFmtId="0" fontId="14" fillId="40" borderId="41" xfId="0" applyFont="1" applyFill="1" applyBorder="1" applyAlignment="1" applyProtection="1">
      <alignment horizontal="center"/>
      <protection hidden="1"/>
    </xf>
    <xf numFmtId="0" fontId="14" fillId="40" borderId="23" xfId="0" applyFont="1" applyFill="1" applyBorder="1" applyAlignment="1" applyProtection="1">
      <alignment horizontal="center"/>
      <protection hidden="1"/>
    </xf>
    <xf numFmtId="164" fontId="30" fillId="0" borderId="20" xfId="0" applyNumberFormat="1" applyFont="1" applyFill="1" applyBorder="1" applyAlignment="1" applyProtection="1">
      <alignment horizontal="center" wrapText="1"/>
      <protection hidden="1"/>
    </xf>
    <xf numFmtId="164" fontId="30" fillId="0" borderId="41" xfId="0" applyNumberFormat="1" applyFont="1" applyFill="1" applyBorder="1" applyAlignment="1" applyProtection="1">
      <alignment horizontal="center" wrapText="1"/>
      <protection hidden="1"/>
    </xf>
    <xf numFmtId="164" fontId="30" fillId="0" borderId="23" xfId="0" applyNumberFormat="1" applyFont="1" applyFill="1" applyBorder="1" applyAlignment="1" applyProtection="1">
      <alignment horizontal="center" wrapText="1"/>
      <protection hidden="1"/>
    </xf>
    <xf numFmtId="0" fontId="24" fillId="0" borderId="0" xfId="0" applyFont="1" applyFill="1" applyBorder="1" applyAlignment="1" applyProtection="1">
      <alignment horizontal="center" vertical="center" wrapText="1"/>
      <protection hidden="1"/>
    </xf>
    <xf numFmtId="0" fontId="14" fillId="0" borderId="33" xfId="0" applyFont="1" applyBorder="1" applyAlignment="1" applyProtection="1">
      <alignment horizontal="center" wrapText="1"/>
      <protection hidden="1"/>
    </xf>
    <xf numFmtId="0" fontId="14" fillId="0" borderId="16" xfId="0" applyFont="1" applyBorder="1" applyAlignment="1" applyProtection="1">
      <alignment horizontal="center" wrapText="1"/>
      <protection hidden="1"/>
    </xf>
    <xf numFmtId="0" fontId="24" fillId="0" borderId="34" xfId="0" applyFont="1" applyFill="1" applyBorder="1" applyAlignment="1" applyProtection="1">
      <alignment horizontal="center" vertical="center" wrapText="1"/>
      <protection hidden="1"/>
    </xf>
    <xf numFmtId="0" fontId="24" fillId="0" borderId="35" xfId="0" applyFont="1" applyFill="1" applyBorder="1" applyAlignment="1" applyProtection="1">
      <alignment horizontal="center" vertical="center" wrapText="1"/>
      <protection hidden="1"/>
    </xf>
    <xf numFmtId="0" fontId="24" fillId="0" borderId="26" xfId="0" applyFont="1" applyFill="1" applyBorder="1" applyAlignment="1" applyProtection="1">
      <alignment horizontal="center" vertical="center" wrapText="1"/>
      <protection hidden="1"/>
    </xf>
    <xf numFmtId="164" fontId="14" fillId="0" borderId="63" xfId="0" applyNumberFormat="1" applyFont="1" applyBorder="1" applyAlignment="1" applyProtection="1">
      <alignment horizontal="center" wrapText="1"/>
      <protection hidden="1"/>
    </xf>
    <xf numFmtId="164" fontId="14" fillId="0" borderId="42" xfId="0" applyNumberFormat="1" applyFont="1" applyBorder="1" applyAlignment="1" applyProtection="1">
      <alignment horizontal="center" wrapText="1"/>
      <protection hidden="1"/>
    </xf>
    <xf numFmtId="164" fontId="14" fillId="0" borderId="63" xfId="1" applyNumberFormat="1" applyFont="1" applyBorder="1" applyAlignment="1" applyProtection="1">
      <alignment horizontal="center" wrapText="1"/>
      <protection hidden="1"/>
    </xf>
    <xf numFmtId="164" fontId="14" fillId="0" borderId="42" xfId="1" applyNumberFormat="1" applyFont="1" applyBorder="1" applyAlignment="1" applyProtection="1">
      <alignment horizontal="center" wrapText="1"/>
      <protection hidden="1"/>
    </xf>
    <xf numFmtId="164" fontId="14" fillId="0" borderId="27" xfId="0" applyNumberFormat="1" applyFont="1" applyBorder="1" applyAlignment="1" applyProtection="1">
      <alignment horizontal="center" wrapText="1"/>
      <protection hidden="1"/>
    </xf>
    <xf numFmtId="164" fontId="14" fillId="0" borderId="64" xfId="0" applyNumberFormat="1" applyFont="1" applyBorder="1" applyAlignment="1" applyProtection="1">
      <alignment horizontal="center" wrapText="1"/>
      <protection hidden="1"/>
    </xf>
    <xf numFmtId="0" fontId="30" fillId="17" borderId="0" xfId="0" applyFont="1" applyFill="1" applyAlignment="1" applyProtection="1">
      <alignment horizontal="center" wrapText="1"/>
      <protection hidden="1"/>
    </xf>
    <xf numFmtId="164" fontId="14" fillId="0" borderId="1" xfId="1" applyNumberFormat="1" applyFont="1" applyBorder="1" applyAlignment="1" applyProtection="1">
      <alignment horizontal="center"/>
      <protection hidden="1"/>
    </xf>
    <xf numFmtId="164" fontId="14" fillId="0" borderId="2" xfId="1" applyNumberFormat="1" applyFont="1" applyBorder="1" applyAlignment="1" applyProtection="1">
      <alignment horizontal="center"/>
      <protection hidden="1"/>
    </xf>
    <xf numFmtId="164" fontId="14" fillId="0" borderId="13" xfId="1" applyNumberFormat="1" applyFont="1" applyBorder="1" applyAlignment="1" applyProtection="1">
      <alignment horizontal="center"/>
      <protection hidden="1"/>
    </xf>
    <xf numFmtId="0" fontId="14" fillId="0" borderId="2" xfId="0" applyFont="1" applyBorder="1" applyAlignment="1" applyProtection="1">
      <alignment horizontal="center"/>
      <protection hidden="1"/>
    </xf>
    <xf numFmtId="0" fontId="14" fillId="0" borderId="13" xfId="0" applyFont="1" applyBorder="1" applyAlignment="1" applyProtection="1">
      <alignment horizontal="center"/>
      <protection hidden="1"/>
    </xf>
    <xf numFmtId="0" fontId="14" fillId="0" borderId="7" xfId="0" applyFont="1" applyBorder="1" applyAlignment="1" applyProtection="1">
      <alignment horizontal="center"/>
      <protection hidden="1"/>
    </xf>
    <xf numFmtId="164" fontId="14" fillId="0" borderId="7" xfId="1" applyNumberFormat="1" applyFont="1" applyBorder="1" applyAlignment="1" applyProtection="1">
      <alignment horizontal="center"/>
      <protection hidden="1"/>
    </xf>
    <xf numFmtId="0" fontId="14" fillId="17" borderId="2" xfId="0" applyFont="1" applyFill="1" applyBorder="1" applyAlignment="1" applyProtection="1">
      <alignment horizontal="center"/>
      <protection hidden="1"/>
    </xf>
    <xf numFmtId="0" fontId="14" fillId="17" borderId="13" xfId="0" applyFont="1" applyFill="1" applyBorder="1" applyAlignment="1" applyProtection="1">
      <alignment horizontal="center"/>
      <protection hidden="1"/>
    </xf>
    <xf numFmtId="0" fontId="14" fillId="17" borderId="7" xfId="0" applyFont="1" applyFill="1" applyBorder="1" applyAlignment="1" applyProtection="1">
      <alignment horizontal="center"/>
      <protection hidden="1"/>
    </xf>
    <xf numFmtId="0" fontId="14" fillId="11" borderId="2" xfId="0" applyFont="1" applyFill="1" applyBorder="1" applyAlignment="1" applyProtection="1">
      <alignment horizontal="center"/>
      <protection hidden="1"/>
    </xf>
    <xf numFmtId="0" fontId="14" fillId="11" borderId="13" xfId="0" applyFont="1" applyFill="1" applyBorder="1" applyAlignment="1" applyProtection="1">
      <alignment horizontal="center"/>
      <protection hidden="1"/>
    </xf>
    <xf numFmtId="0" fontId="51" fillId="0" borderId="0" xfId="0" applyFont="1" applyBorder="1" applyAlignment="1" applyProtection="1">
      <alignment horizontal="right" vertical="top" wrapText="1"/>
      <protection hidden="1"/>
    </xf>
    <xf numFmtId="0" fontId="37" fillId="0" borderId="0" xfId="0" applyFont="1" applyBorder="1" applyAlignment="1" applyProtection="1">
      <alignment horizontal="right" vertical="center" wrapText="1"/>
      <protection hidden="1"/>
    </xf>
    <xf numFmtId="0" fontId="20" fillId="0" borderId="20" xfId="0" applyFont="1" applyBorder="1" applyAlignment="1">
      <alignment horizontal="center"/>
    </xf>
    <xf numFmtId="0" fontId="20" fillId="0" borderId="41" xfId="0" applyFont="1" applyBorder="1" applyAlignment="1">
      <alignment horizontal="center"/>
    </xf>
    <xf numFmtId="0" fontId="20" fillId="0" borderId="23" xfId="0" applyFont="1" applyBorder="1" applyAlignment="1">
      <alignment horizontal="center"/>
    </xf>
    <xf numFmtId="0" fontId="97" fillId="33" borderId="46" xfId="8" applyFont="1" applyFill="1" applyBorder="1" applyAlignment="1" applyProtection="1">
      <alignment horizontal="center"/>
      <protection hidden="1"/>
    </xf>
    <xf numFmtId="0" fontId="97" fillId="33" borderId="0" xfId="8" applyFont="1" applyFill="1" applyBorder="1" applyAlignment="1" applyProtection="1">
      <alignment horizontal="center"/>
      <protection hidden="1"/>
    </xf>
    <xf numFmtId="0" fontId="84" fillId="0" borderId="34" xfId="0" applyFont="1" applyBorder="1" applyAlignment="1" applyProtection="1">
      <alignment horizontal="center" vertical="center" textRotation="90"/>
      <protection hidden="1"/>
    </xf>
    <xf numFmtId="0" fontId="84" fillId="0" borderId="35" xfId="0" applyFont="1" applyBorder="1" applyAlignment="1" applyProtection="1">
      <alignment horizontal="center" vertical="center" textRotation="90"/>
      <protection hidden="1"/>
    </xf>
    <xf numFmtId="0" fontId="84" fillId="0" borderId="26" xfId="0" applyFont="1" applyBorder="1" applyAlignment="1" applyProtection="1">
      <alignment horizontal="center" vertical="center" textRotation="90"/>
      <protection hidden="1"/>
    </xf>
    <xf numFmtId="0" fontId="40" fillId="0" borderId="34" xfId="0" applyFont="1" applyBorder="1" applyAlignment="1" applyProtection="1">
      <alignment horizontal="center" vertical="center" textRotation="90"/>
      <protection hidden="1"/>
    </xf>
    <xf numFmtId="0" fontId="40" fillId="0" borderId="35" xfId="0" applyFont="1" applyBorder="1" applyAlignment="1" applyProtection="1">
      <alignment horizontal="center" vertical="center" textRotation="90"/>
      <protection hidden="1"/>
    </xf>
    <xf numFmtId="0" fontId="40" fillId="0" borderId="48" xfId="0" applyFont="1" applyBorder="1" applyAlignment="1" applyProtection="1">
      <alignment horizontal="center" vertical="center" textRotation="90"/>
      <protection hidden="1"/>
    </xf>
    <xf numFmtId="166" fontId="18" fillId="0" borderId="54" xfId="4" applyNumberFormat="1" applyFont="1" applyBorder="1" applyAlignment="1" applyProtection="1">
      <alignment horizontal="center" vertical="center"/>
      <protection hidden="1"/>
    </xf>
    <xf numFmtId="166" fontId="18" fillId="15" borderId="1" xfId="4" applyNumberFormat="1" applyFont="1" applyFill="1" applyBorder="1" applyAlignment="1" applyProtection="1">
      <alignment horizontal="center" vertical="center"/>
      <protection hidden="1"/>
    </xf>
    <xf numFmtId="166" fontId="18" fillId="15" borderId="1" xfId="4" applyNumberFormat="1" applyFont="1" applyFill="1" applyBorder="1" applyAlignment="1" applyProtection="1">
      <alignment horizontal="center"/>
      <protection hidden="1"/>
    </xf>
    <xf numFmtId="166" fontId="30" fillId="15" borderId="1" xfId="4" applyNumberFormat="1" applyFont="1" applyFill="1" applyBorder="1" applyAlignment="1" applyProtection="1">
      <alignment horizontal="center"/>
      <protection hidden="1"/>
    </xf>
    <xf numFmtId="0" fontId="85" fillId="24" borderId="44" xfId="0" applyFont="1" applyFill="1" applyBorder="1" applyAlignment="1" applyProtection="1">
      <alignment horizontal="center" vertical="center"/>
      <protection hidden="1"/>
    </xf>
    <xf numFmtId="0" fontId="15" fillId="0" borderId="20" xfId="0" applyFont="1" applyFill="1" applyBorder="1" applyAlignment="1" applyProtection="1">
      <alignment horizontal="center"/>
      <protection hidden="1"/>
    </xf>
    <xf numFmtId="0" fontId="15" fillId="0" borderId="41" xfId="0" applyFont="1" applyFill="1" applyBorder="1" applyAlignment="1" applyProtection="1">
      <alignment horizontal="center"/>
      <protection hidden="1"/>
    </xf>
    <xf numFmtId="0" fontId="37" fillId="16" borderId="39" xfId="0" applyFont="1" applyFill="1" applyBorder="1" applyAlignment="1" applyProtection="1">
      <alignment horizontal="center" vertical="center" wrapText="1" readingOrder="2"/>
      <protection hidden="1"/>
    </xf>
    <xf numFmtId="0" fontId="37" fillId="16" borderId="60" xfId="0" applyFont="1" applyFill="1" applyBorder="1" applyAlignment="1" applyProtection="1">
      <alignment horizontal="center" vertical="center" wrapText="1" readingOrder="2"/>
      <protection hidden="1"/>
    </xf>
    <xf numFmtId="0" fontId="37" fillId="16" borderId="40" xfId="0" applyFont="1" applyFill="1" applyBorder="1" applyAlignment="1" applyProtection="1">
      <alignment horizontal="center" vertical="center" wrapText="1" readingOrder="2"/>
      <protection hidden="1"/>
    </xf>
    <xf numFmtId="0" fontId="37" fillId="16" borderId="16" xfId="0" applyFont="1" applyFill="1" applyBorder="1" applyAlignment="1" applyProtection="1">
      <alignment horizontal="center" vertical="center" wrapText="1" readingOrder="2"/>
      <protection hidden="1"/>
    </xf>
    <xf numFmtId="0" fontId="48" fillId="11" borderId="1" xfId="0" applyFont="1" applyFill="1" applyBorder="1" applyAlignment="1">
      <alignment horizontal="center" readingOrder="2"/>
    </xf>
    <xf numFmtId="164" fontId="48" fillId="21" borderId="2" xfId="1" applyNumberFormat="1" applyFont="1" applyFill="1" applyBorder="1" applyAlignment="1">
      <alignment horizontal="center" readingOrder="2"/>
    </xf>
    <xf numFmtId="164" fontId="48" fillId="21" borderId="13" xfId="1" applyNumberFormat="1" applyFont="1" applyFill="1" applyBorder="1" applyAlignment="1">
      <alignment horizontal="center" readingOrder="2"/>
    </xf>
    <xf numFmtId="164" fontId="48" fillId="21" borderId="7" xfId="1" applyNumberFormat="1" applyFont="1" applyFill="1" applyBorder="1" applyAlignment="1">
      <alignment horizontal="center" readingOrder="2"/>
    </xf>
  </cellXfs>
  <cellStyles count="13">
    <cellStyle name="Comma" xfId="1" builtinId="3"/>
    <cellStyle name="Comma 2" xfId="3" xr:uid="{00000000-0005-0000-0000-000001000000}"/>
    <cellStyle name="Comma 2 2" xfId="6" xr:uid="{00000000-0005-0000-0000-000002000000}"/>
    <cellStyle name="Comma 3" xfId="5" xr:uid="{00000000-0005-0000-0000-000003000000}"/>
    <cellStyle name="Comma 4" xfId="12" xr:uid="{433D8276-0C36-4CC1-BB8A-7F4320AEC67A}"/>
    <cellStyle name="Comma 7" xfId="9" xr:uid="{23FB2863-1DF1-4F1B-8262-5237AA5C4223}"/>
    <cellStyle name="Currency" xfId="4" builtinId="4"/>
    <cellStyle name="Currency 2" xfId="7" xr:uid="{00000000-0005-0000-0000-000005000000}"/>
    <cellStyle name="Normal" xfId="0" builtinId="0"/>
    <cellStyle name="Normal 2" xfId="10" xr:uid="{C0B327E0-EFA4-43DA-8373-627E7ED8FC1A}"/>
    <cellStyle name="Percent" xfId="2" builtinId="5"/>
    <cellStyle name="היפר-קישור" xfId="8" builtinId="8"/>
    <cellStyle name="היפר-קישור 2" xfId="11" xr:uid="{33F21847-955F-4EED-892C-7397CDF95C68}"/>
  </cellStyles>
  <dxfs count="18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indexed="8"/>
        <name val="David"/>
        <family val="2"/>
        <scheme val="none"/>
      </font>
      <fill>
        <patternFill patternType="solid">
          <fgColor indexed="64"/>
          <bgColor rgb="FFFFFFE7"/>
        </patternFill>
      </fill>
      <border diagonalUp="0" diagonalDown="0" outline="0">
        <left style="thin">
          <color indexed="64"/>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David"/>
        <family val="2"/>
        <scheme val="none"/>
      </font>
      <fill>
        <patternFill patternType="solid">
          <fgColor indexed="64"/>
          <bgColor rgb="FFFFFFE7"/>
        </patternFill>
      </fill>
      <protection locked="0" hidden="0"/>
    </dxf>
    <dxf>
      <border outline="0">
        <bottom style="thin">
          <color indexed="64"/>
        </bottom>
      </border>
    </dxf>
    <dxf>
      <font>
        <b/>
        <i val="0"/>
        <strike val="0"/>
        <condense val="0"/>
        <extend val="0"/>
        <outline val="0"/>
        <shadow val="0"/>
        <u val="none"/>
        <vertAlign val="baseline"/>
        <sz val="11"/>
        <color theme="1"/>
        <name val="David"/>
        <family val="2"/>
        <scheme val="none"/>
      </font>
      <alignment horizontal="center" vertical="center" textRotation="0" wrapText="1" indent="0" justifyLastLine="0" shrinkToFit="0" readingOrder="0"/>
      <protection locked="1"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FFEB"/>
      <color rgb="FFFFFFCC"/>
      <color rgb="FFEFFFEF"/>
      <color rgb="FFCCFFCC"/>
      <color rgb="FFAFFFD7"/>
      <color rgb="FF00FF00"/>
      <color rgb="FF99FFCC"/>
      <color rgb="FFFFFFE7"/>
      <color rgb="FFCCFF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3;/&#1513;&#1500;&#1489;%201-%20&#1489;&#1511;&#1512;&#1493;&#1514;%20&#1513;&#1496;&#1495;/&#1504;&#1514;&#1493;&#1504;&#1497;%20&#1489;&#1511;&#1512;&#1492;%20&#1500;&#1495;&#1497;&#1513;&#1493;&#1489;%20&#1505;&#1493;&#1508;&#1497;%20-%20&#1500;&#1488;%20&#1500;&#1490;&#1506;&#1514;/&#1512;&#1490;&#1497;&#1500;/&#1489;&#1511;&#1512;&#1514;%20&#1512;&#1513;&#1493;&#1497;&#1493;&#1514;%20&#1502;&#1512;&#1493;&#1499;&#1494;%20&#1514;&#1513;&#1508;&#149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3;/&#1504;&#1514;&#1493;&#1504;&#1497;%20&#1512;&#1497;&#1513;&#1493;&#1501;/&#1502;&#1506;&#1493;&#1489;&#1491;/&#1511;&#1497;&#1509;%20&#1508;&#1500;&#1493;&#1505;/&#1504;&#1514;&#1493;&#1504;&#1497;%20&#1512;&#1497;&#1513;&#1493;&#1501;%20&#1491;-&#1493;%20&#1502;&#1506;&#1493;&#1489;&#149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סיכום בקרת רשויות"/>
      <sheetName val="ממוצע בקרה בית ספר"/>
      <sheetName val="מקורי"/>
      <sheetName val="גיליון3"/>
      <sheetName val="סיכום נתוני רישום למקום פעילות"/>
    </sheetNames>
    <sheetDataSet>
      <sheetData sheetId="0">
        <row r="1">
          <cell r="A1" t="str">
            <v>סמל מוסד</v>
          </cell>
          <cell r="B1" t="str">
            <v>ממוצע ח.ר</v>
          </cell>
          <cell r="C1" t="str">
            <v>ממוצע ח.מ</v>
          </cell>
          <cell r="D1" t="str">
            <v xml:space="preserve">מדוע לא ניתן לבצע בקרה? </v>
          </cell>
        </row>
        <row r="2">
          <cell r="A2">
            <v>110023</v>
          </cell>
          <cell r="B2">
            <v>0</v>
          </cell>
          <cell r="C2">
            <v>0</v>
          </cell>
          <cell r="D2" t="str">
            <v>לעדכן</v>
          </cell>
        </row>
        <row r="3">
          <cell r="A3">
            <v>110098</v>
          </cell>
          <cell r="B3">
            <v>0</v>
          </cell>
          <cell r="C3">
            <v>0</v>
          </cell>
          <cell r="D3" t="str">
            <v>לעדכן</v>
          </cell>
        </row>
        <row r="4">
          <cell r="A4">
            <v>110106</v>
          </cell>
          <cell r="B4">
            <v>0</v>
          </cell>
          <cell r="C4">
            <v>0</v>
          </cell>
          <cell r="D4" t="str">
            <v>לעדכן</v>
          </cell>
        </row>
        <row r="5">
          <cell r="A5">
            <v>110130</v>
          </cell>
          <cell r="B5">
            <v>0</v>
          </cell>
          <cell r="C5">
            <v>0</v>
          </cell>
          <cell r="D5" t="str">
            <v>לעדכן</v>
          </cell>
        </row>
        <row r="6">
          <cell r="A6">
            <v>110155</v>
          </cell>
          <cell r="B6">
            <v>0</v>
          </cell>
          <cell r="C6">
            <v>0</v>
          </cell>
          <cell r="D6" t="str">
            <v>לעדכן</v>
          </cell>
        </row>
        <row r="7">
          <cell r="A7">
            <v>110171</v>
          </cell>
          <cell r="B7">
            <v>0</v>
          </cell>
          <cell r="C7">
            <v>0</v>
          </cell>
          <cell r="D7" t="str">
            <v>לעדכן</v>
          </cell>
        </row>
        <row r="8">
          <cell r="A8">
            <v>110205</v>
          </cell>
          <cell r="B8">
            <v>0</v>
          </cell>
          <cell r="C8">
            <v>0</v>
          </cell>
          <cell r="D8" t="str">
            <v>לעדכן</v>
          </cell>
        </row>
        <row r="9">
          <cell r="A9">
            <v>110270</v>
          </cell>
          <cell r="B9">
            <v>0</v>
          </cell>
          <cell r="C9">
            <v>0</v>
          </cell>
          <cell r="D9" t="str">
            <v>לעדכן</v>
          </cell>
        </row>
        <row r="10">
          <cell r="A10">
            <v>110312</v>
          </cell>
          <cell r="B10">
            <v>0</v>
          </cell>
          <cell r="C10">
            <v>0</v>
          </cell>
          <cell r="D10" t="str">
            <v>לעדכן</v>
          </cell>
        </row>
        <row r="11">
          <cell r="A11">
            <v>110320</v>
          </cell>
          <cell r="B11">
            <v>0</v>
          </cell>
          <cell r="C11">
            <v>0</v>
          </cell>
          <cell r="D11" t="str">
            <v>לעדכן</v>
          </cell>
        </row>
        <row r="12">
          <cell r="A12">
            <v>110445</v>
          </cell>
          <cell r="B12">
            <v>0</v>
          </cell>
          <cell r="C12">
            <v>0</v>
          </cell>
          <cell r="D12" t="str">
            <v>לעדכן</v>
          </cell>
        </row>
        <row r="13">
          <cell r="A13">
            <v>110452</v>
          </cell>
          <cell r="B13">
            <v>0</v>
          </cell>
          <cell r="C13">
            <v>0</v>
          </cell>
          <cell r="D13" t="str">
            <v>לעדכן</v>
          </cell>
        </row>
        <row r="14">
          <cell r="A14">
            <v>110486</v>
          </cell>
          <cell r="B14">
            <v>0</v>
          </cell>
          <cell r="C14">
            <v>0</v>
          </cell>
          <cell r="D14" t="str">
            <v>לעדכן</v>
          </cell>
        </row>
        <row r="15">
          <cell r="A15">
            <v>110585</v>
          </cell>
          <cell r="B15">
            <v>0</v>
          </cell>
          <cell r="C15">
            <v>0</v>
          </cell>
          <cell r="D15" t="str">
            <v>לעדכן</v>
          </cell>
        </row>
        <row r="16">
          <cell r="A16">
            <v>110619</v>
          </cell>
          <cell r="B16">
            <v>0</v>
          </cell>
          <cell r="C16">
            <v>0</v>
          </cell>
          <cell r="D16" t="str">
            <v>לעדכן</v>
          </cell>
        </row>
        <row r="17">
          <cell r="A17">
            <v>110726</v>
          </cell>
          <cell r="B17">
            <v>0</v>
          </cell>
          <cell r="C17">
            <v>0</v>
          </cell>
          <cell r="D17" t="str">
            <v>לעדכן</v>
          </cell>
        </row>
        <row r="18">
          <cell r="A18">
            <v>110734</v>
          </cell>
          <cell r="B18">
            <v>0</v>
          </cell>
          <cell r="C18">
            <v>0</v>
          </cell>
          <cell r="D18" t="str">
            <v>לעדכן</v>
          </cell>
        </row>
        <row r="19">
          <cell r="A19">
            <v>110866</v>
          </cell>
          <cell r="B19">
            <v>0</v>
          </cell>
          <cell r="C19">
            <v>0</v>
          </cell>
          <cell r="D19" t="str">
            <v>לעדכן</v>
          </cell>
        </row>
        <row r="20">
          <cell r="A20">
            <v>110932</v>
          </cell>
          <cell r="B20">
            <v>0</v>
          </cell>
          <cell r="C20">
            <v>0</v>
          </cell>
          <cell r="D20" t="str">
            <v>לעדכן</v>
          </cell>
        </row>
        <row r="21">
          <cell r="A21">
            <v>110957</v>
          </cell>
          <cell r="B21">
            <v>0</v>
          </cell>
          <cell r="C21">
            <v>0</v>
          </cell>
          <cell r="D21" t="str">
            <v>לעדכן</v>
          </cell>
        </row>
        <row r="22">
          <cell r="A22">
            <v>110973</v>
          </cell>
          <cell r="B22">
            <v>0</v>
          </cell>
          <cell r="C22">
            <v>0</v>
          </cell>
          <cell r="D22" t="str">
            <v>לעדכן</v>
          </cell>
        </row>
        <row r="23">
          <cell r="A23">
            <v>110981</v>
          </cell>
          <cell r="B23">
            <v>0</v>
          </cell>
          <cell r="C23">
            <v>0</v>
          </cell>
          <cell r="D23" t="str">
            <v>לעדכן</v>
          </cell>
        </row>
        <row r="24">
          <cell r="A24">
            <v>111062</v>
          </cell>
          <cell r="B24">
            <v>0</v>
          </cell>
          <cell r="C24">
            <v>0</v>
          </cell>
          <cell r="D24" t="str">
            <v>לעדכן</v>
          </cell>
        </row>
        <row r="25">
          <cell r="A25">
            <v>111096</v>
          </cell>
          <cell r="B25">
            <v>0</v>
          </cell>
          <cell r="C25">
            <v>0</v>
          </cell>
          <cell r="D25" t="str">
            <v>לעדכן</v>
          </cell>
        </row>
        <row r="26">
          <cell r="A26">
            <v>111112</v>
          </cell>
          <cell r="B26">
            <v>0</v>
          </cell>
          <cell r="C26">
            <v>0</v>
          </cell>
          <cell r="D26" t="str">
            <v>לעדכן</v>
          </cell>
        </row>
        <row r="27">
          <cell r="A27">
            <v>111120</v>
          </cell>
          <cell r="B27">
            <v>0</v>
          </cell>
          <cell r="C27">
            <v>0</v>
          </cell>
          <cell r="D27" t="str">
            <v>לעדכן</v>
          </cell>
        </row>
        <row r="28">
          <cell r="A28">
            <v>111138</v>
          </cell>
          <cell r="B28">
            <v>0</v>
          </cell>
          <cell r="C28">
            <v>0</v>
          </cell>
          <cell r="D28" t="str">
            <v>לעדכן</v>
          </cell>
        </row>
        <row r="29">
          <cell r="A29">
            <v>111179</v>
          </cell>
          <cell r="B29">
            <v>0</v>
          </cell>
          <cell r="C29">
            <v>0</v>
          </cell>
          <cell r="D29" t="str">
            <v>לעדכן</v>
          </cell>
        </row>
        <row r="30">
          <cell r="A30">
            <v>111195</v>
          </cell>
          <cell r="B30">
            <v>0</v>
          </cell>
          <cell r="C30">
            <v>0</v>
          </cell>
          <cell r="D30" t="str">
            <v>לעדכן</v>
          </cell>
        </row>
        <row r="31">
          <cell r="A31">
            <v>111203</v>
          </cell>
          <cell r="B31">
            <v>0</v>
          </cell>
          <cell r="C31">
            <v>0</v>
          </cell>
          <cell r="D31" t="str">
            <v>לעדכן</v>
          </cell>
        </row>
        <row r="32">
          <cell r="A32">
            <v>111252</v>
          </cell>
          <cell r="B32">
            <v>0</v>
          </cell>
          <cell r="C32">
            <v>0</v>
          </cell>
          <cell r="D32" t="str">
            <v>לעדכן</v>
          </cell>
        </row>
        <row r="33">
          <cell r="A33">
            <v>111260</v>
          </cell>
          <cell r="B33">
            <v>0</v>
          </cell>
          <cell r="C33">
            <v>0</v>
          </cell>
          <cell r="D33" t="str">
            <v>לעדכן</v>
          </cell>
        </row>
        <row r="34">
          <cell r="A34">
            <v>111294</v>
          </cell>
          <cell r="B34">
            <v>0</v>
          </cell>
          <cell r="C34">
            <v>0</v>
          </cell>
          <cell r="D34" t="str">
            <v>לעדכן</v>
          </cell>
        </row>
        <row r="35">
          <cell r="A35">
            <v>111344</v>
          </cell>
          <cell r="B35">
            <v>0</v>
          </cell>
          <cell r="C35">
            <v>0</v>
          </cell>
          <cell r="D35" t="str">
            <v>לעדכן</v>
          </cell>
        </row>
        <row r="36">
          <cell r="A36">
            <v>111351</v>
          </cell>
          <cell r="B36">
            <v>0</v>
          </cell>
          <cell r="C36">
            <v>0</v>
          </cell>
          <cell r="D36" t="str">
            <v>לעדכן</v>
          </cell>
        </row>
        <row r="37">
          <cell r="A37">
            <v>111369</v>
          </cell>
          <cell r="B37">
            <v>0</v>
          </cell>
          <cell r="C37">
            <v>0</v>
          </cell>
          <cell r="D37" t="str">
            <v>לעדכן</v>
          </cell>
        </row>
        <row r="38">
          <cell r="A38">
            <v>111385</v>
          </cell>
          <cell r="B38">
            <v>0</v>
          </cell>
          <cell r="C38">
            <v>0</v>
          </cell>
          <cell r="D38" t="str">
            <v>לעדכן</v>
          </cell>
        </row>
        <row r="39">
          <cell r="A39">
            <v>111393</v>
          </cell>
          <cell r="B39">
            <v>0</v>
          </cell>
          <cell r="C39">
            <v>0</v>
          </cell>
          <cell r="D39" t="str">
            <v>לעדכן</v>
          </cell>
        </row>
        <row r="40">
          <cell r="A40">
            <v>111450</v>
          </cell>
          <cell r="B40">
            <v>0</v>
          </cell>
          <cell r="C40">
            <v>0</v>
          </cell>
          <cell r="D40" t="str">
            <v>לעדכן</v>
          </cell>
        </row>
        <row r="41">
          <cell r="A41">
            <v>111500</v>
          </cell>
          <cell r="B41">
            <v>0</v>
          </cell>
          <cell r="C41">
            <v>0</v>
          </cell>
          <cell r="D41" t="str">
            <v>לעדכן</v>
          </cell>
        </row>
        <row r="42">
          <cell r="A42">
            <v>111591</v>
          </cell>
          <cell r="B42">
            <v>0</v>
          </cell>
          <cell r="C42">
            <v>0</v>
          </cell>
          <cell r="D42" t="str">
            <v>לעדכן</v>
          </cell>
        </row>
        <row r="43">
          <cell r="A43">
            <v>111633</v>
          </cell>
          <cell r="B43">
            <v>0</v>
          </cell>
          <cell r="C43">
            <v>0</v>
          </cell>
          <cell r="D43" t="str">
            <v>לעדכן</v>
          </cell>
        </row>
        <row r="44">
          <cell r="A44">
            <v>111641</v>
          </cell>
          <cell r="B44">
            <v>0</v>
          </cell>
          <cell r="C44">
            <v>0</v>
          </cell>
          <cell r="D44" t="str">
            <v>לעדכן</v>
          </cell>
        </row>
        <row r="45">
          <cell r="A45">
            <v>111682</v>
          </cell>
          <cell r="B45">
            <v>0</v>
          </cell>
          <cell r="C45">
            <v>0</v>
          </cell>
          <cell r="D45" t="str">
            <v>לעדכן</v>
          </cell>
        </row>
        <row r="46">
          <cell r="A46">
            <v>111690</v>
          </cell>
          <cell r="B46">
            <v>0</v>
          </cell>
          <cell r="C46">
            <v>0</v>
          </cell>
          <cell r="D46" t="str">
            <v>לעדכן</v>
          </cell>
        </row>
        <row r="47">
          <cell r="A47">
            <v>111708</v>
          </cell>
          <cell r="B47">
            <v>0</v>
          </cell>
          <cell r="C47">
            <v>0</v>
          </cell>
          <cell r="D47" t="str">
            <v>לעדכן</v>
          </cell>
        </row>
        <row r="48">
          <cell r="A48">
            <v>111716</v>
          </cell>
          <cell r="B48">
            <v>0</v>
          </cell>
          <cell r="C48">
            <v>0</v>
          </cell>
          <cell r="D48" t="str">
            <v>לעדכן</v>
          </cell>
        </row>
        <row r="49">
          <cell r="A49">
            <v>111724</v>
          </cell>
          <cell r="B49">
            <v>0</v>
          </cell>
          <cell r="C49">
            <v>0</v>
          </cell>
          <cell r="D49" t="str">
            <v>לעדכן</v>
          </cell>
        </row>
        <row r="50">
          <cell r="A50">
            <v>111831</v>
          </cell>
          <cell r="B50">
            <v>0</v>
          </cell>
          <cell r="C50">
            <v>0</v>
          </cell>
          <cell r="D50" t="str">
            <v>לעדכן</v>
          </cell>
        </row>
        <row r="51">
          <cell r="A51">
            <v>111849</v>
          </cell>
          <cell r="B51">
            <v>0</v>
          </cell>
          <cell r="C51">
            <v>0</v>
          </cell>
          <cell r="D51" t="str">
            <v>לעדכן</v>
          </cell>
        </row>
        <row r="52">
          <cell r="A52">
            <v>111864</v>
          </cell>
          <cell r="B52">
            <v>0</v>
          </cell>
          <cell r="C52">
            <v>0</v>
          </cell>
          <cell r="D52" t="str">
            <v>לעדכן</v>
          </cell>
        </row>
        <row r="53">
          <cell r="A53">
            <v>111872</v>
          </cell>
          <cell r="B53">
            <v>0</v>
          </cell>
          <cell r="C53">
            <v>0</v>
          </cell>
          <cell r="D53" t="str">
            <v>לעדכן</v>
          </cell>
        </row>
        <row r="54">
          <cell r="A54">
            <v>111898</v>
          </cell>
          <cell r="B54">
            <v>0</v>
          </cell>
          <cell r="C54">
            <v>0</v>
          </cell>
          <cell r="D54" t="str">
            <v>לעדכן</v>
          </cell>
        </row>
        <row r="55">
          <cell r="A55">
            <v>111906</v>
          </cell>
          <cell r="B55">
            <v>0</v>
          </cell>
          <cell r="C55">
            <v>0</v>
          </cell>
          <cell r="D55" t="str">
            <v>לעדכן</v>
          </cell>
        </row>
        <row r="56">
          <cell r="A56">
            <v>111948</v>
          </cell>
          <cell r="B56">
            <v>0</v>
          </cell>
          <cell r="C56">
            <v>0</v>
          </cell>
          <cell r="D56" t="str">
            <v>לעדכן</v>
          </cell>
        </row>
        <row r="57">
          <cell r="A57">
            <v>111963</v>
          </cell>
          <cell r="B57">
            <v>0</v>
          </cell>
          <cell r="C57">
            <v>0</v>
          </cell>
          <cell r="D57" t="str">
            <v>לעדכן</v>
          </cell>
        </row>
        <row r="58">
          <cell r="A58">
            <v>112003</v>
          </cell>
          <cell r="B58">
            <v>0</v>
          </cell>
          <cell r="C58">
            <v>0</v>
          </cell>
          <cell r="D58" t="str">
            <v>לעדכן</v>
          </cell>
        </row>
        <row r="59">
          <cell r="A59">
            <v>112037</v>
          </cell>
          <cell r="B59">
            <v>0</v>
          </cell>
          <cell r="C59">
            <v>0</v>
          </cell>
          <cell r="D59" t="str">
            <v>לעדכן</v>
          </cell>
        </row>
        <row r="60">
          <cell r="A60">
            <v>112052</v>
          </cell>
          <cell r="B60">
            <v>0</v>
          </cell>
          <cell r="C60">
            <v>0</v>
          </cell>
          <cell r="D60" t="str">
            <v>לעדכן</v>
          </cell>
        </row>
        <row r="61">
          <cell r="A61">
            <v>112078</v>
          </cell>
          <cell r="B61">
            <v>0</v>
          </cell>
          <cell r="C61">
            <v>0</v>
          </cell>
          <cell r="D61" t="str">
            <v>לעדכן</v>
          </cell>
        </row>
        <row r="62">
          <cell r="A62">
            <v>112094</v>
          </cell>
          <cell r="B62">
            <v>0</v>
          </cell>
          <cell r="C62">
            <v>0</v>
          </cell>
          <cell r="D62" t="str">
            <v>לעדכן</v>
          </cell>
        </row>
        <row r="63">
          <cell r="A63">
            <v>112102</v>
          </cell>
          <cell r="B63">
            <v>0</v>
          </cell>
          <cell r="C63">
            <v>0</v>
          </cell>
          <cell r="D63" t="str">
            <v>לעדכן</v>
          </cell>
        </row>
        <row r="64">
          <cell r="A64">
            <v>112110</v>
          </cell>
          <cell r="B64">
            <v>0</v>
          </cell>
          <cell r="C64">
            <v>0</v>
          </cell>
          <cell r="D64" t="str">
            <v>לעדכן</v>
          </cell>
        </row>
        <row r="65">
          <cell r="A65">
            <v>112128</v>
          </cell>
          <cell r="B65">
            <v>0</v>
          </cell>
          <cell r="C65">
            <v>0</v>
          </cell>
          <cell r="D65" t="str">
            <v>לעדכן</v>
          </cell>
        </row>
        <row r="66">
          <cell r="A66">
            <v>112136</v>
          </cell>
          <cell r="B66">
            <v>0</v>
          </cell>
          <cell r="C66">
            <v>0</v>
          </cell>
          <cell r="D66" t="str">
            <v>לעדכן</v>
          </cell>
        </row>
        <row r="67">
          <cell r="A67">
            <v>112151</v>
          </cell>
          <cell r="B67">
            <v>0</v>
          </cell>
          <cell r="C67">
            <v>0</v>
          </cell>
          <cell r="D67" t="str">
            <v>לעדכן</v>
          </cell>
        </row>
        <row r="68">
          <cell r="A68">
            <v>112169</v>
          </cell>
          <cell r="B68">
            <v>0</v>
          </cell>
          <cell r="C68">
            <v>0</v>
          </cell>
          <cell r="D68" t="str">
            <v>לעדכן</v>
          </cell>
        </row>
        <row r="69">
          <cell r="A69">
            <v>112177</v>
          </cell>
          <cell r="B69">
            <v>0</v>
          </cell>
          <cell r="C69">
            <v>0</v>
          </cell>
          <cell r="D69" t="str">
            <v>לעדכן</v>
          </cell>
        </row>
        <row r="70">
          <cell r="A70">
            <v>112185</v>
          </cell>
          <cell r="B70">
            <v>0</v>
          </cell>
          <cell r="C70">
            <v>0</v>
          </cell>
          <cell r="D70" t="str">
            <v>לעדכן</v>
          </cell>
        </row>
        <row r="71">
          <cell r="A71">
            <v>112193</v>
          </cell>
          <cell r="B71">
            <v>0</v>
          </cell>
          <cell r="C71">
            <v>0</v>
          </cell>
          <cell r="D71" t="str">
            <v>לעדכן</v>
          </cell>
        </row>
        <row r="72">
          <cell r="A72">
            <v>112201</v>
          </cell>
          <cell r="B72">
            <v>0</v>
          </cell>
          <cell r="C72">
            <v>0</v>
          </cell>
          <cell r="D72" t="str">
            <v>לעדכן</v>
          </cell>
        </row>
        <row r="73">
          <cell r="A73">
            <v>112219</v>
          </cell>
          <cell r="B73">
            <v>0</v>
          </cell>
          <cell r="C73">
            <v>0</v>
          </cell>
          <cell r="D73" t="str">
            <v>לעדכן</v>
          </cell>
        </row>
        <row r="74">
          <cell r="A74">
            <v>112227</v>
          </cell>
          <cell r="B74">
            <v>0</v>
          </cell>
          <cell r="C74">
            <v>0</v>
          </cell>
          <cell r="D74" t="str">
            <v>לעדכן</v>
          </cell>
        </row>
        <row r="75">
          <cell r="A75">
            <v>112235</v>
          </cell>
          <cell r="B75">
            <v>0</v>
          </cell>
          <cell r="C75">
            <v>0</v>
          </cell>
          <cell r="D75" t="str">
            <v>לעדכן</v>
          </cell>
        </row>
        <row r="76">
          <cell r="A76">
            <v>112250</v>
          </cell>
          <cell r="B76">
            <v>0</v>
          </cell>
          <cell r="C76">
            <v>0</v>
          </cell>
          <cell r="D76" t="str">
            <v>לעדכן</v>
          </cell>
        </row>
        <row r="77">
          <cell r="A77">
            <v>112284</v>
          </cell>
          <cell r="B77">
            <v>0</v>
          </cell>
          <cell r="C77">
            <v>0</v>
          </cell>
          <cell r="D77" t="str">
            <v>לעדכן</v>
          </cell>
        </row>
        <row r="78">
          <cell r="A78">
            <v>112292</v>
          </cell>
          <cell r="B78">
            <v>0</v>
          </cell>
          <cell r="C78">
            <v>0</v>
          </cell>
          <cell r="D78" t="str">
            <v>לעדכן</v>
          </cell>
        </row>
        <row r="79">
          <cell r="A79">
            <v>112300</v>
          </cell>
          <cell r="B79">
            <v>0</v>
          </cell>
          <cell r="C79">
            <v>0</v>
          </cell>
          <cell r="D79" t="str">
            <v>לעדכן</v>
          </cell>
        </row>
        <row r="80">
          <cell r="A80">
            <v>112326</v>
          </cell>
          <cell r="B80">
            <v>0</v>
          </cell>
          <cell r="C80">
            <v>0</v>
          </cell>
          <cell r="D80" t="str">
            <v>לעדכן</v>
          </cell>
        </row>
        <row r="81">
          <cell r="A81">
            <v>112342</v>
          </cell>
          <cell r="B81">
            <v>0</v>
          </cell>
          <cell r="C81">
            <v>0</v>
          </cell>
          <cell r="D81" t="str">
            <v>לעדכן</v>
          </cell>
        </row>
        <row r="82">
          <cell r="A82">
            <v>112359</v>
          </cell>
          <cell r="B82">
            <v>0</v>
          </cell>
          <cell r="C82">
            <v>0</v>
          </cell>
          <cell r="D82" t="str">
            <v>לעדכן</v>
          </cell>
        </row>
        <row r="83">
          <cell r="A83">
            <v>112367</v>
          </cell>
          <cell r="B83">
            <v>0</v>
          </cell>
          <cell r="C83">
            <v>0</v>
          </cell>
          <cell r="D83" t="str">
            <v>לעדכן</v>
          </cell>
        </row>
        <row r="84">
          <cell r="A84">
            <v>112391</v>
          </cell>
          <cell r="B84">
            <v>0</v>
          </cell>
          <cell r="C84">
            <v>0</v>
          </cell>
          <cell r="D84" t="str">
            <v>לעדכן</v>
          </cell>
        </row>
        <row r="85">
          <cell r="A85">
            <v>112433</v>
          </cell>
          <cell r="B85">
            <v>0</v>
          </cell>
          <cell r="C85">
            <v>0</v>
          </cell>
          <cell r="D85" t="str">
            <v>לעדכן</v>
          </cell>
        </row>
        <row r="86">
          <cell r="A86">
            <v>112482</v>
          </cell>
          <cell r="B86">
            <v>0</v>
          </cell>
          <cell r="C86">
            <v>0</v>
          </cell>
          <cell r="D86" t="str">
            <v>לעדכן</v>
          </cell>
        </row>
        <row r="87">
          <cell r="A87">
            <v>112490</v>
          </cell>
          <cell r="B87">
            <v>0</v>
          </cell>
          <cell r="C87">
            <v>0</v>
          </cell>
          <cell r="D87" t="str">
            <v>לעדכן</v>
          </cell>
        </row>
        <row r="88">
          <cell r="A88">
            <v>112516</v>
          </cell>
          <cell r="B88">
            <v>0</v>
          </cell>
          <cell r="C88">
            <v>0</v>
          </cell>
          <cell r="D88" t="str">
            <v>לעדכן</v>
          </cell>
        </row>
        <row r="89">
          <cell r="A89">
            <v>112524</v>
          </cell>
          <cell r="B89">
            <v>0</v>
          </cell>
          <cell r="C89">
            <v>0</v>
          </cell>
          <cell r="D89" t="str">
            <v>לעדכן</v>
          </cell>
        </row>
        <row r="90">
          <cell r="A90">
            <v>112540</v>
          </cell>
          <cell r="B90">
            <v>0</v>
          </cell>
          <cell r="C90">
            <v>0</v>
          </cell>
          <cell r="D90" t="str">
            <v>לעדכן</v>
          </cell>
        </row>
        <row r="91">
          <cell r="A91">
            <v>112565</v>
          </cell>
          <cell r="B91">
            <v>0</v>
          </cell>
          <cell r="C91">
            <v>0</v>
          </cell>
          <cell r="D91" t="str">
            <v>לעדכן</v>
          </cell>
        </row>
        <row r="92">
          <cell r="A92">
            <v>112573</v>
          </cell>
          <cell r="B92">
            <v>0</v>
          </cell>
          <cell r="C92">
            <v>0</v>
          </cell>
          <cell r="D92" t="str">
            <v>לעדכן</v>
          </cell>
        </row>
        <row r="93">
          <cell r="A93">
            <v>112599</v>
          </cell>
          <cell r="B93">
            <v>0</v>
          </cell>
          <cell r="C93">
            <v>0</v>
          </cell>
          <cell r="D93" t="str">
            <v>לעדכן</v>
          </cell>
        </row>
        <row r="94">
          <cell r="A94">
            <v>112607</v>
          </cell>
          <cell r="B94">
            <v>0</v>
          </cell>
          <cell r="C94">
            <v>0</v>
          </cell>
          <cell r="D94" t="str">
            <v>לעדכן</v>
          </cell>
        </row>
        <row r="95">
          <cell r="A95">
            <v>112714</v>
          </cell>
          <cell r="B95">
            <v>0</v>
          </cell>
          <cell r="C95">
            <v>0</v>
          </cell>
          <cell r="D95" t="str">
            <v>לעדכן</v>
          </cell>
        </row>
        <row r="96">
          <cell r="A96">
            <v>112722</v>
          </cell>
          <cell r="B96">
            <v>0</v>
          </cell>
          <cell r="C96">
            <v>0</v>
          </cell>
          <cell r="D96" t="str">
            <v>לעדכן</v>
          </cell>
        </row>
        <row r="97">
          <cell r="A97">
            <v>112789</v>
          </cell>
          <cell r="B97">
            <v>0</v>
          </cell>
          <cell r="C97">
            <v>0</v>
          </cell>
          <cell r="D97" t="str">
            <v>לעדכן</v>
          </cell>
        </row>
        <row r="98">
          <cell r="A98">
            <v>112797</v>
          </cell>
          <cell r="B98">
            <v>0</v>
          </cell>
          <cell r="C98">
            <v>0</v>
          </cell>
          <cell r="D98" t="str">
            <v>לעדכן</v>
          </cell>
        </row>
        <row r="99">
          <cell r="A99">
            <v>112813</v>
          </cell>
          <cell r="B99">
            <v>0</v>
          </cell>
          <cell r="C99">
            <v>0</v>
          </cell>
          <cell r="D99" t="str">
            <v>לעדכן</v>
          </cell>
        </row>
        <row r="100">
          <cell r="A100">
            <v>112896</v>
          </cell>
          <cell r="B100">
            <v>0</v>
          </cell>
          <cell r="C100">
            <v>0</v>
          </cell>
          <cell r="D100" t="str">
            <v>לעדכן</v>
          </cell>
        </row>
        <row r="101">
          <cell r="A101">
            <v>112953</v>
          </cell>
          <cell r="B101">
            <v>0</v>
          </cell>
          <cell r="C101">
            <v>0</v>
          </cell>
          <cell r="D101" t="str">
            <v>לעדכן</v>
          </cell>
        </row>
        <row r="102">
          <cell r="A102">
            <v>113001</v>
          </cell>
          <cell r="B102">
            <v>0</v>
          </cell>
          <cell r="C102">
            <v>0</v>
          </cell>
          <cell r="D102" t="str">
            <v>לעדכן</v>
          </cell>
        </row>
        <row r="103">
          <cell r="A103">
            <v>113043</v>
          </cell>
          <cell r="B103">
            <v>0</v>
          </cell>
          <cell r="C103">
            <v>0</v>
          </cell>
          <cell r="D103" t="str">
            <v>לעדכן</v>
          </cell>
        </row>
        <row r="104">
          <cell r="A104">
            <v>113076</v>
          </cell>
          <cell r="B104">
            <v>0</v>
          </cell>
          <cell r="C104">
            <v>0</v>
          </cell>
          <cell r="D104" t="str">
            <v>לעדכן</v>
          </cell>
        </row>
        <row r="105">
          <cell r="A105">
            <v>113084</v>
          </cell>
          <cell r="B105">
            <v>0</v>
          </cell>
          <cell r="C105">
            <v>0</v>
          </cell>
          <cell r="D105" t="str">
            <v>לעדכן</v>
          </cell>
        </row>
        <row r="106">
          <cell r="A106">
            <v>113126</v>
          </cell>
          <cell r="B106">
            <v>0</v>
          </cell>
          <cell r="C106">
            <v>0</v>
          </cell>
          <cell r="D106" t="str">
            <v>לעדכן</v>
          </cell>
        </row>
        <row r="107">
          <cell r="A107">
            <v>113134</v>
          </cell>
          <cell r="B107">
            <v>0</v>
          </cell>
          <cell r="C107">
            <v>0</v>
          </cell>
          <cell r="D107" t="str">
            <v>לעדכן</v>
          </cell>
        </row>
        <row r="108">
          <cell r="A108">
            <v>113159</v>
          </cell>
          <cell r="B108">
            <v>0</v>
          </cell>
          <cell r="C108">
            <v>0</v>
          </cell>
          <cell r="D108" t="str">
            <v>לעדכן</v>
          </cell>
        </row>
        <row r="109">
          <cell r="A109">
            <v>113175</v>
          </cell>
          <cell r="B109">
            <v>0</v>
          </cell>
          <cell r="C109">
            <v>0</v>
          </cell>
          <cell r="D109" t="str">
            <v>לעדכן</v>
          </cell>
        </row>
        <row r="110">
          <cell r="A110">
            <v>113183</v>
          </cell>
          <cell r="B110">
            <v>0</v>
          </cell>
          <cell r="C110">
            <v>0</v>
          </cell>
          <cell r="D110" t="str">
            <v>לעדכן</v>
          </cell>
        </row>
        <row r="111">
          <cell r="A111">
            <v>113217</v>
          </cell>
          <cell r="B111">
            <v>0</v>
          </cell>
          <cell r="C111">
            <v>0</v>
          </cell>
          <cell r="D111" t="str">
            <v>לעדכן</v>
          </cell>
        </row>
        <row r="112">
          <cell r="A112">
            <v>113258</v>
          </cell>
          <cell r="B112">
            <v>0</v>
          </cell>
          <cell r="C112">
            <v>0</v>
          </cell>
          <cell r="D112" t="str">
            <v>לעדכן</v>
          </cell>
        </row>
        <row r="113">
          <cell r="A113">
            <v>113308</v>
          </cell>
          <cell r="B113">
            <v>0</v>
          </cell>
          <cell r="C113">
            <v>0</v>
          </cell>
          <cell r="D113" t="str">
            <v>לעדכן</v>
          </cell>
        </row>
        <row r="114">
          <cell r="A114">
            <v>113324</v>
          </cell>
          <cell r="B114">
            <v>0</v>
          </cell>
          <cell r="C114">
            <v>0</v>
          </cell>
          <cell r="D114" t="str">
            <v>לעדכן</v>
          </cell>
        </row>
        <row r="115">
          <cell r="A115">
            <v>113332</v>
          </cell>
          <cell r="B115">
            <v>0</v>
          </cell>
          <cell r="C115">
            <v>0</v>
          </cell>
          <cell r="D115" t="str">
            <v>לעדכן</v>
          </cell>
        </row>
        <row r="116">
          <cell r="A116">
            <v>113365</v>
          </cell>
          <cell r="B116">
            <v>0</v>
          </cell>
          <cell r="C116">
            <v>0</v>
          </cell>
          <cell r="D116" t="str">
            <v>לעדכן</v>
          </cell>
        </row>
        <row r="117">
          <cell r="A117">
            <v>113399</v>
          </cell>
          <cell r="B117">
            <v>0</v>
          </cell>
          <cell r="C117">
            <v>0</v>
          </cell>
          <cell r="D117" t="str">
            <v>לעדכן</v>
          </cell>
        </row>
        <row r="118">
          <cell r="A118">
            <v>113449</v>
          </cell>
          <cell r="B118">
            <v>0</v>
          </cell>
          <cell r="C118">
            <v>0</v>
          </cell>
          <cell r="D118" t="str">
            <v>לעדכן</v>
          </cell>
        </row>
        <row r="119">
          <cell r="A119">
            <v>113472</v>
          </cell>
          <cell r="B119">
            <v>0</v>
          </cell>
          <cell r="C119">
            <v>0</v>
          </cell>
          <cell r="D119" t="str">
            <v>לעדכן</v>
          </cell>
        </row>
        <row r="120">
          <cell r="A120">
            <v>113480</v>
          </cell>
          <cell r="B120">
            <v>0</v>
          </cell>
          <cell r="C120">
            <v>0</v>
          </cell>
          <cell r="D120" t="str">
            <v>לעדכן</v>
          </cell>
        </row>
        <row r="121">
          <cell r="A121">
            <v>113498</v>
          </cell>
          <cell r="B121">
            <v>0</v>
          </cell>
          <cell r="C121">
            <v>0</v>
          </cell>
          <cell r="D121" t="str">
            <v>לעדכן</v>
          </cell>
        </row>
        <row r="122">
          <cell r="A122">
            <v>113514</v>
          </cell>
          <cell r="B122">
            <v>0</v>
          </cell>
          <cell r="C122">
            <v>0</v>
          </cell>
          <cell r="D122" t="str">
            <v>לעדכן</v>
          </cell>
        </row>
        <row r="123">
          <cell r="A123">
            <v>113522</v>
          </cell>
          <cell r="B123">
            <v>0</v>
          </cell>
          <cell r="C123">
            <v>0</v>
          </cell>
          <cell r="D123" t="str">
            <v>לעדכן</v>
          </cell>
        </row>
        <row r="124">
          <cell r="A124">
            <v>113530</v>
          </cell>
          <cell r="B124">
            <v>0</v>
          </cell>
          <cell r="C124">
            <v>0</v>
          </cell>
          <cell r="D124" t="str">
            <v>לעדכן</v>
          </cell>
        </row>
        <row r="125">
          <cell r="A125">
            <v>113548</v>
          </cell>
          <cell r="B125">
            <v>0</v>
          </cell>
          <cell r="C125">
            <v>0</v>
          </cell>
          <cell r="D125" t="str">
            <v>לעדכן</v>
          </cell>
        </row>
        <row r="126">
          <cell r="A126">
            <v>113563</v>
          </cell>
          <cell r="B126">
            <v>0</v>
          </cell>
          <cell r="C126">
            <v>0</v>
          </cell>
          <cell r="D126" t="str">
            <v>לעדכן</v>
          </cell>
        </row>
        <row r="127">
          <cell r="A127">
            <v>113589</v>
          </cell>
          <cell r="B127">
            <v>0</v>
          </cell>
          <cell r="C127">
            <v>0</v>
          </cell>
          <cell r="D127" t="str">
            <v>לעדכן</v>
          </cell>
        </row>
        <row r="128">
          <cell r="A128">
            <v>113597</v>
          </cell>
          <cell r="B128">
            <v>0</v>
          </cell>
          <cell r="C128">
            <v>0</v>
          </cell>
          <cell r="D128" t="str">
            <v>לעדכן</v>
          </cell>
        </row>
        <row r="129">
          <cell r="A129">
            <v>113639</v>
          </cell>
          <cell r="B129">
            <v>0</v>
          </cell>
          <cell r="C129">
            <v>0</v>
          </cell>
          <cell r="D129" t="str">
            <v>לעדכן</v>
          </cell>
        </row>
        <row r="130">
          <cell r="A130">
            <v>113696</v>
          </cell>
          <cell r="B130">
            <v>0</v>
          </cell>
          <cell r="C130">
            <v>0</v>
          </cell>
          <cell r="D130" t="str">
            <v>לעדכן</v>
          </cell>
        </row>
        <row r="131">
          <cell r="A131">
            <v>113738</v>
          </cell>
          <cell r="B131">
            <v>0</v>
          </cell>
          <cell r="C131">
            <v>0</v>
          </cell>
          <cell r="D131" t="str">
            <v>לעדכן</v>
          </cell>
        </row>
        <row r="132">
          <cell r="A132">
            <v>113746</v>
          </cell>
          <cell r="B132">
            <v>0</v>
          </cell>
          <cell r="C132">
            <v>0</v>
          </cell>
          <cell r="D132" t="str">
            <v>לעדכן</v>
          </cell>
        </row>
        <row r="133">
          <cell r="A133">
            <v>113753</v>
          </cell>
          <cell r="B133">
            <v>0</v>
          </cell>
          <cell r="C133">
            <v>0</v>
          </cell>
          <cell r="D133" t="str">
            <v>לעדכן</v>
          </cell>
        </row>
        <row r="134">
          <cell r="A134">
            <v>113761</v>
          </cell>
          <cell r="B134">
            <v>0</v>
          </cell>
          <cell r="C134">
            <v>0</v>
          </cell>
          <cell r="D134" t="str">
            <v>לעדכן</v>
          </cell>
        </row>
        <row r="135">
          <cell r="A135">
            <v>113787</v>
          </cell>
          <cell r="B135">
            <v>0</v>
          </cell>
          <cell r="C135">
            <v>0</v>
          </cell>
          <cell r="D135" t="str">
            <v>לעדכן</v>
          </cell>
        </row>
        <row r="136">
          <cell r="A136">
            <v>113811</v>
          </cell>
          <cell r="B136">
            <v>0</v>
          </cell>
          <cell r="C136">
            <v>0</v>
          </cell>
          <cell r="D136" t="str">
            <v>לעדכן</v>
          </cell>
        </row>
        <row r="137">
          <cell r="A137">
            <v>113829</v>
          </cell>
          <cell r="B137">
            <v>0</v>
          </cell>
          <cell r="C137">
            <v>0</v>
          </cell>
          <cell r="D137" t="str">
            <v>לעדכן</v>
          </cell>
        </row>
        <row r="138">
          <cell r="A138">
            <v>113852</v>
          </cell>
          <cell r="B138">
            <v>0</v>
          </cell>
          <cell r="C138">
            <v>0</v>
          </cell>
          <cell r="D138" t="str">
            <v>לעדכן</v>
          </cell>
        </row>
        <row r="139">
          <cell r="A139">
            <v>113860</v>
          </cell>
          <cell r="B139">
            <v>0</v>
          </cell>
          <cell r="C139">
            <v>0</v>
          </cell>
          <cell r="D139" t="str">
            <v>לעדכן</v>
          </cell>
        </row>
        <row r="140">
          <cell r="A140">
            <v>113902</v>
          </cell>
          <cell r="B140">
            <v>0</v>
          </cell>
          <cell r="C140">
            <v>0</v>
          </cell>
          <cell r="D140" t="str">
            <v>לעדכן</v>
          </cell>
        </row>
        <row r="141">
          <cell r="A141">
            <v>113928</v>
          </cell>
          <cell r="B141">
            <v>0</v>
          </cell>
          <cell r="C141">
            <v>0</v>
          </cell>
          <cell r="D141" t="str">
            <v>לעדכן</v>
          </cell>
        </row>
        <row r="142">
          <cell r="A142">
            <v>113944</v>
          </cell>
          <cell r="B142">
            <v>0</v>
          </cell>
          <cell r="C142">
            <v>0</v>
          </cell>
          <cell r="D142" t="str">
            <v>לעדכן</v>
          </cell>
        </row>
        <row r="143">
          <cell r="A143">
            <v>113969</v>
          </cell>
          <cell r="B143">
            <v>0</v>
          </cell>
          <cell r="C143">
            <v>0</v>
          </cell>
          <cell r="D143" t="str">
            <v>לעדכן</v>
          </cell>
        </row>
        <row r="144">
          <cell r="A144">
            <v>114009</v>
          </cell>
          <cell r="B144">
            <v>0</v>
          </cell>
          <cell r="C144">
            <v>0</v>
          </cell>
          <cell r="D144" t="str">
            <v>לעדכן</v>
          </cell>
        </row>
        <row r="145">
          <cell r="A145">
            <v>114033</v>
          </cell>
          <cell r="B145">
            <v>0</v>
          </cell>
          <cell r="C145">
            <v>0</v>
          </cell>
          <cell r="D145" t="str">
            <v>לעדכן</v>
          </cell>
        </row>
        <row r="146">
          <cell r="A146">
            <v>114058</v>
          </cell>
          <cell r="B146">
            <v>0</v>
          </cell>
          <cell r="C146">
            <v>0</v>
          </cell>
          <cell r="D146" t="str">
            <v>לעדכן</v>
          </cell>
        </row>
        <row r="147">
          <cell r="A147">
            <v>114066</v>
          </cell>
          <cell r="B147">
            <v>0</v>
          </cell>
          <cell r="C147">
            <v>0</v>
          </cell>
          <cell r="D147" t="str">
            <v>לעדכן</v>
          </cell>
        </row>
        <row r="148">
          <cell r="A148">
            <v>114074</v>
          </cell>
          <cell r="B148">
            <v>0</v>
          </cell>
          <cell r="C148">
            <v>0</v>
          </cell>
          <cell r="D148" t="str">
            <v>לעדכן</v>
          </cell>
        </row>
        <row r="149">
          <cell r="A149">
            <v>114082</v>
          </cell>
          <cell r="B149">
            <v>0</v>
          </cell>
          <cell r="C149">
            <v>0</v>
          </cell>
          <cell r="D149" t="str">
            <v>לעדכן</v>
          </cell>
        </row>
        <row r="150">
          <cell r="A150">
            <v>114132</v>
          </cell>
          <cell r="B150">
            <v>0</v>
          </cell>
          <cell r="C150">
            <v>0</v>
          </cell>
          <cell r="D150" t="str">
            <v>לעדכן</v>
          </cell>
        </row>
        <row r="151">
          <cell r="A151">
            <v>114140</v>
          </cell>
          <cell r="B151">
            <v>0</v>
          </cell>
          <cell r="C151">
            <v>0</v>
          </cell>
          <cell r="D151" t="str">
            <v>לעדכן</v>
          </cell>
        </row>
        <row r="152">
          <cell r="A152">
            <v>114165</v>
          </cell>
          <cell r="B152">
            <v>0</v>
          </cell>
          <cell r="C152">
            <v>0</v>
          </cell>
          <cell r="D152" t="str">
            <v>לעדכן</v>
          </cell>
        </row>
        <row r="153">
          <cell r="A153">
            <v>114173</v>
          </cell>
          <cell r="B153">
            <v>0</v>
          </cell>
          <cell r="C153">
            <v>0</v>
          </cell>
          <cell r="D153" t="str">
            <v>לעדכן</v>
          </cell>
        </row>
        <row r="154">
          <cell r="A154">
            <v>114181</v>
          </cell>
          <cell r="B154">
            <v>0</v>
          </cell>
          <cell r="C154">
            <v>0</v>
          </cell>
          <cell r="D154" t="str">
            <v>לעדכן</v>
          </cell>
        </row>
        <row r="155">
          <cell r="A155">
            <v>114199</v>
          </cell>
          <cell r="B155">
            <v>0</v>
          </cell>
          <cell r="C155">
            <v>0</v>
          </cell>
          <cell r="D155" t="str">
            <v>לעדכן</v>
          </cell>
        </row>
        <row r="156">
          <cell r="A156">
            <v>114215</v>
          </cell>
          <cell r="B156">
            <v>0</v>
          </cell>
          <cell r="C156">
            <v>0</v>
          </cell>
          <cell r="D156" t="str">
            <v>לעדכן</v>
          </cell>
        </row>
        <row r="157">
          <cell r="A157">
            <v>114306</v>
          </cell>
          <cell r="B157">
            <v>0</v>
          </cell>
          <cell r="C157">
            <v>0</v>
          </cell>
          <cell r="D157" t="str">
            <v>לעדכן</v>
          </cell>
        </row>
        <row r="158">
          <cell r="A158">
            <v>114314</v>
          </cell>
          <cell r="B158">
            <v>0</v>
          </cell>
          <cell r="C158">
            <v>0</v>
          </cell>
          <cell r="D158" t="str">
            <v>לעדכן</v>
          </cell>
        </row>
        <row r="159">
          <cell r="A159">
            <v>114322</v>
          </cell>
          <cell r="B159">
            <v>0</v>
          </cell>
          <cell r="C159">
            <v>0</v>
          </cell>
          <cell r="D159" t="str">
            <v>לעדכן</v>
          </cell>
        </row>
        <row r="160">
          <cell r="A160">
            <v>114348</v>
          </cell>
          <cell r="B160">
            <v>0</v>
          </cell>
          <cell r="C160">
            <v>0</v>
          </cell>
          <cell r="D160" t="str">
            <v>לעדכן</v>
          </cell>
        </row>
        <row r="161">
          <cell r="A161">
            <v>114389</v>
          </cell>
          <cell r="B161">
            <v>0</v>
          </cell>
          <cell r="C161">
            <v>0</v>
          </cell>
          <cell r="D161" t="str">
            <v>לעדכן</v>
          </cell>
        </row>
        <row r="162">
          <cell r="A162">
            <v>114397</v>
          </cell>
          <cell r="B162">
            <v>0</v>
          </cell>
          <cell r="C162">
            <v>0</v>
          </cell>
          <cell r="D162" t="str">
            <v>לעדכן</v>
          </cell>
        </row>
        <row r="163">
          <cell r="A163">
            <v>115527</v>
          </cell>
          <cell r="B163">
            <v>0</v>
          </cell>
          <cell r="C163">
            <v>0</v>
          </cell>
          <cell r="D163" t="str">
            <v>לעדכן</v>
          </cell>
        </row>
        <row r="164">
          <cell r="A164">
            <v>115550</v>
          </cell>
          <cell r="B164">
            <v>0</v>
          </cell>
          <cell r="C164">
            <v>0</v>
          </cell>
          <cell r="D164" t="str">
            <v>לעדכן</v>
          </cell>
        </row>
        <row r="165">
          <cell r="A165">
            <v>115592</v>
          </cell>
          <cell r="B165">
            <v>0</v>
          </cell>
          <cell r="C165">
            <v>0</v>
          </cell>
          <cell r="D165" t="str">
            <v>לעדכן</v>
          </cell>
        </row>
        <row r="166">
          <cell r="A166">
            <v>115600</v>
          </cell>
          <cell r="B166">
            <v>0</v>
          </cell>
          <cell r="C166">
            <v>0</v>
          </cell>
          <cell r="D166" t="str">
            <v>לעדכן</v>
          </cell>
        </row>
        <row r="167">
          <cell r="A167">
            <v>115642</v>
          </cell>
          <cell r="B167">
            <v>0</v>
          </cell>
          <cell r="C167">
            <v>0</v>
          </cell>
          <cell r="D167" t="str">
            <v>לעדכן</v>
          </cell>
        </row>
        <row r="168">
          <cell r="A168">
            <v>115766</v>
          </cell>
          <cell r="B168">
            <v>0</v>
          </cell>
          <cell r="C168">
            <v>0</v>
          </cell>
          <cell r="D168" t="str">
            <v>לעדכן</v>
          </cell>
        </row>
        <row r="169">
          <cell r="A169">
            <v>116012</v>
          </cell>
          <cell r="B169">
            <v>0</v>
          </cell>
          <cell r="C169">
            <v>0</v>
          </cell>
          <cell r="D169" t="str">
            <v>לעדכן</v>
          </cell>
        </row>
        <row r="170">
          <cell r="A170">
            <v>116129</v>
          </cell>
          <cell r="B170">
            <v>0</v>
          </cell>
          <cell r="C170">
            <v>0</v>
          </cell>
          <cell r="D170" t="str">
            <v>לעדכן</v>
          </cell>
        </row>
        <row r="171">
          <cell r="A171">
            <v>117002</v>
          </cell>
          <cell r="B171">
            <v>0</v>
          </cell>
          <cell r="C171">
            <v>0</v>
          </cell>
          <cell r="D171" t="str">
            <v>לעדכן</v>
          </cell>
        </row>
        <row r="172">
          <cell r="A172">
            <v>117010</v>
          </cell>
          <cell r="B172">
            <v>0</v>
          </cell>
          <cell r="C172">
            <v>0</v>
          </cell>
          <cell r="D172" t="str">
            <v>לעדכן</v>
          </cell>
        </row>
        <row r="173">
          <cell r="A173">
            <v>118018</v>
          </cell>
          <cell r="B173">
            <v>0</v>
          </cell>
          <cell r="C173">
            <v>0</v>
          </cell>
          <cell r="D173" t="str">
            <v>לעדכן</v>
          </cell>
        </row>
        <row r="174">
          <cell r="A174">
            <v>118034</v>
          </cell>
          <cell r="B174">
            <v>0</v>
          </cell>
          <cell r="C174">
            <v>0</v>
          </cell>
          <cell r="D174" t="str">
            <v>לעדכן</v>
          </cell>
        </row>
        <row r="175">
          <cell r="A175">
            <v>118042</v>
          </cell>
          <cell r="B175">
            <v>0</v>
          </cell>
          <cell r="C175">
            <v>0</v>
          </cell>
          <cell r="D175" t="str">
            <v>לעדכן</v>
          </cell>
        </row>
        <row r="176">
          <cell r="A176">
            <v>118067</v>
          </cell>
          <cell r="B176">
            <v>0</v>
          </cell>
          <cell r="C176">
            <v>0</v>
          </cell>
          <cell r="D176" t="str">
            <v>לעדכן</v>
          </cell>
        </row>
        <row r="177">
          <cell r="A177">
            <v>118075</v>
          </cell>
          <cell r="B177">
            <v>0</v>
          </cell>
          <cell r="C177">
            <v>0</v>
          </cell>
          <cell r="D177" t="str">
            <v>לעדכן</v>
          </cell>
        </row>
        <row r="178">
          <cell r="A178">
            <v>118083</v>
          </cell>
          <cell r="B178">
            <v>0</v>
          </cell>
          <cell r="C178">
            <v>0</v>
          </cell>
          <cell r="D178" t="str">
            <v>לעדכן</v>
          </cell>
        </row>
        <row r="179">
          <cell r="A179">
            <v>118091</v>
          </cell>
          <cell r="B179">
            <v>0</v>
          </cell>
          <cell r="C179">
            <v>0</v>
          </cell>
          <cell r="D179" t="str">
            <v>לעדכן</v>
          </cell>
        </row>
        <row r="180">
          <cell r="A180">
            <v>118125</v>
          </cell>
          <cell r="B180">
            <v>0</v>
          </cell>
          <cell r="C180">
            <v>0</v>
          </cell>
          <cell r="D180" t="str">
            <v>לעדכן</v>
          </cell>
        </row>
        <row r="181">
          <cell r="A181">
            <v>118133</v>
          </cell>
          <cell r="B181">
            <v>0</v>
          </cell>
          <cell r="C181">
            <v>0</v>
          </cell>
          <cell r="D181" t="str">
            <v>לעדכן</v>
          </cell>
        </row>
        <row r="182">
          <cell r="A182">
            <v>118166</v>
          </cell>
          <cell r="B182">
            <v>0</v>
          </cell>
          <cell r="C182">
            <v>0</v>
          </cell>
          <cell r="D182" t="str">
            <v>לעדכן</v>
          </cell>
        </row>
        <row r="183">
          <cell r="A183">
            <v>118174</v>
          </cell>
          <cell r="B183">
            <v>0</v>
          </cell>
          <cell r="C183">
            <v>0</v>
          </cell>
          <cell r="D183" t="str">
            <v>לעדכן</v>
          </cell>
        </row>
        <row r="184">
          <cell r="A184">
            <v>118182</v>
          </cell>
          <cell r="B184">
            <v>0</v>
          </cell>
          <cell r="C184">
            <v>0</v>
          </cell>
          <cell r="D184" t="str">
            <v>לעדכן</v>
          </cell>
        </row>
        <row r="185">
          <cell r="A185">
            <v>118190</v>
          </cell>
          <cell r="B185">
            <v>0</v>
          </cell>
          <cell r="C185">
            <v>0</v>
          </cell>
          <cell r="D185" t="str">
            <v>לעדכן</v>
          </cell>
        </row>
        <row r="186">
          <cell r="A186">
            <v>118208</v>
          </cell>
          <cell r="B186">
            <v>0</v>
          </cell>
          <cell r="C186">
            <v>0</v>
          </cell>
          <cell r="D186" t="str">
            <v>לעדכן</v>
          </cell>
        </row>
        <row r="187">
          <cell r="A187">
            <v>118216</v>
          </cell>
          <cell r="B187">
            <v>0</v>
          </cell>
          <cell r="C187">
            <v>0</v>
          </cell>
          <cell r="D187" t="str">
            <v>לעדכן</v>
          </cell>
        </row>
        <row r="188">
          <cell r="A188">
            <v>118224</v>
          </cell>
          <cell r="B188">
            <v>0</v>
          </cell>
          <cell r="C188">
            <v>0</v>
          </cell>
          <cell r="D188" t="str">
            <v>לעדכן</v>
          </cell>
        </row>
        <row r="189">
          <cell r="A189">
            <v>118240</v>
          </cell>
          <cell r="B189">
            <v>0</v>
          </cell>
          <cell r="C189">
            <v>0</v>
          </cell>
          <cell r="D189" t="str">
            <v>לעדכן</v>
          </cell>
        </row>
        <row r="190">
          <cell r="A190">
            <v>118273</v>
          </cell>
          <cell r="B190">
            <v>0</v>
          </cell>
          <cell r="C190">
            <v>0</v>
          </cell>
          <cell r="D190" t="str">
            <v>לעדכן</v>
          </cell>
        </row>
        <row r="191">
          <cell r="A191">
            <v>118281</v>
          </cell>
          <cell r="B191">
            <v>0</v>
          </cell>
          <cell r="C191">
            <v>0</v>
          </cell>
          <cell r="D191" t="str">
            <v>לעדכן</v>
          </cell>
        </row>
        <row r="192">
          <cell r="A192">
            <v>118299</v>
          </cell>
          <cell r="B192">
            <v>0</v>
          </cell>
          <cell r="C192">
            <v>0</v>
          </cell>
          <cell r="D192" t="str">
            <v>לעדכן</v>
          </cell>
        </row>
        <row r="193">
          <cell r="A193">
            <v>118307</v>
          </cell>
          <cell r="B193">
            <v>0</v>
          </cell>
          <cell r="C193">
            <v>0</v>
          </cell>
          <cell r="D193" t="str">
            <v>לעדכן</v>
          </cell>
        </row>
        <row r="194">
          <cell r="A194">
            <v>118331</v>
          </cell>
          <cell r="B194">
            <v>0</v>
          </cell>
          <cell r="C194">
            <v>0</v>
          </cell>
          <cell r="D194" t="str">
            <v>לעדכן</v>
          </cell>
        </row>
        <row r="195">
          <cell r="A195">
            <v>118349</v>
          </cell>
          <cell r="B195">
            <v>0</v>
          </cell>
          <cell r="C195">
            <v>0</v>
          </cell>
          <cell r="D195" t="str">
            <v>לעדכן</v>
          </cell>
        </row>
        <row r="196">
          <cell r="A196">
            <v>118356</v>
          </cell>
          <cell r="B196">
            <v>0</v>
          </cell>
          <cell r="C196">
            <v>0</v>
          </cell>
          <cell r="D196" t="str">
            <v>לעדכן</v>
          </cell>
        </row>
        <row r="197">
          <cell r="A197">
            <v>118364</v>
          </cell>
          <cell r="B197">
            <v>0</v>
          </cell>
          <cell r="C197">
            <v>0</v>
          </cell>
          <cell r="D197" t="str">
            <v>לעדכן</v>
          </cell>
        </row>
        <row r="198">
          <cell r="A198">
            <v>124032</v>
          </cell>
          <cell r="B198">
            <v>0</v>
          </cell>
          <cell r="C198">
            <v>0</v>
          </cell>
          <cell r="D198" t="str">
            <v>לעדכן</v>
          </cell>
        </row>
        <row r="199">
          <cell r="A199">
            <v>124040</v>
          </cell>
          <cell r="B199">
            <v>0</v>
          </cell>
          <cell r="C199">
            <v>0</v>
          </cell>
          <cell r="D199" t="str">
            <v>לעדכן</v>
          </cell>
        </row>
        <row r="200">
          <cell r="A200">
            <v>124057</v>
          </cell>
          <cell r="B200">
            <v>0</v>
          </cell>
          <cell r="C200">
            <v>0</v>
          </cell>
          <cell r="D200" t="str">
            <v>לעדכן</v>
          </cell>
        </row>
        <row r="201">
          <cell r="A201">
            <v>124099</v>
          </cell>
          <cell r="B201">
            <v>0</v>
          </cell>
          <cell r="C201">
            <v>0</v>
          </cell>
          <cell r="D201" t="str">
            <v>לעדכן</v>
          </cell>
        </row>
        <row r="202">
          <cell r="A202">
            <v>124123</v>
          </cell>
          <cell r="B202">
            <v>0</v>
          </cell>
          <cell r="C202">
            <v>0</v>
          </cell>
          <cell r="D202" t="str">
            <v>לעדכן</v>
          </cell>
        </row>
        <row r="203">
          <cell r="A203">
            <v>124131</v>
          </cell>
          <cell r="B203">
            <v>0</v>
          </cell>
          <cell r="C203">
            <v>0</v>
          </cell>
          <cell r="D203" t="str">
            <v>לעדכן</v>
          </cell>
        </row>
        <row r="204">
          <cell r="A204">
            <v>124149</v>
          </cell>
          <cell r="B204">
            <v>0</v>
          </cell>
          <cell r="C204">
            <v>0</v>
          </cell>
          <cell r="D204" t="str">
            <v>לעדכן</v>
          </cell>
        </row>
        <row r="205">
          <cell r="A205">
            <v>131029</v>
          </cell>
          <cell r="B205">
            <v>0</v>
          </cell>
          <cell r="C205">
            <v>0</v>
          </cell>
          <cell r="D205" t="str">
            <v>לעדכן</v>
          </cell>
        </row>
        <row r="206">
          <cell r="A206">
            <v>131037</v>
          </cell>
          <cell r="B206">
            <v>0</v>
          </cell>
          <cell r="C206">
            <v>0</v>
          </cell>
          <cell r="D206" t="str">
            <v>לעדכן</v>
          </cell>
        </row>
        <row r="207">
          <cell r="A207">
            <v>131052</v>
          </cell>
          <cell r="B207">
            <v>0</v>
          </cell>
          <cell r="C207">
            <v>0</v>
          </cell>
          <cell r="D207" t="str">
            <v>לעדכן</v>
          </cell>
        </row>
        <row r="208">
          <cell r="A208">
            <v>131060</v>
          </cell>
          <cell r="B208">
            <v>0</v>
          </cell>
          <cell r="C208">
            <v>0</v>
          </cell>
          <cell r="D208" t="str">
            <v>לעדכן</v>
          </cell>
        </row>
        <row r="209">
          <cell r="A209">
            <v>131169</v>
          </cell>
          <cell r="B209">
            <v>0</v>
          </cell>
          <cell r="C209">
            <v>0</v>
          </cell>
          <cell r="D209" t="str">
            <v>לעדכן</v>
          </cell>
        </row>
        <row r="210">
          <cell r="A210">
            <v>131185</v>
          </cell>
          <cell r="B210">
            <v>0</v>
          </cell>
          <cell r="C210">
            <v>0</v>
          </cell>
          <cell r="D210" t="str">
            <v>לעדכן</v>
          </cell>
        </row>
        <row r="211">
          <cell r="A211">
            <v>131201</v>
          </cell>
          <cell r="B211">
            <v>0</v>
          </cell>
          <cell r="C211">
            <v>0</v>
          </cell>
          <cell r="D211" t="str">
            <v>לעדכן</v>
          </cell>
        </row>
        <row r="212">
          <cell r="A212">
            <v>131219</v>
          </cell>
          <cell r="B212">
            <v>0</v>
          </cell>
          <cell r="C212">
            <v>0</v>
          </cell>
          <cell r="D212" t="str">
            <v>לעדכן</v>
          </cell>
        </row>
        <row r="213">
          <cell r="A213">
            <v>131227</v>
          </cell>
          <cell r="B213">
            <v>0</v>
          </cell>
          <cell r="C213">
            <v>0</v>
          </cell>
          <cell r="D213" t="str">
            <v>לעדכן</v>
          </cell>
        </row>
        <row r="214">
          <cell r="A214">
            <v>131292</v>
          </cell>
          <cell r="B214">
            <v>0</v>
          </cell>
          <cell r="C214">
            <v>0</v>
          </cell>
          <cell r="D214" t="str">
            <v>לעדכן</v>
          </cell>
        </row>
        <row r="215">
          <cell r="A215">
            <v>131300</v>
          </cell>
          <cell r="B215">
            <v>0</v>
          </cell>
          <cell r="C215">
            <v>0</v>
          </cell>
          <cell r="D215" t="str">
            <v>לעדכן</v>
          </cell>
        </row>
        <row r="216">
          <cell r="A216">
            <v>131318</v>
          </cell>
          <cell r="B216">
            <v>0</v>
          </cell>
          <cell r="C216">
            <v>0</v>
          </cell>
          <cell r="D216" t="str">
            <v>לעדכן</v>
          </cell>
        </row>
        <row r="217">
          <cell r="A217">
            <v>132282</v>
          </cell>
          <cell r="B217">
            <v>0</v>
          </cell>
          <cell r="C217">
            <v>0</v>
          </cell>
          <cell r="D217" t="str">
            <v>לעדכן</v>
          </cell>
        </row>
        <row r="218">
          <cell r="A218">
            <v>132290</v>
          </cell>
          <cell r="B218">
            <v>0</v>
          </cell>
          <cell r="C218">
            <v>0</v>
          </cell>
          <cell r="D218" t="str">
            <v>לעדכן</v>
          </cell>
        </row>
        <row r="219">
          <cell r="A219">
            <v>134676</v>
          </cell>
          <cell r="B219">
            <v>0</v>
          </cell>
          <cell r="C219">
            <v>0</v>
          </cell>
          <cell r="D219" t="str">
            <v>לעדכן</v>
          </cell>
        </row>
        <row r="220">
          <cell r="A220">
            <v>134700</v>
          </cell>
          <cell r="B220">
            <v>0</v>
          </cell>
          <cell r="C220">
            <v>0</v>
          </cell>
          <cell r="D220" t="str">
            <v>לעדכן</v>
          </cell>
        </row>
        <row r="221">
          <cell r="A221">
            <v>136010</v>
          </cell>
          <cell r="B221">
            <v>0</v>
          </cell>
          <cell r="C221">
            <v>0</v>
          </cell>
          <cell r="D221" t="str">
            <v>לעדכן</v>
          </cell>
        </row>
        <row r="222">
          <cell r="A222">
            <v>136259</v>
          </cell>
          <cell r="B222">
            <v>0</v>
          </cell>
          <cell r="C222">
            <v>0</v>
          </cell>
          <cell r="D222" t="str">
            <v>לעדכן</v>
          </cell>
        </row>
        <row r="223">
          <cell r="A223">
            <v>138602</v>
          </cell>
          <cell r="B223">
            <v>0</v>
          </cell>
          <cell r="C223">
            <v>0</v>
          </cell>
          <cell r="D223" t="str">
            <v>לעדכן</v>
          </cell>
        </row>
        <row r="224">
          <cell r="A224">
            <v>142398</v>
          </cell>
          <cell r="B224">
            <v>0</v>
          </cell>
          <cell r="C224">
            <v>0</v>
          </cell>
          <cell r="D224" t="str">
            <v>לעדכן</v>
          </cell>
        </row>
        <row r="225">
          <cell r="A225">
            <v>142406</v>
          </cell>
          <cell r="B225">
            <v>0</v>
          </cell>
          <cell r="C225">
            <v>0</v>
          </cell>
          <cell r="D225" t="str">
            <v>לעדכן</v>
          </cell>
        </row>
        <row r="226">
          <cell r="A226">
            <v>142646</v>
          </cell>
          <cell r="B226">
            <v>0</v>
          </cell>
          <cell r="C226">
            <v>0</v>
          </cell>
          <cell r="D226" t="str">
            <v>לעדכן</v>
          </cell>
        </row>
        <row r="227">
          <cell r="A227">
            <v>142729</v>
          </cell>
          <cell r="B227">
            <v>0</v>
          </cell>
          <cell r="C227">
            <v>0</v>
          </cell>
          <cell r="D227" t="str">
            <v>לעדכן</v>
          </cell>
        </row>
        <row r="228">
          <cell r="A228">
            <v>142935</v>
          </cell>
          <cell r="B228">
            <v>0</v>
          </cell>
          <cell r="C228">
            <v>0</v>
          </cell>
          <cell r="D228" t="str">
            <v>לעדכן</v>
          </cell>
        </row>
        <row r="229">
          <cell r="A229">
            <v>143404</v>
          </cell>
          <cell r="B229">
            <v>0</v>
          </cell>
          <cell r="C229">
            <v>0</v>
          </cell>
          <cell r="D229" t="str">
            <v>לעדכן</v>
          </cell>
        </row>
        <row r="230">
          <cell r="A230">
            <v>143883</v>
          </cell>
          <cell r="B230">
            <v>0</v>
          </cell>
          <cell r="C230">
            <v>0</v>
          </cell>
          <cell r="D230" t="str">
            <v>לעדכן</v>
          </cell>
        </row>
        <row r="231">
          <cell r="A231">
            <v>144287</v>
          </cell>
          <cell r="B231">
            <v>0</v>
          </cell>
          <cell r="C231">
            <v>0</v>
          </cell>
          <cell r="D231" t="str">
            <v>לעדכן</v>
          </cell>
        </row>
        <row r="232">
          <cell r="A232">
            <v>145466</v>
          </cell>
          <cell r="B232">
            <v>0</v>
          </cell>
          <cell r="C232">
            <v>0</v>
          </cell>
          <cell r="D232" t="str">
            <v>לעדכן</v>
          </cell>
        </row>
        <row r="233">
          <cell r="A233">
            <v>148171</v>
          </cell>
          <cell r="B233">
            <v>0</v>
          </cell>
          <cell r="C233">
            <v>0</v>
          </cell>
          <cell r="D233" t="str">
            <v>לעדכן</v>
          </cell>
        </row>
        <row r="234">
          <cell r="A234">
            <v>148254</v>
          </cell>
          <cell r="B234">
            <v>0</v>
          </cell>
          <cell r="C234">
            <v>0</v>
          </cell>
          <cell r="D234" t="str">
            <v>לעדכן</v>
          </cell>
        </row>
        <row r="235">
          <cell r="A235">
            <v>148262</v>
          </cell>
          <cell r="B235">
            <v>0</v>
          </cell>
          <cell r="C235">
            <v>0</v>
          </cell>
          <cell r="D235" t="str">
            <v>לעדכן</v>
          </cell>
        </row>
        <row r="236">
          <cell r="A236">
            <v>148270</v>
          </cell>
          <cell r="B236">
            <v>0</v>
          </cell>
          <cell r="C236">
            <v>0</v>
          </cell>
          <cell r="D236" t="str">
            <v>לעדכן</v>
          </cell>
        </row>
        <row r="237">
          <cell r="A237">
            <v>148288</v>
          </cell>
          <cell r="B237">
            <v>0</v>
          </cell>
          <cell r="C237">
            <v>0</v>
          </cell>
          <cell r="D237" t="str">
            <v>לעדכן</v>
          </cell>
        </row>
        <row r="238">
          <cell r="A238">
            <v>160135</v>
          </cell>
          <cell r="B238">
            <v>0</v>
          </cell>
          <cell r="C238">
            <v>0</v>
          </cell>
          <cell r="D238" t="str">
            <v>לעדכן</v>
          </cell>
        </row>
        <row r="239">
          <cell r="A239">
            <v>160192</v>
          </cell>
          <cell r="B239">
            <v>0</v>
          </cell>
          <cell r="C239">
            <v>0</v>
          </cell>
          <cell r="D239" t="str">
            <v>לעדכן</v>
          </cell>
        </row>
        <row r="240">
          <cell r="A240">
            <v>160283</v>
          </cell>
          <cell r="B240">
            <v>0</v>
          </cell>
          <cell r="C240">
            <v>0</v>
          </cell>
          <cell r="D240" t="str">
            <v>לעדכן</v>
          </cell>
        </row>
        <row r="241">
          <cell r="A241">
            <v>160317</v>
          </cell>
          <cell r="B241">
            <v>0</v>
          </cell>
          <cell r="C241">
            <v>0</v>
          </cell>
          <cell r="D241" t="str">
            <v>לעדכן</v>
          </cell>
        </row>
        <row r="242">
          <cell r="A242">
            <v>160341</v>
          </cell>
          <cell r="B242">
            <v>0</v>
          </cell>
          <cell r="C242">
            <v>0</v>
          </cell>
          <cell r="D242" t="str">
            <v>לעדכן</v>
          </cell>
        </row>
        <row r="243">
          <cell r="A243">
            <v>160382</v>
          </cell>
          <cell r="B243">
            <v>0</v>
          </cell>
          <cell r="C243">
            <v>0</v>
          </cell>
          <cell r="D243" t="str">
            <v>לעדכן</v>
          </cell>
        </row>
        <row r="244">
          <cell r="A244">
            <v>160424</v>
          </cell>
          <cell r="B244">
            <v>0</v>
          </cell>
          <cell r="C244">
            <v>0</v>
          </cell>
          <cell r="D244" t="str">
            <v>לעדכן</v>
          </cell>
        </row>
        <row r="245">
          <cell r="A245">
            <v>160473</v>
          </cell>
          <cell r="B245">
            <v>0</v>
          </cell>
          <cell r="C245">
            <v>0</v>
          </cell>
          <cell r="D245" t="str">
            <v>לעדכן</v>
          </cell>
        </row>
        <row r="246">
          <cell r="A246">
            <v>160481</v>
          </cell>
          <cell r="B246">
            <v>0</v>
          </cell>
          <cell r="C246">
            <v>0</v>
          </cell>
          <cell r="D246" t="str">
            <v>לעדכן</v>
          </cell>
        </row>
        <row r="247">
          <cell r="A247">
            <v>160499</v>
          </cell>
          <cell r="B247">
            <v>0</v>
          </cell>
          <cell r="C247">
            <v>0</v>
          </cell>
          <cell r="D247" t="str">
            <v>לעדכן</v>
          </cell>
        </row>
        <row r="248">
          <cell r="A248">
            <v>160531</v>
          </cell>
          <cell r="B248">
            <v>0</v>
          </cell>
          <cell r="C248">
            <v>0</v>
          </cell>
          <cell r="D248" t="str">
            <v>לעדכן</v>
          </cell>
        </row>
        <row r="249">
          <cell r="A249">
            <v>160564</v>
          </cell>
          <cell r="B249">
            <v>0</v>
          </cell>
          <cell r="C249">
            <v>0</v>
          </cell>
          <cell r="D249" t="str">
            <v>לעדכן</v>
          </cell>
        </row>
        <row r="250">
          <cell r="A250">
            <v>160614</v>
          </cell>
          <cell r="B250">
            <v>0</v>
          </cell>
          <cell r="C250">
            <v>0</v>
          </cell>
          <cell r="D250" t="str">
            <v>לעדכן</v>
          </cell>
        </row>
        <row r="251">
          <cell r="A251">
            <v>160630</v>
          </cell>
          <cell r="B251">
            <v>0</v>
          </cell>
          <cell r="C251">
            <v>0</v>
          </cell>
          <cell r="D251" t="str">
            <v>לעדכן</v>
          </cell>
        </row>
        <row r="252">
          <cell r="A252">
            <v>160671</v>
          </cell>
          <cell r="B252">
            <v>0</v>
          </cell>
          <cell r="C252">
            <v>0</v>
          </cell>
          <cell r="D252" t="str">
            <v>לעדכן</v>
          </cell>
        </row>
        <row r="253">
          <cell r="A253">
            <v>160697</v>
          </cell>
          <cell r="B253">
            <v>0</v>
          </cell>
          <cell r="C253">
            <v>0</v>
          </cell>
          <cell r="D253" t="str">
            <v>לעדכן</v>
          </cell>
        </row>
        <row r="254">
          <cell r="A254">
            <v>160739</v>
          </cell>
          <cell r="B254">
            <v>0</v>
          </cell>
          <cell r="C254">
            <v>0</v>
          </cell>
          <cell r="D254" t="str">
            <v>לעדכן</v>
          </cell>
        </row>
        <row r="255">
          <cell r="A255">
            <v>162594</v>
          </cell>
          <cell r="B255">
            <v>0</v>
          </cell>
          <cell r="C255">
            <v>0</v>
          </cell>
          <cell r="D255" t="str">
            <v>לעדכן</v>
          </cell>
        </row>
        <row r="256">
          <cell r="A256">
            <v>163022</v>
          </cell>
          <cell r="B256">
            <v>0</v>
          </cell>
          <cell r="C256">
            <v>0</v>
          </cell>
          <cell r="D256" t="str">
            <v>לעדכן</v>
          </cell>
        </row>
        <row r="257">
          <cell r="A257">
            <v>163931</v>
          </cell>
          <cell r="B257">
            <v>0</v>
          </cell>
          <cell r="C257">
            <v>0</v>
          </cell>
          <cell r="D257" t="str">
            <v>לעדכן</v>
          </cell>
        </row>
        <row r="258">
          <cell r="A258">
            <v>164186</v>
          </cell>
          <cell r="B258">
            <v>0</v>
          </cell>
          <cell r="C258">
            <v>0</v>
          </cell>
          <cell r="D258" t="str">
            <v>לעדכן</v>
          </cell>
        </row>
        <row r="259">
          <cell r="A259">
            <v>164673</v>
          </cell>
          <cell r="B259">
            <v>0</v>
          </cell>
          <cell r="C259">
            <v>0</v>
          </cell>
          <cell r="D259" t="str">
            <v>לעדכן</v>
          </cell>
        </row>
        <row r="260">
          <cell r="A260">
            <v>165126</v>
          </cell>
          <cell r="B260">
            <v>0</v>
          </cell>
          <cell r="C260">
            <v>0</v>
          </cell>
          <cell r="D260" t="str">
            <v>לעדכן</v>
          </cell>
        </row>
        <row r="261">
          <cell r="A261">
            <v>165324</v>
          </cell>
          <cell r="B261">
            <v>0</v>
          </cell>
          <cell r="C261">
            <v>0</v>
          </cell>
          <cell r="D261" t="str">
            <v>לעדכן</v>
          </cell>
        </row>
        <row r="262">
          <cell r="A262">
            <v>165605</v>
          </cell>
          <cell r="B262">
            <v>0</v>
          </cell>
          <cell r="C262">
            <v>0</v>
          </cell>
          <cell r="D262" t="str">
            <v>לעדכן</v>
          </cell>
        </row>
        <row r="263">
          <cell r="A263">
            <v>166074</v>
          </cell>
          <cell r="B263">
            <v>0</v>
          </cell>
          <cell r="C263">
            <v>0</v>
          </cell>
          <cell r="D263" t="str">
            <v>לעדכן</v>
          </cell>
        </row>
        <row r="264">
          <cell r="A264">
            <v>166470</v>
          </cell>
          <cell r="B264">
            <v>0</v>
          </cell>
          <cell r="C264">
            <v>0</v>
          </cell>
          <cell r="D264" t="str">
            <v>לעדכן</v>
          </cell>
        </row>
        <row r="265">
          <cell r="A265">
            <v>167015</v>
          </cell>
          <cell r="B265">
            <v>0</v>
          </cell>
          <cell r="C265">
            <v>0</v>
          </cell>
          <cell r="D265" t="str">
            <v>לעדכן</v>
          </cell>
        </row>
        <row r="266">
          <cell r="A266">
            <v>168021</v>
          </cell>
          <cell r="B266">
            <v>0</v>
          </cell>
          <cell r="C266">
            <v>0</v>
          </cell>
          <cell r="D266" t="str">
            <v>לעדכן</v>
          </cell>
        </row>
        <row r="267">
          <cell r="A267">
            <v>168427</v>
          </cell>
          <cell r="B267">
            <v>0</v>
          </cell>
          <cell r="C267">
            <v>0</v>
          </cell>
          <cell r="D267" t="str">
            <v>לעדכן</v>
          </cell>
        </row>
        <row r="268">
          <cell r="A268">
            <v>169680</v>
          </cell>
          <cell r="B268">
            <v>0</v>
          </cell>
          <cell r="C268">
            <v>0</v>
          </cell>
          <cell r="D268" t="str">
            <v>לעדכן</v>
          </cell>
        </row>
        <row r="269">
          <cell r="A269">
            <v>172023</v>
          </cell>
          <cell r="B269">
            <v>0</v>
          </cell>
          <cell r="C269">
            <v>0</v>
          </cell>
          <cell r="D269" t="str">
            <v>לעדכן</v>
          </cell>
        </row>
        <row r="270">
          <cell r="A270">
            <v>172171</v>
          </cell>
          <cell r="B270">
            <v>0</v>
          </cell>
          <cell r="C270">
            <v>0</v>
          </cell>
          <cell r="D270" t="str">
            <v>לעדכן</v>
          </cell>
        </row>
        <row r="271">
          <cell r="A271">
            <v>172189</v>
          </cell>
          <cell r="B271">
            <v>0</v>
          </cell>
          <cell r="C271">
            <v>0</v>
          </cell>
          <cell r="D271" t="str">
            <v>לעדכן</v>
          </cell>
        </row>
        <row r="272">
          <cell r="A272">
            <v>172197</v>
          </cell>
          <cell r="B272">
            <v>0</v>
          </cell>
          <cell r="C272">
            <v>0</v>
          </cell>
          <cell r="D272" t="str">
            <v>לעדכן</v>
          </cell>
        </row>
        <row r="273">
          <cell r="A273">
            <v>172205</v>
          </cell>
          <cell r="B273">
            <v>0</v>
          </cell>
          <cell r="C273">
            <v>0</v>
          </cell>
          <cell r="D273" t="str">
            <v>לעדכן</v>
          </cell>
        </row>
        <row r="274">
          <cell r="A274">
            <v>172395</v>
          </cell>
          <cell r="B274">
            <v>0</v>
          </cell>
          <cell r="C274">
            <v>0</v>
          </cell>
          <cell r="D274" t="str">
            <v>לעדכן</v>
          </cell>
        </row>
        <row r="275">
          <cell r="A275">
            <v>174656</v>
          </cell>
          <cell r="B275">
            <v>0</v>
          </cell>
          <cell r="C275">
            <v>0</v>
          </cell>
          <cell r="D275" t="str">
            <v>לעדכן</v>
          </cell>
        </row>
        <row r="276">
          <cell r="A276">
            <v>174664</v>
          </cell>
          <cell r="B276">
            <v>0</v>
          </cell>
          <cell r="C276">
            <v>0</v>
          </cell>
          <cell r="D276" t="str">
            <v>לעדכן</v>
          </cell>
        </row>
        <row r="277">
          <cell r="A277">
            <v>174680</v>
          </cell>
          <cell r="B277">
            <v>0</v>
          </cell>
          <cell r="C277">
            <v>0</v>
          </cell>
          <cell r="D277" t="str">
            <v>לעדכן</v>
          </cell>
        </row>
        <row r="278">
          <cell r="A278">
            <v>174748</v>
          </cell>
          <cell r="B278">
            <v>0</v>
          </cell>
          <cell r="C278">
            <v>0</v>
          </cell>
          <cell r="D278" t="str">
            <v>לעדכן</v>
          </cell>
        </row>
        <row r="279">
          <cell r="A279">
            <v>176792</v>
          </cell>
          <cell r="B279">
            <v>0</v>
          </cell>
          <cell r="C279">
            <v>0</v>
          </cell>
          <cell r="D279" t="str">
            <v>לעדכן</v>
          </cell>
        </row>
        <row r="280">
          <cell r="A280">
            <v>177071</v>
          </cell>
          <cell r="B280">
            <v>0</v>
          </cell>
          <cell r="C280">
            <v>0</v>
          </cell>
          <cell r="D280" t="str">
            <v>לעדכן</v>
          </cell>
        </row>
        <row r="281">
          <cell r="A281">
            <v>178137</v>
          </cell>
          <cell r="B281">
            <v>0</v>
          </cell>
          <cell r="C281">
            <v>0</v>
          </cell>
          <cell r="D281" t="str">
            <v>לעדכן</v>
          </cell>
        </row>
        <row r="282">
          <cell r="A282">
            <v>178145</v>
          </cell>
          <cell r="B282">
            <v>0</v>
          </cell>
          <cell r="C282">
            <v>0</v>
          </cell>
          <cell r="D282" t="str">
            <v>לעדכן</v>
          </cell>
        </row>
        <row r="283">
          <cell r="A283">
            <v>178160</v>
          </cell>
          <cell r="B283">
            <v>0</v>
          </cell>
          <cell r="C283">
            <v>0</v>
          </cell>
          <cell r="D283" t="str">
            <v>לעדכן</v>
          </cell>
        </row>
        <row r="284">
          <cell r="A284">
            <v>179754</v>
          </cell>
          <cell r="B284">
            <v>0</v>
          </cell>
          <cell r="C284">
            <v>0</v>
          </cell>
          <cell r="D284" t="str">
            <v>לעדכן</v>
          </cell>
        </row>
        <row r="285">
          <cell r="A285">
            <v>179770</v>
          </cell>
          <cell r="B285">
            <v>0</v>
          </cell>
          <cell r="C285">
            <v>0</v>
          </cell>
          <cell r="D285" t="str">
            <v>לעדכן</v>
          </cell>
        </row>
        <row r="286">
          <cell r="A286">
            <v>183194</v>
          </cell>
          <cell r="B286">
            <v>0</v>
          </cell>
          <cell r="C286">
            <v>0</v>
          </cell>
          <cell r="D286" t="str">
            <v>לעדכן</v>
          </cell>
        </row>
        <row r="287">
          <cell r="A287">
            <v>183210</v>
          </cell>
          <cell r="B287">
            <v>0</v>
          </cell>
          <cell r="C287">
            <v>0</v>
          </cell>
          <cell r="D287" t="str">
            <v>לעדכן</v>
          </cell>
        </row>
        <row r="288">
          <cell r="A288">
            <v>184010</v>
          </cell>
          <cell r="B288">
            <v>0</v>
          </cell>
          <cell r="C288">
            <v>0</v>
          </cell>
          <cell r="D288" t="str">
            <v>לעדכן</v>
          </cell>
        </row>
        <row r="289">
          <cell r="A289">
            <v>186361</v>
          </cell>
          <cell r="B289">
            <v>0</v>
          </cell>
          <cell r="C289">
            <v>0</v>
          </cell>
          <cell r="D289" t="str">
            <v>לעדכן</v>
          </cell>
        </row>
        <row r="290">
          <cell r="A290">
            <v>186387</v>
          </cell>
          <cell r="B290">
            <v>0</v>
          </cell>
          <cell r="C290">
            <v>0</v>
          </cell>
          <cell r="D290" t="str">
            <v>לעדכן</v>
          </cell>
        </row>
        <row r="291">
          <cell r="A291">
            <v>186395</v>
          </cell>
          <cell r="B291">
            <v>0</v>
          </cell>
          <cell r="C291">
            <v>0</v>
          </cell>
          <cell r="D291" t="str">
            <v>לעדכן</v>
          </cell>
        </row>
        <row r="292">
          <cell r="A292">
            <v>186809</v>
          </cell>
          <cell r="B292">
            <v>0</v>
          </cell>
          <cell r="C292">
            <v>0</v>
          </cell>
          <cell r="D292" t="str">
            <v>לעדכן</v>
          </cell>
        </row>
        <row r="293">
          <cell r="A293">
            <v>187575</v>
          </cell>
          <cell r="B293">
            <v>0</v>
          </cell>
          <cell r="C293">
            <v>0</v>
          </cell>
          <cell r="D293" t="str">
            <v>לעדכן</v>
          </cell>
        </row>
        <row r="294">
          <cell r="A294">
            <v>188060</v>
          </cell>
          <cell r="B294">
            <v>0</v>
          </cell>
          <cell r="C294">
            <v>0</v>
          </cell>
          <cell r="D294" t="str">
            <v>לעדכן</v>
          </cell>
        </row>
        <row r="295">
          <cell r="A295">
            <v>188078</v>
          </cell>
          <cell r="B295">
            <v>0</v>
          </cell>
          <cell r="C295">
            <v>0</v>
          </cell>
          <cell r="D295" t="str">
            <v>לעדכן</v>
          </cell>
        </row>
        <row r="296">
          <cell r="A296">
            <v>188086</v>
          </cell>
          <cell r="B296">
            <v>0</v>
          </cell>
          <cell r="C296">
            <v>0</v>
          </cell>
          <cell r="D296" t="str">
            <v>לעדכן</v>
          </cell>
        </row>
        <row r="297">
          <cell r="A297">
            <v>189043</v>
          </cell>
          <cell r="B297">
            <v>0</v>
          </cell>
          <cell r="C297">
            <v>0</v>
          </cell>
          <cell r="D297" t="str">
            <v>לעדכן</v>
          </cell>
        </row>
        <row r="298">
          <cell r="A298">
            <v>189944</v>
          </cell>
          <cell r="B298">
            <v>0</v>
          </cell>
          <cell r="C298">
            <v>0</v>
          </cell>
          <cell r="D298" t="str">
            <v>לעדכן</v>
          </cell>
        </row>
        <row r="299">
          <cell r="A299">
            <v>191015</v>
          </cell>
          <cell r="B299">
            <v>0</v>
          </cell>
          <cell r="C299">
            <v>0</v>
          </cell>
          <cell r="D299" t="str">
            <v>לעדכן</v>
          </cell>
        </row>
        <row r="300">
          <cell r="A300">
            <v>192849</v>
          </cell>
          <cell r="B300">
            <v>0</v>
          </cell>
          <cell r="C300">
            <v>0</v>
          </cell>
          <cell r="D300" t="str">
            <v>לעדכן</v>
          </cell>
        </row>
        <row r="301">
          <cell r="A301">
            <v>194472</v>
          </cell>
          <cell r="B301">
            <v>0</v>
          </cell>
          <cell r="C301">
            <v>0</v>
          </cell>
          <cell r="D301" t="str">
            <v>לעדכן</v>
          </cell>
        </row>
        <row r="302">
          <cell r="A302">
            <v>199117</v>
          </cell>
          <cell r="B302">
            <v>0</v>
          </cell>
          <cell r="C302">
            <v>0</v>
          </cell>
          <cell r="D302" t="str">
            <v>לעדכן</v>
          </cell>
        </row>
        <row r="303">
          <cell r="A303">
            <v>199539</v>
          </cell>
          <cell r="B303">
            <v>0</v>
          </cell>
          <cell r="C303">
            <v>0</v>
          </cell>
          <cell r="D303" t="str">
            <v>לעדכן</v>
          </cell>
        </row>
        <row r="304">
          <cell r="A304">
            <v>199752</v>
          </cell>
          <cell r="B304">
            <v>0</v>
          </cell>
          <cell r="C304">
            <v>0</v>
          </cell>
          <cell r="D304" t="str">
            <v>לעדכן</v>
          </cell>
        </row>
        <row r="305">
          <cell r="A305">
            <v>210062</v>
          </cell>
          <cell r="B305">
            <v>0</v>
          </cell>
          <cell r="C305">
            <v>0</v>
          </cell>
          <cell r="D305" t="str">
            <v>לעדכן</v>
          </cell>
        </row>
        <row r="306">
          <cell r="A306">
            <v>210104</v>
          </cell>
          <cell r="B306">
            <v>0</v>
          </cell>
          <cell r="C306">
            <v>0</v>
          </cell>
          <cell r="D306" t="str">
            <v>לעדכן</v>
          </cell>
        </row>
        <row r="307">
          <cell r="A307">
            <v>210120</v>
          </cell>
          <cell r="B307">
            <v>0</v>
          </cell>
          <cell r="C307">
            <v>0</v>
          </cell>
          <cell r="D307" t="str">
            <v>לעדכן</v>
          </cell>
        </row>
        <row r="308">
          <cell r="A308">
            <v>210138</v>
          </cell>
          <cell r="B308">
            <v>0</v>
          </cell>
          <cell r="C308">
            <v>0</v>
          </cell>
          <cell r="D308" t="str">
            <v>לעדכן</v>
          </cell>
        </row>
        <row r="309">
          <cell r="A309">
            <v>210260</v>
          </cell>
          <cell r="B309">
            <v>0</v>
          </cell>
          <cell r="C309">
            <v>0</v>
          </cell>
          <cell r="D309" t="str">
            <v>לעדכן</v>
          </cell>
        </row>
        <row r="310">
          <cell r="A310">
            <v>210286</v>
          </cell>
          <cell r="B310">
            <v>0</v>
          </cell>
          <cell r="C310">
            <v>0</v>
          </cell>
          <cell r="D310" t="str">
            <v>לעדכן</v>
          </cell>
        </row>
        <row r="311">
          <cell r="A311">
            <v>210294</v>
          </cell>
          <cell r="B311">
            <v>0</v>
          </cell>
          <cell r="C311">
            <v>0</v>
          </cell>
          <cell r="D311" t="str">
            <v>לעדכן</v>
          </cell>
        </row>
        <row r="312">
          <cell r="A312">
            <v>210302</v>
          </cell>
          <cell r="B312">
            <v>0</v>
          </cell>
          <cell r="C312">
            <v>0</v>
          </cell>
          <cell r="D312" t="str">
            <v>לעדכן</v>
          </cell>
        </row>
        <row r="313">
          <cell r="A313">
            <v>210310</v>
          </cell>
          <cell r="B313">
            <v>0</v>
          </cell>
          <cell r="C313">
            <v>0</v>
          </cell>
          <cell r="D313" t="str">
            <v>לעדכן</v>
          </cell>
        </row>
        <row r="314">
          <cell r="A314">
            <v>210419</v>
          </cell>
          <cell r="B314">
            <v>0</v>
          </cell>
          <cell r="C314">
            <v>0</v>
          </cell>
          <cell r="D314" t="str">
            <v>לעדכן</v>
          </cell>
        </row>
        <row r="315">
          <cell r="A315">
            <v>210427</v>
          </cell>
          <cell r="B315">
            <v>0</v>
          </cell>
          <cell r="C315">
            <v>0</v>
          </cell>
          <cell r="D315" t="str">
            <v>לעדכן</v>
          </cell>
        </row>
        <row r="316">
          <cell r="A316">
            <v>210435</v>
          </cell>
          <cell r="B316">
            <v>0</v>
          </cell>
          <cell r="C316">
            <v>0</v>
          </cell>
          <cell r="D316" t="str">
            <v>לעדכן</v>
          </cell>
        </row>
        <row r="317">
          <cell r="A317">
            <v>210468</v>
          </cell>
          <cell r="B317">
            <v>0</v>
          </cell>
          <cell r="C317">
            <v>0</v>
          </cell>
          <cell r="D317" t="str">
            <v>לעדכן</v>
          </cell>
        </row>
        <row r="318">
          <cell r="A318">
            <v>210484</v>
          </cell>
          <cell r="B318">
            <v>0</v>
          </cell>
          <cell r="C318">
            <v>0</v>
          </cell>
          <cell r="D318" t="str">
            <v>לעדכן</v>
          </cell>
        </row>
        <row r="319">
          <cell r="A319">
            <v>210500</v>
          </cell>
          <cell r="B319">
            <v>0</v>
          </cell>
          <cell r="C319">
            <v>0</v>
          </cell>
          <cell r="D319" t="str">
            <v>לעדכן</v>
          </cell>
        </row>
        <row r="320">
          <cell r="A320">
            <v>210575</v>
          </cell>
          <cell r="B320">
            <v>0</v>
          </cell>
          <cell r="C320">
            <v>0</v>
          </cell>
          <cell r="D320" t="str">
            <v>לעדכן</v>
          </cell>
        </row>
        <row r="321">
          <cell r="A321">
            <v>210641</v>
          </cell>
          <cell r="B321">
            <v>0</v>
          </cell>
          <cell r="C321">
            <v>0</v>
          </cell>
          <cell r="D321" t="str">
            <v>לעדכן</v>
          </cell>
        </row>
        <row r="322">
          <cell r="A322">
            <v>210674</v>
          </cell>
          <cell r="B322">
            <v>0</v>
          </cell>
          <cell r="C322">
            <v>0</v>
          </cell>
          <cell r="D322" t="str">
            <v>לעדכן</v>
          </cell>
        </row>
        <row r="323">
          <cell r="A323">
            <v>210682</v>
          </cell>
          <cell r="B323">
            <v>0</v>
          </cell>
          <cell r="C323">
            <v>0</v>
          </cell>
          <cell r="D323" t="str">
            <v>לעדכן</v>
          </cell>
        </row>
        <row r="324">
          <cell r="A324">
            <v>210690</v>
          </cell>
          <cell r="B324">
            <v>0</v>
          </cell>
          <cell r="C324">
            <v>0</v>
          </cell>
          <cell r="D324" t="str">
            <v>לעדכן</v>
          </cell>
        </row>
        <row r="325">
          <cell r="A325">
            <v>210708</v>
          </cell>
          <cell r="B325">
            <v>0</v>
          </cell>
          <cell r="C325">
            <v>0</v>
          </cell>
          <cell r="D325" t="str">
            <v>לעדכן</v>
          </cell>
        </row>
        <row r="326">
          <cell r="A326">
            <v>210732</v>
          </cell>
          <cell r="B326">
            <v>0</v>
          </cell>
          <cell r="C326">
            <v>0</v>
          </cell>
          <cell r="D326" t="str">
            <v>לעדכן</v>
          </cell>
        </row>
        <row r="327">
          <cell r="A327">
            <v>210781</v>
          </cell>
          <cell r="B327">
            <v>0</v>
          </cell>
          <cell r="C327">
            <v>0</v>
          </cell>
          <cell r="D327" t="str">
            <v>לעדכן</v>
          </cell>
        </row>
        <row r="328">
          <cell r="A328">
            <v>210799</v>
          </cell>
          <cell r="B328">
            <v>0</v>
          </cell>
          <cell r="C328">
            <v>0</v>
          </cell>
          <cell r="D328" t="str">
            <v>לעדכן</v>
          </cell>
        </row>
        <row r="329">
          <cell r="A329">
            <v>210807</v>
          </cell>
          <cell r="B329">
            <v>0</v>
          </cell>
          <cell r="C329">
            <v>0</v>
          </cell>
          <cell r="D329" t="str">
            <v>לעדכן</v>
          </cell>
        </row>
        <row r="330">
          <cell r="A330">
            <v>210815</v>
          </cell>
          <cell r="B330">
            <v>0</v>
          </cell>
          <cell r="C330">
            <v>0</v>
          </cell>
          <cell r="D330" t="str">
            <v>לעדכן</v>
          </cell>
        </row>
        <row r="331">
          <cell r="A331">
            <v>210880</v>
          </cell>
          <cell r="B331">
            <v>0</v>
          </cell>
          <cell r="C331">
            <v>0</v>
          </cell>
          <cell r="D331" t="str">
            <v>לעדכן</v>
          </cell>
        </row>
        <row r="332">
          <cell r="A332">
            <v>210906</v>
          </cell>
          <cell r="B332">
            <v>0</v>
          </cell>
          <cell r="C332">
            <v>0</v>
          </cell>
          <cell r="D332" t="str">
            <v>לעדכן</v>
          </cell>
        </row>
        <row r="333">
          <cell r="A333">
            <v>210914</v>
          </cell>
          <cell r="B333">
            <v>0</v>
          </cell>
          <cell r="C333">
            <v>0</v>
          </cell>
          <cell r="D333" t="str">
            <v>לעדכן</v>
          </cell>
        </row>
        <row r="334">
          <cell r="A334">
            <v>210930</v>
          </cell>
          <cell r="B334">
            <v>0</v>
          </cell>
          <cell r="C334">
            <v>0</v>
          </cell>
          <cell r="D334" t="str">
            <v>לעדכן</v>
          </cell>
        </row>
        <row r="335">
          <cell r="A335">
            <v>210948</v>
          </cell>
          <cell r="B335">
            <v>0</v>
          </cell>
          <cell r="C335">
            <v>0</v>
          </cell>
          <cell r="D335" t="str">
            <v>לעדכן</v>
          </cell>
        </row>
        <row r="336">
          <cell r="A336">
            <v>210955</v>
          </cell>
          <cell r="B336">
            <v>0</v>
          </cell>
          <cell r="C336">
            <v>0</v>
          </cell>
          <cell r="D336" t="str">
            <v>לעדכן</v>
          </cell>
        </row>
        <row r="337">
          <cell r="A337">
            <v>210963</v>
          </cell>
          <cell r="B337">
            <v>0</v>
          </cell>
          <cell r="C337">
            <v>0</v>
          </cell>
          <cell r="D337" t="str">
            <v>לעדכן</v>
          </cell>
        </row>
        <row r="338">
          <cell r="A338">
            <v>210971</v>
          </cell>
          <cell r="B338">
            <v>0</v>
          </cell>
          <cell r="C338">
            <v>0</v>
          </cell>
          <cell r="D338" t="str">
            <v>לעדכן</v>
          </cell>
        </row>
        <row r="339">
          <cell r="A339">
            <v>211029</v>
          </cell>
          <cell r="B339">
            <v>0</v>
          </cell>
          <cell r="C339">
            <v>0</v>
          </cell>
          <cell r="D339" t="str">
            <v>לעדכן</v>
          </cell>
        </row>
        <row r="340">
          <cell r="A340">
            <v>211128</v>
          </cell>
          <cell r="B340">
            <v>0</v>
          </cell>
          <cell r="C340">
            <v>0</v>
          </cell>
          <cell r="D340" t="str">
            <v>לעדכן</v>
          </cell>
        </row>
        <row r="341">
          <cell r="A341">
            <v>211185</v>
          </cell>
          <cell r="B341">
            <v>0</v>
          </cell>
          <cell r="C341">
            <v>0</v>
          </cell>
          <cell r="D341" t="str">
            <v>לעדכן</v>
          </cell>
        </row>
        <row r="342">
          <cell r="A342">
            <v>211193</v>
          </cell>
          <cell r="B342">
            <v>0</v>
          </cell>
          <cell r="C342">
            <v>0</v>
          </cell>
          <cell r="D342" t="str">
            <v>לעדכן</v>
          </cell>
        </row>
        <row r="343">
          <cell r="A343">
            <v>211276</v>
          </cell>
          <cell r="B343">
            <v>0</v>
          </cell>
          <cell r="C343">
            <v>0</v>
          </cell>
          <cell r="D343" t="str">
            <v>לעדכן</v>
          </cell>
        </row>
        <row r="344">
          <cell r="A344">
            <v>211326</v>
          </cell>
          <cell r="B344">
            <v>0</v>
          </cell>
          <cell r="C344">
            <v>0</v>
          </cell>
          <cell r="D344" t="str">
            <v>לעדכן</v>
          </cell>
        </row>
        <row r="345">
          <cell r="A345">
            <v>211375</v>
          </cell>
          <cell r="B345">
            <v>0</v>
          </cell>
          <cell r="C345">
            <v>0</v>
          </cell>
          <cell r="D345" t="str">
            <v>לעדכן</v>
          </cell>
        </row>
        <row r="346">
          <cell r="A346">
            <v>211383</v>
          </cell>
          <cell r="B346">
            <v>0</v>
          </cell>
          <cell r="C346">
            <v>0</v>
          </cell>
          <cell r="D346" t="str">
            <v>לעדכן</v>
          </cell>
        </row>
        <row r="347">
          <cell r="A347">
            <v>211441</v>
          </cell>
          <cell r="B347">
            <v>0</v>
          </cell>
          <cell r="C347">
            <v>0</v>
          </cell>
          <cell r="D347" t="str">
            <v>לעדכן</v>
          </cell>
        </row>
        <row r="348">
          <cell r="A348">
            <v>211458</v>
          </cell>
          <cell r="B348">
            <v>0</v>
          </cell>
          <cell r="C348">
            <v>0</v>
          </cell>
          <cell r="D348" t="str">
            <v>לעדכן</v>
          </cell>
        </row>
        <row r="349">
          <cell r="A349">
            <v>211466</v>
          </cell>
          <cell r="B349">
            <v>0</v>
          </cell>
          <cell r="C349">
            <v>0</v>
          </cell>
          <cell r="D349" t="str">
            <v>לעדכן</v>
          </cell>
        </row>
        <row r="350">
          <cell r="A350">
            <v>211474</v>
          </cell>
          <cell r="B350">
            <v>0</v>
          </cell>
          <cell r="C350">
            <v>0</v>
          </cell>
          <cell r="D350" t="str">
            <v>לעדכן</v>
          </cell>
        </row>
        <row r="351">
          <cell r="A351">
            <v>211490</v>
          </cell>
          <cell r="B351">
            <v>0</v>
          </cell>
          <cell r="C351">
            <v>0</v>
          </cell>
          <cell r="D351" t="str">
            <v>לעדכן</v>
          </cell>
        </row>
        <row r="352">
          <cell r="A352">
            <v>211516</v>
          </cell>
          <cell r="B352">
            <v>0</v>
          </cell>
          <cell r="C352">
            <v>0</v>
          </cell>
          <cell r="D352" t="str">
            <v>לעדכן</v>
          </cell>
        </row>
        <row r="353">
          <cell r="A353">
            <v>211532</v>
          </cell>
          <cell r="B353">
            <v>0</v>
          </cell>
          <cell r="C353">
            <v>0</v>
          </cell>
          <cell r="D353" t="str">
            <v>לעדכן</v>
          </cell>
        </row>
        <row r="354">
          <cell r="A354">
            <v>211623</v>
          </cell>
          <cell r="B354">
            <v>0</v>
          </cell>
          <cell r="C354">
            <v>0</v>
          </cell>
          <cell r="D354" t="str">
            <v>לעדכן</v>
          </cell>
        </row>
        <row r="355">
          <cell r="A355">
            <v>211631</v>
          </cell>
          <cell r="B355">
            <v>0</v>
          </cell>
          <cell r="C355">
            <v>0</v>
          </cell>
          <cell r="D355" t="str">
            <v>לעדכן</v>
          </cell>
        </row>
        <row r="356">
          <cell r="A356">
            <v>211714</v>
          </cell>
          <cell r="B356">
            <v>0</v>
          </cell>
          <cell r="C356">
            <v>0</v>
          </cell>
          <cell r="D356" t="str">
            <v>לעדכן</v>
          </cell>
        </row>
        <row r="357">
          <cell r="A357">
            <v>211755</v>
          </cell>
          <cell r="B357">
            <v>0</v>
          </cell>
          <cell r="C357">
            <v>0</v>
          </cell>
          <cell r="D357" t="str">
            <v>לעדכן</v>
          </cell>
        </row>
        <row r="358">
          <cell r="A358">
            <v>211797</v>
          </cell>
          <cell r="B358">
            <v>0</v>
          </cell>
          <cell r="C358">
            <v>0</v>
          </cell>
          <cell r="D358" t="str">
            <v>לעדכן</v>
          </cell>
        </row>
        <row r="359">
          <cell r="A359">
            <v>211813</v>
          </cell>
          <cell r="B359">
            <v>0</v>
          </cell>
          <cell r="C359">
            <v>0</v>
          </cell>
          <cell r="D359" t="str">
            <v>לעדכן</v>
          </cell>
        </row>
        <row r="360">
          <cell r="A360">
            <v>211821</v>
          </cell>
          <cell r="B360">
            <v>0</v>
          </cell>
          <cell r="C360">
            <v>0</v>
          </cell>
          <cell r="D360" t="str">
            <v>לעדכן</v>
          </cell>
        </row>
        <row r="361">
          <cell r="A361">
            <v>211847</v>
          </cell>
          <cell r="B361">
            <v>0</v>
          </cell>
          <cell r="C361">
            <v>0</v>
          </cell>
          <cell r="D361" t="str">
            <v>לעדכן</v>
          </cell>
        </row>
        <row r="362">
          <cell r="A362">
            <v>211854</v>
          </cell>
          <cell r="B362">
            <v>0</v>
          </cell>
          <cell r="C362">
            <v>0</v>
          </cell>
          <cell r="D362" t="str">
            <v>לעדכן</v>
          </cell>
        </row>
        <row r="363">
          <cell r="A363">
            <v>211904</v>
          </cell>
          <cell r="B363">
            <v>0</v>
          </cell>
          <cell r="C363">
            <v>0</v>
          </cell>
          <cell r="D363" t="str">
            <v>לעדכן</v>
          </cell>
        </row>
        <row r="364">
          <cell r="A364">
            <v>211912</v>
          </cell>
          <cell r="B364">
            <v>0</v>
          </cell>
          <cell r="C364">
            <v>0</v>
          </cell>
          <cell r="D364" t="str">
            <v>לעדכן</v>
          </cell>
        </row>
        <row r="365">
          <cell r="A365">
            <v>211946</v>
          </cell>
          <cell r="B365">
            <v>0</v>
          </cell>
          <cell r="C365">
            <v>0</v>
          </cell>
          <cell r="D365" t="str">
            <v>לעדכן</v>
          </cell>
        </row>
        <row r="366">
          <cell r="A366">
            <v>211953</v>
          </cell>
          <cell r="B366">
            <v>0</v>
          </cell>
          <cell r="C366">
            <v>0</v>
          </cell>
          <cell r="D366" t="str">
            <v>לעדכן</v>
          </cell>
        </row>
        <row r="367">
          <cell r="A367">
            <v>211961</v>
          </cell>
          <cell r="B367">
            <v>0</v>
          </cell>
          <cell r="C367">
            <v>0</v>
          </cell>
          <cell r="D367" t="str">
            <v>לעדכן</v>
          </cell>
        </row>
        <row r="368">
          <cell r="A368">
            <v>212001</v>
          </cell>
          <cell r="B368">
            <v>0</v>
          </cell>
          <cell r="C368">
            <v>0</v>
          </cell>
          <cell r="D368" t="str">
            <v>לעדכן</v>
          </cell>
        </row>
        <row r="369">
          <cell r="A369">
            <v>212019</v>
          </cell>
          <cell r="B369">
            <v>0</v>
          </cell>
          <cell r="C369">
            <v>0</v>
          </cell>
          <cell r="D369" t="str">
            <v>לעדכן</v>
          </cell>
        </row>
        <row r="370">
          <cell r="A370">
            <v>212043</v>
          </cell>
          <cell r="B370">
            <v>0</v>
          </cell>
          <cell r="C370">
            <v>0</v>
          </cell>
          <cell r="D370" t="str">
            <v>לעדכן</v>
          </cell>
        </row>
        <row r="371">
          <cell r="A371">
            <v>212068</v>
          </cell>
          <cell r="B371">
            <v>0</v>
          </cell>
          <cell r="C371">
            <v>0</v>
          </cell>
          <cell r="D371" t="str">
            <v>לעדכן</v>
          </cell>
        </row>
        <row r="372">
          <cell r="A372">
            <v>212084</v>
          </cell>
          <cell r="B372">
            <v>0</v>
          </cell>
          <cell r="C372">
            <v>0</v>
          </cell>
          <cell r="D372" t="str">
            <v>לעדכן</v>
          </cell>
        </row>
        <row r="373">
          <cell r="A373">
            <v>212092</v>
          </cell>
          <cell r="B373">
            <v>0</v>
          </cell>
          <cell r="C373">
            <v>0</v>
          </cell>
          <cell r="D373" t="str">
            <v>לעדכן</v>
          </cell>
        </row>
        <row r="374">
          <cell r="A374">
            <v>212100</v>
          </cell>
          <cell r="B374">
            <v>0</v>
          </cell>
          <cell r="C374">
            <v>0</v>
          </cell>
          <cell r="D374" t="str">
            <v>לעדכן</v>
          </cell>
        </row>
        <row r="375">
          <cell r="A375">
            <v>212118</v>
          </cell>
          <cell r="B375">
            <v>0</v>
          </cell>
          <cell r="C375">
            <v>0</v>
          </cell>
          <cell r="D375" t="str">
            <v>לעדכן</v>
          </cell>
        </row>
        <row r="376">
          <cell r="A376">
            <v>212126</v>
          </cell>
          <cell r="B376">
            <v>0</v>
          </cell>
          <cell r="C376">
            <v>0</v>
          </cell>
          <cell r="D376" t="str">
            <v>לעדכן</v>
          </cell>
        </row>
        <row r="377">
          <cell r="A377">
            <v>212142</v>
          </cell>
          <cell r="B377">
            <v>0</v>
          </cell>
          <cell r="C377">
            <v>0</v>
          </cell>
          <cell r="D377" t="str">
            <v>לעדכן</v>
          </cell>
        </row>
        <row r="378">
          <cell r="A378">
            <v>212159</v>
          </cell>
          <cell r="B378">
            <v>0</v>
          </cell>
          <cell r="C378">
            <v>0</v>
          </cell>
          <cell r="D378" t="str">
            <v>לעדכן</v>
          </cell>
        </row>
        <row r="379">
          <cell r="A379">
            <v>212167</v>
          </cell>
          <cell r="B379">
            <v>0</v>
          </cell>
          <cell r="C379">
            <v>0</v>
          </cell>
          <cell r="D379" t="str">
            <v>לעדכן</v>
          </cell>
        </row>
        <row r="380">
          <cell r="A380">
            <v>212217</v>
          </cell>
          <cell r="B380">
            <v>0</v>
          </cell>
          <cell r="C380">
            <v>0</v>
          </cell>
          <cell r="D380" t="str">
            <v>לעדכן</v>
          </cell>
        </row>
        <row r="381">
          <cell r="A381">
            <v>212274</v>
          </cell>
          <cell r="B381">
            <v>0</v>
          </cell>
          <cell r="C381">
            <v>0</v>
          </cell>
          <cell r="D381" t="str">
            <v>לעדכן</v>
          </cell>
        </row>
        <row r="382">
          <cell r="A382">
            <v>212290</v>
          </cell>
          <cell r="B382">
            <v>0</v>
          </cell>
          <cell r="C382">
            <v>0</v>
          </cell>
          <cell r="D382" t="str">
            <v>לעדכן</v>
          </cell>
        </row>
        <row r="383">
          <cell r="A383">
            <v>212357</v>
          </cell>
          <cell r="B383">
            <v>0</v>
          </cell>
          <cell r="C383">
            <v>0</v>
          </cell>
          <cell r="D383" t="str">
            <v>לעדכן</v>
          </cell>
        </row>
        <row r="384">
          <cell r="A384">
            <v>212365</v>
          </cell>
          <cell r="B384">
            <v>0</v>
          </cell>
          <cell r="C384">
            <v>0</v>
          </cell>
          <cell r="D384" t="str">
            <v>לעדכן</v>
          </cell>
        </row>
        <row r="385">
          <cell r="A385">
            <v>212415</v>
          </cell>
          <cell r="B385">
            <v>0</v>
          </cell>
          <cell r="C385">
            <v>0</v>
          </cell>
          <cell r="D385" t="str">
            <v>לעדכן</v>
          </cell>
        </row>
        <row r="386">
          <cell r="A386">
            <v>212464</v>
          </cell>
          <cell r="B386">
            <v>0</v>
          </cell>
          <cell r="C386">
            <v>0</v>
          </cell>
          <cell r="D386" t="str">
            <v>לעדכן</v>
          </cell>
        </row>
        <row r="387">
          <cell r="A387">
            <v>212480</v>
          </cell>
          <cell r="B387">
            <v>0</v>
          </cell>
          <cell r="C387">
            <v>0</v>
          </cell>
          <cell r="D387" t="str">
            <v>לעדכן</v>
          </cell>
        </row>
        <row r="388">
          <cell r="A388">
            <v>212506</v>
          </cell>
          <cell r="B388">
            <v>0</v>
          </cell>
          <cell r="C388">
            <v>0</v>
          </cell>
          <cell r="D388" t="str">
            <v>לעדכן</v>
          </cell>
        </row>
        <row r="389">
          <cell r="A389">
            <v>212522</v>
          </cell>
          <cell r="B389">
            <v>0</v>
          </cell>
          <cell r="C389">
            <v>0</v>
          </cell>
          <cell r="D389" t="str">
            <v>לעדכן</v>
          </cell>
        </row>
        <row r="390">
          <cell r="A390">
            <v>212530</v>
          </cell>
          <cell r="B390">
            <v>0</v>
          </cell>
          <cell r="C390">
            <v>0</v>
          </cell>
          <cell r="D390" t="str">
            <v>לעדכן</v>
          </cell>
        </row>
        <row r="391">
          <cell r="A391">
            <v>212589</v>
          </cell>
          <cell r="B391">
            <v>0</v>
          </cell>
          <cell r="C391">
            <v>0</v>
          </cell>
          <cell r="D391" t="str">
            <v>לעדכן</v>
          </cell>
        </row>
        <row r="392">
          <cell r="A392">
            <v>212688</v>
          </cell>
          <cell r="B392">
            <v>0</v>
          </cell>
          <cell r="C392">
            <v>0</v>
          </cell>
          <cell r="D392" t="str">
            <v>לעדכן</v>
          </cell>
        </row>
        <row r="393">
          <cell r="A393">
            <v>212746</v>
          </cell>
          <cell r="B393">
            <v>0</v>
          </cell>
          <cell r="C393">
            <v>0</v>
          </cell>
          <cell r="D393" t="str">
            <v>לעדכן</v>
          </cell>
        </row>
        <row r="394">
          <cell r="A394">
            <v>212753</v>
          </cell>
          <cell r="B394">
            <v>0</v>
          </cell>
          <cell r="C394">
            <v>0</v>
          </cell>
          <cell r="D394" t="str">
            <v>לעדכן</v>
          </cell>
        </row>
        <row r="395">
          <cell r="A395">
            <v>212761</v>
          </cell>
          <cell r="B395">
            <v>0</v>
          </cell>
          <cell r="C395">
            <v>0</v>
          </cell>
          <cell r="D395" t="str">
            <v>לעדכן</v>
          </cell>
        </row>
        <row r="396">
          <cell r="A396">
            <v>212795</v>
          </cell>
          <cell r="B396">
            <v>0</v>
          </cell>
          <cell r="C396">
            <v>0</v>
          </cell>
          <cell r="D396" t="str">
            <v>לעדכן</v>
          </cell>
        </row>
        <row r="397">
          <cell r="A397">
            <v>212811</v>
          </cell>
          <cell r="B397">
            <v>0</v>
          </cell>
          <cell r="C397">
            <v>0</v>
          </cell>
          <cell r="D397" t="str">
            <v>לעדכן</v>
          </cell>
        </row>
        <row r="398">
          <cell r="A398">
            <v>212902</v>
          </cell>
          <cell r="B398">
            <v>0</v>
          </cell>
          <cell r="C398">
            <v>0</v>
          </cell>
          <cell r="D398" t="str">
            <v>לעדכן</v>
          </cell>
        </row>
        <row r="399">
          <cell r="A399">
            <v>212936</v>
          </cell>
          <cell r="B399">
            <v>0</v>
          </cell>
          <cell r="C399">
            <v>0</v>
          </cell>
          <cell r="D399" t="str">
            <v>לעדכן</v>
          </cell>
        </row>
        <row r="400">
          <cell r="A400">
            <v>212969</v>
          </cell>
          <cell r="B400">
            <v>0</v>
          </cell>
          <cell r="C400">
            <v>0</v>
          </cell>
          <cell r="D400" t="str">
            <v>לעדכן</v>
          </cell>
        </row>
        <row r="401">
          <cell r="A401">
            <v>212985</v>
          </cell>
          <cell r="B401">
            <v>0</v>
          </cell>
          <cell r="C401">
            <v>0</v>
          </cell>
          <cell r="D401" t="str">
            <v>לעדכן</v>
          </cell>
        </row>
        <row r="402">
          <cell r="A402">
            <v>213090</v>
          </cell>
          <cell r="B402">
            <v>0</v>
          </cell>
          <cell r="C402">
            <v>0</v>
          </cell>
          <cell r="D402" t="str">
            <v>לעדכן</v>
          </cell>
        </row>
        <row r="403">
          <cell r="A403">
            <v>213108</v>
          </cell>
          <cell r="B403">
            <v>0</v>
          </cell>
          <cell r="C403">
            <v>0</v>
          </cell>
          <cell r="D403" t="str">
            <v>לעדכן</v>
          </cell>
        </row>
        <row r="404">
          <cell r="A404">
            <v>213124</v>
          </cell>
          <cell r="B404">
            <v>0</v>
          </cell>
          <cell r="C404">
            <v>0</v>
          </cell>
          <cell r="D404" t="str">
            <v>לעדכן</v>
          </cell>
        </row>
        <row r="405">
          <cell r="A405">
            <v>213132</v>
          </cell>
          <cell r="B405">
            <v>0</v>
          </cell>
          <cell r="C405">
            <v>0</v>
          </cell>
          <cell r="D405" t="str">
            <v>לעדכן</v>
          </cell>
        </row>
        <row r="406">
          <cell r="A406">
            <v>213157</v>
          </cell>
          <cell r="B406">
            <v>0</v>
          </cell>
          <cell r="C406">
            <v>0</v>
          </cell>
          <cell r="D406" t="str">
            <v>לעדכן</v>
          </cell>
        </row>
        <row r="407">
          <cell r="A407">
            <v>213165</v>
          </cell>
          <cell r="B407">
            <v>0</v>
          </cell>
          <cell r="C407">
            <v>0</v>
          </cell>
          <cell r="D407" t="str">
            <v>לעדכן</v>
          </cell>
        </row>
        <row r="408">
          <cell r="A408">
            <v>213181</v>
          </cell>
          <cell r="B408">
            <v>0</v>
          </cell>
          <cell r="C408">
            <v>0</v>
          </cell>
          <cell r="D408" t="str">
            <v>לעדכן</v>
          </cell>
        </row>
        <row r="409">
          <cell r="A409">
            <v>213223</v>
          </cell>
          <cell r="B409">
            <v>0</v>
          </cell>
          <cell r="C409">
            <v>0</v>
          </cell>
          <cell r="D409" t="str">
            <v>לעדכן</v>
          </cell>
        </row>
        <row r="410">
          <cell r="A410">
            <v>213231</v>
          </cell>
          <cell r="B410">
            <v>0</v>
          </cell>
          <cell r="C410">
            <v>0</v>
          </cell>
          <cell r="D410" t="str">
            <v>לעדכן</v>
          </cell>
        </row>
        <row r="411">
          <cell r="A411">
            <v>213249</v>
          </cell>
          <cell r="B411">
            <v>0</v>
          </cell>
          <cell r="C411">
            <v>0</v>
          </cell>
          <cell r="D411" t="str">
            <v>לעדכן</v>
          </cell>
        </row>
        <row r="412">
          <cell r="A412">
            <v>213272</v>
          </cell>
          <cell r="B412">
            <v>0</v>
          </cell>
          <cell r="C412">
            <v>0</v>
          </cell>
          <cell r="D412" t="str">
            <v>לעדכן</v>
          </cell>
        </row>
        <row r="413">
          <cell r="A413">
            <v>213280</v>
          </cell>
          <cell r="B413">
            <v>0</v>
          </cell>
          <cell r="C413">
            <v>0</v>
          </cell>
          <cell r="D413" t="str">
            <v>לעדכן</v>
          </cell>
        </row>
        <row r="414">
          <cell r="A414">
            <v>213306</v>
          </cell>
          <cell r="B414">
            <v>0</v>
          </cell>
          <cell r="C414">
            <v>0</v>
          </cell>
          <cell r="D414" t="str">
            <v>לעדכן</v>
          </cell>
        </row>
        <row r="415">
          <cell r="A415">
            <v>213330</v>
          </cell>
          <cell r="B415">
            <v>0</v>
          </cell>
          <cell r="C415">
            <v>0</v>
          </cell>
          <cell r="D415" t="str">
            <v>לעדכן</v>
          </cell>
        </row>
        <row r="416">
          <cell r="A416">
            <v>213389</v>
          </cell>
          <cell r="B416">
            <v>0</v>
          </cell>
          <cell r="C416">
            <v>0</v>
          </cell>
          <cell r="D416" t="str">
            <v>לעדכן</v>
          </cell>
        </row>
        <row r="417">
          <cell r="A417">
            <v>213405</v>
          </cell>
          <cell r="B417">
            <v>0</v>
          </cell>
          <cell r="C417">
            <v>0</v>
          </cell>
          <cell r="D417" t="str">
            <v>לעדכן</v>
          </cell>
        </row>
        <row r="418">
          <cell r="A418">
            <v>213413</v>
          </cell>
          <cell r="B418">
            <v>0</v>
          </cell>
          <cell r="C418">
            <v>0</v>
          </cell>
          <cell r="D418" t="str">
            <v>לעדכן</v>
          </cell>
        </row>
        <row r="419">
          <cell r="A419">
            <v>213439</v>
          </cell>
          <cell r="B419">
            <v>0</v>
          </cell>
          <cell r="C419">
            <v>0</v>
          </cell>
          <cell r="D419" t="str">
            <v>לעדכן</v>
          </cell>
        </row>
        <row r="420">
          <cell r="A420">
            <v>213447</v>
          </cell>
          <cell r="B420">
            <v>0</v>
          </cell>
          <cell r="C420">
            <v>0</v>
          </cell>
          <cell r="D420" t="str">
            <v>לעדכן</v>
          </cell>
        </row>
        <row r="421">
          <cell r="A421">
            <v>213504</v>
          </cell>
          <cell r="B421">
            <v>0</v>
          </cell>
          <cell r="C421">
            <v>0</v>
          </cell>
          <cell r="D421" t="str">
            <v>לעדכן</v>
          </cell>
        </row>
        <row r="422">
          <cell r="A422">
            <v>213561</v>
          </cell>
          <cell r="B422">
            <v>0</v>
          </cell>
          <cell r="C422">
            <v>0</v>
          </cell>
          <cell r="D422" t="str">
            <v>לעדכן</v>
          </cell>
        </row>
        <row r="423">
          <cell r="A423">
            <v>213579</v>
          </cell>
          <cell r="B423">
            <v>0</v>
          </cell>
          <cell r="C423">
            <v>0</v>
          </cell>
          <cell r="D423" t="str">
            <v>לעדכן</v>
          </cell>
        </row>
        <row r="424">
          <cell r="A424">
            <v>213595</v>
          </cell>
          <cell r="B424">
            <v>0</v>
          </cell>
          <cell r="C424">
            <v>0</v>
          </cell>
          <cell r="D424" t="str">
            <v>לעדכן</v>
          </cell>
        </row>
        <row r="425">
          <cell r="A425">
            <v>213629</v>
          </cell>
          <cell r="B425">
            <v>0</v>
          </cell>
          <cell r="C425">
            <v>0</v>
          </cell>
          <cell r="D425" t="str">
            <v>לעדכן</v>
          </cell>
        </row>
        <row r="426">
          <cell r="A426">
            <v>213637</v>
          </cell>
          <cell r="B426">
            <v>0</v>
          </cell>
          <cell r="C426">
            <v>0</v>
          </cell>
          <cell r="D426" t="str">
            <v>לעדכן</v>
          </cell>
        </row>
        <row r="427">
          <cell r="A427">
            <v>213660</v>
          </cell>
          <cell r="B427">
            <v>0</v>
          </cell>
          <cell r="C427">
            <v>0</v>
          </cell>
          <cell r="D427" t="str">
            <v>לעדכן</v>
          </cell>
        </row>
        <row r="428">
          <cell r="A428">
            <v>213702</v>
          </cell>
          <cell r="B428">
            <v>0</v>
          </cell>
          <cell r="C428">
            <v>0</v>
          </cell>
          <cell r="D428" t="str">
            <v>לעדכן</v>
          </cell>
        </row>
        <row r="429">
          <cell r="A429">
            <v>213710</v>
          </cell>
          <cell r="B429">
            <v>0</v>
          </cell>
          <cell r="C429">
            <v>0</v>
          </cell>
          <cell r="D429" t="str">
            <v>לעדכן</v>
          </cell>
        </row>
        <row r="430">
          <cell r="A430">
            <v>213736</v>
          </cell>
          <cell r="B430">
            <v>0</v>
          </cell>
          <cell r="C430">
            <v>0</v>
          </cell>
          <cell r="D430" t="str">
            <v>לעדכן</v>
          </cell>
        </row>
        <row r="431">
          <cell r="A431">
            <v>213751</v>
          </cell>
          <cell r="B431">
            <v>0</v>
          </cell>
          <cell r="C431">
            <v>0</v>
          </cell>
          <cell r="D431" t="str">
            <v>לעדכן</v>
          </cell>
        </row>
        <row r="432">
          <cell r="A432">
            <v>213827</v>
          </cell>
          <cell r="B432">
            <v>0</v>
          </cell>
          <cell r="C432">
            <v>0</v>
          </cell>
          <cell r="D432" t="str">
            <v>לעדכן</v>
          </cell>
        </row>
        <row r="433">
          <cell r="A433">
            <v>213843</v>
          </cell>
          <cell r="B433">
            <v>0</v>
          </cell>
          <cell r="C433">
            <v>0</v>
          </cell>
          <cell r="D433" t="str">
            <v>לעדכן</v>
          </cell>
        </row>
        <row r="434">
          <cell r="A434">
            <v>213868</v>
          </cell>
          <cell r="B434">
            <v>0</v>
          </cell>
          <cell r="C434">
            <v>0</v>
          </cell>
          <cell r="D434" t="str">
            <v>לעדכן</v>
          </cell>
        </row>
        <row r="435">
          <cell r="A435">
            <v>213884</v>
          </cell>
          <cell r="B435">
            <v>0</v>
          </cell>
          <cell r="C435">
            <v>0</v>
          </cell>
          <cell r="D435" t="str">
            <v>לעדכן</v>
          </cell>
        </row>
        <row r="436">
          <cell r="A436">
            <v>213892</v>
          </cell>
          <cell r="B436">
            <v>0</v>
          </cell>
          <cell r="C436">
            <v>0</v>
          </cell>
          <cell r="D436" t="str">
            <v>לעדכן</v>
          </cell>
        </row>
        <row r="437">
          <cell r="A437">
            <v>213900</v>
          </cell>
          <cell r="B437">
            <v>0</v>
          </cell>
          <cell r="C437">
            <v>0</v>
          </cell>
          <cell r="D437" t="str">
            <v>לעדכן</v>
          </cell>
        </row>
        <row r="438">
          <cell r="A438">
            <v>213918</v>
          </cell>
          <cell r="B438">
            <v>0</v>
          </cell>
          <cell r="C438">
            <v>0</v>
          </cell>
          <cell r="D438" t="str">
            <v>לעדכן</v>
          </cell>
        </row>
        <row r="439">
          <cell r="A439">
            <v>213926</v>
          </cell>
          <cell r="B439">
            <v>0</v>
          </cell>
          <cell r="C439">
            <v>0</v>
          </cell>
          <cell r="D439" t="str">
            <v>לעדכן</v>
          </cell>
        </row>
        <row r="440">
          <cell r="A440">
            <v>213934</v>
          </cell>
          <cell r="B440">
            <v>0</v>
          </cell>
          <cell r="C440">
            <v>0</v>
          </cell>
          <cell r="D440" t="str">
            <v>לעדכן</v>
          </cell>
        </row>
        <row r="441">
          <cell r="A441">
            <v>213959</v>
          </cell>
          <cell r="B441">
            <v>0</v>
          </cell>
          <cell r="C441">
            <v>0</v>
          </cell>
          <cell r="D441" t="str">
            <v>לעדכן</v>
          </cell>
        </row>
        <row r="442">
          <cell r="A442">
            <v>213991</v>
          </cell>
          <cell r="B442">
            <v>0</v>
          </cell>
          <cell r="C442">
            <v>0</v>
          </cell>
          <cell r="D442" t="str">
            <v>לעדכן</v>
          </cell>
        </row>
        <row r="443">
          <cell r="A443">
            <v>214023</v>
          </cell>
          <cell r="B443">
            <v>0</v>
          </cell>
          <cell r="C443">
            <v>0</v>
          </cell>
          <cell r="D443" t="str">
            <v>לעדכן</v>
          </cell>
        </row>
        <row r="444">
          <cell r="A444">
            <v>214031</v>
          </cell>
          <cell r="B444">
            <v>0</v>
          </cell>
          <cell r="C444">
            <v>0</v>
          </cell>
          <cell r="D444" t="str">
            <v>לעדכן</v>
          </cell>
        </row>
        <row r="445">
          <cell r="A445">
            <v>214049</v>
          </cell>
          <cell r="B445">
            <v>0</v>
          </cell>
          <cell r="C445">
            <v>0</v>
          </cell>
          <cell r="D445" t="str">
            <v>לעדכן</v>
          </cell>
        </row>
        <row r="446">
          <cell r="A446">
            <v>214064</v>
          </cell>
          <cell r="B446">
            <v>0</v>
          </cell>
          <cell r="C446">
            <v>0</v>
          </cell>
          <cell r="D446" t="str">
            <v>לעדכן</v>
          </cell>
        </row>
        <row r="447">
          <cell r="A447">
            <v>214080</v>
          </cell>
          <cell r="B447">
            <v>0</v>
          </cell>
          <cell r="C447">
            <v>0</v>
          </cell>
          <cell r="D447" t="str">
            <v>לעדכן</v>
          </cell>
        </row>
        <row r="448">
          <cell r="A448">
            <v>214114</v>
          </cell>
          <cell r="B448">
            <v>0</v>
          </cell>
          <cell r="C448">
            <v>0</v>
          </cell>
          <cell r="D448" t="str">
            <v>לעדכן</v>
          </cell>
        </row>
        <row r="449">
          <cell r="A449">
            <v>214122</v>
          </cell>
          <cell r="B449">
            <v>0</v>
          </cell>
          <cell r="C449">
            <v>0</v>
          </cell>
          <cell r="D449" t="str">
            <v>לעדכן</v>
          </cell>
        </row>
        <row r="450">
          <cell r="A450">
            <v>214130</v>
          </cell>
          <cell r="B450">
            <v>0</v>
          </cell>
          <cell r="C450">
            <v>0</v>
          </cell>
          <cell r="D450" t="str">
            <v>לעדכן</v>
          </cell>
        </row>
        <row r="451">
          <cell r="A451">
            <v>214148</v>
          </cell>
          <cell r="B451">
            <v>0</v>
          </cell>
          <cell r="C451">
            <v>0</v>
          </cell>
          <cell r="D451" t="str">
            <v>לעדכן</v>
          </cell>
        </row>
        <row r="452">
          <cell r="A452">
            <v>214155</v>
          </cell>
          <cell r="B452">
            <v>0</v>
          </cell>
          <cell r="C452">
            <v>0</v>
          </cell>
          <cell r="D452" t="str">
            <v>לעדכן</v>
          </cell>
        </row>
        <row r="453">
          <cell r="A453">
            <v>214163</v>
          </cell>
          <cell r="B453">
            <v>0</v>
          </cell>
          <cell r="C453">
            <v>0</v>
          </cell>
          <cell r="D453" t="str">
            <v>לעדכן</v>
          </cell>
        </row>
        <row r="454">
          <cell r="A454">
            <v>214171</v>
          </cell>
          <cell r="B454">
            <v>0</v>
          </cell>
          <cell r="C454">
            <v>0</v>
          </cell>
          <cell r="D454" t="str">
            <v>לעדכן</v>
          </cell>
        </row>
        <row r="455">
          <cell r="A455">
            <v>214197</v>
          </cell>
          <cell r="B455">
            <v>0</v>
          </cell>
          <cell r="C455">
            <v>0</v>
          </cell>
          <cell r="D455" t="str">
            <v>לעדכן</v>
          </cell>
        </row>
        <row r="456">
          <cell r="A456">
            <v>214205</v>
          </cell>
          <cell r="B456">
            <v>0</v>
          </cell>
          <cell r="C456">
            <v>0</v>
          </cell>
          <cell r="D456" t="str">
            <v>לעדכן</v>
          </cell>
        </row>
        <row r="457">
          <cell r="A457">
            <v>214213</v>
          </cell>
          <cell r="B457">
            <v>0</v>
          </cell>
          <cell r="C457">
            <v>0</v>
          </cell>
          <cell r="D457" t="str">
            <v>לעדכן</v>
          </cell>
        </row>
        <row r="458">
          <cell r="A458">
            <v>214221</v>
          </cell>
          <cell r="B458">
            <v>0</v>
          </cell>
          <cell r="C458">
            <v>0</v>
          </cell>
          <cell r="D458" t="str">
            <v>לעדכן</v>
          </cell>
        </row>
        <row r="459">
          <cell r="A459">
            <v>214239</v>
          </cell>
          <cell r="B459">
            <v>0</v>
          </cell>
          <cell r="C459">
            <v>0</v>
          </cell>
          <cell r="D459" t="str">
            <v>לעדכן</v>
          </cell>
        </row>
        <row r="460">
          <cell r="A460">
            <v>214247</v>
          </cell>
          <cell r="B460">
            <v>0</v>
          </cell>
          <cell r="C460">
            <v>0</v>
          </cell>
          <cell r="D460" t="str">
            <v>לעדכן</v>
          </cell>
        </row>
        <row r="461">
          <cell r="A461">
            <v>214254</v>
          </cell>
          <cell r="B461">
            <v>0</v>
          </cell>
          <cell r="C461">
            <v>0</v>
          </cell>
          <cell r="D461" t="str">
            <v>לעדכן</v>
          </cell>
        </row>
        <row r="462">
          <cell r="A462">
            <v>214262</v>
          </cell>
          <cell r="B462">
            <v>0</v>
          </cell>
          <cell r="C462">
            <v>0</v>
          </cell>
          <cell r="D462" t="str">
            <v>לעדכן</v>
          </cell>
        </row>
        <row r="463">
          <cell r="A463">
            <v>214270</v>
          </cell>
          <cell r="B463">
            <v>0</v>
          </cell>
          <cell r="C463">
            <v>0</v>
          </cell>
          <cell r="D463" t="str">
            <v>לעדכן</v>
          </cell>
        </row>
        <row r="464">
          <cell r="A464">
            <v>214296</v>
          </cell>
          <cell r="B464">
            <v>0</v>
          </cell>
          <cell r="C464">
            <v>0</v>
          </cell>
          <cell r="D464" t="str">
            <v>לעדכן</v>
          </cell>
        </row>
        <row r="465">
          <cell r="A465">
            <v>214312</v>
          </cell>
          <cell r="B465">
            <v>0</v>
          </cell>
          <cell r="C465">
            <v>0</v>
          </cell>
          <cell r="D465" t="str">
            <v>לעדכן</v>
          </cell>
        </row>
        <row r="466">
          <cell r="A466">
            <v>214353</v>
          </cell>
          <cell r="B466">
            <v>0</v>
          </cell>
          <cell r="C466">
            <v>0</v>
          </cell>
          <cell r="D466" t="str">
            <v>לעדכן</v>
          </cell>
        </row>
        <row r="467">
          <cell r="A467">
            <v>214361</v>
          </cell>
          <cell r="B467">
            <v>0</v>
          </cell>
          <cell r="C467">
            <v>0</v>
          </cell>
          <cell r="D467" t="str">
            <v>לעדכן</v>
          </cell>
        </row>
        <row r="468">
          <cell r="A468">
            <v>214395</v>
          </cell>
          <cell r="B468">
            <v>0</v>
          </cell>
          <cell r="C468">
            <v>0</v>
          </cell>
          <cell r="D468" t="str">
            <v>לעדכן</v>
          </cell>
        </row>
        <row r="469">
          <cell r="A469">
            <v>214403</v>
          </cell>
          <cell r="B469">
            <v>0</v>
          </cell>
          <cell r="C469">
            <v>0</v>
          </cell>
          <cell r="D469" t="str">
            <v>לעדכן</v>
          </cell>
        </row>
        <row r="470">
          <cell r="A470">
            <v>214411</v>
          </cell>
          <cell r="B470">
            <v>0</v>
          </cell>
          <cell r="C470">
            <v>0</v>
          </cell>
          <cell r="D470" t="str">
            <v>לעדכן</v>
          </cell>
        </row>
        <row r="471">
          <cell r="A471">
            <v>214429</v>
          </cell>
          <cell r="B471">
            <v>0</v>
          </cell>
          <cell r="C471">
            <v>0</v>
          </cell>
          <cell r="D471" t="str">
            <v>לעדכן</v>
          </cell>
        </row>
        <row r="472">
          <cell r="A472">
            <v>214437</v>
          </cell>
          <cell r="B472">
            <v>0</v>
          </cell>
          <cell r="C472">
            <v>0</v>
          </cell>
          <cell r="D472" t="str">
            <v>לעדכן</v>
          </cell>
        </row>
        <row r="473">
          <cell r="A473">
            <v>214452</v>
          </cell>
          <cell r="B473">
            <v>0</v>
          </cell>
          <cell r="C473">
            <v>0</v>
          </cell>
          <cell r="D473" t="str">
            <v>לעדכן</v>
          </cell>
        </row>
        <row r="474">
          <cell r="A474">
            <v>214478</v>
          </cell>
          <cell r="B474">
            <v>0</v>
          </cell>
          <cell r="C474">
            <v>0</v>
          </cell>
          <cell r="D474" t="str">
            <v>לעדכן</v>
          </cell>
        </row>
        <row r="475">
          <cell r="A475">
            <v>214494</v>
          </cell>
          <cell r="B475">
            <v>0</v>
          </cell>
          <cell r="C475">
            <v>0</v>
          </cell>
          <cell r="D475" t="str">
            <v>לעדכן</v>
          </cell>
        </row>
        <row r="476">
          <cell r="A476">
            <v>214544</v>
          </cell>
          <cell r="B476">
            <v>0</v>
          </cell>
          <cell r="C476">
            <v>0</v>
          </cell>
          <cell r="D476" t="str">
            <v>לעדכן</v>
          </cell>
        </row>
        <row r="477">
          <cell r="A477">
            <v>214551</v>
          </cell>
          <cell r="B477">
            <v>0</v>
          </cell>
          <cell r="C477">
            <v>0</v>
          </cell>
          <cell r="D477" t="str">
            <v>לעדכן</v>
          </cell>
        </row>
        <row r="478">
          <cell r="A478">
            <v>214569</v>
          </cell>
          <cell r="B478">
            <v>0</v>
          </cell>
          <cell r="C478">
            <v>0</v>
          </cell>
          <cell r="D478" t="str">
            <v>לעדכן</v>
          </cell>
        </row>
        <row r="479">
          <cell r="A479">
            <v>214577</v>
          </cell>
          <cell r="B479">
            <v>0</v>
          </cell>
          <cell r="C479">
            <v>0</v>
          </cell>
          <cell r="D479" t="str">
            <v>לעדכן</v>
          </cell>
        </row>
        <row r="480">
          <cell r="A480">
            <v>214627</v>
          </cell>
          <cell r="B480">
            <v>0</v>
          </cell>
          <cell r="C480">
            <v>0</v>
          </cell>
          <cell r="D480" t="str">
            <v>לעדכן</v>
          </cell>
        </row>
        <row r="481">
          <cell r="A481">
            <v>214635</v>
          </cell>
          <cell r="B481">
            <v>0</v>
          </cell>
          <cell r="C481">
            <v>0</v>
          </cell>
          <cell r="D481" t="str">
            <v>לעדכן</v>
          </cell>
        </row>
        <row r="482">
          <cell r="A482">
            <v>214643</v>
          </cell>
          <cell r="B482">
            <v>0</v>
          </cell>
          <cell r="C482">
            <v>0</v>
          </cell>
          <cell r="D482" t="str">
            <v>לעדכן</v>
          </cell>
        </row>
        <row r="483">
          <cell r="A483">
            <v>214668</v>
          </cell>
          <cell r="B483">
            <v>0</v>
          </cell>
          <cell r="C483">
            <v>0</v>
          </cell>
          <cell r="D483" t="str">
            <v>לעדכן</v>
          </cell>
        </row>
        <row r="484">
          <cell r="A484">
            <v>214684</v>
          </cell>
          <cell r="B484">
            <v>0</v>
          </cell>
          <cell r="C484">
            <v>0</v>
          </cell>
          <cell r="D484" t="str">
            <v>לעדכן</v>
          </cell>
        </row>
        <row r="485">
          <cell r="A485">
            <v>214700</v>
          </cell>
          <cell r="B485">
            <v>0</v>
          </cell>
          <cell r="C485">
            <v>0</v>
          </cell>
          <cell r="D485" t="str">
            <v>לעדכן</v>
          </cell>
        </row>
        <row r="486">
          <cell r="A486">
            <v>214718</v>
          </cell>
          <cell r="B486">
            <v>0</v>
          </cell>
          <cell r="C486">
            <v>0</v>
          </cell>
          <cell r="D486" t="str">
            <v>לעדכן</v>
          </cell>
        </row>
        <row r="487">
          <cell r="A487">
            <v>217018</v>
          </cell>
          <cell r="B487">
            <v>0</v>
          </cell>
          <cell r="C487">
            <v>0</v>
          </cell>
          <cell r="D487" t="str">
            <v>לעדכן</v>
          </cell>
        </row>
        <row r="488">
          <cell r="A488">
            <v>217026</v>
          </cell>
          <cell r="B488">
            <v>0</v>
          </cell>
          <cell r="C488">
            <v>0</v>
          </cell>
          <cell r="D488" t="str">
            <v>לעדכן</v>
          </cell>
        </row>
        <row r="489">
          <cell r="A489">
            <v>217034</v>
          </cell>
          <cell r="B489">
            <v>0</v>
          </cell>
          <cell r="C489">
            <v>0</v>
          </cell>
          <cell r="D489" t="str">
            <v>לעדכן</v>
          </cell>
        </row>
        <row r="490">
          <cell r="A490">
            <v>217042</v>
          </cell>
          <cell r="B490">
            <v>0</v>
          </cell>
          <cell r="C490">
            <v>0</v>
          </cell>
          <cell r="D490" t="str">
            <v>לעדכן</v>
          </cell>
        </row>
        <row r="491">
          <cell r="A491">
            <v>217059</v>
          </cell>
          <cell r="B491">
            <v>0</v>
          </cell>
          <cell r="C491">
            <v>0</v>
          </cell>
          <cell r="D491" t="str">
            <v>לעדכן</v>
          </cell>
        </row>
        <row r="492">
          <cell r="A492">
            <v>217083</v>
          </cell>
          <cell r="B492">
            <v>0</v>
          </cell>
          <cell r="C492">
            <v>0</v>
          </cell>
          <cell r="D492" t="str">
            <v>לעדכן</v>
          </cell>
        </row>
        <row r="493">
          <cell r="A493">
            <v>217109</v>
          </cell>
          <cell r="B493">
            <v>0</v>
          </cell>
          <cell r="C493">
            <v>0</v>
          </cell>
          <cell r="D493" t="str">
            <v>לעדכן</v>
          </cell>
        </row>
        <row r="494">
          <cell r="A494">
            <v>217117</v>
          </cell>
          <cell r="B494">
            <v>0</v>
          </cell>
          <cell r="C494">
            <v>0</v>
          </cell>
          <cell r="D494" t="str">
            <v>לעדכן</v>
          </cell>
        </row>
        <row r="495">
          <cell r="A495">
            <v>217133</v>
          </cell>
          <cell r="B495">
            <v>0</v>
          </cell>
          <cell r="C495">
            <v>0</v>
          </cell>
          <cell r="D495" t="str">
            <v>לעדכן</v>
          </cell>
        </row>
        <row r="496">
          <cell r="A496">
            <v>217158</v>
          </cell>
          <cell r="B496">
            <v>0</v>
          </cell>
          <cell r="C496">
            <v>0</v>
          </cell>
          <cell r="D496" t="str">
            <v>לעדכן</v>
          </cell>
        </row>
        <row r="497">
          <cell r="A497">
            <v>217166</v>
          </cell>
          <cell r="B497">
            <v>0</v>
          </cell>
          <cell r="C497">
            <v>0</v>
          </cell>
          <cell r="D497" t="str">
            <v>לעדכן</v>
          </cell>
        </row>
        <row r="498">
          <cell r="A498">
            <v>217174</v>
          </cell>
          <cell r="B498">
            <v>0</v>
          </cell>
          <cell r="C498">
            <v>0</v>
          </cell>
          <cell r="D498" t="str">
            <v>לעדכן</v>
          </cell>
        </row>
        <row r="499">
          <cell r="A499">
            <v>217190</v>
          </cell>
          <cell r="B499">
            <v>0</v>
          </cell>
          <cell r="C499">
            <v>0</v>
          </cell>
          <cell r="D499" t="str">
            <v>לעדכן</v>
          </cell>
        </row>
        <row r="500">
          <cell r="A500">
            <v>217224</v>
          </cell>
          <cell r="B500">
            <v>0</v>
          </cell>
          <cell r="C500">
            <v>0</v>
          </cell>
          <cell r="D500" t="str">
            <v>לעדכן</v>
          </cell>
        </row>
        <row r="501">
          <cell r="A501">
            <v>217232</v>
          </cell>
          <cell r="B501">
            <v>0</v>
          </cell>
          <cell r="C501">
            <v>0</v>
          </cell>
          <cell r="D501" t="str">
            <v>לעדכן</v>
          </cell>
        </row>
        <row r="502">
          <cell r="A502">
            <v>217257</v>
          </cell>
          <cell r="B502">
            <v>0</v>
          </cell>
          <cell r="C502">
            <v>0</v>
          </cell>
          <cell r="D502" t="str">
            <v>לעדכן</v>
          </cell>
        </row>
        <row r="503">
          <cell r="A503">
            <v>217265</v>
          </cell>
          <cell r="B503">
            <v>0</v>
          </cell>
          <cell r="C503">
            <v>0</v>
          </cell>
          <cell r="D503" t="str">
            <v>לעדכן</v>
          </cell>
        </row>
        <row r="504">
          <cell r="A504">
            <v>217273</v>
          </cell>
          <cell r="B504">
            <v>0</v>
          </cell>
          <cell r="C504">
            <v>0</v>
          </cell>
          <cell r="D504" t="str">
            <v>לעדכן</v>
          </cell>
        </row>
        <row r="505">
          <cell r="A505">
            <v>217281</v>
          </cell>
          <cell r="B505">
            <v>0</v>
          </cell>
          <cell r="C505">
            <v>0</v>
          </cell>
          <cell r="D505" t="str">
            <v>לעדכן</v>
          </cell>
        </row>
        <row r="506">
          <cell r="A506">
            <v>217299</v>
          </cell>
          <cell r="B506">
            <v>0</v>
          </cell>
          <cell r="C506">
            <v>0</v>
          </cell>
          <cell r="D506" t="str">
            <v>לעדכן</v>
          </cell>
        </row>
        <row r="507">
          <cell r="A507">
            <v>217315</v>
          </cell>
          <cell r="B507">
            <v>0</v>
          </cell>
          <cell r="C507">
            <v>0</v>
          </cell>
          <cell r="D507" t="str">
            <v>לעדכן</v>
          </cell>
        </row>
        <row r="508">
          <cell r="A508">
            <v>217331</v>
          </cell>
          <cell r="B508">
            <v>0</v>
          </cell>
          <cell r="C508">
            <v>0</v>
          </cell>
          <cell r="D508" t="str">
            <v>לעדכן</v>
          </cell>
        </row>
        <row r="509">
          <cell r="A509">
            <v>217349</v>
          </cell>
          <cell r="B509">
            <v>0</v>
          </cell>
          <cell r="C509">
            <v>0</v>
          </cell>
          <cell r="D509" t="str">
            <v>לעדכן</v>
          </cell>
        </row>
        <row r="510">
          <cell r="A510">
            <v>217356</v>
          </cell>
          <cell r="B510">
            <v>0</v>
          </cell>
          <cell r="C510">
            <v>0</v>
          </cell>
          <cell r="D510" t="str">
            <v>לעדכן</v>
          </cell>
        </row>
        <row r="511">
          <cell r="A511">
            <v>217364</v>
          </cell>
          <cell r="B511">
            <v>0</v>
          </cell>
          <cell r="C511">
            <v>0</v>
          </cell>
          <cell r="D511" t="str">
            <v>לעדכן</v>
          </cell>
        </row>
        <row r="512">
          <cell r="A512">
            <v>217372</v>
          </cell>
          <cell r="B512">
            <v>0</v>
          </cell>
          <cell r="C512">
            <v>0</v>
          </cell>
          <cell r="D512" t="str">
            <v>לעדכן</v>
          </cell>
        </row>
        <row r="513">
          <cell r="A513">
            <v>217380</v>
          </cell>
          <cell r="B513">
            <v>0</v>
          </cell>
          <cell r="C513">
            <v>0</v>
          </cell>
          <cell r="D513" t="str">
            <v>לעדכן</v>
          </cell>
        </row>
        <row r="514">
          <cell r="A514">
            <v>217398</v>
          </cell>
          <cell r="B514">
            <v>0</v>
          </cell>
          <cell r="C514">
            <v>0</v>
          </cell>
          <cell r="D514" t="str">
            <v>לעדכן</v>
          </cell>
        </row>
        <row r="515">
          <cell r="A515">
            <v>217406</v>
          </cell>
          <cell r="B515">
            <v>0</v>
          </cell>
          <cell r="C515">
            <v>0</v>
          </cell>
          <cell r="D515" t="str">
            <v>לעדכן</v>
          </cell>
        </row>
        <row r="516">
          <cell r="A516">
            <v>217422</v>
          </cell>
          <cell r="B516">
            <v>0</v>
          </cell>
          <cell r="C516">
            <v>0</v>
          </cell>
          <cell r="D516" t="str">
            <v>לעדכן</v>
          </cell>
        </row>
        <row r="517">
          <cell r="A517">
            <v>217430</v>
          </cell>
          <cell r="B517">
            <v>0</v>
          </cell>
          <cell r="C517">
            <v>0</v>
          </cell>
          <cell r="D517" t="str">
            <v>לעדכן</v>
          </cell>
        </row>
        <row r="518">
          <cell r="A518">
            <v>217448</v>
          </cell>
          <cell r="B518">
            <v>0</v>
          </cell>
          <cell r="C518">
            <v>0</v>
          </cell>
          <cell r="D518" t="str">
            <v>לעדכן</v>
          </cell>
        </row>
        <row r="519">
          <cell r="A519">
            <v>217463</v>
          </cell>
          <cell r="B519">
            <v>0</v>
          </cell>
          <cell r="C519">
            <v>0</v>
          </cell>
          <cell r="D519" t="str">
            <v>לעדכן</v>
          </cell>
        </row>
        <row r="520">
          <cell r="A520">
            <v>217471</v>
          </cell>
          <cell r="B520">
            <v>0</v>
          </cell>
          <cell r="C520">
            <v>0</v>
          </cell>
          <cell r="D520" t="str">
            <v>לעדכן</v>
          </cell>
        </row>
        <row r="521">
          <cell r="A521">
            <v>217489</v>
          </cell>
          <cell r="B521">
            <v>0</v>
          </cell>
          <cell r="C521">
            <v>0</v>
          </cell>
          <cell r="D521" t="str">
            <v>לעדכן</v>
          </cell>
        </row>
        <row r="522">
          <cell r="A522">
            <v>217505</v>
          </cell>
          <cell r="B522">
            <v>0</v>
          </cell>
          <cell r="C522">
            <v>0</v>
          </cell>
          <cell r="D522" t="str">
            <v>לעדכן</v>
          </cell>
        </row>
        <row r="523">
          <cell r="A523">
            <v>217513</v>
          </cell>
          <cell r="B523">
            <v>0</v>
          </cell>
          <cell r="C523">
            <v>0</v>
          </cell>
          <cell r="D523" t="str">
            <v>לעדכן</v>
          </cell>
        </row>
        <row r="524">
          <cell r="A524">
            <v>217521</v>
          </cell>
          <cell r="B524">
            <v>0</v>
          </cell>
          <cell r="C524">
            <v>0</v>
          </cell>
          <cell r="D524" t="str">
            <v>לעדכן</v>
          </cell>
        </row>
        <row r="525">
          <cell r="A525">
            <v>217547</v>
          </cell>
          <cell r="B525">
            <v>0</v>
          </cell>
          <cell r="C525">
            <v>0</v>
          </cell>
          <cell r="D525" t="str">
            <v>לעדכן</v>
          </cell>
        </row>
        <row r="526">
          <cell r="A526">
            <v>217554</v>
          </cell>
          <cell r="B526">
            <v>0</v>
          </cell>
          <cell r="C526">
            <v>0</v>
          </cell>
          <cell r="D526" t="str">
            <v>לעדכן</v>
          </cell>
        </row>
        <row r="527">
          <cell r="A527">
            <v>217810</v>
          </cell>
          <cell r="B527">
            <v>0</v>
          </cell>
          <cell r="C527">
            <v>0</v>
          </cell>
          <cell r="D527" t="str">
            <v>לעדכן</v>
          </cell>
        </row>
        <row r="528">
          <cell r="A528">
            <v>217828</v>
          </cell>
          <cell r="B528">
            <v>0</v>
          </cell>
          <cell r="C528">
            <v>0</v>
          </cell>
          <cell r="D528" t="str">
            <v>לעדכן</v>
          </cell>
        </row>
        <row r="529">
          <cell r="A529">
            <v>217836</v>
          </cell>
          <cell r="B529">
            <v>0</v>
          </cell>
          <cell r="C529">
            <v>0</v>
          </cell>
          <cell r="D529" t="str">
            <v>לעדכן</v>
          </cell>
        </row>
        <row r="530">
          <cell r="A530">
            <v>217844</v>
          </cell>
          <cell r="B530">
            <v>0</v>
          </cell>
          <cell r="C530">
            <v>0</v>
          </cell>
          <cell r="D530" t="str">
            <v>לעדכן</v>
          </cell>
        </row>
        <row r="531">
          <cell r="A531">
            <v>217851</v>
          </cell>
          <cell r="B531">
            <v>0</v>
          </cell>
          <cell r="C531">
            <v>0</v>
          </cell>
          <cell r="D531" t="str">
            <v>לעדכן</v>
          </cell>
        </row>
        <row r="532">
          <cell r="A532">
            <v>217869</v>
          </cell>
          <cell r="B532">
            <v>0</v>
          </cell>
          <cell r="C532">
            <v>0</v>
          </cell>
          <cell r="D532" t="str">
            <v>לעדכן</v>
          </cell>
        </row>
        <row r="533">
          <cell r="A533">
            <v>218024</v>
          </cell>
          <cell r="B533">
            <v>0</v>
          </cell>
          <cell r="C533">
            <v>0</v>
          </cell>
          <cell r="D533" t="str">
            <v>לעדכן</v>
          </cell>
        </row>
        <row r="534">
          <cell r="A534">
            <v>218057</v>
          </cell>
          <cell r="B534">
            <v>0</v>
          </cell>
          <cell r="C534">
            <v>0</v>
          </cell>
          <cell r="D534" t="str">
            <v>לעדכן</v>
          </cell>
        </row>
        <row r="535">
          <cell r="A535">
            <v>218065</v>
          </cell>
          <cell r="B535">
            <v>0</v>
          </cell>
          <cell r="C535">
            <v>0</v>
          </cell>
          <cell r="D535" t="str">
            <v>לעדכן</v>
          </cell>
        </row>
        <row r="536">
          <cell r="A536">
            <v>218073</v>
          </cell>
          <cell r="B536">
            <v>0</v>
          </cell>
          <cell r="C536">
            <v>0</v>
          </cell>
          <cell r="D536" t="str">
            <v>לעדכן</v>
          </cell>
        </row>
        <row r="537">
          <cell r="A537">
            <v>218081</v>
          </cell>
          <cell r="B537">
            <v>0</v>
          </cell>
          <cell r="C537">
            <v>0</v>
          </cell>
          <cell r="D537" t="str">
            <v>לעדכן</v>
          </cell>
        </row>
        <row r="538">
          <cell r="A538">
            <v>218099</v>
          </cell>
          <cell r="B538">
            <v>0</v>
          </cell>
          <cell r="C538">
            <v>0</v>
          </cell>
          <cell r="D538" t="str">
            <v>לעדכן</v>
          </cell>
        </row>
        <row r="539">
          <cell r="A539">
            <v>218107</v>
          </cell>
          <cell r="B539">
            <v>0</v>
          </cell>
          <cell r="C539">
            <v>0</v>
          </cell>
          <cell r="D539" t="str">
            <v>לעדכן</v>
          </cell>
        </row>
        <row r="540">
          <cell r="A540">
            <v>218115</v>
          </cell>
          <cell r="B540">
            <v>0</v>
          </cell>
          <cell r="C540">
            <v>0</v>
          </cell>
          <cell r="D540" t="str">
            <v>לעדכן</v>
          </cell>
        </row>
        <row r="541">
          <cell r="A541">
            <v>218123</v>
          </cell>
          <cell r="B541">
            <v>0</v>
          </cell>
          <cell r="C541">
            <v>0</v>
          </cell>
          <cell r="D541" t="str">
            <v>לעדכן</v>
          </cell>
        </row>
        <row r="542">
          <cell r="A542">
            <v>218131</v>
          </cell>
          <cell r="B542">
            <v>0</v>
          </cell>
          <cell r="C542">
            <v>0</v>
          </cell>
          <cell r="D542" t="str">
            <v>לעדכן</v>
          </cell>
        </row>
        <row r="543">
          <cell r="A543">
            <v>218149</v>
          </cell>
          <cell r="B543">
            <v>0</v>
          </cell>
          <cell r="C543">
            <v>0</v>
          </cell>
          <cell r="D543" t="str">
            <v>לעדכן</v>
          </cell>
        </row>
        <row r="544">
          <cell r="A544">
            <v>218156</v>
          </cell>
          <cell r="B544">
            <v>0</v>
          </cell>
          <cell r="C544">
            <v>0</v>
          </cell>
          <cell r="D544" t="str">
            <v>לעדכן</v>
          </cell>
        </row>
        <row r="545">
          <cell r="A545">
            <v>218164</v>
          </cell>
          <cell r="B545">
            <v>0</v>
          </cell>
          <cell r="C545">
            <v>0</v>
          </cell>
          <cell r="D545" t="str">
            <v>לעדכן</v>
          </cell>
        </row>
        <row r="546">
          <cell r="A546">
            <v>218172</v>
          </cell>
          <cell r="B546">
            <v>0</v>
          </cell>
          <cell r="C546">
            <v>0</v>
          </cell>
          <cell r="D546" t="str">
            <v>לעדכן</v>
          </cell>
        </row>
        <row r="547">
          <cell r="A547">
            <v>218180</v>
          </cell>
          <cell r="B547">
            <v>0</v>
          </cell>
          <cell r="C547">
            <v>0</v>
          </cell>
          <cell r="D547" t="str">
            <v>לעדכן</v>
          </cell>
        </row>
        <row r="548">
          <cell r="A548">
            <v>218198</v>
          </cell>
          <cell r="B548">
            <v>0</v>
          </cell>
          <cell r="C548">
            <v>0</v>
          </cell>
          <cell r="D548" t="str">
            <v>לעדכן</v>
          </cell>
        </row>
        <row r="549">
          <cell r="A549">
            <v>218206</v>
          </cell>
          <cell r="B549">
            <v>0</v>
          </cell>
          <cell r="C549">
            <v>0</v>
          </cell>
          <cell r="D549" t="str">
            <v>לעדכן</v>
          </cell>
        </row>
        <row r="550">
          <cell r="A550">
            <v>218222</v>
          </cell>
          <cell r="B550">
            <v>0</v>
          </cell>
          <cell r="C550">
            <v>0</v>
          </cell>
          <cell r="D550" t="str">
            <v>לעדכן</v>
          </cell>
        </row>
        <row r="551">
          <cell r="A551">
            <v>218230</v>
          </cell>
          <cell r="B551">
            <v>0</v>
          </cell>
          <cell r="C551">
            <v>0</v>
          </cell>
          <cell r="D551" t="str">
            <v>לעדכן</v>
          </cell>
        </row>
        <row r="552">
          <cell r="A552">
            <v>218248</v>
          </cell>
          <cell r="B552">
            <v>0</v>
          </cell>
          <cell r="C552">
            <v>0</v>
          </cell>
          <cell r="D552" t="str">
            <v>לעדכן</v>
          </cell>
        </row>
        <row r="553">
          <cell r="A553">
            <v>218255</v>
          </cell>
          <cell r="B553">
            <v>0</v>
          </cell>
          <cell r="C553">
            <v>0</v>
          </cell>
          <cell r="D553" t="str">
            <v>לעדכן</v>
          </cell>
        </row>
        <row r="554">
          <cell r="A554">
            <v>218263</v>
          </cell>
          <cell r="B554">
            <v>0</v>
          </cell>
          <cell r="C554">
            <v>0</v>
          </cell>
          <cell r="D554" t="str">
            <v>לעדכן</v>
          </cell>
        </row>
        <row r="555">
          <cell r="A555">
            <v>218271</v>
          </cell>
          <cell r="B555">
            <v>0</v>
          </cell>
          <cell r="C555">
            <v>0</v>
          </cell>
          <cell r="D555" t="str">
            <v>לעדכן</v>
          </cell>
        </row>
        <row r="556">
          <cell r="A556">
            <v>218289</v>
          </cell>
          <cell r="B556">
            <v>0</v>
          </cell>
          <cell r="C556">
            <v>0</v>
          </cell>
          <cell r="D556" t="str">
            <v>לעדכן</v>
          </cell>
        </row>
        <row r="557">
          <cell r="A557">
            <v>218297</v>
          </cell>
          <cell r="B557">
            <v>0</v>
          </cell>
          <cell r="C557">
            <v>0</v>
          </cell>
          <cell r="D557" t="str">
            <v>לעדכן</v>
          </cell>
        </row>
        <row r="558">
          <cell r="A558">
            <v>218305</v>
          </cell>
          <cell r="B558">
            <v>0</v>
          </cell>
          <cell r="C558">
            <v>0</v>
          </cell>
          <cell r="D558" t="str">
            <v>לעדכן</v>
          </cell>
        </row>
        <row r="559">
          <cell r="A559">
            <v>218313</v>
          </cell>
          <cell r="B559">
            <v>0</v>
          </cell>
          <cell r="C559">
            <v>0</v>
          </cell>
          <cell r="D559" t="str">
            <v>לעדכן</v>
          </cell>
        </row>
        <row r="560">
          <cell r="A560">
            <v>218321</v>
          </cell>
          <cell r="B560">
            <v>0</v>
          </cell>
          <cell r="C560">
            <v>0</v>
          </cell>
          <cell r="D560" t="str">
            <v>לעדכן</v>
          </cell>
        </row>
        <row r="561">
          <cell r="A561">
            <v>218339</v>
          </cell>
          <cell r="B561">
            <v>0</v>
          </cell>
          <cell r="C561">
            <v>0</v>
          </cell>
          <cell r="D561" t="str">
            <v>לעדכן</v>
          </cell>
        </row>
        <row r="562">
          <cell r="A562">
            <v>218347</v>
          </cell>
          <cell r="B562">
            <v>0</v>
          </cell>
          <cell r="C562">
            <v>0</v>
          </cell>
          <cell r="D562" t="str">
            <v>לעדכן</v>
          </cell>
        </row>
        <row r="563">
          <cell r="A563">
            <v>218354</v>
          </cell>
          <cell r="B563">
            <v>0</v>
          </cell>
          <cell r="C563">
            <v>0</v>
          </cell>
          <cell r="D563" t="str">
            <v>לעדכן</v>
          </cell>
        </row>
        <row r="564">
          <cell r="A564">
            <v>218362</v>
          </cell>
          <cell r="B564">
            <v>0</v>
          </cell>
          <cell r="C564">
            <v>0</v>
          </cell>
          <cell r="D564" t="str">
            <v>לעדכן</v>
          </cell>
        </row>
        <row r="565">
          <cell r="A565">
            <v>218370</v>
          </cell>
          <cell r="B565">
            <v>0</v>
          </cell>
          <cell r="C565">
            <v>0</v>
          </cell>
          <cell r="D565" t="str">
            <v>לעדכן</v>
          </cell>
        </row>
        <row r="566">
          <cell r="A566">
            <v>218388</v>
          </cell>
          <cell r="B566">
            <v>0</v>
          </cell>
          <cell r="C566">
            <v>0</v>
          </cell>
          <cell r="D566" t="str">
            <v>לעדכן</v>
          </cell>
        </row>
        <row r="567">
          <cell r="A567">
            <v>218404</v>
          </cell>
          <cell r="B567">
            <v>0</v>
          </cell>
          <cell r="C567">
            <v>0</v>
          </cell>
          <cell r="D567" t="str">
            <v>לעדכן</v>
          </cell>
        </row>
        <row r="568">
          <cell r="A568">
            <v>218412</v>
          </cell>
          <cell r="B568">
            <v>0</v>
          </cell>
          <cell r="C568">
            <v>0</v>
          </cell>
          <cell r="D568" t="str">
            <v>לעדכן</v>
          </cell>
        </row>
        <row r="569">
          <cell r="A569">
            <v>218420</v>
          </cell>
          <cell r="B569">
            <v>0</v>
          </cell>
          <cell r="C569">
            <v>0</v>
          </cell>
          <cell r="D569" t="str">
            <v>לעדכן</v>
          </cell>
        </row>
        <row r="570">
          <cell r="A570">
            <v>218438</v>
          </cell>
          <cell r="B570">
            <v>0</v>
          </cell>
          <cell r="C570">
            <v>0</v>
          </cell>
          <cell r="D570" t="str">
            <v>לעדכן</v>
          </cell>
        </row>
        <row r="571">
          <cell r="A571">
            <v>218446</v>
          </cell>
          <cell r="B571">
            <v>0</v>
          </cell>
          <cell r="C571">
            <v>0</v>
          </cell>
          <cell r="D571" t="str">
            <v>לעדכן</v>
          </cell>
        </row>
        <row r="572">
          <cell r="A572">
            <v>218453</v>
          </cell>
          <cell r="B572">
            <v>0</v>
          </cell>
          <cell r="C572">
            <v>0</v>
          </cell>
          <cell r="D572" t="str">
            <v>לעדכן</v>
          </cell>
        </row>
        <row r="573">
          <cell r="A573">
            <v>218461</v>
          </cell>
          <cell r="B573">
            <v>0</v>
          </cell>
          <cell r="C573">
            <v>0</v>
          </cell>
          <cell r="D573" t="str">
            <v>לעדכן</v>
          </cell>
        </row>
        <row r="574">
          <cell r="A574">
            <v>218479</v>
          </cell>
          <cell r="B574">
            <v>0</v>
          </cell>
          <cell r="C574">
            <v>0</v>
          </cell>
          <cell r="D574" t="str">
            <v>לעדכן</v>
          </cell>
        </row>
        <row r="575">
          <cell r="A575">
            <v>218487</v>
          </cell>
          <cell r="B575">
            <v>0</v>
          </cell>
          <cell r="C575">
            <v>0</v>
          </cell>
          <cell r="D575" t="str">
            <v>לעדכן</v>
          </cell>
        </row>
        <row r="576">
          <cell r="A576">
            <v>218495</v>
          </cell>
          <cell r="B576">
            <v>0</v>
          </cell>
          <cell r="C576">
            <v>0</v>
          </cell>
          <cell r="D576" t="str">
            <v>לעדכן</v>
          </cell>
        </row>
        <row r="577">
          <cell r="A577">
            <v>218503</v>
          </cell>
          <cell r="B577">
            <v>0</v>
          </cell>
          <cell r="C577">
            <v>0</v>
          </cell>
          <cell r="D577" t="str">
            <v>לעדכן</v>
          </cell>
        </row>
        <row r="578">
          <cell r="A578">
            <v>218511</v>
          </cell>
          <cell r="B578">
            <v>0</v>
          </cell>
          <cell r="C578">
            <v>0</v>
          </cell>
          <cell r="D578" t="str">
            <v>לעדכן</v>
          </cell>
        </row>
        <row r="579">
          <cell r="A579">
            <v>218529</v>
          </cell>
          <cell r="B579">
            <v>0</v>
          </cell>
          <cell r="C579">
            <v>0</v>
          </cell>
          <cell r="D579" t="str">
            <v>לעדכן</v>
          </cell>
        </row>
        <row r="580">
          <cell r="A580">
            <v>218537</v>
          </cell>
          <cell r="B580">
            <v>0</v>
          </cell>
          <cell r="C580">
            <v>0</v>
          </cell>
          <cell r="D580" t="str">
            <v>לעדכן</v>
          </cell>
        </row>
        <row r="581">
          <cell r="A581">
            <v>218545</v>
          </cell>
          <cell r="B581">
            <v>0</v>
          </cell>
          <cell r="C581">
            <v>0</v>
          </cell>
          <cell r="D581" t="str">
            <v>לעדכן</v>
          </cell>
        </row>
        <row r="582">
          <cell r="A582">
            <v>218552</v>
          </cell>
          <cell r="B582">
            <v>0</v>
          </cell>
          <cell r="C582">
            <v>0</v>
          </cell>
          <cell r="D582" t="str">
            <v>לעדכן</v>
          </cell>
        </row>
        <row r="583">
          <cell r="A583">
            <v>218560</v>
          </cell>
          <cell r="B583">
            <v>0</v>
          </cell>
          <cell r="C583">
            <v>0</v>
          </cell>
          <cell r="D583" t="str">
            <v>לעדכן</v>
          </cell>
        </row>
        <row r="584">
          <cell r="A584">
            <v>218578</v>
          </cell>
          <cell r="B584">
            <v>0</v>
          </cell>
          <cell r="C584">
            <v>0</v>
          </cell>
          <cell r="D584" t="str">
            <v>לעדכן</v>
          </cell>
        </row>
        <row r="585">
          <cell r="A585">
            <v>218586</v>
          </cell>
          <cell r="B585">
            <v>0</v>
          </cell>
          <cell r="C585">
            <v>0</v>
          </cell>
          <cell r="D585" t="str">
            <v>לעדכן</v>
          </cell>
        </row>
        <row r="586">
          <cell r="A586">
            <v>218602</v>
          </cell>
          <cell r="B586">
            <v>0</v>
          </cell>
          <cell r="C586">
            <v>0</v>
          </cell>
          <cell r="D586" t="str">
            <v>לעדכן</v>
          </cell>
        </row>
        <row r="587">
          <cell r="A587">
            <v>218610</v>
          </cell>
          <cell r="B587">
            <v>0</v>
          </cell>
          <cell r="C587">
            <v>0</v>
          </cell>
          <cell r="D587" t="str">
            <v>לעדכן</v>
          </cell>
        </row>
        <row r="588">
          <cell r="A588">
            <v>218651</v>
          </cell>
          <cell r="B588">
            <v>0</v>
          </cell>
          <cell r="C588">
            <v>0</v>
          </cell>
          <cell r="D588" t="str">
            <v>לעדכן</v>
          </cell>
        </row>
        <row r="589">
          <cell r="A589">
            <v>218669</v>
          </cell>
          <cell r="B589">
            <v>0</v>
          </cell>
          <cell r="C589">
            <v>0</v>
          </cell>
          <cell r="D589" t="str">
            <v>לעדכן</v>
          </cell>
        </row>
        <row r="590">
          <cell r="A590">
            <v>218677</v>
          </cell>
          <cell r="B590">
            <v>0</v>
          </cell>
          <cell r="C590">
            <v>0</v>
          </cell>
          <cell r="D590" t="str">
            <v>לעדכן</v>
          </cell>
        </row>
        <row r="591">
          <cell r="A591">
            <v>218685</v>
          </cell>
          <cell r="B591">
            <v>0</v>
          </cell>
          <cell r="C591">
            <v>0</v>
          </cell>
          <cell r="D591" t="str">
            <v>לעדכן</v>
          </cell>
        </row>
        <row r="592">
          <cell r="A592">
            <v>218693</v>
          </cell>
          <cell r="B592">
            <v>0</v>
          </cell>
          <cell r="C592">
            <v>0</v>
          </cell>
          <cell r="D592" t="str">
            <v>לעדכן</v>
          </cell>
        </row>
        <row r="593">
          <cell r="A593">
            <v>218719</v>
          </cell>
          <cell r="B593">
            <v>0</v>
          </cell>
          <cell r="C593">
            <v>0</v>
          </cell>
          <cell r="D593" t="str">
            <v>לעדכן</v>
          </cell>
        </row>
        <row r="594">
          <cell r="A594">
            <v>218735</v>
          </cell>
          <cell r="B594">
            <v>0</v>
          </cell>
          <cell r="C594">
            <v>0</v>
          </cell>
          <cell r="D594" t="str">
            <v>לעדכן</v>
          </cell>
        </row>
        <row r="595">
          <cell r="A595">
            <v>218743</v>
          </cell>
          <cell r="B595">
            <v>0</v>
          </cell>
          <cell r="C595">
            <v>0</v>
          </cell>
          <cell r="D595" t="str">
            <v>לעדכן</v>
          </cell>
        </row>
        <row r="596">
          <cell r="A596">
            <v>218750</v>
          </cell>
          <cell r="B596">
            <v>0</v>
          </cell>
          <cell r="C596">
            <v>0</v>
          </cell>
          <cell r="D596" t="str">
            <v>לעדכן</v>
          </cell>
        </row>
        <row r="597">
          <cell r="A597">
            <v>218768</v>
          </cell>
          <cell r="B597">
            <v>0</v>
          </cell>
          <cell r="C597">
            <v>0</v>
          </cell>
          <cell r="D597" t="str">
            <v>לעדכן</v>
          </cell>
        </row>
        <row r="598">
          <cell r="A598">
            <v>218776</v>
          </cell>
          <cell r="B598">
            <v>0</v>
          </cell>
          <cell r="C598">
            <v>0</v>
          </cell>
          <cell r="D598" t="str">
            <v>לעדכן</v>
          </cell>
        </row>
        <row r="599">
          <cell r="A599">
            <v>218784</v>
          </cell>
          <cell r="B599">
            <v>0</v>
          </cell>
          <cell r="C599">
            <v>0</v>
          </cell>
          <cell r="D599" t="str">
            <v>לעדכן</v>
          </cell>
        </row>
        <row r="600">
          <cell r="A600">
            <v>218800</v>
          </cell>
          <cell r="B600">
            <v>0</v>
          </cell>
          <cell r="C600">
            <v>0</v>
          </cell>
          <cell r="D600" t="str">
            <v>לעדכן</v>
          </cell>
        </row>
        <row r="601">
          <cell r="A601">
            <v>218826</v>
          </cell>
          <cell r="B601">
            <v>0</v>
          </cell>
          <cell r="C601">
            <v>0</v>
          </cell>
          <cell r="D601" t="str">
            <v>לעדכן</v>
          </cell>
        </row>
        <row r="602">
          <cell r="A602">
            <v>218834</v>
          </cell>
          <cell r="B602">
            <v>0</v>
          </cell>
          <cell r="C602">
            <v>0</v>
          </cell>
          <cell r="D602" t="str">
            <v>לעדכן</v>
          </cell>
        </row>
        <row r="603">
          <cell r="A603">
            <v>218842</v>
          </cell>
          <cell r="B603">
            <v>0</v>
          </cell>
          <cell r="C603">
            <v>0</v>
          </cell>
          <cell r="D603" t="str">
            <v>לעדכן</v>
          </cell>
        </row>
        <row r="604">
          <cell r="A604">
            <v>218859</v>
          </cell>
          <cell r="B604">
            <v>0</v>
          </cell>
          <cell r="C604">
            <v>0</v>
          </cell>
          <cell r="D604" t="str">
            <v>לעדכן</v>
          </cell>
        </row>
        <row r="605">
          <cell r="A605">
            <v>218867</v>
          </cell>
          <cell r="B605">
            <v>0</v>
          </cell>
          <cell r="C605">
            <v>0</v>
          </cell>
          <cell r="D605" t="str">
            <v>לעדכן</v>
          </cell>
        </row>
        <row r="606">
          <cell r="A606">
            <v>218875</v>
          </cell>
          <cell r="B606">
            <v>0</v>
          </cell>
          <cell r="C606">
            <v>0</v>
          </cell>
          <cell r="D606" t="str">
            <v>לעדכן</v>
          </cell>
        </row>
        <row r="607">
          <cell r="A607">
            <v>218883</v>
          </cell>
          <cell r="B607">
            <v>0</v>
          </cell>
          <cell r="C607">
            <v>0</v>
          </cell>
          <cell r="D607" t="str">
            <v>לעדכן</v>
          </cell>
        </row>
        <row r="608">
          <cell r="A608">
            <v>218891</v>
          </cell>
          <cell r="B608">
            <v>0</v>
          </cell>
          <cell r="C608">
            <v>0</v>
          </cell>
          <cell r="D608" t="str">
            <v>לעדכן</v>
          </cell>
        </row>
        <row r="609">
          <cell r="A609">
            <v>218909</v>
          </cell>
          <cell r="B609">
            <v>0</v>
          </cell>
          <cell r="C609">
            <v>0</v>
          </cell>
          <cell r="D609" t="str">
            <v>לעדכן</v>
          </cell>
        </row>
        <row r="610">
          <cell r="A610">
            <v>218925</v>
          </cell>
          <cell r="B610">
            <v>0</v>
          </cell>
          <cell r="C610">
            <v>0</v>
          </cell>
          <cell r="D610" t="str">
            <v>לעדכן</v>
          </cell>
        </row>
        <row r="611">
          <cell r="A611">
            <v>218933</v>
          </cell>
          <cell r="B611">
            <v>0</v>
          </cell>
          <cell r="C611">
            <v>0</v>
          </cell>
          <cell r="D611" t="str">
            <v>לעדכן</v>
          </cell>
        </row>
        <row r="612">
          <cell r="A612">
            <v>218941</v>
          </cell>
          <cell r="B612">
            <v>0</v>
          </cell>
          <cell r="C612">
            <v>0</v>
          </cell>
          <cell r="D612" t="str">
            <v>לעדכן</v>
          </cell>
        </row>
        <row r="613">
          <cell r="A613">
            <v>218958</v>
          </cell>
          <cell r="B613">
            <v>0</v>
          </cell>
          <cell r="C613">
            <v>0</v>
          </cell>
          <cell r="D613" t="str">
            <v>לעדכן</v>
          </cell>
        </row>
        <row r="614">
          <cell r="A614">
            <v>218966</v>
          </cell>
          <cell r="B614">
            <v>0</v>
          </cell>
          <cell r="C614">
            <v>0</v>
          </cell>
          <cell r="D614" t="str">
            <v>לעדכן</v>
          </cell>
        </row>
        <row r="615">
          <cell r="A615">
            <v>218974</v>
          </cell>
          <cell r="B615">
            <v>0</v>
          </cell>
          <cell r="C615">
            <v>0</v>
          </cell>
          <cell r="D615" t="str">
            <v>לעדכן</v>
          </cell>
        </row>
        <row r="616">
          <cell r="A616">
            <v>218982</v>
          </cell>
          <cell r="B616">
            <v>0</v>
          </cell>
          <cell r="C616">
            <v>0</v>
          </cell>
          <cell r="D616" t="str">
            <v>לעדכן</v>
          </cell>
        </row>
        <row r="617">
          <cell r="A617">
            <v>218990</v>
          </cell>
          <cell r="B617">
            <v>0</v>
          </cell>
          <cell r="C617">
            <v>0</v>
          </cell>
          <cell r="D617" t="str">
            <v>לעדכן</v>
          </cell>
        </row>
        <row r="618">
          <cell r="A618">
            <v>219006</v>
          </cell>
          <cell r="B618">
            <v>0</v>
          </cell>
          <cell r="C618">
            <v>0</v>
          </cell>
          <cell r="D618" t="str">
            <v>לעדכן</v>
          </cell>
        </row>
        <row r="619">
          <cell r="A619">
            <v>219014</v>
          </cell>
          <cell r="B619">
            <v>0</v>
          </cell>
          <cell r="C619">
            <v>0</v>
          </cell>
          <cell r="D619" t="str">
            <v>לעדכן</v>
          </cell>
        </row>
        <row r="620">
          <cell r="A620">
            <v>219022</v>
          </cell>
          <cell r="B620">
            <v>0</v>
          </cell>
          <cell r="C620">
            <v>0</v>
          </cell>
          <cell r="D620" t="str">
            <v>לעדכן</v>
          </cell>
        </row>
        <row r="621">
          <cell r="A621">
            <v>219030</v>
          </cell>
          <cell r="B621">
            <v>0</v>
          </cell>
          <cell r="C621">
            <v>0</v>
          </cell>
          <cell r="D621" t="str">
            <v>לעדכן</v>
          </cell>
        </row>
        <row r="622">
          <cell r="A622">
            <v>219055</v>
          </cell>
          <cell r="B622">
            <v>0</v>
          </cell>
          <cell r="C622">
            <v>0</v>
          </cell>
          <cell r="D622" t="str">
            <v>לעדכן</v>
          </cell>
        </row>
        <row r="623">
          <cell r="A623">
            <v>219071</v>
          </cell>
          <cell r="B623">
            <v>0</v>
          </cell>
          <cell r="C623">
            <v>0</v>
          </cell>
          <cell r="D623" t="str">
            <v>לעדכן</v>
          </cell>
        </row>
        <row r="624">
          <cell r="A624">
            <v>219089</v>
          </cell>
          <cell r="B624">
            <v>0</v>
          </cell>
          <cell r="C624">
            <v>0</v>
          </cell>
          <cell r="D624" t="str">
            <v>לעדכן</v>
          </cell>
        </row>
        <row r="625">
          <cell r="A625">
            <v>219097</v>
          </cell>
          <cell r="B625">
            <v>0</v>
          </cell>
          <cell r="C625">
            <v>0</v>
          </cell>
          <cell r="D625" t="str">
            <v>לעדכן</v>
          </cell>
        </row>
        <row r="626">
          <cell r="A626">
            <v>219105</v>
          </cell>
          <cell r="B626">
            <v>0</v>
          </cell>
          <cell r="C626">
            <v>0</v>
          </cell>
          <cell r="D626" t="str">
            <v>לעדכן</v>
          </cell>
        </row>
        <row r="627">
          <cell r="A627">
            <v>219113</v>
          </cell>
          <cell r="B627">
            <v>0</v>
          </cell>
          <cell r="C627">
            <v>0</v>
          </cell>
          <cell r="D627" t="str">
            <v>לעדכן</v>
          </cell>
        </row>
        <row r="628">
          <cell r="A628">
            <v>219121</v>
          </cell>
          <cell r="B628">
            <v>0</v>
          </cell>
          <cell r="C628">
            <v>0</v>
          </cell>
          <cell r="D628" t="str">
            <v>לעדכן</v>
          </cell>
        </row>
        <row r="629">
          <cell r="A629">
            <v>219147</v>
          </cell>
          <cell r="B629">
            <v>0</v>
          </cell>
          <cell r="C629">
            <v>0</v>
          </cell>
          <cell r="D629" t="str">
            <v>לעדכן</v>
          </cell>
        </row>
        <row r="630">
          <cell r="A630">
            <v>219154</v>
          </cell>
          <cell r="B630">
            <v>0</v>
          </cell>
          <cell r="C630">
            <v>0</v>
          </cell>
          <cell r="D630" t="str">
            <v>לעדכן</v>
          </cell>
        </row>
        <row r="631">
          <cell r="A631">
            <v>219162</v>
          </cell>
          <cell r="B631">
            <v>0</v>
          </cell>
          <cell r="C631">
            <v>0</v>
          </cell>
          <cell r="D631" t="str">
            <v>לעדכן</v>
          </cell>
        </row>
        <row r="632">
          <cell r="A632">
            <v>219170</v>
          </cell>
          <cell r="B632">
            <v>0</v>
          </cell>
          <cell r="C632">
            <v>0</v>
          </cell>
          <cell r="D632" t="str">
            <v>לעדכן</v>
          </cell>
        </row>
        <row r="633">
          <cell r="A633">
            <v>219188</v>
          </cell>
          <cell r="B633">
            <v>0</v>
          </cell>
          <cell r="C633">
            <v>0</v>
          </cell>
          <cell r="D633" t="str">
            <v>לעדכן</v>
          </cell>
        </row>
        <row r="634">
          <cell r="A634">
            <v>219196</v>
          </cell>
          <cell r="B634">
            <v>0</v>
          </cell>
          <cell r="C634">
            <v>0</v>
          </cell>
          <cell r="D634" t="str">
            <v>לעדכן</v>
          </cell>
        </row>
        <row r="635">
          <cell r="A635">
            <v>219204</v>
          </cell>
          <cell r="B635">
            <v>0</v>
          </cell>
          <cell r="C635">
            <v>0</v>
          </cell>
          <cell r="D635" t="str">
            <v>לעדכן</v>
          </cell>
        </row>
        <row r="636">
          <cell r="A636">
            <v>219212</v>
          </cell>
          <cell r="B636">
            <v>0</v>
          </cell>
          <cell r="C636">
            <v>0</v>
          </cell>
          <cell r="D636" t="str">
            <v>לעדכן</v>
          </cell>
        </row>
        <row r="637">
          <cell r="A637">
            <v>219220</v>
          </cell>
          <cell r="B637">
            <v>0</v>
          </cell>
          <cell r="C637">
            <v>0</v>
          </cell>
          <cell r="D637" t="str">
            <v>לעדכן</v>
          </cell>
        </row>
        <row r="638">
          <cell r="A638">
            <v>219238</v>
          </cell>
          <cell r="B638">
            <v>0</v>
          </cell>
          <cell r="C638">
            <v>0</v>
          </cell>
          <cell r="D638" t="str">
            <v>לעדכן</v>
          </cell>
        </row>
        <row r="639">
          <cell r="A639">
            <v>219246</v>
          </cell>
          <cell r="B639">
            <v>0</v>
          </cell>
          <cell r="C639">
            <v>0</v>
          </cell>
          <cell r="D639" t="str">
            <v>לעדכן</v>
          </cell>
        </row>
        <row r="640">
          <cell r="A640">
            <v>219253</v>
          </cell>
          <cell r="B640">
            <v>0</v>
          </cell>
          <cell r="C640">
            <v>0</v>
          </cell>
          <cell r="D640" t="str">
            <v>לעדכן</v>
          </cell>
        </row>
        <row r="641">
          <cell r="A641">
            <v>219261</v>
          </cell>
          <cell r="B641">
            <v>0</v>
          </cell>
          <cell r="C641">
            <v>0</v>
          </cell>
          <cell r="D641" t="str">
            <v>לעדכן</v>
          </cell>
        </row>
        <row r="642">
          <cell r="A642">
            <v>219279</v>
          </cell>
          <cell r="B642">
            <v>0</v>
          </cell>
          <cell r="C642">
            <v>0</v>
          </cell>
          <cell r="D642" t="str">
            <v>לעדכן</v>
          </cell>
        </row>
        <row r="643">
          <cell r="A643">
            <v>219287</v>
          </cell>
          <cell r="B643">
            <v>0</v>
          </cell>
          <cell r="C643">
            <v>0</v>
          </cell>
          <cell r="D643" t="str">
            <v>לעדכן</v>
          </cell>
        </row>
        <row r="644">
          <cell r="A644">
            <v>219295</v>
          </cell>
          <cell r="B644">
            <v>0</v>
          </cell>
          <cell r="C644">
            <v>0</v>
          </cell>
          <cell r="D644" t="str">
            <v>לעדכן</v>
          </cell>
        </row>
        <row r="645">
          <cell r="A645">
            <v>219303</v>
          </cell>
          <cell r="B645">
            <v>0</v>
          </cell>
          <cell r="C645">
            <v>0</v>
          </cell>
          <cell r="D645" t="str">
            <v>לעדכן</v>
          </cell>
        </row>
        <row r="646">
          <cell r="A646">
            <v>219311</v>
          </cell>
          <cell r="B646">
            <v>0</v>
          </cell>
          <cell r="C646">
            <v>0</v>
          </cell>
          <cell r="D646" t="str">
            <v>לעדכן</v>
          </cell>
        </row>
        <row r="647">
          <cell r="A647">
            <v>219329</v>
          </cell>
          <cell r="B647">
            <v>0</v>
          </cell>
          <cell r="C647">
            <v>0</v>
          </cell>
          <cell r="D647" t="str">
            <v>לעדכן</v>
          </cell>
        </row>
        <row r="648">
          <cell r="A648">
            <v>219337</v>
          </cell>
          <cell r="B648">
            <v>0</v>
          </cell>
          <cell r="C648">
            <v>0</v>
          </cell>
          <cell r="D648" t="str">
            <v>לעדכן</v>
          </cell>
        </row>
        <row r="649">
          <cell r="A649">
            <v>219345</v>
          </cell>
          <cell r="B649">
            <v>0</v>
          </cell>
          <cell r="C649">
            <v>0</v>
          </cell>
          <cell r="D649" t="str">
            <v>לעדכן</v>
          </cell>
        </row>
        <row r="650">
          <cell r="A650">
            <v>219352</v>
          </cell>
          <cell r="B650">
            <v>0</v>
          </cell>
          <cell r="C650">
            <v>0</v>
          </cell>
          <cell r="D650" t="str">
            <v>לעדכן</v>
          </cell>
        </row>
        <row r="651">
          <cell r="A651">
            <v>219360</v>
          </cell>
          <cell r="B651">
            <v>0</v>
          </cell>
          <cell r="C651">
            <v>0</v>
          </cell>
          <cell r="D651" t="str">
            <v>לעדכן</v>
          </cell>
        </row>
        <row r="652">
          <cell r="A652">
            <v>219378</v>
          </cell>
          <cell r="B652">
            <v>0</v>
          </cell>
          <cell r="C652">
            <v>0</v>
          </cell>
          <cell r="D652" t="str">
            <v>לעדכן</v>
          </cell>
        </row>
        <row r="653">
          <cell r="A653">
            <v>219402</v>
          </cell>
          <cell r="B653">
            <v>0</v>
          </cell>
          <cell r="C653">
            <v>0</v>
          </cell>
          <cell r="D653" t="str">
            <v>לעדכן</v>
          </cell>
        </row>
        <row r="654">
          <cell r="A654">
            <v>219410</v>
          </cell>
          <cell r="B654">
            <v>0</v>
          </cell>
          <cell r="C654">
            <v>0</v>
          </cell>
          <cell r="D654" t="str">
            <v>לעדכן</v>
          </cell>
        </row>
        <row r="655">
          <cell r="A655">
            <v>219428</v>
          </cell>
          <cell r="B655">
            <v>0</v>
          </cell>
          <cell r="C655">
            <v>0</v>
          </cell>
          <cell r="D655" t="str">
            <v>לעדכן</v>
          </cell>
        </row>
        <row r="656">
          <cell r="A656">
            <v>219436</v>
          </cell>
          <cell r="B656">
            <v>0</v>
          </cell>
          <cell r="C656">
            <v>0</v>
          </cell>
          <cell r="D656" t="str">
            <v>לעדכן</v>
          </cell>
        </row>
        <row r="657">
          <cell r="A657">
            <v>219451</v>
          </cell>
          <cell r="B657">
            <v>0</v>
          </cell>
          <cell r="C657">
            <v>0</v>
          </cell>
          <cell r="D657" t="str">
            <v>לעדכן</v>
          </cell>
        </row>
        <row r="658">
          <cell r="A658">
            <v>219469</v>
          </cell>
          <cell r="B658">
            <v>0</v>
          </cell>
          <cell r="C658">
            <v>0</v>
          </cell>
          <cell r="D658" t="str">
            <v>לעדכן</v>
          </cell>
        </row>
        <row r="659">
          <cell r="A659">
            <v>219477</v>
          </cell>
          <cell r="B659">
            <v>0</v>
          </cell>
          <cell r="C659">
            <v>0</v>
          </cell>
          <cell r="D659" t="str">
            <v>לעדכן</v>
          </cell>
        </row>
        <row r="660">
          <cell r="A660">
            <v>219485</v>
          </cell>
          <cell r="B660">
            <v>0</v>
          </cell>
          <cell r="C660">
            <v>0</v>
          </cell>
          <cell r="D660" t="str">
            <v>לעדכן</v>
          </cell>
        </row>
        <row r="661">
          <cell r="A661">
            <v>219493</v>
          </cell>
          <cell r="B661">
            <v>0</v>
          </cell>
          <cell r="C661">
            <v>0</v>
          </cell>
          <cell r="D661" t="str">
            <v>לעדכן</v>
          </cell>
        </row>
        <row r="662">
          <cell r="A662">
            <v>219501</v>
          </cell>
          <cell r="B662">
            <v>0</v>
          </cell>
          <cell r="C662">
            <v>0</v>
          </cell>
          <cell r="D662" t="str">
            <v>לעדכן</v>
          </cell>
        </row>
        <row r="663">
          <cell r="A663">
            <v>219519</v>
          </cell>
          <cell r="B663">
            <v>0</v>
          </cell>
          <cell r="C663">
            <v>0</v>
          </cell>
          <cell r="D663" t="str">
            <v>לעדכן</v>
          </cell>
        </row>
        <row r="664">
          <cell r="A664">
            <v>219527</v>
          </cell>
          <cell r="B664">
            <v>0</v>
          </cell>
          <cell r="C664">
            <v>0</v>
          </cell>
          <cell r="D664" t="str">
            <v>לעדכן</v>
          </cell>
        </row>
        <row r="665">
          <cell r="A665">
            <v>219535</v>
          </cell>
          <cell r="B665">
            <v>0</v>
          </cell>
          <cell r="C665">
            <v>0</v>
          </cell>
          <cell r="D665" t="str">
            <v>לעדכן</v>
          </cell>
        </row>
        <row r="666">
          <cell r="A666">
            <v>219543</v>
          </cell>
          <cell r="B666">
            <v>0</v>
          </cell>
          <cell r="C666">
            <v>0</v>
          </cell>
          <cell r="D666" t="str">
            <v>לעדכן</v>
          </cell>
        </row>
        <row r="667">
          <cell r="A667">
            <v>219550</v>
          </cell>
          <cell r="B667">
            <v>0</v>
          </cell>
          <cell r="C667">
            <v>0</v>
          </cell>
          <cell r="D667" t="str">
            <v>לעדכן</v>
          </cell>
        </row>
        <row r="668">
          <cell r="A668">
            <v>219568</v>
          </cell>
          <cell r="B668">
            <v>0</v>
          </cell>
          <cell r="C668">
            <v>0</v>
          </cell>
          <cell r="D668" t="str">
            <v>לעדכן</v>
          </cell>
        </row>
        <row r="669">
          <cell r="A669">
            <v>219576</v>
          </cell>
          <cell r="B669">
            <v>0</v>
          </cell>
          <cell r="C669">
            <v>0</v>
          </cell>
          <cell r="D669" t="str">
            <v>לעדכן</v>
          </cell>
        </row>
        <row r="670">
          <cell r="A670">
            <v>219584</v>
          </cell>
          <cell r="B670">
            <v>0</v>
          </cell>
          <cell r="C670">
            <v>0</v>
          </cell>
          <cell r="D670" t="str">
            <v>לעדכן</v>
          </cell>
        </row>
        <row r="671">
          <cell r="A671">
            <v>219592</v>
          </cell>
          <cell r="B671">
            <v>0</v>
          </cell>
          <cell r="C671">
            <v>0</v>
          </cell>
          <cell r="D671" t="str">
            <v>לעדכן</v>
          </cell>
        </row>
        <row r="672">
          <cell r="A672">
            <v>219600</v>
          </cell>
          <cell r="B672">
            <v>0</v>
          </cell>
          <cell r="C672">
            <v>0</v>
          </cell>
          <cell r="D672" t="str">
            <v>לעדכן</v>
          </cell>
        </row>
        <row r="673">
          <cell r="A673">
            <v>219618</v>
          </cell>
          <cell r="B673">
            <v>0</v>
          </cell>
          <cell r="C673">
            <v>0</v>
          </cell>
          <cell r="D673" t="str">
            <v>לעדכן</v>
          </cell>
        </row>
        <row r="674">
          <cell r="A674">
            <v>219626</v>
          </cell>
          <cell r="B674">
            <v>0</v>
          </cell>
          <cell r="C674">
            <v>0</v>
          </cell>
          <cell r="D674" t="str">
            <v>לעדכן</v>
          </cell>
        </row>
        <row r="675">
          <cell r="A675">
            <v>219634</v>
          </cell>
          <cell r="B675">
            <v>0</v>
          </cell>
          <cell r="C675">
            <v>0</v>
          </cell>
          <cell r="D675" t="str">
            <v>לעדכן</v>
          </cell>
        </row>
        <row r="676">
          <cell r="A676">
            <v>219667</v>
          </cell>
          <cell r="B676">
            <v>0</v>
          </cell>
          <cell r="C676">
            <v>0</v>
          </cell>
          <cell r="D676" t="str">
            <v>לעדכן</v>
          </cell>
        </row>
        <row r="677">
          <cell r="A677">
            <v>219709</v>
          </cell>
          <cell r="B677">
            <v>0</v>
          </cell>
          <cell r="C677">
            <v>0</v>
          </cell>
          <cell r="D677" t="str">
            <v>לעדכן</v>
          </cell>
        </row>
        <row r="678">
          <cell r="A678">
            <v>219717</v>
          </cell>
          <cell r="B678">
            <v>0</v>
          </cell>
          <cell r="C678">
            <v>0</v>
          </cell>
          <cell r="D678" t="str">
            <v>לעדכן</v>
          </cell>
        </row>
        <row r="679">
          <cell r="A679">
            <v>219725</v>
          </cell>
          <cell r="B679">
            <v>0</v>
          </cell>
          <cell r="C679">
            <v>0</v>
          </cell>
          <cell r="D679" t="str">
            <v>לעדכן</v>
          </cell>
        </row>
        <row r="680">
          <cell r="A680">
            <v>219733</v>
          </cell>
          <cell r="B680">
            <v>0</v>
          </cell>
          <cell r="C680">
            <v>0</v>
          </cell>
          <cell r="D680" t="str">
            <v>לעדכן</v>
          </cell>
        </row>
        <row r="681">
          <cell r="A681">
            <v>219758</v>
          </cell>
          <cell r="B681">
            <v>0</v>
          </cell>
          <cell r="C681">
            <v>0</v>
          </cell>
          <cell r="D681" t="str">
            <v>לעדכן</v>
          </cell>
        </row>
        <row r="682">
          <cell r="A682">
            <v>219774</v>
          </cell>
          <cell r="B682">
            <v>0</v>
          </cell>
          <cell r="C682">
            <v>0</v>
          </cell>
          <cell r="D682" t="str">
            <v>לעדכן</v>
          </cell>
        </row>
        <row r="683">
          <cell r="A683">
            <v>219782</v>
          </cell>
          <cell r="B683">
            <v>0</v>
          </cell>
          <cell r="C683">
            <v>0</v>
          </cell>
          <cell r="D683" t="str">
            <v>לעדכן</v>
          </cell>
        </row>
        <row r="684">
          <cell r="A684">
            <v>219790</v>
          </cell>
          <cell r="B684">
            <v>0</v>
          </cell>
          <cell r="C684">
            <v>0</v>
          </cell>
          <cell r="D684" t="str">
            <v>לעדכן</v>
          </cell>
        </row>
        <row r="685">
          <cell r="A685">
            <v>219808</v>
          </cell>
          <cell r="B685">
            <v>0</v>
          </cell>
          <cell r="C685">
            <v>0</v>
          </cell>
          <cell r="D685" t="str">
            <v>לעדכן</v>
          </cell>
        </row>
        <row r="686">
          <cell r="A686">
            <v>219816</v>
          </cell>
          <cell r="B686">
            <v>0</v>
          </cell>
          <cell r="C686">
            <v>0</v>
          </cell>
          <cell r="D686" t="str">
            <v>לעדכן</v>
          </cell>
        </row>
        <row r="687">
          <cell r="A687">
            <v>219824</v>
          </cell>
          <cell r="B687">
            <v>0</v>
          </cell>
          <cell r="C687">
            <v>0</v>
          </cell>
          <cell r="D687" t="str">
            <v>לעדכן</v>
          </cell>
        </row>
        <row r="688">
          <cell r="A688">
            <v>219832</v>
          </cell>
          <cell r="B688">
            <v>0</v>
          </cell>
          <cell r="C688">
            <v>0</v>
          </cell>
          <cell r="D688" t="str">
            <v>לעדכן</v>
          </cell>
        </row>
        <row r="689">
          <cell r="A689">
            <v>222364</v>
          </cell>
          <cell r="B689">
            <v>0</v>
          </cell>
          <cell r="C689">
            <v>0</v>
          </cell>
          <cell r="D689" t="str">
            <v>לעדכן</v>
          </cell>
        </row>
        <row r="690">
          <cell r="A690">
            <v>226340</v>
          </cell>
          <cell r="B690">
            <v>0</v>
          </cell>
          <cell r="C690">
            <v>0</v>
          </cell>
          <cell r="D690" t="str">
            <v>לעדכן</v>
          </cell>
        </row>
        <row r="691">
          <cell r="A691">
            <v>226811</v>
          </cell>
          <cell r="B691">
            <v>0</v>
          </cell>
          <cell r="C691">
            <v>0</v>
          </cell>
          <cell r="D691" t="str">
            <v>לעדכן</v>
          </cell>
        </row>
        <row r="692">
          <cell r="A692">
            <v>227017</v>
          </cell>
          <cell r="B692">
            <v>0</v>
          </cell>
          <cell r="C692">
            <v>0</v>
          </cell>
          <cell r="D692" t="str">
            <v>לעדכן</v>
          </cell>
        </row>
        <row r="693">
          <cell r="A693">
            <v>227090</v>
          </cell>
          <cell r="B693">
            <v>0</v>
          </cell>
          <cell r="C693">
            <v>0</v>
          </cell>
          <cell r="D693" t="str">
            <v>לעדכן</v>
          </cell>
        </row>
        <row r="694">
          <cell r="A694">
            <v>227108</v>
          </cell>
          <cell r="B694">
            <v>0</v>
          </cell>
          <cell r="C694">
            <v>0</v>
          </cell>
          <cell r="D694" t="str">
            <v>לעדכן</v>
          </cell>
        </row>
        <row r="695">
          <cell r="A695">
            <v>227488</v>
          </cell>
          <cell r="B695">
            <v>0</v>
          </cell>
          <cell r="C695">
            <v>0</v>
          </cell>
          <cell r="D695" t="str">
            <v>לעדכן</v>
          </cell>
        </row>
        <row r="696">
          <cell r="A696">
            <v>227496</v>
          </cell>
          <cell r="B696">
            <v>0</v>
          </cell>
          <cell r="C696">
            <v>0</v>
          </cell>
          <cell r="D696" t="str">
            <v>לעדכן</v>
          </cell>
        </row>
        <row r="697">
          <cell r="A697">
            <v>228668</v>
          </cell>
          <cell r="B697">
            <v>0</v>
          </cell>
          <cell r="C697">
            <v>0</v>
          </cell>
          <cell r="D697" t="str">
            <v>לעדכן</v>
          </cell>
        </row>
        <row r="698">
          <cell r="A698">
            <v>229617</v>
          </cell>
          <cell r="B698">
            <v>0</v>
          </cell>
          <cell r="C698">
            <v>0</v>
          </cell>
          <cell r="D698" t="str">
            <v>לעדכן</v>
          </cell>
        </row>
        <row r="699">
          <cell r="A699">
            <v>232884</v>
          </cell>
          <cell r="B699">
            <v>0</v>
          </cell>
          <cell r="C699">
            <v>0</v>
          </cell>
          <cell r="D699" t="str">
            <v>לעדכן</v>
          </cell>
        </row>
        <row r="700">
          <cell r="A700">
            <v>232900</v>
          </cell>
          <cell r="B700">
            <v>0</v>
          </cell>
          <cell r="C700">
            <v>0</v>
          </cell>
          <cell r="D700" t="str">
            <v>לעדכן</v>
          </cell>
        </row>
        <row r="701">
          <cell r="A701">
            <v>235051</v>
          </cell>
          <cell r="B701">
            <v>0</v>
          </cell>
          <cell r="C701">
            <v>0</v>
          </cell>
          <cell r="D701" t="str">
            <v>לעדכן</v>
          </cell>
        </row>
        <row r="702">
          <cell r="A702">
            <v>236299</v>
          </cell>
          <cell r="B702">
            <v>0</v>
          </cell>
          <cell r="C702">
            <v>0</v>
          </cell>
          <cell r="D702" t="str">
            <v>לעדכן</v>
          </cell>
        </row>
        <row r="703">
          <cell r="A703">
            <v>237743</v>
          </cell>
          <cell r="B703">
            <v>0</v>
          </cell>
          <cell r="C703">
            <v>0</v>
          </cell>
          <cell r="D703" t="str">
            <v>לעדכן</v>
          </cell>
        </row>
        <row r="704">
          <cell r="A704">
            <v>238089</v>
          </cell>
          <cell r="B704">
            <v>0</v>
          </cell>
          <cell r="C704">
            <v>0</v>
          </cell>
          <cell r="D704" t="str">
            <v>לעדכן</v>
          </cell>
        </row>
        <row r="705">
          <cell r="A705">
            <v>238097</v>
          </cell>
          <cell r="B705">
            <v>0</v>
          </cell>
          <cell r="C705">
            <v>0</v>
          </cell>
          <cell r="D705" t="str">
            <v>לעדכן</v>
          </cell>
        </row>
        <row r="706">
          <cell r="A706">
            <v>238493</v>
          </cell>
          <cell r="B706">
            <v>0</v>
          </cell>
          <cell r="C706">
            <v>0</v>
          </cell>
          <cell r="D706" t="str">
            <v>לעדכן</v>
          </cell>
        </row>
        <row r="707">
          <cell r="A707">
            <v>238501</v>
          </cell>
          <cell r="B707">
            <v>0</v>
          </cell>
          <cell r="C707">
            <v>0</v>
          </cell>
          <cell r="D707" t="str">
            <v>לעדכן</v>
          </cell>
        </row>
        <row r="708">
          <cell r="A708">
            <v>239814</v>
          </cell>
          <cell r="B708">
            <v>0</v>
          </cell>
          <cell r="C708">
            <v>0</v>
          </cell>
          <cell r="D708" t="str">
            <v>לעדכן</v>
          </cell>
        </row>
        <row r="709">
          <cell r="A709">
            <v>239871</v>
          </cell>
          <cell r="B709">
            <v>0</v>
          </cell>
          <cell r="C709">
            <v>0</v>
          </cell>
          <cell r="D709" t="str">
            <v>לעדכן</v>
          </cell>
        </row>
        <row r="710">
          <cell r="A710">
            <v>239905</v>
          </cell>
          <cell r="B710">
            <v>0</v>
          </cell>
          <cell r="C710">
            <v>0</v>
          </cell>
          <cell r="D710" t="str">
            <v>לעדכן</v>
          </cell>
        </row>
        <row r="711">
          <cell r="A711">
            <v>241018</v>
          </cell>
          <cell r="B711">
            <v>0</v>
          </cell>
          <cell r="C711">
            <v>0</v>
          </cell>
          <cell r="D711" t="str">
            <v>לעדכן</v>
          </cell>
        </row>
        <row r="712">
          <cell r="A712">
            <v>241034</v>
          </cell>
          <cell r="B712">
            <v>0</v>
          </cell>
          <cell r="C712">
            <v>0</v>
          </cell>
          <cell r="D712" t="str">
            <v>לעדכן</v>
          </cell>
        </row>
        <row r="713">
          <cell r="A713">
            <v>241042</v>
          </cell>
          <cell r="B713">
            <v>0</v>
          </cell>
          <cell r="C713">
            <v>0</v>
          </cell>
          <cell r="D713" t="str">
            <v>לעדכן</v>
          </cell>
        </row>
        <row r="714">
          <cell r="A714">
            <v>241059</v>
          </cell>
          <cell r="B714">
            <v>0</v>
          </cell>
          <cell r="C714">
            <v>0</v>
          </cell>
          <cell r="D714" t="str">
            <v>לעדכן</v>
          </cell>
        </row>
        <row r="715">
          <cell r="A715">
            <v>244277</v>
          </cell>
          <cell r="B715">
            <v>0</v>
          </cell>
          <cell r="C715">
            <v>0</v>
          </cell>
          <cell r="D715" t="str">
            <v>לעדכן</v>
          </cell>
        </row>
        <row r="716">
          <cell r="A716">
            <v>246033</v>
          </cell>
          <cell r="B716">
            <v>0</v>
          </cell>
          <cell r="C716">
            <v>0</v>
          </cell>
          <cell r="D716" t="str">
            <v>לעדכן</v>
          </cell>
        </row>
        <row r="717">
          <cell r="A717">
            <v>246041</v>
          </cell>
          <cell r="B717">
            <v>0</v>
          </cell>
          <cell r="C717">
            <v>0</v>
          </cell>
          <cell r="D717" t="str">
            <v>לעדכן</v>
          </cell>
        </row>
        <row r="718">
          <cell r="A718">
            <v>247411</v>
          </cell>
          <cell r="B718">
            <v>0</v>
          </cell>
          <cell r="C718">
            <v>0</v>
          </cell>
          <cell r="D718" t="str">
            <v>לעדכן</v>
          </cell>
        </row>
        <row r="719">
          <cell r="A719">
            <v>247429</v>
          </cell>
          <cell r="B719">
            <v>0</v>
          </cell>
          <cell r="C719">
            <v>0</v>
          </cell>
          <cell r="D719" t="str">
            <v>לעדכן</v>
          </cell>
        </row>
        <row r="720">
          <cell r="A720">
            <v>267344</v>
          </cell>
          <cell r="B720">
            <v>0</v>
          </cell>
          <cell r="C720">
            <v>0</v>
          </cell>
          <cell r="D720" t="str">
            <v>לעדכן</v>
          </cell>
        </row>
        <row r="721">
          <cell r="A721">
            <v>267351</v>
          </cell>
          <cell r="B721">
            <v>0</v>
          </cell>
          <cell r="C721">
            <v>0</v>
          </cell>
          <cell r="D721" t="str">
            <v>לעדכן</v>
          </cell>
        </row>
        <row r="722">
          <cell r="A722">
            <v>267468</v>
          </cell>
          <cell r="B722">
            <v>0</v>
          </cell>
          <cell r="C722">
            <v>0</v>
          </cell>
          <cell r="D722" t="str">
            <v>לעדכן</v>
          </cell>
        </row>
        <row r="723">
          <cell r="A723">
            <v>267716</v>
          </cell>
          <cell r="B723">
            <v>0</v>
          </cell>
          <cell r="C723">
            <v>0</v>
          </cell>
          <cell r="D723" t="str">
            <v>לעדכן</v>
          </cell>
        </row>
        <row r="724">
          <cell r="A724">
            <v>267922</v>
          </cell>
          <cell r="B724">
            <v>0</v>
          </cell>
          <cell r="C724">
            <v>0</v>
          </cell>
          <cell r="D724" t="str">
            <v>לעדכן</v>
          </cell>
        </row>
        <row r="725">
          <cell r="A725">
            <v>267930</v>
          </cell>
          <cell r="B725">
            <v>0</v>
          </cell>
          <cell r="C725">
            <v>0</v>
          </cell>
          <cell r="D725" t="str">
            <v>לעדכן</v>
          </cell>
        </row>
        <row r="726">
          <cell r="A726">
            <v>267955</v>
          </cell>
          <cell r="B726">
            <v>0</v>
          </cell>
          <cell r="C726">
            <v>0</v>
          </cell>
          <cell r="D726" t="str">
            <v>לעדכן</v>
          </cell>
        </row>
        <row r="727">
          <cell r="A727">
            <v>267963</v>
          </cell>
          <cell r="B727">
            <v>0</v>
          </cell>
          <cell r="C727">
            <v>0</v>
          </cell>
          <cell r="D727" t="str">
            <v>לעדכן</v>
          </cell>
        </row>
        <row r="728">
          <cell r="A728">
            <v>268011</v>
          </cell>
          <cell r="B728">
            <v>0</v>
          </cell>
          <cell r="C728">
            <v>0</v>
          </cell>
          <cell r="D728" t="str">
            <v>לעדכן</v>
          </cell>
        </row>
        <row r="729">
          <cell r="A729">
            <v>273086</v>
          </cell>
          <cell r="B729">
            <v>0</v>
          </cell>
          <cell r="C729">
            <v>0</v>
          </cell>
          <cell r="D729" t="str">
            <v>לעדכן</v>
          </cell>
        </row>
        <row r="730">
          <cell r="A730">
            <v>288027</v>
          </cell>
          <cell r="B730">
            <v>0</v>
          </cell>
          <cell r="C730">
            <v>0</v>
          </cell>
          <cell r="D730" t="str">
            <v>לעדכן</v>
          </cell>
        </row>
        <row r="731">
          <cell r="A731">
            <v>288076</v>
          </cell>
          <cell r="B731">
            <v>0</v>
          </cell>
          <cell r="C731">
            <v>0</v>
          </cell>
          <cell r="D731" t="str">
            <v>לעדכן</v>
          </cell>
        </row>
        <row r="732">
          <cell r="A732">
            <v>288100</v>
          </cell>
          <cell r="B732">
            <v>0</v>
          </cell>
          <cell r="C732">
            <v>0</v>
          </cell>
          <cell r="D732" t="str">
            <v>לעדכן</v>
          </cell>
        </row>
        <row r="733">
          <cell r="A733">
            <v>288167</v>
          </cell>
          <cell r="B733">
            <v>0</v>
          </cell>
          <cell r="C733">
            <v>0</v>
          </cell>
          <cell r="D733" t="str">
            <v>לעדכן</v>
          </cell>
        </row>
        <row r="734">
          <cell r="A734">
            <v>288175</v>
          </cell>
          <cell r="B734">
            <v>0</v>
          </cell>
          <cell r="C734">
            <v>0</v>
          </cell>
          <cell r="D734" t="str">
            <v>לעדכן</v>
          </cell>
        </row>
        <row r="735">
          <cell r="A735">
            <v>288191</v>
          </cell>
          <cell r="B735">
            <v>0</v>
          </cell>
          <cell r="C735">
            <v>0</v>
          </cell>
          <cell r="D735" t="str">
            <v>לעדכן</v>
          </cell>
        </row>
        <row r="736">
          <cell r="A736">
            <v>310011</v>
          </cell>
          <cell r="B736">
            <v>0</v>
          </cell>
          <cell r="C736">
            <v>0</v>
          </cell>
          <cell r="D736" t="str">
            <v>לעדכן</v>
          </cell>
        </row>
        <row r="737">
          <cell r="A737">
            <v>310029</v>
          </cell>
          <cell r="B737">
            <v>0</v>
          </cell>
          <cell r="C737">
            <v>0</v>
          </cell>
          <cell r="D737" t="str">
            <v>לעדכן</v>
          </cell>
        </row>
        <row r="738">
          <cell r="A738">
            <v>310078</v>
          </cell>
          <cell r="B738">
            <v>0</v>
          </cell>
          <cell r="C738">
            <v>0</v>
          </cell>
          <cell r="D738" t="str">
            <v>לעדכן</v>
          </cell>
        </row>
        <row r="739">
          <cell r="A739">
            <v>310086</v>
          </cell>
          <cell r="B739">
            <v>0</v>
          </cell>
          <cell r="C739">
            <v>0</v>
          </cell>
          <cell r="D739" t="str">
            <v>לעדכן</v>
          </cell>
        </row>
        <row r="740">
          <cell r="A740">
            <v>310128</v>
          </cell>
          <cell r="B740">
            <v>0</v>
          </cell>
          <cell r="C740">
            <v>0</v>
          </cell>
          <cell r="D740" t="str">
            <v>לעדכן</v>
          </cell>
        </row>
        <row r="741">
          <cell r="A741">
            <v>310177</v>
          </cell>
          <cell r="B741">
            <v>0</v>
          </cell>
          <cell r="C741">
            <v>0</v>
          </cell>
          <cell r="D741" t="str">
            <v>לעדכן</v>
          </cell>
        </row>
        <row r="742">
          <cell r="A742">
            <v>310193</v>
          </cell>
          <cell r="B742">
            <v>0</v>
          </cell>
          <cell r="C742">
            <v>0</v>
          </cell>
          <cell r="D742" t="str">
            <v>לעדכן</v>
          </cell>
        </row>
        <row r="743">
          <cell r="A743">
            <v>310219</v>
          </cell>
          <cell r="B743">
            <v>0</v>
          </cell>
          <cell r="C743">
            <v>0</v>
          </cell>
          <cell r="D743" t="str">
            <v>לעדכן</v>
          </cell>
        </row>
        <row r="744">
          <cell r="A744">
            <v>310227</v>
          </cell>
          <cell r="B744">
            <v>0</v>
          </cell>
          <cell r="C744">
            <v>0</v>
          </cell>
          <cell r="D744" t="str">
            <v>לעדכן</v>
          </cell>
        </row>
        <row r="745">
          <cell r="A745">
            <v>310235</v>
          </cell>
          <cell r="B745">
            <v>0</v>
          </cell>
          <cell r="C745">
            <v>0</v>
          </cell>
          <cell r="D745" t="str">
            <v>לעדכן</v>
          </cell>
        </row>
        <row r="746">
          <cell r="A746">
            <v>310250</v>
          </cell>
          <cell r="B746">
            <v>0</v>
          </cell>
          <cell r="C746">
            <v>0</v>
          </cell>
          <cell r="D746" t="str">
            <v>לעדכן</v>
          </cell>
        </row>
        <row r="747">
          <cell r="A747">
            <v>310268</v>
          </cell>
          <cell r="B747">
            <v>0</v>
          </cell>
          <cell r="C747">
            <v>0</v>
          </cell>
          <cell r="D747" t="str">
            <v>לעדכן</v>
          </cell>
        </row>
        <row r="748">
          <cell r="A748">
            <v>310276</v>
          </cell>
          <cell r="B748">
            <v>0</v>
          </cell>
          <cell r="C748">
            <v>0</v>
          </cell>
          <cell r="D748" t="str">
            <v>לעדכן</v>
          </cell>
        </row>
        <row r="749">
          <cell r="A749">
            <v>310284</v>
          </cell>
          <cell r="B749">
            <v>0</v>
          </cell>
          <cell r="C749">
            <v>0</v>
          </cell>
          <cell r="D749" t="str">
            <v>לעדכן</v>
          </cell>
        </row>
        <row r="750">
          <cell r="A750">
            <v>310300</v>
          </cell>
          <cell r="B750">
            <v>0</v>
          </cell>
          <cell r="C750">
            <v>0</v>
          </cell>
          <cell r="D750" t="str">
            <v>לעדכן</v>
          </cell>
        </row>
        <row r="751">
          <cell r="A751">
            <v>310318</v>
          </cell>
          <cell r="B751">
            <v>0</v>
          </cell>
          <cell r="C751">
            <v>0</v>
          </cell>
          <cell r="D751" t="str">
            <v>לעדכן</v>
          </cell>
        </row>
        <row r="752">
          <cell r="A752">
            <v>310342</v>
          </cell>
          <cell r="B752">
            <v>0</v>
          </cell>
          <cell r="C752">
            <v>0</v>
          </cell>
          <cell r="D752" t="str">
            <v>לעדכן</v>
          </cell>
        </row>
        <row r="753">
          <cell r="A753">
            <v>310359</v>
          </cell>
          <cell r="B753">
            <v>0</v>
          </cell>
          <cell r="C753">
            <v>0</v>
          </cell>
          <cell r="D753" t="str">
            <v>לעדכן</v>
          </cell>
        </row>
        <row r="754">
          <cell r="A754">
            <v>310375</v>
          </cell>
          <cell r="B754">
            <v>0</v>
          </cell>
          <cell r="C754">
            <v>0</v>
          </cell>
          <cell r="D754" t="str">
            <v>לעדכן</v>
          </cell>
        </row>
        <row r="755">
          <cell r="A755">
            <v>310383</v>
          </cell>
          <cell r="B755">
            <v>0</v>
          </cell>
          <cell r="C755">
            <v>0</v>
          </cell>
          <cell r="D755" t="str">
            <v>לעדכן</v>
          </cell>
        </row>
        <row r="756">
          <cell r="A756">
            <v>310391</v>
          </cell>
          <cell r="B756">
            <v>0</v>
          </cell>
          <cell r="C756">
            <v>0</v>
          </cell>
          <cell r="D756" t="str">
            <v>לעדכן</v>
          </cell>
        </row>
        <row r="757">
          <cell r="A757">
            <v>310458</v>
          </cell>
          <cell r="B757">
            <v>0</v>
          </cell>
          <cell r="C757">
            <v>0</v>
          </cell>
          <cell r="D757" t="str">
            <v>לעדכן</v>
          </cell>
        </row>
        <row r="758">
          <cell r="A758">
            <v>310466</v>
          </cell>
          <cell r="B758">
            <v>0</v>
          </cell>
          <cell r="C758">
            <v>0</v>
          </cell>
          <cell r="D758" t="str">
            <v>לעדכן</v>
          </cell>
        </row>
        <row r="759">
          <cell r="A759">
            <v>310474</v>
          </cell>
          <cell r="B759">
            <v>0</v>
          </cell>
          <cell r="C759">
            <v>0</v>
          </cell>
          <cell r="D759" t="str">
            <v>לעדכן</v>
          </cell>
        </row>
        <row r="760">
          <cell r="A760">
            <v>310482</v>
          </cell>
          <cell r="B760">
            <v>0</v>
          </cell>
          <cell r="C760">
            <v>0</v>
          </cell>
          <cell r="D760" t="str">
            <v>לעדכן</v>
          </cell>
        </row>
        <row r="761">
          <cell r="A761">
            <v>310490</v>
          </cell>
          <cell r="B761">
            <v>0</v>
          </cell>
          <cell r="C761">
            <v>0</v>
          </cell>
          <cell r="D761" t="str">
            <v>לעדכן</v>
          </cell>
        </row>
        <row r="762">
          <cell r="A762">
            <v>310516</v>
          </cell>
          <cell r="B762">
            <v>0</v>
          </cell>
          <cell r="C762">
            <v>0</v>
          </cell>
          <cell r="D762" t="str">
            <v>לעדכן</v>
          </cell>
        </row>
        <row r="763">
          <cell r="A763">
            <v>310524</v>
          </cell>
          <cell r="B763">
            <v>0</v>
          </cell>
          <cell r="C763">
            <v>0</v>
          </cell>
          <cell r="D763" t="str">
            <v>לעדכן</v>
          </cell>
        </row>
        <row r="764">
          <cell r="A764">
            <v>310557</v>
          </cell>
          <cell r="B764">
            <v>0</v>
          </cell>
          <cell r="C764">
            <v>0</v>
          </cell>
          <cell r="D764" t="str">
            <v>לעדכן</v>
          </cell>
        </row>
        <row r="765">
          <cell r="A765">
            <v>310565</v>
          </cell>
          <cell r="B765">
            <v>0</v>
          </cell>
          <cell r="C765">
            <v>0</v>
          </cell>
          <cell r="D765" t="str">
            <v>לעדכן</v>
          </cell>
        </row>
        <row r="766">
          <cell r="A766">
            <v>310607</v>
          </cell>
          <cell r="B766">
            <v>0</v>
          </cell>
          <cell r="C766">
            <v>0</v>
          </cell>
          <cell r="D766" t="str">
            <v>לעדכן</v>
          </cell>
        </row>
        <row r="767">
          <cell r="A767">
            <v>310623</v>
          </cell>
          <cell r="B767">
            <v>0</v>
          </cell>
          <cell r="C767">
            <v>0</v>
          </cell>
          <cell r="D767" t="str">
            <v>לעדכן</v>
          </cell>
        </row>
        <row r="768">
          <cell r="A768">
            <v>310672</v>
          </cell>
          <cell r="B768">
            <v>0</v>
          </cell>
          <cell r="C768">
            <v>0</v>
          </cell>
          <cell r="D768" t="str">
            <v>לעדכן</v>
          </cell>
        </row>
        <row r="769">
          <cell r="A769">
            <v>310698</v>
          </cell>
          <cell r="B769">
            <v>0</v>
          </cell>
          <cell r="C769">
            <v>0</v>
          </cell>
          <cell r="D769" t="str">
            <v>לעדכן</v>
          </cell>
        </row>
        <row r="770">
          <cell r="A770">
            <v>310706</v>
          </cell>
          <cell r="B770">
            <v>0</v>
          </cell>
          <cell r="C770">
            <v>0</v>
          </cell>
          <cell r="D770" t="str">
            <v>לעדכן</v>
          </cell>
        </row>
        <row r="771">
          <cell r="A771">
            <v>310755</v>
          </cell>
          <cell r="B771">
            <v>0</v>
          </cell>
          <cell r="C771">
            <v>0</v>
          </cell>
          <cell r="D771" t="str">
            <v>לעדכן</v>
          </cell>
        </row>
        <row r="772">
          <cell r="A772">
            <v>310771</v>
          </cell>
          <cell r="B772">
            <v>0</v>
          </cell>
          <cell r="C772">
            <v>0</v>
          </cell>
          <cell r="D772" t="str">
            <v>לעדכן</v>
          </cell>
        </row>
        <row r="773">
          <cell r="A773">
            <v>310789</v>
          </cell>
          <cell r="B773">
            <v>0</v>
          </cell>
          <cell r="C773">
            <v>0</v>
          </cell>
          <cell r="D773" t="str">
            <v>לעדכן</v>
          </cell>
        </row>
        <row r="774">
          <cell r="A774">
            <v>310797</v>
          </cell>
          <cell r="B774">
            <v>0</v>
          </cell>
          <cell r="C774">
            <v>0</v>
          </cell>
          <cell r="D774" t="str">
            <v>לעדכן</v>
          </cell>
        </row>
        <row r="775">
          <cell r="A775">
            <v>310847</v>
          </cell>
          <cell r="B775">
            <v>0</v>
          </cell>
          <cell r="C775">
            <v>0</v>
          </cell>
          <cell r="D775" t="str">
            <v>לעדכן</v>
          </cell>
        </row>
        <row r="776">
          <cell r="A776">
            <v>310854</v>
          </cell>
          <cell r="B776">
            <v>0</v>
          </cell>
          <cell r="C776">
            <v>0</v>
          </cell>
          <cell r="D776" t="str">
            <v>לעדכן</v>
          </cell>
        </row>
        <row r="777">
          <cell r="A777">
            <v>310870</v>
          </cell>
          <cell r="B777">
            <v>0</v>
          </cell>
          <cell r="C777">
            <v>0</v>
          </cell>
          <cell r="D777" t="str">
            <v>לעדכן</v>
          </cell>
        </row>
        <row r="778">
          <cell r="A778">
            <v>310896</v>
          </cell>
          <cell r="B778">
            <v>0</v>
          </cell>
          <cell r="C778">
            <v>0</v>
          </cell>
          <cell r="D778" t="str">
            <v>לעדכן</v>
          </cell>
        </row>
        <row r="779">
          <cell r="A779">
            <v>310904</v>
          </cell>
          <cell r="B779">
            <v>0</v>
          </cell>
          <cell r="C779">
            <v>0</v>
          </cell>
          <cell r="D779" t="str">
            <v>לעדכן</v>
          </cell>
        </row>
        <row r="780">
          <cell r="A780">
            <v>310979</v>
          </cell>
          <cell r="B780">
            <v>0</v>
          </cell>
          <cell r="C780">
            <v>0</v>
          </cell>
          <cell r="D780" t="str">
            <v>לעדכן</v>
          </cell>
        </row>
        <row r="781">
          <cell r="A781">
            <v>311001</v>
          </cell>
          <cell r="B781">
            <v>0</v>
          </cell>
          <cell r="C781">
            <v>0</v>
          </cell>
          <cell r="D781" t="str">
            <v>לעדכן</v>
          </cell>
        </row>
        <row r="782">
          <cell r="A782">
            <v>311027</v>
          </cell>
          <cell r="B782">
            <v>0</v>
          </cell>
          <cell r="C782">
            <v>0</v>
          </cell>
          <cell r="D782" t="str">
            <v>לעדכן</v>
          </cell>
        </row>
        <row r="783">
          <cell r="A783">
            <v>311035</v>
          </cell>
          <cell r="B783">
            <v>0</v>
          </cell>
          <cell r="C783">
            <v>0</v>
          </cell>
          <cell r="D783" t="str">
            <v>לעדכן</v>
          </cell>
        </row>
        <row r="784">
          <cell r="A784">
            <v>311076</v>
          </cell>
          <cell r="B784">
            <v>0</v>
          </cell>
          <cell r="C784">
            <v>0</v>
          </cell>
          <cell r="D784" t="str">
            <v>לעדכן</v>
          </cell>
        </row>
        <row r="785">
          <cell r="A785">
            <v>311084</v>
          </cell>
          <cell r="B785">
            <v>0</v>
          </cell>
          <cell r="C785">
            <v>0</v>
          </cell>
          <cell r="D785" t="str">
            <v>לעדכן</v>
          </cell>
        </row>
        <row r="786">
          <cell r="A786">
            <v>311092</v>
          </cell>
          <cell r="B786">
            <v>0</v>
          </cell>
          <cell r="C786">
            <v>0</v>
          </cell>
          <cell r="D786" t="str">
            <v>לעדכן</v>
          </cell>
        </row>
        <row r="787">
          <cell r="A787">
            <v>311142</v>
          </cell>
          <cell r="B787">
            <v>0</v>
          </cell>
          <cell r="C787">
            <v>0</v>
          </cell>
          <cell r="D787" t="str">
            <v>לעדכן</v>
          </cell>
        </row>
        <row r="788">
          <cell r="A788">
            <v>311209</v>
          </cell>
          <cell r="B788">
            <v>0</v>
          </cell>
          <cell r="C788">
            <v>0</v>
          </cell>
          <cell r="D788" t="str">
            <v>לעדכן</v>
          </cell>
        </row>
        <row r="789">
          <cell r="A789">
            <v>311217</v>
          </cell>
          <cell r="B789">
            <v>0</v>
          </cell>
          <cell r="C789">
            <v>0</v>
          </cell>
          <cell r="D789" t="str">
            <v>לעדכן</v>
          </cell>
        </row>
        <row r="790">
          <cell r="A790">
            <v>311225</v>
          </cell>
          <cell r="B790">
            <v>0</v>
          </cell>
          <cell r="C790">
            <v>0</v>
          </cell>
          <cell r="D790" t="str">
            <v>לעדכן</v>
          </cell>
        </row>
        <row r="791">
          <cell r="A791">
            <v>311290</v>
          </cell>
          <cell r="B791">
            <v>0</v>
          </cell>
          <cell r="C791">
            <v>0</v>
          </cell>
          <cell r="D791" t="str">
            <v>לעדכן</v>
          </cell>
        </row>
        <row r="792">
          <cell r="A792">
            <v>311324</v>
          </cell>
          <cell r="B792">
            <v>0</v>
          </cell>
          <cell r="C792">
            <v>0</v>
          </cell>
          <cell r="D792" t="str">
            <v>לעדכן</v>
          </cell>
        </row>
        <row r="793">
          <cell r="A793">
            <v>311332</v>
          </cell>
          <cell r="B793">
            <v>0</v>
          </cell>
          <cell r="C793">
            <v>0</v>
          </cell>
          <cell r="D793" t="str">
            <v>לעדכן</v>
          </cell>
        </row>
        <row r="794">
          <cell r="A794">
            <v>311357</v>
          </cell>
          <cell r="B794">
            <v>0</v>
          </cell>
          <cell r="C794">
            <v>0</v>
          </cell>
          <cell r="D794" t="str">
            <v>לעדכן</v>
          </cell>
        </row>
        <row r="795">
          <cell r="A795">
            <v>311365</v>
          </cell>
          <cell r="B795">
            <v>0</v>
          </cell>
          <cell r="C795">
            <v>0</v>
          </cell>
          <cell r="D795" t="str">
            <v>לעדכן</v>
          </cell>
        </row>
        <row r="796">
          <cell r="A796">
            <v>311399</v>
          </cell>
          <cell r="B796">
            <v>0</v>
          </cell>
          <cell r="C796">
            <v>0</v>
          </cell>
          <cell r="D796" t="str">
            <v>לעדכן</v>
          </cell>
        </row>
        <row r="797">
          <cell r="A797">
            <v>311431</v>
          </cell>
          <cell r="B797">
            <v>0</v>
          </cell>
          <cell r="C797">
            <v>0</v>
          </cell>
          <cell r="D797" t="str">
            <v>לעדכן</v>
          </cell>
        </row>
        <row r="798">
          <cell r="A798">
            <v>311456</v>
          </cell>
          <cell r="B798">
            <v>0</v>
          </cell>
          <cell r="C798">
            <v>0</v>
          </cell>
          <cell r="D798" t="str">
            <v>לעדכן</v>
          </cell>
        </row>
        <row r="799">
          <cell r="A799">
            <v>311480</v>
          </cell>
          <cell r="B799">
            <v>0</v>
          </cell>
          <cell r="C799">
            <v>0</v>
          </cell>
          <cell r="D799" t="str">
            <v>לעדכן</v>
          </cell>
        </row>
        <row r="800">
          <cell r="A800">
            <v>311514</v>
          </cell>
          <cell r="B800">
            <v>0</v>
          </cell>
          <cell r="C800">
            <v>0</v>
          </cell>
          <cell r="D800" t="str">
            <v>לעדכן</v>
          </cell>
        </row>
        <row r="801">
          <cell r="A801">
            <v>311522</v>
          </cell>
          <cell r="B801">
            <v>0</v>
          </cell>
          <cell r="C801">
            <v>0</v>
          </cell>
          <cell r="D801" t="str">
            <v>לעדכן</v>
          </cell>
        </row>
        <row r="802">
          <cell r="A802">
            <v>311530</v>
          </cell>
          <cell r="B802">
            <v>0</v>
          </cell>
          <cell r="C802">
            <v>0</v>
          </cell>
          <cell r="D802" t="str">
            <v>לעדכן</v>
          </cell>
        </row>
        <row r="803">
          <cell r="A803">
            <v>311548</v>
          </cell>
          <cell r="B803">
            <v>0</v>
          </cell>
          <cell r="C803">
            <v>0</v>
          </cell>
          <cell r="D803" t="str">
            <v>לעדכן</v>
          </cell>
        </row>
        <row r="804">
          <cell r="A804">
            <v>311563</v>
          </cell>
          <cell r="B804">
            <v>0</v>
          </cell>
          <cell r="C804">
            <v>0</v>
          </cell>
          <cell r="D804" t="str">
            <v>לעדכן</v>
          </cell>
        </row>
        <row r="805">
          <cell r="A805">
            <v>311597</v>
          </cell>
          <cell r="B805">
            <v>0</v>
          </cell>
          <cell r="C805">
            <v>0</v>
          </cell>
          <cell r="D805" t="str">
            <v>לעדכן</v>
          </cell>
        </row>
        <row r="806">
          <cell r="A806">
            <v>311605</v>
          </cell>
          <cell r="B806">
            <v>0</v>
          </cell>
          <cell r="C806">
            <v>0</v>
          </cell>
          <cell r="D806" t="str">
            <v>לעדכן</v>
          </cell>
        </row>
        <row r="807">
          <cell r="A807">
            <v>311613</v>
          </cell>
          <cell r="B807">
            <v>0</v>
          </cell>
          <cell r="C807">
            <v>0</v>
          </cell>
          <cell r="D807" t="str">
            <v>לעדכן</v>
          </cell>
        </row>
        <row r="808">
          <cell r="A808">
            <v>311621</v>
          </cell>
          <cell r="B808">
            <v>0</v>
          </cell>
          <cell r="C808">
            <v>0</v>
          </cell>
          <cell r="D808" t="str">
            <v>לעדכן</v>
          </cell>
        </row>
        <row r="809">
          <cell r="A809">
            <v>311738</v>
          </cell>
          <cell r="B809">
            <v>0</v>
          </cell>
          <cell r="C809">
            <v>0</v>
          </cell>
          <cell r="D809" t="str">
            <v>לעדכן</v>
          </cell>
        </row>
        <row r="810">
          <cell r="A810">
            <v>311753</v>
          </cell>
          <cell r="B810">
            <v>0</v>
          </cell>
          <cell r="C810">
            <v>0</v>
          </cell>
          <cell r="D810" t="str">
            <v>לעדכן</v>
          </cell>
        </row>
        <row r="811">
          <cell r="A811">
            <v>311761</v>
          </cell>
          <cell r="B811">
            <v>0</v>
          </cell>
          <cell r="C811">
            <v>0</v>
          </cell>
          <cell r="D811" t="str">
            <v>לעדכן</v>
          </cell>
        </row>
        <row r="812">
          <cell r="A812">
            <v>311803</v>
          </cell>
          <cell r="B812">
            <v>0</v>
          </cell>
          <cell r="C812">
            <v>0</v>
          </cell>
          <cell r="D812" t="str">
            <v>לעדכן</v>
          </cell>
        </row>
        <row r="813">
          <cell r="A813">
            <v>311811</v>
          </cell>
          <cell r="B813">
            <v>0</v>
          </cell>
          <cell r="C813">
            <v>0</v>
          </cell>
          <cell r="D813" t="str">
            <v>לעדכן</v>
          </cell>
        </row>
        <row r="814">
          <cell r="A814">
            <v>311837</v>
          </cell>
          <cell r="B814">
            <v>0</v>
          </cell>
          <cell r="C814">
            <v>0</v>
          </cell>
          <cell r="D814" t="str">
            <v>לעדכן</v>
          </cell>
        </row>
        <row r="815">
          <cell r="A815">
            <v>311886</v>
          </cell>
          <cell r="B815">
            <v>0</v>
          </cell>
          <cell r="C815">
            <v>0</v>
          </cell>
          <cell r="D815" t="str">
            <v>לעדכן</v>
          </cell>
        </row>
        <row r="816">
          <cell r="A816">
            <v>311894</v>
          </cell>
          <cell r="B816">
            <v>0</v>
          </cell>
          <cell r="C816">
            <v>0</v>
          </cell>
          <cell r="D816" t="str">
            <v>לעדכן</v>
          </cell>
        </row>
        <row r="817">
          <cell r="A817">
            <v>312033</v>
          </cell>
          <cell r="B817">
            <v>0</v>
          </cell>
          <cell r="C817">
            <v>0</v>
          </cell>
          <cell r="D817" t="str">
            <v>לעדכן</v>
          </cell>
        </row>
        <row r="818">
          <cell r="A818">
            <v>312041</v>
          </cell>
          <cell r="B818">
            <v>0</v>
          </cell>
          <cell r="C818">
            <v>0</v>
          </cell>
          <cell r="D818" t="str">
            <v>לעדכן</v>
          </cell>
        </row>
        <row r="819">
          <cell r="A819">
            <v>312082</v>
          </cell>
          <cell r="B819">
            <v>0</v>
          </cell>
          <cell r="C819">
            <v>0</v>
          </cell>
          <cell r="D819" t="str">
            <v>לעדכן</v>
          </cell>
        </row>
        <row r="820">
          <cell r="A820">
            <v>312090</v>
          </cell>
          <cell r="B820">
            <v>0</v>
          </cell>
          <cell r="C820">
            <v>0</v>
          </cell>
          <cell r="D820" t="str">
            <v>לעדכן</v>
          </cell>
        </row>
        <row r="821">
          <cell r="A821">
            <v>312108</v>
          </cell>
          <cell r="B821">
            <v>0</v>
          </cell>
          <cell r="C821">
            <v>0</v>
          </cell>
          <cell r="D821" t="str">
            <v>לעדכן</v>
          </cell>
        </row>
        <row r="822">
          <cell r="A822">
            <v>312124</v>
          </cell>
          <cell r="B822">
            <v>0</v>
          </cell>
          <cell r="C822">
            <v>0</v>
          </cell>
          <cell r="D822" t="str">
            <v>לעדכן</v>
          </cell>
        </row>
        <row r="823">
          <cell r="A823">
            <v>312132</v>
          </cell>
          <cell r="B823">
            <v>0</v>
          </cell>
          <cell r="C823">
            <v>0</v>
          </cell>
          <cell r="D823" t="str">
            <v>לעדכן</v>
          </cell>
        </row>
        <row r="824">
          <cell r="A824">
            <v>312140</v>
          </cell>
          <cell r="B824">
            <v>0</v>
          </cell>
          <cell r="C824">
            <v>0</v>
          </cell>
          <cell r="D824" t="str">
            <v>לעדכן</v>
          </cell>
        </row>
        <row r="825">
          <cell r="A825">
            <v>312165</v>
          </cell>
          <cell r="B825">
            <v>0</v>
          </cell>
          <cell r="C825">
            <v>0</v>
          </cell>
          <cell r="D825" t="str">
            <v>לעדכן</v>
          </cell>
        </row>
        <row r="826">
          <cell r="A826">
            <v>312173</v>
          </cell>
          <cell r="B826">
            <v>0</v>
          </cell>
          <cell r="C826">
            <v>0</v>
          </cell>
          <cell r="D826" t="str">
            <v>לעדכן</v>
          </cell>
        </row>
        <row r="827">
          <cell r="A827">
            <v>312199</v>
          </cell>
          <cell r="B827">
            <v>0</v>
          </cell>
          <cell r="C827">
            <v>0</v>
          </cell>
          <cell r="D827" t="str">
            <v>לעדכן</v>
          </cell>
        </row>
        <row r="828">
          <cell r="A828">
            <v>312207</v>
          </cell>
          <cell r="B828">
            <v>0</v>
          </cell>
          <cell r="C828">
            <v>0</v>
          </cell>
          <cell r="D828" t="str">
            <v>לעדכן</v>
          </cell>
        </row>
        <row r="829">
          <cell r="A829">
            <v>312223</v>
          </cell>
          <cell r="B829">
            <v>0</v>
          </cell>
          <cell r="C829">
            <v>0</v>
          </cell>
          <cell r="D829" t="str">
            <v>לעדכן</v>
          </cell>
        </row>
        <row r="830">
          <cell r="A830">
            <v>312314</v>
          </cell>
          <cell r="B830">
            <v>0</v>
          </cell>
          <cell r="C830">
            <v>0</v>
          </cell>
          <cell r="D830" t="str">
            <v>לעדכן</v>
          </cell>
        </row>
        <row r="831">
          <cell r="A831">
            <v>312322</v>
          </cell>
          <cell r="B831">
            <v>0</v>
          </cell>
          <cell r="C831">
            <v>0</v>
          </cell>
          <cell r="D831" t="str">
            <v>לעדכן</v>
          </cell>
        </row>
        <row r="832">
          <cell r="A832">
            <v>312355</v>
          </cell>
          <cell r="B832">
            <v>0</v>
          </cell>
          <cell r="C832">
            <v>0</v>
          </cell>
          <cell r="D832" t="str">
            <v>לעדכן</v>
          </cell>
        </row>
        <row r="833">
          <cell r="A833">
            <v>312371</v>
          </cell>
          <cell r="B833">
            <v>0</v>
          </cell>
          <cell r="C833">
            <v>0</v>
          </cell>
          <cell r="D833" t="str">
            <v>לעדכן</v>
          </cell>
        </row>
        <row r="834">
          <cell r="A834">
            <v>312397</v>
          </cell>
          <cell r="B834">
            <v>0</v>
          </cell>
          <cell r="C834">
            <v>0</v>
          </cell>
          <cell r="D834" t="str">
            <v>לעדכן</v>
          </cell>
        </row>
        <row r="835">
          <cell r="A835">
            <v>312421</v>
          </cell>
          <cell r="B835">
            <v>0</v>
          </cell>
          <cell r="C835">
            <v>0</v>
          </cell>
          <cell r="D835" t="str">
            <v>לעדכן</v>
          </cell>
        </row>
        <row r="836">
          <cell r="A836">
            <v>312439</v>
          </cell>
          <cell r="B836">
            <v>0</v>
          </cell>
          <cell r="C836">
            <v>0</v>
          </cell>
          <cell r="D836" t="str">
            <v>לעדכן</v>
          </cell>
        </row>
        <row r="837">
          <cell r="A837">
            <v>312470</v>
          </cell>
          <cell r="B837">
            <v>0</v>
          </cell>
          <cell r="C837">
            <v>0</v>
          </cell>
          <cell r="D837" t="str">
            <v>לעדכן</v>
          </cell>
        </row>
        <row r="838">
          <cell r="A838">
            <v>312504</v>
          </cell>
          <cell r="B838">
            <v>0</v>
          </cell>
          <cell r="C838">
            <v>0</v>
          </cell>
          <cell r="D838" t="str">
            <v>לעדכן</v>
          </cell>
        </row>
        <row r="839">
          <cell r="A839">
            <v>312512</v>
          </cell>
          <cell r="B839">
            <v>0</v>
          </cell>
          <cell r="C839">
            <v>0</v>
          </cell>
          <cell r="D839" t="str">
            <v>לעדכן</v>
          </cell>
        </row>
        <row r="840">
          <cell r="A840">
            <v>312520</v>
          </cell>
          <cell r="B840">
            <v>0</v>
          </cell>
          <cell r="C840">
            <v>0</v>
          </cell>
          <cell r="D840" t="str">
            <v>לעדכן</v>
          </cell>
        </row>
        <row r="841">
          <cell r="A841">
            <v>312538</v>
          </cell>
          <cell r="B841">
            <v>0</v>
          </cell>
          <cell r="C841">
            <v>0</v>
          </cell>
          <cell r="D841" t="str">
            <v>לעדכן</v>
          </cell>
        </row>
        <row r="842">
          <cell r="A842">
            <v>312579</v>
          </cell>
          <cell r="B842">
            <v>0</v>
          </cell>
          <cell r="C842">
            <v>0</v>
          </cell>
          <cell r="D842" t="str">
            <v>לעדכן</v>
          </cell>
        </row>
        <row r="843">
          <cell r="A843">
            <v>312603</v>
          </cell>
          <cell r="B843">
            <v>0</v>
          </cell>
          <cell r="C843">
            <v>0</v>
          </cell>
          <cell r="D843" t="str">
            <v>לעדכן</v>
          </cell>
        </row>
        <row r="844">
          <cell r="A844">
            <v>312611</v>
          </cell>
          <cell r="B844">
            <v>0</v>
          </cell>
          <cell r="C844">
            <v>0</v>
          </cell>
          <cell r="D844" t="str">
            <v>לעדכן</v>
          </cell>
        </row>
        <row r="845">
          <cell r="A845">
            <v>312629</v>
          </cell>
          <cell r="B845">
            <v>0</v>
          </cell>
          <cell r="C845">
            <v>0</v>
          </cell>
          <cell r="D845" t="str">
            <v>לעדכן</v>
          </cell>
        </row>
        <row r="846">
          <cell r="A846">
            <v>312637</v>
          </cell>
          <cell r="B846">
            <v>0</v>
          </cell>
          <cell r="C846">
            <v>0</v>
          </cell>
          <cell r="D846" t="str">
            <v>לעדכן</v>
          </cell>
        </row>
        <row r="847">
          <cell r="A847">
            <v>312652</v>
          </cell>
          <cell r="B847">
            <v>0</v>
          </cell>
          <cell r="C847">
            <v>0</v>
          </cell>
          <cell r="D847" t="str">
            <v>לעדכן</v>
          </cell>
        </row>
        <row r="848">
          <cell r="A848">
            <v>312660</v>
          </cell>
          <cell r="B848">
            <v>0</v>
          </cell>
          <cell r="C848">
            <v>0</v>
          </cell>
          <cell r="D848" t="str">
            <v>לעדכן</v>
          </cell>
        </row>
        <row r="849">
          <cell r="A849">
            <v>312686</v>
          </cell>
          <cell r="B849">
            <v>0</v>
          </cell>
          <cell r="C849">
            <v>0</v>
          </cell>
          <cell r="D849" t="str">
            <v>לעדכן</v>
          </cell>
        </row>
        <row r="850">
          <cell r="A850">
            <v>312694</v>
          </cell>
          <cell r="B850">
            <v>0</v>
          </cell>
          <cell r="C850">
            <v>0</v>
          </cell>
          <cell r="D850" t="str">
            <v>לעדכן</v>
          </cell>
        </row>
        <row r="851">
          <cell r="A851">
            <v>312702</v>
          </cell>
          <cell r="B851">
            <v>0</v>
          </cell>
          <cell r="C851">
            <v>0</v>
          </cell>
          <cell r="D851" t="str">
            <v>לעדכן</v>
          </cell>
        </row>
        <row r="852">
          <cell r="A852">
            <v>312710</v>
          </cell>
          <cell r="B852">
            <v>0</v>
          </cell>
          <cell r="C852">
            <v>0</v>
          </cell>
          <cell r="D852" t="str">
            <v>לעדכן</v>
          </cell>
        </row>
        <row r="853">
          <cell r="A853">
            <v>312728</v>
          </cell>
          <cell r="B853">
            <v>0</v>
          </cell>
          <cell r="C853">
            <v>0</v>
          </cell>
          <cell r="D853" t="str">
            <v>לעדכן</v>
          </cell>
        </row>
        <row r="854">
          <cell r="A854">
            <v>312736</v>
          </cell>
          <cell r="B854">
            <v>0</v>
          </cell>
          <cell r="C854">
            <v>0</v>
          </cell>
          <cell r="D854" t="str">
            <v>לעדכן</v>
          </cell>
        </row>
        <row r="855">
          <cell r="A855">
            <v>312744</v>
          </cell>
          <cell r="B855">
            <v>0</v>
          </cell>
          <cell r="C855">
            <v>0</v>
          </cell>
          <cell r="D855" t="str">
            <v>לעדכן</v>
          </cell>
        </row>
        <row r="856">
          <cell r="A856">
            <v>312751</v>
          </cell>
          <cell r="B856">
            <v>0</v>
          </cell>
          <cell r="C856">
            <v>0</v>
          </cell>
          <cell r="D856" t="str">
            <v>לעדכן</v>
          </cell>
        </row>
        <row r="857">
          <cell r="A857">
            <v>312769</v>
          </cell>
          <cell r="B857">
            <v>0</v>
          </cell>
          <cell r="C857">
            <v>0</v>
          </cell>
          <cell r="D857" t="str">
            <v>לעדכן</v>
          </cell>
        </row>
        <row r="858">
          <cell r="A858">
            <v>312793</v>
          </cell>
          <cell r="B858">
            <v>0</v>
          </cell>
          <cell r="C858">
            <v>0</v>
          </cell>
          <cell r="D858" t="str">
            <v>לעדכן</v>
          </cell>
        </row>
        <row r="859">
          <cell r="A859">
            <v>312819</v>
          </cell>
          <cell r="B859">
            <v>0</v>
          </cell>
          <cell r="C859">
            <v>0</v>
          </cell>
          <cell r="D859" t="str">
            <v>לעדכן</v>
          </cell>
        </row>
        <row r="860">
          <cell r="A860">
            <v>312835</v>
          </cell>
          <cell r="B860">
            <v>0</v>
          </cell>
          <cell r="C860">
            <v>0</v>
          </cell>
          <cell r="D860" t="str">
            <v>לעדכן</v>
          </cell>
        </row>
        <row r="861">
          <cell r="A861">
            <v>312850</v>
          </cell>
          <cell r="B861">
            <v>0</v>
          </cell>
          <cell r="C861">
            <v>0</v>
          </cell>
          <cell r="D861" t="str">
            <v>לעדכן</v>
          </cell>
        </row>
        <row r="862">
          <cell r="A862">
            <v>312876</v>
          </cell>
          <cell r="B862">
            <v>0</v>
          </cell>
          <cell r="C862">
            <v>0</v>
          </cell>
          <cell r="D862" t="str">
            <v>לעדכן</v>
          </cell>
        </row>
        <row r="863">
          <cell r="A863">
            <v>312918</v>
          </cell>
          <cell r="B863">
            <v>0</v>
          </cell>
          <cell r="C863">
            <v>0</v>
          </cell>
          <cell r="D863" t="str">
            <v>לעדכן</v>
          </cell>
        </row>
        <row r="864">
          <cell r="A864">
            <v>312926</v>
          </cell>
          <cell r="B864">
            <v>0</v>
          </cell>
          <cell r="C864">
            <v>0</v>
          </cell>
          <cell r="D864" t="str">
            <v>לעדכן</v>
          </cell>
        </row>
        <row r="865">
          <cell r="A865">
            <v>312942</v>
          </cell>
          <cell r="B865">
            <v>0</v>
          </cell>
          <cell r="C865">
            <v>0</v>
          </cell>
          <cell r="D865" t="str">
            <v>לעדכן</v>
          </cell>
        </row>
        <row r="866">
          <cell r="A866">
            <v>312975</v>
          </cell>
          <cell r="B866">
            <v>0</v>
          </cell>
          <cell r="C866">
            <v>0</v>
          </cell>
          <cell r="D866" t="str">
            <v>לעדכן</v>
          </cell>
        </row>
        <row r="867">
          <cell r="A867">
            <v>312991</v>
          </cell>
          <cell r="B867">
            <v>0</v>
          </cell>
          <cell r="C867">
            <v>0</v>
          </cell>
          <cell r="D867" t="str">
            <v>לעדכן</v>
          </cell>
        </row>
        <row r="868">
          <cell r="A868">
            <v>313460</v>
          </cell>
          <cell r="B868">
            <v>0</v>
          </cell>
          <cell r="C868">
            <v>0</v>
          </cell>
          <cell r="D868" t="str">
            <v>לעדכן</v>
          </cell>
        </row>
        <row r="869">
          <cell r="A869">
            <v>313478</v>
          </cell>
          <cell r="B869">
            <v>0</v>
          </cell>
          <cell r="C869">
            <v>0</v>
          </cell>
          <cell r="D869" t="str">
            <v>לעדכן</v>
          </cell>
        </row>
        <row r="870">
          <cell r="A870">
            <v>313502</v>
          </cell>
          <cell r="B870">
            <v>0</v>
          </cell>
          <cell r="C870">
            <v>0</v>
          </cell>
          <cell r="D870" t="str">
            <v>לעדכן</v>
          </cell>
        </row>
        <row r="871">
          <cell r="A871">
            <v>313544</v>
          </cell>
          <cell r="B871">
            <v>0</v>
          </cell>
          <cell r="C871">
            <v>0</v>
          </cell>
          <cell r="D871" t="str">
            <v>לעדכן</v>
          </cell>
        </row>
        <row r="872">
          <cell r="A872">
            <v>313551</v>
          </cell>
          <cell r="B872">
            <v>0</v>
          </cell>
          <cell r="C872">
            <v>0</v>
          </cell>
          <cell r="D872" t="str">
            <v>לעדכן</v>
          </cell>
        </row>
        <row r="873">
          <cell r="A873">
            <v>313585</v>
          </cell>
          <cell r="B873">
            <v>0</v>
          </cell>
          <cell r="C873">
            <v>0</v>
          </cell>
          <cell r="D873" t="str">
            <v>לעדכן</v>
          </cell>
        </row>
        <row r="874">
          <cell r="A874">
            <v>313619</v>
          </cell>
          <cell r="B874">
            <v>0</v>
          </cell>
          <cell r="C874">
            <v>0</v>
          </cell>
          <cell r="D874" t="str">
            <v>לעדכן</v>
          </cell>
        </row>
        <row r="875">
          <cell r="A875">
            <v>313635</v>
          </cell>
          <cell r="B875">
            <v>0</v>
          </cell>
          <cell r="C875">
            <v>0</v>
          </cell>
          <cell r="D875" t="str">
            <v>לעדכן</v>
          </cell>
        </row>
        <row r="876">
          <cell r="A876">
            <v>313668</v>
          </cell>
          <cell r="B876">
            <v>0</v>
          </cell>
          <cell r="C876">
            <v>0</v>
          </cell>
          <cell r="D876" t="str">
            <v>לעדכן</v>
          </cell>
        </row>
        <row r="877">
          <cell r="A877">
            <v>313676</v>
          </cell>
          <cell r="B877">
            <v>0</v>
          </cell>
          <cell r="C877">
            <v>0</v>
          </cell>
          <cell r="D877" t="str">
            <v>לעדכן</v>
          </cell>
        </row>
        <row r="878">
          <cell r="A878">
            <v>313684</v>
          </cell>
          <cell r="B878">
            <v>0</v>
          </cell>
          <cell r="C878">
            <v>0</v>
          </cell>
          <cell r="D878" t="str">
            <v>לעדכן</v>
          </cell>
        </row>
        <row r="879">
          <cell r="A879">
            <v>313692</v>
          </cell>
          <cell r="B879">
            <v>0</v>
          </cell>
          <cell r="C879">
            <v>0</v>
          </cell>
          <cell r="D879" t="str">
            <v>לעדכן</v>
          </cell>
        </row>
        <row r="880">
          <cell r="A880">
            <v>313700</v>
          </cell>
          <cell r="B880">
            <v>0</v>
          </cell>
          <cell r="C880">
            <v>0</v>
          </cell>
          <cell r="D880" t="str">
            <v>לעדכן</v>
          </cell>
        </row>
        <row r="881">
          <cell r="A881">
            <v>313759</v>
          </cell>
          <cell r="B881">
            <v>0</v>
          </cell>
          <cell r="C881">
            <v>0</v>
          </cell>
          <cell r="D881" t="str">
            <v>לעדכן</v>
          </cell>
        </row>
        <row r="882">
          <cell r="A882">
            <v>313767</v>
          </cell>
          <cell r="B882">
            <v>0</v>
          </cell>
          <cell r="C882">
            <v>0</v>
          </cell>
          <cell r="D882" t="str">
            <v>לעדכן</v>
          </cell>
        </row>
        <row r="883">
          <cell r="A883">
            <v>313783</v>
          </cell>
          <cell r="B883">
            <v>0</v>
          </cell>
          <cell r="C883">
            <v>0</v>
          </cell>
          <cell r="D883" t="str">
            <v>לעדכן</v>
          </cell>
        </row>
        <row r="884">
          <cell r="A884">
            <v>313809</v>
          </cell>
          <cell r="B884">
            <v>0</v>
          </cell>
          <cell r="C884">
            <v>0</v>
          </cell>
          <cell r="D884" t="str">
            <v>לעדכן</v>
          </cell>
        </row>
        <row r="885">
          <cell r="A885">
            <v>313825</v>
          </cell>
          <cell r="B885">
            <v>0</v>
          </cell>
          <cell r="C885">
            <v>0</v>
          </cell>
          <cell r="D885" t="str">
            <v>לעדכן</v>
          </cell>
        </row>
        <row r="886">
          <cell r="A886">
            <v>313841</v>
          </cell>
          <cell r="B886">
            <v>0</v>
          </cell>
          <cell r="C886">
            <v>0</v>
          </cell>
          <cell r="D886" t="str">
            <v>לעדכן</v>
          </cell>
        </row>
        <row r="887">
          <cell r="A887">
            <v>317024</v>
          </cell>
          <cell r="B887">
            <v>0</v>
          </cell>
          <cell r="C887">
            <v>0</v>
          </cell>
          <cell r="D887" t="str">
            <v>לעדכן</v>
          </cell>
        </row>
        <row r="888">
          <cell r="A888">
            <v>317032</v>
          </cell>
          <cell r="B888">
            <v>0</v>
          </cell>
          <cell r="C888">
            <v>0</v>
          </cell>
          <cell r="D888" t="str">
            <v>לעדכן</v>
          </cell>
        </row>
        <row r="889">
          <cell r="A889">
            <v>317065</v>
          </cell>
          <cell r="B889">
            <v>0</v>
          </cell>
          <cell r="C889">
            <v>0</v>
          </cell>
          <cell r="D889" t="str">
            <v>לעדכן</v>
          </cell>
        </row>
        <row r="890">
          <cell r="A890">
            <v>317073</v>
          </cell>
          <cell r="B890">
            <v>0</v>
          </cell>
          <cell r="C890">
            <v>0</v>
          </cell>
          <cell r="D890" t="str">
            <v>לעדכן</v>
          </cell>
        </row>
        <row r="891">
          <cell r="A891">
            <v>317123</v>
          </cell>
          <cell r="B891">
            <v>0</v>
          </cell>
          <cell r="C891">
            <v>0</v>
          </cell>
          <cell r="D891" t="str">
            <v>לעדכן</v>
          </cell>
        </row>
        <row r="892">
          <cell r="A892">
            <v>318030</v>
          </cell>
          <cell r="B892">
            <v>0</v>
          </cell>
          <cell r="C892">
            <v>0</v>
          </cell>
          <cell r="D892" t="str">
            <v>לעדכן</v>
          </cell>
        </row>
        <row r="893">
          <cell r="A893">
            <v>318048</v>
          </cell>
          <cell r="B893">
            <v>0</v>
          </cell>
          <cell r="C893">
            <v>0</v>
          </cell>
          <cell r="D893" t="str">
            <v>לעדכן</v>
          </cell>
        </row>
        <row r="894">
          <cell r="A894">
            <v>318055</v>
          </cell>
          <cell r="B894">
            <v>0</v>
          </cell>
          <cell r="C894">
            <v>0</v>
          </cell>
          <cell r="D894" t="str">
            <v>לעדכן</v>
          </cell>
        </row>
        <row r="895">
          <cell r="A895">
            <v>318063</v>
          </cell>
          <cell r="B895">
            <v>0</v>
          </cell>
          <cell r="C895">
            <v>0</v>
          </cell>
          <cell r="D895" t="str">
            <v>לעדכן</v>
          </cell>
        </row>
        <row r="896">
          <cell r="A896">
            <v>318071</v>
          </cell>
          <cell r="B896">
            <v>0</v>
          </cell>
          <cell r="C896">
            <v>0</v>
          </cell>
          <cell r="D896" t="str">
            <v>לעדכן</v>
          </cell>
        </row>
        <row r="897">
          <cell r="A897">
            <v>318089</v>
          </cell>
          <cell r="B897">
            <v>0</v>
          </cell>
          <cell r="C897">
            <v>0</v>
          </cell>
          <cell r="D897" t="str">
            <v>לעדכן</v>
          </cell>
        </row>
        <row r="898">
          <cell r="A898">
            <v>318097</v>
          </cell>
          <cell r="B898">
            <v>0</v>
          </cell>
          <cell r="C898">
            <v>0</v>
          </cell>
          <cell r="D898" t="str">
            <v>לעדכן</v>
          </cell>
        </row>
        <row r="899">
          <cell r="A899">
            <v>318105</v>
          </cell>
          <cell r="B899">
            <v>0</v>
          </cell>
          <cell r="C899">
            <v>0</v>
          </cell>
          <cell r="D899" t="str">
            <v>לעדכן</v>
          </cell>
        </row>
        <row r="900">
          <cell r="A900">
            <v>318121</v>
          </cell>
          <cell r="B900">
            <v>0</v>
          </cell>
          <cell r="C900">
            <v>0</v>
          </cell>
          <cell r="D900" t="str">
            <v>לעדכן</v>
          </cell>
        </row>
        <row r="901">
          <cell r="A901">
            <v>318139</v>
          </cell>
          <cell r="B901">
            <v>0</v>
          </cell>
          <cell r="C901">
            <v>0</v>
          </cell>
          <cell r="D901" t="str">
            <v>לעדכן</v>
          </cell>
        </row>
        <row r="902">
          <cell r="A902">
            <v>318147</v>
          </cell>
          <cell r="B902">
            <v>0</v>
          </cell>
          <cell r="C902">
            <v>0</v>
          </cell>
          <cell r="D902" t="str">
            <v>לעדכן</v>
          </cell>
        </row>
        <row r="903">
          <cell r="A903">
            <v>318154</v>
          </cell>
          <cell r="B903">
            <v>0</v>
          </cell>
          <cell r="C903">
            <v>0</v>
          </cell>
          <cell r="D903" t="str">
            <v>לעדכן</v>
          </cell>
        </row>
        <row r="904">
          <cell r="A904">
            <v>318162</v>
          </cell>
          <cell r="B904">
            <v>0</v>
          </cell>
          <cell r="C904">
            <v>0</v>
          </cell>
          <cell r="D904" t="str">
            <v>לעדכן</v>
          </cell>
        </row>
        <row r="905">
          <cell r="A905">
            <v>318188</v>
          </cell>
          <cell r="B905">
            <v>0</v>
          </cell>
          <cell r="C905">
            <v>0</v>
          </cell>
          <cell r="D905" t="str">
            <v>לעדכן</v>
          </cell>
        </row>
        <row r="906">
          <cell r="A906">
            <v>318196</v>
          </cell>
          <cell r="B906">
            <v>0</v>
          </cell>
          <cell r="C906">
            <v>0</v>
          </cell>
          <cell r="D906" t="str">
            <v>לעדכן</v>
          </cell>
        </row>
        <row r="907">
          <cell r="A907">
            <v>318204</v>
          </cell>
          <cell r="B907">
            <v>0</v>
          </cell>
          <cell r="C907">
            <v>0</v>
          </cell>
          <cell r="D907" t="str">
            <v>לעדכן</v>
          </cell>
        </row>
        <row r="908">
          <cell r="A908">
            <v>318212</v>
          </cell>
          <cell r="B908">
            <v>0</v>
          </cell>
          <cell r="C908">
            <v>0</v>
          </cell>
          <cell r="D908" t="str">
            <v>לעדכן</v>
          </cell>
        </row>
        <row r="909">
          <cell r="A909">
            <v>318220</v>
          </cell>
          <cell r="B909">
            <v>0</v>
          </cell>
          <cell r="C909">
            <v>0</v>
          </cell>
          <cell r="D909" t="str">
            <v>לעדכן</v>
          </cell>
        </row>
        <row r="910">
          <cell r="A910">
            <v>318246</v>
          </cell>
          <cell r="B910">
            <v>0</v>
          </cell>
          <cell r="C910">
            <v>0</v>
          </cell>
          <cell r="D910" t="str">
            <v>לעדכן</v>
          </cell>
        </row>
        <row r="911">
          <cell r="A911">
            <v>318261</v>
          </cell>
          <cell r="B911">
            <v>0</v>
          </cell>
          <cell r="C911">
            <v>0</v>
          </cell>
          <cell r="D911" t="str">
            <v>לעדכן</v>
          </cell>
        </row>
        <row r="912">
          <cell r="A912">
            <v>318279</v>
          </cell>
          <cell r="B912">
            <v>0</v>
          </cell>
          <cell r="C912">
            <v>0</v>
          </cell>
          <cell r="D912" t="str">
            <v>לעדכן</v>
          </cell>
        </row>
        <row r="913">
          <cell r="A913">
            <v>318287</v>
          </cell>
          <cell r="B913">
            <v>0</v>
          </cell>
          <cell r="C913">
            <v>0</v>
          </cell>
          <cell r="D913" t="str">
            <v>לעדכן</v>
          </cell>
        </row>
        <row r="914">
          <cell r="A914">
            <v>318295</v>
          </cell>
          <cell r="B914">
            <v>0</v>
          </cell>
          <cell r="C914">
            <v>0</v>
          </cell>
          <cell r="D914" t="str">
            <v>לעדכן</v>
          </cell>
        </row>
        <row r="915">
          <cell r="A915">
            <v>318303</v>
          </cell>
          <cell r="B915">
            <v>0</v>
          </cell>
          <cell r="C915">
            <v>0</v>
          </cell>
          <cell r="D915" t="str">
            <v>לעדכן</v>
          </cell>
        </row>
        <row r="916">
          <cell r="A916">
            <v>318311</v>
          </cell>
          <cell r="B916">
            <v>0</v>
          </cell>
          <cell r="C916">
            <v>0</v>
          </cell>
          <cell r="D916" t="str">
            <v>לעדכן</v>
          </cell>
        </row>
        <row r="917">
          <cell r="A917">
            <v>318337</v>
          </cell>
          <cell r="B917">
            <v>0</v>
          </cell>
          <cell r="C917">
            <v>0</v>
          </cell>
          <cell r="D917" t="str">
            <v>לעדכן</v>
          </cell>
        </row>
        <row r="918">
          <cell r="A918">
            <v>318345</v>
          </cell>
          <cell r="B918">
            <v>0</v>
          </cell>
          <cell r="C918">
            <v>0</v>
          </cell>
          <cell r="D918" t="str">
            <v>לעדכן</v>
          </cell>
        </row>
        <row r="919">
          <cell r="A919">
            <v>318352</v>
          </cell>
          <cell r="B919">
            <v>0</v>
          </cell>
          <cell r="C919">
            <v>0</v>
          </cell>
          <cell r="D919" t="str">
            <v>לעדכן</v>
          </cell>
        </row>
        <row r="920">
          <cell r="A920">
            <v>318360</v>
          </cell>
          <cell r="B920">
            <v>0</v>
          </cell>
          <cell r="C920">
            <v>0</v>
          </cell>
          <cell r="D920" t="str">
            <v>לעדכן</v>
          </cell>
        </row>
        <row r="921">
          <cell r="A921">
            <v>318394</v>
          </cell>
          <cell r="B921">
            <v>0</v>
          </cell>
          <cell r="C921">
            <v>0</v>
          </cell>
          <cell r="D921" t="str">
            <v>לעדכן</v>
          </cell>
        </row>
        <row r="922">
          <cell r="A922">
            <v>318402</v>
          </cell>
          <cell r="B922">
            <v>0</v>
          </cell>
          <cell r="C922">
            <v>0</v>
          </cell>
          <cell r="D922" t="str">
            <v>לעדכן</v>
          </cell>
        </row>
        <row r="923">
          <cell r="A923">
            <v>318410</v>
          </cell>
          <cell r="B923">
            <v>0</v>
          </cell>
          <cell r="C923">
            <v>0</v>
          </cell>
          <cell r="D923" t="str">
            <v>לעדכן</v>
          </cell>
        </row>
        <row r="924">
          <cell r="A924">
            <v>318428</v>
          </cell>
          <cell r="B924">
            <v>0</v>
          </cell>
          <cell r="C924">
            <v>0</v>
          </cell>
          <cell r="D924" t="str">
            <v>לעדכן</v>
          </cell>
        </row>
        <row r="925">
          <cell r="A925">
            <v>318436</v>
          </cell>
          <cell r="B925">
            <v>0</v>
          </cell>
          <cell r="C925">
            <v>0</v>
          </cell>
          <cell r="D925" t="str">
            <v>לעדכן</v>
          </cell>
        </row>
        <row r="926">
          <cell r="A926">
            <v>318469</v>
          </cell>
          <cell r="B926">
            <v>0</v>
          </cell>
          <cell r="C926">
            <v>0</v>
          </cell>
          <cell r="D926" t="str">
            <v>לעדכן</v>
          </cell>
        </row>
        <row r="927">
          <cell r="A927">
            <v>318477</v>
          </cell>
          <cell r="B927">
            <v>0</v>
          </cell>
          <cell r="C927">
            <v>0</v>
          </cell>
          <cell r="D927" t="str">
            <v>לעדכן</v>
          </cell>
        </row>
        <row r="928">
          <cell r="A928">
            <v>318485</v>
          </cell>
          <cell r="B928">
            <v>0</v>
          </cell>
          <cell r="C928">
            <v>0</v>
          </cell>
          <cell r="D928" t="str">
            <v>לעדכן</v>
          </cell>
        </row>
        <row r="929">
          <cell r="A929">
            <v>318493</v>
          </cell>
          <cell r="B929">
            <v>0</v>
          </cell>
          <cell r="C929">
            <v>0</v>
          </cell>
          <cell r="D929" t="str">
            <v>לעדכן</v>
          </cell>
        </row>
        <row r="930">
          <cell r="A930">
            <v>318501</v>
          </cell>
          <cell r="B930">
            <v>0</v>
          </cell>
          <cell r="C930">
            <v>0</v>
          </cell>
          <cell r="D930" t="str">
            <v>לעדכן</v>
          </cell>
        </row>
        <row r="931">
          <cell r="A931">
            <v>318519</v>
          </cell>
          <cell r="B931">
            <v>0</v>
          </cell>
          <cell r="C931">
            <v>0</v>
          </cell>
          <cell r="D931" t="str">
            <v>לעדכן</v>
          </cell>
        </row>
        <row r="932">
          <cell r="A932">
            <v>318527</v>
          </cell>
          <cell r="B932">
            <v>0</v>
          </cell>
          <cell r="C932">
            <v>0</v>
          </cell>
          <cell r="D932" t="str">
            <v>לעדכן</v>
          </cell>
        </row>
        <row r="933">
          <cell r="A933">
            <v>318535</v>
          </cell>
          <cell r="B933">
            <v>0</v>
          </cell>
          <cell r="C933">
            <v>0</v>
          </cell>
          <cell r="D933" t="str">
            <v>לעדכן</v>
          </cell>
        </row>
        <row r="934">
          <cell r="A934">
            <v>318543</v>
          </cell>
          <cell r="B934">
            <v>0</v>
          </cell>
          <cell r="C934">
            <v>0</v>
          </cell>
          <cell r="D934" t="str">
            <v>לעדכן</v>
          </cell>
        </row>
        <row r="935">
          <cell r="A935">
            <v>318550</v>
          </cell>
          <cell r="B935">
            <v>0</v>
          </cell>
          <cell r="C935">
            <v>0</v>
          </cell>
          <cell r="D935" t="str">
            <v>לעדכן</v>
          </cell>
        </row>
        <row r="936">
          <cell r="A936">
            <v>318568</v>
          </cell>
          <cell r="B936">
            <v>0</v>
          </cell>
          <cell r="C936">
            <v>0</v>
          </cell>
          <cell r="D936" t="str">
            <v>לעדכן</v>
          </cell>
        </row>
        <row r="937">
          <cell r="A937">
            <v>318576</v>
          </cell>
          <cell r="B937">
            <v>0</v>
          </cell>
          <cell r="C937">
            <v>0</v>
          </cell>
          <cell r="D937" t="str">
            <v>לעדכן</v>
          </cell>
        </row>
        <row r="938">
          <cell r="A938">
            <v>318592</v>
          </cell>
          <cell r="B938">
            <v>0</v>
          </cell>
          <cell r="C938">
            <v>0</v>
          </cell>
          <cell r="D938" t="str">
            <v>לעדכן</v>
          </cell>
        </row>
        <row r="939">
          <cell r="A939">
            <v>318600</v>
          </cell>
          <cell r="B939">
            <v>0</v>
          </cell>
          <cell r="C939">
            <v>0</v>
          </cell>
          <cell r="D939" t="str">
            <v>לעדכן</v>
          </cell>
        </row>
        <row r="940">
          <cell r="A940">
            <v>318618</v>
          </cell>
          <cell r="B940">
            <v>0</v>
          </cell>
          <cell r="C940">
            <v>0</v>
          </cell>
          <cell r="D940" t="str">
            <v>לעדכן</v>
          </cell>
        </row>
        <row r="941">
          <cell r="A941">
            <v>318626</v>
          </cell>
          <cell r="B941">
            <v>0</v>
          </cell>
          <cell r="C941">
            <v>0</v>
          </cell>
          <cell r="D941" t="str">
            <v>לעדכן</v>
          </cell>
        </row>
        <row r="942">
          <cell r="A942">
            <v>318634</v>
          </cell>
          <cell r="B942">
            <v>0</v>
          </cell>
          <cell r="C942">
            <v>0</v>
          </cell>
          <cell r="D942" t="str">
            <v>לעדכן</v>
          </cell>
        </row>
        <row r="943">
          <cell r="A943">
            <v>318659</v>
          </cell>
          <cell r="B943">
            <v>0</v>
          </cell>
          <cell r="C943">
            <v>0</v>
          </cell>
          <cell r="D943" t="str">
            <v>לעדכן</v>
          </cell>
        </row>
        <row r="944">
          <cell r="A944">
            <v>318667</v>
          </cell>
          <cell r="B944">
            <v>0</v>
          </cell>
          <cell r="C944">
            <v>0</v>
          </cell>
          <cell r="D944" t="str">
            <v>לעדכן</v>
          </cell>
        </row>
        <row r="945">
          <cell r="A945">
            <v>318840</v>
          </cell>
          <cell r="B945">
            <v>0</v>
          </cell>
          <cell r="C945">
            <v>0</v>
          </cell>
          <cell r="D945" t="str">
            <v>לעדכן</v>
          </cell>
        </row>
        <row r="946">
          <cell r="A946">
            <v>318857</v>
          </cell>
          <cell r="B946">
            <v>0</v>
          </cell>
          <cell r="C946">
            <v>0</v>
          </cell>
          <cell r="D946" t="str">
            <v>לעדכן</v>
          </cell>
        </row>
        <row r="947">
          <cell r="A947">
            <v>318873</v>
          </cell>
          <cell r="B947">
            <v>0</v>
          </cell>
          <cell r="C947">
            <v>0</v>
          </cell>
          <cell r="D947" t="str">
            <v>לעדכן</v>
          </cell>
        </row>
        <row r="948">
          <cell r="A948">
            <v>318881</v>
          </cell>
          <cell r="B948">
            <v>0</v>
          </cell>
          <cell r="C948">
            <v>0</v>
          </cell>
          <cell r="D948" t="str">
            <v>לעדכן</v>
          </cell>
        </row>
        <row r="949">
          <cell r="A949">
            <v>328153</v>
          </cell>
          <cell r="B949">
            <v>0</v>
          </cell>
          <cell r="C949">
            <v>0</v>
          </cell>
          <cell r="D949" t="str">
            <v>לעדכן</v>
          </cell>
        </row>
        <row r="950">
          <cell r="A950">
            <v>328187</v>
          </cell>
          <cell r="B950">
            <v>0</v>
          </cell>
          <cell r="C950">
            <v>0</v>
          </cell>
          <cell r="D950" t="str">
            <v>לעדכן</v>
          </cell>
        </row>
        <row r="951">
          <cell r="A951">
            <v>331066</v>
          </cell>
          <cell r="B951">
            <v>0</v>
          </cell>
          <cell r="C951">
            <v>0</v>
          </cell>
          <cell r="D951" t="str">
            <v>לעדכן</v>
          </cell>
        </row>
        <row r="952">
          <cell r="A952">
            <v>338053</v>
          </cell>
          <cell r="B952">
            <v>0</v>
          </cell>
          <cell r="C952">
            <v>0</v>
          </cell>
          <cell r="D952" t="str">
            <v>לעדכן</v>
          </cell>
        </row>
        <row r="953">
          <cell r="A953">
            <v>338087</v>
          </cell>
          <cell r="B953">
            <v>0</v>
          </cell>
          <cell r="C953">
            <v>0</v>
          </cell>
          <cell r="D953" t="str">
            <v>לעדכן</v>
          </cell>
        </row>
        <row r="954">
          <cell r="A954">
            <v>338145</v>
          </cell>
          <cell r="B954">
            <v>0</v>
          </cell>
          <cell r="C954">
            <v>0</v>
          </cell>
          <cell r="D954" t="str">
            <v>לעדכן</v>
          </cell>
        </row>
        <row r="955">
          <cell r="A955">
            <v>338152</v>
          </cell>
          <cell r="B955">
            <v>0</v>
          </cell>
          <cell r="C955">
            <v>0</v>
          </cell>
          <cell r="D955" t="str">
            <v>לעדכן</v>
          </cell>
        </row>
        <row r="956">
          <cell r="A956">
            <v>338178</v>
          </cell>
          <cell r="B956">
            <v>0</v>
          </cell>
          <cell r="C956">
            <v>0</v>
          </cell>
          <cell r="D956" t="str">
            <v>לעדכן</v>
          </cell>
        </row>
        <row r="957">
          <cell r="A957">
            <v>338186</v>
          </cell>
          <cell r="B957">
            <v>0</v>
          </cell>
          <cell r="C957">
            <v>0</v>
          </cell>
          <cell r="D957" t="str">
            <v>לעדכן</v>
          </cell>
        </row>
        <row r="958">
          <cell r="A958">
            <v>338210</v>
          </cell>
          <cell r="B958">
            <v>0</v>
          </cell>
          <cell r="C958">
            <v>0</v>
          </cell>
          <cell r="D958" t="str">
            <v>לעדכן</v>
          </cell>
        </row>
        <row r="959">
          <cell r="A959">
            <v>338285</v>
          </cell>
          <cell r="B959">
            <v>0</v>
          </cell>
          <cell r="C959">
            <v>0</v>
          </cell>
          <cell r="D959" t="str">
            <v>לעדכן</v>
          </cell>
        </row>
        <row r="960">
          <cell r="A960">
            <v>338327</v>
          </cell>
          <cell r="B960">
            <v>0</v>
          </cell>
          <cell r="C960">
            <v>0</v>
          </cell>
          <cell r="D960" t="str">
            <v>לעדכן</v>
          </cell>
        </row>
        <row r="961">
          <cell r="A961">
            <v>338335</v>
          </cell>
          <cell r="B961">
            <v>0</v>
          </cell>
          <cell r="C961">
            <v>0</v>
          </cell>
          <cell r="D961" t="str">
            <v>לעדכן</v>
          </cell>
        </row>
        <row r="962">
          <cell r="A962">
            <v>338343</v>
          </cell>
          <cell r="B962">
            <v>0</v>
          </cell>
          <cell r="C962">
            <v>0</v>
          </cell>
          <cell r="D962" t="str">
            <v>לעדכן</v>
          </cell>
        </row>
        <row r="963">
          <cell r="A963">
            <v>338350</v>
          </cell>
          <cell r="B963">
            <v>0</v>
          </cell>
          <cell r="C963">
            <v>0</v>
          </cell>
          <cell r="D963" t="str">
            <v>לעדכן</v>
          </cell>
        </row>
        <row r="964">
          <cell r="A964">
            <v>338368</v>
          </cell>
          <cell r="B964">
            <v>0</v>
          </cell>
          <cell r="C964">
            <v>0</v>
          </cell>
          <cell r="D964" t="str">
            <v>לעדכן</v>
          </cell>
        </row>
        <row r="965">
          <cell r="A965">
            <v>338376</v>
          </cell>
          <cell r="B965">
            <v>0</v>
          </cell>
          <cell r="C965">
            <v>0</v>
          </cell>
          <cell r="D965" t="str">
            <v>לעדכן</v>
          </cell>
        </row>
        <row r="966">
          <cell r="A966">
            <v>338434</v>
          </cell>
          <cell r="B966">
            <v>0</v>
          </cell>
          <cell r="C966">
            <v>0</v>
          </cell>
          <cell r="D966" t="str">
            <v>לעדכן</v>
          </cell>
        </row>
        <row r="967">
          <cell r="A967">
            <v>338442</v>
          </cell>
          <cell r="B967">
            <v>0</v>
          </cell>
          <cell r="C967">
            <v>0</v>
          </cell>
          <cell r="D967" t="str">
            <v>לעדכן</v>
          </cell>
        </row>
        <row r="968">
          <cell r="A968">
            <v>338467</v>
          </cell>
          <cell r="B968">
            <v>0</v>
          </cell>
          <cell r="C968">
            <v>0</v>
          </cell>
          <cell r="D968" t="str">
            <v>לעדכן</v>
          </cell>
        </row>
        <row r="969">
          <cell r="A969">
            <v>338483</v>
          </cell>
          <cell r="B969">
            <v>0</v>
          </cell>
          <cell r="C969">
            <v>0</v>
          </cell>
          <cell r="D969" t="str">
            <v>לעדכן</v>
          </cell>
        </row>
        <row r="970">
          <cell r="A970">
            <v>338491</v>
          </cell>
          <cell r="B970">
            <v>0</v>
          </cell>
          <cell r="C970">
            <v>0</v>
          </cell>
          <cell r="D970" t="str">
            <v>לעדכן</v>
          </cell>
        </row>
        <row r="971">
          <cell r="A971">
            <v>338533</v>
          </cell>
          <cell r="B971">
            <v>0</v>
          </cell>
          <cell r="C971">
            <v>0</v>
          </cell>
          <cell r="D971" t="str">
            <v>לעדכן</v>
          </cell>
        </row>
        <row r="972">
          <cell r="A972">
            <v>338590</v>
          </cell>
          <cell r="B972">
            <v>0</v>
          </cell>
          <cell r="C972">
            <v>0</v>
          </cell>
          <cell r="D972" t="str">
            <v>לעדכן</v>
          </cell>
        </row>
        <row r="973">
          <cell r="A973">
            <v>338723</v>
          </cell>
          <cell r="B973">
            <v>0</v>
          </cell>
          <cell r="C973">
            <v>0</v>
          </cell>
          <cell r="D973" t="str">
            <v>לעדכן</v>
          </cell>
        </row>
        <row r="974">
          <cell r="A974">
            <v>338749</v>
          </cell>
          <cell r="B974">
            <v>0</v>
          </cell>
          <cell r="C974">
            <v>0</v>
          </cell>
          <cell r="D974" t="str">
            <v>לעדכן</v>
          </cell>
        </row>
        <row r="975">
          <cell r="A975">
            <v>343905</v>
          </cell>
          <cell r="B975">
            <v>0</v>
          </cell>
          <cell r="C975">
            <v>0</v>
          </cell>
          <cell r="D975" t="str">
            <v>לעדכן</v>
          </cell>
        </row>
        <row r="976">
          <cell r="A976">
            <v>343913</v>
          </cell>
          <cell r="B976">
            <v>0</v>
          </cell>
          <cell r="C976">
            <v>0</v>
          </cell>
          <cell r="D976" t="str">
            <v>לעדכן</v>
          </cell>
        </row>
        <row r="977">
          <cell r="A977">
            <v>343947</v>
          </cell>
          <cell r="B977">
            <v>0</v>
          </cell>
          <cell r="C977">
            <v>0</v>
          </cell>
          <cell r="D977" t="str">
            <v>לעדכן</v>
          </cell>
        </row>
        <row r="978">
          <cell r="A978">
            <v>343970</v>
          </cell>
          <cell r="B978">
            <v>0</v>
          </cell>
          <cell r="C978">
            <v>0</v>
          </cell>
          <cell r="D978" t="str">
            <v>לעדכן</v>
          </cell>
        </row>
        <row r="979">
          <cell r="A979">
            <v>343988</v>
          </cell>
          <cell r="B979">
            <v>0</v>
          </cell>
          <cell r="C979">
            <v>0</v>
          </cell>
          <cell r="D979" t="str">
            <v>לעדכן</v>
          </cell>
        </row>
        <row r="980">
          <cell r="A980">
            <v>344051</v>
          </cell>
          <cell r="B980">
            <v>0</v>
          </cell>
          <cell r="C980">
            <v>0</v>
          </cell>
          <cell r="D980" t="str">
            <v>לעדכן</v>
          </cell>
        </row>
        <row r="981">
          <cell r="A981">
            <v>346437</v>
          </cell>
          <cell r="B981">
            <v>0</v>
          </cell>
          <cell r="C981">
            <v>0</v>
          </cell>
          <cell r="D981" t="str">
            <v>לעדכן</v>
          </cell>
        </row>
        <row r="982">
          <cell r="A982">
            <v>346528</v>
          </cell>
          <cell r="B982">
            <v>0</v>
          </cell>
          <cell r="C982">
            <v>0</v>
          </cell>
          <cell r="D982" t="str">
            <v>לעדכן</v>
          </cell>
        </row>
        <row r="983">
          <cell r="A983">
            <v>346734</v>
          </cell>
          <cell r="B983">
            <v>0</v>
          </cell>
          <cell r="C983">
            <v>0</v>
          </cell>
          <cell r="D983" t="str">
            <v>לעדכן</v>
          </cell>
        </row>
        <row r="984">
          <cell r="A984">
            <v>347187</v>
          </cell>
          <cell r="B984">
            <v>0</v>
          </cell>
          <cell r="C984">
            <v>0</v>
          </cell>
          <cell r="D984" t="str">
            <v>לעדכן</v>
          </cell>
        </row>
        <row r="985">
          <cell r="A985">
            <v>347757</v>
          </cell>
          <cell r="B985">
            <v>0</v>
          </cell>
          <cell r="C985">
            <v>0</v>
          </cell>
          <cell r="D985" t="str">
            <v>לעדכן</v>
          </cell>
        </row>
        <row r="986">
          <cell r="A986">
            <v>348110</v>
          </cell>
          <cell r="B986">
            <v>0</v>
          </cell>
          <cell r="C986">
            <v>0</v>
          </cell>
          <cell r="D986" t="str">
            <v>לעדכן</v>
          </cell>
        </row>
        <row r="987">
          <cell r="A987">
            <v>348466</v>
          </cell>
          <cell r="B987">
            <v>0</v>
          </cell>
          <cell r="C987">
            <v>0</v>
          </cell>
          <cell r="D987" t="str">
            <v>לעדכן</v>
          </cell>
        </row>
        <row r="988">
          <cell r="A988">
            <v>349910</v>
          </cell>
          <cell r="B988">
            <v>0</v>
          </cell>
          <cell r="C988">
            <v>0</v>
          </cell>
          <cell r="D988" t="str">
            <v>לעדכן</v>
          </cell>
        </row>
        <row r="989">
          <cell r="A989">
            <v>350983</v>
          </cell>
          <cell r="B989">
            <v>0</v>
          </cell>
          <cell r="C989">
            <v>0</v>
          </cell>
          <cell r="D989" t="str">
            <v>לעדכן</v>
          </cell>
        </row>
        <row r="990">
          <cell r="A990">
            <v>352716</v>
          </cell>
          <cell r="B990">
            <v>0</v>
          </cell>
          <cell r="C990">
            <v>0</v>
          </cell>
          <cell r="D990" t="str">
            <v>לעדכן</v>
          </cell>
        </row>
        <row r="991">
          <cell r="A991">
            <v>353037</v>
          </cell>
          <cell r="B991">
            <v>0</v>
          </cell>
          <cell r="C991">
            <v>0</v>
          </cell>
          <cell r="D991" t="str">
            <v>לעדכן</v>
          </cell>
        </row>
        <row r="992">
          <cell r="A992">
            <v>353169</v>
          </cell>
          <cell r="B992">
            <v>0</v>
          </cell>
          <cell r="C992">
            <v>0</v>
          </cell>
          <cell r="D992" t="str">
            <v>לעדכן</v>
          </cell>
        </row>
        <row r="993">
          <cell r="A993">
            <v>353458</v>
          </cell>
          <cell r="B993">
            <v>0</v>
          </cell>
          <cell r="C993">
            <v>0</v>
          </cell>
          <cell r="D993" t="str">
            <v>לעדכן</v>
          </cell>
        </row>
        <row r="994">
          <cell r="A994">
            <v>353573</v>
          </cell>
          <cell r="B994">
            <v>0</v>
          </cell>
          <cell r="C994">
            <v>0</v>
          </cell>
          <cell r="D994" t="str">
            <v>לעדכן</v>
          </cell>
        </row>
        <row r="995">
          <cell r="A995">
            <v>353615</v>
          </cell>
          <cell r="B995">
            <v>0</v>
          </cell>
          <cell r="C995">
            <v>0</v>
          </cell>
          <cell r="D995" t="str">
            <v>לעדכן</v>
          </cell>
        </row>
        <row r="996">
          <cell r="A996">
            <v>354977</v>
          </cell>
          <cell r="B996">
            <v>0</v>
          </cell>
          <cell r="C996">
            <v>0</v>
          </cell>
          <cell r="D996" t="str">
            <v>לעדכן</v>
          </cell>
        </row>
        <row r="997">
          <cell r="A997">
            <v>355552</v>
          </cell>
          <cell r="B997">
            <v>0</v>
          </cell>
          <cell r="C997">
            <v>0</v>
          </cell>
          <cell r="D997" t="str">
            <v>לעדכן</v>
          </cell>
        </row>
        <row r="998">
          <cell r="A998">
            <v>355578</v>
          </cell>
          <cell r="B998">
            <v>0</v>
          </cell>
          <cell r="C998">
            <v>0</v>
          </cell>
          <cell r="D998" t="str">
            <v>לעדכן</v>
          </cell>
        </row>
        <row r="999">
          <cell r="A999">
            <v>357467</v>
          </cell>
          <cell r="B999">
            <v>0</v>
          </cell>
          <cell r="C999">
            <v>0</v>
          </cell>
          <cell r="D999" t="str">
            <v>לעדכן</v>
          </cell>
        </row>
        <row r="1000">
          <cell r="A1000">
            <v>357475</v>
          </cell>
          <cell r="B1000">
            <v>0</v>
          </cell>
          <cell r="C1000">
            <v>0</v>
          </cell>
          <cell r="D1000" t="str">
            <v>לעדכן</v>
          </cell>
        </row>
        <row r="1001">
          <cell r="A1001">
            <v>357483</v>
          </cell>
          <cell r="B1001">
            <v>0</v>
          </cell>
          <cell r="C1001">
            <v>0</v>
          </cell>
          <cell r="D1001" t="str">
            <v>לעדכן</v>
          </cell>
        </row>
        <row r="1002">
          <cell r="A1002">
            <v>358655</v>
          </cell>
          <cell r="B1002">
            <v>0</v>
          </cell>
          <cell r="C1002">
            <v>0</v>
          </cell>
          <cell r="D1002" t="str">
            <v>לעדכן</v>
          </cell>
        </row>
        <row r="1003">
          <cell r="A1003">
            <v>359190</v>
          </cell>
          <cell r="B1003">
            <v>0</v>
          </cell>
          <cell r="C1003">
            <v>0</v>
          </cell>
          <cell r="D1003" t="str">
            <v>לעדכן</v>
          </cell>
        </row>
        <row r="1004">
          <cell r="A1004">
            <v>359208</v>
          </cell>
          <cell r="B1004">
            <v>0</v>
          </cell>
          <cell r="C1004">
            <v>0</v>
          </cell>
          <cell r="D1004" t="str">
            <v>לעדכן</v>
          </cell>
        </row>
        <row r="1005">
          <cell r="A1005">
            <v>359224</v>
          </cell>
          <cell r="B1005">
            <v>0</v>
          </cell>
          <cell r="C1005">
            <v>0</v>
          </cell>
          <cell r="D1005" t="str">
            <v>לעדכן</v>
          </cell>
        </row>
        <row r="1006">
          <cell r="A1006">
            <v>359232</v>
          </cell>
          <cell r="B1006">
            <v>0</v>
          </cell>
          <cell r="C1006">
            <v>0</v>
          </cell>
          <cell r="D1006" t="str">
            <v>לעדכן</v>
          </cell>
        </row>
        <row r="1007">
          <cell r="A1007">
            <v>359331</v>
          </cell>
          <cell r="B1007">
            <v>0</v>
          </cell>
          <cell r="C1007">
            <v>0</v>
          </cell>
          <cell r="D1007" t="str">
            <v>לעדכן</v>
          </cell>
        </row>
        <row r="1008">
          <cell r="A1008">
            <v>359828</v>
          </cell>
          <cell r="B1008">
            <v>0</v>
          </cell>
          <cell r="C1008">
            <v>0</v>
          </cell>
          <cell r="D1008" t="str">
            <v>לעדכן</v>
          </cell>
        </row>
        <row r="1009">
          <cell r="A1009">
            <v>359836</v>
          </cell>
          <cell r="B1009">
            <v>0</v>
          </cell>
          <cell r="C1009">
            <v>0</v>
          </cell>
          <cell r="D1009" t="str">
            <v>לעדכן</v>
          </cell>
        </row>
        <row r="1010">
          <cell r="A1010">
            <v>360842</v>
          </cell>
          <cell r="B1010">
            <v>0</v>
          </cell>
          <cell r="C1010">
            <v>0</v>
          </cell>
          <cell r="D1010" t="str">
            <v>לעדכן</v>
          </cell>
        </row>
        <row r="1011">
          <cell r="A1011">
            <v>361238</v>
          </cell>
          <cell r="B1011">
            <v>0</v>
          </cell>
          <cell r="C1011">
            <v>0</v>
          </cell>
          <cell r="D1011" t="str">
            <v>לעדכן</v>
          </cell>
        </row>
        <row r="1012">
          <cell r="A1012">
            <v>361493</v>
          </cell>
          <cell r="B1012">
            <v>0</v>
          </cell>
          <cell r="C1012">
            <v>0</v>
          </cell>
          <cell r="D1012" t="str">
            <v>לעדכן</v>
          </cell>
        </row>
        <row r="1013">
          <cell r="A1013">
            <v>361501</v>
          </cell>
          <cell r="B1013">
            <v>0</v>
          </cell>
          <cell r="C1013">
            <v>0</v>
          </cell>
          <cell r="D1013" t="str">
            <v>לעדכן</v>
          </cell>
        </row>
        <row r="1014">
          <cell r="A1014">
            <v>361527</v>
          </cell>
          <cell r="B1014">
            <v>0</v>
          </cell>
          <cell r="C1014">
            <v>0</v>
          </cell>
          <cell r="D1014" t="str">
            <v>לעדכן</v>
          </cell>
        </row>
        <row r="1015">
          <cell r="A1015">
            <v>362046</v>
          </cell>
          <cell r="B1015">
            <v>0</v>
          </cell>
          <cell r="C1015">
            <v>0</v>
          </cell>
          <cell r="D1015" t="str">
            <v>לעדכן</v>
          </cell>
        </row>
        <row r="1016">
          <cell r="A1016">
            <v>362061</v>
          </cell>
          <cell r="B1016">
            <v>0</v>
          </cell>
          <cell r="C1016">
            <v>0</v>
          </cell>
          <cell r="D1016" t="str">
            <v>לעדכן</v>
          </cell>
        </row>
        <row r="1017">
          <cell r="A1017">
            <v>362178</v>
          </cell>
          <cell r="B1017">
            <v>0</v>
          </cell>
          <cell r="C1017">
            <v>0</v>
          </cell>
          <cell r="D1017" t="str">
            <v>לעדכן</v>
          </cell>
        </row>
        <row r="1018">
          <cell r="A1018">
            <v>362228</v>
          </cell>
          <cell r="B1018">
            <v>0</v>
          </cell>
          <cell r="C1018">
            <v>0</v>
          </cell>
          <cell r="D1018" t="str">
            <v>לעדכן</v>
          </cell>
        </row>
        <row r="1019">
          <cell r="A1019">
            <v>362624</v>
          </cell>
          <cell r="B1019">
            <v>0</v>
          </cell>
          <cell r="C1019">
            <v>0</v>
          </cell>
          <cell r="D1019" t="str">
            <v>לעדכן</v>
          </cell>
        </row>
        <row r="1020">
          <cell r="A1020">
            <v>363135</v>
          </cell>
          <cell r="B1020">
            <v>0</v>
          </cell>
          <cell r="C1020">
            <v>0</v>
          </cell>
          <cell r="D1020" t="str">
            <v>לעדכן</v>
          </cell>
        </row>
        <row r="1021">
          <cell r="A1021">
            <v>366666</v>
          </cell>
          <cell r="B1021">
            <v>0</v>
          </cell>
          <cell r="C1021">
            <v>0</v>
          </cell>
          <cell r="D1021" t="str">
            <v>לעדכן</v>
          </cell>
        </row>
        <row r="1022">
          <cell r="A1022">
            <v>367730</v>
          </cell>
          <cell r="B1022">
            <v>0</v>
          </cell>
          <cell r="C1022">
            <v>0</v>
          </cell>
          <cell r="D1022" t="str">
            <v>לעדכן</v>
          </cell>
        </row>
        <row r="1023">
          <cell r="A1023">
            <v>368084</v>
          </cell>
          <cell r="B1023">
            <v>0</v>
          </cell>
          <cell r="C1023">
            <v>0</v>
          </cell>
          <cell r="D1023" t="str">
            <v>לעדכן</v>
          </cell>
        </row>
        <row r="1024">
          <cell r="A1024">
            <v>370379</v>
          </cell>
          <cell r="B1024">
            <v>0</v>
          </cell>
          <cell r="C1024">
            <v>0</v>
          </cell>
          <cell r="D1024" t="str">
            <v>לעדכן</v>
          </cell>
        </row>
        <row r="1025">
          <cell r="A1025">
            <v>370528</v>
          </cell>
          <cell r="B1025">
            <v>0</v>
          </cell>
          <cell r="C1025">
            <v>0</v>
          </cell>
          <cell r="D1025" t="str">
            <v>לעדכן</v>
          </cell>
        </row>
        <row r="1026">
          <cell r="A1026">
            <v>370536</v>
          </cell>
          <cell r="B1026">
            <v>0</v>
          </cell>
          <cell r="C1026">
            <v>0</v>
          </cell>
          <cell r="D1026" t="str">
            <v>לעדכן</v>
          </cell>
        </row>
        <row r="1027">
          <cell r="A1027">
            <v>370544</v>
          </cell>
          <cell r="B1027">
            <v>0</v>
          </cell>
          <cell r="C1027">
            <v>0</v>
          </cell>
          <cell r="D1027" t="str">
            <v>לעדכן</v>
          </cell>
        </row>
        <row r="1028">
          <cell r="A1028">
            <v>375881</v>
          </cell>
          <cell r="B1028">
            <v>0</v>
          </cell>
          <cell r="C1028">
            <v>0</v>
          </cell>
          <cell r="D1028" t="str">
            <v>לעדכן</v>
          </cell>
        </row>
        <row r="1029">
          <cell r="A1029">
            <v>376004</v>
          </cell>
          <cell r="B1029">
            <v>0</v>
          </cell>
          <cell r="C1029">
            <v>0</v>
          </cell>
          <cell r="D1029" t="str">
            <v>לעדכן</v>
          </cell>
        </row>
        <row r="1030">
          <cell r="A1030">
            <v>379842</v>
          </cell>
          <cell r="B1030">
            <v>0</v>
          </cell>
          <cell r="C1030">
            <v>0</v>
          </cell>
          <cell r="D1030" t="str">
            <v>לעדכן</v>
          </cell>
        </row>
        <row r="1031">
          <cell r="A1031">
            <v>383729</v>
          </cell>
          <cell r="B1031">
            <v>0</v>
          </cell>
          <cell r="C1031">
            <v>0</v>
          </cell>
          <cell r="D1031" t="str">
            <v>לעדכן</v>
          </cell>
        </row>
        <row r="1032">
          <cell r="A1032">
            <v>383737</v>
          </cell>
          <cell r="B1032">
            <v>0</v>
          </cell>
          <cell r="C1032">
            <v>0</v>
          </cell>
          <cell r="D1032" t="str">
            <v>לעדכן</v>
          </cell>
        </row>
        <row r="1033">
          <cell r="A1033">
            <v>383927</v>
          </cell>
          <cell r="B1033">
            <v>0</v>
          </cell>
          <cell r="C1033">
            <v>0</v>
          </cell>
          <cell r="D1033" t="str">
            <v>לעדכן</v>
          </cell>
        </row>
        <row r="1034">
          <cell r="A1034">
            <v>384024</v>
          </cell>
          <cell r="B1034">
            <v>0</v>
          </cell>
          <cell r="C1034">
            <v>0</v>
          </cell>
          <cell r="D1034" t="str">
            <v>לעדכן</v>
          </cell>
        </row>
        <row r="1035">
          <cell r="A1035">
            <v>384032</v>
          </cell>
          <cell r="B1035">
            <v>0</v>
          </cell>
          <cell r="C1035">
            <v>0</v>
          </cell>
          <cell r="D1035" t="str">
            <v>לעדכן</v>
          </cell>
        </row>
        <row r="1036">
          <cell r="A1036">
            <v>384057</v>
          </cell>
          <cell r="B1036">
            <v>0</v>
          </cell>
          <cell r="C1036">
            <v>0</v>
          </cell>
          <cell r="D1036" t="str">
            <v>לעדכן</v>
          </cell>
        </row>
        <row r="1037">
          <cell r="A1037">
            <v>384065</v>
          </cell>
          <cell r="B1037">
            <v>0</v>
          </cell>
          <cell r="C1037">
            <v>0</v>
          </cell>
          <cell r="D1037" t="str">
            <v>לעדכן</v>
          </cell>
        </row>
        <row r="1038">
          <cell r="A1038">
            <v>384149</v>
          </cell>
          <cell r="B1038">
            <v>0</v>
          </cell>
          <cell r="C1038">
            <v>0</v>
          </cell>
          <cell r="D1038" t="str">
            <v>לעדכן</v>
          </cell>
        </row>
        <row r="1039">
          <cell r="A1039">
            <v>384172</v>
          </cell>
          <cell r="B1039">
            <v>0</v>
          </cell>
          <cell r="C1039">
            <v>0</v>
          </cell>
          <cell r="D1039" t="str">
            <v>לעדכן</v>
          </cell>
        </row>
        <row r="1040">
          <cell r="A1040">
            <v>384206</v>
          </cell>
          <cell r="B1040">
            <v>0</v>
          </cell>
          <cell r="C1040">
            <v>0</v>
          </cell>
          <cell r="D1040" t="str">
            <v>לעדכן</v>
          </cell>
        </row>
        <row r="1041">
          <cell r="A1041">
            <v>384214</v>
          </cell>
          <cell r="B1041">
            <v>0</v>
          </cell>
          <cell r="C1041">
            <v>0</v>
          </cell>
          <cell r="D1041" t="str">
            <v>לעדכן</v>
          </cell>
        </row>
        <row r="1042">
          <cell r="A1042">
            <v>384248</v>
          </cell>
          <cell r="B1042">
            <v>0</v>
          </cell>
          <cell r="C1042">
            <v>0</v>
          </cell>
          <cell r="D1042" t="str">
            <v>לעדכן</v>
          </cell>
        </row>
        <row r="1043">
          <cell r="A1043">
            <v>384255</v>
          </cell>
          <cell r="B1043">
            <v>0</v>
          </cell>
          <cell r="C1043">
            <v>0</v>
          </cell>
          <cell r="D1043" t="str">
            <v>לעדכן</v>
          </cell>
        </row>
        <row r="1044">
          <cell r="A1044">
            <v>384263</v>
          </cell>
          <cell r="B1044">
            <v>0</v>
          </cell>
          <cell r="C1044">
            <v>0</v>
          </cell>
          <cell r="D1044" t="str">
            <v>לעדכן</v>
          </cell>
        </row>
        <row r="1045">
          <cell r="A1045">
            <v>384271</v>
          </cell>
          <cell r="B1045">
            <v>0</v>
          </cell>
          <cell r="C1045">
            <v>0</v>
          </cell>
          <cell r="D1045" t="str">
            <v>לעדכן</v>
          </cell>
        </row>
        <row r="1046">
          <cell r="A1046">
            <v>384289</v>
          </cell>
          <cell r="B1046">
            <v>0</v>
          </cell>
          <cell r="C1046">
            <v>0</v>
          </cell>
          <cell r="D1046" t="str">
            <v>לעדכן</v>
          </cell>
        </row>
        <row r="1047">
          <cell r="A1047">
            <v>384313</v>
          </cell>
          <cell r="B1047">
            <v>0</v>
          </cell>
          <cell r="C1047">
            <v>0</v>
          </cell>
          <cell r="D1047" t="str">
            <v>לעדכן</v>
          </cell>
        </row>
        <row r="1048">
          <cell r="A1048">
            <v>384339</v>
          </cell>
          <cell r="B1048">
            <v>0</v>
          </cell>
          <cell r="C1048">
            <v>0</v>
          </cell>
          <cell r="D1048" t="str">
            <v>לעדכן</v>
          </cell>
        </row>
        <row r="1049">
          <cell r="A1049">
            <v>384347</v>
          </cell>
          <cell r="B1049">
            <v>0</v>
          </cell>
          <cell r="C1049">
            <v>0</v>
          </cell>
          <cell r="D1049" t="str">
            <v>לעדכן</v>
          </cell>
        </row>
        <row r="1050">
          <cell r="A1050">
            <v>384354</v>
          </cell>
          <cell r="B1050">
            <v>0</v>
          </cell>
          <cell r="C1050">
            <v>0</v>
          </cell>
          <cell r="D1050" t="str">
            <v>לעדכן</v>
          </cell>
        </row>
        <row r="1051">
          <cell r="A1051">
            <v>384362</v>
          </cell>
          <cell r="B1051">
            <v>0</v>
          </cell>
          <cell r="C1051">
            <v>0</v>
          </cell>
          <cell r="D1051" t="str">
            <v>לעדכן</v>
          </cell>
        </row>
        <row r="1052">
          <cell r="A1052">
            <v>384396</v>
          </cell>
          <cell r="B1052">
            <v>0</v>
          </cell>
          <cell r="C1052">
            <v>0</v>
          </cell>
          <cell r="D1052" t="str">
            <v>לעדכן</v>
          </cell>
        </row>
        <row r="1053">
          <cell r="A1053">
            <v>384404</v>
          </cell>
          <cell r="B1053">
            <v>0</v>
          </cell>
          <cell r="C1053">
            <v>0</v>
          </cell>
          <cell r="D1053" t="str">
            <v>לעדכן</v>
          </cell>
        </row>
        <row r="1054">
          <cell r="A1054">
            <v>384420</v>
          </cell>
          <cell r="B1054">
            <v>0</v>
          </cell>
          <cell r="C1054">
            <v>0</v>
          </cell>
          <cell r="D1054" t="str">
            <v>לעדכן</v>
          </cell>
        </row>
        <row r="1055">
          <cell r="A1055">
            <v>384446</v>
          </cell>
          <cell r="B1055">
            <v>0</v>
          </cell>
          <cell r="C1055">
            <v>0</v>
          </cell>
          <cell r="D1055" t="str">
            <v>לעדכן</v>
          </cell>
        </row>
        <row r="1056">
          <cell r="A1056">
            <v>384453</v>
          </cell>
          <cell r="B1056">
            <v>0</v>
          </cell>
          <cell r="C1056">
            <v>0</v>
          </cell>
          <cell r="D1056" t="str">
            <v>לעדכן</v>
          </cell>
        </row>
        <row r="1057">
          <cell r="A1057">
            <v>384495</v>
          </cell>
          <cell r="B1057">
            <v>0</v>
          </cell>
          <cell r="C1057">
            <v>0</v>
          </cell>
          <cell r="D1057" t="str">
            <v>לעדכן</v>
          </cell>
        </row>
        <row r="1058">
          <cell r="A1058">
            <v>384503</v>
          </cell>
          <cell r="B1058">
            <v>0</v>
          </cell>
          <cell r="C1058">
            <v>0</v>
          </cell>
          <cell r="D1058" t="str">
            <v>לעדכן</v>
          </cell>
        </row>
        <row r="1059">
          <cell r="A1059">
            <v>384552</v>
          </cell>
          <cell r="B1059">
            <v>0</v>
          </cell>
          <cell r="C1059">
            <v>0</v>
          </cell>
          <cell r="D1059" t="str">
            <v>לעדכן</v>
          </cell>
        </row>
        <row r="1060">
          <cell r="A1060">
            <v>384560</v>
          </cell>
          <cell r="B1060">
            <v>0</v>
          </cell>
          <cell r="C1060">
            <v>0</v>
          </cell>
          <cell r="D1060" t="str">
            <v>לעדכן</v>
          </cell>
        </row>
        <row r="1061">
          <cell r="A1061">
            <v>384578</v>
          </cell>
          <cell r="B1061">
            <v>0</v>
          </cell>
          <cell r="C1061">
            <v>0</v>
          </cell>
          <cell r="D1061" t="str">
            <v>לעדכן</v>
          </cell>
        </row>
        <row r="1062">
          <cell r="A1062">
            <v>384586</v>
          </cell>
          <cell r="B1062">
            <v>0</v>
          </cell>
          <cell r="C1062">
            <v>0</v>
          </cell>
          <cell r="D1062" t="str">
            <v>לעדכן</v>
          </cell>
        </row>
        <row r="1063">
          <cell r="A1063">
            <v>384594</v>
          </cell>
          <cell r="B1063">
            <v>0</v>
          </cell>
          <cell r="C1063">
            <v>0</v>
          </cell>
          <cell r="D1063" t="str">
            <v>לעדכן</v>
          </cell>
        </row>
        <row r="1064">
          <cell r="A1064">
            <v>384602</v>
          </cell>
          <cell r="B1064">
            <v>0</v>
          </cell>
          <cell r="C1064">
            <v>0</v>
          </cell>
          <cell r="D1064" t="str">
            <v>לעדכן</v>
          </cell>
        </row>
        <row r="1065">
          <cell r="A1065">
            <v>384610</v>
          </cell>
          <cell r="B1065">
            <v>0</v>
          </cell>
          <cell r="C1065">
            <v>0</v>
          </cell>
          <cell r="D1065" t="str">
            <v>לעדכן</v>
          </cell>
        </row>
        <row r="1066">
          <cell r="A1066">
            <v>384636</v>
          </cell>
          <cell r="B1066">
            <v>0</v>
          </cell>
          <cell r="C1066">
            <v>0</v>
          </cell>
          <cell r="D1066" t="str">
            <v>לעדכן</v>
          </cell>
        </row>
        <row r="1067">
          <cell r="A1067">
            <v>384644</v>
          </cell>
          <cell r="B1067">
            <v>0</v>
          </cell>
          <cell r="C1067">
            <v>0</v>
          </cell>
          <cell r="D1067" t="str">
            <v>לעדכן</v>
          </cell>
        </row>
        <row r="1068">
          <cell r="A1068">
            <v>384651</v>
          </cell>
          <cell r="B1068">
            <v>0</v>
          </cell>
          <cell r="C1068">
            <v>0</v>
          </cell>
          <cell r="D1068" t="str">
            <v>לעדכן</v>
          </cell>
        </row>
        <row r="1069">
          <cell r="A1069">
            <v>384669</v>
          </cell>
          <cell r="B1069">
            <v>0</v>
          </cell>
          <cell r="C1069">
            <v>0</v>
          </cell>
          <cell r="D1069" t="str">
            <v>לעדכן</v>
          </cell>
        </row>
        <row r="1070">
          <cell r="A1070">
            <v>384677</v>
          </cell>
          <cell r="B1070">
            <v>0</v>
          </cell>
          <cell r="C1070">
            <v>0</v>
          </cell>
          <cell r="D1070" t="str">
            <v>לעדכן</v>
          </cell>
        </row>
        <row r="1071">
          <cell r="A1071">
            <v>384693</v>
          </cell>
          <cell r="B1071">
            <v>0</v>
          </cell>
          <cell r="C1071">
            <v>0</v>
          </cell>
          <cell r="D1071" t="str">
            <v>לעדכן</v>
          </cell>
        </row>
        <row r="1072">
          <cell r="A1072">
            <v>384727</v>
          </cell>
          <cell r="B1072">
            <v>0</v>
          </cell>
          <cell r="C1072">
            <v>0</v>
          </cell>
          <cell r="D1072" t="str">
            <v>לעדכן</v>
          </cell>
        </row>
        <row r="1073">
          <cell r="A1073">
            <v>384735</v>
          </cell>
          <cell r="B1073">
            <v>0</v>
          </cell>
          <cell r="C1073">
            <v>0</v>
          </cell>
          <cell r="D1073" t="str">
            <v>לעדכן</v>
          </cell>
        </row>
        <row r="1074">
          <cell r="A1074">
            <v>384750</v>
          </cell>
          <cell r="B1074">
            <v>0</v>
          </cell>
          <cell r="C1074">
            <v>0</v>
          </cell>
          <cell r="D1074" t="str">
            <v>לעדכן</v>
          </cell>
        </row>
        <row r="1075">
          <cell r="A1075">
            <v>384784</v>
          </cell>
          <cell r="B1075">
            <v>0</v>
          </cell>
          <cell r="C1075">
            <v>0</v>
          </cell>
          <cell r="D1075" t="str">
            <v>לעדכן</v>
          </cell>
        </row>
        <row r="1076">
          <cell r="A1076">
            <v>384792</v>
          </cell>
          <cell r="B1076">
            <v>0</v>
          </cell>
          <cell r="C1076">
            <v>0</v>
          </cell>
          <cell r="D1076" t="str">
            <v>לעדכן</v>
          </cell>
        </row>
        <row r="1077">
          <cell r="A1077">
            <v>384826</v>
          </cell>
          <cell r="B1077">
            <v>0</v>
          </cell>
          <cell r="C1077">
            <v>0</v>
          </cell>
          <cell r="D1077" t="str">
            <v>לעדכן</v>
          </cell>
        </row>
        <row r="1078">
          <cell r="A1078">
            <v>384834</v>
          </cell>
          <cell r="B1078">
            <v>0</v>
          </cell>
          <cell r="C1078">
            <v>0</v>
          </cell>
          <cell r="D1078" t="str">
            <v>לעדכן</v>
          </cell>
        </row>
        <row r="1079">
          <cell r="A1079">
            <v>384842</v>
          </cell>
          <cell r="B1079">
            <v>0</v>
          </cell>
          <cell r="C1079">
            <v>0</v>
          </cell>
          <cell r="D1079" t="str">
            <v>לעדכן</v>
          </cell>
        </row>
        <row r="1080">
          <cell r="A1080">
            <v>400002</v>
          </cell>
          <cell r="B1080">
            <v>0</v>
          </cell>
          <cell r="C1080">
            <v>0</v>
          </cell>
          <cell r="D1080" t="str">
            <v>לעדכן</v>
          </cell>
        </row>
        <row r="1081">
          <cell r="A1081">
            <v>410019</v>
          </cell>
          <cell r="B1081">
            <v>0</v>
          </cell>
          <cell r="C1081">
            <v>0</v>
          </cell>
          <cell r="D1081" t="str">
            <v>לעדכן</v>
          </cell>
        </row>
        <row r="1082">
          <cell r="A1082">
            <v>410027</v>
          </cell>
          <cell r="B1082">
            <v>0</v>
          </cell>
          <cell r="C1082">
            <v>0</v>
          </cell>
          <cell r="D1082" t="str">
            <v>לעדכן</v>
          </cell>
        </row>
        <row r="1083">
          <cell r="A1083">
            <v>410068</v>
          </cell>
          <cell r="B1083">
            <v>0</v>
          </cell>
          <cell r="C1083">
            <v>0</v>
          </cell>
          <cell r="D1083" t="str">
            <v>לעדכן</v>
          </cell>
        </row>
        <row r="1084">
          <cell r="A1084">
            <v>410084</v>
          </cell>
          <cell r="B1084">
            <v>0</v>
          </cell>
          <cell r="C1084">
            <v>0</v>
          </cell>
          <cell r="D1084" t="str">
            <v>לעדכן</v>
          </cell>
        </row>
        <row r="1085">
          <cell r="A1085">
            <v>410092</v>
          </cell>
          <cell r="B1085">
            <v>0</v>
          </cell>
          <cell r="C1085">
            <v>0</v>
          </cell>
          <cell r="D1085" t="str">
            <v>לעדכן</v>
          </cell>
        </row>
        <row r="1086">
          <cell r="A1086">
            <v>410100</v>
          </cell>
          <cell r="B1086">
            <v>0</v>
          </cell>
          <cell r="C1086">
            <v>0</v>
          </cell>
          <cell r="D1086" t="str">
            <v>לעדכן</v>
          </cell>
        </row>
        <row r="1087">
          <cell r="A1087">
            <v>410118</v>
          </cell>
          <cell r="B1087">
            <v>0</v>
          </cell>
          <cell r="C1087">
            <v>0</v>
          </cell>
          <cell r="D1087" t="str">
            <v>לעדכן</v>
          </cell>
        </row>
        <row r="1088">
          <cell r="A1088">
            <v>410134</v>
          </cell>
          <cell r="B1088">
            <v>0</v>
          </cell>
          <cell r="C1088">
            <v>0</v>
          </cell>
          <cell r="D1088" t="str">
            <v>לעדכן</v>
          </cell>
        </row>
        <row r="1089">
          <cell r="A1089">
            <v>410175</v>
          </cell>
          <cell r="B1089">
            <v>0</v>
          </cell>
          <cell r="C1089">
            <v>0</v>
          </cell>
          <cell r="D1089" t="str">
            <v>לעדכן</v>
          </cell>
        </row>
        <row r="1090">
          <cell r="A1090">
            <v>410183</v>
          </cell>
          <cell r="B1090">
            <v>0</v>
          </cell>
          <cell r="C1090">
            <v>0</v>
          </cell>
          <cell r="D1090" t="str">
            <v>לעדכן</v>
          </cell>
        </row>
        <row r="1091">
          <cell r="A1091">
            <v>410191</v>
          </cell>
          <cell r="B1091">
            <v>0</v>
          </cell>
          <cell r="C1091">
            <v>0</v>
          </cell>
          <cell r="D1091" t="str">
            <v>לעדכן</v>
          </cell>
        </row>
        <row r="1092">
          <cell r="A1092">
            <v>410209</v>
          </cell>
          <cell r="B1092">
            <v>0</v>
          </cell>
          <cell r="C1092">
            <v>0</v>
          </cell>
          <cell r="D1092" t="str">
            <v>לעדכן</v>
          </cell>
        </row>
        <row r="1093">
          <cell r="A1093">
            <v>410217</v>
          </cell>
          <cell r="B1093">
            <v>0</v>
          </cell>
          <cell r="C1093">
            <v>0</v>
          </cell>
          <cell r="D1093" t="str">
            <v>לעדכן</v>
          </cell>
        </row>
        <row r="1094">
          <cell r="A1094">
            <v>410233</v>
          </cell>
          <cell r="B1094">
            <v>0</v>
          </cell>
          <cell r="C1094">
            <v>0</v>
          </cell>
          <cell r="D1094" t="str">
            <v>לעדכן</v>
          </cell>
        </row>
        <row r="1095">
          <cell r="A1095">
            <v>410241</v>
          </cell>
          <cell r="B1095">
            <v>0</v>
          </cell>
          <cell r="C1095">
            <v>0</v>
          </cell>
          <cell r="D1095" t="str">
            <v>לעדכן</v>
          </cell>
        </row>
        <row r="1096">
          <cell r="A1096">
            <v>410258</v>
          </cell>
          <cell r="B1096">
            <v>0</v>
          </cell>
          <cell r="C1096">
            <v>0</v>
          </cell>
          <cell r="D1096" t="str">
            <v>לעדכן</v>
          </cell>
        </row>
        <row r="1097">
          <cell r="A1097">
            <v>410266</v>
          </cell>
          <cell r="B1097">
            <v>0</v>
          </cell>
          <cell r="C1097">
            <v>0</v>
          </cell>
          <cell r="D1097" t="str">
            <v>לעדכן</v>
          </cell>
        </row>
        <row r="1098">
          <cell r="A1098">
            <v>410282</v>
          </cell>
          <cell r="B1098">
            <v>0</v>
          </cell>
          <cell r="C1098">
            <v>0</v>
          </cell>
          <cell r="D1098" t="str">
            <v>לעדכן</v>
          </cell>
        </row>
        <row r="1099">
          <cell r="A1099">
            <v>410290</v>
          </cell>
          <cell r="B1099">
            <v>0</v>
          </cell>
          <cell r="C1099">
            <v>0</v>
          </cell>
          <cell r="D1099" t="str">
            <v>לעדכן</v>
          </cell>
        </row>
        <row r="1100">
          <cell r="A1100">
            <v>410308</v>
          </cell>
          <cell r="B1100">
            <v>0</v>
          </cell>
          <cell r="C1100">
            <v>0</v>
          </cell>
          <cell r="D1100" t="str">
            <v>לעדכן</v>
          </cell>
        </row>
        <row r="1101">
          <cell r="A1101">
            <v>410316</v>
          </cell>
          <cell r="B1101">
            <v>0</v>
          </cell>
          <cell r="C1101">
            <v>0</v>
          </cell>
          <cell r="D1101" t="str">
            <v>לעדכן</v>
          </cell>
        </row>
        <row r="1102">
          <cell r="A1102">
            <v>410324</v>
          </cell>
          <cell r="B1102">
            <v>0</v>
          </cell>
          <cell r="C1102">
            <v>0</v>
          </cell>
          <cell r="D1102" t="str">
            <v>לעדכן</v>
          </cell>
        </row>
        <row r="1103">
          <cell r="A1103">
            <v>410332</v>
          </cell>
          <cell r="B1103">
            <v>0</v>
          </cell>
          <cell r="C1103">
            <v>0</v>
          </cell>
          <cell r="D1103" t="str">
            <v>לעדכן</v>
          </cell>
        </row>
        <row r="1104">
          <cell r="A1104">
            <v>410340</v>
          </cell>
          <cell r="B1104">
            <v>0</v>
          </cell>
          <cell r="C1104">
            <v>0</v>
          </cell>
          <cell r="D1104" t="str">
            <v>לעדכן</v>
          </cell>
        </row>
        <row r="1105">
          <cell r="A1105">
            <v>410357</v>
          </cell>
          <cell r="B1105">
            <v>0</v>
          </cell>
          <cell r="C1105">
            <v>0</v>
          </cell>
          <cell r="D1105" t="str">
            <v>לעדכן</v>
          </cell>
        </row>
        <row r="1106">
          <cell r="A1106">
            <v>410373</v>
          </cell>
          <cell r="B1106">
            <v>0</v>
          </cell>
          <cell r="C1106">
            <v>0</v>
          </cell>
          <cell r="D1106" t="str">
            <v>לעדכן</v>
          </cell>
        </row>
        <row r="1107">
          <cell r="A1107">
            <v>410381</v>
          </cell>
          <cell r="B1107">
            <v>0</v>
          </cell>
          <cell r="C1107">
            <v>0</v>
          </cell>
          <cell r="D1107" t="str">
            <v>לעדכן</v>
          </cell>
        </row>
        <row r="1108">
          <cell r="A1108">
            <v>410399</v>
          </cell>
          <cell r="B1108">
            <v>0</v>
          </cell>
          <cell r="C1108">
            <v>0</v>
          </cell>
          <cell r="D1108" t="str">
            <v>לעדכן</v>
          </cell>
        </row>
        <row r="1109">
          <cell r="A1109">
            <v>410407</v>
          </cell>
          <cell r="B1109">
            <v>0</v>
          </cell>
          <cell r="C1109">
            <v>0</v>
          </cell>
          <cell r="D1109" t="str">
            <v>לעדכן</v>
          </cell>
        </row>
        <row r="1110">
          <cell r="A1110">
            <v>410415</v>
          </cell>
          <cell r="B1110">
            <v>0</v>
          </cell>
          <cell r="C1110">
            <v>0</v>
          </cell>
          <cell r="D1110" t="str">
            <v>לעדכן</v>
          </cell>
        </row>
        <row r="1111">
          <cell r="A1111">
            <v>410431</v>
          </cell>
          <cell r="B1111">
            <v>0</v>
          </cell>
          <cell r="C1111">
            <v>0</v>
          </cell>
          <cell r="D1111" t="str">
            <v>לעדכן</v>
          </cell>
        </row>
        <row r="1112">
          <cell r="A1112">
            <v>410456</v>
          </cell>
          <cell r="B1112">
            <v>0</v>
          </cell>
          <cell r="C1112">
            <v>0</v>
          </cell>
          <cell r="D1112" t="str">
            <v>לעדכן</v>
          </cell>
        </row>
        <row r="1113">
          <cell r="A1113">
            <v>410464</v>
          </cell>
          <cell r="B1113">
            <v>0</v>
          </cell>
          <cell r="C1113">
            <v>0</v>
          </cell>
          <cell r="D1113" t="str">
            <v>לעדכן</v>
          </cell>
        </row>
        <row r="1114">
          <cell r="A1114">
            <v>410472</v>
          </cell>
          <cell r="B1114">
            <v>0</v>
          </cell>
          <cell r="C1114">
            <v>0</v>
          </cell>
          <cell r="D1114" t="str">
            <v>לעדכן</v>
          </cell>
        </row>
        <row r="1115">
          <cell r="A1115">
            <v>410522</v>
          </cell>
          <cell r="B1115">
            <v>0</v>
          </cell>
          <cell r="C1115">
            <v>0</v>
          </cell>
          <cell r="D1115" t="str">
            <v>לעדכן</v>
          </cell>
        </row>
        <row r="1116">
          <cell r="A1116">
            <v>410530</v>
          </cell>
          <cell r="B1116">
            <v>0</v>
          </cell>
          <cell r="C1116">
            <v>0</v>
          </cell>
          <cell r="D1116" t="str">
            <v>לעדכן</v>
          </cell>
        </row>
        <row r="1117">
          <cell r="A1117">
            <v>410555</v>
          </cell>
          <cell r="B1117">
            <v>0</v>
          </cell>
          <cell r="C1117">
            <v>0</v>
          </cell>
          <cell r="D1117" t="str">
            <v>לעדכן</v>
          </cell>
        </row>
        <row r="1118">
          <cell r="A1118">
            <v>410571</v>
          </cell>
          <cell r="B1118">
            <v>0</v>
          </cell>
          <cell r="C1118">
            <v>0</v>
          </cell>
          <cell r="D1118" t="str">
            <v>לעדכן</v>
          </cell>
        </row>
        <row r="1119">
          <cell r="A1119">
            <v>410589</v>
          </cell>
          <cell r="B1119">
            <v>0</v>
          </cell>
          <cell r="C1119">
            <v>0</v>
          </cell>
          <cell r="D1119" t="str">
            <v>לעדכן</v>
          </cell>
        </row>
        <row r="1120">
          <cell r="A1120">
            <v>410605</v>
          </cell>
          <cell r="B1120">
            <v>0</v>
          </cell>
          <cell r="C1120">
            <v>0</v>
          </cell>
          <cell r="D1120" t="str">
            <v>לעדכן</v>
          </cell>
        </row>
        <row r="1121">
          <cell r="A1121">
            <v>410621</v>
          </cell>
          <cell r="B1121">
            <v>0</v>
          </cell>
          <cell r="C1121">
            <v>0</v>
          </cell>
          <cell r="D1121" t="str">
            <v>לעדכן</v>
          </cell>
        </row>
        <row r="1122">
          <cell r="A1122">
            <v>410639</v>
          </cell>
          <cell r="B1122">
            <v>0</v>
          </cell>
          <cell r="C1122">
            <v>0</v>
          </cell>
          <cell r="D1122" t="str">
            <v>לעדכן</v>
          </cell>
        </row>
        <row r="1123">
          <cell r="A1123">
            <v>410647</v>
          </cell>
          <cell r="B1123">
            <v>0</v>
          </cell>
          <cell r="C1123">
            <v>0</v>
          </cell>
          <cell r="D1123" t="str">
            <v>לעדכן</v>
          </cell>
        </row>
        <row r="1124">
          <cell r="A1124">
            <v>410654</v>
          </cell>
          <cell r="B1124">
            <v>0</v>
          </cell>
          <cell r="C1124">
            <v>0</v>
          </cell>
          <cell r="D1124" t="str">
            <v>לעדכן</v>
          </cell>
        </row>
        <row r="1125">
          <cell r="A1125">
            <v>410662</v>
          </cell>
          <cell r="B1125">
            <v>0</v>
          </cell>
          <cell r="C1125">
            <v>0</v>
          </cell>
          <cell r="D1125" t="str">
            <v>לעדכן</v>
          </cell>
        </row>
        <row r="1126">
          <cell r="A1126">
            <v>410670</v>
          </cell>
          <cell r="B1126">
            <v>0</v>
          </cell>
          <cell r="C1126">
            <v>0</v>
          </cell>
          <cell r="D1126" t="str">
            <v>לעדכן</v>
          </cell>
        </row>
        <row r="1127">
          <cell r="A1127">
            <v>410712</v>
          </cell>
          <cell r="B1127">
            <v>0</v>
          </cell>
          <cell r="C1127">
            <v>0</v>
          </cell>
          <cell r="D1127" t="str">
            <v>לעדכן</v>
          </cell>
        </row>
        <row r="1128">
          <cell r="A1128">
            <v>410720</v>
          </cell>
          <cell r="B1128">
            <v>0</v>
          </cell>
          <cell r="C1128">
            <v>0</v>
          </cell>
          <cell r="D1128" t="str">
            <v>לעדכן</v>
          </cell>
        </row>
        <row r="1129">
          <cell r="A1129">
            <v>410738</v>
          </cell>
          <cell r="B1129">
            <v>0</v>
          </cell>
          <cell r="C1129">
            <v>0</v>
          </cell>
          <cell r="D1129" t="str">
            <v>לעדכן</v>
          </cell>
        </row>
        <row r="1130">
          <cell r="A1130">
            <v>410746</v>
          </cell>
          <cell r="B1130">
            <v>0</v>
          </cell>
          <cell r="C1130">
            <v>0</v>
          </cell>
          <cell r="D1130" t="str">
            <v>לעדכן</v>
          </cell>
        </row>
        <row r="1131">
          <cell r="A1131">
            <v>410779</v>
          </cell>
          <cell r="B1131">
            <v>0</v>
          </cell>
          <cell r="C1131">
            <v>0</v>
          </cell>
          <cell r="D1131" t="str">
            <v>לעדכן</v>
          </cell>
        </row>
        <row r="1132">
          <cell r="A1132">
            <v>410787</v>
          </cell>
          <cell r="B1132">
            <v>0</v>
          </cell>
          <cell r="C1132">
            <v>0</v>
          </cell>
          <cell r="D1132" t="str">
            <v>לעדכן</v>
          </cell>
        </row>
        <row r="1133">
          <cell r="A1133">
            <v>410795</v>
          </cell>
          <cell r="B1133">
            <v>0</v>
          </cell>
          <cell r="C1133">
            <v>0</v>
          </cell>
          <cell r="D1133" t="str">
            <v>לעדכן</v>
          </cell>
        </row>
        <row r="1134">
          <cell r="A1134">
            <v>410811</v>
          </cell>
          <cell r="B1134">
            <v>0</v>
          </cell>
          <cell r="C1134">
            <v>0</v>
          </cell>
          <cell r="D1134" t="str">
            <v>לעדכן</v>
          </cell>
        </row>
        <row r="1135">
          <cell r="A1135">
            <v>410829</v>
          </cell>
          <cell r="B1135">
            <v>0</v>
          </cell>
          <cell r="C1135">
            <v>0</v>
          </cell>
          <cell r="D1135" t="str">
            <v>לעדכן</v>
          </cell>
        </row>
        <row r="1136">
          <cell r="A1136">
            <v>410837</v>
          </cell>
          <cell r="B1136">
            <v>0</v>
          </cell>
          <cell r="C1136">
            <v>0</v>
          </cell>
          <cell r="D1136" t="str">
            <v>לעדכן</v>
          </cell>
        </row>
        <row r="1137">
          <cell r="A1137">
            <v>410845</v>
          </cell>
          <cell r="B1137">
            <v>0</v>
          </cell>
          <cell r="C1137">
            <v>0</v>
          </cell>
          <cell r="D1137" t="str">
            <v>לעדכן</v>
          </cell>
        </row>
        <row r="1138">
          <cell r="A1138">
            <v>410852</v>
          </cell>
          <cell r="B1138">
            <v>0</v>
          </cell>
          <cell r="C1138">
            <v>0</v>
          </cell>
          <cell r="D1138" t="str">
            <v>לעדכן</v>
          </cell>
        </row>
        <row r="1139">
          <cell r="A1139">
            <v>410860</v>
          </cell>
          <cell r="B1139">
            <v>0</v>
          </cell>
          <cell r="C1139">
            <v>0</v>
          </cell>
          <cell r="D1139" t="str">
            <v>לעדכן</v>
          </cell>
        </row>
        <row r="1140">
          <cell r="A1140">
            <v>410878</v>
          </cell>
          <cell r="B1140">
            <v>0</v>
          </cell>
          <cell r="C1140">
            <v>0</v>
          </cell>
          <cell r="D1140" t="str">
            <v>לעדכן</v>
          </cell>
        </row>
        <row r="1141">
          <cell r="A1141">
            <v>410894</v>
          </cell>
          <cell r="B1141">
            <v>0</v>
          </cell>
          <cell r="C1141">
            <v>0</v>
          </cell>
          <cell r="D1141" t="str">
            <v>לעדכן</v>
          </cell>
        </row>
        <row r="1142">
          <cell r="A1142">
            <v>410910</v>
          </cell>
          <cell r="B1142">
            <v>0</v>
          </cell>
          <cell r="C1142">
            <v>0</v>
          </cell>
          <cell r="D1142" t="str">
            <v>לעדכן</v>
          </cell>
        </row>
        <row r="1143">
          <cell r="A1143">
            <v>410928</v>
          </cell>
          <cell r="B1143">
            <v>0</v>
          </cell>
          <cell r="C1143">
            <v>0</v>
          </cell>
          <cell r="D1143" t="str">
            <v>לעדכן</v>
          </cell>
        </row>
        <row r="1144">
          <cell r="A1144">
            <v>410944</v>
          </cell>
          <cell r="B1144">
            <v>0</v>
          </cell>
          <cell r="C1144">
            <v>0</v>
          </cell>
          <cell r="D1144" t="str">
            <v>לעדכן</v>
          </cell>
        </row>
        <row r="1145">
          <cell r="A1145">
            <v>410951</v>
          </cell>
          <cell r="B1145">
            <v>0</v>
          </cell>
          <cell r="C1145">
            <v>0</v>
          </cell>
          <cell r="D1145" t="str">
            <v>לעדכן</v>
          </cell>
        </row>
        <row r="1146">
          <cell r="A1146">
            <v>410969</v>
          </cell>
          <cell r="B1146">
            <v>0</v>
          </cell>
          <cell r="C1146">
            <v>0</v>
          </cell>
          <cell r="D1146" t="str">
            <v>לעדכן</v>
          </cell>
        </row>
        <row r="1147">
          <cell r="A1147">
            <v>410977</v>
          </cell>
          <cell r="B1147">
            <v>0</v>
          </cell>
          <cell r="C1147">
            <v>0</v>
          </cell>
          <cell r="D1147" t="str">
            <v>לעדכן</v>
          </cell>
        </row>
        <row r="1148">
          <cell r="A1148">
            <v>411041</v>
          </cell>
          <cell r="B1148">
            <v>0</v>
          </cell>
          <cell r="C1148">
            <v>0</v>
          </cell>
          <cell r="D1148" t="str">
            <v>לעדכן</v>
          </cell>
        </row>
        <row r="1149">
          <cell r="A1149">
            <v>411058</v>
          </cell>
          <cell r="B1149">
            <v>0</v>
          </cell>
          <cell r="C1149">
            <v>0</v>
          </cell>
          <cell r="D1149" t="str">
            <v>לעדכן</v>
          </cell>
        </row>
        <row r="1150">
          <cell r="A1150">
            <v>411066</v>
          </cell>
          <cell r="B1150">
            <v>0</v>
          </cell>
          <cell r="C1150">
            <v>0</v>
          </cell>
          <cell r="D1150" t="str">
            <v>לעדכן</v>
          </cell>
        </row>
        <row r="1151">
          <cell r="A1151">
            <v>411082</v>
          </cell>
          <cell r="B1151">
            <v>0</v>
          </cell>
          <cell r="C1151">
            <v>0</v>
          </cell>
          <cell r="D1151" t="str">
            <v>לעדכן</v>
          </cell>
        </row>
        <row r="1152">
          <cell r="A1152">
            <v>411090</v>
          </cell>
          <cell r="B1152">
            <v>0</v>
          </cell>
          <cell r="C1152">
            <v>0</v>
          </cell>
          <cell r="D1152" t="str">
            <v>לעדכן</v>
          </cell>
        </row>
        <row r="1153">
          <cell r="A1153">
            <v>411108</v>
          </cell>
          <cell r="B1153">
            <v>0</v>
          </cell>
          <cell r="C1153">
            <v>0</v>
          </cell>
          <cell r="D1153" t="str">
            <v>לעדכן</v>
          </cell>
        </row>
        <row r="1154">
          <cell r="A1154">
            <v>411116</v>
          </cell>
          <cell r="B1154">
            <v>0</v>
          </cell>
          <cell r="C1154">
            <v>0</v>
          </cell>
          <cell r="D1154" t="str">
            <v>לעדכן</v>
          </cell>
        </row>
        <row r="1155">
          <cell r="A1155">
            <v>411157</v>
          </cell>
          <cell r="B1155">
            <v>0</v>
          </cell>
          <cell r="C1155">
            <v>0</v>
          </cell>
          <cell r="D1155" t="str">
            <v>לעדכן</v>
          </cell>
        </row>
        <row r="1156">
          <cell r="A1156">
            <v>411181</v>
          </cell>
          <cell r="B1156">
            <v>0</v>
          </cell>
          <cell r="C1156">
            <v>0</v>
          </cell>
          <cell r="D1156" t="str">
            <v>לעדכן</v>
          </cell>
        </row>
        <row r="1157">
          <cell r="A1157">
            <v>411199</v>
          </cell>
          <cell r="B1157">
            <v>0</v>
          </cell>
          <cell r="C1157">
            <v>0</v>
          </cell>
          <cell r="D1157" t="str">
            <v>לעדכן</v>
          </cell>
        </row>
        <row r="1158">
          <cell r="A1158">
            <v>411215</v>
          </cell>
          <cell r="B1158">
            <v>0</v>
          </cell>
          <cell r="C1158">
            <v>0</v>
          </cell>
          <cell r="D1158" t="str">
            <v>לעדכן</v>
          </cell>
        </row>
        <row r="1159">
          <cell r="A1159">
            <v>411231</v>
          </cell>
          <cell r="B1159">
            <v>0</v>
          </cell>
          <cell r="C1159">
            <v>0</v>
          </cell>
          <cell r="D1159" t="str">
            <v>לעדכן</v>
          </cell>
        </row>
        <row r="1160">
          <cell r="A1160">
            <v>411256</v>
          </cell>
          <cell r="B1160">
            <v>0</v>
          </cell>
          <cell r="C1160">
            <v>0</v>
          </cell>
          <cell r="D1160" t="str">
            <v>לעדכן</v>
          </cell>
        </row>
        <row r="1161">
          <cell r="A1161">
            <v>411264</v>
          </cell>
          <cell r="B1161">
            <v>0</v>
          </cell>
          <cell r="C1161">
            <v>0</v>
          </cell>
          <cell r="D1161" t="str">
            <v>לעדכן</v>
          </cell>
        </row>
        <row r="1162">
          <cell r="A1162">
            <v>411272</v>
          </cell>
          <cell r="B1162">
            <v>0</v>
          </cell>
          <cell r="C1162">
            <v>0</v>
          </cell>
          <cell r="D1162" t="str">
            <v>לעדכן</v>
          </cell>
        </row>
        <row r="1163">
          <cell r="A1163">
            <v>411298</v>
          </cell>
          <cell r="B1163">
            <v>0</v>
          </cell>
          <cell r="C1163">
            <v>0</v>
          </cell>
          <cell r="D1163" t="str">
            <v>לעדכן</v>
          </cell>
        </row>
        <row r="1164">
          <cell r="A1164">
            <v>411306</v>
          </cell>
          <cell r="B1164">
            <v>0</v>
          </cell>
          <cell r="C1164">
            <v>0</v>
          </cell>
          <cell r="D1164" t="str">
            <v>לעדכן</v>
          </cell>
        </row>
        <row r="1165">
          <cell r="A1165">
            <v>411330</v>
          </cell>
          <cell r="B1165">
            <v>0</v>
          </cell>
          <cell r="C1165">
            <v>0</v>
          </cell>
          <cell r="D1165" t="str">
            <v>לעדכן</v>
          </cell>
        </row>
        <row r="1166">
          <cell r="A1166">
            <v>411355</v>
          </cell>
          <cell r="B1166">
            <v>0</v>
          </cell>
          <cell r="C1166">
            <v>0</v>
          </cell>
          <cell r="D1166" t="str">
            <v>לעדכן</v>
          </cell>
        </row>
        <row r="1167">
          <cell r="A1167">
            <v>411371</v>
          </cell>
          <cell r="B1167">
            <v>0</v>
          </cell>
          <cell r="C1167">
            <v>0</v>
          </cell>
          <cell r="D1167" t="str">
            <v>לעדכן</v>
          </cell>
        </row>
        <row r="1168">
          <cell r="A1168">
            <v>411389</v>
          </cell>
          <cell r="B1168">
            <v>0</v>
          </cell>
          <cell r="C1168">
            <v>0</v>
          </cell>
          <cell r="D1168" t="str">
            <v>לעדכן</v>
          </cell>
        </row>
        <row r="1169">
          <cell r="A1169">
            <v>411413</v>
          </cell>
          <cell r="B1169">
            <v>0</v>
          </cell>
          <cell r="C1169">
            <v>0</v>
          </cell>
          <cell r="D1169" t="str">
            <v>לעדכן</v>
          </cell>
        </row>
        <row r="1170">
          <cell r="A1170">
            <v>411421</v>
          </cell>
          <cell r="B1170">
            <v>0</v>
          </cell>
          <cell r="C1170">
            <v>0</v>
          </cell>
          <cell r="D1170" t="str">
            <v>לעדכן</v>
          </cell>
        </row>
        <row r="1171">
          <cell r="A1171">
            <v>411439</v>
          </cell>
          <cell r="B1171">
            <v>0</v>
          </cell>
          <cell r="C1171">
            <v>0</v>
          </cell>
          <cell r="D1171" t="str">
            <v>לעדכן</v>
          </cell>
        </row>
        <row r="1172">
          <cell r="A1172">
            <v>411496</v>
          </cell>
          <cell r="B1172">
            <v>0</v>
          </cell>
          <cell r="C1172">
            <v>0</v>
          </cell>
          <cell r="D1172" t="str">
            <v>לעדכן</v>
          </cell>
        </row>
        <row r="1173">
          <cell r="A1173">
            <v>411504</v>
          </cell>
          <cell r="B1173">
            <v>0</v>
          </cell>
          <cell r="C1173">
            <v>0</v>
          </cell>
          <cell r="D1173" t="str">
            <v>לעדכן</v>
          </cell>
        </row>
        <row r="1174">
          <cell r="A1174">
            <v>411546</v>
          </cell>
          <cell r="B1174">
            <v>0</v>
          </cell>
          <cell r="C1174">
            <v>0</v>
          </cell>
          <cell r="D1174" t="str">
            <v>לעדכן</v>
          </cell>
        </row>
        <row r="1175">
          <cell r="A1175">
            <v>411553</v>
          </cell>
          <cell r="B1175">
            <v>0</v>
          </cell>
          <cell r="C1175">
            <v>0</v>
          </cell>
          <cell r="D1175" t="str">
            <v>לעדכן</v>
          </cell>
        </row>
        <row r="1176">
          <cell r="A1176">
            <v>411595</v>
          </cell>
          <cell r="B1176">
            <v>0</v>
          </cell>
          <cell r="C1176">
            <v>0</v>
          </cell>
          <cell r="D1176" t="str">
            <v>לעדכן</v>
          </cell>
        </row>
        <row r="1177">
          <cell r="A1177">
            <v>411603</v>
          </cell>
          <cell r="B1177">
            <v>0</v>
          </cell>
          <cell r="C1177">
            <v>0</v>
          </cell>
          <cell r="D1177" t="str">
            <v>לעדכן</v>
          </cell>
        </row>
        <row r="1178">
          <cell r="A1178">
            <v>411611</v>
          </cell>
          <cell r="B1178">
            <v>0</v>
          </cell>
          <cell r="C1178">
            <v>0</v>
          </cell>
          <cell r="D1178" t="str">
            <v>לעדכן</v>
          </cell>
        </row>
        <row r="1179">
          <cell r="A1179">
            <v>411629</v>
          </cell>
          <cell r="B1179">
            <v>0</v>
          </cell>
          <cell r="C1179">
            <v>0</v>
          </cell>
          <cell r="D1179" t="str">
            <v>לעדכן</v>
          </cell>
        </row>
        <row r="1180">
          <cell r="A1180">
            <v>411637</v>
          </cell>
          <cell r="B1180">
            <v>0</v>
          </cell>
          <cell r="C1180">
            <v>0</v>
          </cell>
          <cell r="D1180" t="str">
            <v>לעדכן</v>
          </cell>
        </row>
        <row r="1181">
          <cell r="A1181">
            <v>411652</v>
          </cell>
          <cell r="B1181">
            <v>0</v>
          </cell>
          <cell r="C1181">
            <v>0</v>
          </cell>
          <cell r="D1181" t="str">
            <v>לעדכן</v>
          </cell>
        </row>
        <row r="1182">
          <cell r="A1182">
            <v>411660</v>
          </cell>
          <cell r="B1182">
            <v>0</v>
          </cell>
          <cell r="C1182">
            <v>0</v>
          </cell>
          <cell r="D1182" t="str">
            <v>לעדכן</v>
          </cell>
        </row>
        <row r="1183">
          <cell r="A1183">
            <v>411686</v>
          </cell>
          <cell r="B1183">
            <v>0</v>
          </cell>
          <cell r="C1183">
            <v>0</v>
          </cell>
          <cell r="D1183" t="str">
            <v>לעדכן</v>
          </cell>
        </row>
        <row r="1184">
          <cell r="A1184">
            <v>411694</v>
          </cell>
          <cell r="B1184">
            <v>0</v>
          </cell>
          <cell r="C1184">
            <v>0</v>
          </cell>
          <cell r="D1184" t="str">
            <v>לעדכן</v>
          </cell>
        </row>
        <row r="1185">
          <cell r="A1185">
            <v>411702</v>
          </cell>
          <cell r="B1185">
            <v>0</v>
          </cell>
          <cell r="C1185">
            <v>0</v>
          </cell>
          <cell r="D1185" t="str">
            <v>לעדכן</v>
          </cell>
        </row>
        <row r="1186">
          <cell r="A1186">
            <v>411710</v>
          </cell>
          <cell r="B1186">
            <v>0</v>
          </cell>
          <cell r="C1186">
            <v>0</v>
          </cell>
          <cell r="D1186" t="str">
            <v>לעדכן</v>
          </cell>
        </row>
        <row r="1187">
          <cell r="A1187">
            <v>411736</v>
          </cell>
          <cell r="B1187">
            <v>0</v>
          </cell>
          <cell r="C1187">
            <v>0</v>
          </cell>
          <cell r="D1187" t="str">
            <v>לעדכן</v>
          </cell>
        </row>
        <row r="1188">
          <cell r="A1188">
            <v>411751</v>
          </cell>
          <cell r="B1188">
            <v>0</v>
          </cell>
          <cell r="C1188">
            <v>0</v>
          </cell>
          <cell r="D1188" t="str">
            <v>לעדכן</v>
          </cell>
        </row>
        <row r="1189">
          <cell r="A1189">
            <v>411769</v>
          </cell>
          <cell r="B1189">
            <v>0</v>
          </cell>
          <cell r="C1189">
            <v>0</v>
          </cell>
          <cell r="D1189" t="str">
            <v>לעדכן</v>
          </cell>
        </row>
        <row r="1190">
          <cell r="A1190">
            <v>411785</v>
          </cell>
          <cell r="B1190">
            <v>0</v>
          </cell>
          <cell r="C1190">
            <v>0</v>
          </cell>
          <cell r="D1190" t="str">
            <v>לעדכן</v>
          </cell>
        </row>
        <row r="1191">
          <cell r="A1191">
            <v>411793</v>
          </cell>
          <cell r="B1191">
            <v>0</v>
          </cell>
          <cell r="C1191">
            <v>0</v>
          </cell>
          <cell r="D1191" t="str">
            <v>לעדכן</v>
          </cell>
        </row>
        <row r="1192">
          <cell r="A1192">
            <v>411819</v>
          </cell>
          <cell r="B1192">
            <v>0</v>
          </cell>
          <cell r="C1192">
            <v>0</v>
          </cell>
          <cell r="D1192" t="str">
            <v>לעדכן</v>
          </cell>
        </row>
        <row r="1193">
          <cell r="A1193">
            <v>411827</v>
          </cell>
          <cell r="B1193">
            <v>0</v>
          </cell>
          <cell r="C1193">
            <v>0</v>
          </cell>
          <cell r="D1193" t="str">
            <v>לעדכן</v>
          </cell>
        </row>
        <row r="1194">
          <cell r="A1194">
            <v>411835</v>
          </cell>
          <cell r="B1194">
            <v>0</v>
          </cell>
          <cell r="C1194">
            <v>0</v>
          </cell>
          <cell r="D1194" t="str">
            <v>לעדכן</v>
          </cell>
        </row>
        <row r="1195">
          <cell r="A1195">
            <v>411843</v>
          </cell>
          <cell r="B1195">
            <v>0</v>
          </cell>
          <cell r="C1195">
            <v>0</v>
          </cell>
          <cell r="D1195" t="str">
            <v>לעדכן</v>
          </cell>
        </row>
        <row r="1196">
          <cell r="A1196">
            <v>411850</v>
          </cell>
          <cell r="B1196">
            <v>0</v>
          </cell>
          <cell r="C1196">
            <v>0</v>
          </cell>
          <cell r="D1196" t="str">
            <v>לעדכן</v>
          </cell>
        </row>
        <row r="1197">
          <cell r="A1197">
            <v>411868</v>
          </cell>
          <cell r="B1197">
            <v>0</v>
          </cell>
          <cell r="C1197">
            <v>0</v>
          </cell>
          <cell r="D1197" t="str">
            <v>לעדכן</v>
          </cell>
        </row>
        <row r="1198">
          <cell r="A1198">
            <v>411876</v>
          </cell>
          <cell r="B1198">
            <v>0</v>
          </cell>
          <cell r="C1198">
            <v>0</v>
          </cell>
          <cell r="D1198" t="str">
            <v>לעדכן</v>
          </cell>
        </row>
        <row r="1199">
          <cell r="A1199">
            <v>411892</v>
          </cell>
          <cell r="B1199">
            <v>0</v>
          </cell>
          <cell r="C1199">
            <v>0</v>
          </cell>
          <cell r="D1199" t="str">
            <v>לעדכן</v>
          </cell>
        </row>
        <row r="1200">
          <cell r="A1200">
            <v>411900</v>
          </cell>
          <cell r="B1200">
            <v>0</v>
          </cell>
          <cell r="C1200">
            <v>0</v>
          </cell>
          <cell r="D1200" t="str">
            <v>לעדכן</v>
          </cell>
        </row>
        <row r="1201">
          <cell r="A1201">
            <v>411918</v>
          </cell>
          <cell r="B1201">
            <v>0</v>
          </cell>
          <cell r="C1201">
            <v>0</v>
          </cell>
          <cell r="D1201" t="str">
            <v>לעדכן</v>
          </cell>
        </row>
        <row r="1202">
          <cell r="A1202">
            <v>411926</v>
          </cell>
          <cell r="B1202">
            <v>0</v>
          </cell>
          <cell r="C1202">
            <v>0</v>
          </cell>
          <cell r="D1202" t="str">
            <v>לעדכן</v>
          </cell>
        </row>
        <row r="1203">
          <cell r="A1203">
            <v>411934</v>
          </cell>
          <cell r="B1203">
            <v>0</v>
          </cell>
          <cell r="C1203">
            <v>0</v>
          </cell>
          <cell r="D1203" t="str">
            <v>לעדכן</v>
          </cell>
        </row>
        <row r="1204">
          <cell r="A1204">
            <v>411942</v>
          </cell>
          <cell r="B1204">
            <v>0</v>
          </cell>
          <cell r="C1204">
            <v>0</v>
          </cell>
          <cell r="D1204" t="str">
            <v>לעדכן</v>
          </cell>
        </row>
        <row r="1205">
          <cell r="A1205">
            <v>411959</v>
          </cell>
          <cell r="B1205">
            <v>0</v>
          </cell>
          <cell r="C1205">
            <v>0</v>
          </cell>
          <cell r="D1205" t="str">
            <v>לעדכן</v>
          </cell>
        </row>
        <row r="1206">
          <cell r="A1206">
            <v>411983</v>
          </cell>
          <cell r="B1206">
            <v>0</v>
          </cell>
          <cell r="C1206">
            <v>0</v>
          </cell>
          <cell r="D1206" t="str">
            <v>לעדכן</v>
          </cell>
        </row>
        <row r="1207">
          <cell r="A1207">
            <v>411991</v>
          </cell>
          <cell r="B1207">
            <v>0</v>
          </cell>
          <cell r="C1207">
            <v>0</v>
          </cell>
          <cell r="D1207" t="str">
            <v>לעדכן</v>
          </cell>
        </row>
        <row r="1208">
          <cell r="A1208">
            <v>412015</v>
          </cell>
          <cell r="B1208">
            <v>0</v>
          </cell>
          <cell r="C1208">
            <v>0</v>
          </cell>
          <cell r="D1208" t="str">
            <v>לעדכן</v>
          </cell>
        </row>
        <row r="1209">
          <cell r="A1209">
            <v>412023</v>
          </cell>
          <cell r="B1209">
            <v>0</v>
          </cell>
          <cell r="C1209">
            <v>0</v>
          </cell>
          <cell r="D1209" t="str">
            <v>לעדכן</v>
          </cell>
        </row>
        <row r="1210">
          <cell r="A1210">
            <v>412031</v>
          </cell>
          <cell r="B1210">
            <v>0</v>
          </cell>
          <cell r="C1210">
            <v>0</v>
          </cell>
          <cell r="D1210" t="str">
            <v>לעדכן</v>
          </cell>
        </row>
        <row r="1211">
          <cell r="A1211">
            <v>412049</v>
          </cell>
          <cell r="B1211">
            <v>0</v>
          </cell>
          <cell r="C1211">
            <v>0</v>
          </cell>
          <cell r="D1211" t="str">
            <v>לעדכן</v>
          </cell>
        </row>
        <row r="1212">
          <cell r="A1212">
            <v>412056</v>
          </cell>
          <cell r="B1212">
            <v>0</v>
          </cell>
          <cell r="C1212">
            <v>0</v>
          </cell>
          <cell r="D1212" t="str">
            <v>לעדכן</v>
          </cell>
        </row>
        <row r="1213">
          <cell r="A1213">
            <v>412064</v>
          </cell>
          <cell r="B1213">
            <v>0</v>
          </cell>
          <cell r="C1213">
            <v>0</v>
          </cell>
          <cell r="D1213" t="str">
            <v>לעדכן</v>
          </cell>
        </row>
        <row r="1214">
          <cell r="A1214">
            <v>412080</v>
          </cell>
          <cell r="B1214">
            <v>0</v>
          </cell>
          <cell r="C1214">
            <v>0</v>
          </cell>
          <cell r="D1214" t="str">
            <v>לעדכן</v>
          </cell>
        </row>
        <row r="1215">
          <cell r="A1215">
            <v>412114</v>
          </cell>
          <cell r="B1215">
            <v>0</v>
          </cell>
          <cell r="C1215">
            <v>0</v>
          </cell>
          <cell r="D1215" t="str">
            <v>לעדכן</v>
          </cell>
        </row>
        <row r="1216">
          <cell r="A1216">
            <v>412122</v>
          </cell>
          <cell r="B1216">
            <v>0</v>
          </cell>
          <cell r="C1216">
            <v>0</v>
          </cell>
          <cell r="D1216" t="str">
            <v>לעדכן</v>
          </cell>
        </row>
        <row r="1217">
          <cell r="A1217">
            <v>412163</v>
          </cell>
          <cell r="B1217">
            <v>0</v>
          </cell>
          <cell r="C1217">
            <v>0</v>
          </cell>
          <cell r="D1217" t="str">
            <v>לעדכן</v>
          </cell>
        </row>
        <row r="1218">
          <cell r="A1218">
            <v>412171</v>
          </cell>
          <cell r="B1218">
            <v>0</v>
          </cell>
          <cell r="C1218">
            <v>0</v>
          </cell>
          <cell r="D1218" t="str">
            <v>לעדכן</v>
          </cell>
        </row>
        <row r="1219">
          <cell r="A1219">
            <v>412189</v>
          </cell>
          <cell r="B1219">
            <v>0</v>
          </cell>
          <cell r="C1219">
            <v>0</v>
          </cell>
          <cell r="D1219" t="str">
            <v>לעדכן</v>
          </cell>
        </row>
        <row r="1220">
          <cell r="A1220">
            <v>412205</v>
          </cell>
          <cell r="B1220">
            <v>0</v>
          </cell>
          <cell r="C1220">
            <v>0</v>
          </cell>
          <cell r="D1220" t="str">
            <v>לעדכן</v>
          </cell>
        </row>
        <row r="1221">
          <cell r="A1221">
            <v>412213</v>
          </cell>
          <cell r="B1221">
            <v>0</v>
          </cell>
          <cell r="C1221">
            <v>0</v>
          </cell>
          <cell r="D1221" t="str">
            <v>לעדכן</v>
          </cell>
        </row>
        <row r="1222">
          <cell r="A1222">
            <v>412221</v>
          </cell>
          <cell r="B1222">
            <v>0</v>
          </cell>
          <cell r="C1222">
            <v>0</v>
          </cell>
          <cell r="D1222" t="str">
            <v>לעדכן</v>
          </cell>
        </row>
        <row r="1223">
          <cell r="A1223">
            <v>412239</v>
          </cell>
          <cell r="B1223">
            <v>0</v>
          </cell>
          <cell r="C1223">
            <v>0</v>
          </cell>
          <cell r="D1223" t="str">
            <v>לעדכן</v>
          </cell>
        </row>
        <row r="1224">
          <cell r="A1224">
            <v>412254</v>
          </cell>
          <cell r="B1224">
            <v>0</v>
          </cell>
          <cell r="C1224">
            <v>0</v>
          </cell>
          <cell r="D1224" t="str">
            <v>לעדכן</v>
          </cell>
        </row>
        <row r="1225">
          <cell r="A1225">
            <v>412262</v>
          </cell>
          <cell r="B1225">
            <v>0</v>
          </cell>
          <cell r="C1225">
            <v>0</v>
          </cell>
          <cell r="D1225" t="str">
            <v>לעדכן</v>
          </cell>
        </row>
        <row r="1226">
          <cell r="A1226">
            <v>412288</v>
          </cell>
          <cell r="B1226">
            <v>0</v>
          </cell>
          <cell r="C1226">
            <v>0</v>
          </cell>
          <cell r="D1226" t="str">
            <v>לעדכן</v>
          </cell>
        </row>
        <row r="1227">
          <cell r="A1227">
            <v>412296</v>
          </cell>
          <cell r="B1227">
            <v>0</v>
          </cell>
          <cell r="C1227">
            <v>0</v>
          </cell>
          <cell r="D1227" t="str">
            <v>לעדכן</v>
          </cell>
        </row>
        <row r="1228">
          <cell r="A1228">
            <v>412312</v>
          </cell>
          <cell r="B1228">
            <v>0</v>
          </cell>
          <cell r="C1228">
            <v>0</v>
          </cell>
          <cell r="D1228" t="str">
            <v>לעדכן</v>
          </cell>
        </row>
        <row r="1229">
          <cell r="A1229">
            <v>412346</v>
          </cell>
          <cell r="B1229">
            <v>0</v>
          </cell>
          <cell r="C1229">
            <v>0</v>
          </cell>
          <cell r="D1229" t="str">
            <v>לעדכן</v>
          </cell>
        </row>
        <row r="1230">
          <cell r="A1230">
            <v>412361</v>
          </cell>
          <cell r="B1230">
            <v>0</v>
          </cell>
          <cell r="C1230">
            <v>0</v>
          </cell>
          <cell r="D1230" t="str">
            <v>לעדכן</v>
          </cell>
        </row>
        <row r="1231">
          <cell r="A1231">
            <v>412379</v>
          </cell>
          <cell r="B1231">
            <v>0</v>
          </cell>
          <cell r="C1231">
            <v>0</v>
          </cell>
          <cell r="D1231" t="str">
            <v>לעדכן</v>
          </cell>
        </row>
        <row r="1232">
          <cell r="A1232">
            <v>412403</v>
          </cell>
          <cell r="B1232">
            <v>0</v>
          </cell>
          <cell r="C1232">
            <v>0</v>
          </cell>
          <cell r="D1232" t="str">
            <v>לעדכן</v>
          </cell>
        </row>
        <row r="1233">
          <cell r="A1233">
            <v>412429</v>
          </cell>
          <cell r="B1233">
            <v>0</v>
          </cell>
          <cell r="C1233">
            <v>0</v>
          </cell>
          <cell r="D1233" t="str">
            <v>לעדכן</v>
          </cell>
        </row>
        <row r="1234">
          <cell r="A1234">
            <v>412445</v>
          </cell>
          <cell r="B1234">
            <v>0</v>
          </cell>
          <cell r="C1234">
            <v>0</v>
          </cell>
          <cell r="D1234" t="str">
            <v>לעדכן</v>
          </cell>
        </row>
        <row r="1235">
          <cell r="A1235">
            <v>412460</v>
          </cell>
          <cell r="B1235">
            <v>0</v>
          </cell>
          <cell r="C1235">
            <v>0</v>
          </cell>
          <cell r="D1235" t="str">
            <v>לעדכן</v>
          </cell>
        </row>
        <row r="1236">
          <cell r="A1236">
            <v>412486</v>
          </cell>
          <cell r="B1236">
            <v>0</v>
          </cell>
          <cell r="C1236">
            <v>0</v>
          </cell>
          <cell r="D1236" t="str">
            <v>לעדכן</v>
          </cell>
        </row>
        <row r="1237">
          <cell r="A1237">
            <v>412494</v>
          </cell>
          <cell r="B1237">
            <v>0</v>
          </cell>
          <cell r="C1237">
            <v>0</v>
          </cell>
          <cell r="D1237" t="str">
            <v>לעדכן</v>
          </cell>
        </row>
        <row r="1238">
          <cell r="A1238">
            <v>412551</v>
          </cell>
          <cell r="B1238">
            <v>0</v>
          </cell>
          <cell r="C1238">
            <v>0</v>
          </cell>
          <cell r="D1238" t="str">
            <v>לעדכן</v>
          </cell>
        </row>
        <row r="1239">
          <cell r="A1239">
            <v>412569</v>
          </cell>
          <cell r="B1239">
            <v>0</v>
          </cell>
          <cell r="C1239">
            <v>0</v>
          </cell>
          <cell r="D1239" t="str">
            <v>לעדכן</v>
          </cell>
        </row>
        <row r="1240">
          <cell r="A1240">
            <v>412577</v>
          </cell>
          <cell r="B1240">
            <v>0</v>
          </cell>
          <cell r="C1240">
            <v>0</v>
          </cell>
          <cell r="D1240" t="str">
            <v>לעדכן</v>
          </cell>
        </row>
        <row r="1241">
          <cell r="A1241">
            <v>412585</v>
          </cell>
          <cell r="B1241">
            <v>0</v>
          </cell>
          <cell r="C1241">
            <v>0</v>
          </cell>
          <cell r="D1241" t="str">
            <v>לעדכן</v>
          </cell>
        </row>
        <row r="1242">
          <cell r="A1242">
            <v>412593</v>
          </cell>
          <cell r="B1242">
            <v>0</v>
          </cell>
          <cell r="C1242">
            <v>0</v>
          </cell>
          <cell r="D1242" t="str">
            <v>לעדכן</v>
          </cell>
        </row>
        <row r="1243">
          <cell r="A1243">
            <v>412619</v>
          </cell>
          <cell r="B1243">
            <v>0</v>
          </cell>
          <cell r="C1243">
            <v>0</v>
          </cell>
          <cell r="D1243" t="str">
            <v>לעדכן</v>
          </cell>
        </row>
        <row r="1244">
          <cell r="A1244">
            <v>412627</v>
          </cell>
          <cell r="B1244">
            <v>0</v>
          </cell>
          <cell r="C1244">
            <v>0</v>
          </cell>
          <cell r="D1244" t="str">
            <v>לעדכן</v>
          </cell>
        </row>
        <row r="1245">
          <cell r="A1245">
            <v>412635</v>
          </cell>
          <cell r="B1245">
            <v>0</v>
          </cell>
          <cell r="C1245">
            <v>0</v>
          </cell>
          <cell r="D1245" t="str">
            <v>לעדכן</v>
          </cell>
        </row>
        <row r="1246">
          <cell r="A1246">
            <v>412643</v>
          </cell>
          <cell r="B1246">
            <v>0</v>
          </cell>
          <cell r="C1246">
            <v>0</v>
          </cell>
          <cell r="D1246" t="str">
            <v>לעדכן</v>
          </cell>
        </row>
        <row r="1247">
          <cell r="A1247">
            <v>412650</v>
          </cell>
          <cell r="B1247">
            <v>0</v>
          </cell>
          <cell r="C1247">
            <v>0</v>
          </cell>
          <cell r="D1247" t="str">
            <v>לעדכן</v>
          </cell>
        </row>
        <row r="1248">
          <cell r="A1248">
            <v>412692</v>
          </cell>
          <cell r="B1248">
            <v>0</v>
          </cell>
          <cell r="C1248">
            <v>0</v>
          </cell>
          <cell r="D1248" t="str">
            <v>לעדכן</v>
          </cell>
        </row>
        <row r="1249">
          <cell r="A1249">
            <v>412700</v>
          </cell>
          <cell r="B1249">
            <v>0</v>
          </cell>
          <cell r="C1249">
            <v>0</v>
          </cell>
          <cell r="D1249" t="str">
            <v>לעדכן</v>
          </cell>
        </row>
        <row r="1250">
          <cell r="A1250">
            <v>412718</v>
          </cell>
          <cell r="B1250">
            <v>0</v>
          </cell>
          <cell r="C1250">
            <v>0</v>
          </cell>
          <cell r="D1250" t="str">
            <v>לעדכן</v>
          </cell>
        </row>
        <row r="1251">
          <cell r="A1251">
            <v>412726</v>
          </cell>
          <cell r="B1251">
            <v>0</v>
          </cell>
          <cell r="C1251">
            <v>0</v>
          </cell>
          <cell r="D1251" t="str">
            <v>לעדכן</v>
          </cell>
        </row>
        <row r="1252">
          <cell r="A1252">
            <v>412783</v>
          </cell>
          <cell r="B1252">
            <v>0</v>
          </cell>
          <cell r="C1252">
            <v>0</v>
          </cell>
          <cell r="D1252" t="str">
            <v>לעדכן</v>
          </cell>
        </row>
        <row r="1253">
          <cell r="A1253">
            <v>412791</v>
          </cell>
          <cell r="B1253">
            <v>0</v>
          </cell>
          <cell r="C1253">
            <v>0</v>
          </cell>
          <cell r="D1253" t="str">
            <v>לעדכן</v>
          </cell>
        </row>
        <row r="1254">
          <cell r="A1254">
            <v>412809</v>
          </cell>
          <cell r="B1254">
            <v>0</v>
          </cell>
          <cell r="C1254">
            <v>0</v>
          </cell>
          <cell r="D1254" t="str">
            <v>לעדכן</v>
          </cell>
        </row>
        <row r="1255">
          <cell r="A1255">
            <v>412825</v>
          </cell>
          <cell r="B1255">
            <v>0</v>
          </cell>
          <cell r="C1255">
            <v>0</v>
          </cell>
          <cell r="D1255" t="str">
            <v>לעדכן</v>
          </cell>
        </row>
        <row r="1256">
          <cell r="A1256">
            <v>412841</v>
          </cell>
          <cell r="B1256">
            <v>0</v>
          </cell>
          <cell r="C1256">
            <v>0</v>
          </cell>
          <cell r="D1256" t="str">
            <v>לעדכן</v>
          </cell>
        </row>
        <row r="1257">
          <cell r="A1257">
            <v>412858</v>
          </cell>
          <cell r="B1257">
            <v>0</v>
          </cell>
          <cell r="C1257">
            <v>0</v>
          </cell>
          <cell r="D1257" t="str">
            <v>לעדכן</v>
          </cell>
        </row>
        <row r="1258">
          <cell r="A1258">
            <v>412866</v>
          </cell>
          <cell r="B1258">
            <v>0</v>
          </cell>
          <cell r="C1258">
            <v>0</v>
          </cell>
          <cell r="D1258" t="str">
            <v>לעדכן</v>
          </cell>
        </row>
        <row r="1259">
          <cell r="A1259">
            <v>412874</v>
          </cell>
          <cell r="B1259">
            <v>0</v>
          </cell>
          <cell r="C1259">
            <v>0</v>
          </cell>
          <cell r="D1259" t="str">
            <v>לעדכן</v>
          </cell>
        </row>
        <row r="1260">
          <cell r="A1260">
            <v>412908</v>
          </cell>
          <cell r="B1260">
            <v>0</v>
          </cell>
          <cell r="C1260">
            <v>0</v>
          </cell>
          <cell r="D1260" t="str">
            <v>לעדכן</v>
          </cell>
        </row>
        <row r="1261">
          <cell r="A1261">
            <v>412932</v>
          </cell>
          <cell r="B1261">
            <v>0</v>
          </cell>
          <cell r="C1261">
            <v>0</v>
          </cell>
          <cell r="D1261" t="str">
            <v>לעדכן</v>
          </cell>
        </row>
        <row r="1262">
          <cell r="A1262">
            <v>412940</v>
          </cell>
          <cell r="B1262">
            <v>0</v>
          </cell>
          <cell r="C1262">
            <v>0</v>
          </cell>
          <cell r="D1262" t="str">
            <v>לעדכן</v>
          </cell>
        </row>
        <row r="1263">
          <cell r="A1263">
            <v>412965</v>
          </cell>
          <cell r="B1263">
            <v>0</v>
          </cell>
          <cell r="C1263">
            <v>0</v>
          </cell>
          <cell r="D1263" t="str">
            <v>לעדכן</v>
          </cell>
        </row>
        <row r="1264">
          <cell r="A1264">
            <v>412973</v>
          </cell>
          <cell r="B1264">
            <v>0</v>
          </cell>
          <cell r="C1264">
            <v>0</v>
          </cell>
          <cell r="D1264" t="str">
            <v>לעדכן</v>
          </cell>
        </row>
        <row r="1265">
          <cell r="A1265">
            <v>412981</v>
          </cell>
          <cell r="B1265">
            <v>0</v>
          </cell>
          <cell r="C1265">
            <v>0</v>
          </cell>
          <cell r="D1265" t="str">
            <v>לעדכן</v>
          </cell>
        </row>
        <row r="1266">
          <cell r="A1266">
            <v>413013</v>
          </cell>
          <cell r="B1266">
            <v>0</v>
          </cell>
          <cell r="C1266">
            <v>0</v>
          </cell>
          <cell r="D1266" t="str">
            <v>לעדכן</v>
          </cell>
        </row>
        <row r="1267">
          <cell r="A1267">
            <v>413021</v>
          </cell>
          <cell r="B1267">
            <v>0</v>
          </cell>
          <cell r="C1267">
            <v>0</v>
          </cell>
          <cell r="D1267" t="str">
            <v>לעדכן</v>
          </cell>
        </row>
        <row r="1268">
          <cell r="A1268">
            <v>413039</v>
          </cell>
          <cell r="B1268">
            <v>0</v>
          </cell>
          <cell r="C1268">
            <v>0</v>
          </cell>
          <cell r="D1268" t="str">
            <v>לעדכן</v>
          </cell>
        </row>
        <row r="1269">
          <cell r="A1269">
            <v>413054</v>
          </cell>
          <cell r="B1269">
            <v>0</v>
          </cell>
          <cell r="C1269">
            <v>0</v>
          </cell>
          <cell r="D1269" t="str">
            <v>לעדכן</v>
          </cell>
        </row>
        <row r="1270">
          <cell r="A1270">
            <v>413062</v>
          </cell>
          <cell r="B1270">
            <v>0</v>
          </cell>
          <cell r="C1270">
            <v>0</v>
          </cell>
          <cell r="D1270" t="str">
            <v>לעדכן</v>
          </cell>
        </row>
        <row r="1271">
          <cell r="A1271">
            <v>413070</v>
          </cell>
          <cell r="B1271">
            <v>0</v>
          </cell>
          <cell r="C1271">
            <v>0</v>
          </cell>
          <cell r="D1271" t="str">
            <v>לעדכן</v>
          </cell>
        </row>
        <row r="1272">
          <cell r="A1272">
            <v>413088</v>
          </cell>
          <cell r="B1272">
            <v>0</v>
          </cell>
          <cell r="C1272">
            <v>0</v>
          </cell>
          <cell r="D1272" t="str">
            <v>לעדכן</v>
          </cell>
        </row>
        <row r="1273">
          <cell r="A1273">
            <v>413096</v>
          </cell>
          <cell r="B1273">
            <v>0</v>
          </cell>
          <cell r="C1273">
            <v>0</v>
          </cell>
          <cell r="D1273" t="str">
            <v>לעדכן</v>
          </cell>
        </row>
        <row r="1274">
          <cell r="A1274">
            <v>413104</v>
          </cell>
          <cell r="B1274">
            <v>0</v>
          </cell>
          <cell r="C1274">
            <v>0</v>
          </cell>
          <cell r="D1274" t="str">
            <v>לעדכן</v>
          </cell>
        </row>
        <row r="1275">
          <cell r="A1275">
            <v>413112</v>
          </cell>
          <cell r="B1275">
            <v>0</v>
          </cell>
          <cell r="C1275">
            <v>0</v>
          </cell>
          <cell r="D1275" t="str">
            <v>לעדכן</v>
          </cell>
        </row>
        <row r="1276">
          <cell r="A1276">
            <v>413120</v>
          </cell>
          <cell r="B1276">
            <v>0</v>
          </cell>
          <cell r="C1276">
            <v>0</v>
          </cell>
          <cell r="D1276" t="str">
            <v>לעדכן</v>
          </cell>
        </row>
        <row r="1277">
          <cell r="A1277">
            <v>413146</v>
          </cell>
          <cell r="B1277">
            <v>0</v>
          </cell>
          <cell r="C1277">
            <v>0</v>
          </cell>
          <cell r="D1277" t="str">
            <v>לעדכן</v>
          </cell>
        </row>
        <row r="1278">
          <cell r="A1278">
            <v>413153</v>
          </cell>
          <cell r="B1278">
            <v>0</v>
          </cell>
          <cell r="C1278">
            <v>0</v>
          </cell>
          <cell r="D1278" t="str">
            <v>לעדכן</v>
          </cell>
        </row>
        <row r="1279">
          <cell r="A1279">
            <v>413161</v>
          </cell>
          <cell r="B1279">
            <v>0</v>
          </cell>
          <cell r="C1279">
            <v>0</v>
          </cell>
          <cell r="D1279" t="str">
            <v>לעדכן</v>
          </cell>
        </row>
        <row r="1280">
          <cell r="A1280">
            <v>413187</v>
          </cell>
          <cell r="B1280">
            <v>0</v>
          </cell>
          <cell r="C1280">
            <v>0</v>
          </cell>
          <cell r="D1280" t="str">
            <v>לעדכן</v>
          </cell>
        </row>
        <row r="1281">
          <cell r="A1281">
            <v>413195</v>
          </cell>
          <cell r="B1281">
            <v>0</v>
          </cell>
          <cell r="C1281">
            <v>0</v>
          </cell>
          <cell r="D1281" t="str">
            <v>לעדכן</v>
          </cell>
        </row>
        <row r="1282">
          <cell r="A1282">
            <v>413211</v>
          </cell>
          <cell r="B1282">
            <v>0</v>
          </cell>
          <cell r="C1282">
            <v>0</v>
          </cell>
          <cell r="D1282" t="str">
            <v>לעדכן</v>
          </cell>
        </row>
        <row r="1283">
          <cell r="A1283">
            <v>413260</v>
          </cell>
          <cell r="B1283">
            <v>0</v>
          </cell>
          <cell r="C1283">
            <v>0</v>
          </cell>
          <cell r="D1283" t="str">
            <v>לעדכן</v>
          </cell>
        </row>
        <row r="1284">
          <cell r="A1284">
            <v>413294</v>
          </cell>
          <cell r="B1284">
            <v>0</v>
          </cell>
          <cell r="C1284">
            <v>0</v>
          </cell>
          <cell r="D1284" t="str">
            <v>לעדכן</v>
          </cell>
        </row>
        <row r="1285">
          <cell r="A1285">
            <v>413302</v>
          </cell>
          <cell r="B1285">
            <v>0</v>
          </cell>
          <cell r="C1285">
            <v>0</v>
          </cell>
          <cell r="D1285" t="str">
            <v>לעדכן</v>
          </cell>
        </row>
        <row r="1286">
          <cell r="A1286">
            <v>413336</v>
          </cell>
          <cell r="B1286">
            <v>0</v>
          </cell>
          <cell r="C1286">
            <v>0</v>
          </cell>
          <cell r="D1286" t="str">
            <v>לעדכן</v>
          </cell>
        </row>
        <row r="1287">
          <cell r="A1287">
            <v>413344</v>
          </cell>
          <cell r="B1287">
            <v>0</v>
          </cell>
          <cell r="C1287">
            <v>0</v>
          </cell>
          <cell r="D1287" t="str">
            <v>לעדכן</v>
          </cell>
        </row>
        <row r="1288">
          <cell r="A1288">
            <v>413351</v>
          </cell>
          <cell r="B1288">
            <v>0</v>
          </cell>
          <cell r="C1288">
            <v>0</v>
          </cell>
          <cell r="D1288" t="str">
            <v>לעדכן</v>
          </cell>
        </row>
        <row r="1289">
          <cell r="A1289">
            <v>413369</v>
          </cell>
          <cell r="B1289">
            <v>0</v>
          </cell>
          <cell r="C1289">
            <v>0</v>
          </cell>
          <cell r="D1289" t="str">
            <v>לעדכן</v>
          </cell>
        </row>
        <row r="1290">
          <cell r="A1290">
            <v>413377</v>
          </cell>
          <cell r="B1290">
            <v>0</v>
          </cell>
          <cell r="C1290">
            <v>0</v>
          </cell>
          <cell r="D1290" t="str">
            <v>לעדכן</v>
          </cell>
        </row>
        <row r="1291">
          <cell r="A1291">
            <v>413393</v>
          </cell>
          <cell r="B1291">
            <v>0</v>
          </cell>
          <cell r="C1291">
            <v>0</v>
          </cell>
          <cell r="D1291" t="str">
            <v>לעדכן</v>
          </cell>
        </row>
        <row r="1292">
          <cell r="A1292">
            <v>413401</v>
          </cell>
          <cell r="B1292">
            <v>0</v>
          </cell>
          <cell r="C1292">
            <v>0</v>
          </cell>
          <cell r="D1292" t="str">
            <v>לעדכן</v>
          </cell>
        </row>
        <row r="1293">
          <cell r="A1293">
            <v>413435</v>
          </cell>
          <cell r="B1293">
            <v>0</v>
          </cell>
          <cell r="C1293">
            <v>0</v>
          </cell>
          <cell r="D1293" t="str">
            <v>לעדכן</v>
          </cell>
        </row>
        <row r="1294">
          <cell r="A1294">
            <v>413443</v>
          </cell>
          <cell r="B1294">
            <v>0</v>
          </cell>
          <cell r="C1294">
            <v>0</v>
          </cell>
          <cell r="D1294" t="str">
            <v>לעדכן</v>
          </cell>
        </row>
        <row r="1295">
          <cell r="A1295">
            <v>413450</v>
          </cell>
          <cell r="B1295">
            <v>0</v>
          </cell>
          <cell r="C1295">
            <v>0</v>
          </cell>
          <cell r="D1295" t="str">
            <v>לעדכן</v>
          </cell>
        </row>
        <row r="1296">
          <cell r="A1296">
            <v>413476</v>
          </cell>
          <cell r="B1296">
            <v>0</v>
          </cell>
          <cell r="C1296">
            <v>0</v>
          </cell>
          <cell r="D1296" t="str">
            <v>לעדכן</v>
          </cell>
        </row>
        <row r="1297">
          <cell r="A1297">
            <v>413484</v>
          </cell>
          <cell r="B1297">
            <v>0</v>
          </cell>
          <cell r="C1297">
            <v>0</v>
          </cell>
          <cell r="D1297" t="str">
            <v>לעדכן</v>
          </cell>
        </row>
        <row r="1298">
          <cell r="A1298">
            <v>413492</v>
          </cell>
          <cell r="B1298">
            <v>0</v>
          </cell>
          <cell r="C1298">
            <v>0</v>
          </cell>
          <cell r="D1298" t="str">
            <v>לעדכן</v>
          </cell>
        </row>
        <row r="1299">
          <cell r="A1299">
            <v>413500</v>
          </cell>
          <cell r="B1299">
            <v>0</v>
          </cell>
          <cell r="C1299">
            <v>0</v>
          </cell>
          <cell r="D1299" t="str">
            <v>לעדכן</v>
          </cell>
        </row>
        <row r="1300">
          <cell r="A1300">
            <v>413518</v>
          </cell>
          <cell r="B1300">
            <v>0</v>
          </cell>
          <cell r="C1300">
            <v>0</v>
          </cell>
          <cell r="D1300" t="str">
            <v>לעדכן</v>
          </cell>
        </row>
        <row r="1301">
          <cell r="A1301">
            <v>413526</v>
          </cell>
          <cell r="B1301">
            <v>0</v>
          </cell>
          <cell r="C1301">
            <v>0</v>
          </cell>
          <cell r="D1301" t="str">
            <v>לעדכן</v>
          </cell>
        </row>
        <row r="1302">
          <cell r="A1302">
            <v>413534</v>
          </cell>
          <cell r="B1302">
            <v>0</v>
          </cell>
          <cell r="C1302">
            <v>0</v>
          </cell>
          <cell r="D1302" t="str">
            <v>לעדכן</v>
          </cell>
        </row>
        <row r="1303">
          <cell r="A1303">
            <v>413542</v>
          </cell>
          <cell r="B1303">
            <v>0</v>
          </cell>
          <cell r="C1303">
            <v>0</v>
          </cell>
          <cell r="D1303" t="str">
            <v>לעדכן</v>
          </cell>
        </row>
        <row r="1304">
          <cell r="A1304">
            <v>413559</v>
          </cell>
          <cell r="B1304">
            <v>0</v>
          </cell>
          <cell r="C1304">
            <v>0</v>
          </cell>
          <cell r="D1304" t="str">
            <v>לעדכן</v>
          </cell>
        </row>
        <row r="1305">
          <cell r="A1305">
            <v>413583</v>
          </cell>
          <cell r="B1305">
            <v>0</v>
          </cell>
          <cell r="C1305">
            <v>0</v>
          </cell>
          <cell r="D1305" t="str">
            <v>לעדכן</v>
          </cell>
        </row>
        <row r="1306">
          <cell r="A1306">
            <v>413617</v>
          </cell>
          <cell r="B1306">
            <v>0</v>
          </cell>
          <cell r="C1306">
            <v>0</v>
          </cell>
          <cell r="D1306" t="str">
            <v>לעדכן</v>
          </cell>
        </row>
        <row r="1307">
          <cell r="A1307">
            <v>413625</v>
          </cell>
          <cell r="B1307">
            <v>0</v>
          </cell>
          <cell r="C1307">
            <v>0</v>
          </cell>
          <cell r="D1307" t="str">
            <v>לעדכן</v>
          </cell>
        </row>
        <row r="1308">
          <cell r="A1308">
            <v>413633</v>
          </cell>
          <cell r="B1308">
            <v>0</v>
          </cell>
          <cell r="C1308">
            <v>0</v>
          </cell>
          <cell r="D1308" t="str">
            <v>לעדכן</v>
          </cell>
        </row>
        <row r="1309">
          <cell r="A1309">
            <v>413641</v>
          </cell>
          <cell r="B1309">
            <v>0</v>
          </cell>
          <cell r="C1309">
            <v>0</v>
          </cell>
          <cell r="D1309" t="str">
            <v>לעדכן</v>
          </cell>
        </row>
        <row r="1310">
          <cell r="A1310">
            <v>413658</v>
          </cell>
          <cell r="B1310">
            <v>0</v>
          </cell>
          <cell r="C1310">
            <v>0</v>
          </cell>
          <cell r="D1310" t="str">
            <v>לעדכן</v>
          </cell>
        </row>
        <row r="1311">
          <cell r="A1311">
            <v>413666</v>
          </cell>
          <cell r="B1311">
            <v>0</v>
          </cell>
          <cell r="C1311">
            <v>0</v>
          </cell>
          <cell r="D1311" t="str">
            <v>לעדכן</v>
          </cell>
        </row>
        <row r="1312">
          <cell r="A1312">
            <v>413674</v>
          </cell>
          <cell r="B1312">
            <v>0</v>
          </cell>
          <cell r="C1312">
            <v>0</v>
          </cell>
          <cell r="D1312" t="str">
            <v>לעדכן</v>
          </cell>
        </row>
        <row r="1313">
          <cell r="A1313">
            <v>413682</v>
          </cell>
          <cell r="B1313">
            <v>0</v>
          </cell>
          <cell r="C1313">
            <v>0</v>
          </cell>
          <cell r="D1313" t="str">
            <v>לעדכן</v>
          </cell>
        </row>
        <row r="1314">
          <cell r="A1314">
            <v>413690</v>
          </cell>
          <cell r="B1314">
            <v>0</v>
          </cell>
          <cell r="C1314">
            <v>0</v>
          </cell>
          <cell r="D1314" t="str">
            <v>לעדכן</v>
          </cell>
        </row>
        <row r="1315">
          <cell r="A1315">
            <v>413708</v>
          </cell>
          <cell r="B1315">
            <v>0</v>
          </cell>
          <cell r="C1315">
            <v>0</v>
          </cell>
          <cell r="D1315" t="str">
            <v>לעדכן</v>
          </cell>
        </row>
        <row r="1316">
          <cell r="A1316">
            <v>413716</v>
          </cell>
          <cell r="B1316">
            <v>0</v>
          </cell>
          <cell r="C1316">
            <v>0</v>
          </cell>
          <cell r="D1316" t="str">
            <v>לעדכן</v>
          </cell>
        </row>
        <row r="1317">
          <cell r="A1317">
            <v>413724</v>
          </cell>
          <cell r="B1317">
            <v>0</v>
          </cell>
          <cell r="C1317">
            <v>0</v>
          </cell>
          <cell r="D1317" t="str">
            <v>לעדכן</v>
          </cell>
        </row>
        <row r="1318">
          <cell r="A1318">
            <v>413732</v>
          </cell>
          <cell r="B1318">
            <v>0</v>
          </cell>
          <cell r="C1318">
            <v>0</v>
          </cell>
          <cell r="D1318" t="str">
            <v>לעדכן</v>
          </cell>
        </row>
        <row r="1319">
          <cell r="A1319">
            <v>413740</v>
          </cell>
          <cell r="B1319">
            <v>0</v>
          </cell>
          <cell r="C1319">
            <v>0</v>
          </cell>
          <cell r="D1319" t="str">
            <v>לעדכן</v>
          </cell>
        </row>
        <row r="1320">
          <cell r="A1320">
            <v>413773</v>
          </cell>
          <cell r="B1320">
            <v>0</v>
          </cell>
          <cell r="C1320">
            <v>0</v>
          </cell>
          <cell r="D1320" t="str">
            <v>לעדכן</v>
          </cell>
        </row>
        <row r="1321">
          <cell r="A1321">
            <v>413799</v>
          </cell>
          <cell r="B1321">
            <v>0</v>
          </cell>
          <cell r="C1321">
            <v>0</v>
          </cell>
          <cell r="D1321" t="str">
            <v>לעדכן</v>
          </cell>
        </row>
        <row r="1322">
          <cell r="A1322">
            <v>413807</v>
          </cell>
          <cell r="B1322">
            <v>0</v>
          </cell>
          <cell r="C1322">
            <v>0</v>
          </cell>
          <cell r="D1322" t="str">
            <v>לעדכן</v>
          </cell>
        </row>
        <row r="1323">
          <cell r="A1323">
            <v>413823</v>
          </cell>
          <cell r="B1323">
            <v>0</v>
          </cell>
          <cell r="C1323">
            <v>0</v>
          </cell>
          <cell r="D1323" t="str">
            <v>לעדכן</v>
          </cell>
        </row>
        <row r="1324">
          <cell r="A1324">
            <v>413831</v>
          </cell>
          <cell r="B1324">
            <v>0</v>
          </cell>
          <cell r="C1324">
            <v>0</v>
          </cell>
          <cell r="D1324" t="str">
            <v>לעדכן</v>
          </cell>
        </row>
        <row r="1325">
          <cell r="A1325">
            <v>413849</v>
          </cell>
          <cell r="B1325">
            <v>0</v>
          </cell>
          <cell r="C1325">
            <v>0</v>
          </cell>
          <cell r="D1325" t="str">
            <v>לעדכן</v>
          </cell>
        </row>
        <row r="1326">
          <cell r="A1326">
            <v>413856</v>
          </cell>
          <cell r="B1326">
            <v>0</v>
          </cell>
          <cell r="C1326">
            <v>0</v>
          </cell>
          <cell r="D1326" t="str">
            <v>לעדכן</v>
          </cell>
        </row>
        <row r="1327">
          <cell r="A1327">
            <v>413864</v>
          </cell>
          <cell r="B1327">
            <v>0</v>
          </cell>
          <cell r="C1327">
            <v>0</v>
          </cell>
          <cell r="D1327" t="str">
            <v>לעדכן</v>
          </cell>
        </row>
        <row r="1328">
          <cell r="A1328">
            <v>413872</v>
          </cell>
          <cell r="B1328">
            <v>0</v>
          </cell>
          <cell r="C1328">
            <v>0</v>
          </cell>
          <cell r="D1328" t="str">
            <v>לעדכן</v>
          </cell>
        </row>
        <row r="1329">
          <cell r="A1329">
            <v>413880</v>
          </cell>
          <cell r="B1329">
            <v>0</v>
          </cell>
          <cell r="C1329">
            <v>0</v>
          </cell>
          <cell r="D1329" t="str">
            <v>לעדכן</v>
          </cell>
        </row>
        <row r="1330">
          <cell r="A1330">
            <v>413906</v>
          </cell>
          <cell r="B1330">
            <v>0</v>
          </cell>
          <cell r="C1330">
            <v>0</v>
          </cell>
          <cell r="D1330" t="str">
            <v>לעדכן</v>
          </cell>
        </row>
        <row r="1331">
          <cell r="A1331">
            <v>413914</v>
          </cell>
          <cell r="B1331">
            <v>0</v>
          </cell>
          <cell r="C1331">
            <v>0</v>
          </cell>
          <cell r="D1331" t="str">
            <v>לעדכן</v>
          </cell>
        </row>
        <row r="1332">
          <cell r="A1332">
            <v>413922</v>
          </cell>
          <cell r="B1332">
            <v>0</v>
          </cell>
          <cell r="C1332">
            <v>0</v>
          </cell>
          <cell r="D1332" t="str">
            <v>לעדכן</v>
          </cell>
        </row>
        <row r="1333">
          <cell r="A1333">
            <v>413948</v>
          </cell>
          <cell r="B1333">
            <v>0</v>
          </cell>
          <cell r="C1333">
            <v>0</v>
          </cell>
          <cell r="D1333" t="str">
            <v>לעדכן</v>
          </cell>
        </row>
        <row r="1334">
          <cell r="A1334">
            <v>413955</v>
          </cell>
          <cell r="B1334">
            <v>0</v>
          </cell>
          <cell r="C1334">
            <v>0</v>
          </cell>
          <cell r="D1334" t="str">
            <v>לעדכן</v>
          </cell>
        </row>
        <row r="1335">
          <cell r="A1335">
            <v>413963</v>
          </cell>
          <cell r="B1335">
            <v>0</v>
          </cell>
          <cell r="C1335">
            <v>0</v>
          </cell>
          <cell r="D1335" t="str">
            <v>לעדכן</v>
          </cell>
        </row>
        <row r="1336">
          <cell r="A1336">
            <v>413971</v>
          </cell>
          <cell r="B1336">
            <v>0</v>
          </cell>
          <cell r="C1336">
            <v>0</v>
          </cell>
          <cell r="D1336" t="str">
            <v>לעדכן</v>
          </cell>
        </row>
        <row r="1337">
          <cell r="A1337">
            <v>413989</v>
          </cell>
          <cell r="B1337">
            <v>0</v>
          </cell>
          <cell r="C1337">
            <v>0</v>
          </cell>
          <cell r="D1337" t="str">
            <v>לעדכן</v>
          </cell>
        </row>
        <row r="1338">
          <cell r="A1338">
            <v>413997</v>
          </cell>
          <cell r="B1338">
            <v>0</v>
          </cell>
          <cell r="C1338">
            <v>0</v>
          </cell>
          <cell r="D1338" t="str">
            <v>לעדכן</v>
          </cell>
        </row>
        <row r="1339">
          <cell r="A1339">
            <v>414003</v>
          </cell>
          <cell r="B1339">
            <v>0</v>
          </cell>
          <cell r="C1339">
            <v>0</v>
          </cell>
          <cell r="D1339" t="str">
            <v>לעדכן</v>
          </cell>
        </row>
        <row r="1340">
          <cell r="A1340">
            <v>414011</v>
          </cell>
          <cell r="B1340">
            <v>0</v>
          </cell>
          <cell r="C1340">
            <v>0</v>
          </cell>
          <cell r="D1340" t="str">
            <v>לעדכן</v>
          </cell>
        </row>
        <row r="1341">
          <cell r="A1341">
            <v>414029</v>
          </cell>
          <cell r="B1341">
            <v>0</v>
          </cell>
          <cell r="C1341">
            <v>0</v>
          </cell>
          <cell r="D1341" t="str">
            <v>לעדכן</v>
          </cell>
        </row>
        <row r="1342">
          <cell r="A1342">
            <v>414037</v>
          </cell>
          <cell r="B1342">
            <v>0</v>
          </cell>
          <cell r="C1342">
            <v>0</v>
          </cell>
          <cell r="D1342" t="str">
            <v>לעדכן</v>
          </cell>
        </row>
        <row r="1343">
          <cell r="A1343">
            <v>414045</v>
          </cell>
          <cell r="B1343">
            <v>0</v>
          </cell>
          <cell r="C1343">
            <v>0</v>
          </cell>
          <cell r="D1343" t="str">
            <v>לעדכן</v>
          </cell>
        </row>
        <row r="1344">
          <cell r="A1344">
            <v>414052</v>
          </cell>
          <cell r="B1344">
            <v>0</v>
          </cell>
          <cell r="C1344">
            <v>0</v>
          </cell>
          <cell r="D1344" t="str">
            <v>לעדכן</v>
          </cell>
        </row>
        <row r="1345">
          <cell r="A1345">
            <v>414060</v>
          </cell>
          <cell r="B1345">
            <v>0</v>
          </cell>
          <cell r="C1345">
            <v>0</v>
          </cell>
          <cell r="D1345" t="str">
            <v>לעדכן</v>
          </cell>
        </row>
        <row r="1346">
          <cell r="A1346">
            <v>414078</v>
          </cell>
          <cell r="B1346">
            <v>0</v>
          </cell>
          <cell r="C1346">
            <v>0</v>
          </cell>
          <cell r="D1346" t="str">
            <v>לעדכן</v>
          </cell>
        </row>
        <row r="1347">
          <cell r="A1347">
            <v>414094</v>
          </cell>
          <cell r="B1347">
            <v>0</v>
          </cell>
          <cell r="C1347">
            <v>0</v>
          </cell>
          <cell r="D1347" t="str">
            <v>לעדכן</v>
          </cell>
        </row>
        <row r="1348">
          <cell r="A1348">
            <v>414128</v>
          </cell>
          <cell r="B1348">
            <v>0</v>
          </cell>
          <cell r="C1348">
            <v>0</v>
          </cell>
          <cell r="D1348" t="str">
            <v>לעדכן</v>
          </cell>
        </row>
        <row r="1349">
          <cell r="A1349">
            <v>414144</v>
          </cell>
          <cell r="B1349">
            <v>0</v>
          </cell>
          <cell r="C1349">
            <v>0</v>
          </cell>
          <cell r="D1349" t="str">
            <v>לעדכן</v>
          </cell>
        </row>
        <row r="1350">
          <cell r="A1350">
            <v>414151</v>
          </cell>
          <cell r="B1350">
            <v>0</v>
          </cell>
          <cell r="C1350">
            <v>0</v>
          </cell>
          <cell r="D1350" t="str">
            <v>לעדכן</v>
          </cell>
        </row>
        <row r="1351">
          <cell r="A1351">
            <v>414177</v>
          </cell>
          <cell r="B1351">
            <v>0</v>
          </cell>
          <cell r="C1351">
            <v>0</v>
          </cell>
          <cell r="D1351" t="str">
            <v>לעדכן</v>
          </cell>
        </row>
        <row r="1352">
          <cell r="A1352">
            <v>414185</v>
          </cell>
          <cell r="B1352">
            <v>0</v>
          </cell>
          <cell r="C1352">
            <v>0</v>
          </cell>
          <cell r="D1352" t="str">
            <v>לעדכן</v>
          </cell>
        </row>
        <row r="1353">
          <cell r="A1353">
            <v>414193</v>
          </cell>
          <cell r="B1353">
            <v>0</v>
          </cell>
          <cell r="C1353">
            <v>0</v>
          </cell>
          <cell r="D1353" t="str">
            <v>לעדכן</v>
          </cell>
        </row>
        <row r="1354">
          <cell r="A1354">
            <v>414201</v>
          </cell>
          <cell r="B1354">
            <v>0</v>
          </cell>
          <cell r="C1354">
            <v>0</v>
          </cell>
          <cell r="D1354" t="str">
            <v>לעדכן</v>
          </cell>
        </row>
        <row r="1355">
          <cell r="A1355">
            <v>414219</v>
          </cell>
          <cell r="B1355">
            <v>0</v>
          </cell>
          <cell r="C1355">
            <v>0</v>
          </cell>
          <cell r="D1355" t="str">
            <v>לעדכן</v>
          </cell>
        </row>
        <row r="1356">
          <cell r="A1356">
            <v>414227</v>
          </cell>
          <cell r="B1356">
            <v>0</v>
          </cell>
          <cell r="C1356">
            <v>0</v>
          </cell>
          <cell r="D1356" t="str">
            <v>לעדכן</v>
          </cell>
        </row>
        <row r="1357">
          <cell r="A1357">
            <v>414235</v>
          </cell>
          <cell r="B1357">
            <v>0</v>
          </cell>
          <cell r="C1357">
            <v>0</v>
          </cell>
          <cell r="D1357" t="str">
            <v>לעדכן</v>
          </cell>
        </row>
        <row r="1358">
          <cell r="A1358">
            <v>414243</v>
          </cell>
          <cell r="B1358">
            <v>0</v>
          </cell>
          <cell r="C1358">
            <v>0</v>
          </cell>
          <cell r="D1358" t="str">
            <v>לעדכן</v>
          </cell>
        </row>
        <row r="1359">
          <cell r="A1359">
            <v>414250</v>
          </cell>
          <cell r="B1359">
            <v>0</v>
          </cell>
          <cell r="C1359">
            <v>0</v>
          </cell>
          <cell r="D1359" t="str">
            <v>לעדכן</v>
          </cell>
        </row>
        <row r="1360">
          <cell r="A1360">
            <v>414268</v>
          </cell>
          <cell r="B1360">
            <v>0</v>
          </cell>
          <cell r="C1360">
            <v>0</v>
          </cell>
          <cell r="D1360" t="str">
            <v>לעדכן</v>
          </cell>
        </row>
        <row r="1361">
          <cell r="A1361">
            <v>414276</v>
          </cell>
          <cell r="B1361">
            <v>0</v>
          </cell>
          <cell r="C1361">
            <v>0</v>
          </cell>
          <cell r="D1361" t="str">
            <v>לעדכן</v>
          </cell>
        </row>
        <row r="1362">
          <cell r="A1362">
            <v>414284</v>
          </cell>
          <cell r="B1362">
            <v>0</v>
          </cell>
          <cell r="C1362">
            <v>0</v>
          </cell>
          <cell r="D1362" t="str">
            <v>לעדכן</v>
          </cell>
        </row>
        <row r="1363">
          <cell r="A1363">
            <v>414292</v>
          </cell>
          <cell r="B1363">
            <v>0</v>
          </cell>
          <cell r="C1363">
            <v>0</v>
          </cell>
          <cell r="D1363" t="str">
            <v>לעדכן</v>
          </cell>
        </row>
        <row r="1364">
          <cell r="A1364">
            <v>414300</v>
          </cell>
          <cell r="B1364">
            <v>0</v>
          </cell>
          <cell r="C1364">
            <v>0</v>
          </cell>
          <cell r="D1364" t="str">
            <v>לעדכן</v>
          </cell>
        </row>
        <row r="1365">
          <cell r="A1365">
            <v>414318</v>
          </cell>
          <cell r="B1365">
            <v>0</v>
          </cell>
          <cell r="C1365">
            <v>0</v>
          </cell>
          <cell r="D1365" t="str">
            <v>לעדכן</v>
          </cell>
        </row>
        <row r="1366">
          <cell r="A1366">
            <v>414334</v>
          </cell>
          <cell r="B1366">
            <v>0</v>
          </cell>
          <cell r="C1366">
            <v>0</v>
          </cell>
          <cell r="D1366" t="str">
            <v>לעדכן</v>
          </cell>
        </row>
        <row r="1367">
          <cell r="A1367">
            <v>414359</v>
          </cell>
          <cell r="B1367">
            <v>0</v>
          </cell>
          <cell r="C1367">
            <v>0</v>
          </cell>
          <cell r="D1367" t="str">
            <v>לעדכן</v>
          </cell>
        </row>
        <row r="1368">
          <cell r="A1368">
            <v>414383</v>
          </cell>
          <cell r="B1368">
            <v>0</v>
          </cell>
          <cell r="C1368">
            <v>0</v>
          </cell>
          <cell r="D1368" t="str">
            <v>לעדכן</v>
          </cell>
        </row>
        <row r="1369">
          <cell r="A1369">
            <v>414391</v>
          </cell>
          <cell r="B1369">
            <v>0</v>
          </cell>
          <cell r="C1369">
            <v>0</v>
          </cell>
          <cell r="D1369" t="str">
            <v>לעדכן</v>
          </cell>
        </row>
        <row r="1370">
          <cell r="A1370">
            <v>414409</v>
          </cell>
          <cell r="B1370">
            <v>0</v>
          </cell>
          <cell r="C1370">
            <v>0</v>
          </cell>
          <cell r="D1370" t="str">
            <v>לעדכן</v>
          </cell>
        </row>
        <row r="1371">
          <cell r="A1371">
            <v>414417</v>
          </cell>
          <cell r="B1371">
            <v>0</v>
          </cell>
          <cell r="C1371">
            <v>0</v>
          </cell>
          <cell r="D1371" t="str">
            <v>לעדכן</v>
          </cell>
        </row>
        <row r="1372">
          <cell r="A1372">
            <v>414425</v>
          </cell>
          <cell r="B1372">
            <v>0</v>
          </cell>
          <cell r="C1372">
            <v>0</v>
          </cell>
          <cell r="D1372" t="str">
            <v>לעדכן</v>
          </cell>
        </row>
        <row r="1373">
          <cell r="A1373">
            <v>414433</v>
          </cell>
          <cell r="B1373">
            <v>0</v>
          </cell>
          <cell r="C1373">
            <v>0</v>
          </cell>
          <cell r="D1373" t="str">
            <v>לעדכן</v>
          </cell>
        </row>
        <row r="1374">
          <cell r="A1374">
            <v>414441</v>
          </cell>
          <cell r="B1374">
            <v>0</v>
          </cell>
          <cell r="C1374">
            <v>0</v>
          </cell>
          <cell r="D1374" t="str">
            <v>לעדכן</v>
          </cell>
        </row>
        <row r="1375">
          <cell r="A1375">
            <v>414466</v>
          </cell>
          <cell r="B1375">
            <v>0</v>
          </cell>
          <cell r="C1375">
            <v>0</v>
          </cell>
          <cell r="D1375" t="str">
            <v>לעדכן</v>
          </cell>
        </row>
        <row r="1376">
          <cell r="A1376">
            <v>414474</v>
          </cell>
          <cell r="B1376">
            <v>0</v>
          </cell>
          <cell r="C1376">
            <v>0</v>
          </cell>
          <cell r="D1376" t="str">
            <v>לעדכן</v>
          </cell>
        </row>
        <row r="1377">
          <cell r="A1377">
            <v>414482</v>
          </cell>
          <cell r="B1377">
            <v>0</v>
          </cell>
          <cell r="C1377">
            <v>0</v>
          </cell>
          <cell r="D1377" t="str">
            <v>לעדכן</v>
          </cell>
        </row>
        <row r="1378">
          <cell r="A1378">
            <v>414490</v>
          </cell>
          <cell r="B1378">
            <v>0</v>
          </cell>
          <cell r="C1378">
            <v>0</v>
          </cell>
          <cell r="D1378" t="str">
            <v>לעדכן</v>
          </cell>
        </row>
        <row r="1379">
          <cell r="A1379">
            <v>414508</v>
          </cell>
          <cell r="B1379">
            <v>0</v>
          </cell>
          <cell r="C1379">
            <v>0</v>
          </cell>
          <cell r="D1379" t="str">
            <v>לעדכן</v>
          </cell>
        </row>
        <row r="1380">
          <cell r="A1380">
            <v>414540</v>
          </cell>
          <cell r="B1380">
            <v>0</v>
          </cell>
          <cell r="C1380">
            <v>0</v>
          </cell>
          <cell r="D1380" t="str">
            <v>לעדכן</v>
          </cell>
        </row>
        <row r="1381">
          <cell r="A1381">
            <v>414557</v>
          </cell>
          <cell r="B1381">
            <v>0</v>
          </cell>
          <cell r="C1381">
            <v>0</v>
          </cell>
          <cell r="D1381" t="str">
            <v>לעדכן</v>
          </cell>
        </row>
        <row r="1382">
          <cell r="A1382">
            <v>414565</v>
          </cell>
          <cell r="B1382">
            <v>0</v>
          </cell>
          <cell r="C1382">
            <v>0</v>
          </cell>
          <cell r="D1382" t="str">
            <v>לעדכן</v>
          </cell>
        </row>
        <row r="1383">
          <cell r="A1383">
            <v>414573</v>
          </cell>
          <cell r="B1383">
            <v>0</v>
          </cell>
          <cell r="C1383">
            <v>0</v>
          </cell>
          <cell r="D1383" t="str">
            <v>לעדכן</v>
          </cell>
        </row>
        <row r="1384">
          <cell r="A1384">
            <v>414581</v>
          </cell>
          <cell r="B1384">
            <v>0</v>
          </cell>
          <cell r="C1384">
            <v>0</v>
          </cell>
          <cell r="D1384" t="str">
            <v>לעדכן</v>
          </cell>
        </row>
        <row r="1385">
          <cell r="A1385">
            <v>414599</v>
          </cell>
          <cell r="B1385">
            <v>0</v>
          </cell>
          <cell r="C1385">
            <v>0</v>
          </cell>
          <cell r="D1385" t="str">
            <v>לעדכן</v>
          </cell>
        </row>
        <row r="1386">
          <cell r="A1386">
            <v>414615</v>
          </cell>
          <cell r="B1386">
            <v>0</v>
          </cell>
          <cell r="C1386">
            <v>0</v>
          </cell>
          <cell r="D1386" t="str">
            <v>לעדכן</v>
          </cell>
        </row>
        <row r="1387">
          <cell r="A1387">
            <v>414623</v>
          </cell>
          <cell r="B1387">
            <v>0</v>
          </cell>
          <cell r="C1387">
            <v>0</v>
          </cell>
          <cell r="D1387" t="str">
            <v>לעדכן</v>
          </cell>
        </row>
        <row r="1388">
          <cell r="A1388">
            <v>414631</v>
          </cell>
          <cell r="B1388">
            <v>0</v>
          </cell>
          <cell r="C1388">
            <v>0</v>
          </cell>
          <cell r="D1388" t="str">
            <v>לעדכן</v>
          </cell>
        </row>
        <row r="1389">
          <cell r="A1389">
            <v>414664</v>
          </cell>
          <cell r="B1389">
            <v>0</v>
          </cell>
          <cell r="C1389">
            <v>0</v>
          </cell>
          <cell r="D1389" t="str">
            <v>לעדכן</v>
          </cell>
        </row>
        <row r="1390">
          <cell r="A1390">
            <v>414680</v>
          </cell>
          <cell r="B1390">
            <v>0</v>
          </cell>
          <cell r="C1390">
            <v>0</v>
          </cell>
          <cell r="D1390" t="str">
            <v>לעדכן</v>
          </cell>
        </row>
        <row r="1391">
          <cell r="A1391">
            <v>414698</v>
          </cell>
          <cell r="B1391">
            <v>0</v>
          </cell>
          <cell r="C1391">
            <v>0</v>
          </cell>
          <cell r="D1391" t="str">
            <v>לעדכן</v>
          </cell>
        </row>
        <row r="1392">
          <cell r="A1392">
            <v>414730</v>
          </cell>
          <cell r="B1392">
            <v>0</v>
          </cell>
          <cell r="C1392">
            <v>0</v>
          </cell>
          <cell r="D1392" t="str">
            <v>לעדכן</v>
          </cell>
        </row>
        <row r="1393">
          <cell r="A1393">
            <v>414748</v>
          </cell>
          <cell r="B1393">
            <v>0</v>
          </cell>
          <cell r="C1393">
            <v>0</v>
          </cell>
          <cell r="D1393" t="str">
            <v>לעדכן</v>
          </cell>
        </row>
        <row r="1394">
          <cell r="A1394">
            <v>414755</v>
          </cell>
          <cell r="B1394">
            <v>0</v>
          </cell>
          <cell r="C1394">
            <v>0</v>
          </cell>
          <cell r="D1394" t="str">
            <v>לעדכן</v>
          </cell>
        </row>
        <row r="1395">
          <cell r="A1395">
            <v>414763</v>
          </cell>
          <cell r="B1395">
            <v>0</v>
          </cell>
          <cell r="C1395">
            <v>0</v>
          </cell>
          <cell r="D1395" t="str">
            <v>לעדכן</v>
          </cell>
        </row>
        <row r="1396">
          <cell r="A1396">
            <v>414789</v>
          </cell>
          <cell r="B1396">
            <v>0</v>
          </cell>
          <cell r="C1396">
            <v>0</v>
          </cell>
          <cell r="D1396" t="str">
            <v>לעדכן</v>
          </cell>
        </row>
        <row r="1397">
          <cell r="A1397">
            <v>414797</v>
          </cell>
          <cell r="B1397">
            <v>0</v>
          </cell>
          <cell r="C1397">
            <v>0</v>
          </cell>
          <cell r="D1397" t="str">
            <v>לעדכן</v>
          </cell>
        </row>
        <row r="1398">
          <cell r="A1398">
            <v>414805</v>
          </cell>
          <cell r="B1398">
            <v>0</v>
          </cell>
          <cell r="C1398">
            <v>0</v>
          </cell>
          <cell r="D1398" t="str">
            <v>לעדכן</v>
          </cell>
        </row>
        <row r="1399">
          <cell r="A1399">
            <v>414813</v>
          </cell>
          <cell r="B1399">
            <v>0</v>
          </cell>
          <cell r="C1399">
            <v>0</v>
          </cell>
          <cell r="D1399" t="str">
            <v>לעדכן</v>
          </cell>
        </row>
        <row r="1400">
          <cell r="A1400">
            <v>414821</v>
          </cell>
          <cell r="B1400">
            <v>0</v>
          </cell>
          <cell r="C1400">
            <v>0</v>
          </cell>
          <cell r="D1400" t="str">
            <v>לעדכן</v>
          </cell>
        </row>
        <row r="1401">
          <cell r="A1401">
            <v>414839</v>
          </cell>
          <cell r="B1401">
            <v>0</v>
          </cell>
          <cell r="C1401">
            <v>0</v>
          </cell>
          <cell r="D1401" t="str">
            <v>לעדכן</v>
          </cell>
        </row>
        <row r="1402">
          <cell r="A1402">
            <v>414847</v>
          </cell>
          <cell r="B1402">
            <v>0</v>
          </cell>
          <cell r="C1402">
            <v>0</v>
          </cell>
          <cell r="D1402" t="str">
            <v>לעדכן</v>
          </cell>
        </row>
        <row r="1403">
          <cell r="A1403">
            <v>414854</v>
          </cell>
          <cell r="B1403">
            <v>0</v>
          </cell>
          <cell r="C1403">
            <v>0</v>
          </cell>
          <cell r="D1403" t="str">
            <v>לעדכן</v>
          </cell>
        </row>
        <row r="1404">
          <cell r="A1404">
            <v>414862</v>
          </cell>
          <cell r="B1404">
            <v>0</v>
          </cell>
          <cell r="C1404">
            <v>0</v>
          </cell>
          <cell r="D1404" t="str">
            <v>לעדכן</v>
          </cell>
        </row>
        <row r="1405">
          <cell r="A1405">
            <v>414870</v>
          </cell>
          <cell r="B1405">
            <v>0</v>
          </cell>
          <cell r="C1405">
            <v>0</v>
          </cell>
          <cell r="D1405" t="str">
            <v>לעדכן</v>
          </cell>
        </row>
        <row r="1406">
          <cell r="A1406">
            <v>414888</v>
          </cell>
          <cell r="B1406">
            <v>0</v>
          </cell>
          <cell r="C1406">
            <v>0</v>
          </cell>
          <cell r="D1406" t="str">
            <v>לעדכן</v>
          </cell>
        </row>
        <row r="1407">
          <cell r="A1407">
            <v>414896</v>
          </cell>
          <cell r="B1407">
            <v>0</v>
          </cell>
          <cell r="C1407">
            <v>0</v>
          </cell>
          <cell r="D1407" t="str">
            <v>לעדכן</v>
          </cell>
        </row>
        <row r="1408">
          <cell r="A1408">
            <v>414904</v>
          </cell>
          <cell r="B1408">
            <v>0</v>
          </cell>
          <cell r="C1408">
            <v>0</v>
          </cell>
          <cell r="D1408" t="str">
            <v>לעדכן</v>
          </cell>
        </row>
        <row r="1409">
          <cell r="A1409">
            <v>414938</v>
          </cell>
          <cell r="B1409">
            <v>0</v>
          </cell>
          <cell r="C1409">
            <v>0</v>
          </cell>
          <cell r="D1409" t="str">
            <v>לעדכן</v>
          </cell>
        </row>
        <row r="1410">
          <cell r="A1410">
            <v>414946</v>
          </cell>
          <cell r="B1410">
            <v>0</v>
          </cell>
          <cell r="C1410">
            <v>0</v>
          </cell>
          <cell r="D1410" t="str">
            <v>לעדכן</v>
          </cell>
        </row>
        <row r="1411">
          <cell r="A1411">
            <v>414953</v>
          </cell>
          <cell r="B1411">
            <v>0</v>
          </cell>
          <cell r="C1411">
            <v>0</v>
          </cell>
          <cell r="D1411" t="str">
            <v>לעדכן</v>
          </cell>
        </row>
        <row r="1412">
          <cell r="A1412">
            <v>414961</v>
          </cell>
          <cell r="B1412">
            <v>0</v>
          </cell>
          <cell r="C1412">
            <v>0</v>
          </cell>
          <cell r="D1412" t="str">
            <v>לעדכן</v>
          </cell>
        </row>
        <row r="1413">
          <cell r="A1413">
            <v>415042</v>
          </cell>
          <cell r="B1413">
            <v>0</v>
          </cell>
          <cell r="C1413">
            <v>0</v>
          </cell>
          <cell r="D1413" t="str">
            <v>לעדכן</v>
          </cell>
        </row>
        <row r="1414">
          <cell r="A1414">
            <v>415059</v>
          </cell>
          <cell r="B1414">
            <v>0</v>
          </cell>
          <cell r="C1414">
            <v>0</v>
          </cell>
          <cell r="D1414" t="str">
            <v>לעדכן</v>
          </cell>
        </row>
        <row r="1415">
          <cell r="A1415">
            <v>415075</v>
          </cell>
          <cell r="B1415">
            <v>0</v>
          </cell>
          <cell r="C1415">
            <v>0</v>
          </cell>
          <cell r="D1415" t="str">
            <v>לעדכן</v>
          </cell>
        </row>
        <row r="1416">
          <cell r="A1416">
            <v>415083</v>
          </cell>
          <cell r="B1416">
            <v>0</v>
          </cell>
          <cell r="C1416">
            <v>0</v>
          </cell>
          <cell r="D1416" t="str">
            <v>לעדכן</v>
          </cell>
        </row>
        <row r="1417">
          <cell r="A1417">
            <v>415091</v>
          </cell>
          <cell r="B1417">
            <v>0</v>
          </cell>
          <cell r="C1417">
            <v>0</v>
          </cell>
          <cell r="D1417" t="str">
            <v>לעדכן</v>
          </cell>
        </row>
        <row r="1418">
          <cell r="A1418">
            <v>415117</v>
          </cell>
          <cell r="B1418">
            <v>0</v>
          </cell>
          <cell r="C1418">
            <v>0</v>
          </cell>
          <cell r="D1418" t="str">
            <v>לעדכן</v>
          </cell>
        </row>
        <row r="1419">
          <cell r="A1419">
            <v>415125</v>
          </cell>
          <cell r="B1419">
            <v>0</v>
          </cell>
          <cell r="C1419">
            <v>0</v>
          </cell>
          <cell r="D1419" t="str">
            <v>לעדכן</v>
          </cell>
        </row>
        <row r="1420">
          <cell r="A1420">
            <v>415133</v>
          </cell>
          <cell r="B1420">
            <v>0</v>
          </cell>
          <cell r="C1420">
            <v>0</v>
          </cell>
          <cell r="D1420" t="str">
            <v>לעדכן</v>
          </cell>
        </row>
        <row r="1421">
          <cell r="A1421">
            <v>415166</v>
          </cell>
          <cell r="B1421">
            <v>0</v>
          </cell>
          <cell r="C1421">
            <v>0</v>
          </cell>
          <cell r="D1421" t="str">
            <v>לעדכן</v>
          </cell>
        </row>
        <row r="1422">
          <cell r="A1422">
            <v>415208</v>
          </cell>
          <cell r="B1422">
            <v>0</v>
          </cell>
          <cell r="C1422">
            <v>0</v>
          </cell>
          <cell r="D1422" t="str">
            <v>לעדכן</v>
          </cell>
        </row>
        <row r="1423">
          <cell r="A1423">
            <v>415224</v>
          </cell>
          <cell r="B1423">
            <v>0</v>
          </cell>
          <cell r="C1423">
            <v>0</v>
          </cell>
          <cell r="D1423" t="str">
            <v>לעדכן</v>
          </cell>
        </row>
        <row r="1424">
          <cell r="A1424">
            <v>415232</v>
          </cell>
          <cell r="B1424">
            <v>0</v>
          </cell>
          <cell r="C1424">
            <v>0</v>
          </cell>
          <cell r="D1424" t="str">
            <v>לעדכן</v>
          </cell>
        </row>
        <row r="1425">
          <cell r="A1425">
            <v>415240</v>
          </cell>
          <cell r="B1425">
            <v>0</v>
          </cell>
          <cell r="C1425">
            <v>0</v>
          </cell>
          <cell r="D1425" t="str">
            <v>לעדכן</v>
          </cell>
        </row>
        <row r="1426">
          <cell r="A1426">
            <v>415257</v>
          </cell>
          <cell r="B1426">
            <v>0</v>
          </cell>
          <cell r="C1426">
            <v>0</v>
          </cell>
          <cell r="D1426" t="str">
            <v>לעדכן</v>
          </cell>
        </row>
        <row r="1427">
          <cell r="A1427">
            <v>415265</v>
          </cell>
          <cell r="B1427">
            <v>0</v>
          </cell>
          <cell r="C1427">
            <v>0</v>
          </cell>
          <cell r="D1427" t="str">
            <v>לעדכן</v>
          </cell>
        </row>
        <row r="1428">
          <cell r="A1428">
            <v>415273</v>
          </cell>
          <cell r="B1428">
            <v>0</v>
          </cell>
          <cell r="C1428">
            <v>0</v>
          </cell>
          <cell r="D1428" t="str">
            <v>לעדכן</v>
          </cell>
        </row>
        <row r="1429">
          <cell r="A1429">
            <v>415281</v>
          </cell>
          <cell r="B1429">
            <v>0</v>
          </cell>
          <cell r="C1429">
            <v>0</v>
          </cell>
          <cell r="D1429" t="str">
            <v>לעדכן</v>
          </cell>
        </row>
        <row r="1430">
          <cell r="A1430">
            <v>415299</v>
          </cell>
          <cell r="B1430">
            <v>0</v>
          </cell>
          <cell r="C1430">
            <v>0</v>
          </cell>
          <cell r="D1430" t="str">
            <v>לעדכן</v>
          </cell>
        </row>
        <row r="1431">
          <cell r="A1431">
            <v>415315</v>
          </cell>
          <cell r="B1431">
            <v>0</v>
          </cell>
          <cell r="C1431">
            <v>0</v>
          </cell>
          <cell r="D1431" t="str">
            <v>לעדכן</v>
          </cell>
        </row>
        <row r="1432">
          <cell r="A1432">
            <v>415349</v>
          </cell>
          <cell r="B1432">
            <v>0</v>
          </cell>
          <cell r="C1432">
            <v>0</v>
          </cell>
          <cell r="D1432" t="str">
            <v>לעדכן</v>
          </cell>
        </row>
        <row r="1433">
          <cell r="A1433">
            <v>415364</v>
          </cell>
          <cell r="B1433">
            <v>0</v>
          </cell>
          <cell r="C1433">
            <v>0</v>
          </cell>
          <cell r="D1433" t="str">
            <v>לעדכן</v>
          </cell>
        </row>
        <row r="1434">
          <cell r="A1434">
            <v>415372</v>
          </cell>
          <cell r="B1434">
            <v>0</v>
          </cell>
          <cell r="C1434">
            <v>0</v>
          </cell>
          <cell r="D1434" t="str">
            <v>לעדכן</v>
          </cell>
        </row>
        <row r="1435">
          <cell r="A1435">
            <v>415398</v>
          </cell>
          <cell r="B1435">
            <v>0</v>
          </cell>
          <cell r="C1435">
            <v>0</v>
          </cell>
          <cell r="D1435" t="str">
            <v>לעדכן</v>
          </cell>
        </row>
        <row r="1436">
          <cell r="A1436">
            <v>415430</v>
          </cell>
          <cell r="B1436">
            <v>0</v>
          </cell>
          <cell r="C1436">
            <v>0</v>
          </cell>
          <cell r="D1436" t="str">
            <v>לעדכן</v>
          </cell>
        </row>
        <row r="1437">
          <cell r="A1437">
            <v>415455</v>
          </cell>
          <cell r="B1437">
            <v>0</v>
          </cell>
          <cell r="C1437">
            <v>0</v>
          </cell>
          <cell r="D1437" t="str">
            <v>לעדכן</v>
          </cell>
        </row>
        <row r="1438">
          <cell r="A1438">
            <v>415463</v>
          </cell>
          <cell r="B1438">
            <v>0</v>
          </cell>
          <cell r="C1438">
            <v>0</v>
          </cell>
          <cell r="D1438" t="str">
            <v>לעדכן</v>
          </cell>
        </row>
        <row r="1439">
          <cell r="A1439">
            <v>415489</v>
          </cell>
          <cell r="B1439">
            <v>0</v>
          </cell>
          <cell r="C1439">
            <v>0</v>
          </cell>
          <cell r="D1439" t="str">
            <v>לעדכן</v>
          </cell>
        </row>
        <row r="1440">
          <cell r="A1440">
            <v>415497</v>
          </cell>
          <cell r="B1440">
            <v>0</v>
          </cell>
          <cell r="C1440">
            <v>0</v>
          </cell>
          <cell r="D1440" t="str">
            <v>לעדכן</v>
          </cell>
        </row>
        <row r="1441">
          <cell r="A1441">
            <v>415521</v>
          </cell>
          <cell r="B1441">
            <v>0</v>
          </cell>
          <cell r="C1441">
            <v>0</v>
          </cell>
          <cell r="D1441" t="str">
            <v>לעדכן</v>
          </cell>
        </row>
        <row r="1442">
          <cell r="A1442">
            <v>415596</v>
          </cell>
          <cell r="B1442">
            <v>0</v>
          </cell>
          <cell r="C1442">
            <v>0</v>
          </cell>
          <cell r="D1442" t="str">
            <v>לעדכן</v>
          </cell>
        </row>
        <row r="1443">
          <cell r="A1443">
            <v>415604</v>
          </cell>
          <cell r="B1443">
            <v>0</v>
          </cell>
          <cell r="C1443">
            <v>0</v>
          </cell>
          <cell r="D1443" t="str">
            <v>לעדכן</v>
          </cell>
        </row>
        <row r="1444">
          <cell r="A1444">
            <v>415612</v>
          </cell>
          <cell r="B1444">
            <v>0</v>
          </cell>
          <cell r="C1444">
            <v>0</v>
          </cell>
          <cell r="D1444" t="str">
            <v>לעדכן</v>
          </cell>
        </row>
        <row r="1445">
          <cell r="A1445">
            <v>415620</v>
          </cell>
          <cell r="B1445">
            <v>0</v>
          </cell>
          <cell r="C1445">
            <v>0</v>
          </cell>
          <cell r="D1445" t="str">
            <v>לעדכן</v>
          </cell>
        </row>
        <row r="1446">
          <cell r="A1446">
            <v>415638</v>
          </cell>
          <cell r="B1446">
            <v>0</v>
          </cell>
          <cell r="C1446">
            <v>0</v>
          </cell>
          <cell r="D1446" t="str">
            <v>לעדכן</v>
          </cell>
        </row>
        <row r="1447">
          <cell r="A1447">
            <v>415653</v>
          </cell>
          <cell r="B1447">
            <v>0</v>
          </cell>
          <cell r="C1447">
            <v>0</v>
          </cell>
          <cell r="D1447" t="str">
            <v>לעדכן</v>
          </cell>
        </row>
        <row r="1448">
          <cell r="A1448">
            <v>415661</v>
          </cell>
          <cell r="B1448">
            <v>0</v>
          </cell>
          <cell r="C1448">
            <v>0</v>
          </cell>
          <cell r="D1448" t="str">
            <v>לעדכן</v>
          </cell>
        </row>
        <row r="1449">
          <cell r="A1449">
            <v>415679</v>
          </cell>
          <cell r="B1449">
            <v>0</v>
          </cell>
          <cell r="C1449">
            <v>0</v>
          </cell>
          <cell r="D1449" t="str">
            <v>לעדכן</v>
          </cell>
        </row>
        <row r="1450">
          <cell r="A1450">
            <v>415695</v>
          </cell>
          <cell r="B1450">
            <v>0</v>
          </cell>
          <cell r="C1450">
            <v>0</v>
          </cell>
          <cell r="D1450" t="str">
            <v>לעדכן</v>
          </cell>
        </row>
        <row r="1451">
          <cell r="A1451">
            <v>415786</v>
          </cell>
          <cell r="B1451">
            <v>0</v>
          </cell>
          <cell r="C1451">
            <v>0</v>
          </cell>
          <cell r="D1451" t="str">
            <v>לעדכן</v>
          </cell>
        </row>
        <row r="1452">
          <cell r="A1452">
            <v>415794</v>
          </cell>
          <cell r="B1452">
            <v>0</v>
          </cell>
          <cell r="C1452">
            <v>0</v>
          </cell>
          <cell r="D1452" t="str">
            <v>לעדכן</v>
          </cell>
        </row>
        <row r="1453">
          <cell r="A1453">
            <v>415828</v>
          </cell>
          <cell r="B1453">
            <v>0</v>
          </cell>
          <cell r="C1453">
            <v>0</v>
          </cell>
          <cell r="D1453" t="str">
            <v>לעדכן</v>
          </cell>
        </row>
        <row r="1454">
          <cell r="A1454">
            <v>415836</v>
          </cell>
          <cell r="B1454">
            <v>0</v>
          </cell>
          <cell r="C1454">
            <v>0</v>
          </cell>
          <cell r="D1454" t="str">
            <v>לעדכן</v>
          </cell>
        </row>
        <row r="1455">
          <cell r="A1455">
            <v>415877</v>
          </cell>
          <cell r="B1455">
            <v>0</v>
          </cell>
          <cell r="C1455">
            <v>0</v>
          </cell>
          <cell r="D1455" t="str">
            <v>לעדכן</v>
          </cell>
        </row>
        <row r="1456">
          <cell r="A1456">
            <v>415885</v>
          </cell>
          <cell r="B1456">
            <v>0</v>
          </cell>
          <cell r="C1456">
            <v>0</v>
          </cell>
          <cell r="D1456" t="str">
            <v>לעדכן</v>
          </cell>
        </row>
        <row r="1457">
          <cell r="A1457">
            <v>415893</v>
          </cell>
          <cell r="B1457">
            <v>0</v>
          </cell>
          <cell r="C1457">
            <v>0</v>
          </cell>
          <cell r="D1457" t="str">
            <v>לעדכן</v>
          </cell>
        </row>
        <row r="1458">
          <cell r="A1458">
            <v>415927</v>
          </cell>
          <cell r="B1458">
            <v>0</v>
          </cell>
          <cell r="C1458">
            <v>0</v>
          </cell>
          <cell r="D1458" t="str">
            <v>לעדכן</v>
          </cell>
        </row>
        <row r="1459">
          <cell r="A1459">
            <v>415935</v>
          </cell>
          <cell r="B1459">
            <v>0</v>
          </cell>
          <cell r="C1459">
            <v>0</v>
          </cell>
          <cell r="D1459" t="str">
            <v>לעדכן</v>
          </cell>
        </row>
        <row r="1460">
          <cell r="A1460">
            <v>415943</v>
          </cell>
          <cell r="B1460">
            <v>0</v>
          </cell>
          <cell r="C1460">
            <v>0</v>
          </cell>
          <cell r="D1460" t="str">
            <v>לעדכן</v>
          </cell>
        </row>
        <row r="1461">
          <cell r="A1461">
            <v>415950</v>
          </cell>
          <cell r="B1461">
            <v>0</v>
          </cell>
          <cell r="C1461">
            <v>0</v>
          </cell>
          <cell r="D1461" t="str">
            <v>לעדכן</v>
          </cell>
        </row>
        <row r="1462">
          <cell r="A1462">
            <v>415968</v>
          </cell>
          <cell r="B1462">
            <v>0</v>
          </cell>
          <cell r="C1462">
            <v>0</v>
          </cell>
          <cell r="D1462" t="str">
            <v>לעדכן</v>
          </cell>
        </row>
        <row r="1463">
          <cell r="A1463">
            <v>415976</v>
          </cell>
          <cell r="B1463">
            <v>0</v>
          </cell>
          <cell r="C1463">
            <v>0</v>
          </cell>
          <cell r="D1463" t="str">
            <v>לעדכן</v>
          </cell>
        </row>
        <row r="1464">
          <cell r="A1464">
            <v>415984</v>
          </cell>
          <cell r="B1464">
            <v>0</v>
          </cell>
          <cell r="C1464">
            <v>0</v>
          </cell>
          <cell r="D1464" t="str">
            <v>לעדכן</v>
          </cell>
        </row>
        <row r="1465">
          <cell r="A1465">
            <v>415992</v>
          </cell>
          <cell r="B1465">
            <v>0</v>
          </cell>
          <cell r="C1465">
            <v>0</v>
          </cell>
          <cell r="D1465" t="str">
            <v>לעדכן</v>
          </cell>
        </row>
        <row r="1466">
          <cell r="A1466">
            <v>416008</v>
          </cell>
          <cell r="B1466">
            <v>0</v>
          </cell>
          <cell r="C1466">
            <v>0</v>
          </cell>
          <cell r="D1466" t="str">
            <v>לעדכן</v>
          </cell>
        </row>
        <row r="1467">
          <cell r="A1467">
            <v>416016</v>
          </cell>
          <cell r="B1467">
            <v>0</v>
          </cell>
          <cell r="C1467">
            <v>0</v>
          </cell>
          <cell r="D1467" t="str">
            <v>לעדכן</v>
          </cell>
        </row>
        <row r="1468">
          <cell r="A1468">
            <v>416024</v>
          </cell>
          <cell r="B1468">
            <v>0</v>
          </cell>
          <cell r="C1468">
            <v>0</v>
          </cell>
          <cell r="D1468" t="str">
            <v>לעדכן</v>
          </cell>
        </row>
        <row r="1469">
          <cell r="A1469">
            <v>416032</v>
          </cell>
          <cell r="B1469">
            <v>0</v>
          </cell>
          <cell r="C1469">
            <v>0</v>
          </cell>
          <cell r="D1469" t="str">
            <v>לעדכן</v>
          </cell>
        </row>
        <row r="1470">
          <cell r="A1470">
            <v>416040</v>
          </cell>
          <cell r="B1470">
            <v>0</v>
          </cell>
          <cell r="C1470">
            <v>0</v>
          </cell>
          <cell r="D1470" t="str">
            <v>לעדכן</v>
          </cell>
        </row>
        <row r="1471">
          <cell r="A1471">
            <v>416099</v>
          </cell>
          <cell r="B1471">
            <v>0</v>
          </cell>
          <cell r="C1471">
            <v>0</v>
          </cell>
          <cell r="D1471" t="str">
            <v>לעדכן</v>
          </cell>
        </row>
        <row r="1472">
          <cell r="A1472">
            <v>416131</v>
          </cell>
          <cell r="B1472">
            <v>0</v>
          </cell>
          <cell r="C1472">
            <v>0</v>
          </cell>
          <cell r="D1472" t="str">
            <v>לעדכן</v>
          </cell>
        </row>
        <row r="1473">
          <cell r="A1473">
            <v>416156</v>
          </cell>
          <cell r="B1473">
            <v>0</v>
          </cell>
          <cell r="C1473">
            <v>0</v>
          </cell>
          <cell r="D1473" t="str">
            <v>לעדכן</v>
          </cell>
        </row>
        <row r="1474">
          <cell r="A1474">
            <v>416164</v>
          </cell>
          <cell r="B1474">
            <v>0</v>
          </cell>
          <cell r="C1474">
            <v>0</v>
          </cell>
          <cell r="D1474" t="str">
            <v>לעדכן</v>
          </cell>
        </row>
        <row r="1475">
          <cell r="A1475">
            <v>416172</v>
          </cell>
          <cell r="B1475">
            <v>0</v>
          </cell>
          <cell r="C1475">
            <v>0</v>
          </cell>
          <cell r="D1475" t="str">
            <v>לעדכן</v>
          </cell>
        </row>
        <row r="1476">
          <cell r="A1476">
            <v>416198</v>
          </cell>
          <cell r="B1476">
            <v>0</v>
          </cell>
          <cell r="C1476">
            <v>0</v>
          </cell>
          <cell r="D1476" t="str">
            <v>לעדכן</v>
          </cell>
        </row>
        <row r="1477">
          <cell r="A1477">
            <v>416206</v>
          </cell>
          <cell r="B1477">
            <v>0</v>
          </cell>
          <cell r="C1477">
            <v>0</v>
          </cell>
          <cell r="D1477" t="str">
            <v>לעדכן</v>
          </cell>
        </row>
        <row r="1478">
          <cell r="A1478">
            <v>416214</v>
          </cell>
          <cell r="B1478">
            <v>0</v>
          </cell>
          <cell r="C1478">
            <v>0</v>
          </cell>
          <cell r="D1478" t="str">
            <v>לעדכן</v>
          </cell>
        </row>
        <row r="1479">
          <cell r="A1479">
            <v>416230</v>
          </cell>
          <cell r="B1479">
            <v>0</v>
          </cell>
          <cell r="C1479">
            <v>0</v>
          </cell>
          <cell r="D1479" t="str">
            <v>לעדכן</v>
          </cell>
        </row>
        <row r="1480">
          <cell r="A1480">
            <v>416255</v>
          </cell>
          <cell r="B1480">
            <v>0</v>
          </cell>
          <cell r="C1480">
            <v>0</v>
          </cell>
          <cell r="D1480" t="str">
            <v>לעדכן</v>
          </cell>
        </row>
        <row r="1481">
          <cell r="A1481">
            <v>416271</v>
          </cell>
          <cell r="B1481">
            <v>0</v>
          </cell>
          <cell r="C1481">
            <v>0</v>
          </cell>
          <cell r="D1481" t="str">
            <v>לעדכן</v>
          </cell>
        </row>
        <row r="1482">
          <cell r="A1482">
            <v>416289</v>
          </cell>
          <cell r="B1482">
            <v>0</v>
          </cell>
          <cell r="C1482">
            <v>0</v>
          </cell>
          <cell r="D1482" t="str">
            <v>לעדכן</v>
          </cell>
        </row>
        <row r="1483">
          <cell r="A1483">
            <v>416339</v>
          </cell>
          <cell r="B1483">
            <v>0</v>
          </cell>
          <cell r="C1483">
            <v>0</v>
          </cell>
          <cell r="D1483" t="str">
            <v>לעדכן</v>
          </cell>
        </row>
        <row r="1484">
          <cell r="A1484">
            <v>416347</v>
          </cell>
          <cell r="B1484">
            <v>0</v>
          </cell>
          <cell r="C1484">
            <v>0</v>
          </cell>
          <cell r="D1484" t="str">
            <v>לעדכן</v>
          </cell>
        </row>
        <row r="1485">
          <cell r="A1485">
            <v>416370</v>
          </cell>
          <cell r="B1485">
            <v>0</v>
          </cell>
          <cell r="C1485">
            <v>0</v>
          </cell>
          <cell r="D1485" t="str">
            <v>לעדכן</v>
          </cell>
        </row>
        <row r="1486">
          <cell r="A1486">
            <v>416388</v>
          </cell>
          <cell r="B1486">
            <v>0</v>
          </cell>
          <cell r="C1486">
            <v>0</v>
          </cell>
          <cell r="D1486" t="str">
            <v>לעדכן</v>
          </cell>
        </row>
        <row r="1487">
          <cell r="A1487">
            <v>416396</v>
          </cell>
          <cell r="B1487">
            <v>0</v>
          </cell>
          <cell r="C1487">
            <v>0</v>
          </cell>
          <cell r="D1487" t="str">
            <v>לעדכן</v>
          </cell>
        </row>
        <row r="1488">
          <cell r="A1488">
            <v>416404</v>
          </cell>
          <cell r="B1488">
            <v>0</v>
          </cell>
          <cell r="C1488">
            <v>0</v>
          </cell>
          <cell r="D1488" t="str">
            <v>לעדכן</v>
          </cell>
        </row>
        <row r="1489">
          <cell r="A1489">
            <v>416412</v>
          </cell>
          <cell r="B1489">
            <v>0</v>
          </cell>
          <cell r="C1489">
            <v>0</v>
          </cell>
          <cell r="D1489" t="str">
            <v>לעדכן</v>
          </cell>
        </row>
        <row r="1490">
          <cell r="A1490">
            <v>416420</v>
          </cell>
          <cell r="B1490">
            <v>0</v>
          </cell>
          <cell r="C1490">
            <v>0</v>
          </cell>
          <cell r="D1490" t="str">
            <v>לעדכן</v>
          </cell>
        </row>
        <row r="1491">
          <cell r="A1491">
            <v>416438</v>
          </cell>
          <cell r="B1491">
            <v>0</v>
          </cell>
          <cell r="C1491">
            <v>0</v>
          </cell>
          <cell r="D1491" t="str">
            <v>לעדכן</v>
          </cell>
        </row>
        <row r="1492">
          <cell r="A1492">
            <v>416446</v>
          </cell>
          <cell r="B1492">
            <v>0</v>
          </cell>
          <cell r="C1492">
            <v>0</v>
          </cell>
          <cell r="D1492" t="str">
            <v>לעדכן</v>
          </cell>
        </row>
        <row r="1493">
          <cell r="A1493">
            <v>416453</v>
          </cell>
          <cell r="B1493">
            <v>0</v>
          </cell>
          <cell r="C1493">
            <v>0</v>
          </cell>
          <cell r="D1493" t="str">
            <v>לעדכן</v>
          </cell>
        </row>
        <row r="1494">
          <cell r="A1494">
            <v>416487</v>
          </cell>
          <cell r="B1494">
            <v>0</v>
          </cell>
          <cell r="C1494">
            <v>0</v>
          </cell>
          <cell r="D1494" t="str">
            <v>לעדכן</v>
          </cell>
        </row>
        <row r="1495">
          <cell r="A1495">
            <v>416495</v>
          </cell>
          <cell r="B1495">
            <v>0</v>
          </cell>
          <cell r="C1495">
            <v>0</v>
          </cell>
          <cell r="D1495" t="str">
            <v>לעדכן</v>
          </cell>
        </row>
        <row r="1496">
          <cell r="A1496">
            <v>416503</v>
          </cell>
          <cell r="B1496">
            <v>0</v>
          </cell>
          <cell r="C1496">
            <v>0</v>
          </cell>
          <cell r="D1496" t="str">
            <v>לעדכן</v>
          </cell>
        </row>
        <row r="1497">
          <cell r="A1497">
            <v>416511</v>
          </cell>
          <cell r="B1497">
            <v>0</v>
          </cell>
          <cell r="C1497">
            <v>0</v>
          </cell>
          <cell r="D1497" t="str">
            <v>לעדכן</v>
          </cell>
        </row>
        <row r="1498">
          <cell r="A1498">
            <v>416545</v>
          </cell>
          <cell r="B1498">
            <v>0</v>
          </cell>
          <cell r="C1498">
            <v>0</v>
          </cell>
          <cell r="D1498" t="str">
            <v>לעדכן</v>
          </cell>
        </row>
        <row r="1499">
          <cell r="A1499">
            <v>416552</v>
          </cell>
          <cell r="B1499">
            <v>0</v>
          </cell>
          <cell r="C1499">
            <v>0</v>
          </cell>
          <cell r="D1499" t="str">
            <v>לעדכן</v>
          </cell>
        </row>
        <row r="1500">
          <cell r="A1500">
            <v>416560</v>
          </cell>
          <cell r="B1500">
            <v>0</v>
          </cell>
          <cell r="C1500">
            <v>0</v>
          </cell>
          <cell r="D1500" t="str">
            <v>לעדכן</v>
          </cell>
        </row>
        <row r="1501">
          <cell r="A1501">
            <v>416578</v>
          </cell>
          <cell r="B1501">
            <v>0</v>
          </cell>
          <cell r="C1501">
            <v>0</v>
          </cell>
          <cell r="D1501" t="str">
            <v>לעדכן</v>
          </cell>
        </row>
        <row r="1502">
          <cell r="A1502">
            <v>416586</v>
          </cell>
          <cell r="B1502">
            <v>0</v>
          </cell>
          <cell r="C1502">
            <v>0</v>
          </cell>
          <cell r="D1502" t="str">
            <v>לעדכן</v>
          </cell>
        </row>
        <row r="1503">
          <cell r="A1503">
            <v>416594</v>
          </cell>
          <cell r="B1503">
            <v>0</v>
          </cell>
          <cell r="C1503">
            <v>0</v>
          </cell>
          <cell r="D1503" t="str">
            <v>לעדכן</v>
          </cell>
        </row>
        <row r="1504">
          <cell r="A1504">
            <v>416610</v>
          </cell>
          <cell r="B1504">
            <v>0</v>
          </cell>
          <cell r="C1504">
            <v>0</v>
          </cell>
          <cell r="D1504" t="str">
            <v>לעדכן</v>
          </cell>
        </row>
        <row r="1505">
          <cell r="A1505">
            <v>416628</v>
          </cell>
          <cell r="B1505">
            <v>0</v>
          </cell>
          <cell r="C1505">
            <v>0</v>
          </cell>
          <cell r="D1505" t="str">
            <v>לעדכן</v>
          </cell>
        </row>
        <row r="1506">
          <cell r="A1506">
            <v>416636</v>
          </cell>
          <cell r="B1506">
            <v>0</v>
          </cell>
          <cell r="C1506">
            <v>0</v>
          </cell>
          <cell r="D1506" t="str">
            <v>לעדכן</v>
          </cell>
        </row>
        <row r="1507">
          <cell r="A1507">
            <v>416644</v>
          </cell>
          <cell r="B1507">
            <v>0</v>
          </cell>
          <cell r="C1507">
            <v>0</v>
          </cell>
          <cell r="D1507" t="str">
            <v>לעדכן</v>
          </cell>
        </row>
        <row r="1508">
          <cell r="A1508">
            <v>416651</v>
          </cell>
          <cell r="B1508">
            <v>0</v>
          </cell>
          <cell r="C1508">
            <v>0</v>
          </cell>
          <cell r="D1508" t="str">
            <v>לעדכן</v>
          </cell>
        </row>
        <row r="1509">
          <cell r="A1509">
            <v>416669</v>
          </cell>
          <cell r="B1509">
            <v>0</v>
          </cell>
          <cell r="C1509">
            <v>0</v>
          </cell>
          <cell r="D1509" t="str">
            <v>לעדכן</v>
          </cell>
        </row>
        <row r="1510">
          <cell r="A1510">
            <v>416677</v>
          </cell>
          <cell r="B1510">
            <v>0</v>
          </cell>
          <cell r="C1510">
            <v>0</v>
          </cell>
          <cell r="D1510" t="str">
            <v>לעדכן</v>
          </cell>
        </row>
        <row r="1511">
          <cell r="A1511">
            <v>416727</v>
          </cell>
          <cell r="B1511">
            <v>0</v>
          </cell>
          <cell r="C1511">
            <v>0</v>
          </cell>
          <cell r="D1511" t="str">
            <v>לעדכן</v>
          </cell>
        </row>
        <row r="1512">
          <cell r="A1512">
            <v>416941</v>
          </cell>
          <cell r="B1512">
            <v>0</v>
          </cell>
          <cell r="C1512">
            <v>0</v>
          </cell>
          <cell r="D1512" t="str">
            <v>לעדכן</v>
          </cell>
        </row>
        <row r="1513">
          <cell r="A1513">
            <v>416958</v>
          </cell>
          <cell r="B1513">
            <v>0</v>
          </cell>
          <cell r="C1513">
            <v>0</v>
          </cell>
          <cell r="D1513" t="str">
            <v>לעדכן</v>
          </cell>
        </row>
        <row r="1514">
          <cell r="A1514">
            <v>416982</v>
          </cell>
          <cell r="B1514">
            <v>0</v>
          </cell>
          <cell r="C1514">
            <v>0</v>
          </cell>
          <cell r="D1514" t="str">
            <v>לעדכן</v>
          </cell>
        </row>
        <row r="1515">
          <cell r="A1515">
            <v>417006</v>
          </cell>
          <cell r="B1515">
            <v>0</v>
          </cell>
          <cell r="C1515">
            <v>0</v>
          </cell>
          <cell r="D1515" t="str">
            <v>לעדכן</v>
          </cell>
        </row>
        <row r="1516">
          <cell r="A1516">
            <v>417014</v>
          </cell>
          <cell r="B1516">
            <v>0</v>
          </cell>
          <cell r="C1516">
            <v>0</v>
          </cell>
          <cell r="D1516" t="str">
            <v>לעדכן</v>
          </cell>
        </row>
        <row r="1517">
          <cell r="A1517">
            <v>417022</v>
          </cell>
          <cell r="B1517">
            <v>0</v>
          </cell>
          <cell r="C1517">
            <v>0</v>
          </cell>
          <cell r="D1517" t="str">
            <v>לעדכן</v>
          </cell>
        </row>
        <row r="1518">
          <cell r="A1518">
            <v>417030</v>
          </cell>
          <cell r="B1518">
            <v>0</v>
          </cell>
          <cell r="C1518">
            <v>0</v>
          </cell>
          <cell r="D1518" t="str">
            <v>לעדכן</v>
          </cell>
        </row>
        <row r="1519">
          <cell r="A1519">
            <v>417048</v>
          </cell>
          <cell r="B1519">
            <v>0</v>
          </cell>
          <cell r="C1519">
            <v>0</v>
          </cell>
          <cell r="D1519" t="str">
            <v>לעדכן</v>
          </cell>
        </row>
        <row r="1520">
          <cell r="A1520">
            <v>417063</v>
          </cell>
          <cell r="B1520">
            <v>0</v>
          </cell>
          <cell r="C1520">
            <v>0</v>
          </cell>
          <cell r="D1520" t="str">
            <v>לעדכן</v>
          </cell>
        </row>
        <row r="1521">
          <cell r="A1521">
            <v>417071</v>
          </cell>
          <cell r="B1521">
            <v>0</v>
          </cell>
          <cell r="C1521">
            <v>0</v>
          </cell>
          <cell r="D1521" t="str">
            <v>לעדכן</v>
          </cell>
        </row>
        <row r="1522">
          <cell r="A1522">
            <v>417089</v>
          </cell>
          <cell r="B1522">
            <v>0</v>
          </cell>
          <cell r="C1522">
            <v>0</v>
          </cell>
          <cell r="D1522" t="str">
            <v>לעדכן</v>
          </cell>
        </row>
        <row r="1523">
          <cell r="A1523">
            <v>417097</v>
          </cell>
          <cell r="B1523">
            <v>0</v>
          </cell>
          <cell r="C1523">
            <v>0</v>
          </cell>
          <cell r="D1523" t="str">
            <v>לעדכן</v>
          </cell>
        </row>
        <row r="1524">
          <cell r="A1524">
            <v>417105</v>
          </cell>
          <cell r="B1524">
            <v>0</v>
          </cell>
          <cell r="C1524">
            <v>0</v>
          </cell>
          <cell r="D1524" t="str">
            <v>לעדכן</v>
          </cell>
        </row>
        <row r="1525">
          <cell r="A1525">
            <v>417113</v>
          </cell>
          <cell r="B1525">
            <v>0</v>
          </cell>
          <cell r="C1525">
            <v>0</v>
          </cell>
          <cell r="D1525" t="str">
            <v>לעדכן</v>
          </cell>
        </row>
        <row r="1526">
          <cell r="A1526">
            <v>417121</v>
          </cell>
          <cell r="B1526">
            <v>0</v>
          </cell>
          <cell r="C1526">
            <v>0</v>
          </cell>
          <cell r="D1526" t="str">
            <v>לעדכן</v>
          </cell>
        </row>
        <row r="1527">
          <cell r="A1527">
            <v>417139</v>
          </cell>
          <cell r="B1527">
            <v>0</v>
          </cell>
          <cell r="C1527">
            <v>0</v>
          </cell>
          <cell r="D1527" t="str">
            <v>לעדכן</v>
          </cell>
        </row>
        <row r="1528">
          <cell r="A1528">
            <v>417170</v>
          </cell>
          <cell r="B1528">
            <v>0</v>
          </cell>
          <cell r="C1528">
            <v>0</v>
          </cell>
          <cell r="D1528" t="str">
            <v>לעדכן</v>
          </cell>
        </row>
        <row r="1529">
          <cell r="A1529">
            <v>417188</v>
          </cell>
          <cell r="B1529">
            <v>0</v>
          </cell>
          <cell r="C1529">
            <v>0</v>
          </cell>
          <cell r="D1529" t="str">
            <v>לעדכן</v>
          </cell>
        </row>
        <row r="1530">
          <cell r="A1530">
            <v>417196</v>
          </cell>
          <cell r="B1530">
            <v>0</v>
          </cell>
          <cell r="C1530">
            <v>0</v>
          </cell>
          <cell r="D1530" t="str">
            <v>לעדכן</v>
          </cell>
        </row>
        <row r="1531">
          <cell r="A1531">
            <v>417212</v>
          </cell>
          <cell r="B1531">
            <v>0</v>
          </cell>
          <cell r="C1531">
            <v>0</v>
          </cell>
          <cell r="D1531" t="str">
            <v>לעדכן</v>
          </cell>
        </row>
        <row r="1532">
          <cell r="A1532">
            <v>417220</v>
          </cell>
          <cell r="B1532">
            <v>0</v>
          </cell>
          <cell r="C1532">
            <v>0</v>
          </cell>
          <cell r="D1532" t="str">
            <v>לעדכן</v>
          </cell>
        </row>
        <row r="1533">
          <cell r="A1533">
            <v>417238</v>
          </cell>
          <cell r="B1533">
            <v>0</v>
          </cell>
          <cell r="C1533">
            <v>0</v>
          </cell>
          <cell r="D1533" t="str">
            <v>לעדכן</v>
          </cell>
        </row>
        <row r="1534">
          <cell r="A1534">
            <v>417246</v>
          </cell>
          <cell r="B1534">
            <v>0</v>
          </cell>
          <cell r="C1534">
            <v>0</v>
          </cell>
          <cell r="D1534" t="str">
            <v>לעדכן</v>
          </cell>
        </row>
        <row r="1535">
          <cell r="A1535">
            <v>417527</v>
          </cell>
          <cell r="B1535">
            <v>0</v>
          </cell>
          <cell r="C1535">
            <v>0</v>
          </cell>
          <cell r="D1535" t="str">
            <v>לעדכן</v>
          </cell>
        </row>
        <row r="1536">
          <cell r="A1536">
            <v>417964</v>
          </cell>
          <cell r="B1536">
            <v>0</v>
          </cell>
          <cell r="C1536">
            <v>0</v>
          </cell>
          <cell r="D1536" t="str">
            <v>לעדכן</v>
          </cell>
        </row>
        <row r="1537">
          <cell r="A1537">
            <v>418020</v>
          </cell>
          <cell r="B1537">
            <v>0</v>
          </cell>
          <cell r="C1537">
            <v>0</v>
          </cell>
          <cell r="D1537" t="str">
            <v>לעדכן</v>
          </cell>
        </row>
        <row r="1538">
          <cell r="A1538">
            <v>418038</v>
          </cell>
          <cell r="B1538">
            <v>0</v>
          </cell>
          <cell r="C1538">
            <v>0</v>
          </cell>
          <cell r="D1538" t="str">
            <v>לעדכן</v>
          </cell>
        </row>
        <row r="1539">
          <cell r="A1539">
            <v>418053</v>
          </cell>
          <cell r="B1539">
            <v>0</v>
          </cell>
          <cell r="C1539">
            <v>0</v>
          </cell>
          <cell r="D1539" t="str">
            <v>לעדכן</v>
          </cell>
        </row>
        <row r="1540">
          <cell r="A1540">
            <v>418061</v>
          </cell>
          <cell r="B1540">
            <v>0</v>
          </cell>
          <cell r="C1540">
            <v>0</v>
          </cell>
          <cell r="D1540" t="str">
            <v>לעדכן</v>
          </cell>
        </row>
        <row r="1541">
          <cell r="A1541">
            <v>418079</v>
          </cell>
          <cell r="B1541">
            <v>0</v>
          </cell>
          <cell r="C1541">
            <v>0</v>
          </cell>
          <cell r="D1541" t="str">
            <v>לעדכן</v>
          </cell>
        </row>
        <row r="1542">
          <cell r="A1542">
            <v>418087</v>
          </cell>
          <cell r="B1542">
            <v>0</v>
          </cell>
          <cell r="C1542">
            <v>0</v>
          </cell>
          <cell r="D1542" t="str">
            <v>לעדכן</v>
          </cell>
        </row>
        <row r="1543">
          <cell r="A1543">
            <v>418095</v>
          </cell>
          <cell r="B1543">
            <v>0</v>
          </cell>
          <cell r="C1543">
            <v>0</v>
          </cell>
          <cell r="D1543" t="str">
            <v>לעדכן</v>
          </cell>
        </row>
        <row r="1544">
          <cell r="A1544">
            <v>418103</v>
          </cell>
          <cell r="B1544">
            <v>0</v>
          </cell>
          <cell r="C1544">
            <v>0</v>
          </cell>
          <cell r="D1544" t="str">
            <v>לעדכן</v>
          </cell>
        </row>
        <row r="1545">
          <cell r="A1545">
            <v>418111</v>
          </cell>
          <cell r="B1545">
            <v>0</v>
          </cell>
          <cell r="C1545">
            <v>0</v>
          </cell>
          <cell r="D1545" t="str">
            <v>לעדכן</v>
          </cell>
        </row>
        <row r="1546">
          <cell r="A1546">
            <v>418129</v>
          </cell>
          <cell r="B1546">
            <v>0</v>
          </cell>
          <cell r="C1546">
            <v>0</v>
          </cell>
          <cell r="D1546" t="str">
            <v>לעדכן</v>
          </cell>
        </row>
        <row r="1547">
          <cell r="A1547">
            <v>418137</v>
          </cell>
          <cell r="B1547">
            <v>0</v>
          </cell>
          <cell r="C1547">
            <v>0</v>
          </cell>
          <cell r="D1547" t="str">
            <v>לעדכן</v>
          </cell>
        </row>
        <row r="1548">
          <cell r="A1548">
            <v>418145</v>
          </cell>
          <cell r="B1548">
            <v>0</v>
          </cell>
          <cell r="C1548">
            <v>0</v>
          </cell>
          <cell r="D1548" t="str">
            <v>לעדכן</v>
          </cell>
        </row>
        <row r="1549">
          <cell r="A1549">
            <v>418152</v>
          </cell>
          <cell r="B1549">
            <v>0</v>
          </cell>
          <cell r="C1549">
            <v>0</v>
          </cell>
          <cell r="D1549" t="str">
            <v>לעדכן</v>
          </cell>
        </row>
        <row r="1550">
          <cell r="A1550">
            <v>418160</v>
          </cell>
          <cell r="B1550">
            <v>0</v>
          </cell>
          <cell r="C1550">
            <v>0</v>
          </cell>
          <cell r="D1550" t="str">
            <v>לעדכן</v>
          </cell>
        </row>
        <row r="1551">
          <cell r="A1551">
            <v>418178</v>
          </cell>
          <cell r="B1551">
            <v>0</v>
          </cell>
          <cell r="C1551">
            <v>0</v>
          </cell>
          <cell r="D1551" t="str">
            <v>לעדכן</v>
          </cell>
        </row>
        <row r="1552">
          <cell r="A1552">
            <v>418186</v>
          </cell>
          <cell r="B1552">
            <v>0</v>
          </cell>
          <cell r="C1552">
            <v>0</v>
          </cell>
          <cell r="D1552" t="str">
            <v>לעדכן</v>
          </cell>
        </row>
        <row r="1553">
          <cell r="A1553">
            <v>418202</v>
          </cell>
          <cell r="B1553">
            <v>0</v>
          </cell>
          <cell r="C1553">
            <v>0</v>
          </cell>
          <cell r="D1553" t="str">
            <v>לעדכן</v>
          </cell>
        </row>
        <row r="1554">
          <cell r="A1554">
            <v>418228</v>
          </cell>
          <cell r="B1554">
            <v>0</v>
          </cell>
          <cell r="C1554">
            <v>0</v>
          </cell>
          <cell r="D1554" t="str">
            <v>לעדכן</v>
          </cell>
        </row>
        <row r="1555">
          <cell r="A1555">
            <v>418236</v>
          </cell>
          <cell r="B1555">
            <v>0</v>
          </cell>
          <cell r="C1555">
            <v>0</v>
          </cell>
          <cell r="D1555" t="str">
            <v>לעדכן</v>
          </cell>
        </row>
        <row r="1556">
          <cell r="A1556">
            <v>418244</v>
          </cell>
          <cell r="B1556">
            <v>0</v>
          </cell>
          <cell r="C1556">
            <v>0</v>
          </cell>
          <cell r="D1556" t="str">
            <v>לעדכן</v>
          </cell>
        </row>
        <row r="1557">
          <cell r="A1557">
            <v>418251</v>
          </cell>
          <cell r="B1557">
            <v>0</v>
          </cell>
          <cell r="C1557">
            <v>0</v>
          </cell>
          <cell r="D1557" t="str">
            <v>לעדכן</v>
          </cell>
        </row>
        <row r="1558">
          <cell r="A1558">
            <v>418269</v>
          </cell>
          <cell r="B1558">
            <v>0</v>
          </cell>
          <cell r="C1558">
            <v>0</v>
          </cell>
          <cell r="D1558" t="str">
            <v>לעדכן</v>
          </cell>
        </row>
        <row r="1559">
          <cell r="A1559">
            <v>418277</v>
          </cell>
          <cell r="B1559">
            <v>0</v>
          </cell>
          <cell r="C1559">
            <v>0</v>
          </cell>
          <cell r="D1559" t="str">
            <v>לעדכן</v>
          </cell>
        </row>
        <row r="1560">
          <cell r="A1560">
            <v>418285</v>
          </cell>
          <cell r="B1560">
            <v>0</v>
          </cell>
          <cell r="C1560">
            <v>0</v>
          </cell>
          <cell r="D1560" t="str">
            <v>לעדכן</v>
          </cell>
        </row>
        <row r="1561">
          <cell r="A1561">
            <v>418293</v>
          </cell>
          <cell r="B1561">
            <v>0</v>
          </cell>
          <cell r="C1561">
            <v>0</v>
          </cell>
          <cell r="D1561" t="str">
            <v>לעדכן</v>
          </cell>
        </row>
        <row r="1562">
          <cell r="A1562">
            <v>418301</v>
          </cell>
          <cell r="B1562">
            <v>0</v>
          </cell>
          <cell r="C1562">
            <v>0</v>
          </cell>
          <cell r="D1562" t="str">
            <v>לעדכן</v>
          </cell>
        </row>
        <row r="1563">
          <cell r="A1563">
            <v>418327</v>
          </cell>
          <cell r="B1563">
            <v>0</v>
          </cell>
          <cell r="C1563">
            <v>0</v>
          </cell>
          <cell r="D1563" t="str">
            <v>לעדכן</v>
          </cell>
        </row>
        <row r="1564">
          <cell r="A1564">
            <v>418335</v>
          </cell>
          <cell r="B1564">
            <v>0</v>
          </cell>
          <cell r="C1564">
            <v>0</v>
          </cell>
          <cell r="D1564" t="str">
            <v>לעדכן</v>
          </cell>
        </row>
        <row r="1565">
          <cell r="A1565">
            <v>418343</v>
          </cell>
          <cell r="B1565">
            <v>0</v>
          </cell>
          <cell r="C1565">
            <v>0</v>
          </cell>
          <cell r="D1565" t="str">
            <v>לעדכן</v>
          </cell>
        </row>
        <row r="1566">
          <cell r="A1566">
            <v>418350</v>
          </cell>
          <cell r="B1566">
            <v>0</v>
          </cell>
          <cell r="C1566">
            <v>0</v>
          </cell>
          <cell r="D1566" t="str">
            <v>לעדכן</v>
          </cell>
        </row>
        <row r="1567">
          <cell r="A1567">
            <v>418368</v>
          </cell>
          <cell r="B1567">
            <v>0</v>
          </cell>
          <cell r="C1567">
            <v>0</v>
          </cell>
          <cell r="D1567" t="str">
            <v>לעדכן</v>
          </cell>
        </row>
        <row r="1568">
          <cell r="A1568">
            <v>418384</v>
          </cell>
          <cell r="B1568">
            <v>0</v>
          </cell>
          <cell r="C1568">
            <v>0</v>
          </cell>
          <cell r="D1568" t="str">
            <v>לעדכן</v>
          </cell>
        </row>
        <row r="1569">
          <cell r="A1569">
            <v>418392</v>
          </cell>
          <cell r="B1569">
            <v>0</v>
          </cell>
          <cell r="C1569">
            <v>0</v>
          </cell>
          <cell r="D1569" t="str">
            <v>לעדכן</v>
          </cell>
        </row>
        <row r="1570">
          <cell r="A1570">
            <v>418400</v>
          </cell>
          <cell r="B1570">
            <v>0</v>
          </cell>
          <cell r="C1570">
            <v>0</v>
          </cell>
          <cell r="D1570" t="str">
            <v>לעדכן</v>
          </cell>
        </row>
        <row r="1571">
          <cell r="A1571">
            <v>418418</v>
          </cell>
          <cell r="B1571">
            <v>0</v>
          </cell>
          <cell r="C1571">
            <v>0</v>
          </cell>
          <cell r="D1571" t="str">
            <v>לעדכן</v>
          </cell>
        </row>
        <row r="1572">
          <cell r="A1572">
            <v>418426</v>
          </cell>
          <cell r="B1572">
            <v>0</v>
          </cell>
          <cell r="C1572">
            <v>0</v>
          </cell>
          <cell r="D1572" t="str">
            <v>לעדכן</v>
          </cell>
        </row>
        <row r="1573">
          <cell r="A1573">
            <v>418434</v>
          </cell>
          <cell r="B1573">
            <v>0</v>
          </cell>
          <cell r="C1573">
            <v>0</v>
          </cell>
          <cell r="D1573" t="str">
            <v>לעדכן</v>
          </cell>
        </row>
        <row r="1574">
          <cell r="A1574">
            <v>418459</v>
          </cell>
          <cell r="B1574">
            <v>0</v>
          </cell>
          <cell r="C1574">
            <v>0</v>
          </cell>
          <cell r="D1574" t="str">
            <v>לעדכן</v>
          </cell>
        </row>
        <row r="1575">
          <cell r="A1575">
            <v>418467</v>
          </cell>
          <cell r="B1575">
            <v>0</v>
          </cell>
          <cell r="C1575">
            <v>0</v>
          </cell>
          <cell r="D1575" t="str">
            <v>לעדכן</v>
          </cell>
        </row>
        <row r="1576">
          <cell r="A1576">
            <v>419242</v>
          </cell>
          <cell r="B1576">
            <v>0</v>
          </cell>
          <cell r="C1576">
            <v>0</v>
          </cell>
          <cell r="D1576" t="str">
            <v>לעדכן</v>
          </cell>
        </row>
        <row r="1577">
          <cell r="A1577">
            <v>419259</v>
          </cell>
          <cell r="B1577">
            <v>0</v>
          </cell>
          <cell r="C1577">
            <v>0</v>
          </cell>
          <cell r="D1577" t="str">
            <v>לעדכן</v>
          </cell>
        </row>
        <row r="1578">
          <cell r="A1578">
            <v>419267</v>
          </cell>
          <cell r="B1578">
            <v>0</v>
          </cell>
          <cell r="C1578">
            <v>0</v>
          </cell>
          <cell r="D1578" t="str">
            <v>לעדכן</v>
          </cell>
        </row>
        <row r="1579">
          <cell r="A1579">
            <v>430025</v>
          </cell>
          <cell r="B1579">
            <v>0</v>
          </cell>
          <cell r="C1579">
            <v>0</v>
          </cell>
          <cell r="D1579" t="str">
            <v>לעדכן</v>
          </cell>
        </row>
        <row r="1580">
          <cell r="A1580">
            <v>430033</v>
          </cell>
          <cell r="B1580">
            <v>0</v>
          </cell>
          <cell r="C1580">
            <v>0</v>
          </cell>
          <cell r="D1580" t="str">
            <v>לעדכן</v>
          </cell>
        </row>
        <row r="1581">
          <cell r="A1581">
            <v>430041</v>
          </cell>
          <cell r="B1581">
            <v>0</v>
          </cell>
          <cell r="C1581">
            <v>0</v>
          </cell>
          <cell r="D1581" t="str">
            <v>לעדכן</v>
          </cell>
        </row>
        <row r="1582">
          <cell r="A1582">
            <v>430074</v>
          </cell>
          <cell r="B1582">
            <v>0</v>
          </cell>
          <cell r="C1582">
            <v>0</v>
          </cell>
          <cell r="D1582" t="str">
            <v>לעדכן</v>
          </cell>
        </row>
        <row r="1583">
          <cell r="A1583">
            <v>430082</v>
          </cell>
          <cell r="B1583">
            <v>0</v>
          </cell>
          <cell r="C1583">
            <v>0</v>
          </cell>
          <cell r="D1583" t="str">
            <v>לעדכן</v>
          </cell>
        </row>
        <row r="1584">
          <cell r="A1584">
            <v>430124</v>
          </cell>
          <cell r="B1584">
            <v>0</v>
          </cell>
          <cell r="C1584">
            <v>0</v>
          </cell>
          <cell r="D1584" t="str">
            <v>לעדכן</v>
          </cell>
        </row>
        <row r="1585">
          <cell r="A1585">
            <v>430140</v>
          </cell>
          <cell r="B1585">
            <v>0</v>
          </cell>
          <cell r="C1585">
            <v>0</v>
          </cell>
          <cell r="D1585" t="str">
            <v>לעדכן</v>
          </cell>
        </row>
        <row r="1586">
          <cell r="A1586">
            <v>430165</v>
          </cell>
          <cell r="B1586">
            <v>0</v>
          </cell>
          <cell r="C1586">
            <v>0</v>
          </cell>
          <cell r="D1586" t="str">
            <v>לעדכן</v>
          </cell>
        </row>
        <row r="1587">
          <cell r="A1587">
            <v>430173</v>
          </cell>
          <cell r="B1587">
            <v>0</v>
          </cell>
          <cell r="C1587">
            <v>0</v>
          </cell>
          <cell r="D1587" t="str">
            <v>לעדכן</v>
          </cell>
        </row>
        <row r="1588">
          <cell r="A1588">
            <v>430199</v>
          </cell>
          <cell r="B1588">
            <v>0</v>
          </cell>
          <cell r="C1588">
            <v>0</v>
          </cell>
          <cell r="D1588" t="str">
            <v>לעדכן</v>
          </cell>
        </row>
        <row r="1589">
          <cell r="A1589">
            <v>430215</v>
          </cell>
          <cell r="B1589">
            <v>0</v>
          </cell>
          <cell r="C1589">
            <v>0</v>
          </cell>
          <cell r="D1589" t="str">
            <v>לעדכן</v>
          </cell>
        </row>
        <row r="1590">
          <cell r="A1590">
            <v>430223</v>
          </cell>
          <cell r="B1590">
            <v>0</v>
          </cell>
          <cell r="C1590">
            <v>0</v>
          </cell>
          <cell r="D1590" t="str">
            <v>לעדכן</v>
          </cell>
        </row>
        <row r="1591">
          <cell r="A1591">
            <v>430256</v>
          </cell>
          <cell r="B1591">
            <v>0</v>
          </cell>
          <cell r="C1591">
            <v>0</v>
          </cell>
          <cell r="D1591" t="str">
            <v>לעדכן</v>
          </cell>
        </row>
        <row r="1592">
          <cell r="A1592">
            <v>430264</v>
          </cell>
          <cell r="B1592">
            <v>0</v>
          </cell>
          <cell r="C1592">
            <v>0</v>
          </cell>
          <cell r="D1592" t="str">
            <v>לעדכן</v>
          </cell>
        </row>
        <row r="1593">
          <cell r="A1593">
            <v>430298</v>
          </cell>
          <cell r="B1593">
            <v>0</v>
          </cell>
          <cell r="C1593">
            <v>0</v>
          </cell>
          <cell r="D1593" t="str">
            <v>לעדכן</v>
          </cell>
        </row>
        <row r="1594">
          <cell r="A1594">
            <v>430306</v>
          </cell>
          <cell r="B1594">
            <v>0</v>
          </cell>
          <cell r="C1594">
            <v>0</v>
          </cell>
          <cell r="D1594" t="str">
            <v>לעדכן</v>
          </cell>
        </row>
        <row r="1595">
          <cell r="A1595">
            <v>430322</v>
          </cell>
          <cell r="B1595">
            <v>0</v>
          </cell>
          <cell r="C1595">
            <v>0</v>
          </cell>
          <cell r="D1595" t="str">
            <v>לעדכן</v>
          </cell>
        </row>
        <row r="1596">
          <cell r="A1596">
            <v>430330</v>
          </cell>
          <cell r="B1596">
            <v>0</v>
          </cell>
          <cell r="C1596">
            <v>0</v>
          </cell>
          <cell r="D1596" t="str">
            <v>לעדכן</v>
          </cell>
        </row>
        <row r="1597">
          <cell r="A1597">
            <v>430355</v>
          </cell>
          <cell r="B1597">
            <v>0</v>
          </cell>
          <cell r="C1597">
            <v>0</v>
          </cell>
          <cell r="D1597" t="str">
            <v>לעדכן</v>
          </cell>
        </row>
        <row r="1598">
          <cell r="A1598">
            <v>430363</v>
          </cell>
          <cell r="B1598">
            <v>0</v>
          </cell>
          <cell r="C1598">
            <v>0</v>
          </cell>
          <cell r="D1598" t="str">
            <v>לעדכן</v>
          </cell>
        </row>
        <row r="1599">
          <cell r="A1599">
            <v>430413</v>
          </cell>
          <cell r="B1599">
            <v>0</v>
          </cell>
          <cell r="C1599">
            <v>0</v>
          </cell>
          <cell r="D1599" t="str">
            <v>לעדכן</v>
          </cell>
        </row>
        <row r="1600">
          <cell r="A1600">
            <v>430439</v>
          </cell>
          <cell r="B1600">
            <v>0</v>
          </cell>
          <cell r="C1600">
            <v>0</v>
          </cell>
          <cell r="D1600" t="str">
            <v>לעדכן</v>
          </cell>
        </row>
        <row r="1601">
          <cell r="A1601">
            <v>430447</v>
          </cell>
          <cell r="B1601">
            <v>0</v>
          </cell>
          <cell r="C1601">
            <v>0</v>
          </cell>
          <cell r="D1601" t="str">
            <v>לעדכן</v>
          </cell>
        </row>
        <row r="1602">
          <cell r="A1602">
            <v>430462</v>
          </cell>
          <cell r="B1602">
            <v>0</v>
          </cell>
          <cell r="C1602">
            <v>0</v>
          </cell>
          <cell r="D1602" t="str">
            <v>לעדכן</v>
          </cell>
        </row>
        <row r="1603">
          <cell r="A1603">
            <v>430470</v>
          </cell>
          <cell r="B1603">
            <v>0</v>
          </cell>
          <cell r="C1603">
            <v>0</v>
          </cell>
          <cell r="D1603" t="str">
            <v>לעדכן</v>
          </cell>
        </row>
        <row r="1604">
          <cell r="A1604">
            <v>430496</v>
          </cell>
          <cell r="B1604">
            <v>0</v>
          </cell>
          <cell r="C1604">
            <v>0</v>
          </cell>
          <cell r="D1604" t="str">
            <v>לעדכן</v>
          </cell>
        </row>
        <row r="1605">
          <cell r="A1605">
            <v>430520</v>
          </cell>
          <cell r="B1605">
            <v>0</v>
          </cell>
          <cell r="C1605">
            <v>0</v>
          </cell>
          <cell r="D1605" t="str">
            <v>לעדכן</v>
          </cell>
        </row>
        <row r="1606">
          <cell r="A1606">
            <v>430546</v>
          </cell>
          <cell r="B1606">
            <v>0</v>
          </cell>
          <cell r="C1606">
            <v>0</v>
          </cell>
          <cell r="D1606" t="str">
            <v>לעדכן</v>
          </cell>
        </row>
        <row r="1607">
          <cell r="A1607">
            <v>430884</v>
          </cell>
          <cell r="B1607">
            <v>0</v>
          </cell>
          <cell r="C1607">
            <v>0</v>
          </cell>
          <cell r="D1607" t="str">
            <v>לעדכן</v>
          </cell>
        </row>
        <row r="1608">
          <cell r="A1608">
            <v>434019</v>
          </cell>
          <cell r="B1608">
            <v>0</v>
          </cell>
          <cell r="C1608">
            <v>0</v>
          </cell>
          <cell r="D1608" t="str">
            <v>לעדכן</v>
          </cell>
        </row>
        <row r="1609">
          <cell r="A1609">
            <v>436717</v>
          </cell>
          <cell r="B1609">
            <v>0</v>
          </cell>
          <cell r="C1609">
            <v>0</v>
          </cell>
          <cell r="D1609" t="str">
            <v>לעדכן</v>
          </cell>
        </row>
        <row r="1610">
          <cell r="A1610">
            <v>436725</v>
          </cell>
          <cell r="B1610">
            <v>0</v>
          </cell>
          <cell r="C1610">
            <v>0</v>
          </cell>
          <cell r="D1610" t="str">
            <v>לעדכן</v>
          </cell>
        </row>
        <row r="1611">
          <cell r="A1611">
            <v>437319</v>
          </cell>
          <cell r="B1611">
            <v>0</v>
          </cell>
          <cell r="C1611">
            <v>0</v>
          </cell>
          <cell r="D1611" t="str">
            <v>לעדכן</v>
          </cell>
        </row>
        <row r="1612">
          <cell r="A1612">
            <v>440412</v>
          </cell>
          <cell r="B1612">
            <v>0</v>
          </cell>
          <cell r="C1612">
            <v>0</v>
          </cell>
          <cell r="D1612" t="str">
            <v>לעדכן</v>
          </cell>
        </row>
        <row r="1613">
          <cell r="A1613">
            <v>440529</v>
          </cell>
          <cell r="B1613">
            <v>0</v>
          </cell>
          <cell r="C1613">
            <v>0</v>
          </cell>
          <cell r="D1613" t="str">
            <v>לעדכן</v>
          </cell>
        </row>
        <row r="1614">
          <cell r="A1614">
            <v>440685</v>
          </cell>
          <cell r="B1614">
            <v>0</v>
          </cell>
          <cell r="C1614">
            <v>0</v>
          </cell>
          <cell r="D1614" t="str">
            <v>לעדכן</v>
          </cell>
        </row>
        <row r="1615">
          <cell r="A1615">
            <v>440693</v>
          </cell>
          <cell r="B1615">
            <v>0</v>
          </cell>
          <cell r="C1615">
            <v>0</v>
          </cell>
          <cell r="D1615" t="str">
            <v>לעדכן</v>
          </cell>
        </row>
        <row r="1616">
          <cell r="A1616">
            <v>442459</v>
          </cell>
          <cell r="B1616">
            <v>0</v>
          </cell>
          <cell r="C1616">
            <v>0</v>
          </cell>
          <cell r="D1616" t="str">
            <v>לעדכן</v>
          </cell>
        </row>
        <row r="1617">
          <cell r="A1617">
            <v>442475</v>
          </cell>
          <cell r="B1617">
            <v>0</v>
          </cell>
          <cell r="C1617">
            <v>0</v>
          </cell>
          <cell r="D1617" t="str">
            <v>לעדכן</v>
          </cell>
        </row>
        <row r="1618">
          <cell r="A1618">
            <v>442483</v>
          </cell>
          <cell r="B1618">
            <v>0</v>
          </cell>
          <cell r="C1618">
            <v>0</v>
          </cell>
          <cell r="D1618" t="str">
            <v>לעדכן</v>
          </cell>
        </row>
        <row r="1619">
          <cell r="A1619">
            <v>442491</v>
          </cell>
          <cell r="B1619">
            <v>0</v>
          </cell>
          <cell r="C1619">
            <v>0</v>
          </cell>
          <cell r="D1619" t="str">
            <v>לעדכן</v>
          </cell>
        </row>
        <row r="1620">
          <cell r="A1620">
            <v>442509</v>
          </cell>
          <cell r="B1620">
            <v>0</v>
          </cell>
          <cell r="C1620">
            <v>0</v>
          </cell>
          <cell r="D1620" t="str">
            <v>לעדכן</v>
          </cell>
        </row>
        <row r="1621">
          <cell r="A1621">
            <v>442558</v>
          </cell>
          <cell r="B1621">
            <v>0</v>
          </cell>
          <cell r="C1621">
            <v>0</v>
          </cell>
          <cell r="D1621" t="str">
            <v>לעדכן</v>
          </cell>
        </row>
        <row r="1622">
          <cell r="A1622">
            <v>442574</v>
          </cell>
          <cell r="B1622">
            <v>0</v>
          </cell>
          <cell r="C1622">
            <v>0</v>
          </cell>
          <cell r="D1622" t="str">
            <v>לעדכן</v>
          </cell>
        </row>
        <row r="1623">
          <cell r="A1623">
            <v>442582</v>
          </cell>
          <cell r="B1623">
            <v>0</v>
          </cell>
          <cell r="C1623">
            <v>0</v>
          </cell>
          <cell r="D1623" t="str">
            <v>לעדכן</v>
          </cell>
        </row>
        <row r="1624">
          <cell r="A1624">
            <v>442590</v>
          </cell>
          <cell r="B1624">
            <v>0</v>
          </cell>
          <cell r="C1624">
            <v>0</v>
          </cell>
          <cell r="D1624" t="str">
            <v>לעדכן</v>
          </cell>
        </row>
        <row r="1625">
          <cell r="A1625">
            <v>442608</v>
          </cell>
          <cell r="B1625">
            <v>0</v>
          </cell>
          <cell r="C1625">
            <v>0</v>
          </cell>
          <cell r="D1625" t="str">
            <v>לעדכן</v>
          </cell>
        </row>
        <row r="1626">
          <cell r="A1626">
            <v>442616</v>
          </cell>
          <cell r="B1626">
            <v>0</v>
          </cell>
          <cell r="C1626">
            <v>0</v>
          </cell>
          <cell r="D1626" t="str">
            <v>לעדכן</v>
          </cell>
        </row>
        <row r="1627">
          <cell r="A1627">
            <v>442632</v>
          </cell>
          <cell r="B1627">
            <v>0</v>
          </cell>
          <cell r="C1627">
            <v>0</v>
          </cell>
          <cell r="D1627" t="str">
            <v>לעדכן</v>
          </cell>
        </row>
        <row r="1628">
          <cell r="A1628">
            <v>442665</v>
          </cell>
          <cell r="B1628">
            <v>0</v>
          </cell>
          <cell r="C1628">
            <v>0</v>
          </cell>
          <cell r="D1628" t="str">
            <v>לעדכן</v>
          </cell>
        </row>
        <row r="1629">
          <cell r="A1629">
            <v>447466</v>
          </cell>
          <cell r="B1629">
            <v>0</v>
          </cell>
          <cell r="C1629">
            <v>0</v>
          </cell>
          <cell r="D1629" t="str">
            <v>לעדכן</v>
          </cell>
        </row>
        <row r="1630">
          <cell r="A1630">
            <v>448357</v>
          </cell>
          <cell r="B1630">
            <v>0</v>
          </cell>
          <cell r="C1630">
            <v>0</v>
          </cell>
          <cell r="D1630" t="str">
            <v>לעדכן</v>
          </cell>
        </row>
        <row r="1631">
          <cell r="A1631">
            <v>450056</v>
          </cell>
          <cell r="B1631">
            <v>0</v>
          </cell>
          <cell r="C1631">
            <v>0</v>
          </cell>
          <cell r="D1631" t="str">
            <v>לעדכן</v>
          </cell>
        </row>
        <row r="1632">
          <cell r="A1632">
            <v>454314</v>
          </cell>
          <cell r="B1632">
            <v>0</v>
          </cell>
          <cell r="C1632">
            <v>0</v>
          </cell>
          <cell r="D1632" t="str">
            <v>לעדכן</v>
          </cell>
        </row>
        <row r="1633">
          <cell r="A1633">
            <v>455154</v>
          </cell>
          <cell r="B1633">
            <v>0</v>
          </cell>
          <cell r="C1633">
            <v>0</v>
          </cell>
          <cell r="D1633" t="str">
            <v>לעדכן</v>
          </cell>
        </row>
        <row r="1634">
          <cell r="A1634">
            <v>455170</v>
          </cell>
          <cell r="B1634">
            <v>0</v>
          </cell>
          <cell r="C1634">
            <v>0</v>
          </cell>
          <cell r="D1634" t="str">
            <v>לעדכן</v>
          </cell>
        </row>
        <row r="1635">
          <cell r="A1635">
            <v>456293</v>
          </cell>
          <cell r="B1635">
            <v>0</v>
          </cell>
          <cell r="C1635">
            <v>0</v>
          </cell>
          <cell r="D1635" t="str">
            <v>לעדכן</v>
          </cell>
        </row>
        <row r="1636">
          <cell r="A1636">
            <v>456624</v>
          </cell>
          <cell r="B1636">
            <v>0</v>
          </cell>
          <cell r="C1636">
            <v>0</v>
          </cell>
          <cell r="D1636" t="str">
            <v>לעדכן</v>
          </cell>
        </row>
        <row r="1637">
          <cell r="A1637">
            <v>456921</v>
          </cell>
          <cell r="B1637">
            <v>0</v>
          </cell>
          <cell r="C1637">
            <v>0</v>
          </cell>
          <cell r="D1637" t="str">
            <v>לעדכן</v>
          </cell>
        </row>
        <row r="1638">
          <cell r="A1638">
            <v>457291</v>
          </cell>
          <cell r="B1638">
            <v>0</v>
          </cell>
          <cell r="C1638">
            <v>0</v>
          </cell>
          <cell r="D1638" t="str">
            <v>לעדכן</v>
          </cell>
        </row>
        <row r="1639">
          <cell r="A1639">
            <v>462267</v>
          </cell>
          <cell r="B1639">
            <v>0</v>
          </cell>
          <cell r="C1639">
            <v>0</v>
          </cell>
          <cell r="D1639" t="str">
            <v>לעדכן</v>
          </cell>
        </row>
        <row r="1640">
          <cell r="A1640">
            <v>464222</v>
          </cell>
          <cell r="B1640">
            <v>0</v>
          </cell>
          <cell r="C1640">
            <v>0</v>
          </cell>
          <cell r="D1640" t="str">
            <v>לעדכן</v>
          </cell>
        </row>
        <row r="1641">
          <cell r="A1641">
            <v>474684</v>
          </cell>
          <cell r="B1641">
            <v>0</v>
          </cell>
          <cell r="C1641">
            <v>0</v>
          </cell>
          <cell r="D1641" t="str">
            <v>לעדכן</v>
          </cell>
        </row>
        <row r="1642">
          <cell r="A1642">
            <v>474734</v>
          </cell>
          <cell r="B1642">
            <v>0</v>
          </cell>
          <cell r="C1642">
            <v>0</v>
          </cell>
          <cell r="D1642" t="str">
            <v>לעדכן</v>
          </cell>
        </row>
        <row r="1643">
          <cell r="A1643">
            <v>474833</v>
          </cell>
          <cell r="B1643">
            <v>0</v>
          </cell>
          <cell r="C1643">
            <v>0</v>
          </cell>
          <cell r="D1643" t="str">
            <v>לעדכן</v>
          </cell>
        </row>
        <row r="1644">
          <cell r="A1644">
            <v>475053</v>
          </cell>
          <cell r="B1644">
            <v>0</v>
          </cell>
          <cell r="C1644">
            <v>0</v>
          </cell>
          <cell r="D1644" t="str">
            <v>לעדכן</v>
          </cell>
        </row>
        <row r="1645">
          <cell r="A1645">
            <v>475061</v>
          </cell>
          <cell r="B1645">
            <v>0</v>
          </cell>
          <cell r="C1645">
            <v>0</v>
          </cell>
          <cell r="D1645" t="str">
            <v>לעדכן</v>
          </cell>
        </row>
        <row r="1646">
          <cell r="A1646">
            <v>475723</v>
          </cell>
          <cell r="B1646">
            <v>0</v>
          </cell>
          <cell r="C1646">
            <v>0</v>
          </cell>
          <cell r="D1646" t="str">
            <v>לעדכן</v>
          </cell>
        </row>
        <row r="1647">
          <cell r="A1647">
            <v>475863</v>
          </cell>
          <cell r="B1647">
            <v>0</v>
          </cell>
          <cell r="C1647">
            <v>0</v>
          </cell>
          <cell r="D1647" t="str">
            <v>לעדכן</v>
          </cell>
        </row>
        <row r="1648">
          <cell r="A1648">
            <v>476267</v>
          </cell>
          <cell r="B1648">
            <v>0</v>
          </cell>
          <cell r="C1648">
            <v>0</v>
          </cell>
          <cell r="D1648" t="str">
            <v>לעדכן</v>
          </cell>
        </row>
        <row r="1649">
          <cell r="A1649">
            <v>476465</v>
          </cell>
          <cell r="B1649">
            <v>0</v>
          </cell>
          <cell r="C1649">
            <v>0</v>
          </cell>
          <cell r="D1649" t="str">
            <v>לעדכן</v>
          </cell>
        </row>
        <row r="1650">
          <cell r="A1650">
            <v>476929</v>
          </cell>
          <cell r="B1650">
            <v>0</v>
          </cell>
          <cell r="C1650">
            <v>0</v>
          </cell>
          <cell r="D1650" t="str">
            <v>לעדכן</v>
          </cell>
        </row>
        <row r="1651">
          <cell r="A1651">
            <v>477257</v>
          </cell>
          <cell r="B1651">
            <v>0</v>
          </cell>
          <cell r="C1651">
            <v>0</v>
          </cell>
          <cell r="D1651" t="str">
            <v>לעדכן</v>
          </cell>
        </row>
        <row r="1652">
          <cell r="A1652">
            <v>477679</v>
          </cell>
          <cell r="B1652">
            <v>0</v>
          </cell>
          <cell r="C1652">
            <v>0</v>
          </cell>
          <cell r="D1652" t="str">
            <v>לעדכן</v>
          </cell>
        </row>
        <row r="1653">
          <cell r="A1653">
            <v>479113</v>
          </cell>
          <cell r="B1653">
            <v>0</v>
          </cell>
          <cell r="C1653">
            <v>0</v>
          </cell>
          <cell r="D1653" t="str">
            <v>לעדכן</v>
          </cell>
        </row>
        <row r="1654">
          <cell r="A1654">
            <v>480053</v>
          </cell>
          <cell r="B1654">
            <v>0</v>
          </cell>
          <cell r="C1654">
            <v>0</v>
          </cell>
          <cell r="D1654" t="str">
            <v>לעדכן</v>
          </cell>
        </row>
        <row r="1655">
          <cell r="A1655">
            <v>480111</v>
          </cell>
          <cell r="B1655">
            <v>0</v>
          </cell>
          <cell r="C1655">
            <v>0</v>
          </cell>
          <cell r="D1655" t="str">
            <v>לעדכן</v>
          </cell>
        </row>
        <row r="1656">
          <cell r="A1656">
            <v>480137</v>
          </cell>
          <cell r="B1656">
            <v>0</v>
          </cell>
          <cell r="C1656">
            <v>0</v>
          </cell>
          <cell r="D1656" t="str">
            <v>לעדכן</v>
          </cell>
        </row>
        <row r="1657">
          <cell r="A1657">
            <v>480152</v>
          </cell>
          <cell r="B1657">
            <v>0</v>
          </cell>
          <cell r="C1657">
            <v>0</v>
          </cell>
          <cell r="D1657" t="str">
            <v>לעדכן</v>
          </cell>
        </row>
        <row r="1658">
          <cell r="A1658">
            <v>480160</v>
          </cell>
          <cell r="B1658">
            <v>0</v>
          </cell>
          <cell r="C1658">
            <v>0</v>
          </cell>
          <cell r="D1658" t="str">
            <v>לעדכן</v>
          </cell>
        </row>
        <row r="1659">
          <cell r="A1659">
            <v>480202</v>
          </cell>
          <cell r="B1659">
            <v>0</v>
          </cell>
          <cell r="C1659">
            <v>0</v>
          </cell>
          <cell r="D1659" t="str">
            <v>לעדכן</v>
          </cell>
        </row>
        <row r="1660">
          <cell r="A1660">
            <v>480210</v>
          </cell>
          <cell r="B1660">
            <v>0</v>
          </cell>
          <cell r="C1660">
            <v>0</v>
          </cell>
          <cell r="D1660" t="str">
            <v>לעדכן</v>
          </cell>
        </row>
        <row r="1661">
          <cell r="A1661">
            <v>480228</v>
          </cell>
          <cell r="B1661">
            <v>0</v>
          </cell>
          <cell r="C1661">
            <v>0</v>
          </cell>
          <cell r="D1661" t="str">
            <v>לעדכן</v>
          </cell>
        </row>
        <row r="1662">
          <cell r="A1662">
            <v>480236</v>
          </cell>
          <cell r="B1662">
            <v>0</v>
          </cell>
          <cell r="C1662">
            <v>0</v>
          </cell>
          <cell r="D1662" t="str">
            <v>לעדכן</v>
          </cell>
        </row>
        <row r="1663">
          <cell r="A1663">
            <v>480244</v>
          </cell>
          <cell r="B1663">
            <v>0</v>
          </cell>
          <cell r="C1663">
            <v>0</v>
          </cell>
          <cell r="D1663" t="str">
            <v>לעדכן</v>
          </cell>
        </row>
        <row r="1664">
          <cell r="A1664">
            <v>481945</v>
          </cell>
          <cell r="B1664">
            <v>0</v>
          </cell>
          <cell r="C1664">
            <v>0</v>
          </cell>
          <cell r="D1664" t="str">
            <v>לעדכן</v>
          </cell>
        </row>
        <row r="1665">
          <cell r="A1665">
            <v>481952</v>
          </cell>
          <cell r="B1665">
            <v>0</v>
          </cell>
          <cell r="C1665">
            <v>0</v>
          </cell>
          <cell r="D1665" t="str">
            <v>לעדכן</v>
          </cell>
        </row>
        <row r="1666">
          <cell r="A1666">
            <v>481978</v>
          </cell>
          <cell r="B1666">
            <v>0</v>
          </cell>
          <cell r="C1666">
            <v>0</v>
          </cell>
          <cell r="D1666" t="str">
            <v>לעדכן</v>
          </cell>
        </row>
        <row r="1667">
          <cell r="A1667">
            <v>482000</v>
          </cell>
          <cell r="B1667">
            <v>0</v>
          </cell>
          <cell r="C1667">
            <v>0</v>
          </cell>
          <cell r="D1667" t="str">
            <v>לעדכן</v>
          </cell>
        </row>
        <row r="1668">
          <cell r="A1668">
            <v>482018</v>
          </cell>
          <cell r="B1668">
            <v>0</v>
          </cell>
          <cell r="C1668">
            <v>0</v>
          </cell>
          <cell r="D1668" t="str">
            <v>לעדכן</v>
          </cell>
        </row>
        <row r="1669">
          <cell r="A1669">
            <v>482067</v>
          </cell>
          <cell r="B1669">
            <v>0</v>
          </cell>
          <cell r="C1669">
            <v>0</v>
          </cell>
          <cell r="D1669" t="str">
            <v>לעדכן</v>
          </cell>
        </row>
        <row r="1670">
          <cell r="A1670">
            <v>482075</v>
          </cell>
          <cell r="B1670">
            <v>0</v>
          </cell>
          <cell r="C1670">
            <v>0</v>
          </cell>
          <cell r="D1670" t="str">
            <v>לעדכן</v>
          </cell>
        </row>
        <row r="1671">
          <cell r="A1671">
            <v>482083</v>
          </cell>
          <cell r="B1671">
            <v>0</v>
          </cell>
          <cell r="C1671">
            <v>0</v>
          </cell>
          <cell r="D1671" t="str">
            <v>לעדכן</v>
          </cell>
        </row>
        <row r="1672">
          <cell r="A1672">
            <v>482091</v>
          </cell>
          <cell r="B1672">
            <v>0</v>
          </cell>
          <cell r="C1672">
            <v>0</v>
          </cell>
          <cell r="D1672" t="str">
            <v>לעדכן</v>
          </cell>
        </row>
        <row r="1673">
          <cell r="A1673">
            <v>482109</v>
          </cell>
          <cell r="B1673">
            <v>0</v>
          </cell>
          <cell r="C1673">
            <v>0</v>
          </cell>
          <cell r="D1673" t="str">
            <v>לעדכן</v>
          </cell>
        </row>
        <row r="1674">
          <cell r="A1674">
            <v>482117</v>
          </cell>
          <cell r="B1674">
            <v>0</v>
          </cell>
          <cell r="C1674">
            <v>0</v>
          </cell>
          <cell r="D1674" t="str">
            <v>לעדכן</v>
          </cell>
        </row>
        <row r="1675">
          <cell r="A1675">
            <v>482133</v>
          </cell>
          <cell r="B1675">
            <v>0</v>
          </cell>
          <cell r="C1675">
            <v>0</v>
          </cell>
          <cell r="D1675" t="str">
            <v>לעדכן</v>
          </cell>
        </row>
        <row r="1676">
          <cell r="A1676">
            <v>482158</v>
          </cell>
          <cell r="B1676">
            <v>0</v>
          </cell>
          <cell r="C1676">
            <v>0</v>
          </cell>
          <cell r="D1676" t="str">
            <v>לעדכן</v>
          </cell>
        </row>
        <row r="1677">
          <cell r="A1677">
            <v>482174</v>
          </cell>
          <cell r="B1677">
            <v>0</v>
          </cell>
          <cell r="C1677">
            <v>0</v>
          </cell>
          <cell r="D1677" t="str">
            <v>לעדכן</v>
          </cell>
        </row>
        <row r="1678">
          <cell r="A1678">
            <v>482182</v>
          </cell>
          <cell r="B1678">
            <v>0</v>
          </cell>
          <cell r="C1678">
            <v>0</v>
          </cell>
          <cell r="D1678" t="str">
            <v>לעדכן</v>
          </cell>
        </row>
        <row r="1679">
          <cell r="A1679">
            <v>482190</v>
          </cell>
          <cell r="B1679">
            <v>0</v>
          </cell>
          <cell r="C1679">
            <v>0</v>
          </cell>
          <cell r="D1679" t="str">
            <v>לעדכן</v>
          </cell>
        </row>
        <row r="1680">
          <cell r="A1680">
            <v>482216</v>
          </cell>
          <cell r="B1680">
            <v>0</v>
          </cell>
          <cell r="C1680">
            <v>0</v>
          </cell>
          <cell r="D1680" t="str">
            <v>לעדכן</v>
          </cell>
        </row>
        <row r="1681">
          <cell r="A1681">
            <v>482224</v>
          </cell>
          <cell r="B1681">
            <v>0</v>
          </cell>
          <cell r="C1681">
            <v>0</v>
          </cell>
          <cell r="D1681" t="str">
            <v>לעדכן</v>
          </cell>
        </row>
        <row r="1682">
          <cell r="A1682">
            <v>482232</v>
          </cell>
          <cell r="B1682">
            <v>0</v>
          </cell>
          <cell r="C1682">
            <v>0</v>
          </cell>
          <cell r="D1682" t="str">
            <v>לעדכן</v>
          </cell>
        </row>
        <row r="1683">
          <cell r="A1683">
            <v>482240</v>
          </cell>
          <cell r="B1683">
            <v>0</v>
          </cell>
          <cell r="C1683">
            <v>0</v>
          </cell>
          <cell r="D1683" t="str">
            <v>לעדכן</v>
          </cell>
        </row>
        <row r="1684">
          <cell r="A1684">
            <v>482273</v>
          </cell>
          <cell r="B1684">
            <v>0</v>
          </cell>
          <cell r="C1684">
            <v>0</v>
          </cell>
          <cell r="D1684" t="str">
            <v>לעדכן</v>
          </cell>
        </row>
        <row r="1685">
          <cell r="A1685">
            <v>482281</v>
          </cell>
          <cell r="B1685">
            <v>0</v>
          </cell>
          <cell r="C1685">
            <v>0</v>
          </cell>
          <cell r="D1685" t="str">
            <v>לעדכן</v>
          </cell>
        </row>
        <row r="1686">
          <cell r="A1686">
            <v>482299</v>
          </cell>
          <cell r="B1686">
            <v>0</v>
          </cell>
          <cell r="C1686">
            <v>0</v>
          </cell>
          <cell r="D1686" t="str">
            <v>לעדכן</v>
          </cell>
        </row>
        <row r="1687">
          <cell r="A1687">
            <v>482315</v>
          </cell>
          <cell r="B1687">
            <v>0</v>
          </cell>
          <cell r="C1687">
            <v>0</v>
          </cell>
          <cell r="D1687" t="str">
            <v>לעדכן</v>
          </cell>
        </row>
        <row r="1688">
          <cell r="A1688">
            <v>482323</v>
          </cell>
          <cell r="B1688">
            <v>0</v>
          </cell>
          <cell r="C1688">
            <v>0</v>
          </cell>
          <cell r="D1688" t="str">
            <v>לעדכן</v>
          </cell>
        </row>
        <row r="1689">
          <cell r="A1689">
            <v>482331</v>
          </cell>
          <cell r="B1689">
            <v>0</v>
          </cell>
          <cell r="C1689">
            <v>0</v>
          </cell>
          <cell r="D1689" t="str">
            <v>לעדכן</v>
          </cell>
        </row>
        <row r="1690">
          <cell r="A1690">
            <v>482349</v>
          </cell>
          <cell r="B1690">
            <v>0</v>
          </cell>
          <cell r="C1690">
            <v>0</v>
          </cell>
          <cell r="D1690" t="str">
            <v>לעדכן</v>
          </cell>
        </row>
        <row r="1691">
          <cell r="A1691">
            <v>482372</v>
          </cell>
          <cell r="B1691">
            <v>0</v>
          </cell>
          <cell r="C1691">
            <v>0</v>
          </cell>
          <cell r="D1691" t="str">
            <v>לעדכן</v>
          </cell>
        </row>
        <row r="1692">
          <cell r="A1692">
            <v>482380</v>
          </cell>
          <cell r="B1692">
            <v>0</v>
          </cell>
          <cell r="C1692">
            <v>0</v>
          </cell>
          <cell r="D1692" t="str">
            <v>לעדכן</v>
          </cell>
        </row>
        <row r="1693">
          <cell r="A1693">
            <v>482422</v>
          </cell>
          <cell r="B1693">
            <v>0</v>
          </cell>
          <cell r="C1693">
            <v>0</v>
          </cell>
          <cell r="D1693" t="str">
            <v>לעדכן</v>
          </cell>
        </row>
        <row r="1694">
          <cell r="A1694">
            <v>482455</v>
          </cell>
          <cell r="B1694">
            <v>0</v>
          </cell>
          <cell r="C1694">
            <v>0</v>
          </cell>
          <cell r="D1694" t="str">
            <v>לעדכן</v>
          </cell>
        </row>
        <row r="1695">
          <cell r="A1695">
            <v>482521</v>
          </cell>
          <cell r="B1695">
            <v>0</v>
          </cell>
          <cell r="C1695">
            <v>0</v>
          </cell>
          <cell r="D1695" t="str">
            <v>לעדכן</v>
          </cell>
        </row>
        <row r="1696">
          <cell r="A1696">
            <v>482539</v>
          </cell>
          <cell r="B1696">
            <v>0</v>
          </cell>
          <cell r="C1696">
            <v>0</v>
          </cell>
          <cell r="D1696" t="str">
            <v>לעדכן</v>
          </cell>
        </row>
        <row r="1697">
          <cell r="A1697">
            <v>482547</v>
          </cell>
          <cell r="B1697">
            <v>0</v>
          </cell>
          <cell r="C1697">
            <v>0</v>
          </cell>
          <cell r="D1697" t="str">
            <v>לעדכן</v>
          </cell>
        </row>
        <row r="1698">
          <cell r="A1698">
            <v>482554</v>
          </cell>
          <cell r="B1698">
            <v>0</v>
          </cell>
          <cell r="C1698">
            <v>0</v>
          </cell>
          <cell r="D1698" t="str">
            <v>לעדכן</v>
          </cell>
        </row>
        <row r="1699">
          <cell r="A1699">
            <v>482562</v>
          </cell>
          <cell r="B1699">
            <v>0</v>
          </cell>
          <cell r="C1699">
            <v>0</v>
          </cell>
          <cell r="D1699" t="str">
            <v>לעדכן</v>
          </cell>
        </row>
        <row r="1700">
          <cell r="A1700">
            <v>482588</v>
          </cell>
          <cell r="B1700">
            <v>0</v>
          </cell>
          <cell r="C1700">
            <v>0</v>
          </cell>
          <cell r="D1700" t="str">
            <v>לעדכן</v>
          </cell>
        </row>
        <row r="1701">
          <cell r="A1701">
            <v>482596</v>
          </cell>
          <cell r="B1701">
            <v>0</v>
          </cell>
          <cell r="C1701">
            <v>0</v>
          </cell>
          <cell r="D1701" t="str">
            <v>לעדכן</v>
          </cell>
        </row>
        <row r="1702">
          <cell r="A1702">
            <v>482604</v>
          </cell>
          <cell r="B1702">
            <v>0</v>
          </cell>
          <cell r="C1702">
            <v>0</v>
          </cell>
          <cell r="D1702" t="str">
            <v>לעדכן</v>
          </cell>
        </row>
        <row r="1703">
          <cell r="A1703">
            <v>482612</v>
          </cell>
          <cell r="B1703">
            <v>0</v>
          </cell>
          <cell r="C1703">
            <v>0</v>
          </cell>
          <cell r="D1703" t="str">
            <v>לעדכן</v>
          </cell>
        </row>
        <row r="1704">
          <cell r="A1704">
            <v>482646</v>
          </cell>
          <cell r="B1704">
            <v>0</v>
          </cell>
          <cell r="C1704">
            <v>0</v>
          </cell>
          <cell r="D1704" t="str">
            <v>לעדכן</v>
          </cell>
        </row>
        <row r="1705">
          <cell r="A1705">
            <v>482661</v>
          </cell>
          <cell r="B1705">
            <v>0</v>
          </cell>
          <cell r="C1705">
            <v>0</v>
          </cell>
          <cell r="D1705" t="str">
            <v>לעדכן</v>
          </cell>
        </row>
        <row r="1706">
          <cell r="A1706">
            <v>482679</v>
          </cell>
          <cell r="B1706">
            <v>0</v>
          </cell>
          <cell r="C1706">
            <v>0</v>
          </cell>
          <cell r="D1706" t="str">
            <v>לעדכן</v>
          </cell>
        </row>
        <row r="1707">
          <cell r="A1707">
            <v>482695</v>
          </cell>
          <cell r="B1707">
            <v>0</v>
          </cell>
          <cell r="C1707">
            <v>0</v>
          </cell>
          <cell r="D1707" t="str">
            <v>לעדכן</v>
          </cell>
        </row>
        <row r="1708">
          <cell r="A1708">
            <v>482711</v>
          </cell>
          <cell r="B1708">
            <v>0</v>
          </cell>
          <cell r="C1708">
            <v>0</v>
          </cell>
          <cell r="D1708" t="str">
            <v>לעדכן</v>
          </cell>
        </row>
        <row r="1709">
          <cell r="A1709">
            <v>482737</v>
          </cell>
          <cell r="B1709">
            <v>0</v>
          </cell>
          <cell r="C1709">
            <v>0</v>
          </cell>
          <cell r="D1709" t="str">
            <v>לעדכן</v>
          </cell>
        </row>
        <row r="1710">
          <cell r="A1710">
            <v>482745</v>
          </cell>
          <cell r="B1710">
            <v>0</v>
          </cell>
          <cell r="C1710">
            <v>0</v>
          </cell>
          <cell r="D1710" t="str">
            <v>לעדכן</v>
          </cell>
        </row>
        <row r="1711">
          <cell r="A1711">
            <v>482752</v>
          </cell>
          <cell r="B1711">
            <v>0</v>
          </cell>
          <cell r="C1711">
            <v>0</v>
          </cell>
          <cell r="D1711" t="str">
            <v>לעדכן</v>
          </cell>
        </row>
        <row r="1712">
          <cell r="A1712">
            <v>482760</v>
          </cell>
          <cell r="B1712">
            <v>0</v>
          </cell>
          <cell r="C1712">
            <v>0</v>
          </cell>
          <cell r="D1712" t="str">
            <v>לעדכן</v>
          </cell>
        </row>
        <row r="1713">
          <cell r="A1713">
            <v>482794</v>
          </cell>
          <cell r="B1713">
            <v>0</v>
          </cell>
          <cell r="C1713">
            <v>0</v>
          </cell>
          <cell r="D1713" t="str">
            <v>לעדכן</v>
          </cell>
        </row>
        <row r="1714">
          <cell r="A1714">
            <v>482802</v>
          </cell>
          <cell r="B1714">
            <v>0</v>
          </cell>
          <cell r="C1714">
            <v>0</v>
          </cell>
          <cell r="D1714" t="str">
            <v>לעדכן</v>
          </cell>
        </row>
        <row r="1715">
          <cell r="A1715">
            <v>482828</v>
          </cell>
          <cell r="B1715">
            <v>0</v>
          </cell>
          <cell r="C1715">
            <v>0</v>
          </cell>
          <cell r="D1715" t="str">
            <v>לעדכן</v>
          </cell>
        </row>
        <row r="1716">
          <cell r="A1716">
            <v>482851</v>
          </cell>
          <cell r="B1716">
            <v>0</v>
          </cell>
          <cell r="C1716">
            <v>0</v>
          </cell>
          <cell r="D1716" t="str">
            <v>לעדכן</v>
          </cell>
        </row>
        <row r="1717">
          <cell r="A1717">
            <v>482877</v>
          </cell>
          <cell r="B1717">
            <v>0</v>
          </cell>
          <cell r="C1717">
            <v>0</v>
          </cell>
          <cell r="D1717" t="str">
            <v>לעדכן</v>
          </cell>
        </row>
        <row r="1718">
          <cell r="A1718">
            <v>482885</v>
          </cell>
          <cell r="B1718">
            <v>0</v>
          </cell>
          <cell r="C1718">
            <v>0</v>
          </cell>
          <cell r="D1718" t="str">
            <v>לעדכן</v>
          </cell>
        </row>
        <row r="1719">
          <cell r="A1719">
            <v>482893</v>
          </cell>
          <cell r="B1719">
            <v>0</v>
          </cell>
          <cell r="C1719">
            <v>0</v>
          </cell>
          <cell r="D1719" t="str">
            <v>לעדכן</v>
          </cell>
        </row>
        <row r="1720">
          <cell r="A1720">
            <v>482901</v>
          </cell>
          <cell r="B1720">
            <v>0</v>
          </cell>
          <cell r="C1720">
            <v>0</v>
          </cell>
          <cell r="D1720" t="str">
            <v>לעדכן</v>
          </cell>
        </row>
        <row r="1721">
          <cell r="A1721">
            <v>482919</v>
          </cell>
          <cell r="B1721">
            <v>0</v>
          </cell>
          <cell r="C1721">
            <v>0</v>
          </cell>
          <cell r="D1721" t="str">
            <v>לעדכן</v>
          </cell>
        </row>
        <row r="1722">
          <cell r="A1722">
            <v>482927</v>
          </cell>
          <cell r="B1722">
            <v>0</v>
          </cell>
          <cell r="C1722">
            <v>0</v>
          </cell>
          <cell r="D1722" t="str">
            <v>לעדכן</v>
          </cell>
        </row>
        <row r="1723">
          <cell r="A1723">
            <v>482935</v>
          </cell>
          <cell r="B1723">
            <v>0</v>
          </cell>
          <cell r="C1723">
            <v>0</v>
          </cell>
          <cell r="D1723" t="str">
            <v>לעדכן</v>
          </cell>
        </row>
        <row r="1724">
          <cell r="A1724">
            <v>482943</v>
          </cell>
          <cell r="B1724">
            <v>0</v>
          </cell>
          <cell r="C1724">
            <v>0</v>
          </cell>
          <cell r="D1724" t="str">
            <v>לעדכן</v>
          </cell>
        </row>
        <row r="1725">
          <cell r="A1725">
            <v>484014</v>
          </cell>
          <cell r="B1725">
            <v>0</v>
          </cell>
          <cell r="C1725">
            <v>0</v>
          </cell>
          <cell r="D1725" t="str">
            <v>לעדכן</v>
          </cell>
        </row>
        <row r="1726">
          <cell r="A1726">
            <v>484022</v>
          </cell>
          <cell r="B1726">
            <v>0</v>
          </cell>
          <cell r="C1726">
            <v>0</v>
          </cell>
          <cell r="D1726" t="str">
            <v>לעדכן</v>
          </cell>
        </row>
        <row r="1727">
          <cell r="A1727">
            <v>484048</v>
          </cell>
          <cell r="B1727">
            <v>0</v>
          </cell>
          <cell r="C1727">
            <v>0</v>
          </cell>
          <cell r="D1727" t="str">
            <v>לעדכן</v>
          </cell>
        </row>
        <row r="1728">
          <cell r="A1728">
            <v>484055</v>
          </cell>
          <cell r="B1728">
            <v>0</v>
          </cell>
          <cell r="C1728">
            <v>0</v>
          </cell>
          <cell r="D1728" t="str">
            <v>לעדכן</v>
          </cell>
        </row>
        <row r="1729">
          <cell r="A1729">
            <v>484071</v>
          </cell>
          <cell r="B1729">
            <v>0</v>
          </cell>
          <cell r="C1729">
            <v>0</v>
          </cell>
          <cell r="D1729" t="str">
            <v>לעדכן</v>
          </cell>
        </row>
        <row r="1730">
          <cell r="A1730">
            <v>484105</v>
          </cell>
          <cell r="B1730">
            <v>0</v>
          </cell>
          <cell r="C1730">
            <v>0</v>
          </cell>
          <cell r="D1730" t="str">
            <v>לעדכן</v>
          </cell>
        </row>
        <row r="1731">
          <cell r="A1731">
            <v>484139</v>
          </cell>
          <cell r="B1731">
            <v>0</v>
          </cell>
          <cell r="C1731">
            <v>0</v>
          </cell>
          <cell r="D1731" t="str">
            <v>לעדכן</v>
          </cell>
        </row>
        <row r="1732">
          <cell r="A1732">
            <v>484162</v>
          </cell>
          <cell r="B1732">
            <v>0</v>
          </cell>
          <cell r="C1732">
            <v>0</v>
          </cell>
          <cell r="D1732" t="str">
            <v>לעדכן</v>
          </cell>
        </row>
        <row r="1733">
          <cell r="A1733">
            <v>484170</v>
          </cell>
          <cell r="B1733">
            <v>0</v>
          </cell>
          <cell r="C1733">
            <v>0</v>
          </cell>
          <cell r="D1733" t="str">
            <v>לעדכן</v>
          </cell>
        </row>
        <row r="1734">
          <cell r="A1734">
            <v>484196</v>
          </cell>
          <cell r="B1734">
            <v>0</v>
          </cell>
          <cell r="C1734">
            <v>0</v>
          </cell>
          <cell r="D1734" t="str">
            <v>לעדכן</v>
          </cell>
        </row>
        <row r="1735">
          <cell r="A1735">
            <v>484295</v>
          </cell>
          <cell r="B1735">
            <v>0</v>
          </cell>
          <cell r="C1735">
            <v>0</v>
          </cell>
          <cell r="D1735" t="str">
            <v>לעדכן</v>
          </cell>
        </row>
        <row r="1736">
          <cell r="A1736">
            <v>484303</v>
          </cell>
          <cell r="B1736">
            <v>0</v>
          </cell>
          <cell r="C1736">
            <v>0</v>
          </cell>
          <cell r="D1736" t="str">
            <v>לעדכן</v>
          </cell>
        </row>
        <row r="1737">
          <cell r="A1737">
            <v>484329</v>
          </cell>
          <cell r="B1737">
            <v>0</v>
          </cell>
          <cell r="C1737">
            <v>0</v>
          </cell>
          <cell r="D1737" t="str">
            <v>לעדכן</v>
          </cell>
        </row>
        <row r="1738">
          <cell r="A1738">
            <v>484345</v>
          </cell>
          <cell r="B1738">
            <v>0</v>
          </cell>
          <cell r="C1738">
            <v>0</v>
          </cell>
          <cell r="D1738" t="str">
            <v>לעדכן</v>
          </cell>
        </row>
        <row r="1739">
          <cell r="A1739">
            <v>484360</v>
          </cell>
          <cell r="B1739">
            <v>0</v>
          </cell>
          <cell r="C1739">
            <v>0</v>
          </cell>
          <cell r="D1739" t="str">
            <v>לעדכן</v>
          </cell>
        </row>
        <row r="1740">
          <cell r="A1740">
            <v>484402</v>
          </cell>
          <cell r="B1740">
            <v>0</v>
          </cell>
          <cell r="C1740">
            <v>0</v>
          </cell>
          <cell r="D1740" t="str">
            <v>לעדכן</v>
          </cell>
        </row>
        <row r="1741">
          <cell r="A1741">
            <v>484477</v>
          </cell>
          <cell r="B1741">
            <v>0</v>
          </cell>
          <cell r="C1741">
            <v>0</v>
          </cell>
          <cell r="D1741" t="str">
            <v>לעדכן</v>
          </cell>
        </row>
        <row r="1742">
          <cell r="A1742">
            <v>484485</v>
          </cell>
          <cell r="B1742">
            <v>0</v>
          </cell>
          <cell r="C1742">
            <v>0</v>
          </cell>
          <cell r="D1742" t="str">
            <v>לעדכן</v>
          </cell>
        </row>
        <row r="1743">
          <cell r="A1743">
            <v>499673</v>
          </cell>
          <cell r="B1743">
            <v>0</v>
          </cell>
          <cell r="C1743">
            <v>0</v>
          </cell>
          <cell r="D1743" t="str">
            <v>לעדכן</v>
          </cell>
        </row>
        <row r="1744">
          <cell r="A1744">
            <v>499707</v>
          </cell>
          <cell r="B1744">
            <v>0</v>
          </cell>
          <cell r="C1744">
            <v>0</v>
          </cell>
          <cell r="D1744" t="str">
            <v>לעדכן</v>
          </cell>
        </row>
        <row r="1745">
          <cell r="A1745">
            <v>499731</v>
          </cell>
          <cell r="B1745">
            <v>0</v>
          </cell>
          <cell r="C1745">
            <v>0</v>
          </cell>
          <cell r="D1745" t="str">
            <v>לעדכן</v>
          </cell>
        </row>
        <row r="1746">
          <cell r="A1746">
            <v>499889</v>
          </cell>
          <cell r="B1746">
            <v>0</v>
          </cell>
          <cell r="C1746">
            <v>0</v>
          </cell>
          <cell r="D1746" t="str">
            <v>לעדכן</v>
          </cell>
        </row>
        <row r="1747">
          <cell r="A1747">
            <v>499897</v>
          </cell>
          <cell r="B1747">
            <v>0</v>
          </cell>
          <cell r="C1747">
            <v>0</v>
          </cell>
          <cell r="D1747" t="str">
            <v>לעדכן</v>
          </cell>
        </row>
        <row r="1748">
          <cell r="A1748">
            <v>499921</v>
          </cell>
          <cell r="B1748">
            <v>0</v>
          </cell>
          <cell r="C1748">
            <v>0</v>
          </cell>
          <cell r="D1748" t="str">
            <v>לעדכן</v>
          </cell>
        </row>
        <row r="1749">
          <cell r="A1749">
            <v>510024</v>
          </cell>
          <cell r="B1749">
            <v>0</v>
          </cell>
          <cell r="C1749">
            <v>0</v>
          </cell>
          <cell r="D1749" t="str">
            <v>לעדכן</v>
          </cell>
        </row>
        <row r="1750">
          <cell r="A1750">
            <v>510057</v>
          </cell>
          <cell r="B1750">
            <v>0</v>
          </cell>
          <cell r="C1750">
            <v>0</v>
          </cell>
          <cell r="D1750" t="str">
            <v>לעדכן</v>
          </cell>
        </row>
        <row r="1751">
          <cell r="A1751">
            <v>510065</v>
          </cell>
          <cell r="B1751">
            <v>0</v>
          </cell>
          <cell r="C1751">
            <v>0</v>
          </cell>
          <cell r="D1751" t="str">
            <v>לעדכן</v>
          </cell>
        </row>
        <row r="1752">
          <cell r="A1752">
            <v>510073</v>
          </cell>
          <cell r="B1752">
            <v>0</v>
          </cell>
          <cell r="C1752">
            <v>0</v>
          </cell>
          <cell r="D1752" t="str">
            <v>לעדכן</v>
          </cell>
        </row>
        <row r="1753">
          <cell r="A1753">
            <v>510081</v>
          </cell>
          <cell r="B1753">
            <v>0</v>
          </cell>
          <cell r="C1753">
            <v>0</v>
          </cell>
          <cell r="D1753" t="str">
            <v>לעדכן</v>
          </cell>
        </row>
        <row r="1754">
          <cell r="A1754">
            <v>510115</v>
          </cell>
          <cell r="B1754">
            <v>0</v>
          </cell>
          <cell r="C1754">
            <v>0</v>
          </cell>
          <cell r="D1754" t="str">
            <v>לעדכן</v>
          </cell>
        </row>
        <row r="1755">
          <cell r="A1755">
            <v>510156</v>
          </cell>
          <cell r="B1755">
            <v>0</v>
          </cell>
          <cell r="C1755">
            <v>0</v>
          </cell>
          <cell r="D1755" t="str">
            <v>לעדכן</v>
          </cell>
        </row>
        <row r="1756">
          <cell r="A1756">
            <v>510172</v>
          </cell>
          <cell r="B1756">
            <v>0</v>
          </cell>
          <cell r="C1756">
            <v>0</v>
          </cell>
          <cell r="D1756" t="str">
            <v>לעדכן</v>
          </cell>
        </row>
        <row r="1757">
          <cell r="A1757">
            <v>510198</v>
          </cell>
          <cell r="B1757">
            <v>0</v>
          </cell>
          <cell r="C1757">
            <v>0</v>
          </cell>
          <cell r="D1757" t="str">
            <v>לעדכן</v>
          </cell>
        </row>
        <row r="1758">
          <cell r="A1758">
            <v>510214</v>
          </cell>
          <cell r="B1758">
            <v>0</v>
          </cell>
          <cell r="C1758">
            <v>0</v>
          </cell>
          <cell r="D1758" t="str">
            <v>לעדכן</v>
          </cell>
        </row>
        <row r="1759">
          <cell r="A1759">
            <v>510230</v>
          </cell>
          <cell r="B1759">
            <v>0</v>
          </cell>
          <cell r="C1759">
            <v>0</v>
          </cell>
          <cell r="D1759" t="str">
            <v>לעדכן</v>
          </cell>
        </row>
        <row r="1760">
          <cell r="A1760">
            <v>510255</v>
          </cell>
          <cell r="B1760">
            <v>0</v>
          </cell>
          <cell r="C1760">
            <v>0</v>
          </cell>
          <cell r="D1760" t="str">
            <v>לעדכן</v>
          </cell>
        </row>
        <row r="1761">
          <cell r="A1761">
            <v>510271</v>
          </cell>
          <cell r="B1761">
            <v>0</v>
          </cell>
          <cell r="C1761">
            <v>0</v>
          </cell>
          <cell r="D1761" t="str">
            <v>לעדכן</v>
          </cell>
        </row>
        <row r="1762">
          <cell r="A1762">
            <v>510289</v>
          </cell>
          <cell r="B1762">
            <v>0</v>
          </cell>
          <cell r="C1762">
            <v>0</v>
          </cell>
          <cell r="D1762" t="str">
            <v>לעדכן</v>
          </cell>
        </row>
        <row r="1763">
          <cell r="A1763">
            <v>510313</v>
          </cell>
          <cell r="B1763">
            <v>0</v>
          </cell>
          <cell r="C1763">
            <v>0</v>
          </cell>
          <cell r="D1763" t="str">
            <v>לעדכן</v>
          </cell>
        </row>
        <row r="1764">
          <cell r="A1764">
            <v>510321</v>
          </cell>
          <cell r="B1764">
            <v>0</v>
          </cell>
          <cell r="C1764">
            <v>0</v>
          </cell>
          <cell r="D1764" t="str">
            <v>לעדכן</v>
          </cell>
        </row>
        <row r="1765">
          <cell r="A1765">
            <v>510339</v>
          </cell>
          <cell r="B1765">
            <v>0</v>
          </cell>
          <cell r="C1765">
            <v>0</v>
          </cell>
          <cell r="D1765" t="str">
            <v>לעדכן</v>
          </cell>
        </row>
        <row r="1766">
          <cell r="A1766">
            <v>510347</v>
          </cell>
          <cell r="B1766">
            <v>0</v>
          </cell>
          <cell r="C1766">
            <v>0</v>
          </cell>
          <cell r="D1766" t="str">
            <v>לעדכן</v>
          </cell>
        </row>
        <row r="1767">
          <cell r="A1767">
            <v>510354</v>
          </cell>
          <cell r="B1767">
            <v>0</v>
          </cell>
          <cell r="C1767">
            <v>0</v>
          </cell>
          <cell r="D1767" t="str">
            <v>לעדכן</v>
          </cell>
        </row>
        <row r="1768">
          <cell r="A1768">
            <v>510362</v>
          </cell>
          <cell r="B1768">
            <v>0</v>
          </cell>
          <cell r="C1768">
            <v>0</v>
          </cell>
          <cell r="D1768" t="str">
            <v>לעדכן</v>
          </cell>
        </row>
        <row r="1769">
          <cell r="A1769">
            <v>510388</v>
          </cell>
          <cell r="B1769">
            <v>0</v>
          </cell>
          <cell r="C1769">
            <v>0</v>
          </cell>
          <cell r="D1769" t="str">
            <v>לעדכן</v>
          </cell>
        </row>
        <row r="1770">
          <cell r="A1770">
            <v>510396</v>
          </cell>
          <cell r="B1770">
            <v>0</v>
          </cell>
          <cell r="C1770">
            <v>0</v>
          </cell>
          <cell r="D1770" t="str">
            <v>לעדכן</v>
          </cell>
        </row>
        <row r="1771">
          <cell r="A1771">
            <v>510404</v>
          </cell>
          <cell r="B1771">
            <v>0</v>
          </cell>
          <cell r="C1771">
            <v>0</v>
          </cell>
          <cell r="D1771" t="str">
            <v>לעדכן</v>
          </cell>
        </row>
        <row r="1772">
          <cell r="A1772">
            <v>510412</v>
          </cell>
          <cell r="B1772">
            <v>0</v>
          </cell>
          <cell r="C1772">
            <v>0</v>
          </cell>
          <cell r="D1772" t="str">
            <v>לעדכן</v>
          </cell>
        </row>
        <row r="1773">
          <cell r="A1773">
            <v>510420</v>
          </cell>
          <cell r="B1773">
            <v>0</v>
          </cell>
          <cell r="C1773">
            <v>0</v>
          </cell>
          <cell r="D1773" t="str">
            <v>לעדכן</v>
          </cell>
        </row>
        <row r="1774">
          <cell r="A1774">
            <v>510438</v>
          </cell>
          <cell r="B1774">
            <v>0</v>
          </cell>
          <cell r="C1774">
            <v>0</v>
          </cell>
          <cell r="D1774" t="str">
            <v>לעדכן</v>
          </cell>
        </row>
        <row r="1775">
          <cell r="A1775">
            <v>510453</v>
          </cell>
          <cell r="B1775">
            <v>0</v>
          </cell>
          <cell r="C1775">
            <v>0</v>
          </cell>
          <cell r="D1775" t="str">
            <v>לעדכן</v>
          </cell>
        </row>
        <row r="1776">
          <cell r="A1776">
            <v>510461</v>
          </cell>
          <cell r="B1776">
            <v>0</v>
          </cell>
          <cell r="C1776">
            <v>0</v>
          </cell>
          <cell r="D1776" t="str">
            <v>לעדכן</v>
          </cell>
        </row>
        <row r="1777">
          <cell r="A1777">
            <v>510479</v>
          </cell>
          <cell r="B1777">
            <v>0</v>
          </cell>
          <cell r="C1777">
            <v>0</v>
          </cell>
          <cell r="D1777" t="str">
            <v>לעדכן</v>
          </cell>
        </row>
        <row r="1778">
          <cell r="A1778">
            <v>510487</v>
          </cell>
          <cell r="B1778">
            <v>0</v>
          </cell>
          <cell r="C1778">
            <v>0</v>
          </cell>
          <cell r="D1778" t="str">
            <v>לעדכן</v>
          </cell>
        </row>
        <row r="1779">
          <cell r="A1779">
            <v>510503</v>
          </cell>
          <cell r="B1779">
            <v>0</v>
          </cell>
          <cell r="C1779">
            <v>0</v>
          </cell>
          <cell r="D1779" t="str">
            <v>לעדכן</v>
          </cell>
        </row>
        <row r="1780">
          <cell r="A1780">
            <v>510511</v>
          </cell>
          <cell r="B1780">
            <v>0</v>
          </cell>
          <cell r="C1780">
            <v>0</v>
          </cell>
          <cell r="D1780" t="str">
            <v>לעדכן</v>
          </cell>
        </row>
        <row r="1781">
          <cell r="A1781">
            <v>510529</v>
          </cell>
          <cell r="B1781">
            <v>0</v>
          </cell>
          <cell r="C1781">
            <v>0</v>
          </cell>
          <cell r="D1781" t="str">
            <v>לעדכן</v>
          </cell>
        </row>
        <row r="1782">
          <cell r="A1782">
            <v>510545</v>
          </cell>
          <cell r="B1782">
            <v>0</v>
          </cell>
          <cell r="C1782">
            <v>0</v>
          </cell>
          <cell r="D1782" t="str">
            <v>לעדכן</v>
          </cell>
        </row>
        <row r="1783">
          <cell r="A1783">
            <v>510560</v>
          </cell>
          <cell r="B1783">
            <v>0</v>
          </cell>
          <cell r="C1783">
            <v>0</v>
          </cell>
          <cell r="D1783" t="str">
            <v>לעדכן</v>
          </cell>
        </row>
        <row r="1784">
          <cell r="A1784">
            <v>510578</v>
          </cell>
          <cell r="B1784">
            <v>0</v>
          </cell>
          <cell r="C1784">
            <v>0</v>
          </cell>
          <cell r="D1784" t="str">
            <v>לעדכן</v>
          </cell>
        </row>
        <row r="1785">
          <cell r="A1785">
            <v>510594</v>
          </cell>
          <cell r="B1785">
            <v>0</v>
          </cell>
          <cell r="C1785">
            <v>0</v>
          </cell>
          <cell r="D1785" t="str">
            <v>לעדכן</v>
          </cell>
        </row>
        <row r="1786">
          <cell r="A1786">
            <v>510628</v>
          </cell>
          <cell r="B1786">
            <v>0</v>
          </cell>
          <cell r="C1786">
            <v>0</v>
          </cell>
          <cell r="D1786" t="str">
            <v>לעדכן</v>
          </cell>
        </row>
        <row r="1787">
          <cell r="A1787">
            <v>510636</v>
          </cell>
          <cell r="B1787">
            <v>0</v>
          </cell>
          <cell r="C1787">
            <v>0</v>
          </cell>
          <cell r="D1787" t="str">
            <v>לעדכן</v>
          </cell>
        </row>
        <row r="1788">
          <cell r="A1788">
            <v>510651</v>
          </cell>
          <cell r="B1788">
            <v>0</v>
          </cell>
          <cell r="C1788">
            <v>0</v>
          </cell>
          <cell r="D1788" t="str">
            <v>לעדכן</v>
          </cell>
        </row>
        <row r="1789">
          <cell r="A1789">
            <v>510685</v>
          </cell>
          <cell r="B1789">
            <v>0</v>
          </cell>
          <cell r="C1789">
            <v>0</v>
          </cell>
          <cell r="D1789" t="str">
            <v>לעדכן</v>
          </cell>
        </row>
        <row r="1790">
          <cell r="A1790">
            <v>510693</v>
          </cell>
          <cell r="B1790">
            <v>0</v>
          </cell>
          <cell r="C1790">
            <v>0</v>
          </cell>
          <cell r="D1790" t="str">
            <v>לעדכן</v>
          </cell>
        </row>
        <row r="1791">
          <cell r="A1791">
            <v>510701</v>
          </cell>
          <cell r="B1791">
            <v>0</v>
          </cell>
          <cell r="C1791">
            <v>0</v>
          </cell>
          <cell r="D1791" t="str">
            <v>לעדכן</v>
          </cell>
        </row>
        <row r="1792">
          <cell r="A1792">
            <v>510719</v>
          </cell>
          <cell r="B1792">
            <v>0</v>
          </cell>
          <cell r="C1792">
            <v>0</v>
          </cell>
          <cell r="D1792" t="str">
            <v>לעדכן</v>
          </cell>
        </row>
        <row r="1793">
          <cell r="A1793">
            <v>510727</v>
          </cell>
          <cell r="B1793">
            <v>0</v>
          </cell>
          <cell r="C1793">
            <v>0</v>
          </cell>
          <cell r="D1793" t="str">
            <v>לעדכן</v>
          </cell>
        </row>
        <row r="1794">
          <cell r="A1794">
            <v>510735</v>
          </cell>
          <cell r="B1794">
            <v>0</v>
          </cell>
          <cell r="C1794">
            <v>0</v>
          </cell>
          <cell r="D1794" t="str">
            <v>לעדכן</v>
          </cell>
        </row>
        <row r="1795">
          <cell r="A1795">
            <v>510743</v>
          </cell>
          <cell r="B1795">
            <v>0</v>
          </cell>
          <cell r="C1795">
            <v>0</v>
          </cell>
          <cell r="D1795" t="str">
            <v>לעדכן</v>
          </cell>
        </row>
        <row r="1796">
          <cell r="A1796">
            <v>510750</v>
          </cell>
          <cell r="B1796">
            <v>0</v>
          </cell>
          <cell r="C1796">
            <v>0</v>
          </cell>
          <cell r="D1796" t="str">
            <v>לעדכן</v>
          </cell>
        </row>
        <row r="1797">
          <cell r="A1797">
            <v>510768</v>
          </cell>
          <cell r="B1797">
            <v>0</v>
          </cell>
          <cell r="C1797">
            <v>0</v>
          </cell>
          <cell r="D1797" t="str">
            <v>לעדכן</v>
          </cell>
        </row>
        <row r="1798">
          <cell r="A1798">
            <v>510776</v>
          </cell>
          <cell r="B1798">
            <v>0</v>
          </cell>
          <cell r="C1798">
            <v>0</v>
          </cell>
          <cell r="D1798" t="str">
            <v>לעדכן</v>
          </cell>
        </row>
        <row r="1799">
          <cell r="A1799">
            <v>510784</v>
          </cell>
          <cell r="B1799">
            <v>0</v>
          </cell>
          <cell r="C1799">
            <v>0</v>
          </cell>
          <cell r="D1799" t="str">
            <v>לעדכן</v>
          </cell>
        </row>
        <row r="1800">
          <cell r="A1800">
            <v>510792</v>
          </cell>
          <cell r="B1800">
            <v>0</v>
          </cell>
          <cell r="C1800">
            <v>0</v>
          </cell>
          <cell r="D1800" t="str">
            <v>לעדכן</v>
          </cell>
        </row>
        <row r="1801">
          <cell r="A1801">
            <v>510800</v>
          </cell>
          <cell r="B1801">
            <v>0</v>
          </cell>
          <cell r="C1801">
            <v>0</v>
          </cell>
          <cell r="D1801" t="str">
            <v>לעדכן</v>
          </cell>
        </row>
        <row r="1802">
          <cell r="A1802">
            <v>510826</v>
          </cell>
          <cell r="B1802">
            <v>0</v>
          </cell>
          <cell r="C1802">
            <v>0</v>
          </cell>
          <cell r="D1802" t="str">
            <v>לעדכן</v>
          </cell>
        </row>
        <row r="1803">
          <cell r="A1803">
            <v>510834</v>
          </cell>
          <cell r="B1803">
            <v>0</v>
          </cell>
          <cell r="C1803">
            <v>0</v>
          </cell>
          <cell r="D1803" t="str">
            <v>לעדכן</v>
          </cell>
        </row>
        <row r="1804">
          <cell r="A1804">
            <v>510842</v>
          </cell>
          <cell r="B1804">
            <v>0</v>
          </cell>
          <cell r="C1804">
            <v>0</v>
          </cell>
          <cell r="D1804" t="str">
            <v>לעדכן</v>
          </cell>
        </row>
        <row r="1805">
          <cell r="A1805">
            <v>510859</v>
          </cell>
          <cell r="B1805">
            <v>0</v>
          </cell>
          <cell r="C1805">
            <v>0</v>
          </cell>
          <cell r="D1805" t="str">
            <v>לעדכן</v>
          </cell>
        </row>
        <row r="1806">
          <cell r="A1806">
            <v>510867</v>
          </cell>
          <cell r="B1806">
            <v>0</v>
          </cell>
          <cell r="C1806">
            <v>0</v>
          </cell>
          <cell r="D1806" t="str">
            <v>לעדכן</v>
          </cell>
        </row>
        <row r="1807">
          <cell r="A1807">
            <v>510875</v>
          </cell>
          <cell r="B1807">
            <v>0</v>
          </cell>
          <cell r="C1807">
            <v>0</v>
          </cell>
          <cell r="D1807" t="str">
            <v>לעדכן</v>
          </cell>
        </row>
        <row r="1808">
          <cell r="A1808">
            <v>510883</v>
          </cell>
          <cell r="B1808">
            <v>0</v>
          </cell>
          <cell r="C1808">
            <v>0</v>
          </cell>
          <cell r="D1808" t="str">
            <v>לעדכן</v>
          </cell>
        </row>
        <row r="1809">
          <cell r="A1809">
            <v>510917</v>
          </cell>
          <cell r="B1809">
            <v>0</v>
          </cell>
          <cell r="C1809">
            <v>0</v>
          </cell>
          <cell r="D1809" t="str">
            <v>לעדכן</v>
          </cell>
        </row>
        <row r="1810">
          <cell r="A1810">
            <v>510925</v>
          </cell>
          <cell r="B1810">
            <v>0</v>
          </cell>
          <cell r="C1810">
            <v>0</v>
          </cell>
          <cell r="D1810" t="str">
            <v>לעדכן</v>
          </cell>
        </row>
        <row r="1811">
          <cell r="A1811">
            <v>510933</v>
          </cell>
          <cell r="B1811">
            <v>0</v>
          </cell>
          <cell r="C1811">
            <v>0</v>
          </cell>
          <cell r="D1811" t="str">
            <v>לעדכן</v>
          </cell>
        </row>
        <row r="1812">
          <cell r="A1812">
            <v>510974</v>
          </cell>
          <cell r="B1812">
            <v>0</v>
          </cell>
          <cell r="C1812">
            <v>0</v>
          </cell>
          <cell r="D1812" t="str">
            <v>לעדכן</v>
          </cell>
        </row>
        <row r="1813">
          <cell r="A1813">
            <v>510982</v>
          </cell>
          <cell r="B1813">
            <v>0</v>
          </cell>
          <cell r="C1813">
            <v>0</v>
          </cell>
          <cell r="D1813" t="str">
            <v>לעדכן</v>
          </cell>
        </row>
        <row r="1814">
          <cell r="A1814">
            <v>511006</v>
          </cell>
          <cell r="B1814">
            <v>0</v>
          </cell>
          <cell r="C1814">
            <v>0</v>
          </cell>
          <cell r="D1814" t="str">
            <v>לעדכן</v>
          </cell>
        </row>
        <row r="1815">
          <cell r="A1815">
            <v>511014</v>
          </cell>
          <cell r="B1815">
            <v>0</v>
          </cell>
          <cell r="C1815">
            <v>0</v>
          </cell>
          <cell r="D1815" t="str">
            <v>לעדכן</v>
          </cell>
        </row>
        <row r="1816">
          <cell r="A1816">
            <v>511030</v>
          </cell>
          <cell r="B1816">
            <v>0</v>
          </cell>
          <cell r="C1816">
            <v>0</v>
          </cell>
          <cell r="D1816" t="str">
            <v>לעדכן</v>
          </cell>
        </row>
        <row r="1817">
          <cell r="A1817">
            <v>511048</v>
          </cell>
          <cell r="B1817">
            <v>0</v>
          </cell>
          <cell r="C1817">
            <v>0</v>
          </cell>
          <cell r="D1817" t="str">
            <v>לעדכן</v>
          </cell>
        </row>
        <row r="1818">
          <cell r="A1818">
            <v>511071</v>
          </cell>
          <cell r="B1818">
            <v>0</v>
          </cell>
          <cell r="C1818">
            <v>0</v>
          </cell>
          <cell r="D1818" t="str">
            <v>לעדכן</v>
          </cell>
        </row>
        <row r="1819">
          <cell r="A1819">
            <v>511113</v>
          </cell>
          <cell r="B1819">
            <v>0</v>
          </cell>
          <cell r="C1819">
            <v>0</v>
          </cell>
          <cell r="D1819" t="str">
            <v>לעדכן</v>
          </cell>
        </row>
        <row r="1820">
          <cell r="A1820">
            <v>511121</v>
          </cell>
          <cell r="B1820">
            <v>0</v>
          </cell>
          <cell r="C1820">
            <v>0</v>
          </cell>
          <cell r="D1820" t="str">
            <v>לעדכן</v>
          </cell>
        </row>
        <row r="1821">
          <cell r="A1821">
            <v>511162</v>
          </cell>
          <cell r="B1821">
            <v>0</v>
          </cell>
          <cell r="C1821">
            <v>0</v>
          </cell>
          <cell r="D1821" t="str">
            <v>לעדכן</v>
          </cell>
        </row>
        <row r="1822">
          <cell r="A1822">
            <v>511170</v>
          </cell>
          <cell r="B1822">
            <v>0</v>
          </cell>
          <cell r="C1822">
            <v>0</v>
          </cell>
          <cell r="D1822" t="str">
            <v>לעדכן</v>
          </cell>
        </row>
        <row r="1823">
          <cell r="A1823">
            <v>511188</v>
          </cell>
          <cell r="B1823">
            <v>0</v>
          </cell>
          <cell r="C1823">
            <v>0</v>
          </cell>
          <cell r="D1823" t="str">
            <v>לעדכן</v>
          </cell>
        </row>
        <row r="1824">
          <cell r="A1824">
            <v>511196</v>
          </cell>
          <cell r="B1824">
            <v>0</v>
          </cell>
          <cell r="C1824">
            <v>0</v>
          </cell>
          <cell r="D1824" t="str">
            <v>לעדכן</v>
          </cell>
        </row>
        <row r="1825">
          <cell r="A1825">
            <v>511212</v>
          </cell>
          <cell r="B1825">
            <v>0</v>
          </cell>
          <cell r="C1825">
            <v>0</v>
          </cell>
          <cell r="D1825" t="str">
            <v>לעדכן</v>
          </cell>
        </row>
        <row r="1826">
          <cell r="A1826">
            <v>511220</v>
          </cell>
          <cell r="B1826">
            <v>0</v>
          </cell>
          <cell r="C1826">
            <v>0</v>
          </cell>
          <cell r="D1826" t="str">
            <v>לעדכן</v>
          </cell>
        </row>
        <row r="1827">
          <cell r="A1827">
            <v>511246</v>
          </cell>
          <cell r="B1827">
            <v>0</v>
          </cell>
          <cell r="C1827">
            <v>0</v>
          </cell>
          <cell r="D1827" t="str">
            <v>לעדכן</v>
          </cell>
        </row>
        <row r="1828">
          <cell r="A1828">
            <v>511253</v>
          </cell>
          <cell r="B1828">
            <v>0</v>
          </cell>
          <cell r="C1828">
            <v>0</v>
          </cell>
          <cell r="D1828" t="str">
            <v>לעדכן</v>
          </cell>
        </row>
        <row r="1829">
          <cell r="A1829">
            <v>511261</v>
          </cell>
          <cell r="B1829">
            <v>0</v>
          </cell>
          <cell r="C1829">
            <v>0</v>
          </cell>
          <cell r="D1829" t="str">
            <v>לעדכן</v>
          </cell>
        </row>
        <row r="1830">
          <cell r="A1830">
            <v>511279</v>
          </cell>
          <cell r="B1830">
            <v>0</v>
          </cell>
          <cell r="C1830">
            <v>0</v>
          </cell>
          <cell r="D1830" t="str">
            <v>לעדכן</v>
          </cell>
        </row>
        <row r="1831">
          <cell r="A1831">
            <v>511329</v>
          </cell>
          <cell r="B1831">
            <v>0</v>
          </cell>
          <cell r="C1831">
            <v>0</v>
          </cell>
          <cell r="D1831" t="str">
            <v>לעדכן</v>
          </cell>
        </row>
        <row r="1832">
          <cell r="A1832">
            <v>511352</v>
          </cell>
          <cell r="B1832">
            <v>0</v>
          </cell>
          <cell r="C1832">
            <v>0</v>
          </cell>
          <cell r="D1832" t="str">
            <v>לעדכן</v>
          </cell>
        </row>
        <row r="1833">
          <cell r="A1833">
            <v>511378</v>
          </cell>
          <cell r="B1833">
            <v>0</v>
          </cell>
          <cell r="C1833">
            <v>0</v>
          </cell>
          <cell r="D1833" t="str">
            <v>לעדכן</v>
          </cell>
        </row>
        <row r="1834">
          <cell r="A1834">
            <v>511402</v>
          </cell>
          <cell r="B1834">
            <v>0</v>
          </cell>
          <cell r="C1834">
            <v>0</v>
          </cell>
          <cell r="D1834" t="str">
            <v>לעדכן</v>
          </cell>
        </row>
        <row r="1835">
          <cell r="A1835">
            <v>511428</v>
          </cell>
          <cell r="B1835">
            <v>0</v>
          </cell>
          <cell r="C1835">
            <v>0</v>
          </cell>
          <cell r="D1835" t="str">
            <v>לעדכן</v>
          </cell>
        </row>
        <row r="1836">
          <cell r="A1836">
            <v>511451</v>
          </cell>
          <cell r="B1836">
            <v>0</v>
          </cell>
          <cell r="C1836">
            <v>0</v>
          </cell>
          <cell r="D1836" t="str">
            <v>לעדכן</v>
          </cell>
        </row>
        <row r="1837">
          <cell r="A1837">
            <v>511469</v>
          </cell>
          <cell r="B1837">
            <v>0</v>
          </cell>
          <cell r="C1837">
            <v>0</v>
          </cell>
          <cell r="D1837" t="str">
            <v>לעדכן</v>
          </cell>
        </row>
        <row r="1838">
          <cell r="A1838">
            <v>511477</v>
          </cell>
          <cell r="B1838">
            <v>0</v>
          </cell>
          <cell r="C1838">
            <v>0</v>
          </cell>
          <cell r="D1838" t="str">
            <v>לעדכן</v>
          </cell>
        </row>
        <row r="1839">
          <cell r="A1839">
            <v>511485</v>
          </cell>
          <cell r="B1839">
            <v>0</v>
          </cell>
          <cell r="C1839">
            <v>0</v>
          </cell>
          <cell r="D1839" t="str">
            <v>לעדכן</v>
          </cell>
        </row>
        <row r="1840">
          <cell r="A1840">
            <v>511519</v>
          </cell>
          <cell r="B1840">
            <v>0</v>
          </cell>
          <cell r="C1840">
            <v>0</v>
          </cell>
          <cell r="D1840" t="str">
            <v>לעדכן</v>
          </cell>
        </row>
        <row r="1841">
          <cell r="A1841">
            <v>511535</v>
          </cell>
          <cell r="B1841">
            <v>0</v>
          </cell>
          <cell r="C1841">
            <v>0</v>
          </cell>
          <cell r="D1841" t="str">
            <v>לעדכן</v>
          </cell>
        </row>
        <row r="1842">
          <cell r="A1842">
            <v>511543</v>
          </cell>
          <cell r="B1842">
            <v>0</v>
          </cell>
          <cell r="C1842">
            <v>0</v>
          </cell>
          <cell r="D1842" t="str">
            <v>לעדכן</v>
          </cell>
        </row>
        <row r="1843">
          <cell r="A1843">
            <v>511550</v>
          </cell>
          <cell r="B1843">
            <v>0</v>
          </cell>
          <cell r="C1843">
            <v>0</v>
          </cell>
          <cell r="D1843" t="str">
            <v>לעדכן</v>
          </cell>
        </row>
        <row r="1844">
          <cell r="A1844">
            <v>511576</v>
          </cell>
          <cell r="B1844">
            <v>0</v>
          </cell>
          <cell r="C1844">
            <v>0</v>
          </cell>
          <cell r="D1844" t="str">
            <v>לעדכן</v>
          </cell>
        </row>
        <row r="1845">
          <cell r="A1845">
            <v>511592</v>
          </cell>
          <cell r="B1845">
            <v>0</v>
          </cell>
          <cell r="C1845">
            <v>0</v>
          </cell>
          <cell r="D1845" t="str">
            <v>לעדכן</v>
          </cell>
        </row>
        <row r="1846">
          <cell r="A1846">
            <v>511618</v>
          </cell>
          <cell r="B1846">
            <v>0</v>
          </cell>
          <cell r="C1846">
            <v>0</v>
          </cell>
          <cell r="D1846" t="str">
            <v>לעדכן</v>
          </cell>
        </row>
        <row r="1847">
          <cell r="A1847">
            <v>511626</v>
          </cell>
          <cell r="B1847">
            <v>0</v>
          </cell>
          <cell r="C1847">
            <v>0</v>
          </cell>
          <cell r="D1847" t="str">
            <v>לעדכן</v>
          </cell>
        </row>
        <row r="1848">
          <cell r="A1848">
            <v>511634</v>
          </cell>
          <cell r="B1848">
            <v>0</v>
          </cell>
          <cell r="C1848">
            <v>0</v>
          </cell>
          <cell r="D1848" t="str">
            <v>לעדכן</v>
          </cell>
        </row>
        <row r="1849">
          <cell r="A1849">
            <v>511642</v>
          </cell>
          <cell r="B1849">
            <v>0</v>
          </cell>
          <cell r="C1849">
            <v>0</v>
          </cell>
          <cell r="D1849" t="str">
            <v>לעדכן</v>
          </cell>
        </row>
        <row r="1850">
          <cell r="A1850">
            <v>511667</v>
          </cell>
          <cell r="B1850">
            <v>0</v>
          </cell>
          <cell r="C1850">
            <v>0</v>
          </cell>
          <cell r="D1850" t="str">
            <v>לעדכן</v>
          </cell>
        </row>
        <row r="1851">
          <cell r="A1851">
            <v>511675</v>
          </cell>
          <cell r="B1851">
            <v>0</v>
          </cell>
          <cell r="C1851">
            <v>0</v>
          </cell>
          <cell r="D1851" t="str">
            <v>לעדכן</v>
          </cell>
        </row>
        <row r="1852">
          <cell r="A1852">
            <v>511683</v>
          </cell>
          <cell r="B1852">
            <v>0</v>
          </cell>
          <cell r="C1852">
            <v>0</v>
          </cell>
          <cell r="D1852" t="str">
            <v>לעדכן</v>
          </cell>
        </row>
        <row r="1853">
          <cell r="A1853">
            <v>511691</v>
          </cell>
          <cell r="B1853">
            <v>0</v>
          </cell>
          <cell r="C1853">
            <v>0</v>
          </cell>
          <cell r="D1853" t="str">
            <v>לעדכן</v>
          </cell>
        </row>
        <row r="1854">
          <cell r="A1854">
            <v>511717</v>
          </cell>
          <cell r="B1854">
            <v>0</v>
          </cell>
          <cell r="C1854">
            <v>0</v>
          </cell>
          <cell r="D1854" t="str">
            <v>לעדכן</v>
          </cell>
        </row>
        <row r="1855">
          <cell r="A1855">
            <v>511725</v>
          </cell>
          <cell r="B1855">
            <v>0</v>
          </cell>
          <cell r="C1855">
            <v>0</v>
          </cell>
          <cell r="D1855" t="str">
            <v>לעדכן</v>
          </cell>
        </row>
        <row r="1856">
          <cell r="A1856">
            <v>511774</v>
          </cell>
          <cell r="B1856">
            <v>0</v>
          </cell>
          <cell r="C1856">
            <v>0</v>
          </cell>
          <cell r="D1856" t="str">
            <v>לעדכן</v>
          </cell>
        </row>
        <row r="1857">
          <cell r="A1857">
            <v>511782</v>
          </cell>
          <cell r="B1857">
            <v>0</v>
          </cell>
          <cell r="C1857">
            <v>0</v>
          </cell>
          <cell r="D1857" t="str">
            <v>לעדכן</v>
          </cell>
        </row>
        <row r="1858">
          <cell r="A1858">
            <v>511790</v>
          </cell>
          <cell r="B1858">
            <v>0</v>
          </cell>
          <cell r="C1858">
            <v>0</v>
          </cell>
          <cell r="D1858" t="str">
            <v>לעדכן</v>
          </cell>
        </row>
        <row r="1859">
          <cell r="A1859">
            <v>511808</v>
          </cell>
          <cell r="B1859">
            <v>0</v>
          </cell>
          <cell r="C1859">
            <v>0</v>
          </cell>
          <cell r="D1859" t="str">
            <v>לעדכן</v>
          </cell>
        </row>
        <row r="1860">
          <cell r="A1860">
            <v>511840</v>
          </cell>
          <cell r="B1860">
            <v>0</v>
          </cell>
          <cell r="C1860">
            <v>0</v>
          </cell>
          <cell r="D1860" t="str">
            <v>לעדכן</v>
          </cell>
        </row>
        <row r="1861">
          <cell r="A1861">
            <v>511865</v>
          </cell>
          <cell r="B1861">
            <v>0</v>
          </cell>
          <cell r="C1861">
            <v>0</v>
          </cell>
          <cell r="D1861" t="str">
            <v>לעדכן</v>
          </cell>
        </row>
        <row r="1862">
          <cell r="A1862">
            <v>511881</v>
          </cell>
          <cell r="B1862">
            <v>0</v>
          </cell>
          <cell r="C1862">
            <v>0</v>
          </cell>
          <cell r="D1862" t="str">
            <v>לעדכן</v>
          </cell>
        </row>
        <row r="1863">
          <cell r="A1863">
            <v>511907</v>
          </cell>
          <cell r="B1863">
            <v>0</v>
          </cell>
          <cell r="C1863">
            <v>0</v>
          </cell>
          <cell r="D1863" t="str">
            <v>לעדכן</v>
          </cell>
        </row>
        <row r="1864">
          <cell r="A1864">
            <v>511949</v>
          </cell>
          <cell r="B1864">
            <v>0</v>
          </cell>
          <cell r="C1864">
            <v>0</v>
          </cell>
          <cell r="D1864" t="str">
            <v>לעדכן</v>
          </cell>
        </row>
        <row r="1865">
          <cell r="A1865">
            <v>511964</v>
          </cell>
          <cell r="B1865">
            <v>0</v>
          </cell>
          <cell r="C1865">
            <v>0</v>
          </cell>
          <cell r="D1865" t="str">
            <v>לעדכן</v>
          </cell>
        </row>
        <row r="1866">
          <cell r="A1866">
            <v>511972</v>
          </cell>
          <cell r="B1866">
            <v>0</v>
          </cell>
          <cell r="C1866">
            <v>0</v>
          </cell>
          <cell r="D1866" t="str">
            <v>לעדכן</v>
          </cell>
        </row>
        <row r="1867">
          <cell r="A1867">
            <v>511998</v>
          </cell>
          <cell r="B1867">
            <v>0</v>
          </cell>
          <cell r="C1867">
            <v>0</v>
          </cell>
          <cell r="D1867" t="str">
            <v>לעדכן</v>
          </cell>
        </row>
        <row r="1868">
          <cell r="A1868">
            <v>512038</v>
          </cell>
          <cell r="B1868">
            <v>0</v>
          </cell>
          <cell r="C1868">
            <v>0</v>
          </cell>
          <cell r="D1868" t="str">
            <v>לעדכן</v>
          </cell>
        </row>
        <row r="1869">
          <cell r="A1869">
            <v>512087</v>
          </cell>
          <cell r="B1869">
            <v>0</v>
          </cell>
          <cell r="C1869">
            <v>0</v>
          </cell>
          <cell r="D1869" t="str">
            <v>לעדכן</v>
          </cell>
        </row>
        <row r="1870">
          <cell r="A1870">
            <v>512095</v>
          </cell>
          <cell r="B1870">
            <v>0</v>
          </cell>
          <cell r="C1870">
            <v>0</v>
          </cell>
          <cell r="D1870" t="str">
            <v>לעדכן</v>
          </cell>
        </row>
        <row r="1871">
          <cell r="A1871">
            <v>512103</v>
          </cell>
          <cell r="B1871">
            <v>0</v>
          </cell>
          <cell r="C1871">
            <v>0</v>
          </cell>
          <cell r="D1871" t="str">
            <v>לעדכן</v>
          </cell>
        </row>
        <row r="1872">
          <cell r="A1872">
            <v>512111</v>
          </cell>
          <cell r="B1872">
            <v>0</v>
          </cell>
          <cell r="C1872">
            <v>0</v>
          </cell>
          <cell r="D1872" t="str">
            <v>לעדכן</v>
          </cell>
        </row>
        <row r="1873">
          <cell r="A1873">
            <v>512129</v>
          </cell>
          <cell r="B1873">
            <v>0</v>
          </cell>
          <cell r="C1873">
            <v>0</v>
          </cell>
          <cell r="D1873" t="str">
            <v>לעדכן</v>
          </cell>
        </row>
        <row r="1874">
          <cell r="A1874">
            <v>512137</v>
          </cell>
          <cell r="B1874">
            <v>0</v>
          </cell>
          <cell r="C1874">
            <v>0</v>
          </cell>
          <cell r="D1874" t="str">
            <v>לעדכן</v>
          </cell>
        </row>
        <row r="1875">
          <cell r="A1875">
            <v>512145</v>
          </cell>
          <cell r="B1875">
            <v>0</v>
          </cell>
          <cell r="C1875">
            <v>0</v>
          </cell>
          <cell r="D1875" t="str">
            <v>לעדכן</v>
          </cell>
        </row>
        <row r="1876">
          <cell r="A1876">
            <v>512152</v>
          </cell>
          <cell r="B1876">
            <v>0</v>
          </cell>
          <cell r="C1876">
            <v>0</v>
          </cell>
          <cell r="D1876" t="str">
            <v>לעדכן</v>
          </cell>
        </row>
        <row r="1877">
          <cell r="A1877">
            <v>512160</v>
          </cell>
          <cell r="B1877">
            <v>0</v>
          </cell>
          <cell r="C1877">
            <v>0</v>
          </cell>
          <cell r="D1877" t="str">
            <v>לעדכן</v>
          </cell>
        </row>
        <row r="1878">
          <cell r="A1878">
            <v>512178</v>
          </cell>
          <cell r="B1878">
            <v>0</v>
          </cell>
          <cell r="C1878">
            <v>0</v>
          </cell>
          <cell r="D1878" t="str">
            <v>לעדכן</v>
          </cell>
        </row>
        <row r="1879">
          <cell r="A1879">
            <v>512186</v>
          </cell>
          <cell r="B1879">
            <v>0</v>
          </cell>
          <cell r="C1879">
            <v>0</v>
          </cell>
          <cell r="D1879" t="str">
            <v>לעדכן</v>
          </cell>
        </row>
        <row r="1880">
          <cell r="A1880">
            <v>512202</v>
          </cell>
          <cell r="B1880">
            <v>0</v>
          </cell>
          <cell r="C1880">
            <v>0</v>
          </cell>
          <cell r="D1880" t="str">
            <v>לעדכן</v>
          </cell>
        </row>
        <row r="1881">
          <cell r="A1881">
            <v>512210</v>
          </cell>
          <cell r="B1881">
            <v>0</v>
          </cell>
          <cell r="C1881">
            <v>0</v>
          </cell>
          <cell r="D1881" t="str">
            <v>לעדכן</v>
          </cell>
        </row>
        <row r="1882">
          <cell r="A1882">
            <v>512228</v>
          </cell>
          <cell r="B1882">
            <v>0</v>
          </cell>
          <cell r="C1882">
            <v>0</v>
          </cell>
          <cell r="D1882" t="str">
            <v>לעדכן</v>
          </cell>
        </row>
        <row r="1883">
          <cell r="A1883">
            <v>512244</v>
          </cell>
          <cell r="B1883">
            <v>0</v>
          </cell>
          <cell r="C1883">
            <v>0</v>
          </cell>
          <cell r="D1883" t="str">
            <v>לעדכן</v>
          </cell>
        </row>
        <row r="1884">
          <cell r="A1884">
            <v>512293</v>
          </cell>
          <cell r="B1884">
            <v>0</v>
          </cell>
          <cell r="C1884">
            <v>0</v>
          </cell>
          <cell r="D1884" t="str">
            <v>לעדכן</v>
          </cell>
        </row>
        <row r="1885">
          <cell r="A1885">
            <v>512301</v>
          </cell>
          <cell r="B1885">
            <v>0</v>
          </cell>
          <cell r="C1885">
            <v>0</v>
          </cell>
          <cell r="D1885" t="str">
            <v>לעדכן</v>
          </cell>
        </row>
        <row r="1886">
          <cell r="A1886">
            <v>512327</v>
          </cell>
          <cell r="B1886">
            <v>0</v>
          </cell>
          <cell r="C1886">
            <v>0</v>
          </cell>
          <cell r="D1886" t="str">
            <v>לעדכן</v>
          </cell>
        </row>
        <row r="1887">
          <cell r="A1887">
            <v>512343</v>
          </cell>
          <cell r="B1887">
            <v>0</v>
          </cell>
          <cell r="C1887">
            <v>0</v>
          </cell>
          <cell r="D1887" t="str">
            <v>לעדכן</v>
          </cell>
        </row>
        <row r="1888">
          <cell r="A1888">
            <v>512350</v>
          </cell>
          <cell r="B1888">
            <v>0</v>
          </cell>
          <cell r="C1888">
            <v>0</v>
          </cell>
          <cell r="D1888" t="str">
            <v>לעדכן</v>
          </cell>
        </row>
        <row r="1889">
          <cell r="A1889">
            <v>512368</v>
          </cell>
          <cell r="B1889">
            <v>0</v>
          </cell>
          <cell r="C1889">
            <v>0</v>
          </cell>
          <cell r="D1889" t="str">
            <v>לעדכן</v>
          </cell>
        </row>
        <row r="1890">
          <cell r="A1890">
            <v>512392</v>
          </cell>
          <cell r="B1890">
            <v>0</v>
          </cell>
          <cell r="C1890">
            <v>0</v>
          </cell>
          <cell r="D1890" t="str">
            <v>לעדכן</v>
          </cell>
        </row>
        <row r="1891">
          <cell r="A1891">
            <v>512400</v>
          </cell>
          <cell r="B1891">
            <v>0</v>
          </cell>
          <cell r="C1891">
            <v>0</v>
          </cell>
          <cell r="D1891" t="str">
            <v>לעדכן</v>
          </cell>
        </row>
        <row r="1892">
          <cell r="A1892">
            <v>512418</v>
          </cell>
          <cell r="B1892">
            <v>0</v>
          </cell>
          <cell r="C1892">
            <v>0</v>
          </cell>
          <cell r="D1892" t="str">
            <v>לעדכן</v>
          </cell>
        </row>
        <row r="1893">
          <cell r="A1893">
            <v>512434</v>
          </cell>
          <cell r="B1893">
            <v>0</v>
          </cell>
          <cell r="C1893">
            <v>0</v>
          </cell>
          <cell r="D1893" t="str">
            <v>לעדכן</v>
          </cell>
        </row>
        <row r="1894">
          <cell r="A1894">
            <v>512442</v>
          </cell>
          <cell r="B1894">
            <v>0</v>
          </cell>
          <cell r="C1894">
            <v>0</v>
          </cell>
          <cell r="D1894" t="str">
            <v>לעדכן</v>
          </cell>
        </row>
        <row r="1895">
          <cell r="A1895">
            <v>512459</v>
          </cell>
          <cell r="B1895">
            <v>0</v>
          </cell>
          <cell r="C1895">
            <v>0</v>
          </cell>
          <cell r="D1895" t="str">
            <v>לעדכן</v>
          </cell>
        </row>
        <row r="1896">
          <cell r="A1896">
            <v>512467</v>
          </cell>
          <cell r="B1896">
            <v>0</v>
          </cell>
          <cell r="C1896">
            <v>0</v>
          </cell>
          <cell r="D1896" t="str">
            <v>לעדכן</v>
          </cell>
        </row>
        <row r="1897">
          <cell r="A1897">
            <v>512475</v>
          </cell>
          <cell r="B1897">
            <v>0</v>
          </cell>
          <cell r="C1897">
            <v>0</v>
          </cell>
          <cell r="D1897" t="str">
            <v>לעדכן</v>
          </cell>
        </row>
        <row r="1898">
          <cell r="A1898">
            <v>512509</v>
          </cell>
          <cell r="B1898">
            <v>0</v>
          </cell>
          <cell r="C1898">
            <v>0</v>
          </cell>
          <cell r="D1898" t="str">
            <v>לעדכן</v>
          </cell>
        </row>
        <row r="1899">
          <cell r="A1899">
            <v>512558</v>
          </cell>
          <cell r="B1899">
            <v>0</v>
          </cell>
          <cell r="C1899">
            <v>0</v>
          </cell>
          <cell r="D1899" t="str">
            <v>לעדכן</v>
          </cell>
        </row>
        <row r="1900">
          <cell r="A1900">
            <v>512566</v>
          </cell>
          <cell r="B1900">
            <v>0</v>
          </cell>
          <cell r="C1900">
            <v>0</v>
          </cell>
          <cell r="D1900" t="str">
            <v>לעדכן</v>
          </cell>
        </row>
        <row r="1901">
          <cell r="A1901">
            <v>512574</v>
          </cell>
          <cell r="B1901">
            <v>0</v>
          </cell>
          <cell r="C1901">
            <v>0</v>
          </cell>
          <cell r="D1901" t="str">
            <v>לעדכן</v>
          </cell>
        </row>
        <row r="1902">
          <cell r="A1902">
            <v>512582</v>
          </cell>
          <cell r="B1902">
            <v>0</v>
          </cell>
          <cell r="C1902">
            <v>0</v>
          </cell>
          <cell r="D1902" t="str">
            <v>לעדכן</v>
          </cell>
        </row>
        <row r="1903">
          <cell r="A1903">
            <v>512590</v>
          </cell>
          <cell r="B1903">
            <v>0</v>
          </cell>
          <cell r="C1903">
            <v>0</v>
          </cell>
          <cell r="D1903" t="str">
            <v>לעדכן</v>
          </cell>
        </row>
        <row r="1904">
          <cell r="A1904">
            <v>512608</v>
          </cell>
          <cell r="B1904">
            <v>0</v>
          </cell>
          <cell r="C1904">
            <v>0</v>
          </cell>
          <cell r="D1904" t="str">
            <v>לעדכן</v>
          </cell>
        </row>
        <row r="1905">
          <cell r="A1905">
            <v>512632</v>
          </cell>
          <cell r="B1905">
            <v>0</v>
          </cell>
          <cell r="C1905">
            <v>0</v>
          </cell>
          <cell r="D1905" t="str">
            <v>לעדכן</v>
          </cell>
        </row>
        <row r="1906">
          <cell r="A1906">
            <v>512640</v>
          </cell>
          <cell r="B1906">
            <v>0</v>
          </cell>
          <cell r="C1906">
            <v>0</v>
          </cell>
          <cell r="D1906" t="str">
            <v>לעדכן</v>
          </cell>
        </row>
        <row r="1907">
          <cell r="A1907">
            <v>512665</v>
          </cell>
          <cell r="B1907">
            <v>0</v>
          </cell>
          <cell r="C1907">
            <v>0</v>
          </cell>
          <cell r="D1907" t="str">
            <v>לעדכן</v>
          </cell>
        </row>
        <row r="1908">
          <cell r="A1908">
            <v>512673</v>
          </cell>
          <cell r="B1908">
            <v>0</v>
          </cell>
          <cell r="C1908">
            <v>0</v>
          </cell>
          <cell r="D1908" t="str">
            <v>לעדכן</v>
          </cell>
        </row>
        <row r="1909">
          <cell r="A1909">
            <v>512699</v>
          </cell>
          <cell r="B1909">
            <v>0</v>
          </cell>
          <cell r="C1909">
            <v>0</v>
          </cell>
          <cell r="D1909" t="str">
            <v>לעדכן</v>
          </cell>
        </row>
        <row r="1910">
          <cell r="A1910">
            <v>512756</v>
          </cell>
          <cell r="B1910">
            <v>0</v>
          </cell>
          <cell r="C1910">
            <v>0</v>
          </cell>
          <cell r="D1910" t="str">
            <v>לעדכן</v>
          </cell>
        </row>
        <row r="1911">
          <cell r="A1911">
            <v>512780</v>
          </cell>
          <cell r="B1911">
            <v>0</v>
          </cell>
          <cell r="C1911">
            <v>0</v>
          </cell>
          <cell r="D1911" t="str">
            <v>לעדכן</v>
          </cell>
        </row>
        <row r="1912">
          <cell r="A1912">
            <v>512798</v>
          </cell>
          <cell r="B1912">
            <v>0</v>
          </cell>
          <cell r="C1912">
            <v>0</v>
          </cell>
          <cell r="D1912" t="str">
            <v>לעדכן</v>
          </cell>
        </row>
        <row r="1913">
          <cell r="A1913">
            <v>512814</v>
          </cell>
          <cell r="B1913">
            <v>0</v>
          </cell>
          <cell r="C1913">
            <v>0</v>
          </cell>
          <cell r="D1913" t="str">
            <v>לעדכן</v>
          </cell>
        </row>
        <row r="1914">
          <cell r="A1914">
            <v>512822</v>
          </cell>
          <cell r="B1914">
            <v>0</v>
          </cell>
          <cell r="C1914">
            <v>0</v>
          </cell>
          <cell r="D1914" t="str">
            <v>לעדכן</v>
          </cell>
        </row>
        <row r="1915">
          <cell r="A1915">
            <v>512830</v>
          </cell>
          <cell r="B1915">
            <v>0</v>
          </cell>
          <cell r="C1915">
            <v>0</v>
          </cell>
          <cell r="D1915" t="str">
            <v>לעדכן</v>
          </cell>
        </row>
        <row r="1916">
          <cell r="A1916">
            <v>512848</v>
          </cell>
          <cell r="B1916">
            <v>0</v>
          </cell>
          <cell r="C1916">
            <v>0</v>
          </cell>
          <cell r="D1916" t="str">
            <v>לעדכן</v>
          </cell>
        </row>
        <row r="1917">
          <cell r="A1917">
            <v>512855</v>
          </cell>
          <cell r="B1917">
            <v>0</v>
          </cell>
          <cell r="C1917">
            <v>0</v>
          </cell>
          <cell r="D1917" t="str">
            <v>לעדכן</v>
          </cell>
        </row>
        <row r="1918">
          <cell r="A1918">
            <v>512871</v>
          </cell>
          <cell r="B1918">
            <v>0</v>
          </cell>
          <cell r="C1918">
            <v>0</v>
          </cell>
          <cell r="D1918" t="str">
            <v>לעדכן</v>
          </cell>
        </row>
        <row r="1919">
          <cell r="A1919">
            <v>512889</v>
          </cell>
          <cell r="B1919">
            <v>0</v>
          </cell>
          <cell r="C1919">
            <v>0</v>
          </cell>
          <cell r="D1919" t="str">
            <v>לעדכן</v>
          </cell>
        </row>
        <row r="1920">
          <cell r="A1920">
            <v>512905</v>
          </cell>
          <cell r="B1920">
            <v>0</v>
          </cell>
          <cell r="C1920">
            <v>0</v>
          </cell>
          <cell r="D1920" t="str">
            <v>לעדכן</v>
          </cell>
        </row>
        <row r="1921">
          <cell r="A1921">
            <v>512913</v>
          </cell>
          <cell r="B1921">
            <v>0</v>
          </cell>
          <cell r="C1921">
            <v>0</v>
          </cell>
          <cell r="D1921" t="str">
            <v>לעדכן</v>
          </cell>
        </row>
        <row r="1922">
          <cell r="A1922">
            <v>512954</v>
          </cell>
          <cell r="B1922">
            <v>0</v>
          </cell>
          <cell r="C1922">
            <v>0</v>
          </cell>
          <cell r="D1922" t="str">
            <v>לעדכן</v>
          </cell>
        </row>
        <row r="1923">
          <cell r="A1923">
            <v>512962</v>
          </cell>
          <cell r="B1923">
            <v>0</v>
          </cell>
          <cell r="C1923">
            <v>0</v>
          </cell>
          <cell r="D1923" t="str">
            <v>לעדכן</v>
          </cell>
        </row>
        <row r="1924">
          <cell r="A1924">
            <v>512970</v>
          </cell>
          <cell r="B1924">
            <v>0</v>
          </cell>
          <cell r="C1924">
            <v>0</v>
          </cell>
          <cell r="D1924" t="str">
            <v>לעדכן</v>
          </cell>
        </row>
        <row r="1925">
          <cell r="A1925">
            <v>512988</v>
          </cell>
          <cell r="B1925">
            <v>0</v>
          </cell>
          <cell r="C1925">
            <v>0</v>
          </cell>
          <cell r="D1925" t="str">
            <v>לעדכן</v>
          </cell>
        </row>
        <row r="1926">
          <cell r="A1926">
            <v>512996</v>
          </cell>
          <cell r="B1926">
            <v>0</v>
          </cell>
          <cell r="C1926">
            <v>0</v>
          </cell>
          <cell r="D1926" t="str">
            <v>לעדכן</v>
          </cell>
        </row>
        <row r="1927">
          <cell r="A1927">
            <v>513002</v>
          </cell>
          <cell r="B1927">
            <v>0</v>
          </cell>
          <cell r="C1927">
            <v>0</v>
          </cell>
          <cell r="D1927" t="str">
            <v>לעדכן</v>
          </cell>
        </row>
        <row r="1928">
          <cell r="A1928">
            <v>513036</v>
          </cell>
          <cell r="B1928">
            <v>0</v>
          </cell>
          <cell r="C1928">
            <v>0</v>
          </cell>
          <cell r="D1928" t="str">
            <v>לעדכן</v>
          </cell>
        </row>
        <row r="1929">
          <cell r="A1929">
            <v>513044</v>
          </cell>
          <cell r="B1929">
            <v>0</v>
          </cell>
          <cell r="C1929">
            <v>0</v>
          </cell>
          <cell r="D1929" t="str">
            <v>לעדכן</v>
          </cell>
        </row>
        <row r="1930">
          <cell r="A1930">
            <v>513051</v>
          </cell>
          <cell r="B1930">
            <v>0</v>
          </cell>
          <cell r="C1930">
            <v>0</v>
          </cell>
          <cell r="D1930" t="str">
            <v>לעדכן</v>
          </cell>
        </row>
        <row r="1931">
          <cell r="A1931">
            <v>513077</v>
          </cell>
          <cell r="B1931">
            <v>0</v>
          </cell>
          <cell r="C1931">
            <v>0</v>
          </cell>
          <cell r="D1931" t="str">
            <v>לעדכן</v>
          </cell>
        </row>
        <row r="1932">
          <cell r="A1932">
            <v>513093</v>
          </cell>
          <cell r="B1932">
            <v>0</v>
          </cell>
          <cell r="C1932">
            <v>0</v>
          </cell>
          <cell r="D1932" t="str">
            <v>לעדכן</v>
          </cell>
        </row>
        <row r="1933">
          <cell r="A1933">
            <v>513101</v>
          </cell>
          <cell r="B1933">
            <v>0</v>
          </cell>
          <cell r="C1933">
            <v>0</v>
          </cell>
          <cell r="D1933" t="str">
            <v>לעדכן</v>
          </cell>
        </row>
        <row r="1934">
          <cell r="A1934">
            <v>513119</v>
          </cell>
          <cell r="B1934">
            <v>0</v>
          </cell>
          <cell r="C1934">
            <v>0</v>
          </cell>
          <cell r="D1934" t="str">
            <v>לעדכן</v>
          </cell>
        </row>
        <row r="1935">
          <cell r="A1935">
            <v>513135</v>
          </cell>
          <cell r="B1935">
            <v>0</v>
          </cell>
          <cell r="C1935">
            <v>0</v>
          </cell>
          <cell r="D1935" t="str">
            <v>לעדכן</v>
          </cell>
        </row>
        <row r="1936">
          <cell r="A1936">
            <v>513143</v>
          </cell>
          <cell r="B1936">
            <v>0</v>
          </cell>
          <cell r="C1936">
            <v>0</v>
          </cell>
          <cell r="D1936" t="str">
            <v>לעדכן</v>
          </cell>
        </row>
        <row r="1937">
          <cell r="A1937">
            <v>513150</v>
          </cell>
          <cell r="B1937">
            <v>0</v>
          </cell>
          <cell r="C1937">
            <v>0</v>
          </cell>
          <cell r="D1937" t="str">
            <v>לעדכן</v>
          </cell>
        </row>
        <row r="1938">
          <cell r="A1938">
            <v>513168</v>
          </cell>
          <cell r="B1938">
            <v>0</v>
          </cell>
          <cell r="C1938">
            <v>0</v>
          </cell>
          <cell r="D1938" t="str">
            <v>לעדכן</v>
          </cell>
        </row>
        <row r="1939">
          <cell r="A1939">
            <v>513184</v>
          </cell>
          <cell r="B1939">
            <v>0</v>
          </cell>
          <cell r="C1939">
            <v>0</v>
          </cell>
          <cell r="D1939" t="str">
            <v>לעדכן</v>
          </cell>
        </row>
        <row r="1940">
          <cell r="A1940">
            <v>513192</v>
          </cell>
          <cell r="B1940">
            <v>0</v>
          </cell>
          <cell r="C1940">
            <v>0</v>
          </cell>
          <cell r="D1940" t="str">
            <v>לעדכן</v>
          </cell>
        </row>
        <row r="1941">
          <cell r="A1941">
            <v>513200</v>
          </cell>
          <cell r="B1941">
            <v>0</v>
          </cell>
          <cell r="C1941">
            <v>0</v>
          </cell>
          <cell r="D1941" t="str">
            <v>לעדכן</v>
          </cell>
        </row>
        <row r="1942">
          <cell r="A1942">
            <v>513242</v>
          </cell>
          <cell r="B1942">
            <v>0</v>
          </cell>
          <cell r="C1942">
            <v>0</v>
          </cell>
          <cell r="D1942" t="str">
            <v>לעדכן</v>
          </cell>
        </row>
        <row r="1943">
          <cell r="A1943">
            <v>513267</v>
          </cell>
          <cell r="B1943">
            <v>0</v>
          </cell>
          <cell r="C1943">
            <v>0</v>
          </cell>
          <cell r="D1943" t="str">
            <v>לעדכן</v>
          </cell>
        </row>
        <row r="1944">
          <cell r="A1944">
            <v>513283</v>
          </cell>
          <cell r="B1944">
            <v>0</v>
          </cell>
          <cell r="C1944">
            <v>0</v>
          </cell>
          <cell r="D1944" t="str">
            <v>לעדכן</v>
          </cell>
        </row>
        <row r="1945">
          <cell r="A1945">
            <v>513309</v>
          </cell>
          <cell r="B1945">
            <v>0</v>
          </cell>
          <cell r="C1945">
            <v>0</v>
          </cell>
          <cell r="D1945" t="str">
            <v>לעדכן</v>
          </cell>
        </row>
        <row r="1946">
          <cell r="A1946">
            <v>513317</v>
          </cell>
          <cell r="B1946">
            <v>0</v>
          </cell>
          <cell r="C1946">
            <v>0</v>
          </cell>
          <cell r="D1946" t="str">
            <v>לעדכן</v>
          </cell>
        </row>
        <row r="1947">
          <cell r="A1947">
            <v>513325</v>
          </cell>
          <cell r="B1947">
            <v>0</v>
          </cell>
          <cell r="C1947">
            <v>0</v>
          </cell>
          <cell r="D1947" t="str">
            <v>לעדכן</v>
          </cell>
        </row>
        <row r="1948">
          <cell r="A1948">
            <v>513333</v>
          </cell>
          <cell r="B1948">
            <v>0</v>
          </cell>
          <cell r="C1948">
            <v>0</v>
          </cell>
          <cell r="D1948" t="str">
            <v>לעדכן</v>
          </cell>
        </row>
        <row r="1949">
          <cell r="A1949">
            <v>513341</v>
          </cell>
          <cell r="B1949">
            <v>0</v>
          </cell>
          <cell r="C1949">
            <v>0</v>
          </cell>
          <cell r="D1949" t="str">
            <v>לעדכן</v>
          </cell>
        </row>
        <row r="1950">
          <cell r="A1950">
            <v>513358</v>
          </cell>
          <cell r="B1950">
            <v>0</v>
          </cell>
          <cell r="C1950">
            <v>0</v>
          </cell>
          <cell r="D1950" t="str">
            <v>לעדכן</v>
          </cell>
        </row>
        <row r="1951">
          <cell r="A1951">
            <v>513374</v>
          </cell>
          <cell r="B1951">
            <v>0</v>
          </cell>
          <cell r="C1951">
            <v>0</v>
          </cell>
          <cell r="D1951" t="str">
            <v>לעדכן</v>
          </cell>
        </row>
        <row r="1952">
          <cell r="A1952">
            <v>513382</v>
          </cell>
          <cell r="B1952">
            <v>0</v>
          </cell>
          <cell r="C1952">
            <v>0</v>
          </cell>
          <cell r="D1952" t="str">
            <v>לעדכן</v>
          </cell>
        </row>
        <row r="1953">
          <cell r="A1953">
            <v>513408</v>
          </cell>
          <cell r="B1953">
            <v>0</v>
          </cell>
          <cell r="C1953">
            <v>0</v>
          </cell>
          <cell r="D1953" t="str">
            <v>לעדכן</v>
          </cell>
        </row>
        <row r="1954">
          <cell r="A1954">
            <v>513416</v>
          </cell>
          <cell r="B1954">
            <v>0</v>
          </cell>
          <cell r="C1954">
            <v>0</v>
          </cell>
          <cell r="D1954" t="str">
            <v>לעדכן</v>
          </cell>
        </row>
        <row r="1955">
          <cell r="A1955">
            <v>513432</v>
          </cell>
          <cell r="B1955">
            <v>0</v>
          </cell>
          <cell r="C1955">
            <v>0</v>
          </cell>
          <cell r="D1955" t="str">
            <v>לעדכן</v>
          </cell>
        </row>
        <row r="1956">
          <cell r="A1956">
            <v>513507</v>
          </cell>
          <cell r="B1956">
            <v>0</v>
          </cell>
          <cell r="C1956">
            <v>0</v>
          </cell>
          <cell r="D1956" t="str">
            <v>לעדכן</v>
          </cell>
        </row>
        <row r="1957">
          <cell r="A1957">
            <v>513515</v>
          </cell>
          <cell r="B1957">
            <v>0</v>
          </cell>
          <cell r="C1957">
            <v>0</v>
          </cell>
          <cell r="D1957" t="str">
            <v>לעדכן</v>
          </cell>
        </row>
        <row r="1958">
          <cell r="A1958">
            <v>513523</v>
          </cell>
          <cell r="B1958">
            <v>0</v>
          </cell>
          <cell r="C1958">
            <v>0</v>
          </cell>
          <cell r="D1958" t="str">
            <v>לעדכן</v>
          </cell>
        </row>
        <row r="1959">
          <cell r="A1959">
            <v>513531</v>
          </cell>
          <cell r="B1959">
            <v>0</v>
          </cell>
          <cell r="C1959">
            <v>0</v>
          </cell>
          <cell r="D1959" t="str">
            <v>לעדכן</v>
          </cell>
        </row>
        <row r="1960">
          <cell r="A1960">
            <v>513549</v>
          </cell>
          <cell r="B1960">
            <v>0</v>
          </cell>
          <cell r="C1960">
            <v>0</v>
          </cell>
          <cell r="D1960" t="str">
            <v>לעדכן</v>
          </cell>
        </row>
        <row r="1961">
          <cell r="A1961">
            <v>513564</v>
          </cell>
          <cell r="B1961">
            <v>0</v>
          </cell>
          <cell r="C1961">
            <v>0</v>
          </cell>
          <cell r="D1961" t="str">
            <v>לעדכן</v>
          </cell>
        </row>
        <row r="1962">
          <cell r="A1962">
            <v>513572</v>
          </cell>
          <cell r="B1962">
            <v>0</v>
          </cell>
          <cell r="C1962">
            <v>0</v>
          </cell>
          <cell r="D1962" t="str">
            <v>לעדכן</v>
          </cell>
        </row>
        <row r="1963">
          <cell r="A1963">
            <v>513606</v>
          </cell>
          <cell r="B1963">
            <v>0</v>
          </cell>
          <cell r="C1963">
            <v>0</v>
          </cell>
          <cell r="D1963" t="str">
            <v>לעדכן</v>
          </cell>
        </row>
        <row r="1964">
          <cell r="A1964">
            <v>513622</v>
          </cell>
          <cell r="B1964">
            <v>0</v>
          </cell>
          <cell r="C1964">
            <v>0</v>
          </cell>
          <cell r="D1964" t="str">
            <v>לעדכן</v>
          </cell>
        </row>
        <row r="1965">
          <cell r="A1965">
            <v>513630</v>
          </cell>
          <cell r="B1965">
            <v>0</v>
          </cell>
          <cell r="C1965">
            <v>0</v>
          </cell>
          <cell r="D1965" t="str">
            <v>לעדכן</v>
          </cell>
        </row>
        <row r="1966">
          <cell r="A1966">
            <v>513648</v>
          </cell>
          <cell r="B1966">
            <v>0</v>
          </cell>
          <cell r="C1966">
            <v>0</v>
          </cell>
          <cell r="D1966" t="str">
            <v>לעדכן</v>
          </cell>
        </row>
        <row r="1967">
          <cell r="A1967">
            <v>513655</v>
          </cell>
          <cell r="B1967">
            <v>0</v>
          </cell>
          <cell r="C1967">
            <v>0</v>
          </cell>
          <cell r="D1967" t="str">
            <v>לעדכן</v>
          </cell>
        </row>
        <row r="1968">
          <cell r="A1968">
            <v>513671</v>
          </cell>
          <cell r="B1968">
            <v>0</v>
          </cell>
          <cell r="C1968">
            <v>0</v>
          </cell>
          <cell r="D1968" t="str">
            <v>לעדכן</v>
          </cell>
        </row>
        <row r="1969">
          <cell r="A1969">
            <v>513689</v>
          </cell>
          <cell r="B1969">
            <v>0</v>
          </cell>
          <cell r="C1969">
            <v>0</v>
          </cell>
          <cell r="D1969" t="str">
            <v>לעדכן</v>
          </cell>
        </row>
        <row r="1970">
          <cell r="A1970">
            <v>513713</v>
          </cell>
          <cell r="B1970">
            <v>0</v>
          </cell>
          <cell r="C1970">
            <v>0</v>
          </cell>
          <cell r="D1970" t="str">
            <v>לעדכן</v>
          </cell>
        </row>
        <row r="1971">
          <cell r="A1971">
            <v>513721</v>
          </cell>
          <cell r="B1971">
            <v>0</v>
          </cell>
          <cell r="C1971">
            <v>0</v>
          </cell>
          <cell r="D1971" t="str">
            <v>לעדכן</v>
          </cell>
        </row>
        <row r="1972">
          <cell r="A1972">
            <v>513796</v>
          </cell>
          <cell r="B1972">
            <v>0</v>
          </cell>
          <cell r="C1972">
            <v>0</v>
          </cell>
          <cell r="D1972" t="str">
            <v>לעדכן</v>
          </cell>
        </row>
        <row r="1973">
          <cell r="A1973">
            <v>513861</v>
          </cell>
          <cell r="B1973">
            <v>0</v>
          </cell>
          <cell r="C1973">
            <v>0</v>
          </cell>
          <cell r="D1973" t="str">
            <v>לעדכן</v>
          </cell>
        </row>
        <row r="1974">
          <cell r="A1974">
            <v>513903</v>
          </cell>
          <cell r="B1974">
            <v>0</v>
          </cell>
          <cell r="C1974">
            <v>0</v>
          </cell>
          <cell r="D1974" t="str">
            <v>לעדכן</v>
          </cell>
        </row>
        <row r="1975">
          <cell r="A1975">
            <v>513937</v>
          </cell>
          <cell r="B1975">
            <v>0</v>
          </cell>
          <cell r="C1975">
            <v>0</v>
          </cell>
          <cell r="D1975" t="str">
            <v>לעדכן</v>
          </cell>
        </row>
        <row r="1976">
          <cell r="A1976">
            <v>514000</v>
          </cell>
          <cell r="B1976">
            <v>0</v>
          </cell>
          <cell r="C1976">
            <v>0</v>
          </cell>
          <cell r="D1976" t="str">
            <v>לעדכן</v>
          </cell>
        </row>
        <row r="1977">
          <cell r="A1977">
            <v>514018</v>
          </cell>
          <cell r="B1977">
            <v>0</v>
          </cell>
          <cell r="C1977">
            <v>0</v>
          </cell>
          <cell r="D1977" t="str">
            <v>לעדכן</v>
          </cell>
        </row>
        <row r="1978">
          <cell r="A1978">
            <v>514034</v>
          </cell>
          <cell r="B1978">
            <v>0</v>
          </cell>
          <cell r="C1978">
            <v>0</v>
          </cell>
          <cell r="D1978" t="str">
            <v>לעדכן</v>
          </cell>
        </row>
        <row r="1979">
          <cell r="A1979">
            <v>514042</v>
          </cell>
          <cell r="B1979">
            <v>0</v>
          </cell>
          <cell r="C1979">
            <v>0</v>
          </cell>
          <cell r="D1979" t="str">
            <v>לעדכן</v>
          </cell>
        </row>
        <row r="1980">
          <cell r="A1980">
            <v>514059</v>
          </cell>
          <cell r="B1980">
            <v>0</v>
          </cell>
          <cell r="C1980">
            <v>0</v>
          </cell>
          <cell r="D1980" t="str">
            <v>לעדכן</v>
          </cell>
        </row>
        <row r="1981">
          <cell r="A1981">
            <v>514083</v>
          </cell>
          <cell r="B1981">
            <v>0</v>
          </cell>
          <cell r="C1981">
            <v>0</v>
          </cell>
          <cell r="D1981" t="str">
            <v>לעדכן</v>
          </cell>
        </row>
        <row r="1982">
          <cell r="A1982">
            <v>514109</v>
          </cell>
          <cell r="B1982">
            <v>0</v>
          </cell>
          <cell r="C1982">
            <v>0</v>
          </cell>
          <cell r="D1982" t="str">
            <v>לעדכן</v>
          </cell>
        </row>
        <row r="1983">
          <cell r="A1983">
            <v>514117</v>
          </cell>
          <cell r="B1983">
            <v>0</v>
          </cell>
          <cell r="C1983">
            <v>0</v>
          </cell>
          <cell r="D1983" t="str">
            <v>לעדכן</v>
          </cell>
        </row>
        <row r="1984">
          <cell r="A1984">
            <v>514125</v>
          </cell>
          <cell r="B1984">
            <v>0</v>
          </cell>
          <cell r="C1984">
            <v>0</v>
          </cell>
          <cell r="D1984" t="str">
            <v>לעדכן</v>
          </cell>
        </row>
        <row r="1985">
          <cell r="A1985">
            <v>514133</v>
          </cell>
          <cell r="B1985">
            <v>0</v>
          </cell>
          <cell r="C1985">
            <v>0</v>
          </cell>
          <cell r="D1985" t="str">
            <v>לעדכן</v>
          </cell>
        </row>
        <row r="1986">
          <cell r="A1986">
            <v>514166</v>
          </cell>
          <cell r="B1986">
            <v>0</v>
          </cell>
          <cell r="C1986">
            <v>0</v>
          </cell>
          <cell r="D1986" t="str">
            <v>לעדכן</v>
          </cell>
        </row>
        <row r="1987">
          <cell r="A1987">
            <v>514174</v>
          </cell>
          <cell r="B1987">
            <v>0</v>
          </cell>
          <cell r="C1987">
            <v>0</v>
          </cell>
          <cell r="D1987" t="str">
            <v>לעדכן</v>
          </cell>
        </row>
        <row r="1988">
          <cell r="A1988">
            <v>514224</v>
          </cell>
          <cell r="B1988">
            <v>0</v>
          </cell>
          <cell r="C1988">
            <v>0</v>
          </cell>
          <cell r="D1988" t="str">
            <v>לעדכן</v>
          </cell>
        </row>
        <row r="1989">
          <cell r="A1989">
            <v>514232</v>
          </cell>
          <cell r="B1989">
            <v>0</v>
          </cell>
          <cell r="C1989">
            <v>0</v>
          </cell>
          <cell r="D1989" t="str">
            <v>לעדכן</v>
          </cell>
        </row>
        <row r="1990">
          <cell r="A1990">
            <v>514240</v>
          </cell>
          <cell r="B1990">
            <v>0</v>
          </cell>
          <cell r="C1990">
            <v>0</v>
          </cell>
          <cell r="D1990" t="str">
            <v>לעדכן</v>
          </cell>
        </row>
        <row r="1991">
          <cell r="A1991">
            <v>514273</v>
          </cell>
          <cell r="B1991">
            <v>0</v>
          </cell>
          <cell r="C1991">
            <v>0</v>
          </cell>
          <cell r="D1991" t="str">
            <v>לעדכן</v>
          </cell>
        </row>
        <row r="1992">
          <cell r="A1992">
            <v>514281</v>
          </cell>
          <cell r="B1992">
            <v>0</v>
          </cell>
          <cell r="C1992">
            <v>0</v>
          </cell>
          <cell r="D1992" t="str">
            <v>לעדכן</v>
          </cell>
        </row>
        <row r="1993">
          <cell r="A1993">
            <v>514331</v>
          </cell>
          <cell r="B1993">
            <v>0</v>
          </cell>
          <cell r="C1993">
            <v>0</v>
          </cell>
          <cell r="D1993" t="str">
            <v>לעדכן</v>
          </cell>
        </row>
        <row r="1994">
          <cell r="A1994">
            <v>514349</v>
          </cell>
          <cell r="B1994">
            <v>0</v>
          </cell>
          <cell r="C1994">
            <v>0</v>
          </cell>
          <cell r="D1994" t="str">
            <v>לעדכן</v>
          </cell>
        </row>
        <row r="1995">
          <cell r="A1995">
            <v>514372</v>
          </cell>
          <cell r="B1995">
            <v>0</v>
          </cell>
          <cell r="C1995">
            <v>0</v>
          </cell>
          <cell r="D1995" t="str">
            <v>לעדכן</v>
          </cell>
        </row>
        <row r="1996">
          <cell r="A1996">
            <v>514398</v>
          </cell>
          <cell r="B1996">
            <v>0</v>
          </cell>
          <cell r="C1996">
            <v>0</v>
          </cell>
          <cell r="D1996" t="str">
            <v>לעדכן</v>
          </cell>
        </row>
        <row r="1997">
          <cell r="A1997">
            <v>514422</v>
          </cell>
          <cell r="B1997">
            <v>0</v>
          </cell>
          <cell r="C1997">
            <v>0</v>
          </cell>
          <cell r="D1997" t="str">
            <v>לעדכן</v>
          </cell>
        </row>
        <row r="1998">
          <cell r="A1998">
            <v>514463</v>
          </cell>
          <cell r="B1998">
            <v>0</v>
          </cell>
          <cell r="C1998">
            <v>0</v>
          </cell>
          <cell r="D1998" t="str">
            <v>לעדכן</v>
          </cell>
        </row>
        <row r="1999">
          <cell r="A1999">
            <v>514471</v>
          </cell>
          <cell r="B1999">
            <v>0</v>
          </cell>
          <cell r="C1999">
            <v>0</v>
          </cell>
          <cell r="D1999" t="str">
            <v>לעדכן</v>
          </cell>
        </row>
        <row r="2000">
          <cell r="A2000">
            <v>514489</v>
          </cell>
          <cell r="B2000">
            <v>0</v>
          </cell>
          <cell r="C2000">
            <v>0</v>
          </cell>
          <cell r="D2000" t="str">
            <v>לעדכן</v>
          </cell>
        </row>
        <row r="2001">
          <cell r="A2001">
            <v>514505</v>
          </cell>
          <cell r="B2001">
            <v>0</v>
          </cell>
          <cell r="C2001">
            <v>0</v>
          </cell>
          <cell r="D2001" t="str">
            <v>לעדכן</v>
          </cell>
        </row>
        <row r="2002">
          <cell r="A2002">
            <v>514513</v>
          </cell>
          <cell r="B2002">
            <v>0</v>
          </cell>
          <cell r="C2002">
            <v>0</v>
          </cell>
          <cell r="D2002" t="str">
            <v>לעדכן</v>
          </cell>
        </row>
        <row r="2003">
          <cell r="A2003">
            <v>514521</v>
          </cell>
          <cell r="B2003">
            <v>0</v>
          </cell>
          <cell r="C2003">
            <v>0</v>
          </cell>
          <cell r="D2003" t="str">
            <v>לעדכן</v>
          </cell>
        </row>
        <row r="2004">
          <cell r="A2004">
            <v>514539</v>
          </cell>
          <cell r="B2004">
            <v>0</v>
          </cell>
          <cell r="C2004">
            <v>0</v>
          </cell>
          <cell r="D2004" t="str">
            <v>לעדכן</v>
          </cell>
        </row>
        <row r="2005">
          <cell r="A2005">
            <v>514547</v>
          </cell>
          <cell r="B2005">
            <v>0</v>
          </cell>
          <cell r="C2005">
            <v>0</v>
          </cell>
          <cell r="D2005" t="str">
            <v>לעדכן</v>
          </cell>
        </row>
        <row r="2006">
          <cell r="A2006">
            <v>514562</v>
          </cell>
          <cell r="B2006">
            <v>0</v>
          </cell>
          <cell r="C2006">
            <v>0</v>
          </cell>
          <cell r="D2006" t="str">
            <v>לעדכן</v>
          </cell>
        </row>
        <row r="2007">
          <cell r="A2007">
            <v>514570</v>
          </cell>
          <cell r="B2007">
            <v>0</v>
          </cell>
          <cell r="C2007">
            <v>0</v>
          </cell>
          <cell r="D2007" t="str">
            <v>לעדכן</v>
          </cell>
        </row>
        <row r="2008">
          <cell r="A2008">
            <v>514612</v>
          </cell>
          <cell r="B2008">
            <v>0</v>
          </cell>
          <cell r="C2008">
            <v>0</v>
          </cell>
          <cell r="D2008" t="str">
            <v>לעדכן</v>
          </cell>
        </row>
        <row r="2009">
          <cell r="A2009">
            <v>514620</v>
          </cell>
          <cell r="B2009">
            <v>0</v>
          </cell>
          <cell r="C2009">
            <v>0</v>
          </cell>
          <cell r="D2009" t="str">
            <v>לעדכן</v>
          </cell>
        </row>
        <row r="2010">
          <cell r="A2010">
            <v>514653</v>
          </cell>
          <cell r="B2010">
            <v>0</v>
          </cell>
          <cell r="C2010">
            <v>0</v>
          </cell>
          <cell r="D2010" t="str">
            <v>לעדכן</v>
          </cell>
        </row>
        <row r="2011">
          <cell r="A2011">
            <v>514661</v>
          </cell>
          <cell r="B2011">
            <v>0</v>
          </cell>
          <cell r="C2011">
            <v>0</v>
          </cell>
          <cell r="D2011" t="str">
            <v>לעדכן</v>
          </cell>
        </row>
        <row r="2012">
          <cell r="A2012">
            <v>514703</v>
          </cell>
          <cell r="B2012">
            <v>0</v>
          </cell>
          <cell r="C2012">
            <v>0</v>
          </cell>
          <cell r="D2012" t="str">
            <v>לעדכן</v>
          </cell>
        </row>
        <row r="2013">
          <cell r="A2013">
            <v>514760</v>
          </cell>
          <cell r="B2013">
            <v>0</v>
          </cell>
          <cell r="C2013">
            <v>0</v>
          </cell>
          <cell r="D2013" t="str">
            <v>לעדכן</v>
          </cell>
        </row>
        <row r="2014">
          <cell r="A2014">
            <v>514828</v>
          </cell>
          <cell r="B2014">
            <v>0</v>
          </cell>
          <cell r="C2014">
            <v>0</v>
          </cell>
          <cell r="D2014" t="str">
            <v>לעדכן</v>
          </cell>
        </row>
        <row r="2015">
          <cell r="A2015">
            <v>514851</v>
          </cell>
          <cell r="B2015">
            <v>0</v>
          </cell>
          <cell r="C2015">
            <v>0</v>
          </cell>
          <cell r="D2015" t="str">
            <v>לעדכן</v>
          </cell>
        </row>
        <row r="2016">
          <cell r="A2016">
            <v>514877</v>
          </cell>
          <cell r="B2016">
            <v>0</v>
          </cell>
          <cell r="C2016">
            <v>0</v>
          </cell>
          <cell r="D2016" t="str">
            <v>לעדכן</v>
          </cell>
        </row>
        <row r="2017">
          <cell r="A2017">
            <v>514885</v>
          </cell>
          <cell r="B2017">
            <v>0</v>
          </cell>
          <cell r="C2017">
            <v>0</v>
          </cell>
          <cell r="D2017" t="str">
            <v>לעדכן</v>
          </cell>
        </row>
        <row r="2018">
          <cell r="A2018">
            <v>514901</v>
          </cell>
          <cell r="B2018">
            <v>0</v>
          </cell>
          <cell r="C2018">
            <v>0</v>
          </cell>
          <cell r="D2018" t="str">
            <v>לעדכן</v>
          </cell>
        </row>
        <row r="2019">
          <cell r="A2019">
            <v>514919</v>
          </cell>
          <cell r="B2019">
            <v>0</v>
          </cell>
          <cell r="C2019">
            <v>0</v>
          </cell>
          <cell r="D2019" t="str">
            <v>לעדכן</v>
          </cell>
        </row>
        <row r="2020">
          <cell r="A2020">
            <v>514927</v>
          </cell>
          <cell r="B2020">
            <v>0</v>
          </cell>
          <cell r="C2020">
            <v>0</v>
          </cell>
          <cell r="D2020" t="str">
            <v>לעדכן</v>
          </cell>
        </row>
        <row r="2021">
          <cell r="A2021">
            <v>514935</v>
          </cell>
          <cell r="B2021">
            <v>0</v>
          </cell>
          <cell r="C2021">
            <v>0</v>
          </cell>
          <cell r="D2021" t="str">
            <v>לעדכן</v>
          </cell>
        </row>
        <row r="2022">
          <cell r="A2022">
            <v>514943</v>
          </cell>
          <cell r="B2022">
            <v>0</v>
          </cell>
          <cell r="C2022">
            <v>0</v>
          </cell>
          <cell r="D2022" t="str">
            <v>לעדכן</v>
          </cell>
        </row>
        <row r="2023">
          <cell r="A2023">
            <v>514950</v>
          </cell>
          <cell r="B2023">
            <v>0</v>
          </cell>
          <cell r="C2023">
            <v>0</v>
          </cell>
          <cell r="D2023" t="str">
            <v>לעדכן</v>
          </cell>
        </row>
        <row r="2024">
          <cell r="A2024">
            <v>514968</v>
          </cell>
          <cell r="B2024">
            <v>0</v>
          </cell>
          <cell r="C2024">
            <v>0</v>
          </cell>
          <cell r="D2024" t="str">
            <v>לעדכן</v>
          </cell>
        </row>
        <row r="2025">
          <cell r="A2025">
            <v>514976</v>
          </cell>
          <cell r="B2025">
            <v>0</v>
          </cell>
          <cell r="C2025">
            <v>0</v>
          </cell>
          <cell r="D2025" t="str">
            <v>לעדכן</v>
          </cell>
        </row>
        <row r="2026">
          <cell r="A2026">
            <v>514984</v>
          </cell>
          <cell r="B2026">
            <v>0</v>
          </cell>
          <cell r="C2026">
            <v>0</v>
          </cell>
          <cell r="D2026" t="str">
            <v>לעדכן</v>
          </cell>
        </row>
        <row r="2027">
          <cell r="A2027">
            <v>514992</v>
          </cell>
          <cell r="B2027">
            <v>0</v>
          </cell>
          <cell r="C2027">
            <v>0</v>
          </cell>
          <cell r="D2027" t="str">
            <v>לעדכן</v>
          </cell>
        </row>
        <row r="2028">
          <cell r="A2028">
            <v>515395</v>
          </cell>
          <cell r="B2028">
            <v>0</v>
          </cell>
          <cell r="C2028">
            <v>0</v>
          </cell>
          <cell r="D2028" t="str">
            <v>לעדכן</v>
          </cell>
        </row>
        <row r="2029">
          <cell r="A2029">
            <v>515445</v>
          </cell>
          <cell r="B2029">
            <v>0</v>
          </cell>
          <cell r="C2029">
            <v>0</v>
          </cell>
          <cell r="D2029" t="str">
            <v>לעדכן</v>
          </cell>
        </row>
        <row r="2030">
          <cell r="A2030">
            <v>515452</v>
          </cell>
          <cell r="B2030">
            <v>0</v>
          </cell>
          <cell r="C2030">
            <v>0</v>
          </cell>
          <cell r="D2030" t="str">
            <v>לעדכן</v>
          </cell>
        </row>
        <row r="2031">
          <cell r="A2031">
            <v>515494</v>
          </cell>
          <cell r="B2031">
            <v>0</v>
          </cell>
          <cell r="C2031">
            <v>0</v>
          </cell>
          <cell r="D2031" t="str">
            <v>לעדכן</v>
          </cell>
        </row>
        <row r="2032">
          <cell r="A2032">
            <v>518019</v>
          </cell>
          <cell r="B2032">
            <v>0</v>
          </cell>
          <cell r="C2032">
            <v>0</v>
          </cell>
          <cell r="D2032" t="str">
            <v>לעדכן</v>
          </cell>
        </row>
        <row r="2033">
          <cell r="A2033">
            <v>518035</v>
          </cell>
          <cell r="B2033">
            <v>0</v>
          </cell>
          <cell r="C2033">
            <v>0</v>
          </cell>
          <cell r="D2033" t="str">
            <v>לעדכן</v>
          </cell>
        </row>
        <row r="2034">
          <cell r="A2034">
            <v>518043</v>
          </cell>
          <cell r="B2034">
            <v>0</v>
          </cell>
          <cell r="C2034">
            <v>0</v>
          </cell>
          <cell r="D2034" t="str">
            <v>לעדכן</v>
          </cell>
        </row>
        <row r="2035">
          <cell r="A2035">
            <v>518050</v>
          </cell>
          <cell r="B2035">
            <v>0</v>
          </cell>
          <cell r="C2035">
            <v>0</v>
          </cell>
          <cell r="D2035" t="str">
            <v>לעדכן</v>
          </cell>
        </row>
        <row r="2036">
          <cell r="A2036">
            <v>518076</v>
          </cell>
          <cell r="B2036">
            <v>0</v>
          </cell>
          <cell r="C2036">
            <v>0</v>
          </cell>
          <cell r="D2036" t="str">
            <v>לעדכן</v>
          </cell>
        </row>
        <row r="2037">
          <cell r="A2037">
            <v>518365</v>
          </cell>
          <cell r="B2037">
            <v>0</v>
          </cell>
          <cell r="C2037">
            <v>0</v>
          </cell>
          <cell r="D2037" t="str">
            <v>לעדכן</v>
          </cell>
        </row>
        <row r="2038">
          <cell r="A2038">
            <v>518373</v>
          </cell>
          <cell r="B2038">
            <v>0</v>
          </cell>
          <cell r="C2038">
            <v>0</v>
          </cell>
          <cell r="D2038" t="str">
            <v>לעדכן</v>
          </cell>
        </row>
        <row r="2039">
          <cell r="A2039">
            <v>519215</v>
          </cell>
          <cell r="B2039">
            <v>0</v>
          </cell>
          <cell r="C2039">
            <v>0</v>
          </cell>
          <cell r="D2039" t="str">
            <v>לעדכן</v>
          </cell>
        </row>
        <row r="2040">
          <cell r="A2040">
            <v>521971</v>
          </cell>
          <cell r="B2040">
            <v>0</v>
          </cell>
          <cell r="C2040">
            <v>0</v>
          </cell>
          <cell r="D2040" t="str">
            <v>לעדכן</v>
          </cell>
        </row>
        <row r="2041">
          <cell r="A2041">
            <v>522441</v>
          </cell>
          <cell r="B2041">
            <v>0</v>
          </cell>
          <cell r="C2041">
            <v>0</v>
          </cell>
          <cell r="D2041" t="str">
            <v>לעדכן</v>
          </cell>
        </row>
        <row r="2042">
          <cell r="A2042">
            <v>530014</v>
          </cell>
          <cell r="B2042">
            <v>0</v>
          </cell>
          <cell r="C2042">
            <v>0</v>
          </cell>
          <cell r="D2042" t="str">
            <v>לעדכן</v>
          </cell>
        </row>
        <row r="2043">
          <cell r="A2043">
            <v>530022</v>
          </cell>
          <cell r="B2043">
            <v>0</v>
          </cell>
          <cell r="C2043">
            <v>0</v>
          </cell>
          <cell r="D2043" t="str">
            <v>לעדכן</v>
          </cell>
        </row>
        <row r="2044">
          <cell r="A2044">
            <v>530030</v>
          </cell>
          <cell r="B2044">
            <v>0</v>
          </cell>
          <cell r="C2044">
            <v>0</v>
          </cell>
          <cell r="D2044" t="str">
            <v>לעדכן</v>
          </cell>
        </row>
        <row r="2045">
          <cell r="A2045">
            <v>530048</v>
          </cell>
          <cell r="B2045">
            <v>0</v>
          </cell>
          <cell r="C2045">
            <v>0</v>
          </cell>
          <cell r="D2045" t="str">
            <v>לעדכן</v>
          </cell>
        </row>
        <row r="2046">
          <cell r="A2046">
            <v>530337</v>
          </cell>
          <cell r="B2046">
            <v>0</v>
          </cell>
          <cell r="C2046">
            <v>0</v>
          </cell>
          <cell r="D2046" t="str">
            <v>לעדכן</v>
          </cell>
        </row>
        <row r="2047">
          <cell r="A2047">
            <v>530394</v>
          </cell>
          <cell r="B2047">
            <v>0</v>
          </cell>
          <cell r="C2047">
            <v>0</v>
          </cell>
          <cell r="D2047" t="str">
            <v>לעדכן</v>
          </cell>
        </row>
        <row r="2048">
          <cell r="A2048">
            <v>530402</v>
          </cell>
          <cell r="B2048">
            <v>0</v>
          </cell>
          <cell r="C2048">
            <v>0</v>
          </cell>
          <cell r="D2048" t="str">
            <v>לעדכן</v>
          </cell>
        </row>
        <row r="2049">
          <cell r="A2049">
            <v>530535</v>
          </cell>
          <cell r="B2049">
            <v>0</v>
          </cell>
          <cell r="C2049">
            <v>0</v>
          </cell>
          <cell r="D2049" t="str">
            <v>לעדכן</v>
          </cell>
        </row>
        <row r="2050">
          <cell r="A2050">
            <v>530717</v>
          </cell>
          <cell r="B2050">
            <v>0</v>
          </cell>
          <cell r="C2050">
            <v>0</v>
          </cell>
          <cell r="D2050" t="str">
            <v>לעדכן</v>
          </cell>
        </row>
        <row r="2051">
          <cell r="A2051">
            <v>531905</v>
          </cell>
          <cell r="B2051">
            <v>0</v>
          </cell>
          <cell r="C2051">
            <v>0</v>
          </cell>
          <cell r="D2051" t="str">
            <v>לעדכן</v>
          </cell>
        </row>
        <row r="2052">
          <cell r="A2052">
            <v>539916</v>
          </cell>
          <cell r="B2052">
            <v>0</v>
          </cell>
          <cell r="C2052">
            <v>0</v>
          </cell>
          <cell r="D2052" t="str">
            <v>לעדכן</v>
          </cell>
        </row>
        <row r="2053">
          <cell r="A2053">
            <v>548024</v>
          </cell>
          <cell r="B2053">
            <v>0</v>
          </cell>
          <cell r="C2053">
            <v>0</v>
          </cell>
          <cell r="D2053" t="str">
            <v>לעדכן</v>
          </cell>
        </row>
        <row r="2054">
          <cell r="A2054">
            <v>560417</v>
          </cell>
          <cell r="B2054">
            <v>0</v>
          </cell>
          <cell r="C2054">
            <v>0</v>
          </cell>
          <cell r="D2054" t="str">
            <v>לעדכן</v>
          </cell>
        </row>
        <row r="2055">
          <cell r="A2055">
            <v>566851</v>
          </cell>
          <cell r="B2055">
            <v>0</v>
          </cell>
          <cell r="C2055">
            <v>0</v>
          </cell>
          <cell r="D2055" t="str">
            <v>לעדכן</v>
          </cell>
        </row>
        <row r="2056">
          <cell r="A2056">
            <v>566885</v>
          </cell>
          <cell r="B2056">
            <v>0</v>
          </cell>
          <cell r="C2056">
            <v>0</v>
          </cell>
          <cell r="D2056" t="str">
            <v>לעדכן</v>
          </cell>
        </row>
        <row r="2057">
          <cell r="A2057">
            <v>566919</v>
          </cell>
          <cell r="B2057">
            <v>0</v>
          </cell>
          <cell r="C2057">
            <v>0</v>
          </cell>
          <cell r="D2057" t="str">
            <v>לעדכן</v>
          </cell>
        </row>
        <row r="2058">
          <cell r="A2058">
            <v>572768</v>
          </cell>
          <cell r="B2058">
            <v>0</v>
          </cell>
          <cell r="C2058">
            <v>0</v>
          </cell>
          <cell r="D2058" t="str">
            <v>לעדכן</v>
          </cell>
        </row>
        <row r="2059">
          <cell r="A2059">
            <v>573030</v>
          </cell>
          <cell r="B2059">
            <v>0</v>
          </cell>
          <cell r="C2059">
            <v>0</v>
          </cell>
          <cell r="D2059" t="str">
            <v>לעדכן</v>
          </cell>
        </row>
        <row r="2060">
          <cell r="A2060">
            <v>573055</v>
          </cell>
          <cell r="B2060">
            <v>0</v>
          </cell>
          <cell r="C2060">
            <v>0</v>
          </cell>
          <cell r="D2060" t="str">
            <v>לעדכן</v>
          </cell>
        </row>
        <row r="2061">
          <cell r="A2061">
            <v>573063</v>
          </cell>
          <cell r="B2061">
            <v>0</v>
          </cell>
          <cell r="C2061">
            <v>0</v>
          </cell>
          <cell r="D2061" t="str">
            <v>לעדכן</v>
          </cell>
        </row>
        <row r="2062">
          <cell r="A2062">
            <v>573089</v>
          </cell>
          <cell r="B2062">
            <v>0</v>
          </cell>
          <cell r="C2062">
            <v>0</v>
          </cell>
          <cell r="D2062" t="str">
            <v>לעדכן</v>
          </cell>
        </row>
        <row r="2063">
          <cell r="A2063">
            <v>574293</v>
          </cell>
          <cell r="B2063">
            <v>0</v>
          </cell>
          <cell r="C2063">
            <v>0</v>
          </cell>
          <cell r="D2063" t="str">
            <v>לעדכן</v>
          </cell>
        </row>
        <row r="2064">
          <cell r="A2064">
            <v>578583</v>
          </cell>
          <cell r="B2064">
            <v>0</v>
          </cell>
          <cell r="C2064">
            <v>0</v>
          </cell>
          <cell r="D2064" t="str">
            <v>לעדכן</v>
          </cell>
        </row>
        <row r="2065">
          <cell r="A2065">
            <v>579219</v>
          </cell>
          <cell r="B2065">
            <v>0</v>
          </cell>
          <cell r="C2065">
            <v>0</v>
          </cell>
          <cell r="D2065" t="str">
            <v>לעדכן</v>
          </cell>
        </row>
        <row r="2066">
          <cell r="A2066">
            <v>579250</v>
          </cell>
          <cell r="B2066">
            <v>0</v>
          </cell>
          <cell r="C2066">
            <v>0</v>
          </cell>
          <cell r="D2066" t="str">
            <v>לעדכן</v>
          </cell>
        </row>
        <row r="2067">
          <cell r="A2067">
            <v>579268</v>
          </cell>
          <cell r="B2067">
            <v>0</v>
          </cell>
          <cell r="C2067">
            <v>0</v>
          </cell>
          <cell r="D2067" t="str">
            <v>לעדכן</v>
          </cell>
        </row>
        <row r="2068">
          <cell r="A2068">
            <v>581165</v>
          </cell>
          <cell r="B2068">
            <v>0</v>
          </cell>
          <cell r="C2068">
            <v>0</v>
          </cell>
          <cell r="D2068" t="str">
            <v>לעדכן</v>
          </cell>
        </row>
        <row r="2069">
          <cell r="A2069">
            <v>581173</v>
          </cell>
          <cell r="B2069">
            <v>0</v>
          </cell>
          <cell r="C2069">
            <v>0</v>
          </cell>
          <cell r="D2069" t="str">
            <v>לעדכן</v>
          </cell>
        </row>
        <row r="2070">
          <cell r="A2070">
            <v>581181</v>
          </cell>
          <cell r="B2070">
            <v>0</v>
          </cell>
          <cell r="C2070">
            <v>0</v>
          </cell>
          <cell r="D2070" t="str">
            <v>לעדכן</v>
          </cell>
        </row>
        <row r="2071">
          <cell r="A2071">
            <v>581199</v>
          </cell>
          <cell r="B2071">
            <v>0</v>
          </cell>
          <cell r="C2071">
            <v>0</v>
          </cell>
          <cell r="D2071" t="str">
            <v>לעדכן</v>
          </cell>
        </row>
        <row r="2072">
          <cell r="A2072">
            <v>581348</v>
          </cell>
          <cell r="B2072">
            <v>0</v>
          </cell>
          <cell r="C2072">
            <v>0</v>
          </cell>
          <cell r="D2072" t="str">
            <v>לעדכן</v>
          </cell>
        </row>
        <row r="2073">
          <cell r="A2073">
            <v>581355</v>
          </cell>
          <cell r="B2073">
            <v>0</v>
          </cell>
          <cell r="C2073">
            <v>0</v>
          </cell>
          <cell r="D2073" t="str">
            <v>לעדכן</v>
          </cell>
        </row>
        <row r="2074">
          <cell r="A2074">
            <v>581363</v>
          </cell>
          <cell r="B2074">
            <v>0</v>
          </cell>
          <cell r="C2074">
            <v>0</v>
          </cell>
          <cell r="D2074" t="str">
            <v>לעדכן</v>
          </cell>
        </row>
        <row r="2075">
          <cell r="A2075">
            <v>581397</v>
          </cell>
          <cell r="B2075">
            <v>0</v>
          </cell>
          <cell r="C2075">
            <v>0</v>
          </cell>
          <cell r="D2075" t="str">
            <v>לעדכן</v>
          </cell>
        </row>
        <row r="2076">
          <cell r="A2076">
            <v>581413</v>
          </cell>
          <cell r="B2076">
            <v>0</v>
          </cell>
          <cell r="C2076">
            <v>0</v>
          </cell>
          <cell r="D2076" t="str">
            <v>לעדכן</v>
          </cell>
        </row>
        <row r="2077">
          <cell r="A2077">
            <v>581421</v>
          </cell>
          <cell r="B2077">
            <v>0</v>
          </cell>
          <cell r="C2077">
            <v>0</v>
          </cell>
          <cell r="D2077" t="str">
            <v>לעדכן</v>
          </cell>
        </row>
        <row r="2078">
          <cell r="A2078">
            <v>581470</v>
          </cell>
          <cell r="B2078">
            <v>0</v>
          </cell>
          <cell r="C2078">
            <v>0</v>
          </cell>
          <cell r="D2078" t="str">
            <v>לעדכן</v>
          </cell>
        </row>
        <row r="2079">
          <cell r="A2079">
            <v>581488</v>
          </cell>
          <cell r="B2079">
            <v>0</v>
          </cell>
          <cell r="C2079">
            <v>0</v>
          </cell>
          <cell r="D2079" t="str">
            <v>לעדכן</v>
          </cell>
        </row>
        <row r="2080">
          <cell r="A2080">
            <v>581504</v>
          </cell>
          <cell r="B2080">
            <v>0</v>
          </cell>
          <cell r="C2080">
            <v>0</v>
          </cell>
          <cell r="D2080" t="str">
            <v>לעדכן</v>
          </cell>
        </row>
        <row r="2081">
          <cell r="A2081">
            <v>581512</v>
          </cell>
          <cell r="B2081">
            <v>0</v>
          </cell>
          <cell r="C2081">
            <v>0</v>
          </cell>
          <cell r="D2081" t="str">
            <v>לעדכן</v>
          </cell>
        </row>
        <row r="2082">
          <cell r="A2082">
            <v>581520</v>
          </cell>
          <cell r="B2082">
            <v>0</v>
          </cell>
          <cell r="C2082">
            <v>0</v>
          </cell>
          <cell r="D2082" t="str">
            <v>לעדכן</v>
          </cell>
        </row>
        <row r="2083">
          <cell r="A2083">
            <v>581611</v>
          </cell>
          <cell r="B2083">
            <v>0</v>
          </cell>
          <cell r="C2083">
            <v>0</v>
          </cell>
          <cell r="D2083" t="str">
            <v>לעדכן</v>
          </cell>
        </row>
        <row r="2084">
          <cell r="A2084">
            <v>581629</v>
          </cell>
          <cell r="B2084">
            <v>0</v>
          </cell>
          <cell r="C2084">
            <v>0</v>
          </cell>
          <cell r="D2084" t="str">
            <v>לעדכן</v>
          </cell>
        </row>
        <row r="2085">
          <cell r="A2085">
            <v>581637</v>
          </cell>
          <cell r="B2085">
            <v>0</v>
          </cell>
          <cell r="C2085">
            <v>0</v>
          </cell>
          <cell r="D2085" t="str">
            <v>לעדכן</v>
          </cell>
        </row>
        <row r="2086">
          <cell r="A2086">
            <v>581645</v>
          </cell>
          <cell r="B2086">
            <v>0</v>
          </cell>
          <cell r="C2086">
            <v>0</v>
          </cell>
          <cell r="D2086" t="str">
            <v>לעדכן</v>
          </cell>
        </row>
        <row r="2087">
          <cell r="A2087">
            <v>581652</v>
          </cell>
          <cell r="B2087">
            <v>0</v>
          </cell>
          <cell r="C2087">
            <v>0</v>
          </cell>
          <cell r="D2087" t="str">
            <v>לעדכן</v>
          </cell>
        </row>
        <row r="2088">
          <cell r="A2088">
            <v>581686</v>
          </cell>
          <cell r="B2088">
            <v>0</v>
          </cell>
          <cell r="C2088">
            <v>0</v>
          </cell>
          <cell r="D2088" t="str">
            <v>לעדכן</v>
          </cell>
        </row>
        <row r="2089">
          <cell r="A2089">
            <v>581694</v>
          </cell>
          <cell r="B2089">
            <v>0</v>
          </cell>
          <cell r="C2089">
            <v>0</v>
          </cell>
          <cell r="D2089" t="str">
            <v>לעדכן</v>
          </cell>
        </row>
        <row r="2090">
          <cell r="A2090">
            <v>582031</v>
          </cell>
          <cell r="B2090">
            <v>0</v>
          </cell>
          <cell r="C2090">
            <v>0</v>
          </cell>
          <cell r="D2090" t="str">
            <v>לעדכן</v>
          </cell>
        </row>
        <row r="2091">
          <cell r="A2091">
            <v>582056</v>
          </cell>
          <cell r="B2091">
            <v>0</v>
          </cell>
          <cell r="C2091">
            <v>0</v>
          </cell>
          <cell r="D2091" t="str">
            <v>לעדכן</v>
          </cell>
        </row>
        <row r="2092">
          <cell r="A2092">
            <v>582502</v>
          </cell>
          <cell r="B2092">
            <v>0</v>
          </cell>
          <cell r="C2092">
            <v>0</v>
          </cell>
          <cell r="D2092" t="str">
            <v>לעדכן</v>
          </cell>
        </row>
        <row r="2093">
          <cell r="A2093">
            <v>582510</v>
          </cell>
          <cell r="B2093">
            <v>0</v>
          </cell>
          <cell r="C2093">
            <v>0</v>
          </cell>
          <cell r="D2093" t="str">
            <v>לעדכן</v>
          </cell>
        </row>
        <row r="2094">
          <cell r="A2094">
            <v>600007</v>
          </cell>
          <cell r="B2094">
            <v>0</v>
          </cell>
          <cell r="C2094">
            <v>0</v>
          </cell>
          <cell r="D2094" t="str">
            <v>לעדכן</v>
          </cell>
        </row>
        <row r="2095">
          <cell r="A2095">
            <v>610014</v>
          </cell>
          <cell r="B2095">
            <v>0</v>
          </cell>
          <cell r="C2095">
            <v>0</v>
          </cell>
          <cell r="D2095" t="str">
            <v>לעדכן</v>
          </cell>
        </row>
        <row r="2096">
          <cell r="A2096">
            <v>610030</v>
          </cell>
          <cell r="B2096">
            <v>0</v>
          </cell>
          <cell r="C2096">
            <v>0</v>
          </cell>
          <cell r="D2096" t="str">
            <v>לעדכן</v>
          </cell>
        </row>
        <row r="2097">
          <cell r="A2097">
            <v>610048</v>
          </cell>
          <cell r="B2097">
            <v>0</v>
          </cell>
          <cell r="C2097">
            <v>0</v>
          </cell>
          <cell r="D2097" t="str">
            <v>לעדכן</v>
          </cell>
        </row>
        <row r="2098">
          <cell r="A2098">
            <v>610055</v>
          </cell>
          <cell r="B2098">
            <v>0</v>
          </cell>
          <cell r="C2098">
            <v>0</v>
          </cell>
          <cell r="D2098" t="str">
            <v>לעדכן</v>
          </cell>
        </row>
        <row r="2099">
          <cell r="A2099">
            <v>610063</v>
          </cell>
          <cell r="B2099">
            <v>0</v>
          </cell>
          <cell r="C2099">
            <v>0</v>
          </cell>
          <cell r="D2099" t="str">
            <v>לעדכן</v>
          </cell>
        </row>
        <row r="2100">
          <cell r="A2100">
            <v>610071</v>
          </cell>
          <cell r="B2100">
            <v>0</v>
          </cell>
          <cell r="C2100">
            <v>0</v>
          </cell>
          <cell r="D2100" t="str">
            <v>לעדכן</v>
          </cell>
        </row>
        <row r="2101">
          <cell r="A2101">
            <v>610097</v>
          </cell>
          <cell r="B2101">
            <v>0</v>
          </cell>
          <cell r="C2101">
            <v>0</v>
          </cell>
          <cell r="D2101" t="str">
            <v>לעדכן</v>
          </cell>
        </row>
        <row r="2102">
          <cell r="A2102">
            <v>610105</v>
          </cell>
          <cell r="B2102">
            <v>0</v>
          </cell>
          <cell r="C2102">
            <v>0</v>
          </cell>
          <cell r="D2102" t="str">
            <v>לעדכן</v>
          </cell>
        </row>
        <row r="2103">
          <cell r="A2103">
            <v>610121</v>
          </cell>
          <cell r="B2103">
            <v>0</v>
          </cell>
          <cell r="C2103">
            <v>0</v>
          </cell>
          <cell r="D2103" t="str">
            <v>לעדכן</v>
          </cell>
        </row>
        <row r="2104">
          <cell r="A2104">
            <v>610162</v>
          </cell>
          <cell r="B2104">
            <v>0</v>
          </cell>
          <cell r="C2104">
            <v>0</v>
          </cell>
          <cell r="D2104" t="str">
            <v>לעדכן</v>
          </cell>
        </row>
        <row r="2105">
          <cell r="A2105">
            <v>610188</v>
          </cell>
          <cell r="B2105">
            <v>0</v>
          </cell>
          <cell r="C2105">
            <v>0</v>
          </cell>
          <cell r="D2105" t="str">
            <v>לעדכן</v>
          </cell>
        </row>
        <row r="2106">
          <cell r="A2106">
            <v>610196</v>
          </cell>
          <cell r="B2106">
            <v>0</v>
          </cell>
          <cell r="C2106">
            <v>0</v>
          </cell>
          <cell r="D2106" t="str">
            <v>לעדכן</v>
          </cell>
        </row>
        <row r="2107">
          <cell r="A2107">
            <v>610212</v>
          </cell>
          <cell r="B2107">
            <v>0</v>
          </cell>
          <cell r="C2107">
            <v>0</v>
          </cell>
          <cell r="D2107" t="str">
            <v>לעדכן</v>
          </cell>
        </row>
        <row r="2108">
          <cell r="A2108">
            <v>610246</v>
          </cell>
          <cell r="B2108">
            <v>0</v>
          </cell>
          <cell r="C2108">
            <v>0</v>
          </cell>
          <cell r="D2108" t="str">
            <v>לעדכן</v>
          </cell>
        </row>
        <row r="2109">
          <cell r="A2109">
            <v>610253</v>
          </cell>
          <cell r="B2109">
            <v>0</v>
          </cell>
          <cell r="C2109">
            <v>0</v>
          </cell>
          <cell r="D2109" t="str">
            <v>לעדכן</v>
          </cell>
        </row>
        <row r="2110">
          <cell r="A2110">
            <v>610303</v>
          </cell>
          <cell r="B2110">
            <v>0</v>
          </cell>
          <cell r="C2110">
            <v>0</v>
          </cell>
          <cell r="D2110" t="str">
            <v>לעדכן</v>
          </cell>
        </row>
        <row r="2111">
          <cell r="A2111">
            <v>610311</v>
          </cell>
          <cell r="B2111">
            <v>0</v>
          </cell>
          <cell r="C2111">
            <v>0</v>
          </cell>
          <cell r="D2111" t="str">
            <v>לעדכן</v>
          </cell>
        </row>
        <row r="2112">
          <cell r="A2112">
            <v>610329</v>
          </cell>
          <cell r="B2112">
            <v>0</v>
          </cell>
          <cell r="C2112">
            <v>0</v>
          </cell>
          <cell r="D2112" t="str">
            <v>לעדכן</v>
          </cell>
        </row>
        <row r="2113">
          <cell r="A2113">
            <v>610345</v>
          </cell>
          <cell r="B2113">
            <v>0</v>
          </cell>
          <cell r="C2113">
            <v>0</v>
          </cell>
          <cell r="D2113" t="str">
            <v>לעדכן</v>
          </cell>
        </row>
        <row r="2114">
          <cell r="A2114">
            <v>610378</v>
          </cell>
          <cell r="B2114">
            <v>0</v>
          </cell>
          <cell r="C2114">
            <v>0</v>
          </cell>
          <cell r="D2114" t="str">
            <v>לעדכן</v>
          </cell>
        </row>
        <row r="2115">
          <cell r="A2115">
            <v>610386</v>
          </cell>
          <cell r="B2115">
            <v>0</v>
          </cell>
          <cell r="C2115">
            <v>0</v>
          </cell>
          <cell r="D2115" t="str">
            <v>לעדכן</v>
          </cell>
        </row>
        <row r="2116">
          <cell r="A2116">
            <v>610394</v>
          </cell>
          <cell r="B2116">
            <v>0</v>
          </cell>
          <cell r="C2116">
            <v>0</v>
          </cell>
          <cell r="D2116" t="str">
            <v>לעדכן</v>
          </cell>
        </row>
        <row r="2117">
          <cell r="A2117">
            <v>610428</v>
          </cell>
          <cell r="B2117">
            <v>0</v>
          </cell>
          <cell r="C2117">
            <v>0</v>
          </cell>
          <cell r="D2117" t="str">
            <v>לעדכן</v>
          </cell>
        </row>
        <row r="2118">
          <cell r="A2118">
            <v>610436</v>
          </cell>
          <cell r="B2118">
            <v>0</v>
          </cell>
          <cell r="C2118">
            <v>0</v>
          </cell>
          <cell r="D2118" t="str">
            <v>לעדכן</v>
          </cell>
        </row>
        <row r="2119">
          <cell r="A2119">
            <v>610477</v>
          </cell>
          <cell r="B2119">
            <v>0</v>
          </cell>
          <cell r="C2119">
            <v>0</v>
          </cell>
          <cell r="D2119" t="str">
            <v>לעדכן</v>
          </cell>
        </row>
        <row r="2120">
          <cell r="A2120">
            <v>610485</v>
          </cell>
          <cell r="B2120">
            <v>0</v>
          </cell>
          <cell r="C2120">
            <v>0</v>
          </cell>
          <cell r="D2120" t="str">
            <v>לעדכן</v>
          </cell>
        </row>
        <row r="2121">
          <cell r="A2121">
            <v>610493</v>
          </cell>
          <cell r="B2121">
            <v>0</v>
          </cell>
          <cell r="C2121">
            <v>0</v>
          </cell>
          <cell r="D2121" t="str">
            <v>לעדכן</v>
          </cell>
        </row>
        <row r="2122">
          <cell r="A2122">
            <v>610501</v>
          </cell>
          <cell r="B2122">
            <v>0</v>
          </cell>
          <cell r="C2122">
            <v>0</v>
          </cell>
          <cell r="D2122" t="str">
            <v>לעדכן</v>
          </cell>
        </row>
        <row r="2123">
          <cell r="A2123">
            <v>610527</v>
          </cell>
          <cell r="B2123">
            <v>0</v>
          </cell>
          <cell r="C2123">
            <v>0</v>
          </cell>
          <cell r="D2123" t="str">
            <v>לעדכן</v>
          </cell>
        </row>
        <row r="2124">
          <cell r="A2124">
            <v>610550</v>
          </cell>
          <cell r="B2124">
            <v>0</v>
          </cell>
          <cell r="C2124">
            <v>0</v>
          </cell>
          <cell r="D2124" t="str">
            <v>לעדכן</v>
          </cell>
        </row>
        <row r="2125">
          <cell r="A2125">
            <v>610568</v>
          </cell>
          <cell r="B2125">
            <v>0</v>
          </cell>
          <cell r="C2125">
            <v>0</v>
          </cell>
          <cell r="D2125" t="str">
            <v>לעדכן</v>
          </cell>
        </row>
        <row r="2126">
          <cell r="A2126">
            <v>610600</v>
          </cell>
          <cell r="B2126">
            <v>0</v>
          </cell>
          <cell r="C2126">
            <v>0</v>
          </cell>
          <cell r="D2126" t="str">
            <v>לעדכן</v>
          </cell>
        </row>
        <row r="2127">
          <cell r="A2127">
            <v>610618</v>
          </cell>
          <cell r="B2127">
            <v>0</v>
          </cell>
          <cell r="C2127">
            <v>0</v>
          </cell>
          <cell r="D2127" t="str">
            <v>לעדכן</v>
          </cell>
        </row>
        <row r="2128">
          <cell r="A2128">
            <v>610626</v>
          </cell>
          <cell r="B2128">
            <v>0</v>
          </cell>
          <cell r="C2128">
            <v>0</v>
          </cell>
          <cell r="D2128" t="str">
            <v>לעדכן</v>
          </cell>
        </row>
        <row r="2129">
          <cell r="A2129">
            <v>610642</v>
          </cell>
          <cell r="B2129">
            <v>0</v>
          </cell>
          <cell r="C2129">
            <v>0</v>
          </cell>
          <cell r="D2129" t="str">
            <v>לעדכן</v>
          </cell>
        </row>
        <row r="2130">
          <cell r="A2130">
            <v>610659</v>
          </cell>
          <cell r="B2130">
            <v>0</v>
          </cell>
          <cell r="C2130">
            <v>0</v>
          </cell>
          <cell r="D2130" t="str">
            <v>לעדכן</v>
          </cell>
        </row>
        <row r="2131">
          <cell r="A2131">
            <v>610709</v>
          </cell>
          <cell r="B2131">
            <v>0</v>
          </cell>
          <cell r="C2131">
            <v>0</v>
          </cell>
          <cell r="D2131" t="str">
            <v>לעדכן</v>
          </cell>
        </row>
        <row r="2132">
          <cell r="A2132">
            <v>610733</v>
          </cell>
          <cell r="B2132">
            <v>0</v>
          </cell>
          <cell r="C2132">
            <v>0</v>
          </cell>
          <cell r="D2132" t="str">
            <v>לעדכן</v>
          </cell>
        </row>
        <row r="2133">
          <cell r="A2133">
            <v>610741</v>
          </cell>
          <cell r="B2133">
            <v>0</v>
          </cell>
          <cell r="C2133">
            <v>0</v>
          </cell>
          <cell r="D2133" t="str">
            <v>לעדכן</v>
          </cell>
        </row>
        <row r="2134">
          <cell r="A2134">
            <v>610774</v>
          </cell>
          <cell r="B2134">
            <v>0</v>
          </cell>
          <cell r="C2134">
            <v>0</v>
          </cell>
          <cell r="D2134" t="str">
            <v>לעדכן</v>
          </cell>
        </row>
        <row r="2135">
          <cell r="A2135">
            <v>610790</v>
          </cell>
          <cell r="B2135">
            <v>0</v>
          </cell>
          <cell r="C2135">
            <v>0</v>
          </cell>
          <cell r="D2135" t="str">
            <v>לעדכן</v>
          </cell>
        </row>
        <row r="2136">
          <cell r="A2136">
            <v>610808</v>
          </cell>
          <cell r="B2136">
            <v>0</v>
          </cell>
          <cell r="C2136">
            <v>0</v>
          </cell>
          <cell r="D2136" t="str">
            <v>לעדכן</v>
          </cell>
        </row>
        <row r="2137">
          <cell r="A2137">
            <v>610824</v>
          </cell>
          <cell r="B2137">
            <v>0</v>
          </cell>
          <cell r="C2137">
            <v>0</v>
          </cell>
          <cell r="D2137" t="str">
            <v>לעדכן</v>
          </cell>
        </row>
        <row r="2138">
          <cell r="A2138">
            <v>610832</v>
          </cell>
          <cell r="B2138">
            <v>0</v>
          </cell>
          <cell r="C2138">
            <v>0</v>
          </cell>
          <cell r="D2138" t="str">
            <v>לעדכן</v>
          </cell>
        </row>
        <row r="2139">
          <cell r="A2139">
            <v>610857</v>
          </cell>
          <cell r="B2139">
            <v>0</v>
          </cell>
          <cell r="C2139">
            <v>0</v>
          </cell>
          <cell r="D2139" t="str">
            <v>לעדכן</v>
          </cell>
        </row>
        <row r="2140">
          <cell r="A2140">
            <v>610865</v>
          </cell>
          <cell r="B2140">
            <v>0</v>
          </cell>
          <cell r="C2140">
            <v>0</v>
          </cell>
          <cell r="D2140" t="str">
            <v>לעדכן</v>
          </cell>
        </row>
        <row r="2141">
          <cell r="A2141">
            <v>610881</v>
          </cell>
          <cell r="B2141">
            <v>0</v>
          </cell>
          <cell r="C2141">
            <v>0</v>
          </cell>
          <cell r="D2141" t="str">
            <v>לעדכן</v>
          </cell>
        </row>
        <row r="2142">
          <cell r="A2142">
            <v>610899</v>
          </cell>
          <cell r="B2142">
            <v>0</v>
          </cell>
          <cell r="C2142">
            <v>0</v>
          </cell>
          <cell r="D2142" t="str">
            <v>לעדכן</v>
          </cell>
        </row>
        <row r="2143">
          <cell r="A2143">
            <v>610923</v>
          </cell>
          <cell r="B2143">
            <v>0</v>
          </cell>
          <cell r="C2143">
            <v>0</v>
          </cell>
          <cell r="D2143" t="str">
            <v>לעדכן</v>
          </cell>
        </row>
        <row r="2144">
          <cell r="A2144">
            <v>610949</v>
          </cell>
          <cell r="B2144">
            <v>0</v>
          </cell>
          <cell r="C2144">
            <v>0</v>
          </cell>
          <cell r="D2144" t="str">
            <v>לעדכן</v>
          </cell>
        </row>
        <row r="2145">
          <cell r="A2145">
            <v>610956</v>
          </cell>
          <cell r="B2145">
            <v>0</v>
          </cell>
          <cell r="C2145">
            <v>0</v>
          </cell>
          <cell r="D2145" t="str">
            <v>לעדכן</v>
          </cell>
        </row>
        <row r="2146">
          <cell r="A2146">
            <v>610964</v>
          </cell>
          <cell r="B2146">
            <v>0</v>
          </cell>
          <cell r="C2146">
            <v>0</v>
          </cell>
          <cell r="D2146" t="str">
            <v>לעדכן</v>
          </cell>
        </row>
        <row r="2147">
          <cell r="A2147">
            <v>610980</v>
          </cell>
          <cell r="B2147">
            <v>0</v>
          </cell>
          <cell r="C2147">
            <v>0</v>
          </cell>
          <cell r="D2147" t="str">
            <v>לעדכן</v>
          </cell>
        </row>
        <row r="2148">
          <cell r="A2148">
            <v>611004</v>
          </cell>
          <cell r="B2148">
            <v>0</v>
          </cell>
          <cell r="C2148">
            <v>0</v>
          </cell>
          <cell r="D2148" t="str">
            <v>לעדכן</v>
          </cell>
        </row>
        <row r="2149">
          <cell r="A2149">
            <v>611020</v>
          </cell>
          <cell r="B2149">
            <v>0</v>
          </cell>
          <cell r="C2149">
            <v>0</v>
          </cell>
          <cell r="D2149" t="str">
            <v>לעדכן</v>
          </cell>
        </row>
        <row r="2150">
          <cell r="A2150">
            <v>611038</v>
          </cell>
          <cell r="B2150">
            <v>0</v>
          </cell>
          <cell r="C2150">
            <v>0</v>
          </cell>
          <cell r="D2150" t="str">
            <v>לעדכן</v>
          </cell>
        </row>
        <row r="2151">
          <cell r="A2151">
            <v>611046</v>
          </cell>
          <cell r="B2151">
            <v>0</v>
          </cell>
          <cell r="C2151">
            <v>0</v>
          </cell>
          <cell r="D2151" t="str">
            <v>לעדכן</v>
          </cell>
        </row>
        <row r="2152">
          <cell r="A2152">
            <v>611053</v>
          </cell>
          <cell r="B2152">
            <v>0</v>
          </cell>
          <cell r="C2152">
            <v>0</v>
          </cell>
          <cell r="D2152" t="str">
            <v>לעדכן</v>
          </cell>
        </row>
        <row r="2153">
          <cell r="A2153">
            <v>611061</v>
          </cell>
          <cell r="B2153">
            <v>0</v>
          </cell>
          <cell r="C2153">
            <v>0</v>
          </cell>
          <cell r="D2153" t="str">
            <v>לעדכן</v>
          </cell>
        </row>
        <row r="2154">
          <cell r="A2154">
            <v>611103</v>
          </cell>
          <cell r="B2154">
            <v>0</v>
          </cell>
          <cell r="C2154">
            <v>0</v>
          </cell>
          <cell r="D2154" t="str">
            <v>לעדכן</v>
          </cell>
        </row>
        <row r="2155">
          <cell r="A2155">
            <v>611111</v>
          </cell>
          <cell r="B2155">
            <v>0</v>
          </cell>
          <cell r="C2155">
            <v>0</v>
          </cell>
          <cell r="D2155" t="str">
            <v>לעדכן</v>
          </cell>
        </row>
        <row r="2156">
          <cell r="A2156">
            <v>611137</v>
          </cell>
          <cell r="B2156">
            <v>0</v>
          </cell>
          <cell r="C2156">
            <v>0</v>
          </cell>
          <cell r="D2156" t="str">
            <v>לעדכן</v>
          </cell>
        </row>
        <row r="2157">
          <cell r="A2157">
            <v>611145</v>
          </cell>
          <cell r="B2157">
            <v>0</v>
          </cell>
          <cell r="C2157">
            <v>0</v>
          </cell>
          <cell r="D2157" t="str">
            <v>לעדכן</v>
          </cell>
        </row>
        <row r="2158">
          <cell r="A2158">
            <v>611152</v>
          </cell>
          <cell r="B2158">
            <v>0</v>
          </cell>
          <cell r="C2158">
            <v>0</v>
          </cell>
          <cell r="D2158" t="str">
            <v>לעדכן</v>
          </cell>
        </row>
        <row r="2159">
          <cell r="A2159">
            <v>611160</v>
          </cell>
          <cell r="B2159">
            <v>0</v>
          </cell>
          <cell r="C2159">
            <v>0</v>
          </cell>
          <cell r="D2159" t="str">
            <v>לעדכן</v>
          </cell>
        </row>
        <row r="2160">
          <cell r="A2160">
            <v>611178</v>
          </cell>
          <cell r="B2160">
            <v>0</v>
          </cell>
          <cell r="C2160">
            <v>0</v>
          </cell>
          <cell r="D2160" t="str">
            <v>לעדכן</v>
          </cell>
        </row>
        <row r="2161">
          <cell r="A2161">
            <v>611194</v>
          </cell>
          <cell r="B2161">
            <v>0</v>
          </cell>
          <cell r="C2161">
            <v>0</v>
          </cell>
          <cell r="D2161" t="str">
            <v>לעדכן</v>
          </cell>
        </row>
        <row r="2162">
          <cell r="A2162">
            <v>611202</v>
          </cell>
          <cell r="B2162">
            <v>0</v>
          </cell>
          <cell r="C2162">
            <v>0</v>
          </cell>
          <cell r="D2162" t="str">
            <v>לעדכן</v>
          </cell>
        </row>
        <row r="2163">
          <cell r="A2163">
            <v>611236</v>
          </cell>
          <cell r="B2163">
            <v>0</v>
          </cell>
          <cell r="C2163">
            <v>0</v>
          </cell>
          <cell r="D2163" t="str">
            <v>לעדכן</v>
          </cell>
        </row>
        <row r="2164">
          <cell r="A2164">
            <v>611244</v>
          </cell>
          <cell r="B2164">
            <v>0</v>
          </cell>
          <cell r="C2164">
            <v>0</v>
          </cell>
          <cell r="D2164" t="str">
            <v>לעדכן</v>
          </cell>
        </row>
        <row r="2165">
          <cell r="A2165">
            <v>611277</v>
          </cell>
          <cell r="B2165">
            <v>0</v>
          </cell>
          <cell r="C2165">
            <v>0</v>
          </cell>
          <cell r="D2165" t="str">
            <v>לעדכן</v>
          </cell>
        </row>
        <row r="2166">
          <cell r="A2166">
            <v>611285</v>
          </cell>
          <cell r="B2166">
            <v>0</v>
          </cell>
          <cell r="C2166">
            <v>0</v>
          </cell>
          <cell r="D2166" t="str">
            <v>לעדכן</v>
          </cell>
        </row>
        <row r="2167">
          <cell r="A2167">
            <v>611301</v>
          </cell>
          <cell r="B2167">
            <v>0</v>
          </cell>
          <cell r="C2167">
            <v>0</v>
          </cell>
          <cell r="D2167" t="str">
            <v>לעדכן</v>
          </cell>
        </row>
        <row r="2168">
          <cell r="A2168">
            <v>611319</v>
          </cell>
          <cell r="B2168">
            <v>0</v>
          </cell>
          <cell r="C2168">
            <v>0</v>
          </cell>
          <cell r="D2168" t="str">
            <v>לעדכן</v>
          </cell>
        </row>
        <row r="2169">
          <cell r="A2169">
            <v>611327</v>
          </cell>
          <cell r="B2169">
            <v>0</v>
          </cell>
          <cell r="C2169">
            <v>0</v>
          </cell>
          <cell r="D2169" t="str">
            <v>לעדכן</v>
          </cell>
        </row>
        <row r="2170">
          <cell r="A2170">
            <v>611335</v>
          </cell>
          <cell r="B2170">
            <v>0</v>
          </cell>
          <cell r="C2170">
            <v>0</v>
          </cell>
          <cell r="D2170" t="str">
            <v>לעדכן</v>
          </cell>
        </row>
        <row r="2171">
          <cell r="A2171">
            <v>611368</v>
          </cell>
          <cell r="B2171">
            <v>0</v>
          </cell>
          <cell r="C2171">
            <v>0</v>
          </cell>
          <cell r="D2171" t="str">
            <v>לעדכן</v>
          </cell>
        </row>
        <row r="2172">
          <cell r="A2172">
            <v>611376</v>
          </cell>
          <cell r="B2172">
            <v>0</v>
          </cell>
          <cell r="C2172">
            <v>0</v>
          </cell>
          <cell r="D2172" t="str">
            <v>לעדכן</v>
          </cell>
        </row>
        <row r="2173">
          <cell r="A2173">
            <v>611392</v>
          </cell>
          <cell r="B2173">
            <v>0</v>
          </cell>
          <cell r="C2173">
            <v>0</v>
          </cell>
          <cell r="D2173" t="str">
            <v>לעדכן</v>
          </cell>
        </row>
        <row r="2174">
          <cell r="A2174">
            <v>611434</v>
          </cell>
          <cell r="B2174">
            <v>0</v>
          </cell>
          <cell r="C2174">
            <v>0</v>
          </cell>
          <cell r="D2174" t="str">
            <v>לעדכן</v>
          </cell>
        </row>
        <row r="2175">
          <cell r="A2175">
            <v>611442</v>
          </cell>
          <cell r="B2175">
            <v>0</v>
          </cell>
          <cell r="C2175">
            <v>0</v>
          </cell>
          <cell r="D2175" t="str">
            <v>לעדכן</v>
          </cell>
        </row>
        <row r="2176">
          <cell r="A2176">
            <v>611459</v>
          </cell>
          <cell r="B2176">
            <v>0</v>
          </cell>
          <cell r="C2176">
            <v>0</v>
          </cell>
          <cell r="D2176" t="str">
            <v>לעדכן</v>
          </cell>
        </row>
        <row r="2177">
          <cell r="A2177">
            <v>611491</v>
          </cell>
          <cell r="B2177">
            <v>0</v>
          </cell>
          <cell r="C2177">
            <v>0</v>
          </cell>
          <cell r="D2177" t="str">
            <v>לעדכן</v>
          </cell>
        </row>
        <row r="2178">
          <cell r="A2178">
            <v>611533</v>
          </cell>
          <cell r="B2178">
            <v>0</v>
          </cell>
          <cell r="C2178">
            <v>0</v>
          </cell>
          <cell r="D2178" t="str">
            <v>לעדכן</v>
          </cell>
        </row>
        <row r="2179">
          <cell r="A2179">
            <v>611541</v>
          </cell>
          <cell r="B2179">
            <v>0</v>
          </cell>
          <cell r="C2179">
            <v>0</v>
          </cell>
          <cell r="D2179" t="str">
            <v>לעדכן</v>
          </cell>
        </row>
        <row r="2180">
          <cell r="A2180">
            <v>611558</v>
          </cell>
          <cell r="B2180">
            <v>0</v>
          </cell>
          <cell r="C2180">
            <v>0</v>
          </cell>
          <cell r="D2180" t="str">
            <v>לעדכן</v>
          </cell>
        </row>
        <row r="2181">
          <cell r="A2181">
            <v>611657</v>
          </cell>
          <cell r="B2181">
            <v>0</v>
          </cell>
          <cell r="C2181">
            <v>0</v>
          </cell>
          <cell r="D2181" t="str">
            <v>לעדכן</v>
          </cell>
        </row>
        <row r="2182">
          <cell r="A2182">
            <v>611699</v>
          </cell>
          <cell r="B2182">
            <v>0</v>
          </cell>
          <cell r="C2182">
            <v>0</v>
          </cell>
          <cell r="D2182" t="str">
            <v>לעדכן</v>
          </cell>
        </row>
        <row r="2183">
          <cell r="A2183">
            <v>611715</v>
          </cell>
          <cell r="B2183">
            <v>0</v>
          </cell>
          <cell r="C2183">
            <v>0</v>
          </cell>
          <cell r="D2183" t="str">
            <v>לעדכן</v>
          </cell>
        </row>
        <row r="2184">
          <cell r="A2184">
            <v>611723</v>
          </cell>
          <cell r="B2184">
            <v>0</v>
          </cell>
          <cell r="C2184">
            <v>0</v>
          </cell>
          <cell r="D2184" t="str">
            <v>לעדכן</v>
          </cell>
        </row>
        <row r="2185">
          <cell r="A2185">
            <v>611756</v>
          </cell>
          <cell r="B2185">
            <v>0</v>
          </cell>
          <cell r="C2185">
            <v>0</v>
          </cell>
          <cell r="D2185" t="str">
            <v>לעדכן</v>
          </cell>
        </row>
        <row r="2186">
          <cell r="A2186">
            <v>611772</v>
          </cell>
          <cell r="B2186">
            <v>0</v>
          </cell>
          <cell r="C2186">
            <v>0</v>
          </cell>
          <cell r="D2186" t="str">
            <v>לעדכן</v>
          </cell>
        </row>
        <row r="2187">
          <cell r="A2187">
            <v>611780</v>
          </cell>
          <cell r="B2187">
            <v>0</v>
          </cell>
          <cell r="C2187">
            <v>0</v>
          </cell>
          <cell r="D2187" t="str">
            <v>לעדכן</v>
          </cell>
        </row>
        <row r="2188">
          <cell r="A2188">
            <v>611798</v>
          </cell>
          <cell r="B2188">
            <v>0</v>
          </cell>
          <cell r="C2188">
            <v>0</v>
          </cell>
          <cell r="D2188" t="str">
            <v>לעדכן</v>
          </cell>
        </row>
        <row r="2189">
          <cell r="A2189">
            <v>611814</v>
          </cell>
          <cell r="B2189">
            <v>0</v>
          </cell>
          <cell r="C2189">
            <v>0</v>
          </cell>
          <cell r="D2189" t="str">
            <v>לעדכן</v>
          </cell>
        </row>
        <row r="2190">
          <cell r="A2190">
            <v>611822</v>
          </cell>
          <cell r="B2190">
            <v>0</v>
          </cell>
          <cell r="C2190">
            <v>0</v>
          </cell>
          <cell r="D2190" t="str">
            <v>לעדכן</v>
          </cell>
        </row>
        <row r="2191">
          <cell r="A2191">
            <v>611830</v>
          </cell>
          <cell r="B2191">
            <v>0</v>
          </cell>
          <cell r="C2191">
            <v>0</v>
          </cell>
          <cell r="D2191" t="str">
            <v>לעדכן</v>
          </cell>
        </row>
        <row r="2192">
          <cell r="A2192">
            <v>611848</v>
          </cell>
          <cell r="B2192">
            <v>0</v>
          </cell>
          <cell r="C2192">
            <v>0</v>
          </cell>
          <cell r="D2192" t="str">
            <v>לעדכן</v>
          </cell>
        </row>
        <row r="2193">
          <cell r="A2193">
            <v>611855</v>
          </cell>
          <cell r="B2193">
            <v>0</v>
          </cell>
          <cell r="C2193">
            <v>0</v>
          </cell>
          <cell r="D2193" t="str">
            <v>לעדכן</v>
          </cell>
        </row>
        <row r="2194">
          <cell r="A2194">
            <v>611863</v>
          </cell>
          <cell r="B2194">
            <v>0</v>
          </cell>
          <cell r="C2194">
            <v>0</v>
          </cell>
          <cell r="D2194" t="str">
            <v>לעדכן</v>
          </cell>
        </row>
        <row r="2195">
          <cell r="A2195">
            <v>611871</v>
          </cell>
          <cell r="B2195">
            <v>0</v>
          </cell>
          <cell r="C2195">
            <v>0</v>
          </cell>
          <cell r="D2195" t="str">
            <v>לעדכן</v>
          </cell>
        </row>
        <row r="2196">
          <cell r="A2196">
            <v>611897</v>
          </cell>
          <cell r="B2196">
            <v>0</v>
          </cell>
          <cell r="C2196">
            <v>0</v>
          </cell>
          <cell r="D2196" t="str">
            <v>לעדכן</v>
          </cell>
        </row>
        <row r="2197">
          <cell r="A2197">
            <v>611905</v>
          </cell>
          <cell r="B2197">
            <v>0</v>
          </cell>
          <cell r="C2197">
            <v>0</v>
          </cell>
          <cell r="D2197" t="str">
            <v>לעדכן</v>
          </cell>
        </row>
        <row r="2198">
          <cell r="A2198">
            <v>611913</v>
          </cell>
          <cell r="B2198">
            <v>0</v>
          </cell>
          <cell r="C2198">
            <v>0</v>
          </cell>
          <cell r="D2198" t="str">
            <v>לעדכן</v>
          </cell>
        </row>
        <row r="2199">
          <cell r="A2199">
            <v>611921</v>
          </cell>
          <cell r="B2199">
            <v>0</v>
          </cell>
          <cell r="C2199">
            <v>0</v>
          </cell>
          <cell r="D2199" t="str">
            <v>לעדכן</v>
          </cell>
        </row>
        <row r="2200">
          <cell r="A2200">
            <v>611939</v>
          </cell>
          <cell r="B2200">
            <v>0</v>
          </cell>
          <cell r="C2200">
            <v>0</v>
          </cell>
          <cell r="D2200" t="str">
            <v>לעדכן</v>
          </cell>
        </row>
        <row r="2201">
          <cell r="A2201">
            <v>611947</v>
          </cell>
          <cell r="B2201">
            <v>0</v>
          </cell>
          <cell r="C2201">
            <v>0</v>
          </cell>
          <cell r="D2201" t="str">
            <v>לעדכן</v>
          </cell>
        </row>
        <row r="2202">
          <cell r="A2202">
            <v>611954</v>
          </cell>
          <cell r="B2202">
            <v>0</v>
          </cell>
          <cell r="C2202">
            <v>0</v>
          </cell>
          <cell r="D2202" t="str">
            <v>לעדכן</v>
          </cell>
        </row>
        <row r="2203">
          <cell r="A2203">
            <v>612028</v>
          </cell>
          <cell r="B2203">
            <v>0</v>
          </cell>
          <cell r="C2203">
            <v>0</v>
          </cell>
          <cell r="D2203" t="str">
            <v>לעדכן</v>
          </cell>
        </row>
        <row r="2204">
          <cell r="A2204">
            <v>612044</v>
          </cell>
          <cell r="B2204">
            <v>0</v>
          </cell>
          <cell r="C2204">
            <v>0</v>
          </cell>
          <cell r="D2204" t="str">
            <v>לעדכן</v>
          </cell>
        </row>
        <row r="2205">
          <cell r="A2205">
            <v>612051</v>
          </cell>
          <cell r="B2205">
            <v>0</v>
          </cell>
          <cell r="C2205">
            <v>0</v>
          </cell>
          <cell r="D2205" t="str">
            <v>לעדכן</v>
          </cell>
        </row>
        <row r="2206">
          <cell r="A2206">
            <v>612069</v>
          </cell>
          <cell r="B2206">
            <v>0</v>
          </cell>
          <cell r="C2206">
            <v>0</v>
          </cell>
          <cell r="D2206" t="str">
            <v>לעדכן</v>
          </cell>
        </row>
        <row r="2207">
          <cell r="A2207">
            <v>612119</v>
          </cell>
          <cell r="B2207">
            <v>0</v>
          </cell>
          <cell r="C2207">
            <v>0</v>
          </cell>
          <cell r="D2207" t="str">
            <v>לעדכן</v>
          </cell>
        </row>
        <row r="2208">
          <cell r="A2208">
            <v>612135</v>
          </cell>
          <cell r="B2208">
            <v>0</v>
          </cell>
          <cell r="C2208">
            <v>0</v>
          </cell>
          <cell r="D2208" t="str">
            <v>לעדכן</v>
          </cell>
        </row>
        <row r="2209">
          <cell r="A2209">
            <v>612168</v>
          </cell>
          <cell r="B2209">
            <v>0</v>
          </cell>
          <cell r="C2209">
            <v>0</v>
          </cell>
          <cell r="D2209" t="str">
            <v>לעדכן</v>
          </cell>
        </row>
        <row r="2210">
          <cell r="A2210">
            <v>612226</v>
          </cell>
          <cell r="B2210">
            <v>0</v>
          </cell>
          <cell r="C2210">
            <v>0</v>
          </cell>
          <cell r="D2210" t="str">
            <v>לעדכן</v>
          </cell>
        </row>
        <row r="2211">
          <cell r="A2211">
            <v>612234</v>
          </cell>
          <cell r="B2211">
            <v>0</v>
          </cell>
          <cell r="C2211">
            <v>0</v>
          </cell>
          <cell r="D2211" t="str">
            <v>לעדכן</v>
          </cell>
        </row>
        <row r="2212">
          <cell r="A2212">
            <v>612242</v>
          </cell>
          <cell r="B2212">
            <v>0</v>
          </cell>
          <cell r="C2212">
            <v>0</v>
          </cell>
          <cell r="D2212" t="str">
            <v>לעדכן</v>
          </cell>
        </row>
        <row r="2213">
          <cell r="A2213">
            <v>612267</v>
          </cell>
          <cell r="B2213">
            <v>0</v>
          </cell>
          <cell r="C2213">
            <v>0</v>
          </cell>
          <cell r="D2213" t="str">
            <v>לעדכן</v>
          </cell>
        </row>
        <row r="2214">
          <cell r="A2214">
            <v>612275</v>
          </cell>
          <cell r="B2214">
            <v>0</v>
          </cell>
          <cell r="C2214">
            <v>0</v>
          </cell>
          <cell r="D2214" t="str">
            <v>לעדכן</v>
          </cell>
        </row>
        <row r="2215">
          <cell r="A2215">
            <v>612325</v>
          </cell>
          <cell r="B2215">
            <v>0</v>
          </cell>
          <cell r="C2215">
            <v>0</v>
          </cell>
          <cell r="D2215" t="str">
            <v>לעדכן</v>
          </cell>
        </row>
        <row r="2216">
          <cell r="A2216">
            <v>612333</v>
          </cell>
          <cell r="B2216">
            <v>0</v>
          </cell>
          <cell r="C2216">
            <v>0</v>
          </cell>
          <cell r="D2216" t="str">
            <v>לעדכן</v>
          </cell>
        </row>
        <row r="2217">
          <cell r="A2217">
            <v>612341</v>
          </cell>
          <cell r="B2217">
            <v>0</v>
          </cell>
          <cell r="C2217">
            <v>0</v>
          </cell>
          <cell r="D2217" t="str">
            <v>לעדכן</v>
          </cell>
        </row>
        <row r="2218">
          <cell r="A2218">
            <v>612358</v>
          </cell>
          <cell r="B2218">
            <v>0</v>
          </cell>
          <cell r="C2218">
            <v>0</v>
          </cell>
          <cell r="D2218" t="str">
            <v>לעדכן</v>
          </cell>
        </row>
        <row r="2219">
          <cell r="A2219">
            <v>612374</v>
          </cell>
          <cell r="B2219">
            <v>0</v>
          </cell>
          <cell r="C2219">
            <v>0</v>
          </cell>
          <cell r="D2219" t="str">
            <v>לעדכן</v>
          </cell>
        </row>
        <row r="2220">
          <cell r="A2220">
            <v>612382</v>
          </cell>
          <cell r="B2220">
            <v>0</v>
          </cell>
          <cell r="C2220">
            <v>0</v>
          </cell>
          <cell r="D2220" t="str">
            <v>לעדכן</v>
          </cell>
        </row>
        <row r="2221">
          <cell r="A2221">
            <v>612408</v>
          </cell>
          <cell r="B2221">
            <v>0</v>
          </cell>
          <cell r="C2221">
            <v>0</v>
          </cell>
          <cell r="D2221" t="str">
            <v>לעדכן</v>
          </cell>
        </row>
        <row r="2222">
          <cell r="A2222">
            <v>612416</v>
          </cell>
          <cell r="B2222">
            <v>0</v>
          </cell>
          <cell r="C2222">
            <v>0</v>
          </cell>
          <cell r="D2222" t="str">
            <v>לעדכן</v>
          </cell>
        </row>
        <row r="2223">
          <cell r="A2223">
            <v>612424</v>
          </cell>
          <cell r="B2223">
            <v>0</v>
          </cell>
          <cell r="C2223">
            <v>0</v>
          </cell>
          <cell r="D2223" t="str">
            <v>לעדכן</v>
          </cell>
        </row>
        <row r="2224">
          <cell r="A2224">
            <v>612440</v>
          </cell>
          <cell r="B2224">
            <v>0</v>
          </cell>
          <cell r="C2224">
            <v>0</v>
          </cell>
          <cell r="D2224" t="str">
            <v>לעדכן</v>
          </cell>
        </row>
        <row r="2225">
          <cell r="A2225">
            <v>612457</v>
          </cell>
          <cell r="B2225">
            <v>0</v>
          </cell>
          <cell r="C2225">
            <v>0</v>
          </cell>
          <cell r="D2225" t="str">
            <v>לעדכן</v>
          </cell>
        </row>
        <row r="2226">
          <cell r="A2226">
            <v>612481</v>
          </cell>
          <cell r="B2226">
            <v>0</v>
          </cell>
          <cell r="C2226">
            <v>0</v>
          </cell>
          <cell r="D2226" t="str">
            <v>לעדכן</v>
          </cell>
        </row>
        <row r="2227">
          <cell r="A2227">
            <v>612515</v>
          </cell>
          <cell r="B2227">
            <v>0</v>
          </cell>
          <cell r="C2227">
            <v>0</v>
          </cell>
          <cell r="D2227" t="str">
            <v>לעדכן</v>
          </cell>
        </row>
        <row r="2228">
          <cell r="A2228">
            <v>612523</v>
          </cell>
          <cell r="B2228">
            <v>0</v>
          </cell>
          <cell r="C2228">
            <v>0</v>
          </cell>
          <cell r="D2228" t="str">
            <v>לעדכן</v>
          </cell>
        </row>
        <row r="2229">
          <cell r="A2229">
            <v>612549</v>
          </cell>
          <cell r="B2229">
            <v>0</v>
          </cell>
          <cell r="C2229">
            <v>0</v>
          </cell>
          <cell r="D2229" t="str">
            <v>לעדכן</v>
          </cell>
        </row>
        <row r="2230">
          <cell r="A2230">
            <v>612556</v>
          </cell>
          <cell r="B2230">
            <v>0</v>
          </cell>
          <cell r="C2230">
            <v>0</v>
          </cell>
          <cell r="D2230" t="str">
            <v>לעדכן</v>
          </cell>
        </row>
        <row r="2231">
          <cell r="A2231">
            <v>612564</v>
          </cell>
          <cell r="B2231">
            <v>0</v>
          </cell>
          <cell r="C2231">
            <v>0</v>
          </cell>
          <cell r="D2231" t="str">
            <v>לעדכן</v>
          </cell>
        </row>
        <row r="2232">
          <cell r="A2232">
            <v>612598</v>
          </cell>
          <cell r="B2232">
            <v>0</v>
          </cell>
          <cell r="C2232">
            <v>0</v>
          </cell>
          <cell r="D2232" t="str">
            <v>לעדכן</v>
          </cell>
        </row>
        <row r="2233">
          <cell r="A2233">
            <v>612648</v>
          </cell>
          <cell r="B2233">
            <v>0</v>
          </cell>
          <cell r="C2233">
            <v>0</v>
          </cell>
          <cell r="D2233" t="str">
            <v>לעדכן</v>
          </cell>
        </row>
        <row r="2234">
          <cell r="A2234">
            <v>612655</v>
          </cell>
          <cell r="B2234">
            <v>0</v>
          </cell>
          <cell r="C2234">
            <v>0</v>
          </cell>
          <cell r="D2234" t="str">
            <v>לעדכן</v>
          </cell>
        </row>
        <row r="2235">
          <cell r="A2235">
            <v>612713</v>
          </cell>
          <cell r="B2235">
            <v>0</v>
          </cell>
          <cell r="C2235">
            <v>0</v>
          </cell>
          <cell r="D2235" t="str">
            <v>לעדכן</v>
          </cell>
        </row>
        <row r="2236">
          <cell r="A2236">
            <v>612747</v>
          </cell>
          <cell r="B2236">
            <v>0</v>
          </cell>
          <cell r="C2236">
            <v>0</v>
          </cell>
          <cell r="D2236" t="str">
            <v>לעדכן</v>
          </cell>
        </row>
        <row r="2237">
          <cell r="A2237">
            <v>612770</v>
          </cell>
          <cell r="B2237">
            <v>0</v>
          </cell>
          <cell r="C2237">
            <v>0</v>
          </cell>
          <cell r="D2237" t="str">
            <v>לעדכן</v>
          </cell>
        </row>
        <row r="2238">
          <cell r="A2238">
            <v>612788</v>
          </cell>
          <cell r="B2238">
            <v>0</v>
          </cell>
          <cell r="C2238">
            <v>0</v>
          </cell>
          <cell r="D2238" t="str">
            <v>לעדכן</v>
          </cell>
        </row>
        <row r="2239">
          <cell r="A2239">
            <v>612812</v>
          </cell>
          <cell r="B2239">
            <v>0</v>
          </cell>
          <cell r="C2239">
            <v>0</v>
          </cell>
          <cell r="D2239" t="str">
            <v>לעדכן</v>
          </cell>
        </row>
        <row r="2240">
          <cell r="A2240">
            <v>612838</v>
          </cell>
          <cell r="B2240">
            <v>0</v>
          </cell>
          <cell r="C2240">
            <v>0</v>
          </cell>
          <cell r="D2240" t="str">
            <v>לעדכן</v>
          </cell>
        </row>
        <row r="2241">
          <cell r="A2241">
            <v>612846</v>
          </cell>
          <cell r="B2241">
            <v>0</v>
          </cell>
          <cell r="C2241">
            <v>0</v>
          </cell>
          <cell r="D2241" t="str">
            <v>לעדכן</v>
          </cell>
        </row>
        <row r="2242">
          <cell r="A2242">
            <v>612853</v>
          </cell>
          <cell r="B2242">
            <v>0</v>
          </cell>
          <cell r="C2242">
            <v>0</v>
          </cell>
          <cell r="D2242" t="str">
            <v>לעדכן</v>
          </cell>
        </row>
        <row r="2243">
          <cell r="A2243">
            <v>612879</v>
          </cell>
          <cell r="B2243">
            <v>0</v>
          </cell>
          <cell r="C2243">
            <v>0</v>
          </cell>
          <cell r="D2243" t="str">
            <v>לעדכן</v>
          </cell>
        </row>
        <row r="2244">
          <cell r="A2244">
            <v>612895</v>
          </cell>
          <cell r="B2244">
            <v>0</v>
          </cell>
          <cell r="C2244">
            <v>0</v>
          </cell>
          <cell r="D2244" t="str">
            <v>לעדכן</v>
          </cell>
        </row>
        <row r="2245">
          <cell r="A2245">
            <v>612903</v>
          </cell>
          <cell r="B2245">
            <v>0</v>
          </cell>
          <cell r="C2245">
            <v>0</v>
          </cell>
          <cell r="D2245" t="str">
            <v>לעדכן</v>
          </cell>
        </row>
        <row r="2246">
          <cell r="A2246">
            <v>612911</v>
          </cell>
          <cell r="B2246">
            <v>0</v>
          </cell>
          <cell r="C2246">
            <v>0</v>
          </cell>
          <cell r="D2246" t="str">
            <v>לעדכן</v>
          </cell>
        </row>
        <row r="2247">
          <cell r="A2247">
            <v>612929</v>
          </cell>
          <cell r="B2247">
            <v>0</v>
          </cell>
          <cell r="C2247">
            <v>0</v>
          </cell>
          <cell r="D2247" t="str">
            <v>לעדכן</v>
          </cell>
        </row>
        <row r="2248">
          <cell r="A2248">
            <v>612945</v>
          </cell>
          <cell r="B2248">
            <v>0</v>
          </cell>
          <cell r="C2248">
            <v>0</v>
          </cell>
          <cell r="D2248" t="str">
            <v>לעדכן</v>
          </cell>
        </row>
        <row r="2249">
          <cell r="A2249">
            <v>612960</v>
          </cell>
          <cell r="B2249">
            <v>0</v>
          </cell>
          <cell r="C2249">
            <v>0</v>
          </cell>
          <cell r="D2249" t="str">
            <v>לעדכן</v>
          </cell>
        </row>
        <row r="2250">
          <cell r="A2250">
            <v>612978</v>
          </cell>
          <cell r="B2250">
            <v>0</v>
          </cell>
          <cell r="C2250">
            <v>0</v>
          </cell>
          <cell r="D2250" t="str">
            <v>לעדכן</v>
          </cell>
        </row>
        <row r="2251">
          <cell r="A2251">
            <v>612994</v>
          </cell>
          <cell r="B2251">
            <v>0</v>
          </cell>
          <cell r="C2251">
            <v>0</v>
          </cell>
          <cell r="D2251" t="str">
            <v>לעדכן</v>
          </cell>
        </row>
        <row r="2252">
          <cell r="A2252">
            <v>613000</v>
          </cell>
          <cell r="B2252">
            <v>0</v>
          </cell>
          <cell r="C2252">
            <v>0</v>
          </cell>
          <cell r="D2252" t="str">
            <v>לעדכן</v>
          </cell>
        </row>
        <row r="2253">
          <cell r="A2253">
            <v>613026</v>
          </cell>
          <cell r="B2253">
            <v>0</v>
          </cell>
          <cell r="C2253">
            <v>0</v>
          </cell>
          <cell r="D2253" t="str">
            <v>לעדכן</v>
          </cell>
        </row>
        <row r="2254">
          <cell r="A2254">
            <v>613034</v>
          </cell>
          <cell r="B2254">
            <v>0</v>
          </cell>
          <cell r="C2254">
            <v>0</v>
          </cell>
          <cell r="D2254" t="str">
            <v>לעדכן</v>
          </cell>
        </row>
        <row r="2255">
          <cell r="A2255">
            <v>613083</v>
          </cell>
          <cell r="B2255">
            <v>0</v>
          </cell>
          <cell r="C2255">
            <v>0</v>
          </cell>
          <cell r="D2255" t="str">
            <v>לעדכן</v>
          </cell>
        </row>
        <row r="2256">
          <cell r="A2256">
            <v>613125</v>
          </cell>
          <cell r="B2256">
            <v>0</v>
          </cell>
          <cell r="C2256">
            <v>0</v>
          </cell>
          <cell r="D2256" t="str">
            <v>לעדכן</v>
          </cell>
        </row>
        <row r="2257">
          <cell r="A2257">
            <v>613133</v>
          </cell>
          <cell r="B2257">
            <v>0</v>
          </cell>
          <cell r="C2257">
            <v>0</v>
          </cell>
          <cell r="D2257" t="str">
            <v>לעדכן</v>
          </cell>
        </row>
        <row r="2258">
          <cell r="A2258">
            <v>613141</v>
          </cell>
          <cell r="B2258">
            <v>0</v>
          </cell>
          <cell r="C2258">
            <v>0</v>
          </cell>
          <cell r="D2258" t="str">
            <v>לעדכן</v>
          </cell>
        </row>
        <row r="2259">
          <cell r="A2259">
            <v>613166</v>
          </cell>
          <cell r="B2259">
            <v>0</v>
          </cell>
          <cell r="C2259">
            <v>0</v>
          </cell>
          <cell r="D2259" t="str">
            <v>לעדכן</v>
          </cell>
        </row>
        <row r="2260">
          <cell r="A2260">
            <v>613174</v>
          </cell>
          <cell r="B2260">
            <v>0</v>
          </cell>
          <cell r="C2260">
            <v>0</v>
          </cell>
          <cell r="D2260" t="str">
            <v>לעדכן</v>
          </cell>
        </row>
        <row r="2261">
          <cell r="A2261">
            <v>613182</v>
          </cell>
          <cell r="B2261">
            <v>0</v>
          </cell>
          <cell r="C2261">
            <v>0</v>
          </cell>
          <cell r="D2261" t="str">
            <v>לעדכן</v>
          </cell>
        </row>
        <row r="2262">
          <cell r="A2262">
            <v>613208</v>
          </cell>
          <cell r="B2262">
            <v>0</v>
          </cell>
          <cell r="C2262">
            <v>0</v>
          </cell>
          <cell r="D2262" t="str">
            <v>לעדכן</v>
          </cell>
        </row>
        <row r="2263">
          <cell r="A2263">
            <v>613216</v>
          </cell>
          <cell r="B2263">
            <v>0</v>
          </cell>
          <cell r="C2263">
            <v>0</v>
          </cell>
          <cell r="D2263" t="str">
            <v>לעדכן</v>
          </cell>
        </row>
        <row r="2264">
          <cell r="A2264">
            <v>613257</v>
          </cell>
          <cell r="B2264">
            <v>0</v>
          </cell>
          <cell r="C2264">
            <v>0</v>
          </cell>
          <cell r="D2264" t="str">
            <v>לעדכן</v>
          </cell>
        </row>
        <row r="2265">
          <cell r="A2265">
            <v>613265</v>
          </cell>
          <cell r="B2265">
            <v>0</v>
          </cell>
          <cell r="C2265">
            <v>0</v>
          </cell>
          <cell r="D2265" t="str">
            <v>לעדכן</v>
          </cell>
        </row>
        <row r="2266">
          <cell r="A2266">
            <v>613299</v>
          </cell>
          <cell r="B2266">
            <v>0</v>
          </cell>
          <cell r="C2266">
            <v>0</v>
          </cell>
          <cell r="D2266" t="str">
            <v>לעדכן</v>
          </cell>
        </row>
        <row r="2267">
          <cell r="A2267">
            <v>613315</v>
          </cell>
          <cell r="B2267">
            <v>0</v>
          </cell>
          <cell r="C2267">
            <v>0</v>
          </cell>
          <cell r="D2267" t="str">
            <v>לעדכן</v>
          </cell>
        </row>
        <row r="2268">
          <cell r="A2268">
            <v>613331</v>
          </cell>
          <cell r="B2268">
            <v>0</v>
          </cell>
          <cell r="C2268">
            <v>0</v>
          </cell>
          <cell r="D2268" t="str">
            <v>לעדכן</v>
          </cell>
        </row>
        <row r="2269">
          <cell r="A2269">
            <v>613349</v>
          </cell>
          <cell r="B2269">
            <v>0</v>
          </cell>
          <cell r="C2269">
            <v>0</v>
          </cell>
          <cell r="D2269" t="str">
            <v>לעדכן</v>
          </cell>
        </row>
        <row r="2270">
          <cell r="A2270">
            <v>613372</v>
          </cell>
          <cell r="B2270">
            <v>0</v>
          </cell>
          <cell r="C2270">
            <v>0</v>
          </cell>
          <cell r="D2270" t="str">
            <v>לעדכן</v>
          </cell>
        </row>
        <row r="2271">
          <cell r="A2271">
            <v>613398</v>
          </cell>
          <cell r="B2271">
            <v>0</v>
          </cell>
          <cell r="C2271">
            <v>0</v>
          </cell>
          <cell r="D2271" t="str">
            <v>לעדכן</v>
          </cell>
        </row>
        <row r="2272">
          <cell r="A2272">
            <v>613406</v>
          </cell>
          <cell r="B2272">
            <v>0</v>
          </cell>
          <cell r="C2272">
            <v>0</v>
          </cell>
          <cell r="D2272" t="str">
            <v>לעדכן</v>
          </cell>
        </row>
        <row r="2273">
          <cell r="A2273">
            <v>613422</v>
          </cell>
          <cell r="B2273">
            <v>0</v>
          </cell>
          <cell r="C2273">
            <v>0</v>
          </cell>
          <cell r="D2273" t="str">
            <v>לעדכן</v>
          </cell>
        </row>
        <row r="2274">
          <cell r="A2274">
            <v>613430</v>
          </cell>
          <cell r="B2274">
            <v>0</v>
          </cell>
          <cell r="C2274">
            <v>0</v>
          </cell>
          <cell r="D2274" t="str">
            <v>לעדכן</v>
          </cell>
        </row>
        <row r="2275">
          <cell r="A2275">
            <v>613448</v>
          </cell>
          <cell r="B2275">
            <v>0</v>
          </cell>
          <cell r="C2275">
            <v>0</v>
          </cell>
          <cell r="D2275" t="str">
            <v>לעדכן</v>
          </cell>
        </row>
        <row r="2276">
          <cell r="A2276">
            <v>613455</v>
          </cell>
          <cell r="B2276">
            <v>0</v>
          </cell>
          <cell r="C2276">
            <v>0</v>
          </cell>
          <cell r="D2276" t="str">
            <v>לעדכן</v>
          </cell>
        </row>
        <row r="2277">
          <cell r="A2277">
            <v>613463</v>
          </cell>
          <cell r="B2277">
            <v>0</v>
          </cell>
          <cell r="C2277">
            <v>0</v>
          </cell>
          <cell r="D2277" t="str">
            <v>לעדכן</v>
          </cell>
        </row>
        <row r="2278">
          <cell r="A2278">
            <v>613489</v>
          </cell>
          <cell r="B2278">
            <v>0</v>
          </cell>
          <cell r="C2278">
            <v>0</v>
          </cell>
          <cell r="D2278" t="str">
            <v>לעדכן</v>
          </cell>
        </row>
        <row r="2279">
          <cell r="A2279">
            <v>613497</v>
          </cell>
          <cell r="B2279">
            <v>0</v>
          </cell>
          <cell r="C2279">
            <v>0</v>
          </cell>
          <cell r="D2279" t="str">
            <v>לעדכן</v>
          </cell>
        </row>
        <row r="2280">
          <cell r="A2280">
            <v>613505</v>
          </cell>
          <cell r="B2280">
            <v>0</v>
          </cell>
          <cell r="C2280">
            <v>0</v>
          </cell>
          <cell r="D2280" t="str">
            <v>לעדכן</v>
          </cell>
        </row>
        <row r="2281">
          <cell r="A2281">
            <v>613513</v>
          </cell>
          <cell r="B2281">
            <v>0</v>
          </cell>
          <cell r="C2281">
            <v>0</v>
          </cell>
          <cell r="D2281" t="str">
            <v>לעדכן</v>
          </cell>
        </row>
        <row r="2282">
          <cell r="A2282">
            <v>613547</v>
          </cell>
          <cell r="B2282">
            <v>0</v>
          </cell>
          <cell r="C2282">
            <v>0</v>
          </cell>
          <cell r="D2282" t="str">
            <v>לעדכן</v>
          </cell>
        </row>
        <row r="2283">
          <cell r="A2283">
            <v>613554</v>
          </cell>
          <cell r="B2283">
            <v>0</v>
          </cell>
          <cell r="C2283">
            <v>0</v>
          </cell>
          <cell r="D2283" t="str">
            <v>לעדכן</v>
          </cell>
        </row>
        <row r="2284">
          <cell r="A2284">
            <v>613596</v>
          </cell>
          <cell r="B2284">
            <v>0</v>
          </cell>
          <cell r="C2284">
            <v>0</v>
          </cell>
          <cell r="D2284" t="str">
            <v>לעדכן</v>
          </cell>
        </row>
        <row r="2285">
          <cell r="A2285">
            <v>613604</v>
          </cell>
          <cell r="B2285">
            <v>0</v>
          </cell>
          <cell r="C2285">
            <v>0</v>
          </cell>
          <cell r="D2285" t="str">
            <v>לעדכן</v>
          </cell>
        </row>
        <row r="2286">
          <cell r="A2286">
            <v>613638</v>
          </cell>
          <cell r="B2286">
            <v>0</v>
          </cell>
          <cell r="C2286">
            <v>0</v>
          </cell>
          <cell r="D2286" t="str">
            <v>לעדכן</v>
          </cell>
        </row>
        <row r="2287">
          <cell r="A2287">
            <v>613646</v>
          </cell>
          <cell r="B2287">
            <v>0</v>
          </cell>
          <cell r="C2287">
            <v>0</v>
          </cell>
          <cell r="D2287" t="str">
            <v>לעדכן</v>
          </cell>
        </row>
        <row r="2288">
          <cell r="A2288">
            <v>613653</v>
          </cell>
          <cell r="B2288">
            <v>0</v>
          </cell>
          <cell r="C2288">
            <v>0</v>
          </cell>
          <cell r="D2288" t="str">
            <v>לעדכן</v>
          </cell>
        </row>
        <row r="2289">
          <cell r="A2289">
            <v>613661</v>
          </cell>
          <cell r="B2289">
            <v>0</v>
          </cell>
          <cell r="C2289">
            <v>0</v>
          </cell>
          <cell r="D2289" t="str">
            <v>לעדכן</v>
          </cell>
        </row>
        <row r="2290">
          <cell r="A2290">
            <v>613679</v>
          </cell>
          <cell r="B2290">
            <v>0</v>
          </cell>
          <cell r="C2290">
            <v>0</v>
          </cell>
          <cell r="D2290" t="str">
            <v>לעדכן</v>
          </cell>
        </row>
        <row r="2291">
          <cell r="A2291">
            <v>613687</v>
          </cell>
          <cell r="B2291">
            <v>0</v>
          </cell>
          <cell r="C2291">
            <v>0</v>
          </cell>
          <cell r="D2291" t="str">
            <v>לעדכן</v>
          </cell>
        </row>
        <row r="2292">
          <cell r="A2292">
            <v>613695</v>
          </cell>
          <cell r="B2292">
            <v>0</v>
          </cell>
          <cell r="C2292">
            <v>0</v>
          </cell>
          <cell r="D2292" t="str">
            <v>לעדכן</v>
          </cell>
        </row>
        <row r="2293">
          <cell r="A2293">
            <v>613703</v>
          </cell>
          <cell r="B2293">
            <v>0</v>
          </cell>
          <cell r="C2293">
            <v>0</v>
          </cell>
          <cell r="D2293" t="str">
            <v>לעדכן</v>
          </cell>
        </row>
        <row r="2294">
          <cell r="A2294">
            <v>613711</v>
          </cell>
          <cell r="B2294">
            <v>0</v>
          </cell>
          <cell r="C2294">
            <v>0</v>
          </cell>
          <cell r="D2294" t="str">
            <v>לעדכן</v>
          </cell>
        </row>
        <row r="2295">
          <cell r="A2295">
            <v>613752</v>
          </cell>
          <cell r="B2295">
            <v>0</v>
          </cell>
          <cell r="C2295">
            <v>0</v>
          </cell>
          <cell r="D2295" t="str">
            <v>לעדכן</v>
          </cell>
        </row>
        <row r="2296">
          <cell r="A2296">
            <v>613778</v>
          </cell>
          <cell r="B2296">
            <v>0</v>
          </cell>
          <cell r="C2296">
            <v>0</v>
          </cell>
          <cell r="D2296" t="str">
            <v>לעדכן</v>
          </cell>
        </row>
        <row r="2297">
          <cell r="A2297">
            <v>613786</v>
          </cell>
          <cell r="B2297">
            <v>0</v>
          </cell>
          <cell r="C2297">
            <v>0</v>
          </cell>
          <cell r="D2297" t="str">
            <v>לעדכן</v>
          </cell>
        </row>
        <row r="2298">
          <cell r="A2298">
            <v>613828</v>
          </cell>
          <cell r="B2298">
            <v>0</v>
          </cell>
          <cell r="C2298">
            <v>0</v>
          </cell>
          <cell r="D2298" t="str">
            <v>לעדכן</v>
          </cell>
        </row>
        <row r="2299">
          <cell r="A2299">
            <v>613844</v>
          </cell>
          <cell r="B2299">
            <v>0</v>
          </cell>
          <cell r="C2299">
            <v>0</v>
          </cell>
          <cell r="D2299" t="str">
            <v>לעדכן</v>
          </cell>
        </row>
        <row r="2300">
          <cell r="A2300">
            <v>613851</v>
          </cell>
          <cell r="B2300">
            <v>0</v>
          </cell>
          <cell r="C2300">
            <v>0</v>
          </cell>
          <cell r="D2300" t="str">
            <v>לעדכן</v>
          </cell>
        </row>
        <row r="2301">
          <cell r="A2301">
            <v>613901</v>
          </cell>
          <cell r="B2301">
            <v>0</v>
          </cell>
          <cell r="C2301">
            <v>0</v>
          </cell>
          <cell r="D2301" t="str">
            <v>לעדכן</v>
          </cell>
        </row>
        <row r="2302">
          <cell r="A2302">
            <v>613919</v>
          </cell>
          <cell r="B2302">
            <v>0</v>
          </cell>
          <cell r="C2302">
            <v>0</v>
          </cell>
          <cell r="D2302" t="str">
            <v>לעדכן</v>
          </cell>
        </row>
        <row r="2303">
          <cell r="A2303">
            <v>613927</v>
          </cell>
          <cell r="B2303">
            <v>0</v>
          </cell>
          <cell r="C2303">
            <v>0</v>
          </cell>
          <cell r="D2303" t="str">
            <v>לעדכן</v>
          </cell>
        </row>
        <row r="2304">
          <cell r="A2304">
            <v>613943</v>
          </cell>
          <cell r="B2304">
            <v>0</v>
          </cell>
          <cell r="C2304">
            <v>0</v>
          </cell>
          <cell r="D2304" t="str">
            <v>לעדכן</v>
          </cell>
        </row>
        <row r="2305">
          <cell r="A2305">
            <v>613950</v>
          </cell>
          <cell r="B2305">
            <v>0</v>
          </cell>
          <cell r="C2305">
            <v>0</v>
          </cell>
          <cell r="D2305" t="str">
            <v>לעדכן</v>
          </cell>
        </row>
        <row r="2306">
          <cell r="A2306">
            <v>613968</v>
          </cell>
          <cell r="B2306">
            <v>0</v>
          </cell>
          <cell r="C2306">
            <v>0</v>
          </cell>
          <cell r="D2306" t="str">
            <v>לעדכן</v>
          </cell>
        </row>
        <row r="2307">
          <cell r="A2307">
            <v>613976</v>
          </cell>
          <cell r="B2307">
            <v>0</v>
          </cell>
          <cell r="C2307">
            <v>0</v>
          </cell>
          <cell r="D2307" t="str">
            <v>לעדכן</v>
          </cell>
        </row>
        <row r="2308">
          <cell r="A2308">
            <v>613992</v>
          </cell>
          <cell r="B2308">
            <v>0</v>
          </cell>
          <cell r="C2308">
            <v>0</v>
          </cell>
          <cell r="D2308" t="str">
            <v>לעדכן</v>
          </cell>
        </row>
        <row r="2309">
          <cell r="A2309">
            <v>614008</v>
          </cell>
          <cell r="B2309">
            <v>0</v>
          </cell>
          <cell r="C2309">
            <v>0</v>
          </cell>
          <cell r="D2309" t="str">
            <v>לעדכן</v>
          </cell>
        </row>
        <row r="2310">
          <cell r="A2310">
            <v>614024</v>
          </cell>
          <cell r="B2310">
            <v>0</v>
          </cell>
          <cell r="C2310">
            <v>0</v>
          </cell>
          <cell r="D2310" t="str">
            <v>לעדכן</v>
          </cell>
        </row>
        <row r="2311">
          <cell r="A2311">
            <v>614040</v>
          </cell>
          <cell r="B2311">
            <v>0</v>
          </cell>
          <cell r="C2311">
            <v>0</v>
          </cell>
          <cell r="D2311" t="str">
            <v>לעדכן</v>
          </cell>
        </row>
        <row r="2312">
          <cell r="A2312">
            <v>614057</v>
          </cell>
          <cell r="B2312">
            <v>0</v>
          </cell>
          <cell r="C2312">
            <v>0</v>
          </cell>
          <cell r="D2312" t="str">
            <v>לעדכן</v>
          </cell>
        </row>
        <row r="2313">
          <cell r="A2313">
            <v>614065</v>
          </cell>
          <cell r="B2313">
            <v>0</v>
          </cell>
          <cell r="C2313">
            <v>0</v>
          </cell>
          <cell r="D2313" t="str">
            <v>לעדכן</v>
          </cell>
        </row>
        <row r="2314">
          <cell r="A2314">
            <v>614073</v>
          </cell>
          <cell r="B2314">
            <v>0</v>
          </cell>
          <cell r="C2314">
            <v>0</v>
          </cell>
          <cell r="D2314" t="str">
            <v>לעדכן</v>
          </cell>
        </row>
        <row r="2315">
          <cell r="A2315">
            <v>614081</v>
          </cell>
          <cell r="B2315">
            <v>0</v>
          </cell>
          <cell r="C2315">
            <v>0</v>
          </cell>
          <cell r="D2315" t="str">
            <v>לעדכן</v>
          </cell>
        </row>
        <row r="2316">
          <cell r="A2316">
            <v>614099</v>
          </cell>
          <cell r="B2316">
            <v>0</v>
          </cell>
          <cell r="C2316">
            <v>0</v>
          </cell>
          <cell r="D2316" t="str">
            <v>לעדכן</v>
          </cell>
        </row>
        <row r="2317">
          <cell r="A2317">
            <v>614115</v>
          </cell>
          <cell r="B2317">
            <v>0</v>
          </cell>
          <cell r="C2317">
            <v>0</v>
          </cell>
          <cell r="D2317" t="str">
            <v>לעדכן</v>
          </cell>
        </row>
        <row r="2318">
          <cell r="A2318">
            <v>614123</v>
          </cell>
          <cell r="B2318">
            <v>0</v>
          </cell>
          <cell r="C2318">
            <v>0</v>
          </cell>
          <cell r="D2318" t="str">
            <v>לעדכן</v>
          </cell>
        </row>
        <row r="2319">
          <cell r="A2319">
            <v>614149</v>
          </cell>
          <cell r="B2319">
            <v>0</v>
          </cell>
          <cell r="C2319">
            <v>0</v>
          </cell>
          <cell r="D2319" t="str">
            <v>לעדכן</v>
          </cell>
        </row>
        <row r="2320">
          <cell r="A2320">
            <v>614156</v>
          </cell>
          <cell r="B2320">
            <v>0</v>
          </cell>
          <cell r="C2320">
            <v>0</v>
          </cell>
          <cell r="D2320" t="str">
            <v>לעדכן</v>
          </cell>
        </row>
        <row r="2321">
          <cell r="A2321">
            <v>614164</v>
          </cell>
          <cell r="B2321">
            <v>0</v>
          </cell>
          <cell r="C2321">
            <v>0</v>
          </cell>
          <cell r="D2321" t="str">
            <v>לעדכן</v>
          </cell>
        </row>
        <row r="2322">
          <cell r="A2322">
            <v>614172</v>
          </cell>
          <cell r="B2322">
            <v>0</v>
          </cell>
          <cell r="C2322">
            <v>0</v>
          </cell>
          <cell r="D2322" t="str">
            <v>לעדכן</v>
          </cell>
        </row>
        <row r="2323">
          <cell r="A2323">
            <v>614180</v>
          </cell>
          <cell r="B2323">
            <v>0</v>
          </cell>
          <cell r="C2323">
            <v>0</v>
          </cell>
          <cell r="D2323" t="str">
            <v>לעדכן</v>
          </cell>
        </row>
        <row r="2324">
          <cell r="A2324">
            <v>614198</v>
          </cell>
          <cell r="B2324">
            <v>0</v>
          </cell>
          <cell r="C2324">
            <v>0</v>
          </cell>
          <cell r="D2324" t="str">
            <v>לעדכן</v>
          </cell>
        </row>
        <row r="2325">
          <cell r="A2325">
            <v>614214</v>
          </cell>
          <cell r="B2325">
            <v>0</v>
          </cell>
          <cell r="C2325">
            <v>0</v>
          </cell>
          <cell r="D2325" t="str">
            <v>לעדכן</v>
          </cell>
        </row>
        <row r="2326">
          <cell r="A2326">
            <v>614230</v>
          </cell>
          <cell r="B2326">
            <v>0</v>
          </cell>
          <cell r="C2326">
            <v>0</v>
          </cell>
          <cell r="D2326" t="str">
            <v>לעדכן</v>
          </cell>
        </row>
        <row r="2327">
          <cell r="A2327">
            <v>614248</v>
          </cell>
          <cell r="B2327">
            <v>0</v>
          </cell>
          <cell r="C2327">
            <v>0</v>
          </cell>
          <cell r="D2327" t="str">
            <v>לעדכן</v>
          </cell>
        </row>
        <row r="2328">
          <cell r="A2328">
            <v>614255</v>
          </cell>
          <cell r="B2328">
            <v>0</v>
          </cell>
          <cell r="C2328">
            <v>0</v>
          </cell>
          <cell r="D2328" t="str">
            <v>לעדכן</v>
          </cell>
        </row>
        <row r="2329">
          <cell r="A2329">
            <v>614263</v>
          </cell>
          <cell r="B2329">
            <v>0</v>
          </cell>
          <cell r="C2329">
            <v>0</v>
          </cell>
          <cell r="D2329" t="str">
            <v>לעדכן</v>
          </cell>
        </row>
        <row r="2330">
          <cell r="A2330">
            <v>614271</v>
          </cell>
          <cell r="B2330">
            <v>0</v>
          </cell>
          <cell r="C2330">
            <v>0</v>
          </cell>
          <cell r="D2330" t="str">
            <v>לעדכן</v>
          </cell>
        </row>
        <row r="2331">
          <cell r="A2331">
            <v>614289</v>
          </cell>
          <cell r="B2331">
            <v>0</v>
          </cell>
          <cell r="C2331">
            <v>0</v>
          </cell>
          <cell r="D2331" t="str">
            <v>לעדכן</v>
          </cell>
        </row>
        <row r="2332">
          <cell r="A2332">
            <v>614297</v>
          </cell>
          <cell r="B2332">
            <v>0</v>
          </cell>
          <cell r="C2332">
            <v>0</v>
          </cell>
          <cell r="D2332" t="str">
            <v>לעדכן</v>
          </cell>
        </row>
        <row r="2333">
          <cell r="A2333">
            <v>614305</v>
          </cell>
          <cell r="B2333">
            <v>0</v>
          </cell>
          <cell r="C2333">
            <v>0</v>
          </cell>
          <cell r="D2333" t="str">
            <v>לעדכן</v>
          </cell>
        </row>
        <row r="2334">
          <cell r="A2334">
            <v>614313</v>
          </cell>
          <cell r="B2334">
            <v>0</v>
          </cell>
          <cell r="C2334">
            <v>0</v>
          </cell>
          <cell r="D2334" t="str">
            <v>לעדכן</v>
          </cell>
        </row>
        <row r="2335">
          <cell r="A2335">
            <v>614347</v>
          </cell>
          <cell r="B2335">
            <v>0</v>
          </cell>
          <cell r="C2335">
            <v>0</v>
          </cell>
          <cell r="D2335" t="str">
            <v>לעדכן</v>
          </cell>
        </row>
        <row r="2336">
          <cell r="A2336">
            <v>614354</v>
          </cell>
          <cell r="B2336">
            <v>0</v>
          </cell>
          <cell r="C2336">
            <v>0</v>
          </cell>
          <cell r="D2336" t="str">
            <v>לעדכן</v>
          </cell>
        </row>
        <row r="2337">
          <cell r="A2337">
            <v>614362</v>
          </cell>
          <cell r="B2337">
            <v>0</v>
          </cell>
          <cell r="C2337">
            <v>0</v>
          </cell>
          <cell r="D2337" t="str">
            <v>לעדכן</v>
          </cell>
        </row>
        <row r="2338">
          <cell r="A2338">
            <v>614370</v>
          </cell>
          <cell r="B2338">
            <v>0</v>
          </cell>
          <cell r="C2338">
            <v>0</v>
          </cell>
          <cell r="D2338" t="str">
            <v>לעדכן</v>
          </cell>
        </row>
        <row r="2339">
          <cell r="A2339">
            <v>614396</v>
          </cell>
          <cell r="B2339">
            <v>0</v>
          </cell>
          <cell r="C2339">
            <v>0</v>
          </cell>
          <cell r="D2339" t="str">
            <v>לעדכן</v>
          </cell>
        </row>
        <row r="2340">
          <cell r="A2340">
            <v>614404</v>
          </cell>
          <cell r="B2340">
            <v>0</v>
          </cell>
          <cell r="C2340">
            <v>0</v>
          </cell>
          <cell r="D2340" t="str">
            <v>לעדכן</v>
          </cell>
        </row>
        <row r="2341">
          <cell r="A2341">
            <v>614420</v>
          </cell>
          <cell r="B2341">
            <v>0</v>
          </cell>
          <cell r="C2341">
            <v>0</v>
          </cell>
          <cell r="D2341" t="str">
            <v>לעדכן</v>
          </cell>
        </row>
        <row r="2342">
          <cell r="A2342">
            <v>614446</v>
          </cell>
          <cell r="B2342">
            <v>0</v>
          </cell>
          <cell r="C2342">
            <v>0</v>
          </cell>
          <cell r="D2342" t="str">
            <v>לעדכן</v>
          </cell>
        </row>
        <row r="2343">
          <cell r="A2343">
            <v>614479</v>
          </cell>
          <cell r="B2343">
            <v>0</v>
          </cell>
          <cell r="C2343">
            <v>0</v>
          </cell>
          <cell r="D2343" t="str">
            <v>לעדכן</v>
          </cell>
        </row>
        <row r="2344">
          <cell r="A2344">
            <v>614495</v>
          </cell>
          <cell r="B2344">
            <v>0</v>
          </cell>
          <cell r="C2344">
            <v>0</v>
          </cell>
          <cell r="D2344" t="str">
            <v>לעדכן</v>
          </cell>
        </row>
        <row r="2345">
          <cell r="A2345">
            <v>614503</v>
          </cell>
          <cell r="B2345">
            <v>0</v>
          </cell>
          <cell r="C2345">
            <v>0</v>
          </cell>
          <cell r="D2345" t="str">
            <v>לעדכן</v>
          </cell>
        </row>
        <row r="2346">
          <cell r="A2346">
            <v>614511</v>
          </cell>
          <cell r="B2346">
            <v>0</v>
          </cell>
          <cell r="C2346">
            <v>0</v>
          </cell>
          <cell r="D2346" t="str">
            <v>לעדכן</v>
          </cell>
        </row>
        <row r="2347">
          <cell r="A2347">
            <v>614529</v>
          </cell>
          <cell r="B2347">
            <v>0</v>
          </cell>
          <cell r="C2347">
            <v>0</v>
          </cell>
          <cell r="D2347" t="str">
            <v>לעדכן</v>
          </cell>
        </row>
        <row r="2348">
          <cell r="A2348">
            <v>614537</v>
          </cell>
          <cell r="B2348">
            <v>0</v>
          </cell>
          <cell r="C2348">
            <v>0</v>
          </cell>
          <cell r="D2348" t="str">
            <v>לעדכן</v>
          </cell>
        </row>
        <row r="2349">
          <cell r="A2349">
            <v>614545</v>
          </cell>
          <cell r="B2349">
            <v>0</v>
          </cell>
          <cell r="C2349">
            <v>0</v>
          </cell>
          <cell r="D2349" t="str">
            <v>לעדכן</v>
          </cell>
        </row>
        <row r="2350">
          <cell r="A2350">
            <v>614552</v>
          </cell>
          <cell r="B2350">
            <v>0</v>
          </cell>
          <cell r="C2350">
            <v>0</v>
          </cell>
          <cell r="D2350" t="str">
            <v>לעדכן</v>
          </cell>
        </row>
        <row r="2351">
          <cell r="A2351">
            <v>614560</v>
          </cell>
          <cell r="B2351">
            <v>0</v>
          </cell>
          <cell r="C2351">
            <v>0</v>
          </cell>
          <cell r="D2351" t="str">
            <v>לעדכן</v>
          </cell>
        </row>
        <row r="2352">
          <cell r="A2352">
            <v>614578</v>
          </cell>
          <cell r="B2352">
            <v>0</v>
          </cell>
          <cell r="C2352">
            <v>0</v>
          </cell>
          <cell r="D2352" t="str">
            <v>לעדכן</v>
          </cell>
        </row>
        <row r="2353">
          <cell r="A2353">
            <v>614586</v>
          </cell>
          <cell r="B2353">
            <v>0</v>
          </cell>
          <cell r="C2353">
            <v>0</v>
          </cell>
          <cell r="D2353" t="str">
            <v>לעדכן</v>
          </cell>
        </row>
        <row r="2354">
          <cell r="A2354">
            <v>614594</v>
          </cell>
          <cell r="B2354">
            <v>0</v>
          </cell>
          <cell r="C2354">
            <v>0</v>
          </cell>
          <cell r="D2354" t="str">
            <v>לעדכן</v>
          </cell>
        </row>
        <row r="2355">
          <cell r="A2355">
            <v>614602</v>
          </cell>
          <cell r="B2355">
            <v>0</v>
          </cell>
          <cell r="C2355">
            <v>0</v>
          </cell>
          <cell r="D2355" t="str">
            <v>לעדכן</v>
          </cell>
        </row>
        <row r="2356">
          <cell r="A2356">
            <v>614610</v>
          </cell>
          <cell r="B2356">
            <v>0</v>
          </cell>
          <cell r="C2356">
            <v>0</v>
          </cell>
          <cell r="D2356" t="str">
            <v>לעדכן</v>
          </cell>
        </row>
        <row r="2357">
          <cell r="A2357">
            <v>614628</v>
          </cell>
          <cell r="B2357">
            <v>0</v>
          </cell>
          <cell r="C2357">
            <v>0</v>
          </cell>
          <cell r="D2357" t="str">
            <v>לעדכן</v>
          </cell>
        </row>
        <row r="2358">
          <cell r="A2358">
            <v>614636</v>
          </cell>
          <cell r="B2358">
            <v>0</v>
          </cell>
          <cell r="C2358">
            <v>0</v>
          </cell>
          <cell r="D2358" t="str">
            <v>לעדכן</v>
          </cell>
        </row>
        <row r="2359">
          <cell r="A2359">
            <v>614644</v>
          </cell>
          <cell r="B2359">
            <v>0</v>
          </cell>
          <cell r="C2359">
            <v>0</v>
          </cell>
          <cell r="D2359" t="str">
            <v>לעדכן</v>
          </cell>
        </row>
        <row r="2360">
          <cell r="A2360">
            <v>614651</v>
          </cell>
          <cell r="B2360">
            <v>0</v>
          </cell>
          <cell r="C2360">
            <v>0</v>
          </cell>
          <cell r="D2360" t="str">
            <v>לעדכן</v>
          </cell>
        </row>
        <row r="2361">
          <cell r="A2361">
            <v>614669</v>
          </cell>
          <cell r="B2361">
            <v>0</v>
          </cell>
          <cell r="C2361">
            <v>0</v>
          </cell>
          <cell r="D2361" t="str">
            <v>לעדכן</v>
          </cell>
        </row>
        <row r="2362">
          <cell r="A2362">
            <v>614693</v>
          </cell>
          <cell r="B2362">
            <v>0</v>
          </cell>
          <cell r="C2362">
            <v>0</v>
          </cell>
          <cell r="D2362" t="str">
            <v>לעדכן</v>
          </cell>
        </row>
        <row r="2363">
          <cell r="A2363">
            <v>614701</v>
          </cell>
          <cell r="B2363">
            <v>0</v>
          </cell>
          <cell r="C2363">
            <v>0</v>
          </cell>
          <cell r="D2363" t="str">
            <v>לעדכן</v>
          </cell>
        </row>
        <row r="2364">
          <cell r="A2364">
            <v>614719</v>
          </cell>
          <cell r="B2364">
            <v>0</v>
          </cell>
          <cell r="C2364">
            <v>0</v>
          </cell>
          <cell r="D2364" t="str">
            <v>לעדכן</v>
          </cell>
        </row>
        <row r="2365">
          <cell r="A2365">
            <v>614727</v>
          </cell>
          <cell r="B2365">
            <v>0</v>
          </cell>
          <cell r="C2365">
            <v>0</v>
          </cell>
          <cell r="D2365" t="str">
            <v>לעדכן</v>
          </cell>
        </row>
        <row r="2366">
          <cell r="A2366">
            <v>614743</v>
          </cell>
          <cell r="B2366">
            <v>0</v>
          </cell>
          <cell r="C2366">
            <v>0</v>
          </cell>
          <cell r="D2366" t="str">
            <v>לעדכן</v>
          </cell>
        </row>
        <row r="2367">
          <cell r="A2367">
            <v>614750</v>
          </cell>
          <cell r="B2367">
            <v>0</v>
          </cell>
          <cell r="C2367">
            <v>0</v>
          </cell>
          <cell r="D2367" t="str">
            <v>לעדכן</v>
          </cell>
        </row>
        <row r="2368">
          <cell r="A2368">
            <v>614768</v>
          </cell>
          <cell r="B2368">
            <v>0</v>
          </cell>
          <cell r="C2368">
            <v>0</v>
          </cell>
          <cell r="D2368" t="str">
            <v>לעדכן</v>
          </cell>
        </row>
        <row r="2369">
          <cell r="A2369">
            <v>614800</v>
          </cell>
          <cell r="B2369">
            <v>0</v>
          </cell>
          <cell r="C2369">
            <v>0</v>
          </cell>
          <cell r="D2369" t="str">
            <v>לעדכן</v>
          </cell>
        </row>
        <row r="2370">
          <cell r="A2370">
            <v>614834</v>
          </cell>
          <cell r="B2370">
            <v>0</v>
          </cell>
          <cell r="C2370">
            <v>0</v>
          </cell>
          <cell r="D2370" t="str">
            <v>לעדכן</v>
          </cell>
        </row>
        <row r="2371">
          <cell r="A2371">
            <v>614842</v>
          </cell>
          <cell r="B2371">
            <v>0</v>
          </cell>
          <cell r="C2371">
            <v>0</v>
          </cell>
          <cell r="D2371" t="str">
            <v>לעדכן</v>
          </cell>
        </row>
        <row r="2372">
          <cell r="A2372">
            <v>614859</v>
          </cell>
          <cell r="B2372">
            <v>0</v>
          </cell>
          <cell r="C2372">
            <v>0</v>
          </cell>
          <cell r="D2372" t="str">
            <v>לעדכן</v>
          </cell>
        </row>
        <row r="2373">
          <cell r="A2373">
            <v>614875</v>
          </cell>
          <cell r="B2373">
            <v>0</v>
          </cell>
          <cell r="C2373">
            <v>0</v>
          </cell>
          <cell r="D2373" t="str">
            <v>לעדכן</v>
          </cell>
        </row>
        <row r="2374">
          <cell r="A2374">
            <v>614883</v>
          </cell>
          <cell r="B2374">
            <v>0</v>
          </cell>
          <cell r="C2374">
            <v>0</v>
          </cell>
          <cell r="D2374" t="str">
            <v>לעדכן</v>
          </cell>
        </row>
        <row r="2375">
          <cell r="A2375">
            <v>614917</v>
          </cell>
          <cell r="B2375">
            <v>0</v>
          </cell>
          <cell r="C2375">
            <v>0</v>
          </cell>
          <cell r="D2375" t="str">
            <v>לעדכן</v>
          </cell>
        </row>
        <row r="2376">
          <cell r="A2376">
            <v>614933</v>
          </cell>
          <cell r="B2376">
            <v>0</v>
          </cell>
          <cell r="C2376">
            <v>0</v>
          </cell>
          <cell r="D2376" t="str">
            <v>לעדכן</v>
          </cell>
        </row>
        <row r="2377">
          <cell r="A2377">
            <v>614958</v>
          </cell>
          <cell r="B2377">
            <v>0</v>
          </cell>
          <cell r="C2377">
            <v>0</v>
          </cell>
          <cell r="D2377" t="str">
            <v>לעדכן</v>
          </cell>
        </row>
        <row r="2378">
          <cell r="A2378">
            <v>614966</v>
          </cell>
          <cell r="B2378">
            <v>0</v>
          </cell>
          <cell r="C2378">
            <v>0</v>
          </cell>
          <cell r="D2378" t="str">
            <v>לעדכן</v>
          </cell>
        </row>
        <row r="2379">
          <cell r="A2379">
            <v>614982</v>
          </cell>
          <cell r="B2379">
            <v>0</v>
          </cell>
          <cell r="C2379">
            <v>0</v>
          </cell>
          <cell r="D2379" t="str">
            <v>לעדכן</v>
          </cell>
        </row>
        <row r="2380">
          <cell r="A2380">
            <v>615005</v>
          </cell>
          <cell r="B2380">
            <v>0</v>
          </cell>
          <cell r="C2380">
            <v>0</v>
          </cell>
          <cell r="D2380" t="str">
            <v>לעדכן</v>
          </cell>
        </row>
        <row r="2381">
          <cell r="A2381">
            <v>615013</v>
          </cell>
          <cell r="B2381">
            <v>0</v>
          </cell>
          <cell r="C2381">
            <v>0</v>
          </cell>
          <cell r="D2381" t="str">
            <v>לעדכן</v>
          </cell>
        </row>
        <row r="2382">
          <cell r="A2382">
            <v>615021</v>
          </cell>
          <cell r="B2382">
            <v>0</v>
          </cell>
          <cell r="C2382">
            <v>0</v>
          </cell>
          <cell r="D2382" t="str">
            <v>לעדכן</v>
          </cell>
        </row>
        <row r="2383">
          <cell r="A2383">
            <v>615039</v>
          </cell>
          <cell r="B2383">
            <v>0</v>
          </cell>
          <cell r="C2383">
            <v>0</v>
          </cell>
          <cell r="D2383" t="str">
            <v>לעדכן</v>
          </cell>
        </row>
        <row r="2384">
          <cell r="A2384">
            <v>615062</v>
          </cell>
          <cell r="B2384">
            <v>0</v>
          </cell>
          <cell r="C2384">
            <v>0</v>
          </cell>
          <cell r="D2384" t="str">
            <v>לעדכן</v>
          </cell>
        </row>
        <row r="2385">
          <cell r="A2385">
            <v>615070</v>
          </cell>
          <cell r="B2385">
            <v>0</v>
          </cell>
          <cell r="C2385">
            <v>0</v>
          </cell>
          <cell r="D2385" t="str">
            <v>לעדכן</v>
          </cell>
        </row>
        <row r="2386">
          <cell r="A2386">
            <v>615104</v>
          </cell>
          <cell r="B2386">
            <v>0</v>
          </cell>
          <cell r="C2386">
            <v>0</v>
          </cell>
          <cell r="D2386" t="str">
            <v>לעדכן</v>
          </cell>
        </row>
        <row r="2387">
          <cell r="A2387">
            <v>615112</v>
          </cell>
          <cell r="B2387">
            <v>0</v>
          </cell>
          <cell r="C2387">
            <v>0</v>
          </cell>
          <cell r="D2387" t="str">
            <v>לעדכן</v>
          </cell>
        </row>
        <row r="2388">
          <cell r="A2388">
            <v>615120</v>
          </cell>
          <cell r="B2388">
            <v>0</v>
          </cell>
          <cell r="C2388">
            <v>0</v>
          </cell>
          <cell r="D2388" t="str">
            <v>לעדכן</v>
          </cell>
        </row>
        <row r="2389">
          <cell r="A2389">
            <v>615138</v>
          </cell>
          <cell r="B2389">
            <v>0</v>
          </cell>
          <cell r="C2389">
            <v>0</v>
          </cell>
          <cell r="D2389" t="str">
            <v>לעדכן</v>
          </cell>
        </row>
        <row r="2390">
          <cell r="A2390">
            <v>615146</v>
          </cell>
          <cell r="B2390">
            <v>0</v>
          </cell>
          <cell r="C2390">
            <v>0</v>
          </cell>
          <cell r="D2390" t="str">
            <v>לעדכן</v>
          </cell>
        </row>
        <row r="2391">
          <cell r="A2391">
            <v>615153</v>
          </cell>
          <cell r="B2391">
            <v>0</v>
          </cell>
          <cell r="C2391">
            <v>0</v>
          </cell>
          <cell r="D2391" t="str">
            <v>לעדכן</v>
          </cell>
        </row>
        <row r="2392">
          <cell r="A2392">
            <v>615161</v>
          </cell>
          <cell r="B2392">
            <v>0</v>
          </cell>
          <cell r="C2392">
            <v>0</v>
          </cell>
          <cell r="D2392" t="str">
            <v>לעדכן</v>
          </cell>
        </row>
        <row r="2393">
          <cell r="A2393">
            <v>615179</v>
          </cell>
          <cell r="B2393">
            <v>0</v>
          </cell>
          <cell r="C2393">
            <v>0</v>
          </cell>
          <cell r="D2393" t="str">
            <v>לעדכן</v>
          </cell>
        </row>
        <row r="2394">
          <cell r="A2394">
            <v>615203</v>
          </cell>
          <cell r="B2394">
            <v>0</v>
          </cell>
          <cell r="C2394">
            <v>0</v>
          </cell>
          <cell r="D2394" t="str">
            <v>לעדכן</v>
          </cell>
        </row>
        <row r="2395">
          <cell r="A2395">
            <v>615237</v>
          </cell>
          <cell r="B2395">
            <v>0</v>
          </cell>
          <cell r="C2395">
            <v>0</v>
          </cell>
          <cell r="D2395" t="str">
            <v>לעדכן</v>
          </cell>
        </row>
        <row r="2396">
          <cell r="A2396">
            <v>615252</v>
          </cell>
          <cell r="B2396">
            <v>0</v>
          </cell>
          <cell r="C2396">
            <v>0</v>
          </cell>
          <cell r="D2396" t="str">
            <v>לעדכן</v>
          </cell>
        </row>
        <row r="2397">
          <cell r="A2397">
            <v>615260</v>
          </cell>
          <cell r="B2397">
            <v>0</v>
          </cell>
          <cell r="C2397">
            <v>0</v>
          </cell>
          <cell r="D2397" t="str">
            <v>לעדכן</v>
          </cell>
        </row>
        <row r="2398">
          <cell r="A2398">
            <v>615286</v>
          </cell>
          <cell r="B2398">
            <v>0</v>
          </cell>
          <cell r="C2398">
            <v>0</v>
          </cell>
          <cell r="D2398" t="str">
            <v>לעדכן</v>
          </cell>
        </row>
        <row r="2399">
          <cell r="A2399">
            <v>615294</v>
          </cell>
          <cell r="B2399">
            <v>0</v>
          </cell>
          <cell r="C2399">
            <v>0</v>
          </cell>
          <cell r="D2399" t="str">
            <v>לעדכן</v>
          </cell>
        </row>
        <row r="2400">
          <cell r="A2400">
            <v>615310</v>
          </cell>
          <cell r="B2400">
            <v>0</v>
          </cell>
          <cell r="C2400">
            <v>0</v>
          </cell>
          <cell r="D2400" t="str">
            <v>לעדכן</v>
          </cell>
        </row>
        <row r="2401">
          <cell r="A2401">
            <v>615336</v>
          </cell>
          <cell r="B2401">
            <v>0</v>
          </cell>
          <cell r="C2401">
            <v>0</v>
          </cell>
          <cell r="D2401" t="str">
            <v>לעדכן</v>
          </cell>
        </row>
        <row r="2402">
          <cell r="A2402">
            <v>615526</v>
          </cell>
          <cell r="B2402">
            <v>0</v>
          </cell>
          <cell r="C2402">
            <v>0</v>
          </cell>
          <cell r="D2402" t="str">
            <v>לעדכן</v>
          </cell>
        </row>
        <row r="2403">
          <cell r="A2403">
            <v>615559</v>
          </cell>
          <cell r="B2403">
            <v>0</v>
          </cell>
          <cell r="C2403">
            <v>0</v>
          </cell>
          <cell r="D2403" t="str">
            <v>לעדכן</v>
          </cell>
        </row>
        <row r="2404">
          <cell r="A2404">
            <v>615880</v>
          </cell>
          <cell r="B2404">
            <v>0</v>
          </cell>
          <cell r="C2404">
            <v>0</v>
          </cell>
          <cell r="D2404" t="str">
            <v>לעדכן</v>
          </cell>
        </row>
        <row r="2405">
          <cell r="A2405">
            <v>615898</v>
          </cell>
          <cell r="B2405">
            <v>0</v>
          </cell>
          <cell r="C2405">
            <v>0</v>
          </cell>
          <cell r="D2405" t="str">
            <v>לעדכן</v>
          </cell>
        </row>
        <row r="2406">
          <cell r="A2406">
            <v>615971</v>
          </cell>
          <cell r="B2406">
            <v>0</v>
          </cell>
          <cell r="C2406">
            <v>0</v>
          </cell>
          <cell r="D2406" t="str">
            <v>לעדכן</v>
          </cell>
        </row>
        <row r="2407">
          <cell r="A2407">
            <v>615989</v>
          </cell>
          <cell r="B2407">
            <v>0</v>
          </cell>
          <cell r="C2407">
            <v>0</v>
          </cell>
          <cell r="D2407" t="str">
            <v>לעדכן</v>
          </cell>
        </row>
        <row r="2408">
          <cell r="A2408">
            <v>616102</v>
          </cell>
          <cell r="B2408">
            <v>0</v>
          </cell>
          <cell r="C2408">
            <v>0</v>
          </cell>
          <cell r="D2408" t="str">
            <v>לעדכן</v>
          </cell>
        </row>
        <row r="2409">
          <cell r="A2409">
            <v>616144</v>
          </cell>
          <cell r="B2409">
            <v>0</v>
          </cell>
          <cell r="C2409">
            <v>0</v>
          </cell>
          <cell r="D2409" t="str">
            <v>לעדכן</v>
          </cell>
        </row>
        <row r="2410">
          <cell r="A2410">
            <v>616151</v>
          </cell>
          <cell r="B2410">
            <v>0</v>
          </cell>
          <cell r="C2410">
            <v>0</v>
          </cell>
          <cell r="D2410" t="str">
            <v>לעדכן</v>
          </cell>
        </row>
        <row r="2411">
          <cell r="A2411">
            <v>616169</v>
          </cell>
          <cell r="B2411">
            <v>0</v>
          </cell>
          <cell r="C2411">
            <v>0</v>
          </cell>
          <cell r="D2411" t="str">
            <v>לעדכן</v>
          </cell>
        </row>
        <row r="2412">
          <cell r="A2412">
            <v>616177</v>
          </cell>
          <cell r="B2412">
            <v>0</v>
          </cell>
          <cell r="C2412">
            <v>0</v>
          </cell>
          <cell r="D2412" t="str">
            <v>לעדכן</v>
          </cell>
        </row>
        <row r="2413">
          <cell r="A2413">
            <v>616185</v>
          </cell>
          <cell r="B2413">
            <v>0</v>
          </cell>
          <cell r="C2413">
            <v>0</v>
          </cell>
          <cell r="D2413" t="str">
            <v>לעדכן</v>
          </cell>
        </row>
        <row r="2414">
          <cell r="A2414">
            <v>616193</v>
          </cell>
          <cell r="B2414">
            <v>0</v>
          </cell>
          <cell r="C2414">
            <v>0</v>
          </cell>
          <cell r="D2414" t="str">
            <v>לעדכן</v>
          </cell>
        </row>
        <row r="2415">
          <cell r="A2415">
            <v>616201</v>
          </cell>
          <cell r="B2415">
            <v>0</v>
          </cell>
          <cell r="C2415">
            <v>0</v>
          </cell>
          <cell r="D2415" t="str">
            <v>לעדכן</v>
          </cell>
        </row>
        <row r="2416">
          <cell r="A2416">
            <v>616227</v>
          </cell>
          <cell r="B2416">
            <v>0</v>
          </cell>
          <cell r="C2416">
            <v>0</v>
          </cell>
          <cell r="D2416" t="str">
            <v>לעדכן</v>
          </cell>
        </row>
        <row r="2417">
          <cell r="A2417">
            <v>616235</v>
          </cell>
          <cell r="B2417">
            <v>0</v>
          </cell>
          <cell r="C2417">
            <v>0</v>
          </cell>
          <cell r="D2417" t="str">
            <v>לעדכן</v>
          </cell>
        </row>
        <row r="2418">
          <cell r="A2418">
            <v>616243</v>
          </cell>
          <cell r="B2418">
            <v>0</v>
          </cell>
          <cell r="C2418">
            <v>0</v>
          </cell>
          <cell r="D2418" t="str">
            <v>לעדכן</v>
          </cell>
        </row>
        <row r="2419">
          <cell r="A2419">
            <v>616268</v>
          </cell>
          <cell r="B2419">
            <v>0</v>
          </cell>
          <cell r="C2419">
            <v>0</v>
          </cell>
          <cell r="D2419" t="str">
            <v>לעדכן</v>
          </cell>
        </row>
        <row r="2420">
          <cell r="A2420">
            <v>616276</v>
          </cell>
          <cell r="B2420">
            <v>0</v>
          </cell>
          <cell r="C2420">
            <v>0</v>
          </cell>
          <cell r="D2420" t="str">
            <v>לעדכן</v>
          </cell>
        </row>
        <row r="2421">
          <cell r="A2421">
            <v>616284</v>
          </cell>
          <cell r="B2421">
            <v>0</v>
          </cell>
          <cell r="C2421">
            <v>0</v>
          </cell>
          <cell r="D2421" t="str">
            <v>לעדכן</v>
          </cell>
        </row>
        <row r="2422">
          <cell r="A2422">
            <v>616359</v>
          </cell>
          <cell r="B2422">
            <v>0</v>
          </cell>
          <cell r="C2422">
            <v>0</v>
          </cell>
          <cell r="D2422" t="str">
            <v>לעדכן</v>
          </cell>
        </row>
        <row r="2423">
          <cell r="A2423">
            <v>616367</v>
          </cell>
          <cell r="B2423">
            <v>0</v>
          </cell>
          <cell r="C2423">
            <v>0</v>
          </cell>
          <cell r="D2423" t="str">
            <v>לעדכן</v>
          </cell>
        </row>
        <row r="2424">
          <cell r="A2424">
            <v>616383</v>
          </cell>
          <cell r="B2424">
            <v>0</v>
          </cell>
          <cell r="C2424">
            <v>0</v>
          </cell>
          <cell r="D2424" t="str">
            <v>לעדכן</v>
          </cell>
        </row>
        <row r="2425">
          <cell r="A2425">
            <v>616409</v>
          </cell>
          <cell r="B2425">
            <v>0</v>
          </cell>
          <cell r="C2425">
            <v>0</v>
          </cell>
          <cell r="D2425" t="str">
            <v>לעדכן</v>
          </cell>
        </row>
        <row r="2426">
          <cell r="A2426">
            <v>616417</v>
          </cell>
          <cell r="B2426">
            <v>0</v>
          </cell>
          <cell r="C2426">
            <v>0</v>
          </cell>
          <cell r="D2426" t="str">
            <v>לעדכן</v>
          </cell>
        </row>
        <row r="2427">
          <cell r="A2427">
            <v>616425</v>
          </cell>
          <cell r="B2427">
            <v>0</v>
          </cell>
          <cell r="C2427">
            <v>0</v>
          </cell>
          <cell r="D2427" t="str">
            <v>לעדכן</v>
          </cell>
        </row>
        <row r="2428">
          <cell r="A2428">
            <v>616433</v>
          </cell>
          <cell r="B2428">
            <v>0</v>
          </cell>
          <cell r="C2428">
            <v>0</v>
          </cell>
          <cell r="D2428" t="str">
            <v>לעדכן</v>
          </cell>
        </row>
        <row r="2429">
          <cell r="A2429">
            <v>616441</v>
          </cell>
          <cell r="B2429">
            <v>0</v>
          </cell>
          <cell r="C2429">
            <v>0</v>
          </cell>
          <cell r="D2429" t="str">
            <v>לעדכן</v>
          </cell>
        </row>
        <row r="2430">
          <cell r="A2430">
            <v>616466</v>
          </cell>
          <cell r="B2430">
            <v>0</v>
          </cell>
          <cell r="C2430">
            <v>0</v>
          </cell>
          <cell r="D2430" t="str">
            <v>לעדכן</v>
          </cell>
        </row>
        <row r="2431">
          <cell r="A2431">
            <v>616474</v>
          </cell>
          <cell r="B2431">
            <v>0</v>
          </cell>
          <cell r="C2431">
            <v>0</v>
          </cell>
          <cell r="D2431" t="str">
            <v>לעדכן</v>
          </cell>
        </row>
        <row r="2432">
          <cell r="A2432">
            <v>616508</v>
          </cell>
          <cell r="B2432">
            <v>0</v>
          </cell>
          <cell r="C2432">
            <v>0</v>
          </cell>
          <cell r="D2432" t="str">
            <v>לעדכן</v>
          </cell>
        </row>
        <row r="2433">
          <cell r="A2433">
            <v>616516</v>
          </cell>
          <cell r="B2433">
            <v>0</v>
          </cell>
          <cell r="C2433">
            <v>0</v>
          </cell>
          <cell r="D2433" t="str">
            <v>לעדכן</v>
          </cell>
        </row>
        <row r="2434">
          <cell r="A2434">
            <v>616524</v>
          </cell>
          <cell r="B2434">
            <v>0</v>
          </cell>
          <cell r="C2434">
            <v>0</v>
          </cell>
          <cell r="D2434" t="str">
            <v>לעדכן</v>
          </cell>
        </row>
        <row r="2435">
          <cell r="A2435">
            <v>616532</v>
          </cell>
          <cell r="B2435">
            <v>0</v>
          </cell>
          <cell r="C2435">
            <v>0</v>
          </cell>
          <cell r="D2435" t="str">
            <v>לעדכן</v>
          </cell>
        </row>
        <row r="2436">
          <cell r="A2436">
            <v>616540</v>
          </cell>
          <cell r="B2436">
            <v>0</v>
          </cell>
          <cell r="C2436">
            <v>0</v>
          </cell>
          <cell r="D2436" t="str">
            <v>לעדכן</v>
          </cell>
        </row>
        <row r="2437">
          <cell r="A2437">
            <v>616557</v>
          </cell>
          <cell r="B2437">
            <v>0</v>
          </cell>
          <cell r="C2437">
            <v>0</v>
          </cell>
          <cell r="D2437" t="str">
            <v>לעדכן</v>
          </cell>
        </row>
        <row r="2438">
          <cell r="A2438">
            <v>616565</v>
          </cell>
          <cell r="B2438">
            <v>0</v>
          </cell>
          <cell r="C2438">
            <v>0</v>
          </cell>
          <cell r="D2438" t="str">
            <v>לעדכן</v>
          </cell>
        </row>
        <row r="2439">
          <cell r="A2439">
            <v>616623</v>
          </cell>
          <cell r="B2439">
            <v>0</v>
          </cell>
          <cell r="C2439">
            <v>0</v>
          </cell>
          <cell r="D2439" t="str">
            <v>לעדכן</v>
          </cell>
        </row>
        <row r="2440">
          <cell r="A2440">
            <v>616714</v>
          </cell>
          <cell r="B2440">
            <v>0</v>
          </cell>
          <cell r="C2440">
            <v>0</v>
          </cell>
          <cell r="D2440" t="str">
            <v>לעדכן</v>
          </cell>
        </row>
        <row r="2441">
          <cell r="A2441">
            <v>616722</v>
          </cell>
          <cell r="B2441">
            <v>0</v>
          </cell>
          <cell r="C2441">
            <v>0</v>
          </cell>
          <cell r="D2441" t="str">
            <v>לעדכן</v>
          </cell>
        </row>
        <row r="2442">
          <cell r="A2442">
            <v>616730</v>
          </cell>
          <cell r="B2442">
            <v>0</v>
          </cell>
          <cell r="C2442">
            <v>0</v>
          </cell>
          <cell r="D2442" t="str">
            <v>לעדכן</v>
          </cell>
        </row>
        <row r="2443">
          <cell r="A2443">
            <v>616748</v>
          </cell>
          <cell r="B2443">
            <v>0</v>
          </cell>
          <cell r="C2443">
            <v>0</v>
          </cell>
          <cell r="D2443" t="str">
            <v>לעדכן</v>
          </cell>
        </row>
        <row r="2444">
          <cell r="A2444">
            <v>616789</v>
          </cell>
          <cell r="B2444">
            <v>0</v>
          </cell>
          <cell r="C2444">
            <v>0</v>
          </cell>
          <cell r="D2444" t="str">
            <v>לעדכן</v>
          </cell>
        </row>
        <row r="2445">
          <cell r="A2445">
            <v>616805</v>
          </cell>
          <cell r="B2445">
            <v>0</v>
          </cell>
          <cell r="C2445">
            <v>0</v>
          </cell>
          <cell r="D2445" t="str">
            <v>לעדכן</v>
          </cell>
        </row>
        <row r="2446">
          <cell r="A2446">
            <v>616904</v>
          </cell>
          <cell r="B2446">
            <v>0</v>
          </cell>
          <cell r="C2446">
            <v>0</v>
          </cell>
          <cell r="D2446" t="str">
            <v>לעדכן</v>
          </cell>
        </row>
        <row r="2447">
          <cell r="A2447">
            <v>616920</v>
          </cell>
          <cell r="B2447">
            <v>0</v>
          </cell>
          <cell r="C2447">
            <v>0</v>
          </cell>
          <cell r="D2447" t="str">
            <v>לעדכן</v>
          </cell>
        </row>
        <row r="2448">
          <cell r="A2448">
            <v>616938</v>
          </cell>
          <cell r="B2448">
            <v>0</v>
          </cell>
          <cell r="C2448">
            <v>0</v>
          </cell>
          <cell r="D2448" t="str">
            <v>לעדכן</v>
          </cell>
        </row>
        <row r="2449">
          <cell r="A2449">
            <v>616961</v>
          </cell>
          <cell r="B2449">
            <v>0</v>
          </cell>
          <cell r="C2449">
            <v>0</v>
          </cell>
          <cell r="D2449" t="str">
            <v>לעדכן</v>
          </cell>
        </row>
        <row r="2450">
          <cell r="A2450">
            <v>617019</v>
          </cell>
          <cell r="B2450">
            <v>0</v>
          </cell>
          <cell r="C2450">
            <v>0</v>
          </cell>
          <cell r="D2450" t="str">
            <v>לעדכן</v>
          </cell>
        </row>
        <row r="2451">
          <cell r="A2451">
            <v>617043</v>
          </cell>
          <cell r="B2451">
            <v>0</v>
          </cell>
          <cell r="C2451">
            <v>0</v>
          </cell>
          <cell r="D2451" t="str">
            <v>לעדכן</v>
          </cell>
        </row>
        <row r="2452">
          <cell r="A2452">
            <v>617050</v>
          </cell>
          <cell r="B2452">
            <v>0</v>
          </cell>
          <cell r="C2452">
            <v>0</v>
          </cell>
          <cell r="D2452" t="str">
            <v>לעדכן</v>
          </cell>
        </row>
        <row r="2453">
          <cell r="A2453">
            <v>618017</v>
          </cell>
          <cell r="B2453">
            <v>0</v>
          </cell>
          <cell r="C2453">
            <v>0</v>
          </cell>
          <cell r="D2453" t="str">
            <v>לעדכן</v>
          </cell>
        </row>
        <row r="2454">
          <cell r="A2454">
            <v>618025</v>
          </cell>
          <cell r="B2454">
            <v>0</v>
          </cell>
          <cell r="C2454">
            <v>0</v>
          </cell>
          <cell r="D2454" t="str">
            <v>לעדכן</v>
          </cell>
        </row>
        <row r="2455">
          <cell r="A2455">
            <v>618033</v>
          </cell>
          <cell r="B2455">
            <v>0</v>
          </cell>
          <cell r="C2455">
            <v>0</v>
          </cell>
          <cell r="D2455" t="str">
            <v>לעדכן</v>
          </cell>
        </row>
        <row r="2456">
          <cell r="A2456">
            <v>618041</v>
          </cell>
          <cell r="B2456">
            <v>0</v>
          </cell>
          <cell r="C2456">
            <v>0</v>
          </cell>
          <cell r="D2456" t="str">
            <v>לעדכן</v>
          </cell>
        </row>
        <row r="2457">
          <cell r="A2457">
            <v>618058</v>
          </cell>
          <cell r="B2457">
            <v>0</v>
          </cell>
          <cell r="C2457">
            <v>0</v>
          </cell>
          <cell r="D2457" t="str">
            <v>לעדכן</v>
          </cell>
        </row>
        <row r="2458">
          <cell r="A2458">
            <v>618066</v>
          </cell>
          <cell r="B2458">
            <v>0</v>
          </cell>
          <cell r="C2458">
            <v>0</v>
          </cell>
          <cell r="D2458" t="str">
            <v>לעדכן</v>
          </cell>
        </row>
        <row r="2459">
          <cell r="A2459">
            <v>618074</v>
          </cell>
          <cell r="B2459">
            <v>0</v>
          </cell>
          <cell r="C2459">
            <v>0</v>
          </cell>
          <cell r="D2459" t="str">
            <v>לעדכן</v>
          </cell>
        </row>
        <row r="2460">
          <cell r="A2460">
            <v>618082</v>
          </cell>
          <cell r="B2460">
            <v>0</v>
          </cell>
          <cell r="C2460">
            <v>0</v>
          </cell>
          <cell r="D2460" t="str">
            <v>לעדכן</v>
          </cell>
        </row>
        <row r="2461">
          <cell r="A2461">
            <v>618090</v>
          </cell>
          <cell r="B2461">
            <v>0</v>
          </cell>
          <cell r="C2461">
            <v>0</v>
          </cell>
          <cell r="D2461" t="str">
            <v>לעדכן</v>
          </cell>
        </row>
        <row r="2462">
          <cell r="A2462">
            <v>618108</v>
          </cell>
          <cell r="B2462">
            <v>0</v>
          </cell>
          <cell r="C2462">
            <v>0</v>
          </cell>
          <cell r="D2462" t="str">
            <v>לעדכן</v>
          </cell>
        </row>
        <row r="2463">
          <cell r="A2463">
            <v>618116</v>
          </cell>
          <cell r="B2463">
            <v>0</v>
          </cell>
          <cell r="C2463">
            <v>0</v>
          </cell>
          <cell r="D2463" t="str">
            <v>לעדכן</v>
          </cell>
        </row>
        <row r="2464">
          <cell r="A2464">
            <v>618132</v>
          </cell>
          <cell r="B2464">
            <v>0</v>
          </cell>
          <cell r="C2464">
            <v>0</v>
          </cell>
          <cell r="D2464" t="str">
            <v>לעדכן</v>
          </cell>
        </row>
        <row r="2465">
          <cell r="A2465">
            <v>618140</v>
          </cell>
          <cell r="B2465">
            <v>0</v>
          </cell>
          <cell r="C2465">
            <v>0</v>
          </cell>
          <cell r="D2465" t="str">
            <v>לעדכן</v>
          </cell>
        </row>
        <row r="2466">
          <cell r="A2466">
            <v>618157</v>
          </cell>
          <cell r="B2466">
            <v>0</v>
          </cell>
          <cell r="C2466">
            <v>0</v>
          </cell>
          <cell r="D2466" t="str">
            <v>לעדכן</v>
          </cell>
        </row>
        <row r="2467">
          <cell r="A2467">
            <v>618165</v>
          </cell>
          <cell r="B2467">
            <v>0</v>
          </cell>
          <cell r="C2467">
            <v>0</v>
          </cell>
          <cell r="D2467" t="str">
            <v>לעדכן</v>
          </cell>
        </row>
        <row r="2468">
          <cell r="A2468">
            <v>618173</v>
          </cell>
          <cell r="B2468">
            <v>0</v>
          </cell>
          <cell r="C2468">
            <v>0</v>
          </cell>
          <cell r="D2468" t="str">
            <v>לעדכן</v>
          </cell>
        </row>
        <row r="2469">
          <cell r="A2469">
            <v>618181</v>
          </cell>
          <cell r="B2469">
            <v>0</v>
          </cell>
          <cell r="C2469">
            <v>0</v>
          </cell>
          <cell r="D2469" t="str">
            <v>לעדכן</v>
          </cell>
        </row>
        <row r="2470">
          <cell r="A2470">
            <v>618199</v>
          </cell>
          <cell r="B2470">
            <v>0</v>
          </cell>
          <cell r="C2470">
            <v>0</v>
          </cell>
          <cell r="D2470" t="str">
            <v>לעדכן</v>
          </cell>
        </row>
        <row r="2471">
          <cell r="A2471">
            <v>618207</v>
          </cell>
          <cell r="B2471">
            <v>0</v>
          </cell>
          <cell r="C2471">
            <v>0</v>
          </cell>
          <cell r="D2471" t="str">
            <v>לעדכן</v>
          </cell>
        </row>
        <row r="2472">
          <cell r="A2472">
            <v>618223</v>
          </cell>
          <cell r="B2472">
            <v>0</v>
          </cell>
          <cell r="C2472">
            <v>0</v>
          </cell>
          <cell r="D2472" t="str">
            <v>לעדכן</v>
          </cell>
        </row>
        <row r="2473">
          <cell r="A2473">
            <v>618231</v>
          </cell>
          <cell r="B2473">
            <v>0</v>
          </cell>
          <cell r="C2473">
            <v>0</v>
          </cell>
          <cell r="D2473" t="str">
            <v>לעדכן</v>
          </cell>
        </row>
        <row r="2474">
          <cell r="A2474">
            <v>618249</v>
          </cell>
          <cell r="B2474">
            <v>0</v>
          </cell>
          <cell r="C2474">
            <v>0</v>
          </cell>
          <cell r="D2474" t="str">
            <v>לעדכן</v>
          </cell>
        </row>
        <row r="2475">
          <cell r="A2475">
            <v>618256</v>
          </cell>
          <cell r="B2475">
            <v>0</v>
          </cell>
          <cell r="C2475">
            <v>0</v>
          </cell>
          <cell r="D2475" t="str">
            <v>לעדכן</v>
          </cell>
        </row>
        <row r="2476">
          <cell r="A2476">
            <v>618264</v>
          </cell>
          <cell r="B2476">
            <v>0</v>
          </cell>
          <cell r="C2476">
            <v>0</v>
          </cell>
          <cell r="D2476" t="str">
            <v>לעדכן</v>
          </cell>
        </row>
        <row r="2477">
          <cell r="A2477">
            <v>618280</v>
          </cell>
          <cell r="B2477">
            <v>0</v>
          </cell>
          <cell r="C2477">
            <v>0</v>
          </cell>
          <cell r="D2477" t="str">
            <v>לעדכן</v>
          </cell>
        </row>
        <row r="2478">
          <cell r="A2478">
            <v>618298</v>
          </cell>
          <cell r="B2478">
            <v>0</v>
          </cell>
          <cell r="C2478">
            <v>0</v>
          </cell>
          <cell r="D2478" t="str">
            <v>לעדכן</v>
          </cell>
        </row>
        <row r="2479">
          <cell r="A2479">
            <v>618314</v>
          </cell>
          <cell r="B2479">
            <v>0</v>
          </cell>
          <cell r="C2479">
            <v>0</v>
          </cell>
          <cell r="D2479" t="str">
            <v>לעדכן</v>
          </cell>
        </row>
        <row r="2480">
          <cell r="A2480">
            <v>618322</v>
          </cell>
          <cell r="B2480">
            <v>0</v>
          </cell>
          <cell r="C2480">
            <v>0</v>
          </cell>
          <cell r="D2480" t="str">
            <v>לעדכן</v>
          </cell>
        </row>
        <row r="2481">
          <cell r="A2481">
            <v>618330</v>
          </cell>
          <cell r="B2481">
            <v>0</v>
          </cell>
          <cell r="C2481">
            <v>0</v>
          </cell>
          <cell r="D2481" t="str">
            <v>לעדכן</v>
          </cell>
        </row>
        <row r="2482">
          <cell r="A2482">
            <v>618348</v>
          </cell>
          <cell r="B2482">
            <v>0</v>
          </cell>
          <cell r="C2482">
            <v>0</v>
          </cell>
          <cell r="D2482" t="str">
            <v>לעדכן</v>
          </cell>
        </row>
        <row r="2483">
          <cell r="A2483">
            <v>618355</v>
          </cell>
          <cell r="B2483">
            <v>0</v>
          </cell>
          <cell r="C2483">
            <v>0</v>
          </cell>
          <cell r="D2483" t="str">
            <v>לעדכן</v>
          </cell>
        </row>
        <row r="2484">
          <cell r="A2484">
            <v>618363</v>
          </cell>
          <cell r="B2484">
            <v>0</v>
          </cell>
          <cell r="C2484">
            <v>0</v>
          </cell>
          <cell r="D2484" t="str">
            <v>לעדכן</v>
          </cell>
        </row>
        <row r="2485">
          <cell r="A2485">
            <v>618371</v>
          </cell>
          <cell r="B2485">
            <v>0</v>
          </cell>
          <cell r="C2485">
            <v>0</v>
          </cell>
          <cell r="D2485" t="str">
            <v>לעדכן</v>
          </cell>
        </row>
        <row r="2486">
          <cell r="A2486">
            <v>618389</v>
          </cell>
          <cell r="B2486">
            <v>0</v>
          </cell>
          <cell r="C2486">
            <v>0</v>
          </cell>
          <cell r="D2486" t="str">
            <v>לעדכן</v>
          </cell>
        </row>
        <row r="2487">
          <cell r="A2487">
            <v>618397</v>
          </cell>
          <cell r="B2487">
            <v>0</v>
          </cell>
          <cell r="C2487">
            <v>0</v>
          </cell>
          <cell r="D2487" t="str">
            <v>לעדכן</v>
          </cell>
        </row>
        <row r="2488">
          <cell r="A2488">
            <v>618405</v>
          </cell>
          <cell r="B2488">
            <v>0</v>
          </cell>
          <cell r="C2488">
            <v>0</v>
          </cell>
          <cell r="D2488" t="str">
            <v>לעדכן</v>
          </cell>
        </row>
        <row r="2489">
          <cell r="A2489">
            <v>618413</v>
          </cell>
          <cell r="B2489">
            <v>0</v>
          </cell>
          <cell r="C2489">
            <v>0</v>
          </cell>
          <cell r="D2489" t="str">
            <v>לעדכן</v>
          </cell>
        </row>
        <row r="2490">
          <cell r="A2490">
            <v>618421</v>
          </cell>
          <cell r="B2490">
            <v>0</v>
          </cell>
          <cell r="C2490">
            <v>0</v>
          </cell>
          <cell r="D2490" t="str">
            <v>לעדכן</v>
          </cell>
        </row>
        <row r="2491">
          <cell r="A2491">
            <v>618439</v>
          </cell>
          <cell r="B2491">
            <v>0</v>
          </cell>
          <cell r="C2491">
            <v>0</v>
          </cell>
          <cell r="D2491" t="str">
            <v>לעדכן</v>
          </cell>
        </row>
        <row r="2492">
          <cell r="A2492">
            <v>618447</v>
          </cell>
          <cell r="B2492">
            <v>0</v>
          </cell>
          <cell r="C2492">
            <v>0</v>
          </cell>
          <cell r="D2492" t="str">
            <v>לעדכן</v>
          </cell>
        </row>
        <row r="2493">
          <cell r="A2493">
            <v>618454</v>
          </cell>
          <cell r="B2493">
            <v>0</v>
          </cell>
          <cell r="C2493">
            <v>0</v>
          </cell>
          <cell r="D2493" t="str">
            <v>לעדכן</v>
          </cell>
        </row>
        <row r="2494">
          <cell r="A2494">
            <v>618462</v>
          </cell>
          <cell r="B2494">
            <v>0</v>
          </cell>
          <cell r="C2494">
            <v>0</v>
          </cell>
          <cell r="D2494" t="str">
            <v>לעדכן</v>
          </cell>
        </row>
        <row r="2495">
          <cell r="A2495">
            <v>618470</v>
          </cell>
          <cell r="B2495">
            <v>0</v>
          </cell>
          <cell r="C2495">
            <v>0</v>
          </cell>
          <cell r="D2495" t="str">
            <v>לעדכן</v>
          </cell>
        </row>
        <row r="2496">
          <cell r="A2496">
            <v>618488</v>
          </cell>
          <cell r="B2496">
            <v>0</v>
          </cell>
          <cell r="C2496">
            <v>0</v>
          </cell>
          <cell r="D2496" t="str">
            <v>לעדכן</v>
          </cell>
        </row>
        <row r="2497">
          <cell r="A2497">
            <v>618496</v>
          </cell>
          <cell r="B2497">
            <v>0</v>
          </cell>
          <cell r="C2497">
            <v>0</v>
          </cell>
          <cell r="D2497" t="str">
            <v>לעדכן</v>
          </cell>
        </row>
        <row r="2498">
          <cell r="A2498">
            <v>618504</v>
          </cell>
          <cell r="B2498">
            <v>0</v>
          </cell>
          <cell r="C2498">
            <v>0</v>
          </cell>
          <cell r="D2498" t="str">
            <v>לעדכן</v>
          </cell>
        </row>
        <row r="2499">
          <cell r="A2499">
            <v>618512</v>
          </cell>
          <cell r="B2499">
            <v>0</v>
          </cell>
          <cell r="C2499">
            <v>0</v>
          </cell>
          <cell r="D2499" t="str">
            <v>לעדכן</v>
          </cell>
        </row>
        <row r="2500">
          <cell r="A2500">
            <v>618520</v>
          </cell>
          <cell r="B2500">
            <v>0</v>
          </cell>
          <cell r="C2500">
            <v>0</v>
          </cell>
          <cell r="D2500" t="str">
            <v>לעדכן</v>
          </cell>
        </row>
        <row r="2501">
          <cell r="A2501">
            <v>618538</v>
          </cell>
          <cell r="B2501">
            <v>0</v>
          </cell>
          <cell r="C2501">
            <v>0</v>
          </cell>
          <cell r="D2501" t="str">
            <v>לעדכן</v>
          </cell>
        </row>
        <row r="2502">
          <cell r="A2502">
            <v>618546</v>
          </cell>
          <cell r="B2502">
            <v>0</v>
          </cell>
          <cell r="C2502">
            <v>0</v>
          </cell>
          <cell r="D2502" t="str">
            <v>לעדכן</v>
          </cell>
        </row>
        <row r="2503">
          <cell r="A2503">
            <v>618553</v>
          </cell>
          <cell r="B2503">
            <v>0</v>
          </cell>
          <cell r="C2503">
            <v>0</v>
          </cell>
          <cell r="D2503" t="str">
            <v>לעדכן</v>
          </cell>
        </row>
        <row r="2504">
          <cell r="A2504">
            <v>618561</v>
          </cell>
          <cell r="B2504">
            <v>0</v>
          </cell>
          <cell r="C2504">
            <v>0</v>
          </cell>
          <cell r="D2504" t="str">
            <v>לעדכן</v>
          </cell>
        </row>
        <row r="2505">
          <cell r="A2505">
            <v>618579</v>
          </cell>
          <cell r="B2505">
            <v>0</v>
          </cell>
          <cell r="C2505">
            <v>0</v>
          </cell>
          <cell r="D2505" t="str">
            <v>לעדכן</v>
          </cell>
        </row>
        <row r="2506">
          <cell r="A2506">
            <v>618587</v>
          </cell>
          <cell r="B2506">
            <v>0</v>
          </cell>
          <cell r="C2506">
            <v>0</v>
          </cell>
          <cell r="D2506" t="str">
            <v>לעדכן</v>
          </cell>
        </row>
        <row r="2507">
          <cell r="A2507">
            <v>618595</v>
          </cell>
          <cell r="B2507">
            <v>0</v>
          </cell>
          <cell r="C2507">
            <v>0</v>
          </cell>
          <cell r="D2507" t="str">
            <v>לעדכן</v>
          </cell>
        </row>
        <row r="2508">
          <cell r="A2508">
            <v>618603</v>
          </cell>
          <cell r="B2508">
            <v>0</v>
          </cell>
          <cell r="C2508">
            <v>0</v>
          </cell>
          <cell r="D2508" t="str">
            <v>לעדכן</v>
          </cell>
        </row>
        <row r="2509">
          <cell r="A2509">
            <v>618611</v>
          </cell>
          <cell r="B2509">
            <v>0</v>
          </cell>
          <cell r="C2509">
            <v>0</v>
          </cell>
          <cell r="D2509" t="str">
            <v>לעדכן</v>
          </cell>
        </row>
        <row r="2510">
          <cell r="A2510">
            <v>618629</v>
          </cell>
          <cell r="B2510">
            <v>0</v>
          </cell>
          <cell r="C2510">
            <v>0</v>
          </cell>
          <cell r="D2510" t="str">
            <v>לעדכן</v>
          </cell>
        </row>
        <row r="2511">
          <cell r="A2511">
            <v>618637</v>
          </cell>
          <cell r="B2511">
            <v>0</v>
          </cell>
          <cell r="C2511">
            <v>0</v>
          </cell>
          <cell r="D2511" t="str">
            <v>לעדכן</v>
          </cell>
        </row>
        <row r="2512">
          <cell r="A2512">
            <v>618645</v>
          </cell>
          <cell r="B2512">
            <v>0</v>
          </cell>
          <cell r="C2512">
            <v>0</v>
          </cell>
          <cell r="D2512" t="str">
            <v>לעדכן</v>
          </cell>
        </row>
        <row r="2513">
          <cell r="A2513">
            <v>618652</v>
          </cell>
          <cell r="B2513">
            <v>0</v>
          </cell>
          <cell r="C2513">
            <v>0</v>
          </cell>
          <cell r="D2513" t="str">
            <v>לעדכן</v>
          </cell>
        </row>
        <row r="2514">
          <cell r="A2514">
            <v>618660</v>
          </cell>
          <cell r="B2514">
            <v>0</v>
          </cell>
          <cell r="C2514">
            <v>0</v>
          </cell>
          <cell r="D2514" t="str">
            <v>לעדכן</v>
          </cell>
        </row>
        <row r="2515">
          <cell r="A2515">
            <v>618678</v>
          </cell>
          <cell r="B2515">
            <v>0</v>
          </cell>
          <cell r="C2515">
            <v>0</v>
          </cell>
          <cell r="D2515" t="str">
            <v>לעדכן</v>
          </cell>
        </row>
        <row r="2516">
          <cell r="A2516">
            <v>618694</v>
          </cell>
          <cell r="B2516">
            <v>0</v>
          </cell>
          <cell r="C2516">
            <v>0</v>
          </cell>
          <cell r="D2516" t="str">
            <v>לעדכן</v>
          </cell>
        </row>
        <row r="2517">
          <cell r="A2517">
            <v>618702</v>
          </cell>
          <cell r="B2517">
            <v>0</v>
          </cell>
          <cell r="C2517">
            <v>0</v>
          </cell>
          <cell r="D2517" t="str">
            <v>לעדכן</v>
          </cell>
        </row>
        <row r="2518">
          <cell r="A2518">
            <v>618710</v>
          </cell>
          <cell r="B2518">
            <v>0</v>
          </cell>
          <cell r="C2518">
            <v>0</v>
          </cell>
          <cell r="D2518" t="str">
            <v>לעדכן</v>
          </cell>
        </row>
        <row r="2519">
          <cell r="A2519">
            <v>618728</v>
          </cell>
          <cell r="B2519">
            <v>0</v>
          </cell>
          <cell r="C2519">
            <v>0</v>
          </cell>
          <cell r="D2519" t="str">
            <v>לעדכן</v>
          </cell>
        </row>
        <row r="2520">
          <cell r="A2520">
            <v>618736</v>
          </cell>
          <cell r="B2520">
            <v>0</v>
          </cell>
          <cell r="C2520">
            <v>0</v>
          </cell>
          <cell r="D2520" t="str">
            <v>לעדכן</v>
          </cell>
        </row>
        <row r="2521">
          <cell r="A2521">
            <v>618744</v>
          </cell>
          <cell r="B2521">
            <v>0</v>
          </cell>
          <cell r="C2521">
            <v>0</v>
          </cell>
          <cell r="D2521" t="str">
            <v>לעדכן</v>
          </cell>
        </row>
        <row r="2522">
          <cell r="A2522">
            <v>618751</v>
          </cell>
          <cell r="B2522">
            <v>0</v>
          </cell>
          <cell r="C2522">
            <v>0</v>
          </cell>
          <cell r="D2522" t="str">
            <v>לעדכן</v>
          </cell>
        </row>
        <row r="2523">
          <cell r="A2523">
            <v>618769</v>
          </cell>
          <cell r="B2523">
            <v>0</v>
          </cell>
          <cell r="C2523">
            <v>0</v>
          </cell>
          <cell r="D2523" t="str">
            <v>לעדכן</v>
          </cell>
        </row>
        <row r="2524">
          <cell r="A2524">
            <v>618777</v>
          </cell>
          <cell r="B2524">
            <v>0</v>
          </cell>
          <cell r="C2524">
            <v>0</v>
          </cell>
          <cell r="D2524" t="str">
            <v>לעדכן</v>
          </cell>
        </row>
        <row r="2525">
          <cell r="A2525">
            <v>618785</v>
          </cell>
          <cell r="B2525">
            <v>0</v>
          </cell>
          <cell r="C2525">
            <v>0</v>
          </cell>
          <cell r="D2525" t="str">
            <v>לעדכן</v>
          </cell>
        </row>
        <row r="2526">
          <cell r="A2526">
            <v>618793</v>
          </cell>
          <cell r="B2526">
            <v>0</v>
          </cell>
          <cell r="C2526">
            <v>0</v>
          </cell>
          <cell r="D2526" t="str">
            <v>לעדכן</v>
          </cell>
        </row>
        <row r="2527">
          <cell r="A2527">
            <v>618801</v>
          </cell>
          <cell r="B2527">
            <v>0</v>
          </cell>
          <cell r="C2527">
            <v>0</v>
          </cell>
          <cell r="D2527" t="str">
            <v>לעדכן</v>
          </cell>
        </row>
        <row r="2528">
          <cell r="A2528">
            <v>618819</v>
          </cell>
          <cell r="B2528">
            <v>0</v>
          </cell>
          <cell r="C2528">
            <v>0</v>
          </cell>
          <cell r="D2528" t="str">
            <v>לעדכן</v>
          </cell>
        </row>
        <row r="2529">
          <cell r="A2529">
            <v>618827</v>
          </cell>
          <cell r="B2529">
            <v>0</v>
          </cell>
          <cell r="C2529">
            <v>0</v>
          </cell>
          <cell r="D2529" t="str">
            <v>לעדכן</v>
          </cell>
        </row>
        <row r="2530">
          <cell r="A2530">
            <v>618843</v>
          </cell>
          <cell r="B2530">
            <v>0</v>
          </cell>
          <cell r="C2530">
            <v>0</v>
          </cell>
          <cell r="D2530" t="str">
            <v>לעדכן</v>
          </cell>
        </row>
        <row r="2531">
          <cell r="A2531">
            <v>618850</v>
          </cell>
          <cell r="B2531">
            <v>0</v>
          </cell>
          <cell r="C2531">
            <v>0</v>
          </cell>
          <cell r="D2531" t="str">
            <v>לעדכן</v>
          </cell>
        </row>
        <row r="2532">
          <cell r="A2532">
            <v>618868</v>
          </cell>
          <cell r="B2532">
            <v>0</v>
          </cell>
          <cell r="C2532">
            <v>0</v>
          </cell>
          <cell r="D2532" t="str">
            <v>לעדכן</v>
          </cell>
        </row>
        <row r="2533">
          <cell r="A2533">
            <v>618876</v>
          </cell>
          <cell r="B2533">
            <v>0</v>
          </cell>
          <cell r="C2533">
            <v>0</v>
          </cell>
          <cell r="D2533" t="str">
            <v>לעדכן</v>
          </cell>
        </row>
        <row r="2534">
          <cell r="A2534">
            <v>618892</v>
          </cell>
          <cell r="B2534">
            <v>0</v>
          </cell>
          <cell r="C2534">
            <v>0</v>
          </cell>
          <cell r="D2534" t="str">
            <v>לעדכן</v>
          </cell>
        </row>
        <row r="2535">
          <cell r="A2535">
            <v>618900</v>
          </cell>
          <cell r="B2535">
            <v>0</v>
          </cell>
          <cell r="C2535">
            <v>0</v>
          </cell>
          <cell r="D2535" t="str">
            <v>לעדכן</v>
          </cell>
        </row>
        <row r="2536">
          <cell r="A2536">
            <v>618918</v>
          </cell>
          <cell r="B2536">
            <v>0</v>
          </cell>
          <cell r="C2536">
            <v>0</v>
          </cell>
          <cell r="D2536" t="str">
            <v>לעדכן</v>
          </cell>
        </row>
        <row r="2537">
          <cell r="A2537">
            <v>618926</v>
          </cell>
          <cell r="B2537">
            <v>0</v>
          </cell>
          <cell r="C2537">
            <v>0</v>
          </cell>
          <cell r="D2537" t="str">
            <v>לעדכן</v>
          </cell>
        </row>
        <row r="2538">
          <cell r="A2538">
            <v>630004</v>
          </cell>
          <cell r="B2538">
            <v>0</v>
          </cell>
          <cell r="C2538">
            <v>0</v>
          </cell>
          <cell r="D2538" t="str">
            <v>לעדכן</v>
          </cell>
        </row>
        <row r="2539">
          <cell r="A2539">
            <v>630012</v>
          </cell>
          <cell r="B2539">
            <v>0</v>
          </cell>
          <cell r="C2539">
            <v>0</v>
          </cell>
          <cell r="D2539" t="str">
            <v>לעדכן</v>
          </cell>
        </row>
        <row r="2540">
          <cell r="A2540">
            <v>630020</v>
          </cell>
          <cell r="B2540">
            <v>0</v>
          </cell>
          <cell r="C2540">
            <v>0</v>
          </cell>
          <cell r="D2540" t="str">
            <v>לעדכן</v>
          </cell>
        </row>
        <row r="2541">
          <cell r="A2541">
            <v>630038</v>
          </cell>
          <cell r="B2541">
            <v>0</v>
          </cell>
          <cell r="C2541">
            <v>0</v>
          </cell>
          <cell r="D2541" t="str">
            <v>לעדכן</v>
          </cell>
        </row>
        <row r="2542">
          <cell r="A2542">
            <v>630046</v>
          </cell>
          <cell r="B2542">
            <v>0</v>
          </cell>
          <cell r="C2542">
            <v>0</v>
          </cell>
          <cell r="D2542" t="str">
            <v>לעדכן</v>
          </cell>
        </row>
        <row r="2543">
          <cell r="A2543">
            <v>630053</v>
          </cell>
          <cell r="B2543">
            <v>0</v>
          </cell>
          <cell r="C2543">
            <v>0</v>
          </cell>
          <cell r="D2543" t="str">
            <v>לעדכן</v>
          </cell>
        </row>
        <row r="2544">
          <cell r="A2544">
            <v>630061</v>
          </cell>
          <cell r="B2544">
            <v>0</v>
          </cell>
          <cell r="C2544">
            <v>0</v>
          </cell>
          <cell r="D2544" t="str">
            <v>לעדכן</v>
          </cell>
        </row>
        <row r="2545">
          <cell r="A2545">
            <v>630079</v>
          </cell>
          <cell r="B2545">
            <v>0</v>
          </cell>
          <cell r="C2545">
            <v>0</v>
          </cell>
          <cell r="D2545" t="str">
            <v>לעדכן</v>
          </cell>
        </row>
        <row r="2546">
          <cell r="A2546">
            <v>630087</v>
          </cell>
          <cell r="B2546">
            <v>0</v>
          </cell>
          <cell r="C2546">
            <v>0</v>
          </cell>
          <cell r="D2546" t="str">
            <v>לעדכן</v>
          </cell>
        </row>
        <row r="2547">
          <cell r="A2547">
            <v>630103</v>
          </cell>
          <cell r="B2547">
            <v>0</v>
          </cell>
          <cell r="C2547">
            <v>0</v>
          </cell>
          <cell r="D2547" t="str">
            <v>לעדכן</v>
          </cell>
        </row>
        <row r="2548">
          <cell r="A2548">
            <v>630129</v>
          </cell>
          <cell r="B2548">
            <v>0</v>
          </cell>
          <cell r="C2548">
            <v>0</v>
          </cell>
          <cell r="D2548" t="str">
            <v>לעדכן</v>
          </cell>
        </row>
        <row r="2549">
          <cell r="A2549">
            <v>630145</v>
          </cell>
          <cell r="B2549">
            <v>0</v>
          </cell>
          <cell r="C2549">
            <v>0</v>
          </cell>
          <cell r="D2549" t="str">
            <v>לעדכן</v>
          </cell>
        </row>
        <row r="2550">
          <cell r="A2550">
            <v>630152</v>
          </cell>
          <cell r="B2550">
            <v>0</v>
          </cell>
          <cell r="C2550">
            <v>0</v>
          </cell>
          <cell r="D2550" t="str">
            <v>לעדכן</v>
          </cell>
        </row>
        <row r="2551">
          <cell r="A2551">
            <v>630178</v>
          </cell>
          <cell r="B2551">
            <v>0</v>
          </cell>
          <cell r="C2551">
            <v>0</v>
          </cell>
          <cell r="D2551" t="str">
            <v>לעדכן</v>
          </cell>
        </row>
        <row r="2552">
          <cell r="A2552">
            <v>630186</v>
          </cell>
          <cell r="B2552">
            <v>0</v>
          </cell>
          <cell r="C2552">
            <v>0</v>
          </cell>
          <cell r="D2552" t="str">
            <v>לעדכן</v>
          </cell>
        </row>
        <row r="2553">
          <cell r="A2553">
            <v>630194</v>
          </cell>
          <cell r="B2553">
            <v>0</v>
          </cell>
          <cell r="C2553">
            <v>0</v>
          </cell>
          <cell r="D2553" t="str">
            <v>לעדכן</v>
          </cell>
        </row>
        <row r="2554">
          <cell r="A2554">
            <v>630228</v>
          </cell>
          <cell r="B2554">
            <v>0</v>
          </cell>
          <cell r="C2554">
            <v>0</v>
          </cell>
          <cell r="D2554" t="str">
            <v>לעדכן</v>
          </cell>
        </row>
        <row r="2555">
          <cell r="A2555">
            <v>630236</v>
          </cell>
          <cell r="B2555">
            <v>0</v>
          </cell>
          <cell r="C2555">
            <v>0</v>
          </cell>
          <cell r="D2555" t="str">
            <v>לעדכן</v>
          </cell>
        </row>
        <row r="2556">
          <cell r="A2556">
            <v>630244</v>
          </cell>
          <cell r="B2556">
            <v>0</v>
          </cell>
          <cell r="C2556">
            <v>0</v>
          </cell>
          <cell r="D2556" t="str">
            <v>לעדכן</v>
          </cell>
        </row>
        <row r="2557">
          <cell r="A2557">
            <v>630251</v>
          </cell>
          <cell r="B2557">
            <v>0</v>
          </cell>
          <cell r="C2557">
            <v>0</v>
          </cell>
          <cell r="D2557" t="str">
            <v>לעדכן</v>
          </cell>
        </row>
        <row r="2558">
          <cell r="A2558">
            <v>630897</v>
          </cell>
          <cell r="B2558">
            <v>0</v>
          </cell>
          <cell r="C2558">
            <v>0</v>
          </cell>
          <cell r="D2558" t="str">
            <v>לעדכן</v>
          </cell>
        </row>
        <row r="2559">
          <cell r="A2559">
            <v>630988</v>
          </cell>
          <cell r="B2559">
            <v>0</v>
          </cell>
          <cell r="C2559">
            <v>0</v>
          </cell>
          <cell r="D2559" t="str">
            <v>לעדכן</v>
          </cell>
        </row>
        <row r="2560">
          <cell r="A2560">
            <v>631044</v>
          </cell>
          <cell r="B2560">
            <v>0</v>
          </cell>
          <cell r="C2560">
            <v>0</v>
          </cell>
          <cell r="D2560" t="str">
            <v>לעדכן</v>
          </cell>
        </row>
        <row r="2561">
          <cell r="A2561">
            <v>631242</v>
          </cell>
          <cell r="B2561">
            <v>0</v>
          </cell>
          <cell r="C2561">
            <v>0</v>
          </cell>
          <cell r="D2561" t="str">
            <v>לעדכן</v>
          </cell>
        </row>
        <row r="2562">
          <cell r="A2562">
            <v>631515</v>
          </cell>
          <cell r="B2562">
            <v>0</v>
          </cell>
          <cell r="C2562">
            <v>0</v>
          </cell>
          <cell r="D2562" t="str">
            <v>לעדכן</v>
          </cell>
        </row>
        <row r="2563">
          <cell r="A2563">
            <v>631531</v>
          </cell>
          <cell r="B2563">
            <v>0</v>
          </cell>
          <cell r="C2563">
            <v>0</v>
          </cell>
          <cell r="D2563" t="str">
            <v>לעדכן</v>
          </cell>
        </row>
        <row r="2564">
          <cell r="A2564">
            <v>631796</v>
          </cell>
          <cell r="B2564">
            <v>0</v>
          </cell>
          <cell r="C2564">
            <v>0</v>
          </cell>
          <cell r="D2564" t="str">
            <v>לעדכן</v>
          </cell>
        </row>
        <row r="2565">
          <cell r="A2565">
            <v>632323</v>
          </cell>
          <cell r="B2565">
            <v>0</v>
          </cell>
          <cell r="C2565">
            <v>0</v>
          </cell>
          <cell r="D2565" t="str">
            <v>לעדכן</v>
          </cell>
        </row>
        <row r="2566">
          <cell r="A2566">
            <v>632356</v>
          </cell>
          <cell r="B2566">
            <v>0</v>
          </cell>
          <cell r="C2566">
            <v>0</v>
          </cell>
          <cell r="D2566" t="str">
            <v>לעדכן</v>
          </cell>
        </row>
        <row r="2567">
          <cell r="A2567">
            <v>632737</v>
          </cell>
          <cell r="B2567">
            <v>0</v>
          </cell>
          <cell r="C2567">
            <v>0</v>
          </cell>
          <cell r="D2567" t="str">
            <v>לעדכן</v>
          </cell>
        </row>
        <row r="2568">
          <cell r="A2568">
            <v>632786</v>
          </cell>
          <cell r="B2568">
            <v>0</v>
          </cell>
          <cell r="C2568">
            <v>0</v>
          </cell>
          <cell r="D2568" t="str">
            <v>לעדכן</v>
          </cell>
        </row>
        <row r="2569">
          <cell r="A2569">
            <v>632794</v>
          </cell>
          <cell r="B2569">
            <v>0</v>
          </cell>
          <cell r="C2569">
            <v>0</v>
          </cell>
          <cell r="D2569" t="str">
            <v>לעדכן</v>
          </cell>
        </row>
        <row r="2570">
          <cell r="A2570">
            <v>633008</v>
          </cell>
          <cell r="B2570">
            <v>0</v>
          </cell>
          <cell r="C2570">
            <v>0</v>
          </cell>
          <cell r="D2570" t="str">
            <v>לעדכן</v>
          </cell>
        </row>
        <row r="2571">
          <cell r="A2571">
            <v>633396</v>
          </cell>
          <cell r="B2571">
            <v>0</v>
          </cell>
          <cell r="C2571">
            <v>0</v>
          </cell>
          <cell r="D2571" t="str">
            <v>לעדכן</v>
          </cell>
        </row>
        <row r="2572">
          <cell r="A2572">
            <v>633438</v>
          </cell>
          <cell r="B2572">
            <v>0</v>
          </cell>
          <cell r="C2572">
            <v>0</v>
          </cell>
          <cell r="D2572" t="str">
            <v>לעדכן</v>
          </cell>
        </row>
        <row r="2573">
          <cell r="A2573">
            <v>633461</v>
          </cell>
          <cell r="B2573">
            <v>0</v>
          </cell>
          <cell r="C2573">
            <v>0</v>
          </cell>
          <cell r="D2573" t="str">
            <v>לעדכן</v>
          </cell>
        </row>
        <row r="2574">
          <cell r="A2574">
            <v>633834</v>
          </cell>
          <cell r="B2574">
            <v>0</v>
          </cell>
          <cell r="C2574">
            <v>0</v>
          </cell>
          <cell r="D2574" t="str">
            <v>לעדכן</v>
          </cell>
        </row>
        <row r="2575">
          <cell r="A2575">
            <v>633941</v>
          </cell>
          <cell r="B2575">
            <v>0</v>
          </cell>
          <cell r="C2575">
            <v>0</v>
          </cell>
          <cell r="D2575" t="str">
            <v>לעדכן</v>
          </cell>
        </row>
        <row r="2576">
          <cell r="A2576">
            <v>634121</v>
          </cell>
          <cell r="B2576">
            <v>0</v>
          </cell>
          <cell r="C2576">
            <v>0</v>
          </cell>
          <cell r="D2576" t="str">
            <v>לעדכן</v>
          </cell>
        </row>
        <row r="2577">
          <cell r="A2577">
            <v>634246</v>
          </cell>
          <cell r="B2577">
            <v>0</v>
          </cell>
          <cell r="C2577">
            <v>0</v>
          </cell>
          <cell r="D2577" t="str">
            <v>לעדכן</v>
          </cell>
        </row>
        <row r="2578">
          <cell r="A2578">
            <v>634840</v>
          </cell>
          <cell r="B2578">
            <v>0</v>
          </cell>
          <cell r="C2578">
            <v>0</v>
          </cell>
          <cell r="D2578" t="str">
            <v>לעדכן</v>
          </cell>
        </row>
        <row r="2579">
          <cell r="A2579">
            <v>634857</v>
          </cell>
          <cell r="B2579">
            <v>0</v>
          </cell>
          <cell r="C2579">
            <v>0</v>
          </cell>
          <cell r="D2579" t="str">
            <v>לעדכן</v>
          </cell>
        </row>
        <row r="2580">
          <cell r="A2580">
            <v>634865</v>
          </cell>
          <cell r="B2580">
            <v>0</v>
          </cell>
          <cell r="C2580">
            <v>0</v>
          </cell>
          <cell r="D2580" t="str">
            <v>לעדכן</v>
          </cell>
        </row>
        <row r="2581">
          <cell r="A2581">
            <v>636902</v>
          </cell>
          <cell r="B2581">
            <v>0</v>
          </cell>
          <cell r="C2581">
            <v>0</v>
          </cell>
          <cell r="D2581" t="str">
            <v>לעדכן</v>
          </cell>
        </row>
        <row r="2582">
          <cell r="A2582">
            <v>637231</v>
          </cell>
          <cell r="B2582">
            <v>0</v>
          </cell>
          <cell r="C2582">
            <v>0</v>
          </cell>
          <cell r="D2582" t="str">
            <v>לעדכן</v>
          </cell>
        </row>
        <row r="2583">
          <cell r="A2583">
            <v>638304</v>
          </cell>
          <cell r="B2583">
            <v>0</v>
          </cell>
          <cell r="C2583">
            <v>0</v>
          </cell>
          <cell r="D2583" t="str">
            <v>לעדכן</v>
          </cell>
        </row>
        <row r="2584">
          <cell r="A2584">
            <v>639617</v>
          </cell>
          <cell r="B2584">
            <v>0</v>
          </cell>
          <cell r="C2584">
            <v>0</v>
          </cell>
          <cell r="D2584" t="str">
            <v>לעדכן</v>
          </cell>
        </row>
        <row r="2585">
          <cell r="A2585">
            <v>639930</v>
          </cell>
          <cell r="B2585">
            <v>0</v>
          </cell>
          <cell r="C2585">
            <v>0</v>
          </cell>
          <cell r="D2585" t="str">
            <v>לעדכן</v>
          </cell>
        </row>
        <row r="2586">
          <cell r="A2586">
            <v>640300</v>
          </cell>
          <cell r="B2586">
            <v>0</v>
          </cell>
          <cell r="C2586">
            <v>0</v>
          </cell>
          <cell r="D2586" t="str">
            <v>לעדכן</v>
          </cell>
        </row>
        <row r="2587">
          <cell r="A2587">
            <v>640342</v>
          </cell>
          <cell r="B2587">
            <v>0</v>
          </cell>
          <cell r="C2587">
            <v>0</v>
          </cell>
          <cell r="D2587" t="str">
            <v>לעדכן</v>
          </cell>
        </row>
        <row r="2588">
          <cell r="A2588">
            <v>641449</v>
          </cell>
          <cell r="B2588">
            <v>0</v>
          </cell>
          <cell r="C2588">
            <v>0</v>
          </cell>
          <cell r="D2588" t="str">
            <v>לעדכן</v>
          </cell>
        </row>
        <row r="2589">
          <cell r="A2589">
            <v>641639</v>
          </cell>
          <cell r="B2589">
            <v>0</v>
          </cell>
          <cell r="C2589">
            <v>0</v>
          </cell>
          <cell r="D2589" t="str">
            <v>לעדכן</v>
          </cell>
        </row>
        <row r="2590">
          <cell r="A2590">
            <v>642124</v>
          </cell>
          <cell r="B2590">
            <v>0</v>
          </cell>
          <cell r="C2590">
            <v>0</v>
          </cell>
          <cell r="D2590" t="str">
            <v>לעדכן</v>
          </cell>
        </row>
        <row r="2591">
          <cell r="A2591">
            <v>642355</v>
          </cell>
          <cell r="B2591">
            <v>0</v>
          </cell>
          <cell r="C2591">
            <v>0</v>
          </cell>
          <cell r="D2591" t="str">
            <v>לעדכן</v>
          </cell>
        </row>
        <row r="2592">
          <cell r="A2592">
            <v>642462</v>
          </cell>
          <cell r="B2592">
            <v>0</v>
          </cell>
          <cell r="C2592">
            <v>0</v>
          </cell>
          <cell r="D2592" t="str">
            <v>לעדכן</v>
          </cell>
        </row>
        <row r="2593">
          <cell r="A2593">
            <v>643452</v>
          </cell>
          <cell r="B2593">
            <v>0</v>
          </cell>
          <cell r="C2593">
            <v>0</v>
          </cell>
          <cell r="D2593" t="str">
            <v>לעדכן</v>
          </cell>
        </row>
        <row r="2594">
          <cell r="A2594">
            <v>643668</v>
          </cell>
          <cell r="B2594">
            <v>0</v>
          </cell>
          <cell r="C2594">
            <v>0</v>
          </cell>
          <cell r="D2594" t="str">
            <v>לעדכן</v>
          </cell>
        </row>
        <row r="2595">
          <cell r="A2595">
            <v>643734</v>
          </cell>
          <cell r="B2595">
            <v>0</v>
          </cell>
          <cell r="C2595">
            <v>0</v>
          </cell>
          <cell r="D2595" t="str">
            <v>לעדכן</v>
          </cell>
        </row>
        <row r="2596">
          <cell r="A2596">
            <v>644609</v>
          </cell>
          <cell r="B2596">
            <v>0</v>
          </cell>
          <cell r="C2596">
            <v>0</v>
          </cell>
          <cell r="D2596" t="str">
            <v>לעדכן</v>
          </cell>
        </row>
        <row r="2597">
          <cell r="A2597">
            <v>645218</v>
          </cell>
          <cell r="B2597">
            <v>0</v>
          </cell>
          <cell r="C2597">
            <v>0</v>
          </cell>
          <cell r="D2597" t="str">
            <v>לעדכן</v>
          </cell>
        </row>
        <row r="2598">
          <cell r="A2598">
            <v>645341</v>
          </cell>
          <cell r="B2598">
            <v>0</v>
          </cell>
          <cell r="C2598">
            <v>0</v>
          </cell>
          <cell r="D2598" t="str">
            <v>לעדכן</v>
          </cell>
        </row>
        <row r="2599">
          <cell r="A2599">
            <v>645408</v>
          </cell>
          <cell r="B2599">
            <v>0</v>
          </cell>
          <cell r="C2599">
            <v>0</v>
          </cell>
          <cell r="D2599" t="str">
            <v>לעדכן</v>
          </cell>
        </row>
        <row r="2600">
          <cell r="A2600">
            <v>645416</v>
          </cell>
          <cell r="B2600">
            <v>0</v>
          </cell>
          <cell r="C2600">
            <v>0</v>
          </cell>
          <cell r="D2600" t="str">
            <v>לעדכן</v>
          </cell>
        </row>
        <row r="2601">
          <cell r="A2601">
            <v>645804</v>
          </cell>
          <cell r="B2601">
            <v>0</v>
          </cell>
          <cell r="C2601">
            <v>0</v>
          </cell>
          <cell r="D2601" t="str">
            <v>לעדכן</v>
          </cell>
        </row>
        <row r="2602">
          <cell r="A2602">
            <v>645820</v>
          </cell>
          <cell r="B2602">
            <v>0</v>
          </cell>
          <cell r="C2602">
            <v>0</v>
          </cell>
          <cell r="D2602" t="str">
            <v>לעדכן</v>
          </cell>
        </row>
        <row r="2603">
          <cell r="A2603">
            <v>645853</v>
          </cell>
          <cell r="B2603">
            <v>0</v>
          </cell>
          <cell r="C2603">
            <v>0</v>
          </cell>
          <cell r="D2603" t="str">
            <v>לעדכן</v>
          </cell>
        </row>
        <row r="2604">
          <cell r="A2604">
            <v>645903</v>
          </cell>
          <cell r="B2604">
            <v>0</v>
          </cell>
          <cell r="C2604">
            <v>0</v>
          </cell>
          <cell r="D2604" t="str">
            <v>לעדכן</v>
          </cell>
        </row>
        <row r="2605">
          <cell r="A2605">
            <v>645986</v>
          </cell>
          <cell r="B2605">
            <v>0</v>
          </cell>
          <cell r="C2605">
            <v>0</v>
          </cell>
          <cell r="D2605" t="str">
            <v>לעדכן</v>
          </cell>
        </row>
        <row r="2606">
          <cell r="A2606">
            <v>646158</v>
          </cell>
          <cell r="B2606">
            <v>0</v>
          </cell>
          <cell r="C2606">
            <v>0</v>
          </cell>
          <cell r="D2606" t="str">
            <v>לעדכן</v>
          </cell>
        </row>
        <row r="2607">
          <cell r="A2607">
            <v>646166</v>
          </cell>
          <cell r="B2607">
            <v>0</v>
          </cell>
          <cell r="C2607">
            <v>0</v>
          </cell>
          <cell r="D2607" t="str">
            <v>לעדכן</v>
          </cell>
        </row>
        <row r="2608">
          <cell r="A2608">
            <v>646257</v>
          </cell>
          <cell r="B2608">
            <v>0</v>
          </cell>
          <cell r="C2608">
            <v>0</v>
          </cell>
          <cell r="D2608" t="str">
            <v>לעדכן</v>
          </cell>
        </row>
        <row r="2609">
          <cell r="A2609">
            <v>646703</v>
          </cell>
          <cell r="B2609">
            <v>0</v>
          </cell>
          <cell r="C2609">
            <v>0</v>
          </cell>
          <cell r="D2609" t="str">
            <v>לעדכן</v>
          </cell>
        </row>
        <row r="2610">
          <cell r="A2610">
            <v>646935</v>
          </cell>
          <cell r="B2610">
            <v>0</v>
          </cell>
          <cell r="C2610">
            <v>0</v>
          </cell>
          <cell r="D2610" t="str">
            <v>לעדכן</v>
          </cell>
        </row>
        <row r="2611">
          <cell r="A2611">
            <v>647149</v>
          </cell>
          <cell r="B2611">
            <v>0</v>
          </cell>
          <cell r="C2611">
            <v>0</v>
          </cell>
          <cell r="D2611" t="str">
            <v>לעדכן</v>
          </cell>
        </row>
        <row r="2612">
          <cell r="A2612">
            <v>647537</v>
          </cell>
          <cell r="B2612">
            <v>0</v>
          </cell>
          <cell r="C2612">
            <v>0</v>
          </cell>
          <cell r="D2612" t="str">
            <v>לעדכן</v>
          </cell>
        </row>
        <row r="2613">
          <cell r="A2613">
            <v>647552</v>
          </cell>
          <cell r="B2613">
            <v>0</v>
          </cell>
          <cell r="C2613">
            <v>0</v>
          </cell>
          <cell r="D2613" t="str">
            <v>לעדכן</v>
          </cell>
        </row>
        <row r="2614">
          <cell r="A2614">
            <v>647578</v>
          </cell>
          <cell r="B2614">
            <v>0</v>
          </cell>
          <cell r="C2614">
            <v>0</v>
          </cell>
          <cell r="D2614" t="str">
            <v>לעדכן</v>
          </cell>
        </row>
        <row r="2615">
          <cell r="A2615">
            <v>647867</v>
          </cell>
          <cell r="B2615">
            <v>0</v>
          </cell>
          <cell r="C2615">
            <v>0</v>
          </cell>
          <cell r="D2615" t="str">
            <v>לעדכן</v>
          </cell>
        </row>
        <row r="2616">
          <cell r="A2616">
            <v>647990</v>
          </cell>
          <cell r="B2616">
            <v>0</v>
          </cell>
          <cell r="C2616">
            <v>0</v>
          </cell>
          <cell r="D2616" t="str">
            <v>לעדכן</v>
          </cell>
        </row>
        <row r="2617">
          <cell r="A2617">
            <v>648741</v>
          </cell>
          <cell r="B2617">
            <v>0</v>
          </cell>
          <cell r="C2617">
            <v>0</v>
          </cell>
          <cell r="D2617" t="str">
            <v>לעדכן</v>
          </cell>
        </row>
        <row r="2618">
          <cell r="A2618">
            <v>649954</v>
          </cell>
          <cell r="B2618">
            <v>0</v>
          </cell>
          <cell r="C2618">
            <v>0</v>
          </cell>
          <cell r="D2618" t="str">
            <v>לעדכן</v>
          </cell>
        </row>
        <row r="2619">
          <cell r="A2619">
            <v>649962</v>
          </cell>
          <cell r="B2619">
            <v>0</v>
          </cell>
          <cell r="C2619">
            <v>0</v>
          </cell>
          <cell r="D2619" t="str">
            <v>לעדכן</v>
          </cell>
        </row>
        <row r="2620">
          <cell r="A2620">
            <v>650002</v>
          </cell>
          <cell r="B2620">
            <v>0</v>
          </cell>
          <cell r="C2620">
            <v>0</v>
          </cell>
          <cell r="D2620" t="str">
            <v>לעדכן</v>
          </cell>
        </row>
        <row r="2621">
          <cell r="A2621">
            <v>650010</v>
          </cell>
          <cell r="B2621">
            <v>0</v>
          </cell>
          <cell r="C2621">
            <v>0</v>
          </cell>
          <cell r="D2621" t="str">
            <v>לעדכן</v>
          </cell>
        </row>
        <row r="2622">
          <cell r="A2622">
            <v>650069</v>
          </cell>
          <cell r="B2622">
            <v>0</v>
          </cell>
          <cell r="C2622">
            <v>0</v>
          </cell>
          <cell r="D2622" t="str">
            <v>לעדכן</v>
          </cell>
        </row>
        <row r="2623">
          <cell r="A2623">
            <v>652651</v>
          </cell>
          <cell r="B2623">
            <v>0</v>
          </cell>
          <cell r="C2623">
            <v>0</v>
          </cell>
          <cell r="D2623" t="str">
            <v>לעדכן</v>
          </cell>
        </row>
        <row r="2624">
          <cell r="A2624">
            <v>652677</v>
          </cell>
          <cell r="B2624">
            <v>0</v>
          </cell>
          <cell r="C2624">
            <v>0</v>
          </cell>
          <cell r="D2624" t="str">
            <v>לעדכן</v>
          </cell>
        </row>
        <row r="2625">
          <cell r="A2625">
            <v>655258</v>
          </cell>
          <cell r="B2625">
            <v>0</v>
          </cell>
          <cell r="C2625">
            <v>0</v>
          </cell>
          <cell r="D2625" t="str">
            <v>לעדכן</v>
          </cell>
        </row>
        <row r="2626">
          <cell r="A2626">
            <v>655332</v>
          </cell>
          <cell r="B2626">
            <v>0</v>
          </cell>
          <cell r="C2626">
            <v>0</v>
          </cell>
          <cell r="D2626" t="str">
            <v>לעדכן</v>
          </cell>
        </row>
        <row r="2627">
          <cell r="A2627">
            <v>655548</v>
          </cell>
          <cell r="B2627">
            <v>0</v>
          </cell>
          <cell r="C2627">
            <v>0</v>
          </cell>
          <cell r="D2627" t="str">
            <v>לעדכן</v>
          </cell>
        </row>
        <row r="2628">
          <cell r="A2628">
            <v>655936</v>
          </cell>
          <cell r="B2628">
            <v>0</v>
          </cell>
          <cell r="C2628">
            <v>0</v>
          </cell>
          <cell r="D2628" t="str">
            <v>לעדכן</v>
          </cell>
        </row>
        <row r="2629">
          <cell r="A2629">
            <v>656991</v>
          </cell>
          <cell r="B2629">
            <v>0</v>
          </cell>
          <cell r="C2629">
            <v>0</v>
          </cell>
          <cell r="D2629" t="str">
            <v>לעדכן</v>
          </cell>
        </row>
        <row r="2630">
          <cell r="A2630">
            <v>657007</v>
          </cell>
          <cell r="B2630">
            <v>0</v>
          </cell>
          <cell r="C2630">
            <v>0</v>
          </cell>
          <cell r="D2630" t="str">
            <v>לעדכן</v>
          </cell>
        </row>
        <row r="2631">
          <cell r="A2631">
            <v>657247</v>
          </cell>
          <cell r="B2631">
            <v>0</v>
          </cell>
          <cell r="C2631">
            <v>0</v>
          </cell>
          <cell r="D2631" t="str">
            <v>לעדכן</v>
          </cell>
        </row>
        <row r="2632">
          <cell r="A2632">
            <v>657361</v>
          </cell>
          <cell r="B2632">
            <v>0</v>
          </cell>
          <cell r="C2632">
            <v>0</v>
          </cell>
          <cell r="D2632" t="str">
            <v>לעדכן</v>
          </cell>
        </row>
        <row r="2633">
          <cell r="A2633">
            <v>657759</v>
          </cell>
          <cell r="B2633">
            <v>0</v>
          </cell>
          <cell r="C2633">
            <v>0</v>
          </cell>
          <cell r="D2633" t="str">
            <v>לעדכן</v>
          </cell>
        </row>
        <row r="2634">
          <cell r="A2634">
            <v>657908</v>
          </cell>
          <cell r="B2634">
            <v>0</v>
          </cell>
          <cell r="C2634">
            <v>0</v>
          </cell>
          <cell r="D2634" t="str">
            <v>לעדכן</v>
          </cell>
        </row>
        <row r="2635">
          <cell r="A2635">
            <v>658336</v>
          </cell>
          <cell r="B2635">
            <v>0</v>
          </cell>
          <cell r="C2635">
            <v>0</v>
          </cell>
          <cell r="D2635" t="str">
            <v>לעדכן</v>
          </cell>
        </row>
        <row r="2636">
          <cell r="A2636">
            <v>658591</v>
          </cell>
          <cell r="B2636">
            <v>0</v>
          </cell>
          <cell r="C2636">
            <v>0</v>
          </cell>
          <cell r="D2636" t="str">
            <v>לעדכן</v>
          </cell>
        </row>
        <row r="2637">
          <cell r="A2637">
            <v>658609</v>
          </cell>
          <cell r="B2637">
            <v>0</v>
          </cell>
          <cell r="C2637">
            <v>0</v>
          </cell>
          <cell r="D2637" t="str">
            <v>לעדכן</v>
          </cell>
        </row>
        <row r="2638">
          <cell r="A2638">
            <v>658823</v>
          </cell>
          <cell r="B2638">
            <v>0</v>
          </cell>
          <cell r="C2638">
            <v>0</v>
          </cell>
          <cell r="D2638" t="str">
            <v>לעדכן</v>
          </cell>
        </row>
        <row r="2639">
          <cell r="A2639">
            <v>658948</v>
          </cell>
          <cell r="B2639">
            <v>0</v>
          </cell>
          <cell r="C2639">
            <v>0</v>
          </cell>
          <cell r="D2639" t="str">
            <v>לעדכן</v>
          </cell>
        </row>
        <row r="2640">
          <cell r="A2640">
            <v>658955</v>
          </cell>
          <cell r="B2640">
            <v>0</v>
          </cell>
          <cell r="C2640">
            <v>0</v>
          </cell>
          <cell r="D2640" t="str">
            <v>לעדכן</v>
          </cell>
        </row>
        <row r="2641">
          <cell r="A2641">
            <v>659177</v>
          </cell>
          <cell r="B2641">
            <v>0</v>
          </cell>
          <cell r="C2641">
            <v>0</v>
          </cell>
          <cell r="D2641" t="str">
            <v>לעדכן</v>
          </cell>
        </row>
        <row r="2642">
          <cell r="A2642">
            <v>659193</v>
          </cell>
          <cell r="B2642">
            <v>0</v>
          </cell>
          <cell r="C2642">
            <v>0</v>
          </cell>
          <cell r="D2642" t="str">
            <v>לעדכן</v>
          </cell>
        </row>
        <row r="2643">
          <cell r="A2643">
            <v>659417</v>
          </cell>
          <cell r="B2643">
            <v>0</v>
          </cell>
          <cell r="C2643">
            <v>0</v>
          </cell>
          <cell r="D2643" t="str">
            <v>לעדכן</v>
          </cell>
        </row>
        <row r="2644">
          <cell r="A2644">
            <v>659425</v>
          </cell>
          <cell r="B2644">
            <v>0</v>
          </cell>
          <cell r="C2644">
            <v>0</v>
          </cell>
          <cell r="D2644" t="str">
            <v>לעדכן</v>
          </cell>
        </row>
        <row r="2645">
          <cell r="A2645">
            <v>659623</v>
          </cell>
          <cell r="B2645">
            <v>0</v>
          </cell>
          <cell r="C2645">
            <v>0</v>
          </cell>
          <cell r="D2645" t="str">
            <v>לעדכן</v>
          </cell>
        </row>
        <row r="2646">
          <cell r="A2646">
            <v>659896</v>
          </cell>
          <cell r="B2646">
            <v>0</v>
          </cell>
          <cell r="C2646">
            <v>0</v>
          </cell>
          <cell r="D2646" t="str">
            <v>לעדכן</v>
          </cell>
        </row>
        <row r="2647">
          <cell r="A2647">
            <v>660662</v>
          </cell>
          <cell r="B2647">
            <v>0</v>
          </cell>
          <cell r="C2647">
            <v>0</v>
          </cell>
          <cell r="D2647" t="str">
            <v>לעדכן</v>
          </cell>
        </row>
        <row r="2648">
          <cell r="A2648">
            <v>660829</v>
          </cell>
          <cell r="B2648">
            <v>0</v>
          </cell>
          <cell r="C2648">
            <v>0</v>
          </cell>
          <cell r="D2648" t="str">
            <v>לעדכן</v>
          </cell>
        </row>
        <row r="2649">
          <cell r="A2649">
            <v>661157</v>
          </cell>
          <cell r="B2649">
            <v>0</v>
          </cell>
          <cell r="C2649">
            <v>0</v>
          </cell>
          <cell r="D2649" t="str">
            <v>לעדכן</v>
          </cell>
        </row>
        <row r="2650">
          <cell r="A2650">
            <v>661512</v>
          </cell>
          <cell r="B2650">
            <v>0</v>
          </cell>
          <cell r="C2650">
            <v>0</v>
          </cell>
          <cell r="D2650" t="str">
            <v>לעדכן</v>
          </cell>
        </row>
        <row r="2651">
          <cell r="A2651">
            <v>661967</v>
          </cell>
          <cell r="B2651">
            <v>0</v>
          </cell>
          <cell r="C2651">
            <v>0</v>
          </cell>
          <cell r="D2651" t="str">
            <v>לעדכן</v>
          </cell>
        </row>
        <row r="2652">
          <cell r="A2652">
            <v>662627</v>
          </cell>
          <cell r="B2652">
            <v>0</v>
          </cell>
          <cell r="C2652">
            <v>0</v>
          </cell>
          <cell r="D2652" t="str">
            <v>לעדכן</v>
          </cell>
        </row>
        <row r="2653">
          <cell r="A2653">
            <v>662932</v>
          </cell>
          <cell r="B2653">
            <v>0</v>
          </cell>
          <cell r="C2653">
            <v>0</v>
          </cell>
          <cell r="D2653" t="str">
            <v>לעדכן</v>
          </cell>
        </row>
        <row r="2654">
          <cell r="A2654">
            <v>663047</v>
          </cell>
          <cell r="B2654">
            <v>0</v>
          </cell>
          <cell r="C2654">
            <v>0</v>
          </cell>
          <cell r="D2654" t="str">
            <v>לעדכן</v>
          </cell>
        </row>
        <row r="2655">
          <cell r="A2655">
            <v>663435</v>
          </cell>
          <cell r="B2655">
            <v>0</v>
          </cell>
          <cell r="C2655">
            <v>0</v>
          </cell>
          <cell r="D2655" t="str">
            <v>לעדכן</v>
          </cell>
        </row>
        <row r="2656">
          <cell r="A2656">
            <v>663443</v>
          </cell>
          <cell r="B2656">
            <v>0</v>
          </cell>
          <cell r="C2656">
            <v>0</v>
          </cell>
          <cell r="D2656" t="str">
            <v>לעדכן</v>
          </cell>
        </row>
        <row r="2657">
          <cell r="A2657">
            <v>663930</v>
          </cell>
          <cell r="B2657">
            <v>0</v>
          </cell>
          <cell r="C2657">
            <v>0</v>
          </cell>
          <cell r="D2657" t="str">
            <v>לעדכן</v>
          </cell>
        </row>
        <row r="2658">
          <cell r="A2658">
            <v>664243</v>
          </cell>
          <cell r="B2658">
            <v>0</v>
          </cell>
          <cell r="C2658">
            <v>0</v>
          </cell>
          <cell r="D2658" t="str">
            <v>לעדכן</v>
          </cell>
        </row>
        <row r="2659">
          <cell r="A2659">
            <v>665364</v>
          </cell>
          <cell r="B2659">
            <v>0</v>
          </cell>
          <cell r="C2659">
            <v>0</v>
          </cell>
          <cell r="D2659" t="str">
            <v>לעדכן</v>
          </cell>
        </row>
        <row r="2660">
          <cell r="A2660">
            <v>666008</v>
          </cell>
          <cell r="B2660">
            <v>0</v>
          </cell>
          <cell r="C2660">
            <v>0</v>
          </cell>
          <cell r="D2660" t="str">
            <v>לעדכן</v>
          </cell>
        </row>
        <row r="2661">
          <cell r="A2661">
            <v>666016</v>
          </cell>
          <cell r="B2661">
            <v>0</v>
          </cell>
          <cell r="C2661">
            <v>0</v>
          </cell>
          <cell r="D2661" t="str">
            <v>לעדכן</v>
          </cell>
        </row>
        <row r="2662">
          <cell r="A2662">
            <v>668368</v>
          </cell>
          <cell r="B2662">
            <v>0</v>
          </cell>
          <cell r="C2662">
            <v>0</v>
          </cell>
          <cell r="D2662" t="str">
            <v>לעדכן</v>
          </cell>
        </row>
        <row r="2663">
          <cell r="A2663">
            <v>670380</v>
          </cell>
          <cell r="B2663">
            <v>0</v>
          </cell>
          <cell r="C2663">
            <v>0</v>
          </cell>
          <cell r="D2663" t="str">
            <v>לעדכן</v>
          </cell>
        </row>
        <row r="2664">
          <cell r="A2664">
            <v>670992</v>
          </cell>
          <cell r="B2664">
            <v>0</v>
          </cell>
          <cell r="C2664">
            <v>0</v>
          </cell>
          <cell r="D2664" t="str">
            <v>לעדכן</v>
          </cell>
        </row>
        <row r="2665">
          <cell r="A2665">
            <v>671321</v>
          </cell>
          <cell r="B2665">
            <v>0</v>
          </cell>
          <cell r="C2665">
            <v>0</v>
          </cell>
          <cell r="D2665" t="str">
            <v>לעדכן</v>
          </cell>
        </row>
        <row r="2666">
          <cell r="A2666">
            <v>671362</v>
          </cell>
          <cell r="B2666">
            <v>0</v>
          </cell>
          <cell r="C2666">
            <v>0</v>
          </cell>
          <cell r="D2666" t="str">
            <v>לעדכן</v>
          </cell>
        </row>
        <row r="2667">
          <cell r="A2667">
            <v>673228</v>
          </cell>
          <cell r="B2667">
            <v>0</v>
          </cell>
          <cell r="C2667">
            <v>0</v>
          </cell>
          <cell r="D2667" t="str">
            <v>לעדכן</v>
          </cell>
        </row>
        <row r="2668">
          <cell r="A2668">
            <v>673384</v>
          </cell>
          <cell r="B2668">
            <v>0</v>
          </cell>
          <cell r="C2668">
            <v>0</v>
          </cell>
          <cell r="D2668" t="str">
            <v>לעדכן</v>
          </cell>
        </row>
        <row r="2669">
          <cell r="A2669">
            <v>673392</v>
          </cell>
          <cell r="B2669">
            <v>0</v>
          </cell>
          <cell r="C2669">
            <v>0</v>
          </cell>
          <cell r="D2669" t="str">
            <v>לעדכן</v>
          </cell>
        </row>
        <row r="2670">
          <cell r="A2670">
            <v>673723</v>
          </cell>
          <cell r="B2670">
            <v>0</v>
          </cell>
          <cell r="C2670">
            <v>0</v>
          </cell>
          <cell r="D2670" t="str">
            <v>לעדכן</v>
          </cell>
        </row>
        <row r="2671">
          <cell r="A2671">
            <v>673756</v>
          </cell>
          <cell r="B2671">
            <v>0</v>
          </cell>
          <cell r="C2671">
            <v>0</v>
          </cell>
          <cell r="D2671" t="str">
            <v>לעדכן</v>
          </cell>
        </row>
        <row r="2672">
          <cell r="A2672">
            <v>674143</v>
          </cell>
          <cell r="B2672">
            <v>0</v>
          </cell>
          <cell r="C2672">
            <v>0</v>
          </cell>
          <cell r="D2672" t="str">
            <v>לעדכן</v>
          </cell>
        </row>
        <row r="2673">
          <cell r="A2673">
            <v>674325</v>
          </cell>
          <cell r="B2673">
            <v>0</v>
          </cell>
          <cell r="C2673">
            <v>0</v>
          </cell>
          <cell r="D2673" t="str">
            <v>לעדכן</v>
          </cell>
        </row>
        <row r="2674">
          <cell r="A2674">
            <v>674549</v>
          </cell>
          <cell r="B2674">
            <v>0</v>
          </cell>
          <cell r="C2674">
            <v>0</v>
          </cell>
          <cell r="D2674" t="str">
            <v>לעדכן</v>
          </cell>
        </row>
        <row r="2675">
          <cell r="A2675">
            <v>674564</v>
          </cell>
          <cell r="B2675">
            <v>0</v>
          </cell>
          <cell r="C2675">
            <v>0</v>
          </cell>
          <cell r="D2675" t="str">
            <v>לעדכן</v>
          </cell>
        </row>
        <row r="2676">
          <cell r="A2676">
            <v>674655</v>
          </cell>
          <cell r="B2676">
            <v>0</v>
          </cell>
          <cell r="C2676">
            <v>0</v>
          </cell>
          <cell r="D2676" t="str">
            <v>לעדכן</v>
          </cell>
        </row>
        <row r="2677">
          <cell r="A2677">
            <v>675272</v>
          </cell>
          <cell r="B2677">
            <v>0</v>
          </cell>
          <cell r="C2677">
            <v>0</v>
          </cell>
          <cell r="D2677" t="str">
            <v>לעדכן</v>
          </cell>
        </row>
        <row r="2678">
          <cell r="A2678">
            <v>675298</v>
          </cell>
          <cell r="B2678">
            <v>0</v>
          </cell>
          <cell r="C2678">
            <v>0</v>
          </cell>
          <cell r="D2678" t="str">
            <v>לעדכן</v>
          </cell>
        </row>
        <row r="2679">
          <cell r="A2679">
            <v>675454</v>
          </cell>
          <cell r="B2679">
            <v>0</v>
          </cell>
          <cell r="C2679">
            <v>0</v>
          </cell>
          <cell r="D2679" t="str">
            <v>לעדכן</v>
          </cell>
        </row>
        <row r="2680">
          <cell r="A2680">
            <v>675520</v>
          </cell>
          <cell r="B2680">
            <v>0</v>
          </cell>
          <cell r="C2680">
            <v>0</v>
          </cell>
          <cell r="D2680" t="str">
            <v>לעדכן</v>
          </cell>
        </row>
        <row r="2681">
          <cell r="A2681">
            <v>675694</v>
          </cell>
          <cell r="B2681">
            <v>0</v>
          </cell>
          <cell r="C2681">
            <v>0</v>
          </cell>
          <cell r="D2681" t="str">
            <v>לעדכן</v>
          </cell>
        </row>
        <row r="2682">
          <cell r="A2682">
            <v>676221</v>
          </cell>
          <cell r="B2682">
            <v>0</v>
          </cell>
          <cell r="C2682">
            <v>0</v>
          </cell>
          <cell r="D2682" t="str">
            <v>לעדכן</v>
          </cell>
        </row>
        <row r="2683">
          <cell r="A2683">
            <v>676270</v>
          </cell>
          <cell r="B2683">
            <v>0</v>
          </cell>
          <cell r="C2683">
            <v>0</v>
          </cell>
          <cell r="D2683" t="str">
            <v>לעדכן</v>
          </cell>
        </row>
        <row r="2684">
          <cell r="A2684">
            <v>676395</v>
          </cell>
          <cell r="B2684">
            <v>0</v>
          </cell>
          <cell r="C2684">
            <v>0</v>
          </cell>
          <cell r="D2684" t="str">
            <v>לעדכן</v>
          </cell>
        </row>
        <row r="2685">
          <cell r="A2685">
            <v>676619</v>
          </cell>
          <cell r="B2685">
            <v>0</v>
          </cell>
          <cell r="C2685">
            <v>0</v>
          </cell>
          <cell r="D2685" t="str">
            <v>לעדכן</v>
          </cell>
        </row>
        <row r="2686">
          <cell r="A2686">
            <v>678433</v>
          </cell>
          <cell r="B2686">
            <v>0</v>
          </cell>
          <cell r="C2686">
            <v>0</v>
          </cell>
          <cell r="D2686" t="str">
            <v>לעדכן</v>
          </cell>
        </row>
        <row r="2687">
          <cell r="A2687">
            <v>679423</v>
          </cell>
          <cell r="B2687">
            <v>0</v>
          </cell>
          <cell r="C2687">
            <v>0</v>
          </cell>
          <cell r="D2687" t="str">
            <v>לעדכן</v>
          </cell>
        </row>
        <row r="2688">
          <cell r="A2688">
            <v>679431</v>
          </cell>
          <cell r="B2688">
            <v>0</v>
          </cell>
          <cell r="C2688">
            <v>0</v>
          </cell>
          <cell r="D2688" t="str">
            <v>לעדכן</v>
          </cell>
        </row>
        <row r="2689">
          <cell r="A2689">
            <v>681007</v>
          </cell>
          <cell r="B2689">
            <v>0</v>
          </cell>
          <cell r="C2689">
            <v>0</v>
          </cell>
          <cell r="D2689" t="str">
            <v>לעדכן</v>
          </cell>
        </row>
        <row r="2690">
          <cell r="A2690">
            <v>681106</v>
          </cell>
          <cell r="B2690">
            <v>0</v>
          </cell>
          <cell r="C2690">
            <v>0</v>
          </cell>
          <cell r="D2690" t="str">
            <v>לעדכן</v>
          </cell>
        </row>
        <row r="2691">
          <cell r="A2691">
            <v>681221</v>
          </cell>
          <cell r="B2691">
            <v>0</v>
          </cell>
          <cell r="C2691">
            <v>0</v>
          </cell>
          <cell r="D2691" t="str">
            <v>לעדכן</v>
          </cell>
        </row>
        <row r="2692">
          <cell r="A2692">
            <v>681254</v>
          </cell>
          <cell r="B2692">
            <v>0</v>
          </cell>
          <cell r="C2692">
            <v>0</v>
          </cell>
          <cell r="D2692" t="str">
            <v>לעדכן</v>
          </cell>
        </row>
        <row r="2693">
          <cell r="A2693">
            <v>681270</v>
          </cell>
          <cell r="B2693">
            <v>0</v>
          </cell>
          <cell r="C2693">
            <v>0</v>
          </cell>
          <cell r="D2693" t="str">
            <v>לעדכן</v>
          </cell>
        </row>
        <row r="2694">
          <cell r="A2694">
            <v>681395</v>
          </cell>
          <cell r="B2694">
            <v>0</v>
          </cell>
          <cell r="C2694">
            <v>0</v>
          </cell>
          <cell r="D2694" t="str">
            <v>לעדכן</v>
          </cell>
        </row>
        <row r="2695">
          <cell r="A2695">
            <v>681445</v>
          </cell>
          <cell r="B2695">
            <v>0</v>
          </cell>
          <cell r="C2695">
            <v>0</v>
          </cell>
          <cell r="D2695" t="str">
            <v>לעדכן</v>
          </cell>
        </row>
        <row r="2696">
          <cell r="A2696">
            <v>681452</v>
          </cell>
          <cell r="B2696">
            <v>0</v>
          </cell>
          <cell r="C2696">
            <v>0</v>
          </cell>
          <cell r="D2696" t="str">
            <v>לעדכן</v>
          </cell>
        </row>
        <row r="2697">
          <cell r="A2697">
            <v>681460</v>
          </cell>
          <cell r="B2697">
            <v>0</v>
          </cell>
          <cell r="C2697">
            <v>0</v>
          </cell>
          <cell r="D2697" t="str">
            <v>לעדכן</v>
          </cell>
        </row>
        <row r="2698">
          <cell r="A2698">
            <v>681536</v>
          </cell>
          <cell r="B2698">
            <v>0</v>
          </cell>
          <cell r="C2698">
            <v>0</v>
          </cell>
          <cell r="D2698" t="str">
            <v>לעדכן</v>
          </cell>
        </row>
        <row r="2699">
          <cell r="A2699">
            <v>681551</v>
          </cell>
          <cell r="B2699">
            <v>0</v>
          </cell>
          <cell r="C2699">
            <v>0</v>
          </cell>
          <cell r="D2699" t="str">
            <v>לעדכן</v>
          </cell>
        </row>
        <row r="2700">
          <cell r="A2700">
            <v>681569</v>
          </cell>
          <cell r="B2700">
            <v>0</v>
          </cell>
          <cell r="C2700">
            <v>0</v>
          </cell>
          <cell r="D2700" t="str">
            <v>לעדכן</v>
          </cell>
        </row>
        <row r="2701">
          <cell r="A2701">
            <v>681577</v>
          </cell>
          <cell r="B2701">
            <v>0</v>
          </cell>
          <cell r="C2701">
            <v>0</v>
          </cell>
          <cell r="D2701" t="str">
            <v>לעדכן</v>
          </cell>
        </row>
        <row r="2702">
          <cell r="A2702">
            <v>681585</v>
          </cell>
          <cell r="B2702">
            <v>0</v>
          </cell>
          <cell r="C2702">
            <v>0</v>
          </cell>
          <cell r="D2702" t="str">
            <v>לעדכן</v>
          </cell>
        </row>
        <row r="2703">
          <cell r="A2703">
            <v>681593</v>
          </cell>
          <cell r="B2703">
            <v>0</v>
          </cell>
          <cell r="C2703">
            <v>0</v>
          </cell>
          <cell r="D2703" t="str">
            <v>לעדכן</v>
          </cell>
        </row>
        <row r="2704">
          <cell r="A2704">
            <v>681601</v>
          </cell>
          <cell r="B2704">
            <v>0</v>
          </cell>
          <cell r="C2704">
            <v>0</v>
          </cell>
          <cell r="D2704" t="str">
            <v>לעדכן</v>
          </cell>
        </row>
        <row r="2705">
          <cell r="A2705">
            <v>681619</v>
          </cell>
          <cell r="B2705">
            <v>0</v>
          </cell>
          <cell r="C2705">
            <v>0</v>
          </cell>
          <cell r="D2705" t="str">
            <v>לעדכן</v>
          </cell>
        </row>
        <row r="2706">
          <cell r="A2706">
            <v>681627</v>
          </cell>
          <cell r="B2706">
            <v>0</v>
          </cell>
          <cell r="C2706">
            <v>0</v>
          </cell>
          <cell r="D2706" t="str">
            <v>לעדכן</v>
          </cell>
        </row>
        <row r="2707">
          <cell r="A2707">
            <v>681635</v>
          </cell>
          <cell r="B2707">
            <v>0</v>
          </cell>
          <cell r="C2707">
            <v>0</v>
          </cell>
          <cell r="D2707" t="str">
            <v>לעדכן</v>
          </cell>
        </row>
        <row r="2708">
          <cell r="A2708">
            <v>681643</v>
          </cell>
          <cell r="B2708">
            <v>0</v>
          </cell>
          <cell r="C2708">
            <v>0</v>
          </cell>
          <cell r="D2708" t="str">
            <v>לעדכן</v>
          </cell>
        </row>
        <row r="2709">
          <cell r="A2709">
            <v>681650</v>
          </cell>
          <cell r="B2709">
            <v>0</v>
          </cell>
          <cell r="C2709">
            <v>0</v>
          </cell>
          <cell r="D2709" t="str">
            <v>לעדכן</v>
          </cell>
        </row>
        <row r="2710">
          <cell r="A2710">
            <v>681668</v>
          </cell>
          <cell r="B2710">
            <v>0</v>
          </cell>
          <cell r="C2710">
            <v>0</v>
          </cell>
          <cell r="D2710" t="str">
            <v>לעדכן</v>
          </cell>
        </row>
        <row r="2711">
          <cell r="A2711">
            <v>681684</v>
          </cell>
          <cell r="B2711">
            <v>0</v>
          </cell>
          <cell r="C2711">
            <v>0</v>
          </cell>
          <cell r="D2711" t="str">
            <v>לעדכן</v>
          </cell>
        </row>
        <row r="2712">
          <cell r="A2712">
            <v>681692</v>
          </cell>
          <cell r="B2712">
            <v>0</v>
          </cell>
          <cell r="C2712">
            <v>0</v>
          </cell>
          <cell r="D2712" t="str">
            <v>לעדכן</v>
          </cell>
        </row>
        <row r="2713">
          <cell r="A2713">
            <v>681700</v>
          </cell>
          <cell r="B2713">
            <v>0</v>
          </cell>
          <cell r="C2713">
            <v>0</v>
          </cell>
          <cell r="D2713" t="str">
            <v>לעדכן</v>
          </cell>
        </row>
        <row r="2714">
          <cell r="A2714">
            <v>681718</v>
          </cell>
          <cell r="B2714">
            <v>0</v>
          </cell>
          <cell r="C2714">
            <v>0</v>
          </cell>
          <cell r="D2714" t="str">
            <v>לעדכן</v>
          </cell>
        </row>
        <row r="2715">
          <cell r="A2715">
            <v>681726</v>
          </cell>
          <cell r="B2715">
            <v>0</v>
          </cell>
          <cell r="C2715">
            <v>0</v>
          </cell>
          <cell r="D2715" t="str">
            <v>לעדכן</v>
          </cell>
        </row>
        <row r="2716">
          <cell r="A2716">
            <v>681734</v>
          </cell>
          <cell r="B2716">
            <v>0</v>
          </cell>
          <cell r="C2716">
            <v>0</v>
          </cell>
          <cell r="D2716" t="str">
            <v>לעדכן</v>
          </cell>
        </row>
        <row r="2717">
          <cell r="A2717">
            <v>681742</v>
          </cell>
          <cell r="B2717">
            <v>0</v>
          </cell>
          <cell r="C2717">
            <v>0</v>
          </cell>
          <cell r="D2717" t="str">
            <v>לעדכן</v>
          </cell>
        </row>
        <row r="2718">
          <cell r="A2718">
            <v>681759</v>
          </cell>
          <cell r="B2718">
            <v>0</v>
          </cell>
          <cell r="C2718">
            <v>0</v>
          </cell>
          <cell r="D2718" t="str">
            <v>לעדכן</v>
          </cell>
        </row>
        <row r="2719">
          <cell r="A2719">
            <v>681767</v>
          </cell>
          <cell r="B2719">
            <v>0</v>
          </cell>
          <cell r="C2719">
            <v>0</v>
          </cell>
          <cell r="D2719" t="str">
            <v>לעדכן</v>
          </cell>
        </row>
        <row r="2720">
          <cell r="A2720">
            <v>681783</v>
          </cell>
          <cell r="B2720">
            <v>0</v>
          </cell>
          <cell r="C2720">
            <v>0</v>
          </cell>
          <cell r="D2720" t="str">
            <v>לעדכן</v>
          </cell>
        </row>
        <row r="2721">
          <cell r="A2721">
            <v>681791</v>
          </cell>
          <cell r="B2721">
            <v>0</v>
          </cell>
          <cell r="C2721">
            <v>0</v>
          </cell>
          <cell r="D2721" t="str">
            <v>לעדכן</v>
          </cell>
        </row>
        <row r="2722">
          <cell r="A2722">
            <v>681809</v>
          </cell>
          <cell r="B2722">
            <v>0</v>
          </cell>
          <cell r="C2722">
            <v>0</v>
          </cell>
          <cell r="D2722" t="str">
            <v>לעדכן</v>
          </cell>
        </row>
        <row r="2723">
          <cell r="A2723">
            <v>681817</v>
          </cell>
          <cell r="B2723">
            <v>0</v>
          </cell>
          <cell r="C2723">
            <v>0</v>
          </cell>
          <cell r="D2723" t="str">
            <v>לעדכן</v>
          </cell>
        </row>
        <row r="2724">
          <cell r="A2724">
            <v>681833</v>
          </cell>
          <cell r="B2724">
            <v>0</v>
          </cell>
          <cell r="C2724">
            <v>0</v>
          </cell>
          <cell r="D2724" t="str">
            <v>לעדכן</v>
          </cell>
        </row>
        <row r="2725">
          <cell r="A2725">
            <v>681932</v>
          </cell>
          <cell r="B2725">
            <v>0</v>
          </cell>
          <cell r="C2725">
            <v>0</v>
          </cell>
          <cell r="D2725" t="str">
            <v>לעדכן</v>
          </cell>
        </row>
        <row r="2726">
          <cell r="A2726">
            <v>681981</v>
          </cell>
          <cell r="B2726">
            <v>0</v>
          </cell>
          <cell r="C2726">
            <v>0</v>
          </cell>
          <cell r="D2726" t="str">
            <v>לעדכן</v>
          </cell>
        </row>
        <row r="2727">
          <cell r="A2727">
            <v>681999</v>
          </cell>
          <cell r="B2727">
            <v>0</v>
          </cell>
          <cell r="C2727">
            <v>0</v>
          </cell>
          <cell r="D2727" t="str">
            <v>לעדכן</v>
          </cell>
        </row>
        <row r="2728">
          <cell r="A2728">
            <v>682203</v>
          </cell>
          <cell r="B2728">
            <v>0</v>
          </cell>
          <cell r="C2728">
            <v>0</v>
          </cell>
          <cell r="D2728" t="str">
            <v>לעדכן</v>
          </cell>
        </row>
        <row r="2729">
          <cell r="A2729">
            <v>682211</v>
          </cell>
          <cell r="B2729">
            <v>0</v>
          </cell>
          <cell r="C2729">
            <v>0</v>
          </cell>
          <cell r="D2729" t="str">
            <v>לעדכן</v>
          </cell>
        </row>
        <row r="2730">
          <cell r="A2730">
            <v>682237</v>
          </cell>
          <cell r="B2730">
            <v>0</v>
          </cell>
          <cell r="C2730">
            <v>0</v>
          </cell>
          <cell r="D2730" t="str">
            <v>לעדכן</v>
          </cell>
        </row>
        <row r="2731">
          <cell r="A2731">
            <v>682286</v>
          </cell>
          <cell r="B2731">
            <v>0</v>
          </cell>
          <cell r="C2731">
            <v>0</v>
          </cell>
          <cell r="D2731" t="str">
            <v>לעדכן</v>
          </cell>
        </row>
        <row r="2732">
          <cell r="A2732">
            <v>682294</v>
          </cell>
          <cell r="B2732">
            <v>0</v>
          </cell>
          <cell r="C2732">
            <v>0</v>
          </cell>
          <cell r="D2732" t="str">
            <v>לעדכן</v>
          </cell>
        </row>
        <row r="2733">
          <cell r="A2733">
            <v>682336</v>
          </cell>
          <cell r="B2733">
            <v>0</v>
          </cell>
          <cell r="C2733">
            <v>0</v>
          </cell>
          <cell r="D2733" t="str">
            <v>לעדכן</v>
          </cell>
        </row>
        <row r="2734">
          <cell r="A2734">
            <v>682344</v>
          </cell>
          <cell r="B2734">
            <v>0</v>
          </cell>
          <cell r="C2734">
            <v>0</v>
          </cell>
          <cell r="D2734" t="str">
            <v>לעדכן</v>
          </cell>
        </row>
        <row r="2735">
          <cell r="A2735">
            <v>682369</v>
          </cell>
          <cell r="B2735">
            <v>0</v>
          </cell>
          <cell r="C2735">
            <v>0</v>
          </cell>
          <cell r="D2735" t="str">
            <v>לעדכן</v>
          </cell>
        </row>
        <row r="2736">
          <cell r="A2736">
            <v>682377</v>
          </cell>
          <cell r="B2736">
            <v>0</v>
          </cell>
          <cell r="C2736">
            <v>0</v>
          </cell>
          <cell r="D2736" t="str">
            <v>לעדכן</v>
          </cell>
        </row>
        <row r="2737">
          <cell r="A2737">
            <v>682385</v>
          </cell>
          <cell r="B2737">
            <v>0</v>
          </cell>
          <cell r="C2737">
            <v>0</v>
          </cell>
          <cell r="D2737" t="str">
            <v>לעדכן</v>
          </cell>
        </row>
        <row r="2738">
          <cell r="A2738">
            <v>682393</v>
          </cell>
          <cell r="B2738">
            <v>0</v>
          </cell>
          <cell r="C2738">
            <v>0</v>
          </cell>
          <cell r="D2738" t="str">
            <v>לעדכן</v>
          </cell>
        </row>
        <row r="2739">
          <cell r="A2739">
            <v>682419</v>
          </cell>
          <cell r="B2739">
            <v>0</v>
          </cell>
          <cell r="C2739">
            <v>0</v>
          </cell>
          <cell r="D2739" t="str">
            <v>לעדכן</v>
          </cell>
        </row>
        <row r="2740">
          <cell r="A2740">
            <v>682435</v>
          </cell>
          <cell r="B2740">
            <v>0</v>
          </cell>
          <cell r="C2740">
            <v>0</v>
          </cell>
          <cell r="D2740" t="str">
            <v>לעדכן</v>
          </cell>
        </row>
        <row r="2741">
          <cell r="A2741">
            <v>682443</v>
          </cell>
          <cell r="B2741">
            <v>0</v>
          </cell>
          <cell r="C2741">
            <v>0</v>
          </cell>
          <cell r="D2741" t="str">
            <v>לעדכן</v>
          </cell>
        </row>
        <row r="2742">
          <cell r="A2742">
            <v>712695</v>
          </cell>
          <cell r="B2742">
            <v>0</v>
          </cell>
          <cell r="C2742">
            <v>0</v>
          </cell>
          <cell r="D2742" t="str">
            <v>לעדכן</v>
          </cell>
        </row>
        <row r="2743">
          <cell r="A2743">
            <v>713685</v>
          </cell>
          <cell r="B2743">
            <v>0</v>
          </cell>
          <cell r="C2743">
            <v>0</v>
          </cell>
          <cell r="D2743" t="str">
            <v>לעדכן</v>
          </cell>
        </row>
        <row r="2744">
          <cell r="A2744">
            <v>714972</v>
          </cell>
          <cell r="B2744">
            <v>0</v>
          </cell>
          <cell r="C2744">
            <v>0</v>
          </cell>
          <cell r="D2744" t="str">
            <v>לעדכן</v>
          </cell>
        </row>
        <row r="2745">
          <cell r="A2745">
            <v>716506</v>
          </cell>
          <cell r="B2745">
            <v>0</v>
          </cell>
          <cell r="C2745">
            <v>0</v>
          </cell>
          <cell r="D2745" t="str">
            <v>לעדכן</v>
          </cell>
        </row>
        <row r="2746">
          <cell r="A2746">
            <v>716597</v>
          </cell>
          <cell r="B2746">
            <v>0</v>
          </cell>
          <cell r="C2746">
            <v>0</v>
          </cell>
          <cell r="D2746" t="str">
            <v>לעדכן</v>
          </cell>
        </row>
        <row r="2747">
          <cell r="A2747">
            <v>717801</v>
          </cell>
          <cell r="B2747">
            <v>0</v>
          </cell>
          <cell r="C2747">
            <v>0</v>
          </cell>
          <cell r="D2747" t="str">
            <v>לעדכן</v>
          </cell>
        </row>
        <row r="2748">
          <cell r="A2748">
            <v>718759</v>
          </cell>
          <cell r="B2748">
            <v>0</v>
          </cell>
          <cell r="C2748">
            <v>0</v>
          </cell>
          <cell r="D2748" t="str">
            <v>לעדכן</v>
          </cell>
        </row>
        <row r="2749">
          <cell r="A2749">
            <v>719625</v>
          </cell>
          <cell r="B2749">
            <v>0</v>
          </cell>
          <cell r="C2749">
            <v>0</v>
          </cell>
          <cell r="D2749" t="str">
            <v>לעדכן</v>
          </cell>
        </row>
        <row r="2750">
          <cell r="A2750">
            <v>719971</v>
          </cell>
          <cell r="B2750">
            <v>0</v>
          </cell>
          <cell r="C2750">
            <v>0</v>
          </cell>
          <cell r="D2750" t="str">
            <v>לעדכן</v>
          </cell>
        </row>
        <row r="2751">
          <cell r="A2751">
            <v>720011</v>
          </cell>
          <cell r="B2751">
            <v>0</v>
          </cell>
          <cell r="C2751">
            <v>0</v>
          </cell>
          <cell r="D2751" t="str">
            <v>לעדכן</v>
          </cell>
        </row>
        <row r="2752">
          <cell r="A2752">
            <v>721563</v>
          </cell>
          <cell r="B2752">
            <v>0</v>
          </cell>
          <cell r="C2752">
            <v>0</v>
          </cell>
          <cell r="D2752" t="str">
            <v>לעדכן</v>
          </cell>
        </row>
        <row r="2753">
          <cell r="A2753">
            <v>721662</v>
          </cell>
          <cell r="B2753">
            <v>0</v>
          </cell>
          <cell r="C2753">
            <v>0</v>
          </cell>
          <cell r="D2753" t="str">
            <v>לעדכן</v>
          </cell>
        </row>
        <row r="2754">
          <cell r="A2754">
            <v>722207</v>
          </cell>
          <cell r="B2754">
            <v>0</v>
          </cell>
          <cell r="C2754">
            <v>0</v>
          </cell>
          <cell r="D2754" t="str">
            <v>לעדכן</v>
          </cell>
        </row>
        <row r="2755">
          <cell r="A2755">
            <v>722231</v>
          </cell>
          <cell r="B2755">
            <v>0</v>
          </cell>
          <cell r="C2755">
            <v>0</v>
          </cell>
          <cell r="D2755" t="str">
            <v>לעדכן</v>
          </cell>
        </row>
        <row r="2756">
          <cell r="A2756">
            <v>722298</v>
          </cell>
          <cell r="B2756">
            <v>0</v>
          </cell>
          <cell r="C2756">
            <v>0</v>
          </cell>
          <cell r="D2756" t="str">
            <v>לעדכן</v>
          </cell>
        </row>
        <row r="2757">
          <cell r="A2757">
            <v>722728</v>
          </cell>
          <cell r="B2757">
            <v>0</v>
          </cell>
          <cell r="C2757">
            <v>0</v>
          </cell>
          <cell r="D2757" t="str">
            <v>לעדכן</v>
          </cell>
        </row>
        <row r="2758">
          <cell r="A2758">
            <v>722785</v>
          </cell>
          <cell r="B2758">
            <v>0</v>
          </cell>
          <cell r="C2758">
            <v>0</v>
          </cell>
          <cell r="D2758" t="str">
            <v>לעדכן</v>
          </cell>
        </row>
        <row r="2759">
          <cell r="A2759">
            <v>722801</v>
          </cell>
          <cell r="B2759">
            <v>0</v>
          </cell>
          <cell r="C2759">
            <v>0</v>
          </cell>
          <cell r="D2759" t="str">
            <v>לעדכן</v>
          </cell>
        </row>
        <row r="2760">
          <cell r="A2760">
            <v>724302</v>
          </cell>
          <cell r="B2760">
            <v>0</v>
          </cell>
          <cell r="C2760">
            <v>0</v>
          </cell>
          <cell r="D2760" t="str">
            <v>לעדכן</v>
          </cell>
        </row>
        <row r="2761">
          <cell r="A2761">
            <v>725309</v>
          </cell>
          <cell r="B2761">
            <v>0</v>
          </cell>
          <cell r="C2761">
            <v>0</v>
          </cell>
          <cell r="D2761" t="str">
            <v>לעדכן</v>
          </cell>
        </row>
        <row r="2762">
          <cell r="A2762">
            <v>725572</v>
          </cell>
          <cell r="B2762">
            <v>0</v>
          </cell>
          <cell r="C2762">
            <v>0</v>
          </cell>
          <cell r="D2762" t="str">
            <v>לעדכן</v>
          </cell>
        </row>
        <row r="2763">
          <cell r="A2763">
            <v>725697</v>
          </cell>
          <cell r="B2763">
            <v>0</v>
          </cell>
          <cell r="C2763">
            <v>0</v>
          </cell>
          <cell r="D2763" t="str">
            <v>לעדכן</v>
          </cell>
        </row>
        <row r="2764">
          <cell r="A2764">
            <v>726612</v>
          </cell>
          <cell r="B2764">
            <v>0</v>
          </cell>
          <cell r="C2764">
            <v>0</v>
          </cell>
          <cell r="D2764" t="str">
            <v>לעדכן</v>
          </cell>
        </row>
        <row r="2765">
          <cell r="A2765">
            <v>728881</v>
          </cell>
          <cell r="B2765">
            <v>0</v>
          </cell>
          <cell r="C2765">
            <v>0</v>
          </cell>
          <cell r="D2765" t="str">
            <v>לעדכן</v>
          </cell>
        </row>
        <row r="2766">
          <cell r="A2766">
            <v>728998</v>
          </cell>
          <cell r="B2766">
            <v>0</v>
          </cell>
          <cell r="C2766">
            <v>0</v>
          </cell>
          <cell r="D2766" t="str">
            <v>לעדכן</v>
          </cell>
        </row>
        <row r="2767">
          <cell r="A2767">
            <v>729145</v>
          </cell>
          <cell r="B2767">
            <v>0</v>
          </cell>
          <cell r="C2767">
            <v>0</v>
          </cell>
          <cell r="D2767" t="str">
            <v>לעדכן</v>
          </cell>
        </row>
        <row r="2768">
          <cell r="A2768">
            <v>729236</v>
          </cell>
          <cell r="B2768">
            <v>0</v>
          </cell>
          <cell r="C2768">
            <v>0</v>
          </cell>
          <cell r="D2768" t="str">
            <v>לעדכן</v>
          </cell>
        </row>
        <row r="2769">
          <cell r="A2769">
            <v>729426</v>
          </cell>
          <cell r="B2769">
            <v>0</v>
          </cell>
          <cell r="C2769">
            <v>0</v>
          </cell>
          <cell r="D2769" t="str">
            <v>לעדכן</v>
          </cell>
        </row>
        <row r="2770">
          <cell r="A2770">
            <v>730002</v>
          </cell>
          <cell r="B2770">
            <v>0</v>
          </cell>
          <cell r="C2770">
            <v>0</v>
          </cell>
          <cell r="D2770" t="str">
            <v>לעדכן</v>
          </cell>
        </row>
        <row r="2771">
          <cell r="A2771">
            <v>730010</v>
          </cell>
          <cell r="B2771">
            <v>0</v>
          </cell>
          <cell r="C2771">
            <v>0</v>
          </cell>
          <cell r="D2771" t="str">
            <v>לעדכן</v>
          </cell>
        </row>
        <row r="2772">
          <cell r="A2772">
            <v>730473</v>
          </cell>
          <cell r="B2772">
            <v>0</v>
          </cell>
          <cell r="C2772">
            <v>0</v>
          </cell>
          <cell r="D2772" t="str">
            <v>לעדכן</v>
          </cell>
        </row>
        <row r="2773">
          <cell r="A2773">
            <v>731620</v>
          </cell>
          <cell r="B2773">
            <v>0</v>
          </cell>
          <cell r="C2773">
            <v>0</v>
          </cell>
          <cell r="D2773" t="str">
            <v>לעדכן</v>
          </cell>
        </row>
        <row r="2774">
          <cell r="A2774">
            <v>731745</v>
          </cell>
          <cell r="B2774">
            <v>0</v>
          </cell>
          <cell r="C2774">
            <v>0</v>
          </cell>
          <cell r="D2774" t="str">
            <v>לעדכן</v>
          </cell>
        </row>
        <row r="2775">
          <cell r="A2775">
            <v>731943</v>
          </cell>
          <cell r="B2775">
            <v>0</v>
          </cell>
          <cell r="C2775">
            <v>0</v>
          </cell>
          <cell r="D2775" t="str">
            <v>לעדכן</v>
          </cell>
        </row>
        <row r="2776">
          <cell r="A2776">
            <v>732214</v>
          </cell>
          <cell r="B2776">
            <v>0</v>
          </cell>
          <cell r="C2776">
            <v>0</v>
          </cell>
          <cell r="D2776" t="str">
            <v>לעדכן</v>
          </cell>
        </row>
        <row r="2777">
          <cell r="A2777">
            <v>733535</v>
          </cell>
          <cell r="B2777">
            <v>0</v>
          </cell>
          <cell r="C2777">
            <v>0</v>
          </cell>
          <cell r="D2777" t="str">
            <v>לעדכן</v>
          </cell>
        </row>
        <row r="2778">
          <cell r="A2778">
            <v>733741</v>
          </cell>
          <cell r="B2778">
            <v>0</v>
          </cell>
          <cell r="C2778">
            <v>0</v>
          </cell>
          <cell r="D2778" t="str">
            <v>לעדכן</v>
          </cell>
        </row>
        <row r="2779">
          <cell r="A2779">
            <v>733766</v>
          </cell>
          <cell r="B2779">
            <v>0</v>
          </cell>
          <cell r="C2779">
            <v>0</v>
          </cell>
          <cell r="D2779" t="str">
            <v>לעדכן</v>
          </cell>
        </row>
        <row r="2780">
          <cell r="A2780">
            <v>733774</v>
          </cell>
          <cell r="B2780">
            <v>0</v>
          </cell>
          <cell r="C2780">
            <v>0</v>
          </cell>
          <cell r="D2780" t="str">
            <v>לעדכן</v>
          </cell>
        </row>
        <row r="2781">
          <cell r="A2781">
            <v>733949</v>
          </cell>
          <cell r="B2781">
            <v>0</v>
          </cell>
          <cell r="C2781">
            <v>0</v>
          </cell>
          <cell r="D2781" t="str">
            <v>לעדכן</v>
          </cell>
        </row>
        <row r="2782">
          <cell r="A2782">
            <v>734103</v>
          </cell>
          <cell r="B2782">
            <v>0</v>
          </cell>
          <cell r="C2782">
            <v>0</v>
          </cell>
          <cell r="D2782" t="str">
            <v>לעדכן</v>
          </cell>
        </row>
        <row r="2783">
          <cell r="A2783">
            <v>734467</v>
          </cell>
          <cell r="B2783">
            <v>0</v>
          </cell>
          <cell r="C2783">
            <v>0</v>
          </cell>
          <cell r="D2783" t="str">
            <v>לעדכן</v>
          </cell>
        </row>
        <row r="2784">
          <cell r="A2784">
            <v>734616</v>
          </cell>
          <cell r="B2784">
            <v>0</v>
          </cell>
          <cell r="C2784">
            <v>0</v>
          </cell>
          <cell r="D2784" t="str">
            <v>לעדכן</v>
          </cell>
        </row>
        <row r="2785">
          <cell r="A2785">
            <v>734939</v>
          </cell>
          <cell r="B2785">
            <v>0</v>
          </cell>
          <cell r="C2785">
            <v>0</v>
          </cell>
          <cell r="D2785" t="str">
            <v>לעדכן</v>
          </cell>
        </row>
        <row r="2786">
          <cell r="A2786">
            <v>739037</v>
          </cell>
          <cell r="B2786">
            <v>0</v>
          </cell>
          <cell r="C2786">
            <v>0</v>
          </cell>
          <cell r="D2786" t="str">
            <v>לעדכן</v>
          </cell>
        </row>
        <row r="2787">
          <cell r="A2787">
            <v>740712</v>
          </cell>
          <cell r="B2787">
            <v>0</v>
          </cell>
          <cell r="C2787">
            <v>0</v>
          </cell>
          <cell r="D2787" t="str">
            <v>לעדכן</v>
          </cell>
        </row>
        <row r="2788">
          <cell r="A2788">
            <v>741009</v>
          </cell>
          <cell r="B2788">
            <v>0</v>
          </cell>
          <cell r="C2788">
            <v>0</v>
          </cell>
          <cell r="D2788" t="str">
            <v>לעדכן</v>
          </cell>
        </row>
        <row r="2789">
          <cell r="A2789">
            <v>741322</v>
          </cell>
          <cell r="B2789">
            <v>0</v>
          </cell>
          <cell r="C2789">
            <v>0</v>
          </cell>
          <cell r="D2789" t="str">
            <v>לעדכן</v>
          </cell>
        </row>
        <row r="2790">
          <cell r="A2790">
            <v>742171</v>
          </cell>
          <cell r="B2790">
            <v>0</v>
          </cell>
          <cell r="C2790">
            <v>0</v>
          </cell>
          <cell r="D2790" t="str">
            <v>לעדכן</v>
          </cell>
        </row>
        <row r="2791">
          <cell r="A2791">
            <v>742254</v>
          </cell>
          <cell r="B2791">
            <v>0</v>
          </cell>
          <cell r="C2791">
            <v>0</v>
          </cell>
          <cell r="D2791" t="str">
            <v>לעדכן</v>
          </cell>
        </row>
        <row r="2792">
          <cell r="A2792">
            <v>743369</v>
          </cell>
          <cell r="B2792">
            <v>0</v>
          </cell>
          <cell r="C2792">
            <v>0</v>
          </cell>
          <cell r="D2792" t="str">
            <v>לעדכן</v>
          </cell>
        </row>
        <row r="2793">
          <cell r="A2793">
            <v>743468</v>
          </cell>
          <cell r="B2793">
            <v>0</v>
          </cell>
          <cell r="C2793">
            <v>0</v>
          </cell>
          <cell r="D2793" t="str">
            <v>לעדכן</v>
          </cell>
        </row>
        <row r="2794">
          <cell r="A2794">
            <v>743682</v>
          </cell>
          <cell r="B2794">
            <v>0</v>
          </cell>
          <cell r="C2794">
            <v>0</v>
          </cell>
          <cell r="D2794" t="str">
            <v>לעדכן</v>
          </cell>
        </row>
        <row r="2795">
          <cell r="A2795">
            <v>744250</v>
          </cell>
          <cell r="B2795">
            <v>0</v>
          </cell>
          <cell r="C2795">
            <v>0</v>
          </cell>
          <cell r="D2795" t="str">
            <v>לעדכן</v>
          </cell>
        </row>
        <row r="2796">
          <cell r="A2796">
            <v>745471</v>
          </cell>
          <cell r="B2796">
            <v>0</v>
          </cell>
          <cell r="C2796">
            <v>0</v>
          </cell>
          <cell r="D2796" t="str">
            <v>לעדכן</v>
          </cell>
        </row>
        <row r="2797">
          <cell r="A2797">
            <v>745984</v>
          </cell>
          <cell r="B2797">
            <v>0</v>
          </cell>
          <cell r="C2797">
            <v>0</v>
          </cell>
          <cell r="D2797" t="str">
            <v>לעדכן</v>
          </cell>
        </row>
        <row r="2798">
          <cell r="A2798">
            <v>746313</v>
          </cell>
          <cell r="B2798">
            <v>0</v>
          </cell>
          <cell r="C2798">
            <v>0</v>
          </cell>
          <cell r="D2798" t="str">
            <v>לעדכן</v>
          </cell>
        </row>
        <row r="2799">
          <cell r="A2799">
            <v>746354</v>
          </cell>
          <cell r="B2799">
            <v>0</v>
          </cell>
          <cell r="C2799">
            <v>0</v>
          </cell>
          <cell r="D2799" t="str">
            <v>לעדכן</v>
          </cell>
        </row>
        <row r="2800">
          <cell r="A2800">
            <v>746503</v>
          </cell>
          <cell r="B2800">
            <v>0</v>
          </cell>
          <cell r="C2800">
            <v>0</v>
          </cell>
          <cell r="D2800" t="str">
            <v>לעדכן</v>
          </cell>
        </row>
        <row r="2801">
          <cell r="A2801">
            <v>746529</v>
          </cell>
          <cell r="B2801">
            <v>0</v>
          </cell>
          <cell r="C2801">
            <v>0</v>
          </cell>
          <cell r="D2801" t="str">
            <v>לעדכן</v>
          </cell>
        </row>
        <row r="2802">
          <cell r="A2802">
            <v>746735</v>
          </cell>
          <cell r="B2802">
            <v>0</v>
          </cell>
          <cell r="C2802">
            <v>0</v>
          </cell>
          <cell r="D2802" t="str">
            <v>לעדכן</v>
          </cell>
        </row>
        <row r="2803">
          <cell r="A2803">
            <v>747345</v>
          </cell>
          <cell r="B2803">
            <v>0</v>
          </cell>
          <cell r="C2803">
            <v>0</v>
          </cell>
          <cell r="D2803" t="str">
            <v>לעדכן</v>
          </cell>
        </row>
        <row r="2804">
          <cell r="A2804">
            <v>747360</v>
          </cell>
          <cell r="B2804">
            <v>0</v>
          </cell>
          <cell r="C2804">
            <v>0</v>
          </cell>
          <cell r="D2804" t="str">
            <v>לעדכן</v>
          </cell>
        </row>
        <row r="2805">
          <cell r="A2805">
            <v>747402</v>
          </cell>
          <cell r="B2805">
            <v>0</v>
          </cell>
          <cell r="C2805">
            <v>0</v>
          </cell>
          <cell r="D2805" t="str">
            <v>לעדכן</v>
          </cell>
        </row>
        <row r="2806">
          <cell r="A2806">
            <v>747725</v>
          </cell>
          <cell r="B2806">
            <v>0</v>
          </cell>
          <cell r="C2806">
            <v>0</v>
          </cell>
          <cell r="D2806" t="str">
            <v>לעדכן</v>
          </cell>
        </row>
        <row r="2807">
          <cell r="A2807">
            <v>747915</v>
          </cell>
          <cell r="B2807">
            <v>0</v>
          </cell>
          <cell r="C2807">
            <v>0</v>
          </cell>
          <cell r="D2807" t="str">
            <v>לעדכן</v>
          </cell>
        </row>
        <row r="2808">
          <cell r="A2808">
            <v>747949</v>
          </cell>
          <cell r="B2808">
            <v>0</v>
          </cell>
          <cell r="C2808">
            <v>0</v>
          </cell>
          <cell r="D2808" t="str">
            <v>לעדכן</v>
          </cell>
        </row>
        <row r="2809">
          <cell r="A2809">
            <v>748731</v>
          </cell>
          <cell r="B2809">
            <v>0</v>
          </cell>
          <cell r="C2809">
            <v>0</v>
          </cell>
          <cell r="D2809" t="str">
            <v>לעדכן</v>
          </cell>
        </row>
        <row r="2810">
          <cell r="A2810">
            <v>749010</v>
          </cell>
          <cell r="B2810">
            <v>0</v>
          </cell>
          <cell r="C2810">
            <v>0</v>
          </cell>
          <cell r="D2810" t="str">
            <v>לעדכן</v>
          </cell>
        </row>
        <row r="2811">
          <cell r="A2811">
            <v>749937</v>
          </cell>
          <cell r="B2811">
            <v>0</v>
          </cell>
          <cell r="C2811">
            <v>0</v>
          </cell>
          <cell r="D2811" t="str">
            <v>לעדכן</v>
          </cell>
        </row>
        <row r="2812">
          <cell r="A2812">
            <v>749978</v>
          </cell>
          <cell r="B2812">
            <v>0</v>
          </cell>
          <cell r="C2812">
            <v>0</v>
          </cell>
          <cell r="D2812" t="str">
            <v>לעדכן</v>
          </cell>
        </row>
        <row r="2813">
          <cell r="A2813">
            <v>754721</v>
          </cell>
          <cell r="B2813">
            <v>0</v>
          </cell>
          <cell r="C2813">
            <v>0</v>
          </cell>
          <cell r="D2813" t="str">
            <v>לעדכן</v>
          </cell>
        </row>
        <row r="2814">
          <cell r="A2814">
            <v>755447</v>
          </cell>
          <cell r="B2814">
            <v>0</v>
          </cell>
          <cell r="C2814">
            <v>0</v>
          </cell>
          <cell r="D2814" t="str">
            <v>לעדכן</v>
          </cell>
        </row>
        <row r="2815">
          <cell r="A2815">
            <v>756320</v>
          </cell>
          <cell r="B2815">
            <v>0</v>
          </cell>
          <cell r="C2815">
            <v>0</v>
          </cell>
          <cell r="D2815" t="str">
            <v>לעדכן</v>
          </cell>
        </row>
        <row r="2816">
          <cell r="A2816">
            <v>756338</v>
          </cell>
          <cell r="B2816">
            <v>0</v>
          </cell>
          <cell r="C2816">
            <v>0</v>
          </cell>
          <cell r="D2816" t="str">
            <v>לעדכן</v>
          </cell>
        </row>
        <row r="2817">
          <cell r="A2817">
            <v>756502</v>
          </cell>
          <cell r="B2817">
            <v>0</v>
          </cell>
          <cell r="C2817">
            <v>0</v>
          </cell>
          <cell r="D2817" t="str">
            <v>לעדכן</v>
          </cell>
        </row>
        <row r="2818">
          <cell r="A2818">
            <v>756510</v>
          </cell>
          <cell r="B2818">
            <v>0</v>
          </cell>
          <cell r="C2818">
            <v>0</v>
          </cell>
          <cell r="D2818" t="str">
            <v>לעדכן</v>
          </cell>
        </row>
        <row r="2819">
          <cell r="A2819">
            <v>756544</v>
          </cell>
          <cell r="B2819">
            <v>0</v>
          </cell>
          <cell r="C2819">
            <v>0</v>
          </cell>
          <cell r="D2819" t="str">
            <v>לעדכן</v>
          </cell>
        </row>
        <row r="2820">
          <cell r="A2820">
            <v>756882</v>
          </cell>
          <cell r="B2820">
            <v>0</v>
          </cell>
          <cell r="C2820">
            <v>0</v>
          </cell>
          <cell r="D2820" t="str">
            <v>לעדכן</v>
          </cell>
        </row>
        <row r="2821">
          <cell r="A2821">
            <v>757583</v>
          </cell>
          <cell r="B2821">
            <v>0</v>
          </cell>
          <cell r="C2821">
            <v>0</v>
          </cell>
          <cell r="D2821" t="str">
            <v>לעדכן</v>
          </cell>
        </row>
        <row r="2822">
          <cell r="A2822">
            <v>757625</v>
          </cell>
          <cell r="B2822">
            <v>0</v>
          </cell>
          <cell r="C2822">
            <v>0</v>
          </cell>
          <cell r="D2822" t="str">
            <v>לעדכן</v>
          </cell>
        </row>
        <row r="2823">
          <cell r="A2823">
            <v>757682</v>
          </cell>
          <cell r="B2823">
            <v>0</v>
          </cell>
          <cell r="C2823">
            <v>0</v>
          </cell>
          <cell r="D2823" t="str">
            <v>לעדכן</v>
          </cell>
        </row>
        <row r="2824">
          <cell r="A2824">
            <v>757690</v>
          </cell>
          <cell r="B2824">
            <v>0</v>
          </cell>
          <cell r="C2824">
            <v>0</v>
          </cell>
          <cell r="D2824" t="str">
            <v>לעדכן</v>
          </cell>
        </row>
        <row r="2825">
          <cell r="A2825">
            <v>757815</v>
          </cell>
          <cell r="B2825">
            <v>0</v>
          </cell>
          <cell r="C2825">
            <v>0</v>
          </cell>
          <cell r="D2825" t="str">
            <v>לעדכן</v>
          </cell>
        </row>
        <row r="2826">
          <cell r="A2826">
            <v>758227</v>
          </cell>
          <cell r="B2826">
            <v>0</v>
          </cell>
          <cell r="C2826">
            <v>0</v>
          </cell>
          <cell r="D2826" t="str">
            <v>לעדכן</v>
          </cell>
        </row>
        <row r="2827">
          <cell r="A2827">
            <v>758326</v>
          </cell>
          <cell r="B2827">
            <v>0</v>
          </cell>
          <cell r="C2827">
            <v>0</v>
          </cell>
          <cell r="D2827" t="str">
            <v>לעדכן</v>
          </cell>
        </row>
        <row r="2828">
          <cell r="A2828">
            <v>758995</v>
          </cell>
          <cell r="B2828">
            <v>0</v>
          </cell>
          <cell r="C2828">
            <v>0</v>
          </cell>
          <cell r="D2828" t="str">
            <v>לעדכן</v>
          </cell>
        </row>
        <row r="2829">
          <cell r="A2829">
            <v>759001</v>
          </cell>
          <cell r="B2829">
            <v>0</v>
          </cell>
          <cell r="C2829">
            <v>0</v>
          </cell>
          <cell r="D2829" t="str">
            <v>לעדכן</v>
          </cell>
        </row>
        <row r="2830">
          <cell r="A2830">
            <v>759050</v>
          </cell>
          <cell r="B2830">
            <v>0</v>
          </cell>
          <cell r="C2830">
            <v>0</v>
          </cell>
          <cell r="D2830" t="str">
            <v>לעדכן</v>
          </cell>
        </row>
        <row r="2831">
          <cell r="A2831">
            <v>759092</v>
          </cell>
          <cell r="B2831">
            <v>0</v>
          </cell>
          <cell r="C2831">
            <v>0</v>
          </cell>
          <cell r="D2831" t="str">
            <v>לעדכן</v>
          </cell>
        </row>
        <row r="2832">
          <cell r="A2832">
            <v>759100</v>
          </cell>
          <cell r="B2832">
            <v>0</v>
          </cell>
          <cell r="C2832">
            <v>0</v>
          </cell>
          <cell r="D2832" t="str">
            <v>לעדכן</v>
          </cell>
        </row>
        <row r="2833">
          <cell r="A2833">
            <v>759134</v>
          </cell>
          <cell r="B2833">
            <v>0</v>
          </cell>
          <cell r="C2833">
            <v>0</v>
          </cell>
          <cell r="D2833" t="str">
            <v>לעדכן</v>
          </cell>
        </row>
        <row r="2834">
          <cell r="A2834">
            <v>759191</v>
          </cell>
          <cell r="B2834">
            <v>0</v>
          </cell>
          <cell r="C2834">
            <v>0</v>
          </cell>
          <cell r="D2834" t="str">
            <v>לעדכן</v>
          </cell>
        </row>
        <row r="2835">
          <cell r="A2835">
            <v>759316</v>
          </cell>
          <cell r="B2835">
            <v>0</v>
          </cell>
          <cell r="C2835">
            <v>0</v>
          </cell>
          <cell r="D2835" t="str">
            <v>לעדכן</v>
          </cell>
        </row>
        <row r="2836">
          <cell r="A2836">
            <v>759555</v>
          </cell>
          <cell r="B2836">
            <v>0</v>
          </cell>
          <cell r="C2836">
            <v>0</v>
          </cell>
          <cell r="D2836" t="str">
            <v>לעדכן</v>
          </cell>
        </row>
        <row r="2837">
          <cell r="A2837">
            <v>759704</v>
          </cell>
          <cell r="B2837">
            <v>0</v>
          </cell>
          <cell r="C2837">
            <v>0</v>
          </cell>
          <cell r="D2837" t="str">
            <v>לעדכן</v>
          </cell>
        </row>
        <row r="2838">
          <cell r="A2838">
            <v>760041</v>
          </cell>
          <cell r="B2838">
            <v>0</v>
          </cell>
          <cell r="C2838">
            <v>0</v>
          </cell>
          <cell r="D2838" t="str">
            <v>לעדכן</v>
          </cell>
        </row>
        <row r="2839">
          <cell r="A2839">
            <v>760710</v>
          </cell>
          <cell r="B2839">
            <v>0</v>
          </cell>
          <cell r="C2839">
            <v>0</v>
          </cell>
          <cell r="D2839" t="str">
            <v>לעדכן</v>
          </cell>
        </row>
        <row r="2840">
          <cell r="A2840">
            <v>761015</v>
          </cell>
          <cell r="B2840">
            <v>0</v>
          </cell>
          <cell r="C2840">
            <v>0</v>
          </cell>
          <cell r="D2840" t="str">
            <v>לעדכן</v>
          </cell>
        </row>
        <row r="2841">
          <cell r="A2841">
            <v>761221</v>
          </cell>
          <cell r="B2841">
            <v>0</v>
          </cell>
          <cell r="C2841">
            <v>0</v>
          </cell>
          <cell r="D2841" t="str">
            <v>לעדכן</v>
          </cell>
        </row>
        <row r="2842">
          <cell r="A2842">
            <v>761312</v>
          </cell>
          <cell r="B2842">
            <v>0</v>
          </cell>
          <cell r="C2842">
            <v>0</v>
          </cell>
          <cell r="D2842" t="str">
            <v>לעדכן</v>
          </cell>
        </row>
        <row r="2843">
          <cell r="A2843">
            <v>762419</v>
          </cell>
          <cell r="B2843">
            <v>0</v>
          </cell>
          <cell r="C2843">
            <v>0</v>
          </cell>
          <cell r="D2843" t="str">
            <v>לעדכן</v>
          </cell>
        </row>
        <row r="2844">
          <cell r="A2844">
            <v>765719</v>
          </cell>
          <cell r="B2844">
            <v>0</v>
          </cell>
          <cell r="C2844">
            <v>0</v>
          </cell>
          <cell r="D2844" t="str">
            <v>לעדכן</v>
          </cell>
        </row>
        <row r="2845">
          <cell r="A2845">
            <v>766352</v>
          </cell>
          <cell r="B2845">
            <v>0</v>
          </cell>
          <cell r="C2845">
            <v>0</v>
          </cell>
          <cell r="D2845" t="str">
            <v>לעדכן</v>
          </cell>
        </row>
        <row r="2846">
          <cell r="A2846">
            <v>767129</v>
          </cell>
          <cell r="B2846">
            <v>0</v>
          </cell>
          <cell r="C2846">
            <v>0</v>
          </cell>
          <cell r="D2846" t="str">
            <v>לעדכן</v>
          </cell>
        </row>
        <row r="2847">
          <cell r="A2847">
            <v>767269</v>
          </cell>
          <cell r="B2847">
            <v>0</v>
          </cell>
          <cell r="C2847">
            <v>0</v>
          </cell>
          <cell r="D2847" t="str">
            <v>לעדכן</v>
          </cell>
        </row>
        <row r="2848">
          <cell r="A2848">
            <v>768622</v>
          </cell>
          <cell r="B2848">
            <v>0</v>
          </cell>
          <cell r="C2848">
            <v>0</v>
          </cell>
          <cell r="D2848" t="str">
            <v>לעדכן</v>
          </cell>
        </row>
        <row r="2849">
          <cell r="A2849">
            <v>769554</v>
          </cell>
          <cell r="B2849">
            <v>0</v>
          </cell>
          <cell r="C2849">
            <v>0</v>
          </cell>
          <cell r="D2849" t="str">
            <v>לעדכן</v>
          </cell>
        </row>
        <row r="2850">
          <cell r="A2850">
            <v>769661</v>
          </cell>
          <cell r="B2850">
            <v>0</v>
          </cell>
          <cell r="C2850">
            <v>0</v>
          </cell>
          <cell r="D2850" t="str">
            <v>לעדכן</v>
          </cell>
        </row>
        <row r="2851">
          <cell r="A2851">
            <v>770529</v>
          </cell>
          <cell r="B2851">
            <v>0</v>
          </cell>
          <cell r="C2851">
            <v>0</v>
          </cell>
          <cell r="D2851" t="str">
            <v>לעדכן</v>
          </cell>
        </row>
        <row r="2852">
          <cell r="A2852">
            <v>771998</v>
          </cell>
          <cell r="B2852">
            <v>0</v>
          </cell>
          <cell r="C2852">
            <v>0</v>
          </cell>
          <cell r="D2852" t="str">
            <v>לעדכן</v>
          </cell>
        </row>
        <row r="2853">
          <cell r="A2853">
            <v>772046</v>
          </cell>
          <cell r="B2853">
            <v>0</v>
          </cell>
          <cell r="C2853">
            <v>0</v>
          </cell>
          <cell r="D2853" t="str">
            <v>לעדכן</v>
          </cell>
        </row>
        <row r="2854">
          <cell r="A2854">
            <v>772228</v>
          </cell>
          <cell r="B2854">
            <v>0</v>
          </cell>
          <cell r="C2854">
            <v>0</v>
          </cell>
          <cell r="D2854" t="str">
            <v>לעדכן</v>
          </cell>
        </row>
        <row r="2855">
          <cell r="A2855">
            <v>779173</v>
          </cell>
          <cell r="B2855">
            <v>0</v>
          </cell>
          <cell r="C2855">
            <v>0</v>
          </cell>
          <cell r="D2855" t="str">
            <v>לעדכן</v>
          </cell>
        </row>
        <row r="2856">
          <cell r="A2856">
            <v>785147</v>
          </cell>
          <cell r="B2856">
            <v>0</v>
          </cell>
          <cell r="C2856">
            <v>0</v>
          </cell>
          <cell r="D2856" t="str">
            <v>לעדכן</v>
          </cell>
        </row>
        <row r="2857">
          <cell r="A2857">
            <v>785717</v>
          </cell>
          <cell r="B2857">
            <v>0</v>
          </cell>
          <cell r="C2857">
            <v>0</v>
          </cell>
          <cell r="D2857" t="str">
            <v>לעדכן</v>
          </cell>
        </row>
        <row r="2858">
          <cell r="A2858">
            <v>785758</v>
          </cell>
          <cell r="B2858">
            <v>0</v>
          </cell>
          <cell r="C2858">
            <v>0</v>
          </cell>
          <cell r="D2858" t="str">
            <v>לעדכן</v>
          </cell>
        </row>
        <row r="2859">
          <cell r="A2859">
            <v>786640</v>
          </cell>
          <cell r="B2859">
            <v>0</v>
          </cell>
          <cell r="C2859">
            <v>0</v>
          </cell>
          <cell r="D2859" t="str">
            <v>לעדכן</v>
          </cell>
        </row>
        <row r="2860">
          <cell r="A2860">
            <v>786657</v>
          </cell>
          <cell r="B2860">
            <v>0</v>
          </cell>
          <cell r="C2860">
            <v>0</v>
          </cell>
          <cell r="D2860" t="str">
            <v>לעדכן</v>
          </cell>
        </row>
        <row r="2861">
          <cell r="A2861">
            <v>786699</v>
          </cell>
          <cell r="B2861">
            <v>0</v>
          </cell>
          <cell r="C2861">
            <v>0</v>
          </cell>
          <cell r="D2861" t="str">
            <v>לעדכן</v>
          </cell>
        </row>
        <row r="2862">
          <cell r="A2862">
            <v>788703</v>
          </cell>
          <cell r="B2862">
            <v>0</v>
          </cell>
          <cell r="C2862">
            <v>0</v>
          </cell>
          <cell r="D2862" t="str">
            <v>לעדכן</v>
          </cell>
        </row>
        <row r="2863">
          <cell r="A2863">
            <v>788711</v>
          </cell>
          <cell r="B2863">
            <v>0</v>
          </cell>
          <cell r="C2863">
            <v>0</v>
          </cell>
          <cell r="D2863" t="str">
            <v>לעדכן</v>
          </cell>
        </row>
        <row r="2864">
          <cell r="A2864">
            <v>789099</v>
          </cell>
          <cell r="B2864">
            <v>0</v>
          </cell>
          <cell r="C2864">
            <v>0</v>
          </cell>
          <cell r="D2864" t="str">
            <v>לעדכן</v>
          </cell>
        </row>
        <row r="2865">
          <cell r="A2865">
            <v>789438</v>
          </cell>
          <cell r="B2865">
            <v>0</v>
          </cell>
          <cell r="C2865">
            <v>0</v>
          </cell>
          <cell r="D2865" t="str">
            <v>לעדכן</v>
          </cell>
        </row>
        <row r="2866">
          <cell r="A2866">
            <v>789735</v>
          </cell>
          <cell r="B2866">
            <v>0</v>
          </cell>
          <cell r="C2866">
            <v>0</v>
          </cell>
          <cell r="D2866" t="str">
            <v>לעדכן</v>
          </cell>
        </row>
        <row r="2867">
          <cell r="A2867">
            <v>789776</v>
          </cell>
          <cell r="B2867">
            <v>0</v>
          </cell>
          <cell r="C2867">
            <v>0</v>
          </cell>
          <cell r="D2867" t="str">
            <v>לעדכן</v>
          </cell>
        </row>
        <row r="2868">
          <cell r="A2868">
            <v>790386</v>
          </cell>
          <cell r="B2868">
            <v>0</v>
          </cell>
          <cell r="C2868">
            <v>0</v>
          </cell>
          <cell r="D2868" t="str">
            <v>לעדכן</v>
          </cell>
        </row>
        <row r="2869">
          <cell r="A2869">
            <v>790550</v>
          </cell>
          <cell r="B2869">
            <v>0</v>
          </cell>
          <cell r="C2869">
            <v>0</v>
          </cell>
          <cell r="D2869" t="str">
            <v>לעדכן</v>
          </cell>
        </row>
        <row r="2870">
          <cell r="A2870">
            <v>794222</v>
          </cell>
          <cell r="B2870">
            <v>0</v>
          </cell>
          <cell r="C2870">
            <v>0</v>
          </cell>
          <cell r="D2870" t="str">
            <v>לעדכן</v>
          </cell>
        </row>
        <row r="2871">
          <cell r="A2871">
            <v>796516</v>
          </cell>
          <cell r="B2871">
            <v>0</v>
          </cell>
          <cell r="C2871">
            <v>0</v>
          </cell>
          <cell r="D2871" t="str">
            <v>לעדכן</v>
          </cell>
        </row>
        <row r="2872">
          <cell r="A2872">
            <v>796581</v>
          </cell>
          <cell r="B2872">
            <v>0</v>
          </cell>
          <cell r="C2872">
            <v>0</v>
          </cell>
          <cell r="D2872" t="str">
            <v>לעדכן</v>
          </cell>
        </row>
        <row r="2873">
          <cell r="A2873">
            <v>797001</v>
          </cell>
          <cell r="B2873">
            <v>0</v>
          </cell>
          <cell r="C2873">
            <v>0</v>
          </cell>
          <cell r="D2873" t="str">
            <v>לעדכן</v>
          </cell>
        </row>
        <row r="2874">
          <cell r="A2874">
            <v>797639</v>
          </cell>
          <cell r="B2874">
            <v>0</v>
          </cell>
          <cell r="C2874">
            <v>0</v>
          </cell>
          <cell r="D2874" t="str">
            <v>לעדכן</v>
          </cell>
        </row>
        <row r="2875">
          <cell r="A2875">
            <v>797845</v>
          </cell>
          <cell r="B2875">
            <v>0</v>
          </cell>
          <cell r="C2875">
            <v>0</v>
          </cell>
          <cell r="D2875" t="str">
            <v>לעדכן</v>
          </cell>
        </row>
        <row r="2876">
          <cell r="A2876">
            <v>798074</v>
          </cell>
          <cell r="B2876">
            <v>0</v>
          </cell>
          <cell r="C2876">
            <v>0</v>
          </cell>
          <cell r="D2876" t="str">
            <v>לעדכן</v>
          </cell>
        </row>
        <row r="2877">
          <cell r="A2877">
            <v>798496</v>
          </cell>
          <cell r="B2877">
            <v>0</v>
          </cell>
          <cell r="C2877">
            <v>0</v>
          </cell>
          <cell r="D2877" t="str">
            <v>לעדכן</v>
          </cell>
        </row>
        <row r="2878">
          <cell r="A2878">
            <v>798504</v>
          </cell>
          <cell r="B2878">
            <v>0</v>
          </cell>
          <cell r="C2878">
            <v>0</v>
          </cell>
          <cell r="D2878" t="str">
            <v>לעדכן</v>
          </cell>
        </row>
        <row r="2879">
          <cell r="A2879">
            <v>799205</v>
          </cell>
          <cell r="B2879">
            <v>0</v>
          </cell>
          <cell r="C2879">
            <v>0</v>
          </cell>
          <cell r="D2879" t="str">
            <v>לעדכן</v>
          </cell>
        </row>
        <row r="2880">
          <cell r="A2880">
            <v>799221</v>
          </cell>
          <cell r="B2880">
            <v>0</v>
          </cell>
          <cell r="C2880">
            <v>0</v>
          </cell>
          <cell r="D2880" t="str">
            <v>לעדכן</v>
          </cell>
        </row>
        <row r="2881">
          <cell r="A2881">
            <v>799981</v>
          </cell>
          <cell r="B2881">
            <v>0</v>
          </cell>
          <cell r="C2881">
            <v>0</v>
          </cell>
          <cell r="D2881" t="str">
            <v>לעדכן</v>
          </cell>
        </row>
        <row r="2882">
          <cell r="A2882">
            <v>809426</v>
          </cell>
          <cell r="B2882">
            <v>0</v>
          </cell>
          <cell r="C2882">
            <v>0</v>
          </cell>
          <cell r="D2882" t="str">
            <v>לעדכן</v>
          </cell>
        </row>
        <row r="2883">
          <cell r="A2883">
            <v>810028</v>
          </cell>
          <cell r="B2883">
            <v>0</v>
          </cell>
          <cell r="C2883">
            <v>0</v>
          </cell>
          <cell r="D2883" t="str">
            <v>לעדכן</v>
          </cell>
        </row>
        <row r="2884">
          <cell r="A2884">
            <v>810077</v>
          </cell>
          <cell r="B2884">
            <v>0</v>
          </cell>
          <cell r="C2884">
            <v>0</v>
          </cell>
          <cell r="D2884" t="str">
            <v>לעדכן</v>
          </cell>
        </row>
        <row r="2885">
          <cell r="A2885">
            <v>810325</v>
          </cell>
          <cell r="B2885">
            <v>0</v>
          </cell>
          <cell r="C2885">
            <v>0</v>
          </cell>
          <cell r="D2885" t="str">
            <v>לעדכן</v>
          </cell>
        </row>
        <row r="2886">
          <cell r="A2886">
            <v>810481</v>
          </cell>
          <cell r="B2886">
            <v>0</v>
          </cell>
          <cell r="C2886">
            <v>0</v>
          </cell>
          <cell r="D2886" t="str">
            <v>לעדכן</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נתוני מוסד"/>
      <sheetName val="גיליון2"/>
      <sheetName val="מקצועות לימוד"/>
      <sheetName val="קבוצות לימוד"/>
      <sheetName val="צוות הוראה"/>
      <sheetName val="נתוני תלמידים"/>
      <sheetName val="מעובד"/>
      <sheetName val="מפתח רשויות"/>
    </sheetNames>
    <sheetDataSet>
      <sheetData sheetId="0"/>
      <sheetData sheetId="1"/>
      <sheetData sheetId="2"/>
      <sheetData sheetId="3"/>
      <sheetData sheetId="4"/>
      <sheetData sheetId="5"/>
      <sheetData sheetId="6">
        <row r="1">
          <cell r="D1" t="str">
            <v>סמל מוסד</v>
          </cell>
          <cell r="E1" t="str">
            <v>רשות/בעלות</v>
          </cell>
          <cell r="F1" t="str">
            <v>שם מוסד</v>
          </cell>
          <cell r="G1" t="str">
            <v>שלב חינוך</v>
          </cell>
          <cell r="H1" t="str">
            <v>רישום ד</v>
          </cell>
          <cell r="I1" t="str">
            <v>רישום ה</v>
          </cell>
          <cell r="J1" t="str">
            <v>רישום ו</v>
          </cell>
          <cell r="K1" t="str">
            <v>סה"כ פוטנציאל ד-ו</v>
          </cell>
          <cell r="L1" t="str">
            <v>סה"כ רישום ד-ו</v>
          </cell>
        </row>
        <row r="2">
          <cell r="D2">
            <v>211961</v>
          </cell>
          <cell r="E2" t="str">
            <v>רשות</v>
          </cell>
          <cell r="F2" t="str">
            <v>ממד נעם מוריה</v>
          </cell>
          <cell r="G2" t="str">
            <v>יסודי בלבד</v>
          </cell>
          <cell r="H2" t="str">
            <v>כן</v>
          </cell>
          <cell r="I2" t="str">
            <v>כן</v>
          </cell>
          <cell r="J2" t="str">
            <v>כן</v>
          </cell>
          <cell r="K2">
            <v>50</v>
          </cell>
          <cell r="L2">
            <v>50</v>
          </cell>
        </row>
        <row r="3">
          <cell r="D3">
            <v>212142</v>
          </cell>
          <cell r="E3" t="str">
            <v>רשות</v>
          </cell>
          <cell r="F3" t="str">
            <v>וילקומיץ</v>
          </cell>
          <cell r="G3" t="str">
            <v>יסודי בלבד</v>
          </cell>
          <cell r="H3" t="str">
            <v>כן</v>
          </cell>
          <cell r="I3" t="str">
            <v>כן</v>
          </cell>
          <cell r="J3" t="str">
            <v>כן</v>
          </cell>
          <cell r="K3">
            <v>69</v>
          </cell>
          <cell r="L3">
            <v>69</v>
          </cell>
        </row>
        <row r="4">
          <cell r="D4">
            <v>213751</v>
          </cell>
          <cell r="E4" t="str">
            <v>רשות</v>
          </cell>
          <cell r="F4" t="str">
            <v>אשכול</v>
          </cell>
          <cell r="G4" t="str">
            <v>יסודי בלבד</v>
          </cell>
          <cell r="H4" t="str">
            <v>כן</v>
          </cell>
          <cell r="I4" t="str">
            <v>כן</v>
          </cell>
          <cell r="J4" t="str">
            <v>כן</v>
          </cell>
          <cell r="K4">
            <v>114</v>
          </cell>
          <cell r="L4">
            <v>114</v>
          </cell>
        </row>
        <row r="5">
          <cell r="D5">
            <v>615955</v>
          </cell>
          <cell r="E5" t="str">
            <v>רשות</v>
          </cell>
          <cell r="G5" t="str">
            <v>יסודי בלבד</v>
          </cell>
          <cell r="H5"/>
          <cell r="I5"/>
          <cell r="J5"/>
        </row>
        <row r="6">
          <cell r="D6">
            <v>313759</v>
          </cell>
          <cell r="E6" t="str">
            <v>רשות</v>
          </cell>
          <cell r="F6" t="str">
            <v>מ"מ רעות</v>
          </cell>
          <cell r="G6" t="str">
            <v>יסודי בלבד</v>
          </cell>
          <cell r="H6" t="str">
            <v>כן</v>
          </cell>
          <cell r="I6" t="str">
            <v>כן</v>
          </cell>
          <cell r="J6" t="str">
            <v>כן</v>
          </cell>
          <cell r="K6">
            <v>278</v>
          </cell>
          <cell r="L6">
            <v>278</v>
          </cell>
        </row>
        <row r="7">
          <cell r="D7">
            <v>357467</v>
          </cell>
          <cell r="E7" t="str">
            <v>רשות</v>
          </cell>
          <cell r="F7" t="str">
            <v>ניצני רעות</v>
          </cell>
          <cell r="G7" t="str">
            <v>יסודי בלבד</v>
          </cell>
          <cell r="H7" t="str">
            <v>כן</v>
          </cell>
          <cell r="I7" t="str">
            <v>כן</v>
          </cell>
          <cell r="J7" t="str">
            <v>כן</v>
          </cell>
          <cell r="K7">
            <v>283</v>
          </cell>
          <cell r="L7">
            <v>283</v>
          </cell>
        </row>
        <row r="8">
          <cell r="D8">
            <v>384313</v>
          </cell>
          <cell r="E8" t="str">
            <v>רשות</v>
          </cell>
          <cell r="F8" t="str">
            <v>שבילי רעות</v>
          </cell>
          <cell r="G8" t="str">
            <v>יסודי בלבד</v>
          </cell>
          <cell r="H8" t="str">
            <v>כן</v>
          </cell>
          <cell r="I8" t="str">
            <v>כן</v>
          </cell>
          <cell r="J8" t="str">
            <v>כן</v>
          </cell>
          <cell r="K8">
            <v>284</v>
          </cell>
          <cell r="L8">
            <v>284</v>
          </cell>
        </row>
        <row r="9">
          <cell r="D9">
            <v>219568</v>
          </cell>
          <cell r="E9" t="str">
            <v>רשות</v>
          </cell>
          <cell r="F9" t="str">
            <v>אל זייתון</v>
          </cell>
          <cell r="G9" t="str">
            <v>יסודי בלבד</v>
          </cell>
          <cell r="H9" t="str">
            <v>כן</v>
          </cell>
          <cell r="I9" t="str">
            <v>כן</v>
          </cell>
          <cell r="J9" t="str">
            <v>כן</v>
          </cell>
          <cell r="K9">
            <v>154</v>
          </cell>
          <cell r="L9">
            <v>105</v>
          </cell>
        </row>
        <row r="10">
          <cell r="D10">
            <v>210484</v>
          </cell>
          <cell r="E10" t="str">
            <v>רשות</v>
          </cell>
          <cell r="F10" t="str">
            <v>יד לחמישה -דבורה</v>
          </cell>
          <cell r="G10" t="str">
            <v>יסודי בלבד</v>
          </cell>
          <cell r="H10" t="str">
            <v>כן</v>
          </cell>
          <cell r="I10" t="str">
            <v>כן</v>
          </cell>
          <cell r="J10" t="str">
            <v>כן</v>
          </cell>
          <cell r="K10">
            <v>267</v>
          </cell>
          <cell r="L10">
            <v>45</v>
          </cell>
        </row>
        <row r="11">
          <cell r="D11">
            <v>618223</v>
          </cell>
          <cell r="E11" t="str">
            <v>רשות</v>
          </cell>
          <cell r="F11" t="str">
            <v>אבו בכר א'</v>
          </cell>
          <cell r="G11" t="str">
            <v>יסודי בלבד</v>
          </cell>
          <cell r="H11" t="str">
            <v>כן</v>
          </cell>
          <cell r="I11" t="str">
            <v>כן</v>
          </cell>
          <cell r="J11" t="str">
            <v>כן</v>
          </cell>
          <cell r="K11">
            <v>309</v>
          </cell>
          <cell r="L11">
            <v>309</v>
          </cell>
        </row>
        <row r="12">
          <cell r="D12">
            <v>413500</v>
          </cell>
          <cell r="E12" t="str">
            <v>רשות</v>
          </cell>
          <cell r="F12" t="str">
            <v>נתן אלבז</v>
          </cell>
          <cell r="G12" t="str">
            <v>יסודי בלבד</v>
          </cell>
          <cell r="H12" t="str">
            <v>כן</v>
          </cell>
          <cell r="I12" t="str">
            <v>לא</v>
          </cell>
          <cell r="J12" t="str">
            <v>כן</v>
          </cell>
          <cell r="K12">
            <v>72</v>
          </cell>
          <cell r="L12">
            <v>71</v>
          </cell>
        </row>
        <row r="13">
          <cell r="D13">
            <v>618454</v>
          </cell>
          <cell r="E13" t="str">
            <v>רשות</v>
          </cell>
          <cell r="F13" t="str">
            <v>יסודי כוחלה</v>
          </cell>
          <cell r="G13" t="str">
            <v>יסודי בלבד</v>
          </cell>
          <cell r="H13" t="str">
            <v>כן</v>
          </cell>
          <cell r="I13" t="str">
            <v>כן</v>
          </cell>
          <cell r="J13" t="str">
            <v>כן</v>
          </cell>
          <cell r="K13">
            <v>66</v>
          </cell>
          <cell r="L13">
            <v>66</v>
          </cell>
        </row>
        <row r="14">
          <cell r="D14">
            <v>211912</v>
          </cell>
          <cell r="E14" t="str">
            <v>רשות</v>
          </cell>
          <cell r="F14" t="str">
            <v>אלון יזרעאל-עפולה</v>
          </cell>
          <cell r="G14" t="str">
            <v>יסודי בלבד</v>
          </cell>
          <cell r="H14" t="str">
            <v>כן</v>
          </cell>
          <cell r="I14" t="str">
            <v>כן</v>
          </cell>
          <cell r="J14" t="str">
            <v>כן</v>
          </cell>
          <cell r="K14">
            <v>242</v>
          </cell>
          <cell r="L14">
            <v>76</v>
          </cell>
        </row>
        <row r="15">
          <cell r="D15">
            <v>415943</v>
          </cell>
          <cell r="E15" t="str">
            <v>רשות</v>
          </cell>
          <cell r="F15" t="str">
            <v>מיתרים</v>
          </cell>
          <cell r="G15" t="str">
            <v>יסודי בלבד</v>
          </cell>
          <cell r="H15" t="str">
            <v>כן</v>
          </cell>
          <cell r="I15" t="str">
            <v>כן</v>
          </cell>
          <cell r="J15" t="str">
            <v>כן</v>
          </cell>
          <cell r="K15">
            <v>149</v>
          </cell>
          <cell r="L15">
            <v>82</v>
          </cell>
        </row>
        <row r="16">
          <cell r="D16">
            <v>111724</v>
          </cell>
          <cell r="E16" t="str">
            <v>רשות</v>
          </cell>
          <cell r="F16" t="str">
            <v>בית חורון</v>
          </cell>
          <cell r="G16" t="str">
            <v>יסודי בלבד</v>
          </cell>
          <cell r="H16" t="str">
            <v>כן</v>
          </cell>
          <cell r="I16" t="str">
            <v>כן</v>
          </cell>
          <cell r="J16" t="str">
            <v>כן</v>
          </cell>
          <cell r="K16">
            <v>107</v>
          </cell>
          <cell r="L16">
            <v>84</v>
          </cell>
        </row>
        <row r="17">
          <cell r="D17">
            <v>610733</v>
          </cell>
          <cell r="E17" t="str">
            <v>רשות</v>
          </cell>
          <cell r="F17" t="str">
            <v>מבועים</v>
          </cell>
          <cell r="G17" t="str">
            <v>יסודי בלבד</v>
          </cell>
          <cell r="H17" t="str">
            <v>כן</v>
          </cell>
          <cell r="I17" t="str">
            <v>כן</v>
          </cell>
          <cell r="J17" t="str">
            <v>כן</v>
          </cell>
          <cell r="K17">
            <v>302</v>
          </cell>
          <cell r="L17">
            <v>122</v>
          </cell>
        </row>
        <row r="18">
          <cell r="D18">
            <v>611855</v>
          </cell>
          <cell r="E18" t="str">
            <v>רשות</v>
          </cell>
          <cell r="F18" t="str">
            <v>נגב סיני</v>
          </cell>
          <cell r="G18" t="str">
            <v>יסודי בלבד</v>
          </cell>
          <cell r="H18" t="str">
            <v>כן</v>
          </cell>
          <cell r="I18" t="str">
            <v>כן</v>
          </cell>
          <cell r="J18" t="str">
            <v>כן</v>
          </cell>
          <cell r="K18">
            <v>157</v>
          </cell>
          <cell r="L18">
            <v>93</v>
          </cell>
        </row>
        <row r="19">
          <cell r="D19">
            <v>614727</v>
          </cell>
          <cell r="E19" t="str">
            <v>רשות</v>
          </cell>
          <cell r="F19" t="str">
            <v>מדעי תורני</v>
          </cell>
          <cell r="G19" t="str">
            <v>יסודי בלבד</v>
          </cell>
          <cell r="H19" t="str">
            <v>כן</v>
          </cell>
          <cell r="I19" t="str">
            <v>כן</v>
          </cell>
          <cell r="J19" t="str">
            <v>לא</v>
          </cell>
          <cell r="K19">
            <v>107</v>
          </cell>
          <cell r="L19">
            <v>55</v>
          </cell>
        </row>
        <row r="20">
          <cell r="D20">
            <v>614768</v>
          </cell>
          <cell r="E20" t="str">
            <v/>
          </cell>
          <cell r="F20" t="str">
            <v>מוריה</v>
          </cell>
          <cell r="G20" t="str">
            <v>יסודי בלבד</v>
          </cell>
          <cell r="H20" t="str">
            <v>כן</v>
          </cell>
          <cell r="I20" t="str">
            <v>כן</v>
          </cell>
          <cell r="J20" t="str">
            <v>כן</v>
          </cell>
          <cell r="K20">
            <v>244</v>
          </cell>
          <cell r="L20">
            <v>172</v>
          </cell>
        </row>
        <row r="21">
          <cell r="D21">
            <v>612358</v>
          </cell>
          <cell r="E21" t="str">
            <v>רשות</v>
          </cell>
          <cell r="F21" t="str">
            <v>טללים</v>
          </cell>
          <cell r="G21" t="str">
            <v>יסודי בלבד</v>
          </cell>
          <cell r="H21" t="str">
            <v>כן</v>
          </cell>
          <cell r="I21" t="str">
            <v>כן</v>
          </cell>
          <cell r="J21" t="str">
            <v>כן</v>
          </cell>
          <cell r="K21">
            <v>83</v>
          </cell>
          <cell r="L21">
            <v>42</v>
          </cell>
        </row>
        <row r="22">
          <cell r="D22">
            <v>611558</v>
          </cell>
          <cell r="E22" t="str">
            <v>רשות</v>
          </cell>
          <cell r="F22" t="str">
            <v>גנזי המלך</v>
          </cell>
          <cell r="G22" t="str">
            <v>יסודי בלבד</v>
          </cell>
          <cell r="H22" t="str">
            <v>כן</v>
          </cell>
          <cell r="I22" t="str">
            <v>כן</v>
          </cell>
          <cell r="J22" t="str">
            <v>כן</v>
          </cell>
          <cell r="K22">
            <v>65</v>
          </cell>
          <cell r="L22">
            <v>63</v>
          </cell>
        </row>
        <row r="23">
          <cell r="D23">
            <v>112516</v>
          </cell>
          <cell r="E23" t="str">
            <v>רשות</v>
          </cell>
          <cell r="F23" t="str">
            <v>מבוא חורון</v>
          </cell>
          <cell r="G23" t="str">
            <v>יסודי בלבד</v>
          </cell>
          <cell r="H23" t="str">
            <v>כן</v>
          </cell>
          <cell r="I23" t="str">
            <v>כן</v>
          </cell>
          <cell r="J23" t="str">
            <v>כן</v>
          </cell>
          <cell r="K23">
            <v>95</v>
          </cell>
          <cell r="L23">
            <v>89</v>
          </cell>
        </row>
        <row r="24">
          <cell r="D24">
            <v>414409</v>
          </cell>
          <cell r="E24" t="str">
            <v>רשות</v>
          </cell>
          <cell r="F24" t="str">
            <v>בית חינוך קשת</v>
          </cell>
          <cell r="G24" t="str">
            <v>יסודי בלבד</v>
          </cell>
          <cell r="H24" t="str">
            <v>כן</v>
          </cell>
          <cell r="I24" t="str">
            <v>כן</v>
          </cell>
          <cell r="J24" t="str">
            <v>כן</v>
          </cell>
          <cell r="K24">
            <v>377</v>
          </cell>
          <cell r="L24">
            <v>162</v>
          </cell>
        </row>
        <row r="25">
          <cell r="D25">
            <v>410969</v>
          </cell>
          <cell r="E25" t="str">
            <v>רשות</v>
          </cell>
          <cell r="F25" t="str">
            <v>ממ"ד אוהל מאיר</v>
          </cell>
          <cell r="G25" t="str">
            <v>יסודי בלבד</v>
          </cell>
          <cell r="H25" t="str">
            <v>כן</v>
          </cell>
          <cell r="I25" t="str">
            <v>כן</v>
          </cell>
          <cell r="J25" t="str">
            <v>כן</v>
          </cell>
          <cell r="K25">
            <v>126</v>
          </cell>
          <cell r="L25">
            <v>56</v>
          </cell>
        </row>
        <row r="26">
          <cell r="D26">
            <v>610253</v>
          </cell>
          <cell r="E26" t="str">
            <v>רשות</v>
          </cell>
          <cell r="F26" t="str">
            <v>דגניה</v>
          </cell>
          <cell r="G26" t="str">
            <v>יסודי בלבד</v>
          </cell>
          <cell r="H26" t="str">
            <v>כן</v>
          </cell>
          <cell r="I26" t="str">
            <v>כן</v>
          </cell>
          <cell r="J26" t="str">
            <v>כן</v>
          </cell>
          <cell r="K26">
            <v>128</v>
          </cell>
          <cell r="L26">
            <v>52</v>
          </cell>
        </row>
        <row r="27">
          <cell r="D27">
            <v>613315</v>
          </cell>
          <cell r="E27" t="str">
            <v>רשות</v>
          </cell>
          <cell r="F27" t="str">
            <v>אשכול</v>
          </cell>
          <cell r="G27" t="str">
            <v>יסודי בלבד</v>
          </cell>
          <cell r="H27" t="str">
            <v>כן</v>
          </cell>
          <cell r="I27" t="str">
            <v>כן</v>
          </cell>
          <cell r="J27" t="str">
            <v>כן</v>
          </cell>
          <cell r="K27">
            <v>208</v>
          </cell>
          <cell r="L27">
            <v>96</v>
          </cell>
        </row>
        <row r="28">
          <cell r="D28">
            <v>318311</v>
          </cell>
          <cell r="E28" t="str">
            <v>רשות</v>
          </cell>
          <cell r="F28" t="str">
            <v>ערערה אלסלאם</v>
          </cell>
          <cell r="G28" t="str">
            <v>יסודי בלבד</v>
          </cell>
          <cell r="H28" t="str">
            <v>כן</v>
          </cell>
          <cell r="I28" t="str">
            <v>כן</v>
          </cell>
          <cell r="J28" t="str">
            <v>כן</v>
          </cell>
          <cell r="K28">
            <v>170</v>
          </cell>
          <cell r="L28">
            <v>45</v>
          </cell>
        </row>
        <row r="29">
          <cell r="D29">
            <v>614180</v>
          </cell>
          <cell r="E29" t="str">
            <v>רשות</v>
          </cell>
          <cell r="F29" t="str">
            <v>אלומות</v>
          </cell>
          <cell r="G29" t="str">
            <v>יסודי בלבד</v>
          </cell>
          <cell r="H29" t="str">
            <v>כן</v>
          </cell>
          <cell r="I29" t="str">
            <v>כן</v>
          </cell>
          <cell r="J29" t="str">
            <v>כן</v>
          </cell>
          <cell r="K29">
            <v>176</v>
          </cell>
          <cell r="L29">
            <v>61</v>
          </cell>
        </row>
        <row r="30">
          <cell r="D30">
            <v>614081</v>
          </cell>
          <cell r="E30" t="str">
            <v/>
          </cell>
          <cell r="F30" t="str">
            <v>רמות</v>
          </cell>
          <cell r="G30" t="str">
            <v>יסודי בלבד</v>
          </cell>
          <cell r="H30" t="str">
            <v>לא</v>
          </cell>
          <cell r="I30" t="str">
            <v>לא</v>
          </cell>
          <cell r="J30" t="str">
            <v>לא</v>
          </cell>
          <cell r="K30">
            <v>0</v>
          </cell>
          <cell r="L30">
            <v>0</v>
          </cell>
        </row>
        <row r="31">
          <cell r="D31">
            <v>415398</v>
          </cell>
          <cell r="E31" t="str">
            <v>רשות</v>
          </cell>
          <cell r="F31" t="str">
            <v>מישור הנוף</v>
          </cell>
          <cell r="G31" t="str">
            <v>יסודי בלבד</v>
          </cell>
          <cell r="H31" t="str">
            <v>כן</v>
          </cell>
          <cell r="I31" t="str">
            <v>כן</v>
          </cell>
          <cell r="J31" t="str">
            <v>כן</v>
          </cell>
          <cell r="K31">
            <v>175</v>
          </cell>
          <cell r="L31">
            <v>75</v>
          </cell>
        </row>
        <row r="32">
          <cell r="D32">
            <v>430546</v>
          </cell>
          <cell r="E32" t="str">
            <v>רשות</v>
          </cell>
          <cell r="F32" t="str">
            <v>בי"ס עוזי חיטמן</v>
          </cell>
          <cell r="G32" t="str">
            <v>יסודי בלבד</v>
          </cell>
          <cell r="H32" t="str">
            <v>כן</v>
          </cell>
          <cell r="I32" t="str">
            <v>כן</v>
          </cell>
          <cell r="J32" t="str">
            <v>כן</v>
          </cell>
          <cell r="K32">
            <v>350</v>
          </cell>
          <cell r="L32">
            <v>120</v>
          </cell>
        </row>
        <row r="33">
          <cell r="D33">
            <v>614545</v>
          </cell>
          <cell r="E33" t="str">
            <v>רשות</v>
          </cell>
          <cell r="F33" t="str">
            <v>נווה מנחם ע"ש מ.בגין</v>
          </cell>
          <cell r="G33" t="str">
            <v>יסודי בלבד</v>
          </cell>
          <cell r="H33" t="str">
            <v>כן</v>
          </cell>
          <cell r="I33" t="str">
            <v>כן</v>
          </cell>
          <cell r="J33" t="str">
            <v>כן</v>
          </cell>
          <cell r="K33">
            <v>231</v>
          </cell>
          <cell r="L33">
            <v>57</v>
          </cell>
        </row>
        <row r="34">
          <cell r="D34">
            <v>218867</v>
          </cell>
          <cell r="E34" t="str">
            <v>רשות</v>
          </cell>
          <cell r="F34" t="str">
            <v>ערב אלחגאגרה</v>
          </cell>
          <cell r="G34" t="str">
            <v>יסודי בלבד</v>
          </cell>
          <cell r="H34" t="str">
            <v>כן</v>
          </cell>
          <cell r="I34" t="str">
            <v>כן</v>
          </cell>
          <cell r="J34" t="str">
            <v>כן</v>
          </cell>
          <cell r="K34">
            <v>103</v>
          </cell>
          <cell r="L34">
            <v>72</v>
          </cell>
        </row>
        <row r="35">
          <cell r="D35">
            <v>413302</v>
          </cell>
          <cell r="E35" t="str">
            <v>רשות</v>
          </cell>
          <cell r="F35" t="str">
            <v>רעות</v>
          </cell>
          <cell r="G35" t="str">
            <v>יסודי בלבד</v>
          </cell>
          <cell r="H35" t="str">
            <v>כן</v>
          </cell>
          <cell r="I35" t="str">
            <v>כן</v>
          </cell>
          <cell r="J35" t="str">
            <v>כן</v>
          </cell>
          <cell r="K35">
            <v>203</v>
          </cell>
          <cell r="L35">
            <v>99</v>
          </cell>
        </row>
        <row r="36">
          <cell r="D36">
            <v>413617</v>
          </cell>
          <cell r="E36" t="str">
            <v>רשות</v>
          </cell>
          <cell r="F36" t="str">
            <v>כרמים</v>
          </cell>
          <cell r="G36" t="str">
            <v>יסודי בלבד</v>
          </cell>
          <cell r="H36" t="str">
            <v>כן</v>
          </cell>
          <cell r="I36" t="str">
            <v>כן</v>
          </cell>
          <cell r="J36" t="str">
            <v>כן</v>
          </cell>
          <cell r="K36">
            <v>162</v>
          </cell>
          <cell r="L36">
            <v>55</v>
          </cell>
        </row>
        <row r="37">
          <cell r="D37">
            <v>610121</v>
          </cell>
          <cell r="E37" t="str">
            <v>רשות</v>
          </cell>
          <cell r="F37" t="str">
            <v>בית יחזקאל</v>
          </cell>
          <cell r="G37" t="str">
            <v>יסודי בלבד</v>
          </cell>
          <cell r="H37" t="str">
            <v>כן</v>
          </cell>
          <cell r="I37" t="str">
            <v>כן</v>
          </cell>
          <cell r="J37" t="str">
            <v>כן</v>
          </cell>
          <cell r="K37">
            <v>332</v>
          </cell>
          <cell r="L37">
            <v>112</v>
          </cell>
        </row>
        <row r="38">
          <cell r="D38">
            <v>614099</v>
          </cell>
          <cell r="E38" t="str">
            <v>רשות</v>
          </cell>
          <cell r="F38" t="str">
            <v>מנחם בגין</v>
          </cell>
          <cell r="G38" t="str">
            <v>יסודי בלבד</v>
          </cell>
          <cell r="H38" t="str">
            <v>כן</v>
          </cell>
          <cell r="I38" t="str">
            <v>כן</v>
          </cell>
          <cell r="J38" t="str">
            <v>כן</v>
          </cell>
          <cell r="K38">
            <v>242</v>
          </cell>
          <cell r="L38">
            <v>103</v>
          </cell>
        </row>
        <row r="39">
          <cell r="D39">
            <v>616516</v>
          </cell>
          <cell r="E39" t="str">
            <v>רשות</v>
          </cell>
          <cell r="F39" t="str">
            <v>שכונה 14</v>
          </cell>
          <cell r="G39" t="str">
            <v>יסודי בלבד</v>
          </cell>
          <cell r="H39" t="str">
            <v>כן</v>
          </cell>
          <cell r="I39" t="str">
            <v>כן</v>
          </cell>
          <cell r="J39" t="str">
            <v>כן</v>
          </cell>
          <cell r="K39">
            <v>215</v>
          </cell>
          <cell r="L39">
            <v>44</v>
          </cell>
        </row>
        <row r="40">
          <cell r="D40">
            <v>614404</v>
          </cell>
          <cell r="E40" t="str">
            <v>רשות</v>
          </cell>
          <cell r="F40" t="str">
            <v>כוכב הצפון</v>
          </cell>
          <cell r="G40" t="str">
            <v>יסודי בלבד</v>
          </cell>
          <cell r="H40" t="str">
            <v>כן</v>
          </cell>
          <cell r="I40" t="str">
            <v>כן</v>
          </cell>
          <cell r="J40" t="str">
            <v>לא</v>
          </cell>
          <cell r="K40">
            <v>216</v>
          </cell>
          <cell r="L40">
            <v>81</v>
          </cell>
        </row>
        <row r="41">
          <cell r="D41">
            <v>611939</v>
          </cell>
          <cell r="E41" t="str">
            <v/>
          </cell>
          <cell r="F41" t="str">
            <v>מצפה</v>
          </cell>
          <cell r="G41" t="str">
            <v>יסודי בלבד</v>
          </cell>
          <cell r="H41" t="str">
            <v>כן</v>
          </cell>
          <cell r="I41" t="str">
            <v>כן</v>
          </cell>
          <cell r="J41" t="str">
            <v>כן</v>
          </cell>
          <cell r="K41">
            <v>152</v>
          </cell>
          <cell r="L41">
            <v>81</v>
          </cell>
        </row>
        <row r="42">
          <cell r="D42">
            <v>317065</v>
          </cell>
          <cell r="E42" t="str">
            <v>רשות</v>
          </cell>
          <cell r="F42" t="str">
            <v>אלמותנבי</v>
          </cell>
          <cell r="G42" t="str">
            <v>יסודי בלבד</v>
          </cell>
          <cell r="H42" t="str">
            <v>כן</v>
          </cell>
          <cell r="I42" t="str">
            <v>כן</v>
          </cell>
          <cell r="J42" t="str">
            <v>כן</v>
          </cell>
          <cell r="K42">
            <v>211</v>
          </cell>
          <cell r="L42">
            <v>60</v>
          </cell>
        </row>
        <row r="43">
          <cell r="D43">
            <v>484360</v>
          </cell>
          <cell r="E43" t="str">
            <v>רשות</v>
          </cell>
          <cell r="F43" t="str">
            <v>נוריות</v>
          </cell>
          <cell r="G43" t="str">
            <v>יסודי בלבד</v>
          </cell>
          <cell r="H43" t="str">
            <v>כן</v>
          </cell>
          <cell r="I43" t="str">
            <v>כן</v>
          </cell>
          <cell r="J43" t="str">
            <v>לא</v>
          </cell>
          <cell r="K43">
            <v>77</v>
          </cell>
          <cell r="L43">
            <v>48</v>
          </cell>
        </row>
        <row r="44">
          <cell r="D44">
            <v>610899</v>
          </cell>
          <cell r="E44" t="str">
            <v>רשות</v>
          </cell>
          <cell r="F44" t="str">
            <v>ניצן</v>
          </cell>
          <cell r="G44" t="str">
            <v>יסודי בלבד</v>
          </cell>
          <cell r="H44" t="str">
            <v>כן</v>
          </cell>
          <cell r="I44" t="str">
            <v>כן</v>
          </cell>
          <cell r="J44" t="str">
            <v>כן</v>
          </cell>
          <cell r="K44">
            <v>261</v>
          </cell>
          <cell r="L44">
            <v>58</v>
          </cell>
        </row>
        <row r="45">
          <cell r="D45">
            <v>411942</v>
          </cell>
          <cell r="E45" t="str">
            <v>רשות</v>
          </cell>
          <cell r="F45" t="str">
            <v>ממ"ד סיני</v>
          </cell>
          <cell r="G45" t="str">
            <v>יסודי בלבד</v>
          </cell>
          <cell r="H45" t="str">
            <v>כן</v>
          </cell>
          <cell r="I45" t="str">
            <v>כן</v>
          </cell>
          <cell r="J45" t="str">
            <v>כן</v>
          </cell>
          <cell r="K45">
            <v>219</v>
          </cell>
          <cell r="L45">
            <v>80</v>
          </cell>
        </row>
        <row r="46">
          <cell r="D46">
            <v>219345</v>
          </cell>
          <cell r="E46" t="str">
            <v>רשות</v>
          </cell>
          <cell r="F46" t="str">
            <v>יסודי ואדי סלאמה</v>
          </cell>
          <cell r="G46" t="str">
            <v>יסודי בלבד</v>
          </cell>
          <cell r="H46" t="str">
            <v>כן</v>
          </cell>
          <cell r="I46" t="str">
            <v>כן</v>
          </cell>
          <cell r="J46" t="str">
            <v>כן</v>
          </cell>
          <cell r="K46">
            <v>201</v>
          </cell>
          <cell r="L46">
            <v>135</v>
          </cell>
        </row>
        <row r="47">
          <cell r="D47">
            <v>414151</v>
          </cell>
          <cell r="E47" t="str">
            <v>רשות</v>
          </cell>
          <cell r="F47" t="str">
            <v>חופית</v>
          </cell>
          <cell r="G47" t="str">
            <v>יסודי בלבד</v>
          </cell>
          <cell r="H47" t="str">
            <v>כן</v>
          </cell>
          <cell r="I47" t="str">
            <v>כן</v>
          </cell>
          <cell r="J47" t="str">
            <v>כן</v>
          </cell>
          <cell r="K47">
            <v>148</v>
          </cell>
          <cell r="L47">
            <v>89</v>
          </cell>
        </row>
        <row r="48">
          <cell r="D48">
            <v>618181</v>
          </cell>
          <cell r="E48" t="str">
            <v>רשות</v>
          </cell>
          <cell r="F48" t="str">
            <v>אלטורשאן</v>
          </cell>
          <cell r="G48" t="str">
            <v>יסודי בלבד</v>
          </cell>
          <cell r="H48" t="str">
            <v>כן</v>
          </cell>
          <cell r="I48" t="str">
            <v>כן</v>
          </cell>
          <cell r="J48" t="str">
            <v>כן</v>
          </cell>
          <cell r="K48">
            <v>437</v>
          </cell>
          <cell r="L48">
            <v>310</v>
          </cell>
        </row>
        <row r="49">
          <cell r="D49">
            <v>613448</v>
          </cell>
          <cell r="E49" t="str">
            <v>רשות</v>
          </cell>
          <cell r="F49" t="str">
            <v>אומנויות</v>
          </cell>
          <cell r="G49" t="str">
            <v>יסודי בלבד</v>
          </cell>
          <cell r="H49" t="str">
            <v>כן</v>
          </cell>
          <cell r="I49" t="str">
            <v>כן</v>
          </cell>
          <cell r="J49" t="str">
            <v>כן</v>
          </cell>
          <cell r="K49">
            <v>181</v>
          </cell>
          <cell r="L49">
            <v>52</v>
          </cell>
        </row>
        <row r="50">
          <cell r="D50">
            <v>611954</v>
          </cell>
          <cell r="E50" t="str">
            <v>רשות</v>
          </cell>
          <cell r="F50" t="str">
            <v>מצפה ברנע א</v>
          </cell>
          <cell r="G50" t="str">
            <v>יסודי בלבד</v>
          </cell>
          <cell r="H50" t="str">
            <v>כן</v>
          </cell>
          <cell r="I50" t="str">
            <v>כן</v>
          </cell>
          <cell r="J50" t="str">
            <v>כן</v>
          </cell>
          <cell r="K50">
            <v>454</v>
          </cell>
          <cell r="L50">
            <v>228</v>
          </cell>
        </row>
        <row r="51">
          <cell r="D51">
            <v>512673</v>
          </cell>
          <cell r="E51" t="str">
            <v>רשות</v>
          </cell>
          <cell r="F51" t="str">
            <v>יחד</v>
          </cell>
          <cell r="G51" t="str">
            <v>יסודי בלבד</v>
          </cell>
          <cell r="H51" t="str">
            <v>כן</v>
          </cell>
          <cell r="I51" t="str">
            <v>כן</v>
          </cell>
          <cell r="J51" t="str">
            <v>כן</v>
          </cell>
          <cell r="K51">
            <v>76</v>
          </cell>
          <cell r="L51">
            <v>35</v>
          </cell>
        </row>
        <row r="52">
          <cell r="D52">
            <v>581199</v>
          </cell>
          <cell r="E52" t="str">
            <v>רשות</v>
          </cell>
          <cell r="F52" t="str">
            <v>גוונים</v>
          </cell>
          <cell r="G52" t="str">
            <v>יסודי בלבד</v>
          </cell>
          <cell r="H52" t="str">
            <v>כן</v>
          </cell>
          <cell r="I52" t="str">
            <v>כן</v>
          </cell>
          <cell r="J52" t="str">
            <v>כן</v>
          </cell>
          <cell r="K52">
            <v>225</v>
          </cell>
          <cell r="L52">
            <v>78</v>
          </cell>
        </row>
        <row r="53">
          <cell r="D53">
            <v>645853</v>
          </cell>
          <cell r="E53" t="str">
            <v>רשות</v>
          </cell>
          <cell r="F53" t="str">
            <v>לב הפארק</v>
          </cell>
          <cell r="G53" t="str">
            <v>יסודי בלבד</v>
          </cell>
          <cell r="H53" t="str">
            <v>כן</v>
          </cell>
          <cell r="I53" t="str">
            <v>כן</v>
          </cell>
          <cell r="J53" t="str">
            <v>כן</v>
          </cell>
          <cell r="K53">
            <v>259</v>
          </cell>
          <cell r="L53">
            <v>144</v>
          </cell>
        </row>
        <row r="54">
          <cell r="D54">
            <v>630061</v>
          </cell>
          <cell r="E54" t="str">
            <v>רשות</v>
          </cell>
          <cell r="F54" t="str">
            <v>כלניות</v>
          </cell>
          <cell r="G54" t="str">
            <v>יסודי בלבד</v>
          </cell>
          <cell r="H54" t="str">
            <v>כן</v>
          </cell>
          <cell r="I54" t="str">
            <v>כן</v>
          </cell>
          <cell r="J54" t="str">
            <v>כן</v>
          </cell>
          <cell r="K54">
            <v>237</v>
          </cell>
          <cell r="L54">
            <v>119</v>
          </cell>
        </row>
        <row r="55">
          <cell r="D55">
            <v>615898</v>
          </cell>
          <cell r="E55" t="str">
            <v/>
          </cell>
          <cell r="F55" t="str">
            <v>נטע ארז</v>
          </cell>
          <cell r="G55" t="str">
            <v>יסודי בלבד</v>
          </cell>
          <cell r="H55" t="str">
            <v>לא</v>
          </cell>
          <cell r="I55" t="str">
            <v>לא</v>
          </cell>
          <cell r="J55" t="str">
            <v>לא</v>
          </cell>
          <cell r="K55">
            <v>0</v>
          </cell>
          <cell r="L55">
            <v>0</v>
          </cell>
        </row>
        <row r="56">
          <cell r="D56">
            <v>418269</v>
          </cell>
          <cell r="E56" t="str">
            <v>רשות</v>
          </cell>
          <cell r="F56" t="str">
            <v>אל זהרא</v>
          </cell>
          <cell r="G56" t="str">
            <v>יסודי בלבד</v>
          </cell>
          <cell r="H56" t="str">
            <v>כן</v>
          </cell>
          <cell r="I56" t="str">
            <v>כן</v>
          </cell>
          <cell r="J56" t="str">
            <v>כן</v>
          </cell>
          <cell r="K56">
            <v>294</v>
          </cell>
          <cell r="L56">
            <v>74</v>
          </cell>
        </row>
        <row r="57">
          <cell r="D57">
            <v>510529</v>
          </cell>
          <cell r="E57" t="str">
            <v>רשות</v>
          </cell>
          <cell r="F57" t="str">
            <v>משה הס</v>
          </cell>
          <cell r="G57" t="str">
            <v>יסודי בלבד</v>
          </cell>
          <cell r="H57" t="str">
            <v>כן</v>
          </cell>
          <cell r="I57" t="str">
            <v>כן</v>
          </cell>
          <cell r="J57" t="str">
            <v>לא</v>
          </cell>
          <cell r="K57">
            <v>121</v>
          </cell>
          <cell r="L57">
            <v>40</v>
          </cell>
        </row>
        <row r="58">
          <cell r="D58">
            <v>681106</v>
          </cell>
          <cell r="E58" t="str">
            <v>רשות</v>
          </cell>
          <cell r="F58" t="str">
            <v>חב"ד נתיבות</v>
          </cell>
          <cell r="G58" t="str">
            <v>יסודי בלבד</v>
          </cell>
          <cell r="H58" t="str">
            <v>כן</v>
          </cell>
          <cell r="I58" t="str">
            <v>כן</v>
          </cell>
          <cell r="J58" t="str">
            <v>כן</v>
          </cell>
          <cell r="K58">
            <v>81</v>
          </cell>
          <cell r="L58">
            <v>81</v>
          </cell>
        </row>
        <row r="59">
          <cell r="D59">
            <v>613216</v>
          </cell>
          <cell r="E59" t="str">
            <v/>
          </cell>
          <cell r="F59" t="str">
            <v>גולדה מאיר</v>
          </cell>
          <cell r="G59" t="str">
            <v>יסודי בלבד</v>
          </cell>
          <cell r="H59" t="str">
            <v>כן</v>
          </cell>
          <cell r="I59" t="str">
            <v>כן</v>
          </cell>
          <cell r="J59" t="str">
            <v>כן</v>
          </cell>
          <cell r="K59">
            <v>151</v>
          </cell>
          <cell r="L59">
            <v>55</v>
          </cell>
        </row>
        <row r="60">
          <cell r="D60">
            <v>612481</v>
          </cell>
          <cell r="E60" t="str">
            <v/>
          </cell>
          <cell r="F60" t="str">
            <v>תומר</v>
          </cell>
          <cell r="G60" t="str">
            <v>יסודי בלבד</v>
          </cell>
          <cell r="H60" t="str">
            <v>כן</v>
          </cell>
          <cell r="I60" t="str">
            <v>כן</v>
          </cell>
          <cell r="J60" t="str">
            <v>כן</v>
          </cell>
          <cell r="K60">
            <v>118</v>
          </cell>
          <cell r="L60">
            <v>46</v>
          </cell>
        </row>
        <row r="61">
          <cell r="D61">
            <v>618405</v>
          </cell>
          <cell r="E61" t="str">
            <v>רשות</v>
          </cell>
          <cell r="F61" t="str">
            <v>אלקאדיסיה</v>
          </cell>
          <cell r="G61" t="str">
            <v>יסודי בלבד</v>
          </cell>
          <cell r="H61" t="str">
            <v>כן</v>
          </cell>
          <cell r="I61" t="str">
            <v>כן</v>
          </cell>
          <cell r="J61" t="str">
            <v>כן</v>
          </cell>
          <cell r="K61">
            <v>241</v>
          </cell>
          <cell r="L61">
            <v>155</v>
          </cell>
        </row>
        <row r="62">
          <cell r="D62">
            <v>410894</v>
          </cell>
          <cell r="E62" t="str">
            <v>רשות</v>
          </cell>
          <cell r="F62" t="str">
            <v>רמז</v>
          </cell>
          <cell r="G62" t="str">
            <v>יסודי בלבד</v>
          </cell>
          <cell r="H62" t="str">
            <v>כן</v>
          </cell>
          <cell r="I62" t="str">
            <v>כן</v>
          </cell>
          <cell r="J62" t="str">
            <v>כן</v>
          </cell>
          <cell r="K62">
            <v>265</v>
          </cell>
          <cell r="L62">
            <v>86</v>
          </cell>
        </row>
        <row r="63">
          <cell r="D63">
            <v>610550</v>
          </cell>
          <cell r="E63" t="str">
            <v>רשות</v>
          </cell>
          <cell r="F63" t="str">
            <v>שפיר</v>
          </cell>
          <cell r="G63" t="str">
            <v>יסודי בלבד</v>
          </cell>
          <cell r="H63" t="str">
            <v>כן</v>
          </cell>
          <cell r="I63" t="str">
            <v>כן</v>
          </cell>
          <cell r="J63" t="str">
            <v>כן</v>
          </cell>
          <cell r="K63">
            <v>186</v>
          </cell>
          <cell r="L63">
            <v>42</v>
          </cell>
        </row>
        <row r="64">
          <cell r="D64">
            <v>610246</v>
          </cell>
          <cell r="E64" t="str">
            <v/>
          </cell>
          <cell r="F64" t="str">
            <v>בארי</v>
          </cell>
          <cell r="G64" t="str">
            <v>יסודי בלבד</v>
          </cell>
          <cell r="H64" t="str">
            <v>לא</v>
          </cell>
          <cell r="I64" t="str">
            <v>לא</v>
          </cell>
          <cell r="J64" t="str">
            <v>לא</v>
          </cell>
          <cell r="K64">
            <v>0</v>
          </cell>
          <cell r="L64">
            <v>0</v>
          </cell>
        </row>
        <row r="65">
          <cell r="D65">
            <v>614065</v>
          </cell>
          <cell r="E65" t="str">
            <v>רשות</v>
          </cell>
          <cell r="F65" t="str">
            <v>יובלים</v>
          </cell>
          <cell r="G65" t="str">
            <v>יסודי בלבד</v>
          </cell>
          <cell r="H65" t="str">
            <v>כן</v>
          </cell>
          <cell r="I65" t="str">
            <v>כן</v>
          </cell>
          <cell r="J65" t="str">
            <v>כן</v>
          </cell>
          <cell r="K65">
            <v>224</v>
          </cell>
          <cell r="L65">
            <v>52</v>
          </cell>
        </row>
        <row r="66">
          <cell r="D66">
            <v>414334</v>
          </cell>
          <cell r="E66" t="str">
            <v>רשות</v>
          </cell>
          <cell r="F66" t="str">
            <v>שקד</v>
          </cell>
          <cell r="G66" t="str">
            <v>יסודי בלבד</v>
          </cell>
          <cell r="H66" t="str">
            <v>כן</v>
          </cell>
          <cell r="I66" t="str">
            <v>כן</v>
          </cell>
          <cell r="J66" t="str">
            <v>כן</v>
          </cell>
          <cell r="K66">
            <v>229</v>
          </cell>
          <cell r="L66">
            <v>51</v>
          </cell>
        </row>
        <row r="67">
          <cell r="D67">
            <v>414128</v>
          </cell>
          <cell r="E67" t="str">
            <v/>
          </cell>
          <cell r="F67" t="str">
            <v>ב"י רזאל</v>
          </cell>
          <cell r="G67" t="str">
            <v>יסודי בלבד</v>
          </cell>
          <cell r="H67" t="str">
            <v>כן</v>
          </cell>
          <cell r="I67" t="str">
            <v>כן</v>
          </cell>
          <cell r="J67" t="str">
            <v>כן</v>
          </cell>
          <cell r="K67">
            <v>0</v>
          </cell>
          <cell r="L67">
            <v>42</v>
          </cell>
        </row>
        <row r="68">
          <cell r="D68">
            <v>513242</v>
          </cell>
          <cell r="E68" t="str">
            <v>רשות</v>
          </cell>
          <cell r="F68" t="str">
            <v>בן צבי</v>
          </cell>
          <cell r="G68" t="str">
            <v>יסודי בלבד</v>
          </cell>
          <cell r="H68" t="str">
            <v>כן</v>
          </cell>
          <cell r="I68" t="str">
            <v>כן</v>
          </cell>
          <cell r="J68" t="str">
            <v>כן</v>
          </cell>
          <cell r="K68">
            <v>285</v>
          </cell>
          <cell r="L68">
            <v>118</v>
          </cell>
        </row>
        <row r="69">
          <cell r="D69">
            <v>618314</v>
          </cell>
          <cell r="E69" t="str">
            <v>רשות</v>
          </cell>
          <cell r="F69" t="str">
            <v>איבן סינא ערערה</v>
          </cell>
          <cell r="G69" t="str">
            <v>יסודי בלבד</v>
          </cell>
          <cell r="H69" t="str">
            <v>כן</v>
          </cell>
          <cell r="I69" t="str">
            <v>כן</v>
          </cell>
          <cell r="J69" t="str">
            <v>כן</v>
          </cell>
          <cell r="K69">
            <v>331</v>
          </cell>
          <cell r="L69">
            <v>150</v>
          </cell>
        </row>
        <row r="70">
          <cell r="D70">
            <v>614610</v>
          </cell>
          <cell r="E70" t="str">
            <v>רשות</v>
          </cell>
          <cell r="F70" t="str">
            <v>עיר היין</v>
          </cell>
          <cell r="G70" t="str">
            <v>יסודי בלבד</v>
          </cell>
          <cell r="H70" t="str">
            <v>כן</v>
          </cell>
          <cell r="I70" t="str">
            <v>כן</v>
          </cell>
          <cell r="J70" t="str">
            <v>כן</v>
          </cell>
          <cell r="K70">
            <v>376</v>
          </cell>
          <cell r="L70">
            <v>153</v>
          </cell>
        </row>
        <row r="71">
          <cell r="D71">
            <v>618280</v>
          </cell>
          <cell r="E71" t="str">
            <v>רשות</v>
          </cell>
          <cell r="F71" t="str">
            <v>אבו ערר</v>
          </cell>
          <cell r="G71" t="str">
            <v>יסודי בלבד</v>
          </cell>
          <cell r="H71" t="str">
            <v>כן</v>
          </cell>
          <cell r="I71" t="str">
            <v>כן</v>
          </cell>
          <cell r="J71" t="str">
            <v>כן</v>
          </cell>
          <cell r="K71">
            <v>280</v>
          </cell>
          <cell r="L71">
            <v>225</v>
          </cell>
        </row>
        <row r="72">
          <cell r="D72">
            <v>610329</v>
          </cell>
          <cell r="E72" t="str">
            <v>רשות</v>
          </cell>
          <cell r="F72" t="str">
            <v>נתיבות-יורם</v>
          </cell>
          <cell r="G72" t="str">
            <v>יסודי בלבד</v>
          </cell>
          <cell r="H72" t="str">
            <v>כן</v>
          </cell>
          <cell r="I72" t="str">
            <v>כן</v>
          </cell>
          <cell r="J72" t="str">
            <v>כן</v>
          </cell>
          <cell r="K72">
            <v>230</v>
          </cell>
          <cell r="L72">
            <v>83</v>
          </cell>
        </row>
        <row r="73">
          <cell r="D73">
            <v>412635</v>
          </cell>
          <cell r="E73" t="str">
            <v>בעלות</v>
          </cell>
          <cell r="F73" t="str">
            <v>בית יעקב ראה"ע</v>
          </cell>
          <cell r="G73" t="str">
            <v>יסודי בלבד</v>
          </cell>
          <cell r="H73" t="str">
            <v>כן</v>
          </cell>
          <cell r="I73" t="str">
            <v>כן</v>
          </cell>
          <cell r="J73" t="str">
            <v>כן</v>
          </cell>
          <cell r="K73">
            <v>219</v>
          </cell>
          <cell r="L73">
            <v>138</v>
          </cell>
        </row>
        <row r="74">
          <cell r="D74">
            <v>613257</v>
          </cell>
          <cell r="E74" t="str">
            <v>רשות</v>
          </cell>
          <cell r="F74" t="str">
            <v>יצחק שדה</v>
          </cell>
          <cell r="G74" t="str">
            <v>יסודי בלבד</v>
          </cell>
          <cell r="H74" t="str">
            <v>כן</v>
          </cell>
          <cell r="I74" t="str">
            <v>כן</v>
          </cell>
          <cell r="J74" t="str">
            <v>כן</v>
          </cell>
          <cell r="K74">
            <v>129</v>
          </cell>
          <cell r="L74">
            <v>61</v>
          </cell>
        </row>
        <row r="75">
          <cell r="D75">
            <v>413807</v>
          </cell>
          <cell r="E75" t="str">
            <v>רשות</v>
          </cell>
          <cell r="F75" t="str">
            <v>איילים בנות</v>
          </cell>
          <cell r="G75" t="str">
            <v>יסודי בלבד</v>
          </cell>
          <cell r="H75" t="str">
            <v>כן</v>
          </cell>
          <cell r="I75" t="str">
            <v>כן</v>
          </cell>
          <cell r="J75" t="str">
            <v>כן</v>
          </cell>
          <cell r="K75">
            <v>71</v>
          </cell>
          <cell r="L75">
            <v>60</v>
          </cell>
        </row>
        <row r="76">
          <cell r="D76">
            <v>648741</v>
          </cell>
          <cell r="E76" t="str">
            <v>רשות</v>
          </cell>
          <cell r="F76" t="str">
            <v>ממ"ד הרצוג</v>
          </cell>
          <cell r="G76" t="str">
            <v>יסודי בלבד</v>
          </cell>
          <cell r="H76" t="str">
            <v>כן</v>
          </cell>
          <cell r="I76" t="str">
            <v>כן</v>
          </cell>
          <cell r="J76" t="str">
            <v>כן</v>
          </cell>
          <cell r="K76">
            <v>69</v>
          </cell>
          <cell r="L76">
            <v>53</v>
          </cell>
        </row>
        <row r="77">
          <cell r="D77">
            <v>613653</v>
          </cell>
          <cell r="E77" t="str">
            <v>רשות</v>
          </cell>
          <cell r="F77" t="str">
            <v>חב"ד</v>
          </cell>
          <cell r="G77" t="str">
            <v>יסודי בלבד</v>
          </cell>
          <cell r="H77" t="str">
            <v>כן</v>
          </cell>
          <cell r="I77" t="str">
            <v>כן</v>
          </cell>
          <cell r="J77" t="str">
            <v>כן</v>
          </cell>
          <cell r="K77">
            <v>95</v>
          </cell>
          <cell r="L77">
            <v>95</v>
          </cell>
        </row>
        <row r="78">
          <cell r="D78">
            <v>415265</v>
          </cell>
          <cell r="E78" t="str">
            <v>רשות</v>
          </cell>
          <cell r="F78" t="str">
            <v>בית חינוך רבין</v>
          </cell>
          <cell r="G78" t="str">
            <v>יסודי בלבד</v>
          </cell>
          <cell r="H78" t="str">
            <v>כן</v>
          </cell>
          <cell r="I78" t="str">
            <v>כן</v>
          </cell>
          <cell r="J78" t="str">
            <v>לא</v>
          </cell>
          <cell r="K78">
            <v>166</v>
          </cell>
          <cell r="L78">
            <v>65</v>
          </cell>
        </row>
        <row r="79">
          <cell r="D79">
            <v>613430</v>
          </cell>
          <cell r="E79" t="str">
            <v>רשות</v>
          </cell>
          <cell r="F79" t="str">
            <v>נתיבי עם</v>
          </cell>
          <cell r="G79" t="str">
            <v>יסודי בלבד</v>
          </cell>
          <cell r="H79" t="str">
            <v>כן</v>
          </cell>
          <cell r="I79" t="str">
            <v>כן</v>
          </cell>
          <cell r="J79" t="str">
            <v>כן</v>
          </cell>
          <cell r="K79">
            <v>195</v>
          </cell>
          <cell r="L79">
            <v>66</v>
          </cell>
        </row>
        <row r="80">
          <cell r="D80">
            <v>510503</v>
          </cell>
          <cell r="E80" t="str">
            <v>רשות</v>
          </cell>
          <cell r="F80" t="str">
            <v>א.ד.גורדון</v>
          </cell>
          <cell r="G80" t="str">
            <v>יסודי בלבד</v>
          </cell>
          <cell r="H80" t="str">
            <v>כן</v>
          </cell>
          <cell r="I80" t="str">
            <v>כן</v>
          </cell>
          <cell r="J80" t="str">
            <v>לא</v>
          </cell>
          <cell r="K80">
            <v>114</v>
          </cell>
          <cell r="L80">
            <v>64</v>
          </cell>
        </row>
        <row r="81">
          <cell r="D81">
            <v>410233</v>
          </cell>
          <cell r="E81" t="str">
            <v>רשות</v>
          </cell>
          <cell r="F81" t="str">
            <v>יצחק נבון</v>
          </cell>
          <cell r="G81" t="str">
            <v>יסודי בלבד</v>
          </cell>
          <cell r="H81" t="str">
            <v>כן</v>
          </cell>
          <cell r="I81" t="str">
            <v>כן</v>
          </cell>
          <cell r="J81" t="str">
            <v>כן</v>
          </cell>
          <cell r="K81">
            <v>210</v>
          </cell>
          <cell r="L81">
            <v>93</v>
          </cell>
        </row>
        <row r="82">
          <cell r="D82">
            <v>412262</v>
          </cell>
          <cell r="E82" t="str">
            <v>רשות</v>
          </cell>
          <cell r="F82" t="str">
            <v>בן גוריון</v>
          </cell>
          <cell r="G82" t="str">
            <v>יסודי בלבד</v>
          </cell>
          <cell r="H82" t="str">
            <v>כן</v>
          </cell>
          <cell r="I82" t="str">
            <v>כן</v>
          </cell>
          <cell r="J82" t="str">
            <v>כן</v>
          </cell>
          <cell r="K82">
            <v>303</v>
          </cell>
          <cell r="L82">
            <v>87</v>
          </cell>
        </row>
        <row r="83">
          <cell r="D83">
            <v>518019</v>
          </cell>
          <cell r="E83" t="str">
            <v>רשות</v>
          </cell>
          <cell r="F83" t="str">
            <v>חסן ערפה יפו</v>
          </cell>
          <cell r="G83" t="str">
            <v>יסודי בלבד</v>
          </cell>
          <cell r="H83" t="str">
            <v>כן</v>
          </cell>
          <cell r="I83" t="str">
            <v>כן</v>
          </cell>
          <cell r="J83" t="str">
            <v>כן</v>
          </cell>
          <cell r="K83">
            <v>156</v>
          </cell>
          <cell r="L83">
            <v>76</v>
          </cell>
        </row>
        <row r="84">
          <cell r="D84">
            <v>413344</v>
          </cell>
          <cell r="E84" t="str">
            <v>רשות</v>
          </cell>
          <cell r="F84" t="str">
            <v>אביבים</v>
          </cell>
          <cell r="G84" t="str">
            <v>יסודי בלבד</v>
          </cell>
          <cell r="H84" t="str">
            <v>כן</v>
          </cell>
          <cell r="I84" t="str">
            <v>כן</v>
          </cell>
          <cell r="J84" t="str">
            <v>כן</v>
          </cell>
          <cell r="K84">
            <v>130</v>
          </cell>
          <cell r="L84">
            <v>51</v>
          </cell>
        </row>
        <row r="85">
          <cell r="D85">
            <v>214031</v>
          </cell>
          <cell r="E85" t="str">
            <v>בעלות</v>
          </cell>
          <cell r="F85" t="str">
            <v>נחליאל</v>
          </cell>
          <cell r="G85" t="str">
            <v>יסודי בלבד</v>
          </cell>
          <cell r="H85" t="str">
            <v>כן</v>
          </cell>
          <cell r="I85" t="str">
            <v>כן</v>
          </cell>
          <cell r="J85" t="str">
            <v>כן</v>
          </cell>
          <cell r="K85">
            <v>67</v>
          </cell>
          <cell r="L85">
            <v>61</v>
          </cell>
        </row>
        <row r="86">
          <cell r="D86">
            <v>611459</v>
          </cell>
          <cell r="E86" t="str">
            <v>רשות</v>
          </cell>
          <cell r="F86" t="str">
            <v>יעלים-עופרים</v>
          </cell>
          <cell r="G86" t="str">
            <v>יסודי בלבד</v>
          </cell>
          <cell r="H86" t="str">
            <v>כן</v>
          </cell>
          <cell r="I86" t="str">
            <v>כן</v>
          </cell>
          <cell r="J86" t="str">
            <v>כן</v>
          </cell>
          <cell r="K86">
            <v>125</v>
          </cell>
          <cell r="L86">
            <v>71</v>
          </cell>
        </row>
        <row r="87">
          <cell r="D87">
            <v>630152</v>
          </cell>
          <cell r="E87" t="str">
            <v>רשות</v>
          </cell>
          <cell r="F87" t="str">
            <v>אגמים מ"מ</v>
          </cell>
          <cell r="G87" t="str">
            <v>יסודי בלבד</v>
          </cell>
          <cell r="H87" t="str">
            <v>כן</v>
          </cell>
          <cell r="I87" t="str">
            <v>כן</v>
          </cell>
          <cell r="J87" t="str">
            <v>כן</v>
          </cell>
          <cell r="K87">
            <v>362</v>
          </cell>
          <cell r="L87">
            <v>150</v>
          </cell>
        </row>
        <row r="88">
          <cell r="D88">
            <v>415596</v>
          </cell>
          <cell r="E88" t="str">
            <v>רשות</v>
          </cell>
          <cell r="F88" t="str">
            <v>סורקיס</v>
          </cell>
          <cell r="G88" t="str">
            <v>יסודי בלבד</v>
          </cell>
          <cell r="H88" t="str">
            <v>כן</v>
          </cell>
          <cell r="I88" t="str">
            <v>כן</v>
          </cell>
          <cell r="J88" t="str">
            <v>כן</v>
          </cell>
          <cell r="K88">
            <v>166</v>
          </cell>
          <cell r="L88">
            <v>56</v>
          </cell>
        </row>
        <row r="89">
          <cell r="D89">
            <v>645408</v>
          </cell>
          <cell r="E89" t="str">
            <v>רשות</v>
          </cell>
          <cell r="F89" t="str">
            <v>תתמ"ד אלומה</v>
          </cell>
          <cell r="G89" t="str">
            <v>יסודי בלבד</v>
          </cell>
          <cell r="H89" t="str">
            <v>כן</v>
          </cell>
          <cell r="I89" t="str">
            <v>כן</v>
          </cell>
          <cell r="J89" t="str">
            <v>כן</v>
          </cell>
          <cell r="K89">
            <v>177</v>
          </cell>
          <cell r="L89">
            <v>41</v>
          </cell>
        </row>
        <row r="90">
          <cell r="D90">
            <v>218859</v>
          </cell>
          <cell r="E90" t="str">
            <v>רשות</v>
          </cell>
          <cell r="F90" t="str">
            <v>ערב אלגריפאת</v>
          </cell>
          <cell r="G90" t="str">
            <v>יסודי בלבד</v>
          </cell>
          <cell r="H90" t="str">
            <v>כן</v>
          </cell>
          <cell r="I90" t="str">
            <v>כן</v>
          </cell>
          <cell r="J90" t="str">
            <v>כן</v>
          </cell>
          <cell r="K90">
            <v>176</v>
          </cell>
          <cell r="L90">
            <v>80</v>
          </cell>
        </row>
        <row r="91">
          <cell r="D91">
            <v>613786</v>
          </cell>
          <cell r="E91" t="str">
            <v>רשות</v>
          </cell>
          <cell r="F91" t="str">
            <v>נווה במדבר</v>
          </cell>
          <cell r="G91" t="str">
            <v>יסודי בלבד</v>
          </cell>
          <cell r="H91" t="str">
            <v>כן</v>
          </cell>
          <cell r="I91" t="str">
            <v>כן</v>
          </cell>
          <cell r="J91" t="str">
            <v>כן</v>
          </cell>
          <cell r="K91">
            <v>168</v>
          </cell>
          <cell r="L91">
            <v>66</v>
          </cell>
        </row>
        <row r="92">
          <cell r="D92">
            <v>611913</v>
          </cell>
          <cell r="E92" t="str">
            <v>רשות</v>
          </cell>
          <cell r="F92" t="str">
            <v>יפה נוף</v>
          </cell>
          <cell r="G92" t="str">
            <v>יסודי בלבד</v>
          </cell>
          <cell r="H92" t="str">
            <v>כן</v>
          </cell>
          <cell r="I92" t="str">
            <v>כן</v>
          </cell>
          <cell r="J92" t="str">
            <v>לא</v>
          </cell>
          <cell r="K92">
            <v>162</v>
          </cell>
          <cell r="L92">
            <v>43</v>
          </cell>
        </row>
        <row r="93">
          <cell r="D93">
            <v>412643</v>
          </cell>
          <cell r="E93" t="str">
            <v/>
          </cell>
          <cell r="F93" t="str">
            <v>ב"י ראשל"צ</v>
          </cell>
          <cell r="G93" t="str">
            <v>יסודי בלבד</v>
          </cell>
          <cell r="H93" t="str">
            <v>כן</v>
          </cell>
          <cell r="I93" t="str">
            <v>כן</v>
          </cell>
          <cell r="J93" t="str">
            <v>כן</v>
          </cell>
          <cell r="K93">
            <v>0</v>
          </cell>
          <cell r="L93">
            <v>45</v>
          </cell>
        </row>
        <row r="94">
          <cell r="D94">
            <v>512228</v>
          </cell>
          <cell r="E94" t="str">
            <v>רשות</v>
          </cell>
          <cell r="F94" t="str">
            <v>בנות מנחם חב"ד</v>
          </cell>
          <cell r="G94" t="str">
            <v>יסודי בלבד</v>
          </cell>
          <cell r="H94" t="str">
            <v>כן</v>
          </cell>
          <cell r="I94" t="str">
            <v>כן</v>
          </cell>
          <cell r="J94" t="str">
            <v>כן</v>
          </cell>
          <cell r="K94">
            <v>150</v>
          </cell>
          <cell r="L94">
            <v>77</v>
          </cell>
        </row>
        <row r="95">
          <cell r="D95">
            <v>610311</v>
          </cell>
          <cell r="E95" t="str">
            <v/>
          </cell>
          <cell r="F95" t="str">
            <v>נטעים מיתרים</v>
          </cell>
          <cell r="G95" t="str">
            <v>יסודי בלבד</v>
          </cell>
          <cell r="H95" t="str">
            <v>לא</v>
          </cell>
          <cell r="I95" t="str">
            <v>לא</v>
          </cell>
          <cell r="J95" t="str">
            <v>לא</v>
          </cell>
          <cell r="K95">
            <v>0</v>
          </cell>
          <cell r="L95">
            <v>0</v>
          </cell>
        </row>
        <row r="96">
          <cell r="D96">
            <v>515445</v>
          </cell>
          <cell r="E96" t="str">
            <v>רשות</v>
          </cell>
          <cell r="F96" t="str">
            <v>שרון</v>
          </cell>
          <cell r="G96" t="str">
            <v>יסודי בלבד</v>
          </cell>
          <cell r="H96" t="str">
            <v>כן</v>
          </cell>
          <cell r="I96" t="str">
            <v>כן</v>
          </cell>
          <cell r="J96" t="str">
            <v>לא</v>
          </cell>
          <cell r="K96">
            <v>262</v>
          </cell>
          <cell r="L96">
            <v>160</v>
          </cell>
        </row>
        <row r="97">
          <cell r="D97">
            <v>211516</v>
          </cell>
          <cell r="E97" t="str">
            <v>רשות</v>
          </cell>
          <cell r="F97" t="str">
            <v>רמז -נהריה</v>
          </cell>
          <cell r="G97" t="str">
            <v>יסודי בלבד</v>
          </cell>
          <cell r="H97" t="str">
            <v>כן</v>
          </cell>
          <cell r="I97" t="str">
            <v>כן</v>
          </cell>
          <cell r="J97" t="str">
            <v>כן</v>
          </cell>
          <cell r="K97">
            <v>260</v>
          </cell>
          <cell r="L97">
            <v>67</v>
          </cell>
        </row>
        <row r="98">
          <cell r="D98">
            <v>618777</v>
          </cell>
          <cell r="E98" t="str">
            <v>רשות</v>
          </cell>
          <cell r="F98" t="str">
            <v>אלנג'אח</v>
          </cell>
          <cell r="G98" t="str">
            <v>יסודי בלבד</v>
          </cell>
          <cell r="H98" t="str">
            <v>כן</v>
          </cell>
          <cell r="I98" t="str">
            <v>כן</v>
          </cell>
          <cell r="J98" t="str">
            <v>כן</v>
          </cell>
          <cell r="K98">
            <v>196</v>
          </cell>
          <cell r="L98">
            <v>50</v>
          </cell>
        </row>
        <row r="99">
          <cell r="D99">
            <v>612770</v>
          </cell>
          <cell r="E99" t="str">
            <v>רשות</v>
          </cell>
          <cell r="F99" t="str">
            <v>נווה עמרם</v>
          </cell>
          <cell r="G99" t="str">
            <v>יסודי בלבד</v>
          </cell>
          <cell r="H99" t="str">
            <v>כן</v>
          </cell>
          <cell r="I99" t="str">
            <v>כן</v>
          </cell>
          <cell r="J99" t="str">
            <v>כן</v>
          </cell>
          <cell r="K99">
            <v>207</v>
          </cell>
          <cell r="L99">
            <v>87</v>
          </cell>
        </row>
        <row r="100">
          <cell r="D100">
            <v>614883</v>
          </cell>
          <cell r="E100" t="str">
            <v>רשות</v>
          </cell>
          <cell r="F100" t="str">
            <v>אורות אליהו</v>
          </cell>
          <cell r="G100" t="str">
            <v>יסודי בלבד</v>
          </cell>
          <cell r="H100" t="str">
            <v>כן</v>
          </cell>
          <cell r="I100" t="str">
            <v>כן</v>
          </cell>
          <cell r="J100" t="str">
            <v>לא</v>
          </cell>
          <cell r="K100">
            <v>129</v>
          </cell>
          <cell r="L100">
            <v>129</v>
          </cell>
        </row>
        <row r="101">
          <cell r="D101">
            <v>612069</v>
          </cell>
          <cell r="E101" t="str">
            <v/>
          </cell>
          <cell r="F101" t="str">
            <v>יצחק נבון</v>
          </cell>
          <cell r="G101" t="str">
            <v>יסודי בלבד</v>
          </cell>
          <cell r="H101" t="str">
            <v>לא</v>
          </cell>
          <cell r="I101" t="str">
            <v>לא</v>
          </cell>
          <cell r="J101" t="str">
            <v>לא</v>
          </cell>
          <cell r="K101">
            <v>0</v>
          </cell>
          <cell r="L101">
            <v>0</v>
          </cell>
        </row>
        <row r="102">
          <cell r="D102">
            <v>614578</v>
          </cell>
          <cell r="E102" t="str">
            <v>רשות</v>
          </cell>
          <cell r="F102" t="str">
            <v>יחדיו</v>
          </cell>
          <cell r="G102" t="str">
            <v>יסודי בלבד</v>
          </cell>
          <cell r="H102" t="str">
            <v>כן</v>
          </cell>
          <cell r="I102" t="str">
            <v>כן</v>
          </cell>
          <cell r="J102" t="str">
            <v>כן</v>
          </cell>
          <cell r="K102">
            <v>200</v>
          </cell>
          <cell r="L102">
            <v>59</v>
          </cell>
        </row>
        <row r="103">
          <cell r="D103">
            <v>613166</v>
          </cell>
          <cell r="E103" t="str">
            <v>רשות</v>
          </cell>
          <cell r="F103" t="str">
            <v>מולדת</v>
          </cell>
          <cell r="G103" t="str">
            <v>יסודי בלבד</v>
          </cell>
          <cell r="H103" t="str">
            <v>כן</v>
          </cell>
          <cell r="I103" t="str">
            <v>כן</v>
          </cell>
          <cell r="J103" t="str">
            <v>כן</v>
          </cell>
          <cell r="K103">
            <v>172</v>
          </cell>
          <cell r="L103">
            <v>43</v>
          </cell>
        </row>
        <row r="104">
          <cell r="D104">
            <v>415299</v>
          </cell>
          <cell r="E104" t="str">
            <v/>
          </cell>
          <cell r="F104" t="str">
            <v>היובל</v>
          </cell>
          <cell r="G104" t="str">
            <v>יסודי בלבד</v>
          </cell>
          <cell r="H104" t="str">
            <v>כן</v>
          </cell>
          <cell r="I104" t="str">
            <v>כן</v>
          </cell>
          <cell r="J104" t="str">
            <v>כן</v>
          </cell>
          <cell r="K104">
            <v>272</v>
          </cell>
          <cell r="L104">
            <v>91</v>
          </cell>
        </row>
        <row r="105">
          <cell r="D105">
            <v>614057</v>
          </cell>
          <cell r="E105" t="str">
            <v>רשות</v>
          </cell>
          <cell r="F105" t="str">
            <v>אפיק</v>
          </cell>
          <cell r="G105" t="str">
            <v>יסודי בלבד</v>
          </cell>
          <cell r="H105" t="str">
            <v>כן</v>
          </cell>
          <cell r="I105" t="str">
            <v>כן</v>
          </cell>
          <cell r="J105" t="str">
            <v>לא</v>
          </cell>
          <cell r="K105">
            <v>92</v>
          </cell>
          <cell r="L105">
            <v>40</v>
          </cell>
        </row>
        <row r="106">
          <cell r="D106">
            <v>638304</v>
          </cell>
          <cell r="E106" t="str">
            <v>רשות</v>
          </cell>
          <cell r="F106" t="str">
            <v>סיגליות</v>
          </cell>
          <cell r="G106" t="str">
            <v>יסודי בלבד</v>
          </cell>
          <cell r="H106" t="str">
            <v>כן</v>
          </cell>
          <cell r="I106" t="str">
            <v>כן</v>
          </cell>
          <cell r="J106" t="str">
            <v>כן</v>
          </cell>
          <cell r="K106">
            <v>178</v>
          </cell>
          <cell r="L106">
            <v>104</v>
          </cell>
        </row>
        <row r="107">
          <cell r="D107">
            <v>413195</v>
          </cell>
          <cell r="E107" t="str">
            <v>רשות</v>
          </cell>
          <cell r="F107" t="str">
            <v>שלמון</v>
          </cell>
          <cell r="G107" t="str">
            <v>יסודי בלבד</v>
          </cell>
          <cell r="H107" t="str">
            <v>כן</v>
          </cell>
          <cell r="I107" t="str">
            <v>כן</v>
          </cell>
          <cell r="J107" t="str">
            <v>כן</v>
          </cell>
          <cell r="K107">
            <v>236</v>
          </cell>
          <cell r="L107">
            <v>47</v>
          </cell>
        </row>
        <row r="108">
          <cell r="D108">
            <v>512434</v>
          </cell>
          <cell r="E108" t="str">
            <v>רשות</v>
          </cell>
          <cell r="F108" t="str">
            <v>דבורה עומר</v>
          </cell>
          <cell r="G108" t="str">
            <v>יסודי בלבד</v>
          </cell>
          <cell r="H108" t="str">
            <v>כן</v>
          </cell>
          <cell r="I108" t="str">
            <v>כן</v>
          </cell>
          <cell r="J108" t="str">
            <v>כן</v>
          </cell>
          <cell r="K108">
            <v>310</v>
          </cell>
          <cell r="L108">
            <v>160</v>
          </cell>
        </row>
        <row r="109">
          <cell r="D109">
            <v>418103</v>
          </cell>
          <cell r="E109" t="str">
            <v>רשות</v>
          </cell>
          <cell r="F109" t="str">
            <v>עומר בן אלח'טאב</v>
          </cell>
          <cell r="G109" t="str">
            <v>יסודי בלבד</v>
          </cell>
          <cell r="H109" t="str">
            <v>כן</v>
          </cell>
          <cell r="I109" t="str">
            <v>כן</v>
          </cell>
          <cell r="J109" t="str">
            <v>כן</v>
          </cell>
          <cell r="K109">
            <v>195</v>
          </cell>
          <cell r="L109">
            <v>105</v>
          </cell>
        </row>
        <row r="110">
          <cell r="D110">
            <v>611657</v>
          </cell>
          <cell r="E110" t="str">
            <v/>
          </cell>
          <cell r="F110" t="str">
            <v>יוסף קארו</v>
          </cell>
          <cell r="G110" t="str">
            <v>יסודי בלבד</v>
          </cell>
          <cell r="H110" t="str">
            <v>כן</v>
          </cell>
          <cell r="I110" t="str">
            <v>כן</v>
          </cell>
          <cell r="J110" t="str">
            <v>כן</v>
          </cell>
          <cell r="K110">
            <v>85</v>
          </cell>
          <cell r="L110">
            <v>44</v>
          </cell>
        </row>
        <row r="111">
          <cell r="D111">
            <v>410910</v>
          </cell>
          <cell r="E111" t="str">
            <v>רשות</v>
          </cell>
          <cell r="F111" t="str">
            <v>ממ"ד בר אילן</v>
          </cell>
          <cell r="G111" t="str">
            <v>יסודי בלבד</v>
          </cell>
          <cell r="H111" t="str">
            <v>כן</v>
          </cell>
          <cell r="I111" t="str">
            <v>כן</v>
          </cell>
          <cell r="J111" t="str">
            <v>כן</v>
          </cell>
          <cell r="K111">
            <v>223</v>
          </cell>
          <cell r="L111">
            <v>52</v>
          </cell>
        </row>
        <row r="112">
          <cell r="D112">
            <v>416024</v>
          </cell>
          <cell r="E112" t="str">
            <v>רשות</v>
          </cell>
          <cell r="F112" t="str">
            <v>נוה עוז -שקמה-חדש</v>
          </cell>
          <cell r="G112" t="str">
            <v>יסודי בלבד</v>
          </cell>
          <cell r="H112" t="str">
            <v>כן</v>
          </cell>
          <cell r="I112" t="str">
            <v>כן</v>
          </cell>
          <cell r="J112" t="str">
            <v>כן</v>
          </cell>
          <cell r="K112">
            <v>138</v>
          </cell>
          <cell r="L112">
            <v>75</v>
          </cell>
        </row>
        <row r="113">
          <cell r="D113">
            <v>415927</v>
          </cell>
          <cell r="E113" t="str">
            <v>רשות</v>
          </cell>
          <cell r="F113" t="str">
            <v>אשלים לחדשנות דיגיטלית</v>
          </cell>
          <cell r="G113" t="str">
            <v>יסודי בלבד</v>
          </cell>
          <cell r="H113" t="str">
            <v>כן</v>
          </cell>
          <cell r="I113" t="str">
            <v>כן</v>
          </cell>
          <cell r="J113" t="str">
            <v>כן</v>
          </cell>
          <cell r="K113">
            <v>158</v>
          </cell>
          <cell r="L113">
            <v>72</v>
          </cell>
        </row>
        <row r="114">
          <cell r="D114">
            <v>618421</v>
          </cell>
          <cell r="E114" t="str">
            <v>רשות</v>
          </cell>
          <cell r="F114" t="str">
            <v>אלרסאלה</v>
          </cell>
          <cell r="G114" t="str">
            <v>יסודי בלבד</v>
          </cell>
          <cell r="H114" t="str">
            <v>כן</v>
          </cell>
          <cell r="I114" t="str">
            <v>כן</v>
          </cell>
          <cell r="J114" t="str">
            <v>כן</v>
          </cell>
          <cell r="K114">
            <v>200</v>
          </cell>
          <cell r="L114">
            <v>188</v>
          </cell>
        </row>
        <row r="115">
          <cell r="D115">
            <v>618850</v>
          </cell>
          <cell r="E115" t="str">
            <v>רשות</v>
          </cell>
          <cell r="F115" t="str">
            <v>אלסנאבל</v>
          </cell>
          <cell r="G115" t="str">
            <v>יסודי בלבד</v>
          </cell>
          <cell r="H115" t="str">
            <v>כן</v>
          </cell>
          <cell r="I115" t="str">
            <v>כן</v>
          </cell>
          <cell r="J115" t="str">
            <v>לא</v>
          </cell>
          <cell r="K115">
            <v>128</v>
          </cell>
          <cell r="L115">
            <v>60</v>
          </cell>
        </row>
        <row r="116">
          <cell r="D116">
            <v>217372</v>
          </cell>
          <cell r="E116" t="str">
            <v>רשות</v>
          </cell>
          <cell r="F116" t="str">
            <v>בי"ס אלראזי</v>
          </cell>
          <cell r="G116" t="str">
            <v>יסודי בלבד</v>
          </cell>
          <cell r="H116" t="str">
            <v>כן</v>
          </cell>
          <cell r="I116" t="str">
            <v>כן</v>
          </cell>
          <cell r="J116" t="str">
            <v>כן</v>
          </cell>
          <cell r="K116">
            <v>248</v>
          </cell>
          <cell r="L116">
            <v>180</v>
          </cell>
        </row>
        <row r="117">
          <cell r="D117">
            <v>618611</v>
          </cell>
          <cell r="E117" t="str">
            <v>רשות</v>
          </cell>
          <cell r="F117" t="str">
            <v>דרגות</v>
          </cell>
          <cell r="G117" t="str">
            <v>יסודי בלבד</v>
          </cell>
          <cell r="H117" t="str">
            <v>כן</v>
          </cell>
          <cell r="I117" t="str">
            <v>כן</v>
          </cell>
          <cell r="J117" t="str">
            <v>לא</v>
          </cell>
          <cell r="K117">
            <v>55</v>
          </cell>
          <cell r="L117">
            <v>55</v>
          </cell>
        </row>
        <row r="118">
          <cell r="D118">
            <v>217331</v>
          </cell>
          <cell r="E118" t="str">
            <v>רשות</v>
          </cell>
          <cell r="F118" t="str">
            <v>אלאמל בית ג'אן ג'</v>
          </cell>
          <cell r="G118" t="str">
            <v>יסודי בלבד</v>
          </cell>
          <cell r="H118" t="str">
            <v>כן</v>
          </cell>
          <cell r="I118" t="str">
            <v>כן</v>
          </cell>
          <cell r="J118" t="str">
            <v>כן</v>
          </cell>
          <cell r="K118">
            <v>193</v>
          </cell>
          <cell r="L118">
            <v>43</v>
          </cell>
        </row>
        <row r="119">
          <cell r="D119">
            <v>610303</v>
          </cell>
          <cell r="E119" t="str">
            <v>רשות</v>
          </cell>
          <cell r="F119" t="str">
            <v>מענית</v>
          </cell>
          <cell r="G119" t="str">
            <v>יסודי בלבד</v>
          </cell>
          <cell r="H119" t="str">
            <v>כן</v>
          </cell>
          <cell r="I119" t="str">
            <v>כן</v>
          </cell>
          <cell r="J119" t="str">
            <v>לא</v>
          </cell>
          <cell r="K119">
            <v>135</v>
          </cell>
          <cell r="L119">
            <v>80</v>
          </cell>
        </row>
        <row r="120">
          <cell r="D120">
            <v>630020</v>
          </cell>
          <cell r="E120" t="str">
            <v>רשות</v>
          </cell>
          <cell r="F120" t="str">
            <v>אלאימאן</v>
          </cell>
          <cell r="G120" t="str">
            <v>יסודי בלבד</v>
          </cell>
          <cell r="H120" t="str">
            <v>כן</v>
          </cell>
          <cell r="I120" t="str">
            <v>כן</v>
          </cell>
          <cell r="J120" t="str">
            <v>כן</v>
          </cell>
          <cell r="K120">
            <v>134</v>
          </cell>
          <cell r="L120">
            <v>134</v>
          </cell>
        </row>
        <row r="121">
          <cell r="D121">
            <v>612515</v>
          </cell>
          <cell r="E121" t="str">
            <v>רשות</v>
          </cell>
          <cell r="F121" t="str">
            <v>בראשית</v>
          </cell>
          <cell r="G121" t="str">
            <v>יסודי בלבד</v>
          </cell>
          <cell r="H121" t="str">
            <v>כן</v>
          </cell>
          <cell r="I121" t="str">
            <v>כן</v>
          </cell>
          <cell r="J121" t="str">
            <v>כן</v>
          </cell>
          <cell r="K121">
            <v>309</v>
          </cell>
          <cell r="L121">
            <v>179</v>
          </cell>
        </row>
        <row r="122">
          <cell r="D122">
            <v>610527</v>
          </cell>
          <cell r="E122" t="str">
            <v>רשות</v>
          </cell>
          <cell r="F122" t="str">
            <v>הרצוג</v>
          </cell>
          <cell r="G122" t="str">
            <v>יסודי בלבד</v>
          </cell>
          <cell r="H122" t="str">
            <v>כן</v>
          </cell>
          <cell r="I122" t="str">
            <v>כן</v>
          </cell>
          <cell r="J122" t="str">
            <v>כן</v>
          </cell>
          <cell r="K122">
            <v>280</v>
          </cell>
          <cell r="L122">
            <v>125</v>
          </cell>
        </row>
        <row r="123">
          <cell r="D123">
            <v>618090</v>
          </cell>
          <cell r="E123" t="str">
            <v>רשות</v>
          </cell>
          <cell r="F123" t="str">
            <v>אלסייד</v>
          </cell>
          <cell r="G123" t="str">
            <v>יסודי בלבד</v>
          </cell>
          <cell r="H123" t="str">
            <v>כן</v>
          </cell>
          <cell r="I123" t="str">
            <v>כן</v>
          </cell>
          <cell r="J123" t="str">
            <v>כן</v>
          </cell>
          <cell r="K123">
            <v>192</v>
          </cell>
          <cell r="L123">
            <v>135</v>
          </cell>
        </row>
        <row r="124">
          <cell r="D124">
            <v>430256</v>
          </cell>
          <cell r="E124" t="str">
            <v>בעלות</v>
          </cell>
          <cell r="F124" t="str">
            <v>שירת שרה</v>
          </cell>
          <cell r="G124" t="str">
            <v>יסודי בלבד</v>
          </cell>
          <cell r="H124" t="str">
            <v>כן</v>
          </cell>
          <cell r="I124" t="str">
            <v>כן</v>
          </cell>
          <cell r="J124" t="str">
            <v>כן</v>
          </cell>
          <cell r="K124">
            <v>106</v>
          </cell>
          <cell r="L124">
            <v>90</v>
          </cell>
        </row>
        <row r="125">
          <cell r="D125">
            <v>618298</v>
          </cell>
          <cell r="E125" t="str">
            <v>רשות</v>
          </cell>
          <cell r="F125" t="str">
            <v>בית אל-חכמה</v>
          </cell>
          <cell r="G125" t="str">
            <v>יסודי בלבד</v>
          </cell>
          <cell r="H125" t="str">
            <v>כן</v>
          </cell>
          <cell r="I125" t="str">
            <v>כן</v>
          </cell>
          <cell r="J125" t="str">
            <v>כן</v>
          </cell>
          <cell r="K125">
            <v>370</v>
          </cell>
          <cell r="L125">
            <v>370</v>
          </cell>
        </row>
        <row r="126">
          <cell r="D126">
            <v>614636</v>
          </cell>
          <cell r="E126" t="str">
            <v/>
          </cell>
          <cell r="F126" t="str">
            <v>נאות לון</v>
          </cell>
          <cell r="G126" t="str">
            <v>יסודי בלבד</v>
          </cell>
          <cell r="H126" t="str">
            <v>לא</v>
          </cell>
          <cell r="I126" t="str">
            <v>לא</v>
          </cell>
          <cell r="J126" t="str">
            <v>לא</v>
          </cell>
          <cell r="K126">
            <v>0</v>
          </cell>
          <cell r="L126">
            <v>0</v>
          </cell>
        </row>
        <row r="127">
          <cell r="D127">
            <v>615294</v>
          </cell>
          <cell r="E127" t="str">
            <v>רשות</v>
          </cell>
          <cell r="F127" t="str">
            <v>אלסלאם</v>
          </cell>
          <cell r="G127" t="str">
            <v>יסודי בלבד</v>
          </cell>
          <cell r="H127" t="str">
            <v>כן</v>
          </cell>
          <cell r="I127" t="str">
            <v>כן</v>
          </cell>
          <cell r="J127" t="str">
            <v>כן</v>
          </cell>
          <cell r="K127">
            <v>207</v>
          </cell>
          <cell r="L127">
            <v>191</v>
          </cell>
        </row>
        <row r="128">
          <cell r="D128">
            <v>618801</v>
          </cell>
          <cell r="E128" t="str">
            <v>רשות</v>
          </cell>
          <cell r="F128" t="str">
            <v>יסודי מכחול</v>
          </cell>
          <cell r="G128" t="str">
            <v>יסודי בלבד</v>
          </cell>
          <cell r="H128" t="str">
            <v>כן</v>
          </cell>
          <cell r="I128" t="str">
            <v>כן</v>
          </cell>
          <cell r="J128" t="str">
            <v>כן</v>
          </cell>
          <cell r="K128">
            <v>144</v>
          </cell>
          <cell r="L128">
            <v>129</v>
          </cell>
        </row>
        <row r="129">
          <cell r="D129">
            <v>513713</v>
          </cell>
          <cell r="E129" t="str">
            <v>רשות</v>
          </cell>
          <cell r="F129" t="str">
            <v>אשלים</v>
          </cell>
          <cell r="G129" t="str">
            <v>יסודי בלבד</v>
          </cell>
          <cell r="H129" t="str">
            <v>כן</v>
          </cell>
          <cell r="I129" t="str">
            <v>לא</v>
          </cell>
          <cell r="J129" t="str">
            <v>לא</v>
          </cell>
          <cell r="K129">
            <v>96</v>
          </cell>
          <cell r="L129">
            <v>90</v>
          </cell>
        </row>
        <row r="130">
          <cell r="D130">
            <v>614701</v>
          </cell>
          <cell r="E130" t="str">
            <v>רשות</v>
          </cell>
          <cell r="F130" t="str">
            <v>אור-ע'ש זבולון המר</v>
          </cell>
          <cell r="G130" t="str">
            <v>יסודי בלבד</v>
          </cell>
          <cell r="H130" t="str">
            <v>כן</v>
          </cell>
          <cell r="I130" t="str">
            <v>כן</v>
          </cell>
          <cell r="J130" t="str">
            <v>לא</v>
          </cell>
          <cell r="K130">
            <v>62</v>
          </cell>
          <cell r="L130">
            <v>30</v>
          </cell>
        </row>
        <row r="131">
          <cell r="D131">
            <v>614586</v>
          </cell>
          <cell r="E131" t="str">
            <v>רשות</v>
          </cell>
          <cell r="F131" t="str">
            <v>נועם אורות הנגב</v>
          </cell>
          <cell r="G131" t="str">
            <v>יסודי בלבד</v>
          </cell>
          <cell r="H131" t="str">
            <v>כן</v>
          </cell>
          <cell r="I131" t="str">
            <v>כן</v>
          </cell>
          <cell r="J131" t="str">
            <v>כן</v>
          </cell>
          <cell r="K131">
            <v>370</v>
          </cell>
          <cell r="L131">
            <v>233</v>
          </cell>
        </row>
        <row r="132">
          <cell r="D132">
            <v>618504</v>
          </cell>
          <cell r="E132" t="str">
            <v>רשות</v>
          </cell>
          <cell r="F132" t="str">
            <v>אלסלאם</v>
          </cell>
          <cell r="G132" t="str">
            <v>יסודי בלבד</v>
          </cell>
          <cell r="H132" t="str">
            <v>כן</v>
          </cell>
          <cell r="I132" t="str">
            <v>כן</v>
          </cell>
          <cell r="J132" t="str">
            <v>כן</v>
          </cell>
          <cell r="K132">
            <v>171</v>
          </cell>
          <cell r="L132">
            <v>105</v>
          </cell>
        </row>
        <row r="133">
          <cell r="D133">
            <v>618413</v>
          </cell>
          <cell r="E133" t="str">
            <v>רשות</v>
          </cell>
          <cell r="F133" t="str">
            <v>אלסלאם</v>
          </cell>
          <cell r="G133" t="str">
            <v>יסודי בלבד</v>
          </cell>
          <cell r="H133" t="str">
            <v>כן</v>
          </cell>
          <cell r="I133" t="str">
            <v>כן</v>
          </cell>
          <cell r="J133" t="str">
            <v>כן</v>
          </cell>
          <cell r="K133">
            <v>266</v>
          </cell>
          <cell r="L133">
            <v>266</v>
          </cell>
        </row>
        <row r="134">
          <cell r="D134">
            <v>612135</v>
          </cell>
          <cell r="E134" t="str">
            <v>רשות</v>
          </cell>
          <cell r="F134" t="str">
            <v>נוף אדום</v>
          </cell>
          <cell r="G134" t="str">
            <v>יסודי בלבד</v>
          </cell>
          <cell r="H134" t="str">
            <v>כן</v>
          </cell>
          <cell r="I134" t="str">
            <v>כן</v>
          </cell>
          <cell r="J134" t="str">
            <v>כן</v>
          </cell>
          <cell r="K134">
            <v>277</v>
          </cell>
          <cell r="L134">
            <v>40</v>
          </cell>
        </row>
        <row r="135">
          <cell r="D135">
            <v>614842</v>
          </cell>
          <cell r="E135" t="str">
            <v>רשות</v>
          </cell>
          <cell r="F135" t="str">
            <v>ביה"ס אור חיה</v>
          </cell>
          <cell r="G135" t="str">
            <v>יסודי בלבד</v>
          </cell>
          <cell r="H135" t="str">
            <v>כן</v>
          </cell>
          <cell r="I135" t="str">
            <v>כן</v>
          </cell>
          <cell r="J135" t="str">
            <v>כן</v>
          </cell>
          <cell r="K135">
            <v>129</v>
          </cell>
          <cell r="L135">
            <v>86</v>
          </cell>
        </row>
        <row r="136">
          <cell r="D136">
            <v>759050</v>
          </cell>
          <cell r="E136" t="str">
            <v>רשות</v>
          </cell>
          <cell r="F136" t="str">
            <v>נצח ישראל בנות</v>
          </cell>
          <cell r="G136" t="str">
            <v>יסודי בלבד</v>
          </cell>
          <cell r="H136" t="str">
            <v>לא</v>
          </cell>
          <cell r="I136" t="str">
            <v>לא</v>
          </cell>
          <cell r="J136" t="str">
            <v>לא</v>
          </cell>
          <cell r="K136">
            <v>0</v>
          </cell>
          <cell r="L136">
            <v>0</v>
          </cell>
        </row>
        <row r="137">
          <cell r="D137">
            <v>616433</v>
          </cell>
          <cell r="E137" t="str">
            <v>רשות</v>
          </cell>
          <cell r="F137" t="str">
            <v>יסודי 5</v>
          </cell>
          <cell r="G137" t="str">
            <v>יסודי בלבד</v>
          </cell>
          <cell r="H137" t="str">
            <v>כן</v>
          </cell>
          <cell r="I137" t="str">
            <v>כן</v>
          </cell>
          <cell r="J137" t="str">
            <v>כן</v>
          </cell>
          <cell r="K137">
            <v>219</v>
          </cell>
          <cell r="L137">
            <v>113</v>
          </cell>
        </row>
        <row r="138">
          <cell r="D138">
            <v>312835</v>
          </cell>
          <cell r="E138" t="str">
            <v>רשות</v>
          </cell>
          <cell r="F138" t="str">
            <v>יסודי קיסריה</v>
          </cell>
          <cell r="G138" t="str">
            <v>יסודי בלבד</v>
          </cell>
          <cell r="H138" t="str">
            <v>כן</v>
          </cell>
          <cell r="I138" t="str">
            <v>כן</v>
          </cell>
          <cell r="J138" t="str">
            <v>כן</v>
          </cell>
          <cell r="K138">
            <v>215</v>
          </cell>
          <cell r="L138">
            <v>67</v>
          </cell>
        </row>
        <row r="139">
          <cell r="D139">
            <v>610600</v>
          </cell>
          <cell r="E139" t="str">
            <v>רשות</v>
          </cell>
          <cell r="F139" t="str">
            <v>יסודי דתי חדש בנות</v>
          </cell>
          <cell r="G139" t="str">
            <v>יסודי בלבד</v>
          </cell>
          <cell r="H139" t="str">
            <v>כן</v>
          </cell>
          <cell r="I139" t="str">
            <v>כן</v>
          </cell>
          <cell r="J139" t="str">
            <v>כן</v>
          </cell>
          <cell r="K139">
            <v>192</v>
          </cell>
          <cell r="L139">
            <v>115</v>
          </cell>
        </row>
        <row r="140">
          <cell r="D140">
            <v>611780</v>
          </cell>
          <cell r="E140" t="str">
            <v>רשות</v>
          </cell>
          <cell r="F140" t="str">
            <v>בן עטר</v>
          </cell>
          <cell r="G140" t="str">
            <v>יסודי בלבד</v>
          </cell>
          <cell r="H140" t="str">
            <v>כן</v>
          </cell>
          <cell r="I140" t="str">
            <v>כן</v>
          </cell>
          <cell r="J140" t="str">
            <v>כן</v>
          </cell>
          <cell r="K140">
            <v>93</v>
          </cell>
          <cell r="L140">
            <v>45</v>
          </cell>
        </row>
        <row r="141">
          <cell r="D141">
            <v>616227</v>
          </cell>
          <cell r="E141" t="str">
            <v>רשות</v>
          </cell>
          <cell r="F141" t="str">
            <v>אפאק</v>
          </cell>
          <cell r="G141" t="str">
            <v>יסודי בלבד</v>
          </cell>
          <cell r="H141" t="str">
            <v>כן</v>
          </cell>
          <cell r="I141" t="str">
            <v>כן</v>
          </cell>
          <cell r="J141" t="str">
            <v>כן</v>
          </cell>
          <cell r="K141">
            <v>271</v>
          </cell>
          <cell r="L141">
            <v>45</v>
          </cell>
        </row>
        <row r="142">
          <cell r="D142">
            <v>618769</v>
          </cell>
          <cell r="E142" t="str">
            <v>רשות</v>
          </cell>
          <cell r="F142" t="str">
            <v>אלפורעה ב</v>
          </cell>
          <cell r="G142" t="str">
            <v>יסודי בלבד</v>
          </cell>
          <cell r="H142" t="str">
            <v>כן</v>
          </cell>
          <cell r="I142" t="str">
            <v>כן</v>
          </cell>
          <cell r="J142" t="str">
            <v>כן</v>
          </cell>
          <cell r="K142">
            <v>228</v>
          </cell>
          <cell r="L142">
            <v>204</v>
          </cell>
        </row>
        <row r="143">
          <cell r="D143">
            <v>610378</v>
          </cell>
          <cell r="E143" t="str">
            <v>רשות</v>
          </cell>
          <cell r="F143" t="str">
            <v>רמב"ם</v>
          </cell>
          <cell r="G143" t="str">
            <v>יסודי בלבד</v>
          </cell>
          <cell r="H143" t="str">
            <v>כן</v>
          </cell>
          <cell r="I143" t="str">
            <v>כן</v>
          </cell>
          <cell r="J143" t="str">
            <v>לא</v>
          </cell>
          <cell r="K143">
            <v>148</v>
          </cell>
          <cell r="L143">
            <v>67</v>
          </cell>
        </row>
        <row r="144">
          <cell r="D144">
            <v>618017</v>
          </cell>
          <cell r="E144" t="str">
            <v>רשות</v>
          </cell>
          <cell r="F144" t="str">
            <v>אבו כף</v>
          </cell>
          <cell r="G144" t="str">
            <v>יסודי בלבד</v>
          </cell>
          <cell r="H144" t="str">
            <v>כן</v>
          </cell>
          <cell r="I144" t="str">
            <v>כן</v>
          </cell>
          <cell r="J144" t="str">
            <v>כן</v>
          </cell>
          <cell r="K144">
            <v>140</v>
          </cell>
          <cell r="L144">
            <v>82</v>
          </cell>
        </row>
        <row r="145">
          <cell r="D145">
            <v>618439</v>
          </cell>
          <cell r="E145" t="str">
            <v>רשות</v>
          </cell>
          <cell r="F145" t="str">
            <v>האופק</v>
          </cell>
          <cell r="G145" t="str">
            <v>יסודי בלבד</v>
          </cell>
          <cell r="H145" t="str">
            <v>כן</v>
          </cell>
          <cell r="I145" t="str">
            <v>כן</v>
          </cell>
          <cell r="J145" t="str">
            <v>כן</v>
          </cell>
          <cell r="K145">
            <v>138</v>
          </cell>
          <cell r="L145">
            <v>138</v>
          </cell>
        </row>
        <row r="146">
          <cell r="D146">
            <v>412494</v>
          </cell>
          <cell r="E146" t="str">
            <v/>
          </cell>
          <cell r="F146" t="str">
            <v>בית יעקב יסודות</v>
          </cell>
          <cell r="G146" t="str">
            <v>יסודי בלבד</v>
          </cell>
          <cell r="H146" t="str">
            <v>כן</v>
          </cell>
          <cell r="I146" t="str">
            <v>כן</v>
          </cell>
          <cell r="J146" t="str">
            <v>לא</v>
          </cell>
          <cell r="K146">
            <v>0</v>
          </cell>
          <cell r="L146">
            <v>87</v>
          </cell>
        </row>
        <row r="147">
          <cell r="D147">
            <v>614495</v>
          </cell>
          <cell r="E147" t="str">
            <v>רשות</v>
          </cell>
          <cell r="F147" t="str">
            <v>בן גוריון</v>
          </cell>
          <cell r="G147" t="str">
            <v>יסודי בלבד</v>
          </cell>
          <cell r="H147" t="str">
            <v>כן</v>
          </cell>
          <cell r="I147" t="str">
            <v>כן</v>
          </cell>
          <cell r="J147" t="str">
            <v>לא</v>
          </cell>
          <cell r="K147">
            <v>171</v>
          </cell>
          <cell r="L147">
            <v>40</v>
          </cell>
        </row>
        <row r="148">
          <cell r="D148">
            <v>618264</v>
          </cell>
          <cell r="E148" t="str">
            <v>רשות</v>
          </cell>
          <cell r="F148" t="str">
            <v>אל-זהרא</v>
          </cell>
          <cell r="G148" t="str">
            <v>יסודי בלבד</v>
          </cell>
          <cell r="H148" t="str">
            <v>כן</v>
          </cell>
          <cell r="I148" t="str">
            <v>כן</v>
          </cell>
          <cell r="J148" t="str">
            <v>כן</v>
          </cell>
          <cell r="K148">
            <v>375</v>
          </cell>
          <cell r="L148">
            <v>215</v>
          </cell>
        </row>
        <row r="149">
          <cell r="D149">
            <v>615971</v>
          </cell>
          <cell r="E149" t="str">
            <v>רשות</v>
          </cell>
          <cell r="F149" t="str">
            <v>חב"ד בנות</v>
          </cell>
          <cell r="G149" t="str">
            <v>יסודי בלבד</v>
          </cell>
          <cell r="H149" t="str">
            <v>כן</v>
          </cell>
          <cell r="I149" t="str">
            <v>כן</v>
          </cell>
          <cell r="J149" t="str">
            <v>כן</v>
          </cell>
          <cell r="K149">
            <v>83</v>
          </cell>
          <cell r="L149">
            <v>61</v>
          </cell>
        </row>
        <row r="150">
          <cell r="D150">
            <v>614644</v>
          </cell>
          <cell r="E150" t="str">
            <v>רשות</v>
          </cell>
          <cell r="F150" t="str">
            <v>היובל</v>
          </cell>
          <cell r="G150" t="str">
            <v>יסודי בלבד</v>
          </cell>
          <cell r="H150" t="str">
            <v>כן</v>
          </cell>
          <cell r="I150" t="str">
            <v>כן</v>
          </cell>
          <cell r="J150" t="str">
            <v>כן</v>
          </cell>
          <cell r="K150">
            <v>129</v>
          </cell>
          <cell r="L150">
            <v>42</v>
          </cell>
        </row>
        <row r="151">
          <cell r="D151">
            <v>415075</v>
          </cell>
          <cell r="E151" t="str">
            <v>רשות</v>
          </cell>
          <cell r="F151" t="str">
            <v>ממלכתי לפיד</v>
          </cell>
          <cell r="G151" t="str">
            <v>יסודי בלבד</v>
          </cell>
          <cell r="H151" t="str">
            <v>כן</v>
          </cell>
          <cell r="I151" t="str">
            <v>כן</v>
          </cell>
          <cell r="J151" t="str">
            <v>כן</v>
          </cell>
          <cell r="K151">
            <v>224</v>
          </cell>
          <cell r="L151">
            <v>83</v>
          </cell>
        </row>
        <row r="152">
          <cell r="D152">
            <v>630145</v>
          </cell>
          <cell r="E152" t="str">
            <v>רשות</v>
          </cell>
          <cell r="F152" t="str">
            <v>אלרסאלה</v>
          </cell>
          <cell r="G152" t="str">
            <v>יסודי בלבד</v>
          </cell>
          <cell r="H152" t="str">
            <v>כן</v>
          </cell>
          <cell r="I152" t="str">
            <v>כן</v>
          </cell>
          <cell r="J152" t="str">
            <v>כן</v>
          </cell>
          <cell r="K152">
            <v>239</v>
          </cell>
          <cell r="L152">
            <v>176</v>
          </cell>
        </row>
        <row r="153">
          <cell r="D153">
            <v>618918</v>
          </cell>
          <cell r="E153" t="str">
            <v>רשות</v>
          </cell>
          <cell r="F153" t="str">
            <v>אלפוראת</v>
          </cell>
          <cell r="G153" t="str">
            <v>יסודי בלבד</v>
          </cell>
          <cell r="H153" t="str">
            <v>כן</v>
          </cell>
          <cell r="I153" t="str">
            <v>כן</v>
          </cell>
          <cell r="J153" t="str">
            <v>כן</v>
          </cell>
          <cell r="K153">
            <v>343</v>
          </cell>
          <cell r="L153">
            <v>131</v>
          </cell>
        </row>
        <row r="154">
          <cell r="D154">
            <v>410605</v>
          </cell>
          <cell r="E154" t="str">
            <v/>
          </cell>
          <cell r="F154" t="str">
            <v>הרצל</v>
          </cell>
          <cell r="G154" t="str">
            <v>יסודי בלבד</v>
          </cell>
          <cell r="H154" t="str">
            <v>כן</v>
          </cell>
          <cell r="I154" t="str">
            <v>כן</v>
          </cell>
          <cell r="J154" t="str">
            <v>כן</v>
          </cell>
          <cell r="K154">
            <v>128</v>
          </cell>
          <cell r="L154">
            <v>57</v>
          </cell>
        </row>
        <row r="155">
          <cell r="D155">
            <v>759092</v>
          </cell>
          <cell r="E155" t="str">
            <v>בעלות</v>
          </cell>
          <cell r="F155" t="str">
            <v>ב"י בית חנה</v>
          </cell>
          <cell r="G155" t="str">
            <v>יסודי בלבד</v>
          </cell>
          <cell r="H155" t="str">
            <v>כן</v>
          </cell>
          <cell r="I155" t="str">
            <v>כן</v>
          </cell>
          <cell r="J155" t="str">
            <v>כן</v>
          </cell>
          <cell r="K155">
            <v>203</v>
          </cell>
          <cell r="L155">
            <v>180</v>
          </cell>
        </row>
        <row r="156">
          <cell r="D156">
            <v>611491</v>
          </cell>
          <cell r="E156" t="str">
            <v>רשות</v>
          </cell>
          <cell r="F156" t="str">
            <v>עמי אסף</v>
          </cell>
          <cell r="G156" t="str">
            <v>יסודי בלבד</v>
          </cell>
          <cell r="H156" t="str">
            <v>כן</v>
          </cell>
          <cell r="I156" t="str">
            <v>כן</v>
          </cell>
          <cell r="J156" t="str">
            <v>כן</v>
          </cell>
          <cell r="K156">
            <v>270</v>
          </cell>
          <cell r="L156">
            <v>270</v>
          </cell>
        </row>
        <row r="157">
          <cell r="D157">
            <v>318121</v>
          </cell>
          <cell r="E157" t="str">
            <v>רשות</v>
          </cell>
          <cell r="F157" t="str">
            <v>אלמסאר</v>
          </cell>
          <cell r="G157" t="str">
            <v>יסודי בלבד</v>
          </cell>
          <cell r="H157" t="str">
            <v>כן</v>
          </cell>
          <cell r="I157" t="str">
            <v>כן</v>
          </cell>
          <cell r="J157" t="str">
            <v>כן</v>
          </cell>
          <cell r="K157">
            <v>155</v>
          </cell>
          <cell r="L157">
            <v>65</v>
          </cell>
        </row>
        <row r="158">
          <cell r="D158">
            <v>618249</v>
          </cell>
          <cell r="E158" t="str">
            <v>רשות</v>
          </cell>
          <cell r="F158" t="str">
            <v>אל סלאם</v>
          </cell>
          <cell r="G158" t="str">
            <v>יסודי בלבד</v>
          </cell>
          <cell r="H158" t="str">
            <v>כן</v>
          </cell>
          <cell r="I158" t="str">
            <v>כן</v>
          </cell>
          <cell r="J158" t="str">
            <v>כן</v>
          </cell>
          <cell r="K158">
            <v>266</v>
          </cell>
          <cell r="L158">
            <v>250</v>
          </cell>
        </row>
        <row r="159">
          <cell r="D159">
            <v>430470</v>
          </cell>
          <cell r="E159" t="str">
            <v/>
          </cell>
          <cell r="F159" t="str">
            <v>יהודה הלוי</v>
          </cell>
          <cell r="G159" t="str">
            <v>יסודי בלבד</v>
          </cell>
          <cell r="H159" t="str">
            <v>כן</v>
          </cell>
          <cell r="I159" t="str">
            <v>כן</v>
          </cell>
          <cell r="J159" t="str">
            <v>כן</v>
          </cell>
          <cell r="K159">
            <v>290</v>
          </cell>
          <cell r="L159">
            <v>73</v>
          </cell>
        </row>
        <row r="160">
          <cell r="D160">
            <v>612788</v>
          </cell>
          <cell r="E160" t="str">
            <v>רשות</v>
          </cell>
          <cell r="F160" t="str">
            <v>גבים</v>
          </cell>
          <cell r="G160" t="str">
            <v>יסודי בלבד</v>
          </cell>
          <cell r="H160" t="str">
            <v>כן</v>
          </cell>
          <cell r="I160" t="str">
            <v>כן</v>
          </cell>
          <cell r="J160" t="str">
            <v>לא</v>
          </cell>
          <cell r="K160">
            <v>114</v>
          </cell>
          <cell r="L160">
            <v>60</v>
          </cell>
        </row>
        <row r="161">
          <cell r="D161">
            <v>410258</v>
          </cell>
          <cell r="E161" t="str">
            <v>רשות</v>
          </cell>
          <cell r="F161" t="str">
            <v>אזורי בן שמן</v>
          </cell>
          <cell r="G161" t="str">
            <v>יסודי בלבד</v>
          </cell>
          <cell r="H161" t="str">
            <v>כן</v>
          </cell>
          <cell r="I161" t="str">
            <v>כן</v>
          </cell>
          <cell r="J161" t="str">
            <v>כן</v>
          </cell>
          <cell r="K161">
            <v>189</v>
          </cell>
          <cell r="L161">
            <v>61</v>
          </cell>
        </row>
        <row r="162">
          <cell r="D162">
            <v>618629</v>
          </cell>
          <cell r="E162" t="str">
            <v>רשות</v>
          </cell>
          <cell r="F162" t="str">
            <v>אלע'זאלי ע"ש שייך אחמד אלטורי</v>
          </cell>
          <cell r="G162" t="str">
            <v>יסודי בלבד</v>
          </cell>
          <cell r="H162" t="str">
            <v>כן</v>
          </cell>
          <cell r="I162" t="str">
            <v>כן</v>
          </cell>
          <cell r="J162" t="str">
            <v>כן</v>
          </cell>
          <cell r="K162">
            <v>244</v>
          </cell>
          <cell r="L162">
            <v>230</v>
          </cell>
        </row>
        <row r="163">
          <cell r="D163">
            <v>616235</v>
          </cell>
          <cell r="E163" t="str">
            <v>רשות</v>
          </cell>
          <cell r="F163" t="str">
            <v>פסגות</v>
          </cell>
          <cell r="G163" t="str">
            <v>יסודי בלבד</v>
          </cell>
          <cell r="H163" t="str">
            <v>כן</v>
          </cell>
          <cell r="I163" t="str">
            <v>כן</v>
          </cell>
          <cell r="J163" t="str">
            <v>כן</v>
          </cell>
          <cell r="K163">
            <v>329</v>
          </cell>
          <cell r="L163">
            <v>94</v>
          </cell>
        </row>
        <row r="164">
          <cell r="D164">
            <v>482174</v>
          </cell>
          <cell r="E164" t="str">
            <v>רשות</v>
          </cell>
          <cell r="F164" t="str">
            <v>אריאל שרון</v>
          </cell>
          <cell r="G164" t="str">
            <v>יסודי בלבד</v>
          </cell>
          <cell r="H164" t="str">
            <v>כן</v>
          </cell>
          <cell r="I164" t="str">
            <v>כן</v>
          </cell>
          <cell r="J164" t="str">
            <v>כן</v>
          </cell>
          <cell r="K164">
            <v>289</v>
          </cell>
          <cell r="L164">
            <v>89</v>
          </cell>
        </row>
        <row r="165">
          <cell r="D165">
            <v>513200</v>
          </cell>
          <cell r="E165" t="str">
            <v>רשות</v>
          </cell>
          <cell r="F165" t="str">
            <v>יעקב ניב</v>
          </cell>
          <cell r="G165" t="str">
            <v>יסודי בלבד</v>
          </cell>
          <cell r="H165" t="str">
            <v>כן</v>
          </cell>
          <cell r="I165" t="str">
            <v>כן</v>
          </cell>
          <cell r="J165" t="str">
            <v>לא</v>
          </cell>
          <cell r="K165">
            <v>189</v>
          </cell>
          <cell r="L165">
            <v>125</v>
          </cell>
        </row>
        <row r="166">
          <cell r="D166">
            <v>400002</v>
          </cell>
          <cell r="E166" t="str">
            <v>רשות</v>
          </cell>
          <cell r="F166" t="str">
            <v>תורת משה</v>
          </cell>
          <cell r="G166" t="str">
            <v>יסודי בלבד</v>
          </cell>
          <cell r="H166" t="str">
            <v>כן</v>
          </cell>
          <cell r="I166" t="str">
            <v>כן</v>
          </cell>
          <cell r="J166" t="str">
            <v>כן</v>
          </cell>
          <cell r="K166">
            <v>206</v>
          </cell>
          <cell r="L166">
            <v>206</v>
          </cell>
        </row>
        <row r="167">
          <cell r="D167">
            <v>513184</v>
          </cell>
          <cell r="E167" t="str">
            <v>רשות</v>
          </cell>
          <cell r="F167" t="str">
            <v>יוחנני</v>
          </cell>
          <cell r="G167" t="str">
            <v>יסודי בלבד</v>
          </cell>
          <cell r="H167" t="str">
            <v>כן</v>
          </cell>
          <cell r="I167" t="str">
            <v>כן</v>
          </cell>
          <cell r="J167" t="str">
            <v>כן</v>
          </cell>
          <cell r="K167">
            <v>313</v>
          </cell>
          <cell r="L167">
            <v>84</v>
          </cell>
        </row>
        <row r="168">
          <cell r="D168">
            <v>411918</v>
          </cell>
          <cell r="E168" t="str">
            <v>רשות</v>
          </cell>
          <cell r="F168" t="str">
            <v>רמז</v>
          </cell>
          <cell r="G168" t="str">
            <v>יסודי בלבד</v>
          </cell>
          <cell r="H168" t="str">
            <v>כן</v>
          </cell>
          <cell r="I168" t="str">
            <v>כן</v>
          </cell>
          <cell r="J168" t="str">
            <v>כן</v>
          </cell>
          <cell r="K168">
            <v>305</v>
          </cell>
          <cell r="L168">
            <v>74</v>
          </cell>
        </row>
        <row r="169">
          <cell r="D169">
            <v>414359</v>
          </cell>
          <cell r="E169" t="str">
            <v>רשות</v>
          </cell>
          <cell r="F169" t="str">
            <v>ניצנים</v>
          </cell>
          <cell r="G169" t="str">
            <v>יסודי בלבד</v>
          </cell>
          <cell r="H169" t="str">
            <v>כן</v>
          </cell>
          <cell r="I169" t="str">
            <v>כן</v>
          </cell>
          <cell r="J169" t="str">
            <v>כן</v>
          </cell>
          <cell r="K169">
            <v>170</v>
          </cell>
          <cell r="L169">
            <v>43</v>
          </cell>
        </row>
        <row r="170">
          <cell r="D170">
            <v>510800</v>
          </cell>
          <cell r="E170" t="str">
            <v>רשות</v>
          </cell>
          <cell r="F170" t="str">
            <v>ניצנים</v>
          </cell>
          <cell r="G170" t="str">
            <v>יסודי בלבד</v>
          </cell>
          <cell r="H170" t="str">
            <v>כן</v>
          </cell>
          <cell r="I170" t="str">
            <v>כן</v>
          </cell>
          <cell r="J170" t="str">
            <v>כן</v>
          </cell>
          <cell r="K170">
            <v>259</v>
          </cell>
          <cell r="L170">
            <v>172</v>
          </cell>
        </row>
        <row r="171">
          <cell r="D171">
            <v>412866</v>
          </cell>
          <cell r="E171" t="str">
            <v/>
          </cell>
          <cell r="F171" t="str">
            <v>בית יעקב נתניה</v>
          </cell>
          <cell r="G171" t="str">
            <v>יסודי בלבד</v>
          </cell>
          <cell r="H171" t="str">
            <v>כן</v>
          </cell>
          <cell r="I171" t="str">
            <v>כן</v>
          </cell>
          <cell r="J171" t="str">
            <v>כן</v>
          </cell>
          <cell r="K171">
            <v>0</v>
          </cell>
          <cell r="L171">
            <v>75</v>
          </cell>
        </row>
        <row r="172">
          <cell r="D172">
            <v>482349</v>
          </cell>
          <cell r="E172" t="str">
            <v>רשות</v>
          </cell>
          <cell r="F172" t="str">
            <v>פנינים</v>
          </cell>
          <cell r="G172" t="str">
            <v>יסודי בלבד</v>
          </cell>
          <cell r="H172" t="str">
            <v>כן</v>
          </cell>
          <cell r="I172" t="str">
            <v>כן</v>
          </cell>
          <cell r="J172" t="str">
            <v>כן</v>
          </cell>
          <cell r="K172">
            <v>72</v>
          </cell>
          <cell r="L172">
            <v>72</v>
          </cell>
        </row>
        <row r="173">
          <cell r="D173">
            <v>219261</v>
          </cell>
          <cell r="E173" t="str">
            <v>רשות</v>
          </cell>
          <cell r="F173" t="str">
            <v>יסודי בוסמת טבעון</v>
          </cell>
          <cell r="G173" t="str">
            <v>יסודי בלבד</v>
          </cell>
          <cell r="H173" t="str">
            <v>כן</v>
          </cell>
          <cell r="I173" t="str">
            <v>כן</v>
          </cell>
          <cell r="J173" t="str">
            <v>כן</v>
          </cell>
          <cell r="K173">
            <v>171</v>
          </cell>
          <cell r="L173">
            <v>130</v>
          </cell>
        </row>
        <row r="174">
          <cell r="D174">
            <v>613083</v>
          </cell>
          <cell r="E174" t="str">
            <v>רשות</v>
          </cell>
          <cell r="F174" t="str">
            <v>נועם חיים</v>
          </cell>
          <cell r="G174" t="str">
            <v>יסודי בלבד</v>
          </cell>
          <cell r="H174" t="str">
            <v>כן</v>
          </cell>
          <cell r="I174" t="str">
            <v>כן</v>
          </cell>
          <cell r="J174" t="str">
            <v>כן</v>
          </cell>
          <cell r="K174">
            <v>221</v>
          </cell>
          <cell r="L174">
            <v>144</v>
          </cell>
        </row>
        <row r="175">
          <cell r="D175">
            <v>219725</v>
          </cell>
          <cell r="E175" t="str">
            <v>רשות</v>
          </cell>
          <cell r="F175" t="str">
            <v>יסודי חדש משותף</v>
          </cell>
          <cell r="G175" t="str">
            <v>יסודי בלבד</v>
          </cell>
          <cell r="H175" t="str">
            <v>כן</v>
          </cell>
          <cell r="I175" t="str">
            <v>כן</v>
          </cell>
          <cell r="J175" t="str">
            <v>כן</v>
          </cell>
          <cell r="K175">
            <v>157</v>
          </cell>
          <cell r="L175">
            <v>141</v>
          </cell>
        </row>
        <row r="176">
          <cell r="D176">
            <v>318840</v>
          </cell>
          <cell r="E176" t="str">
            <v>רשות</v>
          </cell>
          <cell r="F176" t="str">
            <v>אלעין</v>
          </cell>
          <cell r="G176" t="str">
            <v>יסודי בלבד</v>
          </cell>
          <cell r="H176" t="str">
            <v>כן</v>
          </cell>
          <cell r="I176" t="str">
            <v>כן</v>
          </cell>
          <cell r="J176" t="str">
            <v>כן</v>
          </cell>
          <cell r="K176">
            <v>151</v>
          </cell>
          <cell r="L176">
            <v>65</v>
          </cell>
        </row>
        <row r="177">
          <cell r="D177">
            <v>610659</v>
          </cell>
          <cell r="E177" t="str">
            <v>רשות</v>
          </cell>
          <cell r="F177" t="str">
            <v>חופים</v>
          </cell>
          <cell r="G177" t="str">
            <v>יסודי בלבד</v>
          </cell>
          <cell r="H177" t="str">
            <v>כן</v>
          </cell>
          <cell r="I177" t="str">
            <v>כן</v>
          </cell>
          <cell r="J177" t="str">
            <v>כן</v>
          </cell>
          <cell r="K177">
            <v>260</v>
          </cell>
          <cell r="L177">
            <v>67</v>
          </cell>
        </row>
        <row r="178">
          <cell r="D178">
            <v>416941</v>
          </cell>
          <cell r="E178" t="str">
            <v>רשות</v>
          </cell>
          <cell r="F178" t="str">
            <v>יסודי מ"מ שערי תקוה</v>
          </cell>
          <cell r="G178" t="str">
            <v>יסודי בלבד</v>
          </cell>
          <cell r="H178" t="str">
            <v>כן</v>
          </cell>
          <cell r="I178" t="str">
            <v>כן</v>
          </cell>
          <cell r="J178" t="str">
            <v>כן</v>
          </cell>
          <cell r="K178">
            <v>145</v>
          </cell>
          <cell r="L178">
            <v>70</v>
          </cell>
        </row>
        <row r="179">
          <cell r="D179">
            <v>411181</v>
          </cell>
          <cell r="E179" t="str">
            <v/>
          </cell>
          <cell r="F179" t="str">
            <v>ממל' אורנים</v>
          </cell>
          <cell r="G179" t="str">
            <v>יסודי בלבד</v>
          </cell>
          <cell r="H179" t="str">
            <v>כן</v>
          </cell>
          <cell r="I179" t="str">
            <v>כן</v>
          </cell>
          <cell r="J179" t="str">
            <v>כן</v>
          </cell>
          <cell r="K179">
            <v>302</v>
          </cell>
          <cell r="L179">
            <v>55</v>
          </cell>
        </row>
        <row r="180">
          <cell r="D180">
            <v>618736</v>
          </cell>
          <cell r="E180" t="str">
            <v>רשות</v>
          </cell>
          <cell r="F180" t="str">
            <v>אלביאן</v>
          </cell>
          <cell r="G180" t="str">
            <v>יסודי בלבד</v>
          </cell>
          <cell r="H180" t="str">
            <v>כן</v>
          </cell>
          <cell r="I180" t="str">
            <v>כן</v>
          </cell>
          <cell r="J180" t="str">
            <v>כן</v>
          </cell>
          <cell r="K180">
            <v>202</v>
          </cell>
          <cell r="L180">
            <v>140</v>
          </cell>
        </row>
        <row r="181">
          <cell r="D181">
            <v>415042</v>
          </cell>
          <cell r="E181" t="str">
            <v>רשות</v>
          </cell>
          <cell r="F181" t="str">
            <v>ממלכתי שדות -רמז</v>
          </cell>
          <cell r="G181" t="str">
            <v>יסודי בלבד</v>
          </cell>
          <cell r="H181" t="str">
            <v>כן</v>
          </cell>
          <cell r="I181" t="str">
            <v>כן</v>
          </cell>
          <cell r="J181" t="str">
            <v>כן</v>
          </cell>
          <cell r="K181">
            <v>185</v>
          </cell>
          <cell r="L181">
            <v>85</v>
          </cell>
        </row>
        <row r="182">
          <cell r="D182">
            <v>616565</v>
          </cell>
          <cell r="E182" t="str">
            <v>רשות</v>
          </cell>
          <cell r="F182" t="str">
            <v>אלבאט</v>
          </cell>
          <cell r="G182" t="str">
            <v>יסודי בלבד</v>
          </cell>
          <cell r="H182" t="str">
            <v>כן</v>
          </cell>
          <cell r="I182" t="str">
            <v>כן</v>
          </cell>
          <cell r="J182" t="str">
            <v>כן</v>
          </cell>
          <cell r="K182">
            <v>133</v>
          </cell>
          <cell r="L182">
            <v>120</v>
          </cell>
        </row>
        <row r="183">
          <cell r="D183">
            <v>631044</v>
          </cell>
          <cell r="E183" t="str">
            <v>רשות</v>
          </cell>
          <cell r="F183" t="str">
            <v>יסודי הרצוג</v>
          </cell>
          <cell r="G183" t="str">
            <v>יסודי בלבד</v>
          </cell>
          <cell r="H183" t="str">
            <v>כן</v>
          </cell>
          <cell r="I183" t="str">
            <v>כן</v>
          </cell>
          <cell r="J183" t="str">
            <v>כן</v>
          </cell>
          <cell r="K183">
            <v>338</v>
          </cell>
          <cell r="L183">
            <v>146</v>
          </cell>
        </row>
        <row r="184">
          <cell r="D184">
            <v>618561</v>
          </cell>
          <cell r="E184" t="str">
            <v>רשות</v>
          </cell>
          <cell r="F184" t="str">
            <v>אלראזי</v>
          </cell>
          <cell r="G184" t="str">
            <v>יסודי בלבד</v>
          </cell>
          <cell r="H184" t="str">
            <v>כן</v>
          </cell>
          <cell r="I184" t="str">
            <v>כן</v>
          </cell>
          <cell r="J184" t="str">
            <v>כן</v>
          </cell>
          <cell r="K184">
            <v>281</v>
          </cell>
          <cell r="L184">
            <v>220</v>
          </cell>
        </row>
        <row r="185">
          <cell r="D185">
            <v>318410</v>
          </cell>
          <cell r="E185" t="str">
            <v>רשות</v>
          </cell>
          <cell r="F185" t="str">
            <v>אופק</v>
          </cell>
          <cell r="G185" t="str">
            <v>יסודי בלבד</v>
          </cell>
          <cell r="H185" t="str">
            <v>כן</v>
          </cell>
          <cell r="I185" t="str">
            <v>כן</v>
          </cell>
          <cell r="J185" t="str">
            <v>לא</v>
          </cell>
          <cell r="K185">
            <v>84</v>
          </cell>
          <cell r="L185">
            <v>50</v>
          </cell>
        </row>
        <row r="186">
          <cell r="D186">
            <v>110098</v>
          </cell>
          <cell r="E186" t="str">
            <v>רשות</v>
          </cell>
          <cell r="F186" t="str">
            <v>השחר</v>
          </cell>
          <cell r="G186" t="str">
            <v>יסודי בלבד</v>
          </cell>
          <cell r="H186" t="str">
            <v>כן</v>
          </cell>
          <cell r="I186" t="str">
            <v>כן</v>
          </cell>
          <cell r="J186" t="str">
            <v>כן</v>
          </cell>
          <cell r="K186">
            <v>212</v>
          </cell>
          <cell r="L186">
            <v>86</v>
          </cell>
        </row>
        <row r="187">
          <cell r="D187">
            <v>414938</v>
          </cell>
          <cell r="E187" t="str">
            <v>רשות</v>
          </cell>
          <cell r="F187" t="str">
            <v>קשת שהם</v>
          </cell>
          <cell r="G187" t="str">
            <v>יסודי בלבד</v>
          </cell>
          <cell r="H187" t="str">
            <v>כן</v>
          </cell>
          <cell r="I187" t="str">
            <v>כן</v>
          </cell>
          <cell r="J187" t="str">
            <v>כן</v>
          </cell>
          <cell r="K187">
            <v>126</v>
          </cell>
          <cell r="L187">
            <v>64</v>
          </cell>
        </row>
        <row r="188">
          <cell r="D188">
            <v>165324</v>
          </cell>
          <cell r="E188" t="str">
            <v>רשות</v>
          </cell>
          <cell r="F188" t="str">
            <v>טלמון</v>
          </cell>
          <cell r="G188" t="str">
            <v>יסודי בלבד</v>
          </cell>
          <cell r="H188" t="str">
            <v>כן</v>
          </cell>
          <cell r="I188" t="str">
            <v>כן</v>
          </cell>
          <cell r="J188" t="str">
            <v>כן</v>
          </cell>
          <cell r="K188">
            <v>126</v>
          </cell>
          <cell r="L188">
            <v>46</v>
          </cell>
        </row>
        <row r="189">
          <cell r="D189">
            <v>413450</v>
          </cell>
          <cell r="E189" t="str">
            <v>רשות</v>
          </cell>
          <cell r="F189" t="str">
            <v>תרבות</v>
          </cell>
          <cell r="G189" t="str">
            <v>יסודי בלבד</v>
          </cell>
          <cell r="H189" t="str">
            <v>כן</v>
          </cell>
          <cell r="I189" t="str">
            <v>כן</v>
          </cell>
          <cell r="J189" t="str">
            <v>כן</v>
          </cell>
          <cell r="K189">
            <v>185</v>
          </cell>
          <cell r="L189">
            <v>51</v>
          </cell>
        </row>
        <row r="190">
          <cell r="D190">
            <v>412932</v>
          </cell>
          <cell r="E190" t="str">
            <v>רשות</v>
          </cell>
          <cell r="F190" t="str">
            <v>ידלין</v>
          </cell>
          <cell r="G190" t="str">
            <v>יסודי בלבד</v>
          </cell>
          <cell r="H190" t="str">
            <v>כן</v>
          </cell>
          <cell r="I190" t="str">
            <v>כן</v>
          </cell>
          <cell r="J190" t="str">
            <v>כן</v>
          </cell>
          <cell r="K190">
            <v>296</v>
          </cell>
          <cell r="L190">
            <v>141</v>
          </cell>
        </row>
        <row r="191">
          <cell r="D191">
            <v>384206</v>
          </cell>
          <cell r="E191" t="str">
            <v>רשות</v>
          </cell>
          <cell r="F191" t="str">
            <v>אוהלי יוסף יצחק עתלית חוף הכרמ</v>
          </cell>
          <cell r="G191" t="str">
            <v>יסודי בלבד</v>
          </cell>
          <cell r="H191" t="str">
            <v>כן</v>
          </cell>
          <cell r="I191" t="str">
            <v>כן</v>
          </cell>
          <cell r="J191" t="str">
            <v>כן</v>
          </cell>
          <cell r="K191">
            <v>26</v>
          </cell>
          <cell r="L191">
            <v>26</v>
          </cell>
        </row>
        <row r="192">
          <cell r="D192">
            <v>513143</v>
          </cell>
          <cell r="E192" t="str">
            <v>רשות</v>
          </cell>
          <cell r="F192" t="str">
            <v>עש דינור</v>
          </cell>
          <cell r="G192" t="str">
            <v>יסודי בלבד</v>
          </cell>
          <cell r="H192" t="str">
            <v>כן</v>
          </cell>
          <cell r="I192" t="str">
            <v>כן</v>
          </cell>
          <cell r="J192" t="str">
            <v>כן</v>
          </cell>
          <cell r="K192">
            <v>246</v>
          </cell>
          <cell r="L192">
            <v>99</v>
          </cell>
        </row>
        <row r="193">
          <cell r="D193">
            <v>413997</v>
          </cell>
          <cell r="E193" t="str">
            <v>רשות</v>
          </cell>
          <cell r="F193" t="str">
            <v>ממ"ד יחידני</v>
          </cell>
          <cell r="G193" t="str">
            <v>יסודי בלבד</v>
          </cell>
          <cell r="H193" t="str">
            <v>כן</v>
          </cell>
          <cell r="I193" t="str">
            <v>כן</v>
          </cell>
          <cell r="J193" t="str">
            <v>כן</v>
          </cell>
          <cell r="K193">
            <v>207</v>
          </cell>
          <cell r="L193">
            <v>96</v>
          </cell>
        </row>
        <row r="194">
          <cell r="D194">
            <v>413732</v>
          </cell>
          <cell r="E194" t="str">
            <v>רשות</v>
          </cell>
          <cell r="F194" t="str">
            <v>ממלכתי ניצנים</v>
          </cell>
          <cell r="G194" t="str">
            <v>יסודי בלבד</v>
          </cell>
          <cell r="H194" t="str">
            <v>כן</v>
          </cell>
          <cell r="I194" t="str">
            <v>כן</v>
          </cell>
          <cell r="J194" t="str">
            <v>כן</v>
          </cell>
          <cell r="K194">
            <v>284</v>
          </cell>
          <cell r="L194">
            <v>95</v>
          </cell>
        </row>
        <row r="195">
          <cell r="D195">
            <v>681460</v>
          </cell>
          <cell r="E195" t="str">
            <v>רשות</v>
          </cell>
          <cell r="F195" t="str">
            <v>יבוא ברינה</v>
          </cell>
          <cell r="G195" t="str">
            <v>יסודי בלבד</v>
          </cell>
          <cell r="H195" t="str">
            <v>כן</v>
          </cell>
          <cell r="I195" t="str">
            <v>כן</v>
          </cell>
          <cell r="J195" t="str">
            <v>כן</v>
          </cell>
          <cell r="K195">
            <v>228</v>
          </cell>
          <cell r="L195">
            <v>228</v>
          </cell>
        </row>
        <row r="196">
          <cell r="D196">
            <v>614719</v>
          </cell>
          <cell r="E196" t="str">
            <v>רשות</v>
          </cell>
          <cell r="F196" t="str">
            <v>נווה שלום</v>
          </cell>
          <cell r="G196" t="str">
            <v>יסודי בלבד</v>
          </cell>
          <cell r="H196" t="str">
            <v>כן</v>
          </cell>
          <cell r="I196" t="str">
            <v>כן</v>
          </cell>
          <cell r="J196" t="str">
            <v>כן</v>
          </cell>
          <cell r="K196">
            <v>244</v>
          </cell>
          <cell r="L196">
            <v>70</v>
          </cell>
        </row>
        <row r="197">
          <cell r="D197">
            <v>618462</v>
          </cell>
          <cell r="E197" t="str">
            <v>רשות</v>
          </cell>
          <cell r="F197" t="str">
            <v>אל - אמל</v>
          </cell>
          <cell r="G197" t="str">
            <v>יסודי בלבד</v>
          </cell>
          <cell r="H197" t="str">
            <v>כן</v>
          </cell>
          <cell r="I197" t="str">
            <v>כן</v>
          </cell>
          <cell r="J197" t="str">
            <v>כן</v>
          </cell>
          <cell r="K197">
            <v>332</v>
          </cell>
          <cell r="L197">
            <v>230</v>
          </cell>
        </row>
        <row r="198">
          <cell r="D198">
            <v>412791</v>
          </cell>
          <cell r="E198" t="str">
            <v>רשות</v>
          </cell>
          <cell r="F198" t="str">
            <v>חב"ד בנות</v>
          </cell>
          <cell r="G198" t="str">
            <v>יסודי בלבד</v>
          </cell>
          <cell r="H198" t="str">
            <v>כן</v>
          </cell>
          <cell r="I198" t="str">
            <v>כן</v>
          </cell>
          <cell r="J198" t="str">
            <v>כן</v>
          </cell>
          <cell r="K198">
            <v>166</v>
          </cell>
          <cell r="L198">
            <v>130</v>
          </cell>
        </row>
        <row r="199">
          <cell r="D199">
            <v>413070</v>
          </cell>
          <cell r="E199" t="str">
            <v>רשות</v>
          </cell>
          <cell r="F199" t="str">
            <v>איתמר</v>
          </cell>
          <cell r="G199" t="str">
            <v>יסודי בלבד</v>
          </cell>
          <cell r="H199" t="str">
            <v>כן</v>
          </cell>
          <cell r="I199" t="str">
            <v>כן</v>
          </cell>
          <cell r="J199" t="str">
            <v>כן</v>
          </cell>
          <cell r="K199">
            <v>248</v>
          </cell>
          <cell r="L199">
            <v>87</v>
          </cell>
        </row>
        <row r="200">
          <cell r="D200">
            <v>573089</v>
          </cell>
          <cell r="E200" t="str">
            <v>רשות</v>
          </cell>
          <cell r="F200" t="str">
            <v>ענבלים</v>
          </cell>
          <cell r="G200" t="str">
            <v>יסודי בלבד</v>
          </cell>
          <cell r="H200" t="str">
            <v>כן</v>
          </cell>
          <cell r="I200" t="str">
            <v>לא</v>
          </cell>
          <cell r="J200" t="str">
            <v>לא</v>
          </cell>
          <cell r="K200">
            <v>80</v>
          </cell>
          <cell r="L200">
            <v>45</v>
          </cell>
        </row>
        <row r="201">
          <cell r="D201">
            <v>613505</v>
          </cell>
          <cell r="E201" t="str">
            <v>רשות</v>
          </cell>
          <cell r="F201" t="str">
            <v>ברנע</v>
          </cell>
          <cell r="G201" t="str">
            <v>יסודי בלבד</v>
          </cell>
          <cell r="H201" t="str">
            <v>כן</v>
          </cell>
          <cell r="I201" t="str">
            <v>כן</v>
          </cell>
          <cell r="J201" t="str">
            <v>כן</v>
          </cell>
          <cell r="K201">
            <v>283</v>
          </cell>
          <cell r="L201">
            <v>120</v>
          </cell>
        </row>
        <row r="202">
          <cell r="D202">
            <v>410621</v>
          </cell>
          <cell r="E202" t="str">
            <v/>
          </cell>
          <cell r="F202" t="str">
            <v>רמז</v>
          </cell>
          <cell r="G202" t="str">
            <v>יסודי בלבד</v>
          </cell>
          <cell r="H202" t="str">
            <v>כן</v>
          </cell>
          <cell r="I202" t="str">
            <v>כן</v>
          </cell>
          <cell r="J202" t="str">
            <v>כן</v>
          </cell>
          <cell r="K202">
            <v>220</v>
          </cell>
          <cell r="L202">
            <v>68</v>
          </cell>
        </row>
        <row r="203">
          <cell r="D203">
            <v>612523</v>
          </cell>
          <cell r="E203" t="str">
            <v>רשות</v>
          </cell>
          <cell r="F203" t="str">
            <v>נווה ציון - ורדימון</v>
          </cell>
          <cell r="G203" t="str">
            <v>יסודי בלבד</v>
          </cell>
          <cell r="H203" t="str">
            <v>כן</v>
          </cell>
          <cell r="I203" t="str">
            <v>כן</v>
          </cell>
          <cell r="J203" t="str">
            <v>כן</v>
          </cell>
          <cell r="K203">
            <v>188</v>
          </cell>
          <cell r="L203">
            <v>89</v>
          </cell>
        </row>
        <row r="204">
          <cell r="D204">
            <v>612440</v>
          </cell>
          <cell r="E204" t="str">
            <v>רשות</v>
          </cell>
          <cell r="F204" t="str">
            <v>שחר</v>
          </cell>
          <cell r="G204" t="str">
            <v>יסודי בלבד</v>
          </cell>
          <cell r="H204" t="str">
            <v>כן</v>
          </cell>
          <cell r="I204" t="str">
            <v>כן</v>
          </cell>
          <cell r="J204" t="str">
            <v>כן</v>
          </cell>
          <cell r="K204">
            <v>202</v>
          </cell>
          <cell r="L204">
            <v>72</v>
          </cell>
        </row>
        <row r="205">
          <cell r="D205">
            <v>412080</v>
          </cell>
          <cell r="E205" t="str">
            <v>רשות</v>
          </cell>
          <cell r="F205" t="str">
            <v>ממ"ד תחכמוני</v>
          </cell>
          <cell r="G205" t="str">
            <v>יסודי בלבד</v>
          </cell>
          <cell r="H205" t="str">
            <v>כן</v>
          </cell>
          <cell r="I205" t="str">
            <v>כן</v>
          </cell>
          <cell r="J205" t="str">
            <v>כן</v>
          </cell>
          <cell r="K205">
            <v>225</v>
          </cell>
          <cell r="L205">
            <v>99</v>
          </cell>
        </row>
        <row r="206">
          <cell r="D206">
            <v>655548</v>
          </cell>
          <cell r="E206" t="str">
            <v/>
          </cell>
          <cell r="F206" t="str">
            <v>ייסדת עוז</v>
          </cell>
          <cell r="G206" t="str">
            <v>יסודי בלבד</v>
          </cell>
          <cell r="H206" t="str">
            <v>כן</v>
          </cell>
          <cell r="I206" t="str">
            <v>כן</v>
          </cell>
          <cell r="J206" t="str">
            <v>כן</v>
          </cell>
          <cell r="K206">
            <v>0</v>
          </cell>
          <cell r="L206">
            <v>51</v>
          </cell>
        </row>
        <row r="207">
          <cell r="D207">
            <v>413039</v>
          </cell>
          <cell r="E207" t="str">
            <v>רשות</v>
          </cell>
          <cell r="F207" t="str">
            <v>שיפר</v>
          </cell>
          <cell r="G207" t="str">
            <v>יסודי בלבד</v>
          </cell>
          <cell r="H207" t="str">
            <v>כן</v>
          </cell>
          <cell r="I207" t="str">
            <v>כן</v>
          </cell>
          <cell r="J207" t="str">
            <v>כן</v>
          </cell>
          <cell r="K207">
            <v>243</v>
          </cell>
          <cell r="L207">
            <v>145</v>
          </cell>
        </row>
        <row r="208">
          <cell r="D208">
            <v>618207</v>
          </cell>
          <cell r="E208" t="str">
            <v>רשות</v>
          </cell>
          <cell r="F208" t="str">
            <v>אל פורעה ראש זוהר</v>
          </cell>
          <cell r="G208" t="str">
            <v>יסודי בלבד</v>
          </cell>
          <cell r="H208" t="str">
            <v>כן</v>
          </cell>
          <cell r="I208" t="str">
            <v>כן</v>
          </cell>
          <cell r="J208" t="str">
            <v>כן</v>
          </cell>
          <cell r="K208">
            <v>305</v>
          </cell>
          <cell r="L208">
            <v>278</v>
          </cell>
        </row>
        <row r="209">
          <cell r="D209">
            <v>112151</v>
          </cell>
          <cell r="E209" t="str">
            <v>רשות</v>
          </cell>
          <cell r="F209" t="str">
            <v>מצפה יריחו</v>
          </cell>
          <cell r="G209" t="str">
            <v>יסודי בלבד</v>
          </cell>
          <cell r="H209" t="str">
            <v>כן</v>
          </cell>
          <cell r="I209" t="str">
            <v>כן</v>
          </cell>
          <cell r="J209" t="str">
            <v>כן</v>
          </cell>
          <cell r="K209">
            <v>240</v>
          </cell>
          <cell r="L209">
            <v>127</v>
          </cell>
        </row>
        <row r="210">
          <cell r="D210">
            <v>219600</v>
          </cell>
          <cell r="E210" t="str">
            <v>רשות</v>
          </cell>
          <cell r="F210" t="str">
            <v>יסודי א' עילוט</v>
          </cell>
          <cell r="G210" t="str">
            <v>יסודי בלבד</v>
          </cell>
          <cell r="H210" t="str">
            <v>כן</v>
          </cell>
          <cell r="I210" t="str">
            <v>כן</v>
          </cell>
          <cell r="J210" t="str">
            <v>כן</v>
          </cell>
          <cell r="K210">
            <v>129</v>
          </cell>
          <cell r="L210">
            <v>85</v>
          </cell>
        </row>
        <row r="211">
          <cell r="D211">
            <v>614875</v>
          </cell>
          <cell r="E211" t="str">
            <v>רשות</v>
          </cell>
          <cell r="F211" t="str">
            <v>יצחק רבין</v>
          </cell>
          <cell r="G211" t="str">
            <v>יסודי בלבד</v>
          </cell>
          <cell r="H211" t="str">
            <v>כן</v>
          </cell>
          <cell r="I211" t="str">
            <v>כן</v>
          </cell>
          <cell r="J211" t="str">
            <v>כן</v>
          </cell>
          <cell r="K211">
            <v>276</v>
          </cell>
          <cell r="L211">
            <v>100</v>
          </cell>
        </row>
        <row r="212">
          <cell r="D212">
            <v>610477</v>
          </cell>
          <cell r="E212" t="str">
            <v>רשות</v>
          </cell>
          <cell r="F212" t="str">
            <v>מורשה</v>
          </cell>
          <cell r="G212" t="str">
            <v>יסודי בלבד</v>
          </cell>
          <cell r="H212" t="str">
            <v>כן</v>
          </cell>
          <cell r="I212" t="str">
            <v>כן</v>
          </cell>
          <cell r="J212" t="str">
            <v>כן</v>
          </cell>
          <cell r="K212">
            <v>110</v>
          </cell>
          <cell r="L212">
            <v>58</v>
          </cell>
        </row>
        <row r="213">
          <cell r="D213">
            <v>611426</v>
          </cell>
          <cell r="E213" t="str">
            <v>רשות</v>
          </cell>
          <cell r="F213" t="str">
            <v>קול יעקב</v>
          </cell>
          <cell r="G213" t="str">
            <v>יסודי בלבד</v>
          </cell>
          <cell r="H213" t="str">
            <v>כן</v>
          </cell>
          <cell r="I213" t="str">
            <v>כן</v>
          </cell>
          <cell r="J213" t="str">
            <v>כן</v>
          </cell>
          <cell r="K213">
            <v>402</v>
          </cell>
          <cell r="L213">
            <v>143</v>
          </cell>
        </row>
        <row r="214">
          <cell r="D214">
            <v>511048</v>
          </cell>
          <cell r="E214" t="str">
            <v>רשות</v>
          </cell>
          <cell r="F214" t="str">
            <v>אילנות</v>
          </cell>
          <cell r="G214" t="str">
            <v>יסודי בלבד</v>
          </cell>
          <cell r="H214" t="str">
            <v>כן</v>
          </cell>
          <cell r="I214" t="str">
            <v>כן</v>
          </cell>
          <cell r="J214" t="str">
            <v>כן</v>
          </cell>
          <cell r="K214">
            <v>153</v>
          </cell>
          <cell r="L214">
            <v>117</v>
          </cell>
        </row>
        <row r="215">
          <cell r="D215">
            <v>618058</v>
          </cell>
          <cell r="E215" t="str">
            <v>רשות</v>
          </cell>
          <cell r="F215" t="str">
            <v>ערב אלהוזייל</v>
          </cell>
          <cell r="G215" t="str">
            <v>יסודי בלבד</v>
          </cell>
          <cell r="H215" t="str">
            <v>כן</v>
          </cell>
          <cell r="I215" t="str">
            <v>כן</v>
          </cell>
          <cell r="J215" t="str">
            <v>כן</v>
          </cell>
          <cell r="K215">
            <v>268</v>
          </cell>
          <cell r="L215">
            <v>120</v>
          </cell>
        </row>
        <row r="216">
          <cell r="D216">
            <v>645804</v>
          </cell>
          <cell r="E216" t="str">
            <v>רשות</v>
          </cell>
          <cell r="F216" t="str">
            <v>חיים הרצוג</v>
          </cell>
          <cell r="G216" t="str">
            <v>יסודי בלבד</v>
          </cell>
          <cell r="H216" t="str">
            <v>כן</v>
          </cell>
          <cell r="I216" t="str">
            <v>כן</v>
          </cell>
          <cell r="J216" t="str">
            <v>כן</v>
          </cell>
          <cell r="K216">
            <v>219</v>
          </cell>
          <cell r="L216">
            <v>219</v>
          </cell>
        </row>
        <row r="217">
          <cell r="D217">
            <v>411421</v>
          </cell>
          <cell r="E217" t="str">
            <v>רשות</v>
          </cell>
          <cell r="F217" t="str">
            <v>אפרים קישון</v>
          </cell>
          <cell r="G217" t="str">
            <v>יסודי בלבד</v>
          </cell>
          <cell r="H217" t="str">
            <v>כן</v>
          </cell>
          <cell r="I217" t="str">
            <v>כן</v>
          </cell>
          <cell r="J217" t="str">
            <v>כן</v>
          </cell>
          <cell r="K217">
            <v>122</v>
          </cell>
          <cell r="L217">
            <v>42</v>
          </cell>
        </row>
        <row r="218">
          <cell r="D218">
            <v>480228</v>
          </cell>
          <cell r="E218" t="str">
            <v>רשות</v>
          </cell>
          <cell r="F218" t="str">
            <v>אלונים ע"ש שולמית אלוני</v>
          </cell>
          <cell r="G218" t="str">
            <v>יסודי בלבד</v>
          </cell>
          <cell r="H218" t="str">
            <v>כן</v>
          </cell>
          <cell r="I218" t="str">
            <v>כן</v>
          </cell>
          <cell r="J218" t="str">
            <v>כן</v>
          </cell>
          <cell r="K218">
            <v>150</v>
          </cell>
          <cell r="L218">
            <v>49</v>
          </cell>
        </row>
        <row r="219">
          <cell r="D219">
            <v>610196</v>
          </cell>
          <cell r="E219" t="str">
            <v>רשות</v>
          </cell>
          <cell r="F219" t="str">
            <v>עוזיאל</v>
          </cell>
          <cell r="G219" t="str">
            <v>יסודי בלבד</v>
          </cell>
          <cell r="H219" t="str">
            <v>כן</v>
          </cell>
          <cell r="I219" t="str">
            <v>כן</v>
          </cell>
          <cell r="J219" t="str">
            <v>כן</v>
          </cell>
          <cell r="K219">
            <v>236</v>
          </cell>
          <cell r="L219">
            <v>140</v>
          </cell>
        </row>
        <row r="220">
          <cell r="D220">
            <v>612655</v>
          </cell>
          <cell r="E220" t="str">
            <v>רשות</v>
          </cell>
          <cell r="F220" t="str">
            <v>נחלים</v>
          </cell>
          <cell r="G220" t="str">
            <v>יסודי בלבד</v>
          </cell>
          <cell r="H220" t="str">
            <v>כן</v>
          </cell>
          <cell r="I220" t="str">
            <v>כן</v>
          </cell>
          <cell r="J220" t="str">
            <v>כן</v>
          </cell>
          <cell r="K220">
            <v>135</v>
          </cell>
          <cell r="L220">
            <v>84</v>
          </cell>
        </row>
        <row r="221">
          <cell r="D221">
            <v>615138</v>
          </cell>
          <cell r="E221" t="str">
            <v>רשות</v>
          </cell>
          <cell r="F221" t="str">
            <v>קדם</v>
          </cell>
          <cell r="G221" t="str">
            <v>יסודי בלבד</v>
          </cell>
          <cell r="H221" t="str">
            <v>כן</v>
          </cell>
          <cell r="I221" t="str">
            <v>כן</v>
          </cell>
          <cell r="J221" t="str">
            <v>כן</v>
          </cell>
          <cell r="K221">
            <v>39</v>
          </cell>
          <cell r="L221">
            <v>34</v>
          </cell>
        </row>
        <row r="222">
          <cell r="D222">
            <v>646166</v>
          </cell>
          <cell r="E222" t="str">
            <v>רשות</v>
          </cell>
          <cell r="F222" t="str">
            <v>נריה</v>
          </cell>
          <cell r="G222" t="str">
            <v>יסודי בלבד</v>
          </cell>
          <cell r="H222" t="str">
            <v>כן</v>
          </cell>
          <cell r="I222" t="str">
            <v>כן</v>
          </cell>
          <cell r="J222" t="str">
            <v>לא</v>
          </cell>
          <cell r="K222">
            <v>101</v>
          </cell>
          <cell r="L222">
            <v>59</v>
          </cell>
        </row>
        <row r="223">
          <cell r="D223">
            <v>318436</v>
          </cell>
          <cell r="E223" t="str">
            <v>רשות</v>
          </cell>
          <cell r="F223" t="str">
            <v>גת אלזהראא</v>
          </cell>
          <cell r="G223" t="str">
            <v>יסודי בלבד</v>
          </cell>
          <cell r="H223" t="str">
            <v>כן</v>
          </cell>
          <cell r="I223" t="str">
            <v>כן</v>
          </cell>
          <cell r="J223" t="str">
            <v>כן</v>
          </cell>
          <cell r="K223">
            <v>287</v>
          </cell>
          <cell r="L223">
            <v>53</v>
          </cell>
        </row>
        <row r="224">
          <cell r="D224">
            <v>348110</v>
          </cell>
          <cell r="E224" t="str">
            <v/>
          </cell>
          <cell r="F224" t="str">
            <v>יסודי ד'</v>
          </cell>
          <cell r="G224" t="str">
            <v>יסודי בלבד</v>
          </cell>
          <cell r="H224" t="str">
            <v>כן</v>
          </cell>
          <cell r="I224" t="str">
            <v>כן</v>
          </cell>
          <cell r="J224" t="str">
            <v>כן</v>
          </cell>
          <cell r="K224">
            <v>140</v>
          </cell>
          <cell r="L224">
            <v>44</v>
          </cell>
        </row>
        <row r="225">
          <cell r="D225">
            <v>630251</v>
          </cell>
          <cell r="E225" t="str">
            <v>רשות</v>
          </cell>
          <cell r="F225" t="str">
            <v>זמרת הארץ</v>
          </cell>
          <cell r="G225" t="str">
            <v>יסודי בלבד</v>
          </cell>
          <cell r="H225" t="str">
            <v>כן</v>
          </cell>
          <cell r="I225" t="str">
            <v>כן</v>
          </cell>
          <cell r="J225" t="str">
            <v>כן</v>
          </cell>
          <cell r="K225">
            <v>66</v>
          </cell>
          <cell r="L225">
            <v>66</v>
          </cell>
        </row>
        <row r="226">
          <cell r="D226">
            <v>512293</v>
          </cell>
          <cell r="E226" t="str">
            <v/>
          </cell>
          <cell r="F226" t="str">
            <v>תלמוד תורה חב"ד</v>
          </cell>
          <cell r="G226" t="str">
            <v>יסודי בלבד</v>
          </cell>
          <cell r="H226" t="str">
            <v>כן</v>
          </cell>
          <cell r="I226" t="str">
            <v>כן</v>
          </cell>
          <cell r="J226" t="str">
            <v>כן</v>
          </cell>
          <cell r="K226">
            <v>142</v>
          </cell>
          <cell r="L226">
            <v>142</v>
          </cell>
        </row>
        <row r="227">
          <cell r="D227">
            <v>618256</v>
          </cell>
          <cell r="E227" t="str">
            <v>רשות</v>
          </cell>
          <cell r="F227" t="str">
            <v>אלהודא</v>
          </cell>
          <cell r="G227" t="str">
            <v>יסודי בלבד</v>
          </cell>
          <cell r="H227" t="str">
            <v>כן</v>
          </cell>
          <cell r="I227" t="str">
            <v>כן</v>
          </cell>
          <cell r="J227" t="str">
            <v>כן</v>
          </cell>
          <cell r="K227">
            <v>181</v>
          </cell>
          <cell r="L227">
            <v>90</v>
          </cell>
        </row>
        <row r="228">
          <cell r="D228">
            <v>618371</v>
          </cell>
          <cell r="E228" t="str">
            <v>רשות</v>
          </cell>
          <cell r="F228" t="str">
            <v>סלאח א'דין</v>
          </cell>
          <cell r="G228" t="str">
            <v>יסודי בלבד</v>
          </cell>
          <cell r="H228" t="str">
            <v>כן</v>
          </cell>
          <cell r="I228" t="str">
            <v>כן</v>
          </cell>
          <cell r="J228" t="str">
            <v>כן</v>
          </cell>
          <cell r="K228">
            <v>354</v>
          </cell>
          <cell r="L228">
            <v>150</v>
          </cell>
        </row>
        <row r="229">
          <cell r="D229">
            <v>630236</v>
          </cell>
          <cell r="E229" t="str">
            <v>רשות</v>
          </cell>
          <cell r="F229" t="str">
            <v>ת"ת מצפה יריחו</v>
          </cell>
          <cell r="G229" t="str">
            <v>יסודי בלבד</v>
          </cell>
          <cell r="H229" t="str">
            <v>כן</v>
          </cell>
          <cell r="I229" t="str">
            <v>כן</v>
          </cell>
          <cell r="J229" t="str">
            <v>כן</v>
          </cell>
          <cell r="K229">
            <v>61</v>
          </cell>
          <cell r="L229">
            <v>61</v>
          </cell>
        </row>
        <row r="230">
          <cell r="D230">
            <v>611830</v>
          </cell>
          <cell r="E230" t="str">
            <v>רשות</v>
          </cell>
          <cell r="F230" t="str">
            <v>אילנות</v>
          </cell>
          <cell r="G230" t="str">
            <v>יסודי בלבד</v>
          </cell>
          <cell r="H230" t="str">
            <v>כן</v>
          </cell>
          <cell r="I230" t="str">
            <v>כן</v>
          </cell>
          <cell r="J230" t="str">
            <v>כן</v>
          </cell>
          <cell r="K230">
            <v>221</v>
          </cell>
          <cell r="L230">
            <v>86</v>
          </cell>
        </row>
        <row r="231">
          <cell r="D231">
            <v>414441</v>
          </cell>
          <cell r="E231" t="str">
            <v>רשות</v>
          </cell>
          <cell r="F231" t="str">
            <v>רננים</v>
          </cell>
          <cell r="G231" t="str">
            <v>יסודי בלבד</v>
          </cell>
          <cell r="H231" t="str">
            <v>כן</v>
          </cell>
          <cell r="I231" t="str">
            <v>כן</v>
          </cell>
          <cell r="J231" t="str">
            <v>כן</v>
          </cell>
          <cell r="K231">
            <v>133</v>
          </cell>
          <cell r="L231">
            <v>57</v>
          </cell>
        </row>
        <row r="232">
          <cell r="D232">
            <v>615062</v>
          </cell>
          <cell r="E232" t="str">
            <v/>
          </cell>
          <cell r="F232" t="str">
            <v>נועם נצרים</v>
          </cell>
          <cell r="G232" t="str">
            <v>יסודי בלבד</v>
          </cell>
          <cell r="H232" t="str">
            <v>כן</v>
          </cell>
          <cell r="I232" t="str">
            <v>כן</v>
          </cell>
          <cell r="J232" t="str">
            <v>כן</v>
          </cell>
          <cell r="K232">
            <v>84</v>
          </cell>
          <cell r="L232">
            <v>45</v>
          </cell>
        </row>
        <row r="233">
          <cell r="D233">
            <v>484105</v>
          </cell>
          <cell r="E233" t="str">
            <v>רשות</v>
          </cell>
          <cell r="F233" t="str">
            <v>נרקיסים</v>
          </cell>
          <cell r="G233" t="str">
            <v>יסודי בלבד</v>
          </cell>
          <cell r="H233" t="str">
            <v>כן</v>
          </cell>
          <cell r="I233" t="str">
            <v>כן</v>
          </cell>
          <cell r="J233" t="str">
            <v>כן</v>
          </cell>
          <cell r="K233">
            <v>401</v>
          </cell>
          <cell r="L233">
            <v>93</v>
          </cell>
        </row>
        <row r="234">
          <cell r="D234">
            <v>630004</v>
          </cell>
          <cell r="E234" t="str">
            <v/>
          </cell>
          <cell r="F234" t="str">
            <v>ברסלב</v>
          </cell>
          <cell r="G234" t="str">
            <v>יסודי בלבד</v>
          </cell>
          <cell r="H234" t="str">
            <v>כן</v>
          </cell>
          <cell r="I234" t="str">
            <v>כן</v>
          </cell>
          <cell r="J234" t="str">
            <v>כן</v>
          </cell>
          <cell r="K234">
            <v>33</v>
          </cell>
          <cell r="L234">
            <v>33</v>
          </cell>
        </row>
        <row r="235">
          <cell r="D235">
            <v>510487</v>
          </cell>
          <cell r="E235" t="str">
            <v>רשות</v>
          </cell>
          <cell r="F235" t="str">
            <v>ביאליק</v>
          </cell>
          <cell r="G235" t="str">
            <v>יסודי בלבד</v>
          </cell>
          <cell r="H235" t="str">
            <v>כן</v>
          </cell>
          <cell r="I235" t="str">
            <v>כן</v>
          </cell>
          <cell r="J235" t="str">
            <v>כן</v>
          </cell>
          <cell r="K235">
            <v>187</v>
          </cell>
          <cell r="L235">
            <v>87</v>
          </cell>
        </row>
        <row r="236">
          <cell r="D236">
            <v>616557</v>
          </cell>
          <cell r="E236" t="str">
            <v>רשות</v>
          </cell>
          <cell r="F236" t="str">
            <v>צמח דוד</v>
          </cell>
          <cell r="G236" t="str">
            <v>יסודי בלבד</v>
          </cell>
          <cell r="H236" t="str">
            <v>כן</v>
          </cell>
          <cell r="I236" t="str">
            <v>כן</v>
          </cell>
          <cell r="J236" t="str">
            <v>כן</v>
          </cell>
          <cell r="K236">
            <v>66</v>
          </cell>
          <cell r="L236">
            <v>60</v>
          </cell>
        </row>
        <row r="237">
          <cell r="D237">
            <v>512574</v>
          </cell>
          <cell r="E237" t="str">
            <v>רשות</v>
          </cell>
          <cell r="F237" t="str">
            <v>צפורי מד</v>
          </cell>
          <cell r="G237" t="str">
            <v>יסודי בלבד</v>
          </cell>
          <cell r="H237" t="str">
            <v>כן</v>
          </cell>
          <cell r="I237" t="str">
            <v>כן</v>
          </cell>
          <cell r="J237" t="str">
            <v>לא</v>
          </cell>
          <cell r="K237">
            <v>145</v>
          </cell>
          <cell r="L237">
            <v>102</v>
          </cell>
        </row>
        <row r="238">
          <cell r="D238">
            <v>411306</v>
          </cell>
          <cell r="E238" t="str">
            <v>רשות</v>
          </cell>
          <cell r="F238" t="str">
            <v>עמיטל תורני</v>
          </cell>
          <cell r="G238" t="str">
            <v>יסודי בלבד</v>
          </cell>
          <cell r="H238" t="str">
            <v>כן</v>
          </cell>
          <cell r="I238" t="str">
            <v>כן</v>
          </cell>
          <cell r="J238" t="str">
            <v>כן</v>
          </cell>
          <cell r="K238">
            <v>473</v>
          </cell>
          <cell r="L238">
            <v>267</v>
          </cell>
        </row>
        <row r="239">
          <cell r="D239">
            <v>414490</v>
          </cell>
          <cell r="E239" t="str">
            <v>רשות</v>
          </cell>
          <cell r="F239" t="str">
            <v>ממ"ד שילה</v>
          </cell>
          <cell r="G239" t="str">
            <v>יסודי בלבד</v>
          </cell>
          <cell r="H239" t="str">
            <v>כן</v>
          </cell>
          <cell r="I239" t="str">
            <v>כן</v>
          </cell>
          <cell r="J239" t="str">
            <v>כן</v>
          </cell>
          <cell r="K239">
            <v>129</v>
          </cell>
          <cell r="L239">
            <v>116</v>
          </cell>
        </row>
        <row r="240">
          <cell r="D240">
            <v>510511</v>
          </cell>
          <cell r="E240" t="str">
            <v>רשות</v>
          </cell>
          <cell r="F240" t="str">
            <v>המגינים</v>
          </cell>
          <cell r="G240" t="str">
            <v>יסודי בלבד</v>
          </cell>
          <cell r="H240" t="str">
            <v>כן</v>
          </cell>
          <cell r="I240" t="str">
            <v>כן</v>
          </cell>
          <cell r="J240" t="str">
            <v>כן</v>
          </cell>
          <cell r="K240">
            <v>134</v>
          </cell>
          <cell r="L240">
            <v>90</v>
          </cell>
        </row>
        <row r="241">
          <cell r="D241">
            <v>513333</v>
          </cell>
          <cell r="E241" t="str">
            <v>רשות</v>
          </cell>
          <cell r="F241" t="str">
            <v>שזר</v>
          </cell>
          <cell r="G241" t="str">
            <v>יסודי בלבד</v>
          </cell>
          <cell r="H241" t="str">
            <v>כן</v>
          </cell>
          <cell r="I241" t="str">
            <v>כן</v>
          </cell>
          <cell r="J241" t="str">
            <v>לא</v>
          </cell>
          <cell r="K241">
            <v>137</v>
          </cell>
          <cell r="L241">
            <v>40</v>
          </cell>
        </row>
        <row r="242">
          <cell r="D242">
            <v>417220</v>
          </cell>
          <cell r="E242" t="str">
            <v>רשות</v>
          </cell>
          <cell r="F242" t="str">
            <v>ממ"ד תורני נווה אברהם</v>
          </cell>
          <cell r="G242" t="str">
            <v>יסודי בלבד</v>
          </cell>
          <cell r="H242" t="str">
            <v>כן</v>
          </cell>
          <cell r="I242" t="str">
            <v>כן</v>
          </cell>
          <cell r="J242" t="str">
            <v>כן</v>
          </cell>
          <cell r="K242">
            <v>319</v>
          </cell>
          <cell r="L242">
            <v>116</v>
          </cell>
        </row>
        <row r="243">
          <cell r="D243">
            <v>310284</v>
          </cell>
          <cell r="E243" t="str">
            <v>רשות</v>
          </cell>
          <cell r="F243" t="str">
            <v>קפלן</v>
          </cell>
          <cell r="G243" t="str">
            <v>יסודי בלבד</v>
          </cell>
          <cell r="H243" t="str">
            <v>כן</v>
          </cell>
          <cell r="I243" t="str">
            <v>כן</v>
          </cell>
          <cell r="J243" t="str">
            <v>לא</v>
          </cell>
          <cell r="K243">
            <v>182</v>
          </cell>
          <cell r="L243">
            <v>115</v>
          </cell>
        </row>
        <row r="244">
          <cell r="D244">
            <v>413260</v>
          </cell>
          <cell r="E244" t="str">
            <v>רשות</v>
          </cell>
          <cell r="F244" t="str">
            <v>עמיטל</v>
          </cell>
          <cell r="G244" t="str">
            <v>יסודי בלבד</v>
          </cell>
          <cell r="H244" t="str">
            <v>כן</v>
          </cell>
          <cell r="I244" t="str">
            <v>כן</v>
          </cell>
          <cell r="J244" t="str">
            <v>כן</v>
          </cell>
          <cell r="K244">
            <v>159</v>
          </cell>
          <cell r="L244">
            <v>110</v>
          </cell>
        </row>
        <row r="245">
          <cell r="D245">
            <v>414888</v>
          </cell>
          <cell r="E245" t="str">
            <v>רשות</v>
          </cell>
          <cell r="F245" t="str">
            <v>קרית רבין ממ' חדש</v>
          </cell>
          <cell r="G245" t="str">
            <v>יסודי בלבד</v>
          </cell>
          <cell r="H245" t="str">
            <v>כן</v>
          </cell>
          <cell r="I245" t="str">
            <v>כן</v>
          </cell>
          <cell r="J245" t="str">
            <v>כן</v>
          </cell>
          <cell r="K245">
            <v>253</v>
          </cell>
          <cell r="L245">
            <v>41</v>
          </cell>
        </row>
        <row r="246">
          <cell r="D246">
            <v>411892</v>
          </cell>
          <cell r="E246" t="str">
            <v>רשות</v>
          </cell>
          <cell r="F246" t="str">
            <v>ויתקין</v>
          </cell>
          <cell r="G246" t="str">
            <v>יסודי בלבד</v>
          </cell>
          <cell r="H246" t="str">
            <v>כן</v>
          </cell>
          <cell r="I246" t="str">
            <v>כן</v>
          </cell>
          <cell r="J246" t="str">
            <v>כן</v>
          </cell>
          <cell r="K246">
            <v>157</v>
          </cell>
          <cell r="L246">
            <v>47</v>
          </cell>
        </row>
        <row r="247">
          <cell r="D247">
            <v>510321</v>
          </cell>
          <cell r="E247" t="str">
            <v>רשות</v>
          </cell>
          <cell r="F247" t="str">
            <v>י.ח. ברנר</v>
          </cell>
          <cell r="G247" t="str">
            <v>יסודי בלבד</v>
          </cell>
          <cell r="H247" t="str">
            <v>כן</v>
          </cell>
          <cell r="I247" t="str">
            <v>כן</v>
          </cell>
          <cell r="J247" t="str">
            <v>כן</v>
          </cell>
          <cell r="K247">
            <v>287</v>
          </cell>
          <cell r="L247">
            <v>84</v>
          </cell>
        </row>
        <row r="248">
          <cell r="D248">
            <v>214668</v>
          </cell>
          <cell r="E248" t="str">
            <v>רשות</v>
          </cell>
          <cell r="F248" t="str">
            <v>ממ"ד נועם</v>
          </cell>
          <cell r="G248" t="str">
            <v>יסודי בלבד</v>
          </cell>
          <cell r="H248" t="str">
            <v>כן</v>
          </cell>
          <cell r="I248" t="str">
            <v>כן</v>
          </cell>
          <cell r="J248" t="str">
            <v>כן</v>
          </cell>
          <cell r="K248">
            <v>141</v>
          </cell>
          <cell r="L248">
            <v>106</v>
          </cell>
        </row>
        <row r="249">
          <cell r="D249">
            <v>211383</v>
          </cell>
          <cell r="E249" t="str">
            <v>רשות</v>
          </cell>
          <cell r="F249" t="str">
            <v>יהלם-מעלות תרשיחא</v>
          </cell>
          <cell r="G249" t="str">
            <v>יסודי בלבד</v>
          </cell>
          <cell r="H249" t="str">
            <v>כן</v>
          </cell>
          <cell r="I249" t="str">
            <v>כן</v>
          </cell>
          <cell r="J249" t="str">
            <v>כן</v>
          </cell>
          <cell r="K249">
            <v>152</v>
          </cell>
          <cell r="L249">
            <v>90</v>
          </cell>
        </row>
        <row r="250">
          <cell r="D250">
            <v>610063</v>
          </cell>
          <cell r="E250" t="str">
            <v>רשות</v>
          </cell>
          <cell r="F250" t="str">
            <v>אשלים</v>
          </cell>
          <cell r="G250" t="str">
            <v>יסודי בלבד</v>
          </cell>
          <cell r="H250" t="str">
            <v>כן</v>
          </cell>
          <cell r="I250" t="str">
            <v>כן</v>
          </cell>
          <cell r="J250" t="str">
            <v>כן</v>
          </cell>
          <cell r="K250">
            <v>152</v>
          </cell>
          <cell r="L250">
            <v>114</v>
          </cell>
        </row>
        <row r="251">
          <cell r="D251">
            <v>614214</v>
          </cell>
          <cell r="E251" t="str">
            <v>רשות</v>
          </cell>
          <cell r="F251" t="str">
            <v>נווה דקלים</v>
          </cell>
          <cell r="G251" t="str">
            <v>יסודי בלבד</v>
          </cell>
          <cell r="H251" t="str">
            <v>כן</v>
          </cell>
          <cell r="I251" t="str">
            <v>כן</v>
          </cell>
          <cell r="J251" t="str">
            <v>כן</v>
          </cell>
          <cell r="K251">
            <v>229</v>
          </cell>
          <cell r="L251">
            <v>105</v>
          </cell>
        </row>
        <row r="252">
          <cell r="D252">
            <v>219402</v>
          </cell>
          <cell r="E252" t="str">
            <v>רשות</v>
          </cell>
          <cell r="F252" t="str">
            <v>אלגזאלי עראבה</v>
          </cell>
          <cell r="G252" t="str">
            <v>יסודי בלבד</v>
          </cell>
          <cell r="H252" t="str">
            <v>כן</v>
          </cell>
          <cell r="I252" t="str">
            <v>כן</v>
          </cell>
          <cell r="J252" t="str">
            <v>כן</v>
          </cell>
          <cell r="K252">
            <v>109</v>
          </cell>
          <cell r="L252">
            <v>40</v>
          </cell>
        </row>
        <row r="253">
          <cell r="D253">
            <v>417121</v>
          </cell>
          <cell r="E253" t="str">
            <v>רשות</v>
          </cell>
          <cell r="F253" t="str">
            <v>רועי קליין</v>
          </cell>
          <cell r="G253" t="str">
            <v>יסודי בלבד</v>
          </cell>
          <cell r="H253" t="str">
            <v>כן</v>
          </cell>
          <cell r="I253" t="str">
            <v>כן</v>
          </cell>
          <cell r="J253" t="str">
            <v>כן</v>
          </cell>
          <cell r="K253">
            <v>293</v>
          </cell>
          <cell r="L253">
            <v>82</v>
          </cell>
        </row>
        <row r="254">
          <cell r="D254">
            <v>415372</v>
          </cell>
          <cell r="E254" t="str">
            <v>רשות</v>
          </cell>
          <cell r="F254" t="str">
            <v>ממ"ד נועם</v>
          </cell>
          <cell r="G254" t="str">
            <v>יסודי בלבד</v>
          </cell>
          <cell r="H254" t="str">
            <v>כן</v>
          </cell>
          <cell r="I254" t="str">
            <v>כן</v>
          </cell>
          <cell r="J254" t="str">
            <v>כן</v>
          </cell>
          <cell r="K254">
            <v>173</v>
          </cell>
          <cell r="L254">
            <v>75</v>
          </cell>
        </row>
        <row r="255">
          <cell r="D255">
            <v>512400</v>
          </cell>
          <cell r="E255" t="str">
            <v>רשות</v>
          </cell>
          <cell r="F255" t="str">
            <v>קמפוס יצחק נבון לאמנויות</v>
          </cell>
          <cell r="G255" t="str">
            <v>יסודי בלבד</v>
          </cell>
          <cell r="H255" t="str">
            <v>כן</v>
          </cell>
          <cell r="I255" t="str">
            <v>כן</v>
          </cell>
          <cell r="J255" t="str">
            <v>כן</v>
          </cell>
          <cell r="K255">
            <v>221</v>
          </cell>
          <cell r="L255">
            <v>80</v>
          </cell>
        </row>
        <row r="256">
          <cell r="D256">
            <v>610162</v>
          </cell>
          <cell r="E256" t="str">
            <v>רשות</v>
          </cell>
          <cell r="F256" t="str">
            <v>ארלוזורוב</v>
          </cell>
          <cell r="G256" t="str">
            <v>יסודי בלבד</v>
          </cell>
          <cell r="H256" t="str">
            <v>כן</v>
          </cell>
          <cell r="I256" t="str">
            <v>כן</v>
          </cell>
          <cell r="J256" t="str">
            <v>כן</v>
          </cell>
          <cell r="K256">
            <v>143</v>
          </cell>
          <cell r="L256">
            <v>55</v>
          </cell>
        </row>
        <row r="257">
          <cell r="D257">
            <v>311290</v>
          </cell>
          <cell r="E257" t="str">
            <v>רשות</v>
          </cell>
          <cell r="F257" t="str">
            <v>כרמל וים</v>
          </cell>
          <cell r="G257" t="str">
            <v>יסודי בלבד</v>
          </cell>
          <cell r="H257" t="str">
            <v>כן</v>
          </cell>
          <cell r="I257" t="str">
            <v>כן</v>
          </cell>
          <cell r="J257" t="str">
            <v>כן</v>
          </cell>
          <cell r="K257">
            <v>216</v>
          </cell>
          <cell r="L257">
            <v>49</v>
          </cell>
        </row>
        <row r="258">
          <cell r="D258">
            <v>361238</v>
          </cell>
          <cell r="E258" t="str">
            <v>בעלות</v>
          </cell>
          <cell r="F258" t="str">
            <v>עטרת אסתר</v>
          </cell>
          <cell r="G258" t="str">
            <v>יסודי בלבד</v>
          </cell>
          <cell r="H258" t="str">
            <v>כן</v>
          </cell>
          <cell r="I258" t="str">
            <v>כן</v>
          </cell>
          <cell r="J258" t="str">
            <v>כן</v>
          </cell>
          <cell r="K258">
            <v>54</v>
          </cell>
          <cell r="L258">
            <v>43</v>
          </cell>
        </row>
        <row r="259">
          <cell r="D259">
            <v>511006</v>
          </cell>
          <cell r="E259" t="str">
            <v/>
          </cell>
          <cell r="F259" t="str">
            <v>אוסישקין</v>
          </cell>
          <cell r="G259" t="str">
            <v>יסודי בלבד</v>
          </cell>
          <cell r="H259" t="str">
            <v>כן</v>
          </cell>
          <cell r="I259" t="str">
            <v>כן</v>
          </cell>
          <cell r="J259" t="str">
            <v>כן</v>
          </cell>
          <cell r="K259">
            <v>193</v>
          </cell>
          <cell r="L259">
            <v>193</v>
          </cell>
        </row>
        <row r="260">
          <cell r="D260">
            <v>416628</v>
          </cell>
          <cell r="E260" t="str">
            <v>רשות</v>
          </cell>
          <cell r="F260" t="str">
            <v>מ"מ תשרי</v>
          </cell>
          <cell r="G260" t="str">
            <v>יסודי בלבד</v>
          </cell>
          <cell r="H260" t="str">
            <v>כן</v>
          </cell>
          <cell r="I260" t="str">
            <v>כן</v>
          </cell>
          <cell r="J260" t="str">
            <v>כן</v>
          </cell>
          <cell r="K260">
            <v>166</v>
          </cell>
          <cell r="L260">
            <v>124</v>
          </cell>
        </row>
        <row r="261">
          <cell r="D261">
            <v>610048</v>
          </cell>
          <cell r="E261" t="str">
            <v>רשות</v>
          </cell>
          <cell r="F261" t="str">
            <v>ימין הרצוג</v>
          </cell>
          <cell r="G261" t="str">
            <v>יסודי בלבד</v>
          </cell>
          <cell r="H261" t="str">
            <v>כן</v>
          </cell>
          <cell r="I261" t="str">
            <v>כן</v>
          </cell>
          <cell r="J261" t="str">
            <v>כן</v>
          </cell>
          <cell r="K261">
            <v>172</v>
          </cell>
          <cell r="L261">
            <v>172</v>
          </cell>
        </row>
        <row r="262">
          <cell r="D262">
            <v>634865</v>
          </cell>
          <cell r="E262" t="str">
            <v/>
          </cell>
          <cell r="F262" t="str">
            <v>תשב"ר ממ"ח</v>
          </cell>
          <cell r="G262" t="str">
            <v>יסודי בלבד</v>
          </cell>
          <cell r="H262" t="str">
            <v>כן</v>
          </cell>
          <cell r="I262" t="str">
            <v>כן</v>
          </cell>
          <cell r="J262" t="str">
            <v>כן</v>
          </cell>
          <cell r="K262">
            <v>127</v>
          </cell>
          <cell r="L262">
            <v>127</v>
          </cell>
        </row>
        <row r="263">
          <cell r="D263">
            <v>480210</v>
          </cell>
          <cell r="E263" t="str">
            <v>רשות</v>
          </cell>
          <cell r="F263" t="str">
            <v>אליאב</v>
          </cell>
          <cell r="G263" t="str">
            <v>יסודי בלבד</v>
          </cell>
          <cell r="H263" t="str">
            <v>כן</v>
          </cell>
          <cell r="I263" t="str">
            <v>כן</v>
          </cell>
          <cell r="J263" t="str">
            <v>כן</v>
          </cell>
          <cell r="K263">
            <v>184</v>
          </cell>
          <cell r="L263">
            <v>53</v>
          </cell>
        </row>
        <row r="264">
          <cell r="D264">
            <v>634857</v>
          </cell>
          <cell r="E264" t="str">
            <v/>
          </cell>
          <cell r="F264" t="str">
            <v>אלפא</v>
          </cell>
          <cell r="G264" t="str">
            <v>יסודי בלבד</v>
          </cell>
          <cell r="H264" t="str">
            <v>כן</v>
          </cell>
          <cell r="I264" t="str">
            <v>כן</v>
          </cell>
          <cell r="J264" t="str">
            <v>כן</v>
          </cell>
          <cell r="K264">
            <v>211</v>
          </cell>
          <cell r="L264">
            <v>50</v>
          </cell>
        </row>
        <row r="265">
          <cell r="D265">
            <v>681809</v>
          </cell>
          <cell r="E265" t="str">
            <v>רשות</v>
          </cell>
          <cell r="F265" t="str">
            <v>דרכי אבות אלעד</v>
          </cell>
          <cell r="G265" t="str">
            <v>יסודי בלבד</v>
          </cell>
          <cell r="H265" t="str">
            <v>כן</v>
          </cell>
          <cell r="I265" t="str">
            <v>כן</v>
          </cell>
          <cell r="J265" t="str">
            <v>כן</v>
          </cell>
          <cell r="K265">
            <v>65</v>
          </cell>
          <cell r="L265">
            <v>43</v>
          </cell>
        </row>
        <row r="266">
          <cell r="D266">
            <v>219071</v>
          </cell>
          <cell r="E266" t="str">
            <v>רשות</v>
          </cell>
          <cell r="F266" t="str">
            <v>תינאל בית ספר יסודי כפר קמא</v>
          </cell>
          <cell r="G266" t="str">
            <v>יסודי בלבד</v>
          </cell>
          <cell r="H266" t="str">
            <v>כן</v>
          </cell>
          <cell r="I266" t="str">
            <v>כן</v>
          </cell>
          <cell r="J266" t="str">
            <v>כן</v>
          </cell>
          <cell r="K266">
            <v>121</v>
          </cell>
          <cell r="L266">
            <v>77</v>
          </cell>
        </row>
        <row r="267">
          <cell r="D267">
            <v>384446</v>
          </cell>
          <cell r="E267" t="str">
            <v>רשות</v>
          </cell>
          <cell r="F267" t="str">
            <v>גבעת אלונים</v>
          </cell>
          <cell r="G267" t="str">
            <v>יסודי בלבד</v>
          </cell>
          <cell r="H267" t="str">
            <v>כן</v>
          </cell>
          <cell r="I267" t="str">
            <v>כן</v>
          </cell>
          <cell r="J267" t="str">
            <v>כן</v>
          </cell>
          <cell r="K267">
            <v>294</v>
          </cell>
          <cell r="L267">
            <v>175</v>
          </cell>
        </row>
        <row r="268">
          <cell r="D268">
            <v>613406</v>
          </cell>
          <cell r="E268" t="str">
            <v>רשות</v>
          </cell>
          <cell r="F268" t="str">
            <v>נוף ים ב'</v>
          </cell>
          <cell r="G268" t="str">
            <v>יסודי בלבד</v>
          </cell>
          <cell r="H268" t="str">
            <v>כן</v>
          </cell>
          <cell r="I268" t="str">
            <v>כן</v>
          </cell>
          <cell r="J268" t="str">
            <v>כן</v>
          </cell>
          <cell r="K268">
            <v>307</v>
          </cell>
          <cell r="L268">
            <v>124</v>
          </cell>
        </row>
        <row r="269">
          <cell r="D269">
            <v>414425</v>
          </cell>
          <cell r="E269" t="str">
            <v>רשות</v>
          </cell>
          <cell r="F269" t="str">
            <v>הלל צור</v>
          </cell>
          <cell r="G269" t="str">
            <v>יסודי בלבד</v>
          </cell>
          <cell r="H269" t="str">
            <v>כן</v>
          </cell>
          <cell r="I269" t="str">
            <v>כן</v>
          </cell>
          <cell r="J269" t="str">
            <v>כן</v>
          </cell>
          <cell r="K269">
            <v>389</v>
          </cell>
          <cell r="L269">
            <v>151</v>
          </cell>
        </row>
        <row r="270">
          <cell r="D270">
            <v>573063</v>
          </cell>
          <cell r="E270" t="str">
            <v>רשות</v>
          </cell>
          <cell r="F270" t="str">
            <v>ארנון</v>
          </cell>
          <cell r="G270" t="str">
            <v>יסודי בלבד</v>
          </cell>
          <cell r="H270" t="str">
            <v>כן</v>
          </cell>
          <cell r="I270" t="str">
            <v>כן</v>
          </cell>
          <cell r="J270" t="str">
            <v>כן</v>
          </cell>
          <cell r="K270">
            <v>261</v>
          </cell>
          <cell r="L270">
            <v>53</v>
          </cell>
        </row>
        <row r="271">
          <cell r="D271">
            <v>311605</v>
          </cell>
          <cell r="E271" t="str">
            <v>רשות</v>
          </cell>
          <cell r="F271" t="str">
            <v>אחדות</v>
          </cell>
          <cell r="G271" t="str">
            <v>יסודי בלבד</v>
          </cell>
          <cell r="H271" t="str">
            <v>כן</v>
          </cell>
          <cell r="I271" t="str">
            <v>כן</v>
          </cell>
          <cell r="J271" t="str">
            <v>כן</v>
          </cell>
          <cell r="K271">
            <v>269</v>
          </cell>
          <cell r="L271">
            <v>118</v>
          </cell>
        </row>
        <row r="272">
          <cell r="D272">
            <v>410746</v>
          </cell>
          <cell r="E272" t="str">
            <v>רשות</v>
          </cell>
          <cell r="F272" t="str">
            <v>ממ"ד לבנים- יסודי תלמוד תורה</v>
          </cell>
          <cell r="G272" t="str">
            <v>יסודי בלבד</v>
          </cell>
          <cell r="H272" t="str">
            <v>כן</v>
          </cell>
          <cell r="I272" t="str">
            <v>כן</v>
          </cell>
          <cell r="J272" t="str">
            <v>כן</v>
          </cell>
          <cell r="K272">
            <v>63</v>
          </cell>
          <cell r="L272">
            <v>62</v>
          </cell>
        </row>
        <row r="273">
          <cell r="D273">
            <v>417212</v>
          </cell>
          <cell r="E273" t="str">
            <v>רשות</v>
          </cell>
          <cell r="F273" t="str">
            <v>נתן יונתן</v>
          </cell>
          <cell r="G273" t="str">
            <v>יסודי בלבד</v>
          </cell>
          <cell r="H273" t="str">
            <v>כן</v>
          </cell>
          <cell r="I273" t="str">
            <v>כן</v>
          </cell>
          <cell r="J273" t="str">
            <v>כן</v>
          </cell>
          <cell r="K273">
            <v>356</v>
          </cell>
          <cell r="L273">
            <v>329</v>
          </cell>
        </row>
        <row r="274">
          <cell r="D274">
            <v>384214</v>
          </cell>
          <cell r="E274" t="str">
            <v>רשות</v>
          </cell>
          <cell r="F274" t="str">
            <v>בית חנה חוף הכרמל</v>
          </cell>
          <cell r="G274" t="str">
            <v>יסודי בלבד</v>
          </cell>
          <cell r="H274" t="str">
            <v>כן</v>
          </cell>
          <cell r="I274" t="str">
            <v>כן</v>
          </cell>
          <cell r="J274" t="str">
            <v>כן</v>
          </cell>
          <cell r="K274">
            <v>34</v>
          </cell>
          <cell r="L274">
            <v>34</v>
          </cell>
        </row>
        <row r="275">
          <cell r="D275">
            <v>615104</v>
          </cell>
          <cell r="E275" t="str">
            <v>רשות</v>
          </cell>
          <cell r="F275" t="str">
            <v>רמות רכס</v>
          </cell>
          <cell r="G275" t="str">
            <v>יסודי בלבד</v>
          </cell>
          <cell r="H275" t="str">
            <v>כן</v>
          </cell>
          <cell r="I275" t="str">
            <v>כן</v>
          </cell>
          <cell r="J275" t="str">
            <v>כן</v>
          </cell>
          <cell r="K275">
            <v>274</v>
          </cell>
          <cell r="L275">
            <v>102</v>
          </cell>
        </row>
        <row r="276">
          <cell r="D276">
            <v>112110</v>
          </cell>
          <cell r="E276" t="str">
            <v>רשות</v>
          </cell>
          <cell r="F276" t="str">
            <v>פסגות</v>
          </cell>
          <cell r="G276" t="str">
            <v>יסודי בלבד</v>
          </cell>
          <cell r="H276" t="str">
            <v>כן</v>
          </cell>
          <cell r="I276" t="str">
            <v>כן</v>
          </cell>
          <cell r="J276" t="str">
            <v>כן</v>
          </cell>
          <cell r="K276">
            <v>151</v>
          </cell>
          <cell r="L276">
            <v>151</v>
          </cell>
        </row>
        <row r="277">
          <cell r="D277">
            <v>610881</v>
          </cell>
          <cell r="E277" t="str">
            <v>רשות</v>
          </cell>
          <cell r="F277" t="str">
            <v>גבריאל</v>
          </cell>
          <cell r="G277" t="str">
            <v>יסודי בלבד</v>
          </cell>
          <cell r="H277" t="str">
            <v>כן</v>
          </cell>
          <cell r="I277" t="str">
            <v>כן</v>
          </cell>
          <cell r="J277" t="str">
            <v>כן</v>
          </cell>
          <cell r="K277">
            <v>133</v>
          </cell>
          <cell r="L277">
            <v>52</v>
          </cell>
        </row>
        <row r="278">
          <cell r="D278">
            <v>616714</v>
          </cell>
          <cell r="E278" t="str">
            <v>רשות</v>
          </cell>
          <cell r="F278" t="str">
            <v>הרכס</v>
          </cell>
          <cell r="G278" t="str">
            <v>יסודי בלבד</v>
          </cell>
          <cell r="H278" t="str">
            <v>כן</v>
          </cell>
          <cell r="I278" t="str">
            <v>כן</v>
          </cell>
          <cell r="J278" t="str">
            <v>כן</v>
          </cell>
          <cell r="K278">
            <v>177</v>
          </cell>
          <cell r="L278">
            <v>58</v>
          </cell>
        </row>
        <row r="279">
          <cell r="D279">
            <v>610428</v>
          </cell>
          <cell r="E279" t="str">
            <v>רשות</v>
          </cell>
          <cell r="F279" t="str">
            <v>בית הגדי</v>
          </cell>
          <cell r="G279" t="str">
            <v>יסודי בלבד</v>
          </cell>
          <cell r="H279" t="str">
            <v>כן</v>
          </cell>
          <cell r="I279" t="str">
            <v>כן</v>
          </cell>
          <cell r="J279" t="str">
            <v>כן</v>
          </cell>
          <cell r="K279">
            <v>182</v>
          </cell>
          <cell r="L279">
            <v>91</v>
          </cell>
        </row>
        <row r="280">
          <cell r="D280">
            <v>218651</v>
          </cell>
          <cell r="E280" t="str">
            <v/>
          </cell>
          <cell r="F280" t="str">
            <v>אל-מג'ד (מסלך)</v>
          </cell>
          <cell r="G280" t="str">
            <v>יסודי בלבד</v>
          </cell>
          <cell r="H280" t="str">
            <v>כן</v>
          </cell>
          <cell r="I280" t="str">
            <v>כן</v>
          </cell>
          <cell r="J280" t="str">
            <v>כן</v>
          </cell>
          <cell r="K280">
            <v>230</v>
          </cell>
          <cell r="L280">
            <v>75</v>
          </cell>
        </row>
        <row r="281">
          <cell r="D281">
            <v>346528</v>
          </cell>
          <cell r="E281" t="str">
            <v>רשות</v>
          </cell>
          <cell r="F281" t="str">
            <v>לשון לימודים</v>
          </cell>
          <cell r="G281" t="str">
            <v>יסודי בלבד</v>
          </cell>
          <cell r="H281" t="str">
            <v>כן</v>
          </cell>
          <cell r="I281" t="str">
            <v>כן</v>
          </cell>
          <cell r="J281" t="str">
            <v>כן</v>
          </cell>
          <cell r="K281">
            <v>65</v>
          </cell>
          <cell r="L281">
            <v>65</v>
          </cell>
        </row>
        <row r="282">
          <cell r="D282">
            <v>413518</v>
          </cell>
          <cell r="E282" t="str">
            <v>רשות</v>
          </cell>
          <cell r="F282" t="str">
            <v>מכבים-חדשני</v>
          </cell>
          <cell r="G282" t="str">
            <v>יסודי בלבד</v>
          </cell>
          <cell r="H282" t="str">
            <v>כן</v>
          </cell>
          <cell r="I282" t="str">
            <v>כן</v>
          </cell>
          <cell r="J282" t="str">
            <v>כן</v>
          </cell>
          <cell r="K282">
            <v>183</v>
          </cell>
          <cell r="L282">
            <v>103</v>
          </cell>
        </row>
        <row r="283">
          <cell r="D283">
            <v>513606</v>
          </cell>
          <cell r="E283" t="str">
            <v>רשות</v>
          </cell>
          <cell r="F283" t="str">
            <v>בן גוריון</v>
          </cell>
          <cell r="G283" t="str">
            <v>יסודי בלבד</v>
          </cell>
          <cell r="H283" t="str">
            <v>כן</v>
          </cell>
          <cell r="I283" t="str">
            <v>כן</v>
          </cell>
          <cell r="J283" t="str">
            <v>כן</v>
          </cell>
          <cell r="K283">
            <v>133</v>
          </cell>
          <cell r="L283">
            <v>56</v>
          </cell>
        </row>
        <row r="284">
          <cell r="D284">
            <v>411413</v>
          </cell>
          <cell r="E284" t="str">
            <v>רשות</v>
          </cell>
          <cell r="F284" t="str">
            <v>ע"ש אהרון דוידי</v>
          </cell>
          <cell r="G284" t="str">
            <v>יסודי בלבד</v>
          </cell>
          <cell r="H284" t="str">
            <v>כן</v>
          </cell>
          <cell r="I284" t="str">
            <v>כן</v>
          </cell>
          <cell r="J284" t="str">
            <v>כן</v>
          </cell>
          <cell r="K284">
            <v>428</v>
          </cell>
          <cell r="L284">
            <v>260</v>
          </cell>
        </row>
        <row r="285">
          <cell r="D285">
            <v>612275</v>
          </cell>
          <cell r="E285" t="str">
            <v/>
          </cell>
          <cell r="F285" t="str">
            <v>דב"ש</v>
          </cell>
          <cell r="G285" t="str">
            <v>יסודי בלבד</v>
          </cell>
          <cell r="H285" t="str">
            <v>לא</v>
          </cell>
          <cell r="I285" t="str">
            <v>לא</v>
          </cell>
          <cell r="J285" t="str">
            <v>לא</v>
          </cell>
          <cell r="K285">
            <v>0</v>
          </cell>
          <cell r="L285">
            <v>0</v>
          </cell>
        </row>
        <row r="286">
          <cell r="D286">
            <v>210880</v>
          </cell>
          <cell r="E286" t="str">
            <v>רשות</v>
          </cell>
          <cell r="F286" t="str">
            <v>דמוקרטי אורנים ע"ש יצחק שמיר</v>
          </cell>
          <cell r="G286" t="str">
            <v>יסודי בלבד</v>
          </cell>
          <cell r="H286" t="str">
            <v>כן</v>
          </cell>
          <cell r="I286" t="str">
            <v>כן</v>
          </cell>
          <cell r="J286" t="str">
            <v>כן</v>
          </cell>
          <cell r="K286">
            <v>159</v>
          </cell>
          <cell r="L286">
            <v>60</v>
          </cell>
        </row>
        <row r="287">
          <cell r="D287">
            <v>213900</v>
          </cell>
          <cell r="E287" t="str">
            <v>רשות</v>
          </cell>
          <cell r="F287" t="str">
            <v>תת חב"ד</v>
          </cell>
          <cell r="G287" t="str">
            <v>יסודי בלבד</v>
          </cell>
          <cell r="H287" t="str">
            <v>כן</v>
          </cell>
          <cell r="I287" t="str">
            <v>כן</v>
          </cell>
          <cell r="J287" t="str">
            <v>כן</v>
          </cell>
          <cell r="K287">
            <v>134</v>
          </cell>
          <cell r="L287">
            <v>90</v>
          </cell>
        </row>
        <row r="288">
          <cell r="D288">
            <v>616904</v>
          </cell>
          <cell r="E288" t="str">
            <v>רשות</v>
          </cell>
          <cell r="F288" t="str">
            <v>אגמים</v>
          </cell>
          <cell r="G288" t="str">
            <v>יסודי בלבד</v>
          </cell>
          <cell r="H288" t="str">
            <v>כן</v>
          </cell>
          <cell r="I288" t="str">
            <v>כן</v>
          </cell>
          <cell r="J288" t="str">
            <v>כן</v>
          </cell>
          <cell r="K288">
            <v>170</v>
          </cell>
          <cell r="L288">
            <v>64</v>
          </cell>
        </row>
        <row r="289">
          <cell r="D289">
            <v>480202</v>
          </cell>
          <cell r="E289" t="str">
            <v>רשות</v>
          </cell>
          <cell r="F289" t="str">
            <v>שחקים</v>
          </cell>
          <cell r="G289" t="str">
            <v>יסודי בלבד</v>
          </cell>
          <cell r="H289" t="str">
            <v>כן</v>
          </cell>
          <cell r="I289" t="str">
            <v>כן</v>
          </cell>
          <cell r="J289" t="str">
            <v>כן</v>
          </cell>
          <cell r="K289">
            <v>284</v>
          </cell>
          <cell r="L289">
            <v>85</v>
          </cell>
        </row>
        <row r="290">
          <cell r="D290">
            <v>613638</v>
          </cell>
          <cell r="E290" t="str">
            <v>רשות</v>
          </cell>
          <cell r="F290" t="str">
            <v>נאות</v>
          </cell>
          <cell r="G290" t="str">
            <v>יסודי בלבד</v>
          </cell>
          <cell r="H290" t="str">
            <v>כן</v>
          </cell>
          <cell r="I290" t="str">
            <v>כן</v>
          </cell>
          <cell r="J290" t="str">
            <v>כן</v>
          </cell>
          <cell r="K290">
            <v>282</v>
          </cell>
          <cell r="L290">
            <v>112</v>
          </cell>
        </row>
        <row r="291">
          <cell r="D291">
            <v>614115</v>
          </cell>
          <cell r="E291" t="str">
            <v>רשות</v>
          </cell>
          <cell r="F291" t="str">
            <v>שקד</v>
          </cell>
          <cell r="G291" t="str">
            <v>יסודי בלבד</v>
          </cell>
          <cell r="H291" t="str">
            <v>כן</v>
          </cell>
          <cell r="I291" t="str">
            <v>כן</v>
          </cell>
          <cell r="J291" t="str">
            <v>כן</v>
          </cell>
          <cell r="K291">
            <v>255</v>
          </cell>
          <cell r="L291">
            <v>122</v>
          </cell>
        </row>
        <row r="292">
          <cell r="D292">
            <v>413633</v>
          </cell>
          <cell r="E292" t="str">
            <v>רשות</v>
          </cell>
          <cell r="F292" t="str">
            <v>אופקים</v>
          </cell>
          <cell r="G292" t="str">
            <v>יסודי בלבד</v>
          </cell>
          <cell r="H292" t="str">
            <v>כן</v>
          </cell>
          <cell r="I292" t="str">
            <v>כן</v>
          </cell>
          <cell r="J292" t="str">
            <v>כן</v>
          </cell>
          <cell r="K292">
            <v>183</v>
          </cell>
          <cell r="L292">
            <v>88</v>
          </cell>
        </row>
        <row r="293">
          <cell r="D293">
            <v>513531</v>
          </cell>
          <cell r="E293" t="str">
            <v>רשות</v>
          </cell>
          <cell r="F293" t="str">
            <v>לוי אשכול</v>
          </cell>
          <cell r="G293" t="str">
            <v>יסודי בלבד</v>
          </cell>
          <cell r="H293" t="str">
            <v>כן</v>
          </cell>
          <cell r="I293" t="str">
            <v>כן</v>
          </cell>
          <cell r="J293" t="str">
            <v>לא</v>
          </cell>
          <cell r="K293">
            <v>90</v>
          </cell>
          <cell r="L293">
            <v>68</v>
          </cell>
        </row>
        <row r="294">
          <cell r="D294">
            <v>411389</v>
          </cell>
          <cell r="E294" t="str">
            <v>רשות</v>
          </cell>
          <cell r="F294" t="str">
            <v>ביאליק</v>
          </cell>
          <cell r="G294" t="str">
            <v>יסודי בלבד</v>
          </cell>
          <cell r="H294" t="str">
            <v>כן</v>
          </cell>
          <cell r="I294" t="str">
            <v>כן</v>
          </cell>
          <cell r="J294" t="str">
            <v>כן</v>
          </cell>
          <cell r="K294">
            <v>179</v>
          </cell>
          <cell r="L294">
            <v>65</v>
          </cell>
        </row>
        <row r="295">
          <cell r="D295">
            <v>411868</v>
          </cell>
          <cell r="E295" t="str">
            <v>רשות</v>
          </cell>
          <cell r="F295" t="str">
            <v>ממ"ד רמב"ם</v>
          </cell>
          <cell r="G295" t="str">
            <v>יסודי בלבד</v>
          </cell>
          <cell r="H295" t="str">
            <v>כן</v>
          </cell>
          <cell r="I295" t="str">
            <v>כן</v>
          </cell>
          <cell r="J295" t="str">
            <v>כן</v>
          </cell>
          <cell r="K295">
            <v>194</v>
          </cell>
          <cell r="L295">
            <v>100</v>
          </cell>
        </row>
        <row r="296">
          <cell r="D296">
            <v>414045</v>
          </cell>
          <cell r="E296" t="str">
            <v/>
          </cell>
          <cell r="F296" t="str">
            <v>ת"ת חפץ חיים</v>
          </cell>
          <cell r="G296" t="str">
            <v>יסודי בלבד</v>
          </cell>
          <cell r="H296" t="str">
            <v>כן</v>
          </cell>
          <cell r="I296" t="str">
            <v>כן</v>
          </cell>
          <cell r="J296" t="str">
            <v>כן</v>
          </cell>
          <cell r="K296">
            <v>0</v>
          </cell>
          <cell r="L296">
            <v>133</v>
          </cell>
        </row>
        <row r="297">
          <cell r="D297">
            <v>612895</v>
          </cell>
          <cell r="E297" t="str">
            <v/>
          </cell>
          <cell r="F297" t="str">
            <v>ת"ת פלא יועץ</v>
          </cell>
          <cell r="G297" t="str">
            <v>יסודי בלבד</v>
          </cell>
          <cell r="H297" t="str">
            <v>כן</v>
          </cell>
          <cell r="I297" t="str">
            <v>כן</v>
          </cell>
          <cell r="J297" t="str">
            <v>כן</v>
          </cell>
          <cell r="K297">
            <v>0</v>
          </cell>
          <cell r="L297">
            <v>65</v>
          </cell>
        </row>
        <row r="298">
          <cell r="D298">
            <v>413369</v>
          </cell>
          <cell r="E298" t="str">
            <v>רשות</v>
          </cell>
          <cell r="F298" t="str">
            <v>ממלכתי</v>
          </cell>
          <cell r="G298" t="str">
            <v>יסודי בלבד</v>
          </cell>
          <cell r="H298" t="str">
            <v>כן</v>
          </cell>
          <cell r="I298" t="str">
            <v>כן</v>
          </cell>
          <cell r="J298" t="str">
            <v>כן</v>
          </cell>
          <cell r="K298">
            <v>157</v>
          </cell>
          <cell r="L298">
            <v>82</v>
          </cell>
        </row>
        <row r="299">
          <cell r="D299">
            <v>514950</v>
          </cell>
          <cell r="E299" t="str">
            <v/>
          </cell>
          <cell r="F299" t="str">
            <v>נופי ים</v>
          </cell>
          <cell r="G299" t="str">
            <v>יסודי בלבד</v>
          </cell>
          <cell r="H299" t="str">
            <v>כן</v>
          </cell>
          <cell r="I299" t="str">
            <v>כן</v>
          </cell>
          <cell r="J299" t="str">
            <v>לא</v>
          </cell>
          <cell r="K299">
            <v>170</v>
          </cell>
          <cell r="L299">
            <v>95</v>
          </cell>
        </row>
        <row r="300">
          <cell r="D300">
            <v>511998</v>
          </cell>
          <cell r="E300" t="str">
            <v>רשות</v>
          </cell>
          <cell r="F300" t="str">
            <v>אלומות מד</v>
          </cell>
          <cell r="G300" t="str">
            <v>יסודי בלבד</v>
          </cell>
          <cell r="H300" t="str">
            <v>כן</v>
          </cell>
          <cell r="I300" t="str">
            <v>כן</v>
          </cell>
          <cell r="J300" t="str">
            <v>כן</v>
          </cell>
          <cell r="K300">
            <v>116</v>
          </cell>
          <cell r="L300">
            <v>40</v>
          </cell>
        </row>
        <row r="301">
          <cell r="D301">
            <v>414482</v>
          </cell>
          <cell r="E301" t="str">
            <v>רשות</v>
          </cell>
          <cell r="F301" t="str">
            <v>"צליל" למצוינות</v>
          </cell>
          <cell r="G301" t="str">
            <v>יסודי בלבד</v>
          </cell>
          <cell r="H301" t="str">
            <v>כן</v>
          </cell>
          <cell r="I301" t="str">
            <v>כן</v>
          </cell>
          <cell r="J301" t="str">
            <v>כן</v>
          </cell>
          <cell r="K301">
            <v>154</v>
          </cell>
          <cell r="L301">
            <v>69</v>
          </cell>
        </row>
        <row r="302">
          <cell r="D302">
            <v>513648</v>
          </cell>
          <cell r="E302" t="str">
            <v>רשות</v>
          </cell>
          <cell r="F302" t="str">
            <v>אילנות</v>
          </cell>
          <cell r="G302" t="str">
            <v>יסודי בלבד</v>
          </cell>
          <cell r="H302" t="str">
            <v>לא</v>
          </cell>
          <cell r="I302" t="str">
            <v>לא</v>
          </cell>
          <cell r="J302" t="str">
            <v>לא</v>
          </cell>
          <cell r="K302">
            <v>0</v>
          </cell>
          <cell r="L302">
            <v>0</v>
          </cell>
        </row>
        <row r="303">
          <cell r="D303">
            <v>511634</v>
          </cell>
          <cell r="E303" t="str">
            <v/>
          </cell>
          <cell r="F303" t="str">
            <v>צהלה</v>
          </cell>
          <cell r="G303" t="str">
            <v>יסודי בלבד</v>
          </cell>
          <cell r="H303" t="str">
            <v>כן</v>
          </cell>
          <cell r="I303" t="str">
            <v>כן</v>
          </cell>
          <cell r="J303" t="str">
            <v>לא</v>
          </cell>
          <cell r="K303">
            <v>161</v>
          </cell>
          <cell r="L303">
            <v>113</v>
          </cell>
        </row>
        <row r="304">
          <cell r="D304">
            <v>413559</v>
          </cell>
          <cell r="E304" t="str">
            <v>רשות</v>
          </cell>
          <cell r="F304" t="str">
            <v>ממ"ד בנות נועם הצבי</v>
          </cell>
          <cell r="G304" t="str">
            <v>יסודי בלבד</v>
          </cell>
          <cell r="H304" t="str">
            <v>כן</v>
          </cell>
          <cell r="I304" t="str">
            <v>כן</v>
          </cell>
          <cell r="J304" t="str">
            <v>כן</v>
          </cell>
          <cell r="K304">
            <v>268</v>
          </cell>
          <cell r="L304">
            <v>130</v>
          </cell>
        </row>
        <row r="305">
          <cell r="D305">
            <v>641449</v>
          </cell>
          <cell r="E305" t="str">
            <v>רשות</v>
          </cell>
          <cell r="F305" t="str">
            <v>שחקים</v>
          </cell>
          <cell r="G305" t="str">
            <v>יסודי בלבד</v>
          </cell>
          <cell r="H305" t="str">
            <v>כן</v>
          </cell>
          <cell r="I305" t="str">
            <v>כן</v>
          </cell>
          <cell r="J305" t="str">
            <v>כן</v>
          </cell>
          <cell r="K305">
            <v>273</v>
          </cell>
          <cell r="L305">
            <v>97</v>
          </cell>
        </row>
        <row r="306">
          <cell r="D306">
            <v>112813</v>
          </cell>
          <cell r="E306" t="str">
            <v>רשות</v>
          </cell>
          <cell r="F306" t="str">
            <v>רמת מודיעין</v>
          </cell>
          <cell r="G306" t="str">
            <v>יסודי בלבד</v>
          </cell>
          <cell r="H306" t="str">
            <v>כן</v>
          </cell>
          <cell r="I306" t="str">
            <v>כן</v>
          </cell>
          <cell r="J306" t="str">
            <v>כן</v>
          </cell>
          <cell r="K306">
            <v>138</v>
          </cell>
          <cell r="L306">
            <v>67</v>
          </cell>
        </row>
        <row r="307">
          <cell r="D307">
            <v>310771</v>
          </cell>
          <cell r="E307" t="str">
            <v>רשות</v>
          </cell>
          <cell r="F307" t="str">
            <v>שלוה</v>
          </cell>
          <cell r="G307" t="str">
            <v>יסודי בלבד</v>
          </cell>
          <cell r="H307" t="str">
            <v>כן</v>
          </cell>
          <cell r="I307" t="str">
            <v>כן</v>
          </cell>
          <cell r="J307" t="str">
            <v>לא</v>
          </cell>
          <cell r="K307">
            <v>67</v>
          </cell>
          <cell r="L307">
            <v>40</v>
          </cell>
        </row>
        <row r="308">
          <cell r="D308">
            <v>410373</v>
          </cell>
          <cell r="E308" t="str">
            <v>רשות</v>
          </cell>
          <cell r="F308" t="str">
            <v>בן גוריון</v>
          </cell>
          <cell r="G308" t="str">
            <v>יסודי בלבד</v>
          </cell>
          <cell r="H308" t="str">
            <v>כן</v>
          </cell>
          <cell r="I308" t="str">
            <v>כן</v>
          </cell>
          <cell r="J308" t="str">
            <v>לא</v>
          </cell>
          <cell r="K308">
            <v>119</v>
          </cell>
          <cell r="L308">
            <v>51</v>
          </cell>
        </row>
        <row r="309">
          <cell r="D309">
            <v>110726</v>
          </cell>
          <cell r="E309" t="str">
            <v>רשות</v>
          </cell>
          <cell r="F309" t="str">
            <v>מתתיהו</v>
          </cell>
          <cell r="G309" t="str">
            <v>יסודי בלבד</v>
          </cell>
          <cell r="H309" t="str">
            <v>כן</v>
          </cell>
          <cell r="I309" t="str">
            <v>כן</v>
          </cell>
          <cell r="J309" t="str">
            <v>כן</v>
          </cell>
          <cell r="K309">
            <v>156</v>
          </cell>
          <cell r="L309">
            <v>76</v>
          </cell>
        </row>
        <row r="310">
          <cell r="D310">
            <v>611921</v>
          </cell>
          <cell r="E310" t="str">
            <v>רשות</v>
          </cell>
          <cell r="F310" t="str">
            <v>מצפה ימים</v>
          </cell>
          <cell r="G310" t="str">
            <v>יסודי בלבד</v>
          </cell>
          <cell r="H310" t="str">
            <v>כן</v>
          </cell>
          <cell r="I310" t="str">
            <v>כן</v>
          </cell>
          <cell r="J310" t="str">
            <v>כן</v>
          </cell>
          <cell r="K310">
            <v>272</v>
          </cell>
          <cell r="L310">
            <v>99</v>
          </cell>
        </row>
        <row r="311">
          <cell r="D311">
            <v>418343</v>
          </cell>
          <cell r="E311" t="str">
            <v>רשות</v>
          </cell>
          <cell r="F311" t="str">
            <v>חדש אל זהרא</v>
          </cell>
          <cell r="G311" t="str">
            <v>יסודי בלבד</v>
          </cell>
          <cell r="H311" t="str">
            <v>כן</v>
          </cell>
          <cell r="I311" t="str">
            <v>כן</v>
          </cell>
          <cell r="J311" t="str">
            <v>כן</v>
          </cell>
          <cell r="K311">
            <v>220</v>
          </cell>
          <cell r="L311">
            <v>59</v>
          </cell>
        </row>
        <row r="312">
          <cell r="D312">
            <v>416008</v>
          </cell>
          <cell r="E312" t="str">
            <v>רשות</v>
          </cell>
          <cell r="F312" t="str">
            <v>אילן רמון</v>
          </cell>
          <cell r="G312" t="str">
            <v>יסודי בלבד</v>
          </cell>
          <cell r="H312" t="str">
            <v>כן</v>
          </cell>
          <cell r="I312" t="str">
            <v>כן</v>
          </cell>
          <cell r="J312" t="str">
            <v>כן</v>
          </cell>
          <cell r="K312">
            <v>269</v>
          </cell>
          <cell r="L312">
            <v>48</v>
          </cell>
        </row>
        <row r="313">
          <cell r="D313">
            <v>318881</v>
          </cell>
          <cell r="E313" t="str">
            <v>רשות</v>
          </cell>
          <cell r="F313" t="str">
            <v>יסודי אל באטן</v>
          </cell>
          <cell r="G313" t="str">
            <v>יסודי בלבד</v>
          </cell>
          <cell r="H313" t="str">
            <v>כן</v>
          </cell>
          <cell r="I313" t="str">
            <v>כן</v>
          </cell>
          <cell r="J313" t="str">
            <v>כן</v>
          </cell>
          <cell r="K313">
            <v>341</v>
          </cell>
          <cell r="L313">
            <v>54</v>
          </cell>
        </row>
        <row r="314">
          <cell r="D314">
            <v>612903</v>
          </cell>
          <cell r="E314" t="str">
            <v>רשות</v>
          </cell>
          <cell r="F314" t="str">
            <v>דקל</v>
          </cell>
          <cell r="G314" t="str">
            <v>יסודי בלבד</v>
          </cell>
          <cell r="H314" t="str">
            <v>כן</v>
          </cell>
          <cell r="I314" t="str">
            <v>כן</v>
          </cell>
          <cell r="J314" t="str">
            <v>כן</v>
          </cell>
          <cell r="K314">
            <v>160</v>
          </cell>
          <cell r="L314">
            <v>64</v>
          </cell>
        </row>
        <row r="315">
          <cell r="D315">
            <v>219295</v>
          </cell>
          <cell r="E315" t="str">
            <v/>
          </cell>
          <cell r="F315" t="str">
            <v>אבן עאמר(אבו אלג'יש)</v>
          </cell>
          <cell r="G315" t="str">
            <v>יסודי בלבד</v>
          </cell>
          <cell r="H315" t="str">
            <v>כן</v>
          </cell>
          <cell r="I315" t="str">
            <v>כן</v>
          </cell>
          <cell r="J315" t="str">
            <v>כן</v>
          </cell>
          <cell r="K315">
            <v>104</v>
          </cell>
          <cell r="L315">
            <v>53</v>
          </cell>
        </row>
        <row r="316">
          <cell r="D316">
            <v>418020</v>
          </cell>
          <cell r="E316" t="str">
            <v>רשות</v>
          </cell>
          <cell r="F316" t="str">
            <v>ביר אל סיכה</v>
          </cell>
          <cell r="G316" t="str">
            <v>יסודי בלבד</v>
          </cell>
          <cell r="H316" t="str">
            <v>כן</v>
          </cell>
          <cell r="I316" t="str">
            <v>כן</v>
          </cell>
          <cell r="J316" t="str">
            <v>כן</v>
          </cell>
          <cell r="K316">
            <v>226</v>
          </cell>
          <cell r="L316">
            <v>90</v>
          </cell>
        </row>
        <row r="317">
          <cell r="D317">
            <v>512889</v>
          </cell>
          <cell r="E317" t="str">
            <v>רשות</v>
          </cell>
          <cell r="F317" t="str">
            <v>הראל מד</v>
          </cell>
          <cell r="G317" t="str">
            <v>יסודי בלבד</v>
          </cell>
          <cell r="H317" t="str">
            <v>כן</v>
          </cell>
          <cell r="I317" t="str">
            <v>כן</v>
          </cell>
          <cell r="J317" t="str">
            <v>כן</v>
          </cell>
          <cell r="K317">
            <v>73</v>
          </cell>
          <cell r="L317">
            <v>49</v>
          </cell>
        </row>
        <row r="318">
          <cell r="D318">
            <v>611376</v>
          </cell>
          <cell r="E318" t="str">
            <v>רשות</v>
          </cell>
          <cell r="F318" t="str">
            <v>מוריה</v>
          </cell>
          <cell r="G318" t="str">
            <v>יסודי בלבד</v>
          </cell>
          <cell r="H318" t="str">
            <v>כן</v>
          </cell>
          <cell r="I318" t="str">
            <v>כן</v>
          </cell>
          <cell r="J318" t="str">
            <v>כן</v>
          </cell>
          <cell r="K318">
            <v>54</v>
          </cell>
          <cell r="L318">
            <v>54</v>
          </cell>
        </row>
        <row r="319">
          <cell r="D319">
            <v>213926</v>
          </cell>
          <cell r="E319" t="str">
            <v>רשות</v>
          </cell>
          <cell r="F319" t="str">
            <v>מנחם בגין</v>
          </cell>
          <cell r="G319" t="str">
            <v>יסודי בלבד</v>
          </cell>
          <cell r="H319" t="str">
            <v>כן</v>
          </cell>
          <cell r="I319" t="str">
            <v>כן</v>
          </cell>
          <cell r="J319" t="str">
            <v>כן</v>
          </cell>
          <cell r="K319">
            <v>278</v>
          </cell>
          <cell r="L319">
            <v>118</v>
          </cell>
        </row>
        <row r="320">
          <cell r="D320">
            <v>658823</v>
          </cell>
          <cell r="E320" t="str">
            <v>רשות</v>
          </cell>
          <cell r="F320" t="str">
            <v>בית חינוך קהילתי לחדשנות ומנהי</v>
          </cell>
          <cell r="G320" t="str">
            <v>יסודי בלבד</v>
          </cell>
          <cell r="H320" t="str">
            <v>כן</v>
          </cell>
          <cell r="I320" t="str">
            <v>כן</v>
          </cell>
          <cell r="J320" t="str">
            <v>כן</v>
          </cell>
          <cell r="K320">
            <v>352</v>
          </cell>
          <cell r="L320">
            <v>230</v>
          </cell>
        </row>
        <row r="321">
          <cell r="D321">
            <v>613828</v>
          </cell>
          <cell r="E321" t="str">
            <v>רשות</v>
          </cell>
          <cell r="F321" t="str">
            <v>חב"ד</v>
          </cell>
          <cell r="G321" t="str">
            <v>יסודי בלבד</v>
          </cell>
          <cell r="H321" t="str">
            <v>כן</v>
          </cell>
          <cell r="I321" t="str">
            <v>כן</v>
          </cell>
          <cell r="J321" t="str">
            <v>כן</v>
          </cell>
          <cell r="K321">
            <v>147</v>
          </cell>
          <cell r="L321">
            <v>56</v>
          </cell>
        </row>
        <row r="322">
          <cell r="D322">
            <v>663435</v>
          </cell>
          <cell r="E322" t="str">
            <v>רשות</v>
          </cell>
          <cell r="F322" t="str">
            <v>אליעזר שמואלי</v>
          </cell>
          <cell r="G322" t="str">
            <v>יסודי בלבד</v>
          </cell>
          <cell r="H322" t="str">
            <v>כן</v>
          </cell>
          <cell r="I322" t="str">
            <v>לא</v>
          </cell>
          <cell r="J322" t="str">
            <v>לא</v>
          </cell>
          <cell r="K322">
            <v>55</v>
          </cell>
          <cell r="L322">
            <v>43</v>
          </cell>
        </row>
        <row r="323">
          <cell r="D323">
            <v>612549</v>
          </cell>
          <cell r="E323" t="str">
            <v>רשות</v>
          </cell>
          <cell r="F323" t="str">
            <v>אבישור</v>
          </cell>
          <cell r="G323" t="str">
            <v>יסודי בלבד</v>
          </cell>
          <cell r="H323" t="str">
            <v>כן</v>
          </cell>
          <cell r="I323" t="str">
            <v>כן</v>
          </cell>
          <cell r="J323" t="str">
            <v>כן</v>
          </cell>
          <cell r="K323">
            <v>156</v>
          </cell>
          <cell r="L323">
            <v>68</v>
          </cell>
        </row>
        <row r="324">
          <cell r="D324">
            <v>410399</v>
          </cell>
          <cell r="E324" t="str">
            <v>רשות</v>
          </cell>
          <cell r="F324" t="str">
            <v>ממ"ד סיני</v>
          </cell>
          <cell r="G324" t="str">
            <v>יסודי בלבד</v>
          </cell>
          <cell r="H324" t="str">
            <v>כן</v>
          </cell>
          <cell r="I324" t="str">
            <v>כן</v>
          </cell>
          <cell r="J324" t="str">
            <v>כן</v>
          </cell>
          <cell r="K324">
            <v>138</v>
          </cell>
          <cell r="L324">
            <v>75</v>
          </cell>
        </row>
        <row r="325">
          <cell r="D325">
            <v>613208</v>
          </cell>
          <cell r="E325" t="str">
            <v>רשות</v>
          </cell>
          <cell r="F325" t="str">
            <v>ארזים</v>
          </cell>
          <cell r="G325" t="str">
            <v>יסודי בלבד</v>
          </cell>
          <cell r="H325" t="str">
            <v>כן</v>
          </cell>
          <cell r="I325" t="str">
            <v>כן</v>
          </cell>
          <cell r="J325" t="str">
            <v>כן</v>
          </cell>
          <cell r="K325">
            <v>204</v>
          </cell>
          <cell r="L325">
            <v>60</v>
          </cell>
        </row>
        <row r="326">
          <cell r="D326">
            <v>482935</v>
          </cell>
          <cell r="E326" t="str">
            <v>רשות</v>
          </cell>
          <cell r="F326" t="str">
            <v>ניצנים</v>
          </cell>
          <cell r="G326" t="str">
            <v>יסודי בלבד</v>
          </cell>
          <cell r="H326" t="str">
            <v>כן</v>
          </cell>
          <cell r="I326" t="str">
            <v>כן</v>
          </cell>
          <cell r="J326" t="str">
            <v>לא</v>
          </cell>
          <cell r="K326">
            <v>53</v>
          </cell>
          <cell r="L326">
            <v>29</v>
          </cell>
        </row>
        <row r="327">
          <cell r="D327">
            <v>413955</v>
          </cell>
          <cell r="E327" t="str">
            <v/>
          </cell>
          <cell r="F327" t="str">
            <v>ע"ש נעמי שמר</v>
          </cell>
          <cell r="G327" t="str">
            <v>יסודי בלבד</v>
          </cell>
          <cell r="H327" t="str">
            <v>כן</v>
          </cell>
          <cell r="I327" t="str">
            <v>כן</v>
          </cell>
          <cell r="J327" t="str">
            <v>לא</v>
          </cell>
          <cell r="K327">
            <v>135</v>
          </cell>
          <cell r="L327">
            <v>63</v>
          </cell>
        </row>
        <row r="328">
          <cell r="D328">
            <v>267344</v>
          </cell>
          <cell r="E328" t="str">
            <v>רשות</v>
          </cell>
          <cell r="F328" t="str">
            <v>הר חומה ממ"ד</v>
          </cell>
          <cell r="G328" t="str">
            <v>יסודי בלבד</v>
          </cell>
          <cell r="H328" t="str">
            <v>כן</v>
          </cell>
          <cell r="I328" t="str">
            <v>כן</v>
          </cell>
          <cell r="J328" t="str">
            <v>כן</v>
          </cell>
          <cell r="K328">
            <v>113</v>
          </cell>
          <cell r="L328">
            <v>69</v>
          </cell>
        </row>
        <row r="329">
          <cell r="D329">
            <v>115550</v>
          </cell>
          <cell r="E329" t="str">
            <v>רשות</v>
          </cell>
          <cell r="F329" t="str">
            <v>דורות</v>
          </cell>
          <cell r="G329" t="str">
            <v>יסודי בלבד</v>
          </cell>
          <cell r="H329" t="str">
            <v>כן</v>
          </cell>
          <cell r="I329" t="str">
            <v>כן</v>
          </cell>
          <cell r="J329" t="str">
            <v>כן</v>
          </cell>
          <cell r="K329">
            <v>109</v>
          </cell>
          <cell r="L329">
            <v>46</v>
          </cell>
        </row>
        <row r="330">
          <cell r="D330">
            <v>719971</v>
          </cell>
          <cell r="E330" t="str">
            <v>בעלות</v>
          </cell>
          <cell r="F330" t="str">
            <v>דרכי נעם</v>
          </cell>
          <cell r="G330" t="str">
            <v>יסודי בלבד</v>
          </cell>
          <cell r="H330" t="str">
            <v>כן</v>
          </cell>
          <cell r="I330" t="str">
            <v>כן</v>
          </cell>
          <cell r="J330" t="str">
            <v>כן</v>
          </cell>
          <cell r="K330">
            <v>117</v>
          </cell>
          <cell r="L330">
            <v>98</v>
          </cell>
        </row>
        <row r="331">
          <cell r="D331">
            <v>513721</v>
          </cell>
          <cell r="E331" t="str">
            <v>רשות</v>
          </cell>
          <cell r="F331" t="str">
            <v>שרת</v>
          </cell>
          <cell r="G331" t="str">
            <v>יסודי בלבד</v>
          </cell>
          <cell r="H331" t="str">
            <v>כן</v>
          </cell>
          <cell r="I331" t="str">
            <v>כן</v>
          </cell>
          <cell r="J331" t="str">
            <v>כן</v>
          </cell>
          <cell r="K331">
            <v>246</v>
          </cell>
          <cell r="L331">
            <v>155</v>
          </cell>
        </row>
        <row r="332">
          <cell r="D332">
            <v>131318</v>
          </cell>
          <cell r="E332" t="str">
            <v>רשות</v>
          </cell>
          <cell r="F332" t="str">
            <v>ע"ש אילן רמון</v>
          </cell>
          <cell r="G332" t="str">
            <v>יסודי בלבד</v>
          </cell>
          <cell r="H332" t="str">
            <v>כן</v>
          </cell>
          <cell r="I332" t="str">
            <v>כן</v>
          </cell>
          <cell r="J332" t="str">
            <v>לא</v>
          </cell>
          <cell r="K332">
            <v>89</v>
          </cell>
          <cell r="L332">
            <v>44</v>
          </cell>
        </row>
        <row r="333">
          <cell r="D333">
            <v>482018</v>
          </cell>
          <cell r="E333" t="str">
            <v>רשות</v>
          </cell>
          <cell r="F333" t="str">
            <v>אילנות</v>
          </cell>
          <cell r="G333" t="str">
            <v>יסודי בלבד</v>
          </cell>
          <cell r="H333" t="str">
            <v>כן</v>
          </cell>
          <cell r="I333" t="str">
            <v>כן</v>
          </cell>
          <cell r="J333" t="str">
            <v>כן</v>
          </cell>
          <cell r="K333">
            <v>104</v>
          </cell>
          <cell r="L333">
            <v>41</v>
          </cell>
        </row>
        <row r="334">
          <cell r="D334">
            <v>616359</v>
          </cell>
          <cell r="E334" t="str">
            <v>רשות</v>
          </cell>
          <cell r="F334" t="str">
            <v>כרמים</v>
          </cell>
          <cell r="G334" t="str">
            <v>יסודי בלבד</v>
          </cell>
          <cell r="H334" t="str">
            <v>כן</v>
          </cell>
          <cell r="I334" t="str">
            <v>כן</v>
          </cell>
          <cell r="J334" t="str">
            <v>כן</v>
          </cell>
          <cell r="K334">
            <v>251</v>
          </cell>
          <cell r="L334">
            <v>89</v>
          </cell>
        </row>
        <row r="335">
          <cell r="D335">
            <v>384503</v>
          </cell>
          <cell r="E335" t="str">
            <v>רשות</v>
          </cell>
          <cell r="F335" t="str">
            <v>מיתרים</v>
          </cell>
          <cell r="G335" t="str">
            <v>יסודי בלבד</v>
          </cell>
          <cell r="H335" t="str">
            <v>כן</v>
          </cell>
          <cell r="I335" t="str">
            <v>כן</v>
          </cell>
          <cell r="J335" t="str">
            <v>כן</v>
          </cell>
          <cell r="K335">
            <v>342</v>
          </cell>
          <cell r="L335">
            <v>163</v>
          </cell>
        </row>
        <row r="336">
          <cell r="D336">
            <v>615120</v>
          </cell>
          <cell r="E336" t="str">
            <v>רשות</v>
          </cell>
          <cell r="F336" t="str">
            <v>ניצני קטיף</v>
          </cell>
          <cell r="G336" t="str">
            <v>יסודי בלבד</v>
          </cell>
          <cell r="H336" t="str">
            <v>כן</v>
          </cell>
          <cell r="I336" t="str">
            <v>כן</v>
          </cell>
          <cell r="J336" t="str">
            <v>כן</v>
          </cell>
          <cell r="K336">
            <v>197</v>
          </cell>
          <cell r="L336">
            <v>129</v>
          </cell>
        </row>
        <row r="337">
          <cell r="D337">
            <v>510883</v>
          </cell>
          <cell r="E337" t="str">
            <v>רשות</v>
          </cell>
          <cell r="F337" t="str">
            <v>הראה מד</v>
          </cell>
          <cell r="G337" t="str">
            <v>יסודי בלבד</v>
          </cell>
          <cell r="H337" t="str">
            <v>כן</v>
          </cell>
          <cell r="I337" t="str">
            <v>כן</v>
          </cell>
          <cell r="J337" t="str">
            <v>כן</v>
          </cell>
          <cell r="K337">
            <v>163</v>
          </cell>
          <cell r="L337">
            <v>56</v>
          </cell>
        </row>
        <row r="338">
          <cell r="D338">
            <v>513168</v>
          </cell>
          <cell r="E338" t="str">
            <v>רשות</v>
          </cell>
          <cell r="F338" t="str">
            <v>ויצמן</v>
          </cell>
          <cell r="G338" t="str">
            <v>יסודי בלבד</v>
          </cell>
          <cell r="H338" t="str">
            <v>כן</v>
          </cell>
          <cell r="I338" t="str">
            <v>כן</v>
          </cell>
          <cell r="J338" t="str">
            <v>כן</v>
          </cell>
          <cell r="K338">
            <v>240</v>
          </cell>
          <cell r="L338">
            <v>92</v>
          </cell>
        </row>
        <row r="339">
          <cell r="D339">
            <v>513036</v>
          </cell>
          <cell r="E339" t="str">
            <v>רשות</v>
          </cell>
          <cell r="F339" t="str">
            <v>טבנקין</v>
          </cell>
          <cell r="G339" t="str">
            <v>יסודי בלבד</v>
          </cell>
          <cell r="H339" t="str">
            <v>לא</v>
          </cell>
          <cell r="I339" t="str">
            <v>לא</v>
          </cell>
          <cell r="J339" t="str">
            <v>לא</v>
          </cell>
          <cell r="K339">
            <v>0</v>
          </cell>
          <cell r="L339">
            <v>0</v>
          </cell>
        </row>
        <row r="340">
          <cell r="D340">
            <v>310797</v>
          </cell>
          <cell r="E340" t="str">
            <v>רשות</v>
          </cell>
          <cell r="F340" t="str">
            <v>אהרון הראה</v>
          </cell>
          <cell r="G340" t="str">
            <v>יסודי בלבד</v>
          </cell>
          <cell r="H340" t="str">
            <v>כן</v>
          </cell>
          <cell r="I340" t="str">
            <v>כן</v>
          </cell>
          <cell r="J340" t="str">
            <v>כן</v>
          </cell>
          <cell r="K340">
            <v>170</v>
          </cell>
          <cell r="L340">
            <v>145</v>
          </cell>
        </row>
        <row r="341">
          <cell r="D341">
            <v>581181</v>
          </cell>
          <cell r="E341" t="str">
            <v/>
          </cell>
          <cell r="F341" t="str">
            <v>עפרה חזה</v>
          </cell>
          <cell r="G341" t="str">
            <v>יסודי בלבד</v>
          </cell>
          <cell r="H341" t="str">
            <v>כן</v>
          </cell>
          <cell r="I341" t="str">
            <v>כן</v>
          </cell>
          <cell r="J341" t="str">
            <v>לא</v>
          </cell>
          <cell r="K341">
            <v>80</v>
          </cell>
          <cell r="L341">
            <v>55</v>
          </cell>
        </row>
        <row r="342">
          <cell r="D342">
            <v>112599</v>
          </cell>
          <cell r="E342" t="str">
            <v>רשות</v>
          </cell>
          <cell r="F342" t="str">
            <v>גפנים</v>
          </cell>
          <cell r="G342" t="str">
            <v>יסודי בלבד</v>
          </cell>
          <cell r="H342" t="str">
            <v>כן</v>
          </cell>
          <cell r="I342" t="str">
            <v>כן</v>
          </cell>
          <cell r="J342" t="str">
            <v>כן</v>
          </cell>
          <cell r="K342">
            <v>231</v>
          </cell>
          <cell r="L342">
            <v>69</v>
          </cell>
        </row>
        <row r="343">
          <cell r="D343">
            <v>511683</v>
          </cell>
          <cell r="E343" t="str">
            <v>רשות</v>
          </cell>
          <cell r="F343" t="str">
            <v>דבורה עומר</v>
          </cell>
          <cell r="G343" t="str">
            <v>יסודי בלבד</v>
          </cell>
          <cell r="H343" t="str">
            <v>כן</v>
          </cell>
          <cell r="I343" t="str">
            <v>כן</v>
          </cell>
          <cell r="J343" t="str">
            <v>כן</v>
          </cell>
          <cell r="K343">
            <v>271</v>
          </cell>
          <cell r="L343">
            <v>122</v>
          </cell>
        </row>
        <row r="344">
          <cell r="D344">
            <v>413963</v>
          </cell>
          <cell r="E344" t="str">
            <v>רשות</v>
          </cell>
          <cell r="F344" t="str">
            <v>גוונים</v>
          </cell>
          <cell r="G344" t="str">
            <v>יסודי בלבד</v>
          </cell>
          <cell r="H344" t="str">
            <v>כן</v>
          </cell>
          <cell r="I344" t="str">
            <v>כן</v>
          </cell>
          <cell r="J344" t="str">
            <v>כן</v>
          </cell>
          <cell r="K344">
            <v>189</v>
          </cell>
          <cell r="L344">
            <v>80</v>
          </cell>
        </row>
        <row r="345">
          <cell r="D345">
            <v>213736</v>
          </cell>
          <cell r="E345" t="str">
            <v/>
          </cell>
          <cell r="F345" t="str">
            <v>בית חינוך קהילתי"קשת</v>
          </cell>
          <cell r="G345" t="str">
            <v>יסודי בלבד</v>
          </cell>
          <cell r="H345" t="str">
            <v>כן</v>
          </cell>
          <cell r="I345" t="str">
            <v>כן</v>
          </cell>
          <cell r="J345" t="str">
            <v>כן</v>
          </cell>
          <cell r="K345">
            <v>221</v>
          </cell>
          <cell r="L345">
            <v>129</v>
          </cell>
        </row>
        <row r="346">
          <cell r="D346">
            <v>581470</v>
          </cell>
          <cell r="E346" t="str">
            <v>רשות</v>
          </cell>
          <cell r="F346" t="str">
            <v>נעמי שמר</v>
          </cell>
          <cell r="G346" t="str">
            <v>יסודי בלבד</v>
          </cell>
          <cell r="H346" t="str">
            <v>כן</v>
          </cell>
          <cell r="I346" t="str">
            <v>כן</v>
          </cell>
          <cell r="J346" t="str">
            <v>כן</v>
          </cell>
          <cell r="K346">
            <v>185</v>
          </cell>
          <cell r="L346">
            <v>122</v>
          </cell>
        </row>
        <row r="347">
          <cell r="D347">
            <v>512756</v>
          </cell>
          <cell r="E347" t="str">
            <v>רשות</v>
          </cell>
          <cell r="F347" t="str">
            <v>שרת משה</v>
          </cell>
          <cell r="G347" t="str">
            <v>יסודי בלבד</v>
          </cell>
          <cell r="H347" t="str">
            <v>כן</v>
          </cell>
          <cell r="I347" t="str">
            <v>כן</v>
          </cell>
          <cell r="J347" t="str">
            <v>כן</v>
          </cell>
          <cell r="K347">
            <v>199</v>
          </cell>
          <cell r="L347">
            <v>100</v>
          </cell>
        </row>
        <row r="348">
          <cell r="D348">
            <v>613901</v>
          </cell>
          <cell r="E348" t="str">
            <v>רשות</v>
          </cell>
          <cell r="F348" t="str">
            <v>דביר</v>
          </cell>
          <cell r="G348" t="str">
            <v>יסודי בלבד</v>
          </cell>
          <cell r="H348" t="str">
            <v>כן</v>
          </cell>
          <cell r="I348" t="str">
            <v>כן</v>
          </cell>
          <cell r="J348" t="str">
            <v>כן</v>
          </cell>
          <cell r="K348">
            <v>250</v>
          </cell>
          <cell r="L348">
            <v>94</v>
          </cell>
        </row>
        <row r="349">
          <cell r="D349">
            <v>214577</v>
          </cell>
          <cell r="E349" t="str">
            <v/>
          </cell>
          <cell r="F349" t="str">
            <v>ממ"ד מורשת</v>
          </cell>
          <cell r="G349" t="str">
            <v>יסודי בלבד</v>
          </cell>
          <cell r="H349" t="str">
            <v>כן</v>
          </cell>
          <cell r="I349" t="str">
            <v>כן</v>
          </cell>
          <cell r="J349" t="str">
            <v>כן</v>
          </cell>
          <cell r="K349">
            <v>140</v>
          </cell>
          <cell r="L349">
            <v>96</v>
          </cell>
        </row>
        <row r="350">
          <cell r="D350">
            <v>616383</v>
          </cell>
          <cell r="E350" t="str">
            <v>רשות</v>
          </cell>
          <cell r="F350" t="str">
            <v>נוף הרים</v>
          </cell>
          <cell r="G350" t="str">
            <v>יסודי בלבד</v>
          </cell>
          <cell r="H350" t="str">
            <v>כן</v>
          </cell>
          <cell r="I350" t="str">
            <v>כן</v>
          </cell>
          <cell r="J350" t="str">
            <v>כן</v>
          </cell>
          <cell r="K350">
            <v>140</v>
          </cell>
          <cell r="L350">
            <v>22</v>
          </cell>
        </row>
        <row r="351">
          <cell r="D351">
            <v>476929</v>
          </cell>
          <cell r="E351" t="str">
            <v>רשות</v>
          </cell>
          <cell r="F351" t="str">
            <v>בראשית</v>
          </cell>
          <cell r="G351" t="str">
            <v>יסודי בלבד</v>
          </cell>
          <cell r="H351" t="str">
            <v>כן</v>
          </cell>
          <cell r="I351" t="str">
            <v>כן</v>
          </cell>
          <cell r="J351" t="str">
            <v>כן</v>
          </cell>
          <cell r="K351">
            <v>81</v>
          </cell>
          <cell r="L351">
            <v>35</v>
          </cell>
        </row>
        <row r="352">
          <cell r="D352">
            <v>213959</v>
          </cell>
          <cell r="E352" t="str">
            <v>רשות</v>
          </cell>
          <cell r="F352" t="str">
            <v>הרעות</v>
          </cell>
          <cell r="G352" t="str">
            <v>יסודי בלבד</v>
          </cell>
          <cell r="H352" t="str">
            <v>כן</v>
          </cell>
          <cell r="I352" t="str">
            <v>כן</v>
          </cell>
          <cell r="J352" t="str">
            <v>כן</v>
          </cell>
          <cell r="K352">
            <v>228</v>
          </cell>
          <cell r="L352">
            <v>106</v>
          </cell>
        </row>
        <row r="353">
          <cell r="D353">
            <v>610071</v>
          </cell>
          <cell r="E353" t="str">
            <v>רשות</v>
          </cell>
          <cell r="F353" t="str">
            <v>הגבעה</v>
          </cell>
          <cell r="G353" t="str">
            <v>יסודי בלבד</v>
          </cell>
          <cell r="H353" t="str">
            <v>כן</v>
          </cell>
          <cell r="I353" t="str">
            <v>כן</v>
          </cell>
          <cell r="J353" t="str">
            <v>כן</v>
          </cell>
          <cell r="K353">
            <v>162</v>
          </cell>
          <cell r="L353">
            <v>135</v>
          </cell>
        </row>
        <row r="354">
          <cell r="D354">
            <v>612978</v>
          </cell>
          <cell r="E354" t="str">
            <v/>
          </cell>
          <cell r="F354" t="str">
            <v>אוריין</v>
          </cell>
          <cell r="G354" t="str">
            <v>יסודי בלבד</v>
          </cell>
          <cell r="H354" t="str">
            <v>לא</v>
          </cell>
          <cell r="I354" t="str">
            <v>לא</v>
          </cell>
          <cell r="J354" t="str">
            <v>לא</v>
          </cell>
          <cell r="K354">
            <v>0</v>
          </cell>
          <cell r="L354">
            <v>0</v>
          </cell>
        </row>
        <row r="355">
          <cell r="D355">
            <v>219527</v>
          </cell>
          <cell r="E355" t="str">
            <v/>
          </cell>
          <cell r="F355" t="str">
            <v>אל-קסטל (קשלה א')</v>
          </cell>
          <cell r="G355" t="str">
            <v>יסודי בלבד</v>
          </cell>
          <cell r="H355" t="str">
            <v>כן</v>
          </cell>
          <cell r="I355" t="str">
            <v>כן</v>
          </cell>
          <cell r="J355" t="str">
            <v>לא</v>
          </cell>
          <cell r="K355">
            <v>230</v>
          </cell>
          <cell r="L355">
            <v>90</v>
          </cell>
        </row>
        <row r="356">
          <cell r="D356">
            <v>511246</v>
          </cell>
          <cell r="E356" t="str">
            <v>רשות</v>
          </cell>
          <cell r="F356" t="str">
            <v>דוד ילין</v>
          </cell>
          <cell r="G356" t="str">
            <v>יסודי בלבד</v>
          </cell>
          <cell r="H356" t="str">
            <v>כן</v>
          </cell>
          <cell r="I356" t="str">
            <v>כן</v>
          </cell>
          <cell r="J356" t="str">
            <v>לא</v>
          </cell>
          <cell r="K356">
            <v>219</v>
          </cell>
          <cell r="L356">
            <v>97</v>
          </cell>
        </row>
        <row r="357">
          <cell r="D357">
            <v>217505</v>
          </cell>
          <cell r="E357" t="str">
            <v>רשות</v>
          </cell>
          <cell r="F357" t="str">
            <v>יסודי ב' אכסאל</v>
          </cell>
          <cell r="G357" t="str">
            <v>יסודי בלבד</v>
          </cell>
          <cell r="H357" t="str">
            <v>כן</v>
          </cell>
          <cell r="I357" t="str">
            <v>כן</v>
          </cell>
          <cell r="J357" t="str">
            <v>כן</v>
          </cell>
          <cell r="K357">
            <v>229</v>
          </cell>
          <cell r="L357">
            <v>78</v>
          </cell>
        </row>
        <row r="358">
          <cell r="D358">
            <v>413054</v>
          </cell>
          <cell r="E358" t="str">
            <v>רשות</v>
          </cell>
          <cell r="F358" t="str">
            <v>ממ"ד נועם -עציון</v>
          </cell>
          <cell r="G358" t="str">
            <v>יסודי בלבד</v>
          </cell>
          <cell r="H358" t="str">
            <v>כן</v>
          </cell>
          <cell r="I358" t="str">
            <v>כן</v>
          </cell>
          <cell r="J358" t="str">
            <v>כן</v>
          </cell>
          <cell r="K358">
            <v>239</v>
          </cell>
          <cell r="L358">
            <v>107</v>
          </cell>
        </row>
        <row r="359">
          <cell r="D359">
            <v>411876</v>
          </cell>
          <cell r="E359" t="str">
            <v>רשות</v>
          </cell>
          <cell r="F359" t="str">
            <v>בארי</v>
          </cell>
          <cell r="G359" t="str">
            <v>יסודי בלבד</v>
          </cell>
          <cell r="H359" t="str">
            <v>כן</v>
          </cell>
          <cell r="I359" t="str">
            <v>כן</v>
          </cell>
          <cell r="J359" t="str">
            <v>כן</v>
          </cell>
          <cell r="K359">
            <v>284</v>
          </cell>
          <cell r="L359">
            <v>99</v>
          </cell>
        </row>
        <row r="360">
          <cell r="D360">
            <v>313767</v>
          </cell>
          <cell r="E360" t="str">
            <v>רשות</v>
          </cell>
          <cell r="F360" t="str">
            <v>אלון</v>
          </cell>
          <cell r="G360" t="str">
            <v>יסודי בלבד</v>
          </cell>
          <cell r="H360" t="str">
            <v>כן</v>
          </cell>
          <cell r="I360" t="str">
            <v>כן</v>
          </cell>
          <cell r="J360" t="str">
            <v>כן</v>
          </cell>
          <cell r="K360">
            <v>145</v>
          </cell>
          <cell r="L360">
            <v>55</v>
          </cell>
        </row>
        <row r="361">
          <cell r="D361">
            <v>482315</v>
          </cell>
          <cell r="E361" t="str">
            <v/>
          </cell>
          <cell r="F361" t="str">
            <v>תלמוד תורה הראי"ה</v>
          </cell>
          <cell r="G361" t="str">
            <v>יסודי בלבד</v>
          </cell>
          <cell r="H361" t="str">
            <v>כן</v>
          </cell>
          <cell r="I361" t="str">
            <v>כן</v>
          </cell>
          <cell r="J361" t="str">
            <v>כן</v>
          </cell>
          <cell r="K361">
            <v>102</v>
          </cell>
          <cell r="L361">
            <v>91</v>
          </cell>
        </row>
        <row r="362">
          <cell r="D362">
            <v>414201</v>
          </cell>
          <cell r="E362" t="str">
            <v>רשות</v>
          </cell>
          <cell r="F362" t="str">
            <v>ע"ש נעמי שמר</v>
          </cell>
          <cell r="G362" t="str">
            <v>יסודי בלבד</v>
          </cell>
          <cell r="H362" t="str">
            <v>כן</v>
          </cell>
          <cell r="I362" t="str">
            <v>כן</v>
          </cell>
          <cell r="J362" t="str">
            <v>כן</v>
          </cell>
          <cell r="K362">
            <v>188</v>
          </cell>
          <cell r="L362">
            <v>55</v>
          </cell>
        </row>
        <row r="363">
          <cell r="D363">
            <v>312660</v>
          </cell>
          <cell r="E363" t="str">
            <v>רשות</v>
          </cell>
          <cell r="F363" t="str">
            <v>ביה"ס הדמוקרטי-חדרה</v>
          </cell>
          <cell r="G363" t="str">
            <v>יסודי בלבד</v>
          </cell>
          <cell r="H363" t="str">
            <v>כן</v>
          </cell>
          <cell r="I363" t="str">
            <v>כן</v>
          </cell>
          <cell r="J363" t="str">
            <v>כן</v>
          </cell>
          <cell r="K363">
            <v>143</v>
          </cell>
          <cell r="L363">
            <v>60</v>
          </cell>
        </row>
        <row r="364">
          <cell r="D364">
            <v>510156</v>
          </cell>
          <cell r="E364" t="str">
            <v/>
          </cell>
          <cell r="F364" t="str">
            <v>חמ"ד אפיקים</v>
          </cell>
          <cell r="G364" t="str">
            <v>יסודי בלבד</v>
          </cell>
          <cell r="H364" t="str">
            <v>כן</v>
          </cell>
          <cell r="I364" t="str">
            <v>כן</v>
          </cell>
          <cell r="J364" t="str">
            <v>כן</v>
          </cell>
          <cell r="K364">
            <v>86</v>
          </cell>
          <cell r="L364">
            <v>86</v>
          </cell>
        </row>
        <row r="365">
          <cell r="D365">
            <v>411603</v>
          </cell>
          <cell r="E365" t="str">
            <v>רשות</v>
          </cell>
          <cell r="F365" t="str">
            <v>גורדון</v>
          </cell>
          <cell r="G365" t="str">
            <v>יסודי בלבד</v>
          </cell>
          <cell r="H365" t="str">
            <v>כן</v>
          </cell>
          <cell r="I365" t="str">
            <v>כן</v>
          </cell>
          <cell r="J365" t="str">
            <v>כן</v>
          </cell>
          <cell r="K365">
            <v>74</v>
          </cell>
          <cell r="L365">
            <v>39</v>
          </cell>
        </row>
        <row r="366">
          <cell r="D366">
            <v>612929</v>
          </cell>
          <cell r="E366" t="str">
            <v>רשות</v>
          </cell>
          <cell r="F366" t="str">
            <v>חזון יעקב</v>
          </cell>
          <cell r="G366" t="str">
            <v>יסודי בלבד</v>
          </cell>
          <cell r="H366" t="str">
            <v>כן</v>
          </cell>
          <cell r="I366" t="str">
            <v>כן</v>
          </cell>
          <cell r="J366" t="str">
            <v>כן</v>
          </cell>
          <cell r="K366">
            <v>106</v>
          </cell>
          <cell r="L366">
            <v>53</v>
          </cell>
        </row>
        <row r="367">
          <cell r="D367">
            <v>613489</v>
          </cell>
          <cell r="E367" t="str">
            <v>רשות</v>
          </cell>
          <cell r="F367" t="str">
            <v>ממ"ד תורני למדעים</v>
          </cell>
          <cell r="G367" t="str">
            <v>יסודי בלבד</v>
          </cell>
          <cell r="H367" t="str">
            <v>כן</v>
          </cell>
          <cell r="I367" t="str">
            <v>כן</v>
          </cell>
          <cell r="J367" t="str">
            <v>לא</v>
          </cell>
          <cell r="K367">
            <v>134</v>
          </cell>
          <cell r="L367">
            <v>60</v>
          </cell>
        </row>
        <row r="368">
          <cell r="D368">
            <v>650069</v>
          </cell>
          <cell r="E368" t="str">
            <v>רשות</v>
          </cell>
          <cell r="F368" t="str">
            <v>בית ישראל</v>
          </cell>
          <cell r="G368" t="str">
            <v>יסודי בלבד</v>
          </cell>
          <cell r="H368" t="str">
            <v>כן</v>
          </cell>
          <cell r="I368" t="str">
            <v>כן</v>
          </cell>
          <cell r="J368" t="str">
            <v>כן</v>
          </cell>
          <cell r="K368">
            <v>71</v>
          </cell>
          <cell r="L368">
            <v>34</v>
          </cell>
        </row>
        <row r="369">
          <cell r="D369">
            <v>310557</v>
          </cell>
          <cell r="E369" t="str">
            <v>רשות</v>
          </cell>
          <cell r="F369" t="str">
            <v>טשרניחובסקי</v>
          </cell>
          <cell r="G369" t="str">
            <v>יסודי בלבד</v>
          </cell>
          <cell r="H369" t="str">
            <v>כן</v>
          </cell>
          <cell r="I369" t="str">
            <v>כן</v>
          </cell>
          <cell r="J369" t="str">
            <v>כן</v>
          </cell>
          <cell r="K369">
            <v>138</v>
          </cell>
          <cell r="L369">
            <v>101</v>
          </cell>
        </row>
        <row r="370">
          <cell r="D370">
            <v>412825</v>
          </cell>
          <cell r="E370" t="str">
            <v>רשות</v>
          </cell>
          <cell r="F370" t="str">
            <v>המעפילים</v>
          </cell>
          <cell r="G370" t="str">
            <v>יסודי בלבד</v>
          </cell>
          <cell r="H370" t="str">
            <v>כן</v>
          </cell>
          <cell r="I370" t="str">
            <v>כן</v>
          </cell>
          <cell r="J370" t="str">
            <v>כן</v>
          </cell>
          <cell r="K370">
            <v>169</v>
          </cell>
          <cell r="L370">
            <v>70</v>
          </cell>
        </row>
        <row r="371">
          <cell r="D371">
            <v>579219</v>
          </cell>
          <cell r="E371" t="str">
            <v>רשות</v>
          </cell>
          <cell r="F371" t="str">
            <v>יצחק נבון</v>
          </cell>
          <cell r="G371" t="str">
            <v>יסודי בלבד</v>
          </cell>
          <cell r="H371" t="str">
            <v>כן</v>
          </cell>
          <cell r="I371" t="str">
            <v>כן</v>
          </cell>
          <cell r="J371" t="str">
            <v>כן</v>
          </cell>
          <cell r="K371">
            <v>351</v>
          </cell>
          <cell r="L371">
            <v>80</v>
          </cell>
        </row>
        <row r="372">
          <cell r="D372">
            <v>410951</v>
          </cell>
          <cell r="E372" t="str">
            <v>רשות</v>
          </cell>
          <cell r="F372" t="str">
            <v>ממלכתי בן צבי</v>
          </cell>
          <cell r="G372" t="str">
            <v>יסודי בלבד</v>
          </cell>
          <cell r="H372" t="str">
            <v>כן</v>
          </cell>
          <cell r="I372" t="str">
            <v>כן</v>
          </cell>
          <cell r="J372" t="str">
            <v>כן</v>
          </cell>
          <cell r="K372">
            <v>231</v>
          </cell>
          <cell r="L372">
            <v>68</v>
          </cell>
        </row>
        <row r="373">
          <cell r="D373">
            <v>112573</v>
          </cell>
          <cell r="E373" t="str">
            <v>רשות</v>
          </cell>
          <cell r="F373" t="str">
            <v>ממ"ד פסגת דוד</v>
          </cell>
          <cell r="G373" t="str">
            <v>יסודי בלבד</v>
          </cell>
          <cell r="H373" t="str">
            <v>כן</v>
          </cell>
          <cell r="I373" t="str">
            <v>כן</v>
          </cell>
          <cell r="J373" t="str">
            <v>כן</v>
          </cell>
          <cell r="K373">
            <v>108</v>
          </cell>
          <cell r="L373">
            <v>65</v>
          </cell>
        </row>
        <row r="374">
          <cell r="D374">
            <v>511352</v>
          </cell>
          <cell r="E374" t="str">
            <v>רשות</v>
          </cell>
          <cell r="F374" t="str">
            <v>גבריאלי-הכרמל</v>
          </cell>
          <cell r="G374" t="str">
            <v>יסודי בלבד</v>
          </cell>
          <cell r="H374" t="str">
            <v>כן</v>
          </cell>
          <cell r="I374" t="str">
            <v>כן</v>
          </cell>
          <cell r="J374" t="str">
            <v>לא</v>
          </cell>
          <cell r="K374">
            <v>219</v>
          </cell>
          <cell r="L374">
            <v>153</v>
          </cell>
        </row>
        <row r="375">
          <cell r="D375">
            <v>415976</v>
          </cell>
          <cell r="E375" t="str">
            <v>רשות</v>
          </cell>
          <cell r="F375" t="str">
            <v>ממ"ד לבנות שלהבת</v>
          </cell>
          <cell r="G375" t="str">
            <v>יסודי בלבד</v>
          </cell>
          <cell r="H375" t="str">
            <v>כן</v>
          </cell>
          <cell r="I375" t="str">
            <v>כן</v>
          </cell>
          <cell r="J375" t="str">
            <v>כן</v>
          </cell>
          <cell r="K375">
            <v>138</v>
          </cell>
          <cell r="L375">
            <v>61</v>
          </cell>
        </row>
        <row r="376">
          <cell r="D376">
            <v>482885</v>
          </cell>
          <cell r="E376" t="str">
            <v>רשות</v>
          </cell>
          <cell r="F376" t="str">
            <v>אורנים</v>
          </cell>
          <cell r="G376" t="str">
            <v>יסודי בלבד</v>
          </cell>
          <cell r="H376" t="str">
            <v>כן</v>
          </cell>
          <cell r="I376" t="str">
            <v>כן</v>
          </cell>
          <cell r="J376" t="str">
            <v>לא</v>
          </cell>
          <cell r="K376">
            <v>85</v>
          </cell>
          <cell r="L376">
            <v>40</v>
          </cell>
        </row>
        <row r="377">
          <cell r="D377">
            <v>112953</v>
          </cell>
          <cell r="E377" t="str">
            <v>רשות</v>
          </cell>
          <cell r="F377" t="str">
            <v>אהבת ישראל (חרד"ל)</v>
          </cell>
          <cell r="G377" t="str">
            <v>יסודי בלבד</v>
          </cell>
          <cell r="H377" t="str">
            <v>כן</v>
          </cell>
          <cell r="I377" t="str">
            <v>כן</v>
          </cell>
          <cell r="J377" t="str">
            <v>כן</v>
          </cell>
          <cell r="K377">
            <v>71</v>
          </cell>
          <cell r="L377">
            <v>53</v>
          </cell>
        </row>
        <row r="378">
          <cell r="D378">
            <v>514935</v>
          </cell>
          <cell r="E378" t="str">
            <v>רשות</v>
          </cell>
          <cell r="F378" t="str">
            <v>ע"ש יעקב כהן</v>
          </cell>
          <cell r="G378" t="str">
            <v>יסודי בלבד</v>
          </cell>
          <cell r="H378" t="str">
            <v>כן</v>
          </cell>
          <cell r="I378" t="str">
            <v>כן</v>
          </cell>
          <cell r="J378" t="str">
            <v>כן</v>
          </cell>
          <cell r="K378">
            <v>477</v>
          </cell>
          <cell r="L378">
            <v>81</v>
          </cell>
        </row>
        <row r="379">
          <cell r="D379">
            <v>218172</v>
          </cell>
          <cell r="E379" t="str">
            <v/>
          </cell>
          <cell r="F379" t="str">
            <v>ע"ש עבד אלעזיז אמון</v>
          </cell>
          <cell r="G379" t="str">
            <v>יסודי בלבד</v>
          </cell>
          <cell r="H379" t="str">
            <v>כן</v>
          </cell>
          <cell r="I379" t="str">
            <v>כן</v>
          </cell>
          <cell r="J379" t="str">
            <v>כן</v>
          </cell>
          <cell r="K379">
            <v>234</v>
          </cell>
          <cell r="L379">
            <v>234</v>
          </cell>
        </row>
        <row r="380">
          <cell r="D380">
            <v>511691</v>
          </cell>
          <cell r="E380" t="str">
            <v>רשות</v>
          </cell>
          <cell r="F380" t="str">
            <v>אית"ן</v>
          </cell>
          <cell r="G380" t="str">
            <v>יסודי בלבד</v>
          </cell>
          <cell r="H380" t="str">
            <v>כן</v>
          </cell>
          <cell r="I380" t="str">
            <v>כן</v>
          </cell>
          <cell r="J380" t="str">
            <v>כן</v>
          </cell>
          <cell r="K380">
            <v>197</v>
          </cell>
          <cell r="L380">
            <v>62</v>
          </cell>
        </row>
        <row r="381">
          <cell r="D381">
            <v>114199</v>
          </cell>
          <cell r="E381" t="str">
            <v>רשות</v>
          </cell>
          <cell r="F381" t="str">
            <v>הדרור</v>
          </cell>
          <cell r="G381" t="str">
            <v>יסודי בלבד</v>
          </cell>
          <cell r="H381" t="str">
            <v>כן</v>
          </cell>
          <cell r="I381" t="str">
            <v>כן</v>
          </cell>
          <cell r="J381" t="str">
            <v>כן</v>
          </cell>
          <cell r="K381">
            <v>303</v>
          </cell>
          <cell r="L381">
            <v>123</v>
          </cell>
        </row>
        <row r="382">
          <cell r="D382">
            <v>614305</v>
          </cell>
          <cell r="E382" t="str">
            <v>רשות</v>
          </cell>
          <cell r="F382" t="str">
            <v>תורני מדעי-עץ החיים</v>
          </cell>
          <cell r="G382" t="str">
            <v>יסודי בלבד</v>
          </cell>
          <cell r="H382" t="str">
            <v>כן</v>
          </cell>
          <cell r="I382" t="str">
            <v>כן</v>
          </cell>
          <cell r="J382" t="str">
            <v>כן</v>
          </cell>
          <cell r="K382">
            <v>152</v>
          </cell>
          <cell r="L382">
            <v>69</v>
          </cell>
        </row>
        <row r="383">
          <cell r="D383">
            <v>411637</v>
          </cell>
          <cell r="E383" t="str">
            <v/>
          </cell>
          <cell r="F383" t="str">
            <v>נוה עוז</v>
          </cell>
          <cell r="G383" t="str">
            <v>יסודי בלבד</v>
          </cell>
          <cell r="H383" t="str">
            <v>כן</v>
          </cell>
          <cell r="I383" t="str">
            <v>כן</v>
          </cell>
          <cell r="J383" t="str">
            <v>כן</v>
          </cell>
          <cell r="K383">
            <v>282</v>
          </cell>
          <cell r="L383">
            <v>176</v>
          </cell>
        </row>
        <row r="384">
          <cell r="D384">
            <v>484295</v>
          </cell>
          <cell r="E384" t="str">
            <v>רשות</v>
          </cell>
          <cell r="F384" t="str">
            <v>שיר השירים</v>
          </cell>
          <cell r="G384" t="str">
            <v>יסודי בלבד</v>
          </cell>
          <cell r="H384" t="str">
            <v>כן</v>
          </cell>
          <cell r="I384" t="str">
            <v>כן</v>
          </cell>
          <cell r="J384" t="str">
            <v>לא</v>
          </cell>
          <cell r="K384">
            <v>105</v>
          </cell>
          <cell r="L384">
            <v>73</v>
          </cell>
        </row>
        <row r="385">
          <cell r="D385">
            <v>647578</v>
          </cell>
          <cell r="E385" t="str">
            <v/>
          </cell>
          <cell r="F385" t="str">
            <v>ממ"ד הרב יונתן זקס</v>
          </cell>
          <cell r="G385" t="str">
            <v>יסודי בלבד</v>
          </cell>
          <cell r="H385" t="str">
            <v>כן</v>
          </cell>
          <cell r="I385" t="str">
            <v>כן</v>
          </cell>
          <cell r="J385" t="str">
            <v>לא</v>
          </cell>
          <cell r="K385">
            <v>125</v>
          </cell>
          <cell r="L385">
            <v>56</v>
          </cell>
        </row>
        <row r="386">
          <cell r="D386">
            <v>618447</v>
          </cell>
          <cell r="E386" t="str">
            <v>רשות</v>
          </cell>
          <cell r="F386" t="str">
            <v>אבן סינא</v>
          </cell>
          <cell r="G386" t="str">
            <v>יסודי בלבד</v>
          </cell>
          <cell r="H386" t="str">
            <v>כן</v>
          </cell>
          <cell r="I386" t="str">
            <v>כן</v>
          </cell>
          <cell r="J386" t="str">
            <v>כן</v>
          </cell>
          <cell r="K386">
            <v>322</v>
          </cell>
          <cell r="L386">
            <v>150</v>
          </cell>
        </row>
        <row r="387">
          <cell r="D387">
            <v>310482</v>
          </cell>
          <cell r="E387" t="str">
            <v>רשות</v>
          </cell>
          <cell r="F387" t="str">
            <v>דרור</v>
          </cell>
          <cell r="G387" t="str">
            <v>יסודי בלבד</v>
          </cell>
          <cell r="H387" t="str">
            <v>כן</v>
          </cell>
          <cell r="I387" t="str">
            <v>כן</v>
          </cell>
          <cell r="J387" t="str">
            <v>כן</v>
          </cell>
          <cell r="K387">
            <v>119</v>
          </cell>
          <cell r="L387">
            <v>43</v>
          </cell>
        </row>
        <row r="388">
          <cell r="D388">
            <v>312652</v>
          </cell>
          <cell r="E388" t="str">
            <v>רשות</v>
          </cell>
          <cell r="F388" t="str">
            <v>נופית</v>
          </cell>
          <cell r="G388" t="str">
            <v>יסודי בלבד</v>
          </cell>
          <cell r="H388" t="str">
            <v>כן</v>
          </cell>
          <cell r="I388" t="str">
            <v>כן</v>
          </cell>
          <cell r="J388" t="str">
            <v>כן</v>
          </cell>
          <cell r="K388">
            <v>90</v>
          </cell>
          <cell r="L388">
            <v>42</v>
          </cell>
        </row>
        <row r="389">
          <cell r="D389">
            <v>410266</v>
          </cell>
          <cell r="E389" t="str">
            <v>רשות</v>
          </cell>
          <cell r="F389" t="str">
            <v>האלה ממ"ד</v>
          </cell>
          <cell r="G389" t="str">
            <v>יסודי בלבד</v>
          </cell>
          <cell r="H389" t="str">
            <v>כן</v>
          </cell>
          <cell r="I389" t="str">
            <v>כן</v>
          </cell>
          <cell r="J389" t="str">
            <v>כן</v>
          </cell>
          <cell r="K389">
            <v>247</v>
          </cell>
          <cell r="L389">
            <v>119</v>
          </cell>
        </row>
        <row r="390">
          <cell r="D390">
            <v>480244</v>
          </cell>
          <cell r="E390" t="str">
            <v>רשות</v>
          </cell>
          <cell r="F390" t="str">
            <v>שלהבות חב"ד</v>
          </cell>
          <cell r="G390" t="str">
            <v>יסודי בלבד</v>
          </cell>
          <cell r="H390" t="str">
            <v>כן</v>
          </cell>
          <cell r="I390" t="str">
            <v>לא</v>
          </cell>
          <cell r="J390" t="str">
            <v>לא</v>
          </cell>
          <cell r="K390">
            <v>20</v>
          </cell>
          <cell r="L390">
            <v>20</v>
          </cell>
        </row>
        <row r="391">
          <cell r="D391">
            <v>682237</v>
          </cell>
          <cell r="E391" t="str">
            <v>רשות</v>
          </cell>
          <cell r="F391" t="str">
            <v>אשראקה</v>
          </cell>
          <cell r="G391" t="str">
            <v>יסודי בלבד</v>
          </cell>
          <cell r="H391" t="str">
            <v>כן</v>
          </cell>
          <cell r="I391" t="str">
            <v>כן</v>
          </cell>
          <cell r="J391" t="str">
            <v>כן</v>
          </cell>
          <cell r="K391">
            <v>174</v>
          </cell>
          <cell r="L391">
            <v>60</v>
          </cell>
        </row>
        <row r="392">
          <cell r="D392">
            <v>511790</v>
          </cell>
          <cell r="E392" t="str">
            <v>רשות</v>
          </cell>
          <cell r="F392" t="str">
            <v>בעל שם טוב מד</v>
          </cell>
          <cell r="G392" t="str">
            <v>יסודי בלבד</v>
          </cell>
          <cell r="H392" t="str">
            <v>כן</v>
          </cell>
          <cell r="I392" t="str">
            <v>כן</v>
          </cell>
          <cell r="J392" t="str">
            <v>כן</v>
          </cell>
          <cell r="K392">
            <v>158</v>
          </cell>
          <cell r="L392">
            <v>53</v>
          </cell>
        </row>
        <row r="393">
          <cell r="D393">
            <v>649962</v>
          </cell>
          <cell r="E393" t="str">
            <v>רשות</v>
          </cell>
          <cell r="F393" t="str">
            <v>אשירה בנות</v>
          </cell>
          <cell r="G393" t="str">
            <v>יסודי בלבד</v>
          </cell>
          <cell r="H393" t="str">
            <v>כן</v>
          </cell>
          <cell r="I393" t="str">
            <v>כן</v>
          </cell>
          <cell r="J393" t="str">
            <v>לא</v>
          </cell>
          <cell r="K393">
            <v>52</v>
          </cell>
          <cell r="L393">
            <v>52</v>
          </cell>
        </row>
        <row r="394">
          <cell r="D394">
            <v>212761</v>
          </cell>
          <cell r="E394" t="str">
            <v/>
          </cell>
          <cell r="F394" t="str">
            <v>שבט סופר</v>
          </cell>
          <cell r="G394" t="str">
            <v>יסודי בלבד</v>
          </cell>
          <cell r="H394" t="str">
            <v>כן</v>
          </cell>
          <cell r="I394" t="str">
            <v>כן</v>
          </cell>
          <cell r="J394" t="str">
            <v>כן</v>
          </cell>
          <cell r="K394">
            <v>164</v>
          </cell>
          <cell r="L394">
            <v>117</v>
          </cell>
        </row>
        <row r="395">
          <cell r="D395">
            <v>110452</v>
          </cell>
          <cell r="E395" t="str">
            <v/>
          </cell>
          <cell r="F395" t="str">
            <v>יהודה הלוי</v>
          </cell>
          <cell r="G395" t="str">
            <v>יסודי בלבד</v>
          </cell>
          <cell r="H395" t="str">
            <v>כן</v>
          </cell>
          <cell r="I395" t="str">
            <v>כן</v>
          </cell>
          <cell r="J395" t="str">
            <v>כן</v>
          </cell>
          <cell r="K395">
            <v>187</v>
          </cell>
          <cell r="L395">
            <v>78</v>
          </cell>
        </row>
        <row r="396">
          <cell r="D396">
            <v>267468</v>
          </cell>
          <cell r="E396" t="str">
            <v>רשות</v>
          </cell>
          <cell r="F396" t="str">
            <v>קס"ם-קהילה סביבה מקו</v>
          </cell>
          <cell r="G396" t="str">
            <v>יסודי בלבד</v>
          </cell>
          <cell r="H396" t="str">
            <v>כן</v>
          </cell>
          <cell r="I396" t="str">
            <v>כן</v>
          </cell>
          <cell r="J396" t="str">
            <v>כן</v>
          </cell>
          <cell r="K396">
            <v>98</v>
          </cell>
          <cell r="L396">
            <v>48</v>
          </cell>
        </row>
        <row r="397">
          <cell r="D397">
            <v>514521</v>
          </cell>
          <cell r="E397" t="str">
            <v>רשות</v>
          </cell>
          <cell r="F397" t="str">
            <v>שכונת המשתלה</v>
          </cell>
          <cell r="G397" t="str">
            <v>יסודי בלבד</v>
          </cell>
          <cell r="H397" t="str">
            <v>כן</v>
          </cell>
          <cell r="I397" t="str">
            <v>כן</v>
          </cell>
          <cell r="J397" t="str">
            <v>כן</v>
          </cell>
          <cell r="K397">
            <v>215</v>
          </cell>
          <cell r="L397">
            <v>78</v>
          </cell>
        </row>
        <row r="398">
          <cell r="D398">
            <v>482299</v>
          </cell>
          <cell r="E398" t="str">
            <v/>
          </cell>
          <cell r="F398" t="str">
            <v>יסודי אלשאפעי</v>
          </cell>
          <cell r="G398" t="str">
            <v>יסודי בלבד</v>
          </cell>
          <cell r="H398" t="str">
            <v>כן</v>
          </cell>
          <cell r="I398" t="str">
            <v>כן</v>
          </cell>
          <cell r="J398" t="str">
            <v>כן</v>
          </cell>
          <cell r="K398">
            <v>291</v>
          </cell>
          <cell r="L398">
            <v>129</v>
          </cell>
        </row>
        <row r="399">
          <cell r="D399">
            <v>211532</v>
          </cell>
          <cell r="E399" t="str">
            <v>רשות</v>
          </cell>
          <cell r="F399" t="str">
            <v>רמבם מד-נהריה</v>
          </cell>
          <cell r="G399" t="str">
            <v>יסודי בלבד</v>
          </cell>
          <cell r="H399" t="str">
            <v>כן</v>
          </cell>
          <cell r="I399" t="str">
            <v>כן</v>
          </cell>
          <cell r="J399" t="str">
            <v>כן</v>
          </cell>
          <cell r="K399">
            <v>129</v>
          </cell>
          <cell r="L399">
            <v>55</v>
          </cell>
        </row>
        <row r="400">
          <cell r="D400">
            <v>412296</v>
          </cell>
          <cell r="E400" t="str">
            <v/>
          </cell>
          <cell r="F400" t="str">
            <v>חב"ד אור מנחם</v>
          </cell>
          <cell r="G400" t="str">
            <v>יסודי בלבד</v>
          </cell>
          <cell r="H400" t="str">
            <v>כן</v>
          </cell>
          <cell r="I400" t="str">
            <v>כן</v>
          </cell>
          <cell r="J400" t="str">
            <v>כן</v>
          </cell>
          <cell r="K400">
            <v>71</v>
          </cell>
          <cell r="L400">
            <v>71</v>
          </cell>
        </row>
        <row r="401">
          <cell r="D401">
            <v>510594</v>
          </cell>
          <cell r="E401" t="str">
            <v>רשות</v>
          </cell>
          <cell r="F401" t="str">
            <v>שנקר</v>
          </cell>
          <cell r="G401" t="str">
            <v>יסודי בלבד</v>
          </cell>
          <cell r="H401" t="str">
            <v>כן</v>
          </cell>
          <cell r="I401" t="str">
            <v>כן</v>
          </cell>
          <cell r="J401" t="str">
            <v>כן</v>
          </cell>
          <cell r="K401">
            <v>198</v>
          </cell>
          <cell r="L401">
            <v>115</v>
          </cell>
        </row>
        <row r="402">
          <cell r="D402">
            <v>614602</v>
          </cell>
          <cell r="E402" t="str">
            <v>רשות</v>
          </cell>
          <cell r="F402" t="str">
            <v>אפיקים בנגב</v>
          </cell>
          <cell r="G402" t="str">
            <v>יסודי בלבד</v>
          </cell>
          <cell r="H402" t="str">
            <v>כן</v>
          </cell>
          <cell r="I402" t="str">
            <v>כן</v>
          </cell>
          <cell r="J402" t="str">
            <v>כן</v>
          </cell>
          <cell r="K402">
            <v>249</v>
          </cell>
          <cell r="L402">
            <v>126</v>
          </cell>
        </row>
        <row r="403">
          <cell r="D403">
            <v>318295</v>
          </cell>
          <cell r="E403" t="str">
            <v>רשות</v>
          </cell>
          <cell r="F403" t="str">
            <v>יסודי עש פארוק שחידם</v>
          </cell>
          <cell r="G403" t="str">
            <v>יסודי בלבד</v>
          </cell>
          <cell r="H403" t="str">
            <v>כן</v>
          </cell>
          <cell r="I403" t="str">
            <v>כן</v>
          </cell>
          <cell r="J403" t="str">
            <v>לא</v>
          </cell>
          <cell r="K403">
            <v>99</v>
          </cell>
          <cell r="L403">
            <v>30</v>
          </cell>
        </row>
        <row r="404">
          <cell r="D404">
            <v>312751</v>
          </cell>
          <cell r="E404" t="str">
            <v>רשות</v>
          </cell>
          <cell r="F404" t="str">
            <v>יסודי גבעת טל</v>
          </cell>
          <cell r="G404" t="str">
            <v>יסודי בלבד</v>
          </cell>
          <cell r="H404" t="str">
            <v>כן</v>
          </cell>
          <cell r="I404" t="str">
            <v>כן</v>
          </cell>
          <cell r="J404" t="str">
            <v>כן</v>
          </cell>
          <cell r="K404">
            <v>106</v>
          </cell>
          <cell r="L404">
            <v>48</v>
          </cell>
        </row>
        <row r="405">
          <cell r="D405">
            <v>510065</v>
          </cell>
          <cell r="E405" t="str">
            <v>רשות</v>
          </cell>
          <cell r="F405" t="str">
            <v>אור מנחם</v>
          </cell>
          <cell r="G405" t="str">
            <v>יסודי בלבד</v>
          </cell>
          <cell r="H405" t="str">
            <v>כן</v>
          </cell>
          <cell r="I405" t="str">
            <v>כן</v>
          </cell>
          <cell r="J405" t="str">
            <v>כן</v>
          </cell>
          <cell r="K405">
            <v>81</v>
          </cell>
          <cell r="L405">
            <v>50</v>
          </cell>
        </row>
        <row r="406">
          <cell r="D406">
            <v>213108</v>
          </cell>
          <cell r="E406" t="str">
            <v>רשות</v>
          </cell>
          <cell r="F406" t="str">
            <v>מוריה ממ"ד כרמיאל</v>
          </cell>
          <cell r="G406" t="str">
            <v>יסודי בלבד</v>
          </cell>
          <cell r="H406" t="str">
            <v>כן</v>
          </cell>
          <cell r="I406" t="str">
            <v>כן</v>
          </cell>
          <cell r="J406" t="str">
            <v>כן</v>
          </cell>
          <cell r="K406">
            <v>145</v>
          </cell>
          <cell r="L406">
            <v>90</v>
          </cell>
        </row>
        <row r="407">
          <cell r="D407">
            <v>312090</v>
          </cell>
          <cell r="E407" t="str">
            <v>רשות</v>
          </cell>
          <cell r="F407" t="str">
            <v>יזרעאליה</v>
          </cell>
          <cell r="G407" t="str">
            <v>יסודי בלבד</v>
          </cell>
          <cell r="H407" t="str">
            <v>כן</v>
          </cell>
          <cell r="I407" t="str">
            <v>כן</v>
          </cell>
          <cell r="J407" t="str">
            <v>כן</v>
          </cell>
          <cell r="K407">
            <v>139</v>
          </cell>
          <cell r="L407">
            <v>48</v>
          </cell>
        </row>
        <row r="408">
          <cell r="D408">
            <v>219634</v>
          </cell>
          <cell r="E408" t="str">
            <v>רשות</v>
          </cell>
          <cell r="F408" t="str">
            <v>אלסביל</v>
          </cell>
          <cell r="G408" t="str">
            <v>יסודי בלבד</v>
          </cell>
          <cell r="H408" t="str">
            <v>כן</v>
          </cell>
          <cell r="I408" t="str">
            <v>כן</v>
          </cell>
          <cell r="J408" t="str">
            <v>כן</v>
          </cell>
          <cell r="K408">
            <v>149</v>
          </cell>
          <cell r="L408">
            <v>88</v>
          </cell>
        </row>
        <row r="409">
          <cell r="D409">
            <v>513671</v>
          </cell>
          <cell r="E409" t="str">
            <v>רשות</v>
          </cell>
          <cell r="F409" t="str">
            <v>אורות התורה מד</v>
          </cell>
          <cell r="G409" t="str">
            <v>יסודי בלבד</v>
          </cell>
          <cell r="H409" t="str">
            <v>כן</v>
          </cell>
          <cell r="I409" t="str">
            <v>כן</v>
          </cell>
          <cell r="J409" t="str">
            <v>כן</v>
          </cell>
          <cell r="K409">
            <v>152</v>
          </cell>
          <cell r="L409">
            <v>112</v>
          </cell>
        </row>
        <row r="410">
          <cell r="D410">
            <v>642462</v>
          </cell>
          <cell r="E410" t="str">
            <v>בעלות</v>
          </cell>
          <cell r="F410" t="str">
            <v>בית יעקב הר יונה</v>
          </cell>
          <cell r="G410" t="str">
            <v>יסודי בלבד</v>
          </cell>
          <cell r="H410" t="str">
            <v>כן</v>
          </cell>
          <cell r="I410" t="str">
            <v>כן</v>
          </cell>
          <cell r="J410" t="str">
            <v>כן</v>
          </cell>
          <cell r="K410">
            <v>71</v>
          </cell>
          <cell r="L410">
            <v>52</v>
          </cell>
        </row>
        <row r="411">
          <cell r="D411">
            <v>218891</v>
          </cell>
          <cell r="E411" t="str">
            <v>רשות</v>
          </cell>
          <cell r="F411" t="str">
            <v>ערב אלכעבייה</v>
          </cell>
          <cell r="G411" t="str">
            <v>יסודי בלבד</v>
          </cell>
          <cell r="H411" t="str">
            <v>כן</v>
          </cell>
          <cell r="I411" t="str">
            <v>כן</v>
          </cell>
          <cell r="J411" t="str">
            <v>כן</v>
          </cell>
          <cell r="K411">
            <v>231</v>
          </cell>
          <cell r="L411">
            <v>110</v>
          </cell>
        </row>
        <row r="412">
          <cell r="D412">
            <v>482828</v>
          </cell>
          <cell r="E412" t="str">
            <v>רשות</v>
          </cell>
          <cell r="F412" t="str">
            <v>עלי זהב מזרח</v>
          </cell>
          <cell r="G412" t="str">
            <v>יסודי בלבד</v>
          </cell>
          <cell r="H412" t="str">
            <v>כן</v>
          </cell>
          <cell r="I412" t="str">
            <v>כן</v>
          </cell>
          <cell r="J412" t="str">
            <v>כן</v>
          </cell>
          <cell r="K412">
            <v>193</v>
          </cell>
          <cell r="L412">
            <v>100</v>
          </cell>
        </row>
        <row r="413">
          <cell r="D413">
            <v>218743</v>
          </cell>
          <cell r="E413" t="str">
            <v/>
          </cell>
          <cell r="F413" t="str">
            <v>יסודי ב' עבדו סלים</v>
          </cell>
          <cell r="G413" t="str">
            <v>יסודי בלבד</v>
          </cell>
          <cell r="H413" t="str">
            <v>כן</v>
          </cell>
          <cell r="I413" t="str">
            <v>כן</v>
          </cell>
          <cell r="J413" t="str">
            <v>כן</v>
          </cell>
          <cell r="K413">
            <v>229</v>
          </cell>
          <cell r="L413">
            <v>58</v>
          </cell>
        </row>
        <row r="414">
          <cell r="D414">
            <v>513192</v>
          </cell>
          <cell r="E414" t="str">
            <v>רשות</v>
          </cell>
          <cell r="F414" t="str">
            <v>עלומים</v>
          </cell>
          <cell r="G414" t="str">
            <v>יסודי בלבד</v>
          </cell>
          <cell r="H414" t="str">
            <v>כן</v>
          </cell>
          <cell r="I414" t="str">
            <v>כן</v>
          </cell>
          <cell r="J414" t="str">
            <v>כן</v>
          </cell>
          <cell r="K414">
            <v>316</v>
          </cell>
          <cell r="L414">
            <v>148</v>
          </cell>
        </row>
        <row r="415">
          <cell r="D415">
            <v>513408</v>
          </cell>
          <cell r="E415" t="str">
            <v>רשות</v>
          </cell>
          <cell r="F415" t="str">
            <v>כפיר</v>
          </cell>
          <cell r="G415" t="str">
            <v>יסודי בלבד</v>
          </cell>
          <cell r="H415" t="str">
            <v>כן</v>
          </cell>
          <cell r="I415" t="str">
            <v>כן</v>
          </cell>
          <cell r="J415" t="str">
            <v>כן</v>
          </cell>
          <cell r="K415">
            <v>114</v>
          </cell>
          <cell r="L415">
            <v>114</v>
          </cell>
        </row>
        <row r="416">
          <cell r="D416">
            <v>512632</v>
          </cell>
          <cell r="E416" t="str">
            <v/>
          </cell>
          <cell r="F416" t="str">
            <v>סגולה מד</v>
          </cell>
          <cell r="G416" t="str">
            <v>יסודי בלבד</v>
          </cell>
          <cell r="H416" t="str">
            <v>כן</v>
          </cell>
          <cell r="I416" t="str">
            <v>כן</v>
          </cell>
          <cell r="J416" t="str">
            <v>כן</v>
          </cell>
          <cell r="K416">
            <v>112</v>
          </cell>
          <cell r="L416">
            <v>112</v>
          </cell>
        </row>
        <row r="417">
          <cell r="D417">
            <v>759555</v>
          </cell>
          <cell r="E417" t="str">
            <v/>
          </cell>
          <cell r="F417" t="str">
            <v>מקום לחלום</v>
          </cell>
          <cell r="G417" t="str">
            <v>יסודי בלבד</v>
          </cell>
          <cell r="H417" t="str">
            <v>כן</v>
          </cell>
          <cell r="I417" t="str">
            <v>כן</v>
          </cell>
          <cell r="J417" t="str">
            <v>כן</v>
          </cell>
          <cell r="K417">
            <v>0</v>
          </cell>
          <cell r="L417">
            <v>26</v>
          </cell>
        </row>
        <row r="418">
          <cell r="D418">
            <v>512582</v>
          </cell>
          <cell r="E418" t="str">
            <v>רשות</v>
          </cell>
          <cell r="F418" t="str">
            <v>אביחי</v>
          </cell>
          <cell r="G418" t="str">
            <v>יסודי בלבד</v>
          </cell>
          <cell r="H418" t="str">
            <v>כן</v>
          </cell>
          <cell r="I418" t="str">
            <v>כן</v>
          </cell>
          <cell r="J418" t="str">
            <v>כן</v>
          </cell>
          <cell r="K418">
            <v>249</v>
          </cell>
          <cell r="L418">
            <v>60</v>
          </cell>
        </row>
        <row r="419">
          <cell r="D419">
            <v>612911</v>
          </cell>
          <cell r="E419" t="str">
            <v>רשות</v>
          </cell>
          <cell r="F419" t="str">
            <v>צפרירים</v>
          </cell>
          <cell r="G419" t="str">
            <v>יסודי בלבד</v>
          </cell>
          <cell r="H419" t="str">
            <v>כן</v>
          </cell>
          <cell r="I419" t="str">
            <v>כן</v>
          </cell>
          <cell r="J419" t="str">
            <v>כן</v>
          </cell>
          <cell r="K419">
            <v>164</v>
          </cell>
          <cell r="L419">
            <v>49</v>
          </cell>
        </row>
        <row r="420">
          <cell r="D420">
            <v>413708</v>
          </cell>
          <cell r="E420" t="str">
            <v>רשות</v>
          </cell>
          <cell r="F420" t="str">
            <v>ממ"ד שבי שומרון</v>
          </cell>
          <cell r="G420" t="str">
            <v>יסודי בלבד</v>
          </cell>
          <cell r="H420" t="str">
            <v>כן</v>
          </cell>
          <cell r="I420" t="str">
            <v>כן</v>
          </cell>
          <cell r="J420" t="str">
            <v>כן</v>
          </cell>
          <cell r="K420">
            <v>218</v>
          </cell>
          <cell r="L420">
            <v>156</v>
          </cell>
        </row>
        <row r="421">
          <cell r="D421">
            <v>482661</v>
          </cell>
          <cell r="E421" t="str">
            <v>רשות</v>
          </cell>
          <cell r="F421" t="str">
            <v>אמירים</v>
          </cell>
          <cell r="G421" t="str">
            <v>יסודי בלבד</v>
          </cell>
          <cell r="H421" t="str">
            <v>כן</v>
          </cell>
          <cell r="I421" t="str">
            <v>כן</v>
          </cell>
          <cell r="J421" t="str">
            <v>כן</v>
          </cell>
          <cell r="K421">
            <v>473</v>
          </cell>
          <cell r="L421">
            <v>187</v>
          </cell>
        </row>
        <row r="422">
          <cell r="D422">
            <v>645416</v>
          </cell>
          <cell r="E422" t="str">
            <v>רשות</v>
          </cell>
          <cell r="F422" t="str">
            <v>רגבים</v>
          </cell>
          <cell r="G422" t="str">
            <v>יסודי בלבד</v>
          </cell>
          <cell r="H422" t="str">
            <v>כן</v>
          </cell>
          <cell r="I422" t="str">
            <v>כן</v>
          </cell>
          <cell r="J422" t="str">
            <v>לא</v>
          </cell>
          <cell r="K422">
            <v>170</v>
          </cell>
          <cell r="L422">
            <v>115</v>
          </cell>
        </row>
        <row r="423">
          <cell r="D423">
            <v>110155</v>
          </cell>
          <cell r="E423" t="str">
            <v>רשות</v>
          </cell>
          <cell r="F423" t="str">
            <v>בית הכרם</v>
          </cell>
          <cell r="G423" t="str">
            <v>יסודי בלבד</v>
          </cell>
          <cell r="H423" t="str">
            <v>כן</v>
          </cell>
          <cell r="I423" t="str">
            <v>כן</v>
          </cell>
          <cell r="J423" t="str">
            <v>לא</v>
          </cell>
          <cell r="K423">
            <v>131</v>
          </cell>
          <cell r="L423">
            <v>47</v>
          </cell>
        </row>
        <row r="424">
          <cell r="D424">
            <v>313825</v>
          </cell>
          <cell r="E424" t="str">
            <v>רשות</v>
          </cell>
          <cell r="F424" t="str">
            <v>עליזה ומנחם בגין</v>
          </cell>
          <cell r="G424" t="str">
            <v>יסודי בלבד</v>
          </cell>
          <cell r="H424" t="str">
            <v>כן</v>
          </cell>
          <cell r="I424" t="str">
            <v>כן</v>
          </cell>
          <cell r="J424" t="str">
            <v>כן</v>
          </cell>
          <cell r="K424">
            <v>334</v>
          </cell>
          <cell r="L424">
            <v>93</v>
          </cell>
        </row>
        <row r="425">
          <cell r="D425">
            <v>411355</v>
          </cell>
          <cell r="E425" t="str">
            <v>רשות</v>
          </cell>
          <cell r="F425" t="str">
            <v>איתמר בן אב"י</v>
          </cell>
          <cell r="G425" t="str">
            <v>יסודי בלבד</v>
          </cell>
          <cell r="H425" t="str">
            <v>כן</v>
          </cell>
          <cell r="I425" t="str">
            <v>כן</v>
          </cell>
          <cell r="J425" t="str">
            <v>כן</v>
          </cell>
          <cell r="K425">
            <v>247</v>
          </cell>
          <cell r="L425">
            <v>50</v>
          </cell>
        </row>
        <row r="426">
          <cell r="D426">
            <v>412874</v>
          </cell>
          <cell r="E426" t="str">
            <v>רשות</v>
          </cell>
          <cell r="F426" t="str">
            <v>ממ"ד ישורון</v>
          </cell>
          <cell r="G426" t="str">
            <v>יסודי בלבד</v>
          </cell>
          <cell r="H426" t="str">
            <v>כן</v>
          </cell>
          <cell r="I426" t="str">
            <v>כן</v>
          </cell>
          <cell r="J426" t="str">
            <v>כן</v>
          </cell>
          <cell r="K426">
            <v>278</v>
          </cell>
          <cell r="L426">
            <v>64</v>
          </cell>
        </row>
        <row r="427">
          <cell r="D427">
            <v>112136</v>
          </cell>
          <cell r="E427" t="str">
            <v>רשות</v>
          </cell>
          <cell r="F427" t="str">
            <v>תלפיות מזרח ממלכתי ב</v>
          </cell>
          <cell r="G427" t="str">
            <v>יסודי בלבד</v>
          </cell>
          <cell r="H427" t="str">
            <v>כן</v>
          </cell>
          <cell r="I427" t="str">
            <v>כן</v>
          </cell>
          <cell r="J427" t="str">
            <v>כן</v>
          </cell>
          <cell r="K427">
            <v>138</v>
          </cell>
          <cell r="L427">
            <v>75</v>
          </cell>
        </row>
        <row r="428">
          <cell r="D428">
            <v>211797</v>
          </cell>
          <cell r="E428" t="str">
            <v>רשות</v>
          </cell>
          <cell r="F428" t="str">
            <v>גורדון - עכו</v>
          </cell>
          <cell r="G428" t="str">
            <v>יסודי בלבד</v>
          </cell>
          <cell r="H428" t="str">
            <v>כן</v>
          </cell>
          <cell r="I428" t="str">
            <v>כן</v>
          </cell>
          <cell r="J428" t="str">
            <v>כן</v>
          </cell>
          <cell r="K428">
            <v>256</v>
          </cell>
          <cell r="L428">
            <v>74</v>
          </cell>
        </row>
        <row r="429">
          <cell r="D429">
            <v>512509</v>
          </cell>
          <cell r="E429" t="str">
            <v>רשות</v>
          </cell>
          <cell r="F429" t="str">
            <v>קדם</v>
          </cell>
          <cell r="G429" t="str">
            <v>יסודי בלבד</v>
          </cell>
          <cell r="H429" t="str">
            <v>כן</v>
          </cell>
          <cell r="I429" t="str">
            <v>כן</v>
          </cell>
          <cell r="J429" t="str">
            <v>כן</v>
          </cell>
          <cell r="K429">
            <v>139</v>
          </cell>
          <cell r="L429">
            <v>106</v>
          </cell>
        </row>
        <row r="430">
          <cell r="D430">
            <v>511949</v>
          </cell>
          <cell r="E430" t="str">
            <v>רשות</v>
          </cell>
          <cell r="F430" t="str">
            <v>עציון מד</v>
          </cell>
          <cell r="G430" t="str">
            <v>יסודי בלבד</v>
          </cell>
          <cell r="H430" t="str">
            <v>כן</v>
          </cell>
          <cell r="I430" t="str">
            <v>כן</v>
          </cell>
          <cell r="J430" t="str">
            <v>כן</v>
          </cell>
          <cell r="K430">
            <v>149</v>
          </cell>
          <cell r="L430">
            <v>77</v>
          </cell>
        </row>
        <row r="431">
          <cell r="D431">
            <v>613927</v>
          </cell>
          <cell r="E431" t="str">
            <v>רשות</v>
          </cell>
          <cell r="F431" t="str">
            <v>רננות</v>
          </cell>
          <cell r="G431" t="str">
            <v>יסודי בלבד</v>
          </cell>
          <cell r="H431" t="str">
            <v>כן</v>
          </cell>
          <cell r="I431" t="str">
            <v>כן</v>
          </cell>
          <cell r="J431" t="str">
            <v>כן</v>
          </cell>
          <cell r="K431">
            <v>254</v>
          </cell>
          <cell r="L431">
            <v>72</v>
          </cell>
        </row>
        <row r="432">
          <cell r="D432">
            <v>484303</v>
          </cell>
          <cell r="E432" t="str">
            <v>רשות</v>
          </cell>
          <cell r="F432" t="str">
            <v>שיבולים</v>
          </cell>
          <cell r="G432" t="str">
            <v>יסודי בלבד</v>
          </cell>
          <cell r="H432" t="str">
            <v>כן</v>
          </cell>
          <cell r="I432" t="str">
            <v>לא</v>
          </cell>
          <cell r="J432" t="str">
            <v>לא</v>
          </cell>
          <cell r="K432">
            <v>49</v>
          </cell>
          <cell r="L432">
            <v>34</v>
          </cell>
        </row>
        <row r="433">
          <cell r="D433">
            <v>616532</v>
          </cell>
          <cell r="E433" t="str">
            <v>רשות</v>
          </cell>
          <cell r="F433" t="str">
            <v>אהבת יצחק</v>
          </cell>
          <cell r="G433" t="str">
            <v>יסודי בלבד</v>
          </cell>
          <cell r="H433" t="str">
            <v>כן</v>
          </cell>
          <cell r="I433" t="str">
            <v>כן</v>
          </cell>
          <cell r="J433" t="str">
            <v>כן</v>
          </cell>
          <cell r="K433">
            <v>82</v>
          </cell>
          <cell r="L433">
            <v>60</v>
          </cell>
        </row>
        <row r="434">
          <cell r="D434">
            <v>414896</v>
          </cell>
          <cell r="E434" t="str">
            <v/>
          </cell>
          <cell r="F434" t="str">
            <v>ממלכתי נופים</v>
          </cell>
          <cell r="G434" t="str">
            <v>יסודי בלבד</v>
          </cell>
          <cell r="H434" t="str">
            <v>לא</v>
          </cell>
          <cell r="I434" t="str">
            <v>לא</v>
          </cell>
          <cell r="J434" t="str">
            <v>לא</v>
          </cell>
          <cell r="K434">
            <v>0</v>
          </cell>
          <cell r="L434">
            <v>0</v>
          </cell>
        </row>
        <row r="435">
          <cell r="D435">
            <v>658955</v>
          </cell>
          <cell r="E435" t="str">
            <v>רשות</v>
          </cell>
          <cell r="F435" t="str">
            <v>ארץ הצבי</v>
          </cell>
          <cell r="G435" t="str">
            <v>יסודי בלבד</v>
          </cell>
          <cell r="H435" t="str">
            <v>כן</v>
          </cell>
          <cell r="I435" t="str">
            <v>כן</v>
          </cell>
          <cell r="J435" t="str">
            <v>לא</v>
          </cell>
          <cell r="K435">
            <v>61</v>
          </cell>
          <cell r="L435">
            <v>25</v>
          </cell>
        </row>
        <row r="436">
          <cell r="D436">
            <v>318279</v>
          </cell>
          <cell r="E436" t="str">
            <v>רשות</v>
          </cell>
          <cell r="F436" t="str">
            <v>עין אברהים</v>
          </cell>
          <cell r="G436" t="str">
            <v>יסודי בלבד</v>
          </cell>
          <cell r="H436" t="str">
            <v>כן</v>
          </cell>
          <cell r="I436" t="str">
            <v>כן</v>
          </cell>
          <cell r="J436" t="str">
            <v>כן</v>
          </cell>
          <cell r="K436">
            <v>168</v>
          </cell>
          <cell r="L436">
            <v>55</v>
          </cell>
        </row>
        <row r="437">
          <cell r="D437">
            <v>211904</v>
          </cell>
          <cell r="E437" t="str">
            <v>רשות</v>
          </cell>
          <cell r="F437" t="str">
            <v>אלומות -עפולה</v>
          </cell>
          <cell r="G437" t="str">
            <v>יסודי בלבד</v>
          </cell>
          <cell r="H437" t="str">
            <v>כן</v>
          </cell>
          <cell r="I437" t="str">
            <v>כן</v>
          </cell>
          <cell r="J437" t="str">
            <v>כן</v>
          </cell>
          <cell r="K437">
            <v>128</v>
          </cell>
          <cell r="L437">
            <v>95</v>
          </cell>
        </row>
        <row r="438">
          <cell r="D438">
            <v>530394</v>
          </cell>
          <cell r="E438" t="str">
            <v>רשות</v>
          </cell>
          <cell r="F438" t="str">
            <v>דרויינוב</v>
          </cell>
          <cell r="G438" t="str">
            <v>יסודי בלבד</v>
          </cell>
          <cell r="H438" t="str">
            <v>כן</v>
          </cell>
          <cell r="I438" t="str">
            <v>כן</v>
          </cell>
          <cell r="J438" t="str">
            <v>לא</v>
          </cell>
          <cell r="K438">
            <v>157</v>
          </cell>
          <cell r="L438">
            <v>82</v>
          </cell>
        </row>
        <row r="439">
          <cell r="D439">
            <v>618470</v>
          </cell>
          <cell r="E439" t="str">
            <v>רשות</v>
          </cell>
          <cell r="F439" t="str">
            <v>אלאנדלוס</v>
          </cell>
          <cell r="G439" t="str">
            <v>יסודי בלבד</v>
          </cell>
          <cell r="H439" t="str">
            <v>כן</v>
          </cell>
          <cell r="I439" t="str">
            <v>כן</v>
          </cell>
          <cell r="J439" t="str">
            <v>כן</v>
          </cell>
          <cell r="K439">
            <v>452</v>
          </cell>
          <cell r="L439">
            <v>135</v>
          </cell>
        </row>
        <row r="440">
          <cell r="D440">
            <v>313635</v>
          </cell>
          <cell r="E440" t="str">
            <v>רשות</v>
          </cell>
          <cell r="F440" t="str">
            <v>קציר</v>
          </cell>
          <cell r="G440" t="str">
            <v>יסודי בלבד</v>
          </cell>
          <cell r="H440" t="str">
            <v>כן</v>
          </cell>
          <cell r="I440" t="str">
            <v>כן</v>
          </cell>
          <cell r="J440" t="str">
            <v>כן</v>
          </cell>
          <cell r="K440">
            <v>138</v>
          </cell>
          <cell r="L440">
            <v>80</v>
          </cell>
        </row>
        <row r="441">
          <cell r="D441">
            <v>411835</v>
          </cell>
          <cell r="E441" t="str">
            <v/>
          </cell>
          <cell r="F441" t="str">
            <v>בית אור</v>
          </cell>
          <cell r="G441" t="str">
            <v>יסודי בלבד</v>
          </cell>
          <cell r="H441" t="str">
            <v>כן</v>
          </cell>
          <cell r="I441" t="str">
            <v>כן</v>
          </cell>
          <cell r="J441" t="str">
            <v>כן</v>
          </cell>
          <cell r="K441">
            <v>218</v>
          </cell>
          <cell r="L441">
            <v>57</v>
          </cell>
        </row>
        <row r="442">
          <cell r="D442">
            <v>318154</v>
          </cell>
          <cell r="E442" t="str">
            <v>רשות</v>
          </cell>
          <cell r="F442" t="str">
            <v>זלפה</v>
          </cell>
          <cell r="G442" t="str">
            <v>יסודי בלבד</v>
          </cell>
          <cell r="H442" t="str">
            <v>כן</v>
          </cell>
          <cell r="I442" t="str">
            <v>כן</v>
          </cell>
          <cell r="J442" t="str">
            <v>כן</v>
          </cell>
          <cell r="K442">
            <v>142</v>
          </cell>
          <cell r="L442">
            <v>62</v>
          </cell>
        </row>
        <row r="443">
          <cell r="D443">
            <v>418368</v>
          </cell>
          <cell r="E443" t="str">
            <v/>
          </cell>
          <cell r="F443" t="str">
            <v>איבן סינא ב'</v>
          </cell>
          <cell r="G443" t="str">
            <v>יסודי בלבד</v>
          </cell>
          <cell r="H443" t="str">
            <v>כן</v>
          </cell>
          <cell r="I443" t="str">
            <v>כן</v>
          </cell>
          <cell r="J443" t="str">
            <v>כן</v>
          </cell>
          <cell r="K443">
            <v>296</v>
          </cell>
          <cell r="L443">
            <v>116</v>
          </cell>
        </row>
        <row r="444">
          <cell r="D444">
            <v>674549</v>
          </cell>
          <cell r="E444" t="str">
            <v/>
          </cell>
          <cell r="F444" t="str">
            <v>שלהבות חב"ד - קטמון</v>
          </cell>
          <cell r="G444" t="str">
            <v>יסודי בלבד</v>
          </cell>
          <cell r="H444" t="str">
            <v>כן</v>
          </cell>
          <cell r="I444" t="str">
            <v>לא</v>
          </cell>
          <cell r="J444" t="str">
            <v>לא</v>
          </cell>
          <cell r="K444">
            <v>0</v>
          </cell>
          <cell r="L444">
            <v>10</v>
          </cell>
        </row>
        <row r="445">
          <cell r="D445">
            <v>480053</v>
          </cell>
          <cell r="E445" t="str">
            <v>רשות</v>
          </cell>
          <cell r="F445" t="str">
            <v>אורים ע"ז לשם</v>
          </cell>
          <cell r="G445" t="str">
            <v>יסודי בלבד</v>
          </cell>
          <cell r="H445" t="str">
            <v>כן</v>
          </cell>
          <cell r="I445" t="str">
            <v>לא</v>
          </cell>
          <cell r="J445" t="str">
            <v>לא</v>
          </cell>
          <cell r="K445">
            <v>143</v>
          </cell>
          <cell r="L445">
            <v>67</v>
          </cell>
        </row>
        <row r="446">
          <cell r="D446">
            <v>118018</v>
          </cell>
          <cell r="E446" t="str">
            <v>רשות</v>
          </cell>
          <cell r="F446" t="str">
            <v>אבו גוש</v>
          </cell>
          <cell r="G446" t="str">
            <v>יסודי בלבד</v>
          </cell>
          <cell r="H446" t="str">
            <v>כן</v>
          </cell>
          <cell r="I446" t="str">
            <v>כן</v>
          </cell>
          <cell r="J446" t="str">
            <v>כן</v>
          </cell>
          <cell r="K446">
            <v>170</v>
          </cell>
          <cell r="L446">
            <v>120</v>
          </cell>
        </row>
        <row r="447">
          <cell r="D447">
            <v>615310</v>
          </cell>
          <cell r="E447" t="str">
            <v>בעלות</v>
          </cell>
          <cell r="F447" t="str">
            <v>אהבת ישראל אור מלכה</v>
          </cell>
          <cell r="G447" t="str">
            <v>יסודי בלבד</v>
          </cell>
          <cell r="H447" t="str">
            <v>כן</v>
          </cell>
          <cell r="I447" t="str">
            <v>כן</v>
          </cell>
          <cell r="J447" t="str">
            <v>כן</v>
          </cell>
          <cell r="K447">
            <v>69</v>
          </cell>
          <cell r="L447">
            <v>69</v>
          </cell>
        </row>
        <row r="448">
          <cell r="D448">
            <v>613851</v>
          </cell>
          <cell r="E448" t="str">
            <v>רשות</v>
          </cell>
          <cell r="F448" t="str">
            <v>יצחק רבין</v>
          </cell>
          <cell r="G448" t="str">
            <v>יסודי בלבד</v>
          </cell>
          <cell r="H448" t="str">
            <v>כן</v>
          </cell>
          <cell r="I448" t="str">
            <v>כן</v>
          </cell>
          <cell r="J448" t="str">
            <v>כן</v>
          </cell>
          <cell r="K448">
            <v>140</v>
          </cell>
          <cell r="L448">
            <v>102</v>
          </cell>
        </row>
        <row r="449">
          <cell r="D449">
            <v>214569</v>
          </cell>
          <cell r="E449" t="str">
            <v>רשות</v>
          </cell>
          <cell r="F449" t="str">
            <v>יסודי מ"מ רמת כורזים</v>
          </cell>
          <cell r="G449" t="str">
            <v>יסודי בלבד</v>
          </cell>
          <cell r="H449" t="str">
            <v>כן</v>
          </cell>
          <cell r="I449" t="str">
            <v>כן</v>
          </cell>
          <cell r="J449" t="str">
            <v>כן</v>
          </cell>
          <cell r="K449">
            <v>200</v>
          </cell>
          <cell r="L449">
            <v>63</v>
          </cell>
        </row>
        <row r="450">
          <cell r="D450">
            <v>518050</v>
          </cell>
          <cell r="E450" t="str">
            <v>רשות</v>
          </cell>
          <cell r="F450" t="str">
            <v>אג'יאל - ערבי יסודי</v>
          </cell>
          <cell r="G450" t="str">
            <v>יסודי בלבד</v>
          </cell>
          <cell r="H450" t="str">
            <v>כן</v>
          </cell>
          <cell r="I450" t="str">
            <v>כן</v>
          </cell>
          <cell r="J450" t="str">
            <v>כן</v>
          </cell>
          <cell r="K450">
            <v>173</v>
          </cell>
          <cell r="L450">
            <v>58</v>
          </cell>
        </row>
        <row r="451">
          <cell r="D451">
            <v>310854</v>
          </cell>
          <cell r="E451" t="str">
            <v>רשות</v>
          </cell>
          <cell r="F451" t="str">
            <v>מוריה</v>
          </cell>
          <cell r="G451" t="str">
            <v>יסודי בלבד</v>
          </cell>
          <cell r="H451" t="str">
            <v>כן</v>
          </cell>
          <cell r="I451" t="str">
            <v>כן</v>
          </cell>
          <cell r="J451" t="str">
            <v>כן</v>
          </cell>
          <cell r="K451">
            <v>164</v>
          </cell>
          <cell r="L451">
            <v>52</v>
          </cell>
        </row>
        <row r="452">
          <cell r="D452">
            <v>214205</v>
          </cell>
          <cell r="E452" t="str">
            <v>רשות</v>
          </cell>
          <cell r="F452" t="str">
            <v>יסודי הר גילון</v>
          </cell>
          <cell r="G452" t="str">
            <v>יסודי בלבד</v>
          </cell>
          <cell r="H452" t="str">
            <v>כן</v>
          </cell>
          <cell r="I452" t="str">
            <v>כן</v>
          </cell>
          <cell r="J452" t="str">
            <v>כן</v>
          </cell>
          <cell r="K452">
            <v>199</v>
          </cell>
          <cell r="L452">
            <v>55</v>
          </cell>
        </row>
        <row r="453">
          <cell r="D453">
            <v>434019</v>
          </cell>
          <cell r="E453" t="str">
            <v/>
          </cell>
          <cell r="F453" t="str">
            <v>דעת מבינים</v>
          </cell>
          <cell r="G453" t="str">
            <v>יסודי בלבד</v>
          </cell>
          <cell r="H453" t="str">
            <v>לא</v>
          </cell>
          <cell r="I453" t="str">
            <v>לא</v>
          </cell>
          <cell r="J453" t="str">
            <v>לא</v>
          </cell>
          <cell r="K453">
            <v>0</v>
          </cell>
          <cell r="L453">
            <v>0</v>
          </cell>
        </row>
        <row r="454">
          <cell r="D454">
            <v>219790</v>
          </cell>
          <cell r="E454" t="str">
            <v>רשות</v>
          </cell>
          <cell r="F454" t="str">
            <v>יסודי ג' ע"ש שיח' יחיא מוחמד</v>
          </cell>
          <cell r="G454" t="str">
            <v>יסודי בלבד</v>
          </cell>
          <cell r="H454" t="str">
            <v>כן</v>
          </cell>
          <cell r="I454" t="str">
            <v>כן</v>
          </cell>
          <cell r="J454" t="str">
            <v>כן</v>
          </cell>
          <cell r="K454">
            <v>268</v>
          </cell>
          <cell r="L454">
            <v>70</v>
          </cell>
        </row>
        <row r="455">
          <cell r="D455">
            <v>310490</v>
          </cell>
          <cell r="E455" t="str">
            <v>רשות</v>
          </cell>
          <cell r="F455" t="str">
            <v>הבונים</v>
          </cell>
          <cell r="G455" t="str">
            <v>יסודי בלבד</v>
          </cell>
          <cell r="H455" t="str">
            <v>כן</v>
          </cell>
          <cell r="I455" t="str">
            <v>כן</v>
          </cell>
          <cell r="J455" t="str">
            <v>כן</v>
          </cell>
          <cell r="K455">
            <v>148</v>
          </cell>
          <cell r="L455">
            <v>46</v>
          </cell>
        </row>
        <row r="456">
          <cell r="D456">
            <v>511550</v>
          </cell>
          <cell r="E456" t="str">
            <v/>
          </cell>
          <cell r="F456" t="str">
            <v>אום טובה לבנות</v>
          </cell>
          <cell r="G456" t="str">
            <v>יסודי בלבד</v>
          </cell>
          <cell r="H456" t="str">
            <v>כן</v>
          </cell>
          <cell r="I456" t="str">
            <v>כן</v>
          </cell>
          <cell r="J456" t="str">
            <v>כן</v>
          </cell>
          <cell r="K456">
            <v>270</v>
          </cell>
          <cell r="L456">
            <v>45</v>
          </cell>
        </row>
        <row r="457">
          <cell r="D457">
            <v>114066</v>
          </cell>
          <cell r="E457" t="str">
            <v>רשות</v>
          </cell>
          <cell r="F457" t="str">
            <v>פסגת זאב מערב</v>
          </cell>
          <cell r="G457" t="str">
            <v>יסודי בלבד</v>
          </cell>
          <cell r="H457" t="str">
            <v>כן</v>
          </cell>
          <cell r="I457" t="str">
            <v>כן</v>
          </cell>
          <cell r="J457" t="str">
            <v>כן</v>
          </cell>
          <cell r="K457">
            <v>140</v>
          </cell>
          <cell r="L457">
            <v>65</v>
          </cell>
        </row>
        <row r="458">
          <cell r="D458">
            <v>482190</v>
          </cell>
          <cell r="E458" t="str">
            <v>רשות</v>
          </cell>
          <cell r="F458" t="str">
            <v>ממ"ד רבבה בנות</v>
          </cell>
          <cell r="G458" t="str">
            <v>יסודי בלבד</v>
          </cell>
          <cell r="H458" t="str">
            <v>כן</v>
          </cell>
          <cell r="I458" t="str">
            <v>כן</v>
          </cell>
          <cell r="J458" t="str">
            <v>כן</v>
          </cell>
          <cell r="K458">
            <v>164</v>
          </cell>
          <cell r="L458">
            <v>105</v>
          </cell>
        </row>
        <row r="459">
          <cell r="D459">
            <v>214395</v>
          </cell>
          <cell r="E459" t="str">
            <v>רשות</v>
          </cell>
          <cell r="F459" t="str">
            <v>כלנית -כרמיאל</v>
          </cell>
          <cell r="G459" t="str">
            <v>יסודי בלבד</v>
          </cell>
          <cell r="H459" t="str">
            <v>כן</v>
          </cell>
          <cell r="I459" t="str">
            <v>כן</v>
          </cell>
          <cell r="J459" t="str">
            <v>כן</v>
          </cell>
          <cell r="K459">
            <v>233</v>
          </cell>
          <cell r="L459">
            <v>80</v>
          </cell>
        </row>
        <row r="460">
          <cell r="D460">
            <v>418459</v>
          </cell>
          <cell r="E460" t="str">
            <v>רשות</v>
          </cell>
          <cell r="F460" t="str">
            <v>אלזהראא</v>
          </cell>
          <cell r="G460" t="str">
            <v>יסודי בלבד</v>
          </cell>
          <cell r="H460" t="str">
            <v>כן</v>
          </cell>
          <cell r="I460" t="str">
            <v>כן</v>
          </cell>
          <cell r="J460" t="str">
            <v>כן</v>
          </cell>
          <cell r="K460">
            <v>337</v>
          </cell>
          <cell r="L460">
            <v>90</v>
          </cell>
        </row>
        <row r="461">
          <cell r="D461">
            <v>213413</v>
          </cell>
          <cell r="E461" t="str">
            <v>רשות</v>
          </cell>
          <cell r="F461" t="str">
            <v>ניצנים כרמיאל</v>
          </cell>
          <cell r="G461" t="str">
            <v>יסודי בלבד</v>
          </cell>
          <cell r="H461" t="str">
            <v>כן</v>
          </cell>
          <cell r="I461" t="str">
            <v>כן</v>
          </cell>
          <cell r="J461" t="str">
            <v>כן</v>
          </cell>
          <cell r="K461">
            <v>97</v>
          </cell>
          <cell r="L461">
            <v>58</v>
          </cell>
        </row>
        <row r="462">
          <cell r="D462">
            <v>613398</v>
          </cell>
          <cell r="E462" t="str">
            <v>רשות</v>
          </cell>
          <cell r="F462" t="str">
            <v>נועם אליהו</v>
          </cell>
          <cell r="G462" t="str">
            <v>יסודי בלבד</v>
          </cell>
          <cell r="H462" t="str">
            <v>כן</v>
          </cell>
          <cell r="I462" t="str">
            <v>כן</v>
          </cell>
          <cell r="J462" t="str">
            <v>כן</v>
          </cell>
          <cell r="K462">
            <v>277</v>
          </cell>
          <cell r="L462">
            <v>277</v>
          </cell>
        </row>
        <row r="463">
          <cell r="D463">
            <v>614123</v>
          </cell>
          <cell r="E463" t="str">
            <v>רשות</v>
          </cell>
          <cell r="F463" t="str">
            <v>אריאל</v>
          </cell>
          <cell r="G463" t="str">
            <v>יסודי בלבד</v>
          </cell>
          <cell r="H463" t="str">
            <v>כן</v>
          </cell>
          <cell r="I463" t="str">
            <v>כן</v>
          </cell>
          <cell r="J463" t="str">
            <v>כן</v>
          </cell>
          <cell r="K463">
            <v>181</v>
          </cell>
          <cell r="L463">
            <v>87</v>
          </cell>
        </row>
        <row r="464">
          <cell r="D464">
            <v>384289</v>
          </cell>
          <cell r="E464" t="str">
            <v>רשות</v>
          </cell>
          <cell r="F464" t="str">
            <v>תלמי רון</v>
          </cell>
          <cell r="G464" t="str">
            <v>יסודי בלבד</v>
          </cell>
          <cell r="H464" t="str">
            <v>כן</v>
          </cell>
          <cell r="I464" t="str">
            <v>כן</v>
          </cell>
          <cell r="J464" t="str">
            <v>כן</v>
          </cell>
          <cell r="K464">
            <v>254</v>
          </cell>
          <cell r="L464">
            <v>41</v>
          </cell>
        </row>
        <row r="465">
          <cell r="D465">
            <v>611871</v>
          </cell>
          <cell r="E465" t="str">
            <v>רשות</v>
          </cell>
          <cell r="F465" t="str">
            <v>מבוא חורון בנות</v>
          </cell>
          <cell r="G465" t="str">
            <v>יסודי בלבד</v>
          </cell>
          <cell r="H465" t="str">
            <v>כן</v>
          </cell>
          <cell r="I465" t="str">
            <v>כן</v>
          </cell>
          <cell r="J465" t="str">
            <v>כן</v>
          </cell>
          <cell r="K465">
            <v>95</v>
          </cell>
          <cell r="L465">
            <v>45</v>
          </cell>
        </row>
        <row r="466">
          <cell r="D466">
            <v>618173</v>
          </cell>
          <cell r="E466" t="str">
            <v>רשות</v>
          </cell>
          <cell r="F466" t="str">
            <v>תל כסיף</v>
          </cell>
          <cell r="G466" t="str">
            <v>יסודי בלבד</v>
          </cell>
          <cell r="H466" t="str">
            <v>כן</v>
          </cell>
          <cell r="I466" t="str">
            <v>כן</v>
          </cell>
          <cell r="J466" t="str">
            <v>כן</v>
          </cell>
          <cell r="K466">
            <v>346</v>
          </cell>
          <cell r="L466">
            <v>346</v>
          </cell>
        </row>
        <row r="467">
          <cell r="D467">
            <v>681999</v>
          </cell>
          <cell r="E467" t="str">
            <v>רשות</v>
          </cell>
          <cell r="F467" t="str">
            <v>שירת חנה</v>
          </cell>
          <cell r="G467" t="str">
            <v>יסודי בלבד</v>
          </cell>
          <cell r="H467" t="str">
            <v>כן</v>
          </cell>
          <cell r="I467" t="str">
            <v>כן</v>
          </cell>
          <cell r="J467" t="str">
            <v>כן</v>
          </cell>
          <cell r="K467">
            <v>79</v>
          </cell>
          <cell r="L467">
            <v>48</v>
          </cell>
        </row>
        <row r="468">
          <cell r="D468">
            <v>414623</v>
          </cell>
          <cell r="E468" t="str">
            <v>רשות</v>
          </cell>
          <cell r="F468" t="str">
            <v>ממ"ד יקיר</v>
          </cell>
          <cell r="G468" t="str">
            <v>יסודי בלבד</v>
          </cell>
          <cell r="H468" t="str">
            <v>כן</v>
          </cell>
          <cell r="I468" t="str">
            <v>כן</v>
          </cell>
          <cell r="J468" t="str">
            <v>לא</v>
          </cell>
          <cell r="K468">
            <v>290</v>
          </cell>
          <cell r="L468">
            <v>109</v>
          </cell>
        </row>
        <row r="469">
          <cell r="D469">
            <v>512038</v>
          </cell>
          <cell r="E469" t="str">
            <v>רשות</v>
          </cell>
          <cell r="F469" t="str">
            <v>שרשים מד</v>
          </cell>
          <cell r="G469" t="str">
            <v>יסודי בלבד</v>
          </cell>
          <cell r="H469" t="str">
            <v>כן</v>
          </cell>
          <cell r="I469" t="str">
            <v>כן</v>
          </cell>
          <cell r="J469" t="str">
            <v>כן</v>
          </cell>
          <cell r="K469">
            <v>74</v>
          </cell>
          <cell r="L469">
            <v>74</v>
          </cell>
        </row>
        <row r="470">
          <cell r="D470">
            <v>213447</v>
          </cell>
          <cell r="E470" t="str">
            <v>רשות</v>
          </cell>
          <cell r="F470" t="str">
            <v>נר הגלבוע</v>
          </cell>
          <cell r="G470" t="str">
            <v>יסודי בלבד</v>
          </cell>
          <cell r="H470" t="str">
            <v>כן</v>
          </cell>
          <cell r="I470" t="str">
            <v>כן</v>
          </cell>
          <cell r="J470" t="str">
            <v>כן</v>
          </cell>
          <cell r="K470">
            <v>139</v>
          </cell>
          <cell r="L470">
            <v>28</v>
          </cell>
        </row>
        <row r="471">
          <cell r="D471">
            <v>384172</v>
          </cell>
          <cell r="E471" t="str">
            <v>רשות</v>
          </cell>
          <cell r="F471" t="str">
            <v>אור אבנר למצוינות</v>
          </cell>
          <cell r="G471" t="str">
            <v>יסודי בלבד</v>
          </cell>
          <cell r="H471" t="str">
            <v>כן</v>
          </cell>
          <cell r="I471" t="str">
            <v>כן</v>
          </cell>
          <cell r="J471" t="str">
            <v>כן</v>
          </cell>
          <cell r="K471">
            <v>90</v>
          </cell>
          <cell r="L471">
            <v>84</v>
          </cell>
        </row>
        <row r="472">
          <cell r="D472">
            <v>630129</v>
          </cell>
          <cell r="E472" t="str">
            <v>רשות</v>
          </cell>
          <cell r="F472" t="str">
            <v>תורת חסד</v>
          </cell>
          <cell r="G472" t="str">
            <v>יסודי בלבד</v>
          </cell>
          <cell r="H472" t="str">
            <v>כן</v>
          </cell>
          <cell r="I472" t="str">
            <v>כן</v>
          </cell>
          <cell r="J472" t="str">
            <v>כן</v>
          </cell>
          <cell r="K472">
            <v>120</v>
          </cell>
          <cell r="L472">
            <v>94</v>
          </cell>
        </row>
        <row r="473">
          <cell r="D473">
            <v>512962</v>
          </cell>
          <cell r="E473" t="str">
            <v>רשות</v>
          </cell>
          <cell r="F473" t="str">
            <v>שילה מד</v>
          </cell>
          <cell r="G473" t="str">
            <v>יסודי בלבד</v>
          </cell>
          <cell r="H473" t="str">
            <v>כן</v>
          </cell>
          <cell r="I473" t="str">
            <v>כן</v>
          </cell>
          <cell r="J473" t="str">
            <v>כן</v>
          </cell>
          <cell r="K473">
            <v>92</v>
          </cell>
          <cell r="L473">
            <v>67</v>
          </cell>
        </row>
        <row r="474">
          <cell r="D474">
            <v>679431</v>
          </cell>
          <cell r="E474" t="str">
            <v>רשות</v>
          </cell>
          <cell r="F474" t="str">
            <v>בית יעקב בעש"ט בנים</v>
          </cell>
          <cell r="G474" t="str">
            <v>יסודי בלבד</v>
          </cell>
          <cell r="H474" t="str">
            <v>כן</v>
          </cell>
          <cell r="I474" t="str">
            <v>כן</v>
          </cell>
          <cell r="J474" t="str">
            <v>לא</v>
          </cell>
          <cell r="K474">
            <v>33</v>
          </cell>
          <cell r="L474">
            <v>33</v>
          </cell>
        </row>
        <row r="475">
          <cell r="D475">
            <v>612416</v>
          </cell>
          <cell r="E475" t="str">
            <v>רשות</v>
          </cell>
          <cell r="F475" t="str">
            <v>ת"ת אור מנחם</v>
          </cell>
          <cell r="G475" t="str">
            <v>יסודי בלבד</v>
          </cell>
          <cell r="H475" t="str">
            <v>כן</v>
          </cell>
          <cell r="I475" t="str">
            <v>כן</v>
          </cell>
          <cell r="J475" t="str">
            <v>כן</v>
          </cell>
          <cell r="K475">
            <v>78</v>
          </cell>
          <cell r="L475">
            <v>60</v>
          </cell>
        </row>
        <row r="476">
          <cell r="D476">
            <v>618553</v>
          </cell>
          <cell r="E476" t="str">
            <v>רשות</v>
          </cell>
          <cell r="F476" t="str">
            <v>אבן חלדון</v>
          </cell>
          <cell r="G476" t="str">
            <v>יסודי בלבד</v>
          </cell>
          <cell r="H476" t="str">
            <v>כן</v>
          </cell>
          <cell r="I476" t="str">
            <v>כן</v>
          </cell>
          <cell r="J476" t="str">
            <v>כן</v>
          </cell>
          <cell r="K476">
            <v>163</v>
          </cell>
          <cell r="L476">
            <v>136</v>
          </cell>
        </row>
        <row r="477">
          <cell r="D477">
            <v>113324</v>
          </cell>
          <cell r="E477" t="str">
            <v>רשות</v>
          </cell>
          <cell r="F477" t="str">
            <v>בית-אל בנים</v>
          </cell>
          <cell r="G477" t="str">
            <v>יסודי בלבד</v>
          </cell>
          <cell r="H477" t="str">
            <v>כן</v>
          </cell>
          <cell r="I477" t="str">
            <v>כן</v>
          </cell>
          <cell r="J477" t="str">
            <v>כן</v>
          </cell>
          <cell r="K477">
            <v>209</v>
          </cell>
          <cell r="L477">
            <v>102</v>
          </cell>
        </row>
        <row r="478">
          <cell r="D478">
            <v>612333</v>
          </cell>
          <cell r="E478" t="str">
            <v>רשות</v>
          </cell>
          <cell r="F478" t="str">
            <v>רעים</v>
          </cell>
          <cell r="G478" t="str">
            <v>יסודי בלבד</v>
          </cell>
          <cell r="H478" t="str">
            <v>כן</v>
          </cell>
          <cell r="I478" t="str">
            <v>כן</v>
          </cell>
          <cell r="J478" t="str">
            <v>כן</v>
          </cell>
          <cell r="K478">
            <v>223</v>
          </cell>
          <cell r="L478">
            <v>70</v>
          </cell>
        </row>
        <row r="479">
          <cell r="D479">
            <v>131029</v>
          </cell>
          <cell r="E479" t="str">
            <v>רשות</v>
          </cell>
          <cell r="F479" t="str">
            <v>מעלה התורה בנות</v>
          </cell>
          <cell r="G479" t="str">
            <v>יסודי בלבד</v>
          </cell>
          <cell r="H479" t="str">
            <v>כן</v>
          </cell>
          <cell r="I479" t="str">
            <v>כן</v>
          </cell>
          <cell r="J479" t="str">
            <v>כן</v>
          </cell>
          <cell r="K479">
            <v>214</v>
          </cell>
          <cell r="L479">
            <v>87</v>
          </cell>
        </row>
        <row r="480">
          <cell r="D480">
            <v>312165</v>
          </cell>
          <cell r="E480" t="str">
            <v>רשות</v>
          </cell>
          <cell r="F480" t="str">
            <v>קדימה</v>
          </cell>
          <cell r="G480" t="str">
            <v>יסודי בלבד</v>
          </cell>
          <cell r="H480" t="str">
            <v>כן</v>
          </cell>
          <cell r="I480" t="str">
            <v>כן</v>
          </cell>
          <cell r="J480" t="str">
            <v>כן</v>
          </cell>
          <cell r="K480">
            <v>161</v>
          </cell>
          <cell r="L480">
            <v>73</v>
          </cell>
        </row>
        <row r="481">
          <cell r="D481">
            <v>311456</v>
          </cell>
          <cell r="E481" t="str">
            <v>רשות</v>
          </cell>
          <cell r="F481" t="str">
            <v>הבונים</v>
          </cell>
          <cell r="G481" t="str">
            <v>יסודי בלבד</v>
          </cell>
          <cell r="H481" t="str">
            <v>כן</v>
          </cell>
          <cell r="I481" t="str">
            <v>כן</v>
          </cell>
          <cell r="J481" t="str">
            <v>כן</v>
          </cell>
          <cell r="K481">
            <v>324</v>
          </cell>
          <cell r="L481">
            <v>162</v>
          </cell>
        </row>
        <row r="482">
          <cell r="D482">
            <v>610568</v>
          </cell>
          <cell r="E482" t="str">
            <v>רשות</v>
          </cell>
          <cell r="F482" t="str">
            <v>יסודי חדש שכו 1</v>
          </cell>
          <cell r="G482" t="str">
            <v>יסודי בלבד</v>
          </cell>
          <cell r="H482" t="str">
            <v>כן</v>
          </cell>
          <cell r="I482" t="str">
            <v>כן</v>
          </cell>
          <cell r="J482" t="str">
            <v>כן</v>
          </cell>
          <cell r="K482">
            <v>317</v>
          </cell>
          <cell r="L482">
            <v>120</v>
          </cell>
        </row>
        <row r="483">
          <cell r="D483">
            <v>612747</v>
          </cell>
          <cell r="E483" t="str">
            <v>רשות</v>
          </cell>
          <cell r="F483" t="str">
            <v>רננים</v>
          </cell>
          <cell r="G483" t="str">
            <v>יסודי בלבד</v>
          </cell>
          <cell r="H483" t="str">
            <v>כן</v>
          </cell>
          <cell r="I483" t="str">
            <v>כן</v>
          </cell>
          <cell r="J483" t="str">
            <v>כן</v>
          </cell>
          <cell r="K483">
            <v>262</v>
          </cell>
          <cell r="L483">
            <v>65</v>
          </cell>
        </row>
        <row r="484">
          <cell r="D484">
            <v>512970</v>
          </cell>
          <cell r="E484" t="str">
            <v>רשות</v>
          </cell>
          <cell r="F484" t="str">
            <v>רימונים</v>
          </cell>
          <cell r="G484" t="str">
            <v>יסודי בלבד</v>
          </cell>
          <cell r="H484" t="str">
            <v>כן</v>
          </cell>
          <cell r="I484" t="str">
            <v>כן</v>
          </cell>
          <cell r="J484" t="str">
            <v>כן</v>
          </cell>
          <cell r="K484">
            <v>266</v>
          </cell>
          <cell r="L484">
            <v>146</v>
          </cell>
        </row>
        <row r="485">
          <cell r="D485">
            <v>510453</v>
          </cell>
          <cell r="E485" t="str">
            <v>רשות</v>
          </cell>
          <cell r="F485" t="str">
            <v>בר אילן מד</v>
          </cell>
          <cell r="G485" t="str">
            <v>יסודי בלבד</v>
          </cell>
          <cell r="H485" t="str">
            <v>כן</v>
          </cell>
          <cell r="I485" t="str">
            <v>כן</v>
          </cell>
          <cell r="J485" t="str">
            <v>כן</v>
          </cell>
          <cell r="K485">
            <v>214</v>
          </cell>
          <cell r="L485">
            <v>80</v>
          </cell>
        </row>
        <row r="486">
          <cell r="D486">
            <v>415463</v>
          </cell>
          <cell r="E486" t="str">
            <v>רשות</v>
          </cell>
          <cell r="F486" t="str">
            <v>ממ"ד אבני חפץ</v>
          </cell>
          <cell r="G486" t="str">
            <v>יסודי בלבד</v>
          </cell>
          <cell r="H486" t="str">
            <v>כן</v>
          </cell>
          <cell r="I486" t="str">
            <v>כן</v>
          </cell>
          <cell r="J486" t="str">
            <v>כן</v>
          </cell>
          <cell r="K486">
            <v>149</v>
          </cell>
          <cell r="L486">
            <v>80</v>
          </cell>
        </row>
        <row r="487">
          <cell r="D487">
            <v>219410</v>
          </cell>
          <cell r="E487" t="str">
            <v>רשות</v>
          </cell>
          <cell r="F487" t="str">
            <v>יסודי בית זרזיר</v>
          </cell>
          <cell r="G487" t="str">
            <v>יסודי בלבד</v>
          </cell>
          <cell r="H487" t="str">
            <v>כן</v>
          </cell>
          <cell r="I487" t="str">
            <v>כן</v>
          </cell>
          <cell r="J487" t="str">
            <v>כן</v>
          </cell>
          <cell r="K487">
            <v>202</v>
          </cell>
          <cell r="L487">
            <v>48</v>
          </cell>
        </row>
        <row r="488">
          <cell r="D488">
            <v>410407</v>
          </cell>
          <cell r="E488" t="str">
            <v>רשות</v>
          </cell>
          <cell r="F488" t="str">
            <v>ממ' רביבים</v>
          </cell>
          <cell r="G488" t="str">
            <v>יסודי בלבד</v>
          </cell>
          <cell r="H488" t="str">
            <v>כן</v>
          </cell>
          <cell r="I488" t="str">
            <v>כן</v>
          </cell>
          <cell r="J488" t="str">
            <v>כן</v>
          </cell>
          <cell r="K488">
            <v>198</v>
          </cell>
          <cell r="L488">
            <v>120</v>
          </cell>
        </row>
        <row r="489">
          <cell r="D489">
            <v>610956</v>
          </cell>
          <cell r="E489" t="str">
            <v>רשות</v>
          </cell>
          <cell r="F489" t="str">
            <v>דעת</v>
          </cell>
          <cell r="G489" t="str">
            <v>יסודי בלבד</v>
          </cell>
          <cell r="H489" t="str">
            <v>כן</v>
          </cell>
          <cell r="I489" t="str">
            <v>כן</v>
          </cell>
          <cell r="J489" t="str">
            <v>כן</v>
          </cell>
          <cell r="K489">
            <v>140</v>
          </cell>
          <cell r="L489">
            <v>41</v>
          </cell>
        </row>
        <row r="490">
          <cell r="D490">
            <v>313502</v>
          </cell>
          <cell r="E490" t="str">
            <v/>
          </cell>
          <cell r="F490" t="str">
            <v>חב"ד</v>
          </cell>
          <cell r="G490" t="str">
            <v>יסודי בלבד</v>
          </cell>
          <cell r="H490" t="str">
            <v>כן</v>
          </cell>
          <cell r="I490" t="str">
            <v>כן</v>
          </cell>
          <cell r="J490" t="str">
            <v>כן</v>
          </cell>
          <cell r="K490">
            <v>85</v>
          </cell>
          <cell r="L490">
            <v>45</v>
          </cell>
        </row>
        <row r="491">
          <cell r="D491">
            <v>510057</v>
          </cell>
          <cell r="E491" t="str">
            <v>רשות</v>
          </cell>
          <cell r="F491" t="str">
            <v>סעדיה גאון מד</v>
          </cell>
          <cell r="G491" t="str">
            <v>יסודי בלבד</v>
          </cell>
          <cell r="H491" t="str">
            <v>כן</v>
          </cell>
          <cell r="I491" t="str">
            <v>כן</v>
          </cell>
          <cell r="J491" t="str">
            <v>כן</v>
          </cell>
          <cell r="K491">
            <v>189</v>
          </cell>
          <cell r="L491">
            <v>74</v>
          </cell>
        </row>
        <row r="492">
          <cell r="D492">
            <v>413484</v>
          </cell>
          <cell r="E492" t="str">
            <v>רשות</v>
          </cell>
          <cell r="F492" t="str">
            <v>יונתן</v>
          </cell>
          <cell r="G492" t="str">
            <v>יסודי בלבד</v>
          </cell>
          <cell r="H492" t="str">
            <v>כן</v>
          </cell>
          <cell r="I492" t="str">
            <v>כן</v>
          </cell>
          <cell r="J492" t="str">
            <v>כן</v>
          </cell>
          <cell r="K492">
            <v>245</v>
          </cell>
          <cell r="L492">
            <v>53</v>
          </cell>
        </row>
        <row r="493">
          <cell r="D493">
            <v>450056</v>
          </cell>
          <cell r="E493" t="str">
            <v>רשות</v>
          </cell>
          <cell r="F493" t="str">
            <v>קרוב</v>
          </cell>
          <cell r="G493" t="str">
            <v>יסודי בלבד</v>
          </cell>
          <cell r="H493" t="str">
            <v>כן</v>
          </cell>
          <cell r="I493" t="str">
            <v>כן</v>
          </cell>
          <cell r="J493" t="str">
            <v>כן</v>
          </cell>
          <cell r="K493">
            <v>257</v>
          </cell>
          <cell r="L493">
            <v>103</v>
          </cell>
        </row>
        <row r="494">
          <cell r="D494">
            <v>613034</v>
          </cell>
          <cell r="E494" t="str">
            <v>בעלות</v>
          </cell>
          <cell r="F494" t="str">
            <v>שובו באר שבע</v>
          </cell>
          <cell r="G494" t="str">
            <v>יסודי בלבד</v>
          </cell>
          <cell r="H494" t="str">
            <v>כן</v>
          </cell>
          <cell r="I494" t="str">
            <v>כן</v>
          </cell>
          <cell r="J494" t="str">
            <v>כן</v>
          </cell>
          <cell r="K494">
            <v>133</v>
          </cell>
          <cell r="L494">
            <v>74</v>
          </cell>
        </row>
        <row r="495">
          <cell r="D495">
            <v>414961</v>
          </cell>
          <cell r="E495" t="str">
            <v>רשות</v>
          </cell>
          <cell r="F495" t="str">
            <v>ממ"ד בנים נחלת צבי</v>
          </cell>
          <cell r="G495" t="str">
            <v>יסודי בלבד</v>
          </cell>
          <cell r="H495" t="str">
            <v>כן</v>
          </cell>
          <cell r="I495" t="str">
            <v>כן</v>
          </cell>
          <cell r="J495" t="str">
            <v>כן</v>
          </cell>
          <cell r="K495">
            <v>83</v>
          </cell>
          <cell r="L495">
            <v>58</v>
          </cell>
        </row>
        <row r="496">
          <cell r="D496">
            <v>113811</v>
          </cell>
          <cell r="E496" t="str">
            <v>רשות</v>
          </cell>
          <cell r="F496" t="str">
            <v>אופק</v>
          </cell>
          <cell r="G496" t="str">
            <v>יסודי בלבד</v>
          </cell>
          <cell r="H496" t="str">
            <v>כן</v>
          </cell>
          <cell r="I496" t="str">
            <v>כן</v>
          </cell>
          <cell r="J496" t="str">
            <v>כן</v>
          </cell>
          <cell r="K496">
            <v>60</v>
          </cell>
          <cell r="L496">
            <v>32</v>
          </cell>
        </row>
        <row r="497">
          <cell r="D497">
            <v>210732</v>
          </cell>
          <cell r="E497" t="str">
            <v>רשות</v>
          </cell>
          <cell r="F497" t="str">
            <v>רעות-טבריה</v>
          </cell>
          <cell r="G497" t="str">
            <v>יסודי בלבד</v>
          </cell>
          <cell r="H497" t="str">
            <v>כן</v>
          </cell>
          <cell r="I497" t="str">
            <v>כן</v>
          </cell>
          <cell r="J497" t="str">
            <v>כן</v>
          </cell>
          <cell r="K497">
            <v>211</v>
          </cell>
          <cell r="L497">
            <v>120</v>
          </cell>
        </row>
        <row r="498">
          <cell r="D498">
            <v>411298</v>
          </cell>
          <cell r="E498" t="str">
            <v>רשות</v>
          </cell>
          <cell r="F498" t="str">
            <v>ממ"ד חב"ד אוהל יצחק</v>
          </cell>
          <cell r="G498" t="str">
            <v>יסודי בלבד</v>
          </cell>
          <cell r="H498" t="str">
            <v>כן</v>
          </cell>
          <cell r="I498" t="str">
            <v>כן</v>
          </cell>
          <cell r="J498" t="str">
            <v>כן</v>
          </cell>
          <cell r="K498">
            <v>104</v>
          </cell>
          <cell r="L498">
            <v>104</v>
          </cell>
        </row>
        <row r="499">
          <cell r="D499">
            <v>610345</v>
          </cell>
          <cell r="E499" t="str">
            <v>רשות</v>
          </cell>
          <cell r="F499" t="str">
            <v>יסודי דתי - באר גנים</v>
          </cell>
          <cell r="G499" t="str">
            <v>יסודי בלבד</v>
          </cell>
          <cell r="H499" t="str">
            <v>כן</v>
          </cell>
          <cell r="I499" t="str">
            <v>כן</v>
          </cell>
          <cell r="J499" t="str">
            <v>כן</v>
          </cell>
          <cell r="K499">
            <v>134</v>
          </cell>
          <cell r="L499">
            <v>72</v>
          </cell>
        </row>
        <row r="500">
          <cell r="D500">
            <v>511667</v>
          </cell>
          <cell r="E500" t="str">
            <v>רשות</v>
          </cell>
          <cell r="F500" t="str">
            <v>רמת החיל</v>
          </cell>
          <cell r="G500" t="str">
            <v>יסודי בלבד</v>
          </cell>
          <cell r="H500" t="str">
            <v>כן</v>
          </cell>
          <cell r="I500" t="str">
            <v>כן</v>
          </cell>
          <cell r="J500" t="str">
            <v>כן</v>
          </cell>
          <cell r="K500">
            <v>258</v>
          </cell>
          <cell r="L500">
            <v>93</v>
          </cell>
        </row>
        <row r="501">
          <cell r="D501">
            <v>111906</v>
          </cell>
          <cell r="E501" t="str">
            <v>רשות</v>
          </cell>
          <cell r="F501" t="str">
            <v>גילה ממלכתי ב</v>
          </cell>
          <cell r="G501" t="str">
            <v>יסודי בלבד</v>
          </cell>
          <cell r="H501" t="str">
            <v>כן</v>
          </cell>
          <cell r="I501" t="str">
            <v>כן</v>
          </cell>
          <cell r="J501" t="str">
            <v>כן</v>
          </cell>
          <cell r="K501">
            <v>50</v>
          </cell>
          <cell r="L501">
            <v>25</v>
          </cell>
        </row>
        <row r="502">
          <cell r="D502">
            <v>616466</v>
          </cell>
          <cell r="E502" t="str">
            <v/>
          </cell>
          <cell r="F502" t="str">
            <v>בני נצרים בנים</v>
          </cell>
          <cell r="G502" t="str">
            <v>יסודי בלבד</v>
          </cell>
          <cell r="H502" t="str">
            <v>כן</v>
          </cell>
          <cell r="I502" t="str">
            <v>כן</v>
          </cell>
          <cell r="J502" t="str">
            <v>כן</v>
          </cell>
          <cell r="K502">
            <v>75</v>
          </cell>
          <cell r="L502">
            <v>75</v>
          </cell>
        </row>
        <row r="503">
          <cell r="D503">
            <v>213843</v>
          </cell>
          <cell r="E503" t="str">
            <v/>
          </cell>
          <cell r="F503" t="str">
            <v>זכרון מאיר</v>
          </cell>
          <cell r="G503" t="str">
            <v>יסודי בלבד</v>
          </cell>
          <cell r="H503" t="str">
            <v>לא</v>
          </cell>
          <cell r="I503" t="str">
            <v>לא</v>
          </cell>
          <cell r="J503" t="str">
            <v>לא</v>
          </cell>
          <cell r="K503">
            <v>0</v>
          </cell>
          <cell r="L503">
            <v>0</v>
          </cell>
        </row>
        <row r="504">
          <cell r="D504">
            <v>614503</v>
          </cell>
          <cell r="E504" t="str">
            <v>רשות</v>
          </cell>
          <cell r="F504" t="str">
            <v>היובל</v>
          </cell>
          <cell r="G504" t="str">
            <v>יסודי בלבד</v>
          </cell>
          <cell r="H504" t="str">
            <v>כן</v>
          </cell>
          <cell r="I504" t="str">
            <v>כן</v>
          </cell>
          <cell r="J504" t="str">
            <v>כן</v>
          </cell>
          <cell r="K504">
            <v>277</v>
          </cell>
          <cell r="L504">
            <v>91</v>
          </cell>
        </row>
        <row r="505">
          <cell r="D505">
            <v>210914</v>
          </cell>
          <cell r="E505" t="str">
            <v>רשות</v>
          </cell>
          <cell r="F505" t="str">
            <v>יסודי פסגות"-יראון</v>
          </cell>
          <cell r="G505" t="str">
            <v>יסודי בלבד</v>
          </cell>
          <cell r="H505" t="str">
            <v>כן</v>
          </cell>
          <cell r="I505" t="str">
            <v>כן</v>
          </cell>
          <cell r="J505" t="str">
            <v>כן</v>
          </cell>
          <cell r="K505">
            <v>53</v>
          </cell>
          <cell r="L505">
            <v>30</v>
          </cell>
        </row>
        <row r="506">
          <cell r="D506">
            <v>313478</v>
          </cell>
          <cell r="E506" t="str">
            <v>רשות</v>
          </cell>
          <cell r="F506" t="str">
            <v>אמירים</v>
          </cell>
          <cell r="G506" t="str">
            <v>יסודי בלבד</v>
          </cell>
          <cell r="H506" t="str">
            <v>כן</v>
          </cell>
          <cell r="I506" t="str">
            <v>כן</v>
          </cell>
          <cell r="J506" t="str">
            <v>כן</v>
          </cell>
          <cell r="K506">
            <v>159</v>
          </cell>
          <cell r="L506">
            <v>61</v>
          </cell>
        </row>
        <row r="507">
          <cell r="D507">
            <v>318568</v>
          </cell>
          <cell r="E507" t="str">
            <v>רשות</v>
          </cell>
          <cell r="F507" t="str">
            <v>אלכרמה</v>
          </cell>
          <cell r="G507" t="str">
            <v>יסודי בלבד</v>
          </cell>
          <cell r="H507" t="str">
            <v>כן</v>
          </cell>
          <cell r="I507" t="str">
            <v>כן</v>
          </cell>
          <cell r="J507" t="str">
            <v>כן</v>
          </cell>
          <cell r="K507">
            <v>150</v>
          </cell>
          <cell r="L507">
            <v>60</v>
          </cell>
        </row>
        <row r="508">
          <cell r="D508">
            <v>511782</v>
          </cell>
          <cell r="E508" t="str">
            <v>רשות</v>
          </cell>
          <cell r="F508" t="str">
            <v>דיזנגוף</v>
          </cell>
          <cell r="G508" t="str">
            <v>יסודי בלבד</v>
          </cell>
          <cell r="H508" t="str">
            <v>כן</v>
          </cell>
          <cell r="I508" t="str">
            <v>כן</v>
          </cell>
          <cell r="J508" t="str">
            <v>כן</v>
          </cell>
          <cell r="K508">
            <v>135</v>
          </cell>
          <cell r="L508">
            <v>67</v>
          </cell>
        </row>
        <row r="509">
          <cell r="D509">
            <v>214718</v>
          </cell>
          <cell r="E509" t="str">
            <v>רשות</v>
          </cell>
          <cell r="F509" t="str">
            <v>אופק כרמיאל</v>
          </cell>
          <cell r="G509" t="str">
            <v>יסודי בלבד</v>
          </cell>
          <cell r="H509" t="str">
            <v>כן</v>
          </cell>
          <cell r="I509" t="str">
            <v>כן</v>
          </cell>
          <cell r="J509" t="str">
            <v>כן</v>
          </cell>
          <cell r="K509">
            <v>256</v>
          </cell>
          <cell r="L509">
            <v>77</v>
          </cell>
        </row>
        <row r="510">
          <cell r="D510">
            <v>615070</v>
          </cell>
          <cell r="E510" t="str">
            <v>רשות</v>
          </cell>
          <cell r="F510" t="str">
            <v>בי"ס כפר דרום</v>
          </cell>
          <cell r="G510" t="str">
            <v>יסודי בלבד</v>
          </cell>
          <cell r="H510" t="str">
            <v>כן</v>
          </cell>
          <cell r="I510" t="str">
            <v>כן</v>
          </cell>
          <cell r="J510" t="str">
            <v>כן</v>
          </cell>
          <cell r="K510">
            <v>126</v>
          </cell>
          <cell r="L510">
            <v>69</v>
          </cell>
        </row>
        <row r="511">
          <cell r="D511">
            <v>318303</v>
          </cell>
          <cell r="E511" t="str">
            <v>רשות</v>
          </cell>
          <cell r="F511" t="str">
            <v>עוספיא א</v>
          </cell>
          <cell r="G511" t="str">
            <v>יסודי בלבד</v>
          </cell>
          <cell r="H511" t="str">
            <v>כן</v>
          </cell>
          <cell r="I511" t="str">
            <v>כן</v>
          </cell>
          <cell r="J511" t="str">
            <v>כן</v>
          </cell>
          <cell r="K511">
            <v>217</v>
          </cell>
          <cell r="L511">
            <v>55</v>
          </cell>
        </row>
        <row r="512">
          <cell r="D512">
            <v>311894</v>
          </cell>
          <cell r="E512" t="str">
            <v>רשות</v>
          </cell>
          <cell r="F512" t="str">
            <v>קורצאק</v>
          </cell>
          <cell r="G512" t="str">
            <v>יסודי בלבד</v>
          </cell>
          <cell r="H512" t="str">
            <v>כן</v>
          </cell>
          <cell r="I512" t="str">
            <v>כן</v>
          </cell>
          <cell r="J512" t="str">
            <v>כן</v>
          </cell>
          <cell r="K512">
            <v>228</v>
          </cell>
          <cell r="L512">
            <v>132</v>
          </cell>
        </row>
        <row r="513">
          <cell r="D513">
            <v>610097</v>
          </cell>
          <cell r="E513" t="str">
            <v>רשות</v>
          </cell>
          <cell r="F513" t="str">
            <v>גאולים</v>
          </cell>
          <cell r="G513" t="str">
            <v>יסודי בלבד</v>
          </cell>
          <cell r="H513" t="str">
            <v>כן</v>
          </cell>
          <cell r="I513" t="str">
            <v>כן</v>
          </cell>
          <cell r="J513" t="str">
            <v>כן</v>
          </cell>
          <cell r="K513">
            <v>176</v>
          </cell>
          <cell r="L513">
            <v>62</v>
          </cell>
        </row>
        <row r="514">
          <cell r="D514">
            <v>415620</v>
          </cell>
          <cell r="E514" t="str">
            <v>רשות</v>
          </cell>
          <cell r="F514" t="str">
            <v>מרחבים -נאות שקמה</v>
          </cell>
          <cell r="G514" t="str">
            <v>יסודי בלבד</v>
          </cell>
          <cell r="H514" t="str">
            <v>כן</v>
          </cell>
          <cell r="I514" t="str">
            <v>כן</v>
          </cell>
          <cell r="J514" t="str">
            <v>כן</v>
          </cell>
          <cell r="K514">
            <v>117</v>
          </cell>
          <cell r="L514">
            <v>51</v>
          </cell>
        </row>
        <row r="515">
          <cell r="D515">
            <v>310847</v>
          </cell>
          <cell r="E515" t="str">
            <v>רשות</v>
          </cell>
          <cell r="F515" t="str">
            <v>כרמל-נתיב אליעזר</v>
          </cell>
          <cell r="G515" t="str">
            <v>יסודי בלבד</v>
          </cell>
          <cell r="H515" t="str">
            <v>כן</v>
          </cell>
          <cell r="I515" t="str">
            <v>כן</v>
          </cell>
          <cell r="J515" t="str">
            <v>כן</v>
          </cell>
          <cell r="K515">
            <v>82</v>
          </cell>
          <cell r="L515">
            <v>44</v>
          </cell>
        </row>
        <row r="516">
          <cell r="D516">
            <v>614396</v>
          </cell>
          <cell r="E516" t="str">
            <v>רשות</v>
          </cell>
          <cell r="F516" t="str">
            <v>נווה אילן</v>
          </cell>
          <cell r="G516" t="str">
            <v>יסודי בלבד</v>
          </cell>
          <cell r="H516" t="str">
            <v>כן</v>
          </cell>
          <cell r="I516" t="str">
            <v>כן</v>
          </cell>
          <cell r="J516" t="str">
            <v>כן</v>
          </cell>
          <cell r="K516">
            <v>257</v>
          </cell>
          <cell r="L516">
            <v>102</v>
          </cell>
        </row>
        <row r="517">
          <cell r="D517">
            <v>384578</v>
          </cell>
          <cell r="E517" t="str">
            <v>רשות</v>
          </cell>
          <cell r="F517" t="str">
            <v>יסודי 3</v>
          </cell>
          <cell r="G517" t="str">
            <v>יסודי בלבד</v>
          </cell>
          <cell r="H517" t="str">
            <v>כן</v>
          </cell>
          <cell r="I517" t="str">
            <v>כן</v>
          </cell>
          <cell r="J517" t="str">
            <v>כן</v>
          </cell>
          <cell r="K517">
            <v>311</v>
          </cell>
          <cell r="L517">
            <v>91</v>
          </cell>
        </row>
        <row r="518">
          <cell r="D518">
            <v>412239</v>
          </cell>
          <cell r="E518" t="str">
            <v>רשות</v>
          </cell>
          <cell r="F518" t="str">
            <v>הרצוג</v>
          </cell>
          <cell r="G518" t="str">
            <v>יסודי בלבד</v>
          </cell>
          <cell r="H518" t="str">
            <v>כן</v>
          </cell>
          <cell r="I518" t="str">
            <v>כן</v>
          </cell>
          <cell r="J518" t="str">
            <v>כן</v>
          </cell>
          <cell r="K518">
            <v>213</v>
          </cell>
          <cell r="L518">
            <v>42</v>
          </cell>
        </row>
        <row r="519">
          <cell r="D519">
            <v>611046</v>
          </cell>
          <cell r="E519" t="str">
            <v>רשות</v>
          </cell>
          <cell r="F519" t="str">
            <v>אוהל יוסף יצחק</v>
          </cell>
          <cell r="G519" t="str">
            <v>יסודי בלבד</v>
          </cell>
          <cell r="H519" t="str">
            <v>כן</v>
          </cell>
          <cell r="I519" t="str">
            <v>כן</v>
          </cell>
          <cell r="J519" t="str">
            <v>כן</v>
          </cell>
          <cell r="K519">
            <v>101</v>
          </cell>
          <cell r="L519">
            <v>81</v>
          </cell>
        </row>
        <row r="520">
          <cell r="D520">
            <v>312744</v>
          </cell>
          <cell r="E520" t="str">
            <v>רשות</v>
          </cell>
          <cell r="F520" t="str">
            <v>יסודי ע"ש אילן רמון</v>
          </cell>
          <cell r="G520" t="str">
            <v>יסודי בלבד</v>
          </cell>
          <cell r="H520" t="str">
            <v>כן</v>
          </cell>
          <cell r="I520" t="str">
            <v>כן</v>
          </cell>
          <cell r="J520" t="str">
            <v>כן</v>
          </cell>
          <cell r="K520">
            <v>390</v>
          </cell>
          <cell r="L520">
            <v>162</v>
          </cell>
        </row>
        <row r="521">
          <cell r="D521">
            <v>213389</v>
          </cell>
          <cell r="E521" t="str">
            <v>רשות</v>
          </cell>
          <cell r="F521" t="str">
            <v>גמלא -קצרין</v>
          </cell>
          <cell r="G521" t="str">
            <v>יסודי בלבד</v>
          </cell>
          <cell r="H521" t="str">
            <v>כן</v>
          </cell>
          <cell r="I521" t="str">
            <v>כן</v>
          </cell>
          <cell r="J521" t="str">
            <v>כן</v>
          </cell>
          <cell r="K521">
            <v>164</v>
          </cell>
          <cell r="L521">
            <v>132</v>
          </cell>
        </row>
        <row r="522">
          <cell r="D522">
            <v>414631</v>
          </cell>
          <cell r="E522" t="str">
            <v>רשות</v>
          </cell>
          <cell r="F522" t="str">
            <v>מעוז מכבים</v>
          </cell>
          <cell r="G522" t="str">
            <v>יסודי בלבד</v>
          </cell>
          <cell r="H522" t="str">
            <v>כן</v>
          </cell>
          <cell r="I522" t="str">
            <v>כן</v>
          </cell>
          <cell r="J522" t="str">
            <v>כן</v>
          </cell>
          <cell r="K522">
            <v>94</v>
          </cell>
          <cell r="L522">
            <v>59</v>
          </cell>
        </row>
        <row r="523">
          <cell r="D523">
            <v>511519</v>
          </cell>
          <cell r="E523" t="str">
            <v>רשות</v>
          </cell>
          <cell r="F523" t="str">
            <v>ע"ש "חיים חפר"</v>
          </cell>
          <cell r="G523" t="str">
            <v>יסודי בלבד</v>
          </cell>
          <cell r="H523" t="str">
            <v>כן</v>
          </cell>
          <cell r="I523" t="str">
            <v>כן</v>
          </cell>
          <cell r="J523" t="str">
            <v>כן</v>
          </cell>
          <cell r="K523">
            <v>246</v>
          </cell>
          <cell r="L523">
            <v>132</v>
          </cell>
        </row>
        <row r="524">
          <cell r="D524">
            <v>510354</v>
          </cell>
          <cell r="E524" t="str">
            <v>רשות</v>
          </cell>
          <cell r="F524" t="str">
            <v>שמעוני</v>
          </cell>
          <cell r="G524" t="str">
            <v>יסודי בלבד</v>
          </cell>
          <cell r="H524" t="str">
            <v>כן</v>
          </cell>
          <cell r="I524" t="str">
            <v>כן</v>
          </cell>
          <cell r="J524" t="str">
            <v>כן</v>
          </cell>
          <cell r="K524">
            <v>317</v>
          </cell>
          <cell r="L524">
            <v>96</v>
          </cell>
        </row>
        <row r="525">
          <cell r="D525">
            <v>113753</v>
          </cell>
          <cell r="E525" t="str">
            <v>רשות</v>
          </cell>
          <cell r="F525" t="str">
            <v>ממ"ד צמח השדה</v>
          </cell>
          <cell r="G525" t="str">
            <v>יסודי בלבד</v>
          </cell>
          <cell r="H525" t="str">
            <v>כן</v>
          </cell>
          <cell r="I525" t="str">
            <v>כן</v>
          </cell>
          <cell r="J525" t="str">
            <v>כן</v>
          </cell>
          <cell r="K525">
            <v>122</v>
          </cell>
          <cell r="L525">
            <v>60</v>
          </cell>
        </row>
        <row r="526">
          <cell r="D526">
            <v>310466</v>
          </cell>
          <cell r="E526" t="str">
            <v>רשות</v>
          </cell>
          <cell r="F526" t="str">
            <v>דגניה</v>
          </cell>
          <cell r="G526" t="str">
            <v>יסודי בלבד</v>
          </cell>
          <cell r="H526" t="str">
            <v>כן</v>
          </cell>
          <cell r="I526" t="str">
            <v>כן</v>
          </cell>
          <cell r="J526" t="str">
            <v>כן</v>
          </cell>
          <cell r="K526">
            <v>112</v>
          </cell>
          <cell r="L526">
            <v>65</v>
          </cell>
        </row>
        <row r="527">
          <cell r="D527">
            <v>613497</v>
          </cell>
          <cell r="E527" t="str">
            <v>רשות</v>
          </cell>
          <cell r="F527" t="str">
            <v>רמב"ם</v>
          </cell>
          <cell r="G527" t="str">
            <v>יסודי בלבד</v>
          </cell>
          <cell r="H527" t="str">
            <v>כן</v>
          </cell>
          <cell r="I527" t="str">
            <v>כן</v>
          </cell>
          <cell r="J527" t="str">
            <v>כן</v>
          </cell>
          <cell r="K527">
            <v>181</v>
          </cell>
          <cell r="L527">
            <v>77</v>
          </cell>
        </row>
        <row r="528">
          <cell r="D528">
            <v>612119</v>
          </cell>
          <cell r="E528" t="str">
            <v>רשות</v>
          </cell>
          <cell r="F528" t="str">
            <v>מורשת ישורון</v>
          </cell>
          <cell r="G528" t="str">
            <v>יסודי בלבד</v>
          </cell>
          <cell r="H528" t="str">
            <v>כן</v>
          </cell>
          <cell r="I528" t="str">
            <v>כן</v>
          </cell>
          <cell r="J528" t="str">
            <v>לא</v>
          </cell>
          <cell r="K528">
            <v>136</v>
          </cell>
          <cell r="L528">
            <v>94</v>
          </cell>
        </row>
        <row r="529">
          <cell r="D529">
            <v>612382</v>
          </cell>
          <cell r="E529" t="str">
            <v>רשות</v>
          </cell>
          <cell r="F529" t="str">
            <v>יהלום</v>
          </cell>
          <cell r="G529" t="str">
            <v>יסודי בלבד</v>
          </cell>
          <cell r="H529" t="str">
            <v>כן</v>
          </cell>
          <cell r="I529" t="str">
            <v>כן</v>
          </cell>
          <cell r="J529" t="str">
            <v>כן</v>
          </cell>
          <cell r="K529">
            <v>85</v>
          </cell>
          <cell r="L529">
            <v>42</v>
          </cell>
        </row>
        <row r="530">
          <cell r="D530">
            <v>616151</v>
          </cell>
          <cell r="E530" t="str">
            <v>רשות</v>
          </cell>
          <cell r="F530" t="str">
            <v>נווה השחר</v>
          </cell>
          <cell r="G530" t="str">
            <v>יסודי בלבד</v>
          </cell>
          <cell r="H530" t="str">
            <v>כן</v>
          </cell>
          <cell r="I530" t="str">
            <v>כן</v>
          </cell>
          <cell r="J530" t="str">
            <v>כן</v>
          </cell>
          <cell r="K530">
            <v>134</v>
          </cell>
          <cell r="L530">
            <v>44</v>
          </cell>
        </row>
        <row r="531">
          <cell r="D531">
            <v>482877</v>
          </cell>
          <cell r="E531" t="str">
            <v>רשות</v>
          </cell>
          <cell r="F531" t="str">
            <v>אמירים</v>
          </cell>
          <cell r="G531" t="str">
            <v>יסודי בלבד</v>
          </cell>
          <cell r="H531" t="str">
            <v>כן</v>
          </cell>
          <cell r="I531" t="str">
            <v>כן</v>
          </cell>
          <cell r="J531" t="str">
            <v>לא</v>
          </cell>
          <cell r="K531">
            <v>109</v>
          </cell>
          <cell r="L531">
            <v>72</v>
          </cell>
        </row>
        <row r="532">
          <cell r="D532">
            <v>618900</v>
          </cell>
          <cell r="E532" t="str">
            <v>רשות</v>
          </cell>
          <cell r="F532" t="str">
            <v>אלהלאל</v>
          </cell>
          <cell r="G532" t="str">
            <v>יסודי בלבד</v>
          </cell>
          <cell r="H532" t="str">
            <v>כן</v>
          </cell>
          <cell r="I532" t="str">
            <v>כן</v>
          </cell>
          <cell r="J532" t="str">
            <v>כן</v>
          </cell>
          <cell r="K532">
            <v>181</v>
          </cell>
          <cell r="L532">
            <v>101</v>
          </cell>
        </row>
        <row r="533">
          <cell r="D533">
            <v>311480</v>
          </cell>
          <cell r="E533" t="str">
            <v>רשות</v>
          </cell>
          <cell r="F533" t="str">
            <v>שפרינצק</v>
          </cell>
          <cell r="G533" t="str">
            <v>יסודי בלבד</v>
          </cell>
          <cell r="H533" t="str">
            <v>כן</v>
          </cell>
          <cell r="I533" t="str">
            <v>כן</v>
          </cell>
          <cell r="J533" t="str">
            <v>כן</v>
          </cell>
          <cell r="K533">
            <v>240</v>
          </cell>
          <cell r="L533">
            <v>85</v>
          </cell>
        </row>
        <row r="534">
          <cell r="D534">
            <v>610386</v>
          </cell>
          <cell r="E534" t="str">
            <v/>
          </cell>
          <cell r="F534" t="str">
            <v>חזון עובדיה</v>
          </cell>
          <cell r="G534" t="str">
            <v>יסודי בלבד</v>
          </cell>
          <cell r="H534" t="str">
            <v>כן</v>
          </cell>
          <cell r="I534" t="str">
            <v>כן</v>
          </cell>
          <cell r="J534" t="str">
            <v>כן</v>
          </cell>
          <cell r="K534">
            <v>78</v>
          </cell>
          <cell r="L534">
            <v>59</v>
          </cell>
        </row>
        <row r="535">
          <cell r="D535">
            <v>384347</v>
          </cell>
          <cell r="E535" t="str">
            <v>רשות</v>
          </cell>
          <cell r="F535" t="str">
            <v>אבנר ע"ש אבנר ברזני</v>
          </cell>
          <cell r="G535" t="str">
            <v>יסודי בלבד</v>
          </cell>
          <cell r="H535" t="str">
            <v>כן</v>
          </cell>
          <cell r="I535" t="str">
            <v>כן</v>
          </cell>
          <cell r="J535" t="str">
            <v>לא</v>
          </cell>
          <cell r="K535">
            <v>196</v>
          </cell>
          <cell r="L535">
            <v>102</v>
          </cell>
        </row>
        <row r="536">
          <cell r="D536">
            <v>618330</v>
          </cell>
          <cell r="E536" t="str">
            <v>רשות</v>
          </cell>
          <cell r="F536" t="str">
            <v>אלנור ע"ש אברהים</v>
          </cell>
          <cell r="G536" t="str">
            <v>יסודי בלבד</v>
          </cell>
          <cell r="H536" t="str">
            <v>כן</v>
          </cell>
          <cell r="I536" t="str">
            <v>כן</v>
          </cell>
          <cell r="J536" t="str">
            <v>כן</v>
          </cell>
          <cell r="K536">
            <v>447</v>
          </cell>
          <cell r="L536">
            <v>83</v>
          </cell>
        </row>
        <row r="537">
          <cell r="D537">
            <v>512608</v>
          </cell>
          <cell r="E537" t="str">
            <v/>
          </cell>
          <cell r="F537" t="str">
            <v>אריק איינשטיין</v>
          </cell>
          <cell r="G537" t="str">
            <v>יסודי בלבד</v>
          </cell>
          <cell r="H537" t="str">
            <v>כן</v>
          </cell>
          <cell r="I537" t="str">
            <v>כן</v>
          </cell>
          <cell r="J537" t="str">
            <v>כן</v>
          </cell>
          <cell r="K537">
            <v>356</v>
          </cell>
          <cell r="L537">
            <v>130</v>
          </cell>
        </row>
        <row r="538">
          <cell r="D538">
            <v>430447</v>
          </cell>
          <cell r="E538" t="str">
            <v>רשות</v>
          </cell>
          <cell r="F538" t="str">
            <v>יסודי אלשמאלי</v>
          </cell>
          <cell r="G538" t="str">
            <v>יסודי בלבד</v>
          </cell>
          <cell r="H538" t="str">
            <v>כן</v>
          </cell>
          <cell r="I538" t="str">
            <v>כן</v>
          </cell>
          <cell r="J538" t="str">
            <v>כן</v>
          </cell>
          <cell r="K538">
            <v>195</v>
          </cell>
          <cell r="L538">
            <v>160</v>
          </cell>
        </row>
        <row r="539">
          <cell r="D539">
            <v>210062</v>
          </cell>
          <cell r="E539" t="str">
            <v>רשות</v>
          </cell>
          <cell r="F539" t="str">
            <v>מבוא גליל-איילת השחר</v>
          </cell>
          <cell r="G539" t="str">
            <v>יסודי בלבד</v>
          </cell>
          <cell r="H539" t="str">
            <v>כן</v>
          </cell>
          <cell r="I539" t="str">
            <v>כן</v>
          </cell>
          <cell r="J539" t="str">
            <v>כן</v>
          </cell>
          <cell r="K539">
            <v>267</v>
          </cell>
          <cell r="L539">
            <v>33</v>
          </cell>
        </row>
        <row r="540">
          <cell r="D540">
            <v>218099</v>
          </cell>
          <cell r="E540" t="str">
            <v>רשות</v>
          </cell>
          <cell r="F540" t="str">
            <v>אל נג'אח בועינה</v>
          </cell>
          <cell r="G540" t="str">
            <v>יסודי בלבד</v>
          </cell>
          <cell r="H540" t="str">
            <v>כן</v>
          </cell>
          <cell r="I540" t="str">
            <v>כן</v>
          </cell>
          <cell r="J540" t="str">
            <v>כן</v>
          </cell>
          <cell r="K540">
            <v>202</v>
          </cell>
          <cell r="L540">
            <v>144</v>
          </cell>
        </row>
        <row r="541">
          <cell r="D541">
            <v>618728</v>
          </cell>
          <cell r="E541" t="str">
            <v>רשות</v>
          </cell>
          <cell r="F541" t="str">
            <v>יסודי חדש באלהוואשלה</v>
          </cell>
          <cell r="G541" t="str">
            <v>יסודי בלבד</v>
          </cell>
          <cell r="H541" t="str">
            <v>כן</v>
          </cell>
          <cell r="I541" t="str">
            <v>כן</v>
          </cell>
          <cell r="J541" t="str">
            <v>כן</v>
          </cell>
          <cell r="K541">
            <v>270</v>
          </cell>
          <cell r="L541">
            <v>90</v>
          </cell>
        </row>
        <row r="542">
          <cell r="D542">
            <v>219428</v>
          </cell>
          <cell r="E542" t="str">
            <v>רשות</v>
          </cell>
          <cell r="F542" t="str">
            <v>קהילתי מ"מ ג' יפיע</v>
          </cell>
          <cell r="G542" t="str">
            <v>יסודי בלבד</v>
          </cell>
          <cell r="H542" t="str">
            <v>כן</v>
          </cell>
          <cell r="I542" t="str">
            <v>כן</v>
          </cell>
          <cell r="J542" t="str">
            <v>כן</v>
          </cell>
          <cell r="K542">
            <v>195</v>
          </cell>
          <cell r="L542">
            <v>54</v>
          </cell>
        </row>
        <row r="543">
          <cell r="D543">
            <v>318048</v>
          </cell>
          <cell r="E543" t="str">
            <v>רשות</v>
          </cell>
          <cell r="F543" t="str">
            <v>עמר אבן אלחטאב</v>
          </cell>
          <cell r="G543" t="str">
            <v>יסודי בלבד</v>
          </cell>
          <cell r="H543" t="str">
            <v>כן</v>
          </cell>
          <cell r="I543" t="str">
            <v>כן</v>
          </cell>
          <cell r="J543" t="str">
            <v>כן</v>
          </cell>
          <cell r="K543">
            <v>320</v>
          </cell>
          <cell r="L543">
            <v>86</v>
          </cell>
        </row>
        <row r="544">
          <cell r="D544">
            <v>218834</v>
          </cell>
          <cell r="E544" t="str">
            <v>רשות</v>
          </cell>
          <cell r="F544" t="str">
            <v>אבן סינא עראבה</v>
          </cell>
          <cell r="G544" t="str">
            <v>יסודי בלבד</v>
          </cell>
          <cell r="H544" t="str">
            <v>כן</v>
          </cell>
          <cell r="I544" t="str">
            <v>כן</v>
          </cell>
          <cell r="J544" t="str">
            <v>כן</v>
          </cell>
          <cell r="K544">
            <v>127</v>
          </cell>
          <cell r="L544">
            <v>31</v>
          </cell>
        </row>
        <row r="545">
          <cell r="D545">
            <v>650010</v>
          </cell>
          <cell r="E545" t="str">
            <v>רשות</v>
          </cell>
          <cell r="F545" t="str">
            <v>אלחייאת</v>
          </cell>
          <cell r="G545" t="str">
            <v>יסודי בלבד</v>
          </cell>
          <cell r="H545" t="str">
            <v>כן</v>
          </cell>
          <cell r="I545" t="str">
            <v>כן</v>
          </cell>
          <cell r="J545" t="str">
            <v>כן</v>
          </cell>
          <cell r="K545">
            <v>280</v>
          </cell>
          <cell r="L545">
            <v>200</v>
          </cell>
        </row>
        <row r="546">
          <cell r="D546">
            <v>513044</v>
          </cell>
          <cell r="E546" t="str">
            <v>רשות</v>
          </cell>
          <cell r="F546" t="str">
            <v>תל חי</v>
          </cell>
          <cell r="G546" t="str">
            <v>יסודי בלבד</v>
          </cell>
          <cell r="H546" t="str">
            <v>כן</v>
          </cell>
          <cell r="I546" t="str">
            <v>כן</v>
          </cell>
          <cell r="J546" t="str">
            <v>כן</v>
          </cell>
          <cell r="K546">
            <v>159</v>
          </cell>
          <cell r="L546">
            <v>159</v>
          </cell>
        </row>
        <row r="547">
          <cell r="D547">
            <v>318204</v>
          </cell>
          <cell r="E547" t="str">
            <v>רשות</v>
          </cell>
          <cell r="F547" t="str">
            <v>מוסמוס</v>
          </cell>
          <cell r="G547" t="str">
            <v>יסודי בלבד</v>
          </cell>
          <cell r="H547" t="str">
            <v>כן</v>
          </cell>
          <cell r="I547" t="str">
            <v>כן</v>
          </cell>
          <cell r="J547" t="str">
            <v>כן</v>
          </cell>
          <cell r="K547">
            <v>186</v>
          </cell>
          <cell r="L547">
            <v>56</v>
          </cell>
        </row>
        <row r="548">
          <cell r="D548">
            <v>511477</v>
          </cell>
          <cell r="E548" t="str">
            <v/>
          </cell>
          <cell r="F548" t="str">
            <v>כלנא יחד</v>
          </cell>
          <cell r="G548" t="str">
            <v>יסודי בלבד</v>
          </cell>
          <cell r="H548" t="str">
            <v>כן</v>
          </cell>
          <cell r="I548" t="str">
            <v>כן</v>
          </cell>
          <cell r="J548" t="str">
            <v>כן</v>
          </cell>
          <cell r="K548">
            <v>145</v>
          </cell>
          <cell r="L548">
            <v>55</v>
          </cell>
        </row>
        <row r="549">
          <cell r="D549">
            <v>513051</v>
          </cell>
          <cell r="E549" t="str">
            <v>רשות</v>
          </cell>
          <cell r="F549" t="str">
            <v>בבלי</v>
          </cell>
          <cell r="G549" t="str">
            <v>יסודי בלבד</v>
          </cell>
          <cell r="H549" t="str">
            <v>לא</v>
          </cell>
          <cell r="I549" t="str">
            <v>לא</v>
          </cell>
          <cell r="J549" t="str">
            <v>לא</v>
          </cell>
          <cell r="K549">
            <v>0</v>
          </cell>
          <cell r="L549">
            <v>0</v>
          </cell>
        </row>
        <row r="550">
          <cell r="D550">
            <v>384404</v>
          </cell>
          <cell r="E550" t="str">
            <v>רשות</v>
          </cell>
          <cell r="F550" t="str">
            <v>לב</v>
          </cell>
          <cell r="G550" t="str">
            <v>יסודי בלבד</v>
          </cell>
          <cell r="H550" t="str">
            <v>כן</v>
          </cell>
          <cell r="I550" t="str">
            <v>כן</v>
          </cell>
          <cell r="J550" t="str">
            <v>לא</v>
          </cell>
          <cell r="K550">
            <v>154</v>
          </cell>
          <cell r="L550">
            <v>97</v>
          </cell>
        </row>
        <row r="551">
          <cell r="D551">
            <v>219709</v>
          </cell>
          <cell r="E551" t="str">
            <v/>
          </cell>
          <cell r="F551" t="str">
            <v>יסודי ה' כפר מנדא</v>
          </cell>
          <cell r="G551" t="str">
            <v>יסודי בלבד</v>
          </cell>
          <cell r="H551" t="str">
            <v>כן</v>
          </cell>
          <cell r="I551" t="str">
            <v>כן</v>
          </cell>
          <cell r="J551" t="str">
            <v>כן</v>
          </cell>
          <cell r="K551">
            <v>211</v>
          </cell>
          <cell r="L551">
            <v>80</v>
          </cell>
        </row>
        <row r="552">
          <cell r="D552">
            <v>530717</v>
          </cell>
          <cell r="E552" t="str">
            <v>רשות</v>
          </cell>
          <cell r="F552" t="str">
            <v>לאה גולדברג</v>
          </cell>
          <cell r="G552" t="str">
            <v>יסודי בלבד</v>
          </cell>
          <cell r="H552" t="str">
            <v>כן</v>
          </cell>
          <cell r="I552" t="str">
            <v>כן</v>
          </cell>
          <cell r="J552" t="str">
            <v>כן</v>
          </cell>
          <cell r="K552">
            <v>124</v>
          </cell>
          <cell r="L552">
            <v>42</v>
          </cell>
        </row>
        <row r="553">
          <cell r="D553">
            <v>442590</v>
          </cell>
          <cell r="E553" t="str">
            <v>רשות</v>
          </cell>
          <cell r="F553" t="str">
            <v>יסודי ממלכתי ברקן</v>
          </cell>
          <cell r="G553" t="str">
            <v>יסודי בלבד</v>
          </cell>
          <cell r="H553" t="str">
            <v>כן</v>
          </cell>
          <cell r="I553" t="str">
            <v>כן</v>
          </cell>
          <cell r="J553" t="str">
            <v>כן</v>
          </cell>
          <cell r="K553">
            <v>119</v>
          </cell>
          <cell r="L553">
            <v>119</v>
          </cell>
        </row>
        <row r="554">
          <cell r="D554">
            <v>312793</v>
          </cell>
          <cell r="E554" t="str">
            <v>רשות</v>
          </cell>
          <cell r="F554" t="str">
            <v>החיטה ע"ש אהרונסון</v>
          </cell>
          <cell r="G554" t="str">
            <v>יסודי בלבד</v>
          </cell>
          <cell r="H554" t="str">
            <v>כן</v>
          </cell>
          <cell r="I554" t="str">
            <v>כן</v>
          </cell>
          <cell r="J554" t="str">
            <v>כן</v>
          </cell>
          <cell r="K554">
            <v>249</v>
          </cell>
          <cell r="L554">
            <v>75</v>
          </cell>
        </row>
        <row r="555">
          <cell r="D555">
            <v>582502</v>
          </cell>
          <cell r="E555" t="str">
            <v>רשות</v>
          </cell>
          <cell r="F555" t="str">
            <v>נוה</v>
          </cell>
          <cell r="G555" t="str">
            <v>יסודי בלבד</v>
          </cell>
          <cell r="H555" t="str">
            <v>כן</v>
          </cell>
          <cell r="I555" t="str">
            <v>כן</v>
          </cell>
          <cell r="J555" t="str">
            <v>כן</v>
          </cell>
          <cell r="K555">
            <v>97</v>
          </cell>
          <cell r="L555">
            <v>42</v>
          </cell>
        </row>
        <row r="556">
          <cell r="D556">
            <v>510438</v>
          </cell>
          <cell r="E556" t="str">
            <v>רשות</v>
          </cell>
          <cell r="F556" t="str">
            <v>נוף ים</v>
          </cell>
          <cell r="G556" t="str">
            <v>יסודי בלבד</v>
          </cell>
          <cell r="H556" t="str">
            <v>כן</v>
          </cell>
          <cell r="I556" t="str">
            <v>כן</v>
          </cell>
          <cell r="J556" t="str">
            <v>לא</v>
          </cell>
          <cell r="K556">
            <v>130</v>
          </cell>
          <cell r="L556">
            <v>79</v>
          </cell>
        </row>
        <row r="557">
          <cell r="D557">
            <v>416214</v>
          </cell>
          <cell r="E557" t="str">
            <v>רשות</v>
          </cell>
          <cell r="F557" t="str">
            <v>ממ"ד פדואל</v>
          </cell>
          <cell r="G557" t="str">
            <v>יסודי בלבד</v>
          </cell>
          <cell r="H557" t="str">
            <v>כן</v>
          </cell>
          <cell r="I557" t="str">
            <v>כן</v>
          </cell>
          <cell r="J557" t="str">
            <v>כן</v>
          </cell>
          <cell r="K557">
            <v>231</v>
          </cell>
          <cell r="L557">
            <v>173</v>
          </cell>
        </row>
        <row r="558">
          <cell r="D558">
            <v>416420</v>
          </cell>
          <cell r="E558" t="str">
            <v>רשות</v>
          </cell>
          <cell r="F558" t="str">
            <v>ניצנים</v>
          </cell>
          <cell r="G558" t="str">
            <v>יסודי בלבד</v>
          </cell>
          <cell r="H558" t="str">
            <v>כן</v>
          </cell>
          <cell r="I558" t="str">
            <v>כן</v>
          </cell>
          <cell r="J558" t="str">
            <v>כן</v>
          </cell>
          <cell r="K558">
            <v>344</v>
          </cell>
          <cell r="L558">
            <v>102</v>
          </cell>
        </row>
        <row r="559">
          <cell r="D559">
            <v>410712</v>
          </cell>
          <cell r="E559" t="str">
            <v>רשות</v>
          </cell>
          <cell r="F559" t="str">
            <v>הדר</v>
          </cell>
          <cell r="G559" t="str">
            <v>יסודי בלבד</v>
          </cell>
          <cell r="H559" t="str">
            <v>כן</v>
          </cell>
          <cell r="I559" t="str">
            <v>כן</v>
          </cell>
          <cell r="J559" t="str">
            <v>כן</v>
          </cell>
          <cell r="K559">
            <v>227</v>
          </cell>
          <cell r="L559">
            <v>68</v>
          </cell>
        </row>
        <row r="560">
          <cell r="D560">
            <v>219535</v>
          </cell>
          <cell r="E560" t="str">
            <v/>
          </cell>
          <cell r="F560" t="str">
            <v>נצרת אלחורש א'</v>
          </cell>
          <cell r="G560" t="str">
            <v>יסודי בלבד</v>
          </cell>
          <cell r="H560" t="str">
            <v>כן</v>
          </cell>
          <cell r="I560" t="str">
            <v>כן</v>
          </cell>
          <cell r="J560" t="str">
            <v>כן</v>
          </cell>
          <cell r="K560">
            <v>272</v>
          </cell>
          <cell r="L560">
            <v>78</v>
          </cell>
        </row>
        <row r="561">
          <cell r="D561">
            <v>413948</v>
          </cell>
          <cell r="E561" t="str">
            <v>רשות</v>
          </cell>
          <cell r="F561" t="str">
            <v>יסוד המעלה</v>
          </cell>
          <cell r="G561" t="str">
            <v>יסודי בלבד</v>
          </cell>
          <cell r="H561" t="str">
            <v>כן</v>
          </cell>
          <cell r="I561" t="str">
            <v>כן</v>
          </cell>
          <cell r="J561" t="str">
            <v>כן</v>
          </cell>
          <cell r="K561">
            <v>157</v>
          </cell>
          <cell r="L561">
            <v>45</v>
          </cell>
        </row>
        <row r="562">
          <cell r="D562">
            <v>482646</v>
          </cell>
          <cell r="E562" t="str">
            <v>רשות</v>
          </cell>
          <cell r="F562" t="str">
            <v>מרחבים</v>
          </cell>
          <cell r="G562" t="str">
            <v>יסודי בלבד</v>
          </cell>
          <cell r="H562" t="str">
            <v>כן</v>
          </cell>
          <cell r="I562" t="str">
            <v>כן</v>
          </cell>
          <cell r="J562" t="str">
            <v>כן</v>
          </cell>
          <cell r="K562">
            <v>294</v>
          </cell>
          <cell r="L562">
            <v>184</v>
          </cell>
        </row>
        <row r="563">
          <cell r="D563">
            <v>484071</v>
          </cell>
          <cell r="E563" t="str">
            <v>רשות</v>
          </cell>
          <cell r="F563" t="str">
            <v>ממ"ד ברוכין</v>
          </cell>
          <cell r="G563" t="str">
            <v>יסודי בלבד</v>
          </cell>
          <cell r="H563" t="str">
            <v>כן</v>
          </cell>
          <cell r="I563" t="str">
            <v>כן</v>
          </cell>
          <cell r="J563" t="str">
            <v>לא</v>
          </cell>
          <cell r="K563">
            <v>182</v>
          </cell>
          <cell r="L563">
            <v>108</v>
          </cell>
        </row>
        <row r="564">
          <cell r="D564">
            <v>113902</v>
          </cell>
          <cell r="E564" t="str">
            <v>רשות</v>
          </cell>
          <cell r="F564" t="str">
            <v>מ"מ צמח השדה</v>
          </cell>
          <cell r="G564" t="str">
            <v>יסודי בלבד</v>
          </cell>
          <cell r="H564" t="str">
            <v>כן</v>
          </cell>
          <cell r="I564" t="str">
            <v>כן</v>
          </cell>
          <cell r="J564" t="str">
            <v>כן</v>
          </cell>
          <cell r="K564">
            <v>144</v>
          </cell>
          <cell r="L564">
            <v>84</v>
          </cell>
        </row>
        <row r="565">
          <cell r="D565">
            <v>210781</v>
          </cell>
          <cell r="E565" t="str">
            <v>רשות</v>
          </cell>
          <cell r="F565" t="str">
            <v>תחכמוני מד-טבריה</v>
          </cell>
          <cell r="G565" t="str">
            <v>יסודי בלבד</v>
          </cell>
          <cell r="H565" t="str">
            <v>כן</v>
          </cell>
          <cell r="I565" t="str">
            <v>כן</v>
          </cell>
          <cell r="J565" t="str">
            <v>כן</v>
          </cell>
          <cell r="K565">
            <v>183</v>
          </cell>
          <cell r="L565">
            <v>83</v>
          </cell>
        </row>
        <row r="566">
          <cell r="D566">
            <v>514992</v>
          </cell>
          <cell r="E566" t="str">
            <v>בעלות</v>
          </cell>
          <cell r="F566" t="str">
            <v>ת"ת יחד ת"א</v>
          </cell>
          <cell r="G566" t="str">
            <v>יסודי בלבד</v>
          </cell>
          <cell r="H566" t="str">
            <v>לא</v>
          </cell>
          <cell r="I566" t="str">
            <v>לא</v>
          </cell>
          <cell r="J566" t="str">
            <v>לא</v>
          </cell>
          <cell r="K566">
            <v>86</v>
          </cell>
          <cell r="L566">
            <v>0</v>
          </cell>
        </row>
        <row r="567">
          <cell r="D567">
            <v>212795</v>
          </cell>
          <cell r="E567" t="str">
            <v>רשות</v>
          </cell>
          <cell r="F567" t="str">
            <v>רמבם מד-בית שאן</v>
          </cell>
          <cell r="G567" t="str">
            <v>יסודי בלבד</v>
          </cell>
          <cell r="H567" t="str">
            <v>כן</v>
          </cell>
          <cell r="I567" t="str">
            <v>כן</v>
          </cell>
          <cell r="J567" t="str">
            <v>כן</v>
          </cell>
          <cell r="K567">
            <v>134</v>
          </cell>
          <cell r="L567">
            <v>102</v>
          </cell>
        </row>
        <row r="568">
          <cell r="D568">
            <v>674655</v>
          </cell>
          <cell r="E568" t="str">
            <v/>
          </cell>
          <cell r="F568" t="str">
            <v>שלהבות חב"ד</v>
          </cell>
          <cell r="G568" t="str">
            <v>יסודי בלבד</v>
          </cell>
          <cell r="H568" t="str">
            <v>כן</v>
          </cell>
          <cell r="I568" t="str">
            <v>לא</v>
          </cell>
          <cell r="J568" t="str">
            <v>לא</v>
          </cell>
          <cell r="K568">
            <v>0</v>
          </cell>
          <cell r="L568">
            <v>6</v>
          </cell>
        </row>
        <row r="569">
          <cell r="D569">
            <v>210799</v>
          </cell>
          <cell r="E569" t="str">
            <v>רשות</v>
          </cell>
          <cell r="F569" t="str">
            <v>נועם ישראל</v>
          </cell>
          <cell r="G569" t="str">
            <v>יסודי בלבד</v>
          </cell>
          <cell r="H569" t="str">
            <v>כן</v>
          </cell>
          <cell r="I569" t="str">
            <v>כן</v>
          </cell>
          <cell r="J569" t="str">
            <v>כן</v>
          </cell>
          <cell r="K569">
            <v>75</v>
          </cell>
          <cell r="L569">
            <v>73</v>
          </cell>
        </row>
        <row r="570">
          <cell r="D570">
            <v>644609</v>
          </cell>
          <cell r="E570" t="str">
            <v>רשות</v>
          </cell>
          <cell r="F570" t="str">
            <v>יסודי ממ"ד כרמי גת</v>
          </cell>
          <cell r="G570" t="str">
            <v>יסודי בלבד</v>
          </cell>
          <cell r="H570" t="str">
            <v>כן</v>
          </cell>
          <cell r="I570" t="str">
            <v>כן</v>
          </cell>
          <cell r="J570" t="str">
            <v>כן</v>
          </cell>
          <cell r="K570">
            <v>106</v>
          </cell>
          <cell r="L570">
            <v>106</v>
          </cell>
        </row>
        <row r="571">
          <cell r="D571">
            <v>618041</v>
          </cell>
          <cell r="E571" t="str">
            <v>רשות</v>
          </cell>
          <cell r="F571" t="str">
            <v>חמד אבו רביעה</v>
          </cell>
          <cell r="G571" t="str">
            <v>יסודי בלבד</v>
          </cell>
          <cell r="H571" t="str">
            <v>כן</v>
          </cell>
          <cell r="I571" t="str">
            <v>כן</v>
          </cell>
          <cell r="J571" t="str">
            <v>כן</v>
          </cell>
          <cell r="K571">
            <v>270</v>
          </cell>
          <cell r="L571">
            <v>270</v>
          </cell>
        </row>
        <row r="572">
          <cell r="D572">
            <v>610188</v>
          </cell>
          <cell r="E572" t="str">
            <v>רשות</v>
          </cell>
          <cell r="F572" t="str">
            <v>סיני</v>
          </cell>
          <cell r="G572" t="str">
            <v>יסודי בלבד</v>
          </cell>
          <cell r="H572" t="str">
            <v>כן</v>
          </cell>
          <cell r="I572" t="str">
            <v>כן</v>
          </cell>
          <cell r="J572" t="str">
            <v>כן</v>
          </cell>
          <cell r="K572">
            <v>208</v>
          </cell>
          <cell r="L572">
            <v>105</v>
          </cell>
        </row>
        <row r="573">
          <cell r="D573">
            <v>210906</v>
          </cell>
          <cell r="E573" t="str">
            <v>רשות</v>
          </cell>
          <cell r="F573" t="str">
            <v>הדסים-יקנעם עלית</v>
          </cell>
          <cell r="G573" t="str">
            <v>יסודי בלבד</v>
          </cell>
          <cell r="H573" t="str">
            <v>כן</v>
          </cell>
          <cell r="I573" t="str">
            <v>כן</v>
          </cell>
          <cell r="J573" t="str">
            <v>כן</v>
          </cell>
          <cell r="K573">
            <v>134</v>
          </cell>
          <cell r="L573">
            <v>60</v>
          </cell>
        </row>
        <row r="574">
          <cell r="D574">
            <v>384396</v>
          </cell>
          <cell r="E574" t="str">
            <v>רשות</v>
          </cell>
          <cell r="F574" t="str">
            <v>אדוות גיא</v>
          </cell>
          <cell r="G574" t="str">
            <v>יסודי בלבד</v>
          </cell>
          <cell r="H574" t="str">
            <v>כן</v>
          </cell>
          <cell r="I574" t="str">
            <v>כן</v>
          </cell>
          <cell r="J574" t="str">
            <v>כן</v>
          </cell>
          <cell r="K574">
            <v>101</v>
          </cell>
          <cell r="L574">
            <v>46</v>
          </cell>
        </row>
        <row r="575">
          <cell r="D575">
            <v>482588</v>
          </cell>
          <cell r="E575" t="str">
            <v/>
          </cell>
          <cell r="F575" t="str">
            <v>בראשית</v>
          </cell>
          <cell r="G575" t="str">
            <v>יסודי בלבד</v>
          </cell>
          <cell r="H575" t="str">
            <v>כן</v>
          </cell>
          <cell r="I575" t="str">
            <v>כן</v>
          </cell>
          <cell r="J575" t="str">
            <v>כן</v>
          </cell>
          <cell r="K575">
            <v>266</v>
          </cell>
          <cell r="L575">
            <v>68</v>
          </cell>
        </row>
        <row r="576">
          <cell r="D576">
            <v>645218</v>
          </cell>
          <cell r="E576" t="str">
            <v>רשות</v>
          </cell>
          <cell r="F576" t="str">
            <v>תורני חדש - בנות</v>
          </cell>
          <cell r="G576" t="str">
            <v>יסודי בלבד</v>
          </cell>
          <cell r="H576" t="str">
            <v>כן</v>
          </cell>
          <cell r="I576" t="str">
            <v>כן</v>
          </cell>
          <cell r="J576" t="str">
            <v>לא</v>
          </cell>
          <cell r="K576">
            <v>141</v>
          </cell>
          <cell r="L576">
            <v>141</v>
          </cell>
        </row>
        <row r="577">
          <cell r="D577">
            <v>682419</v>
          </cell>
          <cell r="E577" t="str">
            <v>רשות</v>
          </cell>
          <cell r="F577" t="str">
            <v>חפץ חיים</v>
          </cell>
          <cell r="G577" t="str">
            <v>יסודי בלבד</v>
          </cell>
          <cell r="H577" t="str">
            <v>כן</v>
          </cell>
          <cell r="I577" t="str">
            <v>כן</v>
          </cell>
          <cell r="J577" t="str">
            <v>כן</v>
          </cell>
          <cell r="K577">
            <v>28</v>
          </cell>
          <cell r="L577">
            <v>28</v>
          </cell>
        </row>
        <row r="578">
          <cell r="D578">
            <v>114074</v>
          </cell>
          <cell r="E578" t="str">
            <v>רשות</v>
          </cell>
          <cell r="F578" t="str">
            <v>פסגת זאב מזרח א</v>
          </cell>
          <cell r="G578" t="str">
            <v>יסודי בלבד</v>
          </cell>
          <cell r="H578" t="str">
            <v>כן</v>
          </cell>
          <cell r="I578" t="str">
            <v>כן</v>
          </cell>
          <cell r="J578" t="str">
            <v>כן</v>
          </cell>
          <cell r="K578">
            <v>78</v>
          </cell>
          <cell r="L578">
            <v>42</v>
          </cell>
        </row>
        <row r="579">
          <cell r="D579">
            <v>237743</v>
          </cell>
          <cell r="E579" t="str">
            <v>רשות</v>
          </cell>
          <cell r="F579" t="str">
            <v>אור לציון</v>
          </cell>
          <cell r="G579" t="str">
            <v>יסודי בלבד</v>
          </cell>
          <cell r="H579" t="str">
            <v>כן</v>
          </cell>
          <cell r="I579" t="str">
            <v>כן</v>
          </cell>
          <cell r="J579" t="str">
            <v>כן</v>
          </cell>
          <cell r="K579">
            <v>80</v>
          </cell>
          <cell r="L579">
            <v>44</v>
          </cell>
        </row>
        <row r="580">
          <cell r="D580">
            <v>113563</v>
          </cell>
          <cell r="E580" t="str">
            <v>רשות</v>
          </cell>
          <cell r="F580" t="str">
            <v>נועם בנים רמות</v>
          </cell>
          <cell r="G580" t="str">
            <v>יסודי בלבד</v>
          </cell>
          <cell r="H580" t="str">
            <v>כן</v>
          </cell>
          <cell r="I580" t="str">
            <v>כן</v>
          </cell>
          <cell r="J580" t="str">
            <v>כן</v>
          </cell>
          <cell r="K580">
            <v>127</v>
          </cell>
          <cell r="L580">
            <v>73</v>
          </cell>
        </row>
        <row r="581">
          <cell r="D581">
            <v>310375</v>
          </cell>
          <cell r="E581" t="str">
            <v>רשות</v>
          </cell>
          <cell r="F581" t="str">
            <v>אחוזה</v>
          </cell>
          <cell r="G581" t="str">
            <v>יסודי בלבד</v>
          </cell>
          <cell r="H581" t="str">
            <v>כן</v>
          </cell>
          <cell r="I581" t="str">
            <v>כן</v>
          </cell>
          <cell r="J581" t="str">
            <v>כן</v>
          </cell>
          <cell r="K581">
            <v>228</v>
          </cell>
          <cell r="L581">
            <v>88</v>
          </cell>
        </row>
        <row r="582">
          <cell r="D582">
            <v>511576</v>
          </cell>
          <cell r="E582" t="str">
            <v>רשות</v>
          </cell>
          <cell r="F582" t="str">
            <v>מגן</v>
          </cell>
          <cell r="G582" t="str">
            <v>יסודי בלבד</v>
          </cell>
          <cell r="H582" t="str">
            <v>כן</v>
          </cell>
          <cell r="I582" t="str">
            <v>כן</v>
          </cell>
          <cell r="J582" t="str">
            <v>לא</v>
          </cell>
          <cell r="K582">
            <v>165</v>
          </cell>
          <cell r="L582">
            <v>100</v>
          </cell>
        </row>
        <row r="583">
          <cell r="D583">
            <v>210708</v>
          </cell>
          <cell r="E583" t="str">
            <v>רשות</v>
          </cell>
          <cell r="F583" t="str">
            <v>כינר</v>
          </cell>
          <cell r="G583" t="str">
            <v>יסודי בלבד</v>
          </cell>
          <cell r="H583" t="str">
            <v>כן</v>
          </cell>
          <cell r="I583" t="str">
            <v>כן</v>
          </cell>
          <cell r="J583" t="str">
            <v>כן</v>
          </cell>
          <cell r="K583">
            <v>129</v>
          </cell>
          <cell r="L583">
            <v>75</v>
          </cell>
        </row>
        <row r="584">
          <cell r="D584">
            <v>418038</v>
          </cell>
          <cell r="E584" t="str">
            <v>רשות</v>
          </cell>
          <cell r="F584" t="str">
            <v>אל ג'ואריש</v>
          </cell>
          <cell r="G584" t="str">
            <v>יסודי בלבד</v>
          </cell>
          <cell r="H584" t="str">
            <v>כן</v>
          </cell>
          <cell r="I584" t="str">
            <v>כן</v>
          </cell>
          <cell r="J584" t="str">
            <v>כן</v>
          </cell>
          <cell r="K584">
            <v>232</v>
          </cell>
          <cell r="L584">
            <v>222</v>
          </cell>
        </row>
        <row r="585">
          <cell r="D585">
            <v>630228</v>
          </cell>
          <cell r="E585" t="str">
            <v>רשות</v>
          </cell>
          <cell r="F585" t="str">
            <v>חב"ד טבריה</v>
          </cell>
          <cell r="G585" t="str">
            <v>יסודי בלבד</v>
          </cell>
          <cell r="H585" t="str">
            <v>כן</v>
          </cell>
          <cell r="I585" t="str">
            <v>כן</v>
          </cell>
          <cell r="J585" t="str">
            <v>כן</v>
          </cell>
          <cell r="K585">
            <v>53</v>
          </cell>
          <cell r="L585">
            <v>53</v>
          </cell>
        </row>
        <row r="586">
          <cell r="D586">
            <v>618348</v>
          </cell>
          <cell r="E586" t="str">
            <v/>
          </cell>
          <cell r="F586" t="str">
            <v>אל-אח'א</v>
          </cell>
          <cell r="G586" t="str">
            <v>יסודי בלבד</v>
          </cell>
          <cell r="H586" t="str">
            <v>לא</v>
          </cell>
          <cell r="I586" t="str">
            <v>לא</v>
          </cell>
          <cell r="J586" t="str">
            <v>לא</v>
          </cell>
          <cell r="K586">
            <v>0</v>
          </cell>
          <cell r="L586">
            <v>0</v>
          </cell>
        </row>
        <row r="587">
          <cell r="D587">
            <v>610501</v>
          </cell>
          <cell r="E587" t="str">
            <v>רשות</v>
          </cell>
          <cell r="F587" t="str">
            <v>יסודי רמת כרמים</v>
          </cell>
          <cell r="G587" t="str">
            <v>יסודי בלבד</v>
          </cell>
          <cell r="H587" t="str">
            <v>כן</v>
          </cell>
          <cell r="I587" t="str">
            <v>כן</v>
          </cell>
          <cell r="J587" t="str">
            <v>כן</v>
          </cell>
          <cell r="K587">
            <v>332</v>
          </cell>
          <cell r="L587">
            <v>86</v>
          </cell>
        </row>
        <row r="588">
          <cell r="D588">
            <v>312637</v>
          </cell>
          <cell r="E588" t="str">
            <v>רשות</v>
          </cell>
          <cell r="F588" t="str">
            <v>יסודי בגבעת רם</v>
          </cell>
          <cell r="G588" t="str">
            <v>יסודי בלבד</v>
          </cell>
          <cell r="H588" t="str">
            <v>כן</v>
          </cell>
          <cell r="I588" t="str">
            <v>כן</v>
          </cell>
          <cell r="J588" t="str">
            <v>לא</v>
          </cell>
          <cell r="K588">
            <v>105</v>
          </cell>
          <cell r="L588">
            <v>43</v>
          </cell>
        </row>
        <row r="589">
          <cell r="D589">
            <v>416131</v>
          </cell>
          <cell r="E589" t="str">
            <v>רשות</v>
          </cell>
          <cell r="F589" t="str">
            <v>בי"ס חב"ד לבנות</v>
          </cell>
          <cell r="G589" t="str">
            <v>יסודי בלבד</v>
          </cell>
          <cell r="H589" t="str">
            <v>כן</v>
          </cell>
          <cell r="I589" t="str">
            <v>כן</v>
          </cell>
          <cell r="J589" t="str">
            <v>כן</v>
          </cell>
          <cell r="K589">
            <v>113</v>
          </cell>
          <cell r="L589">
            <v>72</v>
          </cell>
        </row>
        <row r="590">
          <cell r="D590">
            <v>312736</v>
          </cell>
          <cell r="E590" t="str">
            <v>רשות</v>
          </cell>
          <cell r="F590" t="str">
            <v>יסודי ע"ש תמרי</v>
          </cell>
          <cell r="G590" t="str">
            <v>יסודי בלבד</v>
          </cell>
          <cell r="H590" t="str">
            <v>כן</v>
          </cell>
          <cell r="I590" t="str">
            <v>כן</v>
          </cell>
          <cell r="J590" t="str">
            <v>כן</v>
          </cell>
          <cell r="K590">
            <v>167</v>
          </cell>
          <cell r="L590">
            <v>85</v>
          </cell>
        </row>
        <row r="591">
          <cell r="D591">
            <v>681635</v>
          </cell>
          <cell r="E591" t="str">
            <v>רשות</v>
          </cell>
          <cell r="F591" t="str">
            <v>תפארת יוחנן</v>
          </cell>
          <cell r="G591" t="str">
            <v>יסודי בלבד</v>
          </cell>
          <cell r="H591" t="str">
            <v>כן</v>
          </cell>
          <cell r="I591" t="str">
            <v>כן</v>
          </cell>
          <cell r="J591" t="str">
            <v>כן</v>
          </cell>
          <cell r="K591">
            <v>123</v>
          </cell>
          <cell r="L591">
            <v>123</v>
          </cell>
        </row>
        <row r="592">
          <cell r="D592">
            <v>112342</v>
          </cell>
          <cell r="E592" t="str">
            <v>רשות</v>
          </cell>
          <cell r="F592" t="str">
            <v>קהילתי השלום</v>
          </cell>
          <cell r="G592" t="str">
            <v>יסודי בלבד</v>
          </cell>
          <cell r="H592" t="str">
            <v>כן</v>
          </cell>
          <cell r="I592" t="str">
            <v>כן</v>
          </cell>
          <cell r="J592" t="str">
            <v>כן</v>
          </cell>
          <cell r="K592">
            <v>249</v>
          </cell>
          <cell r="L592">
            <v>77</v>
          </cell>
        </row>
        <row r="593">
          <cell r="D593">
            <v>416578</v>
          </cell>
          <cell r="E593" t="str">
            <v>רשות</v>
          </cell>
          <cell r="F593" t="str">
            <v>רמון</v>
          </cell>
          <cell r="G593" t="str">
            <v>יסודי בלבד</v>
          </cell>
          <cell r="H593" t="str">
            <v>כן</v>
          </cell>
          <cell r="I593" t="str">
            <v>כן</v>
          </cell>
          <cell r="J593" t="str">
            <v>כן</v>
          </cell>
          <cell r="K593">
            <v>361</v>
          </cell>
          <cell r="L593">
            <v>75</v>
          </cell>
        </row>
        <row r="594">
          <cell r="D594">
            <v>515494</v>
          </cell>
          <cell r="E594" t="str">
            <v>רשות</v>
          </cell>
          <cell r="F594" t="str">
            <v>אביגדור ורשה</v>
          </cell>
          <cell r="G594" t="str">
            <v>יסודי בלבד</v>
          </cell>
          <cell r="H594" t="str">
            <v>כן</v>
          </cell>
          <cell r="I594" t="str">
            <v>כן</v>
          </cell>
          <cell r="J594" t="str">
            <v>כן</v>
          </cell>
          <cell r="K594">
            <v>254</v>
          </cell>
          <cell r="L594">
            <v>91</v>
          </cell>
        </row>
        <row r="595">
          <cell r="D595">
            <v>413294</v>
          </cell>
          <cell r="E595" t="str">
            <v>רשות</v>
          </cell>
          <cell r="F595" t="str">
            <v>עין הקורא</v>
          </cell>
          <cell r="G595" t="str">
            <v>יסודי בלבד</v>
          </cell>
          <cell r="H595" t="str">
            <v>כן</v>
          </cell>
          <cell r="I595" t="str">
            <v>כן</v>
          </cell>
          <cell r="J595" t="str">
            <v>כן</v>
          </cell>
          <cell r="K595">
            <v>293</v>
          </cell>
          <cell r="L595">
            <v>79</v>
          </cell>
        </row>
        <row r="596">
          <cell r="D596">
            <v>317032</v>
          </cell>
          <cell r="E596" t="str">
            <v>רשות</v>
          </cell>
          <cell r="F596" t="str">
            <v>אלואדי</v>
          </cell>
          <cell r="G596" t="str">
            <v>יסודי בלבד</v>
          </cell>
          <cell r="H596" t="str">
            <v>כן</v>
          </cell>
          <cell r="I596" t="str">
            <v>כן</v>
          </cell>
          <cell r="J596" t="str">
            <v>כן</v>
          </cell>
          <cell r="K596">
            <v>251</v>
          </cell>
          <cell r="L596">
            <v>117</v>
          </cell>
        </row>
        <row r="597">
          <cell r="D597">
            <v>511626</v>
          </cell>
          <cell r="E597" t="str">
            <v>רשות</v>
          </cell>
          <cell r="F597" t="str">
            <v>ת"ת בית רבן</v>
          </cell>
          <cell r="G597" t="str">
            <v>יסודי בלבד</v>
          </cell>
          <cell r="H597" t="str">
            <v>כן</v>
          </cell>
          <cell r="I597" t="str">
            <v>כן</v>
          </cell>
          <cell r="J597" t="str">
            <v>כן</v>
          </cell>
          <cell r="K597">
            <v>121</v>
          </cell>
          <cell r="L597">
            <v>121</v>
          </cell>
        </row>
        <row r="598">
          <cell r="D598">
            <v>611137</v>
          </cell>
          <cell r="E598" t="str">
            <v>רשות</v>
          </cell>
          <cell r="F598" t="str">
            <v>ת"ת אור מנחם</v>
          </cell>
          <cell r="G598" t="str">
            <v>יסודי בלבד</v>
          </cell>
          <cell r="H598" t="str">
            <v>כן</v>
          </cell>
          <cell r="I598" t="str">
            <v>כן</v>
          </cell>
          <cell r="J598" t="str">
            <v>כן</v>
          </cell>
          <cell r="K598">
            <v>48</v>
          </cell>
          <cell r="L598">
            <v>48</v>
          </cell>
        </row>
        <row r="599">
          <cell r="D599">
            <v>312322</v>
          </cell>
          <cell r="E599" t="str">
            <v>רשות</v>
          </cell>
          <cell r="F599" t="str">
            <v>הנסיוני</v>
          </cell>
          <cell r="G599" t="str">
            <v>יסודי בלבד</v>
          </cell>
          <cell r="H599" t="str">
            <v>כן</v>
          </cell>
          <cell r="I599" t="str">
            <v>כן</v>
          </cell>
          <cell r="J599" t="str">
            <v>כן</v>
          </cell>
          <cell r="K599">
            <v>151</v>
          </cell>
          <cell r="L599">
            <v>65</v>
          </cell>
        </row>
        <row r="600">
          <cell r="D600">
            <v>142406</v>
          </cell>
          <cell r="E600" t="str">
            <v>רשות</v>
          </cell>
          <cell r="F600" t="str">
            <v>דתי מיצד</v>
          </cell>
          <cell r="G600" t="str">
            <v>יסודי בלבד</v>
          </cell>
          <cell r="H600" t="str">
            <v>כן</v>
          </cell>
          <cell r="I600" t="str">
            <v>כן</v>
          </cell>
          <cell r="J600" t="str">
            <v>כן</v>
          </cell>
          <cell r="K600">
            <v>32</v>
          </cell>
          <cell r="L600">
            <v>32</v>
          </cell>
        </row>
        <row r="601">
          <cell r="D601">
            <v>514539</v>
          </cell>
          <cell r="E601" t="str">
            <v>רשות</v>
          </cell>
          <cell r="F601" t="str">
            <v>רונה רמון</v>
          </cell>
          <cell r="G601" t="str">
            <v>יסודי בלבד</v>
          </cell>
          <cell r="H601" t="str">
            <v>כן</v>
          </cell>
          <cell r="I601" t="str">
            <v>כן</v>
          </cell>
          <cell r="J601" t="str">
            <v>כן</v>
          </cell>
          <cell r="K601">
            <v>84</v>
          </cell>
          <cell r="L601">
            <v>44</v>
          </cell>
        </row>
        <row r="602">
          <cell r="D602">
            <v>218412</v>
          </cell>
          <cell r="E602" t="str">
            <v>רשות</v>
          </cell>
          <cell r="F602" t="str">
            <v>כפר כנא א</v>
          </cell>
          <cell r="G602" t="str">
            <v>יסודי בלבד</v>
          </cell>
          <cell r="H602" t="str">
            <v>כן</v>
          </cell>
          <cell r="I602" t="str">
            <v>כן</v>
          </cell>
          <cell r="J602" t="str">
            <v>כן</v>
          </cell>
          <cell r="K602">
            <v>205</v>
          </cell>
          <cell r="L602">
            <v>197</v>
          </cell>
        </row>
        <row r="603">
          <cell r="D603">
            <v>414540</v>
          </cell>
          <cell r="E603" t="str">
            <v>רשות</v>
          </cell>
          <cell r="F603" t="str">
            <v>ממ' רימון - ג.שומרון</v>
          </cell>
          <cell r="G603" t="str">
            <v>יסודי בלבד</v>
          </cell>
          <cell r="H603" t="str">
            <v>כן</v>
          </cell>
          <cell r="I603" t="str">
            <v>כן</v>
          </cell>
          <cell r="J603" t="str">
            <v>כן</v>
          </cell>
          <cell r="K603">
            <v>70</v>
          </cell>
          <cell r="L603">
            <v>70</v>
          </cell>
        </row>
        <row r="604">
          <cell r="D604">
            <v>411629</v>
          </cell>
          <cell r="E604" t="str">
            <v>רשות</v>
          </cell>
          <cell r="F604" t="str">
            <v>בית ספר לטבע ומדעים</v>
          </cell>
          <cell r="G604" t="str">
            <v>יסודי בלבד</v>
          </cell>
          <cell r="H604" t="str">
            <v>כן</v>
          </cell>
          <cell r="I604" t="str">
            <v>כן</v>
          </cell>
          <cell r="J604" t="str">
            <v>כן</v>
          </cell>
          <cell r="K604">
            <v>94</v>
          </cell>
          <cell r="L604">
            <v>48</v>
          </cell>
        </row>
        <row r="605">
          <cell r="D605">
            <v>448357</v>
          </cell>
          <cell r="E605" t="str">
            <v>רשות</v>
          </cell>
          <cell r="F605" t="str">
            <v>תלמוד תורה גולני</v>
          </cell>
          <cell r="G605" t="str">
            <v>יסודי בלבד</v>
          </cell>
          <cell r="H605" t="str">
            <v>כן</v>
          </cell>
          <cell r="I605" t="str">
            <v>כן</v>
          </cell>
          <cell r="J605" t="str">
            <v>כן</v>
          </cell>
          <cell r="K605">
            <v>71</v>
          </cell>
          <cell r="L605">
            <v>48</v>
          </cell>
        </row>
        <row r="606">
          <cell r="D606">
            <v>410332</v>
          </cell>
          <cell r="E606" t="str">
            <v>רשות</v>
          </cell>
          <cell r="F606" t="str">
            <v>ממ"ד יובלים</v>
          </cell>
          <cell r="G606" t="str">
            <v>יסודי בלבד</v>
          </cell>
          <cell r="H606" t="str">
            <v>כן</v>
          </cell>
          <cell r="I606" t="str">
            <v>כן</v>
          </cell>
          <cell r="J606" t="str">
            <v>כן</v>
          </cell>
          <cell r="K606">
            <v>186</v>
          </cell>
          <cell r="L606">
            <v>78</v>
          </cell>
        </row>
        <row r="607">
          <cell r="D607">
            <v>213223</v>
          </cell>
          <cell r="E607" t="str">
            <v>רשות</v>
          </cell>
          <cell r="F607" t="str">
            <v>איילים -טבריה</v>
          </cell>
          <cell r="G607" t="str">
            <v>יסודי בלבד</v>
          </cell>
          <cell r="H607" t="str">
            <v>כן</v>
          </cell>
          <cell r="I607" t="str">
            <v>כן</v>
          </cell>
          <cell r="J607" t="str">
            <v>כן</v>
          </cell>
          <cell r="K607">
            <v>50</v>
          </cell>
          <cell r="L607">
            <v>50</v>
          </cell>
        </row>
        <row r="608">
          <cell r="D608">
            <v>581504</v>
          </cell>
          <cell r="E608" t="str">
            <v>רשות</v>
          </cell>
          <cell r="F608" t="str">
            <v>עירוני חרדי</v>
          </cell>
          <cell r="G608" t="str">
            <v>יסודי בלבד</v>
          </cell>
          <cell r="H608" t="str">
            <v>כן</v>
          </cell>
          <cell r="I608" t="str">
            <v>לא</v>
          </cell>
          <cell r="J608" t="str">
            <v>לא</v>
          </cell>
          <cell r="K608">
            <v>38</v>
          </cell>
          <cell r="L608">
            <v>38</v>
          </cell>
        </row>
        <row r="609">
          <cell r="D609">
            <v>681577</v>
          </cell>
          <cell r="E609" t="str">
            <v>רשות</v>
          </cell>
          <cell r="F609" t="str">
            <v>בית ברכה</v>
          </cell>
          <cell r="G609" t="str">
            <v>יסודי בלבד</v>
          </cell>
          <cell r="H609" t="str">
            <v>כן</v>
          </cell>
          <cell r="I609" t="str">
            <v>כן</v>
          </cell>
          <cell r="J609" t="str">
            <v>כן</v>
          </cell>
          <cell r="K609">
            <v>108</v>
          </cell>
          <cell r="L609">
            <v>108</v>
          </cell>
        </row>
        <row r="610">
          <cell r="D610">
            <v>312124</v>
          </cell>
          <cell r="E610" t="str">
            <v>רשות</v>
          </cell>
          <cell r="F610" t="str">
            <v>נועם</v>
          </cell>
          <cell r="G610" t="str">
            <v>יסודי בלבד</v>
          </cell>
          <cell r="H610" t="str">
            <v>כן</v>
          </cell>
          <cell r="I610" t="str">
            <v>כן</v>
          </cell>
          <cell r="J610" t="str">
            <v>כן</v>
          </cell>
          <cell r="K610">
            <v>269</v>
          </cell>
          <cell r="L610">
            <v>120</v>
          </cell>
        </row>
        <row r="611">
          <cell r="D611">
            <v>211813</v>
          </cell>
          <cell r="E611" t="str">
            <v>רשות</v>
          </cell>
          <cell r="F611" t="str">
            <v>התומר -עכו</v>
          </cell>
          <cell r="G611" t="str">
            <v>יסודי בלבד</v>
          </cell>
          <cell r="H611" t="str">
            <v>כן</v>
          </cell>
          <cell r="I611" t="str">
            <v>כן</v>
          </cell>
          <cell r="J611" t="str">
            <v>כן</v>
          </cell>
          <cell r="K611">
            <v>73</v>
          </cell>
          <cell r="L611">
            <v>42</v>
          </cell>
        </row>
        <row r="612">
          <cell r="D612">
            <v>416040</v>
          </cell>
          <cell r="E612" t="str">
            <v>רשות</v>
          </cell>
          <cell r="F612" t="str">
            <v>גני יער</v>
          </cell>
          <cell r="G612" t="str">
            <v>יסודי בלבד</v>
          </cell>
          <cell r="H612" t="str">
            <v>כן</v>
          </cell>
          <cell r="I612" t="str">
            <v>כן</v>
          </cell>
          <cell r="J612" t="str">
            <v>כן</v>
          </cell>
          <cell r="K612">
            <v>132</v>
          </cell>
          <cell r="L612">
            <v>132</v>
          </cell>
        </row>
        <row r="613">
          <cell r="D613">
            <v>213892</v>
          </cell>
          <cell r="E613" t="str">
            <v>רשות</v>
          </cell>
          <cell r="F613" t="str">
            <v>האיריסים-כרמיאל</v>
          </cell>
          <cell r="G613" t="str">
            <v>יסודי בלבד</v>
          </cell>
          <cell r="H613" t="str">
            <v>כן</v>
          </cell>
          <cell r="I613" t="str">
            <v>כן</v>
          </cell>
          <cell r="J613" t="str">
            <v>כן</v>
          </cell>
          <cell r="K613">
            <v>255</v>
          </cell>
          <cell r="L613">
            <v>116</v>
          </cell>
        </row>
        <row r="614">
          <cell r="D614">
            <v>615336</v>
          </cell>
          <cell r="E614" t="str">
            <v>רשות</v>
          </cell>
          <cell r="F614" t="str">
            <v>ע"ש חג' סלמאן אלעתאיקה</v>
          </cell>
          <cell r="G614" t="str">
            <v>יסודי בלבד</v>
          </cell>
          <cell r="H614" t="str">
            <v>כן</v>
          </cell>
          <cell r="I614" t="str">
            <v>כן</v>
          </cell>
          <cell r="J614" t="str">
            <v>כן</v>
          </cell>
          <cell r="K614">
            <v>287</v>
          </cell>
          <cell r="L614">
            <v>270</v>
          </cell>
        </row>
        <row r="615">
          <cell r="D615">
            <v>211193</v>
          </cell>
          <cell r="E615" t="str">
            <v>רשות</v>
          </cell>
          <cell r="F615" t="str">
            <v>הארי ממד מגדל העמק</v>
          </cell>
          <cell r="G615" t="str">
            <v>יסודי בלבד</v>
          </cell>
          <cell r="H615" t="str">
            <v>כן</v>
          </cell>
          <cell r="I615" t="str">
            <v>כן</v>
          </cell>
          <cell r="J615" t="str">
            <v>כן</v>
          </cell>
          <cell r="K615">
            <v>102</v>
          </cell>
          <cell r="L615">
            <v>66</v>
          </cell>
        </row>
        <row r="616">
          <cell r="D616">
            <v>530030</v>
          </cell>
          <cell r="E616" t="str">
            <v>רשות</v>
          </cell>
          <cell r="F616" t="str">
            <v>מקור חכמה</v>
          </cell>
          <cell r="G616" t="str">
            <v>יסודי בלבד</v>
          </cell>
          <cell r="H616" t="str">
            <v>כן</v>
          </cell>
          <cell r="I616" t="str">
            <v>כן</v>
          </cell>
          <cell r="J616" t="str">
            <v>כן</v>
          </cell>
          <cell r="K616">
            <v>33</v>
          </cell>
          <cell r="L616">
            <v>33</v>
          </cell>
        </row>
        <row r="617">
          <cell r="D617">
            <v>482711</v>
          </cell>
          <cell r="E617" t="str">
            <v>רשות</v>
          </cell>
          <cell r="F617" t="str">
            <v>שורשים</v>
          </cell>
          <cell r="G617" t="str">
            <v>יסודי בלבד</v>
          </cell>
          <cell r="H617" t="str">
            <v>כן</v>
          </cell>
          <cell r="I617" t="str">
            <v>כן</v>
          </cell>
          <cell r="J617" t="str">
            <v>לא</v>
          </cell>
          <cell r="K617">
            <v>53</v>
          </cell>
          <cell r="L617">
            <v>53</v>
          </cell>
        </row>
        <row r="618">
          <cell r="D618">
            <v>312710</v>
          </cell>
          <cell r="E618" t="str">
            <v>רשות</v>
          </cell>
          <cell r="F618" t="str">
            <v>החורש</v>
          </cell>
          <cell r="G618" t="str">
            <v>יסודי בלבד</v>
          </cell>
          <cell r="H618" t="str">
            <v>כן</v>
          </cell>
          <cell r="I618" t="str">
            <v>כן</v>
          </cell>
          <cell r="J618" t="str">
            <v>כן</v>
          </cell>
          <cell r="K618">
            <v>211</v>
          </cell>
          <cell r="L618">
            <v>45</v>
          </cell>
        </row>
        <row r="619">
          <cell r="D619">
            <v>618231</v>
          </cell>
          <cell r="E619" t="str">
            <v>רשות</v>
          </cell>
          <cell r="F619" t="str">
            <v>אבן-ח'לדון</v>
          </cell>
          <cell r="G619" t="str">
            <v>יסודי בלבד</v>
          </cell>
          <cell r="H619" t="str">
            <v>כן</v>
          </cell>
          <cell r="I619" t="str">
            <v>כן</v>
          </cell>
          <cell r="J619" t="str">
            <v>כן</v>
          </cell>
          <cell r="K619">
            <v>250</v>
          </cell>
          <cell r="L619">
            <v>105</v>
          </cell>
        </row>
        <row r="620">
          <cell r="D620">
            <v>510214</v>
          </cell>
          <cell r="E620" t="str">
            <v>רשות</v>
          </cell>
          <cell r="F620" t="str">
            <v>ראשונים</v>
          </cell>
          <cell r="G620" t="str">
            <v>יסודי בלבד</v>
          </cell>
          <cell r="H620" t="str">
            <v>כן</v>
          </cell>
          <cell r="I620" t="str">
            <v>כן</v>
          </cell>
          <cell r="J620" t="str">
            <v>כן</v>
          </cell>
          <cell r="K620">
            <v>231</v>
          </cell>
          <cell r="L620">
            <v>128</v>
          </cell>
        </row>
        <row r="621">
          <cell r="D621">
            <v>413989</v>
          </cell>
          <cell r="E621" t="str">
            <v>רשות</v>
          </cell>
          <cell r="F621" t="str">
            <v>ממ"ד בנות נחלת צבי</v>
          </cell>
          <cell r="G621" t="str">
            <v>יסודי בלבד</v>
          </cell>
          <cell r="H621" t="str">
            <v>כן</v>
          </cell>
          <cell r="I621" t="str">
            <v>כן</v>
          </cell>
          <cell r="J621" t="str">
            <v>כן</v>
          </cell>
          <cell r="K621">
            <v>82</v>
          </cell>
          <cell r="L621">
            <v>60</v>
          </cell>
        </row>
        <row r="622">
          <cell r="D622">
            <v>214213</v>
          </cell>
          <cell r="E622" t="str">
            <v>בעלות</v>
          </cell>
          <cell r="F622" t="str">
            <v>ת"ת נר הצפון</v>
          </cell>
          <cell r="G622" t="str">
            <v>יסודי בלבד</v>
          </cell>
          <cell r="H622" t="str">
            <v>כן</v>
          </cell>
          <cell r="I622" t="str">
            <v>כן</v>
          </cell>
          <cell r="J622" t="str">
            <v>כן</v>
          </cell>
          <cell r="K622">
            <v>71</v>
          </cell>
          <cell r="L622">
            <v>54</v>
          </cell>
        </row>
        <row r="623">
          <cell r="D623">
            <v>618546</v>
          </cell>
          <cell r="E623" t="str">
            <v>רשות</v>
          </cell>
          <cell r="F623" t="str">
            <v>אלרואד</v>
          </cell>
          <cell r="G623" t="str">
            <v>יסודי בלבד</v>
          </cell>
          <cell r="H623" t="str">
            <v>כן</v>
          </cell>
          <cell r="I623" t="str">
            <v>כן</v>
          </cell>
          <cell r="J623" t="str">
            <v>כן</v>
          </cell>
          <cell r="K623">
            <v>198</v>
          </cell>
          <cell r="L623">
            <v>92</v>
          </cell>
        </row>
        <row r="624">
          <cell r="D624">
            <v>412015</v>
          </cell>
          <cell r="E624" t="str">
            <v>רשות</v>
          </cell>
          <cell r="F624" t="str">
            <v>עדיני</v>
          </cell>
          <cell r="G624" t="str">
            <v>יסודי בלבד</v>
          </cell>
          <cell r="H624" t="str">
            <v>כן</v>
          </cell>
          <cell r="I624" t="str">
            <v>כן</v>
          </cell>
          <cell r="J624" t="str">
            <v>כן</v>
          </cell>
          <cell r="K624">
            <v>260</v>
          </cell>
          <cell r="L624">
            <v>78</v>
          </cell>
        </row>
        <row r="625">
          <cell r="D625">
            <v>212092</v>
          </cell>
          <cell r="E625" t="str">
            <v>רשות</v>
          </cell>
          <cell r="F625" t="str">
            <v>מצודות-קרית שמונה</v>
          </cell>
          <cell r="G625" t="str">
            <v>יסודי בלבד</v>
          </cell>
          <cell r="H625" t="str">
            <v>כן</v>
          </cell>
          <cell r="I625" t="str">
            <v>כן</v>
          </cell>
          <cell r="J625" t="str">
            <v>כן</v>
          </cell>
          <cell r="K625">
            <v>161</v>
          </cell>
          <cell r="L625">
            <v>50</v>
          </cell>
        </row>
        <row r="626">
          <cell r="D626">
            <v>416438</v>
          </cell>
          <cell r="E626" t="str">
            <v>רשות</v>
          </cell>
          <cell r="F626" t="str">
            <v>אלימלך כנר</v>
          </cell>
          <cell r="G626" t="str">
            <v>יסודי בלבד</v>
          </cell>
          <cell r="H626" t="str">
            <v>כן</v>
          </cell>
          <cell r="I626" t="str">
            <v>כן</v>
          </cell>
          <cell r="J626" t="str">
            <v>לא</v>
          </cell>
          <cell r="K626">
            <v>138</v>
          </cell>
          <cell r="L626">
            <v>99</v>
          </cell>
        </row>
        <row r="627">
          <cell r="D627">
            <v>510859</v>
          </cell>
          <cell r="E627" t="str">
            <v>רשות</v>
          </cell>
          <cell r="F627" t="str">
            <v>בן גוריון</v>
          </cell>
          <cell r="G627" t="str">
            <v>יסודי בלבד</v>
          </cell>
          <cell r="H627" t="str">
            <v>כן</v>
          </cell>
          <cell r="I627" t="str">
            <v>כן</v>
          </cell>
          <cell r="J627" t="str">
            <v>כן</v>
          </cell>
          <cell r="K627">
            <v>151</v>
          </cell>
          <cell r="L627">
            <v>151</v>
          </cell>
        </row>
        <row r="628">
          <cell r="D628">
            <v>312355</v>
          </cell>
          <cell r="E628" t="str">
            <v>רשות</v>
          </cell>
          <cell r="F628" t="str">
            <v>דינור</v>
          </cell>
          <cell r="G628" t="str">
            <v>יסודי בלבד</v>
          </cell>
          <cell r="H628" t="str">
            <v>כן</v>
          </cell>
          <cell r="I628" t="str">
            <v>כן</v>
          </cell>
          <cell r="J628" t="str">
            <v>כן</v>
          </cell>
          <cell r="K628">
            <v>139</v>
          </cell>
          <cell r="L628">
            <v>139</v>
          </cell>
        </row>
        <row r="629">
          <cell r="D629">
            <v>111120</v>
          </cell>
          <cell r="E629" t="str">
            <v>רשות</v>
          </cell>
          <cell r="F629" t="str">
            <v>פסגת זאב צפון</v>
          </cell>
          <cell r="G629" t="str">
            <v>יסודי בלבד</v>
          </cell>
          <cell r="H629" t="str">
            <v>כן</v>
          </cell>
          <cell r="I629" t="str">
            <v>כן</v>
          </cell>
          <cell r="J629" t="str">
            <v>כן</v>
          </cell>
          <cell r="K629">
            <v>128</v>
          </cell>
          <cell r="L629">
            <v>107</v>
          </cell>
        </row>
        <row r="630">
          <cell r="D630">
            <v>611053</v>
          </cell>
          <cell r="E630" t="str">
            <v>רשות</v>
          </cell>
          <cell r="F630" t="str">
            <v>אחוות אחים</v>
          </cell>
          <cell r="G630" t="str">
            <v>יסודי בלבד</v>
          </cell>
          <cell r="H630" t="str">
            <v>כן</v>
          </cell>
          <cell r="I630" t="str">
            <v>כן</v>
          </cell>
          <cell r="J630" t="str">
            <v>כן</v>
          </cell>
          <cell r="K630">
            <v>149</v>
          </cell>
          <cell r="L630">
            <v>65</v>
          </cell>
        </row>
        <row r="631">
          <cell r="D631">
            <v>312520</v>
          </cell>
          <cell r="E631" t="str">
            <v>רשות</v>
          </cell>
          <cell r="F631" t="str">
            <v>נעורים</v>
          </cell>
          <cell r="G631" t="str">
            <v>יסודי בלבד</v>
          </cell>
          <cell r="H631" t="str">
            <v>כן</v>
          </cell>
          <cell r="I631" t="str">
            <v>כן</v>
          </cell>
          <cell r="J631" t="str">
            <v>כן</v>
          </cell>
          <cell r="K631">
            <v>339</v>
          </cell>
          <cell r="L631">
            <v>129</v>
          </cell>
        </row>
        <row r="632">
          <cell r="D632">
            <v>512590</v>
          </cell>
          <cell r="E632" t="str">
            <v>רשות</v>
          </cell>
          <cell r="F632" t="str">
            <v>יגאל אלון</v>
          </cell>
          <cell r="G632" t="str">
            <v>יסודי בלבד</v>
          </cell>
          <cell r="H632" t="str">
            <v>כן</v>
          </cell>
          <cell r="I632" t="str">
            <v>כן</v>
          </cell>
          <cell r="J632" t="str">
            <v>כן</v>
          </cell>
          <cell r="K632">
            <v>306</v>
          </cell>
          <cell r="L632">
            <v>154</v>
          </cell>
        </row>
        <row r="633">
          <cell r="D633">
            <v>212118</v>
          </cell>
          <cell r="E633" t="str">
            <v>רשות</v>
          </cell>
          <cell r="F633" t="str">
            <v>עוזיאל מד-קרית שמונה</v>
          </cell>
          <cell r="G633" t="str">
            <v>יסודי בלבד</v>
          </cell>
          <cell r="H633" t="str">
            <v>כן</v>
          </cell>
          <cell r="I633" t="str">
            <v>כן</v>
          </cell>
          <cell r="J633" t="str">
            <v>כן</v>
          </cell>
          <cell r="K633">
            <v>148</v>
          </cell>
          <cell r="L633">
            <v>121</v>
          </cell>
        </row>
        <row r="634">
          <cell r="D634">
            <v>510636</v>
          </cell>
          <cell r="E634" t="str">
            <v>רשות</v>
          </cell>
          <cell r="F634" t="str">
            <v>ניר</v>
          </cell>
          <cell r="G634" t="str">
            <v>יסודי בלבד</v>
          </cell>
          <cell r="H634" t="str">
            <v>כן</v>
          </cell>
          <cell r="I634" t="str">
            <v>כן</v>
          </cell>
          <cell r="J634" t="str">
            <v>לא</v>
          </cell>
          <cell r="K634">
            <v>216</v>
          </cell>
          <cell r="L634">
            <v>46</v>
          </cell>
        </row>
        <row r="635">
          <cell r="D635">
            <v>614289</v>
          </cell>
          <cell r="E635" t="str">
            <v>רשות</v>
          </cell>
          <cell r="F635" t="str">
            <v>דוד אלעזר</v>
          </cell>
          <cell r="G635" t="str">
            <v>יסודי בלבד</v>
          </cell>
          <cell r="H635" t="str">
            <v>כן</v>
          </cell>
          <cell r="I635" t="str">
            <v>כן</v>
          </cell>
          <cell r="J635" t="str">
            <v>כן</v>
          </cell>
          <cell r="K635">
            <v>218</v>
          </cell>
          <cell r="L635">
            <v>140</v>
          </cell>
        </row>
        <row r="636">
          <cell r="D636">
            <v>618363</v>
          </cell>
          <cell r="E636" t="str">
            <v>רשות</v>
          </cell>
          <cell r="F636" t="str">
            <v>אבו עוביידה</v>
          </cell>
          <cell r="G636" t="str">
            <v>יסודי בלבד</v>
          </cell>
          <cell r="H636" t="str">
            <v>כן</v>
          </cell>
          <cell r="I636" t="str">
            <v>כן</v>
          </cell>
          <cell r="J636" t="str">
            <v>כן</v>
          </cell>
          <cell r="K636">
            <v>244</v>
          </cell>
          <cell r="L636">
            <v>217</v>
          </cell>
        </row>
        <row r="637">
          <cell r="D637">
            <v>131219</v>
          </cell>
          <cell r="E637" t="str">
            <v/>
          </cell>
          <cell r="F637" t="str">
            <v>משמרת מאיר</v>
          </cell>
          <cell r="G637" t="str">
            <v>יסודי בלבד</v>
          </cell>
          <cell r="H637" t="str">
            <v>כן</v>
          </cell>
          <cell r="I637" t="str">
            <v>כן</v>
          </cell>
          <cell r="J637" t="str">
            <v>כן</v>
          </cell>
          <cell r="K637">
            <v>148</v>
          </cell>
          <cell r="L637">
            <v>148</v>
          </cell>
        </row>
        <row r="638">
          <cell r="D638">
            <v>481952</v>
          </cell>
          <cell r="E638" t="str">
            <v>רשות</v>
          </cell>
          <cell r="F638" t="str">
            <v>אור האמת - בנות</v>
          </cell>
          <cell r="G638" t="str">
            <v>יסודי בלבד</v>
          </cell>
          <cell r="H638" t="str">
            <v>כן</v>
          </cell>
          <cell r="I638" t="str">
            <v>כן</v>
          </cell>
          <cell r="J638" t="str">
            <v>כן</v>
          </cell>
          <cell r="K638">
            <v>72</v>
          </cell>
          <cell r="L638">
            <v>60</v>
          </cell>
        </row>
        <row r="639">
          <cell r="D639">
            <v>219592</v>
          </cell>
          <cell r="E639" t="str">
            <v>רשות</v>
          </cell>
          <cell r="F639" t="str">
            <v>יאפת נצרת ד</v>
          </cell>
          <cell r="G639" t="str">
            <v>יסודי בלבד</v>
          </cell>
          <cell r="H639" t="str">
            <v>כן</v>
          </cell>
          <cell r="I639" t="str">
            <v>כן</v>
          </cell>
          <cell r="J639" t="str">
            <v>כן</v>
          </cell>
          <cell r="K639">
            <v>159</v>
          </cell>
          <cell r="L639">
            <v>70</v>
          </cell>
        </row>
        <row r="640">
          <cell r="D640">
            <v>416669</v>
          </cell>
          <cell r="E640" t="str">
            <v>רשות</v>
          </cell>
          <cell r="F640" t="str">
            <v>הרצוג</v>
          </cell>
          <cell r="G640" t="str">
            <v>יסודי בלבד</v>
          </cell>
          <cell r="H640" t="str">
            <v>כן</v>
          </cell>
          <cell r="I640" t="str">
            <v>כן</v>
          </cell>
          <cell r="J640" t="str">
            <v>לא</v>
          </cell>
          <cell r="K640">
            <v>222</v>
          </cell>
          <cell r="L640">
            <v>54</v>
          </cell>
        </row>
        <row r="641">
          <cell r="D641">
            <v>614297</v>
          </cell>
          <cell r="E641" t="str">
            <v>בעלות</v>
          </cell>
          <cell r="F641" t="str">
            <v>שושנים לבנות</v>
          </cell>
          <cell r="G641" t="str">
            <v>יסודי בלבד</v>
          </cell>
          <cell r="H641" t="str">
            <v>כן</v>
          </cell>
          <cell r="I641" t="str">
            <v>כן</v>
          </cell>
          <cell r="J641" t="str">
            <v>כן</v>
          </cell>
          <cell r="K641">
            <v>114</v>
          </cell>
          <cell r="L641">
            <v>70</v>
          </cell>
        </row>
        <row r="642">
          <cell r="D642">
            <v>614263</v>
          </cell>
          <cell r="E642" t="str">
            <v>רשות</v>
          </cell>
          <cell r="F642" t="str">
            <v>מנחם בגין</v>
          </cell>
          <cell r="G642" t="str">
            <v>יסודי בלבד</v>
          </cell>
          <cell r="H642" t="str">
            <v>כן</v>
          </cell>
          <cell r="I642" t="str">
            <v>כן</v>
          </cell>
          <cell r="J642" t="str">
            <v>כן</v>
          </cell>
          <cell r="K642">
            <v>338</v>
          </cell>
          <cell r="L642">
            <v>150</v>
          </cell>
        </row>
        <row r="643">
          <cell r="D643">
            <v>510578</v>
          </cell>
          <cell r="E643" t="str">
            <v>רשות</v>
          </cell>
          <cell r="F643" t="str">
            <v>עלומים</v>
          </cell>
          <cell r="G643" t="str">
            <v>יסודי בלבד</v>
          </cell>
          <cell r="H643" t="str">
            <v>כן</v>
          </cell>
          <cell r="I643" t="str">
            <v>כן</v>
          </cell>
          <cell r="J643" t="str">
            <v>כן</v>
          </cell>
          <cell r="K643">
            <v>119</v>
          </cell>
          <cell r="L643">
            <v>60</v>
          </cell>
        </row>
        <row r="644">
          <cell r="D644">
            <v>416446</v>
          </cell>
          <cell r="E644" t="str">
            <v>רשות</v>
          </cell>
          <cell r="F644" t="str">
            <v>ע"ש אהוד מנור</v>
          </cell>
          <cell r="G644" t="str">
            <v>יסודי בלבד</v>
          </cell>
          <cell r="H644" t="str">
            <v>כן</v>
          </cell>
          <cell r="I644" t="str">
            <v>כן</v>
          </cell>
          <cell r="J644" t="str">
            <v>כן</v>
          </cell>
          <cell r="K644">
            <v>345</v>
          </cell>
          <cell r="L644">
            <v>180</v>
          </cell>
        </row>
        <row r="645">
          <cell r="D645">
            <v>655332</v>
          </cell>
          <cell r="E645" t="str">
            <v>רשות</v>
          </cell>
          <cell r="F645" t="str">
            <v>ת"ת אור יאיר</v>
          </cell>
          <cell r="G645" t="str">
            <v>יסודי בלבד</v>
          </cell>
          <cell r="H645" t="str">
            <v>כן</v>
          </cell>
          <cell r="I645" t="str">
            <v>כן</v>
          </cell>
          <cell r="J645" t="str">
            <v>כן</v>
          </cell>
          <cell r="K645">
            <v>74</v>
          </cell>
          <cell r="L645">
            <v>74</v>
          </cell>
        </row>
        <row r="646">
          <cell r="D646">
            <v>211847</v>
          </cell>
          <cell r="E646" t="str">
            <v>רשות</v>
          </cell>
          <cell r="F646" t="str">
            <v>רמבם מד-עכו</v>
          </cell>
          <cell r="G646" t="str">
            <v>יסודי בלבד</v>
          </cell>
          <cell r="H646" t="str">
            <v>כן</v>
          </cell>
          <cell r="I646" t="str">
            <v>כן</v>
          </cell>
          <cell r="J646" t="str">
            <v>כן</v>
          </cell>
          <cell r="K646">
            <v>125</v>
          </cell>
          <cell r="L646">
            <v>70</v>
          </cell>
        </row>
        <row r="647">
          <cell r="D647">
            <v>111831</v>
          </cell>
          <cell r="E647" t="str">
            <v>רשות</v>
          </cell>
          <cell r="F647" t="str">
            <v>פרנקל גבעת שפירא</v>
          </cell>
          <cell r="G647" t="str">
            <v>יסודי בלבד</v>
          </cell>
          <cell r="H647" t="str">
            <v>כן</v>
          </cell>
          <cell r="I647" t="str">
            <v>כן</v>
          </cell>
          <cell r="J647" t="str">
            <v>לא</v>
          </cell>
          <cell r="K647">
            <v>90</v>
          </cell>
          <cell r="L647">
            <v>66</v>
          </cell>
        </row>
        <row r="648">
          <cell r="D648">
            <v>582510</v>
          </cell>
          <cell r="E648" t="str">
            <v>רשות</v>
          </cell>
          <cell r="F648" t="str">
            <v>אתרוג בנות</v>
          </cell>
          <cell r="G648" t="str">
            <v>יסודי בלבד</v>
          </cell>
          <cell r="H648" t="str">
            <v>כן</v>
          </cell>
          <cell r="I648" t="str">
            <v>כן</v>
          </cell>
          <cell r="J648" t="str">
            <v>כן</v>
          </cell>
          <cell r="K648">
            <v>108</v>
          </cell>
          <cell r="L648">
            <v>93</v>
          </cell>
        </row>
        <row r="649">
          <cell r="D649">
            <v>114181</v>
          </cell>
          <cell r="E649" t="str">
            <v>רשות</v>
          </cell>
          <cell r="F649" t="str">
            <v>מגדים</v>
          </cell>
          <cell r="G649" t="str">
            <v>יסודי בלבד</v>
          </cell>
          <cell r="H649" t="str">
            <v>כן</v>
          </cell>
          <cell r="I649" t="str">
            <v>כן</v>
          </cell>
          <cell r="J649" t="str">
            <v>כן</v>
          </cell>
          <cell r="K649">
            <v>125</v>
          </cell>
          <cell r="L649">
            <v>57</v>
          </cell>
        </row>
        <row r="650">
          <cell r="D650">
            <v>312876</v>
          </cell>
          <cell r="E650" t="str">
            <v>בעלות</v>
          </cell>
          <cell r="F650" t="str">
            <v>תהילה</v>
          </cell>
          <cell r="G650" t="str">
            <v>יסודי בלבד</v>
          </cell>
          <cell r="H650" t="str">
            <v>כן</v>
          </cell>
          <cell r="I650" t="str">
            <v>כן</v>
          </cell>
          <cell r="J650" t="str">
            <v>כן</v>
          </cell>
          <cell r="K650">
            <v>122</v>
          </cell>
          <cell r="L650">
            <v>85</v>
          </cell>
        </row>
        <row r="651">
          <cell r="D651">
            <v>510230</v>
          </cell>
          <cell r="E651" t="str">
            <v>רשות</v>
          </cell>
          <cell r="F651" t="str">
            <v>יצחק שדה א</v>
          </cell>
          <cell r="G651" t="str">
            <v>יסודי בלבד</v>
          </cell>
          <cell r="H651" t="str">
            <v>כן</v>
          </cell>
          <cell r="I651" t="str">
            <v>כן</v>
          </cell>
          <cell r="J651" t="str">
            <v>כן</v>
          </cell>
          <cell r="K651">
            <v>312</v>
          </cell>
          <cell r="L651">
            <v>101</v>
          </cell>
        </row>
        <row r="652">
          <cell r="D652">
            <v>646158</v>
          </cell>
          <cell r="E652" t="str">
            <v>רשות</v>
          </cell>
          <cell r="F652" t="str">
            <v>בית חינוך רונסון לטבע וקהילה</v>
          </cell>
          <cell r="G652" t="str">
            <v>יסודי בלבד</v>
          </cell>
          <cell r="H652" t="str">
            <v>כן</v>
          </cell>
          <cell r="I652" t="str">
            <v>כן</v>
          </cell>
          <cell r="J652" t="str">
            <v>לא</v>
          </cell>
          <cell r="K652">
            <v>99</v>
          </cell>
          <cell r="L652">
            <v>53</v>
          </cell>
        </row>
        <row r="653">
          <cell r="D653">
            <v>312108</v>
          </cell>
          <cell r="E653" t="str">
            <v>רשות</v>
          </cell>
          <cell r="F653" t="str">
            <v>אהוד</v>
          </cell>
          <cell r="G653" t="str">
            <v>יסודי בלבד</v>
          </cell>
          <cell r="H653" t="str">
            <v>כן</v>
          </cell>
          <cell r="I653" t="str">
            <v>כן</v>
          </cell>
          <cell r="J653" t="str">
            <v>כן</v>
          </cell>
          <cell r="K653">
            <v>214</v>
          </cell>
          <cell r="L653">
            <v>65</v>
          </cell>
        </row>
        <row r="654">
          <cell r="D654">
            <v>112565</v>
          </cell>
          <cell r="E654" t="str">
            <v>רשות</v>
          </cell>
          <cell r="F654" t="str">
            <v>רמת מוריה</v>
          </cell>
          <cell r="G654" t="str">
            <v>יסודי בלבד</v>
          </cell>
          <cell r="H654" t="str">
            <v>כן</v>
          </cell>
          <cell r="I654" t="str">
            <v>כן</v>
          </cell>
          <cell r="J654" t="str">
            <v>כן</v>
          </cell>
          <cell r="K654">
            <v>130</v>
          </cell>
          <cell r="L654">
            <v>80</v>
          </cell>
        </row>
        <row r="655">
          <cell r="D655">
            <v>214148</v>
          </cell>
          <cell r="E655" t="str">
            <v>בעלות</v>
          </cell>
          <cell r="F655" t="str">
            <v>ת"ת תפארת טבריה</v>
          </cell>
          <cell r="G655" t="str">
            <v>יסודי בלבד</v>
          </cell>
          <cell r="H655" t="str">
            <v>כן</v>
          </cell>
          <cell r="I655" t="str">
            <v>כן</v>
          </cell>
          <cell r="J655" t="str">
            <v>כן</v>
          </cell>
          <cell r="K655">
            <v>146</v>
          </cell>
          <cell r="L655">
            <v>146</v>
          </cell>
        </row>
        <row r="656">
          <cell r="D656">
            <v>457291</v>
          </cell>
          <cell r="E656" t="str">
            <v>רשות</v>
          </cell>
          <cell r="F656" t="str">
            <v>יסודי ממ"ד</v>
          </cell>
          <cell r="G656" t="str">
            <v>יסודי בלבד</v>
          </cell>
          <cell r="H656" t="str">
            <v>כן</v>
          </cell>
          <cell r="I656" t="str">
            <v>כן</v>
          </cell>
          <cell r="J656" t="str">
            <v>לא</v>
          </cell>
          <cell r="K656">
            <v>189</v>
          </cell>
          <cell r="L656">
            <v>118</v>
          </cell>
        </row>
        <row r="657">
          <cell r="D657">
            <v>211490</v>
          </cell>
          <cell r="E657" t="str">
            <v>רשות</v>
          </cell>
          <cell r="F657" t="str">
            <v>ברל כצנלסון נהריה</v>
          </cell>
          <cell r="G657" t="str">
            <v>יסודי בלבד</v>
          </cell>
          <cell r="H657" t="str">
            <v>כן</v>
          </cell>
          <cell r="I657" t="str">
            <v>כן</v>
          </cell>
          <cell r="J657" t="str">
            <v>כן</v>
          </cell>
          <cell r="K657">
            <v>243</v>
          </cell>
          <cell r="L657">
            <v>93</v>
          </cell>
        </row>
        <row r="658">
          <cell r="D658">
            <v>615021</v>
          </cell>
          <cell r="E658" t="str">
            <v>רשות</v>
          </cell>
          <cell r="F658" t="str">
            <v>חב"ד</v>
          </cell>
          <cell r="G658" t="str">
            <v>יסודי בלבד</v>
          </cell>
          <cell r="H658" t="str">
            <v>כן</v>
          </cell>
          <cell r="I658" t="str">
            <v>כן</v>
          </cell>
          <cell r="J658" t="str">
            <v>כן</v>
          </cell>
          <cell r="K658">
            <v>88</v>
          </cell>
          <cell r="L658">
            <v>69</v>
          </cell>
        </row>
        <row r="659">
          <cell r="D659">
            <v>338350</v>
          </cell>
          <cell r="E659" t="str">
            <v>רשות</v>
          </cell>
          <cell r="F659" t="str">
            <v>אומניות ע"ש חיים ואורה הרצוג</v>
          </cell>
          <cell r="G659" t="str">
            <v>יסודי בלבד</v>
          </cell>
          <cell r="H659" t="str">
            <v>כן</v>
          </cell>
          <cell r="I659" t="str">
            <v>כן</v>
          </cell>
          <cell r="J659" t="str">
            <v>כן</v>
          </cell>
          <cell r="K659">
            <v>126</v>
          </cell>
          <cell r="L659">
            <v>48</v>
          </cell>
        </row>
        <row r="660">
          <cell r="D660">
            <v>614933</v>
          </cell>
          <cell r="E660" t="str">
            <v>בעלות</v>
          </cell>
          <cell r="F660" t="str">
            <v>ת"ת בית יוסף</v>
          </cell>
          <cell r="G660" t="str">
            <v>יסודי בלבד</v>
          </cell>
          <cell r="H660" t="str">
            <v>כן</v>
          </cell>
          <cell r="I660" t="str">
            <v>כן</v>
          </cell>
          <cell r="J660" t="str">
            <v>כן</v>
          </cell>
          <cell r="K660">
            <v>81</v>
          </cell>
          <cell r="L660">
            <v>52</v>
          </cell>
        </row>
        <row r="661">
          <cell r="D661">
            <v>610832</v>
          </cell>
          <cell r="E661" t="str">
            <v>בעלות</v>
          </cell>
          <cell r="F661" t="str">
            <v>אורות מרגלית</v>
          </cell>
          <cell r="G661" t="str">
            <v>יסודי בלבד</v>
          </cell>
          <cell r="H661" t="str">
            <v>כן</v>
          </cell>
          <cell r="I661" t="str">
            <v>כן</v>
          </cell>
          <cell r="J661" t="str">
            <v>כן</v>
          </cell>
          <cell r="K661">
            <v>70</v>
          </cell>
          <cell r="L661">
            <v>63</v>
          </cell>
        </row>
        <row r="662">
          <cell r="D662">
            <v>142935</v>
          </cell>
          <cell r="E662" t="str">
            <v/>
          </cell>
          <cell r="F662" t="str">
            <v>אורחות איש</v>
          </cell>
          <cell r="G662" t="str">
            <v>יסודי בלבד</v>
          </cell>
          <cell r="H662" t="str">
            <v>כן</v>
          </cell>
          <cell r="I662" t="str">
            <v>כן</v>
          </cell>
          <cell r="J662" t="str">
            <v>כן</v>
          </cell>
          <cell r="K662">
            <v>198</v>
          </cell>
          <cell r="L662">
            <v>198</v>
          </cell>
        </row>
        <row r="663">
          <cell r="D663">
            <v>416396</v>
          </cell>
          <cell r="E663" t="str">
            <v>רשות</v>
          </cell>
          <cell r="F663" t="str">
            <v>אילן רמון</v>
          </cell>
          <cell r="G663" t="str">
            <v>יסודי בלבד</v>
          </cell>
          <cell r="H663" t="str">
            <v>כן</v>
          </cell>
          <cell r="I663" t="str">
            <v>כן</v>
          </cell>
          <cell r="J663" t="str">
            <v>כן</v>
          </cell>
          <cell r="K663">
            <v>276</v>
          </cell>
          <cell r="L663">
            <v>83</v>
          </cell>
        </row>
        <row r="664">
          <cell r="D664">
            <v>410209</v>
          </cell>
          <cell r="E664" t="str">
            <v>רשות</v>
          </cell>
          <cell r="F664" t="str">
            <v>בית חינוך בית יצחק</v>
          </cell>
          <cell r="G664" t="str">
            <v>יסודי בלבד</v>
          </cell>
          <cell r="H664" t="str">
            <v>כן</v>
          </cell>
          <cell r="I664" t="str">
            <v>כן</v>
          </cell>
          <cell r="J664" t="str">
            <v>כן</v>
          </cell>
          <cell r="K664">
            <v>271</v>
          </cell>
          <cell r="L664">
            <v>53</v>
          </cell>
        </row>
        <row r="665">
          <cell r="D665">
            <v>118356</v>
          </cell>
          <cell r="E665" t="str">
            <v>רשות</v>
          </cell>
          <cell r="F665" t="str">
            <v>סואחרה י</v>
          </cell>
          <cell r="G665" t="str">
            <v>יסודי בלבד</v>
          </cell>
          <cell r="H665" t="str">
            <v>כן</v>
          </cell>
          <cell r="I665" t="str">
            <v>כן</v>
          </cell>
          <cell r="J665" t="str">
            <v>כן</v>
          </cell>
          <cell r="K665">
            <v>197</v>
          </cell>
          <cell r="L665">
            <v>57</v>
          </cell>
        </row>
        <row r="666">
          <cell r="D666">
            <v>241059</v>
          </cell>
          <cell r="E666" t="str">
            <v>רשות</v>
          </cell>
          <cell r="F666" t="str">
            <v>עופרים</v>
          </cell>
          <cell r="G666" t="str">
            <v>יסודי בלבד</v>
          </cell>
          <cell r="H666" t="str">
            <v>כן</v>
          </cell>
          <cell r="I666" t="str">
            <v>כן</v>
          </cell>
          <cell r="J666" t="str">
            <v>לא</v>
          </cell>
          <cell r="K666">
            <v>114</v>
          </cell>
          <cell r="L666">
            <v>99</v>
          </cell>
        </row>
        <row r="667">
          <cell r="D667">
            <v>630038</v>
          </cell>
          <cell r="E667" t="str">
            <v>רשות</v>
          </cell>
          <cell r="F667" t="str">
            <v>כרמי גת</v>
          </cell>
          <cell r="G667" t="str">
            <v>יסודי בלבד</v>
          </cell>
          <cell r="H667" t="str">
            <v>כן</v>
          </cell>
          <cell r="I667" t="str">
            <v>כן</v>
          </cell>
          <cell r="J667" t="str">
            <v>כן</v>
          </cell>
          <cell r="K667">
            <v>341</v>
          </cell>
          <cell r="L667">
            <v>205</v>
          </cell>
        </row>
        <row r="668">
          <cell r="D668">
            <v>131300</v>
          </cell>
          <cell r="E668" t="str">
            <v>רשות</v>
          </cell>
          <cell r="F668" t="str">
            <v>אסיף</v>
          </cell>
          <cell r="G668" t="str">
            <v>יסודי בלבד</v>
          </cell>
          <cell r="H668" t="str">
            <v>כן</v>
          </cell>
          <cell r="I668" t="str">
            <v>כן</v>
          </cell>
          <cell r="J668" t="str">
            <v>כן</v>
          </cell>
          <cell r="K668">
            <v>220</v>
          </cell>
          <cell r="L668">
            <v>52</v>
          </cell>
        </row>
        <row r="669">
          <cell r="D669">
            <v>210690</v>
          </cell>
          <cell r="E669" t="str">
            <v>רשות</v>
          </cell>
          <cell r="F669" t="str">
            <v>ארליך - טבריה</v>
          </cell>
          <cell r="G669" t="str">
            <v>יסודי בלבד</v>
          </cell>
          <cell r="H669" t="str">
            <v>כן</v>
          </cell>
          <cell r="I669" t="str">
            <v>כן</v>
          </cell>
          <cell r="J669" t="str">
            <v>כן</v>
          </cell>
          <cell r="K669">
            <v>128</v>
          </cell>
          <cell r="L669">
            <v>50</v>
          </cell>
        </row>
        <row r="670">
          <cell r="D670">
            <v>218511</v>
          </cell>
          <cell r="E670" t="str">
            <v>רשות</v>
          </cell>
          <cell r="F670" t="str">
            <v>אבן סינא-מכר</v>
          </cell>
          <cell r="G670" t="str">
            <v>יסודי בלבד</v>
          </cell>
          <cell r="H670" t="str">
            <v>כן</v>
          </cell>
          <cell r="I670" t="str">
            <v>כן</v>
          </cell>
          <cell r="J670" t="str">
            <v>כן</v>
          </cell>
          <cell r="K670">
            <v>227</v>
          </cell>
          <cell r="L670">
            <v>120</v>
          </cell>
        </row>
        <row r="671">
          <cell r="D671">
            <v>511030</v>
          </cell>
          <cell r="E671" t="str">
            <v>רשות</v>
          </cell>
          <cell r="F671" t="str">
            <v>אילון</v>
          </cell>
          <cell r="G671" t="str">
            <v>יסודי בלבד</v>
          </cell>
          <cell r="H671" t="str">
            <v>כן</v>
          </cell>
          <cell r="I671" t="str">
            <v>כן</v>
          </cell>
          <cell r="J671" t="str">
            <v>כן</v>
          </cell>
          <cell r="K671">
            <v>223</v>
          </cell>
          <cell r="L671">
            <v>117</v>
          </cell>
        </row>
        <row r="672">
          <cell r="D672">
            <v>160697</v>
          </cell>
          <cell r="E672" t="str">
            <v>רשות</v>
          </cell>
          <cell r="F672" t="str">
            <v>משואת נריה</v>
          </cell>
          <cell r="G672" t="str">
            <v>יסודי בלבד</v>
          </cell>
          <cell r="H672" t="str">
            <v>כן</v>
          </cell>
          <cell r="I672" t="str">
            <v>כן</v>
          </cell>
          <cell r="J672" t="str">
            <v>כן</v>
          </cell>
          <cell r="K672">
            <v>343</v>
          </cell>
          <cell r="L672">
            <v>91</v>
          </cell>
        </row>
        <row r="673">
          <cell r="D673">
            <v>630087</v>
          </cell>
          <cell r="E673" t="str">
            <v>רשות</v>
          </cell>
          <cell r="F673" t="str">
            <v>ביר עסלוג'</v>
          </cell>
          <cell r="G673" t="str">
            <v>יסודי בלבד</v>
          </cell>
          <cell r="H673" t="str">
            <v>כן</v>
          </cell>
          <cell r="I673" t="str">
            <v>כן</v>
          </cell>
          <cell r="J673" t="str">
            <v>כן</v>
          </cell>
          <cell r="K673">
            <v>171</v>
          </cell>
          <cell r="L673">
            <v>120</v>
          </cell>
        </row>
        <row r="674">
          <cell r="D674">
            <v>212902</v>
          </cell>
          <cell r="E674" t="str">
            <v>בעלות</v>
          </cell>
          <cell r="F674" t="str">
            <v>ת"ת וב"י תהילת אדיר</v>
          </cell>
          <cell r="G674" t="str">
            <v>יסודי בלבד</v>
          </cell>
          <cell r="H674" t="str">
            <v>כן</v>
          </cell>
          <cell r="I674" t="str">
            <v>כן</v>
          </cell>
          <cell r="J674" t="str">
            <v>כן</v>
          </cell>
          <cell r="K674">
            <v>118</v>
          </cell>
          <cell r="L674">
            <v>116</v>
          </cell>
        </row>
        <row r="675">
          <cell r="D675">
            <v>581165</v>
          </cell>
          <cell r="E675" t="str">
            <v>רשות</v>
          </cell>
          <cell r="F675" t="str">
            <v>המשותף</v>
          </cell>
          <cell r="G675" t="str">
            <v>יסודי בלבד</v>
          </cell>
          <cell r="H675" t="str">
            <v>כן</v>
          </cell>
          <cell r="I675" t="str">
            <v>כן</v>
          </cell>
          <cell r="J675" t="str">
            <v>כן</v>
          </cell>
          <cell r="K675">
            <v>138</v>
          </cell>
          <cell r="L675">
            <v>65</v>
          </cell>
        </row>
        <row r="676">
          <cell r="D676">
            <v>214411</v>
          </cell>
          <cell r="E676" t="str">
            <v>רשות</v>
          </cell>
          <cell r="F676" t="str">
            <v>ממ"ד נועם טבריה</v>
          </cell>
          <cell r="G676" t="str">
            <v>יסודי בלבד</v>
          </cell>
          <cell r="H676" t="str">
            <v>כן</v>
          </cell>
          <cell r="I676" t="str">
            <v>כן</v>
          </cell>
          <cell r="J676" t="str">
            <v>כן</v>
          </cell>
          <cell r="K676">
            <v>99</v>
          </cell>
          <cell r="L676">
            <v>63</v>
          </cell>
        </row>
        <row r="677">
          <cell r="D677">
            <v>413492</v>
          </cell>
          <cell r="E677" t="str">
            <v/>
          </cell>
          <cell r="F677" t="str">
            <v>ממ"ד ביל"ו</v>
          </cell>
          <cell r="G677" t="str">
            <v>יסודי בלבד</v>
          </cell>
          <cell r="H677" t="str">
            <v>כן</v>
          </cell>
          <cell r="I677" t="str">
            <v>כן</v>
          </cell>
          <cell r="J677" t="str">
            <v>כן</v>
          </cell>
          <cell r="K677">
            <v>302</v>
          </cell>
          <cell r="L677">
            <v>68</v>
          </cell>
        </row>
        <row r="678">
          <cell r="D678">
            <v>112201</v>
          </cell>
          <cell r="E678" t="str">
            <v>רשות</v>
          </cell>
          <cell r="F678" t="str">
            <v>רמות ממלכתי ג</v>
          </cell>
          <cell r="G678" t="str">
            <v>יסודי בלבד</v>
          </cell>
          <cell r="H678" t="str">
            <v>כן</v>
          </cell>
          <cell r="I678" t="str">
            <v>כן</v>
          </cell>
          <cell r="J678" t="str">
            <v>כן</v>
          </cell>
          <cell r="K678">
            <v>69</v>
          </cell>
          <cell r="L678">
            <v>35</v>
          </cell>
        </row>
        <row r="679">
          <cell r="D679">
            <v>410415</v>
          </cell>
          <cell r="E679" t="str">
            <v>רשות</v>
          </cell>
          <cell r="F679" t="str">
            <v>ממ"ד אריאל</v>
          </cell>
          <cell r="G679" t="str">
            <v>יסודי בלבד</v>
          </cell>
          <cell r="H679" t="str">
            <v>כן</v>
          </cell>
          <cell r="I679" t="str">
            <v>כן</v>
          </cell>
          <cell r="J679" t="str">
            <v>כן</v>
          </cell>
          <cell r="K679">
            <v>108</v>
          </cell>
          <cell r="L679">
            <v>53</v>
          </cell>
        </row>
        <row r="680">
          <cell r="D680">
            <v>631796</v>
          </cell>
          <cell r="E680" t="str">
            <v>רשות</v>
          </cell>
          <cell r="F680" t="str">
            <v>חופים</v>
          </cell>
          <cell r="G680" t="str">
            <v>יסודי בלבד</v>
          </cell>
          <cell r="H680" t="str">
            <v>כן</v>
          </cell>
          <cell r="I680" t="str">
            <v>כן</v>
          </cell>
          <cell r="J680" t="str">
            <v>לא</v>
          </cell>
          <cell r="K680">
            <v>196</v>
          </cell>
          <cell r="L680">
            <v>92</v>
          </cell>
        </row>
        <row r="681">
          <cell r="D681">
            <v>612408</v>
          </cell>
          <cell r="E681" t="str">
            <v>רשות</v>
          </cell>
          <cell r="F681" t="str">
            <v>שילה</v>
          </cell>
          <cell r="G681" t="str">
            <v>יסודי בלבד</v>
          </cell>
          <cell r="H681" t="str">
            <v>כן</v>
          </cell>
          <cell r="I681" t="str">
            <v>כן</v>
          </cell>
          <cell r="J681" t="str">
            <v>כן</v>
          </cell>
          <cell r="K681">
            <v>229</v>
          </cell>
          <cell r="L681">
            <v>121</v>
          </cell>
        </row>
        <row r="682">
          <cell r="D682">
            <v>442459</v>
          </cell>
          <cell r="E682" t="str">
            <v>רשות</v>
          </cell>
          <cell r="F682" t="str">
            <v>נוף ילדות</v>
          </cell>
          <cell r="G682" t="str">
            <v>יסודי בלבד</v>
          </cell>
          <cell r="H682" t="str">
            <v>כן</v>
          </cell>
          <cell r="I682" t="str">
            <v>כן</v>
          </cell>
          <cell r="J682" t="str">
            <v>כן</v>
          </cell>
          <cell r="K682">
            <v>273</v>
          </cell>
          <cell r="L682">
            <v>46</v>
          </cell>
        </row>
        <row r="683">
          <cell r="D683">
            <v>312140</v>
          </cell>
          <cell r="E683" t="str">
            <v>רשות</v>
          </cell>
          <cell r="F683" t="str">
            <v>פיכמן</v>
          </cell>
          <cell r="G683" t="str">
            <v>יסודי בלבד</v>
          </cell>
          <cell r="H683" t="str">
            <v>כן</v>
          </cell>
          <cell r="I683" t="str">
            <v>כן</v>
          </cell>
          <cell r="J683" t="str">
            <v>כן</v>
          </cell>
          <cell r="K683">
            <v>222</v>
          </cell>
          <cell r="L683">
            <v>50</v>
          </cell>
        </row>
        <row r="684">
          <cell r="D684">
            <v>611236</v>
          </cell>
          <cell r="E684" t="str">
            <v>רשות</v>
          </cell>
          <cell r="F684" t="str">
            <v>אוהלי מנחם חב"ד</v>
          </cell>
          <cell r="G684" t="str">
            <v>יסודי בלבד</v>
          </cell>
          <cell r="H684" t="str">
            <v>כן</v>
          </cell>
          <cell r="I684" t="str">
            <v>כן</v>
          </cell>
          <cell r="J684" t="str">
            <v>כן</v>
          </cell>
          <cell r="K684">
            <v>92</v>
          </cell>
          <cell r="L684">
            <v>85</v>
          </cell>
        </row>
        <row r="685">
          <cell r="D685">
            <v>518035</v>
          </cell>
          <cell r="E685" t="str">
            <v/>
          </cell>
          <cell r="F685" t="str">
            <v>אלאוכווה</v>
          </cell>
          <cell r="G685" t="str">
            <v>יסודי בלבד</v>
          </cell>
          <cell r="H685" t="str">
            <v>כן</v>
          </cell>
          <cell r="I685" t="str">
            <v>כן</v>
          </cell>
          <cell r="J685" t="str">
            <v>כן</v>
          </cell>
          <cell r="K685">
            <v>194</v>
          </cell>
          <cell r="L685">
            <v>90</v>
          </cell>
        </row>
        <row r="686">
          <cell r="D686">
            <v>615260</v>
          </cell>
          <cell r="E686" t="str">
            <v>בעלות</v>
          </cell>
          <cell r="F686" t="str">
            <v>אוצר החיים</v>
          </cell>
          <cell r="G686" t="str">
            <v>יסודי בלבד</v>
          </cell>
          <cell r="H686" t="str">
            <v>כן</v>
          </cell>
          <cell r="I686" t="str">
            <v>כן</v>
          </cell>
          <cell r="J686" t="str">
            <v>כן</v>
          </cell>
          <cell r="K686">
            <v>69</v>
          </cell>
          <cell r="L686">
            <v>59</v>
          </cell>
        </row>
        <row r="687">
          <cell r="D687">
            <v>614966</v>
          </cell>
          <cell r="E687" t="str">
            <v>רשות</v>
          </cell>
          <cell r="F687" t="str">
            <v>אורות</v>
          </cell>
          <cell r="G687" t="str">
            <v>יסודי בלבד</v>
          </cell>
          <cell r="H687" t="str">
            <v>כן</v>
          </cell>
          <cell r="I687" t="str">
            <v>כן</v>
          </cell>
          <cell r="J687" t="str">
            <v>כן</v>
          </cell>
          <cell r="K687">
            <v>88</v>
          </cell>
          <cell r="L687">
            <v>54</v>
          </cell>
        </row>
        <row r="688">
          <cell r="D688">
            <v>212126</v>
          </cell>
          <cell r="E688" t="str">
            <v>רשות</v>
          </cell>
          <cell r="F688" t="str">
            <v>רמבם מד-קרית שמונה</v>
          </cell>
          <cell r="G688" t="str">
            <v>יסודי בלבד</v>
          </cell>
          <cell r="H688" t="str">
            <v>כן</v>
          </cell>
          <cell r="I688" t="str">
            <v>כן</v>
          </cell>
          <cell r="J688" t="str">
            <v>כן</v>
          </cell>
          <cell r="K688">
            <v>64</v>
          </cell>
          <cell r="L688">
            <v>40</v>
          </cell>
        </row>
        <row r="689">
          <cell r="D689">
            <v>414060</v>
          </cell>
          <cell r="E689" t="str">
            <v>רשות</v>
          </cell>
          <cell r="F689" t="str">
            <v>ממ"ד הרי"ן</v>
          </cell>
          <cell r="G689" t="str">
            <v>יסודי בלבד</v>
          </cell>
          <cell r="H689" t="str">
            <v>כן</v>
          </cell>
          <cell r="I689" t="str">
            <v>כן</v>
          </cell>
          <cell r="J689" t="str">
            <v>כן</v>
          </cell>
          <cell r="K689">
            <v>233</v>
          </cell>
          <cell r="L689">
            <v>80</v>
          </cell>
        </row>
        <row r="690">
          <cell r="D690">
            <v>412346</v>
          </cell>
          <cell r="E690" t="str">
            <v>רשות</v>
          </cell>
          <cell r="F690" t="str">
            <v>ממלכתי שלנו</v>
          </cell>
          <cell r="G690" t="str">
            <v>יסודי בלבד</v>
          </cell>
          <cell r="H690" t="str">
            <v>כן</v>
          </cell>
          <cell r="I690" t="str">
            <v>כן</v>
          </cell>
          <cell r="J690" t="str">
            <v>כן</v>
          </cell>
          <cell r="K690">
            <v>193</v>
          </cell>
          <cell r="L690">
            <v>91</v>
          </cell>
        </row>
        <row r="691">
          <cell r="D691">
            <v>437319</v>
          </cell>
          <cell r="E691" t="str">
            <v/>
          </cell>
          <cell r="F691" t="str">
            <v>אופק</v>
          </cell>
          <cell r="G691" t="str">
            <v>יסודי בלבד</v>
          </cell>
          <cell r="H691" t="str">
            <v>לא</v>
          </cell>
          <cell r="I691" t="str">
            <v>לא</v>
          </cell>
          <cell r="J691" t="str">
            <v>לא</v>
          </cell>
          <cell r="K691">
            <v>0</v>
          </cell>
          <cell r="L691">
            <v>0</v>
          </cell>
        </row>
        <row r="692">
          <cell r="D692">
            <v>614982</v>
          </cell>
          <cell r="E692" t="str">
            <v>בעלות</v>
          </cell>
          <cell r="F692" t="str">
            <v>שלהבת הדרום(בנות)</v>
          </cell>
          <cell r="G692" t="str">
            <v>יסודי בלבד</v>
          </cell>
          <cell r="H692" t="str">
            <v>כן</v>
          </cell>
          <cell r="I692" t="str">
            <v>כן</v>
          </cell>
          <cell r="J692" t="str">
            <v>כן</v>
          </cell>
          <cell r="K692">
            <v>43</v>
          </cell>
          <cell r="L692">
            <v>43</v>
          </cell>
        </row>
        <row r="693">
          <cell r="D693">
            <v>148262</v>
          </cell>
          <cell r="E693" t="str">
            <v>רשות</v>
          </cell>
          <cell r="F693" t="str">
            <v>אלעלא</v>
          </cell>
          <cell r="G693" t="str">
            <v>יסודי בלבד</v>
          </cell>
          <cell r="H693" t="str">
            <v>כן</v>
          </cell>
          <cell r="I693" t="str">
            <v>כן</v>
          </cell>
          <cell r="J693" t="str">
            <v>כן</v>
          </cell>
          <cell r="K693">
            <v>184</v>
          </cell>
          <cell r="L693">
            <v>61</v>
          </cell>
        </row>
        <row r="694">
          <cell r="D694">
            <v>417097</v>
          </cell>
          <cell r="E694" t="str">
            <v>רשות</v>
          </cell>
          <cell r="F694" t="str">
            <v>נועם נריה בנים</v>
          </cell>
          <cell r="G694" t="str">
            <v>יסודי בלבד</v>
          </cell>
          <cell r="H694" t="str">
            <v>כן</v>
          </cell>
          <cell r="I694" t="str">
            <v>כן</v>
          </cell>
          <cell r="J694" t="str">
            <v>כן</v>
          </cell>
          <cell r="K694">
            <v>183</v>
          </cell>
          <cell r="L694">
            <v>86</v>
          </cell>
        </row>
        <row r="695">
          <cell r="D695">
            <v>217851</v>
          </cell>
          <cell r="E695" t="str">
            <v>רשות</v>
          </cell>
          <cell r="F695" t="str">
            <v>יסודי אלע'ג'ר</v>
          </cell>
          <cell r="G695" t="str">
            <v>יסודי בלבד</v>
          </cell>
          <cell r="H695" t="str">
            <v>כן</v>
          </cell>
          <cell r="I695" t="str">
            <v>כן</v>
          </cell>
          <cell r="J695" t="str">
            <v>כן</v>
          </cell>
          <cell r="K695">
            <v>165</v>
          </cell>
          <cell r="L695">
            <v>146</v>
          </cell>
        </row>
        <row r="696">
          <cell r="D696">
            <v>417832</v>
          </cell>
          <cell r="E696" t="str">
            <v>רשות</v>
          </cell>
          <cell r="F696" t="str">
            <v>חן נריה</v>
          </cell>
          <cell r="G696" t="str">
            <v>יסודי בלבד</v>
          </cell>
          <cell r="H696" t="str">
            <v>כן</v>
          </cell>
          <cell r="I696" t="str">
            <v>כן</v>
          </cell>
          <cell r="J696" t="str">
            <v>כן</v>
          </cell>
          <cell r="K696">
            <v>163</v>
          </cell>
          <cell r="L696">
            <v>42</v>
          </cell>
        </row>
        <row r="697">
          <cell r="D697">
            <v>212084</v>
          </cell>
          <cell r="E697" t="str">
            <v>רשות</v>
          </cell>
          <cell r="F697" t="str">
            <v>המגינים -קרית שמונה</v>
          </cell>
          <cell r="G697" t="str">
            <v>יסודי בלבד</v>
          </cell>
          <cell r="H697" t="str">
            <v>כן</v>
          </cell>
          <cell r="I697" t="str">
            <v>כן</v>
          </cell>
          <cell r="J697" t="str">
            <v>כן</v>
          </cell>
          <cell r="K697">
            <v>148</v>
          </cell>
          <cell r="L697">
            <v>47</v>
          </cell>
        </row>
        <row r="698">
          <cell r="D698">
            <v>510784</v>
          </cell>
          <cell r="E698" t="str">
            <v>רשות</v>
          </cell>
          <cell r="F698" t="str">
            <v>א. ארנון</v>
          </cell>
          <cell r="G698" t="str">
            <v>יסודי בלבד</v>
          </cell>
          <cell r="H698" t="str">
            <v>כן</v>
          </cell>
          <cell r="I698" t="str">
            <v>כן</v>
          </cell>
          <cell r="J698" t="str">
            <v>כן</v>
          </cell>
          <cell r="K698">
            <v>253</v>
          </cell>
          <cell r="L698">
            <v>110</v>
          </cell>
        </row>
        <row r="699">
          <cell r="D699">
            <v>113258</v>
          </cell>
          <cell r="E699" t="str">
            <v>רשות</v>
          </cell>
          <cell r="F699" t="str">
            <v>ממלכתי ג'</v>
          </cell>
          <cell r="G699" t="str">
            <v>יסודי בלבד</v>
          </cell>
          <cell r="H699" t="str">
            <v>כן</v>
          </cell>
          <cell r="I699" t="str">
            <v>כן</v>
          </cell>
          <cell r="J699" t="str">
            <v>כן</v>
          </cell>
          <cell r="K699">
            <v>142</v>
          </cell>
          <cell r="L699">
            <v>65</v>
          </cell>
        </row>
        <row r="700">
          <cell r="D700">
            <v>430330</v>
          </cell>
          <cell r="E700" t="str">
            <v>רשות</v>
          </cell>
          <cell r="F700" t="str">
            <v>ממ"ד רבבה בנים</v>
          </cell>
          <cell r="G700" t="str">
            <v>יסודי בלבד</v>
          </cell>
          <cell r="H700" t="str">
            <v>כן</v>
          </cell>
          <cell r="I700" t="str">
            <v>כן</v>
          </cell>
          <cell r="J700" t="str">
            <v>כן</v>
          </cell>
          <cell r="K700">
            <v>142</v>
          </cell>
          <cell r="L700">
            <v>92</v>
          </cell>
        </row>
        <row r="701">
          <cell r="D701">
            <v>418202</v>
          </cell>
          <cell r="E701" t="str">
            <v>רשות</v>
          </cell>
          <cell r="F701" t="str">
            <v>עומר אבן אלחטאב</v>
          </cell>
          <cell r="G701" t="str">
            <v>יסודי בלבד</v>
          </cell>
          <cell r="H701" t="str">
            <v>כן</v>
          </cell>
          <cell r="I701" t="str">
            <v>כן</v>
          </cell>
          <cell r="J701" t="str">
            <v>כן</v>
          </cell>
          <cell r="K701">
            <v>122</v>
          </cell>
          <cell r="L701">
            <v>43</v>
          </cell>
        </row>
        <row r="702">
          <cell r="D702">
            <v>410068</v>
          </cell>
          <cell r="E702" t="str">
            <v/>
          </cell>
          <cell r="F702" t="str">
            <v>ממ"ד רמב"ם</v>
          </cell>
          <cell r="G702" t="str">
            <v>יסודי בלבד</v>
          </cell>
          <cell r="H702" t="str">
            <v>כן</v>
          </cell>
          <cell r="I702" t="str">
            <v>כן</v>
          </cell>
          <cell r="J702" t="str">
            <v>כן</v>
          </cell>
          <cell r="K702">
            <v>58</v>
          </cell>
          <cell r="L702">
            <v>21</v>
          </cell>
        </row>
        <row r="703">
          <cell r="D703">
            <v>614040</v>
          </cell>
          <cell r="E703" t="str">
            <v>רשות</v>
          </cell>
          <cell r="F703" t="str">
            <v>אמירים</v>
          </cell>
          <cell r="G703" t="str">
            <v>יסודי בלבד</v>
          </cell>
          <cell r="H703" t="str">
            <v>כן</v>
          </cell>
          <cell r="I703" t="str">
            <v>כן</v>
          </cell>
          <cell r="J703" t="str">
            <v>כן</v>
          </cell>
          <cell r="K703">
            <v>188</v>
          </cell>
          <cell r="L703">
            <v>63</v>
          </cell>
        </row>
        <row r="704">
          <cell r="D704">
            <v>512558</v>
          </cell>
          <cell r="E704" t="str">
            <v>רשות</v>
          </cell>
          <cell r="F704" t="str">
            <v>יד מרדכי</v>
          </cell>
          <cell r="G704" t="str">
            <v>יסודי בלבד</v>
          </cell>
          <cell r="H704" t="str">
            <v>כן</v>
          </cell>
          <cell r="I704" t="str">
            <v>כן</v>
          </cell>
          <cell r="J704" t="str">
            <v>כן</v>
          </cell>
          <cell r="K704">
            <v>198</v>
          </cell>
          <cell r="L704">
            <v>128</v>
          </cell>
        </row>
        <row r="705">
          <cell r="D705">
            <v>217430</v>
          </cell>
          <cell r="E705" t="str">
            <v>רשות</v>
          </cell>
          <cell r="F705" t="str">
            <v>יסודי ב' טובא</v>
          </cell>
          <cell r="G705" t="str">
            <v>יסודי בלבד</v>
          </cell>
          <cell r="H705" t="str">
            <v>כן</v>
          </cell>
          <cell r="I705" t="str">
            <v>כן</v>
          </cell>
          <cell r="J705" t="str">
            <v>כן</v>
          </cell>
          <cell r="K705">
            <v>125</v>
          </cell>
          <cell r="L705">
            <v>125</v>
          </cell>
        </row>
        <row r="706">
          <cell r="D706">
            <v>113217</v>
          </cell>
          <cell r="E706" t="str">
            <v>רשות</v>
          </cell>
          <cell r="F706" t="str">
            <v>הר נוף ממד בנות</v>
          </cell>
          <cell r="G706" t="str">
            <v>יסודי בלבד</v>
          </cell>
          <cell r="H706" t="str">
            <v>כן</v>
          </cell>
          <cell r="I706" t="str">
            <v>כן</v>
          </cell>
          <cell r="J706" t="str">
            <v>כן</v>
          </cell>
          <cell r="K706">
            <v>140</v>
          </cell>
          <cell r="L706">
            <v>114</v>
          </cell>
        </row>
        <row r="707">
          <cell r="D707">
            <v>418137</v>
          </cell>
          <cell r="E707" t="str">
            <v>רשות</v>
          </cell>
          <cell r="F707" t="str">
            <v>אבן רושד</v>
          </cell>
          <cell r="G707" t="str">
            <v>יסודי בלבד</v>
          </cell>
          <cell r="H707" t="str">
            <v>כן</v>
          </cell>
          <cell r="I707" t="str">
            <v>כן</v>
          </cell>
          <cell r="J707" t="str">
            <v>כן</v>
          </cell>
          <cell r="K707">
            <v>314</v>
          </cell>
          <cell r="L707">
            <v>55</v>
          </cell>
        </row>
        <row r="708">
          <cell r="D708">
            <v>613265</v>
          </cell>
          <cell r="E708" t="str">
            <v>רשות</v>
          </cell>
          <cell r="F708" t="str">
            <v>דוד בן גוריון</v>
          </cell>
          <cell r="G708" t="str">
            <v>יסודי בלבד</v>
          </cell>
          <cell r="H708" t="str">
            <v>כן</v>
          </cell>
          <cell r="I708" t="str">
            <v>כן</v>
          </cell>
          <cell r="J708" t="str">
            <v>כן</v>
          </cell>
          <cell r="K708">
            <v>220</v>
          </cell>
          <cell r="L708">
            <v>130</v>
          </cell>
        </row>
        <row r="709">
          <cell r="D709">
            <v>413104</v>
          </cell>
          <cell r="E709" t="str">
            <v>רשות</v>
          </cell>
          <cell r="F709" t="str">
            <v>איתמר</v>
          </cell>
          <cell r="G709" t="str">
            <v>יסודי בלבד</v>
          </cell>
          <cell r="H709" t="str">
            <v>כן</v>
          </cell>
          <cell r="I709" t="str">
            <v>כן</v>
          </cell>
          <cell r="J709" t="str">
            <v>כן</v>
          </cell>
          <cell r="K709">
            <v>116</v>
          </cell>
          <cell r="L709">
            <v>88</v>
          </cell>
        </row>
        <row r="710">
          <cell r="D710">
            <v>417527</v>
          </cell>
          <cell r="E710" t="str">
            <v/>
          </cell>
          <cell r="F710" t="str">
            <v>אום כלתום</v>
          </cell>
          <cell r="G710" t="str">
            <v>יסודי בלבד</v>
          </cell>
          <cell r="H710" t="str">
            <v>כן</v>
          </cell>
          <cell r="I710" t="str">
            <v>כן</v>
          </cell>
          <cell r="J710" t="str">
            <v>כן</v>
          </cell>
          <cell r="K710">
            <v>180</v>
          </cell>
          <cell r="L710">
            <v>67</v>
          </cell>
        </row>
        <row r="711">
          <cell r="D711">
            <v>212688</v>
          </cell>
          <cell r="E711" t="str">
            <v>רשות</v>
          </cell>
          <cell r="F711" t="str">
            <v>הארי מד צפת</v>
          </cell>
          <cell r="G711" t="str">
            <v>יסודי בלבד</v>
          </cell>
          <cell r="H711" t="str">
            <v>כן</v>
          </cell>
          <cell r="I711" t="str">
            <v>כן</v>
          </cell>
          <cell r="J711" t="str">
            <v>כן</v>
          </cell>
          <cell r="K711">
            <v>121</v>
          </cell>
          <cell r="L711">
            <v>82</v>
          </cell>
        </row>
        <row r="712">
          <cell r="D712">
            <v>613125</v>
          </cell>
          <cell r="E712" t="str">
            <v>רשות</v>
          </cell>
          <cell r="F712" t="str">
            <v>נועם</v>
          </cell>
          <cell r="G712" t="str">
            <v>יסודי בלבד</v>
          </cell>
          <cell r="H712" t="str">
            <v>כן</v>
          </cell>
          <cell r="I712" t="str">
            <v>כן</v>
          </cell>
          <cell r="J712" t="str">
            <v>כן</v>
          </cell>
          <cell r="K712">
            <v>162</v>
          </cell>
          <cell r="L712">
            <v>97</v>
          </cell>
        </row>
        <row r="713">
          <cell r="D713">
            <v>513564</v>
          </cell>
          <cell r="E713" t="str">
            <v>רשות</v>
          </cell>
          <cell r="F713" t="str">
            <v>אור השחר</v>
          </cell>
          <cell r="G713" t="str">
            <v>יסודי בלבד</v>
          </cell>
          <cell r="H713" t="str">
            <v>כן</v>
          </cell>
          <cell r="I713" t="str">
            <v>כן</v>
          </cell>
          <cell r="J713" t="str">
            <v>כן</v>
          </cell>
          <cell r="K713">
            <v>90</v>
          </cell>
          <cell r="L713">
            <v>41</v>
          </cell>
        </row>
        <row r="714">
          <cell r="D714">
            <v>610709</v>
          </cell>
          <cell r="E714" t="str">
            <v>רשות</v>
          </cell>
          <cell r="F714" t="str">
            <v>המאוחד</v>
          </cell>
          <cell r="G714" t="str">
            <v>יסודי בלבד</v>
          </cell>
          <cell r="H714" t="str">
            <v>כן</v>
          </cell>
          <cell r="I714" t="str">
            <v>כן</v>
          </cell>
          <cell r="J714" t="str">
            <v>כן</v>
          </cell>
          <cell r="K714">
            <v>146</v>
          </cell>
          <cell r="L714">
            <v>73</v>
          </cell>
        </row>
        <row r="715">
          <cell r="D715">
            <v>310086</v>
          </cell>
          <cell r="E715" t="str">
            <v>רשות</v>
          </cell>
          <cell r="F715" t="str">
            <v>הנדיב</v>
          </cell>
          <cell r="G715" t="str">
            <v>יסודי בלבד</v>
          </cell>
          <cell r="H715" t="str">
            <v>כן</v>
          </cell>
          <cell r="I715" t="str">
            <v>כן</v>
          </cell>
          <cell r="J715" t="str">
            <v>כן</v>
          </cell>
          <cell r="K715">
            <v>118</v>
          </cell>
          <cell r="L715">
            <v>58</v>
          </cell>
        </row>
        <row r="716">
          <cell r="D716">
            <v>318667</v>
          </cell>
          <cell r="E716" t="str">
            <v>רשות</v>
          </cell>
          <cell r="F716" t="str">
            <v>אלראזי</v>
          </cell>
          <cell r="G716" t="str">
            <v>יסודי בלבד</v>
          </cell>
          <cell r="H716" t="str">
            <v>כן</v>
          </cell>
          <cell r="I716" t="str">
            <v>כן</v>
          </cell>
          <cell r="J716" t="str">
            <v>כן</v>
          </cell>
          <cell r="K716">
            <v>186</v>
          </cell>
          <cell r="L716">
            <v>49</v>
          </cell>
        </row>
        <row r="717">
          <cell r="D717">
            <v>411553</v>
          </cell>
          <cell r="E717" t="str">
            <v>רשות</v>
          </cell>
          <cell r="F717" t="str">
            <v>גדרות -עשרת</v>
          </cell>
          <cell r="G717" t="str">
            <v>יסודי בלבד</v>
          </cell>
          <cell r="H717" t="str">
            <v>כן</v>
          </cell>
          <cell r="I717" t="str">
            <v>כן</v>
          </cell>
          <cell r="J717" t="str">
            <v>כן</v>
          </cell>
          <cell r="K717">
            <v>219</v>
          </cell>
          <cell r="L717">
            <v>78</v>
          </cell>
        </row>
        <row r="718">
          <cell r="D718">
            <v>110320</v>
          </cell>
          <cell r="E718" t="str">
            <v>רשות</v>
          </cell>
          <cell r="F718" t="str">
            <v>גואטמלה</v>
          </cell>
          <cell r="G718" t="str">
            <v>יסודי בלבד</v>
          </cell>
          <cell r="H718" t="str">
            <v>כן</v>
          </cell>
          <cell r="I718" t="str">
            <v>כן</v>
          </cell>
          <cell r="J718" t="str">
            <v>כן</v>
          </cell>
          <cell r="K718">
            <v>115</v>
          </cell>
          <cell r="L718">
            <v>51</v>
          </cell>
        </row>
        <row r="719">
          <cell r="D719">
            <v>618819</v>
          </cell>
          <cell r="E719" t="str">
            <v>רשות</v>
          </cell>
          <cell r="F719" t="str">
            <v>אלאימאן</v>
          </cell>
          <cell r="G719" t="str">
            <v>יסודי בלבד</v>
          </cell>
          <cell r="H719" t="str">
            <v>כן</v>
          </cell>
          <cell r="I719" t="str">
            <v>כן</v>
          </cell>
          <cell r="J719" t="str">
            <v>כן</v>
          </cell>
          <cell r="K719">
            <v>156</v>
          </cell>
          <cell r="L719">
            <v>115</v>
          </cell>
        </row>
        <row r="720">
          <cell r="D720">
            <v>510719</v>
          </cell>
          <cell r="E720" t="str">
            <v>רשות</v>
          </cell>
          <cell r="F720" t="str">
            <v>הלל</v>
          </cell>
          <cell r="G720" t="str">
            <v>יסודי בלבד</v>
          </cell>
          <cell r="H720" t="str">
            <v>כן</v>
          </cell>
          <cell r="I720" t="str">
            <v>כן</v>
          </cell>
          <cell r="J720" t="str">
            <v>כן</v>
          </cell>
          <cell r="K720">
            <v>154</v>
          </cell>
          <cell r="L720">
            <v>154</v>
          </cell>
        </row>
        <row r="721">
          <cell r="D721">
            <v>618512</v>
          </cell>
          <cell r="E721" t="str">
            <v>רשות</v>
          </cell>
          <cell r="F721" t="str">
            <v>אלרחמה</v>
          </cell>
          <cell r="G721" t="str">
            <v>יסודי בלבד</v>
          </cell>
          <cell r="H721" t="str">
            <v>כן</v>
          </cell>
          <cell r="I721" t="str">
            <v>כן</v>
          </cell>
          <cell r="J721" t="str">
            <v>כן</v>
          </cell>
          <cell r="K721">
            <v>308</v>
          </cell>
          <cell r="L721">
            <v>170</v>
          </cell>
        </row>
        <row r="722">
          <cell r="D722">
            <v>358655</v>
          </cell>
          <cell r="E722" t="str">
            <v>רשות</v>
          </cell>
          <cell r="F722" t="str">
            <v>חמד"ת השקד</v>
          </cell>
          <cell r="G722" t="str">
            <v>יסודי בלבד</v>
          </cell>
          <cell r="H722" t="str">
            <v>כן</v>
          </cell>
          <cell r="I722" t="str">
            <v>כן</v>
          </cell>
          <cell r="J722" t="str">
            <v>כן</v>
          </cell>
          <cell r="K722">
            <v>150</v>
          </cell>
          <cell r="L722">
            <v>75</v>
          </cell>
        </row>
        <row r="723">
          <cell r="D723">
            <v>618595</v>
          </cell>
          <cell r="E723" t="str">
            <v>רשות</v>
          </cell>
          <cell r="F723" t="str">
            <v>באר-חייל ביר הדג'ג</v>
          </cell>
          <cell r="G723" t="str">
            <v>יסודי בלבד</v>
          </cell>
          <cell r="H723" t="str">
            <v>כן</v>
          </cell>
          <cell r="I723" t="str">
            <v>כן</v>
          </cell>
          <cell r="J723" t="str">
            <v>כן</v>
          </cell>
          <cell r="K723">
            <v>226</v>
          </cell>
          <cell r="L723">
            <v>226</v>
          </cell>
        </row>
        <row r="724">
          <cell r="D724">
            <v>411116</v>
          </cell>
          <cell r="E724" t="str">
            <v>רשות</v>
          </cell>
          <cell r="F724" t="str">
            <v>ממ' הרצוג</v>
          </cell>
          <cell r="G724" t="str">
            <v>יסודי בלבד</v>
          </cell>
          <cell r="H724" t="str">
            <v>כן</v>
          </cell>
          <cell r="I724" t="str">
            <v>כן</v>
          </cell>
          <cell r="J724" t="str">
            <v>כן</v>
          </cell>
          <cell r="K724">
            <v>226</v>
          </cell>
          <cell r="L724">
            <v>61</v>
          </cell>
        </row>
        <row r="725">
          <cell r="D725">
            <v>310755</v>
          </cell>
          <cell r="E725" t="str">
            <v/>
          </cell>
          <cell r="F725" t="str">
            <v>רמות</v>
          </cell>
          <cell r="G725" t="str">
            <v>יסודי בלבד</v>
          </cell>
          <cell r="H725" t="str">
            <v>כן</v>
          </cell>
          <cell r="I725" t="str">
            <v>כן</v>
          </cell>
          <cell r="J725" t="str">
            <v>כן</v>
          </cell>
          <cell r="K725">
            <v>141</v>
          </cell>
          <cell r="L725">
            <v>13</v>
          </cell>
        </row>
        <row r="726">
          <cell r="D726">
            <v>415455</v>
          </cell>
          <cell r="E726" t="str">
            <v/>
          </cell>
          <cell r="F726" t="str">
            <v>ממ"ד טללי אורות</v>
          </cell>
          <cell r="G726" t="str">
            <v>יסודי בלבד</v>
          </cell>
          <cell r="H726" t="str">
            <v>כן</v>
          </cell>
          <cell r="I726" t="str">
            <v>כן</v>
          </cell>
          <cell r="J726" t="str">
            <v>כן</v>
          </cell>
          <cell r="K726">
            <v>226</v>
          </cell>
          <cell r="L726">
            <v>126</v>
          </cell>
        </row>
        <row r="727">
          <cell r="D727">
            <v>418392</v>
          </cell>
          <cell r="E727" t="str">
            <v>רשות</v>
          </cell>
          <cell r="F727" t="str">
            <v>אבן רשד</v>
          </cell>
          <cell r="G727" t="str">
            <v>יסודי בלבד</v>
          </cell>
          <cell r="H727" t="str">
            <v>כן</v>
          </cell>
          <cell r="I727" t="str">
            <v>כן</v>
          </cell>
          <cell r="J727" t="str">
            <v>כן</v>
          </cell>
          <cell r="K727">
            <v>234</v>
          </cell>
          <cell r="L727">
            <v>45</v>
          </cell>
        </row>
        <row r="728">
          <cell r="D728">
            <v>212936</v>
          </cell>
          <cell r="E728" t="str">
            <v>רשות</v>
          </cell>
          <cell r="F728" t="str">
            <v>איזורי מעונה</v>
          </cell>
          <cell r="G728" t="str">
            <v>יסודי בלבד</v>
          </cell>
          <cell r="H728" t="str">
            <v>כן</v>
          </cell>
          <cell r="I728" t="str">
            <v>כן</v>
          </cell>
          <cell r="J728" t="str">
            <v>כן</v>
          </cell>
          <cell r="K728">
            <v>253</v>
          </cell>
          <cell r="L728">
            <v>66</v>
          </cell>
        </row>
        <row r="729">
          <cell r="D729">
            <v>633438</v>
          </cell>
          <cell r="E729" t="str">
            <v>רשות</v>
          </cell>
          <cell r="F729" t="str">
            <v>יסודי אבו סולב</v>
          </cell>
          <cell r="G729" t="str">
            <v>יסודי בלבד</v>
          </cell>
          <cell r="H729" t="str">
            <v>כן</v>
          </cell>
          <cell r="I729" t="str">
            <v>כן</v>
          </cell>
          <cell r="J729" t="str">
            <v>כן</v>
          </cell>
          <cell r="K729">
            <v>165</v>
          </cell>
          <cell r="L729">
            <v>78</v>
          </cell>
        </row>
        <row r="730">
          <cell r="D730">
            <v>513358</v>
          </cell>
          <cell r="E730" t="str">
            <v>רשות</v>
          </cell>
          <cell r="F730" t="str">
            <v>אביגור</v>
          </cell>
          <cell r="G730" t="str">
            <v>יסודי בלבד</v>
          </cell>
          <cell r="H730" t="str">
            <v>כן</v>
          </cell>
          <cell r="I730" t="str">
            <v>כן</v>
          </cell>
          <cell r="J730" t="str">
            <v>כן</v>
          </cell>
          <cell r="K730">
            <v>266</v>
          </cell>
          <cell r="L730">
            <v>120</v>
          </cell>
        </row>
        <row r="731">
          <cell r="D731">
            <v>510792</v>
          </cell>
          <cell r="E731" t="str">
            <v>רשות</v>
          </cell>
          <cell r="F731" t="str">
            <v>נטעים</v>
          </cell>
          <cell r="G731" t="str">
            <v>יסודי בלבד</v>
          </cell>
          <cell r="H731" t="str">
            <v>כן</v>
          </cell>
          <cell r="I731" t="str">
            <v>כן</v>
          </cell>
          <cell r="J731" t="str">
            <v>כן</v>
          </cell>
          <cell r="K731">
            <v>310</v>
          </cell>
          <cell r="L731">
            <v>111</v>
          </cell>
        </row>
        <row r="732">
          <cell r="D732">
            <v>318402</v>
          </cell>
          <cell r="E732" t="str">
            <v>רשות</v>
          </cell>
          <cell r="F732" t="str">
            <v>אלשאפעי</v>
          </cell>
          <cell r="G732" t="str">
            <v>יסודי בלבד</v>
          </cell>
          <cell r="H732" t="str">
            <v>כן</v>
          </cell>
          <cell r="I732" t="str">
            <v>כן</v>
          </cell>
          <cell r="J732" t="str">
            <v>כן</v>
          </cell>
          <cell r="K732">
            <v>286</v>
          </cell>
          <cell r="L732">
            <v>67</v>
          </cell>
        </row>
        <row r="733">
          <cell r="D733">
            <v>616789</v>
          </cell>
          <cell r="E733" t="str">
            <v>רשות</v>
          </cell>
          <cell r="F733" t="str">
            <v>גלבוע</v>
          </cell>
          <cell r="G733" t="str">
            <v>יסודי בלבד</v>
          </cell>
          <cell r="H733" t="str">
            <v>כן</v>
          </cell>
          <cell r="I733" t="str">
            <v>כן</v>
          </cell>
          <cell r="J733" t="str">
            <v>כן</v>
          </cell>
          <cell r="K733">
            <v>228</v>
          </cell>
          <cell r="L733">
            <v>40</v>
          </cell>
        </row>
        <row r="734">
          <cell r="D734">
            <v>616276</v>
          </cell>
          <cell r="E734" t="str">
            <v>רשות</v>
          </cell>
          <cell r="F734" t="str">
            <v>שדות סילבר</v>
          </cell>
          <cell r="G734" t="str">
            <v>יסודי בלבד</v>
          </cell>
          <cell r="H734" t="str">
            <v>כן</v>
          </cell>
          <cell r="I734" t="str">
            <v>כן</v>
          </cell>
          <cell r="J734" t="str">
            <v>לא</v>
          </cell>
          <cell r="K734">
            <v>106</v>
          </cell>
          <cell r="L734">
            <v>43</v>
          </cell>
        </row>
        <row r="735">
          <cell r="D735">
            <v>213702</v>
          </cell>
          <cell r="E735" t="str">
            <v>רשות</v>
          </cell>
          <cell r="F735" t="str">
            <v>עליזה בגין מגדל העמק</v>
          </cell>
          <cell r="G735" t="str">
            <v>יסודי בלבד</v>
          </cell>
          <cell r="H735" t="str">
            <v>כן</v>
          </cell>
          <cell r="I735" t="str">
            <v>כן</v>
          </cell>
          <cell r="J735" t="str">
            <v>כן</v>
          </cell>
          <cell r="K735">
            <v>149</v>
          </cell>
          <cell r="L735">
            <v>42</v>
          </cell>
        </row>
        <row r="736">
          <cell r="D736">
            <v>510867</v>
          </cell>
          <cell r="E736" t="str">
            <v>רשות</v>
          </cell>
          <cell r="F736" t="str">
            <v>קורצאק</v>
          </cell>
          <cell r="G736" t="str">
            <v>יסודי בלבד</v>
          </cell>
          <cell r="H736" t="str">
            <v>כן</v>
          </cell>
          <cell r="I736" t="str">
            <v>כן</v>
          </cell>
          <cell r="J736" t="str">
            <v>כן</v>
          </cell>
          <cell r="K736">
            <v>245</v>
          </cell>
          <cell r="L736">
            <v>166</v>
          </cell>
        </row>
        <row r="737">
          <cell r="D737">
            <v>618488</v>
          </cell>
          <cell r="E737" t="str">
            <v>רשות</v>
          </cell>
          <cell r="F737" t="str">
            <v>אבו-ואדי</v>
          </cell>
          <cell r="G737" t="str">
            <v>יסודי בלבד</v>
          </cell>
          <cell r="H737" t="str">
            <v>כן</v>
          </cell>
          <cell r="I737" t="str">
            <v>כן</v>
          </cell>
          <cell r="J737" t="str">
            <v>לא</v>
          </cell>
          <cell r="K737">
            <v>225</v>
          </cell>
          <cell r="L737">
            <v>164</v>
          </cell>
        </row>
        <row r="738">
          <cell r="D738">
            <v>512145</v>
          </cell>
          <cell r="E738" t="str">
            <v>רשות</v>
          </cell>
          <cell r="F738" t="str">
            <v>בית חיה מושקא</v>
          </cell>
          <cell r="G738" t="str">
            <v>יסודי בלבד</v>
          </cell>
          <cell r="H738" t="str">
            <v>כן</v>
          </cell>
          <cell r="I738" t="str">
            <v>כן</v>
          </cell>
          <cell r="J738" t="str">
            <v>כן</v>
          </cell>
          <cell r="K738">
            <v>67</v>
          </cell>
          <cell r="L738">
            <v>64</v>
          </cell>
        </row>
        <row r="739">
          <cell r="D739">
            <v>113522</v>
          </cell>
          <cell r="E739" t="str">
            <v>רשות</v>
          </cell>
          <cell r="F739" t="str">
            <v>הרב מאיר עוזיאל</v>
          </cell>
          <cell r="G739" t="str">
            <v>יסודי בלבד</v>
          </cell>
          <cell r="H739" t="str">
            <v>כן</v>
          </cell>
          <cell r="I739" t="str">
            <v>כן</v>
          </cell>
          <cell r="J739" t="str">
            <v>כן</v>
          </cell>
          <cell r="K739">
            <v>188</v>
          </cell>
          <cell r="L739">
            <v>65</v>
          </cell>
        </row>
        <row r="740">
          <cell r="D740">
            <v>618579</v>
          </cell>
          <cell r="E740" t="str">
            <v>רשות</v>
          </cell>
          <cell r="F740" t="str">
            <v>ע'ש חמיס אלקרנאוי ז'</v>
          </cell>
          <cell r="G740" t="str">
            <v>יסודי בלבד</v>
          </cell>
          <cell r="H740" t="str">
            <v>כן</v>
          </cell>
          <cell r="I740" t="str">
            <v>כן</v>
          </cell>
          <cell r="J740" t="str">
            <v>כן</v>
          </cell>
          <cell r="K740">
            <v>253</v>
          </cell>
          <cell r="L740">
            <v>175</v>
          </cell>
        </row>
        <row r="741">
          <cell r="D741">
            <v>612846</v>
          </cell>
          <cell r="E741" t="str">
            <v>רשות</v>
          </cell>
          <cell r="F741" t="str">
            <v>ז'בוטינסקי</v>
          </cell>
          <cell r="G741" t="str">
            <v>יסודי בלבד</v>
          </cell>
          <cell r="H741" t="str">
            <v>כן</v>
          </cell>
          <cell r="I741" t="str">
            <v>כן</v>
          </cell>
          <cell r="J741" t="str">
            <v>כן</v>
          </cell>
          <cell r="K741">
            <v>266</v>
          </cell>
          <cell r="L741">
            <v>150</v>
          </cell>
        </row>
        <row r="742">
          <cell r="D742">
            <v>600007</v>
          </cell>
          <cell r="E742" t="str">
            <v>רשות</v>
          </cell>
          <cell r="F742" t="str">
            <v>אלמג'ד</v>
          </cell>
          <cell r="G742" t="str">
            <v>יסודי בלבד</v>
          </cell>
          <cell r="H742" t="str">
            <v>כן</v>
          </cell>
          <cell r="I742" t="str">
            <v>כן</v>
          </cell>
          <cell r="J742" t="str">
            <v>כן</v>
          </cell>
          <cell r="K742">
            <v>148</v>
          </cell>
          <cell r="L742">
            <v>148</v>
          </cell>
        </row>
        <row r="743">
          <cell r="D743">
            <v>414391</v>
          </cell>
          <cell r="E743" t="str">
            <v/>
          </cell>
          <cell r="F743" t="str">
            <v>בית יעקב עמנואל</v>
          </cell>
          <cell r="G743" t="str">
            <v>יסודי בלבד</v>
          </cell>
          <cell r="H743" t="str">
            <v>כן</v>
          </cell>
          <cell r="I743" t="str">
            <v>כן</v>
          </cell>
          <cell r="J743" t="str">
            <v>כן</v>
          </cell>
          <cell r="K743">
            <v>51</v>
          </cell>
          <cell r="L743">
            <v>51</v>
          </cell>
        </row>
        <row r="744">
          <cell r="D744">
            <v>514273</v>
          </cell>
          <cell r="E744" t="str">
            <v>רשות</v>
          </cell>
          <cell r="F744" t="str">
            <v>נבון</v>
          </cell>
          <cell r="G744" t="str">
            <v>יסודי בלבד</v>
          </cell>
          <cell r="H744" t="str">
            <v>כן</v>
          </cell>
          <cell r="I744" t="str">
            <v>כן</v>
          </cell>
          <cell r="J744" t="str">
            <v>כן</v>
          </cell>
          <cell r="K744">
            <v>102</v>
          </cell>
          <cell r="L744">
            <v>47</v>
          </cell>
        </row>
        <row r="745">
          <cell r="D745">
            <v>112037</v>
          </cell>
          <cell r="E745" t="str">
            <v>רשות</v>
          </cell>
          <cell r="F745" t="str">
            <v>אלון</v>
          </cell>
          <cell r="G745" t="str">
            <v>יסודי בלבד</v>
          </cell>
          <cell r="H745" t="str">
            <v>כן</v>
          </cell>
          <cell r="I745" t="str">
            <v>כן</v>
          </cell>
          <cell r="J745" t="str">
            <v>כן</v>
          </cell>
          <cell r="K745">
            <v>261</v>
          </cell>
          <cell r="L745">
            <v>79</v>
          </cell>
        </row>
        <row r="746">
          <cell r="D746">
            <v>614750</v>
          </cell>
          <cell r="E746" t="str">
            <v>רשות</v>
          </cell>
          <cell r="F746" t="str">
            <v>תורני מדעי נועם</v>
          </cell>
          <cell r="G746" t="str">
            <v>יסודי בלבד</v>
          </cell>
          <cell r="H746" t="str">
            <v>כן</v>
          </cell>
          <cell r="I746" t="str">
            <v>כן</v>
          </cell>
          <cell r="J746" t="str">
            <v>כן</v>
          </cell>
          <cell r="K746">
            <v>248</v>
          </cell>
          <cell r="L746">
            <v>187</v>
          </cell>
        </row>
        <row r="747">
          <cell r="D747">
            <v>310789</v>
          </cell>
          <cell r="E747" t="str">
            <v>רשות</v>
          </cell>
          <cell r="F747" t="str">
            <v>תל חי</v>
          </cell>
          <cell r="G747" t="str">
            <v>יסודי בלבד</v>
          </cell>
          <cell r="H747" t="str">
            <v>כן</v>
          </cell>
          <cell r="I747" t="str">
            <v>כן</v>
          </cell>
          <cell r="J747" t="str">
            <v>כן</v>
          </cell>
          <cell r="K747">
            <v>189</v>
          </cell>
          <cell r="L747">
            <v>74</v>
          </cell>
        </row>
        <row r="748">
          <cell r="D748">
            <v>415083</v>
          </cell>
          <cell r="E748" t="str">
            <v>רשות</v>
          </cell>
          <cell r="F748" t="str">
            <v>ממלכתי ניצני השרון</v>
          </cell>
          <cell r="G748" t="str">
            <v>יסודי בלבד</v>
          </cell>
          <cell r="H748" t="str">
            <v>כן</v>
          </cell>
          <cell r="I748" t="str">
            <v>כן</v>
          </cell>
          <cell r="J748" t="str">
            <v>כן</v>
          </cell>
          <cell r="K748">
            <v>269</v>
          </cell>
          <cell r="L748">
            <v>52</v>
          </cell>
        </row>
        <row r="749">
          <cell r="D749">
            <v>384032</v>
          </cell>
          <cell r="E749" t="str">
            <v>רשות</v>
          </cell>
          <cell r="F749" t="str">
            <v>יסודי מ"מ רקפות</v>
          </cell>
          <cell r="G749" t="str">
            <v>יסודי בלבד</v>
          </cell>
          <cell r="H749" t="str">
            <v>כן</v>
          </cell>
          <cell r="I749" t="str">
            <v>כן</v>
          </cell>
          <cell r="J749" t="str">
            <v>כן</v>
          </cell>
          <cell r="K749">
            <v>267</v>
          </cell>
          <cell r="L749">
            <v>178</v>
          </cell>
        </row>
        <row r="750">
          <cell r="D750">
            <v>618892</v>
          </cell>
          <cell r="E750" t="str">
            <v>רשות</v>
          </cell>
          <cell r="F750" t="str">
            <v>אלעזאזמה ג'</v>
          </cell>
          <cell r="G750" t="str">
            <v>יסודי בלבד</v>
          </cell>
          <cell r="H750" t="str">
            <v>כן</v>
          </cell>
          <cell r="I750" t="str">
            <v>כן</v>
          </cell>
          <cell r="J750" t="str">
            <v>כן</v>
          </cell>
          <cell r="K750">
            <v>78</v>
          </cell>
          <cell r="L750">
            <v>78</v>
          </cell>
        </row>
        <row r="751">
          <cell r="D751">
            <v>613349</v>
          </cell>
          <cell r="E751" t="str">
            <v>רשות</v>
          </cell>
          <cell r="F751" t="str">
            <v>סוסיא</v>
          </cell>
          <cell r="G751" t="str">
            <v>יסודי בלבד</v>
          </cell>
          <cell r="H751" t="str">
            <v>כן</v>
          </cell>
          <cell r="I751" t="str">
            <v>כן</v>
          </cell>
          <cell r="J751" t="str">
            <v>כן</v>
          </cell>
          <cell r="K751">
            <v>381</v>
          </cell>
          <cell r="L751">
            <v>63</v>
          </cell>
        </row>
        <row r="752">
          <cell r="D752">
            <v>511717</v>
          </cell>
          <cell r="E752" t="str">
            <v>רשות</v>
          </cell>
          <cell r="F752" t="str">
            <v>תתמ"ד אזורי גוש עציון</v>
          </cell>
          <cell r="G752" t="str">
            <v>יסודי בלבד</v>
          </cell>
          <cell r="H752" t="str">
            <v>כן</v>
          </cell>
          <cell r="I752" t="str">
            <v>כן</v>
          </cell>
          <cell r="J752" t="str">
            <v>כן</v>
          </cell>
          <cell r="K752">
            <v>80</v>
          </cell>
          <cell r="L752">
            <v>58</v>
          </cell>
        </row>
        <row r="753">
          <cell r="D753">
            <v>411371</v>
          </cell>
          <cell r="E753" t="str">
            <v>רשות</v>
          </cell>
          <cell r="F753" t="str">
            <v>בארי</v>
          </cell>
          <cell r="G753" t="str">
            <v>יסודי בלבד</v>
          </cell>
          <cell r="H753" t="str">
            <v>כן</v>
          </cell>
          <cell r="I753" t="str">
            <v>כן</v>
          </cell>
          <cell r="J753" t="str">
            <v>כן</v>
          </cell>
          <cell r="K753">
            <v>230</v>
          </cell>
          <cell r="L753">
            <v>42</v>
          </cell>
        </row>
        <row r="754">
          <cell r="D754">
            <v>511261</v>
          </cell>
          <cell r="E754" t="str">
            <v/>
          </cell>
          <cell r="F754" t="str">
            <v>דוד בלוך</v>
          </cell>
          <cell r="G754" t="str">
            <v>יסודי בלבד</v>
          </cell>
          <cell r="H754" t="str">
            <v>כן</v>
          </cell>
          <cell r="I754" t="str">
            <v>כן</v>
          </cell>
          <cell r="J754" t="str">
            <v>כן</v>
          </cell>
          <cell r="K754">
            <v>234</v>
          </cell>
          <cell r="L754">
            <v>99</v>
          </cell>
        </row>
        <row r="755">
          <cell r="D755">
            <v>218875</v>
          </cell>
          <cell r="E755" t="str">
            <v>רשות</v>
          </cell>
          <cell r="F755" t="str">
            <v>ערב אלחלף</v>
          </cell>
          <cell r="G755" t="str">
            <v>יסודי בלבד</v>
          </cell>
          <cell r="H755" t="str">
            <v>כן</v>
          </cell>
          <cell r="I755" t="str">
            <v>כן</v>
          </cell>
          <cell r="J755" t="str">
            <v>כן</v>
          </cell>
          <cell r="K755">
            <v>59</v>
          </cell>
          <cell r="L755">
            <v>59</v>
          </cell>
        </row>
        <row r="756">
          <cell r="D756">
            <v>412908</v>
          </cell>
          <cell r="E756" t="str">
            <v>רשות</v>
          </cell>
          <cell r="F756" t="str">
            <v>עין גנים</v>
          </cell>
          <cell r="G756" t="str">
            <v>יסודי בלבד</v>
          </cell>
          <cell r="H756" t="str">
            <v>כן</v>
          </cell>
          <cell r="I756" t="str">
            <v>כן</v>
          </cell>
          <cell r="J756" t="str">
            <v>כן</v>
          </cell>
          <cell r="K756">
            <v>195</v>
          </cell>
          <cell r="L756">
            <v>195</v>
          </cell>
        </row>
        <row r="757">
          <cell r="D757">
            <v>512780</v>
          </cell>
          <cell r="E757" t="str">
            <v>רשות</v>
          </cell>
          <cell r="F757" t="str">
            <v>הבילויים</v>
          </cell>
          <cell r="G757" t="str">
            <v>יסודי בלבד</v>
          </cell>
          <cell r="H757" t="str">
            <v>כן</v>
          </cell>
          <cell r="I757" t="str">
            <v>כן</v>
          </cell>
          <cell r="J757" t="str">
            <v>כן</v>
          </cell>
          <cell r="K757">
            <v>164</v>
          </cell>
          <cell r="L757">
            <v>116</v>
          </cell>
        </row>
        <row r="758">
          <cell r="D758">
            <v>414573</v>
          </cell>
          <cell r="E758" t="str">
            <v>רשות</v>
          </cell>
          <cell r="F758" t="str">
            <v>יגאל אלון</v>
          </cell>
          <cell r="G758" t="str">
            <v>יסודי בלבד</v>
          </cell>
          <cell r="H758" t="str">
            <v>כן</v>
          </cell>
          <cell r="I758" t="str">
            <v>כן</v>
          </cell>
          <cell r="J758" t="str">
            <v>כן</v>
          </cell>
          <cell r="K758">
            <v>285</v>
          </cell>
          <cell r="L758">
            <v>73</v>
          </cell>
        </row>
        <row r="759">
          <cell r="D759">
            <v>618603</v>
          </cell>
          <cell r="E759" t="str">
            <v>רשות</v>
          </cell>
          <cell r="F759" t="str">
            <v>נווה-מדבר</v>
          </cell>
          <cell r="G759" t="str">
            <v>יסודי בלבד</v>
          </cell>
          <cell r="H759" t="str">
            <v>כן</v>
          </cell>
          <cell r="I759" t="str">
            <v>כן</v>
          </cell>
          <cell r="J759" t="str">
            <v>כן</v>
          </cell>
          <cell r="K759">
            <v>446</v>
          </cell>
          <cell r="L759">
            <v>225</v>
          </cell>
        </row>
        <row r="760">
          <cell r="D760">
            <v>618694</v>
          </cell>
          <cell r="E760" t="str">
            <v>רשות</v>
          </cell>
          <cell r="F760" t="str">
            <v>אלביאן</v>
          </cell>
          <cell r="G760" t="str">
            <v>יסודי בלבד</v>
          </cell>
          <cell r="H760" t="str">
            <v>כן</v>
          </cell>
          <cell r="I760" t="str">
            <v>כן</v>
          </cell>
          <cell r="J760" t="str">
            <v>כן</v>
          </cell>
          <cell r="K760">
            <v>247</v>
          </cell>
          <cell r="L760">
            <v>87</v>
          </cell>
        </row>
        <row r="761">
          <cell r="D761">
            <v>318071</v>
          </cell>
          <cell r="E761" t="str">
            <v>רשות</v>
          </cell>
          <cell r="F761" t="str">
            <v>עומר בן אלחטאב</v>
          </cell>
          <cell r="G761" t="str">
            <v>יסודי בלבד</v>
          </cell>
          <cell r="H761" t="str">
            <v>כן</v>
          </cell>
          <cell r="I761" t="str">
            <v>כן</v>
          </cell>
          <cell r="J761" t="str">
            <v>כן</v>
          </cell>
          <cell r="K761">
            <v>156</v>
          </cell>
          <cell r="L761">
            <v>70</v>
          </cell>
        </row>
        <row r="762">
          <cell r="D762">
            <v>113639</v>
          </cell>
          <cell r="E762" t="str">
            <v>רשות</v>
          </cell>
          <cell r="F762" t="str">
            <v>מ"מ ע"ש יצחק נבון</v>
          </cell>
          <cell r="G762" t="str">
            <v>יסודי בלבד</v>
          </cell>
          <cell r="H762" t="str">
            <v>כן</v>
          </cell>
          <cell r="I762" t="str">
            <v>כן</v>
          </cell>
          <cell r="J762" t="str">
            <v>כן</v>
          </cell>
          <cell r="K762">
            <v>71</v>
          </cell>
          <cell r="L762">
            <v>33</v>
          </cell>
        </row>
        <row r="763">
          <cell r="D763">
            <v>415950</v>
          </cell>
          <cell r="E763" t="str">
            <v>רשות</v>
          </cell>
          <cell r="F763" t="str">
            <v>ניצנים</v>
          </cell>
          <cell r="G763" t="str">
            <v>יסודי בלבד</v>
          </cell>
          <cell r="H763" t="str">
            <v>כן</v>
          </cell>
          <cell r="I763" t="str">
            <v>כן</v>
          </cell>
          <cell r="J763" t="str">
            <v>כן</v>
          </cell>
          <cell r="K763">
            <v>318</v>
          </cell>
          <cell r="L763">
            <v>77</v>
          </cell>
        </row>
        <row r="764">
          <cell r="D764">
            <v>618710</v>
          </cell>
          <cell r="E764" t="str">
            <v>רשות</v>
          </cell>
          <cell r="F764" t="str">
            <v>יסודי חדש בבית פלט</v>
          </cell>
          <cell r="G764" t="str">
            <v>יסודי בלבד</v>
          </cell>
          <cell r="H764" t="str">
            <v>כן</v>
          </cell>
          <cell r="I764" t="str">
            <v>כן</v>
          </cell>
          <cell r="J764" t="str">
            <v>כן</v>
          </cell>
          <cell r="K764">
            <v>223</v>
          </cell>
          <cell r="L764">
            <v>150</v>
          </cell>
        </row>
        <row r="765">
          <cell r="D765">
            <v>613141</v>
          </cell>
          <cell r="E765" t="str">
            <v>רשות</v>
          </cell>
          <cell r="F765" t="str">
            <v>עוזיאל</v>
          </cell>
          <cell r="G765" t="str">
            <v>יסודי בלבד</v>
          </cell>
          <cell r="H765" t="str">
            <v>כן</v>
          </cell>
          <cell r="I765" t="str">
            <v>כן</v>
          </cell>
          <cell r="J765" t="str">
            <v>כן</v>
          </cell>
          <cell r="K765">
            <v>116</v>
          </cell>
          <cell r="L765">
            <v>50</v>
          </cell>
        </row>
        <row r="766">
          <cell r="D766">
            <v>618660</v>
          </cell>
          <cell r="E766" t="str">
            <v>רשות</v>
          </cell>
          <cell r="F766" t="str">
            <v>אלזהרא</v>
          </cell>
          <cell r="G766" t="str">
            <v>יסודי בלבד</v>
          </cell>
          <cell r="H766" t="str">
            <v>כן</v>
          </cell>
          <cell r="I766" t="str">
            <v>כן</v>
          </cell>
          <cell r="J766" t="str">
            <v>כן</v>
          </cell>
          <cell r="K766">
            <v>216</v>
          </cell>
          <cell r="L766">
            <v>95</v>
          </cell>
        </row>
        <row r="767">
          <cell r="D767">
            <v>218842</v>
          </cell>
          <cell r="E767" t="str">
            <v>רשות</v>
          </cell>
          <cell r="F767" t="str">
            <v>ע"ש חוסיין יאסין ב</v>
          </cell>
          <cell r="G767" t="str">
            <v>יסודי בלבד</v>
          </cell>
          <cell r="H767" t="str">
            <v>כן</v>
          </cell>
          <cell r="I767" t="str">
            <v>כן</v>
          </cell>
          <cell r="J767" t="str">
            <v>כן</v>
          </cell>
          <cell r="K767">
            <v>345</v>
          </cell>
          <cell r="L767">
            <v>150</v>
          </cell>
        </row>
        <row r="768">
          <cell r="D768">
            <v>211953</v>
          </cell>
          <cell r="E768" t="str">
            <v>רשות</v>
          </cell>
          <cell r="F768" t="str">
            <v>מעלות נסים ממד עפולה</v>
          </cell>
          <cell r="G768" t="str">
            <v>יסודי בלבד</v>
          </cell>
          <cell r="H768" t="str">
            <v>כן</v>
          </cell>
          <cell r="I768" t="str">
            <v>כן</v>
          </cell>
          <cell r="J768" t="str">
            <v>כן</v>
          </cell>
          <cell r="K768">
            <v>76</v>
          </cell>
          <cell r="L768">
            <v>63</v>
          </cell>
        </row>
        <row r="769">
          <cell r="D769">
            <v>614552</v>
          </cell>
          <cell r="E769" t="str">
            <v>רשות</v>
          </cell>
          <cell r="F769" t="str">
            <v>הקרייה</v>
          </cell>
          <cell r="G769" t="str">
            <v>יסודי בלבד</v>
          </cell>
          <cell r="H769" t="str">
            <v>כן</v>
          </cell>
          <cell r="I769" t="str">
            <v>כן</v>
          </cell>
          <cell r="J769" t="str">
            <v>כן</v>
          </cell>
          <cell r="K769">
            <v>145</v>
          </cell>
          <cell r="L769">
            <v>62</v>
          </cell>
        </row>
        <row r="770">
          <cell r="D770">
            <v>418111</v>
          </cell>
          <cell r="E770" t="str">
            <v>רשות</v>
          </cell>
          <cell r="F770" t="str">
            <v>אל גזאלי</v>
          </cell>
          <cell r="G770" t="str">
            <v>יסודי בלבד</v>
          </cell>
          <cell r="H770" t="str">
            <v>כן</v>
          </cell>
          <cell r="I770" t="str">
            <v>כן</v>
          </cell>
          <cell r="J770" t="str">
            <v>כן</v>
          </cell>
          <cell r="K770">
            <v>291</v>
          </cell>
          <cell r="L770">
            <v>83</v>
          </cell>
        </row>
        <row r="771">
          <cell r="D771">
            <v>110486</v>
          </cell>
          <cell r="E771" t="str">
            <v>רשות</v>
          </cell>
          <cell r="F771" t="str">
            <v>עוזיאל</v>
          </cell>
          <cell r="G771" t="str">
            <v>יסודי בלבד</v>
          </cell>
          <cell r="H771" t="str">
            <v>כן</v>
          </cell>
          <cell r="I771" t="str">
            <v>כן</v>
          </cell>
          <cell r="J771" t="str">
            <v>כן</v>
          </cell>
          <cell r="K771">
            <v>167</v>
          </cell>
          <cell r="L771">
            <v>38</v>
          </cell>
        </row>
        <row r="772">
          <cell r="D772">
            <v>213991</v>
          </cell>
          <cell r="E772" t="str">
            <v>רשות</v>
          </cell>
          <cell r="F772" t="str">
            <v>ממ ג'-גוונים עפולה</v>
          </cell>
          <cell r="G772" t="str">
            <v>יסודי בלבד</v>
          </cell>
          <cell r="H772" t="str">
            <v>כן</v>
          </cell>
          <cell r="I772" t="str">
            <v>כן</v>
          </cell>
          <cell r="J772" t="str">
            <v>כן</v>
          </cell>
          <cell r="K772">
            <v>218</v>
          </cell>
          <cell r="L772">
            <v>125</v>
          </cell>
        </row>
        <row r="773">
          <cell r="D773">
            <v>618355</v>
          </cell>
          <cell r="E773" t="str">
            <v>רשות</v>
          </cell>
          <cell r="F773" t="str">
            <v>אל אעצם ב'</v>
          </cell>
          <cell r="G773" t="str">
            <v>יסודי בלבד</v>
          </cell>
          <cell r="H773" t="str">
            <v>כן</v>
          </cell>
          <cell r="I773" t="str">
            <v>כן</v>
          </cell>
          <cell r="J773" t="str">
            <v>כן</v>
          </cell>
          <cell r="K773">
            <v>324</v>
          </cell>
          <cell r="L773">
            <v>165</v>
          </cell>
        </row>
        <row r="774">
          <cell r="D774">
            <v>618868</v>
          </cell>
          <cell r="E774" t="str">
            <v>רשות</v>
          </cell>
          <cell r="F774" t="str">
            <v>אלאנדלוס</v>
          </cell>
          <cell r="G774" t="str">
            <v>יסודי בלבד</v>
          </cell>
          <cell r="H774" t="str">
            <v>כן</v>
          </cell>
          <cell r="I774" t="str">
            <v>כן</v>
          </cell>
          <cell r="J774" t="str">
            <v>כן</v>
          </cell>
          <cell r="K774">
            <v>282</v>
          </cell>
          <cell r="L774">
            <v>140</v>
          </cell>
        </row>
        <row r="775">
          <cell r="D775">
            <v>354977</v>
          </cell>
          <cell r="E775" t="str">
            <v>רשות</v>
          </cell>
          <cell r="F775" t="str">
            <v>יסודי רומאנה</v>
          </cell>
          <cell r="G775" t="str">
            <v>יסודי בלבד</v>
          </cell>
          <cell r="H775" t="str">
            <v>כן</v>
          </cell>
          <cell r="I775" t="str">
            <v>כן</v>
          </cell>
          <cell r="J775" t="str">
            <v>כן</v>
          </cell>
          <cell r="K775">
            <v>111</v>
          </cell>
          <cell r="L775">
            <v>96</v>
          </cell>
        </row>
        <row r="776">
          <cell r="D776">
            <v>217273</v>
          </cell>
          <cell r="E776" t="str">
            <v>רשות</v>
          </cell>
          <cell r="F776" t="str">
            <v>יסודי ב' משהד</v>
          </cell>
          <cell r="G776" t="str">
            <v>יסודי בלבד</v>
          </cell>
          <cell r="H776" t="str">
            <v>כן</v>
          </cell>
          <cell r="I776" t="str">
            <v>כן</v>
          </cell>
          <cell r="J776" t="str">
            <v>כן</v>
          </cell>
          <cell r="K776">
            <v>177</v>
          </cell>
          <cell r="L776">
            <v>100</v>
          </cell>
        </row>
        <row r="777">
          <cell r="D777">
            <v>338467</v>
          </cell>
          <cell r="E777" t="str">
            <v>רשות</v>
          </cell>
          <cell r="F777" t="str">
            <v>בית חינוך יצחק נבון</v>
          </cell>
          <cell r="G777" t="str">
            <v>יסודי בלבד</v>
          </cell>
          <cell r="H777" t="str">
            <v>כן</v>
          </cell>
          <cell r="I777" t="str">
            <v>כן</v>
          </cell>
          <cell r="J777" t="str">
            <v>כן</v>
          </cell>
          <cell r="K777">
            <v>226</v>
          </cell>
          <cell r="L777">
            <v>90</v>
          </cell>
        </row>
        <row r="778">
          <cell r="D778">
            <v>611152</v>
          </cell>
          <cell r="E778" t="str">
            <v>רשות</v>
          </cell>
          <cell r="F778" t="str">
            <v>אלנג'אח</v>
          </cell>
          <cell r="G778" t="str">
            <v>יסודי בלבד</v>
          </cell>
          <cell r="H778" t="str">
            <v>כן</v>
          </cell>
          <cell r="I778" t="str">
            <v>כן</v>
          </cell>
          <cell r="J778" t="str">
            <v>כן</v>
          </cell>
          <cell r="K778">
            <v>145</v>
          </cell>
          <cell r="L778">
            <v>100</v>
          </cell>
        </row>
        <row r="779">
          <cell r="D779">
            <v>618876</v>
          </cell>
          <cell r="E779" t="str">
            <v>רשות</v>
          </cell>
          <cell r="F779" t="str">
            <v>אל אמל</v>
          </cell>
          <cell r="G779" t="str">
            <v>יסודי בלבד</v>
          </cell>
          <cell r="H779" t="str">
            <v>כן</v>
          </cell>
          <cell r="I779" t="str">
            <v>כן</v>
          </cell>
          <cell r="J779" t="str">
            <v>כן</v>
          </cell>
          <cell r="K779">
            <v>182</v>
          </cell>
          <cell r="L779">
            <v>182</v>
          </cell>
        </row>
        <row r="780">
          <cell r="D780">
            <v>213629</v>
          </cell>
          <cell r="E780" t="str">
            <v>רשות</v>
          </cell>
          <cell r="F780" t="str">
            <v>כרמל</v>
          </cell>
          <cell r="G780" t="str">
            <v>יסודי בלבד</v>
          </cell>
          <cell r="H780" t="str">
            <v>כן</v>
          </cell>
          <cell r="I780" t="str">
            <v>כן</v>
          </cell>
          <cell r="J780" t="str">
            <v>כן</v>
          </cell>
          <cell r="K780">
            <v>103</v>
          </cell>
          <cell r="L780">
            <v>66</v>
          </cell>
        </row>
        <row r="781">
          <cell r="D781">
            <v>410779</v>
          </cell>
          <cell r="E781" t="str">
            <v>רשות</v>
          </cell>
          <cell r="F781" t="str">
            <v>ביאליק</v>
          </cell>
          <cell r="G781" t="str">
            <v>יסודי בלבד</v>
          </cell>
          <cell r="H781" t="str">
            <v>כן</v>
          </cell>
          <cell r="I781" t="str">
            <v>כן</v>
          </cell>
          <cell r="J781" t="str">
            <v>כן</v>
          </cell>
          <cell r="K781">
            <v>156</v>
          </cell>
          <cell r="L781">
            <v>55</v>
          </cell>
        </row>
        <row r="782">
          <cell r="D782">
            <v>655258</v>
          </cell>
          <cell r="E782" t="str">
            <v>בעלות</v>
          </cell>
          <cell r="F782" t="str">
            <v>בני הישיבות גבעת זאב</v>
          </cell>
          <cell r="G782" t="str">
            <v>יסודי בלבד</v>
          </cell>
          <cell r="H782" t="str">
            <v>כן</v>
          </cell>
          <cell r="I782" t="str">
            <v>כן</v>
          </cell>
          <cell r="J782" t="str">
            <v>כן</v>
          </cell>
          <cell r="K782">
            <v>50</v>
          </cell>
          <cell r="L782">
            <v>56</v>
          </cell>
        </row>
        <row r="783">
          <cell r="D783">
            <v>618165</v>
          </cell>
          <cell r="E783" t="str">
            <v>רשות</v>
          </cell>
          <cell r="F783" t="str">
            <v>אלמסתקבל</v>
          </cell>
          <cell r="G783" t="str">
            <v>יסודי בלבד</v>
          </cell>
          <cell r="H783" t="str">
            <v>כן</v>
          </cell>
          <cell r="I783" t="str">
            <v>כן</v>
          </cell>
          <cell r="J783" t="str">
            <v>כן</v>
          </cell>
          <cell r="K783">
            <v>327</v>
          </cell>
          <cell r="L783">
            <v>327</v>
          </cell>
        </row>
        <row r="784">
          <cell r="D784">
            <v>218206</v>
          </cell>
          <cell r="E784" t="str">
            <v>רשות</v>
          </cell>
          <cell r="F784" t="str">
            <v>ואדי אלחמאם</v>
          </cell>
          <cell r="G784" t="str">
            <v>יסודי בלבד</v>
          </cell>
          <cell r="H784" t="str">
            <v>כן</v>
          </cell>
          <cell r="I784" t="str">
            <v>כן</v>
          </cell>
          <cell r="J784" t="str">
            <v>כן</v>
          </cell>
          <cell r="K784">
            <v>71</v>
          </cell>
          <cell r="L784">
            <v>71</v>
          </cell>
        </row>
        <row r="785">
          <cell r="D785">
            <v>110106</v>
          </cell>
          <cell r="E785" t="str">
            <v>רשות</v>
          </cell>
          <cell r="F785" t="str">
            <v>אגרון גרשון</v>
          </cell>
          <cell r="G785" t="str">
            <v>יסודי בלבד</v>
          </cell>
          <cell r="H785" t="str">
            <v>כן</v>
          </cell>
          <cell r="I785" t="str">
            <v>כן</v>
          </cell>
          <cell r="J785" t="str">
            <v>כן</v>
          </cell>
          <cell r="K785">
            <v>98</v>
          </cell>
          <cell r="L785">
            <v>51</v>
          </cell>
        </row>
        <row r="786">
          <cell r="D786">
            <v>212159</v>
          </cell>
          <cell r="E786" t="str">
            <v>רשות</v>
          </cell>
          <cell r="F786" t="str">
            <v>רגבה אזורי</v>
          </cell>
          <cell r="G786" t="str">
            <v>יסודי בלבד</v>
          </cell>
          <cell r="H786" t="str">
            <v>כן</v>
          </cell>
          <cell r="I786" t="str">
            <v>כן</v>
          </cell>
          <cell r="J786" t="str">
            <v>כן</v>
          </cell>
          <cell r="K786">
            <v>233</v>
          </cell>
          <cell r="L786">
            <v>75</v>
          </cell>
        </row>
        <row r="787">
          <cell r="D787">
            <v>218420</v>
          </cell>
          <cell r="E787" t="str">
            <v>רשות</v>
          </cell>
          <cell r="F787" t="str">
            <v>יסודי כפר מסר</v>
          </cell>
          <cell r="G787" t="str">
            <v>יסודי בלבד</v>
          </cell>
          <cell r="H787" t="str">
            <v>כן</v>
          </cell>
          <cell r="I787" t="str">
            <v>כן</v>
          </cell>
          <cell r="J787" t="str">
            <v>כן</v>
          </cell>
          <cell r="K787">
            <v>108</v>
          </cell>
          <cell r="L787">
            <v>80</v>
          </cell>
        </row>
        <row r="788">
          <cell r="D788">
            <v>512129</v>
          </cell>
          <cell r="E788" t="str">
            <v/>
          </cell>
          <cell r="F788" t="str">
            <v>ת"ת מרכז ב"ב</v>
          </cell>
          <cell r="G788" t="str">
            <v>יסודי בלבד</v>
          </cell>
          <cell r="H788" t="str">
            <v>לא</v>
          </cell>
          <cell r="I788" t="str">
            <v>לא</v>
          </cell>
          <cell r="J788" t="str">
            <v>לא</v>
          </cell>
          <cell r="K788">
            <v>0</v>
          </cell>
          <cell r="L788">
            <v>0</v>
          </cell>
        </row>
        <row r="789">
          <cell r="D789">
            <v>413153</v>
          </cell>
          <cell r="E789" t="str">
            <v>רשות</v>
          </cell>
          <cell r="F789" t="str">
            <v>ממ"ד אפרתי</v>
          </cell>
          <cell r="G789" t="str">
            <v>יסודי בלבד</v>
          </cell>
          <cell r="H789" t="str">
            <v>כן</v>
          </cell>
          <cell r="I789" t="str">
            <v>כן</v>
          </cell>
          <cell r="J789" t="str">
            <v>כן</v>
          </cell>
          <cell r="K789">
            <v>88</v>
          </cell>
          <cell r="L789">
            <v>88</v>
          </cell>
        </row>
        <row r="790">
          <cell r="D790">
            <v>410787</v>
          </cell>
          <cell r="E790" t="str">
            <v>רשות</v>
          </cell>
          <cell r="F790" t="str">
            <v>רמות ויצמן</v>
          </cell>
          <cell r="G790" t="str">
            <v>יסודי בלבד</v>
          </cell>
          <cell r="H790" t="str">
            <v>כן</v>
          </cell>
          <cell r="I790" t="str">
            <v>כן</v>
          </cell>
          <cell r="J790" t="str">
            <v>כן</v>
          </cell>
          <cell r="K790">
            <v>285</v>
          </cell>
          <cell r="L790">
            <v>85</v>
          </cell>
        </row>
        <row r="791">
          <cell r="D791">
            <v>415521</v>
          </cell>
          <cell r="E791" t="str">
            <v/>
          </cell>
          <cell r="F791" t="str">
            <v>ממ"ד חבד בנות ח.מושק</v>
          </cell>
          <cell r="G791" t="str">
            <v>יסודי בלבד</v>
          </cell>
          <cell r="H791" t="str">
            <v>כן</v>
          </cell>
          <cell r="I791" t="str">
            <v>כן</v>
          </cell>
          <cell r="J791" t="str">
            <v>כן</v>
          </cell>
          <cell r="K791">
            <v>173</v>
          </cell>
          <cell r="L791">
            <v>163</v>
          </cell>
        </row>
        <row r="792">
          <cell r="D792">
            <v>618199</v>
          </cell>
          <cell r="E792" t="str">
            <v>רשות</v>
          </cell>
          <cell r="F792" t="str">
            <v>אלהושאלה</v>
          </cell>
          <cell r="G792" t="str">
            <v>יסודי בלבד</v>
          </cell>
          <cell r="H792" t="str">
            <v>כן</v>
          </cell>
          <cell r="I792" t="str">
            <v>כן</v>
          </cell>
          <cell r="J792" t="str">
            <v>כן</v>
          </cell>
          <cell r="K792">
            <v>134</v>
          </cell>
          <cell r="L792">
            <v>87</v>
          </cell>
        </row>
        <row r="793">
          <cell r="D793">
            <v>218909</v>
          </cell>
          <cell r="E793" t="str">
            <v>רשות</v>
          </cell>
          <cell r="F793" t="str">
            <v>ערב אלמזאריב</v>
          </cell>
          <cell r="G793" t="str">
            <v>יסודי בלבד</v>
          </cell>
          <cell r="H793" t="str">
            <v>כן</v>
          </cell>
          <cell r="I793" t="str">
            <v>כן</v>
          </cell>
          <cell r="J793" t="str">
            <v>כן</v>
          </cell>
          <cell r="K793">
            <v>127</v>
          </cell>
          <cell r="L793">
            <v>50</v>
          </cell>
        </row>
        <row r="794">
          <cell r="D794">
            <v>612325</v>
          </cell>
          <cell r="E794" t="str">
            <v>רשות</v>
          </cell>
          <cell r="F794" t="str">
            <v>מרחבים</v>
          </cell>
          <cell r="G794" t="str">
            <v>יסודי בלבד</v>
          </cell>
          <cell r="H794" t="str">
            <v>כן</v>
          </cell>
          <cell r="I794" t="str">
            <v>כן</v>
          </cell>
          <cell r="J794" t="str">
            <v>כן</v>
          </cell>
          <cell r="K794">
            <v>209</v>
          </cell>
          <cell r="L794">
            <v>78</v>
          </cell>
        </row>
        <row r="795">
          <cell r="D795">
            <v>112235</v>
          </cell>
          <cell r="E795" t="str">
            <v/>
          </cell>
          <cell r="F795" t="str">
            <v>ב"י מעלה עמוס</v>
          </cell>
          <cell r="G795" t="str">
            <v>יסודי בלבד</v>
          </cell>
          <cell r="H795" t="str">
            <v>כן</v>
          </cell>
          <cell r="I795" t="str">
            <v>כן</v>
          </cell>
          <cell r="J795" t="str">
            <v>כן</v>
          </cell>
          <cell r="K795">
            <v>0</v>
          </cell>
          <cell r="L795">
            <v>48</v>
          </cell>
        </row>
        <row r="796">
          <cell r="D796">
            <v>412619</v>
          </cell>
          <cell r="E796" t="str">
            <v/>
          </cell>
          <cell r="F796" t="str">
            <v>בנות צופיה</v>
          </cell>
          <cell r="G796" t="str">
            <v>יסודי בלבד</v>
          </cell>
          <cell r="H796" t="str">
            <v>כן</v>
          </cell>
          <cell r="I796" t="str">
            <v>כן</v>
          </cell>
          <cell r="J796" t="str">
            <v>כן</v>
          </cell>
          <cell r="K796">
            <v>0</v>
          </cell>
          <cell r="L796">
            <v>111</v>
          </cell>
        </row>
        <row r="797">
          <cell r="D797">
            <v>633834</v>
          </cell>
          <cell r="E797" t="str">
            <v>בעלות</v>
          </cell>
          <cell r="F797" t="str">
            <v>אפיקי מים בנות</v>
          </cell>
          <cell r="G797" t="str">
            <v>יסודי בלבד</v>
          </cell>
          <cell r="H797" t="str">
            <v>כן</v>
          </cell>
          <cell r="I797" t="str">
            <v>כן</v>
          </cell>
          <cell r="J797" t="str">
            <v>כן</v>
          </cell>
          <cell r="K797">
            <v>109</v>
          </cell>
          <cell r="L797">
            <v>110</v>
          </cell>
        </row>
        <row r="798">
          <cell r="D798">
            <v>410811</v>
          </cell>
          <cell r="E798" t="str">
            <v>רשות</v>
          </cell>
          <cell r="F798" t="str">
            <v>ממלכתי עמל</v>
          </cell>
          <cell r="G798" t="str">
            <v>יסודי בלבד</v>
          </cell>
          <cell r="H798" t="str">
            <v>כן</v>
          </cell>
          <cell r="I798" t="str">
            <v>כן</v>
          </cell>
          <cell r="J798" t="str">
            <v>כן</v>
          </cell>
          <cell r="K798">
            <v>188</v>
          </cell>
          <cell r="L798">
            <v>48</v>
          </cell>
        </row>
        <row r="799">
          <cell r="D799">
            <v>219089</v>
          </cell>
          <cell r="E799" t="str">
            <v>רשות</v>
          </cell>
          <cell r="F799" t="str">
            <v>אלזהרא (ג) טמרה</v>
          </cell>
          <cell r="G799" t="str">
            <v>יסודי בלבד</v>
          </cell>
          <cell r="H799" t="str">
            <v>כן</v>
          </cell>
          <cell r="I799" t="str">
            <v>כן</v>
          </cell>
          <cell r="J799" t="str">
            <v>כן</v>
          </cell>
          <cell r="K799">
            <v>213</v>
          </cell>
          <cell r="L799">
            <v>82</v>
          </cell>
        </row>
        <row r="800">
          <cell r="D800">
            <v>510420</v>
          </cell>
          <cell r="E800" t="str">
            <v>רשות</v>
          </cell>
          <cell r="F800" t="str">
            <v>יצחק בן צבי</v>
          </cell>
          <cell r="G800" t="str">
            <v>יסודי בלבד</v>
          </cell>
          <cell r="H800" t="str">
            <v>כן</v>
          </cell>
          <cell r="I800" t="str">
            <v>כן</v>
          </cell>
          <cell r="J800" t="str">
            <v>כן</v>
          </cell>
          <cell r="K800">
            <v>215</v>
          </cell>
          <cell r="L800">
            <v>81</v>
          </cell>
        </row>
        <row r="801">
          <cell r="D801">
            <v>110270</v>
          </cell>
          <cell r="E801" t="str">
            <v>רשות</v>
          </cell>
          <cell r="F801" t="str">
            <v>לוריא</v>
          </cell>
          <cell r="G801" t="str">
            <v>יסודי בלבד</v>
          </cell>
          <cell r="H801" t="str">
            <v>כן</v>
          </cell>
          <cell r="I801" t="str">
            <v>כן</v>
          </cell>
          <cell r="J801" t="str">
            <v>כן</v>
          </cell>
          <cell r="K801">
            <v>109</v>
          </cell>
          <cell r="L801">
            <v>73</v>
          </cell>
        </row>
        <row r="802">
          <cell r="D802">
            <v>613133</v>
          </cell>
          <cell r="E802" t="str">
            <v>רשות</v>
          </cell>
          <cell r="F802" t="str">
            <v>שדות</v>
          </cell>
          <cell r="G802" t="str">
            <v>יסודי בלבד</v>
          </cell>
          <cell r="H802" t="str">
            <v>כן</v>
          </cell>
          <cell r="I802" t="str">
            <v>כן</v>
          </cell>
          <cell r="J802" t="str">
            <v>לא</v>
          </cell>
          <cell r="K802">
            <v>143</v>
          </cell>
          <cell r="L802">
            <v>34</v>
          </cell>
        </row>
        <row r="803">
          <cell r="D803">
            <v>192849</v>
          </cell>
          <cell r="E803" t="str">
            <v>רשות</v>
          </cell>
          <cell r="F803" t="str">
            <v>חומת שמואל מ"מ</v>
          </cell>
          <cell r="G803" t="str">
            <v>יסודי בלבד</v>
          </cell>
          <cell r="H803" t="str">
            <v>כן</v>
          </cell>
          <cell r="I803" t="str">
            <v>כן</v>
          </cell>
          <cell r="J803" t="str">
            <v>כן</v>
          </cell>
          <cell r="K803">
            <v>134</v>
          </cell>
          <cell r="L803">
            <v>53</v>
          </cell>
        </row>
        <row r="804">
          <cell r="D804">
            <v>411926</v>
          </cell>
          <cell r="E804" t="str">
            <v>רשות</v>
          </cell>
          <cell r="F804" t="str">
            <v>לאה גולדברג</v>
          </cell>
          <cell r="G804" t="str">
            <v>יסודי בלבד</v>
          </cell>
          <cell r="H804" t="str">
            <v>כן</v>
          </cell>
          <cell r="I804" t="str">
            <v>כן</v>
          </cell>
          <cell r="J804" t="str">
            <v>כן</v>
          </cell>
          <cell r="K804">
            <v>206</v>
          </cell>
          <cell r="L804">
            <v>62</v>
          </cell>
        </row>
        <row r="805">
          <cell r="D805">
            <v>118091</v>
          </cell>
          <cell r="E805" t="str">
            <v>רשות</v>
          </cell>
          <cell r="F805" t="str">
            <v>בית צפאפא יסודי</v>
          </cell>
          <cell r="G805" t="str">
            <v>יסודי בלבד</v>
          </cell>
          <cell r="H805" t="str">
            <v>כן</v>
          </cell>
          <cell r="I805" t="str">
            <v>כן</v>
          </cell>
          <cell r="J805" t="str">
            <v>כן</v>
          </cell>
          <cell r="K805">
            <v>279</v>
          </cell>
          <cell r="L805">
            <v>45</v>
          </cell>
        </row>
        <row r="806">
          <cell r="D806">
            <v>510768</v>
          </cell>
          <cell r="E806" t="str">
            <v>רשות</v>
          </cell>
          <cell r="F806" t="str">
            <v>יהלם</v>
          </cell>
          <cell r="G806" t="str">
            <v>יסודי בלבד</v>
          </cell>
          <cell r="H806" t="str">
            <v>כן</v>
          </cell>
          <cell r="I806" t="str">
            <v>כן</v>
          </cell>
          <cell r="J806" t="str">
            <v>כן</v>
          </cell>
          <cell r="K806">
            <v>201</v>
          </cell>
          <cell r="L806">
            <v>90</v>
          </cell>
        </row>
        <row r="807">
          <cell r="D807">
            <v>414565</v>
          </cell>
          <cell r="E807" t="str">
            <v>רשות</v>
          </cell>
          <cell r="F807" t="str">
            <v>ממ' גנים</v>
          </cell>
          <cell r="G807" t="str">
            <v>יסודי בלבד</v>
          </cell>
          <cell r="H807" t="str">
            <v>כן</v>
          </cell>
          <cell r="I807" t="str">
            <v>כן</v>
          </cell>
          <cell r="J807" t="str">
            <v>כן</v>
          </cell>
          <cell r="K807">
            <v>172</v>
          </cell>
          <cell r="L807">
            <v>78</v>
          </cell>
        </row>
        <row r="808">
          <cell r="D808">
            <v>480137</v>
          </cell>
          <cell r="E808" t="str">
            <v>רשות</v>
          </cell>
          <cell r="F808" t="str">
            <v>בית החינוך ע"ש שמעון פרס</v>
          </cell>
          <cell r="G808" t="str">
            <v>יסודי בלבד</v>
          </cell>
          <cell r="H808" t="str">
            <v>כן</v>
          </cell>
          <cell r="I808" t="str">
            <v>כן</v>
          </cell>
          <cell r="J808" t="str">
            <v>כן</v>
          </cell>
          <cell r="K808">
            <v>389</v>
          </cell>
          <cell r="L808">
            <v>90</v>
          </cell>
        </row>
        <row r="809">
          <cell r="D809">
            <v>413401</v>
          </cell>
          <cell r="E809" t="str">
            <v>רשות</v>
          </cell>
          <cell r="F809" t="str">
            <v>אשכולות</v>
          </cell>
          <cell r="G809" t="str">
            <v>יסודי בלבד</v>
          </cell>
          <cell r="H809" t="str">
            <v>כן</v>
          </cell>
          <cell r="I809" t="str">
            <v>כן</v>
          </cell>
          <cell r="J809" t="str">
            <v>כן</v>
          </cell>
          <cell r="K809">
            <v>135</v>
          </cell>
          <cell r="L809">
            <v>42</v>
          </cell>
        </row>
        <row r="810">
          <cell r="D810">
            <v>111179</v>
          </cell>
          <cell r="E810" t="str">
            <v>רשות</v>
          </cell>
          <cell r="F810" t="str">
            <v>לוי אשכול</v>
          </cell>
          <cell r="G810" t="str">
            <v>יסודי בלבד</v>
          </cell>
          <cell r="H810" t="str">
            <v>כן</v>
          </cell>
          <cell r="I810" t="str">
            <v>כן</v>
          </cell>
          <cell r="J810" t="str">
            <v>כן</v>
          </cell>
          <cell r="K810">
            <v>153</v>
          </cell>
          <cell r="L810">
            <v>83</v>
          </cell>
        </row>
        <row r="811">
          <cell r="D811">
            <v>110171</v>
          </cell>
          <cell r="E811" t="str">
            <v>רשות</v>
          </cell>
          <cell r="F811" t="str">
            <v>תל"י גאולים ע"ש יצחק נבון</v>
          </cell>
          <cell r="G811" t="str">
            <v>יסודי בלבד</v>
          </cell>
          <cell r="H811" t="str">
            <v>כן</v>
          </cell>
          <cell r="I811" t="str">
            <v>כן</v>
          </cell>
          <cell r="J811" t="str">
            <v>כן</v>
          </cell>
          <cell r="K811">
            <v>154</v>
          </cell>
          <cell r="L811">
            <v>56</v>
          </cell>
        </row>
        <row r="812">
          <cell r="D812">
            <v>113597</v>
          </cell>
          <cell r="E812" t="str">
            <v>רשות</v>
          </cell>
          <cell r="F812" t="str">
            <v>נועם בנים פסגת זאב</v>
          </cell>
          <cell r="G812" t="str">
            <v>יסודי בלבד</v>
          </cell>
          <cell r="H812" t="str">
            <v>כן</v>
          </cell>
          <cell r="I812" t="str">
            <v>כן</v>
          </cell>
          <cell r="J812" t="str">
            <v>כן</v>
          </cell>
          <cell r="K812">
            <v>139</v>
          </cell>
          <cell r="L812">
            <v>56</v>
          </cell>
        </row>
        <row r="813">
          <cell r="D813">
            <v>614628</v>
          </cell>
          <cell r="E813" t="str">
            <v>רשות</v>
          </cell>
          <cell r="F813" t="str">
            <v>גלים</v>
          </cell>
          <cell r="G813" t="str">
            <v>יסודי בלבד</v>
          </cell>
          <cell r="H813" t="str">
            <v>כן</v>
          </cell>
          <cell r="I813" t="str">
            <v>כן</v>
          </cell>
          <cell r="J813" t="str">
            <v>כן</v>
          </cell>
          <cell r="K813">
            <v>238</v>
          </cell>
          <cell r="L813">
            <v>64</v>
          </cell>
        </row>
        <row r="814">
          <cell r="D814">
            <v>384339</v>
          </cell>
          <cell r="E814" t="str">
            <v>רשות</v>
          </cell>
          <cell r="F814" t="str">
            <v>יסודי ע"ש יצחק נבון</v>
          </cell>
          <cell r="G814" t="str">
            <v>יסודי בלבד</v>
          </cell>
          <cell r="H814" t="str">
            <v>כן</v>
          </cell>
          <cell r="I814" t="str">
            <v>כן</v>
          </cell>
          <cell r="J814" t="str">
            <v>כן</v>
          </cell>
          <cell r="K814">
            <v>287</v>
          </cell>
          <cell r="L814">
            <v>78</v>
          </cell>
        </row>
        <row r="815">
          <cell r="D815">
            <v>210286</v>
          </cell>
          <cell r="E815" t="str">
            <v>רשות</v>
          </cell>
          <cell r="F815" t="str">
            <v>תומר</v>
          </cell>
          <cell r="G815" t="str">
            <v>יסודי בלבד</v>
          </cell>
          <cell r="H815" t="str">
            <v>כן</v>
          </cell>
          <cell r="I815" t="str">
            <v>כן</v>
          </cell>
          <cell r="J815" t="str">
            <v>כן</v>
          </cell>
          <cell r="K815">
            <v>144</v>
          </cell>
          <cell r="L815">
            <v>144</v>
          </cell>
        </row>
        <row r="816">
          <cell r="D816">
            <v>338749</v>
          </cell>
          <cell r="E816" t="str">
            <v>בעלות</v>
          </cell>
          <cell r="F816" t="str">
            <v>בית מרגלית החדש</v>
          </cell>
          <cell r="G816" t="str">
            <v>יסודי בלבד</v>
          </cell>
          <cell r="H816" t="str">
            <v>כן</v>
          </cell>
          <cell r="I816" t="str">
            <v>כן</v>
          </cell>
          <cell r="J816" t="str">
            <v>כן</v>
          </cell>
          <cell r="K816">
            <v>62</v>
          </cell>
          <cell r="L816">
            <v>63</v>
          </cell>
        </row>
        <row r="817">
          <cell r="D817">
            <v>219113</v>
          </cell>
          <cell r="E817" t="str">
            <v>רשות</v>
          </cell>
          <cell r="F817" t="str">
            <v>אלשריף</v>
          </cell>
          <cell r="G817" t="str">
            <v>יסודי בלבד</v>
          </cell>
          <cell r="H817" t="str">
            <v>כן</v>
          </cell>
          <cell r="I817" t="str">
            <v>כן</v>
          </cell>
          <cell r="J817" t="str">
            <v>כן</v>
          </cell>
          <cell r="K817">
            <v>130</v>
          </cell>
          <cell r="L817">
            <v>66</v>
          </cell>
        </row>
        <row r="818">
          <cell r="D818">
            <v>510362</v>
          </cell>
          <cell r="E818" t="str">
            <v>רשות</v>
          </cell>
          <cell r="F818" t="str">
            <v>אמונים מד</v>
          </cell>
          <cell r="G818" t="str">
            <v>יסודי בלבד</v>
          </cell>
          <cell r="H818" t="str">
            <v>כן</v>
          </cell>
          <cell r="I818" t="str">
            <v>כן</v>
          </cell>
          <cell r="J818" t="str">
            <v>כן</v>
          </cell>
          <cell r="K818">
            <v>138</v>
          </cell>
          <cell r="L818">
            <v>55</v>
          </cell>
        </row>
        <row r="819">
          <cell r="D819">
            <v>510743</v>
          </cell>
          <cell r="E819" t="str">
            <v>רשות</v>
          </cell>
          <cell r="F819" t="str">
            <v>המתמיד</v>
          </cell>
          <cell r="G819" t="str">
            <v>יסודי בלבד</v>
          </cell>
          <cell r="H819" t="str">
            <v>כן</v>
          </cell>
          <cell r="I819" t="str">
            <v>כן</v>
          </cell>
          <cell r="J819" t="str">
            <v>כן</v>
          </cell>
          <cell r="K819">
            <v>190</v>
          </cell>
          <cell r="L819">
            <v>100</v>
          </cell>
        </row>
        <row r="820">
          <cell r="D820">
            <v>430199</v>
          </cell>
          <cell r="E820" t="str">
            <v>בעלות</v>
          </cell>
          <cell r="F820" t="str">
            <v>שירת מרים</v>
          </cell>
          <cell r="G820" t="str">
            <v>יסודי בלבד</v>
          </cell>
          <cell r="H820" t="str">
            <v>כן</v>
          </cell>
          <cell r="I820" t="str">
            <v>כן</v>
          </cell>
          <cell r="J820" t="str">
            <v>כן</v>
          </cell>
          <cell r="K820">
            <v>49</v>
          </cell>
          <cell r="L820">
            <v>49</v>
          </cell>
        </row>
        <row r="821">
          <cell r="D821">
            <v>514513</v>
          </cell>
          <cell r="E821" t="str">
            <v>רשות</v>
          </cell>
          <cell r="F821" t="str">
            <v>אביב</v>
          </cell>
          <cell r="G821" t="str">
            <v>יסודי בלבד</v>
          </cell>
          <cell r="H821" t="str">
            <v>כן</v>
          </cell>
          <cell r="I821" t="str">
            <v>כן</v>
          </cell>
          <cell r="J821" t="str">
            <v>כן</v>
          </cell>
          <cell r="K821">
            <v>212</v>
          </cell>
          <cell r="L821">
            <v>106</v>
          </cell>
        </row>
        <row r="822">
          <cell r="D822">
            <v>610857</v>
          </cell>
          <cell r="E822" t="str">
            <v>רשות</v>
          </cell>
          <cell r="F822" t="str">
            <v>רבקה גובר</v>
          </cell>
          <cell r="G822" t="str">
            <v>יסודי בלבד</v>
          </cell>
          <cell r="H822" t="str">
            <v>כן</v>
          </cell>
          <cell r="I822" t="str">
            <v>כן</v>
          </cell>
          <cell r="J822" t="str">
            <v>כן</v>
          </cell>
          <cell r="K822">
            <v>206</v>
          </cell>
          <cell r="L822">
            <v>55</v>
          </cell>
        </row>
        <row r="823">
          <cell r="D823">
            <v>410027</v>
          </cell>
          <cell r="E823" t="str">
            <v/>
          </cell>
          <cell r="F823" t="str">
            <v>הממלכתי בכר</v>
          </cell>
          <cell r="G823" t="str">
            <v>יסודי בלבד</v>
          </cell>
          <cell r="H823" t="str">
            <v>כן</v>
          </cell>
          <cell r="I823" t="str">
            <v>כן</v>
          </cell>
          <cell r="J823" t="str">
            <v>כן</v>
          </cell>
          <cell r="K823">
            <v>276</v>
          </cell>
          <cell r="L823">
            <v>64</v>
          </cell>
        </row>
        <row r="824">
          <cell r="D824">
            <v>113530</v>
          </cell>
          <cell r="E824" t="str">
            <v>רשות</v>
          </cell>
          <cell r="F824" t="str">
            <v>מנחם בגין</v>
          </cell>
          <cell r="G824" t="str">
            <v>יסודי בלבד</v>
          </cell>
          <cell r="H824" t="str">
            <v>כן</v>
          </cell>
          <cell r="I824" t="str">
            <v>כן</v>
          </cell>
          <cell r="J824" t="str">
            <v>כן</v>
          </cell>
          <cell r="K824">
            <v>166</v>
          </cell>
          <cell r="L824">
            <v>102</v>
          </cell>
        </row>
        <row r="825">
          <cell r="D825">
            <v>411686</v>
          </cell>
          <cell r="E825" t="str">
            <v>רשות</v>
          </cell>
          <cell r="F825" t="str">
            <v>קפלן</v>
          </cell>
          <cell r="G825" t="str">
            <v>יסודי בלבד</v>
          </cell>
          <cell r="H825" t="str">
            <v>כן</v>
          </cell>
          <cell r="I825" t="str">
            <v>כן</v>
          </cell>
          <cell r="J825" t="str">
            <v>לא</v>
          </cell>
          <cell r="K825">
            <v>133</v>
          </cell>
          <cell r="L825">
            <v>53</v>
          </cell>
        </row>
        <row r="826">
          <cell r="D826">
            <v>110205</v>
          </cell>
          <cell r="E826" t="str">
            <v>רשות</v>
          </cell>
          <cell r="F826" t="str">
            <v>מ"מ רחביה ע"ש דוד גו</v>
          </cell>
          <cell r="G826" t="str">
            <v>יסודי בלבד</v>
          </cell>
          <cell r="H826" t="str">
            <v>כן</v>
          </cell>
          <cell r="I826" t="str">
            <v>כן</v>
          </cell>
          <cell r="J826" t="str">
            <v>כן</v>
          </cell>
          <cell r="K826">
            <v>227</v>
          </cell>
          <cell r="L826">
            <v>90</v>
          </cell>
        </row>
        <row r="827">
          <cell r="D827">
            <v>512954</v>
          </cell>
          <cell r="E827" t="str">
            <v>רשות</v>
          </cell>
          <cell r="F827" t="str">
            <v>רמת אפעל ע"ש א.קופלמן</v>
          </cell>
          <cell r="G827" t="str">
            <v>יסודי בלבד</v>
          </cell>
          <cell r="H827" t="str">
            <v>כן</v>
          </cell>
          <cell r="I827" t="str">
            <v>כן</v>
          </cell>
          <cell r="J827" t="str">
            <v>כן</v>
          </cell>
          <cell r="K827">
            <v>209</v>
          </cell>
          <cell r="L827">
            <v>64</v>
          </cell>
        </row>
        <row r="828">
          <cell r="D828">
            <v>312819</v>
          </cell>
          <cell r="E828" t="str">
            <v>רשות</v>
          </cell>
          <cell r="F828" t="str">
            <v>ע"ש זבולון המר</v>
          </cell>
          <cell r="G828" t="str">
            <v>יסודי בלבד</v>
          </cell>
          <cell r="H828" t="str">
            <v>כן</v>
          </cell>
          <cell r="I828" t="str">
            <v>כן</v>
          </cell>
          <cell r="J828" t="str">
            <v>כן</v>
          </cell>
          <cell r="K828">
            <v>202</v>
          </cell>
          <cell r="L828">
            <v>81</v>
          </cell>
        </row>
        <row r="829">
          <cell r="D829">
            <v>484022</v>
          </cell>
          <cell r="E829" t="str">
            <v>רשות</v>
          </cell>
          <cell r="F829" t="str">
            <v>בית חינוך אסף</v>
          </cell>
          <cell r="G829" t="str">
            <v>יסודי בלבד</v>
          </cell>
          <cell r="H829" t="str">
            <v>כן</v>
          </cell>
          <cell r="I829" t="str">
            <v>כן</v>
          </cell>
          <cell r="J829" t="str">
            <v>לא</v>
          </cell>
          <cell r="K829">
            <v>182</v>
          </cell>
          <cell r="L829">
            <v>182</v>
          </cell>
        </row>
        <row r="830">
          <cell r="D830">
            <v>111096</v>
          </cell>
          <cell r="E830" t="str">
            <v>רשות</v>
          </cell>
          <cell r="F830" t="str">
            <v>עין הרים</v>
          </cell>
          <cell r="G830" t="str">
            <v>יסודי בלבד</v>
          </cell>
          <cell r="H830" t="str">
            <v>כן</v>
          </cell>
          <cell r="I830" t="str">
            <v>כן</v>
          </cell>
          <cell r="J830" t="str">
            <v>כן</v>
          </cell>
          <cell r="K830">
            <v>258</v>
          </cell>
          <cell r="L830">
            <v>85</v>
          </cell>
        </row>
        <row r="831">
          <cell r="D831">
            <v>218438</v>
          </cell>
          <cell r="E831" t="str">
            <v/>
          </cell>
          <cell r="F831" t="str">
            <v>יסודי א' כפר מנדא</v>
          </cell>
          <cell r="G831" t="str">
            <v>יסודי בלבד</v>
          </cell>
          <cell r="H831" t="str">
            <v>כן</v>
          </cell>
          <cell r="I831" t="str">
            <v>כן</v>
          </cell>
          <cell r="J831" t="str">
            <v>כן</v>
          </cell>
          <cell r="K831">
            <v>155</v>
          </cell>
          <cell r="L831">
            <v>140</v>
          </cell>
        </row>
        <row r="832">
          <cell r="D832">
            <v>482612</v>
          </cell>
          <cell r="E832" t="str">
            <v>רשות</v>
          </cell>
          <cell r="F832" t="str">
            <v>דמוקרטי</v>
          </cell>
          <cell r="G832" t="str">
            <v>יסודי בלבד</v>
          </cell>
          <cell r="H832" t="str">
            <v>כן</v>
          </cell>
          <cell r="I832" t="str">
            <v>כן</v>
          </cell>
          <cell r="J832" t="str">
            <v>כן</v>
          </cell>
          <cell r="K832">
            <v>91</v>
          </cell>
          <cell r="L832">
            <v>21</v>
          </cell>
        </row>
        <row r="833">
          <cell r="D833">
            <v>681585</v>
          </cell>
          <cell r="E833" t="str">
            <v/>
          </cell>
          <cell r="F833" t="str">
            <v>בית ברכה</v>
          </cell>
          <cell r="G833" t="str">
            <v>יסודי בלבד</v>
          </cell>
          <cell r="H833" t="str">
            <v>כן</v>
          </cell>
          <cell r="I833" t="str">
            <v>כן</v>
          </cell>
          <cell r="J833" t="str">
            <v>כן</v>
          </cell>
          <cell r="K833">
            <v>208</v>
          </cell>
          <cell r="L833">
            <v>208</v>
          </cell>
        </row>
        <row r="834">
          <cell r="D834">
            <v>416545</v>
          </cell>
          <cell r="E834" t="str">
            <v>בעלות</v>
          </cell>
          <cell r="F834" t="str">
            <v>דרך המלך פרי תואר</v>
          </cell>
          <cell r="G834" t="str">
            <v>יסודי בלבד</v>
          </cell>
          <cell r="H834" t="str">
            <v>כן</v>
          </cell>
          <cell r="I834" t="str">
            <v>כן</v>
          </cell>
          <cell r="J834" t="str">
            <v>כן</v>
          </cell>
          <cell r="K834">
            <v>138</v>
          </cell>
          <cell r="L834">
            <v>51</v>
          </cell>
        </row>
        <row r="835">
          <cell r="D835">
            <v>219451</v>
          </cell>
          <cell r="E835" t="str">
            <v>רשות</v>
          </cell>
          <cell r="F835" t="str">
            <v>אלראזי טמרה</v>
          </cell>
          <cell r="G835" t="str">
            <v>יסודי בלבד</v>
          </cell>
          <cell r="H835" t="str">
            <v>כן</v>
          </cell>
          <cell r="I835" t="str">
            <v>כן</v>
          </cell>
          <cell r="J835" t="str">
            <v>כן</v>
          </cell>
          <cell r="K835">
            <v>180</v>
          </cell>
          <cell r="L835">
            <v>65</v>
          </cell>
        </row>
        <row r="836">
          <cell r="D836">
            <v>530337</v>
          </cell>
          <cell r="E836" t="str">
            <v>רשות</v>
          </cell>
          <cell r="F836" t="str">
            <v>ממ"ד קרליבך</v>
          </cell>
          <cell r="G836" t="str">
            <v>יסודי בלבד</v>
          </cell>
          <cell r="H836" t="str">
            <v>כן</v>
          </cell>
          <cell r="I836" t="str">
            <v>כן</v>
          </cell>
          <cell r="J836" t="str">
            <v>כן</v>
          </cell>
          <cell r="K836">
            <v>247</v>
          </cell>
          <cell r="L836">
            <v>60</v>
          </cell>
        </row>
        <row r="837">
          <cell r="D837">
            <v>630079</v>
          </cell>
          <cell r="E837" t="str">
            <v>רשות</v>
          </cell>
          <cell r="F837" t="str">
            <v>מעינות</v>
          </cell>
          <cell r="G837" t="str">
            <v>יסודי בלבד</v>
          </cell>
          <cell r="H837" t="str">
            <v>כן</v>
          </cell>
          <cell r="I837" t="str">
            <v>כן</v>
          </cell>
          <cell r="J837" t="str">
            <v>כן</v>
          </cell>
          <cell r="K837">
            <v>244</v>
          </cell>
          <cell r="L837">
            <v>116</v>
          </cell>
        </row>
        <row r="838">
          <cell r="D838">
            <v>112359</v>
          </cell>
          <cell r="E838" t="str">
            <v>רשות</v>
          </cell>
          <cell r="F838" t="str">
            <v>גילה ממלכתי תל"י</v>
          </cell>
          <cell r="G838" t="str">
            <v>יסודי בלבד</v>
          </cell>
          <cell r="H838" t="str">
            <v>כן</v>
          </cell>
          <cell r="I838" t="str">
            <v>כן</v>
          </cell>
          <cell r="J838" t="str">
            <v>כן</v>
          </cell>
          <cell r="K838">
            <v>190</v>
          </cell>
          <cell r="L838">
            <v>54</v>
          </cell>
        </row>
        <row r="839">
          <cell r="D839">
            <v>415653</v>
          </cell>
          <cell r="E839" t="str">
            <v>רשות</v>
          </cell>
          <cell r="F839" t="str">
            <v>איילים בנים</v>
          </cell>
          <cell r="G839" t="str">
            <v>יסודי בלבד</v>
          </cell>
          <cell r="H839" t="str">
            <v>כן</v>
          </cell>
          <cell r="I839" t="str">
            <v>כן</v>
          </cell>
          <cell r="J839" t="str">
            <v>כן</v>
          </cell>
          <cell r="K839">
            <v>74</v>
          </cell>
          <cell r="L839">
            <v>45</v>
          </cell>
        </row>
        <row r="840">
          <cell r="D840">
            <v>228668</v>
          </cell>
          <cell r="E840" t="str">
            <v>רשות</v>
          </cell>
          <cell r="F840" t="str">
            <v>יסודי השלום</v>
          </cell>
          <cell r="G840" t="str">
            <v>יסודי בלבד</v>
          </cell>
          <cell r="H840" t="str">
            <v>כן</v>
          </cell>
          <cell r="I840" t="str">
            <v>כן</v>
          </cell>
          <cell r="J840" t="str">
            <v>כן</v>
          </cell>
          <cell r="K840">
            <v>101</v>
          </cell>
          <cell r="L840">
            <v>55</v>
          </cell>
        </row>
        <row r="841">
          <cell r="D841">
            <v>214163</v>
          </cell>
          <cell r="E841" t="str">
            <v>רשות</v>
          </cell>
          <cell r="F841" t="str">
            <v>רקפת-כרמיאל</v>
          </cell>
          <cell r="G841" t="str">
            <v>יסודי בלבד</v>
          </cell>
          <cell r="H841" t="str">
            <v>כן</v>
          </cell>
          <cell r="I841" t="str">
            <v>כן</v>
          </cell>
          <cell r="J841" t="str">
            <v>כן</v>
          </cell>
          <cell r="K841">
            <v>141</v>
          </cell>
          <cell r="L841">
            <v>54</v>
          </cell>
        </row>
        <row r="842">
          <cell r="D842">
            <v>412361</v>
          </cell>
          <cell r="E842" t="str">
            <v>רשות</v>
          </cell>
          <cell r="F842" t="str">
            <v>ממ"ד אור תורה</v>
          </cell>
          <cell r="G842" t="str">
            <v>יסודי בלבד</v>
          </cell>
          <cell r="H842" t="str">
            <v>כן</v>
          </cell>
          <cell r="I842" t="str">
            <v>כן</v>
          </cell>
          <cell r="J842" t="str">
            <v>כן</v>
          </cell>
          <cell r="K842">
            <v>155</v>
          </cell>
          <cell r="L842">
            <v>55</v>
          </cell>
        </row>
        <row r="843">
          <cell r="D843">
            <v>610485</v>
          </cell>
          <cell r="E843" t="str">
            <v>רשות</v>
          </cell>
          <cell r="F843" t="str">
            <v>רימונים</v>
          </cell>
          <cell r="G843" t="str">
            <v>יסודי בלבד</v>
          </cell>
          <cell r="H843" t="str">
            <v>כן</v>
          </cell>
          <cell r="I843" t="str">
            <v>כן</v>
          </cell>
          <cell r="J843" t="str">
            <v>כן</v>
          </cell>
          <cell r="K843">
            <v>301</v>
          </cell>
          <cell r="L843">
            <v>136</v>
          </cell>
        </row>
        <row r="844">
          <cell r="D844">
            <v>442509</v>
          </cell>
          <cell r="E844" t="str">
            <v>רשות</v>
          </cell>
          <cell r="F844" t="str">
            <v>טוהר נחל שורק</v>
          </cell>
          <cell r="G844" t="str">
            <v>יסודי בלבד</v>
          </cell>
          <cell r="H844" t="str">
            <v>כן</v>
          </cell>
          <cell r="I844" t="str">
            <v>כן</v>
          </cell>
          <cell r="J844" t="str">
            <v>כן</v>
          </cell>
          <cell r="K844">
            <v>133</v>
          </cell>
          <cell r="L844">
            <v>75</v>
          </cell>
        </row>
        <row r="845">
          <cell r="D845">
            <v>311084</v>
          </cell>
          <cell r="E845" t="str">
            <v>רשות</v>
          </cell>
          <cell r="F845" t="str">
            <v>מורשה</v>
          </cell>
          <cell r="G845" t="str">
            <v>יסודי בלבד</v>
          </cell>
          <cell r="H845" t="str">
            <v>כן</v>
          </cell>
          <cell r="I845" t="str">
            <v>כן</v>
          </cell>
          <cell r="J845" t="str">
            <v>כן</v>
          </cell>
          <cell r="K845">
            <v>238</v>
          </cell>
          <cell r="L845">
            <v>81</v>
          </cell>
        </row>
        <row r="846">
          <cell r="D846">
            <v>415240</v>
          </cell>
          <cell r="E846" t="str">
            <v>רשות</v>
          </cell>
          <cell r="F846" t="str">
            <v>ממלכתי אשכול</v>
          </cell>
          <cell r="G846" t="str">
            <v>יסודי בלבד</v>
          </cell>
          <cell r="H846" t="str">
            <v>כן</v>
          </cell>
          <cell r="I846" t="str">
            <v>כן</v>
          </cell>
          <cell r="J846" t="str">
            <v>כן</v>
          </cell>
          <cell r="K846">
            <v>176</v>
          </cell>
          <cell r="L846">
            <v>86</v>
          </cell>
        </row>
        <row r="847">
          <cell r="D847">
            <v>414433</v>
          </cell>
          <cell r="E847" t="str">
            <v>רשות</v>
          </cell>
          <cell r="F847" t="str">
            <v>אמיר</v>
          </cell>
          <cell r="G847" t="str">
            <v>יסודי בלבד</v>
          </cell>
          <cell r="H847" t="str">
            <v>כן</v>
          </cell>
          <cell r="I847" t="str">
            <v>כן</v>
          </cell>
          <cell r="J847" t="str">
            <v>כן</v>
          </cell>
          <cell r="K847">
            <v>242</v>
          </cell>
          <cell r="L847">
            <v>226</v>
          </cell>
        </row>
        <row r="848">
          <cell r="D848">
            <v>614560</v>
          </cell>
          <cell r="E848" t="str">
            <v>רשות</v>
          </cell>
          <cell r="F848" t="str">
            <v>עציון ע"ש הרב דרוקמן</v>
          </cell>
          <cell r="G848" t="str">
            <v>יסודי בלבד</v>
          </cell>
          <cell r="H848" t="str">
            <v>כן</v>
          </cell>
          <cell r="I848" t="str">
            <v>כן</v>
          </cell>
          <cell r="J848" t="str">
            <v>כן</v>
          </cell>
          <cell r="K848">
            <v>269</v>
          </cell>
          <cell r="L848">
            <v>133</v>
          </cell>
        </row>
        <row r="849">
          <cell r="D849">
            <v>666008</v>
          </cell>
          <cell r="E849" t="str">
            <v>רשות</v>
          </cell>
          <cell r="F849" t="str">
            <v>השחר</v>
          </cell>
          <cell r="G849" t="str">
            <v>יסודי בלבד</v>
          </cell>
          <cell r="H849" t="str">
            <v>כן</v>
          </cell>
          <cell r="I849" t="str">
            <v>כן</v>
          </cell>
          <cell r="J849" t="str">
            <v>כן</v>
          </cell>
          <cell r="K849">
            <v>72</v>
          </cell>
          <cell r="L849">
            <v>38</v>
          </cell>
        </row>
        <row r="850">
          <cell r="D850">
            <v>212969</v>
          </cell>
          <cell r="E850" t="str">
            <v>רשות</v>
          </cell>
          <cell r="F850" t="str">
            <v>יודפת</v>
          </cell>
          <cell r="G850" t="str">
            <v>יסודי בלבד</v>
          </cell>
          <cell r="H850" t="str">
            <v>כן</v>
          </cell>
          <cell r="I850" t="str">
            <v>כן</v>
          </cell>
          <cell r="J850" t="str">
            <v>כן</v>
          </cell>
          <cell r="K850">
            <v>78</v>
          </cell>
          <cell r="L850">
            <v>43</v>
          </cell>
        </row>
        <row r="851">
          <cell r="D851">
            <v>310177</v>
          </cell>
          <cell r="E851" t="str">
            <v>רשות</v>
          </cell>
          <cell r="F851" t="str">
            <v>נילי</v>
          </cell>
          <cell r="G851" t="str">
            <v>יסודי בלבד</v>
          </cell>
          <cell r="H851" t="str">
            <v>כן</v>
          </cell>
          <cell r="I851" t="str">
            <v>כן</v>
          </cell>
          <cell r="J851" t="str">
            <v>כן</v>
          </cell>
          <cell r="K851">
            <v>218</v>
          </cell>
          <cell r="L851">
            <v>58</v>
          </cell>
        </row>
        <row r="852">
          <cell r="D852">
            <v>213132</v>
          </cell>
          <cell r="E852" t="str">
            <v>רשות</v>
          </cell>
          <cell r="F852" t="str">
            <v>אביטל-מרום גולן</v>
          </cell>
          <cell r="G852" t="str">
            <v>יסודי בלבד</v>
          </cell>
          <cell r="H852" t="str">
            <v>כן</v>
          </cell>
          <cell r="I852" t="str">
            <v>כן</v>
          </cell>
          <cell r="J852" t="str">
            <v>כן</v>
          </cell>
          <cell r="K852">
            <v>220</v>
          </cell>
          <cell r="L852">
            <v>100</v>
          </cell>
        </row>
        <row r="853">
          <cell r="D853">
            <v>411710</v>
          </cell>
          <cell r="E853" t="str">
            <v>רשות</v>
          </cell>
          <cell r="F853" t="str">
            <v>חמ"ד אורי אורבך</v>
          </cell>
          <cell r="G853" t="str">
            <v>יסודי בלבד</v>
          </cell>
          <cell r="H853" t="str">
            <v>כן</v>
          </cell>
          <cell r="I853" t="str">
            <v>כן</v>
          </cell>
          <cell r="J853" t="str">
            <v>כן</v>
          </cell>
          <cell r="K853">
            <v>390</v>
          </cell>
          <cell r="L853">
            <v>92</v>
          </cell>
        </row>
        <row r="854">
          <cell r="D854">
            <v>410431</v>
          </cell>
          <cell r="E854" t="str">
            <v>רשות</v>
          </cell>
          <cell r="F854" t="str">
            <v>אדם וסביבה</v>
          </cell>
          <cell r="G854" t="str">
            <v>יסודי בלבד</v>
          </cell>
          <cell r="H854" t="str">
            <v>כן</v>
          </cell>
          <cell r="I854" t="str">
            <v>כן</v>
          </cell>
          <cell r="J854" t="str">
            <v>לא</v>
          </cell>
          <cell r="K854">
            <v>122</v>
          </cell>
          <cell r="L854">
            <v>46</v>
          </cell>
        </row>
        <row r="855">
          <cell r="D855">
            <v>647149</v>
          </cell>
          <cell r="E855" t="str">
            <v>בעלות</v>
          </cell>
          <cell r="F855" t="str">
            <v>אורחות חנה</v>
          </cell>
          <cell r="G855" t="str">
            <v>יסודי בלבד</v>
          </cell>
          <cell r="H855" t="str">
            <v>כן</v>
          </cell>
          <cell r="I855" t="str">
            <v>כן</v>
          </cell>
          <cell r="J855" t="str">
            <v>כן</v>
          </cell>
          <cell r="K855">
            <v>91</v>
          </cell>
          <cell r="L855">
            <v>60</v>
          </cell>
        </row>
        <row r="856">
          <cell r="D856">
            <v>214130</v>
          </cell>
          <cell r="E856" t="str">
            <v>רשות</v>
          </cell>
          <cell r="F856" t="str">
            <v>כסולות</v>
          </cell>
          <cell r="G856" t="str">
            <v>יסודי בלבד</v>
          </cell>
          <cell r="H856" t="str">
            <v>כן</v>
          </cell>
          <cell r="I856" t="str">
            <v>כן</v>
          </cell>
          <cell r="J856" t="str">
            <v>כן</v>
          </cell>
          <cell r="K856">
            <v>137</v>
          </cell>
          <cell r="L856">
            <v>50</v>
          </cell>
        </row>
        <row r="857">
          <cell r="D857">
            <v>411991</v>
          </cell>
          <cell r="E857" t="str">
            <v>רשות</v>
          </cell>
          <cell r="F857" t="str">
            <v>שפרינצק</v>
          </cell>
          <cell r="G857" t="str">
            <v>יסודי בלבד</v>
          </cell>
          <cell r="H857" t="str">
            <v>כן</v>
          </cell>
          <cell r="I857" t="str">
            <v>כן</v>
          </cell>
          <cell r="J857" t="str">
            <v>כן</v>
          </cell>
          <cell r="K857">
            <v>307</v>
          </cell>
          <cell r="L857">
            <v>113</v>
          </cell>
        </row>
        <row r="858">
          <cell r="D858">
            <v>311092</v>
          </cell>
          <cell r="E858" t="str">
            <v>רשות</v>
          </cell>
          <cell r="F858" t="str">
            <v>העמר</v>
          </cell>
          <cell r="G858" t="str">
            <v>יסודי בלבד</v>
          </cell>
          <cell r="H858" t="str">
            <v>כן</v>
          </cell>
          <cell r="I858" t="str">
            <v>כן</v>
          </cell>
          <cell r="J858" t="str">
            <v>כן</v>
          </cell>
          <cell r="K858">
            <v>250</v>
          </cell>
          <cell r="L858">
            <v>70</v>
          </cell>
        </row>
        <row r="859">
          <cell r="D859">
            <v>114132</v>
          </cell>
          <cell r="E859" t="str">
            <v/>
          </cell>
          <cell r="F859" t="str">
            <v>בית חיה לבנות</v>
          </cell>
          <cell r="G859" t="str">
            <v>יסודי בלבד</v>
          </cell>
          <cell r="H859" t="str">
            <v>כן</v>
          </cell>
          <cell r="I859" t="str">
            <v>כן</v>
          </cell>
          <cell r="J859" t="str">
            <v>כן</v>
          </cell>
          <cell r="K859">
            <v>119</v>
          </cell>
          <cell r="L859">
            <v>119</v>
          </cell>
        </row>
        <row r="860">
          <cell r="D860">
            <v>511865</v>
          </cell>
          <cell r="E860" t="str">
            <v/>
          </cell>
          <cell r="F860" t="str">
            <v>מודיעים מד</v>
          </cell>
          <cell r="G860" t="str">
            <v>יסודי בלבד</v>
          </cell>
          <cell r="H860" t="str">
            <v>כן</v>
          </cell>
          <cell r="I860" t="str">
            <v>כן</v>
          </cell>
          <cell r="J860" t="str">
            <v>לא</v>
          </cell>
          <cell r="K860">
            <v>46</v>
          </cell>
          <cell r="L860">
            <v>20</v>
          </cell>
        </row>
        <row r="861">
          <cell r="D861">
            <v>413393</v>
          </cell>
          <cell r="E861" t="str">
            <v>רשות</v>
          </cell>
          <cell r="F861" t="str">
            <v>ממ"ד הראל</v>
          </cell>
          <cell r="G861" t="str">
            <v>יסודי בלבד</v>
          </cell>
          <cell r="H861" t="str">
            <v>כן</v>
          </cell>
          <cell r="I861" t="str">
            <v>כן</v>
          </cell>
          <cell r="J861" t="str">
            <v>כן</v>
          </cell>
          <cell r="K861">
            <v>255</v>
          </cell>
          <cell r="L861">
            <v>61</v>
          </cell>
        </row>
        <row r="862">
          <cell r="D862">
            <v>413971</v>
          </cell>
          <cell r="E862" t="str">
            <v>רשות</v>
          </cell>
          <cell r="F862" t="str">
            <v>השיטה</v>
          </cell>
          <cell r="G862" t="str">
            <v>יסודי בלבד</v>
          </cell>
          <cell r="H862" t="str">
            <v>כן</v>
          </cell>
          <cell r="I862" t="str">
            <v>כן</v>
          </cell>
          <cell r="J862" t="str">
            <v>כן</v>
          </cell>
          <cell r="K862">
            <v>90</v>
          </cell>
          <cell r="L862">
            <v>35</v>
          </cell>
        </row>
        <row r="863">
          <cell r="D863">
            <v>211854</v>
          </cell>
          <cell r="E863" t="str">
            <v>רשות</v>
          </cell>
          <cell r="F863" t="str">
            <v>הרצוג מד-עכו</v>
          </cell>
          <cell r="G863" t="str">
            <v>יסודי בלבד</v>
          </cell>
          <cell r="H863" t="str">
            <v>כן</v>
          </cell>
          <cell r="I863" t="str">
            <v>כן</v>
          </cell>
          <cell r="J863" t="str">
            <v>כן</v>
          </cell>
          <cell r="K863">
            <v>200</v>
          </cell>
          <cell r="L863">
            <v>150</v>
          </cell>
        </row>
        <row r="864">
          <cell r="D864">
            <v>218768</v>
          </cell>
          <cell r="E864" t="str">
            <v>רשות</v>
          </cell>
          <cell r="F864" t="str">
            <v>עיילוט ב '</v>
          </cell>
          <cell r="G864" t="str">
            <v>יסודי בלבד</v>
          </cell>
          <cell r="H864" t="str">
            <v>כן</v>
          </cell>
          <cell r="I864" t="str">
            <v>כן</v>
          </cell>
          <cell r="J864" t="str">
            <v>כן</v>
          </cell>
          <cell r="K864">
            <v>220</v>
          </cell>
          <cell r="L864">
            <v>61</v>
          </cell>
        </row>
        <row r="865">
          <cell r="D865">
            <v>213637</v>
          </cell>
          <cell r="E865" t="str">
            <v>רשות</v>
          </cell>
          <cell r="F865" t="str">
            <v>בית זאב-גאולים עפולה</v>
          </cell>
          <cell r="G865" t="str">
            <v>יסודי בלבד</v>
          </cell>
          <cell r="H865" t="str">
            <v>כן</v>
          </cell>
          <cell r="I865" t="str">
            <v>כן</v>
          </cell>
          <cell r="J865" t="str">
            <v>לא</v>
          </cell>
          <cell r="K865">
            <v>169</v>
          </cell>
          <cell r="L865">
            <v>95</v>
          </cell>
        </row>
        <row r="866">
          <cell r="D866">
            <v>482752</v>
          </cell>
          <cell r="E866" t="str">
            <v>רשות</v>
          </cell>
          <cell r="F866" t="str">
            <v>יעל רום</v>
          </cell>
          <cell r="G866" t="str">
            <v>יסודי בלבד</v>
          </cell>
          <cell r="H866" t="str">
            <v>כן</v>
          </cell>
          <cell r="I866" t="str">
            <v>כן</v>
          </cell>
          <cell r="J866" t="str">
            <v>כן</v>
          </cell>
          <cell r="K866">
            <v>220</v>
          </cell>
          <cell r="L866">
            <v>46</v>
          </cell>
        </row>
        <row r="867">
          <cell r="D867">
            <v>566919</v>
          </cell>
          <cell r="E867" t="str">
            <v>רשות</v>
          </cell>
          <cell r="F867" t="str">
            <v>יצחק נבון</v>
          </cell>
          <cell r="G867" t="str">
            <v>יסודי בלבד</v>
          </cell>
          <cell r="H867" t="str">
            <v>כן</v>
          </cell>
          <cell r="I867" t="str">
            <v>כן</v>
          </cell>
          <cell r="J867" t="str">
            <v>לא</v>
          </cell>
          <cell r="K867">
            <v>224</v>
          </cell>
          <cell r="L867">
            <v>137</v>
          </cell>
        </row>
        <row r="868">
          <cell r="D868">
            <v>413823</v>
          </cell>
          <cell r="E868" t="str">
            <v>רשות</v>
          </cell>
          <cell r="F868" t="str">
            <v>שמעוני</v>
          </cell>
          <cell r="G868" t="str">
            <v>יסודי בלבד</v>
          </cell>
          <cell r="H868" t="str">
            <v>כן</v>
          </cell>
          <cell r="I868" t="str">
            <v>כן</v>
          </cell>
          <cell r="J868" t="str">
            <v>כן</v>
          </cell>
          <cell r="K868">
            <v>226</v>
          </cell>
          <cell r="L868">
            <v>111</v>
          </cell>
        </row>
        <row r="869">
          <cell r="D869">
            <v>218164</v>
          </cell>
          <cell r="E869" t="str">
            <v>רשות</v>
          </cell>
          <cell r="F869" t="str">
            <v>אלטור דבוריה</v>
          </cell>
          <cell r="G869" t="str">
            <v>יסודי בלבד</v>
          </cell>
          <cell r="H869" t="str">
            <v>כן</v>
          </cell>
          <cell r="I869" t="str">
            <v>כן</v>
          </cell>
          <cell r="J869" t="str">
            <v>כן</v>
          </cell>
          <cell r="K869">
            <v>243</v>
          </cell>
          <cell r="L869">
            <v>125</v>
          </cell>
        </row>
        <row r="870">
          <cell r="D870">
            <v>412031</v>
          </cell>
          <cell r="E870" t="str">
            <v>רשות</v>
          </cell>
          <cell r="F870" t="str">
            <v>סמילנסקי</v>
          </cell>
          <cell r="G870" t="str">
            <v>יסודי בלבד</v>
          </cell>
          <cell r="H870" t="str">
            <v>כן</v>
          </cell>
          <cell r="I870" t="str">
            <v>כן</v>
          </cell>
          <cell r="J870" t="str">
            <v>כן</v>
          </cell>
          <cell r="K870">
            <v>109</v>
          </cell>
          <cell r="L870">
            <v>50</v>
          </cell>
        </row>
        <row r="871">
          <cell r="D871">
            <v>218404</v>
          </cell>
          <cell r="E871" t="str">
            <v>רשות</v>
          </cell>
          <cell r="F871" t="str">
            <v>כפר כנא ב</v>
          </cell>
          <cell r="G871" t="str">
            <v>יסודי בלבד</v>
          </cell>
          <cell r="H871" t="str">
            <v>כן</v>
          </cell>
          <cell r="I871" t="str">
            <v>כן</v>
          </cell>
          <cell r="J871" t="str">
            <v>כן</v>
          </cell>
          <cell r="K871">
            <v>215</v>
          </cell>
          <cell r="L871">
            <v>187</v>
          </cell>
        </row>
        <row r="872">
          <cell r="D872">
            <v>113308</v>
          </cell>
          <cell r="E872" t="str">
            <v>רשות</v>
          </cell>
          <cell r="F872" t="str">
            <v>מעלה התורה בנים</v>
          </cell>
          <cell r="G872" t="str">
            <v>יסודי בלבד</v>
          </cell>
          <cell r="H872" t="str">
            <v>כן</v>
          </cell>
          <cell r="I872" t="str">
            <v>כן</v>
          </cell>
          <cell r="J872" t="str">
            <v>כן</v>
          </cell>
          <cell r="K872">
            <v>156</v>
          </cell>
          <cell r="L872">
            <v>116</v>
          </cell>
        </row>
        <row r="873">
          <cell r="D873">
            <v>338335</v>
          </cell>
          <cell r="E873" t="str">
            <v>רשות</v>
          </cell>
          <cell r="F873" t="str">
            <v>יסודי אלקאוס</v>
          </cell>
          <cell r="G873" t="str">
            <v>יסודי בלבד</v>
          </cell>
          <cell r="H873" t="str">
            <v>כן</v>
          </cell>
          <cell r="I873" t="str">
            <v>כן</v>
          </cell>
          <cell r="J873" t="str">
            <v>כן</v>
          </cell>
          <cell r="K873">
            <v>218</v>
          </cell>
          <cell r="L873">
            <v>62</v>
          </cell>
        </row>
        <row r="874">
          <cell r="D874">
            <v>148288</v>
          </cell>
          <cell r="E874" t="str">
            <v>רשות</v>
          </cell>
          <cell r="F874" t="str">
            <v>כפר עקב</v>
          </cell>
          <cell r="G874" t="str">
            <v>יסודי בלבד</v>
          </cell>
          <cell r="H874" t="str">
            <v>כן</v>
          </cell>
          <cell r="I874" t="str">
            <v>כן</v>
          </cell>
          <cell r="J874" t="str">
            <v>כן</v>
          </cell>
          <cell r="K874">
            <v>265</v>
          </cell>
          <cell r="L874">
            <v>74</v>
          </cell>
        </row>
        <row r="875">
          <cell r="D875">
            <v>118182</v>
          </cell>
          <cell r="E875" t="str">
            <v>רשות</v>
          </cell>
          <cell r="F875" t="str">
            <v>סלואן יסודי לבנות</v>
          </cell>
          <cell r="G875" t="str">
            <v>יסודי בלבד</v>
          </cell>
          <cell r="H875" t="str">
            <v>כן</v>
          </cell>
          <cell r="I875" t="str">
            <v>כן</v>
          </cell>
          <cell r="J875" t="str">
            <v>כן</v>
          </cell>
          <cell r="K875">
            <v>205</v>
          </cell>
          <cell r="L875">
            <v>69</v>
          </cell>
        </row>
        <row r="876">
          <cell r="D876">
            <v>418293</v>
          </cell>
          <cell r="E876" t="str">
            <v>רשות</v>
          </cell>
          <cell r="F876" t="str">
            <v>יסמין</v>
          </cell>
          <cell r="G876" t="str">
            <v>יסודי בלבד</v>
          </cell>
          <cell r="H876" t="str">
            <v>כן</v>
          </cell>
          <cell r="I876" t="str">
            <v>כן</v>
          </cell>
          <cell r="J876" t="str">
            <v>כן</v>
          </cell>
          <cell r="K876">
            <v>137</v>
          </cell>
          <cell r="L876">
            <v>64</v>
          </cell>
        </row>
        <row r="877">
          <cell r="D877">
            <v>112193</v>
          </cell>
          <cell r="E877" t="str">
            <v>רשות</v>
          </cell>
          <cell r="F877" t="str">
            <v>ניל"י</v>
          </cell>
          <cell r="G877" t="str">
            <v>יסודי בלבד</v>
          </cell>
          <cell r="H877" t="str">
            <v>כן</v>
          </cell>
          <cell r="I877" t="str">
            <v>כן</v>
          </cell>
          <cell r="J877" t="str">
            <v>כן</v>
          </cell>
          <cell r="K877">
            <v>162</v>
          </cell>
          <cell r="L877">
            <v>91</v>
          </cell>
        </row>
        <row r="878">
          <cell r="D878">
            <v>411330</v>
          </cell>
          <cell r="E878" t="str">
            <v>רשות</v>
          </cell>
          <cell r="F878" t="str">
            <v>יסודי תדהר</v>
          </cell>
          <cell r="G878" t="str">
            <v>יסודי בלבד</v>
          </cell>
          <cell r="H878" t="str">
            <v>כן</v>
          </cell>
          <cell r="I878" t="str">
            <v>כן</v>
          </cell>
          <cell r="J878" t="str">
            <v>כן</v>
          </cell>
          <cell r="K878">
            <v>208</v>
          </cell>
          <cell r="L878">
            <v>70</v>
          </cell>
        </row>
        <row r="879">
          <cell r="D879">
            <v>111351</v>
          </cell>
          <cell r="E879" t="str">
            <v>רשות</v>
          </cell>
          <cell r="F879" t="str">
            <v>יאנוש קורצאק</v>
          </cell>
          <cell r="G879" t="str">
            <v>יסודי בלבד</v>
          </cell>
          <cell r="H879" t="str">
            <v>כן</v>
          </cell>
          <cell r="I879" t="str">
            <v>כן</v>
          </cell>
          <cell r="J879" t="str">
            <v>כן</v>
          </cell>
          <cell r="K879">
            <v>113</v>
          </cell>
          <cell r="L879">
            <v>41</v>
          </cell>
        </row>
        <row r="880">
          <cell r="D880">
            <v>610824</v>
          </cell>
          <cell r="E880" t="str">
            <v>בעלות</v>
          </cell>
          <cell r="F880" t="str">
            <v>באר מרים</v>
          </cell>
          <cell r="G880" t="str">
            <v>יסודי בלבד</v>
          </cell>
          <cell r="H880" t="str">
            <v>כן</v>
          </cell>
          <cell r="I880" t="str">
            <v>כן</v>
          </cell>
          <cell r="J880" t="str">
            <v>כן</v>
          </cell>
          <cell r="K880">
            <v>145</v>
          </cell>
          <cell r="L880">
            <v>129</v>
          </cell>
        </row>
        <row r="881">
          <cell r="D881">
            <v>112052</v>
          </cell>
          <cell r="E881" t="str">
            <v>רשות</v>
          </cell>
          <cell r="F881" t="str">
            <v>כפר אדומים</v>
          </cell>
          <cell r="G881" t="str">
            <v>יסודי בלבד</v>
          </cell>
          <cell r="H881" t="str">
            <v>כן</v>
          </cell>
          <cell r="I881" t="str">
            <v>כן</v>
          </cell>
          <cell r="J881" t="str">
            <v>לא</v>
          </cell>
          <cell r="K881">
            <v>275</v>
          </cell>
          <cell r="L881">
            <v>41</v>
          </cell>
        </row>
        <row r="882">
          <cell r="D882">
            <v>219626</v>
          </cell>
          <cell r="E882" t="str">
            <v/>
          </cell>
          <cell r="F882" t="str">
            <v>יסודי ג' כפר מנדא</v>
          </cell>
          <cell r="G882" t="str">
            <v>יסודי בלבד</v>
          </cell>
          <cell r="H882" t="str">
            <v>כן</v>
          </cell>
          <cell r="I882" t="str">
            <v>כן</v>
          </cell>
          <cell r="J882" t="str">
            <v>כן</v>
          </cell>
          <cell r="K882">
            <v>258</v>
          </cell>
          <cell r="L882">
            <v>60</v>
          </cell>
        </row>
        <row r="883">
          <cell r="D883">
            <v>384636</v>
          </cell>
          <cell r="E883" t="str">
            <v>רשות</v>
          </cell>
          <cell r="F883" t="str">
            <v>יסודי ג'</v>
          </cell>
          <cell r="G883" t="str">
            <v>יסודי בלבד</v>
          </cell>
          <cell r="H883" t="str">
            <v>כן</v>
          </cell>
          <cell r="I883" t="str">
            <v>כן</v>
          </cell>
          <cell r="J883" t="str">
            <v>כן</v>
          </cell>
          <cell r="K883">
            <v>69</v>
          </cell>
          <cell r="L883">
            <v>67</v>
          </cell>
        </row>
        <row r="884">
          <cell r="D884">
            <v>659417</v>
          </cell>
          <cell r="E884" t="str">
            <v>רשות</v>
          </cell>
          <cell r="F884" t="str">
            <v>חאשם זאנה</v>
          </cell>
          <cell r="G884" t="str">
            <v>יסודי בלבד</v>
          </cell>
          <cell r="H884" t="str">
            <v>כן</v>
          </cell>
          <cell r="I884" t="str">
            <v>כן</v>
          </cell>
          <cell r="J884" t="str">
            <v>כן</v>
          </cell>
          <cell r="K884">
            <v>134</v>
          </cell>
          <cell r="L884">
            <v>134</v>
          </cell>
        </row>
        <row r="885">
          <cell r="D885">
            <v>384271</v>
          </cell>
          <cell r="E885" t="str">
            <v>רשות</v>
          </cell>
          <cell r="F885" t="str">
            <v>כנפי רוח בנים</v>
          </cell>
          <cell r="G885" t="str">
            <v>יסודי בלבד</v>
          </cell>
          <cell r="H885" t="str">
            <v>כן</v>
          </cell>
          <cell r="I885" t="str">
            <v>כן</v>
          </cell>
          <cell r="J885" t="str">
            <v>כן</v>
          </cell>
          <cell r="K885">
            <v>272</v>
          </cell>
          <cell r="L885">
            <v>51</v>
          </cell>
        </row>
        <row r="886">
          <cell r="D886">
            <v>412783</v>
          </cell>
          <cell r="E886" t="str">
            <v>רשות</v>
          </cell>
          <cell r="F886" t="str">
            <v>צורים</v>
          </cell>
          <cell r="G886" t="str">
            <v>יסודי בלבד</v>
          </cell>
          <cell r="H886" t="str">
            <v>כן</v>
          </cell>
          <cell r="I886" t="str">
            <v>כן</v>
          </cell>
          <cell r="J886" t="str">
            <v>כן</v>
          </cell>
          <cell r="K886">
            <v>151</v>
          </cell>
          <cell r="L886">
            <v>109</v>
          </cell>
        </row>
        <row r="887">
          <cell r="D887">
            <v>113480</v>
          </cell>
          <cell r="E887" t="str">
            <v>רשות</v>
          </cell>
          <cell r="F887" t="str">
            <v>כוכב השחר בנות</v>
          </cell>
          <cell r="G887" t="str">
            <v>יסודי בלבד</v>
          </cell>
          <cell r="H887" t="str">
            <v>כן</v>
          </cell>
          <cell r="I887" t="str">
            <v>כן</v>
          </cell>
          <cell r="J887" t="str">
            <v>כן</v>
          </cell>
          <cell r="K887">
            <v>134</v>
          </cell>
          <cell r="L887">
            <v>65</v>
          </cell>
        </row>
        <row r="888">
          <cell r="D888">
            <v>217463</v>
          </cell>
          <cell r="E888" t="str">
            <v>רשות</v>
          </cell>
          <cell r="F888" t="str">
            <v>יסודי ד'</v>
          </cell>
          <cell r="G888" t="str">
            <v>יסודי בלבד</v>
          </cell>
          <cell r="H888" t="str">
            <v>כן</v>
          </cell>
          <cell r="I888" t="str">
            <v>כן</v>
          </cell>
          <cell r="J888" t="str">
            <v>כן</v>
          </cell>
          <cell r="K888">
            <v>239</v>
          </cell>
          <cell r="L888">
            <v>110</v>
          </cell>
        </row>
        <row r="889">
          <cell r="D889">
            <v>410217</v>
          </cell>
          <cell r="E889" t="str">
            <v>רשות</v>
          </cell>
          <cell r="F889" t="str">
            <v>עיינת הגליל</v>
          </cell>
          <cell r="G889" t="str">
            <v>יסודי בלבד</v>
          </cell>
          <cell r="H889" t="str">
            <v>כן</v>
          </cell>
          <cell r="I889" t="str">
            <v>כן</v>
          </cell>
          <cell r="J889" t="str">
            <v>כן</v>
          </cell>
          <cell r="K889">
            <v>71</v>
          </cell>
          <cell r="L889">
            <v>33</v>
          </cell>
        </row>
        <row r="890">
          <cell r="D890">
            <v>338327</v>
          </cell>
          <cell r="E890" t="str">
            <v>רשות</v>
          </cell>
          <cell r="F890" t="str">
            <v>אלח'וארזמי</v>
          </cell>
          <cell r="G890" t="str">
            <v>יסודי בלבד</v>
          </cell>
          <cell r="H890" t="str">
            <v>כן</v>
          </cell>
          <cell r="I890" t="str">
            <v>כן</v>
          </cell>
          <cell r="J890" t="str">
            <v>כן</v>
          </cell>
          <cell r="K890">
            <v>164</v>
          </cell>
          <cell r="L890">
            <v>63</v>
          </cell>
        </row>
        <row r="891">
          <cell r="D891">
            <v>218669</v>
          </cell>
          <cell r="E891" t="str">
            <v/>
          </cell>
          <cell r="F891" t="str">
            <v>נצרת אלכרום</v>
          </cell>
          <cell r="G891" t="str">
            <v>יסודי בלבד</v>
          </cell>
          <cell r="H891" t="str">
            <v>כן</v>
          </cell>
          <cell r="I891" t="str">
            <v>כן</v>
          </cell>
          <cell r="J891" t="str">
            <v>כן</v>
          </cell>
          <cell r="K891">
            <v>223</v>
          </cell>
          <cell r="L891">
            <v>141</v>
          </cell>
        </row>
        <row r="892">
          <cell r="D892">
            <v>318352</v>
          </cell>
          <cell r="E892" t="str">
            <v>רשות</v>
          </cell>
          <cell r="F892" t="str">
            <v>כפר קרע א</v>
          </cell>
          <cell r="G892" t="str">
            <v>יסודי בלבד</v>
          </cell>
          <cell r="H892" t="str">
            <v>כן</v>
          </cell>
          <cell r="I892" t="str">
            <v>כן</v>
          </cell>
          <cell r="J892" t="str">
            <v>לא</v>
          </cell>
          <cell r="K892">
            <v>70</v>
          </cell>
          <cell r="L892">
            <v>40</v>
          </cell>
        </row>
        <row r="893">
          <cell r="D893">
            <v>514125</v>
          </cell>
          <cell r="E893" t="str">
            <v>רשות</v>
          </cell>
          <cell r="F893" t="str">
            <v>אמירים</v>
          </cell>
          <cell r="G893" t="str">
            <v>יסודי בלבד</v>
          </cell>
          <cell r="H893" t="str">
            <v>כן</v>
          </cell>
          <cell r="I893" t="str">
            <v>כן</v>
          </cell>
          <cell r="J893" t="str">
            <v>לא</v>
          </cell>
          <cell r="K893">
            <v>152</v>
          </cell>
          <cell r="L893">
            <v>55</v>
          </cell>
        </row>
        <row r="894">
          <cell r="D894">
            <v>318345</v>
          </cell>
          <cell r="E894" t="str">
            <v>רשות</v>
          </cell>
          <cell r="F894" t="str">
            <v>אל-סדיק</v>
          </cell>
          <cell r="G894" t="str">
            <v>יסודי בלבד</v>
          </cell>
          <cell r="H894" t="str">
            <v>כן</v>
          </cell>
          <cell r="I894" t="str">
            <v>כן</v>
          </cell>
          <cell r="J894" t="str">
            <v>כן</v>
          </cell>
          <cell r="K894">
            <v>242</v>
          </cell>
          <cell r="L894">
            <v>80</v>
          </cell>
        </row>
        <row r="895">
          <cell r="D895">
            <v>411082</v>
          </cell>
          <cell r="E895" t="str">
            <v>רשות</v>
          </cell>
          <cell r="F895" t="str">
            <v>ממ"ד שילה</v>
          </cell>
          <cell r="G895" t="str">
            <v>יסודי בלבד</v>
          </cell>
          <cell r="H895" t="str">
            <v>כן</v>
          </cell>
          <cell r="I895" t="str">
            <v>כן</v>
          </cell>
          <cell r="J895" t="str">
            <v>כן</v>
          </cell>
          <cell r="K895">
            <v>95</v>
          </cell>
          <cell r="L895">
            <v>60</v>
          </cell>
        </row>
        <row r="896">
          <cell r="D896">
            <v>113589</v>
          </cell>
          <cell r="E896" t="str">
            <v>רשות</v>
          </cell>
          <cell r="F896" t="str">
            <v>ממלכתי משואה</v>
          </cell>
          <cell r="G896" t="str">
            <v>יסודי בלבד</v>
          </cell>
          <cell r="H896" t="str">
            <v>לא</v>
          </cell>
          <cell r="I896" t="str">
            <v>כן</v>
          </cell>
          <cell r="J896" t="str">
            <v>כן</v>
          </cell>
          <cell r="K896">
            <v>82</v>
          </cell>
          <cell r="L896">
            <v>49</v>
          </cell>
        </row>
        <row r="897">
          <cell r="D897">
            <v>111682</v>
          </cell>
          <cell r="E897" t="str">
            <v>רשות</v>
          </cell>
          <cell r="F897" t="str">
            <v>תלי בית וגן</v>
          </cell>
          <cell r="G897" t="str">
            <v>יסודי בלבד</v>
          </cell>
          <cell r="H897" t="str">
            <v>כן</v>
          </cell>
          <cell r="I897" t="str">
            <v>כן</v>
          </cell>
          <cell r="J897" t="str">
            <v>כן</v>
          </cell>
          <cell r="K897">
            <v>124</v>
          </cell>
          <cell r="L897">
            <v>49</v>
          </cell>
        </row>
        <row r="898">
          <cell r="D898">
            <v>318576</v>
          </cell>
          <cell r="E898" t="str">
            <v>רשות</v>
          </cell>
          <cell r="F898" t="str">
            <v>אלחכים</v>
          </cell>
          <cell r="G898" t="str">
            <v>יסודי בלבד</v>
          </cell>
          <cell r="H898" t="str">
            <v>כן</v>
          </cell>
          <cell r="I898" t="str">
            <v>כן</v>
          </cell>
          <cell r="J898" t="str">
            <v>כן</v>
          </cell>
          <cell r="K898">
            <v>287</v>
          </cell>
          <cell r="L898">
            <v>65</v>
          </cell>
        </row>
        <row r="899">
          <cell r="D899">
            <v>630186</v>
          </cell>
          <cell r="E899" t="str">
            <v>רשות</v>
          </cell>
          <cell r="F899" t="str">
            <v>אחינועם</v>
          </cell>
          <cell r="G899" t="str">
            <v>יסודי בלבד</v>
          </cell>
          <cell r="H899" t="str">
            <v>כן</v>
          </cell>
          <cell r="I899" t="str">
            <v>כן</v>
          </cell>
          <cell r="J899" t="str">
            <v>כן</v>
          </cell>
          <cell r="K899">
            <v>48</v>
          </cell>
          <cell r="L899">
            <v>48</v>
          </cell>
        </row>
        <row r="900">
          <cell r="D900">
            <v>414250</v>
          </cell>
          <cell r="E900" t="str">
            <v>רשות</v>
          </cell>
          <cell r="F900" t="str">
            <v>ממ"ד מעלות משולם</v>
          </cell>
          <cell r="G900" t="str">
            <v>יסודי בלבד</v>
          </cell>
          <cell r="H900" t="str">
            <v>כן</v>
          </cell>
          <cell r="I900" t="str">
            <v>כן</v>
          </cell>
          <cell r="J900" t="str">
            <v>כן</v>
          </cell>
          <cell r="K900">
            <v>336</v>
          </cell>
          <cell r="L900">
            <v>140</v>
          </cell>
        </row>
        <row r="901">
          <cell r="D901">
            <v>632786</v>
          </cell>
          <cell r="E901" t="str">
            <v>רשות</v>
          </cell>
          <cell r="F901" t="str">
            <v>יסודי רכמה</v>
          </cell>
          <cell r="G901" t="str">
            <v>יסודי בלבד</v>
          </cell>
          <cell r="H901" t="str">
            <v>כן</v>
          </cell>
          <cell r="I901" t="str">
            <v>כן</v>
          </cell>
          <cell r="J901" t="str">
            <v>כן</v>
          </cell>
          <cell r="K901">
            <v>123</v>
          </cell>
          <cell r="L901">
            <v>90</v>
          </cell>
        </row>
        <row r="902">
          <cell r="D902">
            <v>118331</v>
          </cell>
          <cell r="E902" t="str">
            <v>רשות</v>
          </cell>
          <cell r="F902" t="str">
            <v>מולויה לבנות</v>
          </cell>
          <cell r="G902" t="str">
            <v>יסודי בלבד</v>
          </cell>
          <cell r="H902" t="str">
            <v>כן</v>
          </cell>
          <cell r="I902" t="str">
            <v>כן</v>
          </cell>
          <cell r="J902" t="str">
            <v>כן</v>
          </cell>
          <cell r="K902">
            <v>146</v>
          </cell>
          <cell r="L902">
            <v>40</v>
          </cell>
        </row>
        <row r="903">
          <cell r="D903">
            <v>482851</v>
          </cell>
          <cell r="E903" t="str">
            <v>רשות</v>
          </cell>
          <cell r="F903" t="str">
            <v>שלהבות</v>
          </cell>
          <cell r="G903" t="str">
            <v>יסודי בלבד</v>
          </cell>
          <cell r="H903" t="str">
            <v>כן</v>
          </cell>
          <cell r="I903" t="str">
            <v>כן</v>
          </cell>
          <cell r="J903" t="str">
            <v>כן</v>
          </cell>
          <cell r="K903">
            <v>113</v>
          </cell>
          <cell r="L903">
            <v>56</v>
          </cell>
        </row>
        <row r="904">
          <cell r="D904">
            <v>417238</v>
          </cell>
          <cell r="E904" t="str">
            <v/>
          </cell>
          <cell r="F904" t="str">
            <v>בראשית</v>
          </cell>
          <cell r="G904" t="str">
            <v>יסודי בלבד</v>
          </cell>
          <cell r="H904" t="str">
            <v>כן</v>
          </cell>
          <cell r="I904" t="str">
            <v>כן</v>
          </cell>
          <cell r="J904" t="str">
            <v>כן</v>
          </cell>
          <cell r="K904">
            <v>155</v>
          </cell>
          <cell r="L904">
            <v>51</v>
          </cell>
        </row>
        <row r="905">
          <cell r="D905">
            <v>384644</v>
          </cell>
          <cell r="E905" t="str">
            <v>רשות</v>
          </cell>
          <cell r="F905" t="str">
            <v>חב"ד חריש</v>
          </cell>
          <cell r="G905" t="str">
            <v>יסודי בלבד</v>
          </cell>
          <cell r="H905" t="str">
            <v>כן</v>
          </cell>
          <cell r="I905" t="str">
            <v>כן</v>
          </cell>
          <cell r="J905" t="str">
            <v>כן</v>
          </cell>
          <cell r="K905">
            <v>167</v>
          </cell>
          <cell r="L905">
            <v>102</v>
          </cell>
        </row>
        <row r="906">
          <cell r="D906">
            <v>480111</v>
          </cell>
          <cell r="E906" t="str">
            <v>רשות</v>
          </cell>
          <cell r="F906" t="str">
            <v>בית חינוך ע"ש רונה רמון</v>
          </cell>
          <cell r="G906" t="str">
            <v>יסודי בלבד</v>
          </cell>
          <cell r="H906" t="str">
            <v>כן</v>
          </cell>
          <cell r="I906" t="str">
            <v>כן</v>
          </cell>
          <cell r="J906" t="str">
            <v>כן</v>
          </cell>
          <cell r="K906">
            <v>314</v>
          </cell>
          <cell r="L906">
            <v>314</v>
          </cell>
        </row>
        <row r="907">
          <cell r="D907">
            <v>160531</v>
          </cell>
          <cell r="E907" t="str">
            <v>רשות</v>
          </cell>
          <cell r="F907" t="str">
            <v>מ"מד הר חומה</v>
          </cell>
          <cell r="G907" t="str">
            <v>יסודי בלבד</v>
          </cell>
          <cell r="H907" t="str">
            <v>כן</v>
          </cell>
          <cell r="I907" t="str">
            <v>כן</v>
          </cell>
          <cell r="J907" t="str">
            <v>כן</v>
          </cell>
          <cell r="K907">
            <v>427</v>
          </cell>
          <cell r="L907">
            <v>330</v>
          </cell>
        </row>
        <row r="908">
          <cell r="D908">
            <v>681817</v>
          </cell>
          <cell r="E908" t="str">
            <v>רשות</v>
          </cell>
          <cell r="F908" t="str">
            <v>אלפורעה ג' ע"ש הרצוג חיים</v>
          </cell>
          <cell r="G908" t="str">
            <v>יסודי בלבד</v>
          </cell>
          <cell r="H908" t="str">
            <v>כן</v>
          </cell>
          <cell r="I908" t="str">
            <v>כן</v>
          </cell>
          <cell r="J908" t="str">
            <v>כן</v>
          </cell>
          <cell r="K908">
            <v>145</v>
          </cell>
          <cell r="L908">
            <v>80</v>
          </cell>
        </row>
        <row r="909">
          <cell r="D909">
            <v>317123</v>
          </cell>
          <cell r="E909" t="str">
            <v>רשות</v>
          </cell>
          <cell r="F909" t="str">
            <v>אלפראבי</v>
          </cell>
          <cell r="G909" t="str">
            <v>יסודי בלבד</v>
          </cell>
          <cell r="H909" t="str">
            <v>כן</v>
          </cell>
          <cell r="I909" t="str">
            <v>כן</v>
          </cell>
          <cell r="J909" t="str">
            <v>כן</v>
          </cell>
          <cell r="K909">
            <v>276</v>
          </cell>
          <cell r="L909">
            <v>41</v>
          </cell>
        </row>
        <row r="910">
          <cell r="D910">
            <v>410530</v>
          </cell>
          <cell r="E910" t="str">
            <v>רשות</v>
          </cell>
          <cell r="F910" t="str">
            <v>חב"ד לבנות בית מושקא</v>
          </cell>
          <cell r="G910" t="str">
            <v>יסודי בלבד</v>
          </cell>
          <cell r="H910" t="str">
            <v>כן</v>
          </cell>
          <cell r="I910" t="str">
            <v>כן</v>
          </cell>
          <cell r="J910" t="str">
            <v>כן</v>
          </cell>
          <cell r="K910">
            <v>107</v>
          </cell>
          <cell r="L910">
            <v>73</v>
          </cell>
        </row>
        <row r="911">
          <cell r="D911">
            <v>418178</v>
          </cell>
          <cell r="E911" t="str">
            <v>רשות</v>
          </cell>
          <cell r="F911" t="str">
            <v>אל ראשידיה</v>
          </cell>
          <cell r="G911" t="str">
            <v>יסודי בלבד</v>
          </cell>
          <cell r="H911" t="str">
            <v>כן</v>
          </cell>
          <cell r="I911" t="str">
            <v>כן</v>
          </cell>
          <cell r="J911" t="str">
            <v>כן</v>
          </cell>
          <cell r="K911">
            <v>198</v>
          </cell>
          <cell r="L911">
            <v>49</v>
          </cell>
        </row>
        <row r="912">
          <cell r="D912">
            <v>581173</v>
          </cell>
          <cell r="E912" t="str">
            <v/>
          </cell>
          <cell r="F912" t="str">
            <v>ביה"ס השכונתי שפירא</v>
          </cell>
          <cell r="G912" t="str">
            <v>יסודי בלבד</v>
          </cell>
          <cell r="H912" t="str">
            <v>כן</v>
          </cell>
          <cell r="I912" t="str">
            <v>כן</v>
          </cell>
          <cell r="J912" t="str">
            <v>כן</v>
          </cell>
          <cell r="K912">
            <v>151</v>
          </cell>
          <cell r="L912">
            <v>151</v>
          </cell>
        </row>
        <row r="913">
          <cell r="D913">
            <v>210260</v>
          </cell>
          <cell r="E913" t="str">
            <v>רשות</v>
          </cell>
          <cell r="F913" t="str">
            <v>גלבוע -בית שאן</v>
          </cell>
          <cell r="G913" t="str">
            <v>יסודי בלבד</v>
          </cell>
          <cell r="H913" t="str">
            <v>כן</v>
          </cell>
          <cell r="I913" t="str">
            <v>כן</v>
          </cell>
          <cell r="J913" t="str">
            <v>כן</v>
          </cell>
          <cell r="K913">
            <v>78</v>
          </cell>
          <cell r="L913">
            <v>42</v>
          </cell>
        </row>
        <row r="914">
          <cell r="D914">
            <v>111849</v>
          </cell>
          <cell r="E914" t="str">
            <v>רשות</v>
          </cell>
          <cell r="F914" t="str">
            <v>בית-אל בנות</v>
          </cell>
          <cell r="G914" t="str">
            <v>יסודי בלבד</v>
          </cell>
          <cell r="H914" t="str">
            <v>כן</v>
          </cell>
          <cell r="I914" t="str">
            <v>כן</v>
          </cell>
          <cell r="J914" t="str">
            <v>כן</v>
          </cell>
          <cell r="K914">
            <v>208</v>
          </cell>
          <cell r="L914">
            <v>124</v>
          </cell>
        </row>
        <row r="915">
          <cell r="D915">
            <v>510388</v>
          </cell>
          <cell r="E915" t="str">
            <v/>
          </cell>
          <cell r="F915" t="str">
            <v>ברנדיס</v>
          </cell>
          <cell r="G915" t="str">
            <v>יסודי בלבד</v>
          </cell>
          <cell r="H915" t="str">
            <v>כן</v>
          </cell>
          <cell r="I915" t="str">
            <v>כן</v>
          </cell>
          <cell r="J915" t="str">
            <v>כן</v>
          </cell>
          <cell r="K915">
            <v>308</v>
          </cell>
          <cell r="L915">
            <v>67</v>
          </cell>
        </row>
        <row r="916">
          <cell r="D916">
            <v>311076</v>
          </cell>
          <cell r="E916" t="str">
            <v>רשות</v>
          </cell>
          <cell r="F916" t="str">
            <v>כרכור</v>
          </cell>
          <cell r="G916" t="str">
            <v>יסודי בלבד</v>
          </cell>
          <cell r="H916" t="str">
            <v>כן</v>
          </cell>
          <cell r="I916" t="str">
            <v>כן</v>
          </cell>
          <cell r="J916" t="str">
            <v>לא</v>
          </cell>
          <cell r="K916">
            <v>219</v>
          </cell>
          <cell r="L916">
            <v>165</v>
          </cell>
        </row>
        <row r="917">
          <cell r="D917">
            <v>111872</v>
          </cell>
          <cell r="E917" t="str">
            <v>רשות</v>
          </cell>
          <cell r="F917" t="str">
            <v>מנשה אלישר</v>
          </cell>
          <cell r="G917" t="str">
            <v>יסודי בלבד</v>
          </cell>
          <cell r="H917" t="str">
            <v>כן</v>
          </cell>
          <cell r="I917" t="str">
            <v>כן</v>
          </cell>
          <cell r="J917" t="str">
            <v>לא</v>
          </cell>
          <cell r="K917">
            <v>103</v>
          </cell>
          <cell r="L917">
            <v>72</v>
          </cell>
        </row>
        <row r="918">
          <cell r="D918">
            <v>310672</v>
          </cell>
          <cell r="E918" t="str">
            <v>רשות</v>
          </cell>
          <cell r="F918" t="str">
            <v>נירים</v>
          </cell>
          <cell r="G918" t="str">
            <v>יסודי בלבד</v>
          </cell>
          <cell r="H918" t="str">
            <v>כן</v>
          </cell>
          <cell r="I918" t="str">
            <v>כן</v>
          </cell>
          <cell r="J918" t="str">
            <v>כן</v>
          </cell>
          <cell r="K918">
            <v>43</v>
          </cell>
          <cell r="L918">
            <v>36</v>
          </cell>
        </row>
        <row r="919">
          <cell r="D919">
            <v>413534</v>
          </cell>
          <cell r="E919" t="str">
            <v>רשות</v>
          </cell>
          <cell r="F919" t="str">
            <v>ממ"ד אריאל</v>
          </cell>
          <cell r="G919" t="str">
            <v>יסודי בלבד</v>
          </cell>
          <cell r="H919" t="str">
            <v>כן</v>
          </cell>
          <cell r="I919" t="str">
            <v>כן</v>
          </cell>
          <cell r="J919" t="str">
            <v>כן</v>
          </cell>
          <cell r="K919">
            <v>204</v>
          </cell>
          <cell r="L919">
            <v>73</v>
          </cell>
        </row>
        <row r="920">
          <cell r="D920">
            <v>219006</v>
          </cell>
          <cell r="E920" t="str">
            <v>רשות</v>
          </cell>
          <cell r="F920" t="str">
            <v>יסודי ע"ש כאמל סעדה</v>
          </cell>
          <cell r="G920" t="str">
            <v>יסודי בלבד</v>
          </cell>
          <cell r="H920" t="str">
            <v>כן</v>
          </cell>
          <cell r="I920" t="str">
            <v>כן</v>
          </cell>
          <cell r="J920" t="str">
            <v>כן</v>
          </cell>
          <cell r="K920">
            <v>172</v>
          </cell>
          <cell r="L920">
            <v>172</v>
          </cell>
        </row>
        <row r="921">
          <cell r="D921">
            <v>411652</v>
          </cell>
          <cell r="E921" t="str">
            <v>רשות</v>
          </cell>
          <cell r="F921" t="str">
            <v>פיק"א</v>
          </cell>
          <cell r="G921" t="str">
            <v>יסודי בלבד</v>
          </cell>
          <cell r="H921" t="str">
            <v>כן</v>
          </cell>
          <cell r="I921" t="str">
            <v>כן</v>
          </cell>
          <cell r="J921" t="str">
            <v>כן</v>
          </cell>
          <cell r="K921">
            <v>132</v>
          </cell>
          <cell r="L921">
            <v>44</v>
          </cell>
        </row>
        <row r="922">
          <cell r="D922">
            <v>312850</v>
          </cell>
          <cell r="E922" t="str">
            <v>רשות</v>
          </cell>
          <cell r="F922" t="str">
            <v>שירת הים</v>
          </cell>
          <cell r="G922" t="str">
            <v>יסודי בלבד</v>
          </cell>
          <cell r="H922" t="str">
            <v>כן</v>
          </cell>
          <cell r="I922" t="str">
            <v>כן</v>
          </cell>
          <cell r="J922" t="str">
            <v>כן</v>
          </cell>
          <cell r="K922">
            <v>170</v>
          </cell>
          <cell r="L922">
            <v>75</v>
          </cell>
        </row>
        <row r="923">
          <cell r="D923">
            <v>310979</v>
          </cell>
          <cell r="E923" t="str">
            <v>רשות</v>
          </cell>
          <cell r="F923" t="str">
            <v>גורדון</v>
          </cell>
          <cell r="G923" t="str">
            <v>יסודי בלבד</v>
          </cell>
          <cell r="H923" t="str">
            <v>כן</v>
          </cell>
          <cell r="I923" t="str">
            <v>כן</v>
          </cell>
          <cell r="J923" t="str">
            <v>כן</v>
          </cell>
          <cell r="K923">
            <v>250</v>
          </cell>
          <cell r="L923">
            <v>81</v>
          </cell>
        </row>
        <row r="924">
          <cell r="D924">
            <v>218065</v>
          </cell>
          <cell r="E924" t="str">
            <v>רשות</v>
          </cell>
          <cell r="F924" t="str">
            <v>ערב אלהיב פרוש רמאנה</v>
          </cell>
          <cell r="G924" t="str">
            <v>יסודי בלבד</v>
          </cell>
          <cell r="H924" t="str">
            <v>כן</v>
          </cell>
          <cell r="I924" t="str">
            <v>כן</v>
          </cell>
          <cell r="J924" t="str">
            <v>כן</v>
          </cell>
          <cell r="K924">
            <v>102</v>
          </cell>
          <cell r="L924">
            <v>102</v>
          </cell>
        </row>
        <row r="925">
          <cell r="D925">
            <v>136259</v>
          </cell>
          <cell r="E925" t="str">
            <v>רשות</v>
          </cell>
          <cell r="F925" t="str">
            <v>צור הדסה</v>
          </cell>
          <cell r="G925" t="str">
            <v>יסודי בלבד</v>
          </cell>
          <cell r="H925" t="str">
            <v>כן</v>
          </cell>
          <cell r="I925" t="str">
            <v>כן</v>
          </cell>
          <cell r="J925" t="str">
            <v>כן</v>
          </cell>
          <cell r="K925">
            <v>219</v>
          </cell>
          <cell r="L925">
            <v>121</v>
          </cell>
        </row>
        <row r="926">
          <cell r="D926">
            <v>413682</v>
          </cell>
          <cell r="E926" t="str">
            <v>רשות</v>
          </cell>
          <cell r="F926" t="str">
            <v>בן גוריון</v>
          </cell>
          <cell r="G926" t="str">
            <v>יסודי בלבד</v>
          </cell>
          <cell r="H926" t="str">
            <v>כן</v>
          </cell>
          <cell r="I926" t="str">
            <v>כן</v>
          </cell>
          <cell r="J926" t="str">
            <v>כן</v>
          </cell>
          <cell r="K926">
            <v>109</v>
          </cell>
          <cell r="L926">
            <v>43</v>
          </cell>
        </row>
        <row r="927">
          <cell r="D927">
            <v>112102</v>
          </cell>
          <cell r="E927" t="str">
            <v/>
          </cell>
          <cell r="F927" t="str">
            <v>חב"ד לבנים ביתר עלית</v>
          </cell>
          <cell r="G927" t="str">
            <v>יסודי בלבד</v>
          </cell>
          <cell r="H927" t="str">
            <v>כן</v>
          </cell>
          <cell r="I927" t="str">
            <v>כן</v>
          </cell>
          <cell r="J927" t="str">
            <v>כן</v>
          </cell>
          <cell r="K927">
            <v>103</v>
          </cell>
          <cell r="L927">
            <v>72</v>
          </cell>
        </row>
        <row r="928">
          <cell r="D928">
            <v>312397</v>
          </cell>
          <cell r="E928" t="str">
            <v>רשות</v>
          </cell>
          <cell r="F928" t="str">
            <v>הגורן</v>
          </cell>
          <cell r="G928" t="str">
            <v>יסודי בלבד</v>
          </cell>
          <cell r="H928" t="str">
            <v>כן</v>
          </cell>
          <cell r="I928" t="str">
            <v>כן</v>
          </cell>
          <cell r="J928" t="str">
            <v>כן</v>
          </cell>
          <cell r="K928">
            <v>265</v>
          </cell>
          <cell r="L928">
            <v>103</v>
          </cell>
        </row>
        <row r="929">
          <cell r="D929">
            <v>510727</v>
          </cell>
          <cell r="E929" t="str">
            <v>רשות</v>
          </cell>
          <cell r="F929" t="str">
            <v>המנחיל</v>
          </cell>
          <cell r="G929" t="str">
            <v>יסודי בלבד</v>
          </cell>
          <cell r="H929" t="str">
            <v>כן</v>
          </cell>
          <cell r="I929" t="str">
            <v>כן</v>
          </cell>
          <cell r="J929" t="str">
            <v>כן</v>
          </cell>
          <cell r="K929">
            <v>246</v>
          </cell>
          <cell r="L929">
            <v>105</v>
          </cell>
        </row>
        <row r="930">
          <cell r="D930">
            <v>410639</v>
          </cell>
          <cell r="E930" t="str">
            <v/>
          </cell>
          <cell r="F930" t="str">
            <v>ממ"ד במעלה</v>
          </cell>
          <cell r="G930" t="str">
            <v>יסודי בלבד</v>
          </cell>
          <cell r="H930" t="str">
            <v>כן</v>
          </cell>
          <cell r="I930" t="str">
            <v>כן</v>
          </cell>
          <cell r="J930" t="str">
            <v>כן</v>
          </cell>
          <cell r="K930">
            <v>129</v>
          </cell>
          <cell r="L930">
            <v>120</v>
          </cell>
        </row>
        <row r="931">
          <cell r="D931">
            <v>113472</v>
          </cell>
          <cell r="E931" t="str">
            <v>רשות</v>
          </cell>
          <cell r="F931" t="str">
            <v>תל"י פסגות</v>
          </cell>
          <cell r="G931" t="str">
            <v>יסודי בלבד</v>
          </cell>
          <cell r="H931" t="str">
            <v>כן</v>
          </cell>
          <cell r="I931" t="str">
            <v>כן</v>
          </cell>
          <cell r="J931" t="str">
            <v>כן</v>
          </cell>
          <cell r="K931">
            <v>62</v>
          </cell>
          <cell r="L931">
            <v>36</v>
          </cell>
        </row>
        <row r="932">
          <cell r="D932">
            <v>675272</v>
          </cell>
          <cell r="E932" t="str">
            <v>בעלות</v>
          </cell>
          <cell r="F932" t="str">
            <v>מעלות אסתר</v>
          </cell>
          <cell r="G932" t="str">
            <v>יסודי בלבד</v>
          </cell>
          <cell r="H932" t="str">
            <v>כן</v>
          </cell>
          <cell r="I932" t="str">
            <v>כן</v>
          </cell>
          <cell r="J932" t="str">
            <v>כן</v>
          </cell>
          <cell r="K932">
            <v>77</v>
          </cell>
          <cell r="L932">
            <v>80</v>
          </cell>
        </row>
        <row r="933">
          <cell r="D933">
            <v>612713</v>
          </cell>
          <cell r="E933" t="str">
            <v>רשות</v>
          </cell>
          <cell r="F933" t="str">
            <v>יד חזון</v>
          </cell>
          <cell r="G933" t="str">
            <v>יסודי בלבד</v>
          </cell>
          <cell r="H933" t="str">
            <v>כן</v>
          </cell>
          <cell r="I933" t="str">
            <v>כן</v>
          </cell>
          <cell r="J933" t="str">
            <v>כן</v>
          </cell>
          <cell r="K933">
            <v>152</v>
          </cell>
          <cell r="L933">
            <v>56</v>
          </cell>
        </row>
        <row r="934">
          <cell r="D934">
            <v>111112</v>
          </cell>
          <cell r="E934" t="str">
            <v>רשות</v>
          </cell>
          <cell r="F934" t="str">
            <v>זלמן ארן</v>
          </cell>
          <cell r="G934" t="str">
            <v>יסודי בלבד</v>
          </cell>
          <cell r="H934" t="str">
            <v>כן</v>
          </cell>
          <cell r="I934" t="str">
            <v>כן</v>
          </cell>
          <cell r="J934" t="str">
            <v>כן</v>
          </cell>
          <cell r="K934">
            <v>165</v>
          </cell>
          <cell r="L934">
            <v>85</v>
          </cell>
        </row>
        <row r="935">
          <cell r="D935">
            <v>114082</v>
          </cell>
          <cell r="E935" t="str">
            <v>רשות</v>
          </cell>
          <cell r="F935" t="str">
            <v>דולב</v>
          </cell>
          <cell r="G935" t="str">
            <v>יסודי בלבד</v>
          </cell>
          <cell r="H935" t="str">
            <v>כן</v>
          </cell>
          <cell r="I935" t="str">
            <v>כן</v>
          </cell>
          <cell r="J935" t="str">
            <v>כן</v>
          </cell>
          <cell r="K935">
            <v>139</v>
          </cell>
          <cell r="L935">
            <v>62</v>
          </cell>
        </row>
        <row r="936">
          <cell r="D936">
            <v>217356</v>
          </cell>
          <cell r="E936" t="str">
            <v>רשות</v>
          </cell>
          <cell r="F936" t="str">
            <v>יסודי אבן ח'לדון</v>
          </cell>
          <cell r="G936" t="str">
            <v>יסודי בלבד</v>
          </cell>
          <cell r="H936" t="str">
            <v>כן</v>
          </cell>
          <cell r="I936" t="str">
            <v>כן</v>
          </cell>
          <cell r="J936" t="str">
            <v>כן</v>
          </cell>
          <cell r="K936">
            <v>133</v>
          </cell>
          <cell r="L936">
            <v>88</v>
          </cell>
        </row>
        <row r="937">
          <cell r="D937">
            <v>418244</v>
          </cell>
          <cell r="E937" t="str">
            <v/>
          </cell>
          <cell r="F937" t="str">
            <v>ממלכתי א'</v>
          </cell>
          <cell r="G937" t="str">
            <v>יסודי בלבד</v>
          </cell>
          <cell r="H937" t="str">
            <v>כן</v>
          </cell>
          <cell r="I937" t="str">
            <v>כן</v>
          </cell>
          <cell r="J937" t="str">
            <v>כן</v>
          </cell>
          <cell r="K937">
            <v>154</v>
          </cell>
          <cell r="L937">
            <v>154</v>
          </cell>
        </row>
        <row r="938">
          <cell r="D938">
            <v>650002</v>
          </cell>
          <cell r="E938" t="str">
            <v>רשות</v>
          </cell>
          <cell r="F938" t="str">
            <v>תתמ"ד בנות נריה</v>
          </cell>
          <cell r="G938" t="str">
            <v>יסודי בלבד</v>
          </cell>
          <cell r="H938" t="str">
            <v>כן</v>
          </cell>
          <cell r="I938" t="str">
            <v>כן</v>
          </cell>
          <cell r="J938" t="str">
            <v>כן</v>
          </cell>
          <cell r="K938">
            <v>151</v>
          </cell>
          <cell r="L938">
            <v>60</v>
          </cell>
        </row>
        <row r="939">
          <cell r="D939">
            <v>611145</v>
          </cell>
          <cell r="E939" t="str">
            <v>רשות</v>
          </cell>
          <cell r="F939" t="str">
            <v>אור מנחם חב"ד בנות</v>
          </cell>
          <cell r="G939" t="str">
            <v>יסודי בלבד</v>
          </cell>
          <cell r="H939" t="str">
            <v>כן</v>
          </cell>
          <cell r="I939" t="str">
            <v>כן</v>
          </cell>
          <cell r="J939" t="str">
            <v>כן</v>
          </cell>
          <cell r="K939">
            <v>44</v>
          </cell>
          <cell r="L939">
            <v>44</v>
          </cell>
        </row>
        <row r="940">
          <cell r="D940">
            <v>214494</v>
          </cell>
          <cell r="E940" t="str">
            <v>רשות</v>
          </cell>
          <cell r="F940" t="str">
            <v>דליות -יקנעם</v>
          </cell>
          <cell r="G940" t="str">
            <v>יסודי בלבד</v>
          </cell>
          <cell r="H940" t="str">
            <v>כן</v>
          </cell>
          <cell r="I940" t="str">
            <v>כן</v>
          </cell>
          <cell r="J940" t="str">
            <v>כן</v>
          </cell>
          <cell r="K940">
            <v>171</v>
          </cell>
          <cell r="L940">
            <v>47</v>
          </cell>
        </row>
        <row r="941">
          <cell r="D941">
            <v>413211</v>
          </cell>
          <cell r="E941" t="str">
            <v>רשות</v>
          </cell>
          <cell r="F941" t="str">
            <v>ממ"ד אבני החושן</v>
          </cell>
          <cell r="G941" t="str">
            <v>יסודי בלבד</v>
          </cell>
          <cell r="H941" t="str">
            <v>כן</v>
          </cell>
          <cell r="I941" t="str">
            <v>כן</v>
          </cell>
          <cell r="J941" t="str">
            <v>כן</v>
          </cell>
          <cell r="K941">
            <v>146</v>
          </cell>
          <cell r="L941">
            <v>83</v>
          </cell>
        </row>
        <row r="942">
          <cell r="D942">
            <v>510750</v>
          </cell>
          <cell r="E942" t="str">
            <v>רשות</v>
          </cell>
          <cell r="F942" t="str">
            <v>עליות</v>
          </cell>
          <cell r="G942" t="str">
            <v>יסודי בלבד</v>
          </cell>
          <cell r="H942" t="str">
            <v>כן</v>
          </cell>
          <cell r="I942" t="str">
            <v>כן</v>
          </cell>
          <cell r="J942" t="str">
            <v>כן</v>
          </cell>
          <cell r="K942">
            <v>195</v>
          </cell>
          <cell r="L942">
            <v>110</v>
          </cell>
        </row>
        <row r="943">
          <cell r="D943">
            <v>411850</v>
          </cell>
          <cell r="E943" t="str">
            <v>רשות</v>
          </cell>
          <cell r="F943" t="str">
            <v>ממ"ד אוהל שרה</v>
          </cell>
          <cell r="G943" t="str">
            <v>יסודי בלבד</v>
          </cell>
          <cell r="H943" t="str">
            <v>כן</v>
          </cell>
          <cell r="I943" t="str">
            <v>כן</v>
          </cell>
          <cell r="J943" t="str">
            <v>כן</v>
          </cell>
          <cell r="K943">
            <v>208</v>
          </cell>
          <cell r="L943">
            <v>74</v>
          </cell>
        </row>
        <row r="944">
          <cell r="D944">
            <v>312207</v>
          </cell>
          <cell r="E944" t="str">
            <v>רשות</v>
          </cell>
          <cell r="F944" t="str">
            <v>עלומים</v>
          </cell>
          <cell r="G944" t="str">
            <v>יסודי בלבד</v>
          </cell>
          <cell r="H944" t="str">
            <v>כן</v>
          </cell>
          <cell r="I944" t="str">
            <v>כן</v>
          </cell>
          <cell r="J944" t="str">
            <v>כן</v>
          </cell>
          <cell r="K944">
            <v>128</v>
          </cell>
          <cell r="L944">
            <v>41</v>
          </cell>
        </row>
        <row r="945">
          <cell r="D945">
            <v>415117</v>
          </cell>
          <cell r="E945" t="str">
            <v>רשות</v>
          </cell>
          <cell r="F945" t="str">
            <v>ממ"ד מורשת זבולון</v>
          </cell>
          <cell r="G945" t="str">
            <v>יסודי בלבד</v>
          </cell>
          <cell r="H945" t="str">
            <v>כן</v>
          </cell>
          <cell r="I945" t="str">
            <v>כן</v>
          </cell>
          <cell r="J945" t="str">
            <v>כן</v>
          </cell>
          <cell r="K945">
            <v>384</v>
          </cell>
          <cell r="L945">
            <v>91</v>
          </cell>
        </row>
        <row r="946">
          <cell r="D946">
            <v>419267</v>
          </cell>
          <cell r="E946" t="str">
            <v>רשות</v>
          </cell>
          <cell r="F946" t="str">
            <v>צלעה בנות</v>
          </cell>
          <cell r="G946" t="str">
            <v>יסודי בלבד</v>
          </cell>
          <cell r="H946" t="str">
            <v>כן</v>
          </cell>
          <cell r="I946" t="str">
            <v>כן</v>
          </cell>
          <cell r="J946" t="str">
            <v>כן</v>
          </cell>
          <cell r="K946">
            <v>236</v>
          </cell>
          <cell r="L946">
            <v>49</v>
          </cell>
        </row>
        <row r="947">
          <cell r="D947">
            <v>384750</v>
          </cell>
          <cell r="E947" t="str">
            <v>רשות</v>
          </cell>
          <cell r="F947" t="str">
            <v>יסודי אתגרי העתיד</v>
          </cell>
          <cell r="G947" t="str">
            <v>יסודי בלבד</v>
          </cell>
          <cell r="H947" t="str">
            <v>כן</v>
          </cell>
          <cell r="I947" t="str">
            <v>כן</v>
          </cell>
          <cell r="J947" t="str">
            <v>לא</v>
          </cell>
          <cell r="K947">
            <v>69</v>
          </cell>
          <cell r="L947">
            <v>69</v>
          </cell>
        </row>
        <row r="948">
          <cell r="D948">
            <v>513150</v>
          </cell>
          <cell r="E948" t="str">
            <v>רשות</v>
          </cell>
          <cell r="F948" t="str">
            <v>התבור</v>
          </cell>
          <cell r="G948" t="str">
            <v>יסודי בלבד</v>
          </cell>
          <cell r="H948" t="str">
            <v>כן</v>
          </cell>
          <cell r="I948" t="str">
            <v>כן</v>
          </cell>
          <cell r="J948" t="str">
            <v>לא</v>
          </cell>
          <cell r="K948">
            <v>189</v>
          </cell>
          <cell r="L948">
            <v>70</v>
          </cell>
        </row>
        <row r="949">
          <cell r="D949">
            <v>214643</v>
          </cell>
          <cell r="E949" t="str">
            <v>בעלות</v>
          </cell>
          <cell r="F949" t="str">
            <v>ב"י שערי שמחה נתיבות משה</v>
          </cell>
          <cell r="G949" t="str">
            <v>יסודי בלבד</v>
          </cell>
          <cell r="H949" t="str">
            <v>כן</v>
          </cell>
          <cell r="I949" t="str">
            <v>כן</v>
          </cell>
          <cell r="J949" t="str">
            <v>כן</v>
          </cell>
          <cell r="K949">
            <v>63</v>
          </cell>
          <cell r="L949">
            <v>40</v>
          </cell>
        </row>
        <row r="950">
          <cell r="D950">
            <v>318337</v>
          </cell>
          <cell r="E950" t="str">
            <v>רשות</v>
          </cell>
          <cell r="F950" t="str">
            <v>עראק אלשבאב</v>
          </cell>
          <cell r="G950" t="str">
            <v>יסודי בלבד</v>
          </cell>
          <cell r="H950" t="str">
            <v>כן</v>
          </cell>
          <cell r="I950" t="str">
            <v>כן</v>
          </cell>
          <cell r="J950" t="str">
            <v>כן</v>
          </cell>
          <cell r="K950">
            <v>242</v>
          </cell>
          <cell r="L950">
            <v>72</v>
          </cell>
        </row>
        <row r="951">
          <cell r="D951">
            <v>218255</v>
          </cell>
          <cell r="E951" t="str">
            <v>רשות</v>
          </cell>
          <cell r="F951" t="str">
            <v>יסודי טובא</v>
          </cell>
          <cell r="G951" t="str">
            <v>יסודי בלבד</v>
          </cell>
          <cell r="H951" t="str">
            <v>כן</v>
          </cell>
          <cell r="I951" t="str">
            <v>כן</v>
          </cell>
          <cell r="J951" t="str">
            <v>כן</v>
          </cell>
          <cell r="K951">
            <v>225</v>
          </cell>
          <cell r="L951">
            <v>225</v>
          </cell>
        </row>
        <row r="952">
          <cell r="D952">
            <v>213710</v>
          </cell>
          <cell r="E952" t="str">
            <v>רשות</v>
          </cell>
          <cell r="F952" t="str">
            <v>עש גולדה מאיר נהריה</v>
          </cell>
          <cell r="G952" t="str">
            <v>יסודי בלבד</v>
          </cell>
          <cell r="H952" t="str">
            <v>כן</v>
          </cell>
          <cell r="I952" t="str">
            <v>כן</v>
          </cell>
          <cell r="J952" t="str">
            <v>כן</v>
          </cell>
          <cell r="K952">
            <v>329</v>
          </cell>
          <cell r="L952">
            <v>124</v>
          </cell>
        </row>
        <row r="953">
          <cell r="D953">
            <v>313619</v>
          </cell>
          <cell r="E953" t="str">
            <v>רשות</v>
          </cell>
          <cell r="F953" t="str">
            <v>חנה סנש</v>
          </cell>
          <cell r="G953" t="str">
            <v>יסודי בלבד</v>
          </cell>
          <cell r="H953" t="str">
            <v>כן</v>
          </cell>
          <cell r="I953" t="str">
            <v>כן</v>
          </cell>
          <cell r="J953" t="str">
            <v>כן</v>
          </cell>
          <cell r="K953">
            <v>218</v>
          </cell>
          <cell r="L953">
            <v>34</v>
          </cell>
        </row>
        <row r="954">
          <cell r="D954">
            <v>482745</v>
          </cell>
          <cell r="E954" t="str">
            <v>רשות</v>
          </cell>
          <cell r="F954" t="str">
            <v>יסדת עוז</v>
          </cell>
          <cell r="G954" t="str">
            <v>יסודי בלבד</v>
          </cell>
          <cell r="H954" t="str">
            <v>כן</v>
          </cell>
          <cell r="I954" t="str">
            <v>כן</v>
          </cell>
          <cell r="J954" t="str">
            <v>כן</v>
          </cell>
          <cell r="K954">
            <v>38</v>
          </cell>
          <cell r="L954">
            <v>38</v>
          </cell>
        </row>
        <row r="955">
          <cell r="D955">
            <v>418160</v>
          </cell>
          <cell r="E955" t="str">
            <v>רשות</v>
          </cell>
          <cell r="F955" t="str">
            <v>אל עומריה</v>
          </cell>
          <cell r="G955" t="str">
            <v>יסודי בלבד</v>
          </cell>
          <cell r="H955" t="str">
            <v>כן</v>
          </cell>
          <cell r="I955" t="str">
            <v>כן</v>
          </cell>
          <cell r="J955" t="str">
            <v>כן</v>
          </cell>
          <cell r="K955">
            <v>249</v>
          </cell>
          <cell r="L955">
            <v>146</v>
          </cell>
        </row>
        <row r="956">
          <cell r="D956">
            <v>513325</v>
          </cell>
          <cell r="E956" t="str">
            <v>רשות</v>
          </cell>
          <cell r="F956" t="str">
            <v>הדר</v>
          </cell>
          <cell r="G956" t="str">
            <v>יסודי בלבד</v>
          </cell>
          <cell r="H956" t="str">
            <v>כן</v>
          </cell>
          <cell r="I956" t="str">
            <v>כן</v>
          </cell>
          <cell r="J956" t="str">
            <v>לא</v>
          </cell>
          <cell r="K956">
            <v>99</v>
          </cell>
          <cell r="L956">
            <v>22</v>
          </cell>
        </row>
        <row r="957">
          <cell r="D957">
            <v>214239</v>
          </cell>
          <cell r="E957" t="str">
            <v>רשות</v>
          </cell>
          <cell r="F957" t="str">
            <v>יסודי נופים</v>
          </cell>
          <cell r="G957" t="str">
            <v>יסודי בלבד</v>
          </cell>
          <cell r="H957" t="str">
            <v>כן</v>
          </cell>
          <cell r="I957" t="str">
            <v>כן</v>
          </cell>
          <cell r="J957" t="str">
            <v>כן</v>
          </cell>
          <cell r="K957">
            <v>257</v>
          </cell>
          <cell r="L957">
            <v>80</v>
          </cell>
        </row>
        <row r="958">
          <cell r="D958">
            <v>118034</v>
          </cell>
          <cell r="E958" t="str">
            <v>רשות</v>
          </cell>
          <cell r="F958" t="str">
            <v>יסודי עין נקובא</v>
          </cell>
          <cell r="G958" t="str">
            <v>יסודי בלבד</v>
          </cell>
          <cell r="H958" t="str">
            <v>כן</v>
          </cell>
          <cell r="I958" t="str">
            <v>כן</v>
          </cell>
          <cell r="J958" t="str">
            <v>כן</v>
          </cell>
          <cell r="K958">
            <v>252</v>
          </cell>
          <cell r="L958">
            <v>15</v>
          </cell>
        </row>
        <row r="959">
          <cell r="D959">
            <v>411736</v>
          </cell>
          <cell r="E959" t="str">
            <v>רשות</v>
          </cell>
          <cell r="F959" t="str">
            <v>ממ"ד נצח ישראל</v>
          </cell>
          <cell r="G959" t="str">
            <v>יסודי בלבד</v>
          </cell>
          <cell r="H959" t="str">
            <v>כן</v>
          </cell>
          <cell r="I959" t="str">
            <v>כן</v>
          </cell>
          <cell r="J959" t="str">
            <v>כן</v>
          </cell>
          <cell r="K959">
            <v>285</v>
          </cell>
          <cell r="L959">
            <v>85</v>
          </cell>
        </row>
        <row r="960">
          <cell r="D960">
            <v>311738</v>
          </cell>
          <cell r="E960" t="str">
            <v/>
          </cell>
          <cell r="F960" t="str">
            <v>ב"י נר שמואל</v>
          </cell>
          <cell r="G960" t="str">
            <v>יסודי בלבד</v>
          </cell>
          <cell r="H960" t="str">
            <v>כן</v>
          </cell>
          <cell r="I960" t="str">
            <v>כן</v>
          </cell>
          <cell r="J960" t="str">
            <v>כן</v>
          </cell>
          <cell r="K960">
            <v>0</v>
          </cell>
          <cell r="L960">
            <v>54</v>
          </cell>
        </row>
        <row r="961">
          <cell r="D961">
            <v>113076</v>
          </cell>
          <cell r="E961" t="str">
            <v>רשות</v>
          </cell>
          <cell r="F961" t="str">
            <v>ביה"ס ממ"ד דרור</v>
          </cell>
          <cell r="G961" t="str">
            <v>יסודי בלבד</v>
          </cell>
          <cell r="H961" t="str">
            <v>כן</v>
          </cell>
          <cell r="I961" t="str">
            <v>כן</v>
          </cell>
          <cell r="J961" t="str">
            <v>כן</v>
          </cell>
          <cell r="K961">
            <v>144</v>
          </cell>
          <cell r="L961">
            <v>80</v>
          </cell>
        </row>
        <row r="962">
          <cell r="D962">
            <v>579268</v>
          </cell>
          <cell r="E962" t="str">
            <v/>
          </cell>
          <cell r="F962" t="str">
            <v>ביכורים - המכיל</v>
          </cell>
          <cell r="G962" t="str">
            <v>יסודי בלבד</v>
          </cell>
          <cell r="H962" t="str">
            <v>כן</v>
          </cell>
          <cell r="I962" t="str">
            <v>כן</v>
          </cell>
          <cell r="J962" t="str">
            <v>לא</v>
          </cell>
          <cell r="K962">
            <v>180</v>
          </cell>
          <cell r="L962">
            <v>116</v>
          </cell>
        </row>
        <row r="963">
          <cell r="D963">
            <v>416289</v>
          </cell>
          <cell r="E963" t="str">
            <v>רשות</v>
          </cell>
          <cell r="F963" t="str">
            <v>דמוקרטי הוד השרון</v>
          </cell>
          <cell r="G963" t="str">
            <v>יסודי בלבד</v>
          </cell>
          <cell r="H963" t="str">
            <v>כן</v>
          </cell>
          <cell r="I963" t="str">
            <v>כן</v>
          </cell>
          <cell r="J963" t="str">
            <v>כן</v>
          </cell>
          <cell r="K963">
            <v>123</v>
          </cell>
          <cell r="L963">
            <v>55</v>
          </cell>
        </row>
        <row r="964">
          <cell r="D964">
            <v>618652</v>
          </cell>
          <cell r="E964" t="str">
            <v>רשות</v>
          </cell>
          <cell r="F964" t="str">
            <v>יסודי א' חורה</v>
          </cell>
          <cell r="G964" t="str">
            <v>יסודי בלבד</v>
          </cell>
          <cell r="H964" t="str">
            <v>כן</v>
          </cell>
          <cell r="I964" t="str">
            <v>כן</v>
          </cell>
          <cell r="J964" t="str">
            <v>כן</v>
          </cell>
          <cell r="K964">
            <v>264</v>
          </cell>
          <cell r="L964">
            <v>135</v>
          </cell>
        </row>
        <row r="965">
          <cell r="D965">
            <v>241042</v>
          </cell>
          <cell r="E965" t="str">
            <v>רשות</v>
          </cell>
          <cell r="F965" t="str">
            <v>אלמוג</v>
          </cell>
          <cell r="G965" t="str">
            <v>יסודי בלבד</v>
          </cell>
          <cell r="H965" t="str">
            <v>כן</v>
          </cell>
          <cell r="I965" t="str">
            <v>כן</v>
          </cell>
          <cell r="J965" t="str">
            <v>כן</v>
          </cell>
          <cell r="K965">
            <v>181</v>
          </cell>
          <cell r="L965">
            <v>59</v>
          </cell>
        </row>
        <row r="966">
          <cell r="D966">
            <v>318097</v>
          </cell>
          <cell r="E966" t="str">
            <v>רשות</v>
          </cell>
          <cell r="F966" t="str">
            <v>אלשאטאא</v>
          </cell>
          <cell r="G966" t="str">
            <v>יסודי בלבד</v>
          </cell>
          <cell r="H966" t="str">
            <v>כן</v>
          </cell>
          <cell r="I966" t="str">
            <v>כן</v>
          </cell>
          <cell r="J966" t="str">
            <v>לא</v>
          </cell>
          <cell r="K966">
            <v>188</v>
          </cell>
          <cell r="L966">
            <v>79</v>
          </cell>
        </row>
        <row r="967">
          <cell r="D967">
            <v>219337</v>
          </cell>
          <cell r="E967" t="str">
            <v>רשות</v>
          </cell>
          <cell r="F967" t="str">
            <v>יסודי א'-אלעין</v>
          </cell>
          <cell r="G967" t="str">
            <v>יסודי בלבד</v>
          </cell>
          <cell r="H967" t="str">
            <v>כן</v>
          </cell>
          <cell r="I967" t="str">
            <v>כן</v>
          </cell>
          <cell r="J967" t="str">
            <v>כן</v>
          </cell>
          <cell r="K967">
            <v>177</v>
          </cell>
          <cell r="L967">
            <v>74</v>
          </cell>
        </row>
        <row r="968">
          <cell r="D968">
            <v>219493</v>
          </cell>
          <cell r="E968" t="str">
            <v>רשות</v>
          </cell>
          <cell r="F968" t="str">
            <v>יסודי ג' כפר כנא</v>
          </cell>
          <cell r="G968" t="str">
            <v>יסודי בלבד</v>
          </cell>
          <cell r="H968" t="str">
            <v>כן</v>
          </cell>
          <cell r="I968" t="str">
            <v>כן</v>
          </cell>
          <cell r="J968" t="str">
            <v>כן</v>
          </cell>
          <cell r="K968">
            <v>221</v>
          </cell>
          <cell r="L968">
            <v>160</v>
          </cell>
        </row>
        <row r="969">
          <cell r="D969">
            <v>148270</v>
          </cell>
          <cell r="E969" t="str">
            <v>רשות</v>
          </cell>
          <cell r="F969" t="str">
            <v>אל בירוני</v>
          </cell>
          <cell r="G969" t="str">
            <v>יסודי בלבד</v>
          </cell>
          <cell r="H969" t="str">
            <v>כן</v>
          </cell>
          <cell r="I969" t="str">
            <v>כן</v>
          </cell>
          <cell r="J969" t="str">
            <v>כן</v>
          </cell>
          <cell r="K969">
            <v>357</v>
          </cell>
          <cell r="L969">
            <v>90</v>
          </cell>
        </row>
        <row r="970">
          <cell r="D970">
            <v>511220</v>
          </cell>
          <cell r="E970" t="str">
            <v>רשות</v>
          </cell>
          <cell r="F970" t="str">
            <v>גרץ</v>
          </cell>
          <cell r="G970" t="str">
            <v>יסודי בלבד</v>
          </cell>
          <cell r="H970" t="str">
            <v>כן</v>
          </cell>
          <cell r="I970" t="str">
            <v>כן</v>
          </cell>
          <cell r="J970" t="str">
            <v>לא</v>
          </cell>
          <cell r="K970">
            <v>155</v>
          </cell>
          <cell r="L970">
            <v>80</v>
          </cell>
        </row>
        <row r="971">
          <cell r="D971">
            <v>114389</v>
          </cell>
          <cell r="E971" t="str">
            <v>רשות</v>
          </cell>
          <cell r="F971" t="str">
            <v>על איזורי קשת</v>
          </cell>
          <cell r="G971" t="str">
            <v>יסודי בלבד</v>
          </cell>
          <cell r="H971" t="str">
            <v>כן</v>
          </cell>
          <cell r="I971" t="str">
            <v>כן</v>
          </cell>
          <cell r="J971" t="str">
            <v>כן</v>
          </cell>
          <cell r="K971">
            <v>181</v>
          </cell>
          <cell r="L971">
            <v>65</v>
          </cell>
        </row>
        <row r="972">
          <cell r="D972">
            <v>111203</v>
          </cell>
          <cell r="E972" t="str">
            <v>רשות</v>
          </cell>
          <cell r="F972" t="str">
            <v>גבעת גונן</v>
          </cell>
          <cell r="G972" t="str">
            <v>יסודי בלבד</v>
          </cell>
          <cell r="H972" t="str">
            <v>כן</v>
          </cell>
          <cell r="I972" t="str">
            <v>כן</v>
          </cell>
          <cell r="J972" t="str">
            <v>כן</v>
          </cell>
          <cell r="K972">
            <v>64</v>
          </cell>
          <cell r="L972">
            <v>32</v>
          </cell>
        </row>
        <row r="973">
          <cell r="D973">
            <v>318394</v>
          </cell>
          <cell r="E973" t="str">
            <v>רשות</v>
          </cell>
          <cell r="F973" t="str">
            <v>עבד אלרחמן אלחא'ג</v>
          </cell>
          <cell r="G973" t="str">
            <v>יסודי בלבד</v>
          </cell>
          <cell r="H973" t="str">
            <v>כן</v>
          </cell>
          <cell r="I973" t="str">
            <v>כן</v>
          </cell>
          <cell r="J973" t="str">
            <v>כן</v>
          </cell>
          <cell r="K973">
            <v>94</v>
          </cell>
          <cell r="L973">
            <v>45</v>
          </cell>
        </row>
        <row r="974">
          <cell r="D974">
            <v>581488</v>
          </cell>
          <cell r="E974" t="str">
            <v>רשות</v>
          </cell>
          <cell r="F974" t="str">
            <v>מאיר שמגר</v>
          </cell>
          <cell r="G974" t="str">
            <v>יסודי בלבד</v>
          </cell>
          <cell r="H974" t="str">
            <v>כן</v>
          </cell>
          <cell r="I974" t="str">
            <v>לא</v>
          </cell>
          <cell r="J974" t="str">
            <v>לא</v>
          </cell>
          <cell r="K974">
            <v>68</v>
          </cell>
          <cell r="L974">
            <v>68</v>
          </cell>
        </row>
        <row r="975">
          <cell r="D975">
            <v>666016</v>
          </cell>
          <cell r="E975" t="str">
            <v/>
          </cell>
          <cell r="F975" t="str">
            <v>נתיבותיה</v>
          </cell>
          <cell r="G975" t="str">
            <v>יסודי בלבד</v>
          </cell>
          <cell r="H975" t="str">
            <v>כן</v>
          </cell>
          <cell r="I975" t="str">
            <v>לא</v>
          </cell>
          <cell r="J975" t="str">
            <v>לא</v>
          </cell>
          <cell r="K975">
            <v>43</v>
          </cell>
          <cell r="L975">
            <v>40</v>
          </cell>
        </row>
        <row r="976">
          <cell r="D976">
            <v>219204</v>
          </cell>
          <cell r="E976" t="str">
            <v/>
          </cell>
          <cell r="F976" t="str">
            <v>אבן סינא כפר מנדא</v>
          </cell>
          <cell r="G976" t="str">
            <v>יסודי בלבד</v>
          </cell>
          <cell r="H976" t="str">
            <v>כן</v>
          </cell>
          <cell r="I976" t="str">
            <v>כן</v>
          </cell>
          <cell r="J976" t="str">
            <v>כן</v>
          </cell>
          <cell r="K976">
            <v>170</v>
          </cell>
          <cell r="L976">
            <v>54</v>
          </cell>
        </row>
        <row r="977">
          <cell r="D977">
            <v>482521</v>
          </cell>
          <cell r="E977" t="str">
            <v>רשות</v>
          </cell>
          <cell r="F977" t="str">
            <v>רימון</v>
          </cell>
          <cell r="G977" t="str">
            <v>יסודי בלבד</v>
          </cell>
          <cell r="H977" t="str">
            <v>כן</v>
          </cell>
          <cell r="I977" t="str">
            <v>כן</v>
          </cell>
          <cell r="J977" t="str">
            <v>כן</v>
          </cell>
          <cell r="K977">
            <v>266</v>
          </cell>
          <cell r="L977">
            <v>68</v>
          </cell>
        </row>
        <row r="978">
          <cell r="D978">
            <v>514117</v>
          </cell>
          <cell r="E978" t="str">
            <v>רשות</v>
          </cell>
          <cell r="F978" t="str">
            <v>ניצנים</v>
          </cell>
          <cell r="G978" t="str">
            <v>יסודי בלבד</v>
          </cell>
          <cell r="H978" t="str">
            <v>כן</v>
          </cell>
          <cell r="I978" t="str">
            <v>כן</v>
          </cell>
          <cell r="J978" t="str">
            <v>כן</v>
          </cell>
          <cell r="K978">
            <v>203</v>
          </cell>
          <cell r="L978">
            <v>91</v>
          </cell>
        </row>
        <row r="979">
          <cell r="D979">
            <v>430496</v>
          </cell>
          <cell r="E979" t="str">
            <v>רשות</v>
          </cell>
          <cell r="F979" t="str">
            <v>ניצני המדע</v>
          </cell>
          <cell r="G979" t="str">
            <v>יסודי בלבד</v>
          </cell>
          <cell r="H979" t="str">
            <v>כן</v>
          </cell>
          <cell r="I979" t="str">
            <v>כן</v>
          </cell>
          <cell r="J979" t="str">
            <v>לא</v>
          </cell>
          <cell r="K979">
            <v>347</v>
          </cell>
          <cell r="L979">
            <v>169</v>
          </cell>
        </row>
        <row r="980">
          <cell r="D980">
            <v>312611</v>
          </cell>
          <cell r="E980" t="str">
            <v>רשות</v>
          </cell>
          <cell r="F980" t="str">
            <v>בן גוריון</v>
          </cell>
          <cell r="G980" t="str">
            <v>יסודי בלבד</v>
          </cell>
          <cell r="H980" t="str">
            <v>כן</v>
          </cell>
          <cell r="I980" t="str">
            <v>כן</v>
          </cell>
          <cell r="J980" t="str">
            <v>לא</v>
          </cell>
          <cell r="K980">
            <v>169</v>
          </cell>
          <cell r="L980">
            <v>105</v>
          </cell>
        </row>
        <row r="981">
          <cell r="D981">
            <v>410837</v>
          </cell>
          <cell r="E981" t="str">
            <v>רשות</v>
          </cell>
          <cell r="F981" t="str">
            <v>ממ"ד שכטרמן</v>
          </cell>
          <cell r="G981" t="str">
            <v>יסודי בלבד</v>
          </cell>
          <cell r="H981" t="str">
            <v>כן</v>
          </cell>
          <cell r="I981" t="str">
            <v>כן</v>
          </cell>
          <cell r="J981" t="str">
            <v>כן</v>
          </cell>
          <cell r="K981">
            <v>87</v>
          </cell>
          <cell r="L981">
            <v>48</v>
          </cell>
        </row>
        <row r="982">
          <cell r="D982">
            <v>310250</v>
          </cell>
          <cell r="E982" t="str">
            <v>רשות</v>
          </cell>
          <cell r="F982" t="str">
            <v>ניצנים</v>
          </cell>
          <cell r="G982" t="str">
            <v>יסודי בלבד</v>
          </cell>
          <cell r="H982" t="str">
            <v>כן</v>
          </cell>
          <cell r="I982" t="str">
            <v>כן</v>
          </cell>
          <cell r="J982" t="str">
            <v>כן</v>
          </cell>
          <cell r="K982">
            <v>225</v>
          </cell>
          <cell r="L982">
            <v>110</v>
          </cell>
        </row>
        <row r="983">
          <cell r="D983">
            <v>214171</v>
          </cell>
          <cell r="E983" t="str">
            <v>רשות</v>
          </cell>
          <cell r="F983" t="str">
            <v>יסודי ממ"ד קצרין</v>
          </cell>
          <cell r="G983" t="str">
            <v>יסודי בלבד</v>
          </cell>
          <cell r="H983" t="str">
            <v>כן</v>
          </cell>
          <cell r="I983" t="str">
            <v>כן</v>
          </cell>
          <cell r="J983" t="str">
            <v>כן</v>
          </cell>
          <cell r="K983">
            <v>160</v>
          </cell>
          <cell r="L983">
            <v>142</v>
          </cell>
        </row>
        <row r="984">
          <cell r="D984">
            <v>413526</v>
          </cell>
          <cell r="E984" t="str">
            <v>רשות</v>
          </cell>
          <cell r="F984" t="str">
            <v>חדשני בגין</v>
          </cell>
          <cell r="G984" t="str">
            <v>יסודי בלבד</v>
          </cell>
          <cell r="H984" t="str">
            <v>כן</v>
          </cell>
          <cell r="I984" t="str">
            <v>כן</v>
          </cell>
          <cell r="J984" t="str">
            <v>כן</v>
          </cell>
          <cell r="K984">
            <v>221</v>
          </cell>
          <cell r="L984">
            <v>72</v>
          </cell>
        </row>
        <row r="985">
          <cell r="D985">
            <v>219717</v>
          </cell>
          <cell r="E985" t="str">
            <v>רשות</v>
          </cell>
          <cell r="F985" t="str">
            <v>ג'וסור</v>
          </cell>
          <cell r="G985" t="str">
            <v>יסודי בלבד</v>
          </cell>
          <cell r="H985" t="str">
            <v>כן</v>
          </cell>
          <cell r="I985" t="str">
            <v>כן</v>
          </cell>
          <cell r="J985" t="str">
            <v>כן</v>
          </cell>
          <cell r="K985">
            <v>67</v>
          </cell>
          <cell r="L985">
            <v>65</v>
          </cell>
        </row>
        <row r="986">
          <cell r="D986">
            <v>410092</v>
          </cell>
          <cell r="E986" t="str">
            <v>רשות</v>
          </cell>
          <cell r="F986" t="str">
            <v>ממ"ד מודיעים</v>
          </cell>
          <cell r="G986" t="str">
            <v>יסודי בלבד</v>
          </cell>
          <cell r="H986" t="str">
            <v>כן</v>
          </cell>
          <cell r="I986" t="str">
            <v>כן</v>
          </cell>
          <cell r="J986" t="str">
            <v>כן</v>
          </cell>
          <cell r="K986">
            <v>279</v>
          </cell>
          <cell r="L986">
            <v>133</v>
          </cell>
        </row>
        <row r="987">
          <cell r="D987">
            <v>482224</v>
          </cell>
          <cell r="E987" t="str">
            <v>רשות</v>
          </cell>
          <cell r="F987" t="str">
            <v>פסגות ע"ש חיים גורי</v>
          </cell>
          <cell r="G987" t="str">
            <v>יסודי בלבד</v>
          </cell>
          <cell r="H987" t="str">
            <v>כן</v>
          </cell>
          <cell r="I987" t="str">
            <v>כן</v>
          </cell>
          <cell r="J987" t="str">
            <v>כן</v>
          </cell>
          <cell r="K987">
            <v>331</v>
          </cell>
          <cell r="L987">
            <v>124</v>
          </cell>
        </row>
        <row r="988">
          <cell r="D988">
            <v>112185</v>
          </cell>
          <cell r="E988" t="str">
            <v>רשות</v>
          </cell>
          <cell r="F988" t="str">
            <v>אריאל</v>
          </cell>
          <cell r="G988" t="str">
            <v>יסודי בלבד</v>
          </cell>
          <cell r="H988" t="str">
            <v>כן</v>
          </cell>
          <cell r="I988" t="str">
            <v>כן</v>
          </cell>
          <cell r="J988" t="str">
            <v>כן</v>
          </cell>
          <cell r="K988">
            <v>140</v>
          </cell>
          <cell r="L988">
            <v>55</v>
          </cell>
        </row>
        <row r="989">
          <cell r="D989">
            <v>618108</v>
          </cell>
          <cell r="E989" t="str">
            <v>רשות</v>
          </cell>
          <cell r="F989" t="str">
            <v>אלעזאזמה ב'</v>
          </cell>
          <cell r="G989" t="str">
            <v>יסודי בלבד</v>
          </cell>
          <cell r="H989" t="str">
            <v>כן</v>
          </cell>
          <cell r="I989" t="str">
            <v>כן</v>
          </cell>
          <cell r="J989" t="str">
            <v>כן</v>
          </cell>
          <cell r="K989">
            <v>415</v>
          </cell>
          <cell r="L989">
            <v>290</v>
          </cell>
        </row>
        <row r="990">
          <cell r="D990">
            <v>267716</v>
          </cell>
          <cell r="E990" t="str">
            <v/>
          </cell>
          <cell r="F990" t="str">
            <v>ת"ת תורה ודעת</v>
          </cell>
          <cell r="G990" t="str">
            <v>יסודי בלבד</v>
          </cell>
          <cell r="H990" t="str">
            <v>כן</v>
          </cell>
          <cell r="I990" t="str">
            <v>כן</v>
          </cell>
          <cell r="J990" t="str">
            <v>כן</v>
          </cell>
          <cell r="K990">
            <v>0</v>
          </cell>
          <cell r="L990">
            <v>89</v>
          </cell>
        </row>
        <row r="991">
          <cell r="D991">
            <v>218800</v>
          </cell>
          <cell r="E991" t="str">
            <v>רשות</v>
          </cell>
          <cell r="F991" t="str">
            <v>אלאמל עכו</v>
          </cell>
          <cell r="G991" t="str">
            <v>יסודי בלבד</v>
          </cell>
          <cell r="H991" t="str">
            <v>כן</v>
          </cell>
          <cell r="I991" t="str">
            <v>כן</v>
          </cell>
          <cell r="J991" t="str">
            <v>כן</v>
          </cell>
          <cell r="K991">
            <v>247</v>
          </cell>
          <cell r="L991">
            <v>106</v>
          </cell>
        </row>
        <row r="992">
          <cell r="D992">
            <v>482943</v>
          </cell>
          <cell r="E992" t="str">
            <v>רשות</v>
          </cell>
          <cell r="F992" t="str">
            <v>צופים</v>
          </cell>
          <cell r="G992" t="str">
            <v>יסודי בלבד</v>
          </cell>
          <cell r="H992" t="str">
            <v>כן</v>
          </cell>
          <cell r="I992" t="str">
            <v>כן</v>
          </cell>
          <cell r="J992" t="str">
            <v>כן</v>
          </cell>
          <cell r="K992">
            <v>162</v>
          </cell>
          <cell r="L992">
            <v>93</v>
          </cell>
        </row>
        <row r="993">
          <cell r="D993">
            <v>211466</v>
          </cell>
          <cell r="E993" t="str">
            <v>רשות</v>
          </cell>
          <cell r="F993" t="str">
            <v>אוסישקין-נהריה</v>
          </cell>
          <cell r="G993" t="str">
            <v>יסודי בלבד</v>
          </cell>
          <cell r="H993" t="str">
            <v>כן</v>
          </cell>
          <cell r="I993" t="str">
            <v>כן</v>
          </cell>
          <cell r="J993" t="str">
            <v>כן</v>
          </cell>
          <cell r="K993">
            <v>227</v>
          </cell>
          <cell r="L993">
            <v>99</v>
          </cell>
        </row>
        <row r="994">
          <cell r="D994">
            <v>111500</v>
          </cell>
          <cell r="E994" t="str">
            <v>רשות</v>
          </cell>
          <cell r="F994" t="str">
            <v>גילה ממלכתי א</v>
          </cell>
          <cell r="G994" t="str">
            <v>יסודי בלבד</v>
          </cell>
          <cell r="H994" t="str">
            <v>כן</v>
          </cell>
          <cell r="I994" t="str">
            <v>כן</v>
          </cell>
          <cell r="J994" t="str">
            <v>כן</v>
          </cell>
          <cell r="K994">
            <v>207</v>
          </cell>
          <cell r="L994">
            <v>121</v>
          </cell>
        </row>
        <row r="995">
          <cell r="D995">
            <v>481978</v>
          </cell>
          <cell r="E995" t="str">
            <v>רשות</v>
          </cell>
          <cell r="F995" t="str">
            <v>תפארת חיה</v>
          </cell>
          <cell r="G995" t="str">
            <v>יסודי בלבד</v>
          </cell>
          <cell r="H995" t="str">
            <v>כן</v>
          </cell>
          <cell r="I995" t="str">
            <v>כן</v>
          </cell>
          <cell r="J995" t="str">
            <v>כן</v>
          </cell>
          <cell r="K995">
            <v>71</v>
          </cell>
          <cell r="L995">
            <v>45</v>
          </cell>
        </row>
        <row r="996">
          <cell r="D996">
            <v>415984</v>
          </cell>
          <cell r="E996" t="str">
            <v>רשות</v>
          </cell>
          <cell r="F996" t="str">
            <v>ממ' המר(גני אביב ב)</v>
          </cell>
          <cell r="G996" t="str">
            <v>יסודי בלבד</v>
          </cell>
          <cell r="H996" t="str">
            <v>כן</v>
          </cell>
          <cell r="I996" t="str">
            <v>כן</v>
          </cell>
          <cell r="J996" t="str">
            <v>כן</v>
          </cell>
          <cell r="K996">
            <v>130</v>
          </cell>
          <cell r="L996">
            <v>130</v>
          </cell>
        </row>
        <row r="997">
          <cell r="D997">
            <v>610212</v>
          </cell>
          <cell r="E997" t="str">
            <v>רשות</v>
          </cell>
          <cell r="F997" t="str">
            <v>מבואות</v>
          </cell>
          <cell r="G997" t="str">
            <v>יסודי בלבד</v>
          </cell>
          <cell r="H997" t="str">
            <v>כן</v>
          </cell>
          <cell r="I997" t="str">
            <v>כן</v>
          </cell>
          <cell r="J997" t="str">
            <v>לא</v>
          </cell>
          <cell r="K997">
            <v>159</v>
          </cell>
          <cell r="L997">
            <v>50</v>
          </cell>
        </row>
        <row r="998">
          <cell r="D998">
            <v>415281</v>
          </cell>
          <cell r="E998" t="str">
            <v>רשות</v>
          </cell>
          <cell r="F998" t="str">
            <v>אוריאל ואלירז פרץ</v>
          </cell>
          <cell r="G998" t="str">
            <v>יסודי בלבד</v>
          </cell>
          <cell r="H998" t="str">
            <v>כן</v>
          </cell>
          <cell r="I998" t="str">
            <v>כן</v>
          </cell>
          <cell r="J998" t="str">
            <v>כן</v>
          </cell>
          <cell r="K998">
            <v>139</v>
          </cell>
          <cell r="L998">
            <v>93</v>
          </cell>
        </row>
        <row r="999">
          <cell r="D999">
            <v>310193</v>
          </cell>
          <cell r="E999" t="str">
            <v>רשות</v>
          </cell>
          <cell r="F999" t="str">
            <v>יעבץ</v>
          </cell>
          <cell r="G999" t="str">
            <v>יסודי בלבד</v>
          </cell>
          <cell r="H999" t="str">
            <v>כן</v>
          </cell>
          <cell r="I999" t="str">
            <v>כן</v>
          </cell>
          <cell r="J999" t="str">
            <v>כן</v>
          </cell>
          <cell r="K999">
            <v>159</v>
          </cell>
          <cell r="L999">
            <v>66</v>
          </cell>
        </row>
        <row r="1000">
          <cell r="D1000">
            <v>160473</v>
          </cell>
          <cell r="E1000" t="str">
            <v>רשות</v>
          </cell>
          <cell r="F1000" t="str">
            <v>אלוואדי למצוינות</v>
          </cell>
          <cell r="G1000" t="str">
            <v>יסודי בלבד</v>
          </cell>
          <cell r="H1000" t="str">
            <v>כן</v>
          </cell>
          <cell r="I1000" t="str">
            <v>כן</v>
          </cell>
          <cell r="J1000" t="str">
            <v>כן</v>
          </cell>
          <cell r="K1000">
            <v>252</v>
          </cell>
          <cell r="L1000">
            <v>60</v>
          </cell>
        </row>
        <row r="1001">
          <cell r="D1001">
            <v>118299</v>
          </cell>
          <cell r="E1001" t="str">
            <v>רשות</v>
          </cell>
          <cell r="F1001" t="str">
            <v>אלתורי לבנות</v>
          </cell>
          <cell r="G1001" t="str">
            <v>יסודי בלבד</v>
          </cell>
          <cell r="H1001" t="str">
            <v>כן</v>
          </cell>
          <cell r="I1001" t="str">
            <v>כן</v>
          </cell>
          <cell r="J1001" t="str">
            <v>כן</v>
          </cell>
          <cell r="K1001">
            <v>225</v>
          </cell>
          <cell r="L1001">
            <v>35</v>
          </cell>
        </row>
        <row r="1002">
          <cell r="D1002">
            <v>311886</v>
          </cell>
          <cell r="E1002" t="str">
            <v>רשות</v>
          </cell>
          <cell r="F1002" t="str">
            <v>פסגות</v>
          </cell>
          <cell r="G1002" t="str">
            <v>יסודי בלבד</v>
          </cell>
          <cell r="H1002" t="str">
            <v>כן</v>
          </cell>
          <cell r="I1002" t="str">
            <v>כן</v>
          </cell>
          <cell r="J1002" t="str">
            <v>כן</v>
          </cell>
          <cell r="K1002">
            <v>171</v>
          </cell>
          <cell r="L1002">
            <v>58</v>
          </cell>
        </row>
        <row r="1003">
          <cell r="D1003">
            <v>355552</v>
          </cell>
          <cell r="E1003" t="str">
            <v>רשות</v>
          </cell>
          <cell r="F1003" t="str">
            <v>קציר מ"מ</v>
          </cell>
          <cell r="G1003" t="str">
            <v>יסודי בלבד</v>
          </cell>
          <cell r="H1003" t="str">
            <v>כן</v>
          </cell>
          <cell r="I1003" t="str">
            <v>כן</v>
          </cell>
          <cell r="J1003" t="str">
            <v>כן</v>
          </cell>
          <cell r="K1003">
            <v>149</v>
          </cell>
          <cell r="L1003">
            <v>41</v>
          </cell>
        </row>
        <row r="1004">
          <cell r="D1004">
            <v>218487</v>
          </cell>
          <cell r="E1004" t="str">
            <v/>
          </cell>
          <cell r="F1004" t="str">
            <v>יסודי השלום ע"ש זייד בלעוס</v>
          </cell>
          <cell r="G1004" t="str">
            <v>יסודי בלבד</v>
          </cell>
          <cell r="H1004" t="str">
            <v>כן</v>
          </cell>
          <cell r="I1004" t="str">
            <v>כן</v>
          </cell>
          <cell r="J1004" t="str">
            <v>כן</v>
          </cell>
          <cell r="K1004">
            <v>95</v>
          </cell>
          <cell r="L1004">
            <v>95</v>
          </cell>
        </row>
        <row r="1005">
          <cell r="D1005">
            <v>218586</v>
          </cell>
          <cell r="E1005" t="str">
            <v>רשות</v>
          </cell>
          <cell r="F1005" t="str">
            <v>אלמותנבי</v>
          </cell>
          <cell r="G1005" t="str">
            <v>יסודי בלבד</v>
          </cell>
          <cell r="H1005" t="str">
            <v>כן</v>
          </cell>
          <cell r="I1005" t="str">
            <v>כן</v>
          </cell>
          <cell r="J1005" t="str">
            <v>כן</v>
          </cell>
          <cell r="K1005">
            <v>139</v>
          </cell>
          <cell r="L1005">
            <v>60</v>
          </cell>
        </row>
        <row r="1006">
          <cell r="D1006">
            <v>410944</v>
          </cell>
          <cell r="E1006" t="str">
            <v/>
          </cell>
          <cell r="F1006" t="str">
            <v>כצנלסון</v>
          </cell>
          <cell r="G1006" t="str">
            <v>יסודי בלבד</v>
          </cell>
          <cell r="H1006" t="str">
            <v>כן</v>
          </cell>
          <cell r="I1006" t="str">
            <v>כן</v>
          </cell>
          <cell r="J1006" t="str">
            <v>כן</v>
          </cell>
          <cell r="K1006">
            <v>144</v>
          </cell>
          <cell r="L1006">
            <v>43</v>
          </cell>
        </row>
        <row r="1007">
          <cell r="D1007">
            <v>757682</v>
          </cell>
          <cell r="E1007" t="str">
            <v>בעלות</v>
          </cell>
          <cell r="F1007" t="str">
            <v>יסוד החינוך</v>
          </cell>
          <cell r="G1007" t="str">
            <v>יסודי בלבד</v>
          </cell>
          <cell r="H1007" t="str">
            <v>לא</v>
          </cell>
          <cell r="I1007" t="str">
            <v>לא</v>
          </cell>
          <cell r="J1007" t="str">
            <v>לא</v>
          </cell>
          <cell r="K1007">
            <v>82</v>
          </cell>
          <cell r="L1007">
            <v>0</v>
          </cell>
        </row>
        <row r="1008">
          <cell r="D1008">
            <v>160481</v>
          </cell>
          <cell r="E1008" t="str">
            <v>רשות</v>
          </cell>
          <cell r="F1008" t="str">
            <v>אדם ועולמו</v>
          </cell>
          <cell r="G1008" t="str">
            <v>יסודי בלבד</v>
          </cell>
          <cell r="H1008" t="str">
            <v>כן</v>
          </cell>
          <cell r="I1008" t="str">
            <v>כן</v>
          </cell>
          <cell r="J1008" t="str">
            <v>כן</v>
          </cell>
          <cell r="K1008">
            <v>46</v>
          </cell>
          <cell r="L1008">
            <v>46</v>
          </cell>
        </row>
        <row r="1009">
          <cell r="D1009">
            <v>239814</v>
          </cell>
          <cell r="E1009" t="str">
            <v>רשות</v>
          </cell>
          <cell r="F1009" t="str">
            <v>יסודי ד' כאבול</v>
          </cell>
          <cell r="G1009" t="str">
            <v>יסודי בלבד</v>
          </cell>
          <cell r="H1009" t="str">
            <v>כן</v>
          </cell>
          <cell r="I1009" t="str">
            <v>כן</v>
          </cell>
          <cell r="J1009" t="str">
            <v>כן</v>
          </cell>
          <cell r="K1009">
            <v>230</v>
          </cell>
          <cell r="L1009">
            <v>55</v>
          </cell>
        </row>
        <row r="1010">
          <cell r="D1010">
            <v>413476</v>
          </cell>
          <cell r="E1010" t="str">
            <v>רשות</v>
          </cell>
          <cell r="F1010" t="str">
            <v>לפיד</v>
          </cell>
          <cell r="G1010" t="str">
            <v>יסודי בלבד</v>
          </cell>
          <cell r="H1010" t="str">
            <v>כן</v>
          </cell>
          <cell r="I1010" t="str">
            <v>כן</v>
          </cell>
          <cell r="J1010" t="str">
            <v>כן</v>
          </cell>
          <cell r="K1010">
            <v>283</v>
          </cell>
          <cell r="L1010">
            <v>105</v>
          </cell>
        </row>
        <row r="1011">
          <cell r="D1011">
            <v>482604</v>
          </cell>
          <cell r="E1011" t="str">
            <v>רשות</v>
          </cell>
          <cell r="F1011" t="str">
            <v>אורנה פורת</v>
          </cell>
          <cell r="G1011" t="str">
            <v>יסודי בלבד</v>
          </cell>
          <cell r="H1011" t="str">
            <v>כן</v>
          </cell>
          <cell r="I1011" t="str">
            <v>כן</v>
          </cell>
          <cell r="J1011" t="str">
            <v>כן</v>
          </cell>
          <cell r="K1011">
            <v>284</v>
          </cell>
          <cell r="L1011">
            <v>145</v>
          </cell>
        </row>
        <row r="1012">
          <cell r="D1012">
            <v>482372</v>
          </cell>
          <cell r="E1012" t="str">
            <v>רשות</v>
          </cell>
          <cell r="F1012" t="str">
            <v>רעות ע"ש רועי קליין</v>
          </cell>
          <cell r="G1012" t="str">
            <v>יסודי בלבד</v>
          </cell>
          <cell r="H1012" t="str">
            <v>כן</v>
          </cell>
          <cell r="I1012" t="str">
            <v>כן</v>
          </cell>
          <cell r="J1012" t="str">
            <v>כן</v>
          </cell>
          <cell r="K1012">
            <v>300</v>
          </cell>
          <cell r="L1012">
            <v>66</v>
          </cell>
        </row>
        <row r="1013">
          <cell r="D1013">
            <v>288191</v>
          </cell>
          <cell r="E1013" t="str">
            <v>רשות</v>
          </cell>
          <cell r="F1013" t="str">
            <v>ביס יסודי</v>
          </cell>
          <cell r="G1013" t="str">
            <v>יסודי בלבד</v>
          </cell>
          <cell r="H1013" t="str">
            <v>כן</v>
          </cell>
          <cell r="I1013" t="str">
            <v>כן</v>
          </cell>
          <cell r="J1013" t="str">
            <v>לא</v>
          </cell>
          <cell r="K1013">
            <v>183</v>
          </cell>
          <cell r="L1013">
            <v>130</v>
          </cell>
        </row>
        <row r="1014">
          <cell r="D1014">
            <v>510347</v>
          </cell>
          <cell r="E1014" t="str">
            <v>רשות</v>
          </cell>
          <cell r="F1014" t="str">
            <v>כצנלסון</v>
          </cell>
          <cell r="G1014" t="str">
            <v>יסודי בלבד</v>
          </cell>
          <cell r="H1014" t="str">
            <v>כן</v>
          </cell>
          <cell r="I1014" t="str">
            <v>כן</v>
          </cell>
          <cell r="J1014" t="str">
            <v>כן</v>
          </cell>
          <cell r="K1014">
            <v>293</v>
          </cell>
          <cell r="L1014">
            <v>83</v>
          </cell>
        </row>
        <row r="1015">
          <cell r="D1015">
            <v>484055</v>
          </cell>
          <cell r="E1015" t="str">
            <v>רשות</v>
          </cell>
          <cell r="F1015" t="str">
            <v>עתידים</v>
          </cell>
          <cell r="G1015" t="str">
            <v>יסודי בלבד</v>
          </cell>
          <cell r="H1015" t="str">
            <v>כן</v>
          </cell>
          <cell r="I1015" t="str">
            <v>כן</v>
          </cell>
          <cell r="J1015" t="str">
            <v>לא</v>
          </cell>
          <cell r="K1015">
            <v>168</v>
          </cell>
          <cell r="L1015">
            <v>90</v>
          </cell>
        </row>
        <row r="1016">
          <cell r="D1016">
            <v>513119</v>
          </cell>
          <cell r="E1016" t="str">
            <v>רשות</v>
          </cell>
          <cell r="F1016" t="str">
            <v>שער האריות</v>
          </cell>
          <cell r="G1016" t="str">
            <v>יסודי בלבד</v>
          </cell>
          <cell r="H1016" t="str">
            <v>כן</v>
          </cell>
          <cell r="I1016" t="str">
            <v>כן</v>
          </cell>
          <cell r="J1016" t="str">
            <v>לא</v>
          </cell>
          <cell r="K1016">
            <v>82</v>
          </cell>
          <cell r="L1016">
            <v>39</v>
          </cell>
        </row>
        <row r="1017">
          <cell r="D1017">
            <v>218453</v>
          </cell>
          <cell r="E1017" t="str">
            <v>רשות</v>
          </cell>
          <cell r="F1017" t="str">
            <v>מגדאלכרום עמר אלחטאב</v>
          </cell>
          <cell r="G1017" t="str">
            <v>יסודי בלבד</v>
          </cell>
          <cell r="H1017" t="str">
            <v>כן</v>
          </cell>
          <cell r="I1017" t="str">
            <v>כן</v>
          </cell>
          <cell r="J1017" t="str">
            <v>כן</v>
          </cell>
          <cell r="K1017">
            <v>314</v>
          </cell>
          <cell r="L1017">
            <v>80</v>
          </cell>
        </row>
        <row r="1018">
          <cell r="D1018">
            <v>413542</v>
          </cell>
          <cell r="E1018" t="str">
            <v>רשות</v>
          </cell>
          <cell r="F1018" t="str">
            <v>בית חינוך עוז</v>
          </cell>
          <cell r="G1018" t="str">
            <v>יסודי בלבד</v>
          </cell>
          <cell r="H1018" t="str">
            <v>כן</v>
          </cell>
          <cell r="I1018" t="str">
            <v>כן</v>
          </cell>
          <cell r="J1018" t="str">
            <v>לא</v>
          </cell>
          <cell r="K1018">
            <v>97</v>
          </cell>
          <cell r="L1018">
            <v>51</v>
          </cell>
        </row>
        <row r="1019">
          <cell r="D1019">
            <v>118083</v>
          </cell>
          <cell r="E1019" t="str">
            <v>רשות</v>
          </cell>
          <cell r="F1019" t="str">
            <v>אלאופק יסודי לבנות</v>
          </cell>
          <cell r="G1019" t="str">
            <v>יסודי בלבד</v>
          </cell>
          <cell r="H1019" t="str">
            <v>כן</v>
          </cell>
          <cell r="I1019" t="str">
            <v>כן</v>
          </cell>
          <cell r="J1019" t="str">
            <v>כן</v>
          </cell>
          <cell r="K1019">
            <v>385</v>
          </cell>
          <cell r="L1019">
            <v>67</v>
          </cell>
        </row>
        <row r="1020">
          <cell r="D1020">
            <v>318055</v>
          </cell>
          <cell r="E1020" t="str">
            <v>רשות</v>
          </cell>
          <cell r="F1020" t="str">
            <v>איבטין</v>
          </cell>
          <cell r="G1020" t="str">
            <v>יסודי בלבד</v>
          </cell>
          <cell r="H1020" t="str">
            <v>כן</v>
          </cell>
          <cell r="I1020" t="str">
            <v>כן</v>
          </cell>
          <cell r="J1020" t="str">
            <v>כן</v>
          </cell>
          <cell r="K1020">
            <v>125</v>
          </cell>
          <cell r="L1020">
            <v>49</v>
          </cell>
        </row>
        <row r="1021">
          <cell r="D1021">
            <v>618793</v>
          </cell>
          <cell r="E1021" t="str">
            <v>רשות</v>
          </cell>
          <cell r="F1021" t="str">
            <v>עובדת</v>
          </cell>
          <cell r="G1021" t="str">
            <v>יסודי בלבד</v>
          </cell>
          <cell r="H1021" t="str">
            <v>כן</v>
          </cell>
          <cell r="I1021" t="str">
            <v>כן</v>
          </cell>
          <cell r="J1021" t="str">
            <v>כן</v>
          </cell>
          <cell r="K1021">
            <v>90</v>
          </cell>
          <cell r="L1021">
            <v>45</v>
          </cell>
        </row>
        <row r="1022">
          <cell r="D1022">
            <v>110734</v>
          </cell>
          <cell r="E1022" t="str">
            <v>רשות</v>
          </cell>
          <cell r="F1022" t="str">
            <v>הר טוב</v>
          </cell>
          <cell r="G1022" t="str">
            <v>יסודי בלבד</v>
          </cell>
          <cell r="H1022" t="str">
            <v>כן</v>
          </cell>
          <cell r="I1022" t="str">
            <v>כן</v>
          </cell>
          <cell r="J1022" t="str">
            <v>כן</v>
          </cell>
          <cell r="K1022">
            <v>261</v>
          </cell>
          <cell r="L1022">
            <v>101</v>
          </cell>
        </row>
        <row r="1023">
          <cell r="D1023">
            <v>214635</v>
          </cell>
          <cell r="E1023" t="str">
            <v>רשות</v>
          </cell>
          <cell r="F1023" t="str">
            <v>תדהר</v>
          </cell>
          <cell r="G1023" t="str">
            <v>יסודי בלבד</v>
          </cell>
          <cell r="H1023" t="str">
            <v>כן</v>
          </cell>
          <cell r="I1023" t="str">
            <v>כן</v>
          </cell>
          <cell r="J1023" t="str">
            <v>כן</v>
          </cell>
          <cell r="K1023">
            <v>132</v>
          </cell>
          <cell r="L1023">
            <v>46</v>
          </cell>
        </row>
        <row r="1024">
          <cell r="D1024">
            <v>482117</v>
          </cell>
          <cell r="E1024" t="str">
            <v>רשות</v>
          </cell>
          <cell r="F1024" t="str">
            <v>אלברט אינשטיין</v>
          </cell>
          <cell r="G1024" t="str">
            <v>יסודי בלבד</v>
          </cell>
          <cell r="H1024" t="str">
            <v>כן</v>
          </cell>
          <cell r="I1024" t="str">
            <v>כן</v>
          </cell>
          <cell r="J1024" t="str">
            <v>כן</v>
          </cell>
          <cell r="K1024">
            <v>259</v>
          </cell>
          <cell r="L1024">
            <v>68</v>
          </cell>
        </row>
        <row r="1025">
          <cell r="D1025">
            <v>213579</v>
          </cell>
          <cell r="E1025" t="str">
            <v>רשות</v>
          </cell>
          <cell r="F1025" t="str">
            <v>ממ"ד הצבי - קשת</v>
          </cell>
          <cell r="G1025" t="str">
            <v>יסודי בלבד</v>
          </cell>
          <cell r="H1025" t="str">
            <v>כן</v>
          </cell>
          <cell r="I1025" t="str">
            <v>כן</v>
          </cell>
          <cell r="J1025" t="str">
            <v>כן</v>
          </cell>
          <cell r="K1025">
            <v>240</v>
          </cell>
          <cell r="L1025">
            <v>60</v>
          </cell>
        </row>
        <row r="1026">
          <cell r="D1026">
            <v>482901</v>
          </cell>
          <cell r="E1026" t="str">
            <v>רשות</v>
          </cell>
          <cell r="F1026" t="str">
            <v>נעם נהורא</v>
          </cell>
          <cell r="G1026" t="str">
            <v>יסודי בלבד</v>
          </cell>
          <cell r="H1026" t="str">
            <v>לא</v>
          </cell>
          <cell r="I1026" t="str">
            <v>לא</v>
          </cell>
          <cell r="J1026" t="str">
            <v>לא</v>
          </cell>
          <cell r="K1026">
            <v>0</v>
          </cell>
          <cell r="L1026">
            <v>0</v>
          </cell>
        </row>
        <row r="1027">
          <cell r="D1027">
            <v>219584</v>
          </cell>
          <cell r="E1027" t="str">
            <v>רשות</v>
          </cell>
          <cell r="F1027" t="str">
            <v>אלזהראא עראבה</v>
          </cell>
          <cell r="G1027" t="str">
            <v>יסודי בלבד</v>
          </cell>
          <cell r="H1027" t="str">
            <v>כן</v>
          </cell>
          <cell r="I1027" t="str">
            <v>כן</v>
          </cell>
          <cell r="J1027" t="str">
            <v>כן</v>
          </cell>
          <cell r="K1027">
            <v>259</v>
          </cell>
          <cell r="L1027">
            <v>220</v>
          </cell>
        </row>
        <row r="1028">
          <cell r="D1028">
            <v>415828</v>
          </cell>
          <cell r="E1028" t="str">
            <v>בעלות</v>
          </cell>
          <cell r="F1028" t="str">
            <v>ת"ת נטיעים</v>
          </cell>
          <cell r="G1028" t="str">
            <v>יסודי בלבד</v>
          </cell>
          <cell r="H1028" t="str">
            <v>כן</v>
          </cell>
          <cell r="I1028" t="str">
            <v>כן</v>
          </cell>
          <cell r="J1028" t="str">
            <v>כן</v>
          </cell>
          <cell r="K1028">
            <v>155</v>
          </cell>
          <cell r="L1028">
            <v>90</v>
          </cell>
        </row>
        <row r="1029">
          <cell r="D1029">
            <v>411066</v>
          </cell>
          <cell r="E1029" t="str">
            <v>רשות</v>
          </cell>
          <cell r="F1029" t="str">
            <v>רעות</v>
          </cell>
          <cell r="G1029" t="str">
            <v>יסודי בלבד</v>
          </cell>
          <cell r="H1029" t="str">
            <v>כן</v>
          </cell>
          <cell r="I1029" t="str">
            <v>כן</v>
          </cell>
          <cell r="J1029" t="str">
            <v>כן</v>
          </cell>
          <cell r="K1029">
            <v>241</v>
          </cell>
          <cell r="L1029">
            <v>84</v>
          </cell>
        </row>
        <row r="1030">
          <cell r="D1030">
            <v>610949</v>
          </cell>
          <cell r="E1030" t="str">
            <v>בעלות</v>
          </cell>
          <cell r="F1030" t="str">
            <v>פינלנד סקול</v>
          </cell>
          <cell r="G1030" t="str">
            <v>יסודי בלבד</v>
          </cell>
          <cell r="H1030" t="str">
            <v>כן</v>
          </cell>
          <cell r="I1030" t="str">
            <v>כן</v>
          </cell>
          <cell r="J1030" t="str">
            <v>כן</v>
          </cell>
          <cell r="K1030">
            <v>157</v>
          </cell>
          <cell r="L1030">
            <v>128</v>
          </cell>
        </row>
        <row r="1031">
          <cell r="D1031">
            <v>113696</v>
          </cell>
          <cell r="E1031" t="str">
            <v>רשות</v>
          </cell>
          <cell r="F1031" t="str">
            <v>חן עפרה</v>
          </cell>
          <cell r="G1031" t="str">
            <v>יסודי בלבד</v>
          </cell>
          <cell r="H1031" t="str">
            <v>כן</v>
          </cell>
          <cell r="I1031" t="str">
            <v>כן</v>
          </cell>
          <cell r="J1031" t="str">
            <v>כן</v>
          </cell>
          <cell r="K1031">
            <v>87</v>
          </cell>
          <cell r="L1031">
            <v>50</v>
          </cell>
        </row>
        <row r="1032">
          <cell r="D1032">
            <v>210674</v>
          </cell>
          <cell r="E1032" t="str">
            <v/>
          </cell>
          <cell r="F1032" t="str">
            <v>יסודי ע"ש אברט</v>
          </cell>
          <cell r="G1032" t="str">
            <v>יסודי בלבד</v>
          </cell>
          <cell r="H1032" t="str">
            <v>כן</v>
          </cell>
          <cell r="I1032" t="str">
            <v>כן</v>
          </cell>
          <cell r="J1032" t="str">
            <v>כן</v>
          </cell>
          <cell r="K1032">
            <v>133</v>
          </cell>
          <cell r="L1032">
            <v>73</v>
          </cell>
        </row>
        <row r="1033">
          <cell r="D1033">
            <v>310029</v>
          </cell>
          <cell r="E1033" t="str">
            <v>רשות</v>
          </cell>
          <cell r="F1033" t="str">
            <v>רבי עקיבא</v>
          </cell>
          <cell r="G1033" t="str">
            <v>יסודי בלבד</v>
          </cell>
          <cell r="H1033" t="str">
            <v>כן</v>
          </cell>
          <cell r="I1033" t="str">
            <v>כן</v>
          </cell>
          <cell r="J1033" t="str">
            <v>כן</v>
          </cell>
          <cell r="K1033">
            <v>224</v>
          </cell>
          <cell r="L1033">
            <v>83</v>
          </cell>
        </row>
        <row r="1034">
          <cell r="D1034">
            <v>310870</v>
          </cell>
          <cell r="E1034" t="str">
            <v>רשות</v>
          </cell>
          <cell r="F1034" t="str">
            <v>רמבם</v>
          </cell>
          <cell r="G1034" t="str">
            <v>יסודי בלבד</v>
          </cell>
          <cell r="H1034" t="str">
            <v>כן</v>
          </cell>
          <cell r="I1034" t="str">
            <v>כן</v>
          </cell>
          <cell r="J1034" t="str">
            <v>כן</v>
          </cell>
          <cell r="K1034">
            <v>187</v>
          </cell>
          <cell r="L1034">
            <v>51</v>
          </cell>
        </row>
        <row r="1035">
          <cell r="D1035">
            <v>310300</v>
          </cell>
          <cell r="E1035" t="str">
            <v>רשות</v>
          </cell>
          <cell r="F1035" t="str">
            <v>מוריה</v>
          </cell>
          <cell r="G1035" t="str">
            <v>יסודי בלבד</v>
          </cell>
          <cell r="H1035" t="str">
            <v>כן</v>
          </cell>
          <cell r="I1035" t="str">
            <v>כן</v>
          </cell>
          <cell r="J1035" t="str">
            <v>כן</v>
          </cell>
          <cell r="K1035">
            <v>186</v>
          </cell>
          <cell r="L1035">
            <v>66</v>
          </cell>
        </row>
        <row r="1036">
          <cell r="D1036">
            <v>411504</v>
          </cell>
          <cell r="E1036" t="str">
            <v/>
          </cell>
          <cell r="F1036" t="str">
            <v>יסודי סביון-גני יהודה</v>
          </cell>
          <cell r="G1036" t="str">
            <v>יסודי בלבד</v>
          </cell>
          <cell r="H1036" t="str">
            <v>כן</v>
          </cell>
          <cell r="I1036" t="str">
            <v>כן</v>
          </cell>
          <cell r="J1036" t="str">
            <v>כן</v>
          </cell>
          <cell r="K1036">
            <v>183</v>
          </cell>
          <cell r="L1036">
            <v>37</v>
          </cell>
        </row>
        <row r="1037">
          <cell r="D1037">
            <v>414474</v>
          </cell>
          <cell r="E1037" t="str">
            <v>רשות</v>
          </cell>
          <cell r="F1037" t="str">
            <v>ממ"ד דק"ל</v>
          </cell>
          <cell r="G1037" t="str">
            <v>יסודי בלבד</v>
          </cell>
          <cell r="H1037" t="str">
            <v>כן</v>
          </cell>
          <cell r="I1037" t="str">
            <v>כן</v>
          </cell>
          <cell r="J1037" t="str">
            <v>כן</v>
          </cell>
          <cell r="K1037">
            <v>131</v>
          </cell>
          <cell r="L1037">
            <v>50</v>
          </cell>
        </row>
        <row r="1038">
          <cell r="D1038">
            <v>111898</v>
          </cell>
          <cell r="E1038" t="str">
            <v>רשות</v>
          </cell>
          <cell r="F1038" t="str">
            <v>נוה עציון</v>
          </cell>
          <cell r="G1038" t="str">
            <v>יסודי בלבד</v>
          </cell>
          <cell r="H1038" t="str">
            <v>כן</v>
          </cell>
          <cell r="I1038" t="str">
            <v>כן</v>
          </cell>
          <cell r="J1038" t="str">
            <v>כן</v>
          </cell>
          <cell r="K1038">
            <v>122</v>
          </cell>
          <cell r="L1038">
            <v>74</v>
          </cell>
        </row>
        <row r="1039">
          <cell r="D1039">
            <v>218362</v>
          </cell>
          <cell r="E1039" t="str">
            <v>רשות</v>
          </cell>
          <cell r="F1039" t="str">
            <v>כוכב אבו אלהיגא</v>
          </cell>
          <cell r="G1039" t="str">
            <v>יסודי בלבד</v>
          </cell>
          <cell r="H1039" t="str">
            <v>כן</v>
          </cell>
          <cell r="I1039" t="str">
            <v>כן</v>
          </cell>
          <cell r="J1039" t="str">
            <v>כן</v>
          </cell>
          <cell r="K1039">
            <v>237</v>
          </cell>
          <cell r="L1039">
            <v>61</v>
          </cell>
        </row>
        <row r="1040">
          <cell r="D1040">
            <v>211185</v>
          </cell>
          <cell r="E1040" t="str">
            <v>רשות</v>
          </cell>
          <cell r="F1040" t="str">
            <v>רמון ע"ש אילן רונה ואסף רמון</v>
          </cell>
          <cell r="G1040" t="str">
            <v>יסודי בלבד</v>
          </cell>
          <cell r="H1040" t="str">
            <v>כן</v>
          </cell>
          <cell r="I1040" t="str">
            <v>כן</v>
          </cell>
          <cell r="J1040" t="str">
            <v>כן</v>
          </cell>
          <cell r="K1040">
            <v>100</v>
          </cell>
          <cell r="L1040">
            <v>39</v>
          </cell>
        </row>
        <row r="1041">
          <cell r="D1041">
            <v>482547</v>
          </cell>
          <cell r="E1041" t="str">
            <v>רשות</v>
          </cell>
          <cell r="F1041" t="str">
            <v>תגלית</v>
          </cell>
          <cell r="G1041" t="str">
            <v>יסודי בלבד</v>
          </cell>
          <cell r="H1041" t="str">
            <v>כן</v>
          </cell>
          <cell r="I1041" t="str">
            <v>כן</v>
          </cell>
          <cell r="J1041" t="str">
            <v>כן</v>
          </cell>
          <cell r="K1041">
            <v>222</v>
          </cell>
          <cell r="L1041">
            <v>175</v>
          </cell>
        </row>
        <row r="1042">
          <cell r="D1042">
            <v>211631</v>
          </cell>
          <cell r="E1042" t="str">
            <v/>
          </cell>
          <cell r="F1042" t="str">
            <v>סאסא-נוף הרים</v>
          </cell>
          <cell r="G1042" t="str">
            <v>יסודי בלבד</v>
          </cell>
          <cell r="H1042" t="str">
            <v>לא</v>
          </cell>
          <cell r="I1042" t="str">
            <v>לא</v>
          </cell>
          <cell r="J1042" t="str">
            <v>לא</v>
          </cell>
          <cell r="K1042">
            <v>0</v>
          </cell>
          <cell r="L1042">
            <v>0</v>
          </cell>
        </row>
        <row r="1043">
          <cell r="D1043">
            <v>663443</v>
          </cell>
          <cell r="E1043" t="str">
            <v>רשות</v>
          </cell>
          <cell r="F1043" t="str">
            <v>חמ"ד נווה שרון</v>
          </cell>
          <cell r="G1043" t="str">
            <v>יסודי בלבד</v>
          </cell>
          <cell r="H1043" t="str">
            <v>כן</v>
          </cell>
          <cell r="I1043" t="str">
            <v>כן</v>
          </cell>
          <cell r="J1043" t="str">
            <v>לא</v>
          </cell>
          <cell r="K1043">
            <v>78</v>
          </cell>
          <cell r="L1043">
            <v>53</v>
          </cell>
        </row>
        <row r="1044">
          <cell r="D1044">
            <v>357483</v>
          </cell>
          <cell r="E1044" t="str">
            <v>רשות</v>
          </cell>
          <cell r="F1044" t="str">
            <v>מופת חופים</v>
          </cell>
          <cell r="G1044" t="str">
            <v>יסודי בלבד</v>
          </cell>
          <cell r="H1044" t="str">
            <v>כן</v>
          </cell>
          <cell r="I1044" t="str">
            <v>כן</v>
          </cell>
          <cell r="J1044" t="str">
            <v>לא</v>
          </cell>
          <cell r="K1044">
            <v>159</v>
          </cell>
          <cell r="L1044">
            <v>82</v>
          </cell>
        </row>
        <row r="1045">
          <cell r="D1045">
            <v>613711</v>
          </cell>
          <cell r="E1045" t="str">
            <v>בעלות</v>
          </cell>
          <cell r="F1045" t="str">
            <v>אהל משה בנות</v>
          </cell>
          <cell r="G1045" t="str">
            <v>יסודי בלבד</v>
          </cell>
          <cell r="H1045" t="str">
            <v>כן</v>
          </cell>
          <cell r="I1045" t="str">
            <v>כן</v>
          </cell>
          <cell r="J1045" t="str">
            <v>כן</v>
          </cell>
          <cell r="K1045">
            <v>94</v>
          </cell>
          <cell r="L1045">
            <v>89</v>
          </cell>
        </row>
        <row r="1046">
          <cell r="D1046">
            <v>415315</v>
          </cell>
          <cell r="E1046" t="str">
            <v>רשות</v>
          </cell>
          <cell r="F1046" t="str">
            <v>ממלכתי הדר השרון</v>
          </cell>
          <cell r="G1046" t="str">
            <v>יסודי בלבד</v>
          </cell>
          <cell r="H1046" t="str">
            <v>כן</v>
          </cell>
          <cell r="I1046" t="str">
            <v>כן</v>
          </cell>
          <cell r="J1046" t="str">
            <v>כן</v>
          </cell>
          <cell r="K1046">
            <v>149</v>
          </cell>
          <cell r="L1046">
            <v>58</v>
          </cell>
        </row>
        <row r="1047">
          <cell r="D1047">
            <v>357475</v>
          </cell>
          <cell r="E1047" t="str">
            <v>רשות</v>
          </cell>
          <cell r="F1047" t="str">
            <v>מעיינות</v>
          </cell>
          <cell r="G1047" t="str">
            <v>יסודי בלבד</v>
          </cell>
          <cell r="H1047" t="str">
            <v>כן</v>
          </cell>
          <cell r="I1047" t="str">
            <v>כן</v>
          </cell>
          <cell r="J1047" t="str">
            <v>כן</v>
          </cell>
          <cell r="K1047">
            <v>232</v>
          </cell>
          <cell r="L1047">
            <v>92</v>
          </cell>
        </row>
        <row r="1048">
          <cell r="D1048">
            <v>362046</v>
          </cell>
          <cell r="E1048" t="str">
            <v/>
          </cell>
          <cell r="F1048" t="str">
            <v>רנסנס</v>
          </cell>
          <cell r="G1048" t="str">
            <v>יסודי בלבד</v>
          </cell>
          <cell r="H1048" t="str">
            <v>כן</v>
          </cell>
          <cell r="I1048" t="str">
            <v>כן</v>
          </cell>
          <cell r="J1048" t="str">
            <v>כן</v>
          </cell>
          <cell r="K1048">
            <v>213</v>
          </cell>
          <cell r="L1048">
            <v>38</v>
          </cell>
        </row>
        <row r="1049">
          <cell r="D1049">
            <v>436725</v>
          </cell>
          <cell r="E1049" t="str">
            <v>רשות</v>
          </cell>
          <cell r="F1049" t="str">
            <v>ממ"ד גוננים</v>
          </cell>
          <cell r="G1049" t="str">
            <v>יסודי בלבד</v>
          </cell>
          <cell r="H1049" t="str">
            <v>כן</v>
          </cell>
          <cell r="I1049" t="str">
            <v>כן</v>
          </cell>
          <cell r="J1049" t="str">
            <v>כן</v>
          </cell>
          <cell r="K1049">
            <v>301</v>
          </cell>
          <cell r="L1049">
            <v>101</v>
          </cell>
        </row>
        <row r="1050">
          <cell r="D1050">
            <v>456293</v>
          </cell>
          <cell r="E1050" t="str">
            <v>בעלות</v>
          </cell>
          <cell r="F1050" t="str">
            <v>מר.חינוכי בנות מוריה</v>
          </cell>
          <cell r="G1050" t="str">
            <v>יסודי בלבד</v>
          </cell>
          <cell r="H1050" t="str">
            <v>כן</v>
          </cell>
          <cell r="I1050" t="str">
            <v>כן</v>
          </cell>
          <cell r="J1050" t="str">
            <v>כן</v>
          </cell>
          <cell r="K1050">
            <v>56</v>
          </cell>
          <cell r="L1050">
            <v>38</v>
          </cell>
        </row>
        <row r="1051">
          <cell r="D1051">
            <v>785147</v>
          </cell>
          <cell r="E1051" t="str">
            <v>בעלות</v>
          </cell>
          <cell r="F1051" t="str">
            <v>שלהבות- חב"ד קריית ביאליק</v>
          </cell>
          <cell r="G1051" t="str">
            <v>יסודי בלבד</v>
          </cell>
          <cell r="H1051" t="str">
            <v>כן</v>
          </cell>
          <cell r="I1051" t="str">
            <v>לא</v>
          </cell>
          <cell r="J1051" t="str">
            <v>לא</v>
          </cell>
          <cell r="K1051">
            <v>11</v>
          </cell>
          <cell r="L1051">
            <v>8</v>
          </cell>
        </row>
        <row r="1052">
          <cell r="D1052">
            <v>416677</v>
          </cell>
          <cell r="E1052" t="str">
            <v>רשות</v>
          </cell>
          <cell r="F1052" t="str">
            <v>אורי אורבך קשת</v>
          </cell>
          <cell r="G1052" t="str">
            <v>יסודי בלבד</v>
          </cell>
          <cell r="H1052" t="str">
            <v>כן</v>
          </cell>
          <cell r="I1052" t="str">
            <v>כן</v>
          </cell>
          <cell r="J1052" t="str">
            <v>כן</v>
          </cell>
          <cell r="K1052">
            <v>225</v>
          </cell>
          <cell r="L1052">
            <v>98</v>
          </cell>
        </row>
        <row r="1053">
          <cell r="D1053">
            <v>384727</v>
          </cell>
          <cell r="E1053" t="str">
            <v>רשות</v>
          </cell>
          <cell r="F1053" t="str">
            <v>גלים</v>
          </cell>
          <cell r="G1053" t="str">
            <v>יסודי בלבד</v>
          </cell>
          <cell r="H1053" t="str">
            <v>כן</v>
          </cell>
          <cell r="I1053" t="str">
            <v>כן</v>
          </cell>
          <cell r="J1053" t="str">
            <v>כן</v>
          </cell>
          <cell r="K1053">
            <v>79</v>
          </cell>
          <cell r="L1053">
            <v>65</v>
          </cell>
        </row>
        <row r="1054">
          <cell r="D1054">
            <v>218610</v>
          </cell>
          <cell r="E1054" t="str">
            <v>רשות</v>
          </cell>
          <cell r="F1054" t="str">
            <v>אלראזי ב</v>
          </cell>
          <cell r="G1054" t="str">
            <v>יסודי בלבד</v>
          </cell>
          <cell r="H1054" t="str">
            <v>כן</v>
          </cell>
          <cell r="I1054" t="str">
            <v>כן</v>
          </cell>
          <cell r="J1054" t="str">
            <v>כן</v>
          </cell>
          <cell r="K1054">
            <v>119</v>
          </cell>
          <cell r="L1054">
            <v>52</v>
          </cell>
        </row>
        <row r="1055">
          <cell r="D1055">
            <v>482562</v>
          </cell>
          <cell r="E1055" t="str">
            <v>רשות</v>
          </cell>
          <cell r="F1055" t="str">
            <v>בית חינוך שיא ע"ש אורה הרצוג</v>
          </cell>
          <cell r="G1055" t="str">
            <v>יסודי בלבד</v>
          </cell>
          <cell r="H1055" t="str">
            <v>כן</v>
          </cell>
          <cell r="I1055" t="str">
            <v>כן</v>
          </cell>
          <cell r="J1055" t="str">
            <v>כן</v>
          </cell>
          <cell r="K1055">
            <v>369</v>
          </cell>
          <cell r="L1055">
            <v>269</v>
          </cell>
        </row>
        <row r="1056">
          <cell r="D1056">
            <v>612556</v>
          </cell>
          <cell r="E1056" t="str">
            <v>רשות</v>
          </cell>
          <cell r="F1056" t="str">
            <v>שז"ר</v>
          </cell>
          <cell r="G1056" t="str">
            <v>יסודי בלבד</v>
          </cell>
          <cell r="H1056" t="str">
            <v>כן</v>
          </cell>
          <cell r="I1056" t="str">
            <v>כן</v>
          </cell>
          <cell r="J1056" t="str">
            <v>כן</v>
          </cell>
          <cell r="K1056">
            <v>187</v>
          </cell>
          <cell r="L1056">
            <v>80</v>
          </cell>
        </row>
        <row r="1057">
          <cell r="D1057">
            <v>675520</v>
          </cell>
          <cell r="E1057" t="str">
            <v>בעלות</v>
          </cell>
          <cell r="F1057" t="str">
            <v>ילדי מוהראש</v>
          </cell>
          <cell r="G1057" t="str">
            <v>יסודי בלבד</v>
          </cell>
          <cell r="H1057" t="str">
            <v>כן</v>
          </cell>
          <cell r="I1057" t="str">
            <v>כן</v>
          </cell>
          <cell r="J1057" t="str">
            <v>כן</v>
          </cell>
          <cell r="K1057">
            <v>63</v>
          </cell>
          <cell r="L1057">
            <v>65</v>
          </cell>
        </row>
        <row r="1058">
          <cell r="D1058">
            <v>417071</v>
          </cell>
          <cell r="E1058" t="str">
            <v>רשות</v>
          </cell>
          <cell r="F1058" t="str">
            <v>אהוד מנור</v>
          </cell>
          <cell r="G1058" t="str">
            <v>יסודי בלבד</v>
          </cell>
          <cell r="H1058" t="str">
            <v>כן</v>
          </cell>
          <cell r="I1058" t="str">
            <v>כן</v>
          </cell>
          <cell r="J1058" t="str">
            <v>לא</v>
          </cell>
          <cell r="K1058">
            <v>104</v>
          </cell>
          <cell r="L1058">
            <v>57</v>
          </cell>
        </row>
        <row r="1059">
          <cell r="D1059">
            <v>219246</v>
          </cell>
          <cell r="E1059" t="str">
            <v/>
          </cell>
          <cell r="F1059" t="str">
            <v>אלעין</v>
          </cell>
          <cell r="G1059" t="str">
            <v>יסודי בלבד</v>
          </cell>
          <cell r="H1059" t="str">
            <v>כן</v>
          </cell>
          <cell r="I1059" t="str">
            <v>כן</v>
          </cell>
          <cell r="J1059" t="str">
            <v>כן</v>
          </cell>
          <cell r="K1059">
            <v>232</v>
          </cell>
          <cell r="L1059">
            <v>61</v>
          </cell>
        </row>
        <row r="1060">
          <cell r="D1060">
            <v>415349</v>
          </cell>
          <cell r="E1060" t="str">
            <v>רשות</v>
          </cell>
          <cell r="F1060" t="str">
            <v>ת"ת צמח צדק</v>
          </cell>
          <cell r="G1060" t="str">
            <v>יסודי בלבד</v>
          </cell>
          <cell r="H1060" t="str">
            <v>כן</v>
          </cell>
          <cell r="I1060" t="str">
            <v>כן</v>
          </cell>
          <cell r="J1060" t="str">
            <v>כן</v>
          </cell>
          <cell r="K1060">
            <v>63</v>
          </cell>
          <cell r="L1060">
            <v>15</v>
          </cell>
        </row>
        <row r="1061">
          <cell r="D1061">
            <v>311621</v>
          </cell>
          <cell r="E1061" t="str">
            <v>רשות</v>
          </cell>
          <cell r="F1061" t="str">
            <v>מצפה</v>
          </cell>
          <cell r="G1061" t="str">
            <v>יסודי בלבד</v>
          </cell>
          <cell r="H1061" t="str">
            <v>כן</v>
          </cell>
          <cell r="I1061" t="str">
            <v>כן</v>
          </cell>
          <cell r="J1061" t="str">
            <v>כן</v>
          </cell>
          <cell r="K1061">
            <v>178</v>
          </cell>
          <cell r="L1061">
            <v>90</v>
          </cell>
        </row>
        <row r="1062">
          <cell r="D1062">
            <v>411843</v>
          </cell>
          <cell r="E1062" t="str">
            <v>רשות</v>
          </cell>
          <cell r="F1062" t="str">
            <v>ממ"ד אוהל שלום</v>
          </cell>
          <cell r="G1062" t="str">
            <v>יסודי בלבד</v>
          </cell>
          <cell r="H1062" t="str">
            <v>כן</v>
          </cell>
          <cell r="I1062" t="str">
            <v>כן</v>
          </cell>
          <cell r="J1062" t="str">
            <v>כן</v>
          </cell>
          <cell r="K1062">
            <v>183</v>
          </cell>
          <cell r="L1062">
            <v>130</v>
          </cell>
        </row>
        <row r="1063">
          <cell r="D1063">
            <v>413773</v>
          </cell>
          <cell r="E1063" t="str">
            <v>רשות</v>
          </cell>
          <cell r="F1063" t="str">
            <v>יובלים</v>
          </cell>
          <cell r="G1063" t="str">
            <v>יסודי בלבד</v>
          </cell>
          <cell r="H1063" t="str">
            <v>כן</v>
          </cell>
          <cell r="I1063" t="str">
            <v>כן</v>
          </cell>
          <cell r="J1063" t="str">
            <v>כן</v>
          </cell>
          <cell r="K1063">
            <v>233</v>
          </cell>
          <cell r="L1063">
            <v>58</v>
          </cell>
        </row>
        <row r="1064">
          <cell r="D1064">
            <v>512244</v>
          </cell>
          <cell r="E1064" t="str">
            <v/>
          </cell>
          <cell r="F1064" t="str">
            <v>ת"ת וב"י חורב רמת גן</v>
          </cell>
          <cell r="G1064" t="str">
            <v>יסודי בלבד</v>
          </cell>
          <cell r="H1064" t="str">
            <v>כן</v>
          </cell>
          <cell r="I1064" t="str">
            <v>כן</v>
          </cell>
          <cell r="J1064" t="str">
            <v>כן</v>
          </cell>
          <cell r="K1064">
            <v>276</v>
          </cell>
          <cell r="L1064">
            <v>276</v>
          </cell>
        </row>
        <row r="1065">
          <cell r="D1065">
            <v>376004</v>
          </cell>
          <cell r="E1065" t="str">
            <v>רשות</v>
          </cell>
          <cell r="F1065" t="str">
            <v>יסודי בסביוני ים</v>
          </cell>
          <cell r="G1065" t="str">
            <v>יסודי בלבד</v>
          </cell>
          <cell r="H1065" t="str">
            <v>כן</v>
          </cell>
          <cell r="I1065" t="str">
            <v>כן</v>
          </cell>
          <cell r="J1065" t="str">
            <v>כן</v>
          </cell>
          <cell r="K1065">
            <v>192</v>
          </cell>
          <cell r="L1065">
            <v>78</v>
          </cell>
        </row>
        <row r="1066">
          <cell r="D1066">
            <v>415638</v>
          </cell>
          <cell r="E1066" t="str">
            <v/>
          </cell>
          <cell r="F1066" t="str">
            <v>בית יעקב בנות אלעד</v>
          </cell>
          <cell r="G1066" t="str">
            <v>יסודי בלבד</v>
          </cell>
          <cell r="H1066" t="str">
            <v>כן</v>
          </cell>
          <cell r="I1066" t="str">
            <v>כן</v>
          </cell>
          <cell r="J1066" t="str">
            <v>כן</v>
          </cell>
          <cell r="K1066">
            <v>342</v>
          </cell>
          <cell r="L1066">
            <v>198</v>
          </cell>
        </row>
        <row r="1067">
          <cell r="D1067">
            <v>414904</v>
          </cell>
          <cell r="E1067" t="str">
            <v>רשות</v>
          </cell>
          <cell r="F1067" t="str">
            <v>ממלכתי נוה דליה</v>
          </cell>
          <cell r="G1067" t="str">
            <v>יסודי בלבד</v>
          </cell>
          <cell r="H1067" t="str">
            <v>כן</v>
          </cell>
          <cell r="I1067" t="str">
            <v>כן</v>
          </cell>
          <cell r="J1067" t="str">
            <v>כן</v>
          </cell>
          <cell r="K1067">
            <v>138</v>
          </cell>
          <cell r="L1067">
            <v>72</v>
          </cell>
        </row>
        <row r="1068">
          <cell r="D1068">
            <v>417246</v>
          </cell>
          <cell r="E1068" t="str">
            <v>רשות</v>
          </cell>
          <cell r="F1068" t="str">
            <v>פרחי המדע</v>
          </cell>
          <cell r="G1068" t="str">
            <v>יסודי בלבד</v>
          </cell>
          <cell r="H1068" t="str">
            <v>כן</v>
          </cell>
          <cell r="I1068" t="str">
            <v>כן</v>
          </cell>
          <cell r="J1068" t="str">
            <v>לא</v>
          </cell>
          <cell r="K1068">
            <v>218</v>
          </cell>
          <cell r="L1068">
            <v>60</v>
          </cell>
        </row>
        <row r="1069">
          <cell r="D1069">
            <v>213934</v>
          </cell>
          <cell r="E1069" t="str">
            <v>רשות</v>
          </cell>
          <cell r="F1069" t="str">
            <v>הר-שכניה</v>
          </cell>
          <cell r="G1069" t="str">
            <v>יסודי בלבד</v>
          </cell>
          <cell r="H1069" t="str">
            <v>כן</v>
          </cell>
          <cell r="I1069" t="str">
            <v>כן</v>
          </cell>
          <cell r="J1069" t="str">
            <v>לא</v>
          </cell>
          <cell r="K1069">
            <v>144</v>
          </cell>
          <cell r="L1069">
            <v>52</v>
          </cell>
        </row>
        <row r="1070">
          <cell r="D1070">
            <v>118125</v>
          </cell>
          <cell r="E1070" t="str">
            <v/>
          </cell>
          <cell r="F1070" t="str">
            <v>טור מכין לבנים</v>
          </cell>
          <cell r="G1070" t="str">
            <v>יסודי בלבד</v>
          </cell>
          <cell r="H1070" t="str">
            <v>כן</v>
          </cell>
          <cell r="I1070" t="str">
            <v>כן</v>
          </cell>
          <cell r="J1070" t="str">
            <v>כן</v>
          </cell>
          <cell r="K1070">
            <v>326</v>
          </cell>
          <cell r="L1070">
            <v>61</v>
          </cell>
        </row>
        <row r="1071">
          <cell r="D1071">
            <v>410357</v>
          </cell>
          <cell r="E1071" t="str">
            <v>רשות</v>
          </cell>
          <cell r="F1071" t="str">
            <v>ממ"ד אוהל שלום</v>
          </cell>
          <cell r="G1071" t="str">
            <v>יסודי בלבד</v>
          </cell>
          <cell r="H1071" t="str">
            <v>כן</v>
          </cell>
          <cell r="I1071" t="str">
            <v>כן</v>
          </cell>
          <cell r="J1071" t="str">
            <v>כן</v>
          </cell>
          <cell r="K1071">
            <v>161</v>
          </cell>
          <cell r="L1071">
            <v>93</v>
          </cell>
        </row>
        <row r="1072">
          <cell r="D1072">
            <v>618033</v>
          </cell>
          <cell r="E1072" t="str">
            <v>רשות</v>
          </cell>
          <cell r="F1072" t="str">
            <v>אבו קרינאת</v>
          </cell>
          <cell r="G1072" t="str">
            <v>יסודי בלבד</v>
          </cell>
          <cell r="H1072" t="str">
            <v>כן</v>
          </cell>
          <cell r="I1072" t="str">
            <v>כן</v>
          </cell>
          <cell r="J1072" t="str">
            <v>כן</v>
          </cell>
          <cell r="K1072">
            <v>243</v>
          </cell>
          <cell r="L1072">
            <v>135</v>
          </cell>
        </row>
        <row r="1073">
          <cell r="D1073">
            <v>112433</v>
          </cell>
          <cell r="E1073" t="str">
            <v/>
          </cell>
          <cell r="F1073" t="str">
            <v>בית יעקב הר נוף</v>
          </cell>
          <cell r="G1073" t="str">
            <v>יסודי בלבד</v>
          </cell>
          <cell r="H1073" t="str">
            <v>כן</v>
          </cell>
          <cell r="I1073" t="str">
            <v>כן</v>
          </cell>
          <cell r="J1073" t="str">
            <v>כן</v>
          </cell>
          <cell r="K1073">
            <v>0</v>
          </cell>
          <cell r="L1073">
            <v>160</v>
          </cell>
        </row>
        <row r="1074">
          <cell r="D1074">
            <v>213157</v>
          </cell>
          <cell r="E1074" t="str">
            <v>רשות</v>
          </cell>
          <cell r="F1074" t="str">
            <v>ביה"ס גולן-חיספין</v>
          </cell>
          <cell r="G1074" t="str">
            <v>יסודי בלבד</v>
          </cell>
          <cell r="H1074" t="str">
            <v>כן</v>
          </cell>
          <cell r="I1074" t="str">
            <v>כן</v>
          </cell>
          <cell r="J1074" t="str">
            <v>כן</v>
          </cell>
          <cell r="K1074">
            <v>293</v>
          </cell>
          <cell r="L1074">
            <v>41</v>
          </cell>
        </row>
        <row r="1075">
          <cell r="D1075">
            <v>411827</v>
          </cell>
          <cell r="E1075" t="str">
            <v>רשות</v>
          </cell>
          <cell r="F1075" t="str">
            <v>ממ"ד אור תורה</v>
          </cell>
          <cell r="G1075" t="str">
            <v>יסודי בלבד</v>
          </cell>
          <cell r="H1075" t="str">
            <v>כן</v>
          </cell>
          <cell r="I1075" t="str">
            <v>כן</v>
          </cell>
          <cell r="J1075" t="str">
            <v>כן</v>
          </cell>
          <cell r="K1075">
            <v>71</v>
          </cell>
          <cell r="L1075">
            <v>43</v>
          </cell>
        </row>
        <row r="1076">
          <cell r="D1076">
            <v>647552</v>
          </cell>
          <cell r="E1076" t="str">
            <v>רשות</v>
          </cell>
          <cell r="F1076" t="str">
            <v>ארנונה</v>
          </cell>
          <cell r="G1076" t="str">
            <v>יסודי בלבד</v>
          </cell>
          <cell r="H1076" t="str">
            <v>כן</v>
          </cell>
          <cell r="I1076" t="str">
            <v>כן</v>
          </cell>
          <cell r="J1076" t="str">
            <v>לא</v>
          </cell>
          <cell r="K1076">
            <v>90</v>
          </cell>
          <cell r="L1076">
            <v>68</v>
          </cell>
        </row>
        <row r="1077">
          <cell r="D1077">
            <v>384792</v>
          </cell>
          <cell r="E1077" t="str">
            <v>רשות</v>
          </cell>
          <cell r="F1077" t="str">
            <v>נוף ים</v>
          </cell>
          <cell r="G1077" t="str">
            <v>יסודי בלבד</v>
          </cell>
          <cell r="H1077" t="str">
            <v>כן</v>
          </cell>
          <cell r="I1077" t="str">
            <v>לא</v>
          </cell>
          <cell r="J1077" t="str">
            <v>לא</v>
          </cell>
          <cell r="K1077">
            <v>54</v>
          </cell>
          <cell r="L1077">
            <v>24</v>
          </cell>
        </row>
        <row r="1078">
          <cell r="D1078">
            <v>413161</v>
          </cell>
          <cell r="E1078" t="str">
            <v>רשות</v>
          </cell>
          <cell r="F1078" t="str">
            <v>אשכול</v>
          </cell>
          <cell r="G1078" t="str">
            <v>יסודי בלבד</v>
          </cell>
          <cell r="H1078" t="str">
            <v>כן</v>
          </cell>
          <cell r="I1078" t="str">
            <v>כן</v>
          </cell>
          <cell r="J1078" t="str">
            <v>כן</v>
          </cell>
          <cell r="K1078">
            <v>119</v>
          </cell>
          <cell r="L1078">
            <v>112</v>
          </cell>
        </row>
        <row r="1079">
          <cell r="D1079">
            <v>118042</v>
          </cell>
          <cell r="E1079" t="str">
            <v>רשות</v>
          </cell>
          <cell r="F1079" t="str">
            <v>אום טובא</v>
          </cell>
          <cell r="G1079" t="str">
            <v>יסודי בלבד</v>
          </cell>
          <cell r="H1079" t="str">
            <v>כן</v>
          </cell>
          <cell r="I1079" t="str">
            <v>כן</v>
          </cell>
          <cell r="J1079" t="str">
            <v>כן</v>
          </cell>
          <cell r="K1079">
            <v>335</v>
          </cell>
          <cell r="L1079">
            <v>50</v>
          </cell>
        </row>
        <row r="1080">
          <cell r="D1080">
            <v>639617</v>
          </cell>
          <cell r="E1080" t="str">
            <v>בעלות</v>
          </cell>
          <cell r="F1080" t="str">
            <v>בנות יעקב חריש</v>
          </cell>
          <cell r="G1080" t="str">
            <v>יסודי בלבד</v>
          </cell>
          <cell r="H1080" t="str">
            <v>כן</v>
          </cell>
          <cell r="I1080" t="str">
            <v>כן</v>
          </cell>
          <cell r="J1080" t="str">
            <v>כן</v>
          </cell>
          <cell r="K1080">
            <v>158</v>
          </cell>
          <cell r="L1080">
            <v>161</v>
          </cell>
        </row>
        <row r="1081">
          <cell r="D1081">
            <v>111369</v>
          </cell>
          <cell r="E1081" t="str">
            <v>רשות</v>
          </cell>
          <cell r="F1081" t="str">
            <v>מולדת</v>
          </cell>
          <cell r="G1081" t="str">
            <v>יסודי בלבד</v>
          </cell>
          <cell r="H1081" t="str">
            <v>כן</v>
          </cell>
          <cell r="I1081" t="str">
            <v>כן</v>
          </cell>
          <cell r="J1081" t="str">
            <v>כן</v>
          </cell>
          <cell r="K1081">
            <v>276</v>
          </cell>
          <cell r="L1081">
            <v>118</v>
          </cell>
        </row>
        <row r="1082">
          <cell r="D1082">
            <v>218230</v>
          </cell>
          <cell r="E1082" t="str">
            <v>רשות</v>
          </cell>
          <cell r="F1082" t="str">
            <v>ביר אל מכסור ב</v>
          </cell>
          <cell r="G1082" t="str">
            <v>יסודי בלבד</v>
          </cell>
          <cell r="H1082" t="str">
            <v>כן</v>
          </cell>
          <cell r="I1082" t="str">
            <v>כן</v>
          </cell>
          <cell r="J1082" t="str">
            <v>כן</v>
          </cell>
          <cell r="K1082">
            <v>240</v>
          </cell>
          <cell r="L1082">
            <v>90</v>
          </cell>
        </row>
        <row r="1083">
          <cell r="D1083">
            <v>616425</v>
          </cell>
          <cell r="E1083" t="str">
            <v>רשות</v>
          </cell>
          <cell r="F1083" t="str">
            <v>תתמ"ד נעם חומת שמואל</v>
          </cell>
          <cell r="G1083" t="str">
            <v>יסודי בלבד</v>
          </cell>
          <cell r="H1083" t="str">
            <v>כן</v>
          </cell>
          <cell r="I1083" t="str">
            <v>כן</v>
          </cell>
          <cell r="J1083" t="str">
            <v>כן</v>
          </cell>
          <cell r="K1083">
            <v>143</v>
          </cell>
          <cell r="L1083">
            <v>125</v>
          </cell>
        </row>
        <row r="1084">
          <cell r="D1084">
            <v>442475</v>
          </cell>
          <cell r="E1084" t="str">
            <v>רשות</v>
          </cell>
          <cell r="F1084" t="str">
            <v>קשת</v>
          </cell>
          <cell r="G1084" t="str">
            <v>יסודי בלבד</v>
          </cell>
          <cell r="H1084" t="str">
            <v>כן</v>
          </cell>
          <cell r="I1084" t="str">
            <v>כן</v>
          </cell>
          <cell r="J1084" t="str">
            <v>כן</v>
          </cell>
          <cell r="K1084">
            <v>230</v>
          </cell>
          <cell r="L1084">
            <v>210</v>
          </cell>
        </row>
        <row r="1085">
          <cell r="D1085">
            <v>611020</v>
          </cell>
          <cell r="E1085" t="str">
            <v>רשות</v>
          </cell>
          <cell r="F1085" t="str">
            <v>שפרינצק</v>
          </cell>
          <cell r="G1085" t="str">
            <v>יסודי בלבד</v>
          </cell>
          <cell r="H1085" t="str">
            <v>כן</v>
          </cell>
          <cell r="I1085" t="str">
            <v>כן</v>
          </cell>
          <cell r="J1085" t="str">
            <v>כן</v>
          </cell>
          <cell r="K1085">
            <v>170</v>
          </cell>
          <cell r="L1085">
            <v>95</v>
          </cell>
        </row>
        <row r="1086">
          <cell r="D1086">
            <v>760041</v>
          </cell>
          <cell r="E1086" t="str">
            <v>בעלות</v>
          </cell>
          <cell r="F1086" t="str">
            <v>בית יעקב זהרי תורה</v>
          </cell>
          <cell r="G1086" t="str">
            <v>יסודי בלבד</v>
          </cell>
          <cell r="H1086" t="str">
            <v>כן</v>
          </cell>
          <cell r="I1086" t="str">
            <v>כן</v>
          </cell>
          <cell r="J1086" t="str">
            <v>כן</v>
          </cell>
          <cell r="K1086">
            <v>71</v>
          </cell>
          <cell r="L1086">
            <v>74</v>
          </cell>
        </row>
        <row r="1087">
          <cell r="D1087">
            <v>413641</v>
          </cell>
          <cell r="E1087" t="str">
            <v>רשות</v>
          </cell>
          <cell r="F1087" t="str">
            <v>יפה נוף</v>
          </cell>
          <cell r="G1087" t="str">
            <v>יסודי בלבד</v>
          </cell>
          <cell r="H1087" t="str">
            <v>כן</v>
          </cell>
          <cell r="I1087" t="str">
            <v>כן</v>
          </cell>
          <cell r="J1087" t="str">
            <v>כן</v>
          </cell>
          <cell r="K1087">
            <v>266</v>
          </cell>
          <cell r="L1087">
            <v>58</v>
          </cell>
        </row>
        <row r="1088">
          <cell r="D1088">
            <v>112227</v>
          </cell>
          <cell r="E1088" t="str">
            <v>רשות</v>
          </cell>
          <cell r="F1088" t="str">
            <v>אפרתה</v>
          </cell>
          <cell r="G1088" t="str">
            <v>יסודי בלבד</v>
          </cell>
          <cell r="H1088" t="str">
            <v>כן</v>
          </cell>
          <cell r="I1088" t="str">
            <v>כן</v>
          </cell>
          <cell r="J1088" t="str">
            <v>לא</v>
          </cell>
          <cell r="K1088">
            <v>156</v>
          </cell>
          <cell r="L1088">
            <v>120</v>
          </cell>
        </row>
        <row r="1089">
          <cell r="D1089">
            <v>430025</v>
          </cell>
          <cell r="E1089" t="str">
            <v>רשות</v>
          </cell>
          <cell r="F1089" t="str">
            <v>ממ"ד ג.מרדכי</v>
          </cell>
          <cell r="G1089" t="str">
            <v>יסודי בלבד</v>
          </cell>
          <cell r="H1089" t="str">
            <v>כן</v>
          </cell>
          <cell r="I1089" t="str">
            <v>כן</v>
          </cell>
          <cell r="J1089" t="str">
            <v>כן</v>
          </cell>
          <cell r="K1089">
            <v>222</v>
          </cell>
          <cell r="L1089">
            <v>157</v>
          </cell>
        </row>
        <row r="1090">
          <cell r="D1090">
            <v>415612</v>
          </cell>
          <cell r="E1090" t="str">
            <v>רשות</v>
          </cell>
          <cell r="F1090" t="str">
            <v>שקמה</v>
          </cell>
          <cell r="G1090" t="str">
            <v>יסודי בלבד</v>
          </cell>
          <cell r="H1090" t="str">
            <v>כן</v>
          </cell>
          <cell r="I1090" t="str">
            <v>כן</v>
          </cell>
          <cell r="J1090" t="str">
            <v>כן</v>
          </cell>
          <cell r="K1090">
            <v>240</v>
          </cell>
          <cell r="L1090">
            <v>109</v>
          </cell>
        </row>
        <row r="1091">
          <cell r="D1091">
            <v>510545</v>
          </cell>
          <cell r="E1091" t="str">
            <v>רשות</v>
          </cell>
          <cell r="F1091" t="str">
            <v>רביבים</v>
          </cell>
          <cell r="G1091" t="str">
            <v>יסודי בלבד</v>
          </cell>
          <cell r="H1091" t="str">
            <v>כן</v>
          </cell>
          <cell r="I1091" t="str">
            <v>כן</v>
          </cell>
          <cell r="J1091" t="str">
            <v>לא</v>
          </cell>
          <cell r="K1091">
            <v>230</v>
          </cell>
          <cell r="L1091">
            <v>115</v>
          </cell>
        </row>
        <row r="1092">
          <cell r="D1092">
            <v>513416</v>
          </cell>
          <cell r="E1092" t="str">
            <v>רשות</v>
          </cell>
          <cell r="F1092" t="str">
            <v>י.ישעיהו</v>
          </cell>
          <cell r="G1092" t="str">
            <v>יסודי בלבד</v>
          </cell>
          <cell r="H1092" t="str">
            <v>כן</v>
          </cell>
          <cell r="I1092" t="str">
            <v>כן</v>
          </cell>
          <cell r="J1092" t="str">
            <v>כן</v>
          </cell>
          <cell r="K1092">
            <v>140</v>
          </cell>
          <cell r="L1092">
            <v>55</v>
          </cell>
        </row>
        <row r="1093">
          <cell r="D1093">
            <v>311357</v>
          </cell>
          <cell r="E1093" t="str">
            <v>רשות</v>
          </cell>
          <cell r="F1093" t="str">
            <v>אלונים</v>
          </cell>
          <cell r="G1093" t="str">
            <v>יסודי בלבד</v>
          </cell>
          <cell r="H1093" t="str">
            <v>כן</v>
          </cell>
          <cell r="I1093" t="str">
            <v>כן</v>
          </cell>
          <cell r="J1093" t="str">
            <v>כן</v>
          </cell>
          <cell r="K1093">
            <v>159</v>
          </cell>
          <cell r="L1093">
            <v>43</v>
          </cell>
        </row>
        <row r="1094">
          <cell r="D1094">
            <v>213660</v>
          </cell>
          <cell r="E1094" t="str">
            <v>רשות</v>
          </cell>
          <cell r="F1094" t="str">
            <v>בית הספר האזורי משגב</v>
          </cell>
          <cell r="G1094" t="str">
            <v>יסודי בלבד</v>
          </cell>
          <cell r="H1094" t="str">
            <v>כן</v>
          </cell>
          <cell r="I1094" t="str">
            <v>כן</v>
          </cell>
          <cell r="J1094" t="str">
            <v>כן</v>
          </cell>
          <cell r="K1094">
            <v>297</v>
          </cell>
          <cell r="L1094">
            <v>56</v>
          </cell>
        </row>
        <row r="1095">
          <cell r="D1095">
            <v>566885</v>
          </cell>
          <cell r="E1095" t="str">
            <v>רשות</v>
          </cell>
          <cell r="F1095" t="str">
            <v>גולדטק</v>
          </cell>
          <cell r="G1095" t="str">
            <v>יסודי בלבד</v>
          </cell>
          <cell r="H1095" t="str">
            <v>כן</v>
          </cell>
          <cell r="I1095" t="str">
            <v>כן</v>
          </cell>
          <cell r="J1095" t="str">
            <v>כן</v>
          </cell>
          <cell r="K1095">
            <v>297</v>
          </cell>
          <cell r="L1095">
            <v>153</v>
          </cell>
        </row>
        <row r="1096">
          <cell r="D1096">
            <v>413351</v>
          </cell>
          <cell r="E1096" t="str">
            <v>רשות</v>
          </cell>
          <cell r="F1096" t="str">
            <v>בכור לוי</v>
          </cell>
          <cell r="G1096" t="str">
            <v>יסודי בלבד</v>
          </cell>
          <cell r="H1096" t="str">
            <v>כן</v>
          </cell>
          <cell r="I1096" t="str">
            <v>כן</v>
          </cell>
          <cell r="J1096" t="str">
            <v>כן</v>
          </cell>
          <cell r="K1096">
            <v>298</v>
          </cell>
          <cell r="L1096">
            <v>77</v>
          </cell>
        </row>
        <row r="1097">
          <cell r="D1097">
            <v>412841</v>
          </cell>
          <cell r="E1097" t="str">
            <v>רשות</v>
          </cell>
          <cell r="F1097" t="str">
            <v>הוברמן</v>
          </cell>
          <cell r="G1097" t="str">
            <v>יסודי בלבד</v>
          </cell>
          <cell r="H1097" t="str">
            <v>כן</v>
          </cell>
          <cell r="I1097" t="str">
            <v>כן</v>
          </cell>
          <cell r="J1097" t="str">
            <v>לא</v>
          </cell>
          <cell r="K1097">
            <v>188</v>
          </cell>
          <cell r="L1097">
            <v>122</v>
          </cell>
        </row>
        <row r="1098">
          <cell r="D1098">
            <v>611715</v>
          </cell>
          <cell r="E1098" t="str">
            <v>רשות</v>
          </cell>
          <cell r="F1098" t="str">
            <v>צין</v>
          </cell>
          <cell r="G1098" t="str">
            <v>יסודי בלבד</v>
          </cell>
          <cell r="H1098" t="str">
            <v>כן</v>
          </cell>
          <cell r="I1098" t="str">
            <v>כן</v>
          </cell>
          <cell r="J1098" t="str">
            <v>כן</v>
          </cell>
          <cell r="K1098">
            <v>157</v>
          </cell>
          <cell r="L1098">
            <v>55</v>
          </cell>
        </row>
        <row r="1099">
          <cell r="D1099">
            <v>218461</v>
          </cell>
          <cell r="E1099" t="str">
            <v>רשות</v>
          </cell>
          <cell r="F1099" t="str">
            <v>מגדאלכרום אלסלאם</v>
          </cell>
          <cell r="G1099" t="str">
            <v>יסודי בלבד</v>
          </cell>
          <cell r="H1099" t="str">
            <v>כן</v>
          </cell>
          <cell r="I1099" t="str">
            <v>כן</v>
          </cell>
          <cell r="J1099" t="str">
            <v>כן</v>
          </cell>
          <cell r="K1099">
            <v>326</v>
          </cell>
          <cell r="L1099">
            <v>80</v>
          </cell>
        </row>
        <row r="1100">
          <cell r="D1100">
            <v>513135</v>
          </cell>
          <cell r="E1100" t="str">
            <v>רשות</v>
          </cell>
          <cell r="F1100" t="str">
            <v>שזר</v>
          </cell>
          <cell r="G1100" t="str">
            <v>יסודי בלבד</v>
          </cell>
          <cell r="H1100" t="str">
            <v>כן</v>
          </cell>
          <cell r="I1100" t="str">
            <v>כן</v>
          </cell>
          <cell r="J1100" t="str">
            <v>כן</v>
          </cell>
          <cell r="K1100">
            <v>163</v>
          </cell>
          <cell r="L1100">
            <v>90</v>
          </cell>
        </row>
        <row r="1101">
          <cell r="D1101">
            <v>186395</v>
          </cell>
          <cell r="E1101" t="str">
            <v>רשות</v>
          </cell>
          <cell r="F1101" t="str">
            <v>ראשית</v>
          </cell>
          <cell r="G1101" t="str">
            <v>יסודי בלבד</v>
          </cell>
          <cell r="H1101" t="str">
            <v>כן</v>
          </cell>
          <cell r="I1101" t="str">
            <v>כן</v>
          </cell>
          <cell r="J1101" t="str">
            <v>כן</v>
          </cell>
          <cell r="K1101">
            <v>144</v>
          </cell>
          <cell r="L1101">
            <v>66</v>
          </cell>
        </row>
        <row r="1102">
          <cell r="D1102">
            <v>412692</v>
          </cell>
          <cell r="E1102" t="str">
            <v>בעלות</v>
          </cell>
          <cell r="F1102" t="str">
            <v>ב"י נוה שלום רמלה</v>
          </cell>
          <cell r="G1102" t="str">
            <v>יסודי בלבד</v>
          </cell>
          <cell r="H1102" t="str">
            <v>כן</v>
          </cell>
          <cell r="I1102" t="str">
            <v>כן</v>
          </cell>
          <cell r="J1102" t="str">
            <v>כן</v>
          </cell>
          <cell r="K1102">
            <v>63</v>
          </cell>
          <cell r="L1102">
            <v>46</v>
          </cell>
        </row>
        <row r="1103">
          <cell r="D1103">
            <v>318188</v>
          </cell>
          <cell r="E1103" t="str">
            <v>רשות</v>
          </cell>
          <cell r="F1103" t="str">
            <v>אלמוסתקבל</v>
          </cell>
          <cell r="G1103" t="str">
            <v>יסודי בלבד</v>
          </cell>
          <cell r="H1103" t="str">
            <v>כן</v>
          </cell>
          <cell r="I1103" t="str">
            <v>כן</v>
          </cell>
          <cell r="J1103" t="str">
            <v>כן</v>
          </cell>
          <cell r="K1103">
            <v>309</v>
          </cell>
          <cell r="L1103">
            <v>80</v>
          </cell>
        </row>
        <row r="1104">
          <cell r="D1104">
            <v>318527</v>
          </cell>
          <cell r="E1104" t="str">
            <v>רשות</v>
          </cell>
          <cell r="F1104" t="str">
            <v>ערערה אלדהראת</v>
          </cell>
          <cell r="G1104" t="str">
            <v>יסודי בלבד</v>
          </cell>
          <cell r="H1104" t="str">
            <v>כן</v>
          </cell>
          <cell r="I1104" t="str">
            <v>כן</v>
          </cell>
          <cell r="J1104" t="str">
            <v>כן</v>
          </cell>
          <cell r="K1104">
            <v>334</v>
          </cell>
          <cell r="L1104">
            <v>70</v>
          </cell>
        </row>
        <row r="1105">
          <cell r="D1105">
            <v>482232</v>
          </cell>
          <cell r="E1105" t="str">
            <v>רשות</v>
          </cell>
          <cell r="F1105" t="str">
            <v>נופי מולדת</v>
          </cell>
          <cell r="G1105" t="str">
            <v>יסודי בלבד</v>
          </cell>
          <cell r="H1105" t="str">
            <v>כן</v>
          </cell>
          <cell r="I1105" t="str">
            <v>כן</v>
          </cell>
          <cell r="J1105" t="str">
            <v>כן</v>
          </cell>
          <cell r="K1105">
            <v>163</v>
          </cell>
          <cell r="L1105">
            <v>76</v>
          </cell>
        </row>
        <row r="1106">
          <cell r="D1106">
            <v>610030</v>
          </cell>
          <cell r="E1106" t="str">
            <v>רשות</v>
          </cell>
          <cell r="F1106" t="str">
            <v>אלמוג</v>
          </cell>
          <cell r="G1106" t="str">
            <v>יסודי בלבד</v>
          </cell>
          <cell r="H1106" t="str">
            <v>כן</v>
          </cell>
          <cell r="I1106" t="str">
            <v>כן</v>
          </cell>
          <cell r="J1106" t="str">
            <v>כן</v>
          </cell>
          <cell r="K1106">
            <v>135</v>
          </cell>
          <cell r="L1106">
            <v>27</v>
          </cell>
        </row>
        <row r="1107">
          <cell r="D1107">
            <v>318550</v>
          </cell>
          <cell r="E1107" t="str">
            <v>רשות</v>
          </cell>
          <cell r="F1107" t="str">
            <v>אלאחוה</v>
          </cell>
          <cell r="G1107" t="str">
            <v>יסודי בלבד</v>
          </cell>
          <cell r="H1107" t="str">
            <v>כן</v>
          </cell>
          <cell r="I1107" t="str">
            <v>כן</v>
          </cell>
          <cell r="J1107" t="str">
            <v>כן</v>
          </cell>
          <cell r="K1107">
            <v>229</v>
          </cell>
          <cell r="L1107">
            <v>77</v>
          </cell>
        </row>
        <row r="1108">
          <cell r="D1108">
            <v>415273</v>
          </cell>
          <cell r="E1108" t="str">
            <v>רשות</v>
          </cell>
          <cell r="F1108" t="str">
            <v>חדשני בן גוריון</v>
          </cell>
          <cell r="G1108" t="str">
            <v>יסודי בלבד</v>
          </cell>
          <cell r="H1108" t="str">
            <v>כן</v>
          </cell>
          <cell r="I1108" t="str">
            <v>כן</v>
          </cell>
          <cell r="J1108" t="str">
            <v>לא</v>
          </cell>
          <cell r="K1108">
            <v>122</v>
          </cell>
          <cell r="L1108">
            <v>71</v>
          </cell>
        </row>
        <row r="1109">
          <cell r="D1109">
            <v>218024</v>
          </cell>
          <cell r="E1109" t="str">
            <v>רשות</v>
          </cell>
          <cell r="F1109" t="str">
            <v>אלאמל ע"ש חוסין אבריק</v>
          </cell>
          <cell r="G1109" t="str">
            <v>יסודי בלבד</v>
          </cell>
          <cell r="H1109" t="str">
            <v>כן</v>
          </cell>
          <cell r="I1109" t="str">
            <v>כן</v>
          </cell>
          <cell r="J1109" t="str">
            <v>כן</v>
          </cell>
          <cell r="K1109">
            <v>300</v>
          </cell>
          <cell r="L1109">
            <v>120</v>
          </cell>
        </row>
        <row r="1110">
          <cell r="D1110">
            <v>412593</v>
          </cell>
          <cell r="E1110" t="str">
            <v>רשות</v>
          </cell>
          <cell r="F1110" t="str">
            <v>יצחק נבון</v>
          </cell>
          <cell r="G1110" t="str">
            <v>יסודי בלבד</v>
          </cell>
          <cell r="H1110" t="str">
            <v>כן</v>
          </cell>
          <cell r="I1110" t="str">
            <v>כן</v>
          </cell>
          <cell r="J1110" t="str">
            <v>לא</v>
          </cell>
          <cell r="K1110">
            <v>113</v>
          </cell>
          <cell r="L1110">
            <v>88</v>
          </cell>
        </row>
        <row r="1111">
          <cell r="D1111">
            <v>411611</v>
          </cell>
          <cell r="E1111" t="str">
            <v>רשות</v>
          </cell>
          <cell r="F1111" t="str">
            <v>הס</v>
          </cell>
          <cell r="G1111" t="str">
            <v>יסודי בלבד</v>
          </cell>
          <cell r="H1111" t="str">
            <v>כן</v>
          </cell>
          <cell r="I1111" t="str">
            <v>כן</v>
          </cell>
          <cell r="J1111" t="str">
            <v>לא</v>
          </cell>
          <cell r="K1111">
            <v>178</v>
          </cell>
          <cell r="L1111">
            <v>76</v>
          </cell>
        </row>
        <row r="1112">
          <cell r="D1112">
            <v>616474</v>
          </cell>
          <cell r="E1112" t="str">
            <v>רשות</v>
          </cell>
          <cell r="F1112" t="str">
            <v>שלהבות חב"ד</v>
          </cell>
          <cell r="G1112" t="str">
            <v>יסודי בלבד</v>
          </cell>
          <cell r="H1112" t="str">
            <v>כן</v>
          </cell>
          <cell r="I1112" t="str">
            <v>כן</v>
          </cell>
          <cell r="J1112" t="str">
            <v>כן</v>
          </cell>
          <cell r="K1112">
            <v>188</v>
          </cell>
          <cell r="L1112">
            <v>102</v>
          </cell>
        </row>
        <row r="1113">
          <cell r="D1113">
            <v>131227</v>
          </cell>
          <cell r="E1113" t="str">
            <v/>
          </cell>
          <cell r="F1113" t="str">
            <v>ב"י בית מרגלית</v>
          </cell>
          <cell r="G1113" t="str">
            <v>יסודי בלבד</v>
          </cell>
          <cell r="H1113" t="str">
            <v>כן</v>
          </cell>
          <cell r="I1113" t="str">
            <v>כן</v>
          </cell>
          <cell r="J1113" t="str">
            <v>כן</v>
          </cell>
          <cell r="K1113">
            <v>127</v>
          </cell>
          <cell r="L1113">
            <v>100</v>
          </cell>
        </row>
        <row r="1114">
          <cell r="D1114">
            <v>611863</v>
          </cell>
          <cell r="E1114" t="str">
            <v/>
          </cell>
          <cell r="F1114" t="str">
            <v>עומרים</v>
          </cell>
          <cell r="G1114" t="str">
            <v>יסודי בלבד</v>
          </cell>
          <cell r="H1114" t="str">
            <v>כן</v>
          </cell>
          <cell r="I1114" t="str">
            <v>כן</v>
          </cell>
          <cell r="J1114" t="str">
            <v>כן</v>
          </cell>
          <cell r="K1114">
            <v>364</v>
          </cell>
          <cell r="L1114">
            <v>122</v>
          </cell>
        </row>
        <row r="1115">
          <cell r="D1115">
            <v>113787</v>
          </cell>
          <cell r="E1115" t="str">
            <v>רשות</v>
          </cell>
          <cell r="F1115" t="str">
            <v>כוכב יעקב בנות</v>
          </cell>
          <cell r="G1115" t="str">
            <v>יסודי בלבד</v>
          </cell>
          <cell r="H1115" t="str">
            <v>כן</v>
          </cell>
          <cell r="I1115" t="str">
            <v>כן</v>
          </cell>
          <cell r="J1115" t="str">
            <v>כן</v>
          </cell>
          <cell r="K1115">
            <v>59</v>
          </cell>
          <cell r="L1115">
            <v>41</v>
          </cell>
        </row>
        <row r="1116">
          <cell r="D1116">
            <v>413799</v>
          </cell>
          <cell r="E1116" t="str">
            <v>רשות</v>
          </cell>
          <cell r="F1116" t="str">
            <v>גוונים</v>
          </cell>
          <cell r="G1116" t="str">
            <v>יסודי בלבד</v>
          </cell>
          <cell r="H1116" t="str">
            <v>כן</v>
          </cell>
          <cell r="I1116" t="str">
            <v>כן</v>
          </cell>
          <cell r="J1116" t="str">
            <v>לא</v>
          </cell>
          <cell r="K1116">
            <v>182</v>
          </cell>
          <cell r="L1116">
            <v>80</v>
          </cell>
        </row>
        <row r="1117">
          <cell r="D1117">
            <v>645820</v>
          </cell>
          <cell r="E1117" t="str">
            <v>רשות</v>
          </cell>
          <cell r="F1117" t="str">
            <v>"אמיר" ע"ש ג'אק אמיר</v>
          </cell>
          <cell r="G1117" t="str">
            <v>יסודי בלבד</v>
          </cell>
          <cell r="H1117" t="str">
            <v>כן</v>
          </cell>
          <cell r="I1117" t="str">
            <v>כן</v>
          </cell>
          <cell r="J1117" t="str">
            <v>כן</v>
          </cell>
          <cell r="K1117">
            <v>167</v>
          </cell>
          <cell r="L1117">
            <v>79</v>
          </cell>
        </row>
        <row r="1118">
          <cell r="D1118">
            <v>318493</v>
          </cell>
          <cell r="E1118" t="str">
            <v>רשות</v>
          </cell>
          <cell r="F1118" t="str">
            <v>אלחנסאא</v>
          </cell>
          <cell r="G1118" t="str">
            <v>יסודי בלבד</v>
          </cell>
          <cell r="H1118" t="str">
            <v>כן</v>
          </cell>
          <cell r="I1118" t="str">
            <v>כן</v>
          </cell>
          <cell r="J1118" t="str">
            <v>כן</v>
          </cell>
          <cell r="K1118">
            <v>269</v>
          </cell>
          <cell r="L1118">
            <v>57</v>
          </cell>
        </row>
        <row r="1119">
          <cell r="D1119">
            <v>267351</v>
          </cell>
          <cell r="E1119" t="str">
            <v>בעלות</v>
          </cell>
          <cell r="F1119" t="str">
            <v>יוסף לקח בנות</v>
          </cell>
          <cell r="G1119" t="str">
            <v>יסודי בלבד</v>
          </cell>
          <cell r="H1119" t="str">
            <v>כן</v>
          </cell>
          <cell r="I1119" t="str">
            <v>כן</v>
          </cell>
          <cell r="J1119" t="str">
            <v>כן</v>
          </cell>
          <cell r="K1119">
            <v>73</v>
          </cell>
          <cell r="L1119">
            <v>36</v>
          </cell>
        </row>
        <row r="1120">
          <cell r="D1120">
            <v>442558</v>
          </cell>
          <cell r="E1120" t="str">
            <v>בעלות</v>
          </cell>
          <cell r="F1120" t="str">
            <v>ת"ת מוריה אלעד</v>
          </cell>
          <cell r="G1120" t="str">
            <v>יסודי בלבד</v>
          </cell>
          <cell r="H1120" t="str">
            <v>כן</v>
          </cell>
          <cell r="I1120" t="str">
            <v>כן</v>
          </cell>
          <cell r="J1120" t="str">
            <v>כן</v>
          </cell>
          <cell r="K1120">
            <v>75</v>
          </cell>
          <cell r="L1120">
            <v>75</v>
          </cell>
        </row>
        <row r="1121">
          <cell r="D1121">
            <v>111062</v>
          </cell>
          <cell r="E1121" t="str">
            <v>רשות</v>
          </cell>
          <cell r="F1121" t="str">
            <v>יפה נוף</v>
          </cell>
          <cell r="G1121" t="str">
            <v>יסודי בלבד</v>
          </cell>
          <cell r="H1121" t="str">
            <v>כן</v>
          </cell>
          <cell r="I1121" t="str">
            <v>כן</v>
          </cell>
          <cell r="J1121" t="str">
            <v>כן</v>
          </cell>
          <cell r="K1121">
            <v>238</v>
          </cell>
          <cell r="L1121">
            <v>121</v>
          </cell>
        </row>
        <row r="1122">
          <cell r="D1122">
            <v>214221</v>
          </cell>
          <cell r="E1122" t="str">
            <v>רשות</v>
          </cell>
          <cell r="F1122" t="str">
            <v>הראשונים מעלות</v>
          </cell>
          <cell r="G1122" t="str">
            <v>יסודי בלבד</v>
          </cell>
          <cell r="H1122" t="str">
            <v>כן</v>
          </cell>
          <cell r="I1122" t="str">
            <v>כן</v>
          </cell>
          <cell r="J1122" t="str">
            <v>כן</v>
          </cell>
          <cell r="K1122">
            <v>103</v>
          </cell>
          <cell r="L1122">
            <v>53</v>
          </cell>
        </row>
        <row r="1123">
          <cell r="D1123">
            <v>416727</v>
          </cell>
          <cell r="E1123" t="str">
            <v/>
          </cell>
          <cell r="F1123" t="str">
            <v>חב"ד חיה מושקא</v>
          </cell>
          <cell r="G1123" t="str">
            <v>יסודי בלבד</v>
          </cell>
          <cell r="H1123" t="str">
            <v>כן</v>
          </cell>
          <cell r="I1123" t="str">
            <v>כן</v>
          </cell>
          <cell r="J1123" t="str">
            <v>כן</v>
          </cell>
          <cell r="K1123">
            <v>71</v>
          </cell>
          <cell r="L1123">
            <v>40</v>
          </cell>
        </row>
        <row r="1124">
          <cell r="D1124">
            <v>236299</v>
          </cell>
          <cell r="E1124" t="str">
            <v>רשות</v>
          </cell>
          <cell r="F1124" t="str">
            <v>חב"ד בנים</v>
          </cell>
          <cell r="G1124" t="str">
            <v>יסודי בלבד</v>
          </cell>
          <cell r="H1124" t="str">
            <v>כן</v>
          </cell>
          <cell r="I1124" t="str">
            <v>כן</v>
          </cell>
          <cell r="J1124" t="str">
            <v>כן</v>
          </cell>
          <cell r="K1124">
            <v>92</v>
          </cell>
          <cell r="L1124">
            <v>86</v>
          </cell>
        </row>
        <row r="1125">
          <cell r="D1125">
            <v>734103</v>
          </cell>
          <cell r="E1125" t="str">
            <v>רשות</v>
          </cell>
          <cell r="F1125" t="str">
            <v>אהבת ישראל</v>
          </cell>
          <cell r="G1125" t="str">
            <v>יסודי בלבד</v>
          </cell>
          <cell r="H1125" t="str">
            <v>כן</v>
          </cell>
          <cell r="I1125" t="str">
            <v>כן</v>
          </cell>
          <cell r="J1125" t="str">
            <v>כן</v>
          </cell>
          <cell r="K1125">
            <v>60</v>
          </cell>
          <cell r="L1125">
            <v>41</v>
          </cell>
        </row>
        <row r="1126">
          <cell r="D1126">
            <v>511774</v>
          </cell>
          <cell r="E1126" t="str">
            <v/>
          </cell>
          <cell r="F1126" t="str">
            <v>בית יעקב ולאה בנות</v>
          </cell>
          <cell r="G1126" t="str">
            <v>יסודי בלבד</v>
          </cell>
          <cell r="H1126" t="str">
            <v>כן</v>
          </cell>
          <cell r="I1126" t="str">
            <v>כן</v>
          </cell>
          <cell r="J1126" t="str">
            <v>כן</v>
          </cell>
          <cell r="K1126">
            <v>36</v>
          </cell>
          <cell r="L1126">
            <v>36</v>
          </cell>
        </row>
        <row r="1127">
          <cell r="D1127">
            <v>384594</v>
          </cell>
          <cell r="E1127" t="str">
            <v>רשות</v>
          </cell>
          <cell r="F1127" t="str">
            <v>מעלות הגולן</v>
          </cell>
          <cell r="G1127" t="str">
            <v>יסודי בלבד</v>
          </cell>
          <cell r="H1127" t="str">
            <v>כן</v>
          </cell>
          <cell r="I1127" t="str">
            <v>כן</v>
          </cell>
          <cell r="J1127" t="str">
            <v>כן</v>
          </cell>
          <cell r="K1127">
            <v>101</v>
          </cell>
          <cell r="L1127">
            <v>68</v>
          </cell>
        </row>
        <row r="1128">
          <cell r="D1128">
            <v>675694</v>
          </cell>
          <cell r="E1128" t="str">
            <v>רשות</v>
          </cell>
          <cell r="F1128" t="str">
            <v>גוונים</v>
          </cell>
          <cell r="G1128" t="str">
            <v>יסודי בלבד</v>
          </cell>
          <cell r="H1128" t="str">
            <v>כן</v>
          </cell>
          <cell r="I1128" t="str">
            <v>כן</v>
          </cell>
          <cell r="J1128" t="str">
            <v>כן</v>
          </cell>
          <cell r="K1128">
            <v>95</v>
          </cell>
          <cell r="L1128">
            <v>66</v>
          </cell>
        </row>
        <row r="1129">
          <cell r="D1129">
            <v>416016</v>
          </cell>
          <cell r="E1129" t="str">
            <v>רשות</v>
          </cell>
          <cell r="F1129" t="str">
            <v>רעות</v>
          </cell>
          <cell r="G1129" t="str">
            <v>יסודי בלבד</v>
          </cell>
          <cell r="H1129" t="str">
            <v>כן</v>
          </cell>
          <cell r="I1129" t="str">
            <v>כן</v>
          </cell>
          <cell r="J1129" t="str">
            <v>כן</v>
          </cell>
          <cell r="K1129">
            <v>174</v>
          </cell>
          <cell r="L1129">
            <v>62</v>
          </cell>
        </row>
        <row r="1130">
          <cell r="D1130">
            <v>769661</v>
          </cell>
          <cell r="E1130" t="str">
            <v>בעלות</v>
          </cell>
          <cell r="F1130" t="str">
            <v>בית יעקב גילה</v>
          </cell>
          <cell r="G1130" t="str">
            <v>יסודי בלבד</v>
          </cell>
          <cell r="H1130" t="str">
            <v>כן</v>
          </cell>
          <cell r="I1130" t="str">
            <v>כן</v>
          </cell>
          <cell r="J1130" t="str">
            <v>כן</v>
          </cell>
          <cell r="K1130">
            <v>176</v>
          </cell>
          <cell r="L1130">
            <v>132</v>
          </cell>
        </row>
        <row r="1131">
          <cell r="D1131">
            <v>362178</v>
          </cell>
          <cell r="E1131" t="str">
            <v/>
          </cell>
          <cell r="F1131" t="str">
            <v>בת מלך</v>
          </cell>
          <cell r="G1131" t="str">
            <v>יסודי בלבד</v>
          </cell>
          <cell r="H1131" t="str">
            <v>כן</v>
          </cell>
          <cell r="I1131" t="str">
            <v>כן</v>
          </cell>
          <cell r="J1131" t="str">
            <v>כן</v>
          </cell>
          <cell r="K1131">
            <v>99</v>
          </cell>
          <cell r="L1131">
            <v>99</v>
          </cell>
        </row>
        <row r="1132">
          <cell r="D1132">
            <v>213181</v>
          </cell>
          <cell r="E1132" t="str">
            <v>בעלות</v>
          </cell>
          <cell r="F1132" t="str">
            <v>תפארת בית יעקב</v>
          </cell>
          <cell r="G1132" t="str">
            <v>יסודי בלבד</v>
          </cell>
          <cell r="H1132" t="str">
            <v>כן</v>
          </cell>
          <cell r="I1132" t="str">
            <v>כן</v>
          </cell>
          <cell r="J1132" t="str">
            <v>כן</v>
          </cell>
          <cell r="K1132">
            <v>154</v>
          </cell>
          <cell r="L1132">
            <v>140</v>
          </cell>
        </row>
        <row r="1133">
          <cell r="D1133">
            <v>414003</v>
          </cell>
          <cell r="E1133" t="str">
            <v/>
          </cell>
          <cell r="F1133" t="str">
            <v>ביאליק</v>
          </cell>
          <cell r="G1133" t="str">
            <v>יסודי בלבד</v>
          </cell>
          <cell r="H1133" t="str">
            <v>כן</v>
          </cell>
          <cell r="I1133" t="str">
            <v>כן</v>
          </cell>
          <cell r="J1133" t="str">
            <v>כן</v>
          </cell>
          <cell r="K1133">
            <v>220</v>
          </cell>
          <cell r="L1133">
            <v>86</v>
          </cell>
        </row>
        <row r="1134">
          <cell r="D1134">
            <v>416339</v>
          </cell>
          <cell r="E1134" t="str">
            <v>רשות</v>
          </cell>
          <cell r="F1134" t="str">
            <v>לב הפרדס</v>
          </cell>
          <cell r="G1134" t="str">
            <v>יסודי בלבד</v>
          </cell>
          <cell r="H1134" t="str">
            <v>כן</v>
          </cell>
          <cell r="I1134" t="str">
            <v>כן</v>
          </cell>
          <cell r="J1134" t="str">
            <v>כן</v>
          </cell>
          <cell r="K1134">
            <v>238</v>
          </cell>
          <cell r="L1134">
            <v>77</v>
          </cell>
        </row>
        <row r="1135">
          <cell r="D1135">
            <v>415968</v>
          </cell>
          <cell r="E1135" t="str">
            <v/>
          </cell>
          <cell r="F1135" t="str">
            <v>בית יעקב גני הדר פ"ת</v>
          </cell>
          <cell r="G1135" t="str">
            <v>יסודי בלבד</v>
          </cell>
          <cell r="H1135" t="str">
            <v>כן</v>
          </cell>
          <cell r="I1135" t="str">
            <v>כן</v>
          </cell>
          <cell r="J1135" t="str">
            <v>כן</v>
          </cell>
          <cell r="K1135">
            <v>276</v>
          </cell>
          <cell r="L1135">
            <v>275</v>
          </cell>
        </row>
        <row r="1136">
          <cell r="D1136">
            <v>118166</v>
          </cell>
          <cell r="E1136" t="str">
            <v/>
          </cell>
          <cell r="F1136" t="str">
            <v>סואחרה לבנות</v>
          </cell>
          <cell r="G1136" t="str">
            <v>יסודי בלבד</v>
          </cell>
          <cell r="H1136" t="str">
            <v>כן</v>
          </cell>
          <cell r="I1136" t="str">
            <v>כן</v>
          </cell>
          <cell r="J1136" t="str">
            <v>כן</v>
          </cell>
          <cell r="K1136">
            <v>173</v>
          </cell>
          <cell r="L1136">
            <v>43</v>
          </cell>
        </row>
        <row r="1137">
          <cell r="D1137">
            <v>415604</v>
          </cell>
          <cell r="E1137" t="str">
            <v>רשות</v>
          </cell>
          <cell r="F1137" t="str">
            <v>כנפי רוח</v>
          </cell>
          <cell r="G1137" t="str">
            <v>יסודי בלבד</v>
          </cell>
          <cell r="H1137" t="str">
            <v>כן</v>
          </cell>
          <cell r="I1137" t="str">
            <v>כן</v>
          </cell>
          <cell r="J1137" t="str">
            <v>כן</v>
          </cell>
          <cell r="K1137">
            <v>231</v>
          </cell>
          <cell r="L1137">
            <v>120</v>
          </cell>
        </row>
        <row r="1138">
          <cell r="D1138">
            <v>111716</v>
          </cell>
          <cell r="E1138" t="str">
            <v>רשות</v>
          </cell>
          <cell r="F1138" t="str">
            <v>שדי חמד</v>
          </cell>
          <cell r="G1138" t="str">
            <v>יסודי בלבד</v>
          </cell>
          <cell r="H1138" t="str">
            <v>כן</v>
          </cell>
          <cell r="I1138" t="str">
            <v>כן</v>
          </cell>
          <cell r="J1138" t="str">
            <v>כן</v>
          </cell>
          <cell r="K1138">
            <v>146</v>
          </cell>
          <cell r="L1138">
            <v>65</v>
          </cell>
        </row>
        <row r="1139">
          <cell r="D1139">
            <v>612812</v>
          </cell>
          <cell r="E1139" t="str">
            <v>רשות</v>
          </cell>
          <cell r="F1139" t="str">
            <v>עמית</v>
          </cell>
          <cell r="G1139" t="str">
            <v>יסודי בלבד</v>
          </cell>
          <cell r="H1139" t="str">
            <v>כן</v>
          </cell>
          <cell r="I1139" t="str">
            <v>כן</v>
          </cell>
          <cell r="J1139" t="str">
            <v>לא</v>
          </cell>
          <cell r="K1139">
            <v>161</v>
          </cell>
          <cell r="L1139">
            <v>93</v>
          </cell>
        </row>
        <row r="1140">
          <cell r="D1140">
            <v>411496</v>
          </cell>
          <cell r="E1140" t="str">
            <v>רשות</v>
          </cell>
          <cell r="F1140" t="str">
            <v>ממ"ד תחכמוני</v>
          </cell>
          <cell r="G1140" t="str">
            <v>יסודי בלבד</v>
          </cell>
          <cell r="H1140" t="str">
            <v>כן</v>
          </cell>
          <cell r="I1140" t="str">
            <v>כן</v>
          </cell>
          <cell r="J1140" t="str">
            <v>כן</v>
          </cell>
          <cell r="K1140">
            <v>302</v>
          </cell>
          <cell r="L1140">
            <v>293</v>
          </cell>
        </row>
        <row r="1141">
          <cell r="D1141">
            <v>510685</v>
          </cell>
          <cell r="E1141" t="str">
            <v>רשות</v>
          </cell>
          <cell r="F1141" t="str">
            <v>גבעולים</v>
          </cell>
          <cell r="G1141" t="str">
            <v>יסודי בלבד</v>
          </cell>
          <cell r="H1141" t="str">
            <v>כן</v>
          </cell>
          <cell r="I1141" t="str">
            <v>כן</v>
          </cell>
          <cell r="J1141" t="str">
            <v>כן</v>
          </cell>
          <cell r="K1141">
            <v>171</v>
          </cell>
          <cell r="L1141">
            <v>64</v>
          </cell>
        </row>
        <row r="1142">
          <cell r="D1142">
            <v>482422</v>
          </cell>
          <cell r="E1142" t="str">
            <v>רשות</v>
          </cell>
          <cell r="F1142" t="str">
            <v>שרונה</v>
          </cell>
          <cell r="G1142" t="str">
            <v>יסודי בלבד</v>
          </cell>
          <cell r="H1142" t="str">
            <v>כן</v>
          </cell>
          <cell r="I1142" t="str">
            <v>כן</v>
          </cell>
          <cell r="J1142" t="str">
            <v>כן</v>
          </cell>
          <cell r="K1142">
            <v>338</v>
          </cell>
          <cell r="L1142">
            <v>177</v>
          </cell>
        </row>
        <row r="1143">
          <cell r="D1143">
            <v>430033</v>
          </cell>
          <cell r="E1143" t="str">
            <v>רשות</v>
          </cell>
          <cell r="F1143" t="str">
            <v>תמיר</v>
          </cell>
          <cell r="G1143" t="str">
            <v>יסודי בלבד</v>
          </cell>
          <cell r="H1143" t="str">
            <v>כן</v>
          </cell>
          <cell r="I1143" t="str">
            <v>כן</v>
          </cell>
          <cell r="J1143" t="str">
            <v>כן</v>
          </cell>
          <cell r="K1143">
            <v>246</v>
          </cell>
          <cell r="L1143">
            <v>100</v>
          </cell>
        </row>
        <row r="1144">
          <cell r="D1144">
            <v>383737</v>
          </cell>
          <cell r="E1144" t="str">
            <v>רשות</v>
          </cell>
          <cell r="F1144" t="str">
            <v>תלמוד תורה ברסלב בנים</v>
          </cell>
          <cell r="G1144" t="str">
            <v>יסודי בלבד</v>
          </cell>
          <cell r="H1144" t="str">
            <v>כן</v>
          </cell>
          <cell r="I1144" t="str">
            <v>כן</v>
          </cell>
          <cell r="J1144" t="str">
            <v>כן</v>
          </cell>
          <cell r="K1144">
            <v>149</v>
          </cell>
          <cell r="L1144">
            <v>74</v>
          </cell>
        </row>
        <row r="1145">
          <cell r="D1145">
            <v>482281</v>
          </cell>
          <cell r="E1145" t="str">
            <v/>
          </cell>
          <cell r="F1145" t="str">
            <v>יסודי אלחוארזמי</v>
          </cell>
          <cell r="G1145" t="str">
            <v>יסודי בלבד</v>
          </cell>
          <cell r="H1145" t="str">
            <v>כן</v>
          </cell>
          <cell r="I1145" t="str">
            <v>כן</v>
          </cell>
          <cell r="J1145" t="str">
            <v>כן</v>
          </cell>
          <cell r="K1145">
            <v>207</v>
          </cell>
          <cell r="L1145">
            <v>110</v>
          </cell>
        </row>
        <row r="1146">
          <cell r="D1146">
            <v>417170</v>
          </cell>
          <cell r="E1146" t="str">
            <v>רשות</v>
          </cell>
          <cell r="F1146" t="str">
            <v>אלראזי</v>
          </cell>
          <cell r="G1146" t="str">
            <v>יסודי בלבד</v>
          </cell>
          <cell r="H1146" t="str">
            <v>כן</v>
          </cell>
          <cell r="I1146" t="str">
            <v>כן</v>
          </cell>
          <cell r="J1146" t="str">
            <v>כן</v>
          </cell>
          <cell r="K1146">
            <v>150</v>
          </cell>
          <cell r="L1146">
            <v>150</v>
          </cell>
        </row>
        <row r="1147">
          <cell r="D1147">
            <v>614834</v>
          </cell>
          <cell r="E1147" t="str">
            <v>בעלות</v>
          </cell>
          <cell r="F1147" t="str">
            <v>ת"ת נתיבות יהודה</v>
          </cell>
          <cell r="G1147" t="str">
            <v>יסודי בלבד</v>
          </cell>
          <cell r="H1147" t="str">
            <v>כן</v>
          </cell>
          <cell r="I1147" t="str">
            <v>כן</v>
          </cell>
          <cell r="J1147" t="str">
            <v>כן</v>
          </cell>
          <cell r="K1147">
            <v>96</v>
          </cell>
          <cell r="L1147">
            <v>95</v>
          </cell>
        </row>
        <row r="1148">
          <cell r="D1148">
            <v>614156</v>
          </cell>
          <cell r="E1148" t="str">
            <v>רשות</v>
          </cell>
          <cell r="F1148" t="str">
            <v>רתמים</v>
          </cell>
          <cell r="G1148" t="str">
            <v>יסודי בלבד</v>
          </cell>
          <cell r="H1148" t="str">
            <v>כן</v>
          </cell>
          <cell r="I1148" t="str">
            <v>כן</v>
          </cell>
          <cell r="J1148" t="str">
            <v>כן</v>
          </cell>
          <cell r="K1148">
            <v>270</v>
          </cell>
          <cell r="L1148">
            <v>72</v>
          </cell>
        </row>
        <row r="1149">
          <cell r="D1149">
            <v>416099</v>
          </cell>
          <cell r="E1149" t="str">
            <v/>
          </cell>
          <cell r="F1149" t="str">
            <v>שובו נתניה</v>
          </cell>
          <cell r="G1149" t="str">
            <v>יסודי בלבד</v>
          </cell>
          <cell r="H1149" t="str">
            <v>כן</v>
          </cell>
          <cell r="I1149" t="str">
            <v>כן</v>
          </cell>
          <cell r="J1149" t="str">
            <v>כן</v>
          </cell>
          <cell r="K1149">
            <v>0</v>
          </cell>
          <cell r="L1149">
            <v>62</v>
          </cell>
        </row>
        <row r="1150">
          <cell r="D1150">
            <v>413146</v>
          </cell>
          <cell r="E1150" t="str">
            <v>רשות</v>
          </cell>
          <cell r="F1150" t="str">
            <v>ממלכתי תפו"ז</v>
          </cell>
          <cell r="G1150" t="str">
            <v>יסודי בלבד</v>
          </cell>
          <cell r="H1150" t="str">
            <v>כן</v>
          </cell>
          <cell r="I1150" t="str">
            <v>כן</v>
          </cell>
          <cell r="J1150" t="str">
            <v>כן</v>
          </cell>
          <cell r="K1150">
            <v>190</v>
          </cell>
          <cell r="L1150">
            <v>85</v>
          </cell>
        </row>
        <row r="1151">
          <cell r="D1151">
            <v>111328</v>
          </cell>
          <cell r="E1151" t="str">
            <v>רשות</v>
          </cell>
          <cell r="F1151" t="str">
            <v>כרמי יהודה</v>
          </cell>
          <cell r="G1151" t="str">
            <v>יסודי בלבד</v>
          </cell>
          <cell r="H1151" t="str">
            <v>כן</v>
          </cell>
          <cell r="I1151" t="str">
            <v>כן</v>
          </cell>
          <cell r="J1151" t="str">
            <v>כן</v>
          </cell>
          <cell r="K1151">
            <v>232</v>
          </cell>
          <cell r="L1151">
            <v>232</v>
          </cell>
        </row>
        <row r="1152">
          <cell r="D1152">
            <v>211474</v>
          </cell>
          <cell r="E1152" t="str">
            <v>רשות</v>
          </cell>
          <cell r="F1152" t="str">
            <v>וייצמן-נהריה</v>
          </cell>
          <cell r="G1152" t="str">
            <v>יסודי בלבד</v>
          </cell>
          <cell r="H1152" t="str">
            <v>כן</v>
          </cell>
          <cell r="I1152" t="str">
            <v>כן</v>
          </cell>
          <cell r="J1152" t="str">
            <v>כן</v>
          </cell>
          <cell r="K1152">
            <v>353</v>
          </cell>
          <cell r="L1152">
            <v>125</v>
          </cell>
        </row>
        <row r="1153">
          <cell r="D1153">
            <v>611699</v>
          </cell>
          <cell r="E1153" t="str">
            <v/>
          </cell>
          <cell r="F1153" t="str">
            <v>בן-צבי</v>
          </cell>
          <cell r="G1153" t="str">
            <v>יסודי בלבד</v>
          </cell>
          <cell r="H1153" t="str">
            <v>כן</v>
          </cell>
          <cell r="I1153" t="str">
            <v>כן</v>
          </cell>
          <cell r="J1153" t="str">
            <v>כן</v>
          </cell>
          <cell r="K1153">
            <v>113</v>
          </cell>
          <cell r="L1153">
            <v>57</v>
          </cell>
        </row>
        <row r="1154">
          <cell r="D1154">
            <v>414953</v>
          </cell>
          <cell r="E1154" t="str">
            <v>רשות</v>
          </cell>
          <cell r="F1154" t="str">
            <v>ממלכתי חדשני אופק</v>
          </cell>
          <cell r="G1154" t="str">
            <v>יסודי בלבד</v>
          </cell>
          <cell r="H1154" t="str">
            <v>כן</v>
          </cell>
          <cell r="I1154" t="str">
            <v>כן</v>
          </cell>
          <cell r="J1154" t="str">
            <v>כן</v>
          </cell>
          <cell r="K1154">
            <v>111</v>
          </cell>
          <cell r="L1154">
            <v>75</v>
          </cell>
        </row>
        <row r="1155">
          <cell r="D1155">
            <v>610055</v>
          </cell>
          <cell r="E1155" t="str">
            <v>רשות</v>
          </cell>
          <cell r="F1155" t="str">
            <v>רגבים</v>
          </cell>
          <cell r="G1155" t="str">
            <v>יסודי בלבד</v>
          </cell>
          <cell r="H1155" t="str">
            <v>כן</v>
          </cell>
          <cell r="I1155" t="str">
            <v>כן</v>
          </cell>
          <cell r="J1155" t="str">
            <v>לא</v>
          </cell>
          <cell r="K1155">
            <v>167</v>
          </cell>
          <cell r="L1155">
            <v>50</v>
          </cell>
        </row>
        <row r="1156">
          <cell r="D1156">
            <v>749937</v>
          </cell>
          <cell r="E1156" t="str">
            <v>רשות</v>
          </cell>
          <cell r="F1156" t="str">
            <v>נצח ישראל</v>
          </cell>
          <cell r="G1156" t="str">
            <v>יסודי בלבד</v>
          </cell>
          <cell r="H1156" t="str">
            <v>כן</v>
          </cell>
          <cell r="I1156" t="str">
            <v>כן</v>
          </cell>
          <cell r="J1156" t="str">
            <v>כן</v>
          </cell>
          <cell r="K1156">
            <v>163</v>
          </cell>
          <cell r="L1156">
            <v>130</v>
          </cell>
        </row>
        <row r="1157">
          <cell r="D1157">
            <v>412858</v>
          </cell>
          <cell r="E1157" t="str">
            <v>רשות</v>
          </cell>
          <cell r="F1157" t="str">
            <v>בן צבי</v>
          </cell>
          <cell r="G1157" t="str">
            <v>יסודי בלבד</v>
          </cell>
          <cell r="H1157" t="str">
            <v>כן</v>
          </cell>
          <cell r="I1157" t="str">
            <v>כן</v>
          </cell>
          <cell r="J1157" t="str">
            <v>כן</v>
          </cell>
          <cell r="K1157">
            <v>138</v>
          </cell>
          <cell r="L1157">
            <v>43</v>
          </cell>
        </row>
        <row r="1158">
          <cell r="D1158">
            <v>178160</v>
          </cell>
          <cell r="E1158" t="str">
            <v/>
          </cell>
          <cell r="F1158" t="str">
            <v>אטור יסודי בנים</v>
          </cell>
          <cell r="G1158" t="str">
            <v>יסודי בלבד</v>
          </cell>
          <cell r="H1158" t="str">
            <v>כן</v>
          </cell>
          <cell r="I1158" t="str">
            <v>כן</v>
          </cell>
          <cell r="J1158" t="str">
            <v>כן</v>
          </cell>
          <cell r="K1158">
            <v>218</v>
          </cell>
          <cell r="L1158">
            <v>90</v>
          </cell>
        </row>
        <row r="1159">
          <cell r="D1159">
            <v>166470</v>
          </cell>
          <cell r="E1159" t="str">
            <v>רשות</v>
          </cell>
          <cell r="F1159" t="str">
            <v>כרמי חן</v>
          </cell>
          <cell r="G1159" t="str">
            <v>יסודי בלבד</v>
          </cell>
          <cell r="H1159" t="str">
            <v>כן</v>
          </cell>
          <cell r="I1159" t="str">
            <v>כן</v>
          </cell>
          <cell r="J1159" t="str">
            <v>כן</v>
          </cell>
          <cell r="K1159">
            <v>119</v>
          </cell>
          <cell r="L1159">
            <v>52</v>
          </cell>
        </row>
        <row r="1160">
          <cell r="D1160">
            <v>482919</v>
          </cell>
          <cell r="E1160" t="str">
            <v>רשות</v>
          </cell>
          <cell r="F1160" t="str">
            <v>בית חינוך ע"ש אורנה פורת</v>
          </cell>
          <cell r="G1160" t="str">
            <v>יסודי בלבד</v>
          </cell>
          <cell r="H1160" t="str">
            <v>כן</v>
          </cell>
          <cell r="I1160" t="str">
            <v>כן</v>
          </cell>
          <cell r="J1160" t="str">
            <v>לא</v>
          </cell>
          <cell r="K1160">
            <v>131</v>
          </cell>
          <cell r="L1160">
            <v>50</v>
          </cell>
        </row>
        <row r="1161">
          <cell r="D1161">
            <v>510776</v>
          </cell>
          <cell r="E1161" t="str">
            <v>רשות</v>
          </cell>
          <cell r="F1161" t="str">
            <v>מכלל</v>
          </cell>
          <cell r="G1161" t="str">
            <v>יסודי בלבד</v>
          </cell>
          <cell r="H1161" t="str">
            <v>כן</v>
          </cell>
          <cell r="I1161" t="str">
            <v>כן</v>
          </cell>
          <cell r="J1161" t="str">
            <v>כן</v>
          </cell>
          <cell r="K1161">
            <v>144</v>
          </cell>
          <cell r="L1161">
            <v>65</v>
          </cell>
        </row>
        <row r="1162">
          <cell r="D1162">
            <v>217380</v>
          </cell>
          <cell r="E1162" t="str">
            <v/>
          </cell>
          <cell r="F1162" t="str">
            <v>יסודי ג' טורעאן</v>
          </cell>
          <cell r="G1162" t="str">
            <v>יסודי בלבד</v>
          </cell>
          <cell r="H1162" t="str">
            <v>כן</v>
          </cell>
          <cell r="I1162" t="str">
            <v>כן</v>
          </cell>
          <cell r="J1162" t="str">
            <v>כן</v>
          </cell>
          <cell r="K1162">
            <v>345</v>
          </cell>
          <cell r="L1162">
            <v>90</v>
          </cell>
        </row>
        <row r="1163">
          <cell r="D1163">
            <v>416198</v>
          </cell>
          <cell r="E1163" t="str">
            <v/>
          </cell>
          <cell r="F1163" t="str">
            <v>כלל חסידי קרית הבעשט</v>
          </cell>
          <cell r="G1163" t="str">
            <v>יסודי בלבד</v>
          </cell>
          <cell r="H1163" t="str">
            <v>כן</v>
          </cell>
          <cell r="I1163" t="str">
            <v>כן</v>
          </cell>
          <cell r="J1163" t="str">
            <v>כן</v>
          </cell>
          <cell r="K1163">
            <v>0</v>
          </cell>
          <cell r="L1163">
            <v>68</v>
          </cell>
        </row>
        <row r="1164">
          <cell r="D1164">
            <v>410324</v>
          </cell>
          <cell r="E1164" t="str">
            <v>רשות</v>
          </cell>
          <cell r="F1164" t="str">
            <v>אלון</v>
          </cell>
          <cell r="G1164" t="str">
            <v>יסודי בלבד</v>
          </cell>
          <cell r="H1164" t="str">
            <v>כן</v>
          </cell>
          <cell r="I1164" t="str">
            <v>כן</v>
          </cell>
          <cell r="J1164" t="str">
            <v>כן</v>
          </cell>
          <cell r="K1164">
            <v>118</v>
          </cell>
          <cell r="L1164">
            <v>43</v>
          </cell>
        </row>
        <row r="1165">
          <cell r="D1165">
            <v>581421</v>
          </cell>
          <cell r="E1165" t="str">
            <v>רשות</v>
          </cell>
          <cell r="F1165" t="str">
            <v>יצחק נבון</v>
          </cell>
          <cell r="G1165" t="str">
            <v>יסודי בלבד</v>
          </cell>
          <cell r="H1165" t="str">
            <v>כן</v>
          </cell>
          <cell r="I1165" t="str">
            <v>כן</v>
          </cell>
          <cell r="J1165" t="str">
            <v>כן</v>
          </cell>
          <cell r="K1165">
            <v>334</v>
          </cell>
          <cell r="L1165">
            <v>187</v>
          </cell>
        </row>
        <row r="1166">
          <cell r="D1166">
            <v>613000</v>
          </cell>
          <cell r="E1166" t="str">
            <v>רשות</v>
          </cell>
          <cell r="F1166" t="str">
            <v>צמח א'</v>
          </cell>
          <cell r="G1166" t="str">
            <v>יסודי בלבד</v>
          </cell>
          <cell r="H1166" t="str">
            <v>כן</v>
          </cell>
          <cell r="I1166" t="str">
            <v>כן</v>
          </cell>
          <cell r="J1166" t="str">
            <v>כן</v>
          </cell>
          <cell r="K1166">
            <v>186</v>
          </cell>
          <cell r="L1166">
            <v>73</v>
          </cell>
        </row>
        <row r="1167">
          <cell r="D1167">
            <v>721662</v>
          </cell>
          <cell r="E1167" t="str">
            <v>בעלות</v>
          </cell>
          <cell r="F1167" t="str">
            <v>כאייל תערוג</v>
          </cell>
          <cell r="G1167" t="str">
            <v>יסודי בלבד</v>
          </cell>
          <cell r="H1167" t="str">
            <v>כן</v>
          </cell>
          <cell r="I1167" t="str">
            <v>כן</v>
          </cell>
          <cell r="J1167" t="str">
            <v>כן</v>
          </cell>
          <cell r="K1167">
            <v>87</v>
          </cell>
          <cell r="L1167">
            <v>85</v>
          </cell>
        </row>
        <row r="1168">
          <cell r="D1168">
            <v>410084</v>
          </cell>
          <cell r="E1168" t="str">
            <v>רשות</v>
          </cell>
          <cell r="F1168" t="str">
            <v>הירוק ע"ש אריאל שרון</v>
          </cell>
          <cell r="G1168" t="str">
            <v>יסודי בלבד</v>
          </cell>
          <cell r="H1168" t="str">
            <v>כן</v>
          </cell>
          <cell r="I1168" t="str">
            <v>כן</v>
          </cell>
          <cell r="J1168" t="str">
            <v>כן</v>
          </cell>
          <cell r="K1168">
            <v>267</v>
          </cell>
          <cell r="L1168">
            <v>120</v>
          </cell>
        </row>
        <row r="1169">
          <cell r="D1169">
            <v>212811</v>
          </cell>
          <cell r="E1169" t="str">
            <v>רשות</v>
          </cell>
          <cell r="F1169" t="str">
            <v>נתיב מאיר-מעלות</v>
          </cell>
          <cell r="G1169" t="str">
            <v>יסודי בלבד</v>
          </cell>
          <cell r="H1169" t="str">
            <v>כן</v>
          </cell>
          <cell r="I1169" t="str">
            <v>כן</v>
          </cell>
          <cell r="J1169" t="str">
            <v>כן</v>
          </cell>
          <cell r="K1169">
            <v>153</v>
          </cell>
          <cell r="L1169">
            <v>55</v>
          </cell>
        </row>
        <row r="1170">
          <cell r="D1170">
            <v>682385</v>
          </cell>
          <cell r="E1170" t="str">
            <v/>
          </cell>
          <cell r="F1170" t="str">
            <v>בנות הדסה</v>
          </cell>
          <cell r="G1170" t="str">
            <v>יסודי בלבד</v>
          </cell>
          <cell r="H1170" t="str">
            <v>כן</v>
          </cell>
          <cell r="I1170" t="str">
            <v>כן</v>
          </cell>
          <cell r="J1170" t="str">
            <v>כן</v>
          </cell>
          <cell r="K1170">
            <v>138</v>
          </cell>
          <cell r="L1170">
            <v>138</v>
          </cell>
        </row>
        <row r="1171">
          <cell r="D1171">
            <v>611723</v>
          </cell>
          <cell r="E1171" t="str">
            <v>רשות</v>
          </cell>
          <cell r="F1171" t="str">
            <v>יצחק רבין</v>
          </cell>
          <cell r="G1171" t="str">
            <v>יסודי בלבד</v>
          </cell>
          <cell r="H1171" t="str">
            <v>כן</v>
          </cell>
          <cell r="I1171" t="str">
            <v>כן</v>
          </cell>
          <cell r="J1171" t="str">
            <v>כן</v>
          </cell>
          <cell r="K1171">
            <v>100</v>
          </cell>
          <cell r="L1171">
            <v>56</v>
          </cell>
        </row>
        <row r="1172">
          <cell r="D1172">
            <v>219501</v>
          </cell>
          <cell r="E1172" t="str">
            <v>רשות</v>
          </cell>
          <cell r="F1172" t="str">
            <v>גשרים</v>
          </cell>
          <cell r="G1172" t="str">
            <v>יסודי בלבד</v>
          </cell>
          <cell r="H1172" t="str">
            <v>כן</v>
          </cell>
          <cell r="I1172" t="str">
            <v>כן</v>
          </cell>
          <cell r="J1172" t="str">
            <v>כן</v>
          </cell>
          <cell r="K1172">
            <v>124</v>
          </cell>
          <cell r="L1172">
            <v>115</v>
          </cell>
        </row>
        <row r="1173">
          <cell r="D1173">
            <v>652677</v>
          </cell>
          <cell r="E1173" t="str">
            <v>רשות</v>
          </cell>
          <cell r="F1173" t="str">
            <v>שיח' סלימאן גבועה</v>
          </cell>
          <cell r="G1173" t="str">
            <v>יסודי בלבד</v>
          </cell>
          <cell r="H1173" t="str">
            <v>כן</v>
          </cell>
          <cell r="I1173" t="str">
            <v>כן</v>
          </cell>
          <cell r="J1173" t="str">
            <v>כן</v>
          </cell>
          <cell r="K1173">
            <v>138</v>
          </cell>
          <cell r="L1173">
            <v>80</v>
          </cell>
        </row>
        <row r="1174">
          <cell r="D1174">
            <v>474684</v>
          </cell>
          <cell r="E1174" t="str">
            <v/>
          </cell>
          <cell r="F1174" t="str">
            <v>הראשונים</v>
          </cell>
          <cell r="G1174" t="str">
            <v>יסודי בלבד</v>
          </cell>
          <cell r="H1174" t="str">
            <v>כן</v>
          </cell>
          <cell r="I1174" t="str">
            <v>כן</v>
          </cell>
          <cell r="J1174" t="str">
            <v>כן</v>
          </cell>
          <cell r="K1174">
            <v>202</v>
          </cell>
          <cell r="L1174">
            <v>98</v>
          </cell>
        </row>
        <row r="1175">
          <cell r="D1175">
            <v>410100</v>
          </cell>
          <cell r="E1175" t="str">
            <v>רשות</v>
          </cell>
          <cell r="F1175" t="str">
            <v>צאלון</v>
          </cell>
          <cell r="G1175" t="str">
            <v>יסודי בלבד</v>
          </cell>
          <cell r="H1175" t="str">
            <v>כן</v>
          </cell>
          <cell r="I1175" t="str">
            <v>כן</v>
          </cell>
          <cell r="J1175" t="str">
            <v>כן</v>
          </cell>
          <cell r="K1175">
            <v>280</v>
          </cell>
          <cell r="L1175">
            <v>133</v>
          </cell>
        </row>
        <row r="1176">
          <cell r="D1176">
            <v>218297</v>
          </cell>
          <cell r="E1176" t="str">
            <v>רשות</v>
          </cell>
          <cell r="F1176" t="str">
            <v>אבו אלרומאן טמרה ב</v>
          </cell>
          <cell r="G1176" t="str">
            <v>יסודי בלבד</v>
          </cell>
          <cell r="H1176" t="str">
            <v>כן</v>
          </cell>
          <cell r="I1176" t="str">
            <v>כן</v>
          </cell>
          <cell r="J1176" t="str">
            <v>כן</v>
          </cell>
          <cell r="K1176">
            <v>239</v>
          </cell>
          <cell r="L1176">
            <v>105</v>
          </cell>
        </row>
        <row r="1177">
          <cell r="D1177">
            <v>418129</v>
          </cell>
          <cell r="E1177" t="str">
            <v>רשות</v>
          </cell>
          <cell r="F1177" t="str">
            <v>אל מנאר</v>
          </cell>
          <cell r="G1177" t="str">
            <v>יסודי בלבד</v>
          </cell>
          <cell r="H1177" t="str">
            <v>כן</v>
          </cell>
          <cell r="I1177" t="str">
            <v>כן</v>
          </cell>
          <cell r="J1177" t="str">
            <v>כן</v>
          </cell>
          <cell r="K1177">
            <v>320</v>
          </cell>
          <cell r="L1177">
            <v>180</v>
          </cell>
        </row>
        <row r="1178">
          <cell r="D1178">
            <v>413583</v>
          </cell>
          <cell r="E1178" t="str">
            <v>רשות</v>
          </cell>
          <cell r="F1178" t="str">
            <v>ממ"ד ברויאר בנים</v>
          </cell>
          <cell r="G1178" t="str">
            <v>יסודי בלבד</v>
          </cell>
          <cell r="H1178" t="str">
            <v>כן</v>
          </cell>
          <cell r="I1178" t="str">
            <v>כן</v>
          </cell>
          <cell r="J1178" t="str">
            <v>כן</v>
          </cell>
          <cell r="K1178">
            <v>141</v>
          </cell>
          <cell r="L1178">
            <v>131</v>
          </cell>
        </row>
        <row r="1179">
          <cell r="D1179">
            <v>510115</v>
          </cell>
          <cell r="E1179" t="str">
            <v/>
          </cell>
          <cell r="F1179" t="str">
            <v>קוממיות</v>
          </cell>
          <cell r="G1179" t="str">
            <v>יסודי בלבד</v>
          </cell>
          <cell r="H1179" t="str">
            <v>כן</v>
          </cell>
          <cell r="I1179" t="str">
            <v>כן</v>
          </cell>
          <cell r="J1179" t="str">
            <v>לא</v>
          </cell>
          <cell r="K1179">
            <v>87</v>
          </cell>
          <cell r="L1179">
            <v>87</v>
          </cell>
        </row>
        <row r="1180">
          <cell r="D1180">
            <v>112284</v>
          </cell>
          <cell r="E1180" t="str">
            <v>רשות</v>
          </cell>
          <cell r="F1180" t="str">
            <v>חמ"ד תירוש</v>
          </cell>
          <cell r="G1180" t="str">
            <v>יסודי בלבד</v>
          </cell>
          <cell r="H1180" t="str">
            <v>כן</v>
          </cell>
          <cell r="I1180" t="str">
            <v>כן</v>
          </cell>
          <cell r="J1180" t="str">
            <v>כן</v>
          </cell>
          <cell r="K1180">
            <v>123</v>
          </cell>
          <cell r="L1180">
            <v>88</v>
          </cell>
        </row>
        <row r="1181">
          <cell r="D1181">
            <v>219279</v>
          </cell>
          <cell r="E1181" t="str">
            <v>רשות</v>
          </cell>
          <cell r="F1181" t="str">
            <v>יאפת נצרת א</v>
          </cell>
          <cell r="G1181" t="str">
            <v>יסודי בלבד</v>
          </cell>
          <cell r="H1181" t="str">
            <v>כן</v>
          </cell>
          <cell r="I1181" t="str">
            <v>כן</v>
          </cell>
          <cell r="J1181" t="str">
            <v>כן</v>
          </cell>
          <cell r="K1181">
            <v>240</v>
          </cell>
          <cell r="L1181">
            <v>110</v>
          </cell>
        </row>
        <row r="1182">
          <cell r="D1182">
            <v>211821</v>
          </cell>
          <cell r="E1182" t="str">
            <v>רשות</v>
          </cell>
          <cell r="F1182" t="str">
            <v>וייצמן-עכו</v>
          </cell>
          <cell r="G1182" t="str">
            <v>יסודי בלבד</v>
          </cell>
          <cell r="H1182" t="str">
            <v>כן</v>
          </cell>
          <cell r="I1182" t="str">
            <v>כן</v>
          </cell>
          <cell r="J1182" t="str">
            <v>כן</v>
          </cell>
          <cell r="K1182">
            <v>116</v>
          </cell>
          <cell r="L1182">
            <v>37</v>
          </cell>
        </row>
        <row r="1183">
          <cell r="D1183">
            <v>789099</v>
          </cell>
          <cell r="E1183" t="str">
            <v/>
          </cell>
          <cell r="F1183" t="str">
            <v>בית ספר תפארת תמר</v>
          </cell>
          <cell r="G1183" t="str">
            <v>יסודי בלבד</v>
          </cell>
          <cell r="H1183" t="str">
            <v>לא</v>
          </cell>
          <cell r="I1183" t="str">
            <v>לא</v>
          </cell>
          <cell r="J1183" t="str">
            <v>לא</v>
          </cell>
          <cell r="K1183">
            <v>0</v>
          </cell>
          <cell r="L1183">
            <v>0</v>
          </cell>
        </row>
        <row r="1184">
          <cell r="D1184">
            <v>412882</v>
          </cell>
          <cell r="E1184" t="str">
            <v>רשות</v>
          </cell>
          <cell r="F1184" t="str">
            <v>ממד בנות יסודי בית רבקה בוגרות</v>
          </cell>
          <cell r="G1184" t="str">
            <v>יסודי בלבד</v>
          </cell>
          <cell r="H1184" t="str">
            <v>לא</v>
          </cell>
          <cell r="I1184" t="str">
            <v>כן</v>
          </cell>
          <cell r="J1184" t="str">
            <v>כן</v>
          </cell>
          <cell r="K1184">
            <v>157</v>
          </cell>
          <cell r="L1184">
            <v>98</v>
          </cell>
        </row>
        <row r="1185">
          <cell r="D1185">
            <v>118216</v>
          </cell>
          <cell r="E1185" t="str">
            <v>רשות</v>
          </cell>
          <cell r="F1185" t="str">
            <v>עיסאויה לבנים</v>
          </cell>
          <cell r="G1185" t="str">
            <v>יסודי בלבד</v>
          </cell>
          <cell r="H1185" t="str">
            <v>כן</v>
          </cell>
          <cell r="I1185" t="str">
            <v>כן</v>
          </cell>
          <cell r="J1185" t="str">
            <v>כן</v>
          </cell>
          <cell r="K1185">
            <v>387</v>
          </cell>
          <cell r="L1185">
            <v>47</v>
          </cell>
        </row>
        <row r="1186">
          <cell r="D1186">
            <v>416164</v>
          </cell>
          <cell r="E1186" t="str">
            <v>רשות</v>
          </cell>
          <cell r="F1186" t="str">
            <v>מ"מ מנחם בגין</v>
          </cell>
          <cell r="G1186" t="str">
            <v>יסודי בלבד</v>
          </cell>
          <cell r="H1186" t="str">
            <v>כן</v>
          </cell>
          <cell r="I1186" t="str">
            <v>כן</v>
          </cell>
          <cell r="J1186" t="str">
            <v>כן</v>
          </cell>
          <cell r="K1186">
            <v>178</v>
          </cell>
          <cell r="L1186">
            <v>47</v>
          </cell>
        </row>
        <row r="1187">
          <cell r="D1187">
            <v>418327</v>
          </cell>
          <cell r="E1187" t="str">
            <v/>
          </cell>
          <cell r="F1187" t="str">
            <v>אלחכמה</v>
          </cell>
          <cell r="G1187" t="str">
            <v>יסודי בלבד</v>
          </cell>
          <cell r="H1187" t="str">
            <v>כן</v>
          </cell>
          <cell r="I1187" t="str">
            <v>כן</v>
          </cell>
          <cell r="J1187" t="str">
            <v>כן</v>
          </cell>
          <cell r="K1187">
            <v>496</v>
          </cell>
          <cell r="L1187">
            <v>72</v>
          </cell>
        </row>
        <row r="1188">
          <cell r="D1188">
            <v>415489</v>
          </cell>
          <cell r="E1188" t="str">
            <v/>
          </cell>
          <cell r="F1188" t="str">
            <v>הראל</v>
          </cell>
          <cell r="G1188" t="str">
            <v>יסודי בלבד</v>
          </cell>
          <cell r="H1188" t="str">
            <v>כן</v>
          </cell>
          <cell r="I1188" t="str">
            <v>כן</v>
          </cell>
          <cell r="J1188" t="str">
            <v>כן</v>
          </cell>
          <cell r="K1188">
            <v>215</v>
          </cell>
          <cell r="L1188">
            <v>139</v>
          </cell>
        </row>
        <row r="1189">
          <cell r="D1189">
            <v>681932</v>
          </cell>
          <cell r="E1189" t="str">
            <v/>
          </cell>
          <cell r="F1189" t="str">
            <v>חדשני נווה שרון</v>
          </cell>
          <cell r="G1189" t="str">
            <v>יסודי בלבד</v>
          </cell>
          <cell r="H1189" t="str">
            <v>לא</v>
          </cell>
          <cell r="I1189" t="str">
            <v>לא</v>
          </cell>
          <cell r="J1189" t="str">
            <v>לא</v>
          </cell>
          <cell r="K1189">
            <v>0</v>
          </cell>
          <cell r="L1189">
            <v>0</v>
          </cell>
        </row>
        <row r="1190">
          <cell r="D1190">
            <v>618140</v>
          </cell>
          <cell r="E1190" t="str">
            <v>רשות</v>
          </cell>
          <cell r="F1190" t="str">
            <v>ג'ובראן</v>
          </cell>
          <cell r="G1190" t="str">
            <v>יסודי בלבד</v>
          </cell>
          <cell r="H1190" t="str">
            <v>כן</v>
          </cell>
          <cell r="I1190" t="str">
            <v>כן</v>
          </cell>
          <cell r="J1190" t="str">
            <v>כן</v>
          </cell>
          <cell r="K1190">
            <v>153</v>
          </cell>
          <cell r="L1190">
            <v>153</v>
          </cell>
        </row>
        <row r="1191">
          <cell r="D1191">
            <v>615252</v>
          </cell>
          <cell r="E1191" t="str">
            <v>רשות</v>
          </cell>
          <cell r="F1191" t="str">
            <v>ים סוף ע"ש יצחק נבון</v>
          </cell>
          <cell r="G1191" t="str">
            <v>יסודי בלבד</v>
          </cell>
          <cell r="H1191" t="str">
            <v>כן</v>
          </cell>
          <cell r="I1191" t="str">
            <v>כן</v>
          </cell>
          <cell r="J1191" t="str">
            <v>כן</v>
          </cell>
          <cell r="K1191">
            <v>258</v>
          </cell>
          <cell r="L1191">
            <v>100</v>
          </cell>
        </row>
        <row r="1192">
          <cell r="D1192">
            <v>482083</v>
          </cell>
          <cell r="E1192" t="str">
            <v>רשות</v>
          </cell>
          <cell r="F1192" t="str">
            <v>ממ"ד בנות הר ברכה</v>
          </cell>
          <cell r="G1192" t="str">
            <v>יסודי בלבד</v>
          </cell>
          <cell r="H1192" t="str">
            <v>כן</v>
          </cell>
          <cell r="I1192" t="str">
            <v>כן</v>
          </cell>
          <cell r="J1192" t="str">
            <v>כן</v>
          </cell>
          <cell r="K1192">
            <v>145</v>
          </cell>
          <cell r="L1192">
            <v>82</v>
          </cell>
        </row>
        <row r="1193">
          <cell r="D1193">
            <v>416982</v>
          </cell>
          <cell r="E1193" t="str">
            <v>רשות</v>
          </cell>
          <cell r="F1193" t="str">
            <v>חמ"ד בורג</v>
          </cell>
          <cell r="G1193" t="str">
            <v>יסודי בלבד</v>
          </cell>
          <cell r="H1193" t="str">
            <v>כן</v>
          </cell>
          <cell r="I1193" t="str">
            <v>כן</v>
          </cell>
          <cell r="J1193" t="str">
            <v>לא</v>
          </cell>
          <cell r="K1193">
            <v>121</v>
          </cell>
          <cell r="L1193">
            <v>60</v>
          </cell>
        </row>
        <row r="1194">
          <cell r="D1194">
            <v>218826</v>
          </cell>
          <cell r="E1194" t="str">
            <v>רשות</v>
          </cell>
          <cell r="F1194" t="str">
            <v>יסודי עוזיר</v>
          </cell>
          <cell r="G1194" t="str">
            <v>יסודי בלבד</v>
          </cell>
          <cell r="H1194" t="str">
            <v>כן</v>
          </cell>
          <cell r="I1194" t="str">
            <v>כן</v>
          </cell>
          <cell r="J1194" t="str">
            <v>כן</v>
          </cell>
          <cell r="K1194">
            <v>159</v>
          </cell>
          <cell r="L1194">
            <v>150</v>
          </cell>
        </row>
        <row r="1195">
          <cell r="D1195">
            <v>318030</v>
          </cell>
          <cell r="E1195" t="str">
            <v>רשות</v>
          </cell>
          <cell r="F1195" t="str">
            <v>אבן סינא</v>
          </cell>
          <cell r="G1195" t="str">
            <v>יסודי בלבד</v>
          </cell>
          <cell r="H1195" t="str">
            <v>כן</v>
          </cell>
          <cell r="I1195" t="str">
            <v>כן</v>
          </cell>
          <cell r="J1195" t="str">
            <v>כן</v>
          </cell>
          <cell r="K1195">
            <v>234</v>
          </cell>
          <cell r="L1195">
            <v>62</v>
          </cell>
        </row>
        <row r="1196">
          <cell r="D1196">
            <v>612945</v>
          </cell>
          <cell r="E1196" t="str">
            <v>רשות</v>
          </cell>
          <cell r="F1196" t="str">
            <v>אביר יעקב</v>
          </cell>
          <cell r="G1196" t="str">
            <v>יסודי בלבד</v>
          </cell>
          <cell r="H1196" t="str">
            <v>כן</v>
          </cell>
          <cell r="I1196" t="str">
            <v>כן</v>
          </cell>
          <cell r="J1196" t="str">
            <v>לא</v>
          </cell>
          <cell r="K1196">
            <v>128</v>
          </cell>
          <cell r="L1196">
            <v>73</v>
          </cell>
        </row>
        <row r="1197">
          <cell r="D1197">
            <v>417105</v>
          </cell>
          <cell r="E1197" t="str">
            <v/>
          </cell>
          <cell r="F1197" t="str">
            <v>בית אב"י</v>
          </cell>
          <cell r="G1197" t="str">
            <v>יסודי בלבד</v>
          </cell>
          <cell r="H1197" t="str">
            <v>כן</v>
          </cell>
          <cell r="I1197" t="str">
            <v>כן</v>
          </cell>
          <cell r="J1197" t="str">
            <v>כן</v>
          </cell>
          <cell r="K1197">
            <v>268</v>
          </cell>
          <cell r="L1197">
            <v>61</v>
          </cell>
        </row>
        <row r="1198">
          <cell r="D1198">
            <v>118133</v>
          </cell>
          <cell r="E1198" t="str">
            <v>רשות</v>
          </cell>
          <cell r="F1198" t="str">
            <v>טור מכין לבנות</v>
          </cell>
          <cell r="G1198" t="str">
            <v>יסודי בלבד</v>
          </cell>
          <cell r="H1198" t="str">
            <v>כן</v>
          </cell>
          <cell r="I1198" t="str">
            <v>כן</v>
          </cell>
          <cell r="J1198" t="str">
            <v>כן</v>
          </cell>
          <cell r="K1198">
            <v>271</v>
          </cell>
          <cell r="L1198">
            <v>47</v>
          </cell>
        </row>
        <row r="1199">
          <cell r="D1199">
            <v>415224</v>
          </cell>
          <cell r="E1199" t="str">
            <v>רשות</v>
          </cell>
          <cell r="F1199" t="str">
            <v>מ"ד מעלות חיים</v>
          </cell>
          <cell r="G1199" t="str">
            <v>יסודי בלבד</v>
          </cell>
          <cell r="H1199" t="str">
            <v>כן</v>
          </cell>
          <cell r="I1199" t="str">
            <v>כן</v>
          </cell>
          <cell r="J1199" t="str">
            <v>כן</v>
          </cell>
          <cell r="K1199">
            <v>246</v>
          </cell>
          <cell r="L1199">
            <v>128</v>
          </cell>
        </row>
        <row r="1200">
          <cell r="D1200">
            <v>218503</v>
          </cell>
          <cell r="E1200" t="str">
            <v/>
          </cell>
          <cell r="F1200" t="str">
            <v>יסודי אלקנאטר מזרעה</v>
          </cell>
          <cell r="G1200" t="str">
            <v>יסודי בלבד</v>
          </cell>
          <cell r="H1200" t="str">
            <v>כן</v>
          </cell>
          <cell r="I1200" t="str">
            <v>כן</v>
          </cell>
          <cell r="J1200" t="str">
            <v>כן</v>
          </cell>
          <cell r="K1200">
            <v>211</v>
          </cell>
          <cell r="L1200">
            <v>189</v>
          </cell>
        </row>
        <row r="1201">
          <cell r="D1201">
            <v>643452</v>
          </cell>
          <cell r="E1201" t="str">
            <v>בעלות</v>
          </cell>
          <cell r="F1201" t="str">
            <v>ת"ת שערי חסד</v>
          </cell>
          <cell r="G1201" t="str">
            <v>יסודי בלבד</v>
          </cell>
          <cell r="H1201" t="str">
            <v>כן</v>
          </cell>
          <cell r="I1201" t="str">
            <v>כן</v>
          </cell>
          <cell r="J1201" t="str">
            <v>כן</v>
          </cell>
          <cell r="K1201">
            <v>82</v>
          </cell>
          <cell r="L1201">
            <v>82</v>
          </cell>
        </row>
        <row r="1202">
          <cell r="D1202">
            <v>384693</v>
          </cell>
          <cell r="E1202" t="str">
            <v>רשות</v>
          </cell>
          <cell r="F1202" t="str">
            <v>אקליל אלג'בל</v>
          </cell>
          <cell r="G1202" t="str">
            <v>יסודי בלבד</v>
          </cell>
          <cell r="H1202" t="str">
            <v>כן</v>
          </cell>
          <cell r="I1202" t="str">
            <v>כן</v>
          </cell>
          <cell r="J1202" t="str">
            <v>כן</v>
          </cell>
          <cell r="K1202">
            <v>76</v>
          </cell>
          <cell r="L1202">
            <v>42</v>
          </cell>
        </row>
        <row r="1203">
          <cell r="D1203">
            <v>614255</v>
          </cell>
          <cell r="E1203" t="str">
            <v>רשות</v>
          </cell>
          <cell r="F1203" t="str">
            <v>חב"ד</v>
          </cell>
          <cell r="G1203" t="str">
            <v>יסודי בלבד</v>
          </cell>
          <cell r="H1203" t="str">
            <v>כן</v>
          </cell>
          <cell r="I1203" t="str">
            <v>כן</v>
          </cell>
          <cell r="J1203" t="str">
            <v>כן</v>
          </cell>
          <cell r="K1203">
            <v>155</v>
          </cell>
          <cell r="L1203">
            <v>65</v>
          </cell>
        </row>
        <row r="1204">
          <cell r="D1204">
            <v>510024</v>
          </cell>
          <cell r="E1204" t="str">
            <v>רשות</v>
          </cell>
          <cell r="F1204" t="str">
            <v>אלונים</v>
          </cell>
          <cell r="G1204" t="str">
            <v>יסודי בלבד</v>
          </cell>
          <cell r="H1204" t="str">
            <v>כן</v>
          </cell>
          <cell r="I1204" t="str">
            <v>כן</v>
          </cell>
          <cell r="J1204" t="str">
            <v>כן</v>
          </cell>
          <cell r="K1204">
            <v>175</v>
          </cell>
          <cell r="L1204">
            <v>81</v>
          </cell>
        </row>
        <row r="1205">
          <cell r="D1205">
            <v>618785</v>
          </cell>
          <cell r="E1205" t="str">
            <v>רשות</v>
          </cell>
          <cell r="F1205" t="str">
            <v>ביר אלמשוש</v>
          </cell>
          <cell r="G1205" t="str">
            <v>יסודי בלבד</v>
          </cell>
          <cell r="H1205" t="str">
            <v>כן</v>
          </cell>
          <cell r="I1205" t="str">
            <v>כן</v>
          </cell>
          <cell r="J1205" t="str">
            <v>כן</v>
          </cell>
          <cell r="K1205">
            <v>175</v>
          </cell>
          <cell r="L1205">
            <v>90</v>
          </cell>
        </row>
        <row r="1206">
          <cell r="D1206">
            <v>618702</v>
          </cell>
          <cell r="E1206" t="str">
            <v>רשות</v>
          </cell>
          <cell r="F1206" t="str">
            <v>אל עזאזמה א</v>
          </cell>
          <cell r="G1206" t="str">
            <v>יסודי בלבד</v>
          </cell>
          <cell r="H1206" t="str">
            <v>כן</v>
          </cell>
          <cell r="I1206" t="str">
            <v>כן</v>
          </cell>
          <cell r="J1206" t="str">
            <v>כן</v>
          </cell>
          <cell r="K1206">
            <v>319</v>
          </cell>
          <cell r="L1206">
            <v>165</v>
          </cell>
        </row>
        <row r="1207">
          <cell r="D1207">
            <v>416347</v>
          </cell>
          <cell r="E1207" t="str">
            <v>בעלות</v>
          </cell>
          <cell r="F1207" t="str">
            <v>ת"ת פרי תואר</v>
          </cell>
          <cell r="G1207" t="str">
            <v>יסודי בלבד</v>
          </cell>
          <cell r="H1207" t="str">
            <v>כן</v>
          </cell>
          <cell r="I1207" t="str">
            <v>כן</v>
          </cell>
          <cell r="J1207" t="str">
            <v>כן</v>
          </cell>
          <cell r="K1207">
            <v>150</v>
          </cell>
          <cell r="L1207">
            <v>150</v>
          </cell>
        </row>
        <row r="1208">
          <cell r="D1208">
            <v>456921</v>
          </cell>
          <cell r="E1208" t="str">
            <v>רשות</v>
          </cell>
          <cell r="F1208" t="str">
            <v>קשת</v>
          </cell>
          <cell r="G1208" t="str">
            <v>יסודי בלבד</v>
          </cell>
          <cell r="H1208" t="str">
            <v>כן</v>
          </cell>
          <cell r="I1208" t="str">
            <v>כן</v>
          </cell>
          <cell r="J1208" t="str">
            <v>כן</v>
          </cell>
          <cell r="K1208">
            <v>192</v>
          </cell>
          <cell r="L1208">
            <v>171</v>
          </cell>
        </row>
        <row r="1209">
          <cell r="D1209">
            <v>219758</v>
          </cell>
          <cell r="E1209" t="str">
            <v>רשות</v>
          </cell>
          <cell r="F1209" t="str">
            <v>יסודי ג' בענה</v>
          </cell>
          <cell r="G1209" t="str">
            <v>יסודי בלבד</v>
          </cell>
          <cell r="H1209" t="str">
            <v>כן</v>
          </cell>
          <cell r="I1209" t="str">
            <v>כן</v>
          </cell>
          <cell r="J1209" t="str">
            <v>כן</v>
          </cell>
          <cell r="K1209">
            <v>112</v>
          </cell>
          <cell r="L1209">
            <v>75</v>
          </cell>
        </row>
        <row r="1210">
          <cell r="D1210">
            <v>613463</v>
          </cell>
          <cell r="E1210" t="str">
            <v>רשות</v>
          </cell>
          <cell r="F1210" t="str">
            <v>להבים</v>
          </cell>
          <cell r="G1210" t="str">
            <v>יסודי בלבד</v>
          </cell>
          <cell r="H1210" t="str">
            <v>כן</v>
          </cell>
          <cell r="I1210" t="str">
            <v>כן</v>
          </cell>
          <cell r="J1210" t="str">
            <v>כן</v>
          </cell>
          <cell r="K1210">
            <v>322</v>
          </cell>
          <cell r="L1210">
            <v>141</v>
          </cell>
        </row>
        <row r="1211">
          <cell r="D1211">
            <v>410134</v>
          </cell>
          <cell r="E1211" t="str">
            <v>רשות</v>
          </cell>
          <cell r="F1211" t="str">
            <v>ש"י עגנון</v>
          </cell>
          <cell r="G1211" t="str">
            <v>יסודי בלבד</v>
          </cell>
          <cell r="H1211" t="str">
            <v>כן</v>
          </cell>
          <cell r="I1211" t="str">
            <v>כן</v>
          </cell>
          <cell r="J1211" t="str">
            <v>כן</v>
          </cell>
          <cell r="K1211">
            <v>321</v>
          </cell>
          <cell r="L1211">
            <v>51</v>
          </cell>
        </row>
        <row r="1212">
          <cell r="D1212">
            <v>612994</v>
          </cell>
          <cell r="E1212" t="str">
            <v>רשות</v>
          </cell>
          <cell r="F1212" t="str">
            <v>חב"ד בנים</v>
          </cell>
          <cell r="G1212" t="str">
            <v>יסודי בלבד</v>
          </cell>
          <cell r="H1212" t="str">
            <v>כן</v>
          </cell>
          <cell r="I1212" t="str">
            <v>כן</v>
          </cell>
          <cell r="J1212" t="str">
            <v>כן</v>
          </cell>
          <cell r="K1212">
            <v>266</v>
          </cell>
          <cell r="L1212">
            <v>266</v>
          </cell>
        </row>
        <row r="1213">
          <cell r="D1213">
            <v>247429</v>
          </cell>
          <cell r="E1213" t="str">
            <v/>
          </cell>
          <cell r="F1213" t="str">
            <v>יסודי ו'</v>
          </cell>
          <cell r="G1213" t="str">
            <v>יסודי בלבד</v>
          </cell>
          <cell r="H1213" t="str">
            <v>כן</v>
          </cell>
          <cell r="I1213" t="str">
            <v>כן</v>
          </cell>
          <cell r="J1213" t="str">
            <v>כן</v>
          </cell>
          <cell r="K1213">
            <v>177</v>
          </cell>
          <cell r="L1213">
            <v>45</v>
          </cell>
        </row>
        <row r="1214">
          <cell r="D1214">
            <v>112367</v>
          </cell>
          <cell r="E1214" t="str">
            <v>רשות</v>
          </cell>
          <cell r="F1214" t="str">
            <v>מגילות</v>
          </cell>
          <cell r="G1214" t="str">
            <v>יסודי בלבד</v>
          </cell>
          <cell r="H1214" t="str">
            <v>כן</v>
          </cell>
          <cell r="I1214" t="str">
            <v>כן</v>
          </cell>
          <cell r="J1214" t="str">
            <v>כן</v>
          </cell>
          <cell r="K1214">
            <v>135</v>
          </cell>
          <cell r="L1214">
            <v>60</v>
          </cell>
        </row>
        <row r="1215">
          <cell r="D1215">
            <v>410308</v>
          </cell>
          <cell r="E1215" t="str">
            <v/>
          </cell>
          <cell r="F1215" t="str">
            <v>ממלכתי מאוחד יובלים</v>
          </cell>
          <cell r="G1215" t="str">
            <v>יסודי בלבד</v>
          </cell>
          <cell r="H1215" t="str">
            <v>כן</v>
          </cell>
          <cell r="I1215" t="str">
            <v>כן</v>
          </cell>
          <cell r="J1215" t="str">
            <v>כן</v>
          </cell>
          <cell r="K1215">
            <v>323</v>
          </cell>
          <cell r="L1215">
            <v>48</v>
          </cell>
        </row>
        <row r="1216">
          <cell r="D1216">
            <v>312173</v>
          </cell>
          <cell r="E1216" t="str">
            <v>רשות</v>
          </cell>
          <cell r="F1216" t="str">
            <v>אמירים</v>
          </cell>
          <cell r="G1216" t="str">
            <v>יסודי בלבד</v>
          </cell>
          <cell r="H1216" t="str">
            <v>כן</v>
          </cell>
          <cell r="I1216" t="str">
            <v>כן</v>
          </cell>
          <cell r="J1216" t="str">
            <v>כן</v>
          </cell>
          <cell r="K1216">
            <v>204</v>
          </cell>
          <cell r="L1216">
            <v>80</v>
          </cell>
        </row>
        <row r="1217">
          <cell r="D1217">
            <v>484139</v>
          </cell>
          <cell r="E1217" t="str">
            <v>רשות</v>
          </cell>
          <cell r="F1217" t="str">
            <v>יצחק נבון</v>
          </cell>
          <cell r="G1217" t="str">
            <v>יסודי בלבד</v>
          </cell>
          <cell r="H1217" t="str">
            <v>כן</v>
          </cell>
          <cell r="I1217" t="str">
            <v>כן</v>
          </cell>
          <cell r="J1217" t="str">
            <v>כן</v>
          </cell>
          <cell r="K1217">
            <v>155</v>
          </cell>
          <cell r="L1217">
            <v>80</v>
          </cell>
        </row>
        <row r="1218">
          <cell r="D1218">
            <v>618322</v>
          </cell>
          <cell r="E1218" t="str">
            <v>רשות</v>
          </cell>
          <cell r="F1218" t="str">
            <v>עומר בן אלח'טאב</v>
          </cell>
          <cell r="G1218" t="str">
            <v>יסודי בלבד</v>
          </cell>
          <cell r="H1218" t="str">
            <v>כן</v>
          </cell>
          <cell r="I1218" t="str">
            <v>כן</v>
          </cell>
          <cell r="J1218" t="str">
            <v>כן</v>
          </cell>
          <cell r="K1218">
            <v>410</v>
          </cell>
          <cell r="L1218">
            <v>140</v>
          </cell>
        </row>
        <row r="1219">
          <cell r="D1219">
            <v>480152</v>
          </cell>
          <cell r="E1219" t="str">
            <v>רשות</v>
          </cell>
          <cell r="F1219" t="str">
            <v>איילות</v>
          </cell>
          <cell r="G1219" t="str">
            <v>יסודי בלבד</v>
          </cell>
          <cell r="H1219" t="str">
            <v>כן</v>
          </cell>
          <cell r="I1219" t="str">
            <v>כן</v>
          </cell>
          <cell r="J1219" t="str">
            <v>כן</v>
          </cell>
          <cell r="K1219">
            <v>369</v>
          </cell>
          <cell r="L1219">
            <v>132</v>
          </cell>
        </row>
        <row r="1220">
          <cell r="D1220">
            <v>414847</v>
          </cell>
          <cell r="E1220" t="str">
            <v>רשות</v>
          </cell>
          <cell r="F1220" t="str">
            <v>אופק</v>
          </cell>
          <cell r="G1220" t="str">
            <v>יסודי בלבד</v>
          </cell>
          <cell r="H1220" t="str">
            <v>כן</v>
          </cell>
          <cell r="I1220" t="str">
            <v>כן</v>
          </cell>
          <cell r="J1220" t="str">
            <v>כן</v>
          </cell>
          <cell r="K1220">
            <v>188</v>
          </cell>
          <cell r="L1220">
            <v>80</v>
          </cell>
        </row>
        <row r="1221">
          <cell r="D1221">
            <v>179754</v>
          </cell>
          <cell r="E1221" t="str">
            <v/>
          </cell>
          <cell r="F1221" t="str">
            <v>כפר עקב חדש</v>
          </cell>
          <cell r="G1221" t="str">
            <v>יסודי בלבד</v>
          </cell>
          <cell r="H1221" t="str">
            <v>כן</v>
          </cell>
          <cell r="I1221" t="str">
            <v>כן</v>
          </cell>
          <cell r="J1221" t="str">
            <v>כן</v>
          </cell>
          <cell r="K1221">
            <v>192</v>
          </cell>
          <cell r="L1221">
            <v>104</v>
          </cell>
        </row>
        <row r="1222">
          <cell r="D1222">
            <v>510560</v>
          </cell>
          <cell r="E1222" t="str">
            <v>רשות</v>
          </cell>
          <cell r="F1222" t="str">
            <v>כצנלסון</v>
          </cell>
          <cell r="G1222" t="str">
            <v>יסודי בלבד</v>
          </cell>
          <cell r="H1222" t="str">
            <v>כן</v>
          </cell>
          <cell r="I1222" t="str">
            <v>כן</v>
          </cell>
          <cell r="J1222" t="str">
            <v>לא</v>
          </cell>
          <cell r="K1222">
            <v>179</v>
          </cell>
          <cell r="L1222">
            <v>70</v>
          </cell>
        </row>
        <row r="1223">
          <cell r="D1223">
            <v>641639</v>
          </cell>
          <cell r="E1223" t="str">
            <v>רשות</v>
          </cell>
          <cell r="F1223" t="str">
            <v>גשר ממ"ד</v>
          </cell>
          <cell r="G1223" t="str">
            <v>יסודי בלבד</v>
          </cell>
          <cell r="H1223" t="str">
            <v>כן</v>
          </cell>
          <cell r="I1223" t="str">
            <v>כן</v>
          </cell>
          <cell r="J1223" t="str">
            <v>כן</v>
          </cell>
          <cell r="K1223">
            <v>109</v>
          </cell>
          <cell r="L1223">
            <v>91</v>
          </cell>
        </row>
        <row r="1224">
          <cell r="D1224">
            <v>370544</v>
          </cell>
          <cell r="E1224" t="str">
            <v/>
          </cell>
          <cell r="F1224" t="str">
            <v>אלנור</v>
          </cell>
          <cell r="G1224" t="str">
            <v>יסודי בלבד</v>
          </cell>
          <cell r="H1224" t="str">
            <v>כן</v>
          </cell>
          <cell r="I1224" t="str">
            <v>כן</v>
          </cell>
          <cell r="J1224" t="str">
            <v>כן</v>
          </cell>
          <cell r="K1224">
            <v>178</v>
          </cell>
          <cell r="L1224">
            <v>60</v>
          </cell>
        </row>
        <row r="1225">
          <cell r="D1225">
            <v>615989</v>
          </cell>
          <cell r="E1225" t="str">
            <v>רשות</v>
          </cell>
          <cell r="F1225" t="str">
            <v>תלמוד תורה חב"ד</v>
          </cell>
          <cell r="G1225" t="str">
            <v>יסודי בלבד</v>
          </cell>
          <cell r="H1225" t="str">
            <v>כן</v>
          </cell>
          <cell r="I1225" t="str">
            <v>כן</v>
          </cell>
          <cell r="J1225" t="str">
            <v>כן</v>
          </cell>
          <cell r="K1225">
            <v>54</v>
          </cell>
          <cell r="L1225">
            <v>54</v>
          </cell>
        </row>
        <row r="1226">
          <cell r="D1226">
            <v>681395</v>
          </cell>
          <cell r="E1226" t="str">
            <v>רשות</v>
          </cell>
          <cell r="F1226" t="str">
            <v>ממ"ח בנות עפולה</v>
          </cell>
          <cell r="G1226" t="str">
            <v>יסודי בלבד</v>
          </cell>
          <cell r="H1226" t="str">
            <v>כן</v>
          </cell>
          <cell r="I1226" t="str">
            <v>לא</v>
          </cell>
          <cell r="J1226" t="str">
            <v>לא</v>
          </cell>
          <cell r="K1226">
            <v>22</v>
          </cell>
          <cell r="L1226">
            <v>22</v>
          </cell>
        </row>
        <row r="1227">
          <cell r="D1227">
            <v>418152</v>
          </cell>
          <cell r="E1227" t="str">
            <v/>
          </cell>
          <cell r="F1227" t="str">
            <v>אבן רושד</v>
          </cell>
          <cell r="G1227" t="str">
            <v>יסודי בלבד</v>
          </cell>
          <cell r="H1227" t="str">
            <v>כן</v>
          </cell>
          <cell r="I1227" t="str">
            <v>כן</v>
          </cell>
          <cell r="J1227" t="str">
            <v>כן</v>
          </cell>
          <cell r="K1227">
            <v>201</v>
          </cell>
          <cell r="L1227">
            <v>68</v>
          </cell>
        </row>
        <row r="1228">
          <cell r="D1228">
            <v>436717</v>
          </cell>
          <cell r="E1228" t="str">
            <v>רשות</v>
          </cell>
          <cell r="F1228" t="str">
            <v>לביא</v>
          </cell>
          <cell r="G1228" t="str">
            <v>יסודי בלבד</v>
          </cell>
          <cell r="H1228" t="str">
            <v>כן</v>
          </cell>
          <cell r="I1228" t="str">
            <v>כן</v>
          </cell>
          <cell r="J1228" t="str">
            <v>כן</v>
          </cell>
          <cell r="K1228">
            <v>171</v>
          </cell>
          <cell r="L1228">
            <v>47</v>
          </cell>
        </row>
        <row r="1229">
          <cell r="D1229">
            <v>311613</v>
          </cell>
          <cell r="E1229" t="str">
            <v>רשות</v>
          </cell>
          <cell r="F1229" t="str">
            <v>ויצמן</v>
          </cell>
          <cell r="G1229" t="str">
            <v>יסודי בלבד</v>
          </cell>
          <cell r="H1229" t="str">
            <v>כן</v>
          </cell>
          <cell r="I1229" t="str">
            <v>כן</v>
          </cell>
          <cell r="J1229" t="str">
            <v>כן</v>
          </cell>
          <cell r="K1229">
            <v>223</v>
          </cell>
          <cell r="L1229">
            <v>104</v>
          </cell>
        </row>
        <row r="1230">
          <cell r="D1230">
            <v>219220</v>
          </cell>
          <cell r="E1230" t="str">
            <v>רשות</v>
          </cell>
          <cell r="F1230" t="str">
            <v>אלמחבה ע"ש נגיב ניקולא</v>
          </cell>
          <cell r="G1230" t="str">
            <v>יסודי בלבד</v>
          </cell>
          <cell r="H1230" t="str">
            <v>כן</v>
          </cell>
          <cell r="I1230" t="str">
            <v>כן</v>
          </cell>
          <cell r="J1230" t="str">
            <v>כן</v>
          </cell>
          <cell r="K1230">
            <v>140</v>
          </cell>
          <cell r="L1230">
            <v>112</v>
          </cell>
        </row>
        <row r="1231">
          <cell r="D1231">
            <v>413096</v>
          </cell>
          <cell r="E1231" t="str">
            <v>רשות</v>
          </cell>
          <cell r="F1231" t="str">
            <v>הממלכתי צוקים</v>
          </cell>
          <cell r="G1231" t="str">
            <v>יסודי בלבד</v>
          </cell>
          <cell r="H1231" t="str">
            <v>כן</v>
          </cell>
          <cell r="I1231" t="str">
            <v>כן</v>
          </cell>
          <cell r="J1231" t="str">
            <v>כן</v>
          </cell>
          <cell r="K1231">
            <v>183</v>
          </cell>
          <cell r="L1231">
            <v>86</v>
          </cell>
        </row>
        <row r="1232">
          <cell r="D1232">
            <v>475061</v>
          </cell>
          <cell r="E1232" t="str">
            <v>רשות</v>
          </cell>
          <cell r="F1232" t="str">
            <v>עתידים</v>
          </cell>
          <cell r="G1232" t="str">
            <v>יסודי בלבד</v>
          </cell>
          <cell r="H1232" t="str">
            <v>כן</v>
          </cell>
          <cell r="I1232" t="str">
            <v>כן</v>
          </cell>
          <cell r="J1232" t="str">
            <v>כן</v>
          </cell>
          <cell r="K1232">
            <v>301</v>
          </cell>
          <cell r="L1232">
            <v>74</v>
          </cell>
        </row>
        <row r="1233">
          <cell r="D1233">
            <v>411934</v>
          </cell>
          <cell r="E1233" t="str">
            <v>רשות</v>
          </cell>
          <cell r="F1233" t="str">
            <v>ממ"ד ישורון</v>
          </cell>
          <cell r="G1233" t="str">
            <v>יסודי בלבד</v>
          </cell>
          <cell r="H1233" t="str">
            <v>כן</v>
          </cell>
          <cell r="I1233" t="str">
            <v>כן</v>
          </cell>
          <cell r="J1233" t="str">
            <v>לא</v>
          </cell>
          <cell r="K1233">
            <v>134</v>
          </cell>
          <cell r="L1233">
            <v>45</v>
          </cell>
        </row>
        <row r="1234">
          <cell r="D1234">
            <v>318600</v>
          </cell>
          <cell r="E1234" t="str">
            <v>רשות</v>
          </cell>
          <cell r="F1234" t="str">
            <v>אל-פארוק</v>
          </cell>
          <cell r="G1234" t="str">
            <v>יסודי בלבד</v>
          </cell>
          <cell r="H1234" t="str">
            <v>כן</v>
          </cell>
          <cell r="I1234" t="str">
            <v>כן</v>
          </cell>
          <cell r="J1234" t="str">
            <v>כן</v>
          </cell>
          <cell r="K1234">
            <v>319</v>
          </cell>
          <cell r="L1234">
            <v>171</v>
          </cell>
        </row>
        <row r="1235">
          <cell r="D1235">
            <v>218123</v>
          </cell>
          <cell r="E1235" t="str">
            <v>רשות</v>
          </cell>
          <cell r="F1235" t="str">
            <v>אלראזי- ג'דידה</v>
          </cell>
          <cell r="G1235" t="str">
            <v>יסודי בלבד</v>
          </cell>
          <cell r="H1235" t="str">
            <v>כן</v>
          </cell>
          <cell r="I1235" t="str">
            <v>כן</v>
          </cell>
          <cell r="J1235" t="str">
            <v>כן</v>
          </cell>
          <cell r="K1235">
            <v>227</v>
          </cell>
          <cell r="L1235">
            <v>120</v>
          </cell>
        </row>
        <row r="1236">
          <cell r="D1236">
            <v>411660</v>
          </cell>
          <cell r="E1236" t="str">
            <v/>
          </cell>
          <cell r="F1236" t="str">
            <v>קרול</v>
          </cell>
          <cell r="G1236" t="str">
            <v>יסודי בלבד</v>
          </cell>
          <cell r="H1236" t="str">
            <v>כן</v>
          </cell>
          <cell r="I1236" t="str">
            <v>כן</v>
          </cell>
          <cell r="J1236" t="str">
            <v>כן</v>
          </cell>
          <cell r="K1236">
            <v>177</v>
          </cell>
          <cell r="L1236">
            <v>91</v>
          </cell>
        </row>
        <row r="1237">
          <cell r="D1237">
            <v>415257</v>
          </cell>
          <cell r="E1237" t="str">
            <v>רשות</v>
          </cell>
          <cell r="F1237" t="str">
            <v>המגן</v>
          </cell>
          <cell r="G1237" t="str">
            <v>יסודי בלבד</v>
          </cell>
          <cell r="H1237" t="str">
            <v>כן</v>
          </cell>
          <cell r="I1237" t="str">
            <v>כן</v>
          </cell>
          <cell r="J1237" t="str">
            <v>כן</v>
          </cell>
          <cell r="K1237">
            <v>215</v>
          </cell>
          <cell r="L1237">
            <v>70</v>
          </cell>
        </row>
        <row r="1238">
          <cell r="D1238">
            <v>414094</v>
          </cell>
          <cell r="E1238" t="str">
            <v>רשות</v>
          </cell>
          <cell r="F1238" t="str">
            <v>שריד</v>
          </cell>
          <cell r="G1238" t="str">
            <v>יסודי בלבד</v>
          </cell>
          <cell r="H1238" t="str">
            <v>כן</v>
          </cell>
          <cell r="I1238" t="str">
            <v>כן</v>
          </cell>
          <cell r="J1238" t="str">
            <v>כן</v>
          </cell>
          <cell r="K1238">
            <v>218</v>
          </cell>
          <cell r="L1238">
            <v>40</v>
          </cell>
        </row>
        <row r="1239">
          <cell r="D1239">
            <v>338376</v>
          </cell>
          <cell r="E1239" t="str">
            <v>רשות</v>
          </cell>
          <cell r="F1239" t="str">
            <v>בי"ס יסודי אלקודס</v>
          </cell>
          <cell r="G1239" t="str">
            <v>יסודי בלבד</v>
          </cell>
          <cell r="H1239" t="str">
            <v>כן</v>
          </cell>
          <cell r="I1239" t="str">
            <v>כן</v>
          </cell>
          <cell r="J1239" t="str">
            <v>כן</v>
          </cell>
          <cell r="K1239">
            <v>210</v>
          </cell>
          <cell r="L1239">
            <v>46</v>
          </cell>
        </row>
        <row r="1240">
          <cell r="D1240">
            <v>415885</v>
          </cell>
          <cell r="E1240" t="str">
            <v/>
          </cell>
          <cell r="F1240" t="str">
            <v>שקד -לב הפארק</v>
          </cell>
          <cell r="G1240" t="str">
            <v>יסודי בלבד</v>
          </cell>
          <cell r="H1240" t="str">
            <v>כן</v>
          </cell>
          <cell r="I1240" t="str">
            <v>כן</v>
          </cell>
          <cell r="J1240" t="str">
            <v>כן</v>
          </cell>
          <cell r="K1240">
            <v>334</v>
          </cell>
          <cell r="L1240">
            <v>89</v>
          </cell>
        </row>
        <row r="1241">
          <cell r="D1241">
            <v>217448</v>
          </cell>
          <cell r="E1241" t="str">
            <v/>
          </cell>
          <cell r="F1241" t="str">
            <v>אלנהדה ירכא</v>
          </cell>
          <cell r="G1241" t="str">
            <v>יסודי בלבד</v>
          </cell>
          <cell r="H1241" t="str">
            <v>כן</v>
          </cell>
          <cell r="I1241" t="str">
            <v>כן</v>
          </cell>
          <cell r="J1241" t="str">
            <v>כן</v>
          </cell>
          <cell r="K1241">
            <v>155</v>
          </cell>
          <cell r="L1241">
            <v>54</v>
          </cell>
        </row>
        <row r="1242">
          <cell r="D1242">
            <v>415133</v>
          </cell>
          <cell r="E1242" t="str">
            <v>רשות</v>
          </cell>
          <cell r="F1242" t="str">
            <v>ממלכתי אפק</v>
          </cell>
          <cell r="G1242" t="str">
            <v>יסודי בלבד</v>
          </cell>
          <cell r="H1242" t="str">
            <v>כן</v>
          </cell>
          <cell r="I1242" t="str">
            <v>כן</v>
          </cell>
          <cell r="J1242" t="str">
            <v>לא</v>
          </cell>
          <cell r="K1242">
            <v>135</v>
          </cell>
          <cell r="L1242">
            <v>60</v>
          </cell>
        </row>
        <row r="1243">
          <cell r="D1243">
            <v>213918</v>
          </cell>
          <cell r="E1243" t="str">
            <v>רשות</v>
          </cell>
          <cell r="F1243" t="str">
            <v>הר נוף</v>
          </cell>
          <cell r="G1243" t="str">
            <v>יסודי בלבד</v>
          </cell>
          <cell r="H1243" t="str">
            <v>כן</v>
          </cell>
          <cell r="I1243" t="str">
            <v>כן</v>
          </cell>
          <cell r="J1243" t="str">
            <v>כן</v>
          </cell>
          <cell r="K1243">
            <v>188</v>
          </cell>
          <cell r="L1243">
            <v>92</v>
          </cell>
        </row>
        <row r="1244">
          <cell r="D1244">
            <v>178145</v>
          </cell>
          <cell r="E1244" t="str">
            <v>רשות</v>
          </cell>
          <cell r="F1244" t="str">
            <v>סלואן יסודי חדש</v>
          </cell>
          <cell r="G1244" t="str">
            <v>יסודי בלבד</v>
          </cell>
          <cell r="H1244" t="str">
            <v>כן</v>
          </cell>
          <cell r="I1244" t="str">
            <v>כן</v>
          </cell>
          <cell r="J1244" t="str">
            <v>כן</v>
          </cell>
          <cell r="K1244">
            <v>181</v>
          </cell>
          <cell r="L1244">
            <v>70</v>
          </cell>
        </row>
        <row r="1245">
          <cell r="D1245">
            <v>418277</v>
          </cell>
          <cell r="E1245" t="str">
            <v>רשות</v>
          </cell>
          <cell r="F1245" t="str">
            <v>אל מנאר</v>
          </cell>
          <cell r="G1245" t="str">
            <v>יסודי בלבד</v>
          </cell>
          <cell r="H1245" t="str">
            <v>כן</v>
          </cell>
          <cell r="I1245" t="str">
            <v>כן</v>
          </cell>
          <cell r="J1245" t="str">
            <v>כן</v>
          </cell>
          <cell r="K1245">
            <v>82</v>
          </cell>
          <cell r="L1245">
            <v>48</v>
          </cell>
        </row>
        <row r="1246">
          <cell r="D1246">
            <v>484048</v>
          </cell>
          <cell r="E1246" t="str">
            <v>רשות</v>
          </cell>
          <cell r="F1246" t="str">
            <v>יצחק נבון</v>
          </cell>
          <cell r="G1246" t="str">
            <v>יסודי בלבד</v>
          </cell>
          <cell r="H1246" t="str">
            <v>כן</v>
          </cell>
          <cell r="I1246" t="str">
            <v>כן</v>
          </cell>
          <cell r="J1246" t="str">
            <v>לא</v>
          </cell>
          <cell r="K1246">
            <v>183</v>
          </cell>
          <cell r="L1246">
            <v>183</v>
          </cell>
        </row>
        <row r="1247">
          <cell r="D1247">
            <v>118307</v>
          </cell>
          <cell r="E1247" t="str">
            <v>רשות</v>
          </cell>
          <cell r="F1247" t="str">
            <v>עמריה</v>
          </cell>
          <cell r="G1247" t="str">
            <v>יסודי בלבד</v>
          </cell>
          <cell r="H1247" t="str">
            <v>כן</v>
          </cell>
          <cell r="I1247" t="str">
            <v>כן</v>
          </cell>
          <cell r="J1247" t="str">
            <v>כן</v>
          </cell>
          <cell r="K1247">
            <v>114</v>
          </cell>
          <cell r="L1247">
            <v>35</v>
          </cell>
        </row>
        <row r="1248">
          <cell r="D1248">
            <v>412064</v>
          </cell>
          <cell r="E1248" t="str">
            <v>רשות</v>
          </cell>
          <cell r="F1248" t="str">
            <v>ממ"ד סיני</v>
          </cell>
          <cell r="G1248" t="str">
            <v>יסודי בלבד</v>
          </cell>
          <cell r="H1248" t="str">
            <v>כן</v>
          </cell>
          <cell r="I1248" t="str">
            <v>כן</v>
          </cell>
          <cell r="J1248" t="str">
            <v>כן</v>
          </cell>
          <cell r="K1248">
            <v>210</v>
          </cell>
          <cell r="L1248">
            <v>55</v>
          </cell>
        </row>
        <row r="1249">
          <cell r="D1249">
            <v>614511</v>
          </cell>
          <cell r="E1249" t="str">
            <v>רשות</v>
          </cell>
          <cell r="F1249" t="str">
            <v>דביר</v>
          </cell>
          <cell r="G1249" t="str">
            <v>יסודי בלבד</v>
          </cell>
          <cell r="H1249" t="str">
            <v>כן</v>
          </cell>
          <cell r="I1249" t="str">
            <v>כן</v>
          </cell>
          <cell r="J1249" t="str">
            <v>כן</v>
          </cell>
          <cell r="K1249">
            <v>88</v>
          </cell>
          <cell r="L1249">
            <v>62</v>
          </cell>
        </row>
        <row r="1250">
          <cell r="D1250">
            <v>112482</v>
          </cell>
          <cell r="E1250" t="str">
            <v>רשות</v>
          </cell>
          <cell r="F1250" t="str">
            <v>פסגת זאב ממלכתי א</v>
          </cell>
          <cell r="G1250" t="str">
            <v>יסודי בלבד</v>
          </cell>
          <cell r="H1250" t="str">
            <v>כן</v>
          </cell>
          <cell r="I1250" t="str">
            <v>כן</v>
          </cell>
          <cell r="J1250" t="str">
            <v>כן</v>
          </cell>
          <cell r="K1250">
            <v>116</v>
          </cell>
          <cell r="L1250">
            <v>51</v>
          </cell>
        </row>
        <row r="1251">
          <cell r="D1251">
            <v>222364</v>
          </cell>
          <cell r="E1251" t="str">
            <v>רשות</v>
          </cell>
          <cell r="F1251" t="str">
            <v>יסודי ה'</v>
          </cell>
          <cell r="G1251" t="str">
            <v>יסודי בלבד</v>
          </cell>
          <cell r="H1251" t="str">
            <v>כן</v>
          </cell>
          <cell r="I1251" t="str">
            <v>כן</v>
          </cell>
          <cell r="J1251" t="str">
            <v>כן</v>
          </cell>
          <cell r="K1251">
            <v>226</v>
          </cell>
          <cell r="L1251">
            <v>215</v>
          </cell>
        </row>
        <row r="1252">
          <cell r="D1252">
            <v>318873</v>
          </cell>
          <cell r="E1252" t="str">
            <v>רשות</v>
          </cell>
          <cell r="F1252" t="str">
            <v>יסודי שכ' קחאוש</v>
          </cell>
          <cell r="G1252" t="str">
            <v>יסודי בלבד</v>
          </cell>
          <cell r="H1252" t="str">
            <v>כן</v>
          </cell>
          <cell r="I1252" t="str">
            <v>כן</v>
          </cell>
          <cell r="J1252" t="str">
            <v>כן</v>
          </cell>
          <cell r="K1252">
            <v>362</v>
          </cell>
          <cell r="L1252">
            <v>53</v>
          </cell>
        </row>
        <row r="1253">
          <cell r="D1253">
            <v>682203</v>
          </cell>
          <cell r="E1253" t="str">
            <v>רשות</v>
          </cell>
          <cell r="F1253" t="str">
            <v>שדות רוחמה</v>
          </cell>
          <cell r="G1253" t="str">
            <v>יסודי בלבד</v>
          </cell>
          <cell r="H1253" t="str">
            <v>כן</v>
          </cell>
          <cell r="I1253" t="str">
            <v>כן</v>
          </cell>
          <cell r="J1253" t="str">
            <v>כן</v>
          </cell>
          <cell r="K1253">
            <v>51</v>
          </cell>
          <cell r="L1253">
            <v>42</v>
          </cell>
        </row>
        <row r="1254">
          <cell r="D1254">
            <v>412122</v>
          </cell>
          <cell r="E1254" t="str">
            <v>רשות</v>
          </cell>
          <cell r="F1254" t="str">
            <v>מענית</v>
          </cell>
          <cell r="G1254" t="str">
            <v>יסודי בלבד</v>
          </cell>
          <cell r="H1254" t="str">
            <v>כן</v>
          </cell>
          <cell r="I1254" t="str">
            <v>כן</v>
          </cell>
          <cell r="J1254" t="str">
            <v>לא</v>
          </cell>
          <cell r="K1254">
            <v>70</v>
          </cell>
          <cell r="L1254">
            <v>50</v>
          </cell>
        </row>
        <row r="1255">
          <cell r="D1255">
            <v>219469</v>
          </cell>
          <cell r="E1255" t="str">
            <v>רשות</v>
          </cell>
          <cell r="F1255" t="str">
            <v>אלנור - ג'דידה</v>
          </cell>
          <cell r="G1255" t="str">
            <v>יסודי בלבד</v>
          </cell>
          <cell r="H1255" t="str">
            <v>כן</v>
          </cell>
          <cell r="I1255" t="str">
            <v>כן</v>
          </cell>
          <cell r="J1255" t="str">
            <v>כן</v>
          </cell>
          <cell r="K1255">
            <v>219</v>
          </cell>
          <cell r="L1255">
            <v>105</v>
          </cell>
        </row>
        <row r="1256">
          <cell r="D1256">
            <v>112219</v>
          </cell>
          <cell r="E1256" t="str">
            <v>רשות</v>
          </cell>
          <cell r="F1256" t="str">
            <v>רמות ממ"ד ב'</v>
          </cell>
          <cell r="G1256" t="str">
            <v>יסודי בלבד</v>
          </cell>
          <cell r="H1256" t="str">
            <v>כן</v>
          </cell>
          <cell r="I1256" t="str">
            <v>כן</v>
          </cell>
          <cell r="J1256" t="str">
            <v>כן</v>
          </cell>
          <cell r="K1256">
            <v>103</v>
          </cell>
          <cell r="L1256">
            <v>65</v>
          </cell>
        </row>
        <row r="1257">
          <cell r="D1257">
            <v>114165</v>
          </cell>
          <cell r="E1257" t="str">
            <v>רשות</v>
          </cell>
          <cell r="F1257" t="str">
            <v>תורני אורות בנים</v>
          </cell>
          <cell r="G1257" t="str">
            <v>יסודי בלבד</v>
          </cell>
          <cell r="H1257" t="str">
            <v>כן</v>
          </cell>
          <cell r="I1257" t="str">
            <v>כן</v>
          </cell>
          <cell r="J1257" t="str">
            <v>כן</v>
          </cell>
          <cell r="K1257">
            <v>141</v>
          </cell>
          <cell r="L1257">
            <v>74</v>
          </cell>
        </row>
        <row r="1258">
          <cell r="D1258">
            <v>613703</v>
          </cell>
          <cell r="E1258" t="str">
            <v>רשות</v>
          </cell>
          <cell r="F1258" t="str">
            <v>חופית</v>
          </cell>
          <cell r="G1258" t="str">
            <v>יסודי בלבד</v>
          </cell>
          <cell r="H1258" t="str">
            <v>כן</v>
          </cell>
          <cell r="I1258" t="str">
            <v>כן</v>
          </cell>
          <cell r="J1258" t="str">
            <v>כן</v>
          </cell>
          <cell r="K1258">
            <v>228</v>
          </cell>
          <cell r="L1258">
            <v>98</v>
          </cell>
        </row>
        <row r="1259">
          <cell r="D1259">
            <v>681700</v>
          </cell>
          <cell r="E1259" t="str">
            <v/>
          </cell>
          <cell r="F1259" t="str">
            <v>עטרת מלכה</v>
          </cell>
          <cell r="G1259" t="str">
            <v>יסודי בלבד</v>
          </cell>
          <cell r="H1259" t="str">
            <v>כן</v>
          </cell>
          <cell r="I1259" t="str">
            <v>כן</v>
          </cell>
          <cell r="J1259" t="str">
            <v>כן</v>
          </cell>
          <cell r="K1259">
            <v>66</v>
          </cell>
          <cell r="L1259">
            <v>66</v>
          </cell>
        </row>
        <row r="1260">
          <cell r="D1260">
            <v>613299</v>
          </cell>
          <cell r="E1260" t="str">
            <v>רשות</v>
          </cell>
          <cell r="F1260" t="str">
            <v>הרצל</v>
          </cell>
          <cell r="G1260" t="str">
            <v>יסודי בלבד</v>
          </cell>
          <cell r="H1260" t="str">
            <v>כן</v>
          </cell>
          <cell r="I1260" t="str">
            <v>כן</v>
          </cell>
          <cell r="J1260" t="str">
            <v>כן</v>
          </cell>
          <cell r="K1260">
            <v>151</v>
          </cell>
          <cell r="L1260">
            <v>58</v>
          </cell>
        </row>
        <row r="1261">
          <cell r="D1261">
            <v>418087</v>
          </cell>
          <cell r="E1261" t="str">
            <v>רשות</v>
          </cell>
          <cell r="F1261" t="str">
            <v>אל גזאלי</v>
          </cell>
          <cell r="G1261" t="str">
            <v>יסודי בלבד</v>
          </cell>
          <cell r="H1261" t="str">
            <v>כן</v>
          </cell>
          <cell r="I1261" t="str">
            <v>כן</v>
          </cell>
          <cell r="J1261" t="str">
            <v>לא</v>
          </cell>
          <cell r="K1261">
            <v>194</v>
          </cell>
          <cell r="L1261">
            <v>80</v>
          </cell>
        </row>
        <row r="1262">
          <cell r="D1262">
            <v>227496</v>
          </cell>
          <cell r="E1262" t="str">
            <v>רשות</v>
          </cell>
          <cell r="F1262" t="str">
            <v>יסודי אלנג'אח</v>
          </cell>
          <cell r="G1262" t="str">
            <v>יסודי בלבד</v>
          </cell>
          <cell r="H1262" t="str">
            <v>כן</v>
          </cell>
          <cell r="I1262" t="str">
            <v>כן</v>
          </cell>
          <cell r="J1262" t="str">
            <v>כן</v>
          </cell>
          <cell r="K1262">
            <v>172</v>
          </cell>
          <cell r="L1262">
            <v>172</v>
          </cell>
        </row>
        <row r="1263">
          <cell r="D1263">
            <v>412940</v>
          </cell>
          <cell r="E1263" t="str">
            <v>רשות</v>
          </cell>
          <cell r="F1263" t="str">
            <v>ממ"ד לבנים שלהבת</v>
          </cell>
          <cell r="G1263" t="str">
            <v>יסודי בלבד</v>
          </cell>
          <cell r="H1263" t="str">
            <v>כן</v>
          </cell>
          <cell r="I1263" t="str">
            <v>כן</v>
          </cell>
          <cell r="J1263" t="str">
            <v>כן</v>
          </cell>
          <cell r="K1263">
            <v>85</v>
          </cell>
          <cell r="L1263">
            <v>54</v>
          </cell>
        </row>
        <row r="1264">
          <cell r="D1264">
            <v>611434</v>
          </cell>
          <cell r="E1264" t="str">
            <v/>
          </cell>
          <cell r="F1264" t="str">
            <v>יד יצחק</v>
          </cell>
          <cell r="G1264" t="str">
            <v>יסודי בלבד</v>
          </cell>
          <cell r="H1264" t="str">
            <v>כן</v>
          </cell>
          <cell r="I1264" t="str">
            <v>כן</v>
          </cell>
          <cell r="J1264" t="str">
            <v>לא</v>
          </cell>
          <cell r="K1264">
            <v>111</v>
          </cell>
          <cell r="L1264">
            <v>39</v>
          </cell>
        </row>
        <row r="1265">
          <cell r="D1265">
            <v>384453</v>
          </cell>
          <cell r="E1265" t="str">
            <v>רשות</v>
          </cell>
          <cell r="F1265" t="str">
            <v>רונה רמון</v>
          </cell>
          <cell r="G1265" t="str">
            <v>יסודי בלבד</v>
          </cell>
          <cell r="H1265" t="str">
            <v>כן</v>
          </cell>
          <cell r="I1265" t="str">
            <v>כן</v>
          </cell>
          <cell r="J1265" t="str">
            <v>כן</v>
          </cell>
          <cell r="K1265">
            <v>211</v>
          </cell>
          <cell r="L1265">
            <v>59</v>
          </cell>
        </row>
        <row r="1266">
          <cell r="D1266">
            <v>246033</v>
          </cell>
          <cell r="E1266" t="str">
            <v>רשות</v>
          </cell>
          <cell r="F1266" t="str">
            <v>אהבת ישראל בנות</v>
          </cell>
          <cell r="G1266" t="str">
            <v>יסודי בלבד</v>
          </cell>
          <cell r="H1266" t="str">
            <v>כן</v>
          </cell>
          <cell r="I1266" t="str">
            <v>כן</v>
          </cell>
          <cell r="J1266" t="str">
            <v>כן</v>
          </cell>
          <cell r="K1266">
            <v>199</v>
          </cell>
          <cell r="L1266">
            <v>130</v>
          </cell>
        </row>
        <row r="1267">
          <cell r="D1267">
            <v>512095</v>
          </cell>
          <cell r="E1267" t="str">
            <v>רשות</v>
          </cell>
          <cell r="F1267" t="str">
            <v>שדה צופים</v>
          </cell>
          <cell r="G1267" t="str">
            <v>יסודי בלבד</v>
          </cell>
          <cell r="H1267" t="str">
            <v>כן</v>
          </cell>
          <cell r="I1267" t="str">
            <v>כן</v>
          </cell>
          <cell r="J1267" t="str">
            <v>כן</v>
          </cell>
          <cell r="K1267">
            <v>43</v>
          </cell>
          <cell r="L1267">
            <v>43</v>
          </cell>
        </row>
        <row r="1268">
          <cell r="D1268">
            <v>219238</v>
          </cell>
          <cell r="E1268" t="str">
            <v>רשות</v>
          </cell>
          <cell r="F1268" t="str">
            <v>סאלח מוחמד ח'לאילה</v>
          </cell>
          <cell r="G1268" t="str">
            <v>יסודי בלבד</v>
          </cell>
          <cell r="H1268" t="str">
            <v>כן</v>
          </cell>
          <cell r="I1268" t="str">
            <v>כן</v>
          </cell>
          <cell r="J1268" t="str">
            <v>כן</v>
          </cell>
          <cell r="K1268">
            <v>169</v>
          </cell>
          <cell r="L1268">
            <v>100</v>
          </cell>
        </row>
        <row r="1269">
          <cell r="D1269">
            <v>430322</v>
          </cell>
          <cell r="E1269" t="str">
            <v>רשות</v>
          </cell>
          <cell r="F1269" t="str">
            <v>ממ"ד שערי תקווה</v>
          </cell>
          <cell r="G1269" t="str">
            <v>יסודי בלבד</v>
          </cell>
          <cell r="H1269" t="str">
            <v>כן</v>
          </cell>
          <cell r="I1269" t="str">
            <v>כן</v>
          </cell>
          <cell r="J1269" t="str">
            <v>לא</v>
          </cell>
          <cell r="K1269">
            <v>251</v>
          </cell>
          <cell r="L1269">
            <v>185</v>
          </cell>
        </row>
        <row r="1270">
          <cell r="D1270">
            <v>416636</v>
          </cell>
          <cell r="E1270" t="str">
            <v>רשות</v>
          </cell>
          <cell r="F1270" t="str">
            <v>מורשת נריה</v>
          </cell>
          <cell r="G1270" t="str">
            <v>יסודי בלבד</v>
          </cell>
          <cell r="H1270" t="str">
            <v>כן</v>
          </cell>
          <cell r="I1270" t="str">
            <v>כן</v>
          </cell>
          <cell r="J1270" t="str">
            <v>כן</v>
          </cell>
          <cell r="K1270">
            <v>296</v>
          </cell>
          <cell r="L1270">
            <v>65</v>
          </cell>
        </row>
        <row r="1271">
          <cell r="D1271">
            <v>194472</v>
          </cell>
          <cell r="E1271" t="str">
            <v>רשות</v>
          </cell>
          <cell r="F1271" t="str">
            <v>אהבת ישראל בנים</v>
          </cell>
          <cell r="G1271" t="str">
            <v>יסודי בלבד</v>
          </cell>
          <cell r="H1271" t="str">
            <v>כן</v>
          </cell>
          <cell r="I1271" t="str">
            <v>כן</v>
          </cell>
          <cell r="J1271" t="str">
            <v>כן</v>
          </cell>
          <cell r="K1271">
            <v>164</v>
          </cell>
          <cell r="L1271">
            <v>100</v>
          </cell>
        </row>
        <row r="1272">
          <cell r="D1272">
            <v>734467</v>
          </cell>
          <cell r="E1272" t="str">
            <v/>
          </cell>
          <cell r="F1272" t="str">
            <v>בית יעקב אפיקי מים</v>
          </cell>
          <cell r="G1272" t="str">
            <v>יסודי בלבד</v>
          </cell>
          <cell r="H1272" t="str">
            <v>כן</v>
          </cell>
          <cell r="I1272" t="str">
            <v>כן</v>
          </cell>
          <cell r="J1272" t="str">
            <v>כן</v>
          </cell>
          <cell r="K1272">
            <v>0</v>
          </cell>
          <cell r="L1272">
            <v>85</v>
          </cell>
        </row>
        <row r="1273">
          <cell r="D1273">
            <v>416370</v>
          </cell>
          <cell r="E1273" t="str">
            <v>רשות</v>
          </cell>
          <cell r="F1273" t="str">
            <v>רימונים</v>
          </cell>
          <cell r="G1273" t="str">
            <v>יסודי בלבד</v>
          </cell>
          <cell r="H1273" t="str">
            <v>כן</v>
          </cell>
          <cell r="I1273" t="str">
            <v>כן</v>
          </cell>
          <cell r="J1273" t="str">
            <v>כן</v>
          </cell>
          <cell r="K1273">
            <v>191</v>
          </cell>
          <cell r="L1273">
            <v>115</v>
          </cell>
        </row>
        <row r="1274">
          <cell r="D1274">
            <v>359331</v>
          </cell>
          <cell r="E1274" t="str">
            <v>בעלות</v>
          </cell>
          <cell r="F1274" t="str">
            <v>בנות ציון</v>
          </cell>
          <cell r="G1274" t="str">
            <v>יסודי בלבד</v>
          </cell>
          <cell r="H1274" t="str">
            <v>כן</v>
          </cell>
          <cell r="I1274" t="str">
            <v>כן</v>
          </cell>
          <cell r="J1274" t="str">
            <v>כן</v>
          </cell>
          <cell r="K1274">
            <v>40</v>
          </cell>
          <cell r="L1274">
            <v>42</v>
          </cell>
        </row>
        <row r="1275">
          <cell r="D1275">
            <v>410464</v>
          </cell>
          <cell r="E1275" t="str">
            <v>רשות</v>
          </cell>
          <cell r="F1275" t="str">
            <v>נוה נאמן</v>
          </cell>
          <cell r="G1275" t="str">
            <v>יסודי בלבד</v>
          </cell>
          <cell r="H1275" t="str">
            <v>כן</v>
          </cell>
          <cell r="I1275" t="str">
            <v>כן</v>
          </cell>
          <cell r="J1275" t="str">
            <v>כן</v>
          </cell>
          <cell r="K1275">
            <v>132</v>
          </cell>
          <cell r="L1275">
            <v>41</v>
          </cell>
        </row>
        <row r="1276">
          <cell r="D1276">
            <v>219824</v>
          </cell>
          <cell r="E1276" t="str">
            <v/>
          </cell>
          <cell r="F1276" t="str">
            <v>יסודי ד' אעבלין</v>
          </cell>
          <cell r="G1276" t="str">
            <v>יסודי בלבד</v>
          </cell>
          <cell r="H1276" t="str">
            <v>כן</v>
          </cell>
          <cell r="I1276" t="str">
            <v>כן</v>
          </cell>
          <cell r="J1276" t="str">
            <v>כן</v>
          </cell>
          <cell r="K1276">
            <v>138</v>
          </cell>
          <cell r="L1276">
            <v>42</v>
          </cell>
        </row>
        <row r="1277">
          <cell r="D1277">
            <v>162594</v>
          </cell>
          <cell r="E1277" t="str">
            <v>רשות</v>
          </cell>
          <cell r="F1277" t="str">
            <v>בי"ס דו-לשוני</v>
          </cell>
          <cell r="G1277" t="str">
            <v>יסודי בלבד</v>
          </cell>
          <cell r="H1277" t="str">
            <v>כן</v>
          </cell>
          <cell r="I1277" t="str">
            <v>כן</v>
          </cell>
          <cell r="J1277" t="str">
            <v>כן</v>
          </cell>
          <cell r="K1277">
            <v>134</v>
          </cell>
          <cell r="L1277">
            <v>37</v>
          </cell>
        </row>
        <row r="1278">
          <cell r="D1278">
            <v>616920</v>
          </cell>
          <cell r="E1278" t="str">
            <v>רשות</v>
          </cell>
          <cell r="F1278" t="str">
            <v>פלא מכיל</v>
          </cell>
          <cell r="G1278" t="str">
            <v>יסודי בלבד</v>
          </cell>
          <cell r="H1278" t="str">
            <v>כן</v>
          </cell>
          <cell r="I1278" t="str">
            <v>כן</v>
          </cell>
          <cell r="J1278" t="str">
            <v>כן</v>
          </cell>
          <cell r="K1278">
            <v>166</v>
          </cell>
          <cell r="L1278">
            <v>60</v>
          </cell>
        </row>
        <row r="1279">
          <cell r="D1279">
            <v>482596</v>
          </cell>
          <cell r="E1279" t="str">
            <v>רשות</v>
          </cell>
          <cell r="F1279" t="str">
            <v>רקפות</v>
          </cell>
          <cell r="G1279" t="str">
            <v>יסודי בלבד</v>
          </cell>
          <cell r="H1279" t="str">
            <v>כן</v>
          </cell>
          <cell r="I1279" t="str">
            <v>כן</v>
          </cell>
          <cell r="J1279" t="str">
            <v>כן</v>
          </cell>
          <cell r="K1279">
            <v>369</v>
          </cell>
          <cell r="L1279">
            <v>120</v>
          </cell>
        </row>
        <row r="1280">
          <cell r="D1280">
            <v>112177</v>
          </cell>
          <cell r="E1280" t="str">
            <v>רשות</v>
          </cell>
          <cell r="F1280" t="str">
            <v>תומר רחל</v>
          </cell>
          <cell r="G1280" t="str">
            <v>יסודי בלבד</v>
          </cell>
          <cell r="H1280" t="str">
            <v>כן</v>
          </cell>
          <cell r="I1280" t="str">
            <v>כן</v>
          </cell>
          <cell r="J1280" t="str">
            <v>כן</v>
          </cell>
          <cell r="K1280">
            <v>121</v>
          </cell>
          <cell r="L1280">
            <v>48</v>
          </cell>
        </row>
        <row r="1281">
          <cell r="D1281">
            <v>615203</v>
          </cell>
          <cell r="E1281" t="str">
            <v/>
          </cell>
          <cell r="F1281" t="str">
            <v>אחווה</v>
          </cell>
          <cell r="G1281" t="str">
            <v>יסודי בלבד</v>
          </cell>
          <cell r="H1281" t="str">
            <v>לא</v>
          </cell>
          <cell r="I1281" t="str">
            <v>לא</v>
          </cell>
          <cell r="J1281" t="str">
            <v>לא</v>
          </cell>
          <cell r="K1281">
            <v>0</v>
          </cell>
          <cell r="L1281">
            <v>0</v>
          </cell>
        </row>
        <row r="1282">
          <cell r="D1282">
            <v>212019</v>
          </cell>
          <cell r="E1282" t="str">
            <v>רשות</v>
          </cell>
          <cell r="F1282" t="str">
            <v>חבד מד -אביטל</v>
          </cell>
          <cell r="G1282" t="str">
            <v>יסודי בלבד</v>
          </cell>
          <cell r="H1282" t="str">
            <v>כן</v>
          </cell>
          <cell r="I1282" t="str">
            <v>כן</v>
          </cell>
          <cell r="J1282" t="str">
            <v>כן</v>
          </cell>
          <cell r="K1282">
            <v>120</v>
          </cell>
          <cell r="L1282">
            <v>50</v>
          </cell>
        </row>
        <row r="1283">
          <cell r="D1283">
            <v>612234</v>
          </cell>
          <cell r="E1283" t="str">
            <v>רשות</v>
          </cell>
          <cell r="F1283" t="str">
            <v>חב"ד בנות</v>
          </cell>
          <cell r="G1283" t="str">
            <v>יסודי בלבד</v>
          </cell>
          <cell r="H1283" t="str">
            <v>כן</v>
          </cell>
          <cell r="I1283" t="str">
            <v>כן</v>
          </cell>
          <cell r="J1283" t="str">
            <v>כן</v>
          </cell>
          <cell r="K1283">
            <v>388</v>
          </cell>
          <cell r="L1283">
            <v>210</v>
          </cell>
        </row>
        <row r="1284">
          <cell r="D1284">
            <v>410589</v>
          </cell>
          <cell r="E1284" t="str">
            <v>רשות</v>
          </cell>
          <cell r="F1284" t="str">
            <v>ממ"ד ברויאר בנות</v>
          </cell>
          <cell r="G1284" t="str">
            <v>יסודי בלבד</v>
          </cell>
          <cell r="H1284" t="str">
            <v>כן</v>
          </cell>
          <cell r="I1284" t="str">
            <v>כן</v>
          </cell>
          <cell r="J1284" t="str">
            <v>כן</v>
          </cell>
          <cell r="K1284">
            <v>119</v>
          </cell>
          <cell r="L1284">
            <v>104</v>
          </cell>
        </row>
        <row r="1285">
          <cell r="D1285">
            <v>210294</v>
          </cell>
          <cell r="E1285" t="str">
            <v>רשות</v>
          </cell>
          <cell r="F1285" t="str">
            <v>מאיר מד-בית שאן</v>
          </cell>
          <cell r="G1285" t="str">
            <v>יסודי בלבד</v>
          </cell>
          <cell r="H1285" t="str">
            <v>כן</v>
          </cell>
          <cell r="I1285" t="str">
            <v>כן</v>
          </cell>
          <cell r="J1285" t="str">
            <v>כן</v>
          </cell>
          <cell r="K1285">
            <v>191</v>
          </cell>
          <cell r="L1285">
            <v>83</v>
          </cell>
        </row>
        <row r="1286">
          <cell r="D1286">
            <v>189043</v>
          </cell>
          <cell r="E1286" t="str">
            <v>רשות</v>
          </cell>
          <cell r="F1286" t="str">
            <v>אבדאאע</v>
          </cell>
          <cell r="G1286" t="str">
            <v>יסודי בלבד</v>
          </cell>
          <cell r="H1286" t="str">
            <v>כן</v>
          </cell>
          <cell r="I1286" t="str">
            <v>כן</v>
          </cell>
          <cell r="J1286" t="str">
            <v>כן</v>
          </cell>
          <cell r="K1286">
            <v>78</v>
          </cell>
          <cell r="L1286">
            <v>28</v>
          </cell>
        </row>
        <row r="1287">
          <cell r="D1287">
            <v>618496</v>
          </cell>
          <cell r="E1287" t="str">
            <v>רשות</v>
          </cell>
          <cell r="F1287" t="str">
            <v>אלמסתקבל</v>
          </cell>
          <cell r="G1287" t="str">
            <v>יסודי בלבד</v>
          </cell>
          <cell r="H1287" t="str">
            <v>כן</v>
          </cell>
          <cell r="I1287" t="str">
            <v>כן</v>
          </cell>
          <cell r="J1287" t="str">
            <v>כן</v>
          </cell>
          <cell r="K1287">
            <v>302</v>
          </cell>
          <cell r="L1287">
            <v>80</v>
          </cell>
        </row>
        <row r="1288">
          <cell r="D1288">
            <v>614420</v>
          </cell>
          <cell r="E1288" t="str">
            <v>בעלות</v>
          </cell>
          <cell r="F1288" t="str">
            <v>מעיין חיים ושלום בנות</v>
          </cell>
          <cell r="G1288" t="str">
            <v>יסודי בלבד</v>
          </cell>
          <cell r="H1288" t="str">
            <v>כן</v>
          </cell>
          <cell r="I1288" t="str">
            <v>כן</v>
          </cell>
          <cell r="J1288" t="str">
            <v>כן</v>
          </cell>
          <cell r="K1288">
            <v>197</v>
          </cell>
          <cell r="L1288">
            <v>195</v>
          </cell>
        </row>
        <row r="1289">
          <cell r="D1289">
            <v>310607</v>
          </cell>
          <cell r="E1289" t="str">
            <v>רשות</v>
          </cell>
          <cell r="F1289" t="str">
            <v>ליאו בק</v>
          </cell>
          <cell r="G1289" t="str">
            <v>יסודי בלבד</v>
          </cell>
          <cell r="H1289" t="str">
            <v>כן</v>
          </cell>
          <cell r="I1289" t="str">
            <v>כן</v>
          </cell>
          <cell r="J1289" t="str">
            <v>לא</v>
          </cell>
          <cell r="K1289">
            <v>152</v>
          </cell>
          <cell r="L1289">
            <v>36</v>
          </cell>
        </row>
        <row r="1290">
          <cell r="D1290">
            <v>610618</v>
          </cell>
          <cell r="E1290" t="str">
            <v>רשות</v>
          </cell>
          <cell r="F1290" t="str">
            <v>יסודי דתי חדש בנים</v>
          </cell>
          <cell r="G1290" t="str">
            <v>יסודי בלבד</v>
          </cell>
          <cell r="H1290" t="str">
            <v>כן</v>
          </cell>
          <cell r="I1290" t="str">
            <v>כן</v>
          </cell>
          <cell r="J1290" t="str">
            <v>כן</v>
          </cell>
          <cell r="K1290">
            <v>176</v>
          </cell>
          <cell r="L1290">
            <v>90</v>
          </cell>
        </row>
        <row r="1291">
          <cell r="D1291">
            <v>510834</v>
          </cell>
          <cell r="E1291" t="str">
            <v>רשות</v>
          </cell>
          <cell r="F1291" t="str">
            <v>מורדי הגיטאות</v>
          </cell>
          <cell r="G1291" t="str">
            <v>יסודי בלבד</v>
          </cell>
          <cell r="H1291" t="str">
            <v>כן</v>
          </cell>
          <cell r="I1291" t="str">
            <v>כן</v>
          </cell>
          <cell r="J1291" t="str">
            <v>לא</v>
          </cell>
          <cell r="K1291">
            <v>138</v>
          </cell>
          <cell r="L1291">
            <v>45</v>
          </cell>
        </row>
        <row r="1292">
          <cell r="D1292">
            <v>328187</v>
          </cell>
          <cell r="E1292" t="str">
            <v>רשות</v>
          </cell>
          <cell r="F1292" t="str">
            <v>אלנבראס</v>
          </cell>
          <cell r="G1292" t="str">
            <v>יסודי בלבד</v>
          </cell>
          <cell r="H1292" t="str">
            <v>כן</v>
          </cell>
          <cell r="I1292" t="str">
            <v>כן</v>
          </cell>
          <cell r="J1292" t="str">
            <v>כן</v>
          </cell>
          <cell r="K1292">
            <v>168</v>
          </cell>
          <cell r="L1292">
            <v>76</v>
          </cell>
        </row>
        <row r="1293">
          <cell r="D1293">
            <v>416651</v>
          </cell>
          <cell r="E1293" t="str">
            <v>רשות</v>
          </cell>
          <cell r="F1293" t="str">
            <v>ארגמן</v>
          </cell>
          <cell r="G1293" t="str">
            <v>יסודי בלבד</v>
          </cell>
          <cell r="H1293" t="str">
            <v>כן</v>
          </cell>
          <cell r="I1293" t="str">
            <v>כן</v>
          </cell>
          <cell r="J1293" t="str">
            <v>כן</v>
          </cell>
          <cell r="K1293">
            <v>217</v>
          </cell>
          <cell r="L1293">
            <v>67</v>
          </cell>
        </row>
        <row r="1294">
          <cell r="D1294">
            <v>414185</v>
          </cell>
          <cell r="E1294" t="str">
            <v>רשות</v>
          </cell>
          <cell r="F1294" t="str">
            <v>ממ"ד נועם הצבי-בנים</v>
          </cell>
          <cell r="G1294" t="str">
            <v>יסודי בלבד</v>
          </cell>
          <cell r="H1294" t="str">
            <v>כן</v>
          </cell>
          <cell r="I1294" t="str">
            <v>כן</v>
          </cell>
          <cell r="J1294" t="str">
            <v>כן</v>
          </cell>
          <cell r="K1294">
            <v>172</v>
          </cell>
          <cell r="L1294">
            <v>60</v>
          </cell>
        </row>
        <row r="1295">
          <cell r="D1295">
            <v>217109</v>
          </cell>
          <cell r="E1295" t="str">
            <v>רשות</v>
          </cell>
          <cell r="F1295" t="str">
            <v>יסודי ג'</v>
          </cell>
          <cell r="G1295" t="str">
            <v>יסודי בלבד</v>
          </cell>
          <cell r="H1295" t="str">
            <v>כן</v>
          </cell>
          <cell r="I1295" t="str">
            <v>כן</v>
          </cell>
          <cell r="J1295" t="str">
            <v>כן</v>
          </cell>
          <cell r="K1295">
            <v>136</v>
          </cell>
          <cell r="L1295">
            <v>136</v>
          </cell>
        </row>
        <row r="1296">
          <cell r="D1296">
            <v>112128</v>
          </cell>
          <cell r="E1296" t="str">
            <v>רשות</v>
          </cell>
          <cell r="F1296" t="str">
            <v>אהל שילה בנות</v>
          </cell>
          <cell r="G1296" t="str">
            <v>יסודי בלבד</v>
          </cell>
          <cell r="H1296" t="str">
            <v>כן</v>
          </cell>
          <cell r="I1296" t="str">
            <v>לא</v>
          </cell>
          <cell r="J1296" t="str">
            <v>לא</v>
          </cell>
          <cell r="K1296">
            <v>99</v>
          </cell>
          <cell r="L1296">
            <v>43</v>
          </cell>
        </row>
        <row r="1297">
          <cell r="D1297">
            <v>611905</v>
          </cell>
          <cell r="E1297" t="str">
            <v>רשות</v>
          </cell>
          <cell r="F1297" t="str">
            <v>יד שבתאי</v>
          </cell>
          <cell r="G1297" t="str">
            <v>יסודי בלבד</v>
          </cell>
          <cell r="H1297" t="str">
            <v>כן</v>
          </cell>
          <cell r="I1297" t="str">
            <v>כן</v>
          </cell>
          <cell r="J1297" t="str">
            <v>כן</v>
          </cell>
          <cell r="K1297">
            <v>95</v>
          </cell>
          <cell r="L1297">
            <v>57</v>
          </cell>
        </row>
        <row r="1298">
          <cell r="D1298">
            <v>113829</v>
          </cell>
          <cell r="E1298" t="str">
            <v>רשות</v>
          </cell>
          <cell r="F1298" t="str">
            <v>צבר ממ"ד</v>
          </cell>
          <cell r="G1298" t="str">
            <v>יסודי בלבד</v>
          </cell>
          <cell r="H1298" t="str">
            <v>כן</v>
          </cell>
          <cell r="I1298" t="str">
            <v>לא</v>
          </cell>
          <cell r="J1298" t="str">
            <v>לא</v>
          </cell>
          <cell r="K1298">
            <v>25</v>
          </cell>
          <cell r="L1298">
            <v>20</v>
          </cell>
        </row>
        <row r="1299">
          <cell r="D1299">
            <v>510412</v>
          </cell>
          <cell r="E1299" t="str">
            <v/>
          </cell>
          <cell r="F1299" t="str">
            <v>ויצמן</v>
          </cell>
          <cell r="G1299" t="str">
            <v>יסודי בלבד</v>
          </cell>
          <cell r="H1299" t="str">
            <v>כן</v>
          </cell>
          <cell r="I1299" t="str">
            <v>כן</v>
          </cell>
          <cell r="J1299" t="str">
            <v>כן</v>
          </cell>
          <cell r="K1299">
            <v>213</v>
          </cell>
          <cell r="L1299">
            <v>105</v>
          </cell>
        </row>
        <row r="1300">
          <cell r="D1300">
            <v>111864</v>
          </cell>
          <cell r="E1300" t="str">
            <v>רשות</v>
          </cell>
          <cell r="F1300" t="str">
            <v>ת"ת מורשה</v>
          </cell>
          <cell r="G1300" t="str">
            <v>יסודי בלבד</v>
          </cell>
          <cell r="H1300" t="str">
            <v>כן</v>
          </cell>
          <cell r="I1300" t="str">
            <v>כן</v>
          </cell>
          <cell r="J1300" t="str">
            <v>כן</v>
          </cell>
          <cell r="K1300">
            <v>110</v>
          </cell>
          <cell r="L1300">
            <v>110</v>
          </cell>
        </row>
        <row r="1301">
          <cell r="D1301">
            <v>218073</v>
          </cell>
          <cell r="E1301" t="str">
            <v/>
          </cell>
          <cell r="F1301" t="str">
            <v>אל-רואאה</v>
          </cell>
          <cell r="G1301" t="str">
            <v>יסודי בלבד</v>
          </cell>
          <cell r="H1301" t="str">
            <v>כן</v>
          </cell>
          <cell r="I1301" t="str">
            <v>כן</v>
          </cell>
          <cell r="J1301" t="str">
            <v>כן</v>
          </cell>
          <cell r="K1301">
            <v>132</v>
          </cell>
          <cell r="L1301">
            <v>52</v>
          </cell>
        </row>
        <row r="1302">
          <cell r="D1302">
            <v>418418</v>
          </cell>
          <cell r="E1302" t="str">
            <v/>
          </cell>
          <cell r="F1302" t="str">
            <v>אג'יאל</v>
          </cell>
          <cell r="G1302" t="str">
            <v>יסודי בלבד</v>
          </cell>
          <cell r="H1302" t="str">
            <v>כן</v>
          </cell>
          <cell r="I1302" t="str">
            <v>כן</v>
          </cell>
          <cell r="J1302" t="str">
            <v>לא</v>
          </cell>
          <cell r="K1302">
            <v>121</v>
          </cell>
          <cell r="L1302">
            <v>56</v>
          </cell>
        </row>
        <row r="1303">
          <cell r="D1303">
            <v>414680</v>
          </cell>
          <cell r="E1303" t="str">
            <v>רשות</v>
          </cell>
          <cell r="F1303" t="str">
            <v>ממ"ד מעלה שמעוני</v>
          </cell>
          <cell r="G1303" t="str">
            <v>יסודי בלבד</v>
          </cell>
          <cell r="H1303" t="str">
            <v>כן</v>
          </cell>
          <cell r="I1303" t="str">
            <v>כן</v>
          </cell>
          <cell r="J1303" t="str">
            <v>כן</v>
          </cell>
          <cell r="K1303">
            <v>211</v>
          </cell>
          <cell r="L1303">
            <v>72</v>
          </cell>
        </row>
        <row r="1304">
          <cell r="D1304">
            <v>482554</v>
          </cell>
          <cell r="E1304" t="str">
            <v>רשות</v>
          </cell>
          <cell r="F1304" t="str">
            <v>מ"מ נופרים</v>
          </cell>
          <cell r="G1304" t="str">
            <v>יסודי בלבד</v>
          </cell>
          <cell r="H1304" t="str">
            <v>כן</v>
          </cell>
          <cell r="I1304" t="str">
            <v>כן</v>
          </cell>
          <cell r="J1304" t="str">
            <v>כן</v>
          </cell>
          <cell r="K1304">
            <v>110</v>
          </cell>
          <cell r="L1304">
            <v>53</v>
          </cell>
        </row>
        <row r="1305">
          <cell r="D1305">
            <v>348466</v>
          </cell>
          <cell r="E1305" t="str">
            <v>רשות</v>
          </cell>
          <cell r="F1305" t="str">
            <v>תורני אריאל</v>
          </cell>
          <cell r="G1305" t="str">
            <v>יסודי בלבד</v>
          </cell>
          <cell r="H1305" t="str">
            <v>כן</v>
          </cell>
          <cell r="I1305" t="str">
            <v>כן</v>
          </cell>
          <cell r="J1305" t="str">
            <v>כן</v>
          </cell>
          <cell r="K1305">
            <v>388</v>
          </cell>
          <cell r="L1305">
            <v>82</v>
          </cell>
        </row>
        <row r="1306">
          <cell r="D1306">
            <v>482067</v>
          </cell>
          <cell r="E1306" t="str">
            <v>רשות</v>
          </cell>
          <cell r="F1306" t="str">
            <v>לאה גולדברג</v>
          </cell>
          <cell r="G1306" t="str">
            <v>יסודי בלבד</v>
          </cell>
          <cell r="H1306" t="str">
            <v>כן</v>
          </cell>
          <cell r="I1306" t="str">
            <v>כן</v>
          </cell>
          <cell r="J1306" t="str">
            <v>כן</v>
          </cell>
          <cell r="K1306">
            <v>302</v>
          </cell>
          <cell r="L1306">
            <v>70</v>
          </cell>
        </row>
        <row r="1307">
          <cell r="D1307">
            <v>779173</v>
          </cell>
          <cell r="E1307" t="str">
            <v>בעלות</v>
          </cell>
          <cell r="F1307" t="str">
            <v>בית מלכה רובע ג</v>
          </cell>
          <cell r="G1307" t="str">
            <v>יסודי בלבד</v>
          </cell>
          <cell r="H1307" t="str">
            <v>כן</v>
          </cell>
          <cell r="I1307" t="str">
            <v>לא</v>
          </cell>
          <cell r="J1307" t="str">
            <v>לא</v>
          </cell>
          <cell r="K1307">
            <v>69</v>
          </cell>
          <cell r="L1307">
            <v>40</v>
          </cell>
        </row>
        <row r="1308">
          <cell r="D1308">
            <v>411215</v>
          </cell>
          <cell r="E1308" t="str">
            <v>רשות</v>
          </cell>
          <cell r="F1308" t="str">
            <v>יצחק נבון</v>
          </cell>
          <cell r="G1308" t="str">
            <v>יסודי בלבד</v>
          </cell>
          <cell r="H1308" t="str">
            <v>כן</v>
          </cell>
          <cell r="I1308" t="str">
            <v>כן</v>
          </cell>
          <cell r="J1308" t="str">
            <v>לא</v>
          </cell>
          <cell r="K1308">
            <v>124</v>
          </cell>
          <cell r="L1308">
            <v>48</v>
          </cell>
        </row>
        <row r="1309">
          <cell r="D1309">
            <v>418301</v>
          </cell>
          <cell r="E1309" t="str">
            <v>רשות</v>
          </cell>
          <cell r="F1309" t="str">
            <v>ממלכתי אל סאלם -חדש</v>
          </cell>
          <cell r="G1309" t="str">
            <v>יסודי בלבד</v>
          </cell>
          <cell r="H1309" t="str">
            <v>כן</v>
          </cell>
          <cell r="I1309" t="str">
            <v>כן</v>
          </cell>
          <cell r="J1309" t="str">
            <v>כן</v>
          </cell>
          <cell r="K1309">
            <v>332</v>
          </cell>
          <cell r="L1309">
            <v>125</v>
          </cell>
        </row>
        <row r="1310">
          <cell r="D1310">
            <v>482075</v>
          </cell>
          <cell r="E1310" t="str">
            <v>רשות</v>
          </cell>
          <cell r="F1310" t="str">
            <v>רחל המשוררת</v>
          </cell>
          <cell r="G1310" t="str">
            <v>יסודי בלבד</v>
          </cell>
          <cell r="H1310" t="str">
            <v>כן</v>
          </cell>
          <cell r="I1310" t="str">
            <v>כן</v>
          </cell>
          <cell r="J1310" t="str">
            <v>כן</v>
          </cell>
          <cell r="K1310">
            <v>279</v>
          </cell>
          <cell r="L1310">
            <v>71</v>
          </cell>
        </row>
        <row r="1311">
          <cell r="D1311">
            <v>614958</v>
          </cell>
          <cell r="E1311" t="str">
            <v>רשות</v>
          </cell>
          <cell r="F1311" t="str">
            <v>קשת</v>
          </cell>
          <cell r="G1311" t="str">
            <v>יסודי בלבד</v>
          </cell>
          <cell r="H1311" t="str">
            <v>כן</v>
          </cell>
          <cell r="I1311" t="str">
            <v>כן</v>
          </cell>
          <cell r="J1311" t="str">
            <v>כן</v>
          </cell>
          <cell r="K1311">
            <v>220</v>
          </cell>
          <cell r="L1311">
            <v>56</v>
          </cell>
        </row>
        <row r="1312">
          <cell r="D1312">
            <v>418228</v>
          </cell>
          <cell r="E1312" t="str">
            <v>רשות</v>
          </cell>
          <cell r="F1312" t="str">
            <v>אל ראשידיה</v>
          </cell>
          <cell r="G1312" t="str">
            <v>יסודי בלבד</v>
          </cell>
          <cell r="H1312" t="str">
            <v>כן</v>
          </cell>
          <cell r="I1312" t="str">
            <v>כן</v>
          </cell>
          <cell r="J1312" t="str">
            <v>לא</v>
          </cell>
          <cell r="K1312">
            <v>235</v>
          </cell>
          <cell r="L1312">
            <v>175</v>
          </cell>
        </row>
        <row r="1313">
          <cell r="D1313">
            <v>611038</v>
          </cell>
          <cell r="E1313" t="str">
            <v>רשות</v>
          </cell>
          <cell r="F1313" t="str">
            <v>משואה ע"ש יוסף שלום</v>
          </cell>
          <cell r="G1313" t="str">
            <v>יסודי בלבד</v>
          </cell>
          <cell r="H1313" t="str">
            <v>כן</v>
          </cell>
          <cell r="I1313" t="str">
            <v>כן</v>
          </cell>
          <cell r="J1313" t="str">
            <v>כן</v>
          </cell>
          <cell r="K1313">
            <v>285</v>
          </cell>
          <cell r="L1313">
            <v>94</v>
          </cell>
        </row>
        <row r="1314">
          <cell r="D1314">
            <v>111591</v>
          </cell>
          <cell r="E1314" t="str">
            <v>רשות</v>
          </cell>
          <cell r="F1314" t="str">
            <v>ברנדט ממ"ד נוה יעקב</v>
          </cell>
          <cell r="G1314" t="str">
            <v>יסודי בלבד</v>
          </cell>
          <cell r="H1314" t="str">
            <v>כן</v>
          </cell>
          <cell r="I1314" t="str">
            <v>כן</v>
          </cell>
          <cell r="J1314" t="str">
            <v>כן</v>
          </cell>
          <cell r="K1314">
            <v>64</v>
          </cell>
          <cell r="L1314">
            <v>62</v>
          </cell>
        </row>
        <row r="1315">
          <cell r="D1315">
            <v>118208</v>
          </cell>
          <cell r="E1315" t="str">
            <v>רשות</v>
          </cell>
          <cell r="F1315" t="str">
            <v>סלואן מכין לבנות</v>
          </cell>
          <cell r="G1315" t="str">
            <v>יסודי בלבד</v>
          </cell>
          <cell r="H1315" t="str">
            <v>כן</v>
          </cell>
          <cell r="I1315" t="str">
            <v>כן</v>
          </cell>
          <cell r="J1315" t="str">
            <v>כן</v>
          </cell>
          <cell r="K1315">
            <v>227</v>
          </cell>
          <cell r="L1315">
            <v>51</v>
          </cell>
        </row>
        <row r="1316">
          <cell r="D1316">
            <v>610014</v>
          </cell>
          <cell r="E1316" t="str">
            <v>רשות</v>
          </cell>
          <cell r="F1316" t="str">
            <v>אזורי אבן שמואל</v>
          </cell>
          <cell r="G1316" t="str">
            <v>יסודי בלבד</v>
          </cell>
          <cell r="H1316" t="str">
            <v>כן</v>
          </cell>
          <cell r="I1316" t="str">
            <v>כן</v>
          </cell>
          <cell r="J1316" t="str">
            <v>כן</v>
          </cell>
          <cell r="K1316">
            <v>267</v>
          </cell>
          <cell r="L1316">
            <v>61</v>
          </cell>
        </row>
        <row r="1317">
          <cell r="D1317">
            <v>183194</v>
          </cell>
          <cell r="E1317" t="str">
            <v>רשות</v>
          </cell>
          <cell r="F1317" t="str">
            <v>ראשית</v>
          </cell>
          <cell r="G1317" t="str">
            <v>יסודי בלבד</v>
          </cell>
          <cell r="H1317" t="str">
            <v>כן</v>
          </cell>
          <cell r="I1317" t="str">
            <v>כן</v>
          </cell>
          <cell r="J1317" t="str">
            <v>כן</v>
          </cell>
          <cell r="K1317">
            <v>300</v>
          </cell>
          <cell r="L1317">
            <v>175</v>
          </cell>
        </row>
        <row r="1318">
          <cell r="D1318">
            <v>416586</v>
          </cell>
          <cell r="E1318" t="str">
            <v>רשות</v>
          </cell>
          <cell r="F1318" t="str">
            <v>הירוק ע"ש יצחק רבין</v>
          </cell>
          <cell r="G1318" t="str">
            <v>יסודי בלבד</v>
          </cell>
          <cell r="H1318" t="str">
            <v>כן</v>
          </cell>
          <cell r="I1318" t="str">
            <v>כן</v>
          </cell>
          <cell r="J1318" t="str">
            <v>כן</v>
          </cell>
          <cell r="K1318">
            <v>307</v>
          </cell>
          <cell r="L1318">
            <v>130</v>
          </cell>
        </row>
        <row r="1319">
          <cell r="D1319">
            <v>616508</v>
          </cell>
          <cell r="E1319" t="str">
            <v>רשות</v>
          </cell>
          <cell r="F1319" t="str">
            <v>אלסופרא</v>
          </cell>
          <cell r="G1319" t="str">
            <v>יסודי בלבד</v>
          </cell>
          <cell r="H1319" t="str">
            <v>כן</v>
          </cell>
          <cell r="I1319" t="str">
            <v>כן</v>
          </cell>
          <cell r="J1319" t="str">
            <v>כן</v>
          </cell>
          <cell r="K1319">
            <v>256</v>
          </cell>
          <cell r="L1319">
            <v>40</v>
          </cell>
        </row>
        <row r="1320">
          <cell r="D1320">
            <v>113449</v>
          </cell>
          <cell r="E1320" t="str">
            <v>רשות</v>
          </cell>
          <cell r="F1320" t="str">
            <v>השחר</v>
          </cell>
          <cell r="G1320" t="str">
            <v>יסודי בלבד</v>
          </cell>
          <cell r="H1320" t="str">
            <v>כן</v>
          </cell>
          <cell r="I1320" t="str">
            <v>כן</v>
          </cell>
          <cell r="J1320" t="str">
            <v>כן</v>
          </cell>
          <cell r="K1320">
            <v>81</v>
          </cell>
          <cell r="L1320">
            <v>41</v>
          </cell>
        </row>
        <row r="1321">
          <cell r="D1321">
            <v>615013</v>
          </cell>
          <cell r="E1321" t="str">
            <v>רשות</v>
          </cell>
          <cell r="F1321" t="str">
            <v>נופים</v>
          </cell>
          <cell r="G1321" t="str">
            <v>יסודי בלבד</v>
          </cell>
          <cell r="H1321" t="str">
            <v>כן</v>
          </cell>
          <cell r="I1321" t="str">
            <v>כן</v>
          </cell>
          <cell r="J1321" t="str">
            <v>כן</v>
          </cell>
          <cell r="K1321">
            <v>218</v>
          </cell>
          <cell r="L1321">
            <v>13</v>
          </cell>
        </row>
        <row r="1322">
          <cell r="D1322">
            <v>312504</v>
          </cell>
          <cell r="E1322" t="str">
            <v>רשות</v>
          </cell>
          <cell r="F1322" t="str">
            <v>הצבי ישראל</v>
          </cell>
          <cell r="G1322" t="str">
            <v>יסודי בלבד</v>
          </cell>
          <cell r="H1322" t="str">
            <v>כן</v>
          </cell>
          <cell r="I1322" t="str">
            <v>כן</v>
          </cell>
          <cell r="J1322" t="str">
            <v>לא</v>
          </cell>
          <cell r="K1322">
            <v>207</v>
          </cell>
          <cell r="L1322">
            <v>146</v>
          </cell>
        </row>
        <row r="1323">
          <cell r="D1323">
            <v>112490</v>
          </cell>
          <cell r="E1323" t="str">
            <v>רשות</v>
          </cell>
          <cell r="F1323" t="str">
            <v>אתרוג בנים</v>
          </cell>
          <cell r="G1323" t="str">
            <v>יסודי בלבד</v>
          </cell>
          <cell r="H1323" t="str">
            <v>כן</v>
          </cell>
          <cell r="I1323" t="str">
            <v>כן</v>
          </cell>
          <cell r="J1323" t="str">
            <v>כן</v>
          </cell>
          <cell r="K1323">
            <v>139</v>
          </cell>
          <cell r="L1323">
            <v>54</v>
          </cell>
        </row>
        <row r="1324">
          <cell r="D1324">
            <v>318246</v>
          </cell>
          <cell r="E1324" t="str">
            <v>רשות</v>
          </cell>
          <cell r="F1324" t="str">
            <v>סאלם</v>
          </cell>
          <cell r="G1324" t="str">
            <v>יסודי בלבד</v>
          </cell>
          <cell r="H1324" t="str">
            <v>כן</v>
          </cell>
          <cell r="I1324" t="str">
            <v>כן</v>
          </cell>
          <cell r="J1324" t="str">
            <v>כן</v>
          </cell>
          <cell r="K1324">
            <v>166</v>
          </cell>
          <cell r="L1324">
            <v>51</v>
          </cell>
        </row>
        <row r="1325">
          <cell r="D1325">
            <v>383729</v>
          </cell>
          <cell r="E1325" t="str">
            <v>רשות</v>
          </cell>
          <cell r="F1325" t="str">
            <v>מעיין האמונה בנות</v>
          </cell>
          <cell r="G1325" t="str">
            <v>יסודי בלבד</v>
          </cell>
          <cell r="H1325" t="str">
            <v>כן</v>
          </cell>
          <cell r="I1325" t="str">
            <v>כן</v>
          </cell>
          <cell r="J1325" t="str">
            <v>כן</v>
          </cell>
          <cell r="K1325">
            <v>87</v>
          </cell>
          <cell r="L1325">
            <v>65</v>
          </cell>
        </row>
        <row r="1326">
          <cell r="D1326">
            <v>414284</v>
          </cell>
          <cell r="E1326" t="str">
            <v>רשות</v>
          </cell>
          <cell r="F1326" t="str">
            <v>ממלכתי שדות</v>
          </cell>
          <cell r="G1326" t="str">
            <v>יסודי בלבד</v>
          </cell>
          <cell r="H1326" t="str">
            <v>כן</v>
          </cell>
          <cell r="I1326" t="str">
            <v>כן</v>
          </cell>
          <cell r="J1326" t="str">
            <v>כן</v>
          </cell>
          <cell r="K1326">
            <v>210</v>
          </cell>
          <cell r="L1326">
            <v>82</v>
          </cell>
        </row>
        <row r="1327">
          <cell r="D1327">
            <v>610774</v>
          </cell>
          <cell r="E1327" t="str">
            <v>רשות</v>
          </cell>
          <cell r="F1327" t="str">
            <v>מעגלים</v>
          </cell>
          <cell r="G1327" t="str">
            <v>יסודי בלבד</v>
          </cell>
          <cell r="H1327" t="str">
            <v>כן</v>
          </cell>
          <cell r="I1327" t="str">
            <v>כן</v>
          </cell>
          <cell r="J1327" t="str">
            <v>כן</v>
          </cell>
          <cell r="K1327">
            <v>155</v>
          </cell>
          <cell r="L1327">
            <v>117</v>
          </cell>
        </row>
        <row r="1328">
          <cell r="D1328">
            <v>160499</v>
          </cell>
          <cell r="E1328" t="str">
            <v>רשות</v>
          </cell>
          <cell r="F1328" t="str">
            <v>תל"י נופי הסלע</v>
          </cell>
          <cell r="G1328" t="str">
            <v>יסודי בלבד</v>
          </cell>
          <cell r="H1328" t="str">
            <v>כן</v>
          </cell>
          <cell r="I1328" t="str">
            <v>כן</v>
          </cell>
          <cell r="J1328" t="str">
            <v>כן</v>
          </cell>
          <cell r="K1328">
            <v>171</v>
          </cell>
          <cell r="L1328">
            <v>55</v>
          </cell>
        </row>
        <row r="1329">
          <cell r="D1329">
            <v>244277</v>
          </cell>
          <cell r="E1329" t="str">
            <v/>
          </cell>
          <cell r="F1329" t="str">
            <v>ת"ת וב"י עמיחי כרמיא</v>
          </cell>
          <cell r="G1329" t="str">
            <v>יסודי בלבד</v>
          </cell>
          <cell r="H1329" t="str">
            <v>כן</v>
          </cell>
          <cell r="I1329" t="str">
            <v>כן</v>
          </cell>
          <cell r="J1329" t="str">
            <v>כן</v>
          </cell>
          <cell r="K1329">
            <v>0</v>
          </cell>
          <cell r="L1329">
            <v>86</v>
          </cell>
        </row>
        <row r="1330">
          <cell r="D1330">
            <v>482695</v>
          </cell>
          <cell r="E1330" t="str">
            <v>רשות</v>
          </cell>
          <cell r="F1330" t="str">
            <v>חב"ד בנות</v>
          </cell>
          <cell r="G1330" t="str">
            <v>יסודי בלבד</v>
          </cell>
          <cell r="H1330" t="str">
            <v>כן</v>
          </cell>
          <cell r="I1330" t="str">
            <v>כן</v>
          </cell>
          <cell r="J1330" t="str">
            <v>כן</v>
          </cell>
          <cell r="K1330">
            <v>76</v>
          </cell>
          <cell r="L1330">
            <v>56</v>
          </cell>
        </row>
        <row r="1331">
          <cell r="D1331">
            <v>312728</v>
          </cell>
          <cell r="E1331" t="str">
            <v>רשות</v>
          </cell>
          <cell r="F1331" t="str">
            <v>ע"ש יצחק רבין</v>
          </cell>
          <cell r="G1331" t="str">
            <v>יסודי בלבד</v>
          </cell>
          <cell r="H1331" t="str">
            <v>כן</v>
          </cell>
          <cell r="I1331" t="str">
            <v>כן</v>
          </cell>
          <cell r="J1331" t="str">
            <v>כן</v>
          </cell>
          <cell r="K1331">
            <v>183</v>
          </cell>
          <cell r="L1331">
            <v>56</v>
          </cell>
        </row>
        <row r="1332">
          <cell r="D1332">
            <v>310078</v>
          </cell>
          <cell r="E1332" t="str">
            <v>רשות</v>
          </cell>
          <cell r="F1332" t="str">
            <v>אשכולות</v>
          </cell>
          <cell r="G1332" t="str">
            <v>יסודי בלבד</v>
          </cell>
          <cell r="H1332" t="str">
            <v>כן</v>
          </cell>
          <cell r="I1332" t="str">
            <v>כן</v>
          </cell>
          <cell r="J1332" t="str">
            <v>כן</v>
          </cell>
          <cell r="K1332">
            <v>197</v>
          </cell>
          <cell r="L1332">
            <v>76</v>
          </cell>
        </row>
        <row r="1333">
          <cell r="D1333">
            <v>411264</v>
          </cell>
          <cell r="E1333" t="str">
            <v>רשות</v>
          </cell>
          <cell r="F1333" t="str">
            <v>אשכול</v>
          </cell>
          <cell r="G1333" t="str">
            <v>יסודי בלבד</v>
          </cell>
          <cell r="H1333" t="str">
            <v>כן</v>
          </cell>
          <cell r="I1333" t="str">
            <v>כן</v>
          </cell>
          <cell r="J1333" t="str">
            <v>כן</v>
          </cell>
          <cell r="K1333">
            <v>251</v>
          </cell>
          <cell r="L1333">
            <v>57</v>
          </cell>
        </row>
        <row r="1334">
          <cell r="D1334">
            <v>219311</v>
          </cell>
          <cell r="E1334" t="str">
            <v>רשות</v>
          </cell>
          <cell r="F1334" t="str">
            <v>אלביאדר</v>
          </cell>
          <cell r="G1334" t="str">
            <v>יסודי בלבד</v>
          </cell>
          <cell r="H1334" t="str">
            <v>כן</v>
          </cell>
          <cell r="I1334" t="str">
            <v>כן</v>
          </cell>
          <cell r="J1334" t="str">
            <v>כן</v>
          </cell>
          <cell r="K1334">
            <v>201</v>
          </cell>
          <cell r="L1334">
            <v>92</v>
          </cell>
        </row>
        <row r="1335">
          <cell r="D1335">
            <v>367730</v>
          </cell>
          <cell r="E1335" t="str">
            <v>רשות</v>
          </cell>
          <cell r="F1335" t="str">
            <v>שבילים ע"ש בגין</v>
          </cell>
          <cell r="G1335" t="str">
            <v>יסודי בלבד</v>
          </cell>
          <cell r="H1335" t="str">
            <v>כן</v>
          </cell>
          <cell r="I1335" t="str">
            <v>כן</v>
          </cell>
          <cell r="J1335" t="str">
            <v>כן</v>
          </cell>
          <cell r="K1335">
            <v>183</v>
          </cell>
          <cell r="L1335">
            <v>82</v>
          </cell>
        </row>
        <row r="1336">
          <cell r="D1336">
            <v>131052</v>
          </cell>
          <cell r="E1336" t="str">
            <v>רשות</v>
          </cell>
          <cell r="F1336" t="str">
            <v>תורני אורות בנות</v>
          </cell>
          <cell r="G1336" t="str">
            <v>יסודי בלבד</v>
          </cell>
          <cell r="H1336" t="str">
            <v>כן</v>
          </cell>
          <cell r="I1336" t="str">
            <v>כן</v>
          </cell>
          <cell r="J1336" t="str">
            <v>כן</v>
          </cell>
          <cell r="K1336">
            <v>173</v>
          </cell>
          <cell r="L1336">
            <v>90</v>
          </cell>
        </row>
        <row r="1337">
          <cell r="D1337">
            <v>482240</v>
          </cell>
          <cell r="E1337" t="str">
            <v>רשות</v>
          </cell>
          <cell r="F1337" t="str">
            <v>בית רבקה צעירות</v>
          </cell>
          <cell r="G1337" t="str">
            <v>יסודי בלבד</v>
          </cell>
          <cell r="H1337" t="str">
            <v>כן</v>
          </cell>
          <cell r="I1337" t="str">
            <v>לא</v>
          </cell>
          <cell r="J1337" t="str">
            <v>לא</v>
          </cell>
          <cell r="K1337">
            <v>100</v>
          </cell>
          <cell r="L1337">
            <v>100</v>
          </cell>
        </row>
        <row r="1338">
          <cell r="D1338">
            <v>614370</v>
          </cell>
          <cell r="E1338" t="str">
            <v>רשות</v>
          </cell>
          <cell r="F1338" t="str">
            <v>אופק</v>
          </cell>
          <cell r="G1338" t="str">
            <v>יסודי בלבד</v>
          </cell>
          <cell r="H1338" t="str">
            <v>כן</v>
          </cell>
          <cell r="I1338" t="str">
            <v>כן</v>
          </cell>
          <cell r="J1338" t="str">
            <v>כן</v>
          </cell>
          <cell r="K1338">
            <v>121</v>
          </cell>
          <cell r="L1338">
            <v>58</v>
          </cell>
        </row>
        <row r="1339">
          <cell r="D1339">
            <v>310474</v>
          </cell>
          <cell r="E1339" t="str">
            <v>רשות</v>
          </cell>
          <cell r="F1339" t="str">
            <v>דוד ילין</v>
          </cell>
          <cell r="G1339" t="str">
            <v>יסודי בלבד</v>
          </cell>
          <cell r="H1339" t="str">
            <v>כן</v>
          </cell>
          <cell r="I1339" t="str">
            <v>כן</v>
          </cell>
          <cell r="J1339" t="str">
            <v>כן</v>
          </cell>
          <cell r="K1339">
            <v>161</v>
          </cell>
          <cell r="L1339">
            <v>73</v>
          </cell>
        </row>
        <row r="1340">
          <cell r="D1340">
            <v>124123</v>
          </cell>
          <cell r="E1340" t="str">
            <v>בעלות</v>
          </cell>
          <cell r="F1340" t="str">
            <v>ת"ת מאיר עיניים</v>
          </cell>
          <cell r="G1340" t="str">
            <v>יסודי בלבד</v>
          </cell>
          <cell r="H1340" t="str">
            <v>כן</v>
          </cell>
          <cell r="I1340" t="str">
            <v>כן</v>
          </cell>
          <cell r="J1340" t="str">
            <v>כן</v>
          </cell>
          <cell r="K1340">
            <v>100</v>
          </cell>
          <cell r="L1340">
            <v>99</v>
          </cell>
        </row>
        <row r="1341">
          <cell r="D1341">
            <v>411819</v>
          </cell>
          <cell r="E1341" t="str">
            <v>רשות</v>
          </cell>
          <cell r="F1341" t="str">
            <v>יגאל אלון</v>
          </cell>
          <cell r="G1341" t="str">
            <v>יסודי בלבד</v>
          </cell>
          <cell r="H1341" t="str">
            <v>כן</v>
          </cell>
          <cell r="I1341" t="str">
            <v>כן</v>
          </cell>
          <cell r="J1341" t="str">
            <v>כן</v>
          </cell>
          <cell r="K1341">
            <v>190</v>
          </cell>
          <cell r="L1341">
            <v>50</v>
          </cell>
        </row>
        <row r="1342">
          <cell r="D1342">
            <v>410662</v>
          </cell>
          <cell r="E1342" t="str">
            <v>רשות</v>
          </cell>
          <cell r="F1342" t="str">
            <v>ת"ת ניצני התורה</v>
          </cell>
          <cell r="G1342" t="str">
            <v>יסודי בלבד</v>
          </cell>
          <cell r="H1342" t="str">
            <v>כן</v>
          </cell>
          <cell r="I1342" t="str">
            <v>כן</v>
          </cell>
          <cell r="J1342" t="str">
            <v>כן</v>
          </cell>
          <cell r="K1342">
            <v>83</v>
          </cell>
          <cell r="L1342">
            <v>55</v>
          </cell>
        </row>
        <row r="1343">
          <cell r="D1343">
            <v>480236</v>
          </cell>
          <cell r="E1343" t="str">
            <v>רשות</v>
          </cell>
          <cell r="F1343" t="str">
            <v>בית חינוך חב"ד בנים</v>
          </cell>
          <cell r="G1343" t="str">
            <v>יסודי בלבד</v>
          </cell>
          <cell r="H1343" t="str">
            <v>כן</v>
          </cell>
          <cell r="I1343" t="str">
            <v>כן</v>
          </cell>
          <cell r="J1343" t="str">
            <v>לא</v>
          </cell>
          <cell r="K1343">
            <v>48</v>
          </cell>
          <cell r="L1343">
            <v>48</v>
          </cell>
        </row>
        <row r="1344">
          <cell r="D1344">
            <v>211375</v>
          </cell>
          <cell r="E1344" t="str">
            <v>רשות</v>
          </cell>
          <cell r="F1344" t="str">
            <v>ארזים -מעלות תרשיחא</v>
          </cell>
          <cell r="G1344" t="str">
            <v>יסודי בלבד</v>
          </cell>
          <cell r="H1344" t="str">
            <v>כן</v>
          </cell>
          <cell r="I1344" t="str">
            <v>כן</v>
          </cell>
          <cell r="J1344" t="str">
            <v>כן</v>
          </cell>
          <cell r="K1344">
            <v>107</v>
          </cell>
          <cell r="L1344">
            <v>51</v>
          </cell>
        </row>
        <row r="1345">
          <cell r="D1345">
            <v>482760</v>
          </cell>
          <cell r="E1345" t="str">
            <v>רשות</v>
          </cell>
          <cell r="F1345" t="str">
            <v>רונה רמון</v>
          </cell>
          <cell r="G1345" t="str">
            <v>יסודי בלבד</v>
          </cell>
          <cell r="H1345" t="str">
            <v>כן</v>
          </cell>
          <cell r="I1345" t="str">
            <v>כן</v>
          </cell>
          <cell r="J1345" t="str">
            <v>כן</v>
          </cell>
          <cell r="K1345">
            <v>253</v>
          </cell>
          <cell r="L1345">
            <v>76</v>
          </cell>
        </row>
        <row r="1346">
          <cell r="D1346">
            <v>191015</v>
          </cell>
          <cell r="E1346" t="str">
            <v>רשות</v>
          </cell>
          <cell r="F1346" t="str">
            <v>אבני החושן</v>
          </cell>
          <cell r="G1346" t="str">
            <v>יסודי בלבד</v>
          </cell>
          <cell r="H1346" t="str">
            <v>כן</v>
          </cell>
          <cell r="I1346" t="str">
            <v>כן</v>
          </cell>
          <cell r="J1346" t="str">
            <v>לא</v>
          </cell>
          <cell r="K1346">
            <v>118</v>
          </cell>
          <cell r="L1346">
            <v>41</v>
          </cell>
        </row>
        <row r="1347">
          <cell r="D1347">
            <v>384586</v>
          </cell>
          <cell r="E1347" t="str">
            <v>רשות</v>
          </cell>
          <cell r="F1347" t="str">
            <v>פארק</v>
          </cell>
          <cell r="G1347" t="str">
            <v>יסודי בלבד</v>
          </cell>
          <cell r="H1347" t="str">
            <v>כן</v>
          </cell>
          <cell r="I1347" t="str">
            <v>כן</v>
          </cell>
          <cell r="J1347" t="str">
            <v>לא</v>
          </cell>
          <cell r="K1347">
            <v>155</v>
          </cell>
          <cell r="L1347">
            <v>77</v>
          </cell>
        </row>
        <row r="1348">
          <cell r="D1348">
            <v>384354</v>
          </cell>
          <cell r="E1348" t="str">
            <v>רשות</v>
          </cell>
          <cell r="F1348" t="str">
            <v>תלמי הדר</v>
          </cell>
          <cell r="G1348" t="str">
            <v>יסודי בלבד</v>
          </cell>
          <cell r="H1348" t="str">
            <v>כן</v>
          </cell>
          <cell r="I1348" t="str">
            <v>כן</v>
          </cell>
          <cell r="J1348" t="str">
            <v>כן</v>
          </cell>
          <cell r="K1348">
            <v>212</v>
          </cell>
          <cell r="L1348">
            <v>56</v>
          </cell>
        </row>
        <row r="1349">
          <cell r="D1349">
            <v>618397</v>
          </cell>
          <cell r="E1349" t="str">
            <v>רשות</v>
          </cell>
          <cell r="F1349" t="str">
            <v>אלביירוני</v>
          </cell>
          <cell r="G1349" t="str">
            <v>יסודי בלבד</v>
          </cell>
          <cell r="H1349" t="str">
            <v>כן</v>
          </cell>
          <cell r="I1349" t="str">
            <v>כן</v>
          </cell>
          <cell r="J1349" t="str">
            <v>כן</v>
          </cell>
          <cell r="K1349">
            <v>163</v>
          </cell>
          <cell r="L1349">
            <v>163</v>
          </cell>
        </row>
        <row r="1350">
          <cell r="D1350">
            <v>413658</v>
          </cell>
          <cell r="E1350" t="str">
            <v>רשות</v>
          </cell>
          <cell r="F1350" t="str">
            <v>ספיר</v>
          </cell>
          <cell r="G1350" t="str">
            <v>יסודי בלבד</v>
          </cell>
          <cell r="H1350" t="str">
            <v>כן</v>
          </cell>
          <cell r="I1350" t="str">
            <v>כן</v>
          </cell>
          <cell r="J1350" t="str">
            <v>כן</v>
          </cell>
          <cell r="K1350">
            <v>97</v>
          </cell>
          <cell r="L1350">
            <v>60</v>
          </cell>
        </row>
        <row r="1351">
          <cell r="D1351">
            <v>410845</v>
          </cell>
          <cell r="E1351" t="str">
            <v/>
          </cell>
          <cell r="F1351" t="str">
            <v>ממ' אהרונוביץ</v>
          </cell>
          <cell r="G1351" t="str">
            <v>יסודי בלבד</v>
          </cell>
          <cell r="H1351" t="str">
            <v>כן</v>
          </cell>
          <cell r="I1351" t="str">
            <v>כן</v>
          </cell>
          <cell r="J1351" t="str">
            <v>כן</v>
          </cell>
          <cell r="K1351">
            <v>218</v>
          </cell>
          <cell r="L1351">
            <v>54</v>
          </cell>
        </row>
        <row r="1352">
          <cell r="D1352">
            <v>384024</v>
          </cell>
          <cell r="E1352" t="str">
            <v>רשות</v>
          </cell>
          <cell r="F1352" t="str">
            <v>משעולים</v>
          </cell>
          <cell r="G1352" t="str">
            <v>יסודי בלבד</v>
          </cell>
          <cell r="H1352" t="str">
            <v>לא</v>
          </cell>
          <cell r="I1352" t="str">
            <v>לא</v>
          </cell>
          <cell r="J1352" t="str">
            <v>לא</v>
          </cell>
          <cell r="K1352">
            <v>0</v>
          </cell>
          <cell r="L1352">
            <v>0</v>
          </cell>
        </row>
        <row r="1353">
          <cell r="D1353">
            <v>482455</v>
          </cell>
          <cell r="E1353" t="str">
            <v>רשות</v>
          </cell>
          <cell r="F1353" t="str">
            <v>חיי שרה</v>
          </cell>
          <cell r="G1353" t="str">
            <v>יסודי בלבד</v>
          </cell>
          <cell r="H1353" t="str">
            <v>כן</v>
          </cell>
          <cell r="I1353" t="str">
            <v>כן</v>
          </cell>
          <cell r="J1353" t="str">
            <v>כן</v>
          </cell>
          <cell r="K1353">
            <v>67</v>
          </cell>
          <cell r="L1353">
            <v>40</v>
          </cell>
        </row>
        <row r="1354">
          <cell r="D1354">
            <v>318360</v>
          </cell>
          <cell r="E1354" t="str">
            <v>רשות</v>
          </cell>
          <cell r="F1354" t="str">
            <v>אל-שאפעי</v>
          </cell>
          <cell r="G1354" t="str">
            <v>יסודי בלבד</v>
          </cell>
          <cell r="H1354" t="str">
            <v>כן</v>
          </cell>
          <cell r="I1354" t="str">
            <v>כן</v>
          </cell>
          <cell r="J1354" t="str">
            <v>כן</v>
          </cell>
          <cell r="K1354">
            <v>249</v>
          </cell>
          <cell r="L1354">
            <v>52</v>
          </cell>
        </row>
        <row r="1355">
          <cell r="D1355">
            <v>613455</v>
          </cell>
          <cell r="E1355" t="str">
            <v>רשות</v>
          </cell>
          <cell r="F1355" t="str">
            <v>הרואה</v>
          </cell>
          <cell r="G1355" t="str">
            <v>יסודי בלבד</v>
          </cell>
          <cell r="H1355" t="str">
            <v>כן</v>
          </cell>
          <cell r="I1355" t="str">
            <v>כן</v>
          </cell>
          <cell r="J1355" t="str">
            <v>כן</v>
          </cell>
          <cell r="K1355">
            <v>192</v>
          </cell>
          <cell r="L1355">
            <v>62</v>
          </cell>
        </row>
        <row r="1356">
          <cell r="D1356">
            <v>482158</v>
          </cell>
          <cell r="E1356" t="str">
            <v>רשות</v>
          </cell>
          <cell r="F1356" t="str">
            <v>חמ"ד תורני חבל יבנה</v>
          </cell>
          <cell r="G1356" t="str">
            <v>יסודי בלבד</v>
          </cell>
          <cell r="H1356" t="str">
            <v>כן</v>
          </cell>
          <cell r="I1356" t="str">
            <v>כן</v>
          </cell>
          <cell r="J1356" t="str">
            <v>כן</v>
          </cell>
          <cell r="K1356">
            <v>124</v>
          </cell>
          <cell r="L1356">
            <v>92</v>
          </cell>
        </row>
        <row r="1357">
          <cell r="D1357">
            <v>611178</v>
          </cell>
          <cell r="E1357" t="str">
            <v>רשות</v>
          </cell>
          <cell r="F1357" t="str">
            <v>הרואה</v>
          </cell>
          <cell r="G1357" t="str">
            <v>יסודי בלבד</v>
          </cell>
          <cell r="H1357" t="str">
            <v>כן</v>
          </cell>
          <cell r="I1357" t="str">
            <v>כן</v>
          </cell>
          <cell r="J1357" t="str">
            <v>לא</v>
          </cell>
          <cell r="K1357">
            <v>123</v>
          </cell>
          <cell r="L1357">
            <v>85</v>
          </cell>
        </row>
        <row r="1358">
          <cell r="D1358">
            <v>514018</v>
          </cell>
          <cell r="E1358" t="str">
            <v>בעלות</v>
          </cell>
          <cell r="F1358" t="str">
            <v>ב"י מכתב מאליהו</v>
          </cell>
          <cell r="G1358" t="str">
            <v>יסודי בלבד</v>
          </cell>
          <cell r="H1358" t="str">
            <v>כן</v>
          </cell>
          <cell r="I1358" t="str">
            <v>כן</v>
          </cell>
          <cell r="J1358" t="str">
            <v>כן</v>
          </cell>
          <cell r="K1358">
            <v>129</v>
          </cell>
          <cell r="L1358">
            <v>45</v>
          </cell>
        </row>
        <row r="1359">
          <cell r="D1359">
            <v>353169</v>
          </cell>
          <cell r="E1359" t="str">
            <v>רשות</v>
          </cell>
          <cell r="F1359" t="str">
            <v>אלקנדיל</v>
          </cell>
          <cell r="G1359" t="str">
            <v>יסודי בלבד</v>
          </cell>
          <cell r="H1359" t="str">
            <v>כן</v>
          </cell>
          <cell r="I1359" t="str">
            <v>כן</v>
          </cell>
          <cell r="J1359" t="str">
            <v>כן</v>
          </cell>
          <cell r="K1359">
            <v>145</v>
          </cell>
          <cell r="L1359">
            <v>137</v>
          </cell>
        </row>
        <row r="1360">
          <cell r="D1360">
            <v>113043</v>
          </cell>
          <cell r="E1360" t="str">
            <v/>
          </cell>
          <cell r="F1360" t="str">
            <v>בית יעקב אוהל רחל</v>
          </cell>
          <cell r="G1360" t="str">
            <v>יסודי בלבד</v>
          </cell>
          <cell r="H1360" t="str">
            <v>כן</v>
          </cell>
          <cell r="I1360" t="str">
            <v>כן</v>
          </cell>
          <cell r="J1360" t="str">
            <v>כן</v>
          </cell>
          <cell r="K1360">
            <v>503</v>
          </cell>
          <cell r="L1360">
            <v>125</v>
          </cell>
        </row>
        <row r="1361">
          <cell r="D1361">
            <v>418145</v>
          </cell>
          <cell r="E1361" t="str">
            <v>רשות</v>
          </cell>
          <cell r="F1361" t="str">
            <v>אבן סינא</v>
          </cell>
          <cell r="G1361" t="str">
            <v>יסודי בלבד</v>
          </cell>
          <cell r="H1361" t="str">
            <v>כן</v>
          </cell>
          <cell r="I1361" t="str">
            <v>כן</v>
          </cell>
          <cell r="J1361" t="str">
            <v>כן</v>
          </cell>
          <cell r="K1361">
            <v>138</v>
          </cell>
          <cell r="L1361">
            <v>129</v>
          </cell>
        </row>
        <row r="1362">
          <cell r="D1362">
            <v>344051</v>
          </cell>
          <cell r="E1362" t="str">
            <v>בעלות</v>
          </cell>
          <cell r="F1362" t="str">
            <v>חסדי אבות</v>
          </cell>
          <cell r="G1362" t="str">
            <v>יסודי בלבד</v>
          </cell>
          <cell r="H1362" t="str">
            <v>כן</v>
          </cell>
          <cell r="I1362" t="str">
            <v>כן</v>
          </cell>
          <cell r="J1362" t="str">
            <v>כן</v>
          </cell>
          <cell r="K1362">
            <v>177</v>
          </cell>
          <cell r="L1362">
            <v>178</v>
          </cell>
        </row>
        <row r="1363">
          <cell r="D1363">
            <v>447466</v>
          </cell>
          <cell r="E1363" t="str">
            <v>רשות</v>
          </cell>
          <cell r="F1363" t="str">
            <v>חורב בנות</v>
          </cell>
          <cell r="G1363" t="str">
            <v>יסודי בלבד</v>
          </cell>
          <cell r="H1363" t="str">
            <v>כן</v>
          </cell>
          <cell r="I1363" t="str">
            <v>כן</v>
          </cell>
          <cell r="J1363" t="str">
            <v>כן</v>
          </cell>
          <cell r="K1363">
            <v>148</v>
          </cell>
          <cell r="L1363">
            <v>76</v>
          </cell>
        </row>
        <row r="1364">
          <cell r="D1364">
            <v>761015</v>
          </cell>
          <cell r="E1364" t="str">
            <v>רשות</v>
          </cell>
          <cell r="F1364" t="str">
            <v>דרכי נועם</v>
          </cell>
          <cell r="G1364" t="str">
            <v>יסודי בלבד</v>
          </cell>
          <cell r="H1364" t="str">
            <v>כן</v>
          </cell>
          <cell r="I1364" t="str">
            <v>כן</v>
          </cell>
          <cell r="J1364" t="str">
            <v>כן</v>
          </cell>
          <cell r="K1364">
            <v>46</v>
          </cell>
          <cell r="L1364">
            <v>46</v>
          </cell>
        </row>
        <row r="1365">
          <cell r="D1365">
            <v>511543</v>
          </cell>
          <cell r="E1365" t="str">
            <v>רשות</v>
          </cell>
          <cell r="F1365" t="str">
            <v>ת"ת ברקאי</v>
          </cell>
          <cell r="G1365" t="str">
            <v>יסודי בלבד</v>
          </cell>
          <cell r="H1365" t="str">
            <v>כן</v>
          </cell>
          <cell r="I1365" t="str">
            <v>כן</v>
          </cell>
          <cell r="J1365" t="str">
            <v>כן</v>
          </cell>
          <cell r="K1365">
            <v>123</v>
          </cell>
          <cell r="L1365">
            <v>41</v>
          </cell>
        </row>
        <row r="1366">
          <cell r="D1366">
            <v>482133</v>
          </cell>
          <cell r="E1366" t="str">
            <v>רשות</v>
          </cell>
          <cell r="F1366" t="str">
            <v>יובלים</v>
          </cell>
          <cell r="G1366" t="str">
            <v>יסודי בלבד</v>
          </cell>
          <cell r="H1366" t="str">
            <v>כן</v>
          </cell>
          <cell r="I1366" t="str">
            <v>כן</v>
          </cell>
          <cell r="J1366" t="str">
            <v>כן</v>
          </cell>
          <cell r="K1366">
            <v>384</v>
          </cell>
          <cell r="L1366">
            <v>222</v>
          </cell>
        </row>
        <row r="1367">
          <cell r="D1367">
            <v>384552</v>
          </cell>
          <cell r="E1367" t="str">
            <v>רשות</v>
          </cell>
          <cell r="F1367" t="str">
            <v>כנפי רוח בנות</v>
          </cell>
          <cell r="G1367" t="str">
            <v>יסודי בלבד</v>
          </cell>
          <cell r="H1367" t="str">
            <v>כן</v>
          </cell>
          <cell r="I1367" t="str">
            <v>כן</v>
          </cell>
          <cell r="J1367" t="str">
            <v>כן</v>
          </cell>
          <cell r="K1367">
            <v>364</v>
          </cell>
          <cell r="L1367">
            <v>274</v>
          </cell>
        </row>
        <row r="1368">
          <cell r="D1368">
            <v>682435</v>
          </cell>
          <cell r="E1368" t="str">
            <v/>
          </cell>
          <cell r="F1368" t="str">
            <v>אבן ישראל</v>
          </cell>
          <cell r="G1368" t="str">
            <v>יסודי בלבד</v>
          </cell>
          <cell r="H1368" t="str">
            <v>כן</v>
          </cell>
          <cell r="I1368" t="str">
            <v>כן</v>
          </cell>
          <cell r="J1368" t="str">
            <v>כן</v>
          </cell>
          <cell r="K1368">
            <v>65</v>
          </cell>
          <cell r="L1368">
            <v>65</v>
          </cell>
        </row>
        <row r="1369">
          <cell r="D1369">
            <v>213504</v>
          </cell>
          <cell r="E1369" t="str">
            <v>רשות</v>
          </cell>
          <cell r="F1369" t="str">
            <v>יגאל אלון-מגדל העמק</v>
          </cell>
          <cell r="G1369" t="str">
            <v>יסודי בלבד</v>
          </cell>
          <cell r="H1369" t="str">
            <v>כן</v>
          </cell>
          <cell r="I1369" t="str">
            <v>כן</v>
          </cell>
          <cell r="J1369" t="str">
            <v>כן</v>
          </cell>
          <cell r="K1369">
            <v>158</v>
          </cell>
          <cell r="L1369">
            <v>46</v>
          </cell>
        </row>
        <row r="1370">
          <cell r="D1370">
            <v>413740</v>
          </cell>
          <cell r="E1370" t="str">
            <v>רשות</v>
          </cell>
          <cell r="F1370" t="str">
            <v>ממ"ד מורשת מנחם</v>
          </cell>
          <cell r="G1370" t="str">
            <v>יסודי בלבד</v>
          </cell>
          <cell r="H1370" t="str">
            <v>כן</v>
          </cell>
          <cell r="I1370" t="str">
            <v>כן</v>
          </cell>
          <cell r="J1370" t="str">
            <v>כן</v>
          </cell>
          <cell r="K1370">
            <v>387</v>
          </cell>
          <cell r="L1370">
            <v>135</v>
          </cell>
        </row>
        <row r="1371">
          <cell r="D1371">
            <v>756544</v>
          </cell>
          <cell r="E1371" t="str">
            <v>בעלות</v>
          </cell>
          <cell r="F1371" t="str">
            <v>נוות יעקב</v>
          </cell>
          <cell r="G1371" t="str">
            <v>יסודי בלבד</v>
          </cell>
          <cell r="H1371" t="str">
            <v>כן</v>
          </cell>
          <cell r="I1371" t="str">
            <v>כן</v>
          </cell>
          <cell r="J1371" t="str">
            <v>כן</v>
          </cell>
          <cell r="K1371">
            <v>57</v>
          </cell>
          <cell r="L1371">
            <v>56</v>
          </cell>
        </row>
        <row r="1372">
          <cell r="D1372">
            <v>114033</v>
          </cell>
          <cell r="E1372" t="str">
            <v>רשות</v>
          </cell>
          <cell r="F1372" t="str">
            <v>מנחת</v>
          </cell>
          <cell r="G1372" t="str">
            <v>יסודי בלבד</v>
          </cell>
          <cell r="H1372" t="str">
            <v>כן</v>
          </cell>
          <cell r="I1372" t="str">
            <v>כן</v>
          </cell>
          <cell r="J1372" t="str">
            <v>כן</v>
          </cell>
          <cell r="K1372">
            <v>85</v>
          </cell>
          <cell r="L1372">
            <v>52</v>
          </cell>
        </row>
        <row r="1373">
          <cell r="D1373">
            <v>418061</v>
          </cell>
          <cell r="E1373" t="str">
            <v/>
          </cell>
          <cell r="F1373" t="str">
            <v>אל גזאלי</v>
          </cell>
          <cell r="G1373" t="str">
            <v>יסודי בלבד</v>
          </cell>
          <cell r="H1373" t="str">
            <v>כן</v>
          </cell>
          <cell r="I1373" t="str">
            <v>כן</v>
          </cell>
          <cell r="J1373" t="str">
            <v>כן</v>
          </cell>
          <cell r="K1373">
            <v>108</v>
          </cell>
          <cell r="L1373">
            <v>40</v>
          </cell>
        </row>
        <row r="1374">
          <cell r="D1374">
            <v>312041</v>
          </cell>
          <cell r="E1374" t="str">
            <v/>
          </cell>
          <cell r="F1374" t="str">
            <v>ב"י חורב פ. חנה</v>
          </cell>
          <cell r="G1374" t="str">
            <v>יסודי בלבד</v>
          </cell>
          <cell r="H1374" t="str">
            <v>כן</v>
          </cell>
          <cell r="I1374" t="str">
            <v>כן</v>
          </cell>
          <cell r="J1374" t="str">
            <v>כן</v>
          </cell>
          <cell r="K1374">
            <v>0</v>
          </cell>
          <cell r="L1374">
            <v>59</v>
          </cell>
        </row>
        <row r="1375">
          <cell r="D1375">
            <v>611160</v>
          </cell>
          <cell r="E1375" t="str">
            <v>רשות</v>
          </cell>
          <cell r="F1375" t="str">
            <v>שקמים</v>
          </cell>
          <cell r="G1375" t="str">
            <v>יסודי בלבד</v>
          </cell>
          <cell r="H1375" t="str">
            <v>כן</v>
          </cell>
          <cell r="I1375" t="str">
            <v>כן</v>
          </cell>
          <cell r="J1375" t="str">
            <v>לא</v>
          </cell>
          <cell r="K1375">
            <v>120</v>
          </cell>
          <cell r="L1375">
            <v>71</v>
          </cell>
        </row>
        <row r="1376">
          <cell r="D1376">
            <v>442483</v>
          </cell>
          <cell r="E1376" t="str">
            <v>רשות</v>
          </cell>
          <cell r="F1376" t="str">
            <v>הביל"ויים</v>
          </cell>
          <cell r="G1376" t="str">
            <v>יסודי בלבד</v>
          </cell>
          <cell r="H1376" t="str">
            <v>כן</v>
          </cell>
          <cell r="I1376" t="str">
            <v>כן</v>
          </cell>
          <cell r="J1376" t="str">
            <v>כן</v>
          </cell>
          <cell r="K1376">
            <v>259</v>
          </cell>
          <cell r="L1376">
            <v>95</v>
          </cell>
        </row>
        <row r="1377">
          <cell r="D1377">
            <v>412577</v>
          </cell>
          <cell r="E1377" t="str">
            <v/>
          </cell>
          <cell r="F1377" t="str">
            <v>אג'יאל</v>
          </cell>
          <cell r="G1377" t="str">
            <v>יסודי בלבד</v>
          </cell>
          <cell r="H1377" t="str">
            <v>כן</v>
          </cell>
          <cell r="I1377" t="str">
            <v>כן</v>
          </cell>
          <cell r="J1377" t="str">
            <v>כן</v>
          </cell>
          <cell r="K1377">
            <v>217</v>
          </cell>
          <cell r="L1377">
            <v>90</v>
          </cell>
        </row>
        <row r="1378">
          <cell r="D1378">
            <v>312082</v>
          </cell>
          <cell r="E1378" t="str">
            <v>רשות</v>
          </cell>
          <cell r="F1378" t="str">
            <v>רוממה</v>
          </cell>
          <cell r="G1378" t="str">
            <v>יסודי בלבד</v>
          </cell>
          <cell r="H1378" t="str">
            <v>כן</v>
          </cell>
          <cell r="I1378" t="str">
            <v>כן</v>
          </cell>
          <cell r="J1378" t="str">
            <v>לא</v>
          </cell>
          <cell r="K1378">
            <v>99</v>
          </cell>
          <cell r="L1378">
            <v>60</v>
          </cell>
        </row>
        <row r="1379">
          <cell r="D1379">
            <v>616961</v>
          </cell>
          <cell r="E1379" t="str">
            <v/>
          </cell>
          <cell r="F1379" t="str">
            <v>ארתיקאא לשפות</v>
          </cell>
          <cell r="G1379" t="str">
            <v>יסודי בלבד</v>
          </cell>
          <cell r="H1379" t="str">
            <v>כן</v>
          </cell>
          <cell r="I1379" t="str">
            <v>כן</v>
          </cell>
          <cell r="J1379" t="str">
            <v>כן</v>
          </cell>
          <cell r="K1379">
            <v>167</v>
          </cell>
          <cell r="L1379">
            <v>48</v>
          </cell>
        </row>
        <row r="1380">
          <cell r="D1380">
            <v>630012</v>
          </cell>
          <cell r="E1380" t="str">
            <v>רשות</v>
          </cell>
          <cell r="F1380" t="str">
            <v>אלסלאם</v>
          </cell>
          <cell r="G1380" t="str">
            <v>יסודי בלבד</v>
          </cell>
          <cell r="H1380" t="str">
            <v>כן</v>
          </cell>
          <cell r="I1380" t="str">
            <v>כן</v>
          </cell>
          <cell r="J1380" t="str">
            <v>כן</v>
          </cell>
          <cell r="K1380">
            <v>210</v>
          </cell>
          <cell r="L1380">
            <v>60</v>
          </cell>
        </row>
        <row r="1381">
          <cell r="D1381">
            <v>415232</v>
          </cell>
          <cell r="E1381" t="str">
            <v>רשות</v>
          </cell>
          <cell r="F1381" t="str">
            <v>יצחק רבין</v>
          </cell>
          <cell r="G1381" t="str">
            <v>יסודי בלבד</v>
          </cell>
          <cell r="H1381" t="str">
            <v>כן</v>
          </cell>
          <cell r="I1381" t="str">
            <v>כן</v>
          </cell>
          <cell r="J1381" t="str">
            <v>כן</v>
          </cell>
          <cell r="K1381">
            <v>307</v>
          </cell>
          <cell r="L1381">
            <v>67</v>
          </cell>
        </row>
        <row r="1382">
          <cell r="D1382">
            <v>482273</v>
          </cell>
          <cell r="E1382" t="str">
            <v/>
          </cell>
          <cell r="F1382" t="str">
            <v>יצחק נבון</v>
          </cell>
          <cell r="G1382" t="str">
            <v>יסודי בלבד</v>
          </cell>
          <cell r="H1382" t="str">
            <v>כן</v>
          </cell>
          <cell r="I1382" t="str">
            <v>כן</v>
          </cell>
          <cell r="J1382" t="str">
            <v>כן</v>
          </cell>
          <cell r="K1382">
            <v>335</v>
          </cell>
          <cell r="L1382">
            <v>79</v>
          </cell>
        </row>
        <row r="1383">
          <cell r="D1383">
            <v>412718</v>
          </cell>
          <cell r="E1383" t="str">
            <v>רשות</v>
          </cell>
          <cell r="F1383" t="str">
            <v>לב המושבה</v>
          </cell>
          <cell r="G1383" t="str">
            <v>יסודי בלבד</v>
          </cell>
          <cell r="H1383" t="str">
            <v>כן</v>
          </cell>
          <cell r="I1383" t="str">
            <v>כן</v>
          </cell>
          <cell r="J1383" t="str">
            <v>כן</v>
          </cell>
          <cell r="K1383">
            <v>218</v>
          </cell>
          <cell r="L1383">
            <v>38</v>
          </cell>
        </row>
        <row r="1384">
          <cell r="D1384">
            <v>414805</v>
          </cell>
          <cell r="E1384" t="str">
            <v>רשות</v>
          </cell>
          <cell r="F1384" t="str">
            <v>ממלכתי לב רן</v>
          </cell>
          <cell r="G1384" t="str">
            <v>יסודי בלבד</v>
          </cell>
          <cell r="H1384" t="str">
            <v>כן</v>
          </cell>
          <cell r="I1384" t="str">
            <v>כן</v>
          </cell>
          <cell r="J1384" t="str">
            <v>כן</v>
          </cell>
          <cell r="K1384">
            <v>316</v>
          </cell>
          <cell r="L1384">
            <v>91</v>
          </cell>
        </row>
        <row r="1385">
          <cell r="D1385">
            <v>612960</v>
          </cell>
          <cell r="E1385" t="str">
            <v>רשות</v>
          </cell>
          <cell r="F1385" t="str">
            <v>יח"ד</v>
          </cell>
          <cell r="G1385" t="str">
            <v>יסודי בלבד</v>
          </cell>
          <cell r="H1385" t="str">
            <v>כן</v>
          </cell>
          <cell r="I1385" t="str">
            <v>כן</v>
          </cell>
          <cell r="J1385" t="str">
            <v>כן</v>
          </cell>
          <cell r="K1385">
            <v>302</v>
          </cell>
          <cell r="L1385">
            <v>144</v>
          </cell>
        </row>
        <row r="1386">
          <cell r="D1386">
            <v>414599</v>
          </cell>
          <cell r="E1386" t="str">
            <v>רשות</v>
          </cell>
          <cell r="F1386" t="str">
            <v>ממ"ד חב"ד בנים</v>
          </cell>
          <cell r="G1386" t="str">
            <v>יסודי בלבד</v>
          </cell>
          <cell r="H1386" t="str">
            <v>כן</v>
          </cell>
          <cell r="I1386" t="str">
            <v>כן</v>
          </cell>
          <cell r="J1386" t="str">
            <v>כן</v>
          </cell>
          <cell r="K1386">
            <v>134</v>
          </cell>
          <cell r="L1386">
            <v>134</v>
          </cell>
        </row>
        <row r="1387">
          <cell r="D1387">
            <v>111633</v>
          </cell>
          <cell r="E1387" t="str">
            <v/>
          </cell>
          <cell r="F1387" t="str">
            <v>בית יעקב נוה יעקב</v>
          </cell>
          <cell r="G1387" t="str">
            <v>יסודי בלבד</v>
          </cell>
          <cell r="H1387" t="str">
            <v>לא</v>
          </cell>
          <cell r="I1387" t="str">
            <v>לא</v>
          </cell>
          <cell r="J1387" t="str">
            <v>לא</v>
          </cell>
          <cell r="K1387">
            <v>0</v>
          </cell>
          <cell r="L1387">
            <v>0</v>
          </cell>
        </row>
        <row r="1388">
          <cell r="D1388">
            <v>411900</v>
          </cell>
          <cell r="E1388" t="str">
            <v>רשות</v>
          </cell>
          <cell r="F1388" t="str">
            <v>חביב</v>
          </cell>
          <cell r="G1388" t="str">
            <v>יסודי בלבד</v>
          </cell>
          <cell r="H1388" t="str">
            <v>כן</v>
          </cell>
          <cell r="I1388" t="str">
            <v>כן</v>
          </cell>
          <cell r="J1388" t="str">
            <v>כן</v>
          </cell>
          <cell r="K1388">
            <v>222</v>
          </cell>
          <cell r="L1388">
            <v>77</v>
          </cell>
        </row>
        <row r="1389">
          <cell r="D1389">
            <v>217398</v>
          </cell>
          <cell r="E1389" t="str">
            <v>רשות</v>
          </cell>
          <cell r="F1389" t="str">
            <v>יסודי ב'-יפיע</v>
          </cell>
          <cell r="G1389" t="str">
            <v>יסודי בלבד</v>
          </cell>
          <cell r="H1389" t="str">
            <v>כן</v>
          </cell>
          <cell r="I1389" t="str">
            <v>כן</v>
          </cell>
          <cell r="J1389" t="str">
            <v>כן</v>
          </cell>
          <cell r="K1389">
            <v>143</v>
          </cell>
          <cell r="L1389">
            <v>105</v>
          </cell>
        </row>
        <row r="1390">
          <cell r="D1390">
            <v>416487</v>
          </cell>
          <cell r="E1390" t="str">
            <v>רשות</v>
          </cell>
          <cell r="F1390" t="str">
            <v>רימון</v>
          </cell>
          <cell r="G1390" t="str">
            <v>יסודי בלבד</v>
          </cell>
          <cell r="H1390" t="str">
            <v>כן</v>
          </cell>
          <cell r="I1390" t="str">
            <v>כן</v>
          </cell>
          <cell r="J1390" t="str">
            <v>כן</v>
          </cell>
          <cell r="K1390">
            <v>262</v>
          </cell>
          <cell r="L1390">
            <v>47</v>
          </cell>
        </row>
        <row r="1391">
          <cell r="D1391">
            <v>219667</v>
          </cell>
          <cell r="E1391" t="str">
            <v/>
          </cell>
          <cell r="F1391" t="str">
            <v>אלראזי כפר מנדא(ד')</v>
          </cell>
          <cell r="G1391" t="str">
            <v>יסודי בלבד</v>
          </cell>
          <cell r="H1391" t="str">
            <v>כן</v>
          </cell>
          <cell r="I1391" t="str">
            <v>כן</v>
          </cell>
          <cell r="J1391" t="str">
            <v>כן</v>
          </cell>
          <cell r="K1391">
            <v>241</v>
          </cell>
          <cell r="L1391">
            <v>225</v>
          </cell>
        </row>
        <row r="1392">
          <cell r="D1392">
            <v>338483</v>
          </cell>
          <cell r="E1392" t="str">
            <v/>
          </cell>
          <cell r="F1392" t="str">
            <v>אבו חאמד אלגזאלי</v>
          </cell>
          <cell r="G1392" t="str">
            <v>יסודי בלבד</v>
          </cell>
          <cell r="H1392" t="str">
            <v>כן</v>
          </cell>
          <cell r="I1392" t="str">
            <v>כן</v>
          </cell>
          <cell r="J1392" t="str">
            <v>כן</v>
          </cell>
          <cell r="K1392">
            <v>224</v>
          </cell>
          <cell r="L1392">
            <v>45</v>
          </cell>
        </row>
        <row r="1393">
          <cell r="D1393">
            <v>412726</v>
          </cell>
          <cell r="E1393" t="str">
            <v/>
          </cell>
          <cell r="F1393" t="str">
            <v>האירוס</v>
          </cell>
          <cell r="G1393" t="str">
            <v>יסודי בלבד</v>
          </cell>
          <cell r="H1393" t="str">
            <v>כן</v>
          </cell>
          <cell r="I1393" t="str">
            <v>כן</v>
          </cell>
          <cell r="J1393" t="str">
            <v>כן</v>
          </cell>
          <cell r="K1393">
            <v>174</v>
          </cell>
          <cell r="L1393">
            <v>81</v>
          </cell>
        </row>
        <row r="1394">
          <cell r="D1394">
            <v>415364</v>
          </cell>
          <cell r="E1394" t="str">
            <v>רשות</v>
          </cell>
          <cell r="F1394" t="str">
            <v>גני אביב</v>
          </cell>
          <cell r="G1394" t="str">
            <v>יסודי בלבד</v>
          </cell>
          <cell r="H1394" t="str">
            <v>כן</v>
          </cell>
          <cell r="I1394" t="str">
            <v>כן</v>
          </cell>
          <cell r="J1394" t="str">
            <v>כן</v>
          </cell>
          <cell r="K1394">
            <v>143</v>
          </cell>
          <cell r="L1394">
            <v>76</v>
          </cell>
        </row>
        <row r="1395">
          <cell r="D1395">
            <v>530048</v>
          </cell>
          <cell r="E1395" t="str">
            <v>רשות</v>
          </cell>
          <cell r="F1395" t="str">
            <v>אמי"ת אורגד</v>
          </cell>
          <cell r="G1395" t="str">
            <v>יסודי בלבד</v>
          </cell>
          <cell r="H1395" t="str">
            <v>כן</v>
          </cell>
          <cell r="I1395" t="str">
            <v>כן</v>
          </cell>
          <cell r="J1395" t="str">
            <v>כן</v>
          </cell>
          <cell r="K1395">
            <v>145</v>
          </cell>
          <cell r="L1395">
            <v>65</v>
          </cell>
        </row>
        <row r="1396">
          <cell r="D1396">
            <v>417196</v>
          </cell>
          <cell r="E1396" t="str">
            <v>רשות</v>
          </cell>
          <cell r="F1396" t="str">
            <v>קרית האומנים</v>
          </cell>
          <cell r="G1396" t="str">
            <v>יסודי בלבד</v>
          </cell>
          <cell r="H1396" t="str">
            <v>כן</v>
          </cell>
          <cell r="I1396" t="str">
            <v>כן</v>
          </cell>
          <cell r="J1396" t="str">
            <v>כן</v>
          </cell>
          <cell r="K1396">
            <v>141</v>
          </cell>
          <cell r="L1396">
            <v>91</v>
          </cell>
        </row>
        <row r="1397">
          <cell r="D1397">
            <v>410118</v>
          </cell>
          <cell r="E1397" t="str">
            <v>רשות</v>
          </cell>
          <cell r="F1397" t="str">
            <v>הירוק ע"ש פרס</v>
          </cell>
          <cell r="G1397" t="str">
            <v>יסודי בלבד</v>
          </cell>
          <cell r="H1397" t="str">
            <v>כן</v>
          </cell>
          <cell r="I1397" t="str">
            <v>כן</v>
          </cell>
          <cell r="J1397" t="str">
            <v>כן</v>
          </cell>
          <cell r="K1397">
            <v>244</v>
          </cell>
          <cell r="L1397">
            <v>81</v>
          </cell>
        </row>
        <row r="1398">
          <cell r="D1398">
            <v>612242</v>
          </cell>
          <cell r="E1398" t="str">
            <v>רשות</v>
          </cell>
          <cell r="F1398" t="str">
            <v>שיטים</v>
          </cell>
          <cell r="G1398" t="str">
            <v>יסודי בלבד</v>
          </cell>
          <cell r="H1398" t="str">
            <v>כן</v>
          </cell>
          <cell r="I1398" t="str">
            <v>כן</v>
          </cell>
          <cell r="J1398" t="str">
            <v>כן</v>
          </cell>
          <cell r="K1398">
            <v>290</v>
          </cell>
          <cell r="L1398">
            <v>76</v>
          </cell>
        </row>
        <row r="1399">
          <cell r="D1399">
            <v>362061</v>
          </cell>
          <cell r="E1399" t="str">
            <v>רשות</v>
          </cell>
          <cell r="F1399" t="str">
            <v>בין ההדרים</v>
          </cell>
          <cell r="G1399" t="str">
            <v>יסודי בלבד</v>
          </cell>
          <cell r="H1399" t="str">
            <v>כן</v>
          </cell>
          <cell r="I1399" t="str">
            <v>כן</v>
          </cell>
          <cell r="J1399" t="str">
            <v>כן</v>
          </cell>
          <cell r="K1399">
            <v>200</v>
          </cell>
          <cell r="L1399">
            <v>40</v>
          </cell>
        </row>
        <row r="1400">
          <cell r="D1400">
            <v>614073</v>
          </cell>
          <cell r="E1400" t="str">
            <v>רשות</v>
          </cell>
          <cell r="F1400" t="str">
            <v>מצפה ים</v>
          </cell>
          <cell r="G1400" t="str">
            <v>יסודי בלבד</v>
          </cell>
          <cell r="H1400" t="str">
            <v>כן</v>
          </cell>
          <cell r="I1400" t="str">
            <v>כן</v>
          </cell>
          <cell r="J1400" t="str">
            <v>כן</v>
          </cell>
          <cell r="K1400">
            <v>173</v>
          </cell>
          <cell r="L1400">
            <v>118</v>
          </cell>
        </row>
        <row r="1401">
          <cell r="D1401">
            <v>612044</v>
          </cell>
          <cell r="E1401" t="str">
            <v>רשות</v>
          </cell>
          <cell r="F1401" t="str">
            <v>יעלים</v>
          </cell>
          <cell r="G1401" t="str">
            <v>יסודי בלבד</v>
          </cell>
          <cell r="H1401" t="str">
            <v>כן</v>
          </cell>
          <cell r="I1401" t="str">
            <v>כן</v>
          </cell>
          <cell r="J1401" t="str">
            <v>כן</v>
          </cell>
          <cell r="K1401">
            <v>177</v>
          </cell>
          <cell r="L1401">
            <v>100</v>
          </cell>
        </row>
        <row r="1402">
          <cell r="D1402">
            <v>311001</v>
          </cell>
          <cell r="E1402" t="str">
            <v>רשות</v>
          </cell>
          <cell r="F1402" t="str">
            <v>פינסקר</v>
          </cell>
          <cell r="G1402" t="str">
            <v>יסודי בלבד</v>
          </cell>
          <cell r="H1402" t="str">
            <v>כן</v>
          </cell>
          <cell r="I1402" t="str">
            <v>כן</v>
          </cell>
          <cell r="J1402" t="str">
            <v>כן</v>
          </cell>
          <cell r="K1402">
            <v>162</v>
          </cell>
          <cell r="L1402">
            <v>62</v>
          </cell>
        </row>
        <row r="1403">
          <cell r="D1403">
            <v>416255</v>
          </cell>
          <cell r="E1403" t="str">
            <v>בעלות</v>
          </cell>
          <cell r="F1403" t="str">
            <v>טללי החיים</v>
          </cell>
          <cell r="G1403" t="str">
            <v>יסודי בלבד</v>
          </cell>
          <cell r="H1403" t="str">
            <v>כן</v>
          </cell>
          <cell r="I1403" t="str">
            <v>כן</v>
          </cell>
          <cell r="J1403" t="str">
            <v>כן</v>
          </cell>
          <cell r="K1403">
            <v>131</v>
          </cell>
          <cell r="L1403">
            <v>90</v>
          </cell>
        </row>
        <row r="1404">
          <cell r="D1404">
            <v>111450</v>
          </cell>
          <cell r="E1404" t="str">
            <v>רשות</v>
          </cell>
          <cell r="F1404" t="str">
            <v>גוונים מ"מ</v>
          </cell>
          <cell r="G1404" t="str">
            <v>יסודי בלבד</v>
          </cell>
          <cell r="H1404" t="str">
            <v>כן</v>
          </cell>
          <cell r="I1404" t="str">
            <v>לא</v>
          </cell>
          <cell r="J1404" t="str">
            <v>לא</v>
          </cell>
          <cell r="K1404">
            <v>5</v>
          </cell>
          <cell r="L1404">
            <v>4</v>
          </cell>
        </row>
        <row r="1405">
          <cell r="D1405">
            <v>338210</v>
          </cell>
          <cell r="E1405" t="str">
            <v>רשות</v>
          </cell>
          <cell r="F1405" t="str">
            <v>יסודי אלחוארנה</v>
          </cell>
          <cell r="G1405" t="str">
            <v>יסודי בלבד</v>
          </cell>
          <cell r="H1405" t="str">
            <v>כן</v>
          </cell>
          <cell r="I1405" t="str">
            <v>כן</v>
          </cell>
          <cell r="J1405" t="str">
            <v>כן</v>
          </cell>
          <cell r="K1405">
            <v>284</v>
          </cell>
          <cell r="L1405">
            <v>69</v>
          </cell>
        </row>
        <row r="1406">
          <cell r="D1406">
            <v>219519</v>
          </cell>
          <cell r="E1406" t="str">
            <v/>
          </cell>
          <cell r="F1406" t="str">
            <v>אלספא סכנין</v>
          </cell>
          <cell r="G1406" t="str">
            <v>יסודי בלבד</v>
          </cell>
          <cell r="H1406" t="str">
            <v>כן</v>
          </cell>
          <cell r="I1406" t="str">
            <v>כן</v>
          </cell>
          <cell r="J1406" t="str">
            <v>כן</v>
          </cell>
          <cell r="K1406">
            <v>211</v>
          </cell>
          <cell r="L1406">
            <v>60</v>
          </cell>
        </row>
        <row r="1407">
          <cell r="D1407">
            <v>510842</v>
          </cell>
          <cell r="E1407" t="str">
            <v>רשות</v>
          </cell>
          <cell r="F1407" t="str">
            <v>רמת חן ע"ש א. רמון</v>
          </cell>
          <cell r="G1407" t="str">
            <v>יסודי בלבד</v>
          </cell>
          <cell r="H1407" t="str">
            <v>כן</v>
          </cell>
          <cell r="I1407" t="str">
            <v>כן</v>
          </cell>
          <cell r="J1407" t="str">
            <v>כן</v>
          </cell>
          <cell r="K1407">
            <v>355</v>
          </cell>
          <cell r="L1407">
            <v>79</v>
          </cell>
        </row>
        <row r="1408">
          <cell r="D1408">
            <v>318212</v>
          </cell>
          <cell r="E1408" t="str">
            <v>רשות</v>
          </cell>
          <cell r="F1408" t="str">
            <v>מושירפה</v>
          </cell>
          <cell r="G1408" t="str">
            <v>יסודי בלבד</v>
          </cell>
          <cell r="H1408" t="str">
            <v>כן</v>
          </cell>
          <cell r="I1408" t="str">
            <v>כן</v>
          </cell>
          <cell r="J1408" t="str">
            <v>כן</v>
          </cell>
          <cell r="K1408">
            <v>215</v>
          </cell>
          <cell r="L1408">
            <v>72</v>
          </cell>
        </row>
        <row r="1409">
          <cell r="D1409">
            <v>514059</v>
          </cell>
          <cell r="E1409" t="str">
            <v>רשות</v>
          </cell>
          <cell r="F1409" t="str">
            <v>אהוד מנור</v>
          </cell>
          <cell r="G1409" t="str">
            <v>יסודי בלבד</v>
          </cell>
          <cell r="H1409" t="str">
            <v>כן</v>
          </cell>
          <cell r="I1409" t="str">
            <v>כן</v>
          </cell>
          <cell r="J1409" t="str">
            <v>כן</v>
          </cell>
          <cell r="K1409">
            <v>239</v>
          </cell>
          <cell r="L1409">
            <v>55</v>
          </cell>
        </row>
        <row r="1410">
          <cell r="D1410">
            <v>415935</v>
          </cell>
          <cell r="E1410" t="str">
            <v>רשות</v>
          </cell>
          <cell r="F1410" t="str">
            <v>רעות -גני דן</v>
          </cell>
          <cell r="G1410" t="str">
            <v>יסודי בלבד</v>
          </cell>
          <cell r="H1410" t="str">
            <v>כן</v>
          </cell>
          <cell r="I1410" t="str">
            <v>כן</v>
          </cell>
          <cell r="J1410" t="str">
            <v>כן</v>
          </cell>
          <cell r="K1410">
            <v>74</v>
          </cell>
          <cell r="L1410">
            <v>61</v>
          </cell>
        </row>
        <row r="1411">
          <cell r="D1411">
            <v>418400</v>
          </cell>
          <cell r="E1411" t="str">
            <v>רשות</v>
          </cell>
          <cell r="F1411" t="str">
            <v>יסודי ערבי נווה שלום</v>
          </cell>
          <cell r="G1411" t="str">
            <v>יסודי בלבד</v>
          </cell>
          <cell r="H1411" t="str">
            <v>כן</v>
          </cell>
          <cell r="I1411" t="str">
            <v>כן</v>
          </cell>
          <cell r="J1411" t="str">
            <v>כן</v>
          </cell>
          <cell r="K1411">
            <v>158</v>
          </cell>
          <cell r="L1411">
            <v>158</v>
          </cell>
        </row>
        <row r="1412">
          <cell r="D1412">
            <v>612564</v>
          </cell>
          <cell r="E1412" t="str">
            <v>רשות</v>
          </cell>
          <cell r="F1412" t="str">
            <v>עציון גבר</v>
          </cell>
          <cell r="G1412" t="str">
            <v>יסודי בלבד</v>
          </cell>
          <cell r="H1412" t="str">
            <v>כן</v>
          </cell>
          <cell r="I1412" t="str">
            <v>כן</v>
          </cell>
          <cell r="J1412" t="str">
            <v>כן</v>
          </cell>
          <cell r="K1412">
            <v>203</v>
          </cell>
          <cell r="L1412">
            <v>40</v>
          </cell>
        </row>
        <row r="1413">
          <cell r="D1413">
            <v>614537</v>
          </cell>
          <cell r="E1413" t="str">
            <v>רשות</v>
          </cell>
          <cell r="F1413" t="str">
            <v>היובל</v>
          </cell>
          <cell r="G1413" t="str">
            <v>יסודי בלבד</v>
          </cell>
          <cell r="H1413" t="str">
            <v>כן</v>
          </cell>
          <cell r="I1413" t="str">
            <v>כן</v>
          </cell>
          <cell r="J1413" t="str">
            <v>כן</v>
          </cell>
          <cell r="K1413">
            <v>226</v>
          </cell>
          <cell r="L1413">
            <v>90</v>
          </cell>
        </row>
        <row r="1414">
          <cell r="D1414">
            <v>311324</v>
          </cell>
          <cell r="E1414" t="str">
            <v>רשות</v>
          </cell>
          <cell r="F1414" t="str">
            <v>אזורי אלונה</v>
          </cell>
          <cell r="G1414" t="str">
            <v>יסודי בלבד</v>
          </cell>
          <cell r="H1414" t="str">
            <v>כן</v>
          </cell>
          <cell r="I1414" t="str">
            <v>כן</v>
          </cell>
          <cell r="J1414" t="str">
            <v>כן</v>
          </cell>
          <cell r="K1414">
            <v>149</v>
          </cell>
          <cell r="L1414">
            <v>104</v>
          </cell>
        </row>
        <row r="1415">
          <cell r="D1415">
            <v>113134</v>
          </cell>
          <cell r="E1415" t="str">
            <v>בעלות</v>
          </cell>
          <cell r="F1415" t="str">
            <v>בית יעקב אהבת חסד</v>
          </cell>
          <cell r="G1415" t="str">
            <v>יסודי בלבד</v>
          </cell>
          <cell r="H1415" t="str">
            <v>כן</v>
          </cell>
          <cell r="I1415" t="str">
            <v>כן</v>
          </cell>
          <cell r="J1415" t="str">
            <v>כן</v>
          </cell>
          <cell r="K1415">
            <v>172</v>
          </cell>
          <cell r="L1415">
            <v>104</v>
          </cell>
        </row>
        <row r="1416">
          <cell r="D1416">
            <v>414268</v>
          </cell>
          <cell r="E1416" t="str">
            <v/>
          </cell>
          <cell r="F1416" t="str">
            <v>ממ"ד אריאל</v>
          </cell>
          <cell r="G1416" t="str">
            <v>יסודי בלבד</v>
          </cell>
          <cell r="H1416" t="str">
            <v>כן</v>
          </cell>
          <cell r="I1416" t="str">
            <v>כן</v>
          </cell>
          <cell r="J1416" t="str">
            <v>כן</v>
          </cell>
          <cell r="K1416">
            <v>346</v>
          </cell>
          <cell r="L1416">
            <v>191</v>
          </cell>
        </row>
        <row r="1417">
          <cell r="D1417">
            <v>219477</v>
          </cell>
          <cell r="E1417" t="str">
            <v>רשות</v>
          </cell>
          <cell r="F1417" t="str">
            <v>עומר אבן אלח'טאב מכר</v>
          </cell>
          <cell r="G1417" t="str">
            <v>יסודי בלבד</v>
          </cell>
          <cell r="H1417" t="str">
            <v>כן</v>
          </cell>
          <cell r="I1417" t="str">
            <v>כן</v>
          </cell>
          <cell r="J1417" t="str">
            <v>כן</v>
          </cell>
          <cell r="K1417">
            <v>136</v>
          </cell>
          <cell r="L1417">
            <v>135</v>
          </cell>
        </row>
        <row r="1418">
          <cell r="D1418">
            <v>514463</v>
          </cell>
          <cell r="E1418" t="str">
            <v>רשות</v>
          </cell>
          <cell r="F1418" t="str">
            <v>שיזף</v>
          </cell>
          <cell r="G1418" t="str">
            <v>יסודי בלבד</v>
          </cell>
          <cell r="H1418" t="str">
            <v>כן</v>
          </cell>
          <cell r="I1418" t="str">
            <v>כן</v>
          </cell>
          <cell r="J1418" t="str">
            <v>כן</v>
          </cell>
          <cell r="K1418">
            <v>219</v>
          </cell>
          <cell r="L1418">
            <v>121</v>
          </cell>
        </row>
        <row r="1419">
          <cell r="D1419">
            <v>618827</v>
          </cell>
          <cell r="E1419" t="str">
            <v>רשות</v>
          </cell>
          <cell r="F1419" t="str">
            <v>אלאמל</v>
          </cell>
          <cell r="G1419" t="str">
            <v>יסודי בלבד</v>
          </cell>
          <cell r="H1419" t="str">
            <v>כן</v>
          </cell>
          <cell r="I1419" t="str">
            <v>כן</v>
          </cell>
          <cell r="J1419" t="str">
            <v>כן</v>
          </cell>
          <cell r="K1419">
            <v>157</v>
          </cell>
          <cell r="L1419">
            <v>40</v>
          </cell>
        </row>
        <row r="1420">
          <cell r="D1420">
            <v>311365</v>
          </cell>
          <cell r="E1420" t="str">
            <v>רשות</v>
          </cell>
          <cell r="F1420" t="str">
            <v>מרחבים</v>
          </cell>
          <cell r="G1420" t="str">
            <v>יסודי בלבד</v>
          </cell>
          <cell r="H1420" t="str">
            <v>כן</v>
          </cell>
          <cell r="I1420" t="str">
            <v>כן</v>
          </cell>
          <cell r="J1420" t="str">
            <v>כן</v>
          </cell>
          <cell r="K1420">
            <v>141</v>
          </cell>
          <cell r="L1420">
            <v>78</v>
          </cell>
        </row>
        <row r="1421">
          <cell r="D1421">
            <v>118190</v>
          </cell>
          <cell r="E1421" t="str">
            <v/>
          </cell>
          <cell r="F1421" t="str">
            <v>סלואן מכין לבנים</v>
          </cell>
          <cell r="G1421" t="str">
            <v>יסודי בלבד</v>
          </cell>
          <cell r="H1421" t="str">
            <v>כן</v>
          </cell>
          <cell r="I1421" t="str">
            <v>כן</v>
          </cell>
          <cell r="J1421" t="str">
            <v>כן</v>
          </cell>
          <cell r="K1421">
            <v>236</v>
          </cell>
          <cell r="L1421">
            <v>53</v>
          </cell>
        </row>
        <row r="1422">
          <cell r="D1422">
            <v>613919</v>
          </cell>
          <cell r="E1422" t="str">
            <v>רשות</v>
          </cell>
          <cell r="F1422" t="str">
            <v>הרי אילת</v>
          </cell>
          <cell r="G1422" t="str">
            <v>יסודי בלבד</v>
          </cell>
          <cell r="H1422" t="str">
            <v>כן</v>
          </cell>
          <cell r="I1422" t="str">
            <v>כן</v>
          </cell>
          <cell r="J1422" t="str">
            <v>כן</v>
          </cell>
          <cell r="K1422">
            <v>246</v>
          </cell>
          <cell r="L1422">
            <v>63</v>
          </cell>
        </row>
        <row r="1423">
          <cell r="D1423">
            <v>310011</v>
          </cell>
          <cell r="E1423" t="str">
            <v>רשות</v>
          </cell>
          <cell r="F1423" t="str">
            <v>גימס רוטשילד</v>
          </cell>
          <cell r="G1423" t="str">
            <v>יסודי בלבד</v>
          </cell>
          <cell r="H1423" t="str">
            <v>כן</v>
          </cell>
          <cell r="I1423" t="str">
            <v>כן</v>
          </cell>
          <cell r="J1423" t="str">
            <v>כן</v>
          </cell>
          <cell r="K1423">
            <v>242</v>
          </cell>
          <cell r="L1423">
            <v>52</v>
          </cell>
        </row>
        <row r="1424">
          <cell r="D1424">
            <v>612374</v>
          </cell>
          <cell r="E1424" t="str">
            <v>רשות</v>
          </cell>
          <cell r="F1424" t="str">
            <v>אופיר</v>
          </cell>
          <cell r="G1424" t="str">
            <v>יסודי בלבד</v>
          </cell>
          <cell r="H1424" t="str">
            <v>כן</v>
          </cell>
          <cell r="I1424" t="str">
            <v>כן</v>
          </cell>
          <cell r="J1424" t="str">
            <v>לא</v>
          </cell>
          <cell r="K1424">
            <v>109</v>
          </cell>
          <cell r="L1424">
            <v>38</v>
          </cell>
        </row>
        <row r="1425">
          <cell r="D1425">
            <v>384560</v>
          </cell>
          <cell r="E1425" t="str">
            <v>רשות</v>
          </cell>
          <cell r="F1425" t="str">
            <v>שכ הפרחים</v>
          </cell>
          <cell r="G1425" t="str">
            <v>יסודי בלבד</v>
          </cell>
          <cell r="H1425" t="str">
            <v>כן</v>
          </cell>
          <cell r="I1425" t="str">
            <v>כן</v>
          </cell>
          <cell r="J1425" t="str">
            <v>כן</v>
          </cell>
          <cell r="K1425">
            <v>191</v>
          </cell>
          <cell r="L1425">
            <v>87</v>
          </cell>
        </row>
        <row r="1426">
          <cell r="D1426">
            <v>413914</v>
          </cell>
          <cell r="E1426" t="str">
            <v/>
          </cell>
          <cell r="F1426" t="str">
            <v>הדר</v>
          </cell>
          <cell r="G1426" t="str">
            <v>יסודי בלבד</v>
          </cell>
          <cell r="H1426" t="str">
            <v>כן</v>
          </cell>
          <cell r="I1426" t="str">
            <v>כן</v>
          </cell>
          <cell r="J1426" t="str">
            <v>כן</v>
          </cell>
          <cell r="K1426">
            <v>159</v>
          </cell>
          <cell r="L1426">
            <v>48</v>
          </cell>
        </row>
        <row r="1427">
          <cell r="D1427">
            <v>362228</v>
          </cell>
          <cell r="E1427" t="str">
            <v>רשות</v>
          </cell>
          <cell r="F1427" t="str">
            <v>לביא ממ"ד</v>
          </cell>
          <cell r="G1427" t="str">
            <v>יסודי בלבד</v>
          </cell>
          <cell r="H1427" t="str">
            <v>כן</v>
          </cell>
          <cell r="I1427" t="str">
            <v>כן</v>
          </cell>
          <cell r="J1427" t="str">
            <v>כן</v>
          </cell>
          <cell r="K1427">
            <v>267</v>
          </cell>
          <cell r="L1427">
            <v>99</v>
          </cell>
        </row>
        <row r="1428">
          <cell r="D1428">
            <v>412213</v>
          </cell>
          <cell r="E1428" t="str">
            <v/>
          </cell>
          <cell r="F1428" t="str">
            <v>ברטוב</v>
          </cell>
          <cell r="G1428" t="str">
            <v>יסודי בלבד</v>
          </cell>
          <cell r="H1428" t="str">
            <v>כן</v>
          </cell>
          <cell r="I1428" t="str">
            <v>כן</v>
          </cell>
          <cell r="J1428" t="str">
            <v>כן</v>
          </cell>
          <cell r="K1428">
            <v>112</v>
          </cell>
          <cell r="L1428">
            <v>65</v>
          </cell>
        </row>
        <row r="1429">
          <cell r="D1429">
            <v>218552</v>
          </cell>
          <cell r="E1429" t="str">
            <v>רשות</v>
          </cell>
          <cell r="F1429" t="str">
            <v>בה"ס סאמי עבדאלסלאם</v>
          </cell>
          <cell r="G1429" t="str">
            <v>יסודי בלבד</v>
          </cell>
          <cell r="H1429" t="str">
            <v>כן</v>
          </cell>
          <cell r="I1429" t="str">
            <v>כן</v>
          </cell>
          <cell r="J1429" t="str">
            <v>כן</v>
          </cell>
          <cell r="K1429">
            <v>344</v>
          </cell>
          <cell r="L1429">
            <v>318</v>
          </cell>
        </row>
        <row r="1430">
          <cell r="D1430">
            <v>618538</v>
          </cell>
          <cell r="E1430" t="str">
            <v>רשות</v>
          </cell>
          <cell r="F1430" t="str">
            <v>אלירמוק</v>
          </cell>
          <cell r="G1430" t="str">
            <v>יסודי בלבד</v>
          </cell>
          <cell r="H1430" t="str">
            <v>כן</v>
          </cell>
          <cell r="I1430" t="str">
            <v>כן</v>
          </cell>
          <cell r="J1430" t="str">
            <v>כן</v>
          </cell>
          <cell r="K1430">
            <v>144</v>
          </cell>
          <cell r="L1430">
            <v>144</v>
          </cell>
        </row>
        <row r="1431">
          <cell r="D1431">
            <v>113001</v>
          </cell>
          <cell r="E1431" t="str">
            <v>רשות</v>
          </cell>
          <cell r="F1431" t="str">
            <v>נועם בנות רמות</v>
          </cell>
          <cell r="G1431" t="str">
            <v>יסודי בלבד</v>
          </cell>
          <cell r="H1431" t="str">
            <v>כן</v>
          </cell>
          <cell r="I1431" t="str">
            <v>כן</v>
          </cell>
          <cell r="J1431" t="str">
            <v>כן</v>
          </cell>
          <cell r="K1431">
            <v>136</v>
          </cell>
          <cell r="L1431">
            <v>86</v>
          </cell>
        </row>
        <row r="1432">
          <cell r="D1432">
            <v>790386</v>
          </cell>
          <cell r="E1432" t="str">
            <v>בעלות</v>
          </cell>
          <cell r="F1432" t="str">
            <v>ת"ת אור שמחה גור ערד</v>
          </cell>
          <cell r="G1432" t="str">
            <v>יסודי בלבד</v>
          </cell>
          <cell r="H1432" t="str">
            <v>כן</v>
          </cell>
          <cell r="I1432" t="str">
            <v>כן</v>
          </cell>
          <cell r="J1432" t="str">
            <v>כן</v>
          </cell>
          <cell r="K1432">
            <v>182</v>
          </cell>
          <cell r="L1432">
            <v>182</v>
          </cell>
        </row>
        <row r="1433">
          <cell r="D1433">
            <v>611244</v>
          </cell>
          <cell r="E1433" t="str">
            <v>רשות</v>
          </cell>
          <cell r="F1433" t="str">
            <v>הרב קוק</v>
          </cell>
          <cell r="G1433" t="str">
            <v>יסודי בלבד</v>
          </cell>
          <cell r="H1433" t="str">
            <v>כן</v>
          </cell>
          <cell r="I1433" t="str">
            <v>כן</v>
          </cell>
          <cell r="J1433" t="str">
            <v>כן</v>
          </cell>
          <cell r="K1433">
            <v>69</v>
          </cell>
          <cell r="L1433">
            <v>69</v>
          </cell>
        </row>
        <row r="1434">
          <cell r="D1434">
            <v>681759</v>
          </cell>
          <cell r="E1434" t="str">
            <v/>
          </cell>
          <cell r="F1434" t="str">
            <v>נתיבי התורה</v>
          </cell>
          <cell r="G1434" t="str">
            <v>יסודי בלבד</v>
          </cell>
          <cell r="H1434" t="str">
            <v>לא</v>
          </cell>
          <cell r="I1434" t="str">
            <v>לא</v>
          </cell>
          <cell r="J1434" t="str">
            <v>לא</v>
          </cell>
          <cell r="K1434">
            <v>0</v>
          </cell>
          <cell r="L1434">
            <v>0</v>
          </cell>
        </row>
        <row r="1435">
          <cell r="D1435">
            <v>740712</v>
          </cell>
          <cell r="E1435" t="str">
            <v/>
          </cell>
          <cell r="F1435" t="str">
            <v>בית ספר בנות נווה</v>
          </cell>
          <cell r="G1435" t="str">
            <v>יסודי בלבד</v>
          </cell>
          <cell r="H1435" t="str">
            <v>כן</v>
          </cell>
          <cell r="I1435" t="str">
            <v>לא</v>
          </cell>
          <cell r="J1435" t="str">
            <v>לא</v>
          </cell>
          <cell r="K1435">
            <v>0</v>
          </cell>
          <cell r="L1435">
            <v>21</v>
          </cell>
        </row>
        <row r="1436">
          <cell r="D1436">
            <v>411231</v>
          </cell>
          <cell r="E1436" t="str">
            <v>רשות</v>
          </cell>
          <cell r="F1436" t="str">
            <v>קדם</v>
          </cell>
          <cell r="G1436" t="str">
            <v>יסודי בלבד</v>
          </cell>
          <cell r="H1436" t="str">
            <v>כן</v>
          </cell>
          <cell r="I1436" t="str">
            <v>כן</v>
          </cell>
          <cell r="J1436" t="str">
            <v>כן</v>
          </cell>
          <cell r="K1436">
            <v>252</v>
          </cell>
          <cell r="L1436">
            <v>56</v>
          </cell>
        </row>
        <row r="1437">
          <cell r="D1437">
            <v>612267</v>
          </cell>
          <cell r="E1437" t="str">
            <v>בעלות</v>
          </cell>
          <cell r="F1437" t="str">
            <v>ת"ת גור ק. גת</v>
          </cell>
          <cell r="G1437" t="str">
            <v>יסודי בלבד</v>
          </cell>
          <cell r="H1437" t="str">
            <v>כן</v>
          </cell>
          <cell r="I1437" t="str">
            <v>כן</v>
          </cell>
          <cell r="J1437" t="str">
            <v>כן</v>
          </cell>
          <cell r="K1437">
            <v>134</v>
          </cell>
          <cell r="L1437">
            <v>135</v>
          </cell>
        </row>
        <row r="1438">
          <cell r="D1438">
            <v>411983</v>
          </cell>
          <cell r="E1438" t="str">
            <v>רשות</v>
          </cell>
          <cell r="F1438" t="str">
            <v>בן גוריון</v>
          </cell>
          <cell r="G1438" t="str">
            <v>יסודי בלבד</v>
          </cell>
          <cell r="H1438" t="str">
            <v>כן</v>
          </cell>
          <cell r="I1438" t="str">
            <v>כן</v>
          </cell>
          <cell r="J1438" t="str">
            <v>כן</v>
          </cell>
          <cell r="K1438">
            <v>286</v>
          </cell>
          <cell r="L1438">
            <v>100</v>
          </cell>
        </row>
        <row r="1439">
          <cell r="D1439">
            <v>681692</v>
          </cell>
          <cell r="E1439" t="str">
            <v/>
          </cell>
          <cell r="F1439" t="str">
            <v>חסידי בעלזא</v>
          </cell>
          <cell r="G1439" t="str">
            <v>יסודי בלבד</v>
          </cell>
          <cell r="H1439" t="str">
            <v>כן</v>
          </cell>
          <cell r="I1439" t="str">
            <v>כן</v>
          </cell>
          <cell r="J1439" t="str">
            <v>כן</v>
          </cell>
          <cell r="K1439">
            <v>104</v>
          </cell>
          <cell r="L1439">
            <v>104</v>
          </cell>
        </row>
        <row r="1440">
          <cell r="D1440">
            <v>217869</v>
          </cell>
          <cell r="E1440" t="str">
            <v>רשות</v>
          </cell>
          <cell r="F1440" t="str">
            <v>יסודי אלאשראק עין קניה</v>
          </cell>
          <cell r="G1440" t="str">
            <v>יסודי בלבד</v>
          </cell>
          <cell r="H1440" t="str">
            <v>לא</v>
          </cell>
          <cell r="I1440" t="str">
            <v>לא</v>
          </cell>
          <cell r="J1440" t="str">
            <v>לא</v>
          </cell>
          <cell r="K1440">
            <v>0</v>
          </cell>
          <cell r="L1440">
            <v>0</v>
          </cell>
        </row>
        <row r="1441">
          <cell r="D1441">
            <v>760710</v>
          </cell>
          <cell r="E1441" t="str">
            <v>בעלות</v>
          </cell>
          <cell r="F1441" t="str">
            <v>בית יעקב החדש</v>
          </cell>
          <cell r="G1441" t="str">
            <v>יסודי בלבד</v>
          </cell>
          <cell r="H1441" t="str">
            <v>כן</v>
          </cell>
          <cell r="I1441" t="str">
            <v>כן</v>
          </cell>
          <cell r="J1441" t="str">
            <v>כן</v>
          </cell>
          <cell r="K1441">
            <v>60</v>
          </cell>
          <cell r="L1441">
            <v>60</v>
          </cell>
        </row>
        <row r="1442">
          <cell r="D1442">
            <v>110619</v>
          </cell>
          <cell r="E1442" t="str">
            <v>רשות</v>
          </cell>
          <cell r="F1442" t="str">
            <v>א.ד.רוטשילד</v>
          </cell>
          <cell r="G1442" t="str">
            <v>יסודי בלבד</v>
          </cell>
          <cell r="H1442" t="str">
            <v>כן</v>
          </cell>
          <cell r="I1442" t="str">
            <v>כן</v>
          </cell>
          <cell r="J1442" t="str">
            <v>כן</v>
          </cell>
          <cell r="K1442">
            <v>208</v>
          </cell>
          <cell r="L1442">
            <v>126</v>
          </cell>
        </row>
        <row r="1443">
          <cell r="D1443">
            <v>384149</v>
          </cell>
          <cell r="E1443" t="str">
            <v>רשות</v>
          </cell>
          <cell r="F1443" t="str">
            <v>שדות</v>
          </cell>
          <cell r="G1443" t="str">
            <v>יסודי בלבד</v>
          </cell>
          <cell r="H1443" t="str">
            <v>כן</v>
          </cell>
          <cell r="I1443" t="str">
            <v>כן</v>
          </cell>
          <cell r="J1443" t="str">
            <v>כן</v>
          </cell>
          <cell r="K1443">
            <v>257</v>
          </cell>
          <cell r="L1443">
            <v>66</v>
          </cell>
        </row>
        <row r="1444">
          <cell r="D1444">
            <v>412163</v>
          </cell>
          <cell r="E1444" t="str">
            <v/>
          </cell>
          <cell r="F1444" t="str">
            <v>יסודי צור יצחק</v>
          </cell>
          <cell r="G1444" t="str">
            <v>יסודי בלבד</v>
          </cell>
          <cell r="H1444" t="str">
            <v>כן</v>
          </cell>
          <cell r="I1444" t="str">
            <v>כן</v>
          </cell>
          <cell r="J1444" t="str">
            <v>כן</v>
          </cell>
          <cell r="K1444">
            <v>278</v>
          </cell>
          <cell r="L1444">
            <v>105</v>
          </cell>
        </row>
        <row r="1445">
          <cell r="D1445">
            <v>118174</v>
          </cell>
          <cell r="E1445" t="str">
            <v>רשות</v>
          </cell>
          <cell r="F1445" t="str">
            <v>סלואן יסודי מעורב</v>
          </cell>
          <cell r="G1445" t="str">
            <v>יסודי בלבד</v>
          </cell>
          <cell r="H1445" t="str">
            <v>כן</v>
          </cell>
          <cell r="I1445" t="str">
            <v>כן</v>
          </cell>
          <cell r="J1445" t="str">
            <v>כן</v>
          </cell>
          <cell r="K1445">
            <v>264</v>
          </cell>
          <cell r="L1445">
            <v>55</v>
          </cell>
        </row>
        <row r="1446">
          <cell r="D1446">
            <v>310565</v>
          </cell>
          <cell r="E1446" t="str">
            <v>רשות</v>
          </cell>
          <cell r="F1446" t="str">
            <v>יבניאלי</v>
          </cell>
          <cell r="G1446" t="str">
            <v>יסודי בלבד</v>
          </cell>
          <cell r="H1446" t="str">
            <v>כן</v>
          </cell>
          <cell r="I1446" t="str">
            <v>כן</v>
          </cell>
          <cell r="J1446" t="str">
            <v>כן</v>
          </cell>
          <cell r="K1446">
            <v>74</v>
          </cell>
          <cell r="L1446">
            <v>26</v>
          </cell>
        </row>
        <row r="1447">
          <cell r="D1447">
            <v>681551</v>
          </cell>
          <cell r="E1447" t="str">
            <v>רשות</v>
          </cell>
          <cell r="F1447" t="str">
            <v>דרכי אבות צאנז צפת</v>
          </cell>
          <cell r="G1447" t="str">
            <v>יסודי בלבד</v>
          </cell>
          <cell r="H1447" t="str">
            <v>כן</v>
          </cell>
          <cell r="I1447" t="str">
            <v>כן</v>
          </cell>
          <cell r="J1447" t="str">
            <v>כן</v>
          </cell>
          <cell r="K1447">
            <v>41</v>
          </cell>
          <cell r="L1447">
            <v>41</v>
          </cell>
        </row>
        <row r="1448">
          <cell r="D1448">
            <v>110130</v>
          </cell>
          <cell r="E1448" t="str">
            <v>רשות</v>
          </cell>
          <cell r="F1448" t="str">
            <v>סאלד</v>
          </cell>
          <cell r="G1448" t="str">
            <v>יסודי בלבד</v>
          </cell>
          <cell r="H1448" t="str">
            <v>כן</v>
          </cell>
          <cell r="I1448" t="str">
            <v>כן</v>
          </cell>
          <cell r="J1448" t="str">
            <v>כן</v>
          </cell>
          <cell r="K1448">
            <v>164</v>
          </cell>
          <cell r="L1448">
            <v>42</v>
          </cell>
        </row>
        <row r="1449">
          <cell r="D1449">
            <v>412254</v>
          </cell>
          <cell r="E1449" t="str">
            <v/>
          </cell>
          <cell r="F1449" t="str">
            <v>ממ"ד יבנה</v>
          </cell>
          <cell r="G1449" t="str">
            <v>יסודי בלבד</v>
          </cell>
          <cell r="H1449" t="str">
            <v>כן</v>
          </cell>
          <cell r="I1449" t="str">
            <v>כן</v>
          </cell>
          <cell r="J1449" t="str">
            <v>כן</v>
          </cell>
          <cell r="K1449">
            <v>303</v>
          </cell>
          <cell r="L1449">
            <v>49</v>
          </cell>
        </row>
        <row r="1450">
          <cell r="D1450">
            <v>414052</v>
          </cell>
          <cell r="E1450" t="str">
            <v>רשות</v>
          </cell>
          <cell r="F1450" t="str">
            <v>ממלכתי עמית</v>
          </cell>
          <cell r="G1450" t="str">
            <v>יסודי בלבד</v>
          </cell>
          <cell r="H1450" t="str">
            <v>כן</v>
          </cell>
          <cell r="I1450" t="str">
            <v>כן</v>
          </cell>
          <cell r="J1450" t="str">
            <v>כן</v>
          </cell>
          <cell r="K1450">
            <v>130</v>
          </cell>
          <cell r="L1450">
            <v>49</v>
          </cell>
        </row>
        <row r="1451">
          <cell r="D1451">
            <v>410852</v>
          </cell>
          <cell r="E1451" t="str">
            <v>רשות</v>
          </cell>
          <cell r="F1451" t="str">
            <v>אוסישקין</v>
          </cell>
          <cell r="G1451" t="str">
            <v>יסודי בלבד</v>
          </cell>
          <cell r="H1451" t="str">
            <v>כן</v>
          </cell>
          <cell r="I1451" t="str">
            <v>כן</v>
          </cell>
          <cell r="J1451" t="str">
            <v>כן</v>
          </cell>
          <cell r="K1451">
            <v>445</v>
          </cell>
          <cell r="L1451">
            <v>133</v>
          </cell>
        </row>
        <row r="1452">
          <cell r="D1452">
            <v>219782</v>
          </cell>
          <cell r="E1452" t="str">
            <v/>
          </cell>
          <cell r="F1452" t="str">
            <v>יסודי אלבוכארי</v>
          </cell>
          <cell r="G1452" t="str">
            <v>יסודי בלבד</v>
          </cell>
          <cell r="H1452" t="str">
            <v>כן</v>
          </cell>
          <cell r="I1452" t="str">
            <v>כן</v>
          </cell>
          <cell r="J1452" t="str">
            <v>כן</v>
          </cell>
          <cell r="K1452">
            <v>212</v>
          </cell>
          <cell r="L1452">
            <v>72</v>
          </cell>
        </row>
        <row r="1453">
          <cell r="D1453">
            <v>218289</v>
          </cell>
          <cell r="E1453" t="str">
            <v>רשות</v>
          </cell>
          <cell r="F1453" t="str">
            <v>יסודי א' טמרה</v>
          </cell>
          <cell r="G1453" t="str">
            <v>יסודי בלבד</v>
          </cell>
          <cell r="H1453" t="str">
            <v>כן</v>
          </cell>
          <cell r="I1453" t="str">
            <v>כן</v>
          </cell>
          <cell r="J1453" t="str">
            <v>כן</v>
          </cell>
          <cell r="K1453">
            <v>189</v>
          </cell>
          <cell r="L1453">
            <v>72</v>
          </cell>
        </row>
        <row r="1454">
          <cell r="D1454">
            <v>312132</v>
          </cell>
          <cell r="E1454" t="str">
            <v>רשות</v>
          </cell>
          <cell r="F1454" t="str">
            <v>גבריאלי</v>
          </cell>
          <cell r="G1454" t="str">
            <v>יסודי בלבד</v>
          </cell>
          <cell r="H1454" t="str">
            <v>כן</v>
          </cell>
          <cell r="I1454" t="str">
            <v>כן</v>
          </cell>
          <cell r="J1454" t="str">
            <v>לא</v>
          </cell>
          <cell r="K1454">
            <v>28</v>
          </cell>
          <cell r="L1454">
            <v>22</v>
          </cell>
        </row>
        <row r="1455">
          <cell r="D1455">
            <v>359828</v>
          </cell>
          <cell r="E1455" t="str">
            <v>רשות</v>
          </cell>
          <cell r="F1455" t="str">
            <v>יסודי שכ' בית צפאפה</v>
          </cell>
          <cell r="G1455" t="str">
            <v>יסודי בלבד</v>
          </cell>
          <cell r="H1455" t="str">
            <v>כן</v>
          </cell>
          <cell r="I1455" t="str">
            <v>כן</v>
          </cell>
          <cell r="J1455" t="str">
            <v>כן</v>
          </cell>
          <cell r="K1455">
            <v>318</v>
          </cell>
          <cell r="L1455">
            <v>150</v>
          </cell>
        </row>
        <row r="1456">
          <cell r="D1456">
            <v>613844</v>
          </cell>
          <cell r="E1456" t="str">
            <v>רשות</v>
          </cell>
          <cell r="F1456" t="str">
            <v>פסגות</v>
          </cell>
          <cell r="G1456" t="str">
            <v>יסודי בלבד</v>
          </cell>
          <cell r="H1456" t="str">
            <v>כן</v>
          </cell>
          <cell r="I1456" t="str">
            <v>כן</v>
          </cell>
          <cell r="J1456" t="str">
            <v>כן</v>
          </cell>
          <cell r="K1456">
            <v>241</v>
          </cell>
          <cell r="L1456">
            <v>122</v>
          </cell>
        </row>
        <row r="1457">
          <cell r="D1457">
            <v>512988</v>
          </cell>
          <cell r="E1457" t="str">
            <v>רשות</v>
          </cell>
          <cell r="F1457" t="str">
            <v>שרת</v>
          </cell>
          <cell r="G1457" t="str">
            <v>יסודי בלבד</v>
          </cell>
          <cell r="H1457" t="str">
            <v>כן</v>
          </cell>
          <cell r="I1457" t="str">
            <v>כן</v>
          </cell>
          <cell r="J1457" t="str">
            <v>כן</v>
          </cell>
          <cell r="K1457">
            <v>168</v>
          </cell>
          <cell r="L1457">
            <v>62</v>
          </cell>
        </row>
        <row r="1458">
          <cell r="D1458">
            <v>211441</v>
          </cell>
          <cell r="E1458" t="str">
            <v>רשות</v>
          </cell>
          <cell r="F1458" t="str">
            <v>לב העמק-נאות מרדכי</v>
          </cell>
          <cell r="G1458" t="str">
            <v>יסודי בלבד</v>
          </cell>
          <cell r="H1458" t="str">
            <v>כן</v>
          </cell>
          <cell r="I1458" t="str">
            <v>לא</v>
          </cell>
          <cell r="J1458" t="str">
            <v>לא</v>
          </cell>
          <cell r="K1458">
            <v>94</v>
          </cell>
          <cell r="L1458">
            <v>25</v>
          </cell>
        </row>
        <row r="1459">
          <cell r="D1459">
            <v>411595</v>
          </cell>
          <cell r="E1459" t="str">
            <v>רשות</v>
          </cell>
          <cell r="F1459" t="str">
            <v>יסודי ממלכתי אקולוגי</v>
          </cell>
          <cell r="G1459" t="str">
            <v>יסודי בלבד</v>
          </cell>
          <cell r="H1459" t="str">
            <v>כן</v>
          </cell>
          <cell r="I1459" t="str">
            <v>כן</v>
          </cell>
          <cell r="J1459" t="str">
            <v>לא</v>
          </cell>
          <cell r="K1459">
            <v>158</v>
          </cell>
          <cell r="L1459">
            <v>76</v>
          </cell>
        </row>
        <row r="1460">
          <cell r="D1460">
            <v>659425</v>
          </cell>
          <cell r="E1460" t="str">
            <v>רשות</v>
          </cell>
          <cell r="F1460" t="str">
            <v>דרור</v>
          </cell>
          <cell r="G1460" t="str">
            <v>יסודי בלבד</v>
          </cell>
          <cell r="H1460" t="str">
            <v>כן</v>
          </cell>
          <cell r="I1460" t="str">
            <v>לא</v>
          </cell>
          <cell r="J1460" t="str">
            <v>לא</v>
          </cell>
          <cell r="K1460">
            <v>65</v>
          </cell>
          <cell r="L1460">
            <v>51</v>
          </cell>
        </row>
        <row r="1461">
          <cell r="D1461">
            <v>614172</v>
          </cell>
          <cell r="E1461" t="str">
            <v>רשות</v>
          </cell>
          <cell r="F1461" t="str">
            <v>אלון</v>
          </cell>
          <cell r="G1461" t="str">
            <v>יסודי בלבד</v>
          </cell>
          <cell r="H1461" t="str">
            <v>כן</v>
          </cell>
          <cell r="I1461" t="str">
            <v>כן</v>
          </cell>
          <cell r="J1461" t="str">
            <v>לא</v>
          </cell>
          <cell r="K1461">
            <v>89</v>
          </cell>
          <cell r="L1461">
            <v>60</v>
          </cell>
        </row>
        <row r="1462">
          <cell r="D1462">
            <v>411702</v>
          </cell>
          <cell r="E1462" t="str">
            <v/>
          </cell>
          <cell r="F1462" t="str">
            <v>אורנים</v>
          </cell>
          <cell r="G1462" t="str">
            <v>יסודי בלבד</v>
          </cell>
          <cell r="H1462" t="str">
            <v>כן</v>
          </cell>
          <cell r="I1462" t="str">
            <v>כן</v>
          </cell>
          <cell r="J1462" t="str">
            <v>כן</v>
          </cell>
          <cell r="K1462">
            <v>174</v>
          </cell>
          <cell r="L1462">
            <v>62</v>
          </cell>
        </row>
        <row r="1463">
          <cell r="D1463">
            <v>418384</v>
          </cell>
          <cell r="E1463" t="str">
            <v>רשות</v>
          </cell>
          <cell r="F1463" t="str">
            <v>אלעומריה</v>
          </cell>
          <cell r="G1463" t="str">
            <v>יסודי בלבד</v>
          </cell>
          <cell r="H1463" t="str">
            <v>כן</v>
          </cell>
          <cell r="I1463" t="str">
            <v>כן</v>
          </cell>
          <cell r="J1463" t="str">
            <v>כן</v>
          </cell>
          <cell r="K1463">
            <v>211</v>
          </cell>
          <cell r="L1463">
            <v>56</v>
          </cell>
        </row>
        <row r="1464">
          <cell r="D1464">
            <v>413831</v>
          </cell>
          <cell r="E1464" t="str">
            <v>רשות</v>
          </cell>
          <cell r="F1464" t="str">
            <v>הדרים</v>
          </cell>
          <cell r="G1464" t="str">
            <v>יסודי בלבד</v>
          </cell>
          <cell r="H1464" t="str">
            <v>כן</v>
          </cell>
          <cell r="I1464" t="str">
            <v>כן</v>
          </cell>
          <cell r="J1464" t="str">
            <v>כן</v>
          </cell>
          <cell r="K1464">
            <v>293</v>
          </cell>
          <cell r="L1464">
            <v>103</v>
          </cell>
        </row>
        <row r="1465">
          <cell r="D1465">
            <v>414219</v>
          </cell>
          <cell r="E1465" t="str">
            <v>רשות</v>
          </cell>
          <cell r="F1465" t="str">
            <v>ממ"ד בנים חב"ד ב</v>
          </cell>
          <cell r="G1465" t="str">
            <v>יסודי בלבד</v>
          </cell>
          <cell r="H1465" t="str">
            <v>כן</v>
          </cell>
          <cell r="I1465" t="str">
            <v>כן</v>
          </cell>
          <cell r="J1465" t="str">
            <v>כן</v>
          </cell>
          <cell r="K1465">
            <v>271</v>
          </cell>
          <cell r="L1465">
            <v>271</v>
          </cell>
        </row>
        <row r="1466">
          <cell r="D1466">
            <v>410860</v>
          </cell>
          <cell r="E1466" t="str">
            <v>רשות</v>
          </cell>
          <cell r="F1466" t="str">
            <v>ברנר</v>
          </cell>
          <cell r="G1466" t="str">
            <v>יסודי בלבד</v>
          </cell>
          <cell r="H1466" t="str">
            <v>כן</v>
          </cell>
          <cell r="I1466" t="str">
            <v>כן</v>
          </cell>
          <cell r="J1466" t="str">
            <v>כן</v>
          </cell>
          <cell r="K1466">
            <v>279</v>
          </cell>
          <cell r="L1466">
            <v>85</v>
          </cell>
        </row>
        <row r="1467">
          <cell r="D1467">
            <v>111708</v>
          </cell>
          <cell r="E1467" t="str">
            <v/>
          </cell>
          <cell r="F1467" t="str">
            <v>נחלת בנימין בנים</v>
          </cell>
          <cell r="G1467" t="str">
            <v>יסודי בלבד</v>
          </cell>
          <cell r="H1467" t="str">
            <v>לא</v>
          </cell>
          <cell r="I1467" t="str">
            <v>לא</v>
          </cell>
          <cell r="J1467" t="str">
            <v>לא</v>
          </cell>
          <cell r="K1467">
            <v>0</v>
          </cell>
          <cell r="L1467">
            <v>0</v>
          </cell>
        </row>
        <row r="1468">
          <cell r="D1468">
            <v>318485</v>
          </cell>
          <cell r="E1468" t="str">
            <v>רשות</v>
          </cell>
          <cell r="F1468" t="str">
            <v>טאהא חוסין ערערה</v>
          </cell>
          <cell r="G1468" t="str">
            <v>יסודי בלבד</v>
          </cell>
          <cell r="H1468" t="str">
            <v>כן</v>
          </cell>
          <cell r="I1468" t="str">
            <v>כן</v>
          </cell>
          <cell r="J1468" t="str">
            <v>כן</v>
          </cell>
          <cell r="K1468">
            <v>175</v>
          </cell>
          <cell r="L1468">
            <v>40</v>
          </cell>
        </row>
        <row r="1469">
          <cell r="D1469">
            <v>418095</v>
          </cell>
          <cell r="E1469" t="str">
            <v>רשות</v>
          </cell>
          <cell r="F1469" t="str">
            <v>אל זהרא</v>
          </cell>
          <cell r="G1469" t="str">
            <v>יסודי בלבד</v>
          </cell>
          <cell r="H1469" t="str">
            <v>כן</v>
          </cell>
          <cell r="I1469" t="str">
            <v>כן</v>
          </cell>
          <cell r="J1469" t="str">
            <v>כן</v>
          </cell>
          <cell r="K1469">
            <v>250</v>
          </cell>
          <cell r="L1469">
            <v>61</v>
          </cell>
        </row>
        <row r="1470">
          <cell r="D1470">
            <v>413625</v>
          </cell>
          <cell r="E1470" t="str">
            <v>רשות</v>
          </cell>
          <cell r="F1470" t="str">
            <v>ממ"ד בנות נחשון</v>
          </cell>
          <cell r="G1470" t="str">
            <v>יסודי בלבד</v>
          </cell>
          <cell r="H1470" t="str">
            <v>כן</v>
          </cell>
          <cell r="I1470" t="str">
            <v>כן</v>
          </cell>
          <cell r="J1470" t="str">
            <v>כן</v>
          </cell>
          <cell r="K1470">
            <v>178</v>
          </cell>
          <cell r="L1470">
            <v>132</v>
          </cell>
        </row>
        <row r="1471">
          <cell r="D1471">
            <v>218560</v>
          </cell>
          <cell r="E1471" t="str">
            <v>רשות</v>
          </cell>
          <cell r="F1471" t="str">
            <v>יסודי נין</v>
          </cell>
          <cell r="G1471" t="str">
            <v>יסודי בלבד</v>
          </cell>
          <cell r="H1471" t="str">
            <v>כן</v>
          </cell>
          <cell r="I1471" t="str">
            <v>כן</v>
          </cell>
          <cell r="J1471" t="str">
            <v>כן</v>
          </cell>
          <cell r="K1471">
            <v>152</v>
          </cell>
          <cell r="L1471">
            <v>53</v>
          </cell>
        </row>
        <row r="1472">
          <cell r="D1472">
            <v>219188</v>
          </cell>
          <cell r="E1472" t="str">
            <v/>
          </cell>
          <cell r="F1472" t="str">
            <v>יסודי א כאבול</v>
          </cell>
          <cell r="G1472" t="str">
            <v>יסודי בלבד</v>
          </cell>
          <cell r="H1472" t="str">
            <v>כן</v>
          </cell>
          <cell r="I1472" t="str">
            <v>כן</v>
          </cell>
          <cell r="J1472" t="str">
            <v>כן</v>
          </cell>
          <cell r="K1472">
            <v>134</v>
          </cell>
          <cell r="L1472">
            <v>48</v>
          </cell>
        </row>
        <row r="1473">
          <cell r="D1473">
            <v>415125</v>
          </cell>
          <cell r="E1473" t="str">
            <v>רשות</v>
          </cell>
          <cell r="F1473" t="str">
            <v>ממלכתי טל</v>
          </cell>
          <cell r="G1473" t="str">
            <v>יסודי בלבד</v>
          </cell>
          <cell r="H1473" t="str">
            <v>כן</v>
          </cell>
          <cell r="I1473" t="str">
            <v>כן</v>
          </cell>
          <cell r="J1473" t="str">
            <v>כן</v>
          </cell>
          <cell r="K1473">
            <v>181</v>
          </cell>
          <cell r="L1473">
            <v>77</v>
          </cell>
        </row>
        <row r="1474">
          <cell r="D1474">
            <v>212043</v>
          </cell>
          <cell r="E1474" t="str">
            <v>רשות</v>
          </cell>
          <cell r="F1474" t="str">
            <v>ממ כי"ח -צפת ב'</v>
          </cell>
          <cell r="G1474" t="str">
            <v>יסודי בלבד</v>
          </cell>
          <cell r="H1474" t="str">
            <v>כן</v>
          </cell>
          <cell r="I1474" t="str">
            <v>כן</v>
          </cell>
          <cell r="J1474" t="str">
            <v>כן</v>
          </cell>
          <cell r="K1474">
            <v>206</v>
          </cell>
          <cell r="L1474">
            <v>105</v>
          </cell>
        </row>
        <row r="1475">
          <cell r="D1475">
            <v>611947</v>
          </cell>
          <cell r="E1475" t="str">
            <v/>
          </cell>
          <cell r="F1475" t="str">
            <v>ב"י חורב אשדוד</v>
          </cell>
          <cell r="G1475" t="str">
            <v>יסודי בלבד</v>
          </cell>
          <cell r="H1475" t="str">
            <v>כן</v>
          </cell>
          <cell r="I1475" t="str">
            <v>כן</v>
          </cell>
          <cell r="J1475" t="str">
            <v>כן</v>
          </cell>
          <cell r="K1475">
            <v>260</v>
          </cell>
          <cell r="L1475">
            <v>246</v>
          </cell>
        </row>
        <row r="1476">
          <cell r="D1476">
            <v>681452</v>
          </cell>
          <cell r="E1476" t="str">
            <v>רשות</v>
          </cell>
          <cell r="F1476" t="str">
            <v>בניהו</v>
          </cell>
          <cell r="G1476" t="str">
            <v>יסודי בלבד</v>
          </cell>
          <cell r="H1476" t="str">
            <v>כן</v>
          </cell>
          <cell r="I1476" t="str">
            <v>כן</v>
          </cell>
          <cell r="J1476" t="str">
            <v>כן</v>
          </cell>
          <cell r="K1476">
            <v>251</v>
          </cell>
          <cell r="L1476">
            <v>251</v>
          </cell>
        </row>
        <row r="1477">
          <cell r="D1477">
            <v>213165</v>
          </cell>
          <cell r="E1477" t="str">
            <v>רשות</v>
          </cell>
          <cell r="F1477" t="str">
            <v>בית חינוך חב"ד</v>
          </cell>
          <cell r="G1477" t="str">
            <v>יסודי בלבד</v>
          </cell>
          <cell r="H1477" t="str">
            <v>כן</v>
          </cell>
          <cell r="I1477" t="str">
            <v>כן</v>
          </cell>
          <cell r="J1477" t="str">
            <v>כן</v>
          </cell>
          <cell r="K1477">
            <v>79</v>
          </cell>
          <cell r="L1477">
            <v>63</v>
          </cell>
        </row>
        <row r="1478">
          <cell r="D1478">
            <v>730002</v>
          </cell>
          <cell r="E1478" t="str">
            <v>בעלות</v>
          </cell>
          <cell r="F1478" t="str">
            <v>ת"ת החדש יסודות</v>
          </cell>
          <cell r="G1478" t="str">
            <v>יסודי בלבד</v>
          </cell>
          <cell r="H1478" t="str">
            <v>כן</v>
          </cell>
          <cell r="I1478" t="str">
            <v>כן</v>
          </cell>
          <cell r="J1478" t="str">
            <v>כן</v>
          </cell>
          <cell r="K1478">
            <v>110</v>
          </cell>
          <cell r="L1478">
            <v>111</v>
          </cell>
        </row>
        <row r="1479">
          <cell r="D1479">
            <v>611798</v>
          </cell>
          <cell r="E1479" t="str">
            <v>רשות</v>
          </cell>
          <cell r="F1479" t="str">
            <v>אלי כהן</v>
          </cell>
          <cell r="G1479" t="str">
            <v>יסודי בלבד</v>
          </cell>
          <cell r="H1479" t="str">
            <v>כן</v>
          </cell>
          <cell r="I1479" t="str">
            <v>כן</v>
          </cell>
          <cell r="J1479" t="str">
            <v>כן</v>
          </cell>
          <cell r="K1479">
            <v>117</v>
          </cell>
          <cell r="L1479">
            <v>31</v>
          </cell>
        </row>
        <row r="1480">
          <cell r="D1480">
            <v>416958</v>
          </cell>
          <cell r="E1480" t="str">
            <v>רשות</v>
          </cell>
          <cell r="F1480" t="str">
            <v>ממלכתי הדר</v>
          </cell>
          <cell r="G1480" t="str">
            <v>יסודי בלבד</v>
          </cell>
          <cell r="H1480" t="str">
            <v>כן</v>
          </cell>
          <cell r="I1480" t="str">
            <v>כן</v>
          </cell>
          <cell r="J1480" t="str">
            <v>כן</v>
          </cell>
          <cell r="K1480">
            <v>258</v>
          </cell>
          <cell r="L1480">
            <v>65</v>
          </cell>
        </row>
        <row r="1481">
          <cell r="D1481">
            <v>312603</v>
          </cell>
          <cell r="E1481" t="str">
            <v>רשות</v>
          </cell>
          <cell r="F1481" t="str">
            <v>ביס חבד ק חיים</v>
          </cell>
          <cell r="G1481" t="str">
            <v>יסודי בלבד</v>
          </cell>
          <cell r="H1481" t="str">
            <v>כן</v>
          </cell>
          <cell r="I1481" t="str">
            <v>כן</v>
          </cell>
          <cell r="J1481" t="str">
            <v>כן</v>
          </cell>
          <cell r="K1481">
            <v>137</v>
          </cell>
          <cell r="L1481">
            <v>80</v>
          </cell>
        </row>
        <row r="1482">
          <cell r="D1482">
            <v>416495</v>
          </cell>
          <cell r="E1482" t="str">
            <v/>
          </cell>
          <cell r="F1482" t="str">
            <v>שביט</v>
          </cell>
          <cell r="G1482" t="str">
            <v>יסודי בלבד</v>
          </cell>
          <cell r="H1482" t="str">
            <v>כן</v>
          </cell>
          <cell r="I1482" t="str">
            <v>כן</v>
          </cell>
          <cell r="J1482" t="str">
            <v>כן</v>
          </cell>
          <cell r="K1482">
            <v>247</v>
          </cell>
          <cell r="L1482">
            <v>84</v>
          </cell>
        </row>
        <row r="1483">
          <cell r="D1483">
            <v>110445</v>
          </cell>
          <cell r="E1483" t="str">
            <v>רשות</v>
          </cell>
          <cell r="F1483" t="str">
            <v>טל חיים</v>
          </cell>
          <cell r="G1483" t="str">
            <v>יסודי בלבד</v>
          </cell>
          <cell r="H1483" t="str">
            <v>כן</v>
          </cell>
          <cell r="I1483" t="str">
            <v>כן</v>
          </cell>
          <cell r="J1483" t="str">
            <v>כן</v>
          </cell>
          <cell r="K1483">
            <v>135</v>
          </cell>
          <cell r="L1483">
            <v>73</v>
          </cell>
        </row>
        <row r="1484">
          <cell r="D1484">
            <v>414862</v>
          </cell>
          <cell r="E1484" t="str">
            <v>רשות</v>
          </cell>
          <cell r="F1484" t="str">
            <v>ממ"ד בנים נחשון</v>
          </cell>
          <cell r="G1484" t="str">
            <v>יסודי בלבד</v>
          </cell>
          <cell r="H1484" t="str">
            <v>כן</v>
          </cell>
          <cell r="I1484" t="str">
            <v>כן</v>
          </cell>
          <cell r="J1484" t="str">
            <v>כן</v>
          </cell>
          <cell r="K1484">
            <v>136</v>
          </cell>
          <cell r="L1484">
            <v>95</v>
          </cell>
        </row>
        <row r="1485">
          <cell r="D1485">
            <v>273086</v>
          </cell>
          <cell r="E1485" t="str">
            <v>בעלות</v>
          </cell>
          <cell r="F1485" t="str">
            <v>בית יעקב רמב"ש</v>
          </cell>
          <cell r="G1485" t="str">
            <v>יסודי בלבד</v>
          </cell>
          <cell r="H1485" t="str">
            <v>כן</v>
          </cell>
          <cell r="I1485" t="str">
            <v>כן</v>
          </cell>
          <cell r="J1485" t="str">
            <v>כן</v>
          </cell>
          <cell r="K1485">
            <v>124</v>
          </cell>
          <cell r="L1485">
            <v>114</v>
          </cell>
        </row>
        <row r="1486">
          <cell r="D1486">
            <v>610808</v>
          </cell>
          <cell r="E1486" t="str">
            <v>רשות</v>
          </cell>
          <cell r="F1486" t="str">
            <v>משאבים</v>
          </cell>
          <cell r="G1486" t="str">
            <v>יסודי בלבד</v>
          </cell>
          <cell r="H1486" t="str">
            <v>כן</v>
          </cell>
          <cell r="I1486" t="str">
            <v>כן</v>
          </cell>
          <cell r="J1486" t="str">
            <v>כן</v>
          </cell>
          <cell r="K1486">
            <v>233</v>
          </cell>
          <cell r="L1486">
            <v>40</v>
          </cell>
        </row>
        <row r="1487">
          <cell r="D1487">
            <v>210302</v>
          </cell>
          <cell r="E1487" t="str">
            <v>רשות</v>
          </cell>
          <cell r="F1487" t="str">
            <v>קשת יונתן</v>
          </cell>
          <cell r="G1487" t="str">
            <v>יסודי בלבד</v>
          </cell>
          <cell r="H1487" t="str">
            <v>כן</v>
          </cell>
          <cell r="I1487" t="str">
            <v>כן</v>
          </cell>
          <cell r="J1487" t="str">
            <v>כן</v>
          </cell>
          <cell r="K1487">
            <v>98</v>
          </cell>
          <cell r="L1487">
            <v>72</v>
          </cell>
        </row>
        <row r="1488">
          <cell r="D1488">
            <v>581397</v>
          </cell>
          <cell r="E1488" t="str">
            <v>רשות</v>
          </cell>
          <cell r="F1488" t="str">
            <v>שלהבות</v>
          </cell>
          <cell r="G1488" t="str">
            <v>יסודי בלבד</v>
          </cell>
          <cell r="H1488" t="str">
            <v>כן</v>
          </cell>
          <cell r="I1488" t="str">
            <v>כן</v>
          </cell>
          <cell r="J1488" t="str">
            <v>לא</v>
          </cell>
          <cell r="K1488">
            <v>123</v>
          </cell>
          <cell r="L1488">
            <v>123</v>
          </cell>
        </row>
        <row r="1489">
          <cell r="D1489">
            <v>616268</v>
          </cell>
          <cell r="E1489" t="str">
            <v>רשות</v>
          </cell>
          <cell r="F1489" t="str">
            <v>הלל חמ"ד ניסויי</v>
          </cell>
          <cell r="G1489" t="str">
            <v>יסודי בלבד</v>
          </cell>
          <cell r="H1489" t="str">
            <v>כן</v>
          </cell>
          <cell r="I1489" t="str">
            <v>כן</v>
          </cell>
          <cell r="J1489" t="str">
            <v>כן</v>
          </cell>
          <cell r="K1489">
            <v>99</v>
          </cell>
          <cell r="L1489">
            <v>67</v>
          </cell>
        </row>
        <row r="1490">
          <cell r="D1490">
            <v>652651</v>
          </cell>
          <cell r="E1490" t="str">
            <v>בעלות</v>
          </cell>
          <cell r="F1490" t="str">
            <v>בית יעקב בית שמש</v>
          </cell>
          <cell r="G1490" t="str">
            <v>יסודי בלבד</v>
          </cell>
          <cell r="H1490" t="str">
            <v>כן</v>
          </cell>
          <cell r="I1490" t="str">
            <v>כן</v>
          </cell>
          <cell r="J1490" t="str">
            <v>כן</v>
          </cell>
          <cell r="K1490">
            <v>73</v>
          </cell>
          <cell r="L1490">
            <v>73</v>
          </cell>
        </row>
        <row r="1491">
          <cell r="D1491">
            <v>614271</v>
          </cell>
          <cell r="E1491" t="str">
            <v>רשות</v>
          </cell>
          <cell r="F1491" t="str">
            <v>צאלים</v>
          </cell>
          <cell r="G1491" t="str">
            <v>יסודי בלבד</v>
          </cell>
          <cell r="H1491" t="str">
            <v>כן</v>
          </cell>
          <cell r="I1491" t="str">
            <v>כן</v>
          </cell>
          <cell r="J1491" t="str">
            <v>לא</v>
          </cell>
          <cell r="K1491">
            <v>104</v>
          </cell>
          <cell r="L1491">
            <v>28</v>
          </cell>
        </row>
        <row r="1492">
          <cell r="D1492">
            <v>414078</v>
          </cell>
          <cell r="E1492" t="str">
            <v/>
          </cell>
          <cell r="F1492" t="str">
            <v>דקל</v>
          </cell>
          <cell r="G1492" t="str">
            <v>יסודי בלבד</v>
          </cell>
          <cell r="H1492" t="str">
            <v>כן</v>
          </cell>
          <cell r="I1492" t="str">
            <v>כן</v>
          </cell>
          <cell r="J1492" t="str">
            <v>כן</v>
          </cell>
          <cell r="K1492">
            <v>175</v>
          </cell>
          <cell r="L1492">
            <v>43</v>
          </cell>
        </row>
        <row r="1493">
          <cell r="D1493">
            <v>113175</v>
          </cell>
          <cell r="E1493" t="str">
            <v>רשות</v>
          </cell>
          <cell r="F1493" t="str">
            <v>ת"ת חברון</v>
          </cell>
          <cell r="G1493" t="str">
            <v>יסודי בלבד</v>
          </cell>
          <cell r="H1493" t="str">
            <v>כן</v>
          </cell>
          <cell r="I1493" t="str">
            <v>כן</v>
          </cell>
          <cell r="J1493" t="str">
            <v>כן</v>
          </cell>
          <cell r="K1493">
            <v>103</v>
          </cell>
          <cell r="L1493">
            <v>79</v>
          </cell>
        </row>
        <row r="1494">
          <cell r="D1494">
            <v>511592</v>
          </cell>
          <cell r="E1494" t="str">
            <v>רשות</v>
          </cell>
          <cell r="F1494" t="str">
            <v>אלפארוק</v>
          </cell>
          <cell r="G1494" t="str">
            <v>יסודי בלבד</v>
          </cell>
          <cell r="H1494" t="str">
            <v>כן</v>
          </cell>
          <cell r="I1494" t="str">
            <v>כן</v>
          </cell>
          <cell r="J1494" t="str">
            <v>כן</v>
          </cell>
          <cell r="K1494">
            <v>163</v>
          </cell>
          <cell r="L1494">
            <v>42</v>
          </cell>
        </row>
        <row r="1495">
          <cell r="D1495">
            <v>611897</v>
          </cell>
          <cell r="E1495" t="str">
            <v>רשות</v>
          </cell>
          <cell r="F1495" t="str">
            <v>יהלום</v>
          </cell>
          <cell r="G1495" t="str">
            <v>יסודי בלבד</v>
          </cell>
          <cell r="H1495" t="str">
            <v>כן</v>
          </cell>
          <cell r="I1495" t="str">
            <v>כן</v>
          </cell>
          <cell r="J1495" t="str">
            <v>לא</v>
          </cell>
          <cell r="K1495">
            <v>162</v>
          </cell>
          <cell r="L1495">
            <v>89</v>
          </cell>
        </row>
        <row r="1496">
          <cell r="D1496">
            <v>310219</v>
          </cell>
          <cell r="E1496" t="str">
            <v>רשות</v>
          </cell>
          <cell r="F1496" t="str">
            <v>אור לטף</v>
          </cell>
          <cell r="G1496" t="str">
            <v>יסודי בלבד</v>
          </cell>
          <cell r="H1496" t="str">
            <v>כן</v>
          </cell>
          <cell r="I1496" t="str">
            <v>כן</v>
          </cell>
          <cell r="J1496" t="str">
            <v>לא</v>
          </cell>
          <cell r="K1496">
            <v>117</v>
          </cell>
          <cell r="L1496">
            <v>50</v>
          </cell>
        </row>
        <row r="1497">
          <cell r="D1497">
            <v>440529</v>
          </cell>
          <cell r="E1497" t="str">
            <v>בעלות</v>
          </cell>
          <cell r="F1497" t="str">
            <v>ת"ת אמונת ציון -בנים</v>
          </cell>
          <cell r="G1497" t="str">
            <v>יסודי בלבד</v>
          </cell>
          <cell r="H1497" t="str">
            <v>כן</v>
          </cell>
          <cell r="I1497" t="str">
            <v>כן</v>
          </cell>
          <cell r="J1497" t="str">
            <v>כן</v>
          </cell>
          <cell r="K1497">
            <v>83</v>
          </cell>
          <cell r="L1497">
            <v>76</v>
          </cell>
        </row>
        <row r="1498">
          <cell r="D1498">
            <v>513309</v>
          </cell>
          <cell r="E1498" t="str">
            <v>רשות</v>
          </cell>
          <cell r="F1498" t="str">
            <v>ע"ש יגאל אלון</v>
          </cell>
          <cell r="G1498" t="str">
            <v>יסודי בלבד</v>
          </cell>
          <cell r="H1498" t="str">
            <v>כן</v>
          </cell>
          <cell r="I1498" t="str">
            <v>כן</v>
          </cell>
          <cell r="J1498" t="str">
            <v>כן</v>
          </cell>
          <cell r="K1498">
            <v>242</v>
          </cell>
          <cell r="L1498">
            <v>82</v>
          </cell>
        </row>
        <row r="1499">
          <cell r="D1499">
            <v>513572</v>
          </cell>
          <cell r="E1499" t="str">
            <v>רשות</v>
          </cell>
          <cell r="F1499" t="str">
            <v>סביונים</v>
          </cell>
          <cell r="G1499" t="str">
            <v>יסודי בלבד</v>
          </cell>
          <cell r="H1499" t="str">
            <v>כן</v>
          </cell>
          <cell r="I1499" t="str">
            <v>כן</v>
          </cell>
          <cell r="J1499" t="str">
            <v>כן</v>
          </cell>
          <cell r="K1499">
            <v>209</v>
          </cell>
          <cell r="L1499">
            <v>105</v>
          </cell>
        </row>
        <row r="1500">
          <cell r="D1500">
            <v>410019</v>
          </cell>
          <cell r="E1500" t="str">
            <v>רשות</v>
          </cell>
          <cell r="F1500" t="str">
            <v>ממלכתי אזורי</v>
          </cell>
          <cell r="G1500" t="str">
            <v>יסודי בלבד</v>
          </cell>
          <cell r="H1500" t="str">
            <v>כן</v>
          </cell>
          <cell r="I1500" t="str">
            <v>כן</v>
          </cell>
          <cell r="J1500" t="str">
            <v>כן</v>
          </cell>
          <cell r="K1500">
            <v>132</v>
          </cell>
          <cell r="L1500">
            <v>15</v>
          </cell>
        </row>
        <row r="1501">
          <cell r="D1501">
            <v>482802</v>
          </cell>
          <cell r="E1501" t="str">
            <v>רשות</v>
          </cell>
          <cell r="F1501" t="str">
            <v>גלים</v>
          </cell>
          <cell r="G1501" t="str">
            <v>יסודי בלבד</v>
          </cell>
          <cell r="H1501" t="str">
            <v>כן</v>
          </cell>
          <cell r="I1501" t="str">
            <v>כן</v>
          </cell>
          <cell r="J1501" t="str">
            <v>לא</v>
          </cell>
          <cell r="K1501">
            <v>123</v>
          </cell>
          <cell r="L1501">
            <v>49</v>
          </cell>
        </row>
        <row r="1502">
          <cell r="D1502">
            <v>581629</v>
          </cell>
          <cell r="E1502" t="str">
            <v>רשות</v>
          </cell>
          <cell r="F1502" t="str">
            <v>ביה"ס יסודי ע"ש גולדה מאיר</v>
          </cell>
          <cell r="G1502" t="str">
            <v>יסודי בלבד</v>
          </cell>
          <cell r="H1502" t="str">
            <v>כן</v>
          </cell>
          <cell r="I1502" t="str">
            <v>כן</v>
          </cell>
          <cell r="J1502" t="str">
            <v>כן</v>
          </cell>
          <cell r="K1502">
            <v>103</v>
          </cell>
          <cell r="L1502">
            <v>94</v>
          </cell>
        </row>
        <row r="1503">
          <cell r="D1503">
            <v>113944</v>
          </cell>
          <cell r="E1503" t="str">
            <v>בעלות</v>
          </cell>
          <cell r="F1503" t="str">
            <v>אורה ברמה (בנות)</v>
          </cell>
          <cell r="G1503" t="str">
            <v>יסודי בלבד</v>
          </cell>
          <cell r="H1503" t="str">
            <v>כן</v>
          </cell>
          <cell r="I1503" t="str">
            <v>כן</v>
          </cell>
          <cell r="J1503" t="str">
            <v>כן</v>
          </cell>
          <cell r="K1503">
            <v>87</v>
          </cell>
          <cell r="L1503">
            <v>65</v>
          </cell>
        </row>
        <row r="1504">
          <cell r="D1504">
            <v>612028</v>
          </cell>
          <cell r="E1504" t="str">
            <v>רשות</v>
          </cell>
          <cell r="F1504" t="str">
            <v>אפרים בן דוד</v>
          </cell>
          <cell r="G1504" t="str">
            <v>יסודי בלבד</v>
          </cell>
          <cell r="H1504" t="str">
            <v>כן</v>
          </cell>
          <cell r="I1504" t="str">
            <v>כן</v>
          </cell>
          <cell r="J1504" t="str">
            <v>לא</v>
          </cell>
          <cell r="K1504">
            <v>81</v>
          </cell>
          <cell r="L1504">
            <v>23</v>
          </cell>
        </row>
        <row r="1505">
          <cell r="D1505">
            <v>219816</v>
          </cell>
          <cell r="E1505" t="str">
            <v/>
          </cell>
          <cell r="F1505" t="str">
            <v>יסודי שכ' ג'משה</v>
          </cell>
          <cell r="G1505" t="str">
            <v>יסודי בלבד</v>
          </cell>
          <cell r="H1505" t="str">
            <v>כן</v>
          </cell>
          <cell r="I1505" t="str">
            <v>כן</v>
          </cell>
          <cell r="J1505" t="str">
            <v>כן</v>
          </cell>
          <cell r="K1505">
            <v>189</v>
          </cell>
          <cell r="L1505">
            <v>39</v>
          </cell>
        </row>
        <row r="1506">
          <cell r="D1506">
            <v>113969</v>
          </cell>
          <cell r="E1506" t="str">
            <v>רשות</v>
          </cell>
          <cell r="F1506" t="str">
            <v>קרית ארבע בנים</v>
          </cell>
          <cell r="G1506" t="str">
            <v>יסודי בלבד</v>
          </cell>
          <cell r="H1506" t="str">
            <v>כן</v>
          </cell>
          <cell r="I1506" t="str">
            <v>כן</v>
          </cell>
          <cell r="J1506" t="str">
            <v>כן</v>
          </cell>
          <cell r="K1506">
            <v>202</v>
          </cell>
          <cell r="L1506">
            <v>119</v>
          </cell>
        </row>
        <row r="1507">
          <cell r="D1507">
            <v>218479</v>
          </cell>
          <cell r="E1507" t="str">
            <v/>
          </cell>
          <cell r="F1507" t="str">
            <v>בית ספר ע"ש נמר עראידה</v>
          </cell>
          <cell r="G1507" t="str">
            <v>יסודי בלבד</v>
          </cell>
          <cell r="H1507" t="str">
            <v>כן</v>
          </cell>
          <cell r="I1507" t="str">
            <v>כן</v>
          </cell>
          <cell r="J1507" t="str">
            <v>כן</v>
          </cell>
          <cell r="K1507">
            <v>210</v>
          </cell>
          <cell r="L1507">
            <v>120</v>
          </cell>
        </row>
        <row r="1508">
          <cell r="D1508">
            <v>414466</v>
          </cell>
          <cell r="E1508" t="str">
            <v>רשות</v>
          </cell>
          <cell r="F1508" t="str">
            <v>ממ"ד בית מרגלית</v>
          </cell>
          <cell r="G1508" t="str">
            <v>יסודי בלבד</v>
          </cell>
          <cell r="H1508" t="str">
            <v>כן</v>
          </cell>
          <cell r="I1508" t="str">
            <v>כן</v>
          </cell>
          <cell r="J1508" t="str">
            <v>כן</v>
          </cell>
          <cell r="K1508">
            <v>130</v>
          </cell>
          <cell r="L1508">
            <v>100</v>
          </cell>
        </row>
        <row r="1509">
          <cell r="D1509">
            <v>615237</v>
          </cell>
          <cell r="E1509" t="str">
            <v>רשות</v>
          </cell>
          <cell r="F1509" t="str">
            <v>שירת הים</v>
          </cell>
          <cell r="G1509" t="str">
            <v>יסודי בלבד</v>
          </cell>
          <cell r="H1509" t="str">
            <v>כן</v>
          </cell>
          <cell r="I1509" t="str">
            <v>כן</v>
          </cell>
          <cell r="J1509" t="str">
            <v>כן</v>
          </cell>
          <cell r="K1509">
            <v>116</v>
          </cell>
          <cell r="L1509">
            <v>40</v>
          </cell>
        </row>
        <row r="1510">
          <cell r="D1510">
            <v>211623</v>
          </cell>
          <cell r="E1510" t="str">
            <v>רשות</v>
          </cell>
          <cell r="F1510" t="str">
            <v>עצמון</v>
          </cell>
          <cell r="G1510" t="str">
            <v>יסודי בלבד</v>
          </cell>
          <cell r="H1510" t="str">
            <v>כן</v>
          </cell>
          <cell r="I1510" t="str">
            <v>כן</v>
          </cell>
          <cell r="J1510" t="str">
            <v>כן</v>
          </cell>
          <cell r="K1510">
            <v>75</v>
          </cell>
          <cell r="L1510">
            <v>40</v>
          </cell>
        </row>
        <row r="1511">
          <cell r="D1511">
            <v>414227</v>
          </cell>
          <cell r="E1511" t="str">
            <v>רשות</v>
          </cell>
          <cell r="F1511" t="str">
            <v>מעיין</v>
          </cell>
          <cell r="G1511" t="str">
            <v>יסודי בלבד</v>
          </cell>
          <cell r="H1511" t="str">
            <v>כן</v>
          </cell>
          <cell r="I1511" t="str">
            <v>כן</v>
          </cell>
          <cell r="J1511" t="str">
            <v>כן</v>
          </cell>
          <cell r="K1511">
            <v>169</v>
          </cell>
          <cell r="L1511">
            <v>67</v>
          </cell>
        </row>
        <row r="1512">
          <cell r="D1512">
            <v>634121</v>
          </cell>
          <cell r="E1512" t="str">
            <v>רשות</v>
          </cell>
          <cell r="F1512" t="str">
            <v>בנות חברון</v>
          </cell>
          <cell r="G1512" t="str">
            <v>יסודי בלבד</v>
          </cell>
          <cell r="H1512" t="str">
            <v>כן</v>
          </cell>
          <cell r="I1512" t="str">
            <v>כן</v>
          </cell>
          <cell r="J1512" t="str">
            <v>כן</v>
          </cell>
          <cell r="K1512">
            <v>58</v>
          </cell>
          <cell r="L1512">
            <v>53</v>
          </cell>
        </row>
        <row r="1513">
          <cell r="D1513">
            <v>616409</v>
          </cell>
          <cell r="E1513" t="str">
            <v/>
          </cell>
          <cell r="F1513" t="str">
            <v>יד אשר בנים</v>
          </cell>
          <cell r="G1513" t="str">
            <v>יסודי בלבד</v>
          </cell>
          <cell r="H1513" t="str">
            <v>כן</v>
          </cell>
          <cell r="I1513" t="str">
            <v>כן</v>
          </cell>
          <cell r="J1513" t="str">
            <v>כן</v>
          </cell>
          <cell r="K1513">
            <v>71</v>
          </cell>
          <cell r="L1513">
            <v>71</v>
          </cell>
        </row>
        <row r="1514">
          <cell r="D1514">
            <v>484402</v>
          </cell>
          <cell r="E1514" t="str">
            <v>רשות</v>
          </cell>
          <cell r="F1514" t="str">
            <v>יסודי ממד</v>
          </cell>
          <cell r="G1514" t="str">
            <v>יסודי בלבד</v>
          </cell>
          <cell r="H1514" t="str">
            <v>כן</v>
          </cell>
          <cell r="I1514" t="str">
            <v>כן</v>
          </cell>
          <cell r="J1514" t="str">
            <v>כן</v>
          </cell>
          <cell r="K1514">
            <v>70</v>
          </cell>
          <cell r="L1514">
            <v>69</v>
          </cell>
        </row>
        <row r="1515">
          <cell r="D1515">
            <v>212589</v>
          </cell>
          <cell r="E1515" t="str">
            <v>רשות</v>
          </cell>
          <cell r="F1515" t="str">
            <v>ארבל מד</v>
          </cell>
          <cell r="G1515" t="str">
            <v>יסודי בלבד</v>
          </cell>
          <cell r="H1515" t="str">
            <v>כן</v>
          </cell>
          <cell r="I1515" t="str">
            <v>כן</v>
          </cell>
          <cell r="J1515" t="str">
            <v>כן</v>
          </cell>
          <cell r="K1515">
            <v>90</v>
          </cell>
          <cell r="L1515">
            <v>56</v>
          </cell>
        </row>
        <row r="1516">
          <cell r="D1516">
            <v>118224</v>
          </cell>
          <cell r="E1516" t="str">
            <v>רשות</v>
          </cell>
          <cell r="F1516" t="str">
            <v>עיסאויה לבנות</v>
          </cell>
          <cell r="G1516" t="str">
            <v>יסודי בלבד</v>
          </cell>
          <cell r="H1516" t="str">
            <v>כן</v>
          </cell>
          <cell r="I1516" t="str">
            <v>כן</v>
          </cell>
          <cell r="J1516" t="str">
            <v>כן</v>
          </cell>
          <cell r="K1516">
            <v>363</v>
          </cell>
          <cell r="L1516">
            <v>165</v>
          </cell>
        </row>
        <row r="1517">
          <cell r="D1517">
            <v>713685</v>
          </cell>
          <cell r="E1517" t="str">
            <v>רשות</v>
          </cell>
          <cell r="F1517" t="str">
            <v>רותם</v>
          </cell>
          <cell r="G1517" t="str">
            <v>יסודי בלבד</v>
          </cell>
          <cell r="H1517" t="str">
            <v>כן</v>
          </cell>
          <cell r="I1517" t="str">
            <v>כן</v>
          </cell>
          <cell r="J1517" t="str">
            <v>כן</v>
          </cell>
          <cell r="K1517">
            <v>50</v>
          </cell>
          <cell r="L1517">
            <v>17</v>
          </cell>
        </row>
        <row r="1518">
          <cell r="D1518">
            <v>410381</v>
          </cell>
          <cell r="E1518" t="str">
            <v/>
          </cell>
          <cell r="F1518" t="str">
            <v>חסידי עמנואל</v>
          </cell>
          <cell r="G1518" t="str">
            <v>יסודי בלבד</v>
          </cell>
          <cell r="H1518" t="str">
            <v>כן</v>
          </cell>
          <cell r="I1518" t="str">
            <v>כן</v>
          </cell>
          <cell r="J1518" t="str">
            <v>כן</v>
          </cell>
          <cell r="K1518">
            <v>68</v>
          </cell>
          <cell r="L1518">
            <v>68</v>
          </cell>
        </row>
        <row r="1519">
          <cell r="D1519">
            <v>111195</v>
          </cell>
          <cell r="E1519" t="str">
            <v>רשות</v>
          </cell>
          <cell r="F1519" t="str">
            <v>חברון בנות</v>
          </cell>
          <cell r="G1519" t="str">
            <v>יסודי בלבד</v>
          </cell>
          <cell r="H1519" t="str">
            <v>כן</v>
          </cell>
          <cell r="I1519" t="str">
            <v>כן</v>
          </cell>
          <cell r="J1519" t="str">
            <v>כן</v>
          </cell>
          <cell r="K1519">
            <v>129</v>
          </cell>
          <cell r="L1519">
            <v>60</v>
          </cell>
        </row>
        <row r="1520">
          <cell r="D1520">
            <v>518373</v>
          </cell>
          <cell r="E1520" t="str">
            <v>רשות</v>
          </cell>
          <cell r="F1520" t="str">
            <v>כפר עקב לבנים</v>
          </cell>
          <cell r="G1520" t="str">
            <v>יסודי בלבד</v>
          </cell>
          <cell r="H1520" t="str">
            <v>כן</v>
          </cell>
          <cell r="I1520" t="str">
            <v>כן</v>
          </cell>
          <cell r="J1520" t="str">
            <v>כן</v>
          </cell>
          <cell r="K1520">
            <v>218</v>
          </cell>
          <cell r="L1520">
            <v>54</v>
          </cell>
        </row>
        <row r="1521">
          <cell r="D1521">
            <v>682443</v>
          </cell>
          <cell r="E1521" t="str">
            <v>רשות</v>
          </cell>
          <cell r="F1521" t="str">
            <v>נחלי אמונה</v>
          </cell>
          <cell r="G1521" t="str">
            <v>יסודי בלבד</v>
          </cell>
          <cell r="H1521" t="str">
            <v>כן</v>
          </cell>
          <cell r="I1521" t="str">
            <v>כן</v>
          </cell>
          <cell r="J1521" t="str">
            <v>כן</v>
          </cell>
          <cell r="K1521">
            <v>67</v>
          </cell>
          <cell r="L1521">
            <v>67</v>
          </cell>
        </row>
        <row r="1522">
          <cell r="D1522">
            <v>219287</v>
          </cell>
          <cell r="E1522" t="str">
            <v>רשות</v>
          </cell>
          <cell r="F1522" t="str">
            <v>אל מנארה</v>
          </cell>
          <cell r="G1522" t="str">
            <v>יסודי בלבד</v>
          </cell>
          <cell r="H1522" t="str">
            <v>כן</v>
          </cell>
          <cell r="I1522" t="str">
            <v>כן</v>
          </cell>
          <cell r="J1522" t="str">
            <v>כן</v>
          </cell>
          <cell r="K1522">
            <v>337</v>
          </cell>
          <cell r="L1522">
            <v>141</v>
          </cell>
        </row>
        <row r="1523">
          <cell r="D1523">
            <v>131201</v>
          </cell>
          <cell r="E1523" t="str">
            <v>רשות</v>
          </cell>
          <cell r="F1523" t="str">
            <v>אלוני ממרא</v>
          </cell>
          <cell r="G1523" t="str">
            <v>יסודי בלבד</v>
          </cell>
          <cell r="H1523" t="str">
            <v>כן</v>
          </cell>
          <cell r="I1523" t="str">
            <v>כן</v>
          </cell>
          <cell r="J1523" t="str">
            <v>לא</v>
          </cell>
          <cell r="K1523">
            <v>78</v>
          </cell>
          <cell r="L1523">
            <v>43</v>
          </cell>
        </row>
        <row r="1524">
          <cell r="D1524">
            <v>413088</v>
          </cell>
          <cell r="E1524" t="str">
            <v/>
          </cell>
          <cell r="F1524" t="str">
            <v>יחדיו</v>
          </cell>
          <cell r="G1524" t="str">
            <v>יסודי בלבד</v>
          </cell>
          <cell r="H1524" t="str">
            <v>כן</v>
          </cell>
          <cell r="I1524" t="str">
            <v>כן</v>
          </cell>
          <cell r="J1524" t="str">
            <v>כן</v>
          </cell>
          <cell r="K1524">
            <v>110</v>
          </cell>
          <cell r="L1524">
            <v>42</v>
          </cell>
        </row>
        <row r="1525">
          <cell r="D1525">
            <v>416230</v>
          </cell>
          <cell r="E1525" t="str">
            <v>רשות</v>
          </cell>
          <cell r="F1525" t="str">
            <v>מורשת זבולון ק.רבין</v>
          </cell>
          <cell r="G1525" t="str">
            <v>יסודי בלבד</v>
          </cell>
          <cell r="H1525" t="str">
            <v>כן</v>
          </cell>
          <cell r="I1525" t="str">
            <v>כן</v>
          </cell>
          <cell r="J1525" t="str">
            <v>כן</v>
          </cell>
          <cell r="K1525">
            <v>338</v>
          </cell>
          <cell r="L1525">
            <v>338</v>
          </cell>
        </row>
        <row r="1526">
          <cell r="D1526">
            <v>618744</v>
          </cell>
          <cell r="E1526" t="str">
            <v>רשות</v>
          </cell>
          <cell r="F1526" t="str">
            <v>אלפרדוס</v>
          </cell>
          <cell r="G1526" t="str">
            <v>יסודי בלבד</v>
          </cell>
          <cell r="H1526" t="str">
            <v>כן</v>
          </cell>
          <cell r="I1526" t="str">
            <v>כן</v>
          </cell>
          <cell r="J1526" t="str">
            <v>כן</v>
          </cell>
          <cell r="K1526">
            <v>279</v>
          </cell>
          <cell r="L1526">
            <v>135</v>
          </cell>
        </row>
        <row r="1527">
          <cell r="D1527">
            <v>616623</v>
          </cell>
          <cell r="E1527" t="str">
            <v>רשות</v>
          </cell>
          <cell r="F1527" t="str">
            <v>תורת מנחם</v>
          </cell>
          <cell r="G1527" t="str">
            <v>יסודי בלבד</v>
          </cell>
          <cell r="H1527" t="str">
            <v>כן</v>
          </cell>
          <cell r="I1527" t="str">
            <v>כן</v>
          </cell>
          <cell r="J1527" t="str">
            <v>כן</v>
          </cell>
          <cell r="K1527">
            <v>85</v>
          </cell>
          <cell r="L1527">
            <v>44</v>
          </cell>
        </row>
        <row r="1528">
          <cell r="D1528">
            <v>511618</v>
          </cell>
          <cell r="E1528" t="str">
            <v>רשות</v>
          </cell>
          <cell r="F1528" t="str">
            <v>נווה הראל</v>
          </cell>
          <cell r="G1528" t="str">
            <v>יסודי בלבד</v>
          </cell>
          <cell r="H1528" t="str">
            <v>כן</v>
          </cell>
          <cell r="I1528" t="str">
            <v>כן</v>
          </cell>
          <cell r="J1528" t="str">
            <v>כן</v>
          </cell>
          <cell r="K1528">
            <v>142</v>
          </cell>
          <cell r="L1528">
            <v>52</v>
          </cell>
        </row>
        <row r="1529">
          <cell r="D1529">
            <v>675298</v>
          </cell>
          <cell r="E1529" t="str">
            <v>בעלות</v>
          </cell>
          <cell r="F1529" t="str">
            <v>ת"ת חשקת התורה</v>
          </cell>
          <cell r="G1529" t="str">
            <v>יסודי בלבד</v>
          </cell>
          <cell r="H1529" t="str">
            <v>כן</v>
          </cell>
          <cell r="I1529" t="str">
            <v>לא</v>
          </cell>
          <cell r="J1529" t="str">
            <v>לא</v>
          </cell>
          <cell r="K1529">
            <v>20</v>
          </cell>
          <cell r="L1529">
            <v>22</v>
          </cell>
        </row>
        <row r="1530">
          <cell r="D1530">
            <v>113399</v>
          </cell>
          <cell r="E1530" t="str">
            <v>רשות</v>
          </cell>
          <cell r="F1530" t="str">
            <v>מקור חיים</v>
          </cell>
          <cell r="G1530" t="str">
            <v>יסודי בלבד</v>
          </cell>
          <cell r="H1530" t="str">
            <v>כן</v>
          </cell>
          <cell r="I1530" t="str">
            <v>כן</v>
          </cell>
          <cell r="J1530" t="str">
            <v>כן</v>
          </cell>
          <cell r="K1530">
            <v>195</v>
          </cell>
          <cell r="L1530">
            <v>76</v>
          </cell>
        </row>
        <row r="1531">
          <cell r="D1531">
            <v>219154</v>
          </cell>
          <cell r="E1531" t="str">
            <v/>
          </cell>
          <cell r="F1531" t="str">
            <v>יסודי א' טורעאן</v>
          </cell>
          <cell r="G1531" t="str">
            <v>יסודי בלבד</v>
          </cell>
          <cell r="H1531" t="str">
            <v>כן</v>
          </cell>
          <cell r="I1531" t="str">
            <v>כן</v>
          </cell>
          <cell r="J1531" t="str">
            <v>כן</v>
          </cell>
          <cell r="K1531">
            <v>181</v>
          </cell>
          <cell r="L1531">
            <v>135</v>
          </cell>
        </row>
        <row r="1532">
          <cell r="D1532">
            <v>411694</v>
          </cell>
          <cell r="E1532" t="str">
            <v>רשות</v>
          </cell>
          <cell r="F1532" t="str">
            <v>יסודות</v>
          </cell>
          <cell r="G1532" t="str">
            <v>יסודי בלבד</v>
          </cell>
          <cell r="H1532" t="str">
            <v>כן</v>
          </cell>
          <cell r="I1532" t="str">
            <v>כן</v>
          </cell>
          <cell r="J1532" t="str">
            <v>לא</v>
          </cell>
          <cell r="K1532">
            <v>91</v>
          </cell>
          <cell r="L1532">
            <v>35</v>
          </cell>
        </row>
        <row r="1533">
          <cell r="D1533">
            <v>633461</v>
          </cell>
          <cell r="E1533" t="str">
            <v>בעלות</v>
          </cell>
          <cell r="F1533" t="str">
            <v>שדות נגב</v>
          </cell>
          <cell r="G1533" t="str">
            <v>יסודי בלבד</v>
          </cell>
          <cell r="H1533" t="str">
            <v>כן</v>
          </cell>
          <cell r="I1533" t="str">
            <v>כן</v>
          </cell>
          <cell r="J1533" t="str">
            <v>כן</v>
          </cell>
          <cell r="K1533">
            <v>97</v>
          </cell>
          <cell r="L1533">
            <v>98</v>
          </cell>
        </row>
        <row r="1534">
          <cell r="D1534">
            <v>143404</v>
          </cell>
          <cell r="E1534" t="str">
            <v>רשות</v>
          </cell>
          <cell r="F1534" t="str">
            <v>אהל שילה בנים</v>
          </cell>
          <cell r="G1534" t="str">
            <v>יסודי בלבד</v>
          </cell>
          <cell r="H1534" t="str">
            <v>כן</v>
          </cell>
          <cell r="I1534" t="str">
            <v>כן</v>
          </cell>
          <cell r="J1534" t="str">
            <v>כן</v>
          </cell>
          <cell r="K1534">
            <v>212</v>
          </cell>
          <cell r="L1534">
            <v>30</v>
          </cell>
        </row>
        <row r="1535">
          <cell r="D1535">
            <v>611392</v>
          </cell>
          <cell r="E1535" t="str">
            <v>רשות</v>
          </cell>
          <cell r="F1535" t="str">
            <v>אסף-מימון</v>
          </cell>
          <cell r="G1535" t="str">
            <v>יסודי בלבד</v>
          </cell>
          <cell r="H1535" t="str">
            <v>כן</v>
          </cell>
          <cell r="I1535" t="str">
            <v>כן</v>
          </cell>
          <cell r="J1535" t="str">
            <v>לא</v>
          </cell>
          <cell r="K1535">
            <v>256</v>
          </cell>
          <cell r="L1535">
            <v>172</v>
          </cell>
        </row>
        <row r="1536">
          <cell r="D1536">
            <v>482182</v>
          </cell>
          <cell r="E1536" t="str">
            <v>רשות</v>
          </cell>
          <cell r="F1536" t="str">
            <v>סלעית ע"ש עוז</v>
          </cell>
          <cell r="G1536" t="str">
            <v>יסודי בלבד</v>
          </cell>
          <cell r="H1536" t="str">
            <v>כן</v>
          </cell>
          <cell r="I1536" t="str">
            <v>כן</v>
          </cell>
          <cell r="J1536" t="str">
            <v>כן</v>
          </cell>
          <cell r="K1536">
            <v>155</v>
          </cell>
          <cell r="L1536">
            <v>78</v>
          </cell>
        </row>
        <row r="1537">
          <cell r="D1537">
            <v>613596</v>
          </cell>
          <cell r="E1537" t="str">
            <v>רשות</v>
          </cell>
          <cell r="F1537" t="str">
            <v>נוף ים</v>
          </cell>
          <cell r="G1537" t="str">
            <v>יסודי בלבד</v>
          </cell>
          <cell r="H1537" t="str">
            <v>כן</v>
          </cell>
          <cell r="I1537" t="str">
            <v>כן</v>
          </cell>
          <cell r="J1537" t="str">
            <v>כן</v>
          </cell>
          <cell r="K1537">
            <v>152</v>
          </cell>
          <cell r="L1537">
            <v>56</v>
          </cell>
        </row>
        <row r="1538">
          <cell r="D1538">
            <v>413120</v>
          </cell>
          <cell r="E1538" t="str">
            <v/>
          </cell>
          <cell r="F1538" t="str">
            <v>ת"ת סיני יבנה</v>
          </cell>
          <cell r="G1538" t="str">
            <v>יסודי בלבד</v>
          </cell>
          <cell r="H1538" t="str">
            <v>כן</v>
          </cell>
          <cell r="I1538" t="str">
            <v>כן</v>
          </cell>
          <cell r="J1538" t="str">
            <v>כן</v>
          </cell>
          <cell r="K1538">
            <v>0</v>
          </cell>
          <cell r="L1538">
            <v>75</v>
          </cell>
        </row>
        <row r="1539">
          <cell r="D1539">
            <v>414557</v>
          </cell>
          <cell r="E1539" t="str">
            <v>רשות</v>
          </cell>
          <cell r="F1539" t="str">
            <v>ממ"ד אור זבולון</v>
          </cell>
          <cell r="G1539" t="str">
            <v>יסודי בלבד</v>
          </cell>
          <cell r="H1539" t="str">
            <v>כן</v>
          </cell>
          <cell r="I1539" t="str">
            <v>כן</v>
          </cell>
          <cell r="J1539" t="str">
            <v>כן</v>
          </cell>
          <cell r="K1539">
            <v>275</v>
          </cell>
          <cell r="L1539">
            <v>103</v>
          </cell>
        </row>
        <row r="1540">
          <cell r="D1540">
            <v>160630</v>
          </cell>
          <cell r="E1540" t="str">
            <v/>
          </cell>
          <cell r="F1540" t="str">
            <v>מ. חינוכי בנות מוריה</v>
          </cell>
          <cell r="G1540" t="str">
            <v>יסודי בלבד</v>
          </cell>
          <cell r="H1540" t="str">
            <v>כן</v>
          </cell>
          <cell r="I1540" t="str">
            <v>כן</v>
          </cell>
          <cell r="J1540" t="str">
            <v>כן</v>
          </cell>
          <cell r="K1540">
            <v>80</v>
          </cell>
          <cell r="L1540">
            <v>80</v>
          </cell>
        </row>
        <row r="1541">
          <cell r="D1541">
            <v>617019</v>
          </cell>
          <cell r="E1541" t="str">
            <v>רשות</v>
          </cell>
          <cell r="F1541" t="str">
            <v>אשבאל אלקודס</v>
          </cell>
          <cell r="G1541" t="str">
            <v>יסודי בלבד</v>
          </cell>
          <cell r="H1541" t="str">
            <v>כן</v>
          </cell>
          <cell r="I1541" t="str">
            <v>כן</v>
          </cell>
          <cell r="J1541" t="str">
            <v>כן</v>
          </cell>
          <cell r="K1541">
            <v>138</v>
          </cell>
          <cell r="L1541">
            <v>37</v>
          </cell>
        </row>
        <row r="1542">
          <cell r="D1542">
            <v>610790</v>
          </cell>
          <cell r="E1542" t="str">
            <v>רשות</v>
          </cell>
          <cell r="F1542" t="str">
            <v>רמון</v>
          </cell>
          <cell r="G1542" t="str">
            <v>יסודי בלבד</v>
          </cell>
          <cell r="H1542" t="str">
            <v>כן</v>
          </cell>
          <cell r="I1542" t="str">
            <v>כן</v>
          </cell>
          <cell r="J1542" t="str">
            <v>כן</v>
          </cell>
          <cell r="K1542">
            <v>57</v>
          </cell>
          <cell r="L1542">
            <v>29</v>
          </cell>
        </row>
        <row r="1543">
          <cell r="D1543">
            <v>172023</v>
          </cell>
          <cell r="E1543" t="str">
            <v>רשות</v>
          </cell>
          <cell r="F1543" t="str">
            <v>הראל ממ"ד</v>
          </cell>
          <cell r="G1543" t="str">
            <v>יסודי בלבד</v>
          </cell>
          <cell r="H1543" t="str">
            <v>כן</v>
          </cell>
          <cell r="I1543" t="str">
            <v>כן</v>
          </cell>
          <cell r="J1543" t="str">
            <v>כן</v>
          </cell>
          <cell r="K1543">
            <v>223</v>
          </cell>
          <cell r="L1543">
            <v>223</v>
          </cell>
        </row>
        <row r="1544">
          <cell r="D1544">
            <v>359836</v>
          </cell>
          <cell r="E1544" t="str">
            <v>רשות</v>
          </cell>
          <cell r="F1544" t="str">
            <v>איליאא</v>
          </cell>
          <cell r="G1544" t="str">
            <v>יסודי בלבד</v>
          </cell>
          <cell r="H1544" t="str">
            <v>כן</v>
          </cell>
          <cell r="I1544" t="str">
            <v>כן</v>
          </cell>
          <cell r="J1544" t="str">
            <v>כן</v>
          </cell>
          <cell r="K1544">
            <v>100</v>
          </cell>
          <cell r="L1544">
            <v>45</v>
          </cell>
        </row>
        <row r="1545">
          <cell r="D1545">
            <v>413666</v>
          </cell>
          <cell r="E1545" t="str">
            <v>רשות</v>
          </cell>
          <cell r="F1545" t="str">
            <v>בן צבי</v>
          </cell>
          <cell r="G1545" t="str">
            <v>יסודי בלבד</v>
          </cell>
          <cell r="H1545" t="str">
            <v>כן</v>
          </cell>
          <cell r="I1545" t="str">
            <v>כן</v>
          </cell>
          <cell r="J1545" t="str">
            <v>כן</v>
          </cell>
          <cell r="K1545">
            <v>153</v>
          </cell>
          <cell r="L1545">
            <v>39</v>
          </cell>
        </row>
        <row r="1546">
          <cell r="D1546">
            <v>174656</v>
          </cell>
          <cell r="E1546" t="str">
            <v>בעלות</v>
          </cell>
          <cell r="F1546" t="str">
            <v>ת"ת נתיבי התורה</v>
          </cell>
          <cell r="G1546" t="str">
            <v>יסודי בלבד</v>
          </cell>
          <cell r="H1546" t="str">
            <v>כן</v>
          </cell>
          <cell r="I1546" t="str">
            <v>כן</v>
          </cell>
          <cell r="J1546" t="str">
            <v>כן</v>
          </cell>
          <cell r="K1546">
            <v>113</v>
          </cell>
          <cell r="L1546">
            <v>113</v>
          </cell>
        </row>
        <row r="1547">
          <cell r="D1547">
            <v>414276</v>
          </cell>
          <cell r="E1547" t="str">
            <v>רשות</v>
          </cell>
          <cell r="F1547" t="str">
            <v>ממ"ד רמב"ם</v>
          </cell>
          <cell r="G1547" t="str">
            <v>יסודי בלבד</v>
          </cell>
          <cell r="H1547" t="str">
            <v>כן</v>
          </cell>
          <cell r="I1547" t="str">
            <v>כן</v>
          </cell>
          <cell r="J1547" t="str">
            <v>כן</v>
          </cell>
          <cell r="K1547">
            <v>196</v>
          </cell>
          <cell r="L1547">
            <v>67</v>
          </cell>
        </row>
        <row r="1548">
          <cell r="D1548">
            <v>647537</v>
          </cell>
          <cell r="E1548" t="str">
            <v>בעלות</v>
          </cell>
          <cell r="F1548" t="str">
            <v>בית יעקב בית וגן</v>
          </cell>
          <cell r="G1548" t="str">
            <v>יסודי בלבד</v>
          </cell>
          <cell r="H1548" t="str">
            <v>כן</v>
          </cell>
          <cell r="I1548" t="str">
            <v>כן</v>
          </cell>
          <cell r="J1548" t="str">
            <v>כן</v>
          </cell>
          <cell r="K1548">
            <v>60</v>
          </cell>
          <cell r="L1548">
            <v>60</v>
          </cell>
        </row>
        <row r="1549">
          <cell r="D1549">
            <v>512186</v>
          </cell>
          <cell r="E1549" t="str">
            <v/>
          </cell>
          <cell r="F1549" t="str">
            <v>ב"י רמת שמואל נוה אחיעזר</v>
          </cell>
          <cell r="G1549" t="str">
            <v>יסודי בלבד</v>
          </cell>
          <cell r="H1549" t="str">
            <v>כן</v>
          </cell>
          <cell r="I1549" t="str">
            <v>כן</v>
          </cell>
          <cell r="J1549" t="str">
            <v>כן</v>
          </cell>
          <cell r="K1549">
            <v>0</v>
          </cell>
          <cell r="L1549">
            <v>72</v>
          </cell>
        </row>
        <row r="1550">
          <cell r="D1550">
            <v>612051</v>
          </cell>
          <cell r="E1550" t="str">
            <v>רשות</v>
          </cell>
          <cell r="F1550" t="str">
            <v>הראל</v>
          </cell>
          <cell r="G1550" t="str">
            <v>יסודי בלבד</v>
          </cell>
          <cell r="H1550" t="str">
            <v>כן</v>
          </cell>
          <cell r="I1550" t="str">
            <v>כן</v>
          </cell>
          <cell r="J1550" t="str">
            <v>כן</v>
          </cell>
          <cell r="K1550">
            <v>178</v>
          </cell>
          <cell r="L1550">
            <v>58</v>
          </cell>
        </row>
        <row r="1551">
          <cell r="D1551">
            <v>611822</v>
          </cell>
          <cell r="E1551" t="str">
            <v/>
          </cell>
          <cell r="F1551" t="str">
            <v>ב"י נתיבות נוה יעקב</v>
          </cell>
          <cell r="G1551" t="str">
            <v>יסודי בלבד</v>
          </cell>
          <cell r="H1551" t="str">
            <v>כן</v>
          </cell>
          <cell r="I1551" t="str">
            <v>כן</v>
          </cell>
          <cell r="J1551" t="str">
            <v>כן</v>
          </cell>
          <cell r="K1551">
            <v>63</v>
          </cell>
          <cell r="L1551">
            <v>41</v>
          </cell>
        </row>
        <row r="1552">
          <cell r="D1552">
            <v>217299</v>
          </cell>
          <cell r="E1552" t="str">
            <v>רשות</v>
          </cell>
          <cell r="F1552" t="str">
            <v>אלתסאמוח ע"ש כמאל ג'ונבלאט</v>
          </cell>
          <cell r="G1552" t="str">
            <v>יסודי בלבד</v>
          </cell>
          <cell r="H1552" t="str">
            <v>כן</v>
          </cell>
          <cell r="I1552" t="str">
            <v>כן</v>
          </cell>
          <cell r="J1552" t="str">
            <v>כן</v>
          </cell>
          <cell r="K1552">
            <v>186</v>
          </cell>
          <cell r="L1552">
            <v>80</v>
          </cell>
        </row>
        <row r="1553">
          <cell r="D1553">
            <v>410175</v>
          </cell>
          <cell r="E1553" t="str">
            <v>רשות</v>
          </cell>
          <cell r="F1553" t="str">
            <v>ממ"ד רמב"ם</v>
          </cell>
          <cell r="G1553" t="str">
            <v>יסודי בלבד</v>
          </cell>
          <cell r="H1553" t="str">
            <v>כן</v>
          </cell>
          <cell r="I1553" t="str">
            <v>כן</v>
          </cell>
          <cell r="J1553" t="str">
            <v>כן</v>
          </cell>
          <cell r="K1553">
            <v>70</v>
          </cell>
          <cell r="L1553">
            <v>42</v>
          </cell>
        </row>
        <row r="1554">
          <cell r="D1554">
            <v>124149</v>
          </cell>
          <cell r="E1554" t="str">
            <v/>
          </cell>
          <cell r="F1554" t="str">
            <v>ב"י רמת שלמה</v>
          </cell>
          <cell r="G1554" t="str">
            <v>יסודי בלבד</v>
          </cell>
          <cell r="H1554" t="str">
            <v>כן</v>
          </cell>
          <cell r="I1554" t="str">
            <v>כן</v>
          </cell>
          <cell r="J1554" t="str">
            <v>כן</v>
          </cell>
          <cell r="K1554">
            <v>495</v>
          </cell>
          <cell r="L1554">
            <v>143</v>
          </cell>
        </row>
        <row r="1555">
          <cell r="D1555">
            <v>412981</v>
          </cell>
          <cell r="E1555" t="str">
            <v>רשות</v>
          </cell>
          <cell r="F1555" t="str">
            <v>רוזן</v>
          </cell>
          <cell r="G1555" t="str">
            <v>יסודי בלבד</v>
          </cell>
          <cell r="H1555" t="str">
            <v>כן</v>
          </cell>
          <cell r="I1555" t="str">
            <v>כן</v>
          </cell>
          <cell r="J1555" t="str">
            <v>כן</v>
          </cell>
          <cell r="K1555">
            <v>211</v>
          </cell>
          <cell r="L1555">
            <v>144</v>
          </cell>
        </row>
        <row r="1556">
          <cell r="D1556">
            <v>219212</v>
          </cell>
          <cell r="E1556" t="str">
            <v>רשות</v>
          </cell>
          <cell r="F1556" t="str">
            <v>אלעין</v>
          </cell>
          <cell r="G1556" t="str">
            <v>יסודי בלבד</v>
          </cell>
          <cell r="H1556" t="str">
            <v>כן</v>
          </cell>
          <cell r="I1556" t="str">
            <v>כן</v>
          </cell>
          <cell r="J1556" t="str">
            <v>כן</v>
          </cell>
          <cell r="K1556">
            <v>137</v>
          </cell>
          <cell r="L1556">
            <v>113</v>
          </cell>
        </row>
        <row r="1557">
          <cell r="D1557">
            <v>310276</v>
          </cell>
          <cell r="E1557" t="str">
            <v>רשות</v>
          </cell>
          <cell r="F1557" t="str">
            <v>צפרירים</v>
          </cell>
          <cell r="G1557" t="str">
            <v>יסודי בלבד</v>
          </cell>
          <cell r="H1557" t="str">
            <v>כן</v>
          </cell>
          <cell r="I1557" t="str">
            <v>כן</v>
          </cell>
          <cell r="J1557" t="str">
            <v>לא</v>
          </cell>
          <cell r="K1557">
            <v>265</v>
          </cell>
          <cell r="L1557">
            <v>189</v>
          </cell>
        </row>
        <row r="1558">
          <cell r="D1558">
            <v>311332</v>
          </cell>
          <cell r="E1558" t="str">
            <v>רשות</v>
          </cell>
          <cell r="F1558" t="str">
            <v>גלי עתלית</v>
          </cell>
          <cell r="G1558" t="str">
            <v>יסודי בלבד</v>
          </cell>
          <cell r="H1558" t="str">
            <v>כן</v>
          </cell>
          <cell r="I1558" t="str">
            <v>כן</v>
          </cell>
          <cell r="J1558" t="str">
            <v>כן</v>
          </cell>
          <cell r="K1558">
            <v>360</v>
          </cell>
          <cell r="L1558">
            <v>107</v>
          </cell>
        </row>
        <row r="1559">
          <cell r="D1559">
            <v>410456</v>
          </cell>
          <cell r="E1559" t="str">
            <v>רשות</v>
          </cell>
          <cell r="F1559" t="str">
            <v>ממלכתי א</v>
          </cell>
          <cell r="G1559" t="str">
            <v>יסודי בלבד</v>
          </cell>
          <cell r="H1559" t="str">
            <v>כן</v>
          </cell>
          <cell r="I1559" t="str">
            <v>כן</v>
          </cell>
          <cell r="J1559" t="str">
            <v>כן</v>
          </cell>
          <cell r="K1559">
            <v>201</v>
          </cell>
          <cell r="L1559">
            <v>58</v>
          </cell>
        </row>
        <row r="1560">
          <cell r="D1560">
            <v>219329</v>
          </cell>
          <cell r="E1560" t="str">
            <v/>
          </cell>
          <cell r="F1560" t="str">
            <v>נצרת ביר אלאמיר</v>
          </cell>
          <cell r="G1560" t="str">
            <v>יסודי בלבד</v>
          </cell>
          <cell r="H1560" t="str">
            <v>כן</v>
          </cell>
          <cell r="I1560" t="str">
            <v>כן</v>
          </cell>
          <cell r="J1560" t="str">
            <v>כן</v>
          </cell>
          <cell r="K1560">
            <v>375</v>
          </cell>
          <cell r="L1560">
            <v>205</v>
          </cell>
        </row>
        <row r="1561">
          <cell r="D1561">
            <v>310383</v>
          </cell>
          <cell r="E1561" t="str">
            <v>רשות</v>
          </cell>
          <cell r="F1561" t="str">
            <v>אילנות</v>
          </cell>
          <cell r="G1561" t="str">
            <v>יסודי בלבד</v>
          </cell>
          <cell r="H1561" t="str">
            <v>כן</v>
          </cell>
          <cell r="I1561" t="str">
            <v>כן</v>
          </cell>
          <cell r="J1561" t="str">
            <v>כן</v>
          </cell>
          <cell r="K1561">
            <v>171</v>
          </cell>
          <cell r="L1561">
            <v>95</v>
          </cell>
        </row>
        <row r="1562">
          <cell r="D1562">
            <v>417048</v>
          </cell>
          <cell r="E1562" t="str">
            <v>רשות</v>
          </cell>
          <cell r="F1562" t="str">
            <v>אל נג'אח</v>
          </cell>
          <cell r="G1562" t="str">
            <v>יסודי בלבד</v>
          </cell>
          <cell r="H1562" t="str">
            <v>כן</v>
          </cell>
          <cell r="I1562" t="str">
            <v>כן</v>
          </cell>
          <cell r="J1562" t="str">
            <v>כן</v>
          </cell>
          <cell r="K1562">
            <v>197</v>
          </cell>
          <cell r="L1562">
            <v>110</v>
          </cell>
        </row>
        <row r="1563">
          <cell r="D1563">
            <v>118075</v>
          </cell>
          <cell r="E1563" t="str">
            <v/>
          </cell>
          <cell r="F1563" t="str">
            <v>בית חנינה לבנים</v>
          </cell>
          <cell r="G1563" t="str">
            <v>יסודי בלבד</v>
          </cell>
          <cell r="H1563" t="str">
            <v>כן</v>
          </cell>
          <cell r="I1563" t="str">
            <v>כן</v>
          </cell>
          <cell r="J1563" t="str">
            <v>כן</v>
          </cell>
          <cell r="K1563">
            <v>243</v>
          </cell>
          <cell r="L1563">
            <v>85</v>
          </cell>
        </row>
        <row r="1564">
          <cell r="D1564">
            <v>310524</v>
          </cell>
          <cell r="E1564" t="str">
            <v>רשות</v>
          </cell>
          <cell r="F1564" t="str">
            <v>הרצל</v>
          </cell>
          <cell r="G1564" t="str">
            <v>יסודי בלבד</v>
          </cell>
          <cell r="H1564" t="str">
            <v>כן</v>
          </cell>
          <cell r="I1564" t="str">
            <v>כן</v>
          </cell>
          <cell r="J1564" t="str">
            <v>כן</v>
          </cell>
          <cell r="K1564">
            <v>350</v>
          </cell>
          <cell r="L1564">
            <v>104</v>
          </cell>
        </row>
        <row r="1565">
          <cell r="D1565">
            <v>413377</v>
          </cell>
          <cell r="E1565" t="str">
            <v>רשות</v>
          </cell>
          <cell r="F1565" t="str">
            <v>ממל' נחשונים</v>
          </cell>
          <cell r="G1565" t="str">
            <v>יסודי בלבד</v>
          </cell>
          <cell r="H1565" t="str">
            <v>כן</v>
          </cell>
          <cell r="I1565" t="str">
            <v>כן</v>
          </cell>
          <cell r="J1565" t="str">
            <v>כן</v>
          </cell>
          <cell r="K1565">
            <v>179</v>
          </cell>
          <cell r="L1565">
            <v>75</v>
          </cell>
        </row>
        <row r="1566">
          <cell r="D1566">
            <v>310623</v>
          </cell>
          <cell r="E1566" t="str">
            <v>רשות</v>
          </cell>
          <cell r="F1566" t="str">
            <v>מגינים</v>
          </cell>
          <cell r="G1566" t="str">
            <v>יסודי בלבד</v>
          </cell>
          <cell r="H1566" t="str">
            <v>כן</v>
          </cell>
          <cell r="I1566" t="str">
            <v>כן</v>
          </cell>
          <cell r="J1566" t="str">
            <v>כן</v>
          </cell>
          <cell r="K1566">
            <v>348</v>
          </cell>
          <cell r="L1566">
            <v>137</v>
          </cell>
        </row>
        <row r="1567">
          <cell r="D1567">
            <v>413906</v>
          </cell>
          <cell r="E1567" t="str">
            <v/>
          </cell>
          <cell r="F1567" t="str">
            <v>זיו בו ציון</v>
          </cell>
          <cell r="G1567" t="str">
            <v>יסודי בלבד</v>
          </cell>
          <cell r="H1567" t="str">
            <v>כן</v>
          </cell>
          <cell r="I1567" t="str">
            <v>כן</v>
          </cell>
          <cell r="J1567" t="str">
            <v>כן</v>
          </cell>
          <cell r="K1567">
            <v>160</v>
          </cell>
          <cell r="L1567">
            <v>52</v>
          </cell>
        </row>
        <row r="1568">
          <cell r="D1568">
            <v>313692</v>
          </cell>
          <cell r="E1568" t="str">
            <v>רשות</v>
          </cell>
          <cell r="F1568" t="str">
            <v>צליל</v>
          </cell>
          <cell r="G1568" t="str">
            <v>יסודי בלבד</v>
          </cell>
          <cell r="H1568" t="str">
            <v>כן</v>
          </cell>
          <cell r="I1568" t="str">
            <v>כן</v>
          </cell>
          <cell r="J1568" t="str">
            <v>כן</v>
          </cell>
          <cell r="K1568">
            <v>257</v>
          </cell>
          <cell r="L1568">
            <v>74</v>
          </cell>
        </row>
        <row r="1569">
          <cell r="D1569">
            <v>318162</v>
          </cell>
          <cell r="E1569" t="str">
            <v>רשות</v>
          </cell>
          <cell r="F1569" t="str">
            <v>חיפה אחוה</v>
          </cell>
          <cell r="G1569" t="str">
            <v>יסודי בלבד</v>
          </cell>
          <cell r="H1569" t="str">
            <v>כן</v>
          </cell>
          <cell r="I1569" t="str">
            <v>כן</v>
          </cell>
          <cell r="J1569" t="str">
            <v>כן</v>
          </cell>
          <cell r="K1569">
            <v>89</v>
          </cell>
          <cell r="L1569">
            <v>46</v>
          </cell>
        </row>
        <row r="1570">
          <cell r="D1570">
            <v>218537</v>
          </cell>
          <cell r="E1570" t="str">
            <v>רשות</v>
          </cell>
          <cell r="F1570" t="str">
            <v>יסודי א' משהד</v>
          </cell>
          <cell r="G1570" t="str">
            <v>יסודי בלבד</v>
          </cell>
          <cell r="H1570" t="str">
            <v>כן</v>
          </cell>
          <cell r="I1570" t="str">
            <v>כן</v>
          </cell>
          <cell r="J1570" t="str">
            <v>כן</v>
          </cell>
          <cell r="K1570">
            <v>273</v>
          </cell>
          <cell r="L1570">
            <v>82</v>
          </cell>
        </row>
        <row r="1571">
          <cell r="D1571">
            <v>511725</v>
          </cell>
          <cell r="E1571" t="str">
            <v>רשות</v>
          </cell>
          <cell r="F1571" t="str">
            <v>תל-נורדוי</v>
          </cell>
          <cell r="G1571" t="str">
            <v>יסודי בלבד</v>
          </cell>
          <cell r="H1571" t="str">
            <v>כן</v>
          </cell>
          <cell r="I1571" t="str">
            <v>כן</v>
          </cell>
          <cell r="J1571" t="str">
            <v>לא</v>
          </cell>
          <cell r="K1571">
            <v>164</v>
          </cell>
          <cell r="L1571">
            <v>164</v>
          </cell>
        </row>
        <row r="1572">
          <cell r="D1572">
            <v>219543</v>
          </cell>
          <cell r="E1572" t="str">
            <v/>
          </cell>
          <cell r="F1572" t="str">
            <v>אלגזאלי טמרה ו'</v>
          </cell>
          <cell r="G1572" t="str">
            <v>יסודי בלבד</v>
          </cell>
          <cell r="H1572" t="str">
            <v>כן</v>
          </cell>
          <cell r="I1572" t="str">
            <v>כן</v>
          </cell>
          <cell r="J1572" t="str">
            <v>כן</v>
          </cell>
          <cell r="K1572">
            <v>151</v>
          </cell>
          <cell r="L1572">
            <v>68</v>
          </cell>
        </row>
        <row r="1573">
          <cell r="D1573">
            <v>338368</v>
          </cell>
          <cell r="E1573" t="str">
            <v>רשות</v>
          </cell>
          <cell r="F1573" t="str">
            <v>יסודי ד' עבהרה</v>
          </cell>
          <cell r="G1573" t="str">
            <v>יסודי בלבד</v>
          </cell>
          <cell r="H1573" t="str">
            <v>כן</v>
          </cell>
          <cell r="I1573" t="str">
            <v>כן</v>
          </cell>
          <cell r="J1573" t="str">
            <v>כן</v>
          </cell>
          <cell r="K1573">
            <v>199</v>
          </cell>
          <cell r="L1573">
            <v>139</v>
          </cell>
        </row>
        <row r="1574">
          <cell r="D1574">
            <v>418079</v>
          </cell>
          <cell r="E1574" t="str">
            <v/>
          </cell>
          <cell r="F1574" t="str">
            <v>אל זהרא</v>
          </cell>
          <cell r="G1574" t="str">
            <v>יסודי בלבד</v>
          </cell>
          <cell r="H1574" t="str">
            <v>כן</v>
          </cell>
          <cell r="I1574" t="str">
            <v>כן</v>
          </cell>
          <cell r="J1574" t="str">
            <v>כן</v>
          </cell>
          <cell r="K1574">
            <v>231</v>
          </cell>
          <cell r="L1574">
            <v>102</v>
          </cell>
        </row>
        <row r="1575">
          <cell r="D1575">
            <v>310128</v>
          </cell>
          <cell r="E1575" t="str">
            <v>רשות</v>
          </cell>
          <cell r="F1575" t="str">
            <v>גבע- גבעת עדה</v>
          </cell>
          <cell r="G1575" t="str">
            <v>יסודי בלבד</v>
          </cell>
          <cell r="H1575" t="str">
            <v>כן</v>
          </cell>
          <cell r="I1575" t="str">
            <v>כן</v>
          </cell>
          <cell r="J1575" t="str">
            <v>כן</v>
          </cell>
          <cell r="K1575">
            <v>222</v>
          </cell>
          <cell r="L1575">
            <v>74</v>
          </cell>
        </row>
        <row r="1576">
          <cell r="D1576">
            <v>218388</v>
          </cell>
          <cell r="E1576" t="str">
            <v>רשות</v>
          </cell>
          <cell r="F1576" t="str">
            <v>כפר יסיף ב</v>
          </cell>
          <cell r="G1576" t="str">
            <v>יסודי בלבד</v>
          </cell>
          <cell r="H1576" t="str">
            <v>כן</v>
          </cell>
          <cell r="I1576" t="str">
            <v>כן</v>
          </cell>
          <cell r="J1576" t="str">
            <v>כן</v>
          </cell>
          <cell r="K1576">
            <v>242</v>
          </cell>
          <cell r="L1576">
            <v>75</v>
          </cell>
        </row>
        <row r="1577">
          <cell r="D1577">
            <v>514422</v>
          </cell>
          <cell r="E1577" t="str">
            <v>בעלות</v>
          </cell>
          <cell r="F1577" t="str">
            <v>בנות ציון</v>
          </cell>
          <cell r="G1577" t="str">
            <v>יסודי בלבד</v>
          </cell>
          <cell r="H1577" t="str">
            <v>כן</v>
          </cell>
          <cell r="I1577" t="str">
            <v>כן</v>
          </cell>
          <cell r="J1577" t="str">
            <v>כן</v>
          </cell>
          <cell r="K1577">
            <v>48</v>
          </cell>
          <cell r="L1577">
            <v>48</v>
          </cell>
        </row>
        <row r="1578">
          <cell r="D1578">
            <v>581512</v>
          </cell>
          <cell r="E1578" t="str">
            <v/>
          </cell>
          <cell r="F1578" t="str">
            <v>בנות חנה</v>
          </cell>
          <cell r="G1578" t="str">
            <v>יסודי בלבד</v>
          </cell>
          <cell r="H1578" t="str">
            <v>כן</v>
          </cell>
          <cell r="I1578" t="str">
            <v>כן</v>
          </cell>
          <cell r="J1578" t="str">
            <v>כן</v>
          </cell>
          <cell r="K1578">
            <v>66</v>
          </cell>
          <cell r="L1578">
            <v>66</v>
          </cell>
        </row>
        <row r="1579">
          <cell r="D1579">
            <v>311399</v>
          </cell>
          <cell r="E1579" t="str">
            <v>רשות</v>
          </cell>
          <cell r="F1579" t="str">
            <v>ישורון</v>
          </cell>
          <cell r="G1579" t="str">
            <v>יסודי בלבד</v>
          </cell>
          <cell r="H1579" t="str">
            <v>כן</v>
          </cell>
          <cell r="I1579" t="str">
            <v>כן</v>
          </cell>
          <cell r="J1579" t="str">
            <v>כן</v>
          </cell>
          <cell r="K1579">
            <v>175</v>
          </cell>
          <cell r="L1579">
            <v>103</v>
          </cell>
        </row>
        <row r="1580">
          <cell r="D1580">
            <v>410928</v>
          </cell>
          <cell r="E1580" t="str">
            <v>רשות</v>
          </cell>
          <cell r="F1580" t="str">
            <v>ממ"ד חב"ד</v>
          </cell>
          <cell r="G1580" t="str">
            <v>יסודי בלבד</v>
          </cell>
          <cell r="H1580" t="str">
            <v>כן</v>
          </cell>
          <cell r="I1580" t="str">
            <v>כן</v>
          </cell>
          <cell r="J1580" t="str">
            <v>כן</v>
          </cell>
          <cell r="K1580">
            <v>149</v>
          </cell>
          <cell r="L1580">
            <v>149</v>
          </cell>
        </row>
        <row r="1581">
          <cell r="D1581">
            <v>113514</v>
          </cell>
          <cell r="E1581" t="str">
            <v>בעלות</v>
          </cell>
          <cell r="F1581" t="str">
            <v>בית מרגלית</v>
          </cell>
          <cell r="G1581" t="str">
            <v>יסודי בלבד</v>
          </cell>
          <cell r="H1581" t="str">
            <v>כן</v>
          </cell>
          <cell r="I1581" t="str">
            <v>כן</v>
          </cell>
          <cell r="J1581" t="str">
            <v>כן</v>
          </cell>
          <cell r="K1581">
            <v>109</v>
          </cell>
          <cell r="L1581">
            <v>109</v>
          </cell>
        </row>
        <row r="1582">
          <cell r="D1582">
            <v>414011</v>
          </cell>
          <cell r="E1582" t="str">
            <v>בעלות</v>
          </cell>
          <cell r="F1582" t="str">
            <v>ת"ת ובי' שערי ציון</v>
          </cell>
          <cell r="G1582" t="str">
            <v>יסודי בלבד</v>
          </cell>
          <cell r="H1582" t="str">
            <v>כן</v>
          </cell>
          <cell r="I1582" t="str">
            <v>כן</v>
          </cell>
          <cell r="J1582" t="str">
            <v>כן</v>
          </cell>
          <cell r="K1582">
            <v>157</v>
          </cell>
          <cell r="L1582">
            <v>55</v>
          </cell>
        </row>
        <row r="1583">
          <cell r="D1583">
            <v>267922</v>
          </cell>
          <cell r="E1583" t="str">
            <v>בעלות</v>
          </cell>
          <cell r="F1583" t="str">
            <v>ב"י נאות רחל</v>
          </cell>
          <cell r="G1583" t="str">
            <v>יסודי בלבד</v>
          </cell>
          <cell r="H1583" t="str">
            <v>כן</v>
          </cell>
          <cell r="I1583" t="str">
            <v>כן</v>
          </cell>
          <cell r="J1583" t="str">
            <v>כן</v>
          </cell>
          <cell r="K1583">
            <v>407</v>
          </cell>
          <cell r="L1583">
            <v>62</v>
          </cell>
        </row>
        <row r="1584">
          <cell r="D1584">
            <v>318501</v>
          </cell>
          <cell r="E1584" t="str">
            <v>רשות</v>
          </cell>
          <cell r="F1584" t="str">
            <v>אלחכמה</v>
          </cell>
          <cell r="G1584" t="str">
            <v>יסודי בלבד</v>
          </cell>
          <cell r="H1584" t="str">
            <v>כן</v>
          </cell>
          <cell r="I1584" t="str">
            <v>כן</v>
          </cell>
          <cell r="J1584" t="str">
            <v>כן</v>
          </cell>
          <cell r="K1584">
            <v>202</v>
          </cell>
          <cell r="L1584">
            <v>45</v>
          </cell>
        </row>
        <row r="1585">
          <cell r="D1585">
            <v>414417</v>
          </cell>
          <cell r="E1585" t="str">
            <v>רשות</v>
          </cell>
          <cell r="F1585" t="str">
            <v>ממל' עליזה בגין</v>
          </cell>
          <cell r="G1585" t="str">
            <v>יסודי בלבד</v>
          </cell>
          <cell r="H1585" t="str">
            <v>כן</v>
          </cell>
          <cell r="I1585" t="str">
            <v>כן</v>
          </cell>
          <cell r="J1585" t="str">
            <v>לא</v>
          </cell>
          <cell r="K1585">
            <v>148</v>
          </cell>
          <cell r="L1585">
            <v>64</v>
          </cell>
        </row>
        <row r="1586">
          <cell r="D1586">
            <v>112078</v>
          </cell>
          <cell r="E1586" t="str">
            <v>רשות</v>
          </cell>
          <cell r="F1586" t="str">
            <v>זאב זבוטינסקי</v>
          </cell>
          <cell r="G1586" t="str">
            <v>יסודי בלבד</v>
          </cell>
          <cell r="H1586" t="str">
            <v>כן</v>
          </cell>
          <cell r="I1586" t="str">
            <v>כן</v>
          </cell>
          <cell r="J1586" t="str">
            <v>כן</v>
          </cell>
          <cell r="K1586">
            <v>80</v>
          </cell>
          <cell r="L1586">
            <v>57</v>
          </cell>
        </row>
        <row r="1587">
          <cell r="D1587">
            <v>484329</v>
          </cell>
          <cell r="E1587" t="str">
            <v>רשות</v>
          </cell>
          <cell r="F1587" t="str">
            <v>ממ"ח תורני לבנות</v>
          </cell>
          <cell r="G1587" t="str">
            <v>יסודי בלבד</v>
          </cell>
          <cell r="H1587" t="str">
            <v>כן</v>
          </cell>
          <cell r="I1587" t="str">
            <v>כן</v>
          </cell>
          <cell r="J1587" t="str">
            <v>כן</v>
          </cell>
          <cell r="K1587">
            <v>86</v>
          </cell>
          <cell r="L1587">
            <v>71</v>
          </cell>
        </row>
        <row r="1588">
          <cell r="D1588">
            <v>578583</v>
          </cell>
          <cell r="E1588" t="str">
            <v>רשות</v>
          </cell>
          <cell r="F1588" t="str">
            <v>אורחות שרה</v>
          </cell>
          <cell r="G1588" t="str">
            <v>יסודי בלבד</v>
          </cell>
          <cell r="H1588" t="str">
            <v>כן</v>
          </cell>
          <cell r="I1588" t="str">
            <v>כן</v>
          </cell>
          <cell r="J1588" t="str">
            <v>כן</v>
          </cell>
          <cell r="K1588">
            <v>63</v>
          </cell>
          <cell r="L1588">
            <v>40</v>
          </cell>
        </row>
        <row r="1589">
          <cell r="D1589">
            <v>416552</v>
          </cell>
          <cell r="E1589" t="str">
            <v/>
          </cell>
          <cell r="F1589" t="str">
            <v>בית יעקב סיני יבנה</v>
          </cell>
          <cell r="G1589" t="str">
            <v>יסודי בלבד</v>
          </cell>
          <cell r="H1589" t="str">
            <v>כן</v>
          </cell>
          <cell r="I1589" t="str">
            <v>כן</v>
          </cell>
          <cell r="J1589" t="str">
            <v>כן</v>
          </cell>
          <cell r="K1589">
            <v>0</v>
          </cell>
          <cell r="L1589">
            <v>75</v>
          </cell>
        </row>
        <row r="1590">
          <cell r="D1590">
            <v>510198</v>
          </cell>
          <cell r="E1590" t="str">
            <v/>
          </cell>
          <cell r="F1590" t="str">
            <v>מוהליבר מד</v>
          </cell>
          <cell r="G1590" t="str">
            <v>יסודי בלבד</v>
          </cell>
          <cell r="H1590" t="str">
            <v>כן</v>
          </cell>
          <cell r="I1590" t="str">
            <v>כן</v>
          </cell>
          <cell r="J1590" t="str">
            <v>כן</v>
          </cell>
          <cell r="K1590">
            <v>60</v>
          </cell>
          <cell r="L1590">
            <v>60</v>
          </cell>
        </row>
        <row r="1591">
          <cell r="D1591">
            <v>110585</v>
          </cell>
          <cell r="E1591" t="str">
            <v>רשות</v>
          </cell>
          <cell r="F1591" t="str">
            <v>מימון</v>
          </cell>
          <cell r="G1591" t="str">
            <v>יסודי בלבד</v>
          </cell>
          <cell r="H1591" t="str">
            <v>כן</v>
          </cell>
          <cell r="I1591" t="str">
            <v>כן</v>
          </cell>
          <cell r="J1591" t="str">
            <v>כן</v>
          </cell>
          <cell r="K1591">
            <v>104</v>
          </cell>
          <cell r="L1591">
            <v>104</v>
          </cell>
        </row>
        <row r="1592">
          <cell r="D1592">
            <v>729426</v>
          </cell>
          <cell r="E1592" t="str">
            <v>בעלות</v>
          </cell>
          <cell r="F1592" t="str">
            <v>ראשית חכמה</v>
          </cell>
          <cell r="G1592" t="str">
            <v>יסודי בלבד</v>
          </cell>
          <cell r="H1592" t="str">
            <v>כן</v>
          </cell>
          <cell r="I1592" t="str">
            <v>כן</v>
          </cell>
          <cell r="J1592" t="str">
            <v>כן</v>
          </cell>
          <cell r="K1592">
            <v>170</v>
          </cell>
          <cell r="L1592">
            <v>90</v>
          </cell>
        </row>
        <row r="1593">
          <cell r="D1593">
            <v>512111</v>
          </cell>
          <cell r="E1593" t="str">
            <v/>
          </cell>
          <cell r="F1593" t="str">
            <v>בית יעקב מרכז</v>
          </cell>
          <cell r="G1593" t="str">
            <v>יסודי בלבד</v>
          </cell>
          <cell r="H1593" t="str">
            <v>כן</v>
          </cell>
          <cell r="I1593" t="str">
            <v>כן</v>
          </cell>
          <cell r="J1593" t="str">
            <v>לא</v>
          </cell>
          <cell r="K1593">
            <v>440</v>
          </cell>
          <cell r="L1593">
            <v>440</v>
          </cell>
        </row>
        <row r="1594">
          <cell r="D1594">
            <v>412114</v>
          </cell>
          <cell r="E1594" t="str">
            <v>בעלות</v>
          </cell>
          <cell r="F1594" t="str">
            <v>שובו לוד</v>
          </cell>
          <cell r="G1594" t="str">
            <v>יסודי בלבד</v>
          </cell>
          <cell r="H1594" t="str">
            <v>כן</v>
          </cell>
          <cell r="I1594" t="str">
            <v>כן</v>
          </cell>
          <cell r="J1594" t="str">
            <v>כן</v>
          </cell>
          <cell r="K1594">
            <v>114</v>
          </cell>
          <cell r="L1594">
            <v>49</v>
          </cell>
        </row>
        <row r="1595">
          <cell r="D1595">
            <v>616417</v>
          </cell>
          <cell r="E1595" t="str">
            <v>רשות</v>
          </cell>
          <cell r="F1595" t="str">
            <v>יד אשר בנות</v>
          </cell>
          <cell r="G1595" t="str">
            <v>יסודי בלבד</v>
          </cell>
          <cell r="H1595" t="str">
            <v>כן</v>
          </cell>
          <cell r="I1595" t="str">
            <v>כן</v>
          </cell>
          <cell r="J1595" t="str">
            <v>כן</v>
          </cell>
          <cell r="K1595">
            <v>43</v>
          </cell>
          <cell r="L1595">
            <v>43</v>
          </cell>
        </row>
        <row r="1596">
          <cell r="D1596">
            <v>512871</v>
          </cell>
          <cell r="E1596" t="str">
            <v>רשות</v>
          </cell>
          <cell r="F1596" t="str">
            <v>סוקולוב</v>
          </cell>
          <cell r="G1596" t="str">
            <v>יסודי בלבד</v>
          </cell>
          <cell r="H1596" t="str">
            <v>כן</v>
          </cell>
          <cell r="I1596" t="str">
            <v>כן</v>
          </cell>
          <cell r="J1596" t="str">
            <v>לא</v>
          </cell>
          <cell r="K1596">
            <v>94</v>
          </cell>
          <cell r="L1596">
            <v>60</v>
          </cell>
        </row>
        <row r="1597">
          <cell r="D1597">
            <v>219576</v>
          </cell>
          <cell r="E1597" t="str">
            <v/>
          </cell>
          <cell r="F1597" t="str">
            <v>סאלח שיח' אחמד</v>
          </cell>
          <cell r="G1597" t="str">
            <v>יסודי בלבד</v>
          </cell>
          <cell r="H1597" t="str">
            <v>כן</v>
          </cell>
          <cell r="I1597" t="str">
            <v>כן</v>
          </cell>
          <cell r="J1597" t="str">
            <v>כן</v>
          </cell>
          <cell r="K1597">
            <v>186</v>
          </cell>
          <cell r="L1597">
            <v>75</v>
          </cell>
        </row>
        <row r="1598">
          <cell r="D1598">
            <v>510313</v>
          </cell>
          <cell r="E1598" t="str">
            <v>רשות</v>
          </cell>
          <cell r="F1598" t="str">
            <v>בורוכוב</v>
          </cell>
          <cell r="G1598" t="str">
            <v>יסודי בלבד</v>
          </cell>
          <cell r="H1598" t="str">
            <v>כן</v>
          </cell>
          <cell r="I1598" t="str">
            <v>כן</v>
          </cell>
          <cell r="J1598" t="str">
            <v>כן</v>
          </cell>
          <cell r="K1598">
            <v>308</v>
          </cell>
          <cell r="L1598">
            <v>44</v>
          </cell>
        </row>
        <row r="1599">
          <cell r="D1599">
            <v>610923</v>
          </cell>
          <cell r="E1599" t="str">
            <v>רשות</v>
          </cell>
          <cell r="F1599" t="str">
            <v>ממ"ד הראל</v>
          </cell>
          <cell r="G1599" t="str">
            <v>יסודי בלבד</v>
          </cell>
          <cell r="H1599" t="str">
            <v>כן</v>
          </cell>
          <cell r="I1599" t="str">
            <v>כן</v>
          </cell>
          <cell r="J1599" t="str">
            <v>כן</v>
          </cell>
          <cell r="K1599">
            <v>23</v>
          </cell>
          <cell r="L1599">
            <v>22</v>
          </cell>
        </row>
        <row r="1600">
          <cell r="D1600">
            <v>318519</v>
          </cell>
          <cell r="E1600" t="str">
            <v>רשות</v>
          </cell>
          <cell r="F1600" t="str">
            <v>עומר אבן אלח'טאב</v>
          </cell>
          <cell r="G1600" t="str">
            <v>יסודי בלבד</v>
          </cell>
          <cell r="H1600" t="str">
            <v>כן</v>
          </cell>
          <cell r="I1600" t="str">
            <v>כן</v>
          </cell>
          <cell r="J1600" t="str">
            <v>כן</v>
          </cell>
          <cell r="K1600">
            <v>242</v>
          </cell>
          <cell r="L1600">
            <v>188</v>
          </cell>
        </row>
        <row r="1601">
          <cell r="D1601">
            <v>410340</v>
          </cell>
          <cell r="E1601" t="str">
            <v>רשות</v>
          </cell>
          <cell r="F1601" t="str">
            <v>ממ' פינס</v>
          </cell>
          <cell r="G1601" t="str">
            <v>יסודי בלבד</v>
          </cell>
          <cell r="H1601" t="str">
            <v>כן</v>
          </cell>
          <cell r="I1601" t="str">
            <v>כן</v>
          </cell>
          <cell r="J1601" t="str">
            <v>לא</v>
          </cell>
          <cell r="K1601">
            <v>155</v>
          </cell>
          <cell r="L1601">
            <v>107</v>
          </cell>
        </row>
        <row r="1602">
          <cell r="D1602">
            <v>442616</v>
          </cell>
          <cell r="E1602" t="str">
            <v>בעלות</v>
          </cell>
          <cell r="F1602" t="str">
            <v>אור וערכים - בנות</v>
          </cell>
          <cell r="G1602" t="str">
            <v>יסודי בלבד</v>
          </cell>
          <cell r="H1602" t="str">
            <v>כן</v>
          </cell>
          <cell r="I1602" t="str">
            <v>כן</v>
          </cell>
          <cell r="J1602" t="str">
            <v>כן</v>
          </cell>
          <cell r="K1602">
            <v>84</v>
          </cell>
          <cell r="L1602">
            <v>40</v>
          </cell>
        </row>
        <row r="1603">
          <cell r="D1603">
            <v>210815</v>
          </cell>
          <cell r="E1603" t="str">
            <v>רשות</v>
          </cell>
          <cell r="F1603" t="str">
            <v>ממ"ד חב"ד -יבנאל</v>
          </cell>
          <cell r="G1603" t="str">
            <v>יסודי בלבד</v>
          </cell>
          <cell r="H1603" t="str">
            <v>כן</v>
          </cell>
          <cell r="I1603" t="str">
            <v>כן</v>
          </cell>
          <cell r="J1603" t="str">
            <v>כן</v>
          </cell>
          <cell r="K1603">
            <v>81</v>
          </cell>
          <cell r="L1603">
            <v>53</v>
          </cell>
        </row>
        <row r="1604">
          <cell r="D1604">
            <v>114058</v>
          </cell>
          <cell r="E1604" t="str">
            <v>רשות</v>
          </cell>
          <cell r="F1604" t="str">
            <v>אריאל</v>
          </cell>
          <cell r="G1604" t="str">
            <v>יסודי בלבד</v>
          </cell>
          <cell r="H1604" t="str">
            <v>כן</v>
          </cell>
          <cell r="I1604" t="str">
            <v>כן</v>
          </cell>
          <cell r="J1604" t="str">
            <v>כן</v>
          </cell>
          <cell r="K1604">
            <v>160</v>
          </cell>
          <cell r="L1604">
            <v>18</v>
          </cell>
        </row>
        <row r="1605">
          <cell r="D1605">
            <v>318857</v>
          </cell>
          <cell r="E1605" t="str">
            <v>רשות</v>
          </cell>
          <cell r="F1605" t="str">
            <v>אלאשראק</v>
          </cell>
          <cell r="G1605" t="str">
            <v>יסודי בלבד</v>
          </cell>
          <cell r="H1605" t="str">
            <v>כן</v>
          </cell>
          <cell r="I1605" t="str">
            <v>כן</v>
          </cell>
          <cell r="J1605" t="str">
            <v>כן</v>
          </cell>
          <cell r="K1605">
            <v>216</v>
          </cell>
          <cell r="L1605">
            <v>55</v>
          </cell>
        </row>
        <row r="1606">
          <cell r="D1606">
            <v>310458</v>
          </cell>
          <cell r="E1606" t="str">
            <v>רשות</v>
          </cell>
          <cell r="F1606" t="str">
            <v>גורדון</v>
          </cell>
          <cell r="G1606" t="str">
            <v>יסודי בלבד</v>
          </cell>
          <cell r="H1606" t="str">
            <v>כן</v>
          </cell>
          <cell r="I1606" t="str">
            <v>כן</v>
          </cell>
          <cell r="J1606" t="str">
            <v>כן</v>
          </cell>
          <cell r="K1606">
            <v>150</v>
          </cell>
          <cell r="L1606">
            <v>53</v>
          </cell>
        </row>
        <row r="1607">
          <cell r="D1607">
            <v>611111</v>
          </cell>
          <cell r="E1607" t="str">
            <v>בעלות</v>
          </cell>
          <cell r="F1607" t="str">
            <v>יסודי תורני סביבתי</v>
          </cell>
          <cell r="G1607" t="str">
            <v>יסודי בלבד</v>
          </cell>
          <cell r="H1607" t="str">
            <v>כן</v>
          </cell>
          <cell r="I1607" t="str">
            <v>כן</v>
          </cell>
          <cell r="J1607" t="str">
            <v>כן</v>
          </cell>
          <cell r="K1607">
            <v>124</v>
          </cell>
          <cell r="L1607">
            <v>124</v>
          </cell>
        </row>
        <row r="1608">
          <cell r="D1608">
            <v>313585</v>
          </cell>
          <cell r="E1608" t="str">
            <v>רשות</v>
          </cell>
          <cell r="F1608" t="str">
            <v>בית חיה</v>
          </cell>
          <cell r="G1608" t="str">
            <v>יסודי בלבד</v>
          </cell>
          <cell r="H1608" t="str">
            <v>כן</v>
          </cell>
          <cell r="I1608" t="str">
            <v>כן</v>
          </cell>
          <cell r="J1608" t="str">
            <v>לא</v>
          </cell>
          <cell r="K1608">
            <v>106</v>
          </cell>
          <cell r="L1608">
            <v>66</v>
          </cell>
        </row>
        <row r="1609">
          <cell r="D1609">
            <v>510271</v>
          </cell>
          <cell r="E1609" t="str">
            <v>רשות</v>
          </cell>
          <cell r="F1609" t="str">
            <v>עקיבא מד</v>
          </cell>
          <cell r="G1609" t="str">
            <v>יסודי בלבד</v>
          </cell>
          <cell r="H1609" t="str">
            <v>כן</v>
          </cell>
          <cell r="I1609" t="str">
            <v>כן</v>
          </cell>
          <cell r="J1609" t="str">
            <v>כן</v>
          </cell>
          <cell r="K1609">
            <v>57</v>
          </cell>
          <cell r="L1609">
            <v>40</v>
          </cell>
        </row>
        <row r="1610">
          <cell r="D1610">
            <v>214296</v>
          </cell>
          <cell r="E1610" t="str">
            <v>בעלות</v>
          </cell>
          <cell r="F1610" t="str">
            <v>ברכת ישראל</v>
          </cell>
          <cell r="G1610" t="str">
            <v>יסודי בלבד</v>
          </cell>
          <cell r="H1610" t="str">
            <v>כן</v>
          </cell>
          <cell r="I1610" t="str">
            <v>כן</v>
          </cell>
          <cell r="J1610" t="str">
            <v>כן</v>
          </cell>
          <cell r="K1610">
            <v>51</v>
          </cell>
          <cell r="L1610">
            <v>42</v>
          </cell>
        </row>
        <row r="1611">
          <cell r="D1611">
            <v>612838</v>
          </cell>
          <cell r="E1611" t="str">
            <v/>
          </cell>
          <cell r="F1611" t="str">
            <v>ב"י האחוד החסידי</v>
          </cell>
          <cell r="G1611" t="str">
            <v>יסודי בלבד</v>
          </cell>
          <cell r="H1611" t="str">
            <v>כן</v>
          </cell>
          <cell r="I1611" t="str">
            <v>כן</v>
          </cell>
          <cell r="J1611" t="str">
            <v>כן</v>
          </cell>
          <cell r="K1611">
            <v>57</v>
          </cell>
          <cell r="L1611">
            <v>57</v>
          </cell>
        </row>
        <row r="1612">
          <cell r="D1612">
            <v>530402</v>
          </cell>
          <cell r="E1612" t="str">
            <v>רשות</v>
          </cell>
          <cell r="F1612" t="str">
            <v>גבעון</v>
          </cell>
          <cell r="G1612" t="str">
            <v>יסודי בלבד</v>
          </cell>
          <cell r="H1612" t="str">
            <v>כן</v>
          </cell>
          <cell r="I1612" t="str">
            <v>כן</v>
          </cell>
          <cell r="J1612" t="str">
            <v>כן</v>
          </cell>
          <cell r="K1612">
            <v>238</v>
          </cell>
          <cell r="L1612">
            <v>238</v>
          </cell>
        </row>
        <row r="1613">
          <cell r="D1613">
            <v>210971</v>
          </cell>
          <cell r="E1613" t="str">
            <v>רשות</v>
          </cell>
          <cell r="F1613" t="str">
            <v>עלי גבעה -כפר גלעדי</v>
          </cell>
          <cell r="G1613" t="str">
            <v>יסודי בלבד</v>
          </cell>
          <cell r="H1613" t="str">
            <v>כן</v>
          </cell>
          <cell r="I1613" t="str">
            <v>כן</v>
          </cell>
          <cell r="J1613" t="str">
            <v>כן</v>
          </cell>
          <cell r="K1613">
            <v>221</v>
          </cell>
          <cell r="L1613">
            <v>78</v>
          </cell>
        </row>
        <row r="1614">
          <cell r="D1614">
            <v>124131</v>
          </cell>
          <cell r="E1614" t="str">
            <v>בעלות</v>
          </cell>
          <cell r="F1614" t="str">
            <v>ת"ת אהבת משה</v>
          </cell>
          <cell r="G1614" t="str">
            <v>יסודי בלבד</v>
          </cell>
          <cell r="H1614" t="str">
            <v>כן</v>
          </cell>
          <cell r="I1614" t="str">
            <v>כן</v>
          </cell>
          <cell r="J1614" t="str">
            <v>כן</v>
          </cell>
          <cell r="K1614">
            <v>60</v>
          </cell>
          <cell r="L1614">
            <v>60</v>
          </cell>
        </row>
        <row r="1615">
          <cell r="D1615">
            <v>312199</v>
          </cell>
          <cell r="E1615" t="str">
            <v>רשות</v>
          </cell>
          <cell r="F1615" t="str">
            <v>שרת</v>
          </cell>
          <cell r="G1615" t="str">
            <v>יסודי בלבד</v>
          </cell>
          <cell r="H1615" t="str">
            <v>כן</v>
          </cell>
          <cell r="I1615" t="str">
            <v>כן</v>
          </cell>
          <cell r="J1615" t="str">
            <v>לא</v>
          </cell>
          <cell r="K1615">
            <v>111</v>
          </cell>
          <cell r="L1615">
            <v>75</v>
          </cell>
        </row>
        <row r="1616">
          <cell r="D1616">
            <v>618132</v>
          </cell>
          <cell r="E1616" t="str">
            <v>רשות</v>
          </cell>
          <cell r="F1616" t="str">
            <v>תל אלמלח</v>
          </cell>
          <cell r="G1616" t="str">
            <v>יסודי בלבד</v>
          </cell>
          <cell r="H1616" t="str">
            <v>כן</v>
          </cell>
          <cell r="I1616" t="str">
            <v>כן</v>
          </cell>
          <cell r="J1616" t="str">
            <v>כן</v>
          </cell>
          <cell r="K1616">
            <v>408</v>
          </cell>
          <cell r="L1616">
            <v>408</v>
          </cell>
        </row>
        <row r="1617">
          <cell r="D1617">
            <v>311548</v>
          </cell>
          <cell r="E1617" t="str">
            <v>רשות</v>
          </cell>
          <cell r="F1617" t="str">
            <v>המשלב קרית טבעון</v>
          </cell>
          <cell r="G1617" t="str">
            <v>יסודי בלבד</v>
          </cell>
          <cell r="H1617" t="str">
            <v>כן</v>
          </cell>
          <cell r="I1617" t="str">
            <v>כן</v>
          </cell>
          <cell r="J1617" t="str">
            <v>כן</v>
          </cell>
          <cell r="K1617">
            <v>84</v>
          </cell>
          <cell r="L1617">
            <v>27</v>
          </cell>
        </row>
        <row r="1618">
          <cell r="D1618">
            <v>310904</v>
          </cell>
          <cell r="E1618" t="str">
            <v>רשות</v>
          </cell>
          <cell r="F1618" t="str">
            <v>עליזה ארבילי-דגניה</v>
          </cell>
          <cell r="G1618" t="str">
            <v>יסודי בלבד</v>
          </cell>
          <cell r="H1618" t="str">
            <v>כן</v>
          </cell>
          <cell r="I1618" t="str">
            <v>כן</v>
          </cell>
          <cell r="J1618" t="str">
            <v>לא</v>
          </cell>
          <cell r="K1618">
            <v>70</v>
          </cell>
          <cell r="L1618">
            <v>40</v>
          </cell>
        </row>
        <row r="1619">
          <cell r="D1619">
            <v>214155</v>
          </cell>
          <cell r="E1619" t="str">
            <v/>
          </cell>
          <cell r="F1619" t="str">
            <v>יצחק רבין</v>
          </cell>
          <cell r="G1619" t="str">
            <v>יסודי בלבד</v>
          </cell>
          <cell r="H1619" t="str">
            <v>לא</v>
          </cell>
          <cell r="I1619" t="str">
            <v>לא</v>
          </cell>
          <cell r="J1619" t="str">
            <v>כן</v>
          </cell>
          <cell r="K1619">
            <v>62</v>
          </cell>
          <cell r="L1619">
            <v>43</v>
          </cell>
        </row>
        <row r="1620">
          <cell r="D1620">
            <v>310342</v>
          </cell>
          <cell r="E1620" t="str">
            <v>רשות</v>
          </cell>
          <cell r="F1620" t="str">
            <v>שילה</v>
          </cell>
          <cell r="G1620" t="str">
            <v>יסודי בלבד</v>
          </cell>
          <cell r="H1620" t="str">
            <v>כן</v>
          </cell>
          <cell r="I1620" t="str">
            <v>כן</v>
          </cell>
          <cell r="J1620" t="str">
            <v>כן</v>
          </cell>
          <cell r="K1620">
            <v>169</v>
          </cell>
          <cell r="L1620">
            <v>95</v>
          </cell>
        </row>
        <row r="1621">
          <cell r="D1621">
            <v>313684</v>
          </cell>
          <cell r="E1621" t="str">
            <v>רשות</v>
          </cell>
          <cell r="F1621" t="str">
            <v>אלמוגים</v>
          </cell>
          <cell r="G1621" t="str">
            <v>יסודי בלבד</v>
          </cell>
          <cell r="H1621" t="str">
            <v>כן</v>
          </cell>
          <cell r="I1621" t="str">
            <v>כן</v>
          </cell>
          <cell r="J1621" t="str">
            <v>כן</v>
          </cell>
          <cell r="K1621">
            <v>252</v>
          </cell>
          <cell r="L1621">
            <v>239</v>
          </cell>
        </row>
        <row r="1622">
          <cell r="D1622">
            <v>214197</v>
          </cell>
          <cell r="E1622" t="str">
            <v>רשות</v>
          </cell>
          <cell r="F1622" t="str">
            <v>יסודי ארזים</v>
          </cell>
          <cell r="G1622" t="str">
            <v>יסודי בלבד</v>
          </cell>
          <cell r="H1622" t="str">
            <v>כן</v>
          </cell>
          <cell r="I1622" t="str">
            <v>כן</v>
          </cell>
          <cell r="J1622" t="str">
            <v>כן</v>
          </cell>
          <cell r="K1622">
            <v>175</v>
          </cell>
          <cell r="L1622">
            <v>47</v>
          </cell>
        </row>
        <row r="1623">
          <cell r="D1623">
            <v>338491</v>
          </cell>
          <cell r="E1623" t="str">
            <v>רשות</v>
          </cell>
          <cell r="F1623" t="str">
            <v>צור באהר מעורב</v>
          </cell>
          <cell r="G1623" t="str">
            <v>יסודי בלבד</v>
          </cell>
          <cell r="H1623" t="str">
            <v>כן</v>
          </cell>
          <cell r="I1623" t="str">
            <v>כן</v>
          </cell>
          <cell r="J1623" t="str">
            <v>כן</v>
          </cell>
          <cell r="K1623">
            <v>342</v>
          </cell>
          <cell r="L1623">
            <v>52</v>
          </cell>
        </row>
        <row r="1624">
          <cell r="D1624">
            <v>531905</v>
          </cell>
          <cell r="E1624" t="str">
            <v/>
          </cell>
          <cell r="F1624" t="str">
            <v>הר נבו</v>
          </cell>
          <cell r="G1624" t="str">
            <v>יסודי בלבד</v>
          </cell>
          <cell r="H1624" t="str">
            <v>כן</v>
          </cell>
          <cell r="I1624" t="str">
            <v>כן</v>
          </cell>
          <cell r="J1624" t="str">
            <v>לא</v>
          </cell>
          <cell r="K1624">
            <v>109</v>
          </cell>
          <cell r="L1624">
            <v>45</v>
          </cell>
        </row>
        <row r="1625">
          <cell r="D1625">
            <v>484014</v>
          </cell>
          <cell r="E1625" t="str">
            <v>רשות</v>
          </cell>
          <cell r="F1625" t="str">
            <v>דרור</v>
          </cell>
          <cell r="G1625" t="str">
            <v>יסודי בלבד</v>
          </cell>
          <cell r="H1625" t="str">
            <v>כן</v>
          </cell>
          <cell r="I1625" t="str">
            <v>כן</v>
          </cell>
          <cell r="J1625" t="str">
            <v>כן</v>
          </cell>
          <cell r="K1625">
            <v>82</v>
          </cell>
          <cell r="L1625">
            <v>40</v>
          </cell>
        </row>
        <row r="1626">
          <cell r="D1626">
            <v>416560</v>
          </cell>
          <cell r="E1626" t="str">
            <v>בעלות</v>
          </cell>
          <cell r="F1626" t="str">
            <v>בי"ס לבנות כלל חסידי</v>
          </cell>
          <cell r="G1626" t="str">
            <v>יסודי בלבד</v>
          </cell>
          <cell r="H1626" t="str">
            <v>כן</v>
          </cell>
          <cell r="I1626" t="str">
            <v>כן</v>
          </cell>
          <cell r="J1626" t="str">
            <v>כן</v>
          </cell>
          <cell r="K1626">
            <v>84</v>
          </cell>
          <cell r="L1626">
            <v>46</v>
          </cell>
        </row>
        <row r="1627">
          <cell r="D1627">
            <v>359232</v>
          </cell>
          <cell r="E1627" t="str">
            <v/>
          </cell>
          <cell r="F1627" t="str">
            <v>ת"ת דרכי נועם</v>
          </cell>
          <cell r="G1627" t="str">
            <v>יסודי בלבד</v>
          </cell>
          <cell r="H1627" t="str">
            <v>כן</v>
          </cell>
          <cell r="I1627" t="str">
            <v>כן</v>
          </cell>
          <cell r="J1627" t="str">
            <v>כן</v>
          </cell>
          <cell r="K1627">
            <v>0</v>
          </cell>
          <cell r="L1627">
            <v>77</v>
          </cell>
        </row>
        <row r="1628">
          <cell r="D1628">
            <v>112169</v>
          </cell>
          <cell r="E1628" t="str">
            <v/>
          </cell>
          <cell r="F1628" t="str">
            <v>נות ישראל</v>
          </cell>
          <cell r="G1628" t="str">
            <v>יסודי בלבד</v>
          </cell>
          <cell r="H1628" t="str">
            <v>כן</v>
          </cell>
          <cell r="I1628" t="str">
            <v>כן</v>
          </cell>
          <cell r="J1628" t="str">
            <v>כן</v>
          </cell>
          <cell r="K1628">
            <v>73</v>
          </cell>
          <cell r="L1628">
            <v>40</v>
          </cell>
        </row>
        <row r="1629">
          <cell r="D1629">
            <v>227017</v>
          </cell>
          <cell r="E1629" t="str">
            <v/>
          </cell>
          <cell r="F1629" t="str">
            <v>בית יעקב תל ציון</v>
          </cell>
          <cell r="G1629" t="str">
            <v>יסודי בלבד</v>
          </cell>
          <cell r="H1629" t="str">
            <v>כן</v>
          </cell>
          <cell r="I1629" t="str">
            <v>כן</v>
          </cell>
          <cell r="J1629" t="str">
            <v>כן</v>
          </cell>
          <cell r="K1629">
            <v>307</v>
          </cell>
          <cell r="L1629">
            <v>270</v>
          </cell>
        </row>
        <row r="1630">
          <cell r="D1630">
            <v>288167</v>
          </cell>
          <cell r="E1630" t="str">
            <v>בעלות</v>
          </cell>
          <cell r="F1630" t="str">
            <v>אור שערים-קרלין סטול</v>
          </cell>
          <cell r="G1630" t="str">
            <v>יסודי בלבד</v>
          </cell>
          <cell r="H1630" t="str">
            <v>כן</v>
          </cell>
          <cell r="I1630" t="str">
            <v>כן</v>
          </cell>
          <cell r="J1630" t="str">
            <v>כן</v>
          </cell>
          <cell r="K1630">
            <v>143</v>
          </cell>
          <cell r="L1630">
            <v>143</v>
          </cell>
        </row>
        <row r="1631">
          <cell r="D1631">
            <v>514976</v>
          </cell>
          <cell r="E1631" t="str">
            <v>בעלות</v>
          </cell>
          <cell r="F1631" t="str">
            <v>בנות ציפורה</v>
          </cell>
          <cell r="G1631" t="str">
            <v>יסודי בלבד</v>
          </cell>
          <cell r="H1631" t="str">
            <v>כן</v>
          </cell>
          <cell r="I1631" t="str">
            <v>כן</v>
          </cell>
          <cell r="J1631" t="str">
            <v>כן</v>
          </cell>
          <cell r="K1631">
            <v>83</v>
          </cell>
          <cell r="L1631">
            <v>82</v>
          </cell>
        </row>
        <row r="1632">
          <cell r="D1632">
            <v>311597</v>
          </cell>
          <cell r="E1632" t="str">
            <v>רשות</v>
          </cell>
          <cell r="F1632" t="str">
            <v>שירת הים</v>
          </cell>
          <cell r="G1632" t="str">
            <v>יסודי בלבד</v>
          </cell>
          <cell r="H1632" t="str">
            <v>כן</v>
          </cell>
          <cell r="I1632" t="str">
            <v>כן</v>
          </cell>
          <cell r="J1632" t="str">
            <v>כן</v>
          </cell>
          <cell r="K1632">
            <v>74</v>
          </cell>
          <cell r="L1632">
            <v>71</v>
          </cell>
        </row>
        <row r="1633">
          <cell r="D1633">
            <v>745471</v>
          </cell>
          <cell r="E1633" t="str">
            <v>בעלות</v>
          </cell>
          <cell r="F1633" t="str">
            <v>נתיב התורה</v>
          </cell>
          <cell r="G1633" t="str">
            <v>יסודי בלבד</v>
          </cell>
          <cell r="H1633" t="str">
            <v>כן</v>
          </cell>
          <cell r="I1633" t="str">
            <v>כן</v>
          </cell>
          <cell r="J1633" t="str">
            <v>כן</v>
          </cell>
          <cell r="K1633">
            <v>147</v>
          </cell>
          <cell r="L1633">
            <v>142</v>
          </cell>
        </row>
        <row r="1634">
          <cell r="D1634">
            <v>311209</v>
          </cell>
          <cell r="E1634" t="str">
            <v/>
          </cell>
          <cell r="F1634" t="str">
            <v>ניר עציון</v>
          </cell>
          <cell r="G1634" t="str">
            <v>יסודי בלבד</v>
          </cell>
          <cell r="H1634" t="str">
            <v>כן</v>
          </cell>
          <cell r="I1634" t="str">
            <v>כן</v>
          </cell>
          <cell r="J1634" t="str">
            <v>כן</v>
          </cell>
          <cell r="K1634">
            <v>138</v>
          </cell>
          <cell r="L1634">
            <v>66</v>
          </cell>
        </row>
        <row r="1635">
          <cell r="D1635">
            <v>213249</v>
          </cell>
          <cell r="E1635" t="str">
            <v>בעלות</v>
          </cell>
          <cell r="F1635" t="str">
            <v>פנינת אור</v>
          </cell>
          <cell r="G1635" t="str">
            <v>יסודי בלבד</v>
          </cell>
          <cell r="H1635" t="str">
            <v>כן</v>
          </cell>
          <cell r="I1635" t="str">
            <v>כן</v>
          </cell>
          <cell r="J1635" t="str">
            <v>כן</v>
          </cell>
          <cell r="K1635">
            <v>119</v>
          </cell>
          <cell r="L1635">
            <v>72</v>
          </cell>
        </row>
        <row r="1636">
          <cell r="D1636">
            <v>430298</v>
          </cell>
          <cell r="E1636" t="str">
            <v>רשות</v>
          </cell>
          <cell r="F1636" t="str">
            <v>שהם</v>
          </cell>
          <cell r="G1636" t="str">
            <v>יסודי בלבד</v>
          </cell>
          <cell r="H1636" t="str">
            <v>כן</v>
          </cell>
          <cell r="I1636" t="str">
            <v>כן</v>
          </cell>
          <cell r="J1636" t="str">
            <v>לא</v>
          </cell>
          <cell r="K1636">
            <v>197</v>
          </cell>
          <cell r="L1636">
            <v>85</v>
          </cell>
        </row>
        <row r="1637">
          <cell r="D1637">
            <v>214478</v>
          </cell>
          <cell r="E1637" t="str">
            <v>בעלות</v>
          </cell>
          <cell r="F1637" t="str">
            <v>מגדל אור בנים</v>
          </cell>
          <cell r="G1637" t="str">
            <v>יסודי בלבד</v>
          </cell>
          <cell r="H1637" t="str">
            <v>כן</v>
          </cell>
          <cell r="I1637" t="str">
            <v>כן</v>
          </cell>
          <cell r="J1637" t="str">
            <v>לא</v>
          </cell>
          <cell r="K1637">
            <v>154</v>
          </cell>
          <cell r="L1637">
            <v>40</v>
          </cell>
        </row>
        <row r="1638">
          <cell r="D1638">
            <v>414664</v>
          </cell>
          <cell r="E1638" t="str">
            <v>בעלות</v>
          </cell>
          <cell r="F1638" t="str">
            <v>דרכי נעם</v>
          </cell>
          <cell r="G1638" t="str">
            <v>יסודי בלבד</v>
          </cell>
          <cell r="H1638" t="str">
            <v>כן</v>
          </cell>
          <cell r="I1638" t="str">
            <v>כן</v>
          </cell>
          <cell r="J1638" t="str">
            <v>כן</v>
          </cell>
          <cell r="K1638">
            <v>144</v>
          </cell>
          <cell r="L1638">
            <v>90</v>
          </cell>
        </row>
        <row r="1639">
          <cell r="D1639">
            <v>786657</v>
          </cell>
          <cell r="E1639" t="str">
            <v>בעלות</v>
          </cell>
          <cell r="F1639" t="str">
            <v>בית מלכה גבעת זאב</v>
          </cell>
          <cell r="G1639" t="str">
            <v>יסודי בלבד</v>
          </cell>
          <cell r="H1639" t="str">
            <v>כן</v>
          </cell>
          <cell r="I1639" t="str">
            <v>כן</v>
          </cell>
          <cell r="J1639" t="str">
            <v>כן</v>
          </cell>
          <cell r="K1639">
            <v>22</v>
          </cell>
          <cell r="L1639">
            <v>40</v>
          </cell>
        </row>
        <row r="1640">
          <cell r="D1640">
            <v>785717</v>
          </cell>
          <cell r="E1640" t="str">
            <v/>
          </cell>
          <cell r="F1640" t="str">
            <v>שערי ציון נאות שמיר</v>
          </cell>
          <cell r="G1640" t="str">
            <v>יסודי בלבד</v>
          </cell>
          <cell r="H1640" t="str">
            <v>לא</v>
          </cell>
          <cell r="I1640" t="str">
            <v>לא</v>
          </cell>
          <cell r="J1640" t="str">
            <v>לא</v>
          </cell>
          <cell r="K1640">
            <v>0</v>
          </cell>
          <cell r="L1640">
            <v>0</v>
          </cell>
        </row>
        <row r="1641">
          <cell r="D1641">
            <v>311563</v>
          </cell>
          <cell r="E1641" t="str">
            <v>רשות</v>
          </cell>
          <cell r="F1641" t="str">
            <v>אורים</v>
          </cell>
          <cell r="G1641" t="str">
            <v>יסודי בלבד</v>
          </cell>
          <cell r="H1641" t="str">
            <v>כן</v>
          </cell>
          <cell r="I1641" t="str">
            <v>כן</v>
          </cell>
          <cell r="J1641" t="str">
            <v>כן</v>
          </cell>
          <cell r="K1641">
            <v>221</v>
          </cell>
          <cell r="L1641">
            <v>115</v>
          </cell>
        </row>
        <row r="1642">
          <cell r="D1642">
            <v>614362</v>
          </cell>
          <cell r="E1642" t="str">
            <v>בעלות</v>
          </cell>
          <cell r="F1642" t="str">
            <v>עטרת אסתר</v>
          </cell>
          <cell r="G1642" t="str">
            <v>יסודי בלבד</v>
          </cell>
          <cell r="H1642" t="str">
            <v>כן</v>
          </cell>
          <cell r="I1642" t="str">
            <v>כן</v>
          </cell>
          <cell r="J1642" t="str">
            <v>כן</v>
          </cell>
          <cell r="K1642">
            <v>75</v>
          </cell>
          <cell r="L1642">
            <v>47</v>
          </cell>
        </row>
        <row r="1643">
          <cell r="D1643">
            <v>515452</v>
          </cell>
          <cell r="E1643" t="str">
            <v>בעלות</v>
          </cell>
          <cell r="F1643" t="str">
            <v>אמרי דוד</v>
          </cell>
          <cell r="G1643" t="str">
            <v>יסודי בלבד</v>
          </cell>
          <cell r="H1643" t="str">
            <v>כן</v>
          </cell>
          <cell r="I1643" t="str">
            <v>כן</v>
          </cell>
          <cell r="J1643" t="str">
            <v>כן</v>
          </cell>
          <cell r="K1643">
            <v>90</v>
          </cell>
          <cell r="L1643">
            <v>60</v>
          </cell>
        </row>
        <row r="1644">
          <cell r="D1644">
            <v>613422</v>
          </cell>
          <cell r="E1644" t="str">
            <v>בעלות</v>
          </cell>
          <cell r="F1644" t="str">
            <v>ת"ת גור ערד</v>
          </cell>
          <cell r="G1644" t="str">
            <v>יסודי בלבד</v>
          </cell>
          <cell r="H1644" t="str">
            <v>כן</v>
          </cell>
          <cell r="I1644" t="str">
            <v>כן</v>
          </cell>
          <cell r="J1644" t="str">
            <v>כן</v>
          </cell>
          <cell r="K1644">
            <v>361</v>
          </cell>
          <cell r="L1644">
            <v>355</v>
          </cell>
        </row>
        <row r="1645">
          <cell r="D1645">
            <v>415661</v>
          </cell>
          <cell r="E1645" t="str">
            <v>בעלות</v>
          </cell>
          <cell r="F1645" t="str">
            <v>מאור ישראל</v>
          </cell>
          <cell r="G1645" t="str">
            <v>יסודי בלבד</v>
          </cell>
          <cell r="H1645" t="str">
            <v>כן</v>
          </cell>
          <cell r="I1645" t="str">
            <v>כן</v>
          </cell>
          <cell r="J1645" t="str">
            <v>כן</v>
          </cell>
          <cell r="K1645">
            <v>66</v>
          </cell>
          <cell r="L1645">
            <v>65</v>
          </cell>
        </row>
        <row r="1646">
          <cell r="D1646">
            <v>743468</v>
          </cell>
          <cell r="E1646" t="str">
            <v>בעלות</v>
          </cell>
          <cell r="F1646" t="str">
            <v>קהילות יעקב-בני יוסף</v>
          </cell>
          <cell r="G1646" t="str">
            <v>יסודי בלבד</v>
          </cell>
          <cell r="H1646" t="str">
            <v>כן</v>
          </cell>
          <cell r="I1646" t="str">
            <v>כן</v>
          </cell>
          <cell r="J1646" t="str">
            <v>כן</v>
          </cell>
          <cell r="K1646">
            <v>109</v>
          </cell>
          <cell r="L1646">
            <v>98</v>
          </cell>
        </row>
        <row r="1647">
          <cell r="D1647">
            <v>210310</v>
          </cell>
          <cell r="E1647" t="str">
            <v>רשות</v>
          </cell>
          <cell r="F1647" t="str">
            <v>תחכמוני מד-בית שאן</v>
          </cell>
          <cell r="G1647" t="str">
            <v>יסודי בלבד</v>
          </cell>
          <cell r="H1647" t="str">
            <v>כן</v>
          </cell>
          <cell r="I1647" t="str">
            <v>כן</v>
          </cell>
          <cell r="J1647" t="str">
            <v>לא</v>
          </cell>
          <cell r="K1647">
            <v>86</v>
          </cell>
          <cell r="L1647">
            <v>61</v>
          </cell>
        </row>
        <row r="1648">
          <cell r="D1648">
            <v>410654</v>
          </cell>
          <cell r="E1648" t="str">
            <v/>
          </cell>
          <cell r="F1648" t="str">
            <v>ברכפלד חדש</v>
          </cell>
          <cell r="G1648" t="str">
            <v>יסודי בלבד</v>
          </cell>
          <cell r="H1648" t="str">
            <v>כן</v>
          </cell>
          <cell r="I1648" t="str">
            <v>כן</v>
          </cell>
          <cell r="J1648" t="str">
            <v>כן</v>
          </cell>
          <cell r="K1648">
            <v>447</v>
          </cell>
          <cell r="L1648">
            <v>41</v>
          </cell>
        </row>
        <row r="1649">
          <cell r="D1649">
            <v>642124</v>
          </cell>
          <cell r="E1649" t="str">
            <v>בעלות</v>
          </cell>
          <cell r="F1649" t="str">
            <v>בית יעקב גני איילון</v>
          </cell>
          <cell r="G1649" t="str">
            <v>יסודי בלבד</v>
          </cell>
          <cell r="H1649" t="str">
            <v>כן</v>
          </cell>
          <cell r="I1649" t="str">
            <v>כן</v>
          </cell>
          <cell r="J1649" t="str">
            <v>כן</v>
          </cell>
          <cell r="K1649">
            <v>317</v>
          </cell>
          <cell r="L1649">
            <v>319</v>
          </cell>
        </row>
        <row r="1650">
          <cell r="D1650">
            <v>416610</v>
          </cell>
          <cell r="E1650" t="str">
            <v/>
          </cell>
          <cell r="F1650" t="str">
            <v>מ"מ הפעמונים</v>
          </cell>
          <cell r="G1650" t="str">
            <v>יסודי בלבד</v>
          </cell>
          <cell r="H1650" t="str">
            <v>כן</v>
          </cell>
          <cell r="I1650" t="str">
            <v>כן</v>
          </cell>
          <cell r="J1650" t="str">
            <v>כן</v>
          </cell>
          <cell r="K1650">
            <v>233</v>
          </cell>
          <cell r="L1650">
            <v>62</v>
          </cell>
        </row>
        <row r="1651">
          <cell r="D1651">
            <v>318105</v>
          </cell>
          <cell r="E1651" t="str">
            <v>רשות</v>
          </cell>
          <cell r="F1651" t="str">
            <v>אבן רושד</v>
          </cell>
          <cell r="G1651" t="str">
            <v>יסודי בלבד</v>
          </cell>
          <cell r="H1651" t="str">
            <v>כן</v>
          </cell>
          <cell r="I1651" t="str">
            <v>כן</v>
          </cell>
          <cell r="J1651" t="str">
            <v>כן</v>
          </cell>
          <cell r="K1651">
            <v>179</v>
          </cell>
          <cell r="L1651">
            <v>42</v>
          </cell>
        </row>
        <row r="1652">
          <cell r="D1652">
            <v>514372</v>
          </cell>
          <cell r="E1652" t="str">
            <v>בעלות</v>
          </cell>
          <cell r="F1652" t="str">
            <v>ת"ת בן איש חייל</v>
          </cell>
          <cell r="G1652" t="str">
            <v>יסודי בלבד</v>
          </cell>
          <cell r="H1652" t="str">
            <v>כן</v>
          </cell>
          <cell r="I1652" t="str">
            <v>כן</v>
          </cell>
          <cell r="J1652" t="str">
            <v>כן</v>
          </cell>
          <cell r="K1652">
            <v>39</v>
          </cell>
          <cell r="L1652">
            <v>31</v>
          </cell>
        </row>
        <row r="1653">
          <cell r="D1653">
            <v>241018</v>
          </cell>
          <cell r="E1653" t="str">
            <v>בעלות</v>
          </cell>
          <cell r="F1653" t="str">
            <v>תת מעיין החינוך אלעד</v>
          </cell>
          <cell r="G1653" t="str">
            <v>יסודי בלבד</v>
          </cell>
          <cell r="H1653" t="str">
            <v>כן</v>
          </cell>
          <cell r="I1653" t="str">
            <v>כן</v>
          </cell>
          <cell r="J1653" t="str">
            <v>כן</v>
          </cell>
          <cell r="K1653">
            <v>64</v>
          </cell>
          <cell r="L1653">
            <v>63</v>
          </cell>
        </row>
        <row r="1654">
          <cell r="D1654">
            <v>511881</v>
          </cell>
          <cell r="E1654" t="str">
            <v/>
          </cell>
          <cell r="F1654" t="str">
            <v>מוריה מד</v>
          </cell>
          <cell r="G1654" t="str">
            <v>יסודי בלבד</v>
          </cell>
          <cell r="H1654" t="str">
            <v>כן</v>
          </cell>
          <cell r="I1654" t="str">
            <v>כן</v>
          </cell>
          <cell r="J1654" t="str">
            <v>כן</v>
          </cell>
          <cell r="K1654">
            <v>195</v>
          </cell>
          <cell r="L1654">
            <v>143</v>
          </cell>
        </row>
        <row r="1655">
          <cell r="D1655">
            <v>634840</v>
          </cell>
          <cell r="E1655" t="str">
            <v>רשות</v>
          </cell>
          <cell r="F1655" t="str">
            <v>חיואר</v>
          </cell>
          <cell r="G1655" t="str">
            <v>יסודי בלבד</v>
          </cell>
          <cell r="H1655" t="str">
            <v>כן</v>
          </cell>
          <cell r="I1655" t="str">
            <v>כן</v>
          </cell>
          <cell r="J1655" t="str">
            <v>כן</v>
          </cell>
          <cell r="K1655">
            <v>156</v>
          </cell>
          <cell r="L1655">
            <v>44</v>
          </cell>
        </row>
        <row r="1656">
          <cell r="D1656">
            <v>513622</v>
          </cell>
          <cell r="E1656" t="str">
            <v>בעלות</v>
          </cell>
          <cell r="F1656" t="str">
            <v>בית מלכה ב"ב</v>
          </cell>
          <cell r="G1656" t="str">
            <v>יסודי בלבד</v>
          </cell>
          <cell r="H1656" t="str">
            <v>כן</v>
          </cell>
          <cell r="I1656" t="str">
            <v>כן</v>
          </cell>
          <cell r="J1656" t="str">
            <v>כן</v>
          </cell>
          <cell r="K1656">
            <v>232</v>
          </cell>
          <cell r="L1656">
            <v>68</v>
          </cell>
        </row>
        <row r="1657">
          <cell r="D1657">
            <v>384495</v>
          </cell>
          <cell r="E1657" t="str">
            <v/>
          </cell>
          <cell r="F1657" t="str">
            <v>חב"ד בנים</v>
          </cell>
          <cell r="G1657" t="str">
            <v>יסודי בלבד</v>
          </cell>
          <cell r="H1657" t="str">
            <v>כן</v>
          </cell>
          <cell r="I1657" t="str">
            <v>כן</v>
          </cell>
          <cell r="J1657" t="str">
            <v>כן</v>
          </cell>
          <cell r="K1657">
            <v>115</v>
          </cell>
          <cell r="L1657">
            <v>115</v>
          </cell>
        </row>
        <row r="1658">
          <cell r="D1658">
            <v>189944</v>
          </cell>
          <cell r="E1658" t="str">
            <v/>
          </cell>
          <cell r="F1658" t="str">
            <v>בית יעקב אביעזרי</v>
          </cell>
          <cell r="G1658" t="str">
            <v>יסודי בלבד</v>
          </cell>
          <cell r="H1658" t="str">
            <v>כן</v>
          </cell>
          <cell r="I1658" t="str">
            <v>כן</v>
          </cell>
          <cell r="J1658" t="str">
            <v>כן</v>
          </cell>
          <cell r="K1658">
            <v>521</v>
          </cell>
          <cell r="L1658">
            <v>192</v>
          </cell>
        </row>
        <row r="1659">
          <cell r="D1659">
            <v>657007</v>
          </cell>
          <cell r="E1659" t="str">
            <v>בעלות</v>
          </cell>
          <cell r="F1659" t="str">
            <v>עטרת חיים</v>
          </cell>
          <cell r="G1659" t="str">
            <v>יסודי בלבד</v>
          </cell>
          <cell r="H1659" t="str">
            <v>כן</v>
          </cell>
          <cell r="I1659" t="str">
            <v>כן</v>
          </cell>
          <cell r="J1659" t="str">
            <v>כן</v>
          </cell>
          <cell r="K1659">
            <v>61</v>
          </cell>
          <cell r="L1659">
            <v>61</v>
          </cell>
        </row>
        <row r="1660">
          <cell r="D1660">
            <v>310359</v>
          </cell>
          <cell r="E1660" t="str">
            <v>רשות</v>
          </cell>
          <cell r="F1660" t="str">
            <v>תחכמוני</v>
          </cell>
          <cell r="G1660" t="str">
            <v>יסודי בלבד</v>
          </cell>
          <cell r="H1660" t="str">
            <v>כן</v>
          </cell>
          <cell r="I1660" t="str">
            <v>כן</v>
          </cell>
          <cell r="J1660" t="str">
            <v>כן</v>
          </cell>
          <cell r="K1660">
            <v>229</v>
          </cell>
          <cell r="L1660">
            <v>50</v>
          </cell>
        </row>
        <row r="1661">
          <cell r="D1661">
            <v>384610</v>
          </cell>
          <cell r="E1661" t="str">
            <v>רשות</v>
          </cell>
          <cell r="F1661" t="str">
            <v>שירת הגליל</v>
          </cell>
          <cell r="G1661" t="str">
            <v>יסודי בלבד</v>
          </cell>
          <cell r="H1661" t="str">
            <v>כן</v>
          </cell>
          <cell r="I1661" t="str">
            <v>כן</v>
          </cell>
          <cell r="J1661" t="str">
            <v>כן</v>
          </cell>
          <cell r="K1661">
            <v>136</v>
          </cell>
          <cell r="L1661">
            <v>115</v>
          </cell>
        </row>
        <row r="1662">
          <cell r="D1662">
            <v>416644</v>
          </cell>
          <cell r="E1662" t="str">
            <v>בעלות</v>
          </cell>
          <cell r="F1662" t="str">
            <v>מדעים ויהדות</v>
          </cell>
          <cell r="G1662" t="str">
            <v>יסודי בלבד</v>
          </cell>
          <cell r="H1662" t="str">
            <v>כן</v>
          </cell>
          <cell r="I1662" t="str">
            <v>כן</v>
          </cell>
          <cell r="J1662" t="str">
            <v>כן</v>
          </cell>
          <cell r="K1662">
            <v>122</v>
          </cell>
          <cell r="L1662">
            <v>77</v>
          </cell>
        </row>
        <row r="1663">
          <cell r="D1663">
            <v>124040</v>
          </cell>
          <cell r="E1663" t="str">
            <v>בעלות</v>
          </cell>
          <cell r="F1663" t="str">
            <v>ת"ת תורה לשמה</v>
          </cell>
          <cell r="G1663" t="str">
            <v>יסודי בלבד</v>
          </cell>
          <cell r="H1663" t="str">
            <v>כן</v>
          </cell>
          <cell r="I1663" t="str">
            <v>כן</v>
          </cell>
          <cell r="J1663" t="str">
            <v>כן</v>
          </cell>
          <cell r="K1663">
            <v>105</v>
          </cell>
          <cell r="L1663">
            <v>106</v>
          </cell>
        </row>
        <row r="1664">
          <cell r="D1664">
            <v>312033</v>
          </cell>
          <cell r="E1664" t="str">
            <v/>
          </cell>
          <cell r="F1664" t="str">
            <v>מדעים ויהדות</v>
          </cell>
          <cell r="G1664" t="str">
            <v>יסודי בלבד</v>
          </cell>
          <cell r="H1664" t="str">
            <v>כן</v>
          </cell>
          <cell r="I1664" t="str">
            <v>כן</v>
          </cell>
          <cell r="J1664" t="str">
            <v>כן</v>
          </cell>
          <cell r="K1664">
            <v>182</v>
          </cell>
          <cell r="L1664">
            <v>96</v>
          </cell>
        </row>
        <row r="1665">
          <cell r="D1665">
            <v>384669</v>
          </cell>
          <cell r="E1665" t="str">
            <v>רשות</v>
          </cell>
          <cell r="F1665" t="str">
            <v>בצוותא מ"מ</v>
          </cell>
          <cell r="G1665" t="str">
            <v>יסודי בלבד</v>
          </cell>
          <cell r="H1665" t="str">
            <v>כן</v>
          </cell>
          <cell r="I1665" t="str">
            <v>כן</v>
          </cell>
          <cell r="J1665" t="str">
            <v>כן</v>
          </cell>
          <cell r="K1665">
            <v>204</v>
          </cell>
          <cell r="L1665">
            <v>109</v>
          </cell>
        </row>
        <row r="1666">
          <cell r="D1666">
            <v>742254</v>
          </cell>
          <cell r="E1666" t="str">
            <v>בעלות</v>
          </cell>
          <cell r="F1666" t="str">
            <v>בית יעקב היובל</v>
          </cell>
          <cell r="G1666" t="str">
            <v>יסודי בלבד</v>
          </cell>
          <cell r="H1666" t="str">
            <v>כן</v>
          </cell>
          <cell r="I1666" t="str">
            <v>כן</v>
          </cell>
          <cell r="J1666" t="str">
            <v>כן</v>
          </cell>
          <cell r="K1666">
            <v>368</v>
          </cell>
          <cell r="L1666">
            <v>285</v>
          </cell>
        </row>
        <row r="1667">
          <cell r="D1667">
            <v>633941</v>
          </cell>
          <cell r="E1667" t="str">
            <v>בעלות</v>
          </cell>
          <cell r="F1667" t="str">
            <v>תלמוד תורה פני מנחם גור</v>
          </cell>
          <cell r="G1667" t="str">
            <v>יסודי בלבד</v>
          </cell>
          <cell r="H1667" t="str">
            <v>כן</v>
          </cell>
          <cell r="I1667" t="str">
            <v>כן</v>
          </cell>
          <cell r="J1667" t="str">
            <v>כן</v>
          </cell>
          <cell r="K1667">
            <v>62</v>
          </cell>
          <cell r="L1667">
            <v>62</v>
          </cell>
        </row>
        <row r="1668">
          <cell r="D1668">
            <v>416412</v>
          </cell>
          <cell r="E1668" t="str">
            <v/>
          </cell>
          <cell r="F1668" t="str">
            <v>בית יעקב ויזניץ "אוהל מרים"</v>
          </cell>
          <cell r="G1668" t="str">
            <v>יסודי בלבד</v>
          </cell>
          <cell r="H1668" t="str">
            <v>כן</v>
          </cell>
          <cell r="I1668" t="str">
            <v>כן</v>
          </cell>
          <cell r="J1668" t="str">
            <v>כן</v>
          </cell>
          <cell r="K1668">
            <v>0</v>
          </cell>
          <cell r="L1668">
            <v>248</v>
          </cell>
        </row>
        <row r="1669">
          <cell r="D1669">
            <v>188078</v>
          </cell>
          <cell r="E1669" t="str">
            <v>בעלות</v>
          </cell>
          <cell r="F1669" t="str">
            <v>ת"ת מעלה מכמש</v>
          </cell>
          <cell r="G1669" t="str">
            <v>יסודי בלבד</v>
          </cell>
          <cell r="H1669" t="str">
            <v>כן</v>
          </cell>
          <cell r="I1669" t="str">
            <v>כן</v>
          </cell>
          <cell r="J1669" t="str">
            <v>כן</v>
          </cell>
          <cell r="K1669">
            <v>75</v>
          </cell>
          <cell r="L1669">
            <v>79</v>
          </cell>
        </row>
        <row r="1670">
          <cell r="D1670">
            <v>616169</v>
          </cell>
          <cell r="E1670" t="str">
            <v/>
          </cell>
          <cell r="F1670" t="str">
            <v>נער ישראל</v>
          </cell>
          <cell r="G1670" t="str">
            <v>יסודי בלבד</v>
          </cell>
          <cell r="H1670" t="str">
            <v>כן</v>
          </cell>
          <cell r="I1670" t="str">
            <v>כן</v>
          </cell>
          <cell r="J1670" t="str">
            <v>כן</v>
          </cell>
          <cell r="K1670">
            <v>86</v>
          </cell>
          <cell r="L1670">
            <v>80</v>
          </cell>
        </row>
        <row r="1671">
          <cell r="D1671">
            <v>512210</v>
          </cell>
          <cell r="E1671" t="str">
            <v/>
          </cell>
          <cell r="F1671" t="str">
            <v>ת"ת ובי' וולפסון</v>
          </cell>
          <cell r="G1671" t="str">
            <v>יסודי בלבד</v>
          </cell>
          <cell r="H1671" t="str">
            <v>כן</v>
          </cell>
          <cell r="I1671" t="str">
            <v>כן</v>
          </cell>
          <cell r="J1671" t="str">
            <v>כן</v>
          </cell>
          <cell r="K1671">
            <v>57</v>
          </cell>
          <cell r="L1671">
            <v>38</v>
          </cell>
        </row>
        <row r="1672">
          <cell r="D1672">
            <v>412221</v>
          </cell>
          <cell r="E1672" t="str">
            <v>בעלות</v>
          </cell>
          <cell r="F1672" t="str">
            <v>אורחות יצחק שערי ציון</v>
          </cell>
          <cell r="G1672" t="str">
            <v>יסודי בלבד</v>
          </cell>
          <cell r="H1672" t="str">
            <v>כן</v>
          </cell>
          <cell r="I1672" t="str">
            <v>כן</v>
          </cell>
          <cell r="J1672" t="str">
            <v>כן</v>
          </cell>
          <cell r="K1672">
            <v>44</v>
          </cell>
          <cell r="L1672">
            <v>44</v>
          </cell>
        </row>
        <row r="1673">
          <cell r="D1673">
            <v>214452</v>
          </cell>
          <cell r="E1673" t="str">
            <v>רשות</v>
          </cell>
          <cell r="F1673" t="str">
            <v>מצפור סביונים</v>
          </cell>
          <cell r="G1673" t="str">
            <v>יסודי בלבד</v>
          </cell>
          <cell r="H1673" t="str">
            <v>כן</v>
          </cell>
          <cell r="I1673" t="str">
            <v>כן</v>
          </cell>
          <cell r="J1673" t="str">
            <v>כן</v>
          </cell>
          <cell r="K1673">
            <v>87</v>
          </cell>
          <cell r="L1673">
            <v>27</v>
          </cell>
        </row>
        <row r="1674">
          <cell r="D1674">
            <v>630244</v>
          </cell>
          <cell r="E1674" t="str">
            <v>רשות</v>
          </cell>
          <cell r="F1674" t="str">
            <v>באר</v>
          </cell>
          <cell r="G1674" t="str">
            <v>יסודי בלבד</v>
          </cell>
          <cell r="H1674" t="str">
            <v>כן</v>
          </cell>
          <cell r="I1674" t="str">
            <v>כן</v>
          </cell>
          <cell r="J1674" t="str">
            <v>כן</v>
          </cell>
          <cell r="K1674">
            <v>51</v>
          </cell>
          <cell r="L1674">
            <v>45</v>
          </cell>
        </row>
        <row r="1675">
          <cell r="D1675">
            <v>414581</v>
          </cell>
          <cell r="E1675" t="str">
            <v>רשות</v>
          </cell>
          <cell r="F1675" t="str">
            <v>ממל' מילקין</v>
          </cell>
          <cell r="G1675" t="str">
            <v>יסודי בלבד</v>
          </cell>
          <cell r="H1675" t="str">
            <v>כן</v>
          </cell>
          <cell r="I1675" t="str">
            <v>כן</v>
          </cell>
          <cell r="J1675" t="str">
            <v>כן</v>
          </cell>
          <cell r="K1675">
            <v>172</v>
          </cell>
          <cell r="L1675">
            <v>65</v>
          </cell>
        </row>
        <row r="1676">
          <cell r="D1676">
            <v>318139</v>
          </cell>
          <cell r="E1676" t="str">
            <v>רשות</v>
          </cell>
          <cell r="F1676" t="str">
            <v>אלפארוק</v>
          </cell>
          <cell r="G1676" t="str">
            <v>יסודי בלבד</v>
          </cell>
          <cell r="H1676" t="str">
            <v>כן</v>
          </cell>
          <cell r="I1676" t="str">
            <v>כן</v>
          </cell>
          <cell r="J1676" t="str">
            <v>כן</v>
          </cell>
          <cell r="K1676">
            <v>216</v>
          </cell>
          <cell r="L1676">
            <v>60</v>
          </cell>
        </row>
        <row r="1677">
          <cell r="D1677">
            <v>199539</v>
          </cell>
          <cell r="E1677" t="str">
            <v/>
          </cell>
          <cell r="F1677" t="str">
            <v>ב"י משכנות תמר אחוזת ברכפלד</v>
          </cell>
          <cell r="G1677" t="str">
            <v>יסודי בלבד</v>
          </cell>
          <cell r="H1677" t="str">
            <v>כן</v>
          </cell>
          <cell r="I1677" t="str">
            <v>כן</v>
          </cell>
          <cell r="J1677" t="str">
            <v>כן</v>
          </cell>
          <cell r="K1677">
            <v>340</v>
          </cell>
          <cell r="L1677">
            <v>302</v>
          </cell>
        </row>
        <row r="1678">
          <cell r="D1678">
            <v>214312</v>
          </cell>
          <cell r="E1678" t="str">
            <v>בעלות</v>
          </cell>
          <cell r="F1678" t="str">
            <v>באר החיים</v>
          </cell>
          <cell r="G1678" t="str">
            <v>יסודי בלבד</v>
          </cell>
          <cell r="H1678" t="str">
            <v>כן</v>
          </cell>
          <cell r="I1678" t="str">
            <v>כן</v>
          </cell>
          <cell r="J1678" t="str">
            <v>כן</v>
          </cell>
          <cell r="K1678">
            <v>121</v>
          </cell>
          <cell r="L1678">
            <v>63</v>
          </cell>
        </row>
        <row r="1679">
          <cell r="D1679">
            <v>614651</v>
          </cell>
          <cell r="E1679" t="str">
            <v>בעלות</v>
          </cell>
          <cell r="F1679" t="str">
            <v>נתיבי אור (מעורב)</v>
          </cell>
          <cell r="G1679" t="str">
            <v>יסודי בלבד</v>
          </cell>
          <cell r="H1679" t="str">
            <v>כן</v>
          </cell>
          <cell r="I1679" t="str">
            <v>כן</v>
          </cell>
          <cell r="J1679" t="str">
            <v>כן</v>
          </cell>
          <cell r="K1679">
            <v>140</v>
          </cell>
          <cell r="L1679">
            <v>124</v>
          </cell>
        </row>
        <row r="1680">
          <cell r="D1680">
            <v>758995</v>
          </cell>
          <cell r="E1680" t="str">
            <v>בעלות</v>
          </cell>
          <cell r="F1680" t="str">
            <v>עטרת חיים בנות</v>
          </cell>
          <cell r="G1680" t="str">
            <v>יסודי בלבד</v>
          </cell>
          <cell r="H1680" t="str">
            <v>כן</v>
          </cell>
          <cell r="I1680" t="str">
            <v>כן</v>
          </cell>
          <cell r="J1680" t="str">
            <v>כן</v>
          </cell>
          <cell r="K1680">
            <v>71</v>
          </cell>
          <cell r="L1680">
            <v>50</v>
          </cell>
        </row>
        <row r="1681">
          <cell r="D1681">
            <v>512822</v>
          </cell>
          <cell r="E1681" t="str">
            <v>רשות</v>
          </cell>
          <cell r="F1681" t="str">
            <v>הנשיא-מ"מ. י.</v>
          </cell>
          <cell r="G1681" t="str">
            <v>יסודי בלבד</v>
          </cell>
          <cell r="H1681" t="str">
            <v>כן</v>
          </cell>
          <cell r="I1681" t="str">
            <v>כן</v>
          </cell>
          <cell r="J1681" t="str">
            <v>כן</v>
          </cell>
          <cell r="K1681">
            <v>164</v>
          </cell>
          <cell r="L1681">
            <v>49</v>
          </cell>
        </row>
        <row r="1682">
          <cell r="D1682">
            <v>343947</v>
          </cell>
          <cell r="E1682" t="str">
            <v>בעלות</v>
          </cell>
          <cell r="F1682" t="str">
            <v>ת"ת תשב"ר בית שמש</v>
          </cell>
          <cell r="G1682" t="str">
            <v>יסודי בלבד</v>
          </cell>
          <cell r="H1682" t="str">
            <v>כן</v>
          </cell>
          <cell r="I1682" t="str">
            <v>כן</v>
          </cell>
          <cell r="J1682" t="str">
            <v>כן</v>
          </cell>
          <cell r="K1682">
            <v>70</v>
          </cell>
          <cell r="L1682">
            <v>72</v>
          </cell>
        </row>
        <row r="1683">
          <cell r="D1683">
            <v>383927</v>
          </cell>
          <cell r="E1683" t="str">
            <v>רשות</v>
          </cell>
          <cell r="F1683" t="str">
            <v>החותרים</v>
          </cell>
          <cell r="G1683" t="str">
            <v>יסודי בלבד</v>
          </cell>
          <cell r="H1683" t="str">
            <v>כן</v>
          </cell>
          <cell r="I1683" t="str">
            <v>כן</v>
          </cell>
          <cell r="J1683" t="str">
            <v>כן</v>
          </cell>
          <cell r="K1683">
            <v>305</v>
          </cell>
          <cell r="L1683">
            <v>191</v>
          </cell>
        </row>
        <row r="1684">
          <cell r="D1684">
            <v>482380</v>
          </cell>
          <cell r="E1684" t="str">
            <v>רשות</v>
          </cell>
          <cell r="F1684" t="str">
            <v>בנציון נתניהו</v>
          </cell>
          <cell r="G1684" t="str">
            <v>יסודי בלבד</v>
          </cell>
          <cell r="H1684" t="str">
            <v>כן</v>
          </cell>
          <cell r="I1684" t="str">
            <v>כן</v>
          </cell>
          <cell r="J1684" t="str">
            <v>כן</v>
          </cell>
          <cell r="K1684">
            <v>157</v>
          </cell>
          <cell r="L1684">
            <v>80</v>
          </cell>
        </row>
        <row r="1685">
          <cell r="D1685">
            <v>412056</v>
          </cell>
          <cell r="E1685" t="str">
            <v>רשות</v>
          </cell>
          <cell r="F1685" t="str">
            <v>נוה דקלים</v>
          </cell>
          <cell r="G1685" t="str">
            <v>יסודי בלבד</v>
          </cell>
          <cell r="H1685" t="str">
            <v>כן</v>
          </cell>
          <cell r="I1685" t="str">
            <v>כן</v>
          </cell>
          <cell r="J1685" t="str">
            <v>כן</v>
          </cell>
          <cell r="K1685">
            <v>111</v>
          </cell>
          <cell r="L1685">
            <v>26</v>
          </cell>
        </row>
        <row r="1686">
          <cell r="D1686">
            <v>681007</v>
          </cell>
          <cell r="E1686" t="str">
            <v>רשות</v>
          </cell>
          <cell r="F1686" t="str">
            <v>מיצד לבנות</v>
          </cell>
          <cell r="G1686" t="str">
            <v>יסודי בלבד</v>
          </cell>
          <cell r="H1686" t="str">
            <v>כן</v>
          </cell>
          <cell r="I1686" t="str">
            <v>כן</v>
          </cell>
          <cell r="J1686" t="str">
            <v>לא</v>
          </cell>
          <cell r="K1686">
            <v>35</v>
          </cell>
          <cell r="L1686">
            <v>24</v>
          </cell>
        </row>
        <row r="1687">
          <cell r="D1687">
            <v>615153</v>
          </cell>
          <cell r="E1687" t="str">
            <v>בעלות</v>
          </cell>
          <cell r="F1687" t="str">
            <v>נווה חיה</v>
          </cell>
          <cell r="G1687" t="str">
            <v>יסודי בלבד</v>
          </cell>
          <cell r="H1687" t="str">
            <v>כן</v>
          </cell>
          <cell r="I1687" t="str">
            <v>כן</v>
          </cell>
          <cell r="J1687" t="str">
            <v>כן</v>
          </cell>
          <cell r="K1687">
            <v>164</v>
          </cell>
          <cell r="L1687">
            <v>135</v>
          </cell>
        </row>
        <row r="1688">
          <cell r="D1688">
            <v>114140</v>
          </cell>
          <cell r="E1688" t="str">
            <v>בעלות</v>
          </cell>
          <cell r="F1688" t="str">
            <v>ת"ת פאר יוסף</v>
          </cell>
          <cell r="G1688" t="str">
            <v>יסודי בלבד</v>
          </cell>
          <cell r="H1688" t="str">
            <v>כן</v>
          </cell>
          <cell r="I1688" t="str">
            <v>כן</v>
          </cell>
          <cell r="J1688" t="str">
            <v>כן</v>
          </cell>
          <cell r="K1688">
            <v>55</v>
          </cell>
          <cell r="L1688">
            <v>47</v>
          </cell>
        </row>
        <row r="1689">
          <cell r="D1689">
            <v>355578</v>
          </cell>
          <cell r="E1689" t="str">
            <v>רשות</v>
          </cell>
          <cell r="F1689" t="str">
            <v>חמ"ד אהרון הרא"ה בנים</v>
          </cell>
          <cell r="G1689" t="str">
            <v>יסודי בלבד</v>
          </cell>
          <cell r="H1689" t="str">
            <v>כן</v>
          </cell>
          <cell r="I1689" t="str">
            <v>כן</v>
          </cell>
          <cell r="J1689" t="str">
            <v>כן</v>
          </cell>
          <cell r="K1689">
            <v>170</v>
          </cell>
          <cell r="L1689">
            <v>170</v>
          </cell>
        </row>
        <row r="1690">
          <cell r="D1690">
            <v>218941</v>
          </cell>
          <cell r="E1690" t="str">
            <v>רשות</v>
          </cell>
          <cell r="F1690" t="str">
            <v>אלחואר</v>
          </cell>
          <cell r="G1690" t="str">
            <v>יסודי בלבד</v>
          </cell>
          <cell r="H1690" t="str">
            <v>כן</v>
          </cell>
          <cell r="I1690" t="str">
            <v>כן</v>
          </cell>
          <cell r="J1690" t="str">
            <v>כן</v>
          </cell>
          <cell r="K1690">
            <v>163</v>
          </cell>
          <cell r="L1690">
            <v>0</v>
          </cell>
        </row>
        <row r="1691">
          <cell r="D1691">
            <v>430306</v>
          </cell>
          <cell r="E1691" t="str">
            <v/>
          </cell>
          <cell r="F1691" t="str">
            <v>ממ"ד בנים הר ברכה</v>
          </cell>
          <cell r="G1691" t="str">
            <v>יסודי בלבד</v>
          </cell>
          <cell r="H1691" t="str">
            <v>כן</v>
          </cell>
          <cell r="I1691" t="str">
            <v>כן</v>
          </cell>
          <cell r="J1691" t="str">
            <v>כן</v>
          </cell>
          <cell r="K1691">
            <v>149</v>
          </cell>
          <cell r="L1691">
            <v>110</v>
          </cell>
        </row>
        <row r="1692">
          <cell r="D1692">
            <v>214114</v>
          </cell>
          <cell r="E1692" t="str">
            <v>רשות</v>
          </cell>
          <cell r="F1692" t="str">
            <v>אור-מנחם חב"ד בנות</v>
          </cell>
          <cell r="G1692" t="str">
            <v>יסודי בלבד</v>
          </cell>
          <cell r="H1692" t="str">
            <v>כן</v>
          </cell>
          <cell r="I1692" t="str">
            <v>כן</v>
          </cell>
          <cell r="J1692" t="str">
            <v>כן</v>
          </cell>
          <cell r="K1692">
            <v>299</v>
          </cell>
          <cell r="L1692">
            <v>149</v>
          </cell>
        </row>
        <row r="1693">
          <cell r="D1693">
            <v>113761</v>
          </cell>
          <cell r="E1693" t="str">
            <v/>
          </cell>
          <cell r="F1693" t="str">
            <v>ב"י דרך החיים</v>
          </cell>
          <cell r="G1693" t="str">
            <v>יסודי בלבד</v>
          </cell>
          <cell r="H1693" t="str">
            <v>כן</v>
          </cell>
          <cell r="I1693" t="str">
            <v>כן</v>
          </cell>
          <cell r="J1693" t="str">
            <v>כן</v>
          </cell>
          <cell r="K1693">
            <v>221</v>
          </cell>
          <cell r="L1693">
            <v>49</v>
          </cell>
        </row>
        <row r="1694">
          <cell r="D1694">
            <v>618025</v>
          </cell>
          <cell r="E1694" t="str">
            <v>רשות</v>
          </cell>
          <cell r="F1694" t="str">
            <v>אלמנארה</v>
          </cell>
          <cell r="G1694" t="str">
            <v>יסודי בלבד</v>
          </cell>
          <cell r="H1694" t="str">
            <v>כן</v>
          </cell>
          <cell r="I1694" t="str">
            <v>כן</v>
          </cell>
          <cell r="J1694" t="str">
            <v>כן</v>
          </cell>
          <cell r="K1694">
            <v>239</v>
          </cell>
          <cell r="L1694">
            <v>120</v>
          </cell>
        </row>
        <row r="1695">
          <cell r="D1695">
            <v>512137</v>
          </cell>
          <cell r="E1695" t="str">
            <v/>
          </cell>
          <cell r="F1695" t="str">
            <v>בני מנחם חב"ד</v>
          </cell>
          <cell r="G1695" t="str">
            <v>יסודי בלבד</v>
          </cell>
          <cell r="H1695" t="str">
            <v>כן</v>
          </cell>
          <cell r="I1695" t="str">
            <v>כן</v>
          </cell>
          <cell r="J1695" t="str">
            <v>כן</v>
          </cell>
          <cell r="K1695">
            <v>136</v>
          </cell>
          <cell r="L1695">
            <v>136</v>
          </cell>
        </row>
        <row r="1696">
          <cell r="D1696">
            <v>114397</v>
          </cell>
          <cell r="E1696" t="str">
            <v>בעלות</v>
          </cell>
          <cell r="F1696" t="str">
            <v>חיי שרה בנות</v>
          </cell>
          <cell r="G1696" t="str">
            <v>יסודי בלבד</v>
          </cell>
          <cell r="H1696" t="str">
            <v>כן</v>
          </cell>
          <cell r="I1696" t="str">
            <v>כן</v>
          </cell>
          <cell r="J1696" t="str">
            <v>כן</v>
          </cell>
          <cell r="K1696">
            <v>162</v>
          </cell>
          <cell r="L1696">
            <v>101</v>
          </cell>
        </row>
        <row r="1697">
          <cell r="D1697">
            <v>113365</v>
          </cell>
          <cell r="E1697" t="str">
            <v/>
          </cell>
          <cell r="F1697" t="str">
            <v>ת"ת וב"י חשמונאים</v>
          </cell>
          <cell r="G1697" t="str">
            <v>יסודי בלבד</v>
          </cell>
          <cell r="H1697" t="str">
            <v>כן</v>
          </cell>
          <cell r="I1697" t="str">
            <v>כן</v>
          </cell>
          <cell r="J1697" t="str">
            <v>כן</v>
          </cell>
          <cell r="K1697">
            <v>81</v>
          </cell>
          <cell r="L1697">
            <v>66</v>
          </cell>
        </row>
        <row r="1698">
          <cell r="D1698">
            <v>338723</v>
          </cell>
          <cell r="E1698" t="str">
            <v>רשות</v>
          </cell>
          <cell r="F1698" t="str">
            <v>יפה נוף ממ"ד</v>
          </cell>
          <cell r="G1698" t="str">
            <v>יסודי בלבד</v>
          </cell>
          <cell r="H1698" t="str">
            <v>כן</v>
          </cell>
          <cell r="I1698" t="str">
            <v>כן</v>
          </cell>
          <cell r="J1698" t="str">
            <v>לא</v>
          </cell>
          <cell r="K1698">
            <v>75</v>
          </cell>
          <cell r="L1698">
            <v>40</v>
          </cell>
        </row>
        <row r="1699">
          <cell r="D1699">
            <v>729236</v>
          </cell>
          <cell r="E1699" t="str">
            <v>בעלות</v>
          </cell>
          <cell r="F1699" t="str">
            <v>תפארת שרה</v>
          </cell>
          <cell r="G1699" t="str">
            <v>יסודי בלבד</v>
          </cell>
          <cell r="H1699" t="str">
            <v>כן</v>
          </cell>
          <cell r="I1699" t="str">
            <v>כן</v>
          </cell>
          <cell r="J1699" t="str">
            <v>כן</v>
          </cell>
          <cell r="K1699">
            <v>93</v>
          </cell>
          <cell r="L1699">
            <v>95</v>
          </cell>
        </row>
        <row r="1700">
          <cell r="D1700">
            <v>114215</v>
          </cell>
          <cell r="E1700" t="str">
            <v>רשות</v>
          </cell>
          <cell r="F1700" t="str">
            <v>וולדורף אדם</v>
          </cell>
          <cell r="G1700" t="str">
            <v>יסודי בלבד</v>
          </cell>
          <cell r="H1700" t="str">
            <v>כן</v>
          </cell>
          <cell r="I1700" t="str">
            <v>כן</v>
          </cell>
          <cell r="J1700" t="str">
            <v>כן</v>
          </cell>
          <cell r="K1700">
            <v>171</v>
          </cell>
          <cell r="L1700">
            <v>37</v>
          </cell>
        </row>
        <row r="1701">
          <cell r="D1701">
            <v>514174</v>
          </cell>
          <cell r="E1701" t="str">
            <v>בעלות</v>
          </cell>
          <cell r="F1701" t="str">
            <v>ת"ת בני ציון</v>
          </cell>
          <cell r="G1701" t="str">
            <v>יסודי בלבד</v>
          </cell>
          <cell r="H1701" t="str">
            <v>כן</v>
          </cell>
          <cell r="I1701" t="str">
            <v>כן</v>
          </cell>
          <cell r="J1701" t="str">
            <v>כן</v>
          </cell>
          <cell r="K1701">
            <v>84</v>
          </cell>
          <cell r="L1701">
            <v>58</v>
          </cell>
        </row>
        <row r="1702">
          <cell r="D1702">
            <v>172395</v>
          </cell>
          <cell r="E1702" t="str">
            <v/>
          </cell>
          <cell r="F1702" t="str">
            <v>נהג כצאן יוסף</v>
          </cell>
          <cell r="G1702" t="str">
            <v>יסודי בלבד</v>
          </cell>
          <cell r="H1702" t="str">
            <v>כן</v>
          </cell>
          <cell r="I1702" t="str">
            <v>כן</v>
          </cell>
          <cell r="J1702" t="str">
            <v>כן</v>
          </cell>
          <cell r="K1702">
            <v>235</v>
          </cell>
          <cell r="L1702">
            <v>70</v>
          </cell>
        </row>
        <row r="1703">
          <cell r="D1703">
            <v>618082</v>
          </cell>
          <cell r="E1703" t="str">
            <v>רשות</v>
          </cell>
          <cell r="F1703" t="str">
            <v>עבד רבה אלאסד</v>
          </cell>
          <cell r="G1703" t="str">
            <v>יסודי בלבד</v>
          </cell>
          <cell r="H1703" t="str">
            <v>כן</v>
          </cell>
          <cell r="I1703" t="str">
            <v>כן</v>
          </cell>
          <cell r="J1703" t="str">
            <v>כן</v>
          </cell>
          <cell r="K1703">
            <v>306</v>
          </cell>
          <cell r="L1703">
            <v>68</v>
          </cell>
        </row>
        <row r="1704">
          <cell r="D1704">
            <v>312314</v>
          </cell>
          <cell r="E1704" t="str">
            <v>בעלות</v>
          </cell>
          <cell r="F1704" t="str">
            <v>בית יעקב יסודי רכסים</v>
          </cell>
          <cell r="G1704" t="str">
            <v>יסודי בלבד</v>
          </cell>
          <cell r="H1704" t="str">
            <v>כן</v>
          </cell>
          <cell r="I1704" t="str">
            <v>כן</v>
          </cell>
          <cell r="J1704" t="str">
            <v>כן</v>
          </cell>
          <cell r="K1704">
            <v>287</v>
          </cell>
          <cell r="L1704">
            <v>285</v>
          </cell>
        </row>
        <row r="1705">
          <cell r="D1705">
            <v>634246</v>
          </cell>
          <cell r="E1705" t="str">
            <v>רשות</v>
          </cell>
          <cell r="F1705" t="str">
            <v>אור ליובאוויטש צעירים</v>
          </cell>
          <cell r="G1705" t="str">
            <v>יסודי בלבד</v>
          </cell>
          <cell r="H1705" t="str">
            <v>כן</v>
          </cell>
          <cell r="I1705" t="str">
            <v>כן</v>
          </cell>
          <cell r="J1705" t="str">
            <v>כן</v>
          </cell>
          <cell r="K1705">
            <v>102</v>
          </cell>
          <cell r="L1705">
            <v>102</v>
          </cell>
        </row>
        <row r="1706">
          <cell r="D1706">
            <v>217190</v>
          </cell>
          <cell r="E1706" t="str">
            <v/>
          </cell>
          <cell r="F1706" t="str">
            <v>טרה סנטה עכו</v>
          </cell>
          <cell r="G1706" t="str">
            <v>יסודי בלבד</v>
          </cell>
          <cell r="H1706" t="str">
            <v>כן</v>
          </cell>
          <cell r="I1706" t="str">
            <v>כן</v>
          </cell>
          <cell r="J1706" t="str">
            <v>כן</v>
          </cell>
          <cell r="K1706">
            <v>120</v>
          </cell>
          <cell r="L1706">
            <v>50</v>
          </cell>
        </row>
        <row r="1707">
          <cell r="D1707">
            <v>214429</v>
          </cell>
          <cell r="E1707" t="str">
            <v>רשות</v>
          </cell>
          <cell r="F1707" t="str">
            <v>נועם - נריה</v>
          </cell>
          <cell r="G1707" t="str">
            <v>יסודי בלבד</v>
          </cell>
          <cell r="H1707" t="str">
            <v>כן</v>
          </cell>
          <cell r="I1707" t="str">
            <v>כן</v>
          </cell>
          <cell r="J1707" t="str">
            <v>כן</v>
          </cell>
          <cell r="K1707">
            <v>136</v>
          </cell>
          <cell r="L1707">
            <v>132</v>
          </cell>
        </row>
        <row r="1708">
          <cell r="D1708">
            <v>359190</v>
          </cell>
          <cell r="E1708" t="str">
            <v>בעלות</v>
          </cell>
          <cell r="F1708" t="str">
            <v>דרך אמותינו</v>
          </cell>
          <cell r="G1708" t="str">
            <v>יסודי בלבד</v>
          </cell>
          <cell r="H1708" t="str">
            <v>כן</v>
          </cell>
          <cell r="I1708" t="str">
            <v>כן</v>
          </cell>
          <cell r="J1708" t="str">
            <v>כן</v>
          </cell>
          <cell r="K1708">
            <v>129</v>
          </cell>
          <cell r="L1708">
            <v>120</v>
          </cell>
        </row>
        <row r="1709">
          <cell r="D1709">
            <v>572768</v>
          </cell>
          <cell r="E1709" t="str">
            <v>רשות</v>
          </cell>
          <cell r="F1709" t="str">
            <v>שירה חדשה</v>
          </cell>
          <cell r="G1709" t="str">
            <v>יסודי בלבד</v>
          </cell>
          <cell r="H1709" t="str">
            <v>כן</v>
          </cell>
          <cell r="I1709" t="str">
            <v>כן</v>
          </cell>
          <cell r="J1709" t="str">
            <v>כן</v>
          </cell>
          <cell r="K1709">
            <v>130</v>
          </cell>
          <cell r="L1709">
            <v>74</v>
          </cell>
        </row>
        <row r="1710">
          <cell r="D1710">
            <v>412403</v>
          </cell>
          <cell r="E1710" t="str">
            <v/>
          </cell>
          <cell r="F1710" t="str">
            <v>בית יעקב תבונות</v>
          </cell>
          <cell r="G1710" t="str">
            <v>יסודי בלבד</v>
          </cell>
          <cell r="H1710" t="str">
            <v>כן</v>
          </cell>
          <cell r="I1710" t="str">
            <v>כן</v>
          </cell>
          <cell r="J1710" t="str">
            <v>כן</v>
          </cell>
          <cell r="K1710">
            <v>487</v>
          </cell>
          <cell r="L1710">
            <v>145</v>
          </cell>
        </row>
        <row r="1711">
          <cell r="D1711">
            <v>414789</v>
          </cell>
          <cell r="E1711" t="str">
            <v>בעלות</v>
          </cell>
          <cell r="F1711" t="str">
            <v>אור לציון בנות</v>
          </cell>
          <cell r="G1711" t="str">
            <v>יסודי בלבד</v>
          </cell>
          <cell r="H1711" t="str">
            <v>כן</v>
          </cell>
          <cell r="I1711" t="str">
            <v>כן</v>
          </cell>
          <cell r="J1711" t="str">
            <v>כן</v>
          </cell>
          <cell r="K1711">
            <v>114</v>
          </cell>
          <cell r="L1711">
            <v>30</v>
          </cell>
        </row>
        <row r="1712">
          <cell r="D1712">
            <v>613372</v>
          </cell>
          <cell r="E1712" t="str">
            <v>בעלות</v>
          </cell>
          <cell r="F1712" t="str">
            <v>ת"ת וב"י יסודי התורה</v>
          </cell>
          <cell r="G1712" t="str">
            <v>יסודי בלבד</v>
          </cell>
          <cell r="H1712" t="str">
            <v>כן</v>
          </cell>
          <cell r="I1712" t="str">
            <v>כן</v>
          </cell>
          <cell r="J1712" t="str">
            <v>לא</v>
          </cell>
          <cell r="K1712">
            <v>66</v>
          </cell>
          <cell r="L1712">
            <v>40</v>
          </cell>
        </row>
        <row r="1713">
          <cell r="D1713">
            <v>311753</v>
          </cell>
          <cell r="E1713" t="str">
            <v/>
          </cell>
          <cell r="F1713" t="str">
            <v>בית יעקב מרכז חיפה</v>
          </cell>
          <cell r="G1713" t="str">
            <v>יסודי בלבד</v>
          </cell>
          <cell r="H1713" t="str">
            <v>כן</v>
          </cell>
          <cell r="I1713" t="str">
            <v>כן</v>
          </cell>
          <cell r="J1713" t="str">
            <v>כן</v>
          </cell>
          <cell r="K1713">
            <v>0</v>
          </cell>
          <cell r="L1713">
            <v>125</v>
          </cell>
        </row>
        <row r="1714">
          <cell r="D1714">
            <v>510289</v>
          </cell>
          <cell r="E1714" t="str">
            <v>רשות</v>
          </cell>
          <cell r="F1714" t="str">
            <v>תחכמוני מד</v>
          </cell>
          <cell r="G1714" t="str">
            <v>יסודי בלבד</v>
          </cell>
          <cell r="H1714" t="str">
            <v>כן</v>
          </cell>
          <cell r="I1714" t="str">
            <v>כן</v>
          </cell>
          <cell r="J1714" t="str">
            <v>כן</v>
          </cell>
          <cell r="K1714">
            <v>195</v>
          </cell>
          <cell r="L1714">
            <v>58</v>
          </cell>
        </row>
        <row r="1715">
          <cell r="D1715">
            <v>412205</v>
          </cell>
          <cell r="E1715" t="str">
            <v/>
          </cell>
          <cell r="F1715" t="str">
            <v>מגד</v>
          </cell>
          <cell r="G1715" t="str">
            <v>יסודי בלבד</v>
          </cell>
          <cell r="H1715" t="str">
            <v>כן</v>
          </cell>
          <cell r="I1715" t="str">
            <v>כן</v>
          </cell>
          <cell r="J1715" t="str">
            <v>כן</v>
          </cell>
          <cell r="K1715">
            <v>167</v>
          </cell>
          <cell r="L1715">
            <v>87</v>
          </cell>
        </row>
        <row r="1716">
          <cell r="D1716">
            <v>212464</v>
          </cell>
          <cell r="E1716" t="str">
            <v/>
          </cell>
          <cell r="F1716" t="str">
            <v>בית יעקב מרכז טבריה</v>
          </cell>
          <cell r="G1716" t="str">
            <v>יסודי בלבד</v>
          </cell>
          <cell r="H1716" t="str">
            <v>כן</v>
          </cell>
          <cell r="I1716" t="str">
            <v>כן</v>
          </cell>
          <cell r="J1716" t="str">
            <v>כן</v>
          </cell>
          <cell r="K1716">
            <v>0</v>
          </cell>
          <cell r="L1716">
            <v>35</v>
          </cell>
        </row>
        <row r="1717">
          <cell r="D1717">
            <v>214049</v>
          </cell>
          <cell r="E1717" t="str">
            <v>בעלות</v>
          </cell>
          <cell r="F1717" t="str">
            <v>בת מלך</v>
          </cell>
          <cell r="G1717" t="str">
            <v>יסודי בלבד</v>
          </cell>
          <cell r="H1717" t="str">
            <v>כן</v>
          </cell>
          <cell r="I1717" t="str">
            <v>כן</v>
          </cell>
          <cell r="J1717" t="str">
            <v>כן</v>
          </cell>
          <cell r="K1717">
            <v>135</v>
          </cell>
          <cell r="L1717">
            <v>98</v>
          </cell>
        </row>
        <row r="1718">
          <cell r="D1718">
            <v>618645</v>
          </cell>
          <cell r="E1718" t="str">
            <v>רשות</v>
          </cell>
          <cell r="F1718" t="str">
            <v>אלמוסתקבל</v>
          </cell>
          <cell r="G1718" t="str">
            <v>יסודי בלבד</v>
          </cell>
          <cell r="H1718" t="str">
            <v>כן</v>
          </cell>
          <cell r="I1718" t="str">
            <v>כן</v>
          </cell>
          <cell r="J1718" t="str">
            <v>לא</v>
          </cell>
          <cell r="K1718">
            <v>167</v>
          </cell>
          <cell r="L1718">
            <v>92</v>
          </cell>
        </row>
        <row r="1719">
          <cell r="D1719">
            <v>111641</v>
          </cell>
          <cell r="E1719" t="str">
            <v/>
          </cell>
          <cell r="F1719" t="str">
            <v>ב"י הצפון</v>
          </cell>
          <cell r="G1719" t="str">
            <v>יסודי בלבד</v>
          </cell>
          <cell r="H1719" t="str">
            <v>כן</v>
          </cell>
          <cell r="I1719" t="str">
            <v>כן</v>
          </cell>
          <cell r="J1719" t="str">
            <v>כן</v>
          </cell>
          <cell r="K1719">
            <v>443</v>
          </cell>
          <cell r="L1719">
            <v>88</v>
          </cell>
        </row>
        <row r="1720">
          <cell r="D1720">
            <v>115592</v>
          </cell>
          <cell r="E1720" t="str">
            <v>רשות</v>
          </cell>
          <cell r="F1720" t="str">
            <v>נועם בנות פסגת זאב</v>
          </cell>
          <cell r="G1720" t="str">
            <v>יסודי בלבד</v>
          </cell>
          <cell r="H1720" t="str">
            <v>כן</v>
          </cell>
          <cell r="I1720" t="str">
            <v>כן</v>
          </cell>
          <cell r="J1720" t="str">
            <v>כן</v>
          </cell>
          <cell r="K1720">
            <v>148</v>
          </cell>
          <cell r="L1720">
            <v>144</v>
          </cell>
        </row>
        <row r="1721">
          <cell r="D1721">
            <v>618678</v>
          </cell>
          <cell r="E1721" t="str">
            <v>רשות</v>
          </cell>
          <cell r="F1721" t="str">
            <v>אלאמל</v>
          </cell>
          <cell r="G1721" t="str">
            <v>יסודי בלבד</v>
          </cell>
          <cell r="H1721" t="str">
            <v>כן</v>
          </cell>
          <cell r="I1721" t="str">
            <v>כן</v>
          </cell>
          <cell r="J1721" t="str">
            <v>לא</v>
          </cell>
          <cell r="K1721">
            <v>196</v>
          </cell>
          <cell r="L1721">
            <v>120</v>
          </cell>
        </row>
        <row r="1722">
          <cell r="D1722">
            <v>112003</v>
          </cell>
          <cell r="E1722" t="str">
            <v/>
          </cell>
          <cell r="F1722" t="str">
            <v>נועם בנים ק.משה</v>
          </cell>
          <cell r="G1722" t="str">
            <v>יסודי בלבד</v>
          </cell>
          <cell r="H1722" t="str">
            <v>כן</v>
          </cell>
          <cell r="I1722" t="str">
            <v>כן</v>
          </cell>
          <cell r="J1722" t="str">
            <v>כן</v>
          </cell>
          <cell r="K1722">
            <v>76</v>
          </cell>
          <cell r="L1722">
            <v>43</v>
          </cell>
        </row>
        <row r="1723">
          <cell r="D1723">
            <v>618074</v>
          </cell>
          <cell r="E1723" t="str">
            <v>רשות</v>
          </cell>
          <cell r="F1723" t="str">
            <v>אלמג'ד</v>
          </cell>
          <cell r="G1723" t="str">
            <v>יסודי בלבד</v>
          </cell>
          <cell r="H1723" t="str">
            <v>כן</v>
          </cell>
          <cell r="I1723" t="str">
            <v>כן</v>
          </cell>
          <cell r="J1723" t="str">
            <v>לא</v>
          </cell>
          <cell r="K1723">
            <v>221</v>
          </cell>
          <cell r="L1723">
            <v>80</v>
          </cell>
        </row>
        <row r="1724">
          <cell r="D1724">
            <v>618157</v>
          </cell>
          <cell r="E1724" t="str">
            <v>רשות</v>
          </cell>
          <cell r="F1724" t="str">
            <v>אל אנדלוס</v>
          </cell>
          <cell r="G1724" t="str">
            <v>יסודי בלבד</v>
          </cell>
          <cell r="H1724" t="str">
            <v>כן</v>
          </cell>
          <cell r="I1724" t="str">
            <v>כן</v>
          </cell>
          <cell r="J1724" t="str">
            <v>לא</v>
          </cell>
          <cell r="K1724">
            <v>215</v>
          </cell>
          <cell r="L1724">
            <v>80</v>
          </cell>
        </row>
        <row r="1725">
          <cell r="D1725">
            <v>218677</v>
          </cell>
          <cell r="E1725" t="str">
            <v/>
          </cell>
          <cell r="F1725" t="str">
            <v>מאי זיאדה -אלשיכון</v>
          </cell>
          <cell r="G1725" t="str">
            <v>יסודי בלבד</v>
          </cell>
          <cell r="H1725" t="str">
            <v>כן</v>
          </cell>
          <cell r="I1725" t="str">
            <v>כן</v>
          </cell>
          <cell r="J1725" t="str">
            <v>כן</v>
          </cell>
          <cell r="K1725">
            <v>120</v>
          </cell>
          <cell r="L1725">
            <v>75</v>
          </cell>
        </row>
        <row r="1726">
          <cell r="D1726">
            <v>241034</v>
          </cell>
          <cell r="E1726" t="str">
            <v>רשות</v>
          </cell>
          <cell r="F1726" t="str">
            <v>אלונים</v>
          </cell>
          <cell r="G1726" t="str">
            <v>יסודי בלבד</v>
          </cell>
          <cell r="H1726" t="str">
            <v>כן</v>
          </cell>
          <cell r="I1726" t="str">
            <v>כן</v>
          </cell>
          <cell r="J1726" t="str">
            <v>לא</v>
          </cell>
          <cell r="K1726">
            <v>94</v>
          </cell>
          <cell r="L1726">
            <v>63</v>
          </cell>
        </row>
        <row r="1727">
          <cell r="D1727">
            <v>610105</v>
          </cell>
          <cell r="E1727" t="str">
            <v>בעלות</v>
          </cell>
          <cell r="F1727" t="str">
            <v>אמת ואמונה חניכי הישיבות</v>
          </cell>
          <cell r="G1727" t="str">
            <v>יסודי בלבד</v>
          </cell>
          <cell r="H1727" t="str">
            <v>כן</v>
          </cell>
          <cell r="I1727" t="str">
            <v>כן</v>
          </cell>
          <cell r="J1727" t="str">
            <v>כן</v>
          </cell>
          <cell r="K1727">
            <v>88</v>
          </cell>
          <cell r="L1727">
            <v>85</v>
          </cell>
        </row>
        <row r="1728">
          <cell r="D1728">
            <v>616185</v>
          </cell>
          <cell r="E1728" t="str">
            <v>רשות</v>
          </cell>
          <cell r="F1728" t="str">
            <v>מעיין חיים</v>
          </cell>
          <cell r="G1728" t="str">
            <v>יסודי בלבד</v>
          </cell>
          <cell r="H1728" t="str">
            <v>כן</v>
          </cell>
          <cell r="I1728" t="str">
            <v>כן</v>
          </cell>
          <cell r="J1728" t="str">
            <v>כן</v>
          </cell>
          <cell r="K1728">
            <v>103</v>
          </cell>
          <cell r="L1728">
            <v>42</v>
          </cell>
        </row>
        <row r="1729">
          <cell r="D1729">
            <v>430884</v>
          </cell>
          <cell r="E1729" t="str">
            <v/>
          </cell>
          <cell r="F1729" t="str">
            <v>חורב</v>
          </cell>
          <cell r="G1729" t="str">
            <v>יסודי בלבד</v>
          </cell>
          <cell r="H1729" t="str">
            <v>כן</v>
          </cell>
          <cell r="I1729" t="str">
            <v>כן</v>
          </cell>
          <cell r="J1729" t="str">
            <v>כן</v>
          </cell>
          <cell r="K1729">
            <v>178</v>
          </cell>
          <cell r="L1729">
            <v>128</v>
          </cell>
        </row>
        <row r="1730">
          <cell r="D1730">
            <v>361527</v>
          </cell>
          <cell r="E1730" t="str">
            <v>בעלות</v>
          </cell>
          <cell r="F1730" t="str">
            <v>תולדות ניסים</v>
          </cell>
          <cell r="G1730" t="str">
            <v>יסודי בלבד</v>
          </cell>
          <cell r="H1730" t="str">
            <v>כן</v>
          </cell>
          <cell r="I1730" t="str">
            <v>כן</v>
          </cell>
          <cell r="J1730" t="str">
            <v>כן</v>
          </cell>
          <cell r="K1730">
            <v>33</v>
          </cell>
          <cell r="L1730">
            <v>33</v>
          </cell>
        </row>
        <row r="1731">
          <cell r="D1731">
            <v>219097</v>
          </cell>
          <cell r="E1731" t="str">
            <v/>
          </cell>
          <cell r="F1731" t="str">
            <v>אלקלעה - קשלה ב'</v>
          </cell>
          <cell r="G1731" t="str">
            <v>יסודי בלבד</v>
          </cell>
          <cell r="H1731" t="str">
            <v>כן</v>
          </cell>
          <cell r="I1731" t="str">
            <v>כן</v>
          </cell>
          <cell r="J1731" t="str">
            <v>לא</v>
          </cell>
          <cell r="K1731">
            <v>194</v>
          </cell>
          <cell r="L1731">
            <v>72</v>
          </cell>
        </row>
        <row r="1732">
          <cell r="D1732">
            <v>617043</v>
          </cell>
          <cell r="E1732" t="str">
            <v>רשות</v>
          </cell>
          <cell r="F1732" t="str">
            <v>כנפי רוח</v>
          </cell>
          <cell r="G1732" t="str">
            <v>יסודי בלבד</v>
          </cell>
          <cell r="H1732" t="str">
            <v>כן</v>
          </cell>
          <cell r="I1732" t="str">
            <v>כן</v>
          </cell>
          <cell r="J1732" t="str">
            <v>כן</v>
          </cell>
          <cell r="K1732">
            <v>64</v>
          </cell>
          <cell r="L1732">
            <v>27</v>
          </cell>
        </row>
        <row r="1733">
          <cell r="D1733">
            <v>413690</v>
          </cell>
          <cell r="E1733" t="str">
            <v/>
          </cell>
          <cell r="F1733" t="str">
            <v>כרמים</v>
          </cell>
          <cell r="G1733" t="str">
            <v>יסודי בלבד</v>
          </cell>
          <cell r="H1733" t="str">
            <v>כן</v>
          </cell>
          <cell r="I1733" t="str">
            <v>כן</v>
          </cell>
          <cell r="J1733" t="str">
            <v>כן</v>
          </cell>
          <cell r="K1733">
            <v>272</v>
          </cell>
          <cell r="L1733">
            <v>160</v>
          </cell>
        </row>
        <row r="1734">
          <cell r="D1734">
            <v>310391</v>
          </cell>
          <cell r="E1734" t="str">
            <v/>
          </cell>
          <cell r="F1734" t="str">
            <v>ארלוזורוב</v>
          </cell>
          <cell r="G1734" t="str">
            <v>יסודי בלבד</v>
          </cell>
          <cell r="H1734" t="str">
            <v>לא</v>
          </cell>
          <cell r="I1734" t="str">
            <v>לא</v>
          </cell>
          <cell r="J1734" t="str">
            <v>לא</v>
          </cell>
          <cell r="K1734">
            <v>0</v>
          </cell>
          <cell r="L1734">
            <v>0</v>
          </cell>
        </row>
        <row r="1735">
          <cell r="D1735">
            <v>658948</v>
          </cell>
          <cell r="E1735" t="str">
            <v>רשות</v>
          </cell>
          <cell r="F1735" t="str">
            <v>ארץ מולדת</v>
          </cell>
          <cell r="G1735" t="str">
            <v>יסודי בלבד</v>
          </cell>
          <cell r="H1735" t="str">
            <v>כן</v>
          </cell>
          <cell r="I1735" t="str">
            <v>כן</v>
          </cell>
          <cell r="J1735" t="str">
            <v>כן</v>
          </cell>
          <cell r="K1735">
            <v>185</v>
          </cell>
          <cell r="L1735">
            <v>94</v>
          </cell>
        </row>
        <row r="1736">
          <cell r="D1736">
            <v>618843</v>
          </cell>
          <cell r="E1736" t="str">
            <v>רשות</v>
          </cell>
          <cell r="F1736" t="str">
            <v>אלמעראג ע"ש שיח' פראג</v>
          </cell>
          <cell r="G1736" t="str">
            <v>יסודי בלבד</v>
          </cell>
          <cell r="H1736" t="str">
            <v>כן</v>
          </cell>
          <cell r="I1736" t="str">
            <v>כן</v>
          </cell>
          <cell r="J1736" t="str">
            <v>כן</v>
          </cell>
          <cell r="K1736">
            <v>313</v>
          </cell>
          <cell r="L1736">
            <v>210</v>
          </cell>
        </row>
        <row r="1737">
          <cell r="D1737">
            <v>310227</v>
          </cell>
          <cell r="E1737" t="str">
            <v>רשות</v>
          </cell>
          <cell r="F1737" t="str">
            <v>אחד העם</v>
          </cell>
          <cell r="G1737" t="str">
            <v>יסודי בלבד</v>
          </cell>
          <cell r="H1737" t="str">
            <v>כן</v>
          </cell>
          <cell r="I1737" t="str">
            <v>כן</v>
          </cell>
          <cell r="J1737" t="str">
            <v>לא</v>
          </cell>
          <cell r="K1737">
            <v>119</v>
          </cell>
          <cell r="L1737">
            <v>67</v>
          </cell>
        </row>
        <row r="1738">
          <cell r="D1738">
            <v>134700</v>
          </cell>
          <cell r="E1738" t="str">
            <v>בעלות</v>
          </cell>
          <cell r="F1738" t="str">
            <v>ת"ת אור חדש הר-נוף</v>
          </cell>
          <cell r="G1738" t="str">
            <v>יסודי בלבד</v>
          </cell>
          <cell r="H1738" t="str">
            <v>כן</v>
          </cell>
          <cell r="I1738" t="str">
            <v>כן</v>
          </cell>
          <cell r="J1738" t="str">
            <v>כן</v>
          </cell>
          <cell r="K1738">
            <v>73</v>
          </cell>
          <cell r="L1738">
            <v>73</v>
          </cell>
        </row>
        <row r="1739">
          <cell r="D1739">
            <v>111393</v>
          </cell>
          <cell r="E1739" t="str">
            <v>רשות</v>
          </cell>
          <cell r="F1739" t="str">
            <v>נועם בנות ק.משה</v>
          </cell>
          <cell r="G1739" t="str">
            <v>יסודי בלבד</v>
          </cell>
          <cell r="H1739" t="str">
            <v>כן</v>
          </cell>
          <cell r="I1739" t="str">
            <v>כן</v>
          </cell>
          <cell r="J1739" t="str">
            <v>כן</v>
          </cell>
          <cell r="K1739">
            <v>165</v>
          </cell>
          <cell r="L1739">
            <v>111</v>
          </cell>
        </row>
        <row r="1740">
          <cell r="D1740">
            <v>618751</v>
          </cell>
          <cell r="E1740" t="str">
            <v>רשות</v>
          </cell>
          <cell r="F1740" t="str">
            <v>אלזהרא</v>
          </cell>
          <cell r="G1740" t="str">
            <v>יסודי בלבד</v>
          </cell>
          <cell r="H1740" t="str">
            <v>כן</v>
          </cell>
          <cell r="I1740" t="str">
            <v>כן</v>
          </cell>
          <cell r="J1740" t="str">
            <v>כן</v>
          </cell>
          <cell r="K1740">
            <v>234</v>
          </cell>
          <cell r="L1740">
            <v>234</v>
          </cell>
        </row>
        <row r="1741">
          <cell r="D1741">
            <v>112391</v>
          </cell>
          <cell r="E1741" t="str">
            <v>רשות</v>
          </cell>
          <cell r="F1741" t="str">
            <v>הר נוף ממ"ד בנים</v>
          </cell>
          <cell r="G1741" t="str">
            <v>יסודי בלבד</v>
          </cell>
          <cell r="H1741" t="str">
            <v>כן</v>
          </cell>
          <cell r="I1741" t="str">
            <v>כן</v>
          </cell>
          <cell r="J1741" t="str">
            <v>כן</v>
          </cell>
          <cell r="K1741">
            <v>135</v>
          </cell>
          <cell r="L1741">
            <v>49</v>
          </cell>
        </row>
        <row r="1742">
          <cell r="D1742">
            <v>514612</v>
          </cell>
          <cell r="E1742" t="str">
            <v/>
          </cell>
          <cell r="F1742" t="str">
            <v>ת"ת וב"י הרמב"ם</v>
          </cell>
          <cell r="G1742" t="str">
            <v>יסודי בלבד</v>
          </cell>
          <cell r="H1742" t="str">
            <v>כן</v>
          </cell>
          <cell r="I1742" t="str">
            <v>כן</v>
          </cell>
          <cell r="J1742" t="str">
            <v>כן</v>
          </cell>
          <cell r="K1742">
            <v>101</v>
          </cell>
          <cell r="L1742">
            <v>92</v>
          </cell>
        </row>
        <row r="1743">
          <cell r="D1743">
            <v>413336</v>
          </cell>
          <cell r="E1743" t="str">
            <v>רשות</v>
          </cell>
          <cell r="F1743" t="str">
            <v>נגבה</v>
          </cell>
          <cell r="G1743" t="str">
            <v>יסודי בלבד</v>
          </cell>
          <cell r="H1743" t="str">
            <v>כן</v>
          </cell>
          <cell r="I1743" t="str">
            <v>כן</v>
          </cell>
          <cell r="J1743" t="str">
            <v>כן</v>
          </cell>
          <cell r="K1743">
            <v>214</v>
          </cell>
          <cell r="L1743">
            <v>118</v>
          </cell>
        </row>
        <row r="1744">
          <cell r="D1744">
            <v>618520</v>
          </cell>
          <cell r="E1744" t="str">
            <v>רשות</v>
          </cell>
          <cell r="F1744" t="str">
            <v>אלביאדר</v>
          </cell>
          <cell r="G1744" t="str">
            <v>יסודי בלבד</v>
          </cell>
          <cell r="H1744" t="str">
            <v>כן</v>
          </cell>
          <cell r="I1744" t="str">
            <v>כן</v>
          </cell>
          <cell r="J1744" t="str">
            <v>כן</v>
          </cell>
          <cell r="K1744">
            <v>237</v>
          </cell>
          <cell r="L1744">
            <v>122</v>
          </cell>
        </row>
        <row r="1745">
          <cell r="D1745">
            <v>618637</v>
          </cell>
          <cell r="E1745" t="str">
            <v>רשות</v>
          </cell>
          <cell r="F1745" t="str">
            <v>תרבין-יסודי</v>
          </cell>
          <cell r="G1745" t="str">
            <v>יסודי בלבד</v>
          </cell>
          <cell r="H1745" t="str">
            <v>כן</v>
          </cell>
          <cell r="I1745" t="str">
            <v>כן</v>
          </cell>
          <cell r="J1745" t="str">
            <v>כן</v>
          </cell>
          <cell r="K1745">
            <v>217</v>
          </cell>
          <cell r="L1745">
            <v>217</v>
          </cell>
        </row>
        <row r="1746">
          <cell r="D1746">
            <v>613778</v>
          </cell>
          <cell r="E1746" t="str">
            <v>בעלות</v>
          </cell>
          <cell r="F1746" t="str">
            <v>אמת ושלום</v>
          </cell>
          <cell r="G1746" t="str">
            <v>יסודי בלבד</v>
          </cell>
          <cell r="H1746" t="str">
            <v>כן</v>
          </cell>
          <cell r="I1746" t="str">
            <v>כן</v>
          </cell>
          <cell r="J1746" t="str">
            <v>כן</v>
          </cell>
          <cell r="K1746">
            <v>96</v>
          </cell>
          <cell r="L1746">
            <v>52</v>
          </cell>
        </row>
        <row r="1747">
          <cell r="D1747">
            <v>413849</v>
          </cell>
          <cell r="E1747" t="str">
            <v/>
          </cell>
          <cell r="F1747" t="str">
            <v>ממ"ד משואה</v>
          </cell>
          <cell r="G1747" t="str">
            <v>יסודי בלבד</v>
          </cell>
          <cell r="H1747" t="str">
            <v>כן</v>
          </cell>
          <cell r="I1747" t="str">
            <v>כן</v>
          </cell>
          <cell r="J1747" t="str">
            <v>כן</v>
          </cell>
          <cell r="K1747">
            <v>159</v>
          </cell>
          <cell r="L1747">
            <v>43</v>
          </cell>
        </row>
        <row r="1748">
          <cell r="D1748">
            <v>384420</v>
          </cell>
          <cell r="E1748" t="str">
            <v>רשות</v>
          </cell>
          <cell r="F1748" t="str">
            <v>כנפי נשרים</v>
          </cell>
          <cell r="G1748" t="str">
            <v>יסודי בלבד</v>
          </cell>
          <cell r="H1748" t="str">
            <v>כן</v>
          </cell>
          <cell r="I1748" t="str">
            <v>כן</v>
          </cell>
          <cell r="J1748" t="str">
            <v>כן</v>
          </cell>
          <cell r="K1748">
            <v>36</v>
          </cell>
          <cell r="L1748">
            <v>36</v>
          </cell>
        </row>
        <row r="1749">
          <cell r="D1749">
            <v>219618</v>
          </cell>
          <cell r="E1749" t="str">
            <v/>
          </cell>
          <cell r="F1749" t="str">
            <v>מגאר ד ראס אלחבייה</v>
          </cell>
          <cell r="G1749" t="str">
            <v>יסודי בלבד</v>
          </cell>
          <cell r="H1749" t="str">
            <v>כן</v>
          </cell>
          <cell r="I1749" t="str">
            <v>כן</v>
          </cell>
          <cell r="J1749" t="str">
            <v>כן</v>
          </cell>
          <cell r="K1749">
            <v>203</v>
          </cell>
          <cell r="L1749">
            <v>203</v>
          </cell>
        </row>
        <row r="1750">
          <cell r="D1750">
            <v>618389</v>
          </cell>
          <cell r="E1750" t="str">
            <v>רשות</v>
          </cell>
          <cell r="F1750" t="str">
            <v>אלעהד</v>
          </cell>
          <cell r="G1750" t="str">
            <v>יסודי בלבד</v>
          </cell>
          <cell r="H1750" t="str">
            <v>כן</v>
          </cell>
          <cell r="I1750" t="str">
            <v>כן</v>
          </cell>
          <cell r="J1750" t="str">
            <v>כן</v>
          </cell>
          <cell r="K1750">
            <v>336</v>
          </cell>
          <cell r="L1750">
            <v>240</v>
          </cell>
        </row>
        <row r="1751">
          <cell r="D1751">
            <v>114348</v>
          </cell>
          <cell r="E1751" t="str">
            <v>בעלות</v>
          </cell>
          <cell r="F1751" t="str">
            <v>ב"י מנוחה ונחלה</v>
          </cell>
          <cell r="G1751" t="str">
            <v>יסודי בלבד</v>
          </cell>
          <cell r="H1751" t="str">
            <v>כן</v>
          </cell>
          <cell r="I1751" t="str">
            <v>כן</v>
          </cell>
          <cell r="J1751" t="str">
            <v>כן</v>
          </cell>
          <cell r="K1751">
            <v>408</v>
          </cell>
          <cell r="L1751">
            <v>160</v>
          </cell>
        </row>
        <row r="1752">
          <cell r="D1752">
            <v>410670</v>
          </cell>
          <cell r="E1752" t="str">
            <v/>
          </cell>
          <cell r="F1752" t="str">
            <v>בנות ויזניץ-מודיעין</v>
          </cell>
          <cell r="G1752" t="str">
            <v>יסודי בלבד</v>
          </cell>
          <cell r="H1752" t="str">
            <v>כן</v>
          </cell>
          <cell r="I1752" t="str">
            <v>כן</v>
          </cell>
          <cell r="J1752" t="str">
            <v>לא</v>
          </cell>
          <cell r="K1752">
            <v>114</v>
          </cell>
          <cell r="L1752">
            <v>114</v>
          </cell>
        </row>
        <row r="1753">
          <cell r="D1753">
            <v>656991</v>
          </cell>
          <cell r="E1753" t="str">
            <v>בעלות</v>
          </cell>
          <cell r="F1753" t="str">
            <v>ת"ת עוד יוסף חי</v>
          </cell>
          <cell r="G1753" t="str">
            <v>יסודי בלבד</v>
          </cell>
          <cell r="H1753" t="str">
            <v>כן</v>
          </cell>
          <cell r="I1753" t="str">
            <v>כן</v>
          </cell>
          <cell r="J1753" t="str">
            <v>כן</v>
          </cell>
          <cell r="K1753">
            <v>63</v>
          </cell>
          <cell r="L1753">
            <v>64</v>
          </cell>
        </row>
        <row r="1754">
          <cell r="D1754">
            <v>218602</v>
          </cell>
          <cell r="E1754" t="str">
            <v/>
          </cell>
          <cell r="F1754" t="str">
            <v>גובראן חליל גובראן</v>
          </cell>
          <cell r="G1754" t="str">
            <v>יסודי בלבד</v>
          </cell>
          <cell r="H1754" t="str">
            <v>כן</v>
          </cell>
          <cell r="I1754" t="str">
            <v>כן</v>
          </cell>
          <cell r="J1754" t="str">
            <v>כן</v>
          </cell>
          <cell r="K1754">
            <v>117</v>
          </cell>
          <cell r="L1754">
            <v>78</v>
          </cell>
        </row>
        <row r="1755">
          <cell r="D1755">
            <v>611301</v>
          </cell>
          <cell r="E1755" t="str">
            <v>בעלות</v>
          </cell>
          <cell r="F1755" t="str">
            <v>ת"ת ובי' חזון יחזקאל</v>
          </cell>
          <cell r="G1755" t="str">
            <v>יסודי בלבד</v>
          </cell>
          <cell r="H1755" t="str">
            <v>כן</v>
          </cell>
          <cell r="I1755" t="str">
            <v>כן</v>
          </cell>
          <cell r="J1755" t="str">
            <v>כן</v>
          </cell>
          <cell r="K1755">
            <v>99</v>
          </cell>
          <cell r="L1755">
            <v>42</v>
          </cell>
        </row>
        <row r="1756">
          <cell r="D1756">
            <v>214270</v>
          </cell>
          <cell r="E1756" t="str">
            <v/>
          </cell>
          <cell r="F1756" t="str">
            <v>ב"י בת מלך</v>
          </cell>
          <cell r="G1756" t="str">
            <v>יסודי בלבד</v>
          </cell>
          <cell r="H1756" t="str">
            <v>כן</v>
          </cell>
          <cell r="I1756" t="str">
            <v>כן</v>
          </cell>
          <cell r="J1756" t="str">
            <v>לא</v>
          </cell>
          <cell r="K1756">
            <v>51</v>
          </cell>
          <cell r="L1756">
            <v>40</v>
          </cell>
        </row>
        <row r="1757">
          <cell r="D1757">
            <v>658591</v>
          </cell>
          <cell r="E1757" t="str">
            <v>בעלות</v>
          </cell>
          <cell r="F1757" t="str">
            <v>בית יעקב רמה ד'</v>
          </cell>
          <cell r="G1757" t="str">
            <v>יסודי בלבד</v>
          </cell>
          <cell r="H1757" t="str">
            <v>כן</v>
          </cell>
          <cell r="I1757" t="str">
            <v>כן</v>
          </cell>
          <cell r="J1757" t="str">
            <v>כן</v>
          </cell>
          <cell r="K1757">
            <v>424</v>
          </cell>
          <cell r="L1757">
            <v>196</v>
          </cell>
        </row>
        <row r="1758">
          <cell r="D1758">
            <v>131060</v>
          </cell>
          <cell r="E1758" t="str">
            <v/>
          </cell>
          <cell r="F1758" t="str">
            <v>ב"י חסידי רמות</v>
          </cell>
          <cell r="G1758" t="str">
            <v>יסודי בלבד</v>
          </cell>
          <cell r="H1758" t="str">
            <v>כן</v>
          </cell>
          <cell r="I1758" t="str">
            <v>כן</v>
          </cell>
          <cell r="J1758" t="str">
            <v>כן</v>
          </cell>
          <cell r="K1758">
            <v>72</v>
          </cell>
          <cell r="L1758">
            <v>59</v>
          </cell>
        </row>
        <row r="1759">
          <cell r="D1759">
            <v>669721</v>
          </cell>
          <cell r="E1759" t="str">
            <v>בעלות</v>
          </cell>
          <cell r="F1759" t="str">
            <v>הם חיינו</v>
          </cell>
          <cell r="G1759" t="str">
            <v>יסודי בלבד</v>
          </cell>
          <cell r="H1759" t="str">
            <v>כן</v>
          </cell>
          <cell r="I1759" t="str">
            <v>כן</v>
          </cell>
          <cell r="J1759" t="str">
            <v>כן</v>
          </cell>
          <cell r="K1759">
            <v>55</v>
          </cell>
          <cell r="L1759">
            <v>55</v>
          </cell>
        </row>
        <row r="1760">
          <cell r="D1760">
            <v>413062</v>
          </cell>
          <cell r="E1760" t="str">
            <v>רשות</v>
          </cell>
          <cell r="F1760" t="str">
            <v>שרת</v>
          </cell>
          <cell r="G1760" t="str">
            <v>יסודי בלבד</v>
          </cell>
          <cell r="H1760" t="str">
            <v>כן</v>
          </cell>
          <cell r="I1760" t="str">
            <v>כן</v>
          </cell>
          <cell r="J1760" t="str">
            <v>כן</v>
          </cell>
          <cell r="K1760">
            <v>135</v>
          </cell>
          <cell r="L1760">
            <v>55</v>
          </cell>
        </row>
        <row r="1761">
          <cell r="D1761">
            <v>213561</v>
          </cell>
          <cell r="E1761" t="str">
            <v>רשות</v>
          </cell>
          <cell r="F1761" t="str">
            <v>אור-מנחם חב"ד בנים</v>
          </cell>
          <cell r="G1761" t="str">
            <v>יסודי בלבד</v>
          </cell>
          <cell r="H1761" t="str">
            <v>כן</v>
          </cell>
          <cell r="I1761" t="str">
            <v>כן</v>
          </cell>
          <cell r="J1761" t="str">
            <v>כן</v>
          </cell>
          <cell r="K1761">
            <v>262</v>
          </cell>
          <cell r="L1761">
            <v>184</v>
          </cell>
        </row>
        <row r="1762">
          <cell r="D1762">
            <v>566851</v>
          </cell>
          <cell r="E1762" t="str">
            <v/>
          </cell>
          <cell r="F1762" t="str">
            <v>מורשה</v>
          </cell>
          <cell r="G1762" t="str">
            <v>יסודי בלבד</v>
          </cell>
          <cell r="H1762" t="str">
            <v>כן</v>
          </cell>
          <cell r="I1762" t="str">
            <v>כן</v>
          </cell>
          <cell r="J1762" t="str">
            <v>כן</v>
          </cell>
          <cell r="K1762">
            <v>332</v>
          </cell>
          <cell r="L1762">
            <v>270</v>
          </cell>
        </row>
        <row r="1763">
          <cell r="D1763">
            <v>510933</v>
          </cell>
          <cell r="E1763" t="str">
            <v>רשות</v>
          </cell>
          <cell r="F1763" t="str">
            <v>גולן</v>
          </cell>
          <cell r="G1763" t="str">
            <v>יסודי בלבד</v>
          </cell>
          <cell r="H1763" t="str">
            <v>כן</v>
          </cell>
          <cell r="I1763" t="str">
            <v>כן</v>
          </cell>
          <cell r="J1763" t="str">
            <v>כן</v>
          </cell>
          <cell r="K1763">
            <v>168</v>
          </cell>
          <cell r="L1763">
            <v>34</v>
          </cell>
        </row>
        <row r="1764">
          <cell r="D1764">
            <v>213405</v>
          </cell>
          <cell r="E1764" t="str">
            <v>רשות</v>
          </cell>
          <cell r="F1764" t="str">
            <v>ז.שזר-עכו</v>
          </cell>
          <cell r="G1764" t="str">
            <v>יסודי בלבד</v>
          </cell>
          <cell r="H1764" t="str">
            <v>כן</v>
          </cell>
          <cell r="I1764" t="str">
            <v>כן</v>
          </cell>
          <cell r="J1764" t="str">
            <v>כן</v>
          </cell>
          <cell r="K1764">
            <v>236</v>
          </cell>
          <cell r="L1764">
            <v>106</v>
          </cell>
        </row>
        <row r="1765">
          <cell r="D1765">
            <v>312702</v>
          </cell>
          <cell r="E1765" t="str">
            <v>רשות</v>
          </cell>
          <cell r="F1765" t="str">
            <v>ירושלים</v>
          </cell>
          <cell r="G1765" t="str">
            <v>יסודי בלבד</v>
          </cell>
          <cell r="H1765" t="str">
            <v>כן</v>
          </cell>
          <cell r="I1765" t="str">
            <v>כן</v>
          </cell>
          <cell r="J1765" t="str">
            <v>כן</v>
          </cell>
          <cell r="K1765">
            <v>261</v>
          </cell>
          <cell r="L1765">
            <v>135</v>
          </cell>
        </row>
        <row r="1766">
          <cell r="D1766">
            <v>310896</v>
          </cell>
          <cell r="E1766" t="str">
            <v>רשות</v>
          </cell>
          <cell r="F1766" t="str">
            <v>יגאל אלון</v>
          </cell>
          <cell r="G1766" t="str">
            <v>יסודי בלבד</v>
          </cell>
          <cell r="H1766" t="str">
            <v>כן</v>
          </cell>
          <cell r="I1766" t="str">
            <v>כן</v>
          </cell>
          <cell r="J1766" t="str">
            <v>כן</v>
          </cell>
          <cell r="K1766">
            <v>155</v>
          </cell>
          <cell r="L1766">
            <v>98</v>
          </cell>
        </row>
        <row r="1767">
          <cell r="D1767">
            <v>611533</v>
          </cell>
          <cell r="E1767" t="str">
            <v/>
          </cell>
          <cell r="F1767" t="str">
            <v>בית יעקב החדש אשדוד</v>
          </cell>
          <cell r="G1767" t="str">
            <v>יסודי בלבד</v>
          </cell>
          <cell r="H1767" t="str">
            <v>כן</v>
          </cell>
          <cell r="I1767" t="str">
            <v>כן</v>
          </cell>
          <cell r="J1767" t="str">
            <v>כן</v>
          </cell>
          <cell r="K1767">
            <v>114</v>
          </cell>
          <cell r="L1767">
            <v>98</v>
          </cell>
        </row>
        <row r="1768">
          <cell r="D1768">
            <v>514109</v>
          </cell>
          <cell r="E1768" t="str">
            <v>בעלות</v>
          </cell>
          <cell r="F1768" t="str">
            <v>ת"ת אור דוד</v>
          </cell>
          <cell r="G1768" t="str">
            <v>יסודי בלבד</v>
          </cell>
          <cell r="H1768" t="str">
            <v>כן</v>
          </cell>
          <cell r="I1768" t="str">
            <v>כן</v>
          </cell>
          <cell r="J1768" t="str">
            <v>כן</v>
          </cell>
          <cell r="K1768">
            <v>184</v>
          </cell>
          <cell r="L1768">
            <v>185</v>
          </cell>
        </row>
        <row r="1769">
          <cell r="D1769">
            <v>219055</v>
          </cell>
          <cell r="E1769" t="str">
            <v/>
          </cell>
          <cell r="F1769" t="str">
            <v>יסודי ד' 'אלשרק'</v>
          </cell>
          <cell r="G1769" t="str">
            <v>יסודי בלבד</v>
          </cell>
          <cell r="H1769" t="str">
            <v>כן</v>
          </cell>
          <cell r="I1769" t="str">
            <v>כן</v>
          </cell>
          <cell r="J1769" t="str">
            <v>כן</v>
          </cell>
          <cell r="K1769">
            <v>178</v>
          </cell>
          <cell r="L1769">
            <v>85</v>
          </cell>
        </row>
        <row r="1770">
          <cell r="D1770">
            <v>312371</v>
          </cell>
          <cell r="E1770" t="str">
            <v>רשות</v>
          </cell>
          <cell r="F1770" t="str">
            <v>בן גוריון</v>
          </cell>
          <cell r="G1770" t="str">
            <v>יסודי בלבד</v>
          </cell>
          <cell r="H1770" t="str">
            <v>כן</v>
          </cell>
          <cell r="I1770" t="str">
            <v>כן</v>
          </cell>
          <cell r="J1770" t="str">
            <v>כן</v>
          </cell>
          <cell r="K1770">
            <v>225</v>
          </cell>
          <cell r="L1770">
            <v>65</v>
          </cell>
        </row>
        <row r="1771">
          <cell r="D1771">
            <v>411439</v>
          </cell>
          <cell r="E1771" t="str">
            <v>רשות</v>
          </cell>
          <cell r="F1771" t="str">
            <v>אורות רש"י</v>
          </cell>
          <cell r="G1771" t="str">
            <v>יסודי בלבד</v>
          </cell>
          <cell r="H1771" t="str">
            <v>כן</v>
          </cell>
          <cell r="I1771" t="str">
            <v>כן</v>
          </cell>
          <cell r="J1771" t="str">
            <v>כן</v>
          </cell>
          <cell r="K1771">
            <v>221</v>
          </cell>
          <cell r="L1771">
            <v>96</v>
          </cell>
        </row>
        <row r="1772">
          <cell r="D1772">
            <v>673228</v>
          </cell>
          <cell r="E1772" t="str">
            <v>רשות</v>
          </cell>
          <cell r="F1772" t="str">
            <v>רמון למדעים-טק</v>
          </cell>
          <cell r="G1772" t="str">
            <v>יסודי בלבד</v>
          </cell>
          <cell r="H1772" t="str">
            <v>כן</v>
          </cell>
          <cell r="I1772" t="str">
            <v>כן</v>
          </cell>
          <cell r="J1772" t="str">
            <v>לא</v>
          </cell>
          <cell r="K1772">
            <v>53</v>
          </cell>
          <cell r="L1772">
            <v>21</v>
          </cell>
        </row>
        <row r="1773">
          <cell r="D1773">
            <v>413013</v>
          </cell>
          <cell r="E1773" t="str">
            <v>בעלות</v>
          </cell>
          <cell r="F1773" t="str">
            <v>עטרת חיים</v>
          </cell>
          <cell r="G1773" t="str">
            <v>יסודי בלבד</v>
          </cell>
          <cell r="H1773" t="str">
            <v>כן</v>
          </cell>
          <cell r="I1773" t="str">
            <v>כן</v>
          </cell>
          <cell r="J1773" t="str">
            <v>כן</v>
          </cell>
          <cell r="K1773">
            <v>102</v>
          </cell>
          <cell r="L1773">
            <v>99</v>
          </cell>
        </row>
        <row r="1774">
          <cell r="D1774">
            <v>384651</v>
          </cell>
          <cell r="E1774" t="str">
            <v>רשות</v>
          </cell>
          <cell r="F1774" t="str">
            <v>בצוותא ממ"ד</v>
          </cell>
          <cell r="G1774" t="str">
            <v>יסודי בלבד</v>
          </cell>
          <cell r="H1774" t="str">
            <v>כן</v>
          </cell>
          <cell r="I1774" t="str">
            <v>כן</v>
          </cell>
          <cell r="J1774" t="str">
            <v>כן</v>
          </cell>
          <cell r="K1774">
            <v>190</v>
          </cell>
          <cell r="L1774">
            <v>93</v>
          </cell>
        </row>
        <row r="1775">
          <cell r="D1775">
            <v>514968</v>
          </cell>
          <cell r="E1775" t="str">
            <v>רשות</v>
          </cell>
          <cell r="F1775" t="str">
            <v>אורות בנות</v>
          </cell>
          <cell r="G1775" t="str">
            <v>יסודי בלבד</v>
          </cell>
          <cell r="H1775" t="str">
            <v>כן</v>
          </cell>
          <cell r="I1775" t="str">
            <v>כן</v>
          </cell>
          <cell r="J1775" t="str">
            <v>כן</v>
          </cell>
          <cell r="K1775">
            <v>92</v>
          </cell>
          <cell r="L1775">
            <v>47</v>
          </cell>
        </row>
        <row r="1776">
          <cell r="D1776">
            <v>210468</v>
          </cell>
          <cell r="E1776" t="str">
            <v>רשות</v>
          </cell>
          <cell r="F1776" t="str">
            <v>אזורי חופי-הגליל</v>
          </cell>
          <cell r="G1776" t="str">
            <v>יסודי בלבד</v>
          </cell>
          <cell r="H1776" t="str">
            <v>כן</v>
          </cell>
          <cell r="I1776" t="str">
            <v>כן</v>
          </cell>
          <cell r="J1776" t="str">
            <v>כן</v>
          </cell>
          <cell r="K1776">
            <v>247</v>
          </cell>
          <cell r="L1776">
            <v>157</v>
          </cell>
        </row>
        <row r="1777">
          <cell r="D1777">
            <v>574293</v>
          </cell>
          <cell r="E1777" t="str">
            <v>רשות</v>
          </cell>
          <cell r="F1777" t="str">
            <v>צופיה</v>
          </cell>
          <cell r="G1777" t="str">
            <v>יסודי בלבד</v>
          </cell>
          <cell r="H1777" t="str">
            <v>כן</v>
          </cell>
          <cell r="I1777" t="str">
            <v>כן</v>
          </cell>
          <cell r="J1777" t="str">
            <v>כן</v>
          </cell>
          <cell r="K1777">
            <v>124</v>
          </cell>
          <cell r="L1777">
            <v>58</v>
          </cell>
        </row>
        <row r="1778">
          <cell r="D1778">
            <v>581413</v>
          </cell>
          <cell r="E1778" t="str">
            <v>רשות</v>
          </cell>
          <cell r="F1778" t="str">
            <v>יצחק שמיר</v>
          </cell>
          <cell r="G1778" t="str">
            <v>יסודי בלבד</v>
          </cell>
          <cell r="H1778" t="str">
            <v>כן</v>
          </cell>
          <cell r="I1778" t="str">
            <v>כן</v>
          </cell>
          <cell r="J1778" t="str">
            <v>לא</v>
          </cell>
          <cell r="K1778">
            <v>249</v>
          </cell>
          <cell r="L1778">
            <v>140</v>
          </cell>
        </row>
        <row r="1779">
          <cell r="D1779">
            <v>613331</v>
          </cell>
          <cell r="E1779" t="str">
            <v>בעלות</v>
          </cell>
          <cell r="F1779" t="str">
            <v>ת"ת אהל משה</v>
          </cell>
          <cell r="G1779" t="str">
            <v>יסודי בלבד</v>
          </cell>
          <cell r="H1779" t="str">
            <v>כן</v>
          </cell>
          <cell r="I1779" t="str">
            <v>כן</v>
          </cell>
          <cell r="J1779" t="str">
            <v>כן</v>
          </cell>
          <cell r="K1779">
            <v>158</v>
          </cell>
          <cell r="L1779">
            <v>90</v>
          </cell>
        </row>
        <row r="1780">
          <cell r="D1780">
            <v>412049</v>
          </cell>
          <cell r="E1780" t="str">
            <v>רשות</v>
          </cell>
          <cell r="F1780" t="str">
            <v>ממלכתי רעים</v>
          </cell>
          <cell r="G1780" t="str">
            <v>יסודי בלבד</v>
          </cell>
          <cell r="H1780" t="str">
            <v>כן</v>
          </cell>
          <cell r="I1780" t="str">
            <v>כן</v>
          </cell>
          <cell r="J1780" t="str">
            <v>לא</v>
          </cell>
          <cell r="K1780">
            <v>56</v>
          </cell>
          <cell r="L1780">
            <v>33</v>
          </cell>
        </row>
        <row r="1781">
          <cell r="D1781">
            <v>413435</v>
          </cell>
          <cell r="E1781" t="str">
            <v>רשות</v>
          </cell>
          <cell r="F1781" t="str">
            <v>שזר</v>
          </cell>
          <cell r="G1781" t="str">
            <v>יסודי בלבד</v>
          </cell>
          <cell r="H1781" t="str">
            <v>כן</v>
          </cell>
          <cell r="I1781" t="str">
            <v>כן</v>
          </cell>
          <cell r="J1781" t="str">
            <v>לא</v>
          </cell>
          <cell r="K1781">
            <v>180</v>
          </cell>
          <cell r="L1781">
            <v>65</v>
          </cell>
        </row>
        <row r="1782">
          <cell r="D1782">
            <v>310698</v>
          </cell>
          <cell r="E1782" t="str">
            <v>רשות</v>
          </cell>
          <cell r="F1782" t="str">
            <v>עין הים</v>
          </cell>
          <cell r="G1782" t="str">
            <v>יסודי בלבד</v>
          </cell>
          <cell r="H1782" t="str">
            <v>כן</v>
          </cell>
          <cell r="I1782" t="str">
            <v>כן</v>
          </cell>
          <cell r="J1782" t="str">
            <v>לא</v>
          </cell>
          <cell r="K1782">
            <v>103</v>
          </cell>
          <cell r="L1782">
            <v>36</v>
          </cell>
        </row>
        <row r="1783">
          <cell r="D1783">
            <v>267963</v>
          </cell>
          <cell r="E1783" t="str">
            <v>בעלות</v>
          </cell>
          <cell r="F1783" t="str">
            <v>בית יעקב משכנות דעת</v>
          </cell>
          <cell r="G1783" t="str">
            <v>יסודי בלבד</v>
          </cell>
          <cell r="H1783" t="str">
            <v>כן</v>
          </cell>
          <cell r="I1783" t="str">
            <v>כן</v>
          </cell>
          <cell r="J1783" t="str">
            <v>כן</v>
          </cell>
          <cell r="K1783">
            <v>277</v>
          </cell>
          <cell r="L1783">
            <v>247</v>
          </cell>
        </row>
        <row r="1784">
          <cell r="D1784">
            <v>384248</v>
          </cell>
          <cell r="E1784" t="str">
            <v>רשות</v>
          </cell>
          <cell r="F1784" t="str">
            <v>בראשית</v>
          </cell>
          <cell r="G1784" t="str">
            <v>יסודי בלבד</v>
          </cell>
          <cell r="H1784" t="str">
            <v>כן</v>
          </cell>
          <cell r="I1784" t="str">
            <v>כן</v>
          </cell>
          <cell r="J1784" t="str">
            <v>כן</v>
          </cell>
          <cell r="K1784">
            <v>149</v>
          </cell>
          <cell r="L1784">
            <v>66</v>
          </cell>
        </row>
        <row r="1785">
          <cell r="D1785">
            <v>218248</v>
          </cell>
          <cell r="E1785" t="str">
            <v>רשות</v>
          </cell>
          <cell r="F1785" t="str">
            <v>חורפיש א-סולטאן אלאט</v>
          </cell>
          <cell r="G1785" t="str">
            <v>יסודי בלבד</v>
          </cell>
          <cell r="H1785" t="str">
            <v>כן</v>
          </cell>
          <cell r="I1785" t="str">
            <v>כן</v>
          </cell>
          <cell r="J1785" t="str">
            <v>כן</v>
          </cell>
          <cell r="K1785">
            <v>186</v>
          </cell>
          <cell r="L1785">
            <v>60</v>
          </cell>
        </row>
        <row r="1786">
          <cell r="D1786">
            <v>734616</v>
          </cell>
          <cell r="E1786" t="str">
            <v>בעלות</v>
          </cell>
          <cell r="F1786" t="str">
            <v>חניכי הישיבות-אור חדש</v>
          </cell>
          <cell r="G1786" t="str">
            <v>יסודי בלבד</v>
          </cell>
          <cell r="H1786" t="str">
            <v>כן</v>
          </cell>
          <cell r="I1786" t="str">
            <v>כן</v>
          </cell>
          <cell r="J1786" t="str">
            <v>כן</v>
          </cell>
          <cell r="K1786">
            <v>69</v>
          </cell>
          <cell r="L1786">
            <v>69</v>
          </cell>
        </row>
        <row r="1787">
          <cell r="D1787">
            <v>415836</v>
          </cell>
          <cell r="E1787" t="str">
            <v>בעלות</v>
          </cell>
          <cell r="F1787" t="str">
            <v>אהבת ציון</v>
          </cell>
          <cell r="G1787" t="str">
            <v>יסודי בלבד</v>
          </cell>
          <cell r="H1787" t="str">
            <v>כן</v>
          </cell>
          <cell r="I1787" t="str">
            <v>כן</v>
          </cell>
          <cell r="J1787" t="str">
            <v>כן</v>
          </cell>
          <cell r="K1787">
            <v>117</v>
          </cell>
          <cell r="L1787">
            <v>94</v>
          </cell>
        </row>
        <row r="1788">
          <cell r="D1788">
            <v>132282</v>
          </cell>
          <cell r="E1788" t="str">
            <v>בעלות</v>
          </cell>
          <cell r="F1788" t="str">
            <v>ב"י עטרת שיח</v>
          </cell>
          <cell r="G1788" t="str">
            <v>יסודי בלבד</v>
          </cell>
          <cell r="H1788" t="str">
            <v>כן</v>
          </cell>
          <cell r="I1788" t="str">
            <v>כן</v>
          </cell>
          <cell r="J1788" t="str">
            <v>כן</v>
          </cell>
          <cell r="K1788">
            <v>265</v>
          </cell>
          <cell r="L1788">
            <v>66</v>
          </cell>
        </row>
        <row r="1789">
          <cell r="D1789">
            <v>411769</v>
          </cell>
          <cell r="E1789" t="str">
            <v>רשות</v>
          </cell>
          <cell r="F1789" t="str">
            <v>מ"ד מורשה</v>
          </cell>
          <cell r="G1789" t="str">
            <v>יסודי בלבד</v>
          </cell>
          <cell r="H1789" t="str">
            <v>כן</v>
          </cell>
          <cell r="I1789" t="str">
            <v>כן</v>
          </cell>
          <cell r="J1789" t="str">
            <v>כן</v>
          </cell>
          <cell r="K1789">
            <v>410</v>
          </cell>
          <cell r="L1789">
            <v>68</v>
          </cell>
        </row>
        <row r="1790">
          <cell r="D1790">
            <v>512848</v>
          </cell>
          <cell r="E1790" t="str">
            <v/>
          </cell>
          <cell r="F1790" t="str">
            <v>ב"י יהודה הנשיא</v>
          </cell>
          <cell r="G1790" t="str">
            <v>יסודי בלבד</v>
          </cell>
          <cell r="H1790" t="str">
            <v>כן</v>
          </cell>
          <cell r="I1790" t="str">
            <v>כן</v>
          </cell>
          <cell r="J1790" t="str">
            <v>כן</v>
          </cell>
          <cell r="K1790">
            <v>465</v>
          </cell>
          <cell r="L1790">
            <v>230</v>
          </cell>
        </row>
        <row r="1791">
          <cell r="D1791">
            <v>111138</v>
          </cell>
          <cell r="E1791" t="str">
            <v/>
          </cell>
          <cell r="F1791" t="str">
            <v>בית יעקב גבעת שאול</v>
          </cell>
          <cell r="G1791" t="str">
            <v>יסודי בלבד</v>
          </cell>
          <cell r="H1791" t="str">
            <v>כן</v>
          </cell>
          <cell r="I1791" t="str">
            <v>כן</v>
          </cell>
          <cell r="J1791" t="str">
            <v>כן</v>
          </cell>
          <cell r="K1791">
            <v>528</v>
          </cell>
          <cell r="L1791">
            <v>296</v>
          </cell>
        </row>
        <row r="1792">
          <cell r="D1792">
            <v>739037</v>
          </cell>
          <cell r="E1792" t="str">
            <v>בעלות</v>
          </cell>
          <cell r="F1792" t="str">
            <v>בני יוסף</v>
          </cell>
          <cell r="G1792" t="str">
            <v>יסודי בלבד</v>
          </cell>
          <cell r="H1792" t="str">
            <v>כן</v>
          </cell>
          <cell r="I1792" t="str">
            <v>כן</v>
          </cell>
          <cell r="J1792" t="str">
            <v>כן</v>
          </cell>
          <cell r="K1792">
            <v>76</v>
          </cell>
          <cell r="L1792">
            <v>76</v>
          </cell>
        </row>
        <row r="1793">
          <cell r="D1793">
            <v>312421</v>
          </cell>
          <cell r="E1793" t="str">
            <v>רשות</v>
          </cell>
          <cell r="F1793" t="str">
            <v>חופית</v>
          </cell>
          <cell r="G1793" t="str">
            <v>יסודי בלבד</v>
          </cell>
          <cell r="H1793" t="str">
            <v>כן</v>
          </cell>
          <cell r="I1793" t="str">
            <v>כן</v>
          </cell>
          <cell r="J1793" t="str">
            <v>כן</v>
          </cell>
          <cell r="K1793">
            <v>103</v>
          </cell>
          <cell r="L1793">
            <v>44</v>
          </cell>
        </row>
        <row r="1794">
          <cell r="D1794">
            <v>124057</v>
          </cell>
          <cell r="E1794" t="str">
            <v>בעלות</v>
          </cell>
          <cell r="F1794" t="str">
            <v>בית יעקב מגן אבות</v>
          </cell>
          <cell r="G1794" t="str">
            <v>יסודי בלבד</v>
          </cell>
          <cell r="H1794" t="str">
            <v>כן</v>
          </cell>
          <cell r="I1794" t="str">
            <v>כן</v>
          </cell>
          <cell r="J1794" t="str">
            <v>כן</v>
          </cell>
          <cell r="K1794">
            <v>166</v>
          </cell>
          <cell r="L1794">
            <v>43</v>
          </cell>
        </row>
        <row r="1795">
          <cell r="D1795">
            <v>412171</v>
          </cell>
          <cell r="E1795" t="str">
            <v>רשות</v>
          </cell>
          <cell r="F1795" t="str">
            <v>ממ"ד בר אילן</v>
          </cell>
          <cell r="G1795" t="str">
            <v>יסודי בלבד</v>
          </cell>
          <cell r="H1795" t="str">
            <v>כן</v>
          </cell>
          <cell r="I1795" t="str">
            <v>כן</v>
          </cell>
          <cell r="J1795" t="str">
            <v>לא</v>
          </cell>
          <cell r="K1795">
            <v>65</v>
          </cell>
          <cell r="L1795">
            <v>43</v>
          </cell>
        </row>
        <row r="1796">
          <cell r="D1796">
            <v>384362</v>
          </cell>
          <cell r="E1796" t="str">
            <v>רשות</v>
          </cell>
          <cell r="F1796" t="str">
            <v>נאות פרס</v>
          </cell>
          <cell r="G1796" t="str">
            <v>יסודי בלבד</v>
          </cell>
          <cell r="H1796" t="str">
            <v>כן</v>
          </cell>
          <cell r="I1796" t="str">
            <v>כן</v>
          </cell>
          <cell r="J1796" t="str">
            <v>כן</v>
          </cell>
          <cell r="K1796">
            <v>273</v>
          </cell>
          <cell r="L1796">
            <v>145</v>
          </cell>
        </row>
        <row r="1797">
          <cell r="D1797">
            <v>430264</v>
          </cell>
          <cell r="E1797" t="str">
            <v/>
          </cell>
          <cell r="F1797" t="str">
            <v>ת"ת מוריה רמת ב.שמש</v>
          </cell>
          <cell r="G1797" t="str">
            <v>יסודי בלבד</v>
          </cell>
          <cell r="H1797" t="str">
            <v>כן</v>
          </cell>
          <cell r="I1797" t="str">
            <v>כן</v>
          </cell>
          <cell r="J1797" t="str">
            <v>כן</v>
          </cell>
          <cell r="K1797">
            <v>87</v>
          </cell>
          <cell r="L1797">
            <v>86</v>
          </cell>
        </row>
        <row r="1798">
          <cell r="D1798">
            <v>514034</v>
          </cell>
          <cell r="E1798" t="str">
            <v/>
          </cell>
          <cell r="F1798" t="str">
            <v>ב"י אהלי שמעון</v>
          </cell>
          <cell r="G1798" t="str">
            <v>יסודי בלבד</v>
          </cell>
          <cell r="H1798" t="str">
            <v>לא</v>
          </cell>
          <cell r="I1798" t="str">
            <v>לא</v>
          </cell>
          <cell r="J1798" t="str">
            <v>כן</v>
          </cell>
          <cell r="K1798">
            <v>99</v>
          </cell>
          <cell r="L1798">
            <v>80</v>
          </cell>
        </row>
        <row r="1799">
          <cell r="D1799">
            <v>210138</v>
          </cell>
          <cell r="E1799" t="str">
            <v>רשות</v>
          </cell>
          <cell r="F1799" t="str">
            <v>אפק-יסודי</v>
          </cell>
          <cell r="G1799" t="str">
            <v>יסודי בלבד</v>
          </cell>
          <cell r="H1799" t="str">
            <v>כן</v>
          </cell>
          <cell r="I1799" t="str">
            <v>כן</v>
          </cell>
          <cell r="J1799" t="str">
            <v>כן</v>
          </cell>
          <cell r="K1799">
            <v>153</v>
          </cell>
          <cell r="L1799">
            <v>37</v>
          </cell>
        </row>
        <row r="1800">
          <cell r="D1800">
            <v>410829</v>
          </cell>
          <cell r="E1800" t="str">
            <v>רשות</v>
          </cell>
          <cell r="F1800" t="str">
            <v>ממ"ד בר אילן</v>
          </cell>
          <cell r="G1800" t="str">
            <v>יסודי בלבד</v>
          </cell>
          <cell r="H1800" t="str">
            <v>כן</v>
          </cell>
          <cell r="I1800" t="str">
            <v>כן</v>
          </cell>
          <cell r="J1800" t="str">
            <v>כן</v>
          </cell>
          <cell r="K1800">
            <v>127</v>
          </cell>
          <cell r="L1800">
            <v>57</v>
          </cell>
        </row>
        <row r="1801">
          <cell r="D1801">
            <v>560417</v>
          </cell>
          <cell r="E1801" t="str">
            <v/>
          </cell>
          <cell r="F1801" t="str">
            <v>יעלת חן -חסידי לבנות</v>
          </cell>
          <cell r="G1801" t="str">
            <v>יסודי בלבד</v>
          </cell>
          <cell r="H1801" t="str">
            <v>כן</v>
          </cell>
          <cell r="I1801" t="str">
            <v>כן</v>
          </cell>
          <cell r="J1801" t="str">
            <v>כן</v>
          </cell>
          <cell r="K1801">
            <v>54</v>
          </cell>
          <cell r="L1801">
            <v>42</v>
          </cell>
        </row>
        <row r="1802">
          <cell r="D1802">
            <v>616284</v>
          </cell>
          <cell r="E1802" t="str">
            <v/>
          </cell>
          <cell r="F1802" t="str">
            <v>תלמוד תורה בן פורת יוסף</v>
          </cell>
          <cell r="G1802" t="str">
            <v>יסודי בלבד</v>
          </cell>
          <cell r="H1802" t="str">
            <v>כן</v>
          </cell>
          <cell r="I1802" t="str">
            <v>כן</v>
          </cell>
          <cell r="J1802" t="str">
            <v>כן</v>
          </cell>
          <cell r="K1802">
            <v>99</v>
          </cell>
          <cell r="L1802">
            <v>99</v>
          </cell>
        </row>
        <row r="1803">
          <cell r="D1803">
            <v>413443</v>
          </cell>
          <cell r="E1803" t="str">
            <v/>
          </cell>
          <cell r="F1803" t="str">
            <v>בן גוריון</v>
          </cell>
          <cell r="G1803" t="str">
            <v>יסודי בלבד</v>
          </cell>
          <cell r="H1803" t="str">
            <v>כן</v>
          </cell>
          <cell r="I1803" t="str">
            <v>כן</v>
          </cell>
          <cell r="J1803" t="str">
            <v>לא</v>
          </cell>
          <cell r="K1803">
            <v>100</v>
          </cell>
          <cell r="L1803">
            <v>40</v>
          </cell>
        </row>
        <row r="1804">
          <cell r="D1804">
            <v>160135</v>
          </cell>
          <cell r="E1804" t="str">
            <v>בעלות</v>
          </cell>
          <cell r="F1804" t="str">
            <v>שובו בית שמש</v>
          </cell>
          <cell r="G1804" t="str">
            <v>יסודי בלבד</v>
          </cell>
          <cell r="H1804" t="str">
            <v>כן</v>
          </cell>
          <cell r="I1804" t="str">
            <v>כן</v>
          </cell>
          <cell r="J1804" t="str">
            <v>כן</v>
          </cell>
          <cell r="K1804">
            <v>55</v>
          </cell>
          <cell r="L1804">
            <v>55</v>
          </cell>
        </row>
        <row r="1805">
          <cell r="D1805">
            <v>311027</v>
          </cell>
          <cell r="E1805" t="str">
            <v>רשות</v>
          </cell>
          <cell r="F1805" t="str">
            <v>יבנה</v>
          </cell>
          <cell r="G1805" t="str">
            <v>יסודי בלבד</v>
          </cell>
          <cell r="H1805" t="str">
            <v>כן</v>
          </cell>
          <cell r="I1805" t="str">
            <v>כן</v>
          </cell>
          <cell r="J1805" t="str">
            <v>כן</v>
          </cell>
          <cell r="K1805">
            <v>248</v>
          </cell>
          <cell r="L1805">
            <v>89</v>
          </cell>
        </row>
        <row r="1806">
          <cell r="D1806">
            <v>673384</v>
          </cell>
          <cell r="E1806" t="str">
            <v>בעלות</v>
          </cell>
          <cell r="F1806" t="str">
            <v>בית יעקב נוה יעקב טב</v>
          </cell>
          <cell r="G1806" t="str">
            <v>יסודי בלבד</v>
          </cell>
          <cell r="H1806" t="str">
            <v>כן</v>
          </cell>
          <cell r="I1806" t="str">
            <v>כן</v>
          </cell>
          <cell r="J1806" t="str">
            <v>כן</v>
          </cell>
          <cell r="K1806">
            <v>296</v>
          </cell>
          <cell r="L1806">
            <v>47</v>
          </cell>
        </row>
        <row r="1807">
          <cell r="D1807">
            <v>310235</v>
          </cell>
          <cell r="E1807" t="str">
            <v>רשות</v>
          </cell>
          <cell r="F1807" t="str">
            <v>ארלוזורוב</v>
          </cell>
          <cell r="G1807" t="str">
            <v>יסודי בלבד</v>
          </cell>
          <cell r="H1807" t="str">
            <v>כן</v>
          </cell>
          <cell r="I1807" t="str">
            <v>כן</v>
          </cell>
          <cell r="J1807" t="str">
            <v>לא</v>
          </cell>
          <cell r="K1807">
            <v>187</v>
          </cell>
          <cell r="L1807">
            <v>52</v>
          </cell>
        </row>
        <row r="1808">
          <cell r="D1808">
            <v>410977</v>
          </cell>
          <cell r="E1808" t="str">
            <v>רשות</v>
          </cell>
          <cell r="F1808" t="str">
            <v>ממ"ד עמיח"י</v>
          </cell>
          <cell r="G1808" t="str">
            <v>יסודי בלבד</v>
          </cell>
          <cell r="H1808" t="str">
            <v>כן</v>
          </cell>
          <cell r="I1808" t="str">
            <v>כן</v>
          </cell>
          <cell r="J1808" t="str">
            <v>כן</v>
          </cell>
          <cell r="K1808">
            <v>217</v>
          </cell>
          <cell r="L1808">
            <v>59</v>
          </cell>
        </row>
        <row r="1809">
          <cell r="D1809">
            <v>214023</v>
          </cell>
          <cell r="E1809" t="str">
            <v>בעלות</v>
          </cell>
          <cell r="F1809" t="str">
            <v>קול יהודה (מעורב)</v>
          </cell>
          <cell r="G1809" t="str">
            <v>יסודי בלבד</v>
          </cell>
          <cell r="H1809" t="str">
            <v>כן</v>
          </cell>
          <cell r="I1809" t="str">
            <v>כן</v>
          </cell>
          <cell r="J1809" t="str">
            <v>כן</v>
          </cell>
          <cell r="K1809">
            <v>54</v>
          </cell>
          <cell r="L1809">
            <v>54</v>
          </cell>
        </row>
        <row r="1810">
          <cell r="D1810">
            <v>346734</v>
          </cell>
          <cell r="E1810" t="str">
            <v>רשות</v>
          </cell>
          <cell r="F1810" t="str">
            <v>רימון</v>
          </cell>
          <cell r="G1810" t="str">
            <v>יסודי בלבד</v>
          </cell>
          <cell r="H1810" t="str">
            <v>כן</v>
          </cell>
          <cell r="I1810" t="str">
            <v>כן</v>
          </cell>
          <cell r="J1810" t="str">
            <v>כן</v>
          </cell>
          <cell r="K1810">
            <v>181</v>
          </cell>
          <cell r="L1810">
            <v>62</v>
          </cell>
        </row>
        <row r="1811">
          <cell r="D1811">
            <v>442608</v>
          </cell>
          <cell r="E1811" t="str">
            <v/>
          </cell>
          <cell r="F1811" t="str">
            <v>מרחב</v>
          </cell>
          <cell r="G1811" t="str">
            <v>יסודי בלבד</v>
          </cell>
          <cell r="H1811" t="str">
            <v>כן</v>
          </cell>
          <cell r="I1811" t="str">
            <v>כן</v>
          </cell>
          <cell r="J1811" t="str">
            <v>כן</v>
          </cell>
          <cell r="K1811">
            <v>69</v>
          </cell>
          <cell r="L1811">
            <v>20</v>
          </cell>
        </row>
        <row r="1812">
          <cell r="D1812">
            <v>411041</v>
          </cell>
          <cell r="E1812" t="str">
            <v>רשות</v>
          </cell>
          <cell r="F1812" t="str">
            <v>נועם המאירי בנות</v>
          </cell>
          <cell r="G1812" t="str">
            <v>יסודי בלבד</v>
          </cell>
          <cell r="H1812" t="str">
            <v>כן</v>
          </cell>
          <cell r="I1812" t="str">
            <v>כן</v>
          </cell>
          <cell r="J1812" t="str">
            <v>כן</v>
          </cell>
          <cell r="K1812">
            <v>217</v>
          </cell>
          <cell r="L1812">
            <v>95</v>
          </cell>
        </row>
        <row r="1813">
          <cell r="D1813">
            <v>809426</v>
          </cell>
          <cell r="E1813" t="str">
            <v>בעלות</v>
          </cell>
          <cell r="F1813" t="str">
            <v>בית יעקב גבעת הפרסה</v>
          </cell>
          <cell r="G1813" t="str">
            <v>יסודי בלבד</v>
          </cell>
          <cell r="H1813" t="str">
            <v>כן</v>
          </cell>
          <cell r="I1813" t="str">
            <v>כן</v>
          </cell>
          <cell r="J1813" t="str">
            <v>לא</v>
          </cell>
          <cell r="K1813">
            <v>99</v>
          </cell>
          <cell r="L1813">
            <v>45</v>
          </cell>
        </row>
        <row r="1814">
          <cell r="D1814">
            <v>338442</v>
          </cell>
          <cell r="E1814" t="str">
            <v>רשות</v>
          </cell>
          <cell r="F1814" t="str">
            <v>תמר</v>
          </cell>
          <cell r="G1814" t="str">
            <v>יסודי בלבד</v>
          </cell>
          <cell r="H1814" t="str">
            <v>כן</v>
          </cell>
          <cell r="I1814" t="str">
            <v>כן</v>
          </cell>
          <cell r="J1814" t="str">
            <v>כן</v>
          </cell>
          <cell r="K1814">
            <v>287</v>
          </cell>
          <cell r="L1814">
            <v>31</v>
          </cell>
        </row>
        <row r="1815">
          <cell r="D1815">
            <v>218784</v>
          </cell>
          <cell r="E1815" t="str">
            <v/>
          </cell>
          <cell r="F1815" t="str">
            <v>אלביאדר</v>
          </cell>
          <cell r="G1815" t="str">
            <v>יסודי בלבד</v>
          </cell>
          <cell r="H1815" t="str">
            <v>כן</v>
          </cell>
          <cell r="I1815" t="str">
            <v>כן</v>
          </cell>
          <cell r="J1815" t="str">
            <v>לא</v>
          </cell>
          <cell r="K1815">
            <v>89</v>
          </cell>
          <cell r="L1815">
            <v>41</v>
          </cell>
        </row>
        <row r="1816">
          <cell r="D1816">
            <v>668368</v>
          </cell>
          <cell r="E1816" t="str">
            <v>רשות</v>
          </cell>
          <cell r="F1816" t="str">
            <v>דביר</v>
          </cell>
          <cell r="G1816" t="str">
            <v>יסודי בלבד</v>
          </cell>
          <cell r="H1816" t="str">
            <v>כן</v>
          </cell>
          <cell r="I1816" t="str">
            <v>כן</v>
          </cell>
          <cell r="J1816" t="str">
            <v>כן</v>
          </cell>
          <cell r="K1816">
            <v>94</v>
          </cell>
          <cell r="L1816">
            <v>27</v>
          </cell>
        </row>
        <row r="1817">
          <cell r="D1817">
            <v>411058</v>
          </cell>
          <cell r="E1817" t="str">
            <v>רשות</v>
          </cell>
          <cell r="F1817" t="str">
            <v>ממ"ד בנות חב"ד ב</v>
          </cell>
          <cell r="G1817" t="str">
            <v>יסודי בלבד</v>
          </cell>
          <cell r="H1817" t="str">
            <v>כן</v>
          </cell>
          <cell r="I1817" t="str">
            <v>כן</v>
          </cell>
          <cell r="J1817" t="str">
            <v>כן</v>
          </cell>
          <cell r="K1817">
            <v>284</v>
          </cell>
          <cell r="L1817">
            <v>116</v>
          </cell>
        </row>
        <row r="1818">
          <cell r="D1818">
            <v>757815</v>
          </cell>
          <cell r="E1818" t="str">
            <v/>
          </cell>
          <cell r="F1818" t="str">
            <v>דרכי שלום</v>
          </cell>
          <cell r="G1818" t="str">
            <v>יסודי בלבד</v>
          </cell>
          <cell r="H1818" t="str">
            <v>כן</v>
          </cell>
          <cell r="I1818" t="str">
            <v>כן</v>
          </cell>
          <cell r="J1818" t="str">
            <v>כן</v>
          </cell>
          <cell r="K1818">
            <v>94</v>
          </cell>
          <cell r="L1818">
            <v>94</v>
          </cell>
        </row>
        <row r="1819">
          <cell r="D1819">
            <v>511535</v>
          </cell>
          <cell r="E1819" t="str">
            <v>רשות</v>
          </cell>
          <cell r="F1819" t="str">
            <v>מרומי שדה</v>
          </cell>
          <cell r="G1819" t="str">
            <v>יסודי בלבד</v>
          </cell>
          <cell r="H1819" t="str">
            <v>כן</v>
          </cell>
          <cell r="I1819" t="str">
            <v>כן</v>
          </cell>
          <cell r="J1819" t="str">
            <v>כן</v>
          </cell>
          <cell r="K1819">
            <v>175</v>
          </cell>
          <cell r="L1819">
            <v>43</v>
          </cell>
        </row>
        <row r="1820">
          <cell r="D1820">
            <v>246041</v>
          </cell>
          <cell r="E1820" t="str">
            <v/>
          </cell>
          <cell r="F1820" t="str">
            <v>אהבת ישראל</v>
          </cell>
          <cell r="G1820" t="str">
            <v>יסודי בלבד</v>
          </cell>
          <cell r="H1820" t="str">
            <v>כן</v>
          </cell>
          <cell r="I1820" t="str">
            <v>כן</v>
          </cell>
          <cell r="J1820" t="str">
            <v>כן</v>
          </cell>
          <cell r="K1820">
            <v>96</v>
          </cell>
          <cell r="L1820">
            <v>50</v>
          </cell>
        </row>
        <row r="1821">
          <cell r="D1821">
            <v>219808</v>
          </cell>
          <cell r="E1821" t="str">
            <v/>
          </cell>
          <cell r="F1821" t="str">
            <v>בית ספר יסודי אאפאק</v>
          </cell>
          <cell r="G1821" t="str">
            <v>יסודי בלבד</v>
          </cell>
          <cell r="H1821" t="str">
            <v>כן</v>
          </cell>
          <cell r="I1821" t="str">
            <v>כן</v>
          </cell>
          <cell r="J1821" t="str">
            <v>כן</v>
          </cell>
          <cell r="K1821">
            <v>198</v>
          </cell>
          <cell r="L1821">
            <v>61</v>
          </cell>
        </row>
        <row r="1822">
          <cell r="D1822">
            <v>413674</v>
          </cell>
          <cell r="E1822" t="str">
            <v/>
          </cell>
          <cell r="F1822" t="str">
            <v>היובל</v>
          </cell>
          <cell r="G1822" t="str">
            <v>יסודי בלבד</v>
          </cell>
          <cell r="H1822" t="str">
            <v>כן</v>
          </cell>
          <cell r="I1822" t="str">
            <v>כן</v>
          </cell>
          <cell r="J1822" t="str">
            <v>כן</v>
          </cell>
          <cell r="K1822">
            <v>189</v>
          </cell>
          <cell r="L1822">
            <v>65</v>
          </cell>
        </row>
        <row r="1823">
          <cell r="D1823">
            <v>513002</v>
          </cell>
          <cell r="E1823" t="str">
            <v>רשות</v>
          </cell>
          <cell r="F1823" t="str">
            <v>הרצל</v>
          </cell>
          <cell r="G1823" t="str">
            <v>יסודי בלבד</v>
          </cell>
          <cell r="H1823" t="str">
            <v>כן</v>
          </cell>
          <cell r="I1823" t="str">
            <v>כן</v>
          </cell>
          <cell r="J1823" t="str">
            <v>לא</v>
          </cell>
          <cell r="K1823">
            <v>101</v>
          </cell>
          <cell r="L1823">
            <v>40</v>
          </cell>
        </row>
        <row r="1824">
          <cell r="D1824">
            <v>312439</v>
          </cell>
          <cell r="E1824" t="str">
            <v>רשות</v>
          </cell>
          <cell r="F1824" t="str">
            <v>אינשטיין</v>
          </cell>
          <cell r="G1824" t="str">
            <v>יסודי בלבד</v>
          </cell>
          <cell r="H1824" t="str">
            <v>כן</v>
          </cell>
          <cell r="I1824" t="str">
            <v>כן</v>
          </cell>
          <cell r="J1824" t="str">
            <v>כן</v>
          </cell>
          <cell r="K1824">
            <v>250</v>
          </cell>
          <cell r="L1824">
            <v>82</v>
          </cell>
        </row>
        <row r="1825">
          <cell r="D1825">
            <v>613950</v>
          </cell>
          <cell r="E1825" t="str">
            <v/>
          </cell>
          <cell r="F1825" t="str">
            <v>ב"י מעלות חיה</v>
          </cell>
          <cell r="G1825" t="str">
            <v>יסודי בלבד</v>
          </cell>
          <cell r="H1825" t="str">
            <v>לא</v>
          </cell>
          <cell r="I1825" t="str">
            <v>כן</v>
          </cell>
          <cell r="J1825" t="str">
            <v>לא</v>
          </cell>
          <cell r="K1825">
            <v>137</v>
          </cell>
          <cell r="L1825">
            <v>60</v>
          </cell>
        </row>
        <row r="1826">
          <cell r="D1826">
            <v>512830</v>
          </cell>
          <cell r="E1826" t="str">
            <v>רשות</v>
          </cell>
          <cell r="F1826" t="str">
            <v>ירושלים</v>
          </cell>
          <cell r="G1826" t="str">
            <v>יסודי בלבד</v>
          </cell>
          <cell r="H1826" t="str">
            <v>כן</v>
          </cell>
          <cell r="I1826" t="str">
            <v>כן</v>
          </cell>
          <cell r="J1826" t="str">
            <v>כן</v>
          </cell>
          <cell r="K1826">
            <v>178</v>
          </cell>
          <cell r="L1826">
            <v>63</v>
          </cell>
        </row>
        <row r="1827">
          <cell r="D1827">
            <v>118273</v>
          </cell>
          <cell r="E1827" t="str">
            <v>רשות</v>
          </cell>
          <cell r="F1827" t="str">
            <v>שעפאט לבנים א</v>
          </cell>
          <cell r="G1827" t="str">
            <v>יסודי בלבד</v>
          </cell>
          <cell r="H1827" t="str">
            <v>כן</v>
          </cell>
          <cell r="I1827" t="str">
            <v>כן</v>
          </cell>
          <cell r="J1827" t="str">
            <v>כן</v>
          </cell>
          <cell r="K1827">
            <v>283</v>
          </cell>
          <cell r="L1827">
            <v>89</v>
          </cell>
        </row>
        <row r="1828">
          <cell r="D1828">
            <v>218107</v>
          </cell>
          <cell r="E1828" t="str">
            <v>רשות</v>
          </cell>
          <cell r="F1828" t="str">
            <v>יסודי ב' בענה</v>
          </cell>
          <cell r="G1828" t="str">
            <v>יסודי בלבד</v>
          </cell>
          <cell r="H1828" t="str">
            <v>כן</v>
          </cell>
          <cell r="I1828" t="str">
            <v>כן</v>
          </cell>
          <cell r="J1828" t="str">
            <v>כן</v>
          </cell>
          <cell r="K1828">
            <v>188</v>
          </cell>
          <cell r="L1828">
            <v>170</v>
          </cell>
        </row>
        <row r="1829">
          <cell r="D1829">
            <v>310706</v>
          </cell>
          <cell r="E1829" t="str">
            <v>רשות</v>
          </cell>
          <cell r="F1829" t="str">
            <v>עליה</v>
          </cell>
          <cell r="G1829" t="str">
            <v>יסודי בלבד</v>
          </cell>
          <cell r="H1829" t="str">
            <v>כן</v>
          </cell>
          <cell r="I1829" t="str">
            <v>כן</v>
          </cell>
          <cell r="J1829" t="str">
            <v>כן</v>
          </cell>
          <cell r="K1829">
            <v>76</v>
          </cell>
          <cell r="L1829">
            <v>39</v>
          </cell>
        </row>
        <row r="1830">
          <cell r="D1830">
            <v>313783</v>
          </cell>
          <cell r="E1830" t="str">
            <v>רשות</v>
          </cell>
          <cell r="F1830" t="str">
            <v>יצחק רבין</v>
          </cell>
          <cell r="G1830" t="str">
            <v>יסודי בלבד</v>
          </cell>
          <cell r="H1830" t="str">
            <v>כן</v>
          </cell>
          <cell r="I1830" t="str">
            <v>כן</v>
          </cell>
          <cell r="J1830" t="str">
            <v>כן</v>
          </cell>
          <cell r="K1830">
            <v>241</v>
          </cell>
          <cell r="L1830">
            <v>105</v>
          </cell>
        </row>
        <row r="1831">
          <cell r="D1831">
            <v>312629</v>
          </cell>
          <cell r="E1831" t="str">
            <v>רשות</v>
          </cell>
          <cell r="F1831" t="str">
            <v>ממד נעם</v>
          </cell>
          <cell r="G1831" t="str">
            <v>יסודי בלבד</v>
          </cell>
          <cell r="H1831" t="str">
            <v>כן</v>
          </cell>
          <cell r="I1831" t="str">
            <v>כן</v>
          </cell>
          <cell r="J1831" t="str">
            <v>לא</v>
          </cell>
          <cell r="K1831">
            <v>128</v>
          </cell>
          <cell r="L1831">
            <v>120</v>
          </cell>
        </row>
        <row r="1832">
          <cell r="D1832">
            <v>313676</v>
          </cell>
          <cell r="E1832" t="str">
            <v>רשות</v>
          </cell>
          <cell r="F1832" t="str">
            <v>יסודי 1 רמת יצחק</v>
          </cell>
          <cell r="G1832" t="str">
            <v>יסודי בלבד</v>
          </cell>
          <cell r="H1832" t="str">
            <v>כן</v>
          </cell>
          <cell r="I1832" t="str">
            <v>כן</v>
          </cell>
          <cell r="J1832" t="str">
            <v>כן</v>
          </cell>
          <cell r="K1832">
            <v>133</v>
          </cell>
          <cell r="L1832">
            <v>46</v>
          </cell>
        </row>
        <row r="1833">
          <cell r="D1833">
            <v>343962</v>
          </cell>
          <cell r="E1833" t="str">
            <v/>
          </cell>
          <cell r="F1833" t="str">
            <v>ת"ת זכרון יעקב אלעד</v>
          </cell>
          <cell r="G1833" t="str">
            <v>יסודי בלבד</v>
          </cell>
          <cell r="H1833" t="str">
            <v>לא</v>
          </cell>
          <cell r="I1833" t="str">
            <v>לא</v>
          </cell>
          <cell r="J1833" t="str">
            <v>לא</v>
          </cell>
          <cell r="K1833">
            <v>0</v>
          </cell>
          <cell r="L1833">
            <v>0</v>
          </cell>
        </row>
        <row r="1834">
          <cell r="D1834">
            <v>311217</v>
          </cell>
          <cell r="E1834" t="str">
            <v>רשות</v>
          </cell>
          <cell r="F1834" t="str">
            <v>בית יהושע</v>
          </cell>
          <cell r="G1834" t="str">
            <v>יסודי בלבד</v>
          </cell>
          <cell r="H1834" t="str">
            <v>כן</v>
          </cell>
          <cell r="I1834" t="str">
            <v>כן</v>
          </cell>
          <cell r="J1834" t="str">
            <v>כן</v>
          </cell>
          <cell r="K1834">
            <v>95</v>
          </cell>
          <cell r="L1834">
            <v>51</v>
          </cell>
        </row>
        <row r="1835">
          <cell r="D1835">
            <v>318592</v>
          </cell>
          <cell r="E1835" t="str">
            <v>רשות</v>
          </cell>
          <cell r="F1835" t="str">
            <v>אבן חלדון</v>
          </cell>
          <cell r="G1835" t="str">
            <v>יסודי בלבד</v>
          </cell>
          <cell r="H1835" t="str">
            <v>כן</v>
          </cell>
          <cell r="I1835" t="str">
            <v>כן</v>
          </cell>
          <cell r="J1835" t="str">
            <v>כן</v>
          </cell>
          <cell r="K1835">
            <v>216</v>
          </cell>
          <cell r="L1835">
            <v>49</v>
          </cell>
        </row>
        <row r="1836">
          <cell r="D1836">
            <v>350983</v>
          </cell>
          <cell r="E1836" t="str">
            <v>בעלות</v>
          </cell>
          <cell r="F1836" t="str">
            <v>דעת יוסף</v>
          </cell>
          <cell r="G1836" t="str">
            <v>יסודי בלבד</v>
          </cell>
          <cell r="H1836" t="str">
            <v>כן</v>
          </cell>
          <cell r="I1836" t="str">
            <v>כן</v>
          </cell>
          <cell r="J1836" t="str">
            <v>כן</v>
          </cell>
          <cell r="K1836">
            <v>79</v>
          </cell>
          <cell r="L1836">
            <v>79</v>
          </cell>
        </row>
        <row r="1837">
          <cell r="D1837">
            <v>417022</v>
          </cell>
          <cell r="E1837" t="str">
            <v/>
          </cell>
          <cell r="F1837" t="str">
            <v>סנט ג'וזף</v>
          </cell>
          <cell r="G1837" t="str">
            <v>יסודי בלבד</v>
          </cell>
          <cell r="H1837" t="str">
            <v>כן</v>
          </cell>
          <cell r="I1837" t="str">
            <v>כן</v>
          </cell>
          <cell r="J1837" t="str">
            <v>לא</v>
          </cell>
          <cell r="K1837">
            <v>69</v>
          </cell>
          <cell r="L1837">
            <v>54</v>
          </cell>
        </row>
        <row r="1838">
          <cell r="D1838">
            <v>312538</v>
          </cell>
          <cell r="E1838" t="str">
            <v>רשות</v>
          </cell>
          <cell r="F1838" t="str">
            <v>צמח צדיק (רמב"ם)</v>
          </cell>
          <cell r="G1838" t="str">
            <v>יסודי בלבד</v>
          </cell>
          <cell r="H1838" t="str">
            <v>כן</v>
          </cell>
          <cell r="I1838" t="str">
            <v>כן</v>
          </cell>
          <cell r="J1838" t="str">
            <v>כן</v>
          </cell>
          <cell r="K1838">
            <v>188</v>
          </cell>
          <cell r="L1838">
            <v>75</v>
          </cell>
        </row>
        <row r="1839">
          <cell r="D1839">
            <v>210930</v>
          </cell>
          <cell r="E1839" t="str">
            <v>רשות</v>
          </cell>
          <cell r="F1839" t="str">
            <v>כברי -מעיינות</v>
          </cell>
          <cell r="G1839" t="str">
            <v>יסודי בלבד</v>
          </cell>
          <cell r="H1839" t="str">
            <v>כן</v>
          </cell>
          <cell r="I1839" t="str">
            <v>כן</v>
          </cell>
          <cell r="J1839" t="str">
            <v>כן</v>
          </cell>
          <cell r="K1839">
            <v>278</v>
          </cell>
          <cell r="L1839">
            <v>128</v>
          </cell>
        </row>
        <row r="1840">
          <cell r="D1840">
            <v>614149</v>
          </cell>
          <cell r="E1840" t="str">
            <v>בעלות</v>
          </cell>
          <cell r="F1840" t="str">
            <v>בנות חייל</v>
          </cell>
          <cell r="G1840" t="str">
            <v>יסודי בלבד</v>
          </cell>
          <cell r="H1840" t="str">
            <v>כן</v>
          </cell>
          <cell r="I1840" t="str">
            <v>כן</v>
          </cell>
          <cell r="J1840" t="str">
            <v>כן</v>
          </cell>
          <cell r="K1840">
            <v>131</v>
          </cell>
          <cell r="L1840">
            <v>66</v>
          </cell>
        </row>
        <row r="1841">
          <cell r="D1841">
            <v>212365</v>
          </cell>
          <cell r="E1841" t="str">
            <v>רשות</v>
          </cell>
          <cell r="F1841" t="str">
            <v>הרב מימון ממ"ד שלומי</v>
          </cell>
          <cell r="G1841" t="str">
            <v>יסודי בלבד</v>
          </cell>
          <cell r="H1841" t="str">
            <v>כן</v>
          </cell>
          <cell r="I1841" t="str">
            <v>כן</v>
          </cell>
          <cell r="J1841" t="str">
            <v>כן</v>
          </cell>
          <cell r="K1841">
            <v>107</v>
          </cell>
          <cell r="L1841">
            <v>42</v>
          </cell>
        </row>
        <row r="1842">
          <cell r="D1842">
            <v>610493</v>
          </cell>
          <cell r="E1842" t="str">
            <v>רשות</v>
          </cell>
          <cell r="F1842" t="str">
            <v>אלונים שער הנגב</v>
          </cell>
          <cell r="G1842" t="str">
            <v>יסודי בלבד</v>
          </cell>
          <cell r="H1842" t="str">
            <v>כן</v>
          </cell>
          <cell r="I1842" t="str">
            <v>כן</v>
          </cell>
          <cell r="J1842" t="str">
            <v>כן</v>
          </cell>
          <cell r="K1842">
            <v>151</v>
          </cell>
          <cell r="L1842">
            <v>55</v>
          </cell>
        </row>
        <row r="1843">
          <cell r="D1843">
            <v>212357</v>
          </cell>
          <cell r="E1843" t="str">
            <v>רשות</v>
          </cell>
          <cell r="F1843" t="str">
            <v>יצחק בן צבי</v>
          </cell>
          <cell r="G1843" t="str">
            <v>יסודי בלבד</v>
          </cell>
          <cell r="H1843" t="str">
            <v>כן</v>
          </cell>
          <cell r="I1843" t="str">
            <v>כן</v>
          </cell>
          <cell r="J1843" t="str">
            <v>כן</v>
          </cell>
          <cell r="K1843">
            <v>174</v>
          </cell>
          <cell r="L1843">
            <v>84</v>
          </cell>
        </row>
        <row r="1844">
          <cell r="D1844">
            <v>612226</v>
          </cell>
          <cell r="E1844" t="str">
            <v>בעלות</v>
          </cell>
          <cell r="F1844" t="str">
            <v>ת"ת בית ישראל</v>
          </cell>
          <cell r="G1844" t="str">
            <v>יסודי בלבד</v>
          </cell>
          <cell r="H1844" t="str">
            <v>כן</v>
          </cell>
          <cell r="I1844" t="str">
            <v>כן</v>
          </cell>
          <cell r="J1844" t="str">
            <v>כן</v>
          </cell>
          <cell r="K1844">
            <v>76</v>
          </cell>
          <cell r="L1844">
            <v>71</v>
          </cell>
        </row>
        <row r="1845">
          <cell r="D1845">
            <v>179770</v>
          </cell>
          <cell r="E1845" t="str">
            <v>בעלות</v>
          </cell>
          <cell r="F1845" t="str">
            <v>בי"ס יוסף ה' עליכם</v>
          </cell>
          <cell r="G1845" t="str">
            <v>יסודי בלבד</v>
          </cell>
          <cell r="H1845" t="str">
            <v>כן</v>
          </cell>
          <cell r="I1845" t="str">
            <v>כן</v>
          </cell>
          <cell r="J1845" t="str">
            <v>כן</v>
          </cell>
          <cell r="K1845">
            <v>87</v>
          </cell>
          <cell r="L1845">
            <v>87</v>
          </cell>
        </row>
        <row r="1846">
          <cell r="D1846">
            <v>482893</v>
          </cell>
          <cell r="E1846" t="str">
            <v>רשות</v>
          </cell>
          <cell r="F1846" t="str">
            <v>נועם רז</v>
          </cell>
          <cell r="G1846" t="str">
            <v>יסודי בלבד</v>
          </cell>
          <cell r="H1846" t="str">
            <v>כן</v>
          </cell>
          <cell r="I1846" t="str">
            <v>כן</v>
          </cell>
          <cell r="J1846" t="str">
            <v>לא</v>
          </cell>
          <cell r="K1846">
            <v>88</v>
          </cell>
          <cell r="L1846">
            <v>46</v>
          </cell>
        </row>
        <row r="1847">
          <cell r="D1847">
            <v>673392</v>
          </cell>
          <cell r="E1847" t="str">
            <v>בעלות</v>
          </cell>
          <cell r="F1847" t="str">
            <v>בית יעקב "דרך אמונה" רמה ג'2</v>
          </cell>
          <cell r="G1847" t="str">
            <v>יסודי בלבד</v>
          </cell>
          <cell r="H1847" t="str">
            <v>כן</v>
          </cell>
          <cell r="I1847" t="str">
            <v>כן</v>
          </cell>
          <cell r="J1847" t="str">
            <v>כן</v>
          </cell>
          <cell r="K1847">
            <v>244</v>
          </cell>
          <cell r="L1847">
            <v>220</v>
          </cell>
        </row>
        <row r="1848">
          <cell r="D1848">
            <v>211946</v>
          </cell>
          <cell r="E1848" t="str">
            <v>רשות</v>
          </cell>
          <cell r="F1848" t="str">
            <v>אוהל מאיר מד-עפולה</v>
          </cell>
          <cell r="G1848" t="str">
            <v>יסודי בלבד</v>
          </cell>
          <cell r="H1848" t="str">
            <v>כן</v>
          </cell>
          <cell r="I1848" t="str">
            <v>כן</v>
          </cell>
          <cell r="J1848" t="str">
            <v>כן</v>
          </cell>
          <cell r="K1848">
            <v>186</v>
          </cell>
          <cell r="L1848">
            <v>53</v>
          </cell>
        </row>
        <row r="1849">
          <cell r="D1849">
            <v>482927</v>
          </cell>
          <cell r="E1849" t="str">
            <v/>
          </cell>
          <cell r="F1849" t="str">
            <v>ביכורים</v>
          </cell>
          <cell r="G1849" t="str">
            <v>יסודי בלבד</v>
          </cell>
          <cell r="H1849" t="str">
            <v>כן</v>
          </cell>
          <cell r="I1849" t="str">
            <v>כן</v>
          </cell>
          <cell r="J1849" t="str">
            <v>לא</v>
          </cell>
          <cell r="K1849">
            <v>65</v>
          </cell>
          <cell r="L1849">
            <v>44</v>
          </cell>
        </row>
        <row r="1850">
          <cell r="D1850">
            <v>631242</v>
          </cell>
          <cell r="E1850" t="str">
            <v/>
          </cell>
          <cell r="F1850" t="str">
            <v>נוות ישראל</v>
          </cell>
          <cell r="G1850" t="str">
            <v>יסודי בלבד</v>
          </cell>
          <cell r="H1850" t="str">
            <v>כן</v>
          </cell>
          <cell r="I1850" t="str">
            <v>כן</v>
          </cell>
          <cell r="J1850" t="str">
            <v>כן</v>
          </cell>
          <cell r="K1850">
            <v>75</v>
          </cell>
          <cell r="L1850">
            <v>40</v>
          </cell>
        </row>
      </sheetData>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253FB-4C78-4A89-AAC0-0F1149633C11}" name="טבלה22" displayName="טבלה22" ref="B19:B20" totalsRowShown="0" headerRowDxfId="183" dataDxfId="181" headerRowBorderDxfId="182" tableBorderDxfId="180" totalsRowBorderDxfId="179">
  <tableColumns count="1">
    <tableColumn id="1" xr3:uid="{0075D561-B8B5-4B16-9CA6-E585504E89DB}" name="שם הגוף המפעיל ו/או מעסיק את העובדים" dataDxfId="178"/>
  </tableColumns>
  <tableStyleInfo name="TableStyleLight1"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4"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4" Type="http://schemas.openxmlformats.org/officeDocument/2006/relationships/printerSettings" Target="../printerSettings/printerSettings2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4"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C0D-0699-4856-AEEF-51A96DC7336F}">
  <sheetPr codeName="גיליון1">
    <tabColor rgb="FF0070C0"/>
  </sheetPr>
  <dimension ref="A2:G18"/>
  <sheetViews>
    <sheetView showGridLines="0" rightToLeft="1" zoomScaleNormal="100" workbookViewId="0">
      <pane xSplit="1" ySplit="9" topLeftCell="B10" activePane="bottomRight" state="frozen"/>
      <selection pane="topRight" activeCell="B1" sqref="B1"/>
      <selection pane="bottomLeft" activeCell="A10" sqref="A10"/>
      <selection pane="bottomRight" activeCell="G20" sqref="G20"/>
    </sheetView>
  </sheetViews>
  <sheetFormatPr defaultColWidth="8.625" defaultRowHeight="15" x14ac:dyDescent="0.25"/>
  <cols>
    <col min="1" max="1" width="3" style="756" customWidth="1"/>
    <col min="2" max="2" width="38" style="756" customWidth="1"/>
    <col min="3" max="4" width="35.625" style="756" customWidth="1"/>
    <col min="5" max="6" width="22" style="756" customWidth="1"/>
    <col min="7" max="7" width="18.125" style="755" customWidth="1"/>
    <col min="8" max="8" width="3" style="755" customWidth="1"/>
    <col min="9" max="16384" width="8.625" style="755"/>
  </cols>
  <sheetData>
    <row r="2" spans="1:7" ht="33.75" customHeight="1" x14ac:dyDescent="0.25">
      <c r="B2" s="1054" t="s">
        <v>2897</v>
      </c>
      <c r="C2" s="1054"/>
      <c r="D2" s="1054"/>
      <c r="E2" s="1054"/>
      <c r="F2" s="1054"/>
      <c r="G2" s="1054"/>
    </row>
    <row r="3" spans="1:7" ht="19.5" customHeight="1" x14ac:dyDescent="0.25">
      <c r="B3" s="1055" t="s">
        <v>2904</v>
      </c>
      <c r="C3" s="1055"/>
      <c r="D3" s="1055"/>
      <c r="E3" s="1055"/>
      <c r="F3" s="1055"/>
      <c r="G3" s="1055"/>
    </row>
    <row r="5" spans="1:7" x14ac:dyDescent="0.25">
      <c r="B5" s="757" t="s">
        <v>2839</v>
      </c>
      <c r="C5" s="766"/>
      <c r="D5" s="767"/>
      <c r="E5" s="758"/>
    </row>
    <row r="6" spans="1:7" x14ac:dyDescent="0.25">
      <c r="C6" s="759" t="s">
        <v>2840</v>
      </c>
      <c r="D6" s="759" t="s">
        <v>2841</v>
      </c>
      <c r="E6" s="759" t="s">
        <v>2842</v>
      </c>
    </row>
    <row r="8" spans="1:7" ht="15.75" thickBot="1" x14ac:dyDescent="0.3"/>
    <row r="9" spans="1:7" x14ac:dyDescent="0.25">
      <c r="B9" s="778" t="s">
        <v>2843</v>
      </c>
      <c r="C9" s="779" t="s">
        <v>2844</v>
      </c>
      <c r="D9" s="779" t="s">
        <v>2845</v>
      </c>
      <c r="E9" s="779" t="s">
        <v>2850</v>
      </c>
      <c r="F9" s="779" t="s">
        <v>2849</v>
      </c>
      <c r="G9" s="780" t="s">
        <v>2838</v>
      </c>
    </row>
    <row r="10" spans="1:7" ht="21.75" customHeight="1" x14ac:dyDescent="0.25">
      <c r="B10" s="781">
        <v>1</v>
      </c>
      <c r="C10" s="798" t="s">
        <v>2296</v>
      </c>
      <c r="D10" s="764" t="s">
        <v>2898</v>
      </c>
      <c r="E10" s="798" t="s">
        <v>2852</v>
      </c>
      <c r="F10" s="765" t="str">
        <f>IF('נתונים כלליים (1)'!$C$5="","טרם מולא","תקין")</f>
        <v>טרם מולא</v>
      </c>
      <c r="G10" s="782" t="str">
        <f>IF('נתונים כלליים (1)'!$E$4=" ","תקין","לא תקין, יש לתקן דיווח!")</f>
        <v>לא תקין, יש לתקן דיווח!</v>
      </c>
    </row>
    <row r="11" spans="1:7" s="763" customFormat="1" ht="21.75" customHeight="1" x14ac:dyDescent="0.25">
      <c r="A11" s="760"/>
      <c r="B11" s="783">
        <v>2</v>
      </c>
      <c r="C11" s="799" t="s">
        <v>2823</v>
      </c>
      <c r="D11" s="761" t="s">
        <v>2846</v>
      </c>
      <c r="E11" s="761" t="s">
        <v>2853</v>
      </c>
      <c r="F11" s="762"/>
      <c r="G11" s="784"/>
    </row>
    <row r="12" spans="1:7" ht="21.75" customHeight="1" x14ac:dyDescent="0.25">
      <c r="B12" s="785">
        <v>3</v>
      </c>
      <c r="C12" s="800" t="s">
        <v>2825</v>
      </c>
      <c r="D12" s="768" t="s">
        <v>2903</v>
      </c>
      <c r="E12" s="798" t="s">
        <v>2853</v>
      </c>
      <c r="F12" s="769" t="str">
        <f>IF('דוח ביצוע (3)'!C13=0,"טרם מולא","תקין")</f>
        <v>טרם מולא</v>
      </c>
      <c r="G12" s="786" t="str">
        <f>IF('דוח ביצוע (3)'!$L$3=" ","תקין","לא תקין, יש לתקן דיווח!")</f>
        <v>תקין</v>
      </c>
    </row>
    <row r="13" spans="1:7" ht="21.75" customHeight="1" x14ac:dyDescent="0.25">
      <c r="B13" s="787">
        <v>4</v>
      </c>
      <c r="C13" s="801" t="s">
        <v>2827</v>
      </c>
      <c r="D13" s="770" t="s">
        <v>2899</v>
      </c>
      <c r="E13" s="798" t="s">
        <v>2853</v>
      </c>
      <c r="F13" s="771" t="str">
        <f>IF('דוח הוצאות בפועל (4)'!H9=0,"טרם מולא","תקין")</f>
        <v>טרם מולא</v>
      </c>
      <c r="G13" s="788" t="str">
        <f>IF('דוח הוצאות בפועל (4)'!$I$3=" ","תקין","לא תקין, יש לתקן דיווח!")</f>
        <v>תקין</v>
      </c>
    </row>
    <row r="14" spans="1:7" ht="21.75" customHeight="1" x14ac:dyDescent="0.25">
      <c r="B14" s="789">
        <v>5</v>
      </c>
      <c r="C14" s="1034" t="s">
        <v>2829</v>
      </c>
      <c r="D14" s="772" t="s">
        <v>2900</v>
      </c>
      <c r="E14" s="798" t="s">
        <v>2853</v>
      </c>
      <c r="F14" s="773" t="str">
        <f>IF('תשלומי הורים ומלגות להורים (5) '!D12=0,"טרם מולא","תקין")</f>
        <v>טרם מולא</v>
      </c>
      <c r="G14" s="790" t="str">
        <f>IF('תשלומי הורים ומלגות להורים (5) '!$I$3=" ","תקין","לא תקין, יש לתקן דיווח!")</f>
        <v>תקין</v>
      </c>
    </row>
    <row r="15" spans="1:7" ht="21.75" customHeight="1" x14ac:dyDescent="0.25">
      <c r="B15" s="791">
        <v>6</v>
      </c>
      <c r="C15" s="1033" t="s">
        <v>2831</v>
      </c>
      <c r="D15" s="774" t="s">
        <v>2901</v>
      </c>
      <c r="E15" s="798" t="s">
        <v>2853</v>
      </c>
      <c r="F15" s="775" t="str">
        <f>IF('עלויות כח אדם (6)'!E11=0,"טרם מולא","תקין")</f>
        <v>טרם מולא</v>
      </c>
      <c r="G15" s="792" t="str">
        <f>IF('עלויות כח אדם (6)'!$H$5=" ","תקין","לא תקין, יש לתקן דיווח!")</f>
        <v>תקין</v>
      </c>
    </row>
    <row r="16" spans="1:7" ht="21.75" customHeight="1" x14ac:dyDescent="0.25">
      <c r="B16" s="793">
        <v>7</v>
      </c>
      <c r="C16" s="1032" t="s">
        <v>2835</v>
      </c>
      <c r="D16" s="776" t="s">
        <v>2902</v>
      </c>
      <c r="E16" s="798" t="s">
        <v>2853</v>
      </c>
      <c r="F16" s="777" t="str">
        <f>IF('סייעות רפואיות או אישיות (7)'!D13=0,"טרם מולא","תקין")</f>
        <v>טרם מולא</v>
      </c>
      <c r="G16" s="784"/>
    </row>
    <row r="17" spans="1:7" s="763" customFormat="1" ht="21.75" customHeight="1" x14ac:dyDescent="0.25">
      <c r="A17" s="760"/>
      <c r="B17" s="783">
        <v>8</v>
      </c>
      <c r="C17" s="799" t="s">
        <v>2836</v>
      </c>
      <c r="D17" s="761" t="s">
        <v>2847</v>
      </c>
      <c r="E17" s="799" t="s">
        <v>2853</v>
      </c>
      <c r="F17" s="762" t="str">
        <f>IF(' איוש משרות (8)'!C16="","טרם מולא","תקין")</f>
        <v>טרם מולא</v>
      </c>
      <c r="G17" s="790" t="str">
        <f>IF(' איוש משרות (8)'!$K$5=" ","תקין","לא תקין, יש לתקן דיווח!")</f>
        <v>תקין</v>
      </c>
    </row>
    <row r="18" spans="1:7" s="763" customFormat="1" ht="21.75" customHeight="1" thickBot="1" x14ac:dyDescent="0.3">
      <c r="A18" s="760"/>
      <c r="B18" s="794">
        <v>9</v>
      </c>
      <c r="C18" s="803" t="s">
        <v>2837</v>
      </c>
      <c r="D18" s="795" t="s">
        <v>2848</v>
      </c>
      <c r="E18" s="803" t="s">
        <v>2853</v>
      </c>
      <c r="F18" s="796"/>
      <c r="G18" s="797"/>
    </row>
  </sheetData>
  <sheetProtection algorithmName="SHA-512" hashValue="4U2qiKEBcGtiSNWRebtYtYvcAg/ZBzx2ZcgRyWy//EvunTHb1OYY9JWG4LUdHa2IwXgCeYKtA7jtuKjdgjc8kA==" saltValue="VwsnRX9KkuNXaB/gSSXYgw==" spinCount="100000" sheet="1" objects="1" scenarios="1"/>
  <mergeCells count="2">
    <mergeCell ref="B2:G2"/>
    <mergeCell ref="B3:G3"/>
  </mergeCells>
  <conditionalFormatting sqref="F10:F18">
    <cfRule type="containsText" dxfId="188" priority="4" operator="containsText" text="טרם מולא">
      <formula>NOT(ISERROR(SEARCH("טרם מולא",F10)))</formula>
    </cfRule>
    <cfRule type="containsText" dxfId="187" priority="7" operator="containsText" text="לא תקין">
      <formula>NOT(ISERROR(SEARCH("לא תקין",F10)))</formula>
    </cfRule>
  </conditionalFormatting>
  <conditionalFormatting sqref="G10:G16 G18">
    <cfRule type="containsText" dxfId="186" priority="5" operator="containsText" text="לא תקין">
      <formula>NOT(ISERROR(SEARCH("לא תקין",G10)))</formula>
    </cfRule>
  </conditionalFormatting>
  <conditionalFormatting sqref="G17">
    <cfRule type="containsText" dxfId="185" priority="1" operator="containsText" text="לא תקין">
      <formula>NOT(ISERROR(SEARCH("לא תקין",G17)))</formula>
    </cfRule>
  </conditionalFormatting>
  <hyperlinks>
    <hyperlink ref="C10" location="'נתונים כלליים (1)'!A1" tooltip="קישור למעבר לגיליון" display="נתונים כלליים (1)" xr:uid="{6CDC7307-7856-4F96-A90B-974E2DBCD46A}"/>
    <hyperlink ref="C11" location="'מצבת והרשמה (2)'!A1" tooltip="קישור למעבר לגיליון" display="מצבת והרשמה (2)" xr:uid="{003536D0-E623-45F1-B78B-799A5BB8AF0B}"/>
    <hyperlink ref="C12" location="'דוח ביצוע (3)'!A1" tooltip="קישור למעבר לגיליון" display=" דוח ביצוע (3)" xr:uid="{D5C47BB8-B4F6-42F0-B2A8-F3E591516578}"/>
    <hyperlink ref="C13" location="'דוח הוצאות בפועל (4)'!A1" tooltip="קישור למעבר לגיליון" display="דוח הוצאות בפועל (4)" xr:uid="{E20E6BE0-5004-425B-8735-3516617EA716}"/>
    <hyperlink ref="C14" location="'תשלומי הורים ומלגות להורים (5) '!A1" display="תשלומי הורים ומלגות להורים (5)" xr:uid="{53463AF2-1E5F-4EC5-8F5F-B29A841696A4}"/>
    <hyperlink ref="C15" location="'עלויות כח אדם (6)'!A1" tooltip="קישור למעבר לגיליון" display="עלויות כח אדם (6)" xr:uid="{17CC277F-FF35-4E45-B250-A6E8CBE74ECB}"/>
    <hyperlink ref="C16" location="'סייעות רפואיות או אישיות (7)'!A1" tooltip="קישור למעבר לגיליון" display="סייעות רפואיות או אישיות (7)" xr:uid="{31737C67-4EFC-4C38-9CFB-CA78CA2B8D85}"/>
    <hyperlink ref="C17" location="' איוש משרות (8)'!A1" tooltip="קישור למעבר לגיליון" display="איוש משרות (8)" xr:uid="{66A1364D-DB36-447C-B98E-337AB0EC1DA5}"/>
    <hyperlink ref="C18" location="'בית ספר - תקצוב לפי מוסד (9)'!A1" tooltip="קישור למעבר לגיליון" display="תקצוב לפי מוסד (9)" xr:uid="{616BF21E-EDDB-440E-9315-70FB26891F73}"/>
    <hyperlink ref="E11" location="'הנחיות למילוי הדוח'!A1" display="הנחיות למילוי הדוח" xr:uid="{D381B34B-BF6E-43A9-9B44-6FF2AE407D6F}"/>
    <hyperlink ref="E10" location="'הנחיות כלליות'!A1" display="הנחיות כלליות" xr:uid="{0551B207-CB5A-4D32-A5A5-4A2B942CBA94}"/>
    <hyperlink ref="E12" location="'הנחיות למילוי הדוח'!A10" display="הנחיות למילוי הדוח" xr:uid="{A1BA9C54-B204-4E94-8F62-6FB8A82E451C}"/>
    <hyperlink ref="E13" location="'הנחיות למילוי הדוח'!A15" display="הנחיות למילוי הדוח" xr:uid="{045FA040-EED7-41D7-89EC-2DDBE5776585}"/>
    <hyperlink ref="E14" location="'הנחיות למילוי הדוח'!A19" display="הנחיות למילוי הדוח" xr:uid="{DA2A56C0-BFCE-4FB4-8DCB-3AA0DD73F649}"/>
    <hyperlink ref="E15" location="'הנחיות למילוי הדוח'!A24" display="הנחיות למילוי הדוח" xr:uid="{266D8D59-B27B-4B7B-8892-DFF648097422}"/>
    <hyperlink ref="E16" location="'הנחיות למילוי הדוח'!A25" display="הנחיות למילוי הדוח" xr:uid="{62DEDB27-54BF-4D51-8704-E8D6991D0C93}"/>
    <hyperlink ref="E17" location="'הנחיות למילוי הדוח'!A26" display="הנחיות למילוי הדוח" xr:uid="{664F7A27-2107-4436-9C72-E4A3604A0233}"/>
    <hyperlink ref="E18" location="'הנחיות למילוי הדוח'!A28" display="הנחיות למילוי הדוח" xr:uid="{14A3CD87-76DD-43BF-A239-B0C7D844734A}"/>
  </hyperlink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5">
    <tabColor rgb="FFCCFFFF"/>
  </sheetPr>
  <dimension ref="A1:C26"/>
  <sheetViews>
    <sheetView showGridLines="0" rightToLeft="1" workbookViewId="0">
      <selection activeCell="E2" sqref="E2"/>
    </sheetView>
  </sheetViews>
  <sheetFormatPr defaultColWidth="9" defaultRowHeight="15.75" x14ac:dyDescent="0.25"/>
  <cols>
    <col min="1" max="1" width="6.5" style="4" customWidth="1"/>
    <col min="2" max="2" width="4.375" style="5" customWidth="1"/>
    <col min="3" max="3" width="92.625" style="3" customWidth="1"/>
    <col min="4" max="16384" width="9" style="3"/>
  </cols>
  <sheetData>
    <row r="1" spans="1:3" x14ac:dyDescent="0.25">
      <c r="A1" s="419" t="s">
        <v>3408</v>
      </c>
    </row>
    <row r="2" spans="1:3" x14ac:dyDescent="0.25">
      <c r="A2" s="1" t="s">
        <v>2328</v>
      </c>
      <c r="B2" s="2" t="s">
        <v>2283</v>
      </c>
    </row>
    <row r="3" spans="1:3" ht="15.75" customHeight="1" x14ac:dyDescent="0.25">
      <c r="A3" s="1059" t="s">
        <v>2794</v>
      </c>
      <c r="B3" s="1059"/>
      <c r="C3" s="1059"/>
    </row>
    <row r="4" spans="1:3" ht="18.75" customHeight="1" x14ac:dyDescent="0.25">
      <c r="A4" s="1059" t="s">
        <v>2350</v>
      </c>
      <c r="B4" s="1059"/>
      <c r="C4" s="1059"/>
    </row>
    <row r="5" spans="1:3" x14ac:dyDescent="0.25">
      <c r="C5" s="6"/>
    </row>
    <row r="6" spans="1:3" x14ac:dyDescent="0.25">
      <c r="A6" s="7" t="s">
        <v>2329</v>
      </c>
    </row>
    <row r="7" spans="1:3" x14ac:dyDescent="0.25">
      <c r="C7" s="8"/>
    </row>
    <row r="8" spans="1:3" ht="28.5" customHeight="1" x14ac:dyDescent="0.25">
      <c r="A8" s="1063" t="s">
        <v>2894</v>
      </c>
      <c r="B8" s="1063"/>
      <c r="C8" s="1063"/>
    </row>
    <row r="9" spans="1:3" s="11" customFormat="1" ht="18" customHeight="1" x14ac:dyDescent="0.2">
      <c r="A9" s="9" t="s">
        <v>2348</v>
      </c>
      <c r="B9" s="9" t="s">
        <v>85</v>
      </c>
      <c r="C9" s="10" t="s">
        <v>2349</v>
      </c>
    </row>
    <row r="10" spans="1:3" x14ac:dyDescent="0.25">
      <c r="A10" s="1060" t="s">
        <v>2342</v>
      </c>
      <c r="B10" s="12">
        <v>1</v>
      </c>
      <c r="C10" s="13" t="s">
        <v>2363</v>
      </c>
    </row>
    <row r="11" spans="1:3" ht="63" x14ac:dyDescent="0.25">
      <c r="A11" s="1061"/>
      <c r="B11" s="12">
        <v>2</v>
      </c>
      <c r="C11" s="14" t="s">
        <v>2795</v>
      </c>
    </row>
    <row r="12" spans="1:3" x14ac:dyDescent="0.25">
      <c r="A12" s="1061"/>
      <c r="B12" s="12">
        <v>3</v>
      </c>
      <c r="C12" s="15" t="s">
        <v>2343</v>
      </c>
    </row>
    <row r="13" spans="1:3" ht="63" x14ac:dyDescent="0.25">
      <c r="A13" s="1062"/>
      <c r="B13" s="12">
        <v>4</v>
      </c>
      <c r="C13" s="14" t="s">
        <v>2364</v>
      </c>
    </row>
    <row r="14" spans="1:3" ht="78.75" x14ac:dyDescent="0.25">
      <c r="A14" s="907" t="s">
        <v>2909</v>
      </c>
      <c r="B14" s="14">
        <v>1</v>
      </c>
      <c r="C14" s="14" t="s">
        <v>2910</v>
      </c>
    </row>
    <row r="15" spans="1:3" ht="69.75" customHeight="1" x14ac:dyDescent="0.25">
      <c r="A15" s="357" t="s">
        <v>0</v>
      </c>
      <c r="B15" s="12">
        <v>1</v>
      </c>
      <c r="C15" s="14" t="s">
        <v>2796</v>
      </c>
    </row>
    <row r="16" spans="1:3" ht="47.25" x14ac:dyDescent="0.25">
      <c r="A16" s="9" t="s">
        <v>93</v>
      </c>
      <c r="B16" s="12">
        <v>1</v>
      </c>
      <c r="C16" s="16" t="s">
        <v>2330</v>
      </c>
    </row>
    <row r="17" spans="1:3" x14ac:dyDescent="0.25">
      <c r="A17" s="1060" t="s">
        <v>2344</v>
      </c>
      <c r="B17" s="12"/>
      <c r="C17" s="14" t="s">
        <v>2331</v>
      </c>
    </row>
    <row r="18" spans="1:3" ht="31.5" x14ac:dyDescent="0.25">
      <c r="A18" s="1061"/>
      <c r="B18" s="12">
        <v>1</v>
      </c>
      <c r="C18" s="14" t="s">
        <v>2345</v>
      </c>
    </row>
    <row r="19" spans="1:3" ht="31.5" x14ac:dyDescent="0.25">
      <c r="A19" s="1062"/>
      <c r="B19" s="12">
        <v>2</v>
      </c>
      <c r="C19" s="14" t="s">
        <v>2365</v>
      </c>
    </row>
    <row r="20" spans="1:3" ht="18.75" customHeight="1" x14ac:dyDescent="0.25">
      <c r="A20" s="1056" t="s">
        <v>2346</v>
      </c>
      <c r="B20" s="12">
        <v>1</v>
      </c>
      <c r="C20" s="16" t="s">
        <v>2347</v>
      </c>
    </row>
    <row r="21" spans="1:3" ht="31.5" x14ac:dyDescent="0.25">
      <c r="A21" s="1057"/>
      <c r="B21" s="12">
        <v>2</v>
      </c>
      <c r="C21" s="14" t="s">
        <v>2531</v>
      </c>
    </row>
    <row r="22" spans="1:3" ht="63" x14ac:dyDescent="0.25">
      <c r="A22" s="1057"/>
      <c r="B22" s="12">
        <v>3</v>
      </c>
      <c r="C22" s="14" t="s">
        <v>2366</v>
      </c>
    </row>
    <row r="23" spans="1:3" x14ac:dyDescent="0.25">
      <c r="A23" s="1057"/>
      <c r="B23" s="12">
        <v>4</v>
      </c>
      <c r="C23" s="14" t="s">
        <v>2529</v>
      </c>
    </row>
    <row r="24" spans="1:3" ht="31.5" x14ac:dyDescent="0.25">
      <c r="A24" s="1057"/>
      <c r="B24" s="12">
        <v>5</v>
      </c>
      <c r="C24" s="14" t="s">
        <v>2530</v>
      </c>
    </row>
    <row r="25" spans="1:3" x14ac:dyDescent="0.25">
      <c r="A25" s="1058"/>
      <c r="B25" s="12">
        <v>6</v>
      </c>
      <c r="C25" s="14" t="s">
        <v>2528</v>
      </c>
    </row>
    <row r="26" spans="1:3" x14ac:dyDescent="0.25">
      <c r="C26" s="1"/>
    </row>
  </sheetData>
  <sheetProtection algorithmName="SHA-512" hashValue="Rtq5cduxXIJnVvUiigSxci4hUY5hzbnvfAU/gHtqzAWgoMkMouoBZfbxchbmVSqZ0mQMil1XE+YyXLV8XhcfTQ==" saltValue="jrd9nEq9ueeV8UV/aLiZOA==" spinCount="100000" sheet="1" objects="1" scenarios="1"/>
  <mergeCells count="6">
    <mergeCell ref="A20:A25"/>
    <mergeCell ref="A3:C3"/>
    <mergeCell ref="A4:C4"/>
    <mergeCell ref="A10:A13"/>
    <mergeCell ref="A8:C8"/>
    <mergeCell ref="A17:A19"/>
  </mergeCells>
  <hyperlinks>
    <hyperlink ref="B2" location="' הנחיות למילוי'!A1" tooltip="קישור להנחיות למילוי" display="הנחיות למילוי" xr:uid="{00000000-0004-0000-0000-000000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268D-8059-427F-B8C7-E6401E357292}">
  <sheetPr codeName="גיליון2">
    <tabColor rgb="FFCCFFFF"/>
  </sheetPr>
  <dimension ref="A3:C31"/>
  <sheetViews>
    <sheetView showGridLines="0" rightToLeft="1" workbookViewId="0"/>
  </sheetViews>
  <sheetFormatPr defaultRowHeight="14.25" x14ac:dyDescent="0.2"/>
  <cols>
    <col min="1" max="1" width="24.5" bestFit="1" customWidth="1"/>
    <col min="3" max="3" width="87.375" style="727" customWidth="1"/>
  </cols>
  <sheetData>
    <row r="3" spans="1:3" ht="18.75" x14ac:dyDescent="0.2">
      <c r="A3" s="726" t="s">
        <v>2854</v>
      </c>
      <c r="B3" s="726" t="s">
        <v>85</v>
      </c>
      <c r="C3" s="351" t="s">
        <v>82</v>
      </c>
    </row>
    <row r="4" spans="1:3" ht="15.75" x14ac:dyDescent="0.2">
      <c r="A4" s="352" t="s">
        <v>2297</v>
      </c>
      <c r="B4" s="352">
        <v>1</v>
      </c>
      <c r="C4" s="353" t="s">
        <v>2820</v>
      </c>
    </row>
    <row r="5" spans="1:3" ht="15.75" x14ac:dyDescent="0.2">
      <c r="A5" s="1064" t="s">
        <v>2296</v>
      </c>
      <c r="B5" s="352">
        <v>1</v>
      </c>
      <c r="C5" s="353" t="s">
        <v>2821</v>
      </c>
    </row>
    <row r="6" spans="1:3" ht="15.75" x14ac:dyDescent="0.2">
      <c r="A6" s="1065"/>
      <c r="B6" s="352">
        <v>2</v>
      </c>
      <c r="C6" s="354" t="s">
        <v>2822</v>
      </c>
    </row>
    <row r="7" spans="1:3" ht="31.5" x14ac:dyDescent="0.2">
      <c r="A7" s="1065"/>
      <c r="B7" s="352">
        <v>3</v>
      </c>
      <c r="C7" s="350" t="s">
        <v>141</v>
      </c>
    </row>
    <row r="8" spans="1:3" ht="31.5" x14ac:dyDescent="0.2">
      <c r="A8" s="1066"/>
      <c r="B8" s="352">
        <v>4</v>
      </c>
      <c r="C8" s="350" t="s">
        <v>84</v>
      </c>
    </row>
    <row r="9" spans="1:3" ht="15.75" x14ac:dyDescent="0.2">
      <c r="A9" s="1067" t="s">
        <v>2823</v>
      </c>
      <c r="B9" s="349">
        <v>1</v>
      </c>
      <c r="C9" s="350" t="s">
        <v>2824</v>
      </c>
    </row>
    <row r="10" spans="1:3" ht="15.75" x14ac:dyDescent="0.2">
      <c r="A10" s="1069"/>
      <c r="B10" s="349">
        <v>2</v>
      </c>
      <c r="C10" s="995" t="s">
        <v>3390</v>
      </c>
    </row>
    <row r="11" spans="1:3" ht="31.5" x14ac:dyDescent="0.2">
      <c r="A11" s="1064" t="s">
        <v>2825</v>
      </c>
      <c r="B11" s="352">
        <v>1</v>
      </c>
      <c r="C11" s="350" t="s">
        <v>2911</v>
      </c>
    </row>
    <row r="12" spans="1:3" ht="15.75" x14ac:dyDescent="0.2">
      <c r="A12" s="1065"/>
      <c r="B12" s="352">
        <v>2</v>
      </c>
      <c r="C12" s="350" t="s">
        <v>2826</v>
      </c>
    </row>
    <row r="13" spans="1:3" ht="15.75" x14ac:dyDescent="0.2">
      <c r="A13" s="1065"/>
      <c r="B13" s="352">
        <v>3</v>
      </c>
      <c r="C13" s="350" t="s">
        <v>2912</v>
      </c>
    </row>
    <row r="14" spans="1:3" ht="15.75" x14ac:dyDescent="0.2">
      <c r="A14" s="1065"/>
      <c r="B14" s="352">
        <v>4</v>
      </c>
      <c r="C14" s="350" t="s">
        <v>2913</v>
      </c>
    </row>
    <row r="15" spans="1:3" ht="15.75" x14ac:dyDescent="0.2">
      <c r="A15" s="1065"/>
      <c r="B15" s="352">
        <v>5</v>
      </c>
      <c r="C15" s="350" t="s">
        <v>3387</v>
      </c>
    </row>
    <row r="16" spans="1:3" ht="47.25" x14ac:dyDescent="0.2">
      <c r="A16" s="1066"/>
      <c r="B16" s="352">
        <v>6</v>
      </c>
      <c r="C16" s="350" t="s">
        <v>3386</v>
      </c>
    </row>
    <row r="17" spans="1:3" ht="15.75" x14ac:dyDescent="0.2">
      <c r="A17" s="1064" t="s">
        <v>2827</v>
      </c>
      <c r="B17" s="352">
        <v>1</v>
      </c>
      <c r="C17" s="350" t="s">
        <v>2828</v>
      </c>
    </row>
    <row r="18" spans="1:3" ht="31.5" x14ac:dyDescent="0.2">
      <c r="A18" s="1065"/>
      <c r="B18" s="352">
        <v>2</v>
      </c>
      <c r="C18" s="354" t="s">
        <v>2914</v>
      </c>
    </row>
    <row r="19" spans="1:3" ht="31.5" x14ac:dyDescent="0.2">
      <c r="A19" s="1066"/>
      <c r="B19" s="352">
        <v>3</v>
      </c>
      <c r="C19" s="354" t="s">
        <v>2678</v>
      </c>
    </row>
    <row r="20" spans="1:3" ht="15.75" customHeight="1" x14ac:dyDescent="0.2">
      <c r="A20" s="1067" t="s">
        <v>2829</v>
      </c>
      <c r="B20" s="349">
        <v>1</v>
      </c>
      <c r="C20" s="350" t="s">
        <v>152</v>
      </c>
    </row>
    <row r="21" spans="1:3" ht="15.75" x14ac:dyDescent="0.2">
      <c r="A21" s="1068"/>
      <c r="B21" s="349">
        <v>2</v>
      </c>
      <c r="C21" s="350" t="s">
        <v>2830</v>
      </c>
    </row>
    <row r="22" spans="1:3" ht="15.75" x14ac:dyDescent="0.2">
      <c r="A22" s="1068"/>
      <c r="B22" s="349">
        <v>3</v>
      </c>
      <c r="C22" s="350" t="s">
        <v>153</v>
      </c>
    </row>
    <row r="23" spans="1:3" ht="15.75" x14ac:dyDescent="0.2">
      <c r="A23" s="1068"/>
      <c r="B23" s="349">
        <v>4</v>
      </c>
      <c r="C23" s="350" t="s">
        <v>154</v>
      </c>
    </row>
    <row r="24" spans="1:3" ht="15.75" x14ac:dyDescent="0.2">
      <c r="A24" s="1069"/>
      <c r="B24" s="349">
        <v>5</v>
      </c>
      <c r="C24" s="350" t="s">
        <v>83</v>
      </c>
    </row>
    <row r="25" spans="1:3" ht="15.75" x14ac:dyDescent="0.2">
      <c r="A25" s="1064" t="s">
        <v>2831</v>
      </c>
      <c r="B25" s="352">
        <v>1</v>
      </c>
      <c r="C25" s="350" t="s">
        <v>2915</v>
      </c>
    </row>
    <row r="26" spans="1:3" ht="78.75" x14ac:dyDescent="0.2">
      <c r="A26" s="1066"/>
      <c r="B26" s="352">
        <v>2</v>
      </c>
      <c r="C26" s="350" t="s">
        <v>2677</v>
      </c>
    </row>
    <row r="27" spans="1:3" ht="49.5" customHeight="1" x14ac:dyDescent="0.2">
      <c r="A27" s="908"/>
      <c r="B27" s="352">
        <v>3</v>
      </c>
      <c r="C27" s="936" t="s">
        <v>2920</v>
      </c>
    </row>
    <row r="28" spans="1:3" ht="31.5" x14ac:dyDescent="0.2">
      <c r="A28" s="352" t="s">
        <v>2835</v>
      </c>
      <c r="B28" s="352">
        <v>1</v>
      </c>
      <c r="C28" s="350" t="s">
        <v>3401</v>
      </c>
    </row>
    <row r="29" spans="1:3" ht="31.5" x14ac:dyDescent="0.2">
      <c r="A29" s="1067" t="s">
        <v>2836</v>
      </c>
      <c r="B29" s="349">
        <v>1</v>
      </c>
      <c r="C29" s="355" t="s">
        <v>2359</v>
      </c>
    </row>
    <row r="30" spans="1:3" ht="47.25" x14ac:dyDescent="0.2">
      <c r="A30" s="1069"/>
      <c r="B30" s="349">
        <v>2</v>
      </c>
      <c r="C30" s="355" t="s">
        <v>2360</v>
      </c>
    </row>
    <row r="31" spans="1:3" ht="15.75" x14ac:dyDescent="0.2">
      <c r="A31" s="356" t="s">
        <v>2837</v>
      </c>
      <c r="B31" s="356">
        <v>1</v>
      </c>
      <c r="C31" s="350" t="s">
        <v>2361</v>
      </c>
    </row>
  </sheetData>
  <sheetProtection algorithmName="SHA-512" hashValue="Fm7qsrwHacWM4JQMUHFM3rIvh6vQDIbBvwNyohUv9k9D+tkK28pqGCQF3ONE/MBjQxq6oTN+zRELR+EcsS9SBg==" saltValue="U0SJy1r6Rr7nwY2eB0rEhg==" spinCount="100000" sheet="1" objects="1" scenarios="1"/>
  <mergeCells count="7">
    <mergeCell ref="A11:A16"/>
    <mergeCell ref="A17:A19"/>
    <mergeCell ref="A20:A24"/>
    <mergeCell ref="A29:A30"/>
    <mergeCell ref="A5:A8"/>
    <mergeCell ref="A25:A26"/>
    <mergeCell ref="A9:A10"/>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11">
    <tabColor rgb="FFCCFFFF"/>
    <pageSetUpPr fitToPage="1"/>
  </sheetPr>
  <dimension ref="A1:L109"/>
  <sheetViews>
    <sheetView showGridLines="0" rightToLeft="1" workbookViewId="0">
      <selection activeCell="L17" sqref="L17"/>
    </sheetView>
  </sheetViews>
  <sheetFormatPr defaultColWidth="9.125" defaultRowHeight="15" x14ac:dyDescent="0.25"/>
  <cols>
    <col min="1" max="1" width="4.125" style="22" customWidth="1"/>
    <col min="2" max="2" width="13" style="22" customWidth="1"/>
    <col min="3" max="3" width="17.375" style="22" customWidth="1"/>
    <col min="4" max="4" width="11.375" style="22" customWidth="1"/>
    <col min="5" max="5" width="10.625" style="22" customWidth="1"/>
    <col min="6" max="6" width="11" style="22" customWidth="1"/>
    <col min="7" max="7" width="11.375" style="22" customWidth="1"/>
    <col min="8" max="8" width="13.75" style="22" customWidth="1"/>
    <col min="9" max="9" width="12.125" style="22" customWidth="1"/>
    <col min="10" max="10" width="9.125" style="22" customWidth="1"/>
    <col min="11" max="11" width="10" style="22" bestFit="1" customWidth="1"/>
    <col min="12" max="12" width="11" style="22" bestFit="1" customWidth="1"/>
    <col min="13" max="16384" width="9.125" style="22"/>
  </cols>
  <sheetData>
    <row r="1" spans="1:11" s="31" customFormat="1" ht="20.25" x14ac:dyDescent="0.3">
      <c r="B1" s="32"/>
      <c r="C1" s="32"/>
      <c r="D1" s="32"/>
      <c r="E1" s="286" t="s">
        <v>2797</v>
      </c>
      <c r="F1" s="32"/>
      <c r="G1" s="32"/>
      <c r="H1" s="32"/>
      <c r="I1" s="32"/>
    </row>
    <row r="2" spans="1:11" s="31" customFormat="1" ht="20.25" x14ac:dyDescent="0.3">
      <c r="A2" s="286"/>
      <c r="B2" s="286"/>
      <c r="C2" s="286"/>
      <c r="D2" s="286"/>
      <c r="E2" s="286" t="s">
        <v>2262</v>
      </c>
      <c r="F2" s="286"/>
      <c r="G2" s="286"/>
      <c r="H2" s="286"/>
      <c r="I2" s="286"/>
    </row>
    <row r="3" spans="1:11" s="31" customFormat="1" ht="15.75" customHeight="1" x14ac:dyDescent="0.25">
      <c r="A3" s="294"/>
      <c r="B3" s="273"/>
      <c r="C3" s="274"/>
      <c r="D3" s="274"/>
      <c r="E3" s="295"/>
      <c r="F3" s="295"/>
      <c r="G3" s="295"/>
      <c r="H3" s="295"/>
      <c r="I3" s="294"/>
    </row>
    <row r="4" spans="1:11" ht="20.25" x14ac:dyDescent="0.3">
      <c r="A4" s="296" t="s">
        <v>42</v>
      </c>
      <c r="B4" s="297" t="s">
        <v>2263</v>
      </c>
      <c r="E4" s="298"/>
      <c r="F4" s="298"/>
      <c r="G4" s="298"/>
      <c r="H4" s="298"/>
    </row>
    <row r="5" spans="1:11" ht="15.75" thickBot="1" x14ac:dyDescent="0.3">
      <c r="E5" s="299"/>
      <c r="F5" s="299"/>
      <c r="G5" s="299"/>
      <c r="H5" s="299"/>
    </row>
    <row r="6" spans="1:11" ht="15" customHeight="1" x14ac:dyDescent="0.25">
      <c r="B6" s="1087" t="s">
        <v>2905</v>
      </c>
      <c r="C6" s="1088"/>
      <c r="D6" s="1088"/>
      <c r="E6" s="1088"/>
      <c r="F6" s="1088"/>
      <c r="G6" s="1088"/>
      <c r="H6" s="1088"/>
      <c r="I6" s="1089"/>
    </row>
    <row r="7" spans="1:11" ht="30.75" thickBot="1" x14ac:dyDescent="0.3">
      <c r="B7" s="300" t="s">
        <v>10</v>
      </c>
      <c r="C7" s="301" t="s">
        <v>11</v>
      </c>
      <c r="D7" s="302" t="s">
        <v>70</v>
      </c>
      <c r="E7" s="302" t="s">
        <v>12</v>
      </c>
      <c r="F7" s="302" t="s">
        <v>13</v>
      </c>
      <c r="G7" s="302" t="s">
        <v>14</v>
      </c>
      <c r="H7" s="302" t="s">
        <v>94</v>
      </c>
      <c r="I7" s="303" t="s">
        <v>15</v>
      </c>
    </row>
    <row r="8" spans="1:11" x14ac:dyDescent="0.25">
      <c r="B8" s="1090" t="s">
        <v>33</v>
      </c>
      <c r="C8" s="1077" t="s">
        <v>2264</v>
      </c>
      <c r="D8" s="304">
        <v>5</v>
      </c>
      <c r="E8" s="658">
        <v>428</v>
      </c>
      <c r="F8" s="305">
        <v>3920</v>
      </c>
      <c r="G8" s="305">
        <v>1400</v>
      </c>
      <c r="H8" s="305">
        <v>800</v>
      </c>
      <c r="I8" s="306">
        <f t="shared" ref="I8:I9" si="0">SUM(E8:H8)</f>
        <v>6548</v>
      </c>
      <c r="K8" s="299"/>
    </row>
    <row r="9" spans="1:11" x14ac:dyDescent="0.25">
      <c r="B9" s="1091"/>
      <c r="C9" s="1078"/>
      <c r="D9" s="307" t="s">
        <v>71</v>
      </c>
      <c r="E9" s="308">
        <f>E8/$I$8</f>
        <v>6.5363469761759316E-2</v>
      </c>
      <c r="F9" s="308">
        <f>F8/$I$8</f>
        <v>0.59865607819181432</v>
      </c>
      <c r="G9" s="308">
        <f>G8/$I$8</f>
        <v>0.21380574221136225</v>
      </c>
      <c r="H9" s="308">
        <f>H8/$I$8</f>
        <v>0.12217470983506414</v>
      </c>
      <c r="I9" s="309">
        <f t="shared" si="0"/>
        <v>1</v>
      </c>
      <c r="K9" s="299"/>
    </row>
    <row r="10" spans="1:11" x14ac:dyDescent="0.25">
      <c r="B10" s="1091"/>
      <c r="C10" s="1079" t="s">
        <v>34</v>
      </c>
      <c r="D10" s="307" t="s">
        <v>72</v>
      </c>
      <c r="E10" s="414">
        <f>E8/25/5</f>
        <v>3.4240000000000004</v>
      </c>
      <c r="F10" s="414">
        <f t="shared" ref="F10:H10" si="1">F8/25/5</f>
        <v>31.360000000000003</v>
      </c>
      <c r="G10" s="414">
        <f t="shared" si="1"/>
        <v>11.2</v>
      </c>
      <c r="H10" s="414">
        <f t="shared" si="1"/>
        <v>6.4</v>
      </c>
      <c r="I10" s="917">
        <f>I8/25/5</f>
        <v>52.384</v>
      </c>
    </row>
    <row r="11" spans="1:11" ht="30.75" thickBot="1" x14ac:dyDescent="0.3">
      <c r="B11" s="1091"/>
      <c r="C11" s="1079"/>
      <c r="D11" s="310" t="s">
        <v>2265</v>
      </c>
      <c r="E11" s="920">
        <f>E10*15</f>
        <v>51.360000000000007</v>
      </c>
      <c r="F11" s="920">
        <f t="shared" ref="F11:H11" si="2">F10*15</f>
        <v>470.40000000000003</v>
      </c>
      <c r="G11" s="920">
        <f t="shared" si="2"/>
        <v>168</v>
      </c>
      <c r="H11" s="920">
        <f t="shared" si="2"/>
        <v>96</v>
      </c>
      <c r="I11" s="921">
        <f>I8/25*3</f>
        <v>785.76</v>
      </c>
      <c r="K11" s="299"/>
    </row>
    <row r="12" spans="1:11" ht="15.75" thickBot="1" x14ac:dyDescent="0.3">
      <c r="B12" s="1091"/>
      <c r="C12" s="1093" t="s">
        <v>2806</v>
      </c>
      <c r="D12" s="304">
        <v>5</v>
      </c>
      <c r="E12" s="659">
        <v>497</v>
      </c>
      <c r="F12" s="659">
        <v>4895</v>
      </c>
      <c r="G12" s="659">
        <v>1400</v>
      </c>
      <c r="H12" s="659">
        <v>800</v>
      </c>
      <c r="I12" s="661">
        <f>SUM(E12:H12)</f>
        <v>7592</v>
      </c>
      <c r="K12" s="299"/>
    </row>
    <row r="13" spans="1:11" ht="15.75" thickBot="1" x14ac:dyDescent="0.3">
      <c r="B13" s="1091"/>
      <c r="C13" s="1093"/>
      <c r="D13" s="307" t="s">
        <v>71</v>
      </c>
      <c r="E13" s="660">
        <f>E12/$I$12</f>
        <v>6.5463645943098003E-2</v>
      </c>
      <c r="F13" s="660">
        <f t="shared" ref="F13:H13" si="3">F12/$I$12</f>
        <v>0.64475763962065336</v>
      </c>
      <c r="G13" s="660">
        <f t="shared" si="3"/>
        <v>0.18440463645943098</v>
      </c>
      <c r="H13" s="660">
        <f t="shared" si="3"/>
        <v>0.10537407797681771</v>
      </c>
      <c r="I13" s="662">
        <f>SUM(E13:H13)</f>
        <v>1</v>
      </c>
      <c r="K13" s="299"/>
    </row>
    <row r="14" spans="1:11" ht="15.75" thickBot="1" x14ac:dyDescent="0.3">
      <c r="B14" s="1091"/>
      <c r="C14" s="1093"/>
      <c r="D14" s="307" t="s">
        <v>72</v>
      </c>
      <c r="E14" s="415">
        <f>E12/25/5</f>
        <v>3.976</v>
      </c>
      <c r="F14" s="415">
        <f t="shared" ref="F14:H14" si="4">F12/25/5</f>
        <v>39.160000000000004</v>
      </c>
      <c r="G14" s="415">
        <f t="shared" si="4"/>
        <v>11.2</v>
      </c>
      <c r="H14" s="415">
        <f t="shared" si="4"/>
        <v>6.4</v>
      </c>
      <c r="I14" s="664">
        <f>I12/25/5</f>
        <v>60.736000000000004</v>
      </c>
      <c r="K14" s="299"/>
    </row>
    <row r="15" spans="1:11" s="39" customFormat="1" ht="30.75" thickBot="1" x14ac:dyDescent="0.3">
      <c r="B15" s="1092"/>
      <c r="C15" s="1094"/>
      <c r="D15" s="916" t="s">
        <v>2803</v>
      </c>
      <c r="E15" s="663">
        <f>E14*7</f>
        <v>27.832000000000001</v>
      </c>
      <c r="F15" s="663">
        <f t="shared" ref="F15:H15" si="5">F14*7</f>
        <v>274.12</v>
      </c>
      <c r="G15" s="663">
        <f t="shared" si="5"/>
        <v>78.399999999999991</v>
      </c>
      <c r="H15" s="663">
        <f t="shared" si="5"/>
        <v>44.800000000000004</v>
      </c>
      <c r="I15" s="922">
        <f>I14*7</f>
        <v>425.15200000000004</v>
      </c>
    </row>
    <row r="18" spans="2:9" x14ac:dyDescent="0.25">
      <c r="B18" s="1080" t="s">
        <v>36</v>
      </c>
      <c r="C18" s="1081"/>
      <c r="D18" s="1081"/>
      <c r="E18" s="1081"/>
      <c r="F18" s="1082"/>
    </row>
    <row r="19" spans="2:9" x14ac:dyDescent="0.25">
      <c r="B19" s="311" t="s">
        <v>10</v>
      </c>
      <c r="C19" s="311" t="s">
        <v>11</v>
      </c>
      <c r="D19" s="311" t="s">
        <v>35</v>
      </c>
      <c r="E19" s="311" t="s">
        <v>37</v>
      </c>
      <c r="F19" s="312" t="s">
        <v>81</v>
      </c>
    </row>
    <row r="20" spans="2:9" s="313" customFormat="1" ht="60" x14ac:dyDescent="0.2">
      <c r="B20" s="314" t="s">
        <v>32</v>
      </c>
      <c r="C20" s="315" t="s">
        <v>2266</v>
      </c>
      <c r="D20" s="316">
        <v>15</v>
      </c>
      <c r="E20" s="317">
        <f>6*D20*103.6</f>
        <v>9324</v>
      </c>
      <c r="F20" s="318">
        <f>E20/5</f>
        <v>1864.8</v>
      </c>
      <c r="I20" s="319"/>
    </row>
    <row r="22" spans="2:9" x14ac:dyDescent="0.25">
      <c r="B22" s="320" t="s">
        <v>2921</v>
      </c>
    </row>
    <row r="23" spans="2:9" ht="15.75" thickBot="1" x14ac:dyDescent="0.3">
      <c r="B23" s="320"/>
    </row>
    <row r="24" spans="2:9" ht="15.75" thickBot="1" x14ac:dyDescent="0.3">
      <c r="B24" s="923" t="s">
        <v>3392</v>
      </c>
      <c r="C24" s="923"/>
      <c r="D24" s="924"/>
      <c r="E24" s="924"/>
      <c r="F24" s="925"/>
      <c r="G24" s="926">
        <f>I11</f>
        <v>785.76</v>
      </c>
      <c r="H24" s="678">
        <f>I15</f>
        <v>425.15200000000004</v>
      </c>
    </row>
    <row r="25" spans="2:9" ht="60" x14ac:dyDescent="0.25">
      <c r="B25" s="321" t="s">
        <v>6</v>
      </c>
      <c r="C25" s="321" t="s">
        <v>38</v>
      </c>
      <c r="D25" s="927" t="s">
        <v>2812</v>
      </c>
      <c r="E25" s="321" t="s">
        <v>39</v>
      </c>
      <c r="F25" s="927" t="s">
        <v>2811</v>
      </c>
      <c r="G25" s="321" t="s">
        <v>40</v>
      </c>
      <c r="H25" s="927" t="s">
        <v>2810</v>
      </c>
    </row>
    <row r="26" spans="2:9" x14ac:dyDescent="0.25">
      <c r="B26" s="348">
        <v>1</v>
      </c>
      <c r="C26" s="416">
        <v>75</v>
      </c>
      <c r="D26" s="416">
        <v>35</v>
      </c>
      <c r="E26" s="418">
        <f>$G$24-C26</f>
        <v>710.76</v>
      </c>
      <c r="F26" s="417">
        <f>$H$24-D26</f>
        <v>390.15200000000004</v>
      </c>
      <c r="G26" s="322">
        <f>1-C26/$G$24</f>
        <v>0.90455100794135612</v>
      </c>
      <c r="H26" s="322">
        <f>1-D26/$H$24</f>
        <v>0.9176765015806112</v>
      </c>
    </row>
    <row r="27" spans="2:9" x14ac:dyDescent="0.25">
      <c r="B27" s="348">
        <v>2</v>
      </c>
      <c r="C27" s="416">
        <v>75</v>
      </c>
      <c r="D27" s="416">
        <v>35</v>
      </c>
      <c r="E27" s="418">
        <f t="shared" ref="E27:E35" si="6">$G$24-C27</f>
        <v>710.76</v>
      </c>
      <c r="F27" s="417">
        <f t="shared" ref="F27:F35" si="7">$H$24-D27</f>
        <v>390.15200000000004</v>
      </c>
      <c r="G27" s="322">
        <f t="shared" ref="G27:G35" si="8">1-C27/$G$24</f>
        <v>0.90455100794135612</v>
      </c>
      <c r="H27" s="322">
        <f t="shared" ref="H27:H35" si="9">1-D27/$H$24</f>
        <v>0.9176765015806112</v>
      </c>
    </row>
    <row r="28" spans="2:9" x14ac:dyDescent="0.25">
      <c r="B28" s="348">
        <v>3</v>
      </c>
      <c r="C28" s="416">
        <v>75</v>
      </c>
      <c r="D28" s="416">
        <v>35</v>
      </c>
      <c r="E28" s="418">
        <f t="shared" si="6"/>
        <v>710.76</v>
      </c>
      <c r="F28" s="417">
        <f t="shared" si="7"/>
        <v>390.15200000000004</v>
      </c>
      <c r="G28" s="322">
        <f t="shared" si="8"/>
        <v>0.90455100794135612</v>
      </c>
      <c r="H28" s="322">
        <f t="shared" si="9"/>
        <v>0.9176765015806112</v>
      </c>
    </row>
    <row r="29" spans="2:9" x14ac:dyDescent="0.25">
      <c r="B29" s="348">
        <v>4</v>
      </c>
      <c r="C29" s="416">
        <v>75</v>
      </c>
      <c r="D29" s="416">
        <v>35</v>
      </c>
      <c r="E29" s="418">
        <f t="shared" si="6"/>
        <v>710.76</v>
      </c>
      <c r="F29" s="417">
        <f t="shared" si="7"/>
        <v>390.15200000000004</v>
      </c>
      <c r="G29" s="322">
        <f t="shared" si="8"/>
        <v>0.90455100794135612</v>
      </c>
      <c r="H29" s="322">
        <f t="shared" si="9"/>
        <v>0.9176765015806112</v>
      </c>
    </row>
    <row r="30" spans="2:9" x14ac:dyDescent="0.25">
      <c r="B30" s="348">
        <v>5</v>
      </c>
      <c r="C30" s="416">
        <v>300</v>
      </c>
      <c r="D30" s="416">
        <v>140</v>
      </c>
      <c r="E30" s="418">
        <f t="shared" si="6"/>
        <v>485.76</v>
      </c>
      <c r="F30" s="417">
        <f t="shared" si="7"/>
        <v>285.15200000000004</v>
      </c>
      <c r="G30" s="322">
        <f t="shared" si="8"/>
        <v>0.61820403176542449</v>
      </c>
      <c r="H30" s="322">
        <f t="shared" si="9"/>
        <v>0.6707060063224447</v>
      </c>
    </row>
    <row r="31" spans="2:9" x14ac:dyDescent="0.25">
      <c r="B31" s="348">
        <v>6</v>
      </c>
      <c r="C31" s="416">
        <v>300</v>
      </c>
      <c r="D31" s="416">
        <v>140</v>
      </c>
      <c r="E31" s="418">
        <f t="shared" si="6"/>
        <v>485.76</v>
      </c>
      <c r="F31" s="417">
        <f t="shared" si="7"/>
        <v>285.15200000000004</v>
      </c>
      <c r="G31" s="322">
        <f t="shared" si="8"/>
        <v>0.61820403176542449</v>
      </c>
      <c r="H31" s="322">
        <f t="shared" si="9"/>
        <v>0.6707060063224447</v>
      </c>
    </row>
    <row r="32" spans="2:9" x14ac:dyDescent="0.25">
      <c r="B32" s="348">
        <v>7</v>
      </c>
      <c r="C32" s="416">
        <v>300</v>
      </c>
      <c r="D32" s="416">
        <v>140</v>
      </c>
      <c r="E32" s="418">
        <f t="shared" si="6"/>
        <v>485.76</v>
      </c>
      <c r="F32" s="417">
        <f t="shared" si="7"/>
        <v>285.15200000000004</v>
      </c>
      <c r="G32" s="322">
        <f t="shared" si="8"/>
        <v>0.61820403176542449</v>
      </c>
      <c r="H32" s="322">
        <f t="shared" si="9"/>
        <v>0.6707060063224447</v>
      </c>
    </row>
    <row r="33" spans="1:11" x14ac:dyDescent="0.25">
      <c r="B33" s="348">
        <v>8</v>
      </c>
      <c r="C33" s="416">
        <v>450</v>
      </c>
      <c r="D33" s="416">
        <v>210</v>
      </c>
      <c r="E33" s="418">
        <f t="shared" si="6"/>
        <v>335.76</v>
      </c>
      <c r="F33" s="417">
        <f t="shared" si="7"/>
        <v>215.15200000000004</v>
      </c>
      <c r="G33" s="322">
        <f t="shared" si="8"/>
        <v>0.42730604764813684</v>
      </c>
      <c r="H33" s="322">
        <f t="shared" si="9"/>
        <v>0.506059009483667</v>
      </c>
    </row>
    <row r="34" spans="1:11" x14ac:dyDescent="0.25">
      <c r="B34" s="348">
        <v>9</v>
      </c>
      <c r="C34" s="416">
        <v>450</v>
      </c>
      <c r="D34" s="416">
        <v>210</v>
      </c>
      <c r="E34" s="418">
        <f t="shared" si="6"/>
        <v>335.76</v>
      </c>
      <c r="F34" s="417">
        <f t="shared" si="7"/>
        <v>215.15200000000004</v>
      </c>
      <c r="G34" s="322">
        <f t="shared" si="8"/>
        <v>0.42730604764813684</v>
      </c>
      <c r="H34" s="322">
        <f t="shared" si="9"/>
        <v>0.506059009483667</v>
      </c>
    </row>
    <row r="35" spans="1:11" x14ac:dyDescent="0.25">
      <c r="B35" s="348">
        <v>10</v>
      </c>
      <c r="C35" s="416">
        <v>450</v>
      </c>
      <c r="D35" s="416">
        <v>210</v>
      </c>
      <c r="E35" s="418">
        <f t="shared" si="6"/>
        <v>335.76</v>
      </c>
      <c r="F35" s="417">
        <f t="shared" si="7"/>
        <v>215.15200000000004</v>
      </c>
      <c r="G35" s="322">
        <f t="shared" si="8"/>
        <v>0.42730604764813684</v>
      </c>
      <c r="H35" s="322">
        <f t="shared" si="9"/>
        <v>0.506059009483667</v>
      </c>
    </row>
    <row r="36" spans="1:11" x14ac:dyDescent="0.25">
      <c r="B36" s="323"/>
      <c r="C36" s="324"/>
      <c r="D36" s="325"/>
      <c r="E36" s="325"/>
      <c r="F36" s="326"/>
    </row>
    <row r="37" spans="1:11" ht="20.25" x14ac:dyDescent="0.3">
      <c r="A37" s="296" t="s">
        <v>2267</v>
      </c>
      <c r="B37" s="297" t="s">
        <v>2268</v>
      </c>
    </row>
    <row r="38" spans="1:11" ht="20.25" x14ac:dyDescent="0.3">
      <c r="A38" s="296"/>
      <c r="B38" s="297"/>
    </row>
    <row r="39" spans="1:11" ht="16.5" thickBot="1" x14ac:dyDescent="0.3">
      <c r="B39" s="193" t="s">
        <v>2906</v>
      </c>
    </row>
    <row r="40" spans="1:11" x14ac:dyDescent="0.25">
      <c r="B40" s="1087" t="s">
        <v>2905</v>
      </c>
      <c r="C40" s="1088"/>
      <c r="D40" s="1088"/>
      <c r="E40" s="1088"/>
      <c r="F40" s="1088"/>
      <c r="G40" s="1088"/>
      <c r="H40" s="1088"/>
      <c r="I40" s="1089"/>
    </row>
    <row r="41" spans="1:11" ht="30" x14ac:dyDescent="0.25">
      <c r="B41" s="909" t="s">
        <v>10</v>
      </c>
      <c r="C41" s="910" t="s">
        <v>11</v>
      </c>
      <c r="D41" s="910" t="s">
        <v>35</v>
      </c>
      <c r="E41" s="911" t="s">
        <v>12</v>
      </c>
      <c r="F41" s="911" t="s">
        <v>13</v>
      </c>
      <c r="G41" s="911" t="s">
        <v>14</v>
      </c>
      <c r="H41" s="911" t="s">
        <v>94</v>
      </c>
      <c r="I41" s="912" t="s">
        <v>15</v>
      </c>
    </row>
    <row r="42" spans="1:11" ht="15" customHeight="1" x14ac:dyDescent="0.25">
      <c r="B42" s="1084" t="s">
        <v>63</v>
      </c>
      <c r="C42" s="1076" t="s">
        <v>2804</v>
      </c>
      <c r="D42" s="913">
        <v>5</v>
      </c>
      <c r="E42" s="68">
        <v>396</v>
      </c>
      <c r="F42" s="68">
        <v>3108</v>
      </c>
      <c r="G42" s="68">
        <v>1550</v>
      </c>
      <c r="H42" s="68">
        <v>1000</v>
      </c>
      <c r="I42" s="657">
        <f>SUM(E42:H42)</f>
        <v>6054</v>
      </c>
      <c r="J42" s="327"/>
    </row>
    <row r="43" spans="1:11" ht="37.5" customHeight="1" x14ac:dyDescent="0.25">
      <c r="B43" s="1084"/>
      <c r="C43" s="1076"/>
      <c r="D43" s="913" t="s">
        <v>71</v>
      </c>
      <c r="E43" s="412">
        <f>E42/$I$42</f>
        <v>6.5411298315163527E-2</v>
      </c>
      <c r="F43" s="412">
        <f>F42/$I$42</f>
        <v>0.51337958374628345</v>
      </c>
      <c r="G43" s="412">
        <f>G42/$I$42</f>
        <v>0.2560290716881401</v>
      </c>
      <c r="H43" s="412">
        <f>H42/$I$42</f>
        <v>0.16518004625041294</v>
      </c>
      <c r="I43" s="413">
        <f>SUM(E43:H43)</f>
        <v>1</v>
      </c>
      <c r="J43" s="24"/>
    </row>
    <row r="44" spans="1:11" ht="15" customHeight="1" x14ac:dyDescent="0.25">
      <c r="B44" s="1084"/>
      <c r="C44" s="1083" t="s">
        <v>64</v>
      </c>
      <c r="D44" s="913" t="s">
        <v>72</v>
      </c>
      <c r="E44" s="328">
        <f>E43*$I$44</f>
        <v>2.8285714285714287</v>
      </c>
      <c r="F44" s="328">
        <f>F43*$I$44</f>
        <v>22.200000000000003</v>
      </c>
      <c r="G44" s="328">
        <f>G43*$I$44</f>
        <v>11.071428571428573</v>
      </c>
      <c r="H44" s="328">
        <f>H43*$I$44</f>
        <v>7.1428571428571432</v>
      </c>
      <c r="I44" s="917">
        <f>I42/28/5</f>
        <v>43.242857142857147</v>
      </c>
      <c r="J44" s="40"/>
      <c r="K44" s="655"/>
    </row>
    <row r="45" spans="1:11" ht="30" x14ac:dyDescent="0.25">
      <c r="B45" s="1084"/>
      <c r="C45" s="1083"/>
      <c r="D45" s="914" t="s">
        <v>2265</v>
      </c>
      <c r="E45" s="915">
        <f>E43*$I$45</f>
        <v>42.428571428571423</v>
      </c>
      <c r="F45" s="915">
        <f>F43*$I$45</f>
        <v>333</v>
      </c>
      <c r="G45" s="915">
        <f>G43*$I$45</f>
        <v>166.07142857142858</v>
      </c>
      <c r="H45" s="915">
        <f>H43*$I$45</f>
        <v>107.14285714285712</v>
      </c>
      <c r="I45" s="918">
        <f>I42/28*3</f>
        <v>648.64285714285711</v>
      </c>
      <c r="K45" s="299"/>
    </row>
    <row r="46" spans="1:11" ht="30" x14ac:dyDescent="0.25">
      <c r="B46" s="1084"/>
      <c r="C46" s="1083"/>
      <c r="D46" s="914" t="s">
        <v>2803</v>
      </c>
      <c r="E46" s="915">
        <f>E44*7</f>
        <v>19.8</v>
      </c>
      <c r="F46" s="915">
        <f t="shared" ref="F46:H46" si="10">F44*7</f>
        <v>155.40000000000003</v>
      </c>
      <c r="G46" s="915">
        <f t="shared" si="10"/>
        <v>77.500000000000014</v>
      </c>
      <c r="H46" s="915">
        <f t="shared" si="10"/>
        <v>50</v>
      </c>
      <c r="I46" s="656">
        <f>SUM(E46:H46)</f>
        <v>302.70000000000005</v>
      </c>
      <c r="K46" s="299"/>
    </row>
    <row r="47" spans="1:11" x14ac:dyDescent="0.25">
      <c r="A47" s="329"/>
      <c r="B47" s="1084" t="s">
        <v>65</v>
      </c>
      <c r="C47" s="1076" t="s">
        <v>2805</v>
      </c>
      <c r="D47" s="913">
        <v>5</v>
      </c>
      <c r="E47" s="68">
        <v>324</v>
      </c>
      <c r="F47" s="68">
        <v>3108</v>
      </c>
      <c r="G47" s="68">
        <v>1215</v>
      </c>
      <c r="H47" s="68">
        <v>300</v>
      </c>
      <c r="I47" s="657">
        <f>SUM(E47:H47)</f>
        <v>4947</v>
      </c>
      <c r="J47" s="299"/>
    </row>
    <row r="48" spans="1:11" x14ac:dyDescent="0.25">
      <c r="B48" s="1084"/>
      <c r="C48" s="1076"/>
      <c r="D48" s="913" t="s">
        <v>71</v>
      </c>
      <c r="E48" s="412">
        <f>E47/$I$47</f>
        <v>6.549423893268648E-2</v>
      </c>
      <c r="F48" s="412">
        <f>F47/$I$47</f>
        <v>0.62825955124317767</v>
      </c>
      <c r="G48" s="412">
        <f>G47/$I$47</f>
        <v>0.24560339599757428</v>
      </c>
      <c r="H48" s="412">
        <f>H47/$I$47</f>
        <v>6.0642813826561552E-2</v>
      </c>
      <c r="I48" s="413">
        <f>SUM(E48:H48)</f>
        <v>1</v>
      </c>
    </row>
    <row r="49" spans="1:10" s="329" customFormat="1" ht="15" customHeight="1" x14ac:dyDescent="0.25">
      <c r="A49" s="22"/>
      <c r="B49" s="1084"/>
      <c r="C49" s="1083" t="s">
        <v>64</v>
      </c>
      <c r="D49" s="913" t="s">
        <v>72</v>
      </c>
      <c r="E49" s="328">
        <f>E48*$I$49</f>
        <v>8.0996725288053373</v>
      </c>
      <c r="F49" s="328">
        <f>F48*$I$49</f>
        <v>77.696858702243787</v>
      </c>
      <c r="G49" s="328">
        <f>G48*$I$49</f>
        <v>30.37377198302001</v>
      </c>
      <c r="H49" s="328">
        <f>H48*$I$49</f>
        <v>7.4996967859308672</v>
      </c>
      <c r="I49" s="917">
        <v>123.67</v>
      </c>
      <c r="J49" s="22"/>
    </row>
    <row r="50" spans="1:10" ht="30" x14ac:dyDescent="0.25">
      <c r="B50" s="1084"/>
      <c r="C50" s="1083"/>
      <c r="D50" s="914" t="s">
        <v>2265</v>
      </c>
      <c r="E50" s="915">
        <f>E48*$I$50</f>
        <v>121.49181322013342</v>
      </c>
      <c r="F50" s="915">
        <f>F48*$I$50</f>
        <v>1165.4214675560945</v>
      </c>
      <c r="G50" s="915">
        <f>G48*$I$50</f>
        <v>455.59429957550026</v>
      </c>
      <c r="H50" s="915">
        <f>H48*$I$50</f>
        <v>112.49241964827168</v>
      </c>
      <c r="I50" s="918">
        <v>1855</v>
      </c>
    </row>
    <row r="51" spans="1:10" ht="30.75" thickBot="1" x14ac:dyDescent="0.3">
      <c r="B51" s="1085"/>
      <c r="C51" s="1086"/>
      <c r="D51" s="916" t="s">
        <v>2803</v>
      </c>
      <c r="E51" s="915">
        <f>E49*7</f>
        <v>56.697707701637363</v>
      </c>
      <c r="F51" s="915">
        <f t="shared" ref="F51:H51" si="11">F49*7</f>
        <v>543.87801091570645</v>
      </c>
      <c r="G51" s="915">
        <f t="shared" si="11"/>
        <v>212.61640388114006</v>
      </c>
      <c r="H51" s="915">
        <f t="shared" si="11"/>
        <v>52.497877501516072</v>
      </c>
      <c r="I51" s="919">
        <v>865.66</v>
      </c>
    </row>
    <row r="52" spans="1:10" x14ac:dyDescent="0.25">
      <c r="B52" s="19"/>
      <c r="C52" s="330"/>
      <c r="D52" s="331"/>
      <c r="E52" s="325"/>
      <c r="F52" s="325"/>
      <c r="G52" s="325"/>
      <c r="H52" s="325"/>
      <c r="I52" s="332"/>
    </row>
    <row r="54" spans="1:10" ht="16.5" thickBot="1" x14ac:dyDescent="0.3">
      <c r="B54" s="193" t="s">
        <v>2907</v>
      </c>
    </row>
    <row r="55" spans="1:10" ht="15.75" thickBot="1" x14ac:dyDescent="0.3">
      <c r="B55" s="1095" t="s">
        <v>9</v>
      </c>
      <c r="C55" s="1096"/>
      <c r="D55" s="1096"/>
      <c r="E55" s="1096"/>
      <c r="F55" s="1096"/>
      <c r="G55" s="1096"/>
      <c r="H55" s="1096"/>
      <c r="I55" s="1096"/>
      <c r="J55" s="1097"/>
    </row>
    <row r="56" spans="1:10" s="329" customFormat="1" ht="45.75" thickBot="1" x14ac:dyDescent="0.3">
      <c r="A56" s="22"/>
      <c r="B56" s="333" t="s">
        <v>11</v>
      </c>
      <c r="C56" s="900" t="s">
        <v>35</v>
      </c>
      <c r="D56" s="334" t="s">
        <v>66</v>
      </c>
      <c r="E56" s="334" t="s">
        <v>62</v>
      </c>
      <c r="F56" s="334" t="s">
        <v>3</v>
      </c>
      <c r="G56" s="335" t="s">
        <v>67</v>
      </c>
      <c r="H56" s="931" t="s">
        <v>2908</v>
      </c>
      <c r="I56" s="932" t="s">
        <v>2892</v>
      </c>
      <c r="J56" s="932" t="s">
        <v>67</v>
      </c>
    </row>
    <row r="57" spans="1:10" x14ac:dyDescent="0.25">
      <c r="B57" s="1073" t="s">
        <v>68</v>
      </c>
      <c r="C57" s="336">
        <v>5</v>
      </c>
      <c r="D57" s="337">
        <f>7*103.6*5+9/3*103.6</f>
        <v>3936.7999999999993</v>
      </c>
      <c r="E57" s="337">
        <v>0</v>
      </c>
      <c r="F57" s="337">
        <f>(D57)*0.07</f>
        <v>275.57599999999996</v>
      </c>
      <c r="G57" s="338">
        <f>SUM($D$57:$F$57)</f>
        <v>4212.3759999999993</v>
      </c>
      <c r="H57" s="896">
        <f>1.5*103.6*5</f>
        <v>776.99999999999989</v>
      </c>
      <c r="I57" s="896">
        <f>H57*0.07</f>
        <v>54.39</v>
      </c>
      <c r="J57" s="896">
        <f>H57+I57</f>
        <v>831.38999999999987</v>
      </c>
    </row>
    <row r="58" spans="1:10" x14ac:dyDescent="0.25">
      <c r="B58" s="1074"/>
      <c r="C58" s="339" t="s">
        <v>71</v>
      </c>
      <c r="D58" s="340">
        <f>D57/$G$57</f>
        <v>0.93457943925233644</v>
      </c>
      <c r="E58" s="340">
        <f>E57/$G$57</f>
        <v>0</v>
      </c>
      <c r="F58" s="340">
        <f>F57/$G$57</f>
        <v>6.5420560747663559E-2</v>
      </c>
      <c r="G58" s="341">
        <f>SUM($D$58:$F$58)</f>
        <v>1</v>
      </c>
      <c r="H58" s="341"/>
      <c r="I58" s="341"/>
      <c r="J58" s="341"/>
    </row>
    <row r="59" spans="1:10" x14ac:dyDescent="0.25">
      <c r="B59" s="1074"/>
      <c r="C59" s="580" t="s">
        <v>73</v>
      </c>
      <c r="D59" s="342">
        <f>D58*$G$59</f>
        <v>787.3599999999999</v>
      </c>
      <c r="E59" s="342">
        <f>E58*$G$59</f>
        <v>0</v>
      </c>
      <c r="F59" s="342">
        <f>F58*$G$59</f>
        <v>55.115199999999994</v>
      </c>
      <c r="G59" s="918">
        <f>$G$57/5</f>
        <v>842.47519999999986</v>
      </c>
      <c r="H59" s="897">
        <f>H57/5</f>
        <v>155.39999999999998</v>
      </c>
      <c r="I59" s="897">
        <f t="shared" ref="I59:J59" si="12">I57/5</f>
        <v>10.878</v>
      </c>
      <c r="J59" s="897">
        <f t="shared" si="12"/>
        <v>166.27799999999996</v>
      </c>
    </row>
    <row r="60" spans="1:10" ht="48.75" customHeight="1" thickBot="1" x14ac:dyDescent="0.3">
      <c r="B60" s="1075"/>
      <c r="C60" s="895" t="s">
        <v>2891</v>
      </c>
      <c r="D60" s="344">
        <f>D58*$G$60</f>
        <v>11810.399999999998</v>
      </c>
      <c r="E60" s="344">
        <f>E58*$G$60</f>
        <v>0</v>
      </c>
      <c r="F60" s="344">
        <f>F58*$G$60</f>
        <v>826.72799999999984</v>
      </c>
      <c r="G60" s="928">
        <f>$G$59*15</f>
        <v>12637.127999999997</v>
      </c>
      <c r="H60" s="898">
        <f>H59*15</f>
        <v>2330.9999999999995</v>
      </c>
      <c r="I60" s="898">
        <f t="shared" ref="I60:J60" si="13">I59*15</f>
        <v>163.17000000000002</v>
      </c>
      <c r="J60" s="898">
        <f t="shared" si="13"/>
        <v>2494.1699999999996</v>
      </c>
    </row>
    <row r="61" spans="1:10" x14ac:dyDescent="0.25">
      <c r="B61" s="1070" t="s">
        <v>2807</v>
      </c>
      <c r="C61" s="336">
        <v>7</v>
      </c>
      <c r="D61" s="337">
        <f>5897*0.93</f>
        <v>5484.21</v>
      </c>
      <c r="E61" s="337">
        <v>0</v>
      </c>
      <c r="F61" s="337">
        <f>5897*0.07</f>
        <v>412.79</v>
      </c>
      <c r="G61" s="338">
        <f>SUM($D$61:$F$61)</f>
        <v>5897</v>
      </c>
      <c r="H61" s="896">
        <f>1.5*103.6*7</f>
        <v>1087.7999999999997</v>
      </c>
      <c r="I61" s="896">
        <f>H61*0.07</f>
        <v>76.145999999999987</v>
      </c>
      <c r="J61" s="896">
        <f>H61+I61</f>
        <v>1163.9459999999997</v>
      </c>
    </row>
    <row r="62" spans="1:10" ht="15.75" thickBot="1" x14ac:dyDescent="0.3">
      <c r="B62" s="1071"/>
      <c r="C62" s="339" t="s">
        <v>71</v>
      </c>
      <c r="D62" s="340">
        <f>D61/$G$61</f>
        <v>0.93</v>
      </c>
      <c r="E62" s="340">
        <f>E61/$G$61</f>
        <v>0</v>
      </c>
      <c r="F62" s="340">
        <f>F61/$G$61</f>
        <v>7.0000000000000007E-2</v>
      </c>
      <c r="G62" s="341">
        <f>SUM($D$62:$F$62)</f>
        <v>1</v>
      </c>
      <c r="H62" s="341"/>
      <c r="I62" s="341"/>
      <c r="J62" s="341"/>
    </row>
    <row r="63" spans="1:10" x14ac:dyDescent="0.25">
      <c r="B63" s="1071"/>
      <c r="C63" s="580" t="s">
        <v>73</v>
      </c>
      <c r="D63" s="342">
        <f>D61/7</f>
        <v>783.45857142857142</v>
      </c>
      <c r="E63" s="342">
        <f>E61/7</f>
        <v>0</v>
      </c>
      <c r="F63" s="342">
        <f>F61/7</f>
        <v>58.970000000000006</v>
      </c>
      <c r="G63" s="656">
        <f>$G$61/7</f>
        <v>842.42857142857144</v>
      </c>
      <c r="H63" s="896">
        <f>H61/7</f>
        <v>155.39999999999995</v>
      </c>
      <c r="I63" s="896">
        <f>H63*0.07</f>
        <v>10.877999999999998</v>
      </c>
      <c r="J63" s="896">
        <f>H63+I63</f>
        <v>166.27799999999993</v>
      </c>
    </row>
    <row r="64" spans="1:10" ht="15.75" thickBot="1" x14ac:dyDescent="0.3">
      <c r="B64" s="1072"/>
      <c r="C64" s="343" t="s">
        <v>2808</v>
      </c>
      <c r="D64" s="344">
        <f>D62*$G$64</f>
        <v>5484.21</v>
      </c>
      <c r="E64" s="344">
        <f>E62*$G$64</f>
        <v>0</v>
      </c>
      <c r="F64" s="344">
        <f>F62*$G$64</f>
        <v>412.79</v>
      </c>
      <c r="G64" s="668">
        <f>$G$63*7</f>
        <v>5897</v>
      </c>
      <c r="H64" s="898">
        <f>H63*7</f>
        <v>1087.7999999999997</v>
      </c>
      <c r="I64" s="898">
        <f t="shared" ref="I64:J64" si="14">I63*7</f>
        <v>76.145999999999987</v>
      </c>
      <c r="J64" s="898">
        <f t="shared" si="14"/>
        <v>1163.9459999999995</v>
      </c>
    </row>
    <row r="65" spans="2:12" x14ac:dyDescent="0.25">
      <c r="B65" s="1073" t="s">
        <v>2269</v>
      </c>
      <c r="C65" s="336">
        <v>5</v>
      </c>
      <c r="D65" s="337">
        <f>(7*103.6*5+9*103.6/3)</f>
        <v>3936.7999999999997</v>
      </c>
      <c r="E65" s="337">
        <f>(6*103.6*5+3*103.6/3)</f>
        <v>3211.5999999999995</v>
      </c>
      <c r="F65" s="337">
        <f>(E65+D65)*0.07</f>
        <v>500.38800000000003</v>
      </c>
      <c r="G65" s="338">
        <f>SUM($D$65:$F$65)</f>
        <v>7648.7879999999996</v>
      </c>
      <c r="H65" s="896">
        <f>1.5*103.6*5</f>
        <v>776.99999999999989</v>
      </c>
      <c r="I65" s="896">
        <f>H65*0.07</f>
        <v>54.39</v>
      </c>
      <c r="J65" s="896">
        <f>H65+I65</f>
        <v>831.38999999999987</v>
      </c>
    </row>
    <row r="66" spans="2:12" x14ac:dyDescent="0.25">
      <c r="B66" s="1074"/>
      <c r="C66" s="339" t="s">
        <v>71</v>
      </c>
      <c r="D66" s="340">
        <f>D65/$G$65</f>
        <v>0.51469592306650414</v>
      </c>
      <c r="E66" s="340">
        <f>E65/$G$65</f>
        <v>0.41988351618583225</v>
      </c>
      <c r="F66" s="340">
        <f>F65/$G$65</f>
        <v>6.5420560747663559E-2</v>
      </c>
      <c r="G66" s="341">
        <f>SUM($D$66:$F$66)</f>
        <v>0.99999999999999989</v>
      </c>
      <c r="H66" s="341"/>
      <c r="I66" s="341"/>
      <c r="J66" s="341"/>
    </row>
    <row r="67" spans="2:12" x14ac:dyDescent="0.25">
      <c r="B67" s="1074"/>
      <c r="C67" s="580" t="s">
        <v>73</v>
      </c>
      <c r="D67" s="342">
        <f>D66*$G$67</f>
        <v>787.36</v>
      </c>
      <c r="E67" s="342">
        <f>E66*$G$67</f>
        <v>642.31999999999982</v>
      </c>
      <c r="F67" s="342">
        <f>F66*$G$67</f>
        <v>100.0776</v>
      </c>
      <c r="G67" s="918">
        <f>$G$65/5</f>
        <v>1529.7575999999999</v>
      </c>
      <c r="H67" s="897">
        <f>H65/5</f>
        <v>155.39999999999998</v>
      </c>
      <c r="I67" s="897">
        <f t="shared" ref="I67:J67" si="15">I65/5</f>
        <v>10.878</v>
      </c>
      <c r="J67" s="897">
        <f t="shared" si="15"/>
        <v>166.27799999999996</v>
      </c>
    </row>
    <row r="68" spans="2:12" ht="15.75" thickBot="1" x14ac:dyDescent="0.3">
      <c r="B68" s="1075"/>
      <c r="C68" s="343" t="s">
        <v>95</v>
      </c>
      <c r="D68" s="345">
        <f>D67*15</f>
        <v>11810.4</v>
      </c>
      <c r="E68" s="345">
        <f>E67*15</f>
        <v>9634.7999999999975</v>
      </c>
      <c r="F68" s="345">
        <f>F67*15</f>
        <v>1501.164</v>
      </c>
      <c r="G68" s="928">
        <f>$G$67*15</f>
        <v>22946.363999999998</v>
      </c>
      <c r="H68" s="898">
        <f>H67*15</f>
        <v>2330.9999999999995</v>
      </c>
      <c r="I68" s="898">
        <f t="shared" ref="I68" si="16">I67*15</f>
        <v>163.17000000000002</v>
      </c>
      <c r="J68" s="898">
        <f t="shared" ref="J68" si="17">J67*15</f>
        <v>2494.1699999999996</v>
      </c>
    </row>
    <row r="69" spans="2:12" x14ac:dyDescent="0.25">
      <c r="B69" s="1070" t="s">
        <v>2809</v>
      </c>
      <c r="C69" s="669">
        <v>7</v>
      </c>
      <c r="D69" s="672">
        <f>10708*0.93*(7/13)</f>
        <v>5362.2369230769227</v>
      </c>
      <c r="E69" s="672">
        <f>10708*0.93*(6/13)</f>
        <v>4596.2030769230778</v>
      </c>
      <c r="F69" s="672">
        <f>10708*0.07</f>
        <v>749.56000000000006</v>
      </c>
      <c r="G69" s="673">
        <f>SUM($D$69:$F$69)</f>
        <v>10708</v>
      </c>
      <c r="H69" s="896">
        <f>1.5*103.6*7</f>
        <v>1087.7999999999997</v>
      </c>
      <c r="I69" s="896">
        <f>H69*0.07</f>
        <v>76.145999999999987</v>
      </c>
      <c r="J69" s="896">
        <f>H69+I69</f>
        <v>1163.9459999999997</v>
      </c>
    </row>
    <row r="70" spans="2:12" ht="15.75" thickBot="1" x14ac:dyDescent="0.3">
      <c r="B70" s="1071"/>
      <c r="C70" s="670" t="s">
        <v>71</v>
      </c>
      <c r="D70" s="674">
        <f>D69/$G$69</f>
        <v>0.50076923076923074</v>
      </c>
      <c r="E70" s="674">
        <f>E69/$G$69</f>
        <v>0.4292307692307693</v>
      </c>
      <c r="F70" s="674">
        <f>F69/$G$69</f>
        <v>7.0000000000000007E-2</v>
      </c>
      <c r="G70" s="675">
        <f>SUM($D$70:$F$70)</f>
        <v>1</v>
      </c>
      <c r="H70" s="341"/>
      <c r="I70" s="341"/>
      <c r="J70" s="341"/>
    </row>
    <row r="71" spans="2:12" x14ac:dyDescent="0.25">
      <c r="B71" s="1071"/>
      <c r="C71" s="899" t="s">
        <v>73</v>
      </c>
      <c r="D71" s="676">
        <f>D70*$G$71</f>
        <v>766.03384615384618</v>
      </c>
      <c r="E71" s="676">
        <f>E70*$G$71</f>
        <v>656.60043956043967</v>
      </c>
      <c r="F71" s="676">
        <f>F70*$G$71</f>
        <v>107.08000000000001</v>
      </c>
      <c r="G71" s="929">
        <f>$G$69/7</f>
        <v>1529.7142857142858</v>
      </c>
      <c r="H71" s="896">
        <f>H69/7</f>
        <v>155.39999999999995</v>
      </c>
      <c r="I71" s="896">
        <f>H71*0.07</f>
        <v>10.877999999999998</v>
      </c>
      <c r="J71" s="896">
        <f>H71+I71</f>
        <v>166.27799999999993</v>
      </c>
    </row>
    <row r="72" spans="2:12" ht="15.75" thickBot="1" x14ac:dyDescent="0.3">
      <c r="B72" s="1072"/>
      <c r="C72" s="671" t="s">
        <v>2808</v>
      </c>
      <c r="D72" s="677">
        <f>D69</f>
        <v>5362.2369230769227</v>
      </c>
      <c r="E72" s="677">
        <f>E69</f>
        <v>4596.2030769230778</v>
      </c>
      <c r="F72" s="677">
        <f>F69</f>
        <v>749.56000000000006</v>
      </c>
      <c r="G72" s="930">
        <f>SUM($D$72:$F$72)</f>
        <v>10708</v>
      </c>
      <c r="H72" s="898">
        <f>H71*7</f>
        <v>1087.7999999999997</v>
      </c>
      <c r="I72" s="898">
        <f t="shared" ref="I72" si="18">I71*7</f>
        <v>76.145999999999987</v>
      </c>
      <c r="J72" s="898">
        <f t="shared" ref="J72" si="19">J71*7</f>
        <v>1163.9459999999995</v>
      </c>
    </row>
    <row r="73" spans="2:12" x14ac:dyDescent="0.25">
      <c r="B73" s="665"/>
      <c r="C73" s="666"/>
      <c r="D73" s="667"/>
      <c r="E73" s="667"/>
      <c r="F73" s="667"/>
      <c r="G73" s="667"/>
      <c r="H73" s="667"/>
      <c r="L73" s="299"/>
    </row>
    <row r="74" spans="2:12" x14ac:dyDescent="0.25">
      <c r="B74" s="665"/>
      <c r="C74" s="666"/>
      <c r="D74" s="667"/>
      <c r="E74" s="667"/>
      <c r="F74" s="667"/>
      <c r="G74" s="667"/>
      <c r="H74" s="667"/>
      <c r="L74" s="299"/>
    </row>
    <row r="75" spans="2:12" x14ac:dyDescent="0.25">
      <c r="B75" s="665"/>
      <c r="C75" s="666"/>
      <c r="D75" s="667"/>
      <c r="E75" s="667"/>
      <c r="F75" s="667"/>
      <c r="G75" s="667"/>
      <c r="H75" s="667"/>
      <c r="L75" s="299"/>
    </row>
    <row r="76" spans="2:12" ht="17.25" customHeight="1" x14ac:dyDescent="0.25"/>
    <row r="77" spans="2:12" ht="15.75" customHeight="1" x14ac:dyDescent="0.25">
      <c r="B77" s="320" t="s">
        <v>2922</v>
      </c>
      <c r="J77" s="156"/>
      <c r="K77" s="156"/>
      <c r="L77" s="156"/>
    </row>
    <row r="78" spans="2:12" ht="16.5" customHeight="1" thickBot="1" x14ac:dyDescent="0.3">
      <c r="C78" s="331"/>
      <c r="D78" s="313"/>
      <c r="E78" s="346"/>
      <c r="F78" s="347"/>
      <c r="J78" s="156"/>
      <c r="K78" s="156"/>
      <c r="L78" s="156"/>
    </row>
    <row r="79" spans="2:12" ht="16.5" customHeight="1" thickBot="1" x14ac:dyDescent="0.3">
      <c r="B79" s="923" t="s">
        <v>3392</v>
      </c>
      <c r="C79" s="924"/>
      <c r="D79" s="924"/>
      <c r="E79" s="924"/>
      <c r="F79" s="925"/>
      <c r="G79" s="926">
        <f>I45</f>
        <v>648.64285714285711</v>
      </c>
      <c r="H79" s="678">
        <f>I46</f>
        <v>302.70000000000005</v>
      </c>
      <c r="J79" s="156"/>
      <c r="K79" s="156"/>
      <c r="L79" s="156"/>
    </row>
    <row r="80" spans="2:12" ht="60" x14ac:dyDescent="0.25">
      <c r="B80" s="321" t="s">
        <v>6</v>
      </c>
      <c r="C80" s="321" t="s">
        <v>38</v>
      </c>
      <c r="D80" s="927" t="s">
        <v>2812</v>
      </c>
      <c r="E80" s="321" t="s">
        <v>39</v>
      </c>
      <c r="F80" s="927" t="s">
        <v>2811</v>
      </c>
      <c r="G80" s="321" t="s">
        <v>40</v>
      </c>
      <c r="H80" s="927" t="s">
        <v>2810</v>
      </c>
      <c r="J80" s="156"/>
      <c r="K80" s="156"/>
      <c r="L80" s="156"/>
    </row>
    <row r="81" spans="2:12" x14ac:dyDescent="0.25">
      <c r="B81" s="348">
        <v>1</v>
      </c>
      <c r="C81" s="416">
        <v>75</v>
      </c>
      <c r="D81" s="416">
        <v>35</v>
      </c>
      <c r="E81" s="958">
        <f t="shared" ref="E81:E90" si="20">$G$79-C81</f>
        <v>573.64285714285711</v>
      </c>
      <c r="F81" s="959">
        <f>$H$79-D81</f>
        <v>267.70000000000005</v>
      </c>
      <c r="G81" s="322">
        <f t="shared" ref="G81:G90" si="21">1-C81/$G$79</f>
        <v>0.88437396762471088</v>
      </c>
      <c r="H81" s="322">
        <f>1-D81/$H$79</f>
        <v>0.88437396762471099</v>
      </c>
      <c r="J81" s="679"/>
      <c r="K81" s="156"/>
      <c r="L81" s="156"/>
    </row>
    <row r="82" spans="2:12" x14ac:dyDescent="0.25">
      <c r="B82" s="348">
        <v>2</v>
      </c>
      <c r="C82" s="416">
        <v>75</v>
      </c>
      <c r="D82" s="416">
        <v>35</v>
      </c>
      <c r="E82" s="958">
        <f t="shared" si="20"/>
        <v>573.64285714285711</v>
      </c>
      <c r="F82" s="959">
        <f t="shared" ref="F82:F90" si="22">$H$79-D82</f>
        <v>267.70000000000005</v>
      </c>
      <c r="G82" s="322">
        <f t="shared" si="21"/>
        <v>0.88437396762471088</v>
      </c>
      <c r="H82" s="322">
        <f t="shared" ref="H82:H90" si="23">1-D82/$H$79</f>
        <v>0.88437396762471099</v>
      </c>
      <c r="J82" s="156"/>
      <c r="K82" s="156"/>
      <c r="L82" s="156"/>
    </row>
    <row r="83" spans="2:12" x14ac:dyDescent="0.25">
      <c r="B83" s="348">
        <v>3</v>
      </c>
      <c r="C83" s="416">
        <v>75</v>
      </c>
      <c r="D83" s="416">
        <v>35</v>
      </c>
      <c r="E83" s="958">
        <f t="shared" si="20"/>
        <v>573.64285714285711</v>
      </c>
      <c r="F83" s="959">
        <f t="shared" si="22"/>
        <v>267.70000000000005</v>
      </c>
      <c r="G83" s="322">
        <f t="shared" si="21"/>
        <v>0.88437396762471088</v>
      </c>
      <c r="H83" s="322">
        <f t="shared" si="23"/>
        <v>0.88437396762471099</v>
      </c>
      <c r="J83" s="156"/>
    </row>
    <row r="84" spans="2:12" x14ac:dyDescent="0.25">
      <c r="B84" s="348">
        <v>4</v>
      </c>
      <c r="C84" s="416">
        <v>75</v>
      </c>
      <c r="D84" s="416">
        <v>35</v>
      </c>
      <c r="E84" s="958">
        <f t="shared" si="20"/>
        <v>573.64285714285711</v>
      </c>
      <c r="F84" s="959">
        <f t="shared" si="22"/>
        <v>267.70000000000005</v>
      </c>
      <c r="G84" s="322">
        <f t="shared" si="21"/>
        <v>0.88437396762471088</v>
      </c>
      <c r="H84" s="322">
        <f t="shared" si="23"/>
        <v>0.88437396762471099</v>
      </c>
      <c r="J84" s="156"/>
    </row>
    <row r="85" spans="2:12" x14ac:dyDescent="0.25">
      <c r="B85" s="348">
        <v>5</v>
      </c>
      <c r="C85" s="416">
        <v>300</v>
      </c>
      <c r="D85" s="416">
        <v>140</v>
      </c>
      <c r="E85" s="958">
        <f t="shared" si="20"/>
        <v>348.64285714285711</v>
      </c>
      <c r="F85" s="959">
        <f t="shared" si="22"/>
        <v>162.70000000000005</v>
      </c>
      <c r="G85" s="322">
        <f t="shared" si="21"/>
        <v>0.53749587049884373</v>
      </c>
      <c r="H85" s="322">
        <f t="shared" si="23"/>
        <v>0.53749587049884373</v>
      </c>
      <c r="J85" s="156"/>
    </row>
    <row r="86" spans="2:12" x14ac:dyDescent="0.25">
      <c r="B86" s="348">
        <v>6</v>
      </c>
      <c r="C86" s="416">
        <v>300</v>
      </c>
      <c r="D86" s="416">
        <v>140</v>
      </c>
      <c r="E86" s="958">
        <f t="shared" si="20"/>
        <v>348.64285714285711</v>
      </c>
      <c r="F86" s="959">
        <f t="shared" si="22"/>
        <v>162.70000000000005</v>
      </c>
      <c r="G86" s="322">
        <f t="shared" si="21"/>
        <v>0.53749587049884373</v>
      </c>
      <c r="H86" s="322">
        <f t="shared" si="23"/>
        <v>0.53749587049884373</v>
      </c>
      <c r="J86" s="156"/>
    </row>
    <row r="87" spans="2:12" x14ac:dyDescent="0.25">
      <c r="B87" s="348">
        <v>7</v>
      </c>
      <c r="C87" s="416">
        <v>300</v>
      </c>
      <c r="D87" s="416">
        <v>140</v>
      </c>
      <c r="E87" s="958">
        <f t="shared" si="20"/>
        <v>348.64285714285711</v>
      </c>
      <c r="F87" s="959">
        <f t="shared" si="22"/>
        <v>162.70000000000005</v>
      </c>
      <c r="G87" s="322">
        <f t="shared" si="21"/>
        <v>0.53749587049884373</v>
      </c>
      <c r="H87" s="322">
        <f t="shared" si="23"/>
        <v>0.53749587049884373</v>
      </c>
      <c r="J87" s="156"/>
    </row>
    <row r="88" spans="2:12" x14ac:dyDescent="0.25">
      <c r="B88" s="348">
        <v>8</v>
      </c>
      <c r="C88" s="416">
        <v>450</v>
      </c>
      <c r="D88" s="416">
        <v>210</v>
      </c>
      <c r="E88" s="958">
        <f t="shared" si="20"/>
        <v>198.64285714285711</v>
      </c>
      <c r="F88" s="959">
        <f t="shared" si="22"/>
        <v>92.700000000000045</v>
      </c>
      <c r="G88" s="322">
        <f t="shared" si="21"/>
        <v>0.3062438057482656</v>
      </c>
      <c r="H88" s="322">
        <f t="shared" si="23"/>
        <v>0.30624380574826571</v>
      </c>
      <c r="J88" s="156"/>
    </row>
    <row r="89" spans="2:12" x14ac:dyDescent="0.25">
      <c r="B89" s="348">
        <v>9</v>
      </c>
      <c r="C89" s="416">
        <v>450</v>
      </c>
      <c r="D89" s="416">
        <v>210</v>
      </c>
      <c r="E89" s="958">
        <f t="shared" si="20"/>
        <v>198.64285714285711</v>
      </c>
      <c r="F89" s="959">
        <f t="shared" si="22"/>
        <v>92.700000000000045</v>
      </c>
      <c r="G89" s="322">
        <f t="shared" si="21"/>
        <v>0.3062438057482656</v>
      </c>
      <c r="H89" s="322">
        <f t="shared" si="23"/>
        <v>0.30624380574826571</v>
      </c>
      <c r="J89" s="156"/>
    </row>
    <row r="90" spans="2:12" x14ac:dyDescent="0.25">
      <c r="B90" s="348">
        <v>10</v>
      </c>
      <c r="C90" s="416">
        <v>450</v>
      </c>
      <c r="D90" s="416">
        <v>210</v>
      </c>
      <c r="E90" s="958">
        <f t="shared" si="20"/>
        <v>198.64285714285711</v>
      </c>
      <c r="F90" s="959">
        <f t="shared" si="22"/>
        <v>92.700000000000045</v>
      </c>
      <c r="G90" s="322">
        <f t="shared" si="21"/>
        <v>0.3062438057482656</v>
      </c>
      <c r="H90" s="322">
        <f t="shared" si="23"/>
        <v>0.30624380574826571</v>
      </c>
      <c r="J90" s="156"/>
    </row>
    <row r="92" spans="2:12" x14ac:dyDescent="0.25">
      <c r="B92" s="320" t="s">
        <v>2922</v>
      </c>
    </row>
    <row r="93" spans="2:12" ht="15.75" thickBot="1" x14ac:dyDescent="0.3">
      <c r="C93" s="331"/>
      <c r="D93" s="313"/>
      <c r="E93" s="346"/>
      <c r="F93" s="347"/>
    </row>
    <row r="94" spans="2:12" ht="15.75" thickBot="1" x14ac:dyDescent="0.3">
      <c r="B94" s="923" t="s">
        <v>3393</v>
      </c>
      <c r="C94" s="924"/>
      <c r="D94" s="924"/>
      <c r="E94" s="924"/>
      <c r="F94" s="924"/>
      <c r="G94" s="926">
        <f>I50</f>
        <v>1855</v>
      </c>
      <c r="H94" s="678">
        <f>I51</f>
        <v>865.66</v>
      </c>
    </row>
    <row r="95" spans="2:12" ht="60" x14ac:dyDescent="0.25">
      <c r="B95" s="321" t="s">
        <v>6</v>
      </c>
      <c r="C95" s="321" t="s">
        <v>38</v>
      </c>
      <c r="D95" s="933" t="s">
        <v>2812</v>
      </c>
      <c r="E95" s="321" t="s">
        <v>39</v>
      </c>
      <c r="F95" s="933" t="s">
        <v>2811</v>
      </c>
      <c r="G95" s="321" t="s">
        <v>40</v>
      </c>
      <c r="H95" s="927" t="s">
        <v>2810</v>
      </c>
    </row>
    <row r="96" spans="2:12" x14ac:dyDescent="0.25">
      <c r="B96" s="348">
        <v>1</v>
      </c>
      <c r="C96" s="416">
        <v>75</v>
      </c>
      <c r="D96" s="416">
        <v>35</v>
      </c>
      <c r="E96" s="958">
        <f>$G$94-C96</f>
        <v>1780</v>
      </c>
      <c r="F96" s="959">
        <f>$H$94-D96</f>
        <v>830.66</v>
      </c>
      <c r="G96" s="322">
        <f t="shared" ref="G96:G105" si="24">1-C96/$G$79</f>
        <v>0.88437396762471088</v>
      </c>
      <c r="H96" s="322">
        <f>1-D96/$H$79</f>
        <v>0.88437396762471099</v>
      </c>
    </row>
    <row r="97" spans="2:8" x14ac:dyDescent="0.25">
      <c r="B97" s="348">
        <v>2</v>
      </c>
      <c r="C97" s="416">
        <v>75</v>
      </c>
      <c r="D97" s="416">
        <v>35</v>
      </c>
      <c r="E97" s="958">
        <f t="shared" ref="E97:E105" si="25">$G$94-C97</f>
        <v>1780</v>
      </c>
      <c r="F97" s="959">
        <f t="shared" ref="F97:F105" si="26">$H$94-D97</f>
        <v>830.66</v>
      </c>
      <c r="G97" s="322">
        <f t="shared" si="24"/>
        <v>0.88437396762471088</v>
      </c>
      <c r="H97" s="322">
        <f t="shared" ref="H97:H105" si="27">1-D97/$H$79</f>
        <v>0.88437396762471099</v>
      </c>
    </row>
    <row r="98" spans="2:8" x14ac:dyDescent="0.25">
      <c r="B98" s="348">
        <v>3</v>
      </c>
      <c r="C98" s="416">
        <v>75</v>
      </c>
      <c r="D98" s="416">
        <v>35</v>
      </c>
      <c r="E98" s="958">
        <f t="shared" si="25"/>
        <v>1780</v>
      </c>
      <c r="F98" s="959">
        <f t="shared" si="26"/>
        <v>830.66</v>
      </c>
      <c r="G98" s="322">
        <f t="shared" si="24"/>
        <v>0.88437396762471088</v>
      </c>
      <c r="H98" s="322">
        <f t="shared" si="27"/>
        <v>0.88437396762471099</v>
      </c>
    </row>
    <row r="99" spans="2:8" x14ac:dyDescent="0.25">
      <c r="B99" s="348">
        <v>4</v>
      </c>
      <c r="C99" s="416">
        <v>75</v>
      </c>
      <c r="D99" s="416">
        <v>35</v>
      </c>
      <c r="E99" s="958">
        <f t="shared" si="25"/>
        <v>1780</v>
      </c>
      <c r="F99" s="959">
        <f t="shared" si="26"/>
        <v>830.66</v>
      </c>
      <c r="G99" s="322">
        <f t="shared" si="24"/>
        <v>0.88437396762471088</v>
      </c>
      <c r="H99" s="322">
        <f t="shared" si="27"/>
        <v>0.88437396762471099</v>
      </c>
    </row>
    <row r="100" spans="2:8" x14ac:dyDescent="0.25">
      <c r="B100" s="348">
        <v>5</v>
      </c>
      <c r="C100" s="416">
        <v>300</v>
      </c>
      <c r="D100" s="416">
        <v>140</v>
      </c>
      <c r="E100" s="958">
        <f t="shared" si="25"/>
        <v>1555</v>
      </c>
      <c r="F100" s="959">
        <f t="shared" si="26"/>
        <v>725.66</v>
      </c>
      <c r="G100" s="322">
        <f t="shared" si="24"/>
        <v>0.53749587049884373</v>
      </c>
      <c r="H100" s="322">
        <f t="shared" si="27"/>
        <v>0.53749587049884373</v>
      </c>
    </row>
    <row r="101" spans="2:8" x14ac:dyDescent="0.25">
      <c r="B101" s="348">
        <v>6</v>
      </c>
      <c r="C101" s="416">
        <v>300</v>
      </c>
      <c r="D101" s="416">
        <v>140</v>
      </c>
      <c r="E101" s="958">
        <f t="shared" si="25"/>
        <v>1555</v>
      </c>
      <c r="F101" s="959">
        <f t="shared" si="26"/>
        <v>725.66</v>
      </c>
      <c r="G101" s="322">
        <f t="shared" si="24"/>
        <v>0.53749587049884373</v>
      </c>
      <c r="H101" s="322">
        <f t="shared" si="27"/>
        <v>0.53749587049884373</v>
      </c>
    </row>
    <row r="102" spans="2:8" x14ac:dyDescent="0.25">
      <c r="B102" s="348">
        <v>7</v>
      </c>
      <c r="C102" s="416">
        <v>300</v>
      </c>
      <c r="D102" s="416">
        <v>140</v>
      </c>
      <c r="E102" s="958">
        <f t="shared" si="25"/>
        <v>1555</v>
      </c>
      <c r="F102" s="959">
        <f t="shared" si="26"/>
        <v>725.66</v>
      </c>
      <c r="G102" s="322">
        <f t="shared" si="24"/>
        <v>0.53749587049884373</v>
      </c>
      <c r="H102" s="322">
        <f t="shared" si="27"/>
        <v>0.53749587049884373</v>
      </c>
    </row>
    <row r="103" spans="2:8" x14ac:dyDescent="0.25">
      <c r="B103" s="348">
        <v>8</v>
      </c>
      <c r="C103" s="416">
        <v>450</v>
      </c>
      <c r="D103" s="416">
        <v>210</v>
      </c>
      <c r="E103" s="958">
        <f t="shared" si="25"/>
        <v>1405</v>
      </c>
      <c r="F103" s="959">
        <f t="shared" si="26"/>
        <v>655.66</v>
      </c>
      <c r="G103" s="322">
        <f t="shared" si="24"/>
        <v>0.3062438057482656</v>
      </c>
      <c r="H103" s="322">
        <f t="shared" si="27"/>
        <v>0.30624380574826571</v>
      </c>
    </row>
    <row r="104" spans="2:8" x14ac:dyDescent="0.25">
      <c r="B104" s="348">
        <v>9</v>
      </c>
      <c r="C104" s="416">
        <v>450</v>
      </c>
      <c r="D104" s="416">
        <v>210</v>
      </c>
      <c r="E104" s="958">
        <f t="shared" si="25"/>
        <v>1405</v>
      </c>
      <c r="F104" s="959">
        <f t="shared" si="26"/>
        <v>655.66</v>
      </c>
      <c r="G104" s="322">
        <f t="shared" si="24"/>
        <v>0.3062438057482656</v>
      </c>
      <c r="H104" s="322">
        <f t="shared" si="27"/>
        <v>0.30624380574826571</v>
      </c>
    </row>
    <row r="105" spans="2:8" x14ac:dyDescent="0.25">
      <c r="B105" s="348">
        <v>10</v>
      </c>
      <c r="C105" s="416">
        <v>450</v>
      </c>
      <c r="D105" s="416">
        <v>210</v>
      </c>
      <c r="E105" s="958">
        <f t="shared" si="25"/>
        <v>1405</v>
      </c>
      <c r="F105" s="959">
        <f t="shared" si="26"/>
        <v>655.66</v>
      </c>
      <c r="G105" s="322">
        <f t="shared" si="24"/>
        <v>0.3062438057482656</v>
      </c>
      <c r="H105" s="322">
        <f t="shared" si="27"/>
        <v>0.30624380574826571</v>
      </c>
    </row>
    <row r="107" spans="2:8" x14ac:dyDescent="0.25">
      <c r="B107" s="320" t="s">
        <v>2923</v>
      </c>
    </row>
    <row r="108" spans="2:8" ht="30" x14ac:dyDescent="0.25">
      <c r="B108" s="937" t="s">
        <v>2924</v>
      </c>
      <c r="C108" s="937" t="s">
        <v>2925</v>
      </c>
      <c r="D108" s="938" t="s">
        <v>2926</v>
      </c>
    </row>
    <row r="109" spans="2:8" x14ac:dyDescent="0.25">
      <c r="B109" s="180">
        <v>10000</v>
      </c>
      <c r="C109" s="57">
        <v>2</v>
      </c>
      <c r="D109" s="180">
        <v>20000</v>
      </c>
    </row>
  </sheetData>
  <sheetProtection algorithmName="SHA-512" hashValue="aQrKqofhr6H7bFdxVtQUhxh1ANOYHM/iQwciyIL9bVBmMOpz+sDy8FcrxU05vFVp3j2IOhIDVUuS9egKG7znRA==" saltValue="vKXqwrN7akY8SVj4x9/3Dg==" spinCount="100000" sheet="1" objects="1" scenarios="1"/>
  <customSheetViews>
    <customSheetView guid="{BA0A6883-E808-4711-BE2E-E9E96FA9E885}" showPageBreaks="1" fitToPage="1" printArea="1" topLeftCell="A58">
      <selection activeCell="B75" sqref="B75"/>
      <pageMargins left="0.43307086614173229" right="0.43307086614173229" top="0.35433070866141736" bottom="0.35433070866141736" header="0.31496062992125984" footer="0.31496062992125984"/>
      <printOptions horizontalCentered="1"/>
      <pageSetup paperSize="9" scale="52" orientation="portrait" horizontalDpi="4294967293" verticalDpi="4294967293" r:id="rId1"/>
      <headerFooter>
        <oddHeader>&amp;L&amp;12&amp;U&amp;A</oddHeader>
        <oddFooter>&amp;C&amp;14- 3 -</oddFooter>
      </headerFooter>
    </customSheetView>
    <customSheetView guid="{ACD441E8-3AD2-4F62-A341-3CB1D0C27992}" fitToPage="1" topLeftCell="A31">
      <selection activeCell="E95" sqref="E95"/>
      <pageMargins left="0.43307086614173229" right="0.43307086614173229" top="0.35433070866141736" bottom="0.35433070866141736" header="0.31496062992125984" footer="0.31496062992125984"/>
      <printOptions horizontalCentered="1"/>
      <pageSetup paperSize="9" scale="52" orientation="portrait" horizontalDpi="4294967293" verticalDpi="4294967293" r:id="rId2"/>
      <headerFooter>
        <oddHeader>&amp;L&amp;12&amp;U&amp;A</oddHeader>
        <oddFooter>&amp;C&amp;14- 3 -</oddFooter>
      </headerFooter>
    </customSheetView>
    <customSheetView guid="{4C449889-8AC9-4BD3-9CEA-74B4C2A98249}" showPageBreaks="1" fitToPage="1" printArea="1" topLeftCell="A64">
      <selection activeCell="E91" sqref="E91"/>
      <pageMargins left="0.43307086614173229" right="0.43307086614173229" top="0.35433070866141736" bottom="0.35433070866141736" header="0.31496062992125984" footer="0.31496062992125984"/>
      <printOptions horizontalCentered="1"/>
      <pageSetup paperSize="9" scale="52" orientation="portrait" horizontalDpi="4294967293" verticalDpi="4294967293" r:id="rId3"/>
      <headerFooter>
        <oddHeader>&amp;L&amp;12&amp;U&amp;A</oddHeader>
        <oddFooter>&amp;C&amp;14- 3 -</oddFooter>
      </headerFooter>
    </customSheetView>
  </customSheetViews>
  <mergeCells count="18">
    <mergeCell ref="B6:I6"/>
    <mergeCell ref="C42:C43"/>
    <mergeCell ref="B57:B60"/>
    <mergeCell ref="B8:B15"/>
    <mergeCell ref="C12:C15"/>
    <mergeCell ref="B55:J55"/>
    <mergeCell ref="B61:B64"/>
    <mergeCell ref="B69:B72"/>
    <mergeCell ref="B65:B68"/>
    <mergeCell ref="C47:C48"/>
    <mergeCell ref="C8:C9"/>
    <mergeCell ref="C10:C11"/>
    <mergeCell ref="B18:F18"/>
    <mergeCell ref="C44:C46"/>
    <mergeCell ref="B42:B46"/>
    <mergeCell ref="B47:B51"/>
    <mergeCell ref="C49:C51"/>
    <mergeCell ref="B40:I40"/>
  </mergeCells>
  <phoneticPr fontId="0" type="noConversion"/>
  <printOptions horizontalCentered="1"/>
  <pageMargins left="0.43307086614173229" right="0.43307086614173229" top="0.35433070866141736" bottom="0.35433070866141736" header="0.31496062992125984" footer="0.31496062992125984"/>
  <pageSetup paperSize="9" scale="61" orientation="portrait" horizontalDpi="4294967293" verticalDpi="4294967293" r:id="rId4"/>
  <headerFooter>
    <oddHeader>&amp;L&amp;12&amp;U&amp;A</oddHeader>
    <oddFooter>&amp;C&amp;14- 3 -</oddFooter>
  </headerFooter>
  <ignoredErrors>
    <ignoredError sqref="I42"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16">
    <tabColor rgb="FF00FFFF"/>
  </sheetPr>
  <dimension ref="A1:H49"/>
  <sheetViews>
    <sheetView showGridLines="0" rightToLeft="1" workbookViewId="0">
      <selection activeCell="C5" sqref="C5"/>
    </sheetView>
  </sheetViews>
  <sheetFormatPr defaultColWidth="9" defaultRowHeight="15" x14ac:dyDescent="0.25"/>
  <cols>
    <col min="1" max="1" width="14.625" style="22" customWidth="1"/>
    <col min="2" max="2" width="25" style="22" bestFit="1" customWidth="1"/>
    <col min="3" max="3" width="22" style="22" customWidth="1"/>
    <col min="4" max="4" width="20.375" style="22" customWidth="1"/>
    <col min="5" max="5" width="12.5" style="22" customWidth="1"/>
    <col min="6" max="6" width="28.875" style="22" customWidth="1"/>
    <col min="7" max="7" width="21.875" style="288" bestFit="1" customWidth="1"/>
    <col min="8" max="16384" width="9" style="22"/>
  </cols>
  <sheetData>
    <row r="1" spans="1:8" ht="19.5" customHeight="1" thickBot="1" x14ac:dyDescent="0.35">
      <c r="A1" s="802" t="s">
        <v>2851</v>
      </c>
      <c r="B1" s="31"/>
      <c r="C1" s="286" t="str">
        <f>'גנים ובתי ספר- מבנה תקציב'!$E$1</f>
        <v>תכנית בתי הספר והגנים של החופש הגדול, קיץ תשפ"ו</v>
      </c>
    </row>
    <row r="2" spans="1:8" x14ac:dyDescent="0.25">
      <c r="B2" s="31"/>
      <c r="C2" s="31"/>
      <c r="F2"/>
    </row>
    <row r="3" spans="1:8" ht="18.75" x14ac:dyDescent="0.3">
      <c r="B3" s="168" t="s">
        <v>2295</v>
      </c>
      <c r="E3" s="33"/>
      <c r="F3"/>
      <c r="G3" s="33"/>
      <c r="H3" s="33"/>
    </row>
    <row r="4" spans="1:8" ht="19.5" thickBot="1" x14ac:dyDescent="0.35">
      <c r="B4" s="31"/>
      <c r="C4" s="31"/>
      <c r="E4" s="743" t="str">
        <f>IF(AND(E5=" ",E6=" ",E7=" ")," ","שגיאות בגיליון:")</f>
        <v>שגיאות בגיליון:</v>
      </c>
    </row>
    <row r="5" spans="1:8" ht="19.5" thickBot="1" x14ac:dyDescent="0.35">
      <c r="B5" s="49" t="s">
        <v>16</v>
      </c>
      <c r="C5" s="681" t="s">
        <v>185</v>
      </c>
      <c r="E5" s="745" t="str">
        <f>IF(ISBLANK(C5),"יש לבחור את שם הרשות מהרשימה הנפתחת"," ")</f>
        <v>יש לבחור את שם הרשות מהרשימה הנפתחת</v>
      </c>
    </row>
    <row r="6" spans="1:8" ht="19.5" thickBot="1" x14ac:dyDescent="0.35">
      <c r="B6" s="61" t="s">
        <v>7</v>
      </c>
      <c r="C6" s="59" t="str">
        <f>IFERROR(VLOOKUP($C$5,'רשימת רשויות'!A:B,2,0),"")</f>
        <v/>
      </c>
      <c r="E6" s="743" t="str">
        <f>IF(F13="","יש למלא נתוני אנשי קשר ברשות"," ")</f>
        <v>יש למלא נתוני אנשי קשר ברשות</v>
      </c>
    </row>
    <row r="7" spans="1:8" ht="19.5" thickBot="1" x14ac:dyDescent="0.35">
      <c r="B7" s="61" t="s">
        <v>43</v>
      </c>
      <c r="C7" s="59">
        <f>IFERROR(VLOOKUP(C6,'גנים ובתי ספר- מבנה תקציב'!$B$81:$H$90,2),0)</f>
        <v>0</v>
      </c>
      <c r="E7" s="743" t="str" cm="1">
        <f t="array" ref="E7">IF(טבלה22[שם הגוף המפעיל ו/או מעסיק את העובדים]="","יש למלא נתוני מפעילי התכנית"," ")</f>
        <v>יש למלא נתוני מפעילי התכנית</v>
      </c>
    </row>
    <row r="8" spans="1:8" ht="13.5" customHeight="1" x14ac:dyDescent="0.25"/>
    <row r="9" spans="1:8" ht="12.75" customHeight="1" x14ac:dyDescent="0.25"/>
    <row r="10" spans="1:8" ht="13.5" customHeight="1" x14ac:dyDescent="0.3">
      <c r="B10" s="168" t="s">
        <v>2313</v>
      </c>
      <c r="C10" s="33"/>
      <c r="E10" s="33"/>
      <c r="F10" s="33"/>
      <c r="G10" s="33"/>
      <c r="H10" s="33"/>
    </row>
    <row r="11" spans="1:8" ht="13.5" customHeight="1" thickBot="1" x14ac:dyDescent="0.3"/>
    <row r="12" spans="1:8" ht="15.75" x14ac:dyDescent="0.25">
      <c r="B12" s="289" t="s">
        <v>104</v>
      </c>
      <c r="C12" s="290" t="s">
        <v>100</v>
      </c>
      <c r="D12" s="290" t="s">
        <v>101</v>
      </c>
      <c r="E12" s="291" t="s">
        <v>2312</v>
      </c>
      <c r="F12" s="292" t="s">
        <v>2294</v>
      </c>
    </row>
    <row r="13" spans="1:8" x14ac:dyDescent="0.25">
      <c r="B13" s="293" t="s">
        <v>2292</v>
      </c>
      <c r="C13" s="856" t="s">
        <v>3409</v>
      </c>
      <c r="D13" s="856" t="s">
        <v>3411</v>
      </c>
      <c r="E13" s="857"/>
      <c r="F13" s="858" t="s">
        <v>3415</v>
      </c>
      <c r="G13" s="377"/>
    </row>
    <row r="14" spans="1:8" x14ac:dyDescent="0.25">
      <c r="B14" s="293" t="s">
        <v>2293</v>
      </c>
      <c r="C14" s="856" t="s">
        <v>3410</v>
      </c>
      <c r="D14" s="856" t="s">
        <v>3412</v>
      </c>
      <c r="E14" s="857"/>
      <c r="F14" s="858" t="s">
        <v>3416</v>
      </c>
      <c r="G14" s="377"/>
    </row>
    <row r="15" spans="1:8" x14ac:dyDescent="0.25">
      <c r="A15" s="22" t="s">
        <v>2306</v>
      </c>
      <c r="B15" s="865"/>
      <c r="C15" s="859"/>
      <c r="D15" s="859"/>
      <c r="E15" s="860"/>
      <c r="F15" s="861"/>
    </row>
    <row r="16" spans="1:8" ht="15.75" thickBot="1" x14ac:dyDescent="0.3">
      <c r="B16" s="866"/>
      <c r="C16" s="862"/>
      <c r="D16" s="862"/>
      <c r="E16" s="863"/>
      <c r="F16" s="864"/>
    </row>
    <row r="18" spans="1:6" ht="18.75" x14ac:dyDescent="0.3">
      <c r="B18" s="168" t="s">
        <v>2800</v>
      </c>
    </row>
    <row r="19" spans="1:6" ht="30" x14ac:dyDescent="0.25">
      <c r="A19" s="630" t="s">
        <v>1</v>
      </c>
      <c r="B19" s="508" t="s">
        <v>30</v>
      </c>
      <c r="C19" s="630" t="s">
        <v>29</v>
      </c>
      <c r="D19" s="630" t="s">
        <v>135</v>
      </c>
      <c r="E19" s="630" t="s">
        <v>28</v>
      </c>
      <c r="F19" s="630" t="s">
        <v>27</v>
      </c>
    </row>
    <row r="20" spans="1:6" x14ac:dyDescent="0.25">
      <c r="A20" s="287">
        <v>1</v>
      </c>
      <c r="B20" s="682" t="s">
        <v>3413</v>
      </c>
      <c r="C20" s="683">
        <v>516498417</v>
      </c>
      <c r="D20" s="684"/>
      <c r="E20" s="683"/>
      <c r="F20" s="683" t="s">
        <v>3414</v>
      </c>
    </row>
    <row r="21" spans="1:6" x14ac:dyDescent="0.25">
      <c r="A21" s="287">
        <v>2</v>
      </c>
      <c r="B21" s="682"/>
      <c r="C21" s="683"/>
      <c r="D21" s="683"/>
      <c r="E21" s="683"/>
      <c r="F21" s="683"/>
    </row>
    <row r="22" spans="1:6" x14ac:dyDescent="0.25">
      <c r="A22" s="287">
        <v>3</v>
      </c>
      <c r="B22" s="682"/>
      <c r="C22" s="683"/>
      <c r="D22" s="683"/>
      <c r="E22" s="683"/>
      <c r="F22" s="683"/>
    </row>
    <row r="23" spans="1:6" x14ac:dyDescent="0.25">
      <c r="A23" s="287">
        <v>4</v>
      </c>
      <c r="B23" s="682"/>
      <c r="C23" s="683"/>
      <c r="D23" s="683"/>
      <c r="E23" s="683"/>
      <c r="F23" s="683"/>
    </row>
    <row r="24" spans="1:6" x14ac:dyDescent="0.25">
      <c r="A24" s="287">
        <v>5</v>
      </c>
      <c r="B24" s="682"/>
      <c r="C24" s="683"/>
      <c r="D24" s="683"/>
      <c r="E24" s="683"/>
      <c r="F24" s="683"/>
    </row>
    <row r="25" spans="1:6" x14ac:dyDescent="0.25">
      <c r="A25" s="287">
        <v>6</v>
      </c>
      <c r="B25" s="682"/>
      <c r="C25" s="683"/>
      <c r="D25" s="683"/>
      <c r="E25" s="683"/>
      <c r="F25" s="683"/>
    </row>
    <row r="26" spans="1:6" x14ac:dyDescent="0.25">
      <c r="A26" s="287">
        <v>7</v>
      </c>
      <c r="B26" s="683"/>
      <c r="C26" s="683"/>
      <c r="D26" s="683"/>
      <c r="E26" s="683"/>
      <c r="F26" s="683"/>
    </row>
    <row r="27" spans="1:6" x14ac:dyDescent="0.25">
      <c r="A27" s="287">
        <v>8</v>
      </c>
      <c r="B27" s="683"/>
      <c r="C27" s="683"/>
      <c r="D27" s="683"/>
      <c r="E27" s="683"/>
      <c r="F27" s="683"/>
    </row>
    <row r="28" spans="1:6" x14ac:dyDescent="0.25">
      <c r="A28" s="287">
        <v>9</v>
      </c>
      <c r="B28" s="683"/>
      <c r="C28" s="683"/>
      <c r="D28" s="683"/>
      <c r="E28" s="683"/>
      <c r="F28" s="683"/>
    </row>
    <row r="29" spans="1:6" x14ac:dyDescent="0.25">
      <c r="A29" s="287">
        <v>10</v>
      </c>
      <c r="B29" s="683"/>
      <c r="C29" s="683"/>
      <c r="D29" s="683"/>
      <c r="E29" s="683"/>
      <c r="F29" s="683"/>
    </row>
    <row r="30" spans="1:6" x14ac:dyDescent="0.25">
      <c r="A30" s="287">
        <v>11</v>
      </c>
      <c r="B30" s="683"/>
      <c r="C30" s="683"/>
      <c r="D30" s="683"/>
      <c r="E30" s="683"/>
      <c r="F30" s="683"/>
    </row>
    <row r="31" spans="1:6" x14ac:dyDescent="0.25">
      <c r="A31" s="287">
        <v>12</v>
      </c>
      <c r="B31" s="683"/>
      <c r="C31" s="683"/>
      <c r="D31" s="683"/>
      <c r="E31" s="683"/>
      <c r="F31" s="683"/>
    </row>
    <row r="32" spans="1:6" x14ac:dyDescent="0.25">
      <c r="A32" s="287">
        <v>13</v>
      </c>
      <c r="B32" s="683"/>
      <c r="C32" s="683"/>
      <c r="D32" s="683"/>
      <c r="E32" s="683"/>
      <c r="F32" s="683"/>
    </row>
    <row r="33" spans="1:6" x14ac:dyDescent="0.25">
      <c r="A33" s="287">
        <v>14</v>
      </c>
      <c r="B33" s="683"/>
      <c r="C33" s="683"/>
      <c r="D33" s="683"/>
      <c r="E33" s="683"/>
      <c r="F33" s="683"/>
    </row>
    <row r="34" spans="1:6" x14ac:dyDescent="0.25">
      <c r="A34" s="287">
        <v>15</v>
      </c>
      <c r="B34" s="683"/>
      <c r="C34" s="683"/>
      <c r="D34" s="683"/>
      <c r="E34" s="683"/>
      <c r="F34" s="683"/>
    </row>
    <row r="35" spans="1:6" x14ac:dyDescent="0.25">
      <c r="A35" s="287">
        <v>16</v>
      </c>
      <c r="B35" s="683"/>
      <c r="C35" s="683"/>
      <c r="D35" s="683"/>
      <c r="E35" s="683"/>
      <c r="F35" s="683"/>
    </row>
    <row r="36" spans="1:6" x14ac:dyDescent="0.25">
      <c r="A36" s="287">
        <v>17</v>
      </c>
      <c r="B36" s="683"/>
      <c r="C36" s="683"/>
      <c r="D36" s="683"/>
      <c r="E36" s="683"/>
      <c r="F36" s="683"/>
    </row>
    <row r="37" spans="1:6" x14ac:dyDescent="0.25">
      <c r="A37" s="287">
        <v>18</v>
      </c>
      <c r="B37" s="683"/>
      <c r="C37" s="683"/>
      <c r="D37" s="683"/>
      <c r="E37" s="683"/>
      <c r="F37" s="683"/>
    </row>
    <row r="38" spans="1:6" x14ac:dyDescent="0.25">
      <c r="A38" s="287">
        <v>19</v>
      </c>
      <c r="B38" s="683"/>
      <c r="C38" s="683"/>
      <c r="D38" s="683"/>
      <c r="E38" s="683"/>
      <c r="F38" s="683"/>
    </row>
    <row r="39" spans="1:6" x14ac:dyDescent="0.25">
      <c r="A39" s="287">
        <v>20</v>
      </c>
      <c r="B39" s="683"/>
      <c r="C39" s="683"/>
      <c r="D39" s="683"/>
      <c r="E39" s="683"/>
      <c r="F39" s="683"/>
    </row>
    <row r="40" spans="1:6" x14ac:dyDescent="0.25">
      <c r="A40" s="287">
        <v>21</v>
      </c>
      <c r="B40" s="683"/>
      <c r="C40" s="683"/>
      <c r="D40" s="683"/>
      <c r="E40" s="683"/>
      <c r="F40" s="683"/>
    </row>
    <row r="41" spans="1:6" x14ac:dyDescent="0.25">
      <c r="A41" s="287">
        <v>22</v>
      </c>
      <c r="B41" s="683"/>
      <c r="C41" s="683"/>
      <c r="D41" s="683"/>
      <c r="E41" s="683"/>
      <c r="F41" s="683"/>
    </row>
    <row r="42" spans="1:6" x14ac:dyDescent="0.25">
      <c r="A42" s="287">
        <v>23</v>
      </c>
      <c r="B42" s="683"/>
      <c r="C42" s="683"/>
      <c r="D42" s="683"/>
      <c r="E42" s="683"/>
      <c r="F42" s="683"/>
    </row>
    <row r="43" spans="1:6" x14ac:dyDescent="0.25">
      <c r="A43" s="287">
        <v>24</v>
      </c>
      <c r="B43" s="683"/>
      <c r="C43" s="683"/>
      <c r="D43" s="683"/>
      <c r="E43" s="683"/>
      <c r="F43" s="683"/>
    </row>
    <row r="44" spans="1:6" x14ac:dyDescent="0.25">
      <c r="A44" s="287">
        <v>25</v>
      </c>
      <c r="B44" s="683"/>
      <c r="C44" s="683"/>
      <c r="D44" s="683"/>
      <c r="E44" s="683"/>
      <c r="F44" s="683"/>
    </row>
    <row r="45" spans="1:6" x14ac:dyDescent="0.25">
      <c r="A45" s="287">
        <v>26</v>
      </c>
      <c r="B45" s="683"/>
      <c r="C45" s="683"/>
      <c r="D45" s="683"/>
      <c r="E45" s="683"/>
      <c r="F45" s="683"/>
    </row>
    <row r="46" spans="1:6" x14ac:dyDescent="0.25">
      <c r="A46" s="287">
        <v>27</v>
      </c>
      <c r="B46" s="683"/>
      <c r="C46" s="683"/>
      <c r="D46" s="683"/>
      <c r="E46" s="683"/>
      <c r="F46" s="683"/>
    </row>
    <row r="47" spans="1:6" x14ac:dyDescent="0.25">
      <c r="A47" s="287">
        <v>28</v>
      </c>
      <c r="B47" s="683"/>
      <c r="C47" s="683"/>
      <c r="D47" s="683"/>
      <c r="E47" s="683"/>
      <c r="F47" s="683"/>
    </row>
    <row r="48" spans="1:6" x14ac:dyDescent="0.25">
      <c r="A48" s="287">
        <v>29</v>
      </c>
      <c r="B48" s="683"/>
      <c r="C48" s="683"/>
      <c r="D48" s="683"/>
      <c r="E48" s="683"/>
      <c r="F48" s="683"/>
    </row>
    <row r="49" spans="1:6" x14ac:dyDescent="0.25">
      <c r="A49" s="287">
        <v>30</v>
      </c>
      <c r="B49" s="683"/>
      <c r="C49" s="683"/>
      <c r="D49" s="683"/>
      <c r="E49" s="683"/>
      <c r="F49" s="683"/>
    </row>
  </sheetData>
  <sheetProtection algorithmName="SHA-512" hashValue="Du8+xVItCsr7Jmsd/nWBbvfjT/Jl9tLwLxwEWczHob5b3G/zczChsl0aEelfp0dlDwswv7H7AdnMm+whiyq/fQ==" saltValue="WO1u0ARoF8Rt38Q9a6sfLQ==" spinCount="100000" sheet="1" objects="1" scenarios="1"/>
  <conditionalFormatting sqref="G15:G16">
    <cfRule type="containsText" dxfId="184" priority="1" operator="containsText" text="פרטי איש קשר">
      <formula>NOT(ISERROR(SEARCH("פרטי איש קשר",G15)))</formula>
    </cfRule>
  </conditionalFormatting>
  <dataValidations count="2">
    <dataValidation type="list" allowBlank="1" showInputMessage="1" showErrorMessage="1" sqref="C5" xr:uid="{00000000-0002-0000-0300-000000000000}">
      <formula1>רשויות</formula1>
    </dataValidation>
    <dataValidation type="custom" allowBlank="1" showInputMessage="1" showErrorMessage="1" error="יש לבדוק אם מספר העמותה/ חברה/ עוסק הינו תקין או שכבר הוזן!" sqref="C20:C49" xr:uid="{DCD812F6-671E-46AC-85B2-82BC2E9D15BD}">
      <formula1>AND(COUNTIF($D$11:$D$40,$C20)&lt;=1,$C20&gt;0)</formula1>
    </dataValidation>
  </dataValidations>
  <hyperlinks>
    <hyperlink ref="A1" location="'תוכן העניינים'!A1" tooltip="הנחיות למילוי גיליון" display="תוכן העניינים" xr:uid="{00000000-0004-0000-03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5">
    <tabColor rgb="FF00FFFF"/>
    <pageSetUpPr fitToPage="1"/>
  </sheetPr>
  <dimension ref="A1:U520"/>
  <sheetViews>
    <sheetView showGridLines="0" rightToLeft="1" topLeftCell="A7" workbookViewId="0">
      <selection activeCell="J21" sqref="J21"/>
    </sheetView>
  </sheetViews>
  <sheetFormatPr defaultColWidth="9.125" defaultRowHeight="15" x14ac:dyDescent="0.25"/>
  <cols>
    <col min="1" max="1" width="12.25" style="22" customWidth="1"/>
    <col min="2" max="2" width="6" style="22" customWidth="1"/>
    <col min="3" max="3" width="13.5" style="543" customWidth="1"/>
    <col min="4" max="4" width="19.125" style="543" customWidth="1"/>
    <col min="5" max="5" width="20" style="22" customWidth="1"/>
    <col min="6" max="6" width="14.125" style="285" customWidth="1"/>
    <col min="7" max="7" width="10.75" style="285" customWidth="1"/>
    <col min="8" max="8" width="10" style="435" customWidth="1"/>
    <col min="9" max="9" width="10.625" style="156" customWidth="1"/>
    <col min="10" max="10" width="11.25" style="285" customWidth="1"/>
    <col min="11" max="11" width="9.125" style="285"/>
    <col min="12" max="12" width="11.5" style="435" customWidth="1"/>
    <col min="13" max="13" width="12.75" style="22" customWidth="1"/>
    <col min="14" max="14" width="5.75" style="22" customWidth="1"/>
    <col min="15" max="15" width="5.875" style="22" customWidth="1"/>
    <col min="16" max="16384" width="9.125" style="22"/>
  </cols>
  <sheetData>
    <row r="1" spans="1:21" s="160" customFormat="1" ht="19.5" thickBot="1" x14ac:dyDescent="0.35">
      <c r="A1" s="802" t="s">
        <v>2851</v>
      </c>
      <c r="C1" s="538"/>
      <c r="D1" s="538"/>
      <c r="E1" s="33"/>
      <c r="F1" s="42" t="str">
        <f>'גנים ובתי ספר- מבנה תקציב'!$E$1</f>
        <v>תכנית בתי הספר והגנים של החופש הגדול, קיץ תשפ"ו</v>
      </c>
      <c r="G1" s="432"/>
      <c r="H1" s="432"/>
      <c r="I1" s="257"/>
      <c r="J1" s="432"/>
      <c r="K1" s="163"/>
      <c r="L1" s="433"/>
    </row>
    <row r="2" spans="1:21" s="160" customFormat="1" ht="20.25" customHeight="1" x14ac:dyDescent="0.3">
      <c r="C2" s="538"/>
      <c r="D2" s="538"/>
      <c r="E2" s="33"/>
      <c r="F2" s="33"/>
      <c r="G2" s="432"/>
      <c r="H2" s="432"/>
      <c r="I2" s="257"/>
      <c r="J2" s="163"/>
      <c r="K2" s="163"/>
      <c r="L2" s="433"/>
    </row>
    <row r="3" spans="1:21" s="258" customFormat="1" ht="19.5" thickBot="1" x14ac:dyDescent="0.35">
      <c r="C3" s="539"/>
      <c r="D3" s="539"/>
      <c r="F3" s="259"/>
      <c r="G3" s="259"/>
      <c r="H3" s="434"/>
      <c r="I3" s="259"/>
      <c r="J3" s="259"/>
      <c r="K3" s="259"/>
      <c r="L3" s="434"/>
    </row>
    <row r="4" spans="1:21" s="160" customFormat="1" ht="19.5" thickBot="1" x14ac:dyDescent="0.35">
      <c r="C4" s="540"/>
      <c r="D4" s="540" t="s">
        <v>16</v>
      </c>
      <c r="E4" s="49"/>
      <c r="F4" s="1031">
        <f>'נתונים כלליים (1)'!$C$5</f>
        <v>0</v>
      </c>
      <c r="G4" s="260"/>
      <c r="H4" s="433"/>
      <c r="I4" s="260"/>
      <c r="J4" s="260"/>
      <c r="K4" s="260"/>
      <c r="L4" s="433"/>
    </row>
    <row r="5" spans="1:21" s="160" customFormat="1" ht="19.5" thickBot="1" x14ac:dyDescent="0.35">
      <c r="C5" s="540"/>
      <c r="D5" s="540" t="s">
        <v>77</v>
      </c>
      <c r="E5" s="49"/>
      <c r="F5" s="261" t="s">
        <v>78</v>
      </c>
      <c r="G5" s="260"/>
      <c r="H5" s="433"/>
      <c r="I5" s="260"/>
      <c r="J5" s="260"/>
      <c r="K5" s="260"/>
      <c r="L5" s="433"/>
    </row>
    <row r="6" spans="1:21" s="258" customFormat="1" ht="19.5" thickBot="1" x14ac:dyDescent="0.35">
      <c r="C6" s="541"/>
      <c r="D6" s="541" t="s">
        <v>7</v>
      </c>
      <c r="E6" s="61"/>
      <c r="F6" s="261" t="str">
        <f>'נתונים כלליים (1)'!$C$6</f>
        <v/>
      </c>
      <c r="G6" s="259"/>
      <c r="H6" s="434"/>
      <c r="I6" s="259"/>
      <c r="J6" s="259"/>
      <c r="K6" s="259"/>
      <c r="L6" s="434"/>
    </row>
    <row r="7" spans="1:21" s="258" customFormat="1" ht="18.75" x14ac:dyDescent="0.3">
      <c r="C7" s="541"/>
      <c r="D7" s="541"/>
      <c r="E7" s="61"/>
      <c r="F7" s="685"/>
      <c r="G7" s="259"/>
      <c r="H7" s="434"/>
      <c r="I7" s="259"/>
      <c r="J7" s="259"/>
      <c r="K7" s="259"/>
      <c r="L7" s="434"/>
    </row>
    <row r="8" spans="1:21" ht="18.75" x14ac:dyDescent="0.3">
      <c r="C8" s="542"/>
      <c r="D8" s="686" t="s">
        <v>2813</v>
      </c>
      <c r="F8" s="262"/>
      <c r="G8" s="262"/>
      <c r="J8" s="156"/>
      <c r="K8" s="156"/>
    </row>
    <row r="9" spans="1:21" s="40" customFormat="1" ht="18.75" x14ac:dyDescent="0.3">
      <c r="C9" s="538"/>
      <c r="D9" s="538"/>
      <c r="E9" s="33"/>
      <c r="F9" s="42" t="s">
        <v>2527</v>
      </c>
      <c r="G9" s="432"/>
      <c r="H9" s="432"/>
      <c r="I9" s="257"/>
      <c r="J9" s="432"/>
      <c r="K9" s="263"/>
      <c r="L9" s="436"/>
    </row>
    <row r="10" spans="1:21" s="40" customFormat="1" ht="15.75" thickBot="1" x14ac:dyDescent="0.3">
      <c r="C10" s="543"/>
      <c r="D10" s="543"/>
      <c r="E10" s="22"/>
      <c r="F10" s="156"/>
      <c r="G10" s="263"/>
      <c r="H10" s="435"/>
      <c r="I10" s="156"/>
      <c r="J10" s="263"/>
      <c r="K10" s="263"/>
      <c r="L10" s="435"/>
    </row>
    <row r="11" spans="1:21" s="55" customFormat="1" ht="18.75" customHeight="1" x14ac:dyDescent="0.25">
      <c r="B11" s="264"/>
      <c r="C11" s="1101"/>
      <c r="D11" s="1104" t="s">
        <v>8</v>
      </c>
      <c r="E11" s="1102" t="s">
        <v>57</v>
      </c>
      <c r="F11" s="265" t="s">
        <v>2358</v>
      </c>
      <c r="G11" s="265"/>
      <c r="H11" s="1109" t="s">
        <v>54</v>
      </c>
      <c r="I11" s="1111" t="s">
        <v>56</v>
      </c>
      <c r="J11" s="437"/>
      <c r="K11" s="438" t="s">
        <v>55</v>
      </c>
      <c r="L11" s="439"/>
      <c r="M11" s="1107" t="s">
        <v>54</v>
      </c>
    </row>
    <row r="12" spans="1:21" s="268" customFormat="1" ht="45" x14ac:dyDescent="0.25">
      <c r="A12" s="266"/>
      <c r="B12" s="264"/>
      <c r="C12" s="1101"/>
      <c r="D12" s="1105"/>
      <c r="E12" s="1103"/>
      <c r="F12" s="230" t="s">
        <v>53</v>
      </c>
      <c r="G12" s="230" t="s">
        <v>52</v>
      </c>
      <c r="H12" s="1110"/>
      <c r="I12" s="1112"/>
      <c r="J12" s="267" t="s">
        <v>53</v>
      </c>
      <c r="K12" s="267" t="s">
        <v>52</v>
      </c>
      <c r="L12" s="267" t="s">
        <v>31</v>
      </c>
      <c r="M12" s="1108"/>
      <c r="Q12" s="431"/>
      <c r="R12" s="431"/>
      <c r="S12" s="431"/>
      <c r="T12" s="431"/>
      <c r="U12" s="431"/>
    </row>
    <row r="13" spans="1:21" s="24" customFormat="1" ht="16.5" thickBot="1" x14ac:dyDescent="0.3">
      <c r="B13" s="264"/>
      <c r="C13" s="1101"/>
      <c r="D13" s="1106"/>
      <c r="E13" s="269">
        <f>COUNTIF(מוסדות,"&gt;1")</f>
        <v>0</v>
      </c>
      <c r="F13" s="269">
        <f>SUM($G$21:$G$520)</f>
        <v>0</v>
      </c>
      <c r="G13" s="269">
        <f>SUM($H$21:$H$520)</f>
        <v>0</v>
      </c>
      <c r="H13" s="270">
        <f>COUNTIF($I$21:I$520,"&gt;149")</f>
        <v>0</v>
      </c>
      <c r="I13" s="440">
        <f>SUM(IF(FREQUENCY($F$21:$F$520,$F$21:$F$520)&gt;0,1))</f>
        <v>0</v>
      </c>
      <c r="J13" s="269">
        <f>SUM($J$21:$J$520)</f>
        <v>0</v>
      </c>
      <c r="K13" s="269">
        <f>SUM($K$21:$K$520)</f>
        <v>0</v>
      </c>
      <c r="L13" s="269">
        <f>K13+J13</f>
        <v>0</v>
      </c>
      <c r="M13" s="270">
        <f>COUNTIF($L$21:L$520,"&gt;149")</f>
        <v>0</v>
      </c>
    </row>
    <row r="14" spans="1:21" s="24" customFormat="1" ht="16.5" thickBot="1" x14ac:dyDescent="0.3">
      <c r="B14" s="271"/>
      <c r="C14" s="544"/>
      <c r="D14" s="544"/>
      <c r="E14" s="266"/>
      <c r="F14" s="272"/>
      <c r="G14" s="272"/>
      <c r="H14" s="441"/>
      <c r="I14" s="272"/>
      <c r="J14" s="272"/>
      <c r="K14" s="272"/>
      <c r="L14" s="441"/>
    </row>
    <row r="15" spans="1:21" s="55" customFormat="1" ht="15.75" x14ac:dyDescent="0.25">
      <c r="C15" s="545"/>
      <c r="D15" s="545"/>
      <c r="E15" s="17"/>
      <c r="F15" s="17"/>
      <c r="G15" s="442"/>
      <c r="H15" s="638" t="s">
        <v>2354</v>
      </c>
      <c r="I15" s="639"/>
      <c r="J15" s="640"/>
      <c r="K15" s="641"/>
      <c r="L15" s="699"/>
      <c r="M15" s="700"/>
    </row>
    <row r="16" spans="1:21" s="55" customFormat="1" ht="15.75" customHeight="1" thickBot="1" x14ac:dyDescent="0.3">
      <c r="C16" s="545"/>
      <c r="D16" s="545"/>
      <c r="E16" s="17"/>
      <c r="F16" s="17"/>
      <c r="G16" s="442"/>
      <c r="H16" s="642" t="s">
        <v>2798</v>
      </c>
      <c r="I16" s="643"/>
      <c r="J16" s="644"/>
      <c r="K16" s="645"/>
      <c r="L16" s="701"/>
      <c r="M16" s="702"/>
    </row>
    <row r="17" spans="2:19" s="55" customFormat="1" ht="15.75" x14ac:dyDescent="0.25">
      <c r="C17" s="540"/>
      <c r="D17" s="540"/>
      <c r="E17" s="273"/>
      <c r="F17" s="274"/>
      <c r="G17" s="159"/>
      <c r="H17" s="275"/>
      <c r="I17" s="275"/>
    </row>
    <row r="18" spans="2:19" s="55" customFormat="1" ht="16.5" thickBot="1" x14ac:dyDescent="0.3">
      <c r="C18" s="540"/>
      <c r="D18" s="540"/>
      <c r="E18" s="273"/>
      <c r="F18" s="274"/>
      <c r="G18" s="159"/>
      <c r="H18" s="275"/>
      <c r="I18" s="275"/>
      <c r="J18" s="275"/>
      <c r="K18" s="275"/>
      <c r="L18" s="275"/>
      <c r="M18" s="275"/>
    </row>
    <row r="19" spans="2:19" s="40" customFormat="1" ht="33" customHeight="1" thickBot="1" x14ac:dyDescent="0.3">
      <c r="B19" s="268"/>
      <c r="C19" s="546"/>
      <c r="D19" s="547"/>
      <c r="E19" s="276" t="s">
        <v>2357</v>
      </c>
      <c r="F19" s="277"/>
      <c r="G19" s="646"/>
      <c r="H19" s="647" t="s">
        <v>2356</v>
      </c>
      <c r="I19" s="648"/>
      <c r="J19" s="1098" t="s">
        <v>2799</v>
      </c>
      <c r="K19" s="1099"/>
      <c r="L19" s="1099"/>
      <c r="M19" s="1100"/>
      <c r="O19" s="55"/>
      <c r="P19" s="55"/>
      <c r="Q19" s="55"/>
      <c r="R19" s="55"/>
      <c r="S19" s="55"/>
    </row>
    <row r="20" spans="2:19" s="242" customFormat="1" ht="75.75" thickBot="1" x14ac:dyDescent="0.25">
      <c r="B20" s="278" t="s">
        <v>1</v>
      </c>
      <c r="C20" s="548" t="s">
        <v>51</v>
      </c>
      <c r="D20" s="548" t="s">
        <v>134</v>
      </c>
      <c r="E20" s="279" t="s">
        <v>2526</v>
      </c>
      <c r="F20" s="387" t="s">
        <v>2536</v>
      </c>
      <c r="G20" s="649" t="s">
        <v>2199</v>
      </c>
      <c r="H20" s="650" t="s">
        <v>2200</v>
      </c>
      <c r="I20" s="637" t="s">
        <v>50</v>
      </c>
      <c r="J20" s="651" t="s">
        <v>49</v>
      </c>
      <c r="K20" s="652" t="s">
        <v>48</v>
      </c>
      <c r="L20" s="653" t="s">
        <v>31</v>
      </c>
      <c r="M20" s="654" t="s">
        <v>47</v>
      </c>
    </row>
    <row r="21" spans="2:19" x14ac:dyDescent="0.25">
      <c r="B21" s="280">
        <v>1</v>
      </c>
      <c r="C21" s="549" cm="1">
        <f t="array" ref="C21">IFERROR(
   INDEX('נתוני רישום ומצבת'!$B:$B,
      SMALL(
         IF(('נתוני רישום ומצבת'!A$2:A$2998='נתונים כלליים (1)'!$C$5),
         ROW('נתוני רישום ומצבת'!A$2:A$2998)),
      ROW(A1))
   ),
"")</f>
        <v>0</v>
      </c>
      <c r="D21" s="549" t="str">
        <f>IF(C21="", "",
   IFERROR(
      IF(VLOOKUP(C21, 'נתוני רישום ומצבת'!B:J, 9, FALSE) = $F$4,
         VLOOKUP(C21, 'נתוני רישום ומצבת'!B:J, 3, FALSE),
         "המוסד לא קיים ברשות"),
   "המוסד לא קיים"))</f>
        <v>המוסד לא קיים</v>
      </c>
      <c r="E21" s="176" t="str">
        <f>IFERROR(VLOOKUP(C21,'נתוני רישום ומצבת'!B:G,6,0),"")</f>
        <v/>
      </c>
      <c r="F21" s="281" t="str">
        <f>IFERROR(VLOOKUP(C21,'נתוני רישום ומצבת'!B:K,10,0)," ")</f>
        <v xml:space="preserve"> </v>
      </c>
      <c r="G21" s="443" t="str">
        <f>IFERROR(VLOOKUP(C21,'נתוני רישום ומצבת'!B:E,4,0)," ")</f>
        <v xml:space="preserve"> </v>
      </c>
      <c r="H21" s="444" t="str">
        <f>IFERROR(VLOOKUP(C21,'נתוני רישום ומצבת'!B:K,7,0),"")</f>
        <v/>
      </c>
      <c r="I21" s="254" t="str">
        <f t="shared" ref="I21:I84" si="0">IFERROR(H21+G21,"")</f>
        <v/>
      </c>
      <c r="J21" s="443" t="str">
        <f>IFERROR(VLOOKUP(C21,'נתוני רישום ומצבת'!B:I,5,0)," ")</f>
        <v xml:space="preserve"> </v>
      </c>
      <c r="K21" s="443" t="str">
        <f>IFERROR(VLOOKUP(C21,'נתוני רישום ומצבת'!B:I,8,0),"")</f>
        <v/>
      </c>
      <c r="L21" s="282">
        <f>IFERROR(K21+J21,0)</f>
        <v>0</v>
      </c>
      <c r="M21" s="283" t="str">
        <f>IF(L21&gt;149,"כן","-")</f>
        <v>-</v>
      </c>
    </row>
    <row r="22" spans="2:19" x14ac:dyDescent="0.25">
      <c r="B22" s="280">
        <v>2</v>
      </c>
      <c r="C22" s="549" cm="1">
        <f t="array" ref="C22">IFERROR(
   INDEX('נתוני רישום ומצבת'!$B:$B,
      SMALL(
         IF(('נתוני רישום ומצבת'!A$2:A$2998='נתונים כלליים (1)'!$C$5),
         ROW('נתוני רישום ומצבת'!A$2:A$2998)),
      ROW(A2))
   ),
"")</f>
        <v>0</v>
      </c>
      <c r="D22" s="549" t="str">
        <f>IF(C22="", "",
   IFERROR(
      IF(VLOOKUP(C22, 'נתוני רישום ומצבת'!B:J, 9, FALSE) = $F$4,
         VLOOKUP(C22, 'נתוני רישום ומצבת'!B:J, 3, FALSE),
         "המוסד לא קיים ברשות"),
   "המוסד לא קיים"))</f>
        <v>המוסד לא קיים</v>
      </c>
      <c r="E22" s="176" t="str">
        <f>IFERROR(VLOOKUP(C22,'נתוני רישום ומצבת'!B:G,6,0),"")</f>
        <v/>
      </c>
      <c r="F22" s="281" t="str">
        <f>IFERROR(VLOOKUP(C22,'נתוני רישום ומצבת'!B:K,10,0)," ")</f>
        <v xml:space="preserve"> </v>
      </c>
      <c r="G22" s="443" t="str">
        <f>IFERROR(VLOOKUP(C22,'נתוני רישום ומצבת'!B:E,4,0)," ")</f>
        <v xml:space="preserve"> </v>
      </c>
      <c r="H22" s="444" t="str">
        <f>IFERROR(VLOOKUP(C22,'נתוני רישום ומצבת'!B:K,7,0),"")</f>
        <v/>
      </c>
      <c r="I22" s="180" t="str">
        <f t="shared" si="0"/>
        <v/>
      </c>
      <c r="J22" s="443" t="str">
        <f>IFERROR(VLOOKUP(C22,'נתוני רישום ומצבת'!B:I,5,0)," ")</f>
        <v xml:space="preserve"> </v>
      </c>
      <c r="K22" s="443" t="str">
        <f>IFERROR(VLOOKUP(C22,'נתוני רישום ומצבת'!B:I,8,0),"")</f>
        <v/>
      </c>
      <c r="L22" s="284">
        <f t="shared" ref="L22:L85" si="1">IFERROR(K22+J22,0)</f>
        <v>0</v>
      </c>
      <c r="M22" s="283" t="str">
        <f t="shared" ref="M22:M27" si="2">IF(L22&gt;149,"כן","-")</f>
        <v>-</v>
      </c>
    </row>
    <row r="23" spans="2:19" x14ac:dyDescent="0.25">
      <c r="B23" s="280">
        <v>3</v>
      </c>
      <c r="C23" s="549" cm="1">
        <f t="array" ref="C23">IFERROR(
   INDEX('נתוני רישום ומצבת'!$B:$B,
      SMALL(
         IF(('נתוני רישום ומצבת'!A$2:A$2998='נתונים כלליים (1)'!$C$5),
         ROW('נתוני רישום ומצבת'!A$2:A$2998)),
      ROW(A3))
   ),
"")</f>
        <v>0</v>
      </c>
      <c r="D23" s="549" t="str">
        <f>IF(C23="", "",
   IFERROR(
      IF(VLOOKUP(C23, 'נתוני רישום ומצבת'!B:J, 9, FALSE) = $F$4,
         VLOOKUP(C23, 'נתוני רישום ומצבת'!B:J, 3, FALSE),
         "המוסד לא קיים ברשות"),
   "המוסד לא קיים"))</f>
        <v>המוסד לא קיים</v>
      </c>
      <c r="E23" s="176" t="str">
        <f>IFERROR(VLOOKUP(C23,'נתוני רישום ומצבת'!B:G,6,0),"")</f>
        <v/>
      </c>
      <c r="F23" s="281" t="str">
        <f>IFERROR(VLOOKUP(C23,'נתוני רישום ומצבת'!B:K,10,0)," ")</f>
        <v xml:space="preserve"> </v>
      </c>
      <c r="G23" s="443" t="str">
        <f>IFERROR(VLOOKUP(C23,'נתוני רישום ומצבת'!B:E,4,0)," ")</f>
        <v xml:space="preserve"> </v>
      </c>
      <c r="H23" s="444" t="str">
        <f>IFERROR(VLOOKUP(C23,'נתוני רישום ומצבת'!B:K,7,0),"")</f>
        <v/>
      </c>
      <c r="I23" s="180" t="str">
        <f t="shared" si="0"/>
        <v/>
      </c>
      <c r="J23" s="443" t="str">
        <f>IFERROR(VLOOKUP(C23,'נתוני רישום ומצבת'!B:I,5,0)," ")</f>
        <v xml:space="preserve"> </v>
      </c>
      <c r="K23" s="443" t="str">
        <f>IFERROR(VLOOKUP(C23,'נתוני רישום ומצבת'!B:I,8,0),"")</f>
        <v/>
      </c>
      <c r="L23" s="284">
        <f t="shared" si="1"/>
        <v>0</v>
      </c>
      <c r="M23" s="283" t="str">
        <f>IF(L23&gt;149,"כן","-")</f>
        <v>-</v>
      </c>
    </row>
    <row r="24" spans="2:19" x14ac:dyDescent="0.25">
      <c r="B24" s="280">
        <v>4</v>
      </c>
      <c r="C24" s="549" cm="1">
        <f t="array" ref="C24">IFERROR(
   INDEX('נתוני רישום ומצבת'!$B:$B,
      SMALL(
         IF(('נתוני רישום ומצבת'!A$2:A$2998='נתונים כלליים (1)'!$C$5),
         ROW('נתוני רישום ומצבת'!A$2:A$2998)),
      ROW(A4))
   ),
"")</f>
        <v>0</v>
      </c>
      <c r="D24" s="549" t="str">
        <f>IF(C24="", "",
   IFERROR(
      IF(VLOOKUP(C24, 'נתוני רישום ומצבת'!B:J, 9, FALSE) = $F$4,
         VLOOKUP(C24, 'נתוני רישום ומצבת'!B:J, 3, FALSE),
         "המוסד לא קיים ברשות"),
   "המוסד לא קיים"))</f>
        <v>המוסד לא קיים</v>
      </c>
      <c r="E24" s="176" t="str">
        <f>IFERROR(VLOOKUP(C24,'נתוני רישום ומצבת'!B:G,6,0),"")</f>
        <v/>
      </c>
      <c r="F24" s="281" t="str">
        <f>IFERROR(VLOOKUP(C24,'נתוני רישום ומצבת'!B:K,10,0)," ")</f>
        <v xml:space="preserve"> </v>
      </c>
      <c r="G24" s="443" t="str">
        <f>IFERROR(VLOOKUP(C24,'נתוני רישום ומצבת'!B:E,4,0)," ")</f>
        <v xml:space="preserve"> </v>
      </c>
      <c r="H24" s="444" t="str">
        <f>IFERROR(VLOOKUP(C24,'נתוני רישום ומצבת'!B:K,7,0),"")</f>
        <v/>
      </c>
      <c r="I24" s="180" t="str">
        <f t="shared" si="0"/>
        <v/>
      </c>
      <c r="J24" s="443" t="str">
        <f>IFERROR(VLOOKUP(C24,'נתוני רישום ומצבת'!B:I,5,0)," ")</f>
        <v xml:space="preserve"> </v>
      </c>
      <c r="K24" s="443" t="str">
        <f>IFERROR(VLOOKUP(C24,'נתוני רישום ומצבת'!B:I,8,0),"")</f>
        <v/>
      </c>
      <c r="L24" s="284">
        <f t="shared" si="1"/>
        <v>0</v>
      </c>
      <c r="M24" s="283" t="str">
        <f t="shared" si="2"/>
        <v>-</v>
      </c>
    </row>
    <row r="25" spans="2:19" x14ac:dyDescent="0.25">
      <c r="B25" s="280">
        <v>5</v>
      </c>
      <c r="C25" s="549" cm="1">
        <f t="array" ref="C25">IFERROR(
   INDEX('נתוני רישום ומצבת'!$B:$B,
      SMALL(
         IF(('נתוני רישום ומצבת'!A$2:A$2998='נתונים כלליים (1)'!$C$5),
         ROW('נתוני רישום ומצבת'!A$2:A$2998)),
      ROW(A5))
   ),
"")</f>
        <v>0</v>
      </c>
      <c r="D25" s="549" t="str">
        <f>IF(C25="", "",
   IFERROR(
      IF(VLOOKUP(C25, 'נתוני רישום ומצבת'!B:J, 9, FALSE) = $F$4,
         VLOOKUP(C25, 'נתוני רישום ומצבת'!B:J, 3, FALSE),
         "המוסד לא קיים ברשות"),
   "המוסד לא קיים"))</f>
        <v>המוסד לא קיים</v>
      </c>
      <c r="E25" s="176" t="str">
        <f>IFERROR(VLOOKUP(C25,'נתוני רישום ומצבת'!B:G,6,0),"")</f>
        <v/>
      </c>
      <c r="F25" s="281" t="str">
        <f>IFERROR(VLOOKUP(C25,'נתוני רישום ומצבת'!B:K,10,0)," ")</f>
        <v xml:space="preserve"> </v>
      </c>
      <c r="G25" s="443" t="str">
        <f>IFERROR(VLOOKUP(C25,'נתוני רישום ומצבת'!B:E,4,0)," ")</f>
        <v xml:space="preserve"> </v>
      </c>
      <c r="H25" s="444" t="str">
        <f>IFERROR(VLOOKUP(C25,'נתוני רישום ומצבת'!B:K,7,0),"")</f>
        <v/>
      </c>
      <c r="I25" s="180" t="str">
        <f t="shared" si="0"/>
        <v/>
      </c>
      <c r="J25" s="443" t="str">
        <f>IFERROR(VLOOKUP(C25,'נתוני רישום ומצבת'!B:I,5,0)," ")</f>
        <v xml:space="preserve"> </v>
      </c>
      <c r="K25" s="443" t="str">
        <f>IFERROR(VLOOKUP(C25,'נתוני רישום ומצבת'!B:I,8,0),"")</f>
        <v/>
      </c>
      <c r="L25" s="284">
        <f t="shared" si="1"/>
        <v>0</v>
      </c>
      <c r="M25" s="283" t="str">
        <f t="shared" si="2"/>
        <v>-</v>
      </c>
    </row>
    <row r="26" spans="2:19" x14ac:dyDescent="0.25">
      <c r="B26" s="280">
        <v>6</v>
      </c>
      <c r="C26" s="549" cm="1">
        <f t="array" ref="C26">IFERROR(
   INDEX('נתוני רישום ומצבת'!$B:$B,
      SMALL(
         IF(('נתוני רישום ומצבת'!A$2:A$2998='נתונים כלליים (1)'!$C$5),
         ROW('נתוני רישום ומצבת'!A$2:A$2998)),
      ROW(A6))
   ),
"")</f>
        <v>0</v>
      </c>
      <c r="D26" s="549" t="str">
        <f>IF(C26="", "",
   IFERROR(
      IF(VLOOKUP(C26, 'נתוני רישום ומצבת'!B:J, 9, FALSE) = $F$4,
         VLOOKUP(C26, 'נתוני רישום ומצבת'!B:J, 3, FALSE),
         "המוסד לא קיים ברשות"),
   "המוסד לא קיים"))</f>
        <v>המוסד לא קיים</v>
      </c>
      <c r="E26" s="176" t="str">
        <f>IFERROR(VLOOKUP(C26,'נתוני רישום ומצבת'!B:G,6,0),"")</f>
        <v/>
      </c>
      <c r="F26" s="281" t="str">
        <f>IFERROR(VLOOKUP(C26,'נתוני רישום ומצבת'!B:K,10,0)," ")</f>
        <v xml:space="preserve"> </v>
      </c>
      <c r="G26" s="443" t="str">
        <f>IFERROR(VLOOKUP(C26,'נתוני רישום ומצבת'!B:E,4,0)," ")</f>
        <v xml:space="preserve"> </v>
      </c>
      <c r="H26" s="444" t="str">
        <f>IFERROR(VLOOKUP(C26,'נתוני רישום ומצבת'!B:K,7,0),"")</f>
        <v/>
      </c>
      <c r="I26" s="180" t="str">
        <f t="shared" si="0"/>
        <v/>
      </c>
      <c r="J26" s="443" t="str">
        <f>IFERROR(VLOOKUP(C26,'נתוני רישום ומצבת'!B:I,5,0)," ")</f>
        <v xml:space="preserve"> </v>
      </c>
      <c r="K26" s="443" t="str">
        <f>IFERROR(VLOOKUP(C26,'נתוני רישום ומצבת'!B:I,8,0),"")</f>
        <v/>
      </c>
      <c r="L26" s="284">
        <f t="shared" si="1"/>
        <v>0</v>
      </c>
      <c r="M26" s="283" t="str">
        <f t="shared" si="2"/>
        <v>-</v>
      </c>
    </row>
    <row r="27" spans="2:19" x14ac:dyDescent="0.25">
      <c r="B27" s="280">
        <v>7</v>
      </c>
      <c r="C27" s="549" cm="1">
        <f t="array" ref="C27">IFERROR(
   INDEX('נתוני רישום ומצבת'!$B:$B,
      SMALL(
         IF(('נתוני רישום ומצבת'!A$2:A$2998='נתונים כלליים (1)'!$C$5),
         ROW('נתוני רישום ומצבת'!A$2:A$2998)),
      ROW(A7))
   ),
"")</f>
        <v>0</v>
      </c>
      <c r="D27" s="549" t="str">
        <f>IF(C27="", "",
   IFERROR(
      IF(VLOOKUP(C27, 'נתוני רישום ומצבת'!B:J, 9, FALSE) = $F$4,
         VLOOKUP(C27, 'נתוני רישום ומצבת'!B:J, 3, FALSE),
         "המוסד לא קיים ברשות"),
   "המוסד לא קיים"))</f>
        <v>המוסד לא קיים</v>
      </c>
      <c r="E27" s="176" t="str">
        <f>IFERROR(VLOOKUP(C27,'נתוני רישום ומצבת'!B:G,6,0),"")</f>
        <v/>
      </c>
      <c r="F27" s="281" t="str">
        <f>IFERROR(VLOOKUP(C27,'נתוני רישום ומצבת'!B:K,10,0)," ")</f>
        <v xml:space="preserve"> </v>
      </c>
      <c r="G27" s="443" t="str">
        <f>IFERROR(VLOOKUP(C27,'נתוני רישום ומצבת'!B:E,4,0)," ")</f>
        <v xml:space="preserve"> </v>
      </c>
      <c r="H27" s="444" t="str">
        <f>IFERROR(VLOOKUP(C27,'נתוני רישום ומצבת'!B:K,7,0),"")</f>
        <v/>
      </c>
      <c r="I27" s="180" t="str">
        <f t="shared" si="0"/>
        <v/>
      </c>
      <c r="J27" s="443" t="str">
        <f>IFERROR(VLOOKUP(C27,'נתוני רישום ומצבת'!B:I,5,0)," ")</f>
        <v xml:space="preserve"> </v>
      </c>
      <c r="K27" s="443" t="str">
        <f>IFERROR(VLOOKUP(C27,'נתוני רישום ומצבת'!B:I,8,0),"")</f>
        <v/>
      </c>
      <c r="L27" s="284">
        <f t="shared" si="1"/>
        <v>0</v>
      </c>
      <c r="M27" s="283" t="str">
        <f t="shared" si="2"/>
        <v>-</v>
      </c>
    </row>
    <row r="28" spans="2:19" x14ac:dyDescent="0.25">
      <c r="B28" s="280">
        <v>8</v>
      </c>
      <c r="C28" s="549" cm="1">
        <f t="array" ref="C28">IFERROR(
   INDEX('נתוני רישום ומצבת'!$B:$B,
      SMALL(
         IF(('נתוני רישום ומצבת'!A$2:A$2998='נתונים כלליים (1)'!$C$5),
         ROW('נתוני רישום ומצבת'!A$2:A$2998)),
      ROW(A8))
   ),
"")</f>
        <v>0</v>
      </c>
      <c r="D28" s="549" t="str">
        <f>IF(C28="", "",
   IFERROR(
      IF(VLOOKUP(C28, 'נתוני רישום ומצבת'!B:J, 9, FALSE) = $F$4,
         VLOOKUP(C28, 'נתוני רישום ומצבת'!B:J, 3, FALSE),
         "המוסד לא קיים ברשות"),
   "המוסד לא קיים"))</f>
        <v>המוסד לא קיים</v>
      </c>
      <c r="E28" s="176" t="str">
        <f>IFERROR(VLOOKUP(C28,'נתוני רישום ומצבת'!B:G,6,0),"")</f>
        <v/>
      </c>
      <c r="F28" s="281" t="str">
        <f>IFERROR(VLOOKUP(C28,'נתוני רישום ומצבת'!B:K,10,0)," ")</f>
        <v xml:space="preserve"> </v>
      </c>
      <c r="G28" s="443" t="str">
        <f>IFERROR(VLOOKUP(C28,'נתוני רישום ומצבת'!B:E,4,0)," ")</f>
        <v xml:space="preserve"> </v>
      </c>
      <c r="H28" s="444" t="str">
        <f>IFERROR(VLOOKUP(C28,'נתוני רישום ומצבת'!B:K,7,0),"")</f>
        <v/>
      </c>
      <c r="I28" s="180" t="str">
        <f t="shared" si="0"/>
        <v/>
      </c>
      <c r="J28" s="443" t="str">
        <f>IFERROR(VLOOKUP(C28,'נתוני רישום ומצבת'!B:I,5,0)," ")</f>
        <v xml:space="preserve"> </v>
      </c>
      <c r="K28" s="443" t="str">
        <f>IFERROR(VLOOKUP(C28,'נתוני רישום ומצבת'!B:I,8,0),"")</f>
        <v/>
      </c>
      <c r="L28" s="284">
        <f t="shared" si="1"/>
        <v>0</v>
      </c>
      <c r="M28" s="283" t="str">
        <f t="shared" ref="M28:M52" si="3">IF(L28&gt;149,"כן","-")</f>
        <v>-</v>
      </c>
    </row>
    <row r="29" spans="2:19" x14ac:dyDescent="0.25">
      <c r="B29" s="280">
        <v>9</v>
      </c>
      <c r="C29" s="549" cm="1">
        <f t="array" ref="C29">IFERROR(
   INDEX('נתוני רישום ומצבת'!$B:$B,
      SMALL(
         IF(('נתוני רישום ומצבת'!A$2:A$2998='נתונים כלליים (1)'!$C$5),
         ROW('נתוני רישום ומצבת'!A$2:A$2998)),
      ROW(A9))
   ),
"")</f>
        <v>0</v>
      </c>
      <c r="D29" s="549" t="str">
        <f>IF(C29="", "",
   IFERROR(
      IF(VLOOKUP(C29, 'נתוני רישום ומצבת'!B:J, 9, FALSE) = $F$4,
         VLOOKUP(C29, 'נתוני רישום ומצבת'!B:J, 3, FALSE),
         "המוסד לא קיים ברשות"),
   "המוסד לא קיים"))</f>
        <v>המוסד לא קיים</v>
      </c>
      <c r="E29" s="176" t="str">
        <f>IFERROR(VLOOKUP(C29,'נתוני רישום ומצבת'!B:G,6,0),"")</f>
        <v/>
      </c>
      <c r="F29" s="281" t="str">
        <f>IFERROR(VLOOKUP(C29,'נתוני רישום ומצבת'!B:K,10,0)," ")</f>
        <v xml:space="preserve"> </v>
      </c>
      <c r="G29" s="443" t="str">
        <f>IFERROR(VLOOKUP(C29,'נתוני רישום ומצבת'!B:E,4,0)," ")</f>
        <v xml:space="preserve"> </v>
      </c>
      <c r="H29" s="444" t="str">
        <f>IFERROR(VLOOKUP(C29,'נתוני רישום ומצבת'!B:K,7,0),"")</f>
        <v/>
      </c>
      <c r="I29" s="180" t="str">
        <f t="shared" si="0"/>
        <v/>
      </c>
      <c r="J29" s="443" t="str">
        <f>IFERROR(VLOOKUP(C29,'נתוני רישום ומצבת'!B:I,5,0)," ")</f>
        <v xml:space="preserve"> </v>
      </c>
      <c r="K29" s="443" t="str">
        <f>IFERROR(VLOOKUP(C29,'נתוני רישום ומצבת'!B:I,8,0),"")</f>
        <v/>
      </c>
      <c r="L29" s="284">
        <f t="shared" si="1"/>
        <v>0</v>
      </c>
      <c r="M29" s="283" t="str">
        <f t="shared" si="3"/>
        <v>-</v>
      </c>
    </row>
    <row r="30" spans="2:19" x14ac:dyDescent="0.25">
      <c r="B30" s="280">
        <v>10</v>
      </c>
      <c r="C30" s="549" cm="1">
        <f t="array" ref="C30">IFERROR(
   INDEX('נתוני רישום ומצבת'!$B:$B,
      SMALL(
         IF(('נתוני רישום ומצבת'!A$2:A$2998='נתונים כלליים (1)'!$C$5),
         ROW('נתוני רישום ומצבת'!A$2:A$2998)),
      ROW(A10))
   ),
"")</f>
        <v>0</v>
      </c>
      <c r="D30" s="549" t="str">
        <f>IF(C30="", "",
   IFERROR(
      IF(VLOOKUP(C30, 'נתוני רישום ומצבת'!B:J, 9, FALSE) = $F$4,
         VLOOKUP(C30, 'נתוני רישום ומצבת'!B:J, 3, FALSE),
         "המוסד לא קיים ברשות"),
   "המוסד לא קיים"))</f>
        <v>המוסד לא קיים</v>
      </c>
      <c r="E30" s="176" t="str">
        <f>IFERROR(VLOOKUP(C30,'נתוני רישום ומצבת'!B:G,6,0),"")</f>
        <v/>
      </c>
      <c r="F30" s="281" t="str">
        <f>IFERROR(VLOOKUP(C30,'נתוני רישום ומצבת'!B:K,10,0)," ")</f>
        <v xml:space="preserve"> </v>
      </c>
      <c r="G30" s="443" t="str">
        <f>IFERROR(VLOOKUP(C30,'נתוני רישום ומצבת'!B:E,4,0)," ")</f>
        <v xml:space="preserve"> </v>
      </c>
      <c r="H30" s="444" t="str">
        <f>IFERROR(VLOOKUP(C30,'נתוני רישום ומצבת'!B:K,7,0),"")</f>
        <v/>
      </c>
      <c r="I30" s="180" t="str">
        <f t="shared" si="0"/>
        <v/>
      </c>
      <c r="J30" s="443" t="str">
        <f>IFERROR(VLOOKUP(C30,'נתוני רישום ומצבת'!B:I,5,0)," ")</f>
        <v xml:space="preserve"> </v>
      </c>
      <c r="K30" s="443" t="str">
        <f>IFERROR(VLOOKUP(C30,'נתוני רישום ומצבת'!B:I,8,0),"")</f>
        <v/>
      </c>
      <c r="L30" s="284">
        <f t="shared" si="1"/>
        <v>0</v>
      </c>
      <c r="M30" s="283" t="str">
        <f t="shared" si="3"/>
        <v>-</v>
      </c>
    </row>
    <row r="31" spans="2:19" x14ac:dyDescent="0.25">
      <c r="B31" s="280">
        <v>11</v>
      </c>
      <c r="C31" s="549" cm="1">
        <f t="array" ref="C31">IFERROR(
   INDEX('נתוני רישום ומצבת'!$B:$B,
      SMALL(
         IF(('נתוני רישום ומצבת'!A$2:A$2998='נתונים כלליים (1)'!$C$5),
         ROW('נתוני רישום ומצבת'!A$2:A$2998)),
      ROW(A11))
   ),
"")</f>
        <v>0</v>
      </c>
      <c r="D31" s="549" t="str">
        <f>IF(C31="", "",
   IFERROR(
      IF(VLOOKUP(C31, 'נתוני רישום ומצבת'!B:J, 9, FALSE) = $F$4,
         VLOOKUP(C31, 'נתוני רישום ומצבת'!B:J, 3, FALSE),
         "המוסד לא קיים ברשות"),
   "המוסד לא קיים"))</f>
        <v>המוסד לא קיים</v>
      </c>
      <c r="E31" s="176" t="str">
        <f>IFERROR(VLOOKUP(C31,'נתוני רישום ומצבת'!B:G,6,0),"")</f>
        <v/>
      </c>
      <c r="F31" s="281" t="str">
        <f>IFERROR(VLOOKUP(C31,'נתוני רישום ומצבת'!B:K,10,0)," ")</f>
        <v xml:space="preserve"> </v>
      </c>
      <c r="G31" s="443" t="str">
        <f>IFERROR(VLOOKUP(C31,'נתוני רישום ומצבת'!B:E,4,0)," ")</f>
        <v xml:space="preserve"> </v>
      </c>
      <c r="H31" s="444" t="str">
        <f>IFERROR(VLOOKUP(C31,'נתוני רישום ומצבת'!B:K,7,0),"")</f>
        <v/>
      </c>
      <c r="I31" s="180" t="str">
        <f t="shared" si="0"/>
        <v/>
      </c>
      <c r="J31" s="443" t="str">
        <f>IFERROR(VLOOKUP(C31,'נתוני רישום ומצבת'!B:I,5,0)," ")</f>
        <v xml:space="preserve"> </v>
      </c>
      <c r="K31" s="443" t="str">
        <f>IFERROR(VLOOKUP(C31,'נתוני רישום ומצבת'!B:I,8,0),"")</f>
        <v/>
      </c>
      <c r="L31" s="284">
        <f t="shared" si="1"/>
        <v>0</v>
      </c>
      <c r="M31" s="283" t="str">
        <f t="shared" si="3"/>
        <v>-</v>
      </c>
    </row>
    <row r="32" spans="2:19" x14ac:dyDescent="0.25">
      <c r="B32" s="280">
        <v>12</v>
      </c>
      <c r="C32" s="549" cm="1">
        <f t="array" ref="C32">IFERROR(
   INDEX('נתוני רישום ומצבת'!$B:$B,
      SMALL(
         IF(('נתוני רישום ומצבת'!A$2:A$2998='נתונים כלליים (1)'!$C$5),
         ROW('נתוני רישום ומצבת'!A$2:A$2998)),
      ROW(A12))
   ),
"")</f>
        <v>0</v>
      </c>
      <c r="D32" s="549" t="str">
        <f>IF(C32="", "",
   IFERROR(
      IF(VLOOKUP(C32, 'נתוני רישום ומצבת'!B:J, 9, FALSE) = $F$4,
         VLOOKUP(C32, 'נתוני רישום ומצבת'!B:J, 3, FALSE),
         "המוסד לא קיים ברשות"),
   "המוסד לא קיים"))</f>
        <v>המוסד לא קיים</v>
      </c>
      <c r="E32" s="176" t="str">
        <f>IFERROR(VLOOKUP(C32,'נתוני רישום ומצבת'!B:G,6,0),"")</f>
        <v/>
      </c>
      <c r="F32" s="281" t="str">
        <f>IFERROR(VLOOKUP(C32,'נתוני רישום ומצבת'!B:K,10,0)," ")</f>
        <v xml:space="preserve"> </v>
      </c>
      <c r="G32" s="443" t="str">
        <f>IFERROR(VLOOKUP(C32,'נתוני רישום ומצבת'!B:E,4,0)," ")</f>
        <v xml:space="preserve"> </v>
      </c>
      <c r="H32" s="444" t="str">
        <f>IFERROR(VLOOKUP(C32,'נתוני רישום ומצבת'!B:K,7,0),"")</f>
        <v/>
      </c>
      <c r="I32" s="180" t="str">
        <f t="shared" si="0"/>
        <v/>
      </c>
      <c r="J32" s="443" t="str">
        <f>IFERROR(VLOOKUP(C32,'נתוני רישום ומצבת'!B:I,5,0)," ")</f>
        <v xml:space="preserve"> </v>
      </c>
      <c r="K32" s="443" t="str">
        <f>IFERROR(VLOOKUP(C32,'נתוני רישום ומצבת'!B:I,8,0),"")</f>
        <v/>
      </c>
      <c r="L32" s="284">
        <f t="shared" si="1"/>
        <v>0</v>
      </c>
      <c r="M32" s="283" t="str">
        <f t="shared" si="3"/>
        <v>-</v>
      </c>
    </row>
    <row r="33" spans="2:13" x14ac:dyDescent="0.25">
      <c r="B33" s="280">
        <v>13</v>
      </c>
      <c r="C33" s="549" cm="1">
        <f t="array" ref="C33">IFERROR(
   INDEX('נתוני רישום ומצבת'!$B:$B,
      SMALL(
         IF(('נתוני רישום ומצבת'!A$2:A$2998='נתונים כלליים (1)'!$C$5),
         ROW('נתוני רישום ומצבת'!A$2:A$2998)),
      ROW(A13))
   ),
"")</f>
        <v>0</v>
      </c>
      <c r="D33" s="549" t="str">
        <f>IF(C33="", "",
   IFERROR(
      IF(VLOOKUP(C33, 'נתוני רישום ומצבת'!B:J, 9, FALSE) = $F$4,
         VLOOKUP(C33, 'נתוני רישום ומצבת'!B:J, 3, FALSE),
         "המוסד לא קיים ברשות"),
   "המוסד לא קיים"))</f>
        <v>המוסד לא קיים</v>
      </c>
      <c r="E33" s="176" t="str">
        <f>IFERROR(VLOOKUP(C33,'נתוני רישום ומצבת'!B:G,6,0),"")</f>
        <v/>
      </c>
      <c r="F33" s="281" t="str">
        <f>IFERROR(VLOOKUP(C33,'נתוני רישום ומצבת'!B:K,10,0)," ")</f>
        <v xml:space="preserve"> </v>
      </c>
      <c r="G33" s="443" t="str">
        <f>IFERROR(VLOOKUP(C33,'נתוני רישום ומצבת'!B:E,4,0)," ")</f>
        <v xml:space="preserve"> </v>
      </c>
      <c r="H33" s="444" t="str">
        <f>IFERROR(VLOOKUP(C33,'נתוני רישום ומצבת'!B:K,7,0),"")</f>
        <v/>
      </c>
      <c r="I33" s="180" t="str">
        <f t="shared" si="0"/>
        <v/>
      </c>
      <c r="J33" s="443" t="str">
        <f>IFERROR(VLOOKUP(C33,'נתוני רישום ומצבת'!B:I,5,0)," ")</f>
        <v xml:space="preserve"> </v>
      </c>
      <c r="K33" s="443" t="str">
        <f>IFERROR(VLOOKUP(C33,'נתוני רישום ומצבת'!B:I,8,0),"")</f>
        <v/>
      </c>
      <c r="L33" s="284">
        <f t="shared" si="1"/>
        <v>0</v>
      </c>
      <c r="M33" s="283" t="str">
        <f t="shared" si="3"/>
        <v>-</v>
      </c>
    </row>
    <row r="34" spans="2:13" x14ac:dyDescent="0.25">
      <c r="B34" s="280">
        <v>14</v>
      </c>
      <c r="C34" s="549" cm="1">
        <f t="array" ref="C34">IFERROR(
   INDEX('נתוני רישום ומצבת'!$B:$B,
      SMALL(
         IF(('נתוני רישום ומצבת'!A$2:A$2998='נתונים כלליים (1)'!$C$5),
         ROW('נתוני רישום ומצבת'!A$2:A$2998)),
      ROW(A14))
   ),
"")</f>
        <v>0</v>
      </c>
      <c r="D34" s="549" t="str">
        <f>IF(C34="", "",
   IFERROR(
      IF(VLOOKUP(C34, 'נתוני רישום ומצבת'!B:J, 9, FALSE) = $F$4,
         VLOOKUP(C34, 'נתוני רישום ומצבת'!B:J, 3, FALSE),
         "המוסד לא קיים ברשות"),
   "המוסד לא קיים"))</f>
        <v>המוסד לא קיים</v>
      </c>
      <c r="E34" s="176" t="str">
        <f>IFERROR(VLOOKUP(C34,'נתוני רישום ומצבת'!B:G,6,0),"")</f>
        <v/>
      </c>
      <c r="F34" s="281" t="str">
        <f>IFERROR(VLOOKUP(C34,'נתוני רישום ומצבת'!B:K,10,0)," ")</f>
        <v xml:space="preserve"> </v>
      </c>
      <c r="G34" s="443" t="str">
        <f>IFERROR(VLOOKUP(C34,'נתוני רישום ומצבת'!B:E,4,0)," ")</f>
        <v xml:space="preserve"> </v>
      </c>
      <c r="H34" s="444" t="str">
        <f>IFERROR(VLOOKUP(C34,'נתוני רישום ומצבת'!B:K,7,0),"")</f>
        <v/>
      </c>
      <c r="I34" s="180" t="str">
        <f t="shared" si="0"/>
        <v/>
      </c>
      <c r="J34" s="443" t="str">
        <f>IFERROR(VLOOKUP(C34,'נתוני רישום ומצבת'!B:I,5,0)," ")</f>
        <v xml:space="preserve"> </v>
      </c>
      <c r="K34" s="443" t="str">
        <f>IFERROR(VLOOKUP(C34,'נתוני רישום ומצבת'!B:I,8,0),"")</f>
        <v/>
      </c>
      <c r="L34" s="284">
        <f t="shared" si="1"/>
        <v>0</v>
      </c>
      <c r="M34" s="283" t="str">
        <f t="shared" si="3"/>
        <v>-</v>
      </c>
    </row>
    <row r="35" spans="2:13" x14ac:dyDescent="0.25">
      <c r="B35" s="280">
        <v>15</v>
      </c>
      <c r="C35" s="549" cm="1">
        <f t="array" ref="C35">IFERROR(
   INDEX('נתוני רישום ומצבת'!$B:$B,
      SMALL(
         IF(('נתוני רישום ומצבת'!A$2:A$2998='נתונים כלליים (1)'!$C$5),
         ROW('נתוני רישום ומצבת'!A$2:A$2998)),
      ROW(A15))
   ),
"")</f>
        <v>0</v>
      </c>
      <c r="D35" s="549" t="str">
        <f>IF(C35="", "",
   IFERROR(
      IF(VLOOKUP(C35, 'נתוני רישום ומצבת'!B:J, 9, FALSE) = $F$4,
         VLOOKUP(C35, 'נתוני רישום ומצבת'!B:J, 3, FALSE),
         "המוסד לא קיים ברשות"),
   "המוסד לא קיים"))</f>
        <v>המוסד לא קיים</v>
      </c>
      <c r="E35" s="176" t="str">
        <f>IFERROR(VLOOKUP(C35,'נתוני רישום ומצבת'!B:G,6,0),"")</f>
        <v/>
      </c>
      <c r="F35" s="281" t="str">
        <f>IFERROR(VLOOKUP(C35,'נתוני רישום ומצבת'!B:K,10,0)," ")</f>
        <v xml:space="preserve"> </v>
      </c>
      <c r="G35" s="443" t="str">
        <f>IFERROR(VLOOKUP(C35,'נתוני רישום ומצבת'!B:E,4,0)," ")</f>
        <v xml:space="preserve"> </v>
      </c>
      <c r="H35" s="444" t="str">
        <f>IFERROR(VLOOKUP(C35,'נתוני רישום ומצבת'!B:K,7,0),"")</f>
        <v/>
      </c>
      <c r="I35" s="180" t="str">
        <f t="shared" si="0"/>
        <v/>
      </c>
      <c r="J35" s="443" t="str">
        <f>IFERROR(VLOOKUP(C35,'נתוני רישום ומצבת'!B:I,5,0)," ")</f>
        <v xml:space="preserve"> </v>
      </c>
      <c r="K35" s="443" t="str">
        <f>IFERROR(VLOOKUP(C35,'נתוני רישום ומצבת'!B:I,8,0),"")</f>
        <v/>
      </c>
      <c r="L35" s="284">
        <f t="shared" si="1"/>
        <v>0</v>
      </c>
      <c r="M35" s="283" t="str">
        <f t="shared" si="3"/>
        <v>-</v>
      </c>
    </row>
    <row r="36" spans="2:13" x14ac:dyDescent="0.25">
      <c r="B36" s="280">
        <v>16</v>
      </c>
      <c r="C36" s="549" cm="1">
        <f t="array" ref="C36">IFERROR(
   INDEX('נתוני רישום ומצבת'!$B:$B,
      SMALL(
         IF(('נתוני רישום ומצבת'!A$2:A$2998='נתונים כלליים (1)'!$C$5),
         ROW('נתוני רישום ומצבת'!A$2:A$2998)),
      ROW(A16))
   ),
"")</f>
        <v>0</v>
      </c>
      <c r="D36" s="549" t="str">
        <f>IF(C36="", "",
   IFERROR(
      IF(VLOOKUP(C36, 'נתוני רישום ומצבת'!B:J, 9, FALSE) = $F$4,
         VLOOKUP(C36, 'נתוני רישום ומצבת'!B:J, 3, FALSE),
         "המוסד לא קיים ברשות"),
   "המוסד לא קיים"))</f>
        <v>המוסד לא קיים</v>
      </c>
      <c r="E36" s="176" t="str">
        <f>IFERROR(VLOOKUP(C36,'נתוני רישום ומצבת'!B:G,6,0),"")</f>
        <v/>
      </c>
      <c r="F36" s="281" t="str">
        <f>IFERROR(VLOOKUP(C36,'נתוני רישום ומצבת'!B:K,10,0)," ")</f>
        <v xml:space="preserve"> </v>
      </c>
      <c r="G36" s="443" t="str">
        <f>IFERROR(VLOOKUP(C36,'נתוני רישום ומצבת'!B:E,4,0)," ")</f>
        <v xml:space="preserve"> </v>
      </c>
      <c r="H36" s="444" t="str">
        <f>IFERROR(VLOOKUP(C36,'נתוני רישום ומצבת'!B:K,7,0),"")</f>
        <v/>
      </c>
      <c r="I36" s="180" t="str">
        <f t="shared" si="0"/>
        <v/>
      </c>
      <c r="J36" s="443" t="str">
        <f>IFERROR(VLOOKUP(C36,'נתוני רישום ומצבת'!B:I,5,0)," ")</f>
        <v xml:space="preserve"> </v>
      </c>
      <c r="K36" s="443" t="str">
        <f>IFERROR(VLOOKUP(C36,'נתוני רישום ומצבת'!B:I,8,0),"")</f>
        <v/>
      </c>
      <c r="L36" s="284">
        <f t="shared" si="1"/>
        <v>0</v>
      </c>
      <c r="M36" s="283" t="str">
        <f t="shared" si="3"/>
        <v>-</v>
      </c>
    </row>
    <row r="37" spans="2:13" x14ac:dyDescent="0.25">
      <c r="B37" s="280">
        <v>17</v>
      </c>
      <c r="C37" s="549" cm="1">
        <f t="array" ref="C37">IFERROR(
   INDEX('נתוני רישום ומצבת'!$B:$B,
      SMALL(
         IF(('נתוני רישום ומצבת'!A$2:A$2998='נתונים כלליים (1)'!$C$5),
         ROW('נתוני רישום ומצבת'!A$2:A$2998)),
      ROW(A17))
   ),
"")</f>
        <v>0</v>
      </c>
      <c r="D37" s="549" t="str">
        <f>IF(C37="", "",
   IFERROR(
      IF(VLOOKUP(C37, 'נתוני רישום ומצבת'!B:J, 9, FALSE) = $F$4,
         VLOOKUP(C37, 'נתוני רישום ומצבת'!B:J, 3, FALSE),
         "המוסד לא קיים ברשות"),
   "המוסד לא קיים"))</f>
        <v>המוסד לא קיים</v>
      </c>
      <c r="E37" s="176" t="str">
        <f>IFERROR(VLOOKUP(C37,'נתוני רישום ומצבת'!B:G,6,0),"")</f>
        <v/>
      </c>
      <c r="F37" s="281" t="str">
        <f>IFERROR(VLOOKUP(C37,'נתוני רישום ומצבת'!B:K,10,0)," ")</f>
        <v xml:space="preserve"> </v>
      </c>
      <c r="G37" s="443" t="str">
        <f>IFERROR(VLOOKUP(C37,'נתוני רישום ומצבת'!B:E,4,0)," ")</f>
        <v xml:space="preserve"> </v>
      </c>
      <c r="H37" s="444" t="str">
        <f>IFERROR(VLOOKUP(C37,'נתוני רישום ומצבת'!B:K,7,0),"")</f>
        <v/>
      </c>
      <c r="I37" s="180" t="str">
        <f t="shared" si="0"/>
        <v/>
      </c>
      <c r="J37" s="443" t="str">
        <f>IFERROR(VLOOKUP(C37,'נתוני רישום ומצבת'!B:I,5,0)," ")</f>
        <v xml:space="preserve"> </v>
      </c>
      <c r="K37" s="443" t="str">
        <f>IFERROR(VLOOKUP(C37,'נתוני רישום ומצבת'!B:I,8,0),"")</f>
        <v/>
      </c>
      <c r="L37" s="284">
        <f t="shared" si="1"/>
        <v>0</v>
      </c>
      <c r="M37" s="283" t="str">
        <f t="shared" si="3"/>
        <v>-</v>
      </c>
    </row>
    <row r="38" spans="2:13" x14ac:dyDescent="0.25">
      <c r="B38" s="280">
        <v>18</v>
      </c>
      <c r="C38" s="549" cm="1">
        <f t="array" ref="C38">IFERROR(
   INDEX('נתוני רישום ומצבת'!$B:$B,
      SMALL(
         IF(('נתוני רישום ומצבת'!A$2:A$2998='נתונים כלליים (1)'!$C$5),
         ROW('נתוני רישום ומצבת'!A$2:A$2998)),
      ROW(A18))
   ),
"")</f>
        <v>0</v>
      </c>
      <c r="D38" s="549" t="str">
        <f>IF(C38="", "",
   IFERROR(
      IF(VLOOKUP(C38, 'נתוני רישום ומצבת'!B:J, 9, FALSE) = $F$4,
         VLOOKUP(C38, 'נתוני רישום ומצבת'!B:J, 3, FALSE),
         "המוסד לא קיים ברשות"),
   "המוסד לא קיים"))</f>
        <v>המוסד לא קיים</v>
      </c>
      <c r="E38" s="176" t="str">
        <f>IFERROR(VLOOKUP(C38,'נתוני רישום ומצבת'!B:G,6,0),"")</f>
        <v/>
      </c>
      <c r="F38" s="281" t="str">
        <f>IFERROR(VLOOKUP(C38,'נתוני רישום ומצבת'!B:K,10,0)," ")</f>
        <v xml:space="preserve"> </v>
      </c>
      <c r="G38" s="443" t="str">
        <f>IFERROR(VLOOKUP(C38,'נתוני רישום ומצבת'!B:E,4,0)," ")</f>
        <v xml:space="preserve"> </v>
      </c>
      <c r="H38" s="444" t="str">
        <f>IFERROR(VLOOKUP(C38,'נתוני רישום ומצבת'!B:K,7,0),"")</f>
        <v/>
      </c>
      <c r="I38" s="180" t="str">
        <f t="shared" si="0"/>
        <v/>
      </c>
      <c r="J38" s="443" t="str">
        <f>IFERROR(VLOOKUP(C38,'נתוני רישום ומצבת'!B:I,5,0)," ")</f>
        <v xml:space="preserve"> </v>
      </c>
      <c r="K38" s="443" t="str">
        <f>IFERROR(VLOOKUP(C38,'נתוני רישום ומצבת'!B:I,8,0),"")</f>
        <v/>
      </c>
      <c r="L38" s="284">
        <f t="shared" si="1"/>
        <v>0</v>
      </c>
      <c r="M38" s="283" t="str">
        <f t="shared" si="3"/>
        <v>-</v>
      </c>
    </row>
    <row r="39" spans="2:13" x14ac:dyDescent="0.25">
      <c r="B39" s="280">
        <v>19</v>
      </c>
      <c r="C39" s="549" cm="1">
        <f t="array" ref="C39">IFERROR(
   INDEX('נתוני רישום ומצבת'!$B:$B,
      SMALL(
         IF(('נתוני רישום ומצבת'!A$2:A$2998='נתונים כלליים (1)'!$C$5),
         ROW('נתוני רישום ומצבת'!A$2:A$2998)),
      ROW(A19))
   ),
"")</f>
        <v>0</v>
      </c>
      <c r="D39" s="549" t="str">
        <f>IF(C39="", "",
   IFERROR(
      IF(VLOOKUP(C39, 'נתוני רישום ומצבת'!B:J, 9, FALSE) = $F$4,
         VLOOKUP(C39, 'נתוני רישום ומצבת'!B:J, 3, FALSE),
         "המוסד לא קיים ברשות"),
   "המוסד לא קיים"))</f>
        <v>המוסד לא קיים</v>
      </c>
      <c r="E39" s="176" t="str">
        <f>IFERROR(VLOOKUP(C39,'נתוני רישום ומצבת'!B:G,6,0),"")</f>
        <v/>
      </c>
      <c r="F39" s="281" t="str">
        <f>IFERROR(VLOOKUP(C39,'נתוני רישום ומצבת'!B:K,10,0)," ")</f>
        <v xml:space="preserve"> </v>
      </c>
      <c r="G39" s="443" t="str">
        <f>IFERROR(VLOOKUP(C39,'נתוני רישום ומצבת'!B:E,4,0)," ")</f>
        <v xml:space="preserve"> </v>
      </c>
      <c r="H39" s="444" t="str">
        <f>IFERROR(VLOOKUP(C39,'נתוני רישום ומצבת'!B:K,7,0),"")</f>
        <v/>
      </c>
      <c r="I39" s="180" t="str">
        <f t="shared" si="0"/>
        <v/>
      </c>
      <c r="J39" s="443" t="str">
        <f>IFERROR(VLOOKUP(C39,'נתוני רישום ומצבת'!B:I,5,0)," ")</f>
        <v xml:space="preserve"> </v>
      </c>
      <c r="K39" s="443" t="str">
        <f>IFERROR(VLOOKUP(C39,'נתוני רישום ומצבת'!B:I,8,0),"")</f>
        <v/>
      </c>
      <c r="L39" s="284">
        <f t="shared" si="1"/>
        <v>0</v>
      </c>
      <c r="M39" s="283" t="str">
        <f t="shared" si="3"/>
        <v>-</v>
      </c>
    </row>
    <row r="40" spans="2:13" x14ac:dyDescent="0.25">
      <c r="B40" s="280">
        <v>20</v>
      </c>
      <c r="C40" s="549" cm="1">
        <f t="array" ref="C40">IFERROR(
   INDEX('נתוני רישום ומצבת'!$B:$B,
      SMALL(
         IF(('נתוני רישום ומצבת'!A$2:A$2998='נתונים כלליים (1)'!$C$5),
         ROW('נתוני רישום ומצבת'!A$2:A$2998)),
      ROW(A20))
   ),
"")</f>
        <v>0</v>
      </c>
      <c r="D40" s="549" t="str">
        <f>IF(C40="", "",
   IFERROR(
      IF(VLOOKUP(C40, 'נתוני רישום ומצבת'!B:J, 9, FALSE) = $F$4,
         VLOOKUP(C40, 'נתוני רישום ומצבת'!B:J, 3, FALSE),
         "המוסד לא קיים ברשות"),
   "המוסד לא קיים"))</f>
        <v>המוסד לא קיים</v>
      </c>
      <c r="E40" s="176" t="str">
        <f>IFERROR(VLOOKUP(C40,'נתוני רישום ומצבת'!B:G,6,0),"")</f>
        <v/>
      </c>
      <c r="F40" s="281" t="str">
        <f>IFERROR(VLOOKUP(C40,'נתוני רישום ומצבת'!B:K,10,0)," ")</f>
        <v xml:space="preserve"> </v>
      </c>
      <c r="G40" s="443" t="str">
        <f>IFERROR(VLOOKUP(C40,'נתוני רישום ומצבת'!B:E,4,0)," ")</f>
        <v xml:space="preserve"> </v>
      </c>
      <c r="H40" s="444" t="str">
        <f>IFERROR(VLOOKUP(C40,'נתוני רישום ומצבת'!B:K,7,0),"")</f>
        <v/>
      </c>
      <c r="I40" s="180" t="str">
        <f t="shared" si="0"/>
        <v/>
      </c>
      <c r="J40" s="443" t="str">
        <f>IFERROR(VLOOKUP(C40,'נתוני רישום ומצבת'!B:I,5,0)," ")</f>
        <v xml:space="preserve"> </v>
      </c>
      <c r="K40" s="443" t="str">
        <f>IFERROR(VLOOKUP(C40,'נתוני רישום ומצבת'!B:I,8,0),"")</f>
        <v/>
      </c>
      <c r="L40" s="284">
        <f t="shared" si="1"/>
        <v>0</v>
      </c>
      <c r="M40" s="283" t="str">
        <f t="shared" si="3"/>
        <v>-</v>
      </c>
    </row>
    <row r="41" spans="2:13" x14ac:dyDescent="0.25">
      <c r="B41" s="280">
        <v>21</v>
      </c>
      <c r="C41" s="549" cm="1">
        <f t="array" ref="C41">IFERROR(
   INDEX('נתוני רישום ומצבת'!$B:$B,
      SMALL(
         IF(('נתוני רישום ומצבת'!A$2:A$2998='נתונים כלליים (1)'!$C$5),
         ROW('נתוני רישום ומצבת'!A$2:A$2998)),
      ROW(A21))
   ),
"")</f>
        <v>0</v>
      </c>
      <c r="D41" s="549" t="str">
        <f>IF(C41="", "",
   IFERROR(
      IF(VLOOKUP(C41, 'נתוני רישום ומצבת'!B:J, 9, FALSE) = $F$4,
         VLOOKUP(C41, 'נתוני רישום ומצבת'!B:J, 3, FALSE),
         "המוסד לא קיים ברשות"),
   "המוסד לא קיים"))</f>
        <v>המוסד לא קיים</v>
      </c>
      <c r="E41" s="176" t="str">
        <f>IFERROR(VLOOKUP(C41,'נתוני רישום ומצבת'!B:G,6,0),"")</f>
        <v/>
      </c>
      <c r="F41" s="281" t="str">
        <f>IFERROR(VLOOKUP(C41,'נתוני רישום ומצבת'!B:K,10,0)," ")</f>
        <v xml:space="preserve"> </v>
      </c>
      <c r="G41" s="443" t="str">
        <f>IFERROR(VLOOKUP(C41,'נתוני רישום ומצבת'!B:E,4,0)," ")</f>
        <v xml:space="preserve"> </v>
      </c>
      <c r="H41" s="444" t="str">
        <f>IFERROR(VLOOKUP(C41,'נתוני רישום ומצבת'!B:K,7,0),"")</f>
        <v/>
      </c>
      <c r="I41" s="180" t="str">
        <f t="shared" si="0"/>
        <v/>
      </c>
      <c r="J41" s="443" t="str">
        <f>IFERROR(VLOOKUP(C41,'נתוני רישום ומצבת'!B:I,5,0)," ")</f>
        <v xml:space="preserve"> </v>
      </c>
      <c r="K41" s="443" t="str">
        <f>IFERROR(VLOOKUP(C41,'נתוני רישום ומצבת'!B:I,8,0),"")</f>
        <v/>
      </c>
      <c r="L41" s="284">
        <f t="shared" si="1"/>
        <v>0</v>
      </c>
      <c r="M41" s="283" t="str">
        <f t="shared" si="3"/>
        <v>-</v>
      </c>
    </row>
    <row r="42" spans="2:13" x14ac:dyDescent="0.25">
      <c r="B42" s="280">
        <v>22</v>
      </c>
      <c r="C42" s="549" cm="1">
        <f t="array" ref="C42">IFERROR(
   INDEX('נתוני רישום ומצבת'!$B:$B,
      SMALL(
         IF(('נתוני רישום ומצבת'!A$2:A$2998='נתונים כלליים (1)'!$C$5),
         ROW('נתוני רישום ומצבת'!A$2:A$2998)),
      ROW(A22))
   ),
"")</f>
        <v>0</v>
      </c>
      <c r="D42" s="549" t="str">
        <f>IF(C42="", "",
   IFERROR(
      IF(VLOOKUP(C42, 'נתוני רישום ומצבת'!B:J, 9, FALSE) = $F$4,
         VLOOKUP(C42, 'נתוני רישום ומצבת'!B:J, 3, FALSE),
         "המוסד לא קיים ברשות"),
   "המוסד לא קיים"))</f>
        <v>המוסד לא קיים</v>
      </c>
      <c r="E42" s="176" t="str">
        <f>IFERROR(VLOOKUP(C42,'נתוני רישום ומצבת'!B:G,6,0),"")</f>
        <v/>
      </c>
      <c r="F42" s="281" t="str">
        <f>IFERROR(VLOOKUP(C42,'נתוני רישום ומצבת'!B:K,10,0)," ")</f>
        <v xml:space="preserve"> </v>
      </c>
      <c r="G42" s="443" t="str">
        <f>IFERROR(VLOOKUP(C42,'נתוני רישום ומצבת'!B:E,4,0)," ")</f>
        <v xml:space="preserve"> </v>
      </c>
      <c r="H42" s="444" t="str">
        <f>IFERROR(VLOOKUP(C42,'נתוני רישום ומצבת'!B:K,7,0),"")</f>
        <v/>
      </c>
      <c r="I42" s="180" t="str">
        <f t="shared" si="0"/>
        <v/>
      </c>
      <c r="J42" s="443" t="str">
        <f>IFERROR(VLOOKUP(C42,'נתוני רישום ומצבת'!B:I,5,0)," ")</f>
        <v xml:space="preserve"> </v>
      </c>
      <c r="K42" s="443" t="str">
        <f>IFERROR(VLOOKUP(C42,'נתוני רישום ומצבת'!B:I,8,0),"")</f>
        <v/>
      </c>
      <c r="L42" s="284">
        <f t="shared" si="1"/>
        <v>0</v>
      </c>
      <c r="M42" s="283" t="str">
        <f t="shared" si="3"/>
        <v>-</v>
      </c>
    </row>
    <row r="43" spans="2:13" x14ac:dyDescent="0.25">
      <c r="B43" s="280">
        <v>23</v>
      </c>
      <c r="C43" s="549" cm="1">
        <f t="array" ref="C43">IFERROR(
   INDEX('נתוני רישום ומצבת'!$B:$B,
      SMALL(
         IF(('נתוני רישום ומצבת'!A$2:A$2998='נתונים כלליים (1)'!$C$5),
         ROW('נתוני רישום ומצבת'!A$2:A$2998)),
      ROW(A23))
   ),
"")</f>
        <v>0</v>
      </c>
      <c r="D43" s="549" t="str">
        <f>IF(C43="", "",
   IFERROR(
      IF(VLOOKUP(C43, 'נתוני רישום ומצבת'!B:J, 9, FALSE) = $F$4,
         VLOOKUP(C43, 'נתוני רישום ומצבת'!B:J, 3, FALSE),
         "המוסד לא קיים ברשות"),
   "המוסד לא קיים"))</f>
        <v>המוסד לא קיים</v>
      </c>
      <c r="E43" s="176" t="str">
        <f>IFERROR(VLOOKUP(C43,'נתוני רישום ומצבת'!B:G,6,0),"")</f>
        <v/>
      </c>
      <c r="F43" s="281" t="str">
        <f>IFERROR(VLOOKUP(C43,'נתוני רישום ומצבת'!B:K,10,0)," ")</f>
        <v xml:space="preserve"> </v>
      </c>
      <c r="G43" s="443" t="str">
        <f>IFERROR(VLOOKUP(C43,'נתוני רישום ומצבת'!B:E,4,0)," ")</f>
        <v xml:space="preserve"> </v>
      </c>
      <c r="H43" s="444" t="str">
        <f>IFERROR(VLOOKUP(C43,'נתוני רישום ומצבת'!B:K,7,0),"")</f>
        <v/>
      </c>
      <c r="I43" s="180" t="str">
        <f t="shared" si="0"/>
        <v/>
      </c>
      <c r="J43" s="443" t="str">
        <f>IFERROR(VLOOKUP(C43,'נתוני רישום ומצבת'!B:I,5,0)," ")</f>
        <v xml:space="preserve"> </v>
      </c>
      <c r="K43" s="443" t="str">
        <f>IFERROR(VLOOKUP(C43,'נתוני רישום ומצבת'!B:I,8,0),"")</f>
        <v/>
      </c>
      <c r="L43" s="284">
        <f t="shared" si="1"/>
        <v>0</v>
      </c>
      <c r="M43" s="283" t="str">
        <f t="shared" si="3"/>
        <v>-</v>
      </c>
    </row>
    <row r="44" spans="2:13" x14ac:dyDescent="0.25">
      <c r="B44" s="280">
        <v>24</v>
      </c>
      <c r="C44" s="549" cm="1">
        <f t="array" ref="C44">IFERROR(
   INDEX('נתוני רישום ומצבת'!$B:$B,
      SMALL(
         IF(('נתוני רישום ומצבת'!A$2:A$2998='נתונים כלליים (1)'!$C$5),
         ROW('נתוני רישום ומצבת'!A$2:A$2998)),
      ROW(A24))
   ),
"")</f>
        <v>0</v>
      </c>
      <c r="D44" s="549" t="str">
        <f>IF(C44="", "",
   IFERROR(
      IF(VLOOKUP(C44, 'נתוני רישום ומצבת'!B:J, 9, FALSE) = $F$4,
         VLOOKUP(C44, 'נתוני רישום ומצבת'!B:J, 3, FALSE),
         "המוסד לא קיים ברשות"),
   "המוסד לא קיים"))</f>
        <v>המוסד לא קיים</v>
      </c>
      <c r="E44" s="176" t="str">
        <f>IFERROR(VLOOKUP(C44,'נתוני רישום ומצבת'!B:G,6,0),"")</f>
        <v/>
      </c>
      <c r="F44" s="281" t="str">
        <f>IFERROR(VLOOKUP(C44,'נתוני רישום ומצבת'!B:K,10,0)," ")</f>
        <v xml:space="preserve"> </v>
      </c>
      <c r="G44" s="443" t="str">
        <f>IFERROR(VLOOKUP(C44,'נתוני רישום ומצבת'!B:E,4,0)," ")</f>
        <v xml:space="preserve"> </v>
      </c>
      <c r="H44" s="444" t="str">
        <f>IFERROR(VLOOKUP(C44,'נתוני רישום ומצבת'!B:K,7,0),"")</f>
        <v/>
      </c>
      <c r="I44" s="180" t="str">
        <f t="shared" si="0"/>
        <v/>
      </c>
      <c r="J44" s="443" t="str">
        <f>IFERROR(VLOOKUP(C44,'נתוני רישום ומצבת'!B:I,5,0)," ")</f>
        <v xml:space="preserve"> </v>
      </c>
      <c r="K44" s="443" t="str">
        <f>IFERROR(VLOOKUP(C44,'נתוני רישום ומצבת'!B:I,8,0),"")</f>
        <v/>
      </c>
      <c r="L44" s="284">
        <f t="shared" si="1"/>
        <v>0</v>
      </c>
      <c r="M44" s="283" t="str">
        <f t="shared" si="3"/>
        <v>-</v>
      </c>
    </row>
    <row r="45" spans="2:13" x14ac:dyDescent="0.25">
      <c r="B45" s="280">
        <v>25</v>
      </c>
      <c r="C45" s="549" cm="1">
        <f t="array" ref="C45">IFERROR(
   INDEX('נתוני רישום ומצבת'!$B:$B,
      SMALL(
         IF(('נתוני רישום ומצבת'!A$2:A$2998='נתונים כלליים (1)'!$C$5),
         ROW('נתוני רישום ומצבת'!A$2:A$2998)),
      ROW(A25))
   ),
"")</f>
        <v>0</v>
      </c>
      <c r="D45" s="549" t="str">
        <f>IF(C45="", "",
   IFERROR(
      IF(VLOOKUP(C45, 'נתוני רישום ומצבת'!B:J, 9, FALSE) = $F$4,
         VLOOKUP(C45, 'נתוני רישום ומצבת'!B:J, 3, FALSE),
         "המוסד לא קיים ברשות"),
   "המוסד לא קיים"))</f>
        <v>המוסד לא קיים</v>
      </c>
      <c r="E45" s="176" t="str">
        <f>IFERROR(VLOOKUP(C45,'נתוני רישום ומצבת'!B:G,6,0),"")</f>
        <v/>
      </c>
      <c r="F45" s="281" t="str">
        <f>IFERROR(VLOOKUP(C45,'נתוני רישום ומצבת'!B:K,10,0)," ")</f>
        <v xml:space="preserve"> </v>
      </c>
      <c r="G45" s="443" t="str">
        <f>IFERROR(VLOOKUP(C45,'נתוני רישום ומצבת'!B:E,4,0)," ")</f>
        <v xml:space="preserve"> </v>
      </c>
      <c r="H45" s="444" t="str">
        <f>IFERROR(VLOOKUP(C45,'נתוני רישום ומצבת'!B:K,7,0),"")</f>
        <v/>
      </c>
      <c r="I45" s="180" t="str">
        <f t="shared" si="0"/>
        <v/>
      </c>
      <c r="J45" s="443" t="str">
        <f>IFERROR(VLOOKUP(C45,'נתוני רישום ומצבת'!B:I,5,0)," ")</f>
        <v xml:space="preserve"> </v>
      </c>
      <c r="K45" s="443" t="str">
        <f>IFERROR(VLOOKUP(C45,'נתוני רישום ומצבת'!B:I,8,0),"")</f>
        <v/>
      </c>
      <c r="L45" s="284">
        <f t="shared" si="1"/>
        <v>0</v>
      </c>
      <c r="M45" s="283" t="str">
        <f t="shared" si="3"/>
        <v>-</v>
      </c>
    </row>
    <row r="46" spans="2:13" x14ac:dyDescent="0.25">
      <c r="B46" s="280">
        <v>26</v>
      </c>
      <c r="C46" s="549" cm="1">
        <f t="array" ref="C46">IFERROR(
   INDEX('נתוני רישום ומצבת'!$B:$B,
      SMALL(
         IF(('נתוני רישום ומצבת'!A$2:A$2998='נתונים כלליים (1)'!$C$5),
         ROW('נתוני רישום ומצבת'!A$2:A$2998)),
      ROW(A26))
   ),
"")</f>
        <v>0</v>
      </c>
      <c r="D46" s="549" t="str">
        <f>IF(C46="", "",
   IFERROR(
      IF(VLOOKUP(C46, 'נתוני רישום ומצבת'!B:J, 9, FALSE) = $F$4,
         VLOOKUP(C46, 'נתוני רישום ומצבת'!B:J, 3, FALSE),
         "המוסד לא קיים ברשות"),
   "המוסד לא קיים"))</f>
        <v>המוסד לא קיים</v>
      </c>
      <c r="E46" s="176" t="str">
        <f>IFERROR(VLOOKUP(C46,'נתוני רישום ומצבת'!B:G,6,0),"")</f>
        <v/>
      </c>
      <c r="F46" s="281" t="str">
        <f>IFERROR(VLOOKUP(C46,'נתוני רישום ומצבת'!B:K,10,0)," ")</f>
        <v xml:space="preserve"> </v>
      </c>
      <c r="G46" s="443" t="str">
        <f>IFERROR(VLOOKUP(C46,'נתוני רישום ומצבת'!B:E,4,0)," ")</f>
        <v xml:space="preserve"> </v>
      </c>
      <c r="H46" s="444" t="str">
        <f>IFERROR(VLOOKUP(C46,'נתוני רישום ומצבת'!B:K,7,0),"")</f>
        <v/>
      </c>
      <c r="I46" s="180" t="str">
        <f t="shared" si="0"/>
        <v/>
      </c>
      <c r="J46" s="443" t="str">
        <f>IFERROR(VLOOKUP(C46,'נתוני רישום ומצבת'!B:I,5,0)," ")</f>
        <v xml:space="preserve"> </v>
      </c>
      <c r="K46" s="443" t="str">
        <f>IFERROR(VLOOKUP(C46,'נתוני רישום ומצבת'!B:I,8,0),"")</f>
        <v/>
      </c>
      <c r="L46" s="284">
        <f t="shared" si="1"/>
        <v>0</v>
      </c>
      <c r="M46" s="283" t="str">
        <f t="shared" si="3"/>
        <v>-</v>
      </c>
    </row>
    <row r="47" spans="2:13" x14ac:dyDescent="0.25">
      <c r="B47" s="280">
        <v>27</v>
      </c>
      <c r="C47" s="549" cm="1">
        <f t="array" ref="C47">IFERROR(
   INDEX('נתוני רישום ומצבת'!$B:$B,
      SMALL(
         IF(('נתוני רישום ומצבת'!A$2:A$2998='נתונים כלליים (1)'!$C$5),
         ROW('נתוני רישום ומצבת'!A$2:A$2998)),
      ROW(A27))
   ),
"")</f>
        <v>0</v>
      </c>
      <c r="D47" s="549" t="str">
        <f>IF(C47="", "",
   IFERROR(
      IF(VLOOKUP(C47, 'נתוני רישום ומצבת'!B:J, 9, FALSE) = $F$4,
         VLOOKUP(C47, 'נתוני רישום ומצבת'!B:J, 3, FALSE),
         "המוסד לא קיים ברשות"),
   "המוסד לא קיים"))</f>
        <v>המוסד לא קיים</v>
      </c>
      <c r="E47" s="176" t="str">
        <f>IFERROR(VLOOKUP(C47,'נתוני רישום ומצבת'!B:G,6,0),"")</f>
        <v/>
      </c>
      <c r="F47" s="281" t="str">
        <f>IFERROR(VLOOKUP(C47,'נתוני רישום ומצבת'!B:K,10,0)," ")</f>
        <v xml:space="preserve"> </v>
      </c>
      <c r="G47" s="443" t="str">
        <f>IFERROR(VLOOKUP(C47,'נתוני רישום ומצבת'!B:E,4,0)," ")</f>
        <v xml:space="preserve"> </v>
      </c>
      <c r="H47" s="444" t="str">
        <f>IFERROR(VLOOKUP(C47,'נתוני רישום ומצבת'!B:K,7,0),"")</f>
        <v/>
      </c>
      <c r="I47" s="180" t="str">
        <f t="shared" si="0"/>
        <v/>
      </c>
      <c r="J47" s="443" t="str">
        <f>IFERROR(VLOOKUP(C47,'נתוני רישום ומצבת'!B:I,5,0)," ")</f>
        <v xml:space="preserve"> </v>
      </c>
      <c r="K47" s="443" t="str">
        <f>IFERROR(VLOOKUP(C47,'נתוני רישום ומצבת'!B:I,8,0),"")</f>
        <v/>
      </c>
      <c r="L47" s="284">
        <f t="shared" si="1"/>
        <v>0</v>
      </c>
      <c r="M47" s="283" t="str">
        <f t="shared" si="3"/>
        <v>-</v>
      </c>
    </row>
    <row r="48" spans="2:13" x14ac:dyDescent="0.25">
      <c r="B48" s="280">
        <v>28</v>
      </c>
      <c r="C48" s="549" cm="1">
        <f t="array" ref="C48">IFERROR(
   INDEX('נתוני רישום ומצבת'!$B:$B,
      SMALL(
         IF(('נתוני רישום ומצבת'!A$2:A$2998='נתונים כלליים (1)'!$C$5),
         ROW('נתוני רישום ומצבת'!A$2:A$2998)),
      ROW(A28))
   ),
"")</f>
        <v>0</v>
      </c>
      <c r="D48" s="549" t="str">
        <f>IF(C48="", "",
   IFERROR(
      IF(VLOOKUP(C48, 'נתוני רישום ומצבת'!B:J, 9, FALSE) = $F$4,
         VLOOKUP(C48, 'נתוני רישום ומצבת'!B:J, 3, FALSE),
         "המוסד לא קיים ברשות"),
   "המוסד לא קיים"))</f>
        <v>המוסד לא קיים</v>
      </c>
      <c r="E48" s="176" t="str">
        <f>IFERROR(VLOOKUP(C48,'נתוני רישום ומצבת'!B:G,6,0),"")</f>
        <v/>
      </c>
      <c r="F48" s="281" t="str">
        <f>IFERROR(VLOOKUP(C48,'נתוני רישום ומצבת'!B:K,10,0)," ")</f>
        <v xml:space="preserve"> </v>
      </c>
      <c r="G48" s="443" t="str">
        <f>IFERROR(VLOOKUP(C48,'נתוני רישום ומצבת'!B:E,4,0)," ")</f>
        <v xml:space="preserve"> </v>
      </c>
      <c r="H48" s="444" t="str">
        <f>IFERROR(VLOOKUP(C48,'נתוני רישום ומצבת'!B:K,7,0),"")</f>
        <v/>
      </c>
      <c r="I48" s="180" t="str">
        <f t="shared" si="0"/>
        <v/>
      </c>
      <c r="J48" s="443" t="str">
        <f>IFERROR(VLOOKUP(C48,'נתוני רישום ומצבת'!B:I,5,0)," ")</f>
        <v xml:space="preserve"> </v>
      </c>
      <c r="K48" s="443" t="str">
        <f>IFERROR(VLOOKUP(C48,'נתוני רישום ומצבת'!B:I,8,0),"")</f>
        <v/>
      </c>
      <c r="L48" s="284">
        <f t="shared" si="1"/>
        <v>0</v>
      </c>
      <c r="M48" s="283" t="str">
        <f t="shared" si="3"/>
        <v>-</v>
      </c>
    </row>
    <row r="49" spans="2:13" x14ac:dyDescent="0.25">
      <c r="B49" s="280">
        <v>29</v>
      </c>
      <c r="C49" s="549" cm="1">
        <f t="array" ref="C49">IFERROR(
   INDEX('נתוני רישום ומצבת'!$B:$B,
      SMALL(
         IF(('נתוני רישום ומצבת'!A$2:A$2998='נתונים כלליים (1)'!$C$5),
         ROW('נתוני רישום ומצבת'!A$2:A$2998)),
      ROW(A29))
   ),
"")</f>
        <v>0</v>
      </c>
      <c r="D49" s="549" t="str">
        <f>IF(C49="", "",
   IFERROR(
      IF(VLOOKUP(C49, 'נתוני רישום ומצבת'!B:J, 9, FALSE) = $F$4,
         VLOOKUP(C49, 'נתוני רישום ומצבת'!B:J, 3, FALSE),
         "המוסד לא קיים ברשות"),
   "המוסד לא קיים"))</f>
        <v>המוסד לא קיים</v>
      </c>
      <c r="E49" s="176" t="str">
        <f>IFERROR(VLOOKUP(C49,'נתוני רישום ומצבת'!B:G,6,0),"")</f>
        <v/>
      </c>
      <c r="F49" s="281" t="str">
        <f>IFERROR(VLOOKUP(C49,'נתוני רישום ומצבת'!B:K,10,0)," ")</f>
        <v xml:space="preserve"> </v>
      </c>
      <c r="G49" s="443" t="str">
        <f>IFERROR(VLOOKUP(C49,'נתוני רישום ומצבת'!B:E,4,0)," ")</f>
        <v xml:space="preserve"> </v>
      </c>
      <c r="H49" s="444" t="str">
        <f>IFERROR(VLOOKUP(C49,'נתוני רישום ומצבת'!B:K,7,0),"")</f>
        <v/>
      </c>
      <c r="I49" s="180" t="str">
        <f t="shared" si="0"/>
        <v/>
      </c>
      <c r="J49" s="443" t="str">
        <f>IFERROR(VLOOKUP(C49,'נתוני רישום ומצבת'!B:I,5,0)," ")</f>
        <v xml:space="preserve"> </v>
      </c>
      <c r="K49" s="443" t="str">
        <f>IFERROR(VLOOKUP(C49,'נתוני רישום ומצבת'!B:I,8,0),"")</f>
        <v/>
      </c>
      <c r="L49" s="284">
        <f t="shared" si="1"/>
        <v>0</v>
      </c>
      <c r="M49" s="283" t="str">
        <f t="shared" si="3"/>
        <v>-</v>
      </c>
    </row>
    <row r="50" spans="2:13" x14ac:dyDescent="0.25">
      <c r="B50" s="280">
        <v>30</v>
      </c>
      <c r="C50" s="549" cm="1">
        <f t="array" ref="C50">IFERROR(
   INDEX('נתוני רישום ומצבת'!$B:$B,
      SMALL(
         IF(('נתוני רישום ומצבת'!A$2:A$2998='נתונים כלליים (1)'!$C$5),
         ROW('נתוני רישום ומצבת'!A$2:A$2998)),
      ROW(A30))
   ),
"")</f>
        <v>0</v>
      </c>
      <c r="D50" s="549" t="str">
        <f>IF(C50="", "",
   IFERROR(
      IF(VLOOKUP(C50, 'נתוני רישום ומצבת'!B:J, 9, FALSE) = $F$4,
         VLOOKUP(C50, 'נתוני רישום ומצבת'!B:J, 3, FALSE),
         "המוסד לא קיים ברשות"),
   "המוסד לא קיים"))</f>
        <v>המוסד לא קיים</v>
      </c>
      <c r="E50" s="176" t="str">
        <f>IFERROR(VLOOKUP(C50,'נתוני רישום ומצבת'!B:G,6,0),"")</f>
        <v/>
      </c>
      <c r="F50" s="281" t="str">
        <f>IFERROR(VLOOKUP(C50,'נתוני רישום ומצבת'!B:K,10,0)," ")</f>
        <v xml:space="preserve"> </v>
      </c>
      <c r="G50" s="443" t="str">
        <f>IFERROR(VLOOKUP(C50,'נתוני רישום ומצבת'!B:E,4,0)," ")</f>
        <v xml:space="preserve"> </v>
      </c>
      <c r="H50" s="444" t="str">
        <f>IFERROR(VLOOKUP(C50,'נתוני רישום ומצבת'!B:K,7,0),"")</f>
        <v/>
      </c>
      <c r="I50" s="180" t="str">
        <f t="shared" si="0"/>
        <v/>
      </c>
      <c r="J50" s="443" t="str">
        <f>IFERROR(VLOOKUP(C50,'נתוני רישום ומצבת'!B:I,5,0)," ")</f>
        <v xml:space="preserve"> </v>
      </c>
      <c r="K50" s="443" t="str">
        <f>IFERROR(VLOOKUP(C50,'נתוני רישום ומצבת'!B:I,8,0),"")</f>
        <v/>
      </c>
      <c r="L50" s="284">
        <f t="shared" si="1"/>
        <v>0</v>
      </c>
      <c r="M50" s="283" t="str">
        <f t="shared" si="3"/>
        <v>-</v>
      </c>
    </row>
    <row r="51" spans="2:13" x14ac:dyDescent="0.25">
      <c r="B51" s="280">
        <v>31</v>
      </c>
      <c r="C51" s="549" cm="1">
        <f t="array" ref="C51">IFERROR(
   INDEX('נתוני רישום ומצבת'!$B:$B,
      SMALL(
         IF(('נתוני רישום ומצבת'!A$2:A$2998='נתונים כלליים (1)'!$C$5),
         ROW('נתוני רישום ומצבת'!A$2:A$2998)),
      ROW(A31))
   ),
"")</f>
        <v>0</v>
      </c>
      <c r="D51" s="549" t="str">
        <f>IF(C51="", "",
   IFERROR(
      IF(VLOOKUP(C51, 'נתוני רישום ומצבת'!B:J, 9, FALSE) = $F$4,
         VLOOKUP(C51, 'נתוני רישום ומצבת'!B:J, 3, FALSE),
         "המוסד לא קיים ברשות"),
   "המוסד לא קיים"))</f>
        <v>המוסד לא קיים</v>
      </c>
      <c r="E51" s="176" t="str">
        <f>IFERROR(VLOOKUP(C51,'נתוני רישום ומצבת'!B:G,6,0),"")</f>
        <v/>
      </c>
      <c r="F51" s="281" t="str">
        <f>IFERROR(VLOOKUP(C51,'נתוני רישום ומצבת'!B:K,10,0)," ")</f>
        <v xml:space="preserve"> </v>
      </c>
      <c r="G51" s="443" t="str">
        <f>IFERROR(VLOOKUP(C51,'נתוני רישום ומצבת'!B:E,4,0)," ")</f>
        <v xml:space="preserve"> </v>
      </c>
      <c r="H51" s="444" t="str">
        <f>IFERROR(VLOOKUP(C51,'נתוני רישום ומצבת'!B:K,7,0),"")</f>
        <v/>
      </c>
      <c r="I51" s="180" t="str">
        <f t="shared" si="0"/>
        <v/>
      </c>
      <c r="J51" s="443" t="str">
        <f>IFERROR(VLOOKUP(C51,'נתוני רישום ומצבת'!B:I,5,0)," ")</f>
        <v xml:space="preserve"> </v>
      </c>
      <c r="K51" s="443" t="str">
        <f>IFERROR(VLOOKUP(C51,'נתוני רישום ומצבת'!B:I,8,0),"")</f>
        <v/>
      </c>
      <c r="L51" s="284">
        <f t="shared" si="1"/>
        <v>0</v>
      </c>
      <c r="M51" s="283" t="str">
        <f t="shared" si="3"/>
        <v>-</v>
      </c>
    </row>
    <row r="52" spans="2:13" x14ac:dyDescent="0.25">
      <c r="B52" s="280">
        <v>32</v>
      </c>
      <c r="C52" s="549" cm="1">
        <f t="array" ref="C52">IFERROR(
   INDEX('נתוני רישום ומצבת'!$B:$B,
      SMALL(
         IF(('נתוני רישום ומצבת'!A$2:A$2998='נתונים כלליים (1)'!$C$5),
         ROW('נתוני רישום ומצבת'!A$2:A$2998)),
      ROW(A32))
   ),
"")</f>
        <v>0</v>
      </c>
      <c r="D52" s="549" t="str">
        <f>IF(C52="", "",
   IFERROR(
      IF(VLOOKUP(C52, 'נתוני רישום ומצבת'!B:J, 9, FALSE) = $F$4,
         VLOOKUP(C52, 'נתוני רישום ומצבת'!B:J, 3, FALSE),
         "המוסד לא קיים ברשות"),
   "המוסד לא קיים"))</f>
        <v>המוסד לא קיים</v>
      </c>
      <c r="E52" s="176" t="str">
        <f>IFERROR(VLOOKUP(C52,'נתוני רישום ומצבת'!B:G,6,0),"")</f>
        <v/>
      </c>
      <c r="F52" s="281" t="str">
        <f>IFERROR(VLOOKUP(C52,'נתוני רישום ומצבת'!B:K,10,0)," ")</f>
        <v xml:space="preserve"> </v>
      </c>
      <c r="G52" s="443" t="str">
        <f>IFERROR(VLOOKUP(C52,'נתוני רישום ומצבת'!B:E,4,0)," ")</f>
        <v xml:space="preserve"> </v>
      </c>
      <c r="H52" s="444" t="str">
        <f>IFERROR(VLOOKUP(C52,'נתוני רישום ומצבת'!B:K,7,0),"")</f>
        <v/>
      </c>
      <c r="I52" s="180" t="str">
        <f t="shared" si="0"/>
        <v/>
      </c>
      <c r="J52" s="443" t="str">
        <f>IFERROR(VLOOKUP(C52,'נתוני רישום ומצבת'!B:I,5,0)," ")</f>
        <v xml:space="preserve"> </v>
      </c>
      <c r="K52" s="443" t="str">
        <f>IFERROR(VLOOKUP(C52,'נתוני רישום ומצבת'!B:I,8,0),"")</f>
        <v/>
      </c>
      <c r="L52" s="284">
        <f t="shared" si="1"/>
        <v>0</v>
      </c>
      <c r="M52" s="283" t="str">
        <f t="shared" si="3"/>
        <v>-</v>
      </c>
    </row>
    <row r="53" spans="2:13" x14ac:dyDescent="0.25">
      <c r="B53" s="280">
        <v>33</v>
      </c>
      <c r="C53" s="549" cm="1">
        <f t="array" ref="C53">IFERROR(
   INDEX('נתוני רישום ומצבת'!$B:$B,
      SMALL(
         IF(('נתוני רישום ומצבת'!A$2:A$2998='נתונים כלליים (1)'!$C$5),
         ROW('נתוני רישום ומצבת'!A$2:A$2998)),
      ROW(A33))
   ),
"")</f>
        <v>0</v>
      </c>
      <c r="D53" s="549" t="str">
        <f>IF(C53="", "",
   IFERROR(
      IF(VLOOKUP(C53, 'נתוני רישום ומצבת'!B:J, 9, FALSE) = $F$4,
         VLOOKUP(C53, 'נתוני רישום ומצבת'!B:J, 3, FALSE),
         "המוסד לא קיים ברשות"),
   "המוסד לא קיים"))</f>
        <v>המוסד לא קיים</v>
      </c>
      <c r="E53" s="176" t="str">
        <f>IFERROR(VLOOKUP(C53,'נתוני רישום ומצבת'!B:G,6,0),"")</f>
        <v/>
      </c>
      <c r="F53" s="281" t="str">
        <f>IFERROR(VLOOKUP(C53,'נתוני רישום ומצבת'!B:K,10,0)," ")</f>
        <v xml:space="preserve"> </v>
      </c>
      <c r="G53" s="443" t="str">
        <f>IFERROR(VLOOKUP(C53,'נתוני רישום ומצבת'!B:E,4,0)," ")</f>
        <v xml:space="preserve"> </v>
      </c>
      <c r="H53" s="444" t="str">
        <f>IFERROR(VLOOKUP(C53,'נתוני רישום ומצבת'!B:K,7,0),"")</f>
        <v/>
      </c>
      <c r="I53" s="180" t="str">
        <f t="shared" si="0"/>
        <v/>
      </c>
      <c r="J53" s="443" t="str">
        <f>IFERROR(VLOOKUP(C53,'נתוני רישום ומצבת'!B:I,5,0)," ")</f>
        <v xml:space="preserve"> </v>
      </c>
      <c r="K53" s="443" t="str">
        <f>IFERROR(VLOOKUP(C53,'נתוני רישום ומצבת'!B:I,8,0),"")</f>
        <v/>
      </c>
      <c r="L53" s="284">
        <f t="shared" si="1"/>
        <v>0</v>
      </c>
      <c r="M53" s="283" t="str">
        <f t="shared" ref="M53:M69" si="4">IF(L53&gt;149,"כן","-")</f>
        <v>-</v>
      </c>
    </row>
    <row r="54" spans="2:13" x14ac:dyDescent="0.25">
      <c r="B54" s="280">
        <v>34</v>
      </c>
      <c r="C54" s="549" cm="1">
        <f t="array" ref="C54">IFERROR(
   INDEX('נתוני רישום ומצבת'!$B:$B,
      SMALL(
         IF(('נתוני רישום ומצבת'!A$2:A$2998='נתונים כלליים (1)'!$C$5),
         ROW('נתוני רישום ומצבת'!A$2:A$2998)),
      ROW(A34))
   ),
"")</f>
        <v>0</v>
      </c>
      <c r="D54" s="549" t="str">
        <f>IF(C54="", "",
   IFERROR(
      IF(VLOOKUP(C54, 'נתוני רישום ומצבת'!B:J, 9, FALSE) = $F$4,
         VLOOKUP(C54, 'נתוני רישום ומצבת'!B:J, 3, FALSE),
         "המוסד לא קיים ברשות"),
   "המוסד לא קיים"))</f>
        <v>המוסד לא קיים</v>
      </c>
      <c r="E54" s="176" t="str">
        <f>IFERROR(VLOOKUP(C54,'נתוני רישום ומצבת'!B:G,6,0),"")</f>
        <v/>
      </c>
      <c r="F54" s="281" t="str">
        <f>IFERROR(VLOOKUP(C54,'נתוני רישום ומצבת'!B:K,10,0)," ")</f>
        <v xml:space="preserve"> </v>
      </c>
      <c r="G54" s="443" t="str">
        <f>IFERROR(VLOOKUP(C54,'נתוני רישום ומצבת'!B:E,4,0)," ")</f>
        <v xml:space="preserve"> </v>
      </c>
      <c r="H54" s="444" t="str">
        <f>IFERROR(VLOOKUP(C54,'נתוני רישום ומצבת'!B:K,7,0),"")</f>
        <v/>
      </c>
      <c r="I54" s="180" t="str">
        <f t="shared" si="0"/>
        <v/>
      </c>
      <c r="J54" s="443" t="str">
        <f>IFERROR(VLOOKUP(C54,'נתוני רישום ומצבת'!B:I,5,0)," ")</f>
        <v xml:space="preserve"> </v>
      </c>
      <c r="K54" s="443" t="str">
        <f>IFERROR(VLOOKUP(C54,'נתוני רישום ומצבת'!B:I,8,0),"")</f>
        <v/>
      </c>
      <c r="L54" s="284">
        <f t="shared" si="1"/>
        <v>0</v>
      </c>
      <c r="M54" s="283" t="str">
        <f t="shared" si="4"/>
        <v>-</v>
      </c>
    </row>
    <row r="55" spans="2:13" x14ac:dyDescent="0.25">
      <c r="B55" s="280">
        <v>35</v>
      </c>
      <c r="C55" s="549" cm="1">
        <f t="array" ref="C55">IFERROR(
   INDEX('נתוני רישום ומצבת'!$B:$B,
      SMALL(
         IF(('נתוני רישום ומצבת'!A$2:A$2998='נתונים כלליים (1)'!$C$5),
         ROW('נתוני רישום ומצבת'!A$2:A$2998)),
      ROW(A35))
   ),
"")</f>
        <v>0</v>
      </c>
      <c r="D55" s="549" t="str">
        <f>IF(C55="", "",
   IFERROR(
      IF(VLOOKUP(C55, 'נתוני רישום ומצבת'!B:J, 9, FALSE) = $F$4,
         VLOOKUP(C55, 'נתוני רישום ומצבת'!B:J, 3, FALSE),
         "המוסד לא קיים ברשות"),
   "המוסד לא קיים"))</f>
        <v>המוסד לא קיים</v>
      </c>
      <c r="E55" s="176" t="str">
        <f>IFERROR(VLOOKUP(C55,'נתוני רישום ומצבת'!B:G,6,0),"")</f>
        <v/>
      </c>
      <c r="F55" s="281" t="str">
        <f>IFERROR(VLOOKUP(C55,'נתוני רישום ומצבת'!B:K,10,0)," ")</f>
        <v xml:space="preserve"> </v>
      </c>
      <c r="G55" s="443" t="str">
        <f>IFERROR(VLOOKUP(C55,'נתוני רישום ומצבת'!B:E,4,0)," ")</f>
        <v xml:space="preserve"> </v>
      </c>
      <c r="H55" s="444" t="str">
        <f>IFERROR(VLOOKUP(C55,'נתוני רישום ומצבת'!B:K,7,0),"")</f>
        <v/>
      </c>
      <c r="I55" s="180" t="str">
        <f t="shared" si="0"/>
        <v/>
      </c>
      <c r="J55" s="443" t="str">
        <f>IFERROR(VLOOKUP(C55,'נתוני רישום ומצבת'!B:I,5,0)," ")</f>
        <v xml:space="preserve"> </v>
      </c>
      <c r="K55" s="443" t="str">
        <f>IFERROR(VLOOKUP(C55,'נתוני רישום ומצבת'!B:I,8,0),"")</f>
        <v/>
      </c>
      <c r="L55" s="284">
        <f t="shared" si="1"/>
        <v>0</v>
      </c>
      <c r="M55" s="283" t="str">
        <f t="shared" si="4"/>
        <v>-</v>
      </c>
    </row>
    <row r="56" spans="2:13" x14ac:dyDescent="0.25">
      <c r="B56" s="280">
        <v>36</v>
      </c>
      <c r="C56" s="549" cm="1">
        <f t="array" ref="C56">IFERROR(
   INDEX('נתוני רישום ומצבת'!$B:$B,
      SMALL(
         IF(('נתוני רישום ומצבת'!A$2:A$2998='נתונים כלליים (1)'!$C$5),
         ROW('נתוני רישום ומצבת'!A$2:A$2998)),
      ROW(A36))
   ),
"")</f>
        <v>0</v>
      </c>
      <c r="D56" s="549" t="str">
        <f>IF(C56="", "",
   IFERROR(
      IF(VLOOKUP(C56, 'נתוני רישום ומצבת'!B:J, 9, FALSE) = $F$4,
         VLOOKUP(C56, 'נתוני רישום ומצבת'!B:J, 3, FALSE),
         "המוסד לא קיים ברשות"),
   "המוסד לא קיים"))</f>
        <v>המוסד לא קיים</v>
      </c>
      <c r="E56" s="176" t="str">
        <f>IFERROR(VLOOKUP(C56,'נתוני רישום ומצבת'!B:G,6,0),"")</f>
        <v/>
      </c>
      <c r="F56" s="281" t="str">
        <f>IFERROR(VLOOKUP(C56,'נתוני רישום ומצבת'!B:K,10,0)," ")</f>
        <v xml:space="preserve"> </v>
      </c>
      <c r="G56" s="443" t="str">
        <f>IFERROR(VLOOKUP(C56,'נתוני רישום ומצבת'!B:E,4,0)," ")</f>
        <v xml:space="preserve"> </v>
      </c>
      <c r="H56" s="444" t="str">
        <f>IFERROR(VLOOKUP(C56,'נתוני רישום ומצבת'!B:K,7,0),"")</f>
        <v/>
      </c>
      <c r="I56" s="180" t="str">
        <f t="shared" si="0"/>
        <v/>
      </c>
      <c r="J56" s="443" t="str">
        <f>IFERROR(VLOOKUP(C56,'נתוני רישום ומצבת'!B:I,5,0)," ")</f>
        <v xml:space="preserve"> </v>
      </c>
      <c r="K56" s="443" t="str">
        <f>IFERROR(VLOOKUP(C56,'נתוני רישום ומצבת'!B:I,8,0),"")</f>
        <v/>
      </c>
      <c r="L56" s="284">
        <f t="shared" si="1"/>
        <v>0</v>
      </c>
      <c r="M56" s="283" t="str">
        <f t="shared" si="4"/>
        <v>-</v>
      </c>
    </row>
    <row r="57" spans="2:13" x14ac:dyDescent="0.25">
      <c r="B57" s="280">
        <v>37</v>
      </c>
      <c r="C57" s="549" cm="1">
        <f t="array" ref="C57">IFERROR(
   INDEX('נתוני רישום ומצבת'!$B:$B,
      SMALL(
         IF(('נתוני רישום ומצבת'!A$2:A$2998='נתונים כלליים (1)'!$C$5),
         ROW('נתוני רישום ומצבת'!A$2:A$2998)),
      ROW(A37))
   ),
"")</f>
        <v>0</v>
      </c>
      <c r="D57" s="549" t="str">
        <f>IF(C57="", "",
   IFERROR(
      IF(VLOOKUP(C57, 'נתוני רישום ומצבת'!B:J, 9, FALSE) = $F$4,
         VLOOKUP(C57, 'נתוני רישום ומצבת'!B:J, 3, FALSE),
         "המוסד לא קיים ברשות"),
   "המוסד לא קיים"))</f>
        <v>המוסד לא קיים</v>
      </c>
      <c r="E57" s="176" t="str">
        <f>IFERROR(VLOOKUP(C57,'נתוני רישום ומצבת'!B:G,6,0),"")</f>
        <v/>
      </c>
      <c r="F57" s="281" t="str">
        <f>IFERROR(VLOOKUP(C57,'נתוני רישום ומצבת'!B:K,10,0)," ")</f>
        <v xml:space="preserve"> </v>
      </c>
      <c r="G57" s="443" t="str">
        <f>IFERROR(VLOOKUP(C57,'נתוני רישום ומצבת'!B:E,4,0)," ")</f>
        <v xml:space="preserve"> </v>
      </c>
      <c r="H57" s="444" t="str">
        <f>IFERROR(VLOOKUP(C57,'נתוני רישום ומצבת'!B:K,7,0),"")</f>
        <v/>
      </c>
      <c r="I57" s="180" t="str">
        <f t="shared" si="0"/>
        <v/>
      </c>
      <c r="J57" s="443" t="str">
        <f>IFERROR(VLOOKUP(C57,'נתוני רישום ומצבת'!B:I,5,0)," ")</f>
        <v xml:space="preserve"> </v>
      </c>
      <c r="K57" s="443" t="str">
        <f>IFERROR(VLOOKUP(C57,'נתוני רישום ומצבת'!B:I,8,0),"")</f>
        <v/>
      </c>
      <c r="L57" s="284">
        <f t="shared" si="1"/>
        <v>0</v>
      </c>
      <c r="M57" s="283" t="str">
        <f t="shared" si="4"/>
        <v>-</v>
      </c>
    </row>
    <row r="58" spans="2:13" x14ac:dyDescent="0.25">
      <c r="B58" s="280">
        <v>38</v>
      </c>
      <c r="C58" s="549" cm="1">
        <f t="array" ref="C58">IFERROR(
   INDEX('נתוני רישום ומצבת'!$B:$B,
      SMALL(
         IF(('נתוני רישום ומצבת'!A$2:A$2998='נתונים כלליים (1)'!$C$5),
         ROW('נתוני רישום ומצבת'!A$2:A$2998)),
      ROW(A38))
   ),
"")</f>
        <v>0</v>
      </c>
      <c r="D58" s="549" t="str">
        <f>IF(C58="", "",
   IFERROR(
      IF(VLOOKUP(C58, 'נתוני רישום ומצבת'!B:J, 9, FALSE) = $F$4,
         VLOOKUP(C58, 'נתוני רישום ומצבת'!B:J, 3, FALSE),
         "המוסד לא קיים ברשות"),
   "המוסד לא קיים"))</f>
        <v>המוסד לא קיים</v>
      </c>
      <c r="E58" s="176" t="str">
        <f>IFERROR(VLOOKUP(C58,'נתוני רישום ומצבת'!B:G,6,0),"")</f>
        <v/>
      </c>
      <c r="F58" s="281" t="str">
        <f>IFERROR(VLOOKUP(C58,'נתוני רישום ומצבת'!B:K,10,0)," ")</f>
        <v xml:space="preserve"> </v>
      </c>
      <c r="G58" s="443" t="str">
        <f>IFERROR(VLOOKUP(C58,'נתוני רישום ומצבת'!B:E,4,0)," ")</f>
        <v xml:space="preserve"> </v>
      </c>
      <c r="H58" s="444" t="str">
        <f>IFERROR(VLOOKUP(C58,'נתוני רישום ומצבת'!B:K,7,0),"")</f>
        <v/>
      </c>
      <c r="I58" s="180" t="str">
        <f t="shared" si="0"/>
        <v/>
      </c>
      <c r="J58" s="443" t="str">
        <f>IFERROR(VLOOKUP(C58,'נתוני רישום ומצבת'!B:I,5,0)," ")</f>
        <v xml:space="preserve"> </v>
      </c>
      <c r="K58" s="443" t="str">
        <f>IFERROR(VLOOKUP(C58,'נתוני רישום ומצבת'!B:I,8,0),"")</f>
        <v/>
      </c>
      <c r="L58" s="284">
        <f t="shared" si="1"/>
        <v>0</v>
      </c>
      <c r="M58" s="283" t="str">
        <f t="shared" si="4"/>
        <v>-</v>
      </c>
    </row>
    <row r="59" spans="2:13" x14ac:dyDescent="0.25">
      <c r="B59" s="280">
        <v>39</v>
      </c>
      <c r="C59" s="549" cm="1">
        <f t="array" ref="C59">IFERROR(
   INDEX('נתוני רישום ומצבת'!$B:$B,
      SMALL(
         IF(('נתוני רישום ומצבת'!A$2:A$2998='נתונים כלליים (1)'!$C$5),
         ROW('נתוני רישום ומצבת'!A$2:A$2998)),
      ROW(A39))
   ),
"")</f>
        <v>0</v>
      </c>
      <c r="D59" s="549" t="str">
        <f>IF(C59="", "",
   IFERROR(
      IF(VLOOKUP(C59, 'נתוני רישום ומצבת'!B:J, 9, FALSE) = $F$4,
         VLOOKUP(C59, 'נתוני רישום ומצבת'!B:J, 3, FALSE),
         "המוסד לא קיים ברשות"),
   "המוסד לא קיים"))</f>
        <v>המוסד לא קיים</v>
      </c>
      <c r="E59" s="176" t="str">
        <f>IFERROR(VLOOKUP(C59,'נתוני רישום ומצבת'!B:G,6,0),"")</f>
        <v/>
      </c>
      <c r="F59" s="281" t="str">
        <f>IFERROR(VLOOKUP(C59,'נתוני רישום ומצבת'!B:K,10,0)," ")</f>
        <v xml:space="preserve"> </v>
      </c>
      <c r="G59" s="443" t="str">
        <f>IFERROR(VLOOKUP(C59,'נתוני רישום ומצבת'!B:E,4,0)," ")</f>
        <v xml:space="preserve"> </v>
      </c>
      <c r="H59" s="444" t="str">
        <f>IFERROR(VLOOKUP(C59,'נתוני רישום ומצבת'!B:K,7,0),"")</f>
        <v/>
      </c>
      <c r="I59" s="180" t="str">
        <f t="shared" si="0"/>
        <v/>
      </c>
      <c r="J59" s="443" t="str">
        <f>IFERROR(VLOOKUP(C59,'נתוני רישום ומצבת'!B:I,5,0)," ")</f>
        <v xml:space="preserve"> </v>
      </c>
      <c r="K59" s="443" t="str">
        <f>IFERROR(VLOOKUP(C59,'נתוני רישום ומצבת'!B:I,8,0),"")</f>
        <v/>
      </c>
      <c r="L59" s="284">
        <f t="shared" si="1"/>
        <v>0</v>
      </c>
      <c r="M59" s="283" t="str">
        <f t="shared" si="4"/>
        <v>-</v>
      </c>
    </row>
    <row r="60" spans="2:13" x14ac:dyDescent="0.25">
      <c r="B60" s="280">
        <v>40</v>
      </c>
      <c r="C60" s="549" cm="1">
        <f t="array" ref="C60">IFERROR(
   INDEX('נתוני רישום ומצבת'!$B:$B,
      SMALL(
         IF(('נתוני רישום ומצבת'!A$2:A$2998='נתונים כלליים (1)'!$C$5),
         ROW('נתוני רישום ומצבת'!A$2:A$2998)),
      ROW(A40))
   ),
"")</f>
        <v>0</v>
      </c>
      <c r="D60" s="549" t="str">
        <f>IF(C60="", "",
   IFERROR(
      IF(VLOOKUP(C60, 'נתוני רישום ומצבת'!B:J, 9, FALSE) = $F$4,
         VLOOKUP(C60, 'נתוני רישום ומצבת'!B:J, 3, FALSE),
         "המוסד לא קיים ברשות"),
   "המוסד לא קיים"))</f>
        <v>המוסד לא קיים</v>
      </c>
      <c r="E60" s="176" t="str">
        <f>IFERROR(VLOOKUP(C60,'נתוני רישום ומצבת'!B:G,6,0),"")</f>
        <v/>
      </c>
      <c r="F60" s="281" t="str">
        <f>IFERROR(VLOOKUP(C60,'נתוני רישום ומצבת'!B:K,10,0)," ")</f>
        <v xml:space="preserve"> </v>
      </c>
      <c r="G60" s="443" t="str">
        <f>IFERROR(VLOOKUP(C60,'נתוני רישום ומצבת'!B:E,4,0)," ")</f>
        <v xml:space="preserve"> </v>
      </c>
      <c r="H60" s="444" t="str">
        <f>IFERROR(VLOOKUP(C60,'נתוני רישום ומצבת'!B:K,7,0),"")</f>
        <v/>
      </c>
      <c r="I60" s="180" t="str">
        <f t="shared" si="0"/>
        <v/>
      </c>
      <c r="J60" s="443" t="str">
        <f>IFERROR(VLOOKUP(C60,'נתוני רישום ומצבת'!B:I,5,0)," ")</f>
        <v xml:space="preserve"> </v>
      </c>
      <c r="K60" s="443" t="str">
        <f>IFERROR(VLOOKUP(C60,'נתוני רישום ומצבת'!B:I,8,0),"")</f>
        <v/>
      </c>
      <c r="L60" s="284">
        <f t="shared" si="1"/>
        <v>0</v>
      </c>
      <c r="M60" s="283" t="str">
        <f t="shared" si="4"/>
        <v>-</v>
      </c>
    </row>
    <row r="61" spans="2:13" x14ac:dyDescent="0.25">
      <c r="B61" s="280">
        <v>41</v>
      </c>
      <c r="C61" s="549" cm="1">
        <f t="array" ref="C61">IFERROR(
   INDEX('נתוני רישום ומצבת'!$B:$B,
      SMALL(
         IF(('נתוני רישום ומצבת'!A$2:A$2998='נתונים כלליים (1)'!$C$5),
         ROW('נתוני רישום ומצבת'!A$2:A$2998)),
      ROW(A41))
   ),
"")</f>
        <v>0</v>
      </c>
      <c r="D61" s="549" t="str">
        <f>IF(C61="", "",
   IFERROR(
      IF(VLOOKUP(C61, 'נתוני רישום ומצבת'!B:J, 9, FALSE) = $F$4,
         VLOOKUP(C61, 'נתוני רישום ומצבת'!B:J, 3, FALSE),
         "המוסד לא קיים ברשות"),
   "המוסד לא קיים"))</f>
        <v>המוסד לא קיים</v>
      </c>
      <c r="E61" s="176" t="str">
        <f>IFERROR(VLOOKUP(C61,'נתוני רישום ומצבת'!B:G,6,0),"")</f>
        <v/>
      </c>
      <c r="F61" s="281" t="str">
        <f>IFERROR(VLOOKUP(C61,'נתוני רישום ומצבת'!B:K,10,0)," ")</f>
        <v xml:space="preserve"> </v>
      </c>
      <c r="G61" s="443" t="str">
        <f>IFERROR(VLOOKUP(C61,'נתוני רישום ומצבת'!B:E,4,0)," ")</f>
        <v xml:space="preserve"> </v>
      </c>
      <c r="H61" s="444" t="str">
        <f>IFERROR(VLOOKUP(C61,'נתוני רישום ומצבת'!B:K,7,0),"")</f>
        <v/>
      </c>
      <c r="I61" s="180" t="str">
        <f t="shared" si="0"/>
        <v/>
      </c>
      <c r="J61" s="443" t="str">
        <f>IFERROR(VLOOKUP(C61,'נתוני רישום ומצבת'!B:I,5,0)," ")</f>
        <v xml:space="preserve"> </v>
      </c>
      <c r="K61" s="443" t="str">
        <f>IFERROR(VLOOKUP(C61,'נתוני רישום ומצבת'!B:I,8,0),"")</f>
        <v/>
      </c>
      <c r="L61" s="284">
        <f t="shared" si="1"/>
        <v>0</v>
      </c>
      <c r="M61" s="283" t="str">
        <f t="shared" si="4"/>
        <v>-</v>
      </c>
    </row>
    <row r="62" spans="2:13" x14ac:dyDescent="0.25">
      <c r="B62" s="280">
        <v>42</v>
      </c>
      <c r="C62" s="549" cm="1">
        <f t="array" ref="C62">IFERROR(
   INDEX('נתוני רישום ומצבת'!$B:$B,
      SMALL(
         IF(('נתוני רישום ומצבת'!A$2:A$2998='נתונים כלליים (1)'!$C$5),
         ROW('נתוני רישום ומצבת'!A$2:A$2998)),
      ROW(A42))
   ),
"")</f>
        <v>0</v>
      </c>
      <c r="D62" s="549" t="str">
        <f>IF(C62="", "",
   IFERROR(
      IF(VLOOKUP(C62, 'נתוני רישום ומצבת'!B:J, 9, FALSE) = $F$4,
         VLOOKUP(C62, 'נתוני רישום ומצבת'!B:J, 3, FALSE),
         "המוסד לא קיים ברשות"),
   "המוסד לא קיים"))</f>
        <v>המוסד לא קיים</v>
      </c>
      <c r="E62" s="176" t="str">
        <f>IFERROR(VLOOKUP(C62,'נתוני רישום ומצבת'!B:G,6,0),"")</f>
        <v/>
      </c>
      <c r="F62" s="281" t="str">
        <f>IFERROR(VLOOKUP(C62,'נתוני רישום ומצבת'!B:K,10,0)," ")</f>
        <v xml:space="preserve"> </v>
      </c>
      <c r="G62" s="443" t="str">
        <f>IFERROR(VLOOKUP(C62,'נתוני רישום ומצבת'!B:E,4,0)," ")</f>
        <v xml:space="preserve"> </v>
      </c>
      <c r="H62" s="444" t="str">
        <f>IFERROR(VLOOKUP(C62,'נתוני רישום ומצבת'!B:K,7,0),"")</f>
        <v/>
      </c>
      <c r="I62" s="180" t="str">
        <f t="shared" si="0"/>
        <v/>
      </c>
      <c r="J62" s="443" t="str">
        <f>IFERROR(VLOOKUP(C62,'נתוני רישום ומצבת'!B:I,5,0)," ")</f>
        <v xml:space="preserve"> </v>
      </c>
      <c r="K62" s="443" t="str">
        <f>IFERROR(VLOOKUP(C62,'נתוני רישום ומצבת'!B:I,8,0),"")</f>
        <v/>
      </c>
      <c r="L62" s="284">
        <f t="shared" si="1"/>
        <v>0</v>
      </c>
      <c r="M62" s="283" t="str">
        <f t="shared" si="4"/>
        <v>-</v>
      </c>
    </row>
    <row r="63" spans="2:13" x14ac:dyDescent="0.25">
      <c r="B63" s="280">
        <v>43</v>
      </c>
      <c r="C63" s="549" cm="1">
        <f t="array" ref="C63">IFERROR(
   INDEX('נתוני רישום ומצבת'!$B:$B,
      SMALL(
         IF(('נתוני רישום ומצבת'!A$2:A$2998='נתונים כלליים (1)'!$C$5),
         ROW('נתוני רישום ומצבת'!A$2:A$2998)),
      ROW(A43))
   ),
"")</f>
        <v>0</v>
      </c>
      <c r="D63" s="549" t="str">
        <f>IF(C63="", "",
   IFERROR(
      IF(VLOOKUP(C63, 'נתוני רישום ומצבת'!B:J, 9, FALSE) = $F$4,
         VLOOKUP(C63, 'נתוני רישום ומצבת'!B:J, 3, FALSE),
         "המוסד לא קיים ברשות"),
   "המוסד לא קיים"))</f>
        <v>המוסד לא קיים</v>
      </c>
      <c r="E63" s="176" t="str">
        <f>IFERROR(VLOOKUP(C63,'נתוני רישום ומצבת'!B:G,6,0),"")</f>
        <v/>
      </c>
      <c r="F63" s="281" t="str">
        <f>IFERROR(VLOOKUP(C63,'נתוני רישום ומצבת'!B:K,10,0)," ")</f>
        <v xml:space="preserve"> </v>
      </c>
      <c r="G63" s="443" t="str">
        <f>IFERROR(VLOOKUP(C63,'נתוני רישום ומצבת'!B:E,4,0)," ")</f>
        <v xml:space="preserve"> </v>
      </c>
      <c r="H63" s="444" t="str">
        <f>IFERROR(VLOOKUP(C63,'נתוני רישום ומצבת'!B:K,7,0),"")</f>
        <v/>
      </c>
      <c r="I63" s="180" t="str">
        <f t="shared" si="0"/>
        <v/>
      </c>
      <c r="J63" s="443" t="str">
        <f>IFERROR(VLOOKUP(C63,'נתוני רישום ומצבת'!B:I,5,0)," ")</f>
        <v xml:space="preserve"> </v>
      </c>
      <c r="K63" s="443" t="str">
        <f>IFERROR(VLOOKUP(C63,'נתוני רישום ומצבת'!B:I,8,0),"")</f>
        <v/>
      </c>
      <c r="L63" s="284">
        <f t="shared" si="1"/>
        <v>0</v>
      </c>
      <c r="M63" s="283" t="str">
        <f t="shared" si="4"/>
        <v>-</v>
      </c>
    </row>
    <row r="64" spans="2:13" x14ac:dyDescent="0.25">
      <c r="B64" s="280">
        <v>44</v>
      </c>
      <c r="C64" s="549" cm="1">
        <f t="array" ref="C64">IFERROR(
   INDEX('נתוני רישום ומצבת'!$B:$B,
      SMALL(
         IF(('נתוני רישום ומצבת'!A$2:A$2998='נתונים כלליים (1)'!$C$5),
         ROW('נתוני רישום ומצבת'!A$2:A$2998)),
      ROW(A44))
   ),
"")</f>
        <v>0</v>
      </c>
      <c r="D64" s="549" t="str">
        <f>IF(C64="", "",
   IFERROR(
      IF(VLOOKUP(C64, 'נתוני רישום ומצבת'!B:J, 9, FALSE) = $F$4,
         VLOOKUP(C64, 'נתוני רישום ומצבת'!B:J, 3, FALSE),
         "המוסד לא קיים ברשות"),
   "המוסד לא קיים"))</f>
        <v>המוסד לא קיים</v>
      </c>
      <c r="E64" s="176" t="str">
        <f>IFERROR(VLOOKUP(C64,'נתוני רישום ומצבת'!B:G,6,0),"")</f>
        <v/>
      </c>
      <c r="F64" s="281" t="str">
        <f>IFERROR(VLOOKUP(C64,'נתוני רישום ומצבת'!B:K,10,0)," ")</f>
        <v xml:space="preserve"> </v>
      </c>
      <c r="G64" s="443" t="str">
        <f>IFERROR(VLOOKUP(C64,'נתוני רישום ומצבת'!B:E,4,0)," ")</f>
        <v xml:space="preserve"> </v>
      </c>
      <c r="H64" s="444" t="str">
        <f>IFERROR(VLOOKUP(C64,'נתוני רישום ומצבת'!B:K,7,0),"")</f>
        <v/>
      </c>
      <c r="I64" s="180" t="str">
        <f t="shared" si="0"/>
        <v/>
      </c>
      <c r="J64" s="443" t="str">
        <f>IFERROR(VLOOKUP(C64,'נתוני רישום ומצבת'!B:I,5,0)," ")</f>
        <v xml:space="preserve"> </v>
      </c>
      <c r="K64" s="443" t="str">
        <f>IFERROR(VLOOKUP(C64,'נתוני רישום ומצבת'!B:I,8,0),"")</f>
        <v/>
      </c>
      <c r="L64" s="284">
        <f t="shared" si="1"/>
        <v>0</v>
      </c>
      <c r="M64" s="283" t="str">
        <f t="shared" si="4"/>
        <v>-</v>
      </c>
    </row>
    <row r="65" spans="2:13" x14ac:dyDescent="0.25">
      <c r="B65" s="280">
        <v>45</v>
      </c>
      <c r="C65" s="549" cm="1">
        <f t="array" ref="C65">IFERROR(
   INDEX('נתוני רישום ומצבת'!$B:$B,
      SMALL(
         IF(('נתוני רישום ומצבת'!A$2:A$2998='נתונים כלליים (1)'!$C$5),
         ROW('נתוני רישום ומצבת'!A$2:A$2998)),
      ROW(A45))
   ),
"")</f>
        <v>0</v>
      </c>
      <c r="D65" s="549" t="str">
        <f>IF(C65="", "",
   IFERROR(
      IF(VLOOKUP(C65, 'נתוני רישום ומצבת'!B:J, 9, FALSE) = $F$4,
         VLOOKUP(C65, 'נתוני רישום ומצבת'!B:J, 3, FALSE),
         "המוסד לא קיים ברשות"),
   "המוסד לא קיים"))</f>
        <v>המוסד לא קיים</v>
      </c>
      <c r="E65" s="176" t="str">
        <f>IFERROR(VLOOKUP(C65,'נתוני רישום ומצבת'!B:G,6,0),"")</f>
        <v/>
      </c>
      <c r="F65" s="281" t="str">
        <f>IFERROR(VLOOKUP(C65,'נתוני רישום ומצבת'!B:K,10,0)," ")</f>
        <v xml:space="preserve"> </v>
      </c>
      <c r="G65" s="443" t="str">
        <f>IFERROR(VLOOKUP(C65,'נתוני רישום ומצבת'!B:E,4,0)," ")</f>
        <v xml:space="preserve"> </v>
      </c>
      <c r="H65" s="444" t="str">
        <f>IFERROR(VLOOKUP(C65,'נתוני רישום ומצבת'!B:K,7,0),"")</f>
        <v/>
      </c>
      <c r="I65" s="180" t="str">
        <f t="shared" si="0"/>
        <v/>
      </c>
      <c r="J65" s="443" t="str">
        <f>IFERROR(VLOOKUP(C65,'נתוני רישום ומצבת'!B:I,5,0)," ")</f>
        <v xml:space="preserve"> </v>
      </c>
      <c r="K65" s="443" t="str">
        <f>IFERROR(VLOOKUP(C65,'נתוני רישום ומצבת'!B:I,8,0),"")</f>
        <v/>
      </c>
      <c r="L65" s="284">
        <f t="shared" si="1"/>
        <v>0</v>
      </c>
      <c r="M65" s="283" t="str">
        <f t="shared" si="4"/>
        <v>-</v>
      </c>
    </row>
    <row r="66" spans="2:13" x14ac:dyDescent="0.25">
      <c r="B66" s="280">
        <v>46</v>
      </c>
      <c r="C66" s="549" cm="1">
        <f t="array" ref="C66">IFERROR(
   INDEX('נתוני רישום ומצבת'!$B:$B,
      SMALL(
         IF(('נתוני רישום ומצבת'!A$2:A$2998='נתונים כלליים (1)'!$C$5),
         ROW('נתוני רישום ומצבת'!A$2:A$2998)),
      ROW(A46))
   ),
"")</f>
        <v>0</v>
      </c>
      <c r="D66" s="549" t="str">
        <f>IF(C66="", "",
   IFERROR(
      IF(VLOOKUP(C66, 'נתוני רישום ומצבת'!B:J, 9, FALSE) = $F$4,
         VLOOKUP(C66, 'נתוני רישום ומצבת'!B:J, 3, FALSE),
         "המוסד לא קיים ברשות"),
   "המוסד לא קיים"))</f>
        <v>המוסד לא קיים</v>
      </c>
      <c r="E66" s="176" t="str">
        <f>IFERROR(VLOOKUP(C66,'נתוני רישום ומצבת'!B:G,6,0),"")</f>
        <v/>
      </c>
      <c r="F66" s="281" t="str">
        <f>IFERROR(VLOOKUP(C66,'נתוני רישום ומצבת'!B:K,10,0)," ")</f>
        <v xml:space="preserve"> </v>
      </c>
      <c r="G66" s="443" t="str">
        <f>IFERROR(VLOOKUP(C66,'נתוני רישום ומצבת'!B:E,4,0)," ")</f>
        <v xml:space="preserve"> </v>
      </c>
      <c r="H66" s="444" t="str">
        <f>IFERROR(VLOOKUP(C66,'נתוני רישום ומצבת'!B:K,7,0),"")</f>
        <v/>
      </c>
      <c r="I66" s="180" t="str">
        <f t="shared" si="0"/>
        <v/>
      </c>
      <c r="J66" s="443" t="str">
        <f>IFERROR(VLOOKUP(C66,'נתוני רישום ומצבת'!B:I,5,0)," ")</f>
        <v xml:space="preserve"> </v>
      </c>
      <c r="K66" s="443" t="str">
        <f>IFERROR(VLOOKUP(C66,'נתוני רישום ומצבת'!B:I,8,0),"")</f>
        <v/>
      </c>
      <c r="L66" s="284">
        <f t="shared" si="1"/>
        <v>0</v>
      </c>
      <c r="M66" s="283" t="str">
        <f t="shared" si="4"/>
        <v>-</v>
      </c>
    </row>
    <row r="67" spans="2:13" x14ac:dyDescent="0.25">
      <c r="B67" s="280">
        <v>47</v>
      </c>
      <c r="C67" s="549" cm="1">
        <f t="array" ref="C67">IFERROR(
   INDEX('נתוני רישום ומצבת'!$B:$B,
      SMALL(
         IF(('נתוני רישום ומצבת'!A$2:A$2998='נתונים כלליים (1)'!$C$5),
         ROW('נתוני רישום ומצבת'!A$2:A$2998)),
      ROW(A47))
   ),
"")</f>
        <v>0</v>
      </c>
      <c r="D67" s="549" t="str">
        <f>IF(C67="", "",
   IFERROR(
      IF(VLOOKUP(C67, 'נתוני רישום ומצבת'!B:J, 9, FALSE) = $F$4,
         VLOOKUP(C67, 'נתוני רישום ומצבת'!B:J, 3, FALSE),
         "המוסד לא קיים ברשות"),
   "המוסד לא קיים"))</f>
        <v>המוסד לא קיים</v>
      </c>
      <c r="E67" s="176" t="str">
        <f>IFERROR(VLOOKUP(C67,'נתוני רישום ומצבת'!B:G,6,0),"")</f>
        <v/>
      </c>
      <c r="F67" s="281" t="str">
        <f>IFERROR(VLOOKUP(C67,'נתוני רישום ומצבת'!B:K,10,0)," ")</f>
        <v xml:space="preserve"> </v>
      </c>
      <c r="G67" s="443" t="str">
        <f>IFERROR(VLOOKUP(C67,'נתוני רישום ומצבת'!B:E,4,0)," ")</f>
        <v xml:space="preserve"> </v>
      </c>
      <c r="H67" s="444" t="str">
        <f>IFERROR(VLOOKUP(C67,'נתוני רישום ומצבת'!B:K,7,0),"")</f>
        <v/>
      </c>
      <c r="I67" s="180" t="str">
        <f t="shared" si="0"/>
        <v/>
      </c>
      <c r="J67" s="443" t="str">
        <f>IFERROR(VLOOKUP(C67,'נתוני רישום ומצבת'!B:I,5,0)," ")</f>
        <v xml:space="preserve"> </v>
      </c>
      <c r="K67" s="443" t="str">
        <f>IFERROR(VLOOKUP(C67,'נתוני רישום ומצבת'!B:I,8,0),"")</f>
        <v/>
      </c>
      <c r="L67" s="284">
        <f t="shared" si="1"/>
        <v>0</v>
      </c>
      <c r="M67" s="283" t="str">
        <f t="shared" si="4"/>
        <v>-</v>
      </c>
    </row>
    <row r="68" spans="2:13" x14ac:dyDescent="0.25">
      <c r="B68" s="280">
        <v>48</v>
      </c>
      <c r="C68" s="549" cm="1">
        <f t="array" ref="C68">IFERROR(
   INDEX('נתוני רישום ומצבת'!$B:$B,
      SMALL(
         IF(('נתוני רישום ומצבת'!A$2:A$2998='נתונים כלליים (1)'!$C$5),
         ROW('נתוני רישום ומצבת'!A$2:A$2998)),
      ROW(A48))
   ),
"")</f>
        <v>0</v>
      </c>
      <c r="D68" s="549" t="str">
        <f>IF(C68="", "",
   IFERROR(
      IF(VLOOKUP(C68, 'נתוני רישום ומצבת'!B:J, 9, FALSE) = $F$4,
         VLOOKUP(C68, 'נתוני רישום ומצבת'!B:J, 3, FALSE),
         "המוסד לא קיים ברשות"),
   "המוסד לא קיים"))</f>
        <v>המוסד לא קיים</v>
      </c>
      <c r="E68" s="176" t="str">
        <f>IFERROR(VLOOKUP(C68,'נתוני רישום ומצבת'!B:G,6,0),"")</f>
        <v/>
      </c>
      <c r="F68" s="281" t="str">
        <f>IFERROR(VLOOKUP(C68,'נתוני רישום ומצבת'!B:K,10,0)," ")</f>
        <v xml:space="preserve"> </v>
      </c>
      <c r="G68" s="443" t="str">
        <f>IFERROR(VLOOKUP(C68,'נתוני רישום ומצבת'!B:E,4,0)," ")</f>
        <v xml:space="preserve"> </v>
      </c>
      <c r="H68" s="444" t="str">
        <f>IFERROR(VLOOKUP(C68,'נתוני רישום ומצבת'!B:K,7,0),"")</f>
        <v/>
      </c>
      <c r="I68" s="180" t="str">
        <f t="shared" si="0"/>
        <v/>
      </c>
      <c r="J68" s="443" t="str">
        <f>IFERROR(VLOOKUP(C68,'נתוני רישום ומצבת'!B:I,5,0)," ")</f>
        <v xml:space="preserve"> </v>
      </c>
      <c r="K68" s="443" t="str">
        <f>IFERROR(VLOOKUP(C68,'נתוני רישום ומצבת'!B:I,8,0),"")</f>
        <v/>
      </c>
      <c r="L68" s="284">
        <f t="shared" si="1"/>
        <v>0</v>
      </c>
      <c r="M68" s="283" t="str">
        <f t="shared" si="4"/>
        <v>-</v>
      </c>
    </row>
    <row r="69" spans="2:13" x14ac:dyDescent="0.25">
      <c r="B69" s="280">
        <v>49</v>
      </c>
      <c r="C69" s="549" cm="1">
        <f t="array" ref="C69">IFERROR(
   INDEX('נתוני רישום ומצבת'!$B:$B,
      SMALL(
         IF(('נתוני רישום ומצבת'!A$2:A$2998='נתונים כלליים (1)'!$C$5),
         ROW('נתוני רישום ומצבת'!A$2:A$2998)),
      ROW(A49))
   ),
"")</f>
        <v>0</v>
      </c>
      <c r="D69" s="549" t="str">
        <f>IF(C69="", "",
   IFERROR(
      IF(VLOOKUP(C69, 'נתוני רישום ומצבת'!B:J, 9, FALSE) = $F$4,
         VLOOKUP(C69, 'נתוני רישום ומצבת'!B:J, 3, FALSE),
         "המוסד לא קיים ברשות"),
   "המוסד לא קיים"))</f>
        <v>המוסד לא קיים</v>
      </c>
      <c r="E69" s="176" t="str">
        <f>IFERROR(VLOOKUP(C69,'נתוני רישום ומצבת'!B:G,6,0),"")</f>
        <v/>
      </c>
      <c r="F69" s="281" t="str">
        <f>IFERROR(VLOOKUP(C69,'נתוני רישום ומצבת'!B:K,10,0)," ")</f>
        <v xml:space="preserve"> </v>
      </c>
      <c r="G69" s="443" t="str">
        <f>IFERROR(VLOOKUP(C69,'נתוני רישום ומצבת'!B:E,4,0)," ")</f>
        <v xml:space="preserve"> </v>
      </c>
      <c r="H69" s="444" t="str">
        <f>IFERROR(VLOOKUP(C69,'נתוני רישום ומצבת'!B:K,7,0),"")</f>
        <v/>
      </c>
      <c r="I69" s="180" t="str">
        <f t="shared" si="0"/>
        <v/>
      </c>
      <c r="J69" s="443" t="str">
        <f>IFERROR(VLOOKUP(C69,'נתוני רישום ומצבת'!B:I,5,0)," ")</f>
        <v xml:space="preserve"> </v>
      </c>
      <c r="K69" s="443" t="str">
        <f>IFERROR(VLOOKUP(C69,'נתוני רישום ומצבת'!B:I,8,0),"")</f>
        <v/>
      </c>
      <c r="L69" s="284">
        <f t="shared" si="1"/>
        <v>0</v>
      </c>
      <c r="M69" s="283" t="str">
        <f t="shared" si="4"/>
        <v>-</v>
      </c>
    </row>
    <row r="70" spans="2:13" x14ac:dyDescent="0.25">
      <c r="B70" s="280">
        <v>50</v>
      </c>
      <c r="C70" s="549" cm="1">
        <f t="array" ref="C70">IFERROR(
   INDEX('נתוני רישום ומצבת'!$B:$B,
      SMALL(
         IF(('נתוני רישום ומצבת'!A$2:A$2998='נתונים כלליים (1)'!$C$5),
         ROW('נתוני רישום ומצבת'!A$2:A$2998)),
      ROW(A50))
   ),
"")</f>
        <v>0</v>
      </c>
      <c r="D70" s="549" t="str">
        <f>IF(C70="", "",
   IFERROR(
      IF(VLOOKUP(C70, 'נתוני רישום ומצבת'!B:J, 9, FALSE) = $F$4,
         VLOOKUP(C70, 'נתוני רישום ומצבת'!B:J, 3, FALSE),
         "המוסד לא קיים ברשות"),
   "המוסד לא קיים"))</f>
        <v>המוסד לא קיים</v>
      </c>
      <c r="E70" s="176" t="str">
        <f>IFERROR(VLOOKUP(C70,'נתוני רישום ומצבת'!B:G,6,0),"")</f>
        <v/>
      </c>
      <c r="F70" s="281" t="str">
        <f>IFERROR(VLOOKUP(C70,'נתוני רישום ומצבת'!B:K,10,0)," ")</f>
        <v xml:space="preserve"> </v>
      </c>
      <c r="G70" s="443" t="str">
        <f>IFERROR(VLOOKUP(C70,'נתוני רישום ומצבת'!B:E,4,0)," ")</f>
        <v xml:space="preserve"> </v>
      </c>
      <c r="H70" s="444" t="str">
        <f>IFERROR(VLOOKUP(C70,'נתוני רישום ומצבת'!B:K,7,0),"")</f>
        <v/>
      </c>
      <c r="I70" s="180" t="str">
        <f t="shared" si="0"/>
        <v/>
      </c>
      <c r="J70" s="443" t="str">
        <f>IFERROR(VLOOKUP(C70,'נתוני רישום ומצבת'!B:I,5,0)," ")</f>
        <v xml:space="preserve"> </v>
      </c>
      <c r="K70" s="443" t="str">
        <f>IFERROR(VLOOKUP(C70,'נתוני רישום ומצבת'!B:I,8,0),"")</f>
        <v/>
      </c>
      <c r="L70" s="284">
        <f t="shared" si="1"/>
        <v>0</v>
      </c>
      <c r="M70" s="283" t="str">
        <f>IF(L70&gt;149,"כן","-")</f>
        <v>-</v>
      </c>
    </row>
    <row r="71" spans="2:13" x14ac:dyDescent="0.25">
      <c r="B71" s="280">
        <v>51</v>
      </c>
      <c r="C71" s="549" cm="1">
        <f t="array" ref="C71">IFERROR(
   INDEX('נתוני רישום ומצבת'!$B:$B,
      SMALL(
         IF(('נתוני רישום ומצבת'!A$2:A$2998='נתונים כלליים (1)'!$C$5),
         ROW('נתוני רישום ומצבת'!A$2:A$2998)),
      ROW(A51))
   ),
"")</f>
        <v>0</v>
      </c>
      <c r="D71" s="549" t="str">
        <f>IF(C71="", "",
   IFERROR(
      IF(VLOOKUP(C71, 'נתוני רישום ומצבת'!B:J, 9, FALSE) = $F$4,
         VLOOKUP(C71, 'נתוני רישום ומצבת'!B:J, 3, FALSE),
         "המוסד לא קיים ברשות"),
   "המוסד לא קיים"))</f>
        <v>המוסד לא קיים</v>
      </c>
      <c r="E71" s="176" t="str">
        <f>IFERROR(VLOOKUP(C71,'נתוני רישום ומצבת'!B:G,6,0),"")</f>
        <v/>
      </c>
      <c r="F71" s="281" t="str">
        <f>IFERROR(VLOOKUP(C71,'נתוני רישום ומצבת'!B:K,10,0)," ")</f>
        <v xml:space="preserve"> </v>
      </c>
      <c r="G71" s="443" t="str">
        <f>IFERROR(VLOOKUP(C71,'נתוני רישום ומצבת'!B:E,4,0)," ")</f>
        <v xml:space="preserve"> </v>
      </c>
      <c r="H71" s="444" t="str">
        <f>IFERROR(VLOOKUP(C71,'נתוני רישום ומצבת'!B:K,7,0),"")</f>
        <v/>
      </c>
      <c r="I71" s="180" t="str">
        <f t="shared" si="0"/>
        <v/>
      </c>
      <c r="J71" s="443" t="str">
        <f>IFERROR(VLOOKUP(C71,'נתוני רישום ומצבת'!B:I,5,0)," ")</f>
        <v xml:space="preserve"> </v>
      </c>
      <c r="K71" s="443" t="str">
        <f>IFERROR(VLOOKUP(C71,'נתוני רישום ומצבת'!B:I,8,0),"")</f>
        <v/>
      </c>
      <c r="L71" s="284">
        <f t="shared" si="1"/>
        <v>0</v>
      </c>
      <c r="M71" s="283" t="str">
        <f t="shared" ref="M71:M77" si="5">IF(L71&gt;149,"כן","-")</f>
        <v>-</v>
      </c>
    </row>
    <row r="72" spans="2:13" x14ac:dyDescent="0.25">
      <c r="B72" s="280">
        <v>52</v>
      </c>
      <c r="C72" s="549" cm="1">
        <f t="array" ref="C72">IFERROR(
   INDEX('נתוני רישום ומצבת'!$B:$B,
      SMALL(
         IF(('נתוני רישום ומצבת'!A$2:A$2998='נתונים כלליים (1)'!$C$5),
         ROW('נתוני רישום ומצבת'!A$2:A$2998)),
      ROW(A52))
   ),
"")</f>
        <v>0</v>
      </c>
      <c r="D72" s="549" t="str">
        <f>IF(C72="", "",
   IFERROR(
      IF(VLOOKUP(C72, 'נתוני רישום ומצבת'!B:J, 9, FALSE) = $F$4,
         VLOOKUP(C72, 'נתוני רישום ומצבת'!B:J, 3, FALSE),
         "המוסד לא קיים ברשות"),
   "המוסד לא קיים"))</f>
        <v>המוסד לא קיים</v>
      </c>
      <c r="E72" s="176" t="str">
        <f>IFERROR(VLOOKUP(C72,'נתוני רישום ומצבת'!B:G,6,0),"")</f>
        <v/>
      </c>
      <c r="F72" s="281" t="str">
        <f>IFERROR(VLOOKUP(C72,'נתוני רישום ומצבת'!B:K,10,0)," ")</f>
        <v xml:space="preserve"> </v>
      </c>
      <c r="G72" s="443" t="str">
        <f>IFERROR(VLOOKUP(C72,'נתוני רישום ומצבת'!B:E,4,0)," ")</f>
        <v xml:space="preserve"> </v>
      </c>
      <c r="H72" s="444" t="str">
        <f>IFERROR(VLOOKUP(C72,'נתוני רישום ומצבת'!B:K,7,0),"")</f>
        <v/>
      </c>
      <c r="I72" s="180" t="str">
        <f t="shared" si="0"/>
        <v/>
      </c>
      <c r="J72" s="443" t="str">
        <f>IFERROR(VLOOKUP(C72,'נתוני רישום ומצבת'!B:I,5,0)," ")</f>
        <v xml:space="preserve"> </v>
      </c>
      <c r="K72" s="443" t="str">
        <f>IFERROR(VLOOKUP(C72,'נתוני רישום ומצבת'!B:I,8,0),"")</f>
        <v/>
      </c>
      <c r="L72" s="284">
        <f t="shared" si="1"/>
        <v>0</v>
      </c>
      <c r="M72" s="283" t="str">
        <f t="shared" si="5"/>
        <v>-</v>
      </c>
    </row>
    <row r="73" spans="2:13" x14ac:dyDescent="0.25">
      <c r="B73" s="280">
        <v>53</v>
      </c>
      <c r="C73" s="549" cm="1">
        <f t="array" ref="C73">IFERROR(
   INDEX('נתוני רישום ומצבת'!$B:$B,
      SMALL(
         IF(('נתוני רישום ומצבת'!A$2:A$2998='נתונים כלליים (1)'!$C$5),
         ROW('נתוני רישום ומצבת'!A$2:A$2998)),
      ROW(A53))
   ),
"")</f>
        <v>0</v>
      </c>
      <c r="D73" s="549" t="str">
        <f>IF(C73="", "",
   IFERROR(
      IF(VLOOKUP(C73, 'נתוני רישום ומצבת'!B:J, 9, FALSE) = $F$4,
         VLOOKUP(C73, 'נתוני רישום ומצבת'!B:J, 3, FALSE),
         "המוסד לא קיים ברשות"),
   "המוסד לא קיים"))</f>
        <v>המוסד לא קיים</v>
      </c>
      <c r="E73" s="176" t="str">
        <f>IFERROR(VLOOKUP(C73,'נתוני רישום ומצבת'!B:G,6,0),"")</f>
        <v/>
      </c>
      <c r="F73" s="281" t="str">
        <f>IFERROR(VLOOKUP(C73,'נתוני רישום ומצבת'!B:K,10,0)," ")</f>
        <v xml:space="preserve"> </v>
      </c>
      <c r="G73" s="443" t="str">
        <f>IFERROR(VLOOKUP(C73,'נתוני רישום ומצבת'!B:E,4,0)," ")</f>
        <v xml:space="preserve"> </v>
      </c>
      <c r="H73" s="444" t="str">
        <f>IFERROR(VLOOKUP(C73,'נתוני רישום ומצבת'!B:K,7,0),"")</f>
        <v/>
      </c>
      <c r="I73" s="180" t="str">
        <f t="shared" si="0"/>
        <v/>
      </c>
      <c r="J73" s="443" t="str">
        <f>IFERROR(VLOOKUP(C73,'נתוני רישום ומצבת'!B:I,5,0)," ")</f>
        <v xml:space="preserve"> </v>
      </c>
      <c r="K73" s="443" t="str">
        <f>IFERROR(VLOOKUP(C73,'נתוני רישום ומצבת'!B:I,8,0),"")</f>
        <v/>
      </c>
      <c r="L73" s="284">
        <f t="shared" si="1"/>
        <v>0</v>
      </c>
      <c r="M73" s="283" t="str">
        <f t="shared" si="5"/>
        <v>-</v>
      </c>
    </row>
    <row r="74" spans="2:13" x14ac:dyDescent="0.25">
      <c r="B74" s="280">
        <v>54</v>
      </c>
      <c r="C74" s="549" cm="1">
        <f t="array" ref="C74">IFERROR(
   INDEX('נתוני רישום ומצבת'!$B:$B,
      SMALL(
         IF(('נתוני רישום ומצבת'!A$2:A$2998='נתונים כלליים (1)'!$C$5),
         ROW('נתוני רישום ומצבת'!A$2:A$2998)),
      ROW(A54))
   ),
"")</f>
        <v>0</v>
      </c>
      <c r="D74" s="549" t="str">
        <f>IF(C74="", "",
   IFERROR(
      IF(VLOOKUP(C74, 'נתוני רישום ומצבת'!B:J, 9, FALSE) = $F$4,
         VLOOKUP(C74, 'נתוני רישום ומצבת'!B:J, 3, FALSE),
         "המוסד לא קיים ברשות"),
   "המוסד לא קיים"))</f>
        <v>המוסד לא קיים</v>
      </c>
      <c r="E74" s="176" t="str">
        <f>IFERROR(VLOOKUP(C74,'נתוני רישום ומצבת'!B:G,6,0),"")</f>
        <v/>
      </c>
      <c r="F74" s="281" t="str">
        <f>IFERROR(VLOOKUP(C74,'נתוני רישום ומצבת'!B:K,10,0)," ")</f>
        <v xml:space="preserve"> </v>
      </c>
      <c r="G74" s="443" t="str">
        <f>IFERROR(VLOOKUP(C74,'נתוני רישום ומצבת'!B:E,4,0)," ")</f>
        <v xml:space="preserve"> </v>
      </c>
      <c r="H74" s="444" t="str">
        <f>IFERROR(VLOOKUP(C74,'נתוני רישום ומצבת'!B:K,7,0),"")</f>
        <v/>
      </c>
      <c r="I74" s="180" t="str">
        <f t="shared" si="0"/>
        <v/>
      </c>
      <c r="J74" s="443" t="str">
        <f>IFERROR(VLOOKUP(C74,'נתוני רישום ומצבת'!B:I,5,0)," ")</f>
        <v xml:space="preserve"> </v>
      </c>
      <c r="K74" s="443" t="str">
        <f>IFERROR(VLOOKUP(C74,'נתוני רישום ומצבת'!B:I,8,0),"")</f>
        <v/>
      </c>
      <c r="L74" s="284">
        <f t="shared" si="1"/>
        <v>0</v>
      </c>
      <c r="M74" s="283" t="str">
        <f t="shared" si="5"/>
        <v>-</v>
      </c>
    </row>
    <row r="75" spans="2:13" x14ac:dyDescent="0.25">
      <c r="B75" s="280">
        <v>55</v>
      </c>
      <c r="C75" s="549" cm="1">
        <f t="array" ref="C75">IFERROR(
   INDEX('נתוני רישום ומצבת'!$B:$B,
      SMALL(
         IF(('נתוני רישום ומצבת'!A$2:A$2998='נתונים כלליים (1)'!$C$5),
         ROW('נתוני רישום ומצבת'!A$2:A$2998)),
      ROW(A55))
   ),
"")</f>
        <v>0</v>
      </c>
      <c r="D75" s="549" t="str">
        <f>IF(C75="", "",
   IFERROR(
      IF(VLOOKUP(C75, 'נתוני רישום ומצבת'!B:J, 9, FALSE) = $F$4,
         VLOOKUP(C75, 'נתוני רישום ומצבת'!B:J, 3, FALSE),
         "המוסד לא קיים ברשות"),
   "המוסד לא קיים"))</f>
        <v>המוסד לא קיים</v>
      </c>
      <c r="E75" s="176" t="str">
        <f>IFERROR(VLOOKUP(C75,'נתוני רישום ומצבת'!B:G,6,0),"")</f>
        <v/>
      </c>
      <c r="F75" s="281" t="str">
        <f>IFERROR(VLOOKUP(C75,'נתוני רישום ומצבת'!B:K,10,0)," ")</f>
        <v xml:space="preserve"> </v>
      </c>
      <c r="G75" s="443" t="str">
        <f>IFERROR(VLOOKUP(C75,'נתוני רישום ומצבת'!B:E,4,0)," ")</f>
        <v xml:space="preserve"> </v>
      </c>
      <c r="H75" s="444" t="str">
        <f>IFERROR(VLOOKUP(C75,'נתוני רישום ומצבת'!B:K,7,0),"")</f>
        <v/>
      </c>
      <c r="I75" s="180" t="str">
        <f t="shared" si="0"/>
        <v/>
      </c>
      <c r="J75" s="443" t="str">
        <f>IFERROR(VLOOKUP(C75,'נתוני רישום ומצבת'!B:I,5,0)," ")</f>
        <v xml:space="preserve"> </v>
      </c>
      <c r="K75" s="443" t="str">
        <f>IFERROR(VLOOKUP(C75,'נתוני רישום ומצבת'!B:I,8,0),"")</f>
        <v/>
      </c>
      <c r="L75" s="284">
        <f t="shared" si="1"/>
        <v>0</v>
      </c>
      <c r="M75" s="283" t="str">
        <f t="shared" si="5"/>
        <v>-</v>
      </c>
    </row>
    <row r="76" spans="2:13" x14ac:dyDescent="0.25">
      <c r="B76" s="280">
        <v>56</v>
      </c>
      <c r="C76" s="549" cm="1">
        <f t="array" ref="C76">IFERROR(
   INDEX('נתוני רישום ומצבת'!$B:$B,
      SMALL(
         IF(('נתוני רישום ומצבת'!A$2:A$2998='נתונים כלליים (1)'!$C$5),
         ROW('נתוני רישום ומצבת'!A$2:A$2998)),
      ROW(A56))
   ),
"")</f>
        <v>0</v>
      </c>
      <c r="D76" s="549" t="str">
        <f>IF(C76="", "",
   IFERROR(
      IF(VLOOKUP(C76, 'נתוני רישום ומצבת'!B:J, 9, FALSE) = $F$4,
         VLOOKUP(C76, 'נתוני רישום ומצבת'!B:J, 3, FALSE),
         "המוסד לא קיים ברשות"),
   "המוסד לא קיים"))</f>
        <v>המוסד לא קיים</v>
      </c>
      <c r="E76" s="176" t="str">
        <f>IFERROR(VLOOKUP(C76,'נתוני רישום ומצבת'!B:G,6,0),"")</f>
        <v/>
      </c>
      <c r="F76" s="281" t="str">
        <f>IFERROR(VLOOKUP(C76,'נתוני רישום ומצבת'!B:K,10,0)," ")</f>
        <v xml:space="preserve"> </v>
      </c>
      <c r="G76" s="443" t="str">
        <f>IFERROR(VLOOKUP(C76,'נתוני רישום ומצבת'!B:E,4,0)," ")</f>
        <v xml:space="preserve"> </v>
      </c>
      <c r="H76" s="444" t="str">
        <f>IFERROR(VLOOKUP(C76,'נתוני רישום ומצבת'!B:K,7,0),"")</f>
        <v/>
      </c>
      <c r="I76" s="180" t="str">
        <f t="shared" si="0"/>
        <v/>
      </c>
      <c r="J76" s="443" t="str">
        <f>IFERROR(VLOOKUP(C76,'נתוני רישום ומצבת'!B:I,5,0)," ")</f>
        <v xml:space="preserve"> </v>
      </c>
      <c r="K76" s="443" t="str">
        <f>IFERROR(VLOOKUP(C76,'נתוני רישום ומצבת'!B:I,8,0),"")</f>
        <v/>
      </c>
      <c r="L76" s="284">
        <f t="shared" si="1"/>
        <v>0</v>
      </c>
      <c r="M76" s="283" t="str">
        <f t="shared" si="5"/>
        <v>-</v>
      </c>
    </row>
    <row r="77" spans="2:13" x14ac:dyDescent="0.25">
      <c r="B77" s="280">
        <v>57</v>
      </c>
      <c r="C77" s="549" cm="1">
        <f t="array" ref="C77">IFERROR(
   INDEX('נתוני רישום ומצבת'!$B:$B,
      SMALL(
         IF(('נתוני רישום ומצבת'!A$2:A$2998='נתונים כלליים (1)'!$C$5),
         ROW('נתוני רישום ומצבת'!A$2:A$2998)),
      ROW(A57))
   ),
"")</f>
        <v>0</v>
      </c>
      <c r="D77" s="549" t="str">
        <f>IF(C77="", "",
   IFERROR(
      IF(VLOOKUP(C77, 'נתוני רישום ומצבת'!B:J, 9, FALSE) = $F$4,
         VLOOKUP(C77, 'נתוני רישום ומצבת'!B:J, 3, FALSE),
         "המוסד לא קיים ברשות"),
   "המוסד לא קיים"))</f>
        <v>המוסד לא קיים</v>
      </c>
      <c r="E77" s="176" t="str">
        <f>IFERROR(VLOOKUP(C77,'נתוני רישום ומצבת'!B:G,6,0),"")</f>
        <v/>
      </c>
      <c r="F77" s="281" t="str">
        <f>IFERROR(VLOOKUP(C77,'נתוני רישום ומצבת'!B:K,10,0)," ")</f>
        <v xml:space="preserve"> </v>
      </c>
      <c r="G77" s="443" t="str">
        <f>IFERROR(VLOOKUP(C77,'נתוני רישום ומצבת'!B:E,4,0)," ")</f>
        <v xml:space="preserve"> </v>
      </c>
      <c r="H77" s="444" t="str">
        <f>IFERROR(VLOOKUP(C77,'נתוני רישום ומצבת'!B:K,7,0),"")</f>
        <v/>
      </c>
      <c r="I77" s="180" t="str">
        <f t="shared" si="0"/>
        <v/>
      </c>
      <c r="J77" s="443" t="str">
        <f>IFERROR(VLOOKUP(C77,'נתוני רישום ומצבת'!B:I,5,0)," ")</f>
        <v xml:space="preserve"> </v>
      </c>
      <c r="K77" s="443" t="str">
        <f>IFERROR(VLOOKUP(C77,'נתוני רישום ומצבת'!B:I,8,0),"")</f>
        <v/>
      </c>
      <c r="L77" s="284">
        <f t="shared" si="1"/>
        <v>0</v>
      </c>
      <c r="M77" s="283" t="str">
        <f t="shared" si="5"/>
        <v>-</v>
      </c>
    </row>
    <row r="78" spans="2:13" x14ac:dyDescent="0.25">
      <c r="B78" s="280">
        <v>58</v>
      </c>
      <c r="C78" s="549" cm="1">
        <f t="array" ref="C78">IFERROR(
   INDEX('נתוני רישום ומצבת'!$B:$B,
      SMALL(
         IF(('נתוני רישום ומצבת'!A$2:A$2998='נתונים כלליים (1)'!$C$5),
         ROW('נתוני רישום ומצבת'!A$2:A$2998)),
      ROW(A58))
   ),
"")</f>
        <v>0</v>
      </c>
      <c r="D78" s="549" t="str">
        <f>IF(C78="", "",
   IFERROR(
      IF(VLOOKUP(C78, 'נתוני רישום ומצבת'!B:J, 9, FALSE) = $F$4,
         VLOOKUP(C78, 'נתוני רישום ומצבת'!B:J, 3, FALSE),
         "המוסד לא קיים ברשות"),
   "המוסד לא קיים"))</f>
        <v>המוסד לא קיים</v>
      </c>
      <c r="E78" s="176" t="str">
        <f>IFERROR(VLOOKUP(C78,'נתוני רישום ומצבת'!B:G,6,0),"")</f>
        <v/>
      </c>
      <c r="F78" s="281" t="str">
        <f>IFERROR(VLOOKUP(C78,'נתוני רישום ומצבת'!B:K,10,0)," ")</f>
        <v xml:space="preserve"> </v>
      </c>
      <c r="G78" s="443" t="str">
        <f>IFERROR(VLOOKUP(C78,'נתוני רישום ומצבת'!B:E,4,0)," ")</f>
        <v xml:space="preserve"> </v>
      </c>
      <c r="H78" s="444" t="str">
        <f>IFERROR(VLOOKUP(C78,'נתוני רישום ומצבת'!B:K,7,0),"")</f>
        <v/>
      </c>
      <c r="I78" s="180" t="str">
        <f t="shared" si="0"/>
        <v/>
      </c>
      <c r="J78" s="443" t="str">
        <f>IFERROR(VLOOKUP(C78,'נתוני רישום ומצבת'!B:I,5,0)," ")</f>
        <v xml:space="preserve"> </v>
      </c>
      <c r="K78" s="443" t="str">
        <f>IFERROR(VLOOKUP(C78,'נתוני רישום ומצבת'!B:I,8,0),"")</f>
        <v/>
      </c>
      <c r="L78" s="284">
        <f t="shared" si="1"/>
        <v>0</v>
      </c>
      <c r="M78" s="283" t="str">
        <f t="shared" ref="M78:M141" si="6">IF(L78&gt;149,"כן","-")</f>
        <v>-</v>
      </c>
    </row>
    <row r="79" spans="2:13" x14ac:dyDescent="0.25">
      <c r="B79" s="280">
        <v>59</v>
      </c>
      <c r="C79" s="549" cm="1">
        <f t="array" ref="C79">IFERROR(
   INDEX('נתוני רישום ומצבת'!$B:$B,
      SMALL(
         IF(('נתוני רישום ומצבת'!A$2:A$2998='נתונים כלליים (1)'!$C$5),
         ROW('נתוני רישום ומצבת'!A$2:A$2998)),
      ROW(A59))
   ),
"")</f>
        <v>0</v>
      </c>
      <c r="D79" s="549" t="str">
        <f>IF(C79="", "",
   IFERROR(
      IF(VLOOKUP(C79, 'נתוני רישום ומצבת'!B:J, 9, FALSE) = $F$4,
         VLOOKUP(C79, 'נתוני רישום ומצבת'!B:J, 3, FALSE),
         "המוסד לא קיים ברשות"),
   "המוסד לא קיים"))</f>
        <v>המוסד לא קיים</v>
      </c>
      <c r="E79" s="176" t="str">
        <f>IFERROR(VLOOKUP(C79,'נתוני רישום ומצבת'!B:G,6,0),"")</f>
        <v/>
      </c>
      <c r="F79" s="281" t="str">
        <f>IFERROR(VLOOKUP(C79,'נתוני רישום ומצבת'!B:K,10,0)," ")</f>
        <v xml:space="preserve"> </v>
      </c>
      <c r="G79" s="443" t="str">
        <f>IFERROR(VLOOKUP(C79,'נתוני רישום ומצבת'!B:E,4,0)," ")</f>
        <v xml:space="preserve"> </v>
      </c>
      <c r="H79" s="444" t="str">
        <f>IFERROR(VLOOKUP(C79,'נתוני רישום ומצבת'!B:K,7,0),"")</f>
        <v/>
      </c>
      <c r="I79" s="180" t="str">
        <f t="shared" si="0"/>
        <v/>
      </c>
      <c r="J79" s="443" t="str">
        <f>IFERROR(VLOOKUP(C79,'נתוני רישום ומצבת'!B:I,5,0)," ")</f>
        <v xml:space="preserve"> </v>
      </c>
      <c r="K79" s="443" t="str">
        <f>IFERROR(VLOOKUP(C79,'נתוני רישום ומצבת'!B:I,8,0),"")</f>
        <v/>
      </c>
      <c r="L79" s="284">
        <f t="shared" si="1"/>
        <v>0</v>
      </c>
      <c r="M79" s="283" t="str">
        <f t="shared" si="6"/>
        <v>-</v>
      </c>
    </row>
    <row r="80" spans="2:13" x14ac:dyDescent="0.25">
      <c r="B80" s="280">
        <v>60</v>
      </c>
      <c r="C80" s="549" cm="1">
        <f t="array" ref="C80">IFERROR(
   INDEX('נתוני רישום ומצבת'!$B:$B,
      SMALL(
         IF(('נתוני רישום ומצבת'!A$2:A$2998='נתונים כלליים (1)'!$C$5),
         ROW('נתוני רישום ומצבת'!A$2:A$2998)),
      ROW(A60))
   ),
"")</f>
        <v>0</v>
      </c>
      <c r="D80" s="549" t="str">
        <f>IF(C80="", "",
   IFERROR(
      IF(VLOOKUP(C80, 'נתוני רישום ומצבת'!B:J, 9, FALSE) = $F$4,
         VLOOKUP(C80, 'נתוני רישום ומצבת'!B:J, 3, FALSE),
         "המוסד לא קיים ברשות"),
   "המוסד לא קיים"))</f>
        <v>המוסד לא קיים</v>
      </c>
      <c r="E80" s="176" t="str">
        <f>IFERROR(VLOOKUP(C80,'נתוני רישום ומצבת'!B:G,6,0),"")</f>
        <v/>
      </c>
      <c r="F80" s="281" t="str">
        <f>IFERROR(VLOOKUP(C80,'נתוני רישום ומצבת'!B:K,10,0)," ")</f>
        <v xml:space="preserve"> </v>
      </c>
      <c r="G80" s="443" t="str">
        <f>IFERROR(VLOOKUP(C80,'נתוני רישום ומצבת'!B:E,4,0)," ")</f>
        <v xml:space="preserve"> </v>
      </c>
      <c r="H80" s="444" t="str">
        <f>IFERROR(VLOOKUP(C80,'נתוני רישום ומצבת'!B:K,7,0),"")</f>
        <v/>
      </c>
      <c r="I80" s="180" t="str">
        <f t="shared" si="0"/>
        <v/>
      </c>
      <c r="J80" s="443" t="str">
        <f>IFERROR(VLOOKUP(C80,'נתוני רישום ומצבת'!B:I,5,0)," ")</f>
        <v xml:space="preserve"> </v>
      </c>
      <c r="K80" s="443" t="str">
        <f>IFERROR(VLOOKUP(C80,'נתוני רישום ומצבת'!B:I,8,0),"")</f>
        <v/>
      </c>
      <c r="L80" s="284">
        <f t="shared" si="1"/>
        <v>0</v>
      </c>
      <c r="M80" s="283" t="str">
        <f t="shared" si="6"/>
        <v>-</v>
      </c>
    </row>
    <row r="81" spans="2:13" x14ac:dyDescent="0.25">
      <c r="B81" s="280">
        <v>61</v>
      </c>
      <c r="C81" s="549" cm="1">
        <f t="array" ref="C81">IFERROR(
   INDEX('נתוני רישום ומצבת'!$B:$B,
      SMALL(
         IF(('נתוני רישום ומצבת'!A$2:A$2998='נתונים כלליים (1)'!$C$5),
         ROW('נתוני רישום ומצבת'!A$2:A$2998)),
      ROW(A61))
   ),
"")</f>
        <v>0</v>
      </c>
      <c r="D81" s="549" t="str">
        <f>IF(C81="", "",
   IFERROR(
      IF(VLOOKUP(C81, 'נתוני רישום ומצבת'!B:J, 9, FALSE) = $F$4,
         VLOOKUP(C81, 'נתוני רישום ומצבת'!B:J, 3, FALSE),
         "המוסד לא קיים ברשות"),
   "המוסד לא קיים"))</f>
        <v>המוסד לא קיים</v>
      </c>
      <c r="E81" s="176" t="str">
        <f>IFERROR(VLOOKUP(C81,'נתוני רישום ומצבת'!B:G,6,0),"")</f>
        <v/>
      </c>
      <c r="F81" s="281" t="str">
        <f>IFERROR(VLOOKUP(C81,'נתוני רישום ומצבת'!B:K,10,0)," ")</f>
        <v xml:space="preserve"> </v>
      </c>
      <c r="G81" s="443" t="str">
        <f>IFERROR(VLOOKUP(C81,'נתוני רישום ומצבת'!B:E,4,0)," ")</f>
        <v xml:space="preserve"> </v>
      </c>
      <c r="H81" s="444" t="str">
        <f>IFERROR(VLOOKUP(C81,'נתוני רישום ומצבת'!B:K,7,0),"")</f>
        <v/>
      </c>
      <c r="I81" s="180" t="str">
        <f t="shared" si="0"/>
        <v/>
      </c>
      <c r="J81" s="443" t="str">
        <f>IFERROR(VLOOKUP(C81,'נתוני רישום ומצבת'!B:I,5,0)," ")</f>
        <v xml:space="preserve"> </v>
      </c>
      <c r="K81" s="443" t="str">
        <f>IFERROR(VLOOKUP(C81,'נתוני רישום ומצבת'!B:I,8,0),"")</f>
        <v/>
      </c>
      <c r="L81" s="284">
        <f t="shared" si="1"/>
        <v>0</v>
      </c>
      <c r="M81" s="283" t="str">
        <f t="shared" si="6"/>
        <v>-</v>
      </c>
    </row>
    <row r="82" spans="2:13" x14ac:dyDescent="0.25">
      <c r="B82" s="280">
        <v>62</v>
      </c>
      <c r="C82" s="549" cm="1">
        <f t="array" ref="C82">IFERROR(
   INDEX('נתוני רישום ומצבת'!$B:$B,
      SMALL(
         IF(('נתוני רישום ומצבת'!A$2:A$2998='נתונים כלליים (1)'!$C$5),
         ROW('נתוני רישום ומצבת'!A$2:A$2998)),
      ROW(A62))
   ),
"")</f>
        <v>0</v>
      </c>
      <c r="D82" s="549" t="str">
        <f>IF(C82="", "",
   IFERROR(
      IF(VLOOKUP(C82, 'נתוני רישום ומצבת'!B:J, 9, FALSE) = $F$4,
         VLOOKUP(C82, 'נתוני רישום ומצבת'!B:J, 3, FALSE),
         "המוסד לא קיים ברשות"),
   "המוסד לא קיים"))</f>
        <v>המוסד לא קיים</v>
      </c>
      <c r="E82" s="176" t="str">
        <f>IFERROR(VLOOKUP(C82,'נתוני רישום ומצבת'!B:G,6,0),"")</f>
        <v/>
      </c>
      <c r="F82" s="281" t="str">
        <f>IFERROR(VLOOKUP(C82,'נתוני רישום ומצבת'!B:K,10,0)," ")</f>
        <v xml:space="preserve"> </v>
      </c>
      <c r="G82" s="443" t="str">
        <f>IFERROR(VLOOKUP(C82,'נתוני רישום ומצבת'!B:E,4,0)," ")</f>
        <v xml:space="preserve"> </v>
      </c>
      <c r="H82" s="444" t="str">
        <f>IFERROR(VLOOKUP(C82,'נתוני רישום ומצבת'!B:K,7,0),"")</f>
        <v/>
      </c>
      <c r="I82" s="180" t="str">
        <f t="shared" si="0"/>
        <v/>
      </c>
      <c r="J82" s="443" t="str">
        <f>IFERROR(VLOOKUP(C82,'נתוני רישום ומצבת'!B:I,5,0)," ")</f>
        <v xml:space="preserve"> </v>
      </c>
      <c r="K82" s="443" t="str">
        <f>IFERROR(VLOOKUP(C82,'נתוני רישום ומצבת'!B:I,8,0),"")</f>
        <v/>
      </c>
      <c r="L82" s="284">
        <f t="shared" si="1"/>
        <v>0</v>
      </c>
      <c r="M82" s="283" t="str">
        <f t="shared" si="6"/>
        <v>-</v>
      </c>
    </row>
    <row r="83" spans="2:13" x14ac:dyDescent="0.25">
      <c r="B83" s="280">
        <v>63</v>
      </c>
      <c r="C83" s="549" cm="1">
        <f t="array" ref="C83">IFERROR(
   INDEX('נתוני רישום ומצבת'!$B:$B,
      SMALL(
         IF(('נתוני רישום ומצבת'!A$2:A$2998='נתונים כלליים (1)'!$C$5),
         ROW('נתוני רישום ומצבת'!A$2:A$2998)),
      ROW(A63))
   ),
"")</f>
        <v>0</v>
      </c>
      <c r="D83" s="549" t="str">
        <f>IF(C83="", "",
   IFERROR(
      IF(VLOOKUP(C83, 'נתוני רישום ומצבת'!B:J, 9, FALSE) = $F$4,
         VLOOKUP(C83, 'נתוני רישום ומצבת'!B:J, 3, FALSE),
         "המוסד לא קיים ברשות"),
   "המוסד לא קיים"))</f>
        <v>המוסד לא קיים</v>
      </c>
      <c r="E83" s="176" t="str">
        <f>IFERROR(VLOOKUP(C83,'נתוני רישום ומצבת'!B:G,6,0),"")</f>
        <v/>
      </c>
      <c r="F83" s="281" t="str">
        <f>IFERROR(VLOOKUP(C83,'נתוני רישום ומצבת'!B:K,10,0)," ")</f>
        <v xml:space="preserve"> </v>
      </c>
      <c r="G83" s="443" t="str">
        <f>IFERROR(VLOOKUP(C83,'נתוני רישום ומצבת'!B:E,4,0)," ")</f>
        <v xml:space="preserve"> </v>
      </c>
      <c r="H83" s="444" t="str">
        <f>IFERROR(VLOOKUP(C83,'נתוני רישום ומצבת'!B:K,7,0),"")</f>
        <v/>
      </c>
      <c r="I83" s="180" t="str">
        <f t="shared" si="0"/>
        <v/>
      </c>
      <c r="J83" s="443" t="str">
        <f>IFERROR(VLOOKUP(C83,'נתוני רישום ומצבת'!B:I,5,0)," ")</f>
        <v xml:space="preserve"> </v>
      </c>
      <c r="K83" s="443" t="str">
        <f>IFERROR(VLOOKUP(C83,'נתוני רישום ומצבת'!B:I,8,0),"")</f>
        <v/>
      </c>
      <c r="L83" s="284">
        <f t="shared" si="1"/>
        <v>0</v>
      </c>
      <c r="M83" s="283" t="str">
        <f t="shared" si="6"/>
        <v>-</v>
      </c>
    </row>
    <row r="84" spans="2:13" x14ac:dyDescent="0.25">
      <c r="B84" s="280">
        <v>64</v>
      </c>
      <c r="C84" s="549" cm="1">
        <f t="array" ref="C84">IFERROR(
   INDEX('נתוני רישום ומצבת'!$B:$B,
      SMALL(
         IF(('נתוני רישום ומצבת'!A$2:A$2998='נתונים כלליים (1)'!$C$5),
         ROW('נתוני רישום ומצבת'!A$2:A$2998)),
      ROW(A64))
   ),
"")</f>
        <v>0</v>
      </c>
      <c r="D84" s="549" t="str">
        <f>IF(C84="", "",
   IFERROR(
      IF(VLOOKUP(C84, 'נתוני רישום ומצבת'!B:J, 9, FALSE) = $F$4,
         VLOOKUP(C84, 'נתוני רישום ומצבת'!B:J, 3, FALSE),
         "המוסד לא קיים ברשות"),
   "המוסד לא קיים"))</f>
        <v>המוסד לא קיים</v>
      </c>
      <c r="E84" s="176" t="str">
        <f>IFERROR(VLOOKUP(C84,'נתוני רישום ומצבת'!B:G,6,0),"")</f>
        <v/>
      </c>
      <c r="F84" s="281" t="str">
        <f>IFERROR(VLOOKUP(C84,'נתוני רישום ומצבת'!B:K,10,0)," ")</f>
        <v xml:space="preserve"> </v>
      </c>
      <c r="G84" s="443" t="str">
        <f>IFERROR(VLOOKUP(C84,'נתוני רישום ומצבת'!B:E,4,0)," ")</f>
        <v xml:space="preserve"> </v>
      </c>
      <c r="H84" s="444" t="str">
        <f>IFERROR(VLOOKUP(C84,'נתוני רישום ומצבת'!B:K,7,0),"")</f>
        <v/>
      </c>
      <c r="I84" s="180" t="str">
        <f t="shared" si="0"/>
        <v/>
      </c>
      <c r="J84" s="443" t="str">
        <f>IFERROR(VLOOKUP(C84,'נתוני רישום ומצבת'!B:I,5,0)," ")</f>
        <v xml:space="preserve"> </v>
      </c>
      <c r="K84" s="443" t="str">
        <f>IFERROR(VLOOKUP(C84,'נתוני רישום ומצבת'!B:I,8,0),"")</f>
        <v/>
      </c>
      <c r="L84" s="284">
        <f t="shared" si="1"/>
        <v>0</v>
      </c>
      <c r="M84" s="283" t="str">
        <f t="shared" si="6"/>
        <v>-</v>
      </c>
    </row>
    <row r="85" spans="2:13" x14ac:dyDescent="0.25">
      <c r="B85" s="280">
        <v>65</v>
      </c>
      <c r="C85" s="549" cm="1">
        <f t="array" ref="C85">IFERROR(
   INDEX('נתוני רישום ומצבת'!$B:$B,
      SMALL(
         IF(('נתוני רישום ומצבת'!A$2:A$2998='נתונים כלליים (1)'!$C$5),
         ROW('נתוני רישום ומצבת'!A$2:A$2998)),
      ROW(A65))
   ),
"")</f>
        <v>0</v>
      </c>
      <c r="D85" s="549" t="str">
        <f>IF(C85="", "",
   IFERROR(
      IF(VLOOKUP(C85, 'נתוני רישום ומצבת'!B:J, 9, FALSE) = $F$4,
         VLOOKUP(C85, 'נתוני רישום ומצבת'!B:J, 3, FALSE),
         "המוסד לא קיים ברשות"),
   "המוסד לא קיים"))</f>
        <v>המוסד לא קיים</v>
      </c>
      <c r="E85" s="176" t="str">
        <f>IFERROR(VLOOKUP(C85,'נתוני רישום ומצבת'!B:G,6,0),"")</f>
        <v/>
      </c>
      <c r="F85" s="281" t="str">
        <f>IFERROR(VLOOKUP(C85,'נתוני רישום ומצבת'!B:K,10,0)," ")</f>
        <v xml:space="preserve"> </v>
      </c>
      <c r="G85" s="443" t="str">
        <f>IFERROR(VLOOKUP(C85,'נתוני רישום ומצבת'!B:E,4,0)," ")</f>
        <v xml:space="preserve"> </v>
      </c>
      <c r="H85" s="444" t="str">
        <f>IFERROR(VLOOKUP(C85,'נתוני רישום ומצבת'!B:K,7,0),"")</f>
        <v/>
      </c>
      <c r="I85" s="180" t="str">
        <f t="shared" ref="I85:I148" si="7">IFERROR(H85+G85,"")</f>
        <v/>
      </c>
      <c r="J85" s="443" t="str">
        <f>IFERROR(VLOOKUP(C85,'נתוני רישום ומצבת'!B:I,5,0)," ")</f>
        <v xml:space="preserve"> </v>
      </c>
      <c r="K85" s="443" t="str">
        <f>IFERROR(VLOOKUP(C85,'נתוני רישום ומצבת'!B:I,8,0),"")</f>
        <v/>
      </c>
      <c r="L85" s="284">
        <f t="shared" si="1"/>
        <v>0</v>
      </c>
      <c r="M85" s="283" t="str">
        <f t="shared" si="6"/>
        <v>-</v>
      </c>
    </row>
    <row r="86" spans="2:13" x14ac:dyDescent="0.25">
      <c r="B86" s="280">
        <v>66</v>
      </c>
      <c r="C86" s="549" cm="1">
        <f t="array" ref="C86">IFERROR(
   INDEX('נתוני רישום ומצבת'!$B:$B,
      SMALL(
         IF(('נתוני רישום ומצבת'!A$2:A$2998='נתונים כלליים (1)'!$C$5),
         ROW('נתוני רישום ומצבת'!A$2:A$2998)),
      ROW(A66))
   ),
"")</f>
        <v>0</v>
      </c>
      <c r="D86" s="549" t="str">
        <f>IF(C86="", "",
   IFERROR(
      IF(VLOOKUP(C86, 'נתוני רישום ומצבת'!B:J, 9, FALSE) = $F$4,
         VLOOKUP(C86, 'נתוני רישום ומצבת'!B:J, 3, FALSE),
         "המוסד לא קיים ברשות"),
   "המוסד לא קיים"))</f>
        <v>המוסד לא קיים</v>
      </c>
      <c r="E86" s="176" t="str">
        <f>IFERROR(VLOOKUP(C86,'נתוני רישום ומצבת'!B:G,6,0),"")</f>
        <v/>
      </c>
      <c r="F86" s="281" t="str">
        <f>IFERROR(VLOOKUP(C86,'נתוני רישום ומצבת'!B:K,10,0)," ")</f>
        <v xml:space="preserve"> </v>
      </c>
      <c r="G86" s="443" t="str">
        <f>IFERROR(VLOOKUP(C86,'נתוני רישום ומצבת'!B:E,4,0)," ")</f>
        <v xml:space="preserve"> </v>
      </c>
      <c r="H86" s="444" t="str">
        <f>IFERROR(VLOOKUP(C86,'נתוני רישום ומצבת'!B:K,7,0),"")</f>
        <v/>
      </c>
      <c r="I86" s="180" t="str">
        <f t="shared" si="7"/>
        <v/>
      </c>
      <c r="J86" s="443" t="str">
        <f>IFERROR(VLOOKUP(C86,'נתוני רישום ומצבת'!B:I,5,0)," ")</f>
        <v xml:space="preserve"> </v>
      </c>
      <c r="K86" s="443" t="str">
        <f>IFERROR(VLOOKUP(C86,'נתוני רישום ומצבת'!B:I,8,0),"")</f>
        <v/>
      </c>
      <c r="L86" s="284">
        <f t="shared" ref="L86:L149" si="8">IFERROR(K86+J86,0)</f>
        <v>0</v>
      </c>
      <c r="M86" s="283" t="str">
        <f t="shared" si="6"/>
        <v>-</v>
      </c>
    </row>
    <row r="87" spans="2:13" x14ac:dyDescent="0.25">
      <c r="B87" s="280">
        <v>67</v>
      </c>
      <c r="C87" s="549" cm="1">
        <f t="array" ref="C87">IFERROR(
   INDEX('נתוני רישום ומצבת'!$B:$B,
      SMALL(
         IF(('נתוני רישום ומצבת'!A$2:A$2998='נתונים כלליים (1)'!$C$5),
         ROW('נתוני רישום ומצבת'!A$2:A$2998)),
      ROW(A67))
   ),
"")</f>
        <v>0</v>
      </c>
      <c r="D87" s="549" t="str">
        <f>IF(C87="", "",
   IFERROR(
      IF(VLOOKUP(C87, 'נתוני רישום ומצבת'!B:J, 9, FALSE) = $F$4,
         VLOOKUP(C87, 'נתוני רישום ומצבת'!B:J, 3, FALSE),
         "המוסד לא קיים ברשות"),
   "המוסד לא קיים"))</f>
        <v>המוסד לא קיים</v>
      </c>
      <c r="E87" s="176" t="str">
        <f>IFERROR(VLOOKUP(C87,'נתוני רישום ומצבת'!B:G,6,0),"")</f>
        <v/>
      </c>
      <c r="F87" s="281" t="str">
        <f>IFERROR(VLOOKUP(C87,'נתוני רישום ומצבת'!B:K,10,0)," ")</f>
        <v xml:space="preserve"> </v>
      </c>
      <c r="G87" s="443" t="str">
        <f>IFERROR(VLOOKUP(C87,'נתוני רישום ומצבת'!B:E,4,0)," ")</f>
        <v xml:space="preserve"> </v>
      </c>
      <c r="H87" s="444" t="str">
        <f>IFERROR(VLOOKUP(C87,'נתוני רישום ומצבת'!B:K,7,0),"")</f>
        <v/>
      </c>
      <c r="I87" s="180" t="str">
        <f t="shared" si="7"/>
        <v/>
      </c>
      <c r="J87" s="443" t="str">
        <f>IFERROR(VLOOKUP(C87,'נתוני רישום ומצבת'!B:I,5,0)," ")</f>
        <v xml:space="preserve"> </v>
      </c>
      <c r="K87" s="443" t="str">
        <f>IFERROR(VLOOKUP(C87,'נתוני רישום ומצבת'!B:I,8,0),"")</f>
        <v/>
      </c>
      <c r="L87" s="284">
        <f t="shared" si="8"/>
        <v>0</v>
      </c>
      <c r="M87" s="283" t="str">
        <f t="shared" si="6"/>
        <v>-</v>
      </c>
    </row>
    <row r="88" spans="2:13" x14ac:dyDescent="0.25">
      <c r="B88" s="280">
        <v>68</v>
      </c>
      <c r="C88" s="549" cm="1">
        <f t="array" ref="C88">IFERROR(
   INDEX('נתוני רישום ומצבת'!$B:$B,
      SMALL(
         IF(('נתוני רישום ומצבת'!A$2:A$2998='נתונים כלליים (1)'!$C$5),
         ROW('נתוני רישום ומצבת'!A$2:A$2998)),
      ROW(A68))
   ),
"")</f>
        <v>0</v>
      </c>
      <c r="D88" s="549" t="str">
        <f>IF(C88="", "",
   IFERROR(
      IF(VLOOKUP(C88, 'נתוני רישום ומצבת'!B:J, 9, FALSE) = $F$4,
         VLOOKUP(C88, 'נתוני רישום ומצבת'!B:J, 3, FALSE),
         "המוסד לא קיים ברשות"),
   "המוסד לא קיים"))</f>
        <v>המוסד לא קיים</v>
      </c>
      <c r="E88" s="176" t="str">
        <f>IFERROR(VLOOKUP(C88,'נתוני רישום ומצבת'!B:G,6,0),"")</f>
        <v/>
      </c>
      <c r="F88" s="281" t="str">
        <f>IFERROR(VLOOKUP(C88,'נתוני רישום ומצבת'!B:K,10,0)," ")</f>
        <v xml:space="preserve"> </v>
      </c>
      <c r="G88" s="443" t="str">
        <f>IFERROR(VLOOKUP(C88,'נתוני רישום ומצבת'!B:E,4,0)," ")</f>
        <v xml:space="preserve"> </v>
      </c>
      <c r="H88" s="444" t="str">
        <f>IFERROR(VLOOKUP(C88,'נתוני רישום ומצבת'!B:K,7,0),"")</f>
        <v/>
      </c>
      <c r="I88" s="180" t="str">
        <f t="shared" si="7"/>
        <v/>
      </c>
      <c r="J88" s="443" t="str">
        <f>IFERROR(VLOOKUP(C88,'נתוני רישום ומצבת'!B:I,5,0)," ")</f>
        <v xml:space="preserve"> </v>
      </c>
      <c r="K88" s="443" t="str">
        <f>IFERROR(VLOOKUP(C88,'נתוני רישום ומצבת'!B:I,8,0),"")</f>
        <v/>
      </c>
      <c r="L88" s="284">
        <f t="shared" si="8"/>
        <v>0</v>
      </c>
      <c r="M88" s="283" t="str">
        <f t="shared" si="6"/>
        <v>-</v>
      </c>
    </row>
    <row r="89" spans="2:13" x14ac:dyDescent="0.25">
      <c r="B89" s="280">
        <v>69</v>
      </c>
      <c r="C89" s="549" cm="1">
        <f t="array" ref="C89">IFERROR(
   INDEX('נתוני רישום ומצבת'!$B:$B,
      SMALL(
         IF(('נתוני רישום ומצבת'!A$2:A$2998='נתונים כלליים (1)'!$C$5),
         ROW('נתוני רישום ומצבת'!A$2:A$2998)),
      ROW(A69))
   ),
"")</f>
        <v>0</v>
      </c>
      <c r="D89" s="549" t="str">
        <f>IF(C89="", "",
   IFERROR(
      IF(VLOOKUP(C89, 'נתוני רישום ומצבת'!B:J, 9, FALSE) = $F$4,
         VLOOKUP(C89, 'נתוני רישום ומצבת'!B:J, 3, FALSE),
         "המוסד לא קיים ברשות"),
   "המוסד לא קיים"))</f>
        <v>המוסד לא קיים</v>
      </c>
      <c r="E89" s="176" t="str">
        <f>IFERROR(VLOOKUP(C89,'נתוני רישום ומצבת'!B:G,6,0),"")</f>
        <v/>
      </c>
      <c r="F89" s="281" t="str">
        <f>IFERROR(VLOOKUP(C89,'נתוני רישום ומצבת'!B:K,10,0)," ")</f>
        <v xml:space="preserve"> </v>
      </c>
      <c r="G89" s="443" t="str">
        <f>IFERROR(VLOOKUP(C89,'נתוני רישום ומצבת'!B:E,4,0)," ")</f>
        <v xml:space="preserve"> </v>
      </c>
      <c r="H89" s="444" t="str">
        <f>IFERROR(VLOOKUP(C89,'נתוני רישום ומצבת'!B:K,7,0),"")</f>
        <v/>
      </c>
      <c r="I89" s="180" t="str">
        <f t="shared" si="7"/>
        <v/>
      </c>
      <c r="J89" s="443" t="str">
        <f>IFERROR(VLOOKUP(C89,'נתוני רישום ומצבת'!B:I,5,0)," ")</f>
        <v xml:space="preserve"> </v>
      </c>
      <c r="K89" s="443" t="str">
        <f>IFERROR(VLOOKUP(C89,'נתוני רישום ומצבת'!B:I,8,0),"")</f>
        <v/>
      </c>
      <c r="L89" s="284">
        <f t="shared" si="8"/>
        <v>0</v>
      </c>
      <c r="M89" s="283" t="str">
        <f t="shared" si="6"/>
        <v>-</v>
      </c>
    </row>
    <row r="90" spans="2:13" x14ac:dyDescent="0.25">
      <c r="B90" s="280">
        <v>70</v>
      </c>
      <c r="C90" s="549" cm="1">
        <f t="array" ref="C90">IFERROR(
   INDEX('נתוני רישום ומצבת'!$B:$B,
      SMALL(
         IF(('נתוני רישום ומצבת'!A$2:A$2998='נתונים כלליים (1)'!$C$5),
         ROW('נתוני רישום ומצבת'!A$2:A$2998)),
      ROW(A70))
   ),
"")</f>
        <v>0</v>
      </c>
      <c r="D90" s="549" t="str">
        <f>IF(C90="", "",
   IFERROR(
      IF(VLOOKUP(C90, 'נתוני רישום ומצבת'!B:J, 9, FALSE) = $F$4,
         VLOOKUP(C90, 'נתוני רישום ומצבת'!B:J, 3, FALSE),
         "המוסד לא קיים ברשות"),
   "המוסד לא קיים"))</f>
        <v>המוסד לא קיים</v>
      </c>
      <c r="E90" s="176" t="str">
        <f>IFERROR(VLOOKUP(C90,'נתוני רישום ומצבת'!B:G,6,0),"")</f>
        <v/>
      </c>
      <c r="F90" s="281" t="str">
        <f>IFERROR(VLOOKUP(C90,'נתוני רישום ומצבת'!B:K,10,0)," ")</f>
        <v xml:space="preserve"> </v>
      </c>
      <c r="G90" s="443" t="str">
        <f>IFERROR(VLOOKUP(C90,'נתוני רישום ומצבת'!B:E,4,0)," ")</f>
        <v xml:space="preserve"> </v>
      </c>
      <c r="H90" s="444" t="str">
        <f>IFERROR(VLOOKUP(C90,'נתוני רישום ומצבת'!B:K,7,0),"")</f>
        <v/>
      </c>
      <c r="I90" s="180" t="str">
        <f t="shared" si="7"/>
        <v/>
      </c>
      <c r="J90" s="443" t="str">
        <f>IFERROR(VLOOKUP(C90,'נתוני רישום ומצבת'!B:I,5,0)," ")</f>
        <v xml:space="preserve"> </v>
      </c>
      <c r="K90" s="443" t="str">
        <f>IFERROR(VLOOKUP(C90,'נתוני רישום ומצבת'!B:I,8,0),"")</f>
        <v/>
      </c>
      <c r="L90" s="284">
        <f t="shared" si="8"/>
        <v>0</v>
      </c>
      <c r="M90" s="283" t="str">
        <f t="shared" si="6"/>
        <v>-</v>
      </c>
    </row>
    <row r="91" spans="2:13" x14ac:dyDescent="0.25">
      <c r="B91" s="280">
        <v>71</v>
      </c>
      <c r="C91" s="549" cm="1">
        <f t="array" ref="C91">IFERROR(
   INDEX('נתוני רישום ומצבת'!$B:$B,
      SMALL(
         IF(('נתוני רישום ומצבת'!A$2:A$2998='נתונים כלליים (1)'!$C$5),
         ROW('נתוני רישום ומצבת'!A$2:A$2998)),
      ROW(A71))
   ),
"")</f>
        <v>0</v>
      </c>
      <c r="D91" s="549" t="str">
        <f>IF(C91="", "",
   IFERROR(
      IF(VLOOKUP(C91, 'נתוני רישום ומצבת'!B:J, 9, FALSE) = $F$4,
         VLOOKUP(C91, 'נתוני רישום ומצבת'!B:J, 3, FALSE),
         "המוסד לא קיים ברשות"),
   "המוסד לא קיים"))</f>
        <v>המוסד לא קיים</v>
      </c>
      <c r="E91" s="176" t="str">
        <f>IFERROR(VLOOKUP(C91,'נתוני רישום ומצבת'!B:G,6,0),"")</f>
        <v/>
      </c>
      <c r="F91" s="281" t="str">
        <f>IFERROR(VLOOKUP(C91,'נתוני רישום ומצבת'!B:K,10,0)," ")</f>
        <v xml:space="preserve"> </v>
      </c>
      <c r="G91" s="443" t="str">
        <f>IFERROR(VLOOKUP(C91,'נתוני רישום ומצבת'!B:E,4,0)," ")</f>
        <v xml:space="preserve"> </v>
      </c>
      <c r="H91" s="444" t="str">
        <f>IFERROR(VLOOKUP(C91,'נתוני רישום ומצבת'!B:K,7,0),"")</f>
        <v/>
      </c>
      <c r="I91" s="180" t="str">
        <f t="shared" si="7"/>
        <v/>
      </c>
      <c r="J91" s="443" t="str">
        <f>IFERROR(VLOOKUP(C91,'נתוני רישום ומצבת'!B:I,5,0)," ")</f>
        <v xml:space="preserve"> </v>
      </c>
      <c r="K91" s="443" t="str">
        <f>IFERROR(VLOOKUP(C91,'נתוני רישום ומצבת'!B:I,8,0),"")</f>
        <v/>
      </c>
      <c r="L91" s="284">
        <f t="shared" si="8"/>
        <v>0</v>
      </c>
      <c r="M91" s="283" t="str">
        <f t="shared" si="6"/>
        <v>-</v>
      </c>
    </row>
    <row r="92" spans="2:13" x14ac:dyDescent="0.25">
      <c r="B92" s="280">
        <v>72</v>
      </c>
      <c r="C92" s="549" cm="1">
        <f t="array" ref="C92">IFERROR(
   INDEX('נתוני רישום ומצבת'!$B:$B,
      SMALL(
         IF(('נתוני רישום ומצבת'!A$2:A$2998='נתונים כלליים (1)'!$C$5),
         ROW('נתוני רישום ומצבת'!A$2:A$2998)),
      ROW(A72))
   ),
"")</f>
        <v>0</v>
      </c>
      <c r="D92" s="549" t="str">
        <f>IF(C92="", "",
   IFERROR(
      IF(VLOOKUP(C92, 'נתוני רישום ומצבת'!B:J, 9, FALSE) = $F$4,
         VLOOKUP(C92, 'נתוני רישום ומצבת'!B:J, 3, FALSE),
         "המוסד לא קיים ברשות"),
   "המוסד לא קיים"))</f>
        <v>המוסד לא קיים</v>
      </c>
      <c r="E92" s="176" t="str">
        <f>IFERROR(VLOOKUP(C92,'נתוני רישום ומצבת'!B:G,6,0),"")</f>
        <v/>
      </c>
      <c r="F92" s="281" t="str">
        <f>IFERROR(VLOOKUP(C92,'נתוני רישום ומצבת'!B:K,10,0)," ")</f>
        <v xml:space="preserve"> </v>
      </c>
      <c r="G92" s="443" t="str">
        <f>IFERROR(VLOOKUP(C92,'נתוני רישום ומצבת'!B:E,4,0)," ")</f>
        <v xml:space="preserve"> </v>
      </c>
      <c r="H92" s="444" t="str">
        <f>IFERROR(VLOOKUP(C92,'נתוני רישום ומצבת'!B:K,7,0),"")</f>
        <v/>
      </c>
      <c r="I92" s="180" t="str">
        <f t="shared" si="7"/>
        <v/>
      </c>
      <c r="J92" s="443" t="str">
        <f>IFERROR(VLOOKUP(C92,'נתוני רישום ומצבת'!B:I,5,0)," ")</f>
        <v xml:space="preserve"> </v>
      </c>
      <c r="K92" s="443" t="str">
        <f>IFERROR(VLOOKUP(C92,'נתוני רישום ומצבת'!B:I,8,0),"")</f>
        <v/>
      </c>
      <c r="L92" s="284">
        <f t="shared" si="8"/>
        <v>0</v>
      </c>
      <c r="M92" s="283" t="str">
        <f t="shared" si="6"/>
        <v>-</v>
      </c>
    </row>
    <row r="93" spans="2:13" x14ac:dyDescent="0.25">
      <c r="B93" s="280">
        <v>73</v>
      </c>
      <c r="C93" s="549" cm="1">
        <f t="array" ref="C93">IFERROR(
   INDEX('נתוני רישום ומצבת'!$B:$B,
      SMALL(
         IF(('נתוני רישום ומצבת'!A$2:A$2998='נתונים כלליים (1)'!$C$5),
         ROW('נתוני רישום ומצבת'!A$2:A$2998)),
      ROW(A73))
   ),
"")</f>
        <v>0</v>
      </c>
      <c r="D93" s="549" t="str">
        <f>IF(C93="", "",
   IFERROR(
      IF(VLOOKUP(C93, 'נתוני רישום ומצבת'!B:J, 9, FALSE) = $F$4,
         VLOOKUP(C93, 'נתוני רישום ומצבת'!B:J, 3, FALSE),
         "המוסד לא קיים ברשות"),
   "המוסד לא קיים"))</f>
        <v>המוסד לא קיים</v>
      </c>
      <c r="E93" s="176" t="str">
        <f>IFERROR(VLOOKUP(C93,'נתוני רישום ומצבת'!B:G,6,0),"")</f>
        <v/>
      </c>
      <c r="F93" s="281" t="str">
        <f>IFERROR(VLOOKUP(C93,'נתוני רישום ומצבת'!B:K,10,0)," ")</f>
        <v xml:space="preserve"> </v>
      </c>
      <c r="G93" s="443" t="str">
        <f>IFERROR(VLOOKUP(C93,'נתוני רישום ומצבת'!B:E,4,0)," ")</f>
        <v xml:space="preserve"> </v>
      </c>
      <c r="H93" s="444" t="str">
        <f>IFERROR(VLOOKUP(C93,'נתוני רישום ומצבת'!B:K,7,0),"")</f>
        <v/>
      </c>
      <c r="I93" s="180" t="str">
        <f t="shared" si="7"/>
        <v/>
      </c>
      <c r="J93" s="443" t="str">
        <f>IFERROR(VLOOKUP(C93,'נתוני רישום ומצבת'!B:I,5,0)," ")</f>
        <v xml:space="preserve"> </v>
      </c>
      <c r="K93" s="443" t="str">
        <f>IFERROR(VLOOKUP(C93,'נתוני רישום ומצבת'!B:I,8,0),"")</f>
        <v/>
      </c>
      <c r="L93" s="284">
        <f t="shared" si="8"/>
        <v>0</v>
      </c>
      <c r="M93" s="283" t="str">
        <f t="shared" si="6"/>
        <v>-</v>
      </c>
    </row>
    <row r="94" spans="2:13" x14ac:dyDescent="0.25">
      <c r="B94" s="280">
        <v>74</v>
      </c>
      <c r="C94" s="549" cm="1">
        <f t="array" ref="C94">IFERROR(
   INDEX('נתוני רישום ומצבת'!$B:$B,
      SMALL(
         IF(('נתוני רישום ומצבת'!A$2:A$2998='נתונים כלליים (1)'!$C$5),
         ROW('נתוני רישום ומצבת'!A$2:A$2998)),
      ROW(A74))
   ),
"")</f>
        <v>0</v>
      </c>
      <c r="D94" s="549" t="str">
        <f>IF(C94="", "",
   IFERROR(
      IF(VLOOKUP(C94, 'נתוני רישום ומצבת'!B:J, 9, FALSE) = $F$4,
         VLOOKUP(C94, 'נתוני רישום ומצבת'!B:J, 3, FALSE),
         "המוסד לא קיים ברשות"),
   "המוסד לא קיים"))</f>
        <v>המוסד לא קיים</v>
      </c>
      <c r="E94" s="176" t="str">
        <f>IFERROR(VLOOKUP(C94,'נתוני רישום ומצבת'!B:G,6,0),"")</f>
        <v/>
      </c>
      <c r="F94" s="281" t="str">
        <f>IFERROR(VLOOKUP(C94,'נתוני רישום ומצבת'!B:K,10,0)," ")</f>
        <v xml:space="preserve"> </v>
      </c>
      <c r="G94" s="443" t="str">
        <f>IFERROR(VLOOKUP(C94,'נתוני רישום ומצבת'!B:E,4,0)," ")</f>
        <v xml:space="preserve"> </v>
      </c>
      <c r="H94" s="444" t="str">
        <f>IFERROR(VLOOKUP(C94,'נתוני רישום ומצבת'!B:K,7,0),"")</f>
        <v/>
      </c>
      <c r="I94" s="180" t="str">
        <f t="shared" si="7"/>
        <v/>
      </c>
      <c r="J94" s="443" t="str">
        <f>IFERROR(VLOOKUP(C94,'נתוני רישום ומצבת'!B:I,5,0)," ")</f>
        <v xml:space="preserve"> </v>
      </c>
      <c r="K94" s="443" t="str">
        <f>IFERROR(VLOOKUP(C94,'נתוני רישום ומצבת'!B:I,8,0),"")</f>
        <v/>
      </c>
      <c r="L94" s="284">
        <f t="shared" si="8"/>
        <v>0</v>
      </c>
      <c r="M94" s="283" t="str">
        <f t="shared" si="6"/>
        <v>-</v>
      </c>
    </row>
    <row r="95" spans="2:13" x14ac:dyDescent="0.25">
      <c r="B95" s="280">
        <v>75</v>
      </c>
      <c r="C95" s="549" cm="1">
        <f t="array" ref="C95">IFERROR(
   INDEX('נתוני רישום ומצבת'!$B:$B,
      SMALL(
         IF(('נתוני רישום ומצבת'!A$2:A$2998='נתונים כלליים (1)'!$C$5),
         ROW('נתוני רישום ומצבת'!A$2:A$2998)),
      ROW(A75))
   ),
"")</f>
        <v>0</v>
      </c>
      <c r="D95" s="549" t="str">
        <f>IF(C95="", "",
   IFERROR(
      IF(VLOOKUP(C95, 'נתוני רישום ומצבת'!B:J, 9, FALSE) = $F$4,
         VLOOKUP(C95, 'נתוני רישום ומצבת'!B:J, 3, FALSE),
         "המוסד לא קיים ברשות"),
   "המוסד לא קיים"))</f>
        <v>המוסד לא קיים</v>
      </c>
      <c r="E95" s="176" t="str">
        <f>IFERROR(VLOOKUP(C95,'נתוני רישום ומצבת'!B:G,6,0),"")</f>
        <v/>
      </c>
      <c r="F95" s="281" t="str">
        <f>IFERROR(VLOOKUP(C95,'נתוני רישום ומצבת'!B:K,10,0)," ")</f>
        <v xml:space="preserve"> </v>
      </c>
      <c r="G95" s="443" t="str">
        <f>IFERROR(VLOOKUP(C95,'נתוני רישום ומצבת'!B:E,4,0)," ")</f>
        <v xml:space="preserve"> </v>
      </c>
      <c r="H95" s="444" t="str">
        <f>IFERROR(VLOOKUP(C95,'נתוני רישום ומצבת'!B:K,7,0),"")</f>
        <v/>
      </c>
      <c r="I95" s="180" t="str">
        <f t="shared" si="7"/>
        <v/>
      </c>
      <c r="J95" s="443" t="str">
        <f>IFERROR(VLOOKUP(C95,'נתוני רישום ומצבת'!B:I,5,0)," ")</f>
        <v xml:space="preserve"> </v>
      </c>
      <c r="K95" s="443" t="str">
        <f>IFERROR(VLOOKUP(C95,'נתוני רישום ומצבת'!B:I,8,0),"")</f>
        <v/>
      </c>
      <c r="L95" s="284">
        <f t="shared" si="8"/>
        <v>0</v>
      </c>
      <c r="M95" s="283" t="str">
        <f t="shared" si="6"/>
        <v>-</v>
      </c>
    </row>
    <row r="96" spans="2:13" x14ac:dyDescent="0.25">
      <c r="B96" s="280">
        <v>76</v>
      </c>
      <c r="C96" s="549" cm="1">
        <f t="array" ref="C96">IFERROR(
   INDEX('נתוני רישום ומצבת'!$B:$B,
      SMALL(
         IF(('נתוני רישום ומצבת'!A$2:A$2998='נתונים כלליים (1)'!$C$5),
         ROW('נתוני רישום ומצבת'!A$2:A$2998)),
      ROW(A76))
   ),
"")</f>
        <v>0</v>
      </c>
      <c r="D96" s="549" t="str">
        <f>IF(C96="", "",
   IFERROR(
      IF(VLOOKUP(C96, 'נתוני רישום ומצבת'!B:J, 9, FALSE) = $F$4,
         VLOOKUP(C96, 'נתוני רישום ומצבת'!B:J, 3, FALSE),
         "המוסד לא קיים ברשות"),
   "המוסד לא קיים"))</f>
        <v>המוסד לא קיים</v>
      </c>
      <c r="E96" s="176" t="str">
        <f>IFERROR(VLOOKUP(C96,'נתוני רישום ומצבת'!B:G,6,0),"")</f>
        <v/>
      </c>
      <c r="F96" s="281" t="str">
        <f>IFERROR(VLOOKUP(C96,'נתוני רישום ומצבת'!B:K,10,0)," ")</f>
        <v xml:space="preserve"> </v>
      </c>
      <c r="G96" s="443" t="str">
        <f>IFERROR(VLOOKUP(C96,'נתוני רישום ומצבת'!B:E,4,0)," ")</f>
        <v xml:space="preserve"> </v>
      </c>
      <c r="H96" s="444" t="str">
        <f>IFERROR(VLOOKUP(C96,'נתוני רישום ומצבת'!B:K,7,0),"")</f>
        <v/>
      </c>
      <c r="I96" s="180" t="str">
        <f t="shared" si="7"/>
        <v/>
      </c>
      <c r="J96" s="443" t="str">
        <f>IFERROR(VLOOKUP(C96,'נתוני רישום ומצבת'!B:I,5,0)," ")</f>
        <v xml:space="preserve"> </v>
      </c>
      <c r="K96" s="443" t="str">
        <f>IFERROR(VLOOKUP(C96,'נתוני רישום ומצבת'!B:I,8,0),"")</f>
        <v/>
      </c>
      <c r="L96" s="284">
        <f t="shared" si="8"/>
        <v>0</v>
      </c>
      <c r="M96" s="283" t="str">
        <f t="shared" si="6"/>
        <v>-</v>
      </c>
    </row>
    <row r="97" spans="2:13" x14ac:dyDescent="0.25">
      <c r="B97" s="280">
        <v>77</v>
      </c>
      <c r="C97" s="549" cm="1">
        <f t="array" ref="C97">IFERROR(
   INDEX('נתוני רישום ומצבת'!$B:$B,
      SMALL(
         IF(('נתוני רישום ומצבת'!A$2:A$2998='נתונים כלליים (1)'!$C$5),
         ROW('נתוני רישום ומצבת'!A$2:A$2998)),
      ROW(A77))
   ),
"")</f>
        <v>0</v>
      </c>
      <c r="D97" s="549" t="str">
        <f>IF(C97="", "",
   IFERROR(
      IF(VLOOKUP(C97, 'נתוני רישום ומצבת'!B:J, 9, FALSE) = $F$4,
         VLOOKUP(C97, 'נתוני רישום ומצבת'!B:J, 3, FALSE),
         "המוסד לא קיים ברשות"),
   "המוסד לא קיים"))</f>
        <v>המוסד לא קיים</v>
      </c>
      <c r="E97" s="176" t="str">
        <f>IFERROR(VLOOKUP(C97,'נתוני רישום ומצבת'!B:G,6,0),"")</f>
        <v/>
      </c>
      <c r="F97" s="281" t="str">
        <f>IFERROR(VLOOKUP(C97,'נתוני רישום ומצבת'!B:K,10,0)," ")</f>
        <v xml:space="preserve"> </v>
      </c>
      <c r="G97" s="443" t="str">
        <f>IFERROR(VLOOKUP(C97,'נתוני רישום ומצבת'!B:E,4,0)," ")</f>
        <v xml:space="preserve"> </v>
      </c>
      <c r="H97" s="444" t="str">
        <f>IFERROR(VLOOKUP(C97,'נתוני רישום ומצבת'!B:K,7,0),"")</f>
        <v/>
      </c>
      <c r="I97" s="180" t="str">
        <f t="shared" si="7"/>
        <v/>
      </c>
      <c r="J97" s="443" t="str">
        <f>IFERROR(VLOOKUP(C97,'נתוני רישום ומצבת'!B:I,5,0)," ")</f>
        <v xml:space="preserve"> </v>
      </c>
      <c r="K97" s="443" t="str">
        <f>IFERROR(VLOOKUP(C97,'נתוני רישום ומצבת'!B:I,8,0),"")</f>
        <v/>
      </c>
      <c r="L97" s="284">
        <f t="shared" si="8"/>
        <v>0</v>
      </c>
      <c r="M97" s="283" t="str">
        <f t="shared" si="6"/>
        <v>-</v>
      </c>
    </row>
    <row r="98" spans="2:13" x14ac:dyDescent="0.25">
      <c r="B98" s="280">
        <v>78</v>
      </c>
      <c r="C98" s="549" cm="1">
        <f t="array" ref="C98">IFERROR(
   INDEX('נתוני רישום ומצבת'!$B:$B,
      SMALL(
         IF(('נתוני רישום ומצבת'!A$2:A$2998='נתונים כלליים (1)'!$C$5),
         ROW('נתוני רישום ומצבת'!A$2:A$2998)),
      ROW(A78))
   ),
"")</f>
        <v>0</v>
      </c>
      <c r="D98" s="549" t="str">
        <f>IF(C98="", "",
   IFERROR(
      IF(VLOOKUP(C98, 'נתוני רישום ומצבת'!B:J, 9, FALSE) = $F$4,
         VLOOKUP(C98, 'נתוני רישום ומצבת'!B:J, 3, FALSE),
         "המוסד לא קיים ברשות"),
   "המוסד לא קיים"))</f>
        <v>המוסד לא קיים</v>
      </c>
      <c r="E98" s="176" t="str">
        <f>IFERROR(VLOOKUP(C98,'נתוני רישום ומצבת'!B:G,6,0),"")</f>
        <v/>
      </c>
      <c r="F98" s="281" t="str">
        <f>IFERROR(VLOOKUP(C98,'נתוני רישום ומצבת'!B:K,10,0)," ")</f>
        <v xml:space="preserve"> </v>
      </c>
      <c r="G98" s="443" t="str">
        <f>IFERROR(VLOOKUP(C98,'נתוני רישום ומצבת'!B:E,4,0)," ")</f>
        <v xml:space="preserve"> </v>
      </c>
      <c r="H98" s="444" t="str">
        <f>IFERROR(VLOOKUP(C98,'נתוני רישום ומצבת'!B:K,7,0),"")</f>
        <v/>
      </c>
      <c r="I98" s="180" t="str">
        <f t="shared" si="7"/>
        <v/>
      </c>
      <c r="J98" s="443" t="str">
        <f>IFERROR(VLOOKUP(C98,'נתוני רישום ומצבת'!B:I,5,0)," ")</f>
        <v xml:space="preserve"> </v>
      </c>
      <c r="K98" s="443" t="str">
        <f>IFERROR(VLOOKUP(C98,'נתוני רישום ומצבת'!B:I,8,0),"")</f>
        <v/>
      </c>
      <c r="L98" s="284">
        <f t="shared" si="8"/>
        <v>0</v>
      </c>
      <c r="M98" s="283" t="str">
        <f t="shared" si="6"/>
        <v>-</v>
      </c>
    </row>
    <row r="99" spans="2:13" x14ac:dyDescent="0.25">
      <c r="B99" s="280">
        <v>79</v>
      </c>
      <c r="C99" s="549" cm="1">
        <f t="array" ref="C99">IFERROR(
   INDEX('נתוני רישום ומצבת'!$B:$B,
      SMALL(
         IF(('נתוני רישום ומצבת'!A$2:A$2998='נתונים כלליים (1)'!$C$5),
         ROW('נתוני רישום ומצבת'!A$2:A$2998)),
      ROW(A79))
   ),
"")</f>
        <v>0</v>
      </c>
      <c r="D99" s="549" t="str">
        <f>IF(C99="", "",
   IFERROR(
      IF(VLOOKUP(C99, 'נתוני רישום ומצבת'!B:J, 9, FALSE) = $F$4,
         VLOOKUP(C99, 'נתוני רישום ומצבת'!B:J, 3, FALSE),
         "המוסד לא קיים ברשות"),
   "המוסד לא קיים"))</f>
        <v>המוסד לא קיים</v>
      </c>
      <c r="E99" s="176" t="str">
        <f>IFERROR(VLOOKUP(C99,'נתוני רישום ומצבת'!B:G,6,0),"")</f>
        <v/>
      </c>
      <c r="F99" s="281" t="str">
        <f>IFERROR(VLOOKUP(C99,'נתוני רישום ומצבת'!B:K,10,0)," ")</f>
        <v xml:space="preserve"> </v>
      </c>
      <c r="G99" s="443" t="str">
        <f>IFERROR(VLOOKUP(C99,'נתוני רישום ומצבת'!B:E,4,0)," ")</f>
        <v xml:space="preserve"> </v>
      </c>
      <c r="H99" s="444" t="str">
        <f>IFERROR(VLOOKUP(C99,'נתוני רישום ומצבת'!B:K,7,0),"")</f>
        <v/>
      </c>
      <c r="I99" s="180" t="str">
        <f t="shared" si="7"/>
        <v/>
      </c>
      <c r="J99" s="443" t="str">
        <f>IFERROR(VLOOKUP(C99,'נתוני רישום ומצבת'!B:I,5,0)," ")</f>
        <v xml:space="preserve"> </v>
      </c>
      <c r="K99" s="443" t="str">
        <f>IFERROR(VLOOKUP(C99,'נתוני רישום ומצבת'!B:I,8,0),"")</f>
        <v/>
      </c>
      <c r="L99" s="284">
        <f t="shared" si="8"/>
        <v>0</v>
      </c>
      <c r="M99" s="283" t="str">
        <f t="shared" si="6"/>
        <v>-</v>
      </c>
    </row>
    <row r="100" spans="2:13" x14ac:dyDescent="0.25">
      <c r="B100" s="280">
        <v>80</v>
      </c>
      <c r="C100" s="549" cm="1">
        <f t="array" ref="C100">IFERROR(
   INDEX('נתוני רישום ומצבת'!$B:$B,
      SMALL(
         IF(('נתוני רישום ומצבת'!A$2:A$2998='נתונים כלליים (1)'!$C$5),
         ROW('נתוני רישום ומצבת'!A$2:A$2998)),
      ROW(A80))
   ),
"")</f>
        <v>0</v>
      </c>
      <c r="D100" s="549" t="str">
        <f>IF(C100="", "",
   IFERROR(
      IF(VLOOKUP(C100, 'נתוני רישום ומצבת'!B:J, 9, FALSE) = $F$4,
         VLOOKUP(C100, 'נתוני רישום ומצבת'!B:J, 3, FALSE),
         "המוסד לא קיים ברשות"),
   "המוסד לא קיים"))</f>
        <v>המוסד לא קיים</v>
      </c>
      <c r="E100" s="176" t="str">
        <f>IFERROR(VLOOKUP(C100,'נתוני רישום ומצבת'!B:G,6,0),"")</f>
        <v/>
      </c>
      <c r="F100" s="281" t="str">
        <f>IFERROR(VLOOKUP(C100,'נתוני רישום ומצבת'!B:K,10,0)," ")</f>
        <v xml:space="preserve"> </v>
      </c>
      <c r="G100" s="443" t="str">
        <f>IFERROR(VLOOKUP(C100,'נתוני רישום ומצבת'!B:E,4,0)," ")</f>
        <v xml:space="preserve"> </v>
      </c>
      <c r="H100" s="444" t="str">
        <f>IFERROR(VLOOKUP(C100,'נתוני רישום ומצבת'!B:K,7,0),"")</f>
        <v/>
      </c>
      <c r="I100" s="180" t="str">
        <f t="shared" si="7"/>
        <v/>
      </c>
      <c r="J100" s="443" t="str">
        <f>IFERROR(VLOOKUP(C100,'נתוני רישום ומצבת'!B:I,5,0)," ")</f>
        <v xml:space="preserve"> </v>
      </c>
      <c r="K100" s="443" t="str">
        <f>IFERROR(VLOOKUP(C100,'נתוני רישום ומצבת'!B:I,8,0),"")</f>
        <v/>
      </c>
      <c r="L100" s="284">
        <f t="shared" si="8"/>
        <v>0</v>
      </c>
      <c r="M100" s="283" t="str">
        <f t="shared" si="6"/>
        <v>-</v>
      </c>
    </row>
    <row r="101" spans="2:13" x14ac:dyDescent="0.25">
      <c r="B101" s="280">
        <v>81</v>
      </c>
      <c r="C101" s="549" cm="1">
        <f t="array" ref="C101">IFERROR(
   INDEX('נתוני רישום ומצבת'!$B:$B,
      SMALL(
         IF(('נתוני רישום ומצבת'!A$2:A$2998='נתונים כלליים (1)'!$C$5),
         ROW('נתוני רישום ומצבת'!A$2:A$2998)),
      ROW(A81))
   ),
"")</f>
        <v>0</v>
      </c>
      <c r="D101" s="549" t="str">
        <f>IF(C101="", "",
   IFERROR(
      IF(VLOOKUP(C101, 'נתוני רישום ומצבת'!B:J, 9, FALSE) = $F$4,
         VLOOKUP(C101, 'נתוני רישום ומצבת'!B:J, 3, FALSE),
         "המוסד לא קיים ברשות"),
   "המוסד לא קיים"))</f>
        <v>המוסד לא קיים</v>
      </c>
      <c r="E101" s="176" t="str">
        <f>IFERROR(VLOOKUP(C101,'נתוני רישום ומצבת'!B:G,6,0),"")</f>
        <v/>
      </c>
      <c r="F101" s="281" t="str">
        <f>IFERROR(VLOOKUP(C101,'נתוני רישום ומצבת'!B:K,10,0)," ")</f>
        <v xml:space="preserve"> </v>
      </c>
      <c r="G101" s="443" t="str">
        <f>IFERROR(VLOOKUP(C101,'נתוני רישום ומצבת'!B:E,4,0)," ")</f>
        <v xml:space="preserve"> </v>
      </c>
      <c r="H101" s="444" t="str">
        <f>IFERROR(VLOOKUP(C101,'נתוני רישום ומצבת'!B:K,7,0),"")</f>
        <v/>
      </c>
      <c r="I101" s="180" t="str">
        <f t="shared" si="7"/>
        <v/>
      </c>
      <c r="J101" s="443" t="str">
        <f>IFERROR(VLOOKUP(C101,'נתוני רישום ומצבת'!B:I,5,0)," ")</f>
        <v xml:space="preserve"> </v>
      </c>
      <c r="K101" s="443" t="str">
        <f>IFERROR(VLOOKUP(C101,'נתוני רישום ומצבת'!B:I,8,0),"")</f>
        <v/>
      </c>
      <c r="L101" s="284">
        <f t="shared" si="8"/>
        <v>0</v>
      </c>
      <c r="M101" s="283" t="str">
        <f t="shared" si="6"/>
        <v>-</v>
      </c>
    </row>
    <row r="102" spans="2:13" x14ac:dyDescent="0.25">
      <c r="B102" s="280">
        <v>82</v>
      </c>
      <c r="C102" s="549" cm="1">
        <f t="array" ref="C102">IFERROR(
   INDEX('נתוני רישום ומצבת'!$B:$B,
      SMALL(
         IF(('נתוני רישום ומצבת'!A$2:A$2998='נתונים כלליים (1)'!$C$5),
         ROW('נתוני רישום ומצבת'!A$2:A$2998)),
      ROW(A82))
   ),
"")</f>
        <v>0</v>
      </c>
      <c r="D102" s="549" t="str">
        <f>IF(C102="", "",
   IFERROR(
      IF(VLOOKUP(C102, 'נתוני רישום ומצבת'!B:J, 9, FALSE) = $F$4,
         VLOOKUP(C102, 'נתוני רישום ומצבת'!B:J, 3, FALSE),
         "המוסד לא קיים ברשות"),
   "המוסד לא קיים"))</f>
        <v>המוסד לא קיים</v>
      </c>
      <c r="E102" s="176" t="str">
        <f>IFERROR(VLOOKUP(C102,'נתוני רישום ומצבת'!B:G,6,0),"")</f>
        <v/>
      </c>
      <c r="F102" s="281" t="str">
        <f>IFERROR(VLOOKUP(C102,'נתוני רישום ומצבת'!B:K,10,0)," ")</f>
        <v xml:space="preserve"> </v>
      </c>
      <c r="G102" s="443" t="str">
        <f>IFERROR(VLOOKUP(C102,'נתוני רישום ומצבת'!B:E,4,0)," ")</f>
        <v xml:space="preserve"> </v>
      </c>
      <c r="H102" s="444" t="str">
        <f>IFERROR(VLOOKUP(C102,'נתוני רישום ומצבת'!B:K,7,0),"")</f>
        <v/>
      </c>
      <c r="I102" s="180" t="str">
        <f t="shared" si="7"/>
        <v/>
      </c>
      <c r="J102" s="443" t="str">
        <f>IFERROR(VLOOKUP(C102,'נתוני רישום ומצבת'!B:I,5,0)," ")</f>
        <v xml:space="preserve"> </v>
      </c>
      <c r="K102" s="443" t="str">
        <f>IFERROR(VLOOKUP(C102,'נתוני רישום ומצבת'!B:I,8,0),"")</f>
        <v/>
      </c>
      <c r="L102" s="284">
        <f t="shared" si="8"/>
        <v>0</v>
      </c>
      <c r="M102" s="283" t="str">
        <f t="shared" si="6"/>
        <v>-</v>
      </c>
    </row>
    <row r="103" spans="2:13" x14ac:dyDescent="0.25">
      <c r="B103" s="280">
        <v>83</v>
      </c>
      <c r="C103" s="549" cm="1">
        <f t="array" ref="C103">IFERROR(
   INDEX('נתוני רישום ומצבת'!$B:$B,
      SMALL(
         IF(('נתוני רישום ומצבת'!A$2:A$2998='נתונים כלליים (1)'!$C$5),
         ROW('נתוני רישום ומצבת'!A$2:A$2998)),
      ROW(A83))
   ),
"")</f>
        <v>0</v>
      </c>
      <c r="D103" s="549" t="str">
        <f>IF(C103="", "",
   IFERROR(
      IF(VLOOKUP(C103, 'נתוני רישום ומצבת'!B:J, 9, FALSE) = $F$4,
         VLOOKUP(C103, 'נתוני רישום ומצבת'!B:J, 3, FALSE),
         "המוסד לא קיים ברשות"),
   "המוסד לא קיים"))</f>
        <v>המוסד לא קיים</v>
      </c>
      <c r="E103" s="176" t="str">
        <f>IFERROR(VLOOKUP(C103,'נתוני רישום ומצבת'!B:G,6,0),"")</f>
        <v/>
      </c>
      <c r="F103" s="281" t="str">
        <f>IFERROR(VLOOKUP(C103,'נתוני רישום ומצבת'!B:K,10,0)," ")</f>
        <v xml:space="preserve"> </v>
      </c>
      <c r="G103" s="443" t="str">
        <f>IFERROR(VLOOKUP(C103,'נתוני רישום ומצבת'!B:E,4,0)," ")</f>
        <v xml:space="preserve"> </v>
      </c>
      <c r="H103" s="444" t="str">
        <f>IFERROR(VLOOKUP(C103,'נתוני רישום ומצבת'!B:K,7,0),"")</f>
        <v/>
      </c>
      <c r="I103" s="180" t="str">
        <f t="shared" si="7"/>
        <v/>
      </c>
      <c r="J103" s="443" t="str">
        <f>IFERROR(VLOOKUP(C103,'נתוני רישום ומצבת'!B:I,5,0)," ")</f>
        <v xml:space="preserve"> </v>
      </c>
      <c r="K103" s="443" t="str">
        <f>IFERROR(VLOOKUP(C103,'נתוני רישום ומצבת'!B:I,8,0),"")</f>
        <v/>
      </c>
      <c r="L103" s="284">
        <f t="shared" si="8"/>
        <v>0</v>
      </c>
      <c r="M103" s="283" t="str">
        <f t="shared" si="6"/>
        <v>-</v>
      </c>
    </row>
    <row r="104" spans="2:13" x14ac:dyDescent="0.25">
      <c r="B104" s="280">
        <v>84</v>
      </c>
      <c r="C104" s="549" cm="1">
        <f t="array" ref="C104">IFERROR(
   INDEX('נתוני רישום ומצבת'!$B:$B,
      SMALL(
         IF(('נתוני רישום ומצבת'!A$2:A$2998='נתונים כלליים (1)'!$C$5),
         ROW('נתוני רישום ומצבת'!A$2:A$2998)),
      ROW(A84))
   ),
"")</f>
        <v>0</v>
      </c>
      <c r="D104" s="549" t="str">
        <f>IF(C104="", "",
   IFERROR(
      IF(VLOOKUP(C104, 'נתוני רישום ומצבת'!B:J, 9, FALSE) = $F$4,
         VLOOKUP(C104, 'נתוני רישום ומצבת'!B:J, 3, FALSE),
         "המוסד לא קיים ברשות"),
   "המוסד לא קיים"))</f>
        <v>המוסד לא קיים</v>
      </c>
      <c r="E104" s="176" t="str">
        <f>IFERROR(VLOOKUP(C104,'נתוני רישום ומצבת'!B:G,6,0),"")</f>
        <v/>
      </c>
      <c r="F104" s="281" t="str">
        <f>IFERROR(VLOOKUP(C104,'נתוני רישום ומצבת'!B:K,10,0)," ")</f>
        <v xml:space="preserve"> </v>
      </c>
      <c r="G104" s="443" t="str">
        <f>IFERROR(VLOOKUP(C104,'נתוני רישום ומצבת'!B:E,4,0)," ")</f>
        <v xml:space="preserve"> </v>
      </c>
      <c r="H104" s="444" t="str">
        <f>IFERROR(VLOOKUP(C104,'נתוני רישום ומצבת'!B:K,7,0),"")</f>
        <v/>
      </c>
      <c r="I104" s="180" t="str">
        <f t="shared" si="7"/>
        <v/>
      </c>
      <c r="J104" s="443" t="str">
        <f>IFERROR(VLOOKUP(C104,'נתוני רישום ומצבת'!B:I,5,0)," ")</f>
        <v xml:space="preserve"> </v>
      </c>
      <c r="K104" s="443" t="str">
        <f>IFERROR(VLOOKUP(C104,'נתוני רישום ומצבת'!B:I,8,0),"")</f>
        <v/>
      </c>
      <c r="L104" s="284">
        <f t="shared" si="8"/>
        <v>0</v>
      </c>
      <c r="M104" s="283" t="str">
        <f t="shared" si="6"/>
        <v>-</v>
      </c>
    </row>
    <row r="105" spans="2:13" x14ac:dyDescent="0.25">
      <c r="B105" s="280">
        <v>85</v>
      </c>
      <c r="C105" s="549" cm="1">
        <f t="array" ref="C105">IFERROR(
   INDEX('נתוני רישום ומצבת'!$B:$B,
      SMALL(
         IF(('נתוני רישום ומצבת'!A$2:A$2998='נתונים כלליים (1)'!$C$5),
         ROW('נתוני רישום ומצבת'!A$2:A$2998)),
      ROW(A85))
   ),
"")</f>
        <v>0</v>
      </c>
      <c r="D105" s="549" t="str">
        <f>IF(C105="", "",
   IFERROR(
      IF(VLOOKUP(C105, 'נתוני רישום ומצבת'!B:J, 9, FALSE) = $F$4,
         VLOOKUP(C105, 'נתוני רישום ומצבת'!B:J, 3, FALSE),
         "המוסד לא קיים ברשות"),
   "המוסד לא קיים"))</f>
        <v>המוסד לא קיים</v>
      </c>
      <c r="E105" s="176" t="str">
        <f>IFERROR(VLOOKUP(C105,'נתוני רישום ומצבת'!B:G,6,0),"")</f>
        <v/>
      </c>
      <c r="F105" s="281" t="str">
        <f>IFERROR(VLOOKUP(C105,'נתוני רישום ומצבת'!B:K,10,0)," ")</f>
        <v xml:space="preserve"> </v>
      </c>
      <c r="G105" s="443" t="str">
        <f>IFERROR(VLOOKUP(C105,'נתוני רישום ומצבת'!B:E,4,0)," ")</f>
        <v xml:space="preserve"> </v>
      </c>
      <c r="H105" s="444" t="str">
        <f>IFERROR(VLOOKUP(C105,'נתוני רישום ומצבת'!B:K,7,0),"")</f>
        <v/>
      </c>
      <c r="I105" s="180" t="str">
        <f t="shared" si="7"/>
        <v/>
      </c>
      <c r="J105" s="443" t="str">
        <f>IFERROR(VLOOKUP(C105,'נתוני רישום ומצבת'!B:I,5,0)," ")</f>
        <v xml:space="preserve"> </v>
      </c>
      <c r="K105" s="443" t="str">
        <f>IFERROR(VLOOKUP(C105,'נתוני רישום ומצבת'!B:I,8,0),"")</f>
        <v/>
      </c>
      <c r="L105" s="284">
        <f t="shared" si="8"/>
        <v>0</v>
      </c>
      <c r="M105" s="283" t="str">
        <f t="shared" si="6"/>
        <v>-</v>
      </c>
    </row>
    <row r="106" spans="2:13" x14ac:dyDescent="0.25">
      <c r="B106" s="280">
        <v>86</v>
      </c>
      <c r="C106" s="549" cm="1">
        <f t="array" ref="C106">IFERROR(
   INDEX('נתוני רישום ומצבת'!$B:$B,
      SMALL(
         IF(('נתוני רישום ומצבת'!A$2:A$2998='נתונים כלליים (1)'!$C$5),
         ROW('נתוני רישום ומצבת'!A$2:A$2998)),
      ROW(A86))
   ),
"")</f>
        <v>0</v>
      </c>
      <c r="D106" s="549" t="str">
        <f>IF(C106="", "",
   IFERROR(
      IF(VLOOKUP(C106, 'נתוני רישום ומצבת'!B:J, 9, FALSE) = $F$4,
         VLOOKUP(C106, 'נתוני רישום ומצבת'!B:J, 3, FALSE),
         "המוסד לא קיים ברשות"),
   "המוסד לא קיים"))</f>
        <v>המוסד לא קיים</v>
      </c>
      <c r="E106" s="176" t="str">
        <f>IFERROR(VLOOKUP(C106,'נתוני רישום ומצבת'!B:G,6,0),"")</f>
        <v/>
      </c>
      <c r="F106" s="281" t="str">
        <f>IFERROR(VLOOKUP(C106,'נתוני רישום ומצבת'!B:K,10,0)," ")</f>
        <v xml:space="preserve"> </v>
      </c>
      <c r="G106" s="443" t="str">
        <f>IFERROR(VLOOKUP(C106,'נתוני רישום ומצבת'!B:E,4,0)," ")</f>
        <v xml:space="preserve"> </v>
      </c>
      <c r="H106" s="444" t="str">
        <f>IFERROR(VLOOKUP(C106,'נתוני רישום ומצבת'!B:K,7,0),"")</f>
        <v/>
      </c>
      <c r="I106" s="180" t="str">
        <f t="shared" si="7"/>
        <v/>
      </c>
      <c r="J106" s="443" t="str">
        <f>IFERROR(VLOOKUP(C106,'נתוני רישום ומצבת'!B:I,5,0)," ")</f>
        <v xml:space="preserve"> </v>
      </c>
      <c r="K106" s="443" t="str">
        <f>IFERROR(VLOOKUP(C106,'נתוני רישום ומצבת'!B:I,8,0),"")</f>
        <v/>
      </c>
      <c r="L106" s="284">
        <f t="shared" si="8"/>
        <v>0</v>
      </c>
      <c r="M106" s="283" t="str">
        <f t="shared" si="6"/>
        <v>-</v>
      </c>
    </row>
    <row r="107" spans="2:13" x14ac:dyDescent="0.25">
      <c r="B107" s="280">
        <v>87</v>
      </c>
      <c r="C107" s="549" cm="1">
        <f t="array" ref="C107">IFERROR(
   INDEX('נתוני רישום ומצבת'!$B:$B,
      SMALL(
         IF(('נתוני רישום ומצבת'!A$2:A$2998='נתונים כלליים (1)'!$C$5),
         ROW('נתוני רישום ומצבת'!A$2:A$2998)),
      ROW(A87))
   ),
"")</f>
        <v>0</v>
      </c>
      <c r="D107" s="549" t="str">
        <f>IF(C107="", "",
   IFERROR(
      IF(VLOOKUP(C107, 'נתוני רישום ומצבת'!B:J, 9, FALSE) = $F$4,
         VLOOKUP(C107, 'נתוני רישום ומצבת'!B:J, 3, FALSE),
         "המוסד לא קיים ברשות"),
   "המוסד לא קיים"))</f>
        <v>המוסד לא קיים</v>
      </c>
      <c r="E107" s="176" t="str">
        <f>IFERROR(VLOOKUP(C107,'נתוני רישום ומצבת'!B:G,6,0),"")</f>
        <v/>
      </c>
      <c r="F107" s="281" t="str">
        <f>IFERROR(VLOOKUP(C107,'נתוני רישום ומצבת'!B:K,10,0)," ")</f>
        <v xml:space="preserve"> </v>
      </c>
      <c r="G107" s="443" t="str">
        <f>IFERROR(VLOOKUP(C107,'נתוני רישום ומצבת'!B:E,4,0)," ")</f>
        <v xml:space="preserve"> </v>
      </c>
      <c r="H107" s="444" t="str">
        <f>IFERROR(VLOOKUP(C107,'נתוני רישום ומצבת'!B:K,7,0),"")</f>
        <v/>
      </c>
      <c r="I107" s="180" t="str">
        <f t="shared" si="7"/>
        <v/>
      </c>
      <c r="J107" s="443" t="str">
        <f>IFERROR(VLOOKUP(C107,'נתוני רישום ומצבת'!B:I,5,0)," ")</f>
        <v xml:space="preserve"> </v>
      </c>
      <c r="K107" s="443" t="str">
        <f>IFERROR(VLOOKUP(C107,'נתוני רישום ומצבת'!B:I,8,0),"")</f>
        <v/>
      </c>
      <c r="L107" s="284">
        <f t="shared" si="8"/>
        <v>0</v>
      </c>
      <c r="M107" s="283" t="str">
        <f t="shared" si="6"/>
        <v>-</v>
      </c>
    </row>
    <row r="108" spans="2:13" x14ac:dyDescent="0.25">
      <c r="B108" s="280">
        <v>88</v>
      </c>
      <c r="C108" s="549" cm="1">
        <f t="array" ref="C108">IFERROR(
   INDEX('נתוני רישום ומצבת'!$B:$B,
      SMALL(
         IF(('נתוני רישום ומצבת'!A$2:A$2998='נתונים כלליים (1)'!$C$5),
         ROW('נתוני רישום ומצבת'!A$2:A$2998)),
      ROW(A88))
   ),
"")</f>
        <v>0</v>
      </c>
      <c r="D108" s="549" t="str">
        <f>IF(C108="", "",
   IFERROR(
      IF(VLOOKUP(C108, 'נתוני רישום ומצבת'!B:J, 9, FALSE) = $F$4,
         VLOOKUP(C108, 'נתוני רישום ומצבת'!B:J, 3, FALSE),
         "המוסד לא קיים ברשות"),
   "המוסד לא קיים"))</f>
        <v>המוסד לא קיים</v>
      </c>
      <c r="E108" s="176" t="str">
        <f>IFERROR(VLOOKUP(C108,'נתוני רישום ומצבת'!B:G,6,0),"")</f>
        <v/>
      </c>
      <c r="F108" s="281" t="str">
        <f>IFERROR(VLOOKUP(C108,'נתוני רישום ומצבת'!B:K,10,0)," ")</f>
        <v xml:space="preserve"> </v>
      </c>
      <c r="G108" s="443" t="str">
        <f>IFERROR(VLOOKUP(C108,'נתוני רישום ומצבת'!B:E,4,0)," ")</f>
        <v xml:space="preserve"> </v>
      </c>
      <c r="H108" s="444" t="str">
        <f>IFERROR(VLOOKUP(C108,'נתוני רישום ומצבת'!B:K,7,0),"")</f>
        <v/>
      </c>
      <c r="I108" s="180" t="str">
        <f t="shared" si="7"/>
        <v/>
      </c>
      <c r="J108" s="443" t="str">
        <f>IFERROR(VLOOKUP(C108,'נתוני רישום ומצבת'!B:I,5,0)," ")</f>
        <v xml:space="preserve"> </v>
      </c>
      <c r="K108" s="443" t="str">
        <f>IFERROR(VLOOKUP(C108,'נתוני רישום ומצבת'!B:I,8,0),"")</f>
        <v/>
      </c>
      <c r="L108" s="284">
        <f t="shared" si="8"/>
        <v>0</v>
      </c>
      <c r="M108" s="283" t="str">
        <f t="shared" si="6"/>
        <v>-</v>
      </c>
    </row>
    <row r="109" spans="2:13" x14ac:dyDescent="0.25">
      <c r="B109" s="280">
        <v>89</v>
      </c>
      <c r="C109" s="549" cm="1">
        <f t="array" ref="C109">IFERROR(
   INDEX('נתוני רישום ומצבת'!$B:$B,
      SMALL(
         IF(('נתוני רישום ומצבת'!A$2:A$2998='נתונים כלליים (1)'!$C$5),
         ROW('נתוני רישום ומצבת'!A$2:A$2998)),
      ROW(A89))
   ),
"")</f>
        <v>0</v>
      </c>
      <c r="D109" s="549" t="str">
        <f>IF(C109="", "",
   IFERROR(
      IF(VLOOKUP(C109, 'נתוני רישום ומצבת'!B:J, 9, FALSE) = $F$4,
         VLOOKUP(C109, 'נתוני רישום ומצבת'!B:J, 3, FALSE),
         "המוסד לא קיים ברשות"),
   "המוסד לא קיים"))</f>
        <v>המוסד לא קיים</v>
      </c>
      <c r="E109" s="176" t="str">
        <f>IFERROR(VLOOKUP(C109,'נתוני רישום ומצבת'!B:G,6,0),"")</f>
        <v/>
      </c>
      <c r="F109" s="281" t="str">
        <f>IFERROR(VLOOKUP(C109,'נתוני רישום ומצבת'!B:K,10,0)," ")</f>
        <v xml:space="preserve"> </v>
      </c>
      <c r="G109" s="443" t="str">
        <f>IFERROR(VLOOKUP(C109,'נתוני רישום ומצבת'!B:E,4,0)," ")</f>
        <v xml:space="preserve"> </v>
      </c>
      <c r="H109" s="444" t="str">
        <f>IFERROR(VLOOKUP(C109,'נתוני רישום ומצבת'!B:K,7,0),"")</f>
        <v/>
      </c>
      <c r="I109" s="180" t="str">
        <f t="shared" si="7"/>
        <v/>
      </c>
      <c r="J109" s="443" t="str">
        <f>IFERROR(VLOOKUP(C109,'נתוני רישום ומצבת'!B:I,5,0)," ")</f>
        <v xml:space="preserve"> </v>
      </c>
      <c r="K109" s="443" t="str">
        <f>IFERROR(VLOOKUP(C109,'נתוני רישום ומצבת'!B:I,8,0),"")</f>
        <v/>
      </c>
      <c r="L109" s="284">
        <f t="shared" si="8"/>
        <v>0</v>
      </c>
      <c r="M109" s="283" t="str">
        <f t="shared" si="6"/>
        <v>-</v>
      </c>
    </row>
    <row r="110" spans="2:13" x14ac:dyDescent="0.25">
      <c r="B110" s="280">
        <v>90</v>
      </c>
      <c r="C110" s="549" cm="1">
        <f t="array" ref="C110">IFERROR(
   INDEX('נתוני רישום ומצבת'!$B:$B,
      SMALL(
         IF(('נתוני רישום ומצבת'!A$2:A$2998='נתונים כלליים (1)'!$C$5),
         ROW('נתוני רישום ומצבת'!A$2:A$2998)),
      ROW(A90))
   ),
"")</f>
        <v>0</v>
      </c>
      <c r="D110" s="549" t="str">
        <f>IF(C110="", "",
   IFERROR(
      IF(VLOOKUP(C110, 'נתוני רישום ומצבת'!B:J, 9, FALSE) = $F$4,
         VLOOKUP(C110, 'נתוני רישום ומצבת'!B:J, 3, FALSE),
         "המוסד לא קיים ברשות"),
   "המוסד לא קיים"))</f>
        <v>המוסד לא קיים</v>
      </c>
      <c r="E110" s="176" t="str">
        <f>IFERROR(VLOOKUP(C110,'נתוני רישום ומצבת'!B:G,6,0),"")</f>
        <v/>
      </c>
      <c r="F110" s="281" t="str">
        <f>IFERROR(VLOOKUP(C110,'נתוני רישום ומצבת'!B:K,10,0)," ")</f>
        <v xml:space="preserve"> </v>
      </c>
      <c r="G110" s="443" t="str">
        <f>IFERROR(VLOOKUP(C110,'נתוני רישום ומצבת'!B:E,4,0)," ")</f>
        <v xml:space="preserve"> </v>
      </c>
      <c r="H110" s="444" t="str">
        <f>IFERROR(VLOOKUP(C110,'נתוני רישום ומצבת'!B:K,7,0),"")</f>
        <v/>
      </c>
      <c r="I110" s="180" t="str">
        <f t="shared" si="7"/>
        <v/>
      </c>
      <c r="J110" s="443" t="str">
        <f>IFERROR(VLOOKUP(C110,'נתוני רישום ומצבת'!B:I,5,0)," ")</f>
        <v xml:space="preserve"> </v>
      </c>
      <c r="K110" s="443" t="str">
        <f>IFERROR(VLOOKUP(C110,'נתוני רישום ומצבת'!B:I,8,0),"")</f>
        <v/>
      </c>
      <c r="L110" s="284">
        <f t="shared" si="8"/>
        <v>0</v>
      </c>
      <c r="M110" s="283" t="str">
        <f t="shared" si="6"/>
        <v>-</v>
      </c>
    </row>
    <row r="111" spans="2:13" x14ac:dyDescent="0.25">
      <c r="B111" s="280">
        <v>91</v>
      </c>
      <c r="C111" s="549" cm="1">
        <f t="array" ref="C111">IFERROR(
   INDEX('נתוני רישום ומצבת'!$B:$B,
      SMALL(
         IF(('נתוני רישום ומצבת'!A$2:A$2998='נתונים כלליים (1)'!$C$5),
         ROW('נתוני רישום ומצבת'!A$2:A$2998)),
      ROW(A91))
   ),
"")</f>
        <v>0</v>
      </c>
      <c r="D111" s="549" t="str">
        <f>IF(C111="", "",
   IFERROR(
      IF(VLOOKUP(C111, 'נתוני רישום ומצבת'!B:J, 9, FALSE) = $F$4,
         VLOOKUP(C111, 'נתוני רישום ומצבת'!B:J, 3, FALSE),
         "המוסד לא קיים ברשות"),
   "המוסד לא קיים"))</f>
        <v>המוסד לא קיים</v>
      </c>
      <c r="E111" s="176" t="str">
        <f>IFERROR(VLOOKUP(C111,'נתוני רישום ומצבת'!B:G,6,0),"")</f>
        <v/>
      </c>
      <c r="F111" s="281" t="str">
        <f>IFERROR(VLOOKUP(C111,'נתוני רישום ומצבת'!B:K,10,0)," ")</f>
        <v xml:space="preserve"> </v>
      </c>
      <c r="G111" s="443" t="str">
        <f>IFERROR(VLOOKUP(C111,'נתוני רישום ומצבת'!B:E,4,0)," ")</f>
        <v xml:space="preserve"> </v>
      </c>
      <c r="H111" s="444" t="str">
        <f>IFERROR(VLOOKUP(C111,'נתוני רישום ומצבת'!B:K,7,0),"")</f>
        <v/>
      </c>
      <c r="I111" s="180" t="str">
        <f t="shared" si="7"/>
        <v/>
      </c>
      <c r="J111" s="443" t="str">
        <f>IFERROR(VLOOKUP(C111,'נתוני רישום ומצבת'!B:I,5,0)," ")</f>
        <v xml:space="preserve"> </v>
      </c>
      <c r="K111" s="443" t="str">
        <f>IFERROR(VLOOKUP(C111,'נתוני רישום ומצבת'!B:I,8,0),"")</f>
        <v/>
      </c>
      <c r="L111" s="284">
        <f t="shared" si="8"/>
        <v>0</v>
      </c>
      <c r="M111" s="283" t="str">
        <f t="shared" si="6"/>
        <v>-</v>
      </c>
    </row>
    <row r="112" spans="2:13" x14ac:dyDescent="0.25">
      <c r="B112" s="280">
        <v>92</v>
      </c>
      <c r="C112" s="549" cm="1">
        <f t="array" ref="C112">IFERROR(
   INDEX('נתוני רישום ומצבת'!$B:$B,
      SMALL(
         IF(('נתוני רישום ומצבת'!A$2:A$2998='נתונים כלליים (1)'!$C$5),
         ROW('נתוני רישום ומצבת'!A$2:A$2998)),
      ROW(A92))
   ),
"")</f>
        <v>0</v>
      </c>
      <c r="D112" s="549" t="str">
        <f>IF(C112="", "",
   IFERROR(
      IF(VLOOKUP(C112, 'נתוני רישום ומצבת'!B:J, 9, FALSE) = $F$4,
         VLOOKUP(C112, 'נתוני רישום ומצבת'!B:J, 3, FALSE),
         "המוסד לא קיים ברשות"),
   "המוסד לא קיים"))</f>
        <v>המוסד לא קיים</v>
      </c>
      <c r="E112" s="176" t="str">
        <f>IFERROR(VLOOKUP(C112,'נתוני רישום ומצבת'!B:G,6,0),"")</f>
        <v/>
      </c>
      <c r="F112" s="281" t="str">
        <f>IFERROR(VLOOKUP(C112,'נתוני רישום ומצבת'!B:K,10,0)," ")</f>
        <v xml:space="preserve"> </v>
      </c>
      <c r="G112" s="443" t="str">
        <f>IFERROR(VLOOKUP(C112,'נתוני רישום ומצבת'!B:E,4,0)," ")</f>
        <v xml:space="preserve"> </v>
      </c>
      <c r="H112" s="444" t="str">
        <f>IFERROR(VLOOKUP(C112,'נתוני רישום ומצבת'!B:K,7,0),"")</f>
        <v/>
      </c>
      <c r="I112" s="180" t="str">
        <f t="shared" si="7"/>
        <v/>
      </c>
      <c r="J112" s="443" t="str">
        <f>IFERROR(VLOOKUP(C112,'נתוני רישום ומצבת'!B:I,5,0)," ")</f>
        <v xml:space="preserve"> </v>
      </c>
      <c r="K112" s="443" t="str">
        <f>IFERROR(VLOOKUP(C112,'נתוני רישום ומצבת'!B:I,8,0),"")</f>
        <v/>
      </c>
      <c r="L112" s="284">
        <f t="shared" si="8"/>
        <v>0</v>
      </c>
      <c r="M112" s="283" t="str">
        <f t="shared" si="6"/>
        <v>-</v>
      </c>
    </row>
    <row r="113" spans="2:13" x14ac:dyDescent="0.25">
      <c r="B113" s="280">
        <v>93</v>
      </c>
      <c r="C113" s="549" cm="1">
        <f t="array" ref="C113">IFERROR(
   INDEX('נתוני רישום ומצבת'!$B:$B,
      SMALL(
         IF(('נתוני רישום ומצבת'!A$2:A$2998='נתונים כלליים (1)'!$C$5),
         ROW('נתוני רישום ומצבת'!A$2:A$2998)),
      ROW(A93))
   ),
"")</f>
        <v>0</v>
      </c>
      <c r="D113" s="549" t="str">
        <f>IF(C113="", "",
   IFERROR(
      IF(VLOOKUP(C113, 'נתוני רישום ומצבת'!B:J, 9, FALSE) = $F$4,
         VLOOKUP(C113, 'נתוני רישום ומצבת'!B:J, 3, FALSE),
         "המוסד לא קיים ברשות"),
   "המוסד לא קיים"))</f>
        <v>המוסד לא קיים</v>
      </c>
      <c r="E113" s="176" t="str">
        <f>IFERROR(VLOOKUP(C113,'נתוני רישום ומצבת'!B:G,6,0),"")</f>
        <v/>
      </c>
      <c r="F113" s="281" t="str">
        <f>IFERROR(VLOOKUP(C113,'נתוני רישום ומצבת'!B:K,10,0)," ")</f>
        <v xml:space="preserve"> </v>
      </c>
      <c r="G113" s="443" t="str">
        <f>IFERROR(VLOOKUP(C113,'נתוני רישום ומצבת'!B:E,4,0)," ")</f>
        <v xml:space="preserve"> </v>
      </c>
      <c r="H113" s="444" t="str">
        <f>IFERROR(VLOOKUP(C113,'נתוני רישום ומצבת'!B:K,7,0),"")</f>
        <v/>
      </c>
      <c r="I113" s="180" t="str">
        <f t="shared" si="7"/>
        <v/>
      </c>
      <c r="J113" s="443" t="str">
        <f>IFERROR(VLOOKUP(C113,'נתוני רישום ומצבת'!B:I,5,0)," ")</f>
        <v xml:space="preserve"> </v>
      </c>
      <c r="K113" s="443" t="str">
        <f>IFERROR(VLOOKUP(C113,'נתוני רישום ומצבת'!B:I,8,0),"")</f>
        <v/>
      </c>
      <c r="L113" s="284">
        <f t="shared" si="8"/>
        <v>0</v>
      </c>
      <c r="M113" s="283" t="str">
        <f t="shared" si="6"/>
        <v>-</v>
      </c>
    </row>
    <row r="114" spans="2:13" x14ac:dyDescent="0.25">
      <c r="B114" s="280">
        <v>94</v>
      </c>
      <c r="C114" s="549" cm="1">
        <f t="array" ref="C114">IFERROR(
   INDEX('נתוני רישום ומצבת'!$B:$B,
      SMALL(
         IF(('נתוני רישום ומצבת'!A$2:A$2998='נתונים כלליים (1)'!$C$5),
         ROW('נתוני רישום ומצבת'!A$2:A$2998)),
      ROW(A94))
   ),
"")</f>
        <v>0</v>
      </c>
      <c r="D114" s="549" t="str">
        <f>IF(C114="", "",
   IFERROR(
      IF(VLOOKUP(C114, 'נתוני רישום ומצבת'!B:J, 9, FALSE) = $F$4,
         VLOOKUP(C114, 'נתוני רישום ומצבת'!B:J, 3, FALSE),
         "המוסד לא קיים ברשות"),
   "המוסד לא קיים"))</f>
        <v>המוסד לא קיים</v>
      </c>
      <c r="E114" s="176" t="str">
        <f>IFERROR(VLOOKUP(C114,'נתוני רישום ומצבת'!B:G,6,0),"")</f>
        <v/>
      </c>
      <c r="F114" s="281" t="str">
        <f>IFERROR(VLOOKUP(C114,'נתוני רישום ומצבת'!B:K,10,0)," ")</f>
        <v xml:space="preserve"> </v>
      </c>
      <c r="G114" s="443" t="str">
        <f>IFERROR(VLOOKUP(C114,'נתוני רישום ומצבת'!B:E,4,0)," ")</f>
        <v xml:space="preserve"> </v>
      </c>
      <c r="H114" s="444" t="str">
        <f>IFERROR(VLOOKUP(C114,'נתוני רישום ומצבת'!B:K,7,0),"")</f>
        <v/>
      </c>
      <c r="I114" s="180" t="str">
        <f t="shared" si="7"/>
        <v/>
      </c>
      <c r="J114" s="443" t="str">
        <f>IFERROR(VLOOKUP(C114,'נתוני רישום ומצבת'!B:I,5,0)," ")</f>
        <v xml:space="preserve"> </v>
      </c>
      <c r="K114" s="443" t="str">
        <f>IFERROR(VLOOKUP(C114,'נתוני רישום ומצבת'!B:I,8,0),"")</f>
        <v/>
      </c>
      <c r="L114" s="284">
        <f t="shared" si="8"/>
        <v>0</v>
      </c>
      <c r="M114" s="283" t="str">
        <f t="shared" si="6"/>
        <v>-</v>
      </c>
    </row>
    <row r="115" spans="2:13" x14ac:dyDescent="0.25">
      <c r="B115" s="280">
        <v>95</v>
      </c>
      <c r="C115" s="549" cm="1">
        <f t="array" ref="C115">IFERROR(
   INDEX('נתוני רישום ומצבת'!$B:$B,
      SMALL(
         IF(('נתוני רישום ומצבת'!A$2:A$2998='נתונים כלליים (1)'!$C$5),
         ROW('נתוני רישום ומצבת'!A$2:A$2998)),
      ROW(A95))
   ),
"")</f>
        <v>0</v>
      </c>
      <c r="D115" s="549" t="str">
        <f>IF(C115="", "",
   IFERROR(
      IF(VLOOKUP(C115, 'נתוני רישום ומצבת'!B:J, 9, FALSE) = $F$4,
         VLOOKUP(C115, 'נתוני רישום ומצבת'!B:J, 3, FALSE),
         "המוסד לא קיים ברשות"),
   "המוסד לא קיים"))</f>
        <v>המוסד לא קיים</v>
      </c>
      <c r="E115" s="176" t="str">
        <f>IFERROR(VLOOKUP(C115,'נתוני רישום ומצבת'!B:G,6,0),"")</f>
        <v/>
      </c>
      <c r="F115" s="281" t="str">
        <f>IFERROR(VLOOKUP(C115,'נתוני רישום ומצבת'!B:K,10,0)," ")</f>
        <v xml:space="preserve"> </v>
      </c>
      <c r="G115" s="443" t="str">
        <f>IFERROR(VLOOKUP(C115,'נתוני רישום ומצבת'!B:E,4,0)," ")</f>
        <v xml:space="preserve"> </v>
      </c>
      <c r="H115" s="444" t="str">
        <f>IFERROR(VLOOKUP(C115,'נתוני רישום ומצבת'!B:K,7,0),"")</f>
        <v/>
      </c>
      <c r="I115" s="180" t="str">
        <f t="shared" si="7"/>
        <v/>
      </c>
      <c r="J115" s="443" t="str">
        <f>IFERROR(VLOOKUP(C115,'נתוני רישום ומצבת'!B:I,5,0)," ")</f>
        <v xml:space="preserve"> </v>
      </c>
      <c r="K115" s="443" t="str">
        <f>IFERROR(VLOOKUP(C115,'נתוני רישום ומצבת'!B:I,8,0),"")</f>
        <v/>
      </c>
      <c r="L115" s="284">
        <f t="shared" si="8"/>
        <v>0</v>
      </c>
      <c r="M115" s="283" t="str">
        <f t="shared" si="6"/>
        <v>-</v>
      </c>
    </row>
    <row r="116" spans="2:13" x14ac:dyDescent="0.25">
      <c r="B116" s="280">
        <v>96</v>
      </c>
      <c r="C116" s="549" cm="1">
        <f t="array" ref="C116">IFERROR(
   INDEX('נתוני רישום ומצבת'!$B:$B,
      SMALL(
         IF(('נתוני רישום ומצבת'!A$2:A$2998='נתונים כלליים (1)'!$C$5),
         ROW('נתוני רישום ומצבת'!A$2:A$2998)),
      ROW(A96))
   ),
"")</f>
        <v>0</v>
      </c>
      <c r="D116" s="549" t="str">
        <f>IF(C116="", "",
   IFERROR(
      IF(VLOOKUP(C116, 'נתוני רישום ומצבת'!B:J, 9, FALSE) = $F$4,
         VLOOKUP(C116, 'נתוני רישום ומצבת'!B:J, 3, FALSE),
         "המוסד לא קיים ברשות"),
   "המוסד לא קיים"))</f>
        <v>המוסד לא קיים</v>
      </c>
      <c r="E116" s="176" t="str">
        <f>IFERROR(VLOOKUP(C116,'נתוני רישום ומצבת'!B:G,6,0),"")</f>
        <v/>
      </c>
      <c r="F116" s="281" t="str">
        <f>IFERROR(VLOOKUP(C116,'נתוני רישום ומצבת'!B:K,10,0)," ")</f>
        <v xml:space="preserve"> </v>
      </c>
      <c r="G116" s="443" t="str">
        <f>IFERROR(VLOOKUP(C116,'נתוני רישום ומצבת'!B:E,4,0)," ")</f>
        <v xml:space="preserve"> </v>
      </c>
      <c r="H116" s="444" t="str">
        <f>IFERROR(VLOOKUP(C116,'נתוני רישום ומצבת'!B:K,7,0),"")</f>
        <v/>
      </c>
      <c r="I116" s="180" t="str">
        <f t="shared" si="7"/>
        <v/>
      </c>
      <c r="J116" s="443" t="str">
        <f>IFERROR(VLOOKUP(C116,'נתוני רישום ומצבת'!B:I,5,0)," ")</f>
        <v xml:space="preserve"> </v>
      </c>
      <c r="K116" s="443" t="str">
        <f>IFERROR(VLOOKUP(C116,'נתוני רישום ומצבת'!B:I,8,0),"")</f>
        <v/>
      </c>
      <c r="L116" s="284">
        <f t="shared" si="8"/>
        <v>0</v>
      </c>
      <c r="M116" s="283" t="str">
        <f t="shared" si="6"/>
        <v>-</v>
      </c>
    </row>
    <row r="117" spans="2:13" x14ac:dyDescent="0.25">
      <c r="B117" s="280">
        <v>97</v>
      </c>
      <c r="C117" s="549" cm="1">
        <f t="array" ref="C117">IFERROR(
   INDEX('נתוני רישום ומצבת'!$B:$B,
      SMALL(
         IF(('נתוני רישום ומצבת'!A$2:A$2998='נתונים כלליים (1)'!$C$5),
         ROW('נתוני רישום ומצבת'!A$2:A$2998)),
      ROW(A97))
   ),
"")</f>
        <v>0</v>
      </c>
      <c r="D117" s="549" t="str">
        <f>IF(C117="", "",
   IFERROR(
      IF(VLOOKUP(C117, 'נתוני רישום ומצבת'!B:J, 9, FALSE) = $F$4,
         VLOOKUP(C117, 'נתוני רישום ומצבת'!B:J, 3, FALSE),
         "המוסד לא קיים ברשות"),
   "המוסד לא קיים"))</f>
        <v>המוסד לא קיים</v>
      </c>
      <c r="E117" s="176" t="str">
        <f>IFERROR(VLOOKUP(C117,'נתוני רישום ומצבת'!B:G,6,0),"")</f>
        <v/>
      </c>
      <c r="F117" s="281" t="str">
        <f>IFERROR(VLOOKUP(C117,'נתוני רישום ומצבת'!B:K,10,0)," ")</f>
        <v xml:space="preserve"> </v>
      </c>
      <c r="G117" s="443" t="str">
        <f>IFERROR(VLOOKUP(C117,'נתוני רישום ומצבת'!B:E,4,0)," ")</f>
        <v xml:space="preserve"> </v>
      </c>
      <c r="H117" s="444" t="str">
        <f>IFERROR(VLOOKUP(C117,'נתוני רישום ומצבת'!B:K,7,0),"")</f>
        <v/>
      </c>
      <c r="I117" s="180" t="str">
        <f t="shared" si="7"/>
        <v/>
      </c>
      <c r="J117" s="443" t="str">
        <f>IFERROR(VLOOKUP(C117,'נתוני רישום ומצבת'!B:I,5,0)," ")</f>
        <v xml:space="preserve"> </v>
      </c>
      <c r="K117" s="443" t="str">
        <f>IFERROR(VLOOKUP(C117,'נתוני רישום ומצבת'!B:I,8,0),"")</f>
        <v/>
      </c>
      <c r="L117" s="284">
        <f t="shared" si="8"/>
        <v>0</v>
      </c>
      <c r="M117" s="283" t="str">
        <f t="shared" si="6"/>
        <v>-</v>
      </c>
    </row>
    <row r="118" spans="2:13" x14ac:dyDescent="0.25">
      <c r="B118" s="280">
        <v>98</v>
      </c>
      <c r="C118" s="549" cm="1">
        <f t="array" ref="C118">IFERROR(
   INDEX('נתוני רישום ומצבת'!$B:$B,
      SMALL(
         IF(('נתוני רישום ומצבת'!A$2:A$2998='נתונים כלליים (1)'!$C$5),
         ROW('נתוני רישום ומצבת'!A$2:A$2998)),
      ROW(A98))
   ),
"")</f>
        <v>0</v>
      </c>
      <c r="D118" s="549" t="str">
        <f>IF(C118="", "",
   IFERROR(
      IF(VLOOKUP(C118, 'נתוני רישום ומצבת'!B:J, 9, FALSE) = $F$4,
         VLOOKUP(C118, 'נתוני רישום ומצבת'!B:J, 3, FALSE),
         "המוסד לא קיים ברשות"),
   "המוסד לא קיים"))</f>
        <v>המוסד לא קיים</v>
      </c>
      <c r="E118" s="176" t="str">
        <f>IFERROR(VLOOKUP(C118,'נתוני רישום ומצבת'!B:G,6,0),"")</f>
        <v/>
      </c>
      <c r="F118" s="281" t="str">
        <f>IFERROR(VLOOKUP(C118,'נתוני רישום ומצבת'!B:K,10,0)," ")</f>
        <v xml:space="preserve"> </v>
      </c>
      <c r="G118" s="443" t="str">
        <f>IFERROR(VLOOKUP(C118,'נתוני רישום ומצבת'!B:E,4,0)," ")</f>
        <v xml:space="preserve"> </v>
      </c>
      <c r="H118" s="444" t="str">
        <f>IFERROR(VLOOKUP(C118,'נתוני רישום ומצבת'!B:K,7,0),"")</f>
        <v/>
      </c>
      <c r="I118" s="180" t="str">
        <f t="shared" si="7"/>
        <v/>
      </c>
      <c r="J118" s="443" t="str">
        <f>IFERROR(VLOOKUP(C118,'נתוני רישום ומצבת'!B:I,5,0)," ")</f>
        <v xml:space="preserve"> </v>
      </c>
      <c r="K118" s="443" t="str">
        <f>IFERROR(VLOOKUP(C118,'נתוני רישום ומצבת'!B:I,8,0),"")</f>
        <v/>
      </c>
      <c r="L118" s="284">
        <f t="shared" si="8"/>
        <v>0</v>
      </c>
      <c r="M118" s="283" t="str">
        <f t="shared" si="6"/>
        <v>-</v>
      </c>
    </row>
    <row r="119" spans="2:13" x14ac:dyDescent="0.25">
      <c r="B119" s="280">
        <v>99</v>
      </c>
      <c r="C119" s="549" cm="1">
        <f t="array" ref="C119">IFERROR(
   INDEX('נתוני רישום ומצבת'!$B:$B,
      SMALL(
         IF(('נתוני רישום ומצבת'!A$2:A$2998='נתונים כלליים (1)'!$C$5),
         ROW('נתוני רישום ומצבת'!A$2:A$2998)),
      ROW(A99))
   ),
"")</f>
        <v>0</v>
      </c>
      <c r="D119" s="549" t="str">
        <f>IF(C119="", "",
   IFERROR(
      IF(VLOOKUP(C119, 'נתוני רישום ומצבת'!B:J, 9, FALSE) = $F$4,
         VLOOKUP(C119, 'נתוני רישום ומצבת'!B:J, 3, FALSE),
         "המוסד לא קיים ברשות"),
   "המוסד לא קיים"))</f>
        <v>המוסד לא קיים</v>
      </c>
      <c r="E119" s="176" t="str">
        <f>IFERROR(VLOOKUP(C119,'נתוני רישום ומצבת'!B:G,6,0),"")</f>
        <v/>
      </c>
      <c r="F119" s="281" t="str">
        <f>IFERROR(VLOOKUP(C119,'נתוני רישום ומצבת'!B:K,10,0)," ")</f>
        <v xml:space="preserve"> </v>
      </c>
      <c r="G119" s="443" t="str">
        <f>IFERROR(VLOOKUP(C119,'נתוני רישום ומצבת'!B:E,4,0)," ")</f>
        <v xml:space="preserve"> </v>
      </c>
      <c r="H119" s="444" t="str">
        <f>IFERROR(VLOOKUP(C119,'נתוני רישום ומצבת'!B:K,7,0),"")</f>
        <v/>
      </c>
      <c r="I119" s="180" t="str">
        <f t="shared" si="7"/>
        <v/>
      </c>
      <c r="J119" s="443" t="str">
        <f>IFERROR(VLOOKUP(C119,'נתוני רישום ומצבת'!B:I,5,0)," ")</f>
        <v xml:space="preserve"> </v>
      </c>
      <c r="K119" s="443" t="str">
        <f>IFERROR(VLOOKUP(C119,'נתוני רישום ומצבת'!B:I,8,0),"")</f>
        <v/>
      </c>
      <c r="L119" s="284">
        <f t="shared" si="8"/>
        <v>0</v>
      </c>
      <c r="M119" s="283" t="str">
        <f t="shared" si="6"/>
        <v>-</v>
      </c>
    </row>
    <row r="120" spans="2:13" x14ac:dyDescent="0.25">
      <c r="B120" s="280">
        <v>100</v>
      </c>
      <c r="C120" s="549" cm="1">
        <f t="array" ref="C120">IFERROR(
   INDEX('נתוני רישום ומצבת'!$B:$B,
      SMALL(
         IF(('נתוני רישום ומצבת'!A$2:A$2998='נתונים כלליים (1)'!$C$5),
         ROW('נתוני רישום ומצבת'!A$2:A$2998)),
      ROW(A100))
   ),
"")</f>
        <v>0</v>
      </c>
      <c r="D120" s="549" t="str">
        <f>IF(C120="", "",
   IFERROR(
      IF(VLOOKUP(C120, 'נתוני רישום ומצבת'!B:J, 9, FALSE) = $F$4,
         VLOOKUP(C120, 'נתוני רישום ומצבת'!B:J, 3, FALSE),
         "המוסד לא קיים ברשות"),
   "המוסד לא קיים"))</f>
        <v>המוסד לא קיים</v>
      </c>
      <c r="E120" s="176" t="str">
        <f>IFERROR(VLOOKUP(C120,'נתוני רישום ומצבת'!B:G,6,0),"")</f>
        <v/>
      </c>
      <c r="F120" s="281" t="str">
        <f>IFERROR(VLOOKUP(C120,'נתוני רישום ומצבת'!B:K,10,0)," ")</f>
        <v xml:space="preserve"> </v>
      </c>
      <c r="G120" s="443" t="str">
        <f>IFERROR(VLOOKUP(C120,'נתוני רישום ומצבת'!B:E,4,0)," ")</f>
        <v xml:space="preserve"> </v>
      </c>
      <c r="H120" s="444" t="str">
        <f>IFERROR(VLOOKUP(C120,'נתוני רישום ומצבת'!B:K,7,0),"")</f>
        <v/>
      </c>
      <c r="I120" s="180" t="str">
        <f t="shared" si="7"/>
        <v/>
      </c>
      <c r="J120" s="443" t="str">
        <f>IFERROR(VLOOKUP(C120,'נתוני רישום ומצבת'!B:I,5,0)," ")</f>
        <v xml:space="preserve"> </v>
      </c>
      <c r="K120" s="443" t="str">
        <f>IFERROR(VLOOKUP(C120,'נתוני רישום ומצבת'!B:I,8,0),"")</f>
        <v/>
      </c>
      <c r="L120" s="284">
        <f t="shared" si="8"/>
        <v>0</v>
      </c>
      <c r="M120" s="283" t="str">
        <f t="shared" si="6"/>
        <v>-</v>
      </c>
    </row>
    <row r="121" spans="2:13" x14ac:dyDescent="0.25">
      <c r="B121" s="280">
        <v>101</v>
      </c>
      <c r="C121" s="549" cm="1">
        <f t="array" ref="C121">IFERROR(
   INDEX('נתוני רישום ומצבת'!$B:$B,
      SMALL(
         IF(('נתוני רישום ומצבת'!A$2:A$2998='נתונים כלליים (1)'!$C$5),
         ROW('נתוני רישום ומצבת'!A$2:A$2998)),
      ROW(A101))
   ),
"")</f>
        <v>0</v>
      </c>
      <c r="D121" s="549" t="str">
        <f>IF(C121="", "",
   IFERROR(
      IF(VLOOKUP(C121, 'נתוני רישום ומצבת'!B:J, 9, FALSE) = $F$4,
         VLOOKUP(C121, 'נתוני רישום ומצבת'!B:J, 3, FALSE),
         "המוסד לא קיים ברשות"),
   "המוסד לא קיים"))</f>
        <v>המוסד לא קיים</v>
      </c>
      <c r="E121" s="176" t="str">
        <f>IFERROR(VLOOKUP(C121,'נתוני רישום ומצבת'!B:G,6,0),"")</f>
        <v/>
      </c>
      <c r="F121" s="281" t="str">
        <f>IFERROR(VLOOKUP(C121,'נתוני רישום ומצבת'!B:K,10,0)," ")</f>
        <v xml:space="preserve"> </v>
      </c>
      <c r="G121" s="443" t="str">
        <f>IFERROR(VLOOKUP(C121,'נתוני רישום ומצבת'!B:E,4,0)," ")</f>
        <v xml:space="preserve"> </v>
      </c>
      <c r="H121" s="444" t="str">
        <f>IFERROR(VLOOKUP(C121,'נתוני רישום ומצבת'!B:K,7,0),"")</f>
        <v/>
      </c>
      <c r="I121" s="180" t="str">
        <f t="shared" si="7"/>
        <v/>
      </c>
      <c r="J121" s="443" t="str">
        <f>IFERROR(VLOOKUP(C121,'נתוני רישום ומצבת'!B:I,5,0)," ")</f>
        <v xml:space="preserve"> </v>
      </c>
      <c r="K121" s="443" t="str">
        <f>IFERROR(VLOOKUP(C121,'נתוני רישום ומצבת'!B:I,8,0),"")</f>
        <v/>
      </c>
      <c r="L121" s="284">
        <f t="shared" si="8"/>
        <v>0</v>
      </c>
      <c r="M121" s="283" t="str">
        <f t="shared" si="6"/>
        <v>-</v>
      </c>
    </row>
    <row r="122" spans="2:13" x14ac:dyDescent="0.25">
      <c r="B122" s="280">
        <v>102</v>
      </c>
      <c r="C122" s="549" cm="1">
        <f t="array" ref="C122">IFERROR(
   INDEX('נתוני רישום ומצבת'!$B:$B,
      SMALL(
         IF(('נתוני רישום ומצבת'!A$2:A$2998='נתונים כלליים (1)'!$C$5),
         ROW('נתוני רישום ומצבת'!A$2:A$2998)),
      ROW(A102))
   ),
"")</f>
        <v>0</v>
      </c>
      <c r="D122" s="549" t="str">
        <f>IF(C122="", "",
   IFERROR(
      IF(VLOOKUP(C122, 'נתוני רישום ומצבת'!B:J, 9, FALSE) = $F$4,
         VLOOKUP(C122, 'נתוני רישום ומצבת'!B:J, 3, FALSE),
         "המוסד לא קיים ברשות"),
   "המוסד לא קיים"))</f>
        <v>המוסד לא קיים</v>
      </c>
      <c r="E122" s="176" t="str">
        <f>IFERROR(VLOOKUP(C122,'נתוני רישום ומצבת'!B:G,6,0),"")</f>
        <v/>
      </c>
      <c r="F122" s="281" t="str">
        <f>IFERROR(VLOOKUP(C122,'נתוני רישום ומצבת'!B:K,10,0)," ")</f>
        <v xml:space="preserve"> </v>
      </c>
      <c r="G122" s="443" t="str">
        <f>IFERROR(VLOOKUP(C122,'נתוני רישום ומצבת'!B:E,4,0)," ")</f>
        <v xml:space="preserve"> </v>
      </c>
      <c r="H122" s="444" t="str">
        <f>IFERROR(VLOOKUP(C122,'נתוני רישום ומצבת'!B:K,7,0),"")</f>
        <v/>
      </c>
      <c r="I122" s="180" t="str">
        <f t="shared" si="7"/>
        <v/>
      </c>
      <c r="J122" s="443" t="str">
        <f>IFERROR(VLOOKUP(C122,'נתוני רישום ומצבת'!B:I,5,0)," ")</f>
        <v xml:space="preserve"> </v>
      </c>
      <c r="K122" s="443" t="str">
        <f>IFERROR(VLOOKUP(C122,'נתוני רישום ומצבת'!B:I,8,0),"")</f>
        <v/>
      </c>
      <c r="L122" s="284">
        <f t="shared" si="8"/>
        <v>0</v>
      </c>
      <c r="M122" s="283" t="str">
        <f t="shared" si="6"/>
        <v>-</v>
      </c>
    </row>
    <row r="123" spans="2:13" x14ac:dyDescent="0.25">
      <c r="B123" s="280">
        <v>103</v>
      </c>
      <c r="C123" s="549" cm="1">
        <f t="array" ref="C123">IFERROR(
   INDEX('נתוני רישום ומצבת'!$B:$B,
      SMALL(
         IF(('נתוני רישום ומצבת'!A$2:A$2998='נתונים כלליים (1)'!$C$5),
         ROW('נתוני רישום ומצבת'!A$2:A$2998)),
      ROW(A103))
   ),
"")</f>
        <v>0</v>
      </c>
      <c r="D123" s="549" t="str">
        <f>IF(C123="", "",
   IFERROR(
      IF(VLOOKUP(C123, 'נתוני רישום ומצבת'!B:J, 9, FALSE) = $F$4,
         VLOOKUP(C123, 'נתוני רישום ומצבת'!B:J, 3, FALSE),
         "המוסד לא קיים ברשות"),
   "המוסד לא קיים"))</f>
        <v>המוסד לא קיים</v>
      </c>
      <c r="E123" s="176" t="str">
        <f>IFERROR(VLOOKUP(C123,'נתוני רישום ומצבת'!B:G,6,0),"")</f>
        <v/>
      </c>
      <c r="F123" s="281" t="str">
        <f>IFERROR(VLOOKUP(C123,'נתוני רישום ומצבת'!B:K,10,0)," ")</f>
        <v xml:space="preserve"> </v>
      </c>
      <c r="G123" s="443" t="str">
        <f>IFERROR(VLOOKUP(C123,'נתוני רישום ומצבת'!B:E,4,0)," ")</f>
        <v xml:space="preserve"> </v>
      </c>
      <c r="H123" s="444" t="str">
        <f>IFERROR(VLOOKUP(C123,'נתוני רישום ומצבת'!B:K,7,0),"")</f>
        <v/>
      </c>
      <c r="I123" s="180" t="str">
        <f t="shared" si="7"/>
        <v/>
      </c>
      <c r="J123" s="443" t="str">
        <f>IFERROR(VLOOKUP(C123,'נתוני רישום ומצבת'!B:I,5,0)," ")</f>
        <v xml:space="preserve"> </v>
      </c>
      <c r="K123" s="443" t="str">
        <f>IFERROR(VLOOKUP(C123,'נתוני רישום ומצבת'!B:I,8,0),"")</f>
        <v/>
      </c>
      <c r="L123" s="284">
        <f t="shared" si="8"/>
        <v>0</v>
      </c>
      <c r="M123" s="283" t="str">
        <f t="shared" si="6"/>
        <v>-</v>
      </c>
    </row>
    <row r="124" spans="2:13" x14ac:dyDescent="0.25">
      <c r="B124" s="280">
        <v>104</v>
      </c>
      <c r="C124" s="549" cm="1">
        <f t="array" ref="C124">IFERROR(
   INDEX('נתוני רישום ומצבת'!$B:$B,
      SMALL(
         IF(('נתוני רישום ומצבת'!A$2:A$2998='נתונים כלליים (1)'!$C$5),
         ROW('נתוני רישום ומצבת'!A$2:A$2998)),
      ROW(A104))
   ),
"")</f>
        <v>0</v>
      </c>
      <c r="D124" s="549" t="str">
        <f>IF(C124="", "",
   IFERROR(
      IF(VLOOKUP(C124, 'נתוני רישום ומצבת'!B:J, 9, FALSE) = $F$4,
         VLOOKUP(C124, 'נתוני רישום ומצבת'!B:J, 3, FALSE),
         "המוסד לא קיים ברשות"),
   "המוסד לא קיים"))</f>
        <v>המוסד לא קיים</v>
      </c>
      <c r="E124" s="176" t="str">
        <f>IFERROR(VLOOKUP(C124,'נתוני רישום ומצבת'!B:G,6,0),"")</f>
        <v/>
      </c>
      <c r="F124" s="281" t="str">
        <f>IFERROR(VLOOKUP(C124,'נתוני רישום ומצבת'!B:K,10,0)," ")</f>
        <v xml:space="preserve"> </v>
      </c>
      <c r="G124" s="443" t="str">
        <f>IFERROR(VLOOKUP(C124,'נתוני רישום ומצבת'!B:E,4,0)," ")</f>
        <v xml:space="preserve"> </v>
      </c>
      <c r="H124" s="444" t="str">
        <f>IFERROR(VLOOKUP(C124,'נתוני רישום ומצבת'!B:K,7,0),"")</f>
        <v/>
      </c>
      <c r="I124" s="180" t="str">
        <f t="shared" si="7"/>
        <v/>
      </c>
      <c r="J124" s="443" t="str">
        <f>IFERROR(VLOOKUP(C124,'נתוני רישום ומצבת'!B:I,5,0)," ")</f>
        <v xml:space="preserve"> </v>
      </c>
      <c r="K124" s="443" t="str">
        <f>IFERROR(VLOOKUP(C124,'נתוני רישום ומצבת'!B:I,8,0),"")</f>
        <v/>
      </c>
      <c r="L124" s="284">
        <f t="shared" si="8"/>
        <v>0</v>
      </c>
      <c r="M124" s="283" t="str">
        <f t="shared" si="6"/>
        <v>-</v>
      </c>
    </row>
    <row r="125" spans="2:13" x14ac:dyDescent="0.25">
      <c r="B125" s="280">
        <v>105</v>
      </c>
      <c r="C125" s="549" cm="1">
        <f t="array" ref="C125">IFERROR(
   INDEX('נתוני רישום ומצבת'!$B:$B,
      SMALL(
         IF(('נתוני רישום ומצבת'!A$2:A$2998='נתונים כלליים (1)'!$C$5),
         ROW('נתוני רישום ומצבת'!A$2:A$2998)),
      ROW(A105))
   ),
"")</f>
        <v>0</v>
      </c>
      <c r="D125" s="549" t="str">
        <f>IF(C125="", "",
   IFERROR(
      IF(VLOOKUP(C125, 'נתוני רישום ומצבת'!B:J, 9, FALSE) = $F$4,
         VLOOKUP(C125, 'נתוני רישום ומצבת'!B:J, 3, FALSE),
         "המוסד לא קיים ברשות"),
   "המוסד לא קיים"))</f>
        <v>המוסד לא קיים</v>
      </c>
      <c r="E125" s="176" t="str">
        <f>IFERROR(VLOOKUP(C125,'נתוני רישום ומצבת'!B:G,6,0),"")</f>
        <v/>
      </c>
      <c r="F125" s="281" t="str">
        <f>IFERROR(VLOOKUP(C125,'נתוני רישום ומצבת'!B:K,10,0)," ")</f>
        <v xml:space="preserve"> </v>
      </c>
      <c r="G125" s="443" t="str">
        <f>IFERROR(VLOOKUP(C125,'נתוני רישום ומצבת'!B:E,4,0)," ")</f>
        <v xml:space="preserve"> </v>
      </c>
      <c r="H125" s="444" t="str">
        <f>IFERROR(VLOOKUP(C125,'נתוני רישום ומצבת'!B:K,7,0),"")</f>
        <v/>
      </c>
      <c r="I125" s="180" t="str">
        <f t="shared" si="7"/>
        <v/>
      </c>
      <c r="J125" s="443" t="str">
        <f>IFERROR(VLOOKUP(C125,'נתוני רישום ומצבת'!B:I,5,0)," ")</f>
        <v xml:space="preserve"> </v>
      </c>
      <c r="K125" s="443" t="str">
        <f>IFERROR(VLOOKUP(C125,'נתוני רישום ומצבת'!B:I,8,0),"")</f>
        <v/>
      </c>
      <c r="L125" s="284">
        <f t="shared" si="8"/>
        <v>0</v>
      </c>
      <c r="M125" s="283" t="str">
        <f t="shared" si="6"/>
        <v>-</v>
      </c>
    </row>
    <row r="126" spans="2:13" x14ac:dyDescent="0.25">
      <c r="B126" s="280">
        <v>106</v>
      </c>
      <c r="C126" s="549" cm="1">
        <f t="array" ref="C126">IFERROR(
   INDEX('נתוני רישום ומצבת'!$B:$B,
      SMALL(
         IF(('נתוני רישום ומצבת'!A$2:A$2998='נתונים כלליים (1)'!$C$5),
         ROW('נתוני רישום ומצבת'!A$2:A$2998)),
      ROW(A106))
   ),
"")</f>
        <v>0</v>
      </c>
      <c r="D126" s="549" t="str">
        <f>IF(C126="", "",
   IFERROR(
      IF(VLOOKUP(C126, 'נתוני רישום ומצבת'!B:J, 9, FALSE) = $F$4,
         VLOOKUP(C126, 'נתוני רישום ומצבת'!B:J, 3, FALSE),
         "המוסד לא קיים ברשות"),
   "המוסד לא קיים"))</f>
        <v>המוסד לא קיים</v>
      </c>
      <c r="E126" s="176" t="str">
        <f>IFERROR(VLOOKUP(C126,'נתוני רישום ומצבת'!B:G,6,0),"")</f>
        <v/>
      </c>
      <c r="F126" s="281" t="str">
        <f>IFERROR(VLOOKUP(C126,'נתוני רישום ומצבת'!B:K,10,0)," ")</f>
        <v xml:space="preserve"> </v>
      </c>
      <c r="G126" s="443" t="str">
        <f>IFERROR(VLOOKUP(C126,'נתוני רישום ומצבת'!B:E,4,0)," ")</f>
        <v xml:space="preserve"> </v>
      </c>
      <c r="H126" s="444" t="str">
        <f>IFERROR(VLOOKUP(C126,'נתוני רישום ומצבת'!B:K,7,0),"")</f>
        <v/>
      </c>
      <c r="I126" s="180" t="str">
        <f t="shared" si="7"/>
        <v/>
      </c>
      <c r="J126" s="443" t="str">
        <f>IFERROR(VLOOKUP(C126,'נתוני רישום ומצבת'!B:I,5,0)," ")</f>
        <v xml:space="preserve"> </v>
      </c>
      <c r="K126" s="443" t="str">
        <f>IFERROR(VLOOKUP(C126,'נתוני רישום ומצבת'!B:I,8,0),"")</f>
        <v/>
      </c>
      <c r="L126" s="284">
        <f t="shared" si="8"/>
        <v>0</v>
      </c>
      <c r="M126" s="283" t="str">
        <f t="shared" si="6"/>
        <v>-</v>
      </c>
    </row>
    <row r="127" spans="2:13" x14ac:dyDescent="0.25">
      <c r="B127" s="280">
        <v>107</v>
      </c>
      <c r="C127" s="549" cm="1">
        <f t="array" ref="C127">IFERROR(
   INDEX('נתוני רישום ומצבת'!$B:$B,
      SMALL(
         IF(('נתוני רישום ומצבת'!A$2:A$2998='נתונים כלליים (1)'!$C$5),
         ROW('נתוני רישום ומצבת'!A$2:A$2998)),
      ROW(A107))
   ),
"")</f>
        <v>0</v>
      </c>
      <c r="D127" s="549" t="str">
        <f>IF(C127="", "",
   IFERROR(
      IF(VLOOKUP(C127, 'נתוני רישום ומצבת'!B:J, 9, FALSE) = $F$4,
         VLOOKUP(C127, 'נתוני רישום ומצבת'!B:J, 3, FALSE),
         "המוסד לא קיים ברשות"),
   "המוסד לא קיים"))</f>
        <v>המוסד לא קיים</v>
      </c>
      <c r="E127" s="176" t="str">
        <f>IFERROR(VLOOKUP(C127,'נתוני רישום ומצבת'!B:G,6,0),"")</f>
        <v/>
      </c>
      <c r="F127" s="281" t="str">
        <f>IFERROR(VLOOKUP(C127,'נתוני רישום ומצבת'!B:K,10,0)," ")</f>
        <v xml:space="preserve"> </v>
      </c>
      <c r="G127" s="443" t="str">
        <f>IFERROR(VLOOKUP(C127,'נתוני רישום ומצבת'!B:E,4,0)," ")</f>
        <v xml:space="preserve"> </v>
      </c>
      <c r="H127" s="444" t="str">
        <f>IFERROR(VLOOKUP(C127,'נתוני רישום ומצבת'!B:K,7,0),"")</f>
        <v/>
      </c>
      <c r="I127" s="180" t="str">
        <f t="shared" si="7"/>
        <v/>
      </c>
      <c r="J127" s="443" t="str">
        <f>IFERROR(VLOOKUP(C127,'נתוני רישום ומצבת'!B:I,5,0)," ")</f>
        <v xml:space="preserve"> </v>
      </c>
      <c r="K127" s="443" t="str">
        <f>IFERROR(VLOOKUP(C127,'נתוני רישום ומצבת'!B:I,8,0),"")</f>
        <v/>
      </c>
      <c r="L127" s="284">
        <f t="shared" si="8"/>
        <v>0</v>
      </c>
      <c r="M127" s="283" t="str">
        <f t="shared" si="6"/>
        <v>-</v>
      </c>
    </row>
    <row r="128" spans="2:13" x14ac:dyDescent="0.25">
      <c r="B128" s="280">
        <v>108</v>
      </c>
      <c r="C128" s="549" cm="1">
        <f t="array" ref="C128">IFERROR(
   INDEX('נתוני רישום ומצבת'!$B:$B,
      SMALL(
         IF(('נתוני רישום ומצבת'!A$2:A$2998='נתונים כלליים (1)'!$C$5),
         ROW('נתוני רישום ומצבת'!A$2:A$2998)),
      ROW(A108))
   ),
"")</f>
        <v>0</v>
      </c>
      <c r="D128" s="549" t="str">
        <f>IF(C128="", "",
   IFERROR(
      IF(VLOOKUP(C128, 'נתוני רישום ומצבת'!B:J, 9, FALSE) = $F$4,
         VLOOKUP(C128, 'נתוני רישום ומצבת'!B:J, 3, FALSE),
         "המוסד לא קיים ברשות"),
   "המוסד לא קיים"))</f>
        <v>המוסד לא קיים</v>
      </c>
      <c r="E128" s="176" t="str">
        <f>IFERROR(VLOOKUP(C128,'נתוני רישום ומצבת'!B:G,6,0),"")</f>
        <v/>
      </c>
      <c r="F128" s="281" t="str">
        <f>IFERROR(VLOOKUP(C128,'נתוני רישום ומצבת'!B:K,10,0)," ")</f>
        <v xml:space="preserve"> </v>
      </c>
      <c r="G128" s="443" t="str">
        <f>IFERROR(VLOOKUP(C128,'נתוני רישום ומצבת'!B:E,4,0)," ")</f>
        <v xml:space="preserve"> </v>
      </c>
      <c r="H128" s="444" t="str">
        <f>IFERROR(VLOOKUP(C128,'נתוני רישום ומצבת'!B:K,7,0),"")</f>
        <v/>
      </c>
      <c r="I128" s="180" t="str">
        <f t="shared" si="7"/>
        <v/>
      </c>
      <c r="J128" s="443" t="str">
        <f>IFERROR(VLOOKUP(C128,'נתוני רישום ומצבת'!B:I,5,0)," ")</f>
        <v xml:space="preserve"> </v>
      </c>
      <c r="K128" s="443" t="str">
        <f>IFERROR(VLOOKUP(C128,'נתוני רישום ומצבת'!B:I,8,0),"")</f>
        <v/>
      </c>
      <c r="L128" s="284">
        <f t="shared" si="8"/>
        <v>0</v>
      </c>
      <c r="M128" s="283" t="str">
        <f t="shared" si="6"/>
        <v>-</v>
      </c>
    </row>
    <row r="129" spans="2:13" x14ac:dyDescent="0.25">
      <c r="B129" s="280">
        <v>109</v>
      </c>
      <c r="C129" s="549" t="str" cm="1">
        <f t="array" ref="C129">IFERROR(
   INDEX('נתוני רישום ומצבת'!$B:$B,
      SMALL(
         IF(('נתוני רישום ומצבת'!A$2:A$2998='נתונים כלליים (1)'!$C$5),
         ROW('נתוני רישום ומצבת'!A$2:A$2998)),
      ROW(A109))
   ),
"")</f>
        <v/>
      </c>
      <c r="D129" s="549" t="str">
        <f>IF(C129="", "",
   IFERROR(
      IF(VLOOKUP(C129, 'נתוני רישום ומצבת'!B:J, 9, FALSE) = $F$4,
         VLOOKUP(C129, 'נתוני רישום ומצבת'!B:J, 3, FALSE),
         "המוסד לא קיים ברשות"),
   "המוסד לא קיים"))</f>
        <v/>
      </c>
      <c r="E129" s="176" t="str">
        <f>IFERROR(VLOOKUP(C129,'נתוני רישום ומצבת'!B:G,6,0),"")</f>
        <v/>
      </c>
      <c r="F129" s="281" t="str">
        <f>IFERROR(VLOOKUP(C129,'נתוני רישום ומצבת'!B:K,10,0)," ")</f>
        <v xml:space="preserve"> </v>
      </c>
      <c r="G129" s="443" t="str">
        <f>IFERROR(VLOOKUP(C129,'נתוני רישום ומצבת'!B:E,4,0)," ")</f>
        <v xml:space="preserve"> </v>
      </c>
      <c r="H129" s="444" t="str">
        <f>IFERROR(VLOOKUP(C129,'נתוני רישום ומצבת'!B:K,7,0),"")</f>
        <v/>
      </c>
      <c r="I129" s="180" t="str">
        <f t="shared" si="7"/>
        <v/>
      </c>
      <c r="J129" s="443" t="str">
        <f>IFERROR(VLOOKUP(C129,'נתוני רישום ומצבת'!B:I,5,0)," ")</f>
        <v xml:space="preserve"> </v>
      </c>
      <c r="K129" s="443" t="str">
        <f>IFERROR(VLOOKUP(C129,'נתוני רישום ומצבת'!B:I,8,0),"")</f>
        <v/>
      </c>
      <c r="L129" s="284">
        <f t="shared" si="8"/>
        <v>0</v>
      </c>
      <c r="M129" s="283" t="str">
        <f t="shared" si="6"/>
        <v>-</v>
      </c>
    </row>
    <row r="130" spans="2:13" x14ac:dyDescent="0.25">
      <c r="B130" s="280">
        <v>110</v>
      </c>
      <c r="C130" s="549" t="str" cm="1">
        <f t="array" ref="C130">IFERROR(
   INDEX('נתוני רישום ומצבת'!$B:$B,
      SMALL(
         IF(('נתוני רישום ומצבת'!A$2:A$2998='נתונים כלליים (1)'!$C$5),
         ROW('נתוני רישום ומצבת'!A$2:A$2998)),
      ROW(A110))
   ),
"")</f>
        <v/>
      </c>
      <c r="D130" s="549" t="str">
        <f>IF(C130="", "",
   IFERROR(
      IF(VLOOKUP(C130, 'נתוני רישום ומצבת'!B:J, 9, FALSE) = $F$4,
         VLOOKUP(C130, 'נתוני רישום ומצבת'!B:J, 3, FALSE),
         "המוסד לא קיים ברשות"),
   "המוסד לא קיים"))</f>
        <v/>
      </c>
      <c r="E130" s="176" t="str">
        <f>IFERROR(VLOOKUP(C130,'נתוני רישום ומצבת'!B:G,6,0),"")</f>
        <v/>
      </c>
      <c r="F130" s="281" t="str">
        <f>IFERROR(VLOOKUP(C130,'נתוני רישום ומצבת'!B:K,10,0)," ")</f>
        <v xml:space="preserve"> </v>
      </c>
      <c r="G130" s="443" t="str">
        <f>IFERROR(VLOOKUP(C130,'נתוני רישום ומצבת'!B:E,4,0)," ")</f>
        <v xml:space="preserve"> </v>
      </c>
      <c r="H130" s="444" t="str">
        <f>IFERROR(VLOOKUP(C130,'נתוני רישום ומצבת'!B:K,7,0),"")</f>
        <v/>
      </c>
      <c r="I130" s="180" t="str">
        <f t="shared" si="7"/>
        <v/>
      </c>
      <c r="J130" s="443" t="str">
        <f>IFERROR(VLOOKUP(C130,'נתוני רישום ומצבת'!B:I,5,0)," ")</f>
        <v xml:space="preserve"> </v>
      </c>
      <c r="K130" s="443" t="str">
        <f>IFERROR(VLOOKUP(C130,'נתוני רישום ומצבת'!B:I,8,0),"")</f>
        <v/>
      </c>
      <c r="L130" s="284">
        <f t="shared" si="8"/>
        <v>0</v>
      </c>
      <c r="M130" s="283" t="str">
        <f t="shared" si="6"/>
        <v>-</v>
      </c>
    </row>
    <row r="131" spans="2:13" x14ac:dyDescent="0.25">
      <c r="B131" s="280">
        <v>111</v>
      </c>
      <c r="C131" s="549" t="str" cm="1">
        <f t="array" ref="C131">IFERROR(
   INDEX('נתוני רישום ומצבת'!$B:$B,
      SMALL(
         IF(('נתוני רישום ומצבת'!A$2:A$2998='נתונים כלליים (1)'!$C$5),
         ROW('נתוני רישום ומצבת'!A$2:A$2998)),
      ROW(A111))
   ),
"")</f>
        <v/>
      </c>
      <c r="D131" s="549" t="str">
        <f>IF(C131="", "",
   IFERROR(
      IF(VLOOKUP(C131, 'נתוני רישום ומצבת'!B:J, 9, FALSE) = $F$4,
         VLOOKUP(C131, 'נתוני רישום ומצבת'!B:J, 3, FALSE),
         "המוסד לא קיים ברשות"),
   "המוסד לא קיים"))</f>
        <v/>
      </c>
      <c r="E131" s="176" t="str">
        <f>IFERROR(VLOOKUP(C131,'נתוני רישום ומצבת'!B:G,6,0),"")</f>
        <v/>
      </c>
      <c r="F131" s="281" t="str">
        <f>IFERROR(VLOOKUP(C131,'נתוני רישום ומצבת'!B:K,10,0)," ")</f>
        <v xml:space="preserve"> </v>
      </c>
      <c r="G131" s="443" t="str">
        <f>IFERROR(VLOOKUP(C131,'נתוני רישום ומצבת'!B:E,4,0)," ")</f>
        <v xml:space="preserve"> </v>
      </c>
      <c r="H131" s="444" t="str">
        <f>IFERROR(VLOOKUP(C131,'נתוני רישום ומצבת'!B:K,7,0),"")</f>
        <v/>
      </c>
      <c r="I131" s="180" t="str">
        <f t="shared" si="7"/>
        <v/>
      </c>
      <c r="J131" s="443" t="str">
        <f>IFERROR(VLOOKUP(C131,'נתוני רישום ומצבת'!B:I,5,0)," ")</f>
        <v xml:space="preserve"> </v>
      </c>
      <c r="K131" s="443" t="str">
        <f>IFERROR(VLOOKUP(C131,'נתוני רישום ומצבת'!B:I,8,0),"")</f>
        <v/>
      </c>
      <c r="L131" s="284">
        <f t="shared" si="8"/>
        <v>0</v>
      </c>
      <c r="M131" s="283" t="str">
        <f t="shared" si="6"/>
        <v>-</v>
      </c>
    </row>
    <row r="132" spans="2:13" x14ac:dyDescent="0.25">
      <c r="B132" s="280">
        <v>112</v>
      </c>
      <c r="C132" s="549" t="str" cm="1">
        <f t="array" ref="C132">IFERROR(
   INDEX('נתוני רישום ומצבת'!$B:$B,
      SMALL(
         IF(('נתוני רישום ומצבת'!A$2:A$2998='נתונים כלליים (1)'!$C$5),
         ROW('נתוני רישום ומצבת'!A$2:A$2998)),
      ROW(A112))
   ),
"")</f>
        <v/>
      </c>
      <c r="D132" s="549" t="str">
        <f>IF(C132="", "",
   IFERROR(
      IF(VLOOKUP(C132, 'נתוני רישום ומצבת'!B:J, 9, FALSE) = $F$4,
         VLOOKUP(C132, 'נתוני רישום ומצבת'!B:J, 3, FALSE),
         "המוסד לא קיים ברשות"),
   "המוסד לא קיים"))</f>
        <v/>
      </c>
      <c r="E132" s="176" t="str">
        <f>IFERROR(VLOOKUP(C132,'נתוני רישום ומצבת'!B:G,6,0),"")</f>
        <v/>
      </c>
      <c r="F132" s="281" t="str">
        <f>IFERROR(VLOOKUP(C132,'נתוני רישום ומצבת'!B:K,10,0)," ")</f>
        <v xml:space="preserve"> </v>
      </c>
      <c r="G132" s="443" t="str">
        <f>IFERROR(VLOOKUP(C132,'נתוני רישום ומצבת'!B:E,4,0)," ")</f>
        <v xml:space="preserve"> </v>
      </c>
      <c r="H132" s="444" t="str">
        <f>IFERROR(VLOOKUP(C132,'נתוני רישום ומצבת'!B:K,7,0),"")</f>
        <v/>
      </c>
      <c r="I132" s="180" t="str">
        <f t="shared" si="7"/>
        <v/>
      </c>
      <c r="J132" s="443" t="str">
        <f>IFERROR(VLOOKUP(C132,'נתוני רישום ומצבת'!B:I,5,0)," ")</f>
        <v xml:space="preserve"> </v>
      </c>
      <c r="K132" s="443" t="str">
        <f>IFERROR(VLOOKUP(C132,'נתוני רישום ומצבת'!B:I,8,0),"")</f>
        <v/>
      </c>
      <c r="L132" s="284">
        <f t="shared" si="8"/>
        <v>0</v>
      </c>
      <c r="M132" s="283" t="str">
        <f t="shared" si="6"/>
        <v>-</v>
      </c>
    </row>
    <row r="133" spans="2:13" x14ac:dyDescent="0.25">
      <c r="B133" s="280">
        <v>113</v>
      </c>
      <c r="C133" s="549" t="str" cm="1">
        <f t="array" ref="C133">IFERROR(
   INDEX('נתוני רישום ומצבת'!$B:$B,
      SMALL(
         IF(('נתוני רישום ומצבת'!A$2:A$2998='נתונים כלליים (1)'!$C$5),
         ROW('נתוני רישום ומצבת'!A$2:A$2998)),
      ROW(A113))
   ),
"")</f>
        <v/>
      </c>
      <c r="D133" s="549" t="str">
        <f>IF(C133="", "",
   IFERROR(
      IF(VLOOKUP(C133, 'נתוני רישום ומצבת'!B:J, 9, FALSE) = $F$4,
         VLOOKUP(C133, 'נתוני רישום ומצבת'!B:J, 3, FALSE),
         "המוסד לא קיים ברשות"),
   "המוסד לא קיים"))</f>
        <v/>
      </c>
      <c r="E133" s="176" t="str">
        <f>IFERROR(VLOOKUP(C133,'נתוני רישום ומצבת'!B:G,6,0),"")</f>
        <v/>
      </c>
      <c r="F133" s="281" t="str">
        <f>IFERROR(VLOOKUP(C133,'נתוני רישום ומצבת'!B:K,10,0)," ")</f>
        <v xml:space="preserve"> </v>
      </c>
      <c r="G133" s="443" t="str">
        <f>IFERROR(VLOOKUP(C133,'נתוני רישום ומצבת'!B:E,4,0)," ")</f>
        <v xml:space="preserve"> </v>
      </c>
      <c r="H133" s="444" t="str">
        <f>IFERROR(VLOOKUP(C133,'נתוני רישום ומצבת'!B:K,7,0),"")</f>
        <v/>
      </c>
      <c r="I133" s="180" t="str">
        <f t="shared" si="7"/>
        <v/>
      </c>
      <c r="J133" s="443" t="str">
        <f>IFERROR(VLOOKUP(C133,'נתוני רישום ומצבת'!B:I,5,0)," ")</f>
        <v xml:space="preserve"> </v>
      </c>
      <c r="K133" s="443" t="str">
        <f>IFERROR(VLOOKUP(C133,'נתוני רישום ומצבת'!B:I,8,0),"")</f>
        <v/>
      </c>
      <c r="L133" s="284">
        <f t="shared" si="8"/>
        <v>0</v>
      </c>
      <c r="M133" s="283" t="str">
        <f t="shared" si="6"/>
        <v>-</v>
      </c>
    </row>
    <row r="134" spans="2:13" x14ac:dyDescent="0.25">
      <c r="B134" s="280">
        <v>114</v>
      </c>
      <c r="C134" s="549" t="str" cm="1">
        <f t="array" ref="C134">IFERROR(
   INDEX('נתוני רישום ומצבת'!$B:$B,
      SMALL(
         IF(('נתוני רישום ומצבת'!A$2:A$2998='נתונים כלליים (1)'!$C$5),
         ROW('נתוני רישום ומצבת'!A$2:A$2998)),
      ROW(A114))
   ),
"")</f>
        <v/>
      </c>
      <c r="D134" s="549" t="str">
        <f>IF(C134="", "",
   IFERROR(
      IF(VLOOKUP(C134, 'נתוני רישום ומצבת'!B:J, 9, FALSE) = $F$4,
         VLOOKUP(C134, 'נתוני רישום ומצבת'!B:J, 3, FALSE),
         "המוסד לא קיים ברשות"),
   "המוסד לא קיים"))</f>
        <v/>
      </c>
      <c r="E134" s="176" t="str">
        <f>IFERROR(VLOOKUP(C134,'נתוני רישום ומצבת'!B:G,6,0),"")</f>
        <v/>
      </c>
      <c r="F134" s="281" t="str">
        <f>IFERROR(VLOOKUP(C134,'נתוני רישום ומצבת'!B:K,10,0)," ")</f>
        <v xml:space="preserve"> </v>
      </c>
      <c r="G134" s="443" t="str">
        <f>IFERROR(VLOOKUP(C134,'נתוני רישום ומצבת'!B:E,4,0)," ")</f>
        <v xml:space="preserve"> </v>
      </c>
      <c r="H134" s="444" t="str">
        <f>IFERROR(VLOOKUP(C134,'נתוני רישום ומצבת'!B:K,7,0),"")</f>
        <v/>
      </c>
      <c r="I134" s="180" t="str">
        <f t="shared" si="7"/>
        <v/>
      </c>
      <c r="J134" s="443" t="str">
        <f>IFERROR(VLOOKUP(C134,'נתוני רישום ומצבת'!B:I,5,0)," ")</f>
        <v xml:space="preserve"> </v>
      </c>
      <c r="K134" s="443" t="str">
        <f>IFERROR(VLOOKUP(C134,'נתוני רישום ומצבת'!B:I,8,0),"")</f>
        <v/>
      </c>
      <c r="L134" s="284">
        <f t="shared" si="8"/>
        <v>0</v>
      </c>
      <c r="M134" s="283" t="str">
        <f t="shared" si="6"/>
        <v>-</v>
      </c>
    </row>
    <row r="135" spans="2:13" x14ac:dyDescent="0.25">
      <c r="B135" s="280">
        <v>115</v>
      </c>
      <c r="C135" s="549" t="str" cm="1">
        <f t="array" ref="C135">IFERROR(
   INDEX('נתוני רישום ומצבת'!$B:$B,
      SMALL(
         IF(('נתוני רישום ומצבת'!A$2:A$2998='נתונים כלליים (1)'!$C$5),
         ROW('נתוני רישום ומצבת'!A$2:A$2998)),
      ROW(A115))
   ),
"")</f>
        <v/>
      </c>
      <c r="D135" s="549" t="str">
        <f>IF(C135="", "",
   IFERROR(
      IF(VLOOKUP(C135, 'נתוני רישום ומצבת'!B:J, 9, FALSE) = $F$4,
         VLOOKUP(C135, 'נתוני רישום ומצבת'!B:J, 3, FALSE),
         "המוסד לא קיים ברשות"),
   "המוסד לא קיים"))</f>
        <v/>
      </c>
      <c r="E135" s="176" t="str">
        <f>IFERROR(VLOOKUP(C135,'נתוני רישום ומצבת'!B:G,6,0),"")</f>
        <v/>
      </c>
      <c r="F135" s="281" t="str">
        <f>IFERROR(VLOOKUP(C135,'נתוני רישום ומצבת'!B:K,10,0)," ")</f>
        <v xml:space="preserve"> </v>
      </c>
      <c r="G135" s="443" t="str">
        <f>IFERROR(VLOOKUP(C135,'נתוני רישום ומצבת'!B:E,4,0)," ")</f>
        <v xml:space="preserve"> </v>
      </c>
      <c r="H135" s="444" t="str">
        <f>IFERROR(VLOOKUP(C135,'נתוני רישום ומצבת'!B:K,7,0),"")</f>
        <v/>
      </c>
      <c r="I135" s="180" t="str">
        <f t="shared" si="7"/>
        <v/>
      </c>
      <c r="J135" s="443" t="str">
        <f>IFERROR(VLOOKUP(C135,'נתוני רישום ומצבת'!B:I,5,0)," ")</f>
        <v xml:space="preserve"> </v>
      </c>
      <c r="K135" s="443" t="str">
        <f>IFERROR(VLOOKUP(C135,'נתוני רישום ומצבת'!B:I,8,0),"")</f>
        <v/>
      </c>
      <c r="L135" s="284">
        <f t="shared" si="8"/>
        <v>0</v>
      </c>
      <c r="M135" s="283" t="str">
        <f t="shared" si="6"/>
        <v>-</v>
      </c>
    </row>
    <row r="136" spans="2:13" x14ac:dyDescent="0.25">
      <c r="B136" s="280">
        <v>116</v>
      </c>
      <c r="C136" s="549" t="str" cm="1">
        <f t="array" ref="C136">IFERROR(
   INDEX('נתוני רישום ומצבת'!$B:$B,
      SMALL(
         IF(('נתוני רישום ומצבת'!A$2:A$2998='נתונים כלליים (1)'!$C$5),
         ROW('נתוני רישום ומצבת'!A$2:A$2998)),
      ROW(A116))
   ),
"")</f>
        <v/>
      </c>
      <c r="D136" s="549" t="str">
        <f>IF(C136="", "",
   IFERROR(
      IF(VLOOKUP(C136, 'נתוני רישום ומצבת'!B:J, 9, FALSE) = $F$4,
         VLOOKUP(C136, 'נתוני רישום ומצבת'!B:J, 3, FALSE),
         "המוסד לא קיים ברשות"),
   "המוסד לא קיים"))</f>
        <v/>
      </c>
      <c r="E136" s="176" t="str">
        <f>IFERROR(VLOOKUP(C136,'נתוני רישום ומצבת'!B:G,6,0),"")</f>
        <v/>
      </c>
      <c r="F136" s="281" t="str">
        <f>IFERROR(VLOOKUP(C136,'נתוני רישום ומצבת'!B:K,10,0)," ")</f>
        <v xml:space="preserve"> </v>
      </c>
      <c r="G136" s="443" t="str">
        <f>IFERROR(VLOOKUP(C136,'נתוני רישום ומצבת'!B:E,4,0)," ")</f>
        <v xml:space="preserve"> </v>
      </c>
      <c r="H136" s="444" t="str">
        <f>IFERROR(VLOOKUP(C136,'נתוני רישום ומצבת'!B:K,7,0),"")</f>
        <v/>
      </c>
      <c r="I136" s="180" t="str">
        <f t="shared" si="7"/>
        <v/>
      </c>
      <c r="J136" s="443" t="str">
        <f>IFERROR(VLOOKUP(C136,'נתוני רישום ומצבת'!B:I,5,0)," ")</f>
        <v xml:space="preserve"> </v>
      </c>
      <c r="K136" s="443" t="str">
        <f>IFERROR(VLOOKUP(C136,'נתוני רישום ומצבת'!B:I,8,0),"")</f>
        <v/>
      </c>
      <c r="L136" s="284">
        <f t="shared" si="8"/>
        <v>0</v>
      </c>
      <c r="M136" s="283" t="str">
        <f t="shared" si="6"/>
        <v>-</v>
      </c>
    </row>
    <row r="137" spans="2:13" x14ac:dyDescent="0.25">
      <c r="B137" s="280">
        <v>117</v>
      </c>
      <c r="C137" s="549" t="str" cm="1">
        <f t="array" ref="C137">IFERROR(
   INDEX('נתוני רישום ומצבת'!$B:$B,
      SMALL(
         IF(('נתוני רישום ומצבת'!A$2:A$2998='נתונים כלליים (1)'!$C$5),
         ROW('נתוני רישום ומצבת'!A$2:A$2998)),
      ROW(A117))
   ),
"")</f>
        <v/>
      </c>
      <c r="D137" s="549" t="str">
        <f>IF(C137="", "",
   IFERROR(
      IF(VLOOKUP(C137, 'נתוני רישום ומצבת'!B:J, 9, FALSE) = $F$4,
         VLOOKUP(C137, 'נתוני רישום ומצבת'!B:J, 3, FALSE),
         "המוסד לא קיים ברשות"),
   "המוסד לא קיים"))</f>
        <v/>
      </c>
      <c r="E137" s="176" t="str">
        <f>IFERROR(VLOOKUP(C137,'נתוני רישום ומצבת'!B:G,6,0),"")</f>
        <v/>
      </c>
      <c r="F137" s="281" t="str">
        <f>IFERROR(VLOOKUP(C137,'נתוני רישום ומצבת'!B:K,10,0)," ")</f>
        <v xml:space="preserve"> </v>
      </c>
      <c r="G137" s="443" t="str">
        <f>IFERROR(VLOOKUP(C137,'נתוני רישום ומצבת'!B:E,4,0)," ")</f>
        <v xml:space="preserve"> </v>
      </c>
      <c r="H137" s="444" t="str">
        <f>IFERROR(VLOOKUP(C137,'נתוני רישום ומצבת'!B:K,7,0),"")</f>
        <v/>
      </c>
      <c r="I137" s="180" t="str">
        <f t="shared" si="7"/>
        <v/>
      </c>
      <c r="J137" s="443" t="str">
        <f>IFERROR(VLOOKUP(C137,'נתוני רישום ומצבת'!B:I,5,0)," ")</f>
        <v xml:space="preserve"> </v>
      </c>
      <c r="K137" s="443" t="str">
        <f>IFERROR(VLOOKUP(C137,'נתוני רישום ומצבת'!B:I,8,0),"")</f>
        <v/>
      </c>
      <c r="L137" s="284">
        <f t="shared" si="8"/>
        <v>0</v>
      </c>
      <c r="M137" s="283" t="str">
        <f t="shared" si="6"/>
        <v>-</v>
      </c>
    </row>
    <row r="138" spans="2:13" x14ac:dyDescent="0.25">
      <c r="B138" s="280">
        <v>118</v>
      </c>
      <c r="C138" s="549" t="str" cm="1">
        <f t="array" ref="C138">IFERROR(
   INDEX('נתוני רישום ומצבת'!$B:$B,
      SMALL(
         IF(('נתוני רישום ומצבת'!A$2:A$2998='נתונים כלליים (1)'!$C$5),
         ROW('נתוני רישום ומצבת'!A$2:A$2998)),
      ROW(A118))
   ),
"")</f>
        <v/>
      </c>
      <c r="D138" s="549" t="str">
        <f>IF(C138="", "",
   IFERROR(
      IF(VLOOKUP(C138, 'נתוני רישום ומצבת'!B:J, 9, FALSE) = $F$4,
         VLOOKUP(C138, 'נתוני רישום ומצבת'!B:J, 3, FALSE),
         "המוסד לא קיים ברשות"),
   "המוסד לא קיים"))</f>
        <v/>
      </c>
      <c r="E138" s="176" t="str">
        <f>IFERROR(VLOOKUP(C138,'נתוני רישום ומצבת'!B:G,6,0),"")</f>
        <v/>
      </c>
      <c r="F138" s="281" t="str">
        <f>IFERROR(VLOOKUP(C138,'נתוני רישום ומצבת'!B:K,10,0)," ")</f>
        <v xml:space="preserve"> </v>
      </c>
      <c r="G138" s="443" t="str">
        <f>IFERROR(VLOOKUP(C138,'נתוני רישום ומצבת'!B:E,4,0)," ")</f>
        <v xml:space="preserve"> </v>
      </c>
      <c r="H138" s="444" t="str">
        <f>IFERROR(VLOOKUP(C138,'נתוני רישום ומצבת'!B:K,7,0),"")</f>
        <v/>
      </c>
      <c r="I138" s="180" t="str">
        <f t="shared" si="7"/>
        <v/>
      </c>
      <c r="J138" s="443" t="str">
        <f>IFERROR(VLOOKUP(C138,'נתוני רישום ומצבת'!B:I,5,0)," ")</f>
        <v xml:space="preserve"> </v>
      </c>
      <c r="K138" s="443" t="str">
        <f>IFERROR(VLOOKUP(C138,'נתוני רישום ומצבת'!B:I,8,0),"")</f>
        <v/>
      </c>
      <c r="L138" s="284">
        <f t="shared" si="8"/>
        <v>0</v>
      </c>
      <c r="M138" s="283" t="str">
        <f t="shared" si="6"/>
        <v>-</v>
      </c>
    </row>
    <row r="139" spans="2:13" x14ac:dyDescent="0.25">
      <c r="B139" s="280">
        <v>119</v>
      </c>
      <c r="C139" s="549" t="str" cm="1">
        <f t="array" ref="C139">IFERROR(
   INDEX('נתוני רישום ומצבת'!$B:$B,
      SMALL(
         IF(('נתוני רישום ומצבת'!A$2:A$2998='נתונים כלליים (1)'!$C$5),
         ROW('נתוני רישום ומצבת'!A$2:A$2998)),
      ROW(A119))
   ),
"")</f>
        <v/>
      </c>
      <c r="D139" s="549" t="str">
        <f>IF(C139="", "",
   IFERROR(
      IF(VLOOKUP(C139, 'נתוני רישום ומצבת'!B:J, 9, FALSE) = $F$4,
         VLOOKUP(C139, 'נתוני רישום ומצבת'!B:J, 3, FALSE),
         "המוסד לא קיים ברשות"),
   "המוסד לא קיים"))</f>
        <v/>
      </c>
      <c r="E139" s="176" t="str">
        <f>IFERROR(VLOOKUP(C139,'נתוני רישום ומצבת'!B:G,6,0),"")</f>
        <v/>
      </c>
      <c r="F139" s="281" t="str">
        <f>IFERROR(VLOOKUP(C139,'נתוני רישום ומצבת'!B:K,10,0)," ")</f>
        <v xml:space="preserve"> </v>
      </c>
      <c r="G139" s="443" t="str">
        <f>IFERROR(VLOOKUP(C139,'נתוני רישום ומצבת'!B:E,4,0)," ")</f>
        <v xml:space="preserve"> </v>
      </c>
      <c r="H139" s="444" t="str">
        <f>IFERROR(VLOOKUP(C139,'נתוני רישום ומצבת'!B:K,7,0),"")</f>
        <v/>
      </c>
      <c r="I139" s="180" t="str">
        <f t="shared" si="7"/>
        <v/>
      </c>
      <c r="J139" s="443" t="str">
        <f>IFERROR(VLOOKUP(C139,'נתוני רישום ומצבת'!B:I,5,0)," ")</f>
        <v xml:space="preserve"> </v>
      </c>
      <c r="K139" s="443" t="str">
        <f>IFERROR(VLOOKUP(C139,'נתוני רישום ומצבת'!B:I,8,0),"")</f>
        <v/>
      </c>
      <c r="L139" s="284">
        <f t="shared" si="8"/>
        <v>0</v>
      </c>
      <c r="M139" s="283" t="str">
        <f t="shared" si="6"/>
        <v>-</v>
      </c>
    </row>
    <row r="140" spans="2:13" x14ac:dyDescent="0.25">
      <c r="B140" s="280">
        <v>120</v>
      </c>
      <c r="C140" s="549" t="str" cm="1">
        <f t="array" ref="C140">IFERROR(
   INDEX('נתוני רישום ומצבת'!$B:$B,
      SMALL(
         IF(('נתוני רישום ומצבת'!A$2:A$2998='נתונים כלליים (1)'!$C$5),
         ROW('נתוני רישום ומצבת'!A$2:A$2998)),
      ROW(A120))
   ),
"")</f>
        <v/>
      </c>
      <c r="D140" s="549" t="str">
        <f>IF(C140="", "",
   IFERROR(
      IF(VLOOKUP(C140, 'נתוני רישום ומצבת'!B:J, 9, FALSE) = $F$4,
         VLOOKUP(C140, 'נתוני רישום ומצבת'!B:J, 3, FALSE),
         "המוסד לא קיים ברשות"),
   "המוסד לא קיים"))</f>
        <v/>
      </c>
      <c r="E140" s="176" t="str">
        <f>IFERROR(VLOOKUP(C140,'נתוני רישום ומצבת'!B:G,6,0),"")</f>
        <v/>
      </c>
      <c r="F140" s="281" t="str">
        <f>IFERROR(VLOOKUP(C140,'נתוני רישום ומצבת'!B:K,10,0)," ")</f>
        <v xml:space="preserve"> </v>
      </c>
      <c r="G140" s="443" t="str">
        <f>IFERROR(VLOOKUP(C140,'נתוני רישום ומצבת'!B:E,4,0)," ")</f>
        <v xml:space="preserve"> </v>
      </c>
      <c r="H140" s="444" t="str">
        <f>IFERROR(VLOOKUP(C140,'נתוני רישום ומצבת'!B:K,7,0),"")</f>
        <v/>
      </c>
      <c r="I140" s="180" t="str">
        <f t="shared" si="7"/>
        <v/>
      </c>
      <c r="J140" s="443" t="str">
        <f>IFERROR(VLOOKUP(C140,'נתוני רישום ומצבת'!B:I,5,0)," ")</f>
        <v xml:space="preserve"> </v>
      </c>
      <c r="K140" s="443" t="str">
        <f>IFERROR(VLOOKUP(C140,'נתוני רישום ומצבת'!B:I,8,0),"")</f>
        <v/>
      </c>
      <c r="L140" s="284">
        <f t="shared" si="8"/>
        <v>0</v>
      </c>
      <c r="M140" s="283" t="str">
        <f t="shared" si="6"/>
        <v>-</v>
      </c>
    </row>
    <row r="141" spans="2:13" x14ac:dyDescent="0.25">
      <c r="B141" s="280">
        <v>121</v>
      </c>
      <c r="C141" s="549" t="str" cm="1">
        <f t="array" ref="C141">IFERROR(
   INDEX('נתוני רישום ומצבת'!$B:$B,
      SMALL(
         IF(('נתוני רישום ומצבת'!A$2:A$2998='נתונים כלליים (1)'!$C$5),
         ROW('נתוני רישום ומצבת'!A$2:A$2998)),
      ROW(A121))
   ),
"")</f>
        <v/>
      </c>
      <c r="D141" s="549" t="str">
        <f>IF(C141="", "",
   IFERROR(
      IF(VLOOKUP(C141, 'נתוני רישום ומצבת'!B:J, 9, FALSE) = $F$4,
         VLOOKUP(C141, 'נתוני רישום ומצבת'!B:J, 3, FALSE),
         "המוסד לא קיים ברשות"),
   "המוסד לא קיים"))</f>
        <v/>
      </c>
      <c r="E141" s="176" t="str">
        <f>IFERROR(VLOOKUP(C141,'נתוני רישום ומצבת'!B:G,6,0),"")</f>
        <v/>
      </c>
      <c r="F141" s="281" t="str">
        <f>IFERROR(VLOOKUP(C141,'נתוני רישום ומצבת'!B:K,10,0)," ")</f>
        <v xml:space="preserve"> </v>
      </c>
      <c r="G141" s="443" t="str">
        <f>IFERROR(VLOOKUP(C141,'נתוני רישום ומצבת'!B:E,4,0)," ")</f>
        <v xml:space="preserve"> </v>
      </c>
      <c r="H141" s="444" t="str">
        <f>IFERROR(VLOOKUP(C141,'נתוני רישום ומצבת'!B:K,7,0),"")</f>
        <v/>
      </c>
      <c r="I141" s="180" t="str">
        <f t="shared" si="7"/>
        <v/>
      </c>
      <c r="J141" s="443" t="str">
        <f>IFERROR(VLOOKUP(C141,'נתוני רישום ומצבת'!B:I,5,0)," ")</f>
        <v xml:space="preserve"> </v>
      </c>
      <c r="K141" s="443" t="str">
        <f>IFERROR(VLOOKUP(C141,'נתוני רישום ומצבת'!B:I,8,0),"")</f>
        <v/>
      </c>
      <c r="L141" s="284">
        <f t="shared" si="8"/>
        <v>0</v>
      </c>
      <c r="M141" s="283" t="str">
        <f t="shared" si="6"/>
        <v>-</v>
      </c>
    </row>
    <row r="142" spans="2:13" x14ac:dyDescent="0.25">
      <c r="B142" s="280">
        <v>122</v>
      </c>
      <c r="C142" s="549" t="str" cm="1">
        <f t="array" ref="C142">IFERROR(
   INDEX('נתוני רישום ומצבת'!$B:$B,
      SMALL(
         IF(('נתוני רישום ומצבת'!A$2:A$2998='נתונים כלליים (1)'!$C$5),
         ROW('נתוני רישום ומצבת'!A$2:A$2998)),
      ROW(A122))
   ),
"")</f>
        <v/>
      </c>
      <c r="D142" s="549" t="str">
        <f>IF(C142="", "",
   IFERROR(
      IF(VLOOKUP(C142, 'נתוני רישום ומצבת'!B:J, 9, FALSE) = $F$4,
         VLOOKUP(C142, 'נתוני רישום ומצבת'!B:J, 3, FALSE),
         "המוסד לא קיים ברשות"),
   "המוסד לא קיים"))</f>
        <v/>
      </c>
      <c r="E142" s="176" t="str">
        <f>IFERROR(VLOOKUP(C142,'נתוני רישום ומצבת'!B:G,6,0),"")</f>
        <v/>
      </c>
      <c r="F142" s="281" t="str">
        <f>IFERROR(VLOOKUP(C142,'נתוני רישום ומצבת'!B:K,10,0)," ")</f>
        <v xml:space="preserve"> </v>
      </c>
      <c r="G142" s="443" t="str">
        <f>IFERROR(VLOOKUP(C142,'נתוני רישום ומצבת'!B:E,4,0)," ")</f>
        <v xml:space="preserve"> </v>
      </c>
      <c r="H142" s="444" t="str">
        <f>IFERROR(VLOOKUP(C142,'נתוני רישום ומצבת'!B:K,7,0),"")</f>
        <v/>
      </c>
      <c r="I142" s="180" t="str">
        <f t="shared" si="7"/>
        <v/>
      </c>
      <c r="J142" s="443" t="str">
        <f>IFERROR(VLOOKUP(C142,'נתוני רישום ומצבת'!B:I,5,0)," ")</f>
        <v xml:space="preserve"> </v>
      </c>
      <c r="K142" s="443" t="str">
        <f>IFERROR(VLOOKUP(C142,'נתוני רישום ומצבת'!B:I,8,0),"")</f>
        <v/>
      </c>
      <c r="L142" s="284">
        <f t="shared" si="8"/>
        <v>0</v>
      </c>
      <c r="M142" s="283" t="str">
        <f t="shared" ref="M142:M205" si="9">IF(L142&gt;149,"כן","-")</f>
        <v>-</v>
      </c>
    </row>
    <row r="143" spans="2:13" x14ac:dyDescent="0.25">
      <c r="B143" s="280">
        <v>123</v>
      </c>
      <c r="C143" s="549" t="str" cm="1">
        <f t="array" ref="C143">IFERROR(
   INDEX('נתוני רישום ומצבת'!$B:$B,
      SMALL(
         IF(('נתוני רישום ומצבת'!A$2:A$2998='נתונים כלליים (1)'!$C$5),
         ROW('נתוני רישום ומצבת'!A$2:A$2998)),
      ROW(A123))
   ),
"")</f>
        <v/>
      </c>
      <c r="D143" s="549" t="str">
        <f>IF(C143="", "",
   IFERROR(
      IF(VLOOKUP(C143, 'נתוני רישום ומצבת'!B:J, 9, FALSE) = $F$4,
         VLOOKUP(C143, 'נתוני רישום ומצבת'!B:J, 3, FALSE),
         "המוסד לא קיים ברשות"),
   "המוסד לא קיים"))</f>
        <v/>
      </c>
      <c r="E143" s="176" t="str">
        <f>IFERROR(VLOOKUP(C143,'נתוני רישום ומצבת'!B:G,6,0),"")</f>
        <v/>
      </c>
      <c r="F143" s="281" t="str">
        <f>IFERROR(VLOOKUP(C143,'נתוני רישום ומצבת'!B:K,10,0)," ")</f>
        <v xml:space="preserve"> </v>
      </c>
      <c r="G143" s="443" t="str">
        <f>IFERROR(VLOOKUP(C143,'נתוני רישום ומצבת'!B:E,4,0)," ")</f>
        <v xml:space="preserve"> </v>
      </c>
      <c r="H143" s="444" t="str">
        <f>IFERROR(VLOOKUP(C143,'נתוני רישום ומצבת'!B:K,7,0),"")</f>
        <v/>
      </c>
      <c r="I143" s="180" t="str">
        <f t="shared" si="7"/>
        <v/>
      </c>
      <c r="J143" s="443" t="str">
        <f>IFERROR(VLOOKUP(C143,'נתוני רישום ומצבת'!B:I,5,0)," ")</f>
        <v xml:space="preserve"> </v>
      </c>
      <c r="K143" s="443" t="str">
        <f>IFERROR(VLOOKUP(C143,'נתוני רישום ומצבת'!B:I,8,0),"")</f>
        <v/>
      </c>
      <c r="L143" s="284">
        <f t="shared" si="8"/>
        <v>0</v>
      </c>
      <c r="M143" s="283" t="str">
        <f t="shared" si="9"/>
        <v>-</v>
      </c>
    </row>
    <row r="144" spans="2:13" x14ac:dyDescent="0.25">
      <c r="B144" s="280">
        <v>124</v>
      </c>
      <c r="C144" s="549" t="str" cm="1">
        <f t="array" ref="C144">IFERROR(
   INDEX('נתוני רישום ומצבת'!$B:$B,
      SMALL(
         IF(('נתוני רישום ומצבת'!A$2:A$2998='נתונים כלליים (1)'!$C$5),
         ROW('נתוני רישום ומצבת'!A$2:A$2998)),
      ROW(A124))
   ),
"")</f>
        <v/>
      </c>
      <c r="D144" s="549" t="str">
        <f>IF(C144="", "",
   IFERROR(
      IF(VLOOKUP(C144, 'נתוני רישום ומצבת'!B:J, 9, FALSE) = $F$4,
         VLOOKUP(C144, 'נתוני רישום ומצבת'!B:J, 3, FALSE),
         "המוסד לא קיים ברשות"),
   "המוסד לא קיים"))</f>
        <v/>
      </c>
      <c r="E144" s="176" t="str">
        <f>IFERROR(VLOOKUP(C144,'נתוני רישום ומצבת'!B:G,6,0),"")</f>
        <v/>
      </c>
      <c r="F144" s="281" t="str">
        <f>IFERROR(VLOOKUP(C144,'נתוני רישום ומצבת'!B:K,10,0)," ")</f>
        <v xml:space="preserve"> </v>
      </c>
      <c r="G144" s="443" t="str">
        <f>IFERROR(VLOOKUP(C144,'נתוני רישום ומצבת'!B:E,4,0)," ")</f>
        <v xml:space="preserve"> </v>
      </c>
      <c r="H144" s="444" t="str">
        <f>IFERROR(VLOOKUP(C144,'נתוני רישום ומצבת'!B:K,7,0),"")</f>
        <v/>
      </c>
      <c r="I144" s="180" t="str">
        <f t="shared" si="7"/>
        <v/>
      </c>
      <c r="J144" s="443" t="str">
        <f>IFERROR(VLOOKUP(C144,'נתוני רישום ומצבת'!B:I,5,0)," ")</f>
        <v xml:space="preserve"> </v>
      </c>
      <c r="K144" s="443" t="str">
        <f>IFERROR(VLOOKUP(C144,'נתוני רישום ומצבת'!B:I,8,0),"")</f>
        <v/>
      </c>
      <c r="L144" s="284">
        <f t="shared" si="8"/>
        <v>0</v>
      </c>
      <c r="M144" s="283" t="str">
        <f t="shared" si="9"/>
        <v>-</v>
      </c>
    </row>
    <row r="145" spans="2:13" x14ac:dyDescent="0.25">
      <c r="B145" s="280">
        <v>125</v>
      </c>
      <c r="C145" s="549" t="str" cm="1">
        <f t="array" ref="C145">IFERROR(
   INDEX('נתוני רישום ומצבת'!$B:$B,
      SMALL(
         IF(('נתוני רישום ומצבת'!A$2:A$2998='נתונים כלליים (1)'!$C$5),
         ROW('נתוני רישום ומצבת'!A$2:A$2998)),
      ROW(A125))
   ),
"")</f>
        <v/>
      </c>
      <c r="D145" s="549" t="str">
        <f>IF(C145="", "",
   IFERROR(
      IF(VLOOKUP(C145, 'נתוני רישום ומצבת'!B:J, 9, FALSE) = $F$4,
         VLOOKUP(C145, 'נתוני רישום ומצבת'!B:J, 3, FALSE),
         "המוסד לא קיים ברשות"),
   "המוסד לא קיים"))</f>
        <v/>
      </c>
      <c r="E145" s="176" t="str">
        <f>IFERROR(VLOOKUP(C145,'נתוני רישום ומצבת'!B:G,6,0),"")</f>
        <v/>
      </c>
      <c r="F145" s="281" t="str">
        <f>IFERROR(VLOOKUP(C145,'נתוני רישום ומצבת'!B:K,10,0)," ")</f>
        <v xml:space="preserve"> </v>
      </c>
      <c r="G145" s="443" t="str">
        <f>IFERROR(VLOOKUP(C145,'נתוני רישום ומצבת'!B:E,4,0)," ")</f>
        <v xml:space="preserve"> </v>
      </c>
      <c r="H145" s="444" t="str">
        <f>IFERROR(VLOOKUP(C145,'נתוני רישום ומצבת'!B:K,7,0),"")</f>
        <v/>
      </c>
      <c r="I145" s="180" t="str">
        <f t="shared" si="7"/>
        <v/>
      </c>
      <c r="J145" s="443" t="str">
        <f>IFERROR(VLOOKUP(C145,'נתוני רישום ומצבת'!B:I,5,0)," ")</f>
        <v xml:space="preserve"> </v>
      </c>
      <c r="K145" s="443" t="str">
        <f>IFERROR(VLOOKUP(C145,'נתוני רישום ומצבת'!B:I,8,0),"")</f>
        <v/>
      </c>
      <c r="L145" s="284">
        <f t="shared" si="8"/>
        <v>0</v>
      </c>
      <c r="M145" s="283" t="str">
        <f t="shared" si="9"/>
        <v>-</v>
      </c>
    </row>
    <row r="146" spans="2:13" x14ac:dyDescent="0.25">
      <c r="B146" s="280">
        <v>126</v>
      </c>
      <c r="C146" s="549" t="str" cm="1">
        <f t="array" ref="C146">IFERROR(
   INDEX('נתוני רישום ומצבת'!$B:$B,
      SMALL(
         IF(('נתוני רישום ומצבת'!A$2:A$2998='נתונים כלליים (1)'!$C$5),
         ROW('נתוני רישום ומצבת'!A$2:A$2998)),
      ROW(A126))
   ),
"")</f>
        <v/>
      </c>
      <c r="D146" s="549" t="str">
        <f>IF(C146="", "",
   IFERROR(
      IF(VLOOKUP(C146, 'נתוני רישום ומצבת'!B:J, 9, FALSE) = $F$4,
         VLOOKUP(C146, 'נתוני רישום ומצבת'!B:J, 3, FALSE),
         "המוסד לא קיים ברשות"),
   "המוסד לא קיים"))</f>
        <v/>
      </c>
      <c r="E146" s="176" t="str">
        <f>IFERROR(VLOOKUP(C146,'נתוני רישום ומצבת'!B:G,6,0),"")</f>
        <v/>
      </c>
      <c r="F146" s="281" t="str">
        <f>IFERROR(VLOOKUP(C146,'נתוני רישום ומצבת'!B:K,10,0)," ")</f>
        <v xml:space="preserve"> </v>
      </c>
      <c r="G146" s="443" t="str">
        <f>IFERROR(VLOOKUP(C146,'נתוני רישום ומצבת'!B:E,4,0)," ")</f>
        <v xml:space="preserve"> </v>
      </c>
      <c r="H146" s="444" t="str">
        <f>IFERROR(VLOOKUP(C146,'נתוני רישום ומצבת'!B:K,7,0),"")</f>
        <v/>
      </c>
      <c r="I146" s="180" t="str">
        <f t="shared" si="7"/>
        <v/>
      </c>
      <c r="J146" s="443" t="str">
        <f>IFERROR(VLOOKUP(C146,'נתוני רישום ומצבת'!B:I,5,0)," ")</f>
        <v xml:space="preserve"> </v>
      </c>
      <c r="K146" s="443" t="str">
        <f>IFERROR(VLOOKUP(C146,'נתוני רישום ומצבת'!B:I,8,0),"")</f>
        <v/>
      </c>
      <c r="L146" s="284">
        <f t="shared" si="8"/>
        <v>0</v>
      </c>
      <c r="M146" s="283" t="str">
        <f t="shared" si="9"/>
        <v>-</v>
      </c>
    </row>
    <row r="147" spans="2:13" x14ac:dyDescent="0.25">
      <c r="B147" s="280">
        <v>127</v>
      </c>
      <c r="C147" s="549" t="str" cm="1">
        <f t="array" ref="C147">IFERROR(
   INDEX('נתוני רישום ומצבת'!$B:$B,
      SMALL(
         IF(('נתוני רישום ומצבת'!A$2:A$2998='נתונים כלליים (1)'!$C$5),
         ROW('נתוני רישום ומצבת'!A$2:A$2998)),
      ROW(A127))
   ),
"")</f>
        <v/>
      </c>
      <c r="D147" s="549" t="str">
        <f>IF(C147="", "",
   IFERROR(
      IF(VLOOKUP(C147, 'נתוני רישום ומצבת'!B:J, 9, FALSE) = $F$4,
         VLOOKUP(C147, 'נתוני רישום ומצבת'!B:J, 3, FALSE),
         "המוסד לא קיים ברשות"),
   "המוסד לא קיים"))</f>
        <v/>
      </c>
      <c r="E147" s="176" t="str">
        <f>IFERROR(VLOOKUP(C147,'נתוני רישום ומצבת'!B:G,6,0),"")</f>
        <v/>
      </c>
      <c r="F147" s="281" t="str">
        <f>IFERROR(VLOOKUP(C147,'נתוני רישום ומצבת'!B:K,10,0)," ")</f>
        <v xml:space="preserve"> </v>
      </c>
      <c r="G147" s="443" t="str">
        <f>IFERROR(VLOOKUP(C147,'נתוני רישום ומצבת'!B:E,4,0)," ")</f>
        <v xml:space="preserve"> </v>
      </c>
      <c r="H147" s="444" t="str">
        <f>IFERROR(VLOOKUP(C147,'נתוני רישום ומצבת'!B:K,7,0),"")</f>
        <v/>
      </c>
      <c r="I147" s="180" t="str">
        <f t="shared" si="7"/>
        <v/>
      </c>
      <c r="J147" s="443" t="str">
        <f>IFERROR(VLOOKUP(C147,'נתוני רישום ומצבת'!B:I,5,0)," ")</f>
        <v xml:space="preserve"> </v>
      </c>
      <c r="K147" s="443" t="str">
        <f>IFERROR(VLOOKUP(C147,'נתוני רישום ומצבת'!B:I,8,0),"")</f>
        <v/>
      </c>
      <c r="L147" s="284">
        <f t="shared" si="8"/>
        <v>0</v>
      </c>
      <c r="M147" s="283" t="str">
        <f t="shared" si="9"/>
        <v>-</v>
      </c>
    </row>
    <row r="148" spans="2:13" x14ac:dyDescent="0.25">
      <c r="B148" s="280">
        <v>128</v>
      </c>
      <c r="C148" s="549" t="str" cm="1">
        <f t="array" ref="C148">IFERROR(
   INDEX('נתוני רישום ומצבת'!$B:$B,
      SMALL(
         IF(('נתוני רישום ומצבת'!A$2:A$2998='נתונים כלליים (1)'!$C$5),
         ROW('נתוני רישום ומצבת'!A$2:A$2998)),
      ROW(A128))
   ),
"")</f>
        <v/>
      </c>
      <c r="D148" s="549" t="str">
        <f>IF(C148="", "",
   IFERROR(
      IF(VLOOKUP(C148, 'נתוני רישום ומצבת'!B:J, 9, FALSE) = $F$4,
         VLOOKUP(C148, 'נתוני רישום ומצבת'!B:J, 3, FALSE),
         "המוסד לא קיים ברשות"),
   "המוסד לא קיים"))</f>
        <v/>
      </c>
      <c r="E148" s="176" t="str">
        <f>IFERROR(VLOOKUP(C148,'נתוני רישום ומצבת'!B:G,6,0),"")</f>
        <v/>
      </c>
      <c r="F148" s="281" t="str">
        <f>IFERROR(VLOOKUP(C148,'נתוני רישום ומצבת'!B:K,10,0)," ")</f>
        <v xml:space="preserve"> </v>
      </c>
      <c r="G148" s="443" t="str">
        <f>IFERROR(VLOOKUP(C148,'נתוני רישום ומצבת'!B:E,4,0)," ")</f>
        <v xml:space="preserve"> </v>
      </c>
      <c r="H148" s="444" t="str">
        <f>IFERROR(VLOOKUP(C148,'נתוני רישום ומצבת'!B:K,7,0),"")</f>
        <v/>
      </c>
      <c r="I148" s="180" t="str">
        <f t="shared" si="7"/>
        <v/>
      </c>
      <c r="J148" s="443" t="str">
        <f>IFERROR(VLOOKUP(C148,'נתוני רישום ומצבת'!B:I,5,0)," ")</f>
        <v xml:space="preserve"> </v>
      </c>
      <c r="K148" s="443" t="str">
        <f>IFERROR(VLOOKUP(C148,'נתוני רישום ומצבת'!B:I,8,0),"")</f>
        <v/>
      </c>
      <c r="L148" s="284">
        <f t="shared" si="8"/>
        <v>0</v>
      </c>
      <c r="M148" s="283" t="str">
        <f t="shared" si="9"/>
        <v>-</v>
      </c>
    </row>
    <row r="149" spans="2:13" x14ac:dyDescent="0.25">
      <c r="B149" s="280">
        <v>129</v>
      </c>
      <c r="C149" s="549" t="str" cm="1">
        <f t="array" ref="C149">IFERROR(
   INDEX('נתוני רישום ומצבת'!$B:$B,
      SMALL(
         IF(('נתוני רישום ומצבת'!A$2:A$2998='נתונים כלליים (1)'!$C$5),
         ROW('נתוני רישום ומצבת'!A$2:A$2998)),
      ROW(A129))
   ),
"")</f>
        <v/>
      </c>
      <c r="D149" s="549" t="str">
        <f>IF(C149="", "",
   IFERROR(
      IF(VLOOKUP(C149, 'נתוני רישום ומצבת'!B:J, 9, FALSE) = $F$4,
         VLOOKUP(C149, 'נתוני רישום ומצבת'!B:J, 3, FALSE),
         "המוסד לא קיים ברשות"),
   "המוסד לא קיים"))</f>
        <v/>
      </c>
      <c r="E149" s="176" t="str">
        <f>IFERROR(VLOOKUP(C149,'נתוני רישום ומצבת'!B:G,6,0),"")</f>
        <v/>
      </c>
      <c r="F149" s="281" t="str">
        <f>IFERROR(VLOOKUP(C149,'נתוני רישום ומצבת'!B:K,10,0)," ")</f>
        <v xml:space="preserve"> </v>
      </c>
      <c r="G149" s="443" t="str">
        <f>IFERROR(VLOOKUP(C149,'נתוני רישום ומצבת'!B:E,4,0)," ")</f>
        <v xml:space="preserve"> </v>
      </c>
      <c r="H149" s="444" t="str">
        <f>IFERROR(VLOOKUP(C149,'נתוני רישום ומצבת'!B:K,7,0),"")</f>
        <v/>
      </c>
      <c r="I149" s="180" t="str">
        <f t="shared" ref="I149:I212" si="10">IFERROR(H149+G149,"")</f>
        <v/>
      </c>
      <c r="J149" s="443" t="str">
        <f>IFERROR(VLOOKUP(C149,'נתוני רישום ומצבת'!B:I,5,0)," ")</f>
        <v xml:space="preserve"> </v>
      </c>
      <c r="K149" s="443" t="str">
        <f>IFERROR(VLOOKUP(C149,'נתוני רישום ומצבת'!B:I,8,0),"")</f>
        <v/>
      </c>
      <c r="L149" s="284">
        <f t="shared" si="8"/>
        <v>0</v>
      </c>
      <c r="M149" s="283" t="str">
        <f t="shared" si="9"/>
        <v>-</v>
      </c>
    </row>
    <row r="150" spans="2:13" x14ac:dyDescent="0.25">
      <c r="B150" s="280">
        <v>130</v>
      </c>
      <c r="C150" s="549" t="str" cm="1">
        <f t="array" ref="C150">IFERROR(
   INDEX('נתוני רישום ומצבת'!$B:$B,
      SMALL(
         IF(('נתוני רישום ומצבת'!A$2:A$2998='נתונים כלליים (1)'!$C$5),
         ROW('נתוני רישום ומצבת'!A$2:A$2998)),
      ROW(A130))
   ),
"")</f>
        <v/>
      </c>
      <c r="D150" s="549" t="str">
        <f>IF(C150="", "",
   IFERROR(
      IF(VLOOKUP(C150, 'נתוני רישום ומצבת'!B:J, 9, FALSE) = $F$4,
         VLOOKUP(C150, 'נתוני רישום ומצבת'!B:J, 3, FALSE),
         "המוסד לא קיים ברשות"),
   "המוסד לא קיים"))</f>
        <v/>
      </c>
      <c r="E150" s="176" t="str">
        <f>IFERROR(VLOOKUP(C150,'נתוני רישום ומצבת'!B:G,6,0),"")</f>
        <v/>
      </c>
      <c r="F150" s="281" t="str">
        <f>IFERROR(VLOOKUP(C150,'נתוני רישום ומצבת'!B:K,10,0)," ")</f>
        <v xml:space="preserve"> </v>
      </c>
      <c r="G150" s="443" t="str">
        <f>IFERROR(VLOOKUP(C150,'נתוני רישום ומצבת'!B:E,4,0)," ")</f>
        <v xml:space="preserve"> </v>
      </c>
      <c r="H150" s="444" t="str">
        <f>IFERROR(VLOOKUP(C150,'נתוני רישום ומצבת'!B:K,7,0),"")</f>
        <v/>
      </c>
      <c r="I150" s="180" t="str">
        <f t="shared" si="10"/>
        <v/>
      </c>
      <c r="J150" s="443" t="str">
        <f>IFERROR(VLOOKUP(C150,'נתוני רישום ומצבת'!B:I,5,0)," ")</f>
        <v xml:space="preserve"> </v>
      </c>
      <c r="K150" s="443" t="str">
        <f>IFERROR(VLOOKUP(C150,'נתוני רישום ומצבת'!B:I,8,0),"")</f>
        <v/>
      </c>
      <c r="L150" s="284">
        <f t="shared" ref="L150:L213" si="11">IFERROR(K150+J150,0)</f>
        <v>0</v>
      </c>
      <c r="M150" s="283" t="str">
        <f t="shared" si="9"/>
        <v>-</v>
      </c>
    </row>
    <row r="151" spans="2:13" x14ac:dyDescent="0.25">
      <c r="B151" s="280">
        <v>131</v>
      </c>
      <c r="C151" s="549" t="str" cm="1">
        <f t="array" ref="C151">IFERROR(
   INDEX('נתוני רישום ומצבת'!$B:$B,
      SMALL(
         IF(('נתוני רישום ומצבת'!A$2:A$2998='נתונים כלליים (1)'!$C$5),
         ROW('נתוני רישום ומצבת'!A$2:A$2998)),
      ROW(A131))
   ),
"")</f>
        <v/>
      </c>
      <c r="D151" s="549" t="str">
        <f>IF(C151="", "",
   IFERROR(
      IF(VLOOKUP(C151, 'נתוני רישום ומצבת'!B:J, 9, FALSE) = $F$4,
         VLOOKUP(C151, 'נתוני רישום ומצבת'!B:J, 3, FALSE),
         "המוסד לא קיים ברשות"),
   "המוסד לא קיים"))</f>
        <v/>
      </c>
      <c r="E151" s="176" t="str">
        <f>IFERROR(VLOOKUP(C151,'נתוני רישום ומצבת'!B:G,6,0),"")</f>
        <v/>
      </c>
      <c r="F151" s="281" t="str">
        <f>IFERROR(VLOOKUP(C151,'נתוני רישום ומצבת'!B:K,10,0)," ")</f>
        <v xml:space="preserve"> </v>
      </c>
      <c r="G151" s="443" t="str">
        <f>IFERROR(VLOOKUP(C151,'נתוני רישום ומצבת'!B:E,4,0)," ")</f>
        <v xml:space="preserve"> </v>
      </c>
      <c r="H151" s="444" t="str">
        <f>IFERROR(VLOOKUP(C151,'נתוני רישום ומצבת'!B:K,7,0),"")</f>
        <v/>
      </c>
      <c r="I151" s="180" t="str">
        <f t="shared" si="10"/>
        <v/>
      </c>
      <c r="J151" s="443" t="str">
        <f>IFERROR(VLOOKUP(C151,'נתוני רישום ומצבת'!B:I,5,0)," ")</f>
        <v xml:space="preserve"> </v>
      </c>
      <c r="K151" s="443" t="str">
        <f>IFERROR(VLOOKUP(C151,'נתוני רישום ומצבת'!B:I,8,0),"")</f>
        <v/>
      </c>
      <c r="L151" s="284">
        <f t="shared" si="11"/>
        <v>0</v>
      </c>
      <c r="M151" s="283" t="str">
        <f t="shared" si="9"/>
        <v>-</v>
      </c>
    </row>
    <row r="152" spans="2:13" x14ac:dyDescent="0.25">
      <c r="B152" s="280">
        <v>132</v>
      </c>
      <c r="C152" s="549" t="str" cm="1">
        <f t="array" ref="C152">IFERROR(
   INDEX('נתוני רישום ומצבת'!$B:$B,
      SMALL(
         IF(('נתוני רישום ומצבת'!A$2:A$2998='נתונים כלליים (1)'!$C$5),
         ROW('נתוני רישום ומצבת'!A$2:A$2998)),
      ROW(A132))
   ),
"")</f>
        <v/>
      </c>
      <c r="D152" s="549" t="str">
        <f>IF(C152="", "",
   IFERROR(
      IF(VLOOKUP(C152, 'נתוני רישום ומצבת'!B:J, 9, FALSE) = $F$4,
         VLOOKUP(C152, 'נתוני רישום ומצבת'!B:J, 3, FALSE),
         "המוסד לא קיים ברשות"),
   "המוסד לא קיים"))</f>
        <v/>
      </c>
      <c r="E152" s="176" t="str">
        <f>IFERROR(VLOOKUP(C152,'נתוני רישום ומצבת'!B:G,6,0),"")</f>
        <v/>
      </c>
      <c r="F152" s="281" t="str">
        <f>IFERROR(VLOOKUP(C152,'נתוני רישום ומצבת'!B:K,10,0)," ")</f>
        <v xml:space="preserve"> </v>
      </c>
      <c r="G152" s="443" t="str">
        <f>IFERROR(VLOOKUP(C152,'נתוני רישום ומצבת'!B:E,4,0)," ")</f>
        <v xml:space="preserve"> </v>
      </c>
      <c r="H152" s="444" t="str">
        <f>IFERROR(VLOOKUP(C152,'נתוני רישום ומצבת'!B:K,7,0),"")</f>
        <v/>
      </c>
      <c r="I152" s="180" t="str">
        <f t="shared" si="10"/>
        <v/>
      </c>
      <c r="J152" s="443" t="str">
        <f>IFERROR(VLOOKUP(C152,'נתוני רישום ומצבת'!B:I,5,0)," ")</f>
        <v xml:space="preserve"> </v>
      </c>
      <c r="K152" s="443" t="str">
        <f>IFERROR(VLOOKUP(C152,'נתוני רישום ומצבת'!B:I,8,0),"")</f>
        <v/>
      </c>
      <c r="L152" s="284">
        <f t="shared" si="11"/>
        <v>0</v>
      </c>
      <c r="M152" s="283" t="str">
        <f t="shared" si="9"/>
        <v>-</v>
      </c>
    </row>
    <row r="153" spans="2:13" x14ac:dyDescent="0.25">
      <c r="B153" s="280">
        <v>133</v>
      </c>
      <c r="C153" s="549" t="str" cm="1">
        <f t="array" ref="C153">IFERROR(
   INDEX('נתוני רישום ומצבת'!$B:$B,
      SMALL(
         IF(('נתוני רישום ומצבת'!A$2:A$2998='נתונים כלליים (1)'!$C$5),
         ROW('נתוני רישום ומצבת'!A$2:A$2998)),
      ROW(A133))
   ),
"")</f>
        <v/>
      </c>
      <c r="D153" s="549" t="str">
        <f>IF(C153="", "",
   IFERROR(
      IF(VLOOKUP(C153, 'נתוני רישום ומצבת'!B:J, 9, FALSE) = $F$4,
         VLOOKUP(C153, 'נתוני רישום ומצבת'!B:J, 3, FALSE),
         "המוסד לא קיים ברשות"),
   "המוסד לא קיים"))</f>
        <v/>
      </c>
      <c r="E153" s="176" t="str">
        <f>IFERROR(VLOOKUP(C153,'נתוני רישום ומצבת'!B:G,6,0),"")</f>
        <v/>
      </c>
      <c r="F153" s="281" t="str">
        <f>IFERROR(VLOOKUP(C153,'נתוני רישום ומצבת'!B:K,10,0)," ")</f>
        <v xml:space="preserve"> </v>
      </c>
      <c r="G153" s="443" t="str">
        <f>IFERROR(VLOOKUP(C153,'נתוני רישום ומצבת'!B:E,4,0)," ")</f>
        <v xml:space="preserve"> </v>
      </c>
      <c r="H153" s="444" t="str">
        <f>IFERROR(VLOOKUP(C153,'נתוני רישום ומצבת'!B:K,7,0),"")</f>
        <v/>
      </c>
      <c r="I153" s="180" t="str">
        <f t="shared" si="10"/>
        <v/>
      </c>
      <c r="J153" s="443" t="str">
        <f>IFERROR(VLOOKUP(C153,'נתוני רישום ומצבת'!B:I,5,0)," ")</f>
        <v xml:space="preserve"> </v>
      </c>
      <c r="K153" s="443" t="str">
        <f>IFERROR(VLOOKUP(C153,'נתוני רישום ומצבת'!B:I,8,0),"")</f>
        <v/>
      </c>
      <c r="L153" s="284">
        <f t="shared" si="11"/>
        <v>0</v>
      </c>
      <c r="M153" s="283" t="str">
        <f t="shared" si="9"/>
        <v>-</v>
      </c>
    </row>
    <row r="154" spans="2:13" x14ac:dyDescent="0.25">
      <c r="B154" s="280">
        <v>134</v>
      </c>
      <c r="C154" s="549" t="str" cm="1">
        <f t="array" ref="C154">IFERROR(
   INDEX('נתוני רישום ומצבת'!$B:$B,
      SMALL(
         IF(('נתוני רישום ומצבת'!A$2:A$2998='נתונים כלליים (1)'!$C$5),
         ROW('נתוני רישום ומצבת'!A$2:A$2998)),
      ROW(A134))
   ),
"")</f>
        <v/>
      </c>
      <c r="D154" s="549" t="str">
        <f>IF(C154="", "",
   IFERROR(
      IF(VLOOKUP(C154, 'נתוני רישום ומצבת'!B:J, 9, FALSE) = $F$4,
         VLOOKUP(C154, 'נתוני רישום ומצבת'!B:J, 3, FALSE),
         "המוסד לא קיים ברשות"),
   "המוסד לא קיים"))</f>
        <v/>
      </c>
      <c r="E154" s="176" t="str">
        <f>IFERROR(VLOOKUP(C154,'נתוני רישום ומצבת'!B:G,6,0),"")</f>
        <v/>
      </c>
      <c r="F154" s="281" t="str">
        <f>IFERROR(VLOOKUP(C154,'נתוני רישום ומצבת'!B:K,10,0)," ")</f>
        <v xml:space="preserve"> </v>
      </c>
      <c r="G154" s="443" t="str">
        <f>IFERROR(VLOOKUP(C154,'נתוני רישום ומצבת'!B:E,4,0)," ")</f>
        <v xml:space="preserve"> </v>
      </c>
      <c r="H154" s="444" t="str">
        <f>IFERROR(VLOOKUP(C154,'נתוני רישום ומצבת'!B:K,7,0),"")</f>
        <v/>
      </c>
      <c r="I154" s="180" t="str">
        <f t="shared" si="10"/>
        <v/>
      </c>
      <c r="J154" s="443" t="str">
        <f>IFERROR(VLOOKUP(C154,'נתוני רישום ומצבת'!B:I,5,0)," ")</f>
        <v xml:space="preserve"> </v>
      </c>
      <c r="K154" s="443" t="str">
        <f>IFERROR(VLOOKUP(C154,'נתוני רישום ומצבת'!B:I,8,0),"")</f>
        <v/>
      </c>
      <c r="L154" s="284">
        <f t="shared" si="11"/>
        <v>0</v>
      </c>
      <c r="M154" s="283" t="str">
        <f t="shared" si="9"/>
        <v>-</v>
      </c>
    </row>
    <row r="155" spans="2:13" x14ac:dyDescent="0.25">
      <c r="B155" s="280">
        <v>135</v>
      </c>
      <c r="C155" s="549" t="str" cm="1">
        <f t="array" ref="C155">IFERROR(
   INDEX('נתוני רישום ומצבת'!$B:$B,
      SMALL(
         IF(('נתוני רישום ומצבת'!A$2:A$2998='נתונים כלליים (1)'!$C$5),
         ROW('נתוני רישום ומצבת'!A$2:A$2998)),
      ROW(A135))
   ),
"")</f>
        <v/>
      </c>
      <c r="D155" s="549" t="str">
        <f>IF(C155="", "",
   IFERROR(
      IF(VLOOKUP(C155, 'נתוני רישום ומצבת'!B:J, 9, FALSE) = $F$4,
         VLOOKUP(C155, 'נתוני רישום ומצבת'!B:J, 3, FALSE),
         "המוסד לא קיים ברשות"),
   "המוסד לא קיים"))</f>
        <v/>
      </c>
      <c r="E155" s="176" t="str">
        <f>IFERROR(VLOOKUP(C155,'נתוני רישום ומצבת'!B:G,6,0),"")</f>
        <v/>
      </c>
      <c r="F155" s="281" t="str">
        <f>IFERROR(VLOOKUP(C155,'נתוני רישום ומצבת'!B:K,10,0)," ")</f>
        <v xml:space="preserve"> </v>
      </c>
      <c r="G155" s="443" t="str">
        <f>IFERROR(VLOOKUP(C155,'נתוני רישום ומצבת'!B:E,4,0)," ")</f>
        <v xml:space="preserve"> </v>
      </c>
      <c r="H155" s="444" t="str">
        <f>IFERROR(VLOOKUP(C155,'נתוני רישום ומצבת'!B:K,7,0),"")</f>
        <v/>
      </c>
      <c r="I155" s="180" t="str">
        <f t="shared" si="10"/>
        <v/>
      </c>
      <c r="J155" s="443" t="str">
        <f>IFERROR(VLOOKUP(C155,'נתוני רישום ומצבת'!B:I,5,0)," ")</f>
        <v xml:space="preserve"> </v>
      </c>
      <c r="K155" s="443" t="str">
        <f>IFERROR(VLOOKUP(C155,'נתוני רישום ומצבת'!B:I,8,0),"")</f>
        <v/>
      </c>
      <c r="L155" s="284">
        <f t="shared" si="11"/>
        <v>0</v>
      </c>
      <c r="M155" s="283" t="str">
        <f t="shared" si="9"/>
        <v>-</v>
      </c>
    </row>
    <row r="156" spans="2:13" x14ac:dyDescent="0.25">
      <c r="B156" s="280">
        <v>136</v>
      </c>
      <c r="C156" s="549" t="str" cm="1">
        <f t="array" ref="C156">IFERROR(
   INDEX('נתוני רישום ומצבת'!$B:$B,
      SMALL(
         IF(('נתוני רישום ומצבת'!A$2:A$2998='נתונים כלליים (1)'!$C$5),
         ROW('נתוני רישום ומצבת'!A$2:A$2998)),
      ROW(A136))
   ),
"")</f>
        <v/>
      </c>
      <c r="D156" s="549" t="str">
        <f>IF(C156="", "",
   IFERROR(
      IF(VLOOKUP(C156, 'נתוני רישום ומצבת'!B:J, 9, FALSE) = $F$4,
         VLOOKUP(C156, 'נתוני רישום ומצבת'!B:J, 3, FALSE),
         "המוסד לא קיים ברשות"),
   "המוסד לא קיים"))</f>
        <v/>
      </c>
      <c r="E156" s="176" t="str">
        <f>IFERROR(VLOOKUP(C156,'נתוני רישום ומצבת'!B:G,6,0),"")</f>
        <v/>
      </c>
      <c r="F156" s="281" t="str">
        <f>IFERROR(VLOOKUP(C156,'נתוני רישום ומצבת'!B:K,10,0)," ")</f>
        <v xml:space="preserve"> </v>
      </c>
      <c r="G156" s="443" t="str">
        <f>IFERROR(VLOOKUP(C156,'נתוני רישום ומצבת'!B:E,4,0)," ")</f>
        <v xml:space="preserve"> </v>
      </c>
      <c r="H156" s="444" t="str">
        <f>IFERROR(VLOOKUP(C156,'נתוני רישום ומצבת'!B:K,7,0),"")</f>
        <v/>
      </c>
      <c r="I156" s="180" t="str">
        <f t="shared" si="10"/>
        <v/>
      </c>
      <c r="J156" s="443" t="str">
        <f>IFERROR(VLOOKUP(C156,'נתוני רישום ומצבת'!B:I,5,0)," ")</f>
        <v xml:space="preserve"> </v>
      </c>
      <c r="K156" s="443" t="str">
        <f>IFERROR(VLOOKUP(C156,'נתוני רישום ומצבת'!B:I,8,0),"")</f>
        <v/>
      </c>
      <c r="L156" s="284">
        <f t="shared" si="11"/>
        <v>0</v>
      </c>
      <c r="M156" s="283" t="str">
        <f t="shared" si="9"/>
        <v>-</v>
      </c>
    </row>
    <row r="157" spans="2:13" x14ac:dyDescent="0.25">
      <c r="B157" s="280">
        <v>137</v>
      </c>
      <c r="C157" s="549" t="str" cm="1">
        <f t="array" ref="C157">IFERROR(
   INDEX('נתוני רישום ומצבת'!$B:$B,
      SMALL(
         IF(('נתוני רישום ומצבת'!A$2:A$2998='נתונים כלליים (1)'!$C$5),
         ROW('נתוני רישום ומצבת'!A$2:A$2998)),
      ROW(A137))
   ),
"")</f>
        <v/>
      </c>
      <c r="D157" s="549" t="str">
        <f>IF(C157="", "",
   IFERROR(
      IF(VLOOKUP(C157, 'נתוני רישום ומצבת'!B:J, 9, FALSE) = $F$4,
         VLOOKUP(C157, 'נתוני רישום ומצבת'!B:J, 3, FALSE),
         "המוסד לא קיים ברשות"),
   "המוסד לא קיים"))</f>
        <v/>
      </c>
      <c r="E157" s="176" t="str">
        <f>IFERROR(VLOOKUP(C157,'נתוני רישום ומצבת'!B:G,6,0),"")</f>
        <v/>
      </c>
      <c r="F157" s="281" t="str">
        <f>IFERROR(VLOOKUP(C157,'נתוני רישום ומצבת'!B:K,10,0)," ")</f>
        <v xml:space="preserve"> </v>
      </c>
      <c r="G157" s="443" t="str">
        <f>IFERROR(VLOOKUP(C157,'נתוני רישום ומצבת'!B:E,4,0)," ")</f>
        <v xml:space="preserve"> </v>
      </c>
      <c r="H157" s="444" t="str">
        <f>IFERROR(VLOOKUP(C157,'נתוני רישום ומצבת'!B:K,7,0),"")</f>
        <v/>
      </c>
      <c r="I157" s="180" t="str">
        <f t="shared" si="10"/>
        <v/>
      </c>
      <c r="J157" s="443" t="str">
        <f>IFERROR(VLOOKUP(C157,'נתוני רישום ומצבת'!B:I,5,0)," ")</f>
        <v xml:space="preserve"> </v>
      </c>
      <c r="K157" s="443" t="str">
        <f>IFERROR(VLOOKUP(C157,'נתוני רישום ומצבת'!B:I,8,0),"")</f>
        <v/>
      </c>
      <c r="L157" s="284">
        <f t="shared" si="11"/>
        <v>0</v>
      </c>
      <c r="M157" s="283" t="str">
        <f t="shared" si="9"/>
        <v>-</v>
      </c>
    </row>
    <row r="158" spans="2:13" x14ac:dyDescent="0.25">
      <c r="B158" s="280">
        <v>138</v>
      </c>
      <c r="C158" s="549" t="str" cm="1">
        <f t="array" ref="C158">IFERROR(
   INDEX('נתוני רישום ומצבת'!$B:$B,
      SMALL(
         IF(('נתוני רישום ומצבת'!A$2:A$2998='נתונים כלליים (1)'!$C$5),
         ROW('נתוני רישום ומצבת'!A$2:A$2998)),
      ROW(A138))
   ),
"")</f>
        <v/>
      </c>
      <c r="D158" s="549" t="str">
        <f>IF(C158="", "",
   IFERROR(
      IF(VLOOKUP(C158, 'נתוני רישום ומצבת'!B:J, 9, FALSE) = $F$4,
         VLOOKUP(C158, 'נתוני רישום ומצבת'!B:J, 3, FALSE),
         "המוסד לא קיים ברשות"),
   "המוסד לא קיים"))</f>
        <v/>
      </c>
      <c r="E158" s="176" t="str">
        <f>IFERROR(VLOOKUP(C158,'נתוני רישום ומצבת'!B:G,6,0),"")</f>
        <v/>
      </c>
      <c r="F158" s="281" t="str">
        <f>IFERROR(VLOOKUP(C158,'נתוני רישום ומצבת'!B:K,10,0)," ")</f>
        <v xml:space="preserve"> </v>
      </c>
      <c r="G158" s="443" t="str">
        <f>IFERROR(VLOOKUP(C158,'נתוני רישום ומצבת'!B:E,4,0)," ")</f>
        <v xml:space="preserve"> </v>
      </c>
      <c r="H158" s="444" t="str">
        <f>IFERROR(VLOOKUP(C158,'נתוני רישום ומצבת'!B:K,7,0),"")</f>
        <v/>
      </c>
      <c r="I158" s="180" t="str">
        <f t="shared" si="10"/>
        <v/>
      </c>
      <c r="J158" s="443" t="str">
        <f>IFERROR(VLOOKUP(C158,'נתוני רישום ומצבת'!B:I,5,0)," ")</f>
        <v xml:space="preserve"> </v>
      </c>
      <c r="K158" s="443" t="str">
        <f>IFERROR(VLOOKUP(C158,'נתוני רישום ומצבת'!B:I,8,0),"")</f>
        <v/>
      </c>
      <c r="L158" s="284">
        <f t="shared" si="11"/>
        <v>0</v>
      </c>
      <c r="M158" s="283" t="str">
        <f t="shared" si="9"/>
        <v>-</v>
      </c>
    </row>
    <row r="159" spans="2:13" x14ac:dyDescent="0.25">
      <c r="B159" s="280">
        <v>139</v>
      </c>
      <c r="C159" s="549" t="str" cm="1">
        <f t="array" ref="C159">IFERROR(
   INDEX('נתוני רישום ומצבת'!$B:$B,
      SMALL(
         IF(('נתוני רישום ומצבת'!A$2:A$2998='נתונים כלליים (1)'!$C$5),
         ROW('נתוני רישום ומצבת'!A$2:A$2998)),
      ROW(A139))
   ),
"")</f>
        <v/>
      </c>
      <c r="D159" s="549" t="str">
        <f>IF(C159="", "",
   IFERROR(
      IF(VLOOKUP(C159, 'נתוני רישום ומצבת'!B:J, 9, FALSE) = $F$4,
         VLOOKUP(C159, 'נתוני רישום ומצבת'!B:J, 3, FALSE),
         "המוסד לא קיים ברשות"),
   "המוסד לא קיים"))</f>
        <v/>
      </c>
      <c r="E159" s="176" t="str">
        <f>IFERROR(VLOOKUP(C159,'נתוני רישום ומצבת'!B:G,6,0),"")</f>
        <v/>
      </c>
      <c r="F159" s="281" t="str">
        <f>IFERROR(VLOOKUP(C159,'נתוני רישום ומצבת'!B:K,10,0)," ")</f>
        <v xml:space="preserve"> </v>
      </c>
      <c r="G159" s="443" t="str">
        <f>IFERROR(VLOOKUP(C159,'נתוני רישום ומצבת'!B:E,4,0)," ")</f>
        <v xml:space="preserve"> </v>
      </c>
      <c r="H159" s="444" t="str">
        <f>IFERROR(VLOOKUP(C159,'נתוני רישום ומצבת'!B:K,7,0),"")</f>
        <v/>
      </c>
      <c r="I159" s="180" t="str">
        <f t="shared" si="10"/>
        <v/>
      </c>
      <c r="J159" s="443" t="str">
        <f>IFERROR(VLOOKUP(C159,'נתוני רישום ומצבת'!B:I,5,0)," ")</f>
        <v xml:space="preserve"> </v>
      </c>
      <c r="K159" s="443" t="str">
        <f>IFERROR(VLOOKUP(C159,'נתוני רישום ומצבת'!B:I,8,0),"")</f>
        <v/>
      </c>
      <c r="L159" s="284">
        <f t="shared" si="11"/>
        <v>0</v>
      </c>
      <c r="M159" s="283" t="str">
        <f t="shared" si="9"/>
        <v>-</v>
      </c>
    </row>
    <row r="160" spans="2:13" x14ac:dyDescent="0.25">
      <c r="B160" s="280">
        <v>140</v>
      </c>
      <c r="C160" s="549" t="str" cm="1">
        <f t="array" ref="C160">IFERROR(
   INDEX('נתוני רישום ומצבת'!$B:$B,
      SMALL(
         IF(('נתוני רישום ומצבת'!A$2:A$2998='נתונים כלליים (1)'!$C$5),
         ROW('נתוני רישום ומצבת'!A$2:A$2998)),
      ROW(A140))
   ),
"")</f>
        <v/>
      </c>
      <c r="D160" s="549" t="str">
        <f>IF(C160="", "",
   IFERROR(
      IF(VLOOKUP(C160, 'נתוני רישום ומצבת'!B:J, 9, FALSE) = $F$4,
         VLOOKUP(C160, 'נתוני רישום ומצבת'!B:J, 3, FALSE),
         "המוסד לא קיים ברשות"),
   "המוסד לא קיים"))</f>
        <v/>
      </c>
      <c r="E160" s="176" t="str">
        <f>IFERROR(VLOOKUP(C160,'נתוני רישום ומצבת'!B:G,6,0),"")</f>
        <v/>
      </c>
      <c r="F160" s="281" t="str">
        <f>IFERROR(VLOOKUP(C160,'נתוני רישום ומצבת'!B:K,10,0)," ")</f>
        <v xml:space="preserve"> </v>
      </c>
      <c r="G160" s="443" t="str">
        <f>IFERROR(VLOOKUP(C160,'נתוני רישום ומצבת'!B:E,4,0)," ")</f>
        <v xml:space="preserve"> </v>
      </c>
      <c r="H160" s="444" t="str">
        <f>IFERROR(VLOOKUP(C160,'נתוני רישום ומצבת'!B:K,7,0),"")</f>
        <v/>
      </c>
      <c r="I160" s="180" t="str">
        <f t="shared" si="10"/>
        <v/>
      </c>
      <c r="J160" s="443" t="str">
        <f>IFERROR(VLOOKUP(C160,'נתוני רישום ומצבת'!B:I,5,0)," ")</f>
        <v xml:space="preserve"> </v>
      </c>
      <c r="K160" s="443" t="str">
        <f>IFERROR(VLOOKUP(C160,'נתוני רישום ומצבת'!B:I,8,0),"")</f>
        <v/>
      </c>
      <c r="L160" s="284">
        <f t="shared" si="11"/>
        <v>0</v>
      </c>
      <c r="M160" s="283" t="str">
        <f t="shared" si="9"/>
        <v>-</v>
      </c>
    </row>
    <row r="161" spans="2:13" x14ac:dyDescent="0.25">
      <c r="B161" s="280">
        <v>141</v>
      </c>
      <c r="C161" s="549" t="str" cm="1">
        <f t="array" ref="C161">IFERROR(
   INDEX('נתוני רישום ומצבת'!$B:$B,
      SMALL(
         IF(('נתוני רישום ומצבת'!A$2:A$2998='נתונים כלליים (1)'!$C$5),
         ROW('נתוני רישום ומצבת'!A$2:A$2998)),
      ROW(A141))
   ),
"")</f>
        <v/>
      </c>
      <c r="D161" s="549" t="str">
        <f>IF(C161="", "",
   IFERROR(
      IF(VLOOKUP(C161, 'נתוני רישום ומצבת'!B:J, 9, FALSE) = $F$4,
         VLOOKUP(C161, 'נתוני רישום ומצבת'!B:J, 3, FALSE),
         "המוסד לא קיים ברשות"),
   "המוסד לא קיים"))</f>
        <v/>
      </c>
      <c r="E161" s="176" t="str">
        <f>IFERROR(VLOOKUP(C161,'נתוני רישום ומצבת'!B:G,6,0),"")</f>
        <v/>
      </c>
      <c r="F161" s="281" t="str">
        <f>IFERROR(VLOOKUP(C161,'נתוני רישום ומצבת'!B:K,10,0)," ")</f>
        <v xml:space="preserve"> </v>
      </c>
      <c r="G161" s="443" t="str">
        <f>IFERROR(VLOOKUP(C161,'נתוני רישום ומצבת'!B:E,4,0)," ")</f>
        <v xml:space="preserve"> </v>
      </c>
      <c r="H161" s="444" t="str">
        <f>IFERROR(VLOOKUP(C161,'נתוני רישום ומצבת'!B:K,7,0),"")</f>
        <v/>
      </c>
      <c r="I161" s="180" t="str">
        <f t="shared" si="10"/>
        <v/>
      </c>
      <c r="J161" s="443" t="str">
        <f>IFERROR(VLOOKUP(C161,'נתוני רישום ומצבת'!B:I,5,0)," ")</f>
        <v xml:space="preserve"> </v>
      </c>
      <c r="K161" s="443" t="str">
        <f>IFERROR(VLOOKUP(C161,'נתוני רישום ומצבת'!B:I,8,0),"")</f>
        <v/>
      </c>
      <c r="L161" s="284">
        <f t="shared" si="11"/>
        <v>0</v>
      </c>
      <c r="M161" s="283" t="str">
        <f t="shared" si="9"/>
        <v>-</v>
      </c>
    </row>
    <row r="162" spans="2:13" x14ac:dyDescent="0.25">
      <c r="B162" s="280">
        <v>142</v>
      </c>
      <c r="C162" s="549" t="str" cm="1">
        <f t="array" ref="C162">IFERROR(
   INDEX('נתוני רישום ומצבת'!$B:$B,
      SMALL(
         IF(('נתוני רישום ומצבת'!A$2:A$2998='נתונים כלליים (1)'!$C$5),
         ROW('נתוני רישום ומצבת'!A$2:A$2998)),
      ROW(A142))
   ),
"")</f>
        <v/>
      </c>
      <c r="D162" s="549" t="str">
        <f>IF(C162="", "",
   IFERROR(
      IF(VLOOKUP(C162, 'נתוני רישום ומצבת'!B:J, 9, FALSE) = $F$4,
         VLOOKUP(C162, 'נתוני רישום ומצבת'!B:J, 3, FALSE),
         "המוסד לא קיים ברשות"),
   "המוסד לא קיים"))</f>
        <v/>
      </c>
      <c r="E162" s="176" t="str">
        <f>IFERROR(VLOOKUP(C162,'נתוני רישום ומצבת'!B:G,6,0),"")</f>
        <v/>
      </c>
      <c r="F162" s="281" t="str">
        <f>IFERROR(VLOOKUP(C162,'נתוני רישום ומצבת'!B:K,10,0)," ")</f>
        <v xml:space="preserve"> </v>
      </c>
      <c r="G162" s="443" t="str">
        <f>IFERROR(VLOOKUP(C162,'נתוני רישום ומצבת'!B:E,4,0)," ")</f>
        <v xml:space="preserve"> </v>
      </c>
      <c r="H162" s="444" t="str">
        <f>IFERROR(VLOOKUP(C162,'נתוני רישום ומצבת'!B:K,7,0),"")</f>
        <v/>
      </c>
      <c r="I162" s="180" t="str">
        <f t="shared" si="10"/>
        <v/>
      </c>
      <c r="J162" s="443" t="str">
        <f>IFERROR(VLOOKUP(C162,'נתוני רישום ומצבת'!B:I,5,0)," ")</f>
        <v xml:space="preserve"> </v>
      </c>
      <c r="K162" s="443" t="str">
        <f>IFERROR(VLOOKUP(C162,'נתוני רישום ומצבת'!B:I,8,0),"")</f>
        <v/>
      </c>
      <c r="L162" s="284">
        <f t="shared" si="11"/>
        <v>0</v>
      </c>
      <c r="M162" s="283" t="str">
        <f t="shared" si="9"/>
        <v>-</v>
      </c>
    </row>
    <row r="163" spans="2:13" x14ac:dyDescent="0.25">
      <c r="B163" s="280">
        <v>143</v>
      </c>
      <c r="C163" s="549" t="str" cm="1">
        <f t="array" ref="C163">IFERROR(
   INDEX('נתוני רישום ומצבת'!$B:$B,
      SMALL(
         IF(('נתוני רישום ומצבת'!A$2:A$2998='נתונים כלליים (1)'!$C$5),
         ROW('נתוני רישום ומצבת'!A$2:A$2998)),
      ROW(A143))
   ),
"")</f>
        <v/>
      </c>
      <c r="D163" s="549" t="str">
        <f>IF(C163="", "",
   IFERROR(
      IF(VLOOKUP(C163, 'נתוני רישום ומצבת'!B:J, 9, FALSE) = $F$4,
         VLOOKUP(C163, 'נתוני רישום ומצבת'!B:J, 3, FALSE),
         "המוסד לא קיים ברשות"),
   "המוסד לא קיים"))</f>
        <v/>
      </c>
      <c r="E163" s="176" t="str">
        <f>IFERROR(VLOOKUP(C163,'נתוני רישום ומצבת'!B:G,6,0),"")</f>
        <v/>
      </c>
      <c r="F163" s="281" t="str">
        <f>IFERROR(VLOOKUP(C163,'נתוני רישום ומצבת'!B:K,10,0)," ")</f>
        <v xml:space="preserve"> </v>
      </c>
      <c r="G163" s="443" t="str">
        <f>IFERROR(VLOOKUP(C163,'נתוני רישום ומצבת'!B:E,4,0)," ")</f>
        <v xml:space="preserve"> </v>
      </c>
      <c r="H163" s="444" t="str">
        <f>IFERROR(VLOOKUP(C163,'נתוני רישום ומצבת'!B:K,7,0),"")</f>
        <v/>
      </c>
      <c r="I163" s="180" t="str">
        <f t="shared" si="10"/>
        <v/>
      </c>
      <c r="J163" s="443" t="str">
        <f>IFERROR(VLOOKUP(C163,'נתוני רישום ומצבת'!B:I,5,0)," ")</f>
        <v xml:space="preserve"> </v>
      </c>
      <c r="K163" s="443" t="str">
        <f>IFERROR(VLOOKUP(C163,'נתוני רישום ומצבת'!B:I,8,0),"")</f>
        <v/>
      </c>
      <c r="L163" s="284">
        <f t="shared" si="11"/>
        <v>0</v>
      </c>
      <c r="M163" s="283" t="str">
        <f t="shared" si="9"/>
        <v>-</v>
      </c>
    </row>
    <row r="164" spans="2:13" x14ac:dyDescent="0.25">
      <c r="B164" s="280">
        <v>144</v>
      </c>
      <c r="C164" s="549" t="str" cm="1">
        <f t="array" ref="C164">IFERROR(
   INDEX('נתוני רישום ומצבת'!$B:$B,
      SMALL(
         IF(('נתוני רישום ומצבת'!A$2:A$2998='נתונים כלליים (1)'!$C$5),
         ROW('נתוני רישום ומצבת'!A$2:A$2998)),
      ROW(A144))
   ),
"")</f>
        <v/>
      </c>
      <c r="D164" s="549" t="str">
        <f>IF(C164="", "",
   IFERROR(
      IF(VLOOKUP(C164, 'נתוני רישום ומצבת'!B:J, 9, FALSE) = $F$4,
         VLOOKUP(C164, 'נתוני רישום ומצבת'!B:J, 3, FALSE),
         "המוסד לא קיים ברשות"),
   "המוסד לא קיים"))</f>
        <v/>
      </c>
      <c r="E164" s="176" t="str">
        <f>IFERROR(VLOOKUP(C164,'נתוני רישום ומצבת'!B:G,6,0),"")</f>
        <v/>
      </c>
      <c r="F164" s="281" t="str">
        <f>IFERROR(VLOOKUP(C164,'נתוני רישום ומצבת'!B:K,10,0)," ")</f>
        <v xml:space="preserve"> </v>
      </c>
      <c r="G164" s="443" t="str">
        <f>IFERROR(VLOOKUP(C164,'נתוני רישום ומצבת'!B:E,4,0)," ")</f>
        <v xml:space="preserve"> </v>
      </c>
      <c r="H164" s="444" t="str">
        <f>IFERROR(VLOOKUP(C164,'נתוני רישום ומצבת'!B:K,7,0),"")</f>
        <v/>
      </c>
      <c r="I164" s="180" t="str">
        <f t="shared" si="10"/>
        <v/>
      </c>
      <c r="J164" s="443" t="str">
        <f>IFERROR(VLOOKUP(C164,'נתוני רישום ומצבת'!B:I,5,0)," ")</f>
        <v xml:space="preserve"> </v>
      </c>
      <c r="K164" s="443" t="str">
        <f>IFERROR(VLOOKUP(C164,'נתוני רישום ומצבת'!B:I,8,0),"")</f>
        <v/>
      </c>
      <c r="L164" s="284">
        <f t="shared" si="11"/>
        <v>0</v>
      </c>
      <c r="M164" s="283" t="str">
        <f t="shared" si="9"/>
        <v>-</v>
      </c>
    </row>
    <row r="165" spans="2:13" x14ac:dyDescent="0.25">
      <c r="B165" s="280">
        <v>145</v>
      </c>
      <c r="C165" s="549" t="str" cm="1">
        <f t="array" ref="C165">IFERROR(
   INDEX('נתוני רישום ומצבת'!$B:$B,
      SMALL(
         IF(('נתוני רישום ומצבת'!A$2:A$2998='נתונים כלליים (1)'!$C$5),
         ROW('נתוני רישום ומצבת'!A$2:A$2998)),
      ROW(A145))
   ),
"")</f>
        <v/>
      </c>
      <c r="D165" s="549" t="str">
        <f>IF(C165="", "",
   IFERROR(
      IF(VLOOKUP(C165, 'נתוני רישום ומצבת'!B:J, 9, FALSE) = $F$4,
         VLOOKUP(C165, 'נתוני רישום ומצבת'!B:J, 3, FALSE),
         "המוסד לא קיים ברשות"),
   "המוסד לא קיים"))</f>
        <v/>
      </c>
      <c r="E165" s="176" t="str">
        <f>IFERROR(VLOOKUP(C165,'נתוני רישום ומצבת'!B:G,6,0),"")</f>
        <v/>
      </c>
      <c r="F165" s="281" t="str">
        <f>IFERROR(VLOOKUP(C165,'נתוני רישום ומצבת'!B:K,10,0)," ")</f>
        <v xml:space="preserve"> </v>
      </c>
      <c r="G165" s="443" t="str">
        <f>IFERROR(VLOOKUP(C165,'נתוני רישום ומצבת'!B:E,4,0)," ")</f>
        <v xml:space="preserve"> </v>
      </c>
      <c r="H165" s="444" t="str">
        <f>IFERROR(VLOOKUP(C165,'נתוני רישום ומצבת'!B:K,7,0),"")</f>
        <v/>
      </c>
      <c r="I165" s="180" t="str">
        <f t="shared" si="10"/>
        <v/>
      </c>
      <c r="J165" s="443" t="str">
        <f>IFERROR(VLOOKUP(C165,'נתוני רישום ומצבת'!B:I,5,0)," ")</f>
        <v xml:space="preserve"> </v>
      </c>
      <c r="K165" s="443" t="str">
        <f>IFERROR(VLOOKUP(C165,'נתוני רישום ומצבת'!B:I,8,0),"")</f>
        <v/>
      </c>
      <c r="L165" s="284">
        <f t="shared" si="11"/>
        <v>0</v>
      </c>
      <c r="M165" s="283" t="str">
        <f t="shared" si="9"/>
        <v>-</v>
      </c>
    </row>
    <row r="166" spans="2:13" x14ac:dyDescent="0.25">
      <c r="B166" s="280">
        <v>146</v>
      </c>
      <c r="C166" s="549" t="str" cm="1">
        <f t="array" ref="C166">IFERROR(
   INDEX('נתוני רישום ומצבת'!$B:$B,
      SMALL(
         IF(('נתוני רישום ומצבת'!A$2:A$2998='נתונים כלליים (1)'!$C$5),
         ROW('נתוני רישום ומצבת'!A$2:A$2998)),
      ROW(A146))
   ),
"")</f>
        <v/>
      </c>
      <c r="D166" s="549" t="str">
        <f>IF(C166="", "",
   IFERROR(
      IF(VLOOKUP(C166, 'נתוני רישום ומצבת'!B:J, 9, FALSE) = $F$4,
         VLOOKUP(C166, 'נתוני רישום ומצבת'!B:J, 3, FALSE),
         "המוסד לא קיים ברשות"),
   "המוסד לא קיים"))</f>
        <v/>
      </c>
      <c r="E166" s="176" t="str">
        <f>IFERROR(VLOOKUP(C166,'נתוני רישום ומצבת'!B:G,6,0),"")</f>
        <v/>
      </c>
      <c r="F166" s="281" t="str">
        <f>IFERROR(VLOOKUP(C166,'נתוני רישום ומצבת'!B:K,10,0)," ")</f>
        <v xml:space="preserve"> </v>
      </c>
      <c r="G166" s="443" t="str">
        <f>IFERROR(VLOOKUP(C166,'נתוני רישום ומצבת'!B:E,4,0)," ")</f>
        <v xml:space="preserve"> </v>
      </c>
      <c r="H166" s="444" t="str">
        <f>IFERROR(VLOOKUP(C166,'נתוני רישום ומצבת'!B:K,7,0),"")</f>
        <v/>
      </c>
      <c r="I166" s="180" t="str">
        <f t="shared" si="10"/>
        <v/>
      </c>
      <c r="J166" s="443" t="str">
        <f>IFERROR(VLOOKUP(C166,'נתוני רישום ומצבת'!B:I,5,0)," ")</f>
        <v xml:space="preserve"> </v>
      </c>
      <c r="K166" s="443" t="str">
        <f>IFERROR(VLOOKUP(C166,'נתוני רישום ומצבת'!B:I,8,0),"")</f>
        <v/>
      </c>
      <c r="L166" s="284">
        <f t="shared" si="11"/>
        <v>0</v>
      </c>
      <c r="M166" s="283" t="str">
        <f t="shared" si="9"/>
        <v>-</v>
      </c>
    </row>
    <row r="167" spans="2:13" x14ac:dyDescent="0.25">
      <c r="B167" s="280">
        <v>147</v>
      </c>
      <c r="C167" s="549" t="str" cm="1">
        <f t="array" ref="C167">IFERROR(
   INDEX('נתוני רישום ומצבת'!$B:$B,
      SMALL(
         IF(('נתוני רישום ומצבת'!A$2:A$2998='נתונים כלליים (1)'!$C$5),
         ROW('נתוני רישום ומצבת'!A$2:A$2998)),
      ROW(A147))
   ),
"")</f>
        <v/>
      </c>
      <c r="D167" s="549" t="str">
        <f>IF(C167="", "",
   IFERROR(
      IF(VLOOKUP(C167, 'נתוני רישום ומצבת'!B:J, 9, FALSE) = $F$4,
         VLOOKUP(C167, 'נתוני רישום ומצבת'!B:J, 3, FALSE),
         "המוסד לא קיים ברשות"),
   "המוסד לא קיים"))</f>
        <v/>
      </c>
      <c r="E167" s="176" t="str">
        <f>IFERROR(VLOOKUP(C167,'נתוני רישום ומצבת'!B:G,6,0),"")</f>
        <v/>
      </c>
      <c r="F167" s="281" t="str">
        <f>IFERROR(VLOOKUP(C167,'נתוני רישום ומצבת'!B:K,10,0)," ")</f>
        <v xml:space="preserve"> </v>
      </c>
      <c r="G167" s="443" t="str">
        <f>IFERROR(VLOOKUP(C167,'נתוני רישום ומצבת'!B:E,4,0)," ")</f>
        <v xml:space="preserve"> </v>
      </c>
      <c r="H167" s="444" t="str">
        <f>IFERROR(VLOOKUP(C167,'נתוני רישום ומצבת'!B:K,7,0),"")</f>
        <v/>
      </c>
      <c r="I167" s="180" t="str">
        <f t="shared" si="10"/>
        <v/>
      </c>
      <c r="J167" s="443" t="str">
        <f>IFERROR(VLOOKUP(C167,'נתוני רישום ומצבת'!B:I,5,0)," ")</f>
        <v xml:space="preserve"> </v>
      </c>
      <c r="K167" s="443" t="str">
        <f>IFERROR(VLOOKUP(C167,'נתוני רישום ומצבת'!B:I,8,0),"")</f>
        <v/>
      </c>
      <c r="L167" s="284">
        <f t="shared" si="11"/>
        <v>0</v>
      </c>
      <c r="M167" s="283" t="str">
        <f t="shared" si="9"/>
        <v>-</v>
      </c>
    </row>
    <row r="168" spans="2:13" x14ac:dyDescent="0.25">
      <c r="B168" s="280">
        <v>148</v>
      </c>
      <c r="C168" s="549" t="str" cm="1">
        <f t="array" ref="C168">IFERROR(
   INDEX('נתוני רישום ומצבת'!$B:$B,
      SMALL(
         IF(('נתוני רישום ומצבת'!A$2:A$2998='נתונים כלליים (1)'!$C$5),
         ROW('נתוני רישום ומצבת'!A$2:A$2998)),
      ROW(A148))
   ),
"")</f>
        <v/>
      </c>
      <c r="D168" s="549" t="str">
        <f>IF(C168="", "",
   IFERROR(
      IF(VLOOKUP(C168, 'נתוני רישום ומצבת'!B:J, 9, FALSE) = $F$4,
         VLOOKUP(C168, 'נתוני רישום ומצבת'!B:J, 3, FALSE),
         "המוסד לא קיים ברשות"),
   "המוסד לא קיים"))</f>
        <v/>
      </c>
      <c r="E168" s="176" t="str">
        <f>IFERROR(VLOOKUP(C168,'נתוני רישום ומצבת'!B:G,6,0),"")</f>
        <v/>
      </c>
      <c r="F168" s="281" t="str">
        <f>IFERROR(VLOOKUP(C168,'נתוני רישום ומצבת'!B:K,10,0)," ")</f>
        <v xml:space="preserve"> </v>
      </c>
      <c r="G168" s="443" t="str">
        <f>IFERROR(VLOOKUP(C168,'נתוני רישום ומצבת'!B:E,4,0)," ")</f>
        <v xml:space="preserve"> </v>
      </c>
      <c r="H168" s="444" t="str">
        <f>IFERROR(VLOOKUP(C168,'נתוני רישום ומצבת'!B:K,7,0),"")</f>
        <v/>
      </c>
      <c r="I168" s="180" t="str">
        <f t="shared" si="10"/>
        <v/>
      </c>
      <c r="J168" s="443" t="str">
        <f>IFERROR(VLOOKUP(C168,'נתוני רישום ומצבת'!B:I,5,0)," ")</f>
        <v xml:space="preserve"> </v>
      </c>
      <c r="K168" s="443" t="str">
        <f>IFERROR(VLOOKUP(C168,'נתוני רישום ומצבת'!B:I,8,0),"")</f>
        <v/>
      </c>
      <c r="L168" s="284">
        <f t="shared" si="11"/>
        <v>0</v>
      </c>
      <c r="M168" s="283" t="str">
        <f t="shared" si="9"/>
        <v>-</v>
      </c>
    </row>
    <row r="169" spans="2:13" x14ac:dyDescent="0.25">
      <c r="B169" s="280">
        <v>149</v>
      </c>
      <c r="C169" s="549" t="str" cm="1">
        <f t="array" ref="C169">IFERROR(
   INDEX('נתוני רישום ומצבת'!$B:$B,
      SMALL(
         IF(('נתוני רישום ומצבת'!A$2:A$2998='נתונים כלליים (1)'!$C$5),
         ROW('נתוני רישום ומצבת'!A$2:A$2998)),
      ROW(A149))
   ),
"")</f>
        <v/>
      </c>
      <c r="D169" s="549" t="str">
        <f>IF(C169="", "",
   IFERROR(
      IF(VLOOKUP(C169, 'נתוני רישום ומצבת'!B:J, 9, FALSE) = $F$4,
         VLOOKUP(C169, 'נתוני רישום ומצבת'!B:J, 3, FALSE),
         "המוסד לא קיים ברשות"),
   "המוסד לא קיים"))</f>
        <v/>
      </c>
      <c r="E169" s="176" t="str">
        <f>IFERROR(VLOOKUP(C169,'נתוני רישום ומצבת'!B:G,6,0),"")</f>
        <v/>
      </c>
      <c r="F169" s="281" t="str">
        <f>IFERROR(VLOOKUP(C169,'נתוני רישום ומצבת'!B:K,10,0)," ")</f>
        <v xml:space="preserve"> </v>
      </c>
      <c r="G169" s="443" t="str">
        <f>IFERROR(VLOOKUP(C169,'נתוני רישום ומצבת'!B:E,4,0)," ")</f>
        <v xml:space="preserve"> </v>
      </c>
      <c r="H169" s="444" t="str">
        <f>IFERROR(VLOOKUP(C169,'נתוני רישום ומצבת'!B:K,7,0),"")</f>
        <v/>
      </c>
      <c r="I169" s="180" t="str">
        <f t="shared" si="10"/>
        <v/>
      </c>
      <c r="J169" s="443" t="str">
        <f>IFERROR(VLOOKUP(C169,'נתוני רישום ומצבת'!B:I,5,0)," ")</f>
        <v xml:space="preserve"> </v>
      </c>
      <c r="K169" s="443" t="str">
        <f>IFERROR(VLOOKUP(C169,'נתוני רישום ומצבת'!B:I,8,0),"")</f>
        <v/>
      </c>
      <c r="L169" s="284">
        <f t="shared" si="11"/>
        <v>0</v>
      </c>
      <c r="M169" s="283" t="str">
        <f t="shared" si="9"/>
        <v>-</v>
      </c>
    </row>
    <row r="170" spans="2:13" x14ac:dyDescent="0.25">
      <c r="B170" s="280">
        <v>150</v>
      </c>
      <c r="C170" s="549" t="str" cm="1">
        <f t="array" ref="C170">IFERROR(
   INDEX('נתוני רישום ומצבת'!$B:$B,
      SMALL(
         IF(('נתוני רישום ומצבת'!A$2:A$2998='נתונים כלליים (1)'!$C$5),
         ROW('נתוני רישום ומצבת'!A$2:A$2998)),
      ROW(A150))
   ),
"")</f>
        <v/>
      </c>
      <c r="D170" s="549" t="str">
        <f>IF(C170="", "",
   IFERROR(
      IF(VLOOKUP(C170, 'נתוני רישום ומצבת'!B:J, 9, FALSE) = $F$4,
         VLOOKUP(C170, 'נתוני רישום ומצבת'!B:J, 3, FALSE),
         "המוסד לא קיים ברשות"),
   "המוסד לא קיים"))</f>
        <v/>
      </c>
      <c r="E170" s="176" t="str">
        <f>IFERROR(VLOOKUP(C170,'נתוני רישום ומצבת'!B:G,6,0),"")</f>
        <v/>
      </c>
      <c r="F170" s="281" t="str">
        <f>IFERROR(VLOOKUP(C170,'נתוני רישום ומצבת'!B:K,10,0)," ")</f>
        <v xml:space="preserve"> </v>
      </c>
      <c r="G170" s="443" t="str">
        <f>IFERROR(VLOOKUP(C170,'נתוני רישום ומצבת'!B:E,4,0)," ")</f>
        <v xml:space="preserve"> </v>
      </c>
      <c r="H170" s="444" t="str">
        <f>IFERROR(VLOOKUP(C170,'נתוני רישום ומצבת'!B:K,7,0),"")</f>
        <v/>
      </c>
      <c r="I170" s="180" t="str">
        <f t="shared" si="10"/>
        <v/>
      </c>
      <c r="J170" s="443" t="str">
        <f>IFERROR(VLOOKUP(C170,'נתוני רישום ומצבת'!B:I,5,0)," ")</f>
        <v xml:space="preserve"> </v>
      </c>
      <c r="K170" s="443" t="str">
        <f>IFERROR(VLOOKUP(C170,'נתוני רישום ומצבת'!B:I,8,0),"")</f>
        <v/>
      </c>
      <c r="L170" s="284">
        <f t="shared" si="11"/>
        <v>0</v>
      </c>
      <c r="M170" s="283" t="str">
        <f t="shared" si="9"/>
        <v>-</v>
      </c>
    </row>
    <row r="171" spans="2:13" x14ac:dyDescent="0.25">
      <c r="B171" s="280">
        <v>151</v>
      </c>
      <c r="C171" s="549" t="str" cm="1">
        <f t="array" ref="C171">IFERROR(
   INDEX('נתוני רישום ומצבת'!$B:$B,
      SMALL(
         IF(('נתוני רישום ומצבת'!A$2:A$2998='נתונים כלליים (1)'!$C$5),
         ROW('נתוני רישום ומצבת'!A$2:A$2998)),
      ROW(A151))
   ),
"")</f>
        <v/>
      </c>
      <c r="D171" s="549" t="str">
        <f>IF(C171="", "",
   IFERROR(
      IF(VLOOKUP(C171, 'נתוני רישום ומצבת'!B:J, 9, FALSE) = $F$4,
         VLOOKUP(C171, 'נתוני רישום ומצבת'!B:J, 3, FALSE),
         "המוסד לא קיים ברשות"),
   "המוסד לא קיים"))</f>
        <v/>
      </c>
      <c r="E171" s="176" t="str">
        <f>IFERROR(VLOOKUP(C171,'נתוני רישום ומצבת'!B:G,6,0),"")</f>
        <v/>
      </c>
      <c r="F171" s="281" t="str">
        <f>IFERROR(VLOOKUP(C171,'נתוני רישום ומצבת'!B:K,10,0)," ")</f>
        <v xml:space="preserve"> </v>
      </c>
      <c r="G171" s="443" t="str">
        <f>IFERROR(VLOOKUP(C171,'נתוני רישום ומצבת'!B:E,4,0)," ")</f>
        <v xml:space="preserve"> </v>
      </c>
      <c r="H171" s="444" t="str">
        <f>IFERROR(VLOOKUP(C171,'נתוני רישום ומצבת'!B:K,7,0),"")</f>
        <v/>
      </c>
      <c r="I171" s="180" t="str">
        <f t="shared" si="10"/>
        <v/>
      </c>
      <c r="J171" s="443" t="str">
        <f>IFERROR(VLOOKUP(C171,'נתוני רישום ומצבת'!B:I,5,0)," ")</f>
        <v xml:space="preserve"> </v>
      </c>
      <c r="K171" s="443" t="str">
        <f>IFERROR(VLOOKUP(C171,'נתוני רישום ומצבת'!B:I,8,0),"")</f>
        <v/>
      </c>
      <c r="L171" s="284">
        <f t="shared" si="11"/>
        <v>0</v>
      </c>
      <c r="M171" s="283" t="str">
        <f t="shared" si="9"/>
        <v>-</v>
      </c>
    </row>
    <row r="172" spans="2:13" x14ac:dyDescent="0.25">
      <c r="B172" s="280">
        <v>152</v>
      </c>
      <c r="C172" s="549" t="str" cm="1">
        <f t="array" ref="C172">IFERROR(
   INDEX('נתוני רישום ומצבת'!$B:$B,
      SMALL(
         IF(('נתוני רישום ומצבת'!A$2:A$2998='נתונים כלליים (1)'!$C$5),
         ROW('נתוני רישום ומצבת'!A$2:A$2998)),
      ROW(A152))
   ),
"")</f>
        <v/>
      </c>
      <c r="D172" s="549" t="str">
        <f>IF(C172="", "",
   IFERROR(
      IF(VLOOKUP(C172, 'נתוני רישום ומצבת'!B:J, 9, FALSE) = $F$4,
         VLOOKUP(C172, 'נתוני רישום ומצבת'!B:J, 3, FALSE),
         "המוסד לא קיים ברשות"),
   "המוסד לא קיים"))</f>
        <v/>
      </c>
      <c r="E172" s="176" t="str">
        <f>IFERROR(VLOOKUP(C172,'נתוני רישום ומצבת'!B:G,6,0),"")</f>
        <v/>
      </c>
      <c r="F172" s="281" t="str">
        <f>IFERROR(VLOOKUP(C172,'נתוני רישום ומצבת'!B:K,10,0)," ")</f>
        <v xml:space="preserve"> </v>
      </c>
      <c r="G172" s="443" t="str">
        <f>IFERROR(VLOOKUP(C172,'נתוני רישום ומצבת'!B:E,4,0)," ")</f>
        <v xml:space="preserve"> </v>
      </c>
      <c r="H172" s="444" t="str">
        <f>IFERROR(VLOOKUP(C172,'נתוני רישום ומצבת'!B:K,7,0),"")</f>
        <v/>
      </c>
      <c r="I172" s="180" t="str">
        <f t="shared" si="10"/>
        <v/>
      </c>
      <c r="J172" s="443" t="str">
        <f>IFERROR(VLOOKUP(C172,'נתוני רישום ומצבת'!B:I,5,0)," ")</f>
        <v xml:space="preserve"> </v>
      </c>
      <c r="K172" s="443" t="str">
        <f>IFERROR(VLOOKUP(C172,'נתוני רישום ומצבת'!B:I,8,0),"")</f>
        <v/>
      </c>
      <c r="L172" s="284">
        <f t="shared" si="11"/>
        <v>0</v>
      </c>
      <c r="M172" s="283" t="str">
        <f t="shared" si="9"/>
        <v>-</v>
      </c>
    </row>
    <row r="173" spans="2:13" x14ac:dyDescent="0.25">
      <c r="B173" s="280">
        <v>153</v>
      </c>
      <c r="C173" s="549" t="str" cm="1">
        <f t="array" ref="C173">IFERROR(
   INDEX('נתוני רישום ומצבת'!$B:$B,
      SMALL(
         IF(('נתוני רישום ומצבת'!A$2:A$2998='נתונים כלליים (1)'!$C$5),
         ROW('נתוני רישום ומצבת'!A$2:A$2998)),
      ROW(A153))
   ),
"")</f>
        <v/>
      </c>
      <c r="D173" s="549" t="str">
        <f>IF(C173="", "",
   IFERROR(
      IF(VLOOKUP(C173, 'נתוני רישום ומצבת'!B:J, 9, FALSE) = $F$4,
         VLOOKUP(C173, 'נתוני רישום ומצבת'!B:J, 3, FALSE),
         "המוסד לא קיים ברשות"),
   "המוסד לא קיים"))</f>
        <v/>
      </c>
      <c r="E173" s="176" t="str">
        <f>IFERROR(VLOOKUP(C173,'נתוני רישום ומצבת'!B:G,6,0),"")</f>
        <v/>
      </c>
      <c r="F173" s="281" t="str">
        <f>IFERROR(VLOOKUP(C173,'נתוני רישום ומצבת'!B:K,10,0)," ")</f>
        <v xml:space="preserve"> </v>
      </c>
      <c r="G173" s="443" t="str">
        <f>IFERROR(VLOOKUP(C173,'נתוני רישום ומצבת'!B:E,4,0)," ")</f>
        <v xml:space="preserve"> </v>
      </c>
      <c r="H173" s="444" t="str">
        <f>IFERROR(VLOOKUP(C173,'נתוני רישום ומצבת'!B:K,7,0),"")</f>
        <v/>
      </c>
      <c r="I173" s="180" t="str">
        <f t="shared" si="10"/>
        <v/>
      </c>
      <c r="J173" s="443" t="str">
        <f>IFERROR(VLOOKUP(C173,'נתוני רישום ומצבת'!B:I,5,0)," ")</f>
        <v xml:space="preserve"> </v>
      </c>
      <c r="K173" s="443" t="str">
        <f>IFERROR(VLOOKUP(C173,'נתוני רישום ומצבת'!B:I,8,0),"")</f>
        <v/>
      </c>
      <c r="L173" s="284">
        <f t="shared" si="11"/>
        <v>0</v>
      </c>
      <c r="M173" s="283" t="str">
        <f t="shared" si="9"/>
        <v>-</v>
      </c>
    </row>
    <row r="174" spans="2:13" x14ac:dyDescent="0.25">
      <c r="B174" s="280">
        <v>154</v>
      </c>
      <c r="C174" s="549" t="str" cm="1">
        <f t="array" ref="C174">IFERROR(
   INDEX('נתוני רישום ומצבת'!$B:$B,
      SMALL(
         IF(('נתוני רישום ומצבת'!A$2:A$2998='נתונים כלליים (1)'!$C$5),
         ROW('נתוני רישום ומצבת'!A$2:A$2998)),
      ROW(A154))
   ),
"")</f>
        <v/>
      </c>
      <c r="D174" s="549" t="str">
        <f>IF(C174="", "",
   IFERROR(
      IF(VLOOKUP(C174, 'נתוני רישום ומצבת'!B:J, 9, FALSE) = $F$4,
         VLOOKUP(C174, 'נתוני רישום ומצבת'!B:J, 3, FALSE),
         "המוסד לא קיים ברשות"),
   "המוסד לא קיים"))</f>
        <v/>
      </c>
      <c r="E174" s="176" t="str">
        <f>IFERROR(VLOOKUP(C174,'נתוני רישום ומצבת'!B:G,6,0),"")</f>
        <v/>
      </c>
      <c r="F174" s="281" t="str">
        <f>IFERROR(VLOOKUP(C174,'נתוני רישום ומצבת'!B:K,10,0)," ")</f>
        <v xml:space="preserve"> </v>
      </c>
      <c r="G174" s="443" t="str">
        <f>IFERROR(VLOOKUP(C174,'נתוני רישום ומצבת'!B:E,4,0)," ")</f>
        <v xml:space="preserve"> </v>
      </c>
      <c r="H174" s="444" t="str">
        <f>IFERROR(VLOOKUP(C174,'נתוני רישום ומצבת'!B:K,7,0),"")</f>
        <v/>
      </c>
      <c r="I174" s="180" t="str">
        <f t="shared" si="10"/>
        <v/>
      </c>
      <c r="J174" s="443" t="str">
        <f>IFERROR(VLOOKUP(C174,'נתוני רישום ומצבת'!B:I,5,0)," ")</f>
        <v xml:space="preserve"> </v>
      </c>
      <c r="K174" s="443" t="str">
        <f>IFERROR(VLOOKUP(C174,'נתוני רישום ומצבת'!B:I,8,0),"")</f>
        <v/>
      </c>
      <c r="L174" s="284">
        <f t="shared" si="11"/>
        <v>0</v>
      </c>
      <c r="M174" s="283" t="str">
        <f t="shared" si="9"/>
        <v>-</v>
      </c>
    </row>
    <row r="175" spans="2:13" x14ac:dyDescent="0.25">
      <c r="B175" s="280">
        <v>155</v>
      </c>
      <c r="C175" s="549" t="str" cm="1">
        <f t="array" ref="C175">IFERROR(
   INDEX('נתוני רישום ומצבת'!$B:$B,
      SMALL(
         IF(('נתוני רישום ומצבת'!A$2:A$2998='נתונים כלליים (1)'!$C$5),
         ROW('נתוני רישום ומצבת'!A$2:A$2998)),
      ROW(A155))
   ),
"")</f>
        <v/>
      </c>
      <c r="D175" s="549" t="str">
        <f>IF(C175="", "",
   IFERROR(
      IF(VLOOKUP(C175, 'נתוני רישום ומצבת'!B:J, 9, FALSE) = $F$4,
         VLOOKUP(C175, 'נתוני רישום ומצבת'!B:J, 3, FALSE),
         "המוסד לא קיים ברשות"),
   "המוסד לא קיים"))</f>
        <v/>
      </c>
      <c r="E175" s="176" t="str">
        <f>IFERROR(VLOOKUP(C175,'נתוני רישום ומצבת'!B:G,6,0),"")</f>
        <v/>
      </c>
      <c r="F175" s="281" t="str">
        <f>IFERROR(VLOOKUP(C175,'נתוני רישום ומצבת'!B:K,10,0)," ")</f>
        <v xml:space="preserve"> </v>
      </c>
      <c r="G175" s="443" t="str">
        <f>IFERROR(VLOOKUP(C175,'נתוני רישום ומצבת'!B:E,4,0)," ")</f>
        <v xml:space="preserve"> </v>
      </c>
      <c r="H175" s="444" t="str">
        <f>IFERROR(VLOOKUP(C175,'נתוני רישום ומצבת'!B:K,7,0),"")</f>
        <v/>
      </c>
      <c r="I175" s="180" t="str">
        <f t="shared" si="10"/>
        <v/>
      </c>
      <c r="J175" s="443" t="str">
        <f>IFERROR(VLOOKUP(C175,'נתוני רישום ומצבת'!B:I,5,0)," ")</f>
        <v xml:space="preserve"> </v>
      </c>
      <c r="K175" s="443" t="str">
        <f>IFERROR(VLOOKUP(C175,'נתוני רישום ומצבת'!B:I,8,0),"")</f>
        <v/>
      </c>
      <c r="L175" s="284">
        <f t="shared" si="11"/>
        <v>0</v>
      </c>
      <c r="M175" s="283" t="str">
        <f t="shared" si="9"/>
        <v>-</v>
      </c>
    </row>
    <row r="176" spans="2:13" x14ac:dyDescent="0.25">
      <c r="B176" s="280">
        <v>156</v>
      </c>
      <c r="C176" s="549" t="str" cm="1">
        <f t="array" ref="C176">IFERROR(
   INDEX('נתוני רישום ומצבת'!$B:$B,
      SMALL(
         IF(('נתוני רישום ומצבת'!A$2:A$2998='נתונים כלליים (1)'!$C$5),
         ROW('נתוני רישום ומצבת'!A$2:A$2998)),
      ROW(A156))
   ),
"")</f>
        <v/>
      </c>
      <c r="D176" s="549" t="str">
        <f>IF(C176="", "",
   IFERROR(
      IF(VLOOKUP(C176, 'נתוני רישום ומצבת'!B:J, 9, FALSE) = $F$4,
         VLOOKUP(C176, 'נתוני רישום ומצבת'!B:J, 3, FALSE),
         "המוסד לא קיים ברשות"),
   "המוסד לא קיים"))</f>
        <v/>
      </c>
      <c r="E176" s="176" t="str">
        <f>IFERROR(VLOOKUP(C176,'נתוני רישום ומצבת'!B:G,6,0),"")</f>
        <v/>
      </c>
      <c r="F176" s="281" t="str">
        <f>IFERROR(VLOOKUP(C176,'נתוני רישום ומצבת'!B:K,10,0)," ")</f>
        <v xml:space="preserve"> </v>
      </c>
      <c r="G176" s="443" t="str">
        <f>IFERROR(VLOOKUP(C176,'נתוני רישום ומצבת'!B:E,4,0)," ")</f>
        <v xml:space="preserve"> </v>
      </c>
      <c r="H176" s="444" t="str">
        <f>IFERROR(VLOOKUP(C176,'נתוני רישום ומצבת'!B:K,7,0),"")</f>
        <v/>
      </c>
      <c r="I176" s="180" t="str">
        <f t="shared" si="10"/>
        <v/>
      </c>
      <c r="J176" s="443" t="str">
        <f>IFERROR(VLOOKUP(C176,'נתוני רישום ומצבת'!B:I,5,0)," ")</f>
        <v xml:space="preserve"> </v>
      </c>
      <c r="K176" s="443" t="str">
        <f>IFERROR(VLOOKUP(C176,'נתוני רישום ומצבת'!B:I,8,0),"")</f>
        <v/>
      </c>
      <c r="L176" s="284">
        <f t="shared" si="11"/>
        <v>0</v>
      </c>
      <c r="M176" s="283" t="str">
        <f t="shared" si="9"/>
        <v>-</v>
      </c>
    </row>
    <row r="177" spans="2:13" x14ac:dyDescent="0.25">
      <c r="B177" s="280">
        <v>157</v>
      </c>
      <c r="C177" s="549" t="str" cm="1">
        <f t="array" ref="C177">IFERROR(
   INDEX('נתוני רישום ומצבת'!$B:$B,
      SMALL(
         IF(('נתוני רישום ומצבת'!A$2:A$2998='נתונים כלליים (1)'!$C$5),
         ROW('נתוני רישום ומצבת'!A$2:A$2998)),
      ROW(A157))
   ),
"")</f>
        <v/>
      </c>
      <c r="D177" s="549" t="str">
        <f>IF(C177="", "",
   IFERROR(
      IF(VLOOKUP(C177, 'נתוני רישום ומצבת'!B:J, 9, FALSE) = $F$4,
         VLOOKUP(C177, 'נתוני רישום ומצבת'!B:J, 3, FALSE),
         "המוסד לא קיים ברשות"),
   "המוסד לא קיים"))</f>
        <v/>
      </c>
      <c r="E177" s="176" t="str">
        <f>IFERROR(VLOOKUP(C177,'נתוני רישום ומצבת'!B:G,6,0),"")</f>
        <v/>
      </c>
      <c r="F177" s="281" t="str">
        <f>IFERROR(VLOOKUP(C177,'נתוני רישום ומצבת'!B:K,10,0)," ")</f>
        <v xml:space="preserve"> </v>
      </c>
      <c r="G177" s="443" t="str">
        <f>IFERROR(VLOOKUP(C177,'נתוני רישום ומצבת'!B:E,4,0)," ")</f>
        <v xml:space="preserve"> </v>
      </c>
      <c r="H177" s="444" t="str">
        <f>IFERROR(VLOOKUP(C177,'נתוני רישום ומצבת'!B:K,7,0),"")</f>
        <v/>
      </c>
      <c r="I177" s="180" t="str">
        <f t="shared" si="10"/>
        <v/>
      </c>
      <c r="J177" s="443" t="str">
        <f>IFERROR(VLOOKUP(C177,'נתוני רישום ומצבת'!B:I,5,0)," ")</f>
        <v xml:space="preserve"> </v>
      </c>
      <c r="K177" s="443" t="str">
        <f>IFERROR(VLOOKUP(C177,'נתוני רישום ומצבת'!B:I,8,0),"")</f>
        <v/>
      </c>
      <c r="L177" s="284">
        <f t="shared" si="11"/>
        <v>0</v>
      </c>
      <c r="M177" s="283" t="str">
        <f t="shared" si="9"/>
        <v>-</v>
      </c>
    </row>
    <row r="178" spans="2:13" x14ac:dyDescent="0.25">
      <c r="B178" s="280">
        <v>158</v>
      </c>
      <c r="C178" s="549" t="str" cm="1">
        <f t="array" ref="C178">IFERROR(
   INDEX('נתוני רישום ומצבת'!$B:$B,
      SMALL(
         IF(('נתוני רישום ומצבת'!A$2:A$2998='נתונים כלליים (1)'!$C$5),
         ROW('נתוני רישום ומצבת'!A$2:A$2998)),
      ROW(A158))
   ),
"")</f>
        <v/>
      </c>
      <c r="D178" s="549" t="str">
        <f>IF(C178="", "",
   IFERROR(
      IF(VLOOKUP(C178, 'נתוני רישום ומצבת'!B:J, 9, FALSE) = $F$4,
         VLOOKUP(C178, 'נתוני רישום ומצבת'!B:J, 3, FALSE),
         "המוסד לא קיים ברשות"),
   "המוסד לא קיים"))</f>
        <v/>
      </c>
      <c r="E178" s="176" t="str">
        <f>IFERROR(VLOOKUP(C178,'נתוני רישום ומצבת'!B:G,6,0),"")</f>
        <v/>
      </c>
      <c r="F178" s="281" t="str">
        <f>IFERROR(VLOOKUP(C178,'נתוני רישום ומצבת'!B:K,10,0)," ")</f>
        <v xml:space="preserve"> </v>
      </c>
      <c r="G178" s="443" t="str">
        <f>IFERROR(VLOOKUP(C178,'נתוני רישום ומצבת'!B:E,4,0)," ")</f>
        <v xml:space="preserve"> </v>
      </c>
      <c r="H178" s="444" t="str">
        <f>IFERROR(VLOOKUP(C178,'נתוני רישום ומצבת'!B:K,7,0),"")</f>
        <v/>
      </c>
      <c r="I178" s="180" t="str">
        <f t="shared" si="10"/>
        <v/>
      </c>
      <c r="J178" s="443" t="str">
        <f>IFERROR(VLOOKUP(C178,'נתוני רישום ומצבת'!B:I,5,0)," ")</f>
        <v xml:space="preserve"> </v>
      </c>
      <c r="K178" s="443" t="str">
        <f>IFERROR(VLOOKUP(C178,'נתוני רישום ומצבת'!B:I,8,0),"")</f>
        <v/>
      </c>
      <c r="L178" s="284">
        <f t="shared" si="11"/>
        <v>0</v>
      </c>
      <c r="M178" s="283" t="str">
        <f t="shared" si="9"/>
        <v>-</v>
      </c>
    </row>
    <row r="179" spans="2:13" x14ac:dyDescent="0.25">
      <c r="B179" s="280">
        <v>159</v>
      </c>
      <c r="C179" s="549" t="str" cm="1">
        <f t="array" ref="C179">IFERROR(
   INDEX('נתוני רישום ומצבת'!$B:$B,
      SMALL(
         IF(('נתוני רישום ומצבת'!A$2:A$2998='נתונים כלליים (1)'!$C$5),
         ROW('נתוני רישום ומצבת'!A$2:A$2998)),
      ROW(A159))
   ),
"")</f>
        <v/>
      </c>
      <c r="D179" s="549" t="str">
        <f>IF(C179="", "",
   IFERROR(
      IF(VLOOKUP(C179, 'נתוני רישום ומצבת'!B:J, 9, FALSE) = $F$4,
         VLOOKUP(C179, 'נתוני רישום ומצבת'!B:J, 3, FALSE),
         "המוסד לא קיים ברשות"),
   "המוסד לא קיים"))</f>
        <v/>
      </c>
      <c r="E179" s="176" t="str">
        <f>IFERROR(VLOOKUP(C179,'נתוני רישום ומצבת'!B:G,6,0),"")</f>
        <v/>
      </c>
      <c r="F179" s="281" t="str">
        <f>IFERROR(VLOOKUP(C179,'נתוני רישום ומצבת'!B:K,10,0)," ")</f>
        <v xml:space="preserve"> </v>
      </c>
      <c r="G179" s="443" t="str">
        <f>IFERROR(VLOOKUP(C179,'נתוני רישום ומצבת'!B:E,4,0)," ")</f>
        <v xml:space="preserve"> </v>
      </c>
      <c r="H179" s="444" t="str">
        <f>IFERROR(VLOOKUP(C179,'נתוני רישום ומצבת'!B:K,7,0),"")</f>
        <v/>
      </c>
      <c r="I179" s="180" t="str">
        <f t="shared" si="10"/>
        <v/>
      </c>
      <c r="J179" s="443" t="str">
        <f>IFERROR(VLOOKUP(C179,'נתוני רישום ומצבת'!B:I,5,0)," ")</f>
        <v xml:space="preserve"> </v>
      </c>
      <c r="K179" s="443" t="str">
        <f>IFERROR(VLOOKUP(C179,'נתוני רישום ומצבת'!B:I,8,0),"")</f>
        <v/>
      </c>
      <c r="L179" s="284">
        <f t="shared" si="11"/>
        <v>0</v>
      </c>
      <c r="M179" s="283" t="str">
        <f t="shared" si="9"/>
        <v>-</v>
      </c>
    </row>
    <row r="180" spans="2:13" x14ac:dyDescent="0.25">
      <c r="B180" s="280">
        <v>160</v>
      </c>
      <c r="C180" s="549" t="str" cm="1">
        <f t="array" ref="C180">IFERROR(
   INDEX('נתוני רישום ומצבת'!$B:$B,
      SMALL(
         IF(('נתוני רישום ומצבת'!A$2:A$2998='נתונים כלליים (1)'!$C$5),
         ROW('נתוני רישום ומצבת'!A$2:A$2998)),
      ROW(A160))
   ),
"")</f>
        <v/>
      </c>
      <c r="D180" s="549" t="str">
        <f>IF(C180="", "",
   IFERROR(
      IF(VLOOKUP(C180, 'נתוני רישום ומצבת'!B:J, 9, FALSE) = $F$4,
         VLOOKUP(C180, 'נתוני רישום ומצבת'!B:J, 3, FALSE),
         "המוסד לא קיים ברשות"),
   "המוסד לא קיים"))</f>
        <v/>
      </c>
      <c r="E180" s="176" t="str">
        <f>IFERROR(VLOOKUP(C180,'נתוני רישום ומצבת'!B:G,6,0),"")</f>
        <v/>
      </c>
      <c r="F180" s="281" t="str">
        <f>IFERROR(VLOOKUP(C180,'נתוני רישום ומצבת'!B:K,10,0)," ")</f>
        <v xml:space="preserve"> </v>
      </c>
      <c r="G180" s="443" t="str">
        <f>IFERROR(VLOOKUP(C180,'נתוני רישום ומצבת'!B:E,4,0)," ")</f>
        <v xml:space="preserve"> </v>
      </c>
      <c r="H180" s="444" t="str">
        <f>IFERROR(VLOOKUP(C180,'נתוני רישום ומצבת'!B:K,7,0),"")</f>
        <v/>
      </c>
      <c r="I180" s="180" t="str">
        <f t="shared" si="10"/>
        <v/>
      </c>
      <c r="J180" s="443" t="str">
        <f>IFERROR(VLOOKUP(C180,'נתוני רישום ומצבת'!B:I,5,0)," ")</f>
        <v xml:space="preserve"> </v>
      </c>
      <c r="K180" s="443" t="str">
        <f>IFERROR(VLOOKUP(C180,'נתוני רישום ומצבת'!B:I,8,0),"")</f>
        <v/>
      </c>
      <c r="L180" s="284">
        <f t="shared" si="11"/>
        <v>0</v>
      </c>
      <c r="M180" s="283" t="str">
        <f t="shared" si="9"/>
        <v>-</v>
      </c>
    </row>
    <row r="181" spans="2:13" x14ac:dyDescent="0.25">
      <c r="B181" s="280">
        <v>161</v>
      </c>
      <c r="C181" s="549" t="str" cm="1">
        <f t="array" ref="C181">IFERROR(
   INDEX('נתוני רישום ומצבת'!$B:$B,
      SMALL(
         IF(('נתוני רישום ומצבת'!A$2:A$2998='נתונים כלליים (1)'!$C$5),
         ROW('נתוני רישום ומצבת'!A$2:A$2998)),
      ROW(A161))
   ),
"")</f>
        <v/>
      </c>
      <c r="D181" s="549" t="str">
        <f>IF(C181="", "",
   IFERROR(
      IF(VLOOKUP(C181, 'נתוני רישום ומצבת'!B:J, 9, FALSE) = $F$4,
         VLOOKUP(C181, 'נתוני רישום ומצבת'!B:J, 3, FALSE),
         "המוסד לא קיים ברשות"),
   "המוסד לא קיים"))</f>
        <v/>
      </c>
      <c r="E181" s="176" t="str">
        <f>IFERROR(VLOOKUP(C181,'נתוני רישום ומצבת'!B:G,6,0),"")</f>
        <v/>
      </c>
      <c r="F181" s="281" t="str">
        <f>IFERROR(VLOOKUP(C181,'נתוני רישום ומצבת'!B:K,10,0)," ")</f>
        <v xml:space="preserve"> </v>
      </c>
      <c r="G181" s="443" t="str">
        <f>IFERROR(VLOOKUP(C181,'נתוני רישום ומצבת'!B:E,4,0)," ")</f>
        <v xml:space="preserve"> </v>
      </c>
      <c r="H181" s="444" t="str">
        <f>IFERROR(VLOOKUP(C181,'נתוני רישום ומצבת'!B:K,7,0),"")</f>
        <v/>
      </c>
      <c r="I181" s="180" t="str">
        <f t="shared" si="10"/>
        <v/>
      </c>
      <c r="J181" s="443" t="str">
        <f>IFERROR(VLOOKUP(C181,'נתוני רישום ומצבת'!B:I,5,0)," ")</f>
        <v xml:space="preserve"> </v>
      </c>
      <c r="K181" s="443" t="str">
        <f>IFERROR(VLOOKUP(C181,'נתוני רישום ומצבת'!B:I,8,0),"")</f>
        <v/>
      </c>
      <c r="L181" s="284">
        <f t="shared" si="11"/>
        <v>0</v>
      </c>
      <c r="M181" s="283" t="str">
        <f t="shared" si="9"/>
        <v>-</v>
      </c>
    </row>
    <row r="182" spans="2:13" x14ac:dyDescent="0.25">
      <c r="B182" s="280">
        <v>162</v>
      </c>
      <c r="C182" s="549" t="str" cm="1">
        <f t="array" ref="C182">IFERROR(
   INDEX('נתוני רישום ומצבת'!$B:$B,
      SMALL(
         IF(('נתוני רישום ומצבת'!A$2:A$2998='נתונים כלליים (1)'!$C$5),
         ROW('נתוני רישום ומצבת'!A$2:A$2998)),
      ROW(A162))
   ),
"")</f>
        <v/>
      </c>
      <c r="D182" s="549" t="str">
        <f>IF(C182="", "",
   IFERROR(
      IF(VLOOKUP(C182, 'נתוני רישום ומצבת'!B:J, 9, FALSE) = $F$4,
         VLOOKUP(C182, 'נתוני רישום ומצבת'!B:J, 3, FALSE),
         "המוסד לא קיים ברשות"),
   "המוסד לא קיים"))</f>
        <v/>
      </c>
      <c r="E182" s="176" t="str">
        <f>IFERROR(VLOOKUP(C182,'נתוני רישום ומצבת'!B:G,6,0),"")</f>
        <v/>
      </c>
      <c r="F182" s="281" t="str">
        <f>IFERROR(VLOOKUP(C182,'נתוני רישום ומצבת'!B:K,10,0)," ")</f>
        <v xml:space="preserve"> </v>
      </c>
      <c r="G182" s="443" t="str">
        <f>IFERROR(VLOOKUP(C182,'נתוני רישום ומצבת'!B:E,4,0)," ")</f>
        <v xml:space="preserve"> </v>
      </c>
      <c r="H182" s="444" t="str">
        <f>IFERROR(VLOOKUP(C182,'נתוני רישום ומצבת'!B:K,7,0),"")</f>
        <v/>
      </c>
      <c r="I182" s="180" t="str">
        <f t="shared" si="10"/>
        <v/>
      </c>
      <c r="J182" s="443" t="str">
        <f>IFERROR(VLOOKUP(C182,'נתוני רישום ומצבת'!B:I,5,0)," ")</f>
        <v xml:space="preserve"> </v>
      </c>
      <c r="K182" s="443" t="str">
        <f>IFERROR(VLOOKUP(C182,'נתוני רישום ומצבת'!B:I,8,0),"")</f>
        <v/>
      </c>
      <c r="L182" s="284">
        <f t="shared" si="11"/>
        <v>0</v>
      </c>
      <c r="M182" s="283" t="str">
        <f t="shared" si="9"/>
        <v>-</v>
      </c>
    </row>
    <row r="183" spans="2:13" x14ac:dyDescent="0.25">
      <c r="B183" s="280">
        <v>163</v>
      </c>
      <c r="C183" s="549" t="str" cm="1">
        <f t="array" ref="C183">IFERROR(
   INDEX('נתוני רישום ומצבת'!$B:$B,
      SMALL(
         IF(('נתוני רישום ומצבת'!A$2:A$2998='נתונים כלליים (1)'!$C$5),
         ROW('נתוני רישום ומצבת'!A$2:A$2998)),
      ROW(A163))
   ),
"")</f>
        <v/>
      </c>
      <c r="D183" s="549" t="str">
        <f>IF(C183="", "",
   IFERROR(
      IF(VLOOKUP(C183, 'נתוני רישום ומצבת'!B:J, 9, FALSE) = $F$4,
         VLOOKUP(C183, 'נתוני רישום ומצבת'!B:J, 3, FALSE),
         "המוסד לא קיים ברשות"),
   "המוסד לא קיים"))</f>
        <v/>
      </c>
      <c r="E183" s="176" t="str">
        <f>IFERROR(VLOOKUP(C183,'נתוני רישום ומצבת'!B:G,6,0),"")</f>
        <v/>
      </c>
      <c r="F183" s="281" t="str">
        <f>IFERROR(VLOOKUP(C183,'נתוני רישום ומצבת'!B:K,10,0)," ")</f>
        <v xml:space="preserve"> </v>
      </c>
      <c r="G183" s="443" t="str">
        <f>IFERROR(VLOOKUP(C183,'נתוני רישום ומצבת'!B:E,4,0)," ")</f>
        <v xml:space="preserve"> </v>
      </c>
      <c r="H183" s="444" t="str">
        <f>IFERROR(VLOOKUP(C183,'נתוני רישום ומצבת'!B:K,7,0),"")</f>
        <v/>
      </c>
      <c r="I183" s="180" t="str">
        <f t="shared" si="10"/>
        <v/>
      </c>
      <c r="J183" s="443" t="str">
        <f>IFERROR(VLOOKUP(C183,'נתוני רישום ומצבת'!B:I,5,0)," ")</f>
        <v xml:space="preserve"> </v>
      </c>
      <c r="K183" s="443" t="str">
        <f>IFERROR(VLOOKUP(C183,'נתוני רישום ומצבת'!B:I,8,0),"")</f>
        <v/>
      </c>
      <c r="L183" s="284">
        <f t="shared" si="11"/>
        <v>0</v>
      </c>
      <c r="M183" s="283" t="str">
        <f t="shared" si="9"/>
        <v>-</v>
      </c>
    </row>
    <row r="184" spans="2:13" x14ac:dyDescent="0.25">
      <c r="B184" s="280">
        <v>164</v>
      </c>
      <c r="C184" s="549" t="str" cm="1">
        <f t="array" ref="C184">IFERROR(
   INDEX('נתוני רישום ומצבת'!$B:$B,
      SMALL(
         IF(('נתוני רישום ומצבת'!A$2:A$2998='נתונים כלליים (1)'!$C$5),
         ROW('נתוני רישום ומצבת'!A$2:A$2998)),
      ROW(A164))
   ),
"")</f>
        <v/>
      </c>
      <c r="D184" s="549" t="str">
        <f>IF(C184="", "",
   IFERROR(
      IF(VLOOKUP(C184, 'נתוני רישום ומצבת'!B:J, 9, FALSE) = $F$4,
         VLOOKUP(C184, 'נתוני רישום ומצבת'!B:J, 3, FALSE),
         "המוסד לא קיים ברשות"),
   "המוסד לא קיים"))</f>
        <v/>
      </c>
      <c r="E184" s="176" t="str">
        <f>IFERROR(VLOOKUP(C184,'נתוני רישום ומצבת'!B:G,6,0),"")</f>
        <v/>
      </c>
      <c r="F184" s="281" t="str">
        <f>IFERROR(VLOOKUP(C184,'נתוני רישום ומצבת'!B:K,10,0)," ")</f>
        <v xml:space="preserve"> </v>
      </c>
      <c r="G184" s="443" t="str">
        <f>IFERROR(VLOOKUP(C184,'נתוני רישום ומצבת'!B:E,4,0)," ")</f>
        <v xml:space="preserve"> </v>
      </c>
      <c r="H184" s="444" t="str">
        <f>IFERROR(VLOOKUP(C184,'נתוני רישום ומצבת'!B:K,7,0),"")</f>
        <v/>
      </c>
      <c r="I184" s="180" t="str">
        <f t="shared" si="10"/>
        <v/>
      </c>
      <c r="J184" s="443" t="str">
        <f>IFERROR(VLOOKUP(C184,'נתוני רישום ומצבת'!B:I,5,0)," ")</f>
        <v xml:space="preserve"> </v>
      </c>
      <c r="K184" s="443" t="str">
        <f>IFERROR(VLOOKUP(C184,'נתוני רישום ומצבת'!B:I,8,0),"")</f>
        <v/>
      </c>
      <c r="L184" s="284">
        <f t="shared" si="11"/>
        <v>0</v>
      </c>
      <c r="M184" s="283" t="str">
        <f t="shared" si="9"/>
        <v>-</v>
      </c>
    </row>
    <row r="185" spans="2:13" x14ac:dyDescent="0.25">
      <c r="B185" s="280">
        <v>165</v>
      </c>
      <c r="C185" s="549" t="str" cm="1">
        <f t="array" ref="C185">IFERROR(
   INDEX('נתוני רישום ומצבת'!$B:$B,
      SMALL(
         IF(('נתוני רישום ומצבת'!A$2:A$2998='נתונים כלליים (1)'!$C$5),
         ROW('נתוני רישום ומצבת'!A$2:A$2998)),
      ROW(A165))
   ),
"")</f>
        <v/>
      </c>
      <c r="D185" s="549" t="str">
        <f>IF(C185="", "",
   IFERROR(
      IF(VLOOKUP(C185, 'נתוני רישום ומצבת'!B:J, 9, FALSE) = $F$4,
         VLOOKUP(C185, 'נתוני רישום ומצבת'!B:J, 3, FALSE),
         "המוסד לא קיים ברשות"),
   "המוסד לא קיים"))</f>
        <v/>
      </c>
      <c r="E185" s="176" t="str">
        <f>IFERROR(VLOOKUP(C185,'נתוני רישום ומצבת'!B:G,6,0),"")</f>
        <v/>
      </c>
      <c r="F185" s="281" t="str">
        <f>IFERROR(VLOOKUP(C185,'נתוני רישום ומצבת'!B:K,10,0)," ")</f>
        <v xml:space="preserve"> </v>
      </c>
      <c r="G185" s="443" t="str">
        <f>IFERROR(VLOOKUP(C185,'נתוני רישום ומצבת'!B:E,4,0)," ")</f>
        <v xml:space="preserve"> </v>
      </c>
      <c r="H185" s="444" t="str">
        <f>IFERROR(VLOOKUP(C185,'נתוני רישום ומצבת'!B:K,7,0),"")</f>
        <v/>
      </c>
      <c r="I185" s="180" t="str">
        <f t="shared" si="10"/>
        <v/>
      </c>
      <c r="J185" s="443" t="str">
        <f>IFERROR(VLOOKUP(C185,'נתוני רישום ומצבת'!B:I,5,0)," ")</f>
        <v xml:space="preserve"> </v>
      </c>
      <c r="K185" s="443" t="str">
        <f>IFERROR(VLOOKUP(C185,'נתוני רישום ומצבת'!B:I,8,0),"")</f>
        <v/>
      </c>
      <c r="L185" s="284">
        <f t="shared" si="11"/>
        <v>0</v>
      </c>
      <c r="M185" s="283" t="str">
        <f t="shared" si="9"/>
        <v>-</v>
      </c>
    </row>
    <row r="186" spans="2:13" x14ac:dyDescent="0.25">
      <c r="B186" s="280">
        <v>166</v>
      </c>
      <c r="C186" s="549" t="str" cm="1">
        <f t="array" ref="C186">IFERROR(
   INDEX('נתוני רישום ומצבת'!$B:$B,
      SMALL(
         IF(('נתוני רישום ומצבת'!A$2:A$2998='נתונים כלליים (1)'!$C$5),
         ROW('נתוני רישום ומצבת'!A$2:A$2998)),
      ROW(A166))
   ),
"")</f>
        <v/>
      </c>
      <c r="D186" s="549" t="str">
        <f>IF(C186="", "",
   IFERROR(
      IF(VLOOKUP(C186, 'נתוני רישום ומצבת'!B:J, 9, FALSE) = $F$4,
         VLOOKUP(C186, 'נתוני רישום ומצבת'!B:J, 3, FALSE),
         "המוסד לא קיים ברשות"),
   "המוסד לא קיים"))</f>
        <v/>
      </c>
      <c r="E186" s="176" t="str">
        <f>IFERROR(VLOOKUP(C186,'נתוני רישום ומצבת'!B:G,6,0),"")</f>
        <v/>
      </c>
      <c r="F186" s="281" t="str">
        <f>IFERROR(VLOOKUP(C186,'נתוני רישום ומצבת'!B:K,10,0)," ")</f>
        <v xml:space="preserve"> </v>
      </c>
      <c r="G186" s="443" t="str">
        <f>IFERROR(VLOOKUP(C186,'נתוני רישום ומצבת'!B:E,4,0)," ")</f>
        <v xml:space="preserve"> </v>
      </c>
      <c r="H186" s="444" t="str">
        <f>IFERROR(VLOOKUP(C186,'נתוני רישום ומצבת'!B:K,7,0),"")</f>
        <v/>
      </c>
      <c r="I186" s="180" t="str">
        <f t="shared" si="10"/>
        <v/>
      </c>
      <c r="J186" s="443" t="str">
        <f>IFERROR(VLOOKUP(C186,'נתוני רישום ומצבת'!B:I,5,0)," ")</f>
        <v xml:space="preserve"> </v>
      </c>
      <c r="K186" s="443" t="str">
        <f>IFERROR(VLOOKUP(C186,'נתוני רישום ומצבת'!B:I,8,0),"")</f>
        <v/>
      </c>
      <c r="L186" s="284">
        <f t="shared" si="11"/>
        <v>0</v>
      </c>
      <c r="M186" s="283" t="str">
        <f t="shared" si="9"/>
        <v>-</v>
      </c>
    </row>
    <row r="187" spans="2:13" x14ac:dyDescent="0.25">
      <c r="B187" s="280">
        <v>167</v>
      </c>
      <c r="C187" s="549" t="str" cm="1">
        <f t="array" ref="C187">IFERROR(
   INDEX('נתוני רישום ומצבת'!$B:$B,
      SMALL(
         IF(('נתוני רישום ומצבת'!A$2:A$2998='נתונים כלליים (1)'!$C$5),
         ROW('נתוני רישום ומצבת'!A$2:A$2998)),
      ROW(A167))
   ),
"")</f>
        <v/>
      </c>
      <c r="D187" s="549" t="str">
        <f>IF(C187="", "",
   IFERROR(
      IF(VLOOKUP(C187, 'נתוני רישום ומצבת'!B:J, 9, FALSE) = $F$4,
         VLOOKUP(C187, 'נתוני רישום ומצבת'!B:J, 3, FALSE),
         "המוסד לא קיים ברשות"),
   "המוסד לא קיים"))</f>
        <v/>
      </c>
      <c r="E187" s="176" t="str">
        <f>IFERROR(VLOOKUP(C187,'נתוני רישום ומצבת'!B:G,6,0),"")</f>
        <v/>
      </c>
      <c r="F187" s="281" t="str">
        <f>IFERROR(VLOOKUP(C187,'נתוני רישום ומצבת'!B:K,10,0)," ")</f>
        <v xml:space="preserve"> </v>
      </c>
      <c r="G187" s="443" t="str">
        <f>IFERROR(VLOOKUP(C187,'נתוני רישום ומצבת'!B:E,4,0)," ")</f>
        <v xml:space="preserve"> </v>
      </c>
      <c r="H187" s="444" t="str">
        <f>IFERROR(VLOOKUP(C187,'נתוני רישום ומצבת'!B:K,7,0),"")</f>
        <v/>
      </c>
      <c r="I187" s="180" t="str">
        <f t="shared" si="10"/>
        <v/>
      </c>
      <c r="J187" s="443" t="str">
        <f>IFERROR(VLOOKUP(C187,'נתוני רישום ומצבת'!B:I,5,0)," ")</f>
        <v xml:space="preserve"> </v>
      </c>
      <c r="K187" s="443" t="str">
        <f>IFERROR(VLOOKUP(C187,'נתוני רישום ומצבת'!B:I,8,0),"")</f>
        <v/>
      </c>
      <c r="L187" s="284">
        <f t="shared" si="11"/>
        <v>0</v>
      </c>
      <c r="M187" s="283" t="str">
        <f t="shared" si="9"/>
        <v>-</v>
      </c>
    </row>
    <row r="188" spans="2:13" x14ac:dyDescent="0.25">
      <c r="B188" s="280">
        <v>168</v>
      </c>
      <c r="C188" s="549" t="str" cm="1">
        <f t="array" ref="C188">IFERROR(
   INDEX('נתוני רישום ומצבת'!$B:$B,
      SMALL(
         IF(('נתוני רישום ומצבת'!A$2:A$2998='נתונים כלליים (1)'!$C$5),
         ROW('נתוני רישום ומצבת'!A$2:A$2998)),
      ROW(A168))
   ),
"")</f>
        <v/>
      </c>
      <c r="D188" s="549" t="str">
        <f>IF(C188="", "",
   IFERROR(
      IF(VLOOKUP(C188, 'נתוני רישום ומצבת'!B:J, 9, FALSE) = $F$4,
         VLOOKUP(C188, 'נתוני רישום ומצבת'!B:J, 3, FALSE),
         "המוסד לא קיים ברשות"),
   "המוסד לא קיים"))</f>
        <v/>
      </c>
      <c r="E188" s="176" t="str">
        <f>IFERROR(VLOOKUP(C188,'נתוני רישום ומצבת'!B:G,6,0),"")</f>
        <v/>
      </c>
      <c r="F188" s="281" t="str">
        <f>IFERROR(VLOOKUP(C188,'נתוני רישום ומצבת'!B:K,10,0)," ")</f>
        <v xml:space="preserve"> </v>
      </c>
      <c r="G188" s="443" t="str">
        <f>IFERROR(VLOOKUP(C188,'נתוני רישום ומצבת'!B:E,4,0)," ")</f>
        <v xml:space="preserve"> </v>
      </c>
      <c r="H188" s="444" t="str">
        <f>IFERROR(VLOOKUP(C188,'נתוני רישום ומצבת'!B:K,7,0),"")</f>
        <v/>
      </c>
      <c r="I188" s="180" t="str">
        <f t="shared" si="10"/>
        <v/>
      </c>
      <c r="J188" s="443" t="str">
        <f>IFERROR(VLOOKUP(C188,'נתוני רישום ומצבת'!B:I,5,0)," ")</f>
        <v xml:space="preserve"> </v>
      </c>
      <c r="K188" s="443" t="str">
        <f>IFERROR(VLOOKUP(C188,'נתוני רישום ומצבת'!B:I,8,0),"")</f>
        <v/>
      </c>
      <c r="L188" s="284">
        <f t="shared" si="11"/>
        <v>0</v>
      </c>
      <c r="M188" s="283" t="str">
        <f t="shared" si="9"/>
        <v>-</v>
      </c>
    </row>
    <row r="189" spans="2:13" x14ac:dyDescent="0.25">
      <c r="B189" s="280">
        <v>169</v>
      </c>
      <c r="C189" s="549" t="str" cm="1">
        <f t="array" ref="C189">IFERROR(
   INDEX('נתוני רישום ומצבת'!$B:$B,
      SMALL(
         IF(('נתוני רישום ומצבת'!A$2:A$2998='נתונים כלליים (1)'!$C$5),
         ROW('נתוני רישום ומצבת'!A$2:A$2998)),
      ROW(A169))
   ),
"")</f>
        <v/>
      </c>
      <c r="D189" s="549" t="str">
        <f>IF(C189="", "",
   IFERROR(
      IF(VLOOKUP(C189, 'נתוני רישום ומצבת'!B:J, 9, FALSE) = $F$4,
         VLOOKUP(C189, 'נתוני רישום ומצבת'!B:J, 3, FALSE),
         "המוסד לא קיים ברשות"),
   "המוסד לא קיים"))</f>
        <v/>
      </c>
      <c r="E189" s="176" t="str">
        <f>IFERROR(VLOOKUP(C189,'נתוני רישום ומצבת'!B:G,6,0),"")</f>
        <v/>
      </c>
      <c r="F189" s="281" t="str">
        <f>IFERROR(VLOOKUP(C189,'נתוני רישום ומצבת'!B:K,10,0)," ")</f>
        <v xml:space="preserve"> </v>
      </c>
      <c r="G189" s="443" t="str">
        <f>IFERROR(VLOOKUP(C189,'נתוני רישום ומצבת'!B:E,4,0)," ")</f>
        <v xml:space="preserve"> </v>
      </c>
      <c r="H189" s="444" t="str">
        <f>IFERROR(VLOOKUP(C189,'נתוני רישום ומצבת'!B:K,7,0),"")</f>
        <v/>
      </c>
      <c r="I189" s="180" t="str">
        <f t="shared" si="10"/>
        <v/>
      </c>
      <c r="J189" s="443" t="str">
        <f>IFERROR(VLOOKUP(C189,'נתוני רישום ומצבת'!B:I,5,0)," ")</f>
        <v xml:space="preserve"> </v>
      </c>
      <c r="K189" s="443" t="str">
        <f>IFERROR(VLOOKUP(C189,'נתוני רישום ומצבת'!B:I,8,0),"")</f>
        <v/>
      </c>
      <c r="L189" s="284">
        <f t="shared" si="11"/>
        <v>0</v>
      </c>
      <c r="M189" s="283" t="str">
        <f t="shared" si="9"/>
        <v>-</v>
      </c>
    </row>
    <row r="190" spans="2:13" x14ac:dyDescent="0.25">
      <c r="B190" s="280">
        <v>170</v>
      </c>
      <c r="C190" s="549" t="str" cm="1">
        <f t="array" ref="C190">IFERROR(
   INDEX('נתוני רישום ומצבת'!$B:$B,
      SMALL(
         IF(('נתוני רישום ומצבת'!A$2:A$2998='נתונים כלליים (1)'!$C$5),
         ROW('נתוני רישום ומצבת'!A$2:A$2998)),
      ROW(A170))
   ),
"")</f>
        <v/>
      </c>
      <c r="D190" s="549" t="str">
        <f>IF(C190="", "",
   IFERROR(
      IF(VLOOKUP(C190, 'נתוני רישום ומצבת'!B:J, 9, FALSE) = $F$4,
         VLOOKUP(C190, 'נתוני רישום ומצבת'!B:J, 3, FALSE),
         "המוסד לא קיים ברשות"),
   "המוסד לא קיים"))</f>
        <v/>
      </c>
      <c r="E190" s="176" t="str">
        <f>IFERROR(VLOOKUP(C190,'נתוני רישום ומצבת'!B:G,6,0),"")</f>
        <v/>
      </c>
      <c r="F190" s="281" t="str">
        <f>IFERROR(VLOOKUP(C190,'נתוני רישום ומצבת'!B:K,10,0)," ")</f>
        <v xml:space="preserve"> </v>
      </c>
      <c r="G190" s="443" t="str">
        <f>IFERROR(VLOOKUP(C190,'נתוני רישום ומצבת'!B:E,4,0)," ")</f>
        <v xml:space="preserve"> </v>
      </c>
      <c r="H190" s="444" t="str">
        <f>IFERROR(VLOOKUP(C190,'נתוני רישום ומצבת'!B:K,7,0),"")</f>
        <v/>
      </c>
      <c r="I190" s="180" t="str">
        <f t="shared" si="10"/>
        <v/>
      </c>
      <c r="J190" s="443" t="str">
        <f>IFERROR(VLOOKUP(C190,'נתוני רישום ומצבת'!B:I,5,0)," ")</f>
        <v xml:space="preserve"> </v>
      </c>
      <c r="K190" s="443" t="str">
        <f>IFERROR(VLOOKUP(C190,'נתוני רישום ומצבת'!B:I,8,0),"")</f>
        <v/>
      </c>
      <c r="L190" s="284">
        <f t="shared" si="11"/>
        <v>0</v>
      </c>
      <c r="M190" s="283" t="str">
        <f t="shared" si="9"/>
        <v>-</v>
      </c>
    </row>
    <row r="191" spans="2:13" x14ac:dyDescent="0.25">
      <c r="B191" s="280">
        <v>171</v>
      </c>
      <c r="C191" s="549" t="str" cm="1">
        <f t="array" ref="C191">IFERROR(
   INDEX('נתוני רישום ומצבת'!$B:$B,
      SMALL(
         IF(('נתוני רישום ומצבת'!A$2:A$2998='נתונים כלליים (1)'!$C$5),
         ROW('נתוני רישום ומצבת'!A$2:A$2998)),
      ROW(A171))
   ),
"")</f>
        <v/>
      </c>
      <c r="D191" s="549" t="str">
        <f>IF(C191="", "",
   IFERROR(
      IF(VLOOKUP(C191, 'נתוני רישום ומצבת'!B:J, 9, FALSE) = $F$4,
         VLOOKUP(C191, 'נתוני רישום ומצבת'!B:J, 3, FALSE),
         "המוסד לא קיים ברשות"),
   "המוסד לא קיים"))</f>
        <v/>
      </c>
      <c r="E191" s="176" t="str">
        <f>IFERROR(VLOOKUP(C191,'נתוני רישום ומצבת'!B:G,6,0),"")</f>
        <v/>
      </c>
      <c r="F191" s="281" t="str">
        <f>IFERROR(VLOOKUP(C191,'נתוני רישום ומצבת'!B:K,10,0)," ")</f>
        <v xml:space="preserve"> </v>
      </c>
      <c r="G191" s="443" t="str">
        <f>IFERROR(VLOOKUP(C191,'נתוני רישום ומצבת'!B:E,4,0)," ")</f>
        <v xml:space="preserve"> </v>
      </c>
      <c r="H191" s="444" t="str">
        <f>IFERROR(VLOOKUP(C191,'נתוני רישום ומצבת'!B:K,7,0),"")</f>
        <v/>
      </c>
      <c r="I191" s="180" t="str">
        <f t="shared" si="10"/>
        <v/>
      </c>
      <c r="J191" s="443" t="str">
        <f>IFERROR(VLOOKUP(C191,'נתוני רישום ומצבת'!B:I,5,0)," ")</f>
        <v xml:space="preserve"> </v>
      </c>
      <c r="K191" s="443" t="str">
        <f>IFERROR(VLOOKUP(C191,'נתוני רישום ומצבת'!B:I,8,0),"")</f>
        <v/>
      </c>
      <c r="L191" s="284">
        <f t="shared" si="11"/>
        <v>0</v>
      </c>
      <c r="M191" s="283" t="str">
        <f t="shared" si="9"/>
        <v>-</v>
      </c>
    </row>
    <row r="192" spans="2:13" x14ac:dyDescent="0.25">
      <c r="B192" s="280">
        <v>172</v>
      </c>
      <c r="C192" s="549" t="str" cm="1">
        <f t="array" ref="C192">IFERROR(
   INDEX('נתוני רישום ומצבת'!$B:$B,
      SMALL(
         IF(('נתוני רישום ומצבת'!A$2:A$2998='נתונים כלליים (1)'!$C$5),
         ROW('נתוני רישום ומצבת'!A$2:A$2998)),
      ROW(A172))
   ),
"")</f>
        <v/>
      </c>
      <c r="D192" s="549" t="str">
        <f>IF(C192="", "",
   IFERROR(
      IF(VLOOKUP(C192, 'נתוני רישום ומצבת'!B:J, 9, FALSE) = $F$4,
         VLOOKUP(C192, 'נתוני רישום ומצבת'!B:J, 3, FALSE),
         "המוסד לא קיים ברשות"),
   "המוסד לא קיים"))</f>
        <v/>
      </c>
      <c r="E192" s="176" t="str">
        <f>IFERROR(VLOOKUP(C192,'נתוני רישום ומצבת'!B:G,6,0),"")</f>
        <v/>
      </c>
      <c r="F192" s="281" t="str">
        <f>IFERROR(VLOOKUP(C192,'נתוני רישום ומצבת'!B:K,10,0)," ")</f>
        <v xml:space="preserve"> </v>
      </c>
      <c r="G192" s="443" t="str">
        <f>IFERROR(VLOOKUP(C192,'נתוני רישום ומצבת'!B:E,4,0)," ")</f>
        <v xml:space="preserve"> </v>
      </c>
      <c r="H192" s="444" t="str">
        <f>IFERROR(VLOOKUP(C192,'נתוני רישום ומצבת'!B:K,7,0),"")</f>
        <v/>
      </c>
      <c r="I192" s="180" t="str">
        <f t="shared" si="10"/>
        <v/>
      </c>
      <c r="J192" s="443" t="str">
        <f>IFERROR(VLOOKUP(C192,'נתוני רישום ומצבת'!B:I,5,0)," ")</f>
        <v xml:space="preserve"> </v>
      </c>
      <c r="K192" s="443" t="str">
        <f>IFERROR(VLOOKUP(C192,'נתוני רישום ומצבת'!B:I,8,0),"")</f>
        <v/>
      </c>
      <c r="L192" s="284">
        <f t="shared" si="11"/>
        <v>0</v>
      </c>
      <c r="M192" s="283" t="str">
        <f t="shared" si="9"/>
        <v>-</v>
      </c>
    </row>
    <row r="193" spans="2:13" x14ac:dyDescent="0.25">
      <c r="B193" s="280">
        <v>173</v>
      </c>
      <c r="C193" s="549" t="str" cm="1">
        <f t="array" ref="C193">IFERROR(
   INDEX('נתוני רישום ומצבת'!$B:$B,
      SMALL(
         IF(('נתוני רישום ומצבת'!A$2:A$2998='נתונים כלליים (1)'!$C$5),
         ROW('נתוני רישום ומצבת'!A$2:A$2998)),
      ROW(A173))
   ),
"")</f>
        <v/>
      </c>
      <c r="D193" s="549" t="str">
        <f>IF(C193="", "",
   IFERROR(
      IF(VLOOKUP(C193, 'נתוני רישום ומצבת'!B:J, 9, FALSE) = $F$4,
         VLOOKUP(C193, 'נתוני רישום ומצבת'!B:J, 3, FALSE),
         "המוסד לא קיים ברשות"),
   "המוסד לא קיים"))</f>
        <v/>
      </c>
      <c r="E193" s="176" t="str">
        <f>IFERROR(VLOOKUP(C193,'נתוני רישום ומצבת'!B:G,6,0),"")</f>
        <v/>
      </c>
      <c r="F193" s="281" t="str">
        <f>IFERROR(VLOOKUP(C193,'נתוני רישום ומצבת'!B:K,10,0)," ")</f>
        <v xml:space="preserve"> </v>
      </c>
      <c r="G193" s="443" t="str">
        <f>IFERROR(VLOOKUP(C193,'נתוני רישום ומצבת'!B:E,4,0)," ")</f>
        <v xml:space="preserve"> </v>
      </c>
      <c r="H193" s="444" t="str">
        <f>IFERROR(VLOOKUP(C193,'נתוני רישום ומצבת'!B:K,7,0),"")</f>
        <v/>
      </c>
      <c r="I193" s="180" t="str">
        <f t="shared" si="10"/>
        <v/>
      </c>
      <c r="J193" s="443" t="str">
        <f>IFERROR(VLOOKUP(C193,'נתוני רישום ומצבת'!B:I,5,0)," ")</f>
        <v xml:space="preserve"> </v>
      </c>
      <c r="K193" s="443" t="str">
        <f>IFERROR(VLOOKUP(C193,'נתוני רישום ומצבת'!B:I,8,0),"")</f>
        <v/>
      </c>
      <c r="L193" s="284">
        <f t="shared" si="11"/>
        <v>0</v>
      </c>
      <c r="M193" s="283" t="str">
        <f t="shared" si="9"/>
        <v>-</v>
      </c>
    </row>
    <row r="194" spans="2:13" x14ac:dyDescent="0.25">
      <c r="B194" s="280">
        <v>174</v>
      </c>
      <c r="C194" s="549" t="str" cm="1">
        <f t="array" ref="C194">IFERROR(
   INDEX('נתוני רישום ומצבת'!$B:$B,
      SMALL(
         IF(('נתוני רישום ומצבת'!A$2:A$2998='נתונים כלליים (1)'!$C$5),
         ROW('נתוני רישום ומצבת'!A$2:A$2998)),
      ROW(A174))
   ),
"")</f>
        <v/>
      </c>
      <c r="D194" s="549" t="str">
        <f>IF(C194="", "",
   IFERROR(
      IF(VLOOKUP(C194, 'נתוני רישום ומצבת'!B:J, 9, FALSE) = $F$4,
         VLOOKUP(C194, 'נתוני רישום ומצבת'!B:J, 3, FALSE),
         "המוסד לא קיים ברשות"),
   "המוסד לא קיים"))</f>
        <v/>
      </c>
      <c r="E194" s="176" t="str">
        <f>IFERROR(VLOOKUP(C194,'נתוני רישום ומצבת'!B:G,6,0),"")</f>
        <v/>
      </c>
      <c r="F194" s="281" t="str">
        <f>IFERROR(VLOOKUP(C194,'נתוני רישום ומצבת'!B:K,10,0)," ")</f>
        <v xml:space="preserve"> </v>
      </c>
      <c r="G194" s="443" t="str">
        <f>IFERROR(VLOOKUP(C194,'נתוני רישום ומצבת'!B:E,4,0)," ")</f>
        <v xml:space="preserve"> </v>
      </c>
      <c r="H194" s="444" t="str">
        <f>IFERROR(VLOOKUP(C194,'נתוני רישום ומצבת'!B:K,7,0),"")</f>
        <v/>
      </c>
      <c r="I194" s="180" t="str">
        <f t="shared" si="10"/>
        <v/>
      </c>
      <c r="J194" s="443" t="str">
        <f>IFERROR(VLOOKUP(C194,'נתוני רישום ומצבת'!B:I,5,0)," ")</f>
        <v xml:space="preserve"> </v>
      </c>
      <c r="K194" s="443" t="str">
        <f>IFERROR(VLOOKUP(C194,'נתוני רישום ומצבת'!B:I,8,0),"")</f>
        <v/>
      </c>
      <c r="L194" s="284">
        <f t="shared" si="11"/>
        <v>0</v>
      </c>
      <c r="M194" s="283" t="str">
        <f t="shared" si="9"/>
        <v>-</v>
      </c>
    </row>
    <row r="195" spans="2:13" x14ac:dyDescent="0.25">
      <c r="B195" s="280">
        <v>175</v>
      </c>
      <c r="C195" s="549" t="str" cm="1">
        <f t="array" ref="C195">IFERROR(
   INDEX('נתוני רישום ומצבת'!$B:$B,
      SMALL(
         IF(('נתוני רישום ומצבת'!A$2:A$2998='נתונים כלליים (1)'!$C$5),
         ROW('נתוני רישום ומצבת'!A$2:A$2998)),
      ROW(A175))
   ),
"")</f>
        <v/>
      </c>
      <c r="D195" s="549" t="str">
        <f>IF(C195="", "",
   IFERROR(
      IF(VLOOKUP(C195, 'נתוני רישום ומצבת'!B:J, 9, FALSE) = $F$4,
         VLOOKUP(C195, 'נתוני רישום ומצבת'!B:J, 3, FALSE),
         "המוסד לא קיים ברשות"),
   "המוסד לא קיים"))</f>
        <v/>
      </c>
      <c r="E195" s="176" t="str">
        <f>IFERROR(VLOOKUP(C195,'נתוני רישום ומצבת'!B:G,6,0),"")</f>
        <v/>
      </c>
      <c r="F195" s="281" t="str">
        <f>IFERROR(VLOOKUP(C195,'נתוני רישום ומצבת'!B:K,10,0)," ")</f>
        <v xml:space="preserve"> </v>
      </c>
      <c r="G195" s="443" t="str">
        <f>IFERROR(VLOOKUP(C195,'נתוני רישום ומצבת'!B:E,4,0)," ")</f>
        <v xml:space="preserve"> </v>
      </c>
      <c r="H195" s="444" t="str">
        <f>IFERROR(VLOOKUP(C195,'נתוני רישום ומצבת'!B:K,7,0),"")</f>
        <v/>
      </c>
      <c r="I195" s="180" t="str">
        <f t="shared" si="10"/>
        <v/>
      </c>
      <c r="J195" s="443" t="str">
        <f>IFERROR(VLOOKUP(C195,'נתוני רישום ומצבת'!B:I,5,0)," ")</f>
        <v xml:space="preserve"> </v>
      </c>
      <c r="K195" s="443" t="str">
        <f>IFERROR(VLOOKUP(C195,'נתוני רישום ומצבת'!B:I,8,0),"")</f>
        <v/>
      </c>
      <c r="L195" s="284">
        <f t="shared" si="11"/>
        <v>0</v>
      </c>
      <c r="M195" s="283" t="str">
        <f t="shared" si="9"/>
        <v>-</v>
      </c>
    </row>
    <row r="196" spans="2:13" x14ac:dyDescent="0.25">
      <c r="B196" s="280">
        <v>176</v>
      </c>
      <c r="C196" s="549" t="str" cm="1">
        <f t="array" ref="C196">IFERROR(
   INDEX('נתוני רישום ומצבת'!$B:$B,
      SMALL(
         IF(('נתוני רישום ומצבת'!A$2:A$2998='נתונים כלליים (1)'!$C$5),
         ROW('נתוני רישום ומצבת'!A$2:A$2998)),
      ROW(A176))
   ),
"")</f>
        <v/>
      </c>
      <c r="D196" s="549" t="str">
        <f>IF(C196="", "",
   IFERROR(
      IF(VLOOKUP(C196, 'נתוני רישום ומצבת'!B:J, 9, FALSE) = $F$4,
         VLOOKUP(C196, 'נתוני רישום ומצבת'!B:J, 3, FALSE),
         "המוסד לא קיים ברשות"),
   "המוסד לא קיים"))</f>
        <v/>
      </c>
      <c r="E196" s="176" t="str">
        <f>IFERROR(VLOOKUP(C196,'נתוני רישום ומצבת'!B:G,6,0),"")</f>
        <v/>
      </c>
      <c r="F196" s="281" t="str">
        <f>IFERROR(VLOOKUP(C196,'נתוני רישום ומצבת'!B:K,10,0)," ")</f>
        <v xml:space="preserve"> </v>
      </c>
      <c r="G196" s="443" t="str">
        <f>IFERROR(VLOOKUP(C196,'נתוני רישום ומצבת'!B:E,4,0)," ")</f>
        <v xml:space="preserve"> </v>
      </c>
      <c r="H196" s="444" t="str">
        <f>IFERROR(VLOOKUP(C196,'נתוני רישום ומצבת'!B:K,7,0),"")</f>
        <v/>
      </c>
      <c r="I196" s="180" t="str">
        <f t="shared" si="10"/>
        <v/>
      </c>
      <c r="J196" s="443" t="str">
        <f>IFERROR(VLOOKUP(C196,'נתוני רישום ומצבת'!B:I,5,0)," ")</f>
        <v xml:space="preserve"> </v>
      </c>
      <c r="K196" s="443" t="str">
        <f>IFERROR(VLOOKUP(C196,'נתוני רישום ומצבת'!B:I,8,0),"")</f>
        <v/>
      </c>
      <c r="L196" s="284">
        <f t="shared" si="11"/>
        <v>0</v>
      </c>
      <c r="M196" s="283" t="str">
        <f t="shared" si="9"/>
        <v>-</v>
      </c>
    </row>
    <row r="197" spans="2:13" x14ac:dyDescent="0.25">
      <c r="B197" s="280">
        <v>177</v>
      </c>
      <c r="C197" s="549" t="str" cm="1">
        <f t="array" ref="C197">IFERROR(
   INDEX('נתוני רישום ומצבת'!$B:$B,
      SMALL(
         IF(('נתוני רישום ומצבת'!A$2:A$2998='נתונים כלליים (1)'!$C$5),
         ROW('נתוני רישום ומצבת'!A$2:A$2998)),
      ROW(A177))
   ),
"")</f>
        <v/>
      </c>
      <c r="D197" s="549" t="str">
        <f>IF(C197="", "",
   IFERROR(
      IF(VLOOKUP(C197, 'נתוני רישום ומצבת'!B:J, 9, FALSE) = $F$4,
         VLOOKUP(C197, 'נתוני רישום ומצבת'!B:J, 3, FALSE),
         "המוסד לא קיים ברשות"),
   "המוסד לא קיים"))</f>
        <v/>
      </c>
      <c r="E197" s="176" t="str">
        <f>IFERROR(VLOOKUP(C197,'נתוני רישום ומצבת'!B:G,6,0),"")</f>
        <v/>
      </c>
      <c r="F197" s="281" t="str">
        <f>IFERROR(VLOOKUP(C197,'נתוני רישום ומצבת'!B:K,10,0)," ")</f>
        <v xml:space="preserve"> </v>
      </c>
      <c r="G197" s="443" t="str">
        <f>IFERROR(VLOOKUP(C197,'נתוני רישום ומצבת'!B:E,4,0)," ")</f>
        <v xml:space="preserve"> </v>
      </c>
      <c r="H197" s="444" t="str">
        <f>IFERROR(VLOOKUP(C197,'נתוני רישום ומצבת'!B:K,7,0),"")</f>
        <v/>
      </c>
      <c r="I197" s="180" t="str">
        <f t="shared" si="10"/>
        <v/>
      </c>
      <c r="J197" s="443" t="str">
        <f>IFERROR(VLOOKUP(C197,'נתוני רישום ומצבת'!B:I,5,0)," ")</f>
        <v xml:space="preserve"> </v>
      </c>
      <c r="K197" s="443" t="str">
        <f>IFERROR(VLOOKUP(C197,'נתוני רישום ומצבת'!B:I,8,0),"")</f>
        <v/>
      </c>
      <c r="L197" s="284">
        <f t="shared" si="11"/>
        <v>0</v>
      </c>
      <c r="M197" s="283" t="str">
        <f t="shared" si="9"/>
        <v>-</v>
      </c>
    </row>
    <row r="198" spans="2:13" x14ac:dyDescent="0.25">
      <c r="B198" s="280">
        <v>178</v>
      </c>
      <c r="C198" s="549" t="str" cm="1">
        <f t="array" ref="C198">IFERROR(
   INDEX('נתוני רישום ומצבת'!$B:$B,
      SMALL(
         IF(('נתוני רישום ומצבת'!A$2:A$2998='נתונים כלליים (1)'!$C$5),
         ROW('נתוני רישום ומצבת'!A$2:A$2998)),
      ROW(A178))
   ),
"")</f>
        <v/>
      </c>
      <c r="D198" s="549" t="str">
        <f>IF(C198="", "",
   IFERROR(
      IF(VLOOKUP(C198, 'נתוני רישום ומצבת'!B:J, 9, FALSE) = $F$4,
         VLOOKUP(C198, 'נתוני רישום ומצבת'!B:J, 3, FALSE),
         "המוסד לא קיים ברשות"),
   "המוסד לא קיים"))</f>
        <v/>
      </c>
      <c r="E198" s="176" t="str">
        <f>IFERROR(VLOOKUP(C198,'נתוני רישום ומצבת'!B:G,6,0),"")</f>
        <v/>
      </c>
      <c r="F198" s="281" t="str">
        <f>IFERROR(VLOOKUP(C198,'נתוני רישום ומצבת'!B:K,10,0)," ")</f>
        <v xml:space="preserve"> </v>
      </c>
      <c r="G198" s="443" t="str">
        <f>IFERROR(VLOOKUP(C198,'נתוני רישום ומצבת'!B:E,4,0)," ")</f>
        <v xml:space="preserve"> </v>
      </c>
      <c r="H198" s="444" t="str">
        <f>IFERROR(VLOOKUP(C198,'נתוני רישום ומצבת'!B:K,7,0),"")</f>
        <v/>
      </c>
      <c r="I198" s="180" t="str">
        <f t="shared" si="10"/>
        <v/>
      </c>
      <c r="J198" s="443" t="str">
        <f>IFERROR(VLOOKUP(C198,'נתוני רישום ומצבת'!B:I,5,0)," ")</f>
        <v xml:space="preserve"> </v>
      </c>
      <c r="K198" s="443" t="str">
        <f>IFERROR(VLOOKUP(C198,'נתוני רישום ומצבת'!B:I,8,0),"")</f>
        <v/>
      </c>
      <c r="L198" s="284">
        <f t="shared" si="11"/>
        <v>0</v>
      </c>
      <c r="M198" s="283" t="str">
        <f t="shared" si="9"/>
        <v>-</v>
      </c>
    </row>
    <row r="199" spans="2:13" x14ac:dyDescent="0.25">
      <c r="B199" s="280">
        <v>179</v>
      </c>
      <c r="C199" s="549" t="str" cm="1">
        <f t="array" ref="C199">IFERROR(
   INDEX('נתוני רישום ומצבת'!$B:$B,
      SMALL(
         IF(('נתוני רישום ומצבת'!A$2:A$2998='נתונים כלליים (1)'!$C$5),
         ROW('נתוני רישום ומצבת'!A$2:A$2998)),
      ROW(A179))
   ),
"")</f>
        <v/>
      </c>
      <c r="D199" s="549" t="str">
        <f>IF(C199="", "",
   IFERROR(
      IF(VLOOKUP(C199, 'נתוני רישום ומצבת'!B:J, 9, FALSE) = $F$4,
         VLOOKUP(C199, 'נתוני רישום ומצבת'!B:J, 3, FALSE),
         "המוסד לא קיים ברשות"),
   "המוסד לא קיים"))</f>
        <v/>
      </c>
      <c r="E199" s="176" t="str">
        <f>IFERROR(VLOOKUP(C199,'נתוני רישום ומצבת'!B:G,6,0),"")</f>
        <v/>
      </c>
      <c r="F199" s="281" t="str">
        <f>IFERROR(VLOOKUP(C199,'נתוני רישום ומצבת'!B:K,10,0)," ")</f>
        <v xml:space="preserve"> </v>
      </c>
      <c r="G199" s="443" t="str">
        <f>IFERROR(VLOOKUP(C199,'נתוני רישום ומצבת'!B:E,4,0)," ")</f>
        <v xml:space="preserve"> </v>
      </c>
      <c r="H199" s="444" t="str">
        <f>IFERROR(VLOOKUP(C199,'נתוני רישום ומצבת'!B:K,7,0),"")</f>
        <v/>
      </c>
      <c r="I199" s="180" t="str">
        <f t="shared" si="10"/>
        <v/>
      </c>
      <c r="J199" s="443" t="str">
        <f>IFERROR(VLOOKUP(C199,'נתוני רישום ומצבת'!B:I,5,0)," ")</f>
        <v xml:space="preserve"> </v>
      </c>
      <c r="K199" s="443" t="str">
        <f>IFERROR(VLOOKUP(C199,'נתוני רישום ומצבת'!B:I,8,0),"")</f>
        <v/>
      </c>
      <c r="L199" s="284">
        <f t="shared" si="11"/>
        <v>0</v>
      </c>
      <c r="M199" s="283" t="str">
        <f t="shared" si="9"/>
        <v>-</v>
      </c>
    </row>
    <row r="200" spans="2:13" x14ac:dyDescent="0.25">
      <c r="B200" s="280">
        <v>180</v>
      </c>
      <c r="C200" s="549" t="str" cm="1">
        <f t="array" ref="C200">IFERROR(
   INDEX('נתוני רישום ומצבת'!$B:$B,
      SMALL(
         IF(('נתוני רישום ומצבת'!A$2:A$2998='נתונים כלליים (1)'!$C$5),
         ROW('נתוני רישום ומצבת'!A$2:A$2998)),
      ROW(A180))
   ),
"")</f>
        <v/>
      </c>
      <c r="D200" s="549" t="str">
        <f>IF(C200="", "",
   IFERROR(
      IF(VLOOKUP(C200, 'נתוני רישום ומצבת'!B:J, 9, FALSE) = $F$4,
         VLOOKUP(C200, 'נתוני רישום ומצבת'!B:J, 3, FALSE),
         "המוסד לא קיים ברשות"),
   "המוסד לא קיים"))</f>
        <v/>
      </c>
      <c r="E200" s="176" t="str">
        <f>IFERROR(VLOOKUP(C200,'נתוני רישום ומצבת'!B:G,6,0),"")</f>
        <v/>
      </c>
      <c r="F200" s="281" t="str">
        <f>IFERROR(VLOOKUP(C200,'נתוני רישום ומצבת'!B:K,10,0)," ")</f>
        <v xml:space="preserve"> </v>
      </c>
      <c r="G200" s="443" t="str">
        <f>IFERROR(VLOOKUP(C200,'נתוני רישום ומצבת'!B:E,4,0)," ")</f>
        <v xml:space="preserve"> </v>
      </c>
      <c r="H200" s="444" t="str">
        <f>IFERROR(VLOOKUP(C200,'נתוני רישום ומצבת'!B:K,7,0),"")</f>
        <v/>
      </c>
      <c r="I200" s="180" t="str">
        <f t="shared" si="10"/>
        <v/>
      </c>
      <c r="J200" s="443" t="str">
        <f>IFERROR(VLOOKUP(C200,'נתוני רישום ומצבת'!B:I,5,0)," ")</f>
        <v xml:space="preserve"> </v>
      </c>
      <c r="K200" s="443" t="str">
        <f>IFERROR(VLOOKUP(C200,'נתוני רישום ומצבת'!B:I,8,0),"")</f>
        <v/>
      </c>
      <c r="L200" s="284">
        <f t="shared" si="11"/>
        <v>0</v>
      </c>
      <c r="M200" s="283" t="str">
        <f t="shared" si="9"/>
        <v>-</v>
      </c>
    </row>
    <row r="201" spans="2:13" x14ac:dyDescent="0.25">
      <c r="B201" s="280">
        <v>181</v>
      </c>
      <c r="C201" s="549" t="str" cm="1">
        <f t="array" ref="C201">IFERROR(
   INDEX('נתוני רישום ומצבת'!$B:$B,
      SMALL(
         IF(('נתוני רישום ומצבת'!A$2:A$2998='נתונים כלליים (1)'!$C$5),
         ROW('נתוני רישום ומצבת'!A$2:A$2998)),
      ROW(A181))
   ),
"")</f>
        <v/>
      </c>
      <c r="D201" s="549" t="str">
        <f>IF(C201="", "",
   IFERROR(
      IF(VLOOKUP(C201, 'נתוני רישום ומצבת'!B:J, 9, FALSE) = $F$4,
         VLOOKUP(C201, 'נתוני רישום ומצבת'!B:J, 3, FALSE),
         "המוסד לא קיים ברשות"),
   "המוסד לא קיים"))</f>
        <v/>
      </c>
      <c r="E201" s="176" t="str">
        <f>IFERROR(VLOOKUP(C201,'נתוני רישום ומצבת'!B:G,6,0),"")</f>
        <v/>
      </c>
      <c r="F201" s="281" t="str">
        <f>IFERROR(VLOOKUP(C201,'נתוני רישום ומצבת'!B:K,10,0)," ")</f>
        <v xml:space="preserve"> </v>
      </c>
      <c r="G201" s="443" t="str">
        <f>IFERROR(VLOOKUP(C201,'נתוני רישום ומצבת'!B:E,4,0)," ")</f>
        <v xml:space="preserve"> </v>
      </c>
      <c r="H201" s="444" t="str">
        <f>IFERROR(VLOOKUP(C201,'נתוני רישום ומצבת'!B:K,7,0),"")</f>
        <v/>
      </c>
      <c r="I201" s="180" t="str">
        <f t="shared" si="10"/>
        <v/>
      </c>
      <c r="J201" s="443" t="str">
        <f>IFERROR(VLOOKUP(C201,'נתוני רישום ומצבת'!B:I,5,0)," ")</f>
        <v xml:space="preserve"> </v>
      </c>
      <c r="K201" s="443" t="str">
        <f>IFERROR(VLOOKUP(C201,'נתוני רישום ומצבת'!B:I,8,0),"")</f>
        <v/>
      </c>
      <c r="L201" s="284">
        <f t="shared" si="11"/>
        <v>0</v>
      </c>
      <c r="M201" s="283" t="str">
        <f t="shared" si="9"/>
        <v>-</v>
      </c>
    </row>
    <row r="202" spans="2:13" x14ac:dyDescent="0.25">
      <c r="B202" s="280">
        <v>182</v>
      </c>
      <c r="C202" s="549" t="str" cm="1">
        <f t="array" ref="C202">IFERROR(
   INDEX('נתוני רישום ומצבת'!$B:$B,
      SMALL(
         IF(('נתוני רישום ומצבת'!A$2:A$2998='נתונים כלליים (1)'!$C$5),
         ROW('נתוני רישום ומצבת'!A$2:A$2998)),
      ROW(A182))
   ),
"")</f>
        <v/>
      </c>
      <c r="D202" s="549" t="str">
        <f>IF(C202="", "",
   IFERROR(
      IF(VLOOKUP(C202, 'נתוני רישום ומצבת'!B:J, 9, FALSE) = $F$4,
         VLOOKUP(C202, 'נתוני רישום ומצבת'!B:J, 3, FALSE),
         "המוסד לא קיים ברשות"),
   "המוסד לא קיים"))</f>
        <v/>
      </c>
      <c r="E202" s="176" t="str">
        <f>IFERROR(VLOOKUP(C202,'נתוני רישום ומצבת'!B:G,6,0),"")</f>
        <v/>
      </c>
      <c r="F202" s="281" t="str">
        <f>IFERROR(VLOOKUP(C202,'נתוני רישום ומצבת'!B:K,10,0)," ")</f>
        <v xml:space="preserve"> </v>
      </c>
      <c r="G202" s="443" t="str">
        <f>IFERROR(VLOOKUP(C202,'נתוני רישום ומצבת'!B:E,4,0)," ")</f>
        <v xml:space="preserve"> </v>
      </c>
      <c r="H202" s="444" t="str">
        <f>IFERROR(VLOOKUP(C202,'נתוני רישום ומצבת'!B:K,7,0),"")</f>
        <v/>
      </c>
      <c r="I202" s="180" t="str">
        <f t="shared" si="10"/>
        <v/>
      </c>
      <c r="J202" s="443" t="str">
        <f>IFERROR(VLOOKUP(C202,'נתוני רישום ומצבת'!B:I,5,0)," ")</f>
        <v xml:space="preserve"> </v>
      </c>
      <c r="K202" s="443" t="str">
        <f>IFERROR(VLOOKUP(C202,'נתוני רישום ומצבת'!B:I,8,0),"")</f>
        <v/>
      </c>
      <c r="L202" s="284">
        <f t="shared" si="11"/>
        <v>0</v>
      </c>
      <c r="M202" s="283" t="str">
        <f t="shared" si="9"/>
        <v>-</v>
      </c>
    </row>
    <row r="203" spans="2:13" x14ac:dyDescent="0.25">
      <c r="B203" s="280">
        <v>183</v>
      </c>
      <c r="C203" s="549" t="str" cm="1">
        <f t="array" ref="C203">IFERROR(
   INDEX('נתוני רישום ומצבת'!$B:$B,
      SMALL(
         IF(('נתוני רישום ומצבת'!A$2:A$2998='נתונים כלליים (1)'!$C$5),
         ROW('נתוני רישום ומצבת'!A$2:A$2998)),
      ROW(A183))
   ),
"")</f>
        <v/>
      </c>
      <c r="D203" s="549" t="str">
        <f>IF(C203="", "",
   IFERROR(
      IF(VLOOKUP(C203, 'נתוני רישום ומצבת'!B:J, 9, FALSE) = $F$4,
         VLOOKUP(C203, 'נתוני רישום ומצבת'!B:J, 3, FALSE),
         "המוסד לא קיים ברשות"),
   "המוסד לא קיים"))</f>
        <v/>
      </c>
      <c r="E203" s="176" t="str">
        <f>IFERROR(VLOOKUP(C203,'נתוני רישום ומצבת'!B:G,6,0),"")</f>
        <v/>
      </c>
      <c r="F203" s="281" t="str">
        <f>IFERROR(VLOOKUP(C203,'נתוני רישום ומצבת'!B:K,10,0)," ")</f>
        <v xml:space="preserve"> </v>
      </c>
      <c r="G203" s="443" t="str">
        <f>IFERROR(VLOOKUP(C203,'נתוני רישום ומצבת'!B:E,4,0)," ")</f>
        <v xml:space="preserve"> </v>
      </c>
      <c r="H203" s="444" t="str">
        <f>IFERROR(VLOOKUP(C203,'נתוני רישום ומצבת'!B:K,7,0),"")</f>
        <v/>
      </c>
      <c r="I203" s="180" t="str">
        <f t="shared" si="10"/>
        <v/>
      </c>
      <c r="J203" s="443" t="str">
        <f>IFERROR(VLOOKUP(C203,'נתוני רישום ומצבת'!B:I,5,0)," ")</f>
        <v xml:space="preserve"> </v>
      </c>
      <c r="K203" s="443" t="str">
        <f>IFERROR(VLOOKUP(C203,'נתוני רישום ומצבת'!B:I,8,0),"")</f>
        <v/>
      </c>
      <c r="L203" s="284">
        <f t="shared" si="11"/>
        <v>0</v>
      </c>
      <c r="M203" s="283" t="str">
        <f t="shared" si="9"/>
        <v>-</v>
      </c>
    </row>
    <row r="204" spans="2:13" x14ac:dyDescent="0.25">
      <c r="B204" s="280">
        <v>184</v>
      </c>
      <c r="C204" s="549" t="str" cm="1">
        <f t="array" ref="C204">IFERROR(
   INDEX('נתוני רישום ומצבת'!$B:$B,
      SMALL(
         IF(('נתוני רישום ומצבת'!A$2:A$2998='נתונים כלליים (1)'!$C$5),
         ROW('נתוני רישום ומצבת'!A$2:A$2998)),
      ROW(A184))
   ),
"")</f>
        <v/>
      </c>
      <c r="D204" s="549" t="str">
        <f>IF(C204="", "",
   IFERROR(
      IF(VLOOKUP(C204, 'נתוני רישום ומצבת'!B:J, 9, FALSE) = $F$4,
         VLOOKUP(C204, 'נתוני רישום ומצבת'!B:J, 3, FALSE),
         "המוסד לא קיים ברשות"),
   "המוסד לא קיים"))</f>
        <v/>
      </c>
      <c r="E204" s="176" t="str">
        <f>IFERROR(VLOOKUP(C204,'נתוני רישום ומצבת'!B:G,6,0),"")</f>
        <v/>
      </c>
      <c r="F204" s="281" t="str">
        <f>IFERROR(VLOOKUP(C204,'נתוני רישום ומצבת'!B:K,10,0)," ")</f>
        <v xml:space="preserve"> </v>
      </c>
      <c r="G204" s="443" t="str">
        <f>IFERROR(VLOOKUP(C204,'נתוני רישום ומצבת'!B:E,4,0)," ")</f>
        <v xml:space="preserve"> </v>
      </c>
      <c r="H204" s="444" t="str">
        <f>IFERROR(VLOOKUP(C204,'נתוני רישום ומצבת'!B:K,7,0),"")</f>
        <v/>
      </c>
      <c r="I204" s="180" t="str">
        <f t="shared" si="10"/>
        <v/>
      </c>
      <c r="J204" s="443" t="str">
        <f>IFERROR(VLOOKUP(C204,'נתוני רישום ומצבת'!B:I,5,0)," ")</f>
        <v xml:space="preserve"> </v>
      </c>
      <c r="K204" s="443" t="str">
        <f>IFERROR(VLOOKUP(C204,'נתוני רישום ומצבת'!B:I,8,0),"")</f>
        <v/>
      </c>
      <c r="L204" s="284">
        <f t="shared" si="11"/>
        <v>0</v>
      </c>
      <c r="M204" s="283" t="str">
        <f t="shared" si="9"/>
        <v>-</v>
      </c>
    </row>
    <row r="205" spans="2:13" x14ac:dyDescent="0.25">
      <c r="B205" s="280">
        <v>185</v>
      </c>
      <c r="C205" s="549" t="str" cm="1">
        <f t="array" ref="C205">IFERROR(
   INDEX('נתוני רישום ומצבת'!$B:$B,
      SMALL(
         IF(('נתוני רישום ומצבת'!A$2:A$2998='נתונים כלליים (1)'!$C$5),
         ROW('נתוני רישום ומצבת'!A$2:A$2998)),
      ROW(A185))
   ),
"")</f>
        <v/>
      </c>
      <c r="D205" s="549" t="str">
        <f>IF(C205="", "",
   IFERROR(
      IF(VLOOKUP(C205, 'נתוני רישום ומצבת'!B:J, 9, FALSE) = $F$4,
         VLOOKUP(C205, 'נתוני רישום ומצבת'!B:J, 3, FALSE),
         "המוסד לא קיים ברשות"),
   "המוסד לא קיים"))</f>
        <v/>
      </c>
      <c r="E205" s="176" t="str">
        <f>IFERROR(VLOOKUP(C205,'נתוני רישום ומצבת'!B:G,6,0),"")</f>
        <v/>
      </c>
      <c r="F205" s="281" t="str">
        <f>IFERROR(VLOOKUP(C205,'נתוני רישום ומצבת'!B:K,10,0)," ")</f>
        <v xml:space="preserve"> </v>
      </c>
      <c r="G205" s="443" t="str">
        <f>IFERROR(VLOOKUP(C205,'נתוני רישום ומצבת'!B:E,4,0)," ")</f>
        <v xml:space="preserve"> </v>
      </c>
      <c r="H205" s="444" t="str">
        <f>IFERROR(VLOOKUP(C205,'נתוני רישום ומצבת'!B:K,7,0),"")</f>
        <v/>
      </c>
      <c r="I205" s="180" t="str">
        <f t="shared" si="10"/>
        <v/>
      </c>
      <c r="J205" s="443" t="str">
        <f>IFERROR(VLOOKUP(C205,'נתוני רישום ומצבת'!B:I,5,0)," ")</f>
        <v xml:space="preserve"> </v>
      </c>
      <c r="K205" s="443" t="str">
        <f>IFERROR(VLOOKUP(C205,'נתוני רישום ומצבת'!B:I,8,0),"")</f>
        <v/>
      </c>
      <c r="L205" s="284">
        <f t="shared" si="11"/>
        <v>0</v>
      </c>
      <c r="M205" s="283" t="str">
        <f t="shared" si="9"/>
        <v>-</v>
      </c>
    </row>
    <row r="206" spans="2:13" x14ac:dyDescent="0.25">
      <c r="B206" s="280">
        <v>186</v>
      </c>
      <c r="C206" s="549" t="str" cm="1">
        <f t="array" ref="C206">IFERROR(
   INDEX('נתוני רישום ומצבת'!$B:$B,
      SMALL(
         IF(('נתוני רישום ומצבת'!A$2:A$2998='נתונים כלליים (1)'!$C$5),
         ROW('נתוני רישום ומצבת'!A$2:A$2998)),
      ROW(A186))
   ),
"")</f>
        <v/>
      </c>
      <c r="D206" s="549" t="str">
        <f>IF(C206="", "",
   IFERROR(
      IF(VLOOKUP(C206, 'נתוני רישום ומצבת'!B:J, 9, FALSE) = $F$4,
         VLOOKUP(C206, 'נתוני רישום ומצבת'!B:J, 3, FALSE),
         "המוסד לא קיים ברשות"),
   "המוסד לא קיים"))</f>
        <v/>
      </c>
      <c r="E206" s="176" t="str">
        <f>IFERROR(VLOOKUP(C206,'נתוני רישום ומצבת'!B:G,6,0),"")</f>
        <v/>
      </c>
      <c r="F206" s="281" t="str">
        <f>IFERROR(VLOOKUP(C206,'נתוני רישום ומצבת'!B:K,10,0)," ")</f>
        <v xml:space="preserve"> </v>
      </c>
      <c r="G206" s="443" t="str">
        <f>IFERROR(VLOOKUP(C206,'נתוני רישום ומצבת'!B:E,4,0)," ")</f>
        <v xml:space="preserve"> </v>
      </c>
      <c r="H206" s="444" t="str">
        <f>IFERROR(VLOOKUP(C206,'נתוני רישום ומצבת'!B:K,7,0),"")</f>
        <v/>
      </c>
      <c r="I206" s="180" t="str">
        <f t="shared" si="10"/>
        <v/>
      </c>
      <c r="J206" s="443" t="str">
        <f>IFERROR(VLOOKUP(C206,'נתוני רישום ומצבת'!B:I,5,0)," ")</f>
        <v xml:space="preserve"> </v>
      </c>
      <c r="K206" s="443" t="str">
        <f>IFERROR(VLOOKUP(C206,'נתוני רישום ומצבת'!B:I,8,0),"")</f>
        <v/>
      </c>
      <c r="L206" s="284">
        <f t="shared" si="11"/>
        <v>0</v>
      </c>
      <c r="M206" s="283" t="str">
        <f t="shared" ref="M206:M269" si="12">IF(L206&gt;149,"כן","-")</f>
        <v>-</v>
      </c>
    </row>
    <row r="207" spans="2:13" x14ac:dyDescent="0.25">
      <c r="B207" s="280">
        <v>187</v>
      </c>
      <c r="C207" s="549" t="str" cm="1">
        <f t="array" ref="C207">IFERROR(
   INDEX('נתוני רישום ומצבת'!$B:$B,
      SMALL(
         IF(('נתוני רישום ומצבת'!A$2:A$2998='נתונים כלליים (1)'!$C$5),
         ROW('נתוני רישום ומצבת'!A$2:A$2998)),
      ROW(A187))
   ),
"")</f>
        <v/>
      </c>
      <c r="D207" s="549" t="str">
        <f>IF(C207="", "",
   IFERROR(
      IF(VLOOKUP(C207, 'נתוני רישום ומצבת'!B:J, 9, FALSE) = $F$4,
         VLOOKUP(C207, 'נתוני רישום ומצבת'!B:J, 3, FALSE),
         "המוסד לא קיים ברשות"),
   "המוסד לא קיים"))</f>
        <v/>
      </c>
      <c r="E207" s="176" t="str">
        <f>IFERROR(VLOOKUP(C207,'נתוני רישום ומצבת'!B:G,6,0),"")</f>
        <v/>
      </c>
      <c r="F207" s="281" t="str">
        <f>IFERROR(VLOOKUP(C207,'נתוני רישום ומצבת'!B:K,10,0)," ")</f>
        <v xml:space="preserve"> </v>
      </c>
      <c r="G207" s="443" t="str">
        <f>IFERROR(VLOOKUP(C207,'נתוני רישום ומצבת'!B:E,4,0)," ")</f>
        <v xml:space="preserve"> </v>
      </c>
      <c r="H207" s="444" t="str">
        <f>IFERROR(VLOOKUP(C207,'נתוני רישום ומצבת'!B:K,7,0),"")</f>
        <v/>
      </c>
      <c r="I207" s="180" t="str">
        <f t="shared" si="10"/>
        <v/>
      </c>
      <c r="J207" s="443" t="str">
        <f>IFERROR(VLOOKUP(C207,'נתוני רישום ומצבת'!B:I,5,0)," ")</f>
        <v xml:space="preserve"> </v>
      </c>
      <c r="K207" s="443" t="str">
        <f>IFERROR(VLOOKUP(C207,'נתוני רישום ומצבת'!B:I,8,0),"")</f>
        <v/>
      </c>
      <c r="L207" s="284">
        <f t="shared" si="11"/>
        <v>0</v>
      </c>
      <c r="M207" s="283" t="str">
        <f t="shared" si="12"/>
        <v>-</v>
      </c>
    </row>
    <row r="208" spans="2:13" x14ac:dyDescent="0.25">
      <c r="B208" s="280">
        <v>188</v>
      </c>
      <c r="C208" s="549" t="str" cm="1">
        <f t="array" ref="C208">IFERROR(
   INDEX('נתוני רישום ומצבת'!$B:$B,
      SMALL(
         IF(('נתוני רישום ומצבת'!A$2:A$2998='נתונים כלליים (1)'!$C$5),
         ROW('נתוני רישום ומצבת'!A$2:A$2998)),
      ROW(A188))
   ),
"")</f>
        <v/>
      </c>
      <c r="D208" s="549" t="str">
        <f>IF(C208="", "",
   IFERROR(
      IF(VLOOKUP(C208, 'נתוני רישום ומצבת'!B:J, 9, FALSE) = $F$4,
         VLOOKUP(C208, 'נתוני רישום ומצבת'!B:J, 3, FALSE),
         "המוסד לא קיים ברשות"),
   "המוסד לא קיים"))</f>
        <v/>
      </c>
      <c r="E208" s="176" t="str">
        <f>IFERROR(VLOOKUP(C208,'נתוני רישום ומצבת'!B:G,6,0),"")</f>
        <v/>
      </c>
      <c r="F208" s="281" t="str">
        <f>IFERROR(VLOOKUP(C208,'נתוני רישום ומצבת'!B:K,10,0)," ")</f>
        <v xml:space="preserve"> </v>
      </c>
      <c r="G208" s="443" t="str">
        <f>IFERROR(VLOOKUP(C208,'נתוני רישום ומצבת'!B:E,4,0)," ")</f>
        <v xml:space="preserve"> </v>
      </c>
      <c r="H208" s="444" t="str">
        <f>IFERROR(VLOOKUP(C208,'נתוני רישום ומצבת'!B:K,7,0),"")</f>
        <v/>
      </c>
      <c r="I208" s="180" t="str">
        <f t="shared" si="10"/>
        <v/>
      </c>
      <c r="J208" s="443" t="str">
        <f>IFERROR(VLOOKUP(C208,'נתוני רישום ומצבת'!B:I,5,0)," ")</f>
        <v xml:space="preserve"> </v>
      </c>
      <c r="K208" s="443" t="str">
        <f>IFERROR(VLOOKUP(C208,'נתוני רישום ומצבת'!B:I,8,0),"")</f>
        <v/>
      </c>
      <c r="L208" s="284">
        <f t="shared" si="11"/>
        <v>0</v>
      </c>
      <c r="M208" s="283" t="str">
        <f t="shared" si="12"/>
        <v>-</v>
      </c>
    </row>
    <row r="209" spans="2:13" x14ac:dyDescent="0.25">
      <c r="B209" s="280">
        <v>189</v>
      </c>
      <c r="C209" s="549" t="str" cm="1">
        <f t="array" ref="C209">IFERROR(
   INDEX('נתוני רישום ומצבת'!$B:$B,
      SMALL(
         IF(('נתוני רישום ומצבת'!A$2:A$2998='נתונים כלליים (1)'!$C$5),
         ROW('נתוני רישום ומצבת'!A$2:A$2998)),
      ROW(A189))
   ),
"")</f>
        <v/>
      </c>
      <c r="D209" s="549" t="str">
        <f>IF(C209="", "",
   IFERROR(
      IF(VLOOKUP(C209, 'נתוני רישום ומצבת'!B:J, 9, FALSE) = $F$4,
         VLOOKUP(C209, 'נתוני רישום ומצבת'!B:J, 3, FALSE),
         "המוסד לא קיים ברשות"),
   "המוסד לא קיים"))</f>
        <v/>
      </c>
      <c r="E209" s="176" t="str">
        <f>IFERROR(VLOOKUP(C209,'נתוני רישום ומצבת'!B:G,6,0),"")</f>
        <v/>
      </c>
      <c r="F209" s="281" t="str">
        <f>IFERROR(VLOOKUP(C209,'נתוני רישום ומצבת'!B:K,10,0)," ")</f>
        <v xml:space="preserve"> </v>
      </c>
      <c r="G209" s="443" t="str">
        <f>IFERROR(VLOOKUP(C209,'נתוני רישום ומצבת'!B:E,4,0)," ")</f>
        <v xml:space="preserve"> </v>
      </c>
      <c r="H209" s="444" t="str">
        <f>IFERROR(VLOOKUP(C209,'נתוני רישום ומצבת'!B:K,7,0),"")</f>
        <v/>
      </c>
      <c r="I209" s="180" t="str">
        <f t="shared" si="10"/>
        <v/>
      </c>
      <c r="J209" s="443" t="str">
        <f>IFERROR(VLOOKUP(C209,'נתוני רישום ומצבת'!B:I,5,0)," ")</f>
        <v xml:space="preserve"> </v>
      </c>
      <c r="K209" s="443" t="str">
        <f>IFERROR(VLOOKUP(C209,'נתוני רישום ומצבת'!B:I,8,0),"")</f>
        <v/>
      </c>
      <c r="L209" s="284">
        <f t="shared" si="11"/>
        <v>0</v>
      </c>
      <c r="M209" s="283" t="str">
        <f t="shared" si="12"/>
        <v>-</v>
      </c>
    </row>
    <row r="210" spans="2:13" x14ac:dyDescent="0.25">
      <c r="B210" s="280">
        <v>190</v>
      </c>
      <c r="C210" s="549" t="str" cm="1">
        <f t="array" ref="C210">IFERROR(
   INDEX('נתוני רישום ומצבת'!$B:$B,
      SMALL(
         IF(('נתוני רישום ומצבת'!A$2:A$2998='נתונים כלליים (1)'!$C$5),
         ROW('נתוני רישום ומצבת'!A$2:A$2998)),
      ROW(A190))
   ),
"")</f>
        <v/>
      </c>
      <c r="D210" s="549" t="str">
        <f>IF(C210="", "",
   IFERROR(
      IF(VLOOKUP(C210, 'נתוני רישום ומצבת'!B:J, 9, FALSE) = $F$4,
         VLOOKUP(C210, 'נתוני רישום ומצבת'!B:J, 3, FALSE),
         "המוסד לא קיים ברשות"),
   "המוסד לא קיים"))</f>
        <v/>
      </c>
      <c r="E210" s="176" t="str">
        <f>IFERROR(VLOOKUP(C210,'נתוני רישום ומצבת'!B:G,6,0),"")</f>
        <v/>
      </c>
      <c r="F210" s="281" t="str">
        <f>IFERROR(VLOOKUP(C210,'נתוני רישום ומצבת'!B:K,10,0)," ")</f>
        <v xml:space="preserve"> </v>
      </c>
      <c r="G210" s="443" t="str">
        <f>IFERROR(VLOOKUP(C210,'נתוני רישום ומצבת'!B:E,4,0)," ")</f>
        <v xml:space="preserve"> </v>
      </c>
      <c r="H210" s="444" t="str">
        <f>IFERROR(VLOOKUP(C210,'נתוני רישום ומצבת'!B:K,7,0),"")</f>
        <v/>
      </c>
      <c r="I210" s="180" t="str">
        <f t="shared" si="10"/>
        <v/>
      </c>
      <c r="J210" s="443" t="str">
        <f>IFERROR(VLOOKUP(C210,'נתוני רישום ומצבת'!B:I,5,0)," ")</f>
        <v xml:space="preserve"> </v>
      </c>
      <c r="K210" s="443" t="str">
        <f>IFERROR(VLOOKUP(C210,'נתוני רישום ומצבת'!B:I,8,0),"")</f>
        <v/>
      </c>
      <c r="L210" s="284">
        <f t="shared" si="11"/>
        <v>0</v>
      </c>
      <c r="M210" s="283" t="str">
        <f t="shared" si="12"/>
        <v>-</v>
      </c>
    </row>
    <row r="211" spans="2:13" x14ac:dyDescent="0.25">
      <c r="B211" s="280">
        <v>191</v>
      </c>
      <c r="C211" s="549" t="str" cm="1">
        <f t="array" ref="C211">IFERROR(
   INDEX('נתוני רישום ומצבת'!$B:$B,
      SMALL(
         IF(('נתוני רישום ומצבת'!A$2:A$2998='נתונים כלליים (1)'!$C$5),
         ROW('נתוני רישום ומצבת'!A$2:A$2998)),
      ROW(A191))
   ),
"")</f>
        <v/>
      </c>
      <c r="D211" s="549" t="str">
        <f>IF(C211="", "",
   IFERROR(
      IF(VLOOKUP(C211, 'נתוני רישום ומצבת'!B:J, 9, FALSE) = $F$4,
         VLOOKUP(C211, 'נתוני רישום ומצבת'!B:J, 3, FALSE),
         "המוסד לא קיים ברשות"),
   "המוסד לא קיים"))</f>
        <v/>
      </c>
      <c r="E211" s="176" t="str">
        <f>IFERROR(VLOOKUP(C211,'נתוני רישום ומצבת'!B:G,6,0),"")</f>
        <v/>
      </c>
      <c r="F211" s="281" t="str">
        <f>IFERROR(VLOOKUP(C211,'נתוני רישום ומצבת'!B:K,10,0)," ")</f>
        <v xml:space="preserve"> </v>
      </c>
      <c r="G211" s="443" t="str">
        <f>IFERROR(VLOOKUP(C211,'נתוני רישום ומצבת'!B:E,4,0)," ")</f>
        <v xml:space="preserve"> </v>
      </c>
      <c r="H211" s="444" t="str">
        <f>IFERROR(VLOOKUP(C211,'נתוני רישום ומצבת'!B:K,7,0),"")</f>
        <v/>
      </c>
      <c r="I211" s="180" t="str">
        <f t="shared" si="10"/>
        <v/>
      </c>
      <c r="J211" s="443" t="str">
        <f>IFERROR(VLOOKUP(C211,'נתוני רישום ומצבת'!B:I,5,0)," ")</f>
        <v xml:space="preserve"> </v>
      </c>
      <c r="K211" s="443" t="str">
        <f>IFERROR(VLOOKUP(C211,'נתוני רישום ומצבת'!B:I,8,0),"")</f>
        <v/>
      </c>
      <c r="L211" s="284">
        <f t="shared" si="11"/>
        <v>0</v>
      </c>
      <c r="M211" s="283" t="str">
        <f t="shared" si="12"/>
        <v>-</v>
      </c>
    </row>
    <row r="212" spans="2:13" x14ac:dyDescent="0.25">
      <c r="B212" s="280">
        <v>192</v>
      </c>
      <c r="C212" s="549" t="str" cm="1">
        <f t="array" ref="C212">IFERROR(
   INDEX('נתוני רישום ומצבת'!$B:$B,
      SMALL(
         IF(('נתוני רישום ומצבת'!A$2:A$2998='נתונים כלליים (1)'!$C$5),
         ROW('נתוני רישום ומצבת'!A$2:A$2998)),
      ROW(A192))
   ),
"")</f>
        <v/>
      </c>
      <c r="D212" s="549" t="str">
        <f>IF(C212="", "",
   IFERROR(
      IF(VLOOKUP(C212, 'נתוני רישום ומצבת'!B:J, 9, FALSE) = $F$4,
         VLOOKUP(C212, 'נתוני רישום ומצבת'!B:J, 3, FALSE),
         "המוסד לא קיים ברשות"),
   "המוסד לא קיים"))</f>
        <v/>
      </c>
      <c r="E212" s="176" t="str">
        <f>IFERROR(VLOOKUP(C212,'נתוני רישום ומצבת'!B:G,6,0),"")</f>
        <v/>
      </c>
      <c r="F212" s="281" t="str">
        <f>IFERROR(VLOOKUP(C212,'נתוני רישום ומצבת'!B:K,10,0)," ")</f>
        <v xml:space="preserve"> </v>
      </c>
      <c r="G212" s="443" t="str">
        <f>IFERROR(VLOOKUP(C212,'נתוני רישום ומצבת'!B:E,4,0)," ")</f>
        <v xml:space="preserve"> </v>
      </c>
      <c r="H212" s="444" t="str">
        <f>IFERROR(VLOOKUP(C212,'נתוני רישום ומצבת'!B:K,7,0),"")</f>
        <v/>
      </c>
      <c r="I212" s="180" t="str">
        <f t="shared" si="10"/>
        <v/>
      </c>
      <c r="J212" s="443" t="str">
        <f>IFERROR(VLOOKUP(C212,'נתוני רישום ומצבת'!B:I,5,0)," ")</f>
        <v xml:space="preserve"> </v>
      </c>
      <c r="K212" s="443" t="str">
        <f>IFERROR(VLOOKUP(C212,'נתוני רישום ומצבת'!B:I,8,0),"")</f>
        <v/>
      </c>
      <c r="L212" s="284">
        <f t="shared" si="11"/>
        <v>0</v>
      </c>
      <c r="M212" s="283" t="str">
        <f t="shared" si="12"/>
        <v>-</v>
      </c>
    </row>
    <row r="213" spans="2:13" x14ac:dyDescent="0.25">
      <c r="B213" s="280">
        <v>193</v>
      </c>
      <c r="C213" s="549" t="str" cm="1">
        <f t="array" ref="C213">IFERROR(
   INDEX('נתוני רישום ומצבת'!$B:$B,
      SMALL(
         IF(('נתוני רישום ומצבת'!A$2:A$2998='נתונים כלליים (1)'!$C$5),
         ROW('נתוני רישום ומצבת'!A$2:A$2998)),
      ROW(A193))
   ),
"")</f>
        <v/>
      </c>
      <c r="D213" s="549" t="str">
        <f>IF(C213="", "",
   IFERROR(
      IF(VLOOKUP(C213, 'נתוני רישום ומצבת'!B:J, 9, FALSE) = $F$4,
         VLOOKUP(C213, 'נתוני רישום ומצבת'!B:J, 3, FALSE),
         "המוסד לא קיים ברשות"),
   "המוסד לא קיים"))</f>
        <v/>
      </c>
      <c r="E213" s="176" t="str">
        <f>IFERROR(VLOOKUP(C213,'נתוני רישום ומצבת'!B:G,6,0),"")</f>
        <v/>
      </c>
      <c r="F213" s="281" t="str">
        <f>IFERROR(VLOOKUP(C213,'נתוני רישום ומצבת'!B:K,10,0)," ")</f>
        <v xml:space="preserve"> </v>
      </c>
      <c r="G213" s="443" t="str">
        <f>IFERROR(VLOOKUP(C213,'נתוני רישום ומצבת'!B:E,4,0)," ")</f>
        <v xml:space="preserve"> </v>
      </c>
      <c r="H213" s="444" t="str">
        <f>IFERROR(VLOOKUP(C213,'נתוני רישום ומצבת'!B:K,7,0),"")</f>
        <v/>
      </c>
      <c r="I213" s="180" t="str">
        <f t="shared" ref="I213:I276" si="13">IFERROR(H213+G213,"")</f>
        <v/>
      </c>
      <c r="J213" s="443" t="str">
        <f>IFERROR(VLOOKUP(C213,'נתוני רישום ומצבת'!B:I,5,0)," ")</f>
        <v xml:space="preserve"> </v>
      </c>
      <c r="K213" s="443" t="str">
        <f>IFERROR(VLOOKUP(C213,'נתוני רישום ומצבת'!B:I,8,0),"")</f>
        <v/>
      </c>
      <c r="L213" s="284">
        <f t="shared" si="11"/>
        <v>0</v>
      </c>
      <c r="M213" s="283" t="str">
        <f t="shared" si="12"/>
        <v>-</v>
      </c>
    </row>
    <row r="214" spans="2:13" x14ac:dyDescent="0.25">
      <c r="B214" s="280">
        <v>194</v>
      </c>
      <c r="C214" s="549" t="str" cm="1">
        <f t="array" ref="C214">IFERROR(
   INDEX('נתוני רישום ומצבת'!$B:$B,
      SMALL(
         IF(('נתוני רישום ומצבת'!A$2:A$2998='נתונים כלליים (1)'!$C$5),
         ROW('נתוני רישום ומצבת'!A$2:A$2998)),
      ROW(A194))
   ),
"")</f>
        <v/>
      </c>
      <c r="D214" s="549" t="str">
        <f>IF(C214="", "",
   IFERROR(
      IF(VLOOKUP(C214, 'נתוני רישום ומצבת'!B:J, 9, FALSE) = $F$4,
         VLOOKUP(C214, 'נתוני רישום ומצבת'!B:J, 3, FALSE),
         "המוסד לא קיים ברשות"),
   "המוסד לא קיים"))</f>
        <v/>
      </c>
      <c r="E214" s="176" t="str">
        <f>IFERROR(VLOOKUP(C214,'נתוני רישום ומצבת'!B:G,6,0),"")</f>
        <v/>
      </c>
      <c r="F214" s="281" t="str">
        <f>IFERROR(VLOOKUP(C214,'נתוני רישום ומצבת'!B:K,10,0)," ")</f>
        <v xml:space="preserve"> </v>
      </c>
      <c r="G214" s="443" t="str">
        <f>IFERROR(VLOOKUP(C214,'נתוני רישום ומצבת'!B:E,4,0)," ")</f>
        <v xml:space="preserve"> </v>
      </c>
      <c r="H214" s="444" t="str">
        <f>IFERROR(VLOOKUP(C214,'נתוני רישום ומצבת'!B:K,7,0),"")</f>
        <v/>
      </c>
      <c r="I214" s="180" t="str">
        <f t="shared" si="13"/>
        <v/>
      </c>
      <c r="J214" s="443" t="str">
        <f>IFERROR(VLOOKUP(C214,'נתוני רישום ומצבת'!B:I,5,0)," ")</f>
        <v xml:space="preserve"> </v>
      </c>
      <c r="K214" s="443" t="str">
        <f>IFERROR(VLOOKUP(C214,'נתוני רישום ומצבת'!B:I,8,0),"")</f>
        <v/>
      </c>
      <c r="L214" s="284">
        <f t="shared" ref="L214:L277" si="14">IFERROR(K214+J214,0)</f>
        <v>0</v>
      </c>
      <c r="M214" s="283" t="str">
        <f t="shared" si="12"/>
        <v>-</v>
      </c>
    </row>
    <row r="215" spans="2:13" x14ac:dyDescent="0.25">
      <c r="B215" s="280">
        <v>195</v>
      </c>
      <c r="C215" s="549" t="str" cm="1">
        <f t="array" ref="C215">IFERROR(
   INDEX('נתוני רישום ומצבת'!$B:$B,
      SMALL(
         IF(('נתוני רישום ומצבת'!A$2:A$2998='נתונים כלליים (1)'!$C$5),
         ROW('נתוני רישום ומצבת'!A$2:A$2998)),
      ROW(A195))
   ),
"")</f>
        <v/>
      </c>
      <c r="D215" s="549" t="str">
        <f>IF(C215="", "",
   IFERROR(
      IF(VLOOKUP(C215, 'נתוני רישום ומצבת'!B:J, 9, FALSE) = $F$4,
         VLOOKUP(C215, 'נתוני רישום ומצבת'!B:J, 3, FALSE),
         "המוסד לא קיים ברשות"),
   "המוסד לא קיים"))</f>
        <v/>
      </c>
      <c r="E215" s="176" t="str">
        <f>IFERROR(VLOOKUP(C215,'נתוני רישום ומצבת'!B:G,6,0),"")</f>
        <v/>
      </c>
      <c r="F215" s="281" t="str">
        <f>IFERROR(VLOOKUP(C215,'נתוני רישום ומצבת'!B:K,10,0)," ")</f>
        <v xml:space="preserve"> </v>
      </c>
      <c r="G215" s="443" t="str">
        <f>IFERROR(VLOOKUP(C215,'נתוני רישום ומצבת'!B:E,4,0)," ")</f>
        <v xml:space="preserve"> </v>
      </c>
      <c r="H215" s="444" t="str">
        <f>IFERROR(VLOOKUP(C215,'נתוני רישום ומצבת'!B:K,7,0),"")</f>
        <v/>
      </c>
      <c r="I215" s="180" t="str">
        <f t="shared" si="13"/>
        <v/>
      </c>
      <c r="J215" s="443" t="str">
        <f>IFERROR(VLOOKUP(C215,'נתוני רישום ומצבת'!B:I,5,0)," ")</f>
        <v xml:space="preserve"> </v>
      </c>
      <c r="K215" s="443" t="str">
        <f>IFERROR(VLOOKUP(C215,'נתוני רישום ומצבת'!B:I,8,0),"")</f>
        <v/>
      </c>
      <c r="L215" s="284">
        <f t="shared" si="14"/>
        <v>0</v>
      </c>
      <c r="M215" s="283" t="str">
        <f t="shared" si="12"/>
        <v>-</v>
      </c>
    </row>
    <row r="216" spans="2:13" x14ac:dyDescent="0.25">
      <c r="B216" s="280">
        <v>196</v>
      </c>
      <c r="C216" s="549" t="str" cm="1">
        <f t="array" ref="C216">IFERROR(
   INDEX('נתוני רישום ומצבת'!$B:$B,
      SMALL(
         IF(('נתוני רישום ומצבת'!A$2:A$2998='נתונים כלליים (1)'!$C$5),
         ROW('נתוני רישום ומצבת'!A$2:A$2998)),
      ROW(A196))
   ),
"")</f>
        <v/>
      </c>
      <c r="D216" s="549" t="str">
        <f>IF(C216="", "",
   IFERROR(
      IF(VLOOKUP(C216, 'נתוני רישום ומצבת'!B:J, 9, FALSE) = $F$4,
         VLOOKUP(C216, 'נתוני רישום ומצבת'!B:J, 3, FALSE),
         "המוסד לא קיים ברשות"),
   "המוסד לא קיים"))</f>
        <v/>
      </c>
      <c r="E216" s="176" t="str">
        <f>IFERROR(VLOOKUP(C216,'נתוני רישום ומצבת'!B:G,6,0),"")</f>
        <v/>
      </c>
      <c r="F216" s="281" t="str">
        <f>IFERROR(VLOOKUP(C216,'נתוני רישום ומצבת'!B:K,10,0)," ")</f>
        <v xml:space="preserve"> </v>
      </c>
      <c r="G216" s="443" t="str">
        <f>IFERROR(VLOOKUP(C216,'נתוני רישום ומצבת'!B:E,4,0)," ")</f>
        <v xml:space="preserve"> </v>
      </c>
      <c r="H216" s="444" t="str">
        <f>IFERROR(VLOOKUP(C216,'נתוני רישום ומצבת'!B:K,7,0),"")</f>
        <v/>
      </c>
      <c r="I216" s="180" t="str">
        <f t="shared" si="13"/>
        <v/>
      </c>
      <c r="J216" s="443" t="str">
        <f>IFERROR(VLOOKUP(C216,'נתוני רישום ומצבת'!B:I,5,0)," ")</f>
        <v xml:space="preserve"> </v>
      </c>
      <c r="K216" s="443" t="str">
        <f>IFERROR(VLOOKUP(C216,'נתוני רישום ומצבת'!B:I,8,0),"")</f>
        <v/>
      </c>
      <c r="L216" s="284">
        <f t="shared" si="14"/>
        <v>0</v>
      </c>
      <c r="M216" s="283" t="str">
        <f t="shared" si="12"/>
        <v>-</v>
      </c>
    </row>
    <row r="217" spans="2:13" x14ac:dyDescent="0.25">
      <c r="B217" s="280">
        <v>197</v>
      </c>
      <c r="C217" s="549" t="str" cm="1">
        <f t="array" ref="C217">IFERROR(
   INDEX('נתוני רישום ומצבת'!$B:$B,
      SMALL(
         IF(('נתוני רישום ומצבת'!A$2:A$2998='נתונים כלליים (1)'!$C$5),
         ROW('נתוני רישום ומצבת'!A$2:A$2998)),
      ROW(A197))
   ),
"")</f>
        <v/>
      </c>
      <c r="D217" s="549" t="str">
        <f>IF(C217="", "",
   IFERROR(
      IF(VLOOKUP(C217, 'נתוני רישום ומצבת'!B:J, 9, FALSE) = $F$4,
         VLOOKUP(C217, 'נתוני רישום ומצבת'!B:J, 3, FALSE),
         "המוסד לא קיים ברשות"),
   "המוסד לא קיים"))</f>
        <v/>
      </c>
      <c r="E217" s="176" t="str">
        <f>IFERROR(VLOOKUP(C217,'נתוני רישום ומצבת'!B:G,6,0),"")</f>
        <v/>
      </c>
      <c r="F217" s="281" t="str">
        <f>IFERROR(VLOOKUP(C217,'נתוני רישום ומצבת'!B:K,10,0)," ")</f>
        <v xml:space="preserve"> </v>
      </c>
      <c r="G217" s="443" t="str">
        <f>IFERROR(VLOOKUP(C217,'נתוני רישום ומצבת'!B:E,4,0)," ")</f>
        <v xml:space="preserve"> </v>
      </c>
      <c r="H217" s="444" t="str">
        <f>IFERROR(VLOOKUP(C217,'נתוני רישום ומצבת'!B:K,7,0),"")</f>
        <v/>
      </c>
      <c r="I217" s="180" t="str">
        <f t="shared" si="13"/>
        <v/>
      </c>
      <c r="J217" s="443" t="str">
        <f>IFERROR(VLOOKUP(C217,'נתוני רישום ומצבת'!B:I,5,0)," ")</f>
        <v xml:space="preserve"> </v>
      </c>
      <c r="K217" s="443" t="str">
        <f>IFERROR(VLOOKUP(C217,'נתוני רישום ומצבת'!B:I,8,0),"")</f>
        <v/>
      </c>
      <c r="L217" s="284">
        <f t="shared" si="14"/>
        <v>0</v>
      </c>
      <c r="M217" s="283" t="str">
        <f t="shared" si="12"/>
        <v>-</v>
      </c>
    </row>
    <row r="218" spans="2:13" x14ac:dyDescent="0.25">
      <c r="B218" s="280">
        <v>198</v>
      </c>
      <c r="C218" s="549" t="str" cm="1">
        <f t="array" ref="C218">IFERROR(
   INDEX('נתוני רישום ומצבת'!$B:$B,
      SMALL(
         IF(('נתוני רישום ומצבת'!A$2:A$2998='נתונים כלליים (1)'!$C$5),
         ROW('נתוני רישום ומצבת'!A$2:A$2998)),
      ROW(A198))
   ),
"")</f>
        <v/>
      </c>
      <c r="D218" s="549" t="str">
        <f>IF(C218="", "",
   IFERROR(
      IF(VLOOKUP(C218, 'נתוני רישום ומצבת'!B:J, 9, FALSE) = $F$4,
         VLOOKUP(C218, 'נתוני רישום ומצבת'!B:J, 3, FALSE),
         "המוסד לא קיים ברשות"),
   "המוסד לא קיים"))</f>
        <v/>
      </c>
      <c r="E218" s="176" t="str">
        <f>IFERROR(VLOOKUP(C218,'נתוני רישום ומצבת'!B:G,6,0),"")</f>
        <v/>
      </c>
      <c r="F218" s="281" t="str">
        <f>IFERROR(VLOOKUP(C218,'נתוני רישום ומצבת'!B:K,10,0)," ")</f>
        <v xml:space="preserve"> </v>
      </c>
      <c r="G218" s="443" t="str">
        <f>IFERROR(VLOOKUP(C218,'נתוני רישום ומצבת'!B:E,4,0)," ")</f>
        <v xml:space="preserve"> </v>
      </c>
      <c r="H218" s="444" t="str">
        <f>IFERROR(VLOOKUP(C218,'נתוני רישום ומצבת'!B:K,7,0),"")</f>
        <v/>
      </c>
      <c r="I218" s="180" t="str">
        <f t="shared" si="13"/>
        <v/>
      </c>
      <c r="J218" s="443" t="str">
        <f>IFERROR(VLOOKUP(C218,'נתוני רישום ומצבת'!B:I,5,0)," ")</f>
        <v xml:space="preserve"> </v>
      </c>
      <c r="K218" s="443" t="str">
        <f>IFERROR(VLOOKUP(C218,'נתוני רישום ומצבת'!B:I,8,0),"")</f>
        <v/>
      </c>
      <c r="L218" s="284">
        <f t="shared" si="14"/>
        <v>0</v>
      </c>
      <c r="M218" s="283" t="str">
        <f t="shared" si="12"/>
        <v>-</v>
      </c>
    </row>
    <row r="219" spans="2:13" x14ac:dyDescent="0.25">
      <c r="B219" s="280">
        <v>199</v>
      </c>
      <c r="C219" s="549" t="str" cm="1">
        <f t="array" ref="C219">IFERROR(
   INDEX('נתוני רישום ומצבת'!$B:$B,
      SMALL(
         IF(('נתוני רישום ומצבת'!A$2:A$2998='נתונים כלליים (1)'!$C$5),
         ROW('נתוני רישום ומצבת'!A$2:A$2998)),
      ROW(A199))
   ),
"")</f>
        <v/>
      </c>
      <c r="D219" s="549" t="str">
        <f>IF(C219="", "",
   IFERROR(
      IF(VLOOKUP(C219, 'נתוני רישום ומצבת'!B:J, 9, FALSE) = $F$4,
         VLOOKUP(C219, 'נתוני רישום ומצבת'!B:J, 3, FALSE),
         "המוסד לא קיים ברשות"),
   "המוסד לא קיים"))</f>
        <v/>
      </c>
      <c r="E219" s="176" t="str">
        <f>IFERROR(VLOOKUP(C219,'נתוני רישום ומצבת'!B:G,6,0),"")</f>
        <v/>
      </c>
      <c r="F219" s="281" t="str">
        <f>IFERROR(VLOOKUP(C219,'נתוני רישום ומצבת'!B:K,10,0)," ")</f>
        <v xml:space="preserve"> </v>
      </c>
      <c r="G219" s="443" t="str">
        <f>IFERROR(VLOOKUP(C219,'נתוני רישום ומצבת'!B:E,4,0)," ")</f>
        <v xml:space="preserve"> </v>
      </c>
      <c r="H219" s="444" t="str">
        <f>IFERROR(VLOOKUP(C219,'נתוני רישום ומצבת'!B:K,7,0),"")</f>
        <v/>
      </c>
      <c r="I219" s="180" t="str">
        <f t="shared" si="13"/>
        <v/>
      </c>
      <c r="J219" s="443" t="str">
        <f>IFERROR(VLOOKUP(C219,'נתוני רישום ומצבת'!B:I,5,0)," ")</f>
        <v xml:space="preserve"> </v>
      </c>
      <c r="K219" s="443" t="str">
        <f>IFERROR(VLOOKUP(C219,'נתוני רישום ומצבת'!B:I,8,0),"")</f>
        <v/>
      </c>
      <c r="L219" s="284">
        <f t="shared" si="14"/>
        <v>0</v>
      </c>
      <c r="M219" s="283" t="str">
        <f t="shared" si="12"/>
        <v>-</v>
      </c>
    </row>
    <row r="220" spans="2:13" x14ac:dyDescent="0.25">
      <c r="B220" s="280">
        <v>200</v>
      </c>
      <c r="C220" s="549" t="str" cm="1">
        <f t="array" ref="C220">IFERROR(
   INDEX('נתוני רישום ומצבת'!$B:$B,
      SMALL(
         IF(('נתוני רישום ומצבת'!A$2:A$2998='נתונים כלליים (1)'!$C$5),
         ROW('נתוני רישום ומצבת'!A$2:A$2998)),
      ROW(A200))
   ),
"")</f>
        <v/>
      </c>
      <c r="D220" s="549" t="str">
        <f>IF(C220="", "",
   IFERROR(
      IF(VLOOKUP(C220, 'נתוני רישום ומצבת'!B:J, 9, FALSE) = $F$4,
         VLOOKUP(C220, 'נתוני רישום ומצבת'!B:J, 3, FALSE),
         "המוסד לא קיים ברשות"),
   "המוסד לא קיים"))</f>
        <v/>
      </c>
      <c r="E220" s="176" t="str">
        <f>IFERROR(VLOOKUP(C220,'נתוני רישום ומצבת'!B:G,6,0),"")</f>
        <v/>
      </c>
      <c r="F220" s="281" t="str">
        <f>IFERROR(VLOOKUP(C220,'נתוני רישום ומצבת'!B:K,10,0)," ")</f>
        <v xml:space="preserve"> </v>
      </c>
      <c r="G220" s="443" t="str">
        <f>IFERROR(VLOOKUP(C220,'נתוני רישום ומצבת'!B:E,4,0)," ")</f>
        <v xml:space="preserve"> </v>
      </c>
      <c r="H220" s="444" t="str">
        <f>IFERROR(VLOOKUP(C220,'נתוני רישום ומצבת'!B:K,7,0),"")</f>
        <v/>
      </c>
      <c r="I220" s="180" t="str">
        <f t="shared" si="13"/>
        <v/>
      </c>
      <c r="J220" s="443" t="str">
        <f>IFERROR(VLOOKUP(C220,'נתוני רישום ומצבת'!B:I,5,0)," ")</f>
        <v xml:space="preserve"> </v>
      </c>
      <c r="K220" s="443" t="str">
        <f>IFERROR(VLOOKUP(C220,'נתוני רישום ומצבת'!B:I,8,0),"")</f>
        <v/>
      </c>
      <c r="L220" s="284">
        <f t="shared" si="14"/>
        <v>0</v>
      </c>
      <c r="M220" s="283" t="str">
        <f t="shared" si="12"/>
        <v>-</v>
      </c>
    </row>
    <row r="221" spans="2:13" x14ac:dyDescent="0.25">
      <c r="B221" s="280">
        <v>201</v>
      </c>
      <c r="C221" s="549" t="str" cm="1">
        <f t="array" ref="C221">IFERROR(
   INDEX('נתוני רישום ומצבת'!$B:$B,
      SMALL(
         IF(('נתוני רישום ומצבת'!A$2:A$2998='נתונים כלליים (1)'!$C$5),
         ROW('נתוני רישום ומצבת'!A$2:A$2998)),
      ROW(A201))
   ),
"")</f>
        <v/>
      </c>
      <c r="D221" s="549" t="str">
        <f>IF(C221="", "",
   IFERROR(
      IF(VLOOKUP(C221, 'נתוני רישום ומצבת'!B:J, 9, FALSE) = $F$4,
         VLOOKUP(C221, 'נתוני רישום ומצבת'!B:J, 3, FALSE),
         "המוסד לא קיים ברשות"),
   "המוסד לא קיים"))</f>
        <v/>
      </c>
      <c r="E221" s="176" t="str">
        <f>IFERROR(VLOOKUP(C221,'נתוני רישום ומצבת'!B:G,6,0),"")</f>
        <v/>
      </c>
      <c r="F221" s="281" t="str">
        <f>IFERROR(VLOOKUP(C221,'נתוני רישום ומצבת'!B:K,10,0)," ")</f>
        <v xml:space="preserve"> </v>
      </c>
      <c r="G221" s="443" t="str">
        <f>IFERROR(VLOOKUP(C221,'נתוני רישום ומצבת'!B:E,4,0)," ")</f>
        <v xml:space="preserve"> </v>
      </c>
      <c r="H221" s="444" t="str">
        <f>IFERROR(VLOOKUP(C221,'נתוני רישום ומצבת'!B:K,7,0),"")</f>
        <v/>
      </c>
      <c r="I221" s="180" t="str">
        <f t="shared" si="13"/>
        <v/>
      </c>
      <c r="J221" s="443" t="str">
        <f>IFERROR(VLOOKUP(C221,'נתוני רישום ומצבת'!B:I,5,0)," ")</f>
        <v xml:space="preserve"> </v>
      </c>
      <c r="K221" s="443" t="str">
        <f>IFERROR(VLOOKUP(C221,'נתוני רישום ומצבת'!B:I,8,0),"")</f>
        <v/>
      </c>
      <c r="L221" s="284">
        <f t="shared" si="14"/>
        <v>0</v>
      </c>
      <c r="M221" s="283" t="str">
        <f t="shared" si="12"/>
        <v>-</v>
      </c>
    </row>
    <row r="222" spans="2:13" x14ac:dyDescent="0.25">
      <c r="B222" s="280">
        <v>202</v>
      </c>
      <c r="C222" s="549" t="str" cm="1">
        <f t="array" ref="C222">IFERROR(
   INDEX('נתוני רישום ומצבת'!$B:$B,
      SMALL(
         IF(('נתוני רישום ומצבת'!A$2:A$2998='נתונים כלליים (1)'!$C$5),
         ROW('נתוני רישום ומצבת'!A$2:A$2998)),
      ROW(A202))
   ),
"")</f>
        <v/>
      </c>
      <c r="D222" s="549" t="str">
        <f>IF(C222="", "",
   IFERROR(
      IF(VLOOKUP(C222, 'נתוני רישום ומצבת'!B:J, 9, FALSE) = $F$4,
         VLOOKUP(C222, 'נתוני רישום ומצבת'!B:J, 3, FALSE),
         "המוסד לא קיים ברשות"),
   "המוסד לא קיים"))</f>
        <v/>
      </c>
      <c r="E222" s="176" t="str">
        <f>IFERROR(VLOOKUP(C222,'נתוני רישום ומצבת'!B:G,6,0),"")</f>
        <v/>
      </c>
      <c r="F222" s="281" t="str">
        <f>IFERROR(VLOOKUP(C222,'נתוני רישום ומצבת'!B:K,10,0)," ")</f>
        <v xml:space="preserve"> </v>
      </c>
      <c r="G222" s="443" t="str">
        <f>IFERROR(VLOOKUP(C222,'נתוני רישום ומצבת'!B:E,4,0)," ")</f>
        <v xml:space="preserve"> </v>
      </c>
      <c r="H222" s="444" t="str">
        <f>IFERROR(VLOOKUP(C222,'נתוני רישום ומצבת'!B:K,7,0),"")</f>
        <v/>
      </c>
      <c r="I222" s="180" t="str">
        <f t="shared" si="13"/>
        <v/>
      </c>
      <c r="J222" s="443" t="str">
        <f>IFERROR(VLOOKUP(C222,'נתוני רישום ומצבת'!B:I,5,0)," ")</f>
        <v xml:space="preserve"> </v>
      </c>
      <c r="K222" s="443" t="str">
        <f>IFERROR(VLOOKUP(C222,'נתוני רישום ומצבת'!B:I,8,0),"")</f>
        <v/>
      </c>
      <c r="L222" s="284">
        <f t="shared" si="14"/>
        <v>0</v>
      </c>
      <c r="M222" s="283" t="str">
        <f t="shared" si="12"/>
        <v>-</v>
      </c>
    </row>
    <row r="223" spans="2:13" x14ac:dyDescent="0.25">
      <c r="B223" s="280">
        <v>203</v>
      </c>
      <c r="C223" s="549" t="str" cm="1">
        <f t="array" ref="C223">IFERROR(
   INDEX('נתוני רישום ומצבת'!$B:$B,
      SMALL(
         IF(('נתוני רישום ומצבת'!A$2:A$2998='נתונים כלליים (1)'!$C$5),
         ROW('נתוני רישום ומצבת'!A$2:A$2998)),
      ROW(A203))
   ),
"")</f>
        <v/>
      </c>
      <c r="D223" s="549" t="str">
        <f>IF(C223="", "",
   IFERROR(
      IF(VLOOKUP(C223, 'נתוני רישום ומצבת'!B:J, 9, FALSE) = $F$4,
         VLOOKUP(C223, 'נתוני רישום ומצבת'!B:J, 3, FALSE),
         "המוסד לא קיים ברשות"),
   "המוסד לא קיים"))</f>
        <v/>
      </c>
      <c r="E223" s="176" t="str">
        <f>IFERROR(VLOOKUP(C223,'נתוני רישום ומצבת'!B:G,6,0),"")</f>
        <v/>
      </c>
      <c r="F223" s="281" t="str">
        <f>IFERROR(VLOOKUP(C223,'נתוני רישום ומצבת'!B:K,10,0)," ")</f>
        <v xml:space="preserve"> </v>
      </c>
      <c r="G223" s="443" t="str">
        <f>IFERROR(VLOOKUP(C223,'נתוני רישום ומצבת'!B:E,4,0)," ")</f>
        <v xml:space="preserve"> </v>
      </c>
      <c r="H223" s="444" t="str">
        <f>IFERROR(VLOOKUP(C223,'נתוני רישום ומצבת'!B:K,7,0),"")</f>
        <v/>
      </c>
      <c r="I223" s="180" t="str">
        <f t="shared" si="13"/>
        <v/>
      </c>
      <c r="J223" s="443" t="str">
        <f>IFERROR(VLOOKUP(C223,'נתוני רישום ומצבת'!B:I,5,0)," ")</f>
        <v xml:space="preserve"> </v>
      </c>
      <c r="K223" s="443" t="str">
        <f>IFERROR(VLOOKUP(C223,'נתוני רישום ומצבת'!B:I,8,0),"")</f>
        <v/>
      </c>
      <c r="L223" s="284">
        <f t="shared" si="14"/>
        <v>0</v>
      </c>
      <c r="M223" s="283" t="str">
        <f t="shared" si="12"/>
        <v>-</v>
      </c>
    </row>
    <row r="224" spans="2:13" x14ac:dyDescent="0.25">
      <c r="B224" s="280">
        <v>204</v>
      </c>
      <c r="C224" s="549" t="str" cm="1">
        <f t="array" ref="C224">IFERROR(
   INDEX('נתוני רישום ומצבת'!$B:$B,
      SMALL(
         IF(('נתוני רישום ומצבת'!A$2:A$2998='נתונים כלליים (1)'!$C$5),
         ROW('נתוני רישום ומצבת'!A$2:A$2998)),
      ROW(A204))
   ),
"")</f>
        <v/>
      </c>
      <c r="D224" s="549" t="str">
        <f>IF(C224="", "",
   IFERROR(
      IF(VLOOKUP(C224, 'נתוני רישום ומצבת'!B:J, 9, FALSE) = $F$4,
         VLOOKUP(C224, 'נתוני רישום ומצבת'!B:J, 3, FALSE),
         "המוסד לא קיים ברשות"),
   "המוסד לא קיים"))</f>
        <v/>
      </c>
      <c r="E224" s="176" t="str">
        <f>IFERROR(VLOOKUP(C224,'נתוני רישום ומצבת'!B:G,6,0),"")</f>
        <v/>
      </c>
      <c r="F224" s="281" t="str">
        <f>IFERROR(VLOOKUP(C224,'נתוני רישום ומצבת'!B:K,10,0)," ")</f>
        <v xml:space="preserve"> </v>
      </c>
      <c r="G224" s="443" t="str">
        <f>IFERROR(VLOOKUP(C224,'נתוני רישום ומצבת'!B:E,4,0)," ")</f>
        <v xml:space="preserve"> </v>
      </c>
      <c r="H224" s="444" t="str">
        <f>IFERROR(VLOOKUP(C224,'נתוני רישום ומצבת'!B:K,7,0),"")</f>
        <v/>
      </c>
      <c r="I224" s="180" t="str">
        <f t="shared" si="13"/>
        <v/>
      </c>
      <c r="J224" s="443" t="str">
        <f>IFERROR(VLOOKUP(C224,'נתוני רישום ומצבת'!B:I,5,0)," ")</f>
        <v xml:space="preserve"> </v>
      </c>
      <c r="K224" s="443" t="str">
        <f>IFERROR(VLOOKUP(C224,'נתוני רישום ומצבת'!B:I,8,0),"")</f>
        <v/>
      </c>
      <c r="L224" s="284">
        <f t="shared" si="14"/>
        <v>0</v>
      </c>
      <c r="M224" s="283" t="str">
        <f t="shared" si="12"/>
        <v>-</v>
      </c>
    </row>
    <row r="225" spans="2:13" x14ac:dyDescent="0.25">
      <c r="B225" s="280">
        <v>205</v>
      </c>
      <c r="C225" s="549" t="str" cm="1">
        <f t="array" ref="C225">IFERROR(
   INDEX('נתוני רישום ומצבת'!$B:$B,
      SMALL(
         IF(('נתוני רישום ומצבת'!A$2:A$2998='נתונים כלליים (1)'!$C$5),
         ROW('נתוני רישום ומצבת'!A$2:A$2998)),
      ROW(A205))
   ),
"")</f>
        <v/>
      </c>
      <c r="D225" s="549" t="str">
        <f>IF(C225="", "",
   IFERROR(
      IF(VLOOKUP(C225, 'נתוני רישום ומצבת'!B:J, 9, FALSE) = $F$4,
         VLOOKUP(C225, 'נתוני רישום ומצבת'!B:J, 3, FALSE),
         "המוסד לא קיים ברשות"),
   "המוסד לא קיים"))</f>
        <v/>
      </c>
      <c r="E225" s="176" t="str">
        <f>IFERROR(VLOOKUP(C225,'נתוני רישום ומצבת'!B:G,6,0),"")</f>
        <v/>
      </c>
      <c r="F225" s="281" t="str">
        <f>IFERROR(VLOOKUP(C225,'נתוני רישום ומצבת'!B:K,10,0)," ")</f>
        <v xml:space="preserve"> </v>
      </c>
      <c r="G225" s="443" t="str">
        <f>IFERROR(VLOOKUP(C225,'נתוני רישום ומצבת'!B:E,4,0)," ")</f>
        <v xml:space="preserve"> </v>
      </c>
      <c r="H225" s="444" t="str">
        <f>IFERROR(VLOOKUP(C225,'נתוני רישום ומצבת'!B:K,7,0),"")</f>
        <v/>
      </c>
      <c r="I225" s="180" t="str">
        <f t="shared" si="13"/>
        <v/>
      </c>
      <c r="J225" s="443" t="str">
        <f>IFERROR(VLOOKUP(C225,'נתוני רישום ומצבת'!B:I,5,0)," ")</f>
        <v xml:space="preserve"> </v>
      </c>
      <c r="K225" s="443" t="str">
        <f>IFERROR(VLOOKUP(C225,'נתוני רישום ומצבת'!B:I,8,0),"")</f>
        <v/>
      </c>
      <c r="L225" s="284">
        <f t="shared" si="14"/>
        <v>0</v>
      </c>
      <c r="M225" s="283" t="str">
        <f t="shared" si="12"/>
        <v>-</v>
      </c>
    </row>
    <row r="226" spans="2:13" x14ac:dyDescent="0.25">
      <c r="B226" s="280">
        <v>206</v>
      </c>
      <c r="C226" s="549" t="str" cm="1">
        <f t="array" ref="C226">IFERROR(
   INDEX('נתוני רישום ומצבת'!$B:$B,
      SMALL(
         IF(('נתוני רישום ומצבת'!A$2:A$2998='נתונים כלליים (1)'!$C$5),
         ROW('נתוני רישום ומצבת'!A$2:A$2998)),
      ROW(A206))
   ),
"")</f>
        <v/>
      </c>
      <c r="D226" s="549" t="str">
        <f>IF(C226="", "",
   IFERROR(
      IF(VLOOKUP(C226, 'נתוני רישום ומצבת'!B:J, 9, FALSE) = $F$4,
         VLOOKUP(C226, 'נתוני רישום ומצבת'!B:J, 3, FALSE),
         "המוסד לא קיים ברשות"),
   "המוסד לא קיים"))</f>
        <v/>
      </c>
      <c r="E226" s="176" t="str">
        <f>IFERROR(VLOOKUP(C226,'נתוני רישום ומצבת'!B:G,6,0),"")</f>
        <v/>
      </c>
      <c r="F226" s="281" t="str">
        <f>IFERROR(VLOOKUP(C226,'נתוני רישום ומצבת'!B:K,10,0)," ")</f>
        <v xml:space="preserve"> </v>
      </c>
      <c r="G226" s="443" t="str">
        <f>IFERROR(VLOOKUP(C226,'נתוני רישום ומצבת'!B:E,4,0)," ")</f>
        <v xml:space="preserve"> </v>
      </c>
      <c r="H226" s="444" t="str">
        <f>IFERROR(VLOOKUP(C226,'נתוני רישום ומצבת'!B:K,7,0),"")</f>
        <v/>
      </c>
      <c r="I226" s="180" t="str">
        <f t="shared" si="13"/>
        <v/>
      </c>
      <c r="J226" s="443" t="str">
        <f>IFERROR(VLOOKUP(C226,'נתוני רישום ומצבת'!B:I,5,0)," ")</f>
        <v xml:space="preserve"> </v>
      </c>
      <c r="K226" s="443" t="str">
        <f>IFERROR(VLOOKUP(C226,'נתוני רישום ומצבת'!B:I,8,0),"")</f>
        <v/>
      </c>
      <c r="L226" s="284">
        <f t="shared" si="14"/>
        <v>0</v>
      </c>
      <c r="M226" s="283" t="str">
        <f t="shared" si="12"/>
        <v>-</v>
      </c>
    </row>
    <row r="227" spans="2:13" x14ac:dyDescent="0.25">
      <c r="B227" s="280">
        <v>207</v>
      </c>
      <c r="C227" s="549" t="str" cm="1">
        <f t="array" ref="C227">IFERROR(
   INDEX('נתוני רישום ומצבת'!$B:$B,
      SMALL(
         IF(('נתוני רישום ומצבת'!A$2:A$2998='נתונים כלליים (1)'!$C$5),
         ROW('נתוני רישום ומצבת'!A$2:A$2998)),
      ROW(A207))
   ),
"")</f>
        <v/>
      </c>
      <c r="D227" s="549" t="str">
        <f>IF(C227="", "",
   IFERROR(
      IF(VLOOKUP(C227, 'נתוני רישום ומצבת'!B:J, 9, FALSE) = $F$4,
         VLOOKUP(C227, 'נתוני רישום ומצבת'!B:J, 3, FALSE),
         "המוסד לא קיים ברשות"),
   "המוסד לא קיים"))</f>
        <v/>
      </c>
      <c r="E227" s="176" t="str">
        <f>IFERROR(VLOOKUP(C227,'נתוני רישום ומצבת'!B:G,6,0),"")</f>
        <v/>
      </c>
      <c r="F227" s="281" t="str">
        <f>IFERROR(VLOOKUP(C227,'נתוני רישום ומצבת'!B:K,10,0)," ")</f>
        <v xml:space="preserve"> </v>
      </c>
      <c r="G227" s="443" t="str">
        <f>IFERROR(VLOOKUP(C227,'נתוני רישום ומצבת'!B:E,4,0)," ")</f>
        <v xml:space="preserve"> </v>
      </c>
      <c r="H227" s="444" t="str">
        <f>IFERROR(VLOOKUP(C227,'נתוני רישום ומצבת'!B:K,7,0),"")</f>
        <v/>
      </c>
      <c r="I227" s="180" t="str">
        <f t="shared" si="13"/>
        <v/>
      </c>
      <c r="J227" s="443" t="str">
        <f>IFERROR(VLOOKUP(C227,'נתוני רישום ומצבת'!B:I,5,0)," ")</f>
        <v xml:space="preserve"> </v>
      </c>
      <c r="K227" s="443" t="str">
        <f>IFERROR(VLOOKUP(C227,'נתוני רישום ומצבת'!B:I,8,0),"")</f>
        <v/>
      </c>
      <c r="L227" s="284">
        <f t="shared" si="14"/>
        <v>0</v>
      </c>
      <c r="M227" s="283" t="str">
        <f t="shared" si="12"/>
        <v>-</v>
      </c>
    </row>
    <row r="228" spans="2:13" x14ac:dyDescent="0.25">
      <c r="B228" s="280">
        <v>208</v>
      </c>
      <c r="C228" s="549" t="str" cm="1">
        <f t="array" ref="C228">IFERROR(
   INDEX('נתוני רישום ומצבת'!$B:$B,
      SMALL(
         IF(('נתוני רישום ומצבת'!A$2:A$2998='נתונים כלליים (1)'!$C$5),
         ROW('נתוני רישום ומצבת'!A$2:A$2998)),
      ROW(A208))
   ),
"")</f>
        <v/>
      </c>
      <c r="D228" s="549" t="str">
        <f>IF(C228="", "",
   IFERROR(
      IF(VLOOKUP(C228, 'נתוני רישום ומצבת'!B:J, 9, FALSE) = $F$4,
         VLOOKUP(C228, 'נתוני רישום ומצבת'!B:J, 3, FALSE),
         "המוסד לא קיים ברשות"),
   "המוסד לא קיים"))</f>
        <v/>
      </c>
      <c r="E228" s="176" t="str">
        <f>IFERROR(VLOOKUP(C228,'נתוני רישום ומצבת'!B:G,6,0),"")</f>
        <v/>
      </c>
      <c r="F228" s="281" t="str">
        <f>IFERROR(VLOOKUP(C228,'נתוני רישום ומצבת'!B:K,10,0)," ")</f>
        <v xml:space="preserve"> </v>
      </c>
      <c r="G228" s="443" t="str">
        <f>IFERROR(VLOOKUP(C228,'נתוני רישום ומצבת'!B:E,4,0)," ")</f>
        <v xml:space="preserve"> </v>
      </c>
      <c r="H228" s="444" t="str">
        <f>IFERROR(VLOOKUP(C228,'נתוני רישום ומצבת'!B:K,7,0),"")</f>
        <v/>
      </c>
      <c r="I228" s="180" t="str">
        <f t="shared" si="13"/>
        <v/>
      </c>
      <c r="J228" s="443" t="str">
        <f>IFERROR(VLOOKUP(C228,'נתוני רישום ומצבת'!B:I,5,0)," ")</f>
        <v xml:space="preserve"> </v>
      </c>
      <c r="K228" s="443" t="str">
        <f>IFERROR(VLOOKUP(C228,'נתוני רישום ומצבת'!B:I,8,0),"")</f>
        <v/>
      </c>
      <c r="L228" s="284">
        <f t="shared" si="14"/>
        <v>0</v>
      </c>
      <c r="M228" s="283" t="str">
        <f t="shared" si="12"/>
        <v>-</v>
      </c>
    </row>
    <row r="229" spans="2:13" x14ac:dyDescent="0.25">
      <c r="B229" s="280">
        <v>209</v>
      </c>
      <c r="C229" s="549" t="str" cm="1">
        <f t="array" ref="C229">IFERROR(
   INDEX('נתוני רישום ומצבת'!$B:$B,
      SMALL(
         IF(('נתוני רישום ומצבת'!A$2:A$2998='נתונים כלליים (1)'!$C$5),
         ROW('נתוני רישום ומצבת'!A$2:A$2998)),
      ROW(A209))
   ),
"")</f>
        <v/>
      </c>
      <c r="D229" s="549" t="str">
        <f>IF(C229="", "",
   IFERROR(
      IF(VLOOKUP(C229, 'נתוני רישום ומצבת'!B:J, 9, FALSE) = $F$4,
         VLOOKUP(C229, 'נתוני רישום ומצבת'!B:J, 3, FALSE),
         "המוסד לא קיים ברשות"),
   "המוסד לא קיים"))</f>
        <v/>
      </c>
      <c r="E229" s="176" t="str">
        <f>IFERROR(VLOOKUP(C229,'נתוני רישום ומצבת'!B:G,6,0),"")</f>
        <v/>
      </c>
      <c r="F229" s="281" t="str">
        <f>IFERROR(VLOOKUP(C229,'נתוני רישום ומצבת'!B:K,10,0)," ")</f>
        <v xml:space="preserve"> </v>
      </c>
      <c r="G229" s="443" t="str">
        <f>IFERROR(VLOOKUP(C229,'נתוני רישום ומצבת'!B:E,4,0)," ")</f>
        <v xml:space="preserve"> </v>
      </c>
      <c r="H229" s="444" t="str">
        <f>IFERROR(VLOOKUP(C229,'נתוני רישום ומצבת'!B:K,7,0),"")</f>
        <v/>
      </c>
      <c r="I229" s="180" t="str">
        <f t="shared" si="13"/>
        <v/>
      </c>
      <c r="J229" s="443" t="str">
        <f>IFERROR(VLOOKUP(C229,'נתוני רישום ומצבת'!B:I,5,0)," ")</f>
        <v xml:space="preserve"> </v>
      </c>
      <c r="K229" s="443" t="str">
        <f>IFERROR(VLOOKUP(C229,'נתוני רישום ומצבת'!B:I,8,0),"")</f>
        <v/>
      </c>
      <c r="L229" s="284">
        <f t="shared" si="14"/>
        <v>0</v>
      </c>
      <c r="M229" s="283" t="str">
        <f t="shared" si="12"/>
        <v>-</v>
      </c>
    </row>
    <row r="230" spans="2:13" x14ac:dyDescent="0.25">
      <c r="B230" s="280">
        <v>210</v>
      </c>
      <c r="C230" s="549" t="str" cm="1">
        <f t="array" ref="C230">IFERROR(
   INDEX('נתוני רישום ומצבת'!$B:$B,
      SMALL(
         IF(('נתוני רישום ומצבת'!A$2:A$2998='נתונים כלליים (1)'!$C$5),
         ROW('נתוני רישום ומצבת'!A$2:A$2998)),
      ROW(A210))
   ),
"")</f>
        <v/>
      </c>
      <c r="D230" s="549" t="str">
        <f>IF(C230="", "",
   IFERROR(
      IF(VLOOKUP(C230, 'נתוני רישום ומצבת'!B:J, 9, FALSE) = $F$4,
         VLOOKUP(C230, 'נתוני רישום ומצבת'!B:J, 3, FALSE),
         "המוסד לא קיים ברשות"),
   "המוסד לא קיים"))</f>
        <v/>
      </c>
      <c r="E230" s="176" t="str">
        <f>IFERROR(VLOOKUP(C230,'נתוני רישום ומצבת'!B:G,6,0),"")</f>
        <v/>
      </c>
      <c r="F230" s="281" t="str">
        <f>IFERROR(VLOOKUP(C230,'נתוני רישום ומצבת'!B:K,10,0)," ")</f>
        <v xml:space="preserve"> </v>
      </c>
      <c r="G230" s="443" t="str">
        <f>IFERROR(VLOOKUP(C230,'נתוני רישום ומצבת'!B:E,4,0)," ")</f>
        <v xml:space="preserve"> </v>
      </c>
      <c r="H230" s="444" t="str">
        <f>IFERROR(VLOOKUP(C230,'נתוני רישום ומצבת'!B:K,7,0),"")</f>
        <v/>
      </c>
      <c r="I230" s="180" t="str">
        <f t="shared" si="13"/>
        <v/>
      </c>
      <c r="J230" s="443" t="str">
        <f>IFERROR(VLOOKUP(C230,'נתוני רישום ומצבת'!B:I,5,0)," ")</f>
        <v xml:space="preserve"> </v>
      </c>
      <c r="K230" s="443" t="str">
        <f>IFERROR(VLOOKUP(C230,'נתוני רישום ומצבת'!B:I,8,0),"")</f>
        <v/>
      </c>
      <c r="L230" s="284">
        <f t="shared" si="14"/>
        <v>0</v>
      </c>
      <c r="M230" s="283" t="str">
        <f t="shared" si="12"/>
        <v>-</v>
      </c>
    </row>
    <row r="231" spans="2:13" x14ac:dyDescent="0.25">
      <c r="B231" s="280">
        <v>211</v>
      </c>
      <c r="C231" s="549" t="str" cm="1">
        <f t="array" ref="C231">IFERROR(
   INDEX('נתוני רישום ומצבת'!$B:$B,
      SMALL(
         IF(('נתוני רישום ומצבת'!A$2:A$2998='נתונים כלליים (1)'!$C$5),
         ROW('נתוני רישום ומצבת'!A$2:A$2998)),
      ROW(A211))
   ),
"")</f>
        <v/>
      </c>
      <c r="D231" s="549" t="str">
        <f>IF(C231="", "",
   IFERROR(
      IF(VLOOKUP(C231, 'נתוני רישום ומצבת'!B:J, 9, FALSE) = $F$4,
         VLOOKUP(C231, 'נתוני רישום ומצבת'!B:J, 3, FALSE),
         "המוסד לא קיים ברשות"),
   "המוסד לא קיים"))</f>
        <v/>
      </c>
      <c r="E231" s="176" t="str">
        <f>IFERROR(VLOOKUP(C231,'נתוני רישום ומצבת'!B:G,6,0),"")</f>
        <v/>
      </c>
      <c r="F231" s="281" t="str">
        <f>IFERROR(VLOOKUP(C231,'נתוני רישום ומצבת'!B:K,10,0)," ")</f>
        <v xml:space="preserve"> </v>
      </c>
      <c r="G231" s="443" t="str">
        <f>IFERROR(VLOOKUP(C231,'נתוני רישום ומצבת'!B:E,4,0)," ")</f>
        <v xml:space="preserve"> </v>
      </c>
      <c r="H231" s="444" t="str">
        <f>IFERROR(VLOOKUP(C231,'נתוני רישום ומצבת'!B:K,7,0),"")</f>
        <v/>
      </c>
      <c r="I231" s="180" t="str">
        <f t="shared" si="13"/>
        <v/>
      </c>
      <c r="J231" s="443" t="str">
        <f>IFERROR(VLOOKUP(C231,'נתוני רישום ומצבת'!B:I,5,0)," ")</f>
        <v xml:space="preserve"> </v>
      </c>
      <c r="K231" s="443" t="str">
        <f>IFERROR(VLOOKUP(C231,'נתוני רישום ומצבת'!B:I,8,0),"")</f>
        <v/>
      </c>
      <c r="L231" s="284">
        <f t="shared" si="14"/>
        <v>0</v>
      </c>
      <c r="M231" s="283" t="str">
        <f t="shared" si="12"/>
        <v>-</v>
      </c>
    </row>
    <row r="232" spans="2:13" x14ac:dyDescent="0.25">
      <c r="B232" s="280">
        <v>212</v>
      </c>
      <c r="C232" s="549" t="str" cm="1">
        <f t="array" ref="C232">IFERROR(
   INDEX('נתוני רישום ומצבת'!$B:$B,
      SMALL(
         IF(('נתוני רישום ומצבת'!A$2:A$2998='נתונים כלליים (1)'!$C$5),
         ROW('נתוני רישום ומצבת'!A$2:A$2998)),
      ROW(A212))
   ),
"")</f>
        <v/>
      </c>
      <c r="D232" s="549" t="str">
        <f>IF(C232="", "",
   IFERROR(
      IF(VLOOKUP(C232, 'נתוני רישום ומצבת'!B:J, 9, FALSE) = $F$4,
         VLOOKUP(C232, 'נתוני רישום ומצבת'!B:J, 3, FALSE),
         "המוסד לא קיים ברשות"),
   "המוסד לא קיים"))</f>
        <v/>
      </c>
      <c r="E232" s="176" t="str">
        <f>IFERROR(VLOOKUP(C232,'נתוני רישום ומצבת'!B:G,6,0),"")</f>
        <v/>
      </c>
      <c r="F232" s="281" t="str">
        <f>IFERROR(VLOOKUP(C232,'נתוני רישום ומצבת'!B:K,10,0)," ")</f>
        <v xml:space="preserve"> </v>
      </c>
      <c r="G232" s="443" t="str">
        <f>IFERROR(VLOOKUP(C232,'נתוני רישום ומצבת'!B:E,4,0)," ")</f>
        <v xml:space="preserve"> </v>
      </c>
      <c r="H232" s="444" t="str">
        <f>IFERROR(VLOOKUP(C232,'נתוני רישום ומצבת'!B:K,7,0),"")</f>
        <v/>
      </c>
      <c r="I232" s="180" t="str">
        <f t="shared" si="13"/>
        <v/>
      </c>
      <c r="J232" s="443" t="str">
        <f>IFERROR(VLOOKUP(C232,'נתוני רישום ומצבת'!B:I,5,0)," ")</f>
        <v xml:space="preserve"> </v>
      </c>
      <c r="K232" s="443" t="str">
        <f>IFERROR(VLOOKUP(C232,'נתוני רישום ומצבת'!B:I,8,0),"")</f>
        <v/>
      </c>
      <c r="L232" s="284">
        <f t="shared" si="14"/>
        <v>0</v>
      </c>
      <c r="M232" s="283" t="str">
        <f t="shared" si="12"/>
        <v>-</v>
      </c>
    </row>
    <row r="233" spans="2:13" x14ac:dyDescent="0.25">
      <c r="B233" s="280">
        <v>213</v>
      </c>
      <c r="C233" s="549" t="str" cm="1">
        <f t="array" ref="C233">IFERROR(
   INDEX('נתוני רישום ומצבת'!$B:$B,
      SMALL(
         IF(('נתוני רישום ומצבת'!A$2:A$2998='נתונים כלליים (1)'!$C$5),
         ROW('נתוני רישום ומצבת'!A$2:A$2998)),
      ROW(A213))
   ),
"")</f>
        <v/>
      </c>
      <c r="D233" s="549" t="str">
        <f>IF(C233="", "",
   IFERROR(
      IF(VLOOKUP(C233, 'נתוני רישום ומצבת'!B:J, 9, FALSE) = $F$4,
         VLOOKUP(C233, 'נתוני רישום ומצבת'!B:J, 3, FALSE),
         "המוסד לא קיים ברשות"),
   "המוסד לא קיים"))</f>
        <v/>
      </c>
      <c r="E233" s="176" t="str">
        <f>IFERROR(VLOOKUP(C233,'נתוני רישום ומצבת'!B:G,6,0),"")</f>
        <v/>
      </c>
      <c r="F233" s="281" t="str">
        <f>IFERROR(VLOOKUP(C233,'נתוני רישום ומצבת'!B:K,10,0)," ")</f>
        <v xml:space="preserve"> </v>
      </c>
      <c r="G233" s="443" t="str">
        <f>IFERROR(VLOOKUP(C233,'נתוני רישום ומצבת'!B:E,4,0)," ")</f>
        <v xml:space="preserve"> </v>
      </c>
      <c r="H233" s="444" t="str">
        <f>IFERROR(VLOOKUP(C233,'נתוני רישום ומצבת'!B:K,7,0),"")</f>
        <v/>
      </c>
      <c r="I233" s="180" t="str">
        <f t="shared" si="13"/>
        <v/>
      </c>
      <c r="J233" s="443" t="str">
        <f>IFERROR(VLOOKUP(C233,'נתוני רישום ומצבת'!B:I,5,0)," ")</f>
        <v xml:space="preserve"> </v>
      </c>
      <c r="K233" s="443" t="str">
        <f>IFERROR(VLOOKUP(C233,'נתוני רישום ומצבת'!B:I,8,0),"")</f>
        <v/>
      </c>
      <c r="L233" s="284">
        <f t="shared" si="14"/>
        <v>0</v>
      </c>
      <c r="M233" s="283" t="str">
        <f t="shared" si="12"/>
        <v>-</v>
      </c>
    </row>
    <row r="234" spans="2:13" x14ac:dyDescent="0.25">
      <c r="B234" s="280">
        <v>214</v>
      </c>
      <c r="C234" s="549" t="str" cm="1">
        <f t="array" ref="C234">IFERROR(
   INDEX('נתוני רישום ומצבת'!$B:$B,
      SMALL(
         IF(('נתוני רישום ומצבת'!A$2:A$2998='נתונים כלליים (1)'!$C$5),
         ROW('נתוני רישום ומצבת'!A$2:A$2998)),
      ROW(A214))
   ),
"")</f>
        <v/>
      </c>
      <c r="D234" s="549" t="str">
        <f>IF(C234="", "",
   IFERROR(
      IF(VLOOKUP(C234, 'נתוני רישום ומצבת'!B:J, 9, FALSE) = $F$4,
         VLOOKUP(C234, 'נתוני רישום ומצבת'!B:J, 3, FALSE),
         "המוסד לא קיים ברשות"),
   "המוסד לא קיים"))</f>
        <v/>
      </c>
      <c r="E234" s="176" t="str">
        <f>IFERROR(VLOOKUP(C234,'נתוני רישום ומצבת'!B:G,6,0),"")</f>
        <v/>
      </c>
      <c r="F234" s="281" t="str">
        <f>IFERROR(VLOOKUP(C234,'נתוני רישום ומצבת'!B:K,10,0)," ")</f>
        <v xml:space="preserve"> </v>
      </c>
      <c r="G234" s="443" t="str">
        <f>IFERROR(VLOOKUP(C234,'נתוני רישום ומצבת'!B:E,4,0)," ")</f>
        <v xml:space="preserve"> </v>
      </c>
      <c r="H234" s="444" t="str">
        <f>IFERROR(VLOOKUP(C234,'נתוני רישום ומצבת'!B:K,7,0),"")</f>
        <v/>
      </c>
      <c r="I234" s="180" t="str">
        <f t="shared" si="13"/>
        <v/>
      </c>
      <c r="J234" s="443" t="str">
        <f>IFERROR(VLOOKUP(C234,'נתוני רישום ומצבת'!B:I,5,0)," ")</f>
        <v xml:space="preserve"> </v>
      </c>
      <c r="K234" s="443" t="str">
        <f>IFERROR(VLOOKUP(C234,'נתוני רישום ומצבת'!B:I,8,0),"")</f>
        <v/>
      </c>
      <c r="L234" s="284">
        <f t="shared" si="14"/>
        <v>0</v>
      </c>
      <c r="M234" s="283" t="str">
        <f t="shared" si="12"/>
        <v>-</v>
      </c>
    </row>
    <row r="235" spans="2:13" x14ac:dyDescent="0.25">
      <c r="B235" s="280">
        <v>215</v>
      </c>
      <c r="C235" s="549" t="str" cm="1">
        <f t="array" ref="C235">IFERROR(
   INDEX('נתוני רישום ומצבת'!$B:$B,
      SMALL(
         IF(('נתוני רישום ומצבת'!A$2:A$2998='נתונים כלליים (1)'!$C$5),
         ROW('נתוני רישום ומצבת'!A$2:A$2998)),
      ROW(A215))
   ),
"")</f>
        <v/>
      </c>
      <c r="D235" s="549" t="str">
        <f>IF(C235="", "",
   IFERROR(
      IF(VLOOKUP(C235, 'נתוני רישום ומצבת'!B:J, 9, FALSE) = $F$4,
         VLOOKUP(C235, 'נתוני רישום ומצבת'!B:J, 3, FALSE),
         "המוסד לא קיים ברשות"),
   "המוסד לא קיים"))</f>
        <v/>
      </c>
      <c r="E235" s="176" t="str">
        <f>IFERROR(VLOOKUP(C235,'נתוני רישום ומצבת'!B:G,6,0),"")</f>
        <v/>
      </c>
      <c r="F235" s="281" t="str">
        <f>IFERROR(VLOOKUP(C235,'נתוני רישום ומצבת'!B:K,10,0)," ")</f>
        <v xml:space="preserve"> </v>
      </c>
      <c r="G235" s="443" t="str">
        <f>IFERROR(VLOOKUP(C235,'נתוני רישום ומצבת'!B:E,4,0)," ")</f>
        <v xml:space="preserve"> </v>
      </c>
      <c r="H235" s="444" t="str">
        <f>IFERROR(VLOOKUP(C235,'נתוני רישום ומצבת'!B:K,7,0),"")</f>
        <v/>
      </c>
      <c r="I235" s="180" t="str">
        <f t="shared" si="13"/>
        <v/>
      </c>
      <c r="J235" s="443" t="str">
        <f>IFERROR(VLOOKUP(C235,'נתוני רישום ומצבת'!B:I,5,0)," ")</f>
        <v xml:space="preserve"> </v>
      </c>
      <c r="K235" s="443" t="str">
        <f>IFERROR(VLOOKUP(C235,'נתוני רישום ומצבת'!B:I,8,0),"")</f>
        <v/>
      </c>
      <c r="L235" s="284">
        <f t="shared" si="14"/>
        <v>0</v>
      </c>
      <c r="M235" s="283" t="str">
        <f t="shared" si="12"/>
        <v>-</v>
      </c>
    </row>
    <row r="236" spans="2:13" x14ac:dyDescent="0.25">
      <c r="B236" s="280">
        <v>216</v>
      </c>
      <c r="C236" s="549" t="str" cm="1">
        <f t="array" ref="C236">IFERROR(
   INDEX('נתוני רישום ומצבת'!$B:$B,
      SMALL(
         IF(('נתוני רישום ומצבת'!A$2:A$2998='נתונים כלליים (1)'!$C$5),
         ROW('נתוני רישום ומצבת'!A$2:A$2998)),
      ROW(A216))
   ),
"")</f>
        <v/>
      </c>
      <c r="D236" s="549" t="str">
        <f>IF(C236="", "",
   IFERROR(
      IF(VLOOKUP(C236, 'נתוני רישום ומצבת'!B:J, 9, FALSE) = $F$4,
         VLOOKUP(C236, 'נתוני רישום ומצבת'!B:J, 3, FALSE),
         "המוסד לא קיים ברשות"),
   "המוסד לא קיים"))</f>
        <v/>
      </c>
      <c r="E236" s="176" t="str">
        <f>IFERROR(VLOOKUP(C236,'נתוני רישום ומצבת'!B:G,6,0),"")</f>
        <v/>
      </c>
      <c r="F236" s="281" t="str">
        <f>IFERROR(VLOOKUP(C236,'נתוני רישום ומצבת'!B:K,10,0)," ")</f>
        <v xml:space="preserve"> </v>
      </c>
      <c r="G236" s="443" t="str">
        <f>IFERROR(VLOOKUP(C236,'נתוני רישום ומצבת'!B:E,4,0)," ")</f>
        <v xml:space="preserve"> </v>
      </c>
      <c r="H236" s="444" t="str">
        <f>IFERROR(VLOOKUP(C236,'נתוני רישום ומצבת'!B:K,7,0),"")</f>
        <v/>
      </c>
      <c r="I236" s="180" t="str">
        <f t="shared" si="13"/>
        <v/>
      </c>
      <c r="J236" s="443" t="str">
        <f>IFERROR(VLOOKUP(C236,'נתוני רישום ומצבת'!B:I,5,0)," ")</f>
        <v xml:space="preserve"> </v>
      </c>
      <c r="K236" s="443" t="str">
        <f>IFERROR(VLOOKUP(C236,'נתוני רישום ומצבת'!B:I,8,0),"")</f>
        <v/>
      </c>
      <c r="L236" s="284">
        <f t="shared" si="14"/>
        <v>0</v>
      </c>
      <c r="M236" s="283" t="str">
        <f t="shared" si="12"/>
        <v>-</v>
      </c>
    </row>
    <row r="237" spans="2:13" x14ac:dyDescent="0.25">
      <c r="B237" s="280">
        <v>217</v>
      </c>
      <c r="C237" s="549" t="str" cm="1">
        <f t="array" ref="C237">IFERROR(
   INDEX('נתוני רישום ומצבת'!$B:$B,
      SMALL(
         IF(('נתוני רישום ומצבת'!A$2:A$2998='נתונים כלליים (1)'!$C$5),
         ROW('נתוני רישום ומצבת'!A$2:A$2998)),
      ROW(A217))
   ),
"")</f>
        <v/>
      </c>
      <c r="D237" s="549" t="str">
        <f>IF(C237="", "",
   IFERROR(
      IF(VLOOKUP(C237, 'נתוני רישום ומצבת'!B:J, 9, FALSE) = $F$4,
         VLOOKUP(C237, 'נתוני רישום ומצבת'!B:J, 3, FALSE),
         "המוסד לא קיים ברשות"),
   "המוסד לא קיים"))</f>
        <v/>
      </c>
      <c r="E237" s="176" t="str">
        <f>IFERROR(VLOOKUP(C237,'נתוני רישום ומצבת'!B:G,6,0),"")</f>
        <v/>
      </c>
      <c r="F237" s="281" t="str">
        <f>IFERROR(VLOOKUP(C237,'נתוני רישום ומצבת'!B:K,10,0)," ")</f>
        <v xml:space="preserve"> </v>
      </c>
      <c r="G237" s="443" t="str">
        <f>IFERROR(VLOOKUP(C237,'נתוני רישום ומצבת'!B:E,4,0)," ")</f>
        <v xml:space="preserve"> </v>
      </c>
      <c r="H237" s="444" t="str">
        <f>IFERROR(VLOOKUP(C237,'נתוני רישום ומצבת'!B:K,7,0),"")</f>
        <v/>
      </c>
      <c r="I237" s="180" t="str">
        <f t="shared" si="13"/>
        <v/>
      </c>
      <c r="J237" s="443" t="str">
        <f>IFERROR(VLOOKUP(C237,'נתוני רישום ומצבת'!B:I,5,0)," ")</f>
        <v xml:space="preserve"> </v>
      </c>
      <c r="K237" s="443" t="str">
        <f>IFERROR(VLOOKUP(C237,'נתוני רישום ומצבת'!B:I,8,0),"")</f>
        <v/>
      </c>
      <c r="L237" s="284">
        <f t="shared" si="14"/>
        <v>0</v>
      </c>
      <c r="M237" s="283" t="str">
        <f t="shared" si="12"/>
        <v>-</v>
      </c>
    </row>
    <row r="238" spans="2:13" x14ac:dyDescent="0.25">
      <c r="B238" s="280">
        <v>218</v>
      </c>
      <c r="C238" s="549" t="str" cm="1">
        <f t="array" ref="C238">IFERROR(
   INDEX('נתוני רישום ומצבת'!$B:$B,
      SMALL(
         IF(('נתוני רישום ומצבת'!A$2:A$2998='נתונים כלליים (1)'!$C$5),
         ROW('נתוני רישום ומצבת'!A$2:A$2998)),
      ROW(A218))
   ),
"")</f>
        <v/>
      </c>
      <c r="D238" s="549" t="str">
        <f>IF(C238="", "",
   IFERROR(
      IF(VLOOKUP(C238, 'נתוני רישום ומצבת'!B:J, 9, FALSE) = $F$4,
         VLOOKUP(C238, 'נתוני רישום ומצבת'!B:J, 3, FALSE),
         "המוסד לא קיים ברשות"),
   "המוסד לא קיים"))</f>
        <v/>
      </c>
      <c r="E238" s="176" t="str">
        <f>IFERROR(VLOOKUP(C238,'נתוני רישום ומצבת'!B:G,6,0),"")</f>
        <v/>
      </c>
      <c r="F238" s="281" t="str">
        <f>IFERROR(VLOOKUP(C238,'נתוני רישום ומצבת'!B:K,10,0)," ")</f>
        <v xml:space="preserve"> </v>
      </c>
      <c r="G238" s="443" t="str">
        <f>IFERROR(VLOOKUP(C238,'נתוני רישום ומצבת'!B:E,4,0)," ")</f>
        <v xml:space="preserve"> </v>
      </c>
      <c r="H238" s="444" t="str">
        <f>IFERROR(VLOOKUP(C238,'נתוני רישום ומצבת'!B:K,7,0),"")</f>
        <v/>
      </c>
      <c r="I238" s="180" t="str">
        <f t="shared" si="13"/>
        <v/>
      </c>
      <c r="J238" s="443" t="str">
        <f>IFERROR(VLOOKUP(C238,'נתוני רישום ומצבת'!B:I,5,0)," ")</f>
        <v xml:space="preserve"> </v>
      </c>
      <c r="K238" s="443" t="str">
        <f>IFERROR(VLOOKUP(C238,'נתוני רישום ומצבת'!B:I,8,0),"")</f>
        <v/>
      </c>
      <c r="L238" s="284">
        <f t="shared" si="14"/>
        <v>0</v>
      </c>
      <c r="M238" s="283" t="str">
        <f t="shared" si="12"/>
        <v>-</v>
      </c>
    </row>
    <row r="239" spans="2:13" x14ac:dyDescent="0.25">
      <c r="B239" s="280">
        <v>219</v>
      </c>
      <c r="C239" s="549" t="str" cm="1">
        <f t="array" ref="C239">IFERROR(
   INDEX('נתוני רישום ומצבת'!$B:$B,
      SMALL(
         IF(('נתוני רישום ומצבת'!A$2:A$2998='נתונים כלליים (1)'!$C$5),
         ROW('נתוני רישום ומצבת'!A$2:A$2998)),
      ROW(A219))
   ),
"")</f>
        <v/>
      </c>
      <c r="D239" s="549" t="str">
        <f>IF(C239="", "",
   IFERROR(
      IF(VLOOKUP(C239, 'נתוני רישום ומצבת'!B:J, 9, FALSE) = $F$4,
         VLOOKUP(C239, 'נתוני רישום ומצבת'!B:J, 3, FALSE),
         "המוסד לא קיים ברשות"),
   "המוסד לא קיים"))</f>
        <v/>
      </c>
      <c r="E239" s="176" t="str">
        <f>IFERROR(VLOOKUP(C239,'נתוני רישום ומצבת'!B:G,6,0),"")</f>
        <v/>
      </c>
      <c r="F239" s="281" t="str">
        <f>IFERROR(VLOOKUP(C239,'נתוני רישום ומצבת'!B:K,10,0)," ")</f>
        <v xml:space="preserve"> </v>
      </c>
      <c r="G239" s="443" t="str">
        <f>IFERROR(VLOOKUP(C239,'נתוני רישום ומצבת'!B:E,4,0)," ")</f>
        <v xml:space="preserve"> </v>
      </c>
      <c r="H239" s="444" t="str">
        <f>IFERROR(VLOOKUP(C239,'נתוני רישום ומצבת'!B:K,7,0),"")</f>
        <v/>
      </c>
      <c r="I239" s="180" t="str">
        <f t="shared" si="13"/>
        <v/>
      </c>
      <c r="J239" s="443" t="str">
        <f>IFERROR(VLOOKUP(C239,'נתוני רישום ומצבת'!B:I,5,0)," ")</f>
        <v xml:space="preserve"> </v>
      </c>
      <c r="K239" s="443" t="str">
        <f>IFERROR(VLOOKUP(C239,'נתוני רישום ומצבת'!B:I,8,0),"")</f>
        <v/>
      </c>
      <c r="L239" s="284">
        <f t="shared" si="14"/>
        <v>0</v>
      </c>
      <c r="M239" s="283" t="str">
        <f t="shared" si="12"/>
        <v>-</v>
      </c>
    </row>
    <row r="240" spans="2:13" x14ac:dyDescent="0.25">
      <c r="B240" s="280">
        <v>220</v>
      </c>
      <c r="C240" s="549" t="str" cm="1">
        <f t="array" ref="C240">IFERROR(
   INDEX('נתוני רישום ומצבת'!$B:$B,
      SMALL(
         IF(('נתוני רישום ומצבת'!A$2:A$2998='נתונים כלליים (1)'!$C$5),
         ROW('נתוני רישום ומצבת'!A$2:A$2998)),
      ROW(A220))
   ),
"")</f>
        <v/>
      </c>
      <c r="D240" s="549" t="str">
        <f>IF(C240="", "",
   IFERROR(
      IF(VLOOKUP(C240, 'נתוני רישום ומצבת'!B:J, 9, FALSE) = $F$4,
         VLOOKUP(C240, 'נתוני רישום ומצבת'!B:J, 3, FALSE),
         "המוסד לא קיים ברשות"),
   "המוסד לא קיים"))</f>
        <v/>
      </c>
      <c r="E240" s="176" t="str">
        <f>IFERROR(VLOOKUP(C240,'נתוני רישום ומצבת'!B:G,6,0),"")</f>
        <v/>
      </c>
      <c r="F240" s="281" t="str">
        <f>IFERROR(VLOOKUP(C240,'נתוני רישום ומצבת'!B:K,10,0)," ")</f>
        <v xml:space="preserve"> </v>
      </c>
      <c r="G240" s="443" t="str">
        <f>IFERROR(VLOOKUP(C240,'נתוני רישום ומצבת'!B:E,4,0)," ")</f>
        <v xml:space="preserve"> </v>
      </c>
      <c r="H240" s="444" t="str">
        <f>IFERROR(VLOOKUP(C240,'נתוני רישום ומצבת'!B:K,7,0),"")</f>
        <v/>
      </c>
      <c r="I240" s="180" t="str">
        <f t="shared" si="13"/>
        <v/>
      </c>
      <c r="J240" s="443" t="str">
        <f>IFERROR(VLOOKUP(C240,'נתוני רישום ומצבת'!B:I,5,0)," ")</f>
        <v xml:space="preserve"> </v>
      </c>
      <c r="K240" s="443" t="str">
        <f>IFERROR(VLOOKUP(C240,'נתוני רישום ומצבת'!B:I,8,0),"")</f>
        <v/>
      </c>
      <c r="L240" s="284">
        <f t="shared" si="14"/>
        <v>0</v>
      </c>
      <c r="M240" s="283" t="str">
        <f t="shared" si="12"/>
        <v>-</v>
      </c>
    </row>
    <row r="241" spans="2:13" x14ac:dyDescent="0.25">
      <c r="B241" s="280">
        <v>221</v>
      </c>
      <c r="C241" s="549" t="str" cm="1">
        <f t="array" ref="C241">IFERROR(
   INDEX('נתוני רישום ומצבת'!$B:$B,
      SMALL(
         IF(('נתוני רישום ומצבת'!A$2:A$2998='נתונים כלליים (1)'!$C$5),
         ROW('נתוני רישום ומצבת'!A$2:A$2998)),
      ROW(A221))
   ),
"")</f>
        <v/>
      </c>
      <c r="D241" s="549" t="str">
        <f>IF(C241="", "",
   IFERROR(
      IF(VLOOKUP(C241, 'נתוני רישום ומצבת'!B:J, 9, FALSE) = $F$4,
         VLOOKUP(C241, 'נתוני רישום ומצבת'!B:J, 3, FALSE),
         "המוסד לא קיים ברשות"),
   "המוסד לא קיים"))</f>
        <v/>
      </c>
      <c r="E241" s="176" t="str">
        <f>IFERROR(VLOOKUP(C241,'נתוני רישום ומצבת'!B:G,6,0),"")</f>
        <v/>
      </c>
      <c r="F241" s="281" t="str">
        <f>IFERROR(VLOOKUP(C241,'נתוני רישום ומצבת'!B:K,10,0)," ")</f>
        <v xml:space="preserve"> </v>
      </c>
      <c r="G241" s="443" t="str">
        <f>IFERROR(VLOOKUP(C241,'נתוני רישום ומצבת'!B:E,4,0)," ")</f>
        <v xml:space="preserve"> </v>
      </c>
      <c r="H241" s="444" t="str">
        <f>IFERROR(VLOOKUP(C241,'נתוני רישום ומצבת'!B:K,7,0),"")</f>
        <v/>
      </c>
      <c r="I241" s="180" t="str">
        <f t="shared" si="13"/>
        <v/>
      </c>
      <c r="J241" s="443" t="str">
        <f>IFERROR(VLOOKUP(C241,'נתוני רישום ומצבת'!B:I,5,0)," ")</f>
        <v xml:space="preserve"> </v>
      </c>
      <c r="K241" s="443" t="str">
        <f>IFERROR(VLOOKUP(C241,'נתוני רישום ומצבת'!B:I,8,0),"")</f>
        <v/>
      </c>
      <c r="L241" s="284">
        <f t="shared" si="14"/>
        <v>0</v>
      </c>
      <c r="M241" s="283" t="str">
        <f t="shared" si="12"/>
        <v>-</v>
      </c>
    </row>
    <row r="242" spans="2:13" x14ac:dyDescent="0.25">
      <c r="B242" s="280">
        <v>222</v>
      </c>
      <c r="C242" s="549" t="str" cm="1">
        <f t="array" ref="C242">IFERROR(
   INDEX('נתוני רישום ומצבת'!$B:$B,
      SMALL(
         IF(('נתוני רישום ומצבת'!A$2:A$2998='נתונים כלליים (1)'!$C$5),
         ROW('נתוני רישום ומצבת'!A$2:A$2998)),
      ROW(A222))
   ),
"")</f>
        <v/>
      </c>
      <c r="D242" s="549" t="str">
        <f>IF(C242="", "",
   IFERROR(
      IF(VLOOKUP(C242, 'נתוני רישום ומצבת'!B:J, 9, FALSE) = $F$4,
         VLOOKUP(C242, 'נתוני רישום ומצבת'!B:J, 3, FALSE),
         "המוסד לא קיים ברשות"),
   "המוסד לא קיים"))</f>
        <v/>
      </c>
      <c r="E242" s="176" t="str">
        <f>IFERROR(VLOOKUP(C242,'נתוני רישום ומצבת'!B:G,6,0),"")</f>
        <v/>
      </c>
      <c r="F242" s="281" t="str">
        <f>IFERROR(VLOOKUP(C242,'נתוני רישום ומצבת'!B:K,10,0)," ")</f>
        <v xml:space="preserve"> </v>
      </c>
      <c r="G242" s="443" t="str">
        <f>IFERROR(VLOOKUP(C242,'נתוני רישום ומצבת'!B:E,4,0)," ")</f>
        <v xml:space="preserve"> </v>
      </c>
      <c r="H242" s="444" t="str">
        <f>IFERROR(VLOOKUP(C242,'נתוני רישום ומצבת'!B:K,7,0),"")</f>
        <v/>
      </c>
      <c r="I242" s="180" t="str">
        <f t="shared" si="13"/>
        <v/>
      </c>
      <c r="J242" s="443" t="str">
        <f>IFERROR(VLOOKUP(C242,'נתוני רישום ומצבת'!B:I,5,0)," ")</f>
        <v xml:space="preserve"> </v>
      </c>
      <c r="K242" s="443" t="str">
        <f>IFERROR(VLOOKUP(C242,'נתוני רישום ומצבת'!B:I,8,0),"")</f>
        <v/>
      </c>
      <c r="L242" s="284">
        <f t="shared" si="14"/>
        <v>0</v>
      </c>
      <c r="M242" s="283" t="str">
        <f t="shared" si="12"/>
        <v>-</v>
      </c>
    </row>
    <row r="243" spans="2:13" x14ac:dyDescent="0.25">
      <c r="B243" s="280">
        <v>223</v>
      </c>
      <c r="C243" s="549" t="str" cm="1">
        <f t="array" ref="C243">IFERROR(
   INDEX('נתוני רישום ומצבת'!$B:$B,
      SMALL(
         IF(('נתוני רישום ומצבת'!A$2:A$2998='נתונים כלליים (1)'!$C$5),
         ROW('נתוני רישום ומצבת'!A$2:A$2998)),
      ROW(A223))
   ),
"")</f>
        <v/>
      </c>
      <c r="D243" s="549" t="str">
        <f>IF(C243="", "",
   IFERROR(
      IF(VLOOKUP(C243, 'נתוני רישום ומצבת'!B:J, 9, FALSE) = $F$4,
         VLOOKUP(C243, 'נתוני רישום ומצבת'!B:J, 3, FALSE),
         "המוסד לא קיים ברשות"),
   "המוסד לא קיים"))</f>
        <v/>
      </c>
      <c r="E243" s="176" t="str">
        <f>IFERROR(VLOOKUP(C243,'נתוני רישום ומצבת'!B:G,6,0),"")</f>
        <v/>
      </c>
      <c r="F243" s="281" t="str">
        <f>IFERROR(VLOOKUP(C243,'נתוני רישום ומצבת'!B:K,10,0)," ")</f>
        <v xml:space="preserve"> </v>
      </c>
      <c r="G243" s="443" t="str">
        <f>IFERROR(VLOOKUP(C243,'נתוני רישום ומצבת'!B:E,4,0)," ")</f>
        <v xml:space="preserve"> </v>
      </c>
      <c r="H243" s="444" t="str">
        <f>IFERROR(VLOOKUP(C243,'נתוני רישום ומצבת'!B:K,7,0),"")</f>
        <v/>
      </c>
      <c r="I243" s="180" t="str">
        <f t="shared" si="13"/>
        <v/>
      </c>
      <c r="J243" s="443" t="str">
        <f>IFERROR(VLOOKUP(C243,'נתוני רישום ומצבת'!B:I,5,0)," ")</f>
        <v xml:space="preserve"> </v>
      </c>
      <c r="K243" s="443" t="str">
        <f>IFERROR(VLOOKUP(C243,'נתוני רישום ומצבת'!B:I,8,0),"")</f>
        <v/>
      </c>
      <c r="L243" s="284">
        <f t="shared" si="14"/>
        <v>0</v>
      </c>
      <c r="M243" s="283" t="str">
        <f t="shared" si="12"/>
        <v>-</v>
      </c>
    </row>
    <row r="244" spans="2:13" x14ac:dyDescent="0.25">
      <c r="B244" s="280">
        <v>224</v>
      </c>
      <c r="C244" s="549" t="str" cm="1">
        <f t="array" ref="C244">IFERROR(
   INDEX('נתוני רישום ומצבת'!$B:$B,
      SMALL(
         IF(('נתוני רישום ומצבת'!A$2:A$2998='נתונים כלליים (1)'!$C$5),
         ROW('נתוני רישום ומצבת'!A$2:A$2998)),
      ROW(A224))
   ),
"")</f>
        <v/>
      </c>
      <c r="D244" s="549" t="str">
        <f>IF(C244="", "",
   IFERROR(
      IF(VLOOKUP(C244, 'נתוני רישום ומצבת'!B:J, 9, FALSE) = $F$4,
         VLOOKUP(C244, 'נתוני רישום ומצבת'!B:J, 3, FALSE),
         "המוסד לא קיים ברשות"),
   "המוסד לא קיים"))</f>
        <v/>
      </c>
      <c r="E244" s="176" t="str">
        <f>IFERROR(VLOOKUP(C244,'נתוני רישום ומצבת'!B:G,6,0),"")</f>
        <v/>
      </c>
      <c r="F244" s="281" t="str">
        <f>IFERROR(VLOOKUP(C244,'נתוני רישום ומצבת'!B:K,10,0)," ")</f>
        <v xml:space="preserve"> </v>
      </c>
      <c r="G244" s="443" t="str">
        <f>IFERROR(VLOOKUP(C244,'נתוני רישום ומצבת'!B:E,4,0)," ")</f>
        <v xml:space="preserve"> </v>
      </c>
      <c r="H244" s="444" t="str">
        <f>IFERROR(VLOOKUP(C244,'נתוני רישום ומצבת'!B:K,7,0),"")</f>
        <v/>
      </c>
      <c r="I244" s="180" t="str">
        <f t="shared" si="13"/>
        <v/>
      </c>
      <c r="J244" s="443" t="str">
        <f>IFERROR(VLOOKUP(C244,'נתוני רישום ומצבת'!B:I,5,0)," ")</f>
        <v xml:space="preserve"> </v>
      </c>
      <c r="K244" s="443" t="str">
        <f>IFERROR(VLOOKUP(C244,'נתוני רישום ומצבת'!B:I,8,0),"")</f>
        <v/>
      </c>
      <c r="L244" s="284">
        <f t="shared" si="14"/>
        <v>0</v>
      </c>
      <c r="M244" s="283" t="str">
        <f t="shared" si="12"/>
        <v>-</v>
      </c>
    </row>
    <row r="245" spans="2:13" x14ac:dyDescent="0.25">
      <c r="B245" s="280">
        <v>225</v>
      </c>
      <c r="C245" s="549" t="str" cm="1">
        <f t="array" ref="C245">IFERROR(
   INDEX('נתוני רישום ומצבת'!$B:$B,
      SMALL(
         IF(('נתוני רישום ומצבת'!A$2:A$2998='נתונים כלליים (1)'!$C$5),
         ROW('נתוני רישום ומצבת'!A$2:A$2998)),
      ROW(A225))
   ),
"")</f>
        <v/>
      </c>
      <c r="D245" s="549" t="str">
        <f>IF(C245="", "",
   IFERROR(
      IF(VLOOKUP(C245, 'נתוני רישום ומצבת'!B:J, 9, FALSE) = $F$4,
         VLOOKUP(C245, 'נתוני רישום ומצבת'!B:J, 3, FALSE),
         "המוסד לא קיים ברשות"),
   "המוסד לא קיים"))</f>
        <v/>
      </c>
      <c r="E245" s="176" t="str">
        <f>IFERROR(VLOOKUP(C245,'נתוני רישום ומצבת'!B:G,6,0),"")</f>
        <v/>
      </c>
      <c r="F245" s="281" t="str">
        <f>IFERROR(VLOOKUP(C245,'נתוני רישום ומצבת'!B:K,10,0)," ")</f>
        <v xml:space="preserve"> </v>
      </c>
      <c r="G245" s="443" t="str">
        <f>IFERROR(VLOOKUP(C245,'נתוני רישום ומצבת'!B:E,4,0)," ")</f>
        <v xml:space="preserve"> </v>
      </c>
      <c r="H245" s="444" t="str">
        <f>IFERROR(VLOOKUP(C245,'נתוני רישום ומצבת'!B:K,7,0),"")</f>
        <v/>
      </c>
      <c r="I245" s="180" t="str">
        <f t="shared" si="13"/>
        <v/>
      </c>
      <c r="J245" s="443" t="str">
        <f>IFERROR(VLOOKUP(C245,'נתוני רישום ומצבת'!B:I,5,0)," ")</f>
        <v xml:space="preserve"> </v>
      </c>
      <c r="K245" s="443" t="str">
        <f>IFERROR(VLOOKUP(C245,'נתוני רישום ומצבת'!B:I,8,0),"")</f>
        <v/>
      </c>
      <c r="L245" s="284">
        <f t="shared" si="14"/>
        <v>0</v>
      </c>
      <c r="M245" s="283" t="str">
        <f t="shared" si="12"/>
        <v>-</v>
      </c>
    </row>
    <row r="246" spans="2:13" x14ac:dyDescent="0.25">
      <c r="B246" s="280">
        <v>226</v>
      </c>
      <c r="C246" s="549" t="str" cm="1">
        <f t="array" ref="C246">IFERROR(
   INDEX('נתוני רישום ומצבת'!$B:$B,
      SMALL(
         IF(('נתוני רישום ומצבת'!A$2:A$2998='נתונים כלליים (1)'!$C$5),
         ROW('נתוני רישום ומצבת'!A$2:A$2998)),
      ROW(A226))
   ),
"")</f>
        <v/>
      </c>
      <c r="D246" s="549" t="str">
        <f>IF(C246="", "",
   IFERROR(
      IF(VLOOKUP(C246, 'נתוני רישום ומצבת'!B:J, 9, FALSE) = $F$4,
         VLOOKUP(C246, 'נתוני רישום ומצבת'!B:J, 3, FALSE),
         "המוסד לא קיים ברשות"),
   "המוסד לא קיים"))</f>
        <v/>
      </c>
      <c r="E246" s="176" t="str">
        <f>IFERROR(VLOOKUP(C246,'נתוני רישום ומצבת'!B:G,6,0),"")</f>
        <v/>
      </c>
      <c r="F246" s="281" t="str">
        <f>IFERROR(VLOOKUP(C246,'נתוני רישום ומצבת'!B:K,10,0)," ")</f>
        <v xml:space="preserve"> </v>
      </c>
      <c r="G246" s="443" t="str">
        <f>IFERROR(VLOOKUP(C246,'נתוני רישום ומצבת'!B:E,4,0)," ")</f>
        <v xml:space="preserve"> </v>
      </c>
      <c r="H246" s="444" t="str">
        <f>IFERROR(VLOOKUP(C246,'נתוני רישום ומצבת'!B:K,7,0),"")</f>
        <v/>
      </c>
      <c r="I246" s="180" t="str">
        <f t="shared" si="13"/>
        <v/>
      </c>
      <c r="J246" s="443" t="str">
        <f>IFERROR(VLOOKUP(C246,'נתוני רישום ומצבת'!B:I,5,0)," ")</f>
        <v xml:space="preserve"> </v>
      </c>
      <c r="K246" s="443" t="str">
        <f>IFERROR(VLOOKUP(C246,'נתוני רישום ומצבת'!B:I,8,0),"")</f>
        <v/>
      </c>
      <c r="L246" s="284">
        <f t="shared" si="14"/>
        <v>0</v>
      </c>
      <c r="M246" s="283" t="str">
        <f t="shared" si="12"/>
        <v>-</v>
      </c>
    </row>
    <row r="247" spans="2:13" x14ac:dyDescent="0.25">
      <c r="B247" s="280">
        <v>227</v>
      </c>
      <c r="C247" s="549" t="str" cm="1">
        <f t="array" ref="C247">IFERROR(
   INDEX('נתוני רישום ומצבת'!$B:$B,
      SMALL(
         IF(('נתוני רישום ומצבת'!A$2:A$2998='נתונים כלליים (1)'!$C$5),
         ROW('נתוני רישום ומצבת'!A$2:A$2998)),
      ROW(A227))
   ),
"")</f>
        <v/>
      </c>
      <c r="D247" s="549" t="str">
        <f>IF(C247="", "",
   IFERROR(
      IF(VLOOKUP(C247, 'נתוני רישום ומצבת'!B:J, 9, FALSE) = $F$4,
         VLOOKUP(C247, 'נתוני רישום ומצבת'!B:J, 3, FALSE),
         "המוסד לא קיים ברשות"),
   "המוסד לא קיים"))</f>
        <v/>
      </c>
      <c r="E247" s="176" t="str">
        <f>IFERROR(VLOOKUP(C247,'נתוני רישום ומצבת'!B:G,6,0),"")</f>
        <v/>
      </c>
      <c r="F247" s="281" t="str">
        <f>IFERROR(VLOOKUP(C247,'נתוני רישום ומצבת'!B:K,10,0)," ")</f>
        <v xml:space="preserve"> </v>
      </c>
      <c r="G247" s="443" t="str">
        <f>IFERROR(VLOOKUP(C247,'נתוני רישום ומצבת'!B:E,4,0)," ")</f>
        <v xml:space="preserve"> </v>
      </c>
      <c r="H247" s="444" t="str">
        <f>IFERROR(VLOOKUP(C247,'נתוני רישום ומצבת'!B:K,7,0),"")</f>
        <v/>
      </c>
      <c r="I247" s="180" t="str">
        <f t="shared" si="13"/>
        <v/>
      </c>
      <c r="J247" s="443" t="str">
        <f>IFERROR(VLOOKUP(C247,'נתוני רישום ומצבת'!B:I,5,0)," ")</f>
        <v xml:space="preserve"> </v>
      </c>
      <c r="K247" s="443" t="str">
        <f>IFERROR(VLOOKUP(C247,'נתוני רישום ומצבת'!B:I,8,0),"")</f>
        <v/>
      </c>
      <c r="L247" s="284">
        <f t="shared" si="14"/>
        <v>0</v>
      </c>
      <c r="M247" s="283" t="str">
        <f t="shared" si="12"/>
        <v>-</v>
      </c>
    </row>
    <row r="248" spans="2:13" x14ac:dyDescent="0.25">
      <c r="B248" s="280">
        <v>228</v>
      </c>
      <c r="C248" s="549" t="str" cm="1">
        <f t="array" ref="C248">IFERROR(
   INDEX('נתוני רישום ומצבת'!$B:$B,
      SMALL(
         IF(('נתוני רישום ומצבת'!A$2:A$2998='נתונים כלליים (1)'!$C$5),
         ROW('נתוני רישום ומצבת'!A$2:A$2998)),
      ROW(A228))
   ),
"")</f>
        <v/>
      </c>
      <c r="D248" s="549" t="str">
        <f>IF(C248="", "",
   IFERROR(
      IF(VLOOKUP(C248, 'נתוני רישום ומצבת'!B:J, 9, FALSE) = $F$4,
         VLOOKUP(C248, 'נתוני רישום ומצבת'!B:J, 3, FALSE),
         "המוסד לא קיים ברשות"),
   "המוסד לא קיים"))</f>
        <v/>
      </c>
      <c r="E248" s="176" t="str">
        <f>IFERROR(VLOOKUP(C248,'נתוני רישום ומצבת'!B:G,6,0),"")</f>
        <v/>
      </c>
      <c r="F248" s="281" t="str">
        <f>IFERROR(VLOOKUP(C248,'נתוני רישום ומצבת'!B:K,10,0)," ")</f>
        <v xml:space="preserve"> </v>
      </c>
      <c r="G248" s="443" t="str">
        <f>IFERROR(VLOOKUP(C248,'נתוני רישום ומצבת'!B:E,4,0)," ")</f>
        <v xml:space="preserve"> </v>
      </c>
      <c r="H248" s="444" t="str">
        <f>IFERROR(VLOOKUP(C248,'נתוני רישום ומצבת'!B:K,7,0),"")</f>
        <v/>
      </c>
      <c r="I248" s="180" t="str">
        <f t="shared" si="13"/>
        <v/>
      </c>
      <c r="J248" s="443" t="str">
        <f>IFERROR(VLOOKUP(C248,'נתוני רישום ומצבת'!B:I,5,0)," ")</f>
        <v xml:space="preserve"> </v>
      </c>
      <c r="K248" s="443" t="str">
        <f>IFERROR(VLOOKUP(C248,'נתוני רישום ומצבת'!B:I,8,0),"")</f>
        <v/>
      </c>
      <c r="L248" s="284">
        <f t="shared" si="14"/>
        <v>0</v>
      </c>
      <c r="M248" s="283" t="str">
        <f t="shared" si="12"/>
        <v>-</v>
      </c>
    </row>
    <row r="249" spans="2:13" x14ac:dyDescent="0.25">
      <c r="B249" s="280">
        <v>229</v>
      </c>
      <c r="C249" s="549" t="str" cm="1">
        <f t="array" ref="C249">IFERROR(
   INDEX('נתוני רישום ומצבת'!$B:$B,
      SMALL(
         IF(('נתוני רישום ומצבת'!A$2:A$2998='נתונים כלליים (1)'!$C$5),
         ROW('נתוני רישום ומצבת'!A$2:A$2998)),
      ROW(A229))
   ),
"")</f>
        <v/>
      </c>
      <c r="D249" s="549" t="str">
        <f>IF(C249="", "",
   IFERROR(
      IF(VLOOKUP(C249, 'נתוני רישום ומצבת'!B:J, 9, FALSE) = $F$4,
         VLOOKUP(C249, 'נתוני רישום ומצבת'!B:J, 3, FALSE),
         "המוסד לא קיים ברשות"),
   "המוסד לא קיים"))</f>
        <v/>
      </c>
      <c r="E249" s="176" t="str">
        <f>IFERROR(VLOOKUP(C249,'נתוני רישום ומצבת'!B:G,6,0),"")</f>
        <v/>
      </c>
      <c r="F249" s="281" t="str">
        <f>IFERROR(VLOOKUP(C249,'נתוני רישום ומצבת'!B:K,10,0)," ")</f>
        <v xml:space="preserve"> </v>
      </c>
      <c r="G249" s="443" t="str">
        <f>IFERROR(VLOOKUP(C249,'נתוני רישום ומצבת'!B:E,4,0)," ")</f>
        <v xml:space="preserve"> </v>
      </c>
      <c r="H249" s="444" t="str">
        <f>IFERROR(VLOOKUP(C249,'נתוני רישום ומצבת'!B:K,7,0),"")</f>
        <v/>
      </c>
      <c r="I249" s="180" t="str">
        <f t="shared" si="13"/>
        <v/>
      </c>
      <c r="J249" s="443" t="str">
        <f>IFERROR(VLOOKUP(C249,'נתוני רישום ומצבת'!B:I,5,0)," ")</f>
        <v xml:space="preserve"> </v>
      </c>
      <c r="K249" s="443" t="str">
        <f>IFERROR(VLOOKUP(C249,'נתוני רישום ומצבת'!B:I,8,0),"")</f>
        <v/>
      </c>
      <c r="L249" s="284">
        <f t="shared" si="14"/>
        <v>0</v>
      </c>
      <c r="M249" s="283" t="str">
        <f t="shared" si="12"/>
        <v>-</v>
      </c>
    </row>
    <row r="250" spans="2:13" x14ac:dyDescent="0.25">
      <c r="B250" s="280">
        <v>230</v>
      </c>
      <c r="C250" s="549" t="str" cm="1">
        <f t="array" ref="C250">IFERROR(
   INDEX('נתוני רישום ומצבת'!$B:$B,
      SMALL(
         IF(('נתוני רישום ומצבת'!A$2:A$2998='נתונים כלליים (1)'!$C$5),
         ROW('נתוני רישום ומצבת'!A$2:A$2998)),
      ROW(A230))
   ),
"")</f>
        <v/>
      </c>
      <c r="D250" s="549" t="str">
        <f>IF(C250="", "",
   IFERROR(
      IF(VLOOKUP(C250, 'נתוני רישום ומצבת'!B:J, 9, FALSE) = $F$4,
         VLOOKUP(C250, 'נתוני רישום ומצבת'!B:J, 3, FALSE),
         "המוסד לא קיים ברשות"),
   "המוסד לא קיים"))</f>
        <v/>
      </c>
      <c r="E250" s="176" t="str">
        <f>IFERROR(VLOOKUP(C250,'נתוני רישום ומצבת'!B:G,6,0),"")</f>
        <v/>
      </c>
      <c r="F250" s="281" t="str">
        <f>IFERROR(VLOOKUP(C250,'נתוני רישום ומצבת'!B:K,10,0)," ")</f>
        <v xml:space="preserve"> </v>
      </c>
      <c r="G250" s="443" t="str">
        <f>IFERROR(VLOOKUP(C250,'נתוני רישום ומצבת'!B:E,4,0)," ")</f>
        <v xml:space="preserve"> </v>
      </c>
      <c r="H250" s="444" t="str">
        <f>IFERROR(VLOOKUP(C250,'נתוני רישום ומצבת'!B:K,7,0),"")</f>
        <v/>
      </c>
      <c r="I250" s="180" t="str">
        <f t="shared" si="13"/>
        <v/>
      </c>
      <c r="J250" s="443" t="str">
        <f>IFERROR(VLOOKUP(C250,'נתוני רישום ומצבת'!B:I,5,0)," ")</f>
        <v xml:space="preserve"> </v>
      </c>
      <c r="K250" s="443" t="str">
        <f>IFERROR(VLOOKUP(C250,'נתוני רישום ומצבת'!B:I,8,0),"")</f>
        <v/>
      </c>
      <c r="L250" s="284">
        <f t="shared" si="14"/>
        <v>0</v>
      </c>
      <c r="M250" s="283" t="str">
        <f t="shared" si="12"/>
        <v>-</v>
      </c>
    </row>
    <row r="251" spans="2:13" x14ac:dyDescent="0.25">
      <c r="B251" s="280">
        <v>231</v>
      </c>
      <c r="C251" s="549" t="str" cm="1">
        <f t="array" ref="C251">IFERROR(
   INDEX('נתוני רישום ומצבת'!$B:$B,
      SMALL(
         IF(('נתוני רישום ומצבת'!A$2:A$2998='נתונים כלליים (1)'!$C$5),
         ROW('נתוני רישום ומצבת'!A$2:A$2998)),
      ROW(A231))
   ),
"")</f>
        <v/>
      </c>
      <c r="D251" s="549" t="str">
        <f>IF(C251="", "",
   IFERROR(
      IF(VLOOKUP(C251, 'נתוני רישום ומצבת'!B:J, 9, FALSE) = $F$4,
         VLOOKUP(C251, 'נתוני רישום ומצבת'!B:J, 3, FALSE),
         "המוסד לא קיים ברשות"),
   "המוסד לא קיים"))</f>
        <v/>
      </c>
      <c r="E251" s="176" t="str">
        <f>IFERROR(VLOOKUP(C251,'נתוני רישום ומצבת'!B:G,6,0),"")</f>
        <v/>
      </c>
      <c r="F251" s="281" t="str">
        <f>IFERROR(VLOOKUP(C251,'נתוני רישום ומצבת'!B:K,10,0)," ")</f>
        <v xml:space="preserve"> </v>
      </c>
      <c r="G251" s="443" t="str">
        <f>IFERROR(VLOOKUP(C251,'נתוני רישום ומצבת'!B:E,4,0)," ")</f>
        <v xml:space="preserve"> </v>
      </c>
      <c r="H251" s="444" t="str">
        <f>IFERROR(VLOOKUP(C251,'נתוני רישום ומצבת'!B:K,7,0),"")</f>
        <v/>
      </c>
      <c r="I251" s="180" t="str">
        <f t="shared" si="13"/>
        <v/>
      </c>
      <c r="J251" s="443" t="str">
        <f>IFERROR(VLOOKUP(C251,'נתוני רישום ומצבת'!B:I,5,0)," ")</f>
        <v xml:space="preserve"> </v>
      </c>
      <c r="K251" s="443" t="str">
        <f>IFERROR(VLOOKUP(C251,'נתוני רישום ומצבת'!B:I,8,0),"")</f>
        <v/>
      </c>
      <c r="L251" s="284">
        <f t="shared" si="14"/>
        <v>0</v>
      </c>
      <c r="M251" s="283" t="str">
        <f t="shared" si="12"/>
        <v>-</v>
      </c>
    </row>
    <row r="252" spans="2:13" x14ac:dyDescent="0.25">
      <c r="B252" s="280">
        <v>232</v>
      </c>
      <c r="C252" s="549" t="str" cm="1">
        <f t="array" ref="C252">IFERROR(
   INDEX('נתוני רישום ומצבת'!$B:$B,
      SMALL(
         IF(('נתוני רישום ומצבת'!A$2:A$2998='נתונים כלליים (1)'!$C$5),
         ROW('נתוני רישום ומצבת'!A$2:A$2998)),
      ROW(A232))
   ),
"")</f>
        <v/>
      </c>
      <c r="D252" s="549" t="str">
        <f>IF(C252="", "",
   IFERROR(
      IF(VLOOKUP(C252, 'נתוני רישום ומצבת'!B:J, 9, FALSE) = $F$4,
         VLOOKUP(C252, 'נתוני רישום ומצבת'!B:J, 3, FALSE),
         "המוסד לא קיים ברשות"),
   "המוסד לא קיים"))</f>
        <v/>
      </c>
      <c r="E252" s="176" t="str">
        <f>IFERROR(VLOOKUP(C252,'נתוני רישום ומצבת'!B:G,6,0),"")</f>
        <v/>
      </c>
      <c r="F252" s="281" t="str">
        <f>IFERROR(VLOOKUP(C252,'נתוני רישום ומצבת'!B:K,10,0)," ")</f>
        <v xml:space="preserve"> </v>
      </c>
      <c r="G252" s="443" t="str">
        <f>IFERROR(VLOOKUP(C252,'נתוני רישום ומצבת'!B:E,4,0)," ")</f>
        <v xml:space="preserve"> </v>
      </c>
      <c r="H252" s="444" t="str">
        <f>IFERROR(VLOOKUP(C252,'נתוני רישום ומצבת'!B:K,7,0),"")</f>
        <v/>
      </c>
      <c r="I252" s="180" t="str">
        <f t="shared" si="13"/>
        <v/>
      </c>
      <c r="J252" s="443" t="str">
        <f>IFERROR(VLOOKUP(C252,'נתוני רישום ומצבת'!B:I,5,0)," ")</f>
        <v xml:space="preserve"> </v>
      </c>
      <c r="K252" s="443" t="str">
        <f>IFERROR(VLOOKUP(C252,'נתוני רישום ומצבת'!B:I,8,0),"")</f>
        <v/>
      </c>
      <c r="L252" s="284">
        <f t="shared" si="14"/>
        <v>0</v>
      </c>
      <c r="M252" s="283" t="str">
        <f t="shared" si="12"/>
        <v>-</v>
      </c>
    </row>
    <row r="253" spans="2:13" x14ac:dyDescent="0.25">
      <c r="B253" s="280">
        <v>233</v>
      </c>
      <c r="C253" s="549" t="str" cm="1">
        <f t="array" ref="C253">IFERROR(
   INDEX('נתוני רישום ומצבת'!$B:$B,
      SMALL(
         IF(('נתוני רישום ומצבת'!A$2:A$2998='נתונים כלליים (1)'!$C$5),
         ROW('נתוני רישום ומצבת'!A$2:A$2998)),
      ROW(A233))
   ),
"")</f>
        <v/>
      </c>
      <c r="D253" s="549" t="str">
        <f>IF(C253="", "",
   IFERROR(
      IF(VLOOKUP(C253, 'נתוני רישום ומצבת'!B:J, 9, FALSE) = $F$4,
         VLOOKUP(C253, 'נתוני רישום ומצבת'!B:J, 3, FALSE),
         "המוסד לא קיים ברשות"),
   "המוסד לא קיים"))</f>
        <v/>
      </c>
      <c r="E253" s="176" t="str">
        <f>IFERROR(VLOOKUP(C253,'נתוני רישום ומצבת'!B:G,6,0),"")</f>
        <v/>
      </c>
      <c r="F253" s="281" t="str">
        <f>IFERROR(VLOOKUP(C253,'נתוני רישום ומצבת'!B:K,10,0)," ")</f>
        <v xml:space="preserve"> </v>
      </c>
      <c r="G253" s="443" t="str">
        <f>IFERROR(VLOOKUP(C253,'נתוני רישום ומצבת'!B:E,4,0)," ")</f>
        <v xml:space="preserve"> </v>
      </c>
      <c r="H253" s="444" t="str">
        <f>IFERROR(VLOOKUP(C253,'נתוני רישום ומצבת'!B:K,7,0),"")</f>
        <v/>
      </c>
      <c r="I253" s="180" t="str">
        <f t="shared" si="13"/>
        <v/>
      </c>
      <c r="J253" s="443" t="str">
        <f>IFERROR(VLOOKUP(C253,'נתוני רישום ומצבת'!B:I,5,0)," ")</f>
        <v xml:space="preserve"> </v>
      </c>
      <c r="K253" s="443" t="str">
        <f>IFERROR(VLOOKUP(C253,'נתוני רישום ומצבת'!B:I,8,0),"")</f>
        <v/>
      </c>
      <c r="L253" s="284">
        <f t="shared" si="14"/>
        <v>0</v>
      </c>
      <c r="M253" s="283" t="str">
        <f t="shared" si="12"/>
        <v>-</v>
      </c>
    </row>
    <row r="254" spans="2:13" x14ac:dyDescent="0.25">
      <c r="B254" s="280">
        <v>234</v>
      </c>
      <c r="C254" s="549" t="str" cm="1">
        <f t="array" ref="C254">IFERROR(
   INDEX('נתוני רישום ומצבת'!$B:$B,
      SMALL(
         IF(('נתוני רישום ומצבת'!A$2:A$2998='נתונים כלליים (1)'!$C$5),
         ROW('נתוני רישום ומצבת'!A$2:A$2998)),
      ROW(A234))
   ),
"")</f>
        <v/>
      </c>
      <c r="D254" s="549" t="str">
        <f>IF(C254="", "",
   IFERROR(
      IF(VLOOKUP(C254, 'נתוני רישום ומצבת'!B:J, 9, FALSE) = $F$4,
         VLOOKUP(C254, 'נתוני רישום ומצבת'!B:J, 3, FALSE),
         "המוסד לא קיים ברשות"),
   "המוסד לא קיים"))</f>
        <v/>
      </c>
      <c r="E254" s="176" t="str">
        <f>IFERROR(VLOOKUP(C254,'נתוני רישום ומצבת'!B:G,6,0),"")</f>
        <v/>
      </c>
      <c r="F254" s="281" t="str">
        <f>IFERROR(VLOOKUP(C254,'נתוני רישום ומצבת'!B:K,10,0)," ")</f>
        <v xml:space="preserve"> </v>
      </c>
      <c r="G254" s="443" t="str">
        <f>IFERROR(VLOOKUP(C254,'נתוני רישום ומצבת'!B:E,4,0)," ")</f>
        <v xml:space="preserve"> </v>
      </c>
      <c r="H254" s="444" t="str">
        <f>IFERROR(VLOOKUP(C254,'נתוני רישום ומצבת'!B:K,7,0),"")</f>
        <v/>
      </c>
      <c r="I254" s="180" t="str">
        <f t="shared" si="13"/>
        <v/>
      </c>
      <c r="J254" s="443" t="str">
        <f>IFERROR(VLOOKUP(C254,'נתוני רישום ומצבת'!B:I,5,0)," ")</f>
        <v xml:space="preserve"> </v>
      </c>
      <c r="K254" s="443" t="str">
        <f>IFERROR(VLOOKUP(C254,'נתוני רישום ומצבת'!B:I,8,0),"")</f>
        <v/>
      </c>
      <c r="L254" s="284">
        <f t="shared" si="14"/>
        <v>0</v>
      </c>
      <c r="M254" s="283" t="str">
        <f t="shared" si="12"/>
        <v>-</v>
      </c>
    </row>
    <row r="255" spans="2:13" x14ac:dyDescent="0.25">
      <c r="B255" s="280">
        <v>235</v>
      </c>
      <c r="C255" s="549" t="str" cm="1">
        <f t="array" ref="C255">IFERROR(
   INDEX('נתוני רישום ומצבת'!$B:$B,
      SMALL(
         IF(('נתוני רישום ומצבת'!A$2:A$2998='נתונים כלליים (1)'!$C$5),
         ROW('נתוני רישום ומצבת'!A$2:A$2998)),
      ROW(A235))
   ),
"")</f>
        <v/>
      </c>
      <c r="D255" s="549" t="str">
        <f>IF(C255="", "",
   IFERROR(
      IF(VLOOKUP(C255, 'נתוני רישום ומצבת'!B:J, 9, FALSE) = $F$4,
         VLOOKUP(C255, 'נתוני רישום ומצבת'!B:J, 3, FALSE),
         "המוסד לא קיים ברשות"),
   "המוסד לא קיים"))</f>
        <v/>
      </c>
      <c r="E255" s="176" t="str">
        <f>IFERROR(VLOOKUP(C255,'נתוני רישום ומצבת'!B:G,6,0),"")</f>
        <v/>
      </c>
      <c r="F255" s="281" t="str">
        <f>IFERROR(VLOOKUP(C255,'נתוני רישום ומצבת'!B:K,10,0)," ")</f>
        <v xml:space="preserve"> </v>
      </c>
      <c r="G255" s="443" t="str">
        <f>IFERROR(VLOOKUP(C255,'נתוני רישום ומצבת'!B:E,4,0)," ")</f>
        <v xml:space="preserve"> </v>
      </c>
      <c r="H255" s="444" t="str">
        <f>IFERROR(VLOOKUP(C255,'נתוני רישום ומצבת'!B:K,7,0),"")</f>
        <v/>
      </c>
      <c r="I255" s="180" t="str">
        <f t="shared" si="13"/>
        <v/>
      </c>
      <c r="J255" s="443" t="str">
        <f>IFERROR(VLOOKUP(C255,'נתוני רישום ומצבת'!B:I,5,0)," ")</f>
        <v xml:space="preserve"> </v>
      </c>
      <c r="K255" s="443" t="str">
        <f>IFERROR(VLOOKUP(C255,'נתוני רישום ומצבת'!B:I,8,0),"")</f>
        <v/>
      </c>
      <c r="L255" s="284">
        <f t="shared" si="14"/>
        <v>0</v>
      </c>
      <c r="M255" s="283" t="str">
        <f t="shared" si="12"/>
        <v>-</v>
      </c>
    </row>
    <row r="256" spans="2:13" x14ac:dyDescent="0.25">
      <c r="B256" s="280">
        <v>236</v>
      </c>
      <c r="C256" s="549" t="str" cm="1">
        <f t="array" ref="C256">IFERROR(
   INDEX('נתוני רישום ומצבת'!$B:$B,
      SMALL(
         IF(('נתוני רישום ומצבת'!A$2:A$2998='נתונים כלליים (1)'!$C$5),
         ROW('נתוני רישום ומצבת'!A$2:A$2998)),
      ROW(A236))
   ),
"")</f>
        <v/>
      </c>
      <c r="D256" s="549" t="str">
        <f>IF(C256="", "",
   IFERROR(
      IF(VLOOKUP(C256, 'נתוני רישום ומצבת'!B:J, 9, FALSE) = $F$4,
         VLOOKUP(C256, 'נתוני רישום ומצבת'!B:J, 3, FALSE),
         "המוסד לא קיים ברשות"),
   "המוסד לא קיים"))</f>
        <v/>
      </c>
      <c r="E256" s="176" t="str">
        <f>IFERROR(VLOOKUP(C256,'נתוני רישום ומצבת'!B:G,6,0),"")</f>
        <v/>
      </c>
      <c r="F256" s="281" t="str">
        <f>IFERROR(VLOOKUP(C256,'נתוני רישום ומצבת'!B:K,10,0)," ")</f>
        <v xml:space="preserve"> </v>
      </c>
      <c r="G256" s="443" t="str">
        <f>IFERROR(VLOOKUP(C256,'נתוני רישום ומצבת'!B:E,4,0)," ")</f>
        <v xml:space="preserve"> </v>
      </c>
      <c r="H256" s="444" t="str">
        <f>IFERROR(VLOOKUP(C256,'נתוני רישום ומצבת'!B:K,7,0),"")</f>
        <v/>
      </c>
      <c r="I256" s="180" t="str">
        <f t="shared" si="13"/>
        <v/>
      </c>
      <c r="J256" s="443" t="str">
        <f>IFERROR(VLOOKUP(C256,'נתוני רישום ומצבת'!B:I,5,0)," ")</f>
        <v xml:space="preserve"> </v>
      </c>
      <c r="K256" s="443" t="str">
        <f>IFERROR(VLOOKUP(C256,'נתוני רישום ומצבת'!B:I,8,0),"")</f>
        <v/>
      </c>
      <c r="L256" s="284">
        <f t="shared" si="14"/>
        <v>0</v>
      </c>
      <c r="M256" s="283" t="str">
        <f t="shared" si="12"/>
        <v>-</v>
      </c>
    </row>
    <row r="257" spans="2:13" x14ac:dyDescent="0.25">
      <c r="B257" s="280">
        <v>237</v>
      </c>
      <c r="C257" s="549" t="str" cm="1">
        <f t="array" ref="C257">IFERROR(
   INDEX('נתוני רישום ומצבת'!$B:$B,
      SMALL(
         IF(('נתוני רישום ומצבת'!A$2:A$2998='נתונים כלליים (1)'!$C$5),
         ROW('נתוני רישום ומצבת'!A$2:A$2998)),
      ROW(A237))
   ),
"")</f>
        <v/>
      </c>
      <c r="D257" s="549" t="str">
        <f>IF(C257="", "",
   IFERROR(
      IF(VLOOKUP(C257, 'נתוני רישום ומצבת'!B:J, 9, FALSE) = $F$4,
         VLOOKUP(C257, 'נתוני רישום ומצבת'!B:J, 3, FALSE),
         "המוסד לא קיים ברשות"),
   "המוסד לא קיים"))</f>
        <v/>
      </c>
      <c r="E257" s="176" t="str">
        <f>IFERROR(VLOOKUP(C257,'נתוני רישום ומצבת'!B:G,6,0),"")</f>
        <v/>
      </c>
      <c r="F257" s="281" t="str">
        <f>IFERROR(VLOOKUP(C257,'נתוני רישום ומצבת'!B:K,10,0)," ")</f>
        <v xml:space="preserve"> </v>
      </c>
      <c r="G257" s="443" t="str">
        <f>IFERROR(VLOOKUP(C257,'נתוני רישום ומצבת'!B:E,4,0)," ")</f>
        <v xml:space="preserve"> </v>
      </c>
      <c r="H257" s="444" t="str">
        <f>IFERROR(VLOOKUP(C257,'נתוני רישום ומצבת'!B:K,7,0),"")</f>
        <v/>
      </c>
      <c r="I257" s="180" t="str">
        <f t="shared" si="13"/>
        <v/>
      </c>
      <c r="J257" s="443" t="str">
        <f>IFERROR(VLOOKUP(C257,'נתוני רישום ומצבת'!B:I,5,0)," ")</f>
        <v xml:space="preserve"> </v>
      </c>
      <c r="K257" s="443" t="str">
        <f>IFERROR(VLOOKUP(C257,'נתוני רישום ומצבת'!B:I,8,0),"")</f>
        <v/>
      </c>
      <c r="L257" s="284">
        <f t="shared" si="14"/>
        <v>0</v>
      </c>
      <c r="M257" s="283" t="str">
        <f t="shared" si="12"/>
        <v>-</v>
      </c>
    </row>
    <row r="258" spans="2:13" x14ac:dyDescent="0.25">
      <c r="B258" s="280">
        <v>238</v>
      </c>
      <c r="C258" s="549" t="str" cm="1">
        <f t="array" ref="C258">IFERROR(
   INDEX('נתוני רישום ומצבת'!$B:$B,
      SMALL(
         IF(('נתוני רישום ומצבת'!A$2:A$2998='נתונים כלליים (1)'!$C$5),
         ROW('נתוני רישום ומצבת'!A$2:A$2998)),
      ROW(A238))
   ),
"")</f>
        <v/>
      </c>
      <c r="D258" s="549" t="str">
        <f>IF(C258="", "",
   IFERROR(
      IF(VLOOKUP(C258, 'נתוני רישום ומצבת'!B:J, 9, FALSE) = $F$4,
         VLOOKUP(C258, 'נתוני רישום ומצבת'!B:J, 3, FALSE),
         "המוסד לא קיים ברשות"),
   "המוסד לא קיים"))</f>
        <v/>
      </c>
      <c r="E258" s="176" t="str">
        <f>IFERROR(VLOOKUP(C258,'נתוני רישום ומצבת'!B:G,6,0),"")</f>
        <v/>
      </c>
      <c r="F258" s="281" t="str">
        <f>IFERROR(VLOOKUP(C258,'נתוני רישום ומצבת'!B:K,10,0)," ")</f>
        <v xml:space="preserve"> </v>
      </c>
      <c r="G258" s="443" t="str">
        <f>IFERROR(VLOOKUP(C258,'נתוני רישום ומצבת'!B:E,4,0)," ")</f>
        <v xml:space="preserve"> </v>
      </c>
      <c r="H258" s="444" t="str">
        <f>IFERROR(VLOOKUP(C258,'נתוני רישום ומצבת'!B:K,7,0),"")</f>
        <v/>
      </c>
      <c r="I258" s="180" t="str">
        <f t="shared" si="13"/>
        <v/>
      </c>
      <c r="J258" s="443" t="str">
        <f>IFERROR(VLOOKUP(C258,'נתוני רישום ומצבת'!B:I,5,0)," ")</f>
        <v xml:space="preserve"> </v>
      </c>
      <c r="K258" s="443" t="str">
        <f>IFERROR(VLOOKUP(C258,'נתוני רישום ומצבת'!B:I,8,0),"")</f>
        <v/>
      </c>
      <c r="L258" s="284">
        <f t="shared" si="14"/>
        <v>0</v>
      </c>
      <c r="M258" s="283" t="str">
        <f t="shared" si="12"/>
        <v>-</v>
      </c>
    </row>
    <row r="259" spans="2:13" x14ac:dyDescent="0.25">
      <c r="B259" s="280">
        <v>239</v>
      </c>
      <c r="C259" s="549" t="str" cm="1">
        <f t="array" ref="C259">IFERROR(
   INDEX('נתוני רישום ומצבת'!$B:$B,
      SMALL(
         IF(('נתוני רישום ומצבת'!A$2:A$2998='נתונים כלליים (1)'!$C$5),
         ROW('נתוני רישום ומצבת'!A$2:A$2998)),
      ROW(A239))
   ),
"")</f>
        <v/>
      </c>
      <c r="D259" s="549" t="str">
        <f>IF(C259="", "",
   IFERROR(
      IF(VLOOKUP(C259, 'נתוני רישום ומצבת'!B:J, 9, FALSE) = $F$4,
         VLOOKUP(C259, 'נתוני רישום ומצבת'!B:J, 3, FALSE),
         "המוסד לא קיים ברשות"),
   "המוסד לא קיים"))</f>
        <v/>
      </c>
      <c r="E259" s="176" t="str">
        <f>IFERROR(VLOOKUP(C259,'נתוני רישום ומצבת'!B:G,6,0),"")</f>
        <v/>
      </c>
      <c r="F259" s="281" t="str">
        <f>IFERROR(VLOOKUP(C259,'נתוני רישום ומצבת'!B:K,10,0)," ")</f>
        <v xml:space="preserve"> </v>
      </c>
      <c r="G259" s="443" t="str">
        <f>IFERROR(VLOOKUP(C259,'נתוני רישום ומצבת'!B:E,4,0)," ")</f>
        <v xml:space="preserve"> </v>
      </c>
      <c r="H259" s="444" t="str">
        <f>IFERROR(VLOOKUP(C259,'נתוני רישום ומצבת'!B:K,7,0),"")</f>
        <v/>
      </c>
      <c r="I259" s="180" t="str">
        <f t="shared" si="13"/>
        <v/>
      </c>
      <c r="J259" s="443" t="str">
        <f>IFERROR(VLOOKUP(C259,'נתוני רישום ומצבת'!B:I,5,0)," ")</f>
        <v xml:space="preserve"> </v>
      </c>
      <c r="K259" s="443" t="str">
        <f>IFERROR(VLOOKUP(C259,'נתוני רישום ומצבת'!B:I,8,0),"")</f>
        <v/>
      </c>
      <c r="L259" s="284">
        <f t="shared" si="14"/>
        <v>0</v>
      </c>
      <c r="M259" s="283" t="str">
        <f t="shared" si="12"/>
        <v>-</v>
      </c>
    </row>
    <row r="260" spans="2:13" x14ac:dyDescent="0.25">
      <c r="B260" s="280">
        <v>240</v>
      </c>
      <c r="C260" s="549" t="str" cm="1">
        <f t="array" ref="C260">IFERROR(
   INDEX('נתוני רישום ומצבת'!$B:$B,
      SMALL(
         IF(('נתוני רישום ומצבת'!A$2:A$2998='נתונים כלליים (1)'!$C$5),
         ROW('נתוני רישום ומצבת'!A$2:A$2998)),
      ROW(A240))
   ),
"")</f>
        <v/>
      </c>
      <c r="D260" s="549" t="str">
        <f>IF(C260="", "",
   IFERROR(
      IF(VLOOKUP(C260, 'נתוני רישום ומצבת'!B:J, 9, FALSE) = $F$4,
         VLOOKUP(C260, 'נתוני רישום ומצבת'!B:J, 3, FALSE),
         "המוסד לא קיים ברשות"),
   "המוסד לא קיים"))</f>
        <v/>
      </c>
      <c r="E260" s="176" t="str">
        <f>IFERROR(VLOOKUP(C260,'נתוני רישום ומצבת'!B:G,6,0),"")</f>
        <v/>
      </c>
      <c r="F260" s="281" t="str">
        <f>IFERROR(VLOOKUP(C260,'נתוני רישום ומצבת'!B:K,10,0)," ")</f>
        <v xml:space="preserve"> </v>
      </c>
      <c r="G260" s="443" t="str">
        <f>IFERROR(VLOOKUP(C260,'נתוני רישום ומצבת'!B:E,4,0)," ")</f>
        <v xml:space="preserve"> </v>
      </c>
      <c r="H260" s="444" t="str">
        <f>IFERROR(VLOOKUP(C260,'נתוני רישום ומצבת'!B:K,7,0),"")</f>
        <v/>
      </c>
      <c r="I260" s="180" t="str">
        <f t="shared" si="13"/>
        <v/>
      </c>
      <c r="J260" s="443" t="str">
        <f>IFERROR(VLOOKUP(C260,'נתוני רישום ומצבת'!B:I,5,0)," ")</f>
        <v xml:space="preserve"> </v>
      </c>
      <c r="K260" s="443" t="str">
        <f>IFERROR(VLOOKUP(C260,'נתוני רישום ומצבת'!B:I,8,0),"")</f>
        <v/>
      </c>
      <c r="L260" s="284">
        <f t="shared" si="14"/>
        <v>0</v>
      </c>
      <c r="M260" s="283" t="str">
        <f t="shared" si="12"/>
        <v>-</v>
      </c>
    </row>
    <row r="261" spans="2:13" x14ac:dyDescent="0.25">
      <c r="B261" s="280">
        <v>241</v>
      </c>
      <c r="C261" s="549" t="str" cm="1">
        <f t="array" ref="C261">IFERROR(
   INDEX('נתוני רישום ומצבת'!$B:$B,
      SMALL(
         IF(('נתוני רישום ומצבת'!A$2:A$2998='נתונים כלליים (1)'!$C$5),
         ROW('נתוני רישום ומצבת'!A$2:A$2998)),
      ROW(A241))
   ),
"")</f>
        <v/>
      </c>
      <c r="D261" s="549" t="str">
        <f>IF(C261="", "",
   IFERROR(
      IF(VLOOKUP(C261, 'נתוני רישום ומצבת'!B:J, 9, FALSE) = $F$4,
         VLOOKUP(C261, 'נתוני רישום ומצבת'!B:J, 3, FALSE),
         "המוסד לא קיים ברשות"),
   "המוסד לא קיים"))</f>
        <v/>
      </c>
      <c r="E261" s="176" t="str">
        <f>IFERROR(VLOOKUP(C261,'נתוני רישום ומצבת'!B:G,6,0),"")</f>
        <v/>
      </c>
      <c r="F261" s="281" t="str">
        <f>IFERROR(VLOOKUP(C261,'נתוני רישום ומצבת'!B:K,10,0)," ")</f>
        <v xml:space="preserve"> </v>
      </c>
      <c r="G261" s="443" t="str">
        <f>IFERROR(VLOOKUP(C261,'נתוני רישום ומצבת'!B:E,4,0)," ")</f>
        <v xml:space="preserve"> </v>
      </c>
      <c r="H261" s="444" t="str">
        <f>IFERROR(VLOOKUP(C261,'נתוני רישום ומצבת'!B:K,7,0),"")</f>
        <v/>
      </c>
      <c r="I261" s="180" t="str">
        <f t="shared" si="13"/>
        <v/>
      </c>
      <c r="J261" s="443" t="str">
        <f>IFERROR(VLOOKUP(C261,'נתוני רישום ומצבת'!B:I,5,0)," ")</f>
        <v xml:space="preserve"> </v>
      </c>
      <c r="K261" s="443" t="str">
        <f>IFERROR(VLOOKUP(C261,'נתוני רישום ומצבת'!B:I,8,0),"")</f>
        <v/>
      </c>
      <c r="L261" s="284">
        <f t="shared" si="14"/>
        <v>0</v>
      </c>
      <c r="M261" s="283" t="str">
        <f t="shared" si="12"/>
        <v>-</v>
      </c>
    </row>
    <row r="262" spans="2:13" x14ac:dyDescent="0.25">
      <c r="B262" s="280">
        <v>242</v>
      </c>
      <c r="C262" s="549" t="str" cm="1">
        <f t="array" ref="C262">IFERROR(
   INDEX('נתוני רישום ומצבת'!$B:$B,
      SMALL(
         IF(('נתוני רישום ומצבת'!A$2:A$2998='נתונים כלליים (1)'!$C$5),
         ROW('נתוני רישום ומצבת'!A$2:A$2998)),
      ROW(A242))
   ),
"")</f>
        <v/>
      </c>
      <c r="D262" s="549" t="str">
        <f>IF(C262="", "",
   IFERROR(
      IF(VLOOKUP(C262, 'נתוני רישום ומצבת'!B:J, 9, FALSE) = $F$4,
         VLOOKUP(C262, 'נתוני רישום ומצבת'!B:J, 3, FALSE),
         "המוסד לא קיים ברשות"),
   "המוסד לא קיים"))</f>
        <v/>
      </c>
      <c r="E262" s="176" t="str">
        <f>IFERROR(VLOOKUP(C262,'נתוני רישום ומצבת'!B:G,6,0),"")</f>
        <v/>
      </c>
      <c r="F262" s="281" t="str">
        <f>IFERROR(VLOOKUP(C262,'נתוני רישום ומצבת'!B:K,10,0)," ")</f>
        <v xml:space="preserve"> </v>
      </c>
      <c r="G262" s="443" t="str">
        <f>IFERROR(VLOOKUP(C262,'נתוני רישום ומצבת'!B:E,4,0)," ")</f>
        <v xml:space="preserve"> </v>
      </c>
      <c r="H262" s="444" t="str">
        <f>IFERROR(VLOOKUP(C262,'נתוני רישום ומצבת'!B:K,7,0),"")</f>
        <v/>
      </c>
      <c r="I262" s="180" t="str">
        <f t="shared" si="13"/>
        <v/>
      </c>
      <c r="J262" s="443" t="str">
        <f>IFERROR(VLOOKUP(C262,'נתוני רישום ומצבת'!B:I,5,0)," ")</f>
        <v xml:space="preserve"> </v>
      </c>
      <c r="K262" s="443" t="str">
        <f>IFERROR(VLOOKUP(C262,'נתוני רישום ומצבת'!B:I,8,0),"")</f>
        <v/>
      </c>
      <c r="L262" s="284">
        <f t="shared" si="14"/>
        <v>0</v>
      </c>
      <c r="M262" s="283" t="str">
        <f t="shared" si="12"/>
        <v>-</v>
      </c>
    </row>
    <row r="263" spans="2:13" x14ac:dyDescent="0.25">
      <c r="B263" s="280">
        <v>243</v>
      </c>
      <c r="C263" s="549" t="str" cm="1">
        <f t="array" ref="C263">IFERROR(
   INDEX('נתוני רישום ומצבת'!$B:$B,
      SMALL(
         IF(('נתוני רישום ומצבת'!A$2:A$2998='נתונים כלליים (1)'!$C$5),
         ROW('נתוני רישום ומצבת'!A$2:A$2998)),
      ROW(A243))
   ),
"")</f>
        <v/>
      </c>
      <c r="D263" s="549" t="str">
        <f>IF(C263="", "",
   IFERROR(
      IF(VLOOKUP(C263, 'נתוני רישום ומצבת'!B:J, 9, FALSE) = $F$4,
         VLOOKUP(C263, 'נתוני רישום ומצבת'!B:J, 3, FALSE),
         "המוסד לא קיים ברשות"),
   "המוסד לא קיים"))</f>
        <v/>
      </c>
      <c r="E263" s="176" t="str">
        <f>IFERROR(VLOOKUP(C263,'נתוני רישום ומצבת'!B:G,6,0),"")</f>
        <v/>
      </c>
      <c r="F263" s="281" t="str">
        <f>IFERROR(VLOOKUP(C263,'נתוני רישום ומצבת'!B:K,10,0)," ")</f>
        <v xml:space="preserve"> </v>
      </c>
      <c r="G263" s="443" t="str">
        <f>IFERROR(VLOOKUP(C263,'נתוני רישום ומצבת'!B:E,4,0)," ")</f>
        <v xml:space="preserve"> </v>
      </c>
      <c r="H263" s="444" t="str">
        <f>IFERROR(VLOOKUP(C263,'נתוני רישום ומצבת'!B:K,7,0),"")</f>
        <v/>
      </c>
      <c r="I263" s="180" t="str">
        <f t="shared" si="13"/>
        <v/>
      </c>
      <c r="J263" s="443" t="str">
        <f>IFERROR(VLOOKUP(C263,'נתוני רישום ומצבת'!B:I,5,0)," ")</f>
        <v xml:space="preserve"> </v>
      </c>
      <c r="K263" s="443" t="str">
        <f>IFERROR(VLOOKUP(C263,'נתוני רישום ומצבת'!B:I,8,0),"")</f>
        <v/>
      </c>
      <c r="L263" s="284">
        <f t="shared" si="14"/>
        <v>0</v>
      </c>
      <c r="M263" s="283" t="str">
        <f t="shared" si="12"/>
        <v>-</v>
      </c>
    </row>
    <row r="264" spans="2:13" x14ac:dyDescent="0.25">
      <c r="B264" s="280">
        <v>244</v>
      </c>
      <c r="C264" s="549" t="str" cm="1">
        <f t="array" ref="C264">IFERROR(
   INDEX('נתוני רישום ומצבת'!$B:$B,
      SMALL(
         IF(('נתוני רישום ומצבת'!A$2:A$2998='נתונים כלליים (1)'!$C$5),
         ROW('נתוני רישום ומצבת'!A$2:A$2998)),
      ROW(A244))
   ),
"")</f>
        <v/>
      </c>
      <c r="D264" s="549" t="str">
        <f>IF(C264="", "",
   IFERROR(
      IF(VLOOKUP(C264, 'נתוני רישום ומצבת'!B:J, 9, FALSE) = $F$4,
         VLOOKUP(C264, 'נתוני רישום ומצבת'!B:J, 3, FALSE),
         "המוסד לא קיים ברשות"),
   "המוסד לא קיים"))</f>
        <v/>
      </c>
      <c r="E264" s="176" t="str">
        <f>IFERROR(VLOOKUP(C264,'נתוני רישום ומצבת'!B:G,6,0),"")</f>
        <v/>
      </c>
      <c r="F264" s="281" t="str">
        <f>IFERROR(VLOOKUP(C264,'נתוני רישום ומצבת'!B:K,10,0)," ")</f>
        <v xml:space="preserve"> </v>
      </c>
      <c r="G264" s="443" t="str">
        <f>IFERROR(VLOOKUP(C264,'נתוני רישום ומצבת'!B:E,4,0)," ")</f>
        <v xml:space="preserve"> </v>
      </c>
      <c r="H264" s="444" t="str">
        <f>IFERROR(VLOOKUP(C264,'נתוני רישום ומצבת'!B:K,7,0),"")</f>
        <v/>
      </c>
      <c r="I264" s="180" t="str">
        <f t="shared" si="13"/>
        <v/>
      </c>
      <c r="J264" s="443" t="str">
        <f>IFERROR(VLOOKUP(C264,'נתוני רישום ומצבת'!B:I,5,0)," ")</f>
        <v xml:space="preserve"> </v>
      </c>
      <c r="K264" s="443" t="str">
        <f>IFERROR(VLOOKUP(C264,'נתוני רישום ומצבת'!B:I,8,0),"")</f>
        <v/>
      </c>
      <c r="L264" s="284">
        <f t="shared" si="14"/>
        <v>0</v>
      </c>
      <c r="M264" s="283" t="str">
        <f t="shared" si="12"/>
        <v>-</v>
      </c>
    </row>
    <row r="265" spans="2:13" x14ac:dyDescent="0.25">
      <c r="B265" s="280">
        <v>245</v>
      </c>
      <c r="C265" s="549" t="str" cm="1">
        <f t="array" ref="C265">IFERROR(
   INDEX('נתוני רישום ומצבת'!$B:$B,
      SMALL(
         IF(('נתוני רישום ומצבת'!A$2:A$2998='נתונים כלליים (1)'!$C$5),
         ROW('נתוני רישום ומצבת'!A$2:A$2998)),
      ROW(A245))
   ),
"")</f>
        <v/>
      </c>
      <c r="D265" s="549" t="str">
        <f>IF(C265="", "",
   IFERROR(
      IF(VLOOKUP(C265, 'נתוני רישום ומצבת'!B:J, 9, FALSE) = $F$4,
         VLOOKUP(C265, 'נתוני רישום ומצבת'!B:J, 3, FALSE),
         "המוסד לא קיים ברשות"),
   "המוסד לא קיים"))</f>
        <v/>
      </c>
      <c r="E265" s="176" t="str">
        <f>IFERROR(VLOOKUP(C265,'נתוני רישום ומצבת'!B:G,6,0),"")</f>
        <v/>
      </c>
      <c r="F265" s="281" t="str">
        <f>IFERROR(VLOOKUP(C265,'נתוני רישום ומצבת'!B:K,10,0)," ")</f>
        <v xml:space="preserve"> </v>
      </c>
      <c r="G265" s="443" t="str">
        <f>IFERROR(VLOOKUP(C265,'נתוני רישום ומצבת'!B:E,4,0)," ")</f>
        <v xml:space="preserve"> </v>
      </c>
      <c r="H265" s="444" t="str">
        <f>IFERROR(VLOOKUP(C265,'נתוני רישום ומצבת'!B:K,7,0),"")</f>
        <v/>
      </c>
      <c r="I265" s="180" t="str">
        <f t="shared" si="13"/>
        <v/>
      </c>
      <c r="J265" s="443" t="str">
        <f>IFERROR(VLOOKUP(C265,'נתוני רישום ומצבת'!B:I,5,0)," ")</f>
        <v xml:space="preserve"> </v>
      </c>
      <c r="K265" s="443" t="str">
        <f>IFERROR(VLOOKUP(C265,'נתוני רישום ומצבת'!B:I,8,0),"")</f>
        <v/>
      </c>
      <c r="L265" s="284">
        <f t="shared" si="14"/>
        <v>0</v>
      </c>
      <c r="M265" s="283" t="str">
        <f t="shared" si="12"/>
        <v>-</v>
      </c>
    </row>
    <row r="266" spans="2:13" x14ac:dyDescent="0.25">
      <c r="B266" s="280">
        <v>246</v>
      </c>
      <c r="C266" s="549" t="str" cm="1">
        <f t="array" ref="C266">IFERROR(
   INDEX('נתוני רישום ומצבת'!$B:$B,
      SMALL(
         IF(('נתוני רישום ומצבת'!A$2:A$2998='נתונים כלליים (1)'!$C$5),
         ROW('נתוני רישום ומצבת'!A$2:A$2998)),
      ROW(A246))
   ),
"")</f>
        <v/>
      </c>
      <c r="D266" s="549" t="str">
        <f>IF(C266="", "",
   IFERROR(
      IF(VLOOKUP(C266, 'נתוני רישום ומצבת'!B:J, 9, FALSE) = $F$4,
         VLOOKUP(C266, 'נתוני רישום ומצבת'!B:J, 3, FALSE),
         "המוסד לא קיים ברשות"),
   "המוסד לא קיים"))</f>
        <v/>
      </c>
      <c r="E266" s="176" t="str">
        <f>IFERROR(VLOOKUP(C266,'נתוני רישום ומצבת'!B:G,6,0),"")</f>
        <v/>
      </c>
      <c r="F266" s="281" t="str">
        <f>IFERROR(VLOOKUP(C266,'נתוני רישום ומצבת'!B:K,10,0)," ")</f>
        <v xml:space="preserve"> </v>
      </c>
      <c r="G266" s="443" t="str">
        <f>IFERROR(VLOOKUP(C266,'נתוני רישום ומצבת'!B:E,4,0)," ")</f>
        <v xml:space="preserve"> </v>
      </c>
      <c r="H266" s="444" t="str">
        <f>IFERROR(VLOOKUP(C266,'נתוני רישום ומצבת'!B:K,7,0),"")</f>
        <v/>
      </c>
      <c r="I266" s="180" t="str">
        <f t="shared" si="13"/>
        <v/>
      </c>
      <c r="J266" s="443" t="str">
        <f>IFERROR(VLOOKUP(C266,'נתוני רישום ומצבת'!B:I,5,0)," ")</f>
        <v xml:space="preserve"> </v>
      </c>
      <c r="K266" s="443" t="str">
        <f>IFERROR(VLOOKUP(C266,'נתוני רישום ומצבת'!B:I,8,0),"")</f>
        <v/>
      </c>
      <c r="L266" s="284">
        <f t="shared" si="14"/>
        <v>0</v>
      </c>
      <c r="M266" s="283" t="str">
        <f t="shared" si="12"/>
        <v>-</v>
      </c>
    </row>
    <row r="267" spans="2:13" x14ac:dyDescent="0.25">
      <c r="B267" s="280">
        <v>247</v>
      </c>
      <c r="C267" s="549" t="str" cm="1">
        <f t="array" ref="C267">IFERROR(
   INDEX('נתוני רישום ומצבת'!$B:$B,
      SMALL(
         IF(('נתוני רישום ומצבת'!A$2:A$2998='נתונים כלליים (1)'!$C$5),
         ROW('נתוני רישום ומצבת'!A$2:A$2998)),
      ROW(A247))
   ),
"")</f>
        <v/>
      </c>
      <c r="D267" s="549" t="str">
        <f>IF(C267="", "",
   IFERROR(
      IF(VLOOKUP(C267, 'נתוני רישום ומצבת'!B:J, 9, FALSE) = $F$4,
         VLOOKUP(C267, 'נתוני רישום ומצבת'!B:J, 3, FALSE),
         "המוסד לא קיים ברשות"),
   "המוסד לא קיים"))</f>
        <v/>
      </c>
      <c r="E267" s="176" t="str">
        <f>IFERROR(VLOOKUP(C267,'נתוני רישום ומצבת'!B:G,6,0),"")</f>
        <v/>
      </c>
      <c r="F267" s="281" t="str">
        <f>IFERROR(VLOOKUP(C267,'נתוני רישום ומצבת'!B:K,10,0)," ")</f>
        <v xml:space="preserve"> </v>
      </c>
      <c r="G267" s="443" t="str">
        <f>IFERROR(VLOOKUP(C267,'נתוני רישום ומצבת'!B:E,4,0)," ")</f>
        <v xml:space="preserve"> </v>
      </c>
      <c r="H267" s="444" t="str">
        <f>IFERROR(VLOOKUP(C267,'נתוני רישום ומצבת'!B:K,7,0),"")</f>
        <v/>
      </c>
      <c r="I267" s="180" t="str">
        <f t="shared" si="13"/>
        <v/>
      </c>
      <c r="J267" s="443" t="str">
        <f>IFERROR(VLOOKUP(C267,'נתוני רישום ומצבת'!B:I,5,0)," ")</f>
        <v xml:space="preserve"> </v>
      </c>
      <c r="K267" s="443" t="str">
        <f>IFERROR(VLOOKUP(C267,'נתוני רישום ומצבת'!B:I,8,0),"")</f>
        <v/>
      </c>
      <c r="L267" s="284">
        <f t="shared" si="14"/>
        <v>0</v>
      </c>
      <c r="M267" s="283" t="str">
        <f t="shared" si="12"/>
        <v>-</v>
      </c>
    </row>
    <row r="268" spans="2:13" x14ac:dyDescent="0.25">
      <c r="B268" s="280">
        <v>248</v>
      </c>
      <c r="C268" s="549" t="str" cm="1">
        <f t="array" ref="C268">IFERROR(
   INDEX('נתוני רישום ומצבת'!$B:$B,
      SMALL(
         IF(('נתוני רישום ומצבת'!A$2:A$2998='נתונים כלליים (1)'!$C$5),
         ROW('נתוני רישום ומצבת'!A$2:A$2998)),
      ROW(A248))
   ),
"")</f>
        <v/>
      </c>
      <c r="D268" s="549" t="str">
        <f>IF(C268="", "",
   IFERROR(
      IF(VLOOKUP(C268, 'נתוני רישום ומצבת'!B:J, 9, FALSE) = $F$4,
         VLOOKUP(C268, 'נתוני רישום ומצבת'!B:J, 3, FALSE),
         "המוסד לא קיים ברשות"),
   "המוסד לא קיים"))</f>
        <v/>
      </c>
      <c r="E268" s="176" t="str">
        <f>IFERROR(VLOOKUP(C268,'נתוני רישום ומצבת'!B:G,6,0),"")</f>
        <v/>
      </c>
      <c r="F268" s="281" t="str">
        <f>IFERROR(VLOOKUP(C268,'נתוני רישום ומצבת'!B:K,10,0)," ")</f>
        <v xml:space="preserve"> </v>
      </c>
      <c r="G268" s="443" t="str">
        <f>IFERROR(VLOOKUP(C268,'נתוני רישום ומצבת'!B:E,4,0)," ")</f>
        <v xml:space="preserve"> </v>
      </c>
      <c r="H268" s="444" t="str">
        <f>IFERROR(VLOOKUP(C268,'נתוני רישום ומצבת'!B:K,7,0),"")</f>
        <v/>
      </c>
      <c r="I268" s="180" t="str">
        <f t="shared" si="13"/>
        <v/>
      </c>
      <c r="J268" s="443" t="str">
        <f>IFERROR(VLOOKUP(C268,'נתוני רישום ומצבת'!B:I,5,0)," ")</f>
        <v xml:space="preserve"> </v>
      </c>
      <c r="K268" s="443" t="str">
        <f>IFERROR(VLOOKUP(C268,'נתוני רישום ומצבת'!B:I,8,0),"")</f>
        <v/>
      </c>
      <c r="L268" s="284">
        <f t="shared" si="14"/>
        <v>0</v>
      </c>
      <c r="M268" s="283" t="str">
        <f t="shared" si="12"/>
        <v>-</v>
      </c>
    </row>
    <row r="269" spans="2:13" x14ac:dyDescent="0.25">
      <c r="B269" s="280">
        <v>249</v>
      </c>
      <c r="C269" s="549" t="str" cm="1">
        <f t="array" ref="C269">IFERROR(
   INDEX('נתוני רישום ומצבת'!$B:$B,
      SMALL(
         IF(('נתוני רישום ומצבת'!A$2:A$2998='נתונים כלליים (1)'!$C$5),
         ROW('נתוני רישום ומצבת'!A$2:A$2998)),
      ROW(A249))
   ),
"")</f>
        <v/>
      </c>
      <c r="D269" s="549" t="str">
        <f>IF(C269="", "",
   IFERROR(
      IF(VLOOKUP(C269, 'נתוני רישום ומצבת'!B:J, 9, FALSE) = $F$4,
         VLOOKUP(C269, 'נתוני רישום ומצבת'!B:J, 3, FALSE),
         "המוסד לא קיים ברשות"),
   "המוסד לא קיים"))</f>
        <v/>
      </c>
      <c r="E269" s="176" t="str">
        <f>IFERROR(VLOOKUP(C269,'נתוני רישום ומצבת'!B:G,6,0),"")</f>
        <v/>
      </c>
      <c r="F269" s="281" t="str">
        <f>IFERROR(VLOOKUP(C269,'נתוני רישום ומצבת'!B:K,10,0)," ")</f>
        <v xml:space="preserve"> </v>
      </c>
      <c r="G269" s="443" t="str">
        <f>IFERROR(VLOOKUP(C269,'נתוני רישום ומצבת'!B:E,4,0)," ")</f>
        <v xml:space="preserve"> </v>
      </c>
      <c r="H269" s="444" t="str">
        <f>IFERROR(VLOOKUP(C269,'נתוני רישום ומצבת'!B:K,7,0),"")</f>
        <v/>
      </c>
      <c r="I269" s="180" t="str">
        <f t="shared" si="13"/>
        <v/>
      </c>
      <c r="J269" s="443" t="str">
        <f>IFERROR(VLOOKUP(C269,'נתוני רישום ומצבת'!B:I,5,0)," ")</f>
        <v xml:space="preserve"> </v>
      </c>
      <c r="K269" s="443" t="str">
        <f>IFERROR(VLOOKUP(C269,'נתוני רישום ומצבת'!B:I,8,0),"")</f>
        <v/>
      </c>
      <c r="L269" s="284">
        <f t="shared" si="14"/>
        <v>0</v>
      </c>
      <c r="M269" s="283" t="str">
        <f t="shared" si="12"/>
        <v>-</v>
      </c>
    </row>
    <row r="270" spans="2:13" x14ac:dyDescent="0.25">
      <c r="B270" s="280">
        <v>250</v>
      </c>
      <c r="C270" s="549" t="str" cm="1">
        <f t="array" ref="C270">IFERROR(
   INDEX('נתוני רישום ומצבת'!$B:$B,
      SMALL(
         IF(('נתוני רישום ומצבת'!A$2:A$2998='נתונים כלליים (1)'!$C$5),
         ROW('נתוני רישום ומצבת'!A$2:A$2998)),
      ROW(A250))
   ),
"")</f>
        <v/>
      </c>
      <c r="D270" s="549" t="str">
        <f>IF(C270="", "",
   IFERROR(
      IF(VLOOKUP(C270, 'נתוני רישום ומצבת'!B:J, 9, FALSE) = $F$4,
         VLOOKUP(C270, 'נתוני רישום ומצבת'!B:J, 3, FALSE),
         "המוסד לא קיים ברשות"),
   "המוסד לא קיים"))</f>
        <v/>
      </c>
      <c r="E270" s="176" t="str">
        <f>IFERROR(VLOOKUP(C270,'נתוני רישום ומצבת'!B:G,6,0),"")</f>
        <v/>
      </c>
      <c r="F270" s="281" t="str">
        <f>IFERROR(VLOOKUP(C270,'נתוני רישום ומצבת'!B:K,10,0)," ")</f>
        <v xml:space="preserve"> </v>
      </c>
      <c r="G270" s="443" t="str">
        <f>IFERROR(VLOOKUP(C270,'נתוני רישום ומצבת'!B:E,4,0)," ")</f>
        <v xml:space="preserve"> </v>
      </c>
      <c r="H270" s="444" t="str">
        <f>IFERROR(VLOOKUP(C270,'נתוני רישום ומצבת'!B:K,7,0),"")</f>
        <v/>
      </c>
      <c r="I270" s="180" t="str">
        <f t="shared" si="13"/>
        <v/>
      </c>
      <c r="J270" s="443" t="str">
        <f>IFERROR(VLOOKUP(C270,'נתוני רישום ומצבת'!B:I,5,0)," ")</f>
        <v xml:space="preserve"> </v>
      </c>
      <c r="K270" s="443" t="str">
        <f>IFERROR(VLOOKUP(C270,'נתוני רישום ומצבת'!B:I,8,0),"")</f>
        <v/>
      </c>
      <c r="L270" s="284">
        <f t="shared" si="14"/>
        <v>0</v>
      </c>
      <c r="M270" s="283" t="str">
        <f t="shared" ref="M270:M333" si="15">IF(L270&gt;149,"כן","-")</f>
        <v>-</v>
      </c>
    </row>
    <row r="271" spans="2:13" x14ac:dyDescent="0.25">
      <c r="B271" s="280">
        <v>251</v>
      </c>
      <c r="C271" s="549" t="str" cm="1">
        <f t="array" ref="C271">IFERROR(
   INDEX('נתוני רישום ומצבת'!$B:$B,
      SMALL(
         IF(('נתוני רישום ומצבת'!A$2:A$2998='נתונים כלליים (1)'!$C$5),
         ROW('נתוני רישום ומצבת'!A$2:A$2998)),
      ROW(A251))
   ),
"")</f>
        <v/>
      </c>
      <c r="D271" s="549" t="str">
        <f>IF(C271="", "",
   IFERROR(
      IF(VLOOKUP(C271, 'נתוני רישום ומצבת'!B:J, 9, FALSE) = $F$4,
         VLOOKUP(C271, 'נתוני רישום ומצבת'!B:J, 3, FALSE),
         "המוסד לא קיים ברשות"),
   "המוסד לא קיים"))</f>
        <v/>
      </c>
      <c r="E271" s="176" t="str">
        <f>IFERROR(VLOOKUP(C271,'נתוני רישום ומצבת'!B:G,6,0),"")</f>
        <v/>
      </c>
      <c r="F271" s="281" t="str">
        <f>IFERROR(VLOOKUP(C271,'נתוני רישום ומצבת'!B:K,10,0)," ")</f>
        <v xml:space="preserve"> </v>
      </c>
      <c r="G271" s="443" t="str">
        <f>IFERROR(VLOOKUP(C271,'נתוני רישום ומצבת'!B:E,4,0)," ")</f>
        <v xml:space="preserve"> </v>
      </c>
      <c r="H271" s="444" t="str">
        <f>IFERROR(VLOOKUP(C271,'נתוני רישום ומצבת'!B:K,7,0),"")</f>
        <v/>
      </c>
      <c r="I271" s="180" t="str">
        <f t="shared" si="13"/>
        <v/>
      </c>
      <c r="J271" s="443" t="str">
        <f>IFERROR(VLOOKUP(C271,'נתוני רישום ומצבת'!B:I,5,0)," ")</f>
        <v xml:space="preserve"> </v>
      </c>
      <c r="K271" s="443" t="str">
        <f>IFERROR(VLOOKUP(C271,'נתוני רישום ומצבת'!B:I,8,0),"")</f>
        <v/>
      </c>
      <c r="L271" s="284">
        <f t="shared" si="14"/>
        <v>0</v>
      </c>
      <c r="M271" s="283" t="str">
        <f t="shared" si="15"/>
        <v>-</v>
      </c>
    </row>
    <row r="272" spans="2:13" x14ac:dyDescent="0.25">
      <c r="B272" s="280">
        <v>252</v>
      </c>
      <c r="C272" s="549" t="str" cm="1">
        <f t="array" ref="C272">IFERROR(
   INDEX('נתוני רישום ומצבת'!$B:$B,
      SMALL(
         IF(('נתוני רישום ומצבת'!A$2:A$2998='נתונים כלליים (1)'!$C$5),
         ROW('נתוני רישום ומצבת'!A$2:A$2998)),
      ROW(A252))
   ),
"")</f>
        <v/>
      </c>
      <c r="D272" s="549" t="str">
        <f>IF(C272="", "",
   IFERROR(
      IF(VLOOKUP(C272, 'נתוני רישום ומצבת'!B:J, 9, FALSE) = $F$4,
         VLOOKUP(C272, 'נתוני רישום ומצבת'!B:J, 3, FALSE),
         "המוסד לא קיים ברשות"),
   "המוסד לא קיים"))</f>
        <v/>
      </c>
      <c r="E272" s="176" t="str">
        <f>IFERROR(VLOOKUP(C272,'נתוני רישום ומצבת'!B:G,6,0),"")</f>
        <v/>
      </c>
      <c r="F272" s="281" t="str">
        <f>IFERROR(VLOOKUP(C272,'נתוני רישום ומצבת'!B:K,10,0)," ")</f>
        <v xml:space="preserve"> </v>
      </c>
      <c r="G272" s="443" t="str">
        <f>IFERROR(VLOOKUP(C272,'נתוני רישום ומצבת'!B:E,4,0)," ")</f>
        <v xml:space="preserve"> </v>
      </c>
      <c r="H272" s="444" t="str">
        <f>IFERROR(VLOOKUP(C272,'נתוני רישום ומצבת'!B:K,7,0),"")</f>
        <v/>
      </c>
      <c r="I272" s="180" t="str">
        <f t="shared" si="13"/>
        <v/>
      </c>
      <c r="J272" s="443" t="str">
        <f>IFERROR(VLOOKUP(C272,'נתוני רישום ומצבת'!B:I,5,0)," ")</f>
        <v xml:space="preserve"> </v>
      </c>
      <c r="K272" s="443" t="str">
        <f>IFERROR(VLOOKUP(C272,'נתוני רישום ומצבת'!B:I,8,0),"")</f>
        <v/>
      </c>
      <c r="L272" s="284">
        <f t="shared" si="14"/>
        <v>0</v>
      </c>
      <c r="M272" s="283" t="str">
        <f t="shared" si="15"/>
        <v>-</v>
      </c>
    </row>
    <row r="273" spans="2:13" x14ac:dyDescent="0.25">
      <c r="B273" s="280">
        <v>253</v>
      </c>
      <c r="C273" s="549" t="str" cm="1">
        <f t="array" ref="C273">IFERROR(
   INDEX('נתוני רישום ומצבת'!$B:$B,
      SMALL(
         IF(('נתוני רישום ומצבת'!A$2:A$2998='נתונים כלליים (1)'!$C$5),
         ROW('נתוני רישום ומצבת'!A$2:A$2998)),
      ROW(A253))
   ),
"")</f>
        <v/>
      </c>
      <c r="D273" s="549" t="str">
        <f>IF(C273="", "",
   IFERROR(
      IF(VLOOKUP(C273, 'נתוני רישום ומצבת'!B:J, 9, FALSE) = $F$4,
         VLOOKUP(C273, 'נתוני רישום ומצבת'!B:J, 3, FALSE),
         "המוסד לא קיים ברשות"),
   "המוסד לא קיים"))</f>
        <v/>
      </c>
      <c r="E273" s="176" t="str">
        <f>IFERROR(VLOOKUP(C273,'נתוני רישום ומצבת'!B:G,6,0),"")</f>
        <v/>
      </c>
      <c r="F273" s="281" t="str">
        <f>IFERROR(VLOOKUP(C273,'נתוני רישום ומצבת'!B:K,10,0)," ")</f>
        <v xml:space="preserve"> </v>
      </c>
      <c r="G273" s="443" t="str">
        <f>IFERROR(VLOOKUP(C273,'נתוני רישום ומצבת'!B:E,4,0)," ")</f>
        <v xml:space="preserve"> </v>
      </c>
      <c r="H273" s="444" t="str">
        <f>IFERROR(VLOOKUP(C273,'נתוני רישום ומצבת'!B:K,7,0),"")</f>
        <v/>
      </c>
      <c r="I273" s="180" t="str">
        <f t="shared" si="13"/>
        <v/>
      </c>
      <c r="J273" s="443" t="str">
        <f>IFERROR(VLOOKUP(C273,'נתוני רישום ומצבת'!B:I,5,0)," ")</f>
        <v xml:space="preserve"> </v>
      </c>
      <c r="K273" s="443" t="str">
        <f>IFERROR(VLOOKUP(C273,'נתוני רישום ומצבת'!B:I,8,0),"")</f>
        <v/>
      </c>
      <c r="L273" s="284">
        <f t="shared" si="14"/>
        <v>0</v>
      </c>
      <c r="M273" s="283" t="str">
        <f t="shared" si="15"/>
        <v>-</v>
      </c>
    </row>
    <row r="274" spans="2:13" x14ac:dyDescent="0.25">
      <c r="B274" s="280">
        <v>254</v>
      </c>
      <c r="C274" s="549" t="str" cm="1">
        <f t="array" ref="C274">IFERROR(
   INDEX('נתוני רישום ומצבת'!$B:$B,
      SMALL(
         IF(('נתוני רישום ומצבת'!A$2:A$2998='נתונים כלליים (1)'!$C$5),
         ROW('נתוני רישום ומצבת'!A$2:A$2998)),
      ROW(A254))
   ),
"")</f>
        <v/>
      </c>
      <c r="D274" s="549" t="str">
        <f>IF(C274="", "",
   IFERROR(
      IF(VLOOKUP(C274, 'נתוני רישום ומצבת'!B:J, 9, FALSE) = $F$4,
         VLOOKUP(C274, 'נתוני רישום ומצבת'!B:J, 3, FALSE),
         "המוסד לא קיים ברשות"),
   "המוסד לא קיים"))</f>
        <v/>
      </c>
      <c r="E274" s="176" t="str">
        <f>IFERROR(VLOOKUP(C274,'נתוני רישום ומצבת'!B:G,6,0),"")</f>
        <v/>
      </c>
      <c r="F274" s="281" t="str">
        <f>IFERROR(VLOOKUP(C274,'נתוני רישום ומצבת'!B:K,10,0)," ")</f>
        <v xml:space="preserve"> </v>
      </c>
      <c r="G274" s="443" t="str">
        <f>IFERROR(VLOOKUP(C274,'נתוני רישום ומצבת'!B:E,4,0)," ")</f>
        <v xml:space="preserve"> </v>
      </c>
      <c r="H274" s="444" t="str">
        <f>IFERROR(VLOOKUP(C274,'נתוני רישום ומצבת'!B:K,7,0),"")</f>
        <v/>
      </c>
      <c r="I274" s="180" t="str">
        <f t="shared" si="13"/>
        <v/>
      </c>
      <c r="J274" s="443" t="str">
        <f>IFERROR(VLOOKUP(C274,'נתוני רישום ומצבת'!B:I,5,0)," ")</f>
        <v xml:space="preserve"> </v>
      </c>
      <c r="K274" s="443" t="str">
        <f>IFERROR(VLOOKUP(C274,'נתוני רישום ומצבת'!B:I,8,0),"")</f>
        <v/>
      </c>
      <c r="L274" s="284">
        <f t="shared" si="14"/>
        <v>0</v>
      </c>
      <c r="M274" s="283" t="str">
        <f t="shared" si="15"/>
        <v>-</v>
      </c>
    </row>
    <row r="275" spans="2:13" x14ac:dyDescent="0.25">
      <c r="B275" s="280">
        <v>255</v>
      </c>
      <c r="C275" s="549" t="str" cm="1">
        <f t="array" ref="C275">IFERROR(
   INDEX('נתוני רישום ומצבת'!$B:$B,
      SMALL(
         IF(('נתוני רישום ומצבת'!A$2:A$2998='נתונים כלליים (1)'!$C$5),
         ROW('נתוני רישום ומצבת'!A$2:A$2998)),
      ROW(A255))
   ),
"")</f>
        <v/>
      </c>
      <c r="D275" s="549" t="str">
        <f>IF(C275="", "",
   IFERROR(
      IF(VLOOKUP(C275, 'נתוני רישום ומצבת'!B:J, 9, FALSE) = $F$4,
         VLOOKUP(C275, 'נתוני רישום ומצבת'!B:J, 3, FALSE),
         "המוסד לא קיים ברשות"),
   "המוסד לא קיים"))</f>
        <v/>
      </c>
      <c r="E275" s="176" t="str">
        <f>IFERROR(VLOOKUP(C275,'נתוני רישום ומצבת'!B:G,6,0),"")</f>
        <v/>
      </c>
      <c r="F275" s="281" t="str">
        <f>IFERROR(VLOOKUP(C275,'נתוני רישום ומצבת'!B:K,10,0)," ")</f>
        <v xml:space="preserve"> </v>
      </c>
      <c r="G275" s="443" t="str">
        <f>IFERROR(VLOOKUP(C275,'נתוני רישום ומצבת'!B:E,4,0)," ")</f>
        <v xml:space="preserve"> </v>
      </c>
      <c r="H275" s="444" t="str">
        <f>IFERROR(VLOOKUP(C275,'נתוני רישום ומצבת'!B:K,7,0),"")</f>
        <v/>
      </c>
      <c r="I275" s="180" t="str">
        <f t="shared" si="13"/>
        <v/>
      </c>
      <c r="J275" s="443" t="str">
        <f>IFERROR(VLOOKUP(C275,'נתוני רישום ומצבת'!B:I,5,0)," ")</f>
        <v xml:space="preserve"> </v>
      </c>
      <c r="K275" s="443" t="str">
        <f>IFERROR(VLOOKUP(C275,'נתוני רישום ומצבת'!B:I,8,0),"")</f>
        <v/>
      </c>
      <c r="L275" s="284">
        <f t="shared" si="14"/>
        <v>0</v>
      </c>
      <c r="M275" s="283" t="str">
        <f t="shared" si="15"/>
        <v>-</v>
      </c>
    </row>
    <row r="276" spans="2:13" x14ac:dyDescent="0.25">
      <c r="B276" s="280">
        <v>256</v>
      </c>
      <c r="C276" s="549" t="str" cm="1">
        <f t="array" ref="C276">IFERROR(
   INDEX('נתוני רישום ומצבת'!$B:$B,
      SMALL(
         IF(('נתוני רישום ומצבת'!A$2:A$2998='נתונים כלליים (1)'!$C$5),
         ROW('נתוני רישום ומצבת'!A$2:A$2998)),
      ROW(A256))
   ),
"")</f>
        <v/>
      </c>
      <c r="D276" s="549" t="str">
        <f>IF(C276="", "",
   IFERROR(
      IF(VLOOKUP(C276, 'נתוני רישום ומצבת'!B:J, 9, FALSE) = $F$4,
         VLOOKUP(C276, 'נתוני רישום ומצבת'!B:J, 3, FALSE),
         "המוסד לא קיים ברשות"),
   "המוסד לא קיים"))</f>
        <v/>
      </c>
      <c r="E276" s="176" t="str">
        <f>IFERROR(VLOOKUP(C276,'נתוני רישום ומצבת'!B:G,6,0),"")</f>
        <v/>
      </c>
      <c r="F276" s="281" t="str">
        <f>IFERROR(VLOOKUP(C276,'נתוני רישום ומצבת'!B:K,10,0)," ")</f>
        <v xml:space="preserve"> </v>
      </c>
      <c r="G276" s="443" t="str">
        <f>IFERROR(VLOOKUP(C276,'נתוני רישום ומצבת'!B:E,4,0)," ")</f>
        <v xml:space="preserve"> </v>
      </c>
      <c r="H276" s="444" t="str">
        <f>IFERROR(VLOOKUP(C276,'נתוני רישום ומצבת'!B:K,7,0),"")</f>
        <v/>
      </c>
      <c r="I276" s="180" t="str">
        <f t="shared" si="13"/>
        <v/>
      </c>
      <c r="J276" s="443" t="str">
        <f>IFERROR(VLOOKUP(C276,'נתוני רישום ומצבת'!B:I,5,0)," ")</f>
        <v xml:space="preserve"> </v>
      </c>
      <c r="K276" s="443" t="str">
        <f>IFERROR(VLOOKUP(C276,'נתוני רישום ומצבת'!B:I,8,0),"")</f>
        <v/>
      </c>
      <c r="L276" s="284">
        <f t="shared" si="14"/>
        <v>0</v>
      </c>
      <c r="M276" s="283" t="str">
        <f t="shared" si="15"/>
        <v>-</v>
      </c>
    </row>
    <row r="277" spans="2:13" x14ac:dyDescent="0.25">
      <c r="B277" s="280">
        <v>257</v>
      </c>
      <c r="C277" s="549" t="str" cm="1">
        <f t="array" ref="C277">IFERROR(
   INDEX('נתוני רישום ומצבת'!$B:$B,
      SMALL(
         IF(('נתוני רישום ומצבת'!A$2:A$2998='נתונים כלליים (1)'!$C$5),
         ROW('נתוני רישום ומצבת'!A$2:A$2998)),
      ROW(A257))
   ),
"")</f>
        <v/>
      </c>
      <c r="D277" s="549" t="str">
        <f>IF(C277="", "",
   IFERROR(
      IF(VLOOKUP(C277, 'נתוני רישום ומצבת'!B:J, 9, FALSE) = $F$4,
         VLOOKUP(C277, 'נתוני רישום ומצבת'!B:J, 3, FALSE),
         "המוסד לא קיים ברשות"),
   "המוסד לא קיים"))</f>
        <v/>
      </c>
      <c r="E277" s="176" t="str">
        <f>IFERROR(VLOOKUP(C277,'נתוני רישום ומצבת'!B:G,6,0),"")</f>
        <v/>
      </c>
      <c r="F277" s="281" t="str">
        <f>IFERROR(VLOOKUP(C277,'נתוני רישום ומצבת'!B:K,10,0)," ")</f>
        <v xml:space="preserve"> </v>
      </c>
      <c r="G277" s="443" t="str">
        <f>IFERROR(VLOOKUP(C277,'נתוני רישום ומצבת'!B:E,4,0)," ")</f>
        <v xml:space="preserve"> </v>
      </c>
      <c r="H277" s="444" t="str">
        <f>IFERROR(VLOOKUP(C277,'נתוני רישום ומצבת'!B:K,7,0),"")</f>
        <v/>
      </c>
      <c r="I277" s="180" t="str">
        <f t="shared" ref="I277:I340" si="16">IFERROR(H277+G277,"")</f>
        <v/>
      </c>
      <c r="J277" s="443" t="str">
        <f>IFERROR(VLOOKUP(C277,'נתוני רישום ומצבת'!B:I,5,0)," ")</f>
        <v xml:space="preserve"> </v>
      </c>
      <c r="K277" s="443" t="str">
        <f>IFERROR(VLOOKUP(C277,'נתוני רישום ומצבת'!B:I,8,0),"")</f>
        <v/>
      </c>
      <c r="L277" s="284">
        <f t="shared" si="14"/>
        <v>0</v>
      </c>
      <c r="M277" s="283" t="str">
        <f t="shared" si="15"/>
        <v>-</v>
      </c>
    </row>
    <row r="278" spans="2:13" x14ac:dyDescent="0.25">
      <c r="B278" s="280">
        <v>258</v>
      </c>
      <c r="C278" s="549" t="str" cm="1">
        <f t="array" ref="C278">IFERROR(
   INDEX('נתוני רישום ומצבת'!$B:$B,
      SMALL(
         IF(('נתוני רישום ומצבת'!A$2:A$2998='נתונים כלליים (1)'!$C$5),
         ROW('נתוני רישום ומצבת'!A$2:A$2998)),
      ROW(A258))
   ),
"")</f>
        <v/>
      </c>
      <c r="D278" s="549" t="str">
        <f>IF(C278="", "",
   IFERROR(
      IF(VLOOKUP(C278, 'נתוני רישום ומצבת'!B:J, 9, FALSE) = $F$4,
         VLOOKUP(C278, 'נתוני רישום ומצבת'!B:J, 3, FALSE),
         "המוסד לא קיים ברשות"),
   "המוסד לא קיים"))</f>
        <v/>
      </c>
      <c r="E278" s="176" t="str">
        <f>IFERROR(VLOOKUP(C278,'נתוני רישום ומצבת'!B:G,6,0),"")</f>
        <v/>
      </c>
      <c r="F278" s="281" t="str">
        <f>IFERROR(VLOOKUP(C278,'נתוני רישום ומצבת'!B:K,10,0)," ")</f>
        <v xml:space="preserve"> </v>
      </c>
      <c r="G278" s="443" t="str">
        <f>IFERROR(VLOOKUP(C278,'נתוני רישום ומצבת'!B:E,4,0)," ")</f>
        <v xml:space="preserve"> </v>
      </c>
      <c r="H278" s="444" t="str">
        <f>IFERROR(VLOOKUP(C278,'נתוני רישום ומצבת'!B:K,7,0),"")</f>
        <v/>
      </c>
      <c r="I278" s="180" t="str">
        <f t="shared" si="16"/>
        <v/>
      </c>
      <c r="J278" s="443" t="str">
        <f>IFERROR(VLOOKUP(C278,'נתוני רישום ומצבת'!B:I,5,0)," ")</f>
        <v xml:space="preserve"> </v>
      </c>
      <c r="K278" s="443" t="str">
        <f>IFERROR(VLOOKUP(C278,'נתוני רישום ומצבת'!B:I,8,0),"")</f>
        <v/>
      </c>
      <c r="L278" s="284">
        <f t="shared" ref="L278:L341" si="17">IFERROR(K278+J278,0)</f>
        <v>0</v>
      </c>
      <c r="M278" s="283" t="str">
        <f t="shared" si="15"/>
        <v>-</v>
      </c>
    </row>
    <row r="279" spans="2:13" x14ac:dyDescent="0.25">
      <c r="B279" s="280">
        <v>259</v>
      </c>
      <c r="C279" s="549" t="str" cm="1">
        <f t="array" ref="C279">IFERROR(
   INDEX('נתוני רישום ומצבת'!$B:$B,
      SMALL(
         IF(('נתוני רישום ומצבת'!A$2:A$2998='נתונים כלליים (1)'!$C$5),
         ROW('נתוני רישום ומצבת'!A$2:A$2998)),
      ROW(A259))
   ),
"")</f>
        <v/>
      </c>
      <c r="D279" s="549" t="str">
        <f>IF(C279="", "",
   IFERROR(
      IF(VLOOKUP(C279, 'נתוני רישום ומצבת'!B:J, 9, FALSE) = $F$4,
         VLOOKUP(C279, 'נתוני רישום ומצבת'!B:J, 3, FALSE),
         "המוסד לא קיים ברשות"),
   "המוסד לא קיים"))</f>
        <v/>
      </c>
      <c r="E279" s="176" t="str">
        <f>IFERROR(VLOOKUP(C279,'נתוני רישום ומצבת'!B:G,6,0),"")</f>
        <v/>
      </c>
      <c r="F279" s="281" t="str">
        <f>IFERROR(VLOOKUP(C279,'נתוני רישום ומצבת'!B:K,10,0)," ")</f>
        <v xml:space="preserve"> </v>
      </c>
      <c r="G279" s="443" t="str">
        <f>IFERROR(VLOOKUP(C279,'נתוני רישום ומצבת'!B:E,4,0)," ")</f>
        <v xml:space="preserve"> </v>
      </c>
      <c r="H279" s="444" t="str">
        <f>IFERROR(VLOOKUP(C279,'נתוני רישום ומצבת'!B:K,7,0),"")</f>
        <v/>
      </c>
      <c r="I279" s="180" t="str">
        <f t="shared" si="16"/>
        <v/>
      </c>
      <c r="J279" s="443" t="str">
        <f>IFERROR(VLOOKUP(C279,'נתוני רישום ומצבת'!B:I,5,0)," ")</f>
        <v xml:space="preserve"> </v>
      </c>
      <c r="K279" s="443" t="str">
        <f>IFERROR(VLOOKUP(C279,'נתוני רישום ומצבת'!B:I,8,0),"")</f>
        <v/>
      </c>
      <c r="L279" s="284">
        <f t="shared" si="17"/>
        <v>0</v>
      </c>
      <c r="M279" s="283" t="str">
        <f t="shared" si="15"/>
        <v>-</v>
      </c>
    </row>
    <row r="280" spans="2:13" x14ac:dyDescent="0.25">
      <c r="B280" s="280">
        <v>260</v>
      </c>
      <c r="C280" s="549" t="str" cm="1">
        <f t="array" ref="C280">IFERROR(
   INDEX('נתוני רישום ומצבת'!$B:$B,
      SMALL(
         IF(('נתוני רישום ומצבת'!A$2:A$2998='נתונים כלליים (1)'!$C$5),
         ROW('נתוני רישום ומצבת'!A$2:A$2998)),
      ROW(A260))
   ),
"")</f>
        <v/>
      </c>
      <c r="D280" s="549" t="str">
        <f>IF(C280="", "",
   IFERROR(
      IF(VLOOKUP(C280, 'נתוני רישום ומצבת'!B:J, 9, FALSE) = $F$4,
         VLOOKUP(C280, 'נתוני רישום ומצבת'!B:J, 3, FALSE),
         "המוסד לא קיים ברשות"),
   "המוסד לא קיים"))</f>
        <v/>
      </c>
      <c r="E280" s="176" t="str">
        <f>IFERROR(VLOOKUP(C280,'נתוני רישום ומצבת'!B:G,6,0),"")</f>
        <v/>
      </c>
      <c r="F280" s="281" t="str">
        <f>IFERROR(VLOOKUP(C280,'נתוני רישום ומצבת'!B:K,10,0)," ")</f>
        <v xml:space="preserve"> </v>
      </c>
      <c r="G280" s="443" t="str">
        <f>IFERROR(VLOOKUP(C280,'נתוני רישום ומצבת'!B:E,4,0)," ")</f>
        <v xml:space="preserve"> </v>
      </c>
      <c r="H280" s="444" t="str">
        <f>IFERROR(VLOOKUP(C280,'נתוני רישום ומצבת'!B:K,7,0),"")</f>
        <v/>
      </c>
      <c r="I280" s="180" t="str">
        <f t="shared" si="16"/>
        <v/>
      </c>
      <c r="J280" s="443" t="str">
        <f>IFERROR(VLOOKUP(C280,'נתוני רישום ומצבת'!B:I,5,0)," ")</f>
        <v xml:space="preserve"> </v>
      </c>
      <c r="K280" s="443" t="str">
        <f>IFERROR(VLOOKUP(C280,'נתוני רישום ומצבת'!B:I,8,0),"")</f>
        <v/>
      </c>
      <c r="L280" s="284">
        <f t="shared" si="17"/>
        <v>0</v>
      </c>
      <c r="M280" s="283" t="str">
        <f t="shared" si="15"/>
        <v>-</v>
      </c>
    </row>
    <row r="281" spans="2:13" x14ac:dyDescent="0.25">
      <c r="B281" s="280">
        <v>261</v>
      </c>
      <c r="C281" s="549" t="str" cm="1">
        <f t="array" ref="C281">IFERROR(
   INDEX('נתוני רישום ומצבת'!$B:$B,
      SMALL(
         IF(('נתוני רישום ומצבת'!A$2:A$2998='נתונים כלליים (1)'!$C$5),
         ROW('נתוני רישום ומצבת'!A$2:A$2998)),
      ROW(A261))
   ),
"")</f>
        <v/>
      </c>
      <c r="D281" s="549" t="str">
        <f>IF(C281="", "",
   IFERROR(
      IF(VLOOKUP(C281, 'נתוני רישום ומצבת'!B:J, 9, FALSE) = $F$4,
         VLOOKUP(C281, 'נתוני רישום ומצבת'!B:J, 3, FALSE),
         "המוסד לא קיים ברשות"),
   "המוסד לא קיים"))</f>
        <v/>
      </c>
      <c r="E281" s="176" t="str">
        <f>IFERROR(VLOOKUP(C281,'נתוני רישום ומצבת'!B:G,6,0),"")</f>
        <v/>
      </c>
      <c r="F281" s="281" t="str">
        <f>IFERROR(VLOOKUP(C281,'נתוני רישום ומצבת'!B:K,10,0)," ")</f>
        <v xml:space="preserve"> </v>
      </c>
      <c r="G281" s="443" t="str">
        <f>IFERROR(VLOOKUP(C281,'נתוני רישום ומצבת'!B:E,4,0)," ")</f>
        <v xml:space="preserve"> </v>
      </c>
      <c r="H281" s="444" t="str">
        <f>IFERROR(VLOOKUP(C281,'נתוני רישום ומצבת'!B:K,7,0),"")</f>
        <v/>
      </c>
      <c r="I281" s="180" t="str">
        <f t="shared" si="16"/>
        <v/>
      </c>
      <c r="J281" s="443" t="str">
        <f>IFERROR(VLOOKUP(C281,'נתוני רישום ומצבת'!B:I,5,0)," ")</f>
        <v xml:space="preserve"> </v>
      </c>
      <c r="K281" s="443" t="str">
        <f>IFERROR(VLOOKUP(C281,'נתוני רישום ומצבת'!B:I,8,0),"")</f>
        <v/>
      </c>
      <c r="L281" s="284">
        <f t="shared" si="17"/>
        <v>0</v>
      </c>
      <c r="M281" s="283" t="str">
        <f t="shared" si="15"/>
        <v>-</v>
      </c>
    </row>
    <row r="282" spans="2:13" x14ac:dyDescent="0.25">
      <c r="B282" s="280">
        <v>262</v>
      </c>
      <c r="C282" s="549" t="str" cm="1">
        <f t="array" ref="C282">IFERROR(
   INDEX('נתוני רישום ומצבת'!$B:$B,
      SMALL(
         IF(('נתוני רישום ומצבת'!A$2:A$2998='נתונים כלליים (1)'!$C$5),
         ROW('נתוני רישום ומצבת'!A$2:A$2998)),
      ROW(A262))
   ),
"")</f>
        <v/>
      </c>
      <c r="D282" s="549" t="str">
        <f>IF(C282="", "",
   IFERROR(
      IF(VLOOKUP(C282, 'נתוני רישום ומצבת'!B:J, 9, FALSE) = $F$4,
         VLOOKUP(C282, 'נתוני רישום ומצבת'!B:J, 3, FALSE),
         "המוסד לא קיים ברשות"),
   "המוסד לא קיים"))</f>
        <v/>
      </c>
      <c r="E282" s="176" t="str">
        <f>IFERROR(VLOOKUP(C282,'נתוני רישום ומצבת'!B:G,6,0),"")</f>
        <v/>
      </c>
      <c r="F282" s="281" t="str">
        <f>IFERROR(VLOOKUP(C282,'נתוני רישום ומצבת'!B:K,10,0)," ")</f>
        <v xml:space="preserve"> </v>
      </c>
      <c r="G282" s="443" t="str">
        <f>IFERROR(VLOOKUP(C282,'נתוני רישום ומצבת'!B:E,4,0)," ")</f>
        <v xml:space="preserve"> </v>
      </c>
      <c r="H282" s="444" t="str">
        <f>IFERROR(VLOOKUP(C282,'נתוני רישום ומצבת'!B:K,7,0),"")</f>
        <v/>
      </c>
      <c r="I282" s="180" t="str">
        <f t="shared" si="16"/>
        <v/>
      </c>
      <c r="J282" s="443" t="str">
        <f>IFERROR(VLOOKUP(C282,'נתוני רישום ומצבת'!B:I,5,0)," ")</f>
        <v xml:space="preserve"> </v>
      </c>
      <c r="K282" s="443" t="str">
        <f>IFERROR(VLOOKUP(C282,'נתוני רישום ומצבת'!B:I,8,0),"")</f>
        <v/>
      </c>
      <c r="L282" s="284">
        <f t="shared" si="17"/>
        <v>0</v>
      </c>
      <c r="M282" s="283" t="str">
        <f t="shared" si="15"/>
        <v>-</v>
      </c>
    </row>
    <row r="283" spans="2:13" x14ac:dyDescent="0.25">
      <c r="B283" s="280">
        <v>263</v>
      </c>
      <c r="C283" s="549" t="str" cm="1">
        <f t="array" ref="C283">IFERROR(
   INDEX('נתוני רישום ומצבת'!$B:$B,
      SMALL(
         IF(('נתוני רישום ומצבת'!A$2:A$2998='נתונים כלליים (1)'!$C$5),
         ROW('נתוני רישום ומצבת'!A$2:A$2998)),
      ROW(A263))
   ),
"")</f>
        <v/>
      </c>
      <c r="D283" s="549" t="str">
        <f>IF(C283="", "",
   IFERROR(
      IF(VLOOKUP(C283, 'נתוני רישום ומצבת'!B:J, 9, FALSE) = $F$4,
         VLOOKUP(C283, 'נתוני רישום ומצבת'!B:J, 3, FALSE),
         "המוסד לא קיים ברשות"),
   "המוסד לא קיים"))</f>
        <v/>
      </c>
      <c r="E283" s="176" t="str">
        <f>IFERROR(VLOOKUP(C283,'נתוני רישום ומצבת'!B:G,6,0),"")</f>
        <v/>
      </c>
      <c r="F283" s="281" t="str">
        <f>IFERROR(VLOOKUP(C283,'נתוני רישום ומצבת'!B:K,10,0)," ")</f>
        <v xml:space="preserve"> </v>
      </c>
      <c r="G283" s="443" t="str">
        <f>IFERROR(VLOOKUP(C283,'נתוני רישום ומצבת'!B:E,4,0)," ")</f>
        <v xml:space="preserve"> </v>
      </c>
      <c r="H283" s="444" t="str">
        <f>IFERROR(VLOOKUP(C283,'נתוני רישום ומצבת'!B:K,7,0),"")</f>
        <v/>
      </c>
      <c r="I283" s="180" t="str">
        <f t="shared" si="16"/>
        <v/>
      </c>
      <c r="J283" s="443" t="str">
        <f>IFERROR(VLOOKUP(C283,'נתוני רישום ומצבת'!B:I,5,0)," ")</f>
        <v xml:space="preserve"> </v>
      </c>
      <c r="K283" s="443" t="str">
        <f>IFERROR(VLOOKUP(C283,'נתוני רישום ומצבת'!B:I,8,0),"")</f>
        <v/>
      </c>
      <c r="L283" s="284">
        <f t="shared" si="17"/>
        <v>0</v>
      </c>
      <c r="M283" s="283" t="str">
        <f t="shared" si="15"/>
        <v>-</v>
      </c>
    </row>
    <row r="284" spans="2:13" x14ac:dyDescent="0.25">
      <c r="B284" s="280">
        <v>264</v>
      </c>
      <c r="C284" s="549" t="str" cm="1">
        <f t="array" ref="C284">IFERROR(
   INDEX('נתוני רישום ומצבת'!$B:$B,
      SMALL(
         IF(('נתוני רישום ומצבת'!A$2:A$2998='נתונים כלליים (1)'!$C$5),
         ROW('נתוני רישום ומצבת'!A$2:A$2998)),
      ROW(A264))
   ),
"")</f>
        <v/>
      </c>
      <c r="D284" s="549" t="str">
        <f>IF(C284="", "",
   IFERROR(
      IF(VLOOKUP(C284, 'נתוני רישום ומצבת'!B:J, 9, FALSE) = $F$4,
         VLOOKUP(C284, 'נתוני רישום ומצבת'!B:J, 3, FALSE),
         "המוסד לא קיים ברשות"),
   "המוסד לא קיים"))</f>
        <v/>
      </c>
      <c r="E284" s="176" t="str">
        <f>IFERROR(VLOOKUP(C284,'נתוני רישום ומצבת'!B:G,6,0),"")</f>
        <v/>
      </c>
      <c r="F284" s="281" t="str">
        <f>IFERROR(VLOOKUP(C284,'נתוני רישום ומצבת'!B:K,10,0)," ")</f>
        <v xml:space="preserve"> </v>
      </c>
      <c r="G284" s="443" t="str">
        <f>IFERROR(VLOOKUP(C284,'נתוני רישום ומצבת'!B:E,4,0)," ")</f>
        <v xml:space="preserve"> </v>
      </c>
      <c r="H284" s="444" t="str">
        <f>IFERROR(VLOOKUP(C284,'נתוני רישום ומצבת'!B:K,7,0),"")</f>
        <v/>
      </c>
      <c r="I284" s="180" t="str">
        <f t="shared" si="16"/>
        <v/>
      </c>
      <c r="J284" s="443" t="str">
        <f>IFERROR(VLOOKUP(C284,'נתוני רישום ומצבת'!B:I,5,0)," ")</f>
        <v xml:space="preserve"> </v>
      </c>
      <c r="K284" s="443" t="str">
        <f>IFERROR(VLOOKUP(C284,'נתוני רישום ומצבת'!B:I,8,0),"")</f>
        <v/>
      </c>
      <c r="L284" s="284">
        <f t="shared" si="17"/>
        <v>0</v>
      </c>
      <c r="M284" s="283" t="str">
        <f t="shared" si="15"/>
        <v>-</v>
      </c>
    </row>
    <row r="285" spans="2:13" x14ac:dyDescent="0.25">
      <c r="B285" s="280">
        <v>265</v>
      </c>
      <c r="C285" s="549" t="str" cm="1">
        <f t="array" ref="C285">IFERROR(
   INDEX('נתוני רישום ומצבת'!$B:$B,
      SMALL(
         IF(('נתוני רישום ומצבת'!A$2:A$2998='נתונים כלליים (1)'!$C$5),
         ROW('נתוני רישום ומצבת'!A$2:A$2998)),
      ROW(A265))
   ),
"")</f>
        <v/>
      </c>
      <c r="D285" s="549" t="str">
        <f>IF(C285="", "",
   IFERROR(
      IF(VLOOKUP(C285, 'נתוני רישום ומצבת'!B:J, 9, FALSE) = $F$4,
         VLOOKUP(C285, 'נתוני רישום ומצבת'!B:J, 3, FALSE),
         "המוסד לא קיים ברשות"),
   "המוסד לא קיים"))</f>
        <v/>
      </c>
      <c r="E285" s="176" t="str">
        <f>IFERROR(VLOOKUP(C285,'נתוני רישום ומצבת'!B:G,6,0),"")</f>
        <v/>
      </c>
      <c r="F285" s="281" t="str">
        <f>IFERROR(VLOOKUP(C285,'נתוני רישום ומצבת'!B:K,10,0)," ")</f>
        <v xml:space="preserve"> </v>
      </c>
      <c r="G285" s="443" t="str">
        <f>IFERROR(VLOOKUP(C285,'נתוני רישום ומצבת'!B:E,4,0)," ")</f>
        <v xml:space="preserve"> </v>
      </c>
      <c r="H285" s="444" t="str">
        <f>IFERROR(VLOOKUP(C285,'נתוני רישום ומצבת'!B:K,7,0),"")</f>
        <v/>
      </c>
      <c r="I285" s="180" t="str">
        <f t="shared" si="16"/>
        <v/>
      </c>
      <c r="J285" s="443" t="str">
        <f>IFERROR(VLOOKUP(C285,'נתוני רישום ומצבת'!B:I,5,0)," ")</f>
        <v xml:space="preserve"> </v>
      </c>
      <c r="K285" s="443" t="str">
        <f>IFERROR(VLOOKUP(C285,'נתוני רישום ומצבת'!B:I,8,0),"")</f>
        <v/>
      </c>
      <c r="L285" s="284">
        <f t="shared" si="17"/>
        <v>0</v>
      </c>
      <c r="M285" s="283" t="str">
        <f t="shared" si="15"/>
        <v>-</v>
      </c>
    </row>
    <row r="286" spans="2:13" x14ac:dyDescent="0.25">
      <c r="B286" s="280">
        <v>266</v>
      </c>
      <c r="C286" s="549" t="str" cm="1">
        <f t="array" ref="C286">IFERROR(
   INDEX('נתוני רישום ומצבת'!$B:$B,
      SMALL(
         IF(('נתוני רישום ומצבת'!A$2:A$2998='נתונים כלליים (1)'!$C$5),
         ROW('נתוני רישום ומצבת'!A$2:A$2998)),
      ROW(A266))
   ),
"")</f>
        <v/>
      </c>
      <c r="D286" s="549" t="str">
        <f>IF(C286="", "",
   IFERROR(
      IF(VLOOKUP(C286, 'נתוני רישום ומצבת'!B:J, 9, FALSE) = $F$4,
         VLOOKUP(C286, 'נתוני רישום ומצבת'!B:J, 3, FALSE),
         "המוסד לא קיים ברשות"),
   "המוסד לא קיים"))</f>
        <v/>
      </c>
      <c r="E286" s="176" t="str">
        <f>IFERROR(VLOOKUP(C286,'נתוני רישום ומצבת'!B:G,6,0),"")</f>
        <v/>
      </c>
      <c r="F286" s="281" t="str">
        <f>IFERROR(VLOOKUP(C286,'נתוני רישום ומצבת'!B:K,10,0)," ")</f>
        <v xml:space="preserve"> </v>
      </c>
      <c r="G286" s="443" t="str">
        <f>IFERROR(VLOOKUP(C286,'נתוני רישום ומצבת'!B:E,4,0)," ")</f>
        <v xml:space="preserve"> </v>
      </c>
      <c r="H286" s="444" t="str">
        <f>IFERROR(VLOOKUP(C286,'נתוני רישום ומצבת'!B:K,7,0),"")</f>
        <v/>
      </c>
      <c r="I286" s="180" t="str">
        <f t="shared" si="16"/>
        <v/>
      </c>
      <c r="J286" s="443" t="str">
        <f>IFERROR(VLOOKUP(C286,'נתוני רישום ומצבת'!B:I,5,0)," ")</f>
        <v xml:space="preserve"> </v>
      </c>
      <c r="K286" s="443" t="str">
        <f>IFERROR(VLOOKUP(C286,'נתוני רישום ומצבת'!B:I,8,0),"")</f>
        <v/>
      </c>
      <c r="L286" s="284">
        <f t="shared" si="17"/>
        <v>0</v>
      </c>
      <c r="M286" s="283" t="str">
        <f t="shared" si="15"/>
        <v>-</v>
      </c>
    </row>
    <row r="287" spans="2:13" x14ac:dyDescent="0.25">
      <c r="B287" s="280">
        <v>267</v>
      </c>
      <c r="C287" s="549" t="str" cm="1">
        <f t="array" ref="C287">IFERROR(
   INDEX('נתוני רישום ומצבת'!$B:$B,
      SMALL(
         IF(('נתוני רישום ומצבת'!A$2:A$2998='נתונים כלליים (1)'!$C$5),
         ROW('נתוני רישום ומצבת'!A$2:A$2998)),
      ROW(A267))
   ),
"")</f>
        <v/>
      </c>
      <c r="D287" s="549" t="str">
        <f>IF(C287="", "",
   IFERROR(
      IF(VLOOKUP(C287, 'נתוני רישום ומצבת'!B:J, 9, FALSE) = $F$4,
         VLOOKUP(C287, 'נתוני רישום ומצבת'!B:J, 3, FALSE),
         "המוסד לא קיים ברשות"),
   "המוסד לא קיים"))</f>
        <v/>
      </c>
      <c r="E287" s="176" t="str">
        <f>IFERROR(VLOOKUP(C287,'נתוני רישום ומצבת'!B:G,6,0),"")</f>
        <v/>
      </c>
      <c r="F287" s="281" t="str">
        <f>IFERROR(VLOOKUP(C287,'נתוני רישום ומצבת'!B:K,10,0)," ")</f>
        <v xml:space="preserve"> </v>
      </c>
      <c r="G287" s="443" t="str">
        <f>IFERROR(VLOOKUP(C287,'נתוני רישום ומצבת'!B:E,4,0)," ")</f>
        <v xml:space="preserve"> </v>
      </c>
      <c r="H287" s="444" t="str">
        <f>IFERROR(VLOOKUP(C287,'נתוני רישום ומצבת'!B:K,7,0),"")</f>
        <v/>
      </c>
      <c r="I287" s="180" t="str">
        <f t="shared" si="16"/>
        <v/>
      </c>
      <c r="J287" s="443" t="str">
        <f>IFERROR(VLOOKUP(C287,'נתוני רישום ומצבת'!B:I,5,0)," ")</f>
        <v xml:space="preserve"> </v>
      </c>
      <c r="K287" s="443" t="str">
        <f>IFERROR(VLOOKUP(C287,'נתוני רישום ומצבת'!B:I,8,0),"")</f>
        <v/>
      </c>
      <c r="L287" s="284">
        <f t="shared" si="17"/>
        <v>0</v>
      </c>
      <c r="M287" s="283" t="str">
        <f t="shared" si="15"/>
        <v>-</v>
      </c>
    </row>
    <row r="288" spans="2:13" x14ac:dyDescent="0.25">
      <c r="B288" s="280">
        <v>268</v>
      </c>
      <c r="C288" s="549" t="str" cm="1">
        <f t="array" ref="C288">IFERROR(
   INDEX('נתוני רישום ומצבת'!$B:$B,
      SMALL(
         IF(('נתוני רישום ומצבת'!A$2:A$2998='נתונים כלליים (1)'!$C$5),
         ROW('נתוני רישום ומצבת'!A$2:A$2998)),
      ROW(A268))
   ),
"")</f>
        <v/>
      </c>
      <c r="D288" s="549" t="str">
        <f>IF(C288="", "",
   IFERROR(
      IF(VLOOKUP(C288, 'נתוני רישום ומצבת'!B:J, 9, FALSE) = $F$4,
         VLOOKUP(C288, 'נתוני רישום ומצבת'!B:J, 3, FALSE),
         "המוסד לא קיים ברשות"),
   "המוסד לא קיים"))</f>
        <v/>
      </c>
      <c r="E288" s="176" t="str">
        <f>IFERROR(VLOOKUP(C288,'נתוני רישום ומצבת'!B:G,6,0),"")</f>
        <v/>
      </c>
      <c r="F288" s="281" t="str">
        <f>IFERROR(VLOOKUP(C288,'נתוני רישום ומצבת'!B:K,10,0)," ")</f>
        <v xml:space="preserve"> </v>
      </c>
      <c r="G288" s="443" t="str">
        <f>IFERROR(VLOOKUP(C288,'נתוני רישום ומצבת'!B:E,4,0)," ")</f>
        <v xml:space="preserve"> </v>
      </c>
      <c r="H288" s="444" t="str">
        <f>IFERROR(VLOOKUP(C288,'נתוני רישום ומצבת'!B:K,7,0),"")</f>
        <v/>
      </c>
      <c r="I288" s="180" t="str">
        <f t="shared" si="16"/>
        <v/>
      </c>
      <c r="J288" s="443" t="str">
        <f>IFERROR(VLOOKUP(C288,'נתוני רישום ומצבת'!B:I,5,0)," ")</f>
        <v xml:space="preserve"> </v>
      </c>
      <c r="K288" s="443" t="str">
        <f>IFERROR(VLOOKUP(C288,'נתוני רישום ומצבת'!B:I,8,0),"")</f>
        <v/>
      </c>
      <c r="L288" s="284">
        <f t="shared" si="17"/>
        <v>0</v>
      </c>
      <c r="M288" s="283" t="str">
        <f t="shared" si="15"/>
        <v>-</v>
      </c>
    </row>
    <row r="289" spans="2:13" x14ac:dyDescent="0.25">
      <c r="B289" s="280">
        <v>269</v>
      </c>
      <c r="C289" s="549" t="str" cm="1">
        <f t="array" ref="C289">IFERROR(
   INDEX('נתוני רישום ומצבת'!$B:$B,
      SMALL(
         IF(('נתוני רישום ומצבת'!A$2:A$2998='נתונים כלליים (1)'!$C$5),
         ROW('נתוני רישום ומצבת'!A$2:A$2998)),
      ROW(A269))
   ),
"")</f>
        <v/>
      </c>
      <c r="D289" s="549" t="str">
        <f>IF(C289="", "",
   IFERROR(
      IF(VLOOKUP(C289, 'נתוני רישום ומצבת'!B:J, 9, FALSE) = $F$4,
         VLOOKUP(C289, 'נתוני רישום ומצבת'!B:J, 3, FALSE),
         "המוסד לא קיים ברשות"),
   "המוסד לא קיים"))</f>
        <v/>
      </c>
      <c r="E289" s="176" t="str">
        <f>IFERROR(VLOOKUP(C289,'נתוני רישום ומצבת'!B:G,6,0),"")</f>
        <v/>
      </c>
      <c r="F289" s="281" t="str">
        <f>IFERROR(VLOOKUP(C289,'נתוני רישום ומצבת'!B:K,10,0)," ")</f>
        <v xml:space="preserve"> </v>
      </c>
      <c r="G289" s="443" t="str">
        <f>IFERROR(VLOOKUP(C289,'נתוני רישום ומצבת'!B:E,4,0)," ")</f>
        <v xml:space="preserve"> </v>
      </c>
      <c r="H289" s="444" t="str">
        <f>IFERROR(VLOOKUP(C289,'נתוני רישום ומצבת'!B:K,7,0),"")</f>
        <v/>
      </c>
      <c r="I289" s="180" t="str">
        <f t="shared" si="16"/>
        <v/>
      </c>
      <c r="J289" s="443" t="str">
        <f>IFERROR(VLOOKUP(C289,'נתוני רישום ומצבת'!B:I,5,0)," ")</f>
        <v xml:space="preserve"> </v>
      </c>
      <c r="K289" s="443" t="str">
        <f>IFERROR(VLOOKUP(C289,'נתוני רישום ומצבת'!B:I,8,0),"")</f>
        <v/>
      </c>
      <c r="L289" s="284">
        <f t="shared" si="17"/>
        <v>0</v>
      </c>
      <c r="M289" s="283" t="str">
        <f t="shared" si="15"/>
        <v>-</v>
      </c>
    </row>
    <row r="290" spans="2:13" x14ac:dyDescent="0.25">
      <c r="B290" s="280">
        <v>270</v>
      </c>
      <c r="C290" s="549" t="str" cm="1">
        <f t="array" ref="C290">IFERROR(
   INDEX('נתוני רישום ומצבת'!$B:$B,
      SMALL(
         IF(('נתוני רישום ומצבת'!A$2:A$2998='נתונים כלליים (1)'!$C$5),
         ROW('נתוני רישום ומצבת'!A$2:A$2998)),
      ROW(A270))
   ),
"")</f>
        <v/>
      </c>
      <c r="D290" s="549" t="str">
        <f>IF(C290="", "",
   IFERROR(
      IF(VLOOKUP(C290, 'נתוני רישום ומצבת'!B:J, 9, FALSE) = $F$4,
         VLOOKUP(C290, 'נתוני רישום ומצבת'!B:J, 3, FALSE),
         "המוסד לא קיים ברשות"),
   "המוסד לא קיים"))</f>
        <v/>
      </c>
      <c r="E290" s="176" t="str">
        <f>IFERROR(VLOOKUP(C290,'נתוני רישום ומצבת'!B:G,6,0),"")</f>
        <v/>
      </c>
      <c r="F290" s="281" t="str">
        <f>IFERROR(VLOOKUP(C290,'נתוני רישום ומצבת'!B:K,10,0)," ")</f>
        <v xml:space="preserve"> </v>
      </c>
      <c r="G290" s="443" t="str">
        <f>IFERROR(VLOOKUP(C290,'נתוני רישום ומצבת'!B:E,4,0)," ")</f>
        <v xml:space="preserve"> </v>
      </c>
      <c r="H290" s="444" t="str">
        <f>IFERROR(VLOOKUP(C290,'נתוני רישום ומצבת'!B:K,7,0),"")</f>
        <v/>
      </c>
      <c r="I290" s="180" t="str">
        <f t="shared" si="16"/>
        <v/>
      </c>
      <c r="J290" s="443" t="str">
        <f>IFERROR(VLOOKUP(C290,'נתוני רישום ומצבת'!B:I,5,0)," ")</f>
        <v xml:space="preserve"> </v>
      </c>
      <c r="K290" s="443" t="str">
        <f>IFERROR(VLOOKUP(C290,'נתוני רישום ומצבת'!B:I,8,0),"")</f>
        <v/>
      </c>
      <c r="L290" s="284">
        <f t="shared" si="17"/>
        <v>0</v>
      </c>
      <c r="M290" s="283" t="str">
        <f t="shared" si="15"/>
        <v>-</v>
      </c>
    </row>
    <row r="291" spans="2:13" x14ac:dyDescent="0.25">
      <c r="B291" s="280">
        <v>271</v>
      </c>
      <c r="C291" s="549" t="str" cm="1">
        <f t="array" ref="C291">IFERROR(
   INDEX('נתוני רישום ומצבת'!$B:$B,
      SMALL(
         IF(('נתוני רישום ומצבת'!A$2:A$2998='נתונים כלליים (1)'!$C$5),
         ROW('נתוני רישום ומצבת'!A$2:A$2998)),
      ROW(A271))
   ),
"")</f>
        <v/>
      </c>
      <c r="D291" s="549" t="str">
        <f>IF(C291="", "",
   IFERROR(
      IF(VLOOKUP(C291, 'נתוני רישום ומצבת'!B:J, 9, FALSE) = $F$4,
         VLOOKUP(C291, 'נתוני רישום ומצבת'!B:J, 3, FALSE),
         "המוסד לא קיים ברשות"),
   "המוסד לא קיים"))</f>
        <v/>
      </c>
      <c r="E291" s="176" t="str">
        <f>IFERROR(VLOOKUP(C291,'נתוני רישום ומצבת'!B:G,6,0),"")</f>
        <v/>
      </c>
      <c r="F291" s="281" t="str">
        <f>IFERROR(VLOOKUP(C291,'נתוני רישום ומצבת'!B:K,10,0)," ")</f>
        <v xml:space="preserve"> </v>
      </c>
      <c r="G291" s="443" t="str">
        <f>IFERROR(VLOOKUP(C291,'נתוני רישום ומצבת'!B:E,4,0)," ")</f>
        <v xml:space="preserve"> </v>
      </c>
      <c r="H291" s="444" t="str">
        <f>IFERROR(VLOOKUP(C291,'נתוני רישום ומצבת'!B:K,7,0),"")</f>
        <v/>
      </c>
      <c r="I291" s="180" t="str">
        <f t="shared" si="16"/>
        <v/>
      </c>
      <c r="J291" s="443" t="str">
        <f>IFERROR(VLOOKUP(C291,'נתוני רישום ומצבת'!B:I,5,0)," ")</f>
        <v xml:space="preserve"> </v>
      </c>
      <c r="K291" s="443" t="str">
        <f>IFERROR(VLOOKUP(C291,'נתוני רישום ומצבת'!B:I,8,0),"")</f>
        <v/>
      </c>
      <c r="L291" s="284">
        <f t="shared" si="17"/>
        <v>0</v>
      </c>
      <c r="M291" s="283" t="str">
        <f t="shared" si="15"/>
        <v>-</v>
      </c>
    </row>
    <row r="292" spans="2:13" x14ac:dyDescent="0.25">
      <c r="B292" s="280">
        <v>272</v>
      </c>
      <c r="C292" s="549" t="str" cm="1">
        <f t="array" ref="C292">IFERROR(
   INDEX('נתוני רישום ומצבת'!$B:$B,
      SMALL(
         IF(('נתוני רישום ומצבת'!A$2:A$2998='נתונים כלליים (1)'!$C$5),
         ROW('נתוני רישום ומצבת'!A$2:A$2998)),
      ROW(A272))
   ),
"")</f>
        <v/>
      </c>
      <c r="D292" s="549" t="str">
        <f>IF(C292="", "",
   IFERROR(
      IF(VLOOKUP(C292, 'נתוני רישום ומצבת'!B:J, 9, FALSE) = $F$4,
         VLOOKUP(C292, 'נתוני רישום ומצבת'!B:J, 3, FALSE),
         "המוסד לא קיים ברשות"),
   "המוסד לא קיים"))</f>
        <v/>
      </c>
      <c r="E292" s="176" t="str">
        <f>IFERROR(VLOOKUP(C292,'נתוני רישום ומצבת'!B:G,6,0),"")</f>
        <v/>
      </c>
      <c r="F292" s="281" t="str">
        <f>IFERROR(VLOOKUP(C292,'נתוני רישום ומצבת'!B:K,10,0)," ")</f>
        <v xml:space="preserve"> </v>
      </c>
      <c r="G292" s="443" t="str">
        <f>IFERROR(VLOOKUP(C292,'נתוני רישום ומצבת'!B:E,4,0)," ")</f>
        <v xml:space="preserve"> </v>
      </c>
      <c r="H292" s="444" t="str">
        <f>IFERROR(VLOOKUP(C292,'נתוני רישום ומצבת'!B:K,7,0),"")</f>
        <v/>
      </c>
      <c r="I292" s="180" t="str">
        <f t="shared" si="16"/>
        <v/>
      </c>
      <c r="J292" s="443" t="str">
        <f>IFERROR(VLOOKUP(C292,'נתוני רישום ומצבת'!B:I,5,0)," ")</f>
        <v xml:space="preserve"> </v>
      </c>
      <c r="K292" s="443" t="str">
        <f>IFERROR(VLOOKUP(C292,'נתוני רישום ומצבת'!B:I,8,0),"")</f>
        <v/>
      </c>
      <c r="L292" s="284">
        <f t="shared" si="17"/>
        <v>0</v>
      </c>
      <c r="M292" s="283" t="str">
        <f t="shared" si="15"/>
        <v>-</v>
      </c>
    </row>
    <row r="293" spans="2:13" x14ac:dyDescent="0.25">
      <c r="B293" s="280">
        <v>273</v>
      </c>
      <c r="C293" s="549" t="str" cm="1">
        <f t="array" ref="C293">IFERROR(
   INDEX('נתוני רישום ומצבת'!$B:$B,
      SMALL(
         IF(('נתוני רישום ומצבת'!A$2:A$2998='נתונים כלליים (1)'!$C$5),
         ROW('נתוני רישום ומצבת'!A$2:A$2998)),
      ROW(A273))
   ),
"")</f>
        <v/>
      </c>
      <c r="D293" s="549" t="str">
        <f>IF(C293="", "",
   IFERROR(
      IF(VLOOKUP(C293, 'נתוני רישום ומצבת'!B:J, 9, FALSE) = $F$4,
         VLOOKUP(C293, 'נתוני רישום ומצבת'!B:J, 3, FALSE),
         "המוסד לא קיים ברשות"),
   "המוסד לא קיים"))</f>
        <v/>
      </c>
      <c r="E293" s="176" t="str">
        <f>IFERROR(VLOOKUP(C293,'נתוני רישום ומצבת'!B:G,6,0),"")</f>
        <v/>
      </c>
      <c r="F293" s="281" t="str">
        <f>IFERROR(VLOOKUP(C293,'נתוני רישום ומצבת'!B:K,10,0)," ")</f>
        <v xml:space="preserve"> </v>
      </c>
      <c r="G293" s="443" t="str">
        <f>IFERROR(VLOOKUP(C293,'נתוני רישום ומצבת'!B:E,4,0)," ")</f>
        <v xml:space="preserve"> </v>
      </c>
      <c r="H293" s="444" t="str">
        <f>IFERROR(VLOOKUP(C293,'נתוני רישום ומצבת'!B:K,7,0),"")</f>
        <v/>
      </c>
      <c r="I293" s="180" t="str">
        <f t="shared" si="16"/>
        <v/>
      </c>
      <c r="J293" s="443" t="str">
        <f>IFERROR(VLOOKUP(C293,'נתוני רישום ומצבת'!B:I,5,0)," ")</f>
        <v xml:space="preserve"> </v>
      </c>
      <c r="K293" s="443" t="str">
        <f>IFERROR(VLOOKUP(C293,'נתוני רישום ומצבת'!B:I,8,0),"")</f>
        <v/>
      </c>
      <c r="L293" s="284">
        <f t="shared" si="17"/>
        <v>0</v>
      </c>
      <c r="M293" s="283" t="str">
        <f t="shared" si="15"/>
        <v>-</v>
      </c>
    </row>
    <row r="294" spans="2:13" x14ac:dyDescent="0.25">
      <c r="B294" s="280">
        <v>274</v>
      </c>
      <c r="C294" s="549" t="str" cm="1">
        <f t="array" ref="C294">IFERROR(
   INDEX('נתוני רישום ומצבת'!$B:$B,
      SMALL(
         IF(('נתוני רישום ומצבת'!A$2:A$2998='נתונים כלליים (1)'!$C$5),
         ROW('נתוני רישום ומצבת'!A$2:A$2998)),
      ROW(A274))
   ),
"")</f>
        <v/>
      </c>
      <c r="D294" s="549" t="str">
        <f>IF(C294="", "",
   IFERROR(
      IF(VLOOKUP(C294, 'נתוני רישום ומצבת'!B:J, 9, FALSE) = $F$4,
         VLOOKUP(C294, 'נתוני רישום ומצבת'!B:J, 3, FALSE),
         "המוסד לא קיים ברשות"),
   "המוסד לא קיים"))</f>
        <v/>
      </c>
      <c r="E294" s="176" t="str">
        <f>IFERROR(VLOOKUP(C294,'נתוני רישום ומצבת'!B:G,6,0),"")</f>
        <v/>
      </c>
      <c r="F294" s="281" t="str">
        <f>IFERROR(VLOOKUP(C294,'נתוני רישום ומצבת'!B:K,10,0)," ")</f>
        <v xml:space="preserve"> </v>
      </c>
      <c r="G294" s="443" t="str">
        <f>IFERROR(VLOOKUP(C294,'נתוני רישום ומצבת'!B:E,4,0)," ")</f>
        <v xml:space="preserve"> </v>
      </c>
      <c r="H294" s="444" t="str">
        <f>IFERROR(VLOOKUP(C294,'נתוני רישום ומצבת'!B:K,7,0),"")</f>
        <v/>
      </c>
      <c r="I294" s="180" t="str">
        <f t="shared" si="16"/>
        <v/>
      </c>
      <c r="J294" s="443" t="str">
        <f>IFERROR(VLOOKUP(C294,'נתוני רישום ומצבת'!B:I,5,0)," ")</f>
        <v xml:space="preserve"> </v>
      </c>
      <c r="K294" s="443" t="str">
        <f>IFERROR(VLOOKUP(C294,'נתוני רישום ומצבת'!B:I,8,0),"")</f>
        <v/>
      </c>
      <c r="L294" s="284">
        <f t="shared" si="17"/>
        <v>0</v>
      </c>
      <c r="M294" s="283" t="str">
        <f t="shared" si="15"/>
        <v>-</v>
      </c>
    </row>
    <row r="295" spans="2:13" x14ac:dyDescent="0.25">
      <c r="B295" s="280">
        <v>275</v>
      </c>
      <c r="C295" s="549" t="str" cm="1">
        <f t="array" ref="C295">IFERROR(
   INDEX('נתוני רישום ומצבת'!$B:$B,
      SMALL(
         IF(('נתוני רישום ומצבת'!A$2:A$2998='נתונים כלליים (1)'!$C$5),
         ROW('נתוני רישום ומצבת'!A$2:A$2998)),
      ROW(A275))
   ),
"")</f>
        <v/>
      </c>
      <c r="D295" s="549" t="str">
        <f>IF(C295="", "",
   IFERROR(
      IF(VLOOKUP(C295, 'נתוני רישום ומצבת'!B:J, 9, FALSE) = $F$4,
         VLOOKUP(C295, 'נתוני רישום ומצבת'!B:J, 3, FALSE),
         "המוסד לא קיים ברשות"),
   "המוסד לא קיים"))</f>
        <v/>
      </c>
      <c r="E295" s="176" t="str">
        <f>IFERROR(VLOOKUP(C295,'נתוני רישום ומצבת'!B:G,6,0),"")</f>
        <v/>
      </c>
      <c r="F295" s="281" t="str">
        <f>IFERROR(VLOOKUP(C295,'נתוני רישום ומצבת'!B:K,10,0)," ")</f>
        <v xml:space="preserve"> </v>
      </c>
      <c r="G295" s="443" t="str">
        <f>IFERROR(VLOOKUP(C295,'נתוני רישום ומצבת'!B:E,4,0)," ")</f>
        <v xml:space="preserve"> </v>
      </c>
      <c r="H295" s="444" t="str">
        <f>IFERROR(VLOOKUP(C295,'נתוני רישום ומצבת'!B:K,7,0),"")</f>
        <v/>
      </c>
      <c r="I295" s="180" t="str">
        <f t="shared" si="16"/>
        <v/>
      </c>
      <c r="J295" s="443" t="str">
        <f>IFERROR(VLOOKUP(C295,'נתוני רישום ומצבת'!B:I,5,0)," ")</f>
        <v xml:space="preserve"> </v>
      </c>
      <c r="K295" s="443" t="str">
        <f>IFERROR(VLOOKUP(C295,'נתוני רישום ומצבת'!B:I,8,0),"")</f>
        <v/>
      </c>
      <c r="L295" s="284">
        <f t="shared" si="17"/>
        <v>0</v>
      </c>
      <c r="M295" s="283" t="str">
        <f t="shared" si="15"/>
        <v>-</v>
      </c>
    </row>
    <row r="296" spans="2:13" x14ac:dyDescent="0.25">
      <c r="B296" s="280">
        <v>276</v>
      </c>
      <c r="C296" s="549" t="str" cm="1">
        <f t="array" ref="C296">IFERROR(
   INDEX('נתוני רישום ומצבת'!$B:$B,
      SMALL(
         IF(('נתוני רישום ומצבת'!A$2:A$2998='נתונים כלליים (1)'!$C$5),
         ROW('נתוני רישום ומצבת'!A$2:A$2998)),
      ROW(A276))
   ),
"")</f>
        <v/>
      </c>
      <c r="D296" s="549" t="str">
        <f>IF(C296="", "",
   IFERROR(
      IF(VLOOKUP(C296, 'נתוני רישום ומצבת'!B:J, 9, FALSE) = $F$4,
         VLOOKUP(C296, 'נתוני רישום ומצבת'!B:J, 3, FALSE),
         "המוסד לא קיים ברשות"),
   "המוסד לא קיים"))</f>
        <v/>
      </c>
      <c r="E296" s="176" t="str">
        <f>IFERROR(VLOOKUP(C296,'נתוני רישום ומצבת'!B:G,6,0),"")</f>
        <v/>
      </c>
      <c r="F296" s="281" t="str">
        <f>IFERROR(VLOOKUP(C296,'נתוני רישום ומצבת'!B:K,10,0)," ")</f>
        <v xml:space="preserve"> </v>
      </c>
      <c r="G296" s="443" t="str">
        <f>IFERROR(VLOOKUP(C296,'נתוני רישום ומצבת'!B:E,4,0)," ")</f>
        <v xml:space="preserve"> </v>
      </c>
      <c r="H296" s="444" t="str">
        <f>IFERROR(VLOOKUP(C296,'נתוני רישום ומצבת'!B:K,7,0),"")</f>
        <v/>
      </c>
      <c r="I296" s="180" t="str">
        <f t="shared" si="16"/>
        <v/>
      </c>
      <c r="J296" s="443" t="str">
        <f>IFERROR(VLOOKUP(C296,'נתוני רישום ומצבת'!B:I,5,0)," ")</f>
        <v xml:space="preserve"> </v>
      </c>
      <c r="K296" s="443" t="str">
        <f>IFERROR(VLOOKUP(C296,'נתוני רישום ומצבת'!B:I,8,0),"")</f>
        <v/>
      </c>
      <c r="L296" s="284">
        <f t="shared" si="17"/>
        <v>0</v>
      </c>
      <c r="M296" s="283" t="str">
        <f t="shared" si="15"/>
        <v>-</v>
      </c>
    </row>
    <row r="297" spans="2:13" x14ac:dyDescent="0.25">
      <c r="B297" s="280">
        <v>277</v>
      </c>
      <c r="C297" s="549" t="str" cm="1">
        <f t="array" ref="C297">IFERROR(
   INDEX('נתוני רישום ומצבת'!$B:$B,
      SMALL(
         IF(('נתוני רישום ומצבת'!A$2:A$2998='נתונים כלליים (1)'!$C$5),
         ROW('נתוני רישום ומצבת'!A$2:A$2998)),
      ROW(A277))
   ),
"")</f>
        <v/>
      </c>
      <c r="D297" s="549" t="str">
        <f>IF(C297="", "",
   IFERROR(
      IF(VLOOKUP(C297, 'נתוני רישום ומצבת'!B:J, 9, FALSE) = $F$4,
         VLOOKUP(C297, 'נתוני רישום ומצבת'!B:J, 3, FALSE),
         "המוסד לא קיים ברשות"),
   "המוסד לא קיים"))</f>
        <v/>
      </c>
      <c r="E297" s="176" t="str">
        <f>IFERROR(VLOOKUP(C297,'נתוני רישום ומצבת'!B:G,6,0),"")</f>
        <v/>
      </c>
      <c r="F297" s="281" t="str">
        <f>IFERROR(VLOOKUP(C297,'נתוני רישום ומצבת'!B:K,10,0)," ")</f>
        <v xml:space="preserve"> </v>
      </c>
      <c r="G297" s="443" t="str">
        <f>IFERROR(VLOOKUP(C297,'נתוני רישום ומצבת'!B:E,4,0)," ")</f>
        <v xml:space="preserve"> </v>
      </c>
      <c r="H297" s="444" t="str">
        <f>IFERROR(VLOOKUP(C297,'נתוני רישום ומצבת'!B:K,7,0),"")</f>
        <v/>
      </c>
      <c r="I297" s="180" t="str">
        <f t="shared" si="16"/>
        <v/>
      </c>
      <c r="J297" s="443" t="str">
        <f>IFERROR(VLOOKUP(C297,'נתוני רישום ומצבת'!B:I,5,0)," ")</f>
        <v xml:space="preserve"> </v>
      </c>
      <c r="K297" s="443" t="str">
        <f>IFERROR(VLOOKUP(C297,'נתוני רישום ומצבת'!B:I,8,0),"")</f>
        <v/>
      </c>
      <c r="L297" s="284">
        <f t="shared" si="17"/>
        <v>0</v>
      </c>
      <c r="M297" s="283" t="str">
        <f t="shared" si="15"/>
        <v>-</v>
      </c>
    </row>
    <row r="298" spans="2:13" x14ac:dyDescent="0.25">
      <c r="B298" s="280">
        <v>278</v>
      </c>
      <c r="C298" s="549" t="str" cm="1">
        <f t="array" ref="C298">IFERROR(
   INDEX('נתוני רישום ומצבת'!$B:$B,
      SMALL(
         IF(('נתוני רישום ומצבת'!A$2:A$2998='נתונים כלליים (1)'!$C$5),
         ROW('נתוני רישום ומצבת'!A$2:A$2998)),
      ROW(A278))
   ),
"")</f>
        <v/>
      </c>
      <c r="D298" s="549" t="str">
        <f>IF(C298="", "",
   IFERROR(
      IF(VLOOKUP(C298, 'נתוני רישום ומצבת'!B:J, 9, FALSE) = $F$4,
         VLOOKUP(C298, 'נתוני רישום ומצבת'!B:J, 3, FALSE),
         "המוסד לא קיים ברשות"),
   "המוסד לא קיים"))</f>
        <v/>
      </c>
      <c r="E298" s="176" t="str">
        <f>IFERROR(VLOOKUP(C298,'נתוני רישום ומצבת'!B:G,6,0),"")</f>
        <v/>
      </c>
      <c r="F298" s="281" t="str">
        <f>IFERROR(VLOOKUP(C298,'נתוני רישום ומצבת'!B:K,10,0)," ")</f>
        <v xml:space="preserve"> </v>
      </c>
      <c r="G298" s="443" t="str">
        <f>IFERROR(VLOOKUP(C298,'נתוני רישום ומצבת'!B:E,4,0)," ")</f>
        <v xml:space="preserve"> </v>
      </c>
      <c r="H298" s="444" t="str">
        <f>IFERROR(VLOOKUP(C298,'נתוני רישום ומצבת'!B:K,7,0),"")</f>
        <v/>
      </c>
      <c r="I298" s="180" t="str">
        <f t="shared" si="16"/>
        <v/>
      </c>
      <c r="J298" s="443" t="str">
        <f>IFERROR(VLOOKUP(C298,'נתוני רישום ומצבת'!B:I,5,0)," ")</f>
        <v xml:space="preserve"> </v>
      </c>
      <c r="K298" s="443" t="str">
        <f>IFERROR(VLOOKUP(C298,'נתוני רישום ומצבת'!B:I,8,0),"")</f>
        <v/>
      </c>
      <c r="L298" s="284">
        <f t="shared" si="17"/>
        <v>0</v>
      </c>
      <c r="M298" s="283" t="str">
        <f t="shared" si="15"/>
        <v>-</v>
      </c>
    </row>
    <row r="299" spans="2:13" x14ac:dyDescent="0.25">
      <c r="B299" s="280">
        <v>279</v>
      </c>
      <c r="C299" s="549" t="str" cm="1">
        <f t="array" ref="C299">IFERROR(
   INDEX('נתוני רישום ומצבת'!$B:$B,
      SMALL(
         IF(('נתוני רישום ומצבת'!A$2:A$2998='נתונים כלליים (1)'!$C$5),
         ROW('נתוני רישום ומצבת'!A$2:A$2998)),
      ROW(A279))
   ),
"")</f>
        <v/>
      </c>
      <c r="D299" s="549" t="str">
        <f>IF(C299="", "",
   IFERROR(
      IF(VLOOKUP(C299, 'נתוני רישום ומצבת'!B:J, 9, FALSE) = $F$4,
         VLOOKUP(C299, 'נתוני רישום ומצבת'!B:J, 3, FALSE),
         "המוסד לא קיים ברשות"),
   "המוסד לא קיים"))</f>
        <v/>
      </c>
      <c r="E299" s="176" t="str">
        <f>IFERROR(VLOOKUP(C299,'נתוני רישום ומצבת'!B:G,6,0),"")</f>
        <v/>
      </c>
      <c r="F299" s="281" t="str">
        <f>IFERROR(VLOOKUP(C299,'נתוני רישום ומצבת'!B:K,10,0)," ")</f>
        <v xml:space="preserve"> </v>
      </c>
      <c r="G299" s="443" t="str">
        <f>IFERROR(VLOOKUP(C299,'נתוני רישום ומצבת'!B:E,4,0)," ")</f>
        <v xml:space="preserve"> </v>
      </c>
      <c r="H299" s="444" t="str">
        <f>IFERROR(VLOOKUP(C299,'נתוני רישום ומצבת'!B:K,7,0),"")</f>
        <v/>
      </c>
      <c r="I299" s="180" t="str">
        <f t="shared" si="16"/>
        <v/>
      </c>
      <c r="J299" s="443" t="str">
        <f>IFERROR(VLOOKUP(C299,'נתוני רישום ומצבת'!B:I,5,0)," ")</f>
        <v xml:space="preserve"> </v>
      </c>
      <c r="K299" s="443" t="str">
        <f>IFERROR(VLOOKUP(C299,'נתוני רישום ומצבת'!B:I,8,0),"")</f>
        <v/>
      </c>
      <c r="L299" s="284">
        <f t="shared" si="17"/>
        <v>0</v>
      </c>
      <c r="M299" s="283" t="str">
        <f t="shared" si="15"/>
        <v>-</v>
      </c>
    </row>
    <row r="300" spans="2:13" x14ac:dyDescent="0.25">
      <c r="B300" s="280">
        <v>280</v>
      </c>
      <c r="C300" s="549" t="str" cm="1">
        <f t="array" ref="C300">IFERROR(
   INDEX('נתוני רישום ומצבת'!$B:$B,
      SMALL(
         IF(('נתוני רישום ומצבת'!A$2:A$2998='נתונים כלליים (1)'!$C$5),
         ROW('נתוני רישום ומצבת'!A$2:A$2998)),
      ROW(A280))
   ),
"")</f>
        <v/>
      </c>
      <c r="D300" s="549" t="str">
        <f>IF(C300="", "",
   IFERROR(
      IF(VLOOKUP(C300, 'נתוני רישום ומצבת'!B:J, 9, FALSE) = $F$4,
         VLOOKUP(C300, 'נתוני רישום ומצבת'!B:J, 3, FALSE),
         "המוסד לא קיים ברשות"),
   "המוסד לא קיים"))</f>
        <v/>
      </c>
      <c r="E300" s="176" t="str">
        <f>IFERROR(VLOOKUP(C300,'נתוני רישום ומצבת'!B:G,6,0),"")</f>
        <v/>
      </c>
      <c r="F300" s="281" t="str">
        <f>IFERROR(VLOOKUP(C300,'נתוני רישום ומצבת'!B:K,10,0)," ")</f>
        <v xml:space="preserve"> </v>
      </c>
      <c r="G300" s="443" t="str">
        <f>IFERROR(VLOOKUP(C300,'נתוני רישום ומצבת'!B:E,4,0)," ")</f>
        <v xml:space="preserve"> </v>
      </c>
      <c r="H300" s="444" t="str">
        <f>IFERROR(VLOOKUP(C300,'נתוני רישום ומצבת'!B:K,7,0),"")</f>
        <v/>
      </c>
      <c r="I300" s="180" t="str">
        <f t="shared" si="16"/>
        <v/>
      </c>
      <c r="J300" s="443" t="str">
        <f>IFERROR(VLOOKUP(C300,'נתוני רישום ומצבת'!B:I,5,0)," ")</f>
        <v xml:space="preserve"> </v>
      </c>
      <c r="K300" s="443" t="str">
        <f>IFERROR(VLOOKUP(C300,'נתוני רישום ומצבת'!B:I,8,0),"")</f>
        <v/>
      </c>
      <c r="L300" s="284">
        <f t="shared" si="17"/>
        <v>0</v>
      </c>
      <c r="M300" s="283" t="str">
        <f t="shared" si="15"/>
        <v>-</v>
      </c>
    </row>
    <row r="301" spans="2:13" x14ac:dyDescent="0.25">
      <c r="B301" s="280">
        <v>281</v>
      </c>
      <c r="C301" s="549" t="str" cm="1">
        <f t="array" ref="C301">IFERROR(
   INDEX('נתוני רישום ומצבת'!$B:$B,
      SMALL(
         IF(('נתוני רישום ומצבת'!A$2:A$2998='נתונים כלליים (1)'!$C$5),
         ROW('נתוני רישום ומצבת'!A$2:A$2998)),
      ROW(A281))
   ),
"")</f>
        <v/>
      </c>
      <c r="D301" s="549" t="str">
        <f>IF(C301="", "",
   IFERROR(
      IF(VLOOKUP(C301, 'נתוני רישום ומצבת'!B:J, 9, FALSE) = $F$4,
         VLOOKUP(C301, 'נתוני רישום ומצבת'!B:J, 3, FALSE),
         "המוסד לא קיים ברשות"),
   "המוסד לא קיים"))</f>
        <v/>
      </c>
      <c r="E301" s="176" t="str">
        <f>IFERROR(VLOOKUP(C301,'נתוני רישום ומצבת'!B:G,6,0),"")</f>
        <v/>
      </c>
      <c r="F301" s="281" t="str">
        <f>IFERROR(VLOOKUP(C301,'נתוני רישום ומצבת'!B:K,10,0)," ")</f>
        <v xml:space="preserve"> </v>
      </c>
      <c r="G301" s="443" t="str">
        <f>IFERROR(VLOOKUP(C301,'נתוני רישום ומצבת'!B:E,4,0)," ")</f>
        <v xml:space="preserve"> </v>
      </c>
      <c r="H301" s="444" t="str">
        <f>IFERROR(VLOOKUP(C301,'נתוני רישום ומצבת'!B:K,7,0),"")</f>
        <v/>
      </c>
      <c r="I301" s="180" t="str">
        <f t="shared" si="16"/>
        <v/>
      </c>
      <c r="J301" s="443" t="str">
        <f>IFERROR(VLOOKUP(C301,'נתוני רישום ומצבת'!B:I,5,0)," ")</f>
        <v xml:space="preserve"> </v>
      </c>
      <c r="K301" s="443" t="str">
        <f>IFERROR(VLOOKUP(C301,'נתוני רישום ומצבת'!B:I,8,0),"")</f>
        <v/>
      </c>
      <c r="L301" s="284">
        <f t="shared" si="17"/>
        <v>0</v>
      </c>
      <c r="M301" s="283" t="str">
        <f t="shared" si="15"/>
        <v>-</v>
      </c>
    </row>
    <row r="302" spans="2:13" x14ac:dyDescent="0.25">
      <c r="B302" s="280">
        <v>282</v>
      </c>
      <c r="C302" s="549" t="str" cm="1">
        <f t="array" ref="C302">IFERROR(
   INDEX('נתוני רישום ומצבת'!$B:$B,
      SMALL(
         IF(('נתוני רישום ומצבת'!A$2:A$2998='נתונים כלליים (1)'!$C$5),
         ROW('נתוני רישום ומצבת'!A$2:A$2998)),
      ROW(A282))
   ),
"")</f>
        <v/>
      </c>
      <c r="D302" s="549" t="str">
        <f>IF(C302="", "",
   IFERROR(
      IF(VLOOKUP(C302, 'נתוני רישום ומצבת'!B:J, 9, FALSE) = $F$4,
         VLOOKUP(C302, 'נתוני רישום ומצבת'!B:J, 3, FALSE),
         "המוסד לא קיים ברשות"),
   "המוסד לא קיים"))</f>
        <v/>
      </c>
      <c r="E302" s="176" t="str">
        <f>IFERROR(VLOOKUP(C302,'נתוני רישום ומצבת'!B:G,6,0),"")</f>
        <v/>
      </c>
      <c r="F302" s="281" t="str">
        <f>IFERROR(VLOOKUP(C302,'נתוני רישום ומצבת'!B:K,10,0)," ")</f>
        <v xml:space="preserve"> </v>
      </c>
      <c r="G302" s="443" t="str">
        <f>IFERROR(VLOOKUP(C302,'נתוני רישום ומצבת'!B:E,4,0)," ")</f>
        <v xml:space="preserve"> </v>
      </c>
      <c r="H302" s="444" t="str">
        <f>IFERROR(VLOOKUP(C302,'נתוני רישום ומצבת'!B:K,7,0),"")</f>
        <v/>
      </c>
      <c r="I302" s="180" t="str">
        <f t="shared" si="16"/>
        <v/>
      </c>
      <c r="J302" s="443" t="str">
        <f>IFERROR(VLOOKUP(C302,'נתוני רישום ומצבת'!B:I,5,0)," ")</f>
        <v xml:space="preserve"> </v>
      </c>
      <c r="K302" s="443" t="str">
        <f>IFERROR(VLOOKUP(C302,'נתוני רישום ומצבת'!B:I,8,0),"")</f>
        <v/>
      </c>
      <c r="L302" s="284">
        <f t="shared" si="17"/>
        <v>0</v>
      </c>
      <c r="M302" s="283" t="str">
        <f t="shared" si="15"/>
        <v>-</v>
      </c>
    </row>
    <row r="303" spans="2:13" x14ac:dyDescent="0.25">
      <c r="B303" s="280">
        <v>283</v>
      </c>
      <c r="C303" s="549" t="str" cm="1">
        <f t="array" ref="C303">IFERROR(
   INDEX('נתוני רישום ומצבת'!$B:$B,
      SMALL(
         IF(('נתוני רישום ומצבת'!A$2:A$2998='נתונים כלליים (1)'!$C$5),
         ROW('נתוני רישום ומצבת'!A$2:A$2998)),
      ROW(A283))
   ),
"")</f>
        <v/>
      </c>
      <c r="D303" s="549" t="str">
        <f>IF(C303="", "",
   IFERROR(
      IF(VLOOKUP(C303, 'נתוני רישום ומצבת'!B:J, 9, FALSE) = $F$4,
         VLOOKUP(C303, 'נתוני רישום ומצבת'!B:J, 3, FALSE),
         "המוסד לא קיים ברשות"),
   "המוסד לא קיים"))</f>
        <v/>
      </c>
      <c r="E303" s="176" t="str">
        <f>IFERROR(VLOOKUP(C303,'נתוני רישום ומצבת'!B:G,6,0),"")</f>
        <v/>
      </c>
      <c r="F303" s="281" t="str">
        <f>IFERROR(VLOOKUP(C303,'נתוני רישום ומצבת'!B:K,10,0)," ")</f>
        <v xml:space="preserve"> </v>
      </c>
      <c r="G303" s="443" t="str">
        <f>IFERROR(VLOOKUP(C303,'נתוני רישום ומצבת'!B:E,4,0)," ")</f>
        <v xml:space="preserve"> </v>
      </c>
      <c r="H303" s="444" t="str">
        <f>IFERROR(VLOOKUP(C303,'נתוני רישום ומצבת'!B:K,7,0),"")</f>
        <v/>
      </c>
      <c r="I303" s="180" t="str">
        <f t="shared" si="16"/>
        <v/>
      </c>
      <c r="J303" s="443" t="str">
        <f>IFERROR(VLOOKUP(C303,'נתוני רישום ומצבת'!B:I,5,0)," ")</f>
        <v xml:space="preserve"> </v>
      </c>
      <c r="K303" s="443" t="str">
        <f>IFERROR(VLOOKUP(C303,'נתוני רישום ומצבת'!B:I,8,0),"")</f>
        <v/>
      </c>
      <c r="L303" s="284">
        <f t="shared" si="17"/>
        <v>0</v>
      </c>
      <c r="M303" s="283" t="str">
        <f t="shared" si="15"/>
        <v>-</v>
      </c>
    </row>
    <row r="304" spans="2:13" x14ac:dyDescent="0.25">
      <c r="B304" s="280">
        <v>284</v>
      </c>
      <c r="C304" s="549" t="str" cm="1">
        <f t="array" ref="C304">IFERROR(
   INDEX('נתוני רישום ומצבת'!$B:$B,
      SMALL(
         IF(('נתוני רישום ומצבת'!A$2:A$2998='נתונים כלליים (1)'!$C$5),
         ROW('נתוני רישום ומצבת'!A$2:A$2998)),
      ROW(A284))
   ),
"")</f>
        <v/>
      </c>
      <c r="D304" s="549" t="str">
        <f>IF(C304="", "",
   IFERROR(
      IF(VLOOKUP(C304, 'נתוני רישום ומצבת'!B:J, 9, FALSE) = $F$4,
         VLOOKUP(C304, 'נתוני רישום ומצבת'!B:J, 3, FALSE),
         "המוסד לא קיים ברשות"),
   "המוסד לא קיים"))</f>
        <v/>
      </c>
      <c r="E304" s="176" t="str">
        <f>IFERROR(VLOOKUP(C304,'נתוני רישום ומצבת'!B:G,6,0),"")</f>
        <v/>
      </c>
      <c r="F304" s="281" t="str">
        <f>IFERROR(VLOOKUP(C304,'נתוני רישום ומצבת'!B:K,10,0)," ")</f>
        <v xml:space="preserve"> </v>
      </c>
      <c r="G304" s="443" t="str">
        <f>IFERROR(VLOOKUP(C304,'נתוני רישום ומצבת'!B:E,4,0)," ")</f>
        <v xml:space="preserve"> </v>
      </c>
      <c r="H304" s="444" t="str">
        <f>IFERROR(VLOOKUP(C304,'נתוני רישום ומצבת'!B:K,7,0),"")</f>
        <v/>
      </c>
      <c r="I304" s="180" t="str">
        <f t="shared" si="16"/>
        <v/>
      </c>
      <c r="J304" s="443" t="str">
        <f>IFERROR(VLOOKUP(C304,'נתוני רישום ומצבת'!B:I,5,0)," ")</f>
        <v xml:space="preserve"> </v>
      </c>
      <c r="K304" s="443" t="str">
        <f>IFERROR(VLOOKUP(C304,'נתוני רישום ומצבת'!B:I,8,0),"")</f>
        <v/>
      </c>
      <c r="L304" s="284">
        <f t="shared" si="17"/>
        <v>0</v>
      </c>
      <c r="M304" s="283" t="str">
        <f t="shared" si="15"/>
        <v>-</v>
      </c>
    </row>
    <row r="305" spans="2:13" x14ac:dyDescent="0.25">
      <c r="B305" s="280">
        <v>285</v>
      </c>
      <c r="C305" s="549" t="str" cm="1">
        <f t="array" ref="C305">IFERROR(
   INDEX('נתוני רישום ומצבת'!$B:$B,
      SMALL(
         IF(('נתוני רישום ומצבת'!A$2:A$2998='נתונים כלליים (1)'!$C$5),
         ROW('נתוני רישום ומצבת'!A$2:A$2998)),
      ROW(A285))
   ),
"")</f>
        <v/>
      </c>
      <c r="D305" s="549" t="str">
        <f>IF(C305="", "",
   IFERROR(
      IF(VLOOKUP(C305, 'נתוני רישום ומצבת'!B:J, 9, FALSE) = $F$4,
         VLOOKUP(C305, 'נתוני רישום ומצבת'!B:J, 3, FALSE),
         "המוסד לא קיים ברשות"),
   "המוסד לא קיים"))</f>
        <v/>
      </c>
      <c r="E305" s="176" t="str">
        <f>IFERROR(VLOOKUP(C305,'נתוני רישום ומצבת'!B:G,6,0),"")</f>
        <v/>
      </c>
      <c r="F305" s="281" t="str">
        <f>IFERROR(VLOOKUP(C305,'נתוני רישום ומצבת'!B:K,10,0)," ")</f>
        <v xml:space="preserve"> </v>
      </c>
      <c r="G305" s="443" t="str">
        <f>IFERROR(VLOOKUP(C305,'נתוני רישום ומצבת'!B:E,4,0)," ")</f>
        <v xml:space="preserve"> </v>
      </c>
      <c r="H305" s="444" t="str">
        <f>IFERROR(VLOOKUP(C305,'נתוני רישום ומצבת'!B:K,7,0),"")</f>
        <v/>
      </c>
      <c r="I305" s="180" t="str">
        <f t="shared" si="16"/>
        <v/>
      </c>
      <c r="J305" s="443" t="str">
        <f>IFERROR(VLOOKUP(C305,'נתוני רישום ומצבת'!B:I,5,0)," ")</f>
        <v xml:space="preserve"> </v>
      </c>
      <c r="K305" s="443" t="str">
        <f>IFERROR(VLOOKUP(C305,'נתוני רישום ומצבת'!B:I,8,0),"")</f>
        <v/>
      </c>
      <c r="L305" s="284">
        <f t="shared" si="17"/>
        <v>0</v>
      </c>
      <c r="M305" s="283" t="str">
        <f t="shared" si="15"/>
        <v>-</v>
      </c>
    </row>
    <row r="306" spans="2:13" x14ac:dyDescent="0.25">
      <c r="B306" s="280">
        <v>286</v>
      </c>
      <c r="C306" s="549" t="str" cm="1">
        <f t="array" ref="C306">IFERROR(
   INDEX('נתוני רישום ומצבת'!$B:$B,
      SMALL(
         IF(('נתוני רישום ומצבת'!A$2:A$2998='נתונים כלליים (1)'!$C$5),
         ROW('נתוני רישום ומצבת'!A$2:A$2998)),
      ROW(A286))
   ),
"")</f>
        <v/>
      </c>
      <c r="D306" s="549" t="str">
        <f>IF(C306="", "",
   IFERROR(
      IF(VLOOKUP(C306, 'נתוני רישום ומצבת'!B:J, 9, FALSE) = $F$4,
         VLOOKUP(C306, 'נתוני רישום ומצבת'!B:J, 3, FALSE),
         "המוסד לא קיים ברשות"),
   "המוסד לא קיים"))</f>
        <v/>
      </c>
      <c r="E306" s="176" t="str">
        <f>IFERROR(VLOOKUP(C306,'נתוני רישום ומצבת'!B:G,6,0),"")</f>
        <v/>
      </c>
      <c r="F306" s="281" t="str">
        <f>IFERROR(VLOOKUP(C306,'נתוני רישום ומצבת'!B:K,10,0)," ")</f>
        <v xml:space="preserve"> </v>
      </c>
      <c r="G306" s="443" t="str">
        <f>IFERROR(VLOOKUP(C306,'נתוני רישום ומצבת'!B:E,4,0)," ")</f>
        <v xml:space="preserve"> </v>
      </c>
      <c r="H306" s="444" t="str">
        <f>IFERROR(VLOOKUP(C306,'נתוני רישום ומצבת'!B:K,7,0),"")</f>
        <v/>
      </c>
      <c r="I306" s="180" t="str">
        <f t="shared" si="16"/>
        <v/>
      </c>
      <c r="J306" s="443" t="str">
        <f>IFERROR(VLOOKUP(C306,'נתוני רישום ומצבת'!B:I,5,0)," ")</f>
        <v xml:space="preserve"> </v>
      </c>
      <c r="K306" s="443" t="str">
        <f>IFERROR(VLOOKUP(C306,'נתוני רישום ומצבת'!B:I,8,0),"")</f>
        <v/>
      </c>
      <c r="L306" s="284">
        <f t="shared" si="17"/>
        <v>0</v>
      </c>
      <c r="M306" s="283" t="str">
        <f t="shared" si="15"/>
        <v>-</v>
      </c>
    </row>
    <row r="307" spans="2:13" x14ac:dyDescent="0.25">
      <c r="B307" s="280">
        <v>287</v>
      </c>
      <c r="C307" s="549" t="str" cm="1">
        <f t="array" ref="C307">IFERROR(
   INDEX('נתוני רישום ומצבת'!$B:$B,
      SMALL(
         IF(('נתוני רישום ומצבת'!A$2:A$2998='נתונים כלליים (1)'!$C$5),
         ROW('נתוני רישום ומצבת'!A$2:A$2998)),
      ROW(A287))
   ),
"")</f>
        <v/>
      </c>
      <c r="D307" s="549" t="str">
        <f>IF(C307="", "",
   IFERROR(
      IF(VLOOKUP(C307, 'נתוני רישום ומצבת'!B:J, 9, FALSE) = $F$4,
         VLOOKUP(C307, 'נתוני רישום ומצבת'!B:J, 3, FALSE),
         "המוסד לא קיים ברשות"),
   "המוסד לא קיים"))</f>
        <v/>
      </c>
      <c r="E307" s="176" t="str">
        <f>IFERROR(VLOOKUP(C307,'נתוני רישום ומצבת'!B:G,6,0),"")</f>
        <v/>
      </c>
      <c r="F307" s="281" t="str">
        <f>IFERROR(VLOOKUP(C307,'נתוני רישום ומצבת'!B:K,10,0)," ")</f>
        <v xml:space="preserve"> </v>
      </c>
      <c r="G307" s="443" t="str">
        <f>IFERROR(VLOOKUP(C307,'נתוני רישום ומצבת'!B:E,4,0)," ")</f>
        <v xml:space="preserve"> </v>
      </c>
      <c r="H307" s="444" t="str">
        <f>IFERROR(VLOOKUP(C307,'נתוני רישום ומצבת'!B:K,7,0),"")</f>
        <v/>
      </c>
      <c r="I307" s="180" t="str">
        <f t="shared" si="16"/>
        <v/>
      </c>
      <c r="J307" s="443" t="str">
        <f>IFERROR(VLOOKUP(C307,'נתוני רישום ומצבת'!B:I,5,0)," ")</f>
        <v xml:space="preserve"> </v>
      </c>
      <c r="K307" s="443" t="str">
        <f>IFERROR(VLOOKUP(C307,'נתוני רישום ומצבת'!B:I,8,0),"")</f>
        <v/>
      </c>
      <c r="L307" s="284">
        <f t="shared" si="17"/>
        <v>0</v>
      </c>
      <c r="M307" s="283" t="str">
        <f t="shared" si="15"/>
        <v>-</v>
      </c>
    </row>
    <row r="308" spans="2:13" x14ac:dyDescent="0.25">
      <c r="B308" s="280">
        <v>288</v>
      </c>
      <c r="C308" s="549" t="str" cm="1">
        <f t="array" ref="C308">IFERROR(
   INDEX('נתוני רישום ומצבת'!$B:$B,
      SMALL(
         IF(('נתוני רישום ומצבת'!A$2:A$2998='נתונים כלליים (1)'!$C$5),
         ROW('נתוני רישום ומצבת'!A$2:A$2998)),
      ROW(A288))
   ),
"")</f>
        <v/>
      </c>
      <c r="D308" s="549" t="str">
        <f>IF(C308="", "",
   IFERROR(
      IF(VLOOKUP(C308, 'נתוני רישום ומצבת'!B:J, 9, FALSE) = $F$4,
         VLOOKUP(C308, 'נתוני רישום ומצבת'!B:J, 3, FALSE),
         "המוסד לא קיים ברשות"),
   "המוסד לא קיים"))</f>
        <v/>
      </c>
      <c r="E308" s="176" t="str">
        <f>IFERROR(VLOOKUP(C308,'נתוני רישום ומצבת'!B:G,6,0),"")</f>
        <v/>
      </c>
      <c r="F308" s="281" t="str">
        <f>IFERROR(VLOOKUP(C308,'נתוני רישום ומצבת'!B:K,10,0)," ")</f>
        <v xml:space="preserve"> </v>
      </c>
      <c r="G308" s="443" t="str">
        <f>IFERROR(VLOOKUP(C308,'נתוני רישום ומצבת'!B:E,4,0)," ")</f>
        <v xml:space="preserve"> </v>
      </c>
      <c r="H308" s="444" t="str">
        <f>IFERROR(VLOOKUP(C308,'נתוני רישום ומצבת'!B:K,7,0),"")</f>
        <v/>
      </c>
      <c r="I308" s="180" t="str">
        <f t="shared" si="16"/>
        <v/>
      </c>
      <c r="J308" s="443" t="str">
        <f>IFERROR(VLOOKUP(C308,'נתוני רישום ומצבת'!B:I,5,0)," ")</f>
        <v xml:space="preserve"> </v>
      </c>
      <c r="K308" s="443" t="str">
        <f>IFERROR(VLOOKUP(C308,'נתוני רישום ומצבת'!B:I,8,0),"")</f>
        <v/>
      </c>
      <c r="L308" s="284">
        <f t="shared" si="17"/>
        <v>0</v>
      </c>
      <c r="M308" s="283" t="str">
        <f t="shared" si="15"/>
        <v>-</v>
      </c>
    </row>
    <row r="309" spans="2:13" x14ac:dyDescent="0.25">
      <c r="B309" s="280">
        <v>289</v>
      </c>
      <c r="C309" s="549" t="str" cm="1">
        <f t="array" ref="C309">IFERROR(
   INDEX('נתוני רישום ומצבת'!$B:$B,
      SMALL(
         IF(('נתוני רישום ומצבת'!A$2:A$2998='נתונים כלליים (1)'!$C$5),
         ROW('נתוני רישום ומצבת'!A$2:A$2998)),
      ROW(A289))
   ),
"")</f>
        <v/>
      </c>
      <c r="D309" s="549" t="str">
        <f>IF(C309="", "",
   IFERROR(
      IF(VLOOKUP(C309, 'נתוני רישום ומצבת'!B:J, 9, FALSE) = $F$4,
         VLOOKUP(C309, 'נתוני רישום ומצבת'!B:J, 3, FALSE),
         "המוסד לא קיים ברשות"),
   "המוסד לא קיים"))</f>
        <v/>
      </c>
      <c r="E309" s="176" t="str">
        <f>IFERROR(VLOOKUP(C309,'נתוני רישום ומצבת'!B:G,6,0),"")</f>
        <v/>
      </c>
      <c r="F309" s="281" t="str">
        <f>IFERROR(VLOOKUP(C309,'נתוני רישום ומצבת'!B:K,10,0)," ")</f>
        <v xml:space="preserve"> </v>
      </c>
      <c r="G309" s="443" t="str">
        <f>IFERROR(VLOOKUP(C309,'נתוני רישום ומצבת'!B:E,4,0)," ")</f>
        <v xml:space="preserve"> </v>
      </c>
      <c r="H309" s="444" t="str">
        <f>IFERROR(VLOOKUP(C309,'נתוני רישום ומצבת'!B:K,7,0),"")</f>
        <v/>
      </c>
      <c r="I309" s="180" t="str">
        <f t="shared" si="16"/>
        <v/>
      </c>
      <c r="J309" s="443" t="str">
        <f>IFERROR(VLOOKUP(C309,'נתוני רישום ומצבת'!B:I,5,0)," ")</f>
        <v xml:space="preserve"> </v>
      </c>
      <c r="K309" s="443" t="str">
        <f>IFERROR(VLOOKUP(C309,'נתוני רישום ומצבת'!B:I,8,0),"")</f>
        <v/>
      </c>
      <c r="L309" s="284">
        <f t="shared" si="17"/>
        <v>0</v>
      </c>
      <c r="M309" s="283" t="str">
        <f t="shared" si="15"/>
        <v>-</v>
      </c>
    </row>
    <row r="310" spans="2:13" x14ac:dyDescent="0.25">
      <c r="B310" s="280">
        <v>290</v>
      </c>
      <c r="C310" s="549" t="str" cm="1">
        <f t="array" ref="C310">IFERROR(
   INDEX('נתוני רישום ומצבת'!$B:$B,
      SMALL(
         IF(('נתוני רישום ומצבת'!A$2:A$2998='נתונים כלליים (1)'!$C$5),
         ROW('נתוני רישום ומצבת'!A$2:A$2998)),
      ROW(A290))
   ),
"")</f>
        <v/>
      </c>
      <c r="D310" s="549" t="str">
        <f>IF(C310="", "",
   IFERROR(
      IF(VLOOKUP(C310, 'נתוני רישום ומצבת'!B:J, 9, FALSE) = $F$4,
         VLOOKUP(C310, 'נתוני רישום ומצבת'!B:J, 3, FALSE),
         "המוסד לא קיים ברשות"),
   "המוסד לא קיים"))</f>
        <v/>
      </c>
      <c r="E310" s="176" t="str">
        <f>IFERROR(VLOOKUP(C310,'נתוני רישום ומצבת'!B:G,6,0),"")</f>
        <v/>
      </c>
      <c r="F310" s="281" t="str">
        <f>IFERROR(VLOOKUP(C310,'נתוני רישום ומצבת'!B:K,10,0)," ")</f>
        <v xml:space="preserve"> </v>
      </c>
      <c r="G310" s="443" t="str">
        <f>IFERROR(VLOOKUP(C310,'נתוני רישום ומצבת'!B:E,4,0)," ")</f>
        <v xml:space="preserve"> </v>
      </c>
      <c r="H310" s="444" t="str">
        <f>IFERROR(VLOOKUP(C310,'נתוני רישום ומצבת'!B:K,7,0),"")</f>
        <v/>
      </c>
      <c r="I310" s="180" t="str">
        <f t="shared" si="16"/>
        <v/>
      </c>
      <c r="J310" s="443" t="str">
        <f>IFERROR(VLOOKUP(C310,'נתוני רישום ומצבת'!B:I,5,0)," ")</f>
        <v xml:space="preserve"> </v>
      </c>
      <c r="K310" s="443" t="str">
        <f>IFERROR(VLOOKUP(C310,'נתוני רישום ומצבת'!B:I,8,0),"")</f>
        <v/>
      </c>
      <c r="L310" s="284">
        <f t="shared" si="17"/>
        <v>0</v>
      </c>
      <c r="M310" s="283" t="str">
        <f t="shared" si="15"/>
        <v>-</v>
      </c>
    </row>
    <row r="311" spans="2:13" x14ac:dyDescent="0.25">
      <c r="B311" s="280">
        <v>291</v>
      </c>
      <c r="C311" s="549" t="str" cm="1">
        <f t="array" ref="C311">IFERROR(
   INDEX('נתוני רישום ומצבת'!$B:$B,
      SMALL(
         IF(('נתוני רישום ומצבת'!A$2:A$2998='נתונים כלליים (1)'!$C$5),
         ROW('נתוני רישום ומצבת'!A$2:A$2998)),
      ROW(A291))
   ),
"")</f>
        <v/>
      </c>
      <c r="D311" s="549" t="str">
        <f>IF(C311="", "",
   IFERROR(
      IF(VLOOKUP(C311, 'נתוני רישום ומצבת'!B:J, 9, FALSE) = $F$4,
         VLOOKUP(C311, 'נתוני רישום ומצבת'!B:J, 3, FALSE),
         "המוסד לא קיים ברשות"),
   "המוסד לא קיים"))</f>
        <v/>
      </c>
      <c r="E311" s="176" t="str">
        <f>IFERROR(VLOOKUP(C311,'נתוני רישום ומצבת'!B:G,6,0),"")</f>
        <v/>
      </c>
      <c r="F311" s="281" t="str">
        <f>IFERROR(VLOOKUP(C311,'נתוני רישום ומצבת'!B:K,10,0)," ")</f>
        <v xml:space="preserve"> </v>
      </c>
      <c r="G311" s="443" t="str">
        <f>IFERROR(VLOOKUP(C311,'נתוני רישום ומצבת'!B:E,4,0)," ")</f>
        <v xml:space="preserve"> </v>
      </c>
      <c r="H311" s="444" t="str">
        <f>IFERROR(VLOOKUP(C311,'נתוני רישום ומצבת'!B:K,7,0),"")</f>
        <v/>
      </c>
      <c r="I311" s="180" t="str">
        <f t="shared" si="16"/>
        <v/>
      </c>
      <c r="J311" s="443" t="str">
        <f>IFERROR(VLOOKUP(C311,'נתוני רישום ומצבת'!B:I,5,0)," ")</f>
        <v xml:space="preserve"> </v>
      </c>
      <c r="K311" s="443" t="str">
        <f>IFERROR(VLOOKUP(C311,'נתוני רישום ומצבת'!B:I,8,0),"")</f>
        <v/>
      </c>
      <c r="L311" s="284">
        <f t="shared" si="17"/>
        <v>0</v>
      </c>
      <c r="M311" s="283" t="str">
        <f t="shared" si="15"/>
        <v>-</v>
      </c>
    </row>
    <row r="312" spans="2:13" x14ac:dyDescent="0.25">
      <c r="B312" s="280">
        <v>292</v>
      </c>
      <c r="C312" s="549" t="str" cm="1">
        <f t="array" ref="C312">IFERROR(
   INDEX('נתוני רישום ומצבת'!$B:$B,
      SMALL(
         IF(('נתוני רישום ומצבת'!A$2:A$2998='נתונים כלליים (1)'!$C$5),
         ROW('נתוני רישום ומצבת'!A$2:A$2998)),
      ROW(A292))
   ),
"")</f>
        <v/>
      </c>
      <c r="D312" s="549" t="str">
        <f>IF(C312="", "",
   IFERROR(
      IF(VLOOKUP(C312, 'נתוני רישום ומצבת'!B:J, 9, FALSE) = $F$4,
         VLOOKUP(C312, 'נתוני רישום ומצבת'!B:J, 3, FALSE),
         "המוסד לא קיים ברשות"),
   "המוסד לא קיים"))</f>
        <v/>
      </c>
      <c r="E312" s="176" t="str">
        <f>IFERROR(VLOOKUP(C312,'נתוני רישום ומצבת'!B:G,6,0),"")</f>
        <v/>
      </c>
      <c r="F312" s="281" t="str">
        <f>IFERROR(VLOOKUP(C312,'נתוני רישום ומצבת'!B:K,10,0)," ")</f>
        <v xml:space="preserve"> </v>
      </c>
      <c r="G312" s="443" t="str">
        <f>IFERROR(VLOOKUP(C312,'נתוני רישום ומצבת'!B:E,4,0)," ")</f>
        <v xml:space="preserve"> </v>
      </c>
      <c r="H312" s="444" t="str">
        <f>IFERROR(VLOOKUP(C312,'נתוני רישום ומצבת'!B:K,7,0),"")</f>
        <v/>
      </c>
      <c r="I312" s="180" t="str">
        <f t="shared" si="16"/>
        <v/>
      </c>
      <c r="J312" s="443" t="str">
        <f>IFERROR(VLOOKUP(C312,'נתוני רישום ומצבת'!B:I,5,0)," ")</f>
        <v xml:space="preserve"> </v>
      </c>
      <c r="K312" s="443" t="str">
        <f>IFERROR(VLOOKUP(C312,'נתוני רישום ומצבת'!B:I,8,0),"")</f>
        <v/>
      </c>
      <c r="L312" s="284">
        <f t="shared" si="17"/>
        <v>0</v>
      </c>
      <c r="M312" s="283" t="str">
        <f t="shared" si="15"/>
        <v>-</v>
      </c>
    </row>
    <row r="313" spans="2:13" x14ac:dyDescent="0.25">
      <c r="B313" s="280">
        <v>293</v>
      </c>
      <c r="C313" s="549" t="str" cm="1">
        <f t="array" ref="C313">IFERROR(
   INDEX('נתוני רישום ומצבת'!$B:$B,
      SMALL(
         IF(('נתוני רישום ומצבת'!A$2:A$2998='נתונים כלליים (1)'!$C$5),
         ROW('נתוני רישום ומצבת'!A$2:A$2998)),
      ROW(A293))
   ),
"")</f>
        <v/>
      </c>
      <c r="D313" s="549" t="str">
        <f>IF(C313="", "",
   IFERROR(
      IF(VLOOKUP(C313, 'נתוני רישום ומצבת'!B:J, 9, FALSE) = $F$4,
         VLOOKUP(C313, 'נתוני רישום ומצבת'!B:J, 3, FALSE),
         "המוסד לא קיים ברשות"),
   "המוסד לא קיים"))</f>
        <v/>
      </c>
      <c r="E313" s="176" t="str">
        <f>IFERROR(VLOOKUP(C313,'נתוני רישום ומצבת'!B:G,6,0),"")</f>
        <v/>
      </c>
      <c r="F313" s="281" t="str">
        <f>IFERROR(VLOOKUP(C313,'נתוני רישום ומצבת'!B:K,10,0)," ")</f>
        <v xml:space="preserve"> </v>
      </c>
      <c r="G313" s="443" t="str">
        <f>IFERROR(VLOOKUP(C313,'נתוני רישום ומצבת'!B:E,4,0)," ")</f>
        <v xml:space="preserve"> </v>
      </c>
      <c r="H313" s="444" t="str">
        <f>IFERROR(VLOOKUP(C313,'נתוני רישום ומצבת'!B:K,7,0),"")</f>
        <v/>
      </c>
      <c r="I313" s="180" t="str">
        <f t="shared" si="16"/>
        <v/>
      </c>
      <c r="J313" s="443" t="str">
        <f>IFERROR(VLOOKUP(C313,'נתוני רישום ומצבת'!B:I,5,0)," ")</f>
        <v xml:space="preserve"> </v>
      </c>
      <c r="K313" s="443" t="str">
        <f>IFERROR(VLOOKUP(C313,'נתוני רישום ומצבת'!B:I,8,0),"")</f>
        <v/>
      </c>
      <c r="L313" s="284">
        <f t="shared" si="17"/>
        <v>0</v>
      </c>
      <c r="M313" s="283" t="str">
        <f t="shared" si="15"/>
        <v>-</v>
      </c>
    </row>
    <row r="314" spans="2:13" x14ac:dyDescent="0.25">
      <c r="B314" s="280">
        <v>294</v>
      </c>
      <c r="C314" s="549" t="str" cm="1">
        <f t="array" ref="C314">IFERROR(
   INDEX('נתוני רישום ומצבת'!$B:$B,
      SMALL(
         IF(('נתוני רישום ומצבת'!A$2:A$2998='נתונים כלליים (1)'!$C$5),
         ROW('נתוני רישום ומצבת'!A$2:A$2998)),
      ROW(A294))
   ),
"")</f>
        <v/>
      </c>
      <c r="D314" s="549" t="str">
        <f>IF(C314="", "",
   IFERROR(
      IF(VLOOKUP(C314, 'נתוני רישום ומצבת'!B:J, 9, FALSE) = $F$4,
         VLOOKUP(C314, 'נתוני רישום ומצבת'!B:J, 3, FALSE),
         "המוסד לא קיים ברשות"),
   "המוסד לא קיים"))</f>
        <v/>
      </c>
      <c r="E314" s="176" t="str">
        <f>IFERROR(VLOOKUP(C314,'נתוני רישום ומצבת'!B:G,6,0),"")</f>
        <v/>
      </c>
      <c r="F314" s="281" t="str">
        <f>IFERROR(VLOOKUP(C314,'נתוני רישום ומצבת'!B:K,10,0)," ")</f>
        <v xml:space="preserve"> </v>
      </c>
      <c r="G314" s="443" t="str">
        <f>IFERROR(VLOOKUP(C314,'נתוני רישום ומצבת'!B:E,4,0)," ")</f>
        <v xml:space="preserve"> </v>
      </c>
      <c r="H314" s="444" t="str">
        <f>IFERROR(VLOOKUP(C314,'נתוני רישום ומצבת'!B:K,7,0),"")</f>
        <v/>
      </c>
      <c r="I314" s="180" t="str">
        <f t="shared" si="16"/>
        <v/>
      </c>
      <c r="J314" s="443" t="str">
        <f>IFERROR(VLOOKUP(C314,'נתוני רישום ומצבת'!B:I,5,0)," ")</f>
        <v xml:space="preserve"> </v>
      </c>
      <c r="K314" s="443" t="str">
        <f>IFERROR(VLOOKUP(C314,'נתוני רישום ומצבת'!B:I,8,0),"")</f>
        <v/>
      </c>
      <c r="L314" s="284">
        <f t="shared" si="17"/>
        <v>0</v>
      </c>
      <c r="M314" s="283" t="str">
        <f t="shared" si="15"/>
        <v>-</v>
      </c>
    </row>
    <row r="315" spans="2:13" x14ac:dyDescent="0.25">
      <c r="B315" s="280">
        <v>295</v>
      </c>
      <c r="C315" s="549" t="str" cm="1">
        <f t="array" ref="C315">IFERROR(
   INDEX('נתוני רישום ומצבת'!$B:$B,
      SMALL(
         IF(('נתוני רישום ומצבת'!A$2:A$2998='נתונים כלליים (1)'!$C$5),
         ROW('נתוני רישום ומצבת'!A$2:A$2998)),
      ROW(A295))
   ),
"")</f>
        <v/>
      </c>
      <c r="D315" s="549" t="str">
        <f>IF(C315="", "",
   IFERROR(
      IF(VLOOKUP(C315, 'נתוני רישום ומצבת'!B:J, 9, FALSE) = $F$4,
         VLOOKUP(C315, 'נתוני רישום ומצבת'!B:J, 3, FALSE),
         "המוסד לא קיים ברשות"),
   "המוסד לא קיים"))</f>
        <v/>
      </c>
      <c r="E315" s="176" t="str">
        <f>IFERROR(VLOOKUP(C315,'נתוני רישום ומצבת'!B:G,6,0),"")</f>
        <v/>
      </c>
      <c r="F315" s="281" t="str">
        <f>IFERROR(VLOOKUP(C315,'נתוני רישום ומצבת'!B:K,10,0)," ")</f>
        <v xml:space="preserve"> </v>
      </c>
      <c r="G315" s="443" t="str">
        <f>IFERROR(VLOOKUP(C315,'נתוני רישום ומצבת'!B:E,4,0)," ")</f>
        <v xml:space="preserve"> </v>
      </c>
      <c r="H315" s="444" t="str">
        <f>IFERROR(VLOOKUP(C315,'נתוני רישום ומצבת'!B:K,7,0),"")</f>
        <v/>
      </c>
      <c r="I315" s="180" t="str">
        <f t="shared" si="16"/>
        <v/>
      </c>
      <c r="J315" s="443" t="str">
        <f>IFERROR(VLOOKUP(C315,'נתוני רישום ומצבת'!B:I,5,0)," ")</f>
        <v xml:space="preserve"> </v>
      </c>
      <c r="K315" s="443" t="str">
        <f>IFERROR(VLOOKUP(C315,'נתוני רישום ומצבת'!B:I,8,0),"")</f>
        <v/>
      </c>
      <c r="L315" s="284">
        <f t="shared" si="17"/>
        <v>0</v>
      </c>
      <c r="M315" s="283" t="str">
        <f t="shared" si="15"/>
        <v>-</v>
      </c>
    </row>
    <row r="316" spans="2:13" x14ac:dyDescent="0.25">
      <c r="B316" s="280">
        <v>296</v>
      </c>
      <c r="C316" s="549" t="str" cm="1">
        <f t="array" ref="C316">IFERROR(
   INDEX('נתוני רישום ומצבת'!$B:$B,
      SMALL(
         IF(('נתוני רישום ומצבת'!A$2:A$2998='נתונים כלליים (1)'!$C$5),
         ROW('נתוני רישום ומצבת'!A$2:A$2998)),
      ROW(A296))
   ),
"")</f>
        <v/>
      </c>
      <c r="D316" s="549" t="str">
        <f>IF(C316="", "",
   IFERROR(
      IF(VLOOKUP(C316, 'נתוני רישום ומצבת'!B:J, 9, FALSE) = $F$4,
         VLOOKUP(C316, 'נתוני רישום ומצבת'!B:J, 3, FALSE),
         "המוסד לא קיים ברשות"),
   "המוסד לא קיים"))</f>
        <v/>
      </c>
      <c r="E316" s="176" t="str">
        <f>IFERROR(VLOOKUP(C316,'נתוני רישום ומצבת'!B:G,6,0),"")</f>
        <v/>
      </c>
      <c r="F316" s="281" t="str">
        <f>IFERROR(VLOOKUP(C316,'נתוני רישום ומצבת'!B:K,10,0)," ")</f>
        <v xml:space="preserve"> </v>
      </c>
      <c r="G316" s="443" t="str">
        <f>IFERROR(VLOOKUP(C316,'נתוני רישום ומצבת'!B:E,4,0)," ")</f>
        <v xml:space="preserve"> </v>
      </c>
      <c r="H316" s="444" t="str">
        <f>IFERROR(VLOOKUP(C316,'נתוני רישום ומצבת'!B:K,7,0),"")</f>
        <v/>
      </c>
      <c r="I316" s="180" t="str">
        <f t="shared" si="16"/>
        <v/>
      </c>
      <c r="J316" s="443" t="str">
        <f>IFERROR(VLOOKUP(C316,'נתוני רישום ומצבת'!B:I,5,0)," ")</f>
        <v xml:space="preserve"> </v>
      </c>
      <c r="K316" s="443" t="str">
        <f>IFERROR(VLOOKUP(C316,'נתוני רישום ומצבת'!B:I,8,0),"")</f>
        <v/>
      </c>
      <c r="L316" s="284">
        <f t="shared" si="17"/>
        <v>0</v>
      </c>
      <c r="M316" s="283" t="str">
        <f t="shared" si="15"/>
        <v>-</v>
      </c>
    </row>
    <row r="317" spans="2:13" x14ac:dyDescent="0.25">
      <c r="B317" s="280">
        <v>297</v>
      </c>
      <c r="C317" s="549" t="str" cm="1">
        <f t="array" ref="C317">IFERROR(
   INDEX('נתוני רישום ומצבת'!$B:$B,
      SMALL(
         IF(('נתוני רישום ומצבת'!A$2:A$2998='נתונים כלליים (1)'!$C$5),
         ROW('נתוני רישום ומצבת'!A$2:A$2998)),
      ROW(A297))
   ),
"")</f>
        <v/>
      </c>
      <c r="D317" s="549" t="str">
        <f>IF(C317="", "",
   IFERROR(
      IF(VLOOKUP(C317, 'נתוני רישום ומצבת'!B:J, 9, FALSE) = $F$4,
         VLOOKUP(C317, 'נתוני רישום ומצבת'!B:J, 3, FALSE),
         "המוסד לא קיים ברשות"),
   "המוסד לא קיים"))</f>
        <v/>
      </c>
      <c r="E317" s="176" t="str">
        <f>IFERROR(VLOOKUP(C317,'נתוני רישום ומצבת'!B:G,6,0),"")</f>
        <v/>
      </c>
      <c r="F317" s="281" t="str">
        <f>IFERROR(VLOOKUP(C317,'נתוני רישום ומצבת'!B:K,10,0)," ")</f>
        <v xml:space="preserve"> </v>
      </c>
      <c r="G317" s="443" t="str">
        <f>IFERROR(VLOOKUP(C317,'נתוני רישום ומצבת'!B:E,4,0)," ")</f>
        <v xml:space="preserve"> </v>
      </c>
      <c r="H317" s="444" t="str">
        <f>IFERROR(VLOOKUP(C317,'נתוני רישום ומצבת'!B:K,7,0),"")</f>
        <v/>
      </c>
      <c r="I317" s="180" t="str">
        <f t="shared" si="16"/>
        <v/>
      </c>
      <c r="J317" s="443" t="str">
        <f>IFERROR(VLOOKUP(C317,'נתוני רישום ומצבת'!B:I,5,0)," ")</f>
        <v xml:space="preserve"> </v>
      </c>
      <c r="K317" s="443" t="str">
        <f>IFERROR(VLOOKUP(C317,'נתוני רישום ומצבת'!B:I,8,0),"")</f>
        <v/>
      </c>
      <c r="L317" s="284">
        <f t="shared" si="17"/>
        <v>0</v>
      </c>
      <c r="M317" s="283" t="str">
        <f t="shared" si="15"/>
        <v>-</v>
      </c>
    </row>
    <row r="318" spans="2:13" x14ac:dyDescent="0.25">
      <c r="B318" s="280">
        <v>298</v>
      </c>
      <c r="C318" s="549" t="str" cm="1">
        <f t="array" ref="C318">IFERROR(
   INDEX('נתוני רישום ומצבת'!$B:$B,
      SMALL(
         IF(('נתוני רישום ומצבת'!A$2:A$2998='נתונים כלליים (1)'!$C$5),
         ROW('נתוני רישום ומצבת'!A$2:A$2998)),
      ROW(A298))
   ),
"")</f>
        <v/>
      </c>
      <c r="D318" s="549" t="str">
        <f>IF(C318="", "",
   IFERROR(
      IF(VLOOKUP(C318, 'נתוני רישום ומצבת'!B:J, 9, FALSE) = $F$4,
         VLOOKUP(C318, 'נתוני רישום ומצבת'!B:J, 3, FALSE),
         "המוסד לא קיים ברשות"),
   "המוסד לא קיים"))</f>
        <v/>
      </c>
      <c r="E318" s="176" t="str">
        <f>IFERROR(VLOOKUP(C318,'נתוני רישום ומצבת'!B:G,6,0),"")</f>
        <v/>
      </c>
      <c r="F318" s="281" t="str">
        <f>IFERROR(VLOOKUP(C318,'נתוני רישום ומצבת'!B:K,10,0)," ")</f>
        <v xml:space="preserve"> </v>
      </c>
      <c r="G318" s="443" t="str">
        <f>IFERROR(VLOOKUP(C318,'נתוני רישום ומצבת'!B:E,4,0)," ")</f>
        <v xml:space="preserve"> </v>
      </c>
      <c r="H318" s="444" t="str">
        <f>IFERROR(VLOOKUP(C318,'נתוני רישום ומצבת'!B:K,7,0),"")</f>
        <v/>
      </c>
      <c r="I318" s="180" t="str">
        <f t="shared" si="16"/>
        <v/>
      </c>
      <c r="J318" s="443" t="str">
        <f>IFERROR(VLOOKUP(C318,'נתוני רישום ומצבת'!B:I,5,0)," ")</f>
        <v xml:space="preserve"> </v>
      </c>
      <c r="K318" s="443" t="str">
        <f>IFERROR(VLOOKUP(C318,'נתוני רישום ומצבת'!B:I,8,0),"")</f>
        <v/>
      </c>
      <c r="L318" s="284">
        <f t="shared" si="17"/>
        <v>0</v>
      </c>
      <c r="M318" s="283" t="str">
        <f t="shared" si="15"/>
        <v>-</v>
      </c>
    </row>
    <row r="319" spans="2:13" x14ac:dyDescent="0.25">
      <c r="B319" s="280">
        <v>299</v>
      </c>
      <c r="C319" s="549" t="str" cm="1">
        <f t="array" ref="C319">IFERROR(
   INDEX('נתוני רישום ומצבת'!$B:$B,
      SMALL(
         IF(('נתוני רישום ומצבת'!A$2:A$2998='נתונים כלליים (1)'!$C$5),
         ROW('נתוני רישום ומצבת'!A$2:A$2998)),
      ROW(A299))
   ),
"")</f>
        <v/>
      </c>
      <c r="D319" s="549" t="str">
        <f>IF(C319="", "",
   IFERROR(
      IF(VLOOKUP(C319, 'נתוני רישום ומצבת'!B:J, 9, FALSE) = $F$4,
         VLOOKUP(C319, 'נתוני רישום ומצבת'!B:J, 3, FALSE),
         "המוסד לא קיים ברשות"),
   "המוסד לא קיים"))</f>
        <v/>
      </c>
      <c r="E319" s="176" t="str">
        <f>IFERROR(VLOOKUP(C319,'נתוני רישום ומצבת'!B:G,6,0),"")</f>
        <v/>
      </c>
      <c r="F319" s="281" t="str">
        <f>IFERROR(VLOOKUP(C319,'נתוני רישום ומצבת'!B:K,10,0)," ")</f>
        <v xml:space="preserve"> </v>
      </c>
      <c r="G319" s="443" t="str">
        <f>IFERROR(VLOOKUP(C319,'נתוני רישום ומצבת'!B:E,4,0)," ")</f>
        <v xml:space="preserve"> </v>
      </c>
      <c r="H319" s="444" t="str">
        <f>IFERROR(VLOOKUP(C319,'נתוני רישום ומצבת'!B:K,7,0),"")</f>
        <v/>
      </c>
      <c r="I319" s="180" t="str">
        <f t="shared" si="16"/>
        <v/>
      </c>
      <c r="J319" s="443" t="str">
        <f>IFERROR(VLOOKUP(C319,'נתוני רישום ומצבת'!B:I,5,0)," ")</f>
        <v xml:space="preserve"> </v>
      </c>
      <c r="K319" s="443" t="str">
        <f>IFERROR(VLOOKUP(C319,'נתוני רישום ומצבת'!B:I,8,0),"")</f>
        <v/>
      </c>
      <c r="L319" s="284">
        <f t="shared" si="17"/>
        <v>0</v>
      </c>
      <c r="M319" s="283" t="str">
        <f t="shared" si="15"/>
        <v>-</v>
      </c>
    </row>
    <row r="320" spans="2:13" x14ac:dyDescent="0.25">
      <c r="B320" s="280">
        <v>300</v>
      </c>
      <c r="C320" s="549" t="str" cm="1">
        <f t="array" ref="C320">IFERROR(
   INDEX('נתוני רישום ומצבת'!$B:$B,
      SMALL(
         IF(('נתוני רישום ומצבת'!A$2:A$2998='נתונים כלליים (1)'!$C$5),
         ROW('נתוני רישום ומצבת'!A$2:A$2998)),
      ROW(A300))
   ),
"")</f>
        <v/>
      </c>
      <c r="D320" s="549" t="str">
        <f>IF(C320="", "",
   IFERROR(
      IF(VLOOKUP(C320, 'נתוני רישום ומצבת'!B:J, 9, FALSE) = $F$4,
         VLOOKUP(C320, 'נתוני רישום ומצבת'!B:J, 3, FALSE),
         "המוסד לא קיים ברשות"),
   "המוסד לא קיים"))</f>
        <v/>
      </c>
      <c r="E320" s="176" t="str">
        <f>IFERROR(VLOOKUP(C320,'נתוני רישום ומצבת'!B:G,6,0),"")</f>
        <v/>
      </c>
      <c r="F320" s="281" t="str">
        <f>IFERROR(VLOOKUP(C320,'נתוני רישום ומצבת'!B:K,10,0)," ")</f>
        <v xml:space="preserve"> </v>
      </c>
      <c r="G320" s="443" t="str">
        <f>IFERROR(VLOOKUP(C320,'נתוני רישום ומצבת'!B:E,4,0)," ")</f>
        <v xml:space="preserve"> </v>
      </c>
      <c r="H320" s="444" t="str">
        <f>IFERROR(VLOOKUP(C320,'נתוני רישום ומצבת'!B:K,7,0),"")</f>
        <v/>
      </c>
      <c r="I320" s="180" t="str">
        <f t="shared" si="16"/>
        <v/>
      </c>
      <c r="J320" s="443" t="str">
        <f>IFERROR(VLOOKUP(C320,'נתוני רישום ומצבת'!B:I,5,0)," ")</f>
        <v xml:space="preserve"> </v>
      </c>
      <c r="K320" s="443" t="str">
        <f>IFERROR(VLOOKUP(C320,'נתוני רישום ומצבת'!B:I,8,0),"")</f>
        <v/>
      </c>
      <c r="L320" s="284">
        <f t="shared" si="17"/>
        <v>0</v>
      </c>
      <c r="M320" s="283" t="str">
        <f t="shared" si="15"/>
        <v>-</v>
      </c>
    </row>
    <row r="321" spans="2:13" x14ac:dyDescent="0.25">
      <c r="B321" s="280">
        <v>301</v>
      </c>
      <c r="C321" s="549" t="str" cm="1">
        <f t="array" ref="C321">IFERROR(
   INDEX('נתוני רישום ומצבת'!$B:$B,
      SMALL(
         IF(('נתוני רישום ומצבת'!A$2:A$2998='נתונים כלליים (1)'!$C$5),
         ROW('נתוני רישום ומצבת'!A$2:A$2998)),
      ROW(A301))
   ),
"")</f>
        <v/>
      </c>
      <c r="D321" s="549" t="str">
        <f>IF(C321="", "",
   IFERROR(
      IF(VLOOKUP(C321, 'נתוני רישום ומצבת'!B:J, 9, FALSE) = $F$4,
         VLOOKUP(C321, 'נתוני רישום ומצבת'!B:J, 3, FALSE),
         "המוסד לא קיים ברשות"),
   "המוסד לא קיים"))</f>
        <v/>
      </c>
      <c r="E321" s="176" t="str">
        <f>IFERROR(VLOOKUP(C321,'נתוני רישום ומצבת'!B:G,6,0),"")</f>
        <v/>
      </c>
      <c r="F321" s="281" t="str">
        <f>IFERROR(VLOOKUP(C321,'נתוני רישום ומצבת'!B:K,10,0)," ")</f>
        <v xml:space="preserve"> </v>
      </c>
      <c r="G321" s="443" t="str">
        <f>IFERROR(VLOOKUP(C321,'נתוני רישום ומצבת'!B:E,4,0)," ")</f>
        <v xml:space="preserve"> </v>
      </c>
      <c r="H321" s="444" t="str">
        <f>IFERROR(VLOOKUP(C321,'נתוני רישום ומצבת'!B:K,7,0),"")</f>
        <v/>
      </c>
      <c r="I321" s="180" t="str">
        <f t="shared" si="16"/>
        <v/>
      </c>
      <c r="J321" s="443" t="str">
        <f>IFERROR(VLOOKUP(C321,'נתוני רישום ומצבת'!B:I,5,0)," ")</f>
        <v xml:space="preserve"> </v>
      </c>
      <c r="K321" s="443" t="str">
        <f>IFERROR(VLOOKUP(C321,'נתוני רישום ומצבת'!B:I,8,0),"")</f>
        <v/>
      </c>
      <c r="L321" s="284">
        <f t="shared" si="17"/>
        <v>0</v>
      </c>
      <c r="M321" s="283" t="str">
        <f t="shared" si="15"/>
        <v>-</v>
      </c>
    </row>
    <row r="322" spans="2:13" x14ac:dyDescent="0.25">
      <c r="B322" s="280">
        <v>302</v>
      </c>
      <c r="C322" s="549" t="str" cm="1">
        <f t="array" ref="C322">IFERROR(
   INDEX('נתוני רישום ומצבת'!$B:$B,
      SMALL(
         IF(('נתוני רישום ומצבת'!A$2:A$2998='נתונים כלליים (1)'!$C$5),
         ROW('נתוני רישום ומצבת'!A$2:A$2998)),
      ROW(A302))
   ),
"")</f>
        <v/>
      </c>
      <c r="D322" s="549" t="str">
        <f>IF(C322="", "",
   IFERROR(
      IF(VLOOKUP(C322, 'נתוני רישום ומצבת'!B:J, 9, FALSE) = $F$4,
         VLOOKUP(C322, 'נתוני רישום ומצבת'!B:J, 3, FALSE),
         "המוסד לא קיים ברשות"),
   "המוסד לא קיים"))</f>
        <v/>
      </c>
      <c r="E322" s="176" t="str">
        <f>IFERROR(VLOOKUP(C322,'נתוני רישום ומצבת'!B:G,6,0),"")</f>
        <v/>
      </c>
      <c r="F322" s="281" t="str">
        <f>IFERROR(VLOOKUP(C322,'נתוני רישום ומצבת'!B:K,10,0)," ")</f>
        <v xml:space="preserve"> </v>
      </c>
      <c r="G322" s="443" t="str">
        <f>IFERROR(VLOOKUP(C322,'נתוני רישום ומצבת'!B:E,4,0)," ")</f>
        <v xml:space="preserve"> </v>
      </c>
      <c r="H322" s="444" t="str">
        <f>IFERROR(VLOOKUP(C322,'נתוני רישום ומצבת'!B:K,7,0),"")</f>
        <v/>
      </c>
      <c r="I322" s="180" t="str">
        <f t="shared" si="16"/>
        <v/>
      </c>
      <c r="J322" s="443" t="str">
        <f>IFERROR(VLOOKUP(C322,'נתוני רישום ומצבת'!B:I,5,0)," ")</f>
        <v xml:space="preserve"> </v>
      </c>
      <c r="K322" s="443" t="str">
        <f>IFERROR(VLOOKUP(C322,'נתוני רישום ומצבת'!B:I,8,0),"")</f>
        <v/>
      </c>
      <c r="L322" s="284">
        <f t="shared" si="17"/>
        <v>0</v>
      </c>
      <c r="M322" s="283" t="str">
        <f t="shared" si="15"/>
        <v>-</v>
      </c>
    </row>
    <row r="323" spans="2:13" x14ac:dyDescent="0.25">
      <c r="B323" s="280">
        <v>303</v>
      </c>
      <c r="C323" s="549" t="str" cm="1">
        <f t="array" ref="C323">IFERROR(
   INDEX('נתוני רישום ומצבת'!$B:$B,
      SMALL(
         IF(('נתוני רישום ומצבת'!A$2:A$2998='נתונים כלליים (1)'!$C$5),
         ROW('נתוני רישום ומצבת'!A$2:A$2998)),
      ROW(A303))
   ),
"")</f>
        <v/>
      </c>
      <c r="D323" s="549" t="str">
        <f>IF(C323="", "",
   IFERROR(
      IF(VLOOKUP(C323, 'נתוני רישום ומצבת'!B:J, 9, FALSE) = $F$4,
         VLOOKUP(C323, 'נתוני רישום ומצבת'!B:J, 3, FALSE),
         "המוסד לא קיים ברשות"),
   "המוסד לא קיים"))</f>
        <v/>
      </c>
      <c r="E323" s="176" t="str">
        <f>IFERROR(VLOOKUP(C323,'נתוני רישום ומצבת'!B:G,6,0),"")</f>
        <v/>
      </c>
      <c r="F323" s="281" t="str">
        <f>IFERROR(VLOOKUP(C323,'נתוני רישום ומצבת'!B:K,10,0)," ")</f>
        <v xml:space="preserve"> </v>
      </c>
      <c r="G323" s="443" t="str">
        <f>IFERROR(VLOOKUP(C323,'נתוני רישום ומצבת'!B:E,4,0)," ")</f>
        <v xml:space="preserve"> </v>
      </c>
      <c r="H323" s="444" t="str">
        <f>IFERROR(VLOOKUP(C323,'נתוני רישום ומצבת'!B:K,7,0),"")</f>
        <v/>
      </c>
      <c r="I323" s="180" t="str">
        <f t="shared" si="16"/>
        <v/>
      </c>
      <c r="J323" s="443" t="str">
        <f>IFERROR(VLOOKUP(C323,'נתוני רישום ומצבת'!B:I,5,0)," ")</f>
        <v xml:space="preserve"> </v>
      </c>
      <c r="K323" s="443" t="str">
        <f>IFERROR(VLOOKUP(C323,'נתוני רישום ומצבת'!B:I,8,0),"")</f>
        <v/>
      </c>
      <c r="L323" s="284">
        <f t="shared" si="17"/>
        <v>0</v>
      </c>
      <c r="M323" s="283" t="str">
        <f t="shared" si="15"/>
        <v>-</v>
      </c>
    </row>
    <row r="324" spans="2:13" x14ac:dyDescent="0.25">
      <c r="B324" s="280">
        <v>304</v>
      </c>
      <c r="C324" s="549" t="str" cm="1">
        <f t="array" ref="C324">IFERROR(
   INDEX('נתוני רישום ומצבת'!$B:$B,
      SMALL(
         IF(('נתוני רישום ומצבת'!A$2:A$2998='נתונים כלליים (1)'!$C$5),
         ROW('נתוני רישום ומצבת'!A$2:A$2998)),
      ROW(A304))
   ),
"")</f>
        <v/>
      </c>
      <c r="D324" s="549" t="str">
        <f>IF(C324="", "",
   IFERROR(
      IF(VLOOKUP(C324, 'נתוני רישום ומצבת'!B:J, 9, FALSE) = $F$4,
         VLOOKUP(C324, 'נתוני רישום ומצבת'!B:J, 3, FALSE),
         "המוסד לא קיים ברשות"),
   "המוסד לא קיים"))</f>
        <v/>
      </c>
      <c r="E324" s="176" t="str">
        <f>IFERROR(VLOOKUP(C324,'נתוני רישום ומצבת'!B:G,6,0),"")</f>
        <v/>
      </c>
      <c r="F324" s="281" t="str">
        <f>IFERROR(VLOOKUP(C324,'נתוני רישום ומצבת'!B:K,10,0)," ")</f>
        <v xml:space="preserve"> </v>
      </c>
      <c r="G324" s="443" t="str">
        <f>IFERROR(VLOOKUP(C324,'נתוני רישום ומצבת'!B:E,4,0)," ")</f>
        <v xml:space="preserve"> </v>
      </c>
      <c r="H324" s="444" t="str">
        <f>IFERROR(VLOOKUP(C324,'נתוני רישום ומצבת'!B:K,7,0),"")</f>
        <v/>
      </c>
      <c r="I324" s="180" t="str">
        <f t="shared" si="16"/>
        <v/>
      </c>
      <c r="J324" s="443" t="str">
        <f>IFERROR(VLOOKUP(C324,'נתוני רישום ומצבת'!B:I,5,0)," ")</f>
        <v xml:space="preserve"> </v>
      </c>
      <c r="K324" s="443" t="str">
        <f>IFERROR(VLOOKUP(C324,'נתוני רישום ומצבת'!B:I,8,0),"")</f>
        <v/>
      </c>
      <c r="L324" s="284">
        <f t="shared" si="17"/>
        <v>0</v>
      </c>
      <c r="M324" s="283" t="str">
        <f t="shared" si="15"/>
        <v>-</v>
      </c>
    </row>
    <row r="325" spans="2:13" x14ac:dyDescent="0.25">
      <c r="B325" s="280">
        <v>305</v>
      </c>
      <c r="C325" s="549" t="str" cm="1">
        <f t="array" ref="C325">IFERROR(
   INDEX('נתוני רישום ומצבת'!$B:$B,
      SMALL(
         IF(('נתוני רישום ומצבת'!A$2:A$2998='נתונים כלליים (1)'!$C$5),
         ROW('נתוני רישום ומצבת'!A$2:A$2998)),
      ROW(A305))
   ),
"")</f>
        <v/>
      </c>
      <c r="D325" s="549" t="str">
        <f>IF(C325="", "",
   IFERROR(
      IF(VLOOKUP(C325, 'נתוני רישום ומצבת'!B:J, 9, FALSE) = $F$4,
         VLOOKUP(C325, 'נתוני רישום ומצבת'!B:J, 3, FALSE),
         "המוסד לא קיים ברשות"),
   "המוסד לא קיים"))</f>
        <v/>
      </c>
      <c r="E325" s="176" t="str">
        <f>IFERROR(VLOOKUP(C325,'נתוני רישום ומצבת'!B:G,6,0),"")</f>
        <v/>
      </c>
      <c r="F325" s="281" t="str">
        <f>IFERROR(VLOOKUP(C325,'נתוני רישום ומצבת'!B:K,10,0)," ")</f>
        <v xml:space="preserve"> </v>
      </c>
      <c r="G325" s="443" t="str">
        <f>IFERROR(VLOOKUP(C325,'נתוני רישום ומצבת'!B:E,4,0)," ")</f>
        <v xml:space="preserve"> </v>
      </c>
      <c r="H325" s="444" t="str">
        <f>IFERROR(VLOOKUP(C325,'נתוני רישום ומצבת'!B:K,7,0),"")</f>
        <v/>
      </c>
      <c r="I325" s="180" t="str">
        <f t="shared" si="16"/>
        <v/>
      </c>
      <c r="J325" s="443" t="str">
        <f>IFERROR(VLOOKUP(C325,'נתוני רישום ומצבת'!B:I,5,0)," ")</f>
        <v xml:space="preserve"> </v>
      </c>
      <c r="K325" s="443" t="str">
        <f>IFERROR(VLOOKUP(C325,'נתוני רישום ומצבת'!B:I,8,0),"")</f>
        <v/>
      </c>
      <c r="L325" s="284">
        <f t="shared" si="17"/>
        <v>0</v>
      </c>
      <c r="M325" s="283" t="str">
        <f t="shared" si="15"/>
        <v>-</v>
      </c>
    </row>
    <row r="326" spans="2:13" x14ac:dyDescent="0.25">
      <c r="B326" s="280">
        <v>306</v>
      </c>
      <c r="C326" s="549" t="str" cm="1">
        <f t="array" ref="C326">IFERROR(
   INDEX('נתוני רישום ומצבת'!$B:$B,
      SMALL(
         IF(('נתוני רישום ומצבת'!A$2:A$2998='נתונים כלליים (1)'!$C$5),
         ROW('נתוני רישום ומצבת'!A$2:A$2998)),
      ROW(A306))
   ),
"")</f>
        <v/>
      </c>
      <c r="D326" s="549" t="str">
        <f>IF(C326="", "",
   IFERROR(
      IF(VLOOKUP(C326, 'נתוני רישום ומצבת'!B:J, 9, FALSE) = $F$4,
         VLOOKUP(C326, 'נתוני רישום ומצבת'!B:J, 3, FALSE),
         "המוסד לא קיים ברשות"),
   "המוסד לא קיים"))</f>
        <v/>
      </c>
      <c r="E326" s="176" t="str">
        <f>IFERROR(VLOOKUP(C326,'נתוני רישום ומצבת'!B:G,6,0),"")</f>
        <v/>
      </c>
      <c r="F326" s="281" t="str">
        <f>IFERROR(VLOOKUP(C326,'נתוני רישום ומצבת'!B:K,10,0)," ")</f>
        <v xml:space="preserve"> </v>
      </c>
      <c r="G326" s="443" t="str">
        <f>IFERROR(VLOOKUP(C326,'נתוני רישום ומצבת'!B:E,4,0)," ")</f>
        <v xml:space="preserve"> </v>
      </c>
      <c r="H326" s="444" t="str">
        <f>IFERROR(VLOOKUP(C326,'נתוני רישום ומצבת'!B:K,7,0),"")</f>
        <v/>
      </c>
      <c r="I326" s="180" t="str">
        <f t="shared" si="16"/>
        <v/>
      </c>
      <c r="J326" s="443" t="str">
        <f>IFERROR(VLOOKUP(C326,'נתוני רישום ומצבת'!B:I,5,0)," ")</f>
        <v xml:space="preserve"> </v>
      </c>
      <c r="K326" s="443" t="str">
        <f>IFERROR(VLOOKUP(C326,'נתוני רישום ומצבת'!B:I,8,0),"")</f>
        <v/>
      </c>
      <c r="L326" s="284">
        <f t="shared" si="17"/>
        <v>0</v>
      </c>
      <c r="M326" s="283" t="str">
        <f t="shared" si="15"/>
        <v>-</v>
      </c>
    </row>
    <row r="327" spans="2:13" x14ac:dyDescent="0.25">
      <c r="B327" s="280">
        <v>307</v>
      </c>
      <c r="C327" s="549" t="str" cm="1">
        <f t="array" ref="C327">IFERROR(
   INDEX('נתוני רישום ומצבת'!$B:$B,
      SMALL(
         IF(('נתוני רישום ומצבת'!A$2:A$2998='נתונים כלליים (1)'!$C$5),
         ROW('נתוני רישום ומצבת'!A$2:A$2998)),
      ROW(A307))
   ),
"")</f>
        <v/>
      </c>
      <c r="D327" s="549" t="str">
        <f>IF(C327="", "",
   IFERROR(
      IF(VLOOKUP(C327, 'נתוני רישום ומצבת'!B:J, 9, FALSE) = $F$4,
         VLOOKUP(C327, 'נתוני רישום ומצבת'!B:J, 3, FALSE),
         "המוסד לא קיים ברשות"),
   "המוסד לא קיים"))</f>
        <v/>
      </c>
      <c r="E327" s="176" t="str">
        <f>IFERROR(VLOOKUP(C327,'נתוני רישום ומצבת'!B:G,6,0),"")</f>
        <v/>
      </c>
      <c r="F327" s="281" t="str">
        <f>IFERROR(VLOOKUP(C327,'נתוני רישום ומצבת'!B:K,10,0)," ")</f>
        <v xml:space="preserve"> </v>
      </c>
      <c r="G327" s="443" t="str">
        <f>IFERROR(VLOOKUP(C327,'נתוני רישום ומצבת'!B:E,4,0)," ")</f>
        <v xml:space="preserve"> </v>
      </c>
      <c r="H327" s="444" t="str">
        <f>IFERROR(VLOOKUP(C327,'נתוני רישום ומצבת'!B:K,7,0),"")</f>
        <v/>
      </c>
      <c r="I327" s="180" t="str">
        <f t="shared" si="16"/>
        <v/>
      </c>
      <c r="J327" s="443" t="str">
        <f>IFERROR(VLOOKUP(C327,'נתוני רישום ומצבת'!B:I,5,0)," ")</f>
        <v xml:space="preserve"> </v>
      </c>
      <c r="K327" s="443" t="str">
        <f>IFERROR(VLOOKUP(C327,'נתוני רישום ומצבת'!B:I,8,0),"")</f>
        <v/>
      </c>
      <c r="L327" s="284">
        <f t="shared" si="17"/>
        <v>0</v>
      </c>
      <c r="M327" s="283" t="str">
        <f t="shared" si="15"/>
        <v>-</v>
      </c>
    </row>
    <row r="328" spans="2:13" x14ac:dyDescent="0.25">
      <c r="B328" s="280">
        <v>308</v>
      </c>
      <c r="C328" s="549" t="str" cm="1">
        <f t="array" ref="C328">IFERROR(
   INDEX('נתוני רישום ומצבת'!$B:$B,
      SMALL(
         IF(('נתוני רישום ומצבת'!A$2:A$2998='נתונים כלליים (1)'!$C$5),
         ROW('נתוני רישום ומצבת'!A$2:A$2998)),
      ROW(A308))
   ),
"")</f>
        <v/>
      </c>
      <c r="D328" s="549" t="str">
        <f>IF(C328="", "",
   IFERROR(
      IF(VLOOKUP(C328, 'נתוני רישום ומצבת'!B:J, 9, FALSE) = $F$4,
         VLOOKUP(C328, 'נתוני רישום ומצבת'!B:J, 3, FALSE),
         "המוסד לא קיים ברשות"),
   "המוסד לא קיים"))</f>
        <v/>
      </c>
      <c r="E328" s="176" t="str">
        <f>IFERROR(VLOOKUP(C328,'נתוני רישום ומצבת'!B:G,6,0),"")</f>
        <v/>
      </c>
      <c r="F328" s="281" t="str">
        <f>IFERROR(VLOOKUP(C328,'נתוני רישום ומצבת'!B:K,10,0)," ")</f>
        <v xml:space="preserve"> </v>
      </c>
      <c r="G328" s="443" t="str">
        <f>IFERROR(VLOOKUP(C328,'נתוני רישום ומצבת'!B:E,4,0)," ")</f>
        <v xml:space="preserve"> </v>
      </c>
      <c r="H328" s="444" t="str">
        <f>IFERROR(VLOOKUP(C328,'נתוני רישום ומצבת'!B:K,7,0),"")</f>
        <v/>
      </c>
      <c r="I328" s="180" t="str">
        <f t="shared" si="16"/>
        <v/>
      </c>
      <c r="J328" s="443" t="str">
        <f>IFERROR(VLOOKUP(C328,'נתוני רישום ומצבת'!B:I,5,0)," ")</f>
        <v xml:space="preserve"> </v>
      </c>
      <c r="K328" s="443" t="str">
        <f>IFERROR(VLOOKUP(C328,'נתוני רישום ומצבת'!B:I,8,0),"")</f>
        <v/>
      </c>
      <c r="L328" s="284">
        <f t="shared" si="17"/>
        <v>0</v>
      </c>
      <c r="M328" s="283" t="str">
        <f t="shared" si="15"/>
        <v>-</v>
      </c>
    </row>
    <row r="329" spans="2:13" x14ac:dyDescent="0.25">
      <c r="B329" s="280">
        <v>309</v>
      </c>
      <c r="C329" s="549" t="str" cm="1">
        <f t="array" ref="C329">IFERROR(
   INDEX('נתוני רישום ומצבת'!$B:$B,
      SMALL(
         IF(('נתוני רישום ומצבת'!A$2:A$2998='נתונים כלליים (1)'!$C$5),
         ROW('נתוני רישום ומצבת'!A$2:A$2998)),
      ROW(A309))
   ),
"")</f>
        <v/>
      </c>
      <c r="D329" s="549" t="str">
        <f>IF(C329="", "",
   IFERROR(
      IF(VLOOKUP(C329, 'נתוני רישום ומצבת'!B:J, 9, FALSE) = $F$4,
         VLOOKUP(C329, 'נתוני רישום ומצבת'!B:J, 3, FALSE),
         "המוסד לא קיים ברשות"),
   "המוסד לא קיים"))</f>
        <v/>
      </c>
      <c r="E329" s="176" t="str">
        <f>IFERROR(VLOOKUP(C329,'נתוני רישום ומצבת'!B:G,6,0),"")</f>
        <v/>
      </c>
      <c r="F329" s="281" t="str">
        <f>IFERROR(VLOOKUP(C329,'נתוני רישום ומצבת'!B:K,10,0)," ")</f>
        <v xml:space="preserve"> </v>
      </c>
      <c r="G329" s="443" t="str">
        <f>IFERROR(VLOOKUP(C329,'נתוני רישום ומצבת'!B:E,4,0)," ")</f>
        <v xml:space="preserve"> </v>
      </c>
      <c r="H329" s="444" t="str">
        <f>IFERROR(VLOOKUP(C329,'נתוני רישום ומצבת'!B:K,7,0),"")</f>
        <v/>
      </c>
      <c r="I329" s="180" t="str">
        <f t="shared" si="16"/>
        <v/>
      </c>
      <c r="J329" s="443" t="str">
        <f>IFERROR(VLOOKUP(C329,'נתוני רישום ומצבת'!B:I,5,0)," ")</f>
        <v xml:space="preserve"> </v>
      </c>
      <c r="K329" s="443" t="str">
        <f>IFERROR(VLOOKUP(C329,'נתוני רישום ומצבת'!B:I,8,0),"")</f>
        <v/>
      </c>
      <c r="L329" s="284">
        <f t="shared" si="17"/>
        <v>0</v>
      </c>
      <c r="M329" s="283" t="str">
        <f t="shared" si="15"/>
        <v>-</v>
      </c>
    </row>
    <row r="330" spans="2:13" x14ac:dyDescent="0.25">
      <c r="B330" s="280">
        <v>310</v>
      </c>
      <c r="C330" s="549" t="str" cm="1">
        <f t="array" ref="C330">IFERROR(
   INDEX('נתוני רישום ומצבת'!$B:$B,
      SMALL(
         IF(('נתוני רישום ומצבת'!A$2:A$2998='נתונים כלליים (1)'!$C$5),
         ROW('נתוני רישום ומצבת'!A$2:A$2998)),
      ROW(A310))
   ),
"")</f>
        <v/>
      </c>
      <c r="D330" s="549" t="str">
        <f>IF(C330="", "",
   IFERROR(
      IF(VLOOKUP(C330, 'נתוני רישום ומצבת'!B:J, 9, FALSE) = $F$4,
         VLOOKUP(C330, 'נתוני רישום ומצבת'!B:J, 3, FALSE),
         "המוסד לא קיים ברשות"),
   "המוסד לא קיים"))</f>
        <v/>
      </c>
      <c r="E330" s="176" t="str">
        <f>IFERROR(VLOOKUP(C330,'נתוני רישום ומצבת'!B:G,6,0),"")</f>
        <v/>
      </c>
      <c r="F330" s="281" t="str">
        <f>IFERROR(VLOOKUP(C330,'נתוני רישום ומצבת'!B:K,10,0)," ")</f>
        <v xml:space="preserve"> </v>
      </c>
      <c r="G330" s="443" t="str">
        <f>IFERROR(VLOOKUP(C330,'נתוני רישום ומצבת'!B:E,4,0)," ")</f>
        <v xml:space="preserve"> </v>
      </c>
      <c r="H330" s="444" t="str">
        <f>IFERROR(VLOOKUP(C330,'נתוני רישום ומצבת'!B:K,7,0),"")</f>
        <v/>
      </c>
      <c r="I330" s="180" t="str">
        <f t="shared" si="16"/>
        <v/>
      </c>
      <c r="J330" s="443" t="str">
        <f>IFERROR(VLOOKUP(C330,'נתוני רישום ומצבת'!B:I,5,0)," ")</f>
        <v xml:space="preserve"> </v>
      </c>
      <c r="K330" s="443" t="str">
        <f>IFERROR(VLOOKUP(C330,'נתוני רישום ומצבת'!B:I,8,0),"")</f>
        <v/>
      </c>
      <c r="L330" s="284">
        <f t="shared" si="17"/>
        <v>0</v>
      </c>
      <c r="M330" s="283" t="str">
        <f t="shared" si="15"/>
        <v>-</v>
      </c>
    </row>
    <row r="331" spans="2:13" x14ac:dyDescent="0.25">
      <c r="B331" s="280">
        <v>311</v>
      </c>
      <c r="C331" s="549" t="str" cm="1">
        <f t="array" ref="C331">IFERROR(
   INDEX('נתוני רישום ומצבת'!$B:$B,
      SMALL(
         IF(('נתוני רישום ומצבת'!A$2:A$2998='נתונים כלליים (1)'!$C$5),
         ROW('נתוני רישום ומצבת'!A$2:A$2998)),
      ROW(A311))
   ),
"")</f>
        <v/>
      </c>
      <c r="D331" s="549" t="str">
        <f>IF(C331="", "",
   IFERROR(
      IF(VLOOKUP(C331, 'נתוני רישום ומצבת'!B:J, 9, FALSE) = $F$4,
         VLOOKUP(C331, 'נתוני רישום ומצבת'!B:J, 3, FALSE),
         "המוסד לא קיים ברשות"),
   "המוסד לא קיים"))</f>
        <v/>
      </c>
      <c r="E331" s="176" t="str">
        <f>IFERROR(VLOOKUP(C331,'נתוני רישום ומצבת'!B:G,6,0),"")</f>
        <v/>
      </c>
      <c r="F331" s="281" t="str">
        <f>IFERROR(VLOOKUP(C331,'נתוני רישום ומצבת'!B:K,10,0)," ")</f>
        <v xml:space="preserve"> </v>
      </c>
      <c r="G331" s="443" t="str">
        <f>IFERROR(VLOOKUP(C331,'נתוני רישום ומצבת'!B:E,4,0)," ")</f>
        <v xml:space="preserve"> </v>
      </c>
      <c r="H331" s="444" t="str">
        <f>IFERROR(VLOOKUP(C331,'נתוני רישום ומצבת'!B:K,7,0),"")</f>
        <v/>
      </c>
      <c r="I331" s="180" t="str">
        <f t="shared" si="16"/>
        <v/>
      </c>
      <c r="J331" s="443" t="str">
        <f>IFERROR(VLOOKUP(C331,'נתוני רישום ומצבת'!B:I,5,0)," ")</f>
        <v xml:space="preserve"> </v>
      </c>
      <c r="K331" s="443" t="str">
        <f>IFERROR(VLOOKUP(C331,'נתוני רישום ומצבת'!B:I,8,0),"")</f>
        <v/>
      </c>
      <c r="L331" s="284">
        <f t="shared" si="17"/>
        <v>0</v>
      </c>
      <c r="M331" s="283" t="str">
        <f t="shared" si="15"/>
        <v>-</v>
      </c>
    </row>
    <row r="332" spans="2:13" x14ac:dyDescent="0.25">
      <c r="B332" s="280">
        <v>312</v>
      </c>
      <c r="C332" s="549" t="str" cm="1">
        <f t="array" ref="C332">IFERROR(
   INDEX('נתוני רישום ומצבת'!$B:$B,
      SMALL(
         IF(('נתוני רישום ומצבת'!A$2:A$2998='נתונים כלליים (1)'!$C$5),
         ROW('נתוני רישום ומצבת'!A$2:A$2998)),
      ROW(A312))
   ),
"")</f>
        <v/>
      </c>
      <c r="D332" s="549" t="str">
        <f>IF(C332="", "",
   IFERROR(
      IF(VLOOKUP(C332, 'נתוני רישום ומצבת'!B:J, 9, FALSE) = $F$4,
         VLOOKUP(C332, 'נתוני רישום ומצבת'!B:J, 3, FALSE),
         "המוסד לא קיים ברשות"),
   "המוסד לא קיים"))</f>
        <v/>
      </c>
      <c r="E332" s="176" t="str">
        <f>IFERROR(VLOOKUP(C332,'נתוני רישום ומצבת'!B:G,6,0),"")</f>
        <v/>
      </c>
      <c r="F332" s="281" t="str">
        <f>IFERROR(VLOOKUP(C332,'נתוני רישום ומצבת'!B:K,10,0)," ")</f>
        <v xml:space="preserve"> </v>
      </c>
      <c r="G332" s="443" t="str">
        <f>IFERROR(VLOOKUP(C332,'נתוני רישום ומצבת'!B:E,4,0)," ")</f>
        <v xml:space="preserve"> </v>
      </c>
      <c r="H332" s="444" t="str">
        <f>IFERROR(VLOOKUP(C332,'נתוני רישום ומצבת'!B:K,7,0),"")</f>
        <v/>
      </c>
      <c r="I332" s="180" t="str">
        <f t="shared" si="16"/>
        <v/>
      </c>
      <c r="J332" s="443" t="str">
        <f>IFERROR(VLOOKUP(C332,'נתוני רישום ומצבת'!B:I,5,0)," ")</f>
        <v xml:space="preserve"> </v>
      </c>
      <c r="K332" s="443" t="str">
        <f>IFERROR(VLOOKUP(C332,'נתוני רישום ומצבת'!B:I,8,0),"")</f>
        <v/>
      </c>
      <c r="L332" s="284">
        <f t="shared" si="17"/>
        <v>0</v>
      </c>
      <c r="M332" s="283" t="str">
        <f t="shared" si="15"/>
        <v>-</v>
      </c>
    </row>
    <row r="333" spans="2:13" x14ac:dyDescent="0.25">
      <c r="B333" s="280">
        <v>313</v>
      </c>
      <c r="C333" s="549" t="str" cm="1">
        <f t="array" ref="C333">IFERROR(
   INDEX('נתוני רישום ומצבת'!$B:$B,
      SMALL(
         IF(('נתוני רישום ומצבת'!A$2:A$2998='נתונים כלליים (1)'!$C$5),
         ROW('נתוני רישום ומצבת'!A$2:A$2998)),
      ROW(A313))
   ),
"")</f>
        <v/>
      </c>
      <c r="D333" s="549" t="str">
        <f>IF(C333="", "",
   IFERROR(
      IF(VLOOKUP(C333, 'נתוני רישום ומצבת'!B:J, 9, FALSE) = $F$4,
         VLOOKUP(C333, 'נתוני רישום ומצבת'!B:J, 3, FALSE),
         "המוסד לא קיים ברשות"),
   "המוסד לא קיים"))</f>
        <v/>
      </c>
      <c r="E333" s="176" t="str">
        <f>IFERROR(VLOOKUP(C333,'נתוני רישום ומצבת'!B:G,6,0),"")</f>
        <v/>
      </c>
      <c r="F333" s="281" t="str">
        <f>IFERROR(VLOOKUP(C333,'נתוני רישום ומצבת'!B:K,10,0)," ")</f>
        <v xml:space="preserve"> </v>
      </c>
      <c r="G333" s="443" t="str">
        <f>IFERROR(VLOOKUP(C333,'נתוני רישום ומצבת'!B:E,4,0)," ")</f>
        <v xml:space="preserve"> </v>
      </c>
      <c r="H333" s="444" t="str">
        <f>IFERROR(VLOOKUP(C333,'נתוני רישום ומצבת'!B:K,7,0),"")</f>
        <v/>
      </c>
      <c r="I333" s="180" t="str">
        <f t="shared" si="16"/>
        <v/>
      </c>
      <c r="J333" s="443" t="str">
        <f>IFERROR(VLOOKUP(C333,'נתוני רישום ומצבת'!B:I,5,0)," ")</f>
        <v xml:space="preserve"> </v>
      </c>
      <c r="K333" s="443" t="str">
        <f>IFERROR(VLOOKUP(C333,'נתוני רישום ומצבת'!B:I,8,0),"")</f>
        <v/>
      </c>
      <c r="L333" s="284">
        <f t="shared" si="17"/>
        <v>0</v>
      </c>
      <c r="M333" s="283" t="str">
        <f t="shared" si="15"/>
        <v>-</v>
      </c>
    </row>
    <row r="334" spans="2:13" x14ac:dyDescent="0.25">
      <c r="B334" s="280">
        <v>314</v>
      </c>
      <c r="C334" s="549" t="str" cm="1">
        <f t="array" ref="C334">IFERROR(
   INDEX('נתוני רישום ומצבת'!$B:$B,
      SMALL(
         IF(('נתוני רישום ומצבת'!A$2:A$2998='נתונים כלליים (1)'!$C$5),
         ROW('נתוני רישום ומצבת'!A$2:A$2998)),
      ROW(A314))
   ),
"")</f>
        <v/>
      </c>
      <c r="D334" s="549" t="str">
        <f>IF(C334="", "",
   IFERROR(
      IF(VLOOKUP(C334, 'נתוני רישום ומצבת'!B:J, 9, FALSE) = $F$4,
         VLOOKUP(C334, 'נתוני רישום ומצבת'!B:J, 3, FALSE),
         "המוסד לא קיים ברשות"),
   "המוסד לא קיים"))</f>
        <v/>
      </c>
      <c r="E334" s="176" t="str">
        <f>IFERROR(VLOOKUP(C334,'נתוני רישום ומצבת'!B:G,6,0),"")</f>
        <v/>
      </c>
      <c r="F334" s="281" t="str">
        <f>IFERROR(VLOOKUP(C334,'נתוני רישום ומצבת'!B:K,10,0)," ")</f>
        <v xml:space="preserve"> </v>
      </c>
      <c r="G334" s="443" t="str">
        <f>IFERROR(VLOOKUP(C334,'נתוני רישום ומצבת'!B:E,4,0)," ")</f>
        <v xml:space="preserve"> </v>
      </c>
      <c r="H334" s="444" t="str">
        <f>IFERROR(VLOOKUP(C334,'נתוני רישום ומצבת'!B:K,7,0),"")</f>
        <v/>
      </c>
      <c r="I334" s="180" t="str">
        <f t="shared" si="16"/>
        <v/>
      </c>
      <c r="J334" s="443" t="str">
        <f>IFERROR(VLOOKUP(C334,'נתוני רישום ומצבת'!B:I,5,0)," ")</f>
        <v xml:space="preserve"> </v>
      </c>
      <c r="K334" s="443" t="str">
        <f>IFERROR(VLOOKUP(C334,'נתוני רישום ומצבת'!B:I,8,0),"")</f>
        <v/>
      </c>
      <c r="L334" s="284">
        <f t="shared" si="17"/>
        <v>0</v>
      </c>
      <c r="M334" s="283" t="str">
        <f t="shared" ref="M334:M397" si="18">IF(L334&gt;149,"כן","-")</f>
        <v>-</v>
      </c>
    </row>
    <row r="335" spans="2:13" x14ac:dyDescent="0.25">
      <c r="B335" s="280">
        <v>315</v>
      </c>
      <c r="C335" s="549" t="str" cm="1">
        <f t="array" ref="C335">IFERROR(
   INDEX('נתוני רישום ומצבת'!$B:$B,
      SMALL(
         IF(('נתוני רישום ומצבת'!A$2:A$2998='נתונים כלליים (1)'!$C$5),
         ROW('נתוני רישום ומצבת'!A$2:A$2998)),
      ROW(A315))
   ),
"")</f>
        <v/>
      </c>
      <c r="D335" s="549" t="str">
        <f>IF(C335="", "",
   IFERROR(
      IF(VLOOKUP(C335, 'נתוני רישום ומצבת'!B:J, 9, FALSE) = $F$4,
         VLOOKUP(C335, 'נתוני רישום ומצבת'!B:J, 3, FALSE),
         "המוסד לא קיים ברשות"),
   "המוסד לא קיים"))</f>
        <v/>
      </c>
      <c r="E335" s="176" t="str">
        <f>IFERROR(VLOOKUP(C335,'נתוני רישום ומצבת'!B:G,6,0),"")</f>
        <v/>
      </c>
      <c r="F335" s="281" t="str">
        <f>IFERROR(VLOOKUP(C335,'נתוני רישום ומצבת'!B:K,10,0)," ")</f>
        <v xml:space="preserve"> </v>
      </c>
      <c r="G335" s="443" t="str">
        <f>IFERROR(VLOOKUP(C335,'נתוני רישום ומצבת'!B:E,4,0)," ")</f>
        <v xml:space="preserve"> </v>
      </c>
      <c r="H335" s="444" t="str">
        <f>IFERROR(VLOOKUP(C335,'נתוני רישום ומצבת'!B:K,7,0),"")</f>
        <v/>
      </c>
      <c r="I335" s="180" t="str">
        <f t="shared" si="16"/>
        <v/>
      </c>
      <c r="J335" s="443" t="str">
        <f>IFERROR(VLOOKUP(C335,'נתוני רישום ומצבת'!B:I,5,0)," ")</f>
        <v xml:space="preserve"> </v>
      </c>
      <c r="K335" s="443" t="str">
        <f>IFERROR(VLOOKUP(C335,'נתוני רישום ומצבת'!B:I,8,0),"")</f>
        <v/>
      </c>
      <c r="L335" s="284">
        <f t="shared" si="17"/>
        <v>0</v>
      </c>
      <c r="M335" s="283" t="str">
        <f t="shared" si="18"/>
        <v>-</v>
      </c>
    </row>
    <row r="336" spans="2:13" x14ac:dyDescent="0.25">
      <c r="B336" s="280">
        <v>316</v>
      </c>
      <c r="C336" s="549" t="str" cm="1">
        <f t="array" ref="C336">IFERROR(
   INDEX('נתוני רישום ומצבת'!$B:$B,
      SMALL(
         IF(('נתוני רישום ומצבת'!A$2:A$2998='נתונים כלליים (1)'!$C$5),
         ROW('נתוני רישום ומצבת'!A$2:A$2998)),
      ROW(A316))
   ),
"")</f>
        <v/>
      </c>
      <c r="D336" s="549" t="str">
        <f>IF(C336="", "",
   IFERROR(
      IF(VLOOKUP(C336, 'נתוני רישום ומצבת'!B:J, 9, FALSE) = $F$4,
         VLOOKUP(C336, 'נתוני רישום ומצבת'!B:J, 3, FALSE),
         "המוסד לא קיים ברשות"),
   "המוסד לא קיים"))</f>
        <v/>
      </c>
      <c r="E336" s="176" t="str">
        <f>IFERROR(VLOOKUP(C336,'נתוני רישום ומצבת'!B:G,6,0),"")</f>
        <v/>
      </c>
      <c r="F336" s="281" t="str">
        <f>IFERROR(VLOOKUP(C336,'נתוני רישום ומצבת'!B:K,10,0)," ")</f>
        <v xml:space="preserve"> </v>
      </c>
      <c r="G336" s="443" t="str">
        <f>IFERROR(VLOOKUP(C336,'נתוני רישום ומצבת'!B:E,4,0)," ")</f>
        <v xml:space="preserve"> </v>
      </c>
      <c r="H336" s="444" t="str">
        <f>IFERROR(VLOOKUP(C336,'נתוני רישום ומצבת'!B:K,7,0),"")</f>
        <v/>
      </c>
      <c r="I336" s="180" t="str">
        <f t="shared" si="16"/>
        <v/>
      </c>
      <c r="J336" s="443" t="str">
        <f>IFERROR(VLOOKUP(C336,'נתוני רישום ומצבת'!B:I,5,0)," ")</f>
        <v xml:space="preserve"> </v>
      </c>
      <c r="K336" s="443" t="str">
        <f>IFERROR(VLOOKUP(C336,'נתוני רישום ומצבת'!B:I,8,0),"")</f>
        <v/>
      </c>
      <c r="L336" s="284">
        <f t="shared" si="17"/>
        <v>0</v>
      </c>
      <c r="M336" s="283" t="str">
        <f t="shared" si="18"/>
        <v>-</v>
      </c>
    </row>
    <row r="337" spans="2:13" x14ac:dyDescent="0.25">
      <c r="B337" s="280">
        <v>317</v>
      </c>
      <c r="C337" s="549" t="str" cm="1">
        <f t="array" ref="C337">IFERROR(
   INDEX('נתוני רישום ומצבת'!$B:$B,
      SMALL(
         IF(('נתוני רישום ומצבת'!A$2:A$2998='נתונים כלליים (1)'!$C$5),
         ROW('נתוני רישום ומצבת'!A$2:A$2998)),
      ROW(A317))
   ),
"")</f>
        <v/>
      </c>
      <c r="D337" s="549" t="str">
        <f>IF(C337="", "",
   IFERROR(
      IF(VLOOKUP(C337, 'נתוני רישום ומצבת'!B:J, 9, FALSE) = $F$4,
         VLOOKUP(C337, 'נתוני רישום ומצבת'!B:J, 3, FALSE),
         "המוסד לא קיים ברשות"),
   "המוסד לא קיים"))</f>
        <v/>
      </c>
      <c r="E337" s="176" t="str">
        <f>IFERROR(VLOOKUP(C337,'נתוני רישום ומצבת'!B:G,6,0),"")</f>
        <v/>
      </c>
      <c r="F337" s="281" t="str">
        <f>IFERROR(VLOOKUP(C337,'נתוני רישום ומצבת'!B:K,10,0)," ")</f>
        <v xml:space="preserve"> </v>
      </c>
      <c r="G337" s="443" t="str">
        <f>IFERROR(VLOOKUP(C337,'נתוני רישום ומצבת'!B:E,4,0)," ")</f>
        <v xml:space="preserve"> </v>
      </c>
      <c r="H337" s="444" t="str">
        <f>IFERROR(VLOOKUP(C337,'נתוני רישום ומצבת'!B:K,7,0),"")</f>
        <v/>
      </c>
      <c r="I337" s="180" t="str">
        <f t="shared" si="16"/>
        <v/>
      </c>
      <c r="J337" s="443" t="str">
        <f>IFERROR(VLOOKUP(C337,'נתוני רישום ומצבת'!B:I,5,0)," ")</f>
        <v xml:space="preserve"> </v>
      </c>
      <c r="K337" s="443" t="str">
        <f>IFERROR(VLOOKUP(C337,'נתוני רישום ומצבת'!B:I,8,0),"")</f>
        <v/>
      </c>
      <c r="L337" s="284">
        <f t="shared" si="17"/>
        <v>0</v>
      </c>
      <c r="M337" s="283" t="str">
        <f t="shared" si="18"/>
        <v>-</v>
      </c>
    </row>
    <row r="338" spans="2:13" x14ac:dyDescent="0.25">
      <c r="B338" s="280">
        <v>318</v>
      </c>
      <c r="C338" s="549" t="str" cm="1">
        <f t="array" ref="C338">IFERROR(
   INDEX('נתוני רישום ומצבת'!$B:$B,
      SMALL(
         IF(('נתוני רישום ומצבת'!A$2:A$2998='נתונים כלליים (1)'!$C$5),
         ROW('נתוני רישום ומצבת'!A$2:A$2998)),
      ROW(A318))
   ),
"")</f>
        <v/>
      </c>
      <c r="D338" s="549" t="str">
        <f>IF(C338="", "",
   IFERROR(
      IF(VLOOKUP(C338, 'נתוני רישום ומצבת'!B:J, 9, FALSE) = $F$4,
         VLOOKUP(C338, 'נתוני רישום ומצבת'!B:J, 3, FALSE),
         "המוסד לא קיים ברשות"),
   "המוסד לא קיים"))</f>
        <v/>
      </c>
      <c r="E338" s="176" t="str">
        <f>IFERROR(VLOOKUP(C338,'נתוני רישום ומצבת'!B:G,6,0),"")</f>
        <v/>
      </c>
      <c r="F338" s="281" t="str">
        <f>IFERROR(VLOOKUP(C338,'נתוני רישום ומצבת'!B:K,10,0)," ")</f>
        <v xml:space="preserve"> </v>
      </c>
      <c r="G338" s="443" t="str">
        <f>IFERROR(VLOOKUP(C338,'נתוני רישום ומצבת'!B:E,4,0)," ")</f>
        <v xml:space="preserve"> </v>
      </c>
      <c r="H338" s="444" t="str">
        <f>IFERROR(VLOOKUP(C338,'נתוני רישום ומצבת'!B:K,7,0),"")</f>
        <v/>
      </c>
      <c r="I338" s="180" t="str">
        <f t="shared" si="16"/>
        <v/>
      </c>
      <c r="J338" s="443" t="str">
        <f>IFERROR(VLOOKUP(C338,'נתוני רישום ומצבת'!B:I,5,0)," ")</f>
        <v xml:space="preserve"> </v>
      </c>
      <c r="K338" s="443" t="str">
        <f>IFERROR(VLOOKUP(C338,'נתוני רישום ומצבת'!B:I,8,0),"")</f>
        <v/>
      </c>
      <c r="L338" s="284">
        <f t="shared" si="17"/>
        <v>0</v>
      </c>
      <c r="M338" s="283" t="str">
        <f t="shared" si="18"/>
        <v>-</v>
      </c>
    </row>
    <row r="339" spans="2:13" x14ac:dyDescent="0.25">
      <c r="B339" s="280">
        <v>319</v>
      </c>
      <c r="C339" s="549" t="str" cm="1">
        <f t="array" ref="C339">IFERROR(
   INDEX('נתוני רישום ומצבת'!$B:$B,
      SMALL(
         IF(('נתוני רישום ומצבת'!A$2:A$2998='נתונים כלליים (1)'!$C$5),
         ROW('נתוני רישום ומצבת'!A$2:A$2998)),
      ROW(A319))
   ),
"")</f>
        <v/>
      </c>
      <c r="D339" s="549" t="str">
        <f>IF(C339="", "",
   IFERROR(
      IF(VLOOKUP(C339, 'נתוני רישום ומצבת'!B:J, 9, FALSE) = $F$4,
         VLOOKUP(C339, 'נתוני רישום ומצבת'!B:J, 3, FALSE),
         "המוסד לא קיים ברשות"),
   "המוסד לא קיים"))</f>
        <v/>
      </c>
      <c r="E339" s="176" t="str">
        <f>IFERROR(VLOOKUP(C339,'נתוני רישום ומצבת'!B:G,6,0),"")</f>
        <v/>
      </c>
      <c r="F339" s="281" t="str">
        <f>IFERROR(VLOOKUP(C339,'נתוני רישום ומצבת'!B:K,10,0)," ")</f>
        <v xml:space="preserve"> </v>
      </c>
      <c r="G339" s="443" t="str">
        <f>IFERROR(VLOOKUP(C339,'נתוני רישום ומצבת'!B:E,4,0)," ")</f>
        <v xml:space="preserve"> </v>
      </c>
      <c r="H339" s="444" t="str">
        <f>IFERROR(VLOOKUP(C339,'נתוני רישום ומצבת'!B:K,7,0),"")</f>
        <v/>
      </c>
      <c r="I339" s="180" t="str">
        <f t="shared" si="16"/>
        <v/>
      </c>
      <c r="J339" s="443" t="str">
        <f>IFERROR(VLOOKUP(C339,'נתוני רישום ומצבת'!B:I,5,0)," ")</f>
        <v xml:space="preserve"> </v>
      </c>
      <c r="K339" s="443" t="str">
        <f>IFERROR(VLOOKUP(C339,'נתוני רישום ומצבת'!B:I,8,0),"")</f>
        <v/>
      </c>
      <c r="L339" s="284">
        <f t="shared" si="17"/>
        <v>0</v>
      </c>
      <c r="M339" s="283" t="str">
        <f t="shared" si="18"/>
        <v>-</v>
      </c>
    </row>
    <row r="340" spans="2:13" x14ac:dyDescent="0.25">
      <c r="B340" s="280">
        <v>320</v>
      </c>
      <c r="C340" s="549" t="str" cm="1">
        <f t="array" ref="C340">IFERROR(
   INDEX('נתוני רישום ומצבת'!$B:$B,
      SMALL(
         IF(('נתוני רישום ומצבת'!A$2:A$2998='נתונים כלליים (1)'!$C$5),
         ROW('נתוני רישום ומצבת'!A$2:A$2998)),
      ROW(A320))
   ),
"")</f>
        <v/>
      </c>
      <c r="D340" s="549" t="str">
        <f>IF(C340="", "",
   IFERROR(
      IF(VLOOKUP(C340, 'נתוני רישום ומצבת'!B:J, 9, FALSE) = $F$4,
         VLOOKUP(C340, 'נתוני רישום ומצבת'!B:J, 3, FALSE),
         "המוסד לא קיים ברשות"),
   "המוסד לא קיים"))</f>
        <v/>
      </c>
      <c r="E340" s="176" t="str">
        <f>IFERROR(VLOOKUP(C340,'נתוני רישום ומצבת'!B:G,6,0),"")</f>
        <v/>
      </c>
      <c r="F340" s="281" t="str">
        <f>IFERROR(VLOOKUP(C340,'נתוני רישום ומצבת'!B:K,10,0)," ")</f>
        <v xml:space="preserve"> </v>
      </c>
      <c r="G340" s="443" t="str">
        <f>IFERROR(VLOOKUP(C340,'נתוני רישום ומצבת'!B:E,4,0)," ")</f>
        <v xml:space="preserve"> </v>
      </c>
      <c r="H340" s="444" t="str">
        <f>IFERROR(VLOOKUP(C340,'נתוני רישום ומצבת'!B:K,7,0),"")</f>
        <v/>
      </c>
      <c r="I340" s="180" t="str">
        <f t="shared" si="16"/>
        <v/>
      </c>
      <c r="J340" s="443" t="str">
        <f>IFERROR(VLOOKUP(C340,'נתוני רישום ומצבת'!B:I,5,0)," ")</f>
        <v xml:space="preserve"> </v>
      </c>
      <c r="K340" s="443" t="str">
        <f>IFERROR(VLOOKUP(C340,'נתוני רישום ומצבת'!B:I,8,0),"")</f>
        <v/>
      </c>
      <c r="L340" s="284">
        <f t="shared" si="17"/>
        <v>0</v>
      </c>
      <c r="M340" s="283" t="str">
        <f t="shared" si="18"/>
        <v>-</v>
      </c>
    </row>
    <row r="341" spans="2:13" x14ac:dyDescent="0.25">
      <c r="B341" s="280">
        <v>321</v>
      </c>
      <c r="C341" s="549" t="str" cm="1">
        <f t="array" ref="C341">IFERROR(
   INDEX('נתוני רישום ומצבת'!$B:$B,
      SMALL(
         IF(('נתוני רישום ומצבת'!A$2:A$2998='נתונים כלליים (1)'!$C$5),
         ROW('נתוני רישום ומצבת'!A$2:A$2998)),
      ROW(A321))
   ),
"")</f>
        <v/>
      </c>
      <c r="D341" s="549" t="str">
        <f>IF(C341="", "",
   IFERROR(
      IF(VLOOKUP(C341, 'נתוני רישום ומצבת'!B:J, 9, FALSE) = $F$4,
         VLOOKUP(C341, 'נתוני רישום ומצבת'!B:J, 3, FALSE),
         "המוסד לא קיים ברשות"),
   "המוסד לא קיים"))</f>
        <v/>
      </c>
      <c r="E341" s="176" t="str">
        <f>IFERROR(VLOOKUP(C341,'נתוני רישום ומצבת'!B:G,6,0),"")</f>
        <v/>
      </c>
      <c r="F341" s="281" t="str">
        <f>IFERROR(VLOOKUP(C341,'נתוני רישום ומצבת'!B:K,10,0)," ")</f>
        <v xml:space="preserve"> </v>
      </c>
      <c r="G341" s="443" t="str">
        <f>IFERROR(VLOOKUP(C341,'נתוני רישום ומצבת'!B:E,4,0)," ")</f>
        <v xml:space="preserve"> </v>
      </c>
      <c r="H341" s="444" t="str">
        <f>IFERROR(VLOOKUP(C341,'נתוני רישום ומצבת'!B:K,7,0),"")</f>
        <v/>
      </c>
      <c r="I341" s="180" t="str">
        <f t="shared" ref="I341:I404" si="19">IFERROR(H341+G341,"")</f>
        <v/>
      </c>
      <c r="J341" s="443" t="str">
        <f>IFERROR(VLOOKUP(C341,'נתוני רישום ומצבת'!B:I,5,0)," ")</f>
        <v xml:space="preserve"> </v>
      </c>
      <c r="K341" s="443" t="str">
        <f>IFERROR(VLOOKUP(C341,'נתוני רישום ומצבת'!B:I,8,0),"")</f>
        <v/>
      </c>
      <c r="L341" s="284">
        <f t="shared" si="17"/>
        <v>0</v>
      </c>
      <c r="M341" s="283" t="str">
        <f t="shared" si="18"/>
        <v>-</v>
      </c>
    </row>
    <row r="342" spans="2:13" x14ac:dyDescent="0.25">
      <c r="B342" s="280">
        <v>322</v>
      </c>
      <c r="C342" s="549" t="str" cm="1">
        <f t="array" ref="C342">IFERROR(
   INDEX('נתוני רישום ומצבת'!$B:$B,
      SMALL(
         IF(('נתוני רישום ומצבת'!A$2:A$2998='נתונים כלליים (1)'!$C$5),
         ROW('נתוני רישום ומצבת'!A$2:A$2998)),
      ROW(A322))
   ),
"")</f>
        <v/>
      </c>
      <c r="D342" s="549" t="str">
        <f>IF(C342="", "",
   IFERROR(
      IF(VLOOKUP(C342, 'נתוני רישום ומצבת'!B:J, 9, FALSE) = $F$4,
         VLOOKUP(C342, 'נתוני רישום ומצבת'!B:J, 3, FALSE),
         "המוסד לא קיים ברשות"),
   "המוסד לא קיים"))</f>
        <v/>
      </c>
      <c r="E342" s="176" t="str">
        <f>IFERROR(VLOOKUP(C342,'נתוני רישום ומצבת'!B:G,6,0),"")</f>
        <v/>
      </c>
      <c r="F342" s="281" t="str">
        <f>IFERROR(VLOOKUP(C342,'נתוני רישום ומצבת'!B:K,10,0)," ")</f>
        <v xml:space="preserve"> </v>
      </c>
      <c r="G342" s="443" t="str">
        <f>IFERROR(VLOOKUP(C342,'נתוני רישום ומצבת'!B:E,4,0)," ")</f>
        <v xml:space="preserve"> </v>
      </c>
      <c r="H342" s="444" t="str">
        <f>IFERROR(VLOOKUP(C342,'נתוני רישום ומצבת'!B:K,7,0),"")</f>
        <v/>
      </c>
      <c r="I342" s="180" t="str">
        <f t="shared" si="19"/>
        <v/>
      </c>
      <c r="J342" s="443" t="str">
        <f>IFERROR(VLOOKUP(C342,'נתוני רישום ומצבת'!B:I,5,0)," ")</f>
        <v xml:space="preserve"> </v>
      </c>
      <c r="K342" s="443" t="str">
        <f>IFERROR(VLOOKUP(C342,'נתוני רישום ומצבת'!B:I,8,0),"")</f>
        <v/>
      </c>
      <c r="L342" s="284">
        <f t="shared" ref="L342:L405" si="20">IFERROR(K342+J342,0)</f>
        <v>0</v>
      </c>
      <c r="M342" s="283" t="str">
        <f t="shared" si="18"/>
        <v>-</v>
      </c>
    </row>
    <row r="343" spans="2:13" x14ac:dyDescent="0.25">
      <c r="B343" s="280">
        <v>323</v>
      </c>
      <c r="C343" s="549" t="str" cm="1">
        <f t="array" ref="C343">IFERROR(
   INDEX('נתוני רישום ומצבת'!$B:$B,
      SMALL(
         IF(('נתוני רישום ומצבת'!A$2:A$2998='נתונים כלליים (1)'!$C$5),
         ROW('נתוני רישום ומצבת'!A$2:A$2998)),
      ROW(A323))
   ),
"")</f>
        <v/>
      </c>
      <c r="D343" s="549" t="str">
        <f>IF(C343="", "",
   IFERROR(
      IF(VLOOKUP(C343, 'נתוני רישום ומצבת'!B:J, 9, FALSE) = $F$4,
         VLOOKUP(C343, 'נתוני רישום ומצבת'!B:J, 3, FALSE),
         "המוסד לא קיים ברשות"),
   "המוסד לא קיים"))</f>
        <v/>
      </c>
      <c r="E343" s="176" t="str">
        <f>IFERROR(VLOOKUP(C343,'נתוני רישום ומצבת'!B:G,6,0),"")</f>
        <v/>
      </c>
      <c r="F343" s="281" t="str">
        <f>IFERROR(VLOOKUP(C343,'נתוני רישום ומצבת'!B:K,10,0)," ")</f>
        <v xml:space="preserve"> </v>
      </c>
      <c r="G343" s="443" t="str">
        <f>IFERROR(VLOOKUP(C343,'נתוני רישום ומצבת'!B:E,4,0)," ")</f>
        <v xml:space="preserve"> </v>
      </c>
      <c r="H343" s="444" t="str">
        <f>IFERROR(VLOOKUP(C343,'נתוני רישום ומצבת'!B:K,7,0),"")</f>
        <v/>
      </c>
      <c r="I343" s="180" t="str">
        <f t="shared" si="19"/>
        <v/>
      </c>
      <c r="J343" s="443" t="str">
        <f>IFERROR(VLOOKUP(C343,'נתוני רישום ומצבת'!B:I,5,0)," ")</f>
        <v xml:space="preserve"> </v>
      </c>
      <c r="K343" s="443" t="str">
        <f>IFERROR(VLOOKUP(C343,'נתוני רישום ומצבת'!B:I,8,0),"")</f>
        <v/>
      </c>
      <c r="L343" s="284">
        <f t="shared" si="20"/>
        <v>0</v>
      </c>
      <c r="M343" s="283" t="str">
        <f t="shared" si="18"/>
        <v>-</v>
      </c>
    </row>
    <row r="344" spans="2:13" x14ac:dyDescent="0.25">
      <c r="B344" s="280">
        <v>324</v>
      </c>
      <c r="C344" s="549" t="str" cm="1">
        <f t="array" ref="C344">IFERROR(
   INDEX('נתוני רישום ומצבת'!$B:$B,
      SMALL(
         IF(('נתוני רישום ומצבת'!A$2:A$2998='נתונים כלליים (1)'!$C$5),
         ROW('נתוני רישום ומצבת'!A$2:A$2998)),
      ROW(A324))
   ),
"")</f>
        <v/>
      </c>
      <c r="D344" s="549" t="str">
        <f>IF(C344="", "",
   IFERROR(
      IF(VLOOKUP(C344, 'נתוני רישום ומצבת'!B:J, 9, FALSE) = $F$4,
         VLOOKUP(C344, 'נתוני רישום ומצבת'!B:J, 3, FALSE),
         "המוסד לא קיים ברשות"),
   "המוסד לא קיים"))</f>
        <v/>
      </c>
      <c r="E344" s="176" t="str">
        <f>IFERROR(VLOOKUP(C344,'נתוני רישום ומצבת'!B:G,6,0),"")</f>
        <v/>
      </c>
      <c r="F344" s="281" t="str">
        <f>IFERROR(VLOOKUP(C344,'נתוני רישום ומצבת'!B:K,10,0)," ")</f>
        <v xml:space="preserve"> </v>
      </c>
      <c r="G344" s="443" t="str">
        <f>IFERROR(VLOOKUP(C344,'נתוני רישום ומצבת'!B:E,4,0)," ")</f>
        <v xml:space="preserve"> </v>
      </c>
      <c r="H344" s="444" t="str">
        <f>IFERROR(VLOOKUP(C344,'נתוני רישום ומצבת'!B:K,7,0),"")</f>
        <v/>
      </c>
      <c r="I344" s="180" t="str">
        <f t="shared" si="19"/>
        <v/>
      </c>
      <c r="J344" s="443" t="str">
        <f>IFERROR(VLOOKUP(C344,'נתוני רישום ומצבת'!B:I,5,0)," ")</f>
        <v xml:space="preserve"> </v>
      </c>
      <c r="K344" s="443" t="str">
        <f>IFERROR(VLOOKUP(C344,'נתוני רישום ומצבת'!B:I,8,0),"")</f>
        <v/>
      </c>
      <c r="L344" s="284">
        <f t="shared" si="20"/>
        <v>0</v>
      </c>
      <c r="M344" s="283" t="str">
        <f t="shared" si="18"/>
        <v>-</v>
      </c>
    </row>
    <row r="345" spans="2:13" x14ac:dyDescent="0.25">
      <c r="B345" s="280">
        <v>325</v>
      </c>
      <c r="C345" s="549" t="str" cm="1">
        <f t="array" ref="C345">IFERROR(
   INDEX('נתוני רישום ומצבת'!$B:$B,
      SMALL(
         IF(('נתוני רישום ומצבת'!A$2:A$2998='נתונים כלליים (1)'!$C$5),
         ROW('נתוני רישום ומצבת'!A$2:A$2998)),
      ROW(A325))
   ),
"")</f>
        <v/>
      </c>
      <c r="D345" s="549" t="str">
        <f>IF(C345="", "",
   IFERROR(
      IF(VLOOKUP(C345, 'נתוני רישום ומצבת'!B:J, 9, FALSE) = $F$4,
         VLOOKUP(C345, 'נתוני רישום ומצבת'!B:J, 3, FALSE),
         "המוסד לא קיים ברשות"),
   "המוסד לא קיים"))</f>
        <v/>
      </c>
      <c r="E345" s="176" t="str">
        <f>IFERROR(VLOOKUP(C345,'נתוני רישום ומצבת'!B:G,6,0),"")</f>
        <v/>
      </c>
      <c r="F345" s="281" t="str">
        <f>IFERROR(VLOOKUP(C345,'נתוני רישום ומצבת'!B:K,10,0)," ")</f>
        <v xml:space="preserve"> </v>
      </c>
      <c r="G345" s="443" t="str">
        <f>IFERROR(VLOOKUP(C345,'נתוני רישום ומצבת'!B:E,4,0)," ")</f>
        <v xml:space="preserve"> </v>
      </c>
      <c r="H345" s="444" t="str">
        <f>IFERROR(VLOOKUP(C345,'נתוני רישום ומצבת'!B:K,7,0),"")</f>
        <v/>
      </c>
      <c r="I345" s="180" t="str">
        <f t="shared" si="19"/>
        <v/>
      </c>
      <c r="J345" s="443" t="str">
        <f>IFERROR(VLOOKUP(C345,'נתוני רישום ומצבת'!B:I,5,0)," ")</f>
        <v xml:space="preserve"> </v>
      </c>
      <c r="K345" s="443" t="str">
        <f>IFERROR(VLOOKUP(C345,'נתוני רישום ומצבת'!B:I,8,0),"")</f>
        <v/>
      </c>
      <c r="L345" s="284">
        <f t="shared" si="20"/>
        <v>0</v>
      </c>
      <c r="M345" s="283" t="str">
        <f t="shared" si="18"/>
        <v>-</v>
      </c>
    </row>
    <row r="346" spans="2:13" x14ac:dyDescent="0.25">
      <c r="B346" s="280">
        <v>326</v>
      </c>
      <c r="C346" s="549" t="str" cm="1">
        <f t="array" ref="C346">IFERROR(
   INDEX('נתוני רישום ומצבת'!$B:$B,
      SMALL(
         IF(('נתוני רישום ומצבת'!A$2:A$2998='נתונים כלליים (1)'!$C$5),
         ROW('נתוני רישום ומצבת'!A$2:A$2998)),
      ROW(A326))
   ),
"")</f>
        <v/>
      </c>
      <c r="D346" s="549" t="str">
        <f>IF(C346="", "",
   IFERROR(
      IF(VLOOKUP(C346, 'נתוני רישום ומצבת'!B:J, 9, FALSE) = $F$4,
         VLOOKUP(C346, 'נתוני רישום ומצבת'!B:J, 3, FALSE),
         "המוסד לא קיים ברשות"),
   "המוסד לא קיים"))</f>
        <v/>
      </c>
      <c r="E346" s="176" t="str">
        <f>IFERROR(VLOOKUP(C346,'נתוני רישום ומצבת'!B:G,6,0),"")</f>
        <v/>
      </c>
      <c r="F346" s="281" t="str">
        <f>IFERROR(VLOOKUP(C346,'נתוני רישום ומצבת'!B:K,10,0)," ")</f>
        <v xml:space="preserve"> </v>
      </c>
      <c r="G346" s="443" t="str">
        <f>IFERROR(VLOOKUP(C346,'נתוני רישום ומצבת'!B:E,4,0)," ")</f>
        <v xml:space="preserve"> </v>
      </c>
      <c r="H346" s="444" t="str">
        <f>IFERROR(VLOOKUP(C346,'נתוני רישום ומצבת'!B:K,7,0),"")</f>
        <v/>
      </c>
      <c r="I346" s="180" t="str">
        <f t="shared" si="19"/>
        <v/>
      </c>
      <c r="J346" s="443" t="str">
        <f>IFERROR(VLOOKUP(C346,'נתוני רישום ומצבת'!B:I,5,0)," ")</f>
        <v xml:space="preserve"> </v>
      </c>
      <c r="K346" s="443" t="str">
        <f>IFERROR(VLOOKUP(C346,'נתוני רישום ומצבת'!B:I,8,0),"")</f>
        <v/>
      </c>
      <c r="L346" s="284">
        <f t="shared" si="20"/>
        <v>0</v>
      </c>
      <c r="M346" s="283" t="str">
        <f t="shared" si="18"/>
        <v>-</v>
      </c>
    </row>
    <row r="347" spans="2:13" x14ac:dyDescent="0.25">
      <c r="B347" s="280">
        <v>327</v>
      </c>
      <c r="C347" s="549" t="str" cm="1">
        <f t="array" ref="C347">IFERROR(
   INDEX('נתוני רישום ומצבת'!$B:$B,
      SMALL(
         IF(('נתוני רישום ומצבת'!A$2:A$2998='נתונים כלליים (1)'!$C$5),
         ROW('נתוני רישום ומצבת'!A$2:A$2998)),
      ROW(A327))
   ),
"")</f>
        <v/>
      </c>
      <c r="D347" s="549" t="str">
        <f>IF(C347="", "",
   IFERROR(
      IF(VLOOKUP(C347, 'נתוני רישום ומצבת'!B:J, 9, FALSE) = $F$4,
         VLOOKUP(C347, 'נתוני רישום ומצבת'!B:J, 3, FALSE),
         "המוסד לא קיים ברשות"),
   "המוסד לא קיים"))</f>
        <v/>
      </c>
      <c r="E347" s="176" t="str">
        <f>IFERROR(VLOOKUP(C347,'נתוני רישום ומצבת'!B:G,6,0),"")</f>
        <v/>
      </c>
      <c r="F347" s="281" t="str">
        <f>IFERROR(VLOOKUP(C347,'נתוני רישום ומצבת'!B:K,10,0)," ")</f>
        <v xml:space="preserve"> </v>
      </c>
      <c r="G347" s="443" t="str">
        <f>IFERROR(VLOOKUP(C347,'נתוני רישום ומצבת'!B:E,4,0)," ")</f>
        <v xml:space="preserve"> </v>
      </c>
      <c r="H347" s="444" t="str">
        <f>IFERROR(VLOOKUP(C347,'נתוני רישום ומצבת'!B:K,7,0),"")</f>
        <v/>
      </c>
      <c r="I347" s="180" t="str">
        <f t="shared" si="19"/>
        <v/>
      </c>
      <c r="J347" s="443" t="str">
        <f>IFERROR(VLOOKUP(C347,'נתוני רישום ומצבת'!B:I,5,0)," ")</f>
        <v xml:space="preserve"> </v>
      </c>
      <c r="K347" s="443" t="str">
        <f>IFERROR(VLOOKUP(C347,'נתוני רישום ומצבת'!B:I,8,0),"")</f>
        <v/>
      </c>
      <c r="L347" s="284">
        <f t="shared" si="20"/>
        <v>0</v>
      </c>
      <c r="M347" s="283" t="str">
        <f t="shared" si="18"/>
        <v>-</v>
      </c>
    </row>
    <row r="348" spans="2:13" x14ac:dyDescent="0.25">
      <c r="B348" s="280">
        <v>328</v>
      </c>
      <c r="C348" s="549" t="str" cm="1">
        <f t="array" ref="C348">IFERROR(
   INDEX('נתוני רישום ומצבת'!$B:$B,
      SMALL(
         IF(('נתוני רישום ומצבת'!A$2:A$2998='נתונים כלליים (1)'!$C$5),
         ROW('נתוני רישום ומצבת'!A$2:A$2998)),
      ROW(A328))
   ),
"")</f>
        <v/>
      </c>
      <c r="D348" s="549" t="str">
        <f>IF(C348="", "",
   IFERROR(
      IF(VLOOKUP(C348, 'נתוני רישום ומצבת'!B:J, 9, FALSE) = $F$4,
         VLOOKUP(C348, 'נתוני רישום ומצבת'!B:J, 3, FALSE),
         "המוסד לא קיים ברשות"),
   "המוסד לא קיים"))</f>
        <v/>
      </c>
      <c r="E348" s="176" t="str">
        <f>IFERROR(VLOOKUP(C348,'נתוני רישום ומצבת'!B:G,6,0),"")</f>
        <v/>
      </c>
      <c r="F348" s="281" t="str">
        <f>IFERROR(VLOOKUP(C348,'נתוני רישום ומצבת'!B:K,10,0)," ")</f>
        <v xml:space="preserve"> </v>
      </c>
      <c r="G348" s="443" t="str">
        <f>IFERROR(VLOOKUP(C348,'נתוני רישום ומצבת'!B:E,4,0)," ")</f>
        <v xml:space="preserve"> </v>
      </c>
      <c r="H348" s="444" t="str">
        <f>IFERROR(VLOOKUP(C348,'נתוני רישום ומצבת'!B:K,7,0),"")</f>
        <v/>
      </c>
      <c r="I348" s="180" t="str">
        <f t="shared" si="19"/>
        <v/>
      </c>
      <c r="J348" s="443" t="str">
        <f>IFERROR(VLOOKUP(C348,'נתוני רישום ומצבת'!B:I,5,0)," ")</f>
        <v xml:space="preserve"> </v>
      </c>
      <c r="K348" s="443" t="str">
        <f>IFERROR(VLOOKUP(C348,'נתוני רישום ומצבת'!B:I,8,0),"")</f>
        <v/>
      </c>
      <c r="L348" s="284">
        <f t="shared" si="20"/>
        <v>0</v>
      </c>
      <c r="M348" s="283" t="str">
        <f t="shared" si="18"/>
        <v>-</v>
      </c>
    </row>
    <row r="349" spans="2:13" x14ac:dyDescent="0.25">
      <c r="B349" s="280">
        <v>329</v>
      </c>
      <c r="C349" s="549" t="str" cm="1">
        <f t="array" ref="C349">IFERROR(
   INDEX('נתוני רישום ומצבת'!$B:$B,
      SMALL(
         IF(('נתוני רישום ומצבת'!A$2:A$2998='נתונים כלליים (1)'!$C$5),
         ROW('נתוני רישום ומצבת'!A$2:A$2998)),
      ROW(A329))
   ),
"")</f>
        <v/>
      </c>
      <c r="D349" s="549" t="str">
        <f>IF(C349="", "",
   IFERROR(
      IF(VLOOKUP(C349, 'נתוני רישום ומצבת'!B:J, 9, FALSE) = $F$4,
         VLOOKUP(C349, 'נתוני רישום ומצבת'!B:J, 3, FALSE),
         "המוסד לא קיים ברשות"),
   "המוסד לא קיים"))</f>
        <v/>
      </c>
      <c r="E349" s="176" t="str">
        <f>IFERROR(VLOOKUP(C349,'נתוני רישום ומצבת'!B:G,6,0),"")</f>
        <v/>
      </c>
      <c r="F349" s="281" t="str">
        <f>IFERROR(VLOOKUP(C349,'נתוני רישום ומצבת'!B:K,10,0)," ")</f>
        <v xml:space="preserve"> </v>
      </c>
      <c r="G349" s="443" t="str">
        <f>IFERROR(VLOOKUP(C349,'נתוני רישום ומצבת'!B:E,4,0)," ")</f>
        <v xml:space="preserve"> </v>
      </c>
      <c r="H349" s="444" t="str">
        <f>IFERROR(VLOOKUP(C349,'נתוני רישום ומצבת'!B:K,7,0),"")</f>
        <v/>
      </c>
      <c r="I349" s="180" t="str">
        <f t="shared" si="19"/>
        <v/>
      </c>
      <c r="J349" s="443" t="str">
        <f>IFERROR(VLOOKUP(C349,'נתוני רישום ומצבת'!B:I,5,0)," ")</f>
        <v xml:space="preserve"> </v>
      </c>
      <c r="K349" s="443" t="str">
        <f>IFERROR(VLOOKUP(C349,'נתוני רישום ומצבת'!B:I,8,0),"")</f>
        <v/>
      </c>
      <c r="L349" s="284">
        <f t="shared" si="20"/>
        <v>0</v>
      </c>
      <c r="M349" s="283" t="str">
        <f t="shared" si="18"/>
        <v>-</v>
      </c>
    </row>
    <row r="350" spans="2:13" x14ac:dyDescent="0.25">
      <c r="B350" s="280">
        <v>330</v>
      </c>
      <c r="C350" s="549" t="str" cm="1">
        <f t="array" ref="C350">IFERROR(
   INDEX('נתוני רישום ומצבת'!$B:$B,
      SMALL(
         IF(('נתוני רישום ומצבת'!A$2:A$2998='נתונים כלליים (1)'!$C$5),
         ROW('נתוני רישום ומצבת'!A$2:A$2998)),
      ROW(A330))
   ),
"")</f>
        <v/>
      </c>
      <c r="D350" s="549" t="str">
        <f>IF(C350="", "",
   IFERROR(
      IF(VLOOKUP(C350, 'נתוני רישום ומצבת'!B:J, 9, FALSE) = $F$4,
         VLOOKUP(C350, 'נתוני רישום ומצבת'!B:J, 3, FALSE),
         "המוסד לא קיים ברשות"),
   "המוסד לא קיים"))</f>
        <v/>
      </c>
      <c r="E350" s="176" t="str">
        <f>IFERROR(VLOOKUP(C350,'נתוני רישום ומצבת'!B:G,6,0),"")</f>
        <v/>
      </c>
      <c r="F350" s="281" t="str">
        <f>IFERROR(VLOOKUP(C350,'נתוני רישום ומצבת'!B:K,10,0)," ")</f>
        <v xml:space="preserve"> </v>
      </c>
      <c r="G350" s="443" t="str">
        <f>IFERROR(VLOOKUP(C350,'נתוני רישום ומצבת'!B:E,4,0)," ")</f>
        <v xml:space="preserve"> </v>
      </c>
      <c r="H350" s="444" t="str">
        <f>IFERROR(VLOOKUP(C350,'נתוני רישום ומצבת'!B:K,7,0),"")</f>
        <v/>
      </c>
      <c r="I350" s="180" t="str">
        <f t="shared" si="19"/>
        <v/>
      </c>
      <c r="J350" s="443" t="str">
        <f>IFERROR(VLOOKUP(C350,'נתוני רישום ומצבת'!B:I,5,0)," ")</f>
        <v xml:space="preserve"> </v>
      </c>
      <c r="K350" s="443" t="str">
        <f>IFERROR(VLOOKUP(C350,'נתוני רישום ומצבת'!B:I,8,0),"")</f>
        <v/>
      </c>
      <c r="L350" s="284">
        <f t="shared" si="20"/>
        <v>0</v>
      </c>
      <c r="M350" s="283" t="str">
        <f t="shared" si="18"/>
        <v>-</v>
      </c>
    </row>
    <row r="351" spans="2:13" x14ac:dyDescent="0.25">
      <c r="B351" s="280">
        <v>331</v>
      </c>
      <c r="C351" s="549" t="str" cm="1">
        <f t="array" ref="C351">IFERROR(
   INDEX('נתוני רישום ומצבת'!$B:$B,
      SMALL(
         IF(('נתוני רישום ומצבת'!A$2:A$2998='נתונים כלליים (1)'!$C$5),
         ROW('נתוני רישום ומצבת'!A$2:A$2998)),
      ROW(A331))
   ),
"")</f>
        <v/>
      </c>
      <c r="D351" s="549" t="str">
        <f>IF(C351="", "",
   IFERROR(
      IF(VLOOKUP(C351, 'נתוני רישום ומצבת'!B:J, 9, FALSE) = $F$4,
         VLOOKUP(C351, 'נתוני רישום ומצבת'!B:J, 3, FALSE),
         "המוסד לא קיים ברשות"),
   "המוסד לא קיים"))</f>
        <v/>
      </c>
      <c r="E351" s="176" t="str">
        <f>IFERROR(VLOOKUP(C351,'נתוני רישום ומצבת'!B:G,6,0),"")</f>
        <v/>
      </c>
      <c r="F351" s="281" t="str">
        <f>IFERROR(VLOOKUP(C351,'נתוני רישום ומצבת'!B:K,10,0)," ")</f>
        <v xml:space="preserve"> </v>
      </c>
      <c r="G351" s="443" t="str">
        <f>IFERROR(VLOOKUP(C351,'נתוני רישום ומצבת'!B:E,4,0)," ")</f>
        <v xml:space="preserve"> </v>
      </c>
      <c r="H351" s="444" t="str">
        <f>IFERROR(VLOOKUP(C351,'נתוני רישום ומצבת'!B:K,7,0),"")</f>
        <v/>
      </c>
      <c r="I351" s="180" t="str">
        <f t="shared" si="19"/>
        <v/>
      </c>
      <c r="J351" s="443" t="str">
        <f>IFERROR(VLOOKUP(C351,'נתוני רישום ומצבת'!B:I,5,0)," ")</f>
        <v xml:space="preserve"> </v>
      </c>
      <c r="K351" s="443" t="str">
        <f>IFERROR(VLOOKUP(C351,'נתוני רישום ומצבת'!B:I,8,0),"")</f>
        <v/>
      </c>
      <c r="L351" s="284">
        <f t="shared" si="20"/>
        <v>0</v>
      </c>
      <c r="M351" s="283" t="str">
        <f t="shared" si="18"/>
        <v>-</v>
      </c>
    </row>
    <row r="352" spans="2:13" x14ac:dyDescent="0.25">
      <c r="B352" s="280">
        <v>332</v>
      </c>
      <c r="C352" s="549" t="str" cm="1">
        <f t="array" ref="C352">IFERROR(
   INDEX('נתוני רישום ומצבת'!$B:$B,
      SMALL(
         IF(('נתוני רישום ומצבת'!A$2:A$2998='נתונים כלליים (1)'!$C$5),
         ROW('נתוני רישום ומצבת'!A$2:A$2998)),
      ROW(A332))
   ),
"")</f>
        <v/>
      </c>
      <c r="D352" s="549" t="str">
        <f>IF(C352="", "",
   IFERROR(
      IF(VLOOKUP(C352, 'נתוני רישום ומצבת'!B:J, 9, FALSE) = $F$4,
         VLOOKUP(C352, 'נתוני רישום ומצבת'!B:J, 3, FALSE),
         "המוסד לא קיים ברשות"),
   "המוסד לא קיים"))</f>
        <v/>
      </c>
      <c r="E352" s="176" t="str">
        <f>IFERROR(VLOOKUP(C352,'נתוני רישום ומצבת'!B:G,6,0),"")</f>
        <v/>
      </c>
      <c r="F352" s="281" t="str">
        <f>IFERROR(VLOOKUP(C352,'נתוני רישום ומצבת'!B:K,10,0)," ")</f>
        <v xml:space="preserve"> </v>
      </c>
      <c r="G352" s="443" t="str">
        <f>IFERROR(VLOOKUP(C352,'נתוני רישום ומצבת'!B:E,4,0)," ")</f>
        <v xml:space="preserve"> </v>
      </c>
      <c r="H352" s="444" t="str">
        <f>IFERROR(VLOOKUP(C352,'נתוני רישום ומצבת'!B:K,7,0),"")</f>
        <v/>
      </c>
      <c r="I352" s="180" t="str">
        <f t="shared" si="19"/>
        <v/>
      </c>
      <c r="J352" s="443" t="str">
        <f>IFERROR(VLOOKUP(C352,'נתוני רישום ומצבת'!B:I,5,0)," ")</f>
        <v xml:space="preserve"> </v>
      </c>
      <c r="K352" s="443" t="str">
        <f>IFERROR(VLOOKUP(C352,'נתוני רישום ומצבת'!B:I,8,0),"")</f>
        <v/>
      </c>
      <c r="L352" s="284">
        <f t="shared" si="20"/>
        <v>0</v>
      </c>
      <c r="M352" s="283" t="str">
        <f t="shared" si="18"/>
        <v>-</v>
      </c>
    </row>
    <row r="353" spans="2:13" x14ac:dyDescent="0.25">
      <c r="B353" s="280">
        <v>333</v>
      </c>
      <c r="C353" s="549" t="str" cm="1">
        <f t="array" ref="C353">IFERROR(
   INDEX('נתוני רישום ומצבת'!$B:$B,
      SMALL(
         IF(('נתוני רישום ומצבת'!A$2:A$2998='נתונים כלליים (1)'!$C$5),
         ROW('נתוני רישום ומצבת'!A$2:A$2998)),
      ROW(A333))
   ),
"")</f>
        <v/>
      </c>
      <c r="D353" s="549" t="str">
        <f>IF(C353="", "",
   IFERROR(
      IF(VLOOKUP(C353, 'נתוני רישום ומצבת'!B:J, 9, FALSE) = $F$4,
         VLOOKUP(C353, 'נתוני רישום ומצבת'!B:J, 3, FALSE),
         "המוסד לא קיים ברשות"),
   "המוסד לא קיים"))</f>
        <v/>
      </c>
      <c r="E353" s="176" t="str">
        <f>IFERROR(VLOOKUP(C353,'נתוני רישום ומצבת'!B:G,6,0),"")</f>
        <v/>
      </c>
      <c r="F353" s="281" t="str">
        <f>IFERROR(VLOOKUP(C353,'נתוני רישום ומצבת'!B:K,10,0)," ")</f>
        <v xml:space="preserve"> </v>
      </c>
      <c r="G353" s="443" t="str">
        <f>IFERROR(VLOOKUP(C353,'נתוני רישום ומצבת'!B:E,4,0)," ")</f>
        <v xml:space="preserve"> </v>
      </c>
      <c r="H353" s="444" t="str">
        <f>IFERROR(VLOOKUP(C353,'נתוני רישום ומצבת'!B:K,7,0),"")</f>
        <v/>
      </c>
      <c r="I353" s="180" t="str">
        <f t="shared" si="19"/>
        <v/>
      </c>
      <c r="J353" s="443" t="str">
        <f>IFERROR(VLOOKUP(C353,'נתוני רישום ומצבת'!B:I,5,0)," ")</f>
        <v xml:space="preserve"> </v>
      </c>
      <c r="K353" s="443" t="str">
        <f>IFERROR(VLOOKUP(C353,'נתוני רישום ומצבת'!B:I,8,0),"")</f>
        <v/>
      </c>
      <c r="L353" s="284">
        <f t="shared" si="20"/>
        <v>0</v>
      </c>
      <c r="M353" s="283" t="str">
        <f t="shared" si="18"/>
        <v>-</v>
      </c>
    </row>
    <row r="354" spans="2:13" x14ac:dyDescent="0.25">
      <c r="B354" s="280">
        <v>334</v>
      </c>
      <c r="C354" s="549" t="str" cm="1">
        <f t="array" ref="C354">IFERROR(
   INDEX('נתוני רישום ומצבת'!$B:$B,
      SMALL(
         IF(('נתוני רישום ומצבת'!A$2:A$2998='נתונים כלליים (1)'!$C$5),
         ROW('נתוני רישום ומצבת'!A$2:A$2998)),
      ROW(A334))
   ),
"")</f>
        <v/>
      </c>
      <c r="D354" s="549" t="str">
        <f>IF(C354="", "",
   IFERROR(
      IF(VLOOKUP(C354, 'נתוני רישום ומצבת'!B:J, 9, FALSE) = $F$4,
         VLOOKUP(C354, 'נתוני רישום ומצבת'!B:J, 3, FALSE),
         "המוסד לא קיים ברשות"),
   "המוסד לא קיים"))</f>
        <v/>
      </c>
      <c r="E354" s="176" t="str">
        <f>IFERROR(VLOOKUP(C354,'נתוני רישום ומצבת'!B:G,6,0),"")</f>
        <v/>
      </c>
      <c r="F354" s="281" t="str">
        <f>IFERROR(VLOOKUP(C354,'נתוני רישום ומצבת'!B:K,10,0)," ")</f>
        <v xml:space="preserve"> </v>
      </c>
      <c r="G354" s="443" t="str">
        <f>IFERROR(VLOOKUP(C354,'נתוני רישום ומצבת'!B:E,4,0)," ")</f>
        <v xml:space="preserve"> </v>
      </c>
      <c r="H354" s="444" t="str">
        <f>IFERROR(VLOOKUP(C354,'נתוני רישום ומצבת'!B:K,7,0),"")</f>
        <v/>
      </c>
      <c r="I354" s="180" t="str">
        <f t="shared" si="19"/>
        <v/>
      </c>
      <c r="J354" s="443" t="str">
        <f>IFERROR(VLOOKUP(C354,'נתוני רישום ומצבת'!B:I,5,0)," ")</f>
        <v xml:space="preserve"> </v>
      </c>
      <c r="K354" s="443" t="str">
        <f>IFERROR(VLOOKUP(C354,'נתוני רישום ומצבת'!B:I,8,0),"")</f>
        <v/>
      </c>
      <c r="L354" s="284">
        <f t="shared" si="20"/>
        <v>0</v>
      </c>
      <c r="M354" s="283" t="str">
        <f t="shared" si="18"/>
        <v>-</v>
      </c>
    </row>
    <row r="355" spans="2:13" x14ac:dyDescent="0.25">
      <c r="B355" s="280">
        <v>335</v>
      </c>
      <c r="C355" s="549" t="str" cm="1">
        <f t="array" ref="C355">IFERROR(
   INDEX('נתוני רישום ומצבת'!$B:$B,
      SMALL(
         IF(('נתוני רישום ומצבת'!A$2:A$2998='נתונים כלליים (1)'!$C$5),
         ROW('נתוני רישום ומצבת'!A$2:A$2998)),
      ROW(A335))
   ),
"")</f>
        <v/>
      </c>
      <c r="D355" s="549" t="str">
        <f>IF(C355="", "",
   IFERROR(
      IF(VLOOKUP(C355, 'נתוני רישום ומצבת'!B:J, 9, FALSE) = $F$4,
         VLOOKUP(C355, 'נתוני רישום ומצבת'!B:J, 3, FALSE),
         "המוסד לא קיים ברשות"),
   "המוסד לא קיים"))</f>
        <v/>
      </c>
      <c r="E355" s="176" t="str">
        <f>IFERROR(VLOOKUP(C355,'נתוני רישום ומצבת'!B:G,6,0),"")</f>
        <v/>
      </c>
      <c r="F355" s="281" t="str">
        <f>IFERROR(VLOOKUP(C355,'נתוני רישום ומצבת'!B:K,10,0)," ")</f>
        <v xml:space="preserve"> </v>
      </c>
      <c r="G355" s="443" t="str">
        <f>IFERROR(VLOOKUP(C355,'נתוני רישום ומצבת'!B:E,4,0)," ")</f>
        <v xml:space="preserve"> </v>
      </c>
      <c r="H355" s="444" t="str">
        <f>IFERROR(VLOOKUP(C355,'נתוני רישום ומצבת'!B:K,7,0),"")</f>
        <v/>
      </c>
      <c r="I355" s="180" t="str">
        <f t="shared" si="19"/>
        <v/>
      </c>
      <c r="J355" s="443" t="str">
        <f>IFERROR(VLOOKUP(C355,'נתוני רישום ומצבת'!B:I,5,0)," ")</f>
        <v xml:space="preserve"> </v>
      </c>
      <c r="K355" s="443" t="str">
        <f>IFERROR(VLOOKUP(C355,'נתוני רישום ומצבת'!B:I,8,0),"")</f>
        <v/>
      </c>
      <c r="L355" s="284">
        <f t="shared" si="20"/>
        <v>0</v>
      </c>
      <c r="M355" s="283" t="str">
        <f t="shared" si="18"/>
        <v>-</v>
      </c>
    </row>
    <row r="356" spans="2:13" x14ac:dyDescent="0.25">
      <c r="B356" s="280">
        <v>336</v>
      </c>
      <c r="C356" s="549" t="str" cm="1">
        <f t="array" ref="C356">IFERROR(
   INDEX('נתוני רישום ומצבת'!$B:$B,
      SMALL(
         IF(('נתוני רישום ומצבת'!A$2:A$2998='נתונים כלליים (1)'!$C$5),
         ROW('נתוני רישום ומצבת'!A$2:A$2998)),
      ROW(A336))
   ),
"")</f>
        <v/>
      </c>
      <c r="D356" s="549" t="str">
        <f>IF(C356="", "",
   IFERROR(
      IF(VLOOKUP(C356, 'נתוני רישום ומצבת'!B:J, 9, FALSE) = $F$4,
         VLOOKUP(C356, 'נתוני רישום ומצבת'!B:J, 3, FALSE),
         "המוסד לא קיים ברשות"),
   "המוסד לא קיים"))</f>
        <v/>
      </c>
      <c r="E356" s="176" t="str">
        <f>IFERROR(VLOOKUP(C356,'נתוני רישום ומצבת'!B:G,6,0),"")</f>
        <v/>
      </c>
      <c r="F356" s="281" t="str">
        <f>IFERROR(VLOOKUP(C356,'נתוני רישום ומצבת'!B:K,10,0)," ")</f>
        <v xml:space="preserve"> </v>
      </c>
      <c r="G356" s="443" t="str">
        <f>IFERROR(VLOOKUP(C356,'נתוני רישום ומצבת'!B:E,4,0)," ")</f>
        <v xml:space="preserve"> </v>
      </c>
      <c r="H356" s="444" t="str">
        <f>IFERROR(VLOOKUP(C356,'נתוני רישום ומצבת'!B:K,7,0),"")</f>
        <v/>
      </c>
      <c r="I356" s="180" t="str">
        <f t="shared" si="19"/>
        <v/>
      </c>
      <c r="J356" s="443" t="str">
        <f>IFERROR(VLOOKUP(C356,'נתוני רישום ומצבת'!B:I,5,0)," ")</f>
        <v xml:space="preserve"> </v>
      </c>
      <c r="K356" s="443" t="str">
        <f>IFERROR(VLOOKUP(C356,'נתוני רישום ומצבת'!B:I,8,0),"")</f>
        <v/>
      </c>
      <c r="L356" s="284">
        <f t="shared" si="20"/>
        <v>0</v>
      </c>
      <c r="M356" s="283" t="str">
        <f t="shared" si="18"/>
        <v>-</v>
      </c>
    </row>
    <row r="357" spans="2:13" x14ac:dyDescent="0.25">
      <c r="B357" s="280">
        <v>337</v>
      </c>
      <c r="C357" s="549" t="str" cm="1">
        <f t="array" ref="C357">IFERROR(
   INDEX('נתוני רישום ומצבת'!$B:$B,
      SMALL(
         IF(('נתוני רישום ומצבת'!A$2:A$2998='נתונים כלליים (1)'!$C$5),
         ROW('נתוני רישום ומצבת'!A$2:A$2998)),
      ROW(A337))
   ),
"")</f>
        <v/>
      </c>
      <c r="D357" s="549" t="str">
        <f>IF(C357="", "",
   IFERROR(
      IF(VLOOKUP(C357, 'נתוני רישום ומצבת'!B:J, 9, FALSE) = $F$4,
         VLOOKUP(C357, 'נתוני רישום ומצבת'!B:J, 3, FALSE),
         "המוסד לא קיים ברשות"),
   "המוסד לא קיים"))</f>
        <v/>
      </c>
      <c r="E357" s="176" t="str">
        <f>IFERROR(VLOOKUP(C357,'נתוני רישום ומצבת'!B:G,6,0),"")</f>
        <v/>
      </c>
      <c r="F357" s="281" t="str">
        <f>IFERROR(VLOOKUP(C357,'נתוני רישום ומצבת'!B:K,10,0)," ")</f>
        <v xml:space="preserve"> </v>
      </c>
      <c r="G357" s="443" t="str">
        <f>IFERROR(VLOOKUP(C357,'נתוני רישום ומצבת'!B:E,4,0)," ")</f>
        <v xml:space="preserve"> </v>
      </c>
      <c r="H357" s="444" t="str">
        <f>IFERROR(VLOOKUP(C357,'נתוני רישום ומצבת'!B:K,7,0),"")</f>
        <v/>
      </c>
      <c r="I357" s="180" t="str">
        <f t="shared" si="19"/>
        <v/>
      </c>
      <c r="J357" s="443" t="str">
        <f>IFERROR(VLOOKUP(C357,'נתוני רישום ומצבת'!B:I,5,0)," ")</f>
        <v xml:space="preserve"> </v>
      </c>
      <c r="K357" s="443" t="str">
        <f>IFERROR(VLOOKUP(C357,'נתוני רישום ומצבת'!B:I,8,0),"")</f>
        <v/>
      </c>
      <c r="L357" s="284">
        <f t="shared" si="20"/>
        <v>0</v>
      </c>
      <c r="M357" s="283" t="str">
        <f t="shared" si="18"/>
        <v>-</v>
      </c>
    </row>
    <row r="358" spans="2:13" x14ac:dyDescent="0.25">
      <c r="B358" s="280">
        <v>338</v>
      </c>
      <c r="C358" s="549" t="str" cm="1">
        <f t="array" ref="C358">IFERROR(
   INDEX('נתוני רישום ומצבת'!$B:$B,
      SMALL(
         IF(('נתוני רישום ומצבת'!A$2:A$2998='נתונים כלליים (1)'!$C$5),
         ROW('נתוני רישום ומצבת'!A$2:A$2998)),
      ROW(A338))
   ),
"")</f>
        <v/>
      </c>
      <c r="D358" s="549" t="str">
        <f>IF(C358="", "",
   IFERROR(
      IF(VLOOKUP(C358, 'נתוני רישום ומצבת'!B:J, 9, FALSE) = $F$4,
         VLOOKUP(C358, 'נתוני רישום ומצבת'!B:J, 3, FALSE),
         "המוסד לא קיים ברשות"),
   "המוסד לא קיים"))</f>
        <v/>
      </c>
      <c r="E358" s="176" t="str">
        <f>IFERROR(VLOOKUP(C358,'נתוני רישום ומצבת'!B:G,6,0),"")</f>
        <v/>
      </c>
      <c r="F358" s="281" t="str">
        <f>IFERROR(VLOOKUP(C358,'נתוני רישום ומצבת'!B:K,10,0)," ")</f>
        <v xml:space="preserve"> </v>
      </c>
      <c r="G358" s="443" t="str">
        <f>IFERROR(VLOOKUP(C358,'נתוני רישום ומצבת'!B:E,4,0)," ")</f>
        <v xml:space="preserve"> </v>
      </c>
      <c r="H358" s="444" t="str">
        <f>IFERROR(VLOOKUP(C358,'נתוני רישום ומצבת'!B:K,7,0),"")</f>
        <v/>
      </c>
      <c r="I358" s="180" t="str">
        <f t="shared" si="19"/>
        <v/>
      </c>
      <c r="J358" s="443" t="str">
        <f>IFERROR(VLOOKUP(C358,'נתוני רישום ומצבת'!B:I,5,0)," ")</f>
        <v xml:space="preserve"> </v>
      </c>
      <c r="K358" s="443" t="str">
        <f>IFERROR(VLOOKUP(C358,'נתוני רישום ומצבת'!B:I,8,0),"")</f>
        <v/>
      </c>
      <c r="L358" s="284">
        <f t="shared" si="20"/>
        <v>0</v>
      </c>
      <c r="M358" s="283" t="str">
        <f t="shared" si="18"/>
        <v>-</v>
      </c>
    </row>
    <row r="359" spans="2:13" x14ac:dyDescent="0.25">
      <c r="B359" s="280">
        <v>339</v>
      </c>
      <c r="C359" s="549" t="str" cm="1">
        <f t="array" ref="C359">IFERROR(
   INDEX('נתוני רישום ומצבת'!$B:$B,
      SMALL(
         IF(('נתוני רישום ומצבת'!A$2:A$2998='נתונים כלליים (1)'!$C$5),
         ROW('נתוני רישום ומצבת'!A$2:A$2998)),
      ROW(A339))
   ),
"")</f>
        <v/>
      </c>
      <c r="D359" s="549" t="str">
        <f>IF(C359="", "",
   IFERROR(
      IF(VLOOKUP(C359, 'נתוני רישום ומצבת'!B:J, 9, FALSE) = $F$4,
         VLOOKUP(C359, 'נתוני רישום ומצבת'!B:J, 3, FALSE),
         "המוסד לא קיים ברשות"),
   "המוסד לא קיים"))</f>
        <v/>
      </c>
      <c r="E359" s="176" t="str">
        <f>IFERROR(VLOOKUP(C359,'נתוני רישום ומצבת'!B:G,6,0),"")</f>
        <v/>
      </c>
      <c r="F359" s="281" t="str">
        <f>IFERROR(VLOOKUP(C359,'נתוני רישום ומצבת'!B:K,10,0)," ")</f>
        <v xml:space="preserve"> </v>
      </c>
      <c r="G359" s="443" t="str">
        <f>IFERROR(VLOOKUP(C359,'נתוני רישום ומצבת'!B:E,4,0)," ")</f>
        <v xml:space="preserve"> </v>
      </c>
      <c r="H359" s="444" t="str">
        <f>IFERROR(VLOOKUP(C359,'נתוני רישום ומצבת'!B:K,7,0),"")</f>
        <v/>
      </c>
      <c r="I359" s="180" t="str">
        <f t="shared" si="19"/>
        <v/>
      </c>
      <c r="J359" s="443" t="str">
        <f>IFERROR(VLOOKUP(C359,'נתוני רישום ומצבת'!B:I,5,0)," ")</f>
        <v xml:space="preserve"> </v>
      </c>
      <c r="K359" s="443" t="str">
        <f>IFERROR(VLOOKUP(C359,'נתוני רישום ומצבת'!B:I,8,0),"")</f>
        <v/>
      </c>
      <c r="L359" s="284">
        <f t="shared" si="20"/>
        <v>0</v>
      </c>
      <c r="M359" s="283" t="str">
        <f t="shared" si="18"/>
        <v>-</v>
      </c>
    </row>
    <row r="360" spans="2:13" x14ac:dyDescent="0.25">
      <c r="B360" s="280">
        <v>340</v>
      </c>
      <c r="C360" s="549" t="str" cm="1">
        <f t="array" ref="C360">IFERROR(
   INDEX('נתוני רישום ומצבת'!$B:$B,
      SMALL(
         IF(('נתוני רישום ומצבת'!A$2:A$2998='נתונים כלליים (1)'!$C$5),
         ROW('נתוני רישום ומצבת'!A$2:A$2998)),
      ROW(A340))
   ),
"")</f>
        <v/>
      </c>
      <c r="D360" s="549" t="str">
        <f>IF(C360="", "",
   IFERROR(
      IF(VLOOKUP(C360, 'נתוני רישום ומצבת'!B:J, 9, FALSE) = $F$4,
         VLOOKUP(C360, 'נתוני רישום ומצבת'!B:J, 3, FALSE),
         "המוסד לא קיים ברשות"),
   "המוסד לא קיים"))</f>
        <v/>
      </c>
      <c r="E360" s="176" t="str">
        <f>IFERROR(VLOOKUP(C360,'נתוני רישום ומצבת'!B:G,6,0),"")</f>
        <v/>
      </c>
      <c r="F360" s="281" t="str">
        <f>IFERROR(VLOOKUP(C360,'נתוני רישום ומצבת'!B:K,10,0)," ")</f>
        <v xml:space="preserve"> </v>
      </c>
      <c r="G360" s="443" t="str">
        <f>IFERROR(VLOOKUP(C360,'נתוני רישום ומצבת'!B:E,4,0)," ")</f>
        <v xml:space="preserve"> </v>
      </c>
      <c r="H360" s="444" t="str">
        <f>IFERROR(VLOOKUP(C360,'נתוני רישום ומצבת'!B:K,7,0),"")</f>
        <v/>
      </c>
      <c r="I360" s="180" t="str">
        <f t="shared" si="19"/>
        <v/>
      </c>
      <c r="J360" s="443" t="str">
        <f>IFERROR(VLOOKUP(C360,'נתוני רישום ומצבת'!B:I,5,0)," ")</f>
        <v xml:space="preserve"> </v>
      </c>
      <c r="K360" s="443" t="str">
        <f>IFERROR(VLOOKUP(C360,'נתוני רישום ומצבת'!B:I,8,0),"")</f>
        <v/>
      </c>
      <c r="L360" s="284">
        <f t="shared" si="20"/>
        <v>0</v>
      </c>
      <c r="M360" s="283" t="str">
        <f t="shared" si="18"/>
        <v>-</v>
      </c>
    </row>
    <row r="361" spans="2:13" x14ac:dyDescent="0.25">
      <c r="B361" s="280">
        <v>341</v>
      </c>
      <c r="C361" s="549" t="str" cm="1">
        <f t="array" ref="C361">IFERROR(
   INDEX('נתוני רישום ומצבת'!$B:$B,
      SMALL(
         IF(('נתוני רישום ומצבת'!A$2:A$2998='נתונים כלליים (1)'!$C$5),
         ROW('נתוני רישום ומצבת'!A$2:A$2998)),
      ROW(A341))
   ),
"")</f>
        <v/>
      </c>
      <c r="D361" s="549" t="str">
        <f>IF(C361="", "",
   IFERROR(
      IF(VLOOKUP(C361, 'נתוני רישום ומצבת'!B:J, 9, FALSE) = $F$4,
         VLOOKUP(C361, 'נתוני רישום ומצבת'!B:J, 3, FALSE),
         "המוסד לא קיים ברשות"),
   "המוסד לא קיים"))</f>
        <v/>
      </c>
      <c r="E361" s="176" t="str">
        <f>IFERROR(VLOOKUP(C361,'נתוני רישום ומצבת'!B:G,6,0),"")</f>
        <v/>
      </c>
      <c r="F361" s="281" t="str">
        <f>IFERROR(VLOOKUP(C361,'נתוני רישום ומצבת'!B:K,10,0)," ")</f>
        <v xml:space="preserve"> </v>
      </c>
      <c r="G361" s="443" t="str">
        <f>IFERROR(VLOOKUP(C361,'נתוני רישום ומצבת'!B:E,4,0)," ")</f>
        <v xml:space="preserve"> </v>
      </c>
      <c r="H361" s="444" t="str">
        <f>IFERROR(VLOOKUP(C361,'נתוני רישום ומצבת'!B:K,7,0),"")</f>
        <v/>
      </c>
      <c r="I361" s="180" t="str">
        <f t="shared" si="19"/>
        <v/>
      </c>
      <c r="J361" s="443" t="str">
        <f>IFERROR(VLOOKUP(C361,'נתוני רישום ומצבת'!B:I,5,0)," ")</f>
        <v xml:space="preserve"> </v>
      </c>
      <c r="K361" s="443" t="str">
        <f>IFERROR(VLOOKUP(C361,'נתוני רישום ומצבת'!B:I,8,0),"")</f>
        <v/>
      </c>
      <c r="L361" s="284">
        <f t="shared" si="20"/>
        <v>0</v>
      </c>
      <c r="M361" s="283" t="str">
        <f t="shared" si="18"/>
        <v>-</v>
      </c>
    </row>
    <row r="362" spans="2:13" x14ac:dyDescent="0.25">
      <c r="B362" s="280">
        <v>342</v>
      </c>
      <c r="C362" s="549" t="str" cm="1">
        <f t="array" ref="C362">IFERROR(
   INDEX('נתוני רישום ומצבת'!$B:$B,
      SMALL(
         IF(('נתוני רישום ומצבת'!A$2:A$2998='נתונים כלליים (1)'!$C$5),
         ROW('נתוני רישום ומצבת'!A$2:A$2998)),
      ROW(A342))
   ),
"")</f>
        <v/>
      </c>
      <c r="D362" s="549" t="str">
        <f>IF(C362="", "",
   IFERROR(
      IF(VLOOKUP(C362, 'נתוני רישום ומצבת'!B:J, 9, FALSE) = $F$4,
         VLOOKUP(C362, 'נתוני רישום ומצבת'!B:J, 3, FALSE),
         "המוסד לא קיים ברשות"),
   "המוסד לא קיים"))</f>
        <v/>
      </c>
      <c r="E362" s="176" t="str">
        <f>IFERROR(VLOOKUP(C362,'נתוני רישום ומצבת'!B:G,6,0),"")</f>
        <v/>
      </c>
      <c r="F362" s="281" t="str">
        <f>IFERROR(VLOOKUP(C362,'נתוני רישום ומצבת'!B:K,10,0)," ")</f>
        <v xml:space="preserve"> </v>
      </c>
      <c r="G362" s="443" t="str">
        <f>IFERROR(VLOOKUP(C362,'נתוני רישום ומצבת'!B:E,4,0)," ")</f>
        <v xml:space="preserve"> </v>
      </c>
      <c r="H362" s="444" t="str">
        <f>IFERROR(VLOOKUP(C362,'נתוני רישום ומצבת'!B:K,7,0),"")</f>
        <v/>
      </c>
      <c r="I362" s="180" t="str">
        <f t="shared" si="19"/>
        <v/>
      </c>
      <c r="J362" s="443" t="str">
        <f>IFERROR(VLOOKUP(C362,'נתוני רישום ומצבת'!B:I,5,0)," ")</f>
        <v xml:space="preserve"> </v>
      </c>
      <c r="K362" s="443" t="str">
        <f>IFERROR(VLOOKUP(C362,'נתוני רישום ומצבת'!B:I,8,0),"")</f>
        <v/>
      </c>
      <c r="L362" s="284">
        <f t="shared" si="20"/>
        <v>0</v>
      </c>
      <c r="M362" s="283" t="str">
        <f t="shared" si="18"/>
        <v>-</v>
      </c>
    </row>
    <row r="363" spans="2:13" x14ac:dyDescent="0.25">
      <c r="B363" s="280">
        <v>343</v>
      </c>
      <c r="C363" s="549" t="str" cm="1">
        <f t="array" ref="C363">IFERROR(
   INDEX('נתוני רישום ומצבת'!$B:$B,
      SMALL(
         IF(('נתוני רישום ומצבת'!A$2:A$2998='נתונים כלליים (1)'!$C$5),
         ROW('נתוני רישום ומצבת'!A$2:A$2998)),
      ROW(A343))
   ),
"")</f>
        <v/>
      </c>
      <c r="D363" s="549" t="str">
        <f>IF(C363="", "",
   IFERROR(
      IF(VLOOKUP(C363, 'נתוני רישום ומצבת'!B:J, 9, FALSE) = $F$4,
         VLOOKUP(C363, 'נתוני רישום ומצבת'!B:J, 3, FALSE),
         "המוסד לא קיים ברשות"),
   "המוסד לא קיים"))</f>
        <v/>
      </c>
      <c r="E363" s="176" t="str">
        <f>IFERROR(VLOOKUP(C363,'נתוני רישום ומצבת'!B:G,6,0),"")</f>
        <v/>
      </c>
      <c r="F363" s="281" t="str">
        <f>IFERROR(VLOOKUP(C363,'נתוני רישום ומצבת'!B:K,10,0)," ")</f>
        <v xml:space="preserve"> </v>
      </c>
      <c r="G363" s="443" t="str">
        <f>IFERROR(VLOOKUP(C363,'נתוני רישום ומצבת'!B:E,4,0)," ")</f>
        <v xml:space="preserve"> </v>
      </c>
      <c r="H363" s="444" t="str">
        <f>IFERROR(VLOOKUP(C363,'נתוני רישום ומצבת'!B:K,7,0),"")</f>
        <v/>
      </c>
      <c r="I363" s="180" t="str">
        <f t="shared" si="19"/>
        <v/>
      </c>
      <c r="J363" s="443" t="str">
        <f>IFERROR(VLOOKUP(C363,'נתוני רישום ומצבת'!B:I,5,0)," ")</f>
        <v xml:space="preserve"> </v>
      </c>
      <c r="K363" s="443" t="str">
        <f>IFERROR(VLOOKUP(C363,'נתוני רישום ומצבת'!B:I,8,0),"")</f>
        <v/>
      </c>
      <c r="L363" s="284">
        <f t="shared" si="20"/>
        <v>0</v>
      </c>
      <c r="M363" s="283" t="str">
        <f t="shared" si="18"/>
        <v>-</v>
      </c>
    </row>
    <row r="364" spans="2:13" x14ac:dyDescent="0.25">
      <c r="B364" s="280">
        <v>344</v>
      </c>
      <c r="C364" s="549" t="str" cm="1">
        <f t="array" ref="C364">IFERROR(
   INDEX('נתוני רישום ומצבת'!$B:$B,
      SMALL(
         IF(('נתוני רישום ומצבת'!A$2:A$2998='נתונים כלליים (1)'!$C$5),
         ROW('נתוני רישום ומצבת'!A$2:A$2998)),
      ROW(A344))
   ),
"")</f>
        <v/>
      </c>
      <c r="D364" s="549" t="str">
        <f>IF(C364="", "",
   IFERROR(
      IF(VLOOKUP(C364, 'נתוני רישום ומצבת'!B:J, 9, FALSE) = $F$4,
         VLOOKUP(C364, 'נתוני רישום ומצבת'!B:J, 3, FALSE),
         "המוסד לא קיים ברשות"),
   "המוסד לא קיים"))</f>
        <v/>
      </c>
      <c r="E364" s="176" t="str">
        <f>IFERROR(VLOOKUP(C364,'נתוני רישום ומצבת'!B:G,6,0),"")</f>
        <v/>
      </c>
      <c r="F364" s="281" t="str">
        <f>IFERROR(VLOOKUP(C364,'נתוני רישום ומצבת'!B:K,10,0)," ")</f>
        <v xml:space="preserve"> </v>
      </c>
      <c r="G364" s="443" t="str">
        <f>IFERROR(VLOOKUP(C364,'נתוני רישום ומצבת'!B:E,4,0)," ")</f>
        <v xml:space="preserve"> </v>
      </c>
      <c r="H364" s="444" t="str">
        <f>IFERROR(VLOOKUP(C364,'נתוני רישום ומצבת'!B:K,7,0),"")</f>
        <v/>
      </c>
      <c r="I364" s="180" t="str">
        <f t="shared" si="19"/>
        <v/>
      </c>
      <c r="J364" s="443" t="str">
        <f>IFERROR(VLOOKUP(C364,'נתוני רישום ומצבת'!B:I,5,0)," ")</f>
        <v xml:space="preserve"> </v>
      </c>
      <c r="K364" s="443" t="str">
        <f>IFERROR(VLOOKUP(C364,'נתוני רישום ומצבת'!B:I,8,0),"")</f>
        <v/>
      </c>
      <c r="L364" s="284">
        <f t="shared" si="20"/>
        <v>0</v>
      </c>
      <c r="M364" s="283" t="str">
        <f t="shared" si="18"/>
        <v>-</v>
      </c>
    </row>
    <row r="365" spans="2:13" x14ac:dyDescent="0.25">
      <c r="B365" s="280">
        <v>345</v>
      </c>
      <c r="C365" s="549" t="str" cm="1">
        <f t="array" ref="C365">IFERROR(
   INDEX('נתוני רישום ומצבת'!$B:$B,
      SMALL(
         IF(('נתוני רישום ומצבת'!A$2:A$2998='נתונים כלליים (1)'!$C$5),
         ROW('נתוני רישום ומצבת'!A$2:A$2998)),
      ROW(A345))
   ),
"")</f>
        <v/>
      </c>
      <c r="D365" s="549" t="str">
        <f>IF(C365="", "",
   IFERROR(
      IF(VLOOKUP(C365, 'נתוני רישום ומצבת'!B:J, 9, FALSE) = $F$4,
         VLOOKUP(C365, 'נתוני רישום ומצבת'!B:J, 3, FALSE),
         "המוסד לא קיים ברשות"),
   "המוסד לא קיים"))</f>
        <v/>
      </c>
      <c r="E365" s="176" t="str">
        <f>IFERROR(VLOOKUP(C365,'נתוני רישום ומצבת'!B:G,6,0),"")</f>
        <v/>
      </c>
      <c r="F365" s="281" t="str">
        <f>IFERROR(VLOOKUP(C365,'נתוני רישום ומצבת'!B:K,10,0)," ")</f>
        <v xml:space="preserve"> </v>
      </c>
      <c r="G365" s="443" t="str">
        <f>IFERROR(VLOOKUP(C365,'נתוני רישום ומצבת'!B:E,4,0)," ")</f>
        <v xml:space="preserve"> </v>
      </c>
      <c r="H365" s="444" t="str">
        <f>IFERROR(VLOOKUP(C365,'נתוני רישום ומצבת'!B:K,7,0),"")</f>
        <v/>
      </c>
      <c r="I365" s="180" t="str">
        <f t="shared" si="19"/>
        <v/>
      </c>
      <c r="J365" s="443" t="str">
        <f>IFERROR(VLOOKUP(C365,'נתוני רישום ומצבת'!B:I,5,0)," ")</f>
        <v xml:space="preserve"> </v>
      </c>
      <c r="K365" s="443" t="str">
        <f>IFERROR(VLOOKUP(C365,'נתוני רישום ומצבת'!B:I,8,0),"")</f>
        <v/>
      </c>
      <c r="L365" s="284">
        <f t="shared" si="20"/>
        <v>0</v>
      </c>
      <c r="M365" s="283" t="str">
        <f t="shared" si="18"/>
        <v>-</v>
      </c>
    </row>
    <row r="366" spans="2:13" x14ac:dyDescent="0.25">
      <c r="B366" s="280">
        <v>346</v>
      </c>
      <c r="C366" s="549" t="str" cm="1">
        <f t="array" ref="C366">IFERROR(
   INDEX('נתוני רישום ומצבת'!$B:$B,
      SMALL(
         IF(('נתוני רישום ומצבת'!A$2:A$2998='נתונים כלליים (1)'!$C$5),
         ROW('נתוני רישום ומצבת'!A$2:A$2998)),
      ROW(A346))
   ),
"")</f>
        <v/>
      </c>
      <c r="D366" s="549" t="str">
        <f>IF(C366="", "",
   IFERROR(
      IF(VLOOKUP(C366, 'נתוני רישום ומצבת'!B:J, 9, FALSE) = $F$4,
         VLOOKUP(C366, 'נתוני רישום ומצבת'!B:J, 3, FALSE),
         "המוסד לא קיים ברשות"),
   "המוסד לא קיים"))</f>
        <v/>
      </c>
      <c r="E366" s="176" t="str">
        <f>IFERROR(VLOOKUP(C366,'נתוני רישום ומצבת'!B:G,6,0),"")</f>
        <v/>
      </c>
      <c r="F366" s="281" t="str">
        <f>IFERROR(VLOOKUP(C366,'נתוני רישום ומצבת'!B:K,10,0)," ")</f>
        <v xml:space="preserve"> </v>
      </c>
      <c r="G366" s="443" t="str">
        <f>IFERROR(VLOOKUP(C366,'נתוני רישום ומצבת'!B:E,4,0)," ")</f>
        <v xml:space="preserve"> </v>
      </c>
      <c r="H366" s="444" t="str">
        <f>IFERROR(VLOOKUP(C366,'נתוני רישום ומצבת'!B:K,7,0),"")</f>
        <v/>
      </c>
      <c r="I366" s="180" t="str">
        <f t="shared" si="19"/>
        <v/>
      </c>
      <c r="J366" s="443" t="str">
        <f>IFERROR(VLOOKUP(C366,'נתוני רישום ומצבת'!B:I,5,0)," ")</f>
        <v xml:space="preserve"> </v>
      </c>
      <c r="K366" s="443" t="str">
        <f>IFERROR(VLOOKUP(C366,'נתוני רישום ומצבת'!B:I,8,0),"")</f>
        <v/>
      </c>
      <c r="L366" s="284">
        <f t="shared" si="20"/>
        <v>0</v>
      </c>
      <c r="M366" s="283" t="str">
        <f t="shared" si="18"/>
        <v>-</v>
      </c>
    </row>
    <row r="367" spans="2:13" x14ac:dyDescent="0.25">
      <c r="B367" s="280">
        <v>347</v>
      </c>
      <c r="C367" s="549" t="str" cm="1">
        <f t="array" ref="C367">IFERROR(
   INDEX('נתוני רישום ומצבת'!$B:$B,
      SMALL(
         IF(('נתוני רישום ומצבת'!A$2:A$2998='נתונים כלליים (1)'!$C$5),
         ROW('נתוני רישום ומצבת'!A$2:A$2998)),
      ROW(A347))
   ),
"")</f>
        <v/>
      </c>
      <c r="D367" s="549" t="str">
        <f>IF(C367="", "",
   IFERROR(
      IF(VLOOKUP(C367, 'נתוני רישום ומצבת'!B:J, 9, FALSE) = $F$4,
         VLOOKUP(C367, 'נתוני רישום ומצבת'!B:J, 3, FALSE),
         "המוסד לא קיים ברשות"),
   "המוסד לא קיים"))</f>
        <v/>
      </c>
      <c r="E367" s="176" t="str">
        <f>IFERROR(VLOOKUP(C367,'נתוני רישום ומצבת'!B:G,6,0),"")</f>
        <v/>
      </c>
      <c r="F367" s="281" t="str">
        <f>IFERROR(VLOOKUP(C367,'נתוני רישום ומצבת'!B:K,10,0)," ")</f>
        <v xml:space="preserve"> </v>
      </c>
      <c r="G367" s="443" t="str">
        <f>IFERROR(VLOOKUP(C367,'נתוני רישום ומצבת'!B:E,4,0)," ")</f>
        <v xml:space="preserve"> </v>
      </c>
      <c r="H367" s="444" t="str">
        <f>IFERROR(VLOOKUP(C367,'נתוני רישום ומצבת'!B:K,7,0),"")</f>
        <v/>
      </c>
      <c r="I367" s="180" t="str">
        <f t="shared" si="19"/>
        <v/>
      </c>
      <c r="J367" s="443" t="str">
        <f>IFERROR(VLOOKUP(C367,'נתוני רישום ומצבת'!B:I,5,0)," ")</f>
        <v xml:space="preserve"> </v>
      </c>
      <c r="K367" s="443" t="str">
        <f>IFERROR(VLOOKUP(C367,'נתוני רישום ומצבת'!B:I,8,0),"")</f>
        <v/>
      </c>
      <c r="L367" s="284">
        <f t="shared" si="20"/>
        <v>0</v>
      </c>
      <c r="M367" s="283" t="str">
        <f t="shared" si="18"/>
        <v>-</v>
      </c>
    </row>
    <row r="368" spans="2:13" x14ac:dyDescent="0.25">
      <c r="B368" s="280">
        <v>348</v>
      </c>
      <c r="C368" s="549" t="str" cm="1">
        <f t="array" ref="C368">IFERROR(
   INDEX('נתוני רישום ומצבת'!$B:$B,
      SMALL(
         IF(('נתוני רישום ומצבת'!A$2:A$2998='נתונים כלליים (1)'!$C$5),
         ROW('נתוני רישום ומצבת'!A$2:A$2998)),
      ROW(A348))
   ),
"")</f>
        <v/>
      </c>
      <c r="D368" s="549" t="str">
        <f>IF(C368="", "",
   IFERROR(
      IF(VLOOKUP(C368, 'נתוני רישום ומצבת'!B:J, 9, FALSE) = $F$4,
         VLOOKUP(C368, 'נתוני רישום ומצבת'!B:J, 3, FALSE),
         "המוסד לא קיים ברשות"),
   "המוסד לא קיים"))</f>
        <v/>
      </c>
      <c r="E368" s="176" t="str">
        <f>IFERROR(VLOOKUP(C368,'נתוני רישום ומצבת'!B:G,6,0),"")</f>
        <v/>
      </c>
      <c r="F368" s="281" t="str">
        <f>IFERROR(VLOOKUP(C368,'נתוני רישום ומצבת'!B:K,10,0)," ")</f>
        <v xml:space="preserve"> </v>
      </c>
      <c r="G368" s="443" t="str">
        <f>IFERROR(VLOOKUP(C368,'נתוני רישום ומצבת'!B:E,4,0)," ")</f>
        <v xml:space="preserve"> </v>
      </c>
      <c r="H368" s="444" t="str">
        <f>IFERROR(VLOOKUP(C368,'נתוני רישום ומצבת'!B:K,7,0),"")</f>
        <v/>
      </c>
      <c r="I368" s="180" t="str">
        <f t="shared" si="19"/>
        <v/>
      </c>
      <c r="J368" s="443" t="str">
        <f>IFERROR(VLOOKUP(C368,'נתוני רישום ומצבת'!B:I,5,0)," ")</f>
        <v xml:space="preserve"> </v>
      </c>
      <c r="K368" s="443" t="str">
        <f>IFERROR(VLOOKUP(C368,'נתוני רישום ומצבת'!B:I,8,0),"")</f>
        <v/>
      </c>
      <c r="L368" s="284">
        <f t="shared" si="20"/>
        <v>0</v>
      </c>
      <c r="M368" s="283" t="str">
        <f t="shared" si="18"/>
        <v>-</v>
      </c>
    </row>
    <row r="369" spans="2:13" x14ac:dyDescent="0.25">
      <c r="B369" s="280">
        <v>349</v>
      </c>
      <c r="C369" s="549" t="str" cm="1">
        <f t="array" ref="C369">IFERROR(
   INDEX('נתוני רישום ומצבת'!$B:$B,
      SMALL(
         IF(('נתוני רישום ומצבת'!A$2:A$2998='נתונים כלליים (1)'!$C$5),
         ROW('נתוני רישום ומצבת'!A$2:A$2998)),
      ROW(A349))
   ),
"")</f>
        <v/>
      </c>
      <c r="D369" s="549" t="str">
        <f>IF(C369="", "",
   IFERROR(
      IF(VLOOKUP(C369, 'נתוני רישום ומצבת'!B:J, 9, FALSE) = $F$4,
         VLOOKUP(C369, 'נתוני רישום ומצבת'!B:J, 3, FALSE),
         "המוסד לא קיים ברשות"),
   "המוסד לא קיים"))</f>
        <v/>
      </c>
      <c r="E369" s="176" t="str">
        <f>IFERROR(VLOOKUP(C369,'נתוני רישום ומצבת'!B:G,6,0),"")</f>
        <v/>
      </c>
      <c r="F369" s="281" t="str">
        <f>IFERROR(VLOOKUP(C369,'נתוני רישום ומצבת'!B:K,10,0)," ")</f>
        <v xml:space="preserve"> </v>
      </c>
      <c r="G369" s="443" t="str">
        <f>IFERROR(VLOOKUP(C369,'נתוני רישום ומצבת'!B:E,4,0)," ")</f>
        <v xml:space="preserve"> </v>
      </c>
      <c r="H369" s="444" t="str">
        <f>IFERROR(VLOOKUP(C369,'נתוני רישום ומצבת'!B:K,7,0),"")</f>
        <v/>
      </c>
      <c r="I369" s="180" t="str">
        <f t="shared" si="19"/>
        <v/>
      </c>
      <c r="J369" s="443" t="str">
        <f>IFERROR(VLOOKUP(C369,'נתוני רישום ומצבת'!B:I,5,0)," ")</f>
        <v xml:space="preserve"> </v>
      </c>
      <c r="K369" s="443" t="str">
        <f>IFERROR(VLOOKUP(C369,'נתוני רישום ומצבת'!B:I,8,0),"")</f>
        <v/>
      </c>
      <c r="L369" s="284">
        <f t="shared" si="20"/>
        <v>0</v>
      </c>
      <c r="M369" s="283" t="str">
        <f t="shared" si="18"/>
        <v>-</v>
      </c>
    </row>
    <row r="370" spans="2:13" x14ac:dyDescent="0.25">
      <c r="B370" s="280">
        <v>350</v>
      </c>
      <c r="C370" s="549" t="str" cm="1">
        <f t="array" ref="C370">IFERROR(
   INDEX('נתוני רישום ומצבת'!$B:$B,
      SMALL(
         IF(('נתוני רישום ומצבת'!A$2:A$2998='נתונים כלליים (1)'!$C$5),
         ROW('נתוני רישום ומצבת'!A$2:A$2998)),
      ROW(A350))
   ),
"")</f>
        <v/>
      </c>
      <c r="D370" s="549" t="str">
        <f>IF(C370="", "",
   IFERROR(
      IF(VLOOKUP(C370, 'נתוני רישום ומצבת'!B:J, 9, FALSE) = $F$4,
         VLOOKUP(C370, 'נתוני רישום ומצבת'!B:J, 3, FALSE),
         "המוסד לא קיים ברשות"),
   "המוסד לא קיים"))</f>
        <v/>
      </c>
      <c r="E370" s="176" t="str">
        <f>IFERROR(VLOOKUP(C370,'נתוני רישום ומצבת'!B:G,6,0),"")</f>
        <v/>
      </c>
      <c r="F370" s="281" t="str">
        <f>IFERROR(VLOOKUP(C370,'נתוני רישום ומצבת'!B:K,10,0)," ")</f>
        <v xml:space="preserve"> </v>
      </c>
      <c r="G370" s="443" t="str">
        <f>IFERROR(VLOOKUP(C370,'נתוני רישום ומצבת'!B:E,4,0)," ")</f>
        <v xml:space="preserve"> </v>
      </c>
      <c r="H370" s="444" t="str">
        <f>IFERROR(VLOOKUP(C370,'נתוני רישום ומצבת'!B:K,7,0),"")</f>
        <v/>
      </c>
      <c r="I370" s="180" t="str">
        <f t="shared" si="19"/>
        <v/>
      </c>
      <c r="J370" s="443" t="str">
        <f>IFERROR(VLOOKUP(C370,'נתוני רישום ומצבת'!B:I,5,0)," ")</f>
        <v xml:space="preserve"> </v>
      </c>
      <c r="K370" s="443" t="str">
        <f>IFERROR(VLOOKUP(C370,'נתוני רישום ומצבת'!B:I,8,0),"")</f>
        <v/>
      </c>
      <c r="L370" s="284">
        <f t="shared" si="20"/>
        <v>0</v>
      </c>
      <c r="M370" s="283" t="str">
        <f t="shared" si="18"/>
        <v>-</v>
      </c>
    </row>
    <row r="371" spans="2:13" x14ac:dyDescent="0.25">
      <c r="B371" s="280">
        <v>351</v>
      </c>
      <c r="C371" s="549" t="str" cm="1">
        <f t="array" ref="C371">IFERROR(
   INDEX('נתוני רישום ומצבת'!$B:$B,
      SMALL(
         IF(('נתוני רישום ומצבת'!A$2:A$2998='נתונים כלליים (1)'!$C$5),
         ROW('נתוני רישום ומצבת'!A$2:A$2998)),
      ROW(A351))
   ),
"")</f>
        <v/>
      </c>
      <c r="D371" s="549" t="str">
        <f>IF(C371="", "",
   IFERROR(
      IF(VLOOKUP(C371, 'נתוני רישום ומצבת'!B:J, 9, FALSE) = $F$4,
         VLOOKUP(C371, 'נתוני רישום ומצבת'!B:J, 3, FALSE),
         "המוסד לא קיים ברשות"),
   "המוסד לא קיים"))</f>
        <v/>
      </c>
      <c r="E371" s="176" t="str">
        <f>IFERROR(VLOOKUP(C371,'נתוני רישום ומצבת'!B:G,6,0),"")</f>
        <v/>
      </c>
      <c r="F371" s="281" t="str">
        <f>IFERROR(VLOOKUP(C371,'נתוני רישום ומצבת'!B:K,10,0)," ")</f>
        <v xml:space="preserve"> </v>
      </c>
      <c r="G371" s="443" t="str">
        <f>IFERROR(VLOOKUP(C371,'נתוני רישום ומצבת'!B:E,4,0)," ")</f>
        <v xml:space="preserve"> </v>
      </c>
      <c r="H371" s="444" t="str">
        <f>IFERROR(VLOOKUP(C371,'נתוני רישום ומצבת'!B:K,7,0),"")</f>
        <v/>
      </c>
      <c r="I371" s="180" t="str">
        <f t="shared" si="19"/>
        <v/>
      </c>
      <c r="J371" s="443" t="str">
        <f>IFERROR(VLOOKUP(C371,'נתוני רישום ומצבת'!B:I,5,0)," ")</f>
        <v xml:space="preserve"> </v>
      </c>
      <c r="K371" s="443" t="str">
        <f>IFERROR(VLOOKUP(C371,'נתוני רישום ומצבת'!B:I,8,0),"")</f>
        <v/>
      </c>
      <c r="L371" s="284">
        <f t="shared" si="20"/>
        <v>0</v>
      </c>
      <c r="M371" s="283" t="str">
        <f t="shared" si="18"/>
        <v>-</v>
      </c>
    </row>
    <row r="372" spans="2:13" x14ac:dyDescent="0.25">
      <c r="B372" s="280">
        <v>352</v>
      </c>
      <c r="C372" s="549" t="str" cm="1">
        <f t="array" ref="C372">IFERROR(
   INDEX('נתוני רישום ומצבת'!$B:$B,
      SMALL(
         IF(('נתוני רישום ומצבת'!A$2:A$2998='נתונים כלליים (1)'!$C$5),
         ROW('נתוני רישום ומצבת'!A$2:A$2998)),
      ROW(A352))
   ),
"")</f>
        <v/>
      </c>
      <c r="D372" s="549" t="str">
        <f>IF(C372="", "",
   IFERROR(
      IF(VLOOKUP(C372, 'נתוני רישום ומצבת'!B:J, 9, FALSE) = $F$4,
         VLOOKUP(C372, 'נתוני רישום ומצבת'!B:J, 3, FALSE),
         "המוסד לא קיים ברשות"),
   "המוסד לא קיים"))</f>
        <v/>
      </c>
      <c r="E372" s="176" t="str">
        <f>IFERROR(VLOOKUP(C372,'נתוני רישום ומצבת'!B:G,6,0),"")</f>
        <v/>
      </c>
      <c r="F372" s="281" t="str">
        <f>IFERROR(VLOOKUP(C372,'נתוני רישום ומצבת'!B:K,10,0)," ")</f>
        <v xml:space="preserve"> </v>
      </c>
      <c r="G372" s="443" t="str">
        <f>IFERROR(VLOOKUP(C372,'נתוני רישום ומצבת'!B:E,4,0)," ")</f>
        <v xml:space="preserve"> </v>
      </c>
      <c r="H372" s="444" t="str">
        <f>IFERROR(VLOOKUP(C372,'נתוני רישום ומצבת'!B:K,7,0),"")</f>
        <v/>
      </c>
      <c r="I372" s="180" t="str">
        <f t="shared" si="19"/>
        <v/>
      </c>
      <c r="J372" s="443" t="str">
        <f>IFERROR(VLOOKUP(C372,'נתוני רישום ומצבת'!B:I,5,0)," ")</f>
        <v xml:space="preserve"> </v>
      </c>
      <c r="K372" s="443" t="str">
        <f>IFERROR(VLOOKUP(C372,'נתוני רישום ומצבת'!B:I,8,0),"")</f>
        <v/>
      </c>
      <c r="L372" s="284">
        <f t="shared" si="20"/>
        <v>0</v>
      </c>
      <c r="M372" s="283" t="str">
        <f t="shared" si="18"/>
        <v>-</v>
      </c>
    </row>
    <row r="373" spans="2:13" x14ac:dyDescent="0.25">
      <c r="B373" s="280">
        <v>353</v>
      </c>
      <c r="C373" s="549" t="str" cm="1">
        <f t="array" ref="C373">IFERROR(
   INDEX('נתוני רישום ומצבת'!$B:$B,
      SMALL(
         IF(('נתוני רישום ומצבת'!A$2:A$2998='נתונים כלליים (1)'!$C$5),
         ROW('נתוני רישום ומצבת'!A$2:A$2998)),
      ROW(A353))
   ),
"")</f>
        <v/>
      </c>
      <c r="D373" s="549" t="str">
        <f>IF(C373="", "",
   IFERROR(
      IF(VLOOKUP(C373, 'נתוני רישום ומצבת'!B:J, 9, FALSE) = $F$4,
         VLOOKUP(C373, 'נתוני רישום ומצבת'!B:J, 3, FALSE),
         "המוסד לא קיים ברשות"),
   "המוסד לא קיים"))</f>
        <v/>
      </c>
      <c r="E373" s="176" t="str">
        <f>IFERROR(VLOOKUP(C373,'נתוני רישום ומצבת'!B:G,6,0),"")</f>
        <v/>
      </c>
      <c r="F373" s="281" t="str">
        <f>IFERROR(VLOOKUP(C373,'נתוני רישום ומצבת'!B:K,10,0)," ")</f>
        <v xml:space="preserve"> </v>
      </c>
      <c r="G373" s="443" t="str">
        <f>IFERROR(VLOOKUP(C373,'נתוני רישום ומצבת'!B:E,4,0)," ")</f>
        <v xml:space="preserve"> </v>
      </c>
      <c r="H373" s="444" t="str">
        <f>IFERROR(VLOOKUP(C373,'נתוני רישום ומצבת'!B:K,7,0),"")</f>
        <v/>
      </c>
      <c r="I373" s="180" t="str">
        <f t="shared" si="19"/>
        <v/>
      </c>
      <c r="J373" s="443" t="str">
        <f>IFERROR(VLOOKUP(C373,'נתוני רישום ומצבת'!B:I,5,0)," ")</f>
        <v xml:space="preserve"> </v>
      </c>
      <c r="K373" s="443" t="str">
        <f>IFERROR(VLOOKUP(C373,'נתוני רישום ומצבת'!B:I,8,0),"")</f>
        <v/>
      </c>
      <c r="L373" s="284">
        <f t="shared" si="20"/>
        <v>0</v>
      </c>
      <c r="M373" s="283" t="str">
        <f t="shared" si="18"/>
        <v>-</v>
      </c>
    </row>
    <row r="374" spans="2:13" x14ac:dyDescent="0.25">
      <c r="B374" s="280">
        <v>354</v>
      </c>
      <c r="C374" s="549" t="str" cm="1">
        <f t="array" ref="C374">IFERROR(
   INDEX('נתוני רישום ומצבת'!$B:$B,
      SMALL(
         IF(('נתוני רישום ומצבת'!A$2:A$2998='נתונים כלליים (1)'!$C$5),
         ROW('נתוני רישום ומצבת'!A$2:A$2998)),
      ROW(A354))
   ),
"")</f>
        <v/>
      </c>
      <c r="D374" s="549" t="str">
        <f>IF(C374="", "",
   IFERROR(
      IF(VLOOKUP(C374, 'נתוני רישום ומצבת'!B:J, 9, FALSE) = $F$4,
         VLOOKUP(C374, 'נתוני רישום ומצבת'!B:J, 3, FALSE),
         "המוסד לא קיים ברשות"),
   "המוסד לא קיים"))</f>
        <v/>
      </c>
      <c r="E374" s="176" t="str">
        <f>IFERROR(VLOOKUP(C374,'נתוני רישום ומצבת'!B:G,6,0),"")</f>
        <v/>
      </c>
      <c r="F374" s="281" t="str">
        <f>IFERROR(VLOOKUP(C374,'נתוני רישום ומצבת'!B:K,10,0)," ")</f>
        <v xml:space="preserve"> </v>
      </c>
      <c r="G374" s="443" t="str">
        <f>IFERROR(VLOOKUP(C374,'נתוני רישום ומצבת'!B:E,4,0)," ")</f>
        <v xml:space="preserve"> </v>
      </c>
      <c r="H374" s="444" t="str">
        <f>IFERROR(VLOOKUP(C374,'נתוני רישום ומצבת'!B:K,7,0),"")</f>
        <v/>
      </c>
      <c r="I374" s="180" t="str">
        <f t="shared" si="19"/>
        <v/>
      </c>
      <c r="J374" s="443" t="str">
        <f>IFERROR(VLOOKUP(C374,'נתוני רישום ומצבת'!B:I,5,0)," ")</f>
        <v xml:space="preserve"> </v>
      </c>
      <c r="K374" s="443" t="str">
        <f>IFERROR(VLOOKUP(C374,'נתוני רישום ומצבת'!B:I,8,0),"")</f>
        <v/>
      </c>
      <c r="L374" s="284">
        <f t="shared" si="20"/>
        <v>0</v>
      </c>
      <c r="M374" s="283" t="str">
        <f t="shared" si="18"/>
        <v>-</v>
      </c>
    </row>
    <row r="375" spans="2:13" x14ac:dyDescent="0.25">
      <c r="B375" s="280">
        <v>355</v>
      </c>
      <c r="C375" s="549" t="str" cm="1">
        <f t="array" ref="C375">IFERROR(
   INDEX('נתוני רישום ומצבת'!$B:$B,
      SMALL(
         IF(('נתוני רישום ומצבת'!A$2:A$2998='נתונים כלליים (1)'!$C$5),
         ROW('נתוני רישום ומצבת'!A$2:A$2998)),
      ROW(A355))
   ),
"")</f>
        <v/>
      </c>
      <c r="D375" s="549" t="str">
        <f>IF(C375="", "",
   IFERROR(
      IF(VLOOKUP(C375, 'נתוני רישום ומצבת'!B:J, 9, FALSE) = $F$4,
         VLOOKUP(C375, 'נתוני רישום ומצבת'!B:J, 3, FALSE),
         "המוסד לא קיים ברשות"),
   "המוסד לא קיים"))</f>
        <v/>
      </c>
      <c r="E375" s="176" t="str">
        <f>IFERROR(VLOOKUP(C375,'נתוני רישום ומצבת'!B:G,6,0),"")</f>
        <v/>
      </c>
      <c r="F375" s="281" t="str">
        <f>IFERROR(VLOOKUP(C375,'נתוני רישום ומצבת'!B:K,10,0)," ")</f>
        <v xml:space="preserve"> </v>
      </c>
      <c r="G375" s="443" t="str">
        <f>IFERROR(VLOOKUP(C375,'נתוני רישום ומצבת'!B:E,4,0)," ")</f>
        <v xml:space="preserve"> </v>
      </c>
      <c r="H375" s="444" t="str">
        <f>IFERROR(VLOOKUP(C375,'נתוני רישום ומצבת'!B:K,7,0),"")</f>
        <v/>
      </c>
      <c r="I375" s="180" t="str">
        <f t="shared" si="19"/>
        <v/>
      </c>
      <c r="J375" s="443" t="str">
        <f>IFERROR(VLOOKUP(C375,'נתוני רישום ומצבת'!B:I,5,0)," ")</f>
        <v xml:space="preserve"> </v>
      </c>
      <c r="K375" s="443" t="str">
        <f>IFERROR(VLOOKUP(C375,'נתוני רישום ומצבת'!B:I,8,0),"")</f>
        <v/>
      </c>
      <c r="L375" s="284">
        <f t="shared" si="20"/>
        <v>0</v>
      </c>
      <c r="M375" s="283" t="str">
        <f t="shared" si="18"/>
        <v>-</v>
      </c>
    </row>
    <row r="376" spans="2:13" x14ac:dyDescent="0.25">
      <c r="B376" s="280">
        <v>356</v>
      </c>
      <c r="C376" s="549" t="str" cm="1">
        <f t="array" ref="C376">IFERROR(
   INDEX('נתוני רישום ומצבת'!$B:$B,
      SMALL(
         IF(('נתוני רישום ומצבת'!A$2:A$2998='נתונים כלליים (1)'!$C$5),
         ROW('נתוני רישום ומצבת'!A$2:A$2998)),
      ROW(A356))
   ),
"")</f>
        <v/>
      </c>
      <c r="D376" s="549" t="str">
        <f>IF(C376="", "",
   IFERROR(
      IF(VLOOKUP(C376, 'נתוני רישום ומצבת'!B:J, 9, FALSE) = $F$4,
         VLOOKUP(C376, 'נתוני רישום ומצבת'!B:J, 3, FALSE),
         "המוסד לא קיים ברשות"),
   "המוסד לא קיים"))</f>
        <v/>
      </c>
      <c r="E376" s="176" t="str">
        <f>IFERROR(VLOOKUP(C376,'נתוני רישום ומצבת'!B:G,6,0),"")</f>
        <v/>
      </c>
      <c r="F376" s="281" t="str">
        <f>IFERROR(VLOOKUP(C376,'נתוני רישום ומצבת'!B:K,10,0)," ")</f>
        <v xml:space="preserve"> </v>
      </c>
      <c r="G376" s="443" t="str">
        <f>IFERROR(VLOOKUP(C376,'נתוני רישום ומצבת'!B:E,4,0)," ")</f>
        <v xml:space="preserve"> </v>
      </c>
      <c r="H376" s="444" t="str">
        <f>IFERROR(VLOOKUP(C376,'נתוני רישום ומצבת'!B:K,7,0),"")</f>
        <v/>
      </c>
      <c r="I376" s="180" t="str">
        <f t="shared" si="19"/>
        <v/>
      </c>
      <c r="J376" s="443" t="str">
        <f>IFERROR(VLOOKUP(C376,'נתוני רישום ומצבת'!B:I,5,0)," ")</f>
        <v xml:space="preserve"> </v>
      </c>
      <c r="K376" s="443" t="str">
        <f>IFERROR(VLOOKUP(C376,'נתוני רישום ומצבת'!B:I,8,0),"")</f>
        <v/>
      </c>
      <c r="L376" s="284">
        <f t="shared" si="20"/>
        <v>0</v>
      </c>
      <c r="M376" s="283" t="str">
        <f t="shared" si="18"/>
        <v>-</v>
      </c>
    </row>
    <row r="377" spans="2:13" x14ac:dyDescent="0.25">
      <c r="B377" s="280">
        <v>357</v>
      </c>
      <c r="C377" s="549" t="str" cm="1">
        <f t="array" ref="C377">IFERROR(
   INDEX('נתוני רישום ומצבת'!$B:$B,
      SMALL(
         IF(('נתוני רישום ומצבת'!A$2:A$2998='נתונים כלליים (1)'!$C$5),
         ROW('נתוני רישום ומצבת'!A$2:A$2998)),
      ROW(A357))
   ),
"")</f>
        <v/>
      </c>
      <c r="D377" s="549" t="str">
        <f>IF(C377="", "",
   IFERROR(
      IF(VLOOKUP(C377, 'נתוני רישום ומצבת'!B:J, 9, FALSE) = $F$4,
         VLOOKUP(C377, 'נתוני רישום ומצבת'!B:J, 3, FALSE),
         "המוסד לא קיים ברשות"),
   "המוסד לא קיים"))</f>
        <v/>
      </c>
      <c r="E377" s="176" t="str">
        <f>IFERROR(VLOOKUP(C377,'נתוני רישום ומצבת'!B:G,6,0),"")</f>
        <v/>
      </c>
      <c r="F377" s="281" t="str">
        <f>IFERROR(VLOOKUP(C377,'נתוני רישום ומצבת'!B:K,10,0)," ")</f>
        <v xml:space="preserve"> </v>
      </c>
      <c r="G377" s="443" t="str">
        <f>IFERROR(VLOOKUP(C377,'נתוני רישום ומצבת'!B:E,4,0)," ")</f>
        <v xml:space="preserve"> </v>
      </c>
      <c r="H377" s="444" t="str">
        <f>IFERROR(VLOOKUP(C377,'נתוני רישום ומצבת'!B:K,7,0),"")</f>
        <v/>
      </c>
      <c r="I377" s="180" t="str">
        <f t="shared" si="19"/>
        <v/>
      </c>
      <c r="J377" s="443" t="str">
        <f>IFERROR(VLOOKUP(C377,'נתוני רישום ומצבת'!B:I,5,0)," ")</f>
        <v xml:space="preserve"> </v>
      </c>
      <c r="K377" s="443" t="str">
        <f>IFERROR(VLOOKUP(C377,'נתוני רישום ומצבת'!B:I,8,0),"")</f>
        <v/>
      </c>
      <c r="L377" s="284">
        <f t="shared" si="20"/>
        <v>0</v>
      </c>
      <c r="M377" s="283" t="str">
        <f t="shared" si="18"/>
        <v>-</v>
      </c>
    </row>
    <row r="378" spans="2:13" x14ac:dyDescent="0.25">
      <c r="B378" s="280">
        <v>358</v>
      </c>
      <c r="C378" s="549" t="str" cm="1">
        <f t="array" ref="C378">IFERROR(
   INDEX('נתוני רישום ומצבת'!$B:$B,
      SMALL(
         IF(('נתוני רישום ומצבת'!A$2:A$2998='נתונים כלליים (1)'!$C$5),
         ROW('נתוני רישום ומצבת'!A$2:A$2998)),
      ROW(A358))
   ),
"")</f>
        <v/>
      </c>
      <c r="D378" s="549" t="str">
        <f>IF(C378="", "",
   IFERROR(
      IF(VLOOKUP(C378, 'נתוני רישום ומצבת'!B:J, 9, FALSE) = $F$4,
         VLOOKUP(C378, 'נתוני רישום ומצבת'!B:J, 3, FALSE),
         "המוסד לא קיים ברשות"),
   "המוסד לא קיים"))</f>
        <v/>
      </c>
      <c r="E378" s="176" t="str">
        <f>IFERROR(VLOOKUP(C378,'נתוני רישום ומצבת'!B:G,6,0),"")</f>
        <v/>
      </c>
      <c r="F378" s="281" t="str">
        <f>IFERROR(VLOOKUP(C378,'נתוני רישום ומצבת'!B:K,10,0)," ")</f>
        <v xml:space="preserve"> </v>
      </c>
      <c r="G378" s="443" t="str">
        <f>IFERROR(VLOOKUP(C378,'נתוני רישום ומצבת'!B:E,4,0)," ")</f>
        <v xml:space="preserve"> </v>
      </c>
      <c r="H378" s="444" t="str">
        <f>IFERROR(VLOOKUP(C378,'נתוני רישום ומצבת'!B:K,7,0),"")</f>
        <v/>
      </c>
      <c r="I378" s="180" t="str">
        <f t="shared" si="19"/>
        <v/>
      </c>
      <c r="J378" s="443" t="str">
        <f>IFERROR(VLOOKUP(C378,'נתוני רישום ומצבת'!B:I,5,0)," ")</f>
        <v xml:space="preserve"> </v>
      </c>
      <c r="K378" s="443" t="str">
        <f>IFERROR(VLOOKUP(C378,'נתוני רישום ומצבת'!B:I,8,0),"")</f>
        <v/>
      </c>
      <c r="L378" s="284">
        <f t="shared" si="20"/>
        <v>0</v>
      </c>
      <c r="M378" s="283" t="str">
        <f t="shared" si="18"/>
        <v>-</v>
      </c>
    </row>
    <row r="379" spans="2:13" x14ac:dyDescent="0.25">
      <c r="B379" s="280">
        <v>359</v>
      </c>
      <c r="C379" s="549" t="str" cm="1">
        <f t="array" ref="C379">IFERROR(
   INDEX('נתוני רישום ומצבת'!$B:$B,
      SMALL(
         IF(('נתוני רישום ומצבת'!A$2:A$2998='נתונים כלליים (1)'!$C$5),
         ROW('נתוני רישום ומצבת'!A$2:A$2998)),
      ROW(A359))
   ),
"")</f>
        <v/>
      </c>
      <c r="D379" s="549" t="str">
        <f>IF(C379="", "",
   IFERROR(
      IF(VLOOKUP(C379, 'נתוני רישום ומצבת'!B:J, 9, FALSE) = $F$4,
         VLOOKUP(C379, 'נתוני רישום ומצבת'!B:J, 3, FALSE),
         "המוסד לא קיים ברשות"),
   "המוסד לא קיים"))</f>
        <v/>
      </c>
      <c r="E379" s="176" t="str">
        <f>IFERROR(VLOOKUP(C379,'נתוני רישום ומצבת'!B:G,6,0),"")</f>
        <v/>
      </c>
      <c r="F379" s="281" t="str">
        <f>IFERROR(VLOOKUP(C379,'נתוני רישום ומצבת'!B:K,10,0)," ")</f>
        <v xml:space="preserve"> </v>
      </c>
      <c r="G379" s="443" t="str">
        <f>IFERROR(VLOOKUP(C379,'נתוני רישום ומצבת'!B:E,4,0)," ")</f>
        <v xml:space="preserve"> </v>
      </c>
      <c r="H379" s="444" t="str">
        <f>IFERROR(VLOOKUP(C379,'נתוני רישום ומצבת'!B:K,7,0),"")</f>
        <v/>
      </c>
      <c r="I379" s="180" t="str">
        <f t="shared" si="19"/>
        <v/>
      </c>
      <c r="J379" s="443" t="str">
        <f>IFERROR(VLOOKUP(C379,'נתוני רישום ומצבת'!B:I,5,0)," ")</f>
        <v xml:space="preserve"> </v>
      </c>
      <c r="K379" s="443" t="str">
        <f>IFERROR(VLOOKUP(C379,'נתוני רישום ומצבת'!B:I,8,0),"")</f>
        <v/>
      </c>
      <c r="L379" s="284">
        <f t="shared" si="20"/>
        <v>0</v>
      </c>
      <c r="M379" s="283" t="str">
        <f t="shared" si="18"/>
        <v>-</v>
      </c>
    </row>
    <row r="380" spans="2:13" x14ac:dyDescent="0.25">
      <c r="B380" s="280">
        <v>360</v>
      </c>
      <c r="C380" s="549" t="str" cm="1">
        <f t="array" ref="C380">IFERROR(
   INDEX('נתוני רישום ומצבת'!$B:$B,
      SMALL(
         IF(('נתוני רישום ומצבת'!A$2:A$2998='נתונים כלליים (1)'!$C$5),
         ROW('נתוני רישום ומצבת'!A$2:A$2998)),
      ROW(A360))
   ),
"")</f>
        <v/>
      </c>
      <c r="D380" s="549" t="str">
        <f>IF(C380="", "",
   IFERROR(
      IF(VLOOKUP(C380, 'נתוני רישום ומצבת'!B:J, 9, FALSE) = $F$4,
         VLOOKUP(C380, 'נתוני רישום ומצבת'!B:J, 3, FALSE),
         "המוסד לא קיים ברשות"),
   "המוסד לא קיים"))</f>
        <v/>
      </c>
      <c r="E380" s="176" t="str">
        <f>IFERROR(VLOOKUP(C380,'נתוני רישום ומצבת'!B:G,6,0),"")</f>
        <v/>
      </c>
      <c r="F380" s="281" t="str">
        <f>IFERROR(VLOOKUP(C380,'נתוני רישום ומצבת'!B:K,10,0)," ")</f>
        <v xml:space="preserve"> </v>
      </c>
      <c r="G380" s="443" t="str">
        <f>IFERROR(VLOOKUP(C380,'נתוני רישום ומצבת'!B:E,4,0)," ")</f>
        <v xml:space="preserve"> </v>
      </c>
      <c r="H380" s="444" t="str">
        <f>IFERROR(VLOOKUP(C380,'נתוני רישום ומצבת'!B:K,7,0),"")</f>
        <v/>
      </c>
      <c r="I380" s="180" t="str">
        <f t="shared" si="19"/>
        <v/>
      </c>
      <c r="J380" s="443" t="str">
        <f>IFERROR(VLOOKUP(C380,'נתוני רישום ומצבת'!B:I,5,0)," ")</f>
        <v xml:space="preserve"> </v>
      </c>
      <c r="K380" s="443" t="str">
        <f>IFERROR(VLOOKUP(C380,'נתוני רישום ומצבת'!B:I,8,0),"")</f>
        <v/>
      </c>
      <c r="L380" s="284">
        <f t="shared" si="20"/>
        <v>0</v>
      </c>
      <c r="M380" s="283" t="str">
        <f t="shared" si="18"/>
        <v>-</v>
      </c>
    </row>
    <row r="381" spans="2:13" x14ac:dyDescent="0.25">
      <c r="B381" s="280">
        <v>361</v>
      </c>
      <c r="C381" s="549" t="str" cm="1">
        <f t="array" ref="C381">IFERROR(
   INDEX('נתוני רישום ומצבת'!$B:$B,
      SMALL(
         IF(('נתוני רישום ומצבת'!A$2:A$2998='נתונים כלליים (1)'!$C$5),
         ROW('נתוני רישום ומצבת'!A$2:A$2998)),
      ROW(A361))
   ),
"")</f>
        <v/>
      </c>
      <c r="D381" s="549" t="str">
        <f>IF(C381="", "",
   IFERROR(
      IF(VLOOKUP(C381, 'נתוני רישום ומצבת'!B:J, 9, FALSE) = $F$4,
         VLOOKUP(C381, 'נתוני רישום ומצבת'!B:J, 3, FALSE),
         "המוסד לא קיים ברשות"),
   "המוסד לא קיים"))</f>
        <v/>
      </c>
      <c r="E381" s="176" t="str">
        <f>IFERROR(VLOOKUP(C381,'נתוני רישום ומצבת'!B:G,6,0),"")</f>
        <v/>
      </c>
      <c r="F381" s="281" t="str">
        <f>IFERROR(VLOOKUP(C381,'נתוני רישום ומצבת'!B:K,10,0)," ")</f>
        <v xml:space="preserve"> </v>
      </c>
      <c r="G381" s="443" t="str">
        <f>IFERROR(VLOOKUP(C381,'נתוני רישום ומצבת'!B:E,4,0)," ")</f>
        <v xml:space="preserve"> </v>
      </c>
      <c r="H381" s="444" t="str">
        <f>IFERROR(VLOOKUP(C381,'נתוני רישום ומצבת'!B:K,7,0),"")</f>
        <v/>
      </c>
      <c r="I381" s="180" t="str">
        <f t="shared" si="19"/>
        <v/>
      </c>
      <c r="J381" s="443" t="str">
        <f>IFERROR(VLOOKUP(C381,'נתוני רישום ומצבת'!B:I,5,0)," ")</f>
        <v xml:space="preserve"> </v>
      </c>
      <c r="K381" s="443" t="str">
        <f>IFERROR(VLOOKUP(C381,'נתוני רישום ומצבת'!B:I,8,0),"")</f>
        <v/>
      </c>
      <c r="L381" s="284">
        <f t="shared" si="20"/>
        <v>0</v>
      </c>
      <c r="M381" s="283" t="str">
        <f t="shared" si="18"/>
        <v>-</v>
      </c>
    </row>
    <row r="382" spans="2:13" x14ac:dyDescent="0.25">
      <c r="B382" s="280">
        <v>362</v>
      </c>
      <c r="C382" s="549" t="str" cm="1">
        <f t="array" ref="C382">IFERROR(
   INDEX('נתוני רישום ומצבת'!$B:$B,
      SMALL(
         IF(('נתוני רישום ומצבת'!A$2:A$2998='נתונים כלליים (1)'!$C$5),
         ROW('נתוני רישום ומצבת'!A$2:A$2998)),
      ROW(A362))
   ),
"")</f>
        <v/>
      </c>
      <c r="D382" s="549" t="str">
        <f>IF(C382="", "",
   IFERROR(
      IF(VLOOKUP(C382, 'נתוני רישום ומצבת'!B:J, 9, FALSE) = $F$4,
         VLOOKUP(C382, 'נתוני רישום ומצבת'!B:J, 3, FALSE),
         "המוסד לא קיים ברשות"),
   "המוסד לא קיים"))</f>
        <v/>
      </c>
      <c r="E382" s="176" t="str">
        <f>IFERROR(VLOOKUP(C382,'נתוני רישום ומצבת'!B:G,6,0),"")</f>
        <v/>
      </c>
      <c r="F382" s="281" t="str">
        <f>IFERROR(VLOOKUP(C382,'נתוני רישום ומצבת'!B:K,10,0)," ")</f>
        <v xml:space="preserve"> </v>
      </c>
      <c r="G382" s="443" t="str">
        <f>IFERROR(VLOOKUP(C382,'נתוני רישום ומצבת'!B:E,4,0)," ")</f>
        <v xml:space="preserve"> </v>
      </c>
      <c r="H382" s="444" t="str">
        <f>IFERROR(VLOOKUP(C382,'נתוני רישום ומצבת'!B:K,7,0),"")</f>
        <v/>
      </c>
      <c r="I382" s="180" t="str">
        <f t="shared" si="19"/>
        <v/>
      </c>
      <c r="J382" s="443" t="str">
        <f>IFERROR(VLOOKUP(C382,'נתוני רישום ומצבת'!B:I,5,0)," ")</f>
        <v xml:space="preserve"> </v>
      </c>
      <c r="K382" s="443" t="str">
        <f>IFERROR(VLOOKUP(C382,'נתוני רישום ומצבת'!B:I,8,0),"")</f>
        <v/>
      </c>
      <c r="L382" s="284">
        <f t="shared" si="20"/>
        <v>0</v>
      </c>
      <c r="M382" s="283" t="str">
        <f t="shared" si="18"/>
        <v>-</v>
      </c>
    </row>
    <row r="383" spans="2:13" x14ac:dyDescent="0.25">
      <c r="B383" s="280">
        <v>363</v>
      </c>
      <c r="C383" s="549" t="str" cm="1">
        <f t="array" ref="C383">IFERROR(
   INDEX('נתוני רישום ומצבת'!$B:$B,
      SMALL(
         IF(('נתוני רישום ומצבת'!A$2:A$2998='נתונים כלליים (1)'!$C$5),
         ROW('נתוני רישום ומצבת'!A$2:A$2998)),
      ROW(A363))
   ),
"")</f>
        <v/>
      </c>
      <c r="D383" s="549" t="str">
        <f>IF(C383="", "",
   IFERROR(
      IF(VLOOKUP(C383, 'נתוני רישום ומצבת'!B:J, 9, FALSE) = $F$4,
         VLOOKUP(C383, 'נתוני רישום ומצבת'!B:J, 3, FALSE),
         "המוסד לא קיים ברשות"),
   "המוסד לא קיים"))</f>
        <v/>
      </c>
      <c r="E383" s="176" t="str">
        <f>IFERROR(VLOOKUP(C383,'נתוני רישום ומצבת'!B:G,6,0),"")</f>
        <v/>
      </c>
      <c r="F383" s="281" t="str">
        <f>IFERROR(VLOOKUP(C383,'נתוני רישום ומצבת'!B:K,10,0)," ")</f>
        <v xml:space="preserve"> </v>
      </c>
      <c r="G383" s="443" t="str">
        <f>IFERROR(VLOOKUP(C383,'נתוני רישום ומצבת'!B:E,4,0)," ")</f>
        <v xml:space="preserve"> </v>
      </c>
      <c r="H383" s="444" t="str">
        <f>IFERROR(VLOOKUP(C383,'נתוני רישום ומצבת'!B:K,7,0),"")</f>
        <v/>
      </c>
      <c r="I383" s="180" t="str">
        <f t="shared" si="19"/>
        <v/>
      </c>
      <c r="J383" s="443" t="str">
        <f>IFERROR(VLOOKUP(C383,'נתוני רישום ומצבת'!B:I,5,0)," ")</f>
        <v xml:space="preserve"> </v>
      </c>
      <c r="K383" s="443" t="str">
        <f>IFERROR(VLOOKUP(C383,'נתוני רישום ומצבת'!B:I,8,0),"")</f>
        <v/>
      </c>
      <c r="L383" s="284">
        <f t="shared" si="20"/>
        <v>0</v>
      </c>
      <c r="M383" s="283" t="str">
        <f t="shared" si="18"/>
        <v>-</v>
      </c>
    </row>
    <row r="384" spans="2:13" x14ac:dyDescent="0.25">
      <c r="B384" s="280">
        <v>364</v>
      </c>
      <c r="C384" s="549" t="str" cm="1">
        <f t="array" ref="C384">IFERROR(
   INDEX('נתוני רישום ומצבת'!$B:$B,
      SMALL(
         IF(('נתוני רישום ומצבת'!A$2:A$2998='נתונים כלליים (1)'!$C$5),
         ROW('נתוני רישום ומצבת'!A$2:A$2998)),
      ROW(A364))
   ),
"")</f>
        <v/>
      </c>
      <c r="D384" s="549" t="str">
        <f>IF(C384="", "",
   IFERROR(
      IF(VLOOKUP(C384, 'נתוני רישום ומצבת'!B:J, 9, FALSE) = $F$4,
         VLOOKUP(C384, 'נתוני רישום ומצבת'!B:J, 3, FALSE),
         "המוסד לא קיים ברשות"),
   "המוסד לא קיים"))</f>
        <v/>
      </c>
      <c r="E384" s="176" t="str">
        <f>IFERROR(VLOOKUP(C384,'נתוני רישום ומצבת'!B:G,6,0),"")</f>
        <v/>
      </c>
      <c r="F384" s="281" t="str">
        <f>IFERROR(VLOOKUP(C384,'נתוני רישום ומצבת'!B:K,10,0)," ")</f>
        <v xml:space="preserve"> </v>
      </c>
      <c r="G384" s="443" t="str">
        <f>IFERROR(VLOOKUP(C384,'נתוני רישום ומצבת'!B:E,4,0)," ")</f>
        <v xml:space="preserve"> </v>
      </c>
      <c r="H384" s="444" t="str">
        <f>IFERROR(VLOOKUP(C384,'נתוני רישום ומצבת'!B:K,7,0),"")</f>
        <v/>
      </c>
      <c r="I384" s="180" t="str">
        <f t="shared" si="19"/>
        <v/>
      </c>
      <c r="J384" s="443" t="str">
        <f>IFERROR(VLOOKUP(C384,'נתוני רישום ומצבת'!B:I,5,0)," ")</f>
        <v xml:space="preserve"> </v>
      </c>
      <c r="K384" s="443" t="str">
        <f>IFERROR(VLOOKUP(C384,'נתוני רישום ומצבת'!B:I,8,0),"")</f>
        <v/>
      </c>
      <c r="L384" s="284">
        <f t="shared" si="20"/>
        <v>0</v>
      </c>
      <c r="M384" s="283" t="str">
        <f t="shared" si="18"/>
        <v>-</v>
      </c>
    </row>
    <row r="385" spans="2:13" x14ac:dyDescent="0.25">
      <c r="B385" s="280">
        <v>365</v>
      </c>
      <c r="C385" s="549" t="str" cm="1">
        <f t="array" ref="C385">IFERROR(
   INDEX('נתוני רישום ומצבת'!$B:$B,
      SMALL(
         IF(('נתוני רישום ומצבת'!A$2:A$2998='נתונים כלליים (1)'!$C$5),
         ROW('נתוני רישום ומצבת'!A$2:A$2998)),
      ROW(A365))
   ),
"")</f>
        <v/>
      </c>
      <c r="D385" s="549" t="str">
        <f>IF(C385="", "",
   IFERROR(
      IF(VLOOKUP(C385, 'נתוני רישום ומצבת'!B:J, 9, FALSE) = $F$4,
         VLOOKUP(C385, 'נתוני רישום ומצבת'!B:J, 3, FALSE),
         "המוסד לא קיים ברשות"),
   "המוסד לא קיים"))</f>
        <v/>
      </c>
      <c r="E385" s="176" t="str">
        <f>IFERROR(VLOOKUP(C385,'נתוני רישום ומצבת'!B:G,6,0),"")</f>
        <v/>
      </c>
      <c r="F385" s="281" t="str">
        <f>IFERROR(VLOOKUP(C385,'נתוני רישום ומצבת'!B:K,10,0)," ")</f>
        <v xml:space="preserve"> </v>
      </c>
      <c r="G385" s="443" t="str">
        <f>IFERROR(VLOOKUP(C385,'נתוני רישום ומצבת'!B:E,4,0)," ")</f>
        <v xml:space="preserve"> </v>
      </c>
      <c r="H385" s="444" t="str">
        <f>IFERROR(VLOOKUP(C385,'נתוני רישום ומצבת'!B:K,7,0),"")</f>
        <v/>
      </c>
      <c r="I385" s="180" t="str">
        <f t="shared" si="19"/>
        <v/>
      </c>
      <c r="J385" s="443" t="str">
        <f>IFERROR(VLOOKUP(C385,'נתוני רישום ומצבת'!B:I,5,0)," ")</f>
        <v xml:space="preserve"> </v>
      </c>
      <c r="K385" s="443" t="str">
        <f>IFERROR(VLOOKUP(C385,'נתוני רישום ומצבת'!B:I,8,0),"")</f>
        <v/>
      </c>
      <c r="L385" s="284">
        <f t="shared" si="20"/>
        <v>0</v>
      </c>
      <c r="M385" s="283" t="str">
        <f t="shared" si="18"/>
        <v>-</v>
      </c>
    </row>
    <row r="386" spans="2:13" x14ac:dyDescent="0.25">
      <c r="B386" s="280">
        <v>366</v>
      </c>
      <c r="C386" s="549" t="str" cm="1">
        <f t="array" ref="C386">IFERROR(
   INDEX('נתוני רישום ומצבת'!$B:$B,
      SMALL(
         IF(('נתוני רישום ומצבת'!A$2:A$2998='נתונים כלליים (1)'!$C$5),
         ROW('נתוני רישום ומצבת'!A$2:A$2998)),
      ROW(A366))
   ),
"")</f>
        <v/>
      </c>
      <c r="D386" s="549" t="str">
        <f>IF(C386="", "",
   IFERROR(
      IF(VLOOKUP(C386, 'נתוני רישום ומצבת'!B:J, 9, FALSE) = $F$4,
         VLOOKUP(C386, 'נתוני רישום ומצבת'!B:J, 3, FALSE),
         "המוסד לא קיים ברשות"),
   "המוסד לא קיים"))</f>
        <v/>
      </c>
      <c r="E386" s="176" t="str">
        <f>IFERROR(VLOOKUP(C386,'נתוני רישום ומצבת'!B:G,6,0),"")</f>
        <v/>
      </c>
      <c r="F386" s="281" t="str">
        <f>IFERROR(VLOOKUP(C386,'נתוני רישום ומצבת'!B:K,10,0)," ")</f>
        <v xml:space="preserve"> </v>
      </c>
      <c r="G386" s="443" t="str">
        <f>IFERROR(VLOOKUP(C386,'נתוני רישום ומצבת'!B:E,4,0)," ")</f>
        <v xml:space="preserve"> </v>
      </c>
      <c r="H386" s="444" t="str">
        <f>IFERROR(VLOOKUP(C386,'נתוני רישום ומצבת'!B:K,7,0),"")</f>
        <v/>
      </c>
      <c r="I386" s="180" t="str">
        <f t="shared" si="19"/>
        <v/>
      </c>
      <c r="J386" s="443" t="str">
        <f>IFERROR(VLOOKUP(C386,'נתוני רישום ומצבת'!B:I,5,0)," ")</f>
        <v xml:space="preserve"> </v>
      </c>
      <c r="K386" s="443" t="str">
        <f>IFERROR(VLOOKUP(C386,'נתוני רישום ומצבת'!B:I,8,0),"")</f>
        <v/>
      </c>
      <c r="L386" s="284">
        <f t="shared" si="20"/>
        <v>0</v>
      </c>
      <c r="M386" s="283" t="str">
        <f t="shared" si="18"/>
        <v>-</v>
      </c>
    </row>
    <row r="387" spans="2:13" x14ac:dyDescent="0.25">
      <c r="B387" s="280">
        <v>367</v>
      </c>
      <c r="C387" s="549" t="str" cm="1">
        <f t="array" ref="C387">IFERROR(
   INDEX('נתוני רישום ומצבת'!$B:$B,
      SMALL(
         IF(('נתוני רישום ומצבת'!A$2:A$2998='נתונים כלליים (1)'!$C$5),
         ROW('נתוני רישום ומצבת'!A$2:A$2998)),
      ROW(A367))
   ),
"")</f>
        <v/>
      </c>
      <c r="D387" s="549" t="str">
        <f>IF(C387="", "",
   IFERROR(
      IF(VLOOKUP(C387, 'נתוני רישום ומצבת'!B:J, 9, FALSE) = $F$4,
         VLOOKUP(C387, 'נתוני רישום ומצבת'!B:J, 3, FALSE),
         "המוסד לא קיים ברשות"),
   "המוסד לא קיים"))</f>
        <v/>
      </c>
      <c r="E387" s="176" t="str">
        <f>IFERROR(VLOOKUP(C387,'נתוני רישום ומצבת'!B:G,6,0),"")</f>
        <v/>
      </c>
      <c r="F387" s="281" t="str">
        <f>IFERROR(VLOOKUP(C387,'נתוני רישום ומצבת'!B:K,10,0)," ")</f>
        <v xml:space="preserve"> </v>
      </c>
      <c r="G387" s="443" t="str">
        <f>IFERROR(VLOOKUP(C387,'נתוני רישום ומצבת'!B:E,4,0)," ")</f>
        <v xml:space="preserve"> </v>
      </c>
      <c r="H387" s="444" t="str">
        <f>IFERROR(VLOOKUP(C387,'נתוני רישום ומצבת'!B:K,7,0),"")</f>
        <v/>
      </c>
      <c r="I387" s="180" t="str">
        <f t="shared" si="19"/>
        <v/>
      </c>
      <c r="J387" s="443" t="str">
        <f>IFERROR(VLOOKUP(C387,'נתוני רישום ומצבת'!B:I,5,0)," ")</f>
        <v xml:space="preserve"> </v>
      </c>
      <c r="K387" s="443" t="str">
        <f>IFERROR(VLOOKUP(C387,'נתוני רישום ומצבת'!B:I,8,0),"")</f>
        <v/>
      </c>
      <c r="L387" s="284">
        <f t="shared" si="20"/>
        <v>0</v>
      </c>
      <c r="M387" s="283" t="str">
        <f t="shared" si="18"/>
        <v>-</v>
      </c>
    </row>
    <row r="388" spans="2:13" x14ac:dyDescent="0.25">
      <c r="B388" s="280">
        <v>368</v>
      </c>
      <c r="C388" s="549" t="str" cm="1">
        <f t="array" ref="C388">IFERROR(
   INDEX('נתוני רישום ומצבת'!$B:$B,
      SMALL(
         IF(('נתוני רישום ומצבת'!A$2:A$2998='נתונים כלליים (1)'!$C$5),
         ROW('נתוני רישום ומצבת'!A$2:A$2998)),
      ROW(A368))
   ),
"")</f>
        <v/>
      </c>
      <c r="D388" s="549" t="str">
        <f>IF(C388="", "",
   IFERROR(
      IF(VLOOKUP(C388, 'נתוני רישום ומצבת'!B:J, 9, FALSE) = $F$4,
         VLOOKUP(C388, 'נתוני רישום ומצבת'!B:J, 3, FALSE),
         "המוסד לא קיים ברשות"),
   "המוסד לא קיים"))</f>
        <v/>
      </c>
      <c r="E388" s="176" t="str">
        <f>IFERROR(VLOOKUP(C388,'נתוני רישום ומצבת'!B:G,6,0),"")</f>
        <v/>
      </c>
      <c r="F388" s="281" t="str">
        <f>IFERROR(VLOOKUP(C388,'נתוני רישום ומצבת'!B:K,10,0)," ")</f>
        <v xml:space="preserve"> </v>
      </c>
      <c r="G388" s="443" t="str">
        <f>IFERROR(VLOOKUP(C388,'נתוני רישום ומצבת'!B:E,4,0)," ")</f>
        <v xml:space="preserve"> </v>
      </c>
      <c r="H388" s="444" t="str">
        <f>IFERROR(VLOOKUP(C388,'נתוני רישום ומצבת'!B:K,7,0),"")</f>
        <v/>
      </c>
      <c r="I388" s="180" t="str">
        <f t="shared" si="19"/>
        <v/>
      </c>
      <c r="J388" s="443" t="str">
        <f>IFERROR(VLOOKUP(C388,'נתוני רישום ומצבת'!B:I,5,0)," ")</f>
        <v xml:space="preserve"> </v>
      </c>
      <c r="K388" s="443" t="str">
        <f>IFERROR(VLOOKUP(C388,'נתוני רישום ומצבת'!B:I,8,0),"")</f>
        <v/>
      </c>
      <c r="L388" s="284">
        <f t="shared" si="20"/>
        <v>0</v>
      </c>
      <c r="M388" s="283" t="str">
        <f t="shared" si="18"/>
        <v>-</v>
      </c>
    </row>
    <row r="389" spans="2:13" x14ac:dyDescent="0.25">
      <c r="B389" s="280">
        <v>369</v>
      </c>
      <c r="C389" s="549" t="str" cm="1">
        <f t="array" ref="C389">IFERROR(
   INDEX('נתוני רישום ומצבת'!$B:$B,
      SMALL(
         IF(('נתוני רישום ומצבת'!A$2:A$2998='נתונים כלליים (1)'!$C$5),
         ROW('נתוני רישום ומצבת'!A$2:A$2998)),
      ROW(A369))
   ),
"")</f>
        <v/>
      </c>
      <c r="D389" s="549" t="str">
        <f>IF(C389="", "",
   IFERROR(
      IF(VLOOKUP(C389, 'נתוני רישום ומצבת'!B:J, 9, FALSE) = $F$4,
         VLOOKUP(C389, 'נתוני רישום ומצבת'!B:J, 3, FALSE),
         "המוסד לא קיים ברשות"),
   "המוסד לא קיים"))</f>
        <v/>
      </c>
      <c r="E389" s="176" t="str">
        <f>IFERROR(VLOOKUP(C389,'נתוני רישום ומצבת'!B:G,6,0),"")</f>
        <v/>
      </c>
      <c r="F389" s="281" t="str">
        <f>IFERROR(VLOOKUP(C389,'נתוני רישום ומצבת'!B:K,10,0)," ")</f>
        <v xml:space="preserve"> </v>
      </c>
      <c r="G389" s="443" t="str">
        <f>IFERROR(VLOOKUP(C389,'נתוני רישום ומצבת'!B:E,4,0)," ")</f>
        <v xml:space="preserve"> </v>
      </c>
      <c r="H389" s="444" t="str">
        <f>IFERROR(VLOOKUP(C389,'נתוני רישום ומצבת'!B:K,7,0),"")</f>
        <v/>
      </c>
      <c r="I389" s="180" t="str">
        <f t="shared" si="19"/>
        <v/>
      </c>
      <c r="J389" s="443" t="str">
        <f>IFERROR(VLOOKUP(C389,'נתוני רישום ומצבת'!B:I,5,0)," ")</f>
        <v xml:space="preserve"> </v>
      </c>
      <c r="K389" s="443" t="str">
        <f>IFERROR(VLOOKUP(C389,'נתוני רישום ומצבת'!B:I,8,0),"")</f>
        <v/>
      </c>
      <c r="L389" s="284">
        <f t="shared" si="20"/>
        <v>0</v>
      </c>
      <c r="M389" s="283" t="str">
        <f t="shared" si="18"/>
        <v>-</v>
      </c>
    </row>
    <row r="390" spans="2:13" x14ac:dyDescent="0.25">
      <c r="B390" s="280">
        <v>370</v>
      </c>
      <c r="C390" s="549" t="str" cm="1">
        <f t="array" ref="C390">IFERROR(
   INDEX('נתוני רישום ומצבת'!$B:$B,
      SMALL(
         IF(('נתוני רישום ומצבת'!A$2:A$2998='נתונים כלליים (1)'!$C$5),
         ROW('נתוני רישום ומצבת'!A$2:A$2998)),
      ROW(A370))
   ),
"")</f>
        <v/>
      </c>
      <c r="D390" s="549" t="str">
        <f>IF(C390="", "",
   IFERROR(
      IF(VLOOKUP(C390, 'נתוני רישום ומצבת'!B:J, 9, FALSE) = $F$4,
         VLOOKUP(C390, 'נתוני רישום ומצבת'!B:J, 3, FALSE),
         "המוסד לא קיים ברשות"),
   "המוסד לא קיים"))</f>
        <v/>
      </c>
      <c r="E390" s="176" t="str">
        <f>IFERROR(VLOOKUP(C390,'נתוני רישום ומצבת'!B:G,6,0),"")</f>
        <v/>
      </c>
      <c r="F390" s="281" t="str">
        <f>IFERROR(VLOOKUP(C390,'נתוני רישום ומצבת'!B:K,10,0)," ")</f>
        <v xml:space="preserve"> </v>
      </c>
      <c r="G390" s="443" t="str">
        <f>IFERROR(VLOOKUP(C390,'נתוני רישום ומצבת'!B:E,4,0)," ")</f>
        <v xml:space="preserve"> </v>
      </c>
      <c r="H390" s="444" t="str">
        <f>IFERROR(VLOOKUP(C390,'נתוני רישום ומצבת'!B:K,7,0),"")</f>
        <v/>
      </c>
      <c r="I390" s="180" t="str">
        <f t="shared" si="19"/>
        <v/>
      </c>
      <c r="J390" s="443" t="str">
        <f>IFERROR(VLOOKUP(C390,'נתוני רישום ומצבת'!B:I,5,0)," ")</f>
        <v xml:space="preserve"> </v>
      </c>
      <c r="K390" s="443" t="str">
        <f>IFERROR(VLOOKUP(C390,'נתוני רישום ומצבת'!B:I,8,0),"")</f>
        <v/>
      </c>
      <c r="L390" s="284">
        <f t="shared" si="20"/>
        <v>0</v>
      </c>
      <c r="M390" s="283" t="str">
        <f t="shared" si="18"/>
        <v>-</v>
      </c>
    </row>
    <row r="391" spans="2:13" x14ac:dyDescent="0.25">
      <c r="B391" s="280">
        <v>371</v>
      </c>
      <c r="C391" s="549" t="str" cm="1">
        <f t="array" ref="C391">IFERROR(
   INDEX('נתוני רישום ומצבת'!$B:$B,
      SMALL(
         IF(('נתוני רישום ומצבת'!A$2:A$2998='נתונים כלליים (1)'!$C$5),
         ROW('נתוני רישום ומצבת'!A$2:A$2998)),
      ROW(A371))
   ),
"")</f>
        <v/>
      </c>
      <c r="D391" s="549" t="str">
        <f>IF(C391="", "",
   IFERROR(
      IF(VLOOKUP(C391, 'נתוני רישום ומצבת'!B:J, 9, FALSE) = $F$4,
         VLOOKUP(C391, 'נתוני רישום ומצבת'!B:J, 3, FALSE),
         "המוסד לא קיים ברשות"),
   "המוסד לא קיים"))</f>
        <v/>
      </c>
      <c r="E391" s="176" t="str">
        <f>IFERROR(VLOOKUP(C391,'נתוני רישום ומצבת'!B:G,6,0),"")</f>
        <v/>
      </c>
      <c r="F391" s="281" t="str">
        <f>IFERROR(VLOOKUP(C391,'נתוני רישום ומצבת'!B:K,10,0)," ")</f>
        <v xml:space="preserve"> </v>
      </c>
      <c r="G391" s="443" t="str">
        <f>IFERROR(VLOOKUP(C391,'נתוני רישום ומצבת'!B:E,4,0)," ")</f>
        <v xml:space="preserve"> </v>
      </c>
      <c r="H391" s="444" t="str">
        <f>IFERROR(VLOOKUP(C391,'נתוני רישום ומצבת'!B:K,7,0),"")</f>
        <v/>
      </c>
      <c r="I391" s="180" t="str">
        <f t="shared" si="19"/>
        <v/>
      </c>
      <c r="J391" s="443" t="str">
        <f>IFERROR(VLOOKUP(C391,'נתוני רישום ומצבת'!B:I,5,0)," ")</f>
        <v xml:space="preserve"> </v>
      </c>
      <c r="K391" s="443" t="str">
        <f>IFERROR(VLOOKUP(C391,'נתוני רישום ומצבת'!B:I,8,0),"")</f>
        <v/>
      </c>
      <c r="L391" s="284">
        <f t="shared" si="20"/>
        <v>0</v>
      </c>
      <c r="M391" s="283" t="str">
        <f t="shared" si="18"/>
        <v>-</v>
      </c>
    </row>
    <row r="392" spans="2:13" x14ac:dyDescent="0.25">
      <c r="B392" s="280">
        <v>372</v>
      </c>
      <c r="C392" s="549" t="str" cm="1">
        <f t="array" ref="C392">IFERROR(
   INDEX('נתוני רישום ומצבת'!$B:$B,
      SMALL(
         IF(('נתוני רישום ומצבת'!A$2:A$2998='נתונים כלליים (1)'!$C$5),
         ROW('נתוני רישום ומצבת'!A$2:A$2998)),
      ROW(A372))
   ),
"")</f>
        <v/>
      </c>
      <c r="D392" s="549" t="str">
        <f>IF(C392="", "",
   IFERROR(
      IF(VLOOKUP(C392, 'נתוני רישום ומצבת'!B:J, 9, FALSE) = $F$4,
         VLOOKUP(C392, 'נתוני רישום ומצבת'!B:J, 3, FALSE),
         "המוסד לא קיים ברשות"),
   "המוסד לא קיים"))</f>
        <v/>
      </c>
      <c r="E392" s="176" t="str">
        <f>IFERROR(VLOOKUP(C392,'נתוני רישום ומצבת'!B:G,6,0),"")</f>
        <v/>
      </c>
      <c r="F392" s="281" t="str">
        <f>IFERROR(VLOOKUP(C392,'נתוני רישום ומצבת'!B:K,10,0)," ")</f>
        <v xml:space="preserve"> </v>
      </c>
      <c r="G392" s="443" t="str">
        <f>IFERROR(VLOOKUP(C392,'נתוני רישום ומצבת'!B:E,4,0)," ")</f>
        <v xml:space="preserve"> </v>
      </c>
      <c r="H392" s="444" t="str">
        <f>IFERROR(VLOOKUP(C392,'נתוני רישום ומצבת'!B:K,7,0),"")</f>
        <v/>
      </c>
      <c r="I392" s="180" t="str">
        <f t="shared" si="19"/>
        <v/>
      </c>
      <c r="J392" s="443" t="str">
        <f>IFERROR(VLOOKUP(C392,'נתוני רישום ומצבת'!B:I,5,0)," ")</f>
        <v xml:space="preserve"> </v>
      </c>
      <c r="K392" s="443" t="str">
        <f>IFERROR(VLOOKUP(C392,'נתוני רישום ומצבת'!B:I,8,0),"")</f>
        <v/>
      </c>
      <c r="L392" s="284">
        <f t="shared" si="20"/>
        <v>0</v>
      </c>
      <c r="M392" s="283" t="str">
        <f t="shared" si="18"/>
        <v>-</v>
      </c>
    </row>
    <row r="393" spans="2:13" x14ac:dyDescent="0.25">
      <c r="B393" s="280">
        <v>373</v>
      </c>
      <c r="C393" s="549" t="str" cm="1">
        <f t="array" ref="C393">IFERROR(
   INDEX('נתוני רישום ומצבת'!$B:$B,
      SMALL(
         IF(('נתוני רישום ומצבת'!A$2:A$2998='נתונים כלליים (1)'!$C$5),
         ROW('נתוני רישום ומצבת'!A$2:A$2998)),
      ROW(A373))
   ),
"")</f>
        <v/>
      </c>
      <c r="D393" s="549" t="str">
        <f>IF(C393="", "",
   IFERROR(
      IF(VLOOKUP(C393, 'נתוני רישום ומצבת'!B:J, 9, FALSE) = $F$4,
         VLOOKUP(C393, 'נתוני רישום ומצבת'!B:J, 3, FALSE),
         "המוסד לא קיים ברשות"),
   "המוסד לא קיים"))</f>
        <v/>
      </c>
      <c r="E393" s="176" t="str">
        <f>IFERROR(VLOOKUP(C393,'נתוני רישום ומצבת'!B:G,6,0),"")</f>
        <v/>
      </c>
      <c r="F393" s="281" t="str">
        <f>IFERROR(VLOOKUP(C393,'נתוני רישום ומצבת'!B:K,10,0)," ")</f>
        <v xml:space="preserve"> </v>
      </c>
      <c r="G393" s="443" t="str">
        <f>IFERROR(VLOOKUP(C393,'נתוני רישום ומצבת'!B:E,4,0)," ")</f>
        <v xml:space="preserve"> </v>
      </c>
      <c r="H393" s="444" t="str">
        <f>IFERROR(VLOOKUP(C393,'נתוני רישום ומצבת'!B:K,7,0),"")</f>
        <v/>
      </c>
      <c r="I393" s="180" t="str">
        <f t="shared" si="19"/>
        <v/>
      </c>
      <c r="J393" s="443" t="str">
        <f>IFERROR(VLOOKUP(C393,'נתוני רישום ומצבת'!B:I,5,0)," ")</f>
        <v xml:space="preserve"> </v>
      </c>
      <c r="K393" s="443" t="str">
        <f>IFERROR(VLOOKUP(C393,'נתוני רישום ומצבת'!B:I,8,0),"")</f>
        <v/>
      </c>
      <c r="L393" s="284">
        <f t="shared" si="20"/>
        <v>0</v>
      </c>
      <c r="M393" s="283" t="str">
        <f t="shared" si="18"/>
        <v>-</v>
      </c>
    </row>
    <row r="394" spans="2:13" x14ac:dyDescent="0.25">
      <c r="B394" s="280">
        <v>374</v>
      </c>
      <c r="C394" s="549" t="str" cm="1">
        <f t="array" ref="C394">IFERROR(
   INDEX('נתוני רישום ומצבת'!$B:$B,
      SMALL(
         IF(('נתוני רישום ומצבת'!A$2:A$2998='נתונים כלליים (1)'!$C$5),
         ROW('נתוני רישום ומצבת'!A$2:A$2998)),
      ROW(A374))
   ),
"")</f>
        <v/>
      </c>
      <c r="D394" s="549" t="str">
        <f>IF(C394="", "",
   IFERROR(
      IF(VLOOKUP(C394, 'נתוני רישום ומצבת'!B:J, 9, FALSE) = $F$4,
         VLOOKUP(C394, 'נתוני רישום ומצבת'!B:J, 3, FALSE),
         "המוסד לא קיים ברשות"),
   "המוסד לא קיים"))</f>
        <v/>
      </c>
      <c r="E394" s="176" t="str">
        <f>IFERROR(VLOOKUP(C394,'נתוני רישום ומצבת'!B:G,6,0),"")</f>
        <v/>
      </c>
      <c r="F394" s="281" t="str">
        <f>IFERROR(VLOOKUP(C394,'נתוני רישום ומצבת'!B:K,10,0)," ")</f>
        <v xml:space="preserve"> </v>
      </c>
      <c r="G394" s="443" t="str">
        <f>IFERROR(VLOOKUP(C394,'נתוני רישום ומצבת'!B:E,4,0)," ")</f>
        <v xml:space="preserve"> </v>
      </c>
      <c r="H394" s="444" t="str">
        <f>IFERROR(VLOOKUP(C394,'נתוני רישום ומצבת'!B:K,7,0),"")</f>
        <v/>
      </c>
      <c r="I394" s="180" t="str">
        <f t="shared" si="19"/>
        <v/>
      </c>
      <c r="J394" s="443" t="str">
        <f>IFERROR(VLOOKUP(C394,'נתוני רישום ומצבת'!B:I,5,0)," ")</f>
        <v xml:space="preserve"> </v>
      </c>
      <c r="K394" s="443" t="str">
        <f>IFERROR(VLOOKUP(C394,'נתוני רישום ומצבת'!B:I,8,0),"")</f>
        <v/>
      </c>
      <c r="L394" s="284">
        <f t="shared" si="20"/>
        <v>0</v>
      </c>
      <c r="M394" s="283" t="str">
        <f t="shared" si="18"/>
        <v>-</v>
      </c>
    </row>
    <row r="395" spans="2:13" x14ac:dyDescent="0.25">
      <c r="B395" s="280">
        <v>375</v>
      </c>
      <c r="C395" s="549" t="str" cm="1">
        <f t="array" ref="C395">IFERROR(
   INDEX('נתוני רישום ומצבת'!$B:$B,
      SMALL(
         IF(('נתוני רישום ומצבת'!A$2:A$2998='נתונים כלליים (1)'!$C$5),
         ROW('נתוני רישום ומצבת'!A$2:A$2998)),
      ROW(A375))
   ),
"")</f>
        <v/>
      </c>
      <c r="D395" s="549" t="str">
        <f>IF(C395="", "",
   IFERROR(
      IF(VLOOKUP(C395, 'נתוני רישום ומצבת'!B:J, 9, FALSE) = $F$4,
         VLOOKUP(C395, 'נתוני רישום ומצבת'!B:J, 3, FALSE),
         "המוסד לא קיים ברשות"),
   "המוסד לא קיים"))</f>
        <v/>
      </c>
      <c r="E395" s="176" t="str">
        <f>IFERROR(VLOOKUP(C395,'נתוני רישום ומצבת'!B:G,6,0),"")</f>
        <v/>
      </c>
      <c r="F395" s="281" t="str">
        <f>IFERROR(VLOOKUP(C395,'נתוני רישום ומצבת'!B:K,10,0)," ")</f>
        <v xml:space="preserve"> </v>
      </c>
      <c r="G395" s="443" t="str">
        <f>IFERROR(VLOOKUP(C395,'נתוני רישום ומצבת'!B:E,4,0)," ")</f>
        <v xml:space="preserve"> </v>
      </c>
      <c r="H395" s="444" t="str">
        <f>IFERROR(VLOOKUP(C395,'נתוני רישום ומצבת'!B:K,7,0),"")</f>
        <v/>
      </c>
      <c r="I395" s="180" t="str">
        <f t="shared" si="19"/>
        <v/>
      </c>
      <c r="J395" s="443" t="str">
        <f>IFERROR(VLOOKUP(C395,'נתוני רישום ומצבת'!B:I,5,0)," ")</f>
        <v xml:space="preserve"> </v>
      </c>
      <c r="K395" s="443" t="str">
        <f>IFERROR(VLOOKUP(C395,'נתוני רישום ומצבת'!B:I,8,0),"")</f>
        <v/>
      </c>
      <c r="L395" s="284">
        <f t="shared" si="20"/>
        <v>0</v>
      </c>
      <c r="M395" s="283" t="str">
        <f t="shared" si="18"/>
        <v>-</v>
      </c>
    </row>
    <row r="396" spans="2:13" x14ac:dyDescent="0.25">
      <c r="B396" s="280">
        <v>376</v>
      </c>
      <c r="C396" s="549" t="str" cm="1">
        <f t="array" ref="C396">IFERROR(
   INDEX('נתוני רישום ומצבת'!$B:$B,
      SMALL(
         IF(('נתוני רישום ומצבת'!A$2:A$2998='נתונים כלליים (1)'!$C$5),
         ROW('נתוני רישום ומצבת'!A$2:A$2998)),
      ROW(A376))
   ),
"")</f>
        <v/>
      </c>
      <c r="D396" s="549" t="str">
        <f>IF(C396="", "",
   IFERROR(
      IF(VLOOKUP(C396, 'נתוני רישום ומצבת'!B:J, 9, FALSE) = $F$4,
         VLOOKUP(C396, 'נתוני רישום ומצבת'!B:J, 3, FALSE),
         "המוסד לא קיים ברשות"),
   "המוסד לא קיים"))</f>
        <v/>
      </c>
      <c r="E396" s="176" t="str">
        <f>IFERROR(VLOOKUP(C396,'נתוני רישום ומצבת'!B:G,6,0),"")</f>
        <v/>
      </c>
      <c r="F396" s="281" t="str">
        <f>IFERROR(VLOOKUP(C396,'נתוני רישום ומצבת'!B:K,10,0)," ")</f>
        <v xml:space="preserve"> </v>
      </c>
      <c r="G396" s="443" t="str">
        <f>IFERROR(VLOOKUP(C396,'נתוני רישום ומצבת'!B:E,4,0)," ")</f>
        <v xml:space="preserve"> </v>
      </c>
      <c r="H396" s="444" t="str">
        <f>IFERROR(VLOOKUP(C396,'נתוני רישום ומצבת'!B:K,7,0),"")</f>
        <v/>
      </c>
      <c r="I396" s="180" t="str">
        <f t="shared" si="19"/>
        <v/>
      </c>
      <c r="J396" s="443" t="str">
        <f>IFERROR(VLOOKUP(C396,'נתוני רישום ומצבת'!B:I,5,0)," ")</f>
        <v xml:space="preserve"> </v>
      </c>
      <c r="K396" s="443" t="str">
        <f>IFERROR(VLOOKUP(C396,'נתוני רישום ומצבת'!B:I,8,0),"")</f>
        <v/>
      </c>
      <c r="L396" s="284">
        <f t="shared" si="20"/>
        <v>0</v>
      </c>
      <c r="M396" s="283" t="str">
        <f t="shared" si="18"/>
        <v>-</v>
      </c>
    </row>
    <row r="397" spans="2:13" x14ac:dyDescent="0.25">
      <c r="B397" s="280">
        <v>377</v>
      </c>
      <c r="C397" s="549" t="str" cm="1">
        <f t="array" ref="C397">IFERROR(
   INDEX('נתוני רישום ומצבת'!$B:$B,
      SMALL(
         IF(('נתוני רישום ומצבת'!A$2:A$2998='נתונים כלליים (1)'!$C$5),
         ROW('נתוני רישום ומצבת'!A$2:A$2998)),
      ROW(A377))
   ),
"")</f>
        <v/>
      </c>
      <c r="D397" s="549" t="str">
        <f>IF(C397="", "",
   IFERROR(
      IF(VLOOKUP(C397, 'נתוני רישום ומצבת'!B:J, 9, FALSE) = $F$4,
         VLOOKUP(C397, 'נתוני רישום ומצבת'!B:J, 3, FALSE),
         "המוסד לא קיים ברשות"),
   "המוסד לא קיים"))</f>
        <v/>
      </c>
      <c r="E397" s="176" t="str">
        <f>IFERROR(VLOOKUP(C397,'נתוני רישום ומצבת'!B:G,6,0),"")</f>
        <v/>
      </c>
      <c r="F397" s="281" t="str">
        <f>IFERROR(VLOOKUP(C397,'נתוני רישום ומצבת'!B:K,10,0)," ")</f>
        <v xml:space="preserve"> </v>
      </c>
      <c r="G397" s="443" t="str">
        <f>IFERROR(VLOOKUP(C397,'נתוני רישום ומצבת'!B:E,4,0)," ")</f>
        <v xml:space="preserve"> </v>
      </c>
      <c r="H397" s="444" t="str">
        <f>IFERROR(VLOOKUP(C397,'נתוני רישום ומצבת'!B:K,7,0),"")</f>
        <v/>
      </c>
      <c r="I397" s="180" t="str">
        <f t="shared" si="19"/>
        <v/>
      </c>
      <c r="J397" s="443" t="str">
        <f>IFERROR(VLOOKUP(C397,'נתוני רישום ומצבת'!B:I,5,0)," ")</f>
        <v xml:space="preserve"> </v>
      </c>
      <c r="K397" s="443" t="str">
        <f>IFERROR(VLOOKUP(C397,'נתוני רישום ומצבת'!B:I,8,0),"")</f>
        <v/>
      </c>
      <c r="L397" s="284">
        <f t="shared" si="20"/>
        <v>0</v>
      </c>
      <c r="M397" s="283" t="str">
        <f t="shared" si="18"/>
        <v>-</v>
      </c>
    </row>
    <row r="398" spans="2:13" x14ac:dyDescent="0.25">
      <c r="B398" s="280">
        <v>378</v>
      </c>
      <c r="C398" s="549" t="str" cm="1">
        <f t="array" ref="C398">IFERROR(
   INDEX('נתוני רישום ומצבת'!$B:$B,
      SMALL(
         IF(('נתוני רישום ומצבת'!A$2:A$2998='נתונים כלליים (1)'!$C$5),
         ROW('נתוני רישום ומצבת'!A$2:A$2998)),
      ROW(A378))
   ),
"")</f>
        <v/>
      </c>
      <c r="D398" s="549" t="str">
        <f>IF(C398="", "",
   IFERROR(
      IF(VLOOKUP(C398, 'נתוני רישום ומצבת'!B:J, 9, FALSE) = $F$4,
         VLOOKUP(C398, 'נתוני רישום ומצבת'!B:J, 3, FALSE),
         "המוסד לא קיים ברשות"),
   "המוסד לא קיים"))</f>
        <v/>
      </c>
      <c r="E398" s="176" t="str">
        <f>IFERROR(VLOOKUP(C398,'נתוני רישום ומצבת'!B:G,6,0),"")</f>
        <v/>
      </c>
      <c r="F398" s="281" t="str">
        <f>IFERROR(VLOOKUP(C398,'נתוני רישום ומצבת'!B:K,10,0)," ")</f>
        <v xml:space="preserve"> </v>
      </c>
      <c r="G398" s="443" t="str">
        <f>IFERROR(VLOOKUP(C398,'נתוני רישום ומצבת'!B:E,4,0)," ")</f>
        <v xml:space="preserve"> </v>
      </c>
      <c r="H398" s="444" t="str">
        <f>IFERROR(VLOOKUP(C398,'נתוני רישום ומצבת'!B:K,7,0),"")</f>
        <v/>
      </c>
      <c r="I398" s="180" t="str">
        <f t="shared" si="19"/>
        <v/>
      </c>
      <c r="J398" s="443" t="str">
        <f>IFERROR(VLOOKUP(C398,'נתוני רישום ומצבת'!B:I,5,0)," ")</f>
        <v xml:space="preserve"> </v>
      </c>
      <c r="K398" s="443" t="str">
        <f>IFERROR(VLOOKUP(C398,'נתוני רישום ומצבת'!B:I,8,0),"")</f>
        <v/>
      </c>
      <c r="L398" s="284">
        <f t="shared" si="20"/>
        <v>0</v>
      </c>
      <c r="M398" s="283" t="str">
        <f t="shared" ref="M398:M461" si="21">IF(L398&gt;149,"כן","-")</f>
        <v>-</v>
      </c>
    </row>
    <row r="399" spans="2:13" x14ac:dyDescent="0.25">
      <c r="B399" s="280">
        <v>379</v>
      </c>
      <c r="C399" s="549" t="str" cm="1">
        <f t="array" ref="C399">IFERROR(
   INDEX('נתוני רישום ומצבת'!$B:$B,
      SMALL(
         IF(('נתוני רישום ומצבת'!A$2:A$2998='נתונים כלליים (1)'!$C$5),
         ROW('נתוני רישום ומצבת'!A$2:A$2998)),
      ROW(A379))
   ),
"")</f>
        <v/>
      </c>
      <c r="D399" s="549" t="str">
        <f>IF(C399="", "",
   IFERROR(
      IF(VLOOKUP(C399, 'נתוני רישום ומצבת'!B:J, 9, FALSE) = $F$4,
         VLOOKUP(C399, 'נתוני רישום ומצבת'!B:J, 3, FALSE),
         "המוסד לא קיים ברשות"),
   "המוסד לא קיים"))</f>
        <v/>
      </c>
      <c r="E399" s="176" t="str">
        <f>IFERROR(VLOOKUP(C399,'נתוני רישום ומצבת'!B:G,6,0),"")</f>
        <v/>
      </c>
      <c r="F399" s="281" t="str">
        <f>IFERROR(VLOOKUP(C399,'נתוני רישום ומצבת'!B:K,10,0)," ")</f>
        <v xml:space="preserve"> </v>
      </c>
      <c r="G399" s="443" t="str">
        <f>IFERROR(VLOOKUP(C399,'נתוני רישום ומצבת'!B:E,4,0)," ")</f>
        <v xml:space="preserve"> </v>
      </c>
      <c r="H399" s="444" t="str">
        <f>IFERROR(VLOOKUP(C399,'נתוני רישום ומצבת'!B:K,7,0),"")</f>
        <v/>
      </c>
      <c r="I399" s="180" t="str">
        <f t="shared" si="19"/>
        <v/>
      </c>
      <c r="J399" s="443" t="str">
        <f>IFERROR(VLOOKUP(C399,'נתוני רישום ומצבת'!B:I,5,0)," ")</f>
        <v xml:space="preserve"> </v>
      </c>
      <c r="K399" s="443" t="str">
        <f>IFERROR(VLOOKUP(C399,'נתוני רישום ומצבת'!B:I,8,0),"")</f>
        <v/>
      </c>
      <c r="L399" s="284">
        <f t="shared" si="20"/>
        <v>0</v>
      </c>
      <c r="M399" s="283" t="str">
        <f t="shared" si="21"/>
        <v>-</v>
      </c>
    </row>
    <row r="400" spans="2:13" x14ac:dyDescent="0.25">
      <c r="B400" s="280">
        <v>380</v>
      </c>
      <c r="C400" s="549" t="str" cm="1">
        <f t="array" ref="C400">IFERROR(
   INDEX('נתוני רישום ומצבת'!$B:$B,
      SMALL(
         IF(('נתוני רישום ומצבת'!A$2:A$2998='נתונים כלליים (1)'!$C$5),
         ROW('נתוני רישום ומצבת'!A$2:A$2998)),
      ROW(A380))
   ),
"")</f>
        <v/>
      </c>
      <c r="D400" s="549" t="str">
        <f>IF(C400="", "",
   IFERROR(
      IF(VLOOKUP(C400, 'נתוני רישום ומצבת'!B:J, 9, FALSE) = $F$4,
         VLOOKUP(C400, 'נתוני רישום ומצבת'!B:J, 3, FALSE),
         "המוסד לא קיים ברשות"),
   "המוסד לא קיים"))</f>
        <v/>
      </c>
      <c r="E400" s="176" t="str">
        <f>IFERROR(VLOOKUP(C400,'נתוני רישום ומצבת'!B:G,6,0),"")</f>
        <v/>
      </c>
      <c r="F400" s="281" t="str">
        <f>IFERROR(VLOOKUP(C400,'נתוני רישום ומצבת'!B:K,10,0)," ")</f>
        <v xml:space="preserve"> </v>
      </c>
      <c r="G400" s="443" t="str">
        <f>IFERROR(VLOOKUP(C400,'נתוני רישום ומצבת'!B:E,4,0)," ")</f>
        <v xml:space="preserve"> </v>
      </c>
      <c r="H400" s="444" t="str">
        <f>IFERROR(VLOOKUP(C400,'נתוני רישום ומצבת'!B:K,7,0),"")</f>
        <v/>
      </c>
      <c r="I400" s="180" t="str">
        <f t="shared" si="19"/>
        <v/>
      </c>
      <c r="J400" s="443" t="str">
        <f>IFERROR(VLOOKUP(C400,'נתוני רישום ומצבת'!B:I,5,0)," ")</f>
        <v xml:space="preserve"> </v>
      </c>
      <c r="K400" s="443" t="str">
        <f>IFERROR(VLOOKUP(C400,'נתוני רישום ומצבת'!B:I,8,0),"")</f>
        <v/>
      </c>
      <c r="L400" s="284">
        <f t="shared" si="20"/>
        <v>0</v>
      </c>
      <c r="M400" s="283" t="str">
        <f t="shared" si="21"/>
        <v>-</v>
      </c>
    </row>
    <row r="401" spans="2:13" x14ac:dyDescent="0.25">
      <c r="B401" s="280">
        <v>381</v>
      </c>
      <c r="C401" s="549" t="str" cm="1">
        <f t="array" ref="C401">IFERROR(
   INDEX('נתוני רישום ומצבת'!$B:$B,
      SMALL(
         IF(('נתוני רישום ומצבת'!A$2:A$2998='נתונים כלליים (1)'!$C$5),
         ROW('נתוני רישום ומצבת'!A$2:A$2998)),
      ROW(A381))
   ),
"")</f>
        <v/>
      </c>
      <c r="D401" s="549" t="str">
        <f>IF(C401="", "",
   IFERROR(
      IF(VLOOKUP(C401, 'נתוני רישום ומצבת'!B:J, 9, FALSE) = $F$4,
         VLOOKUP(C401, 'נתוני רישום ומצבת'!B:J, 3, FALSE),
         "המוסד לא קיים ברשות"),
   "המוסד לא קיים"))</f>
        <v/>
      </c>
      <c r="E401" s="176" t="str">
        <f>IFERROR(VLOOKUP(C401,'נתוני רישום ומצבת'!B:G,6,0),"")</f>
        <v/>
      </c>
      <c r="F401" s="281" t="str">
        <f>IFERROR(VLOOKUP(C401,'נתוני רישום ומצבת'!B:K,10,0)," ")</f>
        <v xml:space="preserve"> </v>
      </c>
      <c r="G401" s="443" t="str">
        <f>IFERROR(VLOOKUP(C401,'נתוני רישום ומצבת'!B:E,4,0)," ")</f>
        <v xml:space="preserve"> </v>
      </c>
      <c r="H401" s="444" t="str">
        <f>IFERROR(VLOOKUP(C401,'נתוני רישום ומצבת'!B:K,7,0),"")</f>
        <v/>
      </c>
      <c r="I401" s="180" t="str">
        <f t="shared" si="19"/>
        <v/>
      </c>
      <c r="J401" s="443" t="str">
        <f>IFERROR(VLOOKUP(C401,'נתוני רישום ומצבת'!B:I,5,0)," ")</f>
        <v xml:space="preserve"> </v>
      </c>
      <c r="K401" s="443" t="str">
        <f>IFERROR(VLOOKUP(C401,'נתוני רישום ומצבת'!B:I,8,0),"")</f>
        <v/>
      </c>
      <c r="L401" s="284">
        <f t="shared" si="20"/>
        <v>0</v>
      </c>
      <c r="M401" s="283" t="str">
        <f t="shared" si="21"/>
        <v>-</v>
      </c>
    </row>
    <row r="402" spans="2:13" x14ac:dyDescent="0.25">
      <c r="B402" s="280">
        <v>382</v>
      </c>
      <c r="C402" s="549" t="str" cm="1">
        <f t="array" ref="C402">IFERROR(
   INDEX('נתוני רישום ומצבת'!$B:$B,
      SMALL(
         IF(('נתוני רישום ומצבת'!A$2:A$2998='נתונים כלליים (1)'!$C$5),
         ROW('נתוני רישום ומצבת'!A$2:A$2998)),
      ROW(A382))
   ),
"")</f>
        <v/>
      </c>
      <c r="D402" s="549" t="str">
        <f>IF(C402="", "",
   IFERROR(
      IF(VLOOKUP(C402, 'נתוני רישום ומצבת'!B:J, 9, FALSE) = $F$4,
         VLOOKUP(C402, 'נתוני רישום ומצבת'!B:J, 3, FALSE),
         "המוסד לא קיים ברשות"),
   "המוסד לא קיים"))</f>
        <v/>
      </c>
      <c r="E402" s="176" t="str">
        <f>IFERROR(VLOOKUP(C402,'נתוני רישום ומצבת'!B:G,6,0),"")</f>
        <v/>
      </c>
      <c r="F402" s="281" t="str">
        <f>IFERROR(VLOOKUP(C402,'נתוני רישום ומצבת'!B:K,10,0)," ")</f>
        <v xml:space="preserve"> </v>
      </c>
      <c r="G402" s="443" t="str">
        <f>IFERROR(VLOOKUP(C402,'נתוני רישום ומצבת'!B:E,4,0)," ")</f>
        <v xml:space="preserve"> </v>
      </c>
      <c r="H402" s="444" t="str">
        <f>IFERROR(VLOOKUP(C402,'נתוני רישום ומצבת'!B:K,7,0),"")</f>
        <v/>
      </c>
      <c r="I402" s="180" t="str">
        <f t="shared" si="19"/>
        <v/>
      </c>
      <c r="J402" s="443" t="str">
        <f>IFERROR(VLOOKUP(C402,'נתוני רישום ומצבת'!B:I,5,0)," ")</f>
        <v xml:space="preserve"> </v>
      </c>
      <c r="K402" s="443" t="str">
        <f>IFERROR(VLOOKUP(C402,'נתוני רישום ומצבת'!B:I,8,0),"")</f>
        <v/>
      </c>
      <c r="L402" s="284">
        <f t="shared" si="20"/>
        <v>0</v>
      </c>
      <c r="M402" s="283" t="str">
        <f t="shared" si="21"/>
        <v>-</v>
      </c>
    </row>
    <row r="403" spans="2:13" x14ac:dyDescent="0.25">
      <c r="B403" s="280">
        <v>383</v>
      </c>
      <c r="C403" s="549" t="str" cm="1">
        <f t="array" ref="C403">IFERROR(
   INDEX('נתוני רישום ומצבת'!$B:$B,
      SMALL(
         IF(('נתוני רישום ומצבת'!A$2:A$2998='נתונים כלליים (1)'!$C$5),
         ROW('נתוני רישום ומצבת'!A$2:A$2998)),
      ROW(A383))
   ),
"")</f>
        <v/>
      </c>
      <c r="D403" s="549" t="str">
        <f>IF(C403="", "",
   IFERROR(
      IF(VLOOKUP(C403, 'נתוני רישום ומצבת'!B:J, 9, FALSE) = $F$4,
         VLOOKUP(C403, 'נתוני רישום ומצבת'!B:J, 3, FALSE),
         "המוסד לא קיים ברשות"),
   "המוסד לא קיים"))</f>
        <v/>
      </c>
      <c r="E403" s="176" t="str">
        <f>IFERROR(VLOOKUP(C403,'נתוני רישום ומצבת'!B:G,6,0),"")</f>
        <v/>
      </c>
      <c r="F403" s="281" t="str">
        <f>IFERROR(VLOOKUP(C403,'נתוני רישום ומצבת'!B:K,10,0)," ")</f>
        <v xml:space="preserve"> </v>
      </c>
      <c r="G403" s="443" t="str">
        <f>IFERROR(VLOOKUP(C403,'נתוני רישום ומצבת'!B:E,4,0)," ")</f>
        <v xml:space="preserve"> </v>
      </c>
      <c r="H403" s="444" t="str">
        <f>IFERROR(VLOOKUP(C403,'נתוני רישום ומצבת'!B:K,7,0),"")</f>
        <v/>
      </c>
      <c r="I403" s="180" t="str">
        <f t="shared" si="19"/>
        <v/>
      </c>
      <c r="J403" s="443" t="str">
        <f>IFERROR(VLOOKUP(C403,'נתוני רישום ומצבת'!B:I,5,0)," ")</f>
        <v xml:space="preserve"> </v>
      </c>
      <c r="K403" s="443" t="str">
        <f>IFERROR(VLOOKUP(C403,'נתוני רישום ומצבת'!B:I,8,0),"")</f>
        <v/>
      </c>
      <c r="L403" s="284">
        <f t="shared" si="20"/>
        <v>0</v>
      </c>
      <c r="M403" s="283" t="str">
        <f t="shared" si="21"/>
        <v>-</v>
      </c>
    </row>
    <row r="404" spans="2:13" x14ac:dyDescent="0.25">
      <c r="B404" s="280">
        <v>384</v>
      </c>
      <c r="C404" s="549" t="str" cm="1">
        <f t="array" ref="C404">IFERROR(
   INDEX('נתוני רישום ומצבת'!$B:$B,
      SMALL(
         IF(('נתוני רישום ומצבת'!A$2:A$2998='נתונים כלליים (1)'!$C$5),
         ROW('נתוני רישום ומצבת'!A$2:A$2998)),
      ROW(A384))
   ),
"")</f>
        <v/>
      </c>
      <c r="D404" s="549" t="str">
        <f>IF(C404="", "",
   IFERROR(
      IF(VLOOKUP(C404, 'נתוני רישום ומצבת'!B:J, 9, FALSE) = $F$4,
         VLOOKUP(C404, 'נתוני רישום ומצבת'!B:J, 3, FALSE),
         "המוסד לא קיים ברשות"),
   "המוסד לא קיים"))</f>
        <v/>
      </c>
      <c r="E404" s="176" t="str">
        <f>IFERROR(VLOOKUP(C404,'נתוני רישום ומצבת'!B:G,6,0),"")</f>
        <v/>
      </c>
      <c r="F404" s="281" t="str">
        <f>IFERROR(VLOOKUP(C404,'נתוני רישום ומצבת'!B:K,10,0)," ")</f>
        <v xml:space="preserve"> </v>
      </c>
      <c r="G404" s="443" t="str">
        <f>IFERROR(VLOOKUP(C404,'נתוני רישום ומצבת'!B:E,4,0)," ")</f>
        <v xml:space="preserve"> </v>
      </c>
      <c r="H404" s="444" t="str">
        <f>IFERROR(VLOOKUP(C404,'נתוני רישום ומצבת'!B:K,7,0),"")</f>
        <v/>
      </c>
      <c r="I404" s="180" t="str">
        <f t="shared" si="19"/>
        <v/>
      </c>
      <c r="J404" s="443" t="str">
        <f>IFERROR(VLOOKUP(C404,'נתוני רישום ומצבת'!B:I,5,0)," ")</f>
        <v xml:space="preserve"> </v>
      </c>
      <c r="K404" s="443" t="str">
        <f>IFERROR(VLOOKUP(C404,'נתוני רישום ומצבת'!B:I,8,0),"")</f>
        <v/>
      </c>
      <c r="L404" s="284">
        <f t="shared" si="20"/>
        <v>0</v>
      </c>
      <c r="M404" s="283" t="str">
        <f t="shared" si="21"/>
        <v>-</v>
      </c>
    </row>
    <row r="405" spans="2:13" x14ac:dyDescent="0.25">
      <c r="B405" s="280">
        <v>385</v>
      </c>
      <c r="C405" s="549" t="str" cm="1">
        <f t="array" ref="C405">IFERROR(
   INDEX('נתוני רישום ומצבת'!$B:$B,
      SMALL(
         IF(('נתוני רישום ומצבת'!A$2:A$2998='נתונים כלליים (1)'!$C$5),
         ROW('נתוני רישום ומצבת'!A$2:A$2998)),
      ROW(A385))
   ),
"")</f>
        <v/>
      </c>
      <c r="D405" s="549" t="str">
        <f>IF(C405="", "",
   IFERROR(
      IF(VLOOKUP(C405, 'נתוני רישום ומצבת'!B:J, 9, FALSE) = $F$4,
         VLOOKUP(C405, 'נתוני רישום ומצבת'!B:J, 3, FALSE),
         "המוסד לא קיים ברשות"),
   "המוסד לא קיים"))</f>
        <v/>
      </c>
      <c r="E405" s="176" t="str">
        <f>IFERROR(VLOOKUP(C405,'נתוני רישום ומצבת'!B:G,6,0),"")</f>
        <v/>
      </c>
      <c r="F405" s="281" t="str">
        <f>IFERROR(VLOOKUP(C405,'נתוני רישום ומצבת'!B:K,10,0)," ")</f>
        <v xml:space="preserve"> </v>
      </c>
      <c r="G405" s="443" t="str">
        <f>IFERROR(VLOOKUP(C405,'נתוני רישום ומצבת'!B:E,4,0)," ")</f>
        <v xml:space="preserve"> </v>
      </c>
      <c r="H405" s="444" t="str">
        <f>IFERROR(VLOOKUP(C405,'נתוני רישום ומצבת'!B:K,7,0),"")</f>
        <v/>
      </c>
      <c r="I405" s="180" t="str">
        <f t="shared" ref="I405:I468" si="22">IFERROR(H405+G405,"")</f>
        <v/>
      </c>
      <c r="J405" s="443" t="str">
        <f>IFERROR(VLOOKUP(C405,'נתוני רישום ומצבת'!B:I,5,0)," ")</f>
        <v xml:space="preserve"> </v>
      </c>
      <c r="K405" s="443" t="str">
        <f>IFERROR(VLOOKUP(C405,'נתוני רישום ומצבת'!B:I,8,0),"")</f>
        <v/>
      </c>
      <c r="L405" s="284">
        <f t="shared" si="20"/>
        <v>0</v>
      </c>
      <c r="M405" s="283" t="str">
        <f t="shared" si="21"/>
        <v>-</v>
      </c>
    </row>
    <row r="406" spans="2:13" x14ac:dyDescent="0.25">
      <c r="B406" s="280">
        <v>386</v>
      </c>
      <c r="C406" s="549" t="str" cm="1">
        <f t="array" ref="C406">IFERROR(
   INDEX('נתוני רישום ומצבת'!$B:$B,
      SMALL(
         IF(('נתוני רישום ומצבת'!A$2:A$2998='נתונים כלליים (1)'!$C$5),
         ROW('נתוני רישום ומצבת'!A$2:A$2998)),
      ROW(A386))
   ),
"")</f>
        <v/>
      </c>
      <c r="D406" s="549" t="str">
        <f>IF(C406="", "",
   IFERROR(
      IF(VLOOKUP(C406, 'נתוני רישום ומצבת'!B:J, 9, FALSE) = $F$4,
         VLOOKUP(C406, 'נתוני רישום ומצבת'!B:J, 3, FALSE),
         "המוסד לא קיים ברשות"),
   "המוסד לא קיים"))</f>
        <v/>
      </c>
      <c r="E406" s="176" t="str">
        <f>IFERROR(VLOOKUP(C406,'נתוני רישום ומצבת'!B:G,6,0),"")</f>
        <v/>
      </c>
      <c r="F406" s="281" t="str">
        <f>IFERROR(VLOOKUP(C406,'נתוני רישום ומצבת'!B:K,10,0)," ")</f>
        <v xml:space="preserve"> </v>
      </c>
      <c r="G406" s="443" t="str">
        <f>IFERROR(VLOOKUP(C406,'נתוני רישום ומצבת'!B:E,4,0)," ")</f>
        <v xml:space="preserve"> </v>
      </c>
      <c r="H406" s="444" t="str">
        <f>IFERROR(VLOOKUP(C406,'נתוני רישום ומצבת'!B:K,7,0),"")</f>
        <v/>
      </c>
      <c r="I406" s="180" t="str">
        <f t="shared" si="22"/>
        <v/>
      </c>
      <c r="J406" s="443" t="str">
        <f>IFERROR(VLOOKUP(C406,'נתוני רישום ומצבת'!B:I,5,0)," ")</f>
        <v xml:space="preserve"> </v>
      </c>
      <c r="K406" s="443" t="str">
        <f>IFERROR(VLOOKUP(C406,'נתוני רישום ומצבת'!B:I,8,0),"")</f>
        <v/>
      </c>
      <c r="L406" s="284">
        <f t="shared" ref="L406:L469" si="23">IFERROR(K406+J406,0)</f>
        <v>0</v>
      </c>
      <c r="M406" s="283" t="str">
        <f t="shared" si="21"/>
        <v>-</v>
      </c>
    </row>
    <row r="407" spans="2:13" x14ac:dyDescent="0.25">
      <c r="B407" s="280">
        <v>387</v>
      </c>
      <c r="C407" s="549" t="str" cm="1">
        <f t="array" ref="C407">IFERROR(
   INDEX('נתוני רישום ומצבת'!$B:$B,
      SMALL(
         IF(('נתוני רישום ומצבת'!A$2:A$2998='נתונים כלליים (1)'!$C$5),
         ROW('נתוני רישום ומצבת'!A$2:A$2998)),
      ROW(A387))
   ),
"")</f>
        <v/>
      </c>
      <c r="D407" s="549" t="str">
        <f>IF(C407="", "",
   IFERROR(
      IF(VLOOKUP(C407, 'נתוני רישום ומצבת'!B:J, 9, FALSE) = $F$4,
         VLOOKUP(C407, 'נתוני רישום ומצבת'!B:J, 3, FALSE),
         "המוסד לא קיים ברשות"),
   "המוסד לא קיים"))</f>
        <v/>
      </c>
      <c r="E407" s="176" t="str">
        <f>IFERROR(VLOOKUP(C407,'נתוני רישום ומצבת'!B:G,6,0),"")</f>
        <v/>
      </c>
      <c r="F407" s="281" t="str">
        <f>IFERROR(VLOOKUP(C407,'נתוני רישום ומצבת'!B:K,10,0)," ")</f>
        <v xml:space="preserve"> </v>
      </c>
      <c r="G407" s="443" t="str">
        <f>IFERROR(VLOOKUP(C407,'נתוני רישום ומצבת'!B:E,4,0)," ")</f>
        <v xml:space="preserve"> </v>
      </c>
      <c r="H407" s="444" t="str">
        <f>IFERROR(VLOOKUP(C407,'נתוני רישום ומצבת'!B:K,7,0),"")</f>
        <v/>
      </c>
      <c r="I407" s="180" t="str">
        <f t="shared" si="22"/>
        <v/>
      </c>
      <c r="J407" s="443" t="str">
        <f>IFERROR(VLOOKUP(C407,'נתוני רישום ומצבת'!B:I,5,0)," ")</f>
        <v xml:space="preserve"> </v>
      </c>
      <c r="K407" s="443" t="str">
        <f>IFERROR(VLOOKUP(C407,'נתוני רישום ומצבת'!B:I,8,0),"")</f>
        <v/>
      </c>
      <c r="L407" s="284">
        <f t="shared" si="23"/>
        <v>0</v>
      </c>
      <c r="M407" s="283" t="str">
        <f t="shared" si="21"/>
        <v>-</v>
      </c>
    </row>
    <row r="408" spans="2:13" x14ac:dyDescent="0.25">
      <c r="B408" s="280">
        <v>388</v>
      </c>
      <c r="C408" s="549" t="str" cm="1">
        <f t="array" ref="C408">IFERROR(
   INDEX('נתוני רישום ומצבת'!$B:$B,
      SMALL(
         IF(('נתוני רישום ומצבת'!A$2:A$2998='נתונים כלליים (1)'!$C$5),
         ROW('נתוני רישום ומצבת'!A$2:A$2998)),
      ROW(A388))
   ),
"")</f>
        <v/>
      </c>
      <c r="D408" s="549" t="str">
        <f>IF(C408="", "",
   IFERROR(
      IF(VLOOKUP(C408, 'נתוני רישום ומצבת'!B:J, 9, FALSE) = $F$4,
         VLOOKUP(C408, 'נתוני רישום ומצבת'!B:J, 3, FALSE),
         "המוסד לא קיים ברשות"),
   "המוסד לא קיים"))</f>
        <v/>
      </c>
      <c r="E408" s="176" t="str">
        <f>IFERROR(VLOOKUP(C408,'נתוני רישום ומצבת'!B:G,6,0),"")</f>
        <v/>
      </c>
      <c r="F408" s="281" t="str">
        <f>IFERROR(VLOOKUP(C408,'נתוני רישום ומצבת'!B:K,10,0)," ")</f>
        <v xml:space="preserve"> </v>
      </c>
      <c r="G408" s="443" t="str">
        <f>IFERROR(VLOOKUP(C408,'נתוני רישום ומצבת'!B:E,4,0)," ")</f>
        <v xml:space="preserve"> </v>
      </c>
      <c r="H408" s="444" t="str">
        <f>IFERROR(VLOOKUP(C408,'נתוני רישום ומצבת'!B:K,7,0),"")</f>
        <v/>
      </c>
      <c r="I408" s="180" t="str">
        <f t="shared" si="22"/>
        <v/>
      </c>
      <c r="J408" s="443" t="str">
        <f>IFERROR(VLOOKUP(C408,'נתוני רישום ומצבת'!B:I,5,0)," ")</f>
        <v xml:space="preserve"> </v>
      </c>
      <c r="K408" s="443" t="str">
        <f>IFERROR(VLOOKUP(C408,'נתוני רישום ומצבת'!B:I,8,0),"")</f>
        <v/>
      </c>
      <c r="L408" s="284">
        <f t="shared" si="23"/>
        <v>0</v>
      </c>
      <c r="M408" s="283" t="str">
        <f t="shared" si="21"/>
        <v>-</v>
      </c>
    </row>
    <row r="409" spans="2:13" x14ac:dyDescent="0.25">
      <c r="B409" s="280">
        <v>389</v>
      </c>
      <c r="C409" s="549" t="str" cm="1">
        <f t="array" ref="C409">IFERROR(
   INDEX('נתוני רישום ומצבת'!$B:$B,
      SMALL(
         IF(('נתוני רישום ומצבת'!A$2:A$2998='נתונים כלליים (1)'!$C$5),
         ROW('נתוני רישום ומצבת'!A$2:A$2998)),
      ROW(A389))
   ),
"")</f>
        <v/>
      </c>
      <c r="D409" s="549" t="str">
        <f>IF(C409="", "",
   IFERROR(
      IF(VLOOKUP(C409, 'נתוני רישום ומצבת'!B:J, 9, FALSE) = $F$4,
         VLOOKUP(C409, 'נתוני רישום ומצבת'!B:J, 3, FALSE),
         "המוסד לא קיים ברשות"),
   "המוסד לא קיים"))</f>
        <v/>
      </c>
      <c r="E409" s="176" t="str">
        <f>IFERROR(VLOOKUP(C409,'נתוני רישום ומצבת'!B:G,6,0),"")</f>
        <v/>
      </c>
      <c r="F409" s="281" t="str">
        <f>IFERROR(VLOOKUP(C409,'נתוני רישום ומצבת'!B:K,10,0)," ")</f>
        <v xml:space="preserve"> </v>
      </c>
      <c r="G409" s="443" t="str">
        <f>IFERROR(VLOOKUP(C409,'נתוני רישום ומצבת'!B:E,4,0)," ")</f>
        <v xml:space="preserve"> </v>
      </c>
      <c r="H409" s="444" t="str">
        <f>IFERROR(VLOOKUP(C409,'נתוני רישום ומצבת'!B:K,7,0),"")</f>
        <v/>
      </c>
      <c r="I409" s="180" t="str">
        <f t="shared" si="22"/>
        <v/>
      </c>
      <c r="J409" s="443" t="str">
        <f>IFERROR(VLOOKUP(C409,'נתוני רישום ומצבת'!B:I,5,0)," ")</f>
        <v xml:space="preserve"> </v>
      </c>
      <c r="K409" s="443" t="str">
        <f>IFERROR(VLOOKUP(C409,'נתוני רישום ומצבת'!B:I,8,0),"")</f>
        <v/>
      </c>
      <c r="L409" s="284">
        <f t="shared" si="23"/>
        <v>0</v>
      </c>
      <c r="M409" s="283" t="str">
        <f t="shared" si="21"/>
        <v>-</v>
      </c>
    </row>
    <row r="410" spans="2:13" x14ac:dyDescent="0.25">
      <c r="B410" s="280">
        <v>390</v>
      </c>
      <c r="C410" s="549" t="str" cm="1">
        <f t="array" ref="C410">IFERROR(
   INDEX('נתוני רישום ומצבת'!$B:$B,
      SMALL(
         IF(('נתוני רישום ומצבת'!A$2:A$2998='נתונים כלליים (1)'!$C$5),
         ROW('נתוני רישום ומצבת'!A$2:A$2998)),
      ROW(A390))
   ),
"")</f>
        <v/>
      </c>
      <c r="D410" s="549" t="str">
        <f>IF(C410="", "",
   IFERROR(
      IF(VLOOKUP(C410, 'נתוני רישום ומצבת'!B:J, 9, FALSE) = $F$4,
         VLOOKUP(C410, 'נתוני רישום ומצבת'!B:J, 3, FALSE),
         "המוסד לא קיים ברשות"),
   "המוסד לא קיים"))</f>
        <v/>
      </c>
      <c r="E410" s="176" t="str">
        <f>IFERROR(VLOOKUP(C410,'נתוני רישום ומצבת'!B:G,6,0),"")</f>
        <v/>
      </c>
      <c r="F410" s="281" t="str">
        <f>IFERROR(VLOOKUP(C410,'נתוני רישום ומצבת'!B:K,10,0)," ")</f>
        <v xml:space="preserve"> </v>
      </c>
      <c r="G410" s="443" t="str">
        <f>IFERROR(VLOOKUP(C410,'נתוני רישום ומצבת'!B:E,4,0)," ")</f>
        <v xml:space="preserve"> </v>
      </c>
      <c r="H410" s="444" t="str">
        <f>IFERROR(VLOOKUP(C410,'נתוני רישום ומצבת'!B:K,7,0),"")</f>
        <v/>
      </c>
      <c r="I410" s="180" t="str">
        <f t="shared" si="22"/>
        <v/>
      </c>
      <c r="J410" s="443" t="str">
        <f>IFERROR(VLOOKUP(C410,'נתוני רישום ומצבת'!B:I,5,0)," ")</f>
        <v xml:space="preserve"> </v>
      </c>
      <c r="K410" s="443" t="str">
        <f>IFERROR(VLOOKUP(C410,'נתוני רישום ומצבת'!B:I,8,0),"")</f>
        <v/>
      </c>
      <c r="L410" s="284">
        <f t="shared" si="23"/>
        <v>0</v>
      </c>
      <c r="M410" s="283" t="str">
        <f t="shared" si="21"/>
        <v>-</v>
      </c>
    </row>
    <row r="411" spans="2:13" x14ac:dyDescent="0.25">
      <c r="B411" s="280">
        <v>391</v>
      </c>
      <c r="C411" s="549" t="str" cm="1">
        <f t="array" ref="C411">IFERROR(
   INDEX('נתוני רישום ומצבת'!$B:$B,
      SMALL(
         IF(('נתוני רישום ומצבת'!A$2:A$2998='נתונים כלליים (1)'!$C$5),
         ROW('נתוני רישום ומצבת'!A$2:A$2998)),
      ROW(A391))
   ),
"")</f>
        <v/>
      </c>
      <c r="D411" s="549" t="str">
        <f>IF(C411="", "",
   IFERROR(
      IF(VLOOKUP(C411, 'נתוני רישום ומצבת'!B:J, 9, FALSE) = $F$4,
         VLOOKUP(C411, 'נתוני רישום ומצבת'!B:J, 3, FALSE),
         "המוסד לא קיים ברשות"),
   "המוסד לא קיים"))</f>
        <v/>
      </c>
      <c r="E411" s="176" t="str">
        <f>IFERROR(VLOOKUP(C411,'נתוני רישום ומצבת'!B:G,6,0),"")</f>
        <v/>
      </c>
      <c r="F411" s="281" t="str">
        <f>IFERROR(VLOOKUP(C411,'נתוני רישום ומצבת'!B:K,10,0)," ")</f>
        <v xml:space="preserve"> </v>
      </c>
      <c r="G411" s="443" t="str">
        <f>IFERROR(VLOOKUP(C411,'נתוני רישום ומצבת'!B:E,4,0)," ")</f>
        <v xml:space="preserve"> </v>
      </c>
      <c r="H411" s="444" t="str">
        <f>IFERROR(VLOOKUP(C411,'נתוני רישום ומצבת'!B:K,7,0),"")</f>
        <v/>
      </c>
      <c r="I411" s="180" t="str">
        <f t="shared" si="22"/>
        <v/>
      </c>
      <c r="J411" s="443" t="str">
        <f>IFERROR(VLOOKUP(C411,'נתוני רישום ומצבת'!B:I,5,0)," ")</f>
        <v xml:space="preserve"> </v>
      </c>
      <c r="K411" s="443" t="str">
        <f>IFERROR(VLOOKUP(C411,'נתוני רישום ומצבת'!B:I,8,0),"")</f>
        <v/>
      </c>
      <c r="L411" s="284">
        <f t="shared" si="23"/>
        <v>0</v>
      </c>
      <c r="M411" s="283" t="str">
        <f t="shared" si="21"/>
        <v>-</v>
      </c>
    </row>
    <row r="412" spans="2:13" x14ac:dyDescent="0.25">
      <c r="B412" s="280">
        <v>392</v>
      </c>
      <c r="C412" s="549" t="str" cm="1">
        <f t="array" ref="C412">IFERROR(
   INDEX('נתוני רישום ומצבת'!$B:$B,
      SMALL(
         IF(('נתוני רישום ומצבת'!A$2:A$2998='נתונים כלליים (1)'!$C$5),
         ROW('נתוני רישום ומצבת'!A$2:A$2998)),
      ROW(A392))
   ),
"")</f>
        <v/>
      </c>
      <c r="D412" s="549" t="str">
        <f>IF(C412="", "",
   IFERROR(
      IF(VLOOKUP(C412, 'נתוני רישום ומצבת'!B:J, 9, FALSE) = $F$4,
         VLOOKUP(C412, 'נתוני רישום ומצבת'!B:J, 3, FALSE),
         "המוסד לא קיים ברשות"),
   "המוסד לא קיים"))</f>
        <v/>
      </c>
      <c r="E412" s="176" t="str">
        <f>IFERROR(VLOOKUP(C412,'נתוני רישום ומצבת'!B:G,6,0),"")</f>
        <v/>
      </c>
      <c r="F412" s="281" t="str">
        <f>IFERROR(VLOOKUP(C412,'נתוני רישום ומצבת'!B:K,10,0)," ")</f>
        <v xml:space="preserve"> </v>
      </c>
      <c r="G412" s="443" t="str">
        <f>IFERROR(VLOOKUP(C412,'נתוני רישום ומצבת'!B:E,4,0)," ")</f>
        <v xml:space="preserve"> </v>
      </c>
      <c r="H412" s="444" t="str">
        <f>IFERROR(VLOOKUP(C412,'נתוני רישום ומצבת'!B:K,7,0),"")</f>
        <v/>
      </c>
      <c r="I412" s="180" t="str">
        <f t="shared" si="22"/>
        <v/>
      </c>
      <c r="J412" s="443" t="str">
        <f>IFERROR(VLOOKUP(C412,'נתוני רישום ומצבת'!B:I,5,0)," ")</f>
        <v xml:space="preserve"> </v>
      </c>
      <c r="K412" s="443" t="str">
        <f>IFERROR(VLOOKUP(C412,'נתוני רישום ומצבת'!B:I,8,0),"")</f>
        <v/>
      </c>
      <c r="L412" s="284">
        <f t="shared" si="23"/>
        <v>0</v>
      </c>
      <c r="M412" s="283" t="str">
        <f t="shared" si="21"/>
        <v>-</v>
      </c>
    </row>
    <row r="413" spans="2:13" x14ac:dyDescent="0.25">
      <c r="B413" s="280">
        <v>393</v>
      </c>
      <c r="C413" s="549" t="str" cm="1">
        <f t="array" ref="C413">IFERROR(
   INDEX('נתוני רישום ומצבת'!$B:$B,
      SMALL(
         IF(('נתוני רישום ומצבת'!A$2:A$2998='נתונים כלליים (1)'!$C$5),
         ROW('נתוני רישום ומצבת'!A$2:A$2998)),
      ROW(A393))
   ),
"")</f>
        <v/>
      </c>
      <c r="D413" s="549" t="str">
        <f>IF(C413="", "",
   IFERROR(
      IF(VLOOKUP(C413, 'נתוני רישום ומצבת'!B:J, 9, FALSE) = $F$4,
         VLOOKUP(C413, 'נתוני רישום ומצבת'!B:J, 3, FALSE),
         "המוסד לא קיים ברשות"),
   "המוסד לא קיים"))</f>
        <v/>
      </c>
      <c r="E413" s="176" t="str">
        <f>IFERROR(VLOOKUP(C413,'נתוני רישום ומצבת'!B:G,6,0),"")</f>
        <v/>
      </c>
      <c r="F413" s="281" t="str">
        <f>IFERROR(VLOOKUP(C413,'נתוני רישום ומצבת'!B:K,10,0)," ")</f>
        <v xml:space="preserve"> </v>
      </c>
      <c r="G413" s="443" t="str">
        <f>IFERROR(VLOOKUP(C413,'נתוני רישום ומצבת'!B:E,4,0)," ")</f>
        <v xml:space="preserve"> </v>
      </c>
      <c r="H413" s="444" t="str">
        <f>IFERROR(VLOOKUP(C413,'נתוני רישום ומצבת'!B:K,7,0),"")</f>
        <v/>
      </c>
      <c r="I413" s="180" t="str">
        <f t="shared" si="22"/>
        <v/>
      </c>
      <c r="J413" s="443" t="str">
        <f>IFERROR(VLOOKUP(C413,'נתוני רישום ומצבת'!B:I,5,0)," ")</f>
        <v xml:space="preserve"> </v>
      </c>
      <c r="K413" s="443" t="str">
        <f>IFERROR(VLOOKUP(C413,'נתוני רישום ומצבת'!B:I,8,0),"")</f>
        <v/>
      </c>
      <c r="L413" s="284">
        <f t="shared" si="23"/>
        <v>0</v>
      </c>
      <c r="M413" s="283" t="str">
        <f t="shared" si="21"/>
        <v>-</v>
      </c>
    </row>
    <row r="414" spans="2:13" x14ac:dyDescent="0.25">
      <c r="B414" s="280">
        <v>394</v>
      </c>
      <c r="C414" s="549" t="str" cm="1">
        <f t="array" ref="C414">IFERROR(
   INDEX('נתוני רישום ומצבת'!$B:$B,
      SMALL(
         IF(('נתוני רישום ומצבת'!A$2:A$2998='נתונים כלליים (1)'!$C$5),
         ROW('נתוני רישום ומצבת'!A$2:A$2998)),
      ROW(A394))
   ),
"")</f>
        <v/>
      </c>
      <c r="D414" s="549" t="str">
        <f>IF(C414="", "",
   IFERROR(
      IF(VLOOKUP(C414, 'נתוני רישום ומצבת'!B:J, 9, FALSE) = $F$4,
         VLOOKUP(C414, 'נתוני רישום ומצבת'!B:J, 3, FALSE),
         "המוסד לא קיים ברשות"),
   "המוסד לא קיים"))</f>
        <v/>
      </c>
      <c r="E414" s="176" t="str">
        <f>IFERROR(VLOOKUP(C414,'נתוני רישום ומצבת'!B:G,6,0),"")</f>
        <v/>
      </c>
      <c r="F414" s="281" t="str">
        <f>IFERROR(VLOOKUP(C414,'נתוני רישום ומצבת'!B:K,10,0)," ")</f>
        <v xml:space="preserve"> </v>
      </c>
      <c r="G414" s="443" t="str">
        <f>IFERROR(VLOOKUP(C414,'נתוני רישום ומצבת'!B:E,4,0)," ")</f>
        <v xml:space="preserve"> </v>
      </c>
      <c r="H414" s="444" t="str">
        <f>IFERROR(VLOOKUP(C414,'נתוני רישום ומצבת'!B:K,7,0),"")</f>
        <v/>
      </c>
      <c r="I414" s="180" t="str">
        <f t="shared" si="22"/>
        <v/>
      </c>
      <c r="J414" s="443" t="str">
        <f>IFERROR(VLOOKUP(C414,'נתוני רישום ומצבת'!B:I,5,0)," ")</f>
        <v xml:space="preserve"> </v>
      </c>
      <c r="K414" s="443" t="str">
        <f>IFERROR(VLOOKUP(C414,'נתוני רישום ומצבת'!B:I,8,0),"")</f>
        <v/>
      </c>
      <c r="L414" s="284">
        <f t="shared" si="23"/>
        <v>0</v>
      </c>
      <c r="M414" s="283" t="str">
        <f t="shared" si="21"/>
        <v>-</v>
      </c>
    </row>
    <row r="415" spans="2:13" x14ac:dyDescent="0.25">
      <c r="B415" s="280">
        <v>395</v>
      </c>
      <c r="C415" s="549" t="str" cm="1">
        <f t="array" ref="C415">IFERROR(
   INDEX('נתוני רישום ומצבת'!$B:$B,
      SMALL(
         IF(('נתוני רישום ומצבת'!A$2:A$2998='נתונים כלליים (1)'!$C$5),
         ROW('נתוני רישום ומצבת'!A$2:A$2998)),
      ROW(A395))
   ),
"")</f>
        <v/>
      </c>
      <c r="D415" s="549" t="str">
        <f>IF(C415="", "",
   IFERROR(
      IF(VLOOKUP(C415, 'נתוני רישום ומצבת'!B:J, 9, FALSE) = $F$4,
         VLOOKUP(C415, 'נתוני רישום ומצבת'!B:J, 3, FALSE),
         "המוסד לא קיים ברשות"),
   "המוסד לא קיים"))</f>
        <v/>
      </c>
      <c r="E415" s="176" t="str">
        <f>IFERROR(VLOOKUP(C415,'נתוני רישום ומצבת'!B:G,6,0),"")</f>
        <v/>
      </c>
      <c r="F415" s="281" t="str">
        <f>IFERROR(VLOOKUP(C415,'נתוני רישום ומצבת'!B:K,10,0)," ")</f>
        <v xml:space="preserve"> </v>
      </c>
      <c r="G415" s="443" t="str">
        <f>IFERROR(VLOOKUP(C415,'נתוני רישום ומצבת'!B:E,4,0)," ")</f>
        <v xml:space="preserve"> </v>
      </c>
      <c r="H415" s="444" t="str">
        <f>IFERROR(VLOOKUP(C415,'נתוני רישום ומצבת'!B:K,7,0),"")</f>
        <v/>
      </c>
      <c r="I415" s="180" t="str">
        <f t="shared" si="22"/>
        <v/>
      </c>
      <c r="J415" s="443" t="str">
        <f>IFERROR(VLOOKUP(C415,'נתוני רישום ומצבת'!B:I,5,0)," ")</f>
        <v xml:space="preserve"> </v>
      </c>
      <c r="K415" s="443" t="str">
        <f>IFERROR(VLOOKUP(C415,'נתוני רישום ומצבת'!B:I,8,0),"")</f>
        <v/>
      </c>
      <c r="L415" s="284">
        <f t="shared" si="23"/>
        <v>0</v>
      </c>
      <c r="M415" s="283" t="str">
        <f t="shared" si="21"/>
        <v>-</v>
      </c>
    </row>
    <row r="416" spans="2:13" x14ac:dyDescent="0.25">
      <c r="B416" s="280">
        <v>396</v>
      </c>
      <c r="C416" s="549" t="str" cm="1">
        <f t="array" ref="C416">IFERROR(
   INDEX('נתוני רישום ומצבת'!$B:$B,
      SMALL(
         IF(('נתוני רישום ומצבת'!A$2:A$2998='נתונים כלליים (1)'!$C$5),
         ROW('נתוני רישום ומצבת'!A$2:A$2998)),
      ROW(A396))
   ),
"")</f>
        <v/>
      </c>
      <c r="D416" s="549" t="str">
        <f>IF(C416="", "",
   IFERROR(
      IF(VLOOKUP(C416, 'נתוני רישום ומצבת'!B:J, 9, FALSE) = $F$4,
         VLOOKUP(C416, 'נתוני רישום ומצבת'!B:J, 3, FALSE),
         "המוסד לא קיים ברשות"),
   "המוסד לא קיים"))</f>
        <v/>
      </c>
      <c r="E416" s="176" t="str">
        <f>IFERROR(VLOOKUP(C416,'נתוני רישום ומצבת'!B:G,6,0),"")</f>
        <v/>
      </c>
      <c r="F416" s="281" t="str">
        <f>IFERROR(VLOOKUP(C416,'נתוני רישום ומצבת'!B:K,10,0)," ")</f>
        <v xml:space="preserve"> </v>
      </c>
      <c r="G416" s="443" t="str">
        <f>IFERROR(VLOOKUP(C416,'נתוני רישום ומצבת'!B:E,4,0)," ")</f>
        <v xml:space="preserve"> </v>
      </c>
      <c r="H416" s="444" t="str">
        <f>IFERROR(VLOOKUP(C416,'נתוני רישום ומצבת'!B:K,7,0),"")</f>
        <v/>
      </c>
      <c r="I416" s="180" t="str">
        <f t="shared" si="22"/>
        <v/>
      </c>
      <c r="J416" s="443" t="str">
        <f>IFERROR(VLOOKUP(C416,'נתוני רישום ומצבת'!B:I,5,0)," ")</f>
        <v xml:space="preserve"> </v>
      </c>
      <c r="K416" s="443" t="str">
        <f>IFERROR(VLOOKUP(C416,'נתוני רישום ומצבת'!B:I,8,0),"")</f>
        <v/>
      </c>
      <c r="L416" s="284">
        <f t="shared" si="23"/>
        <v>0</v>
      </c>
      <c r="M416" s="283" t="str">
        <f t="shared" si="21"/>
        <v>-</v>
      </c>
    </row>
    <row r="417" spans="2:13" x14ac:dyDescent="0.25">
      <c r="B417" s="280">
        <v>397</v>
      </c>
      <c r="C417" s="549" t="str" cm="1">
        <f t="array" ref="C417">IFERROR(
   INDEX('נתוני רישום ומצבת'!$B:$B,
      SMALL(
         IF(('נתוני רישום ומצבת'!A$2:A$2998='נתונים כלליים (1)'!$C$5),
         ROW('נתוני רישום ומצבת'!A$2:A$2998)),
      ROW(A397))
   ),
"")</f>
        <v/>
      </c>
      <c r="D417" s="549" t="str">
        <f>IF(C417="", "",
   IFERROR(
      IF(VLOOKUP(C417, 'נתוני רישום ומצבת'!B:J, 9, FALSE) = $F$4,
         VLOOKUP(C417, 'נתוני רישום ומצבת'!B:J, 3, FALSE),
         "המוסד לא קיים ברשות"),
   "המוסד לא קיים"))</f>
        <v/>
      </c>
      <c r="E417" s="176" t="str">
        <f>IFERROR(VLOOKUP(C417,'נתוני רישום ומצבת'!B:G,6,0),"")</f>
        <v/>
      </c>
      <c r="F417" s="281" t="str">
        <f>IFERROR(VLOOKUP(C417,'נתוני רישום ומצבת'!B:K,10,0)," ")</f>
        <v xml:space="preserve"> </v>
      </c>
      <c r="G417" s="443" t="str">
        <f>IFERROR(VLOOKUP(C417,'נתוני רישום ומצבת'!B:E,4,0)," ")</f>
        <v xml:space="preserve"> </v>
      </c>
      <c r="H417" s="444" t="str">
        <f>IFERROR(VLOOKUP(C417,'נתוני רישום ומצבת'!B:K,7,0),"")</f>
        <v/>
      </c>
      <c r="I417" s="180" t="str">
        <f t="shared" si="22"/>
        <v/>
      </c>
      <c r="J417" s="443" t="str">
        <f>IFERROR(VLOOKUP(C417,'נתוני רישום ומצבת'!B:I,5,0)," ")</f>
        <v xml:space="preserve"> </v>
      </c>
      <c r="K417" s="443" t="str">
        <f>IFERROR(VLOOKUP(C417,'נתוני רישום ומצבת'!B:I,8,0),"")</f>
        <v/>
      </c>
      <c r="L417" s="284">
        <f t="shared" si="23"/>
        <v>0</v>
      </c>
      <c r="M417" s="283" t="str">
        <f t="shared" si="21"/>
        <v>-</v>
      </c>
    </row>
    <row r="418" spans="2:13" x14ac:dyDescent="0.25">
      <c r="B418" s="280">
        <v>398</v>
      </c>
      <c r="C418" s="549" t="str" cm="1">
        <f t="array" ref="C418">IFERROR(
   INDEX('נתוני רישום ומצבת'!$B:$B,
      SMALL(
         IF(('נתוני רישום ומצבת'!A$2:A$2998='נתונים כלליים (1)'!$C$5),
         ROW('נתוני רישום ומצבת'!A$2:A$2998)),
      ROW(A398))
   ),
"")</f>
        <v/>
      </c>
      <c r="D418" s="549" t="str">
        <f>IF(C418="", "",
   IFERROR(
      IF(VLOOKUP(C418, 'נתוני רישום ומצבת'!B:J, 9, FALSE) = $F$4,
         VLOOKUP(C418, 'נתוני רישום ומצבת'!B:J, 3, FALSE),
         "המוסד לא קיים ברשות"),
   "המוסד לא קיים"))</f>
        <v/>
      </c>
      <c r="E418" s="176" t="str">
        <f>IFERROR(VLOOKUP(C418,'נתוני רישום ומצבת'!B:G,6,0),"")</f>
        <v/>
      </c>
      <c r="F418" s="281" t="str">
        <f>IFERROR(VLOOKUP(C418,'נתוני רישום ומצבת'!B:K,10,0)," ")</f>
        <v xml:space="preserve"> </v>
      </c>
      <c r="G418" s="443" t="str">
        <f>IFERROR(VLOOKUP(C418,'נתוני רישום ומצבת'!B:E,4,0)," ")</f>
        <v xml:space="preserve"> </v>
      </c>
      <c r="H418" s="444" t="str">
        <f>IFERROR(VLOOKUP(C418,'נתוני רישום ומצבת'!B:K,7,0),"")</f>
        <v/>
      </c>
      <c r="I418" s="180" t="str">
        <f t="shared" si="22"/>
        <v/>
      </c>
      <c r="J418" s="443" t="str">
        <f>IFERROR(VLOOKUP(C418,'נתוני רישום ומצבת'!B:I,5,0)," ")</f>
        <v xml:space="preserve"> </v>
      </c>
      <c r="K418" s="443" t="str">
        <f>IFERROR(VLOOKUP(C418,'נתוני רישום ומצבת'!B:I,8,0),"")</f>
        <v/>
      </c>
      <c r="L418" s="284">
        <f t="shared" si="23"/>
        <v>0</v>
      </c>
      <c r="M418" s="283" t="str">
        <f t="shared" si="21"/>
        <v>-</v>
      </c>
    </row>
    <row r="419" spans="2:13" x14ac:dyDescent="0.25">
      <c r="B419" s="280">
        <v>399</v>
      </c>
      <c r="C419" s="549" t="str" cm="1">
        <f t="array" ref="C419">IFERROR(
   INDEX('נתוני רישום ומצבת'!$B:$B,
      SMALL(
         IF(('נתוני רישום ומצבת'!A$2:A$2998='נתונים כלליים (1)'!$C$5),
         ROW('נתוני רישום ומצבת'!A$2:A$2998)),
      ROW(A399))
   ),
"")</f>
        <v/>
      </c>
      <c r="D419" s="549" t="str">
        <f>IF(C419="", "",
   IFERROR(
      IF(VLOOKUP(C419, 'נתוני רישום ומצבת'!B:J, 9, FALSE) = $F$4,
         VLOOKUP(C419, 'נתוני רישום ומצבת'!B:J, 3, FALSE),
         "המוסד לא קיים ברשות"),
   "המוסד לא קיים"))</f>
        <v/>
      </c>
      <c r="E419" s="176" t="str">
        <f>IFERROR(VLOOKUP(C419,'נתוני רישום ומצבת'!B:G,6,0),"")</f>
        <v/>
      </c>
      <c r="F419" s="281" t="str">
        <f>IFERROR(VLOOKUP(C419,'נתוני רישום ומצבת'!B:K,10,0)," ")</f>
        <v xml:space="preserve"> </v>
      </c>
      <c r="G419" s="443" t="str">
        <f>IFERROR(VLOOKUP(C419,'נתוני רישום ומצבת'!B:E,4,0)," ")</f>
        <v xml:space="preserve"> </v>
      </c>
      <c r="H419" s="444" t="str">
        <f>IFERROR(VLOOKUP(C419,'נתוני רישום ומצבת'!B:K,7,0),"")</f>
        <v/>
      </c>
      <c r="I419" s="180" t="str">
        <f t="shared" si="22"/>
        <v/>
      </c>
      <c r="J419" s="443" t="str">
        <f>IFERROR(VLOOKUP(C419,'נתוני רישום ומצבת'!B:I,5,0)," ")</f>
        <v xml:space="preserve"> </v>
      </c>
      <c r="K419" s="443" t="str">
        <f>IFERROR(VLOOKUP(C419,'נתוני רישום ומצבת'!B:I,8,0),"")</f>
        <v/>
      </c>
      <c r="L419" s="284">
        <f t="shared" si="23"/>
        <v>0</v>
      </c>
      <c r="M419" s="283" t="str">
        <f t="shared" si="21"/>
        <v>-</v>
      </c>
    </row>
    <row r="420" spans="2:13" x14ac:dyDescent="0.25">
      <c r="B420" s="280">
        <v>400</v>
      </c>
      <c r="C420" s="549" t="str" cm="1">
        <f t="array" ref="C420">IFERROR(
   INDEX('נתוני רישום ומצבת'!$B:$B,
      SMALL(
         IF(('נתוני רישום ומצבת'!A$2:A$2998='נתונים כלליים (1)'!$C$5),
         ROW('נתוני רישום ומצבת'!A$2:A$2998)),
      ROW(A400))
   ),
"")</f>
        <v/>
      </c>
      <c r="D420" s="549" t="str">
        <f>IF(C420="", "",
   IFERROR(
      IF(VLOOKUP(C420, 'נתוני רישום ומצבת'!B:J, 9, FALSE) = $F$4,
         VLOOKUP(C420, 'נתוני רישום ומצבת'!B:J, 3, FALSE),
         "המוסד לא קיים ברשות"),
   "המוסד לא קיים"))</f>
        <v/>
      </c>
      <c r="E420" s="176" t="str">
        <f>IFERROR(VLOOKUP(C420,'נתוני רישום ומצבת'!B:G,6,0),"")</f>
        <v/>
      </c>
      <c r="F420" s="281" t="str">
        <f>IFERROR(VLOOKUP(C420,'נתוני רישום ומצבת'!B:K,10,0)," ")</f>
        <v xml:space="preserve"> </v>
      </c>
      <c r="G420" s="443" t="str">
        <f>IFERROR(VLOOKUP(C420,'נתוני רישום ומצבת'!B:E,4,0)," ")</f>
        <v xml:space="preserve"> </v>
      </c>
      <c r="H420" s="444" t="str">
        <f>IFERROR(VLOOKUP(C420,'נתוני רישום ומצבת'!B:K,7,0),"")</f>
        <v/>
      </c>
      <c r="I420" s="180" t="str">
        <f t="shared" si="22"/>
        <v/>
      </c>
      <c r="J420" s="443" t="str">
        <f>IFERROR(VLOOKUP(C420,'נתוני רישום ומצבת'!B:I,5,0)," ")</f>
        <v xml:space="preserve"> </v>
      </c>
      <c r="K420" s="443" t="str">
        <f>IFERROR(VLOOKUP(C420,'נתוני רישום ומצבת'!B:I,8,0),"")</f>
        <v/>
      </c>
      <c r="L420" s="284">
        <f t="shared" si="23"/>
        <v>0</v>
      </c>
      <c r="M420" s="283" t="str">
        <f t="shared" si="21"/>
        <v>-</v>
      </c>
    </row>
    <row r="421" spans="2:13" x14ac:dyDescent="0.25">
      <c r="B421" s="280">
        <v>401</v>
      </c>
      <c r="C421" s="549" t="str" cm="1">
        <f t="array" ref="C421">IFERROR(
   INDEX('נתוני רישום ומצבת'!$B:$B,
      SMALL(
         IF(('נתוני רישום ומצבת'!A$2:A$2998='נתונים כלליים (1)'!$C$5),
         ROW('נתוני רישום ומצבת'!A$2:A$2998)),
      ROW(A401))
   ),
"")</f>
        <v/>
      </c>
      <c r="D421" s="549" t="str">
        <f>IF(C421="", "",
   IFERROR(
      IF(VLOOKUP(C421, 'נתוני רישום ומצבת'!B:J, 9, FALSE) = $F$4,
         VLOOKUP(C421, 'נתוני רישום ומצבת'!B:J, 3, FALSE),
         "המוסד לא קיים ברשות"),
   "המוסד לא קיים"))</f>
        <v/>
      </c>
      <c r="E421" s="176" t="str">
        <f>IFERROR(VLOOKUP(C421,'נתוני רישום ומצבת'!B:G,6,0),"")</f>
        <v/>
      </c>
      <c r="F421" s="281" t="str">
        <f>IFERROR(VLOOKUP(C421,'נתוני רישום ומצבת'!B:K,10,0)," ")</f>
        <v xml:space="preserve"> </v>
      </c>
      <c r="G421" s="443" t="str">
        <f>IFERROR(VLOOKUP(C421,'נתוני רישום ומצבת'!B:E,4,0)," ")</f>
        <v xml:space="preserve"> </v>
      </c>
      <c r="H421" s="444" t="str">
        <f>IFERROR(VLOOKUP(C421,'נתוני רישום ומצבת'!B:K,7,0),"")</f>
        <v/>
      </c>
      <c r="I421" s="180" t="str">
        <f t="shared" si="22"/>
        <v/>
      </c>
      <c r="J421" s="443" t="str">
        <f>IFERROR(VLOOKUP(C421,'נתוני רישום ומצבת'!B:I,5,0)," ")</f>
        <v xml:space="preserve"> </v>
      </c>
      <c r="K421" s="443" t="str">
        <f>IFERROR(VLOOKUP(C421,'נתוני רישום ומצבת'!B:I,8,0),"")</f>
        <v/>
      </c>
      <c r="L421" s="284">
        <f t="shared" si="23"/>
        <v>0</v>
      </c>
      <c r="M421" s="283" t="str">
        <f t="shared" si="21"/>
        <v>-</v>
      </c>
    </row>
    <row r="422" spans="2:13" x14ac:dyDescent="0.25">
      <c r="B422" s="280">
        <v>402</v>
      </c>
      <c r="C422" s="549" t="str" cm="1">
        <f t="array" ref="C422">IFERROR(
   INDEX('נתוני רישום ומצבת'!$B:$B,
      SMALL(
         IF(('נתוני רישום ומצבת'!A$2:A$2998='נתונים כלליים (1)'!$C$5),
         ROW('נתוני רישום ומצבת'!A$2:A$2998)),
      ROW(A402))
   ),
"")</f>
        <v/>
      </c>
      <c r="D422" s="549" t="str">
        <f>IF(C422="", "",
   IFERROR(
      IF(VLOOKUP(C422, 'נתוני רישום ומצבת'!B:J, 9, FALSE) = $F$4,
         VLOOKUP(C422, 'נתוני רישום ומצבת'!B:J, 3, FALSE),
         "המוסד לא קיים ברשות"),
   "המוסד לא קיים"))</f>
        <v/>
      </c>
      <c r="E422" s="176" t="str">
        <f>IFERROR(VLOOKUP(C422,'נתוני רישום ומצבת'!B:G,6,0),"")</f>
        <v/>
      </c>
      <c r="F422" s="281" t="str">
        <f>IFERROR(VLOOKUP(C422,'נתוני רישום ומצבת'!B:K,10,0)," ")</f>
        <v xml:space="preserve"> </v>
      </c>
      <c r="G422" s="443" t="str">
        <f>IFERROR(VLOOKUP(C422,'נתוני רישום ומצבת'!B:E,4,0)," ")</f>
        <v xml:space="preserve"> </v>
      </c>
      <c r="H422" s="444" t="str">
        <f>IFERROR(VLOOKUP(C422,'נתוני רישום ומצבת'!B:K,7,0),"")</f>
        <v/>
      </c>
      <c r="I422" s="180" t="str">
        <f t="shared" si="22"/>
        <v/>
      </c>
      <c r="J422" s="443" t="str">
        <f>IFERROR(VLOOKUP(C422,'נתוני רישום ומצבת'!B:I,5,0)," ")</f>
        <v xml:space="preserve"> </v>
      </c>
      <c r="K422" s="443" t="str">
        <f>IFERROR(VLOOKUP(C422,'נתוני רישום ומצבת'!B:I,8,0),"")</f>
        <v/>
      </c>
      <c r="L422" s="284">
        <f t="shared" si="23"/>
        <v>0</v>
      </c>
      <c r="M422" s="283" t="str">
        <f t="shared" si="21"/>
        <v>-</v>
      </c>
    </row>
    <row r="423" spans="2:13" x14ac:dyDescent="0.25">
      <c r="B423" s="280">
        <v>403</v>
      </c>
      <c r="C423" s="549" t="str" cm="1">
        <f t="array" ref="C423">IFERROR(
   INDEX('נתוני רישום ומצבת'!$B:$B,
      SMALL(
         IF(('נתוני רישום ומצבת'!A$2:A$2998='נתונים כלליים (1)'!$C$5),
         ROW('נתוני רישום ומצבת'!A$2:A$2998)),
      ROW(A403))
   ),
"")</f>
        <v/>
      </c>
      <c r="D423" s="549" t="str">
        <f>IF(C423="", "",
   IFERROR(
      IF(VLOOKUP(C423, 'נתוני רישום ומצבת'!B:J, 9, FALSE) = $F$4,
         VLOOKUP(C423, 'נתוני רישום ומצבת'!B:J, 3, FALSE),
         "המוסד לא קיים ברשות"),
   "המוסד לא קיים"))</f>
        <v/>
      </c>
      <c r="E423" s="176" t="str">
        <f>IFERROR(VLOOKUP(C423,'נתוני רישום ומצבת'!B:G,6,0),"")</f>
        <v/>
      </c>
      <c r="F423" s="281" t="str">
        <f>IFERROR(VLOOKUP(C423,'נתוני רישום ומצבת'!B:K,10,0)," ")</f>
        <v xml:space="preserve"> </v>
      </c>
      <c r="G423" s="443" t="str">
        <f>IFERROR(VLOOKUP(C423,'נתוני רישום ומצבת'!B:E,4,0)," ")</f>
        <v xml:space="preserve"> </v>
      </c>
      <c r="H423" s="444" t="str">
        <f>IFERROR(VLOOKUP(C423,'נתוני רישום ומצבת'!B:K,7,0),"")</f>
        <v/>
      </c>
      <c r="I423" s="180" t="str">
        <f t="shared" si="22"/>
        <v/>
      </c>
      <c r="J423" s="443" t="str">
        <f>IFERROR(VLOOKUP(C423,'נתוני רישום ומצבת'!B:I,5,0)," ")</f>
        <v xml:space="preserve"> </v>
      </c>
      <c r="K423" s="443" t="str">
        <f>IFERROR(VLOOKUP(C423,'נתוני רישום ומצבת'!B:I,8,0),"")</f>
        <v/>
      </c>
      <c r="L423" s="284">
        <f t="shared" si="23"/>
        <v>0</v>
      </c>
      <c r="M423" s="283" t="str">
        <f t="shared" si="21"/>
        <v>-</v>
      </c>
    </row>
    <row r="424" spans="2:13" x14ac:dyDescent="0.25">
      <c r="B424" s="280">
        <v>404</v>
      </c>
      <c r="C424" s="549" t="str" cm="1">
        <f t="array" ref="C424">IFERROR(
   INDEX('נתוני רישום ומצבת'!$B:$B,
      SMALL(
         IF(('נתוני רישום ומצבת'!A$2:A$2998='נתונים כלליים (1)'!$C$5),
         ROW('נתוני רישום ומצבת'!A$2:A$2998)),
      ROW(A404))
   ),
"")</f>
        <v/>
      </c>
      <c r="D424" s="549" t="str">
        <f>IF(C424="", "",
   IFERROR(
      IF(VLOOKUP(C424, 'נתוני רישום ומצבת'!B:J, 9, FALSE) = $F$4,
         VLOOKUP(C424, 'נתוני רישום ומצבת'!B:J, 3, FALSE),
         "המוסד לא קיים ברשות"),
   "המוסד לא קיים"))</f>
        <v/>
      </c>
      <c r="E424" s="176" t="str">
        <f>IFERROR(VLOOKUP(C424,'נתוני רישום ומצבת'!B:G,6,0),"")</f>
        <v/>
      </c>
      <c r="F424" s="281" t="str">
        <f>IFERROR(VLOOKUP(C424,'נתוני רישום ומצבת'!B:K,10,0)," ")</f>
        <v xml:space="preserve"> </v>
      </c>
      <c r="G424" s="443" t="str">
        <f>IFERROR(VLOOKUP(C424,'נתוני רישום ומצבת'!B:E,4,0)," ")</f>
        <v xml:space="preserve"> </v>
      </c>
      <c r="H424" s="444" t="str">
        <f>IFERROR(VLOOKUP(C424,'נתוני רישום ומצבת'!B:K,7,0),"")</f>
        <v/>
      </c>
      <c r="I424" s="180" t="str">
        <f t="shared" si="22"/>
        <v/>
      </c>
      <c r="J424" s="443" t="str">
        <f>IFERROR(VLOOKUP(C424,'נתוני רישום ומצבת'!B:I,5,0)," ")</f>
        <v xml:space="preserve"> </v>
      </c>
      <c r="K424" s="443" t="str">
        <f>IFERROR(VLOOKUP(C424,'נתוני רישום ומצבת'!B:I,8,0),"")</f>
        <v/>
      </c>
      <c r="L424" s="284">
        <f t="shared" si="23"/>
        <v>0</v>
      </c>
      <c r="M424" s="283" t="str">
        <f t="shared" si="21"/>
        <v>-</v>
      </c>
    </row>
    <row r="425" spans="2:13" x14ac:dyDescent="0.25">
      <c r="B425" s="280">
        <v>405</v>
      </c>
      <c r="C425" s="549" t="str" cm="1">
        <f t="array" ref="C425">IFERROR(
   INDEX('נתוני רישום ומצבת'!$B:$B,
      SMALL(
         IF(('נתוני רישום ומצבת'!A$2:A$2998='נתונים כלליים (1)'!$C$5),
         ROW('נתוני רישום ומצבת'!A$2:A$2998)),
      ROW(A405))
   ),
"")</f>
        <v/>
      </c>
      <c r="D425" s="549" t="str">
        <f>IF(C425="", "",
   IFERROR(
      IF(VLOOKUP(C425, 'נתוני רישום ומצבת'!B:J, 9, FALSE) = $F$4,
         VLOOKUP(C425, 'נתוני רישום ומצבת'!B:J, 3, FALSE),
         "המוסד לא קיים ברשות"),
   "המוסד לא קיים"))</f>
        <v/>
      </c>
      <c r="E425" s="176" t="str">
        <f>IFERROR(VLOOKUP(C425,'נתוני רישום ומצבת'!B:G,6,0),"")</f>
        <v/>
      </c>
      <c r="F425" s="281" t="str">
        <f>IFERROR(VLOOKUP(C425,'נתוני רישום ומצבת'!B:K,10,0)," ")</f>
        <v xml:space="preserve"> </v>
      </c>
      <c r="G425" s="443" t="str">
        <f>IFERROR(VLOOKUP(C425,'נתוני רישום ומצבת'!B:E,4,0)," ")</f>
        <v xml:space="preserve"> </v>
      </c>
      <c r="H425" s="444" t="str">
        <f>IFERROR(VLOOKUP(C425,'נתוני רישום ומצבת'!B:K,7,0),"")</f>
        <v/>
      </c>
      <c r="I425" s="180" t="str">
        <f t="shared" si="22"/>
        <v/>
      </c>
      <c r="J425" s="443" t="str">
        <f>IFERROR(VLOOKUP(C425,'נתוני רישום ומצבת'!B:I,5,0)," ")</f>
        <v xml:space="preserve"> </v>
      </c>
      <c r="K425" s="443" t="str">
        <f>IFERROR(VLOOKUP(C425,'נתוני רישום ומצבת'!B:I,8,0),"")</f>
        <v/>
      </c>
      <c r="L425" s="284">
        <f t="shared" si="23"/>
        <v>0</v>
      </c>
      <c r="M425" s="283" t="str">
        <f t="shared" si="21"/>
        <v>-</v>
      </c>
    </row>
    <row r="426" spans="2:13" x14ac:dyDescent="0.25">
      <c r="B426" s="280">
        <v>406</v>
      </c>
      <c r="C426" s="549" t="str" cm="1">
        <f t="array" ref="C426">IFERROR(
   INDEX('נתוני רישום ומצבת'!$B:$B,
      SMALL(
         IF(('נתוני רישום ומצבת'!A$2:A$2998='נתונים כלליים (1)'!$C$5),
         ROW('נתוני רישום ומצבת'!A$2:A$2998)),
      ROW(A406))
   ),
"")</f>
        <v/>
      </c>
      <c r="D426" s="549" t="str">
        <f>IF(C426="", "",
   IFERROR(
      IF(VLOOKUP(C426, 'נתוני רישום ומצבת'!B:J, 9, FALSE) = $F$4,
         VLOOKUP(C426, 'נתוני רישום ומצבת'!B:J, 3, FALSE),
         "המוסד לא קיים ברשות"),
   "המוסד לא קיים"))</f>
        <v/>
      </c>
      <c r="E426" s="176" t="str">
        <f>IFERROR(VLOOKUP(C426,'נתוני רישום ומצבת'!B:G,6,0),"")</f>
        <v/>
      </c>
      <c r="F426" s="281" t="str">
        <f>IFERROR(VLOOKUP(C426,'נתוני רישום ומצבת'!B:K,10,0)," ")</f>
        <v xml:space="preserve"> </v>
      </c>
      <c r="G426" s="443" t="str">
        <f>IFERROR(VLOOKUP(C426,'נתוני רישום ומצבת'!B:E,4,0)," ")</f>
        <v xml:space="preserve"> </v>
      </c>
      <c r="H426" s="444" t="str">
        <f>IFERROR(VLOOKUP(C426,'נתוני רישום ומצבת'!B:K,7,0),"")</f>
        <v/>
      </c>
      <c r="I426" s="180" t="str">
        <f t="shared" si="22"/>
        <v/>
      </c>
      <c r="J426" s="443" t="str">
        <f>IFERROR(VLOOKUP(C426,'נתוני רישום ומצבת'!B:I,5,0)," ")</f>
        <v xml:space="preserve"> </v>
      </c>
      <c r="K426" s="443" t="str">
        <f>IFERROR(VLOOKUP(C426,'נתוני רישום ומצבת'!B:I,8,0),"")</f>
        <v/>
      </c>
      <c r="L426" s="284">
        <f t="shared" si="23"/>
        <v>0</v>
      </c>
      <c r="M426" s="283" t="str">
        <f t="shared" si="21"/>
        <v>-</v>
      </c>
    </row>
    <row r="427" spans="2:13" x14ac:dyDescent="0.25">
      <c r="B427" s="280">
        <v>407</v>
      </c>
      <c r="C427" s="549" t="str" cm="1">
        <f t="array" ref="C427">IFERROR(
   INDEX('נתוני רישום ומצבת'!$B:$B,
      SMALL(
         IF(('נתוני רישום ומצבת'!A$2:A$2998='נתונים כלליים (1)'!$C$5),
         ROW('נתוני רישום ומצבת'!A$2:A$2998)),
      ROW(A407))
   ),
"")</f>
        <v/>
      </c>
      <c r="D427" s="549" t="str">
        <f>IF(C427="", "",
   IFERROR(
      IF(VLOOKUP(C427, 'נתוני רישום ומצבת'!B:J, 9, FALSE) = $F$4,
         VLOOKUP(C427, 'נתוני רישום ומצבת'!B:J, 3, FALSE),
         "המוסד לא קיים ברשות"),
   "המוסד לא קיים"))</f>
        <v/>
      </c>
      <c r="E427" s="176" t="str">
        <f>IFERROR(VLOOKUP(C427,'נתוני רישום ומצבת'!B:G,6,0),"")</f>
        <v/>
      </c>
      <c r="F427" s="281" t="str">
        <f>IFERROR(VLOOKUP(C427,'נתוני רישום ומצבת'!B:K,10,0)," ")</f>
        <v xml:space="preserve"> </v>
      </c>
      <c r="G427" s="443" t="str">
        <f>IFERROR(VLOOKUP(C427,'נתוני רישום ומצבת'!B:E,4,0)," ")</f>
        <v xml:space="preserve"> </v>
      </c>
      <c r="H427" s="444" t="str">
        <f>IFERROR(VLOOKUP(C427,'נתוני רישום ומצבת'!B:K,7,0),"")</f>
        <v/>
      </c>
      <c r="I427" s="180" t="str">
        <f t="shared" si="22"/>
        <v/>
      </c>
      <c r="J427" s="443" t="str">
        <f>IFERROR(VLOOKUP(C427,'נתוני רישום ומצבת'!B:I,5,0)," ")</f>
        <v xml:space="preserve"> </v>
      </c>
      <c r="K427" s="443" t="str">
        <f>IFERROR(VLOOKUP(C427,'נתוני רישום ומצבת'!B:I,8,0),"")</f>
        <v/>
      </c>
      <c r="L427" s="284">
        <f t="shared" si="23"/>
        <v>0</v>
      </c>
      <c r="M427" s="283" t="str">
        <f t="shared" si="21"/>
        <v>-</v>
      </c>
    </row>
    <row r="428" spans="2:13" x14ac:dyDescent="0.25">
      <c r="B428" s="280">
        <v>408</v>
      </c>
      <c r="C428" s="549" t="str" cm="1">
        <f t="array" ref="C428">IFERROR(
   INDEX('נתוני רישום ומצבת'!$B:$B,
      SMALL(
         IF(('נתוני רישום ומצבת'!A$2:A$2998='נתונים כלליים (1)'!$C$5),
         ROW('נתוני רישום ומצבת'!A$2:A$2998)),
      ROW(A408))
   ),
"")</f>
        <v/>
      </c>
      <c r="D428" s="549" t="str">
        <f>IF(C428="", "",
   IFERROR(
      IF(VLOOKUP(C428, 'נתוני רישום ומצבת'!B:J, 9, FALSE) = $F$4,
         VLOOKUP(C428, 'נתוני רישום ומצבת'!B:J, 3, FALSE),
         "המוסד לא קיים ברשות"),
   "המוסד לא קיים"))</f>
        <v/>
      </c>
      <c r="E428" s="176" t="str">
        <f>IFERROR(VLOOKUP(C428,'נתוני רישום ומצבת'!B:G,6,0),"")</f>
        <v/>
      </c>
      <c r="F428" s="281" t="str">
        <f>IFERROR(VLOOKUP(C428,'נתוני רישום ומצבת'!B:K,10,0)," ")</f>
        <v xml:space="preserve"> </v>
      </c>
      <c r="G428" s="443" t="str">
        <f>IFERROR(VLOOKUP(C428,'נתוני רישום ומצבת'!B:E,4,0)," ")</f>
        <v xml:space="preserve"> </v>
      </c>
      <c r="H428" s="444" t="str">
        <f>IFERROR(VLOOKUP(C428,'נתוני רישום ומצבת'!B:K,7,0),"")</f>
        <v/>
      </c>
      <c r="I428" s="180" t="str">
        <f t="shared" si="22"/>
        <v/>
      </c>
      <c r="J428" s="443" t="str">
        <f>IFERROR(VLOOKUP(C428,'נתוני רישום ומצבת'!B:I,5,0)," ")</f>
        <v xml:space="preserve"> </v>
      </c>
      <c r="K428" s="443" t="str">
        <f>IFERROR(VLOOKUP(C428,'נתוני רישום ומצבת'!B:I,8,0),"")</f>
        <v/>
      </c>
      <c r="L428" s="284">
        <f t="shared" si="23"/>
        <v>0</v>
      </c>
      <c r="M428" s="283" t="str">
        <f t="shared" si="21"/>
        <v>-</v>
      </c>
    </row>
    <row r="429" spans="2:13" x14ac:dyDescent="0.25">
      <c r="B429" s="280">
        <v>409</v>
      </c>
      <c r="C429" s="549" t="str" cm="1">
        <f t="array" ref="C429">IFERROR(
   INDEX('נתוני רישום ומצבת'!$B:$B,
      SMALL(
         IF(('נתוני רישום ומצבת'!A$2:A$2998='נתונים כלליים (1)'!$C$5),
         ROW('נתוני רישום ומצבת'!A$2:A$2998)),
      ROW(A409))
   ),
"")</f>
        <v/>
      </c>
      <c r="D429" s="549" t="str">
        <f>IF(C429="", "",
   IFERROR(
      IF(VLOOKUP(C429, 'נתוני רישום ומצבת'!B:J, 9, FALSE) = $F$4,
         VLOOKUP(C429, 'נתוני רישום ומצבת'!B:J, 3, FALSE),
         "המוסד לא קיים ברשות"),
   "המוסד לא קיים"))</f>
        <v/>
      </c>
      <c r="E429" s="176" t="str">
        <f>IFERROR(VLOOKUP(C429,'נתוני רישום ומצבת'!B:G,6,0),"")</f>
        <v/>
      </c>
      <c r="F429" s="281" t="str">
        <f>IFERROR(VLOOKUP(C429,'נתוני רישום ומצבת'!B:K,10,0)," ")</f>
        <v xml:space="preserve"> </v>
      </c>
      <c r="G429" s="443" t="str">
        <f>IFERROR(VLOOKUP(C429,'נתוני רישום ומצבת'!B:E,4,0)," ")</f>
        <v xml:space="preserve"> </v>
      </c>
      <c r="H429" s="444" t="str">
        <f>IFERROR(VLOOKUP(C429,'נתוני רישום ומצבת'!B:K,7,0),"")</f>
        <v/>
      </c>
      <c r="I429" s="180" t="str">
        <f t="shared" si="22"/>
        <v/>
      </c>
      <c r="J429" s="443" t="str">
        <f>IFERROR(VLOOKUP(C429,'נתוני רישום ומצבת'!B:I,5,0)," ")</f>
        <v xml:space="preserve"> </v>
      </c>
      <c r="K429" s="443" t="str">
        <f>IFERROR(VLOOKUP(C429,'נתוני רישום ומצבת'!B:I,8,0),"")</f>
        <v/>
      </c>
      <c r="L429" s="284">
        <f t="shared" si="23"/>
        <v>0</v>
      </c>
      <c r="M429" s="283" t="str">
        <f t="shared" si="21"/>
        <v>-</v>
      </c>
    </row>
    <row r="430" spans="2:13" x14ac:dyDescent="0.25">
      <c r="B430" s="280">
        <v>410</v>
      </c>
      <c r="C430" s="549" t="str" cm="1">
        <f t="array" ref="C430">IFERROR(
   INDEX('נתוני רישום ומצבת'!$B:$B,
      SMALL(
         IF(('נתוני רישום ומצבת'!A$2:A$2998='נתונים כלליים (1)'!$C$5),
         ROW('נתוני רישום ומצבת'!A$2:A$2998)),
      ROW(A410))
   ),
"")</f>
        <v/>
      </c>
      <c r="D430" s="549" t="str">
        <f>IF(C430="", "",
   IFERROR(
      IF(VLOOKUP(C430, 'נתוני רישום ומצבת'!B:J, 9, FALSE) = $F$4,
         VLOOKUP(C430, 'נתוני רישום ומצבת'!B:J, 3, FALSE),
         "המוסד לא קיים ברשות"),
   "המוסד לא קיים"))</f>
        <v/>
      </c>
      <c r="E430" s="176" t="str">
        <f>IFERROR(VLOOKUP(C430,'נתוני רישום ומצבת'!B:G,6,0),"")</f>
        <v/>
      </c>
      <c r="F430" s="281" t="str">
        <f>IFERROR(VLOOKUP(C430,'נתוני רישום ומצבת'!B:K,10,0)," ")</f>
        <v xml:space="preserve"> </v>
      </c>
      <c r="G430" s="443" t="str">
        <f>IFERROR(VLOOKUP(C430,'נתוני רישום ומצבת'!B:E,4,0)," ")</f>
        <v xml:space="preserve"> </v>
      </c>
      <c r="H430" s="444" t="str">
        <f>IFERROR(VLOOKUP(C430,'נתוני רישום ומצבת'!B:K,7,0),"")</f>
        <v/>
      </c>
      <c r="I430" s="180" t="str">
        <f t="shared" si="22"/>
        <v/>
      </c>
      <c r="J430" s="443" t="str">
        <f>IFERROR(VLOOKUP(C430,'נתוני רישום ומצבת'!B:I,5,0)," ")</f>
        <v xml:space="preserve"> </v>
      </c>
      <c r="K430" s="443" t="str">
        <f>IFERROR(VLOOKUP(C430,'נתוני רישום ומצבת'!B:I,8,0),"")</f>
        <v/>
      </c>
      <c r="L430" s="284">
        <f t="shared" si="23"/>
        <v>0</v>
      </c>
      <c r="M430" s="283" t="str">
        <f t="shared" si="21"/>
        <v>-</v>
      </c>
    </row>
    <row r="431" spans="2:13" x14ac:dyDescent="0.25">
      <c r="B431" s="280">
        <v>411</v>
      </c>
      <c r="C431" s="549" t="str" cm="1">
        <f t="array" ref="C431">IFERROR(
   INDEX('נתוני רישום ומצבת'!$B:$B,
      SMALL(
         IF(('נתוני רישום ומצבת'!A$2:A$2998='נתונים כלליים (1)'!$C$5),
         ROW('נתוני רישום ומצבת'!A$2:A$2998)),
      ROW(A411))
   ),
"")</f>
        <v/>
      </c>
      <c r="D431" s="549" t="str">
        <f>IF(C431="", "",
   IFERROR(
      IF(VLOOKUP(C431, 'נתוני רישום ומצבת'!B:J, 9, FALSE) = $F$4,
         VLOOKUP(C431, 'נתוני רישום ומצבת'!B:J, 3, FALSE),
         "המוסד לא קיים ברשות"),
   "המוסד לא קיים"))</f>
        <v/>
      </c>
      <c r="E431" s="176" t="str">
        <f>IFERROR(VLOOKUP(C431,'נתוני רישום ומצבת'!B:G,6,0),"")</f>
        <v/>
      </c>
      <c r="F431" s="281" t="str">
        <f>IFERROR(VLOOKUP(C431,'נתוני רישום ומצבת'!B:K,10,0)," ")</f>
        <v xml:space="preserve"> </v>
      </c>
      <c r="G431" s="443" t="str">
        <f>IFERROR(VLOOKUP(C431,'נתוני רישום ומצבת'!B:E,4,0)," ")</f>
        <v xml:space="preserve"> </v>
      </c>
      <c r="H431" s="444" t="str">
        <f>IFERROR(VLOOKUP(C431,'נתוני רישום ומצבת'!B:K,7,0),"")</f>
        <v/>
      </c>
      <c r="I431" s="180" t="str">
        <f t="shared" si="22"/>
        <v/>
      </c>
      <c r="J431" s="443" t="str">
        <f>IFERROR(VLOOKUP(C431,'נתוני רישום ומצבת'!B:I,5,0)," ")</f>
        <v xml:space="preserve"> </v>
      </c>
      <c r="K431" s="443" t="str">
        <f>IFERROR(VLOOKUP(C431,'נתוני רישום ומצבת'!B:I,8,0),"")</f>
        <v/>
      </c>
      <c r="L431" s="284">
        <f t="shared" si="23"/>
        <v>0</v>
      </c>
      <c r="M431" s="283" t="str">
        <f t="shared" si="21"/>
        <v>-</v>
      </c>
    </row>
    <row r="432" spans="2:13" x14ac:dyDescent="0.25">
      <c r="B432" s="280">
        <v>412</v>
      </c>
      <c r="C432" s="549" t="str" cm="1">
        <f t="array" ref="C432">IFERROR(
   INDEX('נתוני רישום ומצבת'!$B:$B,
      SMALL(
         IF(('נתוני רישום ומצבת'!A$2:A$2998='נתונים כלליים (1)'!$C$5),
         ROW('נתוני רישום ומצבת'!A$2:A$2998)),
      ROW(A412))
   ),
"")</f>
        <v/>
      </c>
      <c r="D432" s="549" t="str">
        <f>IF(C432="", "",
   IFERROR(
      IF(VLOOKUP(C432, 'נתוני רישום ומצבת'!B:J, 9, FALSE) = $F$4,
         VLOOKUP(C432, 'נתוני רישום ומצבת'!B:J, 3, FALSE),
         "המוסד לא קיים ברשות"),
   "המוסד לא קיים"))</f>
        <v/>
      </c>
      <c r="E432" s="176" t="str">
        <f>IFERROR(VLOOKUP(C432,'נתוני רישום ומצבת'!B:G,6,0),"")</f>
        <v/>
      </c>
      <c r="F432" s="281" t="str">
        <f>IFERROR(VLOOKUP(C432,'נתוני רישום ומצבת'!B:K,10,0)," ")</f>
        <v xml:space="preserve"> </v>
      </c>
      <c r="G432" s="443" t="str">
        <f>IFERROR(VLOOKUP(C432,'נתוני רישום ומצבת'!B:E,4,0)," ")</f>
        <v xml:space="preserve"> </v>
      </c>
      <c r="H432" s="444" t="str">
        <f>IFERROR(VLOOKUP(C432,'נתוני רישום ומצבת'!B:K,7,0),"")</f>
        <v/>
      </c>
      <c r="I432" s="180" t="str">
        <f t="shared" si="22"/>
        <v/>
      </c>
      <c r="J432" s="443" t="str">
        <f>IFERROR(VLOOKUP(C432,'נתוני רישום ומצבת'!B:I,5,0)," ")</f>
        <v xml:space="preserve"> </v>
      </c>
      <c r="K432" s="443" t="str">
        <f>IFERROR(VLOOKUP(C432,'נתוני רישום ומצבת'!B:I,8,0),"")</f>
        <v/>
      </c>
      <c r="L432" s="284">
        <f t="shared" si="23"/>
        <v>0</v>
      </c>
      <c r="M432" s="283" t="str">
        <f t="shared" si="21"/>
        <v>-</v>
      </c>
    </row>
    <row r="433" spans="2:13" x14ac:dyDescent="0.25">
      <c r="B433" s="280">
        <v>413</v>
      </c>
      <c r="C433" s="549" t="str" cm="1">
        <f t="array" ref="C433">IFERROR(
   INDEX('נתוני רישום ומצבת'!$B:$B,
      SMALL(
         IF(('נתוני רישום ומצבת'!A$2:A$2998='נתונים כלליים (1)'!$C$5),
         ROW('נתוני רישום ומצבת'!A$2:A$2998)),
      ROW(A413))
   ),
"")</f>
        <v/>
      </c>
      <c r="D433" s="549" t="str">
        <f>IF(C433="", "",
   IFERROR(
      IF(VLOOKUP(C433, 'נתוני רישום ומצבת'!B:J, 9, FALSE) = $F$4,
         VLOOKUP(C433, 'נתוני רישום ומצבת'!B:J, 3, FALSE),
         "המוסד לא קיים ברשות"),
   "המוסד לא קיים"))</f>
        <v/>
      </c>
      <c r="E433" s="176" t="str">
        <f>IFERROR(VLOOKUP(C433,'נתוני רישום ומצבת'!B:G,6,0),"")</f>
        <v/>
      </c>
      <c r="F433" s="281" t="str">
        <f>IFERROR(VLOOKUP(C433,'נתוני רישום ומצבת'!B:K,10,0)," ")</f>
        <v xml:space="preserve"> </v>
      </c>
      <c r="G433" s="443" t="str">
        <f>IFERROR(VLOOKUP(C433,'נתוני רישום ומצבת'!B:E,4,0)," ")</f>
        <v xml:space="preserve"> </v>
      </c>
      <c r="H433" s="444" t="str">
        <f>IFERROR(VLOOKUP(C433,'נתוני רישום ומצבת'!B:K,7,0),"")</f>
        <v/>
      </c>
      <c r="I433" s="180" t="str">
        <f t="shared" si="22"/>
        <v/>
      </c>
      <c r="J433" s="443" t="str">
        <f>IFERROR(VLOOKUP(C433,'נתוני רישום ומצבת'!B:I,5,0)," ")</f>
        <v xml:space="preserve"> </v>
      </c>
      <c r="K433" s="443" t="str">
        <f>IFERROR(VLOOKUP(C433,'נתוני רישום ומצבת'!B:I,8,0),"")</f>
        <v/>
      </c>
      <c r="L433" s="284">
        <f t="shared" si="23"/>
        <v>0</v>
      </c>
      <c r="M433" s="283" t="str">
        <f t="shared" si="21"/>
        <v>-</v>
      </c>
    </row>
    <row r="434" spans="2:13" x14ac:dyDescent="0.25">
      <c r="B434" s="280">
        <v>414</v>
      </c>
      <c r="C434" s="549" t="str" cm="1">
        <f t="array" ref="C434">IFERROR(
   INDEX('נתוני רישום ומצבת'!$B:$B,
      SMALL(
         IF(('נתוני רישום ומצבת'!A$2:A$2998='נתונים כלליים (1)'!$C$5),
         ROW('נתוני רישום ומצבת'!A$2:A$2998)),
      ROW(A414))
   ),
"")</f>
        <v/>
      </c>
      <c r="D434" s="549" t="str">
        <f>IF(C434="", "",
   IFERROR(
      IF(VLOOKUP(C434, 'נתוני רישום ומצבת'!B:J, 9, FALSE) = $F$4,
         VLOOKUP(C434, 'נתוני רישום ומצבת'!B:J, 3, FALSE),
         "המוסד לא קיים ברשות"),
   "המוסד לא קיים"))</f>
        <v/>
      </c>
      <c r="E434" s="176" t="str">
        <f>IFERROR(VLOOKUP(C434,'נתוני רישום ומצבת'!B:G,6,0),"")</f>
        <v/>
      </c>
      <c r="F434" s="281" t="str">
        <f>IFERROR(VLOOKUP(C434,'נתוני רישום ומצבת'!B:K,10,0)," ")</f>
        <v xml:space="preserve"> </v>
      </c>
      <c r="G434" s="443" t="str">
        <f>IFERROR(VLOOKUP(C434,'נתוני רישום ומצבת'!B:E,4,0)," ")</f>
        <v xml:space="preserve"> </v>
      </c>
      <c r="H434" s="444" t="str">
        <f>IFERROR(VLOOKUP(C434,'נתוני רישום ומצבת'!B:K,7,0),"")</f>
        <v/>
      </c>
      <c r="I434" s="180" t="str">
        <f t="shared" si="22"/>
        <v/>
      </c>
      <c r="J434" s="443" t="str">
        <f>IFERROR(VLOOKUP(C434,'נתוני רישום ומצבת'!B:I,5,0)," ")</f>
        <v xml:space="preserve"> </v>
      </c>
      <c r="K434" s="443" t="str">
        <f>IFERROR(VLOOKUP(C434,'נתוני רישום ומצבת'!B:I,8,0),"")</f>
        <v/>
      </c>
      <c r="L434" s="284">
        <f t="shared" si="23"/>
        <v>0</v>
      </c>
      <c r="M434" s="283" t="str">
        <f t="shared" si="21"/>
        <v>-</v>
      </c>
    </row>
    <row r="435" spans="2:13" x14ac:dyDescent="0.25">
      <c r="B435" s="280">
        <v>415</v>
      </c>
      <c r="C435" s="549" t="str" cm="1">
        <f t="array" ref="C435">IFERROR(
   INDEX('נתוני רישום ומצבת'!$B:$B,
      SMALL(
         IF(('נתוני רישום ומצבת'!A$2:A$2998='נתונים כלליים (1)'!$C$5),
         ROW('נתוני רישום ומצבת'!A$2:A$2998)),
      ROW(A415))
   ),
"")</f>
        <v/>
      </c>
      <c r="D435" s="549" t="str">
        <f>IF(C435="", "",
   IFERROR(
      IF(VLOOKUP(C435, 'נתוני רישום ומצבת'!B:J, 9, FALSE) = $F$4,
         VLOOKUP(C435, 'נתוני רישום ומצבת'!B:J, 3, FALSE),
         "המוסד לא קיים ברשות"),
   "המוסד לא קיים"))</f>
        <v/>
      </c>
      <c r="E435" s="176" t="str">
        <f>IFERROR(VLOOKUP(C435,'נתוני רישום ומצבת'!B:G,6,0),"")</f>
        <v/>
      </c>
      <c r="F435" s="281" t="str">
        <f>IFERROR(VLOOKUP(C435,'נתוני רישום ומצבת'!B:K,10,0)," ")</f>
        <v xml:space="preserve"> </v>
      </c>
      <c r="G435" s="443" t="str">
        <f>IFERROR(VLOOKUP(C435,'נתוני רישום ומצבת'!B:E,4,0)," ")</f>
        <v xml:space="preserve"> </v>
      </c>
      <c r="H435" s="444" t="str">
        <f>IFERROR(VLOOKUP(C435,'נתוני רישום ומצבת'!B:K,7,0),"")</f>
        <v/>
      </c>
      <c r="I435" s="180" t="str">
        <f t="shared" si="22"/>
        <v/>
      </c>
      <c r="J435" s="443" t="str">
        <f>IFERROR(VLOOKUP(C435,'נתוני רישום ומצבת'!B:I,5,0)," ")</f>
        <v xml:space="preserve"> </v>
      </c>
      <c r="K435" s="443" t="str">
        <f>IFERROR(VLOOKUP(C435,'נתוני רישום ומצבת'!B:I,8,0),"")</f>
        <v/>
      </c>
      <c r="L435" s="284">
        <f t="shared" si="23"/>
        <v>0</v>
      </c>
      <c r="M435" s="283" t="str">
        <f t="shared" si="21"/>
        <v>-</v>
      </c>
    </row>
    <row r="436" spans="2:13" x14ac:dyDescent="0.25">
      <c r="B436" s="280">
        <v>416</v>
      </c>
      <c r="C436" s="549" t="str" cm="1">
        <f t="array" ref="C436">IFERROR(
   INDEX('נתוני רישום ומצבת'!$B:$B,
      SMALL(
         IF(('נתוני רישום ומצבת'!A$2:A$2998='נתונים כלליים (1)'!$C$5),
         ROW('נתוני רישום ומצבת'!A$2:A$2998)),
      ROW(A416))
   ),
"")</f>
        <v/>
      </c>
      <c r="D436" s="549" t="str">
        <f>IF(C436="", "",
   IFERROR(
      IF(VLOOKUP(C436, 'נתוני רישום ומצבת'!B:J, 9, FALSE) = $F$4,
         VLOOKUP(C436, 'נתוני רישום ומצבת'!B:J, 3, FALSE),
         "המוסד לא קיים ברשות"),
   "המוסד לא קיים"))</f>
        <v/>
      </c>
      <c r="E436" s="176" t="str">
        <f>IFERROR(VLOOKUP(C436,'נתוני רישום ומצבת'!B:G,6,0),"")</f>
        <v/>
      </c>
      <c r="F436" s="281" t="str">
        <f>IFERROR(VLOOKUP(C436,'נתוני רישום ומצבת'!B:K,10,0)," ")</f>
        <v xml:space="preserve"> </v>
      </c>
      <c r="G436" s="443" t="str">
        <f>IFERROR(VLOOKUP(C436,'נתוני רישום ומצבת'!B:E,4,0)," ")</f>
        <v xml:space="preserve"> </v>
      </c>
      <c r="H436" s="444" t="str">
        <f>IFERROR(VLOOKUP(C436,'נתוני רישום ומצבת'!B:K,7,0),"")</f>
        <v/>
      </c>
      <c r="I436" s="180" t="str">
        <f t="shared" si="22"/>
        <v/>
      </c>
      <c r="J436" s="443" t="str">
        <f>IFERROR(VLOOKUP(C436,'נתוני רישום ומצבת'!B:I,5,0)," ")</f>
        <v xml:space="preserve"> </v>
      </c>
      <c r="K436" s="443" t="str">
        <f>IFERROR(VLOOKUP(C436,'נתוני רישום ומצבת'!B:I,8,0),"")</f>
        <v/>
      </c>
      <c r="L436" s="284">
        <f t="shared" si="23"/>
        <v>0</v>
      </c>
      <c r="M436" s="283" t="str">
        <f t="shared" si="21"/>
        <v>-</v>
      </c>
    </row>
    <row r="437" spans="2:13" x14ac:dyDescent="0.25">
      <c r="B437" s="280">
        <v>417</v>
      </c>
      <c r="C437" s="549" t="str" cm="1">
        <f t="array" ref="C437">IFERROR(
   INDEX('נתוני רישום ומצבת'!$B:$B,
      SMALL(
         IF(('נתוני רישום ומצבת'!A$2:A$2998='נתונים כלליים (1)'!$C$5),
         ROW('נתוני רישום ומצבת'!A$2:A$2998)),
      ROW(A417))
   ),
"")</f>
        <v/>
      </c>
      <c r="D437" s="549" t="str">
        <f>IF(C437="", "",
   IFERROR(
      IF(VLOOKUP(C437, 'נתוני רישום ומצבת'!B:J, 9, FALSE) = $F$4,
         VLOOKUP(C437, 'נתוני רישום ומצבת'!B:J, 3, FALSE),
         "המוסד לא קיים ברשות"),
   "המוסד לא קיים"))</f>
        <v/>
      </c>
      <c r="E437" s="176" t="str">
        <f>IFERROR(VLOOKUP(C437,'נתוני רישום ומצבת'!B:G,6,0),"")</f>
        <v/>
      </c>
      <c r="F437" s="281" t="str">
        <f>IFERROR(VLOOKUP(C437,'נתוני רישום ומצבת'!B:K,10,0)," ")</f>
        <v xml:space="preserve"> </v>
      </c>
      <c r="G437" s="443" t="str">
        <f>IFERROR(VLOOKUP(C437,'נתוני רישום ומצבת'!B:E,4,0)," ")</f>
        <v xml:space="preserve"> </v>
      </c>
      <c r="H437" s="444" t="str">
        <f>IFERROR(VLOOKUP(C437,'נתוני רישום ומצבת'!B:K,7,0),"")</f>
        <v/>
      </c>
      <c r="I437" s="180" t="str">
        <f t="shared" si="22"/>
        <v/>
      </c>
      <c r="J437" s="443" t="str">
        <f>IFERROR(VLOOKUP(C437,'נתוני רישום ומצבת'!B:I,5,0)," ")</f>
        <v xml:space="preserve"> </v>
      </c>
      <c r="K437" s="443" t="str">
        <f>IFERROR(VLOOKUP(C437,'נתוני רישום ומצבת'!B:I,8,0),"")</f>
        <v/>
      </c>
      <c r="L437" s="284">
        <f t="shared" si="23"/>
        <v>0</v>
      </c>
      <c r="M437" s="283" t="str">
        <f t="shared" si="21"/>
        <v>-</v>
      </c>
    </row>
    <row r="438" spans="2:13" x14ac:dyDescent="0.25">
      <c r="B438" s="280">
        <v>418</v>
      </c>
      <c r="C438" s="549" t="str" cm="1">
        <f t="array" ref="C438">IFERROR(
   INDEX('נתוני רישום ומצבת'!$B:$B,
      SMALL(
         IF(('נתוני רישום ומצבת'!A$2:A$2998='נתונים כלליים (1)'!$C$5),
         ROW('נתוני רישום ומצבת'!A$2:A$2998)),
      ROW(A418))
   ),
"")</f>
        <v/>
      </c>
      <c r="D438" s="549" t="str">
        <f>IF(C438="", "",
   IFERROR(
      IF(VLOOKUP(C438, 'נתוני רישום ומצבת'!B:J, 9, FALSE) = $F$4,
         VLOOKUP(C438, 'נתוני רישום ומצבת'!B:J, 3, FALSE),
         "המוסד לא קיים ברשות"),
   "המוסד לא קיים"))</f>
        <v/>
      </c>
      <c r="E438" s="176" t="str">
        <f>IFERROR(VLOOKUP(C438,'נתוני רישום ומצבת'!B:G,6,0),"")</f>
        <v/>
      </c>
      <c r="F438" s="281" t="str">
        <f>IFERROR(VLOOKUP(C438,'נתוני רישום ומצבת'!B:K,10,0)," ")</f>
        <v xml:space="preserve"> </v>
      </c>
      <c r="G438" s="443" t="str">
        <f>IFERROR(VLOOKUP(C438,'נתוני רישום ומצבת'!B:E,4,0)," ")</f>
        <v xml:space="preserve"> </v>
      </c>
      <c r="H438" s="444" t="str">
        <f>IFERROR(VLOOKUP(C438,'נתוני רישום ומצבת'!B:K,7,0),"")</f>
        <v/>
      </c>
      <c r="I438" s="180" t="str">
        <f t="shared" si="22"/>
        <v/>
      </c>
      <c r="J438" s="443" t="str">
        <f>IFERROR(VLOOKUP(C438,'נתוני רישום ומצבת'!B:I,5,0)," ")</f>
        <v xml:space="preserve"> </v>
      </c>
      <c r="K438" s="443" t="str">
        <f>IFERROR(VLOOKUP(C438,'נתוני רישום ומצבת'!B:I,8,0),"")</f>
        <v/>
      </c>
      <c r="L438" s="284">
        <f t="shared" si="23"/>
        <v>0</v>
      </c>
      <c r="M438" s="283" t="str">
        <f t="shared" si="21"/>
        <v>-</v>
      </c>
    </row>
    <row r="439" spans="2:13" x14ac:dyDescent="0.25">
      <c r="B439" s="280">
        <v>419</v>
      </c>
      <c r="C439" s="549" t="str" cm="1">
        <f t="array" ref="C439">IFERROR(
   INDEX('נתוני רישום ומצבת'!$B:$B,
      SMALL(
         IF(('נתוני רישום ומצבת'!A$2:A$2998='נתונים כלליים (1)'!$C$5),
         ROW('נתוני רישום ומצבת'!A$2:A$2998)),
      ROW(A419))
   ),
"")</f>
        <v/>
      </c>
      <c r="D439" s="549" t="str">
        <f>IF(C439="", "",
   IFERROR(
      IF(VLOOKUP(C439, 'נתוני רישום ומצבת'!B:J, 9, FALSE) = $F$4,
         VLOOKUP(C439, 'נתוני רישום ומצבת'!B:J, 3, FALSE),
         "המוסד לא קיים ברשות"),
   "המוסד לא קיים"))</f>
        <v/>
      </c>
      <c r="E439" s="176" t="str">
        <f>IFERROR(VLOOKUP(C439,'נתוני רישום ומצבת'!B:G,6,0),"")</f>
        <v/>
      </c>
      <c r="F439" s="281" t="str">
        <f>IFERROR(VLOOKUP(C439,'נתוני רישום ומצבת'!B:K,10,0)," ")</f>
        <v xml:space="preserve"> </v>
      </c>
      <c r="G439" s="443" t="str">
        <f>IFERROR(VLOOKUP(C439,'נתוני רישום ומצבת'!B:E,4,0)," ")</f>
        <v xml:space="preserve"> </v>
      </c>
      <c r="H439" s="444" t="str">
        <f>IFERROR(VLOOKUP(C439,'נתוני רישום ומצבת'!B:K,7,0),"")</f>
        <v/>
      </c>
      <c r="I439" s="180" t="str">
        <f t="shared" si="22"/>
        <v/>
      </c>
      <c r="J439" s="443" t="str">
        <f>IFERROR(VLOOKUP(C439,'נתוני רישום ומצבת'!B:I,5,0)," ")</f>
        <v xml:space="preserve"> </v>
      </c>
      <c r="K439" s="443" t="str">
        <f>IFERROR(VLOOKUP(C439,'נתוני רישום ומצבת'!B:I,8,0),"")</f>
        <v/>
      </c>
      <c r="L439" s="284">
        <f t="shared" si="23"/>
        <v>0</v>
      </c>
      <c r="M439" s="283" t="str">
        <f t="shared" si="21"/>
        <v>-</v>
      </c>
    </row>
    <row r="440" spans="2:13" x14ac:dyDescent="0.25">
      <c r="B440" s="280">
        <v>420</v>
      </c>
      <c r="C440" s="549" t="str" cm="1">
        <f t="array" ref="C440">IFERROR(
   INDEX('נתוני רישום ומצבת'!$B:$B,
      SMALL(
         IF(('נתוני רישום ומצבת'!A$2:A$2998='נתונים כלליים (1)'!$C$5),
         ROW('נתוני רישום ומצבת'!A$2:A$2998)),
      ROW(A420))
   ),
"")</f>
        <v/>
      </c>
      <c r="D440" s="549" t="str">
        <f>IF(C440="", "",
   IFERROR(
      IF(VLOOKUP(C440, 'נתוני רישום ומצבת'!B:J, 9, FALSE) = $F$4,
         VLOOKUP(C440, 'נתוני רישום ומצבת'!B:J, 3, FALSE),
         "המוסד לא קיים ברשות"),
   "המוסד לא קיים"))</f>
        <v/>
      </c>
      <c r="E440" s="176" t="str">
        <f>IFERROR(VLOOKUP(C440,'נתוני רישום ומצבת'!B:G,6,0),"")</f>
        <v/>
      </c>
      <c r="F440" s="281" t="str">
        <f>IFERROR(VLOOKUP(C440,'נתוני רישום ומצבת'!B:K,10,0)," ")</f>
        <v xml:space="preserve"> </v>
      </c>
      <c r="G440" s="443" t="str">
        <f>IFERROR(VLOOKUP(C440,'נתוני רישום ומצבת'!B:E,4,0)," ")</f>
        <v xml:space="preserve"> </v>
      </c>
      <c r="H440" s="444" t="str">
        <f>IFERROR(VLOOKUP(C440,'נתוני רישום ומצבת'!B:K,7,0),"")</f>
        <v/>
      </c>
      <c r="I440" s="180" t="str">
        <f t="shared" si="22"/>
        <v/>
      </c>
      <c r="J440" s="443" t="str">
        <f>IFERROR(VLOOKUP(C440,'נתוני רישום ומצבת'!B:I,5,0)," ")</f>
        <v xml:space="preserve"> </v>
      </c>
      <c r="K440" s="443" t="str">
        <f>IFERROR(VLOOKUP(C440,'נתוני רישום ומצבת'!B:I,8,0),"")</f>
        <v/>
      </c>
      <c r="L440" s="284">
        <f t="shared" si="23"/>
        <v>0</v>
      </c>
      <c r="M440" s="283" t="str">
        <f t="shared" si="21"/>
        <v>-</v>
      </c>
    </row>
    <row r="441" spans="2:13" x14ac:dyDescent="0.25">
      <c r="B441" s="280">
        <v>421</v>
      </c>
      <c r="C441" s="549" t="str" cm="1">
        <f t="array" ref="C441">IFERROR(
   INDEX('נתוני רישום ומצבת'!$B:$B,
      SMALL(
         IF(('נתוני רישום ומצבת'!A$2:A$2998='נתונים כלליים (1)'!$C$5),
         ROW('נתוני רישום ומצבת'!A$2:A$2998)),
      ROW(A421))
   ),
"")</f>
        <v/>
      </c>
      <c r="D441" s="549" t="str">
        <f>IF(C441="", "",
   IFERROR(
      IF(VLOOKUP(C441, 'נתוני רישום ומצבת'!B:J, 9, FALSE) = $F$4,
         VLOOKUP(C441, 'נתוני רישום ומצבת'!B:J, 3, FALSE),
         "המוסד לא קיים ברשות"),
   "המוסד לא קיים"))</f>
        <v/>
      </c>
      <c r="E441" s="176" t="str">
        <f>IFERROR(VLOOKUP(C441,'נתוני רישום ומצבת'!B:G,6,0),"")</f>
        <v/>
      </c>
      <c r="F441" s="281" t="str">
        <f>IFERROR(VLOOKUP(C441,'נתוני רישום ומצבת'!B:K,10,0)," ")</f>
        <v xml:space="preserve"> </v>
      </c>
      <c r="G441" s="443" t="str">
        <f>IFERROR(VLOOKUP(C441,'נתוני רישום ומצבת'!B:E,4,0)," ")</f>
        <v xml:space="preserve"> </v>
      </c>
      <c r="H441" s="444" t="str">
        <f>IFERROR(VLOOKUP(C441,'נתוני רישום ומצבת'!B:K,7,0),"")</f>
        <v/>
      </c>
      <c r="I441" s="180" t="str">
        <f t="shared" si="22"/>
        <v/>
      </c>
      <c r="J441" s="443" t="str">
        <f>IFERROR(VLOOKUP(C441,'נתוני רישום ומצבת'!B:I,5,0)," ")</f>
        <v xml:space="preserve"> </v>
      </c>
      <c r="K441" s="443" t="str">
        <f>IFERROR(VLOOKUP(C441,'נתוני רישום ומצבת'!B:I,8,0),"")</f>
        <v/>
      </c>
      <c r="L441" s="284">
        <f t="shared" si="23"/>
        <v>0</v>
      </c>
      <c r="M441" s="283" t="str">
        <f t="shared" si="21"/>
        <v>-</v>
      </c>
    </row>
    <row r="442" spans="2:13" x14ac:dyDescent="0.25">
      <c r="B442" s="280">
        <v>422</v>
      </c>
      <c r="C442" s="549" t="str" cm="1">
        <f t="array" ref="C442">IFERROR(
   INDEX('נתוני רישום ומצבת'!$B:$B,
      SMALL(
         IF(('נתוני רישום ומצבת'!A$2:A$2998='נתונים כלליים (1)'!$C$5),
         ROW('נתוני רישום ומצבת'!A$2:A$2998)),
      ROW(A422))
   ),
"")</f>
        <v/>
      </c>
      <c r="D442" s="549" t="str">
        <f>IF(C442="", "",
   IFERROR(
      IF(VLOOKUP(C442, 'נתוני רישום ומצבת'!B:J, 9, FALSE) = $F$4,
         VLOOKUP(C442, 'נתוני רישום ומצבת'!B:J, 3, FALSE),
         "המוסד לא קיים ברשות"),
   "המוסד לא קיים"))</f>
        <v/>
      </c>
      <c r="E442" s="176" t="str">
        <f>IFERROR(VLOOKUP(C442,'נתוני רישום ומצבת'!B:G,6,0),"")</f>
        <v/>
      </c>
      <c r="F442" s="281" t="str">
        <f>IFERROR(VLOOKUP(C442,'נתוני רישום ומצבת'!B:K,10,0)," ")</f>
        <v xml:space="preserve"> </v>
      </c>
      <c r="G442" s="443" t="str">
        <f>IFERROR(VLOOKUP(C442,'נתוני רישום ומצבת'!B:E,4,0)," ")</f>
        <v xml:space="preserve"> </v>
      </c>
      <c r="H442" s="444" t="str">
        <f>IFERROR(VLOOKUP(C442,'נתוני רישום ומצבת'!B:K,7,0),"")</f>
        <v/>
      </c>
      <c r="I442" s="180" t="str">
        <f t="shared" si="22"/>
        <v/>
      </c>
      <c r="J442" s="443" t="str">
        <f>IFERROR(VLOOKUP(C442,'נתוני רישום ומצבת'!B:I,5,0)," ")</f>
        <v xml:space="preserve"> </v>
      </c>
      <c r="K442" s="443" t="str">
        <f>IFERROR(VLOOKUP(C442,'נתוני רישום ומצבת'!B:I,8,0),"")</f>
        <v/>
      </c>
      <c r="L442" s="284">
        <f t="shared" si="23"/>
        <v>0</v>
      </c>
      <c r="M442" s="283" t="str">
        <f t="shared" si="21"/>
        <v>-</v>
      </c>
    </row>
    <row r="443" spans="2:13" x14ac:dyDescent="0.25">
      <c r="B443" s="280">
        <v>423</v>
      </c>
      <c r="C443" s="549" t="str" cm="1">
        <f t="array" ref="C443">IFERROR(
   INDEX('נתוני רישום ומצבת'!$B:$B,
      SMALL(
         IF(('נתוני רישום ומצבת'!A$2:A$2998='נתונים כלליים (1)'!$C$5),
         ROW('נתוני רישום ומצבת'!A$2:A$2998)),
      ROW(A423))
   ),
"")</f>
        <v/>
      </c>
      <c r="D443" s="549" t="str">
        <f>IF(C443="", "",
   IFERROR(
      IF(VLOOKUP(C443, 'נתוני רישום ומצבת'!B:J, 9, FALSE) = $F$4,
         VLOOKUP(C443, 'נתוני רישום ומצבת'!B:J, 3, FALSE),
         "המוסד לא קיים ברשות"),
   "המוסד לא קיים"))</f>
        <v/>
      </c>
      <c r="E443" s="176" t="str">
        <f>IFERROR(VLOOKUP(C443,'נתוני רישום ומצבת'!B:G,6,0),"")</f>
        <v/>
      </c>
      <c r="F443" s="281" t="str">
        <f>IFERROR(VLOOKUP(C443,'נתוני רישום ומצבת'!B:K,10,0)," ")</f>
        <v xml:space="preserve"> </v>
      </c>
      <c r="G443" s="443" t="str">
        <f>IFERROR(VLOOKUP(C443,'נתוני רישום ומצבת'!B:E,4,0)," ")</f>
        <v xml:space="preserve"> </v>
      </c>
      <c r="H443" s="444" t="str">
        <f>IFERROR(VLOOKUP(C443,'נתוני רישום ומצבת'!B:K,7,0),"")</f>
        <v/>
      </c>
      <c r="I443" s="180" t="str">
        <f t="shared" si="22"/>
        <v/>
      </c>
      <c r="J443" s="443" t="str">
        <f>IFERROR(VLOOKUP(C443,'נתוני רישום ומצבת'!B:I,5,0)," ")</f>
        <v xml:space="preserve"> </v>
      </c>
      <c r="K443" s="443" t="str">
        <f>IFERROR(VLOOKUP(C443,'נתוני רישום ומצבת'!B:I,8,0),"")</f>
        <v/>
      </c>
      <c r="L443" s="284">
        <f t="shared" si="23"/>
        <v>0</v>
      </c>
      <c r="M443" s="283" t="str">
        <f t="shared" si="21"/>
        <v>-</v>
      </c>
    </row>
    <row r="444" spans="2:13" x14ac:dyDescent="0.25">
      <c r="B444" s="280">
        <v>424</v>
      </c>
      <c r="C444" s="549" t="str" cm="1">
        <f t="array" ref="C444">IFERROR(
   INDEX('נתוני רישום ומצבת'!$B:$B,
      SMALL(
         IF(('נתוני רישום ומצבת'!A$2:A$2998='נתונים כלליים (1)'!$C$5),
         ROW('נתוני רישום ומצבת'!A$2:A$2998)),
      ROW(A424))
   ),
"")</f>
        <v/>
      </c>
      <c r="D444" s="549" t="str">
        <f>IF(C444="", "",
   IFERROR(
      IF(VLOOKUP(C444, 'נתוני רישום ומצבת'!B:J, 9, FALSE) = $F$4,
         VLOOKUP(C444, 'נתוני רישום ומצבת'!B:J, 3, FALSE),
         "המוסד לא קיים ברשות"),
   "המוסד לא קיים"))</f>
        <v/>
      </c>
      <c r="E444" s="176" t="str">
        <f>IFERROR(VLOOKUP(C444,'נתוני רישום ומצבת'!B:G,6,0),"")</f>
        <v/>
      </c>
      <c r="F444" s="281" t="str">
        <f>IFERROR(VLOOKUP(C444,'נתוני רישום ומצבת'!B:K,10,0)," ")</f>
        <v xml:space="preserve"> </v>
      </c>
      <c r="G444" s="443" t="str">
        <f>IFERROR(VLOOKUP(C444,'נתוני רישום ומצבת'!B:E,4,0)," ")</f>
        <v xml:space="preserve"> </v>
      </c>
      <c r="H444" s="444" t="str">
        <f>IFERROR(VLOOKUP(C444,'נתוני רישום ומצבת'!B:K,7,0),"")</f>
        <v/>
      </c>
      <c r="I444" s="180" t="str">
        <f t="shared" si="22"/>
        <v/>
      </c>
      <c r="J444" s="443" t="str">
        <f>IFERROR(VLOOKUP(C444,'נתוני רישום ומצבת'!B:I,5,0)," ")</f>
        <v xml:space="preserve"> </v>
      </c>
      <c r="K444" s="443" t="str">
        <f>IFERROR(VLOOKUP(C444,'נתוני רישום ומצבת'!B:I,8,0),"")</f>
        <v/>
      </c>
      <c r="L444" s="284">
        <f t="shared" si="23"/>
        <v>0</v>
      </c>
      <c r="M444" s="283" t="str">
        <f t="shared" si="21"/>
        <v>-</v>
      </c>
    </row>
    <row r="445" spans="2:13" x14ac:dyDescent="0.25">
      <c r="B445" s="280">
        <v>425</v>
      </c>
      <c r="C445" s="549" t="str" cm="1">
        <f t="array" ref="C445">IFERROR(
   INDEX('נתוני רישום ומצבת'!$B:$B,
      SMALL(
         IF(('נתוני רישום ומצבת'!A$2:A$2998='נתונים כלליים (1)'!$C$5),
         ROW('נתוני רישום ומצבת'!A$2:A$2998)),
      ROW(A425))
   ),
"")</f>
        <v/>
      </c>
      <c r="D445" s="549" t="str">
        <f>IF(C445="", "",
   IFERROR(
      IF(VLOOKUP(C445, 'נתוני רישום ומצבת'!B:J, 9, FALSE) = $F$4,
         VLOOKUP(C445, 'נתוני רישום ומצבת'!B:J, 3, FALSE),
         "המוסד לא קיים ברשות"),
   "המוסד לא קיים"))</f>
        <v/>
      </c>
      <c r="E445" s="176" t="str">
        <f>IFERROR(VLOOKUP(C445,'נתוני רישום ומצבת'!B:G,6,0),"")</f>
        <v/>
      </c>
      <c r="F445" s="281" t="str">
        <f>IFERROR(VLOOKUP(C445,'נתוני רישום ומצבת'!B:K,10,0)," ")</f>
        <v xml:space="preserve"> </v>
      </c>
      <c r="G445" s="443" t="str">
        <f>IFERROR(VLOOKUP(C445,'נתוני רישום ומצבת'!B:E,4,0)," ")</f>
        <v xml:space="preserve"> </v>
      </c>
      <c r="H445" s="444" t="str">
        <f>IFERROR(VLOOKUP(C445,'נתוני רישום ומצבת'!B:K,7,0),"")</f>
        <v/>
      </c>
      <c r="I445" s="180" t="str">
        <f t="shared" si="22"/>
        <v/>
      </c>
      <c r="J445" s="443" t="str">
        <f>IFERROR(VLOOKUP(C445,'נתוני רישום ומצבת'!B:I,5,0)," ")</f>
        <v xml:space="preserve"> </v>
      </c>
      <c r="K445" s="443" t="str">
        <f>IFERROR(VLOOKUP(C445,'נתוני רישום ומצבת'!B:I,8,0),"")</f>
        <v/>
      </c>
      <c r="L445" s="284">
        <f t="shared" si="23"/>
        <v>0</v>
      </c>
      <c r="M445" s="283" t="str">
        <f t="shared" si="21"/>
        <v>-</v>
      </c>
    </row>
    <row r="446" spans="2:13" x14ac:dyDescent="0.25">
      <c r="B446" s="280">
        <v>426</v>
      </c>
      <c r="C446" s="549" t="str" cm="1">
        <f t="array" ref="C446">IFERROR(
   INDEX('נתוני רישום ומצבת'!$B:$B,
      SMALL(
         IF(('נתוני רישום ומצבת'!A$2:A$2998='נתונים כלליים (1)'!$C$5),
         ROW('נתוני רישום ומצבת'!A$2:A$2998)),
      ROW(A426))
   ),
"")</f>
        <v/>
      </c>
      <c r="D446" s="549" t="str">
        <f>IF(C446="", "",
   IFERROR(
      IF(VLOOKUP(C446, 'נתוני רישום ומצבת'!B:J, 9, FALSE) = $F$4,
         VLOOKUP(C446, 'נתוני רישום ומצבת'!B:J, 3, FALSE),
         "המוסד לא קיים ברשות"),
   "המוסד לא קיים"))</f>
        <v/>
      </c>
      <c r="E446" s="176" t="str">
        <f>IFERROR(VLOOKUP(C446,'נתוני רישום ומצבת'!B:G,6,0),"")</f>
        <v/>
      </c>
      <c r="F446" s="281" t="str">
        <f>IFERROR(VLOOKUP(C446,'נתוני רישום ומצבת'!B:K,10,0)," ")</f>
        <v xml:space="preserve"> </v>
      </c>
      <c r="G446" s="443" t="str">
        <f>IFERROR(VLOOKUP(C446,'נתוני רישום ומצבת'!B:E,4,0)," ")</f>
        <v xml:space="preserve"> </v>
      </c>
      <c r="H446" s="444" t="str">
        <f>IFERROR(VLOOKUP(C446,'נתוני רישום ומצבת'!B:K,7,0),"")</f>
        <v/>
      </c>
      <c r="I446" s="180" t="str">
        <f t="shared" si="22"/>
        <v/>
      </c>
      <c r="J446" s="443" t="str">
        <f>IFERROR(VLOOKUP(C446,'נתוני רישום ומצבת'!B:I,5,0)," ")</f>
        <v xml:space="preserve"> </v>
      </c>
      <c r="K446" s="443" t="str">
        <f>IFERROR(VLOOKUP(C446,'נתוני רישום ומצבת'!B:I,8,0),"")</f>
        <v/>
      </c>
      <c r="L446" s="284">
        <f t="shared" si="23"/>
        <v>0</v>
      </c>
      <c r="M446" s="283" t="str">
        <f t="shared" si="21"/>
        <v>-</v>
      </c>
    </row>
    <row r="447" spans="2:13" x14ac:dyDescent="0.25">
      <c r="B447" s="280">
        <v>427</v>
      </c>
      <c r="C447" s="549" t="str" cm="1">
        <f t="array" ref="C447">IFERROR(
   INDEX('נתוני רישום ומצבת'!$B:$B,
      SMALL(
         IF(('נתוני רישום ומצבת'!A$2:A$2998='נתונים כלליים (1)'!$C$5),
         ROW('נתוני רישום ומצבת'!A$2:A$2998)),
      ROW(A427))
   ),
"")</f>
        <v/>
      </c>
      <c r="D447" s="549" t="str">
        <f>IF(C447="", "",
   IFERROR(
      IF(VLOOKUP(C447, 'נתוני רישום ומצבת'!B:J, 9, FALSE) = $F$4,
         VLOOKUP(C447, 'נתוני רישום ומצבת'!B:J, 3, FALSE),
         "המוסד לא קיים ברשות"),
   "המוסד לא קיים"))</f>
        <v/>
      </c>
      <c r="E447" s="176" t="str">
        <f>IFERROR(VLOOKUP(C447,'נתוני רישום ומצבת'!B:G,6,0),"")</f>
        <v/>
      </c>
      <c r="F447" s="281" t="str">
        <f>IFERROR(VLOOKUP(C447,'נתוני רישום ומצבת'!B:K,10,0)," ")</f>
        <v xml:space="preserve"> </v>
      </c>
      <c r="G447" s="443" t="str">
        <f>IFERROR(VLOOKUP(C447,'נתוני רישום ומצבת'!B:E,4,0)," ")</f>
        <v xml:space="preserve"> </v>
      </c>
      <c r="H447" s="444" t="str">
        <f>IFERROR(VLOOKUP(C447,'נתוני רישום ומצבת'!B:K,7,0),"")</f>
        <v/>
      </c>
      <c r="I447" s="180" t="str">
        <f t="shared" si="22"/>
        <v/>
      </c>
      <c r="J447" s="443" t="str">
        <f>IFERROR(VLOOKUP(C447,'נתוני רישום ומצבת'!B:I,5,0)," ")</f>
        <v xml:space="preserve"> </v>
      </c>
      <c r="K447" s="443" t="str">
        <f>IFERROR(VLOOKUP(C447,'נתוני רישום ומצבת'!B:I,8,0),"")</f>
        <v/>
      </c>
      <c r="L447" s="284">
        <f t="shared" si="23"/>
        <v>0</v>
      </c>
      <c r="M447" s="283" t="str">
        <f t="shared" si="21"/>
        <v>-</v>
      </c>
    </row>
    <row r="448" spans="2:13" x14ac:dyDescent="0.25">
      <c r="B448" s="280">
        <v>428</v>
      </c>
      <c r="C448" s="549" t="str" cm="1">
        <f t="array" ref="C448">IFERROR(
   INDEX('נתוני רישום ומצבת'!$B:$B,
      SMALL(
         IF(('נתוני רישום ומצבת'!A$2:A$2998='נתונים כלליים (1)'!$C$5),
         ROW('נתוני רישום ומצבת'!A$2:A$2998)),
      ROW(A428))
   ),
"")</f>
        <v/>
      </c>
      <c r="D448" s="549" t="str">
        <f>IF(C448="", "",
   IFERROR(
      IF(VLOOKUP(C448, 'נתוני רישום ומצבת'!B:J, 9, FALSE) = $F$4,
         VLOOKUP(C448, 'נתוני רישום ומצבת'!B:J, 3, FALSE),
         "המוסד לא קיים ברשות"),
   "המוסד לא קיים"))</f>
        <v/>
      </c>
      <c r="E448" s="176" t="str">
        <f>IFERROR(VLOOKUP(C448,'נתוני רישום ומצבת'!B:G,6,0),"")</f>
        <v/>
      </c>
      <c r="F448" s="281" t="str">
        <f>IFERROR(VLOOKUP(C448,'נתוני רישום ומצבת'!B:K,10,0)," ")</f>
        <v xml:space="preserve"> </v>
      </c>
      <c r="G448" s="443" t="str">
        <f>IFERROR(VLOOKUP(C448,'נתוני רישום ומצבת'!B:E,4,0)," ")</f>
        <v xml:space="preserve"> </v>
      </c>
      <c r="H448" s="444" t="str">
        <f>IFERROR(VLOOKUP(C448,'נתוני רישום ומצבת'!B:K,7,0),"")</f>
        <v/>
      </c>
      <c r="I448" s="180" t="str">
        <f t="shared" si="22"/>
        <v/>
      </c>
      <c r="J448" s="443" t="str">
        <f>IFERROR(VLOOKUP(C448,'נתוני רישום ומצבת'!B:I,5,0)," ")</f>
        <v xml:space="preserve"> </v>
      </c>
      <c r="K448" s="443" t="str">
        <f>IFERROR(VLOOKUP(C448,'נתוני רישום ומצבת'!B:I,8,0),"")</f>
        <v/>
      </c>
      <c r="L448" s="284">
        <f t="shared" si="23"/>
        <v>0</v>
      </c>
      <c r="M448" s="283" t="str">
        <f t="shared" si="21"/>
        <v>-</v>
      </c>
    </row>
    <row r="449" spans="2:13" x14ac:dyDescent="0.25">
      <c r="B449" s="280">
        <v>429</v>
      </c>
      <c r="C449" s="549" t="str" cm="1">
        <f t="array" ref="C449">IFERROR(
   INDEX('נתוני רישום ומצבת'!$B:$B,
      SMALL(
         IF(('נתוני רישום ומצבת'!A$2:A$2998='נתונים כלליים (1)'!$C$5),
         ROW('נתוני רישום ומצבת'!A$2:A$2998)),
      ROW(A429))
   ),
"")</f>
        <v/>
      </c>
      <c r="D449" s="549" t="str">
        <f>IF(C449="", "",
   IFERROR(
      IF(VLOOKUP(C449, 'נתוני רישום ומצבת'!B:J, 9, FALSE) = $F$4,
         VLOOKUP(C449, 'נתוני רישום ומצבת'!B:J, 3, FALSE),
         "המוסד לא קיים ברשות"),
   "המוסד לא קיים"))</f>
        <v/>
      </c>
      <c r="E449" s="176" t="str">
        <f>IFERROR(VLOOKUP(C449,'נתוני רישום ומצבת'!B:G,6,0),"")</f>
        <v/>
      </c>
      <c r="F449" s="281" t="str">
        <f>IFERROR(VLOOKUP(C449,'נתוני רישום ומצבת'!B:K,10,0)," ")</f>
        <v xml:space="preserve"> </v>
      </c>
      <c r="G449" s="443" t="str">
        <f>IFERROR(VLOOKUP(C449,'נתוני רישום ומצבת'!B:E,4,0)," ")</f>
        <v xml:space="preserve"> </v>
      </c>
      <c r="H449" s="444" t="str">
        <f>IFERROR(VLOOKUP(C449,'נתוני רישום ומצבת'!B:K,7,0),"")</f>
        <v/>
      </c>
      <c r="I449" s="180" t="str">
        <f t="shared" si="22"/>
        <v/>
      </c>
      <c r="J449" s="443" t="str">
        <f>IFERROR(VLOOKUP(C449,'נתוני רישום ומצבת'!B:I,5,0)," ")</f>
        <v xml:space="preserve"> </v>
      </c>
      <c r="K449" s="443" t="str">
        <f>IFERROR(VLOOKUP(C449,'נתוני רישום ומצבת'!B:I,8,0),"")</f>
        <v/>
      </c>
      <c r="L449" s="284">
        <f t="shared" si="23"/>
        <v>0</v>
      </c>
      <c r="M449" s="283" t="str">
        <f t="shared" si="21"/>
        <v>-</v>
      </c>
    </row>
    <row r="450" spans="2:13" x14ac:dyDescent="0.25">
      <c r="B450" s="280">
        <v>430</v>
      </c>
      <c r="C450" s="549" t="str" cm="1">
        <f t="array" ref="C450">IFERROR(
   INDEX('נתוני רישום ומצבת'!$B:$B,
      SMALL(
         IF(('נתוני רישום ומצבת'!A$2:A$2998='נתונים כלליים (1)'!$C$5),
         ROW('נתוני רישום ומצבת'!A$2:A$2998)),
      ROW(A430))
   ),
"")</f>
        <v/>
      </c>
      <c r="D450" s="549" t="str">
        <f>IF(C450="", "",
   IFERROR(
      IF(VLOOKUP(C450, 'נתוני רישום ומצבת'!B:J, 9, FALSE) = $F$4,
         VLOOKUP(C450, 'נתוני רישום ומצבת'!B:J, 3, FALSE),
         "המוסד לא קיים ברשות"),
   "המוסד לא קיים"))</f>
        <v/>
      </c>
      <c r="E450" s="176" t="str">
        <f>IFERROR(VLOOKUP(C450,'נתוני רישום ומצבת'!B:G,6,0),"")</f>
        <v/>
      </c>
      <c r="F450" s="281" t="str">
        <f>IFERROR(VLOOKUP(C450,'נתוני רישום ומצבת'!B:K,10,0)," ")</f>
        <v xml:space="preserve"> </v>
      </c>
      <c r="G450" s="443" t="str">
        <f>IFERROR(VLOOKUP(C450,'נתוני רישום ומצבת'!B:E,4,0)," ")</f>
        <v xml:space="preserve"> </v>
      </c>
      <c r="H450" s="444" t="str">
        <f>IFERROR(VLOOKUP(C450,'נתוני רישום ומצבת'!B:K,7,0),"")</f>
        <v/>
      </c>
      <c r="I450" s="180" t="str">
        <f t="shared" si="22"/>
        <v/>
      </c>
      <c r="J450" s="443" t="str">
        <f>IFERROR(VLOOKUP(C450,'נתוני רישום ומצבת'!B:I,5,0)," ")</f>
        <v xml:space="preserve"> </v>
      </c>
      <c r="K450" s="443" t="str">
        <f>IFERROR(VLOOKUP(C450,'נתוני רישום ומצבת'!B:I,8,0),"")</f>
        <v/>
      </c>
      <c r="L450" s="284">
        <f t="shared" si="23"/>
        <v>0</v>
      </c>
      <c r="M450" s="283" t="str">
        <f t="shared" si="21"/>
        <v>-</v>
      </c>
    </row>
    <row r="451" spans="2:13" x14ac:dyDescent="0.25">
      <c r="B451" s="280">
        <v>431</v>
      </c>
      <c r="C451" s="549" t="str" cm="1">
        <f t="array" ref="C451">IFERROR(
   INDEX('נתוני רישום ומצבת'!$B:$B,
      SMALL(
         IF(('נתוני רישום ומצבת'!A$2:A$2998='נתונים כלליים (1)'!$C$5),
         ROW('נתוני רישום ומצבת'!A$2:A$2998)),
      ROW(A431))
   ),
"")</f>
        <v/>
      </c>
      <c r="D451" s="549" t="str">
        <f>IF(C451="", "",
   IFERROR(
      IF(VLOOKUP(C451, 'נתוני רישום ומצבת'!B:J, 9, FALSE) = $F$4,
         VLOOKUP(C451, 'נתוני רישום ומצבת'!B:J, 3, FALSE),
         "המוסד לא קיים ברשות"),
   "המוסד לא קיים"))</f>
        <v/>
      </c>
      <c r="E451" s="176" t="str">
        <f>IFERROR(VLOOKUP(C451,'נתוני רישום ומצבת'!B:G,6,0),"")</f>
        <v/>
      </c>
      <c r="F451" s="281" t="str">
        <f>IFERROR(VLOOKUP(C451,'נתוני רישום ומצבת'!B:K,10,0)," ")</f>
        <v xml:space="preserve"> </v>
      </c>
      <c r="G451" s="443" t="str">
        <f>IFERROR(VLOOKUP(C451,'נתוני רישום ומצבת'!B:E,4,0)," ")</f>
        <v xml:space="preserve"> </v>
      </c>
      <c r="H451" s="444" t="str">
        <f>IFERROR(VLOOKUP(C451,'נתוני רישום ומצבת'!B:K,7,0),"")</f>
        <v/>
      </c>
      <c r="I451" s="180" t="str">
        <f t="shared" si="22"/>
        <v/>
      </c>
      <c r="J451" s="443" t="str">
        <f>IFERROR(VLOOKUP(C451,'נתוני רישום ומצבת'!B:I,5,0)," ")</f>
        <v xml:space="preserve"> </v>
      </c>
      <c r="K451" s="443" t="str">
        <f>IFERROR(VLOOKUP(C451,'נתוני רישום ומצבת'!B:I,8,0),"")</f>
        <v/>
      </c>
      <c r="L451" s="284">
        <f t="shared" si="23"/>
        <v>0</v>
      </c>
      <c r="M451" s="283" t="str">
        <f t="shared" si="21"/>
        <v>-</v>
      </c>
    </row>
    <row r="452" spans="2:13" x14ac:dyDescent="0.25">
      <c r="B452" s="280">
        <v>432</v>
      </c>
      <c r="C452" s="549" t="str" cm="1">
        <f t="array" ref="C452">IFERROR(
   INDEX('נתוני רישום ומצבת'!$B:$B,
      SMALL(
         IF(('נתוני רישום ומצבת'!A$2:A$2998='נתונים כלליים (1)'!$C$5),
         ROW('נתוני רישום ומצבת'!A$2:A$2998)),
      ROW(A432))
   ),
"")</f>
        <v/>
      </c>
      <c r="D452" s="549" t="str">
        <f>IF(C452="", "",
   IFERROR(
      IF(VLOOKUP(C452, 'נתוני רישום ומצבת'!B:J, 9, FALSE) = $F$4,
         VLOOKUP(C452, 'נתוני רישום ומצבת'!B:J, 3, FALSE),
         "המוסד לא קיים ברשות"),
   "המוסד לא קיים"))</f>
        <v/>
      </c>
      <c r="E452" s="176" t="str">
        <f>IFERROR(VLOOKUP(C452,'נתוני רישום ומצבת'!B:G,6,0),"")</f>
        <v/>
      </c>
      <c r="F452" s="281" t="str">
        <f>IFERROR(VLOOKUP(C452,'נתוני רישום ומצבת'!B:K,10,0)," ")</f>
        <v xml:space="preserve"> </v>
      </c>
      <c r="G452" s="443" t="str">
        <f>IFERROR(VLOOKUP(C452,'נתוני רישום ומצבת'!B:E,4,0)," ")</f>
        <v xml:space="preserve"> </v>
      </c>
      <c r="H452" s="444" t="str">
        <f>IFERROR(VLOOKUP(C452,'נתוני רישום ומצבת'!B:K,7,0),"")</f>
        <v/>
      </c>
      <c r="I452" s="180" t="str">
        <f t="shared" si="22"/>
        <v/>
      </c>
      <c r="J452" s="443" t="str">
        <f>IFERROR(VLOOKUP(C452,'נתוני רישום ומצבת'!B:I,5,0)," ")</f>
        <v xml:space="preserve"> </v>
      </c>
      <c r="K452" s="443" t="str">
        <f>IFERROR(VLOOKUP(C452,'נתוני רישום ומצבת'!B:I,8,0),"")</f>
        <v/>
      </c>
      <c r="L452" s="284">
        <f t="shared" si="23"/>
        <v>0</v>
      </c>
      <c r="M452" s="283" t="str">
        <f t="shared" si="21"/>
        <v>-</v>
      </c>
    </row>
    <row r="453" spans="2:13" x14ac:dyDescent="0.25">
      <c r="B453" s="280">
        <v>433</v>
      </c>
      <c r="C453" s="549" t="str" cm="1">
        <f t="array" ref="C453">IFERROR(
   INDEX('נתוני רישום ומצבת'!$B:$B,
      SMALL(
         IF(('נתוני רישום ומצבת'!A$2:A$2998='נתונים כלליים (1)'!$C$5),
         ROW('נתוני רישום ומצבת'!A$2:A$2998)),
      ROW(A433))
   ),
"")</f>
        <v/>
      </c>
      <c r="D453" s="549" t="str">
        <f>IF(C453="", "",
   IFERROR(
      IF(VLOOKUP(C453, 'נתוני רישום ומצבת'!B:J, 9, FALSE) = $F$4,
         VLOOKUP(C453, 'נתוני רישום ומצבת'!B:J, 3, FALSE),
         "המוסד לא קיים ברשות"),
   "המוסד לא קיים"))</f>
        <v/>
      </c>
      <c r="E453" s="176" t="str">
        <f>IFERROR(VLOOKUP(C453,'נתוני רישום ומצבת'!B:G,6,0),"")</f>
        <v/>
      </c>
      <c r="F453" s="281" t="str">
        <f>IFERROR(VLOOKUP(C453,'נתוני רישום ומצבת'!B:K,10,0)," ")</f>
        <v xml:space="preserve"> </v>
      </c>
      <c r="G453" s="443" t="str">
        <f>IFERROR(VLOOKUP(C453,'נתוני רישום ומצבת'!B:E,4,0)," ")</f>
        <v xml:space="preserve"> </v>
      </c>
      <c r="H453" s="444" t="str">
        <f>IFERROR(VLOOKUP(C453,'נתוני רישום ומצבת'!B:K,7,0),"")</f>
        <v/>
      </c>
      <c r="I453" s="180" t="str">
        <f t="shared" si="22"/>
        <v/>
      </c>
      <c r="J453" s="443" t="str">
        <f>IFERROR(VLOOKUP(C453,'נתוני רישום ומצבת'!B:I,5,0)," ")</f>
        <v xml:space="preserve"> </v>
      </c>
      <c r="K453" s="443" t="str">
        <f>IFERROR(VLOOKUP(C453,'נתוני רישום ומצבת'!B:I,8,0),"")</f>
        <v/>
      </c>
      <c r="L453" s="284">
        <f t="shared" si="23"/>
        <v>0</v>
      </c>
      <c r="M453" s="283" t="str">
        <f t="shared" si="21"/>
        <v>-</v>
      </c>
    </row>
    <row r="454" spans="2:13" x14ac:dyDescent="0.25">
      <c r="B454" s="280">
        <v>434</v>
      </c>
      <c r="C454" s="549" t="str" cm="1">
        <f t="array" ref="C454">IFERROR(
   INDEX('נתוני רישום ומצבת'!$B:$B,
      SMALL(
         IF(('נתוני רישום ומצבת'!A$2:A$2998='נתונים כלליים (1)'!$C$5),
         ROW('נתוני רישום ומצבת'!A$2:A$2998)),
      ROW(A434))
   ),
"")</f>
        <v/>
      </c>
      <c r="D454" s="549" t="str">
        <f>IF(C454="", "",
   IFERROR(
      IF(VLOOKUP(C454, 'נתוני רישום ומצבת'!B:J, 9, FALSE) = $F$4,
         VLOOKUP(C454, 'נתוני רישום ומצבת'!B:J, 3, FALSE),
         "המוסד לא קיים ברשות"),
   "המוסד לא קיים"))</f>
        <v/>
      </c>
      <c r="E454" s="176" t="str">
        <f>IFERROR(VLOOKUP(C454,'נתוני רישום ומצבת'!B:G,6,0),"")</f>
        <v/>
      </c>
      <c r="F454" s="281" t="str">
        <f>IFERROR(VLOOKUP(C454,'נתוני רישום ומצבת'!B:K,10,0)," ")</f>
        <v xml:space="preserve"> </v>
      </c>
      <c r="G454" s="443" t="str">
        <f>IFERROR(VLOOKUP(C454,'נתוני רישום ומצבת'!B:E,4,0)," ")</f>
        <v xml:space="preserve"> </v>
      </c>
      <c r="H454" s="444" t="str">
        <f>IFERROR(VLOOKUP(C454,'נתוני רישום ומצבת'!B:K,7,0),"")</f>
        <v/>
      </c>
      <c r="I454" s="180" t="str">
        <f t="shared" si="22"/>
        <v/>
      </c>
      <c r="J454" s="443" t="str">
        <f>IFERROR(VLOOKUP(C454,'נתוני רישום ומצבת'!B:I,5,0)," ")</f>
        <v xml:space="preserve"> </v>
      </c>
      <c r="K454" s="443" t="str">
        <f>IFERROR(VLOOKUP(C454,'נתוני רישום ומצבת'!B:I,8,0),"")</f>
        <v/>
      </c>
      <c r="L454" s="284">
        <f t="shared" si="23"/>
        <v>0</v>
      </c>
      <c r="M454" s="283" t="str">
        <f t="shared" si="21"/>
        <v>-</v>
      </c>
    </row>
    <row r="455" spans="2:13" x14ac:dyDescent="0.25">
      <c r="B455" s="280">
        <v>435</v>
      </c>
      <c r="C455" s="549" t="str" cm="1">
        <f t="array" ref="C455">IFERROR(
   INDEX('נתוני רישום ומצבת'!$B:$B,
      SMALL(
         IF(('נתוני רישום ומצבת'!A$2:A$2998='נתונים כלליים (1)'!$C$5),
         ROW('נתוני רישום ומצבת'!A$2:A$2998)),
      ROW(A435))
   ),
"")</f>
        <v/>
      </c>
      <c r="D455" s="549" t="str">
        <f>IF(C455="", "",
   IFERROR(
      IF(VLOOKUP(C455, 'נתוני רישום ומצבת'!B:J, 9, FALSE) = $F$4,
         VLOOKUP(C455, 'נתוני רישום ומצבת'!B:J, 3, FALSE),
         "המוסד לא קיים ברשות"),
   "המוסד לא קיים"))</f>
        <v/>
      </c>
      <c r="E455" s="176" t="str">
        <f>IFERROR(VLOOKUP(C455,'נתוני רישום ומצבת'!B:G,6,0),"")</f>
        <v/>
      </c>
      <c r="F455" s="281" t="str">
        <f>IFERROR(VLOOKUP(C455,'נתוני רישום ומצבת'!B:K,10,0)," ")</f>
        <v xml:space="preserve"> </v>
      </c>
      <c r="G455" s="443" t="str">
        <f>IFERROR(VLOOKUP(C455,'נתוני רישום ומצבת'!B:E,4,0)," ")</f>
        <v xml:space="preserve"> </v>
      </c>
      <c r="H455" s="444" t="str">
        <f>IFERROR(VLOOKUP(C455,'נתוני רישום ומצבת'!B:K,7,0),"")</f>
        <v/>
      </c>
      <c r="I455" s="180" t="str">
        <f t="shared" si="22"/>
        <v/>
      </c>
      <c r="J455" s="443" t="str">
        <f>IFERROR(VLOOKUP(C455,'נתוני רישום ומצבת'!B:I,5,0)," ")</f>
        <v xml:space="preserve"> </v>
      </c>
      <c r="K455" s="443" t="str">
        <f>IFERROR(VLOOKUP(C455,'נתוני רישום ומצבת'!B:I,8,0),"")</f>
        <v/>
      </c>
      <c r="L455" s="284">
        <f t="shared" si="23"/>
        <v>0</v>
      </c>
      <c r="M455" s="283" t="str">
        <f t="shared" si="21"/>
        <v>-</v>
      </c>
    </row>
    <row r="456" spans="2:13" x14ac:dyDescent="0.25">
      <c r="B456" s="280">
        <v>436</v>
      </c>
      <c r="C456" s="549" t="str" cm="1">
        <f t="array" ref="C456">IFERROR(
   INDEX('נתוני רישום ומצבת'!$B:$B,
      SMALL(
         IF(('נתוני רישום ומצבת'!A$2:A$2998='נתונים כלליים (1)'!$C$5),
         ROW('נתוני רישום ומצבת'!A$2:A$2998)),
      ROW(A436))
   ),
"")</f>
        <v/>
      </c>
      <c r="D456" s="549" t="str">
        <f>IF(C456="", "",
   IFERROR(
      IF(VLOOKUP(C456, 'נתוני רישום ומצבת'!B:J, 9, FALSE) = $F$4,
         VLOOKUP(C456, 'נתוני רישום ומצבת'!B:J, 3, FALSE),
         "המוסד לא קיים ברשות"),
   "המוסד לא קיים"))</f>
        <v/>
      </c>
      <c r="E456" s="176" t="str">
        <f>IFERROR(VLOOKUP(C456,'נתוני רישום ומצבת'!B:G,6,0),"")</f>
        <v/>
      </c>
      <c r="F456" s="281" t="str">
        <f>IFERROR(VLOOKUP(C456,'נתוני רישום ומצבת'!B:K,10,0)," ")</f>
        <v xml:space="preserve"> </v>
      </c>
      <c r="G456" s="443" t="str">
        <f>IFERROR(VLOOKUP(C456,'נתוני רישום ומצבת'!B:E,4,0)," ")</f>
        <v xml:space="preserve"> </v>
      </c>
      <c r="H456" s="444" t="str">
        <f>IFERROR(VLOOKUP(C456,'נתוני רישום ומצבת'!B:K,7,0),"")</f>
        <v/>
      </c>
      <c r="I456" s="180" t="str">
        <f t="shared" si="22"/>
        <v/>
      </c>
      <c r="J456" s="443" t="str">
        <f>IFERROR(VLOOKUP(C456,'נתוני רישום ומצבת'!B:I,5,0)," ")</f>
        <v xml:space="preserve"> </v>
      </c>
      <c r="K456" s="443" t="str">
        <f>IFERROR(VLOOKUP(C456,'נתוני רישום ומצבת'!B:I,8,0),"")</f>
        <v/>
      </c>
      <c r="L456" s="284">
        <f t="shared" si="23"/>
        <v>0</v>
      </c>
      <c r="M456" s="283" t="str">
        <f t="shared" si="21"/>
        <v>-</v>
      </c>
    </row>
    <row r="457" spans="2:13" x14ac:dyDescent="0.25">
      <c r="B457" s="280">
        <v>437</v>
      </c>
      <c r="C457" s="549" t="str" cm="1">
        <f t="array" ref="C457">IFERROR(
   INDEX('נתוני רישום ומצבת'!$B:$B,
      SMALL(
         IF(('נתוני רישום ומצבת'!A$2:A$2998='נתונים כלליים (1)'!$C$5),
         ROW('נתוני רישום ומצבת'!A$2:A$2998)),
      ROW(A437))
   ),
"")</f>
        <v/>
      </c>
      <c r="D457" s="549" t="str">
        <f>IF(C457="", "",
   IFERROR(
      IF(VLOOKUP(C457, 'נתוני רישום ומצבת'!B:J, 9, FALSE) = $F$4,
         VLOOKUP(C457, 'נתוני רישום ומצבת'!B:J, 3, FALSE),
         "המוסד לא קיים ברשות"),
   "המוסד לא קיים"))</f>
        <v/>
      </c>
      <c r="E457" s="176" t="str">
        <f>IFERROR(VLOOKUP(C457,'נתוני רישום ומצבת'!B:G,6,0),"")</f>
        <v/>
      </c>
      <c r="F457" s="281" t="str">
        <f>IFERROR(VLOOKUP(C457,'נתוני רישום ומצבת'!B:K,10,0)," ")</f>
        <v xml:space="preserve"> </v>
      </c>
      <c r="G457" s="443" t="str">
        <f>IFERROR(VLOOKUP(C457,'נתוני רישום ומצבת'!B:E,4,0)," ")</f>
        <v xml:space="preserve"> </v>
      </c>
      <c r="H457" s="444" t="str">
        <f>IFERROR(VLOOKUP(C457,'נתוני רישום ומצבת'!B:K,7,0),"")</f>
        <v/>
      </c>
      <c r="I457" s="180" t="str">
        <f t="shared" si="22"/>
        <v/>
      </c>
      <c r="J457" s="443" t="str">
        <f>IFERROR(VLOOKUP(C457,'נתוני רישום ומצבת'!B:I,5,0)," ")</f>
        <v xml:space="preserve"> </v>
      </c>
      <c r="K457" s="443" t="str">
        <f>IFERROR(VLOOKUP(C457,'נתוני רישום ומצבת'!B:I,8,0),"")</f>
        <v/>
      </c>
      <c r="L457" s="284">
        <f t="shared" si="23"/>
        <v>0</v>
      </c>
      <c r="M457" s="283" t="str">
        <f t="shared" si="21"/>
        <v>-</v>
      </c>
    </row>
    <row r="458" spans="2:13" x14ac:dyDescent="0.25">
      <c r="B458" s="280">
        <v>438</v>
      </c>
      <c r="C458" s="549" t="str" cm="1">
        <f t="array" ref="C458">IFERROR(
   INDEX('נתוני רישום ומצבת'!$B:$B,
      SMALL(
         IF(('נתוני רישום ומצבת'!A$2:A$2998='נתונים כלליים (1)'!$C$5),
         ROW('נתוני רישום ומצבת'!A$2:A$2998)),
      ROW(A438))
   ),
"")</f>
        <v/>
      </c>
      <c r="D458" s="549" t="str">
        <f>IF(C458="", "",
   IFERROR(
      IF(VLOOKUP(C458, 'נתוני רישום ומצבת'!B:J, 9, FALSE) = $F$4,
         VLOOKUP(C458, 'נתוני רישום ומצבת'!B:J, 3, FALSE),
         "המוסד לא קיים ברשות"),
   "המוסד לא קיים"))</f>
        <v/>
      </c>
      <c r="E458" s="176" t="str">
        <f>IFERROR(VLOOKUP(C458,'נתוני רישום ומצבת'!B:G,6,0),"")</f>
        <v/>
      </c>
      <c r="F458" s="281" t="str">
        <f>IFERROR(VLOOKUP(C458,'נתוני רישום ומצבת'!B:K,10,0)," ")</f>
        <v xml:space="preserve"> </v>
      </c>
      <c r="G458" s="443" t="str">
        <f>IFERROR(VLOOKUP(C458,'נתוני רישום ומצבת'!B:E,4,0)," ")</f>
        <v xml:space="preserve"> </v>
      </c>
      <c r="H458" s="444" t="str">
        <f>IFERROR(VLOOKUP(C458,'נתוני רישום ומצבת'!B:K,7,0),"")</f>
        <v/>
      </c>
      <c r="I458" s="180" t="str">
        <f t="shared" si="22"/>
        <v/>
      </c>
      <c r="J458" s="443" t="str">
        <f>IFERROR(VLOOKUP(C458,'נתוני רישום ומצבת'!B:I,5,0)," ")</f>
        <v xml:space="preserve"> </v>
      </c>
      <c r="K458" s="443" t="str">
        <f>IFERROR(VLOOKUP(C458,'נתוני רישום ומצבת'!B:I,8,0),"")</f>
        <v/>
      </c>
      <c r="L458" s="284">
        <f t="shared" si="23"/>
        <v>0</v>
      </c>
      <c r="M458" s="283" t="str">
        <f t="shared" si="21"/>
        <v>-</v>
      </c>
    </row>
    <row r="459" spans="2:13" x14ac:dyDescent="0.25">
      <c r="B459" s="280">
        <v>439</v>
      </c>
      <c r="C459" s="549" t="str" cm="1">
        <f t="array" ref="C459">IFERROR(
   INDEX('נתוני רישום ומצבת'!$B:$B,
      SMALL(
         IF(('נתוני רישום ומצבת'!A$2:A$2998='נתונים כלליים (1)'!$C$5),
         ROW('נתוני רישום ומצבת'!A$2:A$2998)),
      ROW(A439))
   ),
"")</f>
        <v/>
      </c>
      <c r="D459" s="549" t="str">
        <f>IF(C459="", "",
   IFERROR(
      IF(VLOOKUP(C459, 'נתוני רישום ומצבת'!B:J, 9, FALSE) = $F$4,
         VLOOKUP(C459, 'נתוני רישום ומצבת'!B:J, 3, FALSE),
         "המוסד לא קיים ברשות"),
   "המוסד לא קיים"))</f>
        <v/>
      </c>
      <c r="E459" s="176" t="str">
        <f>IFERROR(VLOOKUP(C459,'נתוני רישום ומצבת'!B:G,6,0),"")</f>
        <v/>
      </c>
      <c r="F459" s="281" t="str">
        <f>IFERROR(VLOOKUP(C459,'נתוני רישום ומצבת'!B:K,10,0)," ")</f>
        <v xml:space="preserve"> </v>
      </c>
      <c r="G459" s="443" t="str">
        <f>IFERROR(VLOOKUP(C459,'נתוני רישום ומצבת'!B:E,4,0)," ")</f>
        <v xml:space="preserve"> </v>
      </c>
      <c r="H459" s="444" t="str">
        <f>IFERROR(VLOOKUP(C459,'נתוני רישום ומצבת'!B:K,7,0),"")</f>
        <v/>
      </c>
      <c r="I459" s="180" t="str">
        <f t="shared" si="22"/>
        <v/>
      </c>
      <c r="J459" s="443" t="str">
        <f>IFERROR(VLOOKUP(C459,'נתוני רישום ומצבת'!B:I,5,0)," ")</f>
        <v xml:space="preserve"> </v>
      </c>
      <c r="K459" s="443" t="str">
        <f>IFERROR(VLOOKUP(C459,'נתוני רישום ומצבת'!B:I,8,0),"")</f>
        <v/>
      </c>
      <c r="L459" s="284">
        <f t="shared" si="23"/>
        <v>0</v>
      </c>
      <c r="M459" s="283" t="str">
        <f t="shared" si="21"/>
        <v>-</v>
      </c>
    </row>
    <row r="460" spans="2:13" x14ac:dyDescent="0.25">
      <c r="B460" s="280">
        <v>440</v>
      </c>
      <c r="C460" s="549" t="str" cm="1">
        <f t="array" ref="C460">IFERROR(
   INDEX('נתוני רישום ומצבת'!$B:$B,
      SMALL(
         IF(('נתוני רישום ומצבת'!A$2:A$2998='נתונים כלליים (1)'!$C$5),
         ROW('נתוני רישום ומצבת'!A$2:A$2998)),
      ROW(A440))
   ),
"")</f>
        <v/>
      </c>
      <c r="D460" s="549" t="str">
        <f>IF(C460="", "",
   IFERROR(
      IF(VLOOKUP(C460, 'נתוני רישום ומצבת'!B:J, 9, FALSE) = $F$4,
         VLOOKUP(C460, 'נתוני רישום ומצבת'!B:J, 3, FALSE),
         "המוסד לא קיים ברשות"),
   "המוסד לא קיים"))</f>
        <v/>
      </c>
      <c r="E460" s="176" t="str">
        <f>IFERROR(VLOOKUP(C460,'נתוני רישום ומצבת'!B:G,6,0),"")</f>
        <v/>
      </c>
      <c r="F460" s="281" t="str">
        <f>IFERROR(VLOOKUP(C460,'נתוני רישום ומצבת'!B:K,10,0)," ")</f>
        <v xml:space="preserve"> </v>
      </c>
      <c r="G460" s="443" t="str">
        <f>IFERROR(VLOOKUP(C460,'נתוני רישום ומצבת'!B:E,4,0)," ")</f>
        <v xml:space="preserve"> </v>
      </c>
      <c r="H460" s="444" t="str">
        <f>IFERROR(VLOOKUP(C460,'נתוני רישום ומצבת'!B:K,7,0),"")</f>
        <v/>
      </c>
      <c r="I460" s="180" t="str">
        <f t="shared" si="22"/>
        <v/>
      </c>
      <c r="J460" s="443" t="str">
        <f>IFERROR(VLOOKUP(C460,'נתוני רישום ומצבת'!B:I,5,0)," ")</f>
        <v xml:space="preserve"> </v>
      </c>
      <c r="K460" s="443" t="str">
        <f>IFERROR(VLOOKUP(C460,'נתוני רישום ומצבת'!B:I,8,0),"")</f>
        <v/>
      </c>
      <c r="L460" s="284">
        <f t="shared" si="23"/>
        <v>0</v>
      </c>
      <c r="M460" s="283" t="str">
        <f t="shared" si="21"/>
        <v>-</v>
      </c>
    </row>
    <row r="461" spans="2:13" x14ac:dyDescent="0.25">
      <c r="B461" s="280">
        <v>441</v>
      </c>
      <c r="C461" s="549" t="str" cm="1">
        <f t="array" ref="C461">IFERROR(
   INDEX('נתוני רישום ומצבת'!$B:$B,
      SMALL(
         IF(('נתוני רישום ומצבת'!A$2:A$2998='נתונים כלליים (1)'!$C$5),
         ROW('נתוני רישום ומצבת'!A$2:A$2998)),
      ROW(A441))
   ),
"")</f>
        <v/>
      </c>
      <c r="D461" s="549" t="str">
        <f>IF(C461="", "",
   IFERROR(
      IF(VLOOKUP(C461, 'נתוני רישום ומצבת'!B:J, 9, FALSE) = $F$4,
         VLOOKUP(C461, 'נתוני רישום ומצבת'!B:J, 3, FALSE),
         "המוסד לא קיים ברשות"),
   "המוסד לא קיים"))</f>
        <v/>
      </c>
      <c r="E461" s="176" t="str">
        <f>IFERROR(VLOOKUP(C461,'נתוני רישום ומצבת'!B:G,6,0),"")</f>
        <v/>
      </c>
      <c r="F461" s="281" t="str">
        <f>IFERROR(VLOOKUP(C461,'נתוני רישום ומצבת'!B:K,10,0)," ")</f>
        <v xml:space="preserve"> </v>
      </c>
      <c r="G461" s="443" t="str">
        <f>IFERROR(VLOOKUP(C461,'נתוני רישום ומצבת'!B:E,4,0)," ")</f>
        <v xml:space="preserve"> </v>
      </c>
      <c r="H461" s="444" t="str">
        <f>IFERROR(VLOOKUP(C461,'נתוני רישום ומצבת'!B:K,7,0),"")</f>
        <v/>
      </c>
      <c r="I461" s="180" t="str">
        <f t="shared" si="22"/>
        <v/>
      </c>
      <c r="J461" s="443" t="str">
        <f>IFERROR(VLOOKUP(C461,'נתוני רישום ומצבת'!B:I,5,0)," ")</f>
        <v xml:space="preserve"> </v>
      </c>
      <c r="K461" s="443" t="str">
        <f>IFERROR(VLOOKUP(C461,'נתוני רישום ומצבת'!B:I,8,0),"")</f>
        <v/>
      </c>
      <c r="L461" s="284">
        <f t="shared" si="23"/>
        <v>0</v>
      </c>
      <c r="M461" s="283" t="str">
        <f t="shared" si="21"/>
        <v>-</v>
      </c>
    </row>
    <row r="462" spans="2:13" x14ac:dyDescent="0.25">
      <c r="B462" s="280">
        <v>442</v>
      </c>
      <c r="C462" s="549" t="str" cm="1">
        <f t="array" ref="C462">IFERROR(
   INDEX('נתוני רישום ומצבת'!$B:$B,
      SMALL(
         IF(('נתוני רישום ומצבת'!A$2:A$2998='נתונים כלליים (1)'!$C$5),
         ROW('נתוני רישום ומצבת'!A$2:A$2998)),
      ROW(A442))
   ),
"")</f>
        <v/>
      </c>
      <c r="D462" s="549" t="str">
        <f>IF(C462="", "",
   IFERROR(
      IF(VLOOKUP(C462, 'נתוני רישום ומצבת'!B:J, 9, FALSE) = $F$4,
         VLOOKUP(C462, 'נתוני רישום ומצבת'!B:J, 3, FALSE),
         "המוסד לא קיים ברשות"),
   "המוסד לא קיים"))</f>
        <v/>
      </c>
      <c r="E462" s="176" t="str">
        <f>IFERROR(VLOOKUP(C462,'נתוני רישום ומצבת'!B:G,6,0),"")</f>
        <v/>
      </c>
      <c r="F462" s="281" t="str">
        <f>IFERROR(VLOOKUP(C462,'נתוני רישום ומצבת'!B:K,10,0)," ")</f>
        <v xml:space="preserve"> </v>
      </c>
      <c r="G462" s="443" t="str">
        <f>IFERROR(VLOOKUP(C462,'נתוני רישום ומצבת'!B:E,4,0)," ")</f>
        <v xml:space="preserve"> </v>
      </c>
      <c r="H462" s="444" t="str">
        <f>IFERROR(VLOOKUP(C462,'נתוני רישום ומצבת'!B:K,7,0),"")</f>
        <v/>
      </c>
      <c r="I462" s="180" t="str">
        <f t="shared" si="22"/>
        <v/>
      </c>
      <c r="J462" s="443" t="str">
        <f>IFERROR(VLOOKUP(C462,'נתוני רישום ומצבת'!B:I,5,0)," ")</f>
        <v xml:space="preserve"> </v>
      </c>
      <c r="K462" s="443" t="str">
        <f>IFERROR(VLOOKUP(C462,'נתוני רישום ומצבת'!B:I,8,0),"")</f>
        <v/>
      </c>
      <c r="L462" s="284">
        <f t="shared" si="23"/>
        <v>0</v>
      </c>
      <c r="M462" s="283" t="str">
        <f t="shared" ref="M462:M520" si="24">IF(L462&gt;149,"כן","-")</f>
        <v>-</v>
      </c>
    </row>
    <row r="463" spans="2:13" x14ac:dyDescent="0.25">
      <c r="B463" s="280">
        <v>443</v>
      </c>
      <c r="C463" s="549" t="str" cm="1">
        <f t="array" ref="C463">IFERROR(
   INDEX('נתוני רישום ומצבת'!$B:$B,
      SMALL(
         IF(('נתוני רישום ומצבת'!A$2:A$2998='נתונים כלליים (1)'!$C$5),
         ROW('נתוני רישום ומצבת'!A$2:A$2998)),
      ROW(A443))
   ),
"")</f>
        <v/>
      </c>
      <c r="D463" s="549" t="str">
        <f>IF(C463="", "",
   IFERROR(
      IF(VLOOKUP(C463, 'נתוני רישום ומצבת'!B:J, 9, FALSE) = $F$4,
         VLOOKUP(C463, 'נתוני רישום ומצבת'!B:J, 3, FALSE),
         "המוסד לא קיים ברשות"),
   "המוסד לא קיים"))</f>
        <v/>
      </c>
      <c r="E463" s="176" t="str">
        <f>IFERROR(VLOOKUP(C463,'נתוני רישום ומצבת'!B:G,6,0),"")</f>
        <v/>
      </c>
      <c r="F463" s="281" t="str">
        <f>IFERROR(VLOOKUP(C463,'נתוני רישום ומצבת'!B:K,10,0)," ")</f>
        <v xml:space="preserve"> </v>
      </c>
      <c r="G463" s="443" t="str">
        <f>IFERROR(VLOOKUP(C463,'נתוני רישום ומצבת'!B:E,4,0)," ")</f>
        <v xml:space="preserve"> </v>
      </c>
      <c r="H463" s="444" t="str">
        <f>IFERROR(VLOOKUP(C463,'נתוני רישום ומצבת'!B:K,7,0),"")</f>
        <v/>
      </c>
      <c r="I463" s="180" t="str">
        <f t="shared" si="22"/>
        <v/>
      </c>
      <c r="J463" s="443" t="str">
        <f>IFERROR(VLOOKUP(C463,'נתוני רישום ומצבת'!B:I,5,0)," ")</f>
        <v xml:space="preserve"> </v>
      </c>
      <c r="K463" s="443" t="str">
        <f>IFERROR(VLOOKUP(C463,'נתוני רישום ומצבת'!B:I,8,0),"")</f>
        <v/>
      </c>
      <c r="L463" s="284">
        <f t="shared" si="23"/>
        <v>0</v>
      </c>
      <c r="M463" s="283" t="str">
        <f t="shared" si="24"/>
        <v>-</v>
      </c>
    </row>
    <row r="464" spans="2:13" x14ac:dyDescent="0.25">
      <c r="B464" s="280">
        <v>444</v>
      </c>
      <c r="C464" s="549" t="str" cm="1">
        <f t="array" ref="C464">IFERROR(
   INDEX('נתוני רישום ומצבת'!$B:$B,
      SMALL(
         IF(('נתוני רישום ומצבת'!A$2:A$2998='נתונים כלליים (1)'!$C$5),
         ROW('נתוני רישום ומצבת'!A$2:A$2998)),
      ROW(A444))
   ),
"")</f>
        <v/>
      </c>
      <c r="D464" s="549" t="str">
        <f>IF(C464="", "",
   IFERROR(
      IF(VLOOKUP(C464, 'נתוני רישום ומצבת'!B:J, 9, FALSE) = $F$4,
         VLOOKUP(C464, 'נתוני רישום ומצבת'!B:J, 3, FALSE),
         "המוסד לא קיים ברשות"),
   "המוסד לא קיים"))</f>
        <v/>
      </c>
      <c r="E464" s="176" t="str">
        <f>IFERROR(VLOOKUP(C464,'נתוני רישום ומצבת'!B:G,6,0),"")</f>
        <v/>
      </c>
      <c r="F464" s="281" t="str">
        <f>IFERROR(VLOOKUP(C464,'נתוני רישום ומצבת'!B:K,10,0)," ")</f>
        <v xml:space="preserve"> </v>
      </c>
      <c r="G464" s="443" t="str">
        <f>IFERROR(VLOOKUP(C464,'נתוני רישום ומצבת'!B:E,4,0)," ")</f>
        <v xml:space="preserve"> </v>
      </c>
      <c r="H464" s="444" t="str">
        <f>IFERROR(VLOOKUP(C464,'נתוני רישום ומצבת'!B:K,7,0),"")</f>
        <v/>
      </c>
      <c r="I464" s="180" t="str">
        <f t="shared" si="22"/>
        <v/>
      </c>
      <c r="J464" s="443" t="str">
        <f>IFERROR(VLOOKUP(C464,'נתוני רישום ומצבת'!B:I,5,0)," ")</f>
        <v xml:space="preserve"> </v>
      </c>
      <c r="K464" s="443" t="str">
        <f>IFERROR(VLOOKUP(C464,'נתוני רישום ומצבת'!B:I,8,0),"")</f>
        <v/>
      </c>
      <c r="L464" s="284">
        <f t="shared" si="23"/>
        <v>0</v>
      </c>
      <c r="M464" s="283" t="str">
        <f t="shared" si="24"/>
        <v>-</v>
      </c>
    </row>
    <row r="465" spans="2:13" x14ac:dyDescent="0.25">
      <c r="B465" s="280">
        <v>445</v>
      </c>
      <c r="C465" s="549" t="str" cm="1">
        <f t="array" ref="C465">IFERROR(
   INDEX('נתוני רישום ומצבת'!$B:$B,
      SMALL(
         IF(('נתוני רישום ומצבת'!A$2:A$2998='נתונים כלליים (1)'!$C$5),
         ROW('נתוני רישום ומצבת'!A$2:A$2998)),
      ROW(A445))
   ),
"")</f>
        <v/>
      </c>
      <c r="D465" s="549" t="str">
        <f>IF(C465="", "",
   IFERROR(
      IF(VLOOKUP(C465, 'נתוני רישום ומצבת'!B:J, 9, FALSE) = $F$4,
         VLOOKUP(C465, 'נתוני רישום ומצבת'!B:J, 3, FALSE),
         "המוסד לא קיים ברשות"),
   "המוסד לא קיים"))</f>
        <v/>
      </c>
      <c r="E465" s="176" t="str">
        <f>IFERROR(VLOOKUP(C465,'נתוני רישום ומצבת'!B:G,6,0),"")</f>
        <v/>
      </c>
      <c r="F465" s="281" t="str">
        <f>IFERROR(VLOOKUP(C465,'נתוני רישום ומצבת'!B:K,10,0)," ")</f>
        <v xml:space="preserve"> </v>
      </c>
      <c r="G465" s="443" t="str">
        <f>IFERROR(VLOOKUP(C465,'נתוני רישום ומצבת'!B:E,4,0)," ")</f>
        <v xml:space="preserve"> </v>
      </c>
      <c r="H465" s="444" t="str">
        <f>IFERROR(VLOOKUP(C465,'נתוני רישום ומצבת'!B:K,7,0),"")</f>
        <v/>
      </c>
      <c r="I465" s="180" t="str">
        <f t="shared" si="22"/>
        <v/>
      </c>
      <c r="J465" s="443" t="str">
        <f>IFERROR(VLOOKUP(C465,'נתוני רישום ומצבת'!B:I,5,0)," ")</f>
        <v xml:space="preserve"> </v>
      </c>
      <c r="K465" s="443" t="str">
        <f>IFERROR(VLOOKUP(C465,'נתוני רישום ומצבת'!B:I,8,0),"")</f>
        <v/>
      </c>
      <c r="L465" s="284">
        <f t="shared" si="23"/>
        <v>0</v>
      </c>
      <c r="M465" s="283" t="str">
        <f t="shared" si="24"/>
        <v>-</v>
      </c>
    </row>
    <row r="466" spans="2:13" x14ac:dyDescent="0.25">
      <c r="B466" s="280">
        <v>446</v>
      </c>
      <c r="C466" s="549" t="str" cm="1">
        <f t="array" ref="C466">IFERROR(
   INDEX('נתוני רישום ומצבת'!$B:$B,
      SMALL(
         IF(('נתוני רישום ומצבת'!A$2:A$2998='נתונים כלליים (1)'!$C$5),
         ROW('נתוני רישום ומצבת'!A$2:A$2998)),
      ROW(A446))
   ),
"")</f>
        <v/>
      </c>
      <c r="D466" s="549" t="str">
        <f>IF(C466="", "",
   IFERROR(
      IF(VLOOKUP(C466, 'נתוני רישום ומצבת'!B:J, 9, FALSE) = $F$4,
         VLOOKUP(C466, 'נתוני רישום ומצבת'!B:J, 3, FALSE),
         "המוסד לא קיים ברשות"),
   "המוסד לא קיים"))</f>
        <v/>
      </c>
      <c r="E466" s="176" t="str">
        <f>IFERROR(VLOOKUP(C466,'נתוני רישום ומצבת'!B:G,6,0),"")</f>
        <v/>
      </c>
      <c r="F466" s="281" t="str">
        <f>IFERROR(VLOOKUP(C466,'נתוני רישום ומצבת'!B:K,10,0)," ")</f>
        <v xml:space="preserve"> </v>
      </c>
      <c r="G466" s="443" t="str">
        <f>IFERROR(VLOOKUP(C466,'נתוני רישום ומצבת'!B:E,4,0)," ")</f>
        <v xml:space="preserve"> </v>
      </c>
      <c r="H466" s="444" t="str">
        <f>IFERROR(VLOOKUP(C466,'נתוני רישום ומצבת'!B:K,7,0),"")</f>
        <v/>
      </c>
      <c r="I466" s="180" t="str">
        <f t="shared" si="22"/>
        <v/>
      </c>
      <c r="J466" s="443" t="str">
        <f>IFERROR(VLOOKUP(C466,'נתוני רישום ומצבת'!B:I,5,0)," ")</f>
        <v xml:space="preserve"> </v>
      </c>
      <c r="K466" s="443" t="str">
        <f>IFERROR(VLOOKUP(C466,'נתוני רישום ומצבת'!B:I,8,0),"")</f>
        <v/>
      </c>
      <c r="L466" s="284">
        <f t="shared" si="23"/>
        <v>0</v>
      </c>
      <c r="M466" s="283" t="str">
        <f t="shared" si="24"/>
        <v>-</v>
      </c>
    </row>
    <row r="467" spans="2:13" x14ac:dyDescent="0.25">
      <c r="B467" s="280">
        <v>447</v>
      </c>
      <c r="C467" s="549" t="str" cm="1">
        <f t="array" ref="C467">IFERROR(
   INDEX('נתוני רישום ומצבת'!$B:$B,
      SMALL(
         IF(('נתוני רישום ומצבת'!A$2:A$2998='נתונים כלליים (1)'!$C$5),
         ROW('נתוני רישום ומצבת'!A$2:A$2998)),
      ROW(A447))
   ),
"")</f>
        <v/>
      </c>
      <c r="D467" s="549" t="str">
        <f>IF(C467="", "",
   IFERROR(
      IF(VLOOKUP(C467, 'נתוני רישום ומצבת'!B:J, 9, FALSE) = $F$4,
         VLOOKUP(C467, 'נתוני רישום ומצבת'!B:J, 3, FALSE),
         "המוסד לא קיים ברשות"),
   "המוסד לא קיים"))</f>
        <v/>
      </c>
      <c r="E467" s="176" t="str">
        <f>IFERROR(VLOOKUP(C467,'נתוני רישום ומצבת'!B:G,6,0),"")</f>
        <v/>
      </c>
      <c r="F467" s="281" t="str">
        <f>IFERROR(VLOOKUP(C467,'נתוני רישום ומצבת'!B:K,10,0)," ")</f>
        <v xml:space="preserve"> </v>
      </c>
      <c r="G467" s="443" t="str">
        <f>IFERROR(VLOOKUP(C467,'נתוני רישום ומצבת'!B:E,4,0)," ")</f>
        <v xml:space="preserve"> </v>
      </c>
      <c r="H467" s="444" t="str">
        <f>IFERROR(VLOOKUP(C467,'נתוני רישום ומצבת'!B:K,7,0),"")</f>
        <v/>
      </c>
      <c r="I467" s="180" t="str">
        <f t="shared" si="22"/>
        <v/>
      </c>
      <c r="J467" s="443" t="str">
        <f>IFERROR(VLOOKUP(C467,'נתוני רישום ומצבת'!B:I,5,0)," ")</f>
        <v xml:space="preserve"> </v>
      </c>
      <c r="K467" s="443" t="str">
        <f>IFERROR(VLOOKUP(C467,'נתוני רישום ומצבת'!B:I,8,0),"")</f>
        <v/>
      </c>
      <c r="L467" s="284">
        <f t="shared" si="23"/>
        <v>0</v>
      </c>
      <c r="M467" s="283" t="str">
        <f t="shared" si="24"/>
        <v>-</v>
      </c>
    </row>
    <row r="468" spans="2:13" x14ac:dyDescent="0.25">
      <c r="B468" s="280">
        <v>448</v>
      </c>
      <c r="C468" s="549" t="str" cm="1">
        <f t="array" ref="C468">IFERROR(
   INDEX('נתוני רישום ומצבת'!$B:$B,
      SMALL(
         IF(('נתוני רישום ומצבת'!A$2:A$2998='נתונים כלליים (1)'!$C$5),
         ROW('נתוני רישום ומצבת'!A$2:A$2998)),
      ROW(A448))
   ),
"")</f>
        <v/>
      </c>
      <c r="D468" s="549" t="str">
        <f>IF(C468="", "",
   IFERROR(
      IF(VLOOKUP(C468, 'נתוני רישום ומצבת'!B:J, 9, FALSE) = $F$4,
         VLOOKUP(C468, 'נתוני רישום ומצבת'!B:J, 3, FALSE),
         "המוסד לא קיים ברשות"),
   "המוסד לא קיים"))</f>
        <v/>
      </c>
      <c r="E468" s="176" t="str">
        <f>IFERROR(VLOOKUP(C468,'נתוני רישום ומצבת'!B:G,6,0),"")</f>
        <v/>
      </c>
      <c r="F468" s="281" t="str">
        <f>IFERROR(VLOOKUP(C468,'נתוני רישום ומצבת'!B:K,10,0)," ")</f>
        <v xml:space="preserve"> </v>
      </c>
      <c r="G468" s="443" t="str">
        <f>IFERROR(VLOOKUP(C468,'נתוני רישום ומצבת'!B:E,4,0)," ")</f>
        <v xml:space="preserve"> </v>
      </c>
      <c r="H468" s="444" t="str">
        <f>IFERROR(VLOOKUP(C468,'נתוני רישום ומצבת'!B:K,7,0),"")</f>
        <v/>
      </c>
      <c r="I468" s="180" t="str">
        <f t="shared" si="22"/>
        <v/>
      </c>
      <c r="J468" s="443" t="str">
        <f>IFERROR(VLOOKUP(C468,'נתוני רישום ומצבת'!B:I,5,0)," ")</f>
        <v xml:space="preserve"> </v>
      </c>
      <c r="K468" s="443" t="str">
        <f>IFERROR(VLOOKUP(C468,'נתוני רישום ומצבת'!B:I,8,0),"")</f>
        <v/>
      </c>
      <c r="L468" s="284">
        <f t="shared" si="23"/>
        <v>0</v>
      </c>
      <c r="M468" s="283" t="str">
        <f t="shared" si="24"/>
        <v>-</v>
      </c>
    </row>
    <row r="469" spans="2:13" x14ac:dyDescent="0.25">
      <c r="B469" s="280">
        <v>449</v>
      </c>
      <c r="C469" s="549" t="str" cm="1">
        <f t="array" ref="C469">IFERROR(
   INDEX('נתוני רישום ומצבת'!$B:$B,
      SMALL(
         IF(('נתוני רישום ומצבת'!A$2:A$2998='נתונים כלליים (1)'!$C$5),
         ROW('נתוני רישום ומצבת'!A$2:A$2998)),
      ROW(A449))
   ),
"")</f>
        <v/>
      </c>
      <c r="D469" s="549" t="str">
        <f>IF(C469="", "",
   IFERROR(
      IF(VLOOKUP(C469, 'נתוני רישום ומצבת'!B:J, 9, FALSE) = $F$4,
         VLOOKUP(C469, 'נתוני רישום ומצבת'!B:J, 3, FALSE),
         "המוסד לא קיים ברשות"),
   "המוסד לא קיים"))</f>
        <v/>
      </c>
      <c r="E469" s="176" t="str">
        <f>IFERROR(VLOOKUP(C469,'נתוני רישום ומצבת'!B:G,6,0),"")</f>
        <v/>
      </c>
      <c r="F469" s="281" t="str">
        <f>IFERROR(VLOOKUP(C469,'נתוני רישום ומצבת'!B:K,10,0)," ")</f>
        <v xml:space="preserve"> </v>
      </c>
      <c r="G469" s="443" t="str">
        <f>IFERROR(VLOOKUP(C469,'נתוני רישום ומצבת'!B:E,4,0)," ")</f>
        <v xml:space="preserve"> </v>
      </c>
      <c r="H469" s="444" t="str">
        <f>IFERROR(VLOOKUP(C469,'נתוני רישום ומצבת'!B:K,7,0),"")</f>
        <v/>
      </c>
      <c r="I469" s="180" t="str">
        <f t="shared" ref="I469:I520" si="25">IFERROR(H469+G469,"")</f>
        <v/>
      </c>
      <c r="J469" s="443" t="str">
        <f>IFERROR(VLOOKUP(C469,'נתוני רישום ומצבת'!B:I,5,0)," ")</f>
        <v xml:space="preserve"> </v>
      </c>
      <c r="K469" s="443" t="str">
        <f>IFERROR(VLOOKUP(C469,'נתוני רישום ומצבת'!B:I,8,0),"")</f>
        <v/>
      </c>
      <c r="L469" s="284">
        <f t="shared" si="23"/>
        <v>0</v>
      </c>
      <c r="M469" s="283" t="str">
        <f t="shared" si="24"/>
        <v>-</v>
      </c>
    </row>
    <row r="470" spans="2:13" x14ac:dyDescent="0.25">
      <c r="B470" s="280">
        <v>450</v>
      </c>
      <c r="C470" s="549" t="str" cm="1">
        <f t="array" ref="C470">IFERROR(
   INDEX('נתוני רישום ומצבת'!$B:$B,
      SMALL(
         IF(('נתוני רישום ומצבת'!A$2:A$2998='נתונים כלליים (1)'!$C$5),
         ROW('נתוני רישום ומצבת'!A$2:A$2998)),
      ROW(A450))
   ),
"")</f>
        <v/>
      </c>
      <c r="D470" s="549" t="str">
        <f>IF(C470="", "",
   IFERROR(
      IF(VLOOKUP(C470, 'נתוני רישום ומצבת'!B:J, 9, FALSE) = $F$4,
         VLOOKUP(C470, 'נתוני רישום ומצבת'!B:J, 3, FALSE),
         "המוסד לא קיים ברשות"),
   "המוסד לא קיים"))</f>
        <v/>
      </c>
      <c r="E470" s="176" t="str">
        <f>IFERROR(VLOOKUP(C470,'נתוני רישום ומצבת'!B:G,6,0),"")</f>
        <v/>
      </c>
      <c r="F470" s="281" t="str">
        <f>IFERROR(VLOOKUP(C470,'נתוני רישום ומצבת'!B:K,10,0)," ")</f>
        <v xml:space="preserve"> </v>
      </c>
      <c r="G470" s="443" t="str">
        <f>IFERROR(VLOOKUP(C470,'נתוני רישום ומצבת'!B:E,4,0)," ")</f>
        <v xml:space="preserve"> </v>
      </c>
      <c r="H470" s="444" t="str">
        <f>IFERROR(VLOOKUP(C470,'נתוני רישום ומצבת'!B:K,7,0),"")</f>
        <v/>
      </c>
      <c r="I470" s="180" t="str">
        <f t="shared" si="25"/>
        <v/>
      </c>
      <c r="J470" s="443" t="str">
        <f>IFERROR(VLOOKUP(C470,'נתוני רישום ומצבת'!B:I,5,0)," ")</f>
        <v xml:space="preserve"> </v>
      </c>
      <c r="K470" s="443" t="str">
        <f>IFERROR(VLOOKUP(C470,'נתוני רישום ומצבת'!B:I,8,0),"")</f>
        <v/>
      </c>
      <c r="L470" s="284">
        <f t="shared" ref="L470:L520" si="26">IFERROR(K470+J470,0)</f>
        <v>0</v>
      </c>
      <c r="M470" s="283" t="str">
        <f t="shared" si="24"/>
        <v>-</v>
      </c>
    </row>
    <row r="471" spans="2:13" x14ac:dyDescent="0.25">
      <c r="B471" s="280">
        <v>451</v>
      </c>
      <c r="C471" s="549" t="str" cm="1">
        <f t="array" ref="C471">IFERROR(
   INDEX('נתוני רישום ומצבת'!$B:$B,
      SMALL(
         IF(('נתוני רישום ומצבת'!A$2:A$2998='נתונים כלליים (1)'!$C$5),
         ROW('נתוני רישום ומצבת'!A$2:A$2998)),
      ROW(A451))
   ),
"")</f>
        <v/>
      </c>
      <c r="D471" s="549" t="str">
        <f>IF(C471="", "",
   IFERROR(
      IF(VLOOKUP(C471, 'נתוני רישום ומצבת'!B:J, 9, FALSE) = $F$4,
         VLOOKUP(C471, 'נתוני רישום ומצבת'!B:J, 3, FALSE),
         "המוסד לא קיים ברשות"),
   "המוסד לא קיים"))</f>
        <v/>
      </c>
      <c r="E471" s="176" t="str">
        <f>IFERROR(VLOOKUP(C471,'נתוני רישום ומצבת'!B:G,6,0),"")</f>
        <v/>
      </c>
      <c r="F471" s="281" t="str">
        <f>IFERROR(VLOOKUP(C471,'נתוני רישום ומצבת'!B:K,10,0)," ")</f>
        <v xml:space="preserve"> </v>
      </c>
      <c r="G471" s="443" t="str">
        <f>IFERROR(VLOOKUP(C471,'נתוני רישום ומצבת'!B:E,4,0)," ")</f>
        <v xml:space="preserve"> </v>
      </c>
      <c r="H471" s="444" t="str">
        <f>IFERROR(VLOOKUP(C471,'נתוני רישום ומצבת'!B:K,7,0),"")</f>
        <v/>
      </c>
      <c r="I471" s="180" t="str">
        <f t="shared" si="25"/>
        <v/>
      </c>
      <c r="J471" s="443" t="str">
        <f>IFERROR(VLOOKUP(C471,'נתוני רישום ומצבת'!B:I,5,0)," ")</f>
        <v xml:space="preserve"> </v>
      </c>
      <c r="K471" s="443" t="str">
        <f>IFERROR(VLOOKUP(C471,'נתוני רישום ומצבת'!B:I,8,0),"")</f>
        <v/>
      </c>
      <c r="L471" s="284">
        <f t="shared" si="26"/>
        <v>0</v>
      </c>
      <c r="M471" s="283" t="str">
        <f t="shared" si="24"/>
        <v>-</v>
      </c>
    </row>
    <row r="472" spans="2:13" x14ac:dyDescent="0.25">
      <c r="B472" s="280">
        <v>452</v>
      </c>
      <c r="C472" s="549" t="str" cm="1">
        <f t="array" ref="C472">IFERROR(
   INDEX('נתוני רישום ומצבת'!$B:$B,
      SMALL(
         IF(('נתוני רישום ומצבת'!A$2:A$2998='נתונים כלליים (1)'!$C$5),
         ROW('נתוני רישום ומצבת'!A$2:A$2998)),
      ROW(A452))
   ),
"")</f>
        <v/>
      </c>
      <c r="D472" s="549" t="str">
        <f>IF(C472="", "",
   IFERROR(
      IF(VLOOKUP(C472, 'נתוני רישום ומצבת'!B:J, 9, FALSE) = $F$4,
         VLOOKUP(C472, 'נתוני רישום ומצבת'!B:J, 3, FALSE),
         "המוסד לא קיים ברשות"),
   "המוסד לא קיים"))</f>
        <v/>
      </c>
      <c r="E472" s="176" t="str">
        <f>IFERROR(VLOOKUP(C472,'נתוני רישום ומצבת'!B:G,6,0),"")</f>
        <v/>
      </c>
      <c r="F472" s="281" t="str">
        <f>IFERROR(VLOOKUP(C472,'נתוני רישום ומצבת'!B:K,10,0)," ")</f>
        <v xml:space="preserve"> </v>
      </c>
      <c r="G472" s="443" t="str">
        <f>IFERROR(VLOOKUP(C472,'נתוני רישום ומצבת'!B:E,4,0)," ")</f>
        <v xml:space="preserve"> </v>
      </c>
      <c r="H472" s="444" t="str">
        <f>IFERROR(VLOOKUP(C472,'נתוני רישום ומצבת'!B:K,7,0),"")</f>
        <v/>
      </c>
      <c r="I472" s="180" t="str">
        <f t="shared" si="25"/>
        <v/>
      </c>
      <c r="J472" s="443" t="str">
        <f>IFERROR(VLOOKUP(C472,'נתוני רישום ומצבת'!B:I,5,0)," ")</f>
        <v xml:space="preserve"> </v>
      </c>
      <c r="K472" s="443" t="str">
        <f>IFERROR(VLOOKUP(C472,'נתוני רישום ומצבת'!B:I,8,0),"")</f>
        <v/>
      </c>
      <c r="L472" s="284">
        <f t="shared" si="26"/>
        <v>0</v>
      </c>
      <c r="M472" s="283" t="str">
        <f t="shared" si="24"/>
        <v>-</v>
      </c>
    </row>
    <row r="473" spans="2:13" x14ac:dyDescent="0.25">
      <c r="B473" s="280">
        <v>453</v>
      </c>
      <c r="C473" s="549" t="str" cm="1">
        <f t="array" ref="C473">IFERROR(
   INDEX('נתוני רישום ומצבת'!$B:$B,
      SMALL(
         IF(('נתוני רישום ומצבת'!A$2:A$2998='נתונים כלליים (1)'!$C$5),
         ROW('נתוני רישום ומצבת'!A$2:A$2998)),
      ROW(A453))
   ),
"")</f>
        <v/>
      </c>
      <c r="D473" s="549" t="str">
        <f>IF(C473="", "",
   IFERROR(
      IF(VLOOKUP(C473, 'נתוני רישום ומצבת'!B:J, 9, FALSE) = $F$4,
         VLOOKUP(C473, 'נתוני רישום ומצבת'!B:J, 3, FALSE),
         "המוסד לא קיים ברשות"),
   "המוסד לא קיים"))</f>
        <v/>
      </c>
      <c r="E473" s="176" t="str">
        <f>IFERROR(VLOOKUP(C473,'נתוני רישום ומצבת'!B:G,6,0),"")</f>
        <v/>
      </c>
      <c r="F473" s="281" t="str">
        <f>IFERROR(VLOOKUP(C473,'נתוני רישום ומצבת'!B:K,10,0)," ")</f>
        <v xml:space="preserve"> </v>
      </c>
      <c r="G473" s="443" t="str">
        <f>IFERROR(VLOOKUP(C473,'נתוני רישום ומצבת'!B:E,4,0)," ")</f>
        <v xml:space="preserve"> </v>
      </c>
      <c r="H473" s="444" t="str">
        <f>IFERROR(VLOOKUP(C473,'נתוני רישום ומצבת'!B:K,7,0),"")</f>
        <v/>
      </c>
      <c r="I473" s="180" t="str">
        <f t="shared" si="25"/>
        <v/>
      </c>
      <c r="J473" s="443" t="str">
        <f>IFERROR(VLOOKUP(C473,'נתוני רישום ומצבת'!B:I,5,0)," ")</f>
        <v xml:space="preserve"> </v>
      </c>
      <c r="K473" s="443" t="str">
        <f>IFERROR(VLOOKUP(C473,'נתוני רישום ומצבת'!B:I,8,0),"")</f>
        <v/>
      </c>
      <c r="L473" s="284">
        <f t="shared" si="26"/>
        <v>0</v>
      </c>
      <c r="M473" s="283" t="str">
        <f t="shared" si="24"/>
        <v>-</v>
      </c>
    </row>
    <row r="474" spans="2:13" x14ac:dyDescent="0.25">
      <c r="B474" s="280">
        <v>454</v>
      </c>
      <c r="C474" s="549" t="str" cm="1">
        <f t="array" ref="C474">IFERROR(
   INDEX('נתוני רישום ומצבת'!$B:$B,
      SMALL(
         IF(('נתוני רישום ומצבת'!A$2:A$2998='נתונים כלליים (1)'!$C$5),
         ROW('נתוני רישום ומצבת'!A$2:A$2998)),
      ROW(A454))
   ),
"")</f>
        <v/>
      </c>
      <c r="D474" s="549" t="str">
        <f>IF(C474="", "",
   IFERROR(
      IF(VLOOKUP(C474, 'נתוני רישום ומצבת'!B:J, 9, FALSE) = $F$4,
         VLOOKUP(C474, 'נתוני רישום ומצבת'!B:J, 3, FALSE),
         "המוסד לא קיים ברשות"),
   "המוסד לא קיים"))</f>
        <v/>
      </c>
      <c r="E474" s="176" t="str">
        <f>IFERROR(VLOOKUP(C474,'נתוני רישום ומצבת'!B:G,6,0),"")</f>
        <v/>
      </c>
      <c r="F474" s="281" t="str">
        <f>IFERROR(VLOOKUP(C474,'נתוני רישום ומצבת'!B:K,10,0)," ")</f>
        <v xml:space="preserve"> </v>
      </c>
      <c r="G474" s="443" t="str">
        <f>IFERROR(VLOOKUP(C474,'נתוני רישום ומצבת'!B:E,4,0)," ")</f>
        <v xml:space="preserve"> </v>
      </c>
      <c r="H474" s="444" t="str">
        <f>IFERROR(VLOOKUP(C474,'נתוני רישום ומצבת'!B:K,7,0),"")</f>
        <v/>
      </c>
      <c r="I474" s="180" t="str">
        <f t="shared" si="25"/>
        <v/>
      </c>
      <c r="J474" s="443" t="str">
        <f>IFERROR(VLOOKUP(C474,'נתוני רישום ומצבת'!B:I,5,0)," ")</f>
        <v xml:space="preserve"> </v>
      </c>
      <c r="K474" s="443" t="str">
        <f>IFERROR(VLOOKUP(C474,'נתוני רישום ומצבת'!B:I,8,0),"")</f>
        <v/>
      </c>
      <c r="L474" s="284">
        <f t="shared" si="26"/>
        <v>0</v>
      </c>
      <c r="M474" s="283" t="str">
        <f t="shared" si="24"/>
        <v>-</v>
      </c>
    </row>
    <row r="475" spans="2:13" x14ac:dyDescent="0.25">
      <c r="B475" s="280">
        <v>455</v>
      </c>
      <c r="C475" s="549" t="str" cm="1">
        <f t="array" ref="C475">IFERROR(
   INDEX('נתוני רישום ומצבת'!$B:$B,
      SMALL(
         IF(('נתוני רישום ומצבת'!A$2:A$2998='נתונים כלליים (1)'!$C$5),
         ROW('נתוני רישום ומצבת'!A$2:A$2998)),
      ROW(A455))
   ),
"")</f>
        <v/>
      </c>
      <c r="D475" s="549" t="str">
        <f>IF(C475="", "",
   IFERROR(
      IF(VLOOKUP(C475, 'נתוני רישום ומצבת'!B:J, 9, FALSE) = $F$4,
         VLOOKUP(C475, 'נתוני רישום ומצבת'!B:J, 3, FALSE),
         "המוסד לא קיים ברשות"),
   "המוסד לא קיים"))</f>
        <v/>
      </c>
      <c r="E475" s="176" t="str">
        <f>IFERROR(VLOOKUP(C475,'נתוני רישום ומצבת'!B:G,6,0),"")</f>
        <v/>
      </c>
      <c r="F475" s="281" t="str">
        <f>IFERROR(VLOOKUP(C475,'נתוני רישום ומצבת'!B:K,10,0)," ")</f>
        <v xml:space="preserve"> </v>
      </c>
      <c r="G475" s="443" t="str">
        <f>IFERROR(VLOOKUP(C475,'נתוני רישום ומצבת'!B:E,4,0)," ")</f>
        <v xml:space="preserve"> </v>
      </c>
      <c r="H475" s="444" t="str">
        <f>IFERROR(VLOOKUP(C475,'נתוני רישום ומצבת'!B:K,7,0),"")</f>
        <v/>
      </c>
      <c r="I475" s="180" t="str">
        <f t="shared" si="25"/>
        <v/>
      </c>
      <c r="J475" s="443" t="str">
        <f>IFERROR(VLOOKUP(C475,'נתוני רישום ומצבת'!B:I,5,0)," ")</f>
        <v xml:space="preserve"> </v>
      </c>
      <c r="K475" s="443" t="str">
        <f>IFERROR(VLOOKUP(C475,'נתוני רישום ומצבת'!B:I,8,0),"")</f>
        <v/>
      </c>
      <c r="L475" s="284">
        <f t="shared" si="26"/>
        <v>0</v>
      </c>
      <c r="M475" s="283" t="str">
        <f t="shared" si="24"/>
        <v>-</v>
      </c>
    </row>
    <row r="476" spans="2:13" x14ac:dyDescent="0.25">
      <c r="B476" s="280">
        <v>456</v>
      </c>
      <c r="C476" s="549" t="str" cm="1">
        <f t="array" ref="C476">IFERROR(
   INDEX('נתוני רישום ומצבת'!$B:$B,
      SMALL(
         IF(('נתוני רישום ומצבת'!A$2:A$2998='נתונים כלליים (1)'!$C$5),
         ROW('נתוני רישום ומצבת'!A$2:A$2998)),
      ROW(A456))
   ),
"")</f>
        <v/>
      </c>
      <c r="D476" s="549" t="str">
        <f>IF(C476="", "",
   IFERROR(
      IF(VLOOKUP(C476, 'נתוני רישום ומצבת'!B:J, 9, FALSE) = $F$4,
         VLOOKUP(C476, 'נתוני רישום ומצבת'!B:J, 3, FALSE),
         "המוסד לא קיים ברשות"),
   "המוסד לא קיים"))</f>
        <v/>
      </c>
      <c r="E476" s="176" t="str">
        <f>IFERROR(VLOOKUP(C476,'נתוני רישום ומצבת'!B:G,6,0),"")</f>
        <v/>
      </c>
      <c r="F476" s="281" t="str">
        <f>IFERROR(VLOOKUP(C476,'נתוני רישום ומצבת'!B:K,10,0)," ")</f>
        <v xml:space="preserve"> </v>
      </c>
      <c r="G476" s="443" t="str">
        <f>IFERROR(VLOOKUP(C476,'נתוני רישום ומצבת'!B:E,4,0)," ")</f>
        <v xml:space="preserve"> </v>
      </c>
      <c r="H476" s="444" t="str">
        <f>IFERROR(VLOOKUP(C476,'נתוני רישום ומצבת'!B:K,7,0),"")</f>
        <v/>
      </c>
      <c r="I476" s="180" t="str">
        <f t="shared" si="25"/>
        <v/>
      </c>
      <c r="J476" s="443" t="str">
        <f>IFERROR(VLOOKUP(C476,'נתוני רישום ומצבת'!B:I,5,0)," ")</f>
        <v xml:space="preserve"> </v>
      </c>
      <c r="K476" s="443" t="str">
        <f>IFERROR(VLOOKUP(C476,'נתוני רישום ומצבת'!B:I,8,0),"")</f>
        <v/>
      </c>
      <c r="L476" s="284">
        <f t="shared" si="26"/>
        <v>0</v>
      </c>
      <c r="M476" s="283" t="str">
        <f t="shared" si="24"/>
        <v>-</v>
      </c>
    </row>
    <row r="477" spans="2:13" x14ac:dyDescent="0.25">
      <c r="B477" s="280">
        <v>457</v>
      </c>
      <c r="C477" s="549" t="str" cm="1">
        <f t="array" ref="C477">IFERROR(
   INDEX('נתוני רישום ומצבת'!$B:$B,
      SMALL(
         IF(('נתוני רישום ומצבת'!A$2:A$2998='נתונים כלליים (1)'!$C$5),
         ROW('נתוני רישום ומצבת'!A$2:A$2998)),
      ROW(A457))
   ),
"")</f>
        <v/>
      </c>
      <c r="D477" s="549" t="str">
        <f>IF(C477="", "",
   IFERROR(
      IF(VLOOKUP(C477, 'נתוני רישום ומצבת'!B:J, 9, FALSE) = $F$4,
         VLOOKUP(C477, 'נתוני רישום ומצבת'!B:J, 3, FALSE),
         "המוסד לא קיים ברשות"),
   "המוסד לא קיים"))</f>
        <v/>
      </c>
      <c r="E477" s="176" t="str">
        <f>IFERROR(VLOOKUP(C477,'נתוני רישום ומצבת'!B:G,6,0),"")</f>
        <v/>
      </c>
      <c r="F477" s="281" t="str">
        <f>IFERROR(VLOOKUP(C477,'נתוני רישום ומצבת'!B:K,10,0)," ")</f>
        <v xml:space="preserve"> </v>
      </c>
      <c r="G477" s="443" t="str">
        <f>IFERROR(VLOOKUP(C477,'נתוני רישום ומצבת'!B:E,4,0)," ")</f>
        <v xml:space="preserve"> </v>
      </c>
      <c r="H477" s="444" t="str">
        <f>IFERROR(VLOOKUP(C477,'נתוני רישום ומצבת'!B:K,7,0),"")</f>
        <v/>
      </c>
      <c r="I477" s="180" t="str">
        <f t="shared" si="25"/>
        <v/>
      </c>
      <c r="J477" s="443" t="str">
        <f>IFERROR(VLOOKUP(C477,'נתוני רישום ומצבת'!B:I,5,0)," ")</f>
        <v xml:space="preserve"> </v>
      </c>
      <c r="K477" s="443" t="str">
        <f>IFERROR(VLOOKUP(C477,'נתוני רישום ומצבת'!B:I,8,0),"")</f>
        <v/>
      </c>
      <c r="L477" s="284">
        <f t="shared" si="26"/>
        <v>0</v>
      </c>
      <c r="M477" s="283" t="str">
        <f t="shared" si="24"/>
        <v>-</v>
      </c>
    </row>
    <row r="478" spans="2:13" x14ac:dyDescent="0.25">
      <c r="B478" s="280">
        <v>458</v>
      </c>
      <c r="C478" s="549" t="str" cm="1">
        <f t="array" ref="C478">IFERROR(
   INDEX('נתוני רישום ומצבת'!$B:$B,
      SMALL(
         IF(('נתוני רישום ומצבת'!A$2:A$2998='נתונים כלליים (1)'!$C$5),
         ROW('נתוני רישום ומצבת'!A$2:A$2998)),
      ROW(A458))
   ),
"")</f>
        <v/>
      </c>
      <c r="D478" s="549" t="str">
        <f>IF(C478="", "",
   IFERROR(
      IF(VLOOKUP(C478, 'נתוני רישום ומצבת'!B:J, 9, FALSE) = $F$4,
         VLOOKUP(C478, 'נתוני רישום ומצבת'!B:J, 3, FALSE),
         "המוסד לא קיים ברשות"),
   "המוסד לא קיים"))</f>
        <v/>
      </c>
      <c r="E478" s="176" t="str">
        <f>IFERROR(VLOOKUP(C478,'נתוני רישום ומצבת'!B:G,6,0),"")</f>
        <v/>
      </c>
      <c r="F478" s="281" t="str">
        <f>IFERROR(VLOOKUP(C478,'נתוני רישום ומצבת'!B:K,10,0)," ")</f>
        <v xml:space="preserve"> </v>
      </c>
      <c r="G478" s="443" t="str">
        <f>IFERROR(VLOOKUP(C478,'נתוני רישום ומצבת'!B:E,4,0)," ")</f>
        <v xml:space="preserve"> </v>
      </c>
      <c r="H478" s="444" t="str">
        <f>IFERROR(VLOOKUP(C478,'נתוני רישום ומצבת'!B:K,7,0),"")</f>
        <v/>
      </c>
      <c r="I478" s="180" t="str">
        <f t="shared" si="25"/>
        <v/>
      </c>
      <c r="J478" s="443" t="str">
        <f>IFERROR(VLOOKUP(C478,'נתוני רישום ומצבת'!B:I,5,0)," ")</f>
        <v xml:space="preserve"> </v>
      </c>
      <c r="K478" s="443" t="str">
        <f>IFERROR(VLOOKUP(C478,'נתוני רישום ומצבת'!B:I,8,0),"")</f>
        <v/>
      </c>
      <c r="L478" s="284">
        <f t="shared" si="26"/>
        <v>0</v>
      </c>
      <c r="M478" s="283" t="str">
        <f t="shared" si="24"/>
        <v>-</v>
      </c>
    </row>
    <row r="479" spans="2:13" x14ac:dyDescent="0.25">
      <c r="B479" s="280">
        <v>459</v>
      </c>
      <c r="C479" s="549" t="str" cm="1">
        <f t="array" ref="C479">IFERROR(
   INDEX('נתוני רישום ומצבת'!$B:$B,
      SMALL(
         IF(('נתוני רישום ומצבת'!A$2:A$2998='נתונים כלליים (1)'!$C$5),
         ROW('נתוני רישום ומצבת'!A$2:A$2998)),
      ROW(A459))
   ),
"")</f>
        <v/>
      </c>
      <c r="D479" s="549" t="str">
        <f>IF(C479="", "",
   IFERROR(
      IF(VLOOKUP(C479, 'נתוני רישום ומצבת'!B:J, 9, FALSE) = $F$4,
         VLOOKUP(C479, 'נתוני רישום ומצבת'!B:J, 3, FALSE),
         "המוסד לא קיים ברשות"),
   "המוסד לא קיים"))</f>
        <v/>
      </c>
      <c r="E479" s="176" t="str">
        <f>IFERROR(VLOOKUP(C479,'נתוני רישום ומצבת'!B:G,6,0),"")</f>
        <v/>
      </c>
      <c r="F479" s="281" t="str">
        <f>IFERROR(VLOOKUP(C479,'נתוני רישום ומצבת'!B:K,10,0)," ")</f>
        <v xml:space="preserve"> </v>
      </c>
      <c r="G479" s="443" t="str">
        <f>IFERROR(VLOOKUP(C479,'נתוני רישום ומצבת'!B:E,4,0)," ")</f>
        <v xml:space="preserve"> </v>
      </c>
      <c r="H479" s="444" t="str">
        <f>IFERROR(VLOOKUP(C479,'נתוני רישום ומצבת'!B:K,7,0),"")</f>
        <v/>
      </c>
      <c r="I479" s="180" t="str">
        <f t="shared" si="25"/>
        <v/>
      </c>
      <c r="J479" s="443" t="str">
        <f>IFERROR(VLOOKUP(C479,'נתוני רישום ומצבת'!B:I,5,0)," ")</f>
        <v xml:space="preserve"> </v>
      </c>
      <c r="K479" s="443" t="str">
        <f>IFERROR(VLOOKUP(C479,'נתוני רישום ומצבת'!B:I,8,0),"")</f>
        <v/>
      </c>
      <c r="L479" s="284">
        <f t="shared" si="26"/>
        <v>0</v>
      </c>
      <c r="M479" s="283" t="str">
        <f t="shared" si="24"/>
        <v>-</v>
      </c>
    </row>
    <row r="480" spans="2:13" x14ac:dyDescent="0.25">
      <c r="B480" s="280">
        <v>460</v>
      </c>
      <c r="C480" s="549" t="str" cm="1">
        <f t="array" ref="C480">IFERROR(
   INDEX('נתוני רישום ומצבת'!$B:$B,
      SMALL(
         IF(('נתוני רישום ומצבת'!A$2:A$2998='נתונים כלליים (1)'!$C$5),
         ROW('נתוני רישום ומצבת'!A$2:A$2998)),
      ROW(A460))
   ),
"")</f>
        <v/>
      </c>
      <c r="D480" s="549" t="str">
        <f>IF(C480="", "",
   IFERROR(
      IF(VLOOKUP(C480, 'נתוני רישום ומצבת'!B:J, 9, FALSE) = $F$4,
         VLOOKUP(C480, 'נתוני רישום ומצבת'!B:J, 3, FALSE),
         "המוסד לא קיים ברשות"),
   "המוסד לא קיים"))</f>
        <v/>
      </c>
      <c r="E480" s="176" t="str">
        <f>IFERROR(VLOOKUP(C480,'נתוני רישום ומצבת'!B:G,6,0),"")</f>
        <v/>
      </c>
      <c r="F480" s="281" t="str">
        <f>IFERROR(VLOOKUP(C480,'נתוני רישום ומצבת'!B:K,10,0)," ")</f>
        <v xml:space="preserve"> </v>
      </c>
      <c r="G480" s="443" t="str">
        <f>IFERROR(VLOOKUP(C480,'נתוני רישום ומצבת'!B:E,4,0)," ")</f>
        <v xml:space="preserve"> </v>
      </c>
      <c r="H480" s="444" t="str">
        <f>IFERROR(VLOOKUP(C480,'נתוני רישום ומצבת'!B:K,7,0),"")</f>
        <v/>
      </c>
      <c r="I480" s="180" t="str">
        <f t="shared" si="25"/>
        <v/>
      </c>
      <c r="J480" s="443" t="str">
        <f>IFERROR(VLOOKUP(C480,'נתוני רישום ומצבת'!B:I,5,0)," ")</f>
        <v xml:space="preserve"> </v>
      </c>
      <c r="K480" s="443" t="str">
        <f>IFERROR(VLOOKUP(C480,'נתוני רישום ומצבת'!B:I,8,0),"")</f>
        <v/>
      </c>
      <c r="L480" s="284">
        <f t="shared" si="26"/>
        <v>0</v>
      </c>
      <c r="M480" s="283" t="str">
        <f t="shared" si="24"/>
        <v>-</v>
      </c>
    </row>
    <row r="481" spans="2:13" x14ac:dyDescent="0.25">
      <c r="B481" s="280">
        <v>461</v>
      </c>
      <c r="C481" s="549" t="str" cm="1">
        <f t="array" ref="C481">IFERROR(
   INDEX('נתוני רישום ומצבת'!$B:$B,
      SMALL(
         IF(('נתוני רישום ומצבת'!A$2:A$2998='נתונים כלליים (1)'!$C$5),
         ROW('נתוני רישום ומצבת'!A$2:A$2998)),
      ROW(A461))
   ),
"")</f>
        <v/>
      </c>
      <c r="D481" s="549" t="str">
        <f>IF(C481="", "",
   IFERROR(
      IF(VLOOKUP(C481, 'נתוני רישום ומצבת'!B:J, 9, FALSE) = $F$4,
         VLOOKUP(C481, 'נתוני רישום ומצבת'!B:J, 3, FALSE),
         "המוסד לא קיים ברשות"),
   "המוסד לא קיים"))</f>
        <v/>
      </c>
      <c r="E481" s="176" t="str">
        <f>IFERROR(VLOOKUP(C481,'נתוני רישום ומצבת'!B:G,6,0),"")</f>
        <v/>
      </c>
      <c r="F481" s="281" t="str">
        <f>IFERROR(VLOOKUP(C481,'נתוני רישום ומצבת'!B:K,10,0)," ")</f>
        <v xml:space="preserve"> </v>
      </c>
      <c r="G481" s="443" t="str">
        <f>IFERROR(VLOOKUP(C481,'נתוני רישום ומצבת'!B:E,4,0)," ")</f>
        <v xml:space="preserve"> </v>
      </c>
      <c r="H481" s="444" t="str">
        <f>IFERROR(VLOOKUP(C481,'נתוני רישום ומצבת'!B:K,7,0),"")</f>
        <v/>
      </c>
      <c r="I481" s="180" t="str">
        <f t="shared" si="25"/>
        <v/>
      </c>
      <c r="J481" s="443" t="str">
        <f>IFERROR(VLOOKUP(C481,'נתוני רישום ומצבת'!B:I,5,0)," ")</f>
        <v xml:space="preserve"> </v>
      </c>
      <c r="K481" s="443" t="str">
        <f>IFERROR(VLOOKUP(C481,'נתוני רישום ומצבת'!B:I,8,0),"")</f>
        <v/>
      </c>
      <c r="L481" s="284">
        <f t="shared" si="26"/>
        <v>0</v>
      </c>
      <c r="M481" s="283" t="str">
        <f t="shared" si="24"/>
        <v>-</v>
      </c>
    </row>
    <row r="482" spans="2:13" x14ac:dyDescent="0.25">
      <c r="B482" s="280">
        <v>462</v>
      </c>
      <c r="C482" s="549" t="str" cm="1">
        <f t="array" ref="C482">IFERROR(
   INDEX('נתוני רישום ומצבת'!$B:$B,
      SMALL(
         IF(('נתוני רישום ומצבת'!A$2:A$2998='נתונים כלליים (1)'!$C$5),
         ROW('נתוני רישום ומצבת'!A$2:A$2998)),
      ROW(A462))
   ),
"")</f>
        <v/>
      </c>
      <c r="D482" s="549" t="str">
        <f>IF(C482="", "",
   IFERROR(
      IF(VLOOKUP(C482, 'נתוני רישום ומצבת'!B:J, 9, FALSE) = $F$4,
         VLOOKUP(C482, 'נתוני רישום ומצבת'!B:J, 3, FALSE),
         "המוסד לא קיים ברשות"),
   "המוסד לא קיים"))</f>
        <v/>
      </c>
      <c r="E482" s="176" t="str">
        <f>IFERROR(VLOOKUP(C482,'נתוני רישום ומצבת'!B:G,6,0),"")</f>
        <v/>
      </c>
      <c r="F482" s="281" t="str">
        <f>IFERROR(VLOOKUP(C482,'נתוני רישום ומצבת'!B:K,10,0)," ")</f>
        <v xml:space="preserve"> </v>
      </c>
      <c r="G482" s="443" t="str">
        <f>IFERROR(VLOOKUP(C482,'נתוני רישום ומצבת'!B:E,4,0)," ")</f>
        <v xml:space="preserve"> </v>
      </c>
      <c r="H482" s="444" t="str">
        <f>IFERROR(VLOOKUP(C482,'נתוני רישום ומצבת'!B:K,7,0),"")</f>
        <v/>
      </c>
      <c r="I482" s="180" t="str">
        <f t="shared" si="25"/>
        <v/>
      </c>
      <c r="J482" s="443" t="str">
        <f>IFERROR(VLOOKUP(C482,'נתוני רישום ומצבת'!B:I,5,0)," ")</f>
        <v xml:space="preserve"> </v>
      </c>
      <c r="K482" s="443" t="str">
        <f>IFERROR(VLOOKUP(C482,'נתוני רישום ומצבת'!B:I,8,0),"")</f>
        <v/>
      </c>
      <c r="L482" s="284">
        <f t="shared" si="26"/>
        <v>0</v>
      </c>
      <c r="M482" s="283" t="str">
        <f t="shared" si="24"/>
        <v>-</v>
      </c>
    </row>
    <row r="483" spans="2:13" x14ac:dyDescent="0.25">
      <c r="B483" s="280">
        <v>463</v>
      </c>
      <c r="C483" s="549" t="str" cm="1">
        <f t="array" ref="C483">IFERROR(
   INDEX('נתוני רישום ומצבת'!$B:$B,
      SMALL(
         IF(('נתוני רישום ומצבת'!A$2:A$2998='נתונים כלליים (1)'!$C$5),
         ROW('נתוני רישום ומצבת'!A$2:A$2998)),
      ROW(A463))
   ),
"")</f>
        <v/>
      </c>
      <c r="D483" s="549" t="str">
        <f>IF(C483="", "",
   IFERROR(
      IF(VLOOKUP(C483, 'נתוני רישום ומצבת'!B:J, 9, FALSE) = $F$4,
         VLOOKUP(C483, 'נתוני רישום ומצבת'!B:J, 3, FALSE),
         "המוסד לא קיים ברשות"),
   "המוסד לא קיים"))</f>
        <v/>
      </c>
      <c r="E483" s="176" t="str">
        <f>IFERROR(VLOOKUP(C483,'נתוני רישום ומצבת'!B:G,6,0),"")</f>
        <v/>
      </c>
      <c r="F483" s="281" t="str">
        <f>IFERROR(VLOOKUP(C483,'נתוני רישום ומצבת'!B:K,10,0)," ")</f>
        <v xml:space="preserve"> </v>
      </c>
      <c r="G483" s="443" t="str">
        <f>IFERROR(VLOOKUP(C483,'נתוני רישום ומצבת'!B:E,4,0)," ")</f>
        <v xml:space="preserve"> </v>
      </c>
      <c r="H483" s="444" t="str">
        <f>IFERROR(VLOOKUP(C483,'נתוני רישום ומצבת'!B:K,7,0),"")</f>
        <v/>
      </c>
      <c r="I483" s="180" t="str">
        <f t="shared" si="25"/>
        <v/>
      </c>
      <c r="J483" s="443" t="str">
        <f>IFERROR(VLOOKUP(C483,'נתוני רישום ומצבת'!B:I,5,0)," ")</f>
        <v xml:space="preserve"> </v>
      </c>
      <c r="K483" s="443" t="str">
        <f>IFERROR(VLOOKUP(C483,'נתוני רישום ומצבת'!B:I,8,0),"")</f>
        <v/>
      </c>
      <c r="L483" s="284">
        <f t="shared" si="26"/>
        <v>0</v>
      </c>
      <c r="M483" s="283" t="str">
        <f t="shared" si="24"/>
        <v>-</v>
      </c>
    </row>
    <row r="484" spans="2:13" x14ac:dyDescent="0.25">
      <c r="B484" s="280">
        <v>464</v>
      </c>
      <c r="C484" s="549" t="str" cm="1">
        <f t="array" ref="C484">IFERROR(
   INDEX('נתוני רישום ומצבת'!$B:$B,
      SMALL(
         IF(('נתוני רישום ומצבת'!A$2:A$2998='נתונים כלליים (1)'!$C$5),
         ROW('נתוני רישום ומצבת'!A$2:A$2998)),
      ROW(A464))
   ),
"")</f>
        <v/>
      </c>
      <c r="D484" s="549" t="str">
        <f>IF(C484="", "",
   IFERROR(
      IF(VLOOKUP(C484, 'נתוני רישום ומצבת'!B:J, 9, FALSE) = $F$4,
         VLOOKUP(C484, 'נתוני רישום ומצבת'!B:J, 3, FALSE),
         "המוסד לא קיים ברשות"),
   "המוסד לא קיים"))</f>
        <v/>
      </c>
      <c r="E484" s="176" t="str">
        <f>IFERROR(VLOOKUP(C484,'נתוני רישום ומצבת'!B:G,6,0),"")</f>
        <v/>
      </c>
      <c r="F484" s="281" t="str">
        <f>IFERROR(VLOOKUP(C484,'נתוני רישום ומצבת'!B:K,10,0)," ")</f>
        <v xml:space="preserve"> </v>
      </c>
      <c r="G484" s="443" t="str">
        <f>IFERROR(VLOOKUP(C484,'נתוני רישום ומצבת'!B:E,4,0)," ")</f>
        <v xml:space="preserve"> </v>
      </c>
      <c r="H484" s="444" t="str">
        <f>IFERROR(VLOOKUP(C484,'נתוני רישום ומצבת'!B:K,7,0),"")</f>
        <v/>
      </c>
      <c r="I484" s="180" t="str">
        <f t="shared" si="25"/>
        <v/>
      </c>
      <c r="J484" s="443" t="str">
        <f>IFERROR(VLOOKUP(C484,'נתוני רישום ומצבת'!B:I,5,0)," ")</f>
        <v xml:space="preserve"> </v>
      </c>
      <c r="K484" s="443" t="str">
        <f>IFERROR(VLOOKUP(C484,'נתוני רישום ומצבת'!B:I,8,0),"")</f>
        <v/>
      </c>
      <c r="L484" s="284">
        <f t="shared" si="26"/>
        <v>0</v>
      </c>
      <c r="M484" s="283" t="str">
        <f t="shared" si="24"/>
        <v>-</v>
      </c>
    </row>
    <row r="485" spans="2:13" x14ac:dyDescent="0.25">
      <c r="B485" s="280">
        <v>465</v>
      </c>
      <c r="C485" s="549" t="str" cm="1">
        <f t="array" ref="C485">IFERROR(
   INDEX('נתוני רישום ומצבת'!$B:$B,
      SMALL(
         IF(('נתוני רישום ומצבת'!A$2:A$2998='נתונים כלליים (1)'!$C$5),
         ROW('נתוני רישום ומצבת'!A$2:A$2998)),
      ROW(A465))
   ),
"")</f>
        <v/>
      </c>
      <c r="D485" s="549" t="str">
        <f>IF(C485="", "",
   IFERROR(
      IF(VLOOKUP(C485, 'נתוני רישום ומצבת'!B:J, 9, FALSE) = $F$4,
         VLOOKUP(C485, 'נתוני רישום ומצבת'!B:J, 3, FALSE),
         "המוסד לא קיים ברשות"),
   "המוסד לא קיים"))</f>
        <v/>
      </c>
      <c r="E485" s="176" t="str">
        <f>IFERROR(VLOOKUP(C485,'נתוני רישום ומצבת'!B:G,6,0),"")</f>
        <v/>
      </c>
      <c r="F485" s="281" t="str">
        <f>IFERROR(VLOOKUP(C485,'נתוני רישום ומצבת'!B:K,10,0)," ")</f>
        <v xml:space="preserve"> </v>
      </c>
      <c r="G485" s="443" t="str">
        <f>IFERROR(VLOOKUP(C485,'נתוני רישום ומצבת'!B:E,4,0)," ")</f>
        <v xml:space="preserve"> </v>
      </c>
      <c r="H485" s="444" t="str">
        <f>IFERROR(VLOOKUP(C485,'נתוני רישום ומצבת'!B:K,7,0),"")</f>
        <v/>
      </c>
      <c r="I485" s="180" t="str">
        <f t="shared" si="25"/>
        <v/>
      </c>
      <c r="J485" s="443" t="str">
        <f>IFERROR(VLOOKUP(C485,'נתוני רישום ומצבת'!B:I,5,0)," ")</f>
        <v xml:space="preserve"> </v>
      </c>
      <c r="K485" s="443" t="str">
        <f>IFERROR(VLOOKUP(C485,'נתוני רישום ומצבת'!B:I,8,0),"")</f>
        <v/>
      </c>
      <c r="L485" s="284">
        <f t="shared" si="26"/>
        <v>0</v>
      </c>
      <c r="M485" s="283" t="str">
        <f t="shared" si="24"/>
        <v>-</v>
      </c>
    </row>
    <row r="486" spans="2:13" x14ac:dyDescent="0.25">
      <c r="B486" s="280">
        <v>466</v>
      </c>
      <c r="C486" s="549" t="str" cm="1">
        <f t="array" ref="C486">IFERROR(
   INDEX('נתוני רישום ומצבת'!$B:$B,
      SMALL(
         IF(('נתוני רישום ומצבת'!A$2:A$2998='נתונים כלליים (1)'!$C$5),
         ROW('נתוני רישום ומצבת'!A$2:A$2998)),
      ROW(A466))
   ),
"")</f>
        <v/>
      </c>
      <c r="D486" s="549" t="str">
        <f>IF(C486="", "",
   IFERROR(
      IF(VLOOKUP(C486, 'נתוני רישום ומצבת'!B:J, 9, FALSE) = $F$4,
         VLOOKUP(C486, 'נתוני רישום ומצבת'!B:J, 3, FALSE),
         "המוסד לא קיים ברשות"),
   "המוסד לא קיים"))</f>
        <v/>
      </c>
      <c r="E486" s="176" t="str">
        <f>IFERROR(VLOOKUP(C486,'נתוני רישום ומצבת'!B:G,6,0),"")</f>
        <v/>
      </c>
      <c r="F486" s="281" t="str">
        <f>IFERROR(VLOOKUP(C486,'נתוני רישום ומצבת'!B:K,10,0)," ")</f>
        <v xml:space="preserve"> </v>
      </c>
      <c r="G486" s="443" t="str">
        <f>IFERROR(VLOOKUP(C486,'נתוני רישום ומצבת'!B:E,4,0)," ")</f>
        <v xml:space="preserve"> </v>
      </c>
      <c r="H486" s="444" t="str">
        <f>IFERROR(VLOOKUP(C486,'נתוני רישום ומצבת'!B:K,7,0),"")</f>
        <v/>
      </c>
      <c r="I486" s="180" t="str">
        <f t="shared" si="25"/>
        <v/>
      </c>
      <c r="J486" s="443" t="str">
        <f>IFERROR(VLOOKUP(C486,'נתוני רישום ומצבת'!B:I,5,0)," ")</f>
        <v xml:space="preserve"> </v>
      </c>
      <c r="K486" s="443" t="str">
        <f>IFERROR(VLOOKUP(C486,'נתוני רישום ומצבת'!B:I,8,0),"")</f>
        <v/>
      </c>
      <c r="L486" s="284">
        <f t="shared" si="26"/>
        <v>0</v>
      </c>
      <c r="M486" s="283" t="str">
        <f t="shared" si="24"/>
        <v>-</v>
      </c>
    </row>
    <row r="487" spans="2:13" x14ac:dyDescent="0.25">
      <c r="B487" s="280">
        <v>467</v>
      </c>
      <c r="C487" s="549" t="str" cm="1">
        <f t="array" ref="C487">IFERROR(
   INDEX('נתוני רישום ומצבת'!$B:$B,
      SMALL(
         IF(('נתוני רישום ומצבת'!A$2:A$2998='נתונים כלליים (1)'!$C$5),
         ROW('נתוני רישום ומצבת'!A$2:A$2998)),
      ROW(A467))
   ),
"")</f>
        <v/>
      </c>
      <c r="D487" s="549" t="str">
        <f>IF(C487="", "",
   IFERROR(
      IF(VLOOKUP(C487, 'נתוני רישום ומצבת'!B:J, 9, FALSE) = $F$4,
         VLOOKUP(C487, 'נתוני רישום ומצבת'!B:J, 3, FALSE),
         "המוסד לא קיים ברשות"),
   "המוסד לא קיים"))</f>
        <v/>
      </c>
      <c r="E487" s="176" t="str">
        <f>IFERROR(VLOOKUP(C487,'נתוני רישום ומצבת'!B:G,6,0),"")</f>
        <v/>
      </c>
      <c r="F487" s="281" t="str">
        <f>IFERROR(VLOOKUP(C487,'נתוני רישום ומצבת'!B:K,10,0)," ")</f>
        <v xml:space="preserve"> </v>
      </c>
      <c r="G487" s="443" t="str">
        <f>IFERROR(VLOOKUP(C487,'נתוני רישום ומצבת'!B:E,4,0)," ")</f>
        <v xml:space="preserve"> </v>
      </c>
      <c r="H487" s="444" t="str">
        <f>IFERROR(VLOOKUP(C487,'נתוני רישום ומצבת'!B:K,7,0),"")</f>
        <v/>
      </c>
      <c r="I487" s="180" t="str">
        <f t="shared" si="25"/>
        <v/>
      </c>
      <c r="J487" s="443" t="str">
        <f>IFERROR(VLOOKUP(C487,'נתוני רישום ומצבת'!B:I,5,0)," ")</f>
        <v xml:space="preserve"> </v>
      </c>
      <c r="K487" s="443" t="str">
        <f>IFERROR(VLOOKUP(C487,'נתוני רישום ומצבת'!B:I,8,0),"")</f>
        <v/>
      </c>
      <c r="L487" s="284">
        <f t="shared" si="26"/>
        <v>0</v>
      </c>
      <c r="M487" s="283" t="str">
        <f t="shared" si="24"/>
        <v>-</v>
      </c>
    </row>
    <row r="488" spans="2:13" x14ac:dyDescent="0.25">
      <c r="B488" s="280">
        <v>468</v>
      </c>
      <c r="C488" s="549" t="str" cm="1">
        <f t="array" ref="C488">IFERROR(
   INDEX('נתוני רישום ומצבת'!$B:$B,
      SMALL(
         IF(('נתוני רישום ומצבת'!A$2:A$2998='נתונים כלליים (1)'!$C$5),
         ROW('נתוני רישום ומצבת'!A$2:A$2998)),
      ROW(A468))
   ),
"")</f>
        <v/>
      </c>
      <c r="D488" s="549" t="str">
        <f>IF(C488="", "",
   IFERROR(
      IF(VLOOKUP(C488, 'נתוני רישום ומצבת'!B:J, 9, FALSE) = $F$4,
         VLOOKUP(C488, 'נתוני רישום ומצבת'!B:J, 3, FALSE),
         "המוסד לא קיים ברשות"),
   "המוסד לא קיים"))</f>
        <v/>
      </c>
      <c r="E488" s="176" t="str">
        <f>IFERROR(VLOOKUP(C488,'נתוני רישום ומצבת'!B:G,6,0),"")</f>
        <v/>
      </c>
      <c r="F488" s="281" t="str">
        <f>IFERROR(VLOOKUP(C488,'נתוני רישום ומצבת'!B:K,10,0)," ")</f>
        <v xml:space="preserve"> </v>
      </c>
      <c r="G488" s="443" t="str">
        <f>IFERROR(VLOOKUP(C488,'נתוני רישום ומצבת'!B:E,4,0)," ")</f>
        <v xml:space="preserve"> </v>
      </c>
      <c r="H488" s="444" t="str">
        <f>IFERROR(VLOOKUP(C488,'נתוני רישום ומצבת'!B:K,7,0),"")</f>
        <v/>
      </c>
      <c r="I488" s="180" t="str">
        <f t="shared" si="25"/>
        <v/>
      </c>
      <c r="J488" s="443" t="str">
        <f>IFERROR(VLOOKUP(C488,'נתוני רישום ומצבת'!B:I,5,0)," ")</f>
        <v xml:space="preserve"> </v>
      </c>
      <c r="K488" s="443" t="str">
        <f>IFERROR(VLOOKUP(C488,'נתוני רישום ומצבת'!B:I,8,0),"")</f>
        <v/>
      </c>
      <c r="L488" s="284">
        <f t="shared" si="26"/>
        <v>0</v>
      </c>
      <c r="M488" s="283" t="str">
        <f t="shared" si="24"/>
        <v>-</v>
      </c>
    </row>
    <row r="489" spans="2:13" x14ac:dyDescent="0.25">
      <c r="B489" s="280">
        <v>469</v>
      </c>
      <c r="C489" s="549" t="str" cm="1">
        <f t="array" ref="C489">IFERROR(
   INDEX('נתוני רישום ומצבת'!$B:$B,
      SMALL(
         IF(('נתוני רישום ומצבת'!A$2:A$2998='נתונים כלליים (1)'!$C$5),
         ROW('נתוני רישום ומצבת'!A$2:A$2998)),
      ROW(A469))
   ),
"")</f>
        <v/>
      </c>
      <c r="D489" s="549" t="str">
        <f>IF(C489="", "",
   IFERROR(
      IF(VLOOKUP(C489, 'נתוני רישום ומצבת'!B:J, 9, FALSE) = $F$4,
         VLOOKUP(C489, 'נתוני רישום ומצבת'!B:J, 3, FALSE),
         "המוסד לא קיים ברשות"),
   "המוסד לא קיים"))</f>
        <v/>
      </c>
      <c r="E489" s="176" t="str">
        <f>IFERROR(VLOOKUP(C489,'נתוני רישום ומצבת'!B:G,6,0),"")</f>
        <v/>
      </c>
      <c r="F489" s="281" t="str">
        <f>IFERROR(VLOOKUP(C489,'נתוני רישום ומצבת'!B:K,10,0)," ")</f>
        <v xml:space="preserve"> </v>
      </c>
      <c r="G489" s="443" t="str">
        <f>IFERROR(VLOOKUP(C489,'נתוני רישום ומצבת'!B:E,4,0)," ")</f>
        <v xml:space="preserve"> </v>
      </c>
      <c r="H489" s="444" t="str">
        <f>IFERROR(VLOOKUP(C489,'נתוני רישום ומצבת'!B:K,7,0),"")</f>
        <v/>
      </c>
      <c r="I489" s="180" t="str">
        <f t="shared" si="25"/>
        <v/>
      </c>
      <c r="J489" s="443" t="str">
        <f>IFERROR(VLOOKUP(C489,'נתוני רישום ומצבת'!B:I,5,0)," ")</f>
        <v xml:space="preserve"> </v>
      </c>
      <c r="K489" s="443" t="str">
        <f>IFERROR(VLOOKUP(C489,'נתוני רישום ומצבת'!B:I,8,0),"")</f>
        <v/>
      </c>
      <c r="L489" s="284">
        <f t="shared" si="26"/>
        <v>0</v>
      </c>
      <c r="M489" s="283" t="str">
        <f t="shared" si="24"/>
        <v>-</v>
      </c>
    </row>
    <row r="490" spans="2:13" x14ac:dyDescent="0.25">
      <c r="B490" s="280">
        <v>470</v>
      </c>
      <c r="C490" s="549" t="str" cm="1">
        <f t="array" ref="C490">IFERROR(
   INDEX('נתוני רישום ומצבת'!$B:$B,
      SMALL(
         IF(('נתוני רישום ומצבת'!A$2:A$2998='נתונים כלליים (1)'!$C$5),
         ROW('נתוני רישום ומצבת'!A$2:A$2998)),
      ROW(A470))
   ),
"")</f>
        <v/>
      </c>
      <c r="D490" s="549" t="str">
        <f>IF(C490="", "",
   IFERROR(
      IF(VLOOKUP(C490, 'נתוני רישום ומצבת'!B:J, 9, FALSE) = $F$4,
         VLOOKUP(C490, 'נתוני רישום ומצבת'!B:J, 3, FALSE),
         "המוסד לא קיים ברשות"),
   "המוסד לא קיים"))</f>
        <v/>
      </c>
      <c r="E490" s="176" t="str">
        <f>IFERROR(VLOOKUP(C490,'נתוני רישום ומצבת'!B:G,6,0),"")</f>
        <v/>
      </c>
      <c r="F490" s="281" t="str">
        <f>IFERROR(VLOOKUP(C490,'נתוני רישום ומצבת'!B:K,10,0)," ")</f>
        <v xml:space="preserve"> </v>
      </c>
      <c r="G490" s="443" t="str">
        <f>IFERROR(VLOOKUP(C490,'נתוני רישום ומצבת'!B:E,4,0)," ")</f>
        <v xml:space="preserve"> </v>
      </c>
      <c r="H490" s="444" t="str">
        <f>IFERROR(VLOOKUP(C490,'נתוני רישום ומצבת'!B:K,7,0),"")</f>
        <v/>
      </c>
      <c r="I490" s="180" t="str">
        <f t="shared" si="25"/>
        <v/>
      </c>
      <c r="J490" s="443" t="str">
        <f>IFERROR(VLOOKUP(C490,'נתוני רישום ומצבת'!B:I,5,0)," ")</f>
        <v xml:space="preserve"> </v>
      </c>
      <c r="K490" s="443" t="str">
        <f>IFERROR(VLOOKUP(C490,'נתוני רישום ומצבת'!B:I,8,0),"")</f>
        <v/>
      </c>
      <c r="L490" s="284">
        <f t="shared" si="26"/>
        <v>0</v>
      </c>
      <c r="M490" s="283" t="str">
        <f t="shared" si="24"/>
        <v>-</v>
      </c>
    </row>
    <row r="491" spans="2:13" x14ac:dyDescent="0.25">
      <c r="B491" s="280">
        <v>471</v>
      </c>
      <c r="C491" s="549" t="str" cm="1">
        <f t="array" ref="C491">IFERROR(
   INDEX('נתוני רישום ומצבת'!$B:$B,
      SMALL(
         IF(('נתוני רישום ומצבת'!A$2:A$2998='נתונים כלליים (1)'!$C$5),
         ROW('נתוני רישום ומצבת'!A$2:A$2998)),
      ROW(A471))
   ),
"")</f>
        <v/>
      </c>
      <c r="D491" s="549" t="str">
        <f>IF(C491="", "",
   IFERROR(
      IF(VLOOKUP(C491, 'נתוני רישום ומצבת'!B:J, 9, FALSE) = $F$4,
         VLOOKUP(C491, 'נתוני רישום ומצבת'!B:J, 3, FALSE),
         "המוסד לא קיים ברשות"),
   "המוסד לא קיים"))</f>
        <v/>
      </c>
      <c r="E491" s="176" t="str">
        <f>IFERROR(VLOOKUP(C491,'נתוני רישום ומצבת'!B:G,6,0),"")</f>
        <v/>
      </c>
      <c r="F491" s="281" t="str">
        <f>IFERROR(VLOOKUP(C491,'נתוני רישום ומצבת'!B:K,10,0)," ")</f>
        <v xml:space="preserve"> </v>
      </c>
      <c r="G491" s="443" t="str">
        <f>IFERROR(VLOOKUP(C491,'נתוני רישום ומצבת'!B:E,4,0)," ")</f>
        <v xml:space="preserve"> </v>
      </c>
      <c r="H491" s="444" t="str">
        <f>IFERROR(VLOOKUP(C491,'נתוני רישום ומצבת'!B:K,7,0),"")</f>
        <v/>
      </c>
      <c r="I491" s="180" t="str">
        <f t="shared" si="25"/>
        <v/>
      </c>
      <c r="J491" s="443" t="str">
        <f>IFERROR(VLOOKUP(C491,'נתוני רישום ומצבת'!B:I,5,0)," ")</f>
        <v xml:space="preserve"> </v>
      </c>
      <c r="K491" s="443" t="str">
        <f>IFERROR(VLOOKUP(C491,'נתוני רישום ומצבת'!B:I,8,0),"")</f>
        <v/>
      </c>
      <c r="L491" s="284">
        <f t="shared" si="26"/>
        <v>0</v>
      </c>
      <c r="M491" s="283" t="str">
        <f t="shared" si="24"/>
        <v>-</v>
      </c>
    </row>
    <row r="492" spans="2:13" x14ac:dyDescent="0.25">
      <c r="B492" s="280">
        <v>472</v>
      </c>
      <c r="C492" s="549" t="str" cm="1">
        <f t="array" ref="C492">IFERROR(
   INDEX('נתוני רישום ומצבת'!$B:$B,
      SMALL(
         IF(('נתוני רישום ומצבת'!A$2:A$2998='נתונים כלליים (1)'!$C$5),
         ROW('נתוני רישום ומצבת'!A$2:A$2998)),
      ROW(A472))
   ),
"")</f>
        <v/>
      </c>
      <c r="D492" s="549" t="str">
        <f>IF(C492="", "",
   IFERROR(
      IF(VLOOKUP(C492, 'נתוני רישום ומצבת'!B:J, 9, FALSE) = $F$4,
         VLOOKUP(C492, 'נתוני רישום ומצבת'!B:J, 3, FALSE),
         "המוסד לא קיים ברשות"),
   "המוסד לא קיים"))</f>
        <v/>
      </c>
      <c r="E492" s="176" t="str">
        <f>IFERROR(VLOOKUP(C492,'נתוני רישום ומצבת'!B:G,6,0),"")</f>
        <v/>
      </c>
      <c r="F492" s="281" t="str">
        <f>IFERROR(VLOOKUP(C492,'נתוני רישום ומצבת'!B:K,10,0)," ")</f>
        <v xml:space="preserve"> </v>
      </c>
      <c r="G492" s="443" t="str">
        <f>IFERROR(VLOOKUP(C492,'נתוני רישום ומצבת'!B:E,4,0)," ")</f>
        <v xml:space="preserve"> </v>
      </c>
      <c r="H492" s="444" t="str">
        <f>IFERROR(VLOOKUP(C492,'נתוני רישום ומצבת'!B:K,7,0),"")</f>
        <v/>
      </c>
      <c r="I492" s="180" t="str">
        <f t="shared" si="25"/>
        <v/>
      </c>
      <c r="J492" s="443" t="str">
        <f>IFERROR(VLOOKUP(C492,'נתוני רישום ומצבת'!B:I,5,0)," ")</f>
        <v xml:space="preserve"> </v>
      </c>
      <c r="K492" s="443" t="str">
        <f>IFERROR(VLOOKUP(C492,'נתוני רישום ומצבת'!B:I,8,0),"")</f>
        <v/>
      </c>
      <c r="L492" s="284">
        <f t="shared" si="26"/>
        <v>0</v>
      </c>
      <c r="M492" s="283" t="str">
        <f t="shared" si="24"/>
        <v>-</v>
      </c>
    </row>
    <row r="493" spans="2:13" x14ac:dyDescent="0.25">
      <c r="B493" s="280">
        <v>473</v>
      </c>
      <c r="C493" s="549" t="str" cm="1">
        <f t="array" ref="C493">IFERROR(
   INDEX('נתוני רישום ומצבת'!$B:$B,
      SMALL(
         IF(('נתוני רישום ומצבת'!A$2:A$2998='נתונים כלליים (1)'!$C$5),
         ROW('נתוני רישום ומצבת'!A$2:A$2998)),
      ROW(A473))
   ),
"")</f>
        <v/>
      </c>
      <c r="D493" s="549" t="str">
        <f>IF(C493="", "",
   IFERROR(
      IF(VLOOKUP(C493, 'נתוני רישום ומצבת'!B:J, 9, FALSE) = $F$4,
         VLOOKUP(C493, 'נתוני רישום ומצבת'!B:J, 3, FALSE),
         "המוסד לא קיים ברשות"),
   "המוסד לא קיים"))</f>
        <v/>
      </c>
      <c r="E493" s="176" t="str">
        <f>IFERROR(VLOOKUP(C493,'נתוני רישום ומצבת'!B:G,6,0),"")</f>
        <v/>
      </c>
      <c r="F493" s="281" t="str">
        <f>IFERROR(VLOOKUP(C493,'נתוני רישום ומצבת'!B:K,10,0)," ")</f>
        <v xml:space="preserve"> </v>
      </c>
      <c r="G493" s="443" t="str">
        <f>IFERROR(VLOOKUP(C493,'נתוני רישום ומצבת'!B:E,4,0)," ")</f>
        <v xml:space="preserve"> </v>
      </c>
      <c r="H493" s="444" t="str">
        <f>IFERROR(VLOOKUP(C493,'נתוני רישום ומצבת'!B:K,7,0),"")</f>
        <v/>
      </c>
      <c r="I493" s="180" t="str">
        <f t="shared" si="25"/>
        <v/>
      </c>
      <c r="J493" s="443" t="str">
        <f>IFERROR(VLOOKUP(C493,'נתוני רישום ומצבת'!B:I,5,0)," ")</f>
        <v xml:space="preserve"> </v>
      </c>
      <c r="K493" s="443" t="str">
        <f>IFERROR(VLOOKUP(C493,'נתוני רישום ומצבת'!B:I,8,0),"")</f>
        <v/>
      </c>
      <c r="L493" s="284">
        <f t="shared" si="26"/>
        <v>0</v>
      </c>
      <c r="M493" s="283" t="str">
        <f t="shared" si="24"/>
        <v>-</v>
      </c>
    </row>
    <row r="494" spans="2:13" x14ac:dyDescent="0.25">
      <c r="B494" s="280">
        <v>474</v>
      </c>
      <c r="C494" s="549" t="str" cm="1">
        <f t="array" ref="C494">IFERROR(
   INDEX('נתוני רישום ומצבת'!$B:$B,
      SMALL(
         IF(('נתוני רישום ומצבת'!A$2:A$2998='נתונים כלליים (1)'!$C$5),
         ROW('נתוני רישום ומצבת'!A$2:A$2998)),
      ROW(A474))
   ),
"")</f>
        <v/>
      </c>
      <c r="D494" s="549" t="str">
        <f>IF(C494="", "",
   IFERROR(
      IF(VLOOKUP(C494, 'נתוני רישום ומצבת'!B:J, 9, FALSE) = $F$4,
         VLOOKUP(C494, 'נתוני רישום ומצבת'!B:J, 3, FALSE),
         "המוסד לא קיים ברשות"),
   "המוסד לא קיים"))</f>
        <v/>
      </c>
      <c r="E494" s="176" t="str">
        <f>IFERROR(VLOOKUP(C494,'נתוני רישום ומצבת'!B:G,6,0),"")</f>
        <v/>
      </c>
      <c r="F494" s="281" t="str">
        <f>IFERROR(VLOOKUP(C494,'נתוני רישום ומצבת'!B:K,10,0)," ")</f>
        <v xml:space="preserve"> </v>
      </c>
      <c r="G494" s="443" t="str">
        <f>IFERROR(VLOOKUP(C494,'נתוני רישום ומצבת'!B:E,4,0)," ")</f>
        <v xml:space="preserve"> </v>
      </c>
      <c r="H494" s="444" t="str">
        <f>IFERROR(VLOOKUP(C494,'נתוני רישום ומצבת'!B:K,7,0),"")</f>
        <v/>
      </c>
      <c r="I494" s="180" t="str">
        <f t="shared" si="25"/>
        <v/>
      </c>
      <c r="J494" s="443" t="str">
        <f>IFERROR(VLOOKUP(C494,'נתוני רישום ומצבת'!B:I,5,0)," ")</f>
        <v xml:space="preserve"> </v>
      </c>
      <c r="K494" s="443" t="str">
        <f>IFERROR(VLOOKUP(C494,'נתוני רישום ומצבת'!B:I,8,0),"")</f>
        <v/>
      </c>
      <c r="L494" s="284">
        <f t="shared" si="26"/>
        <v>0</v>
      </c>
      <c r="M494" s="283" t="str">
        <f t="shared" si="24"/>
        <v>-</v>
      </c>
    </row>
    <row r="495" spans="2:13" x14ac:dyDescent="0.25">
      <c r="B495" s="280">
        <v>475</v>
      </c>
      <c r="C495" s="549" t="str" cm="1">
        <f t="array" ref="C495">IFERROR(
   INDEX('נתוני רישום ומצבת'!$B:$B,
      SMALL(
         IF(('נתוני רישום ומצבת'!A$2:A$2998='נתונים כלליים (1)'!$C$5),
         ROW('נתוני רישום ומצבת'!A$2:A$2998)),
      ROW(A475))
   ),
"")</f>
        <v/>
      </c>
      <c r="D495" s="549" t="str">
        <f>IF(C495="", "",
   IFERROR(
      IF(VLOOKUP(C495, 'נתוני רישום ומצבת'!B:J, 9, FALSE) = $F$4,
         VLOOKUP(C495, 'נתוני רישום ומצבת'!B:J, 3, FALSE),
         "המוסד לא קיים ברשות"),
   "המוסד לא קיים"))</f>
        <v/>
      </c>
      <c r="E495" s="176" t="str">
        <f>IFERROR(VLOOKUP(C495,'נתוני רישום ומצבת'!B:G,6,0),"")</f>
        <v/>
      </c>
      <c r="F495" s="281" t="str">
        <f>IFERROR(VLOOKUP(C495,'נתוני רישום ומצבת'!B:K,10,0)," ")</f>
        <v xml:space="preserve"> </v>
      </c>
      <c r="G495" s="443" t="str">
        <f>IFERROR(VLOOKUP(C495,'נתוני רישום ומצבת'!B:E,4,0)," ")</f>
        <v xml:space="preserve"> </v>
      </c>
      <c r="H495" s="444" t="str">
        <f>IFERROR(VLOOKUP(C495,'נתוני רישום ומצבת'!B:K,7,0),"")</f>
        <v/>
      </c>
      <c r="I495" s="180" t="str">
        <f t="shared" si="25"/>
        <v/>
      </c>
      <c r="J495" s="443" t="str">
        <f>IFERROR(VLOOKUP(C495,'נתוני רישום ומצבת'!B:I,5,0)," ")</f>
        <v xml:space="preserve"> </v>
      </c>
      <c r="K495" s="443" t="str">
        <f>IFERROR(VLOOKUP(C495,'נתוני רישום ומצבת'!B:I,8,0),"")</f>
        <v/>
      </c>
      <c r="L495" s="284">
        <f t="shared" si="26"/>
        <v>0</v>
      </c>
      <c r="M495" s="283" t="str">
        <f t="shared" si="24"/>
        <v>-</v>
      </c>
    </row>
    <row r="496" spans="2:13" x14ac:dyDescent="0.25">
      <c r="B496" s="280">
        <v>476</v>
      </c>
      <c r="C496" s="549" t="str" cm="1">
        <f t="array" ref="C496">IFERROR(
   INDEX('נתוני רישום ומצבת'!$B:$B,
      SMALL(
         IF(('נתוני רישום ומצבת'!A$2:A$2998='נתונים כלליים (1)'!$C$5),
         ROW('נתוני רישום ומצבת'!A$2:A$2998)),
      ROW(A476))
   ),
"")</f>
        <v/>
      </c>
      <c r="D496" s="549" t="str">
        <f>IF(C496="", "",
   IFERROR(
      IF(VLOOKUP(C496, 'נתוני רישום ומצבת'!B:J, 9, FALSE) = $F$4,
         VLOOKUP(C496, 'נתוני רישום ומצבת'!B:J, 3, FALSE),
         "המוסד לא קיים ברשות"),
   "המוסד לא קיים"))</f>
        <v/>
      </c>
      <c r="E496" s="176" t="str">
        <f>IFERROR(VLOOKUP(C496,'נתוני רישום ומצבת'!B:G,6,0),"")</f>
        <v/>
      </c>
      <c r="F496" s="281" t="str">
        <f>IFERROR(VLOOKUP(C496,'נתוני רישום ומצבת'!B:K,10,0)," ")</f>
        <v xml:space="preserve"> </v>
      </c>
      <c r="G496" s="443" t="str">
        <f>IFERROR(VLOOKUP(C496,'נתוני רישום ומצבת'!B:E,4,0)," ")</f>
        <v xml:space="preserve"> </v>
      </c>
      <c r="H496" s="444" t="str">
        <f>IFERROR(VLOOKUP(C496,'נתוני רישום ומצבת'!B:K,7,0),"")</f>
        <v/>
      </c>
      <c r="I496" s="180" t="str">
        <f t="shared" si="25"/>
        <v/>
      </c>
      <c r="J496" s="443" t="str">
        <f>IFERROR(VLOOKUP(C496,'נתוני רישום ומצבת'!B:I,5,0)," ")</f>
        <v xml:space="preserve"> </v>
      </c>
      <c r="K496" s="443" t="str">
        <f>IFERROR(VLOOKUP(C496,'נתוני רישום ומצבת'!B:I,8,0),"")</f>
        <v/>
      </c>
      <c r="L496" s="284">
        <f t="shared" si="26"/>
        <v>0</v>
      </c>
      <c r="M496" s="283" t="str">
        <f t="shared" si="24"/>
        <v>-</v>
      </c>
    </row>
    <row r="497" spans="2:13" x14ac:dyDescent="0.25">
      <c r="B497" s="280">
        <v>477</v>
      </c>
      <c r="C497" s="549" t="str" cm="1">
        <f t="array" ref="C497">IFERROR(
   INDEX('נתוני רישום ומצבת'!$B:$B,
      SMALL(
         IF(('נתוני רישום ומצבת'!A$2:A$2998='נתונים כלליים (1)'!$C$5),
         ROW('נתוני רישום ומצבת'!A$2:A$2998)),
      ROW(A477))
   ),
"")</f>
        <v/>
      </c>
      <c r="D497" s="549" t="str">
        <f>IF(C497="", "",
   IFERROR(
      IF(VLOOKUP(C497, 'נתוני רישום ומצבת'!B:J, 9, FALSE) = $F$4,
         VLOOKUP(C497, 'נתוני רישום ומצבת'!B:J, 3, FALSE),
         "המוסד לא קיים ברשות"),
   "המוסד לא קיים"))</f>
        <v/>
      </c>
      <c r="E497" s="176" t="str">
        <f>IFERROR(VLOOKUP(C497,'נתוני רישום ומצבת'!B:G,6,0),"")</f>
        <v/>
      </c>
      <c r="F497" s="281" t="str">
        <f>IFERROR(VLOOKUP(C497,'נתוני רישום ומצבת'!B:K,10,0)," ")</f>
        <v xml:space="preserve"> </v>
      </c>
      <c r="G497" s="443" t="str">
        <f>IFERROR(VLOOKUP(C497,'נתוני רישום ומצבת'!B:E,4,0)," ")</f>
        <v xml:space="preserve"> </v>
      </c>
      <c r="H497" s="444" t="str">
        <f>IFERROR(VLOOKUP(C497,'נתוני רישום ומצבת'!B:K,7,0),"")</f>
        <v/>
      </c>
      <c r="I497" s="180" t="str">
        <f t="shared" si="25"/>
        <v/>
      </c>
      <c r="J497" s="443" t="str">
        <f>IFERROR(VLOOKUP(C497,'נתוני רישום ומצבת'!B:I,5,0)," ")</f>
        <v xml:space="preserve"> </v>
      </c>
      <c r="K497" s="443" t="str">
        <f>IFERROR(VLOOKUP(C497,'נתוני רישום ומצבת'!B:I,8,0),"")</f>
        <v/>
      </c>
      <c r="L497" s="284">
        <f t="shared" si="26"/>
        <v>0</v>
      </c>
      <c r="M497" s="283" t="str">
        <f t="shared" si="24"/>
        <v>-</v>
      </c>
    </row>
    <row r="498" spans="2:13" x14ac:dyDescent="0.25">
      <c r="B498" s="280">
        <v>478</v>
      </c>
      <c r="C498" s="549" t="str" cm="1">
        <f t="array" ref="C498">IFERROR(
   INDEX('נתוני רישום ומצבת'!$B:$B,
      SMALL(
         IF(('נתוני רישום ומצבת'!A$2:A$2998='נתונים כלליים (1)'!$C$5),
         ROW('נתוני רישום ומצבת'!A$2:A$2998)),
      ROW(A478))
   ),
"")</f>
        <v/>
      </c>
      <c r="D498" s="549" t="str">
        <f>IF(C498="", "",
   IFERROR(
      IF(VLOOKUP(C498, 'נתוני רישום ומצבת'!B:J, 9, FALSE) = $F$4,
         VLOOKUP(C498, 'נתוני רישום ומצבת'!B:J, 3, FALSE),
         "המוסד לא קיים ברשות"),
   "המוסד לא קיים"))</f>
        <v/>
      </c>
      <c r="E498" s="176" t="str">
        <f>IFERROR(VLOOKUP(C498,'נתוני רישום ומצבת'!B:G,6,0),"")</f>
        <v/>
      </c>
      <c r="F498" s="281" t="str">
        <f>IFERROR(VLOOKUP(C498,'נתוני רישום ומצבת'!B:K,10,0)," ")</f>
        <v xml:space="preserve"> </v>
      </c>
      <c r="G498" s="443" t="str">
        <f>IFERROR(VLOOKUP(C498,'נתוני רישום ומצבת'!B:E,4,0)," ")</f>
        <v xml:space="preserve"> </v>
      </c>
      <c r="H498" s="444" t="str">
        <f>IFERROR(VLOOKUP(C498,'נתוני רישום ומצבת'!B:K,7,0),"")</f>
        <v/>
      </c>
      <c r="I498" s="180" t="str">
        <f t="shared" si="25"/>
        <v/>
      </c>
      <c r="J498" s="443" t="str">
        <f>IFERROR(VLOOKUP(C498,'נתוני רישום ומצבת'!B:I,5,0)," ")</f>
        <v xml:space="preserve"> </v>
      </c>
      <c r="K498" s="443" t="str">
        <f>IFERROR(VLOOKUP(C498,'נתוני רישום ומצבת'!B:I,8,0),"")</f>
        <v/>
      </c>
      <c r="L498" s="284">
        <f t="shared" si="26"/>
        <v>0</v>
      </c>
      <c r="M498" s="283" t="str">
        <f t="shared" si="24"/>
        <v>-</v>
      </c>
    </row>
    <row r="499" spans="2:13" x14ac:dyDescent="0.25">
      <c r="B499" s="280">
        <v>479</v>
      </c>
      <c r="C499" s="549" t="str" cm="1">
        <f t="array" ref="C499">IFERROR(
   INDEX('נתוני רישום ומצבת'!$B:$B,
      SMALL(
         IF(('נתוני רישום ומצבת'!A$2:A$2998='נתונים כלליים (1)'!$C$5),
         ROW('נתוני רישום ומצבת'!A$2:A$2998)),
      ROW(A479))
   ),
"")</f>
        <v/>
      </c>
      <c r="D499" s="549" t="str">
        <f>IF(C499="", "",
   IFERROR(
      IF(VLOOKUP(C499, 'נתוני רישום ומצבת'!B:J, 9, FALSE) = $F$4,
         VLOOKUP(C499, 'נתוני רישום ומצבת'!B:J, 3, FALSE),
         "המוסד לא קיים ברשות"),
   "המוסד לא קיים"))</f>
        <v/>
      </c>
      <c r="E499" s="176" t="str">
        <f>IFERROR(VLOOKUP(C499,'נתוני רישום ומצבת'!B:G,6,0),"")</f>
        <v/>
      </c>
      <c r="F499" s="281" t="str">
        <f>IFERROR(VLOOKUP(C499,'נתוני רישום ומצבת'!B:K,10,0)," ")</f>
        <v xml:space="preserve"> </v>
      </c>
      <c r="G499" s="443" t="str">
        <f>IFERROR(VLOOKUP(C499,'נתוני רישום ומצבת'!B:E,4,0)," ")</f>
        <v xml:space="preserve"> </v>
      </c>
      <c r="H499" s="444" t="str">
        <f>IFERROR(VLOOKUP(C499,'נתוני רישום ומצבת'!B:K,7,0),"")</f>
        <v/>
      </c>
      <c r="I499" s="180" t="str">
        <f t="shared" si="25"/>
        <v/>
      </c>
      <c r="J499" s="443" t="str">
        <f>IFERROR(VLOOKUP(C499,'נתוני רישום ומצבת'!B:I,5,0)," ")</f>
        <v xml:space="preserve"> </v>
      </c>
      <c r="K499" s="443" t="str">
        <f>IFERROR(VLOOKUP(C499,'נתוני רישום ומצבת'!B:I,8,0),"")</f>
        <v/>
      </c>
      <c r="L499" s="284">
        <f t="shared" si="26"/>
        <v>0</v>
      </c>
      <c r="M499" s="283" t="str">
        <f t="shared" si="24"/>
        <v>-</v>
      </c>
    </row>
    <row r="500" spans="2:13" x14ac:dyDescent="0.25">
      <c r="B500" s="280">
        <v>480</v>
      </c>
      <c r="C500" s="549" t="str" cm="1">
        <f t="array" ref="C500">IFERROR(
   INDEX('נתוני רישום ומצבת'!$B:$B,
      SMALL(
         IF(('נתוני רישום ומצבת'!A$2:A$2998='נתונים כלליים (1)'!$C$5),
         ROW('נתוני רישום ומצבת'!A$2:A$2998)),
      ROW(A480))
   ),
"")</f>
        <v/>
      </c>
      <c r="D500" s="549" t="str">
        <f>IF(C500="", "",
   IFERROR(
      IF(VLOOKUP(C500, 'נתוני רישום ומצבת'!B:J, 9, FALSE) = $F$4,
         VLOOKUP(C500, 'נתוני רישום ומצבת'!B:J, 3, FALSE),
         "המוסד לא קיים ברשות"),
   "המוסד לא קיים"))</f>
        <v/>
      </c>
      <c r="E500" s="176" t="str">
        <f>IFERROR(VLOOKUP(C500,'נתוני רישום ומצבת'!B:G,6,0),"")</f>
        <v/>
      </c>
      <c r="F500" s="281" t="str">
        <f>IFERROR(VLOOKUP(C500,'נתוני רישום ומצבת'!B:K,10,0)," ")</f>
        <v xml:space="preserve"> </v>
      </c>
      <c r="G500" s="443" t="str">
        <f>IFERROR(VLOOKUP(C500,'נתוני רישום ומצבת'!B:E,4,0)," ")</f>
        <v xml:space="preserve"> </v>
      </c>
      <c r="H500" s="444" t="str">
        <f>IFERROR(VLOOKUP(C500,'נתוני רישום ומצבת'!B:K,7,0),"")</f>
        <v/>
      </c>
      <c r="I500" s="180" t="str">
        <f t="shared" si="25"/>
        <v/>
      </c>
      <c r="J500" s="443" t="str">
        <f>IFERROR(VLOOKUP(C500,'נתוני רישום ומצבת'!B:I,5,0)," ")</f>
        <v xml:space="preserve"> </v>
      </c>
      <c r="K500" s="443" t="str">
        <f>IFERROR(VLOOKUP(C500,'נתוני רישום ומצבת'!B:I,8,0),"")</f>
        <v/>
      </c>
      <c r="L500" s="284">
        <f t="shared" si="26"/>
        <v>0</v>
      </c>
      <c r="M500" s="283" t="str">
        <f t="shared" si="24"/>
        <v>-</v>
      </c>
    </row>
    <row r="501" spans="2:13" x14ac:dyDescent="0.25">
      <c r="B501" s="280">
        <v>481</v>
      </c>
      <c r="C501" s="549" t="str" cm="1">
        <f t="array" ref="C501">IFERROR(
   INDEX('נתוני רישום ומצבת'!$B:$B,
      SMALL(
         IF(('נתוני רישום ומצבת'!A$2:A$2998='נתונים כלליים (1)'!$C$5),
         ROW('נתוני רישום ומצבת'!A$2:A$2998)),
      ROW(A481))
   ),
"")</f>
        <v/>
      </c>
      <c r="D501" s="549" t="str">
        <f>IF(C501="", "",
   IFERROR(
      IF(VLOOKUP(C501, 'נתוני רישום ומצבת'!B:J, 9, FALSE) = $F$4,
         VLOOKUP(C501, 'נתוני רישום ומצבת'!B:J, 3, FALSE),
         "המוסד לא קיים ברשות"),
   "המוסד לא קיים"))</f>
        <v/>
      </c>
      <c r="E501" s="176" t="str">
        <f>IFERROR(VLOOKUP(C501,'נתוני רישום ומצבת'!B:G,6,0),"")</f>
        <v/>
      </c>
      <c r="F501" s="281" t="str">
        <f>IFERROR(VLOOKUP(C501,'נתוני רישום ומצבת'!B:K,10,0)," ")</f>
        <v xml:space="preserve"> </v>
      </c>
      <c r="G501" s="443" t="str">
        <f>IFERROR(VLOOKUP(C501,'נתוני רישום ומצבת'!B:E,4,0)," ")</f>
        <v xml:space="preserve"> </v>
      </c>
      <c r="H501" s="444" t="str">
        <f>IFERROR(VLOOKUP(C501,'נתוני רישום ומצבת'!B:K,7,0),"")</f>
        <v/>
      </c>
      <c r="I501" s="180" t="str">
        <f t="shared" si="25"/>
        <v/>
      </c>
      <c r="J501" s="443" t="str">
        <f>IFERROR(VLOOKUP(C501,'נתוני רישום ומצבת'!B:I,5,0)," ")</f>
        <v xml:space="preserve"> </v>
      </c>
      <c r="K501" s="443" t="str">
        <f>IFERROR(VLOOKUP(C501,'נתוני רישום ומצבת'!B:I,8,0),"")</f>
        <v/>
      </c>
      <c r="L501" s="284">
        <f t="shared" si="26"/>
        <v>0</v>
      </c>
      <c r="M501" s="283" t="str">
        <f t="shared" si="24"/>
        <v>-</v>
      </c>
    </row>
    <row r="502" spans="2:13" x14ac:dyDescent="0.25">
      <c r="B502" s="280">
        <v>482</v>
      </c>
      <c r="C502" s="549" t="str" cm="1">
        <f t="array" ref="C502">IFERROR(
   INDEX('נתוני רישום ומצבת'!$B:$B,
      SMALL(
         IF(('נתוני רישום ומצבת'!A$2:A$2998='נתונים כלליים (1)'!$C$5),
         ROW('נתוני רישום ומצבת'!A$2:A$2998)),
      ROW(A482))
   ),
"")</f>
        <v/>
      </c>
      <c r="D502" s="549" t="str">
        <f>IF(C502="", "",
   IFERROR(
      IF(VLOOKUP(C502, 'נתוני רישום ומצבת'!B:J, 9, FALSE) = $F$4,
         VLOOKUP(C502, 'נתוני רישום ומצבת'!B:J, 3, FALSE),
         "המוסד לא קיים ברשות"),
   "המוסד לא קיים"))</f>
        <v/>
      </c>
      <c r="E502" s="176" t="str">
        <f>IFERROR(VLOOKUP(C502,'נתוני רישום ומצבת'!B:G,6,0),"")</f>
        <v/>
      </c>
      <c r="F502" s="281" t="str">
        <f>IFERROR(VLOOKUP(C502,'נתוני רישום ומצבת'!B:K,10,0)," ")</f>
        <v xml:space="preserve"> </v>
      </c>
      <c r="G502" s="443" t="str">
        <f>IFERROR(VLOOKUP(C502,'נתוני רישום ומצבת'!B:E,4,0)," ")</f>
        <v xml:space="preserve"> </v>
      </c>
      <c r="H502" s="444" t="str">
        <f>IFERROR(VLOOKUP(C502,'נתוני רישום ומצבת'!B:K,7,0),"")</f>
        <v/>
      </c>
      <c r="I502" s="180" t="str">
        <f t="shared" si="25"/>
        <v/>
      </c>
      <c r="J502" s="443" t="str">
        <f>IFERROR(VLOOKUP(C502,'נתוני רישום ומצבת'!B:I,5,0)," ")</f>
        <v xml:space="preserve"> </v>
      </c>
      <c r="K502" s="443" t="str">
        <f>IFERROR(VLOOKUP(C502,'נתוני רישום ומצבת'!B:I,8,0),"")</f>
        <v/>
      </c>
      <c r="L502" s="284">
        <f t="shared" si="26"/>
        <v>0</v>
      </c>
      <c r="M502" s="283" t="str">
        <f t="shared" si="24"/>
        <v>-</v>
      </c>
    </row>
    <row r="503" spans="2:13" x14ac:dyDescent="0.25">
      <c r="B503" s="280">
        <v>483</v>
      </c>
      <c r="C503" s="549" t="str" cm="1">
        <f t="array" ref="C503">IFERROR(
   INDEX('נתוני רישום ומצבת'!$B:$B,
      SMALL(
         IF(('נתוני רישום ומצבת'!A$2:A$2998='נתונים כלליים (1)'!$C$5),
         ROW('נתוני רישום ומצבת'!A$2:A$2998)),
      ROW(A483))
   ),
"")</f>
        <v/>
      </c>
      <c r="D503" s="549" t="str">
        <f>IF(C503="", "",
   IFERROR(
      IF(VLOOKUP(C503, 'נתוני רישום ומצבת'!B:J, 9, FALSE) = $F$4,
         VLOOKUP(C503, 'נתוני רישום ומצבת'!B:J, 3, FALSE),
         "המוסד לא קיים ברשות"),
   "המוסד לא קיים"))</f>
        <v/>
      </c>
      <c r="E503" s="176" t="str">
        <f>IFERROR(VLOOKUP(C503,'נתוני רישום ומצבת'!B:G,6,0),"")</f>
        <v/>
      </c>
      <c r="F503" s="281" t="str">
        <f>IFERROR(VLOOKUP(C503,'נתוני רישום ומצבת'!B:K,10,0)," ")</f>
        <v xml:space="preserve"> </v>
      </c>
      <c r="G503" s="443" t="str">
        <f>IFERROR(VLOOKUP(C503,'נתוני רישום ומצבת'!B:E,4,0)," ")</f>
        <v xml:space="preserve"> </v>
      </c>
      <c r="H503" s="444" t="str">
        <f>IFERROR(VLOOKUP(C503,'נתוני רישום ומצבת'!B:K,7,0),"")</f>
        <v/>
      </c>
      <c r="I503" s="180" t="str">
        <f t="shared" si="25"/>
        <v/>
      </c>
      <c r="J503" s="443" t="str">
        <f>IFERROR(VLOOKUP(C503,'נתוני רישום ומצבת'!B:I,5,0)," ")</f>
        <v xml:space="preserve"> </v>
      </c>
      <c r="K503" s="443" t="str">
        <f>IFERROR(VLOOKUP(C503,'נתוני רישום ומצבת'!B:I,8,0),"")</f>
        <v/>
      </c>
      <c r="L503" s="284">
        <f t="shared" si="26"/>
        <v>0</v>
      </c>
      <c r="M503" s="283" t="str">
        <f t="shared" si="24"/>
        <v>-</v>
      </c>
    </row>
    <row r="504" spans="2:13" x14ac:dyDescent="0.25">
      <c r="B504" s="280">
        <v>484</v>
      </c>
      <c r="C504" s="549" t="str" cm="1">
        <f t="array" ref="C504">IFERROR(
   INDEX('נתוני רישום ומצבת'!$B:$B,
      SMALL(
         IF(('נתוני רישום ומצבת'!A$2:A$2998='נתונים כלליים (1)'!$C$5),
         ROW('נתוני רישום ומצבת'!A$2:A$2998)),
      ROW(A484))
   ),
"")</f>
        <v/>
      </c>
      <c r="D504" s="549" t="str">
        <f>IF(C504="", "",
   IFERROR(
      IF(VLOOKUP(C504, 'נתוני רישום ומצבת'!B:J, 9, FALSE) = $F$4,
         VLOOKUP(C504, 'נתוני רישום ומצבת'!B:J, 3, FALSE),
         "המוסד לא קיים ברשות"),
   "המוסד לא קיים"))</f>
        <v/>
      </c>
      <c r="E504" s="176" t="str">
        <f>IFERROR(VLOOKUP(C504,'נתוני רישום ומצבת'!B:G,6,0),"")</f>
        <v/>
      </c>
      <c r="F504" s="281" t="str">
        <f>IFERROR(VLOOKUP(C504,'נתוני רישום ומצבת'!B:K,10,0)," ")</f>
        <v xml:space="preserve"> </v>
      </c>
      <c r="G504" s="443" t="str">
        <f>IFERROR(VLOOKUP(C504,'נתוני רישום ומצבת'!B:E,4,0)," ")</f>
        <v xml:space="preserve"> </v>
      </c>
      <c r="H504" s="444" t="str">
        <f>IFERROR(VLOOKUP(C504,'נתוני רישום ומצבת'!B:K,7,0),"")</f>
        <v/>
      </c>
      <c r="I504" s="180" t="str">
        <f t="shared" si="25"/>
        <v/>
      </c>
      <c r="J504" s="443" t="str">
        <f>IFERROR(VLOOKUP(C504,'נתוני רישום ומצבת'!B:I,5,0)," ")</f>
        <v xml:space="preserve"> </v>
      </c>
      <c r="K504" s="443" t="str">
        <f>IFERROR(VLOOKUP(C504,'נתוני רישום ומצבת'!B:I,8,0),"")</f>
        <v/>
      </c>
      <c r="L504" s="284">
        <f t="shared" si="26"/>
        <v>0</v>
      </c>
      <c r="M504" s="283" t="str">
        <f t="shared" si="24"/>
        <v>-</v>
      </c>
    </row>
    <row r="505" spans="2:13" x14ac:dyDescent="0.25">
      <c r="B505" s="280">
        <v>485</v>
      </c>
      <c r="C505" s="549" t="str" cm="1">
        <f t="array" ref="C505">IFERROR(
   INDEX('נתוני רישום ומצבת'!$B:$B,
      SMALL(
         IF(('נתוני רישום ומצבת'!A$2:A$2998='נתונים כלליים (1)'!$C$5),
         ROW('נתוני רישום ומצבת'!A$2:A$2998)),
      ROW(A485))
   ),
"")</f>
        <v/>
      </c>
      <c r="D505" s="549" t="str">
        <f>IF(C505="", "",
   IFERROR(
      IF(VLOOKUP(C505, 'נתוני רישום ומצבת'!B:J, 9, FALSE) = $F$4,
         VLOOKUP(C505, 'נתוני רישום ומצבת'!B:J, 3, FALSE),
         "המוסד לא קיים ברשות"),
   "המוסד לא קיים"))</f>
        <v/>
      </c>
      <c r="E505" s="176" t="str">
        <f>IFERROR(VLOOKUP(C505,'נתוני רישום ומצבת'!B:G,6,0),"")</f>
        <v/>
      </c>
      <c r="F505" s="281" t="str">
        <f>IFERROR(VLOOKUP(C505,'נתוני רישום ומצבת'!B:K,10,0)," ")</f>
        <v xml:space="preserve"> </v>
      </c>
      <c r="G505" s="443" t="str">
        <f>IFERROR(VLOOKUP(C505,'נתוני רישום ומצבת'!B:E,4,0)," ")</f>
        <v xml:space="preserve"> </v>
      </c>
      <c r="H505" s="444" t="str">
        <f>IFERROR(VLOOKUP(C505,'נתוני רישום ומצבת'!B:K,7,0),"")</f>
        <v/>
      </c>
      <c r="I505" s="180" t="str">
        <f t="shared" si="25"/>
        <v/>
      </c>
      <c r="J505" s="443" t="str">
        <f>IFERROR(VLOOKUP(C505,'נתוני רישום ומצבת'!B:I,5,0)," ")</f>
        <v xml:space="preserve"> </v>
      </c>
      <c r="K505" s="443" t="str">
        <f>IFERROR(VLOOKUP(C505,'נתוני רישום ומצבת'!B:I,8,0),"")</f>
        <v/>
      </c>
      <c r="L505" s="284">
        <f t="shared" si="26"/>
        <v>0</v>
      </c>
      <c r="M505" s="283" t="str">
        <f t="shared" si="24"/>
        <v>-</v>
      </c>
    </row>
    <row r="506" spans="2:13" x14ac:dyDescent="0.25">
      <c r="B506" s="280">
        <v>486</v>
      </c>
      <c r="C506" s="549" t="str" cm="1">
        <f t="array" ref="C506">IFERROR(
   INDEX('נתוני רישום ומצבת'!$B:$B,
      SMALL(
         IF(('נתוני רישום ומצבת'!A$2:A$2998='נתונים כלליים (1)'!$C$5),
         ROW('נתוני רישום ומצבת'!A$2:A$2998)),
      ROW(A486))
   ),
"")</f>
        <v/>
      </c>
      <c r="D506" s="549" t="str">
        <f>IF(C506="", "",
   IFERROR(
      IF(VLOOKUP(C506, 'נתוני רישום ומצבת'!B:J, 9, FALSE) = $F$4,
         VLOOKUP(C506, 'נתוני רישום ומצבת'!B:J, 3, FALSE),
         "המוסד לא קיים ברשות"),
   "המוסד לא קיים"))</f>
        <v/>
      </c>
      <c r="E506" s="176" t="str">
        <f>IFERROR(VLOOKUP(C506,'נתוני רישום ומצבת'!B:G,6,0),"")</f>
        <v/>
      </c>
      <c r="F506" s="281" t="str">
        <f>IFERROR(VLOOKUP(C506,'נתוני רישום ומצבת'!B:K,10,0)," ")</f>
        <v xml:space="preserve"> </v>
      </c>
      <c r="G506" s="443" t="str">
        <f>IFERROR(VLOOKUP(C506,'נתוני רישום ומצבת'!B:E,4,0)," ")</f>
        <v xml:space="preserve"> </v>
      </c>
      <c r="H506" s="444" t="str">
        <f>IFERROR(VLOOKUP(C506,'נתוני רישום ומצבת'!B:K,7,0),"")</f>
        <v/>
      </c>
      <c r="I506" s="180" t="str">
        <f t="shared" si="25"/>
        <v/>
      </c>
      <c r="J506" s="443" t="str">
        <f>IFERROR(VLOOKUP(C506,'נתוני רישום ומצבת'!B:I,5,0)," ")</f>
        <v xml:space="preserve"> </v>
      </c>
      <c r="K506" s="443" t="str">
        <f>IFERROR(VLOOKUP(C506,'נתוני רישום ומצבת'!B:I,8,0),"")</f>
        <v/>
      </c>
      <c r="L506" s="284">
        <f t="shared" si="26"/>
        <v>0</v>
      </c>
      <c r="M506" s="283" t="str">
        <f t="shared" si="24"/>
        <v>-</v>
      </c>
    </row>
    <row r="507" spans="2:13" x14ac:dyDescent="0.25">
      <c r="B507" s="280">
        <v>487</v>
      </c>
      <c r="C507" s="549" t="str" cm="1">
        <f t="array" ref="C507">IFERROR(
   INDEX('נתוני רישום ומצבת'!$B:$B,
      SMALL(
         IF(('נתוני רישום ומצבת'!A$2:A$2998='נתונים כלליים (1)'!$C$5),
         ROW('נתוני רישום ומצבת'!A$2:A$2998)),
      ROW(A487))
   ),
"")</f>
        <v/>
      </c>
      <c r="D507" s="549" t="str">
        <f>IF(C507="", "",
   IFERROR(
      IF(VLOOKUP(C507, 'נתוני רישום ומצבת'!B:J, 9, FALSE) = $F$4,
         VLOOKUP(C507, 'נתוני רישום ומצבת'!B:J, 3, FALSE),
         "המוסד לא קיים ברשות"),
   "המוסד לא קיים"))</f>
        <v/>
      </c>
      <c r="E507" s="176" t="str">
        <f>IFERROR(VLOOKUP(C507,'נתוני רישום ומצבת'!B:G,6,0),"")</f>
        <v/>
      </c>
      <c r="F507" s="281" t="str">
        <f>IFERROR(VLOOKUP(C507,'נתוני רישום ומצבת'!B:K,10,0)," ")</f>
        <v xml:space="preserve"> </v>
      </c>
      <c r="G507" s="443" t="str">
        <f>IFERROR(VLOOKUP(C507,'נתוני רישום ומצבת'!B:E,4,0)," ")</f>
        <v xml:space="preserve"> </v>
      </c>
      <c r="H507" s="444" t="str">
        <f>IFERROR(VLOOKUP(C507,'נתוני רישום ומצבת'!B:K,7,0),"")</f>
        <v/>
      </c>
      <c r="I507" s="180" t="str">
        <f t="shared" si="25"/>
        <v/>
      </c>
      <c r="J507" s="443" t="str">
        <f>IFERROR(VLOOKUP(C507,'נתוני רישום ומצבת'!B:I,5,0)," ")</f>
        <v xml:space="preserve"> </v>
      </c>
      <c r="K507" s="443" t="str">
        <f>IFERROR(VLOOKUP(C507,'נתוני רישום ומצבת'!B:I,8,0),"")</f>
        <v/>
      </c>
      <c r="L507" s="284">
        <f t="shared" si="26"/>
        <v>0</v>
      </c>
      <c r="M507" s="283" t="str">
        <f t="shared" si="24"/>
        <v>-</v>
      </c>
    </row>
    <row r="508" spans="2:13" x14ac:dyDescent="0.25">
      <c r="B508" s="280">
        <v>488</v>
      </c>
      <c r="C508" s="549" t="str" cm="1">
        <f t="array" ref="C508">IFERROR(
   INDEX('נתוני רישום ומצבת'!$B:$B,
      SMALL(
         IF(('נתוני רישום ומצבת'!A$2:A$2998='נתונים כלליים (1)'!$C$5),
         ROW('נתוני רישום ומצבת'!A$2:A$2998)),
      ROW(A488))
   ),
"")</f>
        <v/>
      </c>
      <c r="D508" s="549" t="str">
        <f>IF(C508="", "",
   IFERROR(
      IF(VLOOKUP(C508, 'נתוני רישום ומצבת'!B:J, 9, FALSE) = $F$4,
         VLOOKUP(C508, 'נתוני רישום ומצבת'!B:J, 3, FALSE),
         "המוסד לא קיים ברשות"),
   "המוסד לא קיים"))</f>
        <v/>
      </c>
      <c r="E508" s="176" t="str">
        <f>IFERROR(VLOOKUP(C508,'נתוני רישום ומצבת'!B:G,6,0),"")</f>
        <v/>
      </c>
      <c r="F508" s="281" t="str">
        <f>IFERROR(VLOOKUP(C508,'נתוני רישום ומצבת'!B:K,10,0)," ")</f>
        <v xml:space="preserve"> </v>
      </c>
      <c r="G508" s="443" t="str">
        <f>IFERROR(VLOOKUP(C508,'נתוני רישום ומצבת'!B:E,4,0)," ")</f>
        <v xml:space="preserve"> </v>
      </c>
      <c r="H508" s="444" t="str">
        <f>IFERROR(VLOOKUP(C508,'נתוני רישום ומצבת'!B:K,7,0),"")</f>
        <v/>
      </c>
      <c r="I508" s="180" t="str">
        <f t="shared" si="25"/>
        <v/>
      </c>
      <c r="J508" s="443" t="str">
        <f>IFERROR(VLOOKUP(C508,'נתוני רישום ומצבת'!B:I,5,0)," ")</f>
        <v xml:space="preserve"> </v>
      </c>
      <c r="K508" s="443" t="str">
        <f>IFERROR(VLOOKUP(C508,'נתוני רישום ומצבת'!B:I,8,0),"")</f>
        <v/>
      </c>
      <c r="L508" s="284">
        <f t="shared" si="26"/>
        <v>0</v>
      </c>
      <c r="M508" s="283" t="str">
        <f t="shared" si="24"/>
        <v>-</v>
      </c>
    </row>
    <row r="509" spans="2:13" x14ac:dyDescent="0.25">
      <c r="B509" s="280">
        <v>489</v>
      </c>
      <c r="C509" s="549" t="str" cm="1">
        <f t="array" ref="C509">IFERROR(
   INDEX('נתוני רישום ומצבת'!$B:$B,
      SMALL(
         IF(('נתוני רישום ומצבת'!A$2:A$2998='נתונים כלליים (1)'!$C$5),
         ROW('נתוני רישום ומצבת'!A$2:A$2998)),
      ROW(A489))
   ),
"")</f>
        <v/>
      </c>
      <c r="D509" s="549" t="str">
        <f>IF(C509="", "",
   IFERROR(
      IF(VLOOKUP(C509, 'נתוני רישום ומצבת'!B:J, 9, FALSE) = $F$4,
         VLOOKUP(C509, 'נתוני רישום ומצבת'!B:J, 3, FALSE),
         "המוסד לא קיים ברשות"),
   "המוסד לא קיים"))</f>
        <v/>
      </c>
      <c r="E509" s="176" t="str">
        <f>IFERROR(VLOOKUP(C509,'נתוני רישום ומצבת'!B:G,6,0),"")</f>
        <v/>
      </c>
      <c r="F509" s="281" t="str">
        <f>IFERROR(VLOOKUP(C509,'נתוני רישום ומצבת'!B:K,10,0)," ")</f>
        <v xml:space="preserve"> </v>
      </c>
      <c r="G509" s="443" t="str">
        <f>IFERROR(VLOOKUP(C509,'נתוני רישום ומצבת'!B:E,4,0)," ")</f>
        <v xml:space="preserve"> </v>
      </c>
      <c r="H509" s="444" t="str">
        <f>IFERROR(VLOOKUP(C509,'נתוני רישום ומצבת'!B:K,7,0),"")</f>
        <v/>
      </c>
      <c r="I509" s="180" t="str">
        <f t="shared" si="25"/>
        <v/>
      </c>
      <c r="J509" s="443" t="str">
        <f>IFERROR(VLOOKUP(C509,'נתוני רישום ומצבת'!B:I,5,0)," ")</f>
        <v xml:space="preserve"> </v>
      </c>
      <c r="K509" s="443" t="str">
        <f>IFERROR(VLOOKUP(C509,'נתוני רישום ומצבת'!B:I,8,0),"")</f>
        <v/>
      </c>
      <c r="L509" s="284">
        <f t="shared" si="26"/>
        <v>0</v>
      </c>
      <c r="M509" s="283" t="str">
        <f t="shared" si="24"/>
        <v>-</v>
      </c>
    </row>
    <row r="510" spans="2:13" x14ac:dyDescent="0.25">
      <c r="B510" s="280">
        <v>490</v>
      </c>
      <c r="C510" s="549" t="str" cm="1">
        <f t="array" ref="C510">IFERROR(
   INDEX('נתוני רישום ומצבת'!$B:$B,
      SMALL(
         IF(('נתוני רישום ומצבת'!A$2:A$2998='נתונים כלליים (1)'!$C$5),
         ROW('נתוני רישום ומצבת'!A$2:A$2998)),
      ROW(A490))
   ),
"")</f>
        <v/>
      </c>
      <c r="D510" s="549" t="str">
        <f>IF(C510="", "",
   IFERROR(
      IF(VLOOKUP(C510, 'נתוני רישום ומצבת'!B:J, 9, FALSE) = $F$4,
         VLOOKUP(C510, 'נתוני רישום ומצבת'!B:J, 3, FALSE),
         "המוסד לא קיים ברשות"),
   "המוסד לא קיים"))</f>
        <v/>
      </c>
      <c r="E510" s="176" t="str">
        <f>IFERROR(VLOOKUP(C510,'נתוני רישום ומצבת'!B:G,6,0),"")</f>
        <v/>
      </c>
      <c r="F510" s="281" t="str">
        <f>IFERROR(VLOOKUP(C510,'נתוני רישום ומצבת'!B:K,10,0)," ")</f>
        <v xml:space="preserve"> </v>
      </c>
      <c r="G510" s="443" t="str">
        <f>IFERROR(VLOOKUP(C510,'נתוני רישום ומצבת'!B:E,4,0)," ")</f>
        <v xml:space="preserve"> </v>
      </c>
      <c r="H510" s="444" t="str">
        <f>IFERROR(VLOOKUP(C510,'נתוני רישום ומצבת'!B:K,7,0),"")</f>
        <v/>
      </c>
      <c r="I510" s="180" t="str">
        <f t="shared" si="25"/>
        <v/>
      </c>
      <c r="J510" s="443" t="str">
        <f>IFERROR(VLOOKUP(C510,'נתוני רישום ומצבת'!B:I,5,0)," ")</f>
        <v xml:space="preserve"> </v>
      </c>
      <c r="K510" s="443" t="str">
        <f>IFERROR(VLOOKUP(C510,'נתוני רישום ומצבת'!B:I,8,0),"")</f>
        <v/>
      </c>
      <c r="L510" s="284">
        <f t="shared" si="26"/>
        <v>0</v>
      </c>
      <c r="M510" s="283" t="str">
        <f t="shared" si="24"/>
        <v>-</v>
      </c>
    </row>
    <row r="511" spans="2:13" x14ac:dyDescent="0.25">
      <c r="B511" s="280">
        <v>491</v>
      </c>
      <c r="C511" s="549" t="str" cm="1">
        <f t="array" ref="C511">IFERROR(
   INDEX('נתוני רישום ומצבת'!$B:$B,
      SMALL(
         IF(('נתוני רישום ומצבת'!A$2:A$2998='נתונים כלליים (1)'!$C$5),
         ROW('נתוני רישום ומצבת'!A$2:A$2998)),
      ROW(A491))
   ),
"")</f>
        <v/>
      </c>
      <c r="D511" s="549" t="str">
        <f>IF(C511="", "",
   IFERROR(
      IF(VLOOKUP(C511, 'נתוני רישום ומצבת'!B:J, 9, FALSE) = $F$4,
         VLOOKUP(C511, 'נתוני רישום ומצבת'!B:J, 3, FALSE),
         "המוסד לא קיים ברשות"),
   "המוסד לא קיים"))</f>
        <v/>
      </c>
      <c r="E511" s="176" t="str">
        <f>IFERROR(VLOOKUP(C511,'נתוני רישום ומצבת'!B:G,6,0),"")</f>
        <v/>
      </c>
      <c r="F511" s="281" t="str">
        <f>IFERROR(VLOOKUP(C511,'נתוני רישום ומצבת'!B:K,10,0)," ")</f>
        <v xml:space="preserve"> </v>
      </c>
      <c r="G511" s="443" t="str">
        <f>IFERROR(VLOOKUP(C511,'נתוני רישום ומצבת'!B:E,4,0)," ")</f>
        <v xml:space="preserve"> </v>
      </c>
      <c r="H511" s="444" t="str">
        <f>IFERROR(VLOOKUP(C511,'נתוני רישום ומצבת'!B:K,7,0),"")</f>
        <v/>
      </c>
      <c r="I511" s="180" t="str">
        <f t="shared" si="25"/>
        <v/>
      </c>
      <c r="J511" s="443" t="str">
        <f>IFERROR(VLOOKUP(C511,'נתוני רישום ומצבת'!B:I,5,0)," ")</f>
        <v xml:space="preserve"> </v>
      </c>
      <c r="K511" s="443" t="str">
        <f>IFERROR(VLOOKUP(C511,'נתוני רישום ומצבת'!B:I,8,0),"")</f>
        <v/>
      </c>
      <c r="L511" s="284">
        <f t="shared" si="26"/>
        <v>0</v>
      </c>
      <c r="M511" s="283" t="str">
        <f t="shared" si="24"/>
        <v>-</v>
      </c>
    </row>
    <row r="512" spans="2:13" x14ac:dyDescent="0.25">
      <c r="B512" s="280">
        <v>492</v>
      </c>
      <c r="C512" s="549" t="str" cm="1">
        <f t="array" ref="C512">IFERROR(
   INDEX('נתוני רישום ומצבת'!$B:$B,
      SMALL(
         IF(('נתוני רישום ומצבת'!A$2:A$2998='נתונים כלליים (1)'!$C$5),
         ROW('נתוני רישום ומצבת'!A$2:A$2998)),
      ROW(A492))
   ),
"")</f>
        <v/>
      </c>
      <c r="D512" s="549" t="str">
        <f>IF(C512="", "",
   IFERROR(
      IF(VLOOKUP(C512, 'נתוני רישום ומצבת'!B:J, 9, FALSE) = $F$4,
         VLOOKUP(C512, 'נתוני רישום ומצבת'!B:J, 3, FALSE),
         "המוסד לא קיים ברשות"),
   "המוסד לא קיים"))</f>
        <v/>
      </c>
      <c r="E512" s="176" t="str">
        <f>IFERROR(VLOOKUP(C512,'נתוני רישום ומצבת'!B:G,6,0),"")</f>
        <v/>
      </c>
      <c r="F512" s="281" t="str">
        <f>IFERROR(VLOOKUP(C512,'נתוני רישום ומצבת'!B:K,10,0)," ")</f>
        <v xml:space="preserve"> </v>
      </c>
      <c r="G512" s="443" t="str">
        <f>IFERROR(VLOOKUP(C512,'נתוני רישום ומצבת'!B:E,4,0)," ")</f>
        <v xml:space="preserve"> </v>
      </c>
      <c r="H512" s="444" t="str">
        <f>IFERROR(VLOOKUP(C512,'נתוני רישום ומצבת'!B:K,7,0),"")</f>
        <v/>
      </c>
      <c r="I512" s="180" t="str">
        <f t="shared" si="25"/>
        <v/>
      </c>
      <c r="J512" s="443" t="str">
        <f>IFERROR(VLOOKUP(C512,'נתוני רישום ומצבת'!B:I,5,0)," ")</f>
        <v xml:space="preserve"> </v>
      </c>
      <c r="K512" s="443" t="str">
        <f>IFERROR(VLOOKUP(C512,'נתוני רישום ומצבת'!B:I,8,0),"")</f>
        <v/>
      </c>
      <c r="L512" s="284">
        <f t="shared" si="26"/>
        <v>0</v>
      </c>
      <c r="M512" s="283" t="str">
        <f t="shared" si="24"/>
        <v>-</v>
      </c>
    </row>
    <row r="513" spans="2:13" x14ac:dyDescent="0.25">
      <c r="B513" s="280">
        <v>493</v>
      </c>
      <c r="C513" s="549" t="str" cm="1">
        <f t="array" ref="C513">IFERROR(
   INDEX('נתוני רישום ומצבת'!$B:$B,
      SMALL(
         IF(('נתוני רישום ומצבת'!A$2:A$2998='נתונים כלליים (1)'!$C$5),
         ROW('נתוני רישום ומצבת'!A$2:A$2998)),
      ROW(A493))
   ),
"")</f>
        <v/>
      </c>
      <c r="D513" s="549" t="str">
        <f>IF(C513="", "",
   IFERROR(
      IF(VLOOKUP(C513, 'נתוני רישום ומצבת'!B:J, 9, FALSE) = $F$4,
         VLOOKUP(C513, 'נתוני רישום ומצבת'!B:J, 3, FALSE),
         "המוסד לא קיים ברשות"),
   "המוסד לא קיים"))</f>
        <v/>
      </c>
      <c r="E513" s="176" t="str">
        <f>IFERROR(VLOOKUP(C513,'נתוני רישום ומצבת'!B:G,6,0),"")</f>
        <v/>
      </c>
      <c r="F513" s="281" t="str">
        <f>IFERROR(VLOOKUP(C513,'נתוני רישום ומצבת'!B:K,10,0)," ")</f>
        <v xml:space="preserve"> </v>
      </c>
      <c r="G513" s="443" t="str">
        <f>IFERROR(VLOOKUP(C513,'נתוני רישום ומצבת'!B:E,4,0)," ")</f>
        <v xml:space="preserve"> </v>
      </c>
      <c r="H513" s="444" t="str">
        <f>IFERROR(VLOOKUP(C513,'נתוני רישום ומצבת'!B:K,7,0),"")</f>
        <v/>
      </c>
      <c r="I513" s="180" t="str">
        <f t="shared" si="25"/>
        <v/>
      </c>
      <c r="J513" s="443" t="str">
        <f>IFERROR(VLOOKUP(C513,'נתוני רישום ומצבת'!B:I,5,0)," ")</f>
        <v xml:space="preserve"> </v>
      </c>
      <c r="K513" s="443" t="str">
        <f>IFERROR(VLOOKUP(C513,'נתוני רישום ומצבת'!B:I,8,0),"")</f>
        <v/>
      </c>
      <c r="L513" s="284">
        <f t="shared" si="26"/>
        <v>0</v>
      </c>
      <c r="M513" s="283" t="str">
        <f t="shared" si="24"/>
        <v>-</v>
      </c>
    </row>
    <row r="514" spans="2:13" x14ac:dyDescent="0.25">
      <c r="B514" s="280">
        <v>494</v>
      </c>
      <c r="C514" s="549" t="str" cm="1">
        <f t="array" ref="C514">IFERROR(
   INDEX('נתוני רישום ומצבת'!$B:$B,
      SMALL(
         IF(('נתוני רישום ומצבת'!A$2:A$2998='נתונים כלליים (1)'!$C$5),
         ROW('נתוני רישום ומצבת'!A$2:A$2998)),
      ROW(A494))
   ),
"")</f>
        <v/>
      </c>
      <c r="D514" s="549" t="str">
        <f>IF(C514="", "",
   IFERROR(
      IF(VLOOKUP(C514, 'נתוני רישום ומצבת'!B:J, 9, FALSE) = $F$4,
         VLOOKUP(C514, 'נתוני רישום ומצבת'!B:J, 3, FALSE),
         "המוסד לא קיים ברשות"),
   "המוסד לא קיים"))</f>
        <v/>
      </c>
      <c r="E514" s="176" t="str">
        <f>IFERROR(VLOOKUP(C514,'נתוני רישום ומצבת'!B:G,6,0),"")</f>
        <v/>
      </c>
      <c r="F514" s="281" t="str">
        <f>IFERROR(VLOOKUP(C514,'נתוני רישום ומצבת'!B:K,10,0)," ")</f>
        <v xml:space="preserve"> </v>
      </c>
      <c r="G514" s="443" t="str">
        <f>IFERROR(VLOOKUP(C514,'נתוני רישום ומצבת'!B:E,4,0)," ")</f>
        <v xml:space="preserve"> </v>
      </c>
      <c r="H514" s="444" t="str">
        <f>IFERROR(VLOOKUP(C514,'נתוני רישום ומצבת'!B:K,7,0),"")</f>
        <v/>
      </c>
      <c r="I514" s="180" t="str">
        <f t="shared" si="25"/>
        <v/>
      </c>
      <c r="J514" s="443" t="str">
        <f>IFERROR(VLOOKUP(C514,'נתוני רישום ומצבת'!B:I,5,0)," ")</f>
        <v xml:space="preserve"> </v>
      </c>
      <c r="K514" s="443" t="str">
        <f>IFERROR(VLOOKUP(C514,'נתוני רישום ומצבת'!B:I,8,0),"")</f>
        <v/>
      </c>
      <c r="L514" s="284">
        <f t="shared" si="26"/>
        <v>0</v>
      </c>
      <c r="M514" s="283" t="str">
        <f t="shared" si="24"/>
        <v>-</v>
      </c>
    </row>
    <row r="515" spans="2:13" x14ac:dyDescent="0.25">
      <c r="B515" s="280">
        <v>495</v>
      </c>
      <c r="C515" s="549" t="str" cm="1">
        <f t="array" ref="C515">IFERROR(
   INDEX('נתוני רישום ומצבת'!$B:$B,
      SMALL(
         IF(('נתוני רישום ומצבת'!A$2:A$2998='נתונים כלליים (1)'!$C$5),
         ROW('נתוני רישום ומצבת'!A$2:A$2998)),
      ROW(A495))
   ),
"")</f>
        <v/>
      </c>
      <c r="D515" s="549" t="str">
        <f>IF(C515="", "",
   IFERROR(
      IF(VLOOKUP(C515, 'נתוני רישום ומצבת'!B:J, 9, FALSE) = $F$4,
         VLOOKUP(C515, 'נתוני רישום ומצבת'!B:J, 3, FALSE),
         "המוסד לא קיים ברשות"),
   "המוסד לא קיים"))</f>
        <v/>
      </c>
      <c r="E515" s="176" t="str">
        <f>IFERROR(VLOOKUP(C515,'נתוני רישום ומצבת'!B:G,6,0),"")</f>
        <v/>
      </c>
      <c r="F515" s="281" t="str">
        <f>IFERROR(VLOOKUP(C515,'נתוני רישום ומצבת'!B:K,10,0)," ")</f>
        <v xml:space="preserve"> </v>
      </c>
      <c r="G515" s="443" t="str">
        <f>IFERROR(VLOOKUP(C515,'נתוני רישום ומצבת'!B:E,4,0)," ")</f>
        <v xml:space="preserve"> </v>
      </c>
      <c r="H515" s="444" t="str">
        <f>IFERROR(VLOOKUP(C515,'נתוני רישום ומצבת'!B:K,7,0),"")</f>
        <v/>
      </c>
      <c r="I515" s="180" t="str">
        <f t="shared" si="25"/>
        <v/>
      </c>
      <c r="J515" s="443" t="str">
        <f>IFERROR(VLOOKUP(C515,'נתוני רישום ומצבת'!B:I,5,0)," ")</f>
        <v xml:space="preserve"> </v>
      </c>
      <c r="K515" s="443" t="str">
        <f>IFERROR(VLOOKUP(C515,'נתוני רישום ומצבת'!B:I,8,0),"")</f>
        <v/>
      </c>
      <c r="L515" s="284">
        <f t="shared" si="26"/>
        <v>0</v>
      </c>
      <c r="M515" s="283" t="str">
        <f t="shared" si="24"/>
        <v>-</v>
      </c>
    </row>
    <row r="516" spans="2:13" x14ac:dyDescent="0.25">
      <c r="B516" s="280">
        <v>496</v>
      </c>
      <c r="C516" s="549" t="str" cm="1">
        <f t="array" ref="C516">IFERROR(
   INDEX('נתוני רישום ומצבת'!$B:$B,
      SMALL(
         IF(('נתוני רישום ומצבת'!A$2:A$2998='נתונים כלליים (1)'!$C$5),
         ROW('נתוני רישום ומצבת'!A$2:A$2998)),
      ROW(A496))
   ),
"")</f>
        <v/>
      </c>
      <c r="D516" s="549" t="str">
        <f>IF(C516="", "",
   IFERROR(
      IF(VLOOKUP(C516, 'נתוני רישום ומצבת'!B:J, 9, FALSE) = $F$4,
         VLOOKUP(C516, 'נתוני רישום ומצבת'!B:J, 3, FALSE),
         "המוסד לא קיים ברשות"),
   "המוסד לא קיים"))</f>
        <v/>
      </c>
      <c r="E516" s="176" t="str">
        <f>IFERROR(VLOOKUP(C516,'נתוני רישום ומצבת'!B:G,6,0),"")</f>
        <v/>
      </c>
      <c r="F516" s="281" t="str">
        <f>IFERROR(VLOOKUP(C516,'נתוני רישום ומצבת'!B:K,10,0)," ")</f>
        <v xml:space="preserve"> </v>
      </c>
      <c r="G516" s="443" t="str">
        <f>IFERROR(VLOOKUP(C516,'נתוני רישום ומצבת'!B:E,4,0)," ")</f>
        <v xml:space="preserve"> </v>
      </c>
      <c r="H516" s="444" t="str">
        <f>IFERROR(VLOOKUP(C516,'נתוני רישום ומצבת'!B:K,7,0),"")</f>
        <v/>
      </c>
      <c r="I516" s="180" t="str">
        <f t="shared" si="25"/>
        <v/>
      </c>
      <c r="J516" s="443" t="str">
        <f>IFERROR(VLOOKUP(C516,'נתוני רישום ומצבת'!B:I,5,0)," ")</f>
        <v xml:space="preserve"> </v>
      </c>
      <c r="K516" s="443" t="str">
        <f>IFERROR(VLOOKUP(C516,'נתוני רישום ומצבת'!B:I,8,0),"")</f>
        <v/>
      </c>
      <c r="L516" s="284">
        <f t="shared" si="26"/>
        <v>0</v>
      </c>
      <c r="M516" s="283" t="str">
        <f t="shared" si="24"/>
        <v>-</v>
      </c>
    </row>
    <row r="517" spans="2:13" x14ac:dyDescent="0.25">
      <c r="B517" s="280">
        <v>497</v>
      </c>
      <c r="C517" s="549" t="str" cm="1">
        <f t="array" ref="C517">IFERROR(
   INDEX('נתוני רישום ומצבת'!$B:$B,
      SMALL(
         IF(('נתוני רישום ומצבת'!A$2:A$2998='נתונים כלליים (1)'!$C$5),
         ROW('נתוני רישום ומצבת'!A$2:A$2998)),
      ROW(A497))
   ),
"")</f>
        <v/>
      </c>
      <c r="D517" s="549" t="str">
        <f>IF(C517="", "",
   IFERROR(
      IF(VLOOKUP(C517, 'נתוני רישום ומצבת'!B:J, 9, FALSE) = $F$4,
         VLOOKUP(C517, 'נתוני רישום ומצבת'!B:J, 3, FALSE),
         "המוסד לא קיים ברשות"),
   "המוסד לא קיים"))</f>
        <v/>
      </c>
      <c r="E517" s="176" t="str">
        <f>IFERROR(VLOOKUP(C517,'נתוני רישום ומצבת'!B:G,6,0),"")</f>
        <v/>
      </c>
      <c r="F517" s="281" t="str">
        <f>IFERROR(VLOOKUP(C517,'נתוני רישום ומצבת'!B:K,10,0)," ")</f>
        <v xml:space="preserve"> </v>
      </c>
      <c r="G517" s="443" t="str">
        <f>IFERROR(VLOOKUP(C517,'נתוני רישום ומצבת'!B:E,4,0)," ")</f>
        <v xml:space="preserve"> </v>
      </c>
      <c r="H517" s="444" t="str">
        <f>IFERROR(VLOOKUP(C517,'נתוני רישום ומצבת'!B:K,7,0),"")</f>
        <v/>
      </c>
      <c r="I517" s="180" t="str">
        <f t="shared" si="25"/>
        <v/>
      </c>
      <c r="J517" s="443" t="str">
        <f>IFERROR(VLOOKUP(C517,'נתוני רישום ומצבת'!B:I,5,0)," ")</f>
        <v xml:space="preserve"> </v>
      </c>
      <c r="K517" s="443" t="str">
        <f>IFERROR(VLOOKUP(C517,'נתוני רישום ומצבת'!B:I,8,0),"")</f>
        <v/>
      </c>
      <c r="L517" s="284">
        <f t="shared" si="26"/>
        <v>0</v>
      </c>
      <c r="M517" s="283" t="str">
        <f t="shared" si="24"/>
        <v>-</v>
      </c>
    </row>
    <row r="518" spans="2:13" x14ac:dyDescent="0.25">
      <c r="B518" s="280">
        <v>498</v>
      </c>
      <c r="C518" s="549" t="str" cm="1">
        <f t="array" ref="C518">IFERROR(
   INDEX('נתוני רישום ומצבת'!$B:$B,
      SMALL(
         IF(('נתוני רישום ומצבת'!A$2:A$2998='נתונים כלליים (1)'!$C$5),
         ROW('נתוני רישום ומצבת'!A$2:A$2998)),
      ROW(A498))
   ),
"")</f>
        <v/>
      </c>
      <c r="D518" s="549" t="str">
        <f>IF(C518="", "",
   IFERROR(
      IF(VLOOKUP(C518, 'נתוני רישום ומצבת'!B:J, 9, FALSE) = $F$4,
         VLOOKUP(C518, 'נתוני רישום ומצבת'!B:J, 3, FALSE),
         "המוסד לא קיים ברשות"),
   "המוסד לא קיים"))</f>
        <v/>
      </c>
      <c r="E518" s="176" t="str">
        <f>IFERROR(VLOOKUP(C518,'נתוני רישום ומצבת'!B:G,6,0),"")</f>
        <v/>
      </c>
      <c r="F518" s="281" t="str">
        <f>IFERROR(VLOOKUP(C518,'נתוני רישום ומצבת'!B:K,10,0)," ")</f>
        <v xml:space="preserve"> </v>
      </c>
      <c r="G518" s="443" t="str">
        <f>IFERROR(VLOOKUP(C518,'נתוני רישום ומצבת'!B:E,4,0)," ")</f>
        <v xml:space="preserve"> </v>
      </c>
      <c r="H518" s="444" t="str">
        <f>IFERROR(VLOOKUP(C518,'נתוני רישום ומצבת'!B:K,7,0),"")</f>
        <v/>
      </c>
      <c r="I518" s="180" t="str">
        <f t="shared" si="25"/>
        <v/>
      </c>
      <c r="J518" s="443" t="str">
        <f>IFERROR(VLOOKUP(C518,'נתוני רישום ומצבת'!B:I,5,0)," ")</f>
        <v xml:space="preserve"> </v>
      </c>
      <c r="K518" s="443" t="str">
        <f>IFERROR(VLOOKUP(C518,'נתוני רישום ומצבת'!B:I,8,0),"")</f>
        <v/>
      </c>
      <c r="L518" s="284">
        <f t="shared" si="26"/>
        <v>0</v>
      </c>
      <c r="M518" s="283" t="str">
        <f t="shared" si="24"/>
        <v>-</v>
      </c>
    </row>
    <row r="519" spans="2:13" x14ac:dyDescent="0.25">
      <c r="B519" s="280">
        <v>499</v>
      </c>
      <c r="C519" s="549" t="str" cm="1">
        <f t="array" ref="C519">IFERROR(
   INDEX('נתוני רישום ומצבת'!$B:$B,
      SMALL(
         IF(('נתוני רישום ומצבת'!A$2:A$2998='נתונים כלליים (1)'!$C$5),
         ROW('נתוני רישום ומצבת'!A$2:A$2998)),
      ROW(A499))
   ),
"")</f>
        <v/>
      </c>
      <c r="D519" s="549" t="str">
        <f>IF(C519="", "",
   IFERROR(
      IF(VLOOKUP(C519, 'נתוני רישום ומצבת'!B:J, 9, FALSE) = $F$4,
         VLOOKUP(C519, 'נתוני רישום ומצבת'!B:J, 3, FALSE),
         "המוסד לא קיים ברשות"),
   "המוסד לא קיים"))</f>
        <v/>
      </c>
      <c r="E519" s="176" t="str">
        <f>IFERROR(VLOOKUP(C519,'נתוני רישום ומצבת'!B:G,6,0),"")</f>
        <v/>
      </c>
      <c r="F519" s="281" t="str">
        <f>IFERROR(VLOOKUP(C519,'נתוני רישום ומצבת'!B:K,10,0)," ")</f>
        <v xml:space="preserve"> </v>
      </c>
      <c r="G519" s="443" t="str">
        <f>IFERROR(VLOOKUP(C519,'נתוני רישום ומצבת'!B:E,4,0)," ")</f>
        <v xml:space="preserve"> </v>
      </c>
      <c r="H519" s="444" t="str">
        <f>IFERROR(VLOOKUP(C519,'נתוני רישום ומצבת'!B:K,7,0),"")</f>
        <v/>
      </c>
      <c r="I519" s="180" t="str">
        <f t="shared" si="25"/>
        <v/>
      </c>
      <c r="J519" s="443" t="str">
        <f>IFERROR(VLOOKUP(C519,'נתוני רישום ומצבת'!B:I,5,0)," ")</f>
        <v xml:space="preserve"> </v>
      </c>
      <c r="K519" s="443" t="str">
        <f>IFERROR(VLOOKUP(C519,'נתוני רישום ומצבת'!B:I,8,0),"")</f>
        <v/>
      </c>
      <c r="L519" s="284">
        <f t="shared" si="26"/>
        <v>0</v>
      </c>
      <c r="M519" s="283" t="str">
        <f t="shared" si="24"/>
        <v>-</v>
      </c>
    </row>
    <row r="520" spans="2:13" x14ac:dyDescent="0.25">
      <c r="B520" s="280">
        <v>500</v>
      </c>
      <c r="C520" s="549" t="str" cm="1">
        <f t="array" ref="C520">IFERROR(
   INDEX('נתוני רישום ומצבת'!$B:$B,
      SMALL(
         IF(('נתוני רישום ומצבת'!A$2:A$2998='נתונים כלליים (1)'!$C$5),
         ROW('נתוני רישום ומצבת'!A$2:A$2998)),
      ROW(A500))
   ),
"")</f>
        <v/>
      </c>
      <c r="D520" s="549" t="str">
        <f>IF(C520="", "",
   IFERROR(
      IF(VLOOKUP(C520, 'נתוני רישום ומצבת'!B:J, 9, FALSE) = $F$4,
         VLOOKUP(C520, 'נתוני רישום ומצבת'!B:J, 3, FALSE),
         "המוסד לא קיים ברשות"),
   "המוסד לא קיים"))</f>
        <v/>
      </c>
      <c r="E520" s="176" t="str">
        <f>IFERROR(VLOOKUP(C520,'נתוני רישום ומצבת'!B:G,6,0),"")</f>
        <v/>
      </c>
      <c r="F520" s="281" t="str">
        <f>IFERROR(VLOOKUP(C520,'נתוני רישום ומצבת'!B:K,10,0)," ")</f>
        <v xml:space="preserve"> </v>
      </c>
      <c r="G520" s="443" t="str">
        <f>IFERROR(VLOOKUP(C520,'נתוני רישום ומצבת'!B:E,4,0)," ")</f>
        <v xml:space="preserve"> </v>
      </c>
      <c r="H520" s="444" t="str">
        <f>IFERROR(VLOOKUP(C520,'נתוני רישום ומצבת'!B:K,7,0),"")</f>
        <v/>
      </c>
      <c r="I520" s="180" t="str">
        <f t="shared" si="25"/>
        <v/>
      </c>
      <c r="J520" s="443" t="str">
        <f>IFERROR(VLOOKUP(C520,'נתוני רישום ומצבת'!B:I,5,0)," ")</f>
        <v xml:space="preserve"> </v>
      </c>
      <c r="K520" s="443" t="str">
        <f>IFERROR(VLOOKUP(C520,'נתוני רישום ומצבת'!B:I,8,0),"")</f>
        <v/>
      </c>
      <c r="L520" s="284">
        <f t="shared" si="26"/>
        <v>0</v>
      </c>
      <c r="M520" s="283" t="str">
        <f t="shared" si="24"/>
        <v>-</v>
      </c>
    </row>
  </sheetData>
  <sheetProtection algorithmName="SHA-512" hashValue="ktU9xlEPDTLsO2jw0weZ3B2joq4lw02ygUI5TxHNcO7/0wWQ9snmTehsIQnH7GL+LynmgYfzducDKGENXxqQdw==" saltValue="FruZqxYDhylto0hk3B05Ng==" spinCount="100000" sheet="1" objects="1" scenarios="1"/>
  <dataConsolidate/>
  <customSheetViews>
    <customSheetView guid="{BA0A6883-E808-4711-BE2E-E9E96FA9E885}" showPageBreaks="1" fitToPage="1" printArea="1" showAutoFilter="1">
      <selection activeCell="F8" sqref="F8"/>
      <pageMargins left="0.51181102362204722" right="0.51181102362204722" top="0.51181102362204722" bottom="0.55118110236220474" header="7.874015748031496E-2" footer="0.19685039370078741"/>
      <pageSetup paperSize="9" scale="64" fitToHeight="3" orientation="portrait" r:id="rId1"/>
      <headerFooter>
        <oddHeader>&amp;L&amp;12&amp;U&amp;A</oddHeader>
        <oddFooter>&amp;C&amp;14- 2 -</oddFooter>
      </headerFooter>
      <autoFilter ref="B22:M522" xr:uid="{E3CF6F65-FBCC-4D4C-9B69-072DB7EFCADA}"/>
    </customSheetView>
    <customSheetView guid="{ACD441E8-3AD2-4F62-A341-3CB1D0C27992}" fitToPage="1" showAutoFilter="1">
      <pageMargins left="0.51181102362204722" right="0.51181102362204722" top="0.51181102362204722" bottom="0.55118110236220474" header="7.874015748031496E-2" footer="0.19685039370078741"/>
      <pageSetup paperSize="9" scale="64" fitToHeight="3" orientation="portrait" r:id="rId2"/>
      <headerFooter>
        <oddHeader>&amp;L&amp;12&amp;U&amp;A</oddHeader>
        <oddFooter>&amp;C&amp;14- 2 -</oddFooter>
      </headerFooter>
      <autoFilter ref="B22:M72" xr:uid="{CE416C4E-F454-4EB6-BB2B-62BFC2557ADB}"/>
    </customSheetView>
    <customSheetView guid="{4C449889-8AC9-4BD3-9CEA-74B4C2A98249}" showPageBreaks="1" fitToPage="1" printArea="1" showAutoFilter="1" topLeftCell="A22">
      <selection activeCell="Q9" sqref="Q9"/>
      <pageMargins left="0.51181102362204722" right="0.51181102362204722" top="0.51181102362204722" bottom="0.55118110236220474" header="7.874015748031496E-2" footer="0.19685039370078741"/>
      <pageSetup paperSize="9" scale="64" fitToHeight="3" orientation="portrait" r:id="rId3"/>
      <headerFooter>
        <oddHeader>&amp;L&amp;12&amp;U&amp;A</oddHeader>
        <oddFooter>&amp;C&amp;14- 2 -</oddFooter>
      </headerFooter>
      <autoFilter ref="B22:M72" xr:uid="{9B15CF17-87E4-4C77-A22B-487F01A34045}"/>
    </customSheetView>
  </customSheetViews>
  <mergeCells count="7">
    <mergeCell ref="J19:M19"/>
    <mergeCell ref="C11:C13"/>
    <mergeCell ref="E11:E12"/>
    <mergeCell ref="D11:D13"/>
    <mergeCell ref="M11:M12"/>
    <mergeCell ref="H11:H12"/>
    <mergeCell ref="I11:I12"/>
  </mergeCells>
  <conditionalFormatting sqref="D21:D520">
    <cfRule type="containsText" dxfId="177" priority="11" operator="containsText" text="לא קיים">
      <formula>NOT(ISERROR(SEARCH("לא קיים",D21)))</formula>
    </cfRule>
  </conditionalFormatting>
  <conditionalFormatting sqref="E1:E7 E9:E12 D8 E14:E1048576">
    <cfRule type="containsText" dxfId="176" priority="6" operator="containsText" text="אינו במעמד">
      <formula>NOT(ISERROR(SEARCH("אינו במעמד",D1)))</formula>
    </cfRule>
  </conditionalFormatting>
  <conditionalFormatting sqref="E21:F520">
    <cfRule type="containsText" dxfId="175" priority="9" operator="containsText" text="המוסד אינו">
      <formula>NOT(ISERROR(SEARCH("המוסד אינו",E21)))</formula>
    </cfRule>
    <cfRule type="cellIs" priority="10" operator="notEqual">
      <formula>#REF!</formula>
    </cfRule>
  </conditionalFormatting>
  <conditionalFormatting sqref="Q12:U12">
    <cfRule type="containsText" dxfId="174" priority="2" operator="containsText" text="שימו לב">
      <formula>NOT(ISERROR(SEARCH("שימו לב",Q12)))</formula>
    </cfRule>
  </conditionalFormatting>
  <conditionalFormatting sqref="C21:C520">
    <cfRule type="containsText" dxfId="173" priority="1" operator="containsText" text="לא קיים">
      <formula>NOT(ISERROR(SEARCH("לא קיים",C21)))</formula>
    </cfRule>
  </conditionalFormatting>
  <dataValidations count="2">
    <dataValidation type="custom" allowBlank="1" showInputMessage="1" showErrorMessage="1" error="יש לבדוק אם-_x000a_1. סמל בית הספר כבר קיים._x000a_2. סמל בית הספר תקין." sqref="F21:F520" xr:uid="{00000000-0002-0000-0500-000000000000}">
      <formula1>AND(COUNTIF($C$21:$C$1015,$C21)&lt;=1,$C21&gt;0)</formula1>
    </dataValidation>
    <dataValidation showDropDown="1" showInputMessage="1" showErrorMessage="1" sqref="E21:F520" xr:uid="{00000000-0002-0000-0500-000001000000}"/>
  </dataValidations>
  <hyperlinks>
    <hyperlink ref="A1" location="'תוכן העניינים'!A1" tooltip="הנחיות למילוי גיליון" display="תוכן העניינים" xr:uid="{F496554F-0D5C-45E4-BC18-24B8384B772F}"/>
  </hyperlinks>
  <pageMargins left="0.51181102362204722" right="0.51181102362204722" top="0.51181102362204722" bottom="0.55118110236220474" header="7.874015748031496E-2" footer="0.19685039370078741"/>
  <pageSetup paperSize="9" scale="53" fitToHeight="3" orientation="portrait" r:id="rId4"/>
  <headerFooter>
    <oddHeader>&amp;L&amp;12&amp;U&amp;A</oddHeader>
    <oddFooter>&amp;C&amp;14- 2 -</oddFooter>
  </headerFooter>
  <ignoredErrors>
    <ignoredError sqref="I22:I520 I21"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6">
    <tabColor rgb="FF00FFFF"/>
    <pageSetUpPr fitToPage="1"/>
  </sheetPr>
  <dimension ref="A1:AJ520"/>
  <sheetViews>
    <sheetView showGridLines="0" rightToLeft="1" topLeftCell="A4" workbookViewId="0">
      <selection activeCell="B21" sqref="B21:C520"/>
    </sheetView>
  </sheetViews>
  <sheetFormatPr defaultColWidth="9.125" defaultRowHeight="15" x14ac:dyDescent="0.25"/>
  <cols>
    <col min="1" max="1" width="12.625" style="22" customWidth="1"/>
    <col min="2" max="2" width="14.75" style="972" customWidth="1"/>
    <col min="3" max="3" width="14.125" style="22" bestFit="1" customWidth="1"/>
    <col min="4" max="4" width="14.125" style="22" customWidth="1"/>
    <col min="5" max="5" width="9.75" style="22" customWidth="1"/>
    <col min="6" max="7" width="10.75" style="22" customWidth="1"/>
    <col min="8" max="8" width="13.125" style="22" customWidth="1"/>
    <col min="9" max="9" width="11.5" style="22" customWidth="1"/>
    <col min="10" max="10" width="10" style="22" customWidth="1"/>
    <col min="11" max="11" width="14.875" style="228" customWidth="1"/>
    <col min="12" max="12" width="11.125" style="22" customWidth="1"/>
    <col min="13" max="13" width="10.25" style="22" customWidth="1"/>
    <col min="14" max="14" width="55.25" style="359" hidden="1" customWidth="1"/>
    <col min="15" max="16" width="10.25" style="22" customWidth="1"/>
    <col min="17" max="17" width="15.25" style="22" customWidth="1"/>
    <col min="18" max="18" width="11.75" style="534" hidden="1" customWidth="1"/>
    <col min="19" max="19" width="27.875" style="359" hidden="1" customWidth="1"/>
    <col min="20" max="21" width="9.125" style="359" hidden="1" customWidth="1"/>
    <col min="22" max="22" width="22.625" style="22" customWidth="1"/>
    <col min="23" max="23" width="22.875" style="22" customWidth="1"/>
    <col min="24" max="24" width="32.875" style="22" customWidth="1"/>
    <col min="25" max="25" width="25.125" style="22" customWidth="1"/>
    <col min="26" max="26" width="16.25" style="22" hidden="1" customWidth="1"/>
    <col min="27" max="27" width="6.75" style="736" hidden="1" customWidth="1"/>
    <col min="28" max="29" width="13.25" style="736" hidden="1" customWidth="1"/>
    <col min="30" max="32" width="9.125" style="359" hidden="1" customWidth="1"/>
    <col min="33" max="35" width="9.125" style="156" hidden="1" customWidth="1"/>
    <col min="36" max="36" width="9.125" style="359" hidden="1" customWidth="1"/>
    <col min="37" max="16384" width="9.125" style="22"/>
  </cols>
  <sheetData>
    <row r="1" spans="1:36" s="31" customFormat="1" ht="20.25" customHeight="1" thickBot="1" x14ac:dyDescent="0.35">
      <c r="A1" s="802" t="s">
        <v>2851</v>
      </c>
      <c r="B1" s="971"/>
      <c r="E1" s="32"/>
      <c r="F1" s="32"/>
      <c r="G1" s="32"/>
      <c r="H1" s="42" t="str">
        <f>'גנים ובתי ספר- מבנה תקציב'!$E$1</f>
        <v>תכנית בתי הספר והגנים של החופש הגדול, קיץ תשפ"ו</v>
      </c>
      <c r="I1" s="32"/>
      <c r="J1" s="32"/>
      <c r="K1" s="445"/>
      <c r="N1" s="358" t="s">
        <v>2525</v>
      </c>
      <c r="R1" s="998"/>
      <c r="S1" s="358" t="s">
        <v>2525</v>
      </c>
      <c r="T1" s="358" t="s">
        <v>2525</v>
      </c>
      <c r="U1" s="358" t="s">
        <v>2525</v>
      </c>
      <c r="AA1" s="735" t="s">
        <v>2525</v>
      </c>
      <c r="AB1" s="735" t="s">
        <v>2525</v>
      </c>
      <c r="AC1" s="735"/>
      <c r="AD1" s="358" t="s">
        <v>2525</v>
      </c>
      <c r="AE1" s="358" t="s">
        <v>2525</v>
      </c>
      <c r="AF1" s="358" t="s">
        <v>2525</v>
      </c>
      <c r="AG1" s="358" t="s">
        <v>2525</v>
      </c>
      <c r="AH1" s="358" t="s">
        <v>2525</v>
      </c>
      <c r="AI1" s="358" t="s">
        <v>2525</v>
      </c>
      <c r="AJ1" s="358" t="s">
        <v>2525</v>
      </c>
    </row>
    <row r="2" spans="1:36" ht="15.75" customHeight="1" thickBot="1" x14ac:dyDescent="0.3">
      <c r="S2" s="1025" t="s">
        <v>3400</v>
      </c>
      <c r="T2" s="942">
        <v>0</v>
      </c>
      <c r="AA2" s="1113"/>
    </row>
    <row r="3" spans="1:36" s="55" customFormat="1" ht="19.5" thickBot="1" x14ac:dyDescent="0.35">
      <c r="B3" s="973"/>
      <c r="E3" s="49" t="s">
        <v>16</v>
      </c>
      <c r="H3" s="157">
        <f>'נתונים כלליים (1)'!$C$5</f>
        <v>0</v>
      </c>
      <c r="I3" s="22"/>
      <c r="K3" s="273"/>
      <c r="L3" s="743" t="str">
        <f>IF(AND(L4="",L5="",L6="")," ","שגיאות בגיליון:")</f>
        <v xml:space="preserve"> </v>
      </c>
      <c r="N3" s="364"/>
      <c r="R3" s="999"/>
      <c r="S3" s="364"/>
      <c r="T3" s="364"/>
      <c r="U3" s="364"/>
      <c r="AA3" s="1113"/>
      <c r="AB3" s="737"/>
      <c r="AC3" s="737"/>
      <c r="AD3" s="364"/>
      <c r="AE3" s="364"/>
      <c r="AF3" s="364"/>
      <c r="AG3" s="159"/>
      <c r="AH3" s="159"/>
      <c r="AI3" s="159"/>
      <c r="AJ3" s="364"/>
    </row>
    <row r="4" spans="1:36" s="160" customFormat="1" ht="19.5" thickBot="1" x14ac:dyDescent="0.35">
      <c r="B4" s="974"/>
      <c r="C4" s="33"/>
      <c r="D4" s="33"/>
      <c r="E4" s="49" t="s">
        <v>77</v>
      </c>
      <c r="H4" s="161" t="s">
        <v>78</v>
      </c>
      <c r="K4" s="446"/>
      <c r="L4" s="744" t="str" cm="1">
        <f t="array" ref="L4">IF(SUMPRODUCT((COUNTIF(B21:B520,B21:B520)&gt;1)/IF(B21:B520="",1,COUNTIF(B21:B520,B21:B520)))&gt;0,CONCATENATE("קיימים ",SUMPRODUCT((COUNTIF(B21:B520,B21:B520)&gt;1)/IF(B21:B520="",1,COUNTIF(B21:B520,B21:B520)))," מוסדות שמופיעים יותר מפעם אחת בדיווח."),"")</f>
        <v/>
      </c>
      <c r="N4" s="365"/>
      <c r="R4" s="1000"/>
      <c r="S4" s="365"/>
      <c r="T4" s="365"/>
      <c r="U4" s="365"/>
      <c r="AA4" s="1113"/>
      <c r="AB4" s="738"/>
      <c r="AC4" s="738"/>
      <c r="AD4" s="365"/>
      <c r="AE4" s="365"/>
      <c r="AF4" s="365"/>
      <c r="AG4" s="163"/>
      <c r="AH4" s="163"/>
      <c r="AI4" s="163"/>
      <c r="AJ4" s="365"/>
    </row>
    <row r="5" spans="1:36" s="164" customFormat="1" ht="21" customHeight="1" thickBot="1" x14ac:dyDescent="0.3">
      <c r="B5" s="975"/>
      <c r="E5" s="61" t="s">
        <v>7</v>
      </c>
      <c r="H5" s="161" t="str">
        <f>'נתונים כלליים (1)'!$C$6</f>
        <v/>
      </c>
      <c r="J5" s="20"/>
      <c r="K5" s="447"/>
      <c r="L5" s="744" t="str">
        <f>IF(SUM($AB$21:$AB$520)&gt;0,CONCATENATE(" קיימים ",SUM($AB$21:$AB$520)," מוסדות בהם לא מולאו נתונים לגבי מספר התלמידים שהשתתפו בתוכנית."),"")</f>
        <v/>
      </c>
      <c r="M5" s="734"/>
      <c r="N5" s="1026"/>
      <c r="O5" s="734"/>
      <c r="P5" s="734"/>
      <c r="R5" s="1001"/>
      <c r="S5" s="366"/>
      <c r="T5" s="366"/>
      <c r="U5" s="366"/>
      <c r="AA5" s="1113"/>
      <c r="AB5" s="739"/>
      <c r="AC5" s="739"/>
      <c r="AD5" s="366"/>
      <c r="AE5" s="366"/>
      <c r="AF5" s="366"/>
      <c r="AG5" s="904"/>
      <c r="AH5" s="904"/>
      <c r="AI5" s="904"/>
      <c r="AJ5" s="366"/>
    </row>
    <row r="6" spans="1:36" ht="13.5" customHeight="1" x14ac:dyDescent="0.3">
      <c r="B6" s="976"/>
      <c r="L6" s="744" t="str">
        <f>IF(SUM($Z$21:$Z$520)&gt;0,CONCATENATE(" קיימים ",SUM($Z$21:$Z$520)," מוסדות בהם לא מולאו נתונים לגבי תקופת הפעילות."),"")</f>
        <v/>
      </c>
    </row>
    <row r="7" spans="1:36" s="40" customFormat="1" ht="18.75" x14ac:dyDescent="0.3">
      <c r="B7" s="976"/>
      <c r="E7" s="33"/>
      <c r="F7" s="33"/>
      <c r="G7" s="33"/>
      <c r="H7" s="42" t="s">
        <v>61</v>
      </c>
      <c r="I7" s="33"/>
      <c r="J7" s="33"/>
      <c r="K7" s="448"/>
      <c r="L7" s="733"/>
      <c r="N7" s="942"/>
      <c r="R7" s="1002"/>
      <c r="S7" s="942"/>
      <c r="T7" s="942"/>
      <c r="U7" s="942"/>
      <c r="Z7" s="40" t="s">
        <v>2525</v>
      </c>
      <c r="AA7" s="40" t="s">
        <v>2525</v>
      </c>
      <c r="AB7" s="40" t="s">
        <v>2525</v>
      </c>
      <c r="AC7" s="40" t="s">
        <v>2525</v>
      </c>
      <c r="AD7" s="40" t="s">
        <v>2525</v>
      </c>
      <c r="AE7" s="40" t="s">
        <v>2525</v>
      </c>
      <c r="AF7" s="40" t="s">
        <v>2525</v>
      </c>
      <c r="AG7" s="263" t="s">
        <v>2525</v>
      </c>
      <c r="AH7" s="263" t="s">
        <v>2525</v>
      </c>
      <c r="AI7" s="263" t="s">
        <v>2525</v>
      </c>
      <c r="AJ7" s="942" t="s">
        <v>2525</v>
      </c>
    </row>
    <row r="8" spans="1:36" s="40" customFormat="1" ht="19.5" customHeight="1" x14ac:dyDescent="0.3">
      <c r="A8" s="41"/>
      <c r="B8" s="977"/>
      <c r="E8" s="235"/>
      <c r="F8" s="235"/>
      <c r="G8" s="235"/>
      <c r="H8" s="236" t="s">
        <v>60</v>
      </c>
      <c r="I8" s="235"/>
      <c r="J8" s="235"/>
      <c r="K8" s="448"/>
      <c r="L8" s="733"/>
      <c r="N8" s="942"/>
      <c r="R8" s="1002"/>
      <c r="S8" s="942"/>
      <c r="T8" s="942"/>
      <c r="U8" s="942"/>
      <c r="AG8" s="263"/>
      <c r="AH8" s="263"/>
      <c r="AI8" s="263"/>
      <c r="AJ8" s="942"/>
    </row>
    <row r="9" spans="1:36" s="40" customFormat="1" ht="13.5" customHeight="1" x14ac:dyDescent="0.3">
      <c r="A9" s="41"/>
      <c r="B9" s="977"/>
      <c r="E9" s="235"/>
      <c r="F9" s="235"/>
      <c r="G9" s="235"/>
      <c r="H9" s="237"/>
      <c r="I9" s="235"/>
      <c r="J9" s="235"/>
      <c r="K9" s="448"/>
      <c r="L9" s="733"/>
      <c r="N9" s="942"/>
      <c r="R9" s="1002"/>
      <c r="S9" s="942"/>
      <c r="T9" s="942"/>
      <c r="U9" s="942"/>
      <c r="AG9" s="263"/>
      <c r="AH9" s="263"/>
      <c r="AI9" s="263"/>
      <c r="AJ9" s="942"/>
    </row>
    <row r="10" spans="1:36" s="40" customFormat="1" ht="18.75" x14ac:dyDescent="0.3">
      <c r="A10" s="41"/>
      <c r="B10" s="977"/>
      <c r="C10" s="229" t="s">
        <v>8</v>
      </c>
      <c r="D10" s="229"/>
      <c r="E10" s="235"/>
      <c r="F10" s="235"/>
      <c r="G10" s="235"/>
      <c r="H10" s="235"/>
      <c r="I10" s="235"/>
      <c r="J10" s="235"/>
      <c r="K10" s="228"/>
      <c r="L10" s="22"/>
      <c r="N10" s="942"/>
      <c r="R10" s="1002"/>
      <c r="S10" s="942"/>
      <c r="T10" s="942"/>
      <c r="U10" s="942"/>
      <c r="AG10" s="263"/>
      <c r="AH10" s="263"/>
      <c r="AI10" s="263"/>
      <c r="AJ10" s="942"/>
    </row>
    <row r="11" spans="1:36" s="24" customFormat="1" ht="15" customHeight="1" x14ac:dyDescent="0.25">
      <c r="B11" s="978"/>
      <c r="C11" s="238"/>
      <c r="D11" s="239" t="s">
        <v>2874</v>
      </c>
      <c r="E11" s="240"/>
      <c r="F11" s="240"/>
      <c r="G11" s="1115" t="s">
        <v>2332</v>
      </c>
      <c r="H11" s="1116"/>
      <c r="I11" s="1116"/>
      <c r="J11" s="1120"/>
      <c r="K11" s="1117" t="s">
        <v>2300</v>
      </c>
      <c r="L11" s="1118"/>
      <c r="M11" s="1119"/>
      <c r="N11" s="1027"/>
      <c r="O11" s="954"/>
      <c r="P11" s="954"/>
      <c r="Q11" s="939"/>
      <c r="R11" s="1003"/>
      <c r="S11" s="1018"/>
      <c r="T11" s="1018"/>
      <c r="U11" s="943"/>
      <c r="AG11" s="272"/>
      <c r="AH11" s="272"/>
      <c r="AI11" s="272"/>
      <c r="AJ11" s="943"/>
    </row>
    <row r="12" spans="1:36" s="242" customFormat="1" ht="60" x14ac:dyDescent="0.2">
      <c r="A12" s="23"/>
      <c r="B12" s="979"/>
      <c r="C12" s="241" t="s">
        <v>56</v>
      </c>
      <c r="D12" s="241" t="s">
        <v>25</v>
      </c>
      <c r="E12" s="241" t="s">
        <v>26</v>
      </c>
      <c r="F12" s="241" t="s">
        <v>59</v>
      </c>
      <c r="G12" s="241" t="s">
        <v>2929</v>
      </c>
      <c r="H12" s="241" t="s">
        <v>2930</v>
      </c>
      <c r="I12" s="241" t="s">
        <v>59</v>
      </c>
      <c r="J12" s="449" t="s">
        <v>58</v>
      </c>
      <c r="K12" s="241" t="s">
        <v>74</v>
      </c>
      <c r="L12" s="241" t="s">
        <v>75</v>
      </c>
      <c r="M12" s="241" t="s">
        <v>2301</v>
      </c>
      <c r="N12" s="1019"/>
      <c r="O12" s="709"/>
      <c r="P12" s="709"/>
      <c r="Q12" s="709"/>
      <c r="R12" s="1004"/>
      <c r="S12" s="1019"/>
      <c r="T12" s="1020"/>
      <c r="U12" s="1021"/>
      <c r="W12" s="23"/>
      <c r="AG12" s="905"/>
      <c r="AH12" s="905"/>
      <c r="AI12" s="905"/>
      <c r="AJ12" s="944"/>
    </row>
    <row r="13" spans="1:36" s="24" customFormat="1" ht="15.75" customHeight="1" x14ac:dyDescent="0.25">
      <c r="A13" s="23"/>
      <c r="B13" s="979"/>
      <c r="C13" s="230">
        <f>SUM(IF(FREQUENCY(B21:$B$520,B21:$B$520)&gt;0,1))</f>
        <v>0</v>
      </c>
      <c r="D13" s="243">
        <f t="shared" ref="D13:J13" si="0">SUM(D21:D520)</f>
        <v>0</v>
      </c>
      <c r="E13" s="243">
        <f t="shared" si="0"/>
        <v>0</v>
      </c>
      <c r="F13" s="243">
        <f t="shared" si="0"/>
        <v>0</v>
      </c>
      <c r="G13" s="243">
        <f t="shared" si="0"/>
        <v>0</v>
      </c>
      <c r="H13" s="243">
        <f t="shared" si="0"/>
        <v>0</v>
      </c>
      <c r="I13" s="243">
        <f t="shared" si="0"/>
        <v>0</v>
      </c>
      <c r="J13" s="450">
        <f t="shared" si="0"/>
        <v>0</v>
      </c>
      <c r="K13" s="244">
        <f>SUM(S21:S520)</f>
        <v>0</v>
      </c>
      <c r="L13" s="244">
        <f>SUM(T21:T520)</f>
        <v>0</v>
      </c>
      <c r="M13" s="244">
        <f>SUM(U21:U520)</f>
        <v>0</v>
      </c>
      <c r="N13" s="1022"/>
      <c r="O13" s="732"/>
      <c r="P13" s="732"/>
      <c r="Q13" s="732"/>
      <c r="R13" s="1005"/>
      <c r="S13" s="1022"/>
      <c r="T13" s="1018"/>
      <c r="U13" s="1023"/>
      <c r="AG13" s="272"/>
      <c r="AH13" s="272"/>
      <c r="AI13" s="272"/>
      <c r="AJ13" s="943"/>
    </row>
    <row r="14" spans="1:36" s="24" customFormat="1" ht="15.75" customHeight="1" x14ac:dyDescent="0.25">
      <c r="A14" s="23"/>
      <c r="B14" s="979"/>
      <c r="C14" s="232"/>
      <c r="D14" s="92"/>
      <c r="E14" s="92"/>
      <c r="F14" s="92"/>
      <c r="G14" s="92"/>
      <c r="H14" s="92"/>
      <c r="I14" s="92"/>
      <c r="J14" s="730"/>
      <c r="K14" s="731"/>
      <c r="L14" s="732"/>
      <c r="M14" s="732"/>
      <c r="N14" s="1022"/>
      <c r="O14" s="732"/>
      <c r="P14" s="732"/>
      <c r="Q14" s="732"/>
      <c r="R14" s="1005"/>
      <c r="S14" s="1022"/>
      <c r="T14" s="943"/>
      <c r="U14" s="1023"/>
      <c r="AG14" s="272"/>
      <c r="AH14" s="272"/>
      <c r="AI14" s="272"/>
      <c r="AJ14" s="943"/>
    </row>
    <row r="15" spans="1:36" s="24" customFormat="1" ht="15.75" customHeight="1" x14ac:dyDescent="0.25">
      <c r="A15" s="709"/>
      <c r="B15" s="1126" t="s">
        <v>3391</v>
      </c>
      <c r="C15" s="1126"/>
      <c r="D15" s="1126"/>
      <c r="E15" s="1126"/>
      <c r="F15" s="1126"/>
      <c r="G15" s="1126"/>
      <c r="H15" s="1126"/>
      <c r="I15" s="1126"/>
      <c r="J15" s="730"/>
      <c r="K15" s="731"/>
      <c r="L15" s="732"/>
      <c r="M15" s="732"/>
      <c r="N15" s="1022"/>
      <c r="O15" s="732"/>
      <c r="P15" s="732"/>
      <c r="Q15" s="732"/>
      <c r="R15" s="1005"/>
      <c r="S15" s="1022"/>
      <c r="T15" s="943"/>
      <c r="U15" s="1023"/>
      <c r="AG15" s="272"/>
      <c r="AH15" s="272"/>
      <c r="AI15" s="272"/>
      <c r="AJ15" s="943"/>
    </row>
    <row r="16" spans="1:36" s="55" customFormat="1" ht="15.75" x14ac:dyDescent="0.25">
      <c r="B16" s="980"/>
      <c r="C16" s="17"/>
      <c r="D16" s="17"/>
      <c r="E16" s="17"/>
      <c r="F16" s="17"/>
      <c r="G16" s="17"/>
      <c r="H16" s="17"/>
      <c r="I16" s="17"/>
      <c r="J16" s="17"/>
      <c r="K16" s="451"/>
      <c r="L16" s="17"/>
      <c r="M16" s="17"/>
      <c r="N16" s="1024"/>
      <c r="O16" s="17"/>
      <c r="P16" s="17"/>
      <c r="Q16" s="17"/>
      <c r="R16" s="535"/>
      <c r="S16" s="1024"/>
      <c r="T16" s="1024"/>
      <c r="U16" s="1024"/>
      <c r="AG16" s="159"/>
      <c r="AH16" s="159"/>
      <c r="AI16" s="159"/>
      <c r="AJ16" s="364"/>
    </row>
    <row r="17" spans="1:36" s="40" customFormat="1" ht="15.75" x14ac:dyDescent="0.25">
      <c r="A17" s="245"/>
      <c r="B17" s="977"/>
      <c r="C17" s="246" t="s">
        <v>2338</v>
      </c>
      <c r="D17" s="246"/>
      <c r="E17" s="22"/>
      <c r="F17" s="22"/>
      <c r="G17" s="22"/>
      <c r="H17" s="22"/>
      <c r="I17" s="22"/>
      <c r="J17" s="22"/>
      <c r="K17" s="448"/>
      <c r="N17" s="942"/>
      <c r="R17" s="1002"/>
      <c r="S17" s="942"/>
      <c r="T17" s="942"/>
      <c r="U17" s="942"/>
      <c r="AC17" s="988" t="s">
        <v>3385</v>
      </c>
      <c r="AG17" s="263"/>
      <c r="AH17" s="263"/>
      <c r="AI17" s="263"/>
      <c r="AJ17" s="942"/>
    </row>
    <row r="18" spans="1:36" s="247" customFormat="1" x14ac:dyDescent="0.25">
      <c r="B18" s="978"/>
      <c r="C18" s="248"/>
      <c r="D18" s="248"/>
      <c r="E18" s="248"/>
      <c r="F18" s="248"/>
      <c r="G18" s="248"/>
      <c r="H18" s="248"/>
      <c r="I18" s="248"/>
      <c r="J18" s="249"/>
      <c r="K18" s="452"/>
      <c r="N18" s="945"/>
      <c r="Q18" s="250"/>
      <c r="R18" s="1006"/>
      <c r="S18" s="359"/>
      <c r="T18" s="359"/>
      <c r="U18" s="359"/>
      <c r="Y18" s="24"/>
      <c r="Z18" s="24"/>
      <c r="AA18" s="24"/>
      <c r="AB18" s="24"/>
      <c r="AC18" s="24"/>
      <c r="AD18" s="24"/>
      <c r="AE18" s="24"/>
      <c r="AF18" s="24"/>
      <c r="AG18" s="272"/>
      <c r="AH18" s="272"/>
      <c r="AI18" s="272"/>
      <c r="AJ18" s="945"/>
    </row>
    <row r="19" spans="1:36" s="251" customFormat="1" x14ac:dyDescent="0.25">
      <c r="A19" s="750"/>
      <c r="B19" s="981" t="s">
        <v>2874</v>
      </c>
      <c r="C19" s="751"/>
      <c r="D19" s="751"/>
      <c r="E19" s="751"/>
      <c r="F19" s="752"/>
      <c r="G19" s="1115" t="s">
        <v>2332</v>
      </c>
      <c r="H19" s="1116"/>
      <c r="I19" s="753"/>
      <c r="J19" s="754"/>
      <c r="K19" s="1114" t="s">
        <v>2887</v>
      </c>
      <c r="L19" s="1114"/>
      <c r="M19" s="754"/>
      <c r="N19" s="1028"/>
      <c r="O19" s="1121" t="s">
        <v>3253</v>
      </c>
      <c r="P19" s="1122"/>
      <c r="Q19" s="1123"/>
      <c r="R19" s="1007"/>
      <c r="S19" s="1124" t="s">
        <v>2300</v>
      </c>
      <c r="T19" s="1125"/>
      <c r="U19" s="1125"/>
      <c r="V19" s="1047"/>
      <c r="W19" s="1048" t="s">
        <v>2594</v>
      </c>
      <c r="X19" s="1048"/>
      <c r="Y19" s="1049"/>
      <c r="Z19" s="1046"/>
      <c r="AA19" s="902"/>
      <c r="AB19" s="903"/>
      <c r="AC19" s="747" t="s">
        <v>2316</v>
      </c>
      <c r="AD19" s="748"/>
      <c r="AE19" s="749"/>
      <c r="AG19" s="906"/>
      <c r="AH19" s="906"/>
      <c r="AI19" s="906"/>
      <c r="AJ19" s="946"/>
    </row>
    <row r="20" spans="1:36" s="242" customFormat="1" ht="75" x14ac:dyDescent="0.2">
      <c r="A20" s="746" t="s">
        <v>1</v>
      </c>
      <c r="B20" s="982" t="s">
        <v>2814</v>
      </c>
      <c r="C20" s="746" t="s">
        <v>136</v>
      </c>
      <c r="D20" s="746" t="s">
        <v>25</v>
      </c>
      <c r="E20" s="746" t="s">
        <v>26</v>
      </c>
      <c r="F20" s="746" t="s">
        <v>59</v>
      </c>
      <c r="G20" s="746" t="s">
        <v>74</v>
      </c>
      <c r="H20" s="746" t="s">
        <v>75</v>
      </c>
      <c r="I20" s="746" t="s">
        <v>59</v>
      </c>
      <c r="J20" s="746" t="s">
        <v>58</v>
      </c>
      <c r="K20" s="746" t="s">
        <v>79</v>
      </c>
      <c r="L20" s="746" t="s">
        <v>80</v>
      </c>
      <c r="M20" s="729" t="s">
        <v>69</v>
      </c>
      <c r="N20" s="367" t="s">
        <v>3394</v>
      </c>
      <c r="O20" s="740" t="s">
        <v>3384</v>
      </c>
      <c r="P20" s="740" t="s">
        <v>3254</v>
      </c>
      <c r="Q20" s="740" t="s">
        <v>3388</v>
      </c>
      <c r="R20" s="1008"/>
      <c r="S20" s="367" t="s">
        <v>74</v>
      </c>
      <c r="T20" s="385" t="s">
        <v>75</v>
      </c>
      <c r="U20" s="385" t="s">
        <v>2301</v>
      </c>
      <c r="V20" s="241" t="s">
        <v>2676</v>
      </c>
      <c r="W20" s="241" t="s">
        <v>155</v>
      </c>
      <c r="X20" s="241" t="s">
        <v>3406</v>
      </c>
      <c r="Y20" s="241" t="s">
        <v>3407</v>
      </c>
      <c r="Z20" s="740" t="s">
        <v>2595</v>
      </c>
      <c r="AA20" s="740" t="s">
        <v>2832</v>
      </c>
      <c r="AB20" s="740" t="s">
        <v>2833</v>
      </c>
      <c r="AC20" s="367" t="s">
        <v>2190</v>
      </c>
      <c r="AD20" s="367" t="s">
        <v>2191</v>
      </c>
      <c r="AE20" s="367" t="s">
        <v>2593</v>
      </c>
      <c r="AF20" s="940" t="s">
        <v>2888</v>
      </c>
      <c r="AG20" s="941" t="s">
        <v>2890</v>
      </c>
      <c r="AH20" s="941" t="s">
        <v>2893</v>
      </c>
      <c r="AI20" s="941" t="s">
        <v>67</v>
      </c>
      <c r="AJ20" s="367" t="s">
        <v>2928</v>
      </c>
    </row>
    <row r="21" spans="1:36" x14ac:dyDescent="0.25">
      <c r="A21" s="57">
        <v>1</v>
      </c>
      <c r="B21" s="690"/>
      <c r="C21" s="690"/>
      <c r="D21" s="252">
        <f>(IFERROR(SUMIF('מצבת והרשמה (2)'!$F$21:$F$501,'דוח ביצוע (3)'!$B21,'מצבת והרשמה (2)'!$J$21:$J$501),0))</f>
        <v>0</v>
      </c>
      <c r="E21" s="252">
        <f>IFERROR(SUMIF('מצבת והרשמה (2)'!$F$21:$F$501,'דוח ביצוע (3)'!$B21,'מצבת והרשמה (2)'!$K$21:$K$501),0)</f>
        <v>0</v>
      </c>
      <c r="F21" s="253">
        <f>E21+D21</f>
        <v>0</v>
      </c>
      <c r="G21" s="687"/>
      <c r="H21" s="687"/>
      <c r="I21" s="253">
        <f>H21+G21</f>
        <v>0</v>
      </c>
      <c r="J21" s="453">
        <f>IF(F21&gt;149,1,0)</f>
        <v>0</v>
      </c>
      <c r="K21" s="689"/>
      <c r="L21" s="689"/>
      <c r="M21" s="969">
        <f>MIN(NETWORKDAYS.INTL(K21,L21,7),15)</f>
        <v>0</v>
      </c>
      <c r="N21" s="1029" t="str">
        <f>IF(B21&gt;0,IF(M21&lt;15,"תקופת הפעילות נמוכה מהתקופה הנדרשת, ועל כן המוסד אינו זכאי לתקצוב","תקין"),"")</f>
        <v/>
      </c>
      <c r="O21" s="969" t="str">
        <f>IFERROR(VLOOKUP(B21,'נתוני רישום ומצבת'!B:Q,16,0),"")</f>
        <v/>
      </c>
      <c r="P21" s="969">
        <f>IFERROR(VLOOKUP(B21,'נתוני רישום ומצבת'!B:R,17,0),0)</f>
        <v>0</v>
      </c>
      <c r="Q21" s="690"/>
      <c r="R21" s="1009"/>
      <c r="S21" s="376">
        <f>IF(OR($T$2=0,N21="תקין"),MAX(IF(G21="",0,MIN(G21,D21)),0),0)</f>
        <v>0</v>
      </c>
      <c r="T21" s="376">
        <f>IF(OR($T$2=0,N21="תקין"),MAX(IF(H21="",0,MIN(H21,E21)),0),0)</f>
        <v>0</v>
      </c>
      <c r="U21" s="386">
        <f>SUM(S21:T21)</f>
        <v>0</v>
      </c>
      <c r="V21" s="513" t="str">
        <f>IF(ISNUMBER(B21),IF(M21&lt;1,"יש למלא מס' ימי פעילות",IF(M21&lt;15,"יש למלא סיבה לחוסר ימי פעילות","תקין")),"")</f>
        <v/>
      </c>
      <c r="W21" s="254" t="str">
        <f>IF(ISBLANK(B21)," ",IF(B21=IFERROR(VLOOKUP(B21,'מצבת והרשמה (2)'!F:F,1,0),0),"תקין","לא קיים במצבת כבית ספר בו מתקיימת פעילות"))</f>
        <v xml:space="preserve"> </v>
      </c>
      <c r="X21" s="255" t="str">
        <f t="shared" ref="X21:X84" si="1">IF(IFERROR(COUNTIF($C$20:$C$2460,B21)," ")&gt;1,"סמל המוסד מופיע יותר מפעם אחת",IF(ISBLANK(B21),"","תקין"))</f>
        <v/>
      </c>
      <c r="Y21" s="256" t="str">
        <f t="shared" ref="Y21:Y84" si="2">IF(AND(ISNUMBER(B21),ISBLANK(B20)),"יש למלא שורות רצופות","")</f>
        <v/>
      </c>
      <c r="Z21" s="741">
        <f t="shared" ref="Z21:Z84" si="3">IF(OR(LEFT(V21,10)="יש למלא מס",LEFT(V21,10)="יש למלא סי"),1,0)</f>
        <v>0</v>
      </c>
      <c r="AA21" s="741">
        <f t="shared" ref="AA21:AA84" si="4">IF(COUNTIF(סמלפעילות,B21)&gt;1,1,0)</f>
        <v>0</v>
      </c>
      <c r="AB21" s="741">
        <f t="shared" ref="AB21:AB84" si="5">IF(B21&gt;0,IF(I21=0,1,0),0)</f>
        <v>0</v>
      </c>
      <c r="AC21" s="987">
        <f>MAX(IF(G21=" ",0,MIN(G21,D21)),0)</f>
        <v>0</v>
      </c>
      <c r="AD21" s="987">
        <f>MAX(IF(H21=" ",0,MIN(H21,E21)),0)</f>
        <v>0</v>
      </c>
      <c r="AE21" s="368" t="str">
        <f>IFERROR(VLOOKUP(B21,'[1]סיכום בקרת רשויות'!$A:$D,4,0),"")</f>
        <v/>
      </c>
      <c r="AF21" s="57" t="str">
        <f>IF(B21&gt;0,IF(Q21&gt;=MIN(40,P21),"כן",""),"")</f>
        <v/>
      </c>
      <c r="AG21" s="180">
        <f>IF(AF21="כן",M21*'גנים ובתי ספר- מבנה תקציב'!$H$59,0)</f>
        <v>0</v>
      </c>
      <c r="AH21" s="180">
        <f>IF(AF21="כן",M21*'גנים ובתי ספר- מבנה תקציב'!$I$59,0)</f>
        <v>0</v>
      </c>
      <c r="AI21" s="180">
        <f>AH21+AG21</f>
        <v>0</v>
      </c>
      <c r="AJ21" s="368" t="str">
        <f t="shared" ref="AJ21:AJ84" si="6">IF(B21&gt;0,IF(M21&lt;15,1,0),"")</f>
        <v/>
      </c>
    </row>
    <row r="22" spans="1:36" x14ac:dyDescent="0.25">
      <c r="A22" s="57">
        <v>2</v>
      </c>
      <c r="B22" s="690"/>
      <c r="C22" s="690"/>
      <c r="D22" s="252">
        <f>(IFERROR(SUMIF('מצבת והרשמה (2)'!$F$21:$F$501,'דוח ביצוע (3)'!$B22,'מצבת והרשמה (2)'!$J$21:$J$501),0))</f>
        <v>0</v>
      </c>
      <c r="E22" s="252">
        <f>IFERROR(SUMIF('מצבת והרשמה (2)'!$F$21:$F$501,'דוח ביצוע (3)'!$B22,'מצבת והרשמה (2)'!$K$21:$K$501),0)</f>
        <v>0</v>
      </c>
      <c r="F22" s="253">
        <f t="shared" ref="F22:F85" si="7">E22+D22</f>
        <v>0</v>
      </c>
      <c r="G22" s="680"/>
      <c r="H22" s="680"/>
      <c r="I22" s="253">
        <f>H22+G22</f>
        <v>0</v>
      </c>
      <c r="J22" s="453">
        <f t="shared" ref="J22:J85" si="8">IF(F22&gt;149,1,0)</f>
        <v>0</v>
      </c>
      <c r="K22" s="689"/>
      <c r="L22" s="689"/>
      <c r="M22" s="969">
        <f t="shared" ref="M22:M85" si="9">MIN(NETWORKDAYS.INTL(K22,L22,7),15)</f>
        <v>0</v>
      </c>
      <c r="N22" s="1029" t="str">
        <f t="shared" ref="N22:N85" si="10">IF(B22&gt;0,IF(M22&lt;15,"תקופת הפעילות נמוכה מהתקופה הנדרשת, ועל כן המוסד אינו זכאי לתקצוב","תקין"),"")</f>
        <v/>
      </c>
      <c r="O22" s="969" t="str">
        <f>IFERROR(VLOOKUP(B22,'נתוני רישום ומצבת'!B:Q,16,0),"")</f>
        <v/>
      </c>
      <c r="P22" s="969" t="str">
        <f>IFERROR(VLOOKUP(B22,'נתוני רישום ומצבת'!B:R,17,0),"")</f>
        <v/>
      </c>
      <c r="Q22" s="690"/>
      <c r="R22" s="1009"/>
      <c r="S22" s="376">
        <f t="shared" ref="S22:S85" si="11">IF(OR($T$2=0,N22="תקין"),MAX(IF(G22="",0,MIN(G22,D22)),0),0)</f>
        <v>0</v>
      </c>
      <c r="T22" s="376">
        <f t="shared" ref="T22:T85" si="12">IF(OR($T$2=0,N22="תקין"),MAX(IF(H22="",0,MIN(H22,E22)),0),0)</f>
        <v>0</v>
      </c>
      <c r="U22" s="386">
        <f t="shared" ref="U22:U85" si="13">SUM(S22:T22)</f>
        <v>0</v>
      </c>
      <c r="V22" s="513" t="str">
        <f t="shared" ref="V22:V85" si="14">IF(ISNUMBER(B22),IF(M22&lt;1,"יש למלא מס' ימי פעילות",IF(M22&lt;15,"יש למלא סיבה לחוסר ימי פעילות","תקין")),"")</f>
        <v/>
      </c>
      <c r="W22" s="254" t="str">
        <f>IF(ISBLANK(B22)," ",IF(B22=IFERROR(VLOOKUP(B22,'מצבת והרשמה (2)'!F:F,1,0),0),"תקין","לא קיים במצבת כבית ספר בו מתקיימת פעילות"))</f>
        <v xml:space="preserve"> </v>
      </c>
      <c r="X22" s="256" t="str">
        <f t="shared" si="1"/>
        <v/>
      </c>
      <c r="Y22" s="256" t="str">
        <f t="shared" si="2"/>
        <v/>
      </c>
      <c r="Z22" s="741">
        <f t="shared" si="3"/>
        <v>0</v>
      </c>
      <c r="AA22" s="741">
        <f t="shared" si="4"/>
        <v>0</v>
      </c>
      <c r="AB22" s="741">
        <f t="shared" si="5"/>
        <v>0</v>
      </c>
      <c r="AC22" s="987">
        <f t="shared" ref="AC22:AC85" si="15">MAX(IF(G22=" ",0,MIN(G22,D22)),0)</f>
        <v>0</v>
      </c>
      <c r="AD22" s="987">
        <f t="shared" ref="AD22:AD85" si="16">MAX(IF(H22=" ",0,MIN(H22,E22)),0)</f>
        <v>0</v>
      </c>
      <c r="AE22" s="368" t="str">
        <f>IFERROR(VLOOKUP(B22,'[1]סיכום בקרת רשויות'!$A:$D,4,0),"")</f>
        <v/>
      </c>
      <c r="AF22" s="57" t="str">
        <f t="shared" ref="AF22:AF85" si="17">IF(B22&gt;0,IF(Q22&gt;=MIN(40,P22),"כן",""),"")</f>
        <v/>
      </c>
      <c r="AG22" s="180">
        <f>IF(AF22="כן",M22*'גנים ובתי ספר- מבנה תקציב'!$H$59,0)</f>
        <v>0</v>
      </c>
      <c r="AH22" s="180">
        <f>IF(AF22="כן",M22*'גנים ובתי ספר- מבנה תקציב'!$I$59,0)</f>
        <v>0</v>
      </c>
      <c r="AI22" s="180">
        <f t="shared" ref="AI22:AI85" si="18">AH22+AG22</f>
        <v>0</v>
      </c>
      <c r="AJ22" s="368" t="str">
        <f t="shared" si="6"/>
        <v/>
      </c>
    </row>
    <row r="23" spans="1:36" x14ac:dyDescent="0.25">
      <c r="A23" s="57">
        <v>3</v>
      </c>
      <c r="B23" s="690"/>
      <c r="C23" s="690"/>
      <c r="D23" s="252">
        <f>(IFERROR(SUMIF('מצבת והרשמה (2)'!$F$21:$F$501,'דוח ביצוע (3)'!$B23,'מצבת והרשמה (2)'!$J$21:$J$501),0))</f>
        <v>0</v>
      </c>
      <c r="E23" s="252">
        <f>IFERROR(SUMIF('מצבת והרשמה (2)'!$F$21:$F$501,'דוח ביצוע (3)'!$B23,'מצבת והרשמה (2)'!$K$21:$K$501),0)</f>
        <v>0</v>
      </c>
      <c r="F23" s="253">
        <f t="shared" si="7"/>
        <v>0</v>
      </c>
      <c r="G23" s="680"/>
      <c r="H23" s="688"/>
      <c r="I23" s="253">
        <f>H23+G23</f>
        <v>0</v>
      </c>
      <c r="J23" s="453">
        <f t="shared" si="8"/>
        <v>0</v>
      </c>
      <c r="K23" s="689"/>
      <c r="L23" s="689"/>
      <c r="M23" s="969">
        <f t="shared" si="9"/>
        <v>0</v>
      </c>
      <c r="N23" s="1029" t="str">
        <f t="shared" si="10"/>
        <v/>
      </c>
      <c r="O23" s="969" t="str">
        <f>IFERROR(VLOOKUP(B23,'נתוני רישום ומצבת'!B:Q,16,0),"")</f>
        <v/>
      </c>
      <c r="P23" s="969" t="str">
        <f>IFERROR(VLOOKUP(B23,'נתוני רישום ומצבת'!B:R,17,0),"")</f>
        <v/>
      </c>
      <c r="Q23" s="690"/>
      <c r="R23" s="1009"/>
      <c r="S23" s="376">
        <f t="shared" si="11"/>
        <v>0</v>
      </c>
      <c r="T23" s="376">
        <f t="shared" si="12"/>
        <v>0</v>
      </c>
      <c r="U23" s="386">
        <f t="shared" si="13"/>
        <v>0</v>
      </c>
      <c r="V23" s="513" t="str">
        <f t="shared" si="14"/>
        <v/>
      </c>
      <c r="W23" s="254" t="str">
        <f>IF(ISBLANK(B23)," ",IF(B23=IFERROR(VLOOKUP(B23,'מצבת והרשמה (2)'!F:F,1,0),0),"תקין","לא קיים במצבת כבית ספר בו מתקיימת פעילות"))</f>
        <v xml:space="preserve"> </v>
      </c>
      <c r="X23" s="256" t="str">
        <f t="shared" si="1"/>
        <v/>
      </c>
      <c r="Y23" s="256" t="str">
        <f t="shared" si="2"/>
        <v/>
      </c>
      <c r="Z23" s="741">
        <f t="shared" si="3"/>
        <v>0</v>
      </c>
      <c r="AA23" s="741">
        <f t="shared" si="4"/>
        <v>0</v>
      </c>
      <c r="AB23" s="741">
        <f t="shared" si="5"/>
        <v>0</v>
      </c>
      <c r="AC23" s="987">
        <f t="shared" si="15"/>
        <v>0</v>
      </c>
      <c r="AD23" s="987">
        <f t="shared" si="16"/>
        <v>0</v>
      </c>
      <c r="AE23" s="368" t="str">
        <f>IFERROR(VLOOKUP(B23,'[1]סיכום בקרת רשויות'!$A:$D,4,0),"")</f>
        <v/>
      </c>
      <c r="AF23" s="57" t="str">
        <f t="shared" si="17"/>
        <v/>
      </c>
      <c r="AG23" s="180">
        <f>IF(AF23="כן",M23*'גנים ובתי ספר- מבנה תקציב'!$H$59,0)</f>
        <v>0</v>
      </c>
      <c r="AH23" s="180">
        <f>IF(AF23="כן",M23*'גנים ובתי ספר- מבנה תקציב'!$I$59,0)</f>
        <v>0</v>
      </c>
      <c r="AI23" s="180">
        <f t="shared" si="18"/>
        <v>0</v>
      </c>
      <c r="AJ23" s="368" t="str">
        <f t="shared" si="6"/>
        <v/>
      </c>
    </row>
    <row r="24" spans="1:36" x14ac:dyDescent="0.25">
      <c r="A24" s="57">
        <v>4</v>
      </c>
      <c r="B24" s="690"/>
      <c r="C24" s="690"/>
      <c r="D24" s="252">
        <f>(IFERROR(SUMIF('מצבת והרשמה (2)'!$F$21:$F$501,'דוח ביצוע (3)'!$B24,'מצבת והרשמה (2)'!$J$21:$J$501),0))</f>
        <v>0</v>
      </c>
      <c r="E24" s="252">
        <f>IFERROR(SUMIF('מצבת והרשמה (2)'!$F$21:$F$501,'דוח ביצוע (3)'!$B24,'מצבת והרשמה (2)'!$K$21:$K$501),0)</f>
        <v>0</v>
      </c>
      <c r="F24" s="253">
        <f t="shared" si="7"/>
        <v>0</v>
      </c>
      <c r="G24" s="680"/>
      <c r="H24" s="688"/>
      <c r="I24" s="253">
        <f t="shared" ref="I24:I52" si="19">H24+G24</f>
        <v>0</v>
      </c>
      <c r="J24" s="453">
        <f t="shared" si="8"/>
        <v>0</v>
      </c>
      <c r="K24" s="689"/>
      <c r="L24" s="689"/>
      <c r="M24" s="969">
        <f t="shared" si="9"/>
        <v>0</v>
      </c>
      <c r="N24" s="1029" t="str">
        <f t="shared" si="10"/>
        <v/>
      </c>
      <c r="O24" s="969" t="str">
        <f>IFERROR(VLOOKUP(B24,'נתוני רישום ומצבת'!B:Q,16,0),"")</f>
        <v/>
      </c>
      <c r="P24" s="969" t="str">
        <f>IFERROR(VLOOKUP(B24,'נתוני רישום ומצבת'!B:R,17,0),"")</f>
        <v/>
      </c>
      <c r="Q24" s="690"/>
      <c r="R24" s="1009"/>
      <c r="S24" s="376">
        <f t="shared" si="11"/>
        <v>0</v>
      </c>
      <c r="T24" s="376">
        <f t="shared" si="12"/>
        <v>0</v>
      </c>
      <c r="U24" s="386">
        <f t="shared" si="13"/>
        <v>0</v>
      </c>
      <c r="V24" s="513" t="str">
        <f t="shared" si="14"/>
        <v/>
      </c>
      <c r="W24" s="254" t="str">
        <f>IF(ISBLANK(B24)," ",IF(B24=IFERROR(VLOOKUP(B24,'מצבת והרשמה (2)'!F:F,1,0),0),"תקין","לא קיים במצבת כבית ספר בו מתקיימת פעילות"))</f>
        <v xml:space="preserve"> </v>
      </c>
      <c r="X24" s="256" t="str">
        <f t="shared" si="1"/>
        <v/>
      </c>
      <c r="Y24" s="256" t="str">
        <f t="shared" si="2"/>
        <v/>
      </c>
      <c r="Z24" s="741">
        <f t="shared" si="3"/>
        <v>0</v>
      </c>
      <c r="AA24" s="741">
        <f t="shared" si="4"/>
        <v>0</v>
      </c>
      <c r="AB24" s="741">
        <f t="shared" si="5"/>
        <v>0</v>
      </c>
      <c r="AC24" s="987">
        <f t="shared" si="15"/>
        <v>0</v>
      </c>
      <c r="AD24" s="987">
        <f t="shared" si="16"/>
        <v>0</v>
      </c>
      <c r="AE24" s="368" t="str">
        <f>IFERROR(VLOOKUP(B24,'[1]סיכום בקרת רשויות'!$A:$D,4,0),"")</f>
        <v/>
      </c>
      <c r="AF24" s="57" t="str">
        <f t="shared" si="17"/>
        <v/>
      </c>
      <c r="AG24" s="180">
        <f>IF(AF24="כן",M24*'גנים ובתי ספר- מבנה תקציב'!$H$59,0)</f>
        <v>0</v>
      </c>
      <c r="AH24" s="180">
        <f>IF(AF24="כן",M24*'גנים ובתי ספר- מבנה תקציב'!$I$59,0)</f>
        <v>0</v>
      </c>
      <c r="AI24" s="180">
        <f t="shared" si="18"/>
        <v>0</v>
      </c>
      <c r="AJ24" s="368" t="str">
        <f t="shared" si="6"/>
        <v/>
      </c>
    </row>
    <row r="25" spans="1:36" x14ac:dyDescent="0.25">
      <c r="A25" s="57">
        <v>5</v>
      </c>
      <c r="B25" s="690"/>
      <c r="C25" s="690"/>
      <c r="D25" s="252">
        <f>(IFERROR(SUMIF('מצבת והרשמה (2)'!$F$21:$F$501,'דוח ביצוע (3)'!$B25,'מצבת והרשמה (2)'!$J$21:$J$501),0))</f>
        <v>0</v>
      </c>
      <c r="E25" s="252">
        <f>IFERROR(SUMIF('מצבת והרשמה (2)'!$F$21:$F$501,'דוח ביצוע (3)'!$B25,'מצבת והרשמה (2)'!$K$21:$K$501),0)</f>
        <v>0</v>
      </c>
      <c r="F25" s="253">
        <f t="shared" si="7"/>
        <v>0</v>
      </c>
      <c r="G25" s="680"/>
      <c r="H25" s="680"/>
      <c r="I25" s="253">
        <f t="shared" si="19"/>
        <v>0</v>
      </c>
      <c r="J25" s="453">
        <f t="shared" si="8"/>
        <v>0</v>
      </c>
      <c r="K25" s="689"/>
      <c r="L25" s="689"/>
      <c r="M25" s="969">
        <f t="shared" si="9"/>
        <v>0</v>
      </c>
      <c r="N25" s="1029" t="str">
        <f t="shared" si="10"/>
        <v/>
      </c>
      <c r="O25" s="969" t="str">
        <f>IFERROR(VLOOKUP(B25,'נתוני רישום ומצבת'!B:Q,16,0),"")</f>
        <v/>
      </c>
      <c r="P25" s="969" t="str">
        <f>IFERROR(VLOOKUP(B25,'נתוני רישום ומצבת'!B:R,17,0),"")</f>
        <v/>
      </c>
      <c r="Q25" s="690"/>
      <c r="R25" s="1009"/>
      <c r="S25" s="376">
        <f t="shared" si="11"/>
        <v>0</v>
      </c>
      <c r="T25" s="376">
        <f t="shared" si="12"/>
        <v>0</v>
      </c>
      <c r="U25" s="386">
        <f t="shared" si="13"/>
        <v>0</v>
      </c>
      <c r="V25" s="513" t="str">
        <f t="shared" si="14"/>
        <v/>
      </c>
      <c r="W25" s="254" t="str">
        <f>IF(ISBLANK(B25)," ",IF(B25=IFERROR(VLOOKUP(B25,'מצבת והרשמה (2)'!F:F,1,0),0),"תקין","לא קיים במצבת כבית ספר בו מתקיימת פעילות"))</f>
        <v xml:space="preserve"> </v>
      </c>
      <c r="X25" s="256" t="str">
        <f t="shared" si="1"/>
        <v/>
      </c>
      <c r="Y25" s="256" t="str">
        <f t="shared" si="2"/>
        <v/>
      </c>
      <c r="Z25" s="741">
        <f t="shared" si="3"/>
        <v>0</v>
      </c>
      <c r="AA25" s="741">
        <f t="shared" si="4"/>
        <v>0</v>
      </c>
      <c r="AB25" s="741">
        <f t="shared" si="5"/>
        <v>0</v>
      </c>
      <c r="AC25" s="987">
        <f t="shared" si="15"/>
        <v>0</v>
      </c>
      <c r="AD25" s="987">
        <f t="shared" si="16"/>
        <v>0</v>
      </c>
      <c r="AE25" s="368" t="str">
        <f>IFERROR(VLOOKUP(B25,'[1]סיכום בקרת רשויות'!$A:$D,4,0),"")</f>
        <v/>
      </c>
      <c r="AF25" s="57" t="str">
        <f t="shared" si="17"/>
        <v/>
      </c>
      <c r="AG25" s="180">
        <f>IF(AF25="כן",M25*'גנים ובתי ספר- מבנה תקציב'!$H$59,0)</f>
        <v>0</v>
      </c>
      <c r="AH25" s="180">
        <f>IF(AF25="כן",M25*'גנים ובתי ספר- מבנה תקציב'!$I$59,0)</f>
        <v>0</v>
      </c>
      <c r="AI25" s="180">
        <f t="shared" si="18"/>
        <v>0</v>
      </c>
      <c r="AJ25" s="368" t="str">
        <f t="shared" si="6"/>
        <v/>
      </c>
    </row>
    <row r="26" spans="1:36" x14ac:dyDescent="0.25">
      <c r="A26" s="57">
        <v>6</v>
      </c>
      <c r="B26" s="690"/>
      <c r="C26" s="690"/>
      <c r="D26" s="252">
        <f>(IFERROR(SUMIF('מצבת והרשמה (2)'!$F$21:$F$501,'דוח ביצוע (3)'!$B26,'מצבת והרשמה (2)'!$J$21:$J$501),0))</f>
        <v>0</v>
      </c>
      <c r="E26" s="252">
        <f>IFERROR(SUMIF('מצבת והרשמה (2)'!$F$21:$F$501,'דוח ביצוע (3)'!$B26,'מצבת והרשמה (2)'!$K$21:$K$501),0)</f>
        <v>0</v>
      </c>
      <c r="F26" s="253">
        <f t="shared" si="7"/>
        <v>0</v>
      </c>
      <c r="G26" s="687"/>
      <c r="H26" s="687"/>
      <c r="I26" s="253">
        <f t="shared" si="19"/>
        <v>0</v>
      </c>
      <c r="J26" s="453">
        <f t="shared" si="8"/>
        <v>0</v>
      </c>
      <c r="K26" s="689"/>
      <c r="L26" s="689"/>
      <c r="M26" s="969">
        <f t="shared" si="9"/>
        <v>0</v>
      </c>
      <c r="N26" s="1029" t="str">
        <f t="shared" si="10"/>
        <v/>
      </c>
      <c r="O26" s="969" t="str">
        <f>IFERROR(VLOOKUP(B26,'נתוני רישום ומצבת'!B:Q,16,0),"")</f>
        <v/>
      </c>
      <c r="P26" s="969" t="str">
        <f>IFERROR(VLOOKUP(B26,'נתוני רישום ומצבת'!B:R,17,0),"")</f>
        <v/>
      </c>
      <c r="Q26" s="690"/>
      <c r="R26" s="1009"/>
      <c r="S26" s="376">
        <f t="shared" si="11"/>
        <v>0</v>
      </c>
      <c r="T26" s="376">
        <f t="shared" si="12"/>
        <v>0</v>
      </c>
      <c r="U26" s="386">
        <f t="shared" si="13"/>
        <v>0</v>
      </c>
      <c r="V26" s="513" t="str">
        <f t="shared" si="14"/>
        <v/>
      </c>
      <c r="W26" s="254" t="str">
        <f>IF(ISBLANK(B26)," ",IF(B26=IFERROR(VLOOKUP(B26,'מצבת והרשמה (2)'!F:F,1,0),0),"תקין","לא קיים במצבת כבית ספר בו מתקיימת פעילות"))</f>
        <v xml:space="preserve"> </v>
      </c>
      <c r="X26" s="256" t="str">
        <f t="shared" si="1"/>
        <v/>
      </c>
      <c r="Y26" s="256" t="str">
        <f t="shared" si="2"/>
        <v/>
      </c>
      <c r="Z26" s="741">
        <f t="shared" si="3"/>
        <v>0</v>
      </c>
      <c r="AA26" s="741">
        <f t="shared" si="4"/>
        <v>0</v>
      </c>
      <c r="AB26" s="741">
        <f t="shared" si="5"/>
        <v>0</v>
      </c>
      <c r="AC26" s="987">
        <f t="shared" si="15"/>
        <v>0</v>
      </c>
      <c r="AD26" s="987">
        <f t="shared" si="16"/>
        <v>0</v>
      </c>
      <c r="AE26" s="368" t="str">
        <f>IFERROR(VLOOKUP(B26,'[1]סיכום בקרת רשויות'!$A:$D,4,0),"")</f>
        <v/>
      </c>
      <c r="AF26" s="57" t="str">
        <f t="shared" si="17"/>
        <v/>
      </c>
      <c r="AG26" s="180">
        <f>IF(AF26="כן",M26*'גנים ובתי ספר- מבנה תקציב'!$H$59,0)</f>
        <v>0</v>
      </c>
      <c r="AH26" s="180">
        <f>IF(AF26="כן",M26*'גנים ובתי ספר- מבנה תקציב'!$I$59,0)</f>
        <v>0</v>
      </c>
      <c r="AI26" s="180">
        <f t="shared" si="18"/>
        <v>0</v>
      </c>
      <c r="AJ26" s="368" t="str">
        <f t="shared" si="6"/>
        <v/>
      </c>
    </row>
    <row r="27" spans="1:36" x14ac:dyDescent="0.25">
      <c r="A27" s="57">
        <v>7</v>
      </c>
      <c r="B27" s="690"/>
      <c r="C27" s="690"/>
      <c r="D27" s="252">
        <f>(IFERROR(SUMIF('מצבת והרשמה (2)'!$F$21:$F$501,'דוח ביצוע (3)'!$B27,'מצבת והרשמה (2)'!$J$21:$J$501),0))</f>
        <v>0</v>
      </c>
      <c r="E27" s="252">
        <f>IFERROR(SUMIF('מצבת והרשמה (2)'!$F$21:$F$501,'דוח ביצוע (3)'!$B27,'מצבת והרשמה (2)'!$K$21:$K$501),0)</f>
        <v>0</v>
      </c>
      <c r="F27" s="253">
        <f t="shared" si="7"/>
        <v>0</v>
      </c>
      <c r="G27" s="680"/>
      <c r="H27" s="680"/>
      <c r="I27" s="253">
        <f t="shared" si="19"/>
        <v>0</v>
      </c>
      <c r="J27" s="453">
        <f t="shared" si="8"/>
        <v>0</v>
      </c>
      <c r="K27" s="689"/>
      <c r="L27" s="689"/>
      <c r="M27" s="969">
        <f t="shared" si="9"/>
        <v>0</v>
      </c>
      <c r="N27" s="1029" t="str">
        <f t="shared" si="10"/>
        <v/>
      </c>
      <c r="O27" s="969" t="str">
        <f>IFERROR(VLOOKUP(B27,'נתוני רישום ומצבת'!B:Q,16,0),"")</f>
        <v/>
      </c>
      <c r="P27" s="969" t="str">
        <f>IFERROR(VLOOKUP(B27,'נתוני רישום ומצבת'!B:R,17,0),"")</f>
        <v/>
      </c>
      <c r="Q27" s="690"/>
      <c r="R27" s="1009"/>
      <c r="S27" s="376">
        <f t="shared" si="11"/>
        <v>0</v>
      </c>
      <c r="T27" s="376">
        <f t="shared" si="12"/>
        <v>0</v>
      </c>
      <c r="U27" s="386">
        <f t="shared" si="13"/>
        <v>0</v>
      </c>
      <c r="V27" s="513" t="str">
        <f t="shared" si="14"/>
        <v/>
      </c>
      <c r="W27" s="254" t="str">
        <f>IF(ISBLANK(B27)," ",IF(B27=IFERROR(VLOOKUP(B27,'מצבת והרשמה (2)'!F:F,1,0),0),"תקין","לא קיים במצבת כבית ספר בו מתקיימת פעילות"))</f>
        <v xml:space="preserve"> </v>
      </c>
      <c r="X27" s="256" t="str">
        <f t="shared" si="1"/>
        <v/>
      </c>
      <c r="Y27" s="256" t="str">
        <f t="shared" si="2"/>
        <v/>
      </c>
      <c r="Z27" s="741">
        <f t="shared" si="3"/>
        <v>0</v>
      </c>
      <c r="AA27" s="741">
        <f t="shared" si="4"/>
        <v>0</v>
      </c>
      <c r="AB27" s="741">
        <f t="shared" si="5"/>
        <v>0</v>
      </c>
      <c r="AC27" s="987">
        <f t="shared" si="15"/>
        <v>0</v>
      </c>
      <c r="AD27" s="987">
        <f t="shared" si="16"/>
        <v>0</v>
      </c>
      <c r="AE27" s="368" t="str">
        <f>IFERROR(VLOOKUP(B27,'[1]סיכום בקרת רשויות'!$A:$D,4,0),"")</f>
        <v/>
      </c>
      <c r="AF27" s="57" t="str">
        <f t="shared" si="17"/>
        <v/>
      </c>
      <c r="AG27" s="180">
        <f>IF(AF27="כן",M27*'גנים ובתי ספר- מבנה תקציב'!$H$59,0)</f>
        <v>0</v>
      </c>
      <c r="AH27" s="180">
        <f>IF(AF27="כן",M27*'גנים ובתי ספר- מבנה תקציב'!$I$59,0)</f>
        <v>0</v>
      </c>
      <c r="AI27" s="180">
        <f t="shared" si="18"/>
        <v>0</v>
      </c>
      <c r="AJ27" s="368" t="str">
        <f t="shared" si="6"/>
        <v/>
      </c>
    </row>
    <row r="28" spans="1:36" x14ac:dyDescent="0.25">
      <c r="A28" s="57">
        <v>8</v>
      </c>
      <c r="B28" s="690"/>
      <c r="C28" s="690"/>
      <c r="D28" s="252">
        <f>(IFERROR(SUMIF('מצבת והרשמה (2)'!$F$21:$F$501,'דוח ביצוע (3)'!$B28,'מצבת והרשמה (2)'!$J$21:$J$501),0))</f>
        <v>0</v>
      </c>
      <c r="E28" s="252">
        <f>IFERROR(SUMIF('מצבת והרשמה (2)'!$F$21:$F$501,'דוח ביצוע (3)'!$B28,'מצבת והרשמה (2)'!$K$21:$K$501),0)</f>
        <v>0</v>
      </c>
      <c r="F28" s="253">
        <f t="shared" si="7"/>
        <v>0</v>
      </c>
      <c r="G28" s="680"/>
      <c r="H28" s="680"/>
      <c r="I28" s="253">
        <f t="shared" si="19"/>
        <v>0</v>
      </c>
      <c r="J28" s="453">
        <f t="shared" si="8"/>
        <v>0</v>
      </c>
      <c r="K28" s="689"/>
      <c r="L28" s="689"/>
      <c r="M28" s="969">
        <f t="shared" si="9"/>
        <v>0</v>
      </c>
      <c r="N28" s="1029" t="str">
        <f t="shared" si="10"/>
        <v/>
      </c>
      <c r="O28" s="969" t="str">
        <f>IFERROR(VLOOKUP(B28,'נתוני רישום ומצבת'!B:Q,16,0),"")</f>
        <v/>
      </c>
      <c r="P28" s="969" t="str">
        <f>IFERROR(VLOOKUP(B28,'נתוני רישום ומצבת'!B:R,17,0),"")</f>
        <v/>
      </c>
      <c r="Q28" s="690"/>
      <c r="R28" s="1009"/>
      <c r="S28" s="376">
        <f t="shared" si="11"/>
        <v>0</v>
      </c>
      <c r="T28" s="376">
        <f t="shared" si="12"/>
        <v>0</v>
      </c>
      <c r="U28" s="386">
        <f t="shared" si="13"/>
        <v>0</v>
      </c>
      <c r="V28" s="513" t="str">
        <f t="shared" si="14"/>
        <v/>
      </c>
      <c r="W28" s="254" t="str">
        <f>IF(ISBLANK(B28)," ",IF(B28=IFERROR(VLOOKUP(B28,'מצבת והרשמה (2)'!F:F,1,0),0),"תקין","לא קיים במצבת כבית ספר בו מתקיימת פעילות"))</f>
        <v xml:space="preserve"> </v>
      </c>
      <c r="X28" s="256" t="str">
        <f t="shared" si="1"/>
        <v/>
      </c>
      <c r="Y28" s="256" t="str">
        <f t="shared" si="2"/>
        <v/>
      </c>
      <c r="Z28" s="741">
        <f t="shared" si="3"/>
        <v>0</v>
      </c>
      <c r="AA28" s="741">
        <f t="shared" si="4"/>
        <v>0</v>
      </c>
      <c r="AB28" s="741">
        <f t="shared" si="5"/>
        <v>0</v>
      </c>
      <c r="AC28" s="987">
        <f t="shared" si="15"/>
        <v>0</v>
      </c>
      <c r="AD28" s="987">
        <f t="shared" si="16"/>
        <v>0</v>
      </c>
      <c r="AE28" s="368" t="str">
        <f>IFERROR(VLOOKUP(B28,'[1]סיכום בקרת רשויות'!$A:$D,4,0),"")</f>
        <v/>
      </c>
      <c r="AF28" s="57" t="str">
        <f t="shared" si="17"/>
        <v/>
      </c>
      <c r="AG28" s="180">
        <f>IF(AF28="כן",M28*'גנים ובתי ספר- מבנה תקציב'!$H$59,0)</f>
        <v>0</v>
      </c>
      <c r="AH28" s="180">
        <f>IF(AF28="כן",M28*'גנים ובתי ספר- מבנה תקציב'!$I$59,0)</f>
        <v>0</v>
      </c>
      <c r="AI28" s="180">
        <f t="shared" si="18"/>
        <v>0</v>
      </c>
      <c r="AJ28" s="368" t="str">
        <f t="shared" si="6"/>
        <v/>
      </c>
    </row>
    <row r="29" spans="1:36" x14ac:dyDescent="0.25">
      <c r="A29" s="57">
        <v>9</v>
      </c>
      <c r="B29" s="690"/>
      <c r="C29" s="690"/>
      <c r="D29" s="252">
        <f>(IFERROR(SUMIF('מצבת והרשמה (2)'!$F$21:$F$501,'דוח ביצוע (3)'!$B29,'מצבת והרשמה (2)'!$J$21:$J$501),0))</f>
        <v>0</v>
      </c>
      <c r="E29" s="252">
        <f>IFERROR(SUMIF('מצבת והרשמה (2)'!$F$21:$F$501,'דוח ביצוע (3)'!$B29,'מצבת והרשמה (2)'!$K$21:$K$501),0)</f>
        <v>0</v>
      </c>
      <c r="F29" s="253">
        <f t="shared" si="7"/>
        <v>0</v>
      </c>
      <c r="G29" s="680"/>
      <c r="H29" s="680"/>
      <c r="I29" s="253">
        <f t="shared" si="19"/>
        <v>0</v>
      </c>
      <c r="J29" s="453">
        <f t="shared" si="8"/>
        <v>0</v>
      </c>
      <c r="K29" s="689"/>
      <c r="L29" s="689"/>
      <c r="M29" s="969">
        <f t="shared" si="9"/>
        <v>0</v>
      </c>
      <c r="N29" s="1029" t="str">
        <f t="shared" si="10"/>
        <v/>
      </c>
      <c r="O29" s="969" t="str">
        <f>IFERROR(VLOOKUP(B29,'נתוני רישום ומצבת'!B:Q,16,0),"")</f>
        <v/>
      </c>
      <c r="P29" s="969" t="str">
        <f>IFERROR(VLOOKUP(B29,'נתוני רישום ומצבת'!B:R,17,0),"")</f>
        <v/>
      </c>
      <c r="Q29" s="690"/>
      <c r="R29" s="1009"/>
      <c r="S29" s="376">
        <f t="shared" si="11"/>
        <v>0</v>
      </c>
      <c r="T29" s="376">
        <f t="shared" si="12"/>
        <v>0</v>
      </c>
      <c r="U29" s="386">
        <f t="shared" si="13"/>
        <v>0</v>
      </c>
      <c r="V29" s="513" t="str">
        <f t="shared" si="14"/>
        <v/>
      </c>
      <c r="W29" s="254" t="str">
        <f>IF(ISBLANK(B29)," ",IF(B29=IFERROR(VLOOKUP(B29,'מצבת והרשמה (2)'!F:F,1,0),0),"תקין","לא קיים במצבת כבית ספר בו מתקיימת פעילות"))</f>
        <v xml:space="preserve"> </v>
      </c>
      <c r="X29" s="256" t="str">
        <f t="shared" si="1"/>
        <v/>
      </c>
      <c r="Y29" s="256" t="str">
        <f t="shared" si="2"/>
        <v/>
      </c>
      <c r="Z29" s="741">
        <f t="shared" si="3"/>
        <v>0</v>
      </c>
      <c r="AA29" s="741">
        <f t="shared" si="4"/>
        <v>0</v>
      </c>
      <c r="AB29" s="741">
        <f t="shared" si="5"/>
        <v>0</v>
      </c>
      <c r="AC29" s="987">
        <f t="shared" si="15"/>
        <v>0</v>
      </c>
      <c r="AD29" s="987">
        <f t="shared" si="16"/>
        <v>0</v>
      </c>
      <c r="AE29" s="368" t="str">
        <f>IFERROR(VLOOKUP(B29,'[1]סיכום בקרת רשויות'!$A:$D,4,0),"")</f>
        <v/>
      </c>
      <c r="AF29" s="57" t="str">
        <f t="shared" si="17"/>
        <v/>
      </c>
      <c r="AG29" s="180">
        <f>IF(AF29="כן",M29*'גנים ובתי ספר- מבנה תקציב'!$H$59,0)</f>
        <v>0</v>
      </c>
      <c r="AH29" s="180">
        <f>IF(AF29="כן",M29*'גנים ובתי ספר- מבנה תקציב'!$I$59,0)</f>
        <v>0</v>
      </c>
      <c r="AI29" s="180">
        <f t="shared" si="18"/>
        <v>0</v>
      </c>
      <c r="AJ29" s="368" t="str">
        <f t="shared" si="6"/>
        <v/>
      </c>
    </row>
    <row r="30" spans="1:36" x14ac:dyDescent="0.25">
      <c r="A30" s="57">
        <v>10</v>
      </c>
      <c r="B30" s="690"/>
      <c r="C30" s="690"/>
      <c r="D30" s="252">
        <f>(IFERROR(SUMIF('מצבת והרשמה (2)'!$F$21:$F$501,'דוח ביצוע (3)'!$B30,'מצבת והרשמה (2)'!$J$21:$J$501),0))</f>
        <v>0</v>
      </c>
      <c r="E30" s="252">
        <f>IFERROR(SUMIF('מצבת והרשמה (2)'!$F$21:$F$501,'דוח ביצוע (3)'!$B30,'מצבת והרשמה (2)'!$K$21:$K$501),0)</f>
        <v>0</v>
      </c>
      <c r="F30" s="253">
        <f t="shared" si="7"/>
        <v>0</v>
      </c>
      <c r="G30" s="680"/>
      <c r="H30" s="680"/>
      <c r="I30" s="253">
        <f t="shared" si="19"/>
        <v>0</v>
      </c>
      <c r="J30" s="453">
        <f t="shared" si="8"/>
        <v>0</v>
      </c>
      <c r="K30" s="689"/>
      <c r="L30" s="689"/>
      <c r="M30" s="969">
        <f t="shared" si="9"/>
        <v>0</v>
      </c>
      <c r="N30" s="1029" t="str">
        <f t="shared" si="10"/>
        <v/>
      </c>
      <c r="O30" s="969" t="str">
        <f>IFERROR(VLOOKUP(B30,'נתוני רישום ומצבת'!B:Q,16,0),"")</f>
        <v/>
      </c>
      <c r="P30" s="969" t="str">
        <f>IFERROR(VLOOKUP(B30,'נתוני רישום ומצבת'!B:R,17,0),"")</f>
        <v/>
      </c>
      <c r="Q30" s="690"/>
      <c r="R30" s="1009"/>
      <c r="S30" s="376">
        <f t="shared" si="11"/>
        <v>0</v>
      </c>
      <c r="T30" s="376">
        <f t="shared" si="12"/>
        <v>0</v>
      </c>
      <c r="U30" s="386">
        <f t="shared" si="13"/>
        <v>0</v>
      </c>
      <c r="V30" s="513" t="str">
        <f t="shared" si="14"/>
        <v/>
      </c>
      <c r="W30" s="254" t="str">
        <f>IF(ISBLANK(B30)," ",IF(B30=IFERROR(VLOOKUP(B30,'מצבת והרשמה (2)'!F:F,1,0),0),"תקין","לא קיים במצבת כבית ספר בו מתקיימת פעילות"))</f>
        <v xml:space="preserve"> </v>
      </c>
      <c r="X30" s="256" t="str">
        <f t="shared" si="1"/>
        <v/>
      </c>
      <c r="Y30" s="256" t="str">
        <f t="shared" si="2"/>
        <v/>
      </c>
      <c r="Z30" s="741">
        <f t="shared" si="3"/>
        <v>0</v>
      </c>
      <c r="AA30" s="741">
        <f t="shared" si="4"/>
        <v>0</v>
      </c>
      <c r="AB30" s="741">
        <f t="shared" si="5"/>
        <v>0</v>
      </c>
      <c r="AC30" s="987">
        <f t="shared" si="15"/>
        <v>0</v>
      </c>
      <c r="AD30" s="987">
        <f t="shared" si="16"/>
        <v>0</v>
      </c>
      <c r="AE30" s="368" t="str">
        <f>IFERROR(VLOOKUP(B30,'[1]סיכום בקרת רשויות'!$A:$D,4,0),"")</f>
        <v/>
      </c>
      <c r="AF30" s="57" t="str">
        <f t="shared" si="17"/>
        <v/>
      </c>
      <c r="AG30" s="180">
        <f>IF(AF30="כן",M30*'גנים ובתי ספר- מבנה תקציב'!$H$59,0)</f>
        <v>0</v>
      </c>
      <c r="AH30" s="180">
        <f>IF(AF30="כן",M30*'גנים ובתי ספר- מבנה תקציב'!$I$59,0)</f>
        <v>0</v>
      </c>
      <c r="AI30" s="180">
        <f t="shared" si="18"/>
        <v>0</v>
      </c>
      <c r="AJ30" s="368" t="str">
        <f t="shared" si="6"/>
        <v/>
      </c>
    </row>
    <row r="31" spans="1:36" x14ac:dyDescent="0.25">
      <c r="A31" s="57">
        <v>11</v>
      </c>
      <c r="B31" s="690"/>
      <c r="C31" s="690"/>
      <c r="D31" s="252">
        <f>(IFERROR(SUMIF('מצבת והרשמה (2)'!$F$21:$F$501,'דוח ביצוע (3)'!$B31,'מצבת והרשמה (2)'!$J$21:$J$501),0))</f>
        <v>0</v>
      </c>
      <c r="E31" s="252">
        <f>IFERROR(SUMIF('מצבת והרשמה (2)'!$F$21:$F$501,'דוח ביצוע (3)'!$B31,'מצבת והרשמה (2)'!$K$21:$K$501),0)</f>
        <v>0</v>
      </c>
      <c r="F31" s="253">
        <f t="shared" si="7"/>
        <v>0</v>
      </c>
      <c r="G31" s="680"/>
      <c r="H31" s="680"/>
      <c r="I31" s="253">
        <f t="shared" si="19"/>
        <v>0</v>
      </c>
      <c r="J31" s="453">
        <f t="shared" si="8"/>
        <v>0</v>
      </c>
      <c r="K31" s="689"/>
      <c r="L31" s="689"/>
      <c r="M31" s="969">
        <f t="shared" si="9"/>
        <v>0</v>
      </c>
      <c r="N31" s="1029" t="str">
        <f t="shared" si="10"/>
        <v/>
      </c>
      <c r="O31" s="969" t="str">
        <f>IFERROR(VLOOKUP(B31,'נתוני רישום ומצבת'!B:Q,16,0),"")</f>
        <v/>
      </c>
      <c r="P31" s="969" t="str">
        <f>IFERROR(VLOOKUP(B31,'נתוני רישום ומצבת'!B:R,17,0),"")</f>
        <v/>
      </c>
      <c r="Q31" s="690"/>
      <c r="R31" s="1009"/>
      <c r="S31" s="376">
        <f t="shared" si="11"/>
        <v>0</v>
      </c>
      <c r="T31" s="376">
        <f t="shared" si="12"/>
        <v>0</v>
      </c>
      <c r="U31" s="386">
        <f t="shared" si="13"/>
        <v>0</v>
      </c>
      <c r="V31" s="513" t="str">
        <f t="shared" si="14"/>
        <v/>
      </c>
      <c r="W31" s="254" t="str">
        <f>IF(ISBLANK(B31)," ",IF(B31=IFERROR(VLOOKUP(B31,'מצבת והרשמה (2)'!F:F,1,0),0),"תקין","לא קיים במצבת כבית ספר בו מתקיימת פעילות"))</f>
        <v xml:space="preserve"> </v>
      </c>
      <c r="X31" s="256" t="str">
        <f t="shared" si="1"/>
        <v/>
      </c>
      <c r="Y31" s="256" t="str">
        <f t="shared" si="2"/>
        <v/>
      </c>
      <c r="Z31" s="741">
        <f t="shared" si="3"/>
        <v>0</v>
      </c>
      <c r="AA31" s="741">
        <f t="shared" si="4"/>
        <v>0</v>
      </c>
      <c r="AB31" s="741">
        <f t="shared" si="5"/>
        <v>0</v>
      </c>
      <c r="AC31" s="987">
        <f t="shared" si="15"/>
        <v>0</v>
      </c>
      <c r="AD31" s="987">
        <f t="shared" si="16"/>
        <v>0</v>
      </c>
      <c r="AE31" s="368" t="str">
        <f>IFERROR(VLOOKUP(B31,'[1]סיכום בקרת רשויות'!$A:$D,4,0),"")</f>
        <v/>
      </c>
      <c r="AF31" s="57" t="str">
        <f t="shared" si="17"/>
        <v/>
      </c>
      <c r="AG31" s="180">
        <f>IF(AF31="כן",M31*'גנים ובתי ספר- מבנה תקציב'!$H$59,0)</f>
        <v>0</v>
      </c>
      <c r="AH31" s="180">
        <f>IF(AF31="כן",M31*'גנים ובתי ספר- מבנה תקציב'!$I$59,0)</f>
        <v>0</v>
      </c>
      <c r="AI31" s="180">
        <f t="shared" si="18"/>
        <v>0</v>
      </c>
      <c r="AJ31" s="368" t="str">
        <f t="shared" si="6"/>
        <v/>
      </c>
    </row>
    <row r="32" spans="1:36" x14ac:dyDescent="0.25">
      <c r="A32" s="57">
        <v>12</v>
      </c>
      <c r="B32" s="690"/>
      <c r="C32" s="690"/>
      <c r="D32" s="252">
        <f>(IFERROR(SUMIF('מצבת והרשמה (2)'!$F$21:$F$501,'דוח ביצוע (3)'!$B32,'מצבת והרשמה (2)'!$J$21:$J$501),0))</f>
        <v>0</v>
      </c>
      <c r="E32" s="252">
        <f>IFERROR(SUMIF('מצבת והרשמה (2)'!$F$21:$F$501,'דוח ביצוע (3)'!$B32,'מצבת והרשמה (2)'!$K$21:$K$501),0)</f>
        <v>0</v>
      </c>
      <c r="F32" s="253">
        <f t="shared" si="7"/>
        <v>0</v>
      </c>
      <c r="G32" s="680"/>
      <c r="H32" s="680"/>
      <c r="I32" s="253">
        <f t="shared" si="19"/>
        <v>0</v>
      </c>
      <c r="J32" s="453">
        <f t="shared" si="8"/>
        <v>0</v>
      </c>
      <c r="K32" s="689"/>
      <c r="L32" s="689"/>
      <c r="M32" s="969">
        <f t="shared" si="9"/>
        <v>0</v>
      </c>
      <c r="N32" s="1029" t="str">
        <f t="shared" si="10"/>
        <v/>
      </c>
      <c r="O32" s="969" t="str">
        <f>IFERROR(VLOOKUP(B32,'נתוני רישום ומצבת'!B:Q,16,0),"")</f>
        <v/>
      </c>
      <c r="P32" s="969" t="str">
        <f>IFERROR(VLOOKUP(B32,'נתוני רישום ומצבת'!B:R,17,0),"")</f>
        <v/>
      </c>
      <c r="Q32" s="690"/>
      <c r="R32" s="1009"/>
      <c r="S32" s="376">
        <f t="shared" si="11"/>
        <v>0</v>
      </c>
      <c r="T32" s="376">
        <f t="shared" si="12"/>
        <v>0</v>
      </c>
      <c r="U32" s="386">
        <f t="shared" si="13"/>
        <v>0</v>
      </c>
      <c r="V32" s="513" t="str">
        <f t="shared" si="14"/>
        <v/>
      </c>
      <c r="W32" s="254" t="str">
        <f>IF(ISBLANK(B32)," ",IF(B32=IFERROR(VLOOKUP(B32,'מצבת והרשמה (2)'!F:F,1,0),0),"תקין","לא קיים במצבת כבית ספר בו מתקיימת פעילות"))</f>
        <v xml:space="preserve"> </v>
      </c>
      <c r="X32" s="256" t="str">
        <f t="shared" si="1"/>
        <v/>
      </c>
      <c r="Y32" s="256" t="str">
        <f t="shared" si="2"/>
        <v/>
      </c>
      <c r="Z32" s="741">
        <f t="shared" si="3"/>
        <v>0</v>
      </c>
      <c r="AA32" s="741">
        <f t="shared" si="4"/>
        <v>0</v>
      </c>
      <c r="AB32" s="741">
        <f t="shared" si="5"/>
        <v>0</v>
      </c>
      <c r="AC32" s="987">
        <f t="shared" si="15"/>
        <v>0</v>
      </c>
      <c r="AD32" s="987">
        <f t="shared" si="16"/>
        <v>0</v>
      </c>
      <c r="AE32" s="368" t="str">
        <f>IFERROR(VLOOKUP(B32,'[1]סיכום בקרת רשויות'!$A:$D,4,0),"")</f>
        <v/>
      </c>
      <c r="AF32" s="57" t="str">
        <f t="shared" si="17"/>
        <v/>
      </c>
      <c r="AG32" s="180">
        <f>IF(AF32="כן",M32*'גנים ובתי ספר- מבנה תקציב'!$H$59,0)</f>
        <v>0</v>
      </c>
      <c r="AH32" s="180">
        <f>IF(AF32="כן",M32*'גנים ובתי ספר- מבנה תקציב'!$I$59,0)</f>
        <v>0</v>
      </c>
      <c r="AI32" s="180">
        <f t="shared" si="18"/>
        <v>0</v>
      </c>
      <c r="AJ32" s="368" t="str">
        <f t="shared" si="6"/>
        <v/>
      </c>
    </row>
    <row r="33" spans="1:36" x14ac:dyDescent="0.25">
      <c r="A33" s="57">
        <v>13</v>
      </c>
      <c r="B33" s="690"/>
      <c r="C33" s="690"/>
      <c r="D33" s="252">
        <f>(IFERROR(SUMIF('מצבת והרשמה (2)'!$F$21:$F$501,'דוח ביצוע (3)'!$B33,'מצבת והרשמה (2)'!$J$21:$J$501),0))</f>
        <v>0</v>
      </c>
      <c r="E33" s="252">
        <f>IFERROR(SUMIF('מצבת והרשמה (2)'!$F$21:$F$501,'דוח ביצוע (3)'!$B33,'מצבת והרשמה (2)'!$K$21:$K$501),0)</f>
        <v>0</v>
      </c>
      <c r="F33" s="253">
        <f t="shared" si="7"/>
        <v>0</v>
      </c>
      <c r="G33" s="680"/>
      <c r="H33" s="680"/>
      <c r="I33" s="253">
        <f t="shared" si="19"/>
        <v>0</v>
      </c>
      <c r="J33" s="453">
        <f t="shared" si="8"/>
        <v>0</v>
      </c>
      <c r="K33" s="689"/>
      <c r="L33" s="689"/>
      <c r="M33" s="969">
        <f t="shared" si="9"/>
        <v>0</v>
      </c>
      <c r="N33" s="1029" t="str">
        <f t="shared" si="10"/>
        <v/>
      </c>
      <c r="O33" s="969" t="str">
        <f>IFERROR(VLOOKUP(B33,'נתוני רישום ומצבת'!B:Q,16,0),"")</f>
        <v/>
      </c>
      <c r="P33" s="969" t="str">
        <f>IFERROR(VLOOKUP(B33,'נתוני רישום ומצבת'!B:R,17,0),"")</f>
        <v/>
      </c>
      <c r="Q33" s="690"/>
      <c r="R33" s="1009"/>
      <c r="S33" s="376">
        <f t="shared" si="11"/>
        <v>0</v>
      </c>
      <c r="T33" s="376">
        <f t="shared" si="12"/>
        <v>0</v>
      </c>
      <c r="U33" s="386">
        <f t="shared" si="13"/>
        <v>0</v>
      </c>
      <c r="V33" s="513" t="str">
        <f t="shared" si="14"/>
        <v/>
      </c>
      <c r="W33" s="254" t="str">
        <f>IF(ISBLANK(B33)," ",IF(B33=IFERROR(VLOOKUP(B33,'מצבת והרשמה (2)'!F:F,1,0),0),"תקין","לא קיים במצבת כבית ספר בו מתקיימת פעילות"))</f>
        <v xml:space="preserve"> </v>
      </c>
      <c r="X33" s="256" t="str">
        <f t="shared" si="1"/>
        <v/>
      </c>
      <c r="Y33" s="256" t="str">
        <f t="shared" si="2"/>
        <v/>
      </c>
      <c r="Z33" s="741">
        <f t="shared" si="3"/>
        <v>0</v>
      </c>
      <c r="AA33" s="741">
        <f t="shared" si="4"/>
        <v>0</v>
      </c>
      <c r="AB33" s="741">
        <f t="shared" si="5"/>
        <v>0</v>
      </c>
      <c r="AC33" s="987">
        <f t="shared" si="15"/>
        <v>0</v>
      </c>
      <c r="AD33" s="987">
        <f t="shared" si="16"/>
        <v>0</v>
      </c>
      <c r="AE33" s="368" t="str">
        <f>IFERROR(VLOOKUP(B33,'[1]סיכום בקרת רשויות'!$A:$D,4,0),"")</f>
        <v/>
      </c>
      <c r="AF33" s="57" t="str">
        <f t="shared" si="17"/>
        <v/>
      </c>
      <c r="AG33" s="180">
        <f>IF(AF33="כן",M33*'גנים ובתי ספר- מבנה תקציב'!$H$59,0)</f>
        <v>0</v>
      </c>
      <c r="AH33" s="180">
        <f>IF(AF33="כן",M33*'גנים ובתי ספר- מבנה תקציב'!$I$59,0)</f>
        <v>0</v>
      </c>
      <c r="AI33" s="180">
        <f t="shared" si="18"/>
        <v>0</v>
      </c>
      <c r="AJ33" s="368" t="str">
        <f t="shared" si="6"/>
        <v/>
      </c>
    </row>
    <row r="34" spans="1:36" x14ac:dyDescent="0.25">
      <c r="A34" s="57">
        <v>14</v>
      </c>
      <c r="B34" s="690"/>
      <c r="C34" s="690"/>
      <c r="D34" s="252">
        <f>(IFERROR(SUMIF('מצבת והרשמה (2)'!$F$21:$F$501,'דוח ביצוע (3)'!$B34,'מצבת והרשמה (2)'!$J$21:$J$501),0))</f>
        <v>0</v>
      </c>
      <c r="E34" s="252">
        <f>IFERROR(SUMIF('מצבת והרשמה (2)'!$F$21:$F$501,'דוח ביצוע (3)'!$B34,'מצבת והרשמה (2)'!$K$21:$K$501),0)</f>
        <v>0</v>
      </c>
      <c r="F34" s="253">
        <f t="shared" si="7"/>
        <v>0</v>
      </c>
      <c r="G34" s="680"/>
      <c r="H34" s="680"/>
      <c r="I34" s="253">
        <f t="shared" si="19"/>
        <v>0</v>
      </c>
      <c r="J34" s="453">
        <f t="shared" si="8"/>
        <v>0</v>
      </c>
      <c r="K34" s="689"/>
      <c r="L34" s="689"/>
      <c r="M34" s="969">
        <f t="shared" si="9"/>
        <v>0</v>
      </c>
      <c r="N34" s="1029" t="str">
        <f t="shared" si="10"/>
        <v/>
      </c>
      <c r="O34" s="969" t="str">
        <f>IFERROR(VLOOKUP(B34,'נתוני רישום ומצבת'!B:Q,16,0),"")</f>
        <v/>
      </c>
      <c r="P34" s="969" t="str">
        <f>IFERROR(VLOOKUP(B34,'נתוני רישום ומצבת'!B:R,17,0),"")</f>
        <v/>
      </c>
      <c r="Q34" s="690"/>
      <c r="R34" s="1009"/>
      <c r="S34" s="376">
        <f t="shared" si="11"/>
        <v>0</v>
      </c>
      <c r="T34" s="376">
        <f t="shared" si="12"/>
        <v>0</v>
      </c>
      <c r="U34" s="386">
        <f t="shared" si="13"/>
        <v>0</v>
      </c>
      <c r="V34" s="513" t="str">
        <f t="shared" si="14"/>
        <v/>
      </c>
      <c r="W34" s="254" t="str">
        <f>IF(ISBLANK(B34)," ",IF(B34=IFERROR(VLOOKUP(B34,'מצבת והרשמה (2)'!F:F,1,0),0),"תקין","לא קיים במצבת כבית ספר בו מתקיימת פעילות"))</f>
        <v xml:space="preserve"> </v>
      </c>
      <c r="X34" s="256" t="str">
        <f t="shared" si="1"/>
        <v/>
      </c>
      <c r="Y34" s="256" t="str">
        <f t="shared" si="2"/>
        <v/>
      </c>
      <c r="Z34" s="741">
        <f t="shared" si="3"/>
        <v>0</v>
      </c>
      <c r="AA34" s="741">
        <f t="shared" si="4"/>
        <v>0</v>
      </c>
      <c r="AB34" s="741">
        <f t="shared" si="5"/>
        <v>0</v>
      </c>
      <c r="AC34" s="987">
        <f t="shared" si="15"/>
        <v>0</v>
      </c>
      <c r="AD34" s="987">
        <f t="shared" si="16"/>
        <v>0</v>
      </c>
      <c r="AE34" s="368" t="str">
        <f>IFERROR(VLOOKUP(B34,'[1]סיכום בקרת רשויות'!$A:$D,4,0),"")</f>
        <v/>
      </c>
      <c r="AF34" s="57" t="str">
        <f t="shared" si="17"/>
        <v/>
      </c>
      <c r="AG34" s="180">
        <f>IF(AF34="כן",M34*'גנים ובתי ספר- מבנה תקציב'!$H$59,0)</f>
        <v>0</v>
      </c>
      <c r="AH34" s="180">
        <f>IF(AF34="כן",M34*'גנים ובתי ספר- מבנה תקציב'!$I$59,0)</f>
        <v>0</v>
      </c>
      <c r="AI34" s="180">
        <f t="shared" si="18"/>
        <v>0</v>
      </c>
      <c r="AJ34" s="368" t="str">
        <f t="shared" si="6"/>
        <v/>
      </c>
    </row>
    <row r="35" spans="1:36" x14ac:dyDescent="0.25">
      <c r="A35" s="57">
        <v>15</v>
      </c>
      <c r="B35" s="690"/>
      <c r="C35" s="690"/>
      <c r="D35" s="252">
        <f>(IFERROR(SUMIF('מצבת והרשמה (2)'!$F$21:$F$501,'דוח ביצוע (3)'!$B35,'מצבת והרשמה (2)'!$J$21:$J$501),0))</f>
        <v>0</v>
      </c>
      <c r="E35" s="252">
        <f>IFERROR(SUMIF('מצבת והרשמה (2)'!$F$21:$F$501,'דוח ביצוע (3)'!$B35,'מצבת והרשמה (2)'!$K$21:$K$501),0)</f>
        <v>0</v>
      </c>
      <c r="F35" s="253">
        <f t="shared" si="7"/>
        <v>0</v>
      </c>
      <c r="G35" s="680"/>
      <c r="H35" s="680"/>
      <c r="I35" s="253">
        <f t="shared" si="19"/>
        <v>0</v>
      </c>
      <c r="J35" s="453">
        <f t="shared" si="8"/>
        <v>0</v>
      </c>
      <c r="K35" s="689"/>
      <c r="L35" s="689"/>
      <c r="M35" s="969">
        <f t="shared" si="9"/>
        <v>0</v>
      </c>
      <c r="N35" s="1029" t="str">
        <f t="shared" si="10"/>
        <v/>
      </c>
      <c r="O35" s="969" t="str">
        <f>IFERROR(VLOOKUP(B35,'נתוני רישום ומצבת'!B:Q,16,0),"")</f>
        <v/>
      </c>
      <c r="P35" s="969" t="str">
        <f>IFERROR(VLOOKUP(B35,'נתוני רישום ומצבת'!B:R,17,0),"")</f>
        <v/>
      </c>
      <c r="Q35" s="690"/>
      <c r="R35" s="1009"/>
      <c r="S35" s="376">
        <f t="shared" si="11"/>
        <v>0</v>
      </c>
      <c r="T35" s="376">
        <f t="shared" si="12"/>
        <v>0</v>
      </c>
      <c r="U35" s="386">
        <f t="shared" si="13"/>
        <v>0</v>
      </c>
      <c r="V35" s="513" t="str">
        <f t="shared" si="14"/>
        <v/>
      </c>
      <c r="W35" s="254" t="str">
        <f>IF(ISBLANK(B35)," ",IF(B35=IFERROR(VLOOKUP(B35,'מצבת והרשמה (2)'!F:F,1,0),0),"תקין","לא קיים במצבת כבית ספר בו מתקיימת פעילות"))</f>
        <v xml:space="preserve"> </v>
      </c>
      <c r="X35" s="256" t="str">
        <f t="shared" si="1"/>
        <v/>
      </c>
      <c r="Y35" s="256" t="str">
        <f t="shared" si="2"/>
        <v/>
      </c>
      <c r="Z35" s="741">
        <f t="shared" si="3"/>
        <v>0</v>
      </c>
      <c r="AA35" s="741">
        <f t="shared" si="4"/>
        <v>0</v>
      </c>
      <c r="AB35" s="741">
        <f t="shared" si="5"/>
        <v>0</v>
      </c>
      <c r="AC35" s="987">
        <f t="shared" si="15"/>
        <v>0</v>
      </c>
      <c r="AD35" s="987">
        <f t="shared" si="16"/>
        <v>0</v>
      </c>
      <c r="AE35" s="368" t="str">
        <f>IFERROR(VLOOKUP(B35,'[1]סיכום בקרת רשויות'!$A:$D,4,0),"")</f>
        <v/>
      </c>
      <c r="AF35" s="57" t="str">
        <f t="shared" si="17"/>
        <v/>
      </c>
      <c r="AG35" s="180">
        <f>IF(AF35="כן",M35*'גנים ובתי ספר- מבנה תקציב'!$H$59,0)</f>
        <v>0</v>
      </c>
      <c r="AH35" s="180">
        <f>IF(AF35="כן",M35*'גנים ובתי ספר- מבנה תקציב'!$I$59,0)</f>
        <v>0</v>
      </c>
      <c r="AI35" s="180">
        <f t="shared" si="18"/>
        <v>0</v>
      </c>
      <c r="AJ35" s="368" t="str">
        <f t="shared" si="6"/>
        <v/>
      </c>
    </row>
    <row r="36" spans="1:36" x14ac:dyDescent="0.25">
      <c r="A36" s="57">
        <v>16</v>
      </c>
      <c r="B36" s="690"/>
      <c r="C36" s="690"/>
      <c r="D36" s="252">
        <f>(IFERROR(SUMIF('מצבת והרשמה (2)'!$F$21:$F$501,'דוח ביצוע (3)'!$B36,'מצבת והרשמה (2)'!$J$21:$J$501),0))</f>
        <v>0</v>
      </c>
      <c r="E36" s="252">
        <f>IFERROR(SUMIF('מצבת והרשמה (2)'!$F$21:$F$501,'דוח ביצוע (3)'!$B36,'מצבת והרשמה (2)'!$K$21:$K$501),0)</f>
        <v>0</v>
      </c>
      <c r="F36" s="253">
        <f t="shared" si="7"/>
        <v>0</v>
      </c>
      <c r="G36" s="680"/>
      <c r="H36" s="680"/>
      <c r="I36" s="253">
        <f t="shared" si="19"/>
        <v>0</v>
      </c>
      <c r="J36" s="453">
        <f t="shared" si="8"/>
        <v>0</v>
      </c>
      <c r="K36" s="689"/>
      <c r="L36" s="689"/>
      <c r="M36" s="969">
        <f t="shared" si="9"/>
        <v>0</v>
      </c>
      <c r="N36" s="1029" t="str">
        <f t="shared" si="10"/>
        <v/>
      </c>
      <c r="O36" s="969" t="str">
        <f>IFERROR(VLOOKUP(B36,'נתוני רישום ומצבת'!B:Q,16,0),"")</f>
        <v/>
      </c>
      <c r="P36" s="969" t="str">
        <f>IFERROR(VLOOKUP(B36,'נתוני רישום ומצבת'!B:R,17,0),"")</f>
        <v/>
      </c>
      <c r="Q36" s="690"/>
      <c r="R36" s="1009"/>
      <c r="S36" s="376">
        <f t="shared" si="11"/>
        <v>0</v>
      </c>
      <c r="T36" s="376">
        <f t="shared" si="12"/>
        <v>0</v>
      </c>
      <c r="U36" s="386">
        <f t="shared" si="13"/>
        <v>0</v>
      </c>
      <c r="V36" s="513" t="str">
        <f t="shared" si="14"/>
        <v/>
      </c>
      <c r="W36" s="254" t="str">
        <f>IF(ISBLANK(B36)," ",IF(B36=IFERROR(VLOOKUP(B36,'מצבת והרשמה (2)'!F:F,1,0),0),"תקין","לא קיים במצבת כבית ספר בו מתקיימת פעילות"))</f>
        <v xml:space="preserve"> </v>
      </c>
      <c r="X36" s="256" t="str">
        <f t="shared" si="1"/>
        <v/>
      </c>
      <c r="Y36" s="256" t="str">
        <f t="shared" si="2"/>
        <v/>
      </c>
      <c r="Z36" s="741">
        <f t="shared" si="3"/>
        <v>0</v>
      </c>
      <c r="AA36" s="741">
        <f t="shared" si="4"/>
        <v>0</v>
      </c>
      <c r="AB36" s="741">
        <f t="shared" si="5"/>
        <v>0</v>
      </c>
      <c r="AC36" s="987">
        <f t="shared" si="15"/>
        <v>0</v>
      </c>
      <c r="AD36" s="987">
        <f t="shared" si="16"/>
        <v>0</v>
      </c>
      <c r="AE36" s="368" t="str">
        <f>IFERROR(VLOOKUP(B36,'[1]סיכום בקרת רשויות'!$A:$D,4,0),"")</f>
        <v/>
      </c>
      <c r="AF36" s="57" t="str">
        <f t="shared" si="17"/>
        <v/>
      </c>
      <c r="AG36" s="180">
        <f>IF(AF36="כן",M36*'גנים ובתי ספר- מבנה תקציב'!$H$59,0)</f>
        <v>0</v>
      </c>
      <c r="AH36" s="180">
        <f>IF(AF36="כן",M36*'גנים ובתי ספר- מבנה תקציב'!$I$59,0)</f>
        <v>0</v>
      </c>
      <c r="AI36" s="180">
        <f t="shared" si="18"/>
        <v>0</v>
      </c>
      <c r="AJ36" s="368" t="str">
        <f t="shared" si="6"/>
        <v/>
      </c>
    </row>
    <row r="37" spans="1:36" x14ac:dyDescent="0.25">
      <c r="A37" s="57">
        <v>17</v>
      </c>
      <c r="B37" s="690"/>
      <c r="C37" s="690"/>
      <c r="D37" s="252">
        <f>(IFERROR(SUMIF('מצבת והרשמה (2)'!$F$21:$F$501,'דוח ביצוע (3)'!$B37,'מצבת והרשמה (2)'!$J$21:$J$501),0))</f>
        <v>0</v>
      </c>
      <c r="E37" s="252">
        <f>IFERROR(SUMIF('מצבת והרשמה (2)'!$F$21:$F$501,'דוח ביצוע (3)'!$B37,'מצבת והרשמה (2)'!$K$21:$K$501),0)</f>
        <v>0</v>
      </c>
      <c r="F37" s="253">
        <f t="shared" si="7"/>
        <v>0</v>
      </c>
      <c r="G37" s="680"/>
      <c r="H37" s="680"/>
      <c r="I37" s="253">
        <f t="shared" si="19"/>
        <v>0</v>
      </c>
      <c r="J37" s="453">
        <f t="shared" si="8"/>
        <v>0</v>
      </c>
      <c r="K37" s="689"/>
      <c r="L37" s="689"/>
      <c r="M37" s="969">
        <f t="shared" si="9"/>
        <v>0</v>
      </c>
      <c r="N37" s="1029" t="str">
        <f t="shared" si="10"/>
        <v/>
      </c>
      <c r="O37" s="969" t="str">
        <f>IFERROR(VLOOKUP(B37,'נתוני רישום ומצבת'!B:Q,16,0),"")</f>
        <v/>
      </c>
      <c r="P37" s="969" t="str">
        <f>IFERROR(VLOOKUP(B37,'נתוני רישום ומצבת'!B:R,17,0),"")</f>
        <v/>
      </c>
      <c r="Q37" s="690"/>
      <c r="R37" s="1009"/>
      <c r="S37" s="376">
        <f t="shared" si="11"/>
        <v>0</v>
      </c>
      <c r="T37" s="376">
        <f t="shared" si="12"/>
        <v>0</v>
      </c>
      <c r="U37" s="386">
        <f t="shared" si="13"/>
        <v>0</v>
      </c>
      <c r="V37" s="513" t="str">
        <f t="shared" si="14"/>
        <v/>
      </c>
      <c r="W37" s="254" t="str">
        <f>IF(ISBLANK(B37)," ",IF(B37=IFERROR(VLOOKUP(B37,'מצבת והרשמה (2)'!F:F,1,0),0),"תקין","לא קיים במצבת כבית ספר בו מתקיימת פעילות"))</f>
        <v xml:space="preserve"> </v>
      </c>
      <c r="X37" s="256" t="str">
        <f t="shared" si="1"/>
        <v/>
      </c>
      <c r="Y37" s="256" t="str">
        <f t="shared" si="2"/>
        <v/>
      </c>
      <c r="Z37" s="741">
        <f t="shared" si="3"/>
        <v>0</v>
      </c>
      <c r="AA37" s="741">
        <f t="shared" si="4"/>
        <v>0</v>
      </c>
      <c r="AB37" s="741">
        <f t="shared" si="5"/>
        <v>0</v>
      </c>
      <c r="AC37" s="987">
        <f t="shared" si="15"/>
        <v>0</v>
      </c>
      <c r="AD37" s="987">
        <f t="shared" si="16"/>
        <v>0</v>
      </c>
      <c r="AE37" s="368" t="str">
        <f>IFERROR(VLOOKUP(B37,'[1]סיכום בקרת רשויות'!$A:$D,4,0),"")</f>
        <v/>
      </c>
      <c r="AF37" s="57" t="str">
        <f t="shared" si="17"/>
        <v/>
      </c>
      <c r="AG37" s="180">
        <f>IF(AF37="כן",M37*'גנים ובתי ספר- מבנה תקציב'!$H$59,0)</f>
        <v>0</v>
      </c>
      <c r="AH37" s="180">
        <f>IF(AF37="כן",M37*'גנים ובתי ספר- מבנה תקציב'!$I$59,0)</f>
        <v>0</v>
      </c>
      <c r="AI37" s="180">
        <f t="shared" si="18"/>
        <v>0</v>
      </c>
      <c r="AJ37" s="368" t="str">
        <f t="shared" si="6"/>
        <v/>
      </c>
    </row>
    <row r="38" spans="1:36" x14ac:dyDescent="0.25">
      <c r="A38" s="57">
        <v>18</v>
      </c>
      <c r="B38" s="690"/>
      <c r="C38" s="690"/>
      <c r="D38" s="252">
        <f>(IFERROR(SUMIF('מצבת והרשמה (2)'!$F$21:$F$501,'דוח ביצוע (3)'!$B38,'מצבת והרשמה (2)'!$J$21:$J$501),0))</f>
        <v>0</v>
      </c>
      <c r="E38" s="252">
        <f>IFERROR(SUMIF('מצבת והרשמה (2)'!$F$21:$F$501,'דוח ביצוע (3)'!$B38,'מצבת והרשמה (2)'!$K$21:$K$501),0)</f>
        <v>0</v>
      </c>
      <c r="F38" s="253">
        <f t="shared" si="7"/>
        <v>0</v>
      </c>
      <c r="G38" s="680"/>
      <c r="H38" s="680"/>
      <c r="I38" s="253">
        <f t="shared" si="19"/>
        <v>0</v>
      </c>
      <c r="J38" s="453">
        <f t="shared" si="8"/>
        <v>0</v>
      </c>
      <c r="K38" s="689"/>
      <c r="L38" s="689"/>
      <c r="M38" s="969">
        <f t="shared" si="9"/>
        <v>0</v>
      </c>
      <c r="N38" s="1029" t="str">
        <f t="shared" si="10"/>
        <v/>
      </c>
      <c r="O38" s="969" t="str">
        <f>IFERROR(VLOOKUP(B38,'נתוני רישום ומצבת'!B:Q,16,0),"")</f>
        <v/>
      </c>
      <c r="P38" s="969" t="str">
        <f>IFERROR(VLOOKUP(B38,'נתוני רישום ומצבת'!B:R,17,0),"")</f>
        <v/>
      </c>
      <c r="Q38" s="690"/>
      <c r="R38" s="1009"/>
      <c r="S38" s="376">
        <f t="shared" si="11"/>
        <v>0</v>
      </c>
      <c r="T38" s="376">
        <f t="shared" si="12"/>
        <v>0</v>
      </c>
      <c r="U38" s="386">
        <f t="shared" si="13"/>
        <v>0</v>
      </c>
      <c r="V38" s="513" t="str">
        <f t="shared" si="14"/>
        <v/>
      </c>
      <c r="W38" s="254" t="str">
        <f>IF(ISBLANK(B38)," ",IF(B38=IFERROR(VLOOKUP(B38,'מצבת והרשמה (2)'!F:F,1,0),0),"תקין","לא קיים במצבת כבית ספר בו מתקיימת פעילות"))</f>
        <v xml:space="preserve"> </v>
      </c>
      <c r="X38" s="256" t="str">
        <f t="shared" si="1"/>
        <v/>
      </c>
      <c r="Y38" s="256" t="str">
        <f t="shared" si="2"/>
        <v/>
      </c>
      <c r="Z38" s="741">
        <f t="shared" si="3"/>
        <v>0</v>
      </c>
      <c r="AA38" s="741">
        <f t="shared" si="4"/>
        <v>0</v>
      </c>
      <c r="AB38" s="741">
        <f t="shared" si="5"/>
        <v>0</v>
      </c>
      <c r="AC38" s="987">
        <f t="shared" si="15"/>
        <v>0</v>
      </c>
      <c r="AD38" s="987">
        <f t="shared" si="16"/>
        <v>0</v>
      </c>
      <c r="AE38" s="368" t="str">
        <f>IFERROR(VLOOKUP(B38,'[1]סיכום בקרת רשויות'!$A:$D,4,0),"")</f>
        <v/>
      </c>
      <c r="AF38" s="57" t="str">
        <f t="shared" si="17"/>
        <v/>
      </c>
      <c r="AG38" s="180">
        <f>IF(AF38="כן",M38*'גנים ובתי ספר- מבנה תקציב'!$H$59,0)</f>
        <v>0</v>
      </c>
      <c r="AH38" s="180">
        <f>IF(AF38="כן",M38*'גנים ובתי ספר- מבנה תקציב'!$I$59,0)</f>
        <v>0</v>
      </c>
      <c r="AI38" s="180">
        <f t="shared" si="18"/>
        <v>0</v>
      </c>
      <c r="AJ38" s="368" t="str">
        <f t="shared" si="6"/>
        <v/>
      </c>
    </row>
    <row r="39" spans="1:36" x14ac:dyDescent="0.25">
      <c r="A39" s="57">
        <v>19</v>
      </c>
      <c r="B39" s="690"/>
      <c r="C39" s="690"/>
      <c r="D39" s="252">
        <f>(IFERROR(SUMIF('מצבת והרשמה (2)'!$F$21:$F$501,'דוח ביצוע (3)'!$B39,'מצבת והרשמה (2)'!$J$21:$J$501),0))</f>
        <v>0</v>
      </c>
      <c r="E39" s="252">
        <f>IFERROR(SUMIF('מצבת והרשמה (2)'!$F$21:$F$501,'דוח ביצוע (3)'!$B39,'מצבת והרשמה (2)'!$K$21:$K$501),0)</f>
        <v>0</v>
      </c>
      <c r="F39" s="253">
        <f t="shared" si="7"/>
        <v>0</v>
      </c>
      <c r="G39" s="680"/>
      <c r="H39" s="680"/>
      <c r="I39" s="253">
        <f t="shared" si="19"/>
        <v>0</v>
      </c>
      <c r="J39" s="453">
        <f t="shared" si="8"/>
        <v>0</v>
      </c>
      <c r="K39" s="689"/>
      <c r="L39" s="689"/>
      <c r="M39" s="969">
        <f t="shared" si="9"/>
        <v>0</v>
      </c>
      <c r="N39" s="1029" t="str">
        <f t="shared" si="10"/>
        <v/>
      </c>
      <c r="O39" s="969" t="str">
        <f>IFERROR(VLOOKUP(B39,'נתוני רישום ומצבת'!B:Q,16,0),"")</f>
        <v/>
      </c>
      <c r="P39" s="969" t="str">
        <f>IFERROR(VLOOKUP(B39,'נתוני רישום ומצבת'!B:R,17,0),"")</f>
        <v/>
      </c>
      <c r="Q39" s="690"/>
      <c r="R39" s="1009"/>
      <c r="S39" s="376">
        <f t="shared" si="11"/>
        <v>0</v>
      </c>
      <c r="T39" s="376">
        <f t="shared" si="12"/>
        <v>0</v>
      </c>
      <c r="U39" s="386">
        <f t="shared" si="13"/>
        <v>0</v>
      </c>
      <c r="V39" s="513" t="str">
        <f t="shared" si="14"/>
        <v/>
      </c>
      <c r="W39" s="254" t="str">
        <f>IF(ISBLANK(B39)," ",IF(B39=IFERROR(VLOOKUP(B39,'מצבת והרשמה (2)'!F:F,1,0),0),"תקין","לא קיים במצבת כבית ספר בו מתקיימת פעילות"))</f>
        <v xml:space="preserve"> </v>
      </c>
      <c r="X39" s="256" t="str">
        <f t="shared" si="1"/>
        <v/>
      </c>
      <c r="Y39" s="256" t="str">
        <f t="shared" si="2"/>
        <v/>
      </c>
      <c r="Z39" s="741">
        <f t="shared" si="3"/>
        <v>0</v>
      </c>
      <c r="AA39" s="741">
        <f t="shared" si="4"/>
        <v>0</v>
      </c>
      <c r="AB39" s="741">
        <f t="shared" si="5"/>
        <v>0</v>
      </c>
      <c r="AC39" s="987">
        <f t="shared" si="15"/>
        <v>0</v>
      </c>
      <c r="AD39" s="987">
        <f t="shared" si="16"/>
        <v>0</v>
      </c>
      <c r="AE39" s="368" t="str">
        <f>IFERROR(VLOOKUP(B39,'[1]סיכום בקרת רשויות'!$A:$D,4,0),"")</f>
        <v/>
      </c>
      <c r="AF39" s="57" t="str">
        <f t="shared" si="17"/>
        <v/>
      </c>
      <c r="AG39" s="180">
        <f>IF(AF39="כן",M39*'גנים ובתי ספר- מבנה תקציב'!$H$59,0)</f>
        <v>0</v>
      </c>
      <c r="AH39" s="180">
        <f>IF(AF39="כן",M39*'גנים ובתי ספר- מבנה תקציב'!$I$59,0)</f>
        <v>0</v>
      </c>
      <c r="AI39" s="180">
        <f t="shared" si="18"/>
        <v>0</v>
      </c>
      <c r="AJ39" s="368" t="str">
        <f t="shared" si="6"/>
        <v/>
      </c>
    </row>
    <row r="40" spans="1:36" x14ac:dyDescent="0.25">
      <c r="A40" s="57">
        <v>20</v>
      </c>
      <c r="B40" s="690"/>
      <c r="C40" s="690"/>
      <c r="D40" s="252">
        <f>(IFERROR(SUMIF('מצבת והרשמה (2)'!$F$21:$F$501,'דוח ביצוע (3)'!$B40,'מצבת והרשמה (2)'!$J$21:$J$501),0))</f>
        <v>0</v>
      </c>
      <c r="E40" s="252">
        <f>IFERROR(SUMIF('מצבת והרשמה (2)'!$F$21:$F$501,'דוח ביצוע (3)'!$B40,'מצבת והרשמה (2)'!$K$21:$K$501),0)</f>
        <v>0</v>
      </c>
      <c r="F40" s="253">
        <f t="shared" si="7"/>
        <v>0</v>
      </c>
      <c r="G40" s="680"/>
      <c r="H40" s="680"/>
      <c r="I40" s="253">
        <f t="shared" si="19"/>
        <v>0</v>
      </c>
      <c r="J40" s="453">
        <f t="shared" si="8"/>
        <v>0</v>
      </c>
      <c r="K40" s="689"/>
      <c r="L40" s="689"/>
      <c r="M40" s="969">
        <f t="shared" si="9"/>
        <v>0</v>
      </c>
      <c r="N40" s="1029" t="str">
        <f t="shared" si="10"/>
        <v/>
      </c>
      <c r="O40" s="969" t="str">
        <f>IFERROR(VLOOKUP(B40,'נתוני רישום ומצבת'!B:Q,16,0),"")</f>
        <v/>
      </c>
      <c r="P40" s="969" t="str">
        <f>IFERROR(VLOOKUP(B40,'נתוני רישום ומצבת'!B:R,17,0),"")</f>
        <v/>
      </c>
      <c r="Q40" s="690"/>
      <c r="R40" s="1009"/>
      <c r="S40" s="376">
        <f t="shared" si="11"/>
        <v>0</v>
      </c>
      <c r="T40" s="376">
        <f t="shared" si="12"/>
        <v>0</v>
      </c>
      <c r="U40" s="386">
        <f t="shared" si="13"/>
        <v>0</v>
      </c>
      <c r="V40" s="513" t="str">
        <f t="shared" si="14"/>
        <v/>
      </c>
      <c r="W40" s="254" t="str">
        <f>IF(ISBLANK(B40)," ",IF(B40=IFERROR(VLOOKUP(B40,'מצבת והרשמה (2)'!F:F,1,0),0),"תקין","לא קיים במצבת כבית ספר בו מתקיימת פעילות"))</f>
        <v xml:space="preserve"> </v>
      </c>
      <c r="X40" s="256" t="str">
        <f t="shared" si="1"/>
        <v/>
      </c>
      <c r="Y40" s="256" t="str">
        <f t="shared" si="2"/>
        <v/>
      </c>
      <c r="Z40" s="741">
        <f t="shared" si="3"/>
        <v>0</v>
      </c>
      <c r="AA40" s="741">
        <f t="shared" si="4"/>
        <v>0</v>
      </c>
      <c r="AB40" s="741">
        <f t="shared" si="5"/>
        <v>0</v>
      </c>
      <c r="AC40" s="987">
        <f t="shared" si="15"/>
        <v>0</v>
      </c>
      <c r="AD40" s="987">
        <f t="shared" si="16"/>
        <v>0</v>
      </c>
      <c r="AE40" s="368" t="str">
        <f>IFERROR(VLOOKUP(B40,'[1]סיכום בקרת רשויות'!$A:$D,4,0),"")</f>
        <v/>
      </c>
      <c r="AF40" s="57" t="str">
        <f t="shared" si="17"/>
        <v/>
      </c>
      <c r="AG40" s="180">
        <f>IF(AF40="כן",M40*'גנים ובתי ספר- מבנה תקציב'!$H$59,0)</f>
        <v>0</v>
      </c>
      <c r="AH40" s="180">
        <f>IF(AF40="כן",M40*'גנים ובתי ספר- מבנה תקציב'!$I$59,0)</f>
        <v>0</v>
      </c>
      <c r="AI40" s="180">
        <f t="shared" si="18"/>
        <v>0</v>
      </c>
      <c r="AJ40" s="368" t="str">
        <f t="shared" si="6"/>
        <v/>
      </c>
    </row>
    <row r="41" spans="1:36" x14ac:dyDescent="0.25">
      <c r="A41" s="57">
        <v>21</v>
      </c>
      <c r="B41" s="690"/>
      <c r="C41" s="690"/>
      <c r="D41" s="252">
        <f>(IFERROR(SUMIF('מצבת והרשמה (2)'!$F$21:$F$501,'דוח ביצוע (3)'!$B41,'מצבת והרשמה (2)'!$J$21:$J$501),0))</f>
        <v>0</v>
      </c>
      <c r="E41" s="252">
        <f>IFERROR(SUMIF('מצבת והרשמה (2)'!$F$21:$F$501,'דוח ביצוע (3)'!$B41,'מצבת והרשמה (2)'!$K$21:$K$501),0)</f>
        <v>0</v>
      </c>
      <c r="F41" s="253">
        <f t="shared" si="7"/>
        <v>0</v>
      </c>
      <c r="G41" s="680"/>
      <c r="H41" s="680"/>
      <c r="I41" s="253">
        <f t="shared" si="19"/>
        <v>0</v>
      </c>
      <c r="J41" s="453">
        <f t="shared" si="8"/>
        <v>0</v>
      </c>
      <c r="K41" s="689"/>
      <c r="L41" s="689"/>
      <c r="M41" s="969">
        <f t="shared" si="9"/>
        <v>0</v>
      </c>
      <c r="N41" s="1029" t="str">
        <f t="shared" si="10"/>
        <v/>
      </c>
      <c r="O41" s="969" t="str">
        <f>IFERROR(VLOOKUP(B41,'נתוני רישום ומצבת'!B:Q,16,0),"")</f>
        <v/>
      </c>
      <c r="P41" s="969" t="str">
        <f>IFERROR(VLOOKUP(B41,'נתוני רישום ומצבת'!B:R,17,0),"")</f>
        <v/>
      </c>
      <c r="Q41" s="690"/>
      <c r="R41" s="1009"/>
      <c r="S41" s="376">
        <f t="shared" si="11"/>
        <v>0</v>
      </c>
      <c r="T41" s="376">
        <f t="shared" si="12"/>
        <v>0</v>
      </c>
      <c r="U41" s="386">
        <f t="shared" si="13"/>
        <v>0</v>
      </c>
      <c r="V41" s="513" t="str">
        <f t="shared" si="14"/>
        <v/>
      </c>
      <c r="W41" s="254" t="str">
        <f>IF(ISBLANK(B41)," ",IF(B41=IFERROR(VLOOKUP(B41,'מצבת והרשמה (2)'!F:F,1,0),0),"תקין","לא קיים במצבת כבית ספר בו מתקיימת פעילות"))</f>
        <v xml:space="preserve"> </v>
      </c>
      <c r="X41" s="256" t="str">
        <f t="shared" si="1"/>
        <v/>
      </c>
      <c r="Y41" s="256" t="str">
        <f t="shared" si="2"/>
        <v/>
      </c>
      <c r="Z41" s="741">
        <f t="shared" si="3"/>
        <v>0</v>
      </c>
      <c r="AA41" s="741">
        <f t="shared" si="4"/>
        <v>0</v>
      </c>
      <c r="AB41" s="741">
        <f t="shared" si="5"/>
        <v>0</v>
      </c>
      <c r="AC41" s="987">
        <f t="shared" si="15"/>
        <v>0</v>
      </c>
      <c r="AD41" s="987">
        <f t="shared" si="16"/>
        <v>0</v>
      </c>
      <c r="AE41" s="368" t="str">
        <f>IFERROR(VLOOKUP(B41,'[1]סיכום בקרת רשויות'!$A:$D,4,0),"")</f>
        <v/>
      </c>
      <c r="AF41" s="57" t="str">
        <f t="shared" si="17"/>
        <v/>
      </c>
      <c r="AG41" s="180">
        <f>IF(AF41="כן",M41*'גנים ובתי ספר- מבנה תקציב'!$H$59,0)</f>
        <v>0</v>
      </c>
      <c r="AH41" s="180">
        <f>IF(AF41="כן",M41*'גנים ובתי ספר- מבנה תקציב'!$I$59,0)</f>
        <v>0</v>
      </c>
      <c r="AI41" s="180">
        <f t="shared" si="18"/>
        <v>0</v>
      </c>
      <c r="AJ41" s="368" t="str">
        <f t="shared" si="6"/>
        <v/>
      </c>
    </row>
    <row r="42" spans="1:36" x14ac:dyDescent="0.25">
      <c r="A42" s="57">
        <v>22</v>
      </c>
      <c r="B42" s="690"/>
      <c r="C42" s="690"/>
      <c r="D42" s="252">
        <f>(IFERROR(SUMIF('מצבת והרשמה (2)'!$F$21:$F$501,'דוח ביצוע (3)'!$B42,'מצבת והרשמה (2)'!$J$21:$J$501),0))</f>
        <v>0</v>
      </c>
      <c r="E42" s="252">
        <f>IFERROR(SUMIF('מצבת והרשמה (2)'!$F$21:$F$501,'דוח ביצוע (3)'!$B42,'מצבת והרשמה (2)'!$K$21:$K$501),0)</f>
        <v>0</v>
      </c>
      <c r="F42" s="253">
        <f t="shared" si="7"/>
        <v>0</v>
      </c>
      <c r="G42" s="680"/>
      <c r="H42" s="680"/>
      <c r="I42" s="253">
        <f t="shared" si="19"/>
        <v>0</v>
      </c>
      <c r="J42" s="453">
        <f t="shared" si="8"/>
        <v>0</v>
      </c>
      <c r="K42" s="689"/>
      <c r="L42" s="689"/>
      <c r="M42" s="969">
        <f t="shared" si="9"/>
        <v>0</v>
      </c>
      <c r="N42" s="1029" t="str">
        <f t="shared" si="10"/>
        <v/>
      </c>
      <c r="O42" s="969" t="str">
        <f>IFERROR(VLOOKUP(B42,'נתוני רישום ומצבת'!B:Q,16,0),"")</f>
        <v/>
      </c>
      <c r="P42" s="969" t="str">
        <f>IFERROR(VLOOKUP(B42,'נתוני רישום ומצבת'!B:R,17,0),"")</f>
        <v/>
      </c>
      <c r="Q42" s="690"/>
      <c r="R42" s="1009"/>
      <c r="S42" s="376">
        <f t="shared" si="11"/>
        <v>0</v>
      </c>
      <c r="T42" s="376">
        <f t="shared" si="12"/>
        <v>0</v>
      </c>
      <c r="U42" s="386">
        <f t="shared" si="13"/>
        <v>0</v>
      </c>
      <c r="V42" s="513" t="str">
        <f t="shared" si="14"/>
        <v/>
      </c>
      <c r="W42" s="254" t="str">
        <f>IF(ISBLANK(B42)," ",IF(B42=IFERROR(VLOOKUP(B42,'מצבת והרשמה (2)'!F:F,1,0),0),"תקין","לא קיים במצבת כבית ספר בו מתקיימת פעילות"))</f>
        <v xml:space="preserve"> </v>
      </c>
      <c r="X42" s="256" t="str">
        <f t="shared" si="1"/>
        <v/>
      </c>
      <c r="Y42" s="256" t="str">
        <f t="shared" si="2"/>
        <v/>
      </c>
      <c r="Z42" s="741">
        <f t="shared" si="3"/>
        <v>0</v>
      </c>
      <c r="AA42" s="741">
        <f t="shared" si="4"/>
        <v>0</v>
      </c>
      <c r="AB42" s="741">
        <f t="shared" si="5"/>
        <v>0</v>
      </c>
      <c r="AC42" s="987">
        <f t="shared" si="15"/>
        <v>0</v>
      </c>
      <c r="AD42" s="987">
        <f t="shared" si="16"/>
        <v>0</v>
      </c>
      <c r="AE42" s="368" t="str">
        <f>IFERROR(VLOOKUP(B42,'[1]סיכום בקרת רשויות'!$A:$D,4,0),"")</f>
        <v/>
      </c>
      <c r="AF42" s="57" t="str">
        <f t="shared" si="17"/>
        <v/>
      </c>
      <c r="AG42" s="180">
        <f>IF(AF42="כן",M42*'גנים ובתי ספר- מבנה תקציב'!$H$59,0)</f>
        <v>0</v>
      </c>
      <c r="AH42" s="180">
        <f>IF(AF42="כן",M42*'גנים ובתי ספר- מבנה תקציב'!$I$59,0)</f>
        <v>0</v>
      </c>
      <c r="AI42" s="180">
        <f t="shared" si="18"/>
        <v>0</v>
      </c>
      <c r="AJ42" s="368" t="str">
        <f t="shared" si="6"/>
        <v/>
      </c>
    </row>
    <row r="43" spans="1:36" x14ac:dyDescent="0.25">
      <c r="A43" s="57">
        <v>23</v>
      </c>
      <c r="B43" s="690"/>
      <c r="C43" s="690"/>
      <c r="D43" s="252">
        <f>(IFERROR(SUMIF('מצבת והרשמה (2)'!$F$21:$F$501,'דוח ביצוע (3)'!$B43,'מצבת והרשמה (2)'!$J$21:$J$501),0))</f>
        <v>0</v>
      </c>
      <c r="E43" s="252">
        <f>IFERROR(SUMIF('מצבת והרשמה (2)'!$F$21:$F$501,'דוח ביצוע (3)'!$B43,'מצבת והרשמה (2)'!$K$21:$K$501),0)</f>
        <v>0</v>
      </c>
      <c r="F43" s="253">
        <f t="shared" si="7"/>
        <v>0</v>
      </c>
      <c r="G43" s="680"/>
      <c r="H43" s="680"/>
      <c r="I43" s="253">
        <f t="shared" si="19"/>
        <v>0</v>
      </c>
      <c r="J43" s="453">
        <f t="shared" si="8"/>
        <v>0</v>
      </c>
      <c r="K43" s="689"/>
      <c r="L43" s="689"/>
      <c r="M43" s="969">
        <f t="shared" si="9"/>
        <v>0</v>
      </c>
      <c r="N43" s="1029" t="str">
        <f t="shared" si="10"/>
        <v/>
      </c>
      <c r="O43" s="969" t="str">
        <f>IFERROR(VLOOKUP(B43,'נתוני רישום ומצבת'!B:Q,16,0),"")</f>
        <v/>
      </c>
      <c r="P43" s="969" t="str">
        <f>IFERROR(VLOOKUP(B43,'נתוני רישום ומצבת'!B:R,17,0),"")</f>
        <v/>
      </c>
      <c r="Q43" s="690"/>
      <c r="R43" s="1009"/>
      <c r="S43" s="376">
        <f t="shared" si="11"/>
        <v>0</v>
      </c>
      <c r="T43" s="376">
        <f t="shared" si="12"/>
        <v>0</v>
      </c>
      <c r="U43" s="386">
        <f t="shared" si="13"/>
        <v>0</v>
      </c>
      <c r="V43" s="513" t="str">
        <f t="shared" si="14"/>
        <v/>
      </c>
      <c r="W43" s="254" t="str">
        <f>IF(ISBLANK(B43)," ",IF(B43=IFERROR(VLOOKUP(B43,'מצבת והרשמה (2)'!F:F,1,0),0),"תקין","לא קיים במצבת כבית ספר בו מתקיימת פעילות"))</f>
        <v xml:space="preserve"> </v>
      </c>
      <c r="X43" s="256" t="str">
        <f t="shared" si="1"/>
        <v/>
      </c>
      <c r="Y43" s="256" t="str">
        <f t="shared" si="2"/>
        <v/>
      </c>
      <c r="Z43" s="741">
        <f t="shared" si="3"/>
        <v>0</v>
      </c>
      <c r="AA43" s="741">
        <f t="shared" si="4"/>
        <v>0</v>
      </c>
      <c r="AB43" s="741">
        <f t="shared" si="5"/>
        <v>0</v>
      </c>
      <c r="AC43" s="987">
        <f t="shared" si="15"/>
        <v>0</v>
      </c>
      <c r="AD43" s="987">
        <f t="shared" si="16"/>
        <v>0</v>
      </c>
      <c r="AE43" s="368" t="str">
        <f>IFERROR(VLOOKUP(B43,'[1]סיכום בקרת רשויות'!$A:$D,4,0),"")</f>
        <v/>
      </c>
      <c r="AF43" s="57" t="str">
        <f t="shared" si="17"/>
        <v/>
      </c>
      <c r="AG43" s="180">
        <f>IF(AF43="כן",M43*'גנים ובתי ספר- מבנה תקציב'!$H$59,0)</f>
        <v>0</v>
      </c>
      <c r="AH43" s="180">
        <f>IF(AF43="כן",M43*'גנים ובתי ספר- מבנה תקציב'!$I$59,0)</f>
        <v>0</v>
      </c>
      <c r="AI43" s="180">
        <f t="shared" si="18"/>
        <v>0</v>
      </c>
      <c r="AJ43" s="368" t="str">
        <f t="shared" si="6"/>
        <v/>
      </c>
    </row>
    <row r="44" spans="1:36" x14ac:dyDescent="0.25">
      <c r="A44" s="57">
        <v>24</v>
      </c>
      <c r="B44" s="690"/>
      <c r="C44" s="690"/>
      <c r="D44" s="252">
        <f>(IFERROR(SUMIF('מצבת והרשמה (2)'!$F$21:$F$501,'דוח ביצוע (3)'!$B44,'מצבת והרשמה (2)'!$J$21:$J$501),0))</f>
        <v>0</v>
      </c>
      <c r="E44" s="252">
        <f>IFERROR(SUMIF('מצבת והרשמה (2)'!$F$21:$F$501,'דוח ביצוע (3)'!$B44,'מצבת והרשמה (2)'!$K$21:$K$501),0)</f>
        <v>0</v>
      </c>
      <c r="F44" s="253">
        <f t="shared" si="7"/>
        <v>0</v>
      </c>
      <c r="G44" s="680"/>
      <c r="H44" s="680"/>
      <c r="I44" s="253">
        <f t="shared" si="19"/>
        <v>0</v>
      </c>
      <c r="J44" s="453">
        <f t="shared" si="8"/>
        <v>0</v>
      </c>
      <c r="K44" s="689"/>
      <c r="L44" s="689"/>
      <c r="M44" s="969">
        <f t="shared" si="9"/>
        <v>0</v>
      </c>
      <c r="N44" s="1029" t="str">
        <f t="shared" si="10"/>
        <v/>
      </c>
      <c r="O44" s="969" t="str">
        <f>IFERROR(VLOOKUP(B44,'נתוני רישום ומצבת'!B:Q,16,0),"")</f>
        <v/>
      </c>
      <c r="P44" s="969" t="str">
        <f>IFERROR(VLOOKUP(B44,'נתוני רישום ומצבת'!B:R,17,0),"")</f>
        <v/>
      </c>
      <c r="Q44" s="690"/>
      <c r="R44" s="1009"/>
      <c r="S44" s="376">
        <f t="shared" si="11"/>
        <v>0</v>
      </c>
      <c r="T44" s="376">
        <f t="shared" si="12"/>
        <v>0</v>
      </c>
      <c r="U44" s="386">
        <f t="shared" si="13"/>
        <v>0</v>
      </c>
      <c r="V44" s="513" t="str">
        <f t="shared" si="14"/>
        <v/>
      </c>
      <c r="W44" s="254" t="str">
        <f>IF(ISBLANK(B44)," ",IF(B44=IFERROR(VLOOKUP(B44,'מצבת והרשמה (2)'!F:F,1,0),0),"תקין","לא קיים במצבת כבית ספר בו מתקיימת פעילות"))</f>
        <v xml:space="preserve"> </v>
      </c>
      <c r="X44" s="256" t="str">
        <f t="shared" si="1"/>
        <v/>
      </c>
      <c r="Y44" s="256" t="str">
        <f t="shared" si="2"/>
        <v/>
      </c>
      <c r="Z44" s="741">
        <f t="shared" si="3"/>
        <v>0</v>
      </c>
      <c r="AA44" s="741">
        <f t="shared" si="4"/>
        <v>0</v>
      </c>
      <c r="AB44" s="741">
        <f t="shared" si="5"/>
        <v>0</v>
      </c>
      <c r="AC44" s="987">
        <f t="shared" si="15"/>
        <v>0</v>
      </c>
      <c r="AD44" s="987">
        <f t="shared" si="16"/>
        <v>0</v>
      </c>
      <c r="AE44" s="368" t="str">
        <f>IFERROR(VLOOKUP(B44,'[1]סיכום בקרת רשויות'!$A:$D,4,0),"")</f>
        <v/>
      </c>
      <c r="AF44" s="57" t="str">
        <f t="shared" si="17"/>
        <v/>
      </c>
      <c r="AG44" s="180">
        <f>IF(AF44="כן",M44*'גנים ובתי ספר- מבנה תקציב'!$H$59,0)</f>
        <v>0</v>
      </c>
      <c r="AH44" s="180">
        <f>IF(AF44="כן",M44*'גנים ובתי ספר- מבנה תקציב'!$I$59,0)</f>
        <v>0</v>
      </c>
      <c r="AI44" s="180">
        <f t="shared" si="18"/>
        <v>0</v>
      </c>
      <c r="AJ44" s="368" t="str">
        <f t="shared" si="6"/>
        <v/>
      </c>
    </row>
    <row r="45" spans="1:36" x14ac:dyDescent="0.25">
      <c r="A45" s="57">
        <v>25</v>
      </c>
      <c r="B45" s="690"/>
      <c r="C45" s="690"/>
      <c r="D45" s="252">
        <f>(IFERROR(SUMIF('מצבת והרשמה (2)'!$F$21:$F$501,'דוח ביצוע (3)'!$B45,'מצבת והרשמה (2)'!$J$21:$J$501),0))</f>
        <v>0</v>
      </c>
      <c r="E45" s="252">
        <f>IFERROR(SUMIF('מצבת והרשמה (2)'!$F$21:$F$501,'דוח ביצוע (3)'!$B45,'מצבת והרשמה (2)'!$K$21:$K$501),0)</f>
        <v>0</v>
      </c>
      <c r="F45" s="253">
        <f t="shared" si="7"/>
        <v>0</v>
      </c>
      <c r="G45" s="680"/>
      <c r="H45" s="680"/>
      <c r="I45" s="253">
        <f t="shared" si="19"/>
        <v>0</v>
      </c>
      <c r="J45" s="453">
        <f t="shared" si="8"/>
        <v>0</v>
      </c>
      <c r="K45" s="689"/>
      <c r="L45" s="689"/>
      <c r="M45" s="969">
        <f t="shared" si="9"/>
        <v>0</v>
      </c>
      <c r="N45" s="1029" t="str">
        <f t="shared" si="10"/>
        <v/>
      </c>
      <c r="O45" s="969" t="str">
        <f>IFERROR(VLOOKUP(B45,'נתוני רישום ומצבת'!B:Q,16,0),"")</f>
        <v/>
      </c>
      <c r="P45" s="969" t="str">
        <f>IFERROR(VLOOKUP(B45,'נתוני רישום ומצבת'!B:R,17,0),"")</f>
        <v/>
      </c>
      <c r="Q45" s="690"/>
      <c r="R45" s="1009"/>
      <c r="S45" s="376">
        <f t="shared" si="11"/>
        <v>0</v>
      </c>
      <c r="T45" s="376">
        <f t="shared" si="12"/>
        <v>0</v>
      </c>
      <c r="U45" s="386">
        <f t="shared" si="13"/>
        <v>0</v>
      </c>
      <c r="V45" s="513" t="str">
        <f t="shared" si="14"/>
        <v/>
      </c>
      <c r="W45" s="254" t="str">
        <f>IF(ISBLANK(B45)," ",IF(B45=IFERROR(VLOOKUP(B45,'מצבת והרשמה (2)'!F:F,1,0),0),"תקין","לא קיים במצבת כבית ספר בו מתקיימת פעילות"))</f>
        <v xml:space="preserve"> </v>
      </c>
      <c r="X45" s="256" t="str">
        <f t="shared" si="1"/>
        <v/>
      </c>
      <c r="Y45" s="256" t="str">
        <f t="shared" si="2"/>
        <v/>
      </c>
      <c r="Z45" s="741">
        <f t="shared" si="3"/>
        <v>0</v>
      </c>
      <c r="AA45" s="741">
        <f t="shared" si="4"/>
        <v>0</v>
      </c>
      <c r="AB45" s="741">
        <f t="shared" si="5"/>
        <v>0</v>
      </c>
      <c r="AC45" s="987">
        <f t="shared" si="15"/>
        <v>0</v>
      </c>
      <c r="AD45" s="987">
        <f t="shared" si="16"/>
        <v>0</v>
      </c>
      <c r="AE45" s="368" t="str">
        <f>IFERROR(VLOOKUP(B45,'[1]סיכום בקרת רשויות'!$A:$D,4,0),"")</f>
        <v/>
      </c>
      <c r="AF45" s="57" t="str">
        <f t="shared" si="17"/>
        <v/>
      </c>
      <c r="AG45" s="180">
        <f>IF(AF45="כן",M45*'גנים ובתי ספר- מבנה תקציב'!$H$59,0)</f>
        <v>0</v>
      </c>
      <c r="AH45" s="180">
        <f>IF(AF45="כן",M45*'גנים ובתי ספר- מבנה תקציב'!$I$59,0)</f>
        <v>0</v>
      </c>
      <c r="AI45" s="180">
        <f t="shared" si="18"/>
        <v>0</v>
      </c>
      <c r="AJ45" s="368" t="str">
        <f t="shared" si="6"/>
        <v/>
      </c>
    </row>
    <row r="46" spans="1:36" x14ac:dyDescent="0.25">
      <c r="A46" s="57">
        <v>26</v>
      </c>
      <c r="B46" s="690"/>
      <c r="C46" s="690"/>
      <c r="D46" s="252">
        <f>(IFERROR(SUMIF('מצבת והרשמה (2)'!$F$21:$F$501,'דוח ביצוע (3)'!$B46,'מצבת והרשמה (2)'!$J$21:$J$501),0))</f>
        <v>0</v>
      </c>
      <c r="E46" s="252">
        <f>IFERROR(SUMIF('מצבת והרשמה (2)'!$F$21:$F$501,'דוח ביצוע (3)'!$B46,'מצבת והרשמה (2)'!$K$21:$K$501),0)</f>
        <v>0</v>
      </c>
      <c r="F46" s="253">
        <f t="shared" si="7"/>
        <v>0</v>
      </c>
      <c r="G46" s="680"/>
      <c r="H46" s="680"/>
      <c r="I46" s="253">
        <f t="shared" si="19"/>
        <v>0</v>
      </c>
      <c r="J46" s="453">
        <f t="shared" si="8"/>
        <v>0</v>
      </c>
      <c r="K46" s="689"/>
      <c r="L46" s="689"/>
      <c r="M46" s="969">
        <f t="shared" si="9"/>
        <v>0</v>
      </c>
      <c r="N46" s="1029" t="str">
        <f t="shared" si="10"/>
        <v/>
      </c>
      <c r="O46" s="969" t="str">
        <f>IFERROR(VLOOKUP(B46,'נתוני רישום ומצבת'!B:Q,16,0),"")</f>
        <v/>
      </c>
      <c r="P46" s="969" t="str">
        <f>IFERROR(VLOOKUP(B46,'נתוני רישום ומצבת'!B:R,17,0),"")</f>
        <v/>
      </c>
      <c r="Q46" s="690"/>
      <c r="R46" s="1009"/>
      <c r="S46" s="376">
        <f t="shared" si="11"/>
        <v>0</v>
      </c>
      <c r="T46" s="376">
        <f t="shared" si="12"/>
        <v>0</v>
      </c>
      <c r="U46" s="386">
        <f t="shared" si="13"/>
        <v>0</v>
      </c>
      <c r="V46" s="513" t="str">
        <f t="shared" si="14"/>
        <v/>
      </c>
      <c r="W46" s="254" t="str">
        <f>IF(ISBLANK(B46)," ",IF(B46=IFERROR(VLOOKUP(B46,'מצבת והרשמה (2)'!F:F,1,0),0),"תקין","לא קיים במצבת כבית ספר בו מתקיימת פעילות"))</f>
        <v xml:space="preserve"> </v>
      </c>
      <c r="X46" s="256" t="str">
        <f t="shared" si="1"/>
        <v/>
      </c>
      <c r="Y46" s="256" t="str">
        <f t="shared" si="2"/>
        <v/>
      </c>
      <c r="Z46" s="741">
        <f t="shared" si="3"/>
        <v>0</v>
      </c>
      <c r="AA46" s="741">
        <f t="shared" si="4"/>
        <v>0</v>
      </c>
      <c r="AB46" s="741">
        <f t="shared" si="5"/>
        <v>0</v>
      </c>
      <c r="AC46" s="987">
        <f t="shared" si="15"/>
        <v>0</v>
      </c>
      <c r="AD46" s="987">
        <f t="shared" si="16"/>
        <v>0</v>
      </c>
      <c r="AE46" s="368" t="str">
        <f>IFERROR(VLOOKUP(B46,'[1]סיכום בקרת רשויות'!$A:$D,4,0),"")</f>
        <v/>
      </c>
      <c r="AF46" s="57" t="str">
        <f t="shared" si="17"/>
        <v/>
      </c>
      <c r="AG46" s="180">
        <f>IF(AF46="כן",M46*'גנים ובתי ספר- מבנה תקציב'!$H$59,0)</f>
        <v>0</v>
      </c>
      <c r="AH46" s="180">
        <f>IF(AF46="כן",M46*'גנים ובתי ספר- מבנה תקציב'!$I$59,0)</f>
        <v>0</v>
      </c>
      <c r="AI46" s="180">
        <f t="shared" si="18"/>
        <v>0</v>
      </c>
      <c r="AJ46" s="368" t="str">
        <f t="shared" si="6"/>
        <v/>
      </c>
    </row>
    <row r="47" spans="1:36" x14ac:dyDescent="0.25">
      <c r="A47" s="57">
        <v>27</v>
      </c>
      <c r="B47" s="690"/>
      <c r="C47" s="690"/>
      <c r="D47" s="252">
        <f>(IFERROR(SUMIF('מצבת והרשמה (2)'!$F$21:$F$501,'דוח ביצוע (3)'!$B47,'מצבת והרשמה (2)'!$J$21:$J$501),0))</f>
        <v>0</v>
      </c>
      <c r="E47" s="252">
        <f>IFERROR(SUMIF('מצבת והרשמה (2)'!$F$21:$F$501,'דוח ביצוע (3)'!$B47,'מצבת והרשמה (2)'!$K$21:$K$501),0)</f>
        <v>0</v>
      </c>
      <c r="F47" s="253">
        <f t="shared" si="7"/>
        <v>0</v>
      </c>
      <c r="G47" s="680"/>
      <c r="H47" s="680"/>
      <c r="I47" s="253">
        <f t="shared" si="19"/>
        <v>0</v>
      </c>
      <c r="J47" s="453">
        <f t="shared" si="8"/>
        <v>0</v>
      </c>
      <c r="K47" s="689"/>
      <c r="L47" s="689"/>
      <c r="M47" s="969">
        <f t="shared" si="9"/>
        <v>0</v>
      </c>
      <c r="N47" s="1029" t="str">
        <f t="shared" si="10"/>
        <v/>
      </c>
      <c r="O47" s="969" t="str">
        <f>IFERROR(VLOOKUP(B47,'נתוני רישום ומצבת'!B:Q,16,0),"")</f>
        <v/>
      </c>
      <c r="P47" s="969" t="str">
        <f>IFERROR(VLOOKUP(B47,'נתוני רישום ומצבת'!B:R,17,0),"")</f>
        <v/>
      </c>
      <c r="Q47" s="690"/>
      <c r="R47" s="1009"/>
      <c r="S47" s="376">
        <f t="shared" si="11"/>
        <v>0</v>
      </c>
      <c r="T47" s="376">
        <f t="shared" si="12"/>
        <v>0</v>
      </c>
      <c r="U47" s="386">
        <f t="shared" si="13"/>
        <v>0</v>
      </c>
      <c r="V47" s="513" t="str">
        <f t="shared" si="14"/>
        <v/>
      </c>
      <c r="W47" s="254" t="str">
        <f>IF(ISBLANK(B47)," ",IF(B47=IFERROR(VLOOKUP(B47,'מצבת והרשמה (2)'!F:F,1,0),0),"תקין","לא קיים במצבת כבית ספר בו מתקיימת פעילות"))</f>
        <v xml:space="preserve"> </v>
      </c>
      <c r="X47" s="256" t="str">
        <f t="shared" si="1"/>
        <v/>
      </c>
      <c r="Y47" s="256" t="str">
        <f t="shared" si="2"/>
        <v/>
      </c>
      <c r="Z47" s="741">
        <f t="shared" si="3"/>
        <v>0</v>
      </c>
      <c r="AA47" s="741">
        <f t="shared" si="4"/>
        <v>0</v>
      </c>
      <c r="AB47" s="741">
        <f t="shared" si="5"/>
        <v>0</v>
      </c>
      <c r="AC47" s="987">
        <f t="shared" si="15"/>
        <v>0</v>
      </c>
      <c r="AD47" s="987">
        <f t="shared" si="16"/>
        <v>0</v>
      </c>
      <c r="AE47" s="368" t="str">
        <f>IFERROR(VLOOKUP(B47,'[1]סיכום בקרת רשויות'!$A:$D,4,0),"")</f>
        <v/>
      </c>
      <c r="AF47" s="57" t="str">
        <f t="shared" si="17"/>
        <v/>
      </c>
      <c r="AG47" s="180">
        <f>IF(AF47="כן",M47*'גנים ובתי ספר- מבנה תקציב'!$H$59,0)</f>
        <v>0</v>
      </c>
      <c r="AH47" s="180">
        <f>IF(AF47="כן",M47*'גנים ובתי ספר- מבנה תקציב'!$I$59,0)</f>
        <v>0</v>
      </c>
      <c r="AI47" s="180">
        <f t="shared" si="18"/>
        <v>0</v>
      </c>
      <c r="AJ47" s="368" t="str">
        <f t="shared" si="6"/>
        <v/>
      </c>
    </row>
    <row r="48" spans="1:36" x14ac:dyDescent="0.25">
      <c r="A48" s="57">
        <v>28</v>
      </c>
      <c r="B48" s="690"/>
      <c r="C48" s="690"/>
      <c r="D48" s="252">
        <f>(IFERROR(SUMIF('מצבת והרשמה (2)'!$F$21:$F$501,'דוח ביצוע (3)'!$B48,'מצבת והרשמה (2)'!$J$21:$J$501),0))</f>
        <v>0</v>
      </c>
      <c r="E48" s="252">
        <f>IFERROR(SUMIF('מצבת והרשמה (2)'!$F$21:$F$501,'דוח ביצוע (3)'!$B48,'מצבת והרשמה (2)'!$K$21:$K$501),0)</f>
        <v>0</v>
      </c>
      <c r="F48" s="253">
        <f t="shared" si="7"/>
        <v>0</v>
      </c>
      <c r="G48" s="680"/>
      <c r="H48" s="680"/>
      <c r="I48" s="253">
        <f t="shared" si="19"/>
        <v>0</v>
      </c>
      <c r="J48" s="453">
        <f t="shared" si="8"/>
        <v>0</v>
      </c>
      <c r="K48" s="689"/>
      <c r="L48" s="689"/>
      <c r="M48" s="969">
        <f t="shared" si="9"/>
        <v>0</v>
      </c>
      <c r="N48" s="1029" t="str">
        <f t="shared" si="10"/>
        <v/>
      </c>
      <c r="O48" s="969" t="str">
        <f>IFERROR(VLOOKUP(B48,'נתוני רישום ומצבת'!B:Q,16,0),"")</f>
        <v/>
      </c>
      <c r="P48" s="969" t="str">
        <f>IFERROR(VLOOKUP(B48,'נתוני רישום ומצבת'!B:R,17,0),"")</f>
        <v/>
      </c>
      <c r="Q48" s="690"/>
      <c r="R48" s="1009"/>
      <c r="S48" s="376">
        <f t="shared" si="11"/>
        <v>0</v>
      </c>
      <c r="T48" s="376">
        <f t="shared" si="12"/>
        <v>0</v>
      </c>
      <c r="U48" s="386">
        <f t="shared" si="13"/>
        <v>0</v>
      </c>
      <c r="V48" s="513" t="str">
        <f t="shared" si="14"/>
        <v/>
      </c>
      <c r="W48" s="254" t="str">
        <f>IF(ISBLANK(B48)," ",IF(B48=IFERROR(VLOOKUP(B48,'מצבת והרשמה (2)'!F:F,1,0),0),"תקין","לא קיים במצבת כבית ספר בו מתקיימת פעילות"))</f>
        <v xml:space="preserve"> </v>
      </c>
      <c r="X48" s="256" t="str">
        <f t="shared" si="1"/>
        <v/>
      </c>
      <c r="Y48" s="256" t="str">
        <f t="shared" si="2"/>
        <v/>
      </c>
      <c r="Z48" s="741">
        <f t="shared" si="3"/>
        <v>0</v>
      </c>
      <c r="AA48" s="741">
        <f t="shared" si="4"/>
        <v>0</v>
      </c>
      <c r="AB48" s="741">
        <f t="shared" si="5"/>
        <v>0</v>
      </c>
      <c r="AC48" s="987">
        <f t="shared" si="15"/>
        <v>0</v>
      </c>
      <c r="AD48" s="987">
        <f t="shared" si="16"/>
        <v>0</v>
      </c>
      <c r="AE48" s="368" t="str">
        <f>IFERROR(VLOOKUP(B48,'[1]סיכום בקרת רשויות'!$A:$D,4,0),"")</f>
        <v/>
      </c>
      <c r="AF48" s="57" t="str">
        <f t="shared" si="17"/>
        <v/>
      </c>
      <c r="AG48" s="180">
        <f>IF(AF48="כן",M48*'גנים ובתי ספר- מבנה תקציב'!$H$59,0)</f>
        <v>0</v>
      </c>
      <c r="AH48" s="180">
        <f>IF(AF48="כן",M48*'גנים ובתי ספר- מבנה תקציב'!$I$59,0)</f>
        <v>0</v>
      </c>
      <c r="AI48" s="180">
        <f t="shared" si="18"/>
        <v>0</v>
      </c>
      <c r="AJ48" s="368" t="str">
        <f t="shared" si="6"/>
        <v/>
      </c>
    </row>
    <row r="49" spans="1:36" x14ac:dyDescent="0.25">
      <c r="A49" s="57">
        <v>29</v>
      </c>
      <c r="B49" s="690"/>
      <c r="C49" s="690"/>
      <c r="D49" s="252">
        <f>(IFERROR(SUMIF('מצבת והרשמה (2)'!$F$21:$F$501,'דוח ביצוע (3)'!$B49,'מצבת והרשמה (2)'!$J$21:$J$501),0))</f>
        <v>0</v>
      </c>
      <c r="E49" s="252">
        <f>IFERROR(SUMIF('מצבת והרשמה (2)'!$F$21:$F$501,'דוח ביצוע (3)'!$B49,'מצבת והרשמה (2)'!$K$21:$K$501),0)</f>
        <v>0</v>
      </c>
      <c r="F49" s="253">
        <f t="shared" si="7"/>
        <v>0</v>
      </c>
      <c r="G49" s="680"/>
      <c r="H49" s="680"/>
      <c r="I49" s="253">
        <f t="shared" si="19"/>
        <v>0</v>
      </c>
      <c r="J49" s="453">
        <f t="shared" si="8"/>
        <v>0</v>
      </c>
      <c r="K49" s="689"/>
      <c r="L49" s="689"/>
      <c r="M49" s="969">
        <f t="shared" si="9"/>
        <v>0</v>
      </c>
      <c r="N49" s="1029" t="str">
        <f t="shared" si="10"/>
        <v/>
      </c>
      <c r="O49" s="969" t="str">
        <f>IFERROR(VLOOKUP(B49,'נתוני רישום ומצבת'!B:Q,16,0),"")</f>
        <v/>
      </c>
      <c r="P49" s="969" t="str">
        <f>IFERROR(VLOOKUP(B49,'נתוני רישום ומצבת'!B:R,17,0),"")</f>
        <v/>
      </c>
      <c r="Q49" s="690"/>
      <c r="R49" s="1009"/>
      <c r="S49" s="376">
        <f t="shared" si="11"/>
        <v>0</v>
      </c>
      <c r="T49" s="376">
        <f t="shared" si="12"/>
        <v>0</v>
      </c>
      <c r="U49" s="386">
        <f t="shared" si="13"/>
        <v>0</v>
      </c>
      <c r="V49" s="513" t="str">
        <f t="shared" si="14"/>
        <v/>
      </c>
      <c r="W49" s="254" t="str">
        <f>IF(ISBLANK(B49)," ",IF(B49=IFERROR(VLOOKUP(B49,'מצבת והרשמה (2)'!F:F,1,0),0),"תקין","לא קיים במצבת כבית ספר בו מתקיימת פעילות"))</f>
        <v xml:space="preserve"> </v>
      </c>
      <c r="X49" s="256" t="str">
        <f t="shared" si="1"/>
        <v/>
      </c>
      <c r="Y49" s="256" t="str">
        <f t="shared" si="2"/>
        <v/>
      </c>
      <c r="Z49" s="741">
        <f t="shared" si="3"/>
        <v>0</v>
      </c>
      <c r="AA49" s="741">
        <f t="shared" si="4"/>
        <v>0</v>
      </c>
      <c r="AB49" s="741">
        <f t="shared" si="5"/>
        <v>0</v>
      </c>
      <c r="AC49" s="987">
        <f t="shared" si="15"/>
        <v>0</v>
      </c>
      <c r="AD49" s="987">
        <f t="shared" si="16"/>
        <v>0</v>
      </c>
      <c r="AE49" s="368" t="str">
        <f>IFERROR(VLOOKUP(B49,'[1]סיכום בקרת רשויות'!$A:$D,4,0),"")</f>
        <v/>
      </c>
      <c r="AF49" s="57" t="str">
        <f t="shared" si="17"/>
        <v/>
      </c>
      <c r="AG49" s="180">
        <f>IF(AF49="כן",M49*'גנים ובתי ספר- מבנה תקציב'!$H$59,0)</f>
        <v>0</v>
      </c>
      <c r="AH49" s="180">
        <f>IF(AF49="כן",M49*'גנים ובתי ספר- מבנה תקציב'!$I$59,0)</f>
        <v>0</v>
      </c>
      <c r="AI49" s="180">
        <f t="shared" si="18"/>
        <v>0</v>
      </c>
      <c r="AJ49" s="368" t="str">
        <f t="shared" si="6"/>
        <v/>
      </c>
    </row>
    <row r="50" spans="1:36" x14ac:dyDescent="0.25">
      <c r="A50" s="57">
        <v>30</v>
      </c>
      <c r="B50" s="690"/>
      <c r="C50" s="690"/>
      <c r="D50" s="252">
        <f>(IFERROR(SUMIF('מצבת והרשמה (2)'!$F$21:$F$501,'דוח ביצוע (3)'!$B50,'מצבת והרשמה (2)'!$J$21:$J$501),0))</f>
        <v>0</v>
      </c>
      <c r="E50" s="252">
        <f>IFERROR(SUMIF('מצבת והרשמה (2)'!$F$21:$F$501,'דוח ביצוע (3)'!$B50,'מצבת והרשמה (2)'!$K$21:$K$501),0)</f>
        <v>0</v>
      </c>
      <c r="F50" s="253">
        <f t="shared" si="7"/>
        <v>0</v>
      </c>
      <c r="G50" s="680"/>
      <c r="H50" s="680"/>
      <c r="I50" s="253">
        <f t="shared" si="19"/>
        <v>0</v>
      </c>
      <c r="J50" s="453">
        <f t="shared" si="8"/>
        <v>0</v>
      </c>
      <c r="K50" s="689"/>
      <c r="L50" s="689"/>
      <c r="M50" s="969">
        <f t="shared" si="9"/>
        <v>0</v>
      </c>
      <c r="N50" s="1029" t="str">
        <f t="shared" si="10"/>
        <v/>
      </c>
      <c r="O50" s="969" t="str">
        <f>IFERROR(VLOOKUP(B50,'נתוני רישום ומצבת'!B:Q,16,0),"")</f>
        <v/>
      </c>
      <c r="P50" s="969" t="str">
        <f>IFERROR(VLOOKUP(B50,'נתוני רישום ומצבת'!B:R,17,0),"")</f>
        <v/>
      </c>
      <c r="Q50" s="690"/>
      <c r="R50" s="1009"/>
      <c r="S50" s="376">
        <f t="shared" si="11"/>
        <v>0</v>
      </c>
      <c r="T50" s="376">
        <f t="shared" si="12"/>
        <v>0</v>
      </c>
      <c r="U50" s="386">
        <f t="shared" si="13"/>
        <v>0</v>
      </c>
      <c r="V50" s="513" t="str">
        <f t="shared" si="14"/>
        <v/>
      </c>
      <c r="W50" s="254" t="str">
        <f>IF(ISBLANK(B50)," ",IF(B50=IFERROR(VLOOKUP(B50,'מצבת והרשמה (2)'!F:F,1,0),0),"תקין","לא קיים במצבת כבית ספר בו מתקיימת פעילות"))</f>
        <v xml:space="preserve"> </v>
      </c>
      <c r="X50" s="256" t="str">
        <f t="shared" si="1"/>
        <v/>
      </c>
      <c r="Y50" s="256" t="str">
        <f t="shared" si="2"/>
        <v/>
      </c>
      <c r="Z50" s="741">
        <f t="shared" si="3"/>
        <v>0</v>
      </c>
      <c r="AA50" s="741">
        <f t="shared" si="4"/>
        <v>0</v>
      </c>
      <c r="AB50" s="741">
        <f t="shared" si="5"/>
        <v>0</v>
      </c>
      <c r="AC50" s="987">
        <f t="shared" si="15"/>
        <v>0</v>
      </c>
      <c r="AD50" s="987">
        <f t="shared" si="16"/>
        <v>0</v>
      </c>
      <c r="AE50" s="368" t="str">
        <f>IFERROR(VLOOKUP(B50,'[1]סיכום בקרת רשויות'!$A:$D,4,0),"")</f>
        <v/>
      </c>
      <c r="AF50" s="57" t="str">
        <f t="shared" si="17"/>
        <v/>
      </c>
      <c r="AG50" s="180">
        <f>IF(AF50="כן",M50*'גנים ובתי ספר- מבנה תקציב'!$H$59,0)</f>
        <v>0</v>
      </c>
      <c r="AH50" s="180">
        <f>IF(AF50="כן",M50*'גנים ובתי ספר- מבנה תקציב'!$I$59,0)</f>
        <v>0</v>
      </c>
      <c r="AI50" s="180">
        <f t="shared" si="18"/>
        <v>0</v>
      </c>
      <c r="AJ50" s="368" t="str">
        <f t="shared" si="6"/>
        <v/>
      </c>
    </row>
    <row r="51" spans="1:36" x14ac:dyDescent="0.25">
      <c r="A51" s="57">
        <v>31</v>
      </c>
      <c r="B51" s="690"/>
      <c r="C51" s="690"/>
      <c r="D51" s="252">
        <f>(IFERROR(SUMIF('מצבת והרשמה (2)'!$F$21:$F$501,'דוח ביצוע (3)'!$B51,'מצבת והרשמה (2)'!$J$21:$J$501),0))</f>
        <v>0</v>
      </c>
      <c r="E51" s="252">
        <f>IFERROR(SUMIF('מצבת והרשמה (2)'!$F$21:$F$501,'דוח ביצוע (3)'!$B51,'מצבת והרשמה (2)'!$K$21:$K$501),0)</f>
        <v>0</v>
      </c>
      <c r="F51" s="253">
        <f t="shared" si="7"/>
        <v>0</v>
      </c>
      <c r="G51" s="680"/>
      <c r="H51" s="680"/>
      <c r="I51" s="253">
        <f t="shared" si="19"/>
        <v>0</v>
      </c>
      <c r="J51" s="453">
        <f t="shared" si="8"/>
        <v>0</v>
      </c>
      <c r="K51" s="689"/>
      <c r="L51" s="689"/>
      <c r="M51" s="969">
        <f t="shared" si="9"/>
        <v>0</v>
      </c>
      <c r="N51" s="1029" t="str">
        <f t="shared" si="10"/>
        <v/>
      </c>
      <c r="O51" s="969" t="str">
        <f>IFERROR(VLOOKUP(B51,'נתוני רישום ומצבת'!B:Q,16,0),"")</f>
        <v/>
      </c>
      <c r="P51" s="969" t="str">
        <f>IFERROR(VLOOKUP(B51,'נתוני רישום ומצבת'!B:R,17,0),"")</f>
        <v/>
      </c>
      <c r="Q51" s="690"/>
      <c r="R51" s="1009"/>
      <c r="S51" s="376">
        <f t="shared" si="11"/>
        <v>0</v>
      </c>
      <c r="T51" s="376">
        <f t="shared" si="12"/>
        <v>0</v>
      </c>
      <c r="U51" s="386">
        <f t="shared" si="13"/>
        <v>0</v>
      </c>
      <c r="V51" s="513" t="str">
        <f t="shared" si="14"/>
        <v/>
      </c>
      <c r="W51" s="254" t="str">
        <f>IF(ISBLANK(B51)," ",IF(B51=IFERROR(VLOOKUP(B51,'מצבת והרשמה (2)'!F:F,1,0),0),"תקין","לא קיים במצבת כבית ספר בו מתקיימת פעילות"))</f>
        <v xml:space="preserve"> </v>
      </c>
      <c r="X51" s="256" t="str">
        <f t="shared" si="1"/>
        <v/>
      </c>
      <c r="Y51" s="256" t="str">
        <f t="shared" si="2"/>
        <v/>
      </c>
      <c r="Z51" s="741">
        <f t="shared" si="3"/>
        <v>0</v>
      </c>
      <c r="AA51" s="741">
        <f t="shared" si="4"/>
        <v>0</v>
      </c>
      <c r="AB51" s="741">
        <f t="shared" si="5"/>
        <v>0</v>
      </c>
      <c r="AC51" s="987">
        <f t="shared" si="15"/>
        <v>0</v>
      </c>
      <c r="AD51" s="987">
        <f t="shared" si="16"/>
        <v>0</v>
      </c>
      <c r="AE51" s="368" t="str">
        <f>IFERROR(VLOOKUP(B51,'[1]סיכום בקרת רשויות'!$A:$D,4,0),"")</f>
        <v/>
      </c>
      <c r="AF51" s="57" t="str">
        <f t="shared" si="17"/>
        <v/>
      </c>
      <c r="AG51" s="180">
        <f>IF(AF51="כן",M51*'גנים ובתי ספר- מבנה תקציב'!$H$59,0)</f>
        <v>0</v>
      </c>
      <c r="AH51" s="180">
        <f>IF(AF51="כן",M51*'גנים ובתי ספר- מבנה תקציב'!$I$59,0)</f>
        <v>0</v>
      </c>
      <c r="AI51" s="180">
        <f t="shared" si="18"/>
        <v>0</v>
      </c>
      <c r="AJ51" s="368" t="str">
        <f t="shared" si="6"/>
        <v/>
      </c>
    </row>
    <row r="52" spans="1:36" x14ac:dyDescent="0.25">
      <c r="A52" s="57">
        <v>32</v>
      </c>
      <c r="B52" s="690"/>
      <c r="C52" s="690"/>
      <c r="D52" s="252">
        <f>(IFERROR(SUMIF('מצבת והרשמה (2)'!$F$21:$F$501,'דוח ביצוע (3)'!$B52,'מצבת והרשמה (2)'!$J$21:$J$501),0))</f>
        <v>0</v>
      </c>
      <c r="E52" s="252">
        <f>IFERROR(SUMIF('מצבת והרשמה (2)'!$F$21:$F$501,'דוח ביצוע (3)'!$B52,'מצבת והרשמה (2)'!$K$21:$K$501),0)</f>
        <v>0</v>
      </c>
      <c r="F52" s="253">
        <f t="shared" si="7"/>
        <v>0</v>
      </c>
      <c r="G52" s="680"/>
      <c r="H52" s="680"/>
      <c r="I52" s="253">
        <f t="shared" si="19"/>
        <v>0</v>
      </c>
      <c r="J52" s="453">
        <f t="shared" si="8"/>
        <v>0</v>
      </c>
      <c r="K52" s="689"/>
      <c r="L52" s="689"/>
      <c r="M52" s="969">
        <f t="shared" si="9"/>
        <v>0</v>
      </c>
      <c r="N52" s="1029" t="str">
        <f t="shared" si="10"/>
        <v/>
      </c>
      <c r="O52" s="969" t="str">
        <f>IFERROR(VLOOKUP(B52,'נתוני רישום ומצבת'!B:Q,16,0),"")</f>
        <v/>
      </c>
      <c r="P52" s="969" t="str">
        <f>IFERROR(VLOOKUP(B52,'נתוני רישום ומצבת'!B:R,17,0),"")</f>
        <v/>
      </c>
      <c r="Q52" s="690"/>
      <c r="R52" s="1009"/>
      <c r="S52" s="376">
        <f t="shared" si="11"/>
        <v>0</v>
      </c>
      <c r="T52" s="376">
        <f t="shared" si="12"/>
        <v>0</v>
      </c>
      <c r="U52" s="386">
        <f t="shared" si="13"/>
        <v>0</v>
      </c>
      <c r="V52" s="513" t="str">
        <f t="shared" si="14"/>
        <v/>
      </c>
      <c r="W52" s="254" t="str">
        <f>IF(ISBLANK(B52)," ",IF(B52=IFERROR(VLOOKUP(B52,'מצבת והרשמה (2)'!F:F,1,0),0),"תקין","לא קיים במצבת כבית ספר בו מתקיימת פעילות"))</f>
        <v xml:space="preserve"> </v>
      </c>
      <c r="X52" s="256" t="str">
        <f t="shared" si="1"/>
        <v/>
      </c>
      <c r="Y52" s="256" t="str">
        <f t="shared" si="2"/>
        <v/>
      </c>
      <c r="Z52" s="741">
        <f t="shared" si="3"/>
        <v>0</v>
      </c>
      <c r="AA52" s="741">
        <f t="shared" si="4"/>
        <v>0</v>
      </c>
      <c r="AB52" s="741">
        <f t="shared" si="5"/>
        <v>0</v>
      </c>
      <c r="AC52" s="987">
        <f t="shared" si="15"/>
        <v>0</v>
      </c>
      <c r="AD52" s="987">
        <f t="shared" si="16"/>
        <v>0</v>
      </c>
      <c r="AE52" s="368" t="str">
        <f>IFERROR(VLOOKUP(B52,'[1]סיכום בקרת רשויות'!$A:$D,4,0),"")</f>
        <v/>
      </c>
      <c r="AF52" s="57" t="str">
        <f t="shared" si="17"/>
        <v/>
      </c>
      <c r="AG52" s="180">
        <f>IF(AF52="כן",M52*'גנים ובתי ספר- מבנה תקציב'!$H$59,0)</f>
        <v>0</v>
      </c>
      <c r="AH52" s="180">
        <f>IF(AF52="כן",M52*'גנים ובתי ספר- מבנה תקציב'!$I$59,0)</f>
        <v>0</v>
      </c>
      <c r="AI52" s="180">
        <f t="shared" si="18"/>
        <v>0</v>
      </c>
      <c r="AJ52" s="368" t="str">
        <f t="shared" si="6"/>
        <v/>
      </c>
    </row>
    <row r="53" spans="1:36" x14ac:dyDescent="0.25">
      <c r="A53" s="57">
        <v>33</v>
      </c>
      <c r="B53" s="690"/>
      <c r="C53" s="690"/>
      <c r="D53" s="252">
        <f>(IFERROR(SUMIF('מצבת והרשמה (2)'!$F$21:$F$501,'דוח ביצוע (3)'!$B53,'מצבת והרשמה (2)'!$J$21:$J$501),0))</f>
        <v>0</v>
      </c>
      <c r="E53" s="252">
        <f>IFERROR(SUMIF('מצבת והרשמה (2)'!$F$21:$F$501,'דוח ביצוע (3)'!$B53,'מצבת והרשמה (2)'!$K$21:$K$501),0)</f>
        <v>0</v>
      </c>
      <c r="F53" s="253">
        <f t="shared" si="7"/>
        <v>0</v>
      </c>
      <c r="G53" s="680"/>
      <c r="H53" s="680"/>
      <c r="I53" s="253">
        <f t="shared" ref="I53:I70" si="20">H53+G53</f>
        <v>0</v>
      </c>
      <c r="J53" s="453">
        <f t="shared" si="8"/>
        <v>0</v>
      </c>
      <c r="K53" s="689"/>
      <c r="L53" s="689"/>
      <c r="M53" s="969">
        <f t="shared" si="9"/>
        <v>0</v>
      </c>
      <c r="N53" s="1029" t="str">
        <f t="shared" si="10"/>
        <v/>
      </c>
      <c r="O53" s="969" t="str">
        <f>IFERROR(VLOOKUP(B53,'נתוני רישום ומצבת'!B:Q,16,0),"")</f>
        <v/>
      </c>
      <c r="P53" s="969" t="str">
        <f>IFERROR(VLOOKUP(B53,'נתוני רישום ומצבת'!B:R,17,0),"")</f>
        <v/>
      </c>
      <c r="Q53" s="690"/>
      <c r="R53" s="1009"/>
      <c r="S53" s="376">
        <f t="shared" si="11"/>
        <v>0</v>
      </c>
      <c r="T53" s="376">
        <f t="shared" si="12"/>
        <v>0</v>
      </c>
      <c r="U53" s="386">
        <f t="shared" si="13"/>
        <v>0</v>
      </c>
      <c r="V53" s="513" t="str">
        <f t="shared" si="14"/>
        <v/>
      </c>
      <c r="W53" s="254" t="str">
        <f>IF(ISBLANK(B53)," ",IF(B53=IFERROR(VLOOKUP(B53,'מצבת והרשמה (2)'!F:F,1,0),0),"תקין","לא קיים במצבת כבית ספר בו מתקיימת פעילות"))</f>
        <v xml:space="preserve"> </v>
      </c>
      <c r="X53" s="256" t="str">
        <f t="shared" si="1"/>
        <v/>
      </c>
      <c r="Y53" s="256" t="str">
        <f t="shared" si="2"/>
        <v/>
      </c>
      <c r="Z53" s="741">
        <f t="shared" si="3"/>
        <v>0</v>
      </c>
      <c r="AA53" s="741">
        <f t="shared" si="4"/>
        <v>0</v>
      </c>
      <c r="AB53" s="741">
        <f t="shared" si="5"/>
        <v>0</v>
      </c>
      <c r="AC53" s="987">
        <f t="shared" si="15"/>
        <v>0</v>
      </c>
      <c r="AD53" s="987">
        <f t="shared" si="16"/>
        <v>0</v>
      </c>
      <c r="AE53" s="368" t="str">
        <f>IFERROR(VLOOKUP(B53,'[1]סיכום בקרת רשויות'!$A:$D,4,0),"")</f>
        <v/>
      </c>
      <c r="AF53" s="57" t="str">
        <f t="shared" si="17"/>
        <v/>
      </c>
      <c r="AG53" s="180">
        <f>IF(AF53="כן",M53*'גנים ובתי ספר- מבנה תקציב'!$H$59,0)</f>
        <v>0</v>
      </c>
      <c r="AH53" s="180">
        <f>IF(AF53="כן",M53*'גנים ובתי ספר- מבנה תקציב'!$I$59,0)</f>
        <v>0</v>
      </c>
      <c r="AI53" s="180">
        <f t="shared" si="18"/>
        <v>0</v>
      </c>
      <c r="AJ53" s="368" t="str">
        <f t="shared" si="6"/>
        <v/>
      </c>
    </row>
    <row r="54" spans="1:36" x14ac:dyDescent="0.25">
      <c r="A54" s="57">
        <v>34</v>
      </c>
      <c r="B54" s="690"/>
      <c r="C54" s="690"/>
      <c r="D54" s="252">
        <f>(IFERROR(SUMIF('מצבת והרשמה (2)'!$F$21:$F$501,'דוח ביצוע (3)'!$B54,'מצבת והרשמה (2)'!$J$21:$J$501),0))</f>
        <v>0</v>
      </c>
      <c r="E54" s="252">
        <f>IFERROR(SUMIF('מצבת והרשמה (2)'!$F$21:$F$501,'דוח ביצוע (3)'!$B54,'מצבת והרשמה (2)'!$K$21:$K$501),0)</f>
        <v>0</v>
      </c>
      <c r="F54" s="253">
        <f t="shared" si="7"/>
        <v>0</v>
      </c>
      <c r="G54" s="680"/>
      <c r="H54" s="680"/>
      <c r="I54" s="253">
        <f t="shared" si="20"/>
        <v>0</v>
      </c>
      <c r="J54" s="453">
        <f t="shared" si="8"/>
        <v>0</v>
      </c>
      <c r="K54" s="689"/>
      <c r="L54" s="689"/>
      <c r="M54" s="969">
        <f t="shared" si="9"/>
        <v>0</v>
      </c>
      <c r="N54" s="1029" t="str">
        <f t="shared" si="10"/>
        <v/>
      </c>
      <c r="O54" s="969" t="str">
        <f>IFERROR(VLOOKUP(B54,'נתוני רישום ומצבת'!B:Q,16,0),"")</f>
        <v/>
      </c>
      <c r="P54" s="969" t="str">
        <f>IFERROR(VLOOKUP(B54,'נתוני רישום ומצבת'!B:R,17,0),"")</f>
        <v/>
      </c>
      <c r="Q54" s="690"/>
      <c r="R54" s="1009"/>
      <c r="S54" s="376">
        <f t="shared" si="11"/>
        <v>0</v>
      </c>
      <c r="T54" s="376">
        <f t="shared" si="12"/>
        <v>0</v>
      </c>
      <c r="U54" s="386">
        <f t="shared" si="13"/>
        <v>0</v>
      </c>
      <c r="V54" s="513" t="str">
        <f t="shared" si="14"/>
        <v/>
      </c>
      <c r="W54" s="254" t="str">
        <f>IF(ISBLANK(B54)," ",IF(B54=IFERROR(VLOOKUP(B54,'מצבת והרשמה (2)'!F:F,1,0),0),"תקין","לא קיים במצבת כבית ספר בו מתקיימת פעילות"))</f>
        <v xml:space="preserve"> </v>
      </c>
      <c r="X54" s="256" t="str">
        <f t="shared" si="1"/>
        <v/>
      </c>
      <c r="Y54" s="256" t="str">
        <f t="shared" si="2"/>
        <v/>
      </c>
      <c r="Z54" s="741">
        <f t="shared" si="3"/>
        <v>0</v>
      </c>
      <c r="AA54" s="741">
        <f t="shared" si="4"/>
        <v>0</v>
      </c>
      <c r="AB54" s="741">
        <f t="shared" si="5"/>
        <v>0</v>
      </c>
      <c r="AC54" s="987">
        <f t="shared" si="15"/>
        <v>0</v>
      </c>
      <c r="AD54" s="987">
        <f t="shared" si="16"/>
        <v>0</v>
      </c>
      <c r="AE54" s="368" t="str">
        <f>IFERROR(VLOOKUP(B54,'[1]סיכום בקרת רשויות'!$A:$D,4,0),"")</f>
        <v/>
      </c>
      <c r="AF54" s="57" t="str">
        <f t="shared" si="17"/>
        <v/>
      </c>
      <c r="AG54" s="180">
        <f>IF(AF54="כן",M54*'גנים ובתי ספר- מבנה תקציב'!$H$59,0)</f>
        <v>0</v>
      </c>
      <c r="AH54" s="180">
        <f>IF(AF54="כן",M54*'גנים ובתי ספר- מבנה תקציב'!$I$59,0)</f>
        <v>0</v>
      </c>
      <c r="AI54" s="180">
        <f t="shared" si="18"/>
        <v>0</v>
      </c>
      <c r="AJ54" s="368" t="str">
        <f t="shared" si="6"/>
        <v/>
      </c>
    </row>
    <row r="55" spans="1:36" x14ac:dyDescent="0.25">
      <c r="A55" s="57">
        <v>35</v>
      </c>
      <c r="B55" s="690"/>
      <c r="C55" s="690"/>
      <c r="D55" s="252">
        <f>(IFERROR(SUMIF('מצבת והרשמה (2)'!$F$21:$F$501,'דוח ביצוע (3)'!$B55,'מצבת והרשמה (2)'!$J$21:$J$501),0))</f>
        <v>0</v>
      </c>
      <c r="E55" s="252">
        <f>IFERROR(SUMIF('מצבת והרשמה (2)'!$F$21:$F$501,'דוח ביצוע (3)'!$B55,'מצבת והרשמה (2)'!$K$21:$K$501),0)</f>
        <v>0</v>
      </c>
      <c r="F55" s="253">
        <f t="shared" si="7"/>
        <v>0</v>
      </c>
      <c r="G55" s="680"/>
      <c r="H55" s="680"/>
      <c r="I55" s="253">
        <f t="shared" si="20"/>
        <v>0</v>
      </c>
      <c r="J55" s="453">
        <f t="shared" si="8"/>
        <v>0</v>
      </c>
      <c r="K55" s="689"/>
      <c r="L55" s="689"/>
      <c r="M55" s="969">
        <f t="shared" si="9"/>
        <v>0</v>
      </c>
      <c r="N55" s="1029" t="str">
        <f t="shared" si="10"/>
        <v/>
      </c>
      <c r="O55" s="969" t="str">
        <f>IFERROR(VLOOKUP(B55,'נתוני רישום ומצבת'!B:Q,16,0),"")</f>
        <v/>
      </c>
      <c r="P55" s="969" t="str">
        <f>IFERROR(VLOOKUP(B55,'נתוני רישום ומצבת'!B:R,17,0),"")</f>
        <v/>
      </c>
      <c r="Q55" s="690"/>
      <c r="R55" s="1009"/>
      <c r="S55" s="376">
        <f t="shared" si="11"/>
        <v>0</v>
      </c>
      <c r="T55" s="376">
        <f t="shared" si="12"/>
        <v>0</v>
      </c>
      <c r="U55" s="386">
        <f t="shared" si="13"/>
        <v>0</v>
      </c>
      <c r="V55" s="513" t="str">
        <f t="shared" si="14"/>
        <v/>
      </c>
      <c r="W55" s="254" t="str">
        <f>IF(ISBLANK(B55)," ",IF(B55=IFERROR(VLOOKUP(B55,'מצבת והרשמה (2)'!F:F,1,0),0),"תקין","לא קיים במצבת כבית ספר בו מתקיימת פעילות"))</f>
        <v xml:space="preserve"> </v>
      </c>
      <c r="X55" s="256" t="str">
        <f t="shared" si="1"/>
        <v/>
      </c>
      <c r="Y55" s="256" t="str">
        <f t="shared" si="2"/>
        <v/>
      </c>
      <c r="Z55" s="741">
        <f t="shared" si="3"/>
        <v>0</v>
      </c>
      <c r="AA55" s="741">
        <f t="shared" si="4"/>
        <v>0</v>
      </c>
      <c r="AB55" s="741">
        <f t="shared" si="5"/>
        <v>0</v>
      </c>
      <c r="AC55" s="987">
        <f t="shared" si="15"/>
        <v>0</v>
      </c>
      <c r="AD55" s="987">
        <f t="shared" si="16"/>
        <v>0</v>
      </c>
      <c r="AE55" s="368" t="str">
        <f>IFERROR(VLOOKUP(B55,'[1]סיכום בקרת רשויות'!$A:$D,4,0),"")</f>
        <v/>
      </c>
      <c r="AF55" s="57" t="str">
        <f t="shared" si="17"/>
        <v/>
      </c>
      <c r="AG55" s="180">
        <f>IF(AF55="כן",M55*'גנים ובתי ספר- מבנה תקציב'!$H$59,0)</f>
        <v>0</v>
      </c>
      <c r="AH55" s="180">
        <f>IF(AF55="כן",M55*'גנים ובתי ספר- מבנה תקציב'!$I$59,0)</f>
        <v>0</v>
      </c>
      <c r="AI55" s="180">
        <f t="shared" si="18"/>
        <v>0</v>
      </c>
      <c r="AJ55" s="368" t="str">
        <f t="shared" si="6"/>
        <v/>
      </c>
    </row>
    <row r="56" spans="1:36" x14ac:dyDescent="0.25">
      <c r="A56" s="57">
        <v>36</v>
      </c>
      <c r="B56" s="690"/>
      <c r="C56" s="690"/>
      <c r="D56" s="252">
        <f>(IFERROR(SUMIF('מצבת והרשמה (2)'!$F$21:$F$501,'דוח ביצוע (3)'!$B56,'מצבת והרשמה (2)'!$J$21:$J$501),0))</f>
        <v>0</v>
      </c>
      <c r="E56" s="252">
        <f>IFERROR(SUMIF('מצבת והרשמה (2)'!$F$21:$F$501,'דוח ביצוע (3)'!$B56,'מצבת והרשמה (2)'!$K$21:$K$501),0)</f>
        <v>0</v>
      </c>
      <c r="F56" s="253">
        <f t="shared" si="7"/>
        <v>0</v>
      </c>
      <c r="G56" s="680"/>
      <c r="H56" s="680"/>
      <c r="I56" s="253">
        <f t="shared" si="20"/>
        <v>0</v>
      </c>
      <c r="J56" s="453">
        <f t="shared" si="8"/>
        <v>0</v>
      </c>
      <c r="K56" s="689"/>
      <c r="L56" s="689"/>
      <c r="M56" s="969">
        <f t="shared" si="9"/>
        <v>0</v>
      </c>
      <c r="N56" s="1029" t="str">
        <f t="shared" si="10"/>
        <v/>
      </c>
      <c r="O56" s="969" t="str">
        <f>IFERROR(VLOOKUP(B56,'נתוני רישום ומצבת'!B:Q,16,0),"")</f>
        <v/>
      </c>
      <c r="P56" s="969" t="str">
        <f>IFERROR(VLOOKUP(B56,'נתוני רישום ומצבת'!B:R,17,0),"")</f>
        <v/>
      </c>
      <c r="Q56" s="690"/>
      <c r="R56" s="1009"/>
      <c r="S56" s="376">
        <f t="shared" si="11"/>
        <v>0</v>
      </c>
      <c r="T56" s="376">
        <f t="shared" si="12"/>
        <v>0</v>
      </c>
      <c r="U56" s="386">
        <f t="shared" si="13"/>
        <v>0</v>
      </c>
      <c r="V56" s="513" t="str">
        <f t="shared" si="14"/>
        <v/>
      </c>
      <c r="W56" s="254" t="str">
        <f>IF(ISBLANK(B56)," ",IF(B56=IFERROR(VLOOKUP(B56,'מצבת והרשמה (2)'!F:F,1,0),0),"תקין","לא קיים במצבת כבית ספר בו מתקיימת פעילות"))</f>
        <v xml:space="preserve"> </v>
      </c>
      <c r="X56" s="256" t="str">
        <f t="shared" si="1"/>
        <v/>
      </c>
      <c r="Y56" s="256" t="str">
        <f t="shared" si="2"/>
        <v/>
      </c>
      <c r="Z56" s="741">
        <f t="shared" si="3"/>
        <v>0</v>
      </c>
      <c r="AA56" s="741">
        <f t="shared" si="4"/>
        <v>0</v>
      </c>
      <c r="AB56" s="741">
        <f t="shared" si="5"/>
        <v>0</v>
      </c>
      <c r="AC56" s="987">
        <f t="shared" si="15"/>
        <v>0</v>
      </c>
      <c r="AD56" s="987">
        <f t="shared" si="16"/>
        <v>0</v>
      </c>
      <c r="AE56" s="368" t="str">
        <f>IFERROR(VLOOKUP(B56,'[1]סיכום בקרת רשויות'!$A:$D,4,0),"")</f>
        <v/>
      </c>
      <c r="AF56" s="57" t="str">
        <f t="shared" si="17"/>
        <v/>
      </c>
      <c r="AG56" s="180">
        <f>IF(AF56="כן",M56*'גנים ובתי ספר- מבנה תקציב'!$H$59,0)</f>
        <v>0</v>
      </c>
      <c r="AH56" s="180">
        <f>IF(AF56="כן",M56*'גנים ובתי ספר- מבנה תקציב'!$I$59,0)</f>
        <v>0</v>
      </c>
      <c r="AI56" s="180">
        <f t="shared" si="18"/>
        <v>0</v>
      </c>
      <c r="AJ56" s="368" t="str">
        <f t="shared" si="6"/>
        <v/>
      </c>
    </row>
    <row r="57" spans="1:36" x14ac:dyDescent="0.25">
      <c r="A57" s="57">
        <v>37</v>
      </c>
      <c r="B57" s="690"/>
      <c r="C57" s="690"/>
      <c r="D57" s="252">
        <f>(IFERROR(SUMIF('מצבת והרשמה (2)'!$F$21:$F$501,'דוח ביצוע (3)'!$B57,'מצבת והרשמה (2)'!$J$21:$J$501),0))</f>
        <v>0</v>
      </c>
      <c r="E57" s="252">
        <f>IFERROR(SUMIF('מצבת והרשמה (2)'!$F$21:$F$501,'דוח ביצוע (3)'!$B57,'מצבת והרשמה (2)'!$K$21:$K$501),0)</f>
        <v>0</v>
      </c>
      <c r="F57" s="253">
        <f t="shared" si="7"/>
        <v>0</v>
      </c>
      <c r="G57" s="680"/>
      <c r="H57" s="680"/>
      <c r="I57" s="253">
        <f t="shared" si="20"/>
        <v>0</v>
      </c>
      <c r="J57" s="453">
        <f t="shared" si="8"/>
        <v>0</v>
      </c>
      <c r="K57" s="689"/>
      <c r="L57" s="689"/>
      <c r="M57" s="969">
        <f t="shared" si="9"/>
        <v>0</v>
      </c>
      <c r="N57" s="1029" t="str">
        <f t="shared" si="10"/>
        <v/>
      </c>
      <c r="O57" s="969" t="str">
        <f>IFERROR(VLOOKUP(B57,'נתוני רישום ומצבת'!B:Q,16,0),"")</f>
        <v/>
      </c>
      <c r="P57" s="969" t="str">
        <f>IFERROR(VLOOKUP(B57,'נתוני רישום ומצבת'!B:R,17,0),"")</f>
        <v/>
      </c>
      <c r="Q57" s="690"/>
      <c r="R57" s="1009"/>
      <c r="S57" s="376">
        <f t="shared" si="11"/>
        <v>0</v>
      </c>
      <c r="T57" s="376">
        <f t="shared" si="12"/>
        <v>0</v>
      </c>
      <c r="U57" s="386">
        <f t="shared" si="13"/>
        <v>0</v>
      </c>
      <c r="V57" s="513" t="str">
        <f t="shared" si="14"/>
        <v/>
      </c>
      <c r="W57" s="254" t="str">
        <f>IF(ISBLANK(B57)," ",IF(B57=IFERROR(VLOOKUP(B57,'מצבת והרשמה (2)'!F:F,1,0),0),"תקין","לא קיים במצבת כבית ספר בו מתקיימת פעילות"))</f>
        <v xml:space="preserve"> </v>
      </c>
      <c r="X57" s="256" t="str">
        <f t="shared" si="1"/>
        <v/>
      </c>
      <c r="Y57" s="256" t="str">
        <f t="shared" si="2"/>
        <v/>
      </c>
      <c r="Z57" s="741">
        <f t="shared" si="3"/>
        <v>0</v>
      </c>
      <c r="AA57" s="741">
        <f t="shared" si="4"/>
        <v>0</v>
      </c>
      <c r="AB57" s="741">
        <f t="shared" si="5"/>
        <v>0</v>
      </c>
      <c r="AC57" s="987">
        <f t="shared" si="15"/>
        <v>0</v>
      </c>
      <c r="AD57" s="987">
        <f t="shared" si="16"/>
        <v>0</v>
      </c>
      <c r="AE57" s="368" t="str">
        <f>IFERROR(VLOOKUP(B57,'[1]סיכום בקרת רשויות'!$A:$D,4,0),"")</f>
        <v/>
      </c>
      <c r="AF57" s="57" t="str">
        <f t="shared" si="17"/>
        <v/>
      </c>
      <c r="AG57" s="180">
        <f>IF(AF57="כן",M57*'גנים ובתי ספר- מבנה תקציב'!$H$59,0)</f>
        <v>0</v>
      </c>
      <c r="AH57" s="180">
        <f>IF(AF57="כן",M57*'גנים ובתי ספר- מבנה תקציב'!$I$59,0)</f>
        <v>0</v>
      </c>
      <c r="AI57" s="180">
        <f t="shared" si="18"/>
        <v>0</v>
      </c>
      <c r="AJ57" s="368" t="str">
        <f t="shared" si="6"/>
        <v/>
      </c>
    </row>
    <row r="58" spans="1:36" x14ac:dyDescent="0.25">
      <c r="A58" s="57">
        <v>38</v>
      </c>
      <c r="B58" s="690"/>
      <c r="C58" s="690"/>
      <c r="D58" s="252">
        <f>(IFERROR(SUMIF('מצבת והרשמה (2)'!$F$21:$F$501,'דוח ביצוע (3)'!$B58,'מצבת והרשמה (2)'!$J$21:$J$501),0))</f>
        <v>0</v>
      </c>
      <c r="E58" s="252">
        <f>IFERROR(SUMIF('מצבת והרשמה (2)'!$F$21:$F$501,'דוח ביצוע (3)'!$B58,'מצבת והרשמה (2)'!$K$21:$K$501),0)</f>
        <v>0</v>
      </c>
      <c r="F58" s="253">
        <f t="shared" si="7"/>
        <v>0</v>
      </c>
      <c r="G58" s="680"/>
      <c r="H58" s="680"/>
      <c r="I58" s="253">
        <f t="shared" si="20"/>
        <v>0</v>
      </c>
      <c r="J58" s="453">
        <f t="shared" si="8"/>
        <v>0</v>
      </c>
      <c r="K58" s="689"/>
      <c r="L58" s="689"/>
      <c r="M58" s="969">
        <f t="shared" si="9"/>
        <v>0</v>
      </c>
      <c r="N58" s="1029" t="str">
        <f t="shared" si="10"/>
        <v/>
      </c>
      <c r="O58" s="969" t="str">
        <f>IFERROR(VLOOKUP(B58,'נתוני רישום ומצבת'!B:Q,16,0),"")</f>
        <v/>
      </c>
      <c r="P58" s="969" t="str">
        <f>IFERROR(VLOOKUP(B58,'נתוני רישום ומצבת'!B:R,17,0),"")</f>
        <v/>
      </c>
      <c r="Q58" s="690"/>
      <c r="R58" s="1009"/>
      <c r="S58" s="376">
        <f t="shared" si="11"/>
        <v>0</v>
      </c>
      <c r="T58" s="376">
        <f t="shared" si="12"/>
        <v>0</v>
      </c>
      <c r="U58" s="386">
        <f t="shared" si="13"/>
        <v>0</v>
      </c>
      <c r="V58" s="513" t="str">
        <f t="shared" si="14"/>
        <v/>
      </c>
      <c r="W58" s="254" t="str">
        <f>IF(ISBLANK(B58)," ",IF(B58=IFERROR(VLOOKUP(B58,'מצבת והרשמה (2)'!F:F,1,0),0),"תקין","לא קיים במצבת כבית ספר בו מתקיימת פעילות"))</f>
        <v xml:space="preserve"> </v>
      </c>
      <c r="X58" s="256" t="str">
        <f t="shared" si="1"/>
        <v/>
      </c>
      <c r="Y58" s="256" t="str">
        <f t="shared" si="2"/>
        <v/>
      </c>
      <c r="Z58" s="741">
        <f t="shared" si="3"/>
        <v>0</v>
      </c>
      <c r="AA58" s="741">
        <f t="shared" si="4"/>
        <v>0</v>
      </c>
      <c r="AB58" s="741">
        <f t="shared" si="5"/>
        <v>0</v>
      </c>
      <c r="AC58" s="987">
        <f t="shared" si="15"/>
        <v>0</v>
      </c>
      <c r="AD58" s="987">
        <f t="shared" si="16"/>
        <v>0</v>
      </c>
      <c r="AE58" s="368" t="str">
        <f>IFERROR(VLOOKUP(B58,'[1]סיכום בקרת רשויות'!$A:$D,4,0),"")</f>
        <v/>
      </c>
      <c r="AF58" s="57" t="str">
        <f t="shared" si="17"/>
        <v/>
      </c>
      <c r="AG58" s="180">
        <f>IF(AF58="כן",M58*'גנים ובתי ספר- מבנה תקציב'!$H$59,0)</f>
        <v>0</v>
      </c>
      <c r="AH58" s="180">
        <f>IF(AF58="כן",M58*'גנים ובתי ספר- מבנה תקציב'!$I$59,0)</f>
        <v>0</v>
      </c>
      <c r="AI58" s="180">
        <f t="shared" si="18"/>
        <v>0</v>
      </c>
      <c r="AJ58" s="368" t="str">
        <f t="shared" si="6"/>
        <v/>
      </c>
    </row>
    <row r="59" spans="1:36" x14ac:dyDescent="0.25">
      <c r="A59" s="57">
        <v>39</v>
      </c>
      <c r="B59" s="690"/>
      <c r="C59" s="690"/>
      <c r="D59" s="252">
        <f>(IFERROR(SUMIF('מצבת והרשמה (2)'!$F$21:$F$501,'דוח ביצוע (3)'!$B59,'מצבת והרשמה (2)'!$J$21:$J$501),0))</f>
        <v>0</v>
      </c>
      <c r="E59" s="252">
        <f>IFERROR(SUMIF('מצבת והרשמה (2)'!$F$21:$F$501,'דוח ביצוע (3)'!$B59,'מצבת והרשמה (2)'!$K$21:$K$501),0)</f>
        <v>0</v>
      </c>
      <c r="F59" s="253">
        <f t="shared" si="7"/>
        <v>0</v>
      </c>
      <c r="G59" s="680"/>
      <c r="H59" s="680"/>
      <c r="I59" s="253">
        <f t="shared" si="20"/>
        <v>0</v>
      </c>
      <c r="J59" s="453">
        <f t="shared" si="8"/>
        <v>0</v>
      </c>
      <c r="K59" s="689"/>
      <c r="L59" s="689"/>
      <c r="M59" s="969">
        <f t="shared" si="9"/>
        <v>0</v>
      </c>
      <c r="N59" s="1029" t="str">
        <f t="shared" si="10"/>
        <v/>
      </c>
      <c r="O59" s="969" t="str">
        <f>IFERROR(VLOOKUP(B59,'נתוני רישום ומצבת'!B:Q,16,0),"")</f>
        <v/>
      </c>
      <c r="P59" s="969" t="str">
        <f>IFERROR(VLOOKUP(B59,'נתוני רישום ומצבת'!B:R,17,0),"")</f>
        <v/>
      </c>
      <c r="Q59" s="690"/>
      <c r="R59" s="1009"/>
      <c r="S59" s="376">
        <f t="shared" si="11"/>
        <v>0</v>
      </c>
      <c r="T59" s="376">
        <f t="shared" si="12"/>
        <v>0</v>
      </c>
      <c r="U59" s="386">
        <f t="shared" si="13"/>
        <v>0</v>
      </c>
      <c r="V59" s="513" t="str">
        <f t="shared" si="14"/>
        <v/>
      </c>
      <c r="W59" s="254" t="str">
        <f>IF(ISBLANK(B59)," ",IF(B59=IFERROR(VLOOKUP(B59,'מצבת והרשמה (2)'!F:F,1,0),0),"תקין","לא קיים במצבת כבית ספר בו מתקיימת פעילות"))</f>
        <v xml:space="preserve"> </v>
      </c>
      <c r="X59" s="256" t="str">
        <f t="shared" si="1"/>
        <v/>
      </c>
      <c r="Y59" s="256" t="str">
        <f t="shared" si="2"/>
        <v/>
      </c>
      <c r="Z59" s="741">
        <f t="shared" si="3"/>
        <v>0</v>
      </c>
      <c r="AA59" s="741">
        <f t="shared" si="4"/>
        <v>0</v>
      </c>
      <c r="AB59" s="741">
        <f t="shared" si="5"/>
        <v>0</v>
      </c>
      <c r="AC59" s="987">
        <f t="shared" si="15"/>
        <v>0</v>
      </c>
      <c r="AD59" s="987">
        <f t="shared" si="16"/>
        <v>0</v>
      </c>
      <c r="AE59" s="368" t="str">
        <f>IFERROR(VLOOKUP(B59,'[1]סיכום בקרת רשויות'!$A:$D,4,0),"")</f>
        <v/>
      </c>
      <c r="AF59" s="57" t="str">
        <f t="shared" si="17"/>
        <v/>
      </c>
      <c r="AG59" s="180">
        <f>IF(AF59="כן",M59*'גנים ובתי ספר- מבנה תקציב'!$H$59,0)</f>
        <v>0</v>
      </c>
      <c r="AH59" s="180">
        <f>IF(AF59="כן",M59*'גנים ובתי ספר- מבנה תקציב'!$I$59,0)</f>
        <v>0</v>
      </c>
      <c r="AI59" s="180">
        <f t="shared" si="18"/>
        <v>0</v>
      </c>
      <c r="AJ59" s="368" t="str">
        <f t="shared" si="6"/>
        <v/>
      </c>
    </row>
    <row r="60" spans="1:36" x14ac:dyDescent="0.25">
      <c r="A60" s="57">
        <v>40</v>
      </c>
      <c r="B60" s="690"/>
      <c r="C60" s="690"/>
      <c r="D60" s="252">
        <f>(IFERROR(SUMIF('מצבת והרשמה (2)'!$F$21:$F$501,'דוח ביצוע (3)'!$B60,'מצבת והרשמה (2)'!$J$21:$J$501),0))</f>
        <v>0</v>
      </c>
      <c r="E60" s="252">
        <f>IFERROR(SUMIF('מצבת והרשמה (2)'!$F$21:$F$501,'דוח ביצוע (3)'!$B60,'מצבת והרשמה (2)'!$K$21:$K$501),0)</f>
        <v>0</v>
      </c>
      <c r="F60" s="253">
        <f t="shared" si="7"/>
        <v>0</v>
      </c>
      <c r="G60" s="680"/>
      <c r="H60" s="680"/>
      <c r="I60" s="253">
        <f t="shared" si="20"/>
        <v>0</v>
      </c>
      <c r="J60" s="453">
        <f t="shared" si="8"/>
        <v>0</v>
      </c>
      <c r="K60" s="689"/>
      <c r="L60" s="689"/>
      <c r="M60" s="969">
        <f t="shared" si="9"/>
        <v>0</v>
      </c>
      <c r="N60" s="1029" t="str">
        <f t="shared" si="10"/>
        <v/>
      </c>
      <c r="O60" s="969" t="str">
        <f>IFERROR(VLOOKUP(B60,'נתוני רישום ומצבת'!B:Q,16,0),"")</f>
        <v/>
      </c>
      <c r="P60" s="969" t="str">
        <f>IFERROR(VLOOKUP(B60,'נתוני רישום ומצבת'!B:R,17,0),"")</f>
        <v/>
      </c>
      <c r="Q60" s="690"/>
      <c r="R60" s="1009"/>
      <c r="S60" s="376">
        <f t="shared" si="11"/>
        <v>0</v>
      </c>
      <c r="T60" s="376">
        <f t="shared" si="12"/>
        <v>0</v>
      </c>
      <c r="U60" s="386">
        <f t="shared" si="13"/>
        <v>0</v>
      </c>
      <c r="V60" s="513" t="str">
        <f t="shared" si="14"/>
        <v/>
      </c>
      <c r="W60" s="254" t="str">
        <f>IF(ISBLANK(B60)," ",IF(B60=IFERROR(VLOOKUP(B60,'מצבת והרשמה (2)'!F:F,1,0),0),"תקין","לא קיים במצבת כבית ספר בו מתקיימת פעילות"))</f>
        <v xml:space="preserve"> </v>
      </c>
      <c r="X60" s="256" t="str">
        <f t="shared" si="1"/>
        <v/>
      </c>
      <c r="Y60" s="256" t="str">
        <f t="shared" si="2"/>
        <v/>
      </c>
      <c r="Z60" s="741">
        <f t="shared" si="3"/>
        <v>0</v>
      </c>
      <c r="AA60" s="741">
        <f t="shared" si="4"/>
        <v>0</v>
      </c>
      <c r="AB60" s="741">
        <f t="shared" si="5"/>
        <v>0</v>
      </c>
      <c r="AC60" s="987">
        <f t="shared" si="15"/>
        <v>0</v>
      </c>
      <c r="AD60" s="987">
        <f t="shared" si="16"/>
        <v>0</v>
      </c>
      <c r="AE60" s="368" t="str">
        <f>IFERROR(VLOOKUP(B60,'[1]סיכום בקרת רשויות'!$A:$D,4,0),"")</f>
        <v/>
      </c>
      <c r="AF60" s="57" t="str">
        <f t="shared" si="17"/>
        <v/>
      </c>
      <c r="AG60" s="180">
        <f>IF(AF60="כן",M60*'גנים ובתי ספר- מבנה תקציב'!$H$59,0)</f>
        <v>0</v>
      </c>
      <c r="AH60" s="180">
        <f>IF(AF60="כן",M60*'גנים ובתי ספר- מבנה תקציב'!$I$59,0)</f>
        <v>0</v>
      </c>
      <c r="AI60" s="180">
        <f t="shared" si="18"/>
        <v>0</v>
      </c>
      <c r="AJ60" s="368" t="str">
        <f t="shared" si="6"/>
        <v/>
      </c>
    </row>
    <row r="61" spans="1:36" x14ac:dyDescent="0.25">
      <c r="A61" s="57">
        <v>41</v>
      </c>
      <c r="B61" s="690"/>
      <c r="C61" s="690"/>
      <c r="D61" s="252">
        <f>(IFERROR(SUMIF('מצבת והרשמה (2)'!$F$21:$F$501,'דוח ביצוע (3)'!$B61,'מצבת והרשמה (2)'!$J$21:$J$501),0))</f>
        <v>0</v>
      </c>
      <c r="E61" s="252">
        <f>IFERROR(SUMIF('מצבת והרשמה (2)'!$F$21:$F$501,'דוח ביצוע (3)'!$B61,'מצבת והרשמה (2)'!$K$21:$K$501),0)</f>
        <v>0</v>
      </c>
      <c r="F61" s="253">
        <f t="shared" si="7"/>
        <v>0</v>
      </c>
      <c r="G61" s="680"/>
      <c r="H61" s="680"/>
      <c r="I61" s="253">
        <f t="shared" si="20"/>
        <v>0</v>
      </c>
      <c r="J61" s="453">
        <f t="shared" si="8"/>
        <v>0</v>
      </c>
      <c r="K61" s="689"/>
      <c r="L61" s="689"/>
      <c r="M61" s="969">
        <f t="shared" si="9"/>
        <v>0</v>
      </c>
      <c r="N61" s="1029" t="str">
        <f t="shared" si="10"/>
        <v/>
      </c>
      <c r="O61" s="969" t="str">
        <f>IFERROR(VLOOKUP(B61,'נתוני רישום ומצבת'!B:Q,16,0),"")</f>
        <v/>
      </c>
      <c r="P61" s="969" t="str">
        <f>IFERROR(VLOOKUP(B61,'נתוני רישום ומצבת'!B:R,17,0),"")</f>
        <v/>
      </c>
      <c r="Q61" s="690"/>
      <c r="R61" s="1009"/>
      <c r="S61" s="376">
        <f t="shared" si="11"/>
        <v>0</v>
      </c>
      <c r="T61" s="376">
        <f t="shared" si="12"/>
        <v>0</v>
      </c>
      <c r="U61" s="386">
        <f t="shared" si="13"/>
        <v>0</v>
      </c>
      <c r="V61" s="513" t="str">
        <f t="shared" si="14"/>
        <v/>
      </c>
      <c r="W61" s="254" t="str">
        <f>IF(ISBLANK(B61)," ",IF(B61=IFERROR(VLOOKUP(B61,'מצבת והרשמה (2)'!F:F,1,0),0),"תקין","לא קיים במצבת כבית ספר בו מתקיימת פעילות"))</f>
        <v xml:space="preserve"> </v>
      </c>
      <c r="X61" s="256" t="str">
        <f t="shared" si="1"/>
        <v/>
      </c>
      <c r="Y61" s="256" t="str">
        <f t="shared" si="2"/>
        <v/>
      </c>
      <c r="Z61" s="741">
        <f t="shared" si="3"/>
        <v>0</v>
      </c>
      <c r="AA61" s="741">
        <f t="shared" si="4"/>
        <v>0</v>
      </c>
      <c r="AB61" s="741">
        <f t="shared" si="5"/>
        <v>0</v>
      </c>
      <c r="AC61" s="987">
        <f t="shared" si="15"/>
        <v>0</v>
      </c>
      <c r="AD61" s="987">
        <f t="shared" si="16"/>
        <v>0</v>
      </c>
      <c r="AE61" s="368" t="str">
        <f>IFERROR(VLOOKUP(B61,'[1]סיכום בקרת רשויות'!$A:$D,4,0),"")</f>
        <v/>
      </c>
      <c r="AF61" s="57" t="str">
        <f t="shared" si="17"/>
        <v/>
      </c>
      <c r="AG61" s="180">
        <f>IF(AF61="כן",M61*'גנים ובתי ספר- מבנה תקציב'!$H$59,0)</f>
        <v>0</v>
      </c>
      <c r="AH61" s="180">
        <f>IF(AF61="כן",M61*'גנים ובתי ספר- מבנה תקציב'!$I$59,0)</f>
        <v>0</v>
      </c>
      <c r="AI61" s="180">
        <f t="shared" si="18"/>
        <v>0</v>
      </c>
      <c r="AJ61" s="368" t="str">
        <f t="shared" si="6"/>
        <v/>
      </c>
    </row>
    <row r="62" spans="1:36" x14ac:dyDescent="0.25">
      <c r="A62" s="57">
        <v>42</v>
      </c>
      <c r="B62" s="690"/>
      <c r="C62" s="690"/>
      <c r="D62" s="252">
        <f>(IFERROR(SUMIF('מצבת והרשמה (2)'!$F$21:$F$501,'דוח ביצוע (3)'!$B62,'מצבת והרשמה (2)'!$J$21:$J$501),0))</f>
        <v>0</v>
      </c>
      <c r="E62" s="252">
        <f>IFERROR(SUMIF('מצבת והרשמה (2)'!$F$21:$F$501,'דוח ביצוע (3)'!$B62,'מצבת והרשמה (2)'!$K$21:$K$501),0)</f>
        <v>0</v>
      </c>
      <c r="F62" s="253">
        <f t="shared" si="7"/>
        <v>0</v>
      </c>
      <c r="G62" s="680"/>
      <c r="H62" s="680"/>
      <c r="I62" s="253">
        <f t="shared" si="20"/>
        <v>0</v>
      </c>
      <c r="J62" s="453">
        <f t="shared" si="8"/>
        <v>0</v>
      </c>
      <c r="K62" s="689"/>
      <c r="L62" s="689"/>
      <c r="M62" s="969">
        <f t="shared" si="9"/>
        <v>0</v>
      </c>
      <c r="N62" s="1029" t="str">
        <f t="shared" si="10"/>
        <v/>
      </c>
      <c r="O62" s="969" t="str">
        <f>IFERROR(VLOOKUP(B62,'נתוני רישום ומצבת'!B:Q,16,0),"")</f>
        <v/>
      </c>
      <c r="P62" s="969" t="str">
        <f>IFERROR(VLOOKUP(B62,'נתוני רישום ומצבת'!B:R,17,0),"")</f>
        <v/>
      </c>
      <c r="Q62" s="690"/>
      <c r="R62" s="1009"/>
      <c r="S62" s="376">
        <f t="shared" si="11"/>
        <v>0</v>
      </c>
      <c r="T62" s="376">
        <f t="shared" si="12"/>
        <v>0</v>
      </c>
      <c r="U62" s="386">
        <f t="shared" si="13"/>
        <v>0</v>
      </c>
      <c r="V62" s="513" t="str">
        <f t="shared" si="14"/>
        <v/>
      </c>
      <c r="W62" s="254" t="str">
        <f>IF(ISBLANK(B62)," ",IF(B62=IFERROR(VLOOKUP(B62,'מצבת והרשמה (2)'!F:F,1,0),0),"תקין","לא קיים במצבת כבית ספר בו מתקיימת פעילות"))</f>
        <v xml:space="preserve"> </v>
      </c>
      <c r="X62" s="256" t="str">
        <f t="shared" si="1"/>
        <v/>
      </c>
      <c r="Y62" s="256" t="str">
        <f t="shared" si="2"/>
        <v/>
      </c>
      <c r="Z62" s="741">
        <f t="shared" si="3"/>
        <v>0</v>
      </c>
      <c r="AA62" s="741">
        <f t="shared" si="4"/>
        <v>0</v>
      </c>
      <c r="AB62" s="741">
        <f t="shared" si="5"/>
        <v>0</v>
      </c>
      <c r="AC62" s="987">
        <f t="shared" si="15"/>
        <v>0</v>
      </c>
      <c r="AD62" s="987">
        <f t="shared" si="16"/>
        <v>0</v>
      </c>
      <c r="AE62" s="368" t="str">
        <f>IFERROR(VLOOKUP(B62,'[1]סיכום בקרת רשויות'!$A:$D,4,0),"")</f>
        <v/>
      </c>
      <c r="AF62" s="57" t="str">
        <f t="shared" si="17"/>
        <v/>
      </c>
      <c r="AG62" s="180">
        <f>IF(AF62="כן",M62*'גנים ובתי ספר- מבנה תקציב'!$H$59,0)</f>
        <v>0</v>
      </c>
      <c r="AH62" s="180">
        <f>IF(AF62="כן",M62*'גנים ובתי ספר- מבנה תקציב'!$I$59,0)</f>
        <v>0</v>
      </c>
      <c r="AI62" s="180">
        <f t="shared" si="18"/>
        <v>0</v>
      </c>
      <c r="AJ62" s="368" t="str">
        <f t="shared" si="6"/>
        <v/>
      </c>
    </row>
    <row r="63" spans="1:36" x14ac:dyDescent="0.25">
      <c r="A63" s="57">
        <v>43</v>
      </c>
      <c r="B63" s="690"/>
      <c r="C63" s="690"/>
      <c r="D63" s="252">
        <f>(IFERROR(SUMIF('מצבת והרשמה (2)'!$F$21:$F$501,'דוח ביצוע (3)'!$B63,'מצבת והרשמה (2)'!$J$21:$J$501),0))</f>
        <v>0</v>
      </c>
      <c r="E63" s="252">
        <f>IFERROR(SUMIF('מצבת והרשמה (2)'!$F$21:$F$501,'דוח ביצוע (3)'!$B63,'מצבת והרשמה (2)'!$K$21:$K$501),0)</f>
        <v>0</v>
      </c>
      <c r="F63" s="253">
        <f t="shared" si="7"/>
        <v>0</v>
      </c>
      <c r="G63" s="680"/>
      <c r="H63" s="680"/>
      <c r="I63" s="253">
        <f t="shared" si="20"/>
        <v>0</v>
      </c>
      <c r="J63" s="453">
        <f t="shared" si="8"/>
        <v>0</v>
      </c>
      <c r="K63" s="689"/>
      <c r="L63" s="689"/>
      <c r="M63" s="969">
        <f t="shared" si="9"/>
        <v>0</v>
      </c>
      <c r="N63" s="1029" t="str">
        <f t="shared" si="10"/>
        <v/>
      </c>
      <c r="O63" s="969" t="str">
        <f>IFERROR(VLOOKUP(B63,'נתוני רישום ומצבת'!B:Q,16,0),"")</f>
        <v/>
      </c>
      <c r="P63" s="969" t="str">
        <f>IFERROR(VLOOKUP(B63,'נתוני רישום ומצבת'!B:R,17,0),"")</f>
        <v/>
      </c>
      <c r="Q63" s="690"/>
      <c r="R63" s="1009"/>
      <c r="S63" s="376">
        <f t="shared" si="11"/>
        <v>0</v>
      </c>
      <c r="T63" s="376">
        <f t="shared" si="12"/>
        <v>0</v>
      </c>
      <c r="U63" s="386">
        <f t="shared" si="13"/>
        <v>0</v>
      </c>
      <c r="V63" s="513" t="str">
        <f t="shared" si="14"/>
        <v/>
      </c>
      <c r="W63" s="254" t="str">
        <f>IF(ISBLANK(B63)," ",IF(B63=IFERROR(VLOOKUP(B63,'מצבת והרשמה (2)'!F:F,1,0),0),"תקין","לא קיים במצבת כבית ספר בו מתקיימת פעילות"))</f>
        <v xml:space="preserve"> </v>
      </c>
      <c r="X63" s="256" t="str">
        <f t="shared" si="1"/>
        <v/>
      </c>
      <c r="Y63" s="256" t="str">
        <f t="shared" si="2"/>
        <v/>
      </c>
      <c r="Z63" s="741">
        <f t="shared" si="3"/>
        <v>0</v>
      </c>
      <c r="AA63" s="741">
        <f t="shared" si="4"/>
        <v>0</v>
      </c>
      <c r="AB63" s="741">
        <f t="shared" si="5"/>
        <v>0</v>
      </c>
      <c r="AC63" s="987">
        <f t="shared" si="15"/>
        <v>0</v>
      </c>
      <c r="AD63" s="987">
        <f t="shared" si="16"/>
        <v>0</v>
      </c>
      <c r="AE63" s="368" t="str">
        <f>IFERROR(VLOOKUP(B63,'[1]סיכום בקרת רשויות'!$A:$D,4,0),"")</f>
        <v/>
      </c>
      <c r="AF63" s="57" t="str">
        <f t="shared" si="17"/>
        <v/>
      </c>
      <c r="AG63" s="180">
        <f>IF(AF63="כן",M63*'גנים ובתי ספר- מבנה תקציב'!$H$59,0)</f>
        <v>0</v>
      </c>
      <c r="AH63" s="180">
        <f>IF(AF63="כן",M63*'גנים ובתי ספר- מבנה תקציב'!$I$59,0)</f>
        <v>0</v>
      </c>
      <c r="AI63" s="180">
        <f t="shared" si="18"/>
        <v>0</v>
      </c>
      <c r="AJ63" s="368" t="str">
        <f t="shared" si="6"/>
        <v/>
      </c>
    </row>
    <row r="64" spans="1:36" x14ac:dyDescent="0.25">
      <c r="A64" s="57">
        <v>44</v>
      </c>
      <c r="B64" s="690"/>
      <c r="C64" s="690"/>
      <c r="D64" s="252">
        <f>(IFERROR(SUMIF('מצבת והרשמה (2)'!$F$21:$F$501,'דוח ביצוע (3)'!$B64,'מצבת והרשמה (2)'!$J$21:$J$501),0))</f>
        <v>0</v>
      </c>
      <c r="E64" s="252">
        <f>IFERROR(SUMIF('מצבת והרשמה (2)'!$F$21:$F$501,'דוח ביצוע (3)'!$B64,'מצבת והרשמה (2)'!$K$21:$K$501),0)</f>
        <v>0</v>
      </c>
      <c r="F64" s="253">
        <f t="shared" si="7"/>
        <v>0</v>
      </c>
      <c r="G64" s="680"/>
      <c r="H64" s="680"/>
      <c r="I64" s="253">
        <f t="shared" si="20"/>
        <v>0</v>
      </c>
      <c r="J64" s="453">
        <f t="shared" si="8"/>
        <v>0</v>
      </c>
      <c r="K64" s="689"/>
      <c r="L64" s="689"/>
      <c r="M64" s="969">
        <f t="shared" si="9"/>
        <v>0</v>
      </c>
      <c r="N64" s="1029" t="str">
        <f t="shared" si="10"/>
        <v/>
      </c>
      <c r="O64" s="969" t="str">
        <f>IFERROR(VLOOKUP(B64,'נתוני רישום ומצבת'!B:Q,16,0),"")</f>
        <v/>
      </c>
      <c r="P64" s="969" t="str">
        <f>IFERROR(VLOOKUP(B64,'נתוני רישום ומצבת'!B:R,17,0),"")</f>
        <v/>
      </c>
      <c r="Q64" s="690"/>
      <c r="R64" s="1009"/>
      <c r="S64" s="376">
        <f t="shared" si="11"/>
        <v>0</v>
      </c>
      <c r="T64" s="376">
        <f t="shared" si="12"/>
        <v>0</v>
      </c>
      <c r="U64" s="386">
        <f t="shared" si="13"/>
        <v>0</v>
      </c>
      <c r="V64" s="513" t="str">
        <f t="shared" si="14"/>
        <v/>
      </c>
      <c r="W64" s="254" t="str">
        <f>IF(ISBLANK(B64)," ",IF(B64=IFERROR(VLOOKUP(B64,'מצבת והרשמה (2)'!F:F,1,0),0),"תקין","לא קיים במצבת כבית ספר בו מתקיימת פעילות"))</f>
        <v xml:space="preserve"> </v>
      </c>
      <c r="X64" s="256" t="str">
        <f t="shared" si="1"/>
        <v/>
      </c>
      <c r="Y64" s="256" t="str">
        <f t="shared" si="2"/>
        <v/>
      </c>
      <c r="Z64" s="741">
        <f t="shared" si="3"/>
        <v>0</v>
      </c>
      <c r="AA64" s="741">
        <f t="shared" si="4"/>
        <v>0</v>
      </c>
      <c r="AB64" s="741">
        <f t="shared" si="5"/>
        <v>0</v>
      </c>
      <c r="AC64" s="987">
        <f t="shared" si="15"/>
        <v>0</v>
      </c>
      <c r="AD64" s="987">
        <f t="shared" si="16"/>
        <v>0</v>
      </c>
      <c r="AE64" s="368" t="str">
        <f>IFERROR(VLOOKUP(B64,'[1]סיכום בקרת רשויות'!$A:$D,4,0),"")</f>
        <v/>
      </c>
      <c r="AF64" s="57" t="str">
        <f t="shared" si="17"/>
        <v/>
      </c>
      <c r="AG64" s="180">
        <f>IF(AF64="כן",M64*'גנים ובתי ספר- מבנה תקציב'!$H$59,0)</f>
        <v>0</v>
      </c>
      <c r="AH64" s="180">
        <f>IF(AF64="כן",M64*'גנים ובתי ספר- מבנה תקציב'!$I$59,0)</f>
        <v>0</v>
      </c>
      <c r="AI64" s="180">
        <f t="shared" si="18"/>
        <v>0</v>
      </c>
      <c r="AJ64" s="368" t="str">
        <f t="shared" si="6"/>
        <v/>
      </c>
    </row>
    <row r="65" spans="1:36" x14ac:dyDescent="0.25">
      <c r="A65" s="57">
        <v>45</v>
      </c>
      <c r="B65" s="690"/>
      <c r="C65" s="690"/>
      <c r="D65" s="252">
        <f>(IFERROR(SUMIF('מצבת והרשמה (2)'!$F$21:$F$501,'דוח ביצוע (3)'!$B65,'מצבת והרשמה (2)'!$J$21:$J$501),0))</f>
        <v>0</v>
      </c>
      <c r="E65" s="252">
        <f>IFERROR(SUMIF('מצבת והרשמה (2)'!$F$21:$F$501,'דוח ביצוע (3)'!$B65,'מצבת והרשמה (2)'!$K$21:$K$501),0)</f>
        <v>0</v>
      </c>
      <c r="F65" s="253">
        <f t="shared" si="7"/>
        <v>0</v>
      </c>
      <c r="G65" s="680"/>
      <c r="H65" s="680"/>
      <c r="I65" s="253">
        <f t="shared" si="20"/>
        <v>0</v>
      </c>
      <c r="J65" s="453">
        <f t="shared" si="8"/>
        <v>0</v>
      </c>
      <c r="K65" s="689"/>
      <c r="L65" s="689"/>
      <c r="M65" s="969">
        <f t="shared" si="9"/>
        <v>0</v>
      </c>
      <c r="N65" s="1029" t="str">
        <f t="shared" si="10"/>
        <v/>
      </c>
      <c r="O65" s="969" t="str">
        <f>IFERROR(VLOOKUP(B65,'נתוני רישום ומצבת'!B:Q,16,0),"")</f>
        <v/>
      </c>
      <c r="P65" s="969" t="str">
        <f>IFERROR(VLOOKUP(B65,'נתוני רישום ומצבת'!B:R,17,0),"")</f>
        <v/>
      </c>
      <c r="Q65" s="690"/>
      <c r="R65" s="1009"/>
      <c r="S65" s="376">
        <f t="shared" si="11"/>
        <v>0</v>
      </c>
      <c r="T65" s="376">
        <f t="shared" si="12"/>
        <v>0</v>
      </c>
      <c r="U65" s="386">
        <f t="shared" si="13"/>
        <v>0</v>
      </c>
      <c r="V65" s="513" t="str">
        <f t="shared" si="14"/>
        <v/>
      </c>
      <c r="W65" s="254" t="str">
        <f>IF(ISBLANK(B65)," ",IF(B65=IFERROR(VLOOKUP(B65,'מצבת והרשמה (2)'!F:F,1,0),0),"תקין","לא קיים במצבת כבית ספר בו מתקיימת פעילות"))</f>
        <v xml:space="preserve"> </v>
      </c>
      <c r="X65" s="256" t="str">
        <f t="shared" si="1"/>
        <v/>
      </c>
      <c r="Y65" s="256" t="str">
        <f t="shared" si="2"/>
        <v/>
      </c>
      <c r="Z65" s="741">
        <f t="shared" si="3"/>
        <v>0</v>
      </c>
      <c r="AA65" s="741">
        <f t="shared" si="4"/>
        <v>0</v>
      </c>
      <c r="AB65" s="741">
        <f t="shared" si="5"/>
        <v>0</v>
      </c>
      <c r="AC65" s="987">
        <f t="shared" si="15"/>
        <v>0</v>
      </c>
      <c r="AD65" s="987">
        <f t="shared" si="16"/>
        <v>0</v>
      </c>
      <c r="AE65" s="368" t="str">
        <f>IFERROR(VLOOKUP(B65,'[1]סיכום בקרת רשויות'!$A:$D,4,0),"")</f>
        <v/>
      </c>
      <c r="AF65" s="57" t="str">
        <f t="shared" si="17"/>
        <v/>
      </c>
      <c r="AG65" s="180">
        <f>IF(AF65="כן",M65*'גנים ובתי ספר- מבנה תקציב'!$H$59,0)</f>
        <v>0</v>
      </c>
      <c r="AH65" s="180">
        <f>IF(AF65="כן",M65*'גנים ובתי ספר- מבנה תקציב'!$I$59,0)</f>
        <v>0</v>
      </c>
      <c r="AI65" s="180">
        <f t="shared" si="18"/>
        <v>0</v>
      </c>
      <c r="AJ65" s="368" t="str">
        <f t="shared" si="6"/>
        <v/>
      </c>
    </row>
    <row r="66" spans="1:36" x14ac:dyDescent="0.25">
      <c r="A66" s="57">
        <v>46</v>
      </c>
      <c r="B66" s="690"/>
      <c r="C66" s="690"/>
      <c r="D66" s="252">
        <f>(IFERROR(SUMIF('מצבת והרשמה (2)'!$F$21:$F$501,'דוח ביצוע (3)'!$B66,'מצבת והרשמה (2)'!$J$21:$J$501),0))</f>
        <v>0</v>
      </c>
      <c r="E66" s="252">
        <f>IFERROR(SUMIF('מצבת והרשמה (2)'!$F$21:$F$501,'דוח ביצוע (3)'!$B66,'מצבת והרשמה (2)'!$K$21:$K$501),0)</f>
        <v>0</v>
      </c>
      <c r="F66" s="253">
        <f t="shared" si="7"/>
        <v>0</v>
      </c>
      <c r="G66" s="680"/>
      <c r="H66" s="680"/>
      <c r="I66" s="253">
        <f t="shared" si="20"/>
        <v>0</v>
      </c>
      <c r="J66" s="453">
        <f t="shared" si="8"/>
        <v>0</v>
      </c>
      <c r="K66" s="689"/>
      <c r="L66" s="689"/>
      <c r="M66" s="969">
        <f t="shared" si="9"/>
        <v>0</v>
      </c>
      <c r="N66" s="1029" t="str">
        <f t="shared" si="10"/>
        <v/>
      </c>
      <c r="O66" s="969" t="str">
        <f>IFERROR(VLOOKUP(B66,'נתוני רישום ומצבת'!B:Q,16,0),"")</f>
        <v/>
      </c>
      <c r="P66" s="969" t="str">
        <f>IFERROR(VLOOKUP(B66,'נתוני רישום ומצבת'!B:R,17,0),"")</f>
        <v/>
      </c>
      <c r="Q66" s="690"/>
      <c r="R66" s="1009"/>
      <c r="S66" s="376">
        <f t="shared" si="11"/>
        <v>0</v>
      </c>
      <c r="T66" s="376">
        <f t="shared" si="12"/>
        <v>0</v>
      </c>
      <c r="U66" s="386">
        <f t="shared" si="13"/>
        <v>0</v>
      </c>
      <c r="V66" s="513" t="str">
        <f t="shared" si="14"/>
        <v/>
      </c>
      <c r="W66" s="254" t="str">
        <f>IF(ISBLANK(B66)," ",IF(B66=IFERROR(VLOOKUP(B66,'מצבת והרשמה (2)'!F:F,1,0),0),"תקין","לא קיים במצבת כבית ספר בו מתקיימת פעילות"))</f>
        <v xml:space="preserve"> </v>
      </c>
      <c r="X66" s="256" t="str">
        <f t="shared" si="1"/>
        <v/>
      </c>
      <c r="Y66" s="256" t="str">
        <f t="shared" si="2"/>
        <v/>
      </c>
      <c r="Z66" s="741">
        <f t="shared" si="3"/>
        <v>0</v>
      </c>
      <c r="AA66" s="741">
        <f t="shared" si="4"/>
        <v>0</v>
      </c>
      <c r="AB66" s="741">
        <f t="shared" si="5"/>
        <v>0</v>
      </c>
      <c r="AC66" s="987">
        <f t="shared" si="15"/>
        <v>0</v>
      </c>
      <c r="AD66" s="987">
        <f t="shared" si="16"/>
        <v>0</v>
      </c>
      <c r="AE66" s="368" t="str">
        <f>IFERROR(VLOOKUP(B66,'[1]סיכום בקרת רשויות'!$A:$D,4,0),"")</f>
        <v/>
      </c>
      <c r="AF66" s="57" t="str">
        <f t="shared" si="17"/>
        <v/>
      </c>
      <c r="AG66" s="180">
        <f>IF(AF66="כן",M66*'גנים ובתי ספר- מבנה תקציב'!$H$59,0)</f>
        <v>0</v>
      </c>
      <c r="AH66" s="180">
        <f>IF(AF66="כן",M66*'גנים ובתי ספר- מבנה תקציב'!$I$59,0)</f>
        <v>0</v>
      </c>
      <c r="AI66" s="180">
        <f t="shared" si="18"/>
        <v>0</v>
      </c>
      <c r="AJ66" s="368" t="str">
        <f t="shared" si="6"/>
        <v/>
      </c>
    </row>
    <row r="67" spans="1:36" x14ac:dyDescent="0.25">
      <c r="A67" s="57">
        <v>47</v>
      </c>
      <c r="B67" s="690"/>
      <c r="C67" s="690"/>
      <c r="D67" s="252">
        <f>(IFERROR(SUMIF('מצבת והרשמה (2)'!$F$21:$F$501,'דוח ביצוע (3)'!$B67,'מצבת והרשמה (2)'!$J$21:$J$501),0))</f>
        <v>0</v>
      </c>
      <c r="E67" s="252">
        <f>IFERROR(SUMIF('מצבת והרשמה (2)'!$F$21:$F$501,'דוח ביצוע (3)'!$B67,'מצבת והרשמה (2)'!$K$21:$K$501),0)</f>
        <v>0</v>
      </c>
      <c r="F67" s="253">
        <f t="shared" si="7"/>
        <v>0</v>
      </c>
      <c r="G67" s="680"/>
      <c r="H67" s="680"/>
      <c r="I67" s="253">
        <f t="shared" si="20"/>
        <v>0</v>
      </c>
      <c r="J67" s="453">
        <f t="shared" si="8"/>
        <v>0</v>
      </c>
      <c r="K67" s="689"/>
      <c r="L67" s="689"/>
      <c r="M67" s="969">
        <f t="shared" si="9"/>
        <v>0</v>
      </c>
      <c r="N67" s="1029" t="str">
        <f t="shared" si="10"/>
        <v/>
      </c>
      <c r="O67" s="969" t="str">
        <f>IFERROR(VLOOKUP(B67,'נתוני רישום ומצבת'!B:Q,16,0),"")</f>
        <v/>
      </c>
      <c r="P67" s="969" t="str">
        <f>IFERROR(VLOOKUP(B67,'נתוני רישום ומצבת'!B:R,17,0),"")</f>
        <v/>
      </c>
      <c r="Q67" s="690"/>
      <c r="R67" s="1009"/>
      <c r="S67" s="376">
        <f t="shared" si="11"/>
        <v>0</v>
      </c>
      <c r="T67" s="376">
        <f t="shared" si="12"/>
        <v>0</v>
      </c>
      <c r="U67" s="386">
        <f t="shared" si="13"/>
        <v>0</v>
      </c>
      <c r="V67" s="513" t="str">
        <f t="shared" si="14"/>
        <v/>
      </c>
      <c r="W67" s="254" t="str">
        <f>IF(ISBLANK(B67)," ",IF(B67=IFERROR(VLOOKUP(B67,'מצבת והרשמה (2)'!F:F,1,0),0),"תקין","לא קיים במצבת כבית ספר בו מתקיימת פעילות"))</f>
        <v xml:space="preserve"> </v>
      </c>
      <c r="X67" s="256" t="str">
        <f t="shared" si="1"/>
        <v/>
      </c>
      <c r="Y67" s="256" t="str">
        <f t="shared" si="2"/>
        <v/>
      </c>
      <c r="Z67" s="741">
        <f t="shared" si="3"/>
        <v>0</v>
      </c>
      <c r="AA67" s="741">
        <f t="shared" si="4"/>
        <v>0</v>
      </c>
      <c r="AB67" s="741">
        <f t="shared" si="5"/>
        <v>0</v>
      </c>
      <c r="AC67" s="987">
        <f t="shared" si="15"/>
        <v>0</v>
      </c>
      <c r="AD67" s="987">
        <f t="shared" si="16"/>
        <v>0</v>
      </c>
      <c r="AE67" s="368" t="str">
        <f>IFERROR(VLOOKUP(B67,'[1]סיכום בקרת רשויות'!$A:$D,4,0),"")</f>
        <v/>
      </c>
      <c r="AF67" s="57" t="str">
        <f t="shared" si="17"/>
        <v/>
      </c>
      <c r="AG67" s="180">
        <f>IF(AF67="כן",M67*'גנים ובתי ספר- מבנה תקציב'!$H$59,0)</f>
        <v>0</v>
      </c>
      <c r="AH67" s="180">
        <f>IF(AF67="כן",M67*'גנים ובתי ספר- מבנה תקציב'!$I$59,0)</f>
        <v>0</v>
      </c>
      <c r="AI67" s="180">
        <f t="shared" si="18"/>
        <v>0</v>
      </c>
      <c r="AJ67" s="368" t="str">
        <f t="shared" si="6"/>
        <v/>
      </c>
    </row>
    <row r="68" spans="1:36" x14ac:dyDescent="0.25">
      <c r="A68" s="57">
        <v>48</v>
      </c>
      <c r="B68" s="690"/>
      <c r="C68" s="690"/>
      <c r="D68" s="252">
        <f>(IFERROR(SUMIF('מצבת והרשמה (2)'!$F$21:$F$501,'דוח ביצוע (3)'!$B68,'מצבת והרשמה (2)'!$J$21:$J$501),0))</f>
        <v>0</v>
      </c>
      <c r="E68" s="252">
        <f>IFERROR(SUMIF('מצבת והרשמה (2)'!$F$21:$F$501,'דוח ביצוע (3)'!$B68,'מצבת והרשמה (2)'!$K$21:$K$501),0)</f>
        <v>0</v>
      </c>
      <c r="F68" s="253">
        <f t="shared" si="7"/>
        <v>0</v>
      </c>
      <c r="G68" s="680"/>
      <c r="H68" s="680"/>
      <c r="I68" s="253">
        <f t="shared" si="20"/>
        <v>0</v>
      </c>
      <c r="J68" s="453">
        <f t="shared" si="8"/>
        <v>0</v>
      </c>
      <c r="K68" s="689"/>
      <c r="L68" s="689"/>
      <c r="M68" s="969">
        <f t="shared" si="9"/>
        <v>0</v>
      </c>
      <c r="N68" s="1029" t="str">
        <f t="shared" si="10"/>
        <v/>
      </c>
      <c r="O68" s="969" t="str">
        <f>IFERROR(VLOOKUP(B68,'נתוני רישום ומצבת'!B:Q,16,0),"")</f>
        <v/>
      </c>
      <c r="P68" s="969" t="str">
        <f>IFERROR(VLOOKUP(B68,'נתוני רישום ומצבת'!B:R,17,0),"")</f>
        <v/>
      </c>
      <c r="Q68" s="690"/>
      <c r="R68" s="1009"/>
      <c r="S68" s="376">
        <f t="shared" si="11"/>
        <v>0</v>
      </c>
      <c r="T68" s="376">
        <f t="shared" si="12"/>
        <v>0</v>
      </c>
      <c r="U68" s="386">
        <f t="shared" si="13"/>
        <v>0</v>
      </c>
      <c r="V68" s="513" t="str">
        <f t="shared" si="14"/>
        <v/>
      </c>
      <c r="W68" s="254" t="str">
        <f>IF(ISBLANK(B68)," ",IF(B68=IFERROR(VLOOKUP(B68,'מצבת והרשמה (2)'!F:F,1,0),0),"תקין","לא קיים במצבת כבית ספר בו מתקיימת פעילות"))</f>
        <v xml:space="preserve"> </v>
      </c>
      <c r="X68" s="256" t="str">
        <f t="shared" si="1"/>
        <v/>
      </c>
      <c r="Y68" s="256" t="str">
        <f t="shared" si="2"/>
        <v/>
      </c>
      <c r="Z68" s="741">
        <f t="shared" si="3"/>
        <v>0</v>
      </c>
      <c r="AA68" s="741">
        <f t="shared" si="4"/>
        <v>0</v>
      </c>
      <c r="AB68" s="741">
        <f t="shared" si="5"/>
        <v>0</v>
      </c>
      <c r="AC68" s="987">
        <f t="shared" si="15"/>
        <v>0</v>
      </c>
      <c r="AD68" s="987">
        <f t="shared" si="16"/>
        <v>0</v>
      </c>
      <c r="AE68" s="368" t="str">
        <f>IFERROR(VLOOKUP(B68,'[1]סיכום בקרת רשויות'!$A:$D,4,0),"")</f>
        <v/>
      </c>
      <c r="AF68" s="57" t="str">
        <f t="shared" si="17"/>
        <v/>
      </c>
      <c r="AG68" s="180">
        <f>IF(AF68="כן",M68*'גנים ובתי ספר- מבנה תקציב'!$H$59,0)</f>
        <v>0</v>
      </c>
      <c r="AH68" s="180">
        <f>IF(AF68="כן",M68*'גנים ובתי ספר- מבנה תקציב'!$I$59,0)</f>
        <v>0</v>
      </c>
      <c r="AI68" s="180">
        <f t="shared" si="18"/>
        <v>0</v>
      </c>
      <c r="AJ68" s="368" t="str">
        <f t="shared" si="6"/>
        <v/>
      </c>
    </row>
    <row r="69" spans="1:36" x14ac:dyDescent="0.25">
      <c r="A69" s="57">
        <v>49</v>
      </c>
      <c r="B69" s="690"/>
      <c r="C69" s="690"/>
      <c r="D69" s="252">
        <f>(IFERROR(SUMIF('מצבת והרשמה (2)'!$F$21:$F$501,'דוח ביצוע (3)'!$B69,'מצבת והרשמה (2)'!$J$21:$J$501),0))</f>
        <v>0</v>
      </c>
      <c r="E69" s="252">
        <f>IFERROR(SUMIF('מצבת והרשמה (2)'!$F$21:$F$501,'דוח ביצוע (3)'!$B69,'מצבת והרשמה (2)'!$K$21:$K$501),0)</f>
        <v>0</v>
      </c>
      <c r="F69" s="253">
        <f t="shared" si="7"/>
        <v>0</v>
      </c>
      <c r="G69" s="680"/>
      <c r="H69" s="680"/>
      <c r="I69" s="253">
        <f t="shared" si="20"/>
        <v>0</v>
      </c>
      <c r="J69" s="453">
        <f t="shared" si="8"/>
        <v>0</v>
      </c>
      <c r="K69" s="689"/>
      <c r="L69" s="689"/>
      <c r="M69" s="969">
        <f t="shared" si="9"/>
        <v>0</v>
      </c>
      <c r="N69" s="1029" t="str">
        <f t="shared" si="10"/>
        <v/>
      </c>
      <c r="O69" s="969" t="str">
        <f>IFERROR(VLOOKUP(B69,'נתוני רישום ומצבת'!B:Q,16,0),"")</f>
        <v/>
      </c>
      <c r="P69" s="969" t="str">
        <f>IFERROR(VLOOKUP(B69,'נתוני רישום ומצבת'!B:R,17,0),"")</f>
        <v/>
      </c>
      <c r="Q69" s="690"/>
      <c r="R69" s="1009"/>
      <c r="S69" s="376">
        <f t="shared" si="11"/>
        <v>0</v>
      </c>
      <c r="T69" s="376">
        <f t="shared" si="12"/>
        <v>0</v>
      </c>
      <c r="U69" s="386">
        <f t="shared" si="13"/>
        <v>0</v>
      </c>
      <c r="V69" s="513" t="str">
        <f t="shared" si="14"/>
        <v/>
      </c>
      <c r="W69" s="254" t="str">
        <f>IF(ISBLANK(B69)," ",IF(B69=IFERROR(VLOOKUP(B69,'מצבת והרשמה (2)'!F:F,1,0),0),"תקין","לא קיים במצבת כבית ספר בו מתקיימת פעילות"))</f>
        <v xml:space="preserve"> </v>
      </c>
      <c r="X69" s="256" t="str">
        <f t="shared" si="1"/>
        <v/>
      </c>
      <c r="Y69" s="256" t="str">
        <f t="shared" si="2"/>
        <v/>
      </c>
      <c r="Z69" s="741">
        <f t="shared" si="3"/>
        <v>0</v>
      </c>
      <c r="AA69" s="741">
        <f t="shared" si="4"/>
        <v>0</v>
      </c>
      <c r="AB69" s="741">
        <f t="shared" si="5"/>
        <v>0</v>
      </c>
      <c r="AC69" s="987">
        <f t="shared" si="15"/>
        <v>0</v>
      </c>
      <c r="AD69" s="987">
        <f t="shared" si="16"/>
        <v>0</v>
      </c>
      <c r="AE69" s="368" t="str">
        <f>IFERROR(VLOOKUP(B69,'[1]סיכום בקרת רשויות'!$A:$D,4,0),"")</f>
        <v/>
      </c>
      <c r="AF69" s="57" t="str">
        <f t="shared" si="17"/>
        <v/>
      </c>
      <c r="AG69" s="180">
        <f>IF(AF69="כן",M69*'גנים ובתי ספר- מבנה תקציב'!$H$59,0)</f>
        <v>0</v>
      </c>
      <c r="AH69" s="180">
        <f>IF(AF69="כן",M69*'גנים ובתי ספר- מבנה תקציב'!$I$59,0)</f>
        <v>0</v>
      </c>
      <c r="AI69" s="180">
        <f t="shared" si="18"/>
        <v>0</v>
      </c>
      <c r="AJ69" s="368" t="str">
        <f t="shared" si="6"/>
        <v/>
      </c>
    </row>
    <row r="70" spans="1:36" x14ac:dyDescent="0.25">
      <c r="A70" s="57">
        <v>50</v>
      </c>
      <c r="B70" s="690"/>
      <c r="C70" s="690"/>
      <c r="D70" s="252">
        <f>(IFERROR(SUMIF('מצבת והרשמה (2)'!$F$21:$F$501,'דוח ביצוע (3)'!$B70,'מצבת והרשמה (2)'!$J$21:$J$501),0))</f>
        <v>0</v>
      </c>
      <c r="E70" s="252">
        <f>IFERROR(SUMIF('מצבת והרשמה (2)'!$F$21:$F$501,'דוח ביצוע (3)'!$B70,'מצבת והרשמה (2)'!$K$21:$K$501),0)</f>
        <v>0</v>
      </c>
      <c r="F70" s="253">
        <f t="shared" si="7"/>
        <v>0</v>
      </c>
      <c r="G70" s="680"/>
      <c r="H70" s="680"/>
      <c r="I70" s="253">
        <f t="shared" si="20"/>
        <v>0</v>
      </c>
      <c r="J70" s="453">
        <f t="shared" si="8"/>
        <v>0</v>
      </c>
      <c r="K70" s="689"/>
      <c r="L70" s="689"/>
      <c r="M70" s="969">
        <f t="shared" si="9"/>
        <v>0</v>
      </c>
      <c r="N70" s="1029" t="str">
        <f t="shared" si="10"/>
        <v/>
      </c>
      <c r="O70" s="969" t="str">
        <f>IFERROR(VLOOKUP(B70,'נתוני רישום ומצבת'!B:Q,16,0),"")</f>
        <v/>
      </c>
      <c r="P70" s="969" t="str">
        <f>IFERROR(VLOOKUP(B70,'נתוני רישום ומצבת'!B:R,17,0),"")</f>
        <v/>
      </c>
      <c r="Q70" s="690"/>
      <c r="R70" s="1009"/>
      <c r="S70" s="376">
        <f t="shared" si="11"/>
        <v>0</v>
      </c>
      <c r="T70" s="376">
        <f t="shared" si="12"/>
        <v>0</v>
      </c>
      <c r="U70" s="386">
        <f t="shared" si="13"/>
        <v>0</v>
      </c>
      <c r="V70" s="513" t="str">
        <f t="shared" si="14"/>
        <v/>
      </c>
      <c r="W70" s="254" t="str">
        <f>IF(ISBLANK(B70)," ",IF(B70=IFERROR(VLOOKUP(B70,'מצבת והרשמה (2)'!F:F,1,0),0),"תקין","לא קיים במצבת כבית ספר בו מתקיימת פעילות"))</f>
        <v xml:space="preserve"> </v>
      </c>
      <c r="X70" s="256" t="str">
        <f t="shared" si="1"/>
        <v/>
      </c>
      <c r="Y70" s="256" t="str">
        <f t="shared" si="2"/>
        <v/>
      </c>
      <c r="Z70" s="741">
        <f t="shared" si="3"/>
        <v>0</v>
      </c>
      <c r="AA70" s="741">
        <f t="shared" si="4"/>
        <v>0</v>
      </c>
      <c r="AB70" s="741">
        <f t="shared" si="5"/>
        <v>0</v>
      </c>
      <c r="AC70" s="987">
        <f t="shared" si="15"/>
        <v>0</v>
      </c>
      <c r="AD70" s="987">
        <f t="shared" si="16"/>
        <v>0</v>
      </c>
      <c r="AE70" s="368" t="str">
        <f>IFERROR(VLOOKUP(B70,'[1]סיכום בקרת רשויות'!$A:$D,4,0),"")</f>
        <v/>
      </c>
      <c r="AF70" s="57" t="str">
        <f t="shared" si="17"/>
        <v/>
      </c>
      <c r="AG70" s="180">
        <f>IF(AF70="כן",M70*'גנים ובתי ספר- מבנה תקציב'!$H$59,0)</f>
        <v>0</v>
      </c>
      <c r="AH70" s="180">
        <f>IF(AF70="כן",M70*'גנים ובתי ספר- מבנה תקציב'!$I$59,0)</f>
        <v>0</v>
      </c>
      <c r="AI70" s="180">
        <f t="shared" si="18"/>
        <v>0</v>
      </c>
      <c r="AJ70" s="368" t="str">
        <f t="shared" si="6"/>
        <v/>
      </c>
    </row>
    <row r="71" spans="1:36" x14ac:dyDescent="0.25">
      <c r="A71" s="57">
        <v>51</v>
      </c>
      <c r="B71" s="690"/>
      <c r="C71" s="690"/>
      <c r="D71" s="252">
        <f>(IFERROR(SUMIF('מצבת והרשמה (2)'!$F$21:$F$501,'דוח ביצוע (3)'!$B71,'מצבת והרשמה (2)'!$J$21:$J$501),0))</f>
        <v>0</v>
      </c>
      <c r="E71" s="252">
        <f>IFERROR(SUMIF('מצבת והרשמה (2)'!$F$21:$F$501,'דוח ביצוע (3)'!$B71,'מצבת והרשמה (2)'!$K$21:$K$501),0)</f>
        <v>0</v>
      </c>
      <c r="F71" s="253">
        <f t="shared" si="7"/>
        <v>0</v>
      </c>
      <c r="G71" s="680"/>
      <c r="H71" s="680"/>
      <c r="I71" s="253">
        <f t="shared" ref="I71:I134" si="21">H71+G71</f>
        <v>0</v>
      </c>
      <c r="J71" s="453">
        <f t="shared" si="8"/>
        <v>0</v>
      </c>
      <c r="K71" s="689"/>
      <c r="L71" s="689"/>
      <c r="M71" s="969">
        <f t="shared" si="9"/>
        <v>0</v>
      </c>
      <c r="N71" s="1029" t="str">
        <f t="shared" si="10"/>
        <v/>
      </c>
      <c r="O71" s="969" t="str">
        <f>IFERROR(VLOOKUP(B71,'נתוני רישום ומצבת'!B:Q,16,0),"")</f>
        <v/>
      </c>
      <c r="P71" s="969" t="str">
        <f>IFERROR(VLOOKUP(B71,'נתוני רישום ומצבת'!B:R,17,0),"")</f>
        <v/>
      </c>
      <c r="Q71" s="690"/>
      <c r="R71" s="1009"/>
      <c r="S71" s="376">
        <f t="shared" si="11"/>
        <v>0</v>
      </c>
      <c r="T71" s="376">
        <f t="shared" si="12"/>
        <v>0</v>
      </c>
      <c r="U71" s="386">
        <f t="shared" si="13"/>
        <v>0</v>
      </c>
      <c r="V71" s="513" t="str">
        <f t="shared" si="14"/>
        <v/>
      </c>
      <c r="W71" s="254" t="str">
        <f>IF(ISBLANK(B71)," ",IF(B71=IFERROR(VLOOKUP(B71,'מצבת והרשמה (2)'!F:F,1,0),0),"תקין","לא קיים במצבת כבית ספר בו מתקיימת פעילות"))</f>
        <v xml:space="preserve"> </v>
      </c>
      <c r="X71" s="256" t="str">
        <f t="shared" si="1"/>
        <v/>
      </c>
      <c r="Y71" s="256" t="str">
        <f t="shared" si="2"/>
        <v/>
      </c>
      <c r="Z71" s="741">
        <f t="shared" si="3"/>
        <v>0</v>
      </c>
      <c r="AA71" s="741">
        <f t="shared" si="4"/>
        <v>0</v>
      </c>
      <c r="AB71" s="741">
        <f t="shared" si="5"/>
        <v>0</v>
      </c>
      <c r="AC71" s="987">
        <f t="shared" si="15"/>
        <v>0</v>
      </c>
      <c r="AD71" s="987">
        <f t="shared" si="16"/>
        <v>0</v>
      </c>
      <c r="AE71" s="368" t="str">
        <f>IFERROR(VLOOKUP(B71,'[1]סיכום בקרת רשויות'!$A:$D,4,0),"")</f>
        <v/>
      </c>
      <c r="AF71" s="57" t="str">
        <f t="shared" si="17"/>
        <v/>
      </c>
      <c r="AG71" s="180">
        <f>IF(AF71="כן",M71*'גנים ובתי ספר- מבנה תקציב'!$H$59,0)</f>
        <v>0</v>
      </c>
      <c r="AH71" s="180">
        <f>IF(AF71="כן",M71*'גנים ובתי ספר- מבנה תקציב'!$I$59,0)</f>
        <v>0</v>
      </c>
      <c r="AI71" s="180">
        <f t="shared" si="18"/>
        <v>0</v>
      </c>
      <c r="AJ71" s="368" t="str">
        <f t="shared" si="6"/>
        <v/>
      </c>
    </row>
    <row r="72" spans="1:36" x14ac:dyDescent="0.25">
      <c r="A72" s="57">
        <v>52</v>
      </c>
      <c r="B72" s="690"/>
      <c r="C72" s="690"/>
      <c r="D72" s="252">
        <f>(IFERROR(SUMIF('מצבת והרשמה (2)'!$F$21:$F$501,'דוח ביצוע (3)'!$B72,'מצבת והרשמה (2)'!$J$21:$J$501),0))</f>
        <v>0</v>
      </c>
      <c r="E72" s="252">
        <f>IFERROR(SUMIF('מצבת והרשמה (2)'!$F$21:$F$501,'דוח ביצוע (3)'!$B72,'מצבת והרשמה (2)'!$K$21:$K$501),0)</f>
        <v>0</v>
      </c>
      <c r="F72" s="253">
        <f t="shared" si="7"/>
        <v>0</v>
      </c>
      <c r="G72" s="680"/>
      <c r="H72" s="680"/>
      <c r="I72" s="253">
        <f t="shared" si="21"/>
        <v>0</v>
      </c>
      <c r="J72" s="453">
        <f t="shared" si="8"/>
        <v>0</v>
      </c>
      <c r="K72" s="689"/>
      <c r="L72" s="689"/>
      <c r="M72" s="969">
        <f t="shared" si="9"/>
        <v>0</v>
      </c>
      <c r="N72" s="1029" t="str">
        <f t="shared" si="10"/>
        <v/>
      </c>
      <c r="O72" s="969" t="str">
        <f>IFERROR(VLOOKUP(B72,'נתוני רישום ומצבת'!B:Q,16,0),"")</f>
        <v/>
      </c>
      <c r="P72" s="969" t="str">
        <f>IFERROR(VLOOKUP(B72,'נתוני רישום ומצבת'!B:R,17,0),"")</f>
        <v/>
      </c>
      <c r="Q72" s="690"/>
      <c r="R72" s="1009"/>
      <c r="S72" s="376">
        <f t="shared" si="11"/>
        <v>0</v>
      </c>
      <c r="T72" s="376">
        <f t="shared" si="12"/>
        <v>0</v>
      </c>
      <c r="U72" s="386">
        <f t="shared" si="13"/>
        <v>0</v>
      </c>
      <c r="V72" s="513" t="str">
        <f t="shared" si="14"/>
        <v/>
      </c>
      <c r="W72" s="254" t="str">
        <f>IF(ISBLANK(B72)," ",IF(B72=IFERROR(VLOOKUP(B72,'מצבת והרשמה (2)'!F:F,1,0),0),"תקין","לא קיים במצבת כבית ספר בו מתקיימת פעילות"))</f>
        <v xml:space="preserve"> </v>
      </c>
      <c r="X72" s="256" t="str">
        <f t="shared" si="1"/>
        <v/>
      </c>
      <c r="Y72" s="256" t="str">
        <f t="shared" si="2"/>
        <v/>
      </c>
      <c r="Z72" s="741">
        <f t="shared" si="3"/>
        <v>0</v>
      </c>
      <c r="AA72" s="741">
        <f t="shared" si="4"/>
        <v>0</v>
      </c>
      <c r="AB72" s="741">
        <f t="shared" si="5"/>
        <v>0</v>
      </c>
      <c r="AC72" s="987">
        <f t="shared" si="15"/>
        <v>0</v>
      </c>
      <c r="AD72" s="987">
        <f t="shared" si="16"/>
        <v>0</v>
      </c>
      <c r="AE72" s="368" t="str">
        <f>IFERROR(VLOOKUP(B72,'[1]סיכום בקרת רשויות'!$A:$D,4,0),"")</f>
        <v/>
      </c>
      <c r="AF72" s="57" t="str">
        <f t="shared" si="17"/>
        <v/>
      </c>
      <c r="AG72" s="180">
        <f>IF(AF72="כן",M72*'גנים ובתי ספר- מבנה תקציב'!$H$59,0)</f>
        <v>0</v>
      </c>
      <c r="AH72" s="180">
        <f>IF(AF72="כן",M72*'גנים ובתי ספר- מבנה תקציב'!$I$59,0)</f>
        <v>0</v>
      </c>
      <c r="AI72" s="180">
        <f t="shared" si="18"/>
        <v>0</v>
      </c>
      <c r="AJ72" s="368" t="str">
        <f t="shared" si="6"/>
        <v/>
      </c>
    </row>
    <row r="73" spans="1:36" x14ac:dyDescent="0.25">
      <c r="A73" s="57">
        <v>53</v>
      </c>
      <c r="B73" s="690"/>
      <c r="C73" s="690"/>
      <c r="D73" s="252">
        <f>(IFERROR(SUMIF('מצבת והרשמה (2)'!$F$21:$F$501,'דוח ביצוע (3)'!$B73,'מצבת והרשמה (2)'!$J$21:$J$501),0))</f>
        <v>0</v>
      </c>
      <c r="E73" s="252">
        <f>IFERROR(SUMIF('מצבת והרשמה (2)'!$F$21:$F$501,'דוח ביצוע (3)'!$B73,'מצבת והרשמה (2)'!$K$21:$K$501),0)</f>
        <v>0</v>
      </c>
      <c r="F73" s="253">
        <f t="shared" si="7"/>
        <v>0</v>
      </c>
      <c r="G73" s="680"/>
      <c r="H73" s="680"/>
      <c r="I73" s="253">
        <f t="shared" si="21"/>
        <v>0</v>
      </c>
      <c r="J73" s="453">
        <f t="shared" si="8"/>
        <v>0</v>
      </c>
      <c r="K73" s="689"/>
      <c r="L73" s="689"/>
      <c r="M73" s="969">
        <f t="shared" si="9"/>
        <v>0</v>
      </c>
      <c r="N73" s="1029" t="str">
        <f t="shared" si="10"/>
        <v/>
      </c>
      <c r="O73" s="969" t="str">
        <f>IFERROR(VLOOKUP(B73,'נתוני רישום ומצבת'!B:Q,16,0),"")</f>
        <v/>
      </c>
      <c r="P73" s="969" t="str">
        <f>IFERROR(VLOOKUP(B73,'נתוני רישום ומצבת'!B:R,17,0),"")</f>
        <v/>
      </c>
      <c r="Q73" s="690"/>
      <c r="R73" s="1009"/>
      <c r="S73" s="376">
        <f t="shared" si="11"/>
        <v>0</v>
      </c>
      <c r="T73" s="376">
        <f t="shared" si="12"/>
        <v>0</v>
      </c>
      <c r="U73" s="386">
        <f t="shared" si="13"/>
        <v>0</v>
      </c>
      <c r="V73" s="513" t="str">
        <f t="shared" si="14"/>
        <v/>
      </c>
      <c r="W73" s="254" t="str">
        <f>IF(ISBLANK(B73)," ",IF(B73=IFERROR(VLOOKUP(B73,'מצבת והרשמה (2)'!F:F,1,0),0),"תקין","לא קיים במצבת כבית ספר בו מתקיימת פעילות"))</f>
        <v xml:space="preserve"> </v>
      </c>
      <c r="X73" s="256" t="str">
        <f t="shared" si="1"/>
        <v/>
      </c>
      <c r="Y73" s="256" t="str">
        <f t="shared" si="2"/>
        <v/>
      </c>
      <c r="Z73" s="741">
        <f t="shared" si="3"/>
        <v>0</v>
      </c>
      <c r="AA73" s="741">
        <f t="shared" si="4"/>
        <v>0</v>
      </c>
      <c r="AB73" s="741">
        <f t="shared" si="5"/>
        <v>0</v>
      </c>
      <c r="AC73" s="987">
        <f t="shared" si="15"/>
        <v>0</v>
      </c>
      <c r="AD73" s="987">
        <f t="shared" si="16"/>
        <v>0</v>
      </c>
      <c r="AE73" s="368" t="str">
        <f>IFERROR(VLOOKUP(B73,'[1]סיכום בקרת רשויות'!$A:$D,4,0),"")</f>
        <v/>
      </c>
      <c r="AF73" s="57" t="str">
        <f t="shared" si="17"/>
        <v/>
      </c>
      <c r="AG73" s="180">
        <f>IF(AF73="כן",M73*'גנים ובתי ספר- מבנה תקציב'!$H$59,0)</f>
        <v>0</v>
      </c>
      <c r="AH73" s="180">
        <f>IF(AF73="כן",M73*'גנים ובתי ספר- מבנה תקציב'!$I$59,0)</f>
        <v>0</v>
      </c>
      <c r="AI73" s="180">
        <f t="shared" si="18"/>
        <v>0</v>
      </c>
      <c r="AJ73" s="368" t="str">
        <f t="shared" si="6"/>
        <v/>
      </c>
    </row>
    <row r="74" spans="1:36" x14ac:dyDescent="0.25">
      <c r="A74" s="57">
        <v>54</v>
      </c>
      <c r="B74" s="690"/>
      <c r="C74" s="690"/>
      <c r="D74" s="252">
        <f>(IFERROR(SUMIF('מצבת והרשמה (2)'!$F$21:$F$501,'דוח ביצוע (3)'!$B74,'מצבת והרשמה (2)'!$J$21:$J$501),0))</f>
        <v>0</v>
      </c>
      <c r="E74" s="252">
        <f>IFERROR(SUMIF('מצבת והרשמה (2)'!$F$21:$F$501,'דוח ביצוע (3)'!$B74,'מצבת והרשמה (2)'!$K$21:$K$501),0)</f>
        <v>0</v>
      </c>
      <c r="F74" s="253">
        <f t="shared" si="7"/>
        <v>0</v>
      </c>
      <c r="G74" s="680"/>
      <c r="H74" s="680"/>
      <c r="I74" s="253">
        <f t="shared" si="21"/>
        <v>0</v>
      </c>
      <c r="J74" s="453">
        <f t="shared" si="8"/>
        <v>0</v>
      </c>
      <c r="K74" s="689"/>
      <c r="L74" s="689"/>
      <c r="M74" s="969">
        <f t="shared" si="9"/>
        <v>0</v>
      </c>
      <c r="N74" s="1029" t="str">
        <f t="shared" si="10"/>
        <v/>
      </c>
      <c r="O74" s="969" t="str">
        <f>IFERROR(VLOOKUP(B74,'נתוני רישום ומצבת'!B:Q,16,0),"")</f>
        <v/>
      </c>
      <c r="P74" s="969" t="str">
        <f>IFERROR(VLOOKUP(B74,'נתוני רישום ומצבת'!B:R,17,0),"")</f>
        <v/>
      </c>
      <c r="Q74" s="690"/>
      <c r="R74" s="1009"/>
      <c r="S74" s="376">
        <f t="shared" si="11"/>
        <v>0</v>
      </c>
      <c r="T74" s="376">
        <f t="shared" si="12"/>
        <v>0</v>
      </c>
      <c r="U74" s="386">
        <f t="shared" si="13"/>
        <v>0</v>
      </c>
      <c r="V74" s="513" t="str">
        <f t="shared" si="14"/>
        <v/>
      </c>
      <c r="W74" s="254" t="str">
        <f>IF(ISBLANK(B74)," ",IF(B74=IFERROR(VLOOKUP(B74,'מצבת והרשמה (2)'!F:F,1,0),0),"תקין","לא קיים במצבת כבית ספר בו מתקיימת פעילות"))</f>
        <v xml:space="preserve"> </v>
      </c>
      <c r="X74" s="256" t="str">
        <f t="shared" si="1"/>
        <v/>
      </c>
      <c r="Y74" s="256" t="str">
        <f t="shared" si="2"/>
        <v/>
      </c>
      <c r="Z74" s="741">
        <f t="shared" si="3"/>
        <v>0</v>
      </c>
      <c r="AA74" s="741">
        <f t="shared" si="4"/>
        <v>0</v>
      </c>
      <c r="AB74" s="741">
        <f t="shared" si="5"/>
        <v>0</v>
      </c>
      <c r="AC74" s="987">
        <f t="shared" si="15"/>
        <v>0</v>
      </c>
      <c r="AD74" s="987">
        <f t="shared" si="16"/>
        <v>0</v>
      </c>
      <c r="AE74" s="368" t="str">
        <f>IFERROR(VLOOKUP(B74,'[1]סיכום בקרת רשויות'!$A:$D,4,0),"")</f>
        <v/>
      </c>
      <c r="AF74" s="57" t="str">
        <f t="shared" si="17"/>
        <v/>
      </c>
      <c r="AG74" s="180">
        <f>IF(AF74="כן",M74*'גנים ובתי ספר- מבנה תקציב'!$H$59,0)</f>
        <v>0</v>
      </c>
      <c r="AH74" s="180">
        <f>IF(AF74="כן",M74*'גנים ובתי ספר- מבנה תקציב'!$I$59,0)</f>
        <v>0</v>
      </c>
      <c r="AI74" s="180">
        <f t="shared" si="18"/>
        <v>0</v>
      </c>
      <c r="AJ74" s="368" t="str">
        <f t="shared" si="6"/>
        <v/>
      </c>
    </row>
    <row r="75" spans="1:36" x14ac:dyDescent="0.25">
      <c r="A75" s="57">
        <v>55</v>
      </c>
      <c r="B75" s="690"/>
      <c r="C75" s="690"/>
      <c r="D75" s="252">
        <f>(IFERROR(SUMIF('מצבת והרשמה (2)'!$F$21:$F$501,'דוח ביצוע (3)'!$B75,'מצבת והרשמה (2)'!$J$21:$J$501),0))</f>
        <v>0</v>
      </c>
      <c r="E75" s="252">
        <f>IFERROR(SUMIF('מצבת והרשמה (2)'!$F$21:$F$501,'דוח ביצוע (3)'!$B75,'מצבת והרשמה (2)'!$K$21:$K$501),0)</f>
        <v>0</v>
      </c>
      <c r="F75" s="253">
        <f t="shared" si="7"/>
        <v>0</v>
      </c>
      <c r="G75" s="680"/>
      <c r="H75" s="680"/>
      <c r="I75" s="253">
        <f t="shared" si="21"/>
        <v>0</v>
      </c>
      <c r="J75" s="453">
        <f t="shared" si="8"/>
        <v>0</v>
      </c>
      <c r="K75" s="689"/>
      <c r="L75" s="689"/>
      <c r="M75" s="969">
        <f t="shared" si="9"/>
        <v>0</v>
      </c>
      <c r="N75" s="1029" t="str">
        <f t="shared" si="10"/>
        <v/>
      </c>
      <c r="O75" s="969" t="str">
        <f>IFERROR(VLOOKUP(B75,'נתוני רישום ומצבת'!B:Q,16,0),"")</f>
        <v/>
      </c>
      <c r="P75" s="969" t="str">
        <f>IFERROR(VLOOKUP(B75,'נתוני רישום ומצבת'!B:R,17,0),"")</f>
        <v/>
      </c>
      <c r="Q75" s="690"/>
      <c r="R75" s="1009"/>
      <c r="S75" s="376">
        <f t="shared" si="11"/>
        <v>0</v>
      </c>
      <c r="T75" s="376">
        <f t="shared" si="12"/>
        <v>0</v>
      </c>
      <c r="U75" s="386">
        <f t="shared" si="13"/>
        <v>0</v>
      </c>
      <c r="V75" s="513" t="str">
        <f t="shared" si="14"/>
        <v/>
      </c>
      <c r="W75" s="254" t="str">
        <f>IF(ISBLANK(B75)," ",IF(B75=IFERROR(VLOOKUP(B75,'מצבת והרשמה (2)'!F:F,1,0),0),"תקין","לא קיים במצבת כבית ספר בו מתקיימת פעילות"))</f>
        <v xml:space="preserve"> </v>
      </c>
      <c r="X75" s="256" t="str">
        <f t="shared" si="1"/>
        <v/>
      </c>
      <c r="Y75" s="256" t="str">
        <f t="shared" si="2"/>
        <v/>
      </c>
      <c r="Z75" s="741">
        <f t="shared" si="3"/>
        <v>0</v>
      </c>
      <c r="AA75" s="741">
        <f t="shared" si="4"/>
        <v>0</v>
      </c>
      <c r="AB75" s="741">
        <f t="shared" si="5"/>
        <v>0</v>
      </c>
      <c r="AC75" s="987">
        <f t="shared" si="15"/>
        <v>0</v>
      </c>
      <c r="AD75" s="987">
        <f t="shared" si="16"/>
        <v>0</v>
      </c>
      <c r="AE75" s="368" t="str">
        <f>IFERROR(VLOOKUP(B75,'[1]סיכום בקרת רשויות'!$A:$D,4,0),"")</f>
        <v/>
      </c>
      <c r="AF75" s="57" t="str">
        <f t="shared" si="17"/>
        <v/>
      </c>
      <c r="AG75" s="180">
        <f>IF(AF75="כן",M75*'גנים ובתי ספר- מבנה תקציב'!$H$59,0)</f>
        <v>0</v>
      </c>
      <c r="AH75" s="180">
        <f>IF(AF75="כן",M75*'גנים ובתי ספר- מבנה תקציב'!$I$59,0)</f>
        <v>0</v>
      </c>
      <c r="AI75" s="180">
        <f t="shared" si="18"/>
        <v>0</v>
      </c>
      <c r="AJ75" s="368" t="str">
        <f t="shared" si="6"/>
        <v/>
      </c>
    </row>
    <row r="76" spans="1:36" x14ac:dyDescent="0.25">
      <c r="A76" s="57">
        <v>56</v>
      </c>
      <c r="B76" s="690"/>
      <c r="C76" s="690"/>
      <c r="D76" s="252">
        <f>(IFERROR(SUMIF('מצבת והרשמה (2)'!$F$21:$F$501,'דוח ביצוע (3)'!$B76,'מצבת והרשמה (2)'!$J$21:$J$501),0))</f>
        <v>0</v>
      </c>
      <c r="E76" s="252">
        <f>IFERROR(SUMIF('מצבת והרשמה (2)'!$F$21:$F$501,'דוח ביצוע (3)'!$B76,'מצבת והרשמה (2)'!$K$21:$K$501),0)</f>
        <v>0</v>
      </c>
      <c r="F76" s="253">
        <f t="shared" si="7"/>
        <v>0</v>
      </c>
      <c r="G76" s="680"/>
      <c r="H76" s="680"/>
      <c r="I76" s="253">
        <f t="shared" si="21"/>
        <v>0</v>
      </c>
      <c r="J76" s="453">
        <f t="shared" si="8"/>
        <v>0</v>
      </c>
      <c r="K76" s="689"/>
      <c r="L76" s="689"/>
      <c r="M76" s="969">
        <f t="shared" si="9"/>
        <v>0</v>
      </c>
      <c r="N76" s="1029" t="str">
        <f t="shared" si="10"/>
        <v/>
      </c>
      <c r="O76" s="969" t="str">
        <f>IFERROR(VLOOKUP(B76,'נתוני רישום ומצבת'!B:Q,16,0),"")</f>
        <v/>
      </c>
      <c r="P76" s="969" t="str">
        <f>IFERROR(VLOOKUP(B76,'נתוני רישום ומצבת'!B:R,17,0),"")</f>
        <v/>
      </c>
      <c r="Q76" s="690"/>
      <c r="R76" s="1009"/>
      <c r="S76" s="376">
        <f t="shared" si="11"/>
        <v>0</v>
      </c>
      <c r="T76" s="376">
        <f t="shared" si="12"/>
        <v>0</v>
      </c>
      <c r="U76" s="386">
        <f t="shared" si="13"/>
        <v>0</v>
      </c>
      <c r="V76" s="513" t="str">
        <f t="shared" si="14"/>
        <v/>
      </c>
      <c r="W76" s="254" t="str">
        <f>IF(ISBLANK(B76)," ",IF(B76=IFERROR(VLOOKUP(B76,'מצבת והרשמה (2)'!F:F,1,0),0),"תקין","לא קיים במצבת כבית ספר בו מתקיימת פעילות"))</f>
        <v xml:space="preserve"> </v>
      </c>
      <c r="X76" s="256" t="str">
        <f t="shared" si="1"/>
        <v/>
      </c>
      <c r="Y76" s="256" t="str">
        <f t="shared" si="2"/>
        <v/>
      </c>
      <c r="Z76" s="741">
        <f t="shared" si="3"/>
        <v>0</v>
      </c>
      <c r="AA76" s="741">
        <f t="shared" si="4"/>
        <v>0</v>
      </c>
      <c r="AB76" s="741">
        <f t="shared" si="5"/>
        <v>0</v>
      </c>
      <c r="AC76" s="987">
        <f t="shared" si="15"/>
        <v>0</v>
      </c>
      <c r="AD76" s="987">
        <f t="shared" si="16"/>
        <v>0</v>
      </c>
      <c r="AE76" s="368" t="str">
        <f>IFERROR(VLOOKUP(B76,'[1]סיכום בקרת רשויות'!$A:$D,4,0),"")</f>
        <v/>
      </c>
      <c r="AF76" s="57" t="str">
        <f t="shared" si="17"/>
        <v/>
      </c>
      <c r="AG76" s="180">
        <f>IF(AF76="כן",M76*'גנים ובתי ספר- מבנה תקציב'!$H$59,0)</f>
        <v>0</v>
      </c>
      <c r="AH76" s="180">
        <f>IF(AF76="כן",M76*'גנים ובתי ספר- מבנה תקציב'!$I$59,0)</f>
        <v>0</v>
      </c>
      <c r="AI76" s="180">
        <f t="shared" si="18"/>
        <v>0</v>
      </c>
      <c r="AJ76" s="368" t="str">
        <f t="shared" si="6"/>
        <v/>
      </c>
    </row>
    <row r="77" spans="1:36" x14ac:dyDescent="0.25">
      <c r="A77" s="57">
        <v>57</v>
      </c>
      <c r="B77" s="690"/>
      <c r="C77" s="690"/>
      <c r="D77" s="252">
        <f>(IFERROR(SUMIF('מצבת והרשמה (2)'!$F$21:$F$501,'דוח ביצוע (3)'!$B77,'מצבת והרשמה (2)'!$J$21:$J$501),0))</f>
        <v>0</v>
      </c>
      <c r="E77" s="252">
        <f>IFERROR(SUMIF('מצבת והרשמה (2)'!$F$21:$F$501,'דוח ביצוע (3)'!$B77,'מצבת והרשמה (2)'!$K$21:$K$501),0)</f>
        <v>0</v>
      </c>
      <c r="F77" s="253">
        <f t="shared" si="7"/>
        <v>0</v>
      </c>
      <c r="G77" s="680"/>
      <c r="H77" s="680"/>
      <c r="I77" s="253">
        <f t="shared" si="21"/>
        <v>0</v>
      </c>
      <c r="J77" s="453">
        <f t="shared" si="8"/>
        <v>0</v>
      </c>
      <c r="K77" s="689"/>
      <c r="L77" s="689"/>
      <c r="M77" s="969">
        <f t="shared" si="9"/>
        <v>0</v>
      </c>
      <c r="N77" s="1029" t="str">
        <f t="shared" si="10"/>
        <v/>
      </c>
      <c r="O77" s="969" t="str">
        <f>IFERROR(VLOOKUP(B77,'נתוני רישום ומצבת'!B:Q,16,0),"")</f>
        <v/>
      </c>
      <c r="P77" s="969" t="str">
        <f>IFERROR(VLOOKUP(B77,'נתוני רישום ומצבת'!B:R,17,0),"")</f>
        <v/>
      </c>
      <c r="Q77" s="690"/>
      <c r="R77" s="1009"/>
      <c r="S77" s="376">
        <f t="shared" si="11"/>
        <v>0</v>
      </c>
      <c r="T77" s="376">
        <f t="shared" si="12"/>
        <v>0</v>
      </c>
      <c r="U77" s="386">
        <f t="shared" si="13"/>
        <v>0</v>
      </c>
      <c r="V77" s="513" t="str">
        <f t="shared" si="14"/>
        <v/>
      </c>
      <c r="W77" s="254" t="str">
        <f>IF(ISBLANK(B77)," ",IF(B77=IFERROR(VLOOKUP(B77,'מצבת והרשמה (2)'!F:F,1,0),0),"תקין","לא קיים במצבת כבית ספר בו מתקיימת פעילות"))</f>
        <v xml:space="preserve"> </v>
      </c>
      <c r="X77" s="256" t="str">
        <f t="shared" si="1"/>
        <v/>
      </c>
      <c r="Y77" s="256" t="str">
        <f t="shared" si="2"/>
        <v/>
      </c>
      <c r="Z77" s="741">
        <f t="shared" si="3"/>
        <v>0</v>
      </c>
      <c r="AA77" s="741">
        <f t="shared" si="4"/>
        <v>0</v>
      </c>
      <c r="AB77" s="741">
        <f t="shared" si="5"/>
        <v>0</v>
      </c>
      <c r="AC77" s="987">
        <f t="shared" si="15"/>
        <v>0</v>
      </c>
      <c r="AD77" s="987">
        <f t="shared" si="16"/>
        <v>0</v>
      </c>
      <c r="AE77" s="368" t="str">
        <f>IFERROR(VLOOKUP(B77,'[1]סיכום בקרת רשויות'!$A:$D,4,0),"")</f>
        <v/>
      </c>
      <c r="AF77" s="57" t="str">
        <f t="shared" si="17"/>
        <v/>
      </c>
      <c r="AG77" s="180">
        <f>IF(AF77="כן",M77*'גנים ובתי ספר- מבנה תקציב'!$H$59,0)</f>
        <v>0</v>
      </c>
      <c r="AH77" s="180">
        <f>IF(AF77="כן",M77*'גנים ובתי ספר- מבנה תקציב'!$I$59,0)</f>
        <v>0</v>
      </c>
      <c r="AI77" s="180">
        <f t="shared" si="18"/>
        <v>0</v>
      </c>
      <c r="AJ77" s="368" t="str">
        <f t="shared" si="6"/>
        <v/>
      </c>
    </row>
    <row r="78" spans="1:36" x14ac:dyDescent="0.25">
      <c r="A78" s="57">
        <v>58</v>
      </c>
      <c r="B78" s="690"/>
      <c r="C78" s="690"/>
      <c r="D78" s="252">
        <f>(IFERROR(SUMIF('מצבת והרשמה (2)'!$F$21:$F$501,'דוח ביצוע (3)'!$B78,'מצבת והרשמה (2)'!$J$21:$J$501),0))</f>
        <v>0</v>
      </c>
      <c r="E78" s="252">
        <f>IFERROR(SUMIF('מצבת והרשמה (2)'!$F$21:$F$501,'דוח ביצוע (3)'!$B78,'מצבת והרשמה (2)'!$K$21:$K$501),0)</f>
        <v>0</v>
      </c>
      <c r="F78" s="253">
        <f t="shared" si="7"/>
        <v>0</v>
      </c>
      <c r="G78" s="680"/>
      <c r="H78" s="680"/>
      <c r="I78" s="253">
        <f t="shared" si="21"/>
        <v>0</v>
      </c>
      <c r="J78" s="453">
        <f t="shared" si="8"/>
        <v>0</v>
      </c>
      <c r="K78" s="689"/>
      <c r="L78" s="689"/>
      <c r="M78" s="969">
        <f t="shared" si="9"/>
        <v>0</v>
      </c>
      <c r="N78" s="1029" t="str">
        <f t="shared" si="10"/>
        <v/>
      </c>
      <c r="O78" s="969" t="str">
        <f>IFERROR(VLOOKUP(B78,'נתוני רישום ומצבת'!B:Q,16,0),"")</f>
        <v/>
      </c>
      <c r="P78" s="969" t="str">
        <f>IFERROR(VLOOKUP(B78,'נתוני רישום ומצבת'!B:R,17,0),"")</f>
        <v/>
      </c>
      <c r="Q78" s="690"/>
      <c r="R78" s="1009"/>
      <c r="S78" s="376">
        <f t="shared" si="11"/>
        <v>0</v>
      </c>
      <c r="T78" s="376">
        <f t="shared" si="12"/>
        <v>0</v>
      </c>
      <c r="U78" s="386">
        <f t="shared" si="13"/>
        <v>0</v>
      </c>
      <c r="V78" s="513" t="str">
        <f t="shared" si="14"/>
        <v/>
      </c>
      <c r="W78" s="254" t="str">
        <f>IF(ISBLANK(B78)," ",IF(B78=IFERROR(VLOOKUP(B78,'מצבת והרשמה (2)'!F:F,1,0),0),"תקין","לא קיים במצבת כבית ספר בו מתקיימת פעילות"))</f>
        <v xml:space="preserve"> </v>
      </c>
      <c r="X78" s="256" t="str">
        <f t="shared" si="1"/>
        <v/>
      </c>
      <c r="Y78" s="256" t="str">
        <f t="shared" si="2"/>
        <v/>
      </c>
      <c r="Z78" s="741">
        <f t="shared" si="3"/>
        <v>0</v>
      </c>
      <c r="AA78" s="741">
        <f t="shared" si="4"/>
        <v>0</v>
      </c>
      <c r="AB78" s="741">
        <f t="shared" si="5"/>
        <v>0</v>
      </c>
      <c r="AC78" s="987">
        <f t="shared" si="15"/>
        <v>0</v>
      </c>
      <c r="AD78" s="987">
        <f t="shared" si="16"/>
        <v>0</v>
      </c>
      <c r="AE78" s="368" t="str">
        <f>IFERROR(VLOOKUP(B78,'[1]סיכום בקרת רשויות'!$A:$D,4,0),"")</f>
        <v/>
      </c>
      <c r="AF78" s="57" t="str">
        <f t="shared" si="17"/>
        <v/>
      </c>
      <c r="AG78" s="180">
        <f>IF(AF78="כן",M78*'גנים ובתי ספר- מבנה תקציב'!$H$59,0)</f>
        <v>0</v>
      </c>
      <c r="AH78" s="180">
        <f>IF(AF78="כן",M78*'גנים ובתי ספר- מבנה תקציב'!$I$59,0)</f>
        <v>0</v>
      </c>
      <c r="AI78" s="180">
        <f t="shared" si="18"/>
        <v>0</v>
      </c>
      <c r="AJ78" s="368" t="str">
        <f t="shared" si="6"/>
        <v/>
      </c>
    </row>
    <row r="79" spans="1:36" x14ac:dyDescent="0.25">
      <c r="A79" s="57">
        <v>59</v>
      </c>
      <c r="B79" s="690"/>
      <c r="C79" s="690"/>
      <c r="D79" s="252">
        <f>(IFERROR(SUMIF('מצבת והרשמה (2)'!$F$21:$F$501,'דוח ביצוע (3)'!$B79,'מצבת והרשמה (2)'!$J$21:$J$501),0))</f>
        <v>0</v>
      </c>
      <c r="E79" s="252">
        <f>IFERROR(SUMIF('מצבת והרשמה (2)'!$F$21:$F$501,'דוח ביצוע (3)'!$B79,'מצבת והרשמה (2)'!$K$21:$K$501),0)</f>
        <v>0</v>
      </c>
      <c r="F79" s="253">
        <f t="shared" si="7"/>
        <v>0</v>
      </c>
      <c r="G79" s="680"/>
      <c r="H79" s="680"/>
      <c r="I79" s="253">
        <f t="shared" si="21"/>
        <v>0</v>
      </c>
      <c r="J79" s="453">
        <f t="shared" si="8"/>
        <v>0</v>
      </c>
      <c r="K79" s="689"/>
      <c r="L79" s="689"/>
      <c r="M79" s="969">
        <f t="shared" si="9"/>
        <v>0</v>
      </c>
      <c r="N79" s="1029" t="str">
        <f t="shared" si="10"/>
        <v/>
      </c>
      <c r="O79" s="969" t="str">
        <f>IFERROR(VLOOKUP(B79,'נתוני רישום ומצבת'!B:Q,16,0),"")</f>
        <v/>
      </c>
      <c r="P79" s="969" t="str">
        <f>IFERROR(VLOOKUP(B79,'נתוני רישום ומצבת'!B:R,17,0),"")</f>
        <v/>
      </c>
      <c r="Q79" s="690"/>
      <c r="R79" s="1009"/>
      <c r="S79" s="376">
        <f t="shared" si="11"/>
        <v>0</v>
      </c>
      <c r="T79" s="376">
        <f t="shared" si="12"/>
        <v>0</v>
      </c>
      <c r="U79" s="386">
        <f t="shared" si="13"/>
        <v>0</v>
      </c>
      <c r="V79" s="513" t="str">
        <f t="shared" si="14"/>
        <v/>
      </c>
      <c r="W79" s="254" t="str">
        <f>IF(ISBLANK(B79)," ",IF(B79=IFERROR(VLOOKUP(B79,'מצבת והרשמה (2)'!F:F,1,0),0),"תקין","לא קיים במצבת כבית ספר בו מתקיימת פעילות"))</f>
        <v xml:space="preserve"> </v>
      </c>
      <c r="X79" s="256" t="str">
        <f t="shared" si="1"/>
        <v/>
      </c>
      <c r="Y79" s="256" t="str">
        <f t="shared" si="2"/>
        <v/>
      </c>
      <c r="Z79" s="741">
        <f t="shared" si="3"/>
        <v>0</v>
      </c>
      <c r="AA79" s="741">
        <f t="shared" si="4"/>
        <v>0</v>
      </c>
      <c r="AB79" s="741">
        <f t="shared" si="5"/>
        <v>0</v>
      </c>
      <c r="AC79" s="987">
        <f t="shared" si="15"/>
        <v>0</v>
      </c>
      <c r="AD79" s="987">
        <f t="shared" si="16"/>
        <v>0</v>
      </c>
      <c r="AE79" s="368" t="str">
        <f>IFERROR(VLOOKUP(B79,'[1]סיכום בקרת רשויות'!$A:$D,4,0),"")</f>
        <v/>
      </c>
      <c r="AF79" s="57" t="str">
        <f t="shared" si="17"/>
        <v/>
      </c>
      <c r="AG79" s="180">
        <f>IF(AF79="כן",M79*'גנים ובתי ספר- מבנה תקציב'!$H$59,0)</f>
        <v>0</v>
      </c>
      <c r="AH79" s="180">
        <f>IF(AF79="כן",M79*'גנים ובתי ספר- מבנה תקציב'!$I$59,0)</f>
        <v>0</v>
      </c>
      <c r="AI79" s="180">
        <f t="shared" si="18"/>
        <v>0</v>
      </c>
      <c r="AJ79" s="368" t="str">
        <f t="shared" si="6"/>
        <v/>
      </c>
    </row>
    <row r="80" spans="1:36" x14ac:dyDescent="0.25">
      <c r="A80" s="57">
        <v>60</v>
      </c>
      <c r="B80" s="690"/>
      <c r="C80" s="690"/>
      <c r="D80" s="252">
        <f>(IFERROR(SUMIF('מצבת והרשמה (2)'!$F$21:$F$501,'דוח ביצוע (3)'!$B80,'מצבת והרשמה (2)'!$J$21:$J$501),0))</f>
        <v>0</v>
      </c>
      <c r="E80" s="252">
        <f>IFERROR(SUMIF('מצבת והרשמה (2)'!$F$21:$F$501,'דוח ביצוע (3)'!$B80,'מצבת והרשמה (2)'!$K$21:$K$501),0)</f>
        <v>0</v>
      </c>
      <c r="F80" s="253">
        <f t="shared" si="7"/>
        <v>0</v>
      </c>
      <c r="G80" s="680"/>
      <c r="H80" s="680"/>
      <c r="I80" s="253">
        <f t="shared" si="21"/>
        <v>0</v>
      </c>
      <c r="J80" s="453">
        <f t="shared" si="8"/>
        <v>0</v>
      </c>
      <c r="K80" s="689"/>
      <c r="L80" s="689"/>
      <c r="M80" s="969">
        <f t="shared" si="9"/>
        <v>0</v>
      </c>
      <c r="N80" s="1029" t="str">
        <f t="shared" si="10"/>
        <v/>
      </c>
      <c r="O80" s="969" t="str">
        <f>IFERROR(VLOOKUP(B80,'נתוני רישום ומצבת'!B:Q,16,0),"")</f>
        <v/>
      </c>
      <c r="P80" s="969" t="str">
        <f>IFERROR(VLOOKUP(B80,'נתוני רישום ומצבת'!B:R,17,0),"")</f>
        <v/>
      </c>
      <c r="Q80" s="690"/>
      <c r="R80" s="1009"/>
      <c r="S80" s="376">
        <f t="shared" si="11"/>
        <v>0</v>
      </c>
      <c r="T80" s="376">
        <f t="shared" si="12"/>
        <v>0</v>
      </c>
      <c r="U80" s="386">
        <f t="shared" si="13"/>
        <v>0</v>
      </c>
      <c r="V80" s="513" t="str">
        <f t="shared" si="14"/>
        <v/>
      </c>
      <c r="W80" s="254" t="str">
        <f>IF(ISBLANK(B80)," ",IF(B80=IFERROR(VLOOKUP(B80,'מצבת והרשמה (2)'!F:F,1,0),0),"תקין","לא קיים במצבת כבית ספר בו מתקיימת פעילות"))</f>
        <v xml:space="preserve"> </v>
      </c>
      <c r="X80" s="256" t="str">
        <f t="shared" si="1"/>
        <v/>
      </c>
      <c r="Y80" s="256" t="str">
        <f t="shared" si="2"/>
        <v/>
      </c>
      <c r="Z80" s="741">
        <f t="shared" si="3"/>
        <v>0</v>
      </c>
      <c r="AA80" s="741">
        <f t="shared" si="4"/>
        <v>0</v>
      </c>
      <c r="AB80" s="741">
        <f t="shared" si="5"/>
        <v>0</v>
      </c>
      <c r="AC80" s="987">
        <f t="shared" si="15"/>
        <v>0</v>
      </c>
      <c r="AD80" s="987">
        <f t="shared" si="16"/>
        <v>0</v>
      </c>
      <c r="AE80" s="368" t="str">
        <f>IFERROR(VLOOKUP(B80,'[1]סיכום בקרת רשויות'!$A:$D,4,0),"")</f>
        <v/>
      </c>
      <c r="AF80" s="57" t="str">
        <f t="shared" si="17"/>
        <v/>
      </c>
      <c r="AG80" s="180">
        <f>IF(AF80="כן",M80*'גנים ובתי ספר- מבנה תקציב'!$H$59,0)</f>
        <v>0</v>
      </c>
      <c r="AH80" s="180">
        <f>IF(AF80="כן",M80*'גנים ובתי ספר- מבנה תקציב'!$I$59,0)</f>
        <v>0</v>
      </c>
      <c r="AI80" s="180">
        <f t="shared" si="18"/>
        <v>0</v>
      </c>
      <c r="AJ80" s="368" t="str">
        <f t="shared" si="6"/>
        <v/>
      </c>
    </row>
    <row r="81" spans="1:36" x14ac:dyDescent="0.25">
      <c r="A81" s="57">
        <v>61</v>
      </c>
      <c r="B81" s="690"/>
      <c r="C81" s="690"/>
      <c r="D81" s="252">
        <f>(IFERROR(SUMIF('מצבת והרשמה (2)'!$F$21:$F$501,'דוח ביצוע (3)'!$B81,'מצבת והרשמה (2)'!$J$21:$J$501),0))</f>
        <v>0</v>
      </c>
      <c r="E81" s="252">
        <f>IFERROR(SUMIF('מצבת והרשמה (2)'!$F$21:$F$501,'דוח ביצוע (3)'!$B81,'מצבת והרשמה (2)'!$K$21:$K$501),0)</f>
        <v>0</v>
      </c>
      <c r="F81" s="253">
        <f t="shared" si="7"/>
        <v>0</v>
      </c>
      <c r="G81" s="680"/>
      <c r="H81" s="680"/>
      <c r="I81" s="253">
        <f t="shared" si="21"/>
        <v>0</v>
      </c>
      <c r="J81" s="453">
        <f t="shared" si="8"/>
        <v>0</v>
      </c>
      <c r="K81" s="689"/>
      <c r="L81" s="689"/>
      <c r="M81" s="969">
        <f t="shared" si="9"/>
        <v>0</v>
      </c>
      <c r="N81" s="1029" t="str">
        <f t="shared" si="10"/>
        <v/>
      </c>
      <c r="O81" s="969" t="str">
        <f>IFERROR(VLOOKUP(B81,'נתוני רישום ומצבת'!B:Q,16,0),"")</f>
        <v/>
      </c>
      <c r="P81" s="969" t="str">
        <f>IFERROR(VLOOKUP(B81,'נתוני רישום ומצבת'!B:R,17,0),"")</f>
        <v/>
      </c>
      <c r="Q81" s="690"/>
      <c r="R81" s="1009"/>
      <c r="S81" s="376">
        <f t="shared" si="11"/>
        <v>0</v>
      </c>
      <c r="T81" s="376">
        <f t="shared" si="12"/>
        <v>0</v>
      </c>
      <c r="U81" s="386">
        <f t="shared" si="13"/>
        <v>0</v>
      </c>
      <c r="V81" s="513" t="str">
        <f t="shared" si="14"/>
        <v/>
      </c>
      <c r="W81" s="254" t="str">
        <f>IF(ISBLANK(B81)," ",IF(B81=IFERROR(VLOOKUP(B81,'מצבת והרשמה (2)'!F:F,1,0),0),"תקין","לא קיים במצבת כבית ספר בו מתקיימת פעילות"))</f>
        <v xml:space="preserve"> </v>
      </c>
      <c r="X81" s="256" t="str">
        <f t="shared" si="1"/>
        <v/>
      </c>
      <c r="Y81" s="256" t="str">
        <f t="shared" si="2"/>
        <v/>
      </c>
      <c r="Z81" s="741">
        <f t="shared" si="3"/>
        <v>0</v>
      </c>
      <c r="AA81" s="741">
        <f t="shared" si="4"/>
        <v>0</v>
      </c>
      <c r="AB81" s="741">
        <f t="shared" si="5"/>
        <v>0</v>
      </c>
      <c r="AC81" s="987">
        <f t="shared" si="15"/>
        <v>0</v>
      </c>
      <c r="AD81" s="987">
        <f t="shared" si="16"/>
        <v>0</v>
      </c>
      <c r="AE81" s="368" t="str">
        <f>IFERROR(VLOOKUP(B81,'[1]סיכום בקרת רשויות'!$A:$D,4,0),"")</f>
        <v/>
      </c>
      <c r="AF81" s="57" t="str">
        <f t="shared" si="17"/>
        <v/>
      </c>
      <c r="AG81" s="180">
        <f>IF(AF81="כן",M81*'גנים ובתי ספר- מבנה תקציב'!$H$59,0)</f>
        <v>0</v>
      </c>
      <c r="AH81" s="180">
        <f>IF(AF81="כן",M81*'גנים ובתי ספר- מבנה תקציב'!$I$59,0)</f>
        <v>0</v>
      </c>
      <c r="AI81" s="180">
        <f t="shared" si="18"/>
        <v>0</v>
      </c>
      <c r="AJ81" s="368" t="str">
        <f t="shared" si="6"/>
        <v/>
      </c>
    </row>
    <row r="82" spans="1:36" x14ac:dyDescent="0.25">
      <c r="A82" s="57">
        <v>62</v>
      </c>
      <c r="B82" s="690"/>
      <c r="C82" s="690"/>
      <c r="D82" s="252">
        <f>(IFERROR(SUMIF('מצבת והרשמה (2)'!$F$21:$F$501,'דוח ביצוע (3)'!$B82,'מצבת והרשמה (2)'!$J$21:$J$501),0))</f>
        <v>0</v>
      </c>
      <c r="E82" s="252">
        <f>IFERROR(SUMIF('מצבת והרשמה (2)'!$F$21:$F$501,'דוח ביצוע (3)'!$B82,'מצבת והרשמה (2)'!$K$21:$K$501),0)</f>
        <v>0</v>
      </c>
      <c r="F82" s="253">
        <f t="shared" si="7"/>
        <v>0</v>
      </c>
      <c r="G82" s="680"/>
      <c r="H82" s="680"/>
      <c r="I82" s="253">
        <f t="shared" si="21"/>
        <v>0</v>
      </c>
      <c r="J82" s="453">
        <f t="shared" si="8"/>
        <v>0</v>
      </c>
      <c r="K82" s="689"/>
      <c r="L82" s="689"/>
      <c r="M82" s="969">
        <f t="shared" si="9"/>
        <v>0</v>
      </c>
      <c r="N82" s="1029" t="str">
        <f t="shared" si="10"/>
        <v/>
      </c>
      <c r="O82" s="969" t="str">
        <f>IFERROR(VLOOKUP(B82,'נתוני רישום ומצבת'!B:Q,16,0),"")</f>
        <v/>
      </c>
      <c r="P82" s="969" t="str">
        <f>IFERROR(VLOOKUP(B82,'נתוני רישום ומצבת'!B:R,17,0),"")</f>
        <v/>
      </c>
      <c r="Q82" s="690"/>
      <c r="R82" s="1009"/>
      <c r="S82" s="376">
        <f t="shared" si="11"/>
        <v>0</v>
      </c>
      <c r="T82" s="376">
        <f t="shared" si="12"/>
        <v>0</v>
      </c>
      <c r="U82" s="386">
        <f t="shared" si="13"/>
        <v>0</v>
      </c>
      <c r="V82" s="513" t="str">
        <f t="shared" si="14"/>
        <v/>
      </c>
      <c r="W82" s="254" t="str">
        <f>IF(ISBLANK(B82)," ",IF(B82=IFERROR(VLOOKUP(B82,'מצבת והרשמה (2)'!F:F,1,0),0),"תקין","לא קיים במצבת כבית ספר בו מתקיימת פעילות"))</f>
        <v xml:space="preserve"> </v>
      </c>
      <c r="X82" s="256" t="str">
        <f t="shared" si="1"/>
        <v/>
      </c>
      <c r="Y82" s="256" t="str">
        <f t="shared" si="2"/>
        <v/>
      </c>
      <c r="Z82" s="741">
        <f t="shared" si="3"/>
        <v>0</v>
      </c>
      <c r="AA82" s="741">
        <f t="shared" si="4"/>
        <v>0</v>
      </c>
      <c r="AB82" s="741">
        <f t="shared" si="5"/>
        <v>0</v>
      </c>
      <c r="AC82" s="987">
        <f t="shared" si="15"/>
        <v>0</v>
      </c>
      <c r="AD82" s="987">
        <f t="shared" si="16"/>
        <v>0</v>
      </c>
      <c r="AE82" s="368" t="str">
        <f>IFERROR(VLOOKUP(B82,'[1]סיכום בקרת רשויות'!$A:$D,4,0),"")</f>
        <v/>
      </c>
      <c r="AF82" s="57" t="str">
        <f t="shared" si="17"/>
        <v/>
      </c>
      <c r="AG82" s="180">
        <f>IF(AF82="כן",M82*'גנים ובתי ספר- מבנה תקציב'!$H$59,0)</f>
        <v>0</v>
      </c>
      <c r="AH82" s="180">
        <f>IF(AF82="כן",M82*'גנים ובתי ספר- מבנה תקציב'!$I$59,0)</f>
        <v>0</v>
      </c>
      <c r="AI82" s="180">
        <f t="shared" si="18"/>
        <v>0</v>
      </c>
      <c r="AJ82" s="368" t="str">
        <f t="shared" si="6"/>
        <v/>
      </c>
    </row>
    <row r="83" spans="1:36" x14ac:dyDescent="0.25">
      <c r="A83" s="57">
        <v>63</v>
      </c>
      <c r="B83" s="690"/>
      <c r="C83" s="690"/>
      <c r="D83" s="252">
        <f>(IFERROR(SUMIF('מצבת והרשמה (2)'!$F$21:$F$501,'דוח ביצוע (3)'!$B83,'מצבת והרשמה (2)'!$J$21:$J$501),0))</f>
        <v>0</v>
      </c>
      <c r="E83" s="252">
        <f>IFERROR(SUMIF('מצבת והרשמה (2)'!$F$21:$F$501,'דוח ביצוע (3)'!$B83,'מצבת והרשמה (2)'!$K$21:$K$501),0)</f>
        <v>0</v>
      </c>
      <c r="F83" s="253">
        <f t="shared" si="7"/>
        <v>0</v>
      </c>
      <c r="G83" s="680"/>
      <c r="H83" s="680"/>
      <c r="I83" s="253">
        <f t="shared" si="21"/>
        <v>0</v>
      </c>
      <c r="J83" s="453">
        <f t="shared" si="8"/>
        <v>0</v>
      </c>
      <c r="K83" s="689"/>
      <c r="L83" s="689"/>
      <c r="M83" s="969">
        <f t="shared" si="9"/>
        <v>0</v>
      </c>
      <c r="N83" s="1029" t="str">
        <f t="shared" si="10"/>
        <v/>
      </c>
      <c r="O83" s="969" t="str">
        <f>IFERROR(VLOOKUP(B83,'נתוני רישום ומצבת'!B:Q,16,0),"")</f>
        <v/>
      </c>
      <c r="P83" s="969" t="str">
        <f>IFERROR(VLOOKUP(B83,'נתוני רישום ומצבת'!B:R,17,0),"")</f>
        <v/>
      </c>
      <c r="Q83" s="690"/>
      <c r="R83" s="1009"/>
      <c r="S83" s="376">
        <f t="shared" si="11"/>
        <v>0</v>
      </c>
      <c r="T83" s="376">
        <f t="shared" si="12"/>
        <v>0</v>
      </c>
      <c r="U83" s="386">
        <f t="shared" si="13"/>
        <v>0</v>
      </c>
      <c r="V83" s="513" t="str">
        <f t="shared" si="14"/>
        <v/>
      </c>
      <c r="W83" s="254" t="str">
        <f>IF(ISBLANK(B83)," ",IF(B83=IFERROR(VLOOKUP(B83,'מצבת והרשמה (2)'!F:F,1,0),0),"תקין","לא קיים במצבת כבית ספר בו מתקיימת פעילות"))</f>
        <v xml:space="preserve"> </v>
      </c>
      <c r="X83" s="256" t="str">
        <f t="shared" si="1"/>
        <v/>
      </c>
      <c r="Y83" s="256" t="str">
        <f t="shared" si="2"/>
        <v/>
      </c>
      <c r="Z83" s="741">
        <f t="shared" si="3"/>
        <v>0</v>
      </c>
      <c r="AA83" s="741">
        <f t="shared" si="4"/>
        <v>0</v>
      </c>
      <c r="AB83" s="741">
        <f t="shared" si="5"/>
        <v>0</v>
      </c>
      <c r="AC83" s="987">
        <f t="shared" si="15"/>
        <v>0</v>
      </c>
      <c r="AD83" s="987">
        <f t="shared" si="16"/>
        <v>0</v>
      </c>
      <c r="AE83" s="368" t="str">
        <f>IFERROR(VLOOKUP(B83,'[1]סיכום בקרת רשויות'!$A:$D,4,0),"")</f>
        <v/>
      </c>
      <c r="AF83" s="57" t="str">
        <f t="shared" si="17"/>
        <v/>
      </c>
      <c r="AG83" s="180">
        <f>IF(AF83="כן",M83*'גנים ובתי ספר- מבנה תקציב'!$H$59,0)</f>
        <v>0</v>
      </c>
      <c r="AH83" s="180">
        <f>IF(AF83="כן",M83*'גנים ובתי ספר- מבנה תקציב'!$I$59,0)</f>
        <v>0</v>
      </c>
      <c r="AI83" s="180">
        <f t="shared" si="18"/>
        <v>0</v>
      </c>
      <c r="AJ83" s="368" t="str">
        <f t="shared" si="6"/>
        <v/>
      </c>
    </row>
    <row r="84" spans="1:36" x14ac:dyDescent="0.25">
      <c r="A84" s="57">
        <v>64</v>
      </c>
      <c r="B84" s="690"/>
      <c r="C84" s="690"/>
      <c r="D84" s="252">
        <f>(IFERROR(SUMIF('מצבת והרשמה (2)'!$F$21:$F$501,'דוח ביצוע (3)'!$B84,'מצבת והרשמה (2)'!$J$21:$J$501),0))</f>
        <v>0</v>
      </c>
      <c r="E84" s="252">
        <f>IFERROR(SUMIF('מצבת והרשמה (2)'!$F$21:$F$501,'דוח ביצוע (3)'!$B84,'מצבת והרשמה (2)'!$K$21:$K$501),0)</f>
        <v>0</v>
      </c>
      <c r="F84" s="253">
        <f t="shared" si="7"/>
        <v>0</v>
      </c>
      <c r="G84" s="680"/>
      <c r="H84" s="680"/>
      <c r="I84" s="253">
        <f t="shared" si="21"/>
        <v>0</v>
      </c>
      <c r="J84" s="453">
        <f t="shared" si="8"/>
        <v>0</v>
      </c>
      <c r="K84" s="689"/>
      <c r="L84" s="689"/>
      <c r="M84" s="969">
        <f t="shared" si="9"/>
        <v>0</v>
      </c>
      <c r="N84" s="1029" t="str">
        <f t="shared" si="10"/>
        <v/>
      </c>
      <c r="O84" s="969" t="str">
        <f>IFERROR(VLOOKUP(B84,'נתוני רישום ומצבת'!B:Q,16,0),"")</f>
        <v/>
      </c>
      <c r="P84" s="969" t="str">
        <f>IFERROR(VLOOKUP(B84,'נתוני רישום ומצבת'!B:R,17,0),"")</f>
        <v/>
      </c>
      <c r="Q84" s="690"/>
      <c r="R84" s="1009"/>
      <c r="S84" s="376">
        <f t="shared" si="11"/>
        <v>0</v>
      </c>
      <c r="T84" s="376">
        <f t="shared" si="12"/>
        <v>0</v>
      </c>
      <c r="U84" s="386">
        <f t="shared" si="13"/>
        <v>0</v>
      </c>
      <c r="V84" s="513" t="str">
        <f t="shared" si="14"/>
        <v/>
      </c>
      <c r="W84" s="254" t="str">
        <f>IF(ISBLANK(B84)," ",IF(B84=IFERROR(VLOOKUP(B84,'מצבת והרשמה (2)'!F:F,1,0),0),"תקין","לא קיים במצבת כבית ספר בו מתקיימת פעילות"))</f>
        <v xml:space="preserve"> </v>
      </c>
      <c r="X84" s="256" t="str">
        <f t="shared" si="1"/>
        <v/>
      </c>
      <c r="Y84" s="256" t="str">
        <f t="shared" si="2"/>
        <v/>
      </c>
      <c r="Z84" s="741">
        <f t="shared" si="3"/>
        <v>0</v>
      </c>
      <c r="AA84" s="741">
        <f t="shared" si="4"/>
        <v>0</v>
      </c>
      <c r="AB84" s="741">
        <f t="shared" si="5"/>
        <v>0</v>
      </c>
      <c r="AC84" s="987">
        <f t="shared" si="15"/>
        <v>0</v>
      </c>
      <c r="AD84" s="987">
        <f t="shared" si="16"/>
        <v>0</v>
      </c>
      <c r="AE84" s="368" t="str">
        <f>IFERROR(VLOOKUP(B84,'[1]סיכום בקרת רשויות'!$A:$D,4,0),"")</f>
        <v/>
      </c>
      <c r="AF84" s="57" t="str">
        <f t="shared" si="17"/>
        <v/>
      </c>
      <c r="AG84" s="180">
        <f>IF(AF84="כן",M84*'גנים ובתי ספר- מבנה תקציב'!$H$59,0)</f>
        <v>0</v>
      </c>
      <c r="AH84" s="180">
        <f>IF(AF84="כן",M84*'גנים ובתי ספר- מבנה תקציב'!$I$59,0)</f>
        <v>0</v>
      </c>
      <c r="AI84" s="180">
        <f t="shared" si="18"/>
        <v>0</v>
      </c>
      <c r="AJ84" s="368" t="str">
        <f t="shared" si="6"/>
        <v/>
      </c>
    </row>
    <row r="85" spans="1:36" x14ac:dyDescent="0.25">
      <c r="A85" s="57">
        <v>65</v>
      </c>
      <c r="B85" s="690"/>
      <c r="C85" s="690"/>
      <c r="D85" s="252">
        <f>(IFERROR(SUMIF('מצבת והרשמה (2)'!$F$21:$F$501,'דוח ביצוע (3)'!$B85,'מצבת והרשמה (2)'!$J$21:$J$501),0))</f>
        <v>0</v>
      </c>
      <c r="E85" s="252">
        <f>IFERROR(SUMIF('מצבת והרשמה (2)'!$F$21:$F$501,'דוח ביצוע (3)'!$B85,'מצבת והרשמה (2)'!$K$21:$K$501),0)</f>
        <v>0</v>
      </c>
      <c r="F85" s="253">
        <f t="shared" si="7"/>
        <v>0</v>
      </c>
      <c r="G85" s="680"/>
      <c r="H85" s="680"/>
      <c r="I85" s="253">
        <f t="shared" si="21"/>
        <v>0</v>
      </c>
      <c r="J85" s="453">
        <f t="shared" si="8"/>
        <v>0</v>
      </c>
      <c r="K85" s="689"/>
      <c r="L85" s="689"/>
      <c r="M85" s="969">
        <f t="shared" si="9"/>
        <v>0</v>
      </c>
      <c r="N85" s="1029" t="str">
        <f t="shared" si="10"/>
        <v/>
      </c>
      <c r="O85" s="969" t="str">
        <f>IFERROR(VLOOKUP(B85,'נתוני רישום ומצבת'!B:Q,16,0),"")</f>
        <v/>
      </c>
      <c r="P85" s="969" t="str">
        <f>IFERROR(VLOOKUP(B85,'נתוני רישום ומצבת'!B:R,17,0),"")</f>
        <v/>
      </c>
      <c r="Q85" s="690"/>
      <c r="R85" s="1009"/>
      <c r="S85" s="376">
        <f t="shared" si="11"/>
        <v>0</v>
      </c>
      <c r="T85" s="376">
        <f t="shared" si="12"/>
        <v>0</v>
      </c>
      <c r="U85" s="386">
        <f t="shared" si="13"/>
        <v>0</v>
      </c>
      <c r="V85" s="513" t="str">
        <f t="shared" si="14"/>
        <v/>
      </c>
      <c r="W85" s="254" t="str">
        <f>IF(ISBLANK(B85)," ",IF(B85=IFERROR(VLOOKUP(B85,'מצבת והרשמה (2)'!F:F,1,0),0),"תקין","לא קיים במצבת כבית ספר בו מתקיימת פעילות"))</f>
        <v xml:space="preserve"> </v>
      </c>
      <c r="X85" s="256" t="str">
        <f t="shared" ref="X85:X148" si="22">IF(IFERROR(COUNTIF($C$20:$C$2460,B85)," ")&gt;1,"סמל המוסד מופיע יותר מפעם אחת",IF(ISBLANK(B85),"","תקין"))</f>
        <v/>
      </c>
      <c r="Y85" s="256" t="str">
        <f t="shared" ref="Y85:Y148" si="23">IF(AND(ISNUMBER(B85),ISBLANK(B84)),"יש למלא שורות רצופות","")</f>
        <v/>
      </c>
      <c r="Z85" s="741">
        <f t="shared" ref="Z85:Z148" si="24">IF(OR(LEFT(V85,10)="יש למלא מס",LEFT(V85,10)="יש למלא סי"),1,0)</f>
        <v>0</v>
      </c>
      <c r="AA85" s="741">
        <f t="shared" ref="AA85:AA148" si="25">IF(COUNTIF(סמלפעילות,B85)&gt;1,1,0)</f>
        <v>0</v>
      </c>
      <c r="AB85" s="741">
        <f t="shared" ref="AB85:AB148" si="26">IF(B85&gt;0,IF(I85=0,1,0),0)</f>
        <v>0</v>
      </c>
      <c r="AC85" s="987">
        <f t="shared" si="15"/>
        <v>0</v>
      </c>
      <c r="AD85" s="987">
        <f t="shared" si="16"/>
        <v>0</v>
      </c>
      <c r="AE85" s="368" t="str">
        <f>IFERROR(VLOOKUP(B85,'[1]סיכום בקרת רשויות'!$A:$D,4,0),"")</f>
        <v/>
      </c>
      <c r="AF85" s="57" t="str">
        <f t="shared" si="17"/>
        <v/>
      </c>
      <c r="AG85" s="180">
        <f>IF(AF85="כן",M85*'גנים ובתי ספר- מבנה תקציב'!$H$59,0)</f>
        <v>0</v>
      </c>
      <c r="AH85" s="180">
        <f>IF(AF85="כן",M85*'גנים ובתי ספר- מבנה תקציב'!$I$59,0)</f>
        <v>0</v>
      </c>
      <c r="AI85" s="180">
        <f t="shared" si="18"/>
        <v>0</v>
      </c>
      <c r="AJ85" s="368" t="str">
        <f t="shared" ref="AJ85:AJ148" si="27">IF(B85&gt;0,IF(M85&lt;15,1,0),"")</f>
        <v/>
      </c>
    </row>
    <row r="86" spans="1:36" x14ac:dyDescent="0.25">
      <c r="A86" s="57">
        <v>66</v>
      </c>
      <c r="B86" s="690"/>
      <c r="C86" s="690"/>
      <c r="D86" s="252">
        <f>(IFERROR(SUMIF('מצבת והרשמה (2)'!$F$21:$F$501,'דוח ביצוע (3)'!$B86,'מצבת והרשמה (2)'!$J$21:$J$501),0))</f>
        <v>0</v>
      </c>
      <c r="E86" s="252">
        <f>IFERROR(SUMIF('מצבת והרשמה (2)'!$F$21:$F$501,'דוח ביצוע (3)'!$B86,'מצבת והרשמה (2)'!$K$21:$K$501),0)</f>
        <v>0</v>
      </c>
      <c r="F86" s="253">
        <f t="shared" ref="F86:F149" si="28">E86+D86</f>
        <v>0</v>
      </c>
      <c r="G86" s="680"/>
      <c r="H86" s="680"/>
      <c r="I86" s="253">
        <f t="shared" si="21"/>
        <v>0</v>
      </c>
      <c r="J86" s="453">
        <f t="shared" ref="J86:J149" si="29">IF(F86&gt;149,1,0)</f>
        <v>0</v>
      </c>
      <c r="K86" s="689"/>
      <c r="L86" s="689"/>
      <c r="M86" s="969">
        <f t="shared" ref="M86:M149" si="30">MIN(NETWORKDAYS.INTL(K86,L86,7),15)</f>
        <v>0</v>
      </c>
      <c r="N86" s="1029" t="str">
        <f t="shared" ref="N86:N149" si="31">IF(B86&gt;0,IF(M86&lt;15,"תקופת הפעילות נמוכה מהתקופה הנדרשת, ועל כן המוסד אינו זכאי לתקצוב","תקין"),"")</f>
        <v/>
      </c>
      <c r="O86" s="969" t="str">
        <f>IFERROR(VLOOKUP(B86,'נתוני רישום ומצבת'!B:Q,16,0),"")</f>
        <v/>
      </c>
      <c r="P86" s="969" t="str">
        <f>IFERROR(VLOOKUP(B86,'נתוני רישום ומצבת'!B:R,17,0),"")</f>
        <v/>
      </c>
      <c r="Q86" s="690"/>
      <c r="R86" s="1009"/>
      <c r="S86" s="376">
        <f t="shared" ref="S86:S149" si="32">IF(OR($T$2=0,N86="תקין"),MAX(IF(G86="",0,MIN(G86,D86)),0),0)</f>
        <v>0</v>
      </c>
      <c r="T86" s="376">
        <f t="shared" ref="T86:T149" si="33">IF(OR($T$2=0,N86="תקין"),MAX(IF(H86="",0,MIN(H86,E86)),0),0)</f>
        <v>0</v>
      </c>
      <c r="U86" s="386">
        <f t="shared" ref="U86:U149" si="34">SUM(S86:T86)</f>
        <v>0</v>
      </c>
      <c r="V86" s="513" t="str">
        <f t="shared" ref="V86:V149" si="35">IF(ISNUMBER(B86),IF(M86&lt;1,"יש למלא מס' ימי פעילות",IF(M86&lt;15,"יש למלא סיבה לחוסר ימי פעילות","תקין")),"")</f>
        <v/>
      </c>
      <c r="W86" s="254" t="str">
        <f>IF(ISBLANK(B86)," ",IF(B86=IFERROR(VLOOKUP(B86,'מצבת והרשמה (2)'!F:F,1,0),0),"תקין","לא קיים במצבת כבית ספר בו מתקיימת פעילות"))</f>
        <v xml:space="preserve"> </v>
      </c>
      <c r="X86" s="256" t="str">
        <f t="shared" si="22"/>
        <v/>
      </c>
      <c r="Y86" s="256" t="str">
        <f t="shared" si="23"/>
        <v/>
      </c>
      <c r="Z86" s="741">
        <f t="shared" si="24"/>
        <v>0</v>
      </c>
      <c r="AA86" s="741">
        <f t="shared" si="25"/>
        <v>0</v>
      </c>
      <c r="AB86" s="741">
        <f t="shared" si="26"/>
        <v>0</v>
      </c>
      <c r="AC86" s="987">
        <f t="shared" ref="AC86:AC149" si="36">MAX(IF(G86=" ",0,MIN(G86,D86)),0)</f>
        <v>0</v>
      </c>
      <c r="AD86" s="987">
        <f t="shared" ref="AD86:AD149" si="37">MAX(IF(H86=" ",0,MIN(H86,E86)),0)</f>
        <v>0</v>
      </c>
      <c r="AE86" s="368" t="str">
        <f>IFERROR(VLOOKUP(B86,'[1]סיכום בקרת רשויות'!$A:$D,4,0),"")</f>
        <v/>
      </c>
      <c r="AF86" s="57" t="str">
        <f t="shared" ref="AF86:AF149" si="38">IF(B86&gt;0,IF(Q86&gt;=MIN(40,P86),"כן",""),"")</f>
        <v/>
      </c>
      <c r="AG86" s="180">
        <f>IF(AF86="כן",M86*'גנים ובתי ספר- מבנה תקציב'!$H$59,0)</f>
        <v>0</v>
      </c>
      <c r="AH86" s="180">
        <f>IF(AF86="כן",M86*'גנים ובתי ספר- מבנה תקציב'!$I$59,0)</f>
        <v>0</v>
      </c>
      <c r="AI86" s="180">
        <f t="shared" ref="AI86:AI149" si="39">AH86+AG86</f>
        <v>0</v>
      </c>
      <c r="AJ86" s="368" t="str">
        <f t="shared" si="27"/>
        <v/>
      </c>
    </row>
    <row r="87" spans="1:36" x14ac:dyDescent="0.25">
      <c r="A87" s="57">
        <v>67</v>
      </c>
      <c r="B87" s="690"/>
      <c r="C87" s="690"/>
      <c r="D87" s="252">
        <f>(IFERROR(SUMIF('מצבת והרשמה (2)'!$F$21:$F$501,'דוח ביצוע (3)'!$B87,'מצבת והרשמה (2)'!$J$21:$J$501),0))</f>
        <v>0</v>
      </c>
      <c r="E87" s="252">
        <f>IFERROR(SUMIF('מצבת והרשמה (2)'!$F$21:$F$501,'דוח ביצוע (3)'!$B87,'מצבת והרשמה (2)'!$K$21:$K$501),0)</f>
        <v>0</v>
      </c>
      <c r="F87" s="253">
        <f t="shared" si="28"/>
        <v>0</v>
      </c>
      <c r="G87" s="680"/>
      <c r="H87" s="680"/>
      <c r="I87" s="253">
        <f t="shared" si="21"/>
        <v>0</v>
      </c>
      <c r="J87" s="453">
        <f t="shared" si="29"/>
        <v>0</v>
      </c>
      <c r="K87" s="689"/>
      <c r="L87" s="689"/>
      <c r="M87" s="969">
        <f t="shared" si="30"/>
        <v>0</v>
      </c>
      <c r="N87" s="1029" t="str">
        <f t="shared" si="31"/>
        <v/>
      </c>
      <c r="O87" s="969" t="str">
        <f>IFERROR(VLOOKUP(B87,'נתוני רישום ומצבת'!B:Q,16,0),"")</f>
        <v/>
      </c>
      <c r="P87" s="969" t="str">
        <f>IFERROR(VLOOKUP(B87,'נתוני רישום ומצבת'!B:R,17,0),"")</f>
        <v/>
      </c>
      <c r="Q87" s="690"/>
      <c r="R87" s="1009"/>
      <c r="S87" s="376">
        <f t="shared" si="32"/>
        <v>0</v>
      </c>
      <c r="T87" s="376">
        <f t="shared" si="33"/>
        <v>0</v>
      </c>
      <c r="U87" s="386">
        <f t="shared" si="34"/>
        <v>0</v>
      </c>
      <c r="V87" s="513" t="str">
        <f t="shared" si="35"/>
        <v/>
      </c>
      <c r="W87" s="254" t="str">
        <f>IF(ISBLANK(B87)," ",IF(B87=IFERROR(VLOOKUP(B87,'מצבת והרשמה (2)'!F:F,1,0),0),"תקין","לא קיים במצבת כבית ספר בו מתקיימת פעילות"))</f>
        <v xml:space="preserve"> </v>
      </c>
      <c r="X87" s="256" t="str">
        <f t="shared" si="22"/>
        <v/>
      </c>
      <c r="Y87" s="256" t="str">
        <f t="shared" si="23"/>
        <v/>
      </c>
      <c r="Z87" s="741">
        <f t="shared" si="24"/>
        <v>0</v>
      </c>
      <c r="AA87" s="741">
        <f t="shared" si="25"/>
        <v>0</v>
      </c>
      <c r="AB87" s="741">
        <f t="shared" si="26"/>
        <v>0</v>
      </c>
      <c r="AC87" s="987">
        <f t="shared" si="36"/>
        <v>0</v>
      </c>
      <c r="AD87" s="987">
        <f t="shared" si="37"/>
        <v>0</v>
      </c>
      <c r="AE87" s="368" t="str">
        <f>IFERROR(VLOOKUP(B87,'[1]סיכום בקרת רשויות'!$A:$D,4,0),"")</f>
        <v/>
      </c>
      <c r="AF87" s="57" t="str">
        <f t="shared" si="38"/>
        <v/>
      </c>
      <c r="AG87" s="180">
        <f>IF(AF87="כן",M87*'גנים ובתי ספר- מבנה תקציב'!$H$59,0)</f>
        <v>0</v>
      </c>
      <c r="AH87" s="180">
        <f>IF(AF87="כן",M87*'גנים ובתי ספר- מבנה תקציב'!$I$59,0)</f>
        <v>0</v>
      </c>
      <c r="AI87" s="180">
        <f t="shared" si="39"/>
        <v>0</v>
      </c>
      <c r="AJ87" s="368" t="str">
        <f t="shared" si="27"/>
        <v/>
      </c>
    </row>
    <row r="88" spans="1:36" x14ac:dyDescent="0.25">
      <c r="A88" s="57">
        <v>68</v>
      </c>
      <c r="B88" s="690"/>
      <c r="C88" s="690"/>
      <c r="D88" s="252">
        <f>(IFERROR(SUMIF('מצבת והרשמה (2)'!$F$21:$F$501,'דוח ביצוע (3)'!$B88,'מצבת והרשמה (2)'!$J$21:$J$501),0))</f>
        <v>0</v>
      </c>
      <c r="E88" s="252">
        <f>IFERROR(SUMIF('מצבת והרשמה (2)'!$F$21:$F$501,'דוח ביצוע (3)'!$B88,'מצבת והרשמה (2)'!$K$21:$K$501),0)</f>
        <v>0</v>
      </c>
      <c r="F88" s="253">
        <f t="shared" si="28"/>
        <v>0</v>
      </c>
      <c r="G88" s="680"/>
      <c r="H88" s="680"/>
      <c r="I88" s="253">
        <f t="shared" si="21"/>
        <v>0</v>
      </c>
      <c r="J88" s="453">
        <f t="shared" si="29"/>
        <v>0</v>
      </c>
      <c r="K88" s="689"/>
      <c r="L88" s="689"/>
      <c r="M88" s="969">
        <f t="shared" si="30"/>
        <v>0</v>
      </c>
      <c r="N88" s="1029" t="str">
        <f t="shared" si="31"/>
        <v/>
      </c>
      <c r="O88" s="969" t="str">
        <f>IFERROR(VLOOKUP(B88,'נתוני רישום ומצבת'!B:Q,16,0),"")</f>
        <v/>
      </c>
      <c r="P88" s="969" t="str">
        <f>IFERROR(VLOOKUP(B88,'נתוני רישום ומצבת'!B:R,17,0),"")</f>
        <v/>
      </c>
      <c r="Q88" s="690"/>
      <c r="R88" s="1009"/>
      <c r="S88" s="376">
        <f t="shared" si="32"/>
        <v>0</v>
      </c>
      <c r="T88" s="376">
        <f t="shared" si="33"/>
        <v>0</v>
      </c>
      <c r="U88" s="386">
        <f t="shared" si="34"/>
        <v>0</v>
      </c>
      <c r="V88" s="513" t="str">
        <f t="shared" si="35"/>
        <v/>
      </c>
      <c r="W88" s="254" t="str">
        <f>IF(ISBLANK(B88)," ",IF(B88=IFERROR(VLOOKUP(B88,'מצבת והרשמה (2)'!F:F,1,0),0),"תקין","לא קיים במצבת כבית ספר בו מתקיימת פעילות"))</f>
        <v xml:space="preserve"> </v>
      </c>
      <c r="X88" s="256" t="str">
        <f t="shared" si="22"/>
        <v/>
      </c>
      <c r="Y88" s="256" t="str">
        <f t="shared" si="23"/>
        <v/>
      </c>
      <c r="Z88" s="741">
        <f t="shared" si="24"/>
        <v>0</v>
      </c>
      <c r="AA88" s="741">
        <f t="shared" si="25"/>
        <v>0</v>
      </c>
      <c r="AB88" s="741">
        <f t="shared" si="26"/>
        <v>0</v>
      </c>
      <c r="AC88" s="987">
        <f t="shared" si="36"/>
        <v>0</v>
      </c>
      <c r="AD88" s="987">
        <f t="shared" si="37"/>
        <v>0</v>
      </c>
      <c r="AE88" s="368" t="str">
        <f>IFERROR(VLOOKUP(B88,'[1]סיכום בקרת רשויות'!$A:$D,4,0),"")</f>
        <v/>
      </c>
      <c r="AF88" s="57" t="str">
        <f t="shared" si="38"/>
        <v/>
      </c>
      <c r="AG88" s="180">
        <f>IF(AF88="כן",M88*'גנים ובתי ספר- מבנה תקציב'!$H$59,0)</f>
        <v>0</v>
      </c>
      <c r="AH88" s="180">
        <f>IF(AF88="כן",M88*'גנים ובתי ספר- מבנה תקציב'!$I$59,0)</f>
        <v>0</v>
      </c>
      <c r="AI88" s="180">
        <f t="shared" si="39"/>
        <v>0</v>
      </c>
      <c r="AJ88" s="368" t="str">
        <f t="shared" si="27"/>
        <v/>
      </c>
    </row>
    <row r="89" spans="1:36" x14ac:dyDescent="0.25">
      <c r="A89" s="57">
        <v>69</v>
      </c>
      <c r="B89" s="690"/>
      <c r="C89" s="690"/>
      <c r="D89" s="252">
        <f>(IFERROR(SUMIF('מצבת והרשמה (2)'!$F$21:$F$501,'דוח ביצוע (3)'!$B89,'מצבת והרשמה (2)'!$J$21:$J$501),0))</f>
        <v>0</v>
      </c>
      <c r="E89" s="252">
        <f>IFERROR(SUMIF('מצבת והרשמה (2)'!$F$21:$F$501,'דוח ביצוע (3)'!$B89,'מצבת והרשמה (2)'!$K$21:$K$501),0)</f>
        <v>0</v>
      </c>
      <c r="F89" s="253">
        <f t="shared" si="28"/>
        <v>0</v>
      </c>
      <c r="G89" s="680"/>
      <c r="H89" s="680"/>
      <c r="I89" s="253">
        <f t="shared" si="21"/>
        <v>0</v>
      </c>
      <c r="J89" s="453">
        <f t="shared" si="29"/>
        <v>0</v>
      </c>
      <c r="K89" s="689"/>
      <c r="L89" s="689"/>
      <c r="M89" s="969">
        <f t="shared" si="30"/>
        <v>0</v>
      </c>
      <c r="N89" s="1029" t="str">
        <f t="shared" si="31"/>
        <v/>
      </c>
      <c r="O89" s="969" t="str">
        <f>IFERROR(VLOOKUP(B89,'נתוני רישום ומצבת'!B:Q,16,0),"")</f>
        <v/>
      </c>
      <c r="P89" s="969" t="str">
        <f>IFERROR(VLOOKUP(B89,'נתוני רישום ומצבת'!B:R,17,0),"")</f>
        <v/>
      </c>
      <c r="Q89" s="690"/>
      <c r="R89" s="1009"/>
      <c r="S89" s="376">
        <f t="shared" si="32"/>
        <v>0</v>
      </c>
      <c r="T89" s="376">
        <f t="shared" si="33"/>
        <v>0</v>
      </c>
      <c r="U89" s="386">
        <f t="shared" si="34"/>
        <v>0</v>
      </c>
      <c r="V89" s="513" t="str">
        <f t="shared" si="35"/>
        <v/>
      </c>
      <c r="W89" s="254" t="str">
        <f>IF(ISBLANK(B89)," ",IF(B89=IFERROR(VLOOKUP(B89,'מצבת והרשמה (2)'!F:F,1,0),0),"תקין","לא קיים במצבת כבית ספר בו מתקיימת פעילות"))</f>
        <v xml:space="preserve"> </v>
      </c>
      <c r="X89" s="256" t="str">
        <f t="shared" si="22"/>
        <v/>
      </c>
      <c r="Y89" s="256" t="str">
        <f t="shared" si="23"/>
        <v/>
      </c>
      <c r="Z89" s="741">
        <f t="shared" si="24"/>
        <v>0</v>
      </c>
      <c r="AA89" s="741">
        <f t="shared" si="25"/>
        <v>0</v>
      </c>
      <c r="AB89" s="741">
        <f t="shared" si="26"/>
        <v>0</v>
      </c>
      <c r="AC89" s="987">
        <f t="shared" si="36"/>
        <v>0</v>
      </c>
      <c r="AD89" s="987">
        <f t="shared" si="37"/>
        <v>0</v>
      </c>
      <c r="AE89" s="368" t="str">
        <f>IFERROR(VLOOKUP(B89,'[1]סיכום בקרת רשויות'!$A:$D,4,0),"")</f>
        <v/>
      </c>
      <c r="AF89" s="57" t="str">
        <f t="shared" si="38"/>
        <v/>
      </c>
      <c r="AG89" s="180">
        <f>IF(AF89="כן",M89*'גנים ובתי ספר- מבנה תקציב'!$H$59,0)</f>
        <v>0</v>
      </c>
      <c r="AH89" s="180">
        <f>IF(AF89="כן",M89*'גנים ובתי ספר- מבנה תקציב'!$I$59,0)</f>
        <v>0</v>
      </c>
      <c r="AI89" s="180">
        <f t="shared" si="39"/>
        <v>0</v>
      </c>
      <c r="AJ89" s="368" t="str">
        <f t="shared" si="27"/>
        <v/>
      </c>
    </row>
    <row r="90" spans="1:36" x14ac:dyDescent="0.25">
      <c r="A90" s="57">
        <v>70</v>
      </c>
      <c r="B90" s="690"/>
      <c r="C90" s="690"/>
      <c r="D90" s="252">
        <f>(IFERROR(SUMIF('מצבת והרשמה (2)'!$F$21:$F$501,'דוח ביצוע (3)'!$B90,'מצבת והרשמה (2)'!$J$21:$J$501),0))</f>
        <v>0</v>
      </c>
      <c r="E90" s="252">
        <f>IFERROR(SUMIF('מצבת והרשמה (2)'!$F$21:$F$501,'דוח ביצוע (3)'!$B90,'מצבת והרשמה (2)'!$K$21:$K$501),0)</f>
        <v>0</v>
      </c>
      <c r="F90" s="253">
        <f t="shared" si="28"/>
        <v>0</v>
      </c>
      <c r="G90" s="680"/>
      <c r="H90" s="680"/>
      <c r="I90" s="253">
        <f t="shared" si="21"/>
        <v>0</v>
      </c>
      <c r="J90" s="453">
        <f t="shared" si="29"/>
        <v>0</v>
      </c>
      <c r="K90" s="689"/>
      <c r="L90" s="689"/>
      <c r="M90" s="969">
        <f t="shared" si="30"/>
        <v>0</v>
      </c>
      <c r="N90" s="1029" t="str">
        <f t="shared" si="31"/>
        <v/>
      </c>
      <c r="O90" s="969" t="str">
        <f>IFERROR(VLOOKUP(B90,'נתוני רישום ומצבת'!B:Q,16,0),"")</f>
        <v/>
      </c>
      <c r="P90" s="969" t="str">
        <f>IFERROR(VLOOKUP(B90,'נתוני רישום ומצבת'!B:R,17,0),"")</f>
        <v/>
      </c>
      <c r="Q90" s="690"/>
      <c r="R90" s="1009"/>
      <c r="S90" s="376">
        <f t="shared" si="32"/>
        <v>0</v>
      </c>
      <c r="T90" s="376">
        <f t="shared" si="33"/>
        <v>0</v>
      </c>
      <c r="U90" s="386">
        <f t="shared" si="34"/>
        <v>0</v>
      </c>
      <c r="V90" s="513" t="str">
        <f t="shared" si="35"/>
        <v/>
      </c>
      <c r="W90" s="254" t="str">
        <f>IF(ISBLANK(B90)," ",IF(B90=IFERROR(VLOOKUP(B90,'מצבת והרשמה (2)'!F:F,1,0),0),"תקין","לא קיים במצבת כבית ספר בו מתקיימת פעילות"))</f>
        <v xml:space="preserve"> </v>
      </c>
      <c r="X90" s="256" t="str">
        <f t="shared" si="22"/>
        <v/>
      </c>
      <c r="Y90" s="256" t="str">
        <f t="shared" si="23"/>
        <v/>
      </c>
      <c r="Z90" s="741">
        <f t="shared" si="24"/>
        <v>0</v>
      </c>
      <c r="AA90" s="741">
        <f t="shared" si="25"/>
        <v>0</v>
      </c>
      <c r="AB90" s="741">
        <f t="shared" si="26"/>
        <v>0</v>
      </c>
      <c r="AC90" s="987">
        <f t="shared" si="36"/>
        <v>0</v>
      </c>
      <c r="AD90" s="987">
        <f t="shared" si="37"/>
        <v>0</v>
      </c>
      <c r="AE90" s="368" t="str">
        <f>IFERROR(VLOOKUP(B90,'[1]סיכום בקרת רשויות'!$A:$D,4,0),"")</f>
        <v/>
      </c>
      <c r="AF90" s="57" t="str">
        <f t="shared" si="38"/>
        <v/>
      </c>
      <c r="AG90" s="180">
        <f>IF(AF90="כן",M90*'גנים ובתי ספר- מבנה תקציב'!$H$59,0)</f>
        <v>0</v>
      </c>
      <c r="AH90" s="180">
        <f>IF(AF90="כן",M90*'גנים ובתי ספר- מבנה תקציב'!$I$59,0)</f>
        <v>0</v>
      </c>
      <c r="AI90" s="180">
        <f t="shared" si="39"/>
        <v>0</v>
      </c>
      <c r="AJ90" s="368" t="str">
        <f t="shared" si="27"/>
        <v/>
      </c>
    </row>
    <row r="91" spans="1:36" x14ac:dyDescent="0.25">
      <c r="A91" s="57">
        <v>71</v>
      </c>
      <c r="B91" s="690"/>
      <c r="C91" s="690"/>
      <c r="D91" s="252">
        <f>(IFERROR(SUMIF('מצבת והרשמה (2)'!$F$21:$F$501,'דוח ביצוע (3)'!$B91,'מצבת והרשמה (2)'!$J$21:$J$501),0))</f>
        <v>0</v>
      </c>
      <c r="E91" s="252">
        <f>IFERROR(SUMIF('מצבת והרשמה (2)'!$F$21:$F$501,'דוח ביצוע (3)'!$B91,'מצבת והרשמה (2)'!$K$21:$K$501),0)</f>
        <v>0</v>
      </c>
      <c r="F91" s="253">
        <f t="shared" si="28"/>
        <v>0</v>
      </c>
      <c r="G91" s="680"/>
      <c r="H91" s="680"/>
      <c r="I91" s="253">
        <f t="shared" si="21"/>
        <v>0</v>
      </c>
      <c r="J91" s="453">
        <f t="shared" si="29"/>
        <v>0</v>
      </c>
      <c r="K91" s="689"/>
      <c r="L91" s="689"/>
      <c r="M91" s="969">
        <f t="shared" si="30"/>
        <v>0</v>
      </c>
      <c r="N91" s="1029" t="str">
        <f t="shared" si="31"/>
        <v/>
      </c>
      <c r="O91" s="969" t="str">
        <f>IFERROR(VLOOKUP(B91,'נתוני רישום ומצבת'!B:Q,16,0),"")</f>
        <v/>
      </c>
      <c r="P91" s="969" t="str">
        <f>IFERROR(VLOOKUP(B91,'נתוני רישום ומצבת'!B:R,17,0),"")</f>
        <v/>
      </c>
      <c r="Q91" s="690"/>
      <c r="R91" s="1009"/>
      <c r="S91" s="376">
        <f t="shared" si="32"/>
        <v>0</v>
      </c>
      <c r="T91" s="376">
        <f t="shared" si="33"/>
        <v>0</v>
      </c>
      <c r="U91" s="386">
        <f t="shared" si="34"/>
        <v>0</v>
      </c>
      <c r="V91" s="513" t="str">
        <f t="shared" si="35"/>
        <v/>
      </c>
      <c r="W91" s="254" t="str">
        <f>IF(ISBLANK(B91)," ",IF(B91=IFERROR(VLOOKUP(B91,'מצבת והרשמה (2)'!F:F,1,0),0),"תקין","לא קיים במצבת כבית ספר בו מתקיימת פעילות"))</f>
        <v xml:space="preserve"> </v>
      </c>
      <c r="X91" s="256" t="str">
        <f t="shared" si="22"/>
        <v/>
      </c>
      <c r="Y91" s="256" t="str">
        <f t="shared" si="23"/>
        <v/>
      </c>
      <c r="Z91" s="741">
        <f t="shared" si="24"/>
        <v>0</v>
      </c>
      <c r="AA91" s="741">
        <f t="shared" si="25"/>
        <v>0</v>
      </c>
      <c r="AB91" s="741">
        <f t="shared" si="26"/>
        <v>0</v>
      </c>
      <c r="AC91" s="987">
        <f t="shared" si="36"/>
        <v>0</v>
      </c>
      <c r="AD91" s="987">
        <f t="shared" si="37"/>
        <v>0</v>
      </c>
      <c r="AE91" s="368" t="str">
        <f>IFERROR(VLOOKUP(B91,'[1]סיכום בקרת רשויות'!$A:$D,4,0),"")</f>
        <v/>
      </c>
      <c r="AF91" s="57" t="str">
        <f t="shared" si="38"/>
        <v/>
      </c>
      <c r="AG91" s="180">
        <f>IF(AF91="כן",M91*'גנים ובתי ספר- מבנה תקציב'!$H$59,0)</f>
        <v>0</v>
      </c>
      <c r="AH91" s="180">
        <f>IF(AF91="כן",M91*'גנים ובתי ספר- מבנה תקציב'!$I$59,0)</f>
        <v>0</v>
      </c>
      <c r="AI91" s="180">
        <f t="shared" si="39"/>
        <v>0</v>
      </c>
      <c r="AJ91" s="368" t="str">
        <f t="shared" si="27"/>
        <v/>
      </c>
    </row>
    <row r="92" spans="1:36" x14ac:dyDescent="0.25">
      <c r="A92" s="57">
        <v>72</v>
      </c>
      <c r="B92" s="690"/>
      <c r="C92" s="690"/>
      <c r="D92" s="252">
        <f>(IFERROR(SUMIF('מצבת והרשמה (2)'!$F$21:$F$501,'דוח ביצוע (3)'!$B92,'מצבת והרשמה (2)'!$J$21:$J$501),0))</f>
        <v>0</v>
      </c>
      <c r="E92" s="252">
        <f>IFERROR(SUMIF('מצבת והרשמה (2)'!$F$21:$F$501,'דוח ביצוע (3)'!$B92,'מצבת והרשמה (2)'!$K$21:$K$501),0)</f>
        <v>0</v>
      </c>
      <c r="F92" s="253">
        <f t="shared" si="28"/>
        <v>0</v>
      </c>
      <c r="G92" s="680"/>
      <c r="H92" s="680"/>
      <c r="I92" s="253">
        <f t="shared" si="21"/>
        <v>0</v>
      </c>
      <c r="J92" s="453">
        <f t="shared" si="29"/>
        <v>0</v>
      </c>
      <c r="K92" s="689"/>
      <c r="L92" s="689"/>
      <c r="M92" s="969">
        <f t="shared" si="30"/>
        <v>0</v>
      </c>
      <c r="N92" s="1029" t="str">
        <f t="shared" si="31"/>
        <v/>
      </c>
      <c r="O92" s="969" t="str">
        <f>IFERROR(VLOOKUP(B92,'נתוני רישום ומצבת'!B:Q,16,0),"")</f>
        <v/>
      </c>
      <c r="P92" s="969" t="str">
        <f>IFERROR(VLOOKUP(B92,'נתוני רישום ומצבת'!B:R,17,0),"")</f>
        <v/>
      </c>
      <c r="Q92" s="690"/>
      <c r="R92" s="1009"/>
      <c r="S92" s="376">
        <f t="shared" si="32"/>
        <v>0</v>
      </c>
      <c r="T92" s="376">
        <f t="shared" si="33"/>
        <v>0</v>
      </c>
      <c r="U92" s="386">
        <f t="shared" si="34"/>
        <v>0</v>
      </c>
      <c r="V92" s="513" t="str">
        <f t="shared" si="35"/>
        <v/>
      </c>
      <c r="W92" s="254" t="str">
        <f>IF(ISBLANK(B92)," ",IF(B92=IFERROR(VLOOKUP(B92,'מצבת והרשמה (2)'!F:F,1,0),0),"תקין","לא קיים במצבת כבית ספר בו מתקיימת פעילות"))</f>
        <v xml:space="preserve"> </v>
      </c>
      <c r="X92" s="256" t="str">
        <f t="shared" si="22"/>
        <v/>
      </c>
      <c r="Y92" s="256" t="str">
        <f t="shared" si="23"/>
        <v/>
      </c>
      <c r="Z92" s="741">
        <f t="shared" si="24"/>
        <v>0</v>
      </c>
      <c r="AA92" s="741">
        <f t="shared" si="25"/>
        <v>0</v>
      </c>
      <c r="AB92" s="741">
        <f t="shared" si="26"/>
        <v>0</v>
      </c>
      <c r="AC92" s="987">
        <f t="shared" si="36"/>
        <v>0</v>
      </c>
      <c r="AD92" s="987">
        <f t="shared" si="37"/>
        <v>0</v>
      </c>
      <c r="AE92" s="368" t="str">
        <f>IFERROR(VLOOKUP(B92,'[1]סיכום בקרת רשויות'!$A:$D,4,0),"")</f>
        <v/>
      </c>
      <c r="AF92" s="57" t="str">
        <f t="shared" si="38"/>
        <v/>
      </c>
      <c r="AG92" s="180">
        <f>IF(AF92="כן",M92*'גנים ובתי ספר- מבנה תקציב'!$H$59,0)</f>
        <v>0</v>
      </c>
      <c r="AH92" s="180">
        <f>IF(AF92="כן",M92*'גנים ובתי ספר- מבנה תקציב'!$I$59,0)</f>
        <v>0</v>
      </c>
      <c r="AI92" s="180">
        <f t="shared" si="39"/>
        <v>0</v>
      </c>
      <c r="AJ92" s="368" t="str">
        <f t="shared" si="27"/>
        <v/>
      </c>
    </row>
    <row r="93" spans="1:36" x14ac:dyDescent="0.25">
      <c r="A93" s="57">
        <v>73</v>
      </c>
      <c r="B93" s="690"/>
      <c r="C93" s="690"/>
      <c r="D93" s="252">
        <f>(IFERROR(SUMIF('מצבת והרשמה (2)'!$F$21:$F$501,'דוח ביצוע (3)'!$B93,'מצבת והרשמה (2)'!$J$21:$J$501),0))</f>
        <v>0</v>
      </c>
      <c r="E93" s="252">
        <f>IFERROR(SUMIF('מצבת והרשמה (2)'!$F$21:$F$501,'דוח ביצוע (3)'!$B93,'מצבת והרשמה (2)'!$K$21:$K$501),0)</f>
        <v>0</v>
      </c>
      <c r="F93" s="253">
        <f t="shared" si="28"/>
        <v>0</v>
      </c>
      <c r="G93" s="680"/>
      <c r="H93" s="680"/>
      <c r="I93" s="253">
        <f t="shared" si="21"/>
        <v>0</v>
      </c>
      <c r="J93" s="453">
        <f t="shared" si="29"/>
        <v>0</v>
      </c>
      <c r="K93" s="689"/>
      <c r="L93" s="689"/>
      <c r="M93" s="969">
        <f t="shared" si="30"/>
        <v>0</v>
      </c>
      <c r="N93" s="1029" t="str">
        <f t="shared" si="31"/>
        <v/>
      </c>
      <c r="O93" s="969" t="str">
        <f>IFERROR(VLOOKUP(B93,'נתוני רישום ומצבת'!B:Q,16,0),"")</f>
        <v/>
      </c>
      <c r="P93" s="969" t="str">
        <f>IFERROR(VLOOKUP(B93,'נתוני רישום ומצבת'!B:R,17,0),"")</f>
        <v/>
      </c>
      <c r="Q93" s="690"/>
      <c r="R93" s="1009"/>
      <c r="S93" s="376">
        <f t="shared" si="32"/>
        <v>0</v>
      </c>
      <c r="T93" s="376">
        <f t="shared" si="33"/>
        <v>0</v>
      </c>
      <c r="U93" s="386">
        <f t="shared" si="34"/>
        <v>0</v>
      </c>
      <c r="V93" s="513" t="str">
        <f t="shared" si="35"/>
        <v/>
      </c>
      <c r="W93" s="254" t="str">
        <f>IF(ISBLANK(B93)," ",IF(B93=IFERROR(VLOOKUP(B93,'מצבת והרשמה (2)'!F:F,1,0),0),"תקין","לא קיים במצבת כבית ספר בו מתקיימת פעילות"))</f>
        <v xml:space="preserve"> </v>
      </c>
      <c r="X93" s="256" t="str">
        <f t="shared" si="22"/>
        <v/>
      </c>
      <c r="Y93" s="256" t="str">
        <f t="shared" si="23"/>
        <v/>
      </c>
      <c r="Z93" s="741">
        <f t="shared" si="24"/>
        <v>0</v>
      </c>
      <c r="AA93" s="741">
        <f t="shared" si="25"/>
        <v>0</v>
      </c>
      <c r="AB93" s="741">
        <f t="shared" si="26"/>
        <v>0</v>
      </c>
      <c r="AC93" s="987">
        <f t="shared" si="36"/>
        <v>0</v>
      </c>
      <c r="AD93" s="987">
        <f t="shared" si="37"/>
        <v>0</v>
      </c>
      <c r="AE93" s="368" t="str">
        <f>IFERROR(VLOOKUP(B93,'[1]סיכום בקרת רשויות'!$A:$D,4,0),"")</f>
        <v/>
      </c>
      <c r="AF93" s="57" t="str">
        <f t="shared" si="38"/>
        <v/>
      </c>
      <c r="AG93" s="180">
        <f>IF(AF93="כן",M93*'גנים ובתי ספר- מבנה תקציב'!$H$59,0)</f>
        <v>0</v>
      </c>
      <c r="AH93" s="180">
        <f>IF(AF93="כן",M93*'גנים ובתי ספר- מבנה תקציב'!$I$59,0)</f>
        <v>0</v>
      </c>
      <c r="AI93" s="180">
        <f t="shared" si="39"/>
        <v>0</v>
      </c>
      <c r="AJ93" s="368" t="str">
        <f t="shared" si="27"/>
        <v/>
      </c>
    </row>
    <row r="94" spans="1:36" x14ac:dyDescent="0.25">
      <c r="A94" s="57">
        <v>74</v>
      </c>
      <c r="B94" s="690"/>
      <c r="C94" s="690"/>
      <c r="D94" s="252">
        <f>(IFERROR(SUMIF('מצבת והרשמה (2)'!$F$21:$F$501,'דוח ביצוע (3)'!$B94,'מצבת והרשמה (2)'!$J$21:$J$501),0))</f>
        <v>0</v>
      </c>
      <c r="E94" s="252">
        <f>IFERROR(SUMIF('מצבת והרשמה (2)'!$F$21:$F$501,'דוח ביצוע (3)'!$B94,'מצבת והרשמה (2)'!$K$21:$K$501),0)</f>
        <v>0</v>
      </c>
      <c r="F94" s="253">
        <f t="shared" si="28"/>
        <v>0</v>
      </c>
      <c r="G94" s="680"/>
      <c r="H94" s="680"/>
      <c r="I94" s="253">
        <f t="shared" si="21"/>
        <v>0</v>
      </c>
      <c r="J94" s="453">
        <f t="shared" si="29"/>
        <v>0</v>
      </c>
      <c r="K94" s="689"/>
      <c r="L94" s="689"/>
      <c r="M94" s="969">
        <f t="shared" si="30"/>
        <v>0</v>
      </c>
      <c r="N94" s="1029" t="str">
        <f t="shared" si="31"/>
        <v/>
      </c>
      <c r="O94" s="969" t="str">
        <f>IFERROR(VLOOKUP(B94,'נתוני רישום ומצבת'!B:Q,16,0),"")</f>
        <v/>
      </c>
      <c r="P94" s="969" t="str">
        <f>IFERROR(VLOOKUP(B94,'נתוני רישום ומצבת'!B:R,17,0),"")</f>
        <v/>
      </c>
      <c r="Q94" s="690"/>
      <c r="R94" s="1009"/>
      <c r="S94" s="376">
        <f t="shared" si="32"/>
        <v>0</v>
      </c>
      <c r="T94" s="376">
        <f t="shared" si="33"/>
        <v>0</v>
      </c>
      <c r="U94" s="386">
        <f t="shared" si="34"/>
        <v>0</v>
      </c>
      <c r="V94" s="513" t="str">
        <f t="shared" si="35"/>
        <v/>
      </c>
      <c r="W94" s="254" t="str">
        <f>IF(ISBLANK(B94)," ",IF(B94=IFERROR(VLOOKUP(B94,'מצבת והרשמה (2)'!F:F,1,0),0),"תקין","לא קיים במצבת כבית ספר בו מתקיימת פעילות"))</f>
        <v xml:space="preserve"> </v>
      </c>
      <c r="X94" s="256" t="str">
        <f t="shared" si="22"/>
        <v/>
      </c>
      <c r="Y94" s="256" t="str">
        <f t="shared" si="23"/>
        <v/>
      </c>
      <c r="Z94" s="741">
        <f t="shared" si="24"/>
        <v>0</v>
      </c>
      <c r="AA94" s="741">
        <f t="shared" si="25"/>
        <v>0</v>
      </c>
      <c r="AB94" s="741">
        <f t="shared" si="26"/>
        <v>0</v>
      </c>
      <c r="AC94" s="987">
        <f t="shared" si="36"/>
        <v>0</v>
      </c>
      <c r="AD94" s="987">
        <f t="shared" si="37"/>
        <v>0</v>
      </c>
      <c r="AE94" s="368" t="str">
        <f>IFERROR(VLOOKUP(B94,'[1]סיכום בקרת רשויות'!$A:$D,4,0),"")</f>
        <v/>
      </c>
      <c r="AF94" s="57" t="str">
        <f t="shared" si="38"/>
        <v/>
      </c>
      <c r="AG94" s="180">
        <f>IF(AF94="כן",M94*'גנים ובתי ספר- מבנה תקציב'!$H$59,0)</f>
        <v>0</v>
      </c>
      <c r="AH94" s="180">
        <f>IF(AF94="כן",M94*'גנים ובתי ספר- מבנה תקציב'!$I$59,0)</f>
        <v>0</v>
      </c>
      <c r="AI94" s="180">
        <f t="shared" si="39"/>
        <v>0</v>
      </c>
      <c r="AJ94" s="368" t="str">
        <f t="shared" si="27"/>
        <v/>
      </c>
    </row>
    <row r="95" spans="1:36" x14ac:dyDescent="0.25">
      <c r="A95" s="57">
        <v>75</v>
      </c>
      <c r="B95" s="690"/>
      <c r="C95" s="690"/>
      <c r="D95" s="252">
        <f>(IFERROR(SUMIF('מצבת והרשמה (2)'!$F$21:$F$501,'דוח ביצוע (3)'!$B95,'מצבת והרשמה (2)'!$J$21:$J$501),0))</f>
        <v>0</v>
      </c>
      <c r="E95" s="252">
        <f>IFERROR(SUMIF('מצבת והרשמה (2)'!$F$21:$F$501,'דוח ביצוע (3)'!$B95,'מצבת והרשמה (2)'!$K$21:$K$501),0)</f>
        <v>0</v>
      </c>
      <c r="F95" s="253">
        <f t="shared" si="28"/>
        <v>0</v>
      </c>
      <c r="G95" s="680"/>
      <c r="H95" s="680"/>
      <c r="I95" s="253">
        <f t="shared" si="21"/>
        <v>0</v>
      </c>
      <c r="J95" s="453">
        <f t="shared" si="29"/>
        <v>0</v>
      </c>
      <c r="K95" s="689"/>
      <c r="L95" s="689"/>
      <c r="M95" s="969">
        <f t="shared" si="30"/>
        <v>0</v>
      </c>
      <c r="N95" s="1029" t="str">
        <f t="shared" si="31"/>
        <v/>
      </c>
      <c r="O95" s="969" t="str">
        <f>IFERROR(VLOOKUP(B95,'נתוני רישום ומצבת'!B:Q,16,0),"")</f>
        <v/>
      </c>
      <c r="P95" s="969" t="str">
        <f>IFERROR(VLOOKUP(B95,'נתוני רישום ומצבת'!B:R,17,0),"")</f>
        <v/>
      </c>
      <c r="Q95" s="690"/>
      <c r="R95" s="1009"/>
      <c r="S95" s="376">
        <f t="shared" si="32"/>
        <v>0</v>
      </c>
      <c r="T95" s="376">
        <f t="shared" si="33"/>
        <v>0</v>
      </c>
      <c r="U95" s="386">
        <f t="shared" si="34"/>
        <v>0</v>
      </c>
      <c r="V95" s="513" t="str">
        <f t="shared" si="35"/>
        <v/>
      </c>
      <c r="W95" s="254" t="str">
        <f>IF(ISBLANK(B95)," ",IF(B95=IFERROR(VLOOKUP(B95,'מצבת והרשמה (2)'!F:F,1,0),0),"תקין","לא קיים במצבת כבית ספר בו מתקיימת פעילות"))</f>
        <v xml:space="preserve"> </v>
      </c>
      <c r="X95" s="256" t="str">
        <f t="shared" si="22"/>
        <v/>
      </c>
      <c r="Y95" s="256" t="str">
        <f t="shared" si="23"/>
        <v/>
      </c>
      <c r="Z95" s="741">
        <f t="shared" si="24"/>
        <v>0</v>
      </c>
      <c r="AA95" s="741">
        <f t="shared" si="25"/>
        <v>0</v>
      </c>
      <c r="AB95" s="741">
        <f t="shared" si="26"/>
        <v>0</v>
      </c>
      <c r="AC95" s="987">
        <f t="shared" si="36"/>
        <v>0</v>
      </c>
      <c r="AD95" s="987">
        <f t="shared" si="37"/>
        <v>0</v>
      </c>
      <c r="AE95" s="368" t="str">
        <f>IFERROR(VLOOKUP(B95,'[1]סיכום בקרת רשויות'!$A:$D,4,0),"")</f>
        <v/>
      </c>
      <c r="AF95" s="57" t="str">
        <f t="shared" si="38"/>
        <v/>
      </c>
      <c r="AG95" s="180">
        <f>IF(AF95="כן",M95*'גנים ובתי ספר- מבנה תקציב'!$H$59,0)</f>
        <v>0</v>
      </c>
      <c r="AH95" s="180">
        <f>IF(AF95="כן",M95*'גנים ובתי ספר- מבנה תקציב'!$I$59,0)</f>
        <v>0</v>
      </c>
      <c r="AI95" s="180">
        <f t="shared" si="39"/>
        <v>0</v>
      </c>
      <c r="AJ95" s="368" t="str">
        <f t="shared" si="27"/>
        <v/>
      </c>
    </row>
    <row r="96" spans="1:36" x14ac:dyDescent="0.25">
      <c r="A96" s="57">
        <v>76</v>
      </c>
      <c r="B96" s="690"/>
      <c r="C96" s="690"/>
      <c r="D96" s="252">
        <f>(IFERROR(SUMIF('מצבת והרשמה (2)'!$F$21:$F$501,'דוח ביצוע (3)'!$B96,'מצבת והרשמה (2)'!$J$21:$J$501),0))</f>
        <v>0</v>
      </c>
      <c r="E96" s="252">
        <f>IFERROR(SUMIF('מצבת והרשמה (2)'!$F$21:$F$501,'דוח ביצוע (3)'!$B96,'מצבת והרשמה (2)'!$K$21:$K$501),0)</f>
        <v>0</v>
      </c>
      <c r="F96" s="253">
        <f t="shared" si="28"/>
        <v>0</v>
      </c>
      <c r="G96" s="680"/>
      <c r="H96" s="680"/>
      <c r="I96" s="253">
        <f t="shared" si="21"/>
        <v>0</v>
      </c>
      <c r="J96" s="453">
        <f t="shared" si="29"/>
        <v>0</v>
      </c>
      <c r="K96" s="689"/>
      <c r="L96" s="689"/>
      <c r="M96" s="969">
        <f t="shared" si="30"/>
        <v>0</v>
      </c>
      <c r="N96" s="1029" t="str">
        <f t="shared" si="31"/>
        <v/>
      </c>
      <c r="O96" s="969" t="str">
        <f>IFERROR(VLOOKUP(B96,'נתוני רישום ומצבת'!B:Q,16,0),"")</f>
        <v/>
      </c>
      <c r="P96" s="969" t="str">
        <f>IFERROR(VLOOKUP(B96,'נתוני רישום ומצבת'!B:R,17,0),"")</f>
        <v/>
      </c>
      <c r="Q96" s="690"/>
      <c r="R96" s="1009"/>
      <c r="S96" s="376">
        <f t="shared" si="32"/>
        <v>0</v>
      </c>
      <c r="T96" s="376">
        <f t="shared" si="33"/>
        <v>0</v>
      </c>
      <c r="U96" s="386">
        <f t="shared" si="34"/>
        <v>0</v>
      </c>
      <c r="V96" s="513" t="str">
        <f t="shared" si="35"/>
        <v/>
      </c>
      <c r="W96" s="254" t="str">
        <f>IF(ISBLANK(B96)," ",IF(B96=IFERROR(VLOOKUP(B96,'מצבת והרשמה (2)'!F:F,1,0),0),"תקין","לא קיים במצבת כבית ספר בו מתקיימת פעילות"))</f>
        <v xml:space="preserve"> </v>
      </c>
      <c r="X96" s="256" t="str">
        <f t="shared" si="22"/>
        <v/>
      </c>
      <c r="Y96" s="256" t="str">
        <f t="shared" si="23"/>
        <v/>
      </c>
      <c r="Z96" s="741">
        <f t="shared" si="24"/>
        <v>0</v>
      </c>
      <c r="AA96" s="741">
        <f t="shared" si="25"/>
        <v>0</v>
      </c>
      <c r="AB96" s="741">
        <f t="shared" si="26"/>
        <v>0</v>
      </c>
      <c r="AC96" s="987">
        <f t="shared" si="36"/>
        <v>0</v>
      </c>
      <c r="AD96" s="987">
        <f t="shared" si="37"/>
        <v>0</v>
      </c>
      <c r="AE96" s="368" t="str">
        <f>IFERROR(VLOOKUP(B96,'[1]סיכום בקרת רשויות'!$A:$D,4,0),"")</f>
        <v/>
      </c>
      <c r="AF96" s="57" t="str">
        <f t="shared" si="38"/>
        <v/>
      </c>
      <c r="AG96" s="180">
        <f>IF(AF96="כן",M96*'גנים ובתי ספר- מבנה תקציב'!$H$59,0)</f>
        <v>0</v>
      </c>
      <c r="AH96" s="180">
        <f>IF(AF96="כן",M96*'גנים ובתי ספר- מבנה תקציב'!$I$59,0)</f>
        <v>0</v>
      </c>
      <c r="AI96" s="180">
        <f t="shared" si="39"/>
        <v>0</v>
      </c>
      <c r="AJ96" s="368" t="str">
        <f t="shared" si="27"/>
        <v/>
      </c>
    </row>
    <row r="97" spans="1:36" x14ac:dyDescent="0.25">
      <c r="A97" s="57">
        <v>77</v>
      </c>
      <c r="B97" s="690"/>
      <c r="C97" s="690"/>
      <c r="D97" s="252">
        <f>(IFERROR(SUMIF('מצבת והרשמה (2)'!$F$21:$F$501,'דוח ביצוע (3)'!$B97,'מצבת והרשמה (2)'!$J$21:$J$501),0))</f>
        <v>0</v>
      </c>
      <c r="E97" s="252">
        <f>IFERROR(SUMIF('מצבת והרשמה (2)'!$F$21:$F$501,'דוח ביצוע (3)'!$B97,'מצבת והרשמה (2)'!$K$21:$K$501),0)</f>
        <v>0</v>
      </c>
      <c r="F97" s="253">
        <f t="shared" si="28"/>
        <v>0</v>
      </c>
      <c r="G97" s="680"/>
      <c r="H97" s="680"/>
      <c r="I97" s="253">
        <f t="shared" si="21"/>
        <v>0</v>
      </c>
      <c r="J97" s="453">
        <f t="shared" si="29"/>
        <v>0</v>
      </c>
      <c r="K97" s="689"/>
      <c r="L97" s="689"/>
      <c r="M97" s="969">
        <f t="shared" si="30"/>
        <v>0</v>
      </c>
      <c r="N97" s="1029" t="str">
        <f t="shared" si="31"/>
        <v/>
      </c>
      <c r="O97" s="969" t="str">
        <f>IFERROR(VLOOKUP(B97,'נתוני רישום ומצבת'!B:Q,16,0),"")</f>
        <v/>
      </c>
      <c r="P97" s="969" t="str">
        <f>IFERROR(VLOOKUP(B97,'נתוני רישום ומצבת'!B:R,17,0),"")</f>
        <v/>
      </c>
      <c r="Q97" s="690"/>
      <c r="R97" s="1009"/>
      <c r="S97" s="376">
        <f t="shared" si="32"/>
        <v>0</v>
      </c>
      <c r="T97" s="376">
        <f t="shared" si="33"/>
        <v>0</v>
      </c>
      <c r="U97" s="386">
        <f t="shared" si="34"/>
        <v>0</v>
      </c>
      <c r="V97" s="513" t="str">
        <f t="shared" si="35"/>
        <v/>
      </c>
      <c r="W97" s="254" t="str">
        <f>IF(ISBLANK(B97)," ",IF(B97=IFERROR(VLOOKUP(B97,'מצבת והרשמה (2)'!F:F,1,0),0),"תקין","לא קיים במצבת כבית ספר בו מתקיימת פעילות"))</f>
        <v xml:space="preserve"> </v>
      </c>
      <c r="X97" s="256" t="str">
        <f t="shared" si="22"/>
        <v/>
      </c>
      <c r="Y97" s="256" t="str">
        <f t="shared" si="23"/>
        <v/>
      </c>
      <c r="Z97" s="741">
        <f t="shared" si="24"/>
        <v>0</v>
      </c>
      <c r="AA97" s="741">
        <f t="shared" si="25"/>
        <v>0</v>
      </c>
      <c r="AB97" s="741">
        <f t="shared" si="26"/>
        <v>0</v>
      </c>
      <c r="AC97" s="987">
        <f t="shared" si="36"/>
        <v>0</v>
      </c>
      <c r="AD97" s="987">
        <f t="shared" si="37"/>
        <v>0</v>
      </c>
      <c r="AE97" s="368" t="str">
        <f>IFERROR(VLOOKUP(B97,'[1]סיכום בקרת רשויות'!$A:$D,4,0),"")</f>
        <v/>
      </c>
      <c r="AF97" s="57" t="str">
        <f t="shared" si="38"/>
        <v/>
      </c>
      <c r="AG97" s="180">
        <f>IF(AF97="כן",M97*'גנים ובתי ספר- מבנה תקציב'!$H$59,0)</f>
        <v>0</v>
      </c>
      <c r="AH97" s="180">
        <f>IF(AF97="כן",M97*'גנים ובתי ספר- מבנה תקציב'!$I$59,0)</f>
        <v>0</v>
      </c>
      <c r="AI97" s="180">
        <f t="shared" si="39"/>
        <v>0</v>
      </c>
      <c r="AJ97" s="368" t="str">
        <f t="shared" si="27"/>
        <v/>
      </c>
    </row>
    <row r="98" spans="1:36" x14ac:dyDescent="0.25">
      <c r="A98" s="57">
        <v>78</v>
      </c>
      <c r="B98" s="690"/>
      <c r="C98" s="690"/>
      <c r="D98" s="252">
        <f>(IFERROR(SUMIF('מצבת והרשמה (2)'!$F$21:$F$501,'דוח ביצוע (3)'!$B98,'מצבת והרשמה (2)'!$J$21:$J$501),0))</f>
        <v>0</v>
      </c>
      <c r="E98" s="252">
        <f>IFERROR(SUMIF('מצבת והרשמה (2)'!$F$21:$F$501,'דוח ביצוע (3)'!$B98,'מצבת והרשמה (2)'!$K$21:$K$501),0)</f>
        <v>0</v>
      </c>
      <c r="F98" s="253">
        <f t="shared" si="28"/>
        <v>0</v>
      </c>
      <c r="G98" s="680"/>
      <c r="H98" s="680"/>
      <c r="I98" s="253">
        <f t="shared" si="21"/>
        <v>0</v>
      </c>
      <c r="J98" s="453">
        <f t="shared" si="29"/>
        <v>0</v>
      </c>
      <c r="K98" s="689"/>
      <c r="L98" s="689"/>
      <c r="M98" s="969">
        <f t="shared" si="30"/>
        <v>0</v>
      </c>
      <c r="N98" s="1029" t="str">
        <f t="shared" si="31"/>
        <v/>
      </c>
      <c r="O98" s="969" t="str">
        <f>IFERROR(VLOOKUP(B98,'נתוני רישום ומצבת'!B:Q,16,0),"")</f>
        <v/>
      </c>
      <c r="P98" s="969" t="str">
        <f>IFERROR(VLOOKUP(B98,'נתוני רישום ומצבת'!B:R,17,0),"")</f>
        <v/>
      </c>
      <c r="Q98" s="690"/>
      <c r="R98" s="1009"/>
      <c r="S98" s="376">
        <f t="shared" si="32"/>
        <v>0</v>
      </c>
      <c r="T98" s="376">
        <f t="shared" si="33"/>
        <v>0</v>
      </c>
      <c r="U98" s="386">
        <f t="shared" si="34"/>
        <v>0</v>
      </c>
      <c r="V98" s="513" t="str">
        <f t="shared" si="35"/>
        <v/>
      </c>
      <c r="W98" s="254" t="str">
        <f>IF(ISBLANK(B98)," ",IF(B98=IFERROR(VLOOKUP(B98,'מצבת והרשמה (2)'!F:F,1,0),0),"תקין","לא קיים במצבת כבית ספר בו מתקיימת פעילות"))</f>
        <v xml:space="preserve"> </v>
      </c>
      <c r="X98" s="256" t="str">
        <f t="shared" si="22"/>
        <v/>
      </c>
      <c r="Y98" s="256" t="str">
        <f t="shared" si="23"/>
        <v/>
      </c>
      <c r="Z98" s="741">
        <f t="shared" si="24"/>
        <v>0</v>
      </c>
      <c r="AA98" s="741">
        <f t="shared" si="25"/>
        <v>0</v>
      </c>
      <c r="AB98" s="741">
        <f t="shared" si="26"/>
        <v>0</v>
      </c>
      <c r="AC98" s="987">
        <f t="shared" si="36"/>
        <v>0</v>
      </c>
      <c r="AD98" s="987">
        <f t="shared" si="37"/>
        <v>0</v>
      </c>
      <c r="AE98" s="368" t="str">
        <f>IFERROR(VLOOKUP(B98,'[1]סיכום בקרת רשויות'!$A:$D,4,0),"")</f>
        <v/>
      </c>
      <c r="AF98" s="57" t="str">
        <f t="shared" si="38"/>
        <v/>
      </c>
      <c r="AG98" s="180">
        <f>IF(AF98="כן",M98*'גנים ובתי ספר- מבנה תקציב'!$H$59,0)</f>
        <v>0</v>
      </c>
      <c r="AH98" s="180">
        <f>IF(AF98="כן",M98*'גנים ובתי ספר- מבנה תקציב'!$I$59,0)</f>
        <v>0</v>
      </c>
      <c r="AI98" s="180">
        <f t="shared" si="39"/>
        <v>0</v>
      </c>
      <c r="AJ98" s="368" t="str">
        <f t="shared" si="27"/>
        <v/>
      </c>
    </row>
    <row r="99" spans="1:36" x14ac:dyDescent="0.25">
      <c r="A99" s="57">
        <v>79</v>
      </c>
      <c r="B99" s="690"/>
      <c r="C99" s="690"/>
      <c r="D99" s="252">
        <f>(IFERROR(SUMIF('מצבת והרשמה (2)'!$F$21:$F$501,'דוח ביצוע (3)'!$B99,'מצבת והרשמה (2)'!$J$21:$J$501),0))</f>
        <v>0</v>
      </c>
      <c r="E99" s="252">
        <f>IFERROR(SUMIF('מצבת והרשמה (2)'!$F$21:$F$501,'דוח ביצוע (3)'!$B99,'מצבת והרשמה (2)'!$K$21:$K$501),0)</f>
        <v>0</v>
      </c>
      <c r="F99" s="253">
        <f t="shared" si="28"/>
        <v>0</v>
      </c>
      <c r="G99" s="680"/>
      <c r="H99" s="680"/>
      <c r="I99" s="253">
        <f t="shared" si="21"/>
        <v>0</v>
      </c>
      <c r="J99" s="453">
        <f t="shared" si="29"/>
        <v>0</v>
      </c>
      <c r="K99" s="689"/>
      <c r="L99" s="689"/>
      <c r="M99" s="969">
        <f t="shared" si="30"/>
        <v>0</v>
      </c>
      <c r="N99" s="1029" t="str">
        <f t="shared" si="31"/>
        <v/>
      </c>
      <c r="O99" s="969" t="str">
        <f>IFERROR(VLOOKUP(B99,'נתוני רישום ומצבת'!B:Q,16,0),"")</f>
        <v/>
      </c>
      <c r="P99" s="969" t="str">
        <f>IFERROR(VLOOKUP(B99,'נתוני רישום ומצבת'!B:R,17,0),"")</f>
        <v/>
      </c>
      <c r="Q99" s="690"/>
      <c r="R99" s="1009"/>
      <c r="S99" s="376">
        <f t="shared" si="32"/>
        <v>0</v>
      </c>
      <c r="T99" s="376">
        <f t="shared" si="33"/>
        <v>0</v>
      </c>
      <c r="U99" s="386">
        <f t="shared" si="34"/>
        <v>0</v>
      </c>
      <c r="V99" s="513" t="str">
        <f t="shared" si="35"/>
        <v/>
      </c>
      <c r="W99" s="254" t="str">
        <f>IF(ISBLANK(B99)," ",IF(B99=IFERROR(VLOOKUP(B99,'מצבת והרשמה (2)'!F:F,1,0),0),"תקין","לא קיים במצבת כבית ספר בו מתקיימת פעילות"))</f>
        <v xml:space="preserve"> </v>
      </c>
      <c r="X99" s="256" t="str">
        <f t="shared" si="22"/>
        <v/>
      </c>
      <c r="Y99" s="256" t="str">
        <f t="shared" si="23"/>
        <v/>
      </c>
      <c r="Z99" s="741">
        <f t="shared" si="24"/>
        <v>0</v>
      </c>
      <c r="AA99" s="741">
        <f t="shared" si="25"/>
        <v>0</v>
      </c>
      <c r="AB99" s="741">
        <f t="shared" si="26"/>
        <v>0</v>
      </c>
      <c r="AC99" s="987">
        <f t="shared" si="36"/>
        <v>0</v>
      </c>
      <c r="AD99" s="987">
        <f t="shared" si="37"/>
        <v>0</v>
      </c>
      <c r="AE99" s="368" t="str">
        <f>IFERROR(VLOOKUP(B99,'[1]סיכום בקרת רשויות'!$A:$D,4,0),"")</f>
        <v/>
      </c>
      <c r="AF99" s="57" t="str">
        <f t="shared" si="38"/>
        <v/>
      </c>
      <c r="AG99" s="180">
        <f>IF(AF99="כן",M99*'גנים ובתי ספר- מבנה תקציב'!$H$59,0)</f>
        <v>0</v>
      </c>
      <c r="AH99" s="180">
        <f>IF(AF99="כן",M99*'גנים ובתי ספר- מבנה תקציב'!$I$59,0)</f>
        <v>0</v>
      </c>
      <c r="AI99" s="180">
        <f t="shared" si="39"/>
        <v>0</v>
      </c>
      <c r="AJ99" s="368" t="str">
        <f t="shared" si="27"/>
        <v/>
      </c>
    </row>
    <row r="100" spans="1:36" x14ac:dyDescent="0.25">
      <c r="A100" s="57">
        <v>80</v>
      </c>
      <c r="B100" s="690"/>
      <c r="C100" s="690"/>
      <c r="D100" s="252">
        <f>(IFERROR(SUMIF('מצבת והרשמה (2)'!$F$21:$F$501,'דוח ביצוע (3)'!$B100,'מצבת והרשמה (2)'!$J$21:$J$501),0))</f>
        <v>0</v>
      </c>
      <c r="E100" s="252">
        <f>IFERROR(SUMIF('מצבת והרשמה (2)'!$F$21:$F$501,'דוח ביצוע (3)'!$B100,'מצבת והרשמה (2)'!$K$21:$K$501),0)</f>
        <v>0</v>
      </c>
      <c r="F100" s="253">
        <f t="shared" si="28"/>
        <v>0</v>
      </c>
      <c r="G100" s="680"/>
      <c r="H100" s="680"/>
      <c r="I100" s="253">
        <f t="shared" si="21"/>
        <v>0</v>
      </c>
      <c r="J100" s="453">
        <f t="shared" si="29"/>
        <v>0</v>
      </c>
      <c r="K100" s="689"/>
      <c r="L100" s="689"/>
      <c r="M100" s="969">
        <f t="shared" si="30"/>
        <v>0</v>
      </c>
      <c r="N100" s="1029" t="str">
        <f t="shared" si="31"/>
        <v/>
      </c>
      <c r="O100" s="969" t="str">
        <f>IFERROR(VLOOKUP(B100,'נתוני רישום ומצבת'!B:Q,16,0),"")</f>
        <v/>
      </c>
      <c r="P100" s="969" t="str">
        <f>IFERROR(VLOOKUP(B100,'נתוני רישום ומצבת'!B:R,17,0),"")</f>
        <v/>
      </c>
      <c r="Q100" s="690"/>
      <c r="R100" s="1009"/>
      <c r="S100" s="376">
        <f t="shared" si="32"/>
        <v>0</v>
      </c>
      <c r="T100" s="376">
        <f t="shared" si="33"/>
        <v>0</v>
      </c>
      <c r="U100" s="386">
        <f t="shared" si="34"/>
        <v>0</v>
      </c>
      <c r="V100" s="513" t="str">
        <f t="shared" si="35"/>
        <v/>
      </c>
      <c r="W100" s="254" t="str">
        <f>IF(ISBLANK(B100)," ",IF(B100=IFERROR(VLOOKUP(B100,'מצבת והרשמה (2)'!F:F,1,0),0),"תקין","לא קיים במצבת כבית ספר בו מתקיימת פעילות"))</f>
        <v xml:space="preserve"> </v>
      </c>
      <c r="X100" s="256" t="str">
        <f t="shared" si="22"/>
        <v/>
      </c>
      <c r="Y100" s="256" t="str">
        <f t="shared" si="23"/>
        <v/>
      </c>
      <c r="Z100" s="741">
        <f t="shared" si="24"/>
        <v>0</v>
      </c>
      <c r="AA100" s="741">
        <f t="shared" si="25"/>
        <v>0</v>
      </c>
      <c r="AB100" s="741">
        <f t="shared" si="26"/>
        <v>0</v>
      </c>
      <c r="AC100" s="987">
        <f t="shared" si="36"/>
        <v>0</v>
      </c>
      <c r="AD100" s="987">
        <f t="shared" si="37"/>
        <v>0</v>
      </c>
      <c r="AE100" s="368" t="str">
        <f>IFERROR(VLOOKUP(B100,'[1]סיכום בקרת רשויות'!$A:$D,4,0),"")</f>
        <v/>
      </c>
      <c r="AF100" s="57" t="str">
        <f t="shared" si="38"/>
        <v/>
      </c>
      <c r="AG100" s="180">
        <f>IF(AF100="כן",M100*'גנים ובתי ספר- מבנה תקציב'!$H$59,0)</f>
        <v>0</v>
      </c>
      <c r="AH100" s="180">
        <f>IF(AF100="כן",M100*'גנים ובתי ספר- מבנה תקציב'!$I$59,0)</f>
        <v>0</v>
      </c>
      <c r="AI100" s="180">
        <f t="shared" si="39"/>
        <v>0</v>
      </c>
      <c r="AJ100" s="368" t="str">
        <f t="shared" si="27"/>
        <v/>
      </c>
    </row>
    <row r="101" spans="1:36" x14ac:dyDescent="0.25">
      <c r="A101" s="57">
        <v>81</v>
      </c>
      <c r="B101" s="690"/>
      <c r="C101" s="690"/>
      <c r="D101" s="252">
        <f>(IFERROR(SUMIF('מצבת והרשמה (2)'!$F$21:$F$501,'דוח ביצוע (3)'!$B101,'מצבת והרשמה (2)'!$J$21:$J$501),0))</f>
        <v>0</v>
      </c>
      <c r="E101" s="252">
        <f>IFERROR(SUMIF('מצבת והרשמה (2)'!$F$21:$F$501,'דוח ביצוע (3)'!$B101,'מצבת והרשמה (2)'!$K$21:$K$501),0)</f>
        <v>0</v>
      </c>
      <c r="F101" s="253">
        <f t="shared" si="28"/>
        <v>0</v>
      </c>
      <c r="G101" s="680"/>
      <c r="H101" s="680"/>
      <c r="I101" s="253">
        <f t="shared" si="21"/>
        <v>0</v>
      </c>
      <c r="J101" s="453">
        <f t="shared" si="29"/>
        <v>0</v>
      </c>
      <c r="K101" s="689"/>
      <c r="L101" s="689"/>
      <c r="M101" s="969">
        <f t="shared" si="30"/>
        <v>0</v>
      </c>
      <c r="N101" s="1029" t="str">
        <f t="shared" si="31"/>
        <v/>
      </c>
      <c r="O101" s="969" t="str">
        <f>IFERROR(VLOOKUP(B101,'נתוני רישום ומצבת'!B:Q,16,0),"")</f>
        <v/>
      </c>
      <c r="P101" s="969" t="str">
        <f>IFERROR(VLOOKUP(B101,'נתוני רישום ומצבת'!B:R,17,0),"")</f>
        <v/>
      </c>
      <c r="Q101" s="690"/>
      <c r="R101" s="1009"/>
      <c r="S101" s="376">
        <f t="shared" si="32"/>
        <v>0</v>
      </c>
      <c r="T101" s="376">
        <f t="shared" si="33"/>
        <v>0</v>
      </c>
      <c r="U101" s="386">
        <f t="shared" si="34"/>
        <v>0</v>
      </c>
      <c r="V101" s="513" t="str">
        <f t="shared" si="35"/>
        <v/>
      </c>
      <c r="W101" s="254" t="str">
        <f>IF(ISBLANK(B101)," ",IF(B101=IFERROR(VLOOKUP(B101,'מצבת והרשמה (2)'!F:F,1,0),0),"תקין","לא קיים במצבת כבית ספר בו מתקיימת פעילות"))</f>
        <v xml:space="preserve"> </v>
      </c>
      <c r="X101" s="256" t="str">
        <f t="shared" si="22"/>
        <v/>
      </c>
      <c r="Y101" s="256" t="str">
        <f t="shared" si="23"/>
        <v/>
      </c>
      <c r="Z101" s="741">
        <f t="shared" si="24"/>
        <v>0</v>
      </c>
      <c r="AA101" s="741">
        <f t="shared" si="25"/>
        <v>0</v>
      </c>
      <c r="AB101" s="741">
        <f t="shared" si="26"/>
        <v>0</v>
      </c>
      <c r="AC101" s="987">
        <f t="shared" si="36"/>
        <v>0</v>
      </c>
      <c r="AD101" s="987">
        <f t="shared" si="37"/>
        <v>0</v>
      </c>
      <c r="AE101" s="368" t="str">
        <f>IFERROR(VLOOKUP(B101,'[1]סיכום בקרת רשויות'!$A:$D,4,0),"")</f>
        <v/>
      </c>
      <c r="AF101" s="57" t="str">
        <f t="shared" si="38"/>
        <v/>
      </c>
      <c r="AG101" s="180">
        <f>IF(AF101="כן",M101*'גנים ובתי ספר- מבנה תקציב'!$H$59,0)</f>
        <v>0</v>
      </c>
      <c r="AH101" s="180">
        <f>IF(AF101="כן",M101*'גנים ובתי ספר- מבנה תקציב'!$I$59,0)</f>
        <v>0</v>
      </c>
      <c r="AI101" s="180">
        <f t="shared" si="39"/>
        <v>0</v>
      </c>
      <c r="AJ101" s="368" t="str">
        <f t="shared" si="27"/>
        <v/>
      </c>
    </row>
    <row r="102" spans="1:36" x14ac:dyDescent="0.25">
      <c r="A102" s="57">
        <v>82</v>
      </c>
      <c r="B102" s="690"/>
      <c r="C102" s="690"/>
      <c r="D102" s="252">
        <f>(IFERROR(SUMIF('מצבת והרשמה (2)'!$F$21:$F$501,'דוח ביצוע (3)'!$B102,'מצבת והרשמה (2)'!$J$21:$J$501),0))</f>
        <v>0</v>
      </c>
      <c r="E102" s="252">
        <f>IFERROR(SUMIF('מצבת והרשמה (2)'!$F$21:$F$501,'דוח ביצוע (3)'!$B102,'מצבת והרשמה (2)'!$K$21:$K$501),0)</f>
        <v>0</v>
      </c>
      <c r="F102" s="253">
        <f t="shared" si="28"/>
        <v>0</v>
      </c>
      <c r="G102" s="680"/>
      <c r="H102" s="680"/>
      <c r="I102" s="253">
        <f t="shared" si="21"/>
        <v>0</v>
      </c>
      <c r="J102" s="453">
        <f t="shared" si="29"/>
        <v>0</v>
      </c>
      <c r="K102" s="689"/>
      <c r="L102" s="689"/>
      <c r="M102" s="969">
        <f t="shared" si="30"/>
        <v>0</v>
      </c>
      <c r="N102" s="1029" t="str">
        <f t="shared" si="31"/>
        <v/>
      </c>
      <c r="O102" s="969" t="str">
        <f>IFERROR(VLOOKUP(B102,'נתוני רישום ומצבת'!B:Q,16,0),"")</f>
        <v/>
      </c>
      <c r="P102" s="969" t="str">
        <f>IFERROR(VLOOKUP(B102,'נתוני רישום ומצבת'!B:R,17,0),"")</f>
        <v/>
      </c>
      <c r="Q102" s="690"/>
      <c r="R102" s="1009"/>
      <c r="S102" s="376">
        <f t="shared" si="32"/>
        <v>0</v>
      </c>
      <c r="T102" s="376">
        <f t="shared" si="33"/>
        <v>0</v>
      </c>
      <c r="U102" s="386">
        <f t="shared" si="34"/>
        <v>0</v>
      </c>
      <c r="V102" s="513" t="str">
        <f t="shared" si="35"/>
        <v/>
      </c>
      <c r="W102" s="254" t="str">
        <f>IF(ISBLANK(B102)," ",IF(B102=IFERROR(VLOOKUP(B102,'מצבת והרשמה (2)'!F:F,1,0),0),"תקין","לא קיים במצבת כבית ספר בו מתקיימת פעילות"))</f>
        <v xml:space="preserve"> </v>
      </c>
      <c r="X102" s="256" t="str">
        <f t="shared" si="22"/>
        <v/>
      </c>
      <c r="Y102" s="256" t="str">
        <f t="shared" si="23"/>
        <v/>
      </c>
      <c r="Z102" s="741">
        <f t="shared" si="24"/>
        <v>0</v>
      </c>
      <c r="AA102" s="741">
        <f t="shared" si="25"/>
        <v>0</v>
      </c>
      <c r="AB102" s="741">
        <f t="shared" si="26"/>
        <v>0</v>
      </c>
      <c r="AC102" s="987">
        <f t="shared" si="36"/>
        <v>0</v>
      </c>
      <c r="AD102" s="987">
        <f t="shared" si="37"/>
        <v>0</v>
      </c>
      <c r="AE102" s="368" t="str">
        <f>IFERROR(VLOOKUP(B102,'[1]סיכום בקרת רשויות'!$A:$D,4,0),"")</f>
        <v/>
      </c>
      <c r="AF102" s="57" t="str">
        <f t="shared" si="38"/>
        <v/>
      </c>
      <c r="AG102" s="180">
        <f>IF(AF102="כן",M102*'גנים ובתי ספר- מבנה תקציב'!$H$59,0)</f>
        <v>0</v>
      </c>
      <c r="AH102" s="180">
        <f>IF(AF102="כן",M102*'גנים ובתי ספר- מבנה תקציב'!$I$59,0)</f>
        <v>0</v>
      </c>
      <c r="AI102" s="180">
        <f t="shared" si="39"/>
        <v>0</v>
      </c>
      <c r="AJ102" s="368" t="str">
        <f t="shared" si="27"/>
        <v/>
      </c>
    </row>
    <row r="103" spans="1:36" x14ac:dyDescent="0.25">
      <c r="A103" s="57">
        <v>83</v>
      </c>
      <c r="B103" s="690"/>
      <c r="C103" s="690"/>
      <c r="D103" s="252">
        <f>(IFERROR(SUMIF('מצבת והרשמה (2)'!$F$21:$F$501,'דוח ביצוע (3)'!$B103,'מצבת והרשמה (2)'!$J$21:$J$501),0))</f>
        <v>0</v>
      </c>
      <c r="E103" s="252">
        <f>IFERROR(SUMIF('מצבת והרשמה (2)'!$F$21:$F$501,'דוח ביצוע (3)'!$B103,'מצבת והרשמה (2)'!$K$21:$K$501),0)</f>
        <v>0</v>
      </c>
      <c r="F103" s="253">
        <f t="shared" si="28"/>
        <v>0</v>
      </c>
      <c r="G103" s="680"/>
      <c r="H103" s="680"/>
      <c r="I103" s="253">
        <f t="shared" si="21"/>
        <v>0</v>
      </c>
      <c r="J103" s="453">
        <f t="shared" si="29"/>
        <v>0</v>
      </c>
      <c r="K103" s="689"/>
      <c r="L103" s="689"/>
      <c r="M103" s="969">
        <f t="shared" si="30"/>
        <v>0</v>
      </c>
      <c r="N103" s="1029" t="str">
        <f t="shared" si="31"/>
        <v/>
      </c>
      <c r="O103" s="969" t="str">
        <f>IFERROR(VLOOKUP(B103,'נתוני רישום ומצבת'!B:Q,16,0),"")</f>
        <v/>
      </c>
      <c r="P103" s="969" t="str">
        <f>IFERROR(VLOOKUP(B103,'נתוני רישום ומצבת'!B:R,17,0),"")</f>
        <v/>
      </c>
      <c r="Q103" s="690"/>
      <c r="R103" s="1009"/>
      <c r="S103" s="376">
        <f t="shared" si="32"/>
        <v>0</v>
      </c>
      <c r="T103" s="376">
        <f t="shared" si="33"/>
        <v>0</v>
      </c>
      <c r="U103" s="386">
        <f t="shared" si="34"/>
        <v>0</v>
      </c>
      <c r="V103" s="513" t="str">
        <f t="shared" si="35"/>
        <v/>
      </c>
      <c r="W103" s="254" t="str">
        <f>IF(ISBLANK(B103)," ",IF(B103=IFERROR(VLOOKUP(B103,'מצבת והרשמה (2)'!F:F,1,0),0),"תקין","לא קיים במצבת כבית ספר בו מתקיימת פעילות"))</f>
        <v xml:space="preserve"> </v>
      </c>
      <c r="X103" s="256" t="str">
        <f t="shared" si="22"/>
        <v/>
      </c>
      <c r="Y103" s="256" t="str">
        <f t="shared" si="23"/>
        <v/>
      </c>
      <c r="Z103" s="741">
        <f t="shared" si="24"/>
        <v>0</v>
      </c>
      <c r="AA103" s="741">
        <f t="shared" si="25"/>
        <v>0</v>
      </c>
      <c r="AB103" s="741">
        <f t="shared" si="26"/>
        <v>0</v>
      </c>
      <c r="AC103" s="987">
        <f t="shared" si="36"/>
        <v>0</v>
      </c>
      <c r="AD103" s="987">
        <f t="shared" si="37"/>
        <v>0</v>
      </c>
      <c r="AE103" s="368" t="str">
        <f>IFERROR(VLOOKUP(B103,'[1]סיכום בקרת רשויות'!$A:$D,4,0),"")</f>
        <v/>
      </c>
      <c r="AF103" s="57" t="str">
        <f t="shared" si="38"/>
        <v/>
      </c>
      <c r="AG103" s="180">
        <f>IF(AF103="כן",M103*'גנים ובתי ספר- מבנה תקציב'!$H$59,0)</f>
        <v>0</v>
      </c>
      <c r="AH103" s="180">
        <f>IF(AF103="כן",M103*'גנים ובתי ספר- מבנה תקציב'!$I$59,0)</f>
        <v>0</v>
      </c>
      <c r="AI103" s="180">
        <f t="shared" si="39"/>
        <v>0</v>
      </c>
      <c r="AJ103" s="368" t="str">
        <f t="shared" si="27"/>
        <v/>
      </c>
    </row>
    <row r="104" spans="1:36" x14ac:dyDescent="0.25">
      <c r="A104" s="57">
        <v>84</v>
      </c>
      <c r="B104" s="690"/>
      <c r="C104" s="690"/>
      <c r="D104" s="252">
        <f>(IFERROR(SUMIF('מצבת והרשמה (2)'!$F$21:$F$501,'דוח ביצוע (3)'!$B104,'מצבת והרשמה (2)'!$J$21:$J$501),0))</f>
        <v>0</v>
      </c>
      <c r="E104" s="252">
        <f>IFERROR(SUMIF('מצבת והרשמה (2)'!$F$21:$F$501,'דוח ביצוע (3)'!$B104,'מצבת והרשמה (2)'!$K$21:$K$501),0)</f>
        <v>0</v>
      </c>
      <c r="F104" s="253">
        <f t="shared" si="28"/>
        <v>0</v>
      </c>
      <c r="G104" s="680"/>
      <c r="H104" s="680"/>
      <c r="I104" s="253">
        <f t="shared" si="21"/>
        <v>0</v>
      </c>
      <c r="J104" s="453">
        <f t="shared" si="29"/>
        <v>0</v>
      </c>
      <c r="K104" s="689"/>
      <c r="L104" s="689"/>
      <c r="M104" s="969">
        <f t="shared" si="30"/>
        <v>0</v>
      </c>
      <c r="N104" s="1029" t="str">
        <f t="shared" si="31"/>
        <v/>
      </c>
      <c r="O104" s="969" t="str">
        <f>IFERROR(VLOOKUP(B104,'נתוני רישום ומצבת'!B:Q,16,0),"")</f>
        <v/>
      </c>
      <c r="P104" s="969" t="str">
        <f>IFERROR(VLOOKUP(B104,'נתוני רישום ומצבת'!B:R,17,0),"")</f>
        <v/>
      </c>
      <c r="Q104" s="690"/>
      <c r="R104" s="1009"/>
      <c r="S104" s="376">
        <f t="shared" si="32"/>
        <v>0</v>
      </c>
      <c r="T104" s="376">
        <f t="shared" si="33"/>
        <v>0</v>
      </c>
      <c r="U104" s="386">
        <f t="shared" si="34"/>
        <v>0</v>
      </c>
      <c r="V104" s="513" t="str">
        <f t="shared" si="35"/>
        <v/>
      </c>
      <c r="W104" s="254" t="str">
        <f>IF(ISBLANK(B104)," ",IF(B104=IFERROR(VLOOKUP(B104,'מצבת והרשמה (2)'!F:F,1,0),0),"תקין","לא קיים במצבת כבית ספר בו מתקיימת פעילות"))</f>
        <v xml:space="preserve"> </v>
      </c>
      <c r="X104" s="256" t="str">
        <f t="shared" si="22"/>
        <v/>
      </c>
      <c r="Y104" s="256" t="str">
        <f t="shared" si="23"/>
        <v/>
      </c>
      <c r="Z104" s="741">
        <f t="shared" si="24"/>
        <v>0</v>
      </c>
      <c r="AA104" s="741">
        <f t="shared" si="25"/>
        <v>0</v>
      </c>
      <c r="AB104" s="741">
        <f t="shared" si="26"/>
        <v>0</v>
      </c>
      <c r="AC104" s="987">
        <f t="shared" si="36"/>
        <v>0</v>
      </c>
      <c r="AD104" s="987">
        <f t="shared" si="37"/>
        <v>0</v>
      </c>
      <c r="AE104" s="368" t="str">
        <f>IFERROR(VLOOKUP(B104,'[1]סיכום בקרת רשויות'!$A:$D,4,0),"")</f>
        <v/>
      </c>
      <c r="AF104" s="57" t="str">
        <f t="shared" si="38"/>
        <v/>
      </c>
      <c r="AG104" s="180">
        <f>IF(AF104="כן",M104*'גנים ובתי ספר- מבנה תקציב'!$H$59,0)</f>
        <v>0</v>
      </c>
      <c r="AH104" s="180">
        <f>IF(AF104="כן",M104*'גנים ובתי ספר- מבנה תקציב'!$I$59,0)</f>
        <v>0</v>
      </c>
      <c r="AI104" s="180">
        <f t="shared" si="39"/>
        <v>0</v>
      </c>
      <c r="AJ104" s="368" t="str">
        <f t="shared" si="27"/>
        <v/>
      </c>
    </row>
    <row r="105" spans="1:36" x14ac:dyDescent="0.25">
      <c r="A105" s="57">
        <v>85</v>
      </c>
      <c r="B105" s="690"/>
      <c r="C105" s="690"/>
      <c r="D105" s="252">
        <f>(IFERROR(SUMIF('מצבת והרשמה (2)'!$F$21:$F$501,'דוח ביצוע (3)'!$B105,'מצבת והרשמה (2)'!$J$21:$J$501),0))</f>
        <v>0</v>
      </c>
      <c r="E105" s="252">
        <f>IFERROR(SUMIF('מצבת והרשמה (2)'!$F$21:$F$501,'דוח ביצוע (3)'!$B105,'מצבת והרשמה (2)'!$K$21:$K$501),0)</f>
        <v>0</v>
      </c>
      <c r="F105" s="253">
        <f t="shared" si="28"/>
        <v>0</v>
      </c>
      <c r="G105" s="680"/>
      <c r="H105" s="680"/>
      <c r="I105" s="253">
        <f t="shared" si="21"/>
        <v>0</v>
      </c>
      <c r="J105" s="453">
        <f t="shared" si="29"/>
        <v>0</v>
      </c>
      <c r="K105" s="689"/>
      <c r="L105" s="689"/>
      <c r="M105" s="969">
        <f t="shared" si="30"/>
        <v>0</v>
      </c>
      <c r="N105" s="1029" t="str">
        <f t="shared" si="31"/>
        <v/>
      </c>
      <c r="O105" s="969" t="str">
        <f>IFERROR(VLOOKUP(B105,'נתוני רישום ומצבת'!B:Q,16,0),"")</f>
        <v/>
      </c>
      <c r="P105" s="969" t="str">
        <f>IFERROR(VLOOKUP(B105,'נתוני רישום ומצבת'!B:R,17,0),"")</f>
        <v/>
      </c>
      <c r="Q105" s="690"/>
      <c r="R105" s="1009"/>
      <c r="S105" s="376">
        <f t="shared" si="32"/>
        <v>0</v>
      </c>
      <c r="T105" s="376">
        <f t="shared" si="33"/>
        <v>0</v>
      </c>
      <c r="U105" s="386">
        <f t="shared" si="34"/>
        <v>0</v>
      </c>
      <c r="V105" s="513" t="str">
        <f t="shared" si="35"/>
        <v/>
      </c>
      <c r="W105" s="254" t="str">
        <f>IF(ISBLANK(B105)," ",IF(B105=IFERROR(VLOOKUP(B105,'מצבת והרשמה (2)'!F:F,1,0),0),"תקין","לא קיים במצבת כבית ספר בו מתקיימת פעילות"))</f>
        <v xml:space="preserve"> </v>
      </c>
      <c r="X105" s="256" t="str">
        <f t="shared" si="22"/>
        <v/>
      </c>
      <c r="Y105" s="256" t="str">
        <f t="shared" si="23"/>
        <v/>
      </c>
      <c r="Z105" s="741">
        <f t="shared" si="24"/>
        <v>0</v>
      </c>
      <c r="AA105" s="741">
        <f t="shared" si="25"/>
        <v>0</v>
      </c>
      <c r="AB105" s="741">
        <f t="shared" si="26"/>
        <v>0</v>
      </c>
      <c r="AC105" s="987">
        <f t="shared" si="36"/>
        <v>0</v>
      </c>
      <c r="AD105" s="987">
        <f t="shared" si="37"/>
        <v>0</v>
      </c>
      <c r="AE105" s="368" t="str">
        <f>IFERROR(VLOOKUP(B105,'[1]סיכום בקרת רשויות'!$A:$D,4,0),"")</f>
        <v/>
      </c>
      <c r="AF105" s="57" t="str">
        <f t="shared" si="38"/>
        <v/>
      </c>
      <c r="AG105" s="180">
        <f>IF(AF105="כן",M105*'גנים ובתי ספר- מבנה תקציב'!$H$59,0)</f>
        <v>0</v>
      </c>
      <c r="AH105" s="180">
        <f>IF(AF105="כן",M105*'גנים ובתי ספר- מבנה תקציב'!$I$59,0)</f>
        <v>0</v>
      </c>
      <c r="AI105" s="180">
        <f t="shared" si="39"/>
        <v>0</v>
      </c>
      <c r="AJ105" s="368" t="str">
        <f t="shared" si="27"/>
        <v/>
      </c>
    </row>
    <row r="106" spans="1:36" x14ac:dyDescent="0.25">
      <c r="A106" s="57">
        <v>86</v>
      </c>
      <c r="B106" s="690"/>
      <c r="C106" s="690"/>
      <c r="D106" s="252">
        <f>(IFERROR(SUMIF('מצבת והרשמה (2)'!$F$21:$F$501,'דוח ביצוע (3)'!$B106,'מצבת והרשמה (2)'!$J$21:$J$501),0))</f>
        <v>0</v>
      </c>
      <c r="E106" s="252">
        <f>IFERROR(SUMIF('מצבת והרשמה (2)'!$F$21:$F$501,'דוח ביצוע (3)'!$B106,'מצבת והרשמה (2)'!$K$21:$K$501),0)</f>
        <v>0</v>
      </c>
      <c r="F106" s="253">
        <f t="shared" si="28"/>
        <v>0</v>
      </c>
      <c r="G106" s="680"/>
      <c r="H106" s="680"/>
      <c r="I106" s="253">
        <f t="shared" si="21"/>
        <v>0</v>
      </c>
      <c r="J106" s="453">
        <f t="shared" si="29"/>
        <v>0</v>
      </c>
      <c r="K106" s="689"/>
      <c r="L106" s="689"/>
      <c r="M106" s="969">
        <f t="shared" si="30"/>
        <v>0</v>
      </c>
      <c r="N106" s="1029" t="str">
        <f t="shared" si="31"/>
        <v/>
      </c>
      <c r="O106" s="969" t="str">
        <f>IFERROR(VLOOKUP(B106,'נתוני רישום ומצבת'!B:Q,16,0),"")</f>
        <v/>
      </c>
      <c r="P106" s="969" t="str">
        <f>IFERROR(VLOOKUP(B106,'נתוני רישום ומצבת'!B:R,17,0),"")</f>
        <v/>
      </c>
      <c r="Q106" s="690"/>
      <c r="R106" s="1009"/>
      <c r="S106" s="376">
        <f t="shared" si="32"/>
        <v>0</v>
      </c>
      <c r="T106" s="376">
        <f t="shared" si="33"/>
        <v>0</v>
      </c>
      <c r="U106" s="386">
        <f t="shared" si="34"/>
        <v>0</v>
      </c>
      <c r="V106" s="513" t="str">
        <f t="shared" si="35"/>
        <v/>
      </c>
      <c r="W106" s="254" t="str">
        <f>IF(ISBLANK(B106)," ",IF(B106=IFERROR(VLOOKUP(B106,'מצבת והרשמה (2)'!F:F,1,0),0),"תקין","לא קיים במצבת כבית ספר בו מתקיימת פעילות"))</f>
        <v xml:space="preserve"> </v>
      </c>
      <c r="X106" s="256" t="str">
        <f t="shared" si="22"/>
        <v/>
      </c>
      <c r="Y106" s="256" t="str">
        <f t="shared" si="23"/>
        <v/>
      </c>
      <c r="Z106" s="741">
        <f t="shared" si="24"/>
        <v>0</v>
      </c>
      <c r="AA106" s="741">
        <f t="shared" si="25"/>
        <v>0</v>
      </c>
      <c r="AB106" s="741">
        <f t="shared" si="26"/>
        <v>0</v>
      </c>
      <c r="AC106" s="987">
        <f t="shared" si="36"/>
        <v>0</v>
      </c>
      <c r="AD106" s="987">
        <f t="shared" si="37"/>
        <v>0</v>
      </c>
      <c r="AE106" s="368" t="str">
        <f>IFERROR(VLOOKUP(B106,'[1]סיכום בקרת רשויות'!$A:$D,4,0),"")</f>
        <v/>
      </c>
      <c r="AF106" s="57" t="str">
        <f t="shared" si="38"/>
        <v/>
      </c>
      <c r="AG106" s="180">
        <f>IF(AF106="כן",M106*'גנים ובתי ספר- מבנה תקציב'!$H$59,0)</f>
        <v>0</v>
      </c>
      <c r="AH106" s="180">
        <f>IF(AF106="כן",M106*'גנים ובתי ספר- מבנה תקציב'!$I$59,0)</f>
        <v>0</v>
      </c>
      <c r="AI106" s="180">
        <f t="shared" si="39"/>
        <v>0</v>
      </c>
      <c r="AJ106" s="368" t="str">
        <f t="shared" si="27"/>
        <v/>
      </c>
    </row>
    <row r="107" spans="1:36" x14ac:dyDescent="0.25">
      <c r="A107" s="57">
        <v>87</v>
      </c>
      <c r="B107" s="690"/>
      <c r="C107" s="690"/>
      <c r="D107" s="252">
        <f>(IFERROR(SUMIF('מצבת והרשמה (2)'!$F$21:$F$501,'דוח ביצוע (3)'!$B107,'מצבת והרשמה (2)'!$J$21:$J$501),0))</f>
        <v>0</v>
      </c>
      <c r="E107" s="252">
        <f>IFERROR(SUMIF('מצבת והרשמה (2)'!$F$21:$F$501,'דוח ביצוע (3)'!$B107,'מצבת והרשמה (2)'!$K$21:$K$501),0)</f>
        <v>0</v>
      </c>
      <c r="F107" s="253">
        <f t="shared" si="28"/>
        <v>0</v>
      </c>
      <c r="G107" s="680"/>
      <c r="H107" s="680"/>
      <c r="I107" s="253">
        <f t="shared" si="21"/>
        <v>0</v>
      </c>
      <c r="J107" s="453">
        <f t="shared" si="29"/>
        <v>0</v>
      </c>
      <c r="K107" s="689"/>
      <c r="L107" s="689"/>
      <c r="M107" s="969">
        <f t="shared" si="30"/>
        <v>0</v>
      </c>
      <c r="N107" s="1029" t="str">
        <f t="shared" si="31"/>
        <v/>
      </c>
      <c r="O107" s="969" t="str">
        <f>IFERROR(VLOOKUP(B107,'נתוני רישום ומצבת'!B:Q,16,0),"")</f>
        <v/>
      </c>
      <c r="P107" s="969" t="str">
        <f>IFERROR(VLOOKUP(B107,'נתוני רישום ומצבת'!B:R,17,0),"")</f>
        <v/>
      </c>
      <c r="Q107" s="690"/>
      <c r="R107" s="1009"/>
      <c r="S107" s="376">
        <f t="shared" si="32"/>
        <v>0</v>
      </c>
      <c r="T107" s="376">
        <f t="shared" si="33"/>
        <v>0</v>
      </c>
      <c r="U107" s="386">
        <f t="shared" si="34"/>
        <v>0</v>
      </c>
      <c r="V107" s="513" t="str">
        <f t="shared" si="35"/>
        <v/>
      </c>
      <c r="W107" s="254" t="str">
        <f>IF(ISBLANK(B107)," ",IF(B107=IFERROR(VLOOKUP(B107,'מצבת והרשמה (2)'!F:F,1,0),0),"תקין","לא קיים במצבת כבית ספר בו מתקיימת פעילות"))</f>
        <v xml:space="preserve"> </v>
      </c>
      <c r="X107" s="256" t="str">
        <f t="shared" si="22"/>
        <v/>
      </c>
      <c r="Y107" s="256" t="str">
        <f t="shared" si="23"/>
        <v/>
      </c>
      <c r="Z107" s="741">
        <f t="shared" si="24"/>
        <v>0</v>
      </c>
      <c r="AA107" s="741">
        <f t="shared" si="25"/>
        <v>0</v>
      </c>
      <c r="AB107" s="741">
        <f t="shared" si="26"/>
        <v>0</v>
      </c>
      <c r="AC107" s="987">
        <f t="shared" si="36"/>
        <v>0</v>
      </c>
      <c r="AD107" s="987">
        <f t="shared" si="37"/>
        <v>0</v>
      </c>
      <c r="AE107" s="368" t="str">
        <f>IFERROR(VLOOKUP(B107,'[1]סיכום בקרת רשויות'!$A:$D,4,0),"")</f>
        <v/>
      </c>
      <c r="AF107" s="57" t="str">
        <f t="shared" si="38"/>
        <v/>
      </c>
      <c r="AG107" s="180">
        <f>IF(AF107="כן",M107*'גנים ובתי ספר- מבנה תקציב'!$H$59,0)</f>
        <v>0</v>
      </c>
      <c r="AH107" s="180">
        <f>IF(AF107="כן",M107*'גנים ובתי ספר- מבנה תקציב'!$I$59,0)</f>
        <v>0</v>
      </c>
      <c r="AI107" s="180">
        <f t="shared" si="39"/>
        <v>0</v>
      </c>
      <c r="AJ107" s="368" t="str">
        <f t="shared" si="27"/>
        <v/>
      </c>
    </row>
    <row r="108" spans="1:36" x14ac:dyDescent="0.25">
      <c r="A108" s="57">
        <v>88</v>
      </c>
      <c r="B108" s="690"/>
      <c r="C108" s="690"/>
      <c r="D108" s="252">
        <f>(IFERROR(SUMIF('מצבת והרשמה (2)'!$F$21:$F$501,'דוח ביצוע (3)'!$B108,'מצבת והרשמה (2)'!$J$21:$J$501),0))</f>
        <v>0</v>
      </c>
      <c r="E108" s="252">
        <f>IFERROR(SUMIF('מצבת והרשמה (2)'!$F$21:$F$501,'דוח ביצוע (3)'!$B108,'מצבת והרשמה (2)'!$K$21:$K$501),0)</f>
        <v>0</v>
      </c>
      <c r="F108" s="253">
        <f t="shared" si="28"/>
        <v>0</v>
      </c>
      <c r="G108" s="680"/>
      <c r="H108" s="680"/>
      <c r="I108" s="253">
        <f t="shared" si="21"/>
        <v>0</v>
      </c>
      <c r="J108" s="453">
        <f t="shared" si="29"/>
        <v>0</v>
      </c>
      <c r="K108" s="689"/>
      <c r="L108" s="689"/>
      <c r="M108" s="969">
        <f t="shared" si="30"/>
        <v>0</v>
      </c>
      <c r="N108" s="1029" t="str">
        <f t="shared" si="31"/>
        <v/>
      </c>
      <c r="O108" s="969" t="str">
        <f>IFERROR(VLOOKUP(B108,'נתוני רישום ומצבת'!B:Q,16,0),"")</f>
        <v/>
      </c>
      <c r="P108" s="969" t="str">
        <f>IFERROR(VLOOKUP(B108,'נתוני רישום ומצבת'!B:R,17,0),"")</f>
        <v/>
      </c>
      <c r="Q108" s="690"/>
      <c r="R108" s="1009"/>
      <c r="S108" s="376">
        <f t="shared" si="32"/>
        <v>0</v>
      </c>
      <c r="T108" s="376">
        <f t="shared" si="33"/>
        <v>0</v>
      </c>
      <c r="U108" s="386">
        <f t="shared" si="34"/>
        <v>0</v>
      </c>
      <c r="V108" s="513" t="str">
        <f t="shared" si="35"/>
        <v/>
      </c>
      <c r="W108" s="254" t="str">
        <f>IF(ISBLANK(B108)," ",IF(B108=IFERROR(VLOOKUP(B108,'מצבת והרשמה (2)'!F:F,1,0),0),"תקין","לא קיים במצבת כבית ספר בו מתקיימת פעילות"))</f>
        <v xml:space="preserve"> </v>
      </c>
      <c r="X108" s="256" t="str">
        <f t="shared" si="22"/>
        <v/>
      </c>
      <c r="Y108" s="256" t="str">
        <f t="shared" si="23"/>
        <v/>
      </c>
      <c r="Z108" s="741">
        <f t="shared" si="24"/>
        <v>0</v>
      </c>
      <c r="AA108" s="741">
        <f t="shared" si="25"/>
        <v>0</v>
      </c>
      <c r="AB108" s="741">
        <f t="shared" si="26"/>
        <v>0</v>
      </c>
      <c r="AC108" s="987">
        <f t="shared" si="36"/>
        <v>0</v>
      </c>
      <c r="AD108" s="987">
        <f t="shared" si="37"/>
        <v>0</v>
      </c>
      <c r="AE108" s="368" t="str">
        <f>IFERROR(VLOOKUP(B108,'[1]סיכום בקרת רשויות'!$A:$D,4,0),"")</f>
        <v/>
      </c>
      <c r="AF108" s="57" t="str">
        <f t="shared" si="38"/>
        <v/>
      </c>
      <c r="AG108" s="180">
        <f>IF(AF108="כן",M108*'גנים ובתי ספר- מבנה תקציב'!$H$59,0)</f>
        <v>0</v>
      </c>
      <c r="AH108" s="180">
        <f>IF(AF108="כן",M108*'גנים ובתי ספר- מבנה תקציב'!$I$59,0)</f>
        <v>0</v>
      </c>
      <c r="AI108" s="180">
        <f t="shared" si="39"/>
        <v>0</v>
      </c>
      <c r="AJ108" s="368" t="str">
        <f t="shared" si="27"/>
        <v/>
      </c>
    </row>
    <row r="109" spans="1:36" x14ac:dyDescent="0.25">
      <c r="A109" s="57">
        <v>89</v>
      </c>
      <c r="B109" s="690"/>
      <c r="C109" s="690"/>
      <c r="D109" s="252">
        <f>(IFERROR(SUMIF('מצבת והרשמה (2)'!$F$21:$F$501,'דוח ביצוע (3)'!$B109,'מצבת והרשמה (2)'!$J$21:$J$501),0))</f>
        <v>0</v>
      </c>
      <c r="E109" s="252">
        <f>IFERROR(SUMIF('מצבת והרשמה (2)'!$F$21:$F$501,'דוח ביצוע (3)'!$B109,'מצבת והרשמה (2)'!$K$21:$K$501),0)</f>
        <v>0</v>
      </c>
      <c r="F109" s="253">
        <f t="shared" si="28"/>
        <v>0</v>
      </c>
      <c r="G109" s="680"/>
      <c r="H109" s="680"/>
      <c r="I109" s="253">
        <f t="shared" si="21"/>
        <v>0</v>
      </c>
      <c r="J109" s="453">
        <f t="shared" si="29"/>
        <v>0</v>
      </c>
      <c r="K109" s="689"/>
      <c r="L109" s="689"/>
      <c r="M109" s="969">
        <f t="shared" si="30"/>
        <v>0</v>
      </c>
      <c r="N109" s="1029" t="str">
        <f t="shared" si="31"/>
        <v/>
      </c>
      <c r="O109" s="969" t="str">
        <f>IFERROR(VLOOKUP(B109,'נתוני רישום ומצבת'!B:Q,16,0),"")</f>
        <v/>
      </c>
      <c r="P109" s="969" t="str">
        <f>IFERROR(VLOOKUP(B109,'נתוני רישום ומצבת'!B:R,17,0),"")</f>
        <v/>
      </c>
      <c r="Q109" s="690"/>
      <c r="R109" s="1009"/>
      <c r="S109" s="376">
        <f t="shared" si="32"/>
        <v>0</v>
      </c>
      <c r="T109" s="376">
        <f t="shared" si="33"/>
        <v>0</v>
      </c>
      <c r="U109" s="386">
        <f t="shared" si="34"/>
        <v>0</v>
      </c>
      <c r="V109" s="513" t="str">
        <f t="shared" si="35"/>
        <v/>
      </c>
      <c r="W109" s="254" t="str">
        <f>IF(ISBLANK(B109)," ",IF(B109=IFERROR(VLOOKUP(B109,'מצבת והרשמה (2)'!F:F,1,0),0),"תקין","לא קיים במצבת כבית ספר בו מתקיימת פעילות"))</f>
        <v xml:space="preserve"> </v>
      </c>
      <c r="X109" s="256" t="str">
        <f t="shared" si="22"/>
        <v/>
      </c>
      <c r="Y109" s="256" t="str">
        <f t="shared" si="23"/>
        <v/>
      </c>
      <c r="Z109" s="741">
        <f t="shared" si="24"/>
        <v>0</v>
      </c>
      <c r="AA109" s="741">
        <f t="shared" si="25"/>
        <v>0</v>
      </c>
      <c r="AB109" s="741">
        <f t="shared" si="26"/>
        <v>0</v>
      </c>
      <c r="AC109" s="987">
        <f t="shared" si="36"/>
        <v>0</v>
      </c>
      <c r="AD109" s="987">
        <f t="shared" si="37"/>
        <v>0</v>
      </c>
      <c r="AE109" s="368" t="str">
        <f>IFERROR(VLOOKUP(B109,'[1]סיכום בקרת רשויות'!$A:$D,4,0),"")</f>
        <v/>
      </c>
      <c r="AF109" s="57" t="str">
        <f t="shared" si="38"/>
        <v/>
      </c>
      <c r="AG109" s="180">
        <f>IF(AF109="כן",M109*'גנים ובתי ספר- מבנה תקציב'!$H$59,0)</f>
        <v>0</v>
      </c>
      <c r="AH109" s="180">
        <f>IF(AF109="כן",M109*'גנים ובתי ספר- מבנה תקציב'!$I$59,0)</f>
        <v>0</v>
      </c>
      <c r="AI109" s="180">
        <f t="shared" si="39"/>
        <v>0</v>
      </c>
      <c r="AJ109" s="368" t="str">
        <f t="shared" si="27"/>
        <v/>
      </c>
    </row>
    <row r="110" spans="1:36" x14ac:dyDescent="0.25">
      <c r="A110" s="57">
        <v>90</v>
      </c>
      <c r="B110" s="690"/>
      <c r="C110" s="690"/>
      <c r="D110" s="252">
        <f>(IFERROR(SUMIF('מצבת והרשמה (2)'!$F$21:$F$501,'דוח ביצוע (3)'!$B110,'מצבת והרשמה (2)'!$J$21:$J$501),0))</f>
        <v>0</v>
      </c>
      <c r="E110" s="252">
        <f>IFERROR(SUMIF('מצבת והרשמה (2)'!$F$21:$F$501,'דוח ביצוע (3)'!$B110,'מצבת והרשמה (2)'!$K$21:$K$501),0)</f>
        <v>0</v>
      </c>
      <c r="F110" s="253">
        <f t="shared" si="28"/>
        <v>0</v>
      </c>
      <c r="G110" s="680"/>
      <c r="H110" s="680"/>
      <c r="I110" s="253">
        <f t="shared" si="21"/>
        <v>0</v>
      </c>
      <c r="J110" s="453">
        <f t="shared" si="29"/>
        <v>0</v>
      </c>
      <c r="K110" s="689"/>
      <c r="L110" s="689"/>
      <c r="M110" s="969">
        <f t="shared" si="30"/>
        <v>0</v>
      </c>
      <c r="N110" s="1029" t="str">
        <f t="shared" si="31"/>
        <v/>
      </c>
      <c r="O110" s="969" t="str">
        <f>IFERROR(VLOOKUP(B110,'נתוני רישום ומצבת'!B:Q,16,0),"")</f>
        <v/>
      </c>
      <c r="P110" s="969" t="str">
        <f>IFERROR(VLOOKUP(B110,'נתוני רישום ומצבת'!B:R,17,0),"")</f>
        <v/>
      </c>
      <c r="Q110" s="690"/>
      <c r="R110" s="1009"/>
      <c r="S110" s="376">
        <f t="shared" si="32"/>
        <v>0</v>
      </c>
      <c r="T110" s="376">
        <f t="shared" si="33"/>
        <v>0</v>
      </c>
      <c r="U110" s="386">
        <f t="shared" si="34"/>
        <v>0</v>
      </c>
      <c r="V110" s="513" t="str">
        <f t="shared" si="35"/>
        <v/>
      </c>
      <c r="W110" s="254" t="str">
        <f>IF(ISBLANK(B110)," ",IF(B110=IFERROR(VLOOKUP(B110,'מצבת והרשמה (2)'!F:F,1,0),0),"תקין","לא קיים במצבת כבית ספר בו מתקיימת פעילות"))</f>
        <v xml:space="preserve"> </v>
      </c>
      <c r="X110" s="256" t="str">
        <f t="shared" si="22"/>
        <v/>
      </c>
      <c r="Y110" s="256" t="str">
        <f t="shared" si="23"/>
        <v/>
      </c>
      <c r="Z110" s="741">
        <f t="shared" si="24"/>
        <v>0</v>
      </c>
      <c r="AA110" s="741">
        <f t="shared" si="25"/>
        <v>0</v>
      </c>
      <c r="AB110" s="741">
        <f t="shared" si="26"/>
        <v>0</v>
      </c>
      <c r="AC110" s="987">
        <f t="shared" si="36"/>
        <v>0</v>
      </c>
      <c r="AD110" s="987">
        <f t="shared" si="37"/>
        <v>0</v>
      </c>
      <c r="AE110" s="368" t="str">
        <f>IFERROR(VLOOKUP(B110,'[1]סיכום בקרת רשויות'!$A:$D,4,0),"")</f>
        <v/>
      </c>
      <c r="AF110" s="57" t="str">
        <f t="shared" si="38"/>
        <v/>
      </c>
      <c r="AG110" s="180">
        <f>IF(AF110="כן",M110*'גנים ובתי ספר- מבנה תקציב'!$H$59,0)</f>
        <v>0</v>
      </c>
      <c r="AH110" s="180">
        <f>IF(AF110="כן",M110*'גנים ובתי ספר- מבנה תקציב'!$I$59,0)</f>
        <v>0</v>
      </c>
      <c r="AI110" s="180">
        <f t="shared" si="39"/>
        <v>0</v>
      </c>
      <c r="AJ110" s="368" t="str">
        <f t="shared" si="27"/>
        <v/>
      </c>
    </row>
    <row r="111" spans="1:36" x14ac:dyDescent="0.25">
      <c r="A111" s="57">
        <v>91</v>
      </c>
      <c r="B111" s="690"/>
      <c r="C111" s="690"/>
      <c r="D111" s="252">
        <f>(IFERROR(SUMIF('מצבת והרשמה (2)'!$F$21:$F$501,'דוח ביצוע (3)'!$B111,'מצבת והרשמה (2)'!$J$21:$J$501),0))</f>
        <v>0</v>
      </c>
      <c r="E111" s="252">
        <f>IFERROR(SUMIF('מצבת והרשמה (2)'!$F$21:$F$501,'דוח ביצוע (3)'!$B111,'מצבת והרשמה (2)'!$K$21:$K$501),0)</f>
        <v>0</v>
      </c>
      <c r="F111" s="253">
        <f t="shared" si="28"/>
        <v>0</v>
      </c>
      <c r="G111" s="680"/>
      <c r="H111" s="680"/>
      <c r="I111" s="253">
        <f t="shared" si="21"/>
        <v>0</v>
      </c>
      <c r="J111" s="453">
        <f t="shared" si="29"/>
        <v>0</v>
      </c>
      <c r="K111" s="689"/>
      <c r="L111" s="689"/>
      <c r="M111" s="969">
        <f t="shared" si="30"/>
        <v>0</v>
      </c>
      <c r="N111" s="1029" t="str">
        <f t="shared" si="31"/>
        <v/>
      </c>
      <c r="O111" s="969" t="str">
        <f>IFERROR(VLOOKUP(B111,'נתוני רישום ומצבת'!B:Q,16,0),"")</f>
        <v/>
      </c>
      <c r="P111" s="969" t="str">
        <f>IFERROR(VLOOKUP(B111,'נתוני רישום ומצבת'!B:R,17,0),"")</f>
        <v/>
      </c>
      <c r="Q111" s="690"/>
      <c r="R111" s="1009"/>
      <c r="S111" s="376">
        <f t="shared" si="32"/>
        <v>0</v>
      </c>
      <c r="T111" s="376">
        <f t="shared" si="33"/>
        <v>0</v>
      </c>
      <c r="U111" s="386">
        <f t="shared" si="34"/>
        <v>0</v>
      </c>
      <c r="V111" s="513" t="str">
        <f t="shared" si="35"/>
        <v/>
      </c>
      <c r="W111" s="254" t="str">
        <f>IF(ISBLANK(B111)," ",IF(B111=IFERROR(VLOOKUP(B111,'מצבת והרשמה (2)'!F:F,1,0),0),"תקין","לא קיים במצבת כבית ספר בו מתקיימת פעילות"))</f>
        <v xml:space="preserve"> </v>
      </c>
      <c r="X111" s="256" t="str">
        <f t="shared" si="22"/>
        <v/>
      </c>
      <c r="Y111" s="256" t="str">
        <f t="shared" si="23"/>
        <v/>
      </c>
      <c r="Z111" s="741">
        <f t="shared" si="24"/>
        <v>0</v>
      </c>
      <c r="AA111" s="741">
        <f t="shared" si="25"/>
        <v>0</v>
      </c>
      <c r="AB111" s="741">
        <f t="shared" si="26"/>
        <v>0</v>
      </c>
      <c r="AC111" s="987">
        <f t="shared" si="36"/>
        <v>0</v>
      </c>
      <c r="AD111" s="987">
        <f t="shared" si="37"/>
        <v>0</v>
      </c>
      <c r="AE111" s="368" t="str">
        <f>IFERROR(VLOOKUP(B111,'[1]סיכום בקרת רשויות'!$A:$D,4,0),"")</f>
        <v/>
      </c>
      <c r="AF111" s="57" t="str">
        <f t="shared" si="38"/>
        <v/>
      </c>
      <c r="AG111" s="180">
        <f>IF(AF111="כן",M111*'גנים ובתי ספר- מבנה תקציב'!$H$59,0)</f>
        <v>0</v>
      </c>
      <c r="AH111" s="180">
        <f>IF(AF111="כן",M111*'גנים ובתי ספר- מבנה תקציב'!$I$59,0)</f>
        <v>0</v>
      </c>
      <c r="AI111" s="180">
        <f t="shared" si="39"/>
        <v>0</v>
      </c>
      <c r="AJ111" s="368" t="str">
        <f t="shared" si="27"/>
        <v/>
      </c>
    </row>
    <row r="112" spans="1:36" x14ac:dyDescent="0.25">
      <c r="A112" s="57">
        <v>92</v>
      </c>
      <c r="B112" s="690"/>
      <c r="C112" s="690"/>
      <c r="D112" s="252">
        <f>(IFERROR(SUMIF('מצבת והרשמה (2)'!$F$21:$F$501,'דוח ביצוע (3)'!$B112,'מצבת והרשמה (2)'!$J$21:$J$501),0))</f>
        <v>0</v>
      </c>
      <c r="E112" s="252">
        <f>IFERROR(SUMIF('מצבת והרשמה (2)'!$F$21:$F$501,'דוח ביצוע (3)'!$B112,'מצבת והרשמה (2)'!$K$21:$K$501),0)</f>
        <v>0</v>
      </c>
      <c r="F112" s="253">
        <f t="shared" si="28"/>
        <v>0</v>
      </c>
      <c r="G112" s="680"/>
      <c r="H112" s="680"/>
      <c r="I112" s="253">
        <f t="shared" si="21"/>
        <v>0</v>
      </c>
      <c r="J112" s="453">
        <f t="shared" si="29"/>
        <v>0</v>
      </c>
      <c r="K112" s="689"/>
      <c r="L112" s="689"/>
      <c r="M112" s="969">
        <f t="shared" si="30"/>
        <v>0</v>
      </c>
      <c r="N112" s="1029" t="str">
        <f t="shared" si="31"/>
        <v/>
      </c>
      <c r="O112" s="969" t="str">
        <f>IFERROR(VLOOKUP(B112,'נתוני רישום ומצבת'!B:Q,16,0),"")</f>
        <v/>
      </c>
      <c r="P112" s="969" t="str">
        <f>IFERROR(VLOOKUP(B112,'נתוני רישום ומצבת'!B:R,17,0),"")</f>
        <v/>
      </c>
      <c r="Q112" s="690"/>
      <c r="R112" s="1009"/>
      <c r="S112" s="376">
        <f t="shared" si="32"/>
        <v>0</v>
      </c>
      <c r="T112" s="376">
        <f t="shared" si="33"/>
        <v>0</v>
      </c>
      <c r="U112" s="386">
        <f t="shared" si="34"/>
        <v>0</v>
      </c>
      <c r="V112" s="513" t="str">
        <f t="shared" si="35"/>
        <v/>
      </c>
      <c r="W112" s="254" t="str">
        <f>IF(ISBLANK(B112)," ",IF(B112=IFERROR(VLOOKUP(B112,'מצבת והרשמה (2)'!F:F,1,0),0),"תקין","לא קיים במצבת כבית ספר בו מתקיימת פעילות"))</f>
        <v xml:space="preserve"> </v>
      </c>
      <c r="X112" s="256" t="str">
        <f t="shared" si="22"/>
        <v/>
      </c>
      <c r="Y112" s="256" t="str">
        <f t="shared" si="23"/>
        <v/>
      </c>
      <c r="Z112" s="741">
        <f t="shared" si="24"/>
        <v>0</v>
      </c>
      <c r="AA112" s="741">
        <f t="shared" si="25"/>
        <v>0</v>
      </c>
      <c r="AB112" s="741">
        <f t="shared" si="26"/>
        <v>0</v>
      </c>
      <c r="AC112" s="987">
        <f t="shared" si="36"/>
        <v>0</v>
      </c>
      <c r="AD112" s="987">
        <f t="shared" si="37"/>
        <v>0</v>
      </c>
      <c r="AE112" s="368" t="str">
        <f>IFERROR(VLOOKUP(B112,'[1]סיכום בקרת רשויות'!$A:$D,4,0),"")</f>
        <v/>
      </c>
      <c r="AF112" s="57" t="str">
        <f t="shared" si="38"/>
        <v/>
      </c>
      <c r="AG112" s="180">
        <f>IF(AF112="כן",M112*'גנים ובתי ספר- מבנה תקציב'!$H$59,0)</f>
        <v>0</v>
      </c>
      <c r="AH112" s="180">
        <f>IF(AF112="כן",M112*'גנים ובתי ספר- מבנה תקציב'!$I$59,0)</f>
        <v>0</v>
      </c>
      <c r="AI112" s="180">
        <f t="shared" si="39"/>
        <v>0</v>
      </c>
      <c r="AJ112" s="368" t="str">
        <f t="shared" si="27"/>
        <v/>
      </c>
    </row>
    <row r="113" spans="1:36" x14ac:dyDescent="0.25">
      <c r="A113" s="57">
        <v>93</v>
      </c>
      <c r="B113" s="690"/>
      <c r="C113" s="690"/>
      <c r="D113" s="252">
        <f>(IFERROR(SUMIF('מצבת והרשמה (2)'!$F$21:$F$501,'דוח ביצוע (3)'!$B113,'מצבת והרשמה (2)'!$J$21:$J$501),0))</f>
        <v>0</v>
      </c>
      <c r="E113" s="252">
        <f>IFERROR(SUMIF('מצבת והרשמה (2)'!$F$21:$F$501,'דוח ביצוע (3)'!$B113,'מצבת והרשמה (2)'!$K$21:$K$501),0)</f>
        <v>0</v>
      </c>
      <c r="F113" s="253">
        <f t="shared" si="28"/>
        <v>0</v>
      </c>
      <c r="G113" s="680"/>
      <c r="H113" s="680"/>
      <c r="I113" s="253">
        <f t="shared" si="21"/>
        <v>0</v>
      </c>
      <c r="J113" s="453">
        <f t="shared" si="29"/>
        <v>0</v>
      </c>
      <c r="K113" s="689"/>
      <c r="L113" s="689"/>
      <c r="M113" s="969">
        <f t="shared" si="30"/>
        <v>0</v>
      </c>
      <c r="N113" s="1029" t="str">
        <f t="shared" si="31"/>
        <v/>
      </c>
      <c r="O113" s="969" t="str">
        <f>IFERROR(VLOOKUP(B113,'נתוני רישום ומצבת'!B:Q,16,0),"")</f>
        <v/>
      </c>
      <c r="P113" s="969" t="str">
        <f>IFERROR(VLOOKUP(B113,'נתוני רישום ומצבת'!B:R,17,0),"")</f>
        <v/>
      </c>
      <c r="Q113" s="690"/>
      <c r="R113" s="1009"/>
      <c r="S113" s="376">
        <f t="shared" si="32"/>
        <v>0</v>
      </c>
      <c r="T113" s="376">
        <f t="shared" si="33"/>
        <v>0</v>
      </c>
      <c r="U113" s="386">
        <f t="shared" si="34"/>
        <v>0</v>
      </c>
      <c r="V113" s="513" t="str">
        <f t="shared" si="35"/>
        <v/>
      </c>
      <c r="W113" s="254" t="str">
        <f>IF(ISBLANK(B113)," ",IF(B113=IFERROR(VLOOKUP(B113,'מצבת והרשמה (2)'!F:F,1,0),0),"תקין","לא קיים במצבת כבית ספר בו מתקיימת פעילות"))</f>
        <v xml:space="preserve"> </v>
      </c>
      <c r="X113" s="256" t="str">
        <f t="shared" si="22"/>
        <v/>
      </c>
      <c r="Y113" s="256" t="str">
        <f t="shared" si="23"/>
        <v/>
      </c>
      <c r="Z113" s="741">
        <f t="shared" si="24"/>
        <v>0</v>
      </c>
      <c r="AA113" s="741">
        <f t="shared" si="25"/>
        <v>0</v>
      </c>
      <c r="AB113" s="741">
        <f t="shared" si="26"/>
        <v>0</v>
      </c>
      <c r="AC113" s="987">
        <f t="shared" si="36"/>
        <v>0</v>
      </c>
      <c r="AD113" s="987">
        <f t="shared" si="37"/>
        <v>0</v>
      </c>
      <c r="AE113" s="368" t="str">
        <f>IFERROR(VLOOKUP(B113,'[1]סיכום בקרת רשויות'!$A:$D,4,0),"")</f>
        <v/>
      </c>
      <c r="AF113" s="57" t="str">
        <f t="shared" si="38"/>
        <v/>
      </c>
      <c r="AG113" s="180">
        <f>IF(AF113="כן",M113*'גנים ובתי ספר- מבנה תקציב'!$H$59,0)</f>
        <v>0</v>
      </c>
      <c r="AH113" s="180">
        <f>IF(AF113="כן",M113*'גנים ובתי ספר- מבנה תקציב'!$I$59,0)</f>
        <v>0</v>
      </c>
      <c r="AI113" s="180">
        <f t="shared" si="39"/>
        <v>0</v>
      </c>
      <c r="AJ113" s="368" t="str">
        <f t="shared" si="27"/>
        <v/>
      </c>
    </row>
    <row r="114" spans="1:36" x14ac:dyDescent="0.25">
      <c r="A114" s="57">
        <v>94</v>
      </c>
      <c r="B114" s="690"/>
      <c r="C114" s="690"/>
      <c r="D114" s="252">
        <f>(IFERROR(SUMIF('מצבת והרשמה (2)'!$F$21:$F$501,'דוח ביצוע (3)'!$B114,'מצבת והרשמה (2)'!$J$21:$J$501),0))</f>
        <v>0</v>
      </c>
      <c r="E114" s="252">
        <f>IFERROR(SUMIF('מצבת והרשמה (2)'!$F$21:$F$501,'דוח ביצוע (3)'!$B114,'מצבת והרשמה (2)'!$K$21:$K$501),0)</f>
        <v>0</v>
      </c>
      <c r="F114" s="253">
        <f t="shared" si="28"/>
        <v>0</v>
      </c>
      <c r="G114" s="680"/>
      <c r="H114" s="680"/>
      <c r="I114" s="253">
        <f t="shared" si="21"/>
        <v>0</v>
      </c>
      <c r="J114" s="453">
        <f t="shared" si="29"/>
        <v>0</v>
      </c>
      <c r="K114" s="689"/>
      <c r="L114" s="689"/>
      <c r="M114" s="969">
        <f t="shared" si="30"/>
        <v>0</v>
      </c>
      <c r="N114" s="1029" t="str">
        <f t="shared" si="31"/>
        <v/>
      </c>
      <c r="O114" s="969" t="str">
        <f>IFERROR(VLOOKUP(B114,'נתוני רישום ומצבת'!B:Q,16,0),"")</f>
        <v/>
      </c>
      <c r="P114" s="969" t="str">
        <f>IFERROR(VLOOKUP(B114,'נתוני רישום ומצבת'!B:R,17,0),"")</f>
        <v/>
      </c>
      <c r="Q114" s="690"/>
      <c r="R114" s="1009"/>
      <c r="S114" s="376">
        <f t="shared" si="32"/>
        <v>0</v>
      </c>
      <c r="T114" s="376">
        <f t="shared" si="33"/>
        <v>0</v>
      </c>
      <c r="U114" s="386">
        <f t="shared" si="34"/>
        <v>0</v>
      </c>
      <c r="V114" s="513" t="str">
        <f t="shared" si="35"/>
        <v/>
      </c>
      <c r="W114" s="254" t="str">
        <f>IF(ISBLANK(B114)," ",IF(B114=IFERROR(VLOOKUP(B114,'מצבת והרשמה (2)'!F:F,1,0),0),"תקין","לא קיים במצבת כבית ספר בו מתקיימת פעילות"))</f>
        <v xml:space="preserve"> </v>
      </c>
      <c r="X114" s="256" t="str">
        <f t="shared" si="22"/>
        <v/>
      </c>
      <c r="Y114" s="256" t="str">
        <f t="shared" si="23"/>
        <v/>
      </c>
      <c r="Z114" s="741">
        <f t="shared" si="24"/>
        <v>0</v>
      </c>
      <c r="AA114" s="741">
        <f t="shared" si="25"/>
        <v>0</v>
      </c>
      <c r="AB114" s="741">
        <f t="shared" si="26"/>
        <v>0</v>
      </c>
      <c r="AC114" s="987">
        <f t="shared" si="36"/>
        <v>0</v>
      </c>
      <c r="AD114" s="987">
        <f t="shared" si="37"/>
        <v>0</v>
      </c>
      <c r="AE114" s="368" t="str">
        <f>IFERROR(VLOOKUP(B114,'[1]סיכום בקרת רשויות'!$A:$D,4,0),"")</f>
        <v/>
      </c>
      <c r="AF114" s="57" t="str">
        <f t="shared" si="38"/>
        <v/>
      </c>
      <c r="AG114" s="180">
        <f>IF(AF114="כן",M114*'גנים ובתי ספר- מבנה תקציב'!$H$59,0)</f>
        <v>0</v>
      </c>
      <c r="AH114" s="180">
        <f>IF(AF114="כן",M114*'גנים ובתי ספר- מבנה תקציב'!$I$59,0)</f>
        <v>0</v>
      </c>
      <c r="AI114" s="180">
        <f t="shared" si="39"/>
        <v>0</v>
      </c>
      <c r="AJ114" s="368" t="str">
        <f t="shared" si="27"/>
        <v/>
      </c>
    </row>
    <row r="115" spans="1:36" x14ac:dyDescent="0.25">
      <c r="A115" s="57">
        <v>95</v>
      </c>
      <c r="B115" s="690"/>
      <c r="C115" s="690"/>
      <c r="D115" s="252">
        <f>(IFERROR(SUMIF('מצבת והרשמה (2)'!$F$21:$F$501,'דוח ביצוע (3)'!$B115,'מצבת והרשמה (2)'!$J$21:$J$501),0))</f>
        <v>0</v>
      </c>
      <c r="E115" s="252">
        <f>IFERROR(SUMIF('מצבת והרשמה (2)'!$F$21:$F$501,'דוח ביצוע (3)'!$B115,'מצבת והרשמה (2)'!$K$21:$K$501),0)</f>
        <v>0</v>
      </c>
      <c r="F115" s="253">
        <f t="shared" si="28"/>
        <v>0</v>
      </c>
      <c r="G115" s="680"/>
      <c r="H115" s="680"/>
      <c r="I115" s="253">
        <f t="shared" si="21"/>
        <v>0</v>
      </c>
      <c r="J115" s="453">
        <f t="shared" si="29"/>
        <v>0</v>
      </c>
      <c r="K115" s="689"/>
      <c r="L115" s="689"/>
      <c r="M115" s="969">
        <f t="shared" si="30"/>
        <v>0</v>
      </c>
      <c r="N115" s="1029" t="str">
        <f t="shared" si="31"/>
        <v/>
      </c>
      <c r="O115" s="969" t="str">
        <f>IFERROR(VLOOKUP(B115,'נתוני רישום ומצבת'!B:Q,16,0),"")</f>
        <v/>
      </c>
      <c r="P115" s="969" t="str">
        <f>IFERROR(VLOOKUP(B115,'נתוני רישום ומצבת'!B:R,17,0),"")</f>
        <v/>
      </c>
      <c r="Q115" s="690"/>
      <c r="R115" s="1009"/>
      <c r="S115" s="376">
        <f t="shared" si="32"/>
        <v>0</v>
      </c>
      <c r="T115" s="376">
        <f t="shared" si="33"/>
        <v>0</v>
      </c>
      <c r="U115" s="386">
        <f t="shared" si="34"/>
        <v>0</v>
      </c>
      <c r="V115" s="513" t="str">
        <f t="shared" si="35"/>
        <v/>
      </c>
      <c r="W115" s="254" t="str">
        <f>IF(ISBLANK(B115)," ",IF(B115=IFERROR(VLOOKUP(B115,'מצבת והרשמה (2)'!F:F,1,0),0),"תקין","לא קיים במצבת כבית ספר בו מתקיימת פעילות"))</f>
        <v xml:space="preserve"> </v>
      </c>
      <c r="X115" s="256" t="str">
        <f t="shared" si="22"/>
        <v/>
      </c>
      <c r="Y115" s="256" t="str">
        <f t="shared" si="23"/>
        <v/>
      </c>
      <c r="Z115" s="741">
        <f t="shared" si="24"/>
        <v>0</v>
      </c>
      <c r="AA115" s="741">
        <f t="shared" si="25"/>
        <v>0</v>
      </c>
      <c r="AB115" s="741">
        <f t="shared" si="26"/>
        <v>0</v>
      </c>
      <c r="AC115" s="987">
        <f t="shared" si="36"/>
        <v>0</v>
      </c>
      <c r="AD115" s="987">
        <f t="shared" si="37"/>
        <v>0</v>
      </c>
      <c r="AE115" s="368" t="str">
        <f>IFERROR(VLOOKUP(B115,'[1]סיכום בקרת רשויות'!$A:$D,4,0),"")</f>
        <v/>
      </c>
      <c r="AF115" s="57" t="str">
        <f t="shared" si="38"/>
        <v/>
      </c>
      <c r="AG115" s="180">
        <f>IF(AF115="כן",M115*'גנים ובתי ספר- מבנה תקציב'!$H$59,0)</f>
        <v>0</v>
      </c>
      <c r="AH115" s="180">
        <f>IF(AF115="כן",M115*'גנים ובתי ספר- מבנה תקציב'!$I$59,0)</f>
        <v>0</v>
      </c>
      <c r="AI115" s="180">
        <f t="shared" si="39"/>
        <v>0</v>
      </c>
      <c r="AJ115" s="368" t="str">
        <f t="shared" si="27"/>
        <v/>
      </c>
    </row>
    <row r="116" spans="1:36" x14ac:dyDescent="0.25">
      <c r="A116" s="57">
        <v>96</v>
      </c>
      <c r="B116" s="690"/>
      <c r="C116" s="690"/>
      <c r="D116" s="252">
        <f>(IFERROR(SUMIF('מצבת והרשמה (2)'!$F$21:$F$501,'דוח ביצוע (3)'!$B116,'מצבת והרשמה (2)'!$J$21:$J$501),0))</f>
        <v>0</v>
      </c>
      <c r="E116" s="252">
        <f>IFERROR(SUMIF('מצבת והרשמה (2)'!$F$21:$F$501,'דוח ביצוע (3)'!$B116,'מצבת והרשמה (2)'!$K$21:$K$501),0)</f>
        <v>0</v>
      </c>
      <c r="F116" s="253">
        <f t="shared" si="28"/>
        <v>0</v>
      </c>
      <c r="G116" s="680"/>
      <c r="H116" s="680"/>
      <c r="I116" s="253">
        <f t="shared" si="21"/>
        <v>0</v>
      </c>
      <c r="J116" s="453">
        <f t="shared" si="29"/>
        <v>0</v>
      </c>
      <c r="K116" s="689"/>
      <c r="L116" s="689"/>
      <c r="M116" s="969">
        <f t="shared" si="30"/>
        <v>0</v>
      </c>
      <c r="N116" s="1029" t="str">
        <f t="shared" si="31"/>
        <v/>
      </c>
      <c r="O116" s="969" t="str">
        <f>IFERROR(VLOOKUP(B116,'נתוני רישום ומצבת'!B:Q,16,0),"")</f>
        <v/>
      </c>
      <c r="P116" s="969" t="str">
        <f>IFERROR(VLOOKUP(B116,'נתוני רישום ומצבת'!B:R,17,0),"")</f>
        <v/>
      </c>
      <c r="Q116" s="690"/>
      <c r="R116" s="1009"/>
      <c r="S116" s="376">
        <f t="shared" si="32"/>
        <v>0</v>
      </c>
      <c r="T116" s="376">
        <f t="shared" si="33"/>
        <v>0</v>
      </c>
      <c r="U116" s="386">
        <f t="shared" si="34"/>
        <v>0</v>
      </c>
      <c r="V116" s="513" t="str">
        <f t="shared" si="35"/>
        <v/>
      </c>
      <c r="W116" s="254" t="str">
        <f>IF(ISBLANK(B116)," ",IF(B116=IFERROR(VLOOKUP(B116,'מצבת והרשמה (2)'!F:F,1,0),0),"תקין","לא קיים במצבת כבית ספר בו מתקיימת פעילות"))</f>
        <v xml:space="preserve"> </v>
      </c>
      <c r="X116" s="256" t="str">
        <f t="shared" si="22"/>
        <v/>
      </c>
      <c r="Y116" s="256" t="str">
        <f t="shared" si="23"/>
        <v/>
      </c>
      <c r="Z116" s="741">
        <f t="shared" si="24"/>
        <v>0</v>
      </c>
      <c r="AA116" s="741">
        <f t="shared" si="25"/>
        <v>0</v>
      </c>
      <c r="AB116" s="741">
        <f t="shared" si="26"/>
        <v>0</v>
      </c>
      <c r="AC116" s="987">
        <f t="shared" si="36"/>
        <v>0</v>
      </c>
      <c r="AD116" s="987">
        <f t="shared" si="37"/>
        <v>0</v>
      </c>
      <c r="AE116" s="368" t="str">
        <f>IFERROR(VLOOKUP(B116,'[1]סיכום בקרת רשויות'!$A:$D,4,0),"")</f>
        <v/>
      </c>
      <c r="AF116" s="57" t="str">
        <f t="shared" si="38"/>
        <v/>
      </c>
      <c r="AG116" s="180">
        <f>IF(AF116="כן",M116*'גנים ובתי ספר- מבנה תקציב'!$H$59,0)</f>
        <v>0</v>
      </c>
      <c r="AH116" s="180">
        <f>IF(AF116="כן",M116*'גנים ובתי ספר- מבנה תקציב'!$I$59,0)</f>
        <v>0</v>
      </c>
      <c r="AI116" s="180">
        <f t="shared" si="39"/>
        <v>0</v>
      </c>
      <c r="AJ116" s="368" t="str">
        <f t="shared" si="27"/>
        <v/>
      </c>
    </row>
    <row r="117" spans="1:36" x14ac:dyDescent="0.25">
      <c r="A117" s="57">
        <v>97</v>
      </c>
      <c r="B117" s="690"/>
      <c r="C117" s="690"/>
      <c r="D117" s="252">
        <f>(IFERROR(SUMIF('מצבת והרשמה (2)'!$F$21:$F$501,'דוח ביצוע (3)'!$B117,'מצבת והרשמה (2)'!$J$21:$J$501),0))</f>
        <v>0</v>
      </c>
      <c r="E117" s="252">
        <f>IFERROR(SUMIF('מצבת והרשמה (2)'!$F$21:$F$501,'דוח ביצוע (3)'!$B117,'מצבת והרשמה (2)'!$K$21:$K$501),0)</f>
        <v>0</v>
      </c>
      <c r="F117" s="253">
        <f t="shared" si="28"/>
        <v>0</v>
      </c>
      <c r="G117" s="680"/>
      <c r="H117" s="680"/>
      <c r="I117" s="253">
        <f t="shared" si="21"/>
        <v>0</v>
      </c>
      <c r="J117" s="453">
        <f t="shared" si="29"/>
        <v>0</v>
      </c>
      <c r="K117" s="689"/>
      <c r="L117" s="689"/>
      <c r="M117" s="969">
        <f t="shared" si="30"/>
        <v>0</v>
      </c>
      <c r="N117" s="1029" t="str">
        <f t="shared" si="31"/>
        <v/>
      </c>
      <c r="O117" s="969" t="str">
        <f>IFERROR(VLOOKUP(B117,'נתוני רישום ומצבת'!B:Q,16,0),"")</f>
        <v/>
      </c>
      <c r="P117" s="969" t="str">
        <f>IFERROR(VLOOKUP(B117,'נתוני רישום ומצבת'!B:R,17,0),"")</f>
        <v/>
      </c>
      <c r="Q117" s="690"/>
      <c r="R117" s="1009"/>
      <c r="S117" s="376">
        <f t="shared" si="32"/>
        <v>0</v>
      </c>
      <c r="T117" s="376">
        <f t="shared" si="33"/>
        <v>0</v>
      </c>
      <c r="U117" s="386">
        <f t="shared" si="34"/>
        <v>0</v>
      </c>
      <c r="V117" s="513" t="str">
        <f t="shared" si="35"/>
        <v/>
      </c>
      <c r="W117" s="254" t="str">
        <f>IF(ISBLANK(B117)," ",IF(B117=IFERROR(VLOOKUP(B117,'מצבת והרשמה (2)'!F:F,1,0),0),"תקין","לא קיים במצבת כבית ספר בו מתקיימת פעילות"))</f>
        <v xml:space="preserve"> </v>
      </c>
      <c r="X117" s="256" t="str">
        <f t="shared" si="22"/>
        <v/>
      </c>
      <c r="Y117" s="256" t="str">
        <f t="shared" si="23"/>
        <v/>
      </c>
      <c r="Z117" s="741">
        <f t="shared" si="24"/>
        <v>0</v>
      </c>
      <c r="AA117" s="741">
        <f t="shared" si="25"/>
        <v>0</v>
      </c>
      <c r="AB117" s="741">
        <f t="shared" si="26"/>
        <v>0</v>
      </c>
      <c r="AC117" s="987">
        <f t="shared" si="36"/>
        <v>0</v>
      </c>
      <c r="AD117" s="987">
        <f t="shared" si="37"/>
        <v>0</v>
      </c>
      <c r="AE117" s="368" t="str">
        <f>IFERROR(VLOOKUP(B117,'[1]סיכום בקרת רשויות'!$A:$D,4,0),"")</f>
        <v/>
      </c>
      <c r="AF117" s="57" t="str">
        <f t="shared" si="38"/>
        <v/>
      </c>
      <c r="AG117" s="180">
        <f>IF(AF117="כן",M117*'גנים ובתי ספר- מבנה תקציב'!$H$59,0)</f>
        <v>0</v>
      </c>
      <c r="AH117" s="180">
        <f>IF(AF117="כן",M117*'גנים ובתי ספר- מבנה תקציב'!$I$59,0)</f>
        <v>0</v>
      </c>
      <c r="AI117" s="180">
        <f t="shared" si="39"/>
        <v>0</v>
      </c>
      <c r="AJ117" s="368" t="str">
        <f t="shared" si="27"/>
        <v/>
      </c>
    </row>
    <row r="118" spans="1:36" x14ac:dyDescent="0.25">
      <c r="A118" s="57">
        <v>98</v>
      </c>
      <c r="B118" s="690"/>
      <c r="C118" s="690"/>
      <c r="D118" s="252">
        <f>(IFERROR(SUMIF('מצבת והרשמה (2)'!$F$21:$F$501,'דוח ביצוע (3)'!$B118,'מצבת והרשמה (2)'!$J$21:$J$501),0))</f>
        <v>0</v>
      </c>
      <c r="E118" s="252">
        <f>IFERROR(SUMIF('מצבת והרשמה (2)'!$F$21:$F$501,'דוח ביצוע (3)'!$B118,'מצבת והרשמה (2)'!$K$21:$K$501),0)</f>
        <v>0</v>
      </c>
      <c r="F118" s="253">
        <f t="shared" si="28"/>
        <v>0</v>
      </c>
      <c r="G118" s="680"/>
      <c r="H118" s="680"/>
      <c r="I118" s="253">
        <f t="shared" si="21"/>
        <v>0</v>
      </c>
      <c r="J118" s="453">
        <f t="shared" si="29"/>
        <v>0</v>
      </c>
      <c r="K118" s="689"/>
      <c r="L118" s="689"/>
      <c r="M118" s="969">
        <f t="shared" si="30"/>
        <v>0</v>
      </c>
      <c r="N118" s="1029" t="str">
        <f t="shared" si="31"/>
        <v/>
      </c>
      <c r="O118" s="969" t="str">
        <f>IFERROR(VLOOKUP(B118,'נתוני רישום ומצבת'!B:Q,16,0),"")</f>
        <v/>
      </c>
      <c r="P118" s="969" t="str">
        <f>IFERROR(VLOOKUP(B118,'נתוני רישום ומצבת'!B:R,17,0),"")</f>
        <v/>
      </c>
      <c r="Q118" s="690"/>
      <c r="R118" s="1009"/>
      <c r="S118" s="376">
        <f t="shared" si="32"/>
        <v>0</v>
      </c>
      <c r="T118" s="376">
        <f t="shared" si="33"/>
        <v>0</v>
      </c>
      <c r="U118" s="386">
        <f t="shared" si="34"/>
        <v>0</v>
      </c>
      <c r="V118" s="513" t="str">
        <f t="shared" si="35"/>
        <v/>
      </c>
      <c r="W118" s="254" t="str">
        <f>IF(ISBLANK(B118)," ",IF(B118=IFERROR(VLOOKUP(B118,'מצבת והרשמה (2)'!F:F,1,0),0),"תקין","לא קיים במצבת כבית ספר בו מתקיימת פעילות"))</f>
        <v xml:space="preserve"> </v>
      </c>
      <c r="X118" s="256" t="str">
        <f t="shared" si="22"/>
        <v/>
      </c>
      <c r="Y118" s="256" t="str">
        <f t="shared" si="23"/>
        <v/>
      </c>
      <c r="Z118" s="741">
        <f t="shared" si="24"/>
        <v>0</v>
      </c>
      <c r="AA118" s="741">
        <f t="shared" si="25"/>
        <v>0</v>
      </c>
      <c r="AB118" s="741">
        <f t="shared" si="26"/>
        <v>0</v>
      </c>
      <c r="AC118" s="987">
        <f t="shared" si="36"/>
        <v>0</v>
      </c>
      <c r="AD118" s="987">
        <f t="shared" si="37"/>
        <v>0</v>
      </c>
      <c r="AE118" s="368" t="str">
        <f>IFERROR(VLOOKUP(B118,'[1]סיכום בקרת רשויות'!$A:$D,4,0),"")</f>
        <v/>
      </c>
      <c r="AF118" s="57" t="str">
        <f t="shared" si="38"/>
        <v/>
      </c>
      <c r="AG118" s="180">
        <f>IF(AF118="כן",M118*'גנים ובתי ספר- מבנה תקציב'!$H$59,0)</f>
        <v>0</v>
      </c>
      <c r="AH118" s="180">
        <f>IF(AF118="כן",M118*'גנים ובתי ספר- מבנה תקציב'!$I$59,0)</f>
        <v>0</v>
      </c>
      <c r="AI118" s="180">
        <f t="shared" si="39"/>
        <v>0</v>
      </c>
      <c r="AJ118" s="368" t="str">
        <f t="shared" si="27"/>
        <v/>
      </c>
    </row>
    <row r="119" spans="1:36" x14ac:dyDescent="0.25">
      <c r="A119" s="57">
        <v>99</v>
      </c>
      <c r="B119" s="690"/>
      <c r="C119" s="690"/>
      <c r="D119" s="252">
        <f>(IFERROR(SUMIF('מצבת והרשמה (2)'!$F$21:$F$501,'דוח ביצוע (3)'!$B119,'מצבת והרשמה (2)'!$J$21:$J$501),0))</f>
        <v>0</v>
      </c>
      <c r="E119" s="252">
        <f>IFERROR(SUMIF('מצבת והרשמה (2)'!$F$21:$F$501,'דוח ביצוע (3)'!$B119,'מצבת והרשמה (2)'!$K$21:$K$501),0)</f>
        <v>0</v>
      </c>
      <c r="F119" s="253">
        <f t="shared" si="28"/>
        <v>0</v>
      </c>
      <c r="G119" s="680"/>
      <c r="H119" s="680"/>
      <c r="I119" s="253">
        <f t="shared" si="21"/>
        <v>0</v>
      </c>
      <c r="J119" s="453">
        <f t="shared" si="29"/>
        <v>0</v>
      </c>
      <c r="K119" s="689"/>
      <c r="L119" s="689"/>
      <c r="M119" s="969">
        <f t="shared" si="30"/>
        <v>0</v>
      </c>
      <c r="N119" s="1029" t="str">
        <f t="shared" si="31"/>
        <v/>
      </c>
      <c r="O119" s="969" t="str">
        <f>IFERROR(VLOOKUP(B119,'נתוני רישום ומצבת'!B:Q,16,0),"")</f>
        <v/>
      </c>
      <c r="P119" s="969" t="str">
        <f>IFERROR(VLOOKUP(B119,'נתוני רישום ומצבת'!B:R,17,0),"")</f>
        <v/>
      </c>
      <c r="Q119" s="690"/>
      <c r="R119" s="1009"/>
      <c r="S119" s="376">
        <f t="shared" si="32"/>
        <v>0</v>
      </c>
      <c r="T119" s="376">
        <f t="shared" si="33"/>
        <v>0</v>
      </c>
      <c r="U119" s="386">
        <f t="shared" si="34"/>
        <v>0</v>
      </c>
      <c r="V119" s="513" t="str">
        <f t="shared" si="35"/>
        <v/>
      </c>
      <c r="W119" s="254" t="str">
        <f>IF(ISBLANK(B119)," ",IF(B119=IFERROR(VLOOKUP(B119,'מצבת והרשמה (2)'!F:F,1,0),0),"תקין","לא קיים במצבת כבית ספר בו מתקיימת פעילות"))</f>
        <v xml:space="preserve"> </v>
      </c>
      <c r="X119" s="256" t="str">
        <f t="shared" si="22"/>
        <v/>
      </c>
      <c r="Y119" s="256" t="str">
        <f t="shared" si="23"/>
        <v/>
      </c>
      <c r="Z119" s="741">
        <f t="shared" si="24"/>
        <v>0</v>
      </c>
      <c r="AA119" s="741">
        <f t="shared" si="25"/>
        <v>0</v>
      </c>
      <c r="AB119" s="741">
        <f t="shared" si="26"/>
        <v>0</v>
      </c>
      <c r="AC119" s="987">
        <f t="shared" si="36"/>
        <v>0</v>
      </c>
      <c r="AD119" s="987">
        <f t="shared" si="37"/>
        <v>0</v>
      </c>
      <c r="AE119" s="368" t="str">
        <f>IFERROR(VLOOKUP(B119,'[1]סיכום בקרת רשויות'!$A:$D,4,0),"")</f>
        <v/>
      </c>
      <c r="AF119" s="57" t="str">
        <f t="shared" si="38"/>
        <v/>
      </c>
      <c r="AG119" s="180">
        <f>IF(AF119="כן",M119*'גנים ובתי ספר- מבנה תקציב'!$H$59,0)</f>
        <v>0</v>
      </c>
      <c r="AH119" s="180">
        <f>IF(AF119="כן",M119*'גנים ובתי ספר- מבנה תקציב'!$I$59,0)</f>
        <v>0</v>
      </c>
      <c r="AI119" s="180">
        <f t="shared" si="39"/>
        <v>0</v>
      </c>
      <c r="AJ119" s="368" t="str">
        <f t="shared" si="27"/>
        <v/>
      </c>
    </row>
    <row r="120" spans="1:36" x14ac:dyDescent="0.25">
      <c r="A120" s="57">
        <v>100</v>
      </c>
      <c r="B120" s="690"/>
      <c r="C120" s="690"/>
      <c r="D120" s="252">
        <f>(IFERROR(SUMIF('מצבת והרשמה (2)'!$F$21:$F$501,'דוח ביצוע (3)'!$B120,'מצבת והרשמה (2)'!$J$21:$J$501),0))</f>
        <v>0</v>
      </c>
      <c r="E120" s="252">
        <f>IFERROR(SUMIF('מצבת והרשמה (2)'!$F$21:$F$501,'דוח ביצוע (3)'!$B120,'מצבת והרשמה (2)'!$K$21:$K$501),0)</f>
        <v>0</v>
      </c>
      <c r="F120" s="253">
        <f t="shared" si="28"/>
        <v>0</v>
      </c>
      <c r="G120" s="680"/>
      <c r="H120" s="680"/>
      <c r="I120" s="253">
        <f t="shared" si="21"/>
        <v>0</v>
      </c>
      <c r="J120" s="453">
        <f t="shared" si="29"/>
        <v>0</v>
      </c>
      <c r="K120" s="689"/>
      <c r="L120" s="689"/>
      <c r="M120" s="969">
        <f t="shared" si="30"/>
        <v>0</v>
      </c>
      <c r="N120" s="1029" t="str">
        <f t="shared" si="31"/>
        <v/>
      </c>
      <c r="O120" s="969" t="str">
        <f>IFERROR(VLOOKUP(B120,'נתוני רישום ומצבת'!B:Q,16,0),"")</f>
        <v/>
      </c>
      <c r="P120" s="969" t="str">
        <f>IFERROR(VLOOKUP(B120,'נתוני רישום ומצבת'!B:R,17,0),"")</f>
        <v/>
      </c>
      <c r="Q120" s="690"/>
      <c r="R120" s="1009"/>
      <c r="S120" s="376">
        <f t="shared" si="32"/>
        <v>0</v>
      </c>
      <c r="T120" s="376">
        <f t="shared" si="33"/>
        <v>0</v>
      </c>
      <c r="U120" s="386">
        <f t="shared" si="34"/>
        <v>0</v>
      </c>
      <c r="V120" s="513" t="str">
        <f t="shared" si="35"/>
        <v/>
      </c>
      <c r="W120" s="254" t="str">
        <f>IF(ISBLANK(B120)," ",IF(B120=IFERROR(VLOOKUP(B120,'מצבת והרשמה (2)'!F:F,1,0),0),"תקין","לא קיים במצבת כבית ספר בו מתקיימת פעילות"))</f>
        <v xml:space="preserve"> </v>
      </c>
      <c r="X120" s="256" t="str">
        <f t="shared" si="22"/>
        <v/>
      </c>
      <c r="Y120" s="256" t="str">
        <f t="shared" si="23"/>
        <v/>
      </c>
      <c r="Z120" s="741">
        <f t="shared" si="24"/>
        <v>0</v>
      </c>
      <c r="AA120" s="741">
        <f t="shared" si="25"/>
        <v>0</v>
      </c>
      <c r="AB120" s="741">
        <f t="shared" si="26"/>
        <v>0</v>
      </c>
      <c r="AC120" s="987">
        <f t="shared" si="36"/>
        <v>0</v>
      </c>
      <c r="AD120" s="987">
        <f t="shared" si="37"/>
        <v>0</v>
      </c>
      <c r="AE120" s="368" t="str">
        <f>IFERROR(VLOOKUP(B120,'[1]סיכום בקרת רשויות'!$A:$D,4,0),"")</f>
        <v/>
      </c>
      <c r="AF120" s="57" t="str">
        <f t="shared" si="38"/>
        <v/>
      </c>
      <c r="AG120" s="180">
        <f>IF(AF120="כן",M120*'גנים ובתי ספר- מבנה תקציב'!$H$59,0)</f>
        <v>0</v>
      </c>
      <c r="AH120" s="180">
        <f>IF(AF120="כן",M120*'גנים ובתי ספר- מבנה תקציב'!$I$59,0)</f>
        <v>0</v>
      </c>
      <c r="AI120" s="180">
        <f t="shared" si="39"/>
        <v>0</v>
      </c>
      <c r="AJ120" s="368" t="str">
        <f t="shared" si="27"/>
        <v/>
      </c>
    </row>
    <row r="121" spans="1:36" x14ac:dyDescent="0.25">
      <c r="A121" s="57">
        <v>101</v>
      </c>
      <c r="B121" s="690"/>
      <c r="C121" s="690"/>
      <c r="D121" s="252">
        <f>(IFERROR(SUMIF('מצבת והרשמה (2)'!$F$21:$F$501,'דוח ביצוע (3)'!$B121,'מצבת והרשמה (2)'!$J$21:$J$501),0))</f>
        <v>0</v>
      </c>
      <c r="E121" s="252">
        <f>IFERROR(SUMIF('מצבת והרשמה (2)'!$F$21:$F$501,'דוח ביצוע (3)'!$B121,'מצבת והרשמה (2)'!$K$21:$K$501),0)</f>
        <v>0</v>
      </c>
      <c r="F121" s="253">
        <f t="shared" si="28"/>
        <v>0</v>
      </c>
      <c r="G121" s="680"/>
      <c r="H121" s="680"/>
      <c r="I121" s="253">
        <f t="shared" si="21"/>
        <v>0</v>
      </c>
      <c r="J121" s="453">
        <f t="shared" si="29"/>
        <v>0</v>
      </c>
      <c r="K121" s="689"/>
      <c r="L121" s="689"/>
      <c r="M121" s="969">
        <f t="shared" si="30"/>
        <v>0</v>
      </c>
      <c r="N121" s="1029" t="str">
        <f t="shared" si="31"/>
        <v/>
      </c>
      <c r="O121" s="969" t="str">
        <f>IFERROR(VLOOKUP(B121,'נתוני רישום ומצבת'!B:Q,16,0),"")</f>
        <v/>
      </c>
      <c r="P121" s="969" t="str">
        <f>IFERROR(VLOOKUP(B121,'נתוני רישום ומצבת'!B:R,17,0),"")</f>
        <v/>
      </c>
      <c r="Q121" s="690"/>
      <c r="R121" s="1009"/>
      <c r="S121" s="376">
        <f t="shared" si="32"/>
        <v>0</v>
      </c>
      <c r="T121" s="376">
        <f t="shared" si="33"/>
        <v>0</v>
      </c>
      <c r="U121" s="386">
        <f t="shared" si="34"/>
        <v>0</v>
      </c>
      <c r="V121" s="513" t="str">
        <f t="shared" si="35"/>
        <v/>
      </c>
      <c r="W121" s="254" t="str">
        <f>IF(ISBLANK(B121)," ",IF(B121=IFERROR(VLOOKUP(B121,'מצבת והרשמה (2)'!F:F,1,0),0),"תקין","לא קיים במצבת כבית ספר בו מתקיימת פעילות"))</f>
        <v xml:space="preserve"> </v>
      </c>
      <c r="X121" s="256" t="str">
        <f t="shared" si="22"/>
        <v/>
      </c>
      <c r="Y121" s="256" t="str">
        <f t="shared" si="23"/>
        <v/>
      </c>
      <c r="Z121" s="741">
        <f t="shared" si="24"/>
        <v>0</v>
      </c>
      <c r="AA121" s="741">
        <f t="shared" si="25"/>
        <v>0</v>
      </c>
      <c r="AB121" s="741">
        <f t="shared" si="26"/>
        <v>0</v>
      </c>
      <c r="AC121" s="987">
        <f t="shared" si="36"/>
        <v>0</v>
      </c>
      <c r="AD121" s="987">
        <f t="shared" si="37"/>
        <v>0</v>
      </c>
      <c r="AE121" s="368" t="str">
        <f>IFERROR(VLOOKUP(B121,'[1]סיכום בקרת רשויות'!$A:$D,4,0),"")</f>
        <v/>
      </c>
      <c r="AF121" s="57" t="str">
        <f t="shared" si="38"/>
        <v/>
      </c>
      <c r="AG121" s="180">
        <f>IF(AF121="כן",M121*'גנים ובתי ספר- מבנה תקציב'!$H$59,0)</f>
        <v>0</v>
      </c>
      <c r="AH121" s="180">
        <f>IF(AF121="כן",M121*'גנים ובתי ספר- מבנה תקציב'!$I$59,0)</f>
        <v>0</v>
      </c>
      <c r="AI121" s="180">
        <f t="shared" si="39"/>
        <v>0</v>
      </c>
      <c r="AJ121" s="368" t="str">
        <f t="shared" si="27"/>
        <v/>
      </c>
    </row>
    <row r="122" spans="1:36" x14ac:dyDescent="0.25">
      <c r="A122" s="57">
        <v>102</v>
      </c>
      <c r="B122" s="690"/>
      <c r="C122" s="690"/>
      <c r="D122" s="252">
        <f>(IFERROR(SUMIF('מצבת והרשמה (2)'!$F$21:$F$501,'דוח ביצוע (3)'!$B122,'מצבת והרשמה (2)'!$J$21:$J$501),0))</f>
        <v>0</v>
      </c>
      <c r="E122" s="252">
        <f>IFERROR(SUMIF('מצבת והרשמה (2)'!$F$21:$F$501,'דוח ביצוע (3)'!$B122,'מצבת והרשמה (2)'!$K$21:$K$501),0)</f>
        <v>0</v>
      </c>
      <c r="F122" s="253">
        <f t="shared" si="28"/>
        <v>0</v>
      </c>
      <c r="G122" s="680"/>
      <c r="H122" s="680"/>
      <c r="I122" s="253">
        <f t="shared" si="21"/>
        <v>0</v>
      </c>
      <c r="J122" s="453">
        <f t="shared" si="29"/>
        <v>0</v>
      </c>
      <c r="K122" s="689"/>
      <c r="L122" s="689"/>
      <c r="M122" s="969">
        <f t="shared" si="30"/>
        <v>0</v>
      </c>
      <c r="N122" s="1029" t="str">
        <f t="shared" si="31"/>
        <v/>
      </c>
      <c r="O122" s="969" t="str">
        <f>IFERROR(VLOOKUP(B122,'נתוני רישום ומצבת'!B:Q,16,0),"")</f>
        <v/>
      </c>
      <c r="P122" s="969" t="str">
        <f>IFERROR(VLOOKUP(B122,'נתוני רישום ומצבת'!B:R,17,0),"")</f>
        <v/>
      </c>
      <c r="Q122" s="690"/>
      <c r="R122" s="1009"/>
      <c r="S122" s="376">
        <f t="shared" si="32"/>
        <v>0</v>
      </c>
      <c r="T122" s="376">
        <f t="shared" si="33"/>
        <v>0</v>
      </c>
      <c r="U122" s="386">
        <f t="shared" si="34"/>
        <v>0</v>
      </c>
      <c r="V122" s="513" t="str">
        <f t="shared" si="35"/>
        <v/>
      </c>
      <c r="W122" s="254" t="str">
        <f>IF(ISBLANK(B122)," ",IF(B122=IFERROR(VLOOKUP(B122,'מצבת והרשמה (2)'!F:F,1,0),0),"תקין","לא קיים במצבת כבית ספר בו מתקיימת פעילות"))</f>
        <v xml:space="preserve"> </v>
      </c>
      <c r="X122" s="256" t="str">
        <f t="shared" si="22"/>
        <v/>
      </c>
      <c r="Y122" s="256" t="str">
        <f t="shared" si="23"/>
        <v/>
      </c>
      <c r="Z122" s="741">
        <f t="shared" si="24"/>
        <v>0</v>
      </c>
      <c r="AA122" s="741">
        <f t="shared" si="25"/>
        <v>0</v>
      </c>
      <c r="AB122" s="741">
        <f t="shared" si="26"/>
        <v>0</v>
      </c>
      <c r="AC122" s="987">
        <f t="shared" si="36"/>
        <v>0</v>
      </c>
      <c r="AD122" s="987">
        <f t="shared" si="37"/>
        <v>0</v>
      </c>
      <c r="AE122" s="368" t="str">
        <f>IFERROR(VLOOKUP(B122,'[1]סיכום בקרת רשויות'!$A:$D,4,0),"")</f>
        <v/>
      </c>
      <c r="AF122" s="57" t="str">
        <f t="shared" si="38"/>
        <v/>
      </c>
      <c r="AG122" s="180">
        <f>IF(AF122="כן",M122*'גנים ובתי ספר- מבנה תקציב'!$H$59,0)</f>
        <v>0</v>
      </c>
      <c r="AH122" s="180">
        <f>IF(AF122="כן",M122*'גנים ובתי ספר- מבנה תקציב'!$I$59,0)</f>
        <v>0</v>
      </c>
      <c r="AI122" s="180">
        <f t="shared" si="39"/>
        <v>0</v>
      </c>
      <c r="AJ122" s="368" t="str">
        <f t="shared" si="27"/>
        <v/>
      </c>
    </row>
    <row r="123" spans="1:36" x14ac:dyDescent="0.25">
      <c r="A123" s="57">
        <v>103</v>
      </c>
      <c r="B123" s="690"/>
      <c r="C123" s="690"/>
      <c r="D123" s="252">
        <f>(IFERROR(SUMIF('מצבת והרשמה (2)'!$F$21:$F$501,'דוח ביצוע (3)'!$B123,'מצבת והרשמה (2)'!$J$21:$J$501),0))</f>
        <v>0</v>
      </c>
      <c r="E123" s="252">
        <f>IFERROR(SUMIF('מצבת והרשמה (2)'!$F$21:$F$501,'דוח ביצוע (3)'!$B123,'מצבת והרשמה (2)'!$K$21:$K$501),0)</f>
        <v>0</v>
      </c>
      <c r="F123" s="253">
        <f t="shared" si="28"/>
        <v>0</v>
      </c>
      <c r="G123" s="680"/>
      <c r="H123" s="680"/>
      <c r="I123" s="253">
        <f t="shared" si="21"/>
        <v>0</v>
      </c>
      <c r="J123" s="453">
        <f t="shared" si="29"/>
        <v>0</v>
      </c>
      <c r="K123" s="689"/>
      <c r="L123" s="689"/>
      <c r="M123" s="969">
        <f t="shared" si="30"/>
        <v>0</v>
      </c>
      <c r="N123" s="1029" t="str">
        <f t="shared" si="31"/>
        <v/>
      </c>
      <c r="O123" s="969" t="str">
        <f>IFERROR(VLOOKUP(B123,'נתוני רישום ומצבת'!B:Q,16,0),"")</f>
        <v/>
      </c>
      <c r="P123" s="969" t="str">
        <f>IFERROR(VLOOKUP(B123,'נתוני רישום ומצבת'!B:R,17,0),"")</f>
        <v/>
      </c>
      <c r="Q123" s="690"/>
      <c r="R123" s="1009"/>
      <c r="S123" s="376">
        <f t="shared" si="32"/>
        <v>0</v>
      </c>
      <c r="T123" s="376">
        <f t="shared" si="33"/>
        <v>0</v>
      </c>
      <c r="U123" s="386">
        <f t="shared" si="34"/>
        <v>0</v>
      </c>
      <c r="V123" s="513" t="str">
        <f t="shared" si="35"/>
        <v/>
      </c>
      <c r="W123" s="254" t="str">
        <f>IF(ISBLANK(B123)," ",IF(B123=IFERROR(VLOOKUP(B123,'מצבת והרשמה (2)'!F:F,1,0),0),"תקין","לא קיים במצבת כבית ספר בו מתקיימת פעילות"))</f>
        <v xml:space="preserve"> </v>
      </c>
      <c r="X123" s="256" t="str">
        <f t="shared" si="22"/>
        <v/>
      </c>
      <c r="Y123" s="256" t="str">
        <f t="shared" si="23"/>
        <v/>
      </c>
      <c r="Z123" s="741">
        <f t="shared" si="24"/>
        <v>0</v>
      </c>
      <c r="AA123" s="741">
        <f t="shared" si="25"/>
        <v>0</v>
      </c>
      <c r="AB123" s="741">
        <f t="shared" si="26"/>
        <v>0</v>
      </c>
      <c r="AC123" s="987">
        <f t="shared" si="36"/>
        <v>0</v>
      </c>
      <c r="AD123" s="987">
        <f t="shared" si="37"/>
        <v>0</v>
      </c>
      <c r="AE123" s="368" t="str">
        <f>IFERROR(VLOOKUP(B123,'[1]סיכום בקרת רשויות'!$A:$D,4,0),"")</f>
        <v/>
      </c>
      <c r="AF123" s="57" t="str">
        <f t="shared" si="38"/>
        <v/>
      </c>
      <c r="AG123" s="180">
        <f>IF(AF123="כן",M123*'גנים ובתי ספר- מבנה תקציב'!$H$59,0)</f>
        <v>0</v>
      </c>
      <c r="AH123" s="180">
        <f>IF(AF123="כן",M123*'גנים ובתי ספר- מבנה תקציב'!$I$59,0)</f>
        <v>0</v>
      </c>
      <c r="AI123" s="180">
        <f t="shared" si="39"/>
        <v>0</v>
      </c>
      <c r="AJ123" s="368" t="str">
        <f t="shared" si="27"/>
        <v/>
      </c>
    </row>
    <row r="124" spans="1:36" x14ac:dyDescent="0.25">
      <c r="A124" s="57">
        <v>104</v>
      </c>
      <c r="B124" s="690"/>
      <c r="C124" s="690"/>
      <c r="D124" s="252">
        <f>(IFERROR(SUMIF('מצבת והרשמה (2)'!$F$21:$F$501,'דוח ביצוע (3)'!$B124,'מצבת והרשמה (2)'!$J$21:$J$501),0))</f>
        <v>0</v>
      </c>
      <c r="E124" s="252">
        <f>IFERROR(SUMIF('מצבת והרשמה (2)'!$F$21:$F$501,'דוח ביצוע (3)'!$B124,'מצבת והרשמה (2)'!$K$21:$K$501),0)</f>
        <v>0</v>
      </c>
      <c r="F124" s="253">
        <f t="shared" si="28"/>
        <v>0</v>
      </c>
      <c r="G124" s="680"/>
      <c r="H124" s="680"/>
      <c r="I124" s="253">
        <f t="shared" si="21"/>
        <v>0</v>
      </c>
      <c r="J124" s="453">
        <f t="shared" si="29"/>
        <v>0</v>
      </c>
      <c r="K124" s="689"/>
      <c r="L124" s="689"/>
      <c r="M124" s="969">
        <f t="shared" si="30"/>
        <v>0</v>
      </c>
      <c r="N124" s="1029" t="str">
        <f t="shared" si="31"/>
        <v/>
      </c>
      <c r="O124" s="969" t="str">
        <f>IFERROR(VLOOKUP(B124,'נתוני רישום ומצבת'!B:Q,16,0),"")</f>
        <v/>
      </c>
      <c r="P124" s="969" t="str">
        <f>IFERROR(VLOOKUP(B124,'נתוני רישום ומצבת'!B:R,17,0),"")</f>
        <v/>
      </c>
      <c r="Q124" s="690"/>
      <c r="R124" s="1009"/>
      <c r="S124" s="376">
        <f t="shared" si="32"/>
        <v>0</v>
      </c>
      <c r="T124" s="376">
        <f t="shared" si="33"/>
        <v>0</v>
      </c>
      <c r="U124" s="386">
        <f t="shared" si="34"/>
        <v>0</v>
      </c>
      <c r="V124" s="513" t="str">
        <f t="shared" si="35"/>
        <v/>
      </c>
      <c r="W124" s="254" t="str">
        <f>IF(ISBLANK(B124)," ",IF(B124=IFERROR(VLOOKUP(B124,'מצבת והרשמה (2)'!F:F,1,0),0),"תקין","לא קיים במצבת כבית ספר בו מתקיימת פעילות"))</f>
        <v xml:space="preserve"> </v>
      </c>
      <c r="X124" s="256" t="str">
        <f t="shared" si="22"/>
        <v/>
      </c>
      <c r="Y124" s="256" t="str">
        <f t="shared" si="23"/>
        <v/>
      </c>
      <c r="Z124" s="741">
        <f t="shared" si="24"/>
        <v>0</v>
      </c>
      <c r="AA124" s="741">
        <f t="shared" si="25"/>
        <v>0</v>
      </c>
      <c r="AB124" s="741">
        <f t="shared" si="26"/>
        <v>0</v>
      </c>
      <c r="AC124" s="987">
        <f t="shared" si="36"/>
        <v>0</v>
      </c>
      <c r="AD124" s="987">
        <f t="shared" si="37"/>
        <v>0</v>
      </c>
      <c r="AE124" s="368" t="str">
        <f>IFERROR(VLOOKUP(B124,'[1]סיכום בקרת רשויות'!$A:$D,4,0),"")</f>
        <v/>
      </c>
      <c r="AF124" s="57" t="str">
        <f t="shared" si="38"/>
        <v/>
      </c>
      <c r="AG124" s="180">
        <f>IF(AF124="כן",M124*'גנים ובתי ספר- מבנה תקציב'!$H$59,0)</f>
        <v>0</v>
      </c>
      <c r="AH124" s="180">
        <f>IF(AF124="כן",M124*'גנים ובתי ספר- מבנה תקציב'!$I$59,0)</f>
        <v>0</v>
      </c>
      <c r="AI124" s="180">
        <f t="shared" si="39"/>
        <v>0</v>
      </c>
      <c r="AJ124" s="368" t="str">
        <f t="shared" si="27"/>
        <v/>
      </c>
    </row>
    <row r="125" spans="1:36" x14ac:dyDescent="0.25">
      <c r="A125" s="57">
        <v>105</v>
      </c>
      <c r="B125" s="690"/>
      <c r="C125" s="690"/>
      <c r="D125" s="252">
        <f>(IFERROR(SUMIF('מצבת והרשמה (2)'!$F$21:$F$501,'דוח ביצוע (3)'!$B125,'מצבת והרשמה (2)'!$J$21:$J$501),0))</f>
        <v>0</v>
      </c>
      <c r="E125" s="252">
        <f>IFERROR(SUMIF('מצבת והרשמה (2)'!$F$21:$F$501,'דוח ביצוע (3)'!$B125,'מצבת והרשמה (2)'!$K$21:$K$501),0)</f>
        <v>0</v>
      </c>
      <c r="F125" s="253">
        <f t="shared" si="28"/>
        <v>0</v>
      </c>
      <c r="G125" s="680"/>
      <c r="H125" s="680"/>
      <c r="I125" s="253">
        <f t="shared" si="21"/>
        <v>0</v>
      </c>
      <c r="J125" s="453">
        <f t="shared" si="29"/>
        <v>0</v>
      </c>
      <c r="K125" s="689"/>
      <c r="L125" s="689"/>
      <c r="M125" s="969">
        <f t="shared" si="30"/>
        <v>0</v>
      </c>
      <c r="N125" s="1029" t="str">
        <f t="shared" si="31"/>
        <v/>
      </c>
      <c r="O125" s="969" t="str">
        <f>IFERROR(VLOOKUP(B125,'נתוני רישום ומצבת'!B:Q,16,0),"")</f>
        <v/>
      </c>
      <c r="P125" s="969" t="str">
        <f>IFERROR(VLOOKUP(B125,'נתוני רישום ומצבת'!B:R,17,0),"")</f>
        <v/>
      </c>
      <c r="Q125" s="690"/>
      <c r="R125" s="1009"/>
      <c r="S125" s="376">
        <f t="shared" si="32"/>
        <v>0</v>
      </c>
      <c r="T125" s="376">
        <f t="shared" si="33"/>
        <v>0</v>
      </c>
      <c r="U125" s="386">
        <f t="shared" si="34"/>
        <v>0</v>
      </c>
      <c r="V125" s="513" t="str">
        <f t="shared" si="35"/>
        <v/>
      </c>
      <c r="W125" s="254" t="str">
        <f>IF(ISBLANK(B125)," ",IF(B125=IFERROR(VLOOKUP(B125,'מצבת והרשמה (2)'!F:F,1,0),0),"תקין","לא קיים במצבת כבית ספר בו מתקיימת פעילות"))</f>
        <v xml:space="preserve"> </v>
      </c>
      <c r="X125" s="256" t="str">
        <f t="shared" si="22"/>
        <v/>
      </c>
      <c r="Y125" s="256" t="str">
        <f t="shared" si="23"/>
        <v/>
      </c>
      <c r="Z125" s="741">
        <f t="shared" si="24"/>
        <v>0</v>
      </c>
      <c r="AA125" s="741">
        <f t="shared" si="25"/>
        <v>0</v>
      </c>
      <c r="AB125" s="741">
        <f t="shared" si="26"/>
        <v>0</v>
      </c>
      <c r="AC125" s="987">
        <f t="shared" si="36"/>
        <v>0</v>
      </c>
      <c r="AD125" s="987">
        <f t="shared" si="37"/>
        <v>0</v>
      </c>
      <c r="AE125" s="368" t="str">
        <f>IFERROR(VLOOKUP(B125,'[1]סיכום בקרת רשויות'!$A:$D,4,0),"")</f>
        <v/>
      </c>
      <c r="AF125" s="57" t="str">
        <f t="shared" si="38"/>
        <v/>
      </c>
      <c r="AG125" s="180">
        <f>IF(AF125="כן",M125*'גנים ובתי ספר- מבנה תקציב'!$H$59,0)</f>
        <v>0</v>
      </c>
      <c r="AH125" s="180">
        <f>IF(AF125="כן",M125*'גנים ובתי ספר- מבנה תקציב'!$I$59,0)</f>
        <v>0</v>
      </c>
      <c r="AI125" s="180">
        <f t="shared" si="39"/>
        <v>0</v>
      </c>
      <c r="AJ125" s="368" t="str">
        <f t="shared" si="27"/>
        <v/>
      </c>
    </row>
    <row r="126" spans="1:36" x14ac:dyDescent="0.25">
      <c r="A126" s="57">
        <v>106</v>
      </c>
      <c r="B126" s="690"/>
      <c r="C126" s="690"/>
      <c r="D126" s="252">
        <f>(IFERROR(SUMIF('מצבת והרשמה (2)'!$F$21:$F$501,'דוח ביצוע (3)'!$B126,'מצבת והרשמה (2)'!$J$21:$J$501),0))</f>
        <v>0</v>
      </c>
      <c r="E126" s="252">
        <f>IFERROR(SUMIF('מצבת והרשמה (2)'!$F$21:$F$501,'דוח ביצוע (3)'!$B126,'מצבת והרשמה (2)'!$K$21:$K$501),0)</f>
        <v>0</v>
      </c>
      <c r="F126" s="253">
        <f t="shared" si="28"/>
        <v>0</v>
      </c>
      <c r="G126" s="680"/>
      <c r="H126" s="680"/>
      <c r="I126" s="253">
        <f t="shared" si="21"/>
        <v>0</v>
      </c>
      <c r="J126" s="453">
        <f t="shared" si="29"/>
        <v>0</v>
      </c>
      <c r="K126" s="689"/>
      <c r="L126" s="689"/>
      <c r="M126" s="969">
        <f t="shared" si="30"/>
        <v>0</v>
      </c>
      <c r="N126" s="1029" t="str">
        <f t="shared" si="31"/>
        <v/>
      </c>
      <c r="O126" s="969" t="str">
        <f>IFERROR(VLOOKUP(B126,'נתוני רישום ומצבת'!B:Q,16,0),"")</f>
        <v/>
      </c>
      <c r="P126" s="969" t="str">
        <f>IFERROR(VLOOKUP(B126,'נתוני רישום ומצבת'!B:R,17,0),"")</f>
        <v/>
      </c>
      <c r="Q126" s="690"/>
      <c r="R126" s="1009"/>
      <c r="S126" s="376">
        <f t="shared" si="32"/>
        <v>0</v>
      </c>
      <c r="T126" s="376">
        <f t="shared" si="33"/>
        <v>0</v>
      </c>
      <c r="U126" s="386">
        <f t="shared" si="34"/>
        <v>0</v>
      </c>
      <c r="V126" s="513" t="str">
        <f t="shared" si="35"/>
        <v/>
      </c>
      <c r="W126" s="254" t="str">
        <f>IF(ISBLANK(B126)," ",IF(B126=IFERROR(VLOOKUP(B126,'מצבת והרשמה (2)'!F:F,1,0),0),"תקין","לא קיים במצבת כבית ספר בו מתקיימת פעילות"))</f>
        <v xml:space="preserve"> </v>
      </c>
      <c r="X126" s="256" t="str">
        <f t="shared" si="22"/>
        <v/>
      </c>
      <c r="Y126" s="256" t="str">
        <f t="shared" si="23"/>
        <v/>
      </c>
      <c r="Z126" s="741">
        <f t="shared" si="24"/>
        <v>0</v>
      </c>
      <c r="AA126" s="741">
        <f t="shared" si="25"/>
        <v>0</v>
      </c>
      <c r="AB126" s="741">
        <f t="shared" si="26"/>
        <v>0</v>
      </c>
      <c r="AC126" s="987">
        <f t="shared" si="36"/>
        <v>0</v>
      </c>
      <c r="AD126" s="987">
        <f t="shared" si="37"/>
        <v>0</v>
      </c>
      <c r="AE126" s="368" t="str">
        <f>IFERROR(VLOOKUP(B126,'[1]סיכום בקרת רשויות'!$A:$D,4,0),"")</f>
        <v/>
      </c>
      <c r="AF126" s="57" t="str">
        <f t="shared" si="38"/>
        <v/>
      </c>
      <c r="AG126" s="180">
        <f>IF(AF126="כן",M126*'גנים ובתי ספר- מבנה תקציב'!$H$59,0)</f>
        <v>0</v>
      </c>
      <c r="AH126" s="180">
        <f>IF(AF126="כן",M126*'גנים ובתי ספר- מבנה תקציב'!$I$59,0)</f>
        <v>0</v>
      </c>
      <c r="AI126" s="180">
        <f t="shared" si="39"/>
        <v>0</v>
      </c>
      <c r="AJ126" s="368" t="str">
        <f t="shared" si="27"/>
        <v/>
      </c>
    </row>
    <row r="127" spans="1:36" x14ac:dyDescent="0.25">
      <c r="A127" s="57">
        <v>107</v>
      </c>
      <c r="B127" s="690"/>
      <c r="C127" s="690"/>
      <c r="D127" s="252">
        <f>(IFERROR(SUMIF('מצבת והרשמה (2)'!$F$21:$F$501,'דוח ביצוע (3)'!$B127,'מצבת והרשמה (2)'!$J$21:$J$501),0))</f>
        <v>0</v>
      </c>
      <c r="E127" s="252">
        <f>IFERROR(SUMIF('מצבת והרשמה (2)'!$F$21:$F$501,'דוח ביצוע (3)'!$B127,'מצבת והרשמה (2)'!$K$21:$K$501),0)</f>
        <v>0</v>
      </c>
      <c r="F127" s="253">
        <f t="shared" si="28"/>
        <v>0</v>
      </c>
      <c r="G127" s="680"/>
      <c r="H127" s="680"/>
      <c r="I127" s="253">
        <f t="shared" si="21"/>
        <v>0</v>
      </c>
      <c r="J127" s="453">
        <f t="shared" si="29"/>
        <v>0</v>
      </c>
      <c r="K127" s="689"/>
      <c r="L127" s="689"/>
      <c r="M127" s="969">
        <f t="shared" si="30"/>
        <v>0</v>
      </c>
      <c r="N127" s="1029" t="str">
        <f t="shared" si="31"/>
        <v/>
      </c>
      <c r="O127" s="969" t="str">
        <f>IFERROR(VLOOKUP(B127,'נתוני רישום ומצבת'!B:Q,16,0),"")</f>
        <v/>
      </c>
      <c r="P127" s="969" t="str">
        <f>IFERROR(VLOOKUP(B127,'נתוני רישום ומצבת'!B:R,17,0),"")</f>
        <v/>
      </c>
      <c r="Q127" s="690"/>
      <c r="R127" s="1009"/>
      <c r="S127" s="376">
        <f t="shared" si="32"/>
        <v>0</v>
      </c>
      <c r="T127" s="376">
        <f t="shared" si="33"/>
        <v>0</v>
      </c>
      <c r="U127" s="386">
        <f t="shared" si="34"/>
        <v>0</v>
      </c>
      <c r="V127" s="513" t="str">
        <f t="shared" si="35"/>
        <v/>
      </c>
      <c r="W127" s="254" t="str">
        <f>IF(ISBLANK(B127)," ",IF(B127=IFERROR(VLOOKUP(B127,'מצבת והרשמה (2)'!F:F,1,0),0),"תקין","לא קיים במצבת כבית ספר בו מתקיימת פעילות"))</f>
        <v xml:space="preserve"> </v>
      </c>
      <c r="X127" s="256" t="str">
        <f t="shared" si="22"/>
        <v/>
      </c>
      <c r="Y127" s="256" t="str">
        <f t="shared" si="23"/>
        <v/>
      </c>
      <c r="Z127" s="741">
        <f t="shared" si="24"/>
        <v>0</v>
      </c>
      <c r="AA127" s="741">
        <f t="shared" si="25"/>
        <v>0</v>
      </c>
      <c r="AB127" s="741">
        <f t="shared" si="26"/>
        <v>0</v>
      </c>
      <c r="AC127" s="987">
        <f t="shared" si="36"/>
        <v>0</v>
      </c>
      <c r="AD127" s="987">
        <f t="shared" si="37"/>
        <v>0</v>
      </c>
      <c r="AE127" s="368" t="str">
        <f>IFERROR(VLOOKUP(B127,'[1]סיכום בקרת רשויות'!$A:$D,4,0),"")</f>
        <v/>
      </c>
      <c r="AF127" s="57" t="str">
        <f t="shared" si="38"/>
        <v/>
      </c>
      <c r="AG127" s="180">
        <f>IF(AF127="כן",M127*'גנים ובתי ספר- מבנה תקציב'!$H$59,0)</f>
        <v>0</v>
      </c>
      <c r="AH127" s="180">
        <f>IF(AF127="כן",M127*'גנים ובתי ספר- מבנה תקציב'!$I$59,0)</f>
        <v>0</v>
      </c>
      <c r="AI127" s="180">
        <f t="shared" si="39"/>
        <v>0</v>
      </c>
      <c r="AJ127" s="368" t="str">
        <f t="shared" si="27"/>
        <v/>
      </c>
    </row>
    <row r="128" spans="1:36" x14ac:dyDescent="0.25">
      <c r="A128" s="57">
        <v>108</v>
      </c>
      <c r="B128" s="690"/>
      <c r="C128" s="690"/>
      <c r="D128" s="252">
        <f>(IFERROR(SUMIF('מצבת והרשמה (2)'!$F$21:$F$501,'דוח ביצוע (3)'!$B128,'מצבת והרשמה (2)'!$J$21:$J$501),0))</f>
        <v>0</v>
      </c>
      <c r="E128" s="252">
        <f>IFERROR(SUMIF('מצבת והרשמה (2)'!$F$21:$F$501,'דוח ביצוע (3)'!$B128,'מצבת והרשמה (2)'!$K$21:$K$501),0)</f>
        <v>0</v>
      </c>
      <c r="F128" s="253">
        <f t="shared" si="28"/>
        <v>0</v>
      </c>
      <c r="G128" s="680"/>
      <c r="H128" s="680"/>
      <c r="I128" s="253">
        <f t="shared" si="21"/>
        <v>0</v>
      </c>
      <c r="J128" s="453">
        <f t="shared" si="29"/>
        <v>0</v>
      </c>
      <c r="K128" s="689"/>
      <c r="L128" s="689"/>
      <c r="M128" s="969">
        <f t="shared" si="30"/>
        <v>0</v>
      </c>
      <c r="N128" s="1029" t="str">
        <f t="shared" si="31"/>
        <v/>
      </c>
      <c r="O128" s="969" t="str">
        <f>IFERROR(VLOOKUP(B128,'נתוני רישום ומצבת'!B:Q,16,0),"")</f>
        <v/>
      </c>
      <c r="P128" s="969" t="str">
        <f>IFERROR(VLOOKUP(B128,'נתוני רישום ומצבת'!B:R,17,0),"")</f>
        <v/>
      </c>
      <c r="Q128" s="690"/>
      <c r="R128" s="1009"/>
      <c r="S128" s="376">
        <f t="shared" si="32"/>
        <v>0</v>
      </c>
      <c r="T128" s="376">
        <f t="shared" si="33"/>
        <v>0</v>
      </c>
      <c r="U128" s="386">
        <f t="shared" si="34"/>
        <v>0</v>
      </c>
      <c r="V128" s="513" t="str">
        <f t="shared" si="35"/>
        <v/>
      </c>
      <c r="W128" s="254" t="str">
        <f>IF(ISBLANK(B128)," ",IF(B128=IFERROR(VLOOKUP(B128,'מצבת והרשמה (2)'!F:F,1,0),0),"תקין","לא קיים במצבת כבית ספר בו מתקיימת פעילות"))</f>
        <v xml:space="preserve"> </v>
      </c>
      <c r="X128" s="256" t="str">
        <f t="shared" si="22"/>
        <v/>
      </c>
      <c r="Y128" s="256" t="str">
        <f t="shared" si="23"/>
        <v/>
      </c>
      <c r="Z128" s="741">
        <f t="shared" si="24"/>
        <v>0</v>
      </c>
      <c r="AA128" s="741">
        <f t="shared" si="25"/>
        <v>0</v>
      </c>
      <c r="AB128" s="741">
        <f t="shared" si="26"/>
        <v>0</v>
      </c>
      <c r="AC128" s="987">
        <f t="shared" si="36"/>
        <v>0</v>
      </c>
      <c r="AD128" s="987">
        <f t="shared" si="37"/>
        <v>0</v>
      </c>
      <c r="AE128" s="368" t="str">
        <f>IFERROR(VLOOKUP(B128,'[1]סיכום בקרת רשויות'!$A:$D,4,0),"")</f>
        <v/>
      </c>
      <c r="AF128" s="57" t="str">
        <f t="shared" si="38"/>
        <v/>
      </c>
      <c r="AG128" s="180">
        <f>IF(AF128="כן",M128*'גנים ובתי ספר- מבנה תקציב'!$H$59,0)</f>
        <v>0</v>
      </c>
      <c r="AH128" s="180">
        <f>IF(AF128="כן",M128*'גנים ובתי ספר- מבנה תקציב'!$I$59,0)</f>
        <v>0</v>
      </c>
      <c r="AI128" s="180">
        <f t="shared" si="39"/>
        <v>0</v>
      </c>
      <c r="AJ128" s="368" t="str">
        <f t="shared" si="27"/>
        <v/>
      </c>
    </row>
    <row r="129" spans="1:36" x14ac:dyDescent="0.25">
      <c r="A129" s="57">
        <v>109</v>
      </c>
      <c r="B129" s="690"/>
      <c r="C129" s="690"/>
      <c r="D129" s="252">
        <f>(IFERROR(SUMIF('מצבת והרשמה (2)'!$F$21:$F$501,'דוח ביצוע (3)'!$B129,'מצבת והרשמה (2)'!$J$21:$J$501),0))</f>
        <v>0</v>
      </c>
      <c r="E129" s="252">
        <f>IFERROR(SUMIF('מצבת והרשמה (2)'!$F$21:$F$501,'דוח ביצוע (3)'!$B129,'מצבת והרשמה (2)'!$K$21:$K$501),0)</f>
        <v>0</v>
      </c>
      <c r="F129" s="253">
        <f t="shared" si="28"/>
        <v>0</v>
      </c>
      <c r="G129" s="680"/>
      <c r="H129" s="680"/>
      <c r="I129" s="253">
        <f t="shared" si="21"/>
        <v>0</v>
      </c>
      <c r="J129" s="453">
        <f t="shared" si="29"/>
        <v>0</v>
      </c>
      <c r="K129" s="689"/>
      <c r="L129" s="689"/>
      <c r="M129" s="969">
        <f t="shared" si="30"/>
        <v>0</v>
      </c>
      <c r="N129" s="1029" t="str">
        <f t="shared" si="31"/>
        <v/>
      </c>
      <c r="O129" s="969" t="str">
        <f>IFERROR(VLOOKUP(B129,'נתוני רישום ומצבת'!B:Q,16,0),"")</f>
        <v/>
      </c>
      <c r="P129" s="969" t="str">
        <f>IFERROR(VLOOKUP(B129,'נתוני רישום ומצבת'!B:R,17,0),"")</f>
        <v/>
      </c>
      <c r="Q129" s="690"/>
      <c r="R129" s="1009"/>
      <c r="S129" s="376">
        <f t="shared" si="32"/>
        <v>0</v>
      </c>
      <c r="T129" s="376">
        <f t="shared" si="33"/>
        <v>0</v>
      </c>
      <c r="U129" s="386">
        <f t="shared" si="34"/>
        <v>0</v>
      </c>
      <c r="V129" s="513" t="str">
        <f t="shared" si="35"/>
        <v/>
      </c>
      <c r="W129" s="254" t="str">
        <f>IF(ISBLANK(B129)," ",IF(B129=IFERROR(VLOOKUP(B129,'מצבת והרשמה (2)'!F:F,1,0),0),"תקין","לא קיים במצבת כבית ספר בו מתקיימת פעילות"))</f>
        <v xml:space="preserve"> </v>
      </c>
      <c r="X129" s="256" t="str">
        <f t="shared" si="22"/>
        <v/>
      </c>
      <c r="Y129" s="256" t="str">
        <f t="shared" si="23"/>
        <v/>
      </c>
      <c r="Z129" s="741">
        <f t="shared" si="24"/>
        <v>0</v>
      </c>
      <c r="AA129" s="741">
        <f t="shared" si="25"/>
        <v>0</v>
      </c>
      <c r="AB129" s="741">
        <f t="shared" si="26"/>
        <v>0</v>
      </c>
      <c r="AC129" s="987">
        <f t="shared" si="36"/>
        <v>0</v>
      </c>
      <c r="AD129" s="987">
        <f t="shared" si="37"/>
        <v>0</v>
      </c>
      <c r="AE129" s="368" t="str">
        <f>IFERROR(VLOOKUP(B129,'[1]סיכום בקרת רשויות'!$A:$D,4,0),"")</f>
        <v/>
      </c>
      <c r="AF129" s="57" t="str">
        <f t="shared" si="38"/>
        <v/>
      </c>
      <c r="AG129" s="180">
        <f>IF(AF129="כן",M129*'גנים ובתי ספר- מבנה תקציב'!$H$59,0)</f>
        <v>0</v>
      </c>
      <c r="AH129" s="180">
        <f>IF(AF129="כן",M129*'גנים ובתי ספר- מבנה תקציב'!$I$59,0)</f>
        <v>0</v>
      </c>
      <c r="AI129" s="180">
        <f t="shared" si="39"/>
        <v>0</v>
      </c>
      <c r="AJ129" s="368" t="str">
        <f t="shared" si="27"/>
        <v/>
      </c>
    </row>
    <row r="130" spans="1:36" x14ac:dyDescent="0.25">
      <c r="A130" s="57">
        <v>110</v>
      </c>
      <c r="B130" s="690"/>
      <c r="C130" s="690"/>
      <c r="D130" s="252">
        <f>(IFERROR(SUMIF('מצבת והרשמה (2)'!$F$21:$F$501,'דוח ביצוע (3)'!$B130,'מצבת והרשמה (2)'!$J$21:$J$501),0))</f>
        <v>0</v>
      </c>
      <c r="E130" s="252">
        <f>IFERROR(SUMIF('מצבת והרשמה (2)'!$F$21:$F$501,'דוח ביצוע (3)'!$B130,'מצבת והרשמה (2)'!$K$21:$K$501),0)</f>
        <v>0</v>
      </c>
      <c r="F130" s="253">
        <f t="shared" si="28"/>
        <v>0</v>
      </c>
      <c r="G130" s="680"/>
      <c r="H130" s="680"/>
      <c r="I130" s="253">
        <f t="shared" si="21"/>
        <v>0</v>
      </c>
      <c r="J130" s="453">
        <f t="shared" si="29"/>
        <v>0</v>
      </c>
      <c r="K130" s="689"/>
      <c r="L130" s="689"/>
      <c r="M130" s="969">
        <f t="shared" si="30"/>
        <v>0</v>
      </c>
      <c r="N130" s="1029" t="str">
        <f t="shared" si="31"/>
        <v/>
      </c>
      <c r="O130" s="969" t="str">
        <f>IFERROR(VLOOKUP(B130,'נתוני רישום ומצבת'!B:Q,16,0),"")</f>
        <v/>
      </c>
      <c r="P130" s="969" t="str">
        <f>IFERROR(VLOOKUP(B130,'נתוני רישום ומצבת'!B:R,17,0),"")</f>
        <v/>
      </c>
      <c r="Q130" s="690"/>
      <c r="R130" s="1009"/>
      <c r="S130" s="376">
        <f t="shared" si="32"/>
        <v>0</v>
      </c>
      <c r="T130" s="376">
        <f t="shared" si="33"/>
        <v>0</v>
      </c>
      <c r="U130" s="386">
        <f t="shared" si="34"/>
        <v>0</v>
      </c>
      <c r="V130" s="513" t="str">
        <f t="shared" si="35"/>
        <v/>
      </c>
      <c r="W130" s="254" t="str">
        <f>IF(ISBLANK(B130)," ",IF(B130=IFERROR(VLOOKUP(B130,'מצבת והרשמה (2)'!F:F,1,0),0),"תקין","לא קיים במצבת כבית ספר בו מתקיימת פעילות"))</f>
        <v xml:space="preserve"> </v>
      </c>
      <c r="X130" s="256" t="str">
        <f t="shared" si="22"/>
        <v/>
      </c>
      <c r="Y130" s="256" t="str">
        <f t="shared" si="23"/>
        <v/>
      </c>
      <c r="Z130" s="741">
        <f t="shared" si="24"/>
        <v>0</v>
      </c>
      <c r="AA130" s="741">
        <f t="shared" si="25"/>
        <v>0</v>
      </c>
      <c r="AB130" s="741">
        <f t="shared" si="26"/>
        <v>0</v>
      </c>
      <c r="AC130" s="987">
        <f t="shared" si="36"/>
        <v>0</v>
      </c>
      <c r="AD130" s="987">
        <f t="shared" si="37"/>
        <v>0</v>
      </c>
      <c r="AE130" s="368" t="str">
        <f>IFERROR(VLOOKUP(B130,'[1]סיכום בקרת רשויות'!$A:$D,4,0),"")</f>
        <v/>
      </c>
      <c r="AF130" s="57" t="str">
        <f t="shared" si="38"/>
        <v/>
      </c>
      <c r="AG130" s="180">
        <f>IF(AF130="כן",M130*'גנים ובתי ספר- מבנה תקציב'!$H$59,0)</f>
        <v>0</v>
      </c>
      <c r="AH130" s="180">
        <f>IF(AF130="כן",M130*'גנים ובתי ספר- מבנה תקציב'!$I$59,0)</f>
        <v>0</v>
      </c>
      <c r="AI130" s="180">
        <f t="shared" si="39"/>
        <v>0</v>
      </c>
      <c r="AJ130" s="368" t="str">
        <f t="shared" si="27"/>
        <v/>
      </c>
    </row>
    <row r="131" spans="1:36" x14ac:dyDescent="0.25">
      <c r="A131" s="57">
        <v>111</v>
      </c>
      <c r="B131" s="690"/>
      <c r="C131" s="690"/>
      <c r="D131" s="252">
        <f>(IFERROR(SUMIF('מצבת והרשמה (2)'!$F$21:$F$501,'דוח ביצוע (3)'!$B131,'מצבת והרשמה (2)'!$J$21:$J$501),0))</f>
        <v>0</v>
      </c>
      <c r="E131" s="252">
        <f>IFERROR(SUMIF('מצבת והרשמה (2)'!$F$21:$F$501,'דוח ביצוע (3)'!$B131,'מצבת והרשמה (2)'!$K$21:$K$501),0)</f>
        <v>0</v>
      </c>
      <c r="F131" s="253">
        <f t="shared" si="28"/>
        <v>0</v>
      </c>
      <c r="G131" s="680"/>
      <c r="H131" s="680"/>
      <c r="I131" s="253">
        <f t="shared" si="21"/>
        <v>0</v>
      </c>
      <c r="J131" s="453">
        <f t="shared" si="29"/>
        <v>0</v>
      </c>
      <c r="K131" s="689"/>
      <c r="L131" s="689"/>
      <c r="M131" s="969">
        <f t="shared" si="30"/>
        <v>0</v>
      </c>
      <c r="N131" s="1029" t="str">
        <f t="shared" si="31"/>
        <v/>
      </c>
      <c r="O131" s="969" t="str">
        <f>IFERROR(VLOOKUP(B131,'נתוני רישום ומצבת'!B:Q,16,0),"")</f>
        <v/>
      </c>
      <c r="P131" s="969" t="str">
        <f>IFERROR(VLOOKUP(B131,'נתוני רישום ומצבת'!B:R,17,0),"")</f>
        <v/>
      </c>
      <c r="Q131" s="690"/>
      <c r="R131" s="1009"/>
      <c r="S131" s="376">
        <f t="shared" si="32"/>
        <v>0</v>
      </c>
      <c r="T131" s="376">
        <f t="shared" si="33"/>
        <v>0</v>
      </c>
      <c r="U131" s="386">
        <f t="shared" si="34"/>
        <v>0</v>
      </c>
      <c r="V131" s="513" t="str">
        <f t="shared" si="35"/>
        <v/>
      </c>
      <c r="W131" s="254" t="str">
        <f>IF(ISBLANK(B131)," ",IF(B131=IFERROR(VLOOKUP(B131,'מצבת והרשמה (2)'!F:F,1,0),0),"תקין","לא קיים במצבת כבית ספר בו מתקיימת פעילות"))</f>
        <v xml:space="preserve"> </v>
      </c>
      <c r="X131" s="256" t="str">
        <f t="shared" si="22"/>
        <v/>
      </c>
      <c r="Y131" s="256" t="str">
        <f t="shared" si="23"/>
        <v/>
      </c>
      <c r="Z131" s="741">
        <f t="shared" si="24"/>
        <v>0</v>
      </c>
      <c r="AA131" s="741">
        <f t="shared" si="25"/>
        <v>0</v>
      </c>
      <c r="AB131" s="741">
        <f t="shared" si="26"/>
        <v>0</v>
      </c>
      <c r="AC131" s="987">
        <f t="shared" si="36"/>
        <v>0</v>
      </c>
      <c r="AD131" s="987">
        <f t="shared" si="37"/>
        <v>0</v>
      </c>
      <c r="AE131" s="368" t="str">
        <f>IFERROR(VLOOKUP(B131,'[1]סיכום בקרת רשויות'!$A:$D,4,0),"")</f>
        <v/>
      </c>
      <c r="AF131" s="57" t="str">
        <f t="shared" si="38"/>
        <v/>
      </c>
      <c r="AG131" s="180">
        <f>IF(AF131="כן",M131*'גנים ובתי ספר- מבנה תקציב'!$H$59,0)</f>
        <v>0</v>
      </c>
      <c r="AH131" s="180">
        <f>IF(AF131="כן",M131*'גנים ובתי ספר- מבנה תקציב'!$I$59,0)</f>
        <v>0</v>
      </c>
      <c r="AI131" s="180">
        <f t="shared" si="39"/>
        <v>0</v>
      </c>
      <c r="AJ131" s="368" t="str">
        <f t="shared" si="27"/>
        <v/>
      </c>
    </row>
    <row r="132" spans="1:36" x14ac:dyDescent="0.25">
      <c r="A132" s="57">
        <v>112</v>
      </c>
      <c r="B132" s="690"/>
      <c r="C132" s="690"/>
      <c r="D132" s="252">
        <f>(IFERROR(SUMIF('מצבת והרשמה (2)'!$F$21:$F$501,'דוח ביצוע (3)'!$B132,'מצבת והרשמה (2)'!$J$21:$J$501),0))</f>
        <v>0</v>
      </c>
      <c r="E132" s="252">
        <f>IFERROR(SUMIF('מצבת והרשמה (2)'!$F$21:$F$501,'דוח ביצוע (3)'!$B132,'מצבת והרשמה (2)'!$K$21:$K$501),0)</f>
        <v>0</v>
      </c>
      <c r="F132" s="253">
        <f t="shared" si="28"/>
        <v>0</v>
      </c>
      <c r="G132" s="680"/>
      <c r="H132" s="680"/>
      <c r="I132" s="253">
        <f t="shared" si="21"/>
        <v>0</v>
      </c>
      <c r="J132" s="453">
        <f t="shared" si="29"/>
        <v>0</v>
      </c>
      <c r="K132" s="689"/>
      <c r="L132" s="689"/>
      <c r="M132" s="969">
        <f t="shared" si="30"/>
        <v>0</v>
      </c>
      <c r="N132" s="1029" t="str">
        <f t="shared" si="31"/>
        <v/>
      </c>
      <c r="O132" s="969" t="str">
        <f>IFERROR(VLOOKUP(B132,'נתוני רישום ומצבת'!B:Q,16,0),"")</f>
        <v/>
      </c>
      <c r="P132" s="969" t="str">
        <f>IFERROR(VLOOKUP(B132,'נתוני רישום ומצבת'!B:R,17,0),"")</f>
        <v/>
      </c>
      <c r="Q132" s="690"/>
      <c r="R132" s="1009"/>
      <c r="S132" s="376">
        <f t="shared" si="32"/>
        <v>0</v>
      </c>
      <c r="T132" s="376">
        <f t="shared" si="33"/>
        <v>0</v>
      </c>
      <c r="U132" s="386">
        <f t="shared" si="34"/>
        <v>0</v>
      </c>
      <c r="V132" s="513" t="str">
        <f t="shared" si="35"/>
        <v/>
      </c>
      <c r="W132" s="254" t="str">
        <f>IF(ISBLANK(B132)," ",IF(B132=IFERROR(VLOOKUP(B132,'מצבת והרשמה (2)'!F:F,1,0),0),"תקין","לא קיים במצבת כבית ספר בו מתקיימת פעילות"))</f>
        <v xml:space="preserve"> </v>
      </c>
      <c r="X132" s="256" t="str">
        <f t="shared" si="22"/>
        <v/>
      </c>
      <c r="Y132" s="256" t="str">
        <f t="shared" si="23"/>
        <v/>
      </c>
      <c r="Z132" s="741">
        <f t="shared" si="24"/>
        <v>0</v>
      </c>
      <c r="AA132" s="741">
        <f t="shared" si="25"/>
        <v>0</v>
      </c>
      <c r="AB132" s="741">
        <f t="shared" si="26"/>
        <v>0</v>
      </c>
      <c r="AC132" s="987">
        <f t="shared" si="36"/>
        <v>0</v>
      </c>
      <c r="AD132" s="987">
        <f t="shared" si="37"/>
        <v>0</v>
      </c>
      <c r="AE132" s="368" t="str">
        <f>IFERROR(VLOOKUP(B132,'[1]סיכום בקרת רשויות'!$A:$D,4,0),"")</f>
        <v/>
      </c>
      <c r="AF132" s="57" t="str">
        <f t="shared" si="38"/>
        <v/>
      </c>
      <c r="AG132" s="180">
        <f>IF(AF132="כן",M132*'גנים ובתי ספר- מבנה תקציב'!$H$59,0)</f>
        <v>0</v>
      </c>
      <c r="AH132" s="180">
        <f>IF(AF132="כן",M132*'גנים ובתי ספר- מבנה תקציב'!$I$59,0)</f>
        <v>0</v>
      </c>
      <c r="AI132" s="180">
        <f t="shared" si="39"/>
        <v>0</v>
      </c>
      <c r="AJ132" s="368" t="str">
        <f t="shared" si="27"/>
        <v/>
      </c>
    </row>
    <row r="133" spans="1:36" x14ac:dyDescent="0.25">
      <c r="A133" s="57">
        <v>113</v>
      </c>
      <c r="B133" s="690"/>
      <c r="C133" s="690"/>
      <c r="D133" s="252">
        <f>(IFERROR(SUMIF('מצבת והרשמה (2)'!$F$21:$F$501,'דוח ביצוע (3)'!$B133,'מצבת והרשמה (2)'!$J$21:$J$501),0))</f>
        <v>0</v>
      </c>
      <c r="E133" s="252">
        <f>IFERROR(SUMIF('מצבת והרשמה (2)'!$F$21:$F$501,'דוח ביצוע (3)'!$B133,'מצבת והרשמה (2)'!$K$21:$K$501),0)</f>
        <v>0</v>
      </c>
      <c r="F133" s="253">
        <f t="shared" si="28"/>
        <v>0</v>
      </c>
      <c r="G133" s="680"/>
      <c r="H133" s="680"/>
      <c r="I133" s="253">
        <f t="shared" si="21"/>
        <v>0</v>
      </c>
      <c r="J133" s="453">
        <f t="shared" si="29"/>
        <v>0</v>
      </c>
      <c r="K133" s="689"/>
      <c r="L133" s="689"/>
      <c r="M133" s="969">
        <f t="shared" si="30"/>
        <v>0</v>
      </c>
      <c r="N133" s="1029" t="str">
        <f t="shared" si="31"/>
        <v/>
      </c>
      <c r="O133" s="969" t="str">
        <f>IFERROR(VLOOKUP(B133,'נתוני רישום ומצבת'!B:Q,16,0),"")</f>
        <v/>
      </c>
      <c r="P133" s="969" t="str">
        <f>IFERROR(VLOOKUP(B133,'נתוני רישום ומצבת'!B:R,17,0),"")</f>
        <v/>
      </c>
      <c r="Q133" s="690"/>
      <c r="R133" s="1009"/>
      <c r="S133" s="376">
        <f t="shared" si="32"/>
        <v>0</v>
      </c>
      <c r="T133" s="376">
        <f t="shared" si="33"/>
        <v>0</v>
      </c>
      <c r="U133" s="386">
        <f t="shared" si="34"/>
        <v>0</v>
      </c>
      <c r="V133" s="513" t="str">
        <f t="shared" si="35"/>
        <v/>
      </c>
      <c r="W133" s="254" t="str">
        <f>IF(ISBLANK(B133)," ",IF(B133=IFERROR(VLOOKUP(B133,'מצבת והרשמה (2)'!F:F,1,0),0),"תקין","לא קיים במצבת כבית ספר בו מתקיימת פעילות"))</f>
        <v xml:space="preserve"> </v>
      </c>
      <c r="X133" s="256" t="str">
        <f t="shared" si="22"/>
        <v/>
      </c>
      <c r="Y133" s="256" t="str">
        <f t="shared" si="23"/>
        <v/>
      </c>
      <c r="Z133" s="741">
        <f t="shared" si="24"/>
        <v>0</v>
      </c>
      <c r="AA133" s="741">
        <f t="shared" si="25"/>
        <v>0</v>
      </c>
      <c r="AB133" s="741">
        <f t="shared" si="26"/>
        <v>0</v>
      </c>
      <c r="AC133" s="987">
        <f t="shared" si="36"/>
        <v>0</v>
      </c>
      <c r="AD133" s="987">
        <f t="shared" si="37"/>
        <v>0</v>
      </c>
      <c r="AE133" s="368" t="str">
        <f>IFERROR(VLOOKUP(B133,'[1]סיכום בקרת רשויות'!$A:$D,4,0),"")</f>
        <v/>
      </c>
      <c r="AF133" s="57" t="str">
        <f t="shared" si="38"/>
        <v/>
      </c>
      <c r="AG133" s="180">
        <f>IF(AF133="כן",M133*'גנים ובתי ספר- מבנה תקציב'!$H$59,0)</f>
        <v>0</v>
      </c>
      <c r="AH133" s="180">
        <f>IF(AF133="כן",M133*'גנים ובתי ספר- מבנה תקציב'!$I$59,0)</f>
        <v>0</v>
      </c>
      <c r="AI133" s="180">
        <f t="shared" si="39"/>
        <v>0</v>
      </c>
      <c r="AJ133" s="368" t="str">
        <f t="shared" si="27"/>
        <v/>
      </c>
    </row>
    <row r="134" spans="1:36" x14ac:dyDescent="0.25">
      <c r="A134" s="57">
        <v>114</v>
      </c>
      <c r="B134" s="690"/>
      <c r="C134" s="690"/>
      <c r="D134" s="252">
        <f>(IFERROR(SUMIF('מצבת והרשמה (2)'!$F$21:$F$501,'דוח ביצוע (3)'!$B134,'מצבת והרשמה (2)'!$J$21:$J$501),0))</f>
        <v>0</v>
      </c>
      <c r="E134" s="252">
        <f>IFERROR(SUMIF('מצבת והרשמה (2)'!$F$21:$F$501,'דוח ביצוע (3)'!$B134,'מצבת והרשמה (2)'!$K$21:$K$501),0)</f>
        <v>0</v>
      </c>
      <c r="F134" s="253">
        <f t="shared" si="28"/>
        <v>0</v>
      </c>
      <c r="G134" s="680"/>
      <c r="H134" s="680"/>
      <c r="I134" s="253">
        <f t="shared" si="21"/>
        <v>0</v>
      </c>
      <c r="J134" s="453">
        <f t="shared" si="29"/>
        <v>0</v>
      </c>
      <c r="K134" s="689"/>
      <c r="L134" s="689"/>
      <c r="M134" s="969">
        <f t="shared" si="30"/>
        <v>0</v>
      </c>
      <c r="N134" s="1029" t="str">
        <f t="shared" si="31"/>
        <v/>
      </c>
      <c r="O134" s="969" t="str">
        <f>IFERROR(VLOOKUP(B134,'נתוני רישום ומצבת'!B:Q,16,0),"")</f>
        <v/>
      </c>
      <c r="P134" s="969" t="str">
        <f>IFERROR(VLOOKUP(B134,'נתוני רישום ומצבת'!B:R,17,0),"")</f>
        <v/>
      </c>
      <c r="Q134" s="690"/>
      <c r="R134" s="1009"/>
      <c r="S134" s="376">
        <f t="shared" si="32"/>
        <v>0</v>
      </c>
      <c r="T134" s="376">
        <f t="shared" si="33"/>
        <v>0</v>
      </c>
      <c r="U134" s="386">
        <f t="shared" si="34"/>
        <v>0</v>
      </c>
      <c r="V134" s="513" t="str">
        <f t="shared" si="35"/>
        <v/>
      </c>
      <c r="W134" s="254" t="str">
        <f>IF(ISBLANK(B134)," ",IF(B134=IFERROR(VLOOKUP(B134,'מצבת והרשמה (2)'!F:F,1,0),0),"תקין","לא קיים במצבת כבית ספר בו מתקיימת פעילות"))</f>
        <v xml:space="preserve"> </v>
      </c>
      <c r="X134" s="256" t="str">
        <f t="shared" si="22"/>
        <v/>
      </c>
      <c r="Y134" s="256" t="str">
        <f t="shared" si="23"/>
        <v/>
      </c>
      <c r="Z134" s="741">
        <f t="shared" si="24"/>
        <v>0</v>
      </c>
      <c r="AA134" s="741">
        <f t="shared" si="25"/>
        <v>0</v>
      </c>
      <c r="AB134" s="741">
        <f t="shared" si="26"/>
        <v>0</v>
      </c>
      <c r="AC134" s="987">
        <f t="shared" si="36"/>
        <v>0</v>
      </c>
      <c r="AD134" s="987">
        <f t="shared" si="37"/>
        <v>0</v>
      </c>
      <c r="AE134" s="368" t="str">
        <f>IFERROR(VLOOKUP(B134,'[1]סיכום בקרת רשויות'!$A:$D,4,0),"")</f>
        <v/>
      </c>
      <c r="AF134" s="57" t="str">
        <f t="shared" si="38"/>
        <v/>
      </c>
      <c r="AG134" s="180">
        <f>IF(AF134="כן",M134*'גנים ובתי ספר- מבנה תקציב'!$H$59,0)</f>
        <v>0</v>
      </c>
      <c r="AH134" s="180">
        <f>IF(AF134="כן",M134*'גנים ובתי ספר- מבנה תקציב'!$I$59,0)</f>
        <v>0</v>
      </c>
      <c r="AI134" s="180">
        <f t="shared" si="39"/>
        <v>0</v>
      </c>
      <c r="AJ134" s="368" t="str">
        <f t="shared" si="27"/>
        <v/>
      </c>
    </row>
    <row r="135" spans="1:36" x14ac:dyDescent="0.25">
      <c r="A135" s="57">
        <v>115</v>
      </c>
      <c r="B135" s="690"/>
      <c r="C135" s="690"/>
      <c r="D135" s="252">
        <f>(IFERROR(SUMIF('מצבת והרשמה (2)'!$F$21:$F$501,'דוח ביצוע (3)'!$B135,'מצבת והרשמה (2)'!$J$21:$J$501),0))</f>
        <v>0</v>
      </c>
      <c r="E135" s="252">
        <f>IFERROR(SUMIF('מצבת והרשמה (2)'!$F$21:$F$501,'דוח ביצוע (3)'!$B135,'מצבת והרשמה (2)'!$K$21:$K$501),0)</f>
        <v>0</v>
      </c>
      <c r="F135" s="253">
        <f t="shared" si="28"/>
        <v>0</v>
      </c>
      <c r="G135" s="680"/>
      <c r="H135" s="680"/>
      <c r="I135" s="253">
        <f t="shared" ref="I135:I198" si="40">H135+G135</f>
        <v>0</v>
      </c>
      <c r="J135" s="453">
        <f t="shared" si="29"/>
        <v>0</v>
      </c>
      <c r="K135" s="689"/>
      <c r="L135" s="689"/>
      <c r="M135" s="969">
        <f t="shared" si="30"/>
        <v>0</v>
      </c>
      <c r="N135" s="1029" t="str">
        <f t="shared" si="31"/>
        <v/>
      </c>
      <c r="O135" s="969" t="str">
        <f>IFERROR(VLOOKUP(B135,'נתוני רישום ומצבת'!B:Q,16,0),"")</f>
        <v/>
      </c>
      <c r="P135" s="969" t="str">
        <f>IFERROR(VLOOKUP(B135,'נתוני רישום ומצבת'!B:R,17,0),"")</f>
        <v/>
      </c>
      <c r="Q135" s="690"/>
      <c r="R135" s="1009"/>
      <c r="S135" s="376">
        <f t="shared" si="32"/>
        <v>0</v>
      </c>
      <c r="T135" s="376">
        <f t="shared" si="33"/>
        <v>0</v>
      </c>
      <c r="U135" s="386">
        <f t="shared" si="34"/>
        <v>0</v>
      </c>
      <c r="V135" s="513" t="str">
        <f t="shared" si="35"/>
        <v/>
      </c>
      <c r="W135" s="254" t="str">
        <f>IF(ISBLANK(B135)," ",IF(B135=IFERROR(VLOOKUP(B135,'מצבת והרשמה (2)'!F:F,1,0),0),"תקין","לא קיים במצבת כבית ספר בו מתקיימת פעילות"))</f>
        <v xml:space="preserve"> </v>
      </c>
      <c r="X135" s="256" t="str">
        <f t="shared" si="22"/>
        <v/>
      </c>
      <c r="Y135" s="256" t="str">
        <f t="shared" si="23"/>
        <v/>
      </c>
      <c r="Z135" s="741">
        <f t="shared" si="24"/>
        <v>0</v>
      </c>
      <c r="AA135" s="741">
        <f t="shared" si="25"/>
        <v>0</v>
      </c>
      <c r="AB135" s="741">
        <f t="shared" si="26"/>
        <v>0</v>
      </c>
      <c r="AC135" s="987">
        <f t="shared" si="36"/>
        <v>0</v>
      </c>
      <c r="AD135" s="987">
        <f t="shared" si="37"/>
        <v>0</v>
      </c>
      <c r="AE135" s="368" t="str">
        <f>IFERROR(VLOOKUP(B135,'[1]סיכום בקרת רשויות'!$A:$D,4,0),"")</f>
        <v/>
      </c>
      <c r="AF135" s="57" t="str">
        <f t="shared" si="38"/>
        <v/>
      </c>
      <c r="AG135" s="180">
        <f>IF(AF135="כן",M135*'גנים ובתי ספר- מבנה תקציב'!$H$59,0)</f>
        <v>0</v>
      </c>
      <c r="AH135" s="180">
        <f>IF(AF135="כן",M135*'גנים ובתי ספר- מבנה תקציב'!$I$59,0)</f>
        <v>0</v>
      </c>
      <c r="AI135" s="180">
        <f t="shared" si="39"/>
        <v>0</v>
      </c>
      <c r="AJ135" s="368" t="str">
        <f t="shared" si="27"/>
        <v/>
      </c>
    </row>
    <row r="136" spans="1:36" x14ac:dyDescent="0.25">
      <c r="A136" s="57">
        <v>116</v>
      </c>
      <c r="B136" s="690"/>
      <c r="C136" s="690"/>
      <c r="D136" s="252">
        <f>(IFERROR(SUMIF('מצבת והרשמה (2)'!$F$21:$F$501,'דוח ביצוע (3)'!$B136,'מצבת והרשמה (2)'!$J$21:$J$501),0))</f>
        <v>0</v>
      </c>
      <c r="E136" s="252">
        <f>IFERROR(SUMIF('מצבת והרשמה (2)'!$F$21:$F$501,'דוח ביצוע (3)'!$B136,'מצבת והרשמה (2)'!$K$21:$K$501),0)</f>
        <v>0</v>
      </c>
      <c r="F136" s="253">
        <f t="shared" si="28"/>
        <v>0</v>
      </c>
      <c r="G136" s="680"/>
      <c r="H136" s="680"/>
      <c r="I136" s="253">
        <f t="shared" si="40"/>
        <v>0</v>
      </c>
      <c r="J136" s="453">
        <f t="shared" si="29"/>
        <v>0</v>
      </c>
      <c r="K136" s="689"/>
      <c r="L136" s="689"/>
      <c r="M136" s="969">
        <f t="shared" si="30"/>
        <v>0</v>
      </c>
      <c r="N136" s="1029" t="str">
        <f t="shared" si="31"/>
        <v/>
      </c>
      <c r="O136" s="969" t="str">
        <f>IFERROR(VLOOKUP(B136,'נתוני רישום ומצבת'!B:Q,16,0),"")</f>
        <v/>
      </c>
      <c r="P136" s="969" t="str">
        <f>IFERROR(VLOOKUP(B136,'נתוני רישום ומצבת'!B:R,17,0),"")</f>
        <v/>
      </c>
      <c r="Q136" s="690"/>
      <c r="R136" s="1009"/>
      <c r="S136" s="376">
        <f t="shared" si="32"/>
        <v>0</v>
      </c>
      <c r="T136" s="376">
        <f t="shared" si="33"/>
        <v>0</v>
      </c>
      <c r="U136" s="386">
        <f t="shared" si="34"/>
        <v>0</v>
      </c>
      <c r="V136" s="513" t="str">
        <f t="shared" si="35"/>
        <v/>
      </c>
      <c r="W136" s="254" t="str">
        <f>IF(ISBLANK(B136)," ",IF(B136=IFERROR(VLOOKUP(B136,'מצבת והרשמה (2)'!F:F,1,0),0),"תקין","לא קיים במצבת כבית ספר בו מתקיימת פעילות"))</f>
        <v xml:space="preserve"> </v>
      </c>
      <c r="X136" s="256" t="str">
        <f t="shared" si="22"/>
        <v/>
      </c>
      <c r="Y136" s="256" t="str">
        <f t="shared" si="23"/>
        <v/>
      </c>
      <c r="Z136" s="741">
        <f t="shared" si="24"/>
        <v>0</v>
      </c>
      <c r="AA136" s="741">
        <f t="shared" si="25"/>
        <v>0</v>
      </c>
      <c r="AB136" s="741">
        <f t="shared" si="26"/>
        <v>0</v>
      </c>
      <c r="AC136" s="987">
        <f t="shared" si="36"/>
        <v>0</v>
      </c>
      <c r="AD136" s="987">
        <f t="shared" si="37"/>
        <v>0</v>
      </c>
      <c r="AE136" s="368" t="str">
        <f>IFERROR(VLOOKUP(B136,'[1]סיכום בקרת רשויות'!$A:$D,4,0),"")</f>
        <v/>
      </c>
      <c r="AF136" s="57" t="str">
        <f t="shared" si="38"/>
        <v/>
      </c>
      <c r="AG136" s="180">
        <f>IF(AF136="כן",M136*'גנים ובתי ספר- מבנה תקציב'!$H$59,0)</f>
        <v>0</v>
      </c>
      <c r="AH136" s="180">
        <f>IF(AF136="כן",M136*'גנים ובתי ספר- מבנה תקציב'!$I$59,0)</f>
        <v>0</v>
      </c>
      <c r="AI136" s="180">
        <f t="shared" si="39"/>
        <v>0</v>
      </c>
      <c r="AJ136" s="368" t="str">
        <f t="shared" si="27"/>
        <v/>
      </c>
    </row>
    <row r="137" spans="1:36" x14ac:dyDescent="0.25">
      <c r="A137" s="57">
        <v>117</v>
      </c>
      <c r="B137" s="690"/>
      <c r="C137" s="690"/>
      <c r="D137" s="252">
        <f>(IFERROR(SUMIF('מצבת והרשמה (2)'!$F$21:$F$501,'דוח ביצוע (3)'!$B137,'מצבת והרשמה (2)'!$J$21:$J$501),0))</f>
        <v>0</v>
      </c>
      <c r="E137" s="252">
        <f>IFERROR(SUMIF('מצבת והרשמה (2)'!$F$21:$F$501,'דוח ביצוע (3)'!$B137,'מצבת והרשמה (2)'!$K$21:$K$501),0)</f>
        <v>0</v>
      </c>
      <c r="F137" s="253">
        <f t="shared" si="28"/>
        <v>0</v>
      </c>
      <c r="G137" s="680"/>
      <c r="H137" s="680"/>
      <c r="I137" s="253">
        <f t="shared" si="40"/>
        <v>0</v>
      </c>
      <c r="J137" s="453">
        <f t="shared" si="29"/>
        <v>0</v>
      </c>
      <c r="K137" s="689"/>
      <c r="L137" s="689"/>
      <c r="M137" s="969">
        <f t="shared" si="30"/>
        <v>0</v>
      </c>
      <c r="N137" s="1029" t="str">
        <f t="shared" si="31"/>
        <v/>
      </c>
      <c r="O137" s="969" t="str">
        <f>IFERROR(VLOOKUP(B137,'נתוני רישום ומצבת'!B:Q,16,0),"")</f>
        <v/>
      </c>
      <c r="P137" s="969" t="str">
        <f>IFERROR(VLOOKUP(B137,'נתוני רישום ומצבת'!B:R,17,0),"")</f>
        <v/>
      </c>
      <c r="Q137" s="690"/>
      <c r="R137" s="1009"/>
      <c r="S137" s="376">
        <f t="shared" si="32"/>
        <v>0</v>
      </c>
      <c r="T137" s="376">
        <f t="shared" si="33"/>
        <v>0</v>
      </c>
      <c r="U137" s="386">
        <f t="shared" si="34"/>
        <v>0</v>
      </c>
      <c r="V137" s="513" t="str">
        <f t="shared" si="35"/>
        <v/>
      </c>
      <c r="W137" s="254" t="str">
        <f>IF(ISBLANK(B137)," ",IF(B137=IFERROR(VLOOKUP(B137,'מצבת והרשמה (2)'!F:F,1,0),0),"תקין","לא קיים במצבת כבית ספר בו מתקיימת פעילות"))</f>
        <v xml:space="preserve"> </v>
      </c>
      <c r="X137" s="256" t="str">
        <f t="shared" si="22"/>
        <v/>
      </c>
      <c r="Y137" s="256" t="str">
        <f t="shared" si="23"/>
        <v/>
      </c>
      <c r="Z137" s="741">
        <f t="shared" si="24"/>
        <v>0</v>
      </c>
      <c r="AA137" s="741">
        <f t="shared" si="25"/>
        <v>0</v>
      </c>
      <c r="AB137" s="741">
        <f t="shared" si="26"/>
        <v>0</v>
      </c>
      <c r="AC137" s="987">
        <f t="shared" si="36"/>
        <v>0</v>
      </c>
      <c r="AD137" s="987">
        <f t="shared" si="37"/>
        <v>0</v>
      </c>
      <c r="AE137" s="368" t="str">
        <f>IFERROR(VLOOKUP(B137,'[1]סיכום בקרת רשויות'!$A:$D,4,0),"")</f>
        <v/>
      </c>
      <c r="AF137" s="57" t="str">
        <f t="shared" si="38"/>
        <v/>
      </c>
      <c r="AG137" s="180">
        <f>IF(AF137="כן",M137*'גנים ובתי ספר- מבנה תקציב'!$H$59,0)</f>
        <v>0</v>
      </c>
      <c r="AH137" s="180">
        <f>IF(AF137="כן",M137*'גנים ובתי ספר- מבנה תקציב'!$I$59,0)</f>
        <v>0</v>
      </c>
      <c r="AI137" s="180">
        <f t="shared" si="39"/>
        <v>0</v>
      </c>
      <c r="AJ137" s="368" t="str">
        <f t="shared" si="27"/>
        <v/>
      </c>
    </row>
    <row r="138" spans="1:36" x14ac:dyDescent="0.25">
      <c r="A138" s="57">
        <v>118</v>
      </c>
      <c r="B138" s="690"/>
      <c r="C138" s="690"/>
      <c r="D138" s="252">
        <f>(IFERROR(SUMIF('מצבת והרשמה (2)'!$F$21:$F$501,'דוח ביצוע (3)'!$B138,'מצבת והרשמה (2)'!$J$21:$J$501),0))</f>
        <v>0</v>
      </c>
      <c r="E138" s="252">
        <f>IFERROR(SUMIF('מצבת והרשמה (2)'!$F$21:$F$501,'דוח ביצוע (3)'!$B138,'מצבת והרשמה (2)'!$K$21:$K$501),0)</f>
        <v>0</v>
      </c>
      <c r="F138" s="253">
        <f t="shared" si="28"/>
        <v>0</v>
      </c>
      <c r="G138" s="680"/>
      <c r="H138" s="680"/>
      <c r="I138" s="253">
        <f t="shared" si="40"/>
        <v>0</v>
      </c>
      <c r="J138" s="453">
        <f t="shared" si="29"/>
        <v>0</v>
      </c>
      <c r="K138" s="689"/>
      <c r="L138" s="689"/>
      <c r="M138" s="969">
        <f t="shared" si="30"/>
        <v>0</v>
      </c>
      <c r="N138" s="1029" t="str">
        <f t="shared" si="31"/>
        <v/>
      </c>
      <c r="O138" s="969" t="str">
        <f>IFERROR(VLOOKUP(B138,'נתוני רישום ומצבת'!B:Q,16,0),"")</f>
        <v/>
      </c>
      <c r="P138" s="969" t="str">
        <f>IFERROR(VLOOKUP(B138,'נתוני רישום ומצבת'!B:R,17,0),"")</f>
        <v/>
      </c>
      <c r="Q138" s="690"/>
      <c r="R138" s="1009"/>
      <c r="S138" s="376">
        <f t="shared" si="32"/>
        <v>0</v>
      </c>
      <c r="T138" s="376">
        <f t="shared" si="33"/>
        <v>0</v>
      </c>
      <c r="U138" s="386">
        <f t="shared" si="34"/>
        <v>0</v>
      </c>
      <c r="V138" s="513" t="str">
        <f t="shared" si="35"/>
        <v/>
      </c>
      <c r="W138" s="254" t="str">
        <f>IF(ISBLANK(B138)," ",IF(B138=IFERROR(VLOOKUP(B138,'מצבת והרשמה (2)'!F:F,1,0),0),"תקין","לא קיים במצבת כבית ספר בו מתקיימת פעילות"))</f>
        <v xml:space="preserve"> </v>
      </c>
      <c r="X138" s="256" t="str">
        <f t="shared" si="22"/>
        <v/>
      </c>
      <c r="Y138" s="256" t="str">
        <f t="shared" si="23"/>
        <v/>
      </c>
      <c r="Z138" s="741">
        <f t="shared" si="24"/>
        <v>0</v>
      </c>
      <c r="AA138" s="741">
        <f t="shared" si="25"/>
        <v>0</v>
      </c>
      <c r="AB138" s="741">
        <f t="shared" si="26"/>
        <v>0</v>
      </c>
      <c r="AC138" s="987">
        <f t="shared" si="36"/>
        <v>0</v>
      </c>
      <c r="AD138" s="987">
        <f t="shared" si="37"/>
        <v>0</v>
      </c>
      <c r="AE138" s="368" t="str">
        <f>IFERROR(VLOOKUP(B138,'[1]סיכום בקרת רשויות'!$A:$D,4,0),"")</f>
        <v/>
      </c>
      <c r="AF138" s="57" t="str">
        <f t="shared" si="38"/>
        <v/>
      </c>
      <c r="AG138" s="180">
        <f>IF(AF138="כן",M138*'גנים ובתי ספר- מבנה תקציב'!$H$59,0)</f>
        <v>0</v>
      </c>
      <c r="AH138" s="180">
        <f>IF(AF138="כן",M138*'גנים ובתי ספר- מבנה תקציב'!$I$59,0)</f>
        <v>0</v>
      </c>
      <c r="AI138" s="180">
        <f t="shared" si="39"/>
        <v>0</v>
      </c>
      <c r="AJ138" s="368" t="str">
        <f t="shared" si="27"/>
        <v/>
      </c>
    </row>
    <row r="139" spans="1:36" x14ac:dyDescent="0.25">
      <c r="A139" s="57">
        <v>119</v>
      </c>
      <c r="B139" s="690"/>
      <c r="C139" s="690"/>
      <c r="D139" s="252">
        <f>(IFERROR(SUMIF('מצבת והרשמה (2)'!$F$21:$F$501,'דוח ביצוע (3)'!$B139,'מצבת והרשמה (2)'!$J$21:$J$501),0))</f>
        <v>0</v>
      </c>
      <c r="E139" s="252">
        <f>IFERROR(SUMIF('מצבת והרשמה (2)'!$F$21:$F$501,'דוח ביצוע (3)'!$B139,'מצבת והרשמה (2)'!$K$21:$K$501),0)</f>
        <v>0</v>
      </c>
      <c r="F139" s="253">
        <f t="shared" si="28"/>
        <v>0</v>
      </c>
      <c r="G139" s="680"/>
      <c r="H139" s="680"/>
      <c r="I139" s="253">
        <f t="shared" si="40"/>
        <v>0</v>
      </c>
      <c r="J139" s="453">
        <f t="shared" si="29"/>
        <v>0</v>
      </c>
      <c r="K139" s="689"/>
      <c r="L139" s="689"/>
      <c r="M139" s="969">
        <f t="shared" si="30"/>
        <v>0</v>
      </c>
      <c r="N139" s="1029" t="str">
        <f t="shared" si="31"/>
        <v/>
      </c>
      <c r="O139" s="969" t="str">
        <f>IFERROR(VLOOKUP(B139,'נתוני רישום ומצבת'!B:Q,16,0),"")</f>
        <v/>
      </c>
      <c r="P139" s="969" t="str">
        <f>IFERROR(VLOOKUP(B139,'נתוני רישום ומצבת'!B:R,17,0),"")</f>
        <v/>
      </c>
      <c r="Q139" s="690"/>
      <c r="R139" s="1009"/>
      <c r="S139" s="376">
        <f t="shared" si="32"/>
        <v>0</v>
      </c>
      <c r="T139" s="376">
        <f t="shared" si="33"/>
        <v>0</v>
      </c>
      <c r="U139" s="386">
        <f t="shared" si="34"/>
        <v>0</v>
      </c>
      <c r="V139" s="513" t="str">
        <f t="shared" si="35"/>
        <v/>
      </c>
      <c r="W139" s="254" t="str">
        <f>IF(ISBLANK(B139)," ",IF(B139=IFERROR(VLOOKUP(B139,'מצבת והרשמה (2)'!F:F,1,0),0),"תקין","לא קיים במצבת כבית ספר בו מתקיימת פעילות"))</f>
        <v xml:space="preserve"> </v>
      </c>
      <c r="X139" s="256" t="str">
        <f t="shared" si="22"/>
        <v/>
      </c>
      <c r="Y139" s="256" t="str">
        <f t="shared" si="23"/>
        <v/>
      </c>
      <c r="Z139" s="741">
        <f t="shared" si="24"/>
        <v>0</v>
      </c>
      <c r="AA139" s="741">
        <f t="shared" si="25"/>
        <v>0</v>
      </c>
      <c r="AB139" s="741">
        <f t="shared" si="26"/>
        <v>0</v>
      </c>
      <c r="AC139" s="987">
        <f t="shared" si="36"/>
        <v>0</v>
      </c>
      <c r="AD139" s="987">
        <f t="shared" si="37"/>
        <v>0</v>
      </c>
      <c r="AE139" s="368" t="str">
        <f>IFERROR(VLOOKUP(B139,'[1]סיכום בקרת רשויות'!$A:$D,4,0),"")</f>
        <v/>
      </c>
      <c r="AF139" s="57" t="str">
        <f t="shared" si="38"/>
        <v/>
      </c>
      <c r="AG139" s="180">
        <f>IF(AF139="כן",M139*'גנים ובתי ספר- מבנה תקציב'!$H$59,0)</f>
        <v>0</v>
      </c>
      <c r="AH139" s="180">
        <f>IF(AF139="כן",M139*'גנים ובתי ספר- מבנה תקציב'!$I$59,0)</f>
        <v>0</v>
      </c>
      <c r="AI139" s="180">
        <f t="shared" si="39"/>
        <v>0</v>
      </c>
      <c r="AJ139" s="368" t="str">
        <f t="shared" si="27"/>
        <v/>
      </c>
    </row>
    <row r="140" spans="1:36" x14ac:dyDescent="0.25">
      <c r="A140" s="57">
        <v>120</v>
      </c>
      <c r="B140" s="690"/>
      <c r="C140" s="690"/>
      <c r="D140" s="252">
        <f>(IFERROR(SUMIF('מצבת והרשמה (2)'!$F$21:$F$501,'דוח ביצוע (3)'!$B140,'מצבת והרשמה (2)'!$J$21:$J$501),0))</f>
        <v>0</v>
      </c>
      <c r="E140" s="252">
        <f>IFERROR(SUMIF('מצבת והרשמה (2)'!$F$21:$F$501,'דוח ביצוע (3)'!$B140,'מצבת והרשמה (2)'!$K$21:$K$501),0)</f>
        <v>0</v>
      </c>
      <c r="F140" s="253">
        <f t="shared" si="28"/>
        <v>0</v>
      </c>
      <c r="G140" s="680"/>
      <c r="H140" s="680"/>
      <c r="I140" s="253">
        <f t="shared" si="40"/>
        <v>0</v>
      </c>
      <c r="J140" s="453">
        <f t="shared" si="29"/>
        <v>0</v>
      </c>
      <c r="K140" s="689"/>
      <c r="L140" s="689"/>
      <c r="M140" s="969">
        <f t="shared" si="30"/>
        <v>0</v>
      </c>
      <c r="N140" s="1029" t="str">
        <f t="shared" si="31"/>
        <v/>
      </c>
      <c r="O140" s="969" t="str">
        <f>IFERROR(VLOOKUP(B140,'נתוני רישום ומצבת'!B:Q,16,0),"")</f>
        <v/>
      </c>
      <c r="P140" s="969" t="str">
        <f>IFERROR(VLOOKUP(B140,'נתוני רישום ומצבת'!B:R,17,0),"")</f>
        <v/>
      </c>
      <c r="Q140" s="690"/>
      <c r="R140" s="1009"/>
      <c r="S140" s="376">
        <f t="shared" si="32"/>
        <v>0</v>
      </c>
      <c r="T140" s="376">
        <f t="shared" si="33"/>
        <v>0</v>
      </c>
      <c r="U140" s="386">
        <f t="shared" si="34"/>
        <v>0</v>
      </c>
      <c r="V140" s="513" t="str">
        <f t="shared" si="35"/>
        <v/>
      </c>
      <c r="W140" s="254" t="str">
        <f>IF(ISBLANK(B140)," ",IF(B140=IFERROR(VLOOKUP(B140,'מצבת והרשמה (2)'!F:F,1,0),0),"תקין","לא קיים במצבת כבית ספר בו מתקיימת פעילות"))</f>
        <v xml:space="preserve"> </v>
      </c>
      <c r="X140" s="256" t="str">
        <f t="shared" si="22"/>
        <v/>
      </c>
      <c r="Y140" s="256" t="str">
        <f t="shared" si="23"/>
        <v/>
      </c>
      <c r="Z140" s="741">
        <f t="shared" si="24"/>
        <v>0</v>
      </c>
      <c r="AA140" s="741">
        <f t="shared" si="25"/>
        <v>0</v>
      </c>
      <c r="AB140" s="741">
        <f t="shared" si="26"/>
        <v>0</v>
      </c>
      <c r="AC140" s="987">
        <f t="shared" si="36"/>
        <v>0</v>
      </c>
      <c r="AD140" s="987">
        <f t="shared" si="37"/>
        <v>0</v>
      </c>
      <c r="AE140" s="368" t="str">
        <f>IFERROR(VLOOKUP(B140,'[1]סיכום בקרת רשויות'!$A:$D,4,0),"")</f>
        <v/>
      </c>
      <c r="AF140" s="57" t="str">
        <f t="shared" si="38"/>
        <v/>
      </c>
      <c r="AG140" s="180">
        <f>IF(AF140="כן",M140*'גנים ובתי ספר- מבנה תקציב'!$H$59,0)</f>
        <v>0</v>
      </c>
      <c r="AH140" s="180">
        <f>IF(AF140="כן",M140*'גנים ובתי ספר- מבנה תקציב'!$I$59,0)</f>
        <v>0</v>
      </c>
      <c r="AI140" s="180">
        <f t="shared" si="39"/>
        <v>0</v>
      </c>
      <c r="AJ140" s="368" t="str">
        <f t="shared" si="27"/>
        <v/>
      </c>
    </row>
    <row r="141" spans="1:36" x14ac:dyDescent="0.25">
      <c r="A141" s="57">
        <v>121</v>
      </c>
      <c r="B141" s="690"/>
      <c r="C141" s="690"/>
      <c r="D141" s="252">
        <f>(IFERROR(SUMIF('מצבת והרשמה (2)'!$F$21:$F$501,'דוח ביצוע (3)'!$B141,'מצבת והרשמה (2)'!$J$21:$J$501),0))</f>
        <v>0</v>
      </c>
      <c r="E141" s="252">
        <f>IFERROR(SUMIF('מצבת והרשמה (2)'!$F$21:$F$501,'דוח ביצוע (3)'!$B141,'מצבת והרשמה (2)'!$K$21:$K$501),0)</f>
        <v>0</v>
      </c>
      <c r="F141" s="253">
        <f t="shared" si="28"/>
        <v>0</v>
      </c>
      <c r="G141" s="680"/>
      <c r="H141" s="680"/>
      <c r="I141" s="253">
        <f t="shared" si="40"/>
        <v>0</v>
      </c>
      <c r="J141" s="453">
        <f t="shared" si="29"/>
        <v>0</v>
      </c>
      <c r="K141" s="689"/>
      <c r="L141" s="689"/>
      <c r="M141" s="969">
        <f t="shared" si="30"/>
        <v>0</v>
      </c>
      <c r="N141" s="1029" t="str">
        <f t="shared" si="31"/>
        <v/>
      </c>
      <c r="O141" s="969" t="str">
        <f>IFERROR(VLOOKUP(B141,'נתוני רישום ומצבת'!B:Q,16,0),"")</f>
        <v/>
      </c>
      <c r="P141" s="969" t="str">
        <f>IFERROR(VLOOKUP(B141,'נתוני רישום ומצבת'!B:R,17,0),"")</f>
        <v/>
      </c>
      <c r="Q141" s="690"/>
      <c r="R141" s="1009"/>
      <c r="S141" s="376">
        <f t="shared" si="32"/>
        <v>0</v>
      </c>
      <c r="T141" s="376">
        <f t="shared" si="33"/>
        <v>0</v>
      </c>
      <c r="U141" s="386">
        <f t="shared" si="34"/>
        <v>0</v>
      </c>
      <c r="V141" s="513" t="str">
        <f t="shared" si="35"/>
        <v/>
      </c>
      <c r="W141" s="254" t="str">
        <f>IF(ISBLANK(B141)," ",IF(B141=IFERROR(VLOOKUP(B141,'מצבת והרשמה (2)'!F:F,1,0),0),"תקין","לא קיים במצבת כבית ספר בו מתקיימת פעילות"))</f>
        <v xml:space="preserve"> </v>
      </c>
      <c r="X141" s="256" t="str">
        <f t="shared" si="22"/>
        <v/>
      </c>
      <c r="Y141" s="256" t="str">
        <f t="shared" si="23"/>
        <v/>
      </c>
      <c r="Z141" s="741">
        <f t="shared" si="24"/>
        <v>0</v>
      </c>
      <c r="AA141" s="741">
        <f t="shared" si="25"/>
        <v>0</v>
      </c>
      <c r="AB141" s="741">
        <f t="shared" si="26"/>
        <v>0</v>
      </c>
      <c r="AC141" s="987">
        <f t="shared" si="36"/>
        <v>0</v>
      </c>
      <c r="AD141" s="987">
        <f t="shared" si="37"/>
        <v>0</v>
      </c>
      <c r="AE141" s="368" t="str">
        <f>IFERROR(VLOOKUP(B141,'[1]סיכום בקרת רשויות'!$A:$D,4,0),"")</f>
        <v/>
      </c>
      <c r="AF141" s="57" t="str">
        <f t="shared" si="38"/>
        <v/>
      </c>
      <c r="AG141" s="180">
        <f>IF(AF141="כן",M141*'גנים ובתי ספר- מבנה תקציב'!$H$59,0)</f>
        <v>0</v>
      </c>
      <c r="AH141" s="180">
        <f>IF(AF141="כן",M141*'גנים ובתי ספר- מבנה תקציב'!$I$59,0)</f>
        <v>0</v>
      </c>
      <c r="AI141" s="180">
        <f t="shared" si="39"/>
        <v>0</v>
      </c>
      <c r="AJ141" s="368" t="str">
        <f t="shared" si="27"/>
        <v/>
      </c>
    </row>
    <row r="142" spans="1:36" x14ac:dyDescent="0.25">
      <c r="A142" s="57">
        <v>122</v>
      </c>
      <c r="B142" s="690"/>
      <c r="C142" s="690"/>
      <c r="D142" s="252">
        <f>(IFERROR(SUMIF('מצבת והרשמה (2)'!$F$21:$F$501,'דוח ביצוע (3)'!$B142,'מצבת והרשמה (2)'!$J$21:$J$501),0))</f>
        <v>0</v>
      </c>
      <c r="E142" s="252">
        <f>IFERROR(SUMIF('מצבת והרשמה (2)'!$F$21:$F$501,'דוח ביצוע (3)'!$B142,'מצבת והרשמה (2)'!$K$21:$K$501),0)</f>
        <v>0</v>
      </c>
      <c r="F142" s="253">
        <f t="shared" si="28"/>
        <v>0</v>
      </c>
      <c r="G142" s="680"/>
      <c r="H142" s="680"/>
      <c r="I142" s="253">
        <f t="shared" si="40"/>
        <v>0</v>
      </c>
      <c r="J142" s="453">
        <f t="shared" si="29"/>
        <v>0</v>
      </c>
      <c r="K142" s="689"/>
      <c r="L142" s="689"/>
      <c r="M142" s="969">
        <f t="shared" si="30"/>
        <v>0</v>
      </c>
      <c r="N142" s="1029" t="str">
        <f t="shared" si="31"/>
        <v/>
      </c>
      <c r="O142" s="969" t="str">
        <f>IFERROR(VLOOKUP(B142,'נתוני רישום ומצבת'!B:Q,16,0),"")</f>
        <v/>
      </c>
      <c r="P142" s="969" t="str">
        <f>IFERROR(VLOOKUP(B142,'נתוני רישום ומצבת'!B:R,17,0),"")</f>
        <v/>
      </c>
      <c r="Q142" s="690"/>
      <c r="R142" s="1009"/>
      <c r="S142" s="376">
        <f t="shared" si="32"/>
        <v>0</v>
      </c>
      <c r="T142" s="376">
        <f t="shared" si="33"/>
        <v>0</v>
      </c>
      <c r="U142" s="386">
        <f t="shared" si="34"/>
        <v>0</v>
      </c>
      <c r="V142" s="513" t="str">
        <f t="shared" si="35"/>
        <v/>
      </c>
      <c r="W142" s="254" t="str">
        <f>IF(ISBLANK(B142)," ",IF(B142=IFERROR(VLOOKUP(B142,'מצבת והרשמה (2)'!F:F,1,0),0),"תקין","לא קיים במצבת כבית ספר בו מתקיימת פעילות"))</f>
        <v xml:space="preserve"> </v>
      </c>
      <c r="X142" s="256" t="str">
        <f t="shared" si="22"/>
        <v/>
      </c>
      <c r="Y142" s="256" t="str">
        <f t="shared" si="23"/>
        <v/>
      </c>
      <c r="Z142" s="741">
        <f t="shared" si="24"/>
        <v>0</v>
      </c>
      <c r="AA142" s="741">
        <f t="shared" si="25"/>
        <v>0</v>
      </c>
      <c r="AB142" s="741">
        <f t="shared" si="26"/>
        <v>0</v>
      </c>
      <c r="AC142" s="987">
        <f t="shared" si="36"/>
        <v>0</v>
      </c>
      <c r="AD142" s="987">
        <f t="shared" si="37"/>
        <v>0</v>
      </c>
      <c r="AE142" s="368" t="str">
        <f>IFERROR(VLOOKUP(B142,'[1]סיכום בקרת רשויות'!$A:$D,4,0),"")</f>
        <v/>
      </c>
      <c r="AF142" s="57" t="str">
        <f t="shared" si="38"/>
        <v/>
      </c>
      <c r="AG142" s="180">
        <f>IF(AF142="כן",M142*'גנים ובתי ספר- מבנה תקציב'!$H$59,0)</f>
        <v>0</v>
      </c>
      <c r="AH142" s="180">
        <f>IF(AF142="כן",M142*'גנים ובתי ספר- מבנה תקציב'!$I$59,0)</f>
        <v>0</v>
      </c>
      <c r="AI142" s="180">
        <f t="shared" si="39"/>
        <v>0</v>
      </c>
      <c r="AJ142" s="368" t="str">
        <f t="shared" si="27"/>
        <v/>
      </c>
    </row>
    <row r="143" spans="1:36" x14ac:dyDescent="0.25">
      <c r="A143" s="57">
        <v>123</v>
      </c>
      <c r="B143" s="690"/>
      <c r="C143" s="690"/>
      <c r="D143" s="252">
        <f>(IFERROR(SUMIF('מצבת והרשמה (2)'!$F$21:$F$501,'דוח ביצוע (3)'!$B143,'מצבת והרשמה (2)'!$J$21:$J$501),0))</f>
        <v>0</v>
      </c>
      <c r="E143" s="252">
        <f>IFERROR(SUMIF('מצבת והרשמה (2)'!$F$21:$F$501,'דוח ביצוע (3)'!$B143,'מצבת והרשמה (2)'!$K$21:$K$501),0)</f>
        <v>0</v>
      </c>
      <c r="F143" s="253">
        <f t="shared" si="28"/>
        <v>0</v>
      </c>
      <c r="G143" s="680"/>
      <c r="H143" s="680"/>
      <c r="I143" s="253">
        <f t="shared" si="40"/>
        <v>0</v>
      </c>
      <c r="J143" s="453">
        <f t="shared" si="29"/>
        <v>0</v>
      </c>
      <c r="K143" s="689"/>
      <c r="L143" s="689"/>
      <c r="M143" s="969">
        <f t="shared" si="30"/>
        <v>0</v>
      </c>
      <c r="N143" s="1029" t="str">
        <f t="shared" si="31"/>
        <v/>
      </c>
      <c r="O143" s="969" t="str">
        <f>IFERROR(VLOOKUP(B143,'נתוני רישום ומצבת'!B:Q,16,0),"")</f>
        <v/>
      </c>
      <c r="P143" s="969" t="str">
        <f>IFERROR(VLOOKUP(B143,'נתוני רישום ומצבת'!B:R,17,0),"")</f>
        <v/>
      </c>
      <c r="Q143" s="690"/>
      <c r="R143" s="1009"/>
      <c r="S143" s="376">
        <f t="shared" si="32"/>
        <v>0</v>
      </c>
      <c r="T143" s="376">
        <f t="shared" si="33"/>
        <v>0</v>
      </c>
      <c r="U143" s="386">
        <f t="shared" si="34"/>
        <v>0</v>
      </c>
      <c r="V143" s="513" t="str">
        <f t="shared" si="35"/>
        <v/>
      </c>
      <c r="W143" s="254" t="str">
        <f>IF(ISBLANK(B143)," ",IF(B143=IFERROR(VLOOKUP(B143,'מצבת והרשמה (2)'!F:F,1,0),0),"תקין","לא קיים במצבת כבית ספר בו מתקיימת פעילות"))</f>
        <v xml:space="preserve"> </v>
      </c>
      <c r="X143" s="256" t="str">
        <f t="shared" si="22"/>
        <v/>
      </c>
      <c r="Y143" s="256" t="str">
        <f t="shared" si="23"/>
        <v/>
      </c>
      <c r="Z143" s="741">
        <f t="shared" si="24"/>
        <v>0</v>
      </c>
      <c r="AA143" s="741">
        <f t="shared" si="25"/>
        <v>0</v>
      </c>
      <c r="AB143" s="741">
        <f t="shared" si="26"/>
        <v>0</v>
      </c>
      <c r="AC143" s="987">
        <f t="shared" si="36"/>
        <v>0</v>
      </c>
      <c r="AD143" s="987">
        <f t="shared" si="37"/>
        <v>0</v>
      </c>
      <c r="AE143" s="368" t="str">
        <f>IFERROR(VLOOKUP(B143,'[1]סיכום בקרת רשויות'!$A:$D,4,0),"")</f>
        <v/>
      </c>
      <c r="AF143" s="57" t="str">
        <f t="shared" si="38"/>
        <v/>
      </c>
      <c r="AG143" s="180">
        <f>IF(AF143="כן",M143*'גנים ובתי ספר- מבנה תקציב'!$H$59,0)</f>
        <v>0</v>
      </c>
      <c r="AH143" s="180">
        <f>IF(AF143="כן",M143*'גנים ובתי ספר- מבנה תקציב'!$I$59,0)</f>
        <v>0</v>
      </c>
      <c r="AI143" s="180">
        <f t="shared" si="39"/>
        <v>0</v>
      </c>
      <c r="AJ143" s="368" t="str">
        <f t="shared" si="27"/>
        <v/>
      </c>
    </row>
    <row r="144" spans="1:36" x14ac:dyDescent="0.25">
      <c r="A144" s="57">
        <v>124</v>
      </c>
      <c r="B144" s="690"/>
      <c r="C144" s="690"/>
      <c r="D144" s="252">
        <f>(IFERROR(SUMIF('מצבת והרשמה (2)'!$F$21:$F$501,'דוח ביצוע (3)'!$B144,'מצבת והרשמה (2)'!$J$21:$J$501),0))</f>
        <v>0</v>
      </c>
      <c r="E144" s="252">
        <f>IFERROR(SUMIF('מצבת והרשמה (2)'!$F$21:$F$501,'דוח ביצוע (3)'!$B144,'מצבת והרשמה (2)'!$K$21:$K$501),0)</f>
        <v>0</v>
      </c>
      <c r="F144" s="253">
        <f t="shared" si="28"/>
        <v>0</v>
      </c>
      <c r="G144" s="680"/>
      <c r="H144" s="680"/>
      <c r="I144" s="253">
        <f t="shared" si="40"/>
        <v>0</v>
      </c>
      <c r="J144" s="453">
        <f t="shared" si="29"/>
        <v>0</v>
      </c>
      <c r="K144" s="689"/>
      <c r="L144" s="689"/>
      <c r="M144" s="969">
        <f t="shared" si="30"/>
        <v>0</v>
      </c>
      <c r="N144" s="1029" t="str">
        <f t="shared" si="31"/>
        <v/>
      </c>
      <c r="O144" s="969" t="str">
        <f>IFERROR(VLOOKUP(B144,'נתוני רישום ומצבת'!B:Q,16,0),"")</f>
        <v/>
      </c>
      <c r="P144" s="969" t="str">
        <f>IFERROR(VLOOKUP(B144,'נתוני רישום ומצבת'!B:R,17,0),"")</f>
        <v/>
      </c>
      <c r="Q144" s="690"/>
      <c r="R144" s="1009"/>
      <c r="S144" s="376">
        <f t="shared" si="32"/>
        <v>0</v>
      </c>
      <c r="T144" s="376">
        <f t="shared" si="33"/>
        <v>0</v>
      </c>
      <c r="U144" s="386">
        <f t="shared" si="34"/>
        <v>0</v>
      </c>
      <c r="V144" s="513" t="str">
        <f t="shared" si="35"/>
        <v/>
      </c>
      <c r="W144" s="254" t="str">
        <f>IF(ISBLANK(B144)," ",IF(B144=IFERROR(VLOOKUP(B144,'מצבת והרשמה (2)'!F:F,1,0),0),"תקין","לא קיים במצבת כבית ספר בו מתקיימת פעילות"))</f>
        <v xml:space="preserve"> </v>
      </c>
      <c r="X144" s="256" t="str">
        <f t="shared" si="22"/>
        <v/>
      </c>
      <c r="Y144" s="256" t="str">
        <f t="shared" si="23"/>
        <v/>
      </c>
      <c r="Z144" s="741">
        <f t="shared" si="24"/>
        <v>0</v>
      </c>
      <c r="AA144" s="741">
        <f t="shared" si="25"/>
        <v>0</v>
      </c>
      <c r="AB144" s="741">
        <f t="shared" si="26"/>
        <v>0</v>
      </c>
      <c r="AC144" s="987">
        <f t="shared" si="36"/>
        <v>0</v>
      </c>
      <c r="AD144" s="987">
        <f t="shared" si="37"/>
        <v>0</v>
      </c>
      <c r="AE144" s="368" t="str">
        <f>IFERROR(VLOOKUP(B144,'[1]סיכום בקרת רשויות'!$A:$D,4,0),"")</f>
        <v/>
      </c>
      <c r="AF144" s="57" t="str">
        <f t="shared" si="38"/>
        <v/>
      </c>
      <c r="AG144" s="180">
        <f>IF(AF144="כן",M144*'גנים ובתי ספר- מבנה תקציב'!$H$59,0)</f>
        <v>0</v>
      </c>
      <c r="AH144" s="180">
        <f>IF(AF144="כן",M144*'גנים ובתי ספר- מבנה תקציב'!$I$59,0)</f>
        <v>0</v>
      </c>
      <c r="AI144" s="180">
        <f t="shared" si="39"/>
        <v>0</v>
      </c>
      <c r="AJ144" s="368" t="str">
        <f t="shared" si="27"/>
        <v/>
      </c>
    </row>
    <row r="145" spans="1:36" x14ac:dyDescent="0.25">
      <c r="A145" s="57">
        <v>125</v>
      </c>
      <c r="B145" s="690"/>
      <c r="C145" s="690"/>
      <c r="D145" s="252">
        <f>(IFERROR(SUMIF('מצבת והרשמה (2)'!$F$21:$F$501,'דוח ביצוע (3)'!$B145,'מצבת והרשמה (2)'!$J$21:$J$501),0))</f>
        <v>0</v>
      </c>
      <c r="E145" s="252">
        <f>IFERROR(SUMIF('מצבת והרשמה (2)'!$F$21:$F$501,'דוח ביצוע (3)'!$B145,'מצבת והרשמה (2)'!$K$21:$K$501),0)</f>
        <v>0</v>
      </c>
      <c r="F145" s="253">
        <f t="shared" si="28"/>
        <v>0</v>
      </c>
      <c r="G145" s="680"/>
      <c r="H145" s="680"/>
      <c r="I145" s="253">
        <f t="shared" si="40"/>
        <v>0</v>
      </c>
      <c r="J145" s="453">
        <f t="shared" si="29"/>
        <v>0</v>
      </c>
      <c r="K145" s="689"/>
      <c r="L145" s="689"/>
      <c r="M145" s="969">
        <f t="shared" si="30"/>
        <v>0</v>
      </c>
      <c r="N145" s="1029" t="str">
        <f t="shared" si="31"/>
        <v/>
      </c>
      <c r="O145" s="969" t="str">
        <f>IFERROR(VLOOKUP(B145,'נתוני רישום ומצבת'!B:Q,16,0),"")</f>
        <v/>
      </c>
      <c r="P145" s="969" t="str">
        <f>IFERROR(VLOOKUP(B145,'נתוני רישום ומצבת'!B:R,17,0),"")</f>
        <v/>
      </c>
      <c r="Q145" s="690"/>
      <c r="R145" s="1009"/>
      <c r="S145" s="376">
        <f t="shared" si="32"/>
        <v>0</v>
      </c>
      <c r="T145" s="376">
        <f t="shared" si="33"/>
        <v>0</v>
      </c>
      <c r="U145" s="386">
        <f t="shared" si="34"/>
        <v>0</v>
      </c>
      <c r="V145" s="513" t="str">
        <f t="shared" si="35"/>
        <v/>
      </c>
      <c r="W145" s="254" t="str">
        <f>IF(ISBLANK(B145)," ",IF(B145=IFERROR(VLOOKUP(B145,'מצבת והרשמה (2)'!F:F,1,0),0),"תקין","לא קיים במצבת כבית ספר בו מתקיימת פעילות"))</f>
        <v xml:space="preserve"> </v>
      </c>
      <c r="X145" s="256" t="str">
        <f t="shared" si="22"/>
        <v/>
      </c>
      <c r="Y145" s="256" t="str">
        <f t="shared" si="23"/>
        <v/>
      </c>
      <c r="Z145" s="741">
        <f t="shared" si="24"/>
        <v>0</v>
      </c>
      <c r="AA145" s="741">
        <f t="shared" si="25"/>
        <v>0</v>
      </c>
      <c r="AB145" s="741">
        <f t="shared" si="26"/>
        <v>0</v>
      </c>
      <c r="AC145" s="987">
        <f t="shared" si="36"/>
        <v>0</v>
      </c>
      <c r="AD145" s="987">
        <f t="shared" si="37"/>
        <v>0</v>
      </c>
      <c r="AE145" s="368" t="str">
        <f>IFERROR(VLOOKUP(B145,'[1]סיכום בקרת רשויות'!$A:$D,4,0),"")</f>
        <v/>
      </c>
      <c r="AF145" s="57" t="str">
        <f t="shared" si="38"/>
        <v/>
      </c>
      <c r="AG145" s="180">
        <f>IF(AF145="כן",M145*'גנים ובתי ספר- מבנה תקציב'!$H$59,0)</f>
        <v>0</v>
      </c>
      <c r="AH145" s="180">
        <f>IF(AF145="כן",M145*'גנים ובתי ספר- מבנה תקציב'!$I$59,0)</f>
        <v>0</v>
      </c>
      <c r="AI145" s="180">
        <f t="shared" si="39"/>
        <v>0</v>
      </c>
      <c r="AJ145" s="368" t="str">
        <f t="shared" si="27"/>
        <v/>
      </c>
    </row>
    <row r="146" spans="1:36" x14ac:dyDescent="0.25">
      <c r="A146" s="57">
        <v>126</v>
      </c>
      <c r="B146" s="690"/>
      <c r="C146" s="690"/>
      <c r="D146" s="252">
        <f>(IFERROR(SUMIF('מצבת והרשמה (2)'!$F$21:$F$501,'דוח ביצוע (3)'!$B146,'מצבת והרשמה (2)'!$J$21:$J$501),0))</f>
        <v>0</v>
      </c>
      <c r="E146" s="252">
        <f>IFERROR(SUMIF('מצבת והרשמה (2)'!$F$21:$F$501,'דוח ביצוע (3)'!$B146,'מצבת והרשמה (2)'!$K$21:$K$501),0)</f>
        <v>0</v>
      </c>
      <c r="F146" s="253">
        <f t="shared" si="28"/>
        <v>0</v>
      </c>
      <c r="G146" s="680"/>
      <c r="H146" s="680"/>
      <c r="I146" s="253">
        <f t="shared" si="40"/>
        <v>0</v>
      </c>
      <c r="J146" s="453">
        <f t="shared" si="29"/>
        <v>0</v>
      </c>
      <c r="K146" s="689"/>
      <c r="L146" s="689"/>
      <c r="M146" s="969">
        <f t="shared" si="30"/>
        <v>0</v>
      </c>
      <c r="N146" s="1029" t="str">
        <f t="shared" si="31"/>
        <v/>
      </c>
      <c r="O146" s="969" t="str">
        <f>IFERROR(VLOOKUP(B146,'נתוני רישום ומצבת'!B:Q,16,0),"")</f>
        <v/>
      </c>
      <c r="P146" s="969" t="str">
        <f>IFERROR(VLOOKUP(B146,'נתוני רישום ומצבת'!B:R,17,0),"")</f>
        <v/>
      </c>
      <c r="Q146" s="690"/>
      <c r="R146" s="1009"/>
      <c r="S146" s="376">
        <f t="shared" si="32"/>
        <v>0</v>
      </c>
      <c r="T146" s="376">
        <f t="shared" si="33"/>
        <v>0</v>
      </c>
      <c r="U146" s="386">
        <f t="shared" si="34"/>
        <v>0</v>
      </c>
      <c r="V146" s="513" t="str">
        <f t="shared" si="35"/>
        <v/>
      </c>
      <c r="W146" s="254" t="str">
        <f>IF(ISBLANK(B146)," ",IF(B146=IFERROR(VLOOKUP(B146,'מצבת והרשמה (2)'!F:F,1,0),0),"תקין","לא קיים במצבת כבית ספר בו מתקיימת פעילות"))</f>
        <v xml:space="preserve"> </v>
      </c>
      <c r="X146" s="256" t="str">
        <f t="shared" si="22"/>
        <v/>
      </c>
      <c r="Y146" s="256" t="str">
        <f t="shared" si="23"/>
        <v/>
      </c>
      <c r="Z146" s="741">
        <f t="shared" si="24"/>
        <v>0</v>
      </c>
      <c r="AA146" s="741">
        <f t="shared" si="25"/>
        <v>0</v>
      </c>
      <c r="AB146" s="741">
        <f t="shared" si="26"/>
        <v>0</v>
      </c>
      <c r="AC146" s="987">
        <f t="shared" si="36"/>
        <v>0</v>
      </c>
      <c r="AD146" s="987">
        <f t="shared" si="37"/>
        <v>0</v>
      </c>
      <c r="AE146" s="368" t="str">
        <f>IFERROR(VLOOKUP(B146,'[1]סיכום בקרת רשויות'!$A:$D,4,0),"")</f>
        <v/>
      </c>
      <c r="AF146" s="57" t="str">
        <f t="shared" si="38"/>
        <v/>
      </c>
      <c r="AG146" s="180">
        <f>IF(AF146="כן",M146*'גנים ובתי ספר- מבנה תקציב'!$H$59,0)</f>
        <v>0</v>
      </c>
      <c r="AH146" s="180">
        <f>IF(AF146="כן",M146*'גנים ובתי ספר- מבנה תקציב'!$I$59,0)</f>
        <v>0</v>
      </c>
      <c r="AI146" s="180">
        <f t="shared" si="39"/>
        <v>0</v>
      </c>
      <c r="AJ146" s="368" t="str">
        <f t="shared" si="27"/>
        <v/>
      </c>
    </row>
    <row r="147" spans="1:36" x14ac:dyDescent="0.25">
      <c r="A147" s="57">
        <v>127</v>
      </c>
      <c r="B147" s="690"/>
      <c r="C147" s="690"/>
      <c r="D147" s="252">
        <f>(IFERROR(SUMIF('מצבת והרשמה (2)'!$F$21:$F$501,'דוח ביצוע (3)'!$B147,'מצבת והרשמה (2)'!$J$21:$J$501),0))</f>
        <v>0</v>
      </c>
      <c r="E147" s="252">
        <f>IFERROR(SUMIF('מצבת והרשמה (2)'!$F$21:$F$501,'דוח ביצוע (3)'!$B147,'מצבת והרשמה (2)'!$K$21:$K$501),0)</f>
        <v>0</v>
      </c>
      <c r="F147" s="253">
        <f t="shared" si="28"/>
        <v>0</v>
      </c>
      <c r="G147" s="680"/>
      <c r="H147" s="680"/>
      <c r="I147" s="253">
        <f t="shared" si="40"/>
        <v>0</v>
      </c>
      <c r="J147" s="453">
        <f t="shared" si="29"/>
        <v>0</v>
      </c>
      <c r="K147" s="689"/>
      <c r="L147" s="689"/>
      <c r="M147" s="969">
        <f t="shared" si="30"/>
        <v>0</v>
      </c>
      <c r="N147" s="1029" t="str">
        <f t="shared" si="31"/>
        <v/>
      </c>
      <c r="O147" s="969" t="str">
        <f>IFERROR(VLOOKUP(B147,'נתוני רישום ומצבת'!B:Q,16,0),"")</f>
        <v/>
      </c>
      <c r="P147" s="969" t="str">
        <f>IFERROR(VLOOKUP(B147,'נתוני רישום ומצבת'!B:R,17,0),"")</f>
        <v/>
      </c>
      <c r="Q147" s="690"/>
      <c r="R147" s="1009"/>
      <c r="S147" s="376">
        <f t="shared" si="32"/>
        <v>0</v>
      </c>
      <c r="T147" s="376">
        <f t="shared" si="33"/>
        <v>0</v>
      </c>
      <c r="U147" s="386">
        <f t="shared" si="34"/>
        <v>0</v>
      </c>
      <c r="V147" s="513" t="str">
        <f t="shared" si="35"/>
        <v/>
      </c>
      <c r="W147" s="254" t="str">
        <f>IF(ISBLANK(B147)," ",IF(B147=IFERROR(VLOOKUP(B147,'מצבת והרשמה (2)'!F:F,1,0),0),"תקין","לא קיים במצבת כבית ספר בו מתקיימת פעילות"))</f>
        <v xml:space="preserve"> </v>
      </c>
      <c r="X147" s="256" t="str">
        <f t="shared" si="22"/>
        <v/>
      </c>
      <c r="Y147" s="256" t="str">
        <f t="shared" si="23"/>
        <v/>
      </c>
      <c r="Z147" s="741">
        <f t="shared" si="24"/>
        <v>0</v>
      </c>
      <c r="AA147" s="741">
        <f t="shared" si="25"/>
        <v>0</v>
      </c>
      <c r="AB147" s="741">
        <f t="shared" si="26"/>
        <v>0</v>
      </c>
      <c r="AC147" s="987">
        <f t="shared" si="36"/>
        <v>0</v>
      </c>
      <c r="AD147" s="987">
        <f t="shared" si="37"/>
        <v>0</v>
      </c>
      <c r="AE147" s="368" t="str">
        <f>IFERROR(VLOOKUP(B147,'[1]סיכום בקרת רשויות'!$A:$D,4,0),"")</f>
        <v/>
      </c>
      <c r="AF147" s="57" t="str">
        <f t="shared" si="38"/>
        <v/>
      </c>
      <c r="AG147" s="180">
        <f>IF(AF147="כן",M147*'גנים ובתי ספר- מבנה תקציב'!$H$59,0)</f>
        <v>0</v>
      </c>
      <c r="AH147" s="180">
        <f>IF(AF147="כן",M147*'גנים ובתי ספר- מבנה תקציב'!$I$59,0)</f>
        <v>0</v>
      </c>
      <c r="AI147" s="180">
        <f t="shared" si="39"/>
        <v>0</v>
      </c>
      <c r="AJ147" s="368" t="str">
        <f t="shared" si="27"/>
        <v/>
      </c>
    </row>
    <row r="148" spans="1:36" x14ac:dyDescent="0.25">
      <c r="A148" s="57">
        <v>128</v>
      </c>
      <c r="B148" s="690"/>
      <c r="C148" s="690"/>
      <c r="D148" s="252">
        <f>(IFERROR(SUMIF('מצבת והרשמה (2)'!$F$21:$F$501,'דוח ביצוע (3)'!$B148,'מצבת והרשמה (2)'!$J$21:$J$501),0))</f>
        <v>0</v>
      </c>
      <c r="E148" s="252">
        <f>IFERROR(SUMIF('מצבת והרשמה (2)'!$F$21:$F$501,'דוח ביצוע (3)'!$B148,'מצבת והרשמה (2)'!$K$21:$K$501),0)</f>
        <v>0</v>
      </c>
      <c r="F148" s="253">
        <f t="shared" si="28"/>
        <v>0</v>
      </c>
      <c r="G148" s="680"/>
      <c r="H148" s="680"/>
      <c r="I148" s="253">
        <f t="shared" si="40"/>
        <v>0</v>
      </c>
      <c r="J148" s="453">
        <f t="shared" si="29"/>
        <v>0</v>
      </c>
      <c r="K148" s="689"/>
      <c r="L148" s="689"/>
      <c r="M148" s="969">
        <f t="shared" si="30"/>
        <v>0</v>
      </c>
      <c r="N148" s="1029" t="str">
        <f t="shared" si="31"/>
        <v/>
      </c>
      <c r="O148" s="969" t="str">
        <f>IFERROR(VLOOKUP(B148,'נתוני רישום ומצבת'!B:Q,16,0),"")</f>
        <v/>
      </c>
      <c r="P148" s="969" t="str">
        <f>IFERROR(VLOOKUP(B148,'נתוני רישום ומצבת'!B:R,17,0),"")</f>
        <v/>
      </c>
      <c r="Q148" s="690"/>
      <c r="R148" s="1009"/>
      <c r="S148" s="376">
        <f t="shared" si="32"/>
        <v>0</v>
      </c>
      <c r="T148" s="376">
        <f t="shared" si="33"/>
        <v>0</v>
      </c>
      <c r="U148" s="386">
        <f t="shared" si="34"/>
        <v>0</v>
      </c>
      <c r="V148" s="513" t="str">
        <f t="shared" si="35"/>
        <v/>
      </c>
      <c r="W148" s="254" t="str">
        <f>IF(ISBLANK(B148)," ",IF(B148=IFERROR(VLOOKUP(B148,'מצבת והרשמה (2)'!F:F,1,0),0),"תקין","לא קיים במצבת כבית ספר בו מתקיימת פעילות"))</f>
        <v xml:space="preserve"> </v>
      </c>
      <c r="X148" s="256" t="str">
        <f t="shared" si="22"/>
        <v/>
      </c>
      <c r="Y148" s="256" t="str">
        <f t="shared" si="23"/>
        <v/>
      </c>
      <c r="Z148" s="741">
        <f t="shared" si="24"/>
        <v>0</v>
      </c>
      <c r="AA148" s="741">
        <f t="shared" si="25"/>
        <v>0</v>
      </c>
      <c r="AB148" s="741">
        <f t="shared" si="26"/>
        <v>0</v>
      </c>
      <c r="AC148" s="987">
        <f t="shared" si="36"/>
        <v>0</v>
      </c>
      <c r="AD148" s="987">
        <f t="shared" si="37"/>
        <v>0</v>
      </c>
      <c r="AE148" s="368" t="str">
        <f>IFERROR(VLOOKUP(B148,'[1]סיכום בקרת רשויות'!$A:$D,4,0),"")</f>
        <v/>
      </c>
      <c r="AF148" s="57" t="str">
        <f t="shared" si="38"/>
        <v/>
      </c>
      <c r="AG148" s="180">
        <f>IF(AF148="כן",M148*'גנים ובתי ספר- מבנה תקציב'!$H$59,0)</f>
        <v>0</v>
      </c>
      <c r="AH148" s="180">
        <f>IF(AF148="כן",M148*'גנים ובתי ספר- מבנה תקציב'!$I$59,0)</f>
        <v>0</v>
      </c>
      <c r="AI148" s="180">
        <f t="shared" si="39"/>
        <v>0</v>
      </c>
      <c r="AJ148" s="368" t="str">
        <f t="shared" si="27"/>
        <v/>
      </c>
    </row>
    <row r="149" spans="1:36" x14ac:dyDescent="0.25">
      <c r="A149" s="57">
        <v>129</v>
      </c>
      <c r="B149" s="690"/>
      <c r="C149" s="690"/>
      <c r="D149" s="252">
        <f>(IFERROR(SUMIF('מצבת והרשמה (2)'!$F$21:$F$501,'דוח ביצוע (3)'!$B149,'מצבת והרשמה (2)'!$J$21:$J$501),0))</f>
        <v>0</v>
      </c>
      <c r="E149" s="252">
        <f>IFERROR(SUMIF('מצבת והרשמה (2)'!$F$21:$F$501,'דוח ביצוע (3)'!$B149,'מצבת והרשמה (2)'!$K$21:$K$501),0)</f>
        <v>0</v>
      </c>
      <c r="F149" s="253">
        <f t="shared" si="28"/>
        <v>0</v>
      </c>
      <c r="G149" s="680"/>
      <c r="H149" s="680"/>
      <c r="I149" s="253">
        <f t="shared" si="40"/>
        <v>0</v>
      </c>
      <c r="J149" s="453">
        <f t="shared" si="29"/>
        <v>0</v>
      </c>
      <c r="K149" s="689"/>
      <c r="L149" s="689"/>
      <c r="M149" s="969">
        <f t="shared" si="30"/>
        <v>0</v>
      </c>
      <c r="N149" s="1029" t="str">
        <f t="shared" si="31"/>
        <v/>
      </c>
      <c r="O149" s="969" t="str">
        <f>IFERROR(VLOOKUP(B149,'נתוני רישום ומצבת'!B:Q,16,0),"")</f>
        <v/>
      </c>
      <c r="P149" s="969" t="str">
        <f>IFERROR(VLOOKUP(B149,'נתוני רישום ומצבת'!B:R,17,0),"")</f>
        <v/>
      </c>
      <c r="Q149" s="690"/>
      <c r="R149" s="1009"/>
      <c r="S149" s="376">
        <f t="shared" si="32"/>
        <v>0</v>
      </c>
      <c r="T149" s="376">
        <f t="shared" si="33"/>
        <v>0</v>
      </c>
      <c r="U149" s="386">
        <f t="shared" si="34"/>
        <v>0</v>
      </c>
      <c r="V149" s="513" t="str">
        <f t="shared" si="35"/>
        <v/>
      </c>
      <c r="W149" s="254" t="str">
        <f>IF(ISBLANK(B149)," ",IF(B149=IFERROR(VLOOKUP(B149,'מצבת והרשמה (2)'!F:F,1,0),0),"תקין","לא קיים במצבת כבית ספר בו מתקיימת פעילות"))</f>
        <v xml:space="preserve"> </v>
      </c>
      <c r="X149" s="256" t="str">
        <f t="shared" ref="X149:X212" si="41">IF(IFERROR(COUNTIF($C$20:$C$2460,B149)," ")&gt;1,"סמל המוסד מופיע יותר מפעם אחת",IF(ISBLANK(B149),"","תקין"))</f>
        <v/>
      </c>
      <c r="Y149" s="256" t="str">
        <f t="shared" ref="Y149:Y212" si="42">IF(AND(ISNUMBER(B149),ISBLANK(B148)),"יש למלא שורות רצופות","")</f>
        <v/>
      </c>
      <c r="Z149" s="741">
        <f t="shared" ref="Z149:Z212" si="43">IF(OR(LEFT(V149,10)="יש למלא מס",LEFT(V149,10)="יש למלא סי"),1,0)</f>
        <v>0</v>
      </c>
      <c r="AA149" s="741">
        <f t="shared" ref="AA149:AA212" si="44">IF(COUNTIF(סמלפעילות,B149)&gt;1,1,0)</f>
        <v>0</v>
      </c>
      <c r="AB149" s="741">
        <f t="shared" ref="AB149:AB212" si="45">IF(B149&gt;0,IF(I149=0,1,0),0)</f>
        <v>0</v>
      </c>
      <c r="AC149" s="987">
        <f t="shared" si="36"/>
        <v>0</v>
      </c>
      <c r="AD149" s="987">
        <f t="shared" si="37"/>
        <v>0</v>
      </c>
      <c r="AE149" s="368" t="str">
        <f>IFERROR(VLOOKUP(B149,'[1]סיכום בקרת רשויות'!$A:$D,4,0),"")</f>
        <v/>
      </c>
      <c r="AF149" s="57" t="str">
        <f t="shared" si="38"/>
        <v/>
      </c>
      <c r="AG149" s="180">
        <f>IF(AF149="כן",M149*'גנים ובתי ספר- מבנה תקציב'!$H$59,0)</f>
        <v>0</v>
      </c>
      <c r="AH149" s="180">
        <f>IF(AF149="כן",M149*'גנים ובתי ספר- מבנה תקציב'!$I$59,0)</f>
        <v>0</v>
      </c>
      <c r="AI149" s="180">
        <f t="shared" si="39"/>
        <v>0</v>
      </c>
      <c r="AJ149" s="368" t="str">
        <f t="shared" ref="AJ149:AJ212" si="46">IF(B149&gt;0,IF(M149&lt;15,1,0),"")</f>
        <v/>
      </c>
    </row>
    <row r="150" spans="1:36" x14ac:dyDescent="0.25">
      <c r="A150" s="57">
        <v>130</v>
      </c>
      <c r="B150" s="690"/>
      <c r="C150" s="690"/>
      <c r="D150" s="252">
        <f>(IFERROR(SUMIF('מצבת והרשמה (2)'!$F$21:$F$501,'דוח ביצוע (3)'!$B150,'מצבת והרשמה (2)'!$J$21:$J$501),0))</f>
        <v>0</v>
      </c>
      <c r="E150" s="252">
        <f>IFERROR(SUMIF('מצבת והרשמה (2)'!$F$21:$F$501,'דוח ביצוע (3)'!$B150,'מצבת והרשמה (2)'!$K$21:$K$501),0)</f>
        <v>0</v>
      </c>
      <c r="F150" s="253">
        <f t="shared" ref="F150:F213" si="47">E150+D150</f>
        <v>0</v>
      </c>
      <c r="G150" s="680"/>
      <c r="H150" s="680"/>
      <c r="I150" s="253">
        <f t="shared" si="40"/>
        <v>0</v>
      </c>
      <c r="J150" s="453">
        <f t="shared" ref="J150:J213" si="48">IF(F150&gt;149,1,0)</f>
        <v>0</v>
      </c>
      <c r="K150" s="689"/>
      <c r="L150" s="689"/>
      <c r="M150" s="969">
        <f t="shared" ref="M150:M213" si="49">MIN(NETWORKDAYS.INTL(K150,L150,7),15)</f>
        <v>0</v>
      </c>
      <c r="N150" s="1029" t="str">
        <f t="shared" ref="N150:N213" si="50">IF(B150&gt;0,IF(M150&lt;15,"תקופת הפעילות נמוכה מהתקופה הנדרשת, ועל כן המוסד אינו זכאי לתקצוב","תקין"),"")</f>
        <v/>
      </c>
      <c r="O150" s="969" t="str">
        <f>IFERROR(VLOOKUP(B150,'נתוני רישום ומצבת'!B:Q,16,0),"")</f>
        <v/>
      </c>
      <c r="P150" s="969" t="str">
        <f>IFERROR(VLOOKUP(B150,'נתוני רישום ומצבת'!B:R,17,0),"")</f>
        <v/>
      </c>
      <c r="Q150" s="690"/>
      <c r="R150" s="1009"/>
      <c r="S150" s="376">
        <f t="shared" ref="S150:S213" si="51">IF(OR($T$2=0,N150="תקין"),MAX(IF(G150="",0,MIN(G150,D150)),0),0)</f>
        <v>0</v>
      </c>
      <c r="T150" s="376">
        <f t="shared" ref="T150:T213" si="52">IF(OR($T$2=0,N150="תקין"),MAX(IF(H150="",0,MIN(H150,E150)),0),0)</f>
        <v>0</v>
      </c>
      <c r="U150" s="386">
        <f t="shared" ref="U150:U213" si="53">SUM(S150:T150)</f>
        <v>0</v>
      </c>
      <c r="V150" s="513" t="str">
        <f t="shared" ref="V150:V213" si="54">IF(ISNUMBER(B150),IF(M150&lt;1,"יש למלא מס' ימי פעילות",IF(M150&lt;15,"יש למלא סיבה לחוסר ימי פעילות","תקין")),"")</f>
        <v/>
      </c>
      <c r="W150" s="254" t="str">
        <f>IF(ISBLANK(B150)," ",IF(B150=IFERROR(VLOOKUP(B150,'מצבת והרשמה (2)'!F:F,1,0),0),"תקין","לא קיים במצבת כבית ספר בו מתקיימת פעילות"))</f>
        <v xml:space="preserve"> </v>
      </c>
      <c r="X150" s="256" t="str">
        <f t="shared" si="41"/>
        <v/>
      </c>
      <c r="Y150" s="256" t="str">
        <f t="shared" si="42"/>
        <v/>
      </c>
      <c r="Z150" s="741">
        <f t="shared" si="43"/>
        <v>0</v>
      </c>
      <c r="AA150" s="741">
        <f t="shared" si="44"/>
        <v>0</v>
      </c>
      <c r="AB150" s="741">
        <f t="shared" si="45"/>
        <v>0</v>
      </c>
      <c r="AC150" s="987">
        <f t="shared" ref="AC150:AC213" si="55">MAX(IF(G150=" ",0,MIN(G150,D150)),0)</f>
        <v>0</v>
      </c>
      <c r="AD150" s="987">
        <f t="shared" ref="AD150:AD213" si="56">MAX(IF(H150=" ",0,MIN(H150,E150)),0)</f>
        <v>0</v>
      </c>
      <c r="AE150" s="368" t="str">
        <f>IFERROR(VLOOKUP(B150,'[1]סיכום בקרת רשויות'!$A:$D,4,0),"")</f>
        <v/>
      </c>
      <c r="AF150" s="57" t="str">
        <f t="shared" ref="AF150:AF213" si="57">IF(B150&gt;0,IF(Q150&gt;=MIN(40,P150),"כן",""),"")</f>
        <v/>
      </c>
      <c r="AG150" s="180">
        <f>IF(AF150="כן",M150*'גנים ובתי ספר- מבנה תקציב'!$H$59,0)</f>
        <v>0</v>
      </c>
      <c r="AH150" s="180">
        <f>IF(AF150="כן",M150*'גנים ובתי ספר- מבנה תקציב'!$I$59,0)</f>
        <v>0</v>
      </c>
      <c r="AI150" s="180">
        <f t="shared" ref="AI150:AI213" si="58">AH150+AG150</f>
        <v>0</v>
      </c>
      <c r="AJ150" s="368" t="str">
        <f t="shared" si="46"/>
        <v/>
      </c>
    </row>
    <row r="151" spans="1:36" x14ac:dyDescent="0.25">
      <c r="A151" s="57">
        <v>131</v>
      </c>
      <c r="B151" s="690"/>
      <c r="C151" s="690"/>
      <c r="D151" s="252">
        <f>(IFERROR(SUMIF('מצבת והרשמה (2)'!$F$21:$F$501,'דוח ביצוע (3)'!$B151,'מצבת והרשמה (2)'!$J$21:$J$501),0))</f>
        <v>0</v>
      </c>
      <c r="E151" s="252">
        <f>IFERROR(SUMIF('מצבת והרשמה (2)'!$F$21:$F$501,'דוח ביצוע (3)'!$B151,'מצבת והרשמה (2)'!$K$21:$K$501),0)</f>
        <v>0</v>
      </c>
      <c r="F151" s="253">
        <f t="shared" si="47"/>
        <v>0</v>
      </c>
      <c r="G151" s="680"/>
      <c r="H151" s="680"/>
      <c r="I151" s="253">
        <f t="shared" si="40"/>
        <v>0</v>
      </c>
      <c r="J151" s="453">
        <f t="shared" si="48"/>
        <v>0</v>
      </c>
      <c r="K151" s="689"/>
      <c r="L151" s="689"/>
      <c r="M151" s="969">
        <f t="shared" si="49"/>
        <v>0</v>
      </c>
      <c r="N151" s="1029" t="str">
        <f t="shared" si="50"/>
        <v/>
      </c>
      <c r="O151" s="969" t="str">
        <f>IFERROR(VLOOKUP(B151,'נתוני רישום ומצבת'!B:Q,16,0),"")</f>
        <v/>
      </c>
      <c r="P151" s="969" t="str">
        <f>IFERROR(VLOOKUP(B151,'נתוני רישום ומצבת'!B:R,17,0),"")</f>
        <v/>
      </c>
      <c r="Q151" s="690"/>
      <c r="R151" s="1009"/>
      <c r="S151" s="376">
        <f t="shared" si="51"/>
        <v>0</v>
      </c>
      <c r="T151" s="376">
        <f t="shared" si="52"/>
        <v>0</v>
      </c>
      <c r="U151" s="386">
        <f t="shared" si="53"/>
        <v>0</v>
      </c>
      <c r="V151" s="513" t="str">
        <f t="shared" si="54"/>
        <v/>
      </c>
      <c r="W151" s="254" t="str">
        <f>IF(ISBLANK(B151)," ",IF(B151=IFERROR(VLOOKUP(B151,'מצבת והרשמה (2)'!F:F,1,0),0),"תקין","לא קיים במצבת כבית ספר בו מתקיימת פעילות"))</f>
        <v xml:space="preserve"> </v>
      </c>
      <c r="X151" s="256" t="str">
        <f t="shared" si="41"/>
        <v/>
      </c>
      <c r="Y151" s="256" t="str">
        <f t="shared" si="42"/>
        <v/>
      </c>
      <c r="Z151" s="741">
        <f t="shared" si="43"/>
        <v>0</v>
      </c>
      <c r="AA151" s="741">
        <f t="shared" si="44"/>
        <v>0</v>
      </c>
      <c r="AB151" s="741">
        <f t="shared" si="45"/>
        <v>0</v>
      </c>
      <c r="AC151" s="987">
        <f t="shared" si="55"/>
        <v>0</v>
      </c>
      <c r="AD151" s="987">
        <f t="shared" si="56"/>
        <v>0</v>
      </c>
      <c r="AE151" s="368" t="str">
        <f>IFERROR(VLOOKUP(B151,'[1]סיכום בקרת רשויות'!$A:$D,4,0),"")</f>
        <v/>
      </c>
      <c r="AF151" s="57" t="str">
        <f t="shared" si="57"/>
        <v/>
      </c>
      <c r="AG151" s="180">
        <f>IF(AF151="כן",M151*'גנים ובתי ספר- מבנה תקציב'!$H$59,0)</f>
        <v>0</v>
      </c>
      <c r="AH151" s="180">
        <f>IF(AF151="כן",M151*'גנים ובתי ספר- מבנה תקציב'!$I$59,0)</f>
        <v>0</v>
      </c>
      <c r="AI151" s="180">
        <f t="shared" si="58"/>
        <v>0</v>
      </c>
      <c r="AJ151" s="368" t="str">
        <f t="shared" si="46"/>
        <v/>
      </c>
    </row>
    <row r="152" spans="1:36" x14ac:dyDescent="0.25">
      <c r="A152" s="57">
        <v>132</v>
      </c>
      <c r="B152" s="690"/>
      <c r="C152" s="690"/>
      <c r="D152" s="252">
        <f>(IFERROR(SUMIF('מצבת והרשמה (2)'!$F$21:$F$501,'דוח ביצוע (3)'!$B152,'מצבת והרשמה (2)'!$J$21:$J$501),0))</f>
        <v>0</v>
      </c>
      <c r="E152" s="252">
        <f>IFERROR(SUMIF('מצבת והרשמה (2)'!$F$21:$F$501,'דוח ביצוע (3)'!$B152,'מצבת והרשמה (2)'!$K$21:$K$501),0)</f>
        <v>0</v>
      </c>
      <c r="F152" s="253">
        <f t="shared" si="47"/>
        <v>0</v>
      </c>
      <c r="G152" s="680"/>
      <c r="H152" s="680"/>
      <c r="I152" s="253">
        <f t="shared" si="40"/>
        <v>0</v>
      </c>
      <c r="J152" s="453">
        <f t="shared" si="48"/>
        <v>0</v>
      </c>
      <c r="K152" s="689"/>
      <c r="L152" s="689"/>
      <c r="M152" s="969">
        <f t="shared" si="49"/>
        <v>0</v>
      </c>
      <c r="N152" s="1029" t="str">
        <f t="shared" si="50"/>
        <v/>
      </c>
      <c r="O152" s="969" t="str">
        <f>IFERROR(VLOOKUP(B152,'נתוני רישום ומצבת'!B:Q,16,0),"")</f>
        <v/>
      </c>
      <c r="P152" s="969" t="str">
        <f>IFERROR(VLOOKUP(B152,'נתוני רישום ומצבת'!B:R,17,0),"")</f>
        <v/>
      </c>
      <c r="Q152" s="690"/>
      <c r="R152" s="1009"/>
      <c r="S152" s="376">
        <f t="shared" si="51"/>
        <v>0</v>
      </c>
      <c r="T152" s="376">
        <f t="shared" si="52"/>
        <v>0</v>
      </c>
      <c r="U152" s="386">
        <f t="shared" si="53"/>
        <v>0</v>
      </c>
      <c r="V152" s="513" t="str">
        <f t="shared" si="54"/>
        <v/>
      </c>
      <c r="W152" s="254" t="str">
        <f>IF(ISBLANK(B152)," ",IF(B152=IFERROR(VLOOKUP(B152,'מצבת והרשמה (2)'!F:F,1,0),0),"תקין","לא קיים במצבת כבית ספר בו מתקיימת פעילות"))</f>
        <v xml:space="preserve"> </v>
      </c>
      <c r="X152" s="256" t="str">
        <f t="shared" si="41"/>
        <v/>
      </c>
      <c r="Y152" s="256" t="str">
        <f t="shared" si="42"/>
        <v/>
      </c>
      <c r="Z152" s="741">
        <f t="shared" si="43"/>
        <v>0</v>
      </c>
      <c r="AA152" s="741">
        <f t="shared" si="44"/>
        <v>0</v>
      </c>
      <c r="AB152" s="741">
        <f t="shared" si="45"/>
        <v>0</v>
      </c>
      <c r="AC152" s="987">
        <f t="shared" si="55"/>
        <v>0</v>
      </c>
      <c r="AD152" s="987">
        <f t="shared" si="56"/>
        <v>0</v>
      </c>
      <c r="AE152" s="368" t="str">
        <f>IFERROR(VLOOKUP(B152,'[1]סיכום בקרת רשויות'!$A:$D,4,0),"")</f>
        <v/>
      </c>
      <c r="AF152" s="57" t="str">
        <f t="shared" si="57"/>
        <v/>
      </c>
      <c r="AG152" s="180">
        <f>IF(AF152="כן",M152*'גנים ובתי ספר- מבנה תקציב'!$H$59,0)</f>
        <v>0</v>
      </c>
      <c r="AH152" s="180">
        <f>IF(AF152="כן",M152*'גנים ובתי ספר- מבנה תקציב'!$I$59,0)</f>
        <v>0</v>
      </c>
      <c r="AI152" s="180">
        <f t="shared" si="58"/>
        <v>0</v>
      </c>
      <c r="AJ152" s="368" t="str">
        <f t="shared" si="46"/>
        <v/>
      </c>
    </row>
    <row r="153" spans="1:36" x14ac:dyDescent="0.25">
      <c r="A153" s="57">
        <v>133</v>
      </c>
      <c r="B153" s="690"/>
      <c r="C153" s="690"/>
      <c r="D153" s="252">
        <f>(IFERROR(SUMIF('מצבת והרשמה (2)'!$F$21:$F$501,'דוח ביצוע (3)'!$B153,'מצבת והרשמה (2)'!$J$21:$J$501),0))</f>
        <v>0</v>
      </c>
      <c r="E153" s="252">
        <f>IFERROR(SUMIF('מצבת והרשמה (2)'!$F$21:$F$501,'דוח ביצוע (3)'!$B153,'מצבת והרשמה (2)'!$K$21:$K$501),0)</f>
        <v>0</v>
      </c>
      <c r="F153" s="253">
        <f t="shared" si="47"/>
        <v>0</v>
      </c>
      <c r="G153" s="680"/>
      <c r="H153" s="680"/>
      <c r="I153" s="253">
        <f t="shared" si="40"/>
        <v>0</v>
      </c>
      <c r="J153" s="453">
        <f t="shared" si="48"/>
        <v>0</v>
      </c>
      <c r="K153" s="689"/>
      <c r="L153" s="689"/>
      <c r="M153" s="969">
        <f t="shared" si="49"/>
        <v>0</v>
      </c>
      <c r="N153" s="1029" t="str">
        <f t="shared" si="50"/>
        <v/>
      </c>
      <c r="O153" s="969" t="str">
        <f>IFERROR(VLOOKUP(B153,'נתוני רישום ומצבת'!B:Q,16,0),"")</f>
        <v/>
      </c>
      <c r="P153" s="969" t="str">
        <f>IFERROR(VLOOKUP(B153,'נתוני רישום ומצבת'!B:R,17,0),"")</f>
        <v/>
      </c>
      <c r="Q153" s="690"/>
      <c r="R153" s="1009"/>
      <c r="S153" s="376">
        <f t="shared" si="51"/>
        <v>0</v>
      </c>
      <c r="T153" s="376">
        <f t="shared" si="52"/>
        <v>0</v>
      </c>
      <c r="U153" s="386">
        <f t="shared" si="53"/>
        <v>0</v>
      </c>
      <c r="V153" s="513" t="str">
        <f t="shared" si="54"/>
        <v/>
      </c>
      <c r="W153" s="254" t="str">
        <f>IF(ISBLANK(B153)," ",IF(B153=IFERROR(VLOOKUP(B153,'מצבת והרשמה (2)'!F:F,1,0),0),"תקין","לא קיים במצבת כבית ספר בו מתקיימת פעילות"))</f>
        <v xml:space="preserve"> </v>
      </c>
      <c r="X153" s="256" t="str">
        <f t="shared" si="41"/>
        <v/>
      </c>
      <c r="Y153" s="256" t="str">
        <f t="shared" si="42"/>
        <v/>
      </c>
      <c r="Z153" s="741">
        <f t="shared" si="43"/>
        <v>0</v>
      </c>
      <c r="AA153" s="741">
        <f t="shared" si="44"/>
        <v>0</v>
      </c>
      <c r="AB153" s="741">
        <f t="shared" si="45"/>
        <v>0</v>
      </c>
      <c r="AC153" s="987">
        <f t="shared" si="55"/>
        <v>0</v>
      </c>
      <c r="AD153" s="987">
        <f t="shared" si="56"/>
        <v>0</v>
      </c>
      <c r="AE153" s="368" t="str">
        <f>IFERROR(VLOOKUP(B153,'[1]סיכום בקרת רשויות'!$A:$D,4,0),"")</f>
        <v/>
      </c>
      <c r="AF153" s="57" t="str">
        <f t="shared" si="57"/>
        <v/>
      </c>
      <c r="AG153" s="180">
        <f>IF(AF153="כן",M153*'גנים ובתי ספר- מבנה תקציב'!$H$59,0)</f>
        <v>0</v>
      </c>
      <c r="AH153" s="180">
        <f>IF(AF153="כן",M153*'גנים ובתי ספר- מבנה תקציב'!$I$59,0)</f>
        <v>0</v>
      </c>
      <c r="AI153" s="180">
        <f t="shared" si="58"/>
        <v>0</v>
      </c>
      <c r="AJ153" s="368" t="str">
        <f t="shared" si="46"/>
        <v/>
      </c>
    </row>
    <row r="154" spans="1:36" x14ac:dyDescent="0.25">
      <c r="A154" s="57">
        <v>134</v>
      </c>
      <c r="B154" s="690"/>
      <c r="C154" s="690"/>
      <c r="D154" s="252">
        <f>(IFERROR(SUMIF('מצבת והרשמה (2)'!$F$21:$F$501,'דוח ביצוע (3)'!$B154,'מצבת והרשמה (2)'!$J$21:$J$501),0))</f>
        <v>0</v>
      </c>
      <c r="E154" s="252">
        <f>IFERROR(SUMIF('מצבת והרשמה (2)'!$F$21:$F$501,'דוח ביצוע (3)'!$B154,'מצבת והרשמה (2)'!$K$21:$K$501),0)</f>
        <v>0</v>
      </c>
      <c r="F154" s="253">
        <f t="shared" si="47"/>
        <v>0</v>
      </c>
      <c r="G154" s="680"/>
      <c r="H154" s="680"/>
      <c r="I154" s="253">
        <f t="shared" si="40"/>
        <v>0</v>
      </c>
      <c r="J154" s="453">
        <f t="shared" si="48"/>
        <v>0</v>
      </c>
      <c r="K154" s="689"/>
      <c r="L154" s="689"/>
      <c r="M154" s="969">
        <f t="shared" si="49"/>
        <v>0</v>
      </c>
      <c r="N154" s="1029" t="str">
        <f t="shared" si="50"/>
        <v/>
      </c>
      <c r="O154" s="969" t="str">
        <f>IFERROR(VLOOKUP(B154,'נתוני רישום ומצבת'!B:Q,16,0),"")</f>
        <v/>
      </c>
      <c r="P154" s="969" t="str">
        <f>IFERROR(VLOOKUP(B154,'נתוני רישום ומצבת'!B:R,17,0),"")</f>
        <v/>
      </c>
      <c r="Q154" s="690"/>
      <c r="R154" s="1009"/>
      <c r="S154" s="376">
        <f t="shared" si="51"/>
        <v>0</v>
      </c>
      <c r="T154" s="376">
        <f t="shared" si="52"/>
        <v>0</v>
      </c>
      <c r="U154" s="386">
        <f t="shared" si="53"/>
        <v>0</v>
      </c>
      <c r="V154" s="513" t="str">
        <f t="shared" si="54"/>
        <v/>
      </c>
      <c r="W154" s="254" t="str">
        <f>IF(ISBLANK(B154)," ",IF(B154=IFERROR(VLOOKUP(B154,'מצבת והרשמה (2)'!F:F,1,0),0),"תקין","לא קיים במצבת כבית ספר בו מתקיימת פעילות"))</f>
        <v xml:space="preserve"> </v>
      </c>
      <c r="X154" s="256" t="str">
        <f t="shared" si="41"/>
        <v/>
      </c>
      <c r="Y154" s="256" t="str">
        <f t="shared" si="42"/>
        <v/>
      </c>
      <c r="Z154" s="741">
        <f t="shared" si="43"/>
        <v>0</v>
      </c>
      <c r="AA154" s="741">
        <f t="shared" si="44"/>
        <v>0</v>
      </c>
      <c r="AB154" s="741">
        <f t="shared" si="45"/>
        <v>0</v>
      </c>
      <c r="AC154" s="987">
        <f t="shared" si="55"/>
        <v>0</v>
      </c>
      <c r="AD154" s="987">
        <f t="shared" si="56"/>
        <v>0</v>
      </c>
      <c r="AE154" s="368" t="str">
        <f>IFERROR(VLOOKUP(B154,'[1]סיכום בקרת רשויות'!$A:$D,4,0),"")</f>
        <v/>
      </c>
      <c r="AF154" s="57" t="str">
        <f t="shared" si="57"/>
        <v/>
      </c>
      <c r="AG154" s="180">
        <f>IF(AF154="כן",M154*'גנים ובתי ספר- מבנה תקציב'!$H$59,0)</f>
        <v>0</v>
      </c>
      <c r="AH154" s="180">
        <f>IF(AF154="כן",M154*'גנים ובתי ספר- מבנה תקציב'!$I$59,0)</f>
        <v>0</v>
      </c>
      <c r="AI154" s="180">
        <f t="shared" si="58"/>
        <v>0</v>
      </c>
      <c r="AJ154" s="368" t="str">
        <f t="shared" si="46"/>
        <v/>
      </c>
    </row>
    <row r="155" spans="1:36" x14ac:dyDescent="0.25">
      <c r="A155" s="57">
        <v>135</v>
      </c>
      <c r="B155" s="690"/>
      <c r="C155" s="690"/>
      <c r="D155" s="252">
        <f>(IFERROR(SUMIF('מצבת והרשמה (2)'!$F$21:$F$501,'דוח ביצוע (3)'!$B155,'מצבת והרשמה (2)'!$J$21:$J$501),0))</f>
        <v>0</v>
      </c>
      <c r="E155" s="252">
        <f>IFERROR(SUMIF('מצבת והרשמה (2)'!$F$21:$F$501,'דוח ביצוע (3)'!$B155,'מצבת והרשמה (2)'!$K$21:$K$501),0)</f>
        <v>0</v>
      </c>
      <c r="F155" s="253">
        <f t="shared" si="47"/>
        <v>0</v>
      </c>
      <c r="G155" s="680"/>
      <c r="H155" s="680"/>
      <c r="I155" s="253">
        <f t="shared" si="40"/>
        <v>0</v>
      </c>
      <c r="J155" s="453">
        <f t="shared" si="48"/>
        <v>0</v>
      </c>
      <c r="K155" s="689"/>
      <c r="L155" s="689"/>
      <c r="M155" s="969">
        <f t="shared" si="49"/>
        <v>0</v>
      </c>
      <c r="N155" s="1029" t="str">
        <f t="shared" si="50"/>
        <v/>
      </c>
      <c r="O155" s="969" t="str">
        <f>IFERROR(VLOOKUP(B155,'נתוני רישום ומצבת'!B:Q,16,0),"")</f>
        <v/>
      </c>
      <c r="P155" s="969" t="str">
        <f>IFERROR(VLOOKUP(B155,'נתוני רישום ומצבת'!B:R,17,0),"")</f>
        <v/>
      </c>
      <c r="Q155" s="690"/>
      <c r="R155" s="1009"/>
      <c r="S155" s="376">
        <f t="shared" si="51"/>
        <v>0</v>
      </c>
      <c r="T155" s="376">
        <f t="shared" si="52"/>
        <v>0</v>
      </c>
      <c r="U155" s="386">
        <f t="shared" si="53"/>
        <v>0</v>
      </c>
      <c r="V155" s="513" t="str">
        <f t="shared" si="54"/>
        <v/>
      </c>
      <c r="W155" s="254" t="str">
        <f>IF(ISBLANK(B155)," ",IF(B155=IFERROR(VLOOKUP(B155,'מצבת והרשמה (2)'!F:F,1,0),0),"תקין","לא קיים במצבת כבית ספר בו מתקיימת פעילות"))</f>
        <v xml:space="preserve"> </v>
      </c>
      <c r="X155" s="256" t="str">
        <f t="shared" si="41"/>
        <v/>
      </c>
      <c r="Y155" s="256" t="str">
        <f t="shared" si="42"/>
        <v/>
      </c>
      <c r="Z155" s="741">
        <f t="shared" si="43"/>
        <v>0</v>
      </c>
      <c r="AA155" s="741">
        <f t="shared" si="44"/>
        <v>0</v>
      </c>
      <c r="AB155" s="741">
        <f t="shared" si="45"/>
        <v>0</v>
      </c>
      <c r="AC155" s="987">
        <f t="shared" si="55"/>
        <v>0</v>
      </c>
      <c r="AD155" s="987">
        <f t="shared" si="56"/>
        <v>0</v>
      </c>
      <c r="AE155" s="368" t="str">
        <f>IFERROR(VLOOKUP(B155,'[1]סיכום בקרת רשויות'!$A:$D,4,0),"")</f>
        <v/>
      </c>
      <c r="AF155" s="57" t="str">
        <f t="shared" si="57"/>
        <v/>
      </c>
      <c r="AG155" s="180">
        <f>IF(AF155="כן",M155*'גנים ובתי ספר- מבנה תקציב'!$H$59,0)</f>
        <v>0</v>
      </c>
      <c r="AH155" s="180">
        <f>IF(AF155="כן",M155*'גנים ובתי ספר- מבנה תקציב'!$I$59,0)</f>
        <v>0</v>
      </c>
      <c r="AI155" s="180">
        <f t="shared" si="58"/>
        <v>0</v>
      </c>
      <c r="AJ155" s="368" t="str">
        <f t="shared" si="46"/>
        <v/>
      </c>
    </row>
    <row r="156" spans="1:36" x14ac:dyDescent="0.25">
      <c r="A156" s="57">
        <v>136</v>
      </c>
      <c r="B156" s="690"/>
      <c r="C156" s="690"/>
      <c r="D156" s="252">
        <f>(IFERROR(SUMIF('מצבת והרשמה (2)'!$F$21:$F$501,'דוח ביצוע (3)'!$B156,'מצבת והרשמה (2)'!$J$21:$J$501),0))</f>
        <v>0</v>
      </c>
      <c r="E156" s="252">
        <f>IFERROR(SUMIF('מצבת והרשמה (2)'!$F$21:$F$501,'דוח ביצוע (3)'!$B156,'מצבת והרשמה (2)'!$K$21:$K$501),0)</f>
        <v>0</v>
      </c>
      <c r="F156" s="253">
        <f t="shared" si="47"/>
        <v>0</v>
      </c>
      <c r="G156" s="680"/>
      <c r="H156" s="680"/>
      <c r="I156" s="253">
        <f t="shared" si="40"/>
        <v>0</v>
      </c>
      <c r="J156" s="453">
        <f t="shared" si="48"/>
        <v>0</v>
      </c>
      <c r="K156" s="689"/>
      <c r="L156" s="689"/>
      <c r="M156" s="969">
        <f t="shared" si="49"/>
        <v>0</v>
      </c>
      <c r="N156" s="1029" t="str">
        <f t="shared" si="50"/>
        <v/>
      </c>
      <c r="O156" s="969" t="str">
        <f>IFERROR(VLOOKUP(B156,'נתוני רישום ומצבת'!B:Q,16,0),"")</f>
        <v/>
      </c>
      <c r="P156" s="969" t="str">
        <f>IFERROR(VLOOKUP(B156,'נתוני רישום ומצבת'!B:R,17,0),"")</f>
        <v/>
      </c>
      <c r="Q156" s="690"/>
      <c r="R156" s="1009"/>
      <c r="S156" s="376">
        <f t="shared" si="51"/>
        <v>0</v>
      </c>
      <c r="T156" s="376">
        <f t="shared" si="52"/>
        <v>0</v>
      </c>
      <c r="U156" s="386">
        <f t="shared" si="53"/>
        <v>0</v>
      </c>
      <c r="V156" s="513" t="str">
        <f t="shared" si="54"/>
        <v/>
      </c>
      <c r="W156" s="254" t="str">
        <f>IF(ISBLANK(B156)," ",IF(B156=IFERROR(VLOOKUP(B156,'מצבת והרשמה (2)'!F:F,1,0),0),"תקין","לא קיים במצבת כבית ספר בו מתקיימת פעילות"))</f>
        <v xml:space="preserve"> </v>
      </c>
      <c r="X156" s="256" t="str">
        <f t="shared" si="41"/>
        <v/>
      </c>
      <c r="Y156" s="256" t="str">
        <f t="shared" si="42"/>
        <v/>
      </c>
      <c r="Z156" s="741">
        <f t="shared" si="43"/>
        <v>0</v>
      </c>
      <c r="AA156" s="741">
        <f t="shared" si="44"/>
        <v>0</v>
      </c>
      <c r="AB156" s="741">
        <f t="shared" si="45"/>
        <v>0</v>
      </c>
      <c r="AC156" s="987">
        <f t="shared" si="55"/>
        <v>0</v>
      </c>
      <c r="AD156" s="987">
        <f t="shared" si="56"/>
        <v>0</v>
      </c>
      <c r="AE156" s="368" t="str">
        <f>IFERROR(VLOOKUP(B156,'[1]סיכום בקרת רשויות'!$A:$D,4,0),"")</f>
        <v/>
      </c>
      <c r="AF156" s="57" t="str">
        <f t="shared" si="57"/>
        <v/>
      </c>
      <c r="AG156" s="180">
        <f>IF(AF156="כן",M156*'גנים ובתי ספר- מבנה תקציב'!$H$59,0)</f>
        <v>0</v>
      </c>
      <c r="AH156" s="180">
        <f>IF(AF156="כן",M156*'גנים ובתי ספר- מבנה תקציב'!$I$59,0)</f>
        <v>0</v>
      </c>
      <c r="AI156" s="180">
        <f t="shared" si="58"/>
        <v>0</v>
      </c>
      <c r="AJ156" s="368" t="str">
        <f t="shared" si="46"/>
        <v/>
      </c>
    </row>
    <row r="157" spans="1:36" x14ac:dyDescent="0.25">
      <c r="A157" s="57">
        <v>137</v>
      </c>
      <c r="B157" s="690"/>
      <c r="C157" s="690"/>
      <c r="D157" s="252">
        <f>(IFERROR(SUMIF('מצבת והרשמה (2)'!$F$21:$F$501,'דוח ביצוע (3)'!$B157,'מצבת והרשמה (2)'!$J$21:$J$501),0))</f>
        <v>0</v>
      </c>
      <c r="E157" s="252">
        <f>IFERROR(SUMIF('מצבת והרשמה (2)'!$F$21:$F$501,'דוח ביצוע (3)'!$B157,'מצבת והרשמה (2)'!$K$21:$K$501),0)</f>
        <v>0</v>
      </c>
      <c r="F157" s="253">
        <f t="shared" si="47"/>
        <v>0</v>
      </c>
      <c r="G157" s="680"/>
      <c r="H157" s="680"/>
      <c r="I157" s="253">
        <f t="shared" si="40"/>
        <v>0</v>
      </c>
      <c r="J157" s="453">
        <f t="shared" si="48"/>
        <v>0</v>
      </c>
      <c r="K157" s="689"/>
      <c r="L157" s="689"/>
      <c r="M157" s="969">
        <f t="shared" si="49"/>
        <v>0</v>
      </c>
      <c r="N157" s="1029" t="str">
        <f t="shared" si="50"/>
        <v/>
      </c>
      <c r="O157" s="969" t="str">
        <f>IFERROR(VLOOKUP(B157,'נתוני רישום ומצבת'!B:Q,16,0),"")</f>
        <v/>
      </c>
      <c r="P157" s="969" t="str">
        <f>IFERROR(VLOOKUP(B157,'נתוני רישום ומצבת'!B:R,17,0),"")</f>
        <v/>
      </c>
      <c r="Q157" s="690"/>
      <c r="R157" s="1009"/>
      <c r="S157" s="376">
        <f t="shared" si="51"/>
        <v>0</v>
      </c>
      <c r="T157" s="376">
        <f t="shared" si="52"/>
        <v>0</v>
      </c>
      <c r="U157" s="386">
        <f t="shared" si="53"/>
        <v>0</v>
      </c>
      <c r="V157" s="513" t="str">
        <f t="shared" si="54"/>
        <v/>
      </c>
      <c r="W157" s="254" t="str">
        <f>IF(ISBLANK(B157)," ",IF(B157=IFERROR(VLOOKUP(B157,'מצבת והרשמה (2)'!F:F,1,0),0),"תקין","לא קיים במצבת כבית ספר בו מתקיימת פעילות"))</f>
        <v xml:space="preserve"> </v>
      </c>
      <c r="X157" s="256" t="str">
        <f t="shared" si="41"/>
        <v/>
      </c>
      <c r="Y157" s="256" t="str">
        <f t="shared" si="42"/>
        <v/>
      </c>
      <c r="Z157" s="741">
        <f t="shared" si="43"/>
        <v>0</v>
      </c>
      <c r="AA157" s="741">
        <f t="shared" si="44"/>
        <v>0</v>
      </c>
      <c r="AB157" s="741">
        <f t="shared" si="45"/>
        <v>0</v>
      </c>
      <c r="AC157" s="987">
        <f t="shared" si="55"/>
        <v>0</v>
      </c>
      <c r="AD157" s="987">
        <f t="shared" si="56"/>
        <v>0</v>
      </c>
      <c r="AE157" s="368" t="str">
        <f>IFERROR(VLOOKUP(B157,'[1]סיכום בקרת רשויות'!$A:$D,4,0),"")</f>
        <v/>
      </c>
      <c r="AF157" s="57" t="str">
        <f t="shared" si="57"/>
        <v/>
      </c>
      <c r="AG157" s="180">
        <f>IF(AF157="כן",M157*'גנים ובתי ספר- מבנה תקציב'!$H$59,0)</f>
        <v>0</v>
      </c>
      <c r="AH157" s="180">
        <f>IF(AF157="כן",M157*'גנים ובתי ספר- מבנה תקציב'!$I$59,0)</f>
        <v>0</v>
      </c>
      <c r="AI157" s="180">
        <f t="shared" si="58"/>
        <v>0</v>
      </c>
      <c r="AJ157" s="368" t="str">
        <f t="shared" si="46"/>
        <v/>
      </c>
    </row>
    <row r="158" spans="1:36" x14ac:dyDescent="0.25">
      <c r="A158" s="57">
        <v>138</v>
      </c>
      <c r="B158" s="690"/>
      <c r="C158" s="690"/>
      <c r="D158" s="252">
        <f>(IFERROR(SUMIF('מצבת והרשמה (2)'!$F$21:$F$501,'דוח ביצוע (3)'!$B158,'מצבת והרשמה (2)'!$J$21:$J$501),0))</f>
        <v>0</v>
      </c>
      <c r="E158" s="252">
        <f>IFERROR(SUMIF('מצבת והרשמה (2)'!$F$21:$F$501,'דוח ביצוע (3)'!$B158,'מצבת והרשמה (2)'!$K$21:$K$501),0)</f>
        <v>0</v>
      </c>
      <c r="F158" s="253">
        <f t="shared" si="47"/>
        <v>0</v>
      </c>
      <c r="G158" s="680"/>
      <c r="H158" s="680"/>
      <c r="I158" s="253">
        <f t="shared" si="40"/>
        <v>0</v>
      </c>
      <c r="J158" s="453">
        <f t="shared" si="48"/>
        <v>0</v>
      </c>
      <c r="K158" s="689"/>
      <c r="L158" s="689"/>
      <c r="M158" s="969">
        <f t="shared" si="49"/>
        <v>0</v>
      </c>
      <c r="N158" s="1029" t="str">
        <f t="shared" si="50"/>
        <v/>
      </c>
      <c r="O158" s="969" t="str">
        <f>IFERROR(VLOOKUP(B158,'נתוני רישום ומצבת'!B:Q,16,0),"")</f>
        <v/>
      </c>
      <c r="P158" s="969" t="str">
        <f>IFERROR(VLOOKUP(B158,'נתוני רישום ומצבת'!B:R,17,0),"")</f>
        <v/>
      </c>
      <c r="Q158" s="690"/>
      <c r="R158" s="1009"/>
      <c r="S158" s="376">
        <f t="shared" si="51"/>
        <v>0</v>
      </c>
      <c r="T158" s="376">
        <f t="shared" si="52"/>
        <v>0</v>
      </c>
      <c r="U158" s="386">
        <f t="shared" si="53"/>
        <v>0</v>
      </c>
      <c r="V158" s="513" t="str">
        <f t="shared" si="54"/>
        <v/>
      </c>
      <c r="W158" s="254" t="str">
        <f>IF(ISBLANK(B158)," ",IF(B158=IFERROR(VLOOKUP(B158,'מצבת והרשמה (2)'!F:F,1,0),0),"תקין","לא קיים במצבת כבית ספר בו מתקיימת פעילות"))</f>
        <v xml:space="preserve"> </v>
      </c>
      <c r="X158" s="256" t="str">
        <f t="shared" si="41"/>
        <v/>
      </c>
      <c r="Y158" s="256" t="str">
        <f t="shared" si="42"/>
        <v/>
      </c>
      <c r="Z158" s="741">
        <f t="shared" si="43"/>
        <v>0</v>
      </c>
      <c r="AA158" s="741">
        <f t="shared" si="44"/>
        <v>0</v>
      </c>
      <c r="AB158" s="741">
        <f t="shared" si="45"/>
        <v>0</v>
      </c>
      <c r="AC158" s="987">
        <f t="shared" si="55"/>
        <v>0</v>
      </c>
      <c r="AD158" s="987">
        <f t="shared" si="56"/>
        <v>0</v>
      </c>
      <c r="AE158" s="368" t="str">
        <f>IFERROR(VLOOKUP(B158,'[1]סיכום בקרת רשויות'!$A:$D,4,0),"")</f>
        <v/>
      </c>
      <c r="AF158" s="57" t="str">
        <f t="shared" si="57"/>
        <v/>
      </c>
      <c r="AG158" s="180">
        <f>IF(AF158="כן",M158*'גנים ובתי ספר- מבנה תקציב'!$H$59,0)</f>
        <v>0</v>
      </c>
      <c r="AH158" s="180">
        <f>IF(AF158="כן",M158*'גנים ובתי ספר- מבנה תקציב'!$I$59,0)</f>
        <v>0</v>
      </c>
      <c r="AI158" s="180">
        <f t="shared" si="58"/>
        <v>0</v>
      </c>
      <c r="AJ158" s="368" t="str">
        <f t="shared" si="46"/>
        <v/>
      </c>
    </row>
    <row r="159" spans="1:36" x14ac:dyDescent="0.25">
      <c r="A159" s="57">
        <v>139</v>
      </c>
      <c r="B159" s="690"/>
      <c r="C159" s="690"/>
      <c r="D159" s="252">
        <f>(IFERROR(SUMIF('מצבת והרשמה (2)'!$F$21:$F$501,'דוח ביצוע (3)'!$B159,'מצבת והרשמה (2)'!$J$21:$J$501),0))</f>
        <v>0</v>
      </c>
      <c r="E159" s="252">
        <f>IFERROR(SUMIF('מצבת והרשמה (2)'!$F$21:$F$501,'דוח ביצוע (3)'!$B159,'מצבת והרשמה (2)'!$K$21:$K$501),0)</f>
        <v>0</v>
      </c>
      <c r="F159" s="253">
        <f t="shared" si="47"/>
        <v>0</v>
      </c>
      <c r="G159" s="680"/>
      <c r="H159" s="680"/>
      <c r="I159" s="253">
        <f t="shared" si="40"/>
        <v>0</v>
      </c>
      <c r="J159" s="453">
        <f t="shared" si="48"/>
        <v>0</v>
      </c>
      <c r="K159" s="689"/>
      <c r="L159" s="689"/>
      <c r="M159" s="969">
        <f t="shared" si="49"/>
        <v>0</v>
      </c>
      <c r="N159" s="1029" t="str">
        <f t="shared" si="50"/>
        <v/>
      </c>
      <c r="O159" s="969" t="str">
        <f>IFERROR(VLOOKUP(B159,'נתוני רישום ומצבת'!B:Q,16,0),"")</f>
        <v/>
      </c>
      <c r="P159" s="969" t="str">
        <f>IFERROR(VLOOKUP(B159,'נתוני רישום ומצבת'!B:R,17,0),"")</f>
        <v/>
      </c>
      <c r="Q159" s="690"/>
      <c r="R159" s="1009"/>
      <c r="S159" s="376">
        <f t="shared" si="51"/>
        <v>0</v>
      </c>
      <c r="T159" s="376">
        <f t="shared" si="52"/>
        <v>0</v>
      </c>
      <c r="U159" s="386">
        <f t="shared" si="53"/>
        <v>0</v>
      </c>
      <c r="V159" s="513" t="str">
        <f t="shared" si="54"/>
        <v/>
      </c>
      <c r="W159" s="254" t="str">
        <f>IF(ISBLANK(B159)," ",IF(B159=IFERROR(VLOOKUP(B159,'מצבת והרשמה (2)'!F:F,1,0),0),"תקין","לא קיים במצבת כבית ספר בו מתקיימת פעילות"))</f>
        <v xml:space="preserve"> </v>
      </c>
      <c r="X159" s="256" t="str">
        <f t="shared" si="41"/>
        <v/>
      </c>
      <c r="Y159" s="256" t="str">
        <f t="shared" si="42"/>
        <v/>
      </c>
      <c r="Z159" s="741">
        <f t="shared" si="43"/>
        <v>0</v>
      </c>
      <c r="AA159" s="741">
        <f t="shared" si="44"/>
        <v>0</v>
      </c>
      <c r="AB159" s="741">
        <f t="shared" si="45"/>
        <v>0</v>
      </c>
      <c r="AC159" s="987">
        <f t="shared" si="55"/>
        <v>0</v>
      </c>
      <c r="AD159" s="987">
        <f t="shared" si="56"/>
        <v>0</v>
      </c>
      <c r="AE159" s="368" t="str">
        <f>IFERROR(VLOOKUP(B159,'[1]סיכום בקרת רשויות'!$A:$D,4,0),"")</f>
        <v/>
      </c>
      <c r="AF159" s="57" t="str">
        <f t="shared" si="57"/>
        <v/>
      </c>
      <c r="AG159" s="180">
        <f>IF(AF159="כן",M159*'גנים ובתי ספר- מבנה תקציב'!$H$59,0)</f>
        <v>0</v>
      </c>
      <c r="AH159" s="180">
        <f>IF(AF159="כן",M159*'גנים ובתי ספר- מבנה תקציב'!$I$59,0)</f>
        <v>0</v>
      </c>
      <c r="AI159" s="180">
        <f t="shared" si="58"/>
        <v>0</v>
      </c>
      <c r="AJ159" s="368" t="str">
        <f t="shared" si="46"/>
        <v/>
      </c>
    </row>
    <row r="160" spans="1:36" x14ac:dyDescent="0.25">
      <c r="A160" s="57">
        <v>140</v>
      </c>
      <c r="B160" s="690"/>
      <c r="C160" s="690"/>
      <c r="D160" s="252">
        <f>(IFERROR(SUMIF('מצבת והרשמה (2)'!$F$21:$F$501,'דוח ביצוע (3)'!$B160,'מצבת והרשמה (2)'!$J$21:$J$501),0))</f>
        <v>0</v>
      </c>
      <c r="E160" s="252">
        <f>IFERROR(SUMIF('מצבת והרשמה (2)'!$F$21:$F$501,'דוח ביצוע (3)'!$B160,'מצבת והרשמה (2)'!$K$21:$K$501),0)</f>
        <v>0</v>
      </c>
      <c r="F160" s="253">
        <f t="shared" si="47"/>
        <v>0</v>
      </c>
      <c r="G160" s="680"/>
      <c r="H160" s="680"/>
      <c r="I160" s="253">
        <f t="shared" si="40"/>
        <v>0</v>
      </c>
      <c r="J160" s="453">
        <f t="shared" si="48"/>
        <v>0</v>
      </c>
      <c r="K160" s="689"/>
      <c r="L160" s="689"/>
      <c r="M160" s="969">
        <f t="shared" si="49"/>
        <v>0</v>
      </c>
      <c r="N160" s="1029" t="str">
        <f t="shared" si="50"/>
        <v/>
      </c>
      <c r="O160" s="969" t="str">
        <f>IFERROR(VLOOKUP(B160,'נתוני רישום ומצבת'!B:Q,16,0),"")</f>
        <v/>
      </c>
      <c r="P160" s="969" t="str">
        <f>IFERROR(VLOOKUP(B160,'נתוני רישום ומצבת'!B:R,17,0),"")</f>
        <v/>
      </c>
      <c r="Q160" s="690"/>
      <c r="R160" s="1009"/>
      <c r="S160" s="376">
        <f t="shared" si="51"/>
        <v>0</v>
      </c>
      <c r="T160" s="376">
        <f t="shared" si="52"/>
        <v>0</v>
      </c>
      <c r="U160" s="386">
        <f t="shared" si="53"/>
        <v>0</v>
      </c>
      <c r="V160" s="513" t="str">
        <f t="shared" si="54"/>
        <v/>
      </c>
      <c r="W160" s="254" t="str">
        <f>IF(ISBLANK(B160)," ",IF(B160=IFERROR(VLOOKUP(B160,'מצבת והרשמה (2)'!F:F,1,0),0),"תקין","לא קיים במצבת כבית ספר בו מתקיימת פעילות"))</f>
        <v xml:space="preserve"> </v>
      </c>
      <c r="X160" s="256" t="str">
        <f t="shared" si="41"/>
        <v/>
      </c>
      <c r="Y160" s="256" t="str">
        <f t="shared" si="42"/>
        <v/>
      </c>
      <c r="Z160" s="741">
        <f t="shared" si="43"/>
        <v>0</v>
      </c>
      <c r="AA160" s="741">
        <f t="shared" si="44"/>
        <v>0</v>
      </c>
      <c r="AB160" s="741">
        <f t="shared" si="45"/>
        <v>0</v>
      </c>
      <c r="AC160" s="987">
        <f t="shared" si="55"/>
        <v>0</v>
      </c>
      <c r="AD160" s="987">
        <f t="shared" si="56"/>
        <v>0</v>
      </c>
      <c r="AE160" s="368" t="str">
        <f>IFERROR(VLOOKUP(B160,'[1]סיכום בקרת רשויות'!$A:$D,4,0),"")</f>
        <v/>
      </c>
      <c r="AF160" s="57" t="str">
        <f t="shared" si="57"/>
        <v/>
      </c>
      <c r="AG160" s="180">
        <f>IF(AF160="כן",M160*'גנים ובתי ספר- מבנה תקציב'!$H$59,0)</f>
        <v>0</v>
      </c>
      <c r="AH160" s="180">
        <f>IF(AF160="כן",M160*'גנים ובתי ספר- מבנה תקציב'!$I$59,0)</f>
        <v>0</v>
      </c>
      <c r="AI160" s="180">
        <f t="shared" si="58"/>
        <v>0</v>
      </c>
      <c r="AJ160" s="368" t="str">
        <f t="shared" si="46"/>
        <v/>
      </c>
    </row>
    <row r="161" spans="1:36" x14ac:dyDescent="0.25">
      <c r="A161" s="57">
        <v>141</v>
      </c>
      <c r="B161" s="690"/>
      <c r="C161" s="690"/>
      <c r="D161" s="252">
        <f>(IFERROR(SUMIF('מצבת והרשמה (2)'!$F$21:$F$501,'דוח ביצוע (3)'!$B161,'מצבת והרשמה (2)'!$J$21:$J$501),0))</f>
        <v>0</v>
      </c>
      <c r="E161" s="252">
        <f>IFERROR(SUMIF('מצבת והרשמה (2)'!$F$21:$F$501,'דוח ביצוע (3)'!$B161,'מצבת והרשמה (2)'!$K$21:$K$501),0)</f>
        <v>0</v>
      </c>
      <c r="F161" s="253">
        <f t="shared" si="47"/>
        <v>0</v>
      </c>
      <c r="G161" s="680"/>
      <c r="H161" s="680"/>
      <c r="I161" s="253">
        <f t="shared" si="40"/>
        <v>0</v>
      </c>
      <c r="J161" s="453">
        <f t="shared" si="48"/>
        <v>0</v>
      </c>
      <c r="K161" s="689"/>
      <c r="L161" s="689"/>
      <c r="M161" s="969">
        <f t="shared" si="49"/>
        <v>0</v>
      </c>
      <c r="N161" s="1029" t="str">
        <f t="shared" si="50"/>
        <v/>
      </c>
      <c r="O161" s="969" t="str">
        <f>IFERROR(VLOOKUP(B161,'נתוני רישום ומצבת'!B:Q,16,0),"")</f>
        <v/>
      </c>
      <c r="P161" s="969" t="str">
        <f>IFERROR(VLOOKUP(B161,'נתוני רישום ומצבת'!B:R,17,0),"")</f>
        <v/>
      </c>
      <c r="Q161" s="690"/>
      <c r="R161" s="1009"/>
      <c r="S161" s="376">
        <f t="shared" si="51"/>
        <v>0</v>
      </c>
      <c r="T161" s="376">
        <f t="shared" si="52"/>
        <v>0</v>
      </c>
      <c r="U161" s="386">
        <f t="shared" si="53"/>
        <v>0</v>
      </c>
      <c r="V161" s="513" t="str">
        <f t="shared" si="54"/>
        <v/>
      </c>
      <c r="W161" s="254" t="str">
        <f>IF(ISBLANK(B161)," ",IF(B161=IFERROR(VLOOKUP(B161,'מצבת והרשמה (2)'!F:F,1,0),0),"תקין","לא קיים במצבת כבית ספר בו מתקיימת פעילות"))</f>
        <v xml:space="preserve"> </v>
      </c>
      <c r="X161" s="256" t="str">
        <f t="shared" si="41"/>
        <v/>
      </c>
      <c r="Y161" s="256" t="str">
        <f t="shared" si="42"/>
        <v/>
      </c>
      <c r="Z161" s="741">
        <f t="shared" si="43"/>
        <v>0</v>
      </c>
      <c r="AA161" s="741">
        <f t="shared" si="44"/>
        <v>0</v>
      </c>
      <c r="AB161" s="741">
        <f t="shared" si="45"/>
        <v>0</v>
      </c>
      <c r="AC161" s="987">
        <f t="shared" si="55"/>
        <v>0</v>
      </c>
      <c r="AD161" s="987">
        <f t="shared" si="56"/>
        <v>0</v>
      </c>
      <c r="AE161" s="368" t="str">
        <f>IFERROR(VLOOKUP(B161,'[1]סיכום בקרת רשויות'!$A:$D,4,0),"")</f>
        <v/>
      </c>
      <c r="AF161" s="57" t="str">
        <f t="shared" si="57"/>
        <v/>
      </c>
      <c r="AG161" s="180">
        <f>IF(AF161="כן",M161*'גנים ובתי ספר- מבנה תקציב'!$H$59,0)</f>
        <v>0</v>
      </c>
      <c r="AH161" s="180">
        <f>IF(AF161="כן",M161*'גנים ובתי ספר- מבנה תקציב'!$I$59,0)</f>
        <v>0</v>
      </c>
      <c r="AI161" s="180">
        <f t="shared" si="58"/>
        <v>0</v>
      </c>
      <c r="AJ161" s="368" t="str">
        <f t="shared" si="46"/>
        <v/>
      </c>
    </row>
    <row r="162" spans="1:36" x14ac:dyDescent="0.25">
      <c r="A162" s="57">
        <v>142</v>
      </c>
      <c r="B162" s="690"/>
      <c r="C162" s="690"/>
      <c r="D162" s="252">
        <f>(IFERROR(SUMIF('מצבת והרשמה (2)'!$F$21:$F$501,'דוח ביצוע (3)'!$B162,'מצבת והרשמה (2)'!$J$21:$J$501),0))</f>
        <v>0</v>
      </c>
      <c r="E162" s="252">
        <f>IFERROR(SUMIF('מצבת והרשמה (2)'!$F$21:$F$501,'דוח ביצוע (3)'!$B162,'מצבת והרשמה (2)'!$K$21:$K$501),0)</f>
        <v>0</v>
      </c>
      <c r="F162" s="253">
        <f t="shared" si="47"/>
        <v>0</v>
      </c>
      <c r="G162" s="680"/>
      <c r="H162" s="680"/>
      <c r="I162" s="253">
        <f t="shared" si="40"/>
        <v>0</v>
      </c>
      <c r="J162" s="453">
        <f t="shared" si="48"/>
        <v>0</v>
      </c>
      <c r="K162" s="689"/>
      <c r="L162" s="689"/>
      <c r="M162" s="969">
        <f t="shared" si="49"/>
        <v>0</v>
      </c>
      <c r="N162" s="1029" t="str">
        <f t="shared" si="50"/>
        <v/>
      </c>
      <c r="O162" s="969" t="str">
        <f>IFERROR(VLOOKUP(B162,'נתוני רישום ומצבת'!B:Q,16,0),"")</f>
        <v/>
      </c>
      <c r="P162" s="969" t="str">
        <f>IFERROR(VLOOKUP(B162,'נתוני רישום ומצבת'!B:R,17,0),"")</f>
        <v/>
      </c>
      <c r="Q162" s="690"/>
      <c r="R162" s="1009"/>
      <c r="S162" s="376">
        <f t="shared" si="51"/>
        <v>0</v>
      </c>
      <c r="T162" s="376">
        <f t="shared" si="52"/>
        <v>0</v>
      </c>
      <c r="U162" s="386">
        <f t="shared" si="53"/>
        <v>0</v>
      </c>
      <c r="V162" s="513" t="str">
        <f t="shared" si="54"/>
        <v/>
      </c>
      <c r="W162" s="254" t="str">
        <f>IF(ISBLANK(B162)," ",IF(B162=IFERROR(VLOOKUP(B162,'מצבת והרשמה (2)'!F:F,1,0),0),"תקין","לא קיים במצבת כבית ספר בו מתקיימת פעילות"))</f>
        <v xml:space="preserve"> </v>
      </c>
      <c r="X162" s="256" t="str">
        <f t="shared" si="41"/>
        <v/>
      </c>
      <c r="Y162" s="256" t="str">
        <f t="shared" si="42"/>
        <v/>
      </c>
      <c r="Z162" s="741">
        <f t="shared" si="43"/>
        <v>0</v>
      </c>
      <c r="AA162" s="741">
        <f t="shared" si="44"/>
        <v>0</v>
      </c>
      <c r="AB162" s="741">
        <f t="shared" si="45"/>
        <v>0</v>
      </c>
      <c r="AC162" s="987">
        <f t="shared" si="55"/>
        <v>0</v>
      </c>
      <c r="AD162" s="987">
        <f t="shared" si="56"/>
        <v>0</v>
      </c>
      <c r="AE162" s="368" t="str">
        <f>IFERROR(VLOOKUP(B162,'[1]סיכום בקרת רשויות'!$A:$D,4,0),"")</f>
        <v/>
      </c>
      <c r="AF162" s="57" t="str">
        <f t="shared" si="57"/>
        <v/>
      </c>
      <c r="AG162" s="180">
        <f>IF(AF162="כן",M162*'גנים ובתי ספר- מבנה תקציב'!$H$59,0)</f>
        <v>0</v>
      </c>
      <c r="AH162" s="180">
        <f>IF(AF162="כן",M162*'גנים ובתי ספר- מבנה תקציב'!$I$59,0)</f>
        <v>0</v>
      </c>
      <c r="AI162" s="180">
        <f t="shared" si="58"/>
        <v>0</v>
      </c>
      <c r="AJ162" s="368" t="str">
        <f t="shared" si="46"/>
        <v/>
      </c>
    </row>
    <row r="163" spans="1:36" x14ac:dyDescent="0.25">
      <c r="A163" s="57">
        <v>143</v>
      </c>
      <c r="B163" s="690"/>
      <c r="C163" s="690"/>
      <c r="D163" s="252">
        <f>(IFERROR(SUMIF('מצבת והרשמה (2)'!$F$21:$F$501,'דוח ביצוע (3)'!$B163,'מצבת והרשמה (2)'!$J$21:$J$501),0))</f>
        <v>0</v>
      </c>
      <c r="E163" s="252">
        <f>IFERROR(SUMIF('מצבת והרשמה (2)'!$F$21:$F$501,'דוח ביצוע (3)'!$B163,'מצבת והרשמה (2)'!$K$21:$K$501),0)</f>
        <v>0</v>
      </c>
      <c r="F163" s="253">
        <f t="shared" si="47"/>
        <v>0</v>
      </c>
      <c r="G163" s="680"/>
      <c r="H163" s="680"/>
      <c r="I163" s="253">
        <f t="shared" si="40"/>
        <v>0</v>
      </c>
      <c r="J163" s="453">
        <f t="shared" si="48"/>
        <v>0</v>
      </c>
      <c r="K163" s="689"/>
      <c r="L163" s="689"/>
      <c r="M163" s="969">
        <f t="shared" si="49"/>
        <v>0</v>
      </c>
      <c r="N163" s="1029" t="str">
        <f t="shared" si="50"/>
        <v/>
      </c>
      <c r="O163" s="969" t="str">
        <f>IFERROR(VLOOKUP(B163,'נתוני רישום ומצבת'!B:Q,16,0),"")</f>
        <v/>
      </c>
      <c r="P163" s="969" t="str">
        <f>IFERROR(VLOOKUP(B163,'נתוני רישום ומצבת'!B:R,17,0),"")</f>
        <v/>
      </c>
      <c r="Q163" s="690"/>
      <c r="R163" s="1009"/>
      <c r="S163" s="376">
        <f t="shared" si="51"/>
        <v>0</v>
      </c>
      <c r="T163" s="376">
        <f t="shared" si="52"/>
        <v>0</v>
      </c>
      <c r="U163" s="386">
        <f t="shared" si="53"/>
        <v>0</v>
      </c>
      <c r="V163" s="513" t="str">
        <f t="shared" si="54"/>
        <v/>
      </c>
      <c r="W163" s="254" t="str">
        <f>IF(ISBLANK(B163)," ",IF(B163=IFERROR(VLOOKUP(B163,'מצבת והרשמה (2)'!F:F,1,0),0),"תקין","לא קיים במצבת כבית ספר בו מתקיימת פעילות"))</f>
        <v xml:space="preserve"> </v>
      </c>
      <c r="X163" s="256" t="str">
        <f t="shared" si="41"/>
        <v/>
      </c>
      <c r="Y163" s="256" t="str">
        <f t="shared" si="42"/>
        <v/>
      </c>
      <c r="Z163" s="741">
        <f t="shared" si="43"/>
        <v>0</v>
      </c>
      <c r="AA163" s="741">
        <f t="shared" si="44"/>
        <v>0</v>
      </c>
      <c r="AB163" s="741">
        <f t="shared" si="45"/>
        <v>0</v>
      </c>
      <c r="AC163" s="987">
        <f t="shared" si="55"/>
        <v>0</v>
      </c>
      <c r="AD163" s="987">
        <f t="shared" si="56"/>
        <v>0</v>
      </c>
      <c r="AE163" s="368" t="str">
        <f>IFERROR(VLOOKUP(B163,'[1]סיכום בקרת רשויות'!$A:$D,4,0),"")</f>
        <v/>
      </c>
      <c r="AF163" s="57" t="str">
        <f t="shared" si="57"/>
        <v/>
      </c>
      <c r="AG163" s="180">
        <f>IF(AF163="כן",M163*'גנים ובתי ספר- מבנה תקציב'!$H$59,0)</f>
        <v>0</v>
      </c>
      <c r="AH163" s="180">
        <f>IF(AF163="כן",M163*'גנים ובתי ספר- מבנה תקציב'!$I$59,0)</f>
        <v>0</v>
      </c>
      <c r="AI163" s="180">
        <f t="shared" si="58"/>
        <v>0</v>
      </c>
      <c r="AJ163" s="368" t="str">
        <f t="shared" si="46"/>
        <v/>
      </c>
    </row>
    <row r="164" spans="1:36" x14ac:dyDescent="0.25">
      <c r="A164" s="57">
        <v>144</v>
      </c>
      <c r="B164" s="690"/>
      <c r="C164" s="690"/>
      <c r="D164" s="252">
        <f>(IFERROR(SUMIF('מצבת והרשמה (2)'!$F$21:$F$501,'דוח ביצוע (3)'!$B164,'מצבת והרשמה (2)'!$J$21:$J$501),0))</f>
        <v>0</v>
      </c>
      <c r="E164" s="252">
        <f>IFERROR(SUMIF('מצבת והרשמה (2)'!$F$21:$F$501,'דוח ביצוע (3)'!$B164,'מצבת והרשמה (2)'!$K$21:$K$501),0)</f>
        <v>0</v>
      </c>
      <c r="F164" s="253">
        <f t="shared" si="47"/>
        <v>0</v>
      </c>
      <c r="G164" s="680"/>
      <c r="H164" s="680"/>
      <c r="I164" s="253">
        <f t="shared" si="40"/>
        <v>0</v>
      </c>
      <c r="J164" s="453">
        <f t="shared" si="48"/>
        <v>0</v>
      </c>
      <c r="K164" s="689"/>
      <c r="L164" s="689"/>
      <c r="M164" s="969">
        <f t="shared" si="49"/>
        <v>0</v>
      </c>
      <c r="N164" s="1029" t="str">
        <f t="shared" si="50"/>
        <v/>
      </c>
      <c r="O164" s="969" t="str">
        <f>IFERROR(VLOOKUP(B164,'נתוני רישום ומצבת'!B:Q,16,0),"")</f>
        <v/>
      </c>
      <c r="P164" s="969" t="str">
        <f>IFERROR(VLOOKUP(B164,'נתוני רישום ומצבת'!B:R,17,0),"")</f>
        <v/>
      </c>
      <c r="Q164" s="690"/>
      <c r="R164" s="1009"/>
      <c r="S164" s="376">
        <f t="shared" si="51"/>
        <v>0</v>
      </c>
      <c r="T164" s="376">
        <f t="shared" si="52"/>
        <v>0</v>
      </c>
      <c r="U164" s="386">
        <f t="shared" si="53"/>
        <v>0</v>
      </c>
      <c r="V164" s="513" t="str">
        <f t="shared" si="54"/>
        <v/>
      </c>
      <c r="W164" s="254" t="str">
        <f>IF(ISBLANK(B164)," ",IF(B164=IFERROR(VLOOKUP(B164,'מצבת והרשמה (2)'!F:F,1,0),0),"תקין","לא קיים במצבת כבית ספר בו מתקיימת פעילות"))</f>
        <v xml:space="preserve"> </v>
      </c>
      <c r="X164" s="256" t="str">
        <f t="shared" si="41"/>
        <v/>
      </c>
      <c r="Y164" s="256" t="str">
        <f t="shared" si="42"/>
        <v/>
      </c>
      <c r="Z164" s="741">
        <f t="shared" si="43"/>
        <v>0</v>
      </c>
      <c r="AA164" s="741">
        <f t="shared" si="44"/>
        <v>0</v>
      </c>
      <c r="AB164" s="741">
        <f t="shared" si="45"/>
        <v>0</v>
      </c>
      <c r="AC164" s="987">
        <f t="shared" si="55"/>
        <v>0</v>
      </c>
      <c r="AD164" s="987">
        <f t="shared" si="56"/>
        <v>0</v>
      </c>
      <c r="AE164" s="368" t="str">
        <f>IFERROR(VLOOKUP(B164,'[1]סיכום בקרת רשויות'!$A:$D,4,0),"")</f>
        <v/>
      </c>
      <c r="AF164" s="57" t="str">
        <f t="shared" si="57"/>
        <v/>
      </c>
      <c r="AG164" s="180">
        <f>IF(AF164="כן",M164*'גנים ובתי ספר- מבנה תקציב'!$H$59,0)</f>
        <v>0</v>
      </c>
      <c r="AH164" s="180">
        <f>IF(AF164="כן",M164*'גנים ובתי ספר- מבנה תקציב'!$I$59,0)</f>
        <v>0</v>
      </c>
      <c r="AI164" s="180">
        <f t="shared" si="58"/>
        <v>0</v>
      </c>
      <c r="AJ164" s="368" t="str">
        <f t="shared" si="46"/>
        <v/>
      </c>
    </row>
    <row r="165" spans="1:36" x14ac:dyDescent="0.25">
      <c r="A165" s="57">
        <v>145</v>
      </c>
      <c r="B165" s="690"/>
      <c r="C165" s="690"/>
      <c r="D165" s="252">
        <f>(IFERROR(SUMIF('מצבת והרשמה (2)'!$F$21:$F$501,'דוח ביצוע (3)'!$B165,'מצבת והרשמה (2)'!$J$21:$J$501),0))</f>
        <v>0</v>
      </c>
      <c r="E165" s="252">
        <f>IFERROR(SUMIF('מצבת והרשמה (2)'!$F$21:$F$501,'דוח ביצוע (3)'!$B165,'מצבת והרשמה (2)'!$K$21:$K$501),0)</f>
        <v>0</v>
      </c>
      <c r="F165" s="253">
        <f t="shared" si="47"/>
        <v>0</v>
      </c>
      <c r="G165" s="680"/>
      <c r="H165" s="680"/>
      <c r="I165" s="253">
        <f t="shared" si="40"/>
        <v>0</v>
      </c>
      <c r="J165" s="453">
        <f t="shared" si="48"/>
        <v>0</v>
      </c>
      <c r="K165" s="689"/>
      <c r="L165" s="689"/>
      <c r="M165" s="969">
        <f t="shared" si="49"/>
        <v>0</v>
      </c>
      <c r="N165" s="1029" t="str">
        <f t="shared" si="50"/>
        <v/>
      </c>
      <c r="O165" s="969" t="str">
        <f>IFERROR(VLOOKUP(B165,'נתוני רישום ומצבת'!B:Q,16,0),"")</f>
        <v/>
      </c>
      <c r="P165" s="969" t="str">
        <f>IFERROR(VLOOKUP(B165,'נתוני רישום ומצבת'!B:R,17,0),"")</f>
        <v/>
      </c>
      <c r="Q165" s="690"/>
      <c r="R165" s="1009"/>
      <c r="S165" s="376">
        <f t="shared" si="51"/>
        <v>0</v>
      </c>
      <c r="T165" s="376">
        <f t="shared" si="52"/>
        <v>0</v>
      </c>
      <c r="U165" s="386">
        <f t="shared" si="53"/>
        <v>0</v>
      </c>
      <c r="V165" s="513" t="str">
        <f t="shared" si="54"/>
        <v/>
      </c>
      <c r="W165" s="254" t="str">
        <f>IF(ISBLANK(B165)," ",IF(B165=IFERROR(VLOOKUP(B165,'מצבת והרשמה (2)'!F:F,1,0),0),"תקין","לא קיים במצבת כבית ספר בו מתקיימת פעילות"))</f>
        <v xml:space="preserve"> </v>
      </c>
      <c r="X165" s="256" t="str">
        <f t="shared" si="41"/>
        <v/>
      </c>
      <c r="Y165" s="256" t="str">
        <f t="shared" si="42"/>
        <v/>
      </c>
      <c r="Z165" s="741">
        <f t="shared" si="43"/>
        <v>0</v>
      </c>
      <c r="AA165" s="741">
        <f t="shared" si="44"/>
        <v>0</v>
      </c>
      <c r="AB165" s="741">
        <f t="shared" si="45"/>
        <v>0</v>
      </c>
      <c r="AC165" s="987">
        <f t="shared" si="55"/>
        <v>0</v>
      </c>
      <c r="AD165" s="987">
        <f t="shared" si="56"/>
        <v>0</v>
      </c>
      <c r="AE165" s="368" t="str">
        <f>IFERROR(VLOOKUP(B165,'[1]סיכום בקרת רשויות'!$A:$D,4,0),"")</f>
        <v/>
      </c>
      <c r="AF165" s="57" t="str">
        <f t="shared" si="57"/>
        <v/>
      </c>
      <c r="AG165" s="180">
        <f>IF(AF165="כן",M165*'גנים ובתי ספר- מבנה תקציב'!$H$59,0)</f>
        <v>0</v>
      </c>
      <c r="AH165" s="180">
        <f>IF(AF165="כן",M165*'גנים ובתי ספר- מבנה תקציב'!$I$59,0)</f>
        <v>0</v>
      </c>
      <c r="AI165" s="180">
        <f t="shared" si="58"/>
        <v>0</v>
      </c>
      <c r="AJ165" s="368" t="str">
        <f t="shared" si="46"/>
        <v/>
      </c>
    </row>
    <row r="166" spans="1:36" x14ac:dyDescent="0.25">
      <c r="A166" s="57">
        <v>146</v>
      </c>
      <c r="B166" s="690"/>
      <c r="C166" s="690"/>
      <c r="D166" s="252">
        <f>(IFERROR(SUMIF('מצבת והרשמה (2)'!$F$21:$F$501,'דוח ביצוע (3)'!$B166,'מצבת והרשמה (2)'!$J$21:$J$501),0))</f>
        <v>0</v>
      </c>
      <c r="E166" s="252">
        <f>IFERROR(SUMIF('מצבת והרשמה (2)'!$F$21:$F$501,'דוח ביצוע (3)'!$B166,'מצבת והרשמה (2)'!$K$21:$K$501),0)</f>
        <v>0</v>
      </c>
      <c r="F166" s="253">
        <f t="shared" si="47"/>
        <v>0</v>
      </c>
      <c r="G166" s="680"/>
      <c r="H166" s="680"/>
      <c r="I166" s="253">
        <f t="shared" si="40"/>
        <v>0</v>
      </c>
      <c r="J166" s="453">
        <f t="shared" si="48"/>
        <v>0</v>
      </c>
      <c r="K166" s="689"/>
      <c r="L166" s="689"/>
      <c r="M166" s="969">
        <f t="shared" si="49"/>
        <v>0</v>
      </c>
      <c r="N166" s="1029" t="str">
        <f t="shared" si="50"/>
        <v/>
      </c>
      <c r="O166" s="969" t="str">
        <f>IFERROR(VLOOKUP(B166,'נתוני רישום ומצבת'!B:Q,16,0),"")</f>
        <v/>
      </c>
      <c r="P166" s="969" t="str">
        <f>IFERROR(VLOOKUP(B166,'נתוני רישום ומצבת'!B:R,17,0),"")</f>
        <v/>
      </c>
      <c r="Q166" s="690"/>
      <c r="R166" s="1009"/>
      <c r="S166" s="376">
        <f t="shared" si="51"/>
        <v>0</v>
      </c>
      <c r="T166" s="376">
        <f t="shared" si="52"/>
        <v>0</v>
      </c>
      <c r="U166" s="386">
        <f t="shared" si="53"/>
        <v>0</v>
      </c>
      <c r="V166" s="513" t="str">
        <f t="shared" si="54"/>
        <v/>
      </c>
      <c r="W166" s="254" t="str">
        <f>IF(ISBLANK(B166)," ",IF(B166=IFERROR(VLOOKUP(B166,'מצבת והרשמה (2)'!F:F,1,0),0),"תקין","לא קיים במצבת כבית ספר בו מתקיימת פעילות"))</f>
        <v xml:space="preserve"> </v>
      </c>
      <c r="X166" s="256" t="str">
        <f t="shared" si="41"/>
        <v/>
      </c>
      <c r="Y166" s="256" t="str">
        <f t="shared" si="42"/>
        <v/>
      </c>
      <c r="Z166" s="741">
        <f t="shared" si="43"/>
        <v>0</v>
      </c>
      <c r="AA166" s="741">
        <f t="shared" si="44"/>
        <v>0</v>
      </c>
      <c r="AB166" s="741">
        <f t="shared" si="45"/>
        <v>0</v>
      </c>
      <c r="AC166" s="987">
        <f t="shared" si="55"/>
        <v>0</v>
      </c>
      <c r="AD166" s="987">
        <f t="shared" si="56"/>
        <v>0</v>
      </c>
      <c r="AE166" s="368" t="str">
        <f>IFERROR(VLOOKUP(B166,'[1]סיכום בקרת רשויות'!$A:$D,4,0),"")</f>
        <v/>
      </c>
      <c r="AF166" s="57" t="str">
        <f t="shared" si="57"/>
        <v/>
      </c>
      <c r="AG166" s="180">
        <f>IF(AF166="כן",M166*'גנים ובתי ספר- מבנה תקציב'!$H$59,0)</f>
        <v>0</v>
      </c>
      <c r="AH166" s="180">
        <f>IF(AF166="כן",M166*'גנים ובתי ספר- מבנה תקציב'!$I$59,0)</f>
        <v>0</v>
      </c>
      <c r="AI166" s="180">
        <f t="shared" si="58"/>
        <v>0</v>
      </c>
      <c r="AJ166" s="368" t="str">
        <f t="shared" si="46"/>
        <v/>
      </c>
    </row>
    <row r="167" spans="1:36" x14ac:dyDescent="0.25">
      <c r="A167" s="57">
        <v>147</v>
      </c>
      <c r="B167" s="690"/>
      <c r="C167" s="690"/>
      <c r="D167" s="252">
        <f>(IFERROR(SUMIF('מצבת והרשמה (2)'!$F$21:$F$501,'דוח ביצוע (3)'!$B167,'מצבת והרשמה (2)'!$J$21:$J$501),0))</f>
        <v>0</v>
      </c>
      <c r="E167" s="252">
        <f>IFERROR(SUMIF('מצבת והרשמה (2)'!$F$21:$F$501,'דוח ביצוע (3)'!$B167,'מצבת והרשמה (2)'!$K$21:$K$501),0)</f>
        <v>0</v>
      </c>
      <c r="F167" s="253">
        <f t="shared" si="47"/>
        <v>0</v>
      </c>
      <c r="G167" s="680"/>
      <c r="H167" s="680"/>
      <c r="I167" s="253">
        <f t="shared" si="40"/>
        <v>0</v>
      </c>
      <c r="J167" s="453">
        <f t="shared" si="48"/>
        <v>0</v>
      </c>
      <c r="K167" s="689"/>
      <c r="L167" s="689"/>
      <c r="M167" s="969">
        <f t="shared" si="49"/>
        <v>0</v>
      </c>
      <c r="N167" s="1029" t="str">
        <f t="shared" si="50"/>
        <v/>
      </c>
      <c r="O167" s="969" t="str">
        <f>IFERROR(VLOOKUP(B167,'נתוני רישום ומצבת'!B:Q,16,0),"")</f>
        <v/>
      </c>
      <c r="P167" s="969" t="str">
        <f>IFERROR(VLOOKUP(B167,'נתוני רישום ומצבת'!B:R,17,0),"")</f>
        <v/>
      </c>
      <c r="Q167" s="690"/>
      <c r="R167" s="1009"/>
      <c r="S167" s="376">
        <f t="shared" si="51"/>
        <v>0</v>
      </c>
      <c r="T167" s="376">
        <f t="shared" si="52"/>
        <v>0</v>
      </c>
      <c r="U167" s="386">
        <f t="shared" si="53"/>
        <v>0</v>
      </c>
      <c r="V167" s="513" t="str">
        <f t="shared" si="54"/>
        <v/>
      </c>
      <c r="W167" s="254" t="str">
        <f>IF(ISBLANK(B167)," ",IF(B167=IFERROR(VLOOKUP(B167,'מצבת והרשמה (2)'!F:F,1,0),0),"תקין","לא קיים במצבת כבית ספר בו מתקיימת פעילות"))</f>
        <v xml:space="preserve"> </v>
      </c>
      <c r="X167" s="256" t="str">
        <f t="shared" si="41"/>
        <v/>
      </c>
      <c r="Y167" s="256" t="str">
        <f t="shared" si="42"/>
        <v/>
      </c>
      <c r="Z167" s="741">
        <f t="shared" si="43"/>
        <v>0</v>
      </c>
      <c r="AA167" s="741">
        <f t="shared" si="44"/>
        <v>0</v>
      </c>
      <c r="AB167" s="741">
        <f t="shared" si="45"/>
        <v>0</v>
      </c>
      <c r="AC167" s="987">
        <f t="shared" si="55"/>
        <v>0</v>
      </c>
      <c r="AD167" s="987">
        <f t="shared" si="56"/>
        <v>0</v>
      </c>
      <c r="AE167" s="368" t="str">
        <f>IFERROR(VLOOKUP(B167,'[1]סיכום בקרת רשויות'!$A:$D,4,0),"")</f>
        <v/>
      </c>
      <c r="AF167" s="57" t="str">
        <f t="shared" si="57"/>
        <v/>
      </c>
      <c r="AG167" s="180">
        <f>IF(AF167="כן",M167*'גנים ובתי ספר- מבנה תקציב'!$H$59,0)</f>
        <v>0</v>
      </c>
      <c r="AH167" s="180">
        <f>IF(AF167="כן",M167*'גנים ובתי ספר- מבנה תקציב'!$I$59,0)</f>
        <v>0</v>
      </c>
      <c r="AI167" s="180">
        <f t="shared" si="58"/>
        <v>0</v>
      </c>
      <c r="AJ167" s="368" t="str">
        <f t="shared" si="46"/>
        <v/>
      </c>
    </row>
    <row r="168" spans="1:36" x14ac:dyDescent="0.25">
      <c r="A168" s="57">
        <v>148</v>
      </c>
      <c r="B168" s="690"/>
      <c r="C168" s="690"/>
      <c r="D168" s="252">
        <f>(IFERROR(SUMIF('מצבת והרשמה (2)'!$F$21:$F$501,'דוח ביצוע (3)'!$B168,'מצבת והרשמה (2)'!$J$21:$J$501),0))</f>
        <v>0</v>
      </c>
      <c r="E168" s="252">
        <f>IFERROR(SUMIF('מצבת והרשמה (2)'!$F$21:$F$501,'דוח ביצוע (3)'!$B168,'מצבת והרשמה (2)'!$K$21:$K$501),0)</f>
        <v>0</v>
      </c>
      <c r="F168" s="253">
        <f t="shared" si="47"/>
        <v>0</v>
      </c>
      <c r="G168" s="680"/>
      <c r="H168" s="680"/>
      <c r="I168" s="253">
        <f t="shared" si="40"/>
        <v>0</v>
      </c>
      <c r="J168" s="453">
        <f t="shared" si="48"/>
        <v>0</v>
      </c>
      <c r="K168" s="689"/>
      <c r="L168" s="689"/>
      <c r="M168" s="969">
        <f t="shared" si="49"/>
        <v>0</v>
      </c>
      <c r="N168" s="1029" t="str">
        <f t="shared" si="50"/>
        <v/>
      </c>
      <c r="O168" s="969" t="str">
        <f>IFERROR(VLOOKUP(B168,'נתוני רישום ומצבת'!B:Q,16,0),"")</f>
        <v/>
      </c>
      <c r="P168" s="969" t="str">
        <f>IFERROR(VLOOKUP(B168,'נתוני רישום ומצבת'!B:R,17,0),"")</f>
        <v/>
      </c>
      <c r="Q168" s="690"/>
      <c r="R168" s="1009"/>
      <c r="S168" s="376">
        <f t="shared" si="51"/>
        <v>0</v>
      </c>
      <c r="T168" s="376">
        <f t="shared" si="52"/>
        <v>0</v>
      </c>
      <c r="U168" s="386">
        <f t="shared" si="53"/>
        <v>0</v>
      </c>
      <c r="V168" s="513" t="str">
        <f t="shared" si="54"/>
        <v/>
      </c>
      <c r="W168" s="254" t="str">
        <f>IF(ISBLANK(B168)," ",IF(B168=IFERROR(VLOOKUP(B168,'מצבת והרשמה (2)'!F:F,1,0),0),"תקין","לא קיים במצבת כבית ספר בו מתקיימת פעילות"))</f>
        <v xml:space="preserve"> </v>
      </c>
      <c r="X168" s="256" t="str">
        <f t="shared" si="41"/>
        <v/>
      </c>
      <c r="Y168" s="256" t="str">
        <f t="shared" si="42"/>
        <v/>
      </c>
      <c r="Z168" s="741">
        <f t="shared" si="43"/>
        <v>0</v>
      </c>
      <c r="AA168" s="741">
        <f t="shared" si="44"/>
        <v>0</v>
      </c>
      <c r="AB168" s="741">
        <f t="shared" si="45"/>
        <v>0</v>
      </c>
      <c r="AC168" s="987">
        <f t="shared" si="55"/>
        <v>0</v>
      </c>
      <c r="AD168" s="987">
        <f t="shared" si="56"/>
        <v>0</v>
      </c>
      <c r="AE168" s="368" t="str">
        <f>IFERROR(VLOOKUP(B168,'[1]סיכום בקרת רשויות'!$A:$D,4,0),"")</f>
        <v/>
      </c>
      <c r="AF168" s="57" t="str">
        <f t="shared" si="57"/>
        <v/>
      </c>
      <c r="AG168" s="180">
        <f>IF(AF168="כן",M168*'גנים ובתי ספר- מבנה תקציב'!$H$59,0)</f>
        <v>0</v>
      </c>
      <c r="AH168" s="180">
        <f>IF(AF168="כן",M168*'גנים ובתי ספר- מבנה תקציב'!$I$59,0)</f>
        <v>0</v>
      </c>
      <c r="AI168" s="180">
        <f t="shared" si="58"/>
        <v>0</v>
      </c>
      <c r="AJ168" s="368" t="str">
        <f t="shared" si="46"/>
        <v/>
      </c>
    </row>
    <row r="169" spans="1:36" x14ac:dyDescent="0.25">
      <c r="A169" s="57">
        <v>149</v>
      </c>
      <c r="B169" s="690"/>
      <c r="C169" s="690"/>
      <c r="D169" s="252">
        <f>(IFERROR(SUMIF('מצבת והרשמה (2)'!$F$21:$F$501,'דוח ביצוע (3)'!$B169,'מצבת והרשמה (2)'!$J$21:$J$501),0))</f>
        <v>0</v>
      </c>
      <c r="E169" s="252">
        <f>IFERROR(SUMIF('מצבת והרשמה (2)'!$F$21:$F$501,'דוח ביצוע (3)'!$B169,'מצבת והרשמה (2)'!$K$21:$K$501),0)</f>
        <v>0</v>
      </c>
      <c r="F169" s="253">
        <f t="shared" si="47"/>
        <v>0</v>
      </c>
      <c r="G169" s="680"/>
      <c r="H169" s="680"/>
      <c r="I169" s="253">
        <f t="shared" si="40"/>
        <v>0</v>
      </c>
      <c r="J169" s="453">
        <f t="shared" si="48"/>
        <v>0</v>
      </c>
      <c r="K169" s="689"/>
      <c r="L169" s="689"/>
      <c r="M169" s="969">
        <f t="shared" si="49"/>
        <v>0</v>
      </c>
      <c r="N169" s="1029" t="str">
        <f t="shared" si="50"/>
        <v/>
      </c>
      <c r="O169" s="969" t="str">
        <f>IFERROR(VLOOKUP(B169,'נתוני רישום ומצבת'!B:Q,16,0),"")</f>
        <v/>
      </c>
      <c r="P169" s="969" t="str">
        <f>IFERROR(VLOOKUP(B169,'נתוני רישום ומצבת'!B:R,17,0),"")</f>
        <v/>
      </c>
      <c r="Q169" s="690"/>
      <c r="R169" s="1009"/>
      <c r="S169" s="376">
        <f t="shared" si="51"/>
        <v>0</v>
      </c>
      <c r="T169" s="376">
        <f t="shared" si="52"/>
        <v>0</v>
      </c>
      <c r="U169" s="386">
        <f t="shared" si="53"/>
        <v>0</v>
      </c>
      <c r="V169" s="513" t="str">
        <f t="shared" si="54"/>
        <v/>
      </c>
      <c r="W169" s="254" t="str">
        <f>IF(ISBLANK(B169)," ",IF(B169=IFERROR(VLOOKUP(B169,'מצבת והרשמה (2)'!F:F,1,0),0),"תקין","לא קיים במצבת כבית ספר בו מתקיימת פעילות"))</f>
        <v xml:space="preserve"> </v>
      </c>
      <c r="X169" s="256" t="str">
        <f t="shared" si="41"/>
        <v/>
      </c>
      <c r="Y169" s="256" t="str">
        <f t="shared" si="42"/>
        <v/>
      </c>
      <c r="Z169" s="741">
        <f t="shared" si="43"/>
        <v>0</v>
      </c>
      <c r="AA169" s="741">
        <f t="shared" si="44"/>
        <v>0</v>
      </c>
      <c r="AB169" s="741">
        <f t="shared" si="45"/>
        <v>0</v>
      </c>
      <c r="AC169" s="987">
        <f t="shared" si="55"/>
        <v>0</v>
      </c>
      <c r="AD169" s="987">
        <f t="shared" si="56"/>
        <v>0</v>
      </c>
      <c r="AE169" s="368" t="str">
        <f>IFERROR(VLOOKUP(B169,'[1]סיכום בקרת רשויות'!$A:$D,4,0),"")</f>
        <v/>
      </c>
      <c r="AF169" s="57" t="str">
        <f t="shared" si="57"/>
        <v/>
      </c>
      <c r="AG169" s="180">
        <f>IF(AF169="כן",M169*'גנים ובתי ספר- מבנה תקציב'!$H$59,0)</f>
        <v>0</v>
      </c>
      <c r="AH169" s="180">
        <f>IF(AF169="כן",M169*'גנים ובתי ספר- מבנה תקציב'!$I$59,0)</f>
        <v>0</v>
      </c>
      <c r="AI169" s="180">
        <f t="shared" si="58"/>
        <v>0</v>
      </c>
      <c r="AJ169" s="368" t="str">
        <f t="shared" si="46"/>
        <v/>
      </c>
    </row>
    <row r="170" spans="1:36" x14ac:dyDescent="0.25">
      <c r="A170" s="57">
        <v>150</v>
      </c>
      <c r="B170" s="690"/>
      <c r="C170" s="690"/>
      <c r="D170" s="252">
        <f>(IFERROR(SUMIF('מצבת והרשמה (2)'!$F$21:$F$501,'דוח ביצוע (3)'!$B170,'מצבת והרשמה (2)'!$J$21:$J$501),0))</f>
        <v>0</v>
      </c>
      <c r="E170" s="252">
        <f>IFERROR(SUMIF('מצבת והרשמה (2)'!$F$21:$F$501,'דוח ביצוע (3)'!$B170,'מצבת והרשמה (2)'!$K$21:$K$501),0)</f>
        <v>0</v>
      </c>
      <c r="F170" s="253">
        <f t="shared" si="47"/>
        <v>0</v>
      </c>
      <c r="G170" s="680"/>
      <c r="H170" s="680"/>
      <c r="I170" s="253">
        <f t="shared" si="40"/>
        <v>0</v>
      </c>
      <c r="J170" s="453">
        <f t="shared" si="48"/>
        <v>0</v>
      </c>
      <c r="K170" s="689"/>
      <c r="L170" s="689"/>
      <c r="M170" s="969">
        <f t="shared" si="49"/>
        <v>0</v>
      </c>
      <c r="N170" s="1029" t="str">
        <f t="shared" si="50"/>
        <v/>
      </c>
      <c r="O170" s="969" t="str">
        <f>IFERROR(VLOOKUP(B170,'נתוני רישום ומצבת'!B:Q,16,0),"")</f>
        <v/>
      </c>
      <c r="P170" s="969" t="str">
        <f>IFERROR(VLOOKUP(B170,'נתוני רישום ומצבת'!B:R,17,0),"")</f>
        <v/>
      </c>
      <c r="Q170" s="690"/>
      <c r="R170" s="1009"/>
      <c r="S170" s="376">
        <f t="shared" si="51"/>
        <v>0</v>
      </c>
      <c r="T170" s="376">
        <f t="shared" si="52"/>
        <v>0</v>
      </c>
      <c r="U170" s="386">
        <f t="shared" si="53"/>
        <v>0</v>
      </c>
      <c r="V170" s="513" t="str">
        <f t="shared" si="54"/>
        <v/>
      </c>
      <c r="W170" s="254" t="str">
        <f>IF(ISBLANK(B170)," ",IF(B170=IFERROR(VLOOKUP(B170,'מצבת והרשמה (2)'!F:F,1,0),0),"תקין","לא קיים במצבת כבית ספר בו מתקיימת פעילות"))</f>
        <v xml:space="preserve"> </v>
      </c>
      <c r="X170" s="256" t="str">
        <f t="shared" si="41"/>
        <v/>
      </c>
      <c r="Y170" s="256" t="str">
        <f t="shared" si="42"/>
        <v/>
      </c>
      <c r="Z170" s="741">
        <f t="shared" si="43"/>
        <v>0</v>
      </c>
      <c r="AA170" s="741">
        <f t="shared" si="44"/>
        <v>0</v>
      </c>
      <c r="AB170" s="741">
        <f t="shared" si="45"/>
        <v>0</v>
      </c>
      <c r="AC170" s="987">
        <f t="shared" si="55"/>
        <v>0</v>
      </c>
      <c r="AD170" s="987">
        <f t="shared" si="56"/>
        <v>0</v>
      </c>
      <c r="AE170" s="368" t="str">
        <f>IFERROR(VLOOKUP(B170,'[1]סיכום בקרת רשויות'!$A:$D,4,0),"")</f>
        <v/>
      </c>
      <c r="AF170" s="57" t="str">
        <f t="shared" si="57"/>
        <v/>
      </c>
      <c r="AG170" s="180">
        <f>IF(AF170="כן",M170*'גנים ובתי ספר- מבנה תקציב'!$H$59,0)</f>
        <v>0</v>
      </c>
      <c r="AH170" s="180">
        <f>IF(AF170="כן",M170*'גנים ובתי ספר- מבנה תקציב'!$I$59,0)</f>
        <v>0</v>
      </c>
      <c r="AI170" s="180">
        <f t="shared" si="58"/>
        <v>0</v>
      </c>
      <c r="AJ170" s="368" t="str">
        <f t="shared" si="46"/>
        <v/>
      </c>
    </row>
    <row r="171" spans="1:36" x14ac:dyDescent="0.25">
      <c r="A171" s="57">
        <v>151</v>
      </c>
      <c r="B171" s="690"/>
      <c r="C171" s="690"/>
      <c r="D171" s="252">
        <f>(IFERROR(SUMIF('מצבת והרשמה (2)'!$F$21:$F$501,'דוח ביצוע (3)'!$B171,'מצבת והרשמה (2)'!$J$21:$J$501),0))</f>
        <v>0</v>
      </c>
      <c r="E171" s="252">
        <f>IFERROR(SUMIF('מצבת והרשמה (2)'!$F$21:$F$501,'דוח ביצוע (3)'!$B171,'מצבת והרשמה (2)'!$K$21:$K$501),0)</f>
        <v>0</v>
      </c>
      <c r="F171" s="253">
        <f t="shared" si="47"/>
        <v>0</v>
      </c>
      <c r="G171" s="680"/>
      <c r="H171" s="680"/>
      <c r="I171" s="253">
        <f t="shared" si="40"/>
        <v>0</v>
      </c>
      <c r="J171" s="453">
        <f t="shared" si="48"/>
        <v>0</v>
      </c>
      <c r="K171" s="689"/>
      <c r="L171" s="689"/>
      <c r="M171" s="969">
        <f t="shared" si="49"/>
        <v>0</v>
      </c>
      <c r="N171" s="1029" t="str">
        <f t="shared" si="50"/>
        <v/>
      </c>
      <c r="O171" s="969" t="str">
        <f>IFERROR(VLOOKUP(B171,'נתוני רישום ומצבת'!B:Q,16,0),"")</f>
        <v/>
      </c>
      <c r="P171" s="969" t="str">
        <f>IFERROR(VLOOKUP(B171,'נתוני רישום ומצבת'!B:R,17,0),"")</f>
        <v/>
      </c>
      <c r="Q171" s="690"/>
      <c r="R171" s="1009"/>
      <c r="S171" s="376">
        <f t="shared" si="51"/>
        <v>0</v>
      </c>
      <c r="T171" s="376">
        <f t="shared" si="52"/>
        <v>0</v>
      </c>
      <c r="U171" s="386">
        <f t="shared" si="53"/>
        <v>0</v>
      </c>
      <c r="V171" s="513" t="str">
        <f t="shared" si="54"/>
        <v/>
      </c>
      <c r="W171" s="254" t="str">
        <f>IF(ISBLANK(B171)," ",IF(B171=IFERROR(VLOOKUP(B171,'מצבת והרשמה (2)'!F:F,1,0),0),"תקין","לא קיים במצבת כבית ספר בו מתקיימת פעילות"))</f>
        <v xml:space="preserve"> </v>
      </c>
      <c r="X171" s="256" t="str">
        <f t="shared" si="41"/>
        <v/>
      </c>
      <c r="Y171" s="256" t="str">
        <f t="shared" si="42"/>
        <v/>
      </c>
      <c r="Z171" s="741">
        <f t="shared" si="43"/>
        <v>0</v>
      </c>
      <c r="AA171" s="741">
        <f t="shared" si="44"/>
        <v>0</v>
      </c>
      <c r="AB171" s="741">
        <f t="shared" si="45"/>
        <v>0</v>
      </c>
      <c r="AC171" s="987">
        <f t="shared" si="55"/>
        <v>0</v>
      </c>
      <c r="AD171" s="987">
        <f t="shared" si="56"/>
        <v>0</v>
      </c>
      <c r="AE171" s="368" t="str">
        <f>IFERROR(VLOOKUP(B171,'[1]סיכום בקרת רשויות'!$A:$D,4,0),"")</f>
        <v/>
      </c>
      <c r="AF171" s="57" t="str">
        <f t="shared" si="57"/>
        <v/>
      </c>
      <c r="AG171" s="180">
        <f>IF(AF171="כן",M171*'גנים ובתי ספר- מבנה תקציב'!$H$59,0)</f>
        <v>0</v>
      </c>
      <c r="AH171" s="180">
        <f>IF(AF171="כן",M171*'גנים ובתי ספר- מבנה תקציב'!$I$59,0)</f>
        <v>0</v>
      </c>
      <c r="AI171" s="180">
        <f t="shared" si="58"/>
        <v>0</v>
      </c>
      <c r="AJ171" s="368" t="str">
        <f t="shared" si="46"/>
        <v/>
      </c>
    </row>
    <row r="172" spans="1:36" x14ac:dyDescent="0.25">
      <c r="A172" s="57">
        <v>152</v>
      </c>
      <c r="B172" s="690"/>
      <c r="C172" s="690"/>
      <c r="D172" s="252">
        <f>(IFERROR(SUMIF('מצבת והרשמה (2)'!$F$21:$F$501,'דוח ביצוע (3)'!$B172,'מצבת והרשמה (2)'!$J$21:$J$501),0))</f>
        <v>0</v>
      </c>
      <c r="E172" s="252">
        <f>IFERROR(SUMIF('מצבת והרשמה (2)'!$F$21:$F$501,'דוח ביצוע (3)'!$B172,'מצבת והרשמה (2)'!$K$21:$K$501),0)</f>
        <v>0</v>
      </c>
      <c r="F172" s="253">
        <f t="shared" si="47"/>
        <v>0</v>
      </c>
      <c r="G172" s="680"/>
      <c r="H172" s="680"/>
      <c r="I172" s="253">
        <f t="shared" si="40"/>
        <v>0</v>
      </c>
      <c r="J172" s="453">
        <f t="shared" si="48"/>
        <v>0</v>
      </c>
      <c r="K172" s="689"/>
      <c r="L172" s="689"/>
      <c r="M172" s="969">
        <f t="shared" si="49"/>
        <v>0</v>
      </c>
      <c r="N172" s="1029" t="str">
        <f t="shared" si="50"/>
        <v/>
      </c>
      <c r="O172" s="969" t="str">
        <f>IFERROR(VLOOKUP(B172,'נתוני רישום ומצבת'!B:Q,16,0),"")</f>
        <v/>
      </c>
      <c r="P172" s="969" t="str">
        <f>IFERROR(VLOOKUP(B172,'נתוני רישום ומצבת'!B:R,17,0),"")</f>
        <v/>
      </c>
      <c r="Q172" s="690"/>
      <c r="R172" s="1009"/>
      <c r="S172" s="376">
        <f t="shared" si="51"/>
        <v>0</v>
      </c>
      <c r="T172" s="376">
        <f t="shared" si="52"/>
        <v>0</v>
      </c>
      <c r="U172" s="386">
        <f t="shared" si="53"/>
        <v>0</v>
      </c>
      <c r="V172" s="513" t="str">
        <f t="shared" si="54"/>
        <v/>
      </c>
      <c r="W172" s="254" t="str">
        <f>IF(ISBLANK(B172)," ",IF(B172=IFERROR(VLOOKUP(B172,'מצבת והרשמה (2)'!F:F,1,0),0),"תקין","לא קיים במצבת כבית ספר בו מתקיימת פעילות"))</f>
        <v xml:space="preserve"> </v>
      </c>
      <c r="X172" s="256" t="str">
        <f t="shared" si="41"/>
        <v/>
      </c>
      <c r="Y172" s="256" t="str">
        <f t="shared" si="42"/>
        <v/>
      </c>
      <c r="Z172" s="741">
        <f t="shared" si="43"/>
        <v>0</v>
      </c>
      <c r="AA172" s="741">
        <f t="shared" si="44"/>
        <v>0</v>
      </c>
      <c r="AB172" s="741">
        <f t="shared" si="45"/>
        <v>0</v>
      </c>
      <c r="AC172" s="987">
        <f t="shared" si="55"/>
        <v>0</v>
      </c>
      <c r="AD172" s="987">
        <f t="shared" si="56"/>
        <v>0</v>
      </c>
      <c r="AE172" s="368" t="str">
        <f>IFERROR(VLOOKUP(B172,'[1]סיכום בקרת רשויות'!$A:$D,4,0),"")</f>
        <v/>
      </c>
      <c r="AF172" s="57" t="str">
        <f t="shared" si="57"/>
        <v/>
      </c>
      <c r="AG172" s="180">
        <f>IF(AF172="כן",M172*'גנים ובתי ספר- מבנה תקציב'!$H$59,0)</f>
        <v>0</v>
      </c>
      <c r="AH172" s="180">
        <f>IF(AF172="כן",M172*'גנים ובתי ספר- מבנה תקציב'!$I$59,0)</f>
        <v>0</v>
      </c>
      <c r="AI172" s="180">
        <f t="shared" si="58"/>
        <v>0</v>
      </c>
      <c r="AJ172" s="368" t="str">
        <f t="shared" si="46"/>
        <v/>
      </c>
    </row>
    <row r="173" spans="1:36" x14ac:dyDescent="0.25">
      <c r="A173" s="57">
        <v>153</v>
      </c>
      <c r="B173" s="690"/>
      <c r="C173" s="690"/>
      <c r="D173" s="252">
        <f>(IFERROR(SUMIF('מצבת והרשמה (2)'!$F$21:$F$501,'דוח ביצוע (3)'!$B173,'מצבת והרשמה (2)'!$J$21:$J$501),0))</f>
        <v>0</v>
      </c>
      <c r="E173" s="252">
        <f>IFERROR(SUMIF('מצבת והרשמה (2)'!$F$21:$F$501,'דוח ביצוע (3)'!$B173,'מצבת והרשמה (2)'!$K$21:$K$501),0)</f>
        <v>0</v>
      </c>
      <c r="F173" s="253">
        <f t="shared" si="47"/>
        <v>0</v>
      </c>
      <c r="G173" s="680"/>
      <c r="H173" s="680"/>
      <c r="I173" s="253">
        <f t="shared" si="40"/>
        <v>0</v>
      </c>
      <c r="J173" s="453">
        <f t="shared" si="48"/>
        <v>0</v>
      </c>
      <c r="K173" s="689"/>
      <c r="L173" s="689"/>
      <c r="M173" s="969">
        <f t="shared" si="49"/>
        <v>0</v>
      </c>
      <c r="N173" s="1029" t="str">
        <f t="shared" si="50"/>
        <v/>
      </c>
      <c r="O173" s="969" t="str">
        <f>IFERROR(VLOOKUP(B173,'נתוני רישום ומצבת'!B:Q,16,0),"")</f>
        <v/>
      </c>
      <c r="P173" s="969" t="str">
        <f>IFERROR(VLOOKUP(B173,'נתוני רישום ומצבת'!B:R,17,0),"")</f>
        <v/>
      </c>
      <c r="Q173" s="690"/>
      <c r="R173" s="1009"/>
      <c r="S173" s="376">
        <f t="shared" si="51"/>
        <v>0</v>
      </c>
      <c r="T173" s="376">
        <f t="shared" si="52"/>
        <v>0</v>
      </c>
      <c r="U173" s="386">
        <f t="shared" si="53"/>
        <v>0</v>
      </c>
      <c r="V173" s="513" t="str">
        <f t="shared" si="54"/>
        <v/>
      </c>
      <c r="W173" s="254" t="str">
        <f>IF(ISBLANK(B173)," ",IF(B173=IFERROR(VLOOKUP(B173,'מצבת והרשמה (2)'!F:F,1,0),0),"תקין","לא קיים במצבת כבית ספר בו מתקיימת פעילות"))</f>
        <v xml:space="preserve"> </v>
      </c>
      <c r="X173" s="256" t="str">
        <f t="shared" si="41"/>
        <v/>
      </c>
      <c r="Y173" s="256" t="str">
        <f t="shared" si="42"/>
        <v/>
      </c>
      <c r="Z173" s="741">
        <f t="shared" si="43"/>
        <v>0</v>
      </c>
      <c r="AA173" s="741">
        <f t="shared" si="44"/>
        <v>0</v>
      </c>
      <c r="AB173" s="741">
        <f t="shared" si="45"/>
        <v>0</v>
      </c>
      <c r="AC173" s="987">
        <f t="shared" si="55"/>
        <v>0</v>
      </c>
      <c r="AD173" s="987">
        <f t="shared" si="56"/>
        <v>0</v>
      </c>
      <c r="AE173" s="368" t="str">
        <f>IFERROR(VLOOKUP(B173,'[1]סיכום בקרת רשויות'!$A:$D,4,0),"")</f>
        <v/>
      </c>
      <c r="AF173" s="57" t="str">
        <f t="shared" si="57"/>
        <v/>
      </c>
      <c r="AG173" s="180">
        <f>IF(AF173="כן",M173*'גנים ובתי ספר- מבנה תקציב'!$H$59,0)</f>
        <v>0</v>
      </c>
      <c r="AH173" s="180">
        <f>IF(AF173="כן",M173*'גנים ובתי ספר- מבנה תקציב'!$I$59,0)</f>
        <v>0</v>
      </c>
      <c r="AI173" s="180">
        <f t="shared" si="58"/>
        <v>0</v>
      </c>
      <c r="AJ173" s="368" t="str">
        <f t="shared" si="46"/>
        <v/>
      </c>
    </row>
    <row r="174" spans="1:36" x14ac:dyDescent="0.25">
      <c r="A174" s="57">
        <v>154</v>
      </c>
      <c r="B174" s="690"/>
      <c r="C174" s="690"/>
      <c r="D174" s="252">
        <f>(IFERROR(SUMIF('מצבת והרשמה (2)'!$F$21:$F$501,'דוח ביצוע (3)'!$B174,'מצבת והרשמה (2)'!$J$21:$J$501),0))</f>
        <v>0</v>
      </c>
      <c r="E174" s="252">
        <f>IFERROR(SUMIF('מצבת והרשמה (2)'!$F$21:$F$501,'דוח ביצוע (3)'!$B174,'מצבת והרשמה (2)'!$K$21:$K$501),0)</f>
        <v>0</v>
      </c>
      <c r="F174" s="253">
        <f t="shared" si="47"/>
        <v>0</v>
      </c>
      <c r="G174" s="680"/>
      <c r="H174" s="680"/>
      <c r="I174" s="253">
        <f t="shared" si="40"/>
        <v>0</v>
      </c>
      <c r="J174" s="453">
        <f t="shared" si="48"/>
        <v>0</v>
      </c>
      <c r="K174" s="689"/>
      <c r="L174" s="689"/>
      <c r="M174" s="969">
        <f t="shared" si="49"/>
        <v>0</v>
      </c>
      <c r="N174" s="1029" t="str">
        <f t="shared" si="50"/>
        <v/>
      </c>
      <c r="O174" s="969" t="str">
        <f>IFERROR(VLOOKUP(B174,'נתוני רישום ומצבת'!B:Q,16,0),"")</f>
        <v/>
      </c>
      <c r="P174" s="969" t="str">
        <f>IFERROR(VLOOKUP(B174,'נתוני רישום ומצבת'!B:R,17,0),"")</f>
        <v/>
      </c>
      <c r="Q174" s="690"/>
      <c r="R174" s="1009"/>
      <c r="S174" s="376">
        <f t="shared" si="51"/>
        <v>0</v>
      </c>
      <c r="T174" s="376">
        <f t="shared" si="52"/>
        <v>0</v>
      </c>
      <c r="U174" s="386">
        <f t="shared" si="53"/>
        <v>0</v>
      </c>
      <c r="V174" s="513" t="str">
        <f t="shared" si="54"/>
        <v/>
      </c>
      <c r="W174" s="254" t="str">
        <f>IF(ISBLANK(B174)," ",IF(B174=IFERROR(VLOOKUP(B174,'מצבת והרשמה (2)'!F:F,1,0),0),"תקין","לא קיים במצבת כבית ספר בו מתקיימת פעילות"))</f>
        <v xml:space="preserve"> </v>
      </c>
      <c r="X174" s="256" t="str">
        <f t="shared" si="41"/>
        <v/>
      </c>
      <c r="Y174" s="256" t="str">
        <f t="shared" si="42"/>
        <v/>
      </c>
      <c r="Z174" s="741">
        <f t="shared" si="43"/>
        <v>0</v>
      </c>
      <c r="AA174" s="741">
        <f t="shared" si="44"/>
        <v>0</v>
      </c>
      <c r="AB174" s="741">
        <f t="shared" si="45"/>
        <v>0</v>
      </c>
      <c r="AC174" s="987">
        <f t="shared" si="55"/>
        <v>0</v>
      </c>
      <c r="AD174" s="987">
        <f t="shared" si="56"/>
        <v>0</v>
      </c>
      <c r="AE174" s="368" t="str">
        <f>IFERROR(VLOOKUP(B174,'[1]סיכום בקרת רשויות'!$A:$D,4,0),"")</f>
        <v/>
      </c>
      <c r="AF174" s="57" t="str">
        <f t="shared" si="57"/>
        <v/>
      </c>
      <c r="AG174" s="180">
        <f>IF(AF174="כן",M174*'גנים ובתי ספר- מבנה תקציב'!$H$59,0)</f>
        <v>0</v>
      </c>
      <c r="AH174" s="180">
        <f>IF(AF174="כן",M174*'גנים ובתי ספר- מבנה תקציב'!$I$59,0)</f>
        <v>0</v>
      </c>
      <c r="AI174" s="180">
        <f t="shared" si="58"/>
        <v>0</v>
      </c>
      <c r="AJ174" s="368" t="str">
        <f t="shared" si="46"/>
        <v/>
      </c>
    </row>
    <row r="175" spans="1:36" x14ac:dyDescent="0.25">
      <c r="A175" s="57">
        <v>155</v>
      </c>
      <c r="B175" s="690"/>
      <c r="C175" s="690"/>
      <c r="D175" s="252">
        <f>(IFERROR(SUMIF('מצבת והרשמה (2)'!$F$21:$F$501,'דוח ביצוע (3)'!$B175,'מצבת והרשמה (2)'!$J$21:$J$501),0))</f>
        <v>0</v>
      </c>
      <c r="E175" s="252">
        <f>IFERROR(SUMIF('מצבת והרשמה (2)'!$F$21:$F$501,'דוח ביצוע (3)'!$B175,'מצבת והרשמה (2)'!$K$21:$K$501),0)</f>
        <v>0</v>
      </c>
      <c r="F175" s="253">
        <f t="shared" si="47"/>
        <v>0</v>
      </c>
      <c r="G175" s="680"/>
      <c r="H175" s="680"/>
      <c r="I175" s="253">
        <f t="shared" si="40"/>
        <v>0</v>
      </c>
      <c r="J175" s="453">
        <f t="shared" si="48"/>
        <v>0</v>
      </c>
      <c r="K175" s="689"/>
      <c r="L175" s="689"/>
      <c r="M175" s="969">
        <f t="shared" si="49"/>
        <v>0</v>
      </c>
      <c r="N175" s="1029" t="str">
        <f t="shared" si="50"/>
        <v/>
      </c>
      <c r="O175" s="969" t="str">
        <f>IFERROR(VLOOKUP(B175,'נתוני רישום ומצבת'!B:Q,16,0),"")</f>
        <v/>
      </c>
      <c r="P175" s="969" t="str">
        <f>IFERROR(VLOOKUP(B175,'נתוני רישום ומצבת'!B:R,17,0),"")</f>
        <v/>
      </c>
      <c r="Q175" s="690"/>
      <c r="R175" s="1009"/>
      <c r="S175" s="376">
        <f t="shared" si="51"/>
        <v>0</v>
      </c>
      <c r="T175" s="376">
        <f t="shared" si="52"/>
        <v>0</v>
      </c>
      <c r="U175" s="386">
        <f t="shared" si="53"/>
        <v>0</v>
      </c>
      <c r="V175" s="513" t="str">
        <f t="shared" si="54"/>
        <v/>
      </c>
      <c r="W175" s="254" t="str">
        <f>IF(ISBLANK(B175)," ",IF(B175=IFERROR(VLOOKUP(B175,'מצבת והרשמה (2)'!F:F,1,0),0),"תקין","לא קיים במצבת כבית ספר בו מתקיימת פעילות"))</f>
        <v xml:space="preserve"> </v>
      </c>
      <c r="X175" s="256" t="str">
        <f t="shared" si="41"/>
        <v/>
      </c>
      <c r="Y175" s="256" t="str">
        <f t="shared" si="42"/>
        <v/>
      </c>
      <c r="Z175" s="741">
        <f t="shared" si="43"/>
        <v>0</v>
      </c>
      <c r="AA175" s="741">
        <f t="shared" si="44"/>
        <v>0</v>
      </c>
      <c r="AB175" s="741">
        <f t="shared" si="45"/>
        <v>0</v>
      </c>
      <c r="AC175" s="987">
        <f t="shared" si="55"/>
        <v>0</v>
      </c>
      <c r="AD175" s="987">
        <f t="shared" si="56"/>
        <v>0</v>
      </c>
      <c r="AE175" s="368" t="str">
        <f>IFERROR(VLOOKUP(B175,'[1]סיכום בקרת רשויות'!$A:$D,4,0),"")</f>
        <v/>
      </c>
      <c r="AF175" s="57" t="str">
        <f t="shared" si="57"/>
        <v/>
      </c>
      <c r="AG175" s="180">
        <f>IF(AF175="כן",M175*'גנים ובתי ספר- מבנה תקציב'!$H$59,0)</f>
        <v>0</v>
      </c>
      <c r="AH175" s="180">
        <f>IF(AF175="כן",M175*'גנים ובתי ספר- מבנה תקציב'!$I$59,0)</f>
        <v>0</v>
      </c>
      <c r="AI175" s="180">
        <f t="shared" si="58"/>
        <v>0</v>
      </c>
      <c r="AJ175" s="368" t="str">
        <f t="shared" si="46"/>
        <v/>
      </c>
    </row>
    <row r="176" spans="1:36" x14ac:dyDescent="0.25">
      <c r="A176" s="57">
        <v>156</v>
      </c>
      <c r="B176" s="690"/>
      <c r="C176" s="690"/>
      <c r="D176" s="252">
        <f>(IFERROR(SUMIF('מצבת והרשמה (2)'!$F$21:$F$501,'דוח ביצוע (3)'!$B176,'מצבת והרשמה (2)'!$J$21:$J$501),0))</f>
        <v>0</v>
      </c>
      <c r="E176" s="252">
        <f>IFERROR(SUMIF('מצבת והרשמה (2)'!$F$21:$F$501,'דוח ביצוע (3)'!$B176,'מצבת והרשמה (2)'!$K$21:$K$501),0)</f>
        <v>0</v>
      </c>
      <c r="F176" s="253">
        <f t="shared" si="47"/>
        <v>0</v>
      </c>
      <c r="G176" s="680"/>
      <c r="H176" s="680"/>
      <c r="I176" s="253">
        <f t="shared" si="40"/>
        <v>0</v>
      </c>
      <c r="J176" s="453">
        <f t="shared" si="48"/>
        <v>0</v>
      </c>
      <c r="K176" s="689"/>
      <c r="L176" s="689"/>
      <c r="M176" s="969">
        <f t="shared" si="49"/>
        <v>0</v>
      </c>
      <c r="N176" s="1029" t="str">
        <f t="shared" si="50"/>
        <v/>
      </c>
      <c r="O176" s="969" t="str">
        <f>IFERROR(VLOOKUP(B176,'נתוני רישום ומצבת'!B:Q,16,0),"")</f>
        <v/>
      </c>
      <c r="P176" s="969" t="str">
        <f>IFERROR(VLOOKUP(B176,'נתוני רישום ומצבת'!B:R,17,0),"")</f>
        <v/>
      </c>
      <c r="Q176" s="690"/>
      <c r="R176" s="1009"/>
      <c r="S176" s="376">
        <f t="shared" si="51"/>
        <v>0</v>
      </c>
      <c r="T176" s="376">
        <f t="shared" si="52"/>
        <v>0</v>
      </c>
      <c r="U176" s="386">
        <f t="shared" si="53"/>
        <v>0</v>
      </c>
      <c r="V176" s="513" t="str">
        <f t="shared" si="54"/>
        <v/>
      </c>
      <c r="W176" s="254" t="str">
        <f>IF(ISBLANK(B176)," ",IF(B176=IFERROR(VLOOKUP(B176,'מצבת והרשמה (2)'!F:F,1,0),0),"תקין","לא קיים במצבת כבית ספר בו מתקיימת פעילות"))</f>
        <v xml:space="preserve"> </v>
      </c>
      <c r="X176" s="256" t="str">
        <f t="shared" si="41"/>
        <v/>
      </c>
      <c r="Y176" s="256" t="str">
        <f t="shared" si="42"/>
        <v/>
      </c>
      <c r="Z176" s="741">
        <f t="shared" si="43"/>
        <v>0</v>
      </c>
      <c r="AA176" s="741">
        <f t="shared" si="44"/>
        <v>0</v>
      </c>
      <c r="AB176" s="741">
        <f t="shared" si="45"/>
        <v>0</v>
      </c>
      <c r="AC176" s="987">
        <f t="shared" si="55"/>
        <v>0</v>
      </c>
      <c r="AD176" s="987">
        <f t="shared" si="56"/>
        <v>0</v>
      </c>
      <c r="AE176" s="368" t="str">
        <f>IFERROR(VLOOKUP(B176,'[1]סיכום בקרת רשויות'!$A:$D,4,0),"")</f>
        <v/>
      </c>
      <c r="AF176" s="57" t="str">
        <f t="shared" si="57"/>
        <v/>
      </c>
      <c r="AG176" s="180">
        <f>IF(AF176="כן",M176*'גנים ובתי ספר- מבנה תקציב'!$H$59,0)</f>
        <v>0</v>
      </c>
      <c r="AH176" s="180">
        <f>IF(AF176="כן",M176*'גנים ובתי ספר- מבנה תקציב'!$I$59,0)</f>
        <v>0</v>
      </c>
      <c r="AI176" s="180">
        <f t="shared" si="58"/>
        <v>0</v>
      </c>
      <c r="AJ176" s="368" t="str">
        <f t="shared" si="46"/>
        <v/>
      </c>
    </row>
    <row r="177" spans="1:36" x14ac:dyDescent="0.25">
      <c r="A177" s="57">
        <v>157</v>
      </c>
      <c r="B177" s="690"/>
      <c r="C177" s="690"/>
      <c r="D177" s="252">
        <f>(IFERROR(SUMIF('מצבת והרשמה (2)'!$F$21:$F$501,'דוח ביצוע (3)'!$B177,'מצבת והרשמה (2)'!$J$21:$J$501),0))</f>
        <v>0</v>
      </c>
      <c r="E177" s="252">
        <f>IFERROR(SUMIF('מצבת והרשמה (2)'!$F$21:$F$501,'דוח ביצוע (3)'!$B177,'מצבת והרשמה (2)'!$K$21:$K$501),0)</f>
        <v>0</v>
      </c>
      <c r="F177" s="253">
        <f t="shared" si="47"/>
        <v>0</v>
      </c>
      <c r="G177" s="680"/>
      <c r="H177" s="680"/>
      <c r="I177" s="253">
        <f t="shared" si="40"/>
        <v>0</v>
      </c>
      <c r="J177" s="453">
        <f t="shared" si="48"/>
        <v>0</v>
      </c>
      <c r="K177" s="689"/>
      <c r="L177" s="689"/>
      <c r="M177" s="969">
        <f t="shared" si="49"/>
        <v>0</v>
      </c>
      <c r="N177" s="1029" t="str">
        <f t="shared" si="50"/>
        <v/>
      </c>
      <c r="O177" s="969" t="str">
        <f>IFERROR(VLOOKUP(B177,'נתוני רישום ומצבת'!B:Q,16,0),"")</f>
        <v/>
      </c>
      <c r="P177" s="969" t="str">
        <f>IFERROR(VLOOKUP(B177,'נתוני רישום ומצבת'!B:R,17,0),"")</f>
        <v/>
      </c>
      <c r="Q177" s="690"/>
      <c r="R177" s="1009"/>
      <c r="S177" s="376">
        <f t="shared" si="51"/>
        <v>0</v>
      </c>
      <c r="T177" s="376">
        <f t="shared" si="52"/>
        <v>0</v>
      </c>
      <c r="U177" s="386">
        <f t="shared" si="53"/>
        <v>0</v>
      </c>
      <c r="V177" s="513" t="str">
        <f t="shared" si="54"/>
        <v/>
      </c>
      <c r="W177" s="254" t="str">
        <f>IF(ISBLANK(B177)," ",IF(B177=IFERROR(VLOOKUP(B177,'מצבת והרשמה (2)'!F:F,1,0),0),"תקין","לא קיים במצבת כבית ספר בו מתקיימת פעילות"))</f>
        <v xml:space="preserve"> </v>
      </c>
      <c r="X177" s="256" t="str">
        <f t="shared" si="41"/>
        <v/>
      </c>
      <c r="Y177" s="256" t="str">
        <f t="shared" si="42"/>
        <v/>
      </c>
      <c r="Z177" s="741">
        <f t="shared" si="43"/>
        <v>0</v>
      </c>
      <c r="AA177" s="741">
        <f t="shared" si="44"/>
        <v>0</v>
      </c>
      <c r="AB177" s="741">
        <f t="shared" si="45"/>
        <v>0</v>
      </c>
      <c r="AC177" s="987">
        <f t="shared" si="55"/>
        <v>0</v>
      </c>
      <c r="AD177" s="987">
        <f t="shared" si="56"/>
        <v>0</v>
      </c>
      <c r="AE177" s="368" t="str">
        <f>IFERROR(VLOOKUP(B177,'[1]סיכום בקרת רשויות'!$A:$D,4,0),"")</f>
        <v/>
      </c>
      <c r="AF177" s="57" t="str">
        <f t="shared" si="57"/>
        <v/>
      </c>
      <c r="AG177" s="180">
        <f>IF(AF177="כן",M177*'גנים ובתי ספר- מבנה תקציב'!$H$59,0)</f>
        <v>0</v>
      </c>
      <c r="AH177" s="180">
        <f>IF(AF177="כן",M177*'גנים ובתי ספר- מבנה תקציב'!$I$59,0)</f>
        <v>0</v>
      </c>
      <c r="AI177" s="180">
        <f t="shared" si="58"/>
        <v>0</v>
      </c>
      <c r="AJ177" s="368" t="str">
        <f t="shared" si="46"/>
        <v/>
      </c>
    </row>
    <row r="178" spans="1:36" x14ac:dyDescent="0.25">
      <c r="A178" s="57">
        <v>158</v>
      </c>
      <c r="B178" s="690"/>
      <c r="C178" s="690"/>
      <c r="D178" s="252">
        <f>(IFERROR(SUMIF('מצבת והרשמה (2)'!$F$21:$F$501,'דוח ביצוע (3)'!$B178,'מצבת והרשמה (2)'!$J$21:$J$501),0))</f>
        <v>0</v>
      </c>
      <c r="E178" s="252">
        <f>IFERROR(SUMIF('מצבת והרשמה (2)'!$F$21:$F$501,'דוח ביצוע (3)'!$B178,'מצבת והרשמה (2)'!$K$21:$K$501),0)</f>
        <v>0</v>
      </c>
      <c r="F178" s="253">
        <f t="shared" si="47"/>
        <v>0</v>
      </c>
      <c r="G178" s="680"/>
      <c r="H178" s="680"/>
      <c r="I178" s="253">
        <f t="shared" si="40"/>
        <v>0</v>
      </c>
      <c r="J178" s="453">
        <f t="shared" si="48"/>
        <v>0</v>
      </c>
      <c r="K178" s="689"/>
      <c r="L178" s="689"/>
      <c r="M178" s="969">
        <f t="shared" si="49"/>
        <v>0</v>
      </c>
      <c r="N178" s="1029" t="str">
        <f t="shared" si="50"/>
        <v/>
      </c>
      <c r="O178" s="969" t="str">
        <f>IFERROR(VLOOKUP(B178,'נתוני רישום ומצבת'!B:Q,16,0),"")</f>
        <v/>
      </c>
      <c r="P178" s="969" t="str">
        <f>IFERROR(VLOOKUP(B178,'נתוני רישום ומצבת'!B:R,17,0),"")</f>
        <v/>
      </c>
      <c r="Q178" s="690"/>
      <c r="R178" s="1009"/>
      <c r="S178" s="376">
        <f t="shared" si="51"/>
        <v>0</v>
      </c>
      <c r="T178" s="376">
        <f t="shared" si="52"/>
        <v>0</v>
      </c>
      <c r="U178" s="386">
        <f t="shared" si="53"/>
        <v>0</v>
      </c>
      <c r="V178" s="513" t="str">
        <f t="shared" si="54"/>
        <v/>
      </c>
      <c r="W178" s="254" t="str">
        <f>IF(ISBLANK(B178)," ",IF(B178=IFERROR(VLOOKUP(B178,'מצבת והרשמה (2)'!F:F,1,0),0),"תקין","לא קיים במצבת כבית ספר בו מתקיימת פעילות"))</f>
        <v xml:space="preserve"> </v>
      </c>
      <c r="X178" s="256" t="str">
        <f t="shared" si="41"/>
        <v/>
      </c>
      <c r="Y178" s="256" t="str">
        <f t="shared" si="42"/>
        <v/>
      </c>
      <c r="Z178" s="741">
        <f t="shared" si="43"/>
        <v>0</v>
      </c>
      <c r="AA178" s="741">
        <f t="shared" si="44"/>
        <v>0</v>
      </c>
      <c r="AB178" s="741">
        <f t="shared" si="45"/>
        <v>0</v>
      </c>
      <c r="AC178" s="987">
        <f t="shared" si="55"/>
        <v>0</v>
      </c>
      <c r="AD178" s="987">
        <f t="shared" si="56"/>
        <v>0</v>
      </c>
      <c r="AE178" s="368" t="str">
        <f>IFERROR(VLOOKUP(B178,'[1]סיכום בקרת רשויות'!$A:$D,4,0),"")</f>
        <v/>
      </c>
      <c r="AF178" s="57" t="str">
        <f t="shared" si="57"/>
        <v/>
      </c>
      <c r="AG178" s="180">
        <f>IF(AF178="כן",M178*'גנים ובתי ספר- מבנה תקציב'!$H$59,0)</f>
        <v>0</v>
      </c>
      <c r="AH178" s="180">
        <f>IF(AF178="כן",M178*'גנים ובתי ספר- מבנה תקציב'!$I$59,0)</f>
        <v>0</v>
      </c>
      <c r="AI178" s="180">
        <f t="shared" si="58"/>
        <v>0</v>
      </c>
      <c r="AJ178" s="368" t="str">
        <f t="shared" si="46"/>
        <v/>
      </c>
    </row>
    <row r="179" spans="1:36" x14ac:dyDescent="0.25">
      <c r="A179" s="57">
        <v>159</v>
      </c>
      <c r="B179" s="690"/>
      <c r="C179" s="690"/>
      <c r="D179" s="252">
        <f>(IFERROR(SUMIF('מצבת והרשמה (2)'!$F$21:$F$501,'דוח ביצוע (3)'!$B179,'מצבת והרשמה (2)'!$J$21:$J$501),0))</f>
        <v>0</v>
      </c>
      <c r="E179" s="252">
        <f>IFERROR(SUMIF('מצבת והרשמה (2)'!$F$21:$F$501,'דוח ביצוע (3)'!$B179,'מצבת והרשמה (2)'!$K$21:$K$501),0)</f>
        <v>0</v>
      </c>
      <c r="F179" s="253">
        <f t="shared" si="47"/>
        <v>0</v>
      </c>
      <c r="G179" s="680"/>
      <c r="H179" s="680"/>
      <c r="I179" s="253">
        <f t="shared" si="40"/>
        <v>0</v>
      </c>
      <c r="J179" s="453">
        <f t="shared" si="48"/>
        <v>0</v>
      </c>
      <c r="K179" s="689"/>
      <c r="L179" s="689"/>
      <c r="M179" s="969">
        <f t="shared" si="49"/>
        <v>0</v>
      </c>
      <c r="N179" s="1029" t="str">
        <f t="shared" si="50"/>
        <v/>
      </c>
      <c r="O179" s="969" t="str">
        <f>IFERROR(VLOOKUP(B179,'נתוני רישום ומצבת'!B:Q,16,0),"")</f>
        <v/>
      </c>
      <c r="P179" s="969" t="str">
        <f>IFERROR(VLOOKUP(B179,'נתוני רישום ומצבת'!B:R,17,0),"")</f>
        <v/>
      </c>
      <c r="Q179" s="690"/>
      <c r="R179" s="1009"/>
      <c r="S179" s="376">
        <f t="shared" si="51"/>
        <v>0</v>
      </c>
      <c r="T179" s="376">
        <f t="shared" si="52"/>
        <v>0</v>
      </c>
      <c r="U179" s="386">
        <f t="shared" si="53"/>
        <v>0</v>
      </c>
      <c r="V179" s="513" t="str">
        <f t="shared" si="54"/>
        <v/>
      </c>
      <c r="W179" s="254" t="str">
        <f>IF(ISBLANK(B179)," ",IF(B179=IFERROR(VLOOKUP(B179,'מצבת והרשמה (2)'!F:F,1,0),0),"תקין","לא קיים במצבת כבית ספר בו מתקיימת פעילות"))</f>
        <v xml:space="preserve"> </v>
      </c>
      <c r="X179" s="256" t="str">
        <f t="shared" si="41"/>
        <v/>
      </c>
      <c r="Y179" s="256" t="str">
        <f t="shared" si="42"/>
        <v/>
      </c>
      <c r="Z179" s="741">
        <f t="shared" si="43"/>
        <v>0</v>
      </c>
      <c r="AA179" s="741">
        <f t="shared" si="44"/>
        <v>0</v>
      </c>
      <c r="AB179" s="741">
        <f t="shared" si="45"/>
        <v>0</v>
      </c>
      <c r="AC179" s="987">
        <f t="shared" si="55"/>
        <v>0</v>
      </c>
      <c r="AD179" s="987">
        <f t="shared" si="56"/>
        <v>0</v>
      </c>
      <c r="AE179" s="368" t="str">
        <f>IFERROR(VLOOKUP(B179,'[1]סיכום בקרת רשויות'!$A:$D,4,0),"")</f>
        <v/>
      </c>
      <c r="AF179" s="57" t="str">
        <f t="shared" si="57"/>
        <v/>
      </c>
      <c r="AG179" s="180">
        <f>IF(AF179="כן",M179*'גנים ובתי ספר- מבנה תקציב'!$H$59,0)</f>
        <v>0</v>
      </c>
      <c r="AH179" s="180">
        <f>IF(AF179="כן",M179*'גנים ובתי ספר- מבנה תקציב'!$I$59,0)</f>
        <v>0</v>
      </c>
      <c r="AI179" s="180">
        <f t="shared" si="58"/>
        <v>0</v>
      </c>
      <c r="AJ179" s="368" t="str">
        <f t="shared" si="46"/>
        <v/>
      </c>
    </row>
    <row r="180" spans="1:36" x14ac:dyDescent="0.25">
      <c r="A180" s="57">
        <v>160</v>
      </c>
      <c r="B180" s="690"/>
      <c r="C180" s="690"/>
      <c r="D180" s="252">
        <f>(IFERROR(SUMIF('מצבת והרשמה (2)'!$F$21:$F$501,'דוח ביצוע (3)'!$B180,'מצבת והרשמה (2)'!$J$21:$J$501),0))</f>
        <v>0</v>
      </c>
      <c r="E180" s="252">
        <f>IFERROR(SUMIF('מצבת והרשמה (2)'!$F$21:$F$501,'דוח ביצוע (3)'!$B180,'מצבת והרשמה (2)'!$K$21:$K$501),0)</f>
        <v>0</v>
      </c>
      <c r="F180" s="253">
        <f t="shared" si="47"/>
        <v>0</v>
      </c>
      <c r="G180" s="680"/>
      <c r="H180" s="680"/>
      <c r="I180" s="253">
        <f t="shared" si="40"/>
        <v>0</v>
      </c>
      <c r="J180" s="453">
        <f t="shared" si="48"/>
        <v>0</v>
      </c>
      <c r="K180" s="689"/>
      <c r="L180" s="689"/>
      <c r="M180" s="969">
        <f t="shared" si="49"/>
        <v>0</v>
      </c>
      <c r="N180" s="1029" t="str">
        <f t="shared" si="50"/>
        <v/>
      </c>
      <c r="O180" s="969" t="str">
        <f>IFERROR(VLOOKUP(B180,'נתוני רישום ומצבת'!B:Q,16,0),"")</f>
        <v/>
      </c>
      <c r="P180" s="969" t="str">
        <f>IFERROR(VLOOKUP(B180,'נתוני רישום ומצבת'!B:R,17,0),"")</f>
        <v/>
      </c>
      <c r="Q180" s="690"/>
      <c r="R180" s="1009"/>
      <c r="S180" s="376">
        <f t="shared" si="51"/>
        <v>0</v>
      </c>
      <c r="T180" s="376">
        <f t="shared" si="52"/>
        <v>0</v>
      </c>
      <c r="U180" s="386">
        <f t="shared" si="53"/>
        <v>0</v>
      </c>
      <c r="V180" s="513" t="str">
        <f t="shared" si="54"/>
        <v/>
      </c>
      <c r="W180" s="254" t="str">
        <f>IF(ISBLANK(B180)," ",IF(B180=IFERROR(VLOOKUP(B180,'מצבת והרשמה (2)'!F:F,1,0),0),"תקין","לא קיים במצבת כבית ספר בו מתקיימת פעילות"))</f>
        <v xml:space="preserve"> </v>
      </c>
      <c r="X180" s="256" t="str">
        <f t="shared" si="41"/>
        <v/>
      </c>
      <c r="Y180" s="256" t="str">
        <f t="shared" si="42"/>
        <v/>
      </c>
      <c r="Z180" s="741">
        <f t="shared" si="43"/>
        <v>0</v>
      </c>
      <c r="AA180" s="741">
        <f t="shared" si="44"/>
        <v>0</v>
      </c>
      <c r="AB180" s="741">
        <f t="shared" si="45"/>
        <v>0</v>
      </c>
      <c r="AC180" s="987">
        <f t="shared" si="55"/>
        <v>0</v>
      </c>
      <c r="AD180" s="987">
        <f t="shared" si="56"/>
        <v>0</v>
      </c>
      <c r="AE180" s="368" t="str">
        <f>IFERROR(VLOOKUP(B180,'[1]סיכום בקרת רשויות'!$A:$D,4,0),"")</f>
        <v/>
      </c>
      <c r="AF180" s="57" t="str">
        <f t="shared" si="57"/>
        <v/>
      </c>
      <c r="AG180" s="180">
        <f>IF(AF180="כן",M180*'גנים ובתי ספר- מבנה תקציב'!$H$59,0)</f>
        <v>0</v>
      </c>
      <c r="AH180" s="180">
        <f>IF(AF180="כן",M180*'גנים ובתי ספר- מבנה תקציב'!$I$59,0)</f>
        <v>0</v>
      </c>
      <c r="AI180" s="180">
        <f t="shared" si="58"/>
        <v>0</v>
      </c>
      <c r="AJ180" s="368" t="str">
        <f t="shared" si="46"/>
        <v/>
      </c>
    </row>
    <row r="181" spans="1:36" x14ac:dyDescent="0.25">
      <c r="A181" s="57">
        <v>161</v>
      </c>
      <c r="B181" s="690"/>
      <c r="C181" s="690"/>
      <c r="D181" s="252">
        <f>(IFERROR(SUMIF('מצבת והרשמה (2)'!$F$21:$F$501,'דוח ביצוע (3)'!$B181,'מצבת והרשמה (2)'!$J$21:$J$501),0))</f>
        <v>0</v>
      </c>
      <c r="E181" s="252">
        <f>IFERROR(SUMIF('מצבת והרשמה (2)'!$F$21:$F$501,'דוח ביצוע (3)'!$B181,'מצבת והרשמה (2)'!$K$21:$K$501),0)</f>
        <v>0</v>
      </c>
      <c r="F181" s="253">
        <f t="shared" si="47"/>
        <v>0</v>
      </c>
      <c r="G181" s="680"/>
      <c r="H181" s="680"/>
      <c r="I181" s="253">
        <f t="shared" si="40"/>
        <v>0</v>
      </c>
      <c r="J181" s="453">
        <f t="shared" si="48"/>
        <v>0</v>
      </c>
      <c r="K181" s="689"/>
      <c r="L181" s="689"/>
      <c r="M181" s="969">
        <f t="shared" si="49"/>
        <v>0</v>
      </c>
      <c r="N181" s="1029" t="str">
        <f t="shared" si="50"/>
        <v/>
      </c>
      <c r="O181" s="969" t="str">
        <f>IFERROR(VLOOKUP(B181,'נתוני רישום ומצבת'!B:Q,16,0),"")</f>
        <v/>
      </c>
      <c r="P181" s="969" t="str">
        <f>IFERROR(VLOOKUP(B181,'נתוני רישום ומצבת'!B:R,17,0),"")</f>
        <v/>
      </c>
      <c r="Q181" s="690"/>
      <c r="R181" s="1009"/>
      <c r="S181" s="376">
        <f t="shared" si="51"/>
        <v>0</v>
      </c>
      <c r="T181" s="376">
        <f t="shared" si="52"/>
        <v>0</v>
      </c>
      <c r="U181" s="386">
        <f t="shared" si="53"/>
        <v>0</v>
      </c>
      <c r="V181" s="513" t="str">
        <f t="shared" si="54"/>
        <v/>
      </c>
      <c r="W181" s="254" t="str">
        <f>IF(ISBLANK(B181)," ",IF(B181=IFERROR(VLOOKUP(B181,'מצבת והרשמה (2)'!F:F,1,0),0),"תקין","לא קיים במצבת כבית ספר בו מתקיימת פעילות"))</f>
        <v xml:space="preserve"> </v>
      </c>
      <c r="X181" s="256" t="str">
        <f t="shared" si="41"/>
        <v/>
      </c>
      <c r="Y181" s="256" t="str">
        <f t="shared" si="42"/>
        <v/>
      </c>
      <c r="Z181" s="741">
        <f t="shared" si="43"/>
        <v>0</v>
      </c>
      <c r="AA181" s="741">
        <f t="shared" si="44"/>
        <v>0</v>
      </c>
      <c r="AB181" s="741">
        <f t="shared" si="45"/>
        <v>0</v>
      </c>
      <c r="AC181" s="987">
        <f t="shared" si="55"/>
        <v>0</v>
      </c>
      <c r="AD181" s="987">
        <f t="shared" si="56"/>
        <v>0</v>
      </c>
      <c r="AE181" s="368" t="str">
        <f>IFERROR(VLOOKUP(B181,'[1]סיכום בקרת רשויות'!$A:$D,4,0),"")</f>
        <v/>
      </c>
      <c r="AF181" s="57" t="str">
        <f t="shared" si="57"/>
        <v/>
      </c>
      <c r="AG181" s="180">
        <f>IF(AF181="כן",M181*'גנים ובתי ספר- מבנה תקציב'!$H$59,0)</f>
        <v>0</v>
      </c>
      <c r="AH181" s="180">
        <f>IF(AF181="כן",M181*'גנים ובתי ספר- מבנה תקציב'!$I$59,0)</f>
        <v>0</v>
      </c>
      <c r="AI181" s="180">
        <f t="shared" si="58"/>
        <v>0</v>
      </c>
      <c r="AJ181" s="368" t="str">
        <f t="shared" si="46"/>
        <v/>
      </c>
    </row>
    <row r="182" spans="1:36" x14ac:dyDescent="0.25">
      <c r="A182" s="57">
        <v>162</v>
      </c>
      <c r="B182" s="690"/>
      <c r="C182" s="690"/>
      <c r="D182" s="252">
        <f>(IFERROR(SUMIF('מצבת והרשמה (2)'!$F$21:$F$501,'דוח ביצוע (3)'!$B182,'מצבת והרשמה (2)'!$J$21:$J$501),0))</f>
        <v>0</v>
      </c>
      <c r="E182" s="252">
        <f>IFERROR(SUMIF('מצבת והרשמה (2)'!$F$21:$F$501,'דוח ביצוע (3)'!$B182,'מצבת והרשמה (2)'!$K$21:$K$501),0)</f>
        <v>0</v>
      </c>
      <c r="F182" s="253">
        <f t="shared" si="47"/>
        <v>0</v>
      </c>
      <c r="G182" s="680"/>
      <c r="H182" s="680"/>
      <c r="I182" s="253">
        <f t="shared" si="40"/>
        <v>0</v>
      </c>
      <c r="J182" s="453">
        <f t="shared" si="48"/>
        <v>0</v>
      </c>
      <c r="K182" s="689"/>
      <c r="L182" s="689"/>
      <c r="M182" s="969">
        <f t="shared" si="49"/>
        <v>0</v>
      </c>
      <c r="N182" s="1029" t="str">
        <f t="shared" si="50"/>
        <v/>
      </c>
      <c r="O182" s="969" t="str">
        <f>IFERROR(VLOOKUP(B182,'נתוני רישום ומצבת'!B:Q,16,0),"")</f>
        <v/>
      </c>
      <c r="P182" s="969" t="str">
        <f>IFERROR(VLOOKUP(B182,'נתוני רישום ומצבת'!B:R,17,0),"")</f>
        <v/>
      </c>
      <c r="Q182" s="690"/>
      <c r="R182" s="1009"/>
      <c r="S182" s="376">
        <f t="shared" si="51"/>
        <v>0</v>
      </c>
      <c r="T182" s="376">
        <f t="shared" si="52"/>
        <v>0</v>
      </c>
      <c r="U182" s="386">
        <f t="shared" si="53"/>
        <v>0</v>
      </c>
      <c r="V182" s="513" t="str">
        <f t="shared" si="54"/>
        <v/>
      </c>
      <c r="W182" s="254" t="str">
        <f>IF(ISBLANK(B182)," ",IF(B182=IFERROR(VLOOKUP(B182,'מצבת והרשמה (2)'!F:F,1,0),0),"תקין","לא קיים במצבת כבית ספר בו מתקיימת פעילות"))</f>
        <v xml:space="preserve"> </v>
      </c>
      <c r="X182" s="256" t="str">
        <f t="shared" si="41"/>
        <v/>
      </c>
      <c r="Y182" s="256" t="str">
        <f t="shared" si="42"/>
        <v/>
      </c>
      <c r="Z182" s="741">
        <f t="shared" si="43"/>
        <v>0</v>
      </c>
      <c r="AA182" s="741">
        <f t="shared" si="44"/>
        <v>0</v>
      </c>
      <c r="AB182" s="741">
        <f t="shared" si="45"/>
        <v>0</v>
      </c>
      <c r="AC182" s="987">
        <f t="shared" si="55"/>
        <v>0</v>
      </c>
      <c r="AD182" s="987">
        <f t="shared" si="56"/>
        <v>0</v>
      </c>
      <c r="AE182" s="368" t="str">
        <f>IFERROR(VLOOKUP(B182,'[1]סיכום בקרת רשויות'!$A:$D,4,0),"")</f>
        <v/>
      </c>
      <c r="AF182" s="57" t="str">
        <f t="shared" si="57"/>
        <v/>
      </c>
      <c r="AG182" s="180">
        <f>IF(AF182="כן",M182*'גנים ובתי ספר- מבנה תקציב'!$H$59,0)</f>
        <v>0</v>
      </c>
      <c r="AH182" s="180">
        <f>IF(AF182="כן",M182*'גנים ובתי ספר- מבנה תקציב'!$I$59,0)</f>
        <v>0</v>
      </c>
      <c r="AI182" s="180">
        <f t="shared" si="58"/>
        <v>0</v>
      </c>
      <c r="AJ182" s="368" t="str">
        <f t="shared" si="46"/>
        <v/>
      </c>
    </row>
    <row r="183" spans="1:36" x14ac:dyDescent="0.25">
      <c r="A183" s="57">
        <v>163</v>
      </c>
      <c r="B183" s="690"/>
      <c r="C183" s="690"/>
      <c r="D183" s="252">
        <f>(IFERROR(SUMIF('מצבת והרשמה (2)'!$F$21:$F$501,'דוח ביצוע (3)'!$B183,'מצבת והרשמה (2)'!$J$21:$J$501),0))</f>
        <v>0</v>
      </c>
      <c r="E183" s="252">
        <f>IFERROR(SUMIF('מצבת והרשמה (2)'!$F$21:$F$501,'דוח ביצוע (3)'!$B183,'מצבת והרשמה (2)'!$K$21:$K$501),0)</f>
        <v>0</v>
      </c>
      <c r="F183" s="253">
        <f t="shared" si="47"/>
        <v>0</v>
      </c>
      <c r="G183" s="680"/>
      <c r="H183" s="680"/>
      <c r="I183" s="253">
        <f t="shared" si="40"/>
        <v>0</v>
      </c>
      <c r="J183" s="453">
        <f t="shared" si="48"/>
        <v>0</v>
      </c>
      <c r="K183" s="689"/>
      <c r="L183" s="689"/>
      <c r="M183" s="969">
        <f t="shared" si="49"/>
        <v>0</v>
      </c>
      <c r="N183" s="1029" t="str">
        <f t="shared" si="50"/>
        <v/>
      </c>
      <c r="O183" s="969" t="str">
        <f>IFERROR(VLOOKUP(B183,'נתוני רישום ומצבת'!B:Q,16,0),"")</f>
        <v/>
      </c>
      <c r="P183" s="969" t="str">
        <f>IFERROR(VLOOKUP(B183,'נתוני רישום ומצבת'!B:R,17,0),"")</f>
        <v/>
      </c>
      <c r="Q183" s="690"/>
      <c r="R183" s="1009"/>
      <c r="S183" s="376">
        <f t="shared" si="51"/>
        <v>0</v>
      </c>
      <c r="T183" s="376">
        <f t="shared" si="52"/>
        <v>0</v>
      </c>
      <c r="U183" s="386">
        <f t="shared" si="53"/>
        <v>0</v>
      </c>
      <c r="V183" s="513" t="str">
        <f t="shared" si="54"/>
        <v/>
      </c>
      <c r="W183" s="254" t="str">
        <f>IF(ISBLANK(B183)," ",IF(B183=IFERROR(VLOOKUP(B183,'מצבת והרשמה (2)'!F:F,1,0),0),"תקין","לא קיים במצבת כבית ספר בו מתקיימת פעילות"))</f>
        <v xml:space="preserve"> </v>
      </c>
      <c r="X183" s="256" t="str">
        <f t="shared" si="41"/>
        <v/>
      </c>
      <c r="Y183" s="256" t="str">
        <f t="shared" si="42"/>
        <v/>
      </c>
      <c r="Z183" s="741">
        <f t="shared" si="43"/>
        <v>0</v>
      </c>
      <c r="AA183" s="741">
        <f t="shared" si="44"/>
        <v>0</v>
      </c>
      <c r="AB183" s="741">
        <f t="shared" si="45"/>
        <v>0</v>
      </c>
      <c r="AC183" s="987">
        <f t="shared" si="55"/>
        <v>0</v>
      </c>
      <c r="AD183" s="987">
        <f t="shared" si="56"/>
        <v>0</v>
      </c>
      <c r="AE183" s="368" t="str">
        <f>IFERROR(VLOOKUP(B183,'[1]סיכום בקרת רשויות'!$A:$D,4,0),"")</f>
        <v/>
      </c>
      <c r="AF183" s="57" t="str">
        <f t="shared" si="57"/>
        <v/>
      </c>
      <c r="AG183" s="180">
        <f>IF(AF183="כן",M183*'גנים ובתי ספר- מבנה תקציב'!$H$59,0)</f>
        <v>0</v>
      </c>
      <c r="AH183" s="180">
        <f>IF(AF183="כן",M183*'גנים ובתי ספר- מבנה תקציב'!$I$59,0)</f>
        <v>0</v>
      </c>
      <c r="AI183" s="180">
        <f t="shared" si="58"/>
        <v>0</v>
      </c>
      <c r="AJ183" s="368" t="str">
        <f t="shared" si="46"/>
        <v/>
      </c>
    </row>
    <row r="184" spans="1:36" x14ac:dyDescent="0.25">
      <c r="A184" s="57">
        <v>164</v>
      </c>
      <c r="B184" s="690"/>
      <c r="C184" s="690"/>
      <c r="D184" s="252">
        <f>(IFERROR(SUMIF('מצבת והרשמה (2)'!$F$21:$F$501,'דוח ביצוע (3)'!$B184,'מצבת והרשמה (2)'!$J$21:$J$501),0))</f>
        <v>0</v>
      </c>
      <c r="E184" s="252">
        <f>IFERROR(SUMIF('מצבת והרשמה (2)'!$F$21:$F$501,'דוח ביצוע (3)'!$B184,'מצבת והרשמה (2)'!$K$21:$K$501),0)</f>
        <v>0</v>
      </c>
      <c r="F184" s="253">
        <f t="shared" si="47"/>
        <v>0</v>
      </c>
      <c r="G184" s="680"/>
      <c r="H184" s="680"/>
      <c r="I184" s="253">
        <f t="shared" si="40"/>
        <v>0</v>
      </c>
      <c r="J184" s="453">
        <f t="shared" si="48"/>
        <v>0</v>
      </c>
      <c r="K184" s="689"/>
      <c r="L184" s="689"/>
      <c r="M184" s="969">
        <f t="shared" si="49"/>
        <v>0</v>
      </c>
      <c r="N184" s="1029" t="str">
        <f t="shared" si="50"/>
        <v/>
      </c>
      <c r="O184" s="969" t="str">
        <f>IFERROR(VLOOKUP(B184,'נתוני רישום ומצבת'!B:Q,16,0),"")</f>
        <v/>
      </c>
      <c r="P184" s="969" t="str">
        <f>IFERROR(VLOOKUP(B184,'נתוני רישום ומצבת'!B:R,17,0),"")</f>
        <v/>
      </c>
      <c r="Q184" s="690"/>
      <c r="R184" s="1009"/>
      <c r="S184" s="376">
        <f t="shared" si="51"/>
        <v>0</v>
      </c>
      <c r="T184" s="376">
        <f t="shared" si="52"/>
        <v>0</v>
      </c>
      <c r="U184" s="386">
        <f t="shared" si="53"/>
        <v>0</v>
      </c>
      <c r="V184" s="513" t="str">
        <f t="shared" si="54"/>
        <v/>
      </c>
      <c r="W184" s="254" t="str">
        <f>IF(ISBLANK(B184)," ",IF(B184=IFERROR(VLOOKUP(B184,'מצבת והרשמה (2)'!F:F,1,0),0),"תקין","לא קיים במצבת כבית ספר בו מתקיימת פעילות"))</f>
        <v xml:space="preserve"> </v>
      </c>
      <c r="X184" s="256" t="str">
        <f t="shared" si="41"/>
        <v/>
      </c>
      <c r="Y184" s="256" t="str">
        <f t="shared" si="42"/>
        <v/>
      </c>
      <c r="Z184" s="741">
        <f t="shared" si="43"/>
        <v>0</v>
      </c>
      <c r="AA184" s="741">
        <f t="shared" si="44"/>
        <v>0</v>
      </c>
      <c r="AB184" s="741">
        <f t="shared" si="45"/>
        <v>0</v>
      </c>
      <c r="AC184" s="987">
        <f t="shared" si="55"/>
        <v>0</v>
      </c>
      <c r="AD184" s="987">
        <f t="shared" si="56"/>
        <v>0</v>
      </c>
      <c r="AE184" s="368" t="str">
        <f>IFERROR(VLOOKUP(B184,'[1]סיכום בקרת רשויות'!$A:$D,4,0),"")</f>
        <v/>
      </c>
      <c r="AF184" s="57" t="str">
        <f t="shared" si="57"/>
        <v/>
      </c>
      <c r="AG184" s="180">
        <f>IF(AF184="כן",M184*'גנים ובתי ספר- מבנה תקציב'!$H$59,0)</f>
        <v>0</v>
      </c>
      <c r="AH184" s="180">
        <f>IF(AF184="כן",M184*'גנים ובתי ספר- מבנה תקציב'!$I$59,0)</f>
        <v>0</v>
      </c>
      <c r="AI184" s="180">
        <f t="shared" si="58"/>
        <v>0</v>
      </c>
      <c r="AJ184" s="368" t="str">
        <f t="shared" si="46"/>
        <v/>
      </c>
    </row>
    <row r="185" spans="1:36" x14ac:dyDescent="0.25">
      <c r="A185" s="57">
        <v>165</v>
      </c>
      <c r="B185" s="690"/>
      <c r="C185" s="690"/>
      <c r="D185" s="252">
        <f>(IFERROR(SUMIF('מצבת והרשמה (2)'!$F$21:$F$501,'דוח ביצוע (3)'!$B185,'מצבת והרשמה (2)'!$J$21:$J$501),0))</f>
        <v>0</v>
      </c>
      <c r="E185" s="252">
        <f>IFERROR(SUMIF('מצבת והרשמה (2)'!$F$21:$F$501,'דוח ביצוע (3)'!$B185,'מצבת והרשמה (2)'!$K$21:$K$501),0)</f>
        <v>0</v>
      </c>
      <c r="F185" s="253">
        <f t="shared" si="47"/>
        <v>0</v>
      </c>
      <c r="G185" s="680"/>
      <c r="H185" s="680"/>
      <c r="I185" s="253">
        <f t="shared" si="40"/>
        <v>0</v>
      </c>
      <c r="J185" s="453">
        <f t="shared" si="48"/>
        <v>0</v>
      </c>
      <c r="K185" s="689"/>
      <c r="L185" s="689"/>
      <c r="M185" s="969">
        <f t="shared" si="49"/>
        <v>0</v>
      </c>
      <c r="N185" s="1029" t="str">
        <f t="shared" si="50"/>
        <v/>
      </c>
      <c r="O185" s="969" t="str">
        <f>IFERROR(VLOOKUP(B185,'נתוני רישום ומצבת'!B:Q,16,0),"")</f>
        <v/>
      </c>
      <c r="P185" s="969" t="str">
        <f>IFERROR(VLOOKUP(B185,'נתוני רישום ומצבת'!B:R,17,0),"")</f>
        <v/>
      </c>
      <c r="Q185" s="690"/>
      <c r="R185" s="1009"/>
      <c r="S185" s="376">
        <f t="shared" si="51"/>
        <v>0</v>
      </c>
      <c r="T185" s="376">
        <f t="shared" si="52"/>
        <v>0</v>
      </c>
      <c r="U185" s="386">
        <f t="shared" si="53"/>
        <v>0</v>
      </c>
      <c r="V185" s="513" t="str">
        <f t="shared" si="54"/>
        <v/>
      </c>
      <c r="W185" s="254" t="str">
        <f>IF(ISBLANK(B185)," ",IF(B185=IFERROR(VLOOKUP(B185,'מצבת והרשמה (2)'!F:F,1,0),0),"תקין","לא קיים במצבת כבית ספר בו מתקיימת פעילות"))</f>
        <v xml:space="preserve"> </v>
      </c>
      <c r="X185" s="256" t="str">
        <f t="shared" si="41"/>
        <v/>
      </c>
      <c r="Y185" s="256" t="str">
        <f t="shared" si="42"/>
        <v/>
      </c>
      <c r="Z185" s="741">
        <f t="shared" si="43"/>
        <v>0</v>
      </c>
      <c r="AA185" s="741">
        <f t="shared" si="44"/>
        <v>0</v>
      </c>
      <c r="AB185" s="741">
        <f t="shared" si="45"/>
        <v>0</v>
      </c>
      <c r="AC185" s="987">
        <f t="shared" si="55"/>
        <v>0</v>
      </c>
      <c r="AD185" s="987">
        <f t="shared" si="56"/>
        <v>0</v>
      </c>
      <c r="AE185" s="368" t="str">
        <f>IFERROR(VLOOKUP(B185,'[1]סיכום בקרת רשויות'!$A:$D,4,0),"")</f>
        <v/>
      </c>
      <c r="AF185" s="57" t="str">
        <f t="shared" si="57"/>
        <v/>
      </c>
      <c r="AG185" s="180">
        <f>IF(AF185="כן",M185*'גנים ובתי ספר- מבנה תקציב'!$H$59,0)</f>
        <v>0</v>
      </c>
      <c r="AH185" s="180">
        <f>IF(AF185="כן",M185*'גנים ובתי ספר- מבנה תקציב'!$I$59,0)</f>
        <v>0</v>
      </c>
      <c r="AI185" s="180">
        <f t="shared" si="58"/>
        <v>0</v>
      </c>
      <c r="AJ185" s="368" t="str">
        <f t="shared" si="46"/>
        <v/>
      </c>
    </row>
    <row r="186" spans="1:36" x14ac:dyDescent="0.25">
      <c r="A186" s="57">
        <v>166</v>
      </c>
      <c r="B186" s="690"/>
      <c r="C186" s="690"/>
      <c r="D186" s="252">
        <f>(IFERROR(SUMIF('מצבת והרשמה (2)'!$F$21:$F$501,'דוח ביצוע (3)'!$B186,'מצבת והרשמה (2)'!$J$21:$J$501),0))</f>
        <v>0</v>
      </c>
      <c r="E186" s="252">
        <f>IFERROR(SUMIF('מצבת והרשמה (2)'!$F$21:$F$501,'דוח ביצוע (3)'!$B186,'מצבת והרשמה (2)'!$K$21:$K$501),0)</f>
        <v>0</v>
      </c>
      <c r="F186" s="253">
        <f t="shared" si="47"/>
        <v>0</v>
      </c>
      <c r="G186" s="680"/>
      <c r="H186" s="680"/>
      <c r="I186" s="253">
        <f t="shared" si="40"/>
        <v>0</v>
      </c>
      <c r="J186" s="453">
        <f t="shared" si="48"/>
        <v>0</v>
      </c>
      <c r="K186" s="689"/>
      <c r="L186" s="689"/>
      <c r="M186" s="969">
        <f t="shared" si="49"/>
        <v>0</v>
      </c>
      <c r="N186" s="1029" t="str">
        <f t="shared" si="50"/>
        <v/>
      </c>
      <c r="O186" s="969" t="str">
        <f>IFERROR(VLOOKUP(B186,'נתוני רישום ומצבת'!B:Q,16,0),"")</f>
        <v/>
      </c>
      <c r="P186" s="969" t="str">
        <f>IFERROR(VLOOKUP(B186,'נתוני רישום ומצבת'!B:R,17,0),"")</f>
        <v/>
      </c>
      <c r="Q186" s="690"/>
      <c r="R186" s="1009"/>
      <c r="S186" s="376">
        <f t="shared" si="51"/>
        <v>0</v>
      </c>
      <c r="T186" s="376">
        <f t="shared" si="52"/>
        <v>0</v>
      </c>
      <c r="U186" s="386">
        <f t="shared" si="53"/>
        <v>0</v>
      </c>
      <c r="V186" s="513" t="str">
        <f t="shared" si="54"/>
        <v/>
      </c>
      <c r="W186" s="254" t="str">
        <f>IF(ISBLANK(B186)," ",IF(B186=IFERROR(VLOOKUP(B186,'מצבת והרשמה (2)'!F:F,1,0),0),"תקין","לא קיים במצבת כבית ספר בו מתקיימת פעילות"))</f>
        <v xml:space="preserve"> </v>
      </c>
      <c r="X186" s="256" t="str">
        <f t="shared" si="41"/>
        <v/>
      </c>
      <c r="Y186" s="256" t="str">
        <f t="shared" si="42"/>
        <v/>
      </c>
      <c r="Z186" s="741">
        <f t="shared" si="43"/>
        <v>0</v>
      </c>
      <c r="AA186" s="741">
        <f t="shared" si="44"/>
        <v>0</v>
      </c>
      <c r="AB186" s="741">
        <f t="shared" si="45"/>
        <v>0</v>
      </c>
      <c r="AC186" s="987">
        <f t="shared" si="55"/>
        <v>0</v>
      </c>
      <c r="AD186" s="987">
        <f t="shared" si="56"/>
        <v>0</v>
      </c>
      <c r="AE186" s="368" t="str">
        <f>IFERROR(VLOOKUP(B186,'[1]סיכום בקרת רשויות'!$A:$D,4,0),"")</f>
        <v/>
      </c>
      <c r="AF186" s="57" t="str">
        <f t="shared" si="57"/>
        <v/>
      </c>
      <c r="AG186" s="180">
        <f>IF(AF186="כן",M186*'גנים ובתי ספר- מבנה תקציב'!$H$59,0)</f>
        <v>0</v>
      </c>
      <c r="AH186" s="180">
        <f>IF(AF186="כן",M186*'גנים ובתי ספר- מבנה תקציב'!$I$59,0)</f>
        <v>0</v>
      </c>
      <c r="AI186" s="180">
        <f t="shared" si="58"/>
        <v>0</v>
      </c>
      <c r="AJ186" s="368" t="str">
        <f t="shared" si="46"/>
        <v/>
      </c>
    </row>
    <row r="187" spans="1:36" x14ac:dyDescent="0.25">
      <c r="A187" s="57">
        <v>167</v>
      </c>
      <c r="B187" s="690"/>
      <c r="C187" s="690"/>
      <c r="D187" s="252">
        <f>(IFERROR(SUMIF('מצבת והרשמה (2)'!$F$21:$F$501,'דוח ביצוע (3)'!$B187,'מצבת והרשמה (2)'!$J$21:$J$501),0))</f>
        <v>0</v>
      </c>
      <c r="E187" s="252">
        <f>IFERROR(SUMIF('מצבת והרשמה (2)'!$F$21:$F$501,'דוח ביצוע (3)'!$B187,'מצבת והרשמה (2)'!$K$21:$K$501),0)</f>
        <v>0</v>
      </c>
      <c r="F187" s="253">
        <f t="shared" si="47"/>
        <v>0</v>
      </c>
      <c r="G187" s="680"/>
      <c r="H187" s="680"/>
      <c r="I187" s="253">
        <f t="shared" si="40"/>
        <v>0</v>
      </c>
      <c r="J187" s="453">
        <f t="shared" si="48"/>
        <v>0</v>
      </c>
      <c r="K187" s="689"/>
      <c r="L187" s="689"/>
      <c r="M187" s="969">
        <f t="shared" si="49"/>
        <v>0</v>
      </c>
      <c r="N187" s="1029" t="str">
        <f t="shared" si="50"/>
        <v/>
      </c>
      <c r="O187" s="969" t="str">
        <f>IFERROR(VLOOKUP(B187,'נתוני רישום ומצבת'!B:Q,16,0),"")</f>
        <v/>
      </c>
      <c r="P187" s="969" t="str">
        <f>IFERROR(VLOOKUP(B187,'נתוני רישום ומצבת'!B:R,17,0),"")</f>
        <v/>
      </c>
      <c r="Q187" s="690"/>
      <c r="R187" s="1009"/>
      <c r="S187" s="376">
        <f t="shared" si="51"/>
        <v>0</v>
      </c>
      <c r="T187" s="376">
        <f t="shared" si="52"/>
        <v>0</v>
      </c>
      <c r="U187" s="386">
        <f t="shared" si="53"/>
        <v>0</v>
      </c>
      <c r="V187" s="513" t="str">
        <f t="shared" si="54"/>
        <v/>
      </c>
      <c r="W187" s="254" t="str">
        <f>IF(ISBLANK(B187)," ",IF(B187=IFERROR(VLOOKUP(B187,'מצבת והרשמה (2)'!F:F,1,0),0),"תקין","לא קיים במצבת כבית ספר בו מתקיימת פעילות"))</f>
        <v xml:space="preserve"> </v>
      </c>
      <c r="X187" s="256" t="str">
        <f t="shared" si="41"/>
        <v/>
      </c>
      <c r="Y187" s="256" t="str">
        <f t="shared" si="42"/>
        <v/>
      </c>
      <c r="Z187" s="741">
        <f t="shared" si="43"/>
        <v>0</v>
      </c>
      <c r="AA187" s="741">
        <f t="shared" si="44"/>
        <v>0</v>
      </c>
      <c r="AB187" s="741">
        <f t="shared" si="45"/>
        <v>0</v>
      </c>
      <c r="AC187" s="987">
        <f t="shared" si="55"/>
        <v>0</v>
      </c>
      <c r="AD187" s="987">
        <f t="shared" si="56"/>
        <v>0</v>
      </c>
      <c r="AE187" s="368" t="str">
        <f>IFERROR(VLOOKUP(B187,'[1]סיכום בקרת רשויות'!$A:$D,4,0),"")</f>
        <v/>
      </c>
      <c r="AF187" s="57" t="str">
        <f t="shared" si="57"/>
        <v/>
      </c>
      <c r="AG187" s="180">
        <f>IF(AF187="כן",M187*'גנים ובתי ספר- מבנה תקציב'!$H$59,0)</f>
        <v>0</v>
      </c>
      <c r="AH187" s="180">
        <f>IF(AF187="כן",M187*'גנים ובתי ספר- מבנה תקציב'!$I$59,0)</f>
        <v>0</v>
      </c>
      <c r="AI187" s="180">
        <f t="shared" si="58"/>
        <v>0</v>
      </c>
      <c r="AJ187" s="368" t="str">
        <f t="shared" si="46"/>
        <v/>
      </c>
    </row>
    <row r="188" spans="1:36" x14ac:dyDescent="0.25">
      <c r="A188" s="57">
        <v>168</v>
      </c>
      <c r="B188" s="690"/>
      <c r="C188" s="690"/>
      <c r="D188" s="252">
        <f>(IFERROR(SUMIF('מצבת והרשמה (2)'!$F$21:$F$501,'דוח ביצוע (3)'!$B188,'מצבת והרשמה (2)'!$J$21:$J$501),0))</f>
        <v>0</v>
      </c>
      <c r="E188" s="252">
        <f>IFERROR(SUMIF('מצבת והרשמה (2)'!$F$21:$F$501,'דוח ביצוע (3)'!$B188,'מצבת והרשמה (2)'!$K$21:$K$501),0)</f>
        <v>0</v>
      </c>
      <c r="F188" s="253">
        <f t="shared" si="47"/>
        <v>0</v>
      </c>
      <c r="G188" s="680"/>
      <c r="H188" s="680"/>
      <c r="I188" s="253">
        <f t="shared" si="40"/>
        <v>0</v>
      </c>
      <c r="J188" s="453">
        <f t="shared" si="48"/>
        <v>0</v>
      </c>
      <c r="K188" s="689"/>
      <c r="L188" s="689"/>
      <c r="M188" s="969">
        <f t="shared" si="49"/>
        <v>0</v>
      </c>
      <c r="N188" s="1029" t="str">
        <f t="shared" si="50"/>
        <v/>
      </c>
      <c r="O188" s="969" t="str">
        <f>IFERROR(VLOOKUP(B188,'נתוני רישום ומצבת'!B:Q,16,0),"")</f>
        <v/>
      </c>
      <c r="P188" s="969" t="str">
        <f>IFERROR(VLOOKUP(B188,'נתוני רישום ומצבת'!B:R,17,0),"")</f>
        <v/>
      </c>
      <c r="Q188" s="690"/>
      <c r="R188" s="1009"/>
      <c r="S188" s="376">
        <f t="shared" si="51"/>
        <v>0</v>
      </c>
      <c r="T188" s="376">
        <f t="shared" si="52"/>
        <v>0</v>
      </c>
      <c r="U188" s="386">
        <f t="shared" si="53"/>
        <v>0</v>
      </c>
      <c r="V188" s="513" t="str">
        <f t="shared" si="54"/>
        <v/>
      </c>
      <c r="W188" s="254" t="str">
        <f>IF(ISBLANK(B188)," ",IF(B188=IFERROR(VLOOKUP(B188,'מצבת והרשמה (2)'!F:F,1,0),0),"תקין","לא קיים במצבת כבית ספר בו מתקיימת פעילות"))</f>
        <v xml:space="preserve"> </v>
      </c>
      <c r="X188" s="256" t="str">
        <f t="shared" si="41"/>
        <v/>
      </c>
      <c r="Y188" s="256" t="str">
        <f t="shared" si="42"/>
        <v/>
      </c>
      <c r="Z188" s="741">
        <f t="shared" si="43"/>
        <v>0</v>
      </c>
      <c r="AA188" s="741">
        <f t="shared" si="44"/>
        <v>0</v>
      </c>
      <c r="AB188" s="741">
        <f t="shared" si="45"/>
        <v>0</v>
      </c>
      <c r="AC188" s="987">
        <f t="shared" si="55"/>
        <v>0</v>
      </c>
      <c r="AD188" s="987">
        <f t="shared" si="56"/>
        <v>0</v>
      </c>
      <c r="AE188" s="368" t="str">
        <f>IFERROR(VLOOKUP(B188,'[1]סיכום בקרת רשויות'!$A:$D,4,0),"")</f>
        <v/>
      </c>
      <c r="AF188" s="57" t="str">
        <f t="shared" si="57"/>
        <v/>
      </c>
      <c r="AG188" s="180">
        <f>IF(AF188="כן",M188*'גנים ובתי ספר- מבנה תקציב'!$H$59,0)</f>
        <v>0</v>
      </c>
      <c r="AH188" s="180">
        <f>IF(AF188="כן",M188*'גנים ובתי ספר- מבנה תקציב'!$I$59,0)</f>
        <v>0</v>
      </c>
      <c r="AI188" s="180">
        <f t="shared" si="58"/>
        <v>0</v>
      </c>
      <c r="AJ188" s="368" t="str">
        <f t="shared" si="46"/>
        <v/>
      </c>
    </row>
    <row r="189" spans="1:36" x14ac:dyDescent="0.25">
      <c r="A189" s="57">
        <v>169</v>
      </c>
      <c r="B189" s="690"/>
      <c r="C189" s="690"/>
      <c r="D189" s="252">
        <f>(IFERROR(SUMIF('מצבת והרשמה (2)'!$F$21:$F$501,'דוח ביצוע (3)'!$B189,'מצבת והרשמה (2)'!$J$21:$J$501),0))</f>
        <v>0</v>
      </c>
      <c r="E189" s="252">
        <f>IFERROR(SUMIF('מצבת והרשמה (2)'!$F$21:$F$501,'דוח ביצוע (3)'!$B189,'מצבת והרשמה (2)'!$K$21:$K$501),0)</f>
        <v>0</v>
      </c>
      <c r="F189" s="253">
        <f t="shared" si="47"/>
        <v>0</v>
      </c>
      <c r="G189" s="680"/>
      <c r="H189" s="680"/>
      <c r="I189" s="253">
        <f t="shared" si="40"/>
        <v>0</v>
      </c>
      <c r="J189" s="453">
        <f t="shared" si="48"/>
        <v>0</v>
      </c>
      <c r="K189" s="689"/>
      <c r="L189" s="689"/>
      <c r="M189" s="969">
        <f t="shared" si="49"/>
        <v>0</v>
      </c>
      <c r="N189" s="1029" t="str">
        <f t="shared" si="50"/>
        <v/>
      </c>
      <c r="O189" s="969" t="str">
        <f>IFERROR(VLOOKUP(B189,'נתוני רישום ומצבת'!B:Q,16,0),"")</f>
        <v/>
      </c>
      <c r="P189" s="969" t="str">
        <f>IFERROR(VLOOKUP(B189,'נתוני רישום ומצבת'!B:R,17,0),"")</f>
        <v/>
      </c>
      <c r="Q189" s="690"/>
      <c r="R189" s="1009"/>
      <c r="S189" s="376">
        <f t="shared" si="51"/>
        <v>0</v>
      </c>
      <c r="T189" s="376">
        <f t="shared" si="52"/>
        <v>0</v>
      </c>
      <c r="U189" s="386">
        <f t="shared" si="53"/>
        <v>0</v>
      </c>
      <c r="V189" s="513" t="str">
        <f t="shared" si="54"/>
        <v/>
      </c>
      <c r="W189" s="254" t="str">
        <f>IF(ISBLANK(B189)," ",IF(B189=IFERROR(VLOOKUP(B189,'מצבת והרשמה (2)'!F:F,1,0),0),"תקין","לא קיים במצבת כבית ספר בו מתקיימת פעילות"))</f>
        <v xml:space="preserve"> </v>
      </c>
      <c r="X189" s="256" t="str">
        <f t="shared" si="41"/>
        <v/>
      </c>
      <c r="Y189" s="256" t="str">
        <f t="shared" si="42"/>
        <v/>
      </c>
      <c r="Z189" s="741">
        <f t="shared" si="43"/>
        <v>0</v>
      </c>
      <c r="AA189" s="741">
        <f t="shared" si="44"/>
        <v>0</v>
      </c>
      <c r="AB189" s="741">
        <f t="shared" si="45"/>
        <v>0</v>
      </c>
      <c r="AC189" s="987">
        <f t="shared" si="55"/>
        <v>0</v>
      </c>
      <c r="AD189" s="987">
        <f t="shared" si="56"/>
        <v>0</v>
      </c>
      <c r="AE189" s="368" t="str">
        <f>IFERROR(VLOOKUP(B189,'[1]סיכום בקרת רשויות'!$A:$D,4,0),"")</f>
        <v/>
      </c>
      <c r="AF189" s="57" t="str">
        <f t="shared" si="57"/>
        <v/>
      </c>
      <c r="AG189" s="180">
        <f>IF(AF189="כן",M189*'גנים ובתי ספר- מבנה תקציב'!$H$59,0)</f>
        <v>0</v>
      </c>
      <c r="AH189" s="180">
        <f>IF(AF189="כן",M189*'גנים ובתי ספר- מבנה תקציב'!$I$59,0)</f>
        <v>0</v>
      </c>
      <c r="AI189" s="180">
        <f t="shared" si="58"/>
        <v>0</v>
      </c>
      <c r="AJ189" s="368" t="str">
        <f t="shared" si="46"/>
        <v/>
      </c>
    </row>
    <row r="190" spans="1:36" x14ac:dyDescent="0.25">
      <c r="A190" s="57">
        <v>170</v>
      </c>
      <c r="B190" s="690"/>
      <c r="C190" s="690"/>
      <c r="D190" s="252">
        <f>(IFERROR(SUMIF('מצבת והרשמה (2)'!$F$21:$F$501,'דוח ביצוע (3)'!$B190,'מצבת והרשמה (2)'!$J$21:$J$501),0))</f>
        <v>0</v>
      </c>
      <c r="E190" s="252">
        <f>IFERROR(SUMIF('מצבת והרשמה (2)'!$F$21:$F$501,'דוח ביצוע (3)'!$B190,'מצבת והרשמה (2)'!$K$21:$K$501),0)</f>
        <v>0</v>
      </c>
      <c r="F190" s="253">
        <f t="shared" si="47"/>
        <v>0</v>
      </c>
      <c r="G190" s="680"/>
      <c r="H190" s="680"/>
      <c r="I190" s="253">
        <f t="shared" si="40"/>
        <v>0</v>
      </c>
      <c r="J190" s="453">
        <f t="shared" si="48"/>
        <v>0</v>
      </c>
      <c r="K190" s="689"/>
      <c r="L190" s="689"/>
      <c r="M190" s="969">
        <f t="shared" si="49"/>
        <v>0</v>
      </c>
      <c r="N190" s="1029" t="str">
        <f t="shared" si="50"/>
        <v/>
      </c>
      <c r="O190" s="969" t="str">
        <f>IFERROR(VLOOKUP(B190,'נתוני רישום ומצבת'!B:Q,16,0),"")</f>
        <v/>
      </c>
      <c r="P190" s="969" t="str">
        <f>IFERROR(VLOOKUP(B190,'נתוני רישום ומצבת'!B:R,17,0),"")</f>
        <v/>
      </c>
      <c r="Q190" s="690"/>
      <c r="R190" s="1009"/>
      <c r="S190" s="376">
        <f t="shared" si="51"/>
        <v>0</v>
      </c>
      <c r="T190" s="376">
        <f t="shared" si="52"/>
        <v>0</v>
      </c>
      <c r="U190" s="386">
        <f t="shared" si="53"/>
        <v>0</v>
      </c>
      <c r="V190" s="513" t="str">
        <f t="shared" si="54"/>
        <v/>
      </c>
      <c r="W190" s="254" t="str">
        <f>IF(ISBLANK(B190)," ",IF(B190=IFERROR(VLOOKUP(B190,'מצבת והרשמה (2)'!F:F,1,0),0),"תקין","לא קיים במצבת כבית ספר בו מתקיימת פעילות"))</f>
        <v xml:space="preserve"> </v>
      </c>
      <c r="X190" s="256" t="str">
        <f t="shared" si="41"/>
        <v/>
      </c>
      <c r="Y190" s="256" t="str">
        <f t="shared" si="42"/>
        <v/>
      </c>
      <c r="Z190" s="741">
        <f t="shared" si="43"/>
        <v>0</v>
      </c>
      <c r="AA190" s="741">
        <f t="shared" si="44"/>
        <v>0</v>
      </c>
      <c r="AB190" s="741">
        <f t="shared" si="45"/>
        <v>0</v>
      </c>
      <c r="AC190" s="987">
        <f t="shared" si="55"/>
        <v>0</v>
      </c>
      <c r="AD190" s="987">
        <f t="shared" si="56"/>
        <v>0</v>
      </c>
      <c r="AE190" s="368" t="str">
        <f>IFERROR(VLOOKUP(B190,'[1]סיכום בקרת רשויות'!$A:$D,4,0),"")</f>
        <v/>
      </c>
      <c r="AF190" s="57" t="str">
        <f t="shared" si="57"/>
        <v/>
      </c>
      <c r="AG190" s="180">
        <f>IF(AF190="כן",M190*'גנים ובתי ספר- מבנה תקציב'!$H$59,0)</f>
        <v>0</v>
      </c>
      <c r="AH190" s="180">
        <f>IF(AF190="כן",M190*'גנים ובתי ספר- מבנה תקציב'!$I$59,0)</f>
        <v>0</v>
      </c>
      <c r="AI190" s="180">
        <f t="shared" si="58"/>
        <v>0</v>
      </c>
      <c r="AJ190" s="368" t="str">
        <f t="shared" si="46"/>
        <v/>
      </c>
    </row>
    <row r="191" spans="1:36" x14ac:dyDescent="0.25">
      <c r="A191" s="57">
        <v>171</v>
      </c>
      <c r="B191" s="690"/>
      <c r="C191" s="690"/>
      <c r="D191" s="252">
        <f>(IFERROR(SUMIF('מצבת והרשמה (2)'!$F$21:$F$501,'דוח ביצוע (3)'!$B191,'מצבת והרשמה (2)'!$J$21:$J$501),0))</f>
        <v>0</v>
      </c>
      <c r="E191" s="252">
        <f>IFERROR(SUMIF('מצבת והרשמה (2)'!$F$21:$F$501,'דוח ביצוע (3)'!$B191,'מצבת והרשמה (2)'!$K$21:$K$501),0)</f>
        <v>0</v>
      </c>
      <c r="F191" s="253">
        <f t="shared" si="47"/>
        <v>0</v>
      </c>
      <c r="G191" s="680"/>
      <c r="H191" s="680"/>
      <c r="I191" s="253">
        <f t="shared" si="40"/>
        <v>0</v>
      </c>
      <c r="J191" s="453">
        <f t="shared" si="48"/>
        <v>0</v>
      </c>
      <c r="K191" s="689"/>
      <c r="L191" s="689"/>
      <c r="M191" s="969">
        <f t="shared" si="49"/>
        <v>0</v>
      </c>
      <c r="N191" s="1029" t="str">
        <f t="shared" si="50"/>
        <v/>
      </c>
      <c r="O191" s="969" t="str">
        <f>IFERROR(VLOOKUP(B191,'נתוני רישום ומצבת'!B:Q,16,0),"")</f>
        <v/>
      </c>
      <c r="P191" s="969" t="str">
        <f>IFERROR(VLOOKUP(B191,'נתוני רישום ומצבת'!B:R,17,0),"")</f>
        <v/>
      </c>
      <c r="Q191" s="690"/>
      <c r="R191" s="1009"/>
      <c r="S191" s="376">
        <f t="shared" si="51"/>
        <v>0</v>
      </c>
      <c r="T191" s="376">
        <f t="shared" si="52"/>
        <v>0</v>
      </c>
      <c r="U191" s="386">
        <f t="shared" si="53"/>
        <v>0</v>
      </c>
      <c r="V191" s="513" t="str">
        <f t="shared" si="54"/>
        <v/>
      </c>
      <c r="W191" s="254" t="str">
        <f>IF(ISBLANK(B191)," ",IF(B191=IFERROR(VLOOKUP(B191,'מצבת והרשמה (2)'!F:F,1,0),0),"תקין","לא קיים במצבת כבית ספר בו מתקיימת פעילות"))</f>
        <v xml:space="preserve"> </v>
      </c>
      <c r="X191" s="256" t="str">
        <f t="shared" si="41"/>
        <v/>
      </c>
      <c r="Y191" s="256" t="str">
        <f t="shared" si="42"/>
        <v/>
      </c>
      <c r="Z191" s="741">
        <f t="shared" si="43"/>
        <v>0</v>
      </c>
      <c r="AA191" s="741">
        <f t="shared" si="44"/>
        <v>0</v>
      </c>
      <c r="AB191" s="741">
        <f t="shared" si="45"/>
        <v>0</v>
      </c>
      <c r="AC191" s="987">
        <f t="shared" si="55"/>
        <v>0</v>
      </c>
      <c r="AD191" s="987">
        <f t="shared" si="56"/>
        <v>0</v>
      </c>
      <c r="AE191" s="368" t="str">
        <f>IFERROR(VLOOKUP(B191,'[1]סיכום בקרת רשויות'!$A:$D,4,0),"")</f>
        <v/>
      </c>
      <c r="AF191" s="57" t="str">
        <f t="shared" si="57"/>
        <v/>
      </c>
      <c r="AG191" s="180">
        <f>IF(AF191="כן",M191*'גנים ובתי ספר- מבנה תקציב'!$H$59,0)</f>
        <v>0</v>
      </c>
      <c r="AH191" s="180">
        <f>IF(AF191="כן",M191*'גנים ובתי ספר- מבנה תקציב'!$I$59,0)</f>
        <v>0</v>
      </c>
      <c r="AI191" s="180">
        <f t="shared" si="58"/>
        <v>0</v>
      </c>
      <c r="AJ191" s="368" t="str">
        <f t="shared" si="46"/>
        <v/>
      </c>
    </row>
    <row r="192" spans="1:36" x14ac:dyDescent="0.25">
      <c r="A192" s="57">
        <v>172</v>
      </c>
      <c r="B192" s="690"/>
      <c r="C192" s="690"/>
      <c r="D192" s="252">
        <f>(IFERROR(SUMIF('מצבת והרשמה (2)'!$F$21:$F$501,'דוח ביצוע (3)'!$B192,'מצבת והרשמה (2)'!$J$21:$J$501),0))</f>
        <v>0</v>
      </c>
      <c r="E192" s="252">
        <f>IFERROR(SUMIF('מצבת והרשמה (2)'!$F$21:$F$501,'דוח ביצוע (3)'!$B192,'מצבת והרשמה (2)'!$K$21:$K$501),0)</f>
        <v>0</v>
      </c>
      <c r="F192" s="253">
        <f t="shared" si="47"/>
        <v>0</v>
      </c>
      <c r="G192" s="680"/>
      <c r="H192" s="680"/>
      <c r="I192" s="253">
        <f t="shared" si="40"/>
        <v>0</v>
      </c>
      <c r="J192" s="453">
        <f t="shared" si="48"/>
        <v>0</v>
      </c>
      <c r="K192" s="689"/>
      <c r="L192" s="689"/>
      <c r="M192" s="969">
        <f t="shared" si="49"/>
        <v>0</v>
      </c>
      <c r="N192" s="1029" t="str">
        <f t="shared" si="50"/>
        <v/>
      </c>
      <c r="O192" s="969" t="str">
        <f>IFERROR(VLOOKUP(B192,'נתוני רישום ומצבת'!B:Q,16,0),"")</f>
        <v/>
      </c>
      <c r="P192" s="969" t="str">
        <f>IFERROR(VLOOKUP(B192,'נתוני רישום ומצבת'!B:R,17,0),"")</f>
        <v/>
      </c>
      <c r="Q192" s="690"/>
      <c r="R192" s="1009"/>
      <c r="S192" s="376">
        <f t="shared" si="51"/>
        <v>0</v>
      </c>
      <c r="T192" s="376">
        <f t="shared" si="52"/>
        <v>0</v>
      </c>
      <c r="U192" s="386">
        <f t="shared" si="53"/>
        <v>0</v>
      </c>
      <c r="V192" s="513" t="str">
        <f t="shared" si="54"/>
        <v/>
      </c>
      <c r="W192" s="254" t="str">
        <f>IF(ISBLANK(B192)," ",IF(B192=IFERROR(VLOOKUP(B192,'מצבת והרשמה (2)'!F:F,1,0),0),"תקין","לא קיים במצבת כבית ספר בו מתקיימת פעילות"))</f>
        <v xml:space="preserve"> </v>
      </c>
      <c r="X192" s="256" t="str">
        <f t="shared" si="41"/>
        <v/>
      </c>
      <c r="Y192" s="256" t="str">
        <f t="shared" si="42"/>
        <v/>
      </c>
      <c r="Z192" s="741">
        <f t="shared" si="43"/>
        <v>0</v>
      </c>
      <c r="AA192" s="741">
        <f t="shared" si="44"/>
        <v>0</v>
      </c>
      <c r="AB192" s="741">
        <f t="shared" si="45"/>
        <v>0</v>
      </c>
      <c r="AC192" s="987">
        <f t="shared" si="55"/>
        <v>0</v>
      </c>
      <c r="AD192" s="987">
        <f t="shared" si="56"/>
        <v>0</v>
      </c>
      <c r="AE192" s="368" t="str">
        <f>IFERROR(VLOOKUP(B192,'[1]סיכום בקרת רשויות'!$A:$D,4,0),"")</f>
        <v/>
      </c>
      <c r="AF192" s="57" t="str">
        <f t="shared" si="57"/>
        <v/>
      </c>
      <c r="AG192" s="180">
        <f>IF(AF192="כן",M192*'גנים ובתי ספר- מבנה תקציב'!$H$59,0)</f>
        <v>0</v>
      </c>
      <c r="AH192" s="180">
        <f>IF(AF192="כן",M192*'גנים ובתי ספר- מבנה תקציב'!$I$59,0)</f>
        <v>0</v>
      </c>
      <c r="AI192" s="180">
        <f t="shared" si="58"/>
        <v>0</v>
      </c>
      <c r="AJ192" s="368" t="str">
        <f t="shared" si="46"/>
        <v/>
      </c>
    </row>
    <row r="193" spans="1:36" x14ac:dyDescent="0.25">
      <c r="A193" s="57">
        <v>173</v>
      </c>
      <c r="B193" s="690"/>
      <c r="C193" s="690"/>
      <c r="D193" s="252">
        <f>(IFERROR(SUMIF('מצבת והרשמה (2)'!$F$21:$F$501,'דוח ביצוע (3)'!$B193,'מצבת והרשמה (2)'!$J$21:$J$501),0))</f>
        <v>0</v>
      </c>
      <c r="E193" s="252">
        <f>IFERROR(SUMIF('מצבת והרשמה (2)'!$F$21:$F$501,'דוח ביצוע (3)'!$B193,'מצבת והרשמה (2)'!$K$21:$K$501),0)</f>
        <v>0</v>
      </c>
      <c r="F193" s="253">
        <f t="shared" si="47"/>
        <v>0</v>
      </c>
      <c r="G193" s="680"/>
      <c r="H193" s="680"/>
      <c r="I193" s="253">
        <f t="shared" si="40"/>
        <v>0</v>
      </c>
      <c r="J193" s="453">
        <f t="shared" si="48"/>
        <v>0</v>
      </c>
      <c r="K193" s="689"/>
      <c r="L193" s="689"/>
      <c r="M193" s="969">
        <f t="shared" si="49"/>
        <v>0</v>
      </c>
      <c r="N193" s="1029" t="str">
        <f t="shared" si="50"/>
        <v/>
      </c>
      <c r="O193" s="969" t="str">
        <f>IFERROR(VLOOKUP(B193,'נתוני רישום ומצבת'!B:Q,16,0),"")</f>
        <v/>
      </c>
      <c r="P193" s="969" t="str">
        <f>IFERROR(VLOOKUP(B193,'נתוני רישום ומצבת'!B:R,17,0),"")</f>
        <v/>
      </c>
      <c r="Q193" s="690"/>
      <c r="R193" s="1009"/>
      <c r="S193" s="376">
        <f t="shared" si="51"/>
        <v>0</v>
      </c>
      <c r="T193" s="376">
        <f t="shared" si="52"/>
        <v>0</v>
      </c>
      <c r="U193" s="386">
        <f t="shared" si="53"/>
        <v>0</v>
      </c>
      <c r="V193" s="513" t="str">
        <f t="shared" si="54"/>
        <v/>
      </c>
      <c r="W193" s="254" t="str">
        <f>IF(ISBLANK(B193)," ",IF(B193=IFERROR(VLOOKUP(B193,'מצבת והרשמה (2)'!F:F,1,0),0),"תקין","לא קיים במצבת כבית ספר בו מתקיימת פעילות"))</f>
        <v xml:space="preserve"> </v>
      </c>
      <c r="X193" s="256" t="str">
        <f t="shared" si="41"/>
        <v/>
      </c>
      <c r="Y193" s="256" t="str">
        <f t="shared" si="42"/>
        <v/>
      </c>
      <c r="Z193" s="741">
        <f t="shared" si="43"/>
        <v>0</v>
      </c>
      <c r="AA193" s="741">
        <f t="shared" si="44"/>
        <v>0</v>
      </c>
      <c r="AB193" s="741">
        <f t="shared" si="45"/>
        <v>0</v>
      </c>
      <c r="AC193" s="987">
        <f t="shared" si="55"/>
        <v>0</v>
      </c>
      <c r="AD193" s="987">
        <f t="shared" si="56"/>
        <v>0</v>
      </c>
      <c r="AE193" s="368" t="str">
        <f>IFERROR(VLOOKUP(B193,'[1]סיכום בקרת רשויות'!$A:$D,4,0),"")</f>
        <v/>
      </c>
      <c r="AF193" s="57" t="str">
        <f t="shared" si="57"/>
        <v/>
      </c>
      <c r="AG193" s="180">
        <f>IF(AF193="כן",M193*'גנים ובתי ספר- מבנה תקציב'!$H$59,0)</f>
        <v>0</v>
      </c>
      <c r="AH193" s="180">
        <f>IF(AF193="כן",M193*'גנים ובתי ספר- מבנה תקציב'!$I$59,0)</f>
        <v>0</v>
      </c>
      <c r="AI193" s="180">
        <f t="shared" si="58"/>
        <v>0</v>
      </c>
      <c r="AJ193" s="368" t="str">
        <f t="shared" si="46"/>
        <v/>
      </c>
    </row>
    <row r="194" spans="1:36" x14ac:dyDescent="0.25">
      <c r="A194" s="57">
        <v>174</v>
      </c>
      <c r="B194" s="690"/>
      <c r="C194" s="690"/>
      <c r="D194" s="252">
        <f>(IFERROR(SUMIF('מצבת והרשמה (2)'!$F$21:$F$501,'דוח ביצוע (3)'!$B194,'מצבת והרשמה (2)'!$J$21:$J$501),0))</f>
        <v>0</v>
      </c>
      <c r="E194" s="252">
        <f>IFERROR(SUMIF('מצבת והרשמה (2)'!$F$21:$F$501,'דוח ביצוע (3)'!$B194,'מצבת והרשמה (2)'!$K$21:$K$501),0)</f>
        <v>0</v>
      </c>
      <c r="F194" s="253">
        <f t="shared" si="47"/>
        <v>0</v>
      </c>
      <c r="G194" s="680"/>
      <c r="H194" s="680"/>
      <c r="I194" s="253">
        <f t="shared" si="40"/>
        <v>0</v>
      </c>
      <c r="J194" s="453">
        <f t="shared" si="48"/>
        <v>0</v>
      </c>
      <c r="K194" s="689"/>
      <c r="L194" s="689"/>
      <c r="M194" s="969">
        <f t="shared" si="49"/>
        <v>0</v>
      </c>
      <c r="N194" s="1029" t="str">
        <f t="shared" si="50"/>
        <v/>
      </c>
      <c r="O194" s="969" t="str">
        <f>IFERROR(VLOOKUP(B194,'נתוני רישום ומצבת'!B:Q,16,0),"")</f>
        <v/>
      </c>
      <c r="P194" s="969" t="str">
        <f>IFERROR(VLOOKUP(B194,'נתוני רישום ומצבת'!B:R,17,0),"")</f>
        <v/>
      </c>
      <c r="Q194" s="690"/>
      <c r="R194" s="1009"/>
      <c r="S194" s="376">
        <f t="shared" si="51"/>
        <v>0</v>
      </c>
      <c r="T194" s="376">
        <f t="shared" si="52"/>
        <v>0</v>
      </c>
      <c r="U194" s="386">
        <f t="shared" si="53"/>
        <v>0</v>
      </c>
      <c r="V194" s="513" t="str">
        <f t="shared" si="54"/>
        <v/>
      </c>
      <c r="W194" s="254" t="str">
        <f>IF(ISBLANK(B194)," ",IF(B194=IFERROR(VLOOKUP(B194,'מצבת והרשמה (2)'!F:F,1,0),0),"תקין","לא קיים במצבת כבית ספר בו מתקיימת פעילות"))</f>
        <v xml:space="preserve"> </v>
      </c>
      <c r="X194" s="256" t="str">
        <f t="shared" si="41"/>
        <v/>
      </c>
      <c r="Y194" s="256" t="str">
        <f t="shared" si="42"/>
        <v/>
      </c>
      <c r="Z194" s="741">
        <f t="shared" si="43"/>
        <v>0</v>
      </c>
      <c r="AA194" s="741">
        <f t="shared" si="44"/>
        <v>0</v>
      </c>
      <c r="AB194" s="741">
        <f t="shared" si="45"/>
        <v>0</v>
      </c>
      <c r="AC194" s="987">
        <f t="shared" si="55"/>
        <v>0</v>
      </c>
      <c r="AD194" s="987">
        <f t="shared" si="56"/>
        <v>0</v>
      </c>
      <c r="AE194" s="368" t="str">
        <f>IFERROR(VLOOKUP(B194,'[1]סיכום בקרת רשויות'!$A:$D,4,0),"")</f>
        <v/>
      </c>
      <c r="AF194" s="57" t="str">
        <f t="shared" si="57"/>
        <v/>
      </c>
      <c r="AG194" s="180">
        <f>IF(AF194="כן",M194*'גנים ובתי ספר- מבנה תקציב'!$H$59,0)</f>
        <v>0</v>
      </c>
      <c r="AH194" s="180">
        <f>IF(AF194="כן",M194*'גנים ובתי ספר- מבנה תקציב'!$I$59,0)</f>
        <v>0</v>
      </c>
      <c r="AI194" s="180">
        <f t="shared" si="58"/>
        <v>0</v>
      </c>
      <c r="AJ194" s="368" t="str">
        <f t="shared" si="46"/>
        <v/>
      </c>
    </row>
    <row r="195" spans="1:36" x14ac:dyDescent="0.25">
      <c r="A195" s="57">
        <v>175</v>
      </c>
      <c r="B195" s="690"/>
      <c r="C195" s="690"/>
      <c r="D195" s="252">
        <f>(IFERROR(SUMIF('מצבת והרשמה (2)'!$F$21:$F$501,'דוח ביצוע (3)'!$B195,'מצבת והרשמה (2)'!$J$21:$J$501),0))</f>
        <v>0</v>
      </c>
      <c r="E195" s="252">
        <f>IFERROR(SUMIF('מצבת והרשמה (2)'!$F$21:$F$501,'דוח ביצוע (3)'!$B195,'מצבת והרשמה (2)'!$K$21:$K$501),0)</f>
        <v>0</v>
      </c>
      <c r="F195" s="253">
        <f t="shared" si="47"/>
        <v>0</v>
      </c>
      <c r="G195" s="680"/>
      <c r="H195" s="680"/>
      <c r="I195" s="253">
        <f t="shared" si="40"/>
        <v>0</v>
      </c>
      <c r="J195" s="453">
        <f t="shared" si="48"/>
        <v>0</v>
      </c>
      <c r="K195" s="689"/>
      <c r="L195" s="689"/>
      <c r="M195" s="969">
        <f t="shared" si="49"/>
        <v>0</v>
      </c>
      <c r="N195" s="1029" t="str">
        <f t="shared" si="50"/>
        <v/>
      </c>
      <c r="O195" s="969" t="str">
        <f>IFERROR(VLOOKUP(B195,'נתוני רישום ומצבת'!B:Q,16,0),"")</f>
        <v/>
      </c>
      <c r="P195" s="969" t="str">
        <f>IFERROR(VLOOKUP(B195,'נתוני רישום ומצבת'!B:R,17,0),"")</f>
        <v/>
      </c>
      <c r="Q195" s="690"/>
      <c r="R195" s="1009"/>
      <c r="S195" s="376">
        <f t="shared" si="51"/>
        <v>0</v>
      </c>
      <c r="T195" s="376">
        <f t="shared" si="52"/>
        <v>0</v>
      </c>
      <c r="U195" s="386">
        <f t="shared" si="53"/>
        <v>0</v>
      </c>
      <c r="V195" s="513" t="str">
        <f t="shared" si="54"/>
        <v/>
      </c>
      <c r="W195" s="254" t="str">
        <f>IF(ISBLANK(B195)," ",IF(B195=IFERROR(VLOOKUP(B195,'מצבת והרשמה (2)'!F:F,1,0),0),"תקין","לא קיים במצבת כבית ספר בו מתקיימת פעילות"))</f>
        <v xml:space="preserve"> </v>
      </c>
      <c r="X195" s="256" t="str">
        <f t="shared" si="41"/>
        <v/>
      </c>
      <c r="Y195" s="256" t="str">
        <f t="shared" si="42"/>
        <v/>
      </c>
      <c r="Z195" s="741">
        <f t="shared" si="43"/>
        <v>0</v>
      </c>
      <c r="AA195" s="741">
        <f t="shared" si="44"/>
        <v>0</v>
      </c>
      <c r="AB195" s="741">
        <f t="shared" si="45"/>
        <v>0</v>
      </c>
      <c r="AC195" s="987">
        <f t="shared" si="55"/>
        <v>0</v>
      </c>
      <c r="AD195" s="987">
        <f t="shared" si="56"/>
        <v>0</v>
      </c>
      <c r="AE195" s="368" t="str">
        <f>IFERROR(VLOOKUP(B195,'[1]סיכום בקרת רשויות'!$A:$D,4,0),"")</f>
        <v/>
      </c>
      <c r="AF195" s="57" t="str">
        <f t="shared" si="57"/>
        <v/>
      </c>
      <c r="AG195" s="180">
        <f>IF(AF195="כן",M195*'גנים ובתי ספר- מבנה תקציב'!$H$59,0)</f>
        <v>0</v>
      </c>
      <c r="AH195" s="180">
        <f>IF(AF195="כן",M195*'גנים ובתי ספר- מבנה תקציב'!$I$59,0)</f>
        <v>0</v>
      </c>
      <c r="AI195" s="180">
        <f t="shared" si="58"/>
        <v>0</v>
      </c>
      <c r="AJ195" s="368" t="str">
        <f t="shared" si="46"/>
        <v/>
      </c>
    </row>
    <row r="196" spans="1:36" x14ac:dyDescent="0.25">
      <c r="A196" s="57">
        <v>176</v>
      </c>
      <c r="B196" s="690"/>
      <c r="C196" s="690"/>
      <c r="D196" s="252">
        <f>(IFERROR(SUMIF('מצבת והרשמה (2)'!$F$21:$F$501,'דוח ביצוע (3)'!$B196,'מצבת והרשמה (2)'!$J$21:$J$501),0))</f>
        <v>0</v>
      </c>
      <c r="E196" s="252">
        <f>IFERROR(SUMIF('מצבת והרשמה (2)'!$F$21:$F$501,'דוח ביצוע (3)'!$B196,'מצבת והרשמה (2)'!$K$21:$K$501),0)</f>
        <v>0</v>
      </c>
      <c r="F196" s="253">
        <f t="shared" si="47"/>
        <v>0</v>
      </c>
      <c r="G196" s="680"/>
      <c r="H196" s="680"/>
      <c r="I196" s="253">
        <f t="shared" si="40"/>
        <v>0</v>
      </c>
      <c r="J196" s="453">
        <f t="shared" si="48"/>
        <v>0</v>
      </c>
      <c r="K196" s="689"/>
      <c r="L196" s="689"/>
      <c r="M196" s="969">
        <f t="shared" si="49"/>
        <v>0</v>
      </c>
      <c r="N196" s="1029" t="str">
        <f t="shared" si="50"/>
        <v/>
      </c>
      <c r="O196" s="969" t="str">
        <f>IFERROR(VLOOKUP(B196,'נתוני רישום ומצבת'!B:Q,16,0),"")</f>
        <v/>
      </c>
      <c r="P196" s="969" t="str">
        <f>IFERROR(VLOOKUP(B196,'נתוני רישום ומצבת'!B:R,17,0),"")</f>
        <v/>
      </c>
      <c r="Q196" s="690"/>
      <c r="R196" s="1009"/>
      <c r="S196" s="376">
        <f t="shared" si="51"/>
        <v>0</v>
      </c>
      <c r="T196" s="376">
        <f t="shared" si="52"/>
        <v>0</v>
      </c>
      <c r="U196" s="386">
        <f t="shared" si="53"/>
        <v>0</v>
      </c>
      <c r="V196" s="513" t="str">
        <f t="shared" si="54"/>
        <v/>
      </c>
      <c r="W196" s="254" t="str">
        <f>IF(ISBLANK(B196)," ",IF(B196=IFERROR(VLOOKUP(B196,'מצבת והרשמה (2)'!F:F,1,0),0),"תקין","לא קיים במצבת כבית ספר בו מתקיימת פעילות"))</f>
        <v xml:space="preserve"> </v>
      </c>
      <c r="X196" s="256" t="str">
        <f t="shared" si="41"/>
        <v/>
      </c>
      <c r="Y196" s="256" t="str">
        <f t="shared" si="42"/>
        <v/>
      </c>
      <c r="Z196" s="741">
        <f t="shared" si="43"/>
        <v>0</v>
      </c>
      <c r="AA196" s="741">
        <f t="shared" si="44"/>
        <v>0</v>
      </c>
      <c r="AB196" s="741">
        <f t="shared" si="45"/>
        <v>0</v>
      </c>
      <c r="AC196" s="987">
        <f t="shared" si="55"/>
        <v>0</v>
      </c>
      <c r="AD196" s="987">
        <f t="shared" si="56"/>
        <v>0</v>
      </c>
      <c r="AE196" s="368" t="str">
        <f>IFERROR(VLOOKUP(B196,'[1]סיכום בקרת רשויות'!$A:$D,4,0),"")</f>
        <v/>
      </c>
      <c r="AF196" s="57" t="str">
        <f t="shared" si="57"/>
        <v/>
      </c>
      <c r="AG196" s="180">
        <f>IF(AF196="כן",M196*'גנים ובתי ספר- מבנה תקציב'!$H$59,0)</f>
        <v>0</v>
      </c>
      <c r="AH196" s="180">
        <f>IF(AF196="כן",M196*'גנים ובתי ספר- מבנה תקציב'!$I$59,0)</f>
        <v>0</v>
      </c>
      <c r="AI196" s="180">
        <f t="shared" si="58"/>
        <v>0</v>
      </c>
      <c r="AJ196" s="368" t="str">
        <f t="shared" si="46"/>
        <v/>
      </c>
    </row>
    <row r="197" spans="1:36" x14ac:dyDescent="0.25">
      <c r="A197" s="57">
        <v>177</v>
      </c>
      <c r="B197" s="690"/>
      <c r="C197" s="690"/>
      <c r="D197" s="252">
        <f>(IFERROR(SUMIF('מצבת והרשמה (2)'!$F$21:$F$501,'דוח ביצוע (3)'!$B197,'מצבת והרשמה (2)'!$J$21:$J$501),0))</f>
        <v>0</v>
      </c>
      <c r="E197" s="252">
        <f>IFERROR(SUMIF('מצבת והרשמה (2)'!$F$21:$F$501,'דוח ביצוע (3)'!$B197,'מצבת והרשמה (2)'!$K$21:$K$501),0)</f>
        <v>0</v>
      </c>
      <c r="F197" s="253">
        <f t="shared" si="47"/>
        <v>0</v>
      </c>
      <c r="G197" s="680"/>
      <c r="H197" s="680"/>
      <c r="I197" s="253">
        <f t="shared" si="40"/>
        <v>0</v>
      </c>
      <c r="J197" s="453">
        <f t="shared" si="48"/>
        <v>0</v>
      </c>
      <c r="K197" s="689"/>
      <c r="L197" s="689"/>
      <c r="M197" s="969">
        <f t="shared" si="49"/>
        <v>0</v>
      </c>
      <c r="N197" s="1029" t="str">
        <f t="shared" si="50"/>
        <v/>
      </c>
      <c r="O197" s="969" t="str">
        <f>IFERROR(VLOOKUP(B197,'נתוני רישום ומצבת'!B:Q,16,0),"")</f>
        <v/>
      </c>
      <c r="P197" s="969" t="str">
        <f>IFERROR(VLOOKUP(B197,'נתוני רישום ומצבת'!B:R,17,0),"")</f>
        <v/>
      </c>
      <c r="Q197" s="690"/>
      <c r="R197" s="1009"/>
      <c r="S197" s="376">
        <f t="shared" si="51"/>
        <v>0</v>
      </c>
      <c r="T197" s="376">
        <f t="shared" si="52"/>
        <v>0</v>
      </c>
      <c r="U197" s="386">
        <f t="shared" si="53"/>
        <v>0</v>
      </c>
      <c r="V197" s="513" t="str">
        <f t="shared" si="54"/>
        <v/>
      </c>
      <c r="W197" s="254" t="str">
        <f>IF(ISBLANK(B197)," ",IF(B197=IFERROR(VLOOKUP(B197,'מצבת והרשמה (2)'!F:F,1,0),0),"תקין","לא קיים במצבת כבית ספר בו מתקיימת פעילות"))</f>
        <v xml:space="preserve"> </v>
      </c>
      <c r="X197" s="256" t="str">
        <f t="shared" si="41"/>
        <v/>
      </c>
      <c r="Y197" s="256" t="str">
        <f t="shared" si="42"/>
        <v/>
      </c>
      <c r="Z197" s="741">
        <f t="shared" si="43"/>
        <v>0</v>
      </c>
      <c r="AA197" s="741">
        <f t="shared" si="44"/>
        <v>0</v>
      </c>
      <c r="AB197" s="741">
        <f t="shared" si="45"/>
        <v>0</v>
      </c>
      <c r="AC197" s="987">
        <f t="shared" si="55"/>
        <v>0</v>
      </c>
      <c r="AD197" s="987">
        <f t="shared" si="56"/>
        <v>0</v>
      </c>
      <c r="AE197" s="368" t="str">
        <f>IFERROR(VLOOKUP(B197,'[1]סיכום בקרת רשויות'!$A:$D,4,0),"")</f>
        <v/>
      </c>
      <c r="AF197" s="57" t="str">
        <f t="shared" si="57"/>
        <v/>
      </c>
      <c r="AG197" s="180">
        <f>IF(AF197="כן",M197*'גנים ובתי ספר- מבנה תקציב'!$H$59,0)</f>
        <v>0</v>
      </c>
      <c r="AH197" s="180">
        <f>IF(AF197="כן",M197*'גנים ובתי ספר- מבנה תקציב'!$I$59,0)</f>
        <v>0</v>
      </c>
      <c r="AI197" s="180">
        <f t="shared" si="58"/>
        <v>0</v>
      </c>
      <c r="AJ197" s="368" t="str">
        <f t="shared" si="46"/>
        <v/>
      </c>
    </row>
    <row r="198" spans="1:36" x14ac:dyDescent="0.25">
      <c r="A198" s="57">
        <v>178</v>
      </c>
      <c r="B198" s="690"/>
      <c r="C198" s="690"/>
      <c r="D198" s="252">
        <f>(IFERROR(SUMIF('מצבת והרשמה (2)'!$F$21:$F$501,'דוח ביצוע (3)'!$B198,'מצבת והרשמה (2)'!$J$21:$J$501),0))</f>
        <v>0</v>
      </c>
      <c r="E198" s="252">
        <f>IFERROR(SUMIF('מצבת והרשמה (2)'!$F$21:$F$501,'דוח ביצוע (3)'!$B198,'מצבת והרשמה (2)'!$K$21:$K$501),0)</f>
        <v>0</v>
      </c>
      <c r="F198" s="253">
        <f t="shared" si="47"/>
        <v>0</v>
      </c>
      <c r="G198" s="680"/>
      <c r="H198" s="680"/>
      <c r="I198" s="253">
        <f t="shared" si="40"/>
        <v>0</v>
      </c>
      <c r="J198" s="453">
        <f t="shared" si="48"/>
        <v>0</v>
      </c>
      <c r="K198" s="689"/>
      <c r="L198" s="689"/>
      <c r="M198" s="969">
        <f t="shared" si="49"/>
        <v>0</v>
      </c>
      <c r="N198" s="1029" t="str">
        <f t="shared" si="50"/>
        <v/>
      </c>
      <c r="O198" s="969" t="str">
        <f>IFERROR(VLOOKUP(B198,'נתוני רישום ומצבת'!B:Q,16,0),"")</f>
        <v/>
      </c>
      <c r="P198" s="969" t="str">
        <f>IFERROR(VLOOKUP(B198,'נתוני רישום ומצבת'!B:R,17,0),"")</f>
        <v/>
      </c>
      <c r="Q198" s="690"/>
      <c r="R198" s="1009"/>
      <c r="S198" s="376">
        <f t="shared" si="51"/>
        <v>0</v>
      </c>
      <c r="T198" s="376">
        <f t="shared" si="52"/>
        <v>0</v>
      </c>
      <c r="U198" s="386">
        <f t="shared" si="53"/>
        <v>0</v>
      </c>
      <c r="V198" s="513" t="str">
        <f t="shared" si="54"/>
        <v/>
      </c>
      <c r="W198" s="254" t="str">
        <f>IF(ISBLANK(B198)," ",IF(B198=IFERROR(VLOOKUP(B198,'מצבת והרשמה (2)'!F:F,1,0),0),"תקין","לא קיים במצבת כבית ספר בו מתקיימת פעילות"))</f>
        <v xml:space="preserve"> </v>
      </c>
      <c r="X198" s="256" t="str">
        <f t="shared" si="41"/>
        <v/>
      </c>
      <c r="Y198" s="256" t="str">
        <f t="shared" si="42"/>
        <v/>
      </c>
      <c r="Z198" s="741">
        <f t="shared" si="43"/>
        <v>0</v>
      </c>
      <c r="AA198" s="741">
        <f t="shared" si="44"/>
        <v>0</v>
      </c>
      <c r="AB198" s="741">
        <f t="shared" si="45"/>
        <v>0</v>
      </c>
      <c r="AC198" s="987">
        <f t="shared" si="55"/>
        <v>0</v>
      </c>
      <c r="AD198" s="987">
        <f t="shared" si="56"/>
        <v>0</v>
      </c>
      <c r="AE198" s="368" t="str">
        <f>IFERROR(VLOOKUP(B198,'[1]סיכום בקרת רשויות'!$A:$D,4,0),"")</f>
        <v/>
      </c>
      <c r="AF198" s="57" t="str">
        <f t="shared" si="57"/>
        <v/>
      </c>
      <c r="AG198" s="180">
        <f>IF(AF198="כן",M198*'גנים ובתי ספר- מבנה תקציב'!$H$59,0)</f>
        <v>0</v>
      </c>
      <c r="AH198" s="180">
        <f>IF(AF198="כן",M198*'גנים ובתי ספר- מבנה תקציב'!$I$59,0)</f>
        <v>0</v>
      </c>
      <c r="AI198" s="180">
        <f t="shared" si="58"/>
        <v>0</v>
      </c>
      <c r="AJ198" s="368" t="str">
        <f t="shared" si="46"/>
        <v/>
      </c>
    </row>
    <row r="199" spans="1:36" x14ac:dyDescent="0.25">
      <c r="A199" s="57">
        <v>179</v>
      </c>
      <c r="B199" s="690"/>
      <c r="C199" s="690"/>
      <c r="D199" s="252">
        <f>(IFERROR(SUMIF('מצבת והרשמה (2)'!$F$21:$F$501,'דוח ביצוע (3)'!$B199,'מצבת והרשמה (2)'!$J$21:$J$501),0))</f>
        <v>0</v>
      </c>
      <c r="E199" s="252">
        <f>IFERROR(SUMIF('מצבת והרשמה (2)'!$F$21:$F$501,'דוח ביצוע (3)'!$B199,'מצבת והרשמה (2)'!$K$21:$K$501),0)</f>
        <v>0</v>
      </c>
      <c r="F199" s="253">
        <f t="shared" si="47"/>
        <v>0</v>
      </c>
      <c r="G199" s="680"/>
      <c r="H199" s="680"/>
      <c r="I199" s="253">
        <f t="shared" ref="I199:I262" si="59">H199+G199</f>
        <v>0</v>
      </c>
      <c r="J199" s="453">
        <f t="shared" si="48"/>
        <v>0</v>
      </c>
      <c r="K199" s="689"/>
      <c r="L199" s="689"/>
      <c r="M199" s="969">
        <f t="shared" si="49"/>
        <v>0</v>
      </c>
      <c r="N199" s="1029" t="str">
        <f t="shared" si="50"/>
        <v/>
      </c>
      <c r="O199" s="969" t="str">
        <f>IFERROR(VLOOKUP(B199,'נתוני רישום ומצבת'!B:Q,16,0),"")</f>
        <v/>
      </c>
      <c r="P199" s="969" t="str">
        <f>IFERROR(VLOOKUP(B199,'נתוני רישום ומצבת'!B:R,17,0),"")</f>
        <v/>
      </c>
      <c r="Q199" s="690"/>
      <c r="R199" s="1009"/>
      <c r="S199" s="376">
        <f t="shared" si="51"/>
        <v>0</v>
      </c>
      <c r="T199" s="376">
        <f t="shared" si="52"/>
        <v>0</v>
      </c>
      <c r="U199" s="386">
        <f t="shared" si="53"/>
        <v>0</v>
      </c>
      <c r="V199" s="513" t="str">
        <f t="shared" si="54"/>
        <v/>
      </c>
      <c r="W199" s="254" t="str">
        <f>IF(ISBLANK(B199)," ",IF(B199=IFERROR(VLOOKUP(B199,'מצבת והרשמה (2)'!F:F,1,0),0),"תקין","לא קיים במצבת כבית ספר בו מתקיימת פעילות"))</f>
        <v xml:space="preserve"> </v>
      </c>
      <c r="X199" s="256" t="str">
        <f t="shared" si="41"/>
        <v/>
      </c>
      <c r="Y199" s="256" t="str">
        <f t="shared" si="42"/>
        <v/>
      </c>
      <c r="Z199" s="741">
        <f t="shared" si="43"/>
        <v>0</v>
      </c>
      <c r="AA199" s="741">
        <f t="shared" si="44"/>
        <v>0</v>
      </c>
      <c r="AB199" s="741">
        <f t="shared" si="45"/>
        <v>0</v>
      </c>
      <c r="AC199" s="987">
        <f t="shared" si="55"/>
        <v>0</v>
      </c>
      <c r="AD199" s="987">
        <f t="shared" si="56"/>
        <v>0</v>
      </c>
      <c r="AE199" s="368" t="str">
        <f>IFERROR(VLOOKUP(B199,'[1]סיכום בקרת רשויות'!$A:$D,4,0),"")</f>
        <v/>
      </c>
      <c r="AF199" s="57" t="str">
        <f t="shared" si="57"/>
        <v/>
      </c>
      <c r="AG199" s="180">
        <f>IF(AF199="כן",M199*'גנים ובתי ספר- מבנה תקציב'!$H$59,0)</f>
        <v>0</v>
      </c>
      <c r="AH199" s="180">
        <f>IF(AF199="כן",M199*'גנים ובתי ספר- מבנה תקציב'!$I$59,0)</f>
        <v>0</v>
      </c>
      <c r="AI199" s="180">
        <f t="shared" si="58"/>
        <v>0</v>
      </c>
      <c r="AJ199" s="368" t="str">
        <f t="shared" si="46"/>
        <v/>
      </c>
    </row>
    <row r="200" spans="1:36" x14ac:dyDescent="0.25">
      <c r="A200" s="57">
        <v>180</v>
      </c>
      <c r="B200" s="690"/>
      <c r="C200" s="690"/>
      <c r="D200" s="252">
        <f>(IFERROR(SUMIF('מצבת והרשמה (2)'!$F$21:$F$501,'דוח ביצוע (3)'!$B200,'מצבת והרשמה (2)'!$J$21:$J$501),0))</f>
        <v>0</v>
      </c>
      <c r="E200" s="252">
        <f>IFERROR(SUMIF('מצבת והרשמה (2)'!$F$21:$F$501,'דוח ביצוע (3)'!$B200,'מצבת והרשמה (2)'!$K$21:$K$501),0)</f>
        <v>0</v>
      </c>
      <c r="F200" s="253">
        <f t="shared" si="47"/>
        <v>0</v>
      </c>
      <c r="G200" s="680"/>
      <c r="H200" s="680"/>
      <c r="I200" s="253">
        <f t="shared" si="59"/>
        <v>0</v>
      </c>
      <c r="J200" s="453">
        <f t="shared" si="48"/>
        <v>0</v>
      </c>
      <c r="K200" s="689"/>
      <c r="L200" s="689"/>
      <c r="M200" s="969">
        <f t="shared" si="49"/>
        <v>0</v>
      </c>
      <c r="N200" s="1029" t="str">
        <f t="shared" si="50"/>
        <v/>
      </c>
      <c r="O200" s="969" t="str">
        <f>IFERROR(VLOOKUP(B200,'נתוני רישום ומצבת'!B:Q,16,0),"")</f>
        <v/>
      </c>
      <c r="P200" s="969" t="str">
        <f>IFERROR(VLOOKUP(B200,'נתוני רישום ומצבת'!B:R,17,0),"")</f>
        <v/>
      </c>
      <c r="Q200" s="690"/>
      <c r="R200" s="1009"/>
      <c r="S200" s="376">
        <f t="shared" si="51"/>
        <v>0</v>
      </c>
      <c r="T200" s="376">
        <f t="shared" si="52"/>
        <v>0</v>
      </c>
      <c r="U200" s="386">
        <f t="shared" si="53"/>
        <v>0</v>
      </c>
      <c r="V200" s="513" t="str">
        <f t="shared" si="54"/>
        <v/>
      </c>
      <c r="W200" s="254" t="str">
        <f>IF(ISBLANK(B200)," ",IF(B200=IFERROR(VLOOKUP(B200,'מצבת והרשמה (2)'!F:F,1,0),0),"תקין","לא קיים במצבת כבית ספר בו מתקיימת פעילות"))</f>
        <v xml:space="preserve"> </v>
      </c>
      <c r="X200" s="256" t="str">
        <f t="shared" si="41"/>
        <v/>
      </c>
      <c r="Y200" s="256" t="str">
        <f t="shared" si="42"/>
        <v/>
      </c>
      <c r="Z200" s="741">
        <f t="shared" si="43"/>
        <v>0</v>
      </c>
      <c r="AA200" s="741">
        <f t="shared" si="44"/>
        <v>0</v>
      </c>
      <c r="AB200" s="741">
        <f t="shared" si="45"/>
        <v>0</v>
      </c>
      <c r="AC200" s="987">
        <f t="shared" si="55"/>
        <v>0</v>
      </c>
      <c r="AD200" s="987">
        <f t="shared" si="56"/>
        <v>0</v>
      </c>
      <c r="AE200" s="368" t="str">
        <f>IFERROR(VLOOKUP(B200,'[1]סיכום בקרת רשויות'!$A:$D,4,0),"")</f>
        <v/>
      </c>
      <c r="AF200" s="57" t="str">
        <f t="shared" si="57"/>
        <v/>
      </c>
      <c r="AG200" s="180">
        <f>IF(AF200="כן",M200*'גנים ובתי ספר- מבנה תקציב'!$H$59,0)</f>
        <v>0</v>
      </c>
      <c r="AH200" s="180">
        <f>IF(AF200="כן",M200*'גנים ובתי ספר- מבנה תקציב'!$I$59,0)</f>
        <v>0</v>
      </c>
      <c r="AI200" s="180">
        <f t="shared" si="58"/>
        <v>0</v>
      </c>
      <c r="AJ200" s="368" t="str">
        <f t="shared" si="46"/>
        <v/>
      </c>
    </row>
    <row r="201" spans="1:36" x14ac:dyDescent="0.25">
      <c r="A201" s="57">
        <v>181</v>
      </c>
      <c r="B201" s="690"/>
      <c r="C201" s="690"/>
      <c r="D201" s="252">
        <f>(IFERROR(SUMIF('מצבת והרשמה (2)'!$F$21:$F$501,'דוח ביצוע (3)'!$B201,'מצבת והרשמה (2)'!$J$21:$J$501),0))</f>
        <v>0</v>
      </c>
      <c r="E201" s="252">
        <f>IFERROR(SUMIF('מצבת והרשמה (2)'!$F$21:$F$501,'דוח ביצוע (3)'!$B201,'מצבת והרשמה (2)'!$K$21:$K$501),0)</f>
        <v>0</v>
      </c>
      <c r="F201" s="253">
        <f t="shared" si="47"/>
        <v>0</v>
      </c>
      <c r="G201" s="680"/>
      <c r="H201" s="680"/>
      <c r="I201" s="253">
        <f t="shared" si="59"/>
        <v>0</v>
      </c>
      <c r="J201" s="453">
        <f t="shared" si="48"/>
        <v>0</v>
      </c>
      <c r="K201" s="689"/>
      <c r="L201" s="689"/>
      <c r="M201" s="969">
        <f t="shared" si="49"/>
        <v>0</v>
      </c>
      <c r="N201" s="1029" t="str">
        <f t="shared" si="50"/>
        <v/>
      </c>
      <c r="O201" s="969" t="str">
        <f>IFERROR(VLOOKUP(B201,'נתוני רישום ומצבת'!B:Q,16,0),"")</f>
        <v/>
      </c>
      <c r="P201" s="969" t="str">
        <f>IFERROR(VLOOKUP(B201,'נתוני רישום ומצבת'!B:R,17,0),"")</f>
        <v/>
      </c>
      <c r="Q201" s="690"/>
      <c r="R201" s="1009"/>
      <c r="S201" s="376">
        <f t="shared" si="51"/>
        <v>0</v>
      </c>
      <c r="T201" s="376">
        <f t="shared" si="52"/>
        <v>0</v>
      </c>
      <c r="U201" s="386">
        <f t="shared" si="53"/>
        <v>0</v>
      </c>
      <c r="V201" s="513" t="str">
        <f t="shared" si="54"/>
        <v/>
      </c>
      <c r="W201" s="254" t="str">
        <f>IF(ISBLANK(B201)," ",IF(B201=IFERROR(VLOOKUP(B201,'מצבת והרשמה (2)'!F:F,1,0),0),"תקין","לא קיים במצבת כבית ספר בו מתקיימת פעילות"))</f>
        <v xml:space="preserve"> </v>
      </c>
      <c r="X201" s="256" t="str">
        <f t="shared" si="41"/>
        <v/>
      </c>
      <c r="Y201" s="256" t="str">
        <f t="shared" si="42"/>
        <v/>
      </c>
      <c r="Z201" s="741">
        <f t="shared" si="43"/>
        <v>0</v>
      </c>
      <c r="AA201" s="741">
        <f t="shared" si="44"/>
        <v>0</v>
      </c>
      <c r="AB201" s="741">
        <f t="shared" si="45"/>
        <v>0</v>
      </c>
      <c r="AC201" s="987">
        <f t="shared" si="55"/>
        <v>0</v>
      </c>
      <c r="AD201" s="987">
        <f t="shared" si="56"/>
        <v>0</v>
      </c>
      <c r="AE201" s="368" t="str">
        <f>IFERROR(VLOOKUP(B201,'[1]סיכום בקרת רשויות'!$A:$D,4,0),"")</f>
        <v/>
      </c>
      <c r="AF201" s="57" t="str">
        <f t="shared" si="57"/>
        <v/>
      </c>
      <c r="AG201" s="180">
        <f>IF(AF201="כן",M201*'גנים ובתי ספר- מבנה תקציב'!$H$59,0)</f>
        <v>0</v>
      </c>
      <c r="AH201" s="180">
        <f>IF(AF201="כן",M201*'גנים ובתי ספר- מבנה תקציב'!$I$59,0)</f>
        <v>0</v>
      </c>
      <c r="AI201" s="180">
        <f t="shared" si="58"/>
        <v>0</v>
      </c>
      <c r="AJ201" s="368" t="str">
        <f t="shared" si="46"/>
        <v/>
      </c>
    </row>
    <row r="202" spans="1:36" x14ac:dyDescent="0.25">
      <c r="A202" s="57">
        <v>182</v>
      </c>
      <c r="B202" s="690"/>
      <c r="C202" s="690"/>
      <c r="D202" s="252">
        <f>(IFERROR(SUMIF('מצבת והרשמה (2)'!$F$21:$F$501,'דוח ביצוע (3)'!$B202,'מצבת והרשמה (2)'!$J$21:$J$501),0))</f>
        <v>0</v>
      </c>
      <c r="E202" s="252">
        <f>IFERROR(SUMIF('מצבת והרשמה (2)'!$F$21:$F$501,'דוח ביצוע (3)'!$B202,'מצבת והרשמה (2)'!$K$21:$K$501),0)</f>
        <v>0</v>
      </c>
      <c r="F202" s="253">
        <f t="shared" si="47"/>
        <v>0</v>
      </c>
      <c r="G202" s="680"/>
      <c r="H202" s="680"/>
      <c r="I202" s="253">
        <f t="shared" si="59"/>
        <v>0</v>
      </c>
      <c r="J202" s="453">
        <f t="shared" si="48"/>
        <v>0</v>
      </c>
      <c r="K202" s="689"/>
      <c r="L202" s="689"/>
      <c r="M202" s="969">
        <f t="shared" si="49"/>
        <v>0</v>
      </c>
      <c r="N202" s="1029" t="str">
        <f t="shared" si="50"/>
        <v/>
      </c>
      <c r="O202" s="969" t="str">
        <f>IFERROR(VLOOKUP(B202,'נתוני רישום ומצבת'!B:Q,16,0),"")</f>
        <v/>
      </c>
      <c r="P202" s="969" t="str">
        <f>IFERROR(VLOOKUP(B202,'נתוני רישום ומצבת'!B:R,17,0),"")</f>
        <v/>
      </c>
      <c r="Q202" s="690"/>
      <c r="R202" s="1009"/>
      <c r="S202" s="376">
        <f t="shared" si="51"/>
        <v>0</v>
      </c>
      <c r="T202" s="376">
        <f t="shared" si="52"/>
        <v>0</v>
      </c>
      <c r="U202" s="386">
        <f t="shared" si="53"/>
        <v>0</v>
      </c>
      <c r="V202" s="513" t="str">
        <f t="shared" si="54"/>
        <v/>
      </c>
      <c r="W202" s="254" t="str">
        <f>IF(ISBLANK(B202)," ",IF(B202=IFERROR(VLOOKUP(B202,'מצבת והרשמה (2)'!F:F,1,0),0),"תקין","לא קיים במצבת כבית ספר בו מתקיימת פעילות"))</f>
        <v xml:space="preserve"> </v>
      </c>
      <c r="X202" s="256" t="str">
        <f t="shared" si="41"/>
        <v/>
      </c>
      <c r="Y202" s="256" t="str">
        <f t="shared" si="42"/>
        <v/>
      </c>
      <c r="Z202" s="741">
        <f t="shared" si="43"/>
        <v>0</v>
      </c>
      <c r="AA202" s="741">
        <f t="shared" si="44"/>
        <v>0</v>
      </c>
      <c r="AB202" s="741">
        <f t="shared" si="45"/>
        <v>0</v>
      </c>
      <c r="AC202" s="987">
        <f t="shared" si="55"/>
        <v>0</v>
      </c>
      <c r="AD202" s="987">
        <f t="shared" si="56"/>
        <v>0</v>
      </c>
      <c r="AE202" s="368" t="str">
        <f>IFERROR(VLOOKUP(B202,'[1]סיכום בקרת רשויות'!$A:$D,4,0),"")</f>
        <v/>
      </c>
      <c r="AF202" s="57" t="str">
        <f t="shared" si="57"/>
        <v/>
      </c>
      <c r="AG202" s="180">
        <f>IF(AF202="כן",M202*'גנים ובתי ספר- מבנה תקציב'!$H$59,0)</f>
        <v>0</v>
      </c>
      <c r="AH202" s="180">
        <f>IF(AF202="כן",M202*'גנים ובתי ספר- מבנה תקציב'!$I$59,0)</f>
        <v>0</v>
      </c>
      <c r="AI202" s="180">
        <f t="shared" si="58"/>
        <v>0</v>
      </c>
      <c r="AJ202" s="368" t="str">
        <f t="shared" si="46"/>
        <v/>
      </c>
    </row>
    <row r="203" spans="1:36" x14ac:dyDescent="0.25">
      <c r="A203" s="57">
        <v>183</v>
      </c>
      <c r="B203" s="690"/>
      <c r="C203" s="690"/>
      <c r="D203" s="252">
        <f>(IFERROR(SUMIF('מצבת והרשמה (2)'!$F$21:$F$501,'דוח ביצוע (3)'!$B203,'מצבת והרשמה (2)'!$J$21:$J$501),0))</f>
        <v>0</v>
      </c>
      <c r="E203" s="252">
        <f>IFERROR(SUMIF('מצבת והרשמה (2)'!$F$21:$F$501,'דוח ביצוע (3)'!$B203,'מצבת והרשמה (2)'!$K$21:$K$501),0)</f>
        <v>0</v>
      </c>
      <c r="F203" s="253">
        <f t="shared" si="47"/>
        <v>0</v>
      </c>
      <c r="G203" s="680"/>
      <c r="H203" s="680"/>
      <c r="I203" s="253">
        <f t="shared" si="59"/>
        <v>0</v>
      </c>
      <c r="J203" s="453">
        <f t="shared" si="48"/>
        <v>0</v>
      </c>
      <c r="K203" s="689"/>
      <c r="L203" s="689"/>
      <c r="M203" s="969">
        <f t="shared" si="49"/>
        <v>0</v>
      </c>
      <c r="N203" s="1029" t="str">
        <f t="shared" si="50"/>
        <v/>
      </c>
      <c r="O203" s="969" t="str">
        <f>IFERROR(VLOOKUP(B203,'נתוני רישום ומצבת'!B:Q,16,0),"")</f>
        <v/>
      </c>
      <c r="P203" s="969" t="str">
        <f>IFERROR(VLOOKUP(B203,'נתוני רישום ומצבת'!B:R,17,0),"")</f>
        <v/>
      </c>
      <c r="Q203" s="690"/>
      <c r="R203" s="1009"/>
      <c r="S203" s="376">
        <f t="shared" si="51"/>
        <v>0</v>
      </c>
      <c r="T203" s="376">
        <f t="shared" si="52"/>
        <v>0</v>
      </c>
      <c r="U203" s="386">
        <f t="shared" si="53"/>
        <v>0</v>
      </c>
      <c r="V203" s="513" t="str">
        <f t="shared" si="54"/>
        <v/>
      </c>
      <c r="W203" s="254" t="str">
        <f>IF(ISBLANK(B203)," ",IF(B203=IFERROR(VLOOKUP(B203,'מצבת והרשמה (2)'!F:F,1,0),0),"תקין","לא קיים במצבת כבית ספר בו מתקיימת פעילות"))</f>
        <v xml:space="preserve"> </v>
      </c>
      <c r="X203" s="256" t="str">
        <f t="shared" si="41"/>
        <v/>
      </c>
      <c r="Y203" s="256" t="str">
        <f t="shared" si="42"/>
        <v/>
      </c>
      <c r="Z203" s="741">
        <f t="shared" si="43"/>
        <v>0</v>
      </c>
      <c r="AA203" s="741">
        <f t="shared" si="44"/>
        <v>0</v>
      </c>
      <c r="AB203" s="741">
        <f t="shared" si="45"/>
        <v>0</v>
      </c>
      <c r="AC203" s="987">
        <f t="shared" si="55"/>
        <v>0</v>
      </c>
      <c r="AD203" s="987">
        <f t="shared" si="56"/>
        <v>0</v>
      </c>
      <c r="AE203" s="368" t="str">
        <f>IFERROR(VLOOKUP(B203,'[1]סיכום בקרת רשויות'!$A:$D,4,0),"")</f>
        <v/>
      </c>
      <c r="AF203" s="57" t="str">
        <f t="shared" si="57"/>
        <v/>
      </c>
      <c r="AG203" s="180">
        <f>IF(AF203="כן",M203*'גנים ובתי ספר- מבנה תקציב'!$H$59,0)</f>
        <v>0</v>
      </c>
      <c r="AH203" s="180">
        <f>IF(AF203="כן",M203*'גנים ובתי ספר- מבנה תקציב'!$I$59,0)</f>
        <v>0</v>
      </c>
      <c r="AI203" s="180">
        <f t="shared" si="58"/>
        <v>0</v>
      </c>
      <c r="AJ203" s="368" t="str">
        <f t="shared" si="46"/>
        <v/>
      </c>
    </row>
    <row r="204" spans="1:36" x14ac:dyDescent="0.25">
      <c r="A204" s="57">
        <v>184</v>
      </c>
      <c r="B204" s="690"/>
      <c r="C204" s="690"/>
      <c r="D204" s="252">
        <f>(IFERROR(SUMIF('מצבת והרשמה (2)'!$F$21:$F$501,'דוח ביצוע (3)'!$B204,'מצבת והרשמה (2)'!$J$21:$J$501),0))</f>
        <v>0</v>
      </c>
      <c r="E204" s="252">
        <f>IFERROR(SUMIF('מצבת והרשמה (2)'!$F$21:$F$501,'דוח ביצוע (3)'!$B204,'מצבת והרשמה (2)'!$K$21:$K$501),0)</f>
        <v>0</v>
      </c>
      <c r="F204" s="253">
        <f t="shared" si="47"/>
        <v>0</v>
      </c>
      <c r="G204" s="680"/>
      <c r="H204" s="680"/>
      <c r="I204" s="253">
        <f t="shared" si="59"/>
        <v>0</v>
      </c>
      <c r="J204" s="453">
        <f t="shared" si="48"/>
        <v>0</v>
      </c>
      <c r="K204" s="689"/>
      <c r="L204" s="689"/>
      <c r="M204" s="969">
        <f t="shared" si="49"/>
        <v>0</v>
      </c>
      <c r="N204" s="1029" t="str">
        <f t="shared" si="50"/>
        <v/>
      </c>
      <c r="O204" s="969" t="str">
        <f>IFERROR(VLOOKUP(B204,'נתוני רישום ומצבת'!B:Q,16,0),"")</f>
        <v/>
      </c>
      <c r="P204" s="969" t="str">
        <f>IFERROR(VLOOKUP(B204,'נתוני רישום ומצבת'!B:R,17,0),"")</f>
        <v/>
      </c>
      <c r="Q204" s="690"/>
      <c r="R204" s="1009"/>
      <c r="S204" s="376">
        <f t="shared" si="51"/>
        <v>0</v>
      </c>
      <c r="T204" s="376">
        <f t="shared" si="52"/>
        <v>0</v>
      </c>
      <c r="U204" s="386">
        <f t="shared" si="53"/>
        <v>0</v>
      </c>
      <c r="V204" s="513" t="str">
        <f t="shared" si="54"/>
        <v/>
      </c>
      <c r="W204" s="254" t="str">
        <f>IF(ISBLANK(B204)," ",IF(B204=IFERROR(VLOOKUP(B204,'מצבת והרשמה (2)'!F:F,1,0),0),"תקין","לא קיים במצבת כבית ספר בו מתקיימת פעילות"))</f>
        <v xml:space="preserve"> </v>
      </c>
      <c r="X204" s="256" t="str">
        <f t="shared" si="41"/>
        <v/>
      </c>
      <c r="Y204" s="256" t="str">
        <f t="shared" si="42"/>
        <v/>
      </c>
      <c r="Z204" s="741">
        <f t="shared" si="43"/>
        <v>0</v>
      </c>
      <c r="AA204" s="741">
        <f t="shared" si="44"/>
        <v>0</v>
      </c>
      <c r="AB204" s="741">
        <f t="shared" si="45"/>
        <v>0</v>
      </c>
      <c r="AC204" s="987">
        <f t="shared" si="55"/>
        <v>0</v>
      </c>
      <c r="AD204" s="987">
        <f t="shared" si="56"/>
        <v>0</v>
      </c>
      <c r="AE204" s="368" t="str">
        <f>IFERROR(VLOOKUP(B204,'[1]סיכום בקרת רשויות'!$A:$D,4,0),"")</f>
        <v/>
      </c>
      <c r="AF204" s="57" t="str">
        <f t="shared" si="57"/>
        <v/>
      </c>
      <c r="AG204" s="180">
        <f>IF(AF204="כן",M204*'גנים ובתי ספר- מבנה תקציב'!$H$59,0)</f>
        <v>0</v>
      </c>
      <c r="AH204" s="180">
        <f>IF(AF204="כן",M204*'גנים ובתי ספר- מבנה תקציב'!$I$59,0)</f>
        <v>0</v>
      </c>
      <c r="AI204" s="180">
        <f t="shared" si="58"/>
        <v>0</v>
      </c>
      <c r="AJ204" s="368" t="str">
        <f t="shared" si="46"/>
        <v/>
      </c>
    </row>
    <row r="205" spans="1:36" x14ac:dyDescent="0.25">
      <c r="A205" s="57">
        <v>185</v>
      </c>
      <c r="B205" s="690"/>
      <c r="C205" s="690"/>
      <c r="D205" s="252">
        <f>(IFERROR(SUMIF('מצבת והרשמה (2)'!$F$21:$F$501,'דוח ביצוע (3)'!$B205,'מצבת והרשמה (2)'!$J$21:$J$501),0))</f>
        <v>0</v>
      </c>
      <c r="E205" s="252">
        <f>IFERROR(SUMIF('מצבת והרשמה (2)'!$F$21:$F$501,'דוח ביצוע (3)'!$B205,'מצבת והרשמה (2)'!$K$21:$K$501),0)</f>
        <v>0</v>
      </c>
      <c r="F205" s="253">
        <f t="shared" si="47"/>
        <v>0</v>
      </c>
      <c r="G205" s="680"/>
      <c r="H205" s="680"/>
      <c r="I205" s="253">
        <f t="shared" si="59"/>
        <v>0</v>
      </c>
      <c r="J205" s="453">
        <f t="shared" si="48"/>
        <v>0</v>
      </c>
      <c r="K205" s="689"/>
      <c r="L205" s="689"/>
      <c r="M205" s="969">
        <f t="shared" si="49"/>
        <v>0</v>
      </c>
      <c r="N205" s="1029" t="str">
        <f t="shared" si="50"/>
        <v/>
      </c>
      <c r="O205" s="969" t="str">
        <f>IFERROR(VLOOKUP(B205,'נתוני רישום ומצבת'!B:Q,16,0),"")</f>
        <v/>
      </c>
      <c r="P205" s="969" t="str">
        <f>IFERROR(VLOOKUP(B205,'נתוני רישום ומצבת'!B:R,17,0),"")</f>
        <v/>
      </c>
      <c r="Q205" s="690"/>
      <c r="R205" s="1009"/>
      <c r="S205" s="376">
        <f t="shared" si="51"/>
        <v>0</v>
      </c>
      <c r="T205" s="376">
        <f t="shared" si="52"/>
        <v>0</v>
      </c>
      <c r="U205" s="386">
        <f t="shared" si="53"/>
        <v>0</v>
      </c>
      <c r="V205" s="513" t="str">
        <f t="shared" si="54"/>
        <v/>
      </c>
      <c r="W205" s="254" t="str">
        <f>IF(ISBLANK(B205)," ",IF(B205=IFERROR(VLOOKUP(B205,'מצבת והרשמה (2)'!F:F,1,0),0),"תקין","לא קיים במצבת כבית ספר בו מתקיימת פעילות"))</f>
        <v xml:space="preserve"> </v>
      </c>
      <c r="X205" s="256" t="str">
        <f t="shared" si="41"/>
        <v/>
      </c>
      <c r="Y205" s="256" t="str">
        <f t="shared" si="42"/>
        <v/>
      </c>
      <c r="Z205" s="741">
        <f t="shared" si="43"/>
        <v>0</v>
      </c>
      <c r="AA205" s="741">
        <f t="shared" si="44"/>
        <v>0</v>
      </c>
      <c r="AB205" s="741">
        <f t="shared" si="45"/>
        <v>0</v>
      </c>
      <c r="AC205" s="987">
        <f t="shared" si="55"/>
        <v>0</v>
      </c>
      <c r="AD205" s="987">
        <f t="shared" si="56"/>
        <v>0</v>
      </c>
      <c r="AE205" s="368" t="str">
        <f>IFERROR(VLOOKUP(B205,'[1]סיכום בקרת רשויות'!$A:$D,4,0),"")</f>
        <v/>
      </c>
      <c r="AF205" s="57" t="str">
        <f t="shared" si="57"/>
        <v/>
      </c>
      <c r="AG205" s="180">
        <f>IF(AF205="כן",M205*'גנים ובתי ספר- מבנה תקציב'!$H$59,0)</f>
        <v>0</v>
      </c>
      <c r="AH205" s="180">
        <f>IF(AF205="כן",M205*'גנים ובתי ספר- מבנה תקציב'!$I$59,0)</f>
        <v>0</v>
      </c>
      <c r="AI205" s="180">
        <f t="shared" si="58"/>
        <v>0</v>
      </c>
      <c r="AJ205" s="368" t="str">
        <f t="shared" si="46"/>
        <v/>
      </c>
    </row>
    <row r="206" spans="1:36" x14ac:dyDescent="0.25">
      <c r="A206" s="57">
        <v>186</v>
      </c>
      <c r="B206" s="690"/>
      <c r="C206" s="690"/>
      <c r="D206" s="252">
        <f>(IFERROR(SUMIF('מצבת והרשמה (2)'!$F$21:$F$501,'דוח ביצוע (3)'!$B206,'מצבת והרשמה (2)'!$J$21:$J$501),0))</f>
        <v>0</v>
      </c>
      <c r="E206" s="252">
        <f>IFERROR(SUMIF('מצבת והרשמה (2)'!$F$21:$F$501,'דוח ביצוע (3)'!$B206,'מצבת והרשמה (2)'!$K$21:$K$501),0)</f>
        <v>0</v>
      </c>
      <c r="F206" s="253">
        <f t="shared" si="47"/>
        <v>0</v>
      </c>
      <c r="G206" s="680"/>
      <c r="H206" s="680"/>
      <c r="I206" s="253">
        <f t="shared" si="59"/>
        <v>0</v>
      </c>
      <c r="J206" s="453">
        <f t="shared" si="48"/>
        <v>0</v>
      </c>
      <c r="K206" s="689"/>
      <c r="L206" s="689"/>
      <c r="M206" s="969">
        <f t="shared" si="49"/>
        <v>0</v>
      </c>
      <c r="N206" s="1029" t="str">
        <f t="shared" si="50"/>
        <v/>
      </c>
      <c r="O206" s="969" t="str">
        <f>IFERROR(VLOOKUP(B206,'נתוני רישום ומצבת'!B:Q,16,0),"")</f>
        <v/>
      </c>
      <c r="P206" s="969" t="str">
        <f>IFERROR(VLOOKUP(B206,'נתוני רישום ומצבת'!B:R,17,0),"")</f>
        <v/>
      </c>
      <c r="Q206" s="690"/>
      <c r="R206" s="1009"/>
      <c r="S206" s="376">
        <f t="shared" si="51"/>
        <v>0</v>
      </c>
      <c r="T206" s="376">
        <f t="shared" si="52"/>
        <v>0</v>
      </c>
      <c r="U206" s="386">
        <f t="shared" si="53"/>
        <v>0</v>
      </c>
      <c r="V206" s="513" t="str">
        <f t="shared" si="54"/>
        <v/>
      </c>
      <c r="W206" s="254" t="str">
        <f>IF(ISBLANK(B206)," ",IF(B206=IFERROR(VLOOKUP(B206,'מצבת והרשמה (2)'!F:F,1,0),0),"תקין","לא קיים במצבת כבית ספר בו מתקיימת פעילות"))</f>
        <v xml:space="preserve"> </v>
      </c>
      <c r="X206" s="256" t="str">
        <f t="shared" si="41"/>
        <v/>
      </c>
      <c r="Y206" s="256" t="str">
        <f t="shared" si="42"/>
        <v/>
      </c>
      <c r="Z206" s="741">
        <f t="shared" si="43"/>
        <v>0</v>
      </c>
      <c r="AA206" s="741">
        <f t="shared" si="44"/>
        <v>0</v>
      </c>
      <c r="AB206" s="741">
        <f t="shared" si="45"/>
        <v>0</v>
      </c>
      <c r="AC206" s="987">
        <f t="shared" si="55"/>
        <v>0</v>
      </c>
      <c r="AD206" s="987">
        <f t="shared" si="56"/>
        <v>0</v>
      </c>
      <c r="AE206" s="368" t="str">
        <f>IFERROR(VLOOKUP(B206,'[1]סיכום בקרת רשויות'!$A:$D,4,0),"")</f>
        <v/>
      </c>
      <c r="AF206" s="57" t="str">
        <f t="shared" si="57"/>
        <v/>
      </c>
      <c r="AG206" s="180">
        <f>IF(AF206="כן",M206*'גנים ובתי ספר- מבנה תקציב'!$H$59,0)</f>
        <v>0</v>
      </c>
      <c r="AH206" s="180">
        <f>IF(AF206="כן",M206*'גנים ובתי ספר- מבנה תקציב'!$I$59,0)</f>
        <v>0</v>
      </c>
      <c r="AI206" s="180">
        <f t="shared" si="58"/>
        <v>0</v>
      </c>
      <c r="AJ206" s="368" t="str">
        <f t="shared" si="46"/>
        <v/>
      </c>
    </row>
    <row r="207" spans="1:36" x14ac:dyDescent="0.25">
      <c r="A207" s="57">
        <v>187</v>
      </c>
      <c r="B207" s="690"/>
      <c r="C207" s="690"/>
      <c r="D207" s="252">
        <f>(IFERROR(SUMIF('מצבת והרשמה (2)'!$F$21:$F$501,'דוח ביצוע (3)'!$B207,'מצבת והרשמה (2)'!$J$21:$J$501),0))</f>
        <v>0</v>
      </c>
      <c r="E207" s="252">
        <f>IFERROR(SUMIF('מצבת והרשמה (2)'!$F$21:$F$501,'דוח ביצוע (3)'!$B207,'מצבת והרשמה (2)'!$K$21:$K$501),0)</f>
        <v>0</v>
      </c>
      <c r="F207" s="253">
        <f t="shared" si="47"/>
        <v>0</v>
      </c>
      <c r="G207" s="680"/>
      <c r="H207" s="680"/>
      <c r="I207" s="253">
        <f t="shared" si="59"/>
        <v>0</v>
      </c>
      <c r="J207" s="453">
        <f t="shared" si="48"/>
        <v>0</v>
      </c>
      <c r="K207" s="689"/>
      <c r="L207" s="689"/>
      <c r="M207" s="969">
        <f t="shared" si="49"/>
        <v>0</v>
      </c>
      <c r="N207" s="1029" t="str">
        <f t="shared" si="50"/>
        <v/>
      </c>
      <c r="O207" s="969" t="str">
        <f>IFERROR(VLOOKUP(B207,'נתוני רישום ומצבת'!B:Q,16,0),"")</f>
        <v/>
      </c>
      <c r="P207" s="969" t="str">
        <f>IFERROR(VLOOKUP(B207,'נתוני רישום ומצבת'!B:R,17,0),"")</f>
        <v/>
      </c>
      <c r="Q207" s="690"/>
      <c r="R207" s="1009"/>
      <c r="S207" s="376">
        <f t="shared" si="51"/>
        <v>0</v>
      </c>
      <c r="T207" s="376">
        <f t="shared" si="52"/>
        <v>0</v>
      </c>
      <c r="U207" s="386">
        <f t="shared" si="53"/>
        <v>0</v>
      </c>
      <c r="V207" s="513" t="str">
        <f t="shared" si="54"/>
        <v/>
      </c>
      <c r="W207" s="254" t="str">
        <f>IF(ISBLANK(B207)," ",IF(B207=IFERROR(VLOOKUP(B207,'מצבת והרשמה (2)'!F:F,1,0),0),"תקין","לא קיים במצבת כבית ספר בו מתקיימת פעילות"))</f>
        <v xml:space="preserve"> </v>
      </c>
      <c r="X207" s="256" t="str">
        <f t="shared" si="41"/>
        <v/>
      </c>
      <c r="Y207" s="256" t="str">
        <f t="shared" si="42"/>
        <v/>
      </c>
      <c r="Z207" s="741">
        <f t="shared" si="43"/>
        <v>0</v>
      </c>
      <c r="AA207" s="741">
        <f t="shared" si="44"/>
        <v>0</v>
      </c>
      <c r="AB207" s="741">
        <f t="shared" si="45"/>
        <v>0</v>
      </c>
      <c r="AC207" s="987">
        <f t="shared" si="55"/>
        <v>0</v>
      </c>
      <c r="AD207" s="987">
        <f t="shared" si="56"/>
        <v>0</v>
      </c>
      <c r="AE207" s="368" t="str">
        <f>IFERROR(VLOOKUP(B207,'[1]סיכום בקרת רשויות'!$A:$D,4,0),"")</f>
        <v/>
      </c>
      <c r="AF207" s="57" t="str">
        <f t="shared" si="57"/>
        <v/>
      </c>
      <c r="AG207" s="180">
        <f>IF(AF207="כן",M207*'גנים ובתי ספר- מבנה תקציב'!$H$59,0)</f>
        <v>0</v>
      </c>
      <c r="AH207" s="180">
        <f>IF(AF207="כן",M207*'גנים ובתי ספר- מבנה תקציב'!$I$59,0)</f>
        <v>0</v>
      </c>
      <c r="AI207" s="180">
        <f t="shared" si="58"/>
        <v>0</v>
      </c>
      <c r="AJ207" s="368" t="str">
        <f t="shared" si="46"/>
        <v/>
      </c>
    </row>
    <row r="208" spans="1:36" x14ac:dyDescent="0.25">
      <c r="A208" s="57">
        <v>188</v>
      </c>
      <c r="B208" s="690"/>
      <c r="C208" s="690"/>
      <c r="D208" s="252">
        <f>(IFERROR(SUMIF('מצבת והרשמה (2)'!$F$21:$F$501,'דוח ביצוע (3)'!$B208,'מצבת והרשמה (2)'!$J$21:$J$501),0))</f>
        <v>0</v>
      </c>
      <c r="E208" s="252">
        <f>IFERROR(SUMIF('מצבת והרשמה (2)'!$F$21:$F$501,'דוח ביצוע (3)'!$B208,'מצבת והרשמה (2)'!$K$21:$K$501),0)</f>
        <v>0</v>
      </c>
      <c r="F208" s="253">
        <f t="shared" si="47"/>
        <v>0</v>
      </c>
      <c r="G208" s="680"/>
      <c r="H208" s="680"/>
      <c r="I208" s="253">
        <f t="shared" si="59"/>
        <v>0</v>
      </c>
      <c r="J208" s="453">
        <f t="shared" si="48"/>
        <v>0</v>
      </c>
      <c r="K208" s="689"/>
      <c r="L208" s="689"/>
      <c r="M208" s="969">
        <f t="shared" si="49"/>
        <v>0</v>
      </c>
      <c r="N208" s="1029" t="str">
        <f t="shared" si="50"/>
        <v/>
      </c>
      <c r="O208" s="969" t="str">
        <f>IFERROR(VLOOKUP(B208,'נתוני רישום ומצבת'!B:Q,16,0),"")</f>
        <v/>
      </c>
      <c r="P208" s="969" t="str">
        <f>IFERROR(VLOOKUP(B208,'נתוני רישום ומצבת'!B:R,17,0),"")</f>
        <v/>
      </c>
      <c r="Q208" s="690"/>
      <c r="R208" s="1009"/>
      <c r="S208" s="376">
        <f t="shared" si="51"/>
        <v>0</v>
      </c>
      <c r="T208" s="376">
        <f t="shared" si="52"/>
        <v>0</v>
      </c>
      <c r="U208" s="386">
        <f t="shared" si="53"/>
        <v>0</v>
      </c>
      <c r="V208" s="513" t="str">
        <f t="shared" si="54"/>
        <v/>
      </c>
      <c r="W208" s="254" t="str">
        <f>IF(ISBLANK(B208)," ",IF(B208=IFERROR(VLOOKUP(B208,'מצבת והרשמה (2)'!F:F,1,0),0),"תקין","לא קיים במצבת כבית ספר בו מתקיימת פעילות"))</f>
        <v xml:space="preserve"> </v>
      </c>
      <c r="X208" s="256" t="str">
        <f t="shared" si="41"/>
        <v/>
      </c>
      <c r="Y208" s="256" t="str">
        <f t="shared" si="42"/>
        <v/>
      </c>
      <c r="Z208" s="741">
        <f t="shared" si="43"/>
        <v>0</v>
      </c>
      <c r="AA208" s="741">
        <f t="shared" si="44"/>
        <v>0</v>
      </c>
      <c r="AB208" s="741">
        <f t="shared" si="45"/>
        <v>0</v>
      </c>
      <c r="AC208" s="987">
        <f t="shared" si="55"/>
        <v>0</v>
      </c>
      <c r="AD208" s="987">
        <f t="shared" si="56"/>
        <v>0</v>
      </c>
      <c r="AE208" s="368" t="str">
        <f>IFERROR(VLOOKUP(B208,'[1]סיכום בקרת רשויות'!$A:$D,4,0),"")</f>
        <v/>
      </c>
      <c r="AF208" s="57" t="str">
        <f t="shared" si="57"/>
        <v/>
      </c>
      <c r="AG208" s="180">
        <f>IF(AF208="כן",M208*'גנים ובתי ספר- מבנה תקציב'!$H$59,0)</f>
        <v>0</v>
      </c>
      <c r="AH208" s="180">
        <f>IF(AF208="כן",M208*'גנים ובתי ספר- מבנה תקציב'!$I$59,0)</f>
        <v>0</v>
      </c>
      <c r="AI208" s="180">
        <f t="shared" si="58"/>
        <v>0</v>
      </c>
      <c r="AJ208" s="368" t="str">
        <f t="shared" si="46"/>
        <v/>
      </c>
    </row>
    <row r="209" spans="1:36" x14ac:dyDescent="0.25">
      <c r="A209" s="57">
        <v>189</v>
      </c>
      <c r="B209" s="690"/>
      <c r="C209" s="690"/>
      <c r="D209" s="252">
        <f>(IFERROR(SUMIF('מצבת והרשמה (2)'!$F$21:$F$501,'דוח ביצוע (3)'!$B209,'מצבת והרשמה (2)'!$J$21:$J$501),0))</f>
        <v>0</v>
      </c>
      <c r="E209" s="252">
        <f>IFERROR(SUMIF('מצבת והרשמה (2)'!$F$21:$F$501,'דוח ביצוע (3)'!$B209,'מצבת והרשמה (2)'!$K$21:$K$501),0)</f>
        <v>0</v>
      </c>
      <c r="F209" s="253">
        <f t="shared" si="47"/>
        <v>0</v>
      </c>
      <c r="G209" s="680"/>
      <c r="H209" s="680"/>
      <c r="I209" s="253">
        <f t="shared" si="59"/>
        <v>0</v>
      </c>
      <c r="J209" s="453">
        <f t="shared" si="48"/>
        <v>0</v>
      </c>
      <c r="K209" s="689"/>
      <c r="L209" s="689"/>
      <c r="M209" s="969">
        <f t="shared" si="49"/>
        <v>0</v>
      </c>
      <c r="N209" s="1029" t="str">
        <f t="shared" si="50"/>
        <v/>
      </c>
      <c r="O209" s="969" t="str">
        <f>IFERROR(VLOOKUP(B209,'נתוני רישום ומצבת'!B:Q,16,0),"")</f>
        <v/>
      </c>
      <c r="P209" s="969" t="str">
        <f>IFERROR(VLOOKUP(B209,'נתוני רישום ומצבת'!B:R,17,0),"")</f>
        <v/>
      </c>
      <c r="Q209" s="690"/>
      <c r="R209" s="1009"/>
      <c r="S209" s="376">
        <f t="shared" si="51"/>
        <v>0</v>
      </c>
      <c r="T209" s="376">
        <f t="shared" si="52"/>
        <v>0</v>
      </c>
      <c r="U209" s="386">
        <f t="shared" si="53"/>
        <v>0</v>
      </c>
      <c r="V209" s="513" t="str">
        <f t="shared" si="54"/>
        <v/>
      </c>
      <c r="W209" s="254" t="str">
        <f>IF(ISBLANK(B209)," ",IF(B209=IFERROR(VLOOKUP(B209,'מצבת והרשמה (2)'!F:F,1,0),0),"תקין","לא קיים במצבת כבית ספר בו מתקיימת פעילות"))</f>
        <v xml:space="preserve"> </v>
      </c>
      <c r="X209" s="256" t="str">
        <f t="shared" si="41"/>
        <v/>
      </c>
      <c r="Y209" s="256" t="str">
        <f t="shared" si="42"/>
        <v/>
      </c>
      <c r="Z209" s="741">
        <f t="shared" si="43"/>
        <v>0</v>
      </c>
      <c r="AA209" s="741">
        <f t="shared" si="44"/>
        <v>0</v>
      </c>
      <c r="AB209" s="741">
        <f t="shared" si="45"/>
        <v>0</v>
      </c>
      <c r="AC209" s="987">
        <f t="shared" si="55"/>
        <v>0</v>
      </c>
      <c r="AD209" s="987">
        <f t="shared" si="56"/>
        <v>0</v>
      </c>
      <c r="AE209" s="368" t="str">
        <f>IFERROR(VLOOKUP(B209,'[1]סיכום בקרת רשויות'!$A:$D,4,0),"")</f>
        <v/>
      </c>
      <c r="AF209" s="57" t="str">
        <f t="shared" si="57"/>
        <v/>
      </c>
      <c r="AG209" s="180">
        <f>IF(AF209="כן",M209*'גנים ובתי ספר- מבנה תקציב'!$H$59,0)</f>
        <v>0</v>
      </c>
      <c r="AH209" s="180">
        <f>IF(AF209="כן",M209*'גנים ובתי ספר- מבנה תקציב'!$I$59,0)</f>
        <v>0</v>
      </c>
      <c r="AI209" s="180">
        <f t="shared" si="58"/>
        <v>0</v>
      </c>
      <c r="AJ209" s="368" t="str">
        <f t="shared" si="46"/>
        <v/>
      </c>
    </row>
    <row r="210" spans="1:36" x14ac:dyDescent="0.25">
      <c r="A210" s="57">
        <v>190</v>
      </c>
      <c r="B210" s="690"/>
      <c r="C210" s="690"/>
      <c r="D210" s="252">
        <f>(IFERROR(SUMIF('מצבת והרשמה (2)'!$F$21:$F$501,'דוח ביצוע (3)'!$B210,'מצבת והרשמה (2)'!$J$21:$J$501),0))</f>
        <v>0</v>
      </c>
      <c r="E210" s="252">
        <f>IFERROR(SUMIF('מצבת והרשמה (2)'!$F$21:$F$501,'דוח ביצוע (3)'!$B210,'מצבת והרשמה (2)'!$K$21:$K$501),0)</f>
        <v>0</v>
      </c>
      <c r="F210" s="253">
        <f t="shared" si="47"/>
        <v>0</v>
      </c>
      <c r="G210" s="680"/>
      <c r="H210" s="680"/>
      <c r="I210" s="253">
        <f t="shared" si="59"/>
        <v>0</v>
      </c>
      <c r="J210" s="453">
        <f t="shared" si="48"/>
        <v>0</v>
      </c>
      <c r="K210" s="689"/>
      <c r="L210" s="689"/>
      <c r="M210" s="969">
        <f t="shared" si="49"/>
        <v>0</v>
      </c>
      <c r="N210" s="1029" t="str">
        <f t="shared" si="50"/>
        <v/>
      </c>
      <c r="O210" s="969" t="str">
        <f>IFERROR(VLOOKUP(B210,'נתוני רישום ומצבת'!B:Q,16,0),"")</f>
        <v/>
      </c>
      <c r="P210" s="969" t="str">
        <f>IFERROR(VLOOKUP(B210,'נתוני רישום ומצבת'!B:R,17,0),"")</f>
        <v/>
      </c>
      <c r="Q210" s="690"/>
      <c r="R210" s="1009"/>
      <c r="S210" s="376">
        <f t="shared" si="51"/>
        <v>0</v>
      </c>
      <c r="T210" s="376">
        <f t="shared" si="52"/>
        <v>0</v>
      </c>
      <c r="U210" s="386">
        <f t="shared" si="53"/>
        <v>0</v>
      </c>
      <c r="V210" s="513" t="str">
        <f t="shared" si="54"/>
        <v/>
      </c>
      <c r="W210" s="254" t="str">
        <f>IF(ISBLANK(B210)," ",IF(B210=IFERROR(VLOOKUP(B210,'מצבת והרשמה (2)'!F:F,1,0),0),"תקין","לא קיים במצבת כבית ספר בו מתקיימת פעילות"))</f>
        <v xml:space="preserve"> </v>
      </c>
      <c r="X210" s="256" t="str">
        <f t="shared" si="41"/>
        <v/>
      </c>
      <c r="Y210" s="256" t="str">
        <f t="shared" si="42"/>
        <v/>
      </c>
      <c r="Z210" s="741">
        <f t="shared" si="43"/>
        <v>0</v>
      </c>
      <c r="AA210" s="741">
        <f t="shared" si="44"/>
        <v>0</v>
      </c>
      <c r="AB210" s="741">
        <f t="shared" si="45"/>
        <v>0</v>
      </c>
      <c r="AC210" s="987">
        <f t="shared" si="55"/>
        <v>0</v>
      </c>
      <c r="AD210" s="987">
        <f t="shared" si="56"/>
        <v>0</v>
      </c>
      <c r="AE210" s="368" t="str">
        <f>IFERROR(VLOOKUP(B210,'[1]סיכום בקרת רשויות'!$A:$D,4,0),"")</f>
        <v/>
      </c>
      <c r="AF210" s="57" t="str">
        <f t="shared" si="57"/>
        <v/>
      </c>
      <c r="AG210" s="180">
        <f>IF(AF210="כן",M210*'גנים ובתי ספר- מבנה תקציב'!$H$59,0)</f>
        <v>0</v>
      </c>
      <c r="AH210" s="180">
        <f>IF(AF210="כן",M210*'גנים ובתי ספר- מבנה תקציב'!$I$59,0)</f>
        <v>0</v>
      </c>
      <c r="AI210" s="180">
        <f t="shared" si="58"/>
        <v>0</v>
      </c>
      <c r="AJ210" s="368" t="str">
        <f t="shared" si="46"/>
        <v/>
      </c>
    </row>
    <row r="211" spans="1:36" x14ac:dyDescent="0.25">
      <c r="A211" s="57">
        <v>191</v>
      </c>
      <c r="B211" s="690"/>
      <c r="C211" s="690"/>
      <c r="D211" s="252">
        <f>(IFERROR(SUMIF('מצבת והרשמה (2)'!$F$21:$F$501,'דוח ביצוע (3)'!$B211,'מצבת והרשמה (2)'!$J$21:$J$501),0))</f>
        <v>0</v>
      </c>
      <c r="E211" s="252">
        <f>IFERROR(SUMIF('מצבת והרשמה (2)'!$F$21:$F$501,'דוח ביצוע (3)'!$B211,'מצבת והרשמה (2)'!$K$21:$K$501),0)</f>
        <v>0</v>
      </c>
      <c r="F211" s="253">
        <f t="shared" si="47"/>
        <v>0</v>
      </c>
      <c r="G211" s="680"/>
      <c r="H211" s="680"/>
      <c r="I211" s="253">
        <f t="shared" si="59"/>
        <v>0</v>
      </c>
      <c r="J211" s="453">
        <f t="shared" si="48"/>
        <v>0</v>
      </c>
      <c r="K211" s="689"/>
      <c r="L211" s="689"/>
      <c r="M211" s="969">
        <f t="shared" si="49"/>
        <v>0</v>
      </c>
      <c r="N211" s="1029" t="str">
        <f t="shared" si="50"/>
        <v/>
      </c>
      <c r="O211" s="969" t="str">
        <f>IFERROR(VLOOKUP(B211,'נתוני רישום ומצבת'!B:Q,16,0),"")</f>
        <v/>
      </c>
      <c r="P211" s="969" t="str">
        <f>IFERROR(VLOOKUP(B211,'נתוני רישום ומצבת'!B:R,17,0),"")</f>
        <v/>
      </c>
      <c r="Q211" s="690"/>
      <c r="R211" s="1009"/>
      <c r="S211" s="376">
        <f t="shared" si="51"/>
        <v>0</v>
      </c>
      <c r="T211" s="376">
        <f t="shared" si="52"/>
        <v>0</v>
      </c>
      <c r="U211" s="386">
        <f t="shared" si="53"/>
        <v>0</v>
      </c>
      <c r="V211" s="513" t="str">
        <f t="shared" si="54"/>
        <v/>
      </c>
      <c r="W211" s="254" t="str">
        <f>IF(ISBLANK(B211)," ",IF(B211=IFERROR(VLOOKUP(B211,'מצבת והרשמה (2)'!F:F,1,0),0),"תקין","לא קיים במצבת כבית ספר בו מתקיימת פעילות"))</f>
        <v xml:space="preserve"> </v>
      </c>
      <c r="X211" s="256" t="str">
        <f t="shared" si="41"/>
        <v/>
      </c>
      <c r="Y211" s="256" t="str">
        <f t="shared" si="42"/>
        <v/>
      </c>
      <c r="Z211" s="741">
        <f t="shared" si="43"/>
        <v>0</v>
      </c>
      <c r="AA211" s="741">
        <f t="shared" si="44"/>
        <v>0</v>
      </c>
      <c r="AB211" s="741">
        <f t="shared" si="45"/>
        <v>0</v>
      </c>
      <c r="AC211" s="987">
        <f t="shared" si="55"/>
        <v>0</v>
      </c>
      <c r="AD211" s="987">
        <f t="shared" si="56"/>
        <v>0</v>
      </c>
      <c r="AE211" s="368" t="str">
        <f>IFERROR(VLOOKUP(B211,'[1]סיכום בקרת רשויות'!$A:$D,4,0),"")</f>
        <v/>
      </c>
      <c r="AF211" s="57" t="str">
        <f t="shared" si="57"/>
        <v/>
      </c>
      <c r="AG211" s="180">
        <f>IF(AF211="כן",M211*'גנים ובתי ספר- מבנה תקציב'!$H$59,0)</f>
        <v>0</v>
      </c>
      <c r="AH211" s="180">
        <f>IF(AF211="כן",M211*'גנים ובתי ספר- מבנה תקציב'!$I$59,0)</f>
        <v>0</v>
      </c>
      <c r="AI211" s="180">
        <f t="shared" si="58"/>
        <v>0</v>
      </c>
      <c r="AJ211" s="368" t="str">
        <f t="shared" si="46"/>
        <v/>
      </c>
    </row>
    <row r="212" spans="1:36" x14ac:dyDescent="0.25">
      <c r="A212" s="57">
        <v>192</v>
      </c>
      <c r="B212" s="690"/>
      <c r="C212" s="690"/>
      <c r="D212" s="252">
        <f>(IFERROR(SUMIF('מצבת והרשמה (2)'!$F$21:$F$501,'דוח ביצוע (3)'!$B212,'מצבת והרשמה (2)'!$J$21:$J$501),0))</f>
        <v>0</v>
      </c>
      <c r="E212" s="252">
        <f>IFERROR(SUMIF('מצבת והרשמה (2)'!$F$21:$F$501,'דוח ביצוע (3)'!$B212,'מצבת והרשמה (2)'!$K$21:$K$501),0)</f>
        <v>0</v>
      </c>
      <c r="F212" s="253">
        <f t="shared" si="47"/>
        <v>0</v>
      </c>
      <c r="G212" s="680"/>
      <c r="H212" s="680"/>
      <c r="I212" s="253">
        <f t="shared" si="59"/>
        <v>0</v>
      </c>
      <c r="J212" s="453">
        <f t="shared" si="48"/>
        <v>0</v>
      </c>
      <c r="K212" s="689"/>
      <c r="L212" s="689"/>
      <c r="M212" s="969">
        <f t="shared" si="49"/>
        <v>0</v>
      </c>
      <c r="N212" s="1029" t="str">
        <f t="shared" si="50"/>
        <v/>
      </c>
      <c r="O212" s="969" t="str">
        <f>IFERROR(VLOOKUP(B212,'נתוני רישום ומצבת'!B:Q,16,0),"")</f>
        <v/>
      </c>
      <c r="P212" s="969" t="str">
        <f>IFERROR(VLOOKUP(B212,'נתוני רישום ומצבת'!B:R,17,0),"")</f>
        <v/>
      </c>
      <c r="Q212" s="690"/>
      <c r="R212" s="1009"/>
      <c r="S212" s="376">
        <f t="shared" si="51"/>
        <v>0</v>
      </c>
      <c r="T212" s="376">
        <f t="shared" si="52"/>
        <v>0</v>
      </c>
      <c r="U212" s="386">
        <f t="shared" si="53"/>
        <v>0</v>
      </c>
      <c r="V212" s="513" t="str">
        <f t="shared" si="54"/>
        <v/>
      </c>
      <c r="W212" s="254" t="str">
        <f>IF(ISBLANK(B212)," ",IF(B212=IFERROR(VLOOKUP(B212,'מצבת והרשמה (2)'!F:F,1,0),0),"תקין","לא קיים במצבת כבית ספר בו מתקיימת פעילות"))</f>
        <v xml:space="preserve"> </v>
      </c>
      <c r="X212" s="256" t="str">
        <f t="shared" si="41"/>
        <v/>
      </c>
      <c r="Y212" s="256" t="str">
        <f t="shared" si="42"/>
        <v/>
      </c>
      <c r="Z212" s="741">
        <f t="shared" si="43"/>
        <v>0</v>
      </c>
      <c r="AA212" s="741">
        <f t="shared" si="44"/>
        <v>0</v>
      </c>
      <c r="AB212" s="741">
        <f t="shared" si="45"/>
        <v>0</v>
      </c>
      <c r="AC212" s="987">
        <f t="shared" si="55"/>
        <v>0</v>
      </c>
      <c r="AD212" s="987">
        <f t="shared" si="56"/>
        <v>0</v>
      </c>
      <c r="AE212" s="368" t="str">
        <f>IFERROR(VLOOKUP(B212,'[1]סיכום בקרת רשויות'!$A:$D,4,0),"")</f>
        <v/>
      </c>
      <c r="AF212" s="57" t="str">
        <f t="shared" si="57"/>
        <v/>
      </c>
      <c r="AG212" s="180">
        <f>IF(AF212="כן",M212*'גנים ובתי ספר- מבנה תקציב'!$H$59,0)</f>
        <v>0</v>
      </c>
      <c r="AH212" s="180">
        <f>IF(AF212="כן",M212*'גנים ובתי ספר- מבנה תקציב'!$I$59,0)</f>
        <v>0</v>
      </c>
      <c r="AI212" s="180">
        <f t="shared" si="58"/>
        <v>0</v>
      </c>
      <c r="AJ212" s="368" t="str">
        <f t="shared" si="46"/>
        <v/>
      </c>
    </row>
    <row r="213" spans="1:36" x14ac:dyDescent="0.25">
      <c r="A213" s="57">
        <v>193</v>
      </c>
      <c r="B213" s="690"/>
      <c r="C213" s="690"/>
      <c r="D213" s="252">
        <f>(IFERROR(SUMIF('מצבת והרשמה (2)'!$F$21:$F$501,'דוח ביצוע (3)'!$B213,'מצבת והרשמה (2)'!$J$21:$J$501),0))</f>
        <v>0</v>
      </c>
      <c r="E213" s="252">
        <f>IFERROR(SUMIF('מצבת והרשמה (2)'!$F$21:$F$501,'דוח ביצוע (3)'!$B213,'מצבת והרשמה (2)'!$K$21:$K$501),0)</f>
        <v>0</v>
      </c>
      <c r="F213" s="253">
        <f t="shared" si="47"/>
        <v>0</v>
      </c>
      <c r="G213" s="680"/>
      <c r="H213" s="680"/>
      <c r="I213" s="253">
        <f t="shared" si="59"/>
        <v>0</v>
      </c>
      <c r="J213" s="453">
        <f t="shared" si="48"/>
        <v>0</v>
      </c>
      <c r="K213" s="689"/>
      <c r="L213" s="689"/>
      <c r="M213" s="969">
        <f t="shared" si="49"/>
        <v>0</v>
      </c>
      <c r="N213" s="1029" t="str">
        <f t="shared" si="50"/>
        <v/>
      </c>
      <c r="O213" s="969" t="str">
        <f>IFERROR(VLOOKUP(B213,'נתוני רישום ומצבת'!B:Q,16,0),"")</f>
        <v/>
      </c>
      <c r="P213" s="969" t="str">
        <f>IFERROR(VLOOKUP(B213,'נתוני רישום ומצבת'!B:R,17,0),"")</f>
        <v/>
      </c>
      <c r="Q213" s="690"/>
      <c r="R213" s="1009"/>
      <c r="S213" s="376">
        <f t="shared" si="51"/>
        <v>0</v>
      </c>
      <c r="T213" s="376">
        <f t="shared" si="52"/>
        <v>0</v>
      </c>
      <c r="U213" s="386">
        <f t="shared" si="53"/>
        <v>0</v>
      </c>
      <c r="V213" s="513" t="str">
        <f t="shared" si="54"/>
        <v/>
      </c>
      <c r="W213" s="254" t="str">
        <f>IF(ISBLANK(B213)," ",IF(B213=IFERROR(VLOOKUP(B213,'מצבת והרשמה (2)'!F:F,1,0),0),"תקין","לא קיים במצבת כבית ספר בו מתקיימת פעילות"))</f>
        <v xml:space="preserve"> </v>
      </c>
      <c r="X213" s="256" t="str">
        <f t="shared" ref="X213:X276" si="60">IF(IFERROR(COUNTIF($C$20:$C$2460,B213)," ")&gt;1,"סמל המוסד מופיע יותר מפעם אחת",IF(ISBLANK(B213),"","תקין"))</f>
        <v/>
      </c>
      <c r="Y213" s="256" t="str">
        <f t="shared" ref="Y213:Y276" si="61">IF(AND(ISNUMBER(B213),ISBLANK(B212)),"יש למלא שורות רצופות","")</f>
        <v/>
      </c>
      <c r="Z213" s="741">
        <f t="shared" ref="Z213:Z276" si="62">IF(OR(LEFT(V213,10)="יש למלא מס",LEFT(V213,10)="יש למלא סי"),1,0)</f>
        <v>0</v>
      </c>
      <c r="AA213" s="741">
        <f t="shared" ref="AA213:AA276" si="63">IF(COUNTIF(סמלפעילות,B213)&gt;1,1,0)</f>
        <v>0</v>
      </c>
      <c r="AB213" s="741">
        <f t="shared" ref="AB213:AB276" si="64">IF(B213&gt;0,IF(I213=0,1,0),0)</f>
        <v>0</v>
      </c>
      <c r="AC213" s="987">
        <f t="shared" si="55"/>
        <v>0</v>
      </c>
      <c r="AD213" s="987">
        <f t="shared" si="56"/>
        <v>0</v>
      </c>
      <c r="AE213" s="368" t="str">
        <f>IFERROR(VLOOKUP(B213,'[1]סיכום בקרת רשויות'!$A:$D,4,0),"")</f>
        <v/>
      </c>
      <c r="AF213" s="57" t="str">
        <f t="shared" si="57"/>
        <v/>
      </c>
      <c r="AG213" s="180">
        <f>IF(AF213="כן",M213*'גנים ובתי ספר- מבנה תקציב'!$H$59,0)</f>
        <v>0</v>
      </c>
      <c r="AH213" s="180">
        <f>IF(AF213="כן",M213*'גנים ובתי ספר- מבנה תקציב'!$I$59,0)</f>
        <v>0</v>
      </c>
      <c r="AI213" s="180">
        <f t="shared" si="58"/>
        <v>0</v>
      </c>
      <c r="AJ213" s="368" t="str">
        <f t="shared" ref="AJ213:AJ276" si="65">IF(B213&gt;0,IF(M213&lt;15,1,0),"")</f>
        <v/>
      </c>
    </row>
    <row r="214" spans="1:36" x14ac:dyDescent="0.25">
      <c r="A214" s="57">
        <v>194</v>
      </c>
      <c r="B214" s="690"/>
      <c r="C214" s="690"/>
      <c r="D214" s="252">
        <f>(IFERROR(SUMIF('מצבת והרשמה (2)'!$F$21:$F$501,'דוח ביצוע (3)'!$B214,'מצבת והרשמה (2)'!$J$21:$J$501),0))</f>
        <v>0</v>
      </c>
      <c r="E214" s="252">
        <f>IFERROR(SUMIF('מצבת והרשמה (2)'!$F$21:$F$501,'דוח ביצוע (3)'!$B214,'מצבת והרשמה (2)'!$K$21:$K$501),0)</f>
        <v>0</v>
      </c>
      <c r="F214" s="253">
        <f t="shared" ref="F214:F277" si="66">E214+D214</f>
        <v>0</v>
      </c>
      <c r="G214" s="680"/>
      <c r="H214" s="680"/>
      <c r="I214" s="253">
        <f t="shared" si="59"/>
        <v>0</v>
      </c>
      <c r="J214" s="453">
        <f t="shared" ref="J214:J277" si="67">IF(F214&gt;149,1,0)</f>
        <v>0</v>
      </c>
      <c r="K214" s="689"/>
      <c r="L214" s="689"/>
      <c r="M214" s="969">
        <f t="shared" ref="M214:M277" si="68">MIN(NETWORKDAYS.INTL(K214,L214,7),15)</f>
        <v>0</v>
      </c>
      <c r="N214" s="1029" t="str">
        <f t="shared" ref="N214:N277" si="69">IF(B214&gt;0,IF(M214&lt;15,"תקופת הפעילות נמוכה מהתקופה הנדרשת, ועל כן המוסד אינו זכאי לתקצוב","תקין"),"")</f>
        <v/>
      </c>
      <c r="O214" s="969" t="str">
        <f>IFERROR(VLOOKUP(B214,'נתוני רישום ומצבת'!B:Q,16,0),"")</f>
        <v/>
      </c>
      <c r="P214" s="969" t="str">
        <f>IFERROR(VLOOKUP(B214,'נתוני רישום ומצבת'!B:R,17,0),"")</f>
        <v/>
      </c>
      <c r="Q214" s="690"/>
      <c r="R214" s="1009"/>
      <c r="S214" s="376">
        <f t="shared" ref="S214:S277" si="70">IF(OR($T$2=0,N214="תקין"),MAX(IF(G214="",0,MIN(G214,D214)),0),0)</f>
        <v>0</v>
      </c>
      <c r="T214" s="376">
        <f t="shared" ref="T214:T277" si="71">IF(OR($T$2=0,N214="תקין"),MAX(IF(H214="",0,MIN(H214,E214)),0),0)</f>
        <v>0</v>
      </c>
      <c r="U214" s="386">
        <f t="shared" ref="U214:U277" si="72">SUM(S214:T214)</f>
        <v>0</v>
      </c>
      <c r="V214" s="513" t="str">
        <f t="shared" ref="V214:V277" si="73">IF(ISNUMBER(B214),IF(M214&lt;1,"יש למלא מס' ימי פעילות",IF(M214&lt;15,"יש למלא סיבה לחוסר ימי פעילות","תקין")),"")</f>
        <v/>
      </c>
      <c r="W214" s="254" t="str">
        <f>IF(ISBLANK(B214)," ",IF(B214=IFERROR(VLOOKUP(B214,'מצבת והרשמה (2)'!F:F,1,0),0),"תקין","לא קיים במצבת כבית ספר בו מתקיימת פעילות"))</f>
        <v xml:space="preserve"> </v>
      </c>
      <c r="X214" s="256" t="str">
        <f t="shared" si="60"/>
        <v/>
      </c>
      <c r="Y214" s="256" t="str">
        <f t="shared" si="61"/>
        <v/>
      </c>
      <c r="Z214" s="741">
        <f t="shared" si="62"/>
        <v>0</v>
      </c>
      <c r="AA214" s="741">
        <f t="shared" si="63"/>
        <v>0</v>
      </c>
      <c r="AB214" s="741">
        <f t="shared" si="64"/>
        <v>0</v>
      </c>
      <c r="AC214" s="987">
        <f t="shared" ref="AC214:AC277" si="74">MAX(IF(G214=" ",0,MIN(G214,D214)),0)</f>
        <v>0</v>
      </c>
      <c r="AD214" s="987">
        <f t="shared" ref="AD214:AD277" si="75">MAX(IF(H214=" ",0,MIN(H214,E214)),0)</f>
        <v>0</v>
      </c>
      <c r="AE214" s="368" t="str">
        <f>IFERROR(VLOOKUP(B214,'[1]סיכום בקרת רשויות'!$A:$D,4,0),"")</f>
        <v/>
      </c>
      <c r="AF214" s="57" t="str">
        <f t="shared" ref="AF214:AF277" si="76">IF(B214&gt;0,IF(Q214&gt;=MIN(40,P214),"כן",""),"")</f>
        <v/>
      </c>
      <c r="AG214" s="180">
        <f>IF(AF214="כן",M214*'גנים ובתי ספר- מבנה תקציב'!$H$59,0)</f>
        <v>0</v>
      </c>
      <c r="AH214" s="180">
        <f>IF(AF214="כן",M214*'גנים ובתי ספר- מבנה תקציב'!$I$59,0)</f>
        <v>0</v>
      </c>
      <c r="AI214" s="180">
        <f t="shared" ref="AI214:AI277" si="77">AH214+AG214</f>
        <v>0</v>
      </c>
      <c r="AJ214" s="368" t="str">
        <f t="shared" si="65"/>
        <v/>
      </c>
    </row>
    <row r="215" spans="1:36" x14ac:dyDescent="0.25">
      <c r="A215" s="57">
        <v>195</v>
      </c>
      <c r="B215" s="690"/>
      <c r="C215" s="690"/>
      <c r="D215" s="252">
        <f>(IFERROR(SUMIF('מצבת והרשמה (2)'!$F$21:$F$501,'דוח ביצוע (3)'!$B215,'מצבת והרשמה (2)'!$J$21:$J$501),0))</f>
        <v>0</v>
      </c>
      <c r="E215" s="252">
        <f>IFERROR(SUMIF('מצבת והרשמה (2)'!$F$21:$F$501,'דוח ביצוע (3)'!$B215,'מצבת והרשמה (2)'!$K$21:$K$501),0)</f>
        <v>0</v>
      </c>
      <c r="F215" s="253">
        <f t="shared" si="66"/>
        <v>0</v>
      </c>
      <c r="G215" s="680"/>
      <c r="H215" s="680"/>
      <c r="I215" s="253">
        <f t="shared" si="59"/>
        <v>0</v>
      </c>
      <c r="J215" s="453">
        <f t="shared" si="67"/>
        <v>0</v>
      </c>
      <c r="K215" s="689"/>
      <c r="L215" s="689"/>
      <c r="M215" s="969">
        <f t="shared" si="68"/>
        <v>0</v>
      </c>
      <c r="N215" s="1029" t="str">
        <f t="shared" si="69"/>
        <v/>
      </c>
      <c r="O215" s="969" t="str">
        <f>IFERROR(VLOOKUP(B215,'נתוני רישום ומצבת'!B:Q,16,0),"")</f>
        <v/>
      </c>
      <c r="P215" s="969" t="str">
        <f>IFERROR(VLOOKUP(B215,'נתוני רישום ומצבת'!B:R,17,0),"")</f>
        <v/>
      </c>
      <c r="Q215" s="690"/>
      <c r="R215" s="1009"/>
      <c r="S215" s="376">
        <f t="shared" si="70"/>
        <v>0</v>
      </c>
      <c r="T215" s="376">
        <f t="shared" si="71"/>
        <v>0</v>
      </c>
      <c r="U215" s="386">
        <f t="shared" si="72"/>
        <v>0</v>
      </c>
      <c r="V215" s="513" t="str">
        <f t="shared" si="73"/>
        <v/>
      </c>
      <c r="W215" s="254" t="str">
        <f>IF(ISBLANK(B215)," ",IF(B215=IFERROR(VLOOKUP(B215,'מצבת והרשמה (2)'!F:F,1,0),0),"תקין","לא קיים במצבת כבית ספר בו מתקיימת פעילות"))</f>
        <v xml:space="preserve"> </v>
      </c>
      <c r="X215" s="256" t="str">
        <f t="shared" si="60"/>
        <v/>
      </c>
      <c r="Y215" s="256" t="str">
        <f t="shared" si="61"/>
        <v/>
      </c>
      <c r="Z215" s="741">
        <f t="shared" si="62"/>
        <v>0</v>
      </c>
      <c r="AA215" s="741">
        <f t="shared" si="63"/>
        <v>0</v>
      </c>
      <c r="AB215" s="741">
        <f t="shared" si="64"/>
        <v>0</v>
      </c>
      <c r="AC215" s="987">
        <f t="shared" si="74"/>
        <v>0</v>
      </c>
      <c r="AD215" s="987">
        <f t="shared" si="75"/>
        <v>0</v>
      </c>
      <c r="AE215" s="368" t="str">
        <f>IFERROR(VLOOKUP(B215,'[1]סיכום בקרת רשויות'!$A:$D,4,0),"")</f>
        <v/>
      </c>
      <c r="AF215" s="57" t="str">
        <f t="shared" si="76"/>
        <v/>
      </c>
      <c r="AG215" s="180">
        <f>IF(AF215="כן",M215*'גנים ובתי ספר- מבנה תקציב'!$H$59,0)</f>
        <v>0</v>
      </c>
      <c r="AH215" s="180">
        <f>IF(AF215="כן",M215*'גנים ובתי ספר- מבנה תקציב'!$I$59,0)</f>
        <v>0</v>
      </c>
      <c r="AI215" s="180">
        <f t="shared" si="77"/>
        <v>0</v>
      </c>
      <c r="AJ215" s="368" t="str">
        <f t="shared" si="65"/>
        <v/>
      </c>
    </row>
    <row r="216" spans="1:36" x14ac:dyDescent="0.25">
      <c r="A216" s="57">
        <v>196</v>
      </c>
      <c r="B216" s="690"/>
      <c r="C216" s="690"/>
      <c r="D216" s="252">
        <f>(IFERROR(SUMIF('מצבת והרשמה (2)'!$F$21:$F$501,'דוח ביצוע (3)'!$B216,'מצבת והרשמה (2)'!$J$21:$J$501),0))</f>
        <v>0</v>
      </c>
      <c r="E216" s="252">
        <f>IFERROR(SUMIF('מצבת והרשמה (2)'!$F$21:$F$501,'דוח ביצוע (3)'!$B216,'מצבת והרשמה (2)'!$K$21:$K$501),0)</f>
        <v>0</v>
      </c>
      <c r="F216" s="253">
        <f t="shared" si="66"/>
        <v>0</v>
      </c>
      <c r="G216" s="680"/>
      <c r="H216" s="680"/>
      <c r="I216" s="253">
        <f t="shared" si="59"/>
        <v>0</v>
      </c>
      <c r="J216" s="453">
        <f t="shared" si="67"/>
        <v>0</v>
      </c>
      <c r="K216" s="689"/>
      <c r="L216" s="689"/>
      <c r="M216" s="969">
        <f t="shared" si="68"/>
        <v>0</v>
      </c>
      <c r="N216" s="1029" t="str">
        <f t="shared" si="69"/>
        <v/>
      </c>
      <c r="O216" s="969" t="str">
        <f>IFERROR(VLOOKUP(B216,'נתוני רישום ומצבת'!B:Q,16,0),"")</f>
        <v/>
      </c>
      <c r="P216" s="969" t="str">
        <f>IFERROR(VLOOKUP(B216,'נתוני רישום ומצבת'!B:R,17,0),"")</f>
        <v/>
      </c>
      <c r="Q216" s="690"/>
      <c r="R216" s="1009"/>
      <c r="S216" s="376">
        <f t="shared" si="70"/>
        <v>0</v>
      </c>
      <c r="T216" s="376">
        <f t="shared" si="71"/>
        <v>0</v>
      </c>
      <c r="U216" s="386">
        <f t="shared" si="72"/>
        <v>0</v>
      </c>
      <c r="V216" s="513" t="str">
        <f t="shared" si="73"/>
        <v/>
      </c>
      <c r="W216" s="254" t="str">
        <f>IF(ISBLANK(B216)," ",IF(B216=IFERROR(VLOOKUP(B216,'מצבת והרשמה (2)'!F:F,1,0),0),"תקין","לא קיים במצבת כבית ספר בו מתקיימת פעילות"))</f>
        <v xml:space="preserve"> </v>
      </c>
      <c r="X216" s="256" t="str">
        <f t="shared" si="60"/>
        <v/>
      </c>
      <c r="Y216" s="256" t="str">
        <f t="shared" si="61"/>
        <v/>
      </c>
      <c r="Z216" s="741">
        <f t="shared" si="62"/>
        <v>0</v>
      </c>
      <c r="AA216" s="741">
        <f t="shared" si="63"/>
        <v>0</v>
      </c>
      <c r="AB216" s="741">
        <f t="shared" si="64"/>
        <v>0</v>
      </c>
      <c r="AC216" s="987">
        <f t="shared" si="74"/>
        <v>0</v>
      </c>
      <c r="AD216" s="987">
        <f t="shared" si="75"/>
        <v>0</v>
      </c>
      <c r="AE216" s="368" t="str">
        <f>IFERROR(VLOOKUP(B216,'[1]סיכום בקרת רשויות'!$A:$D,4,0),"")</f>
        <v/>
      </c>
      <c r="AF216" s="57" t="str">
        <f t="shared" si="76"/>
        <v/>
      </c>
      <c r="AG216" s="180">
        <f>IF(AF216="כן",M216*'גנים ובתי ספר- מבנה תקציב'!$H$59,0)</f>
        <v>0</v>
      </c>
      <c r="AH216" s="180">
        <f>IF(AF216="כן",M216*'גנים ובתי ספר- מבנה תקציב'!$I$59,0)</f>
        <v>0</v>
      </c>
      <c r="AI216" s="180">
        <f t="shared" si="77"/>
        <v>0</v>
      </c>
      <c r="AJ216" s="368" t="str">
        <f t="shared" si="65"/>
        <v/>
      </c>
    </row>
    <row r="217" spans="1:36" x14ac:dyDescent="0.25">
      <c r="A217" s="57">
        <v>197</v>
      </c>
      <c r="B217" s="690"/>
      <c r="C217" s="690"/>
      <c r="D217" s="252">
        <f>(IFERROR(SUMIF('מצבת והרשמה (2)'!$F$21:$F$501,'דוח ביצוע (3)'!$B217,'מצבת והרשמה (2)'!$J$21:$J$501),0))</f>
        <v>0</v>
      </c>
      <c r="E217" s="252">
        <f>IFERROR(SUMIF('מצבת והרשמה (2)'!$F$21:$F$501,'דוח ביצוע (3)'!$B217,'מצבת והרשמה (2)'!$K$21:$K$501),0)</f>
        <v>0</v>
      </c>
      <c r="F217" s="253">
        <f t="shared" si="66"/>
        <v>0</v>
      </c>
      <c r="G217" s="680"/>
      <c r="H217" s="680"/>
      <c r="I217" s="253">
        <f t="shared" si="59"/>
        <v>0</v>
      </c>
      <c r="J217" s="453">
        <f t="shared" si="67"/>
        <v>0</v>
      </c>
      <c r="K217" s="689"/>
      <c r="L217" s="689"/>
      <c r="M217" s="969">
        <f t="shared" si="68"/>
        <v>0</v>
      </c>
      <c r="N217" s="1029" t="str">
        <f t="shared" si="69"/>
        <v/>
      </c>
      <c r="O217" s="969" t="str">
        <f>IFERROR(VLOOKUP(B217,'נתוני רישום ומצבת'!B:Q,16,0),"")</f>
        <v/>
      </c>
      <c r="P217" s="969" t="str">
        <f>IFERROR(VLOOKUP(B217,'נתוני רישום ומצבת'!B:R,17,0),"")</f>
        <v/>
      </c>
      <c r="Q217" s="690"/>
      <c r="R217" s="1009"/>
      <c r="S217" s="376">
        <f t="shared" si="70"/>
        <v>0</v>
      </c>
      <c r="T217" s="376">
        <f t="shared" si="71"/>
        <v>0</v>
      </c>
      <c r="U217" s="386">
        <f t="shared" si="72"/>
        <v>0</v>
      </c>
      <c r="V217" s="513" t="str">
        <f t="shared" si="73"/>
        <v/>
      </c>
      <c r="W217" s="254" t="str">
        <f>IF(ISBLANK(B217)," ",IF(B217=IFERROR(VLOOKUP(B217,'מצבת והרשמה (2)'!F:F,1,0),0),"תקין","לא קיים במצבת כבית ספר בו מתקיימת פעילות"))</f>
        <v xml:space="preserve"> </v>
      </c>
      <c r="X217" s="256" t="str">
        <f t="shared" si="60"/>
        <v/>
      </c>
      <c r="Y217" s="256" t="str">
        <f t="shared" si="61"/>
        <v/>
      </c>
      <c r="Z217" s="741">
        <f t="shared" si="62"/>
        <v>0</v>
      </c>
      <c r="AA217" s="741">
        <f t="shared" si="63"/>
        <v>0</v>
      </c>
      <c r="AB217" s="741">
        <f t="shared" si="64"/>
        <v>0</v>
      </c>
      <c r="AC217" s="987">
        <f t="shared" si="74"/>
        <v>0</v>
      </c>
      <c r="AD217" s="987">
        <f t="shared" si="75"/>
        <v>0</v>
      </c>
      <c r="AE217" s="368" t="str">
        <f>IFERROR(VLOOKUP(B217,'[1]סיכום בקרת רשויות'!$A:$D,4,0),"")</f>
        <v/>
      </c>
      <c r="AF217" s="57" t="str">
        <f t="shared" si="76"/>
        <v/>
      </c>
      <c r="AG217" s="180">
        <f>IF(AF217="כן",M217*'גנים ובתי ספר- מבנה תקציב'!$H$59,0)</f>
        <v>0</v>
      </c>
      <c r="AH217" s="180">
        <f>IF(AF217="כן",M217*'גנים ובתי ספר- מבנה תקציב'!$I$59,0)</f>
        <v>0</v>
      </c>
      <c r="AI217" s="180">
        <f t="shared" si="77"/>
        <v>0</v>
      </c>
      <c r="AJ217" s="368" t="str">
        <f t="shared" si="65"/>
        <v/>
      </c>
    </row>
    <row r="218" spans="1:36" x14ac:dyDescent="0.25">
      <c r="A218" s="57">
        <v>198</v>
      </c>
      <c r="B218" s="690"/>
      <c r="C218" s="690"/>
      <c r="D218" s="252">
        <f>(IFERROR(SUMIF('מצבת והרשמה (2)'!$F$21:$F$501,'דוח ביצוע (3)'!$B218,'מצבת והרשמה (2)'!$J$21:$J$501),0))</f>
        <v>0</v>
      </c>
      <c r="E218" s="252">
        <f>IFERROR(SUMIF('מצבת והרשמה (2)'!$F$21:$F$501,'דוח ביצוע (3)'!$B218,'מצבת והרשמה (2)'!$K$21:$K$501),0)</f>
        <v>0</v>
      </c>
      <c r="F218" s="253">
        <f t="shared" si="66"/>
        <v>0</v>
      </c>
      <c r="G218" s="680"/>
      <c r="H218" s="680"/>
      <c r="I218" s="253">
        <f t="shared" si="59"/>
        <v>0</v>
      </c>
      <c r="J218" s="453">
        <f t="shared" si="67"/>
        <v>0</v>
      </c>
      <c r="K218" s="689"/>
      <c r="L218" s="689"/>
      <c r="M218" s="969">
        <f t="shared" si="68"/>
        <v>0</v>
      </c>
      <c r="N218" s="1029" t="str">
        <f t="shared" si="69"/>
        <v/>
      </c>
      <c r="O218" s="969" t="str">
        <f>IFERROR(VLOOKUP(B218,'נתוני רישום ומצבת'!B:Q,16,0),"")</f>
        <v/>
      </c>
      <c r="P218" s="969" t="str">
        <f>IFERROR(VLOOKUP(B218,'נתוני רישום ומצבת'!B:R,17,0),"")</f>
        <v/>
      </c>
      <c r="Q218" s="690"/>
      <c r="R218" s="1009"/>
      <c r="S218" s="376">
        <f t="shared" si="70"/>
        <v>0</v>
      </c>
      <c r="T218" s="376">
        <f t="shared" si="71"/>
        <v>0</v>
      </c>
      <c r="U218" s="386">
        <f t="shared" si="72"/>
        <v>0</v>
      </c>
      <c r="V218" s="513" t="str">
        <f t="shared" si="73"/>
        <v/>
      </c>
      <c r="W218" s="254" t="str">
        <f>IF(ISBLANK(B218)," ",IF(B218=IFERROR(VLOOKUP(B218,'מצבת והרשמה (2)'!F:F,1,0),0),"תקין","לא קיים במצבת כבית ספר בו מתקיימת פעילות"))</f>
        <v xml:space="preserve"> </v>
      </c>
      <c r="X218" s="256" t="str">
        <f t="shared" si="60"/>
        <v/>
      </c>
      <c r="Y218" s="256" t="str">
        <f t="shared" si="61"/>
        <v/>
      </c>
      <c r="Z218" s="741">
        <f t="shared" si="62"/>
        <v>0</v>
      </c>
      <c r="AA218" s="741">
        <f t="shared" si="63"/>
        <v>0</v>
      </c>
      <c r="AB218" s="741">
        <f t="shared" si="64"/>
        <v>0</v>
      </c>
      <c r="AC218" s="987">
        <f t="shared" si="74"/>
        <v>0</v>
      </c>
      <c r="AD218" s="987">
        <f t="shared" si="75"/>
        <v>0</v>
      </c>
      <c r="AE218" s="368" t="str">
        <f>IFERROR(VLOOKUP(B218,'[1]סיכום בקרת רשויות'!$A:$D,4,0),"")</f>
        <v/>
      </c>
      <c r="AF218" s="57" t="str">
        <f t="shared" si="76"/>
        <v/>
      </c>
      <c r="AG218" s="180">
        <f>IF(AF218="כן",M218*'גנים ובתי ספר- מבנה תקציב'!$H$59,0)</f>
        <v>0</v>
      </c>
      <c r="AH218" s="180">
        <f>IF(AF218="כן",M218*'גנים ובתי ספר- מבנה תקציב'!$I$59,0)</f>
        <v>0</v>
      </c>
      <c r="AI218" s="180">
        <f t="shared" si="77"/>
        <v>0</v>
      </c>
      <c r="AJ218" s="368" t="str">
        <f t="shared" si="65"/>
        <v/>
      </c>
    </row>
    <row r="219" spans="1:36" x14ac:dyDescent="0.25">
      <c r="A219" s="57">
        <v>199</v>
      </c>
      <c r="B219" s="690"/>
      <c r="C219" s="690"/>
      <c r="D219" s="252">
        <f>(IFERROR(SUMIF('מצבת והרשמה (2)'!$F$21:$F$501,'דוח ביצוע (3)'!$B219,'מצבת והרשמה (2)'!$J$21:$J$501),0))</f>
        <v>0</v>
      </c>
      <c r="E219" s="252">
        <f>IFERROR(SUMIF('מצבת והרשמה (2)'!$F$21:$F$501,'דוח ביצוע (3)'!$B219,'מצבת והרשמה (2)'!$K$21:$K$501),0)</f>
        <v>0</v>
      </c>
      <c r="F219" s="253">
        <f t="shared" si="66"/>
        <v>0</v>
      </c>
      <c r="G219" s="680"/>
      <c r="H219" s="680"/>
      <c r="I219" s="253">
        <f t="shared" si="59"/>
        <v>0</v>
      </c>
      <c r="J219" s="453">
        <f t="shared" si="67"/>
        <v>0</v>
      </c>
      <c r="K219" s="689"/>
      <c r="L219" s="689"/>
      <c r="M219" s="969">
        <f t="shared" si="68"/>
        <v>0</v>
      </c>
      <c r="N219" s="1029" t="str">
        <f t="shared" si="69"/>
        <v/>
      </c>
      <c r="O219" s="969" t="str">
        <f>IFERROR(VLOOKUP(B219,'נתוני רישום ומצבת'!B:Q,16,0),"")</f>
        <v/>
      </c>
      <c r="P219" s="969" t="str">
        <f>IFERROR(VLOOKUP(B219,'נתוני רישום ומצבת'!B:R,17,0),"")</f>
        <v/>
      </c>
      <c r="Q219" s="690"/>
      <c r="R219" s="1009"/>
      <c r="S219" s="376">
        <f t="shared" si="70"/>
        <v>0</v>
      </c>
      <c r="T219" s="376">
        <f t="shared" si="71"/>
        <v>0</v>
      </c>
      <c r="U219" s="386">
        <f t="shared" si="72"/>
        <v>0</v>
      </c>
      <c r="V219" s="513" t="str">
        <f t="shared" si="73"/>
        <v/>
      </c>
      <c r="W219" s="254" t="str">
        <f>IF(ISBLANK(B219)," ",IF(B219=IFERROR(VLOOKUP(B219,'מצבת והרשמה (2)'!F:F,1,0),0),"תקין","לא קיים במצבת כבית ספר בו מתקיימת פעילות"))</f>
        <v xml:space="preserve"> </v>
      </c>
      <c r="X219" s="256" t="str">
        <f t="shared" si="60"/>
        <v/>
      </c>
      <c r="Y219" s="256" t="str">
        <f t="shared" si="61"/>
        <v/>
      </c>
      <c r="Z219" s="741">
        <f t="shared" si="62"/>
        <v>0</v>
      </c>
      <c r="AA219" s="741">
        <f t="shared" si="63"/>
        <v>0</v>
      </c>
      <c r="AB219" s="741">
        <f t="shared" si="64"/>
        <v>0</v>
      </c>
      <c r="AC219" s="987">
        <f t="shared" si="74"/>
        <v>0</v>
      </c>
      <c r="AD219" s="987">
        <f t="shared" si="75"/>
        <v>0</v>
      </c>
      <c r="AE219" s="368" t="str">
        <f>IFERROR(VLOOKUP(B219,'[1]סיכום בקרת רשויות'!$A:$D,4,0),"")</f>
        <v/>
      </c>
      <c r="AF219" s="57" t="str">
        <f t="shared" si="76"/>
        <v/>
      </c>
      <c r="AG219" s="180">
        <f>IF(AF219="כן",M219*'גנים ובתי ספר- מבנה תקציב'!$H$59,0)</f>
        <v>0</v>
      </c>
      <c r="AH219" s="180">
        <f>IF(AF219="כן",M219*'גנים ובתי ספר- מבנה תקציב'!$I$59,0)</f>
        <v>0</v>
      </c>
      <c r="AI219" s="180">
        <f t="shared" si="77"/>
        <v>0</v>
      </c>
      <c r="AJ219" s="368" t="str">
        <f t="shared" si="65"/>
        <v/>
      </c>
    </row>
    <row r="220" spans="1:36" x14ac:dyDescent="0.25">
      <c r="A220" s="57">
        <v>200</v>
      </c>
      <c r="B220" s="690"/>
      <c r="C220" s="690"/>
      <c r="D220" s="252">
        <f>(IFERROR(SUMIF('מצבת והרשמה (2)'!$F$21:$F$501,'דוח ביצוע (3)'!$B220,'מצבת והרשמה (2)'!$J$21:$J$501),0))</f>
        <v>0</v>
      </c>
      <c r="E220" s="252">
        <f>IFERROR(SUMIF('מצבת והרשמה (2)'!$F$21:$F$501,'דוח ביצוע (3)'!$B220,'מצבת והרשמה (2)'!$K$21:$K$501),0)</f>
        <v>0</v>
      </c>
      <c r="F220" s="253">
        <f t="shared" si="66"/>
        <v>0</v>
      </c>
      <c r="G220" s="680"/>
      <c r="H220" s="680"/>
      <c r="I220" s="253">
        <f t="shared" si="59"/>
        <v>0</v>
      </c>
      <c r="J220" s="453">
        <f t="shared" si="67"/>
        <v>0</v>
      </c>
      <c r="K220" s="689"/>
      <c r="L220" s="689"/>
      <c r="M220" s="969">
        <f t="shared" si="68"/>
        <v>0</v>
      </c>
      <c r="N220" s="1029" t="str">
        <f t="shared" si="69"/>
        <v/>
      </c>
      <c r="O220" s="969" t="str">
        <f>IFERROR(VLOOKUP(B220,'נתוני רישום ומצבת'!B:Q,16,0),"")</f>
        <v/>
      </c>
      <c r="P220" s="969" t="str">
        <f>IFERROR(VLOOKUP(B220,'נתוני רישום ומצבת'!B:R,17,0),"")</f>
        <v/>
      </c>
      <c r="Q220" s="690"/>
      <c r="R220" s="1009"/>
      <c r="S220" s="376">
        <f t="shared" si="70"/>
        <v>0</v>
      </c>
      <c r="T220" s="376">
        <f t="shared" si="71"/>
        <v>0</v>
      </c>
      <c r="U220" s="386">
        <f t="shared" si="72"/>
        <v>0</v>
      </c>
      <c r="V220" s="513" t="str">
        <f t="shared" si="73"/>
        <v/>
      </c>
      <c r="W220" s="254" t="str">
        <f>IF(ISBLANK(B220)," ",IF(B220=IFERROR(VLOOKUP(B220,'מצבת והרשמה (2)'!F:F,1,0),0),"תקין","לא קיים במצבת כבית ספר בו מתקיימת פעילות"))</f>
        <v xml:space="preserve"> </v>
      </c>
      <c r="X220" s="256" t="str">
        <f t="shared" si="60"/>
        <v/>
      </c>
      <c r="Y220" s="256" t="str">
        <f t="shared" si="61"/>
        <v/>
      </c>
      <c r="Z220" s="741">
        <f t="shared" si="62"/>
        <v>0</v>
      </c>
      <c r="AA220" s="741">
        <f t="shared" si="63"/>
        <v>0</v>
      </c>
      <c r="AB220" s="741">
        <f t="shared" si="64"/>
        <v>0</v>
      </c>
      <c r="AC220" s="987">
        <f t="shared" si="74"/>
        <v>0</v>
      </c>
      <c r="AD220" s="987">
        <f t="shared" si="75"/>
        <v>0</v>
      </c>
      <c r="AE220" s="368" t="str">
        <f>IFERROR(VLOOKUP(B220,'[1]סיכום בקרת רשויות'!$A:$D,4,0),"")</f>
        <v/>
      </c>
      <c r="AF220" s="57" t="str">
        <f t="shared" si="76"/>
        <v/>
      </c>
      <c r="AG220" s="180">
        <f>IF(AF220="כן",M220*'גנים ובתי ספר- מבנה תקציב'!$H$59,0)</f>
        <v>0</v>
      </c>
      <c r="AH220" s="180">
        <f>IF(AF220="כן",M220*'גנים ובתי ספר- מבנה תקציב'!$I$59,0)</f>
        <v>0</v>
      </c>
      <c r="AI220" s="180">
        <f t="shared" si="77"/>
        <v>0</v>
      </c>
      <c r="AJ220" s="368" t="str">
        <f t="shared" si="65"/>
        <v/>
      </c>
    </row>
    <row r="221" spans="1:36" x14ac:dyDescent="0.25">
      <c r="A221" s="57">
        <v>201</v>
      </c>
      <c r="B221" s="690"/>
      <c r="C221" s="690"/>
      <c r="D221" s="252">
        <f>(IFERROR(SUMIF('מצבת והרשמה (2)'!$F$21:$F$501,'דוח ביצוע (3)'!$B221,'מצבת והרשמה (2)'!$J$21:$J$501),0))</f>
        <v>0</v>
      </c>
      <c r="E221" s="252">
        <f>IFERROR(SUMIF('מצבת והרשמה (2)'!$F$21:$F$501,'דוח ביצוע (3)'!$B221,'מצבת והרשמה (2)'!$K$21:$K$501),0)</f>
        <v>0</v>
      </c>
      <c r="F221" s="253">
        <f t="shared" si="66"/>
        <v>0</v>
      </c>
      <c r="G221" s="680"/>
      <c r="H221" s="680"/>
      <c r="I221" s="253">
        <f t="shared" si="59"/>
        <v>0</v>
      </c>
      <c r="J221" s="453">
        <f t="shared" si="67"/>
        <v>0</v>
      </c>
      <c r="K221" s="689"/>
      <c r="L221" s="689"/>
      <c r="M221" s="969">
        <f t="shared" si="68"/>
        <v>0</v>
      </c>
      <c r="N221" s="1029" t="str">
        <f t="shared" si="69"/>
        <v/>
      </c>
      <c r="O221" s="969" t="str">
        <f>IFERROR(VLOOKUP(B221,'נתוני רישום ומצבת'!B:Q,16,0),"")</f>
        <v/>
      </c>
      <c r="P221" s="969" t="str">
        <f>IFERROR(VLOOKUP(B221,'נתוני רישום ומצבת'!B:R,17,0),"")</f>
        <v/>
      </c>
      <c r="Q221" s="690"/>
      <c r="R221" s="1009"/>
      <c r="S221" s="376">
        <f t="shared" si="70"/>
        <v>0</v>
      </c>
      <c r="T221" s="376">
        <f t="shared" si="71"/>
        <v>0</v>
      </c>
      <c r="U221" s="386">
        <f t="shared" si="72"/>
        <v>0</v>
      </c>
      <c r="V221" s="513" t="str">
        <f t="shared" si="73"/>
        <v/>
      </c>
      <c r="W221" s="254" t="str">
        <f>IF(ISBLANK(B221)," ",IF(B221=IFERROR(VLOOKUP(B221,'מצבת והרשמה (2)'!F:F,1,0),0),"תקין","לא קיים במצבת כבית ספר בו מתקיימת פעילות"))</f>
        <v xml:space="preserve"> </v>
      </c>
      <c r="X221" s="256" t="str">
        <f t="shared" si="60"/>
        <v/>
      </c>
      <c r="Y221" s="256" t="str">
        <f t="shared" si="61"/>
        <v/>
      </c>
      <c r="Z221" s="741">
        <f t="shared" si="62"/>
        <v>0</v>
      </c>
      <c r="AA221" s="741">
        <f t="shared" si="63"/>
        <v>0</v>
      </c>
      <c r="AB221" s="741">
        <f t="shared" si="64"/>
        <v>0</v>
      </c>
      <c r="AC221" s="987">
        <f t="shared" si="74"/>
        <v>0</v>
      </c>
      <c r="AD221" s="987">
        <f t="shared" si="75"/>
        <v>0</v>
      </c>
      <c r="AE221" s="368" t="str">
        <f>IFERROR(VLOOKUP(B221,'[1]סיכום בקרת רשויות'!$A:$D,4,0),"")</f>
        <v/>
      </c>
      <c r="AF221" s="57" t="str">
        <f t="shared" si="76"/>
        <v/>
      </c>
      <c r="AG221" s="180">
        <f>IF(AF221="כן",M221*'גנים ובתי ספר- מבנה תקציב'!$H$59,0)</f>
        <v>0</v>
      </c>
      <c r="AH221" s="180">
        <f>IF(AF221="כן",M221*'גנים ובתי ספר- מבנה תקציב'!$I$59,0)</f>
        <v>0</v>
      </c>
      <c r="AI221" s="180">
        <f t="shared" si="77"/>
        <v>0</v>
      </c>
      <c r="AJ221" s="368" t="str">
        <f t="shared" si="65"/>
        <v/>
      </c>
    </row>
    <row r="222" spans="1:36" x14ac:dyDescent="0.25">
      <c r="A222" s="57">
        <v>202</v>
      </c>
      <c r="B222" s="690"/>
      <c r="C222" s="690"/>
      <c r="D222" s="252">
        <f>(IFERROR(SUMIF('מצבת והרשמה (2)'!$F$21:$F$501,'דוח ביצוע (3)'!$B222,'מצבת והרשמה (2)'!$J$21:$J$501),0))</f>
        <v>0</v>
      </c>
      <c r="E222" s="252">
        <f>IFERROR(SUMIF('מצבת והרשמה (2)'!$F$21:$F$501,'דוח ביצוע (3)'!$B222,'מצבת והרשמה (2)'!$K$21:$K$501),0)</f>
        <v>0</v>
      </c>
      <c r="F222" s="253">
        <f t="shared" si="66"/>
        <v>0</v>
      </c>
      <c r="G222" s="680"/>
      <c r="H222" s="680"/>
      <c r="I222" s="253">
        <f t="shared" si="59"/>
        <v>0</v>
      </c>
      <c r="J222" s="453">
        <f t="shared" si="67"/>
        <v>0</v>
      </c>
      <c r="K222" s="689"/>
      <c r="L222" s="689"/>
      <c r="M222" s="969">
        <f t="shared" si="68"/>
        <v>0</v>
      </c>
      <c r="N222" s="1029" t="str">
        <f t="shared" si="69"/>
        <v/>
      </c>
      <c r="O222" s="969" t="str">
        <f>IFERROR(VLOOKUP(B222,'נתוני רישום ומצבת'!B:Q,16,0),"")</f>
        <v/>
      </c>
      <c r="P222" s="969" t="str">
        <f>IFERROR(VLOOKUP(B222,'נתוני רישום ומצבת'!B:R,17,0),"")</f>
        <v/>
      </c>
      <c r="Q222" s="690"/>
      <c r="R222" s="1009"/>
      <c r="S222" s="376">
        <f t="shared" si="70"/>
        <v>0</v>
      </c>
      <c r="T222" s="376">
        <f t="shared" si="71"/>
        <v>0</v>
      </c>
      <c r="U222" s="386">
        <f t="shared" si="72"/>
        <v>0</v>
      </c>
      <c r="V222" s="513" t="str">
        <f t="shared" si="73"/>
        <v/>
      </c>
      <c r="W222" s="254" t="str">
        <f>IF(ISBLANK(B222)," ",IF(B222=IFERROR(VLOOKUP(B222,'מצבת והרשמה (2)'!F:F,1,0),0),"תקין","לא קיים במצבת כבית ספר בו מתקיימת פעילות"))</f>
        <v xml:space="preserve"> </v>
      </c>
      <c r="X222" s="256" t="str">
        <f t="shared" si="60"/>
        <v/>
      </c>
      <c r="Y222" s="256" t="str">
        <f t="shared" si="61"/>
        <v/>
      </c>
      <c r="Z222" s="741">
        <f t="shared" si="62"/>
        <v>0</v>
      </c>
      <c r="AA222" s="741">
        <f t="shared" si="63"/>
        <v>0</v>
      </c>
      <c r="AB222" s="741">
        <f t="shared" si="64"/>
        <v>0</v>
      </c>
      <c r="AC222" s="987">
        <f t="shared" si="74"/>
        <v>0</v>
      </c>
      <c r="AD222" s="987">
        <f t="shared" si="75"/>
        <v>0</v>
      </c>
      <c r="AE222" s="368" t="str">
        <f>IFERROR(VLOOKUP(B222,'[1]סיכום בקרת רשויות'!$A:$D,4,0),"")</f>
        <v/>
      </c>
      <c r="AF222" s="57" t="str">
        <f t="shared" si="76"/>
        <v/>
      </c>
      <c r="AG222" s="180">
        <f>IF(AF222="כן",M222*'גנים ובתי ספר- מבנה תקציב'!$H$59,0)</f>
        <v>0</v>
      </c>
      <c r="AH222" s="180">
        <f>IF(AF222="כן",M222*'גנים ובתי ספר- מבנה תקציב'!$I$59,0)</f>
        <v>0</v>
      </c>
      <c r="AI222" s="180">
        <f t="shared" si="77"/>
        <v>0</v>
      </c>
      <c r="AJ222" s="368" t="str">
        <f t="shared" si="65"/>
        <v/>
      </c>
    </row>
    <row r="223" spans="1:36" x14ac:dyDescent="0.25">
      <c r="A223" s="57">
        <v>203</v>
      </c>
      <c r="B223" s="690"/>
      <c r="C223" s="690"/>
      <c r="D223" s="252">
        <f>(IFERROR(SUMIF('מצבת והרשמה (2)'!$F$21:$F$501,'דוח ביצוע (3)'!$B223,'מצבת והרשמה (2)'!$J$21:$J$501),0))</f>
        <v>0</v>
      </c>
      <c r="E223" s="252">
        <f>IFERROR(SUMIF('מצבת והרשמה (2)'!$F$21:$F$501,'דוח ביצוע (3)'!$B223,'מצבת והרשמה (2)'!$K$21:$K$501),0)</f>
        <v>0</v>
      </c>
      <c r="F223" s="253">
        <f t="shared" si="66"/>
        <v>0</v>
      </c>
      <c r="G223" s="680"/>
      <c r="H223" s="680"/>
      <c r="I223" s="253">
        <f t="shared" si="59"/>
        <v>0</v>
      </c>
      <c r="J223" s="453">
        <f t="shared" si="67"/>
        <v>0</v>
      </c>
      <c r="K223" s="689"/>
      <c r="L223" s="689"/>
      <c r="M223" s="969">
        <f t="shared" si="68"/>
        <v>0</v>
      </c>
      <c r="N223" s="1029" t="str">
        <f t="shared" si="69"/>
        <v/>
      </c>
      <c r="O223" s="969" t="str">
        <f>IFERROR(VLOOKUP(B223,'נתוני רישום ומצבת'!B:Q,16,0),"")</f>
        <v/>
      </c>
      <c r="P223" s="969" t="str">
        <f>IFERROR(VLOOKUP(B223,'נתוני רישום ומצבת'!B:R,17,0),"")</f>
        <v/>
      </c>
      <c r="Q223" s="690"/>
      <c r="R223" s="1009"/>
      <c r="S223" s="376">
        <f t="shared" si="70"/>
        <v>0</v>
      </c>
      <c r="T223" s="376">
        <f t="shared" si="71"/>
        <v>0</v>
      </c>
      <c r="U223" s="386">
        <f t="shared" si="72"/>
        <v>0</v>
      </c>
      <c r="V223" s="513" t="str">
        <f t="shared" si="73"/>
        <v/>
      </c>
      <c r="W223" s="254" t="str">
        <f>IF(ISBLANK(B223)," ",IF(B223=IFERROR(VLOOKUP(B223,'מצבת והרשמה (2)'!F:F,1,0),0),"תקין","לא קיים במצבת כבית ספר בו מתקיימת פעילות"))</f>
        <v xml:space="preserve"> </v>
      </c>
      <c r="X223" s="256" t="str">
        <f t="shared" si="60"/>
        <v/>
      </c>
      <c r="Y223" s="256" t="str">
        <f t="shared" si="61"/>
        <v/>
      </c>
      <c r="Z223" s="741">
        <f t="shared" si="62"/>
        <v>0</v>
      </c>
      <c r="AA223" s="741">
        <f t="shared" si="63"/>
        <v>0</v>
      </c>
      <c r="AB223" s="741">
        <f t="shared" si="64"/>
        <v>0</v>
      </c>
      <c r="AC223" s="987">
        <f t="shared" si="74"/>
        <v>0</v>
      </c>
      <c r="AD223" s="987">
        <f t="shared" si="75"/>
        <v>0</v>
      </c>
      <c r="AE223" s="368" t="str">
        <f>IFERROR(VLOOKUP(B223,'[1]סיכום בקרת רשויות'!$A:$D,4,0),"")</f>
        <v/>
      </c>
      <c r="AF223" s="57" t="str">
        <f t="shared" si="76"/>
        <v/>
      </c>
      <c r="AG223" s="180">
        <f>IF(AF223="כן",M223*'גנים ובתי ספר- מבנה תקציב'!$H$59,0)</f>
        <v>0</v>
      </c>
      <c r="AH223" s="180">
        <f>IF(AF223="כן",M223*'גנים ובתי ספר- מבנה תקציב'!$I$59,0)</f>
        <v>0</v>
      </c>
      <c r="AI223" s="180">
        <f t="shared" si="77"/>
        <v>0</v>
      </c>
      <c r="AJ223" s="368" t="str">
        <f t="shared" si="65"/>
        <v/>
      </c>
    </row>
    <row r="224" spans="1:36" x14ac:dyDescent="0.25">
      <c r="A224" s="57">
        <v>204</v>
      </c>
      <c r="B224" s="690"/>
      <c r="C224" s="690"/>
      <c r="D224" s="252">
        <f>(IFERROR(SUMIF('מצבת והרשמה (2)'!$F$21:$F$501,'דוח ביצוע (3)'!$B224,'מצבת והרשמה (2)'!$J$21:$J$501),0))</f>
        <v>0</v>
      </c>
      <c r="E224" s="252">
        <f>IFERROR(SUMIF('מצבת והרשמה (2)'!$F$21:$F$501,'דוח ביצוע (3)'!$B224,'מצבת והרשמה (2)'!$K$21:$K$501),0)</f>
        <v>0</v>
      </c>
      <c r="F224" s="253">
        <f t="shared" si="66"/>
        <v>0</v>
      </c>
      <c r="G224" s="680"/>
      <c r="H224" s="680"/>
      <c r="I224" s="253">
        <f t="shared" si="59"/>
        <v>0</v>
      </c>
      <c r="J224" s="453">
        <f t="shared" si="67"/>
        <v>0</v>
      </c>
      <c r="K224" s="689"/>
      <c r="L224" s="689"/>
      <c r="M224" s="969">
        <f t="shared" si="68"/>
        <v>0</v>
      </c>
      <c r="N224" s="1029" t="str">
        <f t="shared" si="69"/>
        <v/>
      </c>
      <c r="O224" s="969" t="str">
        <f>IFERROR(VLOOKUP(B224,'נתוני רישום ומצבת'!B:Q,16,0),"")</f>
        <v/>
      </c>
      <c r="P224" s="969" t="str">
        <f>IFERROR(VLOOKUP(B224,'נתוני רישום ומצבת'!B:R,17,0),"")</f>
        <v/>
      </c>
      <c r="Q224" s="690"/>
      <c r="R224" s="1009"/>
      <c r="S224" s="376">
        <f t="shared" si="70"/>
        <v>0</v>
      </c>
      <c r="T224" s="376">
        <f t="shared" si="71"/>
        <v>0</v>
      </c>
      <c r="U224" s="386">
        <f t="shared" si="72"/>
        <v>0</v>
      </c>
      <c r="V224" s="513" t="str">
        <f t="shared" si="73"/>
        <v/>
      </c>
      <c r="W224" s="254" t="str">
        <f>IF(ISBLANK(B224)," ",IF(B224=IFERROR(VLOOKUP(B224,'מצבת והרשמה (2)'!F:F,1,0),0),"תקין","לא קיים במצבת כבית ספר בו מתקיימת פעילות"))</f>
        <v xml:space="preserve"> </v>
      </c>
      <c r="X224" s="256" t="str">
        <f t="shared" si="60"/>
        <v/>
      </c>
      <c r="Y224" s="256" t="str">
        <f t="shared" si="61"/>
        <v/>
      </c>
      <c r="Z224" s="741">
        <f t="shared" si="62"/>
        <v>0</v>
      </c>
      <c r="AA224" s="741">
        <f t="shared" si="63"/>
        <v>0</v>
      </c>
      <c r="AB224" s="741">
        <f t="shared" si="64"/>
        <v>0</v>
      </c>
      <c r="AC224" s="987">
        <f t="shared" si="74"/>
        <v>0</v>
      </c>
      <c r="AD224" s="987">
        <f t="shared" si="75"/>
        <v>0</v>
      </c>
      <c r="AE224" s="368" t="str">
        <f>IFERROR(VLOOKUP(B224,'[1]סיכום בקרת רשויות'!$A:$D,4,0),"")</f>
        <v/>
      </c>
      <c r="AF224" s="57" t="str">
        <f t="shared" si="76"/>
        <v/>
      </c>
      <c r="AG224" s="180">
        <f>IF(AF224="כן",M224*'גנים ובתי ספר- מבנה תקציב'!$H$59,0)</f>
        <v>0</v>
      </c>
      <c r="AH224" s="180">
        <f>IF(AF224="כן",M224*'גנים ובתי ספר- מבנה תקציב'!$I$59,0)</f>
        <v>0</v>
      </c>
      <c r="AI224" s="180">
        <f t="shared" si="77"/>
        <v>0</v>
      </c>
      <c r="AJ224" s="368" t="str">
        <f t="shared" si="65"/>
        <v/>
      </c>
    </row>
    <row r="225" spans="1:36" x14ac:dyDescent="0.25">
      <c r="A225" s="57">
        <v>205</v>
      </c>
      <c r="B225" s="690"/>
      <c r="C225" s="690"/>
      <c r="D225" s="252">
        <f>(IFERROR(SUMIF('מצבת והרשמה (2)'!$F$21:$F$501,'דוח ביצוע (3)'!$B225,'מצבת והרשמה (2)'!$J$21:$J$501),0))</f>
        <v>0</v>
      </c>
      <c r="E225" s="252">
        <f>IFERROR(SUMIF('מצבת והרשמה (2)'!$F$21:$F$501,'דוח ביצוע (3)'!$B225,'מצבת והרשמה (2)'!$K$21:$K$501),0)</f>
        <v>0</v>
      </c>
      <c r="F225" s="253">
        <f t="shared" si="66"/>
        <v>0</v>
      </c>
      <c r="G225" s="680"/>
      <c r="H225" s="680"/>
      <c r="I225" s="253">
        <f t="shared" si="59"/>
        <v>0</v>
      </c>
      <c r="J225" s="453">
        <f t="shared" si="67"/>
        <v>0</v>
      </c>
      <c r="K225" s="689"/>
      <c r="L225" s="689"/>
      <c r="M225" s="969">
        <f t="shared" si="68"/>
        <v>0</v>
      </c>
      <c r="N225" s="1029" t="str">
        <f t="shared" si="69"/>
        <v/>
      </c>
      <c r="O225" s="969" t="str">
        <f>IFERROR(VLOOKUP(B225,'נתוני רישום ומצבת'!B:Q,16,0),"")</f>
        <v/>
      </c>
      <c r="P225" s="969" t="str">
        <f>IFERROR(VLOOKUP(B225,'נתוני רישום ומצבת'!B:R,17,0),"")</f>
        <v/>
      </c>
      <c r="Q225" s="690"/>
      <c r="R225" s="1009"/>
      <c r="S225" s="376">
        <f t="shared" si="70"/>
        <v>0</v>
      </c>
      <c r="T225" s="376">
        <f t="shared" si="71"/>
        <v>0</v>
      </c>
      <c r="U225" s="386">
        <f t="shared" si="72"/>
        <v>0</v>
      </c>
      <c r="V225" s="513" t="str">
        <f t="shared" si="73"/>
        <v/>
      </c>
      <c r="W225" s="254" t="str">
        <f>IF(ISBLANK(B225)," ",IF(B225=IFERROR(VLOOKUP(B225,'מצבת והרשמה (2)'!F:F,1,0),0),"תקין","לא קיים במצבת כבית ספר בו מתקיימת פעילות"))</f>
        <v xml:space="preserve"> </v>
      </c>
      <c r="X225" s="256" t="str">
        <f t="shared" si="60"/>
        <v/>
      </c>
      <c r="Y225" s="256" t="str">
        <f t="shared" si="61"/>
        <v/>
      </c>
      <c r="Z225" s="741">
        <f t="shared" si="62"/>
        <v>0</v>
      </c>
      <c r="AA225" s="741">
        <f t="shared" si="63"/>
        <v>0</v>
      </c>
      <c r="AB225" s="741">
        <f t="shared" si="64"/>
        <v>0</v>
      </c>
      <c r="AC225" s="987">
        <f t="shared" si="74"/>
        <v>0</v>
      </c>
      <c r="AD225" s="987">
        <f t="shared" si="75"/>
        <v>0</v>
      </c>
      <c r="AE225" s="368" t="str">
        <f>IFERROR(VLOOKUP(B225,'[1]סיכום בקרת רשויות'!$A:$D,4,0),"")</f>
        <v/>
      </c>
      <c r="AF225" s="57" t="str">
        <f t="shared" si="76"/>
        <v/>
      </c>
      <c r="AG225" s="180">
        <f>IF(AF225="כן",M225*'גנים ובתי ספר- מבנה תקציב'!$H$59,0)</f>
        <v>0</v>
      </c>
      <c r="AH225" s="180">
        <f>IF(AF225="כן",M225*'גנים ובתי ספר- מבנה תקציב'!$I$59,0)</f>
        <v>0</v>
      </c>
      <c r="AI225" s="180">
        <f t="shared" si="77"/>
        <v>0</v>
      </c>
      <c r="AJ225" s="368" t="str">
        <f t="shared" si="65"/>
        <v/>
      </c>
    </row>
    <row r="226" spans="1:36" x14ac:dyDescent="0.25">
      <c r="A226" s="57">
        <v>206</v>
      </c>
      <c r="B226" s="690"/>
      <c r="C226" s="690"/>
      <c r="D226" s="252">
        <f>(IFERROR(SUMIF('מצבת והרשמה (2)'!$F$21:$F$501,'דוח ביצוע (3)'!$B226,'מצבת והרשמה (2)'!$J$21:$J$501),0))</f>
        <v>0</v>
      </c>
      <c r="E226" s="252">
        <f>IFERROR(SUMIF('מצבת והרשמה (2)'!$F$21:$F$501,'דוח ביצוע (3)'!$B226,'מצבת והרשמה (2)'!$K$21:$K$501),0)</f>
        <v>0</v>
      </c>
      <c r="F226" s="253">
        <f t="shared" si="66"/>
        <v>0</v>
      </c>
      <c r="G226" s="680"/>
      <c r="H226" s="680"/>
      <c r="I226" s="253">
        <f t="shared" si="59"/>
        <v>0</v>
      </c>
      <c r="J226" s="453">
        <f t="shared" si="67"/>
        <v>0</v>
      </c>
      <c r="K226" s="689"/>
      <c r="L226" s="689"/>
      <c r="M226" s="969">
        <f t="shared" si="68"/>
        <v>0</v>
      </c>
      <c r="N226" s="1029" t="str">
        <f t="shared" si="69"/>
        <v/>
      </c>
      <c r="O226" s="969" t="str">
        <f>IFERROR(VLOOKUP(B226,'נתוני רישום ומצבת'!B:Q,16,0),"")</f>
        <v/>
      </c>
      <c r="P226" s="969" t="str">
        <f>IFERROR(VLOOKUP(B226,'נתוני רישום ומצבת'!B:R,17,0),"")</f>
        <v/>
      </c>
      <c r="Q226" s="690"/>
      <c r="R226" s="1009"/>
      <c r="S226" s="376">
        <f t="shared" si="70"/>
        <v>0</v>
      </c>
      <c r="T226" s="376">
        <f t="shared" si="71"/>
        <v>0</v>
      </c>
      <c r="U226" s="386">
        <f t="shared" si="72"/>
        <v>0</v>
      </c>
      <c r="V226" s="513" t="str">
        <f t="shared" si="73"/>
        <v/>
      </c>
      <c r="W226" s="254" t="str">
        <f>IF(ISBLANK(B226)," ",IF(B226=IFERROR(VLOOKUP(B226,'מצבת והרשמה (2)'!F:F,1,0),0),"תקין","לא קיים במצבת כבית ספר בו מתקיימת פעילות"))</f>
        <v xml:space="preserve"> </v>
      </c>
      <c r="X226" s="256" t="str">
        <f t="shared" si="60"/>
        <v/>
      </c>
      <c r="Y226" s="256" t="str">
        <f t="shared" si="61"/>
        <v/>
      </c>
      <c r="Z226" s="741">
        <f t="shared" si="62"/>
        <v>0</v>
      </c>
      <c r="AA226" s="741">
        <f t="shared" si="63"/>
        <v>0</v>
      </c>
      <c r="AB226" s="741">
        <f t="shared" si="64"/>
        <v>0</v>
      </c>
      <c r="AC226" s="987">
        <f t="shared" si="74"/>
        <v>0</v>
      </c>
      <c r="AD226" s="987">
        <f t="shared" si="75"/>
        <v>0</v>
      </c>
      <c r="AE226" s="368" t="str">
        <f>IFERROR(VLOOKUP(B226,'[1]סיכום בקרת רשויות'!$A:$D,4,0),"")</f>
        <v/>
      </c>
      <c r="AF226" s="57" t="str">
        <f t="shared" si="76"/>
        <v/>
      </c>
      <c r="AG226" s="180">
        <f>IF(AF226="כן",M226*'גנים ובתי ספר- מבנה תקציב'!$H$59,0)</f>
        <v>0</v>
      </c>
      <c r="AH226" s="180">
        <f>IF(AF226="כן",M226*'גנים ובתי ספר- מבנה תקציב'!$I$59,0)</f>
        <v>0</v>
      </c>
      <c r="AI226" s="180">
        <f t="shared" si="77"/>
        <v>0</v>
      </c>
      <c r="AJ226" s="368" t="str">
        <f t="shared" si="65"/>
        <v/>
      </c>
    </row>
    <row r="227" spans="1:36" x14ac:dyDescent="0.25">
      <c r="A227" s="57">
        <v>207</v>
      </c>
      <c r="B227" s="690"/>
      <c r="C227" s="690"/>
      <c r="D227" s="252">
        <f>(IFERROR(SUMIF('מצבת והרשמה (2)'!$F$21:$F$501,'דוח ביצוע (3)'!$B227,'מצבת והרשמה (2)'!$J$21:$J$501),0))</f>
        <v>0</v>
      </c>
      <c r="E227" s="252">
        <f>IFERROR(SUMIF('מצבת והרשמה (2)'!$F$21:$F$501,'דוח ביצוע (3)'!$B227,'מצבת והרשמה (2)'!$K$21:$K$501),0)</f>
        <v>0</v>
      </c>
      <c r="F227" s="253">
        <f t="shared" si="66"/>
        <v>0</v>
      </c>
      <c r="G227" s="680"/>
      <c r="H227" s="680"/>
      <c r="I227" s="253">
        <f t="shared" si="59"/>
        <v>0</v>
      </c>
      <c r="J227" s="453">
        <f t="shared" si="67"/>
        <v>0</v>
      </c>
      <c r="K227" s="689"/>
      <c r="L227" s="689"/>
      <c r="M227" s="969">
        <f t="shared" si="68"/>
        <v>0</v>
      </c>
      <c r="N227" s="1029" t="str">
        <f t="shared" si="69"/>
        <v/>
      </c>
      <c r="O227" s="969" t="str">
        <f>IFERROR(VLOOKUP(B227,'נתוני רישום ומצבת'!B:Q,16,0),"")</f>
        <v/>
      </c>
      <c r="P227" s="969" t="str">
        <f>IFERROR(VLOOKUP(B227,'נתוני רישום ומצבת'!B:R,17,0),"")</f>
        <v/>
      </c>
      <c r="Q227" s="690"/>
      <c r="R227" s="1009"/>
      <c r="S227" s="376">
        <f t="shared" si="70"/>
        <v>0</v>
      </c>
      <c r="T227" s="376">
        <f t="shared" si="71"/>
        <v>0</v>
      </c>
      <c r="U227" s="386">
        <f t="shared" si="72"/>
        <v>0</v>
      </c>
      <c r="V227" s="513" t="str">
        <f t="shared" si="73"/>
        <v/>
      </c>
      <c r="W227" s="254" t="str">
        <f>IF(ISBLANK(B227)," ",IF(B227=IFERROR(VLOOKUP(B227,'מצבת והרשמה (2)'!F:F,1,0),0),"תקין","לא קיים במצבת כבית ספר בו מתקיימת פעילות"))</f>
        <v xml:space="preserve"> </v>
      </c>
      <c r="X227" s="256" t="str">
        <f t="shared" si="60"/>
        <v/>
      </c>
      <c r="Y227" s="256" t="str">
        <f t="shared" si="61"/>
        <v/>
      </c>
      <c r="Z227" s="741">
        <f t="shared" si="62"/>
        <v>0</v>
      </c>
      <c r="AA227" s="741">
        <f t="shared" si="63"/>
        <v>0</v>
      </c>
      <c r="AB227" s="741">
        <f t="shared" si="64"/>
        <v>0</v>
      </c>
      <c r="AC227" s="987">
        <f t="shared" si="74"/>
        <v>0</v>
      </c>
      <c r="AD227" s="987">
        <f t="shared" si="75"/>
        <v>0</v>
      </c>
      <c r="AE227" s="368" t="str">
        <f>IFERROR(VLOOKUP(B227,'[1]סיכום בקרת רשויות'!$A:$D,4,0),"")</f>
        <v/>
      </c>
      <c r="AF227" s="57" t="str">
        <f t="shared" si="76"/>
        <v/>
      </c>
      <c r="AG227" s="180">
        <f>IF(AF227="כן",M227*'גנים ובתי ספר- מבנה תקציב'!$H$59,0)</f>
        <v>0</v>
      </c>
      <c r="AH227" s="180">
        <f>IF(AF227="כן",M227*'גנים ובתי ספר- מבנה תקציב'!$I$59,0)</f>
        <v>0</v>
      </c>
      <c r="AI227" s="180">
        <f t="shared" si="77"/>
        <v>0</v>
      </c>
      <c r="AJ227" s="368" t="str">
        <f t="shared" si="65"/>
        <v/>
      </c>
    </row>
    <row r="228" spans="1:36" x14ac:dyDescent="0.25">
      <c r="A228" s="57">
        <v>208</v>
      </c>
      <c r="B228" s="690"/>
      <c r="C228" s="690"/>
      <c r="D228" s="252">
        <f>(IFERROR(SUMIF('מצבת והרשמה (2)'!$F$21:$F$501,'דוח ביצוע (3)'!$B228,'מצבת והרשמה (2)'!$J$21:$J$501),0))</f>
        <v>0</v>
      </c>
      <c r="E228" s="252">
        <f>IFERROR(SUMIF('מצבת והרשמה (2)'!$F$21:$F$501,'דוח ביצוע (3)'!$B228,'מצבת והרשמה (2)'!$K$21:$K$501),0)</f>
        <v>0</v>
      </c>
      <c r="F228" s="253">
        <f t="shared" si="66"/>
        <v>0</v>
      </c>
      <c r="G228" s="680"/>
      <c r="H228" s="680"/>
      <c r="I228" s="253">
        <f t="shared" si="59"/>
        <v>0</v>
      </c>
      <c r="J228" s="453">
        <f t="shared" si="67"/>
        <v>0</v>
      </c>
      <c r="K228" s="689"/>
      <c r="L228" s="689"/>
      <c r="M228" s="969">
        <f t="shared" si="68"/>
        <v>0</v>
      </c>
      <c r="N228" s="1029" t="str">
        <f t="shared" si="69"/>
        <v/>
      </c>
      <c r="O228" s="969" t="str">
        <f>IFERROR(VLOOKUP(B228,'נתוני רישום ומצבת'!B:Q,16,0),"")</f>
        <v/>
      </c>
      <c r="P228" s="969" t="str">
        <f>IFERROR(VLOOKUP(B228,'נתוני רישום ומצבת'!B:R,17,0),"")</f>
        <v/>
      </c>
      <c r="Q228" s="690"/>
      <c r="R228" s="1009"/>
      <c r="S228" s="376">
        <f t="shared" si="70"/>
        <v>0</v>
      </c>
      <c r="T228" s="376">
        <f t="shared" si="71"/>
        <v>0</v>
      </c>
      <c r="U228" s="386">
        <f t="shared" si="72"/>
        <v>0</v>
      </c>
      <c r="V228" s="513" t="str">
        <f t="shared" si="73"/>
        <v/>
      </c>
      <c r="W228" s="254" t="str">
        <f>IF(ISBLANK(B228)," ",IF(B228=IFERROR(VLOOKUP(B228,'מצבת והרשמה (2)'!F:F,1,0),0),"תקין","לא קיים במצבת כבית ספר בו מתקיימת פעילות"))</f>
        <v xml:space="preserve"> </v>
      </c>
      <c r="X228" s="256" t="str">
        <f t="shared" si="60"/>
        <v/>
      </c>
      <c r="Y228" s="256" t="str">
        <f t="shared" si="61"/>
        <v/>
      </c>
      <c r="Z228" s="741">
        <f t="shared" si="62"/>
        <v>0</v>
      </c>
      <c r="AA228" s="741">
        <f t="shared" si="63"/>
        <v>0</v>
      </c>
      <c r="AB228" s="741">
        <f t="shared" si="64"/>
        <v>0</v>
      </c>
      <c r="AC228" s="987">
        <f t="shared" si="74"/>
        <v>0</v>
      </c>
      <c r="AD228" s="987">
        <f t="shared" si="75"/>
        <v>0</v>
      </c>
      <c r="AE228" s="368" t="str">
        <f>IFERROR(VLOOKUP(B228,'[1]סיכום בקרת רשויות'!$A:$D,4,0),"")</f>
        <v/>
      </c>
      <c r="AF228" s="57" t="str">
        <f t="shared" si="76"/>
        <v/>
      </c>
      <c r="AG228" s="180">
        <f>IF(AF228="כן",M228*'גנים ובתי ספר- מבנה תקציב'!$H$59,0)</f>
        <v>0</v>
      </c>
      <c r="AH228" s="180">
        <f>IF(AF228="כן",M228*'גנים ובתי ספר- מבנה תקציב'!$I$59,0)</f>
        <v>0</v>
      </c>
      <c r="AI228" s="180">
        <f t="shared" si="77"/>
        <v>0</v>
      </c>
      <c r="AJ228" s="368" t="str">
        <f t="shared" si="65"/>
        <v/>
      </c>
    </row>
    <row r="229" spans="1:36" x14ac:dyDescent="0.25">
      <c r="A229" s="57">
        <v>209</v>
      </c>
      <c r="B229" s="690"/>
      <c r="C229" s="690"/>
      <c r="D229" s="252">
        <f>(IFERROR(SUMIF('מצבת והרשמה (2)'!$F$21:$F$501,'דוח ביצוע (3)'!$B229,'מצבת והרשמה (2)'!$J$21:$J$501),0))</f>
        <v>0</v>
      </c>
      <c r="E229" s="252">
        <f>IFERROR(SUMIF('מצבת והרשמה (2)'!$F$21:$F$501,'דוח ביצוע (3)'!$B229,'מצבת והרשמה (2)'!$K$21:$K$501),0)</f>
        <v>0</v>
      </c>
      <c r="F229" s="253">
        <f t="shared" si="66"/>
        <v>0</v>
      </c>
      <c r="G229" s="680"/>
      <c r="H229" s="680"/>
      <c r="I229" s="253">
        <f t="shared" si="59"/>
        <v>0</v>
      </c>
      <c r="J229" s="453">
        <f t="shared" si="67"/>
        <v>0</v>
      </c>
      <c r="K229" s="689"/>
      <c r="L229" s="689"/>
      <c r="M229" s="969">
        <f t="shared" si="68"/>
        <v>0</v>
      </c>
      <c r="N229" s="1029" t="str">
        <f t="shared" si="69"/>
        <v/>
      </c>
      <c r="O229" s="969" t="str">
        <f>IFERROR(VLOOKUP(B229,'נתוני רישום ומצבת'!B:Q,16,0),"")</f>
        <v/>
      </c>
      <c r="P229" s="969" t="str">
        <f>IFERROR(VLOOKUP(B229,'נתוני רישום ומצבת'!B:R,17,0),"")</f>
        <v/>
      </c>
      <c r="Q229" s="690"/>
      <c r="R229" s="1009"/>
      <c r="S229" s="376">
        <f t="shared" si="70"/>
        <v>0</v>
      </c>
      <c r="T229" s="376">
        <f t="shared" si="71"/>
        <v>0</v>
      </c>
      <c r="U229" s="386">
        <f t="shared" si="72"/>
        <v>0</v>
      </c>
      <c r="V229" s="513" t="str">
        <f t="shared" si="73"/>
        <v/>
      </c>
      <c r="W229" s="254" t="str">
        <f>IF(ISBLANK(B229)," ",IF(B229=IFERROR(VLOOKUP(B229,'מצבת והרשמה (2)'!F:F,1,0),0),"תקין","לא קיים במצבת כבית ספר בו מתקיימת פעילות"))</f>
        <v xml:space="preserve"> </v>
      </c>
      <c r="X229" s="256" t="str">
        <f t="shared" si="60"/>
        <v/>
      </c>
      <c r="Y229" s="256" t="str">
        <f t="shared" si="61"/>
        <v/>
      </c>
      <c r="Z229" s="741">
        <f t="shared" si="62"/>
        <v>0</v>
      </c>
      <c r="AA229" s="741">
        <f t="shared" si="63"/>
        <v>0</v>
      </c>
      <c r="AB229" s="741">
        <f t="shared" si="64"/>
        <v>0</v>
      </c>
      <c r="AC229" s="987">
        <f t="shared" si="74"/>
        <v>0</v>
      </c>
      <c r="AD229" s="987">
        <f t="shared" si="75"/>
        <v>0</v>
      </c>
      <c r="AE229" s="368" t="str">
        <f>IFERROR(VLOOKUP(B229,'[1]סיכום בקרת רשויות'!$A:$D,4,0),"")</f>
        <v/>
      </c>
      <c r="AF229" s="57" t="str">
        <f t="shared" si="76"/>
        <v/>
      </c>
      <c r="AG229" s="180">
        <f>IF(AF229="כן",M229*'גנים ובתי ספר- מבנה תקציב'!$H$59,0)</f>
        <v>0</v>
      </c>
      <c r="AH229" s="180">
        <f>IF(AF229="כן",M229*'גנים ובתי ספר- מבנה תקציב'!$I$59,0)</f>
        <v>0</v>
      </c>
      <c r="AI229" s="180">
        <f t="shared" si="77"/>
        <v>0</v>
      </c>
      <c r="AJ229" s="368" t="str">
        <f t="shared" si="65"/>
        <v/>
      </c>
    </row>
    <row r="230" spans="1:36" x14ac:dyDescent="0.25">
      <c r="A230" s="57">
        <v>210</v>
      </c>
      <c r="B230" s="690"/>
      <c r="C230" s="690"/>
      <c r="D230" s="252">
        <f>(IFERROR(SUMIF('מצבת והרשמה (2)'!$F$21:$F$501,'דוח ביצוע (3)'!$B230,'מצבת והרשמה (2)'!$J$21:$J$501),0))</f>
        <v>0</v>
      </c>
      <c r="E230" s="252">
        <f>IFERROR(SUMIF('מצבת והרשמה (2)'!$F$21:$F$501,'דוח ביצוע (3)'!$B230,'מצבת והרשמה (2)'!$K$21:$K$501),0)</f>
        <v>0</v>
      </c>
      <c r="F230" s="253">
        <f t="shared" si="66"/>
        <v>0</v>
      </c>
      <c r="G230" s="680"/>
      <c r="H230" s="680"/>
      <c r="I230" s="253">
        <f t="shared" si="59"/>
        <v>0</v>
      </c>
      <c r="J230" s="453">
        <f t="shared" si="67"/>
        <v>0</v>
      </c>
      <c r="K230" s="689"/>
      <c r="L230" s="689"/>
      <c r="M230" s="969">
        <f t="shared" si="68"/>
        <v>0</v>
      </c>
      <c r="N230" s="1029" t="str">
        <f t="shared" si="69"/>
        <v/>
      </c>
      <c r="O230" s="969" t="str">
        <f>IFERROR(VLOOKUP(B230,'נתוני רישום ומצבת'!B:Q,16,0),"")</f>
        <v/>
      </c>
      <c r="P230" s="969" t="str">
        <f>IFERROR(VLOOKUP(B230,'נתוני רישום ומצבת'!B:R,17,0),"")</f>
        <v/>
      </c>
      <c r="Q230" s="690"/>
      <c r="R230" s="1009"/>
      <c r="S230" s="376">
        <f t="shared" si="70"/>
        <v>0</v>
      </c>
      <c r="T230" s="376">
        <f t="shared" si="71"/>
        <v>0</v>
      </c>
      <c r="U230" s="386">
        <f t="shared" si="72"/>
        <v>0</v>
      </c>
      <c r="V230" s="513" t="str">
        <f t="shared" si="73"/>
        <v/>
      </c>
      <c r="W230" s="254" t="str">
        <f>IF(ISBLANK(B230)," ",IF(B230=IFERROR(VLOOKUP(B230,'מצבת והרשמה (2)'!F:F,1,0),0),"תקין","לא קיים במצבת כבית ספר בו מתקיימת פעילות"))</f>
        <v xml:space="preserve"> </v>
      </c>
      <c r="X230" s="256" t="str">
        <f t="shared" si="60"/>
        <v/>
      </c>
      <c r="Y230" s="256" t="str">
        <f t="shared" si="61"/>
        <v/>
      </c>
      <c r="Z230" s="741">
        <f t="shared" si="62"/>
        <v>0</v>
      </c>
      <c r="AA230" s="741">
        <f t="shared" si="63"/>
        <v>0</v>
      </c>
      <c r="AB230" s="741">
        <f t="shared" si="64"/>
        <v>0</v>
      </c>
      <c r="AC230" s="987">
        <f t="shared" si="74"/>
        <v>0</v>
      </c>
      <c r="AD230" s="987">
        <f t="shared" si="75"/>
        <v>0</v>
      </c>
      <c r="AE230" s="368" t="str">
        <f>IFERROR(VLOOKUP(B230,'[1]סיכום בקרת רשויות'!$A:$D,4,0),"")</f>
        <v/>
      </c>
      <c r="AF230" s="57" t="str">
        <f t="shared" si="76"/>
        <v/>
      </c>
      <c r="AG230" s="180">
        <f>IF(AF230="כן",M230*'גנים ובתי ספר- מבנה תקציב'!$H$59,0)</f>
        <v>0</v>
      </c>
      <c r="AH230" s="180">
        <f>IF(AF230="כן",M230*'גנים ובתי ספר- מבנה תקציב'!$I$59,0)</f>
        <v>0</v>
      </c>
      <c r="AI230" s="180">
        <f t="shared" si="77"/>
        <v>0</v>
      </c>
      <c r="AJ230" s="368" t="str">
        <f t="shared" si="65"/>
        <v/>
      </c>
    </row>
    <row r="231" spans="1:36" x14ac:dyDescent="0.25">
      <c r="A231" s="57">
        <v>211</v>
      </c>
      <c r="B231" s="690"/>
      <c r="C231" s="690"/>
      <c r="D231" s="252">
        <f>(IFERROR(SUMIF('מצבת והרשמה (2)'!$F$21:$F$501,'דוח ביצוע (3)'!$B231,'מצבת והרשמה (2)'!$J$21:$J$501),0))</f>
        <v>0</v>
      </c>
      <c r="E231" s="252">
        <f>IFERROR(SUMIF('מצבת והרשמה (2)'!$F$21:$F$501,'דוח ביצוע (3)'!$B231,'מצבת והרשמה (2)'!$K$21:$K$501),0)</f>
        <v>0</v>
      </c>
      <c r="F231" s="253">
        <f t="shared" si="66"/>
        <v>0</v>
      </c>
      <c r="G231" s="680"/>
      <c r="H231" s="680"/>
      <c r="I231" s="253">
        <f t="shared" si="59"/>
        <v>0</v>
      </c>
      <c r="J231" s="453">
        <f t="shared" si="67"/>
        <v>0</v>
      </c>
      <c r="K231" s="689"/>
      <c r="L231" s="689"/>
      <c r="M231" s="969">
        <f t="shared" si="68"/>
        <v>0</v>
      </c>
      <c r="N231" s="1029" t="str">
        <f t="shared" si="69"/>
        <v/>
      </c>
      <c r="O231" s="969" t="str">
        <f>IFERROR(VLOOKUP(B231,'נתוני רישום ומצבת'!B:Q,16,0),"")</f>
        <v/>
      </c>
      <c r="P231" s="969" t="str">
        <f>IFERROR(VLOOKUP(B231,'נתוני רישום ומצבת'!B:R,17,0),"")</f>
        <v/>
      </c>
      <c r="Q231" s="690"/>
      <c r="R231" s="1009"/>
      <c r="S231" s="376">
        <f t="shared" si="70"/>
        <v>0</v>
      </c>
      <c r="T231" s="376">
        <f t="shared" si="71"/>
        <v>0</v>
      </c>
      <c r="U231" s="386">
        <f t="shared" si="72"/>
        <v>0</v>
      </c>
      <c r="V231" s="513" t="str">
        <f t="shared" si="73"/>
        <v/>
      </c>
      <c r="W231" s="254" t="str">
        <f>IF(ISBLANK(B231)," ",IF(B231=IFERROR(VLOOKUP(B231,'מצבת והרשמה (2)'!F:F,1,0),0),"תקין","לא קיים במצבת כבית ספר בו מתקיימת פעילות"))</f>
        <v xml:space="preserve"> </v>
      </c>
      <c r="X231" s="256" t="str">
        <f t="shared" si="60"/>
        <v/>
      </c>
      <c r="Y231" s="256" t="str">
        <f t="shared" si="61"/>
        <v/>
      </c>
      <c r="Z231" s="741">
        <f t="shared" si="62"/>
        <v>0</v>
      </c>
      <c r="AA231" s="741">
        <f t="shared" si="63"/>
        <v>0</v>
      </c>
      <c r="AB231" s="741">
        <f t="shared" si="64"/>
        <v>0</v>
      </c>
      <c r="AC231" s="987">
        <f t="shared" si="74"/>
        <v>0</v>
      </c>
      <c r="AD231" s="987">
        <f t="shared" si="75"/>
        <v>0</v>
      </c>
      <c r="AE231" s="368" t="str">
        <f>IFERROR(VLOOKUP(B231,'[1]סיכום בקרת רשויות'!$A:$D,4,0),"")</f>
        <v/>
      </c>
      <c r="AF231" s="57" t="str">
        <f t="shared" si="76"/>
        <v/>
      </c>
      <c r="AG231" s="180">
        <f>IF(AF231="כן",M231*'גנים ובתי ספר- מבנה תקציב'!$H$59,0)</f>
        <v>0</v>
      </c>
      <c r="AH231" s="180">
        <f>IF(AF231="כן",M231*'גנים ובתי ספר- מבנה תקציב'!$I$59,0)</f>
        <v>0</v>
      </c>
      <c r="AI231" s="180">
        <f t="shared" si="77"/>
        <v>0</v>
      </c>
      <c r="AJ231" s="368" t="str">
        <f t="shared" si="65"/>
        <v/>
      </c>
    </row>
    <row r="232" spans="1:36" x14ac:dyDescent="0.25">
      <c r="A232" s="57">
        <v>212</v>
      </c>
      <c r="B232" s="690"/>
      <c r="C232" s="690"/>
      <c r="D232" s="252">
        <f>(IFERROR(SUMIF('מצבת והרשמה (2)'!$F$21:$F$501,'דוח ביצוע (3)'!$B232,'מצבת והרשמה (2)'!$J$21:$J$501),0))</f>
        <v>0</v>
      </c>
      <c r="E232" s="252">
        <f>IFERROR(SUMIF('מצבת והרשמה (2)'!$F$21:$F$501,'דוח ביצוע (3)'!$B232,'מצבת והרשמה (2)'!$K$21:$K$501),0)</f>
        <v>0</v>
      </c>
      <c r="F232" s="253">
        <f t="shared" si="66"/>
        <v>0</v>
      </c>
      <c r="G232" s="680"/>
      <c r="H232" s="680"/>
      <c r="I232" s="253">
        <f t="shared" si="59"/>
        <v>0</v>
      </c>
      <c r="J232" s="453">
        <f t="shared" si="67"/>
        <v>0</v>
      </c>
      <c r="K232" s="689"/>
      <c r="L232" s="689"/>
      <c r="M232" s="969">
        <f t="shared" si="68"/>
        <v>0</v>
      </c>
      <c r="N232" s="1029" t="str">
        <f t="shared" si="69"/>
        <v/>
      </c>
      <c r="O232" s="969" t="str">
        <f>IFERROR(VLOOKUP(B232,'נתוני רישום ומצבת'!B:Q,16,0),"")</f>
        <v/>
      </c>
      <c r="P232" s="969" t="str">
        <f>IFERROR(VLOOKUP(B232,'נתוני רישום ומצבת'!B:R,17,0),"")</f>
        <v/>
      </c>
      <c r="Q232" s="690"/>
      <c r="R232" s="1009"/>
      <c r="S232" s="376">
        <f t="shared" si="70"/>
        <v>0</v>
      </c>
      <c r="T232" s="376">
        <f t="shared" si="71"/>
        <v>0</v>
      </c>
      <c r="U232" s="386">
        <f t="shared" si="72"/>
        <v>0</v>
      </c>
      <c r="V232" s="513" t="str">
        <f t="shared" si="73"/>
        <v/>
      </c>
      <c r="W232" s="254" t="str">
        <f>IF(ISBLANK(B232)," ",IF(B232=IFERROR(VLOOKUP(B232,'מצבת והרשמה (2)'!F:F,1,0),0),"תקין","לא קיים במצבת כבית ספר בו מתקיימת פעילות"))</f>
        <v xml:space="preserve"> </v>
      </c>
      <c r="X232" s="256" t="str">
        <f t="shared" si="60"/>
        <v/>
      </c>
      <c r="Y232" s="256" t="str">
        <f t="shared" si="61"/>
        <v/>
      </c>
      <c r="Z232" s="741">
        <f t="shared" si="62"/>
        <v>0</v>
      </c>
      <c r="AA232" s="741">
        <f t="shared" si="63"/>
        <v>0</v>
      </c>
      <c r="AB232" s="741">
        <f t="shared" si="64"/>
        <v>0</v>
      </c>
      <c r="AC232" s="987">
        <f t="shared" si="74"/>
        <v>0</v>
      </c>
      <c r="AD232" s="987">
        <f t="shared" si="75"/>
        <v>0</v>
      </c>
      <c r="AE232" s="368" t="str">
        <f>IFERROR(VLOOKUP(B232,'[1]סיכום בקרת רשויות'!$A:$D,4,0),"")</f>
        <v/>
      </c>
      <c r="AF232" s="57" t="str">
        <f t="shared" si="76"/>
        <v/>
      </c>
      <c r="AG232" s="180">
        <f>IF(AF232="כן",M232*'גנים ובתי ספר- מבנה תקציב'!$H$59,0)</f>
        <v>0</v>
      </c>
      <c r="AH232" s="180">
        <f>IF(AF232="כן",M232*'גנים ובתי ספר- מבנה תקציב'!$I$59,0)</f>
        <v>0</v>
      </c>
      <c r="AI232" s="180">
        <f t="shared" si="77"/>
        <v>0</v>
      </c>
      <c r="AJ232" s="368" t="str">
        <f t="shared" si="65"/>
        <v/>
      </c>
    </row>
    <row r="233" spans="1:36" x14ac:dyDescent="0.25">
      <c r="A233" s="57">
        <v>213</v>
      </c>
      <c r="B233" s="690"/>
      <c r="C233" s="690"/>
      <c r="D233" s="252">
        <f>(IFERROR(SUMIF('מצבת והרשמה (2)'!$F$21:$F$501,'דוח ביצוע (3)'!$B233,'מצבת והרשמה (2)'!$J$21:$J$501),0))</f>
        <v>0</v>
      </c>
      <c r="E233" s="252">
        <f>IFERROR(SUMIF('מצבת והרשמה (2)'!$F$21:$F$501,'דוח ביצוע (3)'!$B233,'מצבת והרשמה (2)'!$K$21:$K$501),0)</f>
        <v>0</v>
      </c>
      <c r="F233" s="253">
        <f t="shared" si="66"/>
        <v>0</v>
      </c>
      <c r="G233" s="680"/>
      <c r="H233" s="680"/>
      <c r="I233" s="253">
        <f t="shared" si="59"/>
        <v>0</v>
      </c>
      <c r="J233" s="453">
        <f t="shared" si="67"/>
        <v>0</v>
      </c>
      <c r="K233" s="689"/>
      <c r="L233" s="689"/>
      <c r="M233" s="969">
        <f t="shared" si="68"/>
        <v>0</v>
      </c>
      <c r="N233" s="1029" t="str">
        <f t="shared" si="69"/>
        <v/>
      </c>
      <c r="O233" s="969" t="str">
        <f>IFERROR(VLOOKUP(B233,'נתוני רישום ומצבת'!B:Q,16,0),"")</f>
        <v/>
      </c>
      <c r="P233" s="969" t="str">
        <f>IFERROR(VLOOKUP(B233,'נתוני רישום ומצבת'!B:R,17,0),"")</f>
        <v/>
      </c>
      <c r="Q233" s="690"/>
      <c r="R233" s="1009"/>
      <c r="S233" s="376">
        <f t="shared" si="70"/>
        <v>0</v>
      </c>
      <c r="T233" s="376">
        <f t="shared" si="71"/>
        <v>0</v>
      </c>
      <c r="U233" s="386">
        <f t="shared" si="72"/>
        <v>0</v>
      </c>
      <c r="V233" s="513" t="str">
        <f t="shared" si="73"/>
        <v/>
      </c>
      <c r="W233" s="254" t="str">
        <f>IF(ISBLANK(B233)," ",IF(B233=IFERROR(VLOOKUP(B233,'מצבת והרשמה (2)'!F:F,1,0),0),"תקין","לא קיים במצבת כבית ספר בו מתקיימת פעילות"))</f>
        <v xml:space="preserve"> </v>
      </c>
      <c r="X233" s="256" t="str">
        <f t="shared" si="60"/>
        <v/>
      </c>
      <c r="Y233" s="256" t="str">
        <f t="shared" si="61"/>
        <v/>
      </c>
      <c r="Z233" s="741">
        <f t="shared" si="62"/>
        <v>0</v>
      </c>
      <c r="AA233" s="741">
        <f t="shared" si="63"/>
        <v>0</v>
      </c>
      <c r="AB233" s="741">
        <f t="shared" si="64"/>
        <v>0</v>
      </c>
      <c r="AC233" s="987">
        <f t="shared" si="74"/>
        <v>0</v>
      </c>
      <c r="AD233" s="987">
        <f t="shared" si="75"/>
        <v>0</v>
      </c>
      <c r="AE233" s="368" t="str">
        <f>IFERROR(VLOOKUP(B233,'[1]סיכום בקרת רשויות'!$A:$D,4,0),"")</f>
        <v/>
      </c>
      <c r="AF233" s="57" t="str">
        <f t="shared" si="76"/>
        <v/>
      </c>
      <c r="AG233" s="180">
        <f>IF(AF233="כן",M233*'גנים ובתי ספר- מבנה תקציב'!$H$59,0)</f>
        <v>0</v>
      </c>
      <c r="AH233" s="180">
        <f>IF(AF233="כן",M233*'גנים ובתי ספר- מבנה תקציב'!$I$59,0)</f>
        <v>0</v>
      </c>
      <c r="AI233" s="180">
        <f t="shared" si="77"/>
        <v>0</v>
      </c>
      <c r="AJ233" s="368" t="str">
        <f t="shared" si="65"/>
        <v/>
      </c>
    </row>
    <row r="234" spans="1:36" x14ac:dyDescent="0.25">
      <c r="A234" s="57">
        <v>214</v>
      </c>
      <c r="B234" s="690"/>
      <c r="C234" s="690"/>
      <c r="D234" s="252">
        <f>(IFERROR(SUMIF('מצבת והרשמה (2)'!$F$21:$F$501,'דוח ביצוע (3)'!$B234,'מצבת והרשמה (2)'!$J$21:$J$501),0))</f>
        <v>0</v>
      </c>
      <c r="E234" s="252">
        <f>IFERROR(SUMIF('מצבת והרשמה (2)'!$F$21:$F$501,'דוח ביצוע (3)'!$B234,'מצבת והרשמה (2)'!$K$21:$K$501),0)</f>
        <v>0</v>
      </c>
      <c r="F234" s="253">
        <f t="shared" si="66"/>
        <v>0</v>
      </c>
      <c r="G234" s="680"/>
      <c r="H234" s="680"/>
      <c r="I234" s="253">
        <f t="shared" si="59"/>
        <v>0</v>
      </c>
      <c r="J234" s="453">
        <f t="shared" si="67"/>
        <v>0</v>
      </c>
      <c r="K234" s="689"/>
      <c r="L234" s="689"/>
      <c r="M234" s="969">
        <f t="shared" si="68"/>
        <v>0</v>
      </c>
      <c r="N234" s="1029" t="str">
        <f t="shared" si="69"/>
        <v/>
      </c>
      <c r="O234" s="969" t="str">
        <f>IFERROR(VLOOKUP(B234,'נתוני רישום ומצבת'!B:Q,16,0),"")</f>
        <v/>
      </c>
      <c r="P234" s="969" t="str">
        <f>IFERROR(VLOOKUP(B234,'נתוני רישום ומצבת'!B:R,17,0),"")</f>
        <v/>
      </c>
      <c r="Q234" s="690"/>
      <c r="R234" s="1009"/>
      <c r="S234" s="376">
        <f t="shared" si="70"/>
        <v>0</v>
      </c>
      <c r="T234" s="376">
        <f t="shared" si="71"/>
        <v>0</v>
      </c>
      <c r="U234" s="386">
        <f t="shared" si="72"/>
        <v>0</v>
      </c>
      <c r="V234" s="513" t="str">
        <f t="shared" si="73"/>
        <v/>
      </c>
      <c r="W234" s="254" t="str">
        <f>IF(ISBLANK(B234)," ",IF(B234=IFERROR(VLOOKUP(B234,'מצבת והרשמה (2)'!F:F,1,0),0),"תקין","לא קיים במצבת כבית ספר בו מתקיימת פעילות"))</f>
        <v xml:space="preserve"> </v>
      </c>
      <c r="X234" s="256" t="str">
        <f t="shared" si="60"/>
        <v/>
      </c>
      <c r="Y234" s="256" t="str">
        <f t="shared" si="61"/>
        <v/>
      </c>
      <c r="Z234" s="741">
        <f t="shared" si="62"/>
        <v>0</v>
      </c>
      <c r="AA234" s="741">
        <f t="shared" si="63"/>
        <v>0</v>
      </c>
      <c r="AB234" s="741">
        <f t="shared" si="64"/>
        <v>0</v>
      </c>
      <c r="AC234" s="987">
        <f t="shared" si="74"/>
        <v>0</v>
      </c>
      <c r="AD234" s="987">
        <f t="shared" si="75"/>
        <v>0</v>
      </c>
      <c r="AE234" s="368" t="str">
        <f>IFERROR(VLOOKUP(B234,'[1]סיכום בקרת רשויות'!$A:$D,4,0),"")</f>
        <v/>
      </c>
      <c r="AF234" s="57" t="str">
        <f t="shared" si="76"/>
        <v/>
      </c>
      <c r="AG234" s="180">
        <f>IF(AF234="כן",M234*'גנים ובתי ספר- מבנה תקציב'!$H$59,0)</f>
        <v>0</v>
      </c>
      <c r="AH234" s="180">
        <f>IF(AF234="כן",M234*'גנים ובתי ספר- מבנה תקציב'!$I$59,0)</f>
        <v>0</v>
      </c>
      <c r="AI234" s="180">
        <f t="shared" si="77"/>
        <v>0</v>
      </c>
      <c r="AJ234" s="368" t="str">
        <f t="shared" si="65"/>
        <v/>
      </c>
    </row>
    <row r="235" spans="1:36" x14ac:dyDescent="0.25">
      <c r="A235" s="57">
        <v>215</v>
      </c>
      <c r="B235" s="690"/>
      <c r="C235" s="690"/>
      <c r="D235" s="252">
        <f>(IFERROR(SUMIF('מצבת והרשמה (2)'!$F$21:$F$501,'דוח ביצוע (3)'!$B235,'מצבת והרשמה (2)'!$J$21:$J$501),0))</f>
        <v>0</v>
      </c>
      <c r="E235" s="252">
        <f>IFERROR(SUMIF('מצבת והרשמה (2)'!$F$21:$F$501,'דוח ביצוע (3)'!$B235,'מצבת והרשמה (2)'!$K$21:$K$501),0)</f>
        <v>0</v>
      </c>
      <c r="F235" s="253">
        <f t="shared" si="66"/>
        <v>0</v>
      </c>
      <c r="G235" s="680"/>
      <c r="H235" s="680"/>
      <c r="I235" s="253">
        <f t="shared" si="59"/>
        <v>0</v>
      </c>
      <c r="J235" s="453">
        <f t="shared" si="67"/>
        <v>0</v>
      </c>
      <c r="K235" s="689"/>
      <c r="L235" s="689"/>
      <c r="M235" s="969">
        <f t="shared" si="68"/>
        <v>0</v>
      </c>
      <c r="N235" s="1029" t="str">
        <f t="shared" si="69"/>
        <v/>
      </c>
      <c r="O235" s="969" t="str">
        <f>IFERROR(VLOOKUP(B235,'נתוני רישום ומצבת'!B:Q,16,0),"")</f>
        <v/>
      </c>
      <c r="P235" s="969" t="str">
        <f>IFERROR(VLOOKUP(B235,'נתוני רישום ומצבת'!B:R,17,0),"")</f>
        <v/>
      </c>
      <c r="Q235" s="690"/>
      <c r="R235" s="1009"/>
      <c r="S235" s="376">
        <f t="shared" si="70"/>
        <v>0</v>
      </c>
      <c r="T235" s="376">
        <f t="shared" si="71"/>
        <v>0</v>
      </c>
      <c r="U235" s="386">
        <f t="shared" si="72"/>
        <v>0</v>
      </c>
      <c r="V235" s="513" t="str">
        <f t="shared" si="73"/>
        <v/>
      </c>
      <c r="W235" s="254" t="str">
        <f>IF(ISBLANK(B235)," ",IF(B235=IFERROR(VLOOKUP(B235,'מצבת והרשמה (2)'!F:F,1,0),0),"תקין","לא קיים במצבת כבית ספר בו מתקיימת פעילות"))</f>
        <v xml:space="preserve"> </v>
      </c>
      <c r="X235" s="256" t="str">
        <f t="shared" si="60"/>
        <v/>
      </c>
      <c r="Y235" s="256" t="str">
        <f t="shared" si="61"/>
        <v/>
      </c>
      <c r="Z235" s="741">
        <f t="shared" si="62"/>
        <v>0</v>
      </c>
      <c r="AA235" s="741">
        <f t="shared" si="63"/>
        <v>0</v>
      </c>
      <c r="AB235" s="741">
        <f t="shared" si="64"/>
        <v>0</v>
      </c>
      <c r="AC235" s="987">
        <f t="shared" si="74"/>
        <v>0</v>
      </c>
      <c r="AD235" s="987">
        <f t="shared" si="75"/>
        <v>0</v>
      </c>
      <c r="AE235" s="368" t="str">
        <f>IFERROR(VLOOKUP(B235,'[1]סיכום בקרת רשויות'!$A:$D,4,0),"")</f>
        <v/>
      </c>
      <c r="AF235" s="57" t="str">
        <f t="shared" si="76"/>
        <v/>
      </c>
      <c r="AG235" s="180">
        <f>IF(AF235="כן",M235*'גנים ובתי ספר- מבנה תקציב'!$H$59,0)</f>
        <v>0</v>
      </c>
      <c r="AH235" s="180">
        <f>IF(AF235="כן",M235*'גנים ובתי ספר- מבנה תקציב'!$I$59,0)</f>
        <v>0</v>
      </c>
      <c r="AI235" s="180">
        <f t="shared" si="77"/>
        <v>0</v>
      </c>
      <c r="AJ235" s="368" t="str">
        <f t="shared" si="65"/>
        <v/>
      </c>
    </row>
    <row r="236" spans="1:36" x14ac:dyDescent="0.25">
      <c r="A236" s="57">
        <v>216</v>
      </c>
      <c r="B236" s="690"/>
      <c r="C236" s="690"/>
      <c r="D236" s="252">
        <f>(IFERROR(SUMIF('מצבת והרשמה (2)'!$F$21:$F$501,'דוח ביצוע (3)'!$B236,'מצבת והרשמה (2)'!$J$21:$J$501),0))</f>
        <v>0</v>
      </c>
      <c r="E236" s="252">
        <f>IFERROR(SUMIF('מצבת והרשמה (2)'!$F$21:$F$501,'דוח ביצוע (3)'!$B236,'מצבת והרשמה (2)'!$K$21:$K$501),0)</f>
        <v>0</v>
      </c>
      <c r="F236" s="253">
        <f t="shared" si="66"/>
        <v>0</v>
      </c>
      <c r="G236" s="680"/>
      <c r="H236" s="680"/>
      <c r="I236" s="253">
        <f t="shared" si="59"/>
        <v>0</v>
      </c>
      <c r="J236" s="453">
        <f t="shared" si="67"/>
        <v>0</v>
      </c>
      <c r="K236" s="689"/>
      <c r="L236" s="689"/>
      <c r="M236" s="969">
        <f t="shared" si="68"/>
        <v>0</v>
      </c>
      <c r="N236" s="1029" t="str">
        <f t="shared" si="69"/>
        <v/>
      </c>
      <c r="O236" s="969" t="str">
        <f>IFERROR(VLOOKUP(B236,'נתוני רישום ומצבת'!B:Q,16,0),"")</f>
        <v/>
      </c>
      <c r="P236" s="969" t="str">
        <f>IFERROR(VLOOKUP(B236,'נתוני רישום ומצבת'!B:R,17,0),"")</f>
        <v/>
      </c>
      <c r="Q236" s="690"/>
      <c r="R236" s="1009"/>
      <c r="S236" s="376">
        <f t="shared" si="70"/>
        <v>0</v>
      </c>
      <c r="T236" s="376">
        <f t="shared" si="71"/>
        <v>0</v>
      </c>
      <c r="U236" s="386">
        <f t="shared" si="72"/>
        <v>0</v>
      </c>
      <c r="V236" s="513" t="str">
        <f t="shared" si="73"/>
        <v/>
      </c>
      <c r="W236" s="254" t="str">
        <f>IF(ISBLANK(B236)," ",IF(B236=IFERROR(VLOOKUP(B236,'מצבת והרשמה (2)'!F:F,1,0),0),"תקין","לא קיים במצבת כבית ספר בו מתקיימת פעילות"))</f>
        <v xml:space="preserve"> </v>
      </c>
      <c r="X236" s="256" t="str">
        <f t="shared" si="60"/>
        <v/>
      </c>
      <c r="Y236" s="256" t="str">
        <f t="shared" si="61"/>
        <v/>
      </c>
      <c r="Z236" s="741">
        <f t="shared" si="62"/>
        <v>0</v>
      </c>
      <c r="AA236" s="741">
        <f t="shared" si="63"/>
        <v>0</v>
      </c>
      <c r="AB236" s="741">
        <f t="shared" si="64"/>
        <v>0</v>
      </c>
      <c r="AC236" s="987">
        <f t="shared" si="74"/>
        <v>0</v>
      </c>
      <c r="AD236" s="987">
        <f t="shared" si="75"/>
        <v>0</v>
      </c>
      <c r="AE236" s="368" t="str">
        <f>IFERROR(VLOOKUP(B236,'[1]סיכום בקרת רשויות'!$A:$D,4,0),"")</f>
        <v/>
      </c>
      <c r="AF236" s="57" t="str">
        <f t="shared" si="76"/>
        <v/>
      </c>
      <c r="AG236" s="180">
        <f>IF(AF236="כן",M236*'גנים ובתי ספר- מבנה תקציב'!$H$59,0)</f>
        <v>0</v>
      </c>
      <c r="AH236" s="180">
        <f>IF(AF236="כן",M236*'גנים ובתי ספר- מבנה תקציב'!$I$59,0)</f>
        <v>0</v>
      </c>
      <c r="AI236" s="180">
        <f t="shared" si="77"/>
        <v>0</v>
      </c>
      <c r="AJ236" s="368" t="str">
        <f t="shared" si="65"/>
        <v/>
      </c>
    </row>
    <row r="237" spans="1:36" x14ac:dyDescent="0.25">
      <c r="A237" s="57">
        <v>217</v>
      </c>
      <c r="B237" s="690"/>
      <c r="C237" s="690"/>
      <c r="D237" s="252">
        <f>(IFERROR(SUMIF('מצבת והרשמה (2)'!$F$21:$F$501,'דוח ביצוע (3)'!$B237,'מצבת והרשמה (2)'!$J$21:$J$501),0))</f>
        <v>0</v>
      </c>
      <c r="E237" s="252">
        <f>IFERROR(SUMIF('מצבת והרשמה (2)'!$F$21:$F$501,'דוח ביצוע (3)'!$B237,'מצבת והרשמה (2)'!$K$21:$K$501),0)</f>
        <v>0</v>
      </c>
      <c r="F237" s="253">
        <f t="shared" si="66"/>
        <v>0</v>
      </c>
      <c r="G237" s="680"/>
      <c r="H237" s="680"/>
      <c r="I237" s="253">
        <f t="shared" si="59"/>
        <v>0</v>
      </c>
      <c r="J237" s="453">
        <f t="shared" si="67"/>
        <v>0</v>
      </c>
      <c r="K237" s="689"/>
      <c r="L237" s="689"/>
      <c r="M237" s="969">
        <f t="shared" si="68"/>
        <v>0</v>
      </c>
      <c r="N237" s="1029" t="str">
        <f t="shared" si="69"/>
        <v/>
      </c>
      <c r="O237" s="969" t="str">
        <f>IFERROR(VLOOKUP(B237,'נתוני רישום ומצבת'!B:Q,16,0),"")</f>
        <v/>
      </c>
      <c r="P237" s="969" t="str">
        <f>IFERROR(VLOOKUP(B237,'נתוני רישום ומצבת'!B:R,17,0),"")</f>
        <v/>
      </c>
      <c r="Q237" s="690"/>
      <c r="R237" s="1009"/>
      <c r="S237" s="376">
        <f t="shared" si="70"/>
        <v>0</v>
      </c>
      <c r="T237" s="376">
        <f t="shared" si="71"/>
        <v>0</v>
      </c>
      <c r="U237" s="386">
        <f t="shared" si="72"/>
        <v>0</v>
      </c>
      <c r="V237" s="513" t="str">
        <f t="shared" si="73"/>
        <v/>
      </c>
      <c r="W237" s="254" t="str">
        <f>IF(ISBLANK(B237)," ",IF(B237=IFERROR(VLOOKUP(B237,'מצבת והרשמה (2)'!F:F,1,0),0),"תקין","לא קיים במצבת כבית ספר בו מתקיימת פעילות"))</f>
        <v xml:space="preserve"> </v>
      </c>
      <c r="X237" s="256" t="str">
        <f t="shared" si="60"/>
        <v/>
      </c>
      <c r="Y237" s="256" t="str">
        <f t="shared" si="61"/>
        <v/>
      </c>
      <c r="Z237" s="741">
        <f t="shared" si="62"/>
        <v>0</v>
      </c>
      <c r="AA237" s="741">
        <f t="shared" si="63"/>
        <v>0</v>
      </c>
      <c r="AB237" s="741">
        <f t="shared" si="64"/>
        <v>0</v>
      </c>
      <c r="AC237" s="987">
        <f t="shared" si="74"/>
        <v>0</v>
      </c>
      <c r="AD237" s="987">
        <f t="shared" si="75"/>
        <v>0</v>
      </c>
      <c r="AE237" s="368" t="str">
        <f>IFERROR(VLOOKUP(B237,'[1]סיכום בקרת רשויות'!$A:$D,4,0),"")</f>
        <v/>
      </c>
      <c r="AF237" s="57" t="str">
        <f t="shared" si="76"/>
        <v/>
      </c>
      <c r="AG237" s="180">
        <f>IF(AF237="כן",M237*'גנים ובתי ספר- מבנה תקציב'!$H$59,0)</f>
        <v>0</v>
      </c>
      <c r="AH237" s="180">
        <f>IF(AF237="כן",M237*'גנים ובתי ספר- מבנה תקציב'!$I$59,0)</f>
        <v>0</v>
      </c>
      <c r="AI237" s="180">
        <f t="shared" si="77"/>
        <v>0</v>
      </c>
      <c r="AJ237" s="368" t="str">
        <f t="shared" si="65"/>
        <v/>
      </c>
    </row>
    <row r="238" spans="1:36" x14ac:dyDescent="0.25">
      <c r="A238" s="57">
        <v>218</v>
      </c>
      <c r="B238" s="690"/>
      <c r="C238" s="690"/>
      <c r="D238" s="252">
        <f>(IFERROR(SUMIF('מצבת והרשמה (2)'!$F$21:$F$501,'דוח ביצוע (3)'!$B238,'מצבת והרשמה (2)'!$J$21:$J$501),0))</f>
        <v>0</v>
      </c>
      <c r="E238" s="252">
        <f>IFERROR(SUMIF('מצבת והרשמה (2)'!$F$21:$F$501,'דוח ביצוע (3)'!$B238,'מצבת והרשמה (2)'!$K$21:$K$501),0)</f>
        <v>0</v>
      </c>
      <c r="F238" s="253">
        <f t="shared" si="66"/>
        <v>0</v>
      </c>
      <c r="G238" s="680"/>
      <c r="H238" s="680"/>
      <c r="I238" s="253">
        <f t="shared" si="59"/>
        <v>0</v>
      </c>
      <c r="J238" s="453">
        <f t="shared" si="67"/>
        <v>0</v>
      </c>
      <c r="K238" s="689"/>
      <c r="L238" s="689"/>
      <c r="M238" s="969">
        <f t="shared" si="68"/>
        <v>0</v>
      </c>
      <c r="N238" s="1029" t="str">
        <f t="shared" si="69"/>
        <v/>
      </c>
      <c r="O238" s="969" t="str">
        <f>IFERROR(VLOOKUP(B238,'נתוני רישום ומצבת'!B:Q,16,0),"")</f>
        <v/>
      </c>
      <c r="P238" s="969" t="str">
        <f>IFERROR(VLOOKUP(B238,'נתוני רישום ומצבת'!B:R,17,0),"")</f>
        <v/>
      </c>
      <c r="Q238" s="690"/>
      <c r="R238" s="1009"/>
      <c r="S238" s="376">
        <f t="shared" si="70"/>
        <v>0</v>
      </c>
      <c r="T238" s="376">
        <f t="shared" si="71"/>
        <v>0</v>
      </c>
      <c r="U238" s="386">
        <f t="shared" si="72"/>
        <v>0</v>
      </c>
      <c r="V238" s="513" t="str">
        <f t="shared" si="73"/>
        <v/>
      </c>
      <c r="W238" s="254" t="str">
        <f>IF(ISBLANK(B238)," ",IF(B238=IFERROR(VLOOKUP(B238,'מצבת והרשמה (2)'!F:F,1,0),0),"תקין","לא קיים במצבת כבית ספר בו מתקיימת פעילות"))</f>
        <v xml:space="preserve"> </v>
      </c>
      <c r="X238" s="256" t="str">
        <f t="shared" si="60"/>
        <v/>
      </c>
      <c r="Y238" s="256" t="str">
        <f t="shared" si="61"/>
        <v/>
      </c>
      <c r="Z238" s="741">
        <f t="shared" si="62"/>
        <v>0</v>
      </c>
      <c r="AA238" s="741">
        <f t="shared" si="63"/>
        <v>0</v>
      </c>
      <c r="AB238" s="741">
        <f t="shared" si="64"/>
        <v>0</v>
      </c>
      <c r="AC238" s="987">
        <f t="shared" si="74"/>
        <v>0</v>
      </c>
      <c r="AD238" s="987">
        <f t="shared" si="75"/>
        <v>0</v>
      </c>
      <c r="AE238" s="368" t="str">
        <f>IFERROR(VLOOKUP(B238,'[1]סיכום בקרת רשויות'!$A:$D,4,0),"")</f>
        <v/>
      </c>
      <c r="AF238" s="57" t="str">
        <f t="shared" si="76"/>
        <v/>
      </c>
      <c r="AG238" s="180">
        <f>IF(AF238="כן",M238*'גנים ובתי ספר- מבנה תקציב'!$H$59,0)</f>
        <v>0</v>
      </c>
      <c r="AH238" s="180">
        <f>IF(AF238="כן",M238*'גנים ובתי ספר- מבנה תקציב'!$I$59,0)</f>
        <v>0</v>
      </c>
      <c r="AI238" s="180">
        <f t="shared" si="77"/>
        <v>0</v>
      </c>
      <c r="AJ238" s="368" t="str">
        <f t="shared" si="65"/>
        <v/>
      </c>
    </row>
    <row r="239" spans="1:36" x14ac:dyDescent="0.25">
      <c r="A239" s="57">
        <v>219</v>
      </c>
      <c r="B239" s="690"/>
      <c r="C239" s="690"/>
      <c r="D239" s="252">
        <f>(IFERROR(SUMIF('מצבת והרשמה (2)'!$F$21:$F$501,'דוח ביצוע (3)'!$B239,'מצבת והרשמה (2)'!$J$21:$J$501),0))</f>
        <v>0</v>
      </c>
      <c r="E239" s="252">
        <f>IFERROR(SUMIF('מצבת והרשמה (2)'!$F$21:$F$501,'דוח ביצוע (3)'!$B239,'מצבת והרשמה (2)'!$K$21:$K$501),0)</f>
        <v>0</v>
      </c>
      <c r="F239" s="253">
        <f t="shared" si="66"/>
        <v>0</v>
      </c>
      <c r="G239" s="680"/>
      <c r="H239" s="680"/>
      <c r="I239" s="253">
        <f t="shared" si="59"/>
        <v>0</v>
      </c>
      <c r="J239" s="453">
        <f t="shared" si="67"/>
        <v>0</v>
      </c>
      <c r="K239" s="689"/>
      <c r="L239" s="689"/>
      <c r="M239" s="969">
        <f t="shared" si="68"/>
        <v>0</v>
      </c>
      <c r="N239" s="1029" t="str">
        <f t="shared" si="69"/>
        <v/>
      </c>
      <c r="O239" s="969" t="str">
        <f>IFERROR(VLOOKUP(B239,'נתוני רישום ומצבת'!B:Q,16,0),"")</f>
        <v/>
      </c>
      <c r="P239" s="969" t="str">
        <f>IFERROR(VLOOKUP(B239,'נתוני רישום ומצבת'!B:R,17,0),"")</f>
        <v/>
      </c>
      <c r="Q239" s="690"/>
      <c r="R239" s="1009"/>
      <c r="S239" s="376">
        <f t="shared" si="70"/>
        <v>0</v>
      </c>
      <c r="T239" s="376">
        <f t="shared" si="71"/>
        <v>0</v>
      </c>
      <c r="U239" s="386">
        <f t="shared" si="72"/>
        <v>0</v>
      </c>
      <c r="V239" s="513" t="str">
        <f t="shared" si="73"/>
        <v/>
      </c>
      <c r="W239" s="254" t="str">
        <f>IF(ISBLANK(B239)," ",IF(B239=IFERROR(VLOOKUP(B239,'מצבת והרשמה (2)'!F:F,1,0),0),"תקין","לא קיים במצבת כבית ספר בו מתקיימת פעילות"))</f>
        <v xml:space="preserve"> </v>
      </c>
      <c r="X239" s="256" t="str">
        <f t="shared" si="60"/>
        <v/>
      </c>
      <c r="Y239" s="256" t="str">
        <f t="shared" si="61"/>
        <v/>
      </c>
      <c r="Z239" s="741">
        <f t="shared" si="62"/>
        <v>0</v>
      </c>
      <c r="AA239" s="741">
        <f t="shared" si="63"/>
        <v>0</v>
      </c>
      <c r="AB239" s="741">
        <f t="shared" si="64"/>
        <v>0</v>
      </c>
      <c r="AC239" s="987">
        <f t="shared" si="74"/>
        <v>0</v>
      </c>
      <c r="AD239" s="987">
        <f t="shared" si="75"/>
        <v>0</v>
      </c>
      <c r="AE239" s="368" t="str">
        <f>IFERROR(VLOOKUP(B239,'[1]סיכום בקרת רשויות'!$A:$D,4,0),"")</f>
        <v/>
      </c>
      <c r="AF239" s="57" t="str">
        <f t="shared" si="76"/>
        <v/>
      </c>
      <c r="AG239" s="180">
        <f>IF(AF239="כן",M239*'גנים ובתי ספר- מבנה תקציב'!$H$59,0)</f>
        <v>0</v>
      </c>
      <c r="AH239" s="180">
        <f>IF(AF239="כן",M239*'גנים ובתי ספר- מבנה תקציב'!$I$59,0)</f>
        <v>0</v>
      </c>
      <c r="AI239" s="180">
        <f t="shared" si="77"/>
        <v>0</v>
      </c>
      <c r="AJ239" s="368" t="str">
        <f t="shared" si="65"/>
        <v/>
      </c>
    </row>
    <row r="240" spans="1:36" x14ac:dyDescent="0.25">
      <c r="A240" s="57">
        <v>220</v>
      </c>
      <c r="B240" s="690"/>
      <c r="C240" s="690"/>
      <c r="D240" s="252">
        <f>(IFERROR(SUMIF('מצבת והרשמה (2)'!$F$21:$F$501,'דוח ביצוע (3)'!$B240,'מצבת והרשמה (2)'!$J$21:$J$501),0))</f>
        <v>0</v>
      </c>
      <c r="E240" s="252">
        <f>IFERROR(SUMIF('מצבת והרשמה (2)'!$F$21:$F$501,'דוח ביצוע (3)'!$B240,'מצבת והרשמה (2)'!$K$21:$K$501),0)</f>
        <v>0</v>
      </c>
      <c r="F240" s="253">
        <f t="shared" si="66"/>
        <v>0</v>
      </c>
      <c r="G240" s="680"/>
      <c r="H240" s="680"/>
      <c r="I240" s="253">
        <f t="shared" si="59"/>
        <v>0</v>
      </c>
      <c r="J240" s="453">
        <f t="shared" si="67"/>
        <v>0</v>
      </c>
      <c r="K240" s="689"/>
      <c r="L240" s="689"/>
      <c r="M240" s="969">
        <f t="shared" si="68"/>
        <v>0</v>
      </c>
      <c r="N240" s="1029" t="str">
        <f t="shared" si="69"/>
        <v/>
      </c>
      <c r="O240" s="969" t="str">
        <f>IFERROR(VLOOKUP(B240,'נתוני רישום ומצבת'!B:Q,16,0),"")</f>
        <v/>
      </c>
      <c r="P240" s="969" t="str">
        <f>IFERROR(VLOOKUP(B240,'נתוני רישום ומצבת'!B:R,17,0),"")</f>
        <v/>
      </c>
      <c r="Q240" s="690"/>
      <c r="R240" s="1009"/>
      <c r="S240" s="376">
        <f t="shared" si="70"/>
        <v>0</v>
      </c>
      <c r="T240" s="376">
        <f t="shared" si="71"/>
        <v>0</v>
      </c>
      <c r="U240" s="386">
        <f t="shared" si="72"/>
        <v>0</v>
      </c>
      <c r="V240" s="513" t="str">
        <f t="shared" si="73"/>
        <v/>
      </c>
      <c r="W240" s="254" t="str">
        <f>IF(ISBLANK(B240)," ",IF(B240=IFERROR(VLOOKUP(B240,'מצבת והרשמה (2)'!F:F,1,0),0),"תקין","לא קיים במצבת כבית ספר בו מתקיימת פעילות"))</f>
        <v xml:space="preserve"> </v>
      </c>
      <c r="X240" s="256" t="str">
        <f t="shared" si="60"/>
        <v/>
      </c>
      <c r="Y240" s="256" t="str">
        <f t="shared" si="61"/>
        <v/>
      </c>
      <c r="Z240" s="741">
        <f t="shared" si="62"/>
        <v>0</v>
      </c>
      <c r="AA240" s="741">
        <f t="shared" si="63"/>
        <v>0</v>
      </c>
      <c r="AB240" s="741">
        <f t="shared" si="64"/>
        <v>0</v>
      </c>
      <c r="AC240" s="987">
        <f t="shared" si="74"/>
        <v>0</v>
      </c>
      <c r="AD240" s="987">
        <f t="shared" si="75"/>
        <v>0</v>
      </c>
      <c r="AE240" s="368" t="str">
        <f>IFERROR(VLOOKUP(B240,'[1]סיכום בקרת רשויות'!$A:$D,4,0),"")</f>
        <v/>
      </c>
      <c r="AF240" s="57" t="str">
        <f t="shared" si="76"/>
        <v/>
      </c>
      <c r="AG240" s="180">
        <f>IF(AF240="כן",M240*'גנים ובתי ספר- מבנה תקציב'!$H$59,0)</f>
        <v>0</v>
      </c>
      <c r="AH240" s="180">
        <f>IF(AF240="כן",M240*'גנים ובתי ספר- מבנה תקציב'!$I$59,0)</f>
        <v>0</v>
      </c>
      <c r="AI240" s="180">
        <f t="shared" si="77"/>
        <v>0</v>
      </c>
      <c r="AJ240" s="368" t="str">
        <f t="shared" si="65"/>
        <v/>
      </c>
    </row>
    <row r="241" spans="1:36" x14ac:dyDescent="0.25">
      <c r="A241" s="57">
        <v>221</v>
      </c>
      <c r="B241" s="690"/>
      <c r="C241" s="690"/>
      <c r="D241" s="252">
        <f>(IFERROR(SUMIF('מצבת והרשמה (2)'!$F$21:$F$501,'דוח ביצוע (3)'!$B241,'מצבת והרשמה (2)'!$J$21:$J$501),0))</f>
        <v>0</v>
      </c>
      <c r="E241" s="252">
        <f>IFERROR(SUMIF('מצבת והרשמה (2)'!$F$21:$F$501,'דוח ביצוע (3)'!$B241,'מצבת והרשמה (2)'!$K$21:$K$501),0)</f>
        <v>0</v>
      </c>
      <c r="F241" s="253">
        <f t="shared" si="66"/>
        <v>0</v>
      </c>
      <c r="G241" s="680"/>
      <c r="H241" s="680"/>
      <c r="I241" s="253">
        <f t="shared" si="59"/>
        <v>0</v>
      </c>
      <c r="J241" s="453">
        <f t="shared" si="67"/>
        <v>0</v>
      </c>
      <c r="K241" s="689"/>
      <c r="L241" s="689"/>
      <c r="M241" s="969">
        <f t="shared" si="68"/>
        <v>0</v>
      </c>
      <c r="N241" s="1029" t="str">
        <f t="shared" si="69"/>
        <v/>
      </c>
      <c r="O241" s="969" t="str">
        <f>IFERROR(VLOOKUP(B241,'נתוני רישום ומצבת'!B:Q,16,0),"")</f>
        <v/>
      </c>
      <c r="P241" s="969" t="str">
        <f>IFERROR(VLOOKUP(B241,'נתוני רישום ומצבת'!B:R,17,0),"")</f>
        <v/>
      </c>
      <c r="Q241" s="690"/>
      <c r="R241" s="1009"/>
      <c r="S241" s="376">
        <f t="shared" si="70"/>
        <v>0</v>
      </c>
      <c r="T241" s="376">
        <f t="shared" si="71"/>
        <v>0</v>
      </c>
      <c r="U241" s="386">
        <f t="shared" si="72"/>
        <v>0</v>
      </c>
      <c r="V241" s="513" t="str">
        <f t="shared" si="73"/>
        <v/>
      </c>
      <c r="W241" s="254" t="str">
        <f>IF(ISBLANK(B241)," ",IF(B241=IFERROR(VLOOKUP(B241,'מצבת והרשמה (2)'!F:F,1,0),0),"תקין","לא קיים במצבת כבית ספר בו מתקיימת פעילות"))</f>
        <v xml:space="preserve"> </v>
      </c>
      <c r="X241" s="256" t="str">
        <f t="shared" si="60"/>
        <v/>
      </c>
      <c r="Y241" s="256" t="str">
        <f t="shared" si="61"/>
        <v/>
      </c>
      <c r="Z241" s="741">
        <f t="shared" si="62"/>
        <v>0</v>
      </c>
      <c r="AA241" s="741">
        <f t="shared" si="63"/>
        <v>0</v>
      </c>
      <c r="AB241" s="741">
        <f t="shared" si="64"/>
        <v>0</v>
      </c>
      <c r="AC241" s="987">
        <f t="shared" si="74"/>
        <v>0</v>
      </c>
      <c r="AD241" s="987">
        <f t="shared" si="75"/>
        <v>0</v>
      </c>
      <c r="AE241" s="368" t="str">
        <f>IFERROR(VLOOKUP(B241,'[1]סיכום בקרת רשויות'!$A:$D,4,0),"")</f>
        <v/>
      </c>
      <c r="AF241" s="57" t="str">
        <f t="shared" si="76"/>
        <v/>
      </c>
      <c r="AG241" s="180">
        <f>IF(AF241="כן",M241*'גנים ובתי ספר- מבנה תקציב'!$H$59,0)</f>
        <v>0</v>
      </c>
      <c r="AH241" s="180">
        <f>IF(AF241="כן",M241*'גנים ובתי ספר- מבנה תקציב'!$I$59,0)</f>
        <v>0</v>
      </c>
      <c r="AI241" s="180">
        <f t="shared" si="77"/>
        <v>0</v>
      </c>
      <c r="AJ241" s="368" t="str">
        <f t="shared" si="65"/>
        <v/>
      </c>
    </row>
    <row r="242" spans="1:36" x14ac:dyDescent="0.25">
      <c r="A242" s="57">
        <v>222</v>
      </c>
      <c r="B242" s="690"/>
      <c r="C242" s="690"/>
      <c r="D242" s="252">
        <f>(IFERROR(SUMIF('מצבת והרשמה (2)'!$F$21:$F$501,'דוח ביצוע (3)'!$B242,'מצבת והרשמה (2)'!$J$21:$J$501),0))</f>
        <v>0</v>
      </c>
      <c r="E242" s="252">
        <f>IFERROR(SUMIF('מצבת והרשמה (2)'!$F$21:$F$501,'דוח ביצוע (3)'!$B242,'מצבת והרשמה (2)'!$K$21:$K$501),0)</f>
        <v>0</v>
      </c>
      <c r="F242" s="253">
        <f t="shared" si="66"/>
        <v>0</v>
      </c>
      <c r="G242" s="680"/>
      <c r="H242" s="680"/>
      <c r="I242" s="253">
        <f t="shared" si="59"/>
        <v>0</v>
      </c>
      <c r="J242" s="453">
        <f t="shared" si="67"/>
        <v>0</v>
      </c>
      <c r="K242" s="689"/>
      <c r="L242" s="689"/>
      <c r="M242" s="969">
        <f t="shared" si="68"/>
        <v>0</v>
      </c>
      <c r="N242" s="1029" t="str">
        <f t="shared" si="69"/>
        <v/>
      </c>
      <c r="O242" s="969" t="str">
        <f>IFERROR(VLOOKUP(B242,'נתוני רישום ומצבת'!B:Q,16,0),"")</f>
        <v/>
      </c>
      <c r="P242" s="969" t="str">
        <f>IFERROR(VLOOKUP(B242,'נתוני רישום ומצבת'!B:R,17,0),"")</f>
        <v/>
      </c>
      <c r="Q242" s="690"/>
      <c r="R242" s="1009"/>
      <c r="S242" s="376">
        <f t="shared" si="70"/>
        <v>0</v>
      </c>
      <c r="T242" s="376">
        <f t="shared" si="71"/>
        <v>0</v>
      </c>
      <c r="U242" s="386">
        <f t="shared" si="72"/>
        <v>0</v>
      </c>
      <c r="V242" s="513" t="str">
        <f t="shared" si="73"/>
        <v/>
      </c>
      <c r="W242" s="254" t="str">
        <f>IF(ISBLANK(B242)," ",IF(B242=IFERROR(VLOOKUP(B242,'מצבת והרשמה (2)'!F:F,1,0),0),"תקין","לא קיים במצבת כבית ספר בו מתקיימת פעילות"))</f>
        <v xml:space="preserve"> </v>
      </c>
      <c r="X242" s="256" t="str">
        <f t="shared" si="60"/>
        <v/>
      </c>
      <c r="Y242" s="256" t="str">
        <f t="shared" si="61"/>
        <v/>
      </c>
      <c r="Z242" s="741">
        <f t="shared" si="62"/>
        <v>0</v>
      </c>
      <c r="AA242" s="741">
        <f t="shared" si="63"/>
        <v>0</v>
      </c>
      <c r="AB242" s="741">
        <f t="shared" si="64"/>
        <v>0</v>
      </c>
      <c r="AC242" s="987">
        <f t="shared" si="74"/>
        <v>0</v>
      </c>
      <c r="AD242" s="987">
        <f t="shared" si="75"/>
        <v>0</v>
      </c>
      <c r="AE242" s="368" t="str">
        <f>IFERROR(VLOOKUP(B242,'[1]סיכום בקרת רשויות'!$A:$D,4,0),"")</f>
        <v/>
      </c>
      <c r="AF242" s="57" t="str">
        <f t="shared" si="76"/>
        <v/>
      </c>
      <c r="AG242" s="180">
        <f>IF(AF242="כן",M242*'גנים ובתי ספר- מבנה תקציב'!$H$59,0)</f>
        <v>0</v>
      </c>
      <c r="AH242" s="180">
        <f>IF(AF242="כן",M242*'גנים ובתי ספר- מבנה תקציב'!$I$59,0)</f>
        <v>0</v>
      </c>
      <c r="AI242" s="180">
        <f t="shared" si="77"/>
        <v>0</v>
      </c>
      <c r="AJ242" s="368" t="str">
        <f t="shared" si="65"/>
        <v/>
      </c>
    </row>
    <row r="243" spans="1:36" x14ac:dyDescent="0.25">
      <c r="A243" s="57">
        <v>223</v>
      </c>
      <c r="B243" s="690"/>
      <c r="C243" s="690"/>
      <c r="D243" s="252">
        <f>(IFERROR(SUMIF('מצבת והרשמה (2)'!$F$21:$F$501,'דוח ביצוע (3)'!$B243,'מצבת והרשמה (2)'!$J$21:$J$501),0))</f>
        <v>0</v>
      </c>
      <c r="E243" s="252">
        <f>IFERROR(SUMIF('מצבת והרשמה (2)'!$F$21:$F$501,'דוח ביצוע (3)'!$B243,'מצבת והרשמה (2)'!$K$21:$K$501),0)</f>
        <v>0</v>
      </c>
      <c r="F243" s="253">
        <f t="shared" si="66"/>
        <v>0</v>
      </c>
      <c r="G243" s="680"/>
      <c r="H243" s="680"/>
      <c r="I243" s="253">
        <f t="shared" si="59"/>
        <v>0</v>
      </c>
      <c r="J243" s="453">
        <f t="shared" si="67"/>
        <v>0</v>
      </c>
      <c r="K243" s="689"/>
      <c r="L243" s="689"/>
      <c r="M243" s="969">
        <f t="shared" si="68"/>
        <v>0</v>
      </c>
      <c r="N243" s="1029" t="str">
        <f t="shared" si="69"/>
        <v/>
      </c>
      <c r="O243" s="969" t="str">
        <f>IFERROR(VLOOKUP(B243,'נתוני רישום ומצבת'!B:Q,16,0),"")</f>
        <v/>
      </c>
      <c r="P243" s="969" t="str">
        <f>IFERROR(VLOOKUP(B243,'נתוני רישום ומצבת'!B:R,17,0),"")</f>
        <v/>
      </c>
      <c r="Q243" s="690"/>
      <c r="R243" s="1009"/>
      <c r="S243" s="376">
        <f t="shared" si="70"/>
        <v>0</v>
      </c>
      <c r="T243" s="376">
        <f t="shared" si="71"/>
        <v>0</v>
      </c>
      <c r="U243" s="386">
        <f t="shared" si="72"/>
        <v>0</v>
      </c>
      <c r="V243" s="513" t="str">
        <f t="shared" si="73"/>
        <v/>
      </c>
      <c r="W243" s="254" t="str">
        <f>IF(ISBLANK(B243)," ",IF(B243=IFERROR(VLOOKUP(B243,'מצבת והרשמה (2)'!F:F,1,0),0),"תקין","לא קיים במצבת כבית ספר בו מתקיימת פעילות"))</f>
        <v xml:space="preserve"> </v>
      </c>
      <c r="X243" s="256" t="str">
        <f t="shared" si="60"/>
        <v/>
      </c>
      <c r="Y243" s="256" t="str">
        <f t="shared" si="61"/>
        <v/>
      </c>
      <c r="Z243" s="741">
        <f t="shared" si="62"/>
        <v>0</v>
      </c>
      <c r="AA243" s="741">
        <f t="shared" si="63"/>
        <v>0</v>
      </c>
      <c r="AB243" s="741">
        <f t="shared" si="64"/>
        <v>0</v>
      </c>
      <c r="AC243" s="987">
        <f t="shared" si="74"/>
        <v>0</v>
      </c>
      <c r="AD243" s="987">
        <f t="shared" si="75"/>
        <v>0</v>
      </c>
      <c r="AE243" s="368" t="str">
        <f>IFERROR(VLOOKUP(B243,'[1]סיכום בקרת רשויות'!$A:$D,4,0),"")</f>
        <v/>
      </c>
      <c r="AF243" s="57" t="str">
        <f t="shared" si="76"/>
        <v/>
      </c>
      <c r="AG243" s="180">
        <f>IF(AF243="כן",M243*'גנים ובתי ספר- מבנה תקציב'!$H$59,0)</f>
        <v>0</v>
      </c>
      <c r="AH243" s="180">
        <f>IF(AF243="כן",M243*'גנים ובתי ספר- מבנה תקציב'!$I$59,0)</f>
        <v>0</v>
      </c>
      <c r="AI243" s="180">
        <f t="shared" si="77"/>
        <v>0</v>
      </c>
      <c r="AJ243" s="368" t="str">
        <f t="shared" si="65"/>
        <v/>
      </c>
    </row>
    <row r="244" spans="1:36" x14ac:dyDescent="0.25">
      <c r="A244" s="57">
        <v>224</v>
      </c>
      <c r="B244" s="690"/>
      <c r="C244" s="690"/>
      <c r="D244" s="252">
        <f>(IFERROR(SUMIF('מצבת והרשמה (2)'!$F$21:$F$501,'דוח ביצוע (3)'!$B244,'מצבת והרשמה (2)'!$J$21:$J$501),0))</f>
        <v>0</v>
      </c>
      <c r="E244" s="252">
        <f>IFERROR(SUMIF('מצבת והרשמה (2)'!$F$21:$F$501,'דוח ביצוע (3)'!$B244,'מצבת והרשמה (2)'!$K$21:$K$501),0)</f>
        <v>0</v>
      </c>
      <c r="F244" s="253">
        <f t="shared" si="66"/>
        <v>0</v>
      </c>
      <c r="G244" s="680"/>
      <c r="H244" s="680"/>
      <c r="I244" s="253">
        <f t="shared" si="59"/>
        <v>0</v>
      </c>
      <c r="J244" s="453">
        <f t="shared" si="67"/>
        <v>0</v>
      </c>
      <c r="K244" s="689"/>
      <c r="L244" s="689"/>
      <c r="M244" s="969">
        <f t="shared" si="68"/>
        <v>0</v>
      </c>
      <c r="N244" s="1029" t="str">
        <f t="shared" si="69"/>
        <v/>
      </c>
      <c r="O244" s="969" t="str">
        <f>IFERROR(VLOOKUP(B244,'נתוני רישום ומצבת'!B:Q,16,0),"")</f>
        <v/>
      </c>
      <c r="P244" s="969" t="str">
        <f>IFERROR(VLOOKUP(B244,'נתוני רישום ומצבת'!B:R,17,0),"")</f>
        <v/>
      </c>
      <c r="Q244" s="690"/>
      <c r="R244" s="1009"/>
      <c r="S244" s="376">
        <f t="shared" si="70"/>
        <v>0</v>
      </c>
      <c r="T244" s="376">
        <f t="shared" si="71"/>
        <v>0</v>
      </c>
      <c r="U244" s="386">
        <f t="shared" si="72"/>
        <v>0</v>
      </c>
      <c r="V244" s="513" t="str">
        <f t="shared" si="73"/>
        <v/>
      </c>
      <c r="W244" s="254" t="str">
        <f>IF(ISBLANK(B244)," ",IF(B244=IFERROR(VLOOKUP(B244,'מצבת והרשמה (2)'!F:F,1,0),0),"תקין","לא קיים במצבת כבית ספר בו מתקיימת פעילות"))</f>
        <v xml:space="preserve"> </v>
      </c>
      <c r="X244" s="256" t="str">
        <f t="shared" si="60"/>
        <v/>
      </c>
      <c r="Y244" s="256" t="str">
        <f t="shared" si="61"/>
        <v/>
      </c>
      <c r="Z244" s="741">
        <f t="shared" si="62"/>
        <v>0</v>
      </c>
      <c r="AA244" s="741">
        <f t="shared" si="63"/>
        <v>0</v>
      </c>
      <c r="AB244" s="741">
        <f t="shared" si="64"/>
        <v>0</v>
      </c>
      <c r="AC244" s="987">
        <f t="shared" si="74"/>
        <v>0</v>
      </c>
      <c r="AD244" s="987">
        <f t="shared" si="75"/>
        <v>0</v>
      </c>
      <c r="AE244" s="368" t="str">
        <f>IFERROR(VLOOKUP(B244,'[1]סיכום בקרת רשויות'!$A:$D,4,0),"")</f>
        <v/>
      </c>
      <c r="AF244" s="57" t="str">
        <f t="shared" si="76"/>
        <v/>
      </c>
      <c r="AG244" s="180">
        <f>IF(AF244="כן",M244*'גנים ובתי ספר- מבנה תקציב'!$H$59,0)</f>
        <v>0</v>
      </c>
      <c r="AH244" s="180">
        <f>IF(AF244="כן",M244*'גנים ובתי ספר- מבנה תקציב'!$I$59,0)</f>
        <v>0</v>
      </c>
      <c r="AI244" s="180">
        <f t="shared" si="77"/>
        <v>0</v>
      </c>
      <c r="AJ244" s="368" t="str">
        <f t="shared" si="65"/>
        <v/>
      </c>
    </row>
    <row r="245" spans="1:36" x14ac:dyDescent="0.25">
      <c r="A245" s="57">
        <v>225</v>
      </c>
      <c r="B245" s="690"/>
      <c r="C245" s="690"/>
      <c r="D245" s="252">
        <f>(IFERROR(SUMIF('מצבת והרשמה (2)'!$F$21:$F$501,'דוח ביצוע (3)'!$B245,'מצבת והרשמה (2)'!$J$21:$J$501),0))</f>
        <v>0</v>
      </c>
      <c r="E245" s="252">
        <f>IFERROR(SUMIF('מצבת והרשמה (2)'!$F$21:$F$501,'דוח ביצוע (3)'!$B245,'מצבת והרשמה (2)'!$K$21:$K$501),0)</f>
        <v>0</v>
      </c>
      <c r="F245" s="253">
        <f t="shared" si="66"/>
        <v>0</v>
      </c>
      <c r="G245" s="680"/>
      <c r="H245" s="680"/>
      <c r="I245" s="253">
        <f t="shared" si="59"/>
        <v>0</v>
      </c>
      <c r="J245" s="453">
        <f t="shared" si="67"/>
        <v>0</v>
      </c>
      <c r="K245" s="689"/>
      <c r="L245" s="689"/>
      <c r="M245" s="969">
        <f t="shared" si="68"/>
        <v>0</v>
      </c>
      <c r="N245" s="1029" t="str">
        <f t="shared" si="69"/>
        <v/>
      </c>
      <c r="O245" s="969" t="str">
        <f>IFERROR(VLOOKUP(B245,'נתוני רישום ומצבת'!B:Q,16,0),"")</f>
        <v/>
      </c>
      <c r="P245" s="969" t="str">
        <f>IFERROR(VLOOKUP(B245,'נתוני רישום ומצבת'!B:R,17,0),"")</f>
        <v/>
      </c>
      <c r="Q245" s="690"/>
      <c r="R245" s="1009"/>
      <c r="S245" s="376">
        <f t="shared" si="70"/>
        <v>0</v>
      </c>
      <c r="T245" s="376">
        <f t="shared" si="71"/>
        <v>0</v>
      </c>
      <c r="U245" s="386">
        <f t="shared" si="72"/>
        <v>0</v>
      </c>
      <c r="V245" s="513" t="str">
        <f t="shared" si="73"/>
        <v/>
      </c>
      <c r="W245" s="254" t="str">
        <f>IF(ISBLANK(B245)," ",IF(B245=IFERROR(VLOOKUP(B245,'מצבת והרשמה (2)'!F:F,1,0),0),"תקין","לא קיים במצבת כבית ספר בו מתקיימת פעילות"))</f>
        <v xml:space="preserve"> </v>
      </c>
      <c r="X245" s="256" t="str">
        <f t="shared" si="60"/>
        <v/>
      </c>
      <c r="Y245" s="256" t="str">
        <f t="shared" si="61"/>
        <v/>
      </c>
      <c r="Z245" s="741">
        <f t="shared" si="62"/>
        <v>0</v>
      </c>
      <c r="AA245" s="741">
        <f t="shared" si="63"/>
        <v>0</v>
      </c>
      <c r="AB245" s="741">
        <f t="shared" si="64"/>
        <v>0</v>
      </c>
      <c r="AC245" s="987">
        <f t="shared" si="74"/>
        <v>0</v>
      </c>
      <c r="AD245" s="987">
        <f t="shared" si="75"/>
        <v>0</v>
      </c>
      <c r="AE245" s="368" t="str">
        <f>IFERROR(VLOOKUP(B245,'[1]סיכום בקרת רשויות'!$A:$D,4,0),"")</f>
        <v/>
      </c>
      <c r="AF245" s="57" t="str">
        <f t="shared" si="76"/>
        <v/>
      </c>
      <c r="AG245" s="180">
        <f>IF(AF245="כן",M245*'גנים ובתי ספר- מבנה תקציב'!$H$59,0)</f>
        <v>0</v>
      </c>
      <c r="AH245" s="180">
        <f>IF(AF245="כן",M245*'גנים ובתי ספר- מבנה תקציב'!$I$59,0)</f>
        <v>0</v>
      </c>
      <c r="AI245" s="180">
        <f t="shared" si="77"/>
        <v>0</v>
      </c>
      <c r="AJ245" s="368" t="str">
        <f t="shared" si="65"/>
        <v/>
      </c>
    </row>
    <row r="246" spans="1:36" x14ac:dyDescent="0.25">
      <c r="A246" s="57">
        <v>226</v>
      </c>
      <c r="B246" s="690"/>
      <c r="C246" s="690"/>
      <c r="D246" s="252">
        <f>(IFERROR(SUMIF('מצבת והרשמה (2)'!$F$21:$F$501,'דוח ביצוע (3)'!$B246,'מצבת והרשמה (2)'!$J$21:$J$501),0))</f>
        <v>0</v>
      </c>
      <c r="E246" s="252">
        <f>IFERROR(SUMIF('מצבת והרשמה (2)'!$F$21:$F$501,'דוח ביצוע (3)'!$B246,'מצבת והרשמה (2)'!$K$21:$K$501),0)</f>
        <v>0</v>
      </c>
      <c r="F246" s="253">
        <f t="shared" si="66"/>
        <v>0</v>
      </c>
      <c r="G246" s="680"/>
      <c r="H246" s="680"/>
      <c r="I246" s="253">
        <f t="shared" si="59"/>
        <v>0</v>
      </c>
      <c r="J246" s="453">
        <f t="shared" si="67"/>
        <v>0</v>
      </c>
      <c r="K246" s="689"/>
      <c r="L246" s="689"/>
      <c r="M246" s="969">
        <f t="shared" si="68"/>
        <v>0</v>
      </c>
      <c r="N246" s="1029" t="str">
        <f t="shared" si="69"/>
        <v/>
      </c>
      <c r="O246" s="969" t="str">
        <f>IFERROR(VLOOKUP(B246,'נתוני רישום ומצבת'!B:Q,16,0),"")</f>
        <v/>
      </c>
      <c r="P246" s="969" t="str">
        <f>IFERROR(VLOOKUP(B246,'נתוני רישום ומצבת'!B:R,17,0),"")</f>
        <v/>
      </c>
      <c r="Q246" s="690"/>
      <c r="R246" s="1009"/>
      <c r="S246" s="376">
        <f t="shared" si="70"/>
        <v>0</v>
      </c>
      <c r="T246" s="376">
        <f t="shared" si="71"/>
        <v>0</v>
      </c>
      <c r="U246" s="386">
        <f t="shared" si="72"/>
        <v>0</v>
      </c>
      <c r="V246" s="513" t="str">
        <f t="shared" si="73"/>
        <v/>
      </c>
      <c r="W246" s="254" t="str">
        <f>IF(ISBLANK(B246)," ",IF(B246=IFERROR(VLOOKUP(B246,'מצבת והרשמה (2)'!F:F,1,0),0),"תקין","לא קיים במצבת כבית ספר בו מתקיימת פעילות"))</f>
        <v xml:space="preserve"> </v>
      </c>
      <c r="X246" s="256" t="str">
        <f t="shared" si="60"/>
        <v/>
      </c>
      <c r="Y246" s="256" t="str">
        <f t="shared" si="61"/>
        <v/>
      </c>
      <c r="Z246" s="741">
        <f t="shared" si="62"/>
        <v>0</v>
      </c>
      <c r="AA246" s="741">
        <f t="shared" si="63"/>
        <v>0</v>
      </c>
      <c r="AB246" s="741">
        <f t="shared" si="64"/>
        <v>0</v>
      </c>
      <c r="AC246" s="987">
        <f t="shared" si="74"/>
        <v>0</v>
      </c>
      <c r="AD246" s="987">
        <f t="shared" si="75"/>
        <v>0</v>
      </c>
      <c r="AE246" s="368" t="str">
        <f>IFERROR(VLOOKUP(B246,'[1]סיכום בקרת רשויות'!$A:$D,4,0),"")</f>
        <v/>
      </c>
      <c r="AF246" s="57" t="str">
        <f t="shared" si="76"/>
        <v/>
      </c>
      <c r="AG246" s="180">
        <f>IF(AF246="כן",M246*'גנים ובתי ספר- מבנה תקציב'!$H$59,0)</f>
        <v>0</v>
      </c>
      <c r="AH246" s="180">
        <f>IF(AF246="כן",M246*'גנים ובתי ספר- מבנה תקציב'!$I$59,0)</f>
        <v>0</v>
      </c>
      <c r="AI246" s="180">
        <f t="shared" si="77"/>
        <v>0</v>
      </c>
      <c r="AJ246" s="368" t="str">
        <f t="shared" si="65"/>
        <v/>
      </c>
    </row>
    <row r="247" spans="1:36" x14ac:dyDescent="0.25">
      <c r="A247" s="57">
        <v>227</v>
      </c>
      <c r="B247" s="690"/>
      <c r="C247" s="690"/>
      <c r="D247" s="252">
        <f>(IFERROR(SUMIF('מצבת והרשמה (2)'!$F$21:$F$501,'דוח ביצוע (3)'!$B247,'מצבת והרשמה (2)'!$J$21:$J$501),0))</f>
        <v>0</v>
      </c>
      <c r="E247" s="252">
        <f>IFERROR(SUMIF('מצבת והרשמה (2)'!$F$21:$F$501,'דוח ביצוע (3)'!$B247,'מצבת והרשמה (2)'!$K$21:$K$501),0)</f>
        <v>0</v>
      </c>
      <c r="F247" s="253">
        <f t="shared" si="66"/>
        <v>0</v>
      </c>
      <c r="G247" s="680"/>
      <c r="H247" s="680"/>
      <c r="I247" s="253">
        <f t="shared" si="59"/>
        <v>0</v>
      </c>
      <c r="J247" s="453">
        <f t="shared" si="67"/>
        <v>0</v>
      </c>
      <c r="K247" s="689"/>
      <c r="L247" s="689"/>
      <c r="M247" s="969">
        <f t="shared" si="68"/>
        <v>0</v>
      </c>
      <c r="N247" s="1029" t="str">
        <f t="shared" si="69"/>
        <v/>
      </c>
      <c r="O247" s="969" t="str">
        <f>IFERROR(VLOOKUP(B247,'נתוני רישום ומצבת'!B:Q,16,0),"")</f>
        <v/>
      </c>
      <c r="P247" s="969" t="str">
        <f>IFERROR(VLOOKUP(B247,'נתוני רישום ומצבת'!B:R,17,0),"")</f>
        <v/>
      </c>
      <c r="Q247" s="690"/>
      <c r="R247" s="1009"/>
      <c r="S247" s="376">
        <f t="shared" si="70"/>
        <v>0</v>
      </c>
      <c r="T247" s="376">
        <f t="shared" si="71"/>
        <v>0</v>
      </c>
      <c r="U247" s="386">
        <f t="shared" si="72"/>
        <v>0</v>
      </c>
      <c r="V247" s="513" t="str">
        <f t="shared" si="73"/>
        <v/>
      </c>
      <c r="W247" s="254" t="str">
        <f>IF(ISBLANK(B247)," ",IF(B247=IFERROR(VLOOKUP(B247,'מצבת והרשמה (2)'!F:F,1,0),0),"תקין","לא קיים במצבת כבית ספר בו מתקיימת פעילות"))</f>
        <v xml:space="preserve"> </v>
      </c>
      <c r="X247" s="256" t="str">
        <f t="shared" si="60"/>
        <v/>
      </c>
      <c r="Y247" s="256" t="str">
        <f t="shared" si="61"/>
        <v/>
      </c>
      <c r="Z247" s="741">
        <f t="shared" si="62"/>
        <v>0</v>
      </c>
      <c r="AA247" s="741">
        <f t="shared" si="63"/>
        <v>0</v>
      </c>
      <c r="AB247" s="741">
        <f t="shared" si="64"/>
        <v>0</v>
      </c>
      <c r="AC247" s="987">
        <f t="shared" si="74"/>
        <v>0</v>
      </c>
      <c r="AD247" s="987">
        <f t="shared" si="75"/>
        <v>0</v>
      </c>
      <c r="AE247" s="368" t="str">
        <f>IFERROR(VLOOKUP(B247,'[1]סיכום בקרת רשויות'!$A:$D,4,0),"")</f>
        <v/>
      </c>
      <c r="AF247" s="57" t="str">
        <f t="shared" si="76"/>
        <v/>
      </c>
      <c r="AG247" s="180">
        <f>IF(AF247="כן",M247*'גנים ובתי ספר- מבנה תקציב'!$H$59,0)</f>
        <v>0</v>
      </c>
      <c r="AH247" s="180">
        <f>IF(AF247="כן",M247*'גנים ובתי ספר- מבנה תקציב'!$I$59,0)</f>
        <v>0</v>
      </c>
      <c r="AI247" s="180">
        <f t="shared" si="77"/>
        <v>0</v>
      </c>
      <c r="AJ247" s="368" t="str">
        <f t="shared" si="65"/>
        <v/>
      </c>
    </row>
    <row r="248" spans="1:36" x14ac:dyDescent="0.25">
      <c r="A248" s="57">
        <v>228</v>
      </c>
      <c r="B248" s="690"/>
      <c r="C248" s="690"/>
      <c r="D248" s="252">
        <f>(IFERROR(SUMIF('מצבת והרשמה (2)'!$F$21:$F$501,'דוח ביצוע (3)'!$B248,'מצבת והרשמה (2)'!$J$21:$J$501),0))</f>
        <v>0</v>
      </c>
      <c r="E248" s="252">
        <f>IFERROR(SUMIF('מצבת והרשמה (2)'!$F$21:$F$501,'דוח ביצוע (3)'!$B248,'מצבת והרשמה (2)'!$K$21:$K$501),0)</f>
        <v>0</v>
      </c>
      <c r="F248" s="253">
        <f t="shared" si="66"/>
        <v>0</v>
      </c>
      <c r="G248" s="680"/>
      <c r="H248" s="680"/>
      <c r="I248" s="253">
        <f t="shared" si="59"/>
        <v>0</v>
      </c>
      <c r="J248" s="453">
        <f t="shared" si="67"/>
        <v>0</v>
      </c>
      <c r="K248" s="689"/>
      <c r="L248" s="689"/>
      <c r="M248" s="969">
        <f t="shared" si="68"/>
        <v>0</v>
      </c>
      <c r="N248" s="1029" t="str">
        <f t="shared" si="69"/>
        <v/>
      </c>
      <c r="O248" s="969" t="str">
        <f>IFERROR(VLOOKUP(B248,'נתוני רישום ומצבת'!B:Q,16,0),"")</f>
        <v/>
      </c>
      <c r="P248" s="969" t="str">
        <f>IFERROR(VLOOKUP(B248,'נתוני רישום ומצבת'!B:R,17,0),"")</f>
        <v/>
      </c>
      <c r="Q248" s="690"/>
      <c r="R248" s="1009"/>
      <c r="S248" s="376">
        <f t="shared" si="70"/>
        <v>0</v>
      </c>
      <c r="T248" s="376">
        <f t="shared" si="71"/>
        <v>0</v>
      </c>
      <c r="U248" s="386">
        <f t="shared" si="72"/>
        <v>0</v>
      </c>
      <c r="V248" s="513" t="str">
        <f t="shared" si="73"/>
        <v/>
      </c>
      <c r="W248" s="254" t="str">
        <f>IF(ISBLANK(B248)," ",IF(B248=IFERROR(VLOOKUP(B248,'מצבת והרשמה (2)'!F:F,1,0),0),"תקין","לא קיים במצבת כבית ספר בו מתקיימת פעילות"))</f>
        <v xml:space="preserve"> </v>
      </c>
      <c r="X248" s="256" t="str">
        <f t="shared" si="60"/>
        <v/>
      </c>
      <c r="Y248" s="256" t="str">
        <f t="shared" si="61"/>
        <v/>
      </c>
      <c r="Z248" s="741">
        <f t="shared" si="62"/>
        <v>0</v>
      </c>
      <c r="AA248" s="741">
        <f t="shared" si="63"/>
        <v>0</v>
      </c>
      <c r="AB248" s="741">
        <f t="shared" si="64"/>
        <v>0</v>
      </c>
      <c r="AC248" s="987">
        <f t="shared" si="74"/>
        <v>0</v>
      </c>
      <c r="AD248" s="987">
        <f t="shared" si="75"/>
        <v>0</v>
      </c>
      <c r="AE248" s="368" t="str">
        <f>IFERROR(VLOOKUP(B248,'[1]סיכום בקרת רשויות'!$A:$D,4,0),"")</f>
        <v/>
      </c>
      <c r="AF248" s="57" t="str">
        <f t="shared" si="76"/>
        <v/>
      </c>
      <c r="AG248" s="180">
        <f>IF(AF248="כן",M248*'גנים ובתי ספר- מבנה תקציב'!$H$59,0)</f>
        <v>0</v>
      </c>
      <c r="AH248" s="180">
        <f>IF(AF248="כן",M248*'גנים ובתי ספר- מבנה תקציב'!$I$59,0)</f>
        <v>0</v>
      </c>
      <c r="AI248" s="180">
        <f t="shared" si="77"/>
        <v>0</v>
      </c>
      <c r="AJ248" s="368" t="str">
        <f t="shared" si="65"/>
        <v/>
      </c>
    </row>
    <row r="249" spans="1:36" x14ac:dyDescent="0.25">
      <c r="A249" s="57">
        <v>229</v>
      </c>
      <c r="B249" s="690"/>
      <c r="C249" s="690"/>
      <c r="D249" s="252">
        <f>(IFERROR(SUMIF('מצבת והרשמה (2)'!$F$21:$F$501,'דוח ביצוע (3)'!$B249,'מצבת והרשמה (2)'!$J$21:$J$501),0))</f>
        <v>0</v>
      </c>
      <c r="E249" s="252">
        <f>IFERROR(SUMIF('מצבת והרשמה (2)'!$F$21:$F$501,'דוח ביצוע (3)'!$B249,'מצבת והרשמה (2)'!$K$21:$K$501),0)</f>
        <v>0</v>
      </c>
      <c r="F249" s="253">
        <f t="shared" si="66"/>
        <v>0</v>
      </c>
      <c r="G249" s="680"/>
      <c r="H249" s="680"/>
      <c r="I249" s="253">
        <f t="shared" si="59"/>
        <v>0</v>
      </c>
      <c r="J249" s="453">
        <f t="shared" si="67"/>
        <v>0</v>
      </c>
      <c r="K249" s="689"/>
      <c r="L249" s="689"/>
      <c r="M249" s="969">
        <f t="shared" si="68"/>
        <v>0</v>
      </c>
      <c r="N249" s="1029" t="str">
        <f t="shared" si="69"/>
        <v/>
      </c>
      <c r="O249" s="969" t="str">
        <f>IFERROR(VLOOKUP(B249,'נתוני רישום ומצבת'!B:Q,16,0),"")</f>
        <v/>
      </c>
      <c r="P249" s="969" t="str">
        <f>IFERROR(VLOOKUP(B249,'נתוני רישום ומצבת'!B:R,17,0),"")</f>
        <v/>
      </c>
      <c r="Q249" s="690"/>
      <c r="R249" s="1009"/>
      <c r="S249" s="376">
        <f t="shared" si="70"/>
        <v>0</v>
      </c>
      <c r="T249" s="376">
        <f t="shared" si="71"/>
        <v>0</v>
      </c>
      <c r="U249" s="386">
        <f t="shared" si="72"/>
        <v>0</v>
      </c>
      <c r="V249" s="513" t="str">
        <f t="shared" si="73"/>
        <v/>
      </c>
      <c r="W249" s="254" t="str">
        <f>IF(ISBLANK(B249)," ",IF(B249=IFERROR(VLOOKUP(B249,'מצבת והרשמה (2)'!F:F,1,0),0),"תקין","לא קיים במצבת כבית ספר בו מתקיימת פעילות"))</f>
        <v xml:space="preserve"> </v>
      </c>
      <c r="X249" s="256" t="str">
        <f t="shared" si="60"/>
        <v/>
      </c>
      <c r="Y249" s="256" t="str">
        <f t="shared" si="61"/>
        <v/>
      </c>
      <c r="Z249" s="741">
        <f t="shared" si="62"/>
        <v>0</v>
      </c>
      <c r="AA249" s="741">
        <f t="shared" si="63"/>
        <v>0</v>
      </c>
      <c r="AB249" s="741">
        <f t="shared" si="64"/>
        <v>0</v>
      </c>
      <c r="AC249" s="987">
        <f t="shared" si="74"/>
        <v>0</v>
      </c>
      <c r="AD249" s="987">
        <f t="shared" si="75"/>
        <v>0</v>
      </c>
      <c r="AE249" s="368" t="str">
        <f>IFERROR(VLOOKUP(B249,'[1]סיכום בקרת רשויות'!$A:$D,4,0),"")</f>
        <v/>
      </c>
      <c r="AF249" s="57" t="str">
        <f t="shared" si="76"/>
        <v/>
      </c>
      <c r="AG249" s="180">
        <f>IF(AF249="כן",M249*'גנים ובתי ספר- מבנה תקציב'!$H$59,0)</f>
        <v>0</v>
      </c>
      <c r="AH249" s="180">
        <f>IF(AF249="כן",M249*'גנים ובתי ספר- מבנה תקציב'!$I$59,0)</f>
        <v>0</v>
      </c>
      <c r="AI249" s="180">
        <f t="shared" si="77"/>
        <v>0</v>
      </c>
      <c r="AJ249" s="368" t="str">
        <f t="shared" si="65"/>
        <v/>
      </c>
    </row>
    <row r="250" spans="1:36" x14ac:dyDescent="0.25">
      <c r="A250" s="57">
        <v>230</v>
      </c>
      <c r="B250" s="690"/>
      <c r="C250" s="690"/>
      <c r="D250" s="252">
        <f>(IFERROR(SUMIF('מצבת והרשמה (2)'!$F$21:$F$501,'דוח ביצוע (3)'!$B250,'מצבת והרשמה (2)'!$J$21:$J$501),0))</f>
        <v>0</v>
      </c>
      <c r="E250" s="252">
        <f>IFERROR(SUMIF('מצבת והרשמה (2)'!$F$21:$F$501,'דוח ביצוע (3)'!$B250,'מצבת והרשמה (2)'!$K$21:$K$501),0)</f>
        <v>0</v>
      </c>
      <c r="F250" s="253">
        <f t="shared" si="66"/>
        <v>0</v>
      </c>
      <c r="G250" s="680"/>
      <c r="H250" s="680"/>
      <c r="I250" s="253">
        <f t="shared" si="59"/>
        <v>0</v>
      </c>
      <c r="J250" s="453">
        <f t="shared" si="67"/>
        <v>0</v>
      </c>
      <c r="K250" s="689"/>
      <c r="L250" s="689"/>
      <c r="M250" s="969">
        <f t="shared" si="68"/>
        <v>0</v>
      </c>
      <c r="N250" s="1029" t="str">
        <f t="shared" si="69"/>
        <v/>
      </c>
      <c r="O250" s="969" t="str">
        <f>IFERROR(VLOOKUP(B250,'נתוני רישום ומצבת'!B:Q,16,0),"")</f>
        <v/>
      </c>
      <c r="P250" s="969" t="str">
        <f>IFERROR(VLOOKUP(B250,'נתוני רישום ומצבת'!B:R,17,0),"")</f>
        <v/>
      </c>
      <c r="Q250" s="690"/>
      <c r="R250" s="1009"/>
      <c r="S250" s="376">
        <f t="shared" si="70"/>
        <v>0</v>
      </c>
      <c r="T250" s="376">
        <f t="shared" si="71"/>
        <v>0</v>
      </c>
      <c r="U250" s="386">
        <f t="shared" si="72"/>
        <v>0</v>
      </c>
      <c r="V250" s="513" t="str">
        <f t="shared" si="73"/>
        <v/>
      </c>
      <c r="W250" s="254" t="str">
        <f>IF(ISBLANK(B250)," ",IF(B250=IFERROR(VLOOKUP(B250,'מצבת והרשמה (2)'!F:F,1,0),0),"תקין","לא קיים במצבת כבית ספר בו מתקיימת פעילות"))</f>
        <v xml:space="preserve"> </v>
      </c>
      <c r="X250" s="256" t="str">
        <f t="shared" si="60"/>
        <v/>
      </c>
      <c r="Y250" s="256" t="str">
        <f t="shared" si="61"/>
        <v/>
      </c>
      <c r="Z250" s="741">
        <f t="shared" si="62"/>
        <v>0</v>
      </c>
      <c r="AA250" s="741">
        <f t="shared" si="63"/>
        <v>0</v>
      </c>
      <c r="AB250" s="741">
        <f t="shared" si="64"/>
        <v>0</v>
      </c>
      <c r="AC250" s="987">
        <f t="shared" si="74"/>
        <v>0</v>
      </c>
      <c r="AD250" s="987">
        <f t="shared" si="75"/>
        <v>0</v>
      </c>
      <c r="AE250" s="368" t="str">
        <f>IFERROR(VLOOKUP(B250,'[1]סיכום בקרת רשויות'!$A:$D,4,0),"")</f>
        <v/>
      </c>
      <c r="AF250" s="57" t="str">
        <f t="shared" si="76"/>
        <v/>
      </c>
      <c r="AG250" s="180">
        <f>IF(AF250="כן",M250*'גנים ובתי ספר- מבנה תקציב'!$H$59,0)</f>
        <v>0</v>
      </c>
      <c r="AH250" s="180">
        <f>IF(AF250="כן",M250*'גנים ובתי ספר- מבנה תקציב'!$I$59,0)</f>
        <v>0</v>
      </c>
      <c r="AI250" s="180">
        <f t="shared" si="77"/>
        <v>0</v>
      </c>
      <c r="AJ250" s="368" t="str">
        <f t="shared" si="65"/>
        <v/>
      </c>
    </row>
    <row r="251" spans="1:36" x14ac:dyDescent="0.25">
      <c r="A251" s="57">
        <v>231</v>
      </c>
      <c r="B251" s="690"/>
      <c r="C251" s="690"/>
      <c r="D251" s="252">
        <f>(IFERROR(SUMIF('מצבת והרשמה (2)'!$F$21:$F$501,'דוח ביצוע (3)'!$B251,'מצבת והרשמה (2)'!$J$21:$J$501),0))</f>
        <v>0</v>
      </c>
      <c r="E251" s="252">
        <f>IFERROR(SUMIF('מצבת והרשמה (2)'!$F$21:$F$501,'דוח ביצוע (3)'!$B251,'מצבת והרשמה (2)'!$K$21:$K$501),0)</f>
        <v>0</v>
      </c>
      <c r="F251" s="253">
        <f t="shared" si="66"/>
        <v>0</v>
      </c>
      <c r="G251" s="680"/>
      <c r="H251" s="680"/>
      <c r="I251" s="253">
        <f t="shared" si="59"/>
        <v>0</v>
      </c>
      <c r="J251" s="453">
        <f t="shared" si="67"/>
        <v>0</v>
      </c>
      <c r="K251" s="689"/>
      <c r="L251" s="689"/>
      <c r="M251" s="969">
        <f t="shared" si="68"/>
        <v>0</v>
      </c>
      <c r="N251" s="1029" t="str">
        <f t="shared" si="69"/>
        <v/>
      </c>
      <c r="O251" s="969" t="str">
        <f>IFERROR(VLOOKUP(B251,'נתוני רישום ומצבת'!B:Q,16,0),"")</f>
        <v/>
      </c>
      <c r="P251" s="969" t="str">
        <f>IFERROR(VLOOKUP(B251,'נתוני רישום ומצבת'!B:R,17,0),"")</f>
        <v/>
      </c>
      <c r="Q251" s="690"/>
      <c r="R251" s="1009"/>
      <c r="S251" s="376">
        <f t="shared" si="70"/>
        <v>0</v>
      </c>
      <c r="T251" s="376">
        <f t="shared" si="71"/>
        <v>0</v>
      </c>
      <c r="U251" s="386">
        <f t="shared" si="72"/>
        <v>0</v>
      </c>
      <c r="V251" s="513" t="str">
        <f t="shared" si="73"/>
        <v/>
      </c>
      <c r="W251" s="254" t="str">
        <f>IF(ISBLANK(B251)," ",IF(B251=IFERROR(VLOOKUP(B251,'מצבת והרשמה (2)'!F:F,1,0),0),"תקין","לא קיים במצבת כבית ספר בו מתקיימת פעילות"))</f>
        <v xml:space="preserve"> </v>
      </c>
      <c r="X251" s="256" t="str">
        <f t="shared" si="60"/>
        <v/>
      </c>
      <c r="Y251" s="256" t="str">
        <f t="shared" si="61"/>
        <v/>
      </c>
      <c r="Z251" s="741">
        <f t="shared" si="62"/>
        <v>0</v>
      </c>
      <c r="AA251" s="741">
        <f t="shared" si="63"/>
        <v>0</v>
      </c>
      <c r="AB251" s="741">
        <f t="shared" si="64"/>
        <v>0</v>
      </c>
      <c r="AC251" s="987">
        <f t="shared" si="74"/>
        <v>0</v>
      </c>
      <c r="AD251" s="987">
        <f t="shared" si="75"/>
        <v>0</v>
      </c>
      <c r="AE251" s="368" t="str">
        <f>IFERROR(VLOOKUP(B251,'[1]סיכום בקרת רשויות'!$A:$D,4,0),"")</f>
        <v/>
      </c>
      <c r="AF251" s="57" t="str">
        <f t="shared" si="76"/>
        <v/>
      </c>
      <c r="AG251" s="180">
        <f>IF(AF251="כן",M251*'גנים ובתי ספר- מבנה תקציב'!$H$59,0)</f>
        <v>0</v>
      </c>
      <c r="AH251" s="180">
        <f>IF(AF251="כן",M251*'גנים ובתי ספר- מבנה תקציב'!$I$59,0)</f>
        <v>0</v>
      </c>
      <c r="AI251" s="180">
        <f t="shared" si="77"/>
        <v>0</v>
      </c>
      <c r="AJ251" s="368" t="str">
        <f t="shared" si="65"/>
        <v/>
      </c>
    </row>
    <row r="252" spans="1:36" x14ac:dyDescent="0.25">
      <c r="A252" s="57">
        <v>232</v>
      </c>
      <c r="B252" s="690"/>
      <c r="C252" s="690"/>
      <c r="D252" s="252">
        <f>(IFERROR(SUMIF('מצבת והרשמה (2)'!$F$21:$F$501,'דוח ביצוע (3)'!$B252,'מצבת והרשמה (2)'!$J$21:$J$501),0))</f>
        <v>0</v>
      </c>
      <c r="E252" s="252">
        <f>IFERROR(SUMIF('מצבת והרשמה (2)'!$F$21:$F$501,'דוח ביצוע (3)'!$B252,'מצבת והרשמה (2)'!$K$21:$K$501),0)</f>
        <v>0</v>
      </c>
      <c r="F252" s="253">
        <f t="shared" si="66"/>
        <v>0</v>
      </c>
      <c r="G252" s="680"/>
      <c r="H252" s="680"/>
      <c r="I252" s="253">
        <f t="shared" si="59"/>
        <v>0</v>
      </c>
      <c r="J252" s="453">
        <f t="shared" si="67"/>
        <v>0</v>
      </c>
      <c r="K252" s="689"/>
      <c r="L252" s="689"/>
      <c r="M252" s="969">
        <f t="shared" si="68"/>
        <v>0</v>
      </c>
      <c r="N252" s="1029" t="str">
        <f t="shared" si="69"/>
        <v/>
      </c>
      <c r="O252" s="969" t="str">
        <f>IFERROR(VLOOKUP(B252,'נתוני רישום ומצבת'!B:Q,16,0),"")</f>
        <v/>
      </c>
      <c r="P252" s="969" t="str">
        <f>IFERROR(VLOOKUP(B252,'נתוני רישום ומצבת'!B:R,17,0),"")</f>
        <v/>
      </c>
      <c r="Q252" s="690"/>
      <c r="R252" s="1009"/>
      <c r="S252" s="376">
        <f t="shared" si="70"/>
        <v>0</v>
      </c>
      <c r="T252" s="376">
        <f t="shared" si="71"/>
        <v>0</v>
      </c>
      <c r="U252" s="386">
        <f t="shared" si="72"/>
        <v>0</v>
      </c>
      <c r="V252" s="513" t="str">
        <f t="shared" si="73"/>
        <v/>
      </c>
      <c r="W252" s="254" t="str">
        <f>IF(ISBLANK(B252)," ",IF(B252=IFERROR(VLOOKUP(B252,'מצבת והרשמה (2)'!F:F,1,0),0),"תקין","לא קיים במצבת כבית ספר בו מתקיימת פעילות"))</f>
        <v xml:space="preserve"> </v>
      </c>
      <c r="X252" s="256" t="str">
        <f t="shared" si="60"/>
        <v/>
      </c>
      <c r="Y252" s="256" t="str">
        <f t="shared" si="61"/>
        <v/>
      </c>
      <c r="Z252" s="741">
        <f t="shared" si="62"/>
        <v>0</v>
      </c>
      <c r="AA252" s="741">
        <f t="shared" si="63"/>
        <v>0</v>
      </c>
      <c r="AB252" s="741">
        <f t="shared" si="64"/>
        <v>0</v>
      </c>
      <c r="AC252" s="987">
        <f t="shared" si="74"/>
        <v>0</v>
      </c>
      <c r="AD252" s="987">
        <f t="shared" si="75"/>
        <v>0</v>
      </c>
      <c r="AE252" s="368" t="str">
        <f>IFERROR(VLOOKUP(B252,'[1]סיכום בקרת רשויות'!$A:$D,4,0),"")</f>
        <v/>
      </c>
      <c r="AF252" s="57" t="str">
        <f t="shared" si="76"/>
        <v/>
      </c>
      <c r="AG252" s="180">
        <f>IF(AF252="כן",M252*'גנים ובתי ספר- מבנה תקציב'!$H$59,0)</f>
        <v>0</v>
      </c>
      <c r="AH252" s="180">
        <f>IF(AF252="כן",M252*'גנים ובתי ספר- מבנה תקציב'!$I$59,0)</f>
        <v>0</v>
      </c>
      <c r="AI252" s="180">
        <f t="shared" si="77"/>
        <v>0</v>
      </c>
      <c r="AJ252" s="368" t="str">
        <f t="shared" si="65"/>
        <v/>
      </c>
    </row>
    <row r="253" spans="1:36" x14ac:dyDescent="0.25">
      <c r="A253" s="57">
        <v>233</v>
      </c>
      <c r="B253" s="690"/>
      <c r="C253" s="690"/>
      <c r="D253" s="252">
        <f>(IFERROR(SUMIF('מצבת והרשמה (2)'!$F$21:$F$501,'דוח ביצוע (3)'!$B253,'מצבת והרשמה (2)'!$J$21:$J$501),0))</f>
        <v>0</v>
      </c>
      <c r="E253" s="252">
        <f>IFERROR(SUMIF('מצבת והרשמה (2)'!$F$21:$F$501,'דוח ביצוע (3)'!$B253,'מצבת והרשמה (2)'!$K$21:$K$501),0)</f>
        <v>0</v>
      </c>
      <c r="F253" s="253">
        <f t="shared" si="66"/>
        <v>0</v>
      </c>
      <c r="G253" s="680"/>
      <c r="H253" s="680"/>
      <c r="I253" s="253">
        <f t="shared" si="59"/>
        <v>0</v>
      </c>
      <c r="J253" s="453">
        <f t="shared" si="67"/>
        <v>0</v>
      </c>
      <c r="K253" s="689"/>
      <c r="L253" s="689"/>
      <c r="M253" s="969">
        <f t="shared" si="68"/>
        <v>0</v>
      </c>
      <c r="N253" s="1029" t="str">
        <f t="shared" si="69"/>
        <v/>
      </c>
      <c r="O253" s="969" t="str">
        <f>IFERROR(VLOOKUP(B253,'נתוני רישום ומצבת'!B:Q,16,0),"")</f>
        <v/>
      </c>
      <c r="P253" s="969" t="str">
        <f>IFERROR(VLOOKUP(B253,'נתוני רישום ומצבת'!B:R,17,0),"")</f>
        <v/>
      </c>
      <c r="Q253" s="690"/>
      <c r="R253" s="1009"/>
      <c r="S253" s="376">
        <f t="shared" si="70"/>
        <v>0</v>
      </c>
      <c r="T253" s="376">
        <f t="shared" si="71"/>
        <v>0</v>
      </c>
      <c r="U253" s="386">
        <f t="shared" si="72"/>
        <v>0</v>
      </c>
      <c r="V253" s="513" t="str">
        <f t="shared" si="73"/>
        <v/>
      </c>
      <c r="W253" s="254" t="str">
        <f>IF(ISBLANK(B253)," ",IF(B253=IFERROR(VLOOKUP(B253,'מצבת והרשמה (2)'!F:F,1,0),0),"תקין","לא קיים במצבת כבית ספר בו מתקיימת פעילות"))</f>
        <v xml:space="preserve"> </v>
      </c>
      <c r="X253" s="256" t="str">
        <f t="shared" si="60"/>
        <v/>
      </c>
      <c r="Y253" s="256" t="str">
        <f t="shared" si="61"/>
        <v/>
      </c>
      <c r="Z253" s="741">
        <f t="shared" si="62"/>
        <v>0</v>
      </c>
      <c r="AA253" s="741">
        <f t="shared" si="63"/>
        <v>0</v>
      </c>
      <c r="AB253" s="741">
        <f t="shared" si="64"/>
        <v>0</v>
      </c>
      <c r="AC253" s="987">
        <f t="shared" si="74"/>
        <v>0</v>
      </c>
      <c r="AD253" s="987">
        <f t="shared" si="75"/>
        <v>0</v>
      </c>
      <c r="AE253" s="368" t="str">
        <f>IFERROR(VLOOKUP(B253,'[1]סיכום בקרת רשויות'!$A:$D,4,0),"")</f>
        <v/>
      </c>
      <c r="AF253" s="57" t="str">
        <f t="shared" si="76"/>
        <v/>
      </c>
      <c r="AG253" s="180">
        <f>IF(AF253="כן",M253*'גנים ובתי ספר- מבנה תקציב'!$H$59,0)</f>
        <v>0</v>
      </c>
      <c r="AH253" s="180">
        <f>IF(AF253="כן",M253*'גנים ובתי ספר- מבנה תקציב'!$I$59,0)</f>
        <v>0</v>
      </c>
      <c r="AI253" s="180">
        <f t="shared" si="77"/>
        <v>0</v>
      </c>
      <c r="AJ253" s="368" t="str">
        <f t="shared" si="65"/>
        <v/>
      </c>
    </row>
    <row r="254" spans="1:36" x14ac:dyDescent="0.25">
      <c r="A254" s="57">
        <v>234</v>
      </c>
      <c r="B254" s="690"/>
      <c r="C254" s="690"/>
      <c r="D254" s="252">
        <f>(IFERROR(SUMIF('מצבת והרשמה (2)'!$F$21:$F$501,'דוח ביצוע (3)'!$B254,'מצבת והרשמה (2)'!$J$21:$J$501),0))</f>
        <v>0</v>
      </c>
      <c r="E254" s="252">
        <f>IFERROR(SUMIF('מצבת והרשמה (2)'!$F$21:$F$501,'דוח ביצוע (3)'!$B254,'מצבת והרשמה (2)'!$K$21:$K$501),0)</f>
        <v>0</v>
      </c>
      <c r="F254" s="253">
        <f t="shared" si="66"/>
        <v>0</v>
      </c>
      <c r="G254" s="680"/>
      <c r="H254" s="680"/>
      <c r="I254" s="253">
        <f t="shared" si="59"/>
        <v>0</v>
      </c>
      <c r="J254" s="453">
        <f t="shared" si="67"/>
        <v>0</v>
      </c>
      <c r="K254" s="689"/>
      <c r="L254" s="689"/>
      <c r="M254" s="969">
        <f t="shared" si="68"/>
        <v>0</v>
      </c>
      <c r="N254" s="1029" t="str">
        <f t="shared" si="69"/>
        <v/>
      </c>
      <c r="O254" s="969" t="str">
        <f>IFERROR(VLOOKUP(B254,'נתוני רישום ומצבת'!B:Q,16,0),"")</f>
        <v/>
      </c>
      <c r="P254" s="969" t="str">
        <f>IFERROR(VLOOKUP(B254,'נתוני רישום ומצבת'!B:R,17,0),"")</f>
        <v/>
      </c>
      <c r="Q254" s="690"/>
      <c r="R254" s="1009"/>
      <c r="S254" s="376">
        <f t="shared" si="70"/>
        <v>0</v>
      </c>
      <c r="T254" s="376">
        <f t="shared" si="71"/>
        <v>0</v>
      </c>
      <c r="U254" s="386">
        <f t="shared" si="72"/>
        <v>0</v>
      </c>
      <c r="V254" s="513" t="str">
        <f t="shared" si="73"/>
        <v/>
      </c>
      <c r="W254" s="254" t="str">
        <f>IF(ISBLANK(B254)," ",IF(B254=IFERROR(VLOOKUP(B254,'מצבת והרשמה (2)'!F:F,1,0),0),"תקין","לא קיים במצבת כבית ספר בו מתקיימת פעילות"))</f>
        <v xml:space="preserve"> </v>
      </c>
      <c r="X254" s="256" t="str">
        <f t="shared" si="60"/>
        <v/>
      </c>
      <c r="Y254" s="256" t="str">
        <f t="shared" si="61"/>
        <v/>
      </c>
      <c r="Z254" s="741">
        <f t="shared" si="62"/>
        <v>0</v>
      </c>
      <c r="AA254" s="741">
        <f t="shared" si="63"/>
        <v>0</v>
      </c>
      <c r="AB254" s="741">
        <f t="shared" si="64"/>
        <v>0</v>
      </c>
      <c r="AC254" s="987">
        <f t="shared" si="74"/>
        <v>0</v>
      </c>
      <c r="AD254" s="987">
        <f t="shared" si="75"/>
        <v>0</v>
      </c>
      <c r="AE254" s="368" t="str">
        <f>IFERROR(VLOOKUP(B254,'[1]סיכום בקרת רשויות'!$A:$D,4,0),"")</f>
        <v/>
      </c>
      <c r="AF254" s="57" t="str">
        <f t="shared" si="76"/>
        <v/>
      </c>
      <c r="AG254" s="180">
        <f>IF(AF254="כן",M254*'גנים ובתי ספר- מבנה תקציב'!$H$59,0)</f>
        <v>0</v>
      </c>
      <c r="AH254" s="180">
        <f>IF(AF254="כן",M254*'גנים ובתי ספר- מבנה תקציב'!$I$59,0)</f>
        <v>0</v>
      </c>
      <c r="AI254" s="180">
        <f t="shared" si="77"/>
        <v>0</v>
      </c>
      <c r="AJ254" s="368" t="str">
        <f t="shared" si="65"/>
        <v/>
      </c>
    </row>
    <row r="255" spans="1:36" x14ac:dyDescent="0.25">
      <c r="A255" s="57">
        <v>235</v>
      </c>
      <c r="B255" s="690"/>
      <c r="C255" s="690"/>
      <c r="D255" s="252">
        <f>(IFERROR(SUMIF('מצבת והרשמה (2)'!$F$21:$F$501,'דוח ביצוע (3)'!$B255,'מצבת והרשמה (2)'!$J$21:$J$501),0))</f>
        <v>0</v>
      </c>
      <c r="E255" s="252">
        <f>IFERROR(SUMIF('מצבת והרשמה (2)'!$F$21:$F$501,'דוח ביצוע (3)'!$B255,'מצבת והרשמה (2)'!$K$21:$K$501),0)</f>
        <v>0</v>
      </c>
      <c r="F255" s="253">
        <f t="shared" si="66"/>
        <v>0</v>
      </c>
      <c r="G255" s="680"/>
      <c r="H255" s="680"/>
      <c r="I255" s="253">
        <f t="shared" si="59"/>
        <v>0</v>
      </c>
      <c r="J255" s="453">
        <f t="shared" si="67"/>
        <v>0</v>
      </c>
      <c r="K255" s="689"/>
      <c r="L255" s="689"/>
      <c r="M255" s="969">
        <f t="shared" si="68"/>
        <v>0</v>
      </c>
      <c r="N255" s="1029" t="str">
        <f t="shared" si="69"/>
        <v/>
      </c>
      <c r="O255" s="969" t="str">
        <f>IFERROR(VLOOKUP(B255,'נתוני רישום ומצבת'!B:Q,16,0),"")</f>
        <v/>
      </c>
      <c r="P255" s="969" t="str">
        <f>IFERROR(VLOOKUP(B255,'נתוני רישום ומצבת'!B:R,17,0),"")</f>
        <v/>
      </c>
      <c r="Q255" s="690"/>
      <c r="R255" s="1009"/>
      <c r="S255" s="376">
        <f t="shared" si="70"/>
        <v>0</v>
      </c>
      <c r="T255" s="376">
        <f t="shared" si="71"/>
        <v>0</v>
      </c>
      <c r="U255" s="386">
        <f t="shared" si="72"/>
        <v>0</v>
      </c>
      <c r="V255" s="513" t="str">
        <f t="shared" si="73"/>
        <v/>
      </c>
      <c r="W255" s="254" t="str">
        <f>IF(ISBLANK(B255)," ",IF(B255=IFERROR(VLOOKUP(B255,'מצבת והרשמה (2)'!F:F,1,0),0),"תקין","לא קיים במצבת כבית ספר בו מתקיימת פעילות"))</f>
        <v xml:space="preserve"> </v>
      </c>
      <c r="X255" s="256" t="str">
        <f t="shared" si="60"/>
        <v/>
      </c>
      <c r="Y255" s="256" t="str">
        <f t="shared" si="61"/>
        <v/>
      </c>
      <c r="Z255" s="741">
        <f t="shared" si="62"/>
        <v>0</v>
      </c>
      <c r="AA255" s="741">
        <f t="shared" si="63"/>
        <v>0</v>
      </c>
      <c r="AB255" s="741">
        <f t="shared" si="64"/>
        <v>0</v>
      </c>
      <c r="AC255" s="987">
        <f t="shared" si="74"/>
        <v>0</v>
      </c>
      <c r="AD255" s="987">
        <f t="shared" si="75"/>
        <v>0</v>
      </c>
      <c r="AE255" s="368" t="str">
        <f>IFERROR(VLOOKUP(B255,'[1]סיכום בקרת רשויות'!$A:$D,4,0),"")</f>
        <v/>
      </c>
      <c r="AF255" s="57" t="str">
        <f t="shared" si="76"/>
        <v/>
      </c>
      <c r="AG255" s="180">
        <f>IF(AF255="כן",M255*'גנים ובתי ספר- מבנה תקציב'!$H$59,0)</f>
        <v>0</v>
      </c>
      <c r="AH255" s="180">
        <f>IF(AF255="כן",M255*'גנים ובתי ספר- מבנה תקציב'!$I$59,0)</f>
        <v>0</v>
      </c>
      <c r="AI255" s="180">
        <f t="shared" si="77"/>
        <v>0</v>
      </c>
      <c r="AJ255" s="368" t="str">
        <f t="shared" si="65"/>
        <v/>
      </c>
    </row>
    <row r="256" spans="1:36" x14ac:dyDescent="0.25">
      <c r="A256" s="57">
        <v>236</v>
      </c>
      <c r="B256" s="690"/>
      <c r="C256" s="690"/>
      <c r="D256" s="252">
        <f>(IFERROR(SUMIF('מצבת והרשמה (2)'!$F$21:$F$501,'דוח ביצוע (3)'!$B256,'מצבת והרשמה (2)'!$J$21:$J$501),0))</f>
        <v>0</v>
      </c>
      <c r="E256" s="252">
        <f>IFERROR(SUMIF('מצבת והרשמה (2)'!$F$21:$F$501,'דוח ביצוע (3)'!$B256,'מצבת והרשמה (2)'!$K$21:$K$501),0)</f>
        <v>0</v>
      </c>
      <c r="F256" s="253">
        <f t="shared" si="66"/>
        <v>0</v>
      </c>
      <c r="G256" s="680"/>
      <c r="H256" s="680"/>
      <c r="I256" s="253">
        <f t="shared" si="59"/>
        <v>0</v>
      </c>
      <c r="J256" s="453">
        <f t="shared" si="67"/>
        <v>0</v>
      </c>
      <c r="K256" s="689"/>
      <c r="L256" s="689"/>
      <c r="M256" s="969">
        <f t="shared" si="68"/>
        <v>0</v>
      </c>
      <c r="N256" s="1029" t="str">
        <f t="shared" si="69"/>
        <v/>
      </c>
      <c r="O256" s="969" t="str">
        <f>IFERROR(VLOOKUP(B256,'נתוני רישום ומצבת'!B:Q,16,0),"")</f>
        <v/>
      </c>
      <c r="P256" s="969" t="str">
        <f>IFERROR(VLOOKUP(B256,'נתוני רישום ומצבת'!B:R,17,0),"")</f>
        <v/>
      </c>
      <c r="Q256" s="690"/>
      <c r="R256" s="1009"/>
      <c r="S256" s="376">
        <f t="shared" si="70"/>
        <v>0</v>
      </c>
      <c r="T256" s="376">
        <f t="shared" si="71"/>
        <v>0</v>
      </c>
      <c r="U256" s="386">
        <f t="shared" si="72"/>
        <v>0</v>
      </c>
      <c r="V256" s="513" t="str">
        <f t="shared" si="73"/>
        <v/>
      </c>
      <c r="W256" s="254" t="str">
        <f>IF(ISBLANK(B256)," ",IF(B256=IFERROR(VLOOKUP(B256,'מצבת והרשמה (2)'!F:F,1,0),0),"תקין","לא קיים במצבת כבית ספר בו מתקיימת פעילות"))</f>
        <v xml:space="preserve"> </v>
      </c>
      <c r="X256" s="256" t="str">
        <f t="shared" si="60"/>
        <v/>
      </c>
      <c r="Y256" s="256" t="str">
        <f t="shared" si="61"/>
        <v/>
      </c>
      <c r="Z256" s="741">
        <f t="shared" si="62"/>
        <v>0</v>
      </c>
      <c r="AA256" s="741">
        <f t="shared" si="63"/>
        <v>0</v>
      </c>
      <c r="AB256" s="741">
        <f t="shared" si="64"/>
        <v>0</v>
      </c>
      <c r="AC256" s="987">
        <f t="shared" si="74"/>
        <v>0</v>
      </c>
      <c r="AD256" s="987">
        <f t="shared" si="75"/>
        <v>0</v>
      </c>
      <c r="AE256" s="368" t="str">
        <f>IFERROR(VLOOKUP(B256,'[1]סיכום בקרת רשויות'!$A:$D,4,0),"")</f>
        <v/>
      </c>
      <c r="AF256" s="57" t="str">
        <f t="shared" si="76"/>
        <v/>
      </c>
      <c r="AG256" s="180">
        <f>IF(AF256="כן",M256*'גנים ובתי ספר- מבנה תקציב'!$H$59,0)</f>
        <v>0</v>
      </c>
      <c r="AH256" s="180">
        <f>IF(AF256="כן",M256*'גנים ובתי ספר- מבנה תקציב'!$I$59,0)</f>
        <v>0</v>
      </c>
      <c r="AI256" s="180">
        <f t="shared" si="77"/>
        <v>0</v>
      </c>
      <c r="AJ256" s="368" t="str">
        <f t="shared" si="65"/>
        <v/>
      </c>
    </row>
    <row r="257" spans="1:36" x14ac:dyDescent="0.25">
      <c r="A257" s="57">
        <v>237</v>
      </c>
      <c r="B257" s="690"/>
      <c r="C257" s="690"/>
      <c r="D257" s="252">
        <f>(IFERROR(SUMIF('מצבת והרשמה (2)'!$F$21:$F$501,'דוח ביצוע (3)'!$B257,'מצבת והרשמה (2)'!$J$21:$J$501),0))</f>
        <v>0</v>
      </c>
      <c r="E257" s="252">
        <f>IFERROR(SUMIF('מצבת והרשמה (2)'!$F$21:$F$501,'דוח ביצוע (3)'!$B257,'מצבת והרשמה (2)'!$K$21:$K$501),0)</f>
        <v>0</v>
      </c>
      <c r="F257" s="253">
        <f t="shared" si="66"/>
        <v>0</v>
      </c>
      <c r="G257" s="680"/>
      <c r="H257" s="680"/>
      <c r="I257" s="253">
        <f t="shared" si="59"/>
        <v>0</v>
      </c>
      <c r="J257" s="453">
        <f t="shared" si="67"/>
        <v>0</v>
      </c>
      <c r="K257" s="689"/>
      <c r="L257" s="689"/>
      <c r="M257" s="969">
        <f t="shared" si="68"/>
        <v>0</v>
      </c>
      <c r="N257" s="1029" t="str">
        <f t="shared" si="69"/>
        <v/>
      </c>
      <c r="O257" s="969" t="str">
        <f>IFERROR(VLOOKUP(B257,'נתוני רישום ומצבת'!B:Q,16,0),"")</f>
        <v/>
      </c>
      <c r="P257" s="969" t="str">
        <f>IFERROR(VLOOKUP(B257,'נתוני רישום ומצבת'!B:R,17,0),"")</f>
        <v/>
      </c>
      <c r="Q257" s="690"/>
      <c r="R257" s="1009"/>
      <c r="S257" s="376">
        <f t="shared" si="70"/>
        <v>0</v>
      </c>
      <c r="T257" s="376">
        <f t="shared" si="71"/>
        <v>0</v>
      </c>
      <c r="U257" s="386">
        <f t="shared" si="72"/>
        <v>0</v>
      </c>
      <c r="V257" s="513" t="str">
        <f t="shared" si="73"/>
        <v/>
      </c>
      <c r="W257" s="254" t="str">
        <f>IF(ISBLANK(B257)," ",IF(B257=IFERROR(VLOOKUP(B257,'מצבת והרשמה (2)'!F:F,1,0),0),"תקין","לא קיים במצבת כבית ספר בו מתקיימת פעילות"))</f>
        <v xml:space="preserve"> </v>
      </c>
      <c r="X257" s="256" t="str">
        <f t="shared" si="60"/>
        <v/>
      </c>
      <c r="Y257" s="256" t="str">
        <f t="shared" si="61"/>
        <v/>
      </c>
      <c r="Z257" s="741">
        <f t="shared" si="62"/>
        <v>0</v>
      </c>
      <c r="AA257" s="741">
        <f t="shared" si="63"/>
        <v>0</v>
      </c>
      <c r="AB257" s="741">
        <f t="shared" si="64"/>
        <v>0</v>
      </c>
      <c r="AC257" s="987">
        <f t="shared" si="74"/>
        <v>0</v>
      </c>
      <c r="AD257" s="987">
        <f t="shared" si="75"/>
        <v>0</v>
      </c>
      <c r="AE257" s="368" t="str">
        <f>IFERROR(VLOOKUP(B257,'[1]סיכום בקרת רשויות'!$A:$D,4,0),"")</f>
        <v/>
      </c>
      <c r="AF257" s="57" t="str">
        <f t="shared" si="76"/>
        <v/>
      </c>
      <c r="AG257" s="180">
        <f>IF(AF257="כן",M257*'גנים ובתי ספר- מבנה תקציב'!$H$59,0)</f>
        <v>0</v>
      </c>
      <c r="AH257" s="180">
        <f>IF(AF257="כן",M257*'גנים ובתי ספר- מבנה תקציב'!$I$59,0)</f>
        <v>0</v>
      </c>
      <c r="AI257" s="180">
        <f t="shared" si="77"/>
        <v>0</v>
      </c>
      <c r="AJ257" s="368" t="str">
        <f t="shared" si="65"/>
        <v/>
      </c>
    </row>
    <row r="258" spans="1:36" x14ac:dyDescent="0.25">
      <c r="A258" s="57">
        <v>238</v>
      </c>
      <c r="B258" s="690"/>
      <c r="C258" s="690"/>
      <c r="D258" s="252">
        <f>(IFERROR(SUMIF('מצבת והרשמה (2)'!$F$21:$F$501,'דוח ביצוע (3)'!$B258,'מצבת והרשמה (2)'!$J$21:$J$501),0))</f>
        <v>0</v>
      </c>
      <c r="E258" s="252">
        <f>IFERROR(SUMIF('מצבת והרשמה (2)'!$F$21:$F$501,'דוח ביצוע (3)'!$B258,'מצבת והרשמה (2)'!$K$21:$K$501),0)</f>
        <v>0</v>
      </c>
      <c r="F258" s="253">
        <f t="shared" si="66"/>
        <v>0</v>
      </c>
      <c r="G258" s="680"/>
      <c r="H258" s="680"/>
      <c r="I258" s="253">
        <f t="shared" si="59"/>
        <v>0</v>
      </c>
      <c r="J258" s="453">
        <f t="shared" si="67"/>
        <v>0</v>
      </c>
      <c r="K258" s="689"/>
      <c r="L258" s="689"/>
      <c r="M258" s="969">
        <f t="shared" si="68"/>
        <v>0</v>
      </c>
      <c r="N258" s="1029" t="str">
        <f t="shared" si="69"/>
        <v/>
      </c>
      <c r="O258" s="969" t="str">
        <f>IFERROR(VLOOKUP(B258,'נתוני רישום ומצבת'!B:Q,16,0),"")</f>
        <v/>
      </c>
      <c r="P258" s="969" t="str">
        <f>IFERROR(VLOOKUP(B258,'נתוני רישום ומצבת'!B:R,17,0),"")</f>
        <v/>
      </c>
      <c r="Q258" s="690"/>
      <c r="R258" s="1009"/>
      <c r="S258" s="376">
        <f t="shared" si="70"/>
        <v>0</v>
      </c>
      <c r="T258" s="376">
        <f t="shared" si="71"/>
        <v>0</v>
      </c>
      <c r="U258" s="386">
        <f t="shared" si="72"/>
        <v>0</v>
      </c>
      <c r="V258" s="513" t="str">
        <f t="shared" si="73"/>
        <v/>
      </c>
      <c r="W258" s="254" t="str">
        <f>IF(ISBLANK(B258)," ",IF(B258=IFERROR(VLOOKUP(B258,'מצבת והרשמה (2)'!F:F,1,0),0),"תקין","לא קיים במצבת כבית ספר בו מתקיימת פעילות"))</f>
        <v xml:space="preserve"> </v>
      </c>
      <c r="X258" s="256" t="str">
        <f t="shared" si="60"/>
        <v/>
      </c>
      <c r="Y258" s="256" t="str">
        <f t="shared" si="61"/>
        <v/>
      </c>
      <c r="Z258" s="741">
        <f t="shared" si="62"/>
        <v>0</v>
      </c>
      <c r="AA258" s="741">
        <f t="shared" si="63"/>
        <v>0</v>
      </c>
      <c r="AB258" s="741">
        <f t="shared" si="64"/>
        <v>0</v>
      </c>
      <c r="AC258" s="987">
        <f t="shared" si="74"/>
        <v>0</v>
      </c>
      <c r="AD258" s="987">
        <f t="shared" si="75"/>
        <v>0</v>
      </c>
      <c r="AE258" s="368" t="str">
        <f>IFERROR(VLOOKUP(B258,'[1]סיכום בקרת רשויות'!$A:$D,4,0),"")</f>
        <v/>
      </c>
      <c r="AF258" s="57" t="str">
        <f t="shared" si="76"/>
        <v/>
      </c>
      <c r="AG258" s="180">
        <f>IF(AF258="כן",M258*'גנים ובתי ספר- מבנה תקציב'!$H$59,0)</f>
        <v>0</v>
      </c>
      <c r="AH258" s="180">
        <f>IF(AF258="כן",M258*'גנים ובתי ספר- מבנה תקציב'!$I$59,0)</f>
        <v>0</v>
      </c>
      <c r="AI258" s="180">
        <f t="shared" si="77"/>
        <v>0</v>
      </c>
      <c r="AJ258" s="368" t="str">
        <f t="shared" si="65"/>
        <v/>
      </c>
    </row>
    <row r="259" spans="1:36" x14ac:dyDescent="0.25">
      <c r="A259" s="57">
        <v>239</v>
      </c>
      <c r="B259" s="690"/>
      <c r="C259" s="690"/>
      <c r="D259" s="252">
        <f>(IFERROR(SUMIF('מצבת והרשמה (2)'!$F$21:$F$501,'דוח ביצוע (3)'!$B259,'מצבת והרשמה (2)'!$J$21:$J$501),0))</f>
        <v>0</v>
      </c>
      <c r="E259" s="252">
        <f>IFERROR(SUMIF('מצבת והרשמה (2)'!$F$21:$F$501,'דוח ביצוע (3)'!$B259,'מצבת והרשמה (2)'!$K$21:$K$501),0)</f>
        <v>0</v>
      </c>
      <c r="F259" s="253">
        <f t="shared" si="66"/>
        <v>0</v>
      </c>
      <c r="G259" s="680"/>
      <c r="H259" s="680"/>
      <c r="I259" s="253">
        <f t="shared" si="59"/>
        <v>0</v>
      </c>
      <c r="J259" s="453">
        <f t="shared" si="67"/>
        <v>0</v>
      </c>
      <c r="K259" s="689"/>
      <c r="L259" s="689"/>
      <c r="M259" s="969">
        <f t="shared" si="68"/>
        <v>0</v>
      </c>
      <c r="N259" s="1029" t="str">
        <f t="shared" si="69"/>
        <v/>
      </c>
      <c r="O259" s="969" t="str">
        <f>IFERROR(VLOOKUP(B259,'נתוני רישום ומצבת'!B:Q,16,0),"")</f>
        <v/>
      </c>
      <c r="P259" s="969" t="str">
        <f>IFERROR(VLOOKUP(B259,'נתוני רישום ומצבת'!B:R,17,0),"")</f>
        <v/>
      </c>
      <c r="Q259" s="690"/>
      <c r="R259" s="1009"/>
      <c r="S259" s="376">
        <f t="shared" si="70"/>
        <v>0</v>
      </c>
      <c r="T259" s="376">
        <f t="shared" si="71"/>
        <v>0</v>
      </c>
      <c r="U259" s="386">
        <f t="shared" si="72"/>
        <v>0</v>
      </c>
      <c r="V259" s="513" t="str">
        <f t="shared" si="73"/>
        <v/>
      </c>
      <c r="W259" s="254" t="str">
        <f>IF(ISBLANK(B259)," ",IF(B259=IFERROR(VLOOKUP(B259,'מצבת והרשמה (2)'!F:F,1,0),0),"תקין","לא קיים במצבת כבית ספר בו מתקיימת פעילות"))</f>
        <v xml:space="preserve"> </v>
      </c>
      <c r="X259" s="256" t="str">
        <f t="shared" si="60"/>
        <v/>
      </c>
      <c r="Y259" s="256" t="str">
        <f t="shared" si="61"/>
        <v/>
      </c>
      <c r="Z259" s="741">
        <f t="shared" si="62"/>
        <v>0</v>
      </c>
      <c r="AA259" s="741">
        <f t="shared" si="63"/>
        <v>0</v>
      </c>
      <c r="AB259" s="741">
        <f t="shared" si="64"/>
        <v>0</v>
      </c>
      <c r="AC259" s="987">
        <f t="shared" si="74"/>
        <v>0</v>
      </c>
      <c r="AD259" s="987">
        <f t="shared" si="75"/>
        <v>0</v>
      </c>
      <c r="AE259" s="368" t="str">
        <f>IFERROR(VLOOKUP(B259,'[1]סיכום בקרת רשויות'!$A:$D,4,0),"")</f>
        <v/>
      </c>
      <c r="AF259" s="57" t="str">
        <f t="shared" si="76"/>
        <v/>
      </c>
      <c r="AG259" s="180">
        <f>IF(AF259="כן",M259*'גנים ובתי ספר- מבנה תקציב'!$H$59,0)</f>
        <v>0</v>
      </c>
      <c r="AH259" s="180">
        <f>IF(AF259="כן",M259*'גנים ובתי ספר- מבנה תקציב'!$I$59,0)</f>
        <v>0</v>
      </c>
      <c r="AI259" s="180">
        <f t="shared" si="77"/>
        <v>0</v>
      </c>
      <c r="AJ259" s="368" t="str">
        <f t="shared" si="65"/>
        <v/>
      </c>
    </row>
    <row r="260" spans="1:36" x14ac:dyDescent="0.25">
      <c r="A260" s="57">
        <v>240</v>
      </c>
      <c r="B260" s="690"/>
      <c r="C260" s="690"/>
      <c r="D260" s="252">
        <f>(IFERROR(SUMIF('מצבת והרשמה (2)'!$F$21:$F$501,'דוח ביצוע (3)'!$B260,'מצבת והרשמה (2)'!$J$21:$J$501),0))</f>
        <v>0</v>
      </c>
      <c r="E260" s="252">
        <f>IFERROR(SUMIF('מצבת והרשמה (2)'!$F$21:$F$501,'דוח ביצוע (3)'!$B260,'מצבת והרשמה (2)'!$K$21:$K$501),0)</f>
        <v>0</v>
      </c>
      <c r="F260" s="253">
        <f t="shared" si="66"/>
        <v>0</v>
      </c>
      <c r="G260" s="680"/>
      <c r="H260" s="680"/>
      <c r="I260" s="253">
        <f t="shared" si="59"/>
        <v>0</v>
      </c>
      <c r="J260" s="453">
        <f t="shared" si="67"/>
        <v>0</v>
      </c>
      <c r="K260" s="689"/>
      <c r="L260" s="689"/>
      <c r="M260" s="969">
        <f t="shared" si="68"/>
        <v>0</v>
      </c>
      <c r="N260" s="1029" t="str">
        <f t="shared" si="69"/>
        <v/>
      </c>
      <c r="O260" s="969" t="str">
        <f>IFERROR(VLOOKUP(B260,'נתוני רישום ומצבת'!B:Q,16,0),"")</f>
        <v/>
      </c>
      <c r="P260" s="969" t="str">
        <f>IFERROR(VLOOKUP(B260,'נתוני רישום ומצבת'!B:R,17,0),"")</f>
        <v/>
      </c>
      <c r="Q260" s="690"/>
      <c r="R260" s="1009"/>
      <c r="S260" s="376">
        <f t="shared" si="70"/>
        <v>0</v>
      </c>
      <c r="T260" s="376">
        <f t="shared" si="71"/>
        <v>0</v>
      </c>
      <c r="U260" s="386">
        <f t="shared" si="72"/>
        <v>0</v>
      </c>
      <c r="V260" s="513" t="str">
        <f t="shared" si="73"/>
        <v/>
      </c>
      <c r="W260" s="254" t="str">
        <f>IF(ISBLANK(B260)," ",IF(B260=IFERROR(VLOOKUP(B260,'מצבת והרשמה (2)'!F:F,1,0),0),"תקין","לא קיים במצבת כבית ספר בו מתקיימת פעילות"))</f>
        <v xml:space="preserve"> </v>
      </c>
      <c r="X260" s="256" t="str">
        <f t="shared" si="60"/>
        <v/>
      </c>
      <c r="Y260" s="256" t="str">
        <f t="shared" si="61"/>
        <v/>
      </c>
      <c r="Z260" s="741">
        <f t="shared" si="62"/>
        <v>0</v>
      </c>
      <c r="AA260" s="741">
        <f t="shared" si="63"/>
        <v>0</v>
      </c>
      <c r="AB260" s="741">
        <f t="shared" si="64"/>
        <v>0</v>
      </c>
      <c r="AC260" s="987">
        <f t="shared" si="74"/>
        <v>0</v>
      </c>
      <c r="AD260" s="987">
        <f t="shared" si="75"/>
        <v>0</v>
      </c>
      <c r="AE260" s="368" t="str">
        <f>IFERROR(VLOOKUP(B260,'[1]סיכום בקרת רשויות'!$A:$D,4,0),"")</f>
        <v/>
      </c>
      <c r="AF260" s="57" t="str">
        <f t="shared" si="76"/>
        <v/>
      </c>
      <c r="AG260" s="180">
        <f>IF(AF260="כן",M260*'גנים ובתי ספר- מבנה תקציב'!$H$59,0)</f>
        <v>0</v>
      </c>
      <c r="AH260" s="180">
        <f>IF(AF260="כן",M260*'גנים ובתי ספר- מבנה תקציב'!$I$59,0)</f>
        <v>0</v>
      </c>
      <c r="AI260" s="180">
        <f t="shared" si="77"/>
        <v>0</v>
      </c>
      <c r="AJ260" s="368" t="str">
        <f t="shared" si="65"/>
        <v/>
      </c>
    </row>
    <row r="261" spans="1:36" x14ac:dyDescent="0.25">
      <c r="A261" s="57">
        <v>241</v>
      </c>
      <c r="B261" s="690"/>
      <c r="C261" s="690"/>
      <c r="D261" s="252">
        <f>(IFERROR(SUMIF('מצבת והרשמה (2)'!$F$21:$F$501,'דוח ביצוע (3)'!$B261,'מצבת והרשמה (2)'!$J$21:$J$501),0))</f>
        <v>0</v>
      </c>
      <c r="E261" s="252">
        <f>IFERROR(SUMIF('מצבת והרשמה (2)'!$F$21:$F$501,'דוח ביצוע (3)'!$B261,'מצבת והרשמה (2)'!$K$21:$K$501),0)</f>
        <v>0</v>
      </c>
      <c r="F261" s="253">
        <f t="shared" si="66"/>
        <v>0</v>
      </c>
      <c r="G261" s="680"/>
      <c r="H261" s="680"/>
      <c r="I261" s="253">
        <f t="shared" si="59"/>
        <v>0</v>
      </c>
      <c r="J261" s="453">
        <f t="shared" si="67"/>
        <v>0</v>
      </c>
      <c r="K261" s="689"/>
      <c r="L261" s="689"/>
      <c r="M261" s="969">
        <f t="shared" si="68"/>
        <v>0</v>
      </c>
      <c r="N261" s="1029" t="str">
        <f t="shared" si="69"/>
        <v/>
      </c>
      <c r="O261" s="969" t="str">
        <f>IFERROR(VLOOKUP(B261,'נתוני רישום ומצבת'!B:Q,16,0),"")</f>
        <v/>
      </c>
      <c r="P261" s="969" t="str">
        <f>IFERROR(VLOOKUP(B261,'נתוני רישום ומצבת'!B:R,17,0),"")</f>
        <v/>
      </c>
      <c r="Q261" s="690"/>
      <c r="R261" s="1009"/>
      <c r="S261" s="376">
        <f t="shared" si="70"/>
        <v>0</v>
      </c>
      <c r="T261" s="376">
        <f t="shared" si="71"/>
        <v>0</v>
      </c>
      <c r="U261" s="386">
        <f t="shared" si="72"/>
        <v>0</v>
      </c>
      <c r="V261" s="513" t="str">
        <f t="shared" si="73"/>
        <v/>
      </c>
      <c r="W261" s="254" t="str">
        <f>IF(ISBLANK(B261)," ",IF(B261=IFERROR(VLOOKUP(B261,'מצבת והרשמה (2)'!F:F,1,0),0),"תקין","לא קיים במצבת כבית ספר בו מתקיימת פעילות"))</f>
        <v xml:space="preserve"> </v>
      </c>
      <c r="X261" s="256" t="str">
        <f t="shared" si="60"/>
        <v/>
      </c>
      <c r="Y261" s="256" t="str">
        <f t="shared" si="61"/>
        <v/>
      </c>
      <c r="Z261" s="741">
        <f t="shared" si="62"/>
        <v>0</v>
      </c>
      <c r="AA261" s="741">
        <f t="shared" si="63"/>
        <v>0</v>
      </c>
      <c r="AB261" s="741">
        <f t="shared" si="64"/>
        <v>0</v>
      </c>
      <c r="AC261" s="987">
        <f t="shared" si="74"/>
        <v>0</v>
      </c>
      <c r="AD261" s="987">
        <f t="shared" si="75"/>
        <v>0</v>
      </c>
      <c r="AE261" s="368" t="str">
        <f>IFERROR(VLOOKUP(B261,'[1]סיכום בקרת רשויות'!$A:$D,4,0),"")</f>
        <v/>
      </c>
      <c r="AF261" s="57" t="str">
        <f t="shared" si="76"/>
        <v/>
      </c>
      <c r="AG261" s="180">
        <f>IF(AF261="כן",M261*'גנים ובתי ספר- מבנה תקציב'!$H$59,0)</f>
        <v>0</v>
      </c>
      <c r="AH261" s="180">
        <f>IF(AF261="כן",M261*'גנים ובתי ספר- מבנה תקציב'!$I$59,0)</f>
        <v>0</v>
      </c>
      <c r="AI261" s="180">
        <f t="shared" si="77"/>
        <v>0</v>
      </c>
      <c r="AJ261" s="368" t="str">
        <f t="shared" si="65"/>
        <v/>
      </c>
    </row>
    <row r="262" spans="1:36" x14ac:dyDescent="0.25">
      <c r="A262" s="57">
        <v>242</v>
      </c>
      <c r="B262" s="690"/>
      <c r="C262" s="690"/>
      <c r="D262" s="252">
        <f>(IFERROR(SUMIF('מצבת והרשמה (2)'!$F$21:$F$501,'דוח ביצוע (3)'!$B262,'מצבת והרשמה (2)'!$J$21:$J$501),0))</f>
        <v>0</v>
      </c>
      <c r="E262" s="252">
        <f>IFERROR(SUMIF('מצבת והרשמה (2)'!$F$21:$F$501,'דוח ביצוע (3)'!$B262,'מצבת והרשמה (2)'!$K$21:$K$501),0)</f>
        <v>0</v>
      </c>
      <c r="F262" s="253">
        <f t="shared" si="66"/>
        <v>0</v>
      </c>
      <c r="G262" s="680"/>
      <c r="H262" s="680"/>
      <c r="I262" s="253">
        <f t="shared" si="59"/>
        <v>0</v>
      </c>
      <c r="J262" s="453">
        <f t="shared" si="67"/>
        <v>0</v>
      </c>
      <c r="K262" s="689"/>
      <c r="L262" s="689"/>
      <c r="M262" s="969">
        <f t="shared" si="68"/>
        <v>0</v>
      </c>
      <c r="N262" s="1029" t="str">
        <f t="shared" si="69"/>
        <v/>
      </c>
      <c r="O262" s="969" t="str">
        <f>IFERROR(VLOOKUP(B262,'נתוני רישום ומצבת'!B:Q,16,0),"")</f>
        <v/>
      </c>
      <c r="P262" s="969" t="str">
        <f>IFERROR(VLOOKUP(B262,'נתוני רישום ומצבת'!B:R,17,0),"")</f>
        <v/>
      </c>
      <c r="Q262" s="690"/>
      <c r="R262" s="1009"/>
      <c r="S262" s="376">
        <f t="shared" si="70"/>
        <v>0</v>
      </c>
      <c r="T262" s="376">
        <f t="shared" si="71"/>
        <v>0</v>
      </c>
      <c r="U262" s="386">
        <f t="shared" si="72"/>
        <v>0</v>
      </c>
      <c r="V262" s="513" t="str">
        <f t="shared" si="73"/>
        <v/>
      </c>
      <c r="W262" s="254" t="str">
        <f>IF(ISBLANK(B262)," ",IF(B262=IFERROR(VLOOKUP(B262,'מצבת והרשמה (2)'!F:F,1,0),0),"תקין","לא קיים במצבת כבית ספר בו מתקיימת פעילות"))</f>
        <v xml:space="preserve"> </v>
      </c>
      <c r="X262" s="256" t="str">
        <f t="shared" si="60"/>
        <v/>
      </c>
      <c r="Y262" s="256" t="str">
        <f t="shared" si="61"/>
        <v/>
      </c>
      <c r="Z262" s="741">
        <f t="shared" si="62"/>
        <v>0</v>
      </c>
      <c r="AA262" s="741">
        <f t="shared" si="63"/>
        <v>0</v>
      </c>
      <c r="AB262" s="741">
        <f t="shared" si="64"/>
        <v>0</v>
      </c>
      <c r="AC262" s="987">
        <f t="shared" si="74"/>
        <v>0</v>
      </c>
      <c r="AD262" s="987">
        <f t="shared" si="75"/>
        <v>0</v>
      </c>
      <c r="AE262" s="368" t="str">
        <f>IFERROR(VLOOKUP(B262,'[1]סיכום בקרת רשויות'!$A:$D,4,0),"")</f>
        <v/>
      </c>
      <c r="AF262" s="57" t="str">
        <f t="shared" si="76"/>
        <v/>
      </c>
      <c r="AG262" s="180">
        <f>IF(AF262="כן",M262*'גנים ובתי ספר- מבנה תקציב'!$H$59,0)</f>
        <v>0</v>
      </c>
      <c r="AH262" s="180">
        <f>IF(AF262="כן",M262*'גנים ובתי ספר- מבנה תקציב'!$I$59,0)</f>
        <v>0</v>
      </c>
      <c r="AI262" s="180">
        <f t="shared" si="77"/>
        <v>0</v>
      </c>
      <c r="AJ262" s="368" t="str">
        <f t="shared" si="65"/>
        <v/>
      </c>
    </row>
    <row r="263" spans="1:36" x14ac:dyDescent="0.25">
      <c r="A263" s="57">
        <v>243</v>
      </c>
      <c r="B263" s="690"/>
      <c r="C263" s="690"/>
      <c r="D263" s="252">
        <f>(IFERROR(SUMIF('מצבת והרשמה (2)'!$F$21:$F$501,'דוח ביצוע (3)'!$B263,'מצבת והרשמה (2)'!$J$21:$J$501),0))</f>
        <v>0</v>
      </c>
      <c r="E263" s="252">
        <f>IFERROR(SUMIF('מצבת והרשמה (2)'!$F$21:$F$501,'דוח ביצוע (3)'!$B263,'מצבת והרשמה (2)'!$K$21:$K$501),0)</f>
        <v>0</v>
      </c>
      <c r="F263" s="253">
        <f t="shared" si="66"/>
        <v>0</v>
      </c>
      <c r="G263" s="680"/>
      <c r="H263" s="680"/>
      <c r="I263" s="253">
        <f t="shared" ref="I263:I326" si="78">H263+G263</f>
        <v>0</v>
      </c>
      <c r="J263" s="453">
        <f t="shared" si="67"/>
        <v>0</v>
      </c>
      <c r="K263" s="689"/>
      <c r="L263" s="689"/>
      <c r="M263" s="969">
        <f t="shared" si="68"/>
        <v>0</v>
      </c>
      <c r="N263" s="1029" t="str">
        <f t="shared" si="69"/>
        <v/>
      </c>
      <c r="O263" s="969" t="str">
        <f>IFERROR(VLOOKUP(B263,'נתוני רישום ומצבת'!B:Q,16,0),"")</f>
        <v/>
      </c>
      <c r="P263" s="969" t="str">
        <f>IFERROR(VLOOKUP(B263,'נתוני רישום ומצבת'!B:R,17,0),"")</f>
        <v/>
      </c>
      <c r="Q263" s="690"/>
      <c r="R263" s="1009"/>
      <c r="S263" s="376">
        <f t="shared" si="70"/>
        <v>0</v>
      </c>
      <c r="T263" s="376">
        <f t="shared" si="71"/>
        <v>0</v>
      </c>
      <c r="U263" s="386">
        <f t="shared" si="72"/>
        <v>0</v>
      </c>
      <c r="V263" s="513" t="str">
        <f t="shared" si="73"/>
        <v/>
      </c>
      <c r="W263" s="254" t="str">
        <f>IF(ISBLANK(B263)," ",IF(B263=IFERROR(VLOOKUP(B263,'מצבת והרשמה (2)'!F:F,1,0),0),"תקין","לא קיים במצבת כבית ספר בו מתקיימת פעילות"))</f>
        <v xml:space="preserve"> </v>
      </c>
      <c r="X263" s="256" t="str">
        <f t="shared" si="60"/>
        <v/>
      </c>
      <c r="Y263" s="256" t="str">
        <f t="shared" si="61"/>
        <v/>
      </c>
      <c r="Z263" s="741">
        <f t="shared" si="62"/>
        <v>0</v>
      </c>
      <c r="AA263" s="741">
        <f t="shared" si="63"/>
        <v>0</v>
      </c>
      <c r="AB263" s="741">
        <f t="shared" si="64"/>
        <v>0</v>
      </c>
      <c r="AC263" s="987">
        <f t="shared" si="74"/>
        <v>0</v>
      </c>
      <c r="AD263" s="987">
        <f t="shared" si="75"/>
        <v>0</v>
      </c>
      <c r="AE263" s="368" t="str">
        <f>IFERROR(VLOOKUP(B263,'[1]סיכום בקרת רשויות'!$A:$D,4,0),"")</f>
        <v/>
      </c>
      <c r="AF263" s="57" t="str">
        <f t="shared" si="76"/>
        <v/>
      </c>
      <c r="AG263" s="180">
        <f>IF(AF263="כן",M263*'גנים ובתי ספר- מבנה תקציב'!$H$59,0)</f>
        <v>0</v>
      </c>
      <c r="AH263" s="180">
        <f>IF(AF263="כן",M263*'גנים ובתי ספר- מבנה תקציב'!$I$59,0)</f>
        <v>0</v>
      </c>
      <c r="AI263" s="180">
        <f t="shared" si="77"/>
        <v>0</v>
      </c>
      <c r="AJ263" s="368" t="str">
        <f t="shared" si="65"/>
        <v/>
      </c>
    </row>
    <row r="264" spans="1:36" x14ac:dyDescent="0.25">
      <c r="A264" s="57">
        <v>244</v>
      </c>
      <c r="B264" s="690"/>
      <c r="C264" s="690"/>
      <c r="D264" s="252">
        <f>(IFERROR(SUMIF('מצבת והרשמה (2)'!$F$21:$F$501,'דוח ביצוע (3)'!$B264,'מצבת והרשמה (2)'!$J$21:$J$501),0))</f>
        <v>0</v>
      </c>
      <c r="E264" s="252">
        <f>IFERROR(SUMIF('מצבת והרשמה (2)'!$F$21:$F$501,'דוח ביצוע (3)'!$B264,'מצבת והרשמה (2)'!$K$21:$K$501),0)</f>
        <v>0</v>
      </c>
      <c r="F264" s="253">
        <f t="shared" si="66"/>
        <v>0</v>
      </c>
      <c r="G264" s="680"/>
      <c r="H264" s="680"/>
      <c r="I264" s="253">
        <f t="shared" si="78"/>
        <v>0</v>
      </c>
      <c r="J264" s="453">
        <f t="shared" si="67"/>
        <v>0</v>
      </c>
      <c r="K264" s="689"/>
      <c r="L264" s="689"/>
      <c r="M264" s="969">
        <f t="shared" si="68"/>
        <v>0</v>
      </c>
      <c r="N264" s="1029" t="str">
        <f t="shared" si="69"/>
        <v/>
      </c>
      <c r="O264" s="969" t="str">
        <f>IFERROR(VLOOKUP(B264,'נתוני רישום ומצבת'!B:Q,16,0),"")</f>
        <v/>
      </c>
      <c r="P264" s="969" t="str">
        <f>IFERROR(VLOOKUP(B264,'נתוני רישום ומצבת'!B:R,17,0),"")</f>
        <v/>
      </c>
      <c r="Q264" s="690"/>
      <c r="R264" s="1009"/>
      <c r="S264" s="376">
        <f t="shared" si="70"/>
        <v>0</v>
      </c>
      <c r="T264" s="376">
        <f t="shared" si="71"/>
        <v>0</v>
      </c>
      <c r="U264" s="386">
        <f t="shared" si="72"/>
        <v>0</v>
      </c>
      <c r="V264" s="513" t="str">
        <f t="shared" si="73"/>
        <v/>
      </c>
      <c r="W264" s="254" t="str">
        <f>IF(ISBLANK(B264)," ",IF(B264=IFERROR(VLOOKUP(B264,'מצבת והרשמה (2)'!F:F,1,0),0),"תקין","לא קיים במצבת כבית ספר בו מתקיימת פעילות"))</f>
        <v xml:space="preserve"> </v>
      </c>
      <c r="X264" s="256" t="str">
        <f t="shared" si="60"/>
        <v/>
      </c>
      <c r="Y264" s="256" t="str">
        <f t="shared" si="61"/>
        <v/>
      </c>
      <c r="Z264" s="741">
        <f t="shared" si="62"/>
        <v>0</v>
      </c>
      <c r="AA264" s="741">
        <f t="shared" si="63"/>
        <v>0</v>
      </c>
      <c r="AB264" s="741">
        <f t="shared" si="64"/>
        <v>0</v>
      </c>
      <c r="AC264" s="987">
        <f t="shared" si="74"/>
        <v>0</v>
      </c>
      <c r="AD264" s="987">
        <f t="shared" si="75"/>
        <v>0</v>
      </c>
      <c r="AE264" s="368" t="str">
        <f>IFERROR(VLOOKUP(B264,'[1]סיכום בקרת רשויות'!$A:$D,4,0),"")</f>
        <v/>
      </c>
      <c r="AF264" s="57" t="str">
        <f t="shared" si="76"/>
        <v/>
      </c>
      <c r="AG264" s="180">
        <f>IF(AF264="כן",M264*'גנים ובתי ספר- מבנה תקציב'!$H$59,0)</f>
        <v>0</v>
      </c>
      <c r="AH264" s="180">
        <f>IF(AF264="כן",M264*'גנים ובתי ספר- מבנה תקציב'!$I$59,0)</f>
        <v>0</v>
      </c>
      <c r="AI264" s="180">
        <f t="shared" si="77"/>
        <v>0</v>
      </c>
      <c r="AJ264" s="368" t="str">
        <f t="shared" si="65"/>
        <v/>
      </c>
    </row>
    <row r="265" spans="1:36" x14ac:dyDescent="0.25">
      <c r="A265" s="57">
        <v>245</v>
      </c>
      <c r="B265" s="690"/>
      <c r="C265" s="690"/>
      <c r="D265" s="252">
        <f>(IFERROR(SUMIF('מצבת והרשמה (2)'!$F$21:$F$501,'דוח ביצוע (3)'!$B265,'מצבת והרשמה (2)'!$J$21:$J$501),0))</f>
        <v>0</v>
      </c>
      <c r="E265" s="252">
        <f>IFERROR(SUMIF('מצבת והרשמה (2)'!$F$21:$F$501,'דוח ביצוע (3)'!$B265,'מצבת והרשמה (2)'!$K$21:$K$501),0)</f>
        <v>0</v>
      </c>
      <c r="F265" s="253">
        <f t="shared" si="66"/>
        <v>0</v>
      </c>
      <c r="G265" s="680"/>
      <c r="H265" s="680"/>
      <c r="I265" s="253">
        <f t="shared" si="78"/>
        <v>0</v>
      </c>
      <c r="J265" s="453">
        <f t="shared" si="67"/>
        <v>0</v>
      </c>
      <c r="K265" s="689"/>
      <c r="L265" s="689"/>
      <c r="M265" s="969">
        <f t="shared" si="68"/>
        <v>0</v>
      </c>
      <c r="N265" s="1029" t="str">
        <f t="shared" si="69"/>
        <v/>
      </c>
      <c r="O265" s="969" t="str">
        <f>IFERROR(VLOOKUP(B265,'נתוני רישום ומצבת'!B:Q,16,0),"")</f>
        <v/>
      </c>
      <c r="P265" s="969" t="str">
        <f>IFERROR(VLOOKUP(B265,'נתוני רישום ומצבת'!B:R,17,0),"")</f>
        <v/>
      </c>
      <c r="Q265" s="690"/>
      <c r="R265" s="1009"/>
      <c r="S265" s="376">
        <f t="shared" si="70"/>
        <v>0</v>
      </c>
      <c r="T265" s="376">
        <f t="shared" si="71"/>
        <v>0</v>
      </c>
      <c r="U265" s="386">
        <f t="shared" si="72"/>
        <v>0</v>
      </c>
      <c r="V265" s="513" t="str">
        <f t="shared" si="73"/>
        <v/>
      </c>
      <c r="W265" s="254" t="str">
        <f>IF(ISBLANK(B265)," ",IF(B265=IFERROR(VLOOKUP(B265,'מצבת והרשמה (2)'!F:F,1,0),0),"תקין","לא קיים במצבת כבית ספר בו מתקיימת פעילות"))</f>
        <v xml:space="preserve"> </v>
      </c>
      <c r="X265" s="256" t="str">
        <f t="shared" si="60"/>
        <v/>
      </c>
      <c r="Y265" s="256" t="str">
        <f t="shared" si="61"/>
        <v/>
      </c>
      <c r="Z265" s="741">
        <f t="shared" si="62"/>
        <v>0</v>
      </c>
      <c r="AA265" s="741">
        <f t="shared" si="63"/>
        <v>0</v>
      </c>
      <c r="AB265" s="741">
        <f t="shared" si="64"/>
        <v>0</v>
      </c>
      <c r="AC265" s="987">
        <f t="shared" si="74"/>
        <v>0</v>
      </c>
      <c r="AD265" s="987">
        <f t="shared" si="75"/>
        <v>0</v>
      </c>
      <c r="AE265" s="368" t="str">
        <f>IFERROR(VLOOKUP(B265,'[1]סיכום בקרת רשויות'!$A:$D,4,0),"")</f>
        <v/>
      </c>
      <c r="AF265" s="57" t="str">
        <f t="shared" si="76"/>
        <v/>
      </c>
      <c r="AG265" s="180">
        <f>IF(AF265="כן",M265*'גנים ובתי ספר- מבנה תקציב'!$H$59,0)</f>
        <v>0</v>
      </c>
      <c r="AH265" s="180">
        <f>IF(AF265="כן",M265*'גנים ובתי ספר- מבנה תקציב'!$I$59,0)</f>
        <v>0</v>
      </c>
      <c r="AI265" s="180">
        <f t="shared" si="77"/>
        <v>0</v>
      </c>
      <c r="AJ265" s="368" t="str">
        <f t="shared" si="65"/>
        <v/>
      </c>
    </row>
    <row r="266" spans="1:36" x14ac:dyDescent="0.25">
      <c r="A266" s="57">
        <v>246</v>
      </c>
      <c r="B266" s="690"/>
      <c r="C266" s="690"/>
      <c r="D266" s="252">
        <f>(IFERROR(SUMIF('מצבת והרשמה (2)'!$F$21:$F$501,'דוח ביצוע (3)'!$B266,'מצבת והרשמה (2)'!$J$21:$J$501),0))</f>
        <v>0</v>
      </c>
      <c r="E266" s="252">
        <f>IFERROR(SUMIF('מצבת והרשמה (2)'!$F$21:$F$501,'דוח ביצוע (3)'!$B266,'מצבת והרשמה (2)'!$K$21:$K$501),0)</f>
        <v>0</v>
      </c>
      <c r="F266" s="253">
        <f t="shared" si="66"/>
        <v>0</v>
      </c>
      <c r="G266" s="680"/>
      <c r="H266" s="680"/>
      <c r="I266" s="253">
        <f t="shared" si="78"/>
        <v>0</v>
      </c>
      <c r="J266" s="453">
        <f t="shared" si="67"/>
        <v>0</v>
      </c>
      <c r="K266" s="689"/>
      <c r="L266" s="689"/>
      <c r="M266" s="969">
        <f t="shared" si="68"/>
        <v>0</v>
      </c>
      <c r="N266" s="1029" t="str">
        <f t="shared" si="69"/>
        <v/>
      </c>
      <c r="O266" s="969" t="str">
        <f>IFERROR(VLOOKUP(B266,'נתוני רישום ומצבת'!B:Q,16,0),"")</f>
        <v/>
      </c>
      <c r="P266" s="969" t="str">
        <f>IFERROR(VLOOKUP(B266,'נתוני רישום ומצבת'!B:R,17,0),"")</f>
        <v/>
      </c>
      <c r="Q266" s="690"/>
      <c r="R266" s="1009"/>
      <c r="S266" s="376">
        <f t="shared" si="70"/>
        <v>0</v>
      </c>
      <c r="T266" s="376">
        <f t="shared" si="71"/>
        <v>0</v>
      </c>
      <c r="U266" s="386">
        <f t="shared" si="72"/>
        <v>0</v>
      </c>
      <c r="V266" s="513" t="str">
        <f t="shared" si="73"/>
        <v/>
      </c>
      <c r="W266" s="254" t="str">
        <f>IF(ISBLANK(B266)," ",IF(B266=IFERROR(VLOOKUP(B266,'מצבת והרשמה (2)'!F:F,1,0),0),"תקין","לא קיים במצבת כבית ספר בו מתקיימת פעילות"))</f>
        <v xml:space="preserve"> </v>
      </c>
      <c r="X266" s="256" t="str">
        <f t="shared" si="60"/>
        <v/>
      </c>
      <c r="Y266" s="256" t="str">
        <f t="shared" si="61"/>
        <v/>
      </c>
      <c r="Z266" s="741">
        <f t="shared" si="62"/>
        <v>0</v>
      </c>
      <c r="AA266" s="741">
        <f t="shared" si="63"/>
        <v>0</v>
      </c>
      <c r="AB266" s="741">
        <f t="shared" si="64"/>
        <v>0</v>
      </c>
      <c r="AC266" s="987">
        <f t="shared" si="74"/>
        <v>0</v>
      </c>
      <c r="AD266" s="987">
        <f t="shared" si="75"/>
        <v>0</v>
      </c>
      <c r="AE266" s="368" t="str">
        <f>IFERROR(VLOOKUP(B266,'[1]סיכום בקרת רשויות'!$A:$D,4,0),"")</f>
        <v/>
      </c>
      <c r="AF266" s="57" t="str">
        <f t="shared" si="76"/>
        <v/>
      </c>
      <c r="AG266" s="180">
        <f>IF(AF266="כן",M266*'גנים ובתי ספר- מבנה תקציב'!$H$59,0)</f>
        <v>0</v>
      </c>
      <c r="AH266" s="180">
        <f>IF(AF266="כן",M266*'גנים ובתי ספר- מבנה תקציב'!$I$59,0)</f>
        <v>0</v>
      </c>
      <c r="AI266" s="180">
        <f t="shared" si="77"/>
        <v>0</v>
      </c>
      <c r="AJ266" s="368" t="str">
        <f t="shared" si="65"/>
        <v/>
      </c>
    </row>
    <row r="267" spans="1:36" x14ac:dyDescent="0.25">
      <c r="A267" s="57">
        <v>247</v>
      </c>
      <c r="B267" s="690"/>
      <c r="C267" s="690"/>
      <c r="D267" s="252">
        <f>(IFERROR(SUMIF('מצבת והרשמה (2)'!$F$21:$F$501,'דוח ביצוע (3)'!$B267,'מצבת והרשמה (2)'!$J$21:$J$501),0))</f>
        <v>0</v>
      </c>
      <c r="E267" s="252">
        <f>IFERROR(SUMIF('מצבת והרשמה (2)'!$F$21:$F$501,'דוח ביצוע (3)'!$B267,'מצבת והרשמה (2)'!$K$21:$K$501),0)</f>
        <v>0</v>
      </c>
      <c r="F267" s="253">
        <f t="shared" si="66"/>
        <v>0</v>
      </c>
      <c r="G267" s="680"/>
      <c r="H267" s="680"/>
      <c r="I267" s="253">
        <f t="shared" si="78"/>
        <v>0</v>
      </c>
      <c r="J267" s="453">
        <f t="shared" si="67"/>
        <v>0</v>
      </c>
      <c r="K267" s="689"/>
      <c r="L267" s="689"/>
      <c r="M267" s="969">
        <f t="shared" si="68"/>
        <v>0</v>
      </c>
      <c r="N267" s="1029" t="str">
        <f t="shared" si="69"/>
        <v/>
      </c>
      <c r="O267" s="969" t="str">
        <f>IFERROR(VLOOKUP(B267,'נתוני רישום ומצבת'!B:Q,16,0),"")</f>
        <v/>
      </c>
      <c r="P267" s="969" t="str">
        <f>IFERROR(VLOOKUP(B267,'נתוני רישום ומצבת'!B:R,17,0),"")</f>
        <v/>
      </c>
      <c r="Q267" s="690"/>
      <c r="R267" s="1009"/>
      <c r="S267" s="376">
        <f t="shared" si="70"/>
        <v>0</v>
      </c>
      <c r="T267" s="376">
        <f t="shared" si="71"/>
        <v>0</v>
      </c>
      <c r="U267" s="386">
        <f t="shared" si="72"/>
        <v>0</v>
      </c>
      <c r="V267" s="513" t="str">
        <f t="shared" si="73"/>
        <v/>
      </c>
      <c r="W267" s="254" t="str">
        <f>IF(ISBLANK(B267)," ",IF(B267=IFERROR(VLOOKUP(B267,'מצבת והרשמה (2)'!F:F,1,0),0),"תקין","לא קיים במצבת כבית ספר בו מתקיימת פעילות"))</f>
        <v xml:space="preserve"> </v>
      </c>
      <c r="X267" s="256" t="str">
        <f t="shared" si="60"/>
        <v/>
      </c>
      <c r="Y267" s="256" t="str">
        <f t="shared" si="61"/>
        <v/>
      </c>
      <c r="Z267" s="741">
        <f t="shared" si="62"/>
        <v>0</v>
      </c>
      <c r="AA267" s="741">
        <f t="shared" si="63"/>
        <v>0</v>
      </c>
      <c r="AB267" s="741">
        <f t="shared" si="64"/>
        <v>0</v>
      </c>
      <c r="AC267" s="987">
        <f t="shared" si="74"/>
        <v>0</v>
      </c>
      <c r="AD267" s="987">
        <f t="shared" si="75"/>
        <v>0</v>
      </c>
      <c r="AE267" s="368" t="str">
        <f>IFERROR(VLOOKUP(B267,'[1]סיכום בקרת רשויות'!$A:$D,4,0),"")</f>
        <v/>
      </c>
      <c r="AF267" s="57" t="str">
        <f t="shared" si="76"/>
        <v/>
      </c>
      <c r="AG267" s="180">
        <f>IF(AF267="כן",M267*'גנים ובתי ספר- מבנה תקציב'!$H$59,0)</f>
        <v>0</v>
      </c>
      <c r="AH267" s="180">
        <f>IF(AF267="כן",M267*'גנים ובתי ספר- מבנה תקציב'!$I$59,0)</f>
        <v>0</v>
      </c>
      <c r="AI267" s="180">
        <f t="shared" si="77"/>
        <v>0</v>
      </c>
      <c r="AJ267" s="368" t="str">
        <f t="shared" si="65"/>
        <v/>
      </c>
    </row>
    <row r="268" spans="1:36" x14ac:dyDescent="0.25">
      <c r="A268" s="57">
        <v>248</v>
      </c>
      <c r="B268" s="690"/>
      <c r="C268" s="690"/>
      <c r="D268" s="252">
        <f>(IFERROR(SUMIF('מצבת והרשמה (2)'!$F$21:$F$501,'דוח ביצוע (3)'!$B268,'מצבת והרשמה (2)'!$J$21:$J$501),0))</f>
        <v>0</v>
      </c>
      <c r="E268" s="252">
        <f>IFERROR(SUMIF('מצבת והרשמה (2)'!$F$21:$F$501,'דוח ביצוע (3)'!$B268,'מצבת והרשמה (2)'!$K$21:$K$501),0)</f>
        <v>0</v>
      </c>
      <c r="F268" s="253">
        <f t="shared" si="66"/>
        <v>0</v>
      </c>
      <c r="G268" s="680"/>
      <c r="H268" s="680"/>
      <c r="I268" s="253">
        <f t="shared" si="78"/>
        <v>0</v>
      </c>
      <c r="J268" s="453">
        <f t="shared" si="67"/>
        <v>0</v>
      </c>
      <c r="K268" s="689"/>
      <c r="L268" s="689"/>
      <c r="M268" s="969">
        <f t="shared" si="68"/>
        <v>0</v>
      </c>
      <c r="N268" s="1029" t="str">
        <f t="shared" si="69"/>
        <v/>
      </c>
      <c r="O268" s="969" t="str">
        <f>IFERROR(VLOOKUP(B268,'נתוני רישום ומצבת'!B:Q,16,0),"")</f>
        <v/>
      </c>
      <c r="P268" s="969" t="str">
        <f>IFERROR(VLOOKUP(B268,'נתוני רישום ומצבת'!B:R,17,0),"")</f>
        <v/>
      </c>
      <c r="Q268" s="690"/>
      <c r="R268" s="1009"/>
      <c r="S268" s="376">
        <f t="shared" si="70"/>
        <v>0</v>
      </c>
      <c r="T268" s="376">
        <f t="shared" si="71"/>
        <v>0</v>
      </c>
      <c r="U268" s="386">
        <f t="shared" si="72"/>
        <v>0</v>
      </c>
      <c r="V268" s="513" t="str">
        <f t="shared" si="73"/>
        <v/>
      </c>
      <c r="W268" s="254" t="str">
        <f>IF(ISBLANK(B268)," ",IF(B268=IFERROR(VLOOKUP(B268,'מצבת והרשמה (2)'!F:F,1,0),0),"תקין","לא קיים במצבת כבית ספר בו מתקיימת פעילות"))</f>
        <v xml:space="preserve"> </v>
      </c>
      <c r="X268" s="256" t="str">
        <f t="shared" si="60"/>
        <v/>
      </c>
      <c r="Y268" s="256" t="str">
        <f t="shared" si="61"/>
        <v/>
      </c>
      <c r="Z268" s="741">
        <f t="shared" si="62"/>
        <v>0</v>
      </c>
      <c r="AA268" s="741">
        <f t="shared" si="63"/>
        <v>0</v>
      </c>
      <c r="AB268" s="741">
        <f t="shared" si="64"/>
        <v>0</v>
      </c>
      <c r="AC268" s="987">
        <f t="shared" si="74"/>
        <v>0</v>
      </c>
      <c r="AD268" s="987">
        <f t="shared" si="75"/>
        <v>0</v>
      </c>
      <c r="AE268" s="368" t="str">
        <f>IFERROR(VLOOKUP(B268,'[1]סיכום בקרת רשויות'!$A:$D,4,0),"")</f>
        <v/>
      </c>
      <c r="AF268" s="57" t="str">
        <f t="shared" si="76"/>
        <v/>
      </c>
      <c r="AG268" s="180">
        <f>IF(AF268="כן",M268*'גנים ובתי ספר- מבנה תקציב'!$H$59,0)</f>
        <v>0</v>
      </c>
      <c r="AH268" s="180">
        <f>IF(AF268="כן",M268*'גנים ובתי ספר- מבנה תקציב'!$I$59,0)</f>
        <v>0</v>
      </c>
      <c r="AI268" s="180">
        <f t="shared" si="77"/>
        <v>0</v>
      </c>
      <c r="AJ268" s="368" t="str">
        <f t="shared" si="65"/>
        <v/>
      </c>
    </row>
    <row r="269" spans="1:36" x14ac:dyDescent="0.25">
      <c r="A269" s="57">
        <v>249</v>
      </c>
      <c r="B269" s="690"/>
      <c r="C269" s="690"/>
      <c r="D269" s="252">
        <f>(IFERROR(SUMIF('מצבת והרשמה (2)'!$F$21:$F$501,'דוח ביצוע (3)'!$B269,'מצבת והרשמה (2)'!$J$21:$J$501),0))</f>
        <v>0</v>
      </c>
      <c r="E269" s="252">
        <f>IFERROR(SUMIF('מצבת והרשמה (2)'!$F$21:$F$501,'דוח ביצוע (3)'!$B269,'מצבת והרשמה (2)'!$K$21:$K$501),0)</f>
        <v>0</v>
      </c>
      <c r="F269" s="253">
        <f t="shared" si="66"/>
        <v>0</v>
      </c>
      <c r="G269" s="680"/>
      <c r="H269" s="680"/>
      <c r="I269" s="253">
        <f t="shared" si="78"/>
        <v>0</v>
      </c>
      <c r="J269" s="453">
        <f t="shared" si="67"/>
        <v>0</v>
      </c>
      <c r="K269" s="689"/>
      <c r="L269" s="689"/>
      <c r="M269" s="969">
        <f t="shared" si="68"/>
        <v>0</v>
      </c>
      <c r="N269" s="1029" t="str">
        <f t="shared" si="69"/>
        <v/>
      </c>
      <c r="O269" s="969" t="str">
        <f>IFERROR(VLOOKUP(B269,'נתוני רישום ומצבת'!B:Q,16,0),"")</f>
        <v/>
      </c>
      <c r="P269" s="969" t="str">
        <f>IFERROR(VLOOKUP(B269,'נתוני רישום ומצבת'!B:R,17,0),"")</f>
        <v/>
      </c>
      <c r="Q269" s="690"/>
      <c r="R269" s="1009"/>
      <c r="S269" s="376">
        <f t="shared" si="70"/>
        <v>0</v>
      </c>
      <c r="T269" s="376">
        <f t="shared" si="71"/>
        <v>0</v>
      </c>
      <c r="U269" s="386">
        <f t="shared" si="72"/>
        <v>0</v>
      </c>
      <c r="V269" s="513" t="str">
        <f t="shared" si="73"/>
        <v/>
      </c>
      <c r="W269" s="254" t="str">
        <f>IF(ISBLANK(B269)," ",IF(B269=IFERROR(VLOOKUP(B269,'מצבת והרשמה (2)'!F:F,1,0),0),"תקין","לא קיים במצבת כבית ספר בו מתקיימת פעילות"))</f>
        <v xml:space="preserve"> </v>
      </c>
      <c r="X269" s="256" t="str">
        <f t="shared" si="60"/>
        <v/>
      </c>
      <c r="Y269" s="256" t="str">
        <f t="shared" si="61"/>
        <v/>
      </c>
      <c r="Z269" s="741">
        <f t="shared" si="62"/>
        <v>0</v>
      </c>
      <c r="AA269" s="741">
        <f t="shared" si="63"/>
        <v>0</v>
      </c>
      <c r="AB269" s="741">
        <f t="shared" si="64"/>
        <v>0</v>
      </c>
      <c r="AC269" s="987">
        <f t="shared" si="74"/>
        <v>0</v>
      </c>
      <c r="AD269" s="987">
        <f t="shared" si="75"/>
        <v>0</v>
      </c>
      <c r="AE269" s="368" t="str">
        <f>IFERROR(VLOOKUP(B269,'[1]סיכום בקרת רשויות'!$A:$D,4,0),"")</f>
        <v/>
      </c>
      <c r="AF269" s="57" t="str">
        <f t="shared" si="76"/>
        <v/>
      </c>
      <c r="AG269" s="180">
        <f>IF(AF269="כן",M269*'גנים ובתי ספר- מבנה תקציב'!$H$59,0)</f>
        <v>0</v>
      </c>
      <c r="AH269" s="180">
        <f>IF(AF269="כן",M269*'גנים ובתי ספר- מבנה תקציב'!$I$59,0)</f>
        <v>0</v>
      </c>
      <c r="AI269" s="180">
        <f t="shared" si="77"/>
        <v>0</v>
      </c>
      <c r="AJ269" s="368" t="str">
        <f t="shared" si="65"/>
        <v/>
      </c>
    </row>
    <row r="270" spans="1:36" x14ac:dyDescent="0.25">
      <c r="A270" s="57">
        <v>250</v>
      </c>
      <c r="B270" s="690"/>
      <c r="C270" s="690"/>
      <c r="D270" s="252">
        <f>(IFERROR(SUMIF('מצבת והרשמה (2)'!$F$21:$F$501,'דוח ביצוע (3)'!$B270,'מצבת והרשמה (2)'!$J$21:$J$501),0))</f>
        <v>0</v>
      </c>
      <c r="E270" s="252">
        <f>IFERROR(SUMIF('מצבת והרשמה (2)'!$F$21:$F$501,'דוח ביצוע (3)'!$B270,'מצבת והרשמה (2)'!$K$21:$K$501),0)</f>
        <v>0</v>
      </c>
      <c r="F270" s="253">
        <f t="shared" si="66"/>
        <v>0</v>
      </c>
      <c r="G270" s="680"/>
      <c r="H270" s="680"/>
      <c r="I270" s="253">
        <f t="shared" si="78"/>
        <v>0</v>
      </c>
      <c r="J270" s="453">
        <f t="shared" si="67"/>
        <v>0</v>
      </c>
      <c r="K270" s="689"/>
      <c r="L270" s="689"/>
      <c r="M270" s="969">
        <f t="shared" si="68"/>
        <v>0</v>
      </c>
      <c r="N270" s="1029" t="str">
        <f t="shared" si="69"/>
        <v/>
      </c>
      <c r="O270" s="969" t="str">
        <f>IFERROR(VLOOKUP(B270,'נתוני רישום ומצבת'!B:Q,16,0),"")</f>
        <v/>
      </c>
      <c r="P270" s="969" t="str">
        <f>IFERROR(VLOOKUP(B270,'נתוני רישום ומצבת'!B:R,17,0),"")</f>
        <v/>
      </c>
      <c r="Q270" s="690"/>
      <c r="R270" s="1009"/>
      <c r="S270" s="376">
        <f t="shared" si="70"/>
        <v>0</v>
      </c>
      <c r="T270" s="376">
        <f t="shared" si="71"/>
        <v>0</v>
      </c>
      <c r="U270" s="386">
        <f t="shared" si="72"/>
        <v>0</v>
      </c>
      <c r="V270" s="513" t="str">
        <f t="shared" si="73"/>
        <v/>
      </c>
      <c r="W270" s="254" t="str">
        <f>IF(ISBLANK(B270)," ",IF(B270=IFERROR(VLOOKUP(B270,'מצבת והרשמה (2)'!F:F,1,0),0),"תקין","לא קיים במצבת כבית ספר בו מתקיימת פעילות"))</f>
        <v xml:space="preserve"> </v>
      </c>
      <c r="X270" s="256" t="str">
        <f t="shared" si="60"/>
        <v/>
      </c>
      <c r="Y270" s="256" t="str">
        <f t="shared" si="61"/>
        <v/>
      </c>
      <c r="Z270" s="741">
        <f t="shared" si="62"/>
        <v>0</v>
      </c>
      <c r="AA270" s="741">
        <f t="shared" si="63"/>
        <v>0</v>
      </c>
      <c r="AB270" s="741">
        <f t="shared" si="64"/>
        <v>0</v>
      </c>
      <c r="AC270" s="987">
        <f t="shared" si="74"/>
        <v>0</v>
      </c>
      <c r="AD270" s="987">
        <f t="shared" si="75"/>
        <v>0</v>
      </c>
      <c r="AE270" s="368" t="str">
        <f>IFERROR(VLOOKUP(B270,'[1]סיכום בקרת רשויות'!$A:$D,4,0),"")</f>
        <v/>
      </c>
      <c r="AF270" s="57" t="str">
        <f t="shared" si="76"/>
        <v/>
      </c>
      <c r="AG270" s="180">
        <f>IF(AF270="כן",M270*'גנים ובתי ספר- מבנה תקציב'!$H$59,0)</f>
        <v>0</v>
      </c>
      <c r="AH270" s="180">
        <f>IF(AF270="כן",M270*'גנים ובתי ספר- מבנה תקציב'!$I$59,0)</f>
        <v>0</v>
      </c>
      <c r="AI270" s="180">
        <f t="shared" si="77"/>
        <v>0</v>
      </c>
      <c r="AJ270" s="368" t="str">
        <f t="shared" si="65"/>
        <v/>
      </c>
    </row>
    <row r="271" spans="1:36" x14ac:dyDescent="0.25">
      <c r="A271" s="57">
        <v>251</v>
      </c>
      <c r="B271" s="690"/>
      <c r="C271" s="690"/>
      <c r="D271" s="252">
        <f>(IFERROR(SUMIF('מצבת והרשמה (2)'!$F$21:$F$501,'דוח ביצוע (3)'!$B271,'מצבת והרשמה (2)'!$J$21:$J$501),0))</f>
        <v>0</v>
      </c>
      <c r="E271" s="252">
        <f>IFERROR(SUMIF('מצבת והרשמה (2)'!$F$21:$F$501,'דוח ביצוע (3)'!$B271,'מצבת והרשמה (2)'!$K$21:$K$501),0)</f>
        <v>0</v>
      </c>
      <c r="F271" s="253">
        <f t="shared" si="66"/>
        <v>0</v>
      </c>
      <c r="G271" s="680"/>
      <c r="H271" s="680"/>
      <c r="I271" s="253">
        <f t="shared" si="78"/>
        <v>0</v>
      </c>
      <c r="J271" s="453">
        <f t="shared" si="67"/>
        <v>0</v>
      </c>
      <c r="K271" s="689"/>
      <c r="L271" s="689"/>
      <c r="M271" s="969">
        <f t="shared" si="68"/>
        <v>0</v>
      </c>
      <c r="N271" s="1029" t="str">
        <f t="shared" si="69"/>
        <v/>
      </c>
      <c r="O271" s="969" t="str">
        <f>IFERROR(VLOOKUP(B271,'נתוני רישום ומצבת'!B:Q,16,0),"")</f>
        <v/>
      </c>
      <c r="P271" s="969" t="str">
        <f>IFERROR(VLOOKUP(B271,'נתוני רישום ומצבת'!B:R,17,0),"")</f>
        <v/>
      </c>
      <c r="Q271" s="690"/>
      <c r="R271" s="1009"/>
      <c r="S271" s="376">
        <f t="shared" si="70"/>
        <v>0</v>
      </c>
      <c r="T271" s="376">
        <f t="shared" si="71"/>
        <v>0</v>
      </c>
      <c r="U271" s="386">
        <f t="shared" si="72"/>
        <v>0</v>
      </c>
      <c r="V271" s="513" t="str">
        <f t="shared" si="73"/>
        <v/>
      </c>
      <c r="W271" s="254" t="str">
        <f>IF(ISBLANK(B271)," ",IF(B271=IFERROR(VLOOKUP(B271,'מצבת והרשמה (2)'!F:F,1,0),0),"תקין","לא קיים במצבת כבית ספר בו מתקיימת פעילות"))</f>
        <v xml:space="preserve"> </v>
      </c>
      <c r="X271" s="256" t="str">
        <f t="shared" si="60"/>
        <v/>
      </c>
      <c r="Y271" s="256" t="str">
        <f t="shared" si="61"/>
        <v/>
      </c>
      <c r="Z271" s="741">
        <f t="shared" si="62"/>
        <v>0</v>
      </c>
      <c r="AA271" s="741">
        <f t="shared" si="63"/>
        <v>0</v>
      </c>
      <c r="AB271" s="741">
        <f t="shared" si="64"/>
        <v>0</v>
      </c>
      <c r="AC271" s="987">
        <f t="shared" si="74"/>
        <v>0</v>
      </c>
      <c r="AD271" s="987">
        <f t="shared" si="75"/>
        <v>0</v>
      </c>
      <c r="AE271" s="368" t="str">
        <f>IFERROR(VLOOKUP(B271,'[1]סיכום בקרת רשויות'!$A:$D,4,0),"")</f>
        <v/>
      </c>
      <c r="AF271" s="57" t="str">
        <f t="shared" si="76"/>
        <v/>
      </c>
      <c r="AG271" s="180">
        <f>IF(AF271="כן",M271*'גנים ובתי ספר- מבנה תקציב'!$H$59,0)</f>
        <v>0</v>
      </c>
      <c r="AH271" s="180">
        <f>IF(AF271="כן",M271*'גנים ובתי ספר- מבנה תקציב'!$I$59,0)</f>
        <v>0</v>
      </c>
      <c r="AI271" s="180">
        <f t="shared" si="77"/>
        <v>0</v>
      </c>
      <c r="AJ271" s="368" t="str">
        <f t="shared" si="65"/>
        <v/>
      </c>
    </row>
    <row r="272" spans="1:36" x14ac:dyDescent="0.25">
      <c r="A272" s="57">
        <v>252</v>
      </c>
      <c r="B272" s="690"/>
      <c r="C272" s="690"/>
      <c r="D272" s="252">
        <f>(IFERROR(SUMIF('מצבת והרשמה (2)'!$F$21:$F$501,'דוח ביצוע (3)'!$B272,'מצבת והרשמה (2)'!$J$21:$J$501),0))</f>
        <v>0</v>
      </c>
      <c r="E272" s="252">
        <f>IFERROR(SUMIF('מצבת והרשמה (2)'!$F$21:$F$501,'דוח ביצוע (3)'!$B272,'מצבת והרשמה (2)'!$K$21:$K$501),0)</f>
        <v>0</v>
      </c>
      <c r="F272" s="253">
        <f t="shared" si="66"/>
        <v>0</v>
      </c>
      <c r="G272" s="680"/>
      <c r="H272" s="680"/>
      <c r="I272" s="253">
        <f t="shared" si="78"/>
        <v>0</v>
      </c>
      <c r="J272" s="453">
        <f t="shared" si="67"/>
        <v>0</v>
      </c>
      <c r="K272" s="689"/>
      <c r="L272" s="689"/>
      <c r="M272" s="969">
        <f t="shared" si="68"/>
        <v>0</v>
      </c>
      <c r="N272" s="1029" t="str">
        <f t="shared" si="69"/>
        <v/>
      </c>
      <c r="O272" s="969" t="str">
        <f>IFERROR(VLOOKUP(B272,'נתוני רישום ומצבת'!B:Q,16,0),"")</f>
        <v/>
      </c>
      <c r="P272" s="969" t="str">
        <f>IFERROR(VLOOKUP(B272,'נתוני רישום ומצבת'!B:R,17,0),"")</f>
        <v/>
      </c>
      <c r="Q272" s="690"/>
      <c r="R272" s="1009"/>
      <c r="S272" s="376">
        <f t="shared" si="70"/>
        <v>0</v>
      </c>
      <c r="T272" s="376">
        <f t="shared" si="71"/>
        <v>0</v>
      </c>
      <c r="U272" s="386">
        <f t="shared" si="72"/>
        <v>0</v>
      </c>
      <c r="V272" s="513" t="str">
        <f t="shared" si="73"/>
        <v/>
      </c>
      <c r="W272" s="254" t="str">
        <f>IF(ISBLANK(B272)," ",IF(B272=IFERROR(VLOOKUP(B272,'מצבת והרשמה (2)'!F:F,1,0),0),"תקין","לא קיים במצבת כבית ספר בו מתקיימת פעילות"))</f>
        <v xml:space="preserve"> </v>
      </c>
      <c r="X272" s="256" t="str">
        <f t="shared" si="60"/>
        <v/>
      </c>
      <c r="Y272" s="256" t="str">
        <f t="shared" si="61"/>
        <v/>
      </c>
      <c r="Z272" s="741">
        <f t="shared" si="62"/>
        <v>0</v>
      </c>
      <c r="AA272" s="741">
        <f t="shared" si="63"/>
        <v>0</v>
      </c>
      <c r="AB272" s="741">
        <f t="shared" si="64"/>
        <v>0</v>
      </c>
      <c r="AC272" s="987">
        <f t="shared" si="74"/>
        <v>0</v>
      </c>
      <c r="AD272" s="987">
        <f t="shared" si="75"/>
        <v>0</v>
      </c>
      <c r="AE272" s="368" t="str">
        <f>IFERROR(VLOOKUP(B272,'[1]סיכום בקרת רשויות'!$A:$D,4,0),"")</f>
        <v/>
      </c>
      <c r="AF272" s="57" t="str">
        <f t="shared" si="76"/>
        <v/>
      </c>
      <c r="AG272" s="180">
        <f>IF(AF272="כן",M272*'גנים ובתי ספר- מבנה תקציב'!$H$59,0)</f>
        <v>0</v>
      </c>
      <c r="AH272" s="180">
        <f>IF(AF272="כן",M272*'גנים ובתי ספר- מבנה תקציב'!$I$59,0)</f>
        <v>0</v>
      </c>
      <c r="AI272" s="180">
        <f t="shared" si="77"/>
        <v>0</v>
      </c>
      <c r="AJ272" s="368" t="str">
        <f t="shared" si="65"/>
        <v/>
      </c>
    </row>
    <row r="273" spans="1:36" x14ac:dyDescent="0.25">
      <c r="A273" s="57">
        <v>253</v>
      </c>
      <c r="B273" s="690"/>
      <c r="C273" s="690"/>
      <c r="D273" s="252">
        <f>(IFERROR(SUMIF('מצבת והרשמה (2)'!$F$21:$F$501,'דוח ביצוע (3)'!$B273,'מצבת והרשמה (2)'!$J$21:$J$501),0))</f>
        <v>0</v>
      </c>
      <c r="E273" s="252">
        <f>IFERROR(SUMIF('מצבת והרשמה (2)'!$F$21:$F$501,'דוח ביצוע (3)'!$B273,'מצבת והרשמה (2)'!$K$21:$K$501),0)</f>
        <v>0</v>
      </c>
      <c r="F273" s="253">
        <f t="shared" si="66"/>
        <v>0</v>
      </c>
      <c r="G273" s="680"/>
      <c r="H273" s="680"/>
      <c r="I273" s="253">
        <f t="shared" si="78"/>
        <v>0</v>
      </c>
      <c r="J273" s="453">
        <f t="shared" si="67"/>
        <v>0</v>
      </c>
      <c r="K273" s="689"/>
      <c r="L273" s="689"/>
      <c r="M273" s="969">
        <f t="shared" si="68"/>
        <v>0</v>
      </c>
      <c r="N273" s="1029" t="str">
        <f t="shared" si="69"/>
        <v/>
      </c>
      <c r="O273" s="969" t="str">
        <f>IFERROR(VLOOKUP(B273,'נתוני רישום ומצבת'!B:Q,16,0),"")</f>
        <v/>
      </c>
      <c r="P273" s="969" t="str">
        <f>IFERROR(VLOOKUP(B273,'נתוני רישום ומצבת'!B:R,17,0),"")</f>
        <v/>
      </c>
      <c r="Q273" s="690"/>
      <c r="R273" s="1009"/>
      <c r="S273" s="376">
        <f t="shared" si="70"/>
        <v>0</v>
      </c>
      <c r="T273" s="376">
        <f t="shared" si="71"/>
        <v>0</v>
      </c>
      <c r="U273" s="386">
        <f t="shared" si="72"/>
        <v>0</v>
      </c>
      <c r="V273" s="513" t="str">
        <f t="shared" si="73"/>
        <v/>
      </c>
      <c r="W273" s="254" t="str">
        <f>IF(ISBLANK(B273)," ",IF(B273=IFERROR(VLOOKUP(B273,'מצבת והרשמה (2)'!F:F,1,0),0),"תקין","לא קיים במצבת כבית ספר בו מתקיימת פעילות"))</f>
        <v xml:space="preserve"> </v>
      </c>
      <c r="X273" s="256" t="str">
        <f t="shared" si="60"/>
        <v/>
      </c>
      <c r="Y273" s="256" t="str">
        <f t="shared" si="61"/>
        <v/>
      </c>
      <c r="Z273" s="741">
        <f t="shared" si="62"/>
        <v>0</v>
      </c>
      <c r="AA273" s="741">
        <f t="shared" si="63"/>
        <v>0</v>
      </c>
      <c r="AB273" s="741">
        <f t="shared" si="64"/>
        <v>0</v>
      </c>
      <c r="AC273" s="987">
        <f t="shared" si="74"/>
        <v>0</v>
      </c>
      <c r="AD273" s="987">
        <f t="shared" si="75"/>
        <v>0</v>
      </c>
      <c r="AE273" s="368" t="str">
        <f>IFERROR(VLOOKUP(B273,'[1]סיכום בקרת רשויות'!$A:$D,4,0),"")</f>
        <v/>
      </c>
      <c r="AF273" s="57" t="str">
        <f t="shared" si="76"/>
        <v/>
      </c>
      <c r="AG273" s="180">
        <f>IF(AF273="כן",M273*'גנים ובתי ספר- מבנה תקציב'!$H$59,0)</f>
        <v>0</v>
      </c>
      <c r="AH273" s="180">
        <f>IF(AF273="כן",M273*'גנים ובתי ספר- מבנה תקציב'!$I$59,0)</f>
        <v>0</v>
      </c>
      <c r="AI273" s="180">
        <f t="shared" si="77"/>
        <v>0</v>
      </c>
      <c r="AJ273" s="368" t="str">
        <f t="shared" si="65"/>
        <v/>
      </c>
    </row>
    <row r="274" spans="1:36" x14ac:dyDescent="0.25">
      <c r="A274" s="57">
        <v>254</v>
      </c>
      <c r="B274" s="690"/>
      <c r="C274" s="690"/>
      <c r="D274" s="252">
        <f>(IFERROR(SUMIF('מצבת והרשמה (2)'!$F$21:$F$501,'דוח ביצוע (3)'!$B274,'מצבת והרשמה (2)'!$J$21:$J$501),0))</f>
        <v>0</v>
      </c>
      <c r="E274" s="252">
        <f>IFERROR(SUMIF('מצבת והרשמה (2)'!$F$21:$F$501,'דוח ביצוע (3)'!$B274,'מצבת והרשמה (2)'!$K$21:$K$501),0)</f>
        <v>0</v>
      </c>
      <c r="F274" s="253">
        <f t="shared" si="66"/>
        <v>0</v>
      </c>
      <c r="G274" s="680"/>
      <c r="H274" s="680"/>
      <c r="I274" s="253">
        <f t="shared" si="78"/>
        <v>0</v>
      </c>
      <c r="J274" s="453">
        <f t="shared" si="67"/>
        <v>0</v>
      </c>
      <c r="K274" s="689"/>
      <c r="L274" s="689"/>
      <c r="M274" s="969">
        <f t="shared" si="68"/>
        <v>0</v>
      </c>
      <c r="N274" s="1029" t="str">
        <f t="shared" si="69"/>
        <v/>
      </c>
      <c r="O274" s="969" t="str">
        <f>IFERROR(VLOOKUP(B274,'נתוני רישום ומצבת'!B:Q,16,0),"")</f>
        <v/>
      </c>
      <c r="P274" s="969" t="str">
        <f>IFERROR(VLOOKUP(B274,'נתוני רישום ומצבת'!B:R,17,0),"")</f>
        <v/>
      </c>
      <c r="Q274" s="690"/>
      <c r="R274" s="1009"/>
      <c r="S274" s="376">
        <f t="shared" si="70"/>
        <v>0</v>
      </c>
      <c r="T274" s="376">
        <f t="shared" si="71"/>
        <v>0</v>
      </c>
      <c r="U274" s="386">
        <f t="shared" si="72"/>
        <v>0</v>
      </c>
      <c r="V274" s="513" t="str">
        <f t="shared" si="73"/>
        <v/>
      </c>
      <c r="W274" s="254" t="str">
        <f>IF(ISBLANK(B274)," ",IF(B274=IFERROR(VLOOKUP(B274,'מצבת והרשמה (2)'!F:F,1,0),0),"תקין","לא קיים במצבת כבית ספר בו מתקיימת פעילות"))</f>
        <v xml:space="preserve"> </v>
      </c>
      <c r="X274" s="256" t="str">
        <f t="shared" si="60"/>
        <v/>
      </c>
      <c r="Y274" s="256" t="str">
        <f t="shared" si="61"/>
        <v/>
      </c>
      <c r="Z274" s="741">
        <f t="shared" si="62"/>
        <v>0</v>
      </c>
      <c r="AA274" s="741">
        <f t="shared" si="63"/>
        <v>0</v>
      </c>
      <c r="AB274" s="741">
        <f t="shared" si="64"/>
        <v>0</v>
      </c>
      <c r="AC274" s="987">
        <f t="shared" si="74"/>
        <v>0</v>
      </c>
      <c r="AD274" s="987">
        <f t="shared" si="75"/>
        <v>0</v>
      </c>
      <c r="AE274" s="368" t="str">
        <f>IFERROR(VLOOKUP(B274,'[1]סיכום בקרת רשויות'!$A:$D,4,0),"")</f>
        <v/>
      </c>
      <c r="AF274" s="57" t="str">
        <f t="shared" si="76"/>
        <v/>
      </c>
      <c r="AG274" s="180">
        <f>IF(AF274="כן",M274*'גנים ובתי ספר- מבנה תקציב'!$H$59,0)</f>
        <v>0</v>
      </c>
      <c r="AH274" s="180">
        <f>IF(AF274="כן",M274*'גנים ובתי ספר- מבנה תקציב'!$I$59,0)</f>
        <v>0</v>
      </c>
      <c r="AI274" s="180">
        <f t="shared" si="77"/>
        <v>0</v>
      </c>
      <c r="AJ274" s="368" t="str">
        <f t="shared" si="65"/>
        <v/>
      </c>
    </row>
    <row r="275" spans="1:36" x14ac:dyDescent="0.25">
      <c r="A275" s="57">
        <v>255</v>
      </c>
      <c r="B275" s="690"/>
      <c r="C275" s="690"/>
      <c r="D275" s="252">
        <f>(IFERROR(SUMIF('מצבת והרשמה (2)'!$F$21:$F$501,'דוח ביצוע (3)'!$B275,'מצבת והרשמה (2)'!$J$21:$J$501),0))</f>
        <v>0</v>
      </c>
      <c r="E275" s="252">
        <f>IFERROR(SUMIF('מצבת והרשמה (2)'!$F$21:$F$501,'דוח ביצוע (3)'!$B275,'מצבת והרשמה (2)'!$K$21:$K$501),0)</f>
        <v>0</v>
      </c>
      <c r="F275" s="253">
        <f t="shared" si="66"/>
        <v>0</v>
      </c>
      <c r="G275" s="680"/>
      <c r="H275" s="680"/>
      <c r="I275" s="253">
        <f t="shared" si="78"/>
        <v>0</v>
      </c>
      <c r="J275" s="453">
        <f t="shared" si="67"/>
        <v>0</v>
      </c>
      <c r="K275" s="689"/>
      <c r="L275" s="689"/>
      <c r="M275" s="969">
        <f t="shared" si="68"/>
        <v>0</v>
      </c>
      <c r="N275" s="1029" t="str">
        <f t="shared" si="69"/>
        <v/>
      </c>
      <c r="O275" s="969" t="str">
        <f>IFERROR(VLOOKUP(B275,'נתוני רישום ומצבת'!B:Q,16,0),"")</f>
        <v/>
      </c>
      <c r="P275" s="969" t="str">
        <f>IFERROR(VLOOKUP(B275,'נתוני רישום ומצבת'!B:R,17,0),"")</f>
        <v/>
      </c>
      <c r="Q275" s="690"/>
      <c r="R275" s="1009"/>
      <c r="S275" s="376">
        <f t="shared" si="70"/>
        <v>0</v>
      </c>
      <c r="T275" s="376">
        <f t="shared" si="71"/>
        <v>0</v>
      </c>
      <c r="U275" s="386">
        <f t="shared" si="72"/>
        <v>0</v>
      </c>
      <c r="V275" s="513" t="str">
        <f t="shared" si="73"/>
        <v/>
      </c>
      <c r="W275" s="254" t="str">
        <f>IF(ISBLANK(B275)," ",IF(B275=IFERROR(VLOOKUP(B275,'מצבת והרשמה (2)'!F:F,1,0),0),"תקין","לא קיים במצבת כבית ספר בו מתקיימת פעילות"))</f>
        <v xml:space="preserve"> </v>
      </c>
      <c r="X275" s="256" t="str">
        <f t="shared" si="60"/>
        <v/>
      </c>
      <c r="Y275" s="256" t="str">
        <f t="shared" si="61"/>
        <v/>
      </c>
      <c r="Z275" s="741">
        <f t="shared" si="62"/>
        <v>0</v>
      </c>
      <c r="AA275" s="741">
        <f t="shared" si="63"/>
        <v>0</v>
      </c>
      <c r="AB275" s="741">
        <f t="shared" si="64"/>
        <v>0</v>
      </c>
      <c r="AC275" s="987">
        <f t="shared" si="74"/>
        <v>0</v>
      </c>
      <c r="AD275" s="987">
        <f t="shared" si="75"/>
        <v>0</v>
      </c>
      <c r="AE275" s="368" t="str">
        <f>IFERROR(VLOOKUP(B275,'[1]סיכום בקרת רשויות'!$A:$D,4,0),"")</f>
        <v/>
      </c>
      <c r="AF275" s="57" t="str">
        <f t="shared" si="76"/>
        <v/>
      </c>
      <c r="AG275" s="180">
        <f>IF(AF275="כן",M275*'גנים ובתי ספר- מבנה תקציב'!$H$59,0)</f>
        <v>0</v>
      </c>
      <c r="AH275" s="180">
        <f>IF(AF275="כן",M275*'גנים ובתי ספר- מבנה תקציב'!$I$59,0)</f>
        <v>0</v>
      </c>
      <c r="AI275" s="180">
        <f t="shared" si="77"/>
        <v>0</v>
      </c>
      <c r="AJ275" s="368" t="str">
        <f t="shared" si="65"/>
        <v/>
      </c>
    </row>
    <row r="276" spans="1:36" x14ac:dyDescent="0.25">
      <c r="A276" s="57">
        <v>256</v>
      </c>
      <c r="B276" s="690"/>
      <c r="C276" s="690"/>
      <c r="D276" s="252">
        <f>(IFERROR(SUMIF('מצבת והרשמה (2)'!$F$21:$F$501,'דוח ביצוע (3)'!$B276,'מצבת והרשמה (2)'!$J$21:$J$501),0))</f>
        <v>0</v>
      </c>
      <c r="E276" s="252">
        <f>IFERROR(SUMIF('מצבת והרשמה (2)'!$F$21:$F$501,'דוח ביצוע (3)'!$B276,'מצבת והרשמה (2)'!$K$21:$K$501),0)</f>
        <v>0</v>
      </c>
      <c r="F276" s="253">
        <f t="shared" si="66"/>
        <v>0</v>
      </c>
      <c r="G276" s="680"/>
      <c r="H276" s="680"/>
      <c r="I276" s="253">
        <f t="shared" si="78"/>
        <v>0</v>
      </c>
      <c r="J276" s="453">
        <f t="shared" si="67"/>
        <v>0</v>
      </c>
      <c r="K276" s="689"/>
      <c r="L276" s="689"/>
      <c r="M276" s="969">
        <f t="shared" si="68"/>
        <v>0</v>
      </c>
      <c r="N276" s="1029" t="str">
        <f t="shared" si="69"/>
        <v/>
      </c>
      <c r="O276" s="969" t="str">
        <f>IFERROR(VLOOKUP(B276,'נתוני רישום ומצבת'!B:Q,16,0),"")</f>
        <v/>
      </c>
      <c r="P276" s="969" t="str">
        <f>IFERROR(VLOOKUP(B276,'נתוני רישום ומצבת'!B:R,17,0),"")</f>
        <v/>
      </c>
      <c r="Q276" s="690"/>
      <c r="R276" s="1009"/>
      <c r="S276" s="376">
        <f t="shared" si="70"/>
        <v>0</v>
      </c>
      <c r="T276" s="376">
        <f t="shared" si="71"/>
        <v>0</v>
      </c>
      <c r="U276" s="386">
        <f t="shared" si="72"/>
        <v>0</v>
      </c>
      <c r="V276" s="513" t="str">
        <f t="shared" si="73"/>
        <v/>
      </c>
      <c r="W276" s="254" t="str">
        <f>IF(ISBLANK(B276)," ",IF(B276=IFERROR(VLOOKUP(B276,'מצבת והרשמה (2)'!F:F,1,0),0),"תקין","לא קיים במצבת כבית ספר בו מתקיימת פעילות"))</f>
        <v xml:space="preserve"> </v>
      </c>
      <c r="X276" s="256" t="str">
        <f t="shared" si="60"/>
        <v/>
      </c>
      <c r="Y276" s="256" t="str">
        <f t="shared" si="61"/>
        <v/>
      </c>
      <c r="Z276" s="741">
        <f t="shared" si="62"/>
        <v>0</v>
      </c>
      <c r="AA276" s="741">
        <f t="shared" si="63"/>
        <v>0</v>
      </c>
      <c r="AB276" s="741">
        <f t="shared" si="64"/>
        <v>0</v>
      </c>
      <c r="AC276" s="987">
        <f t="shared" si="74"/>
        <v>0</v>
      </c>
      <c r="AD276" s="987">
        <f t="shared" si="75"/>
        <v>0</v>
      </c>
      <c r="AE276" s="368" t="str">
        <f>IFERROR(VLOOKUP(B276,'[1]סיכום בקרת רשויות'!$A:$D,4,0),"")</f>
        <v/>
      </c>
      <c r="AF276" s="57" t="str">
        <f t="shared" si="76"/>
        <v/>
      </c>
      <c r="AG276" s="180">
        <f>IF(AF276="כן",M276*'גנים ובתי ספר- מבנה תקציב'!$H$59,0)</f>
        <v>0</v>
      </c>
      <c r="AH276" s="180">
        <f>IF(AF276="כן",M276*'גנים ובתי ספר- מבנה תקציב'!$I$59,0)</f>
        <v>0</v>
      </c>
      <c r="AI276" s="180">
        <f t="shared" si="77"/>
        <v>0</v>
      </c>
      <c r="AJ276" s="368" t="str">
        <f t="shared" si="65"/>
        <v/>
      </c>
    </row>
    <row r="277" spans="1:36" x14ac:dyDescent="0.25">
      <c r="A277" s="57">
        <v>257</v>
      </c>
      <c r="B277" s="690"/>
      <c r="C277" s="690"/>
      <c r="D277" s="252">
        <f>(IFERROR(SUMIF('מצבת והרשמה (2)'!$F$21:$F$501,'דוח ביצוע (3)'!$B277,'מצבת והרשמה (2)'!$J$21:$J$501),0))</f>
        <v>0</v>
      </c>
      <c r="E277" s="252">
        <f>IFERROR(SUMIF('מצבת והרשמה (2)'!$F$21:$F$501,'דוח ביצוע (3)'!$B277,'מצבת והרשמה (2)'!$K$21:$K$501),0)</f>
        <v>0</v>
      </c>
      <c r="F277" s="253">
        <f t="shared" si="66"/>
        <v>0</v>
      </c>
      <c r="G277" s="680"/>
      <c r="H277" s="680"/>
      <c r="I277" s="253">
        <f t="shared" si="78"/>
        <v>0</v>
      </c>
      <c r="J277" s="453">
        <f t="shared" si="67"/>
        <v>0</v>
      </c>
      <c r="K277" s="689"/>
      <c r="L277" s="689"/>
      <c r="M277" s="969">
        <f t="shared" si="68"/>
        <v>0</v>
      </c>
      <c r="N277" s="1029" t="str">
        <f t="shared" si="69"/>
        <v/>
      </c>
      <c r="O277" s="969" t="str">
        <f>IFERROR(VLOOKUP(B277,'נתוני רישום ומצבת'!B:Q,16,0),"")</f>
        <v/>
      </c>
      <c r="P277" s="969" t="str">
        <f>IFERROR(VLOOKUP(B277,'נתוני רישום ומצבת'!B:R,17,0),"")</f>
        <v/>
      </c>
      <c r="Q277" s="690"/>
      <c r="R277" s="1009"/>
      <c r="S277" s="376">
        <f t="shared" si="70"/>
        <v>0</v>
      </c>
      <c r="T277" s="376">
        <f t="shared" si="71"/>
        <v>0</v>
      </c>
      <c r="U277" s="386">
        <f t="shared" si="72"/>
        <v>0</v>
      </c>
      <c r="V277" s="513" t="str">
        <f t="shared" si="73"/>
        <v/>
      </c>
      <c r="W277" s="254" t="str">
        <f>IF(ISBLANK(B277)," ",IF(B277=IFERROR(VLOOKUP(B277,'מצבת והרשמה (2)'!F:F,1,0),0),"תקין","לא קיים במצבת כבית ספר בו מתקיימת פעילות"))</f>
        <v xml:space="preserve"> </v>
      </c>
      <c r="X277" s="256" t="str">
        <f t="shared" ref="X277:X340" si="79">IF(IFERROR(COUNTIF($C$20:$C$2460,B277)," ")&gt;1,"סמל המוסד מופיע יותר מפעם אחת",IF(ISBLANK(B277),"","תקין"))</f>
        <v/>
      </c>
      <c r="Y277" s="256" t="str">
        <f t="shared" ref="Y277:Y340" si="80">IF(AND(ISNUMBER(B277),ISBLANK(B276)),"יש למלא שורות רצופות","")</f>
        <v/>
      </c>
      <c r="Z277" s="741">
        <f t="shared" ref="Z277:Z340" si="81">IF(OR(LEFT(V277,10)="יש למלא מס",LEFT(V277,10)="יש למלא סי"),1,0)</f>
        <v>0</v>
      </c>
      <c r="AA277" s="741">
        <f t="shared" ref="AA277:AA340" si="82">IF(COUNTIF(סמלפעילות,B277)&gt;1,1,0)</f>
        <v>0</v>
      </c>
      <c r="AB277" s="741">
        <f t="shared" ref="AB277:AB340" si="83">IF(B277&gt;0,IF(I277=0,1,0),0)</f>
        <v>0</v>
      </c>
      <c r="AC277" s="987">
        <f t="shared" si="74"/>
        <v>0</v>
      </c>
      <c r="AD277" s="987">
        <f t="shared" si="75"/>
        <v>0</v>
      </c>
      <c r="AE277" s="368" t="str">
        <f>IFERROR(VLOOKUP(B277,'[1]סיכום בקרת רשויות'!$A:$D,4,0),"")</f>
        <v/>
      </c>
      <c r="AF277" s="57" t="str">
        <f t="shared" si="76"/>
        <v/>
      </c>
      <c r="AG277" s="180">
        <f>IF(AF277="כן",M277*'גנים ובתי ספר- מבנה תקציב'!$H$59,0)</f>
        <v>0</v>
      </c>
      <c r="AH277" s="180">
        <f>IF(AF277="כן",M277*'גנים ובתי ספר- מבנה תקציב'!$I$59,0)</f>
        <v>0</v>
      </c>
      <c r="AI277" s="180">
        <f t="shared" si="77"/>
        <v>0</v>
      </c>
      <c r="AJ277" s="368" t="str">
        <f t="shared" ref="AJ277:AJ340" si="84">IF(B277&gt;0,IF(M277&lt;15,1,0),"")</f>
        <v/>
      </c>
    </row>
    <row r="278" spans="1:36" x14ac:dyDescent="0.25">
      <c r="A278" s="57">
        <v>258</v>
      </c>
      <c r="B278" s="690"/>
      <c r="C278" s="690"/>
      <c r="D278" s="252">
        <f>(IFERROR(SUMIF('מצבת והרשמה (2)'!$F$21:$F$501,'דוח ביצוע (3)'!$B278,'מצבת והרשמה (2)'!$J$21:$J$501),0))</f>
        <v>0</v>
      </c>
      <c r="E278" s="252">
        <f>IFERROR(SUMIF('מצבת והרשמה (2)'!$F$21:$F$501,'דוח ביצוע (3)'!$B278,'מצבת והרשמה (2)'!$K$21:$K$501),0)</f>
        <v>0</v>
      </c>
      <c r="F278" s="253">
        <f t="shared" ref="F278:F341" si="85">E278+D278</f>
        <v>0</v>
      </c>
      <c r="G278" s="680"/>
      <c r="H278" s="680"/>
      <c r="I278" s="253">
        <f t="shared" si="78"/>
        <v>0</v>
      </c>
      <c r="J278" s="453">
        <f t="shared" ref="J278:J341" si="86">IF(F278&gt;149,1,0)</f>
        <v>0</v>
      </c>
      <c r="K278" s="689"/>
      <c r="L278" s="689"/>
      <c r="M278" s="969">
        <f t="shared" ref="M278:M341" si="87">MIN(NETWORKDAYS.INTL(K278,L278,7),15)</f>
        <v>0</v>
      </c>
      <c r="N278" s="1029" t="str">
        <f t="shared" ref="N278:N341" si="88">IF(B278&gt;0,IF(M278&lt;15,"תקופת הפעילות נמוכה מהתקופה הנדרשת, ועל כן המוסד אינו זכאי לתקצוב","תקין"),"")</f>
        <v/>
      </c>
      <c r="O278" s="969" t="str">
        <f>IFERROR(VLOOKUP(B278,'נתוני רישום ומצבת'!B:Q,16,0),"")</f>
        <v/>
      </c>
      <c r="P278" s="969" t="str">
        <f>IFERROR(VLOOKUP(B278,'נתוני רישום ומצבת'!B:R,17,0),"")</f>
        <v/>
      </c>
      <c r="Q278" s="690"/>
      <c r="R278" s="1009"/>
      <c r="S278" s="376">
        <f t="shared" ref="S278:S341" si="89">IF(OR($T$2=0,N278="תקין"),MAX(IF(G278="",0,MIN(G278,D278)),0),0)</f>
        <v>0</v>
      </c>
      <c r="T278" s="376">
        <f t="shared" ref="T278:T341" si="90">IF(OR($T$2=0,N278="תקין"),MAX(IF(H278="",0,MIN(H278,E278)),0),0)</f>
        <v>0</v>
      </c>
      <c r="U278" s="386">
        <f t="shared" ref="U278:U341" si="91">SUM(S278:T278)</f>
        <v>0</v>
      </c>
      <c r="V278" s="513" t="str">
        <f t="shared" ref="V278:V341" si="92">IF(ISNUMBER(B278),IF(M278&lt;1,"יש למלא מס' ימי פעילות",IF(M278&lt;15,"יש למלא סיבה לחוסר ימי פעילות","תקין")),"")</f>
        <v/>
      </c>
      <c r="W278" s="254" t="str">
        <f>IF(ISBLANK(B278)," ",IF(B278=IFERROR(VLOOKUP(B278,'מצבת והרשמה (2)'!F:F,1,0),0),"תקין","לא קיים במצבת כבית ספר בו מתקיימת פעילות"))</f>
        <v xml:space="preserve"> </v>
      </c>
      <c r="X278" s="256" t="str">
        <f t="shared" si="79"/>
        <v/>
      </c>
      <c r="Y278" s="256" t="str">
        <f t="shared" si="80"/>
        <v/>
      </c>
      <c r="Z278" s="741">
        <f t="shared" si="81"/>
        <v>0</v>
      </c>
      <c r="AA278" s="741">
        <f t="shared" si="82"/>
        <v>0</v>
      </c>
      <c r="AB278" s="741">
        <f t="shared" si="83"/>
        <v>0</v>
      </c>
      <c r="AC278" s="987">
        <f t="shared" ref="AC278:AC341" si="93">MAX(IF(G278=" ",0,MIN(G278,D278)),0)</f>
        <v>0</v>
      </c>
      <c r="AD278" s="987">
        <f t="shared" ref="AD278:AD341" si="94">MAX(IF(H278=" ",0,MIN(H278,E278)),0)</f>
        <v>0</v>
      </c>
      <c r="AE278" s="368" t="str">
        <f>IFERROR(VLOOKUP(B278,'[1]סיכום בקרת רשויות'!$A:$D,4,0),"")</f>
        <v/>
      </c>
      <c r="AF278" s="57" t="str">
        <f t="shared" ref="AF278:AF341" si="95">IF(B278&gt;0,IF(Q278&gt;=MIN(40,P278),"כן",""),"")</f>
        <v/>
      </c>
      <c r="AG278" s="180">
        <f>IF(AF278="כן",M278*'גנים ובתי ספר- מבנה תקציב'!$H$59,0)</f>
        <v>0</v>
      </c>
      <c r="AH278" s="180">
        <f>IF(AF278="כן",M278*'גנים ובתי ספר- מבנה תקציב'!$I$59,0)</f>
        <v>0</v>
      </c>
      <c r="AI278" s="180">
        <f t="shared" ref="AI278:AI341" si="96">AH278+AG278</f>
        <v>0</v>
      </c>
      <c r="AJ278" s="368" t="str">
        <f t="shared" si="84"/>
        <v/>
      </c>
    </row>
    <row r="279" spans="1:36" x14ac:dyDescent="0.25">
      <c r="A279" s="57">
        <v>259</v>
      </c>
      <c r="B279" s="690"/>
      <c r="C279" s="690"/>
      <c r="D279" s="252">
        <f>(IFERROR(SUMIF('מצבת והרשמה (2)'!$F$21:$F$501,'דוח ביצוע (3)'!$B279,'מצבת והרשמה (2)'!$J$21:$J$501),0))</f>
        <v>0</v>
      </c>
      <c r="E279" s="252">
        <f>IFERROR(SUMIF('מצבת והרשמה (2)'!$F$21:$F$501,'דוח ביצוע (3)'!$B279,'מצבת והרשמה (2)'!$K$21:$K$501),0)</f>
        <v>0</v>
      </c>
      <c r="F279" s="253">
        <f t="shared" si="85"/>
        <v>0</v>
      </c>
      <c r="G279" s="680"/>
      <c r="H279" s="680"/>
      <c r="I279" s="253">
        <f t="shared" si="78"/>
        <v>0</v>
      </c>
      <c r="J279" s="453">
        <f t="shared" si="86"/>
        <v>0</v>
      </c>
      <c r="K279" s="689"/>
      <c r="L279" s="689"/>
      <c r="M279" s="969">
        <f t="shared" si="87"/>
        <v>0</v>
      </c>
      <c r="N279" s="1029" t="str">
        <f t="shared" si="88"/>
        <v/>
      </c>
      <c r="O279" s="969" t="str">
        <f>IFERROR(VLOOKUP(B279,'נתוני רישום ומצבת'!B:Q,16,0),"")</f>
        <v/>
      </c>
      <c r="P279" s="969" t="str">
        <f>IFERROR(VLOOKUP(B279,'נתוני רישום ומצבת'!B:R,17,0),"")</f>
        <v/>
      </c>
      <c r="Q279" s="690"/>
      <c r="R279" s="1009"/>
      <c r="S279" s="376">
        <f t="shared" si="89"/>
        <v>0</v>
      </c>
      <c r="T279" s="376">
        <f t="shared" si="90"/>
        <v>0</v>
      </c>
      <c r="U279" s="386">
        <f t="shared" si="91"/>
        <v>0</v>
      </c>
      <c r="V279" s="513" t="str">
        <f t="shared" si="92"/>
        <v/>
      </c>
      <c r="W279" s="254" t="str">
        <f>IF(ISBLANK(B279)," ",IF(B279=IFERROR(VLOOKUP(B279,'מצבת והרשמה (2)'!F:F,1,0),0),"תקין","לא קיים במצבת כבית ספר בו מתקיימת פעילות"))</f>
        <v xml:space="preserve"> </v>
      </c>
      <c r="X279" s="256" t="str">
        <f t="shared" si="79"/>
        <v/>
      </c>
      <c r="Y279" s="256" t="str">
        <f t="shared" si="80"/>
        <v/>
      </c>
      <c r="Z279" s="741">
        <f t="shared" si="81"/>
        <v>0</v>
      </c>
      <c r="AA279" s="741">
        <f t="shared" si="82"/>
        <v>0</v>
      </c>
      <c r="AB279" s="741">
        <f t="shared" si="83"/>
        <v>0</v>
      </c>
      <c r="AC279" s="987">
        <f t="shared" si="93"/>
        <v>0</v>
      </c>
      <c r="AD279" s="987">
        <f t="shared" si="94"/>
        <v>0</v>
      </c>
      <c r="AE279" s="368" t="str">
        <f>IFERROR(VLOOKUP(B279,'[1]סיכום בקרת רשויות'!$A:$D,4,0),"")</f>
        <v/>
      </c>
      <c r="AF279" s="57" t="str">
        <f t="shared" si="95"/>
        <v/>
      </c>
      <c r="AG279" s="180">
        <f>IF(AF279="כן",M279*'גנים ובתי ספר- מבנה תקציב'!$H$59,0)</f>
        <v>0</v>
      </c>
      <c r="AH279" s="180">
        <f>IF(AF279="כן",M279*'גנים ובתי ספר- מבנה תקציב'!$I$59,0)</f>
        <v>0</v>
      </c>
      <c r="AI279" s="180">
        <f t="shared" si="96"/>
        <v>0</v>
      </c>
      <c r="AJ279" s="368" t="str">
        <f t="shared" si="84"/>
        <v/>
      </c>
    </row>
    <row r="280" spans="1:36" x14ac:dyDescent="0.25">
      <c r="A280" s="57">
        <v>260</v>
      </c>
      <c r="B280" s="690"/>
      <c r="C280" s="690"/>
      <c r="D280" s="252">
        <f>(IFERROR(SUMIF('מצבת והרשמה (2)'!$F$21:$F$501,'דוח ביצוע (3)'!$B280,'מצבת והרשמה (2)'!$J$21:$J$501),0))</f>
        <v>0</v>
      </c>
      <c r="E280" s="252">
        <f>IFERROR(SUMIF('מצבת והרשמה (2)'!$F$21:$F$501,'דוח ביצוע (3)'!$B280,'מצבת והרשמה (2)'!$K$21:$K$501),0)</f>
        <v>0</v>
      </c>
      <c r="F280" s="253">
        <f t="shared" si="85"/>
        <v>0</v>
      </c>
      <c r="G280" s="680"/>
      <c r="H280" s="680"/>
      <c r="I280" s="253">
        <f t="shared" si="78"/>
        <v>0</v>
      </c>
      <c r="J280" s="453">
        <f t="shared" si="86"/>
        <v>0</v>
      </c>
      <c r="K280" s="689"/>
      <c r="L280" s="689"/>
      <c r="M280" s="969">
        <f t="shared" si="87"/>
        <v>0</v>
      </c>
      <c r="N280" s="1029" t="str">
        <f t="shared" si="88"/>
        <v/>
      </c>
      <c r="O280" s="969" t="str">
        <f>IFERROR(VLOOKUP(B280,'נתוני רישום ומצבת'!B:Q,16,0),"")</f>
        <v/>
      </c>
      <c r="P280" s="969" t="str">
        <f>IFERROR(VLOOKUP(B280,'נתוני רישום ומצבת'!B:R,17,0),"")</f>
        <v/>
      </c>
      <c r="Q280" s="690"/>
      <c r="R280" s="1009"/>
      <c r="S280" s="376">
        <f t="shared" si="89"/>
        <v>0</v>
      </c>
      <c r="T280" s="376">
        <f t="shared" si="90"/>
        <v>0</v>
      </c>
      <c r="U280" s="386">
        <f t="shared" si="91"/>
        <v>0</v>
      </c>
      <c r="V280" s="513" t="str">
        <f t="shared" si="92"/>
        <v/>
      </c>
      <c r="W280" s="254" t="str">
        <f>IF(ISBLANK(B280)," ",IF(B280=IFERROR(VLOOKUP(B280,'מצבת והרשמה (2)'!F:F,1,0),0),"תקין","לא קיים במצבת כבית ספר בו מתקיימת פעילות"))</f>
        <v xml:space="preserve"> </v>
      </c>
      <c r="X280" s="256" t="str">
        <f t="shared" si="79"/>
        <v/>
      </c>
      <c r="Y280" s="256" t="str">
        <f t="shared" si="80"/>
        <v/>
      </c>
      <c r="Z280" s="741">
        <f t="shared" si="81"/>
        <v>0</v>
      </c>
      <c r="AA280" s="741">
        <f t="shared" si="82"/>
        <v>0</v>
      </c>
      <c r="AB280" s="741">
        <f t="shared" si="83"/>
        <v>0</v>
      </c>
      <c r="AC280" s="987">
        <f t="shared" si="93"/>
        <v>0</v>
      </c>
      <c r="AD280" s="987">
        <f t="shared" si="94"/>
        <v>0</v>
      </c>
      <c r="AE280" s="368" t="str">
        <f>IFERROR(VLOOKUP(B280,'[1]סיכום בקרת רשויות'!$A:$D,4,0),"")</f>
        <v/>
      </c>
      <c r="AF280" s="57" t="str">
        <f t="shared" si="95"/>
        <v/>
      </c>
      <c r="AG280" s="180">
        <f>IF(AF280="כן",M280*'גנים ובתי ספר- מבנה תקציב'!$H$59,0)</f>
        <v>0</v>
      </c>
      <c r="AH280" s="180">
        <f>IF(AF280="כן",M280*'גנים ובתי ספר- מבנה תקציב'!$I$59,0)</f>
        <v>0</v>
      </c>
      <c r="AI280" s="180">
        <f t="shared" si="96"/>
        <v>0</v>
      </c>
      <c r="AJ280" s="368" t="str">
        <f t="shared" si="84"/>
        <v/>
      </c>
    </row>
    <row r="281" spans="1:36" x14ac:dyDescent="0.25">
      <c r="A281" s="57">
        <v>261</v>
      </c>
      <c r="B281" s="690"/>
      <c r="C281" s="690"/>
      <c r="D281" s="252">
        <f>(IFERROR(SUMIF('מצבת והרשמה (2)'!$F$21:$F$501,'דוח ביצוע (3)'!$B281,'מצבת והרשמה (2)'!$J$21:$J$501),0))</f>
        <v>0</v>
      </c>
      <c r="E281" s="252">
        <f>IFERROR(SUMIF('מצבת והרשמה (2)'!$F$21:$F$501,'דוח ביצוע (3)'!$B281,'מצבת והרשמה (2)'!$K$21:$K$501),0)</f>
        <v>0</v>
      </c>
      <c r="F281" s="253">
        <f t="shared" si="85"/>
        <v>0</v>
      </c>
      <c r="G281" s="680"/>
      <c r="H281" s="680"/>
      <c r="I281" s="253">
        <f t="shared" si="78"/>
        <v>0</v>
      </c>
      <c r="J281" s="453">
        <f t="shared" si="86"/>
        <v>0</v>
      </c>
      <c r="K281" s="689"/>
      <c r="L281" s="689"/>
      <c r="M281" s="969">
        <f t="shared" si="87"/>
        <v>0</v>
      </c>
      <c r="N281" s="1029" t="str">
        <f t="shared" si="88"/>
        <v/>
      </c>
      <c r="O281" s="969" t="str">
        <f>IFERROR(VLOOKUP(B281,'נתוני רישום ומצבת'!B:Q,16,0),"")</f>
        <v/>
      </c>
      <c r="P281" s="969" t="str">
        <f>IFERROR(VLOOKUP(B281,'נתוני רישום ומצבת'!B:R,17,0),"")</f>
        <v/>
      </c>
      <c r="Q281" s="690"/>
      <c r="R281" s="1009"/>
      <c r="S281" s="376">
        <f t="shared" si="89"/>
        <v>0</v>
      </c>
      <c r="T281" s="376">
        <f t="shared" si="90"/>
        <v>0</v>
      </c>
      <c r="U281" s="386">
        <f t="shared" si="91"/>
        <v>0</v>
      </c>
      <c r="V281" s="513" t="str">
        <f t="shared" si="92"/>
        <v/>
      </c>
      <c r="W281" s="254" t="str">
        <f>IF(ISBLANK(B281)," ",IF(B281=IFERROR(VLOOKUP(B281,'מצבת והרשמה (2)'!F:F,1,0),0),"תקין","לא קיים במצבת כבית ספר בו מתקיימת פעילות"))</f>
        <v xml:space="preserve"> </v>
      </c>
      <c r="X281" s="256" t="str">
        <f t="shared" si="79"/>
        <v/>
      </c>
      <c r="Y281" s="256" t="str">
        <f t="shared" si="80"/>
        <v/>
      </c>
      <c r="Z281" s="741">
        <f t="shared" si="81"/>
        <v>0</v>
      </c>
      <c r="AA281" s="741">
        <f t="shared" si="82"/>
        <v>0</v>
      </c>
      <c r="AB281" s="741">
        <f t="shared" si="83"/>
        <v>0</v>
      </c>
      <c r="AC281" s="987">
        <f t="shared" si="93"/>
        <v>0</v>
      </c>
      <c r="AD281" s="987">
        <f t="shared" si="94"/>
        <v>0</v>
      </c>
      <c r="AE281" s="368" t="str">
        <f>IFERROR(VLOOKUP(B281,'[1]סיכום בקרת רשויות'!$A:$D,4,0),"")</f>
        <v/>
      </c>
      <c r="AF281" s="57" t="str">
        <f t="shared" si="95"/>
        <v/>
      </c>
      <c r="AG281" s="180">
        <f>IF(AF281="כן",M281*'גנים ובתי ספר- מבנה תקציב'!$H$59,0)</f>
        <v>0</v>
      </c>
      <c r="AH281" s="180">
        <f>IF(AF281="כן",M281*'גנים ובתי ספר- מבנה תקציב'!$I$59,0)</f>
        <v>0</v>
      </c>
      <c r="AI281" s="180">
        <f t="shared" si="96"/>
        <v>0</v>
      </c>
      <c r="AJ281" s="368" t="str">
        <f t="shared" si="84"/>
        <v/>
      </c>
    </row>
    <row r="282" spans="1:36" x14ac:dyDescent="0.25">
      <c r="A282" s="57">
        <v>262</v>
      </c>
      <c r="B282" s="690"/>
      <c r="C282" s="690"/>
      <c r="D282" s="252">
        <f>(IFERROR(SUMIF('מצבת והרשמה (2)'!$F$21:$F$501,'דוח ביצוע (3)'!$B282,'מצבת והרשמה (2)'!$J$21:$J$501),0))</f>
        <v>0</v>
      </c>
      <c r="E282" s="252">
        <f>IFERROR(SUMIF('מצבת והרשמה (2)'!$F$21:$F$501,'דוח ביצוע (3)'!$B282,'מצבת והרשמה (2)'!$K$21:$K$501),0)</f>
        <v>0</v>
      </c>
      <c r="F282" s="253">
        <f t="shared" si="85"/>
        <v>0</v>
      </c>
      <c r="G282" s="680"/>
      <c r="H282" s="680"/>
      <c r="I282" s="253">
        <f t="shared" si="78"/>
        <v>0</v>
      </c>
      <c r="J282" s="453">
        <f t="shared" si="86"/>
        <v>0</v>
      </c>
      <c r="K282" s="689"/>
      <c r="L282" s="689"/>
      <c r="M282" s="969">
        <f t="shared" si="87"/>
        <v>0</v>
      </c>
      <c r="N282" s="1029" t="str">
        <f t="shared" si="88"/>
        <v/>
      </c>
      <c r="O282" s="969" t="str">
        <f>IFERROR(VLOOKUP(B282,'נתוני רישום ומצבת'!B:Q,16,0),"")</f>
        <v/>
      </c>
      <c r="P282" s="969" t="str">
        <f>IFERROR(VLOOKUP(B282,'נתוני רישום ומצבת'!B:R,17,0),"")</f>
        <v/>
      </c>
      <c r="Q282" s="690"/>
      <c r="R282" s="1009"/>
      <c r="S282" s="376">
        <f t="shared" si="89"/>
        <v>0</v>
      </c>
      <c r="T282" s="376">
        <f t="shared" si="90"/>
        <v>0</v>
      </c>
      <c r="U282" s="386">
        <f t="shared" si="91"/>
        <v>0</v>
      </c>
      <c r="V282" s="513" t="str">
        <f t="shared" si="92"/>
        <v/>
      </c>
      <c r="W282" s="254" t="str">
        <f>IF(ISBLANK(B282)," ",IF(B282=IFERROR(VLOOKUP(B282,'מצבת והרשמה (2)'!F:F,1,0),0),"תקין","לא קיים במצבת כבית ספר בו מתקיימת פעילות"))</f>
        <v xml:space="preserve"> </v>
      </c>
      <c r="X282" s="256" t="str">
        <f t="shared" si="79"/>
        <v/>
      </c>
      <c r="Y282" s="256" t="str">
        <f t="shared" si="80"/>
        <v/>
      </c>
      <c r="Z282" s="741">
        <f t="shared" si="81"/>
        <v>0</v>
      </c>
      <c r="AA282" s="741">
        <f t="shared" si="82"/>
        <v>0</v>
      </c>
      <c r="AB282" s="741">
        <f t="shared" si="83"/>
        <v>0</v>
      </c>
      <c r="AC282" s="987">
        <f t="shared" si="93"/>
        <v>0</v>
      </c>
      <c r="AD282" s="987">
        <f t="shared" si="94"/>
        <v>0</v>
      </c>
      <c r="AE282" s="368" t="str">
        <f>IFERROR(VLOOKUP(B282,'[1]סיכום בקרת רשויות'!$A:$D,4,0),"")</f>
        <v/>
      </c>
      <c r="AF282" s="57" t="str">
        <f t="shared" si="95"/>
        <v/>
      </c>
      <c r="AG282" s="180">
        <f>IF(AF282="כן",M282*'גנים ובתי ספר- מבנה תקציב'!$H$59,0)</f>
        <v>0</v>
      </c>
      <c r="AH282" s="180">
        <f>IF(AF282="כן",M282*'גנים ובתי ספר- מבנה תקציב'!$I$59,0)</f>
        <v>0</v>
      </c>
      <c r="AI282" s="180">
        <f t="shared" si="96"/>
        <v>0</v>
      </c>
      <c r="AJ282" s="368" t="str">
        <f t="shared" si="84"/>
        <v/>
      </c>
    </row>
    <row r="283" spans="1:36" x14ac:dyDescent="0.25">
      <c r="A283" s="57">
        <v>263</v>
      </c>
      <c r="B283" s="690"/>
      <c r="C283" s="690"/>
      <c r="D283" s="252">
        <f>(IFERROR(SUMIF('מצבת והרשמה (2)'!$F$21:$F$501,'דוח ביצוע (3)'!$B283,'מצבת והרשמה (2)'!$J$21:$J$501),0))</f>
        <v>0</v>
      </c>
      <c r="E283" s="252">
        <f>IFERROR(SUMIF('מצבת והרשמה (2)'!$F$21:$F$501,'דוח ביצוע (3)'!$B283,'מצבת והרשמה (2)'!$K$21:$K$501),0)</f>
        <v>0</v>
      </c>
      <c r="F283" s="253">
        <f t="shared" si="85"/>
        <v>0</v>
      </c>
      <c r="G283" s="680"/>
      <c r="H283" s="680"/>
      <c r="I283" s="253">
        <f t="shared" si="78"/>
        <v>0</v>
      </c>
      <c r="J283" s="453">
        <f t="shared" si="86"/>
        <v>0</v>
      </c>
      <c r="K283" s="689"/>
      <c r="L283" s="689"/>
      <c r="M283" s="969">
        <f t="shared" si="87"/>
        <v>0</v>
      </c>
      <c r="N283" s="1029" t="str">
        <f t="shared" si="88"/>
        <v/>
      </c>
      <c r="O283" s="969" t="str">
        <f>IFERROR(VLOOKUP(B283,'נתוני רישום ומצבת'!B:Q,16,0),"")</f>
        <v/>
      </c>
      <c r="P283" s="969" t="str">
        <f>IFERROR(VLOOKUP(B283,'נתוני רישום ומצבת'!B:R,17,0),"")</f>
        <v/>
      </c>
      <c r="Q283" s="690"/>
      <c r="R283" s="1009"/>
      <c r="S283" s="376">
        <f t="shared" si="89"/>
        <v>0</v>
      </c>
      <c r="T283" s="376">
        <f t="shared" si="90"/>
        <v>0</v>
      </c>
      <c r="U283" s="386">
        <f t="shared" si="91"/>
        <v>0</v>
      </c>
      <c r="V283" s="513" t="str">
        <f t="shared" si="92"/>
        <v/>
      </c>
      <c r="W283" s="254" t="str">
        <f>IF(ISBLANK(B283)," ",IF(B283=IFERROR(VLOOKUP(B283,'מצבת והרשמה (2)'!F:F,1,0),0),"תקין","לא קיים במצבת כבית ספר בו מתקיימת פעילות"))</f>
        <v xml:space="preserve"> </v>
      </c>
      <c r="X283" s="256" t="str">
        <f t="shared" si="79"/>
        <v/>
      </c>
      <c r="Y283" s="256" t="str">
        <f t="shared" si="80"/>
        <v/>
      </c>
      <c r="Z283" s="741">
        <f t="shared" si="81"/>
        <v>0</v>
      </c>
      <c r="AA283" s="741">
        <f t="shared" si="82"/>
        <v>0</v>
      </c>
      <c r="AB283" s="741">
        <f t="shared" si="83"/>
        <v>0</v>
      </c>
      <c r="AC283" s="987">
        <f t="shared" si="93"/>
        <v>0</v>
      </c>
      <c r="AD283" s="987">
        <f t="shared" si="94"/>
        <v>0</v>
      </c>
      <c r="AE283" s="368" t="str">
        <f>IFERROR(VLOOKUP(B283,'[1]סיכום בקרת רשויות'!$A:$D,4,0),"")</f>
        <v/>
      </c>
      <c r="AF283" s="57" t="str">
        <f t="shared" si="95"/>
        <v/>
      </c>
      <c r="AG283" s="180">
        <f>IF(AF283="כן",M283*'גנים ובתי ספר- מבנה תקציב'!$H$59,0)</f>
        <v>0</v>
      </c>
      <c r="AH283" s="180">
        <f>IF(AF283="כן",M283*'גנים ובתי ספר- מבנה תקציב'!$I$59,0)</f>
        <v>0</v>
      </c>
      <c r="AI283" s="180">
        <f t="shared" si="96"/>
        <v>0</v>
      </c>
      <c r="AJ283" s="368" t="str">
        <f t="shared" si="84"/>
        <v/>
      </c>
    </row>
    <row r="284" spans="1:36" x14ac:dyDescent="0.25">
      <c r="A284" s="57">
        <v>264</v>
      </c>
      <c r="B284" s="690"/>
      <c r="C284" s="690"/>
      <c r="D284" s="252">
        <f>(IFERROR(SUMIF('מצבת והרשמה (2)'!$F$21:$F$501,'דוח ביצוע (3)'!$B284,'מצבת והרשמה (2)'!$J$21:$J$501),0))</f>
        <v>0</v>
      </c>
      <c r="E284" s="252">
        <f>IFERROR(SUMIF('מצבת והרשמה (2)'!$F$21:$F$501,'דוח ביצוע (3)'!$B284,'מצבת והרשמה (2)'!$K$21:$K$501),0)</f>
        <v>0</v>
      </c>
      <c r="F284" s="253">
        <f t="shared" si="85"/>
        <v>0</v>
      </c>
      <c r="G284" s="680"/>
      <c r="H284" s="680"/>
      <c r="I284" s="253">
        <f t="shared" si="78"/>
        <v>0</v>
      </c>
      <c r="J284" s="453">
        <f t="shared" si="86"/>
        <v>0</v>
      </c>
      <c r="K284" s="689"/>
      <c r="L284" s="689"/>
      <c r="M284" s="969">
        <f t="shared" si="87"/>
        <v>0</v>
      </c>
      <c r="N284" s="1029" t="str">
        <f t="shared" si="88"/>
        <v/>
      </c>
      <c r="O284" s="969" t="str">
        <f>IFERROR(VLOOKUP(B284,'נתוני רישום ומצבת'!B:Q,16,0),"")</f>
        <v/>
      </c>
      <c r="P284" s="969" t="str">
        <f>IFERROR(VLOOKUP(B284,'נתוני רישום ומצבת'!B:R,17,0),"")</f>
        <v/>
      </c>
      <c r="Q284" s="690"/>
      <c r="R284" s="1009"/>
      <c r="S284" s="376">
        <f t="shared" si="89"/>
        <v>0</v>
      </c>
      <c r="T284" s="376">
        <f t="shared" si="90"/>
        <v>0</v>
      </c>
      <c r="U284" s="386">
        <f t="shared" si="91"/>
        <v>0</v>
      </c>
      <c r="V284" s="513" t="str">
        <f t="shared" si="92"/>
        <v/>
      </c>
      <c r="W284" s="254" t="str">
        <f>IF(ISBLANK(B284)," ",IF(B284=IFERROR(VLOOKUP(B284,'מצבת והרשמה (2)'!F:F,1,0),0),"תקין","לא קיים במצבת כבית ספר בו מתקיימת פעילות"))</f>
        <v xml:space="preserve"> </v>
      </c>
      <c r="X284" s="256" t="str">
        <f t="shared" si="79"/>
        <v/>
      </c>
      <c r="Y284" s="256" t="str">
        <f t="shared" si="80"/>
        <v/>
      </c>
      <c r="Z284" s="741">
        <f t="shared" si="81"/>
        <v>0</v>
      </c>
      <c r="AA284" s="741">
        <f t="shared" si="82"/>
        <v>0</v>
      </c>
      <c r="AB284" s="741">
        <f t="shared" si="83"/>
        <v>0</v>
      </c>
      <c r="AC284" s="987">
        <f t="shared" si="93"/>
        <v>0</v>
      </c>
      <c r="AD284" s="987">
        <f t="shared" si="94"/>
        <v>0</v>
      </c>
      <c r="AE284" s="368" t="str">
        <f>IFERROR(VLOOKUP(B284,'[1]סיכום בקרת רשויות'!$A:$D,4,0),"")</f>
        <v/>
      </c>
      <c r="AF284" s="57" t="str">
        <f t="shared" si="95"/>
        <v/>
      </c>
      <c r="AG284" s="180">
        <f>IF(AF284="כן",M284*'גנים ובתי ספר- מבנה תקציב'!$H$59,0)</f>
        <v>0</v>
      </c>
      <c r="AH284" s="180">
        <f>IF(AF284="כן",M284*'גנים ובתי ספר- מבנה תקציב'!$I$59,0)</f>
        <v>0</v>
      </c>
      <c r="AI284" s="180">
        <f t="shared" si="96"/>
        <v>0</v>
      </c>
      <c r="AJ284" s="368" t="str">
        <f t="shared" si="84"/>
        <v/>
      </c>
    </row>
    <row r="285" spans="1:36" x14ac:dyDescent="0.25">
      <c r="A285" s="57">
        <v>265</v>
      </c>
      <c r="B285" s="690"/>
      <c r="C285" s="690"/>
      <c r="D285" s="252">
        <f>(IFERROR(SUMIF('מצבת והרשמה (2)'!$F$21:$F$501,'דוח ביצוע (3)'!$B285,'מצבת והרשמה (2)'!$J$21:$J$501),0))</f>
        <v>0</v>
      </c>
      <c r="E285" s="252">
        <f>IFERROR(SUMIF('מצבת והרשמה (2)'!$F$21:$F$501,'דוח ביצוע (3)'!$B285,'מצבת והרשמה (2)'!$K$21:$K$501),0)</f>
        <v>0</v>
      </c>
      <c r="F285" s="253">
        <f t="shared" si="85"/>
        <v>0</v>
      </c>
      <c r="G285" s="680"/>
      <c r="H285" s="680"/>
      <c r="I285" s="253">
        <f t="shared" si="78"/>
        <v>0</v>
      </c>
      <c r="J285" s="453">
        <f t="shared" si="86"/>
        <v>0</v>
      </c>
      <c r="K285" s="689"/>
      <c r="L285" s="689"/>
      <c r="M285" s="969">
        <f t="shared" si="87"/>
        <v>0</v>
      </c>
      <c r="N285" s="1029" t="str">
        <f t="shared" si="88"/>
        <v/>
      </c>
      <c r="O285" s="969" t="str">
        <f>IFERROR(VLOOKUP(B285,'נתוני רישום ומצבת'!B:Q,16,0),"")</f>
        <v/>
      </c>
      <c r="P285" s="969" t="str">
        <f>IFERROR(VLOOKUP(B285,'נתוני רישום ומצבת'!B:R,17,0),"")</f>
        <v/>
      </c>
      <c r="Q285" s="690"/>
      <c r="R285" s="1009"/>
      <c r="S285" s="376">
        <f t="shared" si="89"/>
        <v>0</v>
      </c>
      <c r="T285" s="376">
        <f t="shared" si="90"/>
        <v>0</v>
      </c>
      <c r="U285" s="386">
        <f t="shared" si="91"/>
        <v>0</v>
      </c>
      <c r="V285" s="513" t="str">
        <f t="shared" si="92"/>
        <v/>
      </c>
      <c r="W285" s="254" t="str">
        <f>IF(ISBLANK(B285)," ",IF(B285=IFERROR(VLOOKUP(B285,'מצבת והרשמה (2)'!F:F,1,0),0),"תקין","לא קיים במצבת כבית ספר בו מתקיימת פעילות"))</f>
        <v xml:space="preserve"> </v>
      </c>
      <c r="X285" s="256" t="str">
        <f t="shared" si="79"/>
        <v/>
      </c>
      <c r="Y285" s="256" t="str">
        <f t="shared" si="80"/>
        <v/>
      </c>
      <c r="Z285" s="741">
        <f t="shared" si="81"/>
        <v>0</v>
      </c>
      <c r="AA285" s="741">
        <f t="shared" si="82"/>
        <v>0</v>
      </c>
      <c r="AB285" s="741">
        <f t="shared" si="83"/>
        <v>0</v>
      </c>
      <c r="AC285" s="987">
        <f t="shared" si="93"/>
        <v>0</v>
      </c>
      <c r="AD285" s="987">
        <f t="shared" si="94"/>
        <v>0</v>
      </c>
      <c r="AE285" s="368" t="str">
        <f>IFERROR(VLOOKUP(B285,'[1]סיכום בקרת רשויות'!$A:$D,4,0),"")</f>
        <v/>
      </c>
      <c r="AF285" s="57" t="str">
        <f t="shared" si="95"/>
        <v/>
      </c>
      <c r="AG285" s="180">
        <f>IF(AF285="כן",M285*'גנים ובתי ספר- מבנה תקציב'!$H$59,0)</f>
        <v>0</v>
      </c>
      <c r="AH285" s="180">
        <f>IF(AF285="כן",M285*'גנים ובתי ספר- מבנה תקציב'!$I$59,0)</f>
        <v>0</v>
      </c>
      <c r="AI285" s="180">
        <f t="shared" si="96"/>
        <v>0</v>
      </c>
      <c r="AJ285" s="368" t="str">
        <f t="shared" si="84"/>
        <v/>
      </c>
    </row>
    <row r="286" spans="1:36" x14ac:dyDescent="0.25">
      <c r="A286" s="57">
        <v>266</v>
      </c>
      <c r="B286" s="690"/>
      <c r="C286" s="690"/>
      <c r="D286" s="252">
        <f>(IFERROR(SUMIF('מצבת והרשמה (2)'!$F$21:$F$501,'דוח ביצוע (3)'!$B286,'מצבת והרשמה (2)'!$J$21:$J$501),0))</f>
        <v>0</v>
      </c>
      <c r="E286" s="252">
        <f>IFERROR(SUMIF('מצבת והרשמה (2)'!$F$21:$F$501,'דוח ביצוע (3)'!$B286,'מצבת והרשמה (2)'!$K$21:$K$501),0)</f>
        <v>0</v>
      </c>
      <c r="F286" s="253">
        <f t="shared" si="85"/>
        <v>0</v>
      </c>
      <c r="G286" s="680"/>
      <c r="H286" s="680"/>
      <c r="I286" s="253">
        <f t="shared" si="78"/>
        <v>0</v>
      </c>
      <c r="J286" s="453">
        <f t="shared" si="86"/>
        <v>0</v>
      </c>
      <c r="K286" s="689"/>
      <c r="L286" s="689"/>
      <c r="M286" s="969">
        <f t="shared" si="87"/>
        <v>0</v>
      </c>
      <c r="N286" s="1029" t="str">
        <f t="shared" si="88"/>
        <v/>
      </c>
      <c r="O286" s="969" t="str">
        <f>IFERROR(VLOOKUP(B286,'נתוני רישום ומצבת'!B:Q,16,0),"")</f>
        <v/>
      </c>
      <c r="P286" s="969" t="str">
        <f>IFERROR(VLOOKUP(B286,'נתוני רישום ומצבת'!B:R,17,0),"")</f>
        <v/>
      </c>
      <c r="Q286" s="690"/>
      <c r="R286" s="1009"/>
      <c r="S286" s="376">
        <f t="shared" si="89"/>
        <v>0</v>
      </c>
      <c r="T286" s="376">
        <f t="shared" si="90"/>
        <v>0</v>
      </c>
      <c r="U286" s="386">
        <f t="shared" si="91"/>
        <v>0</v>
      </c>
      <c r="V286" s="513" t="str">
        <f t="shared" si="92"/>
        <v/>
      </c>
      <c r="W286" s="254" t="str">
        <f>IF(ISBLANK(B286)," ",IF(B286=IFERROR(VLOOKUP(B286,'מצבת והרשמה (2)'!F:F,1,0),0),"תקין","לא קיים במצבת כבית ספר בו מתקיימת פעילות"))</f>
        <v xml:space="preserve"> </v>
      </c>
      <c r="X286" s="256" t="str">
        <f t="shared" si="79"/>
        <v/>
      </c>
      <c r="Y286" s="256" t="str">
        <f t="shared" si="80"/>
        <v/>
      </c>
      <c r="Z286" s="741">
        <f t="shared" si="81"/>
        <v>0</v>
      </c>
      <c r="AA286" s="741">
        <f t="shared" si="82"/>
        <v>0</v>
      </c>
      <c r="AB286" s="741">
        <f t="shared" si="83"/>
        <v>0</v>
      </c>
      <c r="AC286" s="987">
        <f t="shared" si="93"/>
        <v>0</v>
      </c>
      <c r="AD286" s="987">
        <f t="shared" si="94"/>
        <v>0</v>
      </c>
      <c r="AE286" s="368" t="str">
        <f>IFERROR(VLOOKUP(B286,'[1]סיכום בקרת רשויות'!$A:$D,4,0),"")</f>
        <v/>
      </c>
      <c r="AF286" s="57" t="str">
        <f t="shared" si="95"/>
        <v/>
      </c>
      <c r="AG286" s="180">
        <f>IF(AF286="כן",M286*'גנים ובתי ספר- מבנה תקציב'!$H$59,0)</f>
        <v>0</v>
      </c>
      <c r="AH286" s="180">
        <f>IF(AF286="כן",M286*'גנים ובתי ספר- מבנה תקציב'!$I$59,0)</f>
        <v>0</v>
      </c>
      <c r="AI286" s="180">
        <f t="shared" si="96"/>
        <v>0</v>
      </c>
      <c r="AJ286" s="368" t="str">
        <f t="shared" si="84"/>
        <v/>
      </c>
    </row>
    <row r="287" spans="1:36" x14ac:dyDescent="0.25">
      <c r="A287" s="57">
        <v>267</v>
      </c>
      <c r="B287" s="690"/>
      <c r="C287" s="690"/>
      <c r="D287" s="252">
        <f>(IFERROR(SUMIF('מצבת והרשמה (2)'!$F$21:$F$501,'דוח ביצוע (3)'!$B287,'מצבת והרשמה (2)'!$J$21:$J$501),0))</f>
        <v>0</v>
      </c>
      <c r="E287" s="252">
        <f>IFERROR(SUMIF('מצבת והרשמה (2)'!$F$21:$F$501,'דוח ביצוע (3)'!$B287,'מצבת והרשמה (2)'!$K$21:$K$501),0)</f>
        <v>0</v>
      </c>
      <c r="F287" s="253">
        <f t="shared" si="85"/>
        <v>0</v>
      </c>
      <c r="G287" s="680"/>
      <c r="H287" s="680"/>
      <c r="I287" s="253">
        <f t="shared" si="78"/>
        <v>0</v>
      </c>
      <c r="J287" s="453">
        <f t="shared" si="86"/>
        <v>0</v>
      </c>
      <c r="K287" s="689"/>
      <c r="L287" s="689"/>
      <c r="M287" s="969">
        <f t="shared" si="87"/>
        <v>0</v>
      </c>
      <c r="N287" s="1029" t="str">
        <f t="shared" si="88"/>
        <v/>
      </c>
      <c r="O287" s="969" t="str">
        <f>IFERROR(VLOOKUP(B287,'נתוני רישום ומצבת'!B:Q,16,0),"")</f>
        <v/>
      </c>
      <c r="P287" s="969" t="str">
        <f>IFERROR(VLOOKUP(B287,'נתוני רישום ומצבת'!B:R,17,0),"")</f>
        <v/>
      </c>
      <c r="Q287" s="690"/>
      <c r="R287" s="1009"/>
      <c r="S287" s="376">
        <f t="shared" si="89"/>
        <v>0</v>
      </c>
      <c r="T287" s="376">
        <f t="shared" si="90"/>
        <v>0</v>
      </c>
      <c r="U287" s="386">
        <f t="shared" si="91"/>
        <v>0</v>
      </c>
      <c r="V287" s="513" t="str">
        <f t="shared" si="92"/>
        <v/>
      </c>
      <c r="W287" s="254" t="str">
        <f>IF(ISBLANK(B287)," ",IF(B287=IFERROR(VLOOKUP(B287,'מצבת והרשמה (2)'!F:F,1,0),0),"תקין","לא קיים במצבת כבית ספר בו מתקיימת פעילות"))</f>
        <v xml:space="preserve"> </v>
      </c>
      <c r="X287" s="256" t="str">
        <f t="shared" si="79"/>
        <v/>
      </c>
      <c r="Y287" s="256" t="str">
        <f t="shared" si="80"/>
        <v/>
      </c>
      <c r="Z287" s="741">
        <f t="shared" si="81"/>
        <v>0</v>
      </c>
      <c r="AA287" s="741">
        <f t="shared" si="82"/>
        <v>0</v>
      </c>
      <c r="AB287" s="741">
        <f t="shared" si="83"/>
        <v>0</v>
      </c>
      <c r="AC287" s="987">
        <f t="shared" si="93"/>
        <v>0</v>
      </c>
      <c r="AD287" s="987">
        <f t="shared" si="94"/>
        <v>0</v>
      </c>
      <c r="AE287" s="368" t="str">
        <f>IFERROR(VLOOKUP(B287,'[1]סיכום בקרת רשויות'!$A:$D,4,0),"")</f>
        <v/>
      </c>
      <c r="AF287" s="57" t="str">
        <f t="shared" si="95"/>
        <v/>
      </c>
      <c r="AG287" s="180">
        <f>IF(AF287="כן",M287*'גנים ובתי ספר- מבנה תקציב'!$H$59,0)</f>
        <v>0</v>
      </c>
      <c r="AH287" s="180">
        <f>IF(AF287="כן",M287*'גנים ובתי ספר- מבנה תקציב'!$I$59,0)</f>
        <v>0</v>
      </c>
      <c r="AI287" s="180">
        <f t="shared" si="96"/>
        <v>0</v>
      </c>
      <c r="AJ287" s="368" t="str">
        <f t="shared" si="84"/>
        <v/>
      </c>
    </row>
    <row r="288" spans="1:36" x14ac:dyDescent="0.25">
      <c r="A288" s="57">
        <v>268</v>
      </c>
      <c r="B288" s="690"/>
      <c r="C288" s="690"/>
      <c r="D288" s="252">
        <f>(IFERROR(SUMIF('מצבת והרשמה (2)'!$F$21:$F$501,'דוח ביצוע (3)'!$B288,'מצבת והרשמה (2)'!$J$21:$J$501),0))</f>
        <v>0</v>
      </c>
      <c r="E288" s="252">
        <f>IFERROR(SUMIF('מצבת והרשמה (2)'!$F$21:$F$501,'דוח ביצוע (3)'!$B288,'מצבת והרשמה (2)'!$K$21:$K$501),0)</f>
        <v>0</v>
      </c>
      <c r="F288" s="253">
        <f t="shared" si="85"/>
        <v>0</v>
      </c>
      <c r="G288" s="680"/>
      <c r="H288" s="680"/>
      <c r="I288" s="253">
        <f t="shared" si="78"/>
        <v>0</v>
      </c>
      <c r="J288" s="453">
        <f t="shared" si="86"/>
        <v>0</v>
      </c>
      <c r="K288" s="689"/>
      <c r="L288" s="689"/>
      <c r="M288" s="969">
        <f t="shared" si="87"/>
        <v>0</v>
      </c>
      <c r="N288" s="1029" t="str">
        <f t="shared" si="88"/>
        <v/>
      </c>
      <c r="O288" s="969" t="str">
        <f>IFERROR(VLOOKUP(B288,'נתוני רישום ומצבת'!B:Q,16,0),"")</f>
        <v/>
      </c>
      <c r="P288" s="969" t="str">
        <f>IFERROR(VLOOKUP(B288,'נתוני רישום ומצבת'!B:R,17,0),"")</f>
        <v/>
      </c>
      <c r="Q288" s="690"/>
      <c r="R288" s="1009"/>
      <c r="S288" s="376">
        <f t="shared" si="89"/>
        <v>0</v>
      </c>
      <c r="T288" s="376">
        <f t="shared" si="90"/>
        <v>0</v>
      </c>
      <c r="U288" s="386">
        <f t="shared" si="91"/>
        <v>0</v>
      </c>
      <c r="V288" s="513" t="str">
        <f t="shared" si="92"/>
        <v/>
      </c>
      <c r="W288" s="254" t="str">
        <f>IF(ISBLANK(B288)," ",IF(B288=IFERROR(VLOOKUP(B288,'מצבת והרשמה (2)'!F:F,1,0),0),"תקין","לא קיים במצבת כבית ספר בו מתקיימת פעילות"))</f>
        <v xml:space="preserve"> </v>
      </c>
      <c r="X288" s="256" t="str">
        <f t="shared" si="79"/>
        <v/>
      </c>
      <c r="Y288" s="256" t="str">
        <f t="shared" si="80"/>
        <v/>
      </c>
      <c r="Z288" s="741">
        <f t="shared" si="81"/>
        <v>0</v>
      </c>
      <c r="AA288" s="741">
        <f t="shared" si="82"/>
        <v>0</v>
      </c>
      <c r="AB288" s="741">
        <f t="shared" si="83"/>
        <v>0</v>
      </c>
      <c r="AC288" s="987">
        <f t="shared" si="93"/>
        <v>0</v>
      </c>
      <c r="AD288" s="987">
        <f t="shared" si="94"/>
        <v>0</v>
      </c>
      <c r="AE288" s="368" t="str">
        <f>IFERROR(VLOOKUP(B288,'[1]סיכום בקרת רשויות'!$A:$D,4,0),"")</f>
        <v/>
      </c>
      <c r="AF288" s="57" t="str">
        <f t="shared" si="95"/>
        <v/>
      </c>
      <c r="AG288" s="180">
        <f>IF(AF288="כן",M288*'גנים ובתי ספר- מבנה תקציב'!$H$59,0)</f>
        <v>0</v>
      </c>
      <c r="AH288" s="180">
        <f>IF(AF288="כן",M288*'גנים ובתי ספר- מבנה תקציב'!$I$59,0)</f>
        <v>0</v>
      </c>
      <c r="AI288" s="180">
        <f t="shared" si="96"/>
        <v>0</v>
      </c>
      <c r="AJ288" s="368" t="str">
        <f t="shared" si="84"/>
        <v/>
      </c>
    </row>
    <row r="289" spans="1:36" x14ac:dyDescent="0.25">
      <c r="A289" s="57">
        <v>269</v>
      </c>
      <c r="B289" s="690"/>
      <c r="C289" s="690"/>
      <c r="D289" s="252">
        <f>(IFERROR(SUMIF('מצבת והרשמה (2)'!$F$21:$F$501,'דוח ביצוע (3)'!$B289,'מצבת והרשמה (2)'!$J$21:$J$501),0))</f>
        <v>0</v>
      </c>
      <c r="E289" s="252">
        <f>IFERROR(SUMIF('מצבת והרשמה (2)'!$F$21:$F$501,'דוח ביצוע (3)'!$B289,'מצבת והרשמה (2)'!$K$21:$K$501),0)</f>
        <v>0</v>
      </c>
      <c r="F289" s="253">
        <f t="shared" si="85"/>
        <v>0</v>
      </c>
      <c r="G289" s="680"/>
      <c r="H289" s="680"/>
      <c r="I289" s="253">
        <f t="shared" si="78"/>
        <v>0</v>
      </c>
      <c r="J289" s="453">
        <f t="shared" si="86"/>
        <v>0</v>
      </c>
      <c r="K289" s="689"/>
      <c r="L289" s="689"/>
      <c r="M289" s="969">
        <f t="shared" si="87"/>
        <v>0</v>
      </c>
      <c r="N289" s="1029" t="str">
        <f t="shared" si="88"/>
        <v/>
      </c>
      <c r="O289" s="969" t="str">
        <f>IFERROR(VLOOKUP(B289,'נתוני רישום ומצבת'!B:Q,16,0),"")</f>
        <v/>
      </c>
      <c r="P289" s="969" t="str">
        <f>IFERROR(VLOOKUP(B289,'נתוני רישום ומצבת'!B:R,17,0),"")</f>
        <v/>
      </c>
      <c r="Q289" s="690"/>
      <c r="R289" s="1009"/>
      <c r="S289" s="376">
        <f t="shared" si="89"/>
        <v>0</v>
      </c>
      <c r="T289" s="376">
        <f t="shared" si="90"/>
        <v>0</v>
      </c>
      <c r="U289" s="386">
        <f t="shared" si="91"/>
        <v>0</v>
      </c>
      <c r="V289" s="513" t="str">
        <f t="shared" si="92"/>
        <v/>
      </c>
      <c r="W289" s="254" t="str">
        <f>IF(ISBLANK(B289)," ",IF(B289=IFERROR(VLOOKUP(B289,'מצבת והרשמה (2)'!F:F,1,0),0),"תקין","לא קיים במצבת כבית ספר בו מתקיימת פעילות"))</f>
        <v xml:space="preserve"> </v>
      </c>
      <c r="X289" s="256" t="str">
        <f t="shared" si="79"/>
        <v/>
      </c>
      <c r="Y289" s="256" t="str">
        <f t="shared" si="80"/>
        <v/>
      </c>
      <c r="Z289" s="741">
        <f t="shared" si="81"/>
        <v>0</v>
      </c>
      <c r="AA289" s="741">
        <f t="shared" si="82"/>
        <v>0</v>
      </c>
      <c r="AB289" s="741">
        <f t="shared" si="83"/>
        <v>0</v>
      </c>
      <c r="AC289" s="987">
        <f t="shared" si="93"/>
        <v>0</v>
      </c>
      <c r="AD289" s="987">
        <f t="shared" si="94"/>
        <v>0</v>
      </c>
      <c r="AE289" s="368" t="str">
        <f>IFERROR(VLOOKUP(B289,'[1]סיכום בקרת רשויות'!$A:$D,4,0),"")</f>
        <v/>
      </c>
      <c r="AF289" s="57" t="str">
        <f t="shared" si="95"/>
        <v/>
      </c>
      <c r="AG289" s="180">
        <f>IF(AF289="כן",M289*'גנים ובתי ספר- מבנה תקציב'!$H$59,0)</f>
        <v>0</v>
      </c>
      <c r="AH289" s="180">
        <f>IF(AF289="כן",M289*'גנים ובתי ספר- מבנה תקציב'!$I$59,0)</f>
        <v>0</v>
      </c>
      <c r="AI289" s="180">
        <f t="shared" si="96"/>
        <v>0</v>
      </c>
      <c r="AJ289" s="368" t="str">
        <f t="shared" si="84"/>
        <v/>
      </c>
    </row>
    <row r="290" spans="1:36" x14ac:dyDescent="0.25">
      <c r="A290" s="57">
        <v>270</v>
      </c>
      <c r="B290" s="690"/>
      <c r="C290" s="690"/>
      <c r="D290" s="252">
        <f>(IFERROR(SUMIF('מצבת והרשמה (2)'!$F$21:$F$501,'דוח ביצוע (3)'!$B290,'מצבת והרשמה (2)'!$J$21:$J$501),0))</f>
        <v>0</v>
      </c>
      <c r="E290" s="252">
        <f>IFERROR(SUMIF('מצבת והרשמה (2)'!$F$21:$F$501,'דוח ביצוע (3)'!$B290,'מצבת והרשמה (2)'!$K$21:$K$501),0)</f>
        <v>0</v>
      </c>
      <c r="F290" s="253">
        <f t="shared" si="85"/>
        <v>0</v>
      </c>
      <c r="G290" s="680"/>
      <c r="H290" s="680"/>
      <c r="I290" s="253">
        <f t="shared" si="78"/>
        <v>0</v>
      </c>
      <c r="J290" s="453">
        <f t="shared" si="86"/>
        <v>0</v>
      </c>
      <c r="K290" s="689"/>
      <c r="L290" s="689"/>
      <c r="M290" s="969">
        <f t="shared" si="87"/>
        <v>0</v>
      </c>
      <c r="N290" s="1029" t="str">
        <f t="shared" si="88"/>
        <v/>
      </c>
      <c r="O290" s="969" t="str">
        <f>IFERROR(VLOOKUP(B290,'נתוני רישום ומצבת'!B:Q,16,0),"")</f>
        <v/>
      </c>
      <c r="P290" s="969" t="str">
        <f>IFERROR(VLOOKUP(B290,'נתוני רישום ומצבת'!B:R,17,0),"")</f>
        <v/>
      </c>
      <c r="Q290" s="690"/>
      <c r="R290" s="1009"/>
      <c r="S290" s="376">
        <f t="shared" si="89"/>
        <v>0</v>
      </c>
      <c r="T290" s="376">
        <f t="shared" si="90"/>
        <v>0</v>
      </c>
      <c r="U290" s="386">
        <f t="shared" si="91"/>
        <v>0</v>
      </c>
      <c r="V290" s="513" t="str">
        <f t="shared" si="92"/>
        <v/>
      </c>
      <c r="W290" s="254" t="str">
        <f>IF(ISBLANK(B290)," ",IF(B290=IFERROR(VLOOKUP(B290,'מצבת והרשמה (2)'!F:F,1,0),0),"תקין","לא קיים במצבת כבית ספר בו מתקיימת פעילות"))</f>
        <v xml:space="preserve"> </v>
      </c>
      <c r="X290" s="256" t="str">
        <f t="shared" si="79"/>
        <v/>
      </c>
      <c r="Y290" s="256" t="str">
        <f t="shared" si="80"/>
        <v/>
      </c>
      <c r="Z290" s="741">
        <f t="shared" si="81"/>
        <v>0</v>
      </c>
      <c r="AA290" s="741">
        <f t="shared" si="82"/>
        <v>0</v>
      </c>
      <c r="AB290" s="741">
        <f t="shared" si="83"/>
        <v>0</v>
      </c>
      <c r="AC290" s="987">
        <f t="shared" si="93"/>
        <v>0</v>
      </c>
      <c r="AD290" s="987">
        <f t="shared" si="94"/>
        <v>0</v>
      </c>
      <c r="AE290" s="368" t="str">
        <f>IFERROR(VLOOKUP(B290,'[1]סיכום בקרת רשויות'!$A:$D,4,0),"")</f>
        <v/>
      </c>
      <c r="AF290" s="57" t="str">
        <f t="shared" si="95"/>
        <v/>
      </c>
      <c r="AG290" s="180">
        <f>IF(AF290="כן",M290*'גנים ובתי ספר- מבנה תקציב'!$H$59,0)</f>
        <v>0</v>
      </c>
      <c r="AH290" s="180">
        <f>IF(AF290="כן",M290*'גנים ובתי ספר- מבנה תקציב'!$I$59,0)</f>
        <v>0</v>
      </c>
      <c r="AI290" s="180">
        <f t="shared" si="96"/>
        <v>0</v>
      </c>
      <c r="AJ290" s="368" t="str">
        <f t="shared" si="84"/>
        <v/>
      </c>
    </row>
    <row r="291" spans="1:36" x14ac:dyDescent="0.25">
      <c r="A291" s="57">
        <v>271</v>
      </c>
      <c r="B291" s="690"/>
      <c r="C291" s="690"/>
      <c r="D291" s="252">
        <f>(IFERROR(SUMIF('מצבת והרשמה (2)'!$F$21:$F$501,'דוח ביצוע (3)'!$B291,'מצבת והרשמה (2)'!$J$21:$J$501),0))</f>
        <v>0</v>
      </c>
      <c r="E291" s="252">
        <f>IFERROR(SUMIF('מצבת והרשמה (2)'!$F$21:$F$501,'דוח ביצוע (3)'!$B291,'מצבת והרשמה (2)'!$K$21:$K$501),0)</f>
        <v>0</v>
      </c>
      <c r="F291" s="253">
        <f t="shared" si="85"/>
        <v>0</v>
      </c>
      <c r="G291" s="680"/>
      <c r="H291" s="680"/>
      <c r="I291" s="253">
        <f t="shared" si="78"/>
        <v>0</v>
      </c>
      <c r="J291" s="453">
        <f t="shared" si="86"/>
        <v>0</v>
      </c>
      <c r="K291" s="689"/>
      <c r="L291" s="689"/>
      <c r="M291" s="969">
        <f t="shared" si="87"/>
        <v>0</v>
      </c>
      <c r="N291" s="1029" t="str">
        <f t="shared" si="88"/>
        <v/>
      </c>
      <c r="O291" s="969" t="str">
        <f>IFERROR(VLOOKUP(B291,'נתוני רישום ומצבת'!B:Q,16,0),"")</f>
        <v/>
      </c>
      <c r="P291" s="969" t="str">
        <f>IFERROR(VLOOKUP(B291,'נתוני רישום ומצבת'!B:R,17,0),"")</f>
        <v/>
      </c>
      <c r="Q291" s="690"/>
      <c r="R291" s="1009"/>
      <c r="S291" s="376">
        <f t="shared" si="89"/>
        <v>0</v>
      </c>
      <c r="T291" s="376">
        <f t="shared" si="90"/>
        <v>0</v>
      </c>
      <c r="U291" s="386">
        <f t="shared" si="91"/>
        <v>0</v>
      </c>
      <c r="V291" s="513" t="str">
        <f t="shared" si="92"/>
        <v/>
      </c>
      <c r="W291" s="254" t="str">
        <f>IF(ISBLANK(B291)," ",IF(B291=IFERROR(VLOOKUP(B291,'מצבת והרשמה (2)'!F:F,1,0),0),"תקין","לא קיים במצבת כבית ספר בו מתקיימת פעילות"))</f>
        <v xml:space="preserve"> </v>
      </c>
      <c r="X291" s="256" t="str">
        <f t="shared" si="79"/>
        <v/>
      </c>
      <c r="Y291" s="256" t="str">
        <f t="shared" si="80"/>
        <v/>
      </c>
      <c r="Z291" s="741">
        <f t="shared" si="81"/>
        <v>0</v>
      </c>
      <c r="AA291" s="741">
        <f t="shared" si="82"/>
        <v>0</v>
      </c>
      <c r="AB291" s="741">
        <f t="shared" si="83"/>
        <v>0</v>
      </c>
      <c r="AC291" s="987">
        <f t="shared" si="93"/>
        <v>0</v>
      </c>
      <c r="AD291" s="987">
        <f t="shared" si="94"/>
        <v>0</v>
      </c>
      <c r="AE291" s="368" t="str">
        <f>IFERROR(VLOOKUP(B291,'[1]סיכום בקרת רשויות'!$A:$D,4,0),"")</f>
        <v/>
      </c>
      <c r="AF291" s="57" t="str">
        <f t="shared" si="95"/>
        <v/>
      </c>
      <c r="AG291" s="180">
        <f>IF(AF291="כן",M291*'גנים ובתי ספר- מבנה תקציב'!$H$59,0)</f>
        <v>0</v>
      </c>
      <c r="AH291" s="180">
        <f>IF(AF291="כן",M291*'גנים ובתי ספר- מבנה תקציב'!$I$59,0)</f>
        <v>0</v>
      </c>
      <c r="AI291" s="180">
        <f t="shared" si="96"/>
        <v>0</v>
      </c>
      <c r="AJ291" s="368" t="str">
        <f t="shared" si="84"/>
        <v/>
      </c>
    </row>
    <row r="292" spans="1:36" x14ac:dyDescent="0.25">
      <c r="A292" s="57">
        <v>272</v>
      </c>
      <c r="B292" s="690"/>
      <c r="C292" s="690"/>
      <c r="D292" s="252">
        <f>(IFERROR(SUMIF('מצבת והרשמה (2)'!$F$21:$F$501,'דוח ביצוע (3)'!$B292,'מצבת והרשמה (2)'!$J$21:$J$501),0))</f>
        <v>0</v>
      </c>
      <c r="E292" s="252">
        <f>IFERROR(SUMIF('מצבת והרשמה (2)'!$F$21:$F$501,'דוח ביצוע (3)'!$B292,'מצבת והרשמה (2)'!$K$21:$K$501),0)</f>
        <v>0</v>
      </c>
      <c r="F292" s="253">
        <f t="shared" si="85"/>
        <v>0</v>
      </c>
      <c r="G292" s="680"/>
      <c r="H292" s="680"/>
      <c r="I292" s="253">
        <f t="shared" si="78"/>
        <v>0</v>
      </c>
      <c r="J292" s="453">
        <f t="shared" si="86"/>
        <v>0</v>
      </c>
      <c r="K292" s="689"/>
      <c r="L292" s="689"/>
      <c r="M292" s="969">
        <f t="shared" si="87"/>
        <v>0</v>
      </c>
      <c r="N292" s="1029" t="str">
        <f t="shared" si="88"/>
        <v/>
      </c>
      <c r="O292" s="969" t="str">
        <f>IFERROR(VLOOKUP(B292,'נתוני רישום ומצבת'!B:Q,16,0),"")</f>
        <v/>
      </c>
      <c r="P292" s="969" t="str">
        <f>IFERROR(VLOOKUP(B292,'נתוני רישום ומצבת'!B:R,17,0),"")</f>
        <v/>
      </c>
      <c r="Q292" s="690"/>
      <c r="R292" s="1009"/>
      <c r="S292" s="376">
        <f t="shared" si="89"/>
        <v>0</v>
      </c>
      <c r="T292" s="376">
        <f t="shared" si="90"/>
        <v>0</v>
      </c>
      <c r="U292" s="386">
        <f t="shared" si="91"/>
        <v>0</v>
      </c>
      <c r="V292" s="513" t="str">
        <f t="shared" si="92"/>
        <v/>
      </c>
      <c r="W292" s="254" t="str">
        <f>IF(ISBLANK(B292)," ",IF(B292=IFERROR(VLOOKUP(B292,'מצבת והרשמה (2)'!F:F,1,0),0),"תקין","לא קיים במצבת כבית ספר בו מתקיימת פעילות"))</f>
        <v xml:space="preserve"> </v>
      </c>
      <c r="X292" s="256" t="str">
        <f t="shared" si="79"/>
        <v/>
      </c>
      <c r="Y292" s="256" t="str">
        <f t="shared" si="80"/>
        <v/>
      </c>
      <c r="Z292" s="741">
        <f t="shared" si="81"/>
        <v>0</v>
      </c>
      <c r="AA292" s="741">
        <f t="shared" si="82"/>
        <v>0</v>
      </c>
      <c r="AB292" s="741">
        <f t="shared" si="83"/>
        <v>0</v>
      </c>
      <c r="AC292" s="987">
        <f t="shared" si="93"/>
        <v>0</v>
      </c>
      <c r="AD292" s="987">
        <f t="shared" si="94"/>
        <v>0</v>
      </c>
      <c r="AE292" s="368" t="str">
        <f>IFERROR(VLOOKUP(B292,'[1]סיכום בקרת רשויות'!$A:$D,4,0),"")</f>
        <v/>
      </c>
      <c r="AF292" s="57" t="str">
        <f t="shared" si="95"/>
        <v/>
      </c>
      <c r="AG292" s="180">
        <f>IF(AF292="כן",M292*'גנים ובתי ספר- מבנה תקציב'!$H$59,0)</f>
        <v>0</v>
      </c>
      <c r="AH292" s="180">
        <f>IF(AF292="כן",M292*'גנים ובתי ספר- מבנה תקציב'!$I$59,0)</f>
        <v>0</v>
      </c>
      <c r="AI292" s="180">
        <f t="shared" si="96"/>
        <v>0</v>
      </c>
      <c r="AJ292" s="368" t="str">
        <f t="shared" si="84"/>
        <v/>
      </c>
    </row>
    <row r="293" spans="1:36" x14ac:dyDescent="0.25">
      <c r="A293" s="57">
        <v>273</v>
      </c>
      <c r="B293" s="690"/>
      <c r="C293" s="690"/>
      <c r="D293" s="252">
        <f>(IFERROR(SUMIF('מצבת והרשמה (2)'!$F$21:$F$501,'דוח ביצוע (3)'!$B293,'מצבת והרשמה (2)'!$J$21:$J$501),0))</f>
        <v>0</v>
      </c>
      <c r="E293" s="252">
        <f>IFERROR(SUMIF('מצבת והרשמה (2)'!$F$21:$F$501,'דוח ביצוע (3)'!$B293,'מצבת והרשמה (2)'!$K$21:$K$501),0)</f>
        <v>0</v>
      </c>
      <c r="F293" s="253">
        <f t="shared" si="85"/>
        <v>0</v>
      </c>
      <c r="G293" s="680"/>
      <c r="H293" s="680"/>
      <c r="I293" s="253">
        <f t="shared" si="78"/>
        <v>0</v>
      </c>
      <c r="J293" s="453">
        <f t="shared" si="86"/>
        <v>0</v>
      </c>
      <c r="K293" s="689"/>
      <c r="L293" s="689"/>
      <c r="M293" s="969">
        <f t="shared" si="87"/>
        <v>0</v>
      </c>
      <c r="N293" s="1029" t="str">
        <f t="shared" si="88"/>
        <v/>
      </c>
      <c r="O293" s="969" t="str">
        <f>IFERROR(VLOOKUP(B293,'נתוני רישום ומצבת'!B:Q,16,0),"")</f>
        <v/>
      </c>
      <c r="P293" s="969" t="str">
        <f>IFERROR(VLOOKUP(B293,'נתוני רישום ומצבת'!B:R,17,0),"")</f>
        <v/>
      </c>
      <c r="Q293" s="690"/>
      <c r="R293" s="1009"/>
      <c r="S293" s="376">
        <f t="shared" si="89"/>
        <v>0</v>
      </c>
      <c r="T293" s="376">
        <f t="shared" si="90"/>
        <v>0</v>
      </c>
      <c r="U293" s="386">
        <f t="shared" si="91"/>
        <v>0</v>
      </c>
      <c r="V293" s="513" t="str">
        <f t="shared" si="92"/>
        <v/>
      </c>
      <c r="W293" s="254" t="str">
        <f>IF(ISBLANK(B293)," ",IF(B293=IFERROR(VLOOKUP(B293,'מצבת והרשמה (2)'!F:F,1,0),0),"תקין","לא קיים במצבת כבית ספר בו מתקיימת פעילות"))</f>
        <v xml:space="preserve"> </v>
      </c>
      <c r="X293" s="256" t="str">
        <f t="shared" si="79"/>
        <v/>
      </c>
      <c r="Y293" s="256" t="str">
        <f t="shared" si="80"/>
        <v/>
      </c>
      <c r="Z293" s="741">
        <f t="shared" si="81"/>
        <v>0</v>
      </c>
      <c r="AA293" s="741">
        <f t="shared" si="82"/>
        <v>0</v>
      </c>
      <c r="AB293" s="741">
        <f t="shared" si="83"/>
        <v>0</v>
      </c>
      <c r="AC293" s="987">
        <f t="shared" si="93"/>
        <v>0</v>
      </c>
      <c r="AD293" s="987">
        <f t="shared" si="94"/>
        <v>0</v>
      </c>
      <c r="AE293" s="368" t="str">
        <f>IFERROR(VLOOKUP(B293,'[1]סיכום בקרת רשויות'!$A:$D,4,0),"")</f>
        <v/>
      </c>
      <c r="AF293" s="57" t="str">
        <f t="shared" si="95"/>
        <v/>
      </c>
      <c r="AG293" s="180">
        <f>IF(AF293="כן",M293*'גנים ובתי ספר- מבנה תקציב'!$H$59,0)</f>
        <v>0</v>
      </c>
      <c r="AH293" s="180">
        <f>IF(AF293="כן",M293*'גנים ובתי ספר- מבנה תקציב'!$I$59,0)</f>
        <v>0</v>
      </c>
      <c r="AI293" s="180">
        <f t="shared" si="96"/>
        <v>0</v>
      </c>
      <c r="AJ293" s="368" t="str">
        <f t="shared" si="84"/>
        <v/>
      </c>
    </row>
    <row r="294" spans="1:36" x14ac:dyDescent="0.25">
      <c r="A294" s="57">
        <v>274</v>
      </c>
      <c r="B294" s="690"/>
      <c r="C294" s="690"/>
      <c r="D294" s="252">
        <f>(IFERROR(SUMIF('מצבת והרשמה (2)'!$F$21:$F$501,'דוח ביצוע (3)'!$B294,'מצבת והרשמה (2)'!$J$21:$J$501),0))</f>
        <v>0</v>
      </c>
      <c r="E294" s="252">
        <f>IFERROR(SUMIF('מצבת והרשמה (2)'!$F$21:$F$501,'דוח ביצוע (3)'!$B294,'מצבת והרשמה (2)'!$K$21:$K$501),0)</f>
        <v>0</v>
      </c>
      <c r="F294" s="253">
        <f t="shared" si="85"/>
        <v>0</v>
      </c>
      <c r="G294" s="680"/>
      <c r="H294" s="680"/>
      <c r="I294" s="253">
        <f t="shared" si="78"/>
        <v>0</v>
      </c>
      <c r="J294" s="453">
        <f t="shared" si="86"/>
        <v>0</v>
      </c>
      <c r="K294" s="689"/>
      <c r="L294" s="689"/>
      <c r="M294" s="969">
        <f t="shared" si="87"/>
        <v>0</v>
      </c>
      <c r="N294" s="1029" t="str">
        <f t="shared" si="88"/>
        <v/>
      </c>
      <c r="O294" s="969" t="str">
        <f>IFERROR(VLOOKUP(B294,'נתוני רישום ומצבת'!B:Q,16,0),"")</f>
        <v/>
      </c>
      <c r="P294" s="969" t="str">
        <f>IFERROR(VLOOKUP(B294,'נתוני רישום ומצבת'!B:R,17,0),"")</f>
        <v/>
      </c>
      <c r="Q294" s="690"/>
      <c r="R294" s="1009"/>
      <c r="S294" s="376">
        <f t="shared" si="89"/>
        <v>0</v>
      </c>
      <c r="T294" s="376">
        <f t="shared" si="90"/>
        <v>0</v>
      </c>
      <c r="U294" s="386">
        <f t="shared" si="91"/>
        <v>0</v>
      </c>
      <c r="V294" s="513" t="str">
        <f t="shared" si="92"/>
        <v/>
      </c>
      <c r="W294" s="254" t="str">
        <f>IF(ISBLANK(B294)," ",IF(B294=IFERROR(VLOOKUP(B294,'מצבת והרשמה (2)'!F:F,1,0),0),"תקין","לא קיים במצבת כבית ספר בו מתקיימת פעילות"))</f>
        <v xml:space="preserve"> </v>
      </c>
      <c r="X294" s="256" t="str">
        <f t="shared" si="79"/>
        <v/>
      </c>
      <c r="Y294" s="256" t="str">
        <f t="shared" si="80"/>
        <v/>
      </c>
      <c r="Z294" s="741">
        <f t="shared" si="81"/>
        <v>0</v>
      </c>
      <c r="AA294" s="741">
        <f t="shared" si="82"/>
        <v>0</v>
      </c>
      <c r="AB294" s="741">
        <f t="shared" si="83"/>
        <v>0</v>
      </c>
      <c r="AC294" s="987">
        <f t="shared" si="93"/>
        <v>0</v>
      </c>
      <c r="AD294" s="987">
        <f t="shared" si="94"/>
        <v>0</v>
      </c>
      <c r="AE294" s="368" t="str">
        <f>IFERROR(VLOOKUP(B294,'[1]סיכום בקרת רשויות'!$A:$D,4,0),"")</f>
        <v/>
      </c>
      <c r="AF294" s="57" t="str">
        <f t="shared" si="95"/>
        <v/>
      </c>
      <c r="AG294" s="180">
        <f>IF(AF294="כן",M294*'גנים ובתי ספר- מבנה תקציב'!$H$59,0)</f>
        <v>0</v>
      </c>
      <c r="AH294" s="180">
        <f>IF(AF294="כן",M294*'גנים ובתי ספר- מבנה תקציב'!$I$59,0)</f>
        <v>0</v>
      </c>
      <c r="AI294" s="180">
        <f t="shared" si="96"/>
        <v>0</v>
      </c>
      <c r="AJ294" s="368" t="str">
        <f t="shared" si="84"/>
        <v/>
      </c>
    </row>
    <row r="295" spans="1:36" x14ac:dyDescent="0.25">
      <c r="A295" s="57">
        <v>275</v>
      </c>
      <c r="B295" s="690"/>
      <c r="C295" s="690"/>
      <c r="D295" s="252">
        <f>(IFERROR(SUMIF('מצבת והרשמה (2)'!$F$21:$F$501,'דוח ביצוע (3)'!$B295,'מצבת והרשמה (2)'!$J$21:$J$501),0))</f>
        <v>0</v>
      </c>
      <c r="E295" s="252">
        <f>IFERROR(SUMIF('מצבת והרשמה (2)'!$F$21:$F$501,'דוח ביצוע (3)'!$B295,'מצבת והרשמה (2)'!$K$21:$K$501),0)</f>
        <v>0</v>
      </c>
      <c r="F295" s="253">
        <f t="shared" si="85"/>
        <v>0</v>
      </c>
      <c r="G295" s="680"/>
      <c r="H295" s="680"/>
      <c r="I295" s="253">
        <f t="shared" si="78"/>
        <v>0</v>
      </c>
      <c r="J295" s="453">
        <f t="shared" si="86"/>
        <v>0</v>
      </c>
      <c r="K295" s="689"/>
      <c r="L295" s="689"/>
      <c r="M295" s="969">
        <f t="shared" si="87"/>
        <v>0</v>
      </c>
      <c r="N295" s="1029" t="str">
        <f t="shared" si="88"/>
        <v/>
      </c>
      <c r="O295" s="969" t="str">
        <f>IFERROR(VLOOKUP(B295,'נתוני רישום ומצבת'!B:Q,16,0),"")</f>
        <v/>
      </c>
      <c r="P295" s="969" t="str">
        <f>IFERROR(VLOOKUP(B295,'נתוני רישום ומצבת'!B:R,17,0),"")</f>
        <v/>
      </c>
      <c r="Q295" s="690"/>
      <c r="R295" s="1009"/>
      <c r="S295" s="376">
        <f t="shared" si="89"/>
        <v>0</v>
      </c>
      <c r="T295" s="376">
        <f t="shared" si="90"/>
        <v>0</v>
      </c>
      <c r="U295" s="386">
        <f t="shared" si="91"/>
        <v>0</v>
      </c>
      <c r="V295" s="513" t="str">
        <f t="shared" si="92"/>
        <v/>
      </c>
      <c r="W295" s="254" t="str">
        <f>IF(ISBLANK(B295)," ",IF(B295=IFERROR(VLOOKUP(B295,'מצבת והרשמה (2)'!F:F,1,0),0),"תקין","לא קיים במצבת כבית ספר בו מתקיימת פעילות"))</f>
        <v xml:space="preserve"> </v>
      </c>
      <c r="X295" s="256" t="str">
        <f t="shared" si="79"/>
        <v/>
      </c>
      <c r="Y295" s="256" t="str">
        <f t="shared" si="80"/>
        <v/>
      </c>
      <c r="Z295" s="741">
        <f t="shared" si="81"/>
        <v>0</v>
      </c>
      <c r="AA295" s="741">
        <f t="shared" si="82"/>
        <v>0</v>
      </c>
      <c r="AB295" s="741">
        <f t="shared" si="83"/>
        <v>0</v>
      </c>
      <c r="AC295" s="987">
        <f t="shared" si="93"/>
        <v>0</v>
      </c>
      <c r="AD295" s="987">
        <f t="shared" si="94"/>
        <v>0</v>
      </c>
      <c r="AE295" s="368" t="str">
        <f>IFERROR(VLOOKUP(B295,'[1]סיכום בקרת רשויות'!$A:$D,4,0),"")</f>
        <v/>
      </c>
      <c r="AF295" s="57" t="str">
        <f t="shared" si="95"/>
        <v/>
      </c>
      <c r="AG295" s="180">
        <f>IF(AF295="כן",M295*'גנים ובתי ספר- מבנה תקציב'!$H$59,0)</f>
        <v>0</v>
      </c>
      <c r="AH295" s="180">
        <f>IF(AF295="כן",M295*'גנים ובתי ספר- מבנה תקציב'!$I$59,0)</f>
        <v>0</v>
      </c>
      <c r="AI295" s="180">
        <f t="shared" si="96"/>
        <v>0</v>
      </c>
      <c r="AJ295" s="368" t="str">
        <f t="shared" si="84"/>
        <v/>
      </c>
    </row>
    <row r="296" spans="1:36" x14ac:dyDescent="0.25">
      <c r="A296" s="57">
        <v>276</v>
      </c>
      <c r="B296" s="690"/>
      <c r="C296" s="690"/>
      <c r="D296" s="252">
        <f>(IFERROR(SUMIF('מצבת והרשמה (2)'!$F$21:$F$501,'דוח ביצוע (3)'!$B296,'מצבת והרשמה (2)'!$J$21:$J$501),0))</f>
        <v>0</v>
      </c>
      <c r="E296" s="252">
        <f>IFERROR(SUMIF('מצבת והרשמה (2)'!$F$21:$F$501,'דוח ביצוע (3)'!$B296,'מצבת והרשמה (2)'!$K$21:$K$501),0)</f>
        <v>0</v>
      </c>
      <c r="F296" s="253">
        <f t="shared" si="85"/>
        <v>0</v>
      </c>
      <c r="G296" s="680"/>
      <c r="H296" s="680"/>
      <c r="I296" s="253">
        <f t="shared" si="78"/>
        <v>0</v>
      </c>
      <c r="J296" s="453">
        <f t="shared" si="86"/>
        <v>0</v>
      </c>
      <c r="K296" s="689"/>
      <c r="L296" s="689"/>
      <c r="M296" s="969">
        <f t="shared" si="87"/>
        <v>0</v>
      </c>
      <c r="N296" s="1029" t="str">
        <f t="shared" si="88"/>
        <v/>
      </c>
      <c r="O296" s="969" t="str">
        <f>IFERROR(VLOOKUP(B296,'נתוני רישום ומצבת'!B:Q,16,0),"")</f>
        <v/>
      </c>
      <c r="P296" s="969" t="str">
        <f>IFERROR(VLOOKUP(B296,'נתוני רישום ומצבת'!B:R,17,0),"")</f>
        <v/>
      </c>
      <c r="Q296" s="690"/>
      <c r="R296" s="1009"/>
      <c r="S296" s="376">
        <f t="shared" si="89"/>
        <v>0</v>
      </c>
      <c r="T296" s="376">
        <f t="shared" si="90"/>
        <v>0</v>
      </c>
      <c r="U296" s="386">
        <f t="shared" si="91"/>
        <v>0</v>
      </c>
      <c r="V296" s="513" t="str">
        <f t="shared" si="92"/>
        <v/>
      </c>
      <c r="W296" s="254" t="str">
        <f>IF(ISBLANK(B296)," ",IF(B296=IFERROR(VLOOKUP(B296,'מצבת והרשמה (2)'!F:F,1,0),0),"תקין","לא קיים במצבת כבית ספר בו מתקיימת פעילות"))</f>
        <v xml:space="preserve"> </v>
      </c>
      <c r="X296" s="256" t="str">
        <f t="shared" si="79"/>
        <v/>
      </c>
      <c r="Y296" s="256" t="str">
        <f t="shared" si="80"/>
        <v/>
      </c>
      <c r="Z296" s="741">
        <f t="shared" si="81"/>
        <v>0</v>
      </c>
      <c r="AA296" s="741">
        <f t="shared" si="82"/>
        <v>0</v>
      </c>
      <c r="AB296" s="741">
        <f t="shared" si="83"/>
        <v>0</v>
      </c>
      <c r="AC296" s="987">
        <f t="shared" si="93"/>
        <v>0</v>
      </c>
      <c r="AD296" s="987">
        <f t="shared" si="94"/>
        <v>0</v>
      </c>
      <c r="AE296" s="368" t="str">
        <f>IFERROR(VLOOKUP(B296,'[1]סיכום בקרת רשויות'!$A:$D,4,0),"")</f>
        <v/>
      </c>
      <c r="AF296" s="57" t="str">
        <f t="shared" si="95"/>
        <v/>
      </c>
      <c r="AG296" s="180">
        <f>IF(AF296="כן",M296*'גנים ובתי ספר- מבנה תקציב'!$H$59,0)</f>
        <v>0</v>
      </c>
      <c r="AH296" s="180">
        <f>IF(AF296="כן",M296*'גנים ובתי ספר- מבנה תקציב'!$I$59,0)</f>
        <v>0</v>
      </c>
      <c r="AI296" s="180">
        <f t="shared" si="96"/>
        <v>0</v>
      </c>
      <c r="AJ296" s="368" t="str">
        <f t="shared" si="84"/>
        <v/>
      </c>
    </row>
    <row r="297" spans="1:36" x14ac:dyDescent="0.25">
      <c r="A297" s="57">
        <v>277</v>
      </c>
      <c r="B297" s="690"/>
      <c r="C297" s="690"/>
      <c r="D297" s="252">
        <f>(IFERROR(SUMIF('מצבת והרשמה (2)'!$F$21:$F$501,'דוח ביצוע (3)'!$B297,'מצבת והרשמה (2)'!$J$21:$J$501),0))</f>
        <v>0</v>
      </c>
      <c r="E297" s="252">
        <f>IFERROR(SUMIF('מצבת והרשמה (2)'!$F$21:$F$501,'דוח ביצוע (3)'!$B297,'מצבת והרשמה (2)'!$K$21:$K$501),0)</f>
        <v>0</v>
      </c>
      <c r="F297" s="253">
        <f t="shared" si="85"/>
        <v>0</v>
      </c>
      <c r="G297" s="680"/>
      <c r="H297" s="680"/>
      <c r="I297" s="253">
        <f t="shared" si="78"/>
        <v>0</v>
      </c>
      <c r="J297" s="453">
        <f t="shared" si="86"/>
        <v>0</v>
      </c>
      <c r="K297" s="689"/>
      <c r="L297" s="689"/>
      <c r="M297" s="969">
        <f t="shared" si="87"/>
        <v>0</v>
      </c>
      <c r="N297" s="1029" t="str">
        <f t="shared" si="88"/>
        <v/>
      </c>
      <c r="O297" s="969" t="str">
        <f>IFERROR(VLOOKUP(B297,'נתוני רישום ומצבת'!B:Q,16,0),"")</f>
        <v/>
      </c>
      <c r="P297" s="969" t="str">
        <f>IFERROR(VLOOKUP(B297,'נתוני רישום ומצבת'!B:R,17,0),"")</f>
        <v/>
      </c>
      <c r="Q297" s="690"/>
      <c r="R297" s="1009"/>
      <c r="S297" s="376">
        <f t="shared" si="89"/>
        <v>0</v>
      </c>
      <c r="T297" s="376">
        <f t="shared" si="90"/>
        <v>0</v>
      </c>
      <c r="U297" s="386">
        <f t="shared" si="91"/>
        <v>0</v>
      </c>
      <c r="V297" s="513" t="str">
        <f t="shared" si="92"/>
        <v/>
      </c>
      <c r="W297" s="254" t="str">
        <f>IF(ISBLANK(B297)," ",IF(B297=IFERROR(VLOOKUP(B297,'מצבת והרשמה (2)'!F:F,1,0),0),"תקין","לא קיים במצבת כבית ספר בו מתקיימת פעילות"))</f>
        <v xml:space="preserve"> </v>
      </c>
      <c r="X297" s="256" t="str">
        <f t="shared" si="79"/>
        <v/>
      </c>
      <c r="Y297" s="256" t="str">
        <f t="shared" si="80"/>
        <v/>
      </c>
      <c r="Z297" s="741">
        <f t="shared" si="81"/>
        <v>0</v>
      </c>
      <c r="AA297" s="741">
        <f t="shared" si="82"/>
        <v>0</v>
      </c>
      <c r="AB297" s="741">
        <f t="shared" si="83"/>
        <v>0</v>
      </c>
      <c r="AC297" s="987">
        <f t="shared" si="93"/>
        <v>0</v>
      </c>
      <c r="AD297" s="987">
        <f t="shared" si="94"/>
        <v>0</v>
      </c>
      <c r="AE297" s="368" t="str">
        <f>IFERROR(VLOOKUP(B297,'[1]סיכום בקרת רשויות'!$A:$D,4,0),"")</f>
        <v/>
      </c>
      <c r="AF297" s="57" t="str">
        <f t="shared" si="95"/>
        <v/>
      </c>
      <c r="AG297" s="180">
        <f>IF(AF297="כן",M297*'גנים ובתי ספר- מבנה תקציב'!$H$59,0)</f>
        <v>0</v>
      </c>
      <c r="AH297" s="180">
        <f>IF(AF297="כן",M297*'גנים ובתי ספר- מבנה תקציב'!$I$59,0)</f>
        <v>0</v>
      </c>
      <c r="AI297" s="180">
        <f t="shared" si="96"/>
        <v>0</v>
      </c>
      <c r="AJ297" s="368" t="str">
        <f t="shared" si="84"/>
        <v/>
      </c>
    </row>
    <row r="298" spans="1:36" x14ac:dyDescent="0.25">
      <c r="A298" s="57">
        <v>278</v>
      </c>
      <c r="B298" s="690"/>
      <c r="C298" s="690"/>
      <c r="D298" s="252">
        <f>(IFERROR(SUMIF('מצבת והרשמה (2)'!$F$21:$F$501,'דוח ביצוע (3)'!$B298,'מצבת והרשמה (2)'!$J$21:$J$501),0))</f>
        <v>0</v>
      </c>
      <c r="E298" s="252">
        <f>IFERROR(SUMIF('מצבת והרשמה (2)'!$F$21:$F$501,'דוח ביצוע (3)'!$B298,'מצבת והרשמה (2)'!$K$21:$K$501),0)</f>
        <v>0</v>
      </c>
      <c r="F298" s="253">
        <f t="shared" si="85"/>
        <v>0</v>
      </c>
      <c r="G298" s="680"/>
      <c r="H298" s="680"/>
      <c r="I298" s="253">
        <f t="shared" si="78"/>
        <v>0</v>
      </c>
      <c r="J298" s="453">
        <f t="shared" si="86"/>
        <v>0</v>
      </c>
      <c r="K298" s="689"/>
      <c r="L298" s="689"/>
      <c r="M298" s="969">
        <f t="shared" si="87"/>
        <v>0</v>
      </c>
      <c r="N298" s="1029" t="str">
        <f t="shared" si="88"/>
        <v/>
      </c>
      <c r="O298" s="969" t="str">
        <f>IFERROR(VLOOKUP(B298,'נתוני רישום ומצבת'!B:Q,16,0),"")</f>
        <v/>
      </c>
      <c r="P298" s="969" t="str">
        <f>IFERROR(VLOOKUP(B298,'נתוני רישום ומצבת'!B:R,17,0),"")</f>
        <v/>
      </c>
      <c r="Q298" s="690"/>
      <c r="R298" s="1009"/>
      <c r="S298" s="376">
        <f t="shared" si="89"/>
        <v>0</v>
      </c>
      <c r="T298" s="376">
        <f t="shared" si="90"/>
        <v>0</v>
      </c>
      <c r="U298" s="386">
        <f t="shared" si="91"/>
        <v>0</v>
      </c>
      <c r="V298" s="513" t="str">
        <f t="shared" si="92"/>
        <v/>
      </c>
      <c r="W298" s="254" t="str">
        <f>IF(ISBLANK(B298)," ",IF(B298=IFERROR(VLOOKUP(B298,'מצבת והרשמה (2)'!F:F,1,0),0),"תקין","לא קיים במצבת כבית ספר בו מתקיימת פעילות"))</f>
        <v xml:space="preserve"> </v>
      </c>
      <c r="X298" s="256" t="str">
        <f t="shared" si="79"/>
        <v/>
      </c>
      <c r="Y298" s="256" t="str">
        <f t="shared" si="80"/>
        <v/>
      </c>
      <c r="Z298" s="741">
        <f t="shared" si="81"/>
        <v>0</v>
      </c>
      <c r="AA298" s="741">
        <f t="shared" si="82"/>
        <v>0</v>
      </c>
      <c r="AB298" s="741">
        <f t="shared" si="83"/>
        <v>0</v>
      </c>
      <c r="AC298" s="987">
        <f t="shared" si="93"/>
        <v>0</v>
      </c>
      <c r="AD298" s="987">
        <f t="shared" si="94"/>
        <v>0</v>
      </c>
      <c r="AE298" s="368" t="str">
        <f>IFERROR(VLOOKUP(B298,'[1]סיכום בקרת רשויות'!$A:$D,4,0),"")</f>
        <v/>
      </c>
      <c r="AF298" s="57" t="str">
        <f t="shared" si="95"/>
        <v/>
      </c>
      <c r="AG298" s="180">
        <f>IF(AF298="כן",M298*'גנים ובתי ספר- מבנה תקציב'!$H$59,0)</f>
        <v>0</v>
      </c>
      <c r="AH298" s="180">
        <f>IF(AF298="כן",M298*'גנים ובתי ספר- מבנה תקציב'!$I$59,0)</f>
        <v>0</v>
      </c>
      <c r="AI298" s="180">
        <f t="shared" si="96"/>
        <v>0</v>
      </c>
      <c r="AJ298" s="368" t="str">
        <f t="shared" si="84"/>
        <v/>
      </c>
    </row>
    <row r="299" spans="1:36" x14ac:dyDescent="0.25">
      <c r="A299" s="57">
        <v>279</v>
      </c>
      <c r="B299" s="690"/>
      <c r="C299" s="690"/>
      <c r="D299" s="252">
        <f>(IFERROR(SUMIF('מצבת והרשמה (2)'!$F$21:$F$501,'דוח ביצוע (3)'!$B299,'מצבת והרשמה (2)'!$J$21:$J$501),0))</f>
        <v>0</v>
      </c>
      <c r="E299" s="252">
        <f>IFERROR(SUMIF('מצבת והרשמה (2)'!$F$21:$F$501,'דוח ביצוע (3)'!$B299,'מצבת והרשמה (2)'!$K$21:$K$501),0)</f>
        <v>0</v>
      </c>
      <c r="F299" s="253">
        <f t="shared" si="85"/>
        <v>0</v>
      </c>
      <c r="G299" s="680"/>
      <c r="H299" s="680"/>
      <c r="I299" s="253">
        <f t="shared" si="78"/>
        <v>0</v>
      </c>
      <c r="J299" s="453">
        <f t="shared" si="86"/>
        <v>0</v>
      </c>
      <c r="K299" s="689"/>
      <c r="L299" s="689"/>
      <c r="M299" s="969">
        <f t="shared" si="87"/>
        <v>0</v>
      </c>
      <c r="N299" s="1029" t="str">
        <f t="shared" si="88"/>
        <v/>
      </c>
      <c r="O299" s="969" t="str">
        <f>IFERROR(VLOOKUP(B299,'נתוני רישום ומצבת'!B:Q,16,0),"")</f>
        <v/>
      </c>
      <c r="P299" s="969" t="str">
        <f>IFERROR(VLOOKUP(B299,'נתוני רישום ומצבת'!B:R,17,0),"")</f>
        <v/>
      </c>
      <c r="Q299" s="690"/>
      <c r="R299" s="1009"/>
      <c r="S299" s="376">
        <f t="shared" si="89"/>
        <v>0</v>
      </c>
      <c r="T299" s="376">
        <f t="shared" si="90"/>
        <v>0</v>
      </c>
      <c r="U299" s="386">
        <f t="shared" si="91"/>
        <v>0</v>
      </c>
      <c r="V299" s="513" t="str">
        <f t="shared" si="92"/>
        <v/>
      </c>
      <c r="W299" s="254" t="str">
        <f>IF(ISBLANK(B299)," ",IF(B299=IFERROR(VLOOKUP(B299,'מצבת והרשמה (2)'!F:F,1,0),0),"תקין","לא קיים במצבת כבית ספר בו מתקיימת פעילות"))</f>
        <v xml:space="preserve"> </v>
      </c>
      <c r="X299" s="256" t="str">
        <f t="shared" si="79"/>
        <v/>
      </c>
      <c r="Y299" s="256" t="str">
        <f t="shared" si="80"/>
        <v/>
      </c>
      <c r="Z299" s="741">
        <f t="shared" si="81"/>
        <v>0</v>
      </c>
      <c r="AA299" s="741">
        <f t="shared" si="82"/>
        <v>0</v>
      </c>
      <c r="AB299" s="741">
        <f t="shared" si="83"/>
        <v>0</v>
      </c>
      <c r="AC299" s="987">
        <f t="shared" si="93"/>
        <v>0</v>
      </c>
      <c r="AD299" s="987">
        <f t="shared" si="94"/>
        <v>0</v>
      </c>
      <c r="AE299" s="368" t="str">
        <f>IFERROR(VLOOKUP(B299,'[1]סיכום בקרת רשויות'!$A:$D,4,0),"")</f>
        <v/>
      </c>
      <c r="AF299" s="57" t="str">
        <f t="shared" si="95"/>
        <v/>
      </c>
      <c r="AG299" s="180">
        <f>IF(AF299="כן",M299*'גנים ובתי ספר- מבנה תקציב'!$H$59,0)</f>
        <v>0</v>
      </c>
      <c r="AH299" s="180">
        <f>IF(AF299="כן",M299*'גנים ובתי ספר- מבנה תקציב'!$I$59,0)</f>
        <v>0</v>
      </c>
      <c r="AI299" s="180">
        <f t="shared" si="96"/>
        <v>0</v>
      </c>
      <c r="AJ299" s="368" t="str">
        <f t="shared" si="84"/>
        <v/>
      </c>
    </row>
    <row r="300" spans="1:36" x14ac:dyDescent="0.25">
      <c r="A300" s="57">
        <v>280</v>
      </c>
      <c r="B300" s="690"/>
      <c r="C300" s="690"/>
      <c r="D300" s="252">
        <f>(IFERROR(SUMIF('מצבת והרשמה (2)'!$F$21:$F$501,'דוח ביצוע (3)'!$B300,'מצבת והרשמה (2)'!$J$21:$J$501),0))</f>
        <v>0</v>
      </c>
      <c r="E300" s="252">
        <f>IFERROR(SUMIF('מצבת והרשמה (2)'!$F$21:$F$501,'דוח ביצוע (3)'!$B300,'מצבת והרשמה (2)'!$K$21:$K$501),0)</f>
        <v>0</v>
      </c>
      <c r="F300" s="253">
        <f t="shared" si="85"/>
        <v>0</v>
      </c>
      <c r="G300" s="680"/>
      <c r="H300" s="680"/>
      <c r="I300" s="253">
        <f t="shared" si="78"/>
        <v>0</v>
      </c>
      <c r="J300" s="453">
        <f t="shared" si="86"/>
        <v>0</v>
      </c>
      <c r="K300" s="689"/>
      <c r="L300" s="689"/>
      <c r="M300" s="969">
        <f t="shared" si="87"/>
        <v>0</v>
      </c>
      <c r="N300" s="1029" t="str">
        <f t="shared" si="88"/>
        <v/>
      </c>
      <c r="O300" s="969" t="str">
        <f>IFERROR(VLOOKUP(B300,'נתוני רישום ומצבת'!B:Q,16,0),"")</f>
        <v/>
      </c>
      <c r="P300" s="969" t="str">
        <f>IFERROR(VLOOKUP(B300,'נתוני רישום ומצבת'!B:R,17,0),"")</f>
        <v/>
      </c>
      <c r="Q300" s="690"/>
      <c r="R300" s="1009"/>
      <c r="S300" s="376">
        <f t="shared" si="89"/>
        <v>0</v>
      </c>
      <c r="T300" s="376">
        <f t="shared" si="90"/>
        <v>0</v>
      </c>
      <c r="U300" s="386">
        <f t="shared" si="91"/>
        <v>0</v>
      </c>
      <c r="V300" s="513" t="str">
        <f t="shared" si="92"/>
        <v/>
      </c>
      <c r="W300" s="254" t="str">
        <f>IF(ISBLANK(B300)," ",IF(B300=IFERROR(VLOOKUP(B300,'מצבת והרשמה (2)'!F:F,1,0),0),"תקין","לא קיים במצבת כבית ספר בו מתקיימת פעילות"))</f>
        <v xml:space="preserve"> </v>
      </c>
      <c r="X300" s="256" t="str">
        <f t="shared" si="79"/>
        <v/>
      </c>
      <c r="Y300" s="256" t="str">
        <f t="shared" si="80"/>
        <v/>
      </c>
      <c r="Z300" s="741">
        <f t="shared" si="81"/>
        <v>0</v>
      </c>
      <c r="AA300" s="741">
        <f t="shared" si="82"/>
        <v>0</v>
      </c>
      <c r="AB300" s="741">
        <f t="shared" si="83"/>
        <v>0</v>
      </c>
      <c r="AC300" s="987">
        <f t="shared" si="93"/>
        <v>0</v>
      </c>
      <c r="AD300" s="987">
        <f t="shared" si="94"/>
        <v>0</v>
      </c>
      <c r="AE300" s="368" t="str">
        <f>IFERROR(VLOOKUP(B300,'[1]סיכום בקרת רשויות'!$A:$D,4,0),"")</f>
        <v/>
      </c>
      <c r="AF300" s="57" t="str">
        <f t="shared" si="95"/>
        <v/>
      </c>
      <c r="AG300" s="180">
        <f>IF(AF300="כן",M300*'גנים ובתי ספר- מבנה תקציב'!$H$59,0)</f>
        <v>0</v>
      </c>
      <c r="AH300" s="180">
        <f>IF(AF300="כן",M300*'גנים ובתי ספר- מבנה תקציב'!$I$59,0)</f>
        <v>0</v>
      </c>
      <c r="AI300" s="180">
        <f t="shared" si="96"/>
        <v>0</v>
      </c>
      <c r="AJ300" s="368" t="str">
        <f t="shared" si="84"/>
        <v/>
      </c>
    </row>
    <row r="301" spans="1:36" x14ac:dyDescent="0.25">
      <c r="A301" s="57">
        <v>281</v>
      </c>
      <c r="B301" s="690"/>
      <c r="C301" s="690"/>
      <c r="D301" s="252">
        <f>(IFERROR(SUMIF('מצבת והרשמה (2)'!$F$21:$F$501,'דוח ביצוע (3)'!$B301,'מצבת והרשמה (2)'!$J$21:$J$501),0))</f>
        <v>0</v>
      </c>
      <c r="E301" s="252">
        <f>IFERROR(SUMIF('מצבת והרשמה (2)'!$F$21:$F$501,'דוח ביצוע (3)'!$B301,'מצבת והרשמה (2)'!$K$21:$K$501),0)</f>
        <v>0</v>
      </c>
      <c r="F301" s="253">
        <f t="shared" si="85"/>
        <v>0</v>
      </c>
      <c r="G301" s="680"/>
      <c r="H301" s="680"/>
      <c r="I301" s="253">
        <f t="shared" si="78"/>
        <v>0</v>
      </c>
      <c r="J301" s="453">
        <f t="shared" si="86"/>
        <v>0</v>
      </c>
      <c r="K301" s="689"/>
      <c r="L301" s="689"/>
      <c r="M301" s="969">
        <f t="shared" si="87"/>
        <v>0</v>
      </c>
      <c r="N301" s="1029" t="str">
        <f t="shared" si="88"/>
        <v/>
      </c>
      <c r="O301" s="969" t="str">
        <f>IFERROR(VLOOKUP(B301,'נתוני רישום ומצבת'!B:Q,16,0),"")</f>
        <v/>
      </c>
      <c r="P301" s="969" t="str">
        <f>IFERROR(VLOOKUP(B301,'נתוני רישום ומצבת'!B:R,17,0),"")</f>
        <v/>
      </c>
      <c r="Q301" s="690"/>
      <c r="R301" s="1009"/>
      <c r="S301" s="376">
        <f t="shared" si="89"/>
        <v>0</v>
      </c>
      <c r="T301" s="376">
        <f t="shared" si="90"/>
        <v>0</v>
      </c>
      <c r="U301" s="386">
        <f t="shared" si="91"/>
        <v>0</v>
      </c>
      <c r="V301" s="513" t="str">
        <f t="shared" si="92"/>
        <v/>
      </c>
      <c r="W301" s="254" t="str">
        <f>IF(ISBLANK(B301)," ",IF(B301=IFERROR(VLOOKUP(B301,'מצבת והרשמה (2)'!F:F,1,0),0),"תקין","לא קיים במצבת כבית ספר בו מתקיימת פעילות"))</f>
        <v xml:space="preserve"> </v>
      </c>
      <c r="X301" s="256" t="str">
        <f t="shared" si="79"/>
        <v/>
      </c>
      <c r="Y301" s="256" t="str">
        <f t="shared" si="80"/>
        <v/>
      </c>
      <c r="Z301" s="741">
        <f t="shared" si="81"/>
        <v>0</v>
      </c>
      <c r="AA301" s="741">
        <f t="shared" si="82"/>
        <v>0</v>
      </c>
      <c r="AB301" s="741">
        <f t="shared" si="83"/>
        <v>0</v>
      </c>
      <c r="AC301" s="987">
        <f t="shared" si="93"/>
        <v>0</v>
      </c>
      <c r="AD301" s="987">
        <f t="shared" si="94"/>
        <v>0</v>
      </c>
      <c r="AE301" s="368" t="str">
        <f>IFERROR(VLOOKUP(B301,'[1]סיכום בקרת רשויות'!$A:$D,4,0),"")</f>
        <v/>
      </c>
      <c r="AF301" s="57" t="str">
        <f t="shared" si="95"/>
        <v/>
      </c>
      <c r="AG301" s="180">
        <f>IF(AF301="כן",M301*'גנים ובתי ספר- מבנה תקציב'!$H$59,0)</f>
        <v>0</v>
      </c>
      <c r="AH301" s="180">
        <f>IF(AF301="כן",M301*'גנים ובתי ספר- מבנה תקציב'!$I$59,0)</f>
        <v>0</v>
      </c>
      <c r="AI301" s="180">
        <f t="shared" si="96"/>
        <v>0</v>
      </c>
      <c r="AJ301" s="368" t="str">
        <f t="shared" si="84"/>
        <v/>
      </c>
    </row>
    <row r="302" spans="1:36" x14ac:dyDescent="0.25">
      <c r="A302" s="57">
        <v>282</v>
      </c>
      <c r="B302" s="690"/>
      <c r="C302" s="690"/>
      <c r="D302" s="252">
        <f>(IFERROR(SUMIF('מצבת והרשמה (2)'!$F$21:$F$501,'דוח ביצוע (3)'!$B302,'מצבת והרשמה (2)'!$J$21:$J$501),0))</f>
        <v>0</v>
      </c>
      <c r="E302" s="252">
        <f>IFERROR(SUMIF('מצבת והרשמה (2)'!$F$21:$F$501,'דוח ביצוע (3)'!$B302,'מצבת והרשמה (2)'!$K$21:$K$501),0)</f>
        <v>0</v>
      </c>
      <c r="F302" s="253">
        <f t="shared" si="85"/>
        <v>0</v>
      </c>
      <c r="G302" s="680"/>
      <c r="H302" s="680"/>
      <c r="I302" s="253">
        <f t="shared" si="78"/>
        <v>0</v>
      </c>
      <c r="J302" s="453">
        <f t="shared" si="86"/>
        <v>0</v>
      </c>
      <c r="K302" s="689"/>
      <c r="L302" s="689"/>
      <c r="M302" s="969">
        <f t="shared" si="87"/>
        <v>0</v>
      </c>
      <c r="N302" s="1029" t="str">
        <f t="shared" si="88"/>
        <v/>
      </c>
      <c r="O302" s="969" t="str">
        <f>IFERROR(VLOOKUP(B302,'נתוני רישום ומצבת'!B:Q,16,0),"")</f>
        <v/>
      </c>
      <c r="P302" s="969" t="str">
        <f>IFERROR(VLOOKUP(B302,'נתוני רישום ומצבת'!B:R,17,0),"")</f>
        <v/>
      </c>
      <c r="Q302" s="690"/>
      <c r="R302" s="1009"/>
      <c r="S302" s="376">
        <f t="shared" si="89"/>
        <v>0</v>
      </c>
      <c r="T302" s="376">
        <f t="shared" si="90"/>
        <v>0</v>
      </c>
      <c r="U302" s="386">
        <f t="shared" si="91"/>
        <v>0</v>
      </c>
      <c r="V302" s="513" t="str">
        <f t="shared" si="92"/>
        <v/>
      </c>
      <c r="W302" s="254" t="str">
        <f>IF(ISBLANK(B302)," ",IF(B302=IFERROR(VLOOKUP(B302,'מצבת והרשמה (2)'!F:F,1,0),0),"תקין","לא קיים במצבת כבית ספר בו מתקיימת פעילות"))</f>
        <v xml:space="preserve"> </v>
      </c>
      <c r="X302" s="256" t="str">
        <f t="shared" si="79"/>
        <v/>
      </c>
      <c r="Y302" s="256" t="str">
        <f t="shared" si="80"/>
        <v/>
      </c>
      <c r="Z302" s="741">
        <f t="shared" si="81"/>
        <v>0</v>
      </c>
      <c r="AA302" s="741">
        <f t="shared" si="82"/>
        <v>0</v>
      </c>
      <c r="AB302" s="741">
        <f t="shared" si="83"/>
        <v>0</v>
      </c>
      <c r="AC302" s="987">
        <f t="shared" si="93"/>
        <v>0</v>
      </c>
      <c r="AD302" s="987">
        <f t="shared" si="94"/>
        <v>0</v>
      </c>
      <c r="AE302" s="368" t="str">
        <f>IFERROR(VLOOKUP(B302,'[1]סיכום בקרת רשויות'!$A:$D,4,0),"")</f>
        <v/>
      </c>
      <c r="AF302" s="57" t="str">
        <f t="shared" si="95"/>
        <v/>
      </c>
      <c r="AG302" s="180">
        <f>IF(AF302="כן",M302*'גנים ובתי ספר- מבנה תקציב'!$H$59,0)</f>
        <v>0</v>
      </c>
      <c r="AH302" s="180">
        <f>IF(AF302="כן",M302*'גנים ובתי ספר- מבנה תקציב'!$I$59,0)</f>
        <v>0</v>
      </c>
      <c r="AI302" s="180">
        <f t="shared" si="96"/>
        <v>0</v>
      </c>
      <c r="AJ302" s="368" t="str">
        <f t="shared" si="84"/>
        <v/>
      </c>
    </row>
    <row r="303" spans="1:36" x14ac:dyDescent="0.25">
      <c r="A303" s="57">
        <v>283</v>
      </c>
      <c r="B303" s="690"/>
      <c r="C303" s="690"/>
      <c r="D303" s="252">
        <f>(IFERROR(SUMIF('מצבת והרשמה (2)'!$F$21:$F$501,'דוח ביצוע (3)'!$B303,'מצבת והרשמה (2)'!$J$21:$J$501),0))</f>
        <v>0</v>
      </c>
      <c r="E303" s="252">
        <f>IFERROR(SUMIF('מצבת והרשמה (2)'!$F$21:$F$501,'דוח ביצוע (3)'!$B303,'מצבת והרשמה (2)'!$K$21:$K$501),0)</f>
        <v>0</v>
      </c>
      <c r="F303" s="253">
        <f t="shared" si="85"/>
        <v>0</v>
      </c>
      <c r="G303" s="680"/>
      <c r="H303" s="680"/>
      <c r="I303" s="253">
        <f t="shared" si="78"/>
        <v>0</v>
      </c>
      <c r="J303" s="453">
        <f t="shared" si="86"/>
        <v>0</v>
      </c>
      <c r="K303" s="689"/>
      <c r="L303" s="689"/>
      <c r="M303" s="969">
        <f t="shared" si="87"/>
        <v>0</v>
      </c>
      <c r="N303" s="1029" t="str">
        <f t="shared" si="88"/>
        <v/>
      </c>
      <c r="O303" s="969" t="str">
        <f>IFERROR(VLOOKUP(B303,'נתוני רישום ומצבת'!B:Q,16,0),"")</f>
        <v/>
      </c>
      <c r="P303" s="969" t="str">
        <f>IFERROR(VLOOKUP(B303,'נתוני רישום ומצבת'!B:R,17,0),"")</f>
        <v/>
      </c>
      <c r="Q303" s="690"/>
      <c r="R303" s="1009"/>
      <c r="S303" s="376">
        <f t="shared" si="89"/>
        <v>0</v>
      </c>
      <c r="T303" s="376">
        <f t="shared" si="90"/>
        <v>0</v>
      </c>
      <c r="U303" s="386">
        <f t="shared" si="91"/>
        <v>0</v>
      </c>
      <c r="V303" s="513" t="str">
        <f t="shared" si="92"/>
        <v/>
      </c>
      <c r="W303" s="254" t="str">
        <f>IF(ISBLANK(B303)," ",IF(B303=IFERROR(VLOOKUP(B303,'מצבת והרשמה (2)'!F:F,1,0),0),"תקין","לא קיים במצבת כבית ספר בו מתקיימת פעילות"))</f>
        <v xml:space="preserve"> </v>
      </c>
      <c r="X303" s="256" t="str">
        <f t="shared" si="79"/>
        <v/>
      </c>
      <c r="Y303" s="256" t="str">
        <f t="shared" si="80"/>
        <v/>
      </c>
      <c r="Z303" s="741">
        <f t="shared" si="81"/>
        <v>0</v>
      </c>
      <c r="AA303" s="741">
        <f t="shared" si="82"/>
        <v>0</v>
      </c>
      <c r="AB303" s="741">
        <f t="shared" si="83"/>
        <v>0</v>
      </c>
      <c r="AC303" s="987">
        <f t="shared" si="93"/>
        <v>0</v>
      </c>
      <c r="AD303" s="987">
        <f t="shared" si="94"/>
        <v>0</v>
      </c>
      <c r="AE303" s="368" t="str">
        <f>IFERROR(VLOOKUP(B303,'[1]סיכום בקרת רשויות'!$A:$D,4,0),"")</f>
        <v/>
      </c>
      <c r="AF303" s="57" t="str">
        <f t="shared" si="95"/>
        <v/>
      </c>
      <c r="AG303" s="180">
        <f>IF(AF303="כן",M303*'גנים ובתי ספר- מבנה תקציב'!$H$59,0)</f>
        <v>0</v>
      </c>
      <c r="AH303" s="180">
        <f>IF(AF303="כן",M303*'גנים ובתי ספר- מבנה תקציב'!$I$59,0)</f>
        <v>0</v>
      </c>
      <c r="AI303" s="180">
        <f t="shared" si="96"/>
        <v>0</v>
      </c>
      <c r="AJ303" s="368" t="str">
        <f t="shared" si="84"/>
        <v/>
      </c>
    </row>
    <row r="304" spans="1:36" x14ac:dyDescent="0.25">
      <c r="A304" s="57">
        <v>284</v>
      </c>
      <c r="B304" s="690"/>
      <c r="C304" s="690"/>
      <c r="D304" s="252">
        <f>(IFERROR(SUMIF('מצבת והרשמה (2)'!$F$21:$F$501,'דוח ביצוע (3)'!$B304,'מצבת והרשמה (2)'!$J$21:$J$501),0))</f>
        <v>0</v>
      </c>
      <c r="E304" s="252">
        <f>IFERROR(SUMIF('מצבת והרשמה (2)'!$F$21:$F$501,'דוח ביצוע (3)'!$B304,'מצבת והרשמה (2)'!$K$21:$K$501),0)</f>
        <v>0</v>
      </c>
      <c r="F304" s="253">
        <f t="shared" si="85"/>
        <v>0</v>
      </c>
      <c r="G304" s="680"/>
      <c r="H304" s="680"/>
      <c r="I304" s="253">
        <f t="shared" si="78"/>
        <v>0</v>
      </c>
      <c r="J304" s="453">
        <f t="shared" si="86"/>
        <v>0</v>
      </c>
      <c r="K304" s="689"/>
      <c r="L304" s="689"/>
      <c r="M304" s="969">
        <f t="shared" si="87"/>
        <v>0</v>
      </c>
      <c r="N304" s="1029" t="str">
        <f t="shared" si="88"/>
        <v/>
      </c>
      <c r="O304" s="969" t="str">
        <f>IFERROR(VLOOKUP(B304,'נתוני רישום ומצבת'!B:Q,16,0),"")</f>
        <v/>
      </c>
      <c r="P304" s="969" t="str">
        <f>IFERROR(VLOOKUP(B304,'נתוני רישום ומצבת'!B:R,17,0),"")</f>
        <v/>
      </c>
      <c r="Q304" s="690"/>
      <c r="R304" s="1009"/>
      <c r="S304" s="376">
        <f t="shared" si="89"/>
        <v>0</v>
      </c>
      <c r="T304" s="376">
        <f t="shared" si="90"/>
        <v>0</v>
      </c>
      <c r="U304" s="386">
        <f t="shared" si="91"/>
        <v>0</v>
      </c>
      <c r="V304" s="513" t="str">
        <f t="shared" si="92"/>
        <v/>
      </c>
      <c r="W304" s="254" t="str">
        <f>IF(ISBLANK(B304)," ",IF(B304=IFERROR(VLOOKUP(B304,'מצבת והרשמה (2)'!F:F,1,0),0),"תקין","לא קיים במצבת כבית ספר בו מתקיימת פעילות"))</f>
        <v xml:space="preserve"> </v>
      </c>
      <c r="X304" s="256" t="str">
        <f t="shared" si="79"/>
        <v/>
      </c>
      <c r="Y304" s="256" t="str">
        <f t="shared" si="80"/>
        <v/>
      </c>
      <c r="Z304" s="741">
        <f t="shared" si="81"/>
        <v>0</v>
      </c>
      <c r="AA304" s="741">
        <f t="shared" si="82"/>
        <v>0</v>
      </c>
      <c r="AB304" s="741">
        <f t="shared" si="83"/>
        <v>0</v>
      </c>
      <c r="AC304" s="987">
        <f t="shared" si="93"/>
        <v>0</v>
      </c>
      <c r="AD304" s="987">
        <f t="shared" si="94"/>
        <v>0</v>
      </c>
      <c r="AE304" s="368" t="str">
        <f>IFERROR(VLOOKUP(B304,'[1]סיכום בקרת רשויות'!$A:$D,4,0),"")</f>
        <v/>
      </c>
      <c r="AF304" s="57" t="str">
        <f t="shared" si="95"/>
        <v/>
      </c>
      <c r="AG304" s="180">
        <f>IF(AF304="כן",M304*'גנים ובתי ספר- מבנה תקציב'!$H$59,0)</f>
        <v>0</v>
      </c>
      <c r="AH304" s="180">
        <f>IF(AF304="כן",M304*'גנים ובתי ספר- מבנה תקציב'!$I$59,0)</f>
        <v>0</v>
      </c>
      <c r="AI304" s="180">
        <f t="shared" si="96"/>
        <v>0</v>
      </c>
      <c r="AJ304" s="368" t="str">
        <f t="shared" si="84"/>
        <v/>
      </c>
    </row>
    <row r="305" spans="1:36" x14ac:dyDescent="0.25">
      <c r="A305" s="57">
        <v>285</v>
      </c>
      <c r="B305" s="690"/>
      <c r="C305" s="690"/>
      <c r="D305" s="252">
        <f>(IFERROR(SUMIF('מצבת והרשמה (2)'!$F$21:$F$501,'דוח ביצוע (3)'!$B305,'מצבת והרשמה (2)'!$J$21:$J$501),0))</f>
        <v>0</v>
      </c>
      <c r="E305" s="252">
        <f>IFERROR(SUMIF('מצבת והרשמה (2)'!$F$21:$F$501,'דוח ביצוע (3)'!$B305,'מצבת והרשמה (2)'!$K$21:$K$501),0)</f>
        <v>0</v>
      </c>
      <c r="F305" s="253">
        <f t="shared" si="85"/>
        <v>0</v>
      </c>
      <c r="G305" s="680"/>
      <c r="H305" s="680"/>
      <c r="I305" s="253">
        <f t="shared" si="78"/>
        <v>0</v>
      </c>
      <c r="J305" s="453">
        <f t="shared" si="86"/>
        <v>0</v>
      </c>
      <c r="K305" s="689"/>
      <c r="L305" s="689"/>
      <c r="M305" s="969">
        <f t="shared" si="87"/>
        <v>0</v>
      </c>
      <c r="N305" s="1029" t="str">
        <f t="shared" si="88"/>
        <v/>
      </c>
      <c r="O305" s="969" t="str">
        <f>IFERROR(VLOOKUP(B305,'נתוני רישום ומצבת'!B:Q,16,0),"")</f>
        <v/>
      </c>
      <c r="P305" s="969" t="str">
        <f>IFERROR(VLOOKUP(B305,'נתוני רישום ומצבת'!B:R,17,0),"")</f>
        <v/>
      </c>
      <c r="Q305" s="690"/>
      <c r="R305" s="1009"/>
      <c r="S305" s="376">
        <f t="shared" si="89"/>
        <v>0</v>
      </c>
      <c r="T305" s="376">
        <f t="shared" si="90"/>
        <v>0</v>
      </c>
      <c r="U305" s="386">
        <f t="shared" si="91"/>
        <v>0</v>
      </c>
      <c r="V305" s="513" t="str">
        <f t="shared" si="92"/>
        <v/>
      </c>
      <c r="W305" s="254" t="str">
        <f>IF(ISBLANK(B305)," ",IF(B305=IFERROR(VLOOKUP(B305,'מצבת והרשמה (2)'!F:F,1,0),0),"תקין","לא קיים במצבת כבית ספר בו מתקיימת פעילות"))</f>
        <v xml:space="preserve"> </v>
      </c>
      <c r="X305" s="256" t="str">
        <f t="shared" si="79"/>
        <v/>
      </c>
      <c r="Y305" s="256" t="str">
        <f t="shared" si="80"/>
        <v/>
      </c>
      <c r="Z305" s="741">
        <f t="shared" si="81"/>
        <v>0</v>
      </c>
      <c r="AA305" s="741">
        <f t="shared" si="82"/>
        <v>0</v>
      </c>
      <c r="AB305" s="741">
        <f t="shared" si="83"/>
        <v>0</v>
      </c>
      <c r="AC305" s="987">
        <f t="shared" si="93"/>
        <v>0</v>
      </c>
      <c r="AD305" s="987">
        <f t="shared" si="94"/>
        <v>0</v>
      </c>
      <c r="AE305" s="368" t="str">
        <f>IFERROR(VLOOKUP(B305,'[1]סיכום בקרת רשויות'!$A:$D,4,0),"")</f>
        <v/>
      </c>
      <c r="AF305" s="57" t="str">
        <f t="shared" si="95"/>
        <v/>
      </c>
      <c r="AG305" s="180">
        <f>IF(AF305="כן",M305*'גנים ובתי ספר- מבנה תקציב'!$H$59,0)</f>
        <v>0</v>
      </c>
      <c r="AH305" s="180">
        <f>IF(AF305="כן",M305*'גנים ובתי ספר- מבנה תקציב'!$I$59,0)</f>
        <v>0</v>
      </c>
      <c r="AI305" s="180">
        <f t="shared" si="96"/>
        <v>0</v>
      </c>
      <c r="AJ305" s="368" t="str">
        <f t="shared" si="84"/>
        <v/>
      </c>
    </row>
    <row r="306" spans="1:36" x14ac:dyDescent="0.25">
      <c r="A306" s="57">
        <v>286</v>
      </c>
      <c r="B306" s="690"/>
      <c r="C306" s="690"/>
      <c r="D306" s="252">
        <f>(IFERROR(SUMIF('מצבת והרשמה (2)'!$F$21:$F$501,'דוח ביצוע (3)'!$B306,'מצבת והרשמה (2)'!$J$21:$J$501),0))</f>
        <v>0</v>
      </c>
      <c r="E306" s="252">
        <f>IFERROR(SUMIF('מצבת והרשמה (2)'!$F$21:$F$501,'דוח ביצוע (3)'!$B306,'מצבת והרשמה (2)'!$K$21:$K$501),0)</f>
        <v>0</v>
      </c>
      <c r="F306" s="253">
        <f t="shared" si="85"/>
        <v>0</v>
      </c>
      <c r="G306" s="680"/>
      <c r="H306" s="680"/>
      <c r="I306" s="253">
        <f t="shared" si="78"/>
        <v>0</v>
      </c>
      <c r="J306" s="453">
        <f t="shared" si="86"/>
        <v>0</v>
      </c>
      <c r="K306" s="689"/>
      <c r="L306" s="689"/>
      <c r="M306" s="969">
        <f t="shared" si="87"/>
        <v>0</v>
      </c>
      <c r="N306" s="1029" t="str">
        <f t="shared" si="88"/>
        <v/>
      </c>
      <c r="O306" s="969" t="str">
        <f>IFERROR(VLOOKUP(B306,'נתוני רישום ומצבת'!B:Q,16,0),"")</f>
        <v/>
      </c>
      <c r="P306" s="969" t="str">
        <f>IFERROR(VLOOKUP(B306,'נתוני רישום ומצבת'!B:R,17,0),"")</f>
        <v/>
      </c>
      <c r="Q306" s="690"/>
      <c r="R306" s="1009"/>
      <c r="S306" s="376">
        <f t="shared" si="89"/>
        <v>0</v>
      </c>
      <c r="T306" s="376">
        <f t="shared" si="90"/>
        <v>0</v>
      </c>
      <c r="U306" s="386">
        <f t="shared" si="91"/>
        <v>0</v>
      </c>
      <c r="V306" s="513" t="str">
        <f t="shared" si="92"/>
        <v/>
      </c>
      <c r="W306" s="254" t="str">
        <f>IF(ISBLANK(B306)," ",IF(B306=IFERROR(VLOOKUP(B306,'מצבת והרשמה (2)'!F:F,1,0),0),"תקין","לא קיים במצבת כבית ספר בו מתקיימת פעילות"))</f>
        <v xml:space="preserve"> </v>
      </c>
      <c r="X306" s="256" t="str">
        <f t="shared" si="79"/>
        <v/>
      </c>
      <c r="Y306" s="256" t="str">
        <f t="shared" si="80"/>
        <v/>
      </c>
      <c r="Z306" s="741">
        <f t="shared" si="81"/>
        <v>0</v>
      </c>
      <c r="AA306" s="741">
        <f t="shared" si="82"/>
        <v>0</v>
      </c>
      <c r="AB306" s="741">
        <f t="shared" si="83"/>
        <v>0</v>
      </c>
      <c r="AC306" s="987">
        <f t="shared" si="93"/>
        <v>0</v>
      </c>
      <c r="AD306" s="987">
        <f t="shared" si="94"/>
        <v>0</v>
      </c>
      <c r="AE306" s="368" t="str">
        <f>IFERROR(VLOOKUP(B306,'[1]סיכום בקרת רשויות'!$A:$D,4,0),"")</f>
        <v/>
      </c>
      <c r="AF306" s="57" t="str">
        <f t="shared" si="95"/>
        <v/>
      </c>
      <c r="AG306" s="180">
        <f>IF(AF306="כן",M306*'גנים ובתי ספר- מבנה תקציב'!$H$59,0)</f>
        <v>0</v>
      </c>
      <c r="AH306" s="180">
        <f>IF(AF306="כן",M306*'גנים ובתי ספר- מבנה תקציב'!$I$59,0)</f>
        <v>0</v>
      </c>
      <c r="AI306" s="180">
        <f t="shared" si="96"/>
        <v>0</v>
      </c>
      <c r="AJ306" s="368" t="str">
        <f t="shared" si="84"/>
        <v/>
      </c>
    </row>
    <row r="307" spans="1:36" x14ac:dyDescent="0.25">
      <c r="A307" s="57">
        <v>287</v>
      </c>
      <c r="B307" s="690"/>
      <c r="C307" s="690"/>
      <c r="D307" s="252">
        <f>(IFERROR(SUMIF('מצבת והרשמה (2)'!$F$21:$F$501,'דוח ביצוע (3)'!$B307,'מצבת והרשמה (2)'!$J$21:$J$501),0))</f>
        <v>0</v>
      </c>
      <c r="E307" s="252">
        <f>IFERROR(SUMIF('מצבת והרשמה (2)'!$F$21:$F$501,'דוח ביצוע (3)'!$B307,'מצבת והרשמה (2)'!$K$21:$K$501),0)</f>
        <v>0</v>
      </c>
      <c r="F307" s="253">
        <f t="shared" si="85"/>
        <v>0</v>
      </c>
      <c r="G307" s="680"/>
      <c r="H307" s="680"/>
      <c r="I307" s="253">
        <f t="shared" si="78"/>
        <v>0</v>
      </c>
      <c r="J307" s="453">
        <f t="shared" si="86"/>
        <v>0</v>
      </c>
      <c r="K307" s="689"/>
      <c r="L307" s="689"/>
      <c r="M307" s="969">
        <f t="shared" si="87"/>
        <v>0</v>
      </c>
      <c r="N307" s="1029" t="str">
        <f t="shared" si="88"/>
        <v/>
      </c>
      <c r="O307" s="969" t="str">
        <f>IFERROR(VLOOKUP(B307,'נתוני רישום ומצבת'!B:Q,16,0),"")</f>
        <v/>
      </c>
      <c r="P307" s="969" t="str">
        <f>IFERROR(VLOOKUP(B307,'נתוני רישום ומצבת'!B:R,17,0),"")</f>
        <v/>
      </c>
      <c r="Q307" s="690"/>
      <c r="R307" s="1009"/>
      <c r="S307" s="376">
        <f t="shared" si="89"/>
        <v>0</v>
      </c>
      <c r="T307" s="376">
        <f t="shared" si="90"/>
        <v>0</v>
      </c>
      <c r="U307" s="386">
        <f t="shared" si="91"/>
        <v>0</v>
      </c>
      <c r="V307" s="513" t="str">
        <f t="shared" si="92"/>
        <v/>
      </c>
      <c r="W307" s="254" t="str">
        <f>IF(ISBLANK(B307)," ",IF(B307=IFERROR(VLOOKUP(B307,'מצבת והרשמה (2)'!F:F,1,0),0),"תקין","לא קיים במצבת כבית ספר בו מתקיימת פעילות"))</f>
        <v xml:space="preserve"> </v>
      </c>
      <c r="X307" s="256" t="str">
        <f t="shared" si="79"/>
        <v/>
      </c>
      <c r="Y307" s="256" t="str">
        <f t="shared" si="80"/>
        <v/>
      </c>
      <c r="Z307" s="741">
        <f t="shared" si="81"/>
        <v>0</v>
      </c>
      <c r="AA307" s="741">
        <f t="shared" si="82"/>
        <v>0</v>
      </c>
      <c r="AB307" s="741">
        <f t="shared" si="83"/>
        <v>0</v>
      </c>
      <c r="AC307" s="987">
        <f t="shared" si="93"/>
        <v>0</v>
      </c>
      <c r="AD307" s="987">
        <f t="shared" si="94"/>
        <v>0</v>
      </c>
      <c r="AE307" s="368" t="str">
        <f>IFERROR(VLOOKUP(B307,'[1]סיכום בקרת רשויות'!$A:$D,4,0),"")</f>
        <v/>
      </c>
      <c r="AF307" s="57" t="str">
        <f t="shared" si="95"/>
        <v/>
      </c>
      <c r="AG307" s="180">
        <f>IF(AF307="כן",M307*'גנים ובתי ספר- מבנה תקציב'!$H$59,0)</f>
        <v>0</v>
      </c>
      <c r="AH307" s="180">
        <f>IF(AF307="כן",M307*'גנים ובתי ספר- מבנה תקציב'!$I$59,0)</f>
        <v>0</v>
      </c>
      <c r="AI307" s="180">
        <f t="shared" si="96"/>
        <v>0</v>
      </c>
      <c r="AJ307" s="368" t="str">
        <f t="shared" si="84"/>
        <v/>
      </c>
    </row>
    <row r="308" spans="1:36" x14ac:dyDescent="0.25">
      <c r="A308" s="57">
        <v>288</v>
      </c>
      <c r="B308" s="690"/>
      <c r="C308" s="690"/>
      <c r="D308" s="252">
        <f>(IFERROR(SUMIF('מצבת והרשמה (2)'!$F$21:$F$501,'דוח ביצוע (3)'!$B308,'מצבת והרשמה (2)'!$J$21:$J$501),0))</f>
        <v>0</v>
      </c>
      <c r="E308" s="252">
        <f>IFERROR(SUMIF('מצבת והרשמה (2)'!$F$21:$F$501,'דוח ביצוע (3)'!$B308,'מצבת והרשמה (2)'!$K$21:$K$501),0)</f>
        <v>0</v>
      </c>
      <c r="F308" s="253">
        <f t="shared" si="85"/>
        <v>0</v>
      </c>
      <c r="G308" s="680"/>
      <c r="H308" s="680"/>
      <c r="I308" s="253">
        <f t="shared" si="78"/>
        <v>0</v>
      </c>
      <c r="J308" s="453">
        <f t="shared" si="86"/>
        <v>0</v>
      </c>
      <c r="K308" s="689"/>
      <c r="L308" s="689"/>
      <c r="M308" s="969">
        <f t="shared" si="87"/>
        <v>0</v>
      </c>
      <c r="N308" s="1029" t="str">
        <f t="shared" si="88"/>
        <v/>
      </c>
      <c r="O308" s="969" t="str">
        <f>IFERROR(VLOOKUP(B308,'נתוני רישום ומצבת'!B:Q,16,0),"")</f>
        <v/>
      </c>
      <c r="P308" s="969" t="str">
        <f>IFERROR(VLOOKUP(B308,'נתוני רישום ומצבת'!B:R,17,0),"")</f>
        <v/>
      </c>
      <c r="Q308" s="690"/>
      <c r="R308" s="1009"/>
      <c r="S308" s="376">
        <f t="shared" si="89"/>
        <v>0</v>
      </c>
      <c r="T308" s="376">
        <f t="shared" si="90"/>
        <v>0</v>
      </c>
      <c r="U308" s="386">
        <f t="shared" si="91"/>
        <v>0</v>
      </c>
      <c r="V308" s="513" t="str">
        <f t="shared" si="92"/>
        <v/>
      </c>
      <c r="W308" s="254" t="str">
        <f>IF(ISBLANK(B308)," ",IF(B308=IFERROR(VLOOKUP(B308,'מצבת והרשמה (2)'!F:F,1,0),0),"תקין","לא קיים במצבת כבית ספר בו מתקיימת פעילות"))</f>
        <v xml:space="preserve"> </v>
      </c>
      <c r="X308" s="256" t="str">
        <f t="shared" si="79"/>
        <v/>
      </c>
      <c r="Y308" s="256" t="str">
        <f t="shared" si="80"/>
        <v/>
      </c>
      <c r="Z308" s="741">
        <f t="shared" si="81"/>
        <v>0</v>
      </c>
      <c r="AA308" s="741">
        <f t="shared" si="82"/>
        <v>0</v>
      </c>
      <c r="AB308" s="741">
        <f t="shared" si="83"/>
        <v>0</v>
      </c>
      <c r="AC308" s="987">
        <f t="shared" si="93"/>
        <v>0</v>
      </c>
      <c r="AD308" s="987">
        <f t="shared" si="94"/>
        <v>0</v>
      </c>
      <c r="AE308" s="368" t="str">
        <f>IFERROR(VLOOKUP(B308,'[1]סיכום בקרת רשויות'!$A:$D,4,0),"")</f>
        <v/>
      </c>
      <c r="AF308" s="57" t="str">
        <f t="shared" si="95"/>
        <v/>
      </c>
      <c r="AG308" s="180">
        <f>IF(AF308="כן",M308*'גנים ובתי ספר- מבנה תקציב'!$H$59,0)</f>
        <v>0</v>
      </c>
      <c r="AH308" s="180">
        <f>IF(AF308="כן",M308*'גנים ובתי ספר- מבנה תקציב'!$I$59,0)</f>
        <v>0</v>
      </c>
      <c r="AI308" s="180">
        <f t="shared" si="96"/>
        <v>0</v>
      </c>
      <c r="AJ308" s="368" t="str">
        <f t="shared" si="84"/>
        <v/>
      </c>
    </row>
    <row r="309" spans="1:36" x14ac:dyDescent="0.25">
      <c r="A309" s="57">
        <v>289</v>
      </c>
      <c r="B309" s="690"/>
      <c r="C309" s="690"/>
      <c r="D309" s="252">
        <f>(IFERROR(SUMIF('מצבת והרשמה (2)'!$F$21:$F$501,'דוח ביצוע (3)'!$B309,'מצבת והרשמה (2)'!$J$21:$J$501),0))</f>
        <v>0</v>
      </c>
      <c r="E309" s="252">
        <f>IFERROR(SUMIF('מצבת והרשמה (2)'!$F$21:$F$501,'דוח ביצוע (3)'!$B309,'מצבת והרשמה (2)'!$K$21:$K$501),0)</f>
        <v>0</v>
      </c>
      <c r="F309" s="253">
        <f t="shared" si="85"/>
        <v>0</v>
      </c>
      <c r="G309" s="680"/>
      <c r="H309" s="680"/>
      <c r="I309" s="253">
        <f t="shared" si="78"/>
        <v>0</v>
      </c>
      <c r="J309" s="453">
        <f t="shared" si="86"/>
        <v>0</v>
      </c>
      <c r="K309" s="689"/>
      <c r="L309" s="689"/>
      <c r="M309" s="969">
        <f t="shared" si="87"/>
        <v>0</v>
      </c>
      <c r="N309" s="1029" t="str">
        <f t="shared" si="88"/>
        <v/>
      </c>
      <c r="O309" s="969" t="str">
        <f>IFERROR(VLOOKUP(B309,'נתוני רישום ומצבת'!B:Q,16,0),"")</f>
        <v/>
      </c>
      <c r="P309" s="969" t="str">
        <f>IFERROR(VLOOKUP(B309,'נתוני רישום ומצבת'!B:R,17,0),"")</f>
        <v/>
      </c>
      <c r="Q309" s="690"/>
      <c r="R309" s="1009"/>
      <c r="S309" s="376">
        <f t="shared" si="89"/>
        <v>0</v>
      </c>
      <c r="T309" s="376">
        <f t="shared" si="90"/>
        <v>0</v>
      </c>
      <c r="U309" s="386">
        <f t="shared" si="91"/>
        <v>0</v>
      </c>
      <c r="V309" s="513" t="str">
        <f t="shared" si="92"/>
        <v/>
      </c>
      <c r="W309" s="254" t="str">
        <f>IF(ISBLANK(B309)," ",IF(B309=IFERROR(VLOOKUP(B309,'מצבת והרשמה (2)'!F:F,1,0),0),"תקין","לא קיים במצבת כבית ספר בו מתקיימת פעילות"))</f>
        <v xml:space="preserve"> </v>
      </c>
      <c r="X309" s="256" t="str">
        <f t="shared" si="79"/>
        <v/>
      </c>
      <c r="Y309" s="256" t="str">
        <f t="shared" si="80"/>
        <v/>
      </c>
      <c r="Z309" s="741">
        <f t="shared" si="81"/>
        <v>0</v>
      </c>
      <c r="AA309" s="741">
        <f t="shared" si="82"/>
        <v>0</v>
      </c>
      <c r="AB309" s="741">
        <f t="shared" si="83"/>
        <v>0</v>
      </c>
      <c r="AC309" s="987">
        <f t="shared" si="93"/>
        <v>0</v>
      </c>
      <c r="AD309" s="987">
        <f t="shared" si="94"/>
        <v>0</v>
      </c>
      <c r="AE309" s="368" t="str">
        <f>IFERROR(VLOOKUP(B309,'[1]סיכום בקרת רשויות'!$A:$D,4,0),"")</f>
        <v/>
      </c>
      <c r="AF309" s="57" t="str">
        <f t="shared" si="95"/>
        <v/>
      </c>
      <c r="AG309" s="180">
        <f>IF(AF309="כן",M309*'גנים ובתי ספר- מבנה תקציב'!$H$59,0)</f>
        <v>0</v>
      </c>
      <c r="AH309" s="180">
        <f>IF(AF309="כן",M309*'גנים ובתי ספר- מבנה תקציב'!$I$59,0)</f>
        <v>0</v>
      </c>
      <c r="AI309" s="180">
        <f t="shared" si="96"/>
        <v>0</v>
      </c>
      <c r="AJ309" s="368" t="str">
        <f t="shared" si="84"/>
        <v/>
      </c>
    </row>
    <row r="310" spans="1:36" x14ac:dyDescent="0.25">
      <c r="A310" s="57">
        <v>290</v>
      </c>
      <c r="B310" s="690"/>
      <c r="C310" s="690"/>
      <c r="D310" s="252">
        <f>(IFERROR(SUMIF('מצבת והרשמה (2)'!$F$21:$F$501,'דוח ביצוע (3)'!$B310,'מצבת והרשמה (2)'!$J$21:$J$501),0))</f>
        <v>0</v>
      </c>
      <c r="E310" s="252">
        <f>IFERROR(SUMIF('מצבת והרשמה (2)'!$F$21:$F$501,'דוח ביצוע (3)'!$B310,'מצבת והרשמה (2)'!$K$21:$K$501),0)</f>
        <v>0</v>
      </c>
      <c r="F310" s="253">
        <f t="shared" si="85"/>
        <v>0</v>
      </c>
      <c r="G310" s="680"/>
      <c r="H310" s="680"/>
      <c r="I310" s="253">
        <f t="shared" si="78"/>
        <v>0</v>
      </c>
      <c r="J310" s="453">
        <f t="shared" si="86"/>
        <v>0</v>
      </c>
      <c r="K310" s="689"/>
      <c r="L310" s="689"/>
      <c r="M310" s="969">
        <f t="shared" si="87"/>
        <v>0</v>
      </c>
      <c r="N310" s="1029" t="str">
        <f t="shared" si="88"/>
        <v/>
      </c>
      <c r="O310" s="969" t="str">
        <f>IFERROR(VLOOKUP(B310,'נתוני רישום ומצבת'!B:Q,16,0),"")</f>
        <v/>
      </c>
      <c r="P310" s="969" t="str">
        <f>IFERROR(VLOOKUP(B310,'נתוני רישום ומצבת'!B:R,17,0),"")</f>
        <v/>
      </c>
      <c r="Q310" s="690"/>
      <c r="R310" s="1009"/>
      <c r="S310" s="376">
        <f t="shared" si="89"/>
        <v>0</v>
      </c>
      <c r="T310" s="376">
        <f t="shared" si="90"/>
        <v>0</v>
      </c>
      <c r="U310" s="386">
        <f t="shared" si="91"/>
        <v>0</v>
      </c>
      <c r="V310" s="513" t="str">
        <f t="shared" si="92"/>
        <v/>
      </c>
      <c r="W310" s="254" t="str">
        <f>IF(ISBLANK(B310)," ",IF(B310=IFERROR(VLOOKUP(B310,'מצבת והרשמה (2)'!F:F,1,0),0),"תקין","לא קיים במצבת כבית ספר בו מתקיימת פעילות"))</f>
        <v xml:space="preserve"> </v>
      </c>
      <c r="X310" s="256" t="str">
        <f t="shared" si="79"/>
        <v/>
      </c>
      <c r="Y310" s="256" t="str">
        <f t="shared" si="80"/>
        <v/>
      </c>
      <c r="Z310" s="741">
        <f t="shared" si="81"/>
        <v>0</v>
      </c>
      <c r="AA310" s="741">
        <f t="shared" si="82"/>
        <v>0</v>
      </c>
      <c r="AB310" s="741">
        <f t="shared" si="83"/>
        <v>0</v>
      </c>
      <c r="AC310" s="987">
        <f t="shared" si="93"/>
        <v>0</v>
      </c>
      <c r="AD310" s="987">
        <f t="shared" si="94"/>
        <v>0</v>
      </c>
      <c r="AE310" s="368" t="str">
        <f>IFERROR(VLOOKUP(B310,'[1]סיכום בקרת רשויות'!$A:$D,4,0),"")</f>
        <v/>
      </c>
      <c r="AF310" s="57" t="str">
        <f t="shared" si="95"/>
        <v/>
      </c>
      <c r="AG310" s="180">
        <f>IF(AF310="כן",M310*'גנים ובתי ספר- מבנה תקציב'!$H$59,0)</f>
        <v>0</v>
      </c>
      <c r="AH310" s="180">
        <f>IF(AF310="כן",M310*'גנים ובתי ספר- מבנה תקציב'!$I$59,0)</f>
        <v>0</v>
      </c>
      <c r="AI310" s="180">
        <f t="shared" si="96"/>
        <v>0</v>
      </c>
      <c r="AJ310" s="368" t="str">
        <f t="shared" si="84"/>
        <v/>
      </c>
    </row>
    <row r="311" spans="1:36" x14ac:dyDescent="0.25">
      <c r="A311" s="57">
        <v>291</v>
      </c>
      <c r="B311" s="690"/>
      <c r="C311" s="690"/>
      <c r="D311" s="252">
        <f>(IFERROR(SUMIF('מצבת והרשמה (2)'!$F$21:$F$501,'דוח ביצוע (3)'!$B311,'מצבת והרשמה (2)'!$J$21:$J$501),0))</f>
        <v>0</v>
      </c>
      <c r="E311" s="252">
        <f>IFERROR(SUMIF('מצבת והרשמה (2)'!$F$21:$F$501,'דוח ביצוע (3)'!$B311,'מצבת והרשמה (2)'!$K$21:$K$501),0)</f>
        <v>0</v>
      </c>
      <c r="F311" s="253">
        <f t="shared" si="85"/>
        <v>0</v>
      </c>
      <c r="G311" s="680"/>
      <c r="H311" s="680"/>
      <c r="I311" s="253">
        <f t="shared" si="78"/>
        <v>0</v>
      </c>
      <c r="J311" s="453">
        <f t="shared" si="86"/>
        <v>0</v>
      </c>
      <c r="K311" s="689"/>
      <c r="L311" s="689"/>
      <c r="M311" s="969">
        <f t="shared" si="87"/>
        <v>0</v>
      </c>
      <c r="N311" s="1029" t="str">
        <f t="shared" si="88"/>
        <v/>
      </c>
      <c r="O311" s="969" t="str">
        <f>IFERROR(VLOOKUP(B311,'נתוני רישום ומצבת'!B:Q,16,0),"")</f>
        <v/>
      </c>
      <c r="P311" s="969" t="str">
        <f>IFERROR(VLOOKUP(B311,'נתוני רישום ומצבת'!B:R,17,0),"")</f>
        <v/>
      </c>
      <c r="Q311" s="690"/>
      <c r="R311" s="1009"/>
      <c r="S311" s="376">
        <f t="shared" si="89"/>
        <v>0</v>
      </c>
      <c r="T311" s="376">
        <f t="shared" si="90"/>
        <v>0</v>
      </c>
      <c r="U311" s="386">
        <f t="shared" si="91"/>
        <v>0</v>
      </c>
      <c r="V311" s="513" t="str">
        <f t="shared" si="92"/>
        <v/>
      </c>
      <c r="W311" s="254" t="str">
        <f>IF(ISBLANK(B311)," ",IF(B311=IFERROR(VLOOKUP(B311,'מצבת והרשמה (2)'!F:F,1,0),0),"תקין","לא קיים במצבת כבית ספר בו מתקיימת פעילות"))</f>
        <v xml:space="preserve"> </v>
      </c>
      <c r="X311" s="256" t="str">
        <f t="shared" si="79"/>
        <v/>
      </c>
      <c r="Y311" s="256" t="str">
        <f t="shared" si="80"/>
        <v/>
      </c>
      <c r="Z311" s="741">
        <f t="shared" si="81"/>
        <v>0</v>
      </c>
      <c r="AA311" s="741">
        <f t="shared" si="82"/>
        <v>0</v>
      </c>
      <c r="AB311" s="741">
        <f t="shared" si="83"/>
        <v>0</v>
      </c>
      <c r="AC311" s="987">
        <f t="shared" si="93"/>
        <v>0</v>
      </c>
      <c r="AD311" s="987">
        <f t="shared" si="94"/>
        <v>0</v>
      </c>
      <c r="AE311" s="368" t="str">
        <f>IFERROR(VLOOKUP(B311,'[1]סיכום בקרת רשויות'!$A:$D,4,0),"")</f>
        <v/>
      </c>
      <c r="AF311" s="57" t="str">
        <f t="shared" si="95"/>
        <v/>
      </c>
      <c r="AG311" s="180">
        <f>IF(AF311="כן",M311*'גנים ובתי ספר- מבנה תקציב'!$H$59,0)</f>
        <v>0</v>
      </c>
      <c r="AH311" s="180">
        <f>IF(AF311="כן",M311*'גנים ובתי ספר- מבנה תקציב'!$I$59,0)</f>
        <v>0</v>
      </c>
      <c r="AI311" s="180">
        <f t="shared" si="96"/>
        <v>0</v>
      </c>
      <c r="AJ311" s="368" t="str">
        <f t="shared" si="84"/>
        <v/>
      </c>
    </row>
    <row r="312" spans="1:36" x14ac:dyDescent="0.25">
      <c r="A312" s="57">
        <v>292</v>
      </c>
      <c r="B312" s="690"/>
      <c r="C312" s="690"/>
      <c r="D312" s="252">
        <f>(IFERROR(SUMIF('מצבת והרשמה (2)'!$F$21:$F$501,'דוח ביצוע (3)'!$B312,'מצבת והרשמה (2)'!$J$21:$J$501),0))</f>
        <v>0</v>
      </c>
      <c r="E312" s="252">
        <f>IFERROR(SUMIF('מצבת והרשמה (2)'!$F$21:$F$501,'דוח ביצוע (3)'!$B312,'מצבת והרשמה (2)'!$K$21:$K$501),0)</f>
        <v>0</v>
      </c>
      <c r="F312" s="253">
        <f t="shared" si="85"/>
        <v>0</v>
      </c>
      <c r="G312" s="680"/>
      <c r="H312" s="680"/>
      <c r="I312" s="253">
        <f t="shared" si="78"/>
        <v>0</v>
      </c>
      <c r="J312" s="453">
        <f t="shared" si="86"/>
        <v>0</v>
      </c>
      <c r="K312" s="689"/>
      <c r="L312" s="689"/>
      <c r="M312" s="969">
        <f t="shared" si="87"/>
        <v>0</v>
      </c>
      <c r="N312" s="1029" t="str">
        <f t="shared" si="88"/>
        <v/>
      </c>
      <c r="O312" s="969" t="str">
        <f>IFERROR(VLOOKUP(B312,'נתוני רישום ומצבת'!B:Q,16,0),"")</f>
        <v/>
      </c>
      <c r="P312" s="969" t="str">
        <f>IFERROR(VLOOKUP(B312,'נתוני רישום ומצבת'!B:R,17,0),"")</f>
        <v/>
      </c>
      <c r="Q312" s="690"/>
      <c r="R312" s="1009"/>
      <c r="S312" s="376">
        <f t="shared" si="89"/>
        <v>0</v>
      </c>
      <c r="T312" s="376">
        <f t="shared" si="90"/>
        <v>0</v>
      </c>
      <c r="U312" s="386">
        <f t="shared" si="91"/>
        <v>0</v>
      </c>
      <c r="V312" s="513" t="str">
        <f t="shared" si="92"/>
        <v/>
      </c>
      <c r="W312" s="254" t="str">
        <f>IF(ISBLANK(B312)," ",IF(B312=IFERROR(VLOOKUP(B312,'מצבת והרשמה (2)'!F:F,1,0),0),"תקין","לא קיים במצבת כבית ספר בו מתקיימת פעילות"))</f>
        <v xml:space="preserve"> </v>
      </c>
      <c r="X312" s="256" t="str">
        <f t="shared" si="79"/>
        <v/>
      </c>
      <c r="Y312" s="256" t="str">
        <f t="shared" si="80"/>
        <v/>
      </c>
      <c r="Z312" s="741">
        <f t="shared" si="81"/>
        <v>0</v>
      </c>
      <c r="AA312" s="741">
        <f t="shared" si="82"/>
        <v>0</v>
      </c>
      <c r="AB312" s="741">
        <f t="shared" si="83"/>
        <v>0</v>
      </c>
      <c r="AC312" s="987">
        <f t="shared" si="93"/>
        <v>0</v>
      </c>
      <c r="AD312" s="987">
        <f t="shared" si="94"/>
        <v>0</v>
      </c>
      <c r="AE312" s="368" t="str">
        <f>IFERROR(VLOOKUP(B312,'[1]סיכום בקרת רשויות'!$A:$D,4,0),"")</f>
        <v/>
      </c>
      <c r="AF312" s="57" t="str">
        <f t="shared" si="95"/>
        <v/>
      </c>
      <c r="AG312" s="180">
        <f>IF(AF312="כן",M312*'גנים ובתי ספר- מבנה תקציב'!$H$59,0)</f>
        <v>0</v>
      </c>
      <c r="AH312" s="180">
        <f>IF(AF312="כן",M312*'גנים ובתי ספר- מבנה תקציב'!$I$59,0)</f>
        <v>0</v>
      </c>
      <c r="AI312" s="180">
        <f t="shared" si="96"/>
        <v>0</v>
      </c>
      <c r="AJ312" s="368" t="str">
        <f t="shared" si="84"/>
        <v/>
      </c>
    </row>
    <row r="313" spans="1:36" x14ac:dyDescent="0.25">
      <c r="A313" s="57">
        <v>293</v>
      </c>
      <c r="B313" s="690"/>
      <c r="C313" s="690"/>
      <c r="D313" s="252">
        <f>(IFERROR(SUMIF('מצבת והרשמה (2)'!$F$21:$F$501,'דוח ביצוע (3)'!$B313,'מצבת והרשמה (2)'!$J$21:$J$501),0))</f>
        <v>0</v>
      </c>
      <c r="E313" s="252">
        <f>IFERROR(SUMIF('מצבת והרשמה (2)'!$F$21:$F$501,'דוח ביצוע (3)'!$B313,'מצבת והרשמה (2)'!$K$21:$K$501),0)</f>
        <v>0</v>
      </c>
      <c r="F313" s="253">
        <f t="shared" si="85"/>
        <v>0</v>
      </c>
      <c r="G313" s="680"/>
      <c r="H313" s="680"/>
      <c r="I313" s="253">
        <f t="shared" si="78"/>
        <v>0</v>
      </c>
      <c r="J313" s="453">
        <f t="shared" si="86"/>
        <v>0</v>
      </c>
      <c r="K313" s="689"/>
      <c r="L313" s="689"/>
      <c r="M313" s="969">
        <f t="shared" si="87"/>
        <v>0</v>
      </c>
      <c r="N313" s="1029" t="str">
        <f t="shared" si="88"/>
        <v/>
      </c>
      <c r="O313" s="969" t="str">
        <f>IFERROR(VLOOKUP(B313,'נתוני רישום ומצבת'!B:Q,16,0),"")</f>
        <v/>
      </c>
      <c r="P313" s="969" t="str">
        <f>IFERROR(VLOOKUP(B313,'נתוני רישום ומצבת'!B:R,17,0),"")</f>
        <v/>
      </c>
      <c r="Q313" s="690"/>
      <c r="R313" s="1009"/>
      <c r="S313" s="376">
        <f t="shared" si="89"/>
        <v>0</v>
      </c>
      <c r="T313" s="376">
        <f t="shared" si="90"/>
        <v>0</v>
      </c>
      <c r="U313" s="386">
        <f t="shared" si="91"/>
        <v>0</v>
      </c>
      <c r="V313" s="513" t="str">
        <f t="shared" si="92"/>
        <v/>
      </c>
      <c r="W313" s="254" t="str">
        <f>IF(ISBLANK(B313)," ",IF(B313=IFERROR(VLOOKUP(B313,'מצבת והרשמה (2)'!F:F,1,0),0),"תקין","לא קיים במצבת כבית ספר בו מתקיימת פעילות"))</f>
        <v xml:space="preserve"> </v>
      </c>
      <c r="X313" s="256" t="str">
        <f t="shared" si="79"/>
        <v/>
      </c>
      <c r="Y313" s="256" t="str">
        <f t="shared" si="80"/>
        <v/>
      </c>
      <c r="Z313" s="741">
        <f t="shared" si="81"/>
        <v>0</v>
      </c>
      <c r="AA313" s="741">
        <f t="shared" si="82"/>
        <v>0</v>
      </c>
      <c r="AB313" s="741">
        <f t="shared" si="83"/>
        <v>0</v>
      </c>
      <c r="AC313" s="987">
        <f t="shared" si="93"/>
        <v>0</v>
      </c>
      <c r="AD313" s="987">
        <f t="shared" si="94"/>
        <v>0</v>
      </c>
      <c r="AE313" s="368" t="str">
        <f>IFERROR(VLOOKUP(B313,'[1]סיכום בקרת רשויות'!$A:$D,4,0),"")</f>
        <v/>
      </c>
      <c r="AF313" s="57" t="str">
        <f t="shared" si="95"/>
        <v/>
      </c>
      <c r="AG313" s="180">
        <f>IF(AF313="כן",M313*'גנים ובתי ספר- מבנה תקציב'!$H$59,0)</f>
        <v>0</v>
      </c>
      <c r="AH313" s="180">
        <f>IF(AF313="כן",M313*'גנים ובתי ספר- מבנה תקציב'!$I$59,0)</f>
        <v>0</v>
      </c>
      <c r="AI313" s="180">
        <f t="shared" si="96"/>
        <v>0</v>
      </c>
      <c r="AJ313" s="368" t="str">
        <f t="shared" si="84"/>
        <v/>
      </c>
    </row>
    <row r="314" spans="1:36" x14ac:dyDescent="0.25">
      <c r="A314" s="57">
        <v>294</v>
      </c>
      <c r="B314" s="690"/>
      <c r="C314" s="690"/>
      <c r="D314" s="252">
        <f>(IFERROR(SUMIF('מצבת והרשמה (2)'!$F$21:$F$501,'דוח ביצוע (3)'!$B314,'מצבת והרשמה (2)'!$J$21:$J$501),0))</f>
        <v>0</v>
      </c>
      <c r="E314" s="252">
        <f>IFERROR(SUMIF('מצבת והרשמה (2)'!$F$21:$F$501,'דוח ביצוע (3)'!$B314,'מצבת והרשמה (2)'!$K$21:$K$501),0)</f>
        <v>0</v>
      </c>
      <c r="F314" s="253">
        <f t="shared" si="85"/>
        <v>0</v>
      </c>
      <c r="G314" s="680"/>
      <c r="H314" s="680"/>
      <c r="I314" s="253">
        <f t="shared" si="78"/>
        <v>0</v>
      </c>
      <c r="J314" s="453">
        <f t="shared" si="86"/>
        <v>0</v>
      </c>
      <c r="K314" s="689"/>
      <c r="L314" s="689"/>
      <c r="M314" s="969">
        <f t="shared" si="87"/>
        <v>0</v>
      </c>
      <c r="N314" s="1029" t="str">
        <f t="shared" si="88"/>
        <v/>
      </c>
      <c r="O314" s="969" t="str">
        <f>IFERROR(VLOOKUP(B314,'נתוני רישום ומצבת'!B:Q,16,0),"")</f>
        <v/>
      </c>
      <c r="P314" s="969" t="str">
        <f>IFERROR(VLOOKUP(B314,'נתוני רישום ומצבת'!B:R,17,0),"")</f>
        <v/>
      </c>
      <c r="Q314" s="690"/>
      <c r="R314" s="1009"/>
      <c r="S314" s="376">
        <f t="shared" si="89"/>
        <v>0</v>
      </c>
      <c r="T314" s="376">
        <f t="shared" si="90"/>
        <v>0</v>
      </c>
      <c r="U314" s="386">
        <f t="shared" si="91"/>
        <v>0</v>
      </c>
      <c r="V314" s="513" t="str">
        <f t="shared" si="92"/>
        <v/>
      </c>
      <c r="W314" s="254" t="str">
        <f>IF(ISBLANK(B314)," ",IF(B314=IFERROR(VLOOKUP(B314,'מצבת והרשמה (2)'!F:F,1,0),0),"תקין","לא קיים במצבת כבית ספר בו מתקיימת פעילות"))</f>
        <v xml:space="preserve"> </v>
      </c>
      <c r="X314" s="256" t="str">
        <f t="shared" si="79"/>
        <v/>
      </c>
      <c r="Y314" s="256" t="str">
        <f t="shared" si="80"/>
        <v/>
      </c>
      <c r="Z314" s="741">
        <f t="shared" si="81"/>
        <v>0</v>
      </c>
      <c r="AA314" s="741">
        <f t="shared" si="82"/>
        <v>0</v>
      </c>
      <c r="AB314" s="741">
        <f t="shared" si="83"/>
        <v>0</v>
      </c>
      <c r="AC314" s="987">
        <f t="shared" si="93"/>
        <v>0</v>
      </c>
      <c r="AD314" s="987">
        <f t="shared" si="94"/>
        <v>0</v>
      </c>
      <c r="AE314" s="368" t="str">
        <f>IFERROR(VLOOKUP(B314,'[1]סיכום בקרת רשויות'!$A:$D,4,0),"")</f>
        <v/>
      </c>
      <c r="AF314" s="57" t="str">
        <f t="shared" si="95"/>
        <v/>
      </c>
      <c r="AG314" s="180">
        <f>IF(AF314="כן",M314*'גנים ובתי ספר- מבנה תקציב'!$H$59,0)</f>
        <v>0</v>
      </c>
      <c r="AH314" s="180">
        <f>IF(AF314="כן",M314*'גנים ובתי ספר- מבנה תקציב'!$I$59,0)</f>
        <v>0</v>
      </c>
      <c r="AI314" s="180">
        <f t="shared" si="96"/>
        <v>0</v>
      </c>
      <c r="AJ314" s="368" t="str">
        <f t="shared" si="84"/>
        <v/>
      </c>
    </row>
    <row r="315" spans="1:36" x14ac:dyDescent="0.25">
      <c r="A315" s="57">
        <v>295</v>
      </c>
      <c r="B315" s="690"/>
      <c r="C315" s="690"/>
      <c r="D315" s="252">
        <f>(IFERROR(SUMIF('מצבת והרשמה (2)'!$F$21:$F$501,'דוח ביצוע (3)'!$B315,'מצבת והרשמה (2)'!$J$21:$J$501),0))</f>
        <v>0</v>
      </c>
      <c r="E315" s="252">
        <f>IFERROR(SUMIF('מצבת והרשמה (2)'!$F$21:$F$501,'דוח ביצוע (3)'!$B315,'מצבת והרשמה (2)'!$K$21:$K$501),0)</f>
        <v>0</v>
      </c>
      <c r="F315" s="253">
        <f t="shared" si="85"/>
        <v>0</v>
      </c>
      <c r="G315" s="680"/>
      <c r="H315" s="680"/>
      <c r="I315" s="253">
        <f t="shared" si="78"/>
        <v>0</v>
      </c>
      <c r="J315" s="453">
        <f t="shared" si="86"/>
        <v>0</v>
      </c>
      <c r="K315" s="689"/>
      <c r="L315" s="689"/>
      <c r="M315" s="969">
        <f t="shared" si="87"/>
        <v>0</v>
      </c>
      <c r="N315" s="1029" t="str">
        <f t="shared" si="88"/>
        <v/>
      </c>
      <c r="O315" s="969" t="str">
        <f>IFERROR(VLOOKUP(B315,'נתוני רישום ומצבת'!B:Q,16,0),"")</f>
        <v/>
      </c>
      <c r="P315" s="969" t="str">
        <f>IFERROR(VLOOKUP(B315,'נתוני רישום ומצבת'!B:R,17,0),"")</f>
        <v/>
      </c>
      <c r="Q315" s="690"/>
      <c r="R315" s="1009"/>
      <c r="S315" s="376">
        <f t="shared" si="89"/>
        <v>0</v>
      </c>
      <c r="T315" s="376">
        <f t="shared" si="90"/>
        <v>0</v>
      </c>
      <c r="U315" s="386">
        <f t="shared" si="91"/>
        <v>0</v>
      </c>
      <c r="V315" s="513" t="str">
        <f t="shared" si="92"/>
        <v/>
      </c>
      <c r="W315" s="254" t="str">
        <f>IF(ISBLANK(B315)," ",IF(B315=IFERROR(VLOOKUP(B315,'מצבת והרשמה (2)'!F:F,1,0),0),"תקין","לא קיים במצבת כבית ספר בו מתקיימת פעילות"))</f>
        <v xml:space="preserve"> </v>
      </c>
      <c r="X315" s="256" t="str">
        <f t="shared" si="79"/>
        <v/>
      </c>
      <c r="Y315" s="256" t="str">
        <f t="shared" si="80"/>
        <v/>
      </c>
      <c r="Z315" s="741">
        <f t="shared" si="81"/>
        <v>0</v>
      </c>
      <c r="AA315" s="741">
        <f t="shared" si="82"/>
        <v>0</v>
      </c>
      <c r="AB315" s="741">
        <f t="shared" si="83"/>
        <v>0</v>
      </c>
      <c r="AC315" s="987">
        <f t="shared" si="93"/>
        <v>0</v>
      </c>
      <c r="AD315" s="987">
        <f t="shared" si="94"/>
        <v>0</v>
      </c>
      <c r="AE315" s="368" t="str">
        <f>IFERROR(VLOOKUP(B315,'[1]סיכום בקרת רשויות'!$A:$D,4,0),"")</f>
        <v/>
      </c>
      <c r="AF315" s="57" t="str">
        <f t="shared" si="95"/>
        <v/>
      </c>
      <c r="AG315" s="180">
        <f>IF(AF315="כן",M315*'גנים ובתי ספר- מבנה תקציב'!$H$59,0)</f>
        <v>0</v>
      </c>
      <c r="AH315" s="180">
        <f>IF(AF315="כן",M315*'גנים ובתי ספר- מבנה תקציב'!$I$59,0)</f>
        <v>0</v>
      </c>
      <c r="AI315" s="180">
        <f t="shared" si="96"/>
        <v>0</v>
      </c>
      <c r="AJ315" s="368" t="str">
        <f t="shared" si="84"/>
        <v/>
      </c>
    </row>
    <row r="316" spans="1:36" x14ac:dyDescent="0.25">
      <c r="A316" s="57">
        <v>296</v>
      </c>
      <c r="B316" s="690"/>
      <c r="C316" s="690"/>
      <c r="D316" s="252">
        <f>(IFERROR(SUMIF('מצבת והרשמה (2)'!$F$21:$F$501,'דוח ביצוע (3)'!$B316,'מצבת והרשמה (2)'!$J$21:$J$501),0))</f>
        <v>0</v>
      </c>
      <c r="E316" s="252">
        <f>IFERROR(SUMIF('מצבת והרשמה (2)'!$F$21:$F$501,'דוח ביצוע (3)'!$B316,'מצבת והרשמה (2)'!$K$21:$K$501),0)</f>
        <v>0</v>
      </c>
      <c r="F316" s="253">
        <f t="shared" si="85"/>
        <v>0</v>
      </c>
      <c r="G316" s="680"/>
      <c r="H316" s="680"/>
      <c r="I316" s="253">
        <f t="shared" si="78"/>
        <v>0</v>
      </c>
      <c r="J316" s="453">
        <f t="shared" si="86"/>
        <v>0</v>
      </c>
      <c r="K316" s="689"/>
      <c r="L316" s="689"/>
      <c r="M316" s="969">
        <f t="shared" si="87"/>
        <v>0</v>
      </c>
      <c r="N316" s="1029" t="str">
        <f t="shared" si="88"/>
        <v/>
      </c>
      <c r="O316" s="969" t="str">
        <f>IFERROR(VLOOKUP(B316,'נתוני רישום ומצבת'!B:Q,16,0),"")</f>
        <v/>
      </c>
      <c r="P316" s="969" t="str">
        <f>IFERROR(VLOOKUP(B316,'נתוני רישום ומצבת'!B:R,17,0),"")</f>
        <v/>
      </c>
      <c r="Q316" s="690"/>
      <c r="R316" s="1009"/>
      <c r="S316" s="376">
        <f t="shared" si="89"/>
        <v>0</v>
      </c>
      <c r="T316" s="376">
        <f t="shared" si="90"/>
        <v>0</v>
      </c>
      <c r="U316" s="386">
        <f t="shared" si="91"/>
        <v>0</v>
      </c>
      <c r="V316" s="513" t="str">
        <f t="shared" si="92"/>
        <v/>
      </c>
      <c r="W316" s="254" t="str">
        <f>IF(ISBLANK(B316)," ",IF(B316=IFERROR(VLOOKUP(B316,'מצבת והרשמה (2)'!F:F,1,0),0),"תקין","לא קיים במצבת כבית ספר בו מתקיימת פעילות"))</f>
        <v xml:space="preserve"> </v>
      </c>
      <c r="X316" s="256" t="str">
        <f t="shared" si="79"/>
        <v/>
      </c>
      <c r="Y316" s="256" t="str">
        <f t="shared" si="80"/>
        <v/>
      </c>
      <c r="Z316" s="741">
        <f t="shared" si="81"/>
        <v>0</v>
      </c>
      <c r="AA316" s="741">
        <f t="shared" si="82"/>
        <v>0</v>
      </c>
      <c r="AB316" s="741">
        <f t="shared" si="83"/>
        <v>0</v>
      </c>
      <c r="AC316" s="987">
        <f t="shared" si="93"/>
        <v>0</v>
      </c>
      <c r="AD316" s="987">
        <f t="shared" si="94"/>
        <v>0</v>
      </c>
      <c r="AE316" s="368" t="str">
        <f>IFERROR(VLOOKUP(B316,'[1]סיכום בקרת רשויות'!$A:$D,4,0),"")</f>
        <v/>
      </c>
      <c r="AF316" s="57" t="str">
        <f t="shared" si="95"/>
        <v/>
      </c>
      <c r="AG316" s="180">
        <f>IF(AF316="כן",M316*'גנים ובתי ספר- מבנה תקציב'!$H$59,0)</f>
        <v>0</v>
      </c>
      <c r="AH316" s="180">
        <f>IF(AF316="כן",M316*'גנים ובתי ספר- מבנה תקציב'!$I$59,0)</f>
        <v>0</v>
      </c>
      <c r="AI316" s="180">
        <f t="shared" si="96"/>
        <v>0</v>
      </c>
      <c r="AJ316" s="368" t="str">
        <f t="shared" si="84"/>
        <v/>
      </c>
    </row>
    <row r="317" spans="1:36" x14ac:dyDescent="0.25">
      <c r="A317" s="57">
        <v>297</v>
      </c>
      <c r="B317" s="690"/>
      <c r="C317" s="690"/>
      <c r="D317" s="252">
        <f>(IFERROR(SUMIF('מצבת והרשמה (2)'!$F$21:$F$501,'דוח ביצוע (3)'!$B317,'מצבת והרשמה (2)'!$J$21:$J$501),0))</f>
        <v>0</v>
      </c>
      <c r="E317" s="252">
        <f>IFERROR(SUMIF('מצבת והרשמה (2)'!$F$21:$F$501,'דוח ביצוע (3)'!$B317,'מצבת והרשמה (2)'!$K$21:$K$501),0)</f>
        <v>0</v>
      </c>
      <c r="F317" s="253">
        <f t="shared" si="85"/>
        <v>0</v>
      </c>
      <c r="G317" s="680"/>
      <c r="H317" s="680"/>
      <c r="I317" s="253">
        <f t="shared" si="78"/>
        <v>0</v>
      </c>
      <c r="J317" s="453">
        <f t="shared" si="86"/>
        <v>0</v>
      </c>
      <c r="K317" s="689"/>
      <c r="L317" s="689"/>
      <c r="M317" s="969">
        <f t="shared" si="87"/>
        <v>0</v>
      </c>
      <c r="N317" s="1029" t="str">
        <f t="shared" si="88"/>
        <v/>
      </c>
      <c r="O317" s="969" t="str">
        <f>IFERROR(VLOOKUP(B317,'נתוני רישום ומצבת'!B:Q,16,0),"")</f>
        <v/>
      </c>
      <c r="P317" s="969" t="str">
        <f>IFERROR(VLOOKUP(B317,'נתוני רישום ומצבת'!B:R,17,0),"")</f>
        <v/>
      </c>
      <c r="Q317" s="690"/>
      <c r="R317" s="1009"/>
      <c r="S317" s="376">
        <f t="shared" si="89"/>
        <v>0</v>
      </c>
      <c r="T317" s="376">
        <f t="shared" si="90"/>
        <v>0</v>
      </c>
      <c r="U317" s="386">
        <f t="shared" si="91"/>
        <v>0</v>
      </c>
      <c r="V317" s="513" t="str">
        <f t="shared" si="92"/>
        <v/>
      </c>
      <c r="W317" s="254" t="str">
        <f>IF(ISBLANK(B317)," ",IF(B317=IFERROR(VLOOKUP(B317,'מצבת והרשמה (2)'!F:F,1,0),0),"תקין","לא קיים במצבת כבית ספר בו מתקיימת פעילות"))</f>
        <v xml:space="preserve"> </v>
      </c>
      <c r="X317" s="256" t="str">
        <f t="shared" si="79"/>
        <v/>
      </c>
      <c r="Y317" s="256" t="str">
        <f t="shared" si="80"/>
        <v/>
      </c>
      <c r="Z317" s="741">
        <f t="shared" si="81"/>
        <v>0</v>
      </c>
      <c r="AA317" s="741">
        <f t="shared" si="82"/>
        <v>0</v>
      </c>
      <c r="AB317" s="741">
        <f t="shared" si="83"/>
        <v>0</v>
      </c>
      <c r="AC317" s="987">
        <f t="shared" si="93"/>
        <v>0</v>
      </c>
      <c r="AD317" s="987">
        <f t="shared" si="94"/>
        <v>0</v>
      </c>
      <c r="AE317" s="368" t="str">
        <f>IFERROR(VLOOKUP(B317,'[1]סיכום בקרת רשויות'!$A:$D,4,0),"")</f>
        <v/>
      </c>
      <c r="AF317" s="57" t="str">
        <f t="shared" si="95"/>
        <v/>
      </c>
      <c r="AG317" s="180">
        <f>IF(AF317="כן",M317*'גנים ובתי ספר- מבנה תקציב'!$H$59,0)</f>
        <v>0</v>
      </c>
      <c r="AH317" s="180">
        <f>IF(AF317="כן",M317*'גנים ובתי ספר- מבנה תקציב'!$I$59,0)</f>
        <v>0</v>
      </c>
      <c r="AI317" s="180">
        <f t="shared" si="96"/>
        <v>0</v>
      </c>
      <c r="AJ317" s="368" t="str">
        <f t="shared" si="84"/>
        <v/>
      </c>
    </row>
    <row r="318" spans="1:36" x14ac:dyDescent="0.25">
      <c r="A318" s="57">
        <v>298</v>
      </c>
      <c r="B318" s="690"/>
      <c r="C318" s="690"/>
      <c r="D318" s="252">
        <f>(IFERROR(SUMIF('מצבת והרשמה (2)'!$F$21:$F$501,'דוח ביצוע (3)'!$B318,'מצבת והרשמה (2)'!$J$21:$J$501),0))</f>
        <v>0</v>
      </c>
      <c r="E318" s="252">
        <f>IFERROR(SUMIF('מצבת והרשמה (2)'!$F$21:$F$501,'דוח ביצוע (3)'!$B318,'מצבת והרשמה (2)'!$K$21:$K$501),0)</f>
        <v>0</v>
      </c>
      <c r="F318" s="253">
        <f t="shared" si="85"/>
        <v>0</v>
      </c>
      <c r="G318" s="680"/>
      <c r="H318" s="680"/>
      <c r="I318" s="253">
        <f t="shared" si="78"/>
        <v>0</v>
      </c>
      <c r="J318" s="453">
        <f t="shared" si="86"/>
        <v>0</v>
      </c>
      <c r="K318" s="689"/>
      <c r="L318" s="689"/>
      <c r="M318" s="969">
        <f t="shared" si="87"/>
        <v>0</v>
      </c>
      <c r="N318" s="1029" t="str">
        <f t="shared" si="88"/>
        <v/>
      </c>
      <c r="O318" s="969" t="str">
        <f>IFERROR(VLOOKUP(B318,'נתוני רישום ומצבת'!B:Q,16,0),"")</f>
        <v/>
      </c>
      <c r="P318" s="969" t="str">
        <f>IFERROR(VLOOKUP(B318,'נתוני רישום ומצבת'!B:R,17,0),"")</f>
        <v/>
      </c>
      <c r="Q318" s="690"/>
      <c r="R318" s="1009"/>
      <c r="S318" s="376">
        <f t="shared" si="89"/>
        <v>0</v>
      </c>
      <c r="T318" s="376">
        <f t="shared" si="90"/>
        <v>0</v>
      </c>
      <c r="U318" s="386">
        <f t="shared" si="91"/>
        <v>0</v>
      </c>
      <c r="V318" s="513" t="str">
        <f t="shared" si="92"/>
        <v/>
      </c>
      <c r="W318" s="254" t="str">
        <f>IF(ISBLANK(B318)," ",IF(B318=IFERROR(VLOOKUP(B318,'מצבת והרשמה (2)'!F:F,1,0),0),"תקין","לא קיים במצבת כבית ספר בו מתקיימת פעילות"))</f>
        <v xml:space="preserve"> </v>
      </c>
      <c r="X318" s="256" t="str">
        <f t="shared" si="79"/>
        <v/>
      </c>
      <c r="Y318" s="256" t="str">
        <f t="shared" si="80"/>
        <v/>
      </c>
      <c r="Z318" s="741">
        <f t="shared" si="81"/>
        <v>0</v>
      </c>
      <c r="AA318" s="741">
        <f t="shared" si="82"/>
        <v>0</v>
      </c>
      <c r="AB318" s="741">
        <f t="shared" si="83"/>
        <v>0</v>
      </c>
      <c r="AC318" s="987">
        <f t="shared" si="93"/>
        <v>0</v>
      </c>
      <c r="AD318" s="987">
        <f t="shared" si="94"/>
        <v>0</v>
      </c>
      <c r="AE318" s="368" t="str">
        <f>IFERROR(VLOOKUP(B318,'[1]סיכום בקרת רשויות'!$A:$D,4,0),"")</f>
        <v/>
      </c>
      <c r="AF318" s="57" t="str">
        <f t="shared" si="95"/>
        <v/>
      </c>
      <c r="AG318" s="180">
        <f>IF(AF318="כן",M318*'גנים ובתי ספר- מבנה תקציב'!$H$59,0)</f>
        <v>0</v>
      </c>
      <c r="AH318" s="180">
        <f>IF(AF318="כן",M318*'גנים ובתי ספר- מבנה תקציב'!$I$59,0)</f>
        <v>0</v>
      </c>
      <c r="AI318" s="180">
        <f t="shared" si="96"/>
        <v>0</v>
      </c>
      <c r="AJ318" s="368" t="str">
        <f t="shared" si="84"/>
        <v/>
      </c>
    </row>
    <row r="319" spans="1:36" x14ac:dyDescent="0.25">
      <c r="A319" s="57">
        <v>299</v>
      </c>
      <c r="B319" s="690"/>
      <c r="C319" s="690"/>
      <c r="D319" s="252">
        <f>(IFERROR(SUMIF('מצבת והרשמה (2)'!$F$21:$F$501,'דוח ביצוע (3)'!$B319,'מצבת והרשמה (2)'!$J$21:$J$501),0))</f>
        <v>0</v>
      </c>
      <c r="E319" s="252">
        <f>IFERROR(SUMIF('מצבת והרשמה (2)'!$F$21:$F$501,'דוח ביצוע (3)'!$B319,'מצבת והרשמה (2)'!$K$21:$K$501),0)</f>
        <v>0</v>
      </c>
      <c r="F319" s="253">
        <f t="shared" si="85"/>
        <v>0</v>
      </c>
      <c r="G319" s="680"/>
      <c r="H319" s="680"/>
      <c r="I319" s="253">
        <f t="shared" si="78"/>
        <v>0</v>
      </c>
      <c r="J319" s="453">
        <f t="shared" si="86"/>
        <v>0</v>
      </c>
      <c r="K319" s="689"/>
      <c r="L319" s="689"/>
      <c r="M319" s="969">
        <f t="shared" si="87"/>
        <v>0</v>
      </c>
      <c r="N319" s="1029" t="str">
        <f t="shared" si="88"/>
        <v/>
      </c>
      <c r="O319" s="969" t="str">
        <f>IFERROR(VLOOKUP(B319,'נתוני רישום ומצבת'!B:Q,16,0),"")</f>
        <v/>
      </c>
      <c r="P319" s="969" t="str">
        <f>IFERROR(VLOOKUP(B319,'נתוני רישום ומצבת'!B:R,17,0),"")</f>
        <v/>
      </c>
      <c r="Q319" s="690"/>
      <c r="R319" s="1009"/>
      <c r="S319" s="376">
        <f t="shared" si="89"/>
        <v>0</v>
      </c>
      <c r="T319" s="376">
        <f t="shared" si="90"/>
        <v>0</v>
      </c>
      <c r="U319" s="386">
        <f t="shared" si="91"/>
        <v>0</v>
      </c>
      <c r="V319" s="513" t="str">
        <f t="shared" si="92"/>
        <v/>
      </c>
      <c r="W319" s="254" t="str">
        <f>IF(ISBLANK(B319)," ",IF(B319=IFERROR(VLOOKUP(B319,'מצבת והרשמה (2)'!F:F,1,0),0),"תקין","לא קיים במצבת כבית ספר בו מתקיימת פעילות"))</f>
        <v xml:space="preserve"> </v>
      </c>
      <c r="X319" s="256" t="str">
        <f t="shared" si="79"/>
        <v/>
      </c>
      <c r="Y319" s="256" t="str">
        <f t="shared" si="80"/>
        <v/>
      </c>
      <c r="Z319" s="741">
        <f t="shared" si="81"/>
        <v>0</v>
      </c>
      <c r="AA319" s="741">
        <f t="shared" si="82"/>
        <v>0</v>
      </c>
      <c r="AB319" s="741">
        <f t="shared" si="83"/>
        <v>0</v>
      </c>
      <c r="AC319" s="987">
        <f t="shared" si="93"/>
        <v>0</v>
      </c>
      <c r="AD319" s="987">
        <f t="shared" si="94"/>
        <v>0</v>
      </c>
      <c r="AE319" s="368" t="str">
        <f>IFERROR(VLOOKUP(B319,'[1]סיכום בקרת רשויות'!$A:$D,4,0),"")</f>
        <v/>
      </c>
      <c r="AF319" s="57" t="str">
        <f t="shared" si="95"/>
        <v/>
      </c>
      <c r="AG319" s="180">
        <f>IF(AF319="כן",M319*'גנים ובתי ספר- מבנה תקציב'!$H$59,0)</f>
        <v>0</v>
      </c>
      <c r="AH319" s="180">
        <f>IF(AF319="כן",M319*'גנים ובתי ספר- מבנה תקציב'!$I$59,0)</f>
        <v>0</v>
      </c>
      <c r="AI319" s="180">
        <f t="shared" si="96"/>
        <v>0</v>
      </c>
      <c r="AJ319" s="368" t="str">
        <f t="shared" si="84"/>
        <v/>
      </c>
    </row>
    <row r="320" spans="1:36" x14ac:dyDescent="0.25">
      <c r="A320" s="57">
        <v>300</v>
      </c>
      <c r="B320" s="690"/>
      <c r="C320" s="690"/>
      <c r="D320" s="252">
        <f>(IFERROR(SUMIF('מצבת והרשמה (2)'!$F$21:$F$501,'דוח ביצוע (3)'!$B320,'מצבת והרשמה (2)'!$J$21:$J$501),0))</f>
        <v>0</v>
      </c>
      <c r="E320" s="252">
        <f>IFERROR(SUMIF('מצבת והרשמה (2)'!$F$21:$F$501,'דוח ביצוע (3)'!$B320,'מצבת והרשמה (2)'!$K$21:$K$501),0)</f>
        <v>0</v>
      </c>
      <c r="F320" s="253">
        <f t="shared" si="85"/>
        <v>0</v>
      </c>
      <c r="G320" s="680"/>
      <c r="H320" s="680"/>
      <c r="I320" s="253">
        <f t="shared" si="78"/>
        <v>0</v>
      </c>
      <c r="J320" s="453">
        <f t="shared" si="86"/>
        <v>0</v>
      </c>
      <c r="K320" s="689"/>
      <c r="L320" s="689"/>
      <c r="M320" s="969">
        <f t="shared" si="87"/>
        <v>0</v>
      </c>
      <c r="N320" s="1029" t="str">
        <f t="shared" si="88"/>
        <v/>
      </c>
      <c r="O320" s="969" t="str">
        <f>IFERROR(VLOOKUP(B320,'נתוני רישום ומצבת'!B:Q,16,0),"")</f>
        <v/>
      </c>
      <c r="P320" s="969" t="str">
        <f>IFERROR(VLOOKUP(B320,'נתוני רישום ומצבת'!B:R,17,0),"")</f>
        <v/>
      </c>
      <c r="Q320" s="690"/>
      <c r="R320" s="1009"/>
      <c r="S320" s="376">
        <f t="shared" si="89"/>
        <v>0</v>
      </c>
      <c r="T320" s="376">
        <f t="shared" si="90"/>
        <v>0</v>
      </c>
      <c r="U320" s="386">
        <f t="shared" si="91"/>
        <v>0</v>
      </c>
      <c r="V320" s="513" t="str">
        <f t="shared" si="92"/>
        <v/>
      </c>
      <c r="W320" s="254" t="str">
        <f>IF(ISBLANK(B320)," ",IF(B320=IFERROR(VLOOKUP(B320,'מצבת והרשמה (2)'!F:F,1,0),0),"תקין","לא קיים במצבת כבית ספר בו מתקיימת פעילות"))</f>
        <v xml:space="preserve"> </v>
      </c>
      <c r="X320" s="256" t="str">
        <f t="shared" si="79"/>
        <v/>
      </c>
      <c r="Y320" s="256" t="str">
        <f t="shared" si="80"/>
        <v/>
      </c>
      <c r="Z320" s="741">
        <f t="shared" si="81"/>
        <v>0</v>
      </c>
      <c r="AA320" s="741">
        <f t="shared" si="82"/>
        <v>0</v>
      </c>
      <c r="AB320" s="741">
        <f t="shared" si="83"/>
        <v>0</v>
      </c>
      <c r="AC320" s="987">
        <f t="shared" si="93"/>
        <v>0</v>
      </c>
      <c r="AD320" s="987">
        <f t="shared" si="94"/>
        <v>0</v>
      </c>
      <c r="AE320" s="368" t="str">
        <f>IFERROR(VLOOKUP(B320,'[1]סיכום בקרת רשויות'!$A:$D,4,0),"")</f>
        <v/>
      </c>
      <c r="AF320" s="57" t="str">
        <f t="shared" si="95"/>
        <v/>
      </c>
      <c r="AG320" s="180">
        <f>IF(AF320="כן",M320*'גנים ובתי ספר- מבנה תקציב'!$H$59,0)</f>
        <v>0</v>
      </c>
      <c r="AH320" s="180">
        <f>IF(AF320="כן",M320*'גנים ובתי ספר- מבנה תקציב'!$I$59,0)</f>
        <v>0</v>
      </c>
      <c r="AI320" s="180">
        <f t="shared" si="96"/>
        <v>0</v>
      </c>
      <c r="AJ320" s="368" t="str">
        <f t="shared" si="84"/>
        <v/>
      </c>
    </row>
    <row r="321" spans="1:36" x14ac:dyDescent="0.25">
      <c r="A321" s="57">
        <v>301</v>
      </c>
      <c r="B321" s="690"/>
      <c r="C321" s="690"/>
      <c r="D321" s="252">
        <f>(IFERROR(SUMIF('מצבת והרשמה (2)'!$F$21:$F$501,'דוח ביצוע (3)'!$B321,'מצבת והרשמה (2)'!$J$21:$J$501),0))</f>
        <v>0</v>
      </c>
      <c r="E321" s="252">
        <f>IFERROR(SUMIF('מצבת והרשמה (2)'!$F$21:$F$501,'דוח ביצוע (3)'!$B321,'מצבת והרשמה (2)'!$K$21:$K$501),0)</f>
        <v>0</v>
      </c>
      <c r="F321" s="253">
        <f t="shared" si="85"/>
        <v>0</v>
      </c>
      <c r="G321" s="680"/>
      <c r="H321" s="680"/>
      <c r="I321" s="253">
        <f t="shared" si="78"/>
        <v>0</v>
      </c>
      <c r="J321" s="453">
        <f t="shared" si="86"/>
        <v>0</v>
      </c>
      <c r="K321" s="689"/>
      <c r="L321" s="689"/>
      <c r="M321" s="969">
        <f t="shared" si="87"/>
        <v>0</v>
      </c>
      <c r="N321" s="1029" t="str">
        <f t="shared" si="88"/>
        <v/>
      </c>
      <c r="O321" s="969" t="str">
        <f>IFERROR(VLOOKUP(B321,'נתוני רישום ומצבת'!B:Q,16,0),"")</f>
        <v/>
      </c>
      <c r="P321" s="969" t="str">
        <f>IFERROR(VLOOKUP(B321,'נתוני רישום ומצבת'!B:R,17,0),"")</f>
        <v/>
      </c>
      <c r="Q321" s="690"/>
      <c r="R321" s="1009"/>
      <c r="S321" s="376">
        <f t="shared" si="89"/>
        <v>0</v>
      </c>
      <c r="T321" s="376">
        <f t="shared" si="90"/>
        <v>0</v>
      </c>
      <c r="U321" s="386">
        <f t="shared" si="91"/>
        <v>0</v>
      </c>
      <c r="V321" s="513" t="str">
        <f t="shared" si="92"/>
        <v/>
      </c>
      <c r="W321" s="254" t="str">
        <f>IF(ISBLANK(B321)," ",IF(B321=IFERROR(VLOOKUP(B321,'מצבת והרשמה (2)'!F:F,1,0),0),"תקין","לא קיים במצבת כבית ספר בו מתקיימת פעילות"))</f>
        <v xml:space="preserve"> </v>
      </c>
      <c r="X321" s="256" t="str">
        <f t="shared" si="79"/>
        <v/>
      </c>
      <c r="Y321" s="256" t="str">
        <f t="shared" si="80"/>
        <v/>
      </c>
      <c r="Z321" s="741">
        <f t="shared" si="81"/>
        <v>0</v>
      </c>
      <c r="AA321" s="741">
        <f t="shared" si="82"/>
        <v>0</v>
      </c>
      <c r="AB321" s="741">
        <f t="shared" si="83"/>
        <v>0</v>
      </c>
      <c r="AC321" s="987">
        <f t="shared" si="93"/>
        <v>0</v>
      </c>
      <c r="AD321" s="987">
        <f t="shared" si="94"/>
        <v>0</v>
      </c>
      <c r="AE321" s="368" t="str">
        <f>IFERROR(VLOOKUP(B321,'[1]סיכום בקרת רשויות'!$A:$D,4,0),"")</f>
        <v/>
      </c>
      <c r="AF321" s="57" t="str">
        <f t="shared" si="95"/>
        <v/>
      </c>
      <c r="AG321" s="180">
        <f>IF(AF321="כן",M321*'גנים ובתי ספר- מבנה תקציב'!$H$59,0)</f>
        <v>0</v>
      </c>
      <c r="AH321" s="180">
        <f>IF(AF321="כן",M321*'גנים ובתי ספר- מבנה תקציב'!$I$59,0)</f>
        <v>0</v>
      </c>
      <c r="AI321" s="180">
        <f t="shared" si="96"/>
        <v>0</v>
      </c>
      <c r="AJ321" s="368" t="str">
        <f t="shared" si="84"/>
        <v/>
      </c>
    </row>
    <row r="322" spans="1:36" x14ac:dyDescent="0.25">
      <c r="A322" s="57">
        <v>302</v>
      </c>
      <c r="B322" s="690"/>
      <c r="C322" s="690"/>
      <c r="D322" s="252">
        <f>(IFERROR(SUMIF('מצבת והרשמה (2)'!$F$21:$F$501,'דוח ביצוע (3)'!$B322,'מצבת והרשמה (2)'!$J$21:$J$501),0))</f>
        <v>0</v>
      </c>
      <c r="E322" s="252">
        <f>IFERROR(SUMIF('מצבת והרשמה (2)'!$F$21:$F$501,'דוח ביצוע (3)'!$B322,'מצבת והרשמה (2)'!$K$21:$K$501),0)</f>
        <v>0</v>
      </c>
      <c r="F322" s="253">
        <f t="shared" si="85"/>
        <v>0</v>
      </c>
      <c r="G322" s="680"/>
      <c r="H322" s="680"/>
      <c r="I322" s="253">
        <f t="shared" si="78"/>
        <v>0</v>
      </c>
      <c r="J322" s="453">
        <f t="shared" si="86"/>
        <v>0</v>
      </c>
      <c r="K322" s="689"/>
      <c r="L322" s="689"/>
      <c r="M322" s="969">
        <f t="shared" si="87"/>
        <v>0</v>
      </c>
      <c r="N322" s="1029" t="str">
        <f t="shared" si="88"/>
        <v/>
      </c>
      <c r="O322" s="969" t="str">
        <f>IFERROR(VLOOKUP(B322,'נתוני רישום ומצבת'!B:Q,16,0),"")</f>
        <v/>
      </c>
      <c r="P322" s="969" t="str">
        <f>IFERROR(VLOOKUP(B322,'נתוני רישום ומצבת'!B:R,17,0),"")</f>
        <v/>
      </c>
      <c r="Q322" s="690"/>
      <c r="R322" s="1009"/>
      <c r="S322" s="376">
        <f t="shared" si="89"/>
        <v>0</v>
      </c>
      <c r="T322" s="376">
        <f t="shared" si="90"/>
        <v>0</v>
      </c>
      <c r="U322" s="386">
        <f t="shared" si="91"/>
        <v>0</v>
      </c>
      <c r="V322" s="513" t="str">
        <f t="shared" si="92"/>
        <v/>
      </c>
      <c r="W322" s="254" t="str">
        <f>IF(ISBLANK(B322)," ",IF(B322=IFERROR(VLOOKUP(B322,'מצבת והרשמה (2)'!F:F,1,0),0),"תקין","לא קיים במצבת כבית ספר בו מתקיימת פעילות"))</f>
        <v xml:space="preserve"> </v>
      </c>
      <c r="X322" s="256" t="str">
        <f t="shared" si="79"/>
        <v/>
      </c>
      <c r="Y322" s="256" t="str">
        <f t="shared" si="80"/>
        <v/>
      </c>
      <c r="Z322" s="741">
        <f t="shared" si="81"/>
        <v>0</v>
      </c>
      <c r="AA322" s="741">
        <f t="shared" si="82"/>
        <v>0</v>
      </c>
      <c r="AB322" s="741">
        <f t="shared" si="83"/>
        <v>0</v>
      </c>
      <c r="AC322" s="987">
        <f t="shared" si="93"/>
        <v>0</v>
      </c>
      <c r="AD322" s="987">
        <f t="shared" si="94"/>
        <v>0</v>
      </c>
      <c r="AE322" s="368" t="str">
        <f>IFERROR(VLOOKUP(B322,'[1]סיכום בקרת רשויות'!$A:$D,4,0),"")</f>
        <v/>
      </c>
      <c r="AF322" s="57" t="str">
        <f t="shared" si="95"/>
        <v/>
      </c>
      <c r="AG322" s="180">
        <f>IF(AF322="כן",M322*'גנים ובתי ספר- מבנה תקציב'!$H$59,0)</f>
        <v>0</v>
      </c>
      <c r="AH322" s="180">
        <f>IF(AF322="כן",M322*'גנים ובתי ספר- מבנה תקציב'!$I$59,0)</f>
        <v>0</v>
      </c>
      <c r="AI322" s="180">
        <f t="shared" si="96"/>
        <v>0</v>
      </c>
      <c r="AJ322" s="368" t="str">
        <f t="shared" si="84"/>
        <v/>
      </c>
    </row>
    <row r="323" spans="1:36" x14ac:dyDescent="0.25">
      <c r="A323" s="57">
        <v>303</v>
      </c>
      <c r="B323" s="690"/>
      <c r="C323" s="690"/>
      <c r="D323" s="252">
        <f>(IFERROR(SUMIF('מצבת והרשמה (2)'!$F$21:$F$501,'דוח ביצוע (3)'!$B323,'מצבת והרשמה (2)'!$J$21:$J$501),0))</f>
        <v>0</v>
      </c>
      <c r="E323" s="252">
        <f>IFERROR(SUMIF('מצבת והרשמה (2)'!$F$21:$F$501,'דוח ביצוע (3)'!$B323,'מצבת והרשמה (2)'!$K$21:$K$501),0)</f>
        <v>0</v>
      </c>
      <c r="F323" s="253">
        <f t="shared" si="85"/>
        <v>0</v>
      </c>
      <c r="G323" s="680"/>
      <c r="H323" s="680"/>
      <c r="I323" s="253">
        <f t="shared" si="78"/>
        <v>0</v>
      </c>
      <c r="J323" s="453">
        <f t="shared" si="86"/>
        <v>0</v>
      </c>
      <c r="K323" s="689"/>
      <c r="L323" s="689"/>
      <c r="M323" s="969">
        <f t="shared" si="87"/>
        <v>0</v>
      </c>
      <c r="N323" s="1029" t="str">
        <f t="shared" si="88"/>
        <v/>
      </c>
      <c r="O323" s="969" t="str">
        <f>IFERROR(VLOOKUP(B323,'נתוני רישום ומצבת'!B:Q,16,0),"")</f>
        <v/>
      </c>
      <c r="P323" s="969" t="str">
        <f>IFERROR(VLOOKUP(B323,'נתוני רישום ומצבת'!B:R,17,0),"")</f>
        <v/>
      </c>
      <c r="Q323" s="690"/>
      <c r="R323" s="1009"/>
      <c r="S323" s="376">
        <f t="shared" si="89"/>
        <v>0</v>
      </c>
      <c r="T323" s="376">
        <f t="shared" si="90"/>
        <v>0</v>
      </c>
      <c r="U323" s="386">
        <f t="shared" si="91"/>
        <v>0</v>
      </c>
      <c r="V323" s="513" t="str">
        <f t="shared" si="92"/>
        <v/>
      </c>
      <c r="W323" s="254" t="str">
        <f>IF(ISBLANK(B323)," ",IF(B323=IFERROR(VLOOKUP(B323,'מצבת והרשמה (2)'!F:F,1,0),0),"תקין","לא קיים במצבת כבית ספר בו מתקיימת פעילות"))</f>
        <v xml:space="preserve"> </v>
      </c>
      <c r="X323" s="256" t="str">
        <f t="shared" si="79"/>
        <v/>
      </c>
      <c r="Y323" s="256" t="str">
        <f t="shared" si="80"/>
        <v/>
      </c>
      <c r="Z323" s="741">
        <f t="shared" si="81"/>
        <v>0</v>
      </c>
      <c r="AA323" s="741">
        <f t="shared" si="82"/>
        <v>0</v>
      </c>
      <c r="AB323" s="741">
        <f t="shared" si="83"/>
        <v>0</v>
      </c>
      <c r="AC323" s="987">
        <f t="shared" si="93"/>
        <v>0</v>
      </c>
      <c r="AD323" s="987">
        <f t="shared" si="94"/>
        <v>0</v>
      </c>
      <c r="AE323" s="368" t="str">
        <f>IFERROR(VLOOKUP(B323,'[1]סיכום בקרת רשויות'!$A:$D,4,0),"")</f>
        <v/>
      </c>
      <c r="AF323" s="57" t="str">
        <f t="shared" si="95"/>
        <v/>
      </c>
      <c r="AG323" s="180">
        <f>IF(AF323="כן",M323*'גנים ובתי ספר- מבנה תקציב'!$H$59,0)</f>
        <v>0</v>
      </c>
      <c r="AH323" s="180">
        <f>IF(AF323="כן",M323*'גנים ובתי ספר- מבנה תקציב'!$I$59,0)</f>
        <v>0</v>
      </c>
      <c r="AI323" s="180">
        <f t="shared" si="96"/>
        <v>0</v>
      </c>
      <c r="AJ323" s="368" t="str">
        <f t="shared" si="84"/>
        <v/>
      </c>
    </row>
    <row r="324" spans="1:36" x14ac:dyDescent="0.25">
      <c r="A324" s="57">
        <v>304</v>
      </c>
      <c r="B324" s="690"/>
      <c r="C324" s="690"/>
      <c r="D324" s="252">
        <f>(IFERROR(SUMIF('מצבת והרשמה (2)'!$F$21:$F$501,'דוח ביצוע (3)'!$B324,'מצבת והרשמה (2)'!$J$21:$J$501),0))</f>
        <v>0</v>
      </c>
      <c r="E324" s="252">
        <f>IFERROR(SUMIF('מצבת והרשמה (2)'!$F$21:$F$501,'דוח ביצוע (3)'!$B324,'מצבת והרשמה (2)'!$K$21:$K$501),0)</f>
        <v>0</v>
      </c>
      <c r="F324" s="253">
        <f t="shared" si="85"/>
        <v>0</v>
      </c>
      <c r="G324" s="680"/>
      <c r="H324" s="680"/>
      <c r="I324" s="253">
        <f t="shared" si="78"/>
        <v>0</v>
      </c>
      <c r="J324" s="453">
        <f t="shared" si="86"/>
        <v>0</v>
      </c>
      <c r="K324" s="689"/>
      <c r="L324" s="689"/>
      <c r="M324" s="969">
        <f t="shared" si="87"/>
        <v>0</v>
      </c>
      <c r="N324" s="1029" t="str">
        <f t="shared" si="88"/>
        <v/>
      </c>
      <c r="O324" s="969" t="str">
        <f>IFERROR(VLOOKUP(B324,'נתוני רישום ומצבת'!B:Q,16,0),"")</f>
        <v/>
      </c>
      <c r="P324" s="969" t="str">
        <f>IFERROR(VLOOKUP(B324,'נתוני רישום ומצבת'!B:R,17,0),"")</f>
        <v/>
      </c>
      <c r="Q324" s="690"/>
      <c r="R324" s="1009"/>
      <c r="S324" s="376">
        <f t="shared" si="89"/>
        <v>0</v>
      </c>
      <c r="T324" s="376">
        <f t="shared" si="90"/>
        <v>0</v>
      </c>
      <c r="U324" s="386">
        <f t="shared" si="91"/>
        <v>0</v>
      </c>
      <c r="V324" s="513" t="str">
        <f t="shared" si="92"/>
        <v/>
      </c>
      <c r="W324" s="254" t="str">
        <f>IF(ISBLANK(B324)," ",IF(B324=IFERROR(VLOOKUP(B324,'מצבת והרשמה (2)'!F:F,1,0),0),"תקין","לא קיים במצבת כבית ספר בו מתקיימת פעילות"))</f>
        <v xml:space="preserve"> </v>
      </c>
      <c r="X324" s="256" t="str">
        <f t="shared" si="79"/>
        <v/>
      </c>
      <c r="Y324" s="256" t="str">
        <f t="shared" si="80"/>
        <v/>
      </c>
      <c r="Z324" s="741">
        <f t="shared" si="81"/>
        <v>0</v>
      </c>
      <c r="AA324" s="741">
        <f t="shared" si="82"/>
        <v>0</v>
      </c>
      <c r="AB324" s="741">
        <f t="shared" si="83"/>
        <v>0</v>
      </c>
      <c r="AC324" s="987">
        <f t="shared" si="93"/>
        <v>0</v>
      </c>
      <c r="AD324" s="987">
        <f t="shared" si="94"/>
        <v>0</v>
      </c>
      <c r="AE324" s="368" t="str">
        <f>IFERROR(VLOOKUP(B324,'[1]סיכום בקרת רשויות'!$A:$D,4,0),"")</f>
        <v/>
      </c>
      <c r="AF324" s="57" t="str">
        <f t="shared" si="95"/>
        <v/>
      </c>
      <c r="AG324" s="180">
        <f>IF(AF324="כן",M324*'גנים ובתי ספר- מבנה תקציב'!$H$59,0)</f>
        <v>0</v>
      </c>
      <c r="AH324" s="180">
        <f>IF(AF324="כן",M324*'גנים ובתי ספר- מבנה תקציב'!$I$59,0)</f>
        <v>0</v>
      </c>
      <c r="AI324" s="180">
        <f t="shared" si="96"/>
        <v>0</v>
      </c>
      <c r="AJ324" s="368" t="str">
        <f t="shared" si="84"/>
        <v/>
      </c>
    </row>
    <row r="325" spans="1:36" x14ac:dyDescent="0.25">
      <c r="A325" s="57">
        <v>305</v>
      </c>
      <c r="B325" s="690"/>
      <c r="C325" s="690"/>
      <c r="D325" s="252">
        <f>(IFERROR(SUMIF('מצבת והרשמה (2)'!$F$21:$F$501,'דוח ביצוע (3)'!$B325,'מצבת והרשמה (2)'!$J$21:$J$501),0))</f>
        <v>0</v>
      </c>
      <c r="E325" s="252">
        <f>IFERROR(SUMIF('מצבת והרשמה (2)'!$F$21:$F$501,'דוח ביצוע (3)'!$B325,'מצבת והרשמה (2)'!$K$21:$K$501),0)</f>
        <v>0</v>
      </c>
      <c r="F325" s="253">
        <f t="shared" si="85"/>
        <v>0</v>
      </c>
      <c r="G325" s="680"/>
      <c r="H325" s="680"/>
      <c r="I325" s="253">
        <f t="shared" si="78"/>
        <v>0</v>
      </c>
      <c r="J325" s="453">
        <f t="shared" si="86"/>
        <v>0</v>
      </c>
      <c r="K325" s="689"/>
      <c r="L325" s="689"/>
      <c r="M325" s="969">
        <f t="shared" si="87"/>
        <v>0</v>
      </c>
      <c r="N325" s="1029" t="str">
        <f t="shared" si="88"/>
        <v/>
      </c>
      <c r="O325" s="969" t="str">
        <f>IFERROR(VLOOKUP(B325,'נתוני רישום ומצבת'!B:Q,16,0),"")</f>
        <v/>
      </c>
      <c r="P325" s="969" t="str">
        <f>IFERROR(VLOOKUP(B325,'נתוני רישום ומצבת'!B:R,17,0),"")</f>
        <v/>
      </c>
      <c r="Q325" s="690"/>
      <c r="R325" s="1009"/>
      <c r="S325" s="376">
        <f t="shared" si="89"/>
        <v>0</v>
      </c>
      <c r="T325" s="376">
        <f t="shared" si="90"/>
        <v>0</v>
      </c>
      <c r="U325" s="386">
        <f t="shared" si="91"/>
        <v>0</v>
      </c>
      <c r="V325" s="513" t="str">
        <f t="shared" si="92"/>
        <v/>
      </c>
      <c r="W325" s="254" t="str">
        <f>IF(ISBLANK(B325)," ",IF(B325=IFERROR(VLOOKUP(B325,'מצבת והרשמה (2)'!F:F,1,0),0),"תקין","לא קיים במצבת כבית ספר בו מתקיימת פעילות"))</f>
        <v xml:space="preserve"> </v>
      </c>
      <c r="X325" s="256" t="str">
        <f t="shared" si="79"/>
        <v/>
      </c>
      <c r="Y325" s="256" t="str">
        <f t="shared" si="80"/>
        <v/>
      </c>
      <c r="Z325" s="741">
        <f t="shared" si="81"/>
        <v>0</v>
      </c>
      <c r="AA325" s="741">
        <f t="shared" si="82"/>
        <v>0</v>
      </c>
      <c r="AB325" s="741">
        <f t="shared" si="83"/>
        <v>0</v>
      </c>
      <c r="AC325" s="987">
        <f t="shared" si="93"/>
        <v>0</v>
      </c>
      <c r="AD325" s="987">
        <f t="shared" si="94"/>
        <v>0</v>
      </c>
      <c r="AE325" s="368" t="str">
        <f>IFERROR(VLOOKUP(B325,'[1]סיכום בקרת רשויות'!$A:$D,4,0),"")</f>
        <v/>
      </c>
      <c r="AF325" s="57" t="str">
        <f t="shared" si="95"/>
        <v/>
      </c>
      <c r="AG325" s="180">
        <f>IF(AF325="כן",M325*'גנים ובתי ספר- מבנה תקציב'!$H$59,0)</f>
        <v>0</v>
      </c>
      <c r="AH325" s="180">
        <f>IF(AF325="כן",M325*'גנים ובתי ספר- מבנה תקציב'!$I$59,0)</f>
        <v>0</v>
      </c>
      <c r="AI325" s="180">
        <f t="shared" si="96"/>
        <v>0</v>
      </c>
      <c r="AJ325" s="368" t="str">
        <f t="shared" si="84"/>
        <v/>
      </c>
    </row>
    <row r="326" spans="1:36" x14ac:dyDescent="0.25">
      <c r="A326" s="57">
        <v>306</v>
      </c>
      <c r="B326" s="690"/>
      <c r="C326" s="690"/>
      <c r="D326" s="252">
        <f>(IFERROR(SUMIF('מצבת והרשמה (2)'!$F$21:$F$501,'דוח ביצוע (3)'!$B326,'מצבת והרשמה (2)'!$J$21:$J$501),0))</f>
        <v>0</v>
      </c>
      <c r="E326" s="252">
        <f>IFERROR(SUMIF('מצבת והרשמה (2)'!$F$21:$F$501,'דוח ביצוע (3)'!$B326,'מצבת והרשמה (2)'!$K$21:$K$501),0)</f>
        <v>0</v>
      </c>
      <c r="F326" s="253">
        <f t="shared" si="85"/>
        <v>0</v>
      </c>
      <c r="G326" s="680"/>
      <c r="H326" s="680"/>
      <c r="I326" s="253">
        <f t="shared" si="78"/>
        <v>0</v>
      </c>
      <c r="J326" s="453">
        <f t="shared" si="86"/>
        <v>0</v>
      </c>
      <c r="K326" s="689"/>
      <c r="L326" s="689"/>
      <c r="M326" s="969">
        <f t="shared" si="87"/>
        <v>0</v>
      </c>
      <c r="N326" s="1029" t="str">
        <f t="shared" si="88"/>
        <v/>
      </c>
      <c r="O326" s="969" t="str">
        <f>IFERROR(VLOOKUP(B326,'נתוני רישום ומצבת'!B:Q,16,0),"")</f>
        <v/>
      </c>
      <c r="P326" s="969" t="str">
        <f>IFERROR(VLOOKUP(B326,'נתוני רישום ומצבת'!B:R,17,0),"")</f>
        <v/>
      </c>
      <c r="Q326" s="690"/>
      <c r="R326" s="1009"/>
      <c r="S326" s="376">
        <f t="shared" si="89"/>
        <v>0</v>
      </c>
      <c r="T326" s="376">
        <f t="shared" si="90"/>
        <v>0</v>
      </c>
      <c r="U326" s="386">
        <f t="shared" si="91"/>
        <v>0</v>
      </c>
      <c r="V326" s="513" t="str">
        <f t="shared" si="92"/>
        <v/>
      </c>
      <c r="W326" s="254" t="str">
        <f>IF(ISBLANK(B326)," ",IF(B326=IFERROR(VLOOKUP(B326,'מצבת והרשמה (2)'!F:F,1,0),0),"תקין","לא קיים במצבת כבית ספר בו מתקיימת פעילות"))</f>
        <v xml:space="preserve"> </v>
      </c>
      <c r="X326" s="256" t="str">
        <f t="shared" si="79"/>
        <v/>
      </c>
      <c r="Y326" s="256" t="str">
        <f t="shared" si="80"/>
        <v/>
      </c>
      <c r="Z326" s="741">
        <f t="shared" si="81"/>
        <v>0</v>
      </c>
      <c r="AA326" s="741">
        <f t="shared" si="82"/>
        <v>0</v>
      </c>
      <c r="AB326" s="741">
        <f t="shared" si="83"/>
        <v>0</v>
      </c>
      <c r="AC326" s="987">
        <f t="shared" si="93"/>
        <v>0</v>
      </c>
      <c r="AD326" s="987">
        <f t="shared" si="94"/>
        <v>0</v>
      </c>
      <c r="AE326" s="368" t="str">
        <f>IFERROR(VLOOKUP(B326,'[1]סיכום בקרת רשויות'!$A:$D,4,0),"")</f>
        <v/>
      </c>
      <c r="AF326" s="57" t="str">
        <f t="shared" si="95"/>
        <v/>
      </c>
      <c r="AG326" s="180">
        <f>IF(AF326="כן",M326*'גנים ובתי ספר- מבנה תקציב'!$H$59,0)</f>
        <v>0</v>
      </c>
      <c r="AH326" s="180">
        <f>IF(AF326="כן",M326*'גנים ובתי ספר- מבנה תקציב'!$I$59,0)</f>
        <v>0</v>
      </c>
      <c r="AI326" s="180">
        <f t="shared" si="96"/>
        <v>0</v>
      </c>
      <c r="AJ326" s="368" t="str">
        <f t="shared" si="84"/>
        <v/>
      </c>
    </row>
    <row r="327" spans="1:36" x14ac:dyDescent="0.25">
      <c r="A327" s="57">
        <v>307</v>
      </c>
      <c r="B327" s="690"/>
      <c r="C327" s="690"/>
      <c r="D327" s="252">
        <f>(IFERROR(SUMIF('מצבת והרשמה (2)'!$F$21:$F$501,'דוח ביצוע (3)'!$B327,'מצבת והרשמה (2)'!$J$21:$J$501),0))</f>
        <v>0</v>
      </c>
      <c r="E327" s="252">
        <f>IFERROR(SUMIF('מצבת והרשמה (2)'!$F$21:$F$501,'דוח ביצוע (3)'!$B327,'מצבת והרשמה (2)'!$K$21:$K$501),0)</f>
        <v>0</v>
      </c>
      <c r="F327" s="253">
        <f t="shared" si="85"/>
        <v>0</v>
      </c>
      <c r="G327" s="680"/>
      <c r="H327" s="680"/>
      <c r="I327" s="253">
        <f t="shared" ref="I327:I390" si="97">H327+G327</f>
        <v>0</v>
      </c>
      <c r="J327" s="453">
        <f t="shared" si="86"/>
        <v>0</v>
      </c>
      <c r="K327" s="689"/>
      <c r="L327" s="689"/>
      <c r="M327" s="969">
        <f t="shared" si="87"/>
        <v>0</v>
      </c>
      <c r="N327" s="1029" t="str">
        <f t="shared" si="88"/>
        <v/>
      </c>
      <c r="O327" s="969" t="str">
        <f>IFERROR(VLOOKUP(B327,'נתוני רישום ומצבת'!B:Q,16,0),"")</f>
        <v/>
      </c>
      <c r="P327" s="969" t="str">
        <f>IFERROR(VLOOKUP(B327,'נתוני רישום ומצבת'!B:R,17,0),"")</f>
        <v/>
      </c>
      <c r="Q327" s="690"/>
      <c r="R327" s="1009"/>
      <c r="S327" s="376">
        <f t="shared" si="89"/>
        <v>0</v>
      </c>
      <c r="T327" s="376">
        <f t="shared" si="90"/>
        <v>0</v>
      </c>
      <c r="U327" s="386">
        <f t="shared" si="91"/>
        <v>0</v>
      </c>
      <c r="V327" s="513" t="str">
        <f t="shared" si="92"/>
        <v/>
      </c>
      <c r="W327" s="254" t="str">
        <f>IF(ISBLANK(B327)," ",IF(B327=IFERROR(VLOOKUP(B327,'מצבת והרשמה (2)'!F:F,1,0),0),"תקין","לא קיים במצבת כבית ספר בו מתקיימת פעילות"))</f>
        <v xml:space="preserve"> </v>
      </c>
      <c r="X327" s="256" t="str">
        <f t="shared" si="79"/>
        <v/>
      </c>
      <c r="Y327" s="256" t="str">
        <f t="shared" si="80"/>
        <v/>
      </c>
      <c r="Z327" s="741">
        <f t="shared" si="81"/>
        <v>0</v>
      </c>
      <c r="AA327" s="741">
        <f t="shared" si="82"/>
        <v>0</v>
      </c>
      <c r="AB327" s="741">
        <f t="shared" si="83"/>
        <v>0</v>
      </c>
      <c r="AC327" s="987">
        <f t="shared" si="93"/>
        <v>0</v>
      </c>
      <c r="AD327" s="987">
        <f t="shared" si="94"/>
        <v>0</v>
      </c>
      <c r="AE327" s="368" t="str">
        <f>IFERROR(VLOOKUP(B327,'[1]סיכום בקרת רשויות'!$A:$D,4,0),"")</f>
        <v/>
      </c>
      <c r="AF327" s="57" t="str">
        <f t="shared" si="95"/>
        <v/>
      </c>
      <c r="AG327" s="180">
        <f>IF(AF327="כן",M327*'גנים ובתי ספר- מבנה תקציב'!$H$59,0)</f>
        <v>0</v>
      </c>
      <c r="AH327" s="180">
        <f>IF(AF327="כן",M327*'גנים ובתי ספר- מבנה תקציב'!$I$59,0)</f>
        <v>0</v>
      </c>
      <c r="AI327" s="180">
        <f t="shared" si="96"/>
        <v>0</v>
      </c>
      <c r="AJ327" s="368" t="str">
        <f t="shared" si="84"/>
        <v/>
      </c>
    </row>
    <row r="328" spans="1:36" x14ac:dyDescent="0.25">
      <c r="A328" s="57">
        <v>308</v>
      </c>
      <c r="B328" s="690"/>
      <c r="C328" s="690"/>
      <c r="D328" s="252">
        <f>(IFERROR(SUMIF('מצבת והרשמה (2)'!$F$21:$F$501,'דוח ביצוע (3)'!$B328,'מצבת והרשמה (2)'!$J$21:$J$501),0))</f>
        <v>0</v>
      </c>
      <c r="E328" s="252">
        <f>IFERROR(SUMIF('מצבת והרשמה (2)'!$F$21:$F$501,'דוח ביצוע (3)'!$B328,'מצבת והרשמה (2)'!$K$21:$K$501),0)</f>
        <v>0</v>
      </c>
      <c r="F328" s="253">
        <f t="shared" si="85"/>
        <v>0</v>
      </c>
      <c r="G328" s="680"/>
      <c r="H328" s="680"/>
      <c r="I328" s="253">
        <f t="shared" si="97"/>
        <v>0</v>
      </c>
      <c r="J328" s="453">
        <f t="shared" si="86"/>
        <v>0</v>
      </c>
      <c r="K328" s="689"/>
      <c r="L328" s="689"/>
      <c r="M328" s="969">
        <f t="shared" si="87"/>
        <v>0</v>
      </c>
      <c r="N328" s="1029" t="str">
        <f t="shared" si="88"/>
        <v/>
      </c>
      <c r="O328" s="969" t="str">
        <f>IFERROR(VLOOKUP(B328,'נתוני רישום ומצבת'!B:Q,16,0),"")</f>
        <v/>
      </c>
      <c r="P328" s="969" t="str">
        <f>IFERROR(VLOOKUP(B328,'נתוני רישום ומצבת'!B:R,17,0),"")</f>
        <v/>
      </c>
      <c r="Q328" s="690"/>
      <c r="R328" s="1009"/>
      <c r="S328" s="376">
        <f t="shared" si="89"/>
        <v>0</v>
      </c>
      <c r="T328" s="376">
        <f t="shared" si="90"/>
        <v>0</v>
      </c>
      <c r="U328" s="386">
        <f t="shared" si="91"/>
        <v>0</v>
      </c>
      <c r="V328" s="513" t="str">
        <f t="shared" si="92"/>
        <v/>
      </c>
      <c r="W328" s="254" t="str">
        <f>IF(ISBLANK(B328)," ",IF(B328=IFERROR(VLOOKUP(B328,'מצבת והרשמה (2)'!F:F,1,0),0),"תקין","לא קיים במצבת כבית ספר בו מתקיימת פעילות"))</f>
        <v xml:space="preserve"> </v>
      </c>
      <c r="X328" s="256" t="str">
        <f t="shared" si="79"/>
        <v/>
      </c>
      <c r="Y328" s="256" t="str">
        <f t="shared" si="80"/>
        <v/>
      </c>
      <c r="Z328" s="741">
        <f t="shared" si="81"/>
        <v>0</v>
      </c>
      <c r="AA328" s="741">
        <f t="shared" si="82"/>
        <v>0</v>
      </c>
      <c r="AB328" s="741">
        <f t="shared" si="83"/>
        <v>0</v>
      </c>
      <c r="AC328" s="987">
        <f t="shared" si="93"/>
        <v>0</v>
      </c>
      <c r="AD328" s="987">
        <f t="shared" si="94"/>
        <v>0</v>
      </c>
      <c r="AE328" s="368" t="str">
        <f>IFERROR(VLOOKUP(B328,'[1]סיכום בקרת רשויות'!$A:$D,4,0),"")</f>
        <v/>
      </c>
      <c r="AF328" s="57" t="str">
        <f t="shared" si="95"/>
        <v/>
      </c>
      <c r="AG328" s="180">
        <f>IF(AF328="כן",M328*'גנים ובתי ספר- מבנה תקציב'!$H$59,0)</f>
        <v>0</v>
      </c>
      <c r="AH328" s="180">
        <f>IF(AF328="כן",M328*'גנים ובתי ספר- מבנה תקציב'!$I$59,0)</f>
        <v>0</v>
      </c>
      <c r="AI328" s="180">
        <f t="shared" si="96"/>
        <v>0</v>
      </c>
      <c r="AJ328" s="368" t="str">
        <f t="shared" si="84"/>
        <v/>
      </c>
    </row>
    <row r="329" spans="1:36" x14ac:dyDescent="0.25">
      <c r="A329" s="57">
        <v>309</v>
      </c>
      <c r="B329" s="690"/>
      <c r="C329" s="690"/>
      <c r="D329" s="252">
        <f>(IFERROR(SUMIF('מצבת והרשמה (2)'!$F$21:$F$501,'דוח ביצוע (3)'!$B329,'מצבת והרשמה (2)'!$J$21:$J$501),0))</f>
        <v>0</v>
      </c>
      <c r="E329" s="252">
        <f>IFERROR(SUMIF('מצבת והרשמה (2)'!$F$21:$F$501,'דוח ביצוע (3)'!$B329,'מצבת והרשמה (2)'!$K$21:$K$501),0)</f>
        <v>0</v>
      </c>
      <c r="F329" s="253">
        <f t="shared" si="85"/>
        <v>0</v>
      </c>
      <c r="G329" s="680"/>
      <c r="H329" s="680"/>
      <c r="I329" s="253">
        <f t="shared" si="97"/>
        <v>0</v>
      </c>
      <c r="J329" s="453">
        <f t="shared" si="86"/>
        <v>0</v>
      </c>
      <c r="K329" s="689"/>
      <c r="L329" s="689"/>
      <c r="M329" s="969">
        <f t="shared" si="87"/>
        <v>0</v>
      </c>
      <c r="N329" s="1029" t="str">
        <f t="shared" si="88"/>
        <v/>
      </c>
      <c r="O329" s="969" t="str">
        <f>IFERROR(VLOOKUP(B329,'נתוני רישום ומצבת'!B:Q,16,0),"")</f>
        <v/>
      </c>
      <c r="P329" s="969" t="str">
        <f>IFERROR(VLOOKUP(B329,'נתוני רישום ומצבת'!B:R,17,0),"")</f>
        <v/>
      </c>
      <c r="Q329" s="690"/>
      <c r="R329" s="1009"/>
      <c r="S329" s="376">
        <f t="shared" si="89"/>
        <v>0</v>
      </c>
      <c r="T329" s="376">
        <f t="shared" si="90"/>
        <v>0</v>
      </c>
      <c r="U329" s="386">
        <f t="shared" si="91"/>
        <v>0</v>
      </c>
      <c r="V329" s="513" t="str">
        <f t="shared" si="92"/>
        <v/>
      </c>
      <c r="W329" s="254" t="str">
        <f>IF(ISBLANK(B329)," ",IF(B329=IFERROR(VLOOKUP(B329,'מצבת והרשמה (2)'!F:F,1,0),0),"תקין","לא קיים במצבת כבית ספר בו מתקיימת פעילות"))</f>
        <v xml:space="preserve"> </v>
      </c>
      <c r="X329" s="256" t="str">
        <f t="shared" si="79"/>
        <v/>
      </c>
      <c r="Y329" s="256" t="str">
        <f t="shared" si="80"/>
        <v/>
      </c>
      <c r="Z329" s="741">
        <f t="shared" si="81"/>
        <v>0</v>
      </c>
      <c r="AA329" s="741">
        <f t="shared" si="82"/>
        <v>0</v>
      </c>
      <c r="AB329" s="741">
        <f t="shared" si="83"/>
        <v>0</v>
      </c>
      <c r="AC329" s="987">
        <f t="shared" si="93"/>
        <v>0</v>
      </c>
      <c r="AD329" s="987">
        <f t="shared" si="94"/>
        <v>0</v>
      </c>
      <c r="AE329" s="368" t="str">
        <f>IFERROR(VLOOKUP(B329,'[1]סיכום בקרת רשויות'!$A:$D,4,0),"")</f>
        <v/>
      </c>
      <c r="AF329" s="57" t="str">
        <f t="shared" si="95"/>
        <v/>
      </c>
      <c r="AG329" s="180">
        <f>IF(AF329="כן",M329*'גנים ובתי ספר- מבנה תקציב'!$H$59,0)</f>
        <v>0</v>
      </c>
      <c r="AH329" s="180">
        <f>IF(AF329="כן",M329*'גנים ובתי ספר- מבנה תקציב'!$I$59,0)</f>
        <v>0</v>
      </c>
      <c r="AI329" s="180">
        <f t="shared" si="96"/>
        <v>0</v>
      </c>
      <c r="AJ329" s="368" t="str">
        <f t="shared" si="84"/>
        <v/>
      </c>
    </row>
    <row r="330" spans="1:36" x14ac:dyDescent="0.25">
      <c r="A330" s="57">
        <v>310</v>
      </c>
      <c r="B330" s="690"/>
      <c r="C330" s="690"/>
      <c r="D330" s="252">
        <f>(IFERROR(SUMIF('מצבת והרשמה (2)'!$F$21:$F$501,'דוח ביצוע (3)'!$B330,'מצבת והרשמה (2)'!$J$21:$J$501),0))</f>
        <v>0</v>
      </c>
      <c r="E330" s="252">
        <f>IFERROR(SUMIF('מצבת והרשמה (2)'!$F$21:$F$501,'דוח ביצוע (3)'!$B330,'מצבת והרשמה (2)'!$K$21:$K$501),0)</f>
        <v>0</v>
      </c>
      <c r="F330" s="253">
        <f t="shared" si="85"/>
        <v>0</v>
      </c>
      <c r="G330" s="680"/>
      <c r="H330" s="680"/>
      <c r="I330" s="253">
        <f t="shared" si="97"/>
        <v>0</v>
      </c>
      <c r="J330" s="453">
        <f t="shared" si="86"/>
        <v>0</v>
      </c>
      <c r="K330" s="689"/>
      <c r="L330" s="689"/>
      <c r="M330" s="969">
        <f t="shared" si="87"/>
        <v>0</v>
      </c>
      <c r="N330" s="1029" t="str">
        <f t="shared" si="88"/>
        <v/>
      </c>
      <c r="O330" s="969" t="str">
        <f>IFERROR(VLOOKUP(B330,'נתוני רישום ומצבת'!B:Q,16,0),"")</f>
        <v/>
      </c>
      <c r="P330" s="969" t="str">
        <f>IFERROR(VLOOKUP(B330,'נתוני רישום ומצבת'!B:R,17,0),"")</f>
        <v/>
      </c>
      <c r="Q330" s="690"/>
      <c r="R330" s="1009"/>
      <c r="S330" s="376">
        <f t="shared" si="89"/>
        <v>0</v>
      </c>
      <c r="T330" s="376">
        <f t="shared" si="90"/>
        <v>0</v>
      </c>
      <c r="U330" s="386">
        <f t="shared" si="91"/>
        <v>0</v>
      </c>
      <c r="V330" s="513" t="str">
        <f t="shared" si="92"/>
        <v/>
      </c>
      <c r="W330" s="254" t="str">
        <f>IF(ISBLANK(B330)," ",IF(B330=IFERROR(VLOOKUP(B330,'מצבת והרשמה (2)'!F:F,1,0),0),"תקין","לא קיים במצבת כבית ספר בו מתקיימת פעילות"))</f>
        <v xml:space="preserve"> </v>
      </c>
      <c r="X330" s="256" t="str">
        <f t="shared" si="79"/>
        <v/>
      </c>
      <c r="Y330" s="256" t="str">
        <f t="shared" si="80"/>
        <v/>
      </c>
      <c r="Z330" s="741">
        <f t="shared" si="81"/>
        <v>0</v>
      </c>
      <c r="AA330" s="741">
        <f t="shared" si="82"/>
        <v>0</v>
      </c>
      <c r="AB330" s="741">
        <f t="shared" si="83"/>
        <v>0</v>
      </c>
      <c r="AC330" s="987">
        <f t="shared" si="93"/>
        <v>0</v>
      </c>
      <c r="AD330" s="987">
        <f t="shared" si="94"/>
        <v>0</v>
      </c>
      <c r="AE330" s="368" t="str">
        <f>IFERROR(VLOOKUP(B330,'[1]סיכום בקרת רשויות'!$A:$D,4,0),"")</f>
        <v/>
      </c>
      <c r="AF330" s="57" t="str">
        <f t="shared" si="95"/>
        <v/>
      </c>
      <c r="AG330" s="180">
        <f>IF(AF330="כן",M330*'גנים ובתי ספר- מבנה תקציב'!$H$59,0)</f>
        <v>0</v>
      </c>
      <c r="AH330" s="180">
        <f>IF(AF330="כן",M330*'גנים ובתי ספר- מבנה תקציב'!$I$59,0)</f>
        <v>0</v>
      </c>
      <c r="AI330" s="180">
        <f t="shared" si="96"/>
        <v>0</v>
      </c>
      <c r="AJ330" s="368" t="str">
        <f t="shared" si="84"/>
        <v/>
      </c>
    </row>
    <row r="331" spans="1:36" x14ac:dyDescent="0.25">
      <c r="A331" s="57">
        <v>311</v>
      </c>
      <c r="B331" s="690"/>
      <c r="C331" s="690"/>
      <c r="D331" s="252">
        <f>(IFERROR(SUMIF('מצבת והרשמה (2)'!$F$21:$F$501,'דוח ביצוע (3)'!$B331,'מצבת והרשמה (2)'!$J$21:$J$501),0))</f>
        <v>0</v>
      </c>
      <c r="E331" s="252">
        <f>IFERROR(SUMIF('מצבת והרשמה (2)'!$F$21:$F$501,'דוח ביצוע (3)'!$B331,'מצבת והרשמה (2)'!$K$21:$K$501),0)</f>
        <v>0</v>
      </c>
      <c r="F331" s="253">
        <f t="shared" si="85"/>
        <v>0</v>
      </c>
      <c r="G331" s="680"/>
      <c r="H331" s="680"/>
      <c r="I331" s="253">
        <f t="shared" si="97"/>
        <v>0</v>
      </c>
      <c r="J331" s="453">
        <f t="shared" si="86"/>
        <v>0</v>
      </c>
      <c r="K331" s="689"/>
      <c r="L331" s="689"/>
      <c r="M331" s="969">
        <f t="shared" si="87"/>
        <v>0</v>
      </c>
      <c r="N331" s="1029" t="str">
        <f t="shared" si="88"/>
        <v/>
      </c>
      <c r="O331" s="969" t="str">
        <f>IFERROR(VLOOKUP(B331,'נתוני רישום ומצבת'!B:Q,16,0),"")</f>
        <v/>
      </c>
      <c r="P331" s="969" t="str">
        <f>IFERROR(VLOOKUP(B331,'נתוני רישום ומצבת'!B:R,17,0),"")</f>
        <v/>
      </c>
      <c r="Q331" s="690"/>
      <c r="R331" s="1009"/>
      <c r="S331" s="376">
        <f t="shared" si="89"/>
        <v>0</v>
      </c>
      <c r="T331" s="376">
        <f t="shared" si="90"/>
        <v>0</v>
      </c>
      <c r="U331" s="386">
        <f t="shared" si="91"/>
        <v>0</v>
      </c>
      <c r="V331" s="513" t="str">
        <f t="shared" si="92"/>
        <v/>
      </c>
      <c r="W331" s="254" t="str">
        <f>IF(ISBLANK(B331)," ",IF(B331=IFERROR(VLOOKUP(B331,'מצבת והרשמה (2)'!F:F,1,0),0),"תקין","לא קיים במצבת כבית ספר בו מתקיימת פעילות"))</f>
        <v xml:space="preserve"> </v>
      </c>
      <c r="X331" s="256" t="str">
        <f t="shared" si="79"/>
        <v/>
      </c>
      <c r="Y331" s="256" t="str">
        <f t="shared" si="80"/>
        <v/>
      </c>
      <c r="Z331" s="741">
        <f t="shared" si="81"/>
        <v>0</v>
      </c>
      <c r="AA331" s="741">
        <f t="shared" si="82"/>
        <v>0</v>
      </c>
      <c r="AB331" s="741">
        <f t="shared" si="83"/>
        <v>0</v>
      </c>
      <c r="AC331" s="987">
        <f t="shared" si="93"/>
        <v>0</v>
      </c>
      <c r="AD331" s="987">
        <f t="shared" si="94"/>
        <v>0</v>
      </c>
      <c r="AE331" s="368" t="str">
        <f>IFERROR(VLOOKUP(B331,'[1]סיכום בקרת רשויות'!$A:$D,4,0),"")</f>
        <v/>
      </c>
      <c r="AF331" s="57" t="str">
        <f t="shared" si="95"/>
        <v/>
      </c>
      <c r="AG331" s="180">
        <f>IF(AF331="כן",M331*'גנים ובתי ספר- מבנה תקציב'!$H$59,0)</f>
        <v>0</v>
      </c>
      <c r="AH331" s="180">
        <f>IF(AF331="כן",M331*'גנים ובתי ספר- מבנה תקציב'!$I$59,0)</f>
        <v>0</v>
      </c>
      <c r="AI331" s="180">
        <f t="shared" si="96"/>
        <v>0</v>
      </c>
      <c r="AJ331" s="368" t="str">
        <f t="shared" si="84"/>
        <v/>
      </c>
    </row>
    <row r="332" spans="1:36" x14ac:dyDescent="0.25">
      <c r="A332" s="57">
        <v>312</v>
      </c>
      <c r="B332" s="690"/>
      <c r="C332" s="690"/>
      <c r="D332" s="252">
        <f>(IFERROR(SUMIF('מצבת והרשמה (2)'!$F$21:$F$501,'דוח ביצוע (3)'!$B332,'מצבת והרשמה (2)'!$J$21:$J$501),0))</f>
        <v>0</v>
      </c>
      <c r="E332" s="252">
        <f>IFERROR(SUMIF('מצבת והרשמה (2)'!$F$21:$F$501,'דוח ביצוע (3)'!$B332,'מצבת והרשמה (2)'!$K$21:$K$501),0)</f>
        <v>0</v>
      </c>
      <c r="F332" s="253">
        <f t="shared" si="85"/>
        <v>0</v>
      </c>
      <c r="G332" s="680"/>
      <c r="H332" s="680"/>
      <c r="I332" s="253">
        <f t="shared" si="97"/>
        <v>0</v>
      </c>
      <c r="J332" s="453">
        <f t="shared" si="86"/>
        <v>0</v>
      </c>
      <c r="K332" s="689"/>
      <c r="L332" s="689"/>
      <c r="M332" s="969">
        <f t="shared" si="87"/>
        <v>0</v>
      </c>
      <c r="N332" s="1029" t="str">
        <f t="shared" si="88"/>
        <v/>
      </c>
      <c r="O332" s="969" t="str">
        <f>IFERROR(VLOOKUP(B332,'נתוני רישום ומצבת'!B:Q,16,0),"")</f>
        <v/>
      </c>
      <c r="P332" s="969" t="str">
        <f>IFERROR(VLOOKUP(B332,'נתוני רישום ומצבת'!B:R,17,0),"")</f>
        <v/>
      </c>
      <c r="Q332" s="690"/>
      <c r="R332" s="1009"/>
      <c r="S332" s="376">
        <f t="shared" si="89"/>
        <v>0</v>
      </c>
      <c r="T332" s="376">
        <f t="shared" si="90"/>
        <v>0</v>
      </c>
      <c r="U332" s="386">
        <f t="shared" si="91"/>
        <v>0</v>
      </c>
      <c r="V332" s="513" t="str">
        <f t="shared" si="92"/>
        <v/>
      </c>
      <c r="W332" s="254" t="str">
        <f>IF(ISBLANK(B332)," ",IF(B332=IFERROR(VLOOKUP(B332,'מצבת והרשמה (2)'!F:F,1,0),0),"תקין","לא קיים במצבת כבית ספר בו מתקיימת פעילות"))</f>
        <v xml:space="preserve"> </v>
      </c>
      <c r="X332" s="256" t="str">
        <f t="shared" si="79"/>
        <v/>
      </c>
      <c r="Y332" s="256" t="str">
        <f t="shared" si="80"/>
        <v/>
      </c>
      <c r="Z332" s="741">
        <f t="shared" si="81"/>
        <v>0</v>
      </c>
      <c r="AA332" s="741">
        <f t="shared" si="82"/>
        <v>0</v>
      </c>
      <c r="AB332" s="741">
        <f t="shared" si="83"/>
        <v>0</v>
      </c>
      <c r="AC332" s="987">
        <f t="shared" si="93"/>
        <v>0</v>
      </c>
      <c r="AD332" s="987">
        <f t="shared" si="94"/>
        <v>0</v>
      </c>
      <c r="AE332" s="368" t="str">
        <f>IFERROR(VLOOKUP(B332,'[1]סיכום בקרת רשויות'!$A:$D,4,0),"")</f>
        <v/>
      </c>
      <c r="AF332" s="57" t="str">
        <f t="shared" si="95"/>
        <v/>
      </c>
      <c r="AG332" s="180">
        <f>IF(AF332="כן",M332*'גנים ובתי ספר- מבנה תקציב'!$H$59,0)</f>
        <v>0</v>
      </c>
      <c r="AH332" s="180">
        <f>IF(AF332="כן",M332*'גנים ובתי ספר- מבנה תקציב'!$I$59,0)</f>
        <v>0</v>
      </c>
      <c r="AI332" s="180">
        <f t="shared" si="96"/>
        <v>0</v>
      </c>
      <c r="AJ332" s="368" t="str">
        <f t="shared" si="84"/>
        <v/>
      </c>
    </row>
    <row r="333" spans="1:36" x14ac:dyDescent="0.25">
      <c r="A333" s="57">
        <v>313</v>
      </c>
      <c r="B333" s="690"/>
      <c r="C333" s="690"/>
      <c r="D333" s="252">
        <f>(IFERROR(SUMIF('מצבת והרשמה (2)'!$F$21:$F$501,'דוח ביצוע (3)'!$B333,'מצבת והרשמה (2)'!$J$21:$J$501),0))</f>
        <v>0</v>
      </c>
      <c r="E333" s="252">
        <f>IFERROR(SUMIF('מצבת והרשמה (2)'!$F$21:$F$501,'דוח ביצוע (3)'!$B333,'מצבת והרשמה (2)'!$K$21:$K$501),0)</f>
        <v>0</v>
      </c>
      <c r="F333" s="253">
        <f t="shared" si="85"/>
        <v>0</v>
      </c>
      <c r="G333" s="680"/>
      <c r="H333" s="680"/>
      <c r="I333" s="253">
        <f t="shared" si="97"/>
        <v>0</v>
      </c>
      <c r="J333" s="453">
        <f t="shared" si="86"/>
        <v>0</v>
      </c>
      <c r="K333" s="689"/>
      <c r="L333" s="689"/>
      <c r="M333" s="969">
        <f t="shared" si="87"/>
        <v>0</v>
      </c>
      <c r="N333" s="1029" t="str">
        <f t="shared" si="88"/>
        <v/>
      </c>
      <c r="O333" s="969" t="str">
        <f>IFERROR(VLOOKUP(B333,'נתוני רישום ומצבת'!B:Q,16,0),"")</f>
        <v/>
      </c>
      <c r="P333" s="969" t="str">
        <f>IFERROR(VLOOKUP(B333,'נתוני רישום ומצבת'!B:R,17,0),"")</f>
        <v/>
      </c>
      <c r="Q333" s="690"/>
      <c r="R333" s="1009"/>
      <c r="S333" s="376">
        <f t="shared" si="89"/>
        <v>0</v>
      </c>
      <c r="T333" s="376">
        <f t="shared" si="90"/>
        <v>0</v>
      </c>
      <c r="U333" s="386">
        <f t="shared" si="91"/>
        <v>0</v>
      </c>
      <c r="V333" s="513" t="str">
        <f t="shared" si="92"/>
        <v/>
      </c>
      <c r="W333" s="254" t="str">
        <f>IF(ISBLANK(B333)," ",IF(B333=IFERROR(VLOOKUP(B333,'מצבת והרשמה (2)'!F:F,1,0),0),"תקין","לא קיים במצבת כבית ספר בו מתקיימת פעילות"))</f>
        <v xml:space="preserve"> </v>
      </c>
      <c r="X333" s="256" t="str">
        <f t="shared" si="79"/>
        <v/>
      </c>
      <c r="Y333" s="256" t="str">
        <f t="shared" si="80"/>
        <v/>
      </c>
      <c r="Z333" s="741">
        <f t="shared" si="81"/>
        <v>0</v>
      </c>
      <c r="AA333" s="741">
        <f t="shared" si="82"/>
        <v>0</v>
      </c>
      <c r="AB333" s="741">
        <f t="shared" si="83"/>
        <v>0</v>
      </c>
      <c r="AC333" s="987">
        <f t="shared" si="93"/>
        <v>0</v>
      </c>
      <c r="AD333" s="987">
        <f t="shared" si="94"/>
        <v>0</v>
      </c>
      <c r="AE333" s="368" t="str">
        <f>IFERROR(VLOOKUP(B333,'[1]סיכום בקרת רשויות'!$A:$D,4,0),"")</f>
        <v/>
      </c>
      <c r="AF333" s="57" t="str">
        <f t="shared" si="95"/>
        <v/>
      </c>
      <c r="AG333" s="180">
        <f>IF(AF333="כן",M333*'גנים ובתי ספר- מבנה תקציב'!$H$59,0)</f>
        <v>0</v>
      </c>
      <c r="AH333" s="180">
        <f>IF(AF333="כן",M333*'גנים ובתי ספר- מבנה תקציב'!$I$59,0)</f>
        <v>0</v>
      </c>
      <c r="AI333" s="180">
        <f t="shared" si="96"/>
        <v>0</v>
      </c>
      <c r="AJ333" s="368" t="str">
        <f t="shared" si="84"/>
        <v/>
      </c>
    </row>
    <row r="334" spans="1:36" x14ac:dyDescent="0.25">
      <c r="A334" s="57">
        <v>314</v>
      </c>
      <c r="B334" s="690"/>
      <c r="C334" s="690"/>
      <c r="D334" s="252">
        <f>(IFERROR(SUMIF('מצבת והרשמה (2)'!$F$21:$F$501,'דוח ביצוע (3)'!$B334,'מצבת והרשמה (2)'!$J$21:$J$501),0))</f>
        <v>0</v>
      </c>
      <c r="E334" s="252">
        <f>IFERROR(SUMIF('מצבת והרשמה (2)'!$F$21:$F$501,'דוח ביצוע (3)'!$B334,'מצבת והרשמה (2)'!$K$21:$K$501),0)</f>
        <v>0</v>
      </c>
      <c r="F334" s="253">
        <f t="shared" si="85"/>
        <v>0</v>
      </c>
      <c r="G334" s="680"/>
      <c r="H334" s="680"/>
      <c r="I334" s="253">
        <f t="shared" si="97"/>
        <v>0</v>
      </c>
      <c r="J334" s="453">
        <f t="shared" si="86"/>
        <v>0</v>
      </c>
      <c r="K334" s="689"/>
      <c r="L334" s="689"/>
      <c r="M334" s="969">
        <f t="shared" si="87"/>
        <v>0</v>
      </c>
      <c r="N334" s="1029" t="str">
        <f t="shared" si="88"/>
        <v/>
      </c>
      <c r="O334" s="969" t="str">
        <f>IFERROR(VLOOKUP(B334,'נתוני רישום ומצבת'!B:Q,16,0),"")</f>
        <v/>
      </c>
      <c r="P334" s="969" t="str">
        <f>IFERROR(VLOOKUP(B334,'נתוני רישום ומצבת'!B:R,17,0),"")</f>
        <v/>
      </c>
      <c r="Q334" s="690"/>
      <c r="R334" s="1009"/>
      <c r="S334" s="376">
        <f t="shared" si="89"/>
        <v>0</v>
      </c>
      <c r="T334" s="376">
        <f t="shared" si="90"/>
        <v>0</v>
      </c>
      <c r="U334" s="386">
        <f t="shared" si="91"/>
        <v>0</v>
      </c>
      <c r="V334" s="513" t="str">
        <f t="shared" si="92"/>
        <v/>
      </c>
      <c r="W334" s="254" t="str">
        <f>IF(ISBLANK(B334)," ",IF(B334=IFERROR(VLOOKUP(B334,'מצבת והרשמה (2)'!F:F,1,0),0),"תקין","לא קיים במצבת כבית ספר בו מתקיימת פעילות"))</f>
        <v xml:space="preserve"> </v>
      </c>
      <c r="X334" s="256" t="str">
        <f t="shared" si="79"/>
        <v/>
      </c>
      <c r="Y334" s="256" t="str">
        <f t="shared" si="80"/>
        <v/>
      </c>
      <c r="Z334" s="741">
        <f t="shared" si="81"/>
        <v>0</v>
      </c>
      <c r="AA334" s="741">
        <f t="shared" si="82"/>
        <v>0</v>
      </c>
      <c r="AB334" s="741">
        <f t="shared" si="83"/>
        <v>0</v>
      </c>
      <c r="AC334" s="987">
        <f t="shared" si="93"/>
        <v>0</v>
      </c>
      <c r="AD334" s="987">
        <f t="shared" si="94"/>
        <v>0</v>
      </c>
      <c r="AE334" s="368" t="str">
        <f>IFERROR(VLOOKUP(B334,'[1]סיכום בקרת רשויות'!$A:$D,4,0),"")</f>
        <v/>
      </c>
      <c r="AF334" s="57" t="str">
        <f t="shared" si="95"/>
        <v/>
      </c>
      <c r="AG334" s="180">
        <f>IF(AF334="כן",M334*'גנים ובתי ספר- מבנה תקציב'!$H$59,0)</f>
        <v>0</v>
      </c>
      <c r="AH334" s="180">
        <f>IF(AF334="כן",M334*'גנים ובתי ספר- מבנה תקציב'!$I$59,0)</f>
        <v>0</v>
      </c>
      <c r="AI334" s="180">
        <f t="shared" si="96"/>
        <v>0</v>
      </c>
      <c r="AJ334" s="368" t="str">
        <f t="shared" si="84"/>
        <v/>
      </c>
    </row>
    <row r="335" spans="1:36" x14ac:dyDescent="0.25">
      <c r="A335" s="57">
        <v>315</v>
      </c>
      <c r="B335" s="690"/>
      <c r="C335" s="690"/>
      <c r="D335" s="252">
        <f>(IFERROR(SUMIF('מצבת והרשמה (2)'!$F$21:$F$501,'דוח ביצוע (3)'!$B335,'מצבת והרשמה (2)'!$J$21:$J$501),0))</f>
        <v>0</v>
      </c>
      <c r="E335" s="252">
        <f>IFERROR(SUMIF('מצבת והרשמה (2)'!$F$21:$F$501,'דוח ביצוע (3)'!$B335,'מצבת והרשמה (2)'!$K$21:$K$501),0)</f>
        <v>0</v>
      </c>
      <c r="F335" s="253">
        <f t="shared" si="85"/>
        <v>0</v>
      </c>
      <c r="G335" s="680"/>
      <c r="H335" s="680"/>
      <c r="I335" s="253">
        <f t="shared" si="97"/>
        <v>0</v>
      </c>
      <c r="J335" s="453">
        <f t="shared" si="86"/>
        <v>0</v>
      </c>
      <c r="K335" s="689"/>
      <c r="L335" s="689"/>
      <c r="M335" s="969">
        <f t="shared" si="87"/>
        <v>0</v>
      </c>
      <c r="N335" s="1029" t="str">
        <f t="shared" si="88"/>
        <v/>
      </c>
      <c r="O335" s="969" t="str">
        <f>IFERROR(VLOOKUP(B335,'נתוני רישום ומצבת'!B:Q,16,0),"")</f>
        <v/>
      </c>
      <c r="P335" s="969" t="str">
        <f>IFERROR(VLOOKUP(B335,'נתוני רישום ומצבת'!B:R,17,0),"")</f>
        <v/>
      </c>
      <c r="Q335" s="690"/>
      <c r="R335" s="1009"/>
      <c r="S335" s="376">
        <f t="shared" si="89"/>
        <v>0</v>
      </c>
      <c r="T335" s="376">
        <f t="shared" si="90"/>
        <v>0</v>
      </c>
      <c r="U335" s="386">
        <f t="shared" si="91"/>
        <v>0</v>
      </c>
      <c r="V335" s="513" t="str">
        <f t="shared" si="92"/>
        <v/>
      </c>
      <c r="W335" s="254" t="str">
        <f>IF(ISBLANK(B335)," ",IF(B335=IFERROR(VLOOKUP(B335,'מצבת והרשמה (2)'!F:F,1,0),0),"תקין","לא קיים במצבת כבית ספר בו מתקיימת פעילות"))</f>
        <v xml:space="preserve"> </v>
      </c>
      <c r="X335" s="256" t="str">
        <f t="shared" si="79"/>
        <v/>
      </c>
      <c r="Y335" s="256" t="str">
        <f t="shared" si="80"/>
        <v/>
      </c>
      <c r="Z335" s="741">
        <f t="shared" si="81"/>
        <v>0</v>
      </c>
      <c r="AA335" s="741">
        <f t="shared" si="82"/>
        <v>0</v>
      </c>
      <c r="AB335" s="741">
        <f t="shared" si="83"/>
        <v>0</v>
      </c>
      <c r="AC335" s="987">
        <f t="shared" si="93"/>
        <v>0</v>
      </c>
      <c r="AD335" s="987">
        <f t="shared" si="94"/>
        <v>0</v>
      </c>
      <c r="AE335" s="368" t="str">
        <f>IFERROR(VLOOKUP(B335,'[1]סיכום בקרת רשויות'!$A:$D,4,0),"")</f>
        <v/>
      </c>
      <c r="AF335" s="57" t="str">
        <f t="shared" si="95"/>
        <v/>
      </c>
      <c r="AG335" s="180">
        <f>IF(AF335="כן",M335*'גנים ובתי ספר- מבנה תקציב'!$H$59,0)</f>
        <v>0</v>
      </c>
      <c r="AH335" s="180">
        <f>IF(AF335="כן",M335*'גנים ובתי ספר- מבנה תקציב'!$I$59,0)</f>
        <v>0</v>
      </c>
      <c r="AI335" s="180">
        <f t="shared" si="96"/>
        <v>0</v>
      </c>
      <c r="AJ335" s="368" t="str">
        <f t="shared" si="84"/>
        <v/>
      </c>
    </row>
    <row r="336" spans="1:36" x14ac:dyDescent="0.25">
      <c r="A336" s="57">
        <v>316</v>
      </c>
      <c r="B336" s="690"/>
      <c r="C336" s="690"/>
      <c r="D336" s="252">
        <f>(IFERROR(SUMIF('מצבת והרשמה (2)'!$F$21:$F$501,'דוח ביצוע (3)'!$B336,'מצבת והרשמה (2)'!$J$21:$J$501),0))</f>
        <v>0</v>
      </c>
      <c r="E336" s="252">
        <f>IFERROR(SUMIF('מצבת והרשמה (2)'!$F$21:$F$501,'דוח ביצוע (3)'!$B336,'מצבת והרשמה (2)'!$K$21:$K$501),0)</f>
        <v>0</v>
      </c>
      <c r="F336" s="253">
        <f t="shared" si="85"/>
        <v>0</v>
      </c>
      <c r="G336" s="680"/>
      <c r="H336" s="680"/>
      <c r="I336" s="253">
        <f t="shared" si="97"/>
        <v>0</v>
      </c>
      <c r="J336" s="453">
        <f t="shared" si="86"/>
        <v>0</v>
      </c>
      <c r="K336" s="689"/>
      <c r="L336" s="689"/>
      <c r="M336" s="969">
        <f t="shared" si="87"/>
        <v>0</v>
      </c>
      <c r="N336" s="1029" t="str">
        <f t="shared" si="88"/>
        <v/>
      </c>
      <c r="O336" s="969" t="str">
        <f>IFERROR(VLOOKUP(B336,'נתוני רישום ומצבת'!B:Q,16,0),"")</f>
        <v/>
      </c>
      <c r="P336" s="969" t="str">
        <f>IFERROR(VLOOKUP(B336,'נתוני רישום ומצבת'!B:R,17,0),"")</f>
        <v/>
      </c>
      <c r="Q336" s="690"/>
      <c r="R336" s="1009"/>
      <c r="S336" s="376">
        <f t="shared" si="89"/>
        <v>0</v>
      </c>
      <c r="T336" s="376">
        <f t="shared" si="90"/>
        <v>0</v>
      </c>
      <c r="U336" s="386">
        <f t="shared" si="91"/>
        <v>0</v>
      </c>
      <c r="V336" s="513" t="str">
        <f t="shared" si="92"/>
        <v/>
      </c>
      <c r="W336" s="254" t="str">
        <f>IF(ISBLANK(B336)," ",IF(B336=IFERROR(VLOOKUP(B336,'מצבת והרשמה (2)'!F:F,1,0),0),"תקין","לא קיים במצבת כבית ספר בו מתקיימת פעילות"))</f>
        <v xml:space="preserve"> </v>
      </c>
      <c r="X336" s="256" t="str">
        <f t="shared" si="79"/>
        <v/>
      </c>
      <c r="Y336" s="256" t="str">
        <f t="shared" si="80"/>
        <v/>
      </c>
      <c r="Z336" s="741">
        <f t="shared" si="81"/>
        <v>0</v>
      </c>
      <c r="AA336" s="741">
        <f t="shared" si="82"/>
        <v>0</v>
      </c>
      <c r="AB336" s="741">
        <f t="shared" si="83"/>
        <v>0</v>
      </c>
      <c r="AC336" s="987">
        <f t="shared" si="93"/>
        <v>0</v>
      </c>
      <c r="AD336" s="987">
        <f t="shared" si="94"/>
        <v>0</v>
      </c>
      <c r="AE336" s="368" t="str">
        <f>IFERROR(VLOOKUP(B336,'[1]סיכום בקרת רשויות'!$A:$D,4,0),"")</f>
        <v/>
      </c>
      <c r="AF336" s="57" t="str">
        <f t="shared" si="95"/>
        <v/>
      </c>
      <c r="AG336" s="180">
        <f>IF(AF336="כן",M336*'גנים ובתי ספר- מבנה תקציב'!$H$59,0)</f>
        <v>0</v>
      </c>
      <c r="AH336" s="180">
        <f>IF(AF336="כן",M336*'גנים ובתי ספר- מבנה תקציב'!$I$59,0)</f>
        <v>0</v>
      </c>
      <c r="AI336" s="180">
        <f t="shared" si="96"/>
        <v>0</v>
      </c>
      <c r="AJ336" s="368" t="str">
        <f t="shared" si="84"/>
        <v/>
      </c>
    </row>
    <row r="337" spans="1:36" x14ac:dyDescent="0.25">
      <c r="A337" s="57">
        <v>317</v>
      </c>
      <c r="B337" s="690"/>
      <c r="C337" s="690"/>
      <c r="D337" s="252">
        <f>(IFERROR(SUMIF('מצבת והרשמה (2)'!$F$21:$F$501,'דוח ביצוע (3)'!$B337,'מצבת והרשמה (2)'!$J$21:$J$501),0))</f>
        <v>0</v>
      </c>
      <c r="E337" s="252">
        <f>IFERROR(SUMIF('מצבת והרשמה (2)'!$F$21:$F$501,'דוח ביצוע (3)'!$B337,'מצבת והרשמה (2)'!$K$21:$K$501),0)</f>
        <v>0</v>
      </c>
      <c r="F337" s="253">
        <f t="shared" si="85"/>
        <v>0</v>
      </c>
      <c r="G337" s="680"/>
      <c r="H337" s="680"/>
      <c r="I337" s="253">
        <f t="shared" si="97"/>
        <v>0</v>
      </c>
      <c r="J337" s="453">
        <f t="shared" si="86"/>
        <v>0</v>
      </c>
      <c r="K337" s="689"/>
      <c r="L337" s="689"/>
      <c r="M337" s="969">
        <f t="shared" si="87"/>
        <v>0</v>
      </c>
      <c r="N337" s="1029" t="str">
        <f t="shared" si="88"/>
        <v/>
      </c>
      <c r="O337" s="969" t="str">
        <f>IFERROR(VLOOKUP(B337,'נתוני רישום ומצבת'!B:Q,16,0),"")</f>
        <v/>
      </c>
      <c r="P337" s="969" t="str">
        <f>IFERROR(VLOOKUP(B337,'נתוני רישום ומצבת'!B:R,17,0),"")</f>
        <v/>
      </c>
      <c r="Q337" s="690"/>
      <c r="R337" s="1009"/>
      <c r="S337" s="376">
        <f t="shared" si="89"/>
        <v>0</v>
      </c>
      <c r="T337" s="376">
        <f t="shared" si="90"/>
        <v>0</v>
      </c>
      <c r="U337" s="386">
        <f t="shared" si="91"/>
        <v>0</v>
      </c>
      <c r="V337" s="513" t="str">
        <f t="shared" si="92"/>
        <v/>
      </c>
      <c r="W337" s="254" t="str">
        <f>IF(ISBLANK(B337)," ",IF(B337=IFERROR(VLOOKUP(B337,'מצבת והרשמה (2)'!F:F,1,0),0),"תקין","לא קיים במצבת כבית ספר בו מתקיימת פעילות"))</f>
        <v xml:space="preserve"> </v>
      </c>
      <c r="X337" s="256" t="str">
        <f t="shared" si="79"/>
        <v/>
      </c>
      <c r="Y337" s="256" t="str">
        <f t="shared" si="80"/>
        <v/>
      </c>
      <c r="Z337" s="741">
        <f t="shared" si="81"/>
        <v>0</v>
      </c>
      <c r="AA337" s="741">
        <f t="shared" si="82"/>
        <v>0</v>
      </c>
      <c r="AB337" s="741">
        <f t="shared" si="83"/>
        <v>0</v>
      </c>
      <c r="AC337" s="987">
        <f t="shared" si="93"/>
        <v>0</v>
      </c>
      <c r="AD337" s="987">
        <f t="shared" si="94"/>
        <v>0</v>
      </c>
      <c r="AE337" s="368" t="str">
        <f>IFERROR(VLOOKUP(B337,'[1]סיכום בקרת רשויות'!$A:$D,4,0),"")</f>
        <v/>
      </c>
      <c r="AF337" s="57" t="str">
        <f t="shared" si="95"/>
        <v/>
      </c>
      <c r="AG337" s="180">
        <f>IF(AF337="כן",M337*'גנים ובתי ספר- מבנה תקציב'!$H$59,0)</f>
        <v>0</v>
      </c>
      <c r="AH337" s="180">
        <f>IF(AF337="כן",M337*'גנים ובתי ספר- מבנה תקציב'!$I$59,0)</f>
        <v>0</v>
      </c>
      <c r="AI337" s="180">
        <f t="shared" si="96"/>
        <v>0</v>
      </c>
      <c r="AJ337" s="368" t="str">
        <f t="shared" si="84"/>
        <v/>
      </c>
    </row>
    <row r="338" spans="1:36" x14ac:dyDescent="0.25">
      <c r="A338" s="57">
        <v>318</v>
      </c>
      <c r="B338" s="690"/>
      <c r="C338" s="690"/>
      <c r="D338" s="252">
        <f>(IFERROR(SUMIF('מצבת והרשמה (2)'!$F$21:$F$501,'דוח ביצוע (3)'!$B338,'מצבת והרשמה (2)'!$J$21:$J$501),0))</f>
        <v>0</v>
      </c>
      <c r="E338" s="252">
        <f>IFERROR(SUMIF('מצבת והרשמה (2)'!$F$21:$F$501,'דוח ביצוע (3)'!$B338,'מצבת והרשמה (2)'!$K$21:$K$501),0)</f>
        <v>0</v>
      </c>
      <c r="F338" s="253">
        <f t="shared" si="85"/>
        <v>0</v>
      </c>
      <c r="G338" s="680"/>
      <c r="H338" s="680"/>
      <c r="I338" s="253">
        <f t="shared" si="97"/>
        <v>0</v>
      </c>
      <c r="J338" s="453">
        <f t="shared" si="86"/>
        <v>0</v>
      </c>
      <c r="K338" s="689"/>
      <c r="L338" s="689"/>
      <c r="M338" s="969">
        <f t="shared" si="87"/>
        <v>0</v>
      </c>
      <c r="N338" s="1029" t="str">
        <f t="shared" si="88"/>
        <v/>
      </c>
      <c r="O338" s="969" t="str">
        <f>IFERROR(VLOOKUP(B338,'נתוני רישום ומצבת'!B:Q,16,0),"")</f>
        <v/>
      </c>
      <c r="P338" s="969" t="str">
        <f>IFERROR(VLOOKUP(B338,'נתוני רישום ומצבת'!B:R,17,0),"")</f>
        <v/>
      </c>
      <c r="Q338" s="690"/>
      <c r="R338" s="1009"/>
      <c r="S338" s="376">
        <f t="shared" si="89"/>
        <v>0</v>
      </c>
      <c r="T338" s="376">
        <f t="shared" si="90"/>
        <v>0</v>
      </c>
      <c r="U338" s="386">
        <f t="shared" si="91"/>
        <v>0</v>
      </c>
      <c r="V338" s="513" t="str">
        <f t="shared" si="92"/>
        <v/>
      </c>
      <c r="W338" s="254" t="str">
        <f>IF(ISBLANK(B338)," ",IF(B338=IFERROR(VLOOKUP(B338,'מצבת והרשמה (2)'!F:F,1,0),0),"תקין","לא קיים במצבת כבית ספר בו מתקיימת פעילות"))</f>
        <v xml:space="preserve"> </v>
      </c>
      <c r="X338" s="256" t="str">
        <f t="shared" si="79"/>
        <v/>
      </c>
      <c r="Y338" s="256" t="str">
        <f t="shared" si="80"/>
        <v/>
      </c>
      <c r="Z338" s="741">
        <f t="shared" si="81"/>
        <v>0</v>
      </c>
      <c r="AA338" s="741">
        <f t="shared" si="82"/>
        <v>0</v>
      </c>
      <c r="AB338" s="741">
        <f t="shared" si="83"/>
        <v>0</v>
      </c>
      <c r="AC338" s="987">
        <f t="shared" si="93"/>
        <v>0</v>
      </c>
      <c r="AD338" s="987">
        <f t="shared" si="94"/>
        <v>0</v>
      </c>
      <c r="AE338" s="368" t="str">
        <f>IFERROR(VLOOKUP(B338,'[1]סיכום בקרת רשויות'!$A:$D,4,0),"")</f>
        <v/>
      </c>
      <c r="AF338" s="57" t="str">
        <f t="shared" si="95"/>
        <v/>
      </c>
      <c r="AG338" s="180">
        <f>IF(AF338="כן",M338*'גנים ובתי ספר- מבנה תקציב'!$H$59,0)</f>
        <v>0</v>
      </c>
      <c r="AH338" s="180">
        <f>IF(AF338="כן",M338*'גנים ובתי ספר- מבנה תקציב'!$I$59,0)</f>
        <v>0</v>
      </c>
      <c r="AI338" s="180">
        <f t="shared" si="96"/>
        <v>0</v>
      </c>
      <c r="AJ338" s="368" t="str">
        <f t="shared" si="84"/>
        <v/>
      </c>
    </row>
    <row r="339" spans="1:36" x14ac:dyDescent="0.25">
      <c r="A339" s="57">
        <v>319</v>
      </c>
      <c r="B339" s="690"/>
      <c r="C339" s="690"/>
      <c r="D339" s="252">
        <f>(IFERROR(SUMIF('מצבת והרשמה (2)'!$F$21:$F$501,'דוח ביצוע (3)'!$B339,'מצבת והרשמה (2)'!$J$21:$J$501),0))</f>
        <v>0</v>
      </c>
      <c r="E339" s="252">
        <f>IFERROR(SUMIF('מצבת והרשמה (2)'!$F$21:$F$501,'דוח ביצוע (3)'!$B339,'מצבת והרשמה (2)'!$K$21:$K$501),0)</f>
        <v>0</v>
      </c>
      <c r="F339" s="253">
        <f t="shared" si="85"/>
        <v>0</v>
      </c>
      <c r="G339" s="680"/>
      <c r="H339" s="680"/>
      <c r="I339" s="253">
        <f t="shared" si="97"/>
        <v>0</v>
      </c>
      <c r="J339" s="453">
        <f t="shared" si="86"/>
        <v>0</v>
      </c>
      <c r="K339" s="689"/>
      <c r="L339" s="689"/>
      <c r="M339" s="969">
        <f t="shared" si="87"/>
        <v>0</v>
      </c>
      <c r="N339" s="1029" t="str">
        <f t="shared" si="88"/>
        <v/>
      </c>
      <c r="O339" s="969" t="str">
        <f>IFERROR(VLOOKUP(B339,'נתוני רישום ומצבת'!B:Q,16,0),"")</f>
        <v/>
      </c>
      <c r="P339" s="969" t="str">
        <f>IFERROR(VLOOKUP(B339,'נתוני רישום ומצבת'!B:R,17,0),"")</f>
        <v/>
      </c>
      <c r="Q339" s="690"/>
      <c r="R339" s="1009"/>
      <c r="S339" s="376">
        <f t="shared" si="89"/>
        <v>0</v>
      </c>
      <c r="T339" s="376">
        <f t="shared" si="90"/>
        <v>0</v>
      </c>
      <c r="U339" s="386">
        <f t="shared" si="91"/>
        <v>0</v>
      </c>
      <c r="V339" s="513" t="str">
        <f t="shared" si="92"/>
        <v/>
      </c>
      <c r="W339" s="254" t="str">
        <f>IF(ISBLANK(B339)," ",IF(B339=IFERROR(VLOOKUP(B339,'מצבת והרשמה (2)'!F:F,1,0),0),"תקין","לא קיים במצבת כבית ספר בו מתקיימת פעילות"))</f>
        <v xml:space="preserve"> </v>
      </c>
      <c r="X339" s="256" t="str">
        <f t="shared" si="79"/>
        <v/>
      </c>
      <c r="Y339" s="256" t="str">
        <f t="shared" si="80"/>
        <v/>
      </c>
      <c r="Z339" s="741">
        <f t="shared" si="81"/>
        <v>0</v>
      </c>
      <c r="AA339" s="741">
        <f t="shared" si="82"/>
        <v>0</v>
      </c>
      <c r="AB339" s="741">
        <f t="shared" si="83"/>
        <v>0</v>
      </c>
      <c r="AC339" s="987">
        <f t="shared" si="93"/>
        <v>0</v>
      </c>
      <c r="AD339" s="987">
        <f t="shared" si="94"/>
        <v>0</v>
      </c>
      <c r="AE339" s="368" t="str">
        <f>IFERROR(VLOOKUP(B339,'[1]סיכום בקרת רשויות'!$A:$D,4,0),"")</f>
        <v/>
      </c>
      <c r="AF339" s="57" t="str">
        <f t="shared" si="95"/>
        <v/>
      </c>
      <c r="AG339" s="180">
        <f>IF(AF339="כן",M339*'גנים ובתי ספר- מבנה תקציב'!$H$59,0)</f>
        <v>0</v>
      </c>
      <c r="AH339" s="180">
        <f>IF(AF339="כן",M339*'גנים ובתי ספר- מבנה תקציב'!$I$59,0)</f>
        <v>0</v>
      </c>
      <c r="AI339" s="180">
        <f t="shared" si="96"/>
        <v>0</v>
      </c>
      <c r="AJ339" s="368" t="str">
        <f t="shared" si="84"/>
        <v/>
      </c>
    </row>
    <row r="340" spans="1:36" x14ac:dyDescent="0.25">
      <c r="A340" s="57">
        <v>320</v>
      </c>
      <c r="B340" s="690"/>
      <c r="C340" s="690"/>
      <c r="D340" s="252">
        <f>(IFERROR(SUMIF('מצבת והרשמה (2)'!$F$21:$F$501,'דוח ביצוע (3)'!$B340,'מצבת והרשמה (2)'!$J$21:$J$501),0))</f>
        <v>0</v>
      </c>
      <c r="E340" s="252">
        <f>IFERROR(SUMIF('מצבת והרשמה (2)'!$F$21:$F$501,'דוח ביצוע (3)'!$B340,'מצבת והרשמה (2)'!$K$21:$K$501),0)</f>
        <v>0</v>
      </c>
      <c r="F340" s="253">
        <f t="shared" si="85"/>
        <v>0</v>
      </c>
      <c r="G340" s="680"/>
      <c r="H340" s="680"/>
      <c r="I340" s="253">
        <f t="shared" si="97"/>
        <v>0</v>
      </c>
      <c r="J340" s="453">
        <f t="shared" si="86"/>
        <v>0</v>
      </c>
      <c r="K340" s="689"/>
      <c r="L340" s="689"/>
      <c r="M340" s="969">
        <f t="shared" si="87"/>
        <v>0</v>
      </c>
      <c r="N340" s="1029" t="str">
        <f t="shared" si="88"/>
        <v/>
      </c>
      <c r="O340" s="969" t="str">
        <f>IFERROR(VLOOKUP(B340,'נתוני רישום ומצבת'!B:Q,16,0),"")</f>
        <v/>
      </c>
      <c r="P340" s="969" t="str">
        <f>IFERROR(VLOOKUP(B340,'נתוני רישום ומצבת'!B:R,17,0),"")</f>
        <v/>
      </c>
      <c r="Q340" s="690"/>
      <c r="R340" s="1009"/>
      <c r="S340" s="376">
        <f t="shared" si="89"/>
        <v>0</v>
      </c>
      <c r="T340" s="376">
        <f t="shared" si="90"/>
        <v>0</v>
      </c>
      <c r="U340" s="386">
        <f t="shared" si="91"/>
        <v>0</v>
      </c>
      <c r="V340" s="513" t="str">
        <f t="shared" si="92"/>
        <v/>
      </c>
      <c r="W340" s="254" t="str">
        <f>IF(ISBLANK(B340)," ",IF(B340=IFERROR(VLOOKUP(B340,'מצבת והרשמה (2)'!F:F,1,0),0),"תקין","לא קיים במצבת כבית ספר בו מתקיימת פעילות"))</f>
        <v xml:space="preserve"> </v>
      </c>
      <c r="X340" s="256" t="str">
        <f t="shared" si="79"/>
        <v/>
      </c>
      <c r="Y340" s="256" t="str">
        <f t="shared" si="80"/>
        <v/>
      </c>
      <c r="Z340" s="741">
        <f t="shared" si="81"/>
        <v>0</v>
      </c>
      <c r="AA340" s="741">
        <f t="shared" si="82"/>
        <v>0</v>
      </c>
      <c r="AB340" s="741">
        <f t="shared" si="83"/>
        <v>0</v>
      </c>
      <c r="AC340" s="987">
        <f t="shared" si="93"/>
        <v>0</v>
      </c>
      <c r="AD340" s="987">
        <f t="shared" si="94"/>
        <v>0</v>
      </c>
      <c r="AE340" s="368" t="str">
        <f>IFERROR(VLOOKUP(B340,'[1]סיכום בקרת רשויות'!$A:$D,4,0),"")</f>
        <v/>
      </c>
      <c r="AF340" s="57" t="str">
        <f t="shared" si="95"/>
        <v/>
      </c>
      <c r="AG340" s="180">
        <f>IF(AF340="כן",M340*'גנים ובתי ספר- מבנה תקציב'!$H$59,0)</f>
        <v>0</v>
      </c>
      <c r="AH340" s="180">
        <f>IF(AF340="כן",M340*'גנים ובתי ספר- מבנה תקציב'!$I$59,0)</f>
        <v>0</v>
      </c>
      <c r="AI340" s="180">
        <f t="shared" si="96"/>
        <v>0</v>
      </c>
      <c r="AJ340" s="368" t="str">
        <f t="shared" si="84"/>
        <v/>
      </c>
    </row>
    <row r="341" spans="1:36" x14ac:dyDescent="0.25">
      <c r="A341" s="57">
        <v>321</v>
      </c>
      <c r="B341" s="690"/>
      <c r="C341" s="690"/>
      <c r="D341" s="252">
        <f>(IFERROR(SUMIF('מצבת והרשמה (2)'!$F$21:$F$501,'דוח ביצוע (3)'!$B341,'מצבת והרשמה (2)'!$J$21:$J$501),0))</f>
        <v>0</v>
      </c>
      <c r="E341" s="252">
        <f>IFERROR(SUMIF('מצבת והרשמה (2)'!$F$21:$F$501,'דוח ביצוע (3)'!$B341,'מצבת והרשמה (2)'!$K$21:$K$501),0)</f>
        <v>0</v>
      </c>
      <c r="F341" s="253">
        <f t="shared" si="85"/>
        <v>0</v>
      </c>
      <c r="G341" s="680"/>
      <c r="H341" s="680"/>
      <c r="I341" s="253">
        <f t="shared" si="97"/>
        <v>0</v>
      </c>
      <c r="J341" s="453">
        <f t="shared" si="86"/>
        <v>0</v>
      </c>
      <c r="K341" s="689"/>
      <c r="L341" s="689"/>
      <c r="M341" s="969">
        <f t="shared" si="87"/>
        <v>0</v>
      </c>
      <c r="N341" s="1029" t="str">
        <f t="shared" si="88"/>
        <v/>
      </c>
      <c r="O341" s="969" t="str">
        <f>IFERROR(VLOOKUP(B341,'נתוני רישום ומצבת'!B:Q,16,0),"")</f>
        <v/>
      </c>
      <c r="P341" s="969" t="str">
        <f>IFERROR(VLOOKUP(B341,'נתוני רישום ומצבת'!B:R,17,0),"")</f>
        <v/>
      </c>
      <c r="Q341" s="690"/>
      <c r="R341" s="1009"/>
      <c r="S341" s="376">
        <f t="shared" si="89"/>
        <v>0</v>
      </c>
      <c r="T341" s="376">
        <f t="shared" si="90"/>
        <v>0</v>
      </c>
      <c r="U341" s="386">
        <f t="shared" si="91"/>
        <v>0</v>
      </c>
      <c r="V341" s="513" t="str">
        <f t="shared" si="92"/>
        <v/>
      </c>
      <c r="W341" s="254" t="str">
        <f>IF(ISBLANK(B341)," ",IF(B341=IFERROR(VLOOKUP(B341,'מצבת והרשמה (2)'!F:F,1,0),0),"תקין","לא קיים במצבת כבית ספר בו מתקיימת פעילות"))</f>
        <v xml:space="preserve"> </v>
      </c>
      <c r="X341" s="256" t="str">
        <f t="shared" ref="X341:X404" si="98">IF(IFERROR(COUNTIF($C$20:$C$2460,B341)," ")&gt;1,"סמל המוסד מופיע יותר מפעם אחת",IF(ISBLANK(B341),"","תקין"))</f>
        <v/>
      </c>
      <c r="Y341" s="256" t="str">
        <f t="shared" ref="Y341:Y404" si="99">IF(AND(ISNUMBER(B341),ISBLANK(B340)),"יש למלא שורות רצופות","")</f>
        <v/>
      </c>
      <c r="Z341" s="741">
        <f t="shared" ref="Z341:Z404" si="100">IF(OR(LEFT(V341,10)="יש למלא מס",LEFT(V341,10)="יש למלא סי"),1,0)</f>
        <v>0</v>
      </c>
      <c r="AA341" s="741">
        <f t="shared" ref="AA341:AA404" si="101">IF(COUNTIF(סמלפעילות,B341)&gt;1,1,0)</f>
        <v>0</v>
      </c>
      <c r="AB341" s="741">
        <f t="shared" ref="AB341:AB404" si="102">IF(B341&gt;0,IF(I341=0,1,0),0)</f>
        <v>0</v>
      </c>
      <c r="AC341" s="987">
        <f t="shared" si="93"/>
        <v>0</v>
      </c>
      <c r="AD341" s="987">
        <f t="shared" si="94"/>
        <v>0</v>
      </c>
      <c r="AE341" s="368" t="str">
        <f>IFERROR(VLOOKUP(B341,'[1]סיכום בקרת רשויות'!$A:$D,4,0),"")</f>
        <v/>
      </c>
      <c r="AF341" s="57" t="str">
        <f t="shared" si="95"/>
        <v/>
      </c>
      <c r="AG341" s="180">
        <f>IF(AF341="כן",M341*'גנים ובתי ספר- מבנה תקציב'!$H$59,0)</f>
        <v>0</v>
      </c>
      <c r="AH341" s="180">
        <f>IF(AF341="כן",M341*'גנים ובתי ספר- מבנה תקציב'!$I$59,0)</f>
        <v>0</v>
      </c>
      <c r="AI341" s="180">
        <f t="shared" si="96"/>
        <v>0</v>
      </c>
      <c r="AJ341" s="368" t="str">
        <f t="shared" ref="AJ341:AJ404" si="103">IF(B341&gt;0,IF(M341&lt;15,1,0),"")</f>
        <v/>
      </c>
    </row>
    <row r="342" spans="1:36" x14ac:dyDescent="0.25">
      <c r="A342" s="57">
        <v>322</v>
      </c>
      <c r="B342" s="690"/>
      <c r="C342" s="690"/>
      <c r="D342" s="252">
        <f>(IFERROR(SUMIF('מצבת והרשמה (2)'!$F$21:$F$501,'דוח ביצוע (3)'!$B342,'מצבת והרשמה (2)'!$J$21:$J$501),0))</f>
        <v>0</v>
      </c>
      <c r="E342" s="252">
        <f>IFERROR(SUMIF('מצבת והרשמה (2)'!$F$21:$F$501,'דוח ביצוע (3)'!$B342,'מצבת והרשמה (2)'!$K$21:$K$501),0)</f>
        <v>0</v>
      </c>
      <c r="F342" s="253">
        <f t="shared" ref="F342:F405" si="104">E342+D342</f>
        <v>0</v>
      </c>
      <c r="G342" s="680"/>
      <c r="H342" s="680"/>
      <c r="I342" s="253">
        <f t="shared" si="97"/>
        <v>0</v>
      </c>
      <c r="J342" s="453">
        <f t="shared" ref="J342:J405" si="105">IF(F342&gt;149,1,0)</f>
        <v>0</v>
      </c>
      <c r="K342" s="689"/>
      <c r="L342" s="689"/>
      <c r="M342" s="969">
        <f t="shared" ref="M342:M405" si="106">MIN(NETWORKDAYS.INTL(K342,L342,7),15)</f>
        <v>0</v>
      </c>
      <c r="N342" s="1029" t="str">
        <f t="shared" ref="N342:N405" si="107">IF(B342&gt;0,IF(M342&lt;15,"תקופת הפעילות נמוכה מהתקופה הנדרשת, ועל כן המוסד אינו זכאי לתקצוב","תקין"),"")</f>
        <v/>
      </c>
      <c r="O342" s="969" t="str">
        <f>IFERROR(VLOOKUP(B342,'נתוני רישום ומצבת'!B:Q,16,0),"")</f>
        <v/>
      </c>
      <c r="P342" s="969" t="str">
        <f>IFERROR(VLOOKUP(B342,'נתוני רישום ומצבת'!B:R,17,0),"")</f>
        <v/>
      </c>
      <c r="Q342" s="690"/>
      <c r="R342" s="1009"/>
      <c r="S342" s="376">
        <f t="shared" ref="S342:S405" si="108">IF(OR($T$2=0,N342="תקין"),MAX(IF(G342="",0,MIN(G342,D342)),0),0)</f>
        <v>0</v>
      </c>
      <c r="T342" s="376">
        <f t="shared" ref="T342:T405" si="109">IF(OR($T$2=0,N342="תקין"),MAX(IF(H342="",0,MIN(H342,E342)),0),0)</f>
        <v>0</v>
      </c>
      <c r="U342" s="386">
        <f t="shared" ref="U342:U405" si="110">SUM(S342:T342)</f>
        <v>0</v>
      </c>
      <c r="V342" s="513" t="str">
        <f t="shared" ref="V342:V405" si="111">IF(ISNUMBER(B342),IF(M342&lt;1,"יש למלא מס' ימי פעילות",IF(M342&lt;15,"יש למלא סיבה לחוסר ימי פעילות","תקין")),"")</f>
        <v/>
      </c>
      <c r="W342" s="254" t="str">
        <f>IF(ISBLANK(B342)," ",IF(B342=IFERROR(VLOOKUP(B342,'מצבת והרשמה (2)'!F:F,1,0),0),"תקין","לא קיים במצבת כבית ספר בו מתקיימת פעילות"))</f>
        <v xml:space="preserve"> </v>
      </c>
      <c r="X342" s="256" t="str">
        <f t="shared" si="98"/>
        <v/>
      </c>
      <c r="Y342" s="256" t="str">
        <f t="shared" si="99"/>
        <v/>
      </c>
      <c r="Z342" s="741">
        <f t="shared" si="100"/>
        <v>0</v>
      </c>
      <c r="AA342" s="741">
        <f t="shared" si="101"/>
        <v>0</v>
      </c>
      <c r="AB342" s="741">
        <f t="shared" si="102"/>
        <v>0</v>
      </c>
      <c r="AC342" s="987">
        <f t="shared" ref="AC342:AC405" si="112">MAX(IF(G342=" ",0,MIN(G342,D342)),0)</f>
        <v>0</v>
      </c>
      <c r="AD342" s="987">
        <f t="shared" ref="AD342:AD405" si="113">MAX(IF(H342=" ",0,MIN(H342,E342)),0)</f>
        <v>0</v>
      </c>
      <c r="AE342" s="368" t="str">
        <f>IFERROR(VLOOKUP(B342,'[1]סיכום בקרת רשויות'!$A:$D,4,0),"")</f>
        <v/>
      </c>
      <c r="AF342" s="57" t="str">
        <f t="shared" ref="AF342:AF405" si="114">IF(B342&gt;0,IF(Q342&gt;=MIN(40,P342),"כן",""),"")</f>
        <v/>
      </c>
      <c r="AG342" s="180">
        <f>IF(AF342="כן",M342*'גנים ובתי ספר- מבנה תקציב'!$H$59,0)</f>
        <v>0</v>
      </c>
      <c r="AH342" s="180">
        <f>IF(AF342="כן",M342*'גנים ובתי ספר- מבנה תקציב'!$I$59,0)</f>
        <v>0</v>
      </c>
      <c r="AI342" s="180">
        <f t="shared" ref="AI342:AI405" si="115">AH342+AG342</f>
        <v>0</v>
      </c>
      <c r="AJ342" s="368" t="str">
        <f t="shared" si="103"/>
        <v/>
      </c>
    </row>
    <row r="343" spans="1:36" x14ac:dyDescent="0.25">
      <c r="A343" s="57">
        <v>323</v>
      </c>
      <c r="B343" s="690"/>
      <c r="C343" s="690"/>
      <c r="D343" s="252">
        <f>(IFERROR(SUMIF('מצבת והרשמה (2)'!$F$21:$F$501,'דוח ביצוע (3)'!$B343,'מצבת והרשמה (2)'!$J$21:$J$501),0))</f>
        <v>0</v>
      </c>
      <c r="E343" s="252">
        <f>IFERROR(SUMIF('מצבת והרשמה (2)'!$F$21:$F$501,'דוח ביצוע (3)'!$B343,'מצבת והרשמה (2)'!$K$21:$K$501),0)</f>
        <v>0</v>
      </c>
      <c r="F343" s="253">
        <f t="shared" si="104"/>
        <v>0</v>
      </c>
      <c r="G343" s="680"/>
      <c r="H343" s="680"/>
      <c r="I343" s="253">
        <f t="shared" si="97"/>
        <v>0</v>
      </c>
      <c r="J343" s="453">
        <f t="shared" si="105"/>
        <v>0</v>
      </c>
      <c r="K343" s="689"/>
      <c r="L343" s="689"/>
      <c r="M343" s="969">
        <f t="shared" si="106"/>
        <v>0</v>
      </c>
      <c r="N343" s="1029" t="str">
        <f t="shared" si="107"/>
        <v/>
      </c>
      <c r="O343" s="969" t="str">
        <f>IFERROR(VLOOKUP(B343,'נתוני רישום ומצבת'!B:Q,16,0),"")</f>
        <v/>
      </c>
      <c r="P343" s="969" t="str">
        <f>IFERROR(VLOOKUP(B343,'נתוני רישום ומצבת'!B:R,17,0),"")</f>
        <v/>
      </c>
      <c r="Q343" s="690"/>
      <c r="R343" s="1009"/>
      <c r="S343" s="376">
        <f t="shared" si="108"/>
        <v>0</v>
      </c>
      <c r="T343" s="376">
        <f t="shared" si="109"/>
        <v>0</v>
      </c>
      <c r="U343" s="386">
        <f t="shared" si="110"/>
        <v>0</v>
      </c>
      <c r="V343" s="513" t="str">
        <f t="shared" si="111"/>
        <v/>
      </c>
      <c r="W343" s="254" t="str">
        <f>IF(ISBLANK(B343)," ",IF(B343=IFERROR(VLOOKUP(B343,'מצבת והרשמה (2)'!F:F,1,0),0),"תקין","לא קיים במצבת כבית ספר בו מתקיימת פעילות"))</f>
        <v xml:space="preserve"> </v>
      </c>
      <c r="X343" s="256" t="str">
        <f t="shared" si="98"/>
        <v/>
      </c>
      <c r="Y343" s="256" t="str">
        <f t="shared" si="99"/>
        <v/>
      </c>
      <c r="Z343" s="741">
        <f t="shared" si="100"/>
        <v>0</v>
      </c>
      <c r="AA343" s="741">
        <f t="shared" si="101"/>
        <v>0</v>
      </c>
      <c r="AB343" s="741">
        <f t="shared" si="102"/>
        <v>0</v>
      </c>
      <c r="AC343" s="987">
        <f t="shared" si="112"/>
        <v>0</v>
      </c>
      <c r="AD343" s="987">
        <f t="shared" si="113"/>
        <v>0</v>
      </c>
      <c r="AE343" s="368" t="str">
        <f>IFERROR(VLOOKUP(B343,'[1]סיכום בקרת רשויות'!$A:$D,4,0),"")</f>
        <v/>
      </c>
      <c r="AF343" s="57" t="str">
        <f t="shared" si="114"/>
        <v/>
      </c>
      <c r="AG343" s="180">
        <f>IF(AF343="כן",M343*'גנים ובתי ספר- מבנה תקציב'!$H$59,0)</f>
        <v>0</v>
      </c>
      <c r="AH343" s="180">
        <f>IF(AF343="כן",M343*'גנים ובתי ספר- מבנה תקציב'!$I$59,0)</f>
        <v>0</v>
      </c>
      <c r="AI343" s="180">
        <f t="shared" si="115"/>
        <v>0</v>
      </c>
      <c r="AJ343" s="368" t="str">
        <f t="shared" si="103"/>
        <v/>
      </c>
    </row>
    <row r="344" spans="1:36" x14ac:dyDescent="0.25">
      <c r="A344" s="57">
        <v>324</v>
      </c>
      <c r="B344" s="690"/>
      <c r="C344" s="690"/>
      <c r="D344" s="252">
        <f>(IFERROR(SUMIF('מצבת והרשמה (2)'!$F$21:$F$501,'דוח ביצוע (3)'!$B344,'מצבת והרשמה (2)'!$J$21:$J$501),0))</f>
        <v>0</v>
      </c>
      <c r="E344" s="252">
        <f>IFERROR(SUMIF('מצבת והרשמה (2)'!$F$21:$F$501,'דוח ביצוע (3)'!$B344,'מצבת והרשמה (2)'!$K$21:$K$501),0)</f>
        <v>0</v>
      </c>
      <c r="F344" s="253">
        <f t="shared" si="104"/>
        <v>0</v>
      </c>
      <c r="G344" s="680"/>
      <c r="H344" s="680"/>
      <c r="I344" s="253">
        <f t="shared" si="97"/>
        <v>0</v>
      </c>
      <c r="J344" s="453">
        <f t="shared" si="105"/>
        <v>0</v>
      </c>
      <c r="K344" s="689"/>
      <c r="L344" s="689"/>
      <c r="M344" s="969">
        <f t="shared" si="106"/>
        <v>0</v>
      </c>
      <c r="N344" s="1029" t="str">
        <f t="shared" si="107"/>
        <v/>
      </c>
      <c r="O344" s="969" t="str">
        <f>IFERROR(VLOOKUP(B344,'נתוני רישום ומצבת'!B:Q,16,0),"")</f>
        <v/>
      </c>
      <c r="P344" s="969" t="str">
        <f>IFERROR(VLOOKUP(B344,'נתוני רישום ומצבת'!B:R,17,0),"")</f>
        <v/>
      </c>
      <c r="Q344" s="690"/>
      <c r="R344" s="1009"/>
      <c r="S344" s="376">
        <f t="shared" si="108"/>
        <v>0</v>
      </c>
      <c r="T344" s="376">
        <f t="shared" si="109"/>
        <v>0</v>
      </c>
      <c r="U344" s="386">
        <f t="shared" si="110"/>
        <v>0</v>
      </c>
      <c r="V344" s="513" t="str">
        <f t="shared" si="111"/>
        <v/>
      </c>
      <c r="W344" s="254" t="str">
        <f>IF(ISBLANK(B344)," ",IF(B344=IFERROR(VLOOKUP(B344,'מצבת והרשמה (2)'!F:F,1,0),0),"תקין","לא קיים במצבת כבית ספר בו מתקיימת פעילות"))</f>
        <v xml:space="preserve"> </v>
      </c>
      <c r="X344" s="256" t="str">
        <f t="shared" si="98"/>
        <v/>
      </c>
      <c r="Y344" s="256" t="str">
        <f t="shared" si="99"/>
        <v/>
      </c>
      <c r="Z344" s="741">
        <f t="shared" si="100"/>
        <v>0</v>
      </c>
      <c r="AA344" s="741">
        <f t="shared" si="101"/>
        <v>0</v>
      </c>
      <c r="AB344" s="741">
        <f t="shared" si="102"/>
        <v>0</v>
      </c>
      <c r="AC344" s="987">
        <f t="shared" si="112"/>
        <v>0</v>
      </c>
      <c r="AD344" s="987">
        <f t="shared" si="113"/>
        <v>0</v>
      </c>
      <c r="AE344" s="368" t="str">
        <f>IFERROR(VLOOKUP(B344,'[1]סיכום בקרת רשויות'!$A:$D,4,0),"")</f>
        <v/>
      </c>
      <c r="AF344" s="57" t="str">
        <f t="shared" si="114"/>
        <v/>
      </c>
      <c r="AG344" s="180">
        <f>IF(AF344="כן",M344*'גנים ובתי ספר- מבנה תקציב'!$H$59,0)</f>
        <v>0</v>
      </c>
      <c r="AH344" s="180">
        <f>IF(AF344="כן",M344*'גנים ובתי ספר- מבנה תקציב'!$I$59,0)</f>
        <v>0</v>
      </c>
      <c r="AI344" s="180">
        <f t="shared" si="115"/>
        <v>0</v>
      </c>
      <c r="AJ344" s="368" t="str">
        <f t="shared" si="103"/>
        <v/>
      </c>
    </row>
    <row r="345" spans="1:36" x14ac:dyDescent="0.25">
      <c r="A345" s="57">
        <v>325</v>
      </c>
      <c r="B345" s="690"/>
      <c r="C345" s="690"/>
      <c r="D345" s="252">
        <f>(IFERROR(SUMIF('מצבת והרשמה (2)'!$F$21:$F$501,'דוח ביצוע (3)'!$B345,'מצבת והרשמה (2)'!$J$21:$J$501),0))</f>
        <v>0</v>
      </c>
      <c r="E345" s="252">
        <f>IFERROR(SUMIF('מצבת והרשמה (2)'!$F$21:$F$501,'דוח ביצוע (3)'!$B345,'מצבת והרשמה (2)'!$K$21:$K$501),0)</f>
        <v>0</v>
      </c>
      <c r="F345" s="253">
        <f t="shared" si="104"/>
        <v>0</v>
      </c>
      <c r="G345" s="680"/>
      <c r="H345" s="680"/>
      <c r="I345" s="253">
        <f t="shared" si="97"/>
        <v>0</v>
      </c>
      <c r="J345" s="453">
        <f t="shared" si="105"/>
        <v>0</v>
      </c>
      <c r="K345" s="689"/>
      <c r="L345" s="689"/>
      <c r="M345" s="969">
        <f t="shared" si="106"/>
        <v>0</v>
      </c>
      <c r="N345" s="1029" t="str">
        <f t="shared" si="107"/>
        <v/>
      </c>
      <c r="O345" s="969" t="str">
        <f>IFERROR(VLOOKUP(B345,'נתוני רישום ומצבת'!B:Q,16,0),"")</f>
        <v/>
      </c>
      <c r="P345" s="969" t="str">
        <f>IFERROR(VLOOKUP(B345,'נתוני רישום ומצבת'!B:R,17,0),"")</f>
        <v/>
      </c>
      <c r="Q345" s="690"/>
      <c r="R345" s="1009"/>
      <c r="S345" s="376">
        <f t="shared" si="108"/>
        <v>0</v>
      </c>
      <c r="T345" s="376">
        <f t="shared" si="109"/>
        <v>0</v>
      </c>
      <c r="U345" s="386">
        <f t="shared" si="110"/>
        <v>0</v>
      </c>
      <c r="V345" s="513" t="str">
        <f t="shared" si="111"/>
        <v/>
      </c>
      <c r="W345" s="254" t="str">
        <f>IF(ISBLANK(B345)," ",IF(B345=IFERROR(VLOOKUP(B345,'מצבת והרשמה (2)'!F:F,1,0),0),"תקין","לא קיים במצבת כבית ספר בו מתקיימת פעילות"))</f>
        <v xml:space="preserve"> </v>
      </c>
      <c r="X345" s="256" t="str">
        <f t="shared" si="98"/>
        <v/>
      </c>
      <c r="Y345" s="256" t="str">
        <f t="shared" si="99"/>
        <v/>
      </c>
      <c r="Z345" s="741">
        <f t="shared" si="100"/>
        <v>0</v>
      </c>
      <c r="AA345" s="741">
        <f t="shared" si="101"/>
        <v>0</v>
      </c>
      <c r="AB345" s="741">
        <f t="shared" si="102"/>
        <v>0</v>
      </c>
      <c r="AC345" s="987">
        <f t="shared" si="112"/>
        <v>0</v>
      </c>
      <c r="AD345" s="987">
        <f t="shared" si="113"/>
        <v>0</v>
      </c>
      <c r="AE345" s="368" t="str">
        <f>IFERROR(VLOOKUP(B345,'[1]סיכום בקרת רשויות'!$A:$D,4,0),"")</f>
        <v/>
      </c>
      <c r="AF345" s="57" t="str">
        <f t="shared" si="114"/>
        <v/>
      </c>
      <c r="AG345" s="180">
        <f>IF(AF345="כן",M345*'גנים ובתי ספר- מבנה תקציב'!$H$59,0)</f>
        <v>0</v>
      </c>
      <c r="AH345" s="180">
        <f>IF(AF345="כן",M345*'גנים ובתי ספר- מבנה תקציב'!$I$59,0)</f>
        <v>0</v>
      </c>
      <c r="AI345" s="180">
        <f t="shared" si="115"/>
        <v>0</v>
      </c>
      <c r="AJ345" s="368" t="str">
        <f t="shared" si="103"/>
        <v/>
      </c>
    </row>
    <row r="346" spans="1:36" x14ac:dyDescent="0.25">
      <c r="A346" s="57">
        <v>326</v>
      </c>
      <c r="B346" s="690"/>
      <c r="C346" s="690"/>
      <c r="D346" s="252">
        <f>(IFERROR(SUMIF('מצבת והרשמה (2)'!$F$21:$F$501,'דוח ביצוע (3)'!$B346,'מצבת והרשמה (2)'!$J$21:$J$501),0))</f>
        <v>0</v>
      </c>
      <c r="E346" s="252">
        <f>IFERROR(SUMIF('מצבת והרשמה (2)'!$F$21:$F$501,'דוח ביצוע (3)'!$B346,'מצבת והרשמה (2)'!$K$21:$K$501),0)</f>
        <v>0</v>
      </c>
      <c r="F346" s="253">
        <f t="shared" si="104"/>
        <v>0</v>
      </c>
      <c r="G346" s="680"/>
      <c r="H346" s="680"/>
      <c r="I346" s="253">
        <f t="shared" si="97"/>
        <v>0</v>
      </c>
      <c r="J346" s="453">
        <f t="shared" si="105"/>
        <v>0</v>
      </c>
      <c r="K346" s="689"/>
      <c r="L346" s="689"/>
      <c r="M346" s="969">
        <f t="shared" si="106"/>
        <v>0</v>
      </c>
      <c r="N346" s="1029" t="str">
        <f t="shared" si="107"/>
        <v/>
      </c>
      <c r="O346" s="969" t="str">
        <f>IFERROR(VLOOKUP(B346,'נתוני רישום ומצבת'!B:Q,16,0),"")</f>
        <v/>
      </c>
      <c r="P346" s="969" t="str">
        <f>IFERROR(VLOOKUP(B346,'נתוני רישום ומצבת'!B:R,17,0),"")</f>
        <v/>
      </c>
      <c r="Q346" s="690"/>
      <c r="R346" s="1009"/>
      <c r="S346" s="376">
        <f t="shared" si="108"/>
        <v>0</v>
      </c>
      <c r="T346" s="376">
        <f t="shared" si="109"/>
        <v>0</v>
      </c>
      <c r="U346" s="386">
        <f t="shared" si="110"/>
        <v>0</v>
      </c>
      <c r="V346" s="513" t="str">
        <f t="shared" si="111"/>
        <v/>
      </c>
      <c r="W346" s="254" t="str">
        <f>IF(ISBLANK(B346)," ",IF(B346=IFERROR(VLOOKUP(B346,'מצבת והרשמה (2)'!F:F,1,0),0),"תקין","לא קיים במצבת כבית ספר בו מתקיימת פעילות"))</f>
        <v xml:space="preserve"> </v>
      </c>
      <c r="X346" s="256" t="str">
        <f t="shared" si="98"/>
        <v/>
      </c>
      <c r="Y346" s="256" t="str">
        <f t="shared" si="99"/>
        <v/>
      </c>
      <c r="Z346" s="741">
        <f t="shared" si="100"/>
        <v>0</v>
      </c>
      <c r="AA346" s="741">
        <f t="shared" si="101"/>
        <v>0</v>
      </c>
      <c r="AB346" s="741">
        <f t="shared" si="102"/>
        <v>0</v>
      </c>
      <c r="AC346" s="987">
        <f t="shared" si="112"/>
        <v>0</v>
      </c>
      <c r="AD346" s="987">
        <f t="shared" si="113"/>
        <v>0</v>
      </c>
      <c r="AE346" s="368" t="str">
        <f>IFERROR(VLOOKUP(B346,'[1]סיכום בקרת רשויות'!$A:$D,4,0),"")</f>
        <v/>
      </c>
      <c r="AF346" s="57" t="str">
        <f t="shared" si="114"/>
        <v/>
      </c>
      <c r="AG346" s="180">
        <f>IF(AF346="כן",M346*'גנים ובתי ספר- מבנה תקציב'!$H$59,0)</f>
        <v>0</v>
      </c>
      <c r="AH346" s="180">
        <f>IF(AF346="כן",M346*'גנים ובתי ספר- מבנה תקציב'!$I$59,0)</f>
        <v>0</v>
      </c>
      <c r="AI346" s="180">
        <f t="shared" si="115"/>
        <v>0</v>
      </c>
      <c r="AJ346" s="368" t="str">
        <f t="shared" si="103"/>
        <v/>
      </c>
    </row>
    <row r="347" spans="1:36" x14ac:dyDescent="0.25">
      <c r="A347" s="57">
        <v>327</v>
      </c>
      <c r="B347" s="690"/>
      <c r="C347" s="690"/>
      <c r="D347" s="252">
        <f>(IFERROR(SUMIF('מצבת והרשמה (2)'!$F$21:$F$501,'דוח ביצוע (3)'!$B347,'מצבת והרשמה (2)'!$J$21:$J$501),0))</f>
        <v>0</v>
      </c>
      <c r="E347" s="252">
        <f>IFERROR(SUMIF('מצבת והרשמה (2)'!$F$21:$F$501,'דוח ביצוע (3)'!$B347,'מצבת והרשמה (2)'!$K$21:$K$501),0)</f>
        <v>0</v>
      </c>
      <c r="F347" s="253">
        <f t="shared" si="104"/>
        <v>0</v>
      </c>
      <c r="G347" s="680"/>
      <c r="H347" s="680"/>
      <c r="I347" s="253">
        <f t="shared" si="97"/>
        <v>0</v>
      </c>
      <c r="J347" s="453">
        <f t="shared" si="105"/>
        <v>0</v>
      </c>
      <c r="K347" s="689"/>
      <c r="L347" s="689"/>
      <c r="M347" s="969">
        <f t="shared" si="106"/>
        <v>0</v>
      </c>
      <c r="N347" s="1029" t="str">
        <f t="shared" si="107"/>
        <v/>
      </c>
      <c r="O347" s="969" t="str">
        <f>IFERROR(VLOOKUP(B347,'נתוני רישום ומצבת'!B:Q,16,0),"")</f>
        <v/>
      </c>
      <c r="P347" s="969" t="str">
        <f>IFERROR(VLOOKUP(B347,'נתוני רישום ומצבת'!B:R,17,0),"")</f>
        <v/>
      </c>
      <c r="Q347" s="690"/>
      <c r="R347" s="1009"/>
      <c r="S347" s="376">
        <f t="shared" si="108"/>
        <v>0</v>
      </c>
      <c r="T347" s="376">
        <f t="shared" si="109"/>
        <v>0</v>
      </c>
      <c r="U347" s="386">
        <f t="shared" si="110"/>
        <v>0</v>
      </c>
      <c r="V347" s="513" t="str">
        <f t="shared" si="111"/>
        <v/>
      </c>
      <c r="W347" s="254" t="str">
        <f>IF(ISBLANK(B347)," ",IF(B347=IFERROR(VLOOKUP(B347,'מצבת והרשמה (2)'!F:F,1,0),0),"תקין","לא קיים במצבת כבית ספר בו מתקיימת פעילות"))</f>
        <v xml:space="preserve"> </v>
      </c>
      <c r="X347" s="256" t="str">
        <f t="shared" si="98"/>
        <v/>
      </c>
      <c r="Y347" s="256" t="str">
        <f t="shared" si="99"/>
        <v/>
      </c>
      <c r="Z347" s="741">
        <f t="shared" si="100"/>
        <v>0</v>
      </c>
      <c r="AA347" s="741">
        <f t="shared" si="101"/>
        <v>0</v>
      </c>
      <c r="AB347" s="741">
        <f t="shared" si="102"/>
        <v>0</v>
      </c>
      <c r="AC347" s="987">
        <f t="shared" si="112"/>
        <v>0</v>
      </c>
      <c r="AD347" s="987">
        <f t="shared" si="113"/>
        <v>0</v>
      </c>
      <c r="AE347" s="368" t="str">
        <f>IFERROR(VLOOKUP(B347,'[1]סיכום בקרת רשויות'!$A:$D,4,0),"")</f>
        <v/>
      </c>
      <c r="AF347" s="57" t="str">
        <f t="shared" si="114"/>
        <v/>
      </c>
      <c r="AG347" s="180">
        <f>IF(AF347="כן",M347*'גנים ובתי ספר- מבנה תקציב'!$H$59,0)</f>
        <v>0</v>
      </c>
      <c r="AH347" s="180">
        <f>IF(AF347="כן",M347*'גנים ובתי ספר- מבנה תקציב'!$I$59,0)</f>
        <v>0</v>
      </c>
      <c r="AI347" s="180">
        <f t="shared" si="115"/>
        <v>0</v>
      </c>
      <c r="AJ347" s="368" t="str">
        <f t="shared" si="103"/>
        <v/>
      </c>
    </row>
    <row r="348" spans="1:36" x14ac:dyDescent="0.25">
      <c r="A348" s="57">
        <v>328</v>
      </c>
      <c r="B348" s="690"/>
      <c r="C348" s="690"/>
      <c r="D348" s="252">
        <f>(IFERROR(SUMIF('מצבת והרשמה (2)'!$F$21:$F$501,'דוח ביצוע (3)'!$B348,'מצבת והרשמה (2)'!$J$21:$J$501),0))</f>
        <v>0</v>
      </c>
      <c r="E348" s="252">
        <f>IFERROR(SUMIF('מצבת והרשמה (2)'!$F$21:$F$501,'דוח ביצוע (3)'!$B348,'מצבת והרשמה (2)'!$K$21:$K$501),0)</f>
        <v>0</v>
      </c>
      <c r="F348" s="253">
        <f t="shared" si="104"/>
        <v>0</v>
      </c>
      <c r="G348" s="680"/>
      <c r="H348" s="680"/>
      <c r="I348" s="253">
        <f t="shared" si="97"/>
        <v>0</v>
      </c>
      <c r="J348" s="453">
        <f t="shared" si="105"/>
        <v>0</v>
      </c>
      <c r="K348" s="689"/>
      <c r="L348" s="689"/>
      <c r="M348" s="969">
        <f t="shared" si="106"/>
        <v>0</v>
      </c>
      <c r="N348" s="1029" t="str">
        <f t="shared" si="107"/>
        <v/>
      </c>
      <c r="O348" s="969" t="str">
        <f>IFERROR(VLOOKUP(B348,'נתוני רישום ומצבת'!B:Q,16,0),"")</f>
        <v/>
      </c>
      <c r="P348" s="969" t="str">
        <f>IFERROR(VLOOKUP(B348,'נתוני רישום ומצבת'!B:R,17,0),"")</f>
        <v/>
      </c>
      <c r="Q348" s="690"/>
      <c r="R348" s="1009"/>
      <c r="S348" s="376">
        <f t="shared" si="108"/>
        <v>0</v>
      </c>
      <c r="T348" s="376">
        <f t="shared" si="109"/>
        <v>0</v>
      </c>
      <c r="U348" s="386">
        <f t="shared" si="110"/>
        <v>0</v>
      </c>
      <c r="V348" s="513" t="str">
        <f t="shared" si="111"/>
        <v/>
      </c>
      <c r="W348" s="254" t="str">
        <f>IF(ISBLANK(B348)," ",IF(B348=IFERROR(VLOOKUP(B348,'מצבת והרשמה (2)'!F:F,1,0),0),"תקין","לא קיים במצבת כבית ספר בו מתקיימת פעילות"))</f>
        <v xml:space="preserve"> </v>
      </c>
      <c r="X348" s="256" t="str">
        <f t="shared" si="98"/>
        <v/>
      </c>
      <c r="Y348" s="256" t="str">
        <f t="shared" si="99"/>
        <v/>
      </c>
      <c r="Z348" s="741">
        <f t="shared" si="100"/>
        <v>0</v>
      </c>
      <c r="AA348" s="741">
        <f t="shared" si="101"/>
        <v>0</v>
      </c>
      <c r="AB348" s="741">
        <f t="shared" si="102"/>
        <v>0</v>
      </c>
      <c r="AC348" s="987">
        <f t="shared" si="112"/>
        <v>0</v>
      </c>
      <c r="AD348" s="987">
        <f t="shared" si="113"/>
        <v>0</v>
      </c>
      <c r="AE348" s="368" t="str">
        <f>IFERROR(VLOOKUP(B348,'[1]סיכום בקרת רשויות'!$A:$D,4,0),"")</f>
        <v/>
      </c>
      <c r="AF348" s="57" t="str">
        <f t="shared" si="114"/>
        <v/>
      </c>
      <c r="AG348" s="180">
        <f>IF(AF348="כן",M348*'גנים ובתי ספר- מבנה תקציב'!$H$59,0)</f>
        <v>0</v>
      </c>
      <c r="AH348" s="180">
        <f>IF(AF348="כן",M348*'גנים ובתי ספר- מבנה תקציב'!$I$59,0)</f>
        <v>0</v>
      </c>
      <c r="AI348" s="180">
        <f t="shared" si="115"/>
        <v>0</v>
      </c>
      <c r="AJ348" s="368" t="str">
        <f t="shared" si="103"/>
        <v/>
      </c>
    </row>
    <row r="349" spans="1:36" x14ac:dyDescent="0.25">
      <c r="A349" s="57">
        <v>329</v>
      </c>
      <c r="B349" s="690"/>
      <c r="C349" s="690"/>
      <c r="D349" s="252">
        <f>(IFERROR(SUMIF('מצבת והרשמה (2)'!$F$21:$F$501,'דוח ביצוע (3)'!$B349,'מצבת והרשמה (2)'!$J$21:$J$501),0))</f>
        <v>0</v>
      </c>
      <c r="E349" s="252">
        <f>IFERROR(SUMIF('מצבת והרשמה (2)'!$F$21:$F$501,'דוח ביצוע (3)'!$B349,'מצבת והרשמה (2)'!$K$21:$K$501),0)</f>
        <v>0</v>
      </c>
      <c r="F349" s="253">
        <f t="shared" si="104"/>
        <v>0</v>
      </c>
      <c r="G349" s="680"/>
      <c r="H349" s="680"/>
      <c r="I349" s="253">
        <f t="shared" si="97"/>
        <v>0</v>
      </c>
      <c r="J349" s="453">
        <f t="shared" si="105"/>
        <v>0</v>
      </c>
      <c r="K349" s="689"/>
      <c r="L349" s="689"/>
      <c r="M349" s="969">
        <f t="shared" si="106"/>
        <v>0</v>
      </c>
      <c r="N349" s="1029" t="str">
        <f t="shared" si="107"/>
        <v/>
      </c>
      <c r="O349" s="969" t="str">
        <f>IFERROR(VLOOKUP(B349,'נתוני רישום ומצבת'!B:Q,16,0),"")</f>
        <v/>
      </c>
      <c r="P349" s="969" t="str">
        <f>IFERROR(VLOOKUP(B349,'נתוני רישום ומצבת'!B:R,17,0),"")</f>
        <v/>
      </c>
      <c r="Q349" s="690"/>
      <c r="R349" s="1009"/>
      <c r="S349" s="376">
        <f t="shared" si="108"/>
        <v>0</v>
      </c>
      <c r="T349" s="376">
        <f t="shared" si="109"/>
        <v>0</v>
      </c>
      <c r="U349" s="386">
        <f t="shared" si="110"/>
        <v>0</v>
      </c>
      <c r="V349" s="513" t="str">
        <f t="shared" si="111"/>
        <v/>
      </c>
      <c r="W349" s="254" t="str">
        <f>IF(ISBLANK(B349)," ",IF(B349=IFERROR(VLOOKUP(B349,'מצבת והרשמה (2)'!F:F,1,0),0),"תקין","לא קיים במצבת כבית ספר בו מתקיימת פעילות"))</f>
        <v xml:space="preserve"> </v>
      </c>
      <c r="X349" s="256" t="str">
        <f t="shared" si="98"/>
        <v/>
      </c>
      <c r="Y349" s="256" t="str">
        <f t="shared" si="99"/>
        <v/>
      </c>
      <c r="Z349" s="741">
        <f t="shared" si="100"/>
        <v>0</v>
      </c>
      <c r="AA349" s="741">
        <f t="shared" si="101"/>
        <v>0</v>
      </c>
      <c r="AB349" s="741">
        <f t="shared" si="102"/>
        <v>0</v>
      </c>
      <c r="AC349" s="987">
        <f t="shared" si="112"/>
        <v>0</v>
      </c>
      <c r="AD349" s="987">
        <f t="shared" si="113"/>
        <v>0</v>
      </c>
      <c r="AE349" s="368" t="str">
        <f>IFERROR(VLOOKUP(B349,'[1]סיכום בקרת רשויות'!$A:$D,4,0),"")</f>
        <v/>
      </c>
      <c r="AF349" s="57" t="str">
        <f t="shared" si="114"/>
        <v/>
      </c>
      <c r="AG349" s="180">
        <f>IF(AF349="כן",M349*'גנים ובתי ספר- מבנה תקציב'!$H$59,0)</f>
        <v>0</v>
      </c>
      <c r="AH349" s="180">
        <f>IF(AF349="כן",M349*'גנים ובתי ספר- מבנה תקציב'!$I$59,0)</f>
        <v>0</v>
      </c>
      <c r="AI349" s="180">
        <f t="shared" si="115"/>
        <v>0</v>
      </c>
      <c r="AJ349" s="368" t="str">
        <f t="shared" si="103"/>
        <v/>
      </c>
    </row>
    <row r="350" spans="1:36" x14ac:dyDescent="0.25">
      <c r="A350" s="57">
        <v>330</v>
      </c>
      <c r="B350" s="690"/>
      <c r="C350" s="690"/>
      <c r="D350" s="252">
        <f>(IFERROR(SUMIF('מצבת והרשמה (2)'!$F$21:$F$501,'דוח ביצוע (3)'!$B350,'מצבת והרשמה (2)'!$J$21:$J$501),0))</f>
        <v>0</v>
      </c>
      <c r="E350" s="252">
        <f>IFERROR(SUMIF('מצבת והרשמה (2)'!$F$21:$F$501,'דוח ביצוע (3)'!$B350,'מצבת והרשמה (2)'!$K$21:$K$501),0)</f>
        <v>0</v>
      </c>
      <c r="F350" s="253">
        <f t="shared" si="104"/>
        <v>0</v>
      </c>
      <c r="G350" s="680"/>
      <c r="H350" s="680"/>
      <c r="I350" s="253">
        <f t="shared" si="97"/>
        <v>0</v>
      </c>
      <c r="J350" s="453">
        <f t="shared" si="105"/>
        <v>0</v>
      </c>
      <c r="K350" s="689"/>
      <c r="L350" s="689"/>
      <c r="M350" s="969">
        <f t="shared" si="106"/>
        <v>0</v>
      </c>
      <c r="N350" s="1029" t="str">
        <f t="shared" si="107"/>
        <v/>
      </c>
      <c r="O350" s="969" t="str">
        <f>IFERROR(VLOOKUP(B350,'נתוני רישום ומצבת'!B:Q,16,0),"")</f>
        <v/>
      </c>
      <c r="P350" s="969" t="str">
        <f>IFERROR(VLOOKUP(B350,'נתוני רישום ומצבת'!B:R,17,0),"")</f>
        <v/>
      </c>
      <c r="Q350" s="690"/>
      <c r="R350" s="1009"/>
      <c r="S350" s="376">
        <f t="shared" si="108"/>
        <v>0</v>
      </c>
      <c r="T350" s="376">
        <f t="shared" si="109"/>
        <v>0</v>
      </c>
      <c r="U350" s="386">
        <f t="shared" si="110"/>
        <v>0</v>
      </c>
      <c r="V350" s="513" t="str">
        <f t="shared" si="111"/>
        <v/>
      </c>
      <c r="W350" s="254" t="str">
        <f>IF(ISBLANK(B350)," ",IF(B350=IFERROR(VLOOKUP(B350,'מצבת והרשמה (2)'!F:F,1,0),0),"תקין","לא קיים במצבת כבית ספר בו מתקיימת פעילות"))</f>
        <v xml:space="preserve"> </v>
      </c>
      <c r="X350" s="256" t="str">
        <f t="shared" si="98"/>
        <v/>
      </c>
      <c r="Y350" s="256" t="str">
        <f t="shared" si="99"/>
        <v/>
      </c>
      <c r="Z350" s="741">
        <f t="shared" si="100"/>
        <v>0</v>
      </c>
      <c r="AA350" s="741">
        <f t="shared" si="101"/>
        <v>0</v>
      </c>
      <c r="AB350" s="741">
        <f t="shared" si="102"/>
        <v>0</v>
      </c>
      <c r="AC350" s="987">
        <f t="shared" si="112"/>
        <v>0</v>
      </c>
      <c r="AD350" s="987">
        <f t="shared" si="113"/>
        <v>0</v>
      </c>
      <c r="AE350" s="368" t="str">
        <f>IFERROR(VLOOKUP(B350,'[1]סיכום בקרת רשויות'!$A:$D,4,0),"")</f>
        <v/>
      </c>
      <c r="AF350" s="57" t="str">
        <f t="shared" si="114"/>
        <v/>
      </c>
      <c r="AG350" s="180">
        <f>IF(AF350="כן",M350*'גנים ובתי ספר- מבנה תקציב'!$H$59,0)</f>
        <v>0</v>
      </c>
      <c r="AH350" s="180">
        <f>IF(AF350="כן",M350*'גנים ובתי ספר- מבנה תקציב'!$I$59,0)</f>
        <v>0</v>
      </c>
      <c r="AI350" s="180">
        <f t="shared" si="115"/>
        <v>0</v>
      </c>
      <c r="AJ350" s="368" t="str">
        <f t="shared" si="103"/>
        <v/>
      </c>
    </row>
    <row r="351" spans="1:36" x14ac:dyDescent="0.25">
      <c r="A351" s="57">
        <v>331</v>
      </c>
      <c r="B351" s="690"/>
      <c r="C351" s="690"/>
      <c r="D351" s="252">
        <f>(IFERROR(SUMIF('מצבת והרשמה (2)'!$F$21:$F$501,'דוח ביצוע (3)'!$B351,'מצבת והרשמה (2)'!$J$21:$J$501),0))</f>
        <v>0</v>
      </c>
      <c r="E351" s="252">
        <f>IFERROR(SUMIF('מצבת והרשמה (2)'!$F$21:$F$501,'דוח ביצוע (3)'!$B351,'מצבת והרשמה (2)'!$K$21:$K$501),0)</f>
        <v>0</v>
      </c>
      <c r="F351" s="253">
        <f t="shared" si="104"/>
        <v>0</v>
      </c>
      <c r="G351" s="680"/>
      <c r="H351" s="680"/>
      <c r="I351" s="253">
        <f t="shared" si="97"/>
        <v>0</v>
      </c>
      <c r="J351" s="453">
        <f t="shared" si="105"/>
        <v>0</v>
      </c>
      <c r="K351" s="689"/>
      <c r="L351" s="689"/>
      <c r="M351" s="969">
        <f t="shared" si="106"/>
        <v>0</v>
      </c>
      <c r="N351" s="1029" t="str">
        <f t="shared" si="107"/>
        <v/>
      </c>
      <c r="O351" s="969" t="str">
        <f>IFERROR(VLOOKUP(B351,'נתוני רישום ומצבת'!B:Q,16,0),"")</f>
        <v/>
      </c>
      <c r="P351" s="969" t="str">
        <f>IFERROR(VLOOKUP(B351,'נתוני רישום ומצבת'!B:R,17,0),"")</f>
        <v/>
      </c>
      <c r="Q351" s="690"/>
      <c r="R351" s="1009"/>
      <c r="S351" s="376">
        <f t="shared" si="108"/>
        <v>0</v>
      </c>
      <c r="T351" s="376">
        <f t="shared" si="109"/>
        <v>0</v>
      </c>
      <c r="U351" s="386">
        <f t="shared" si="110"/>
        <v>0</v>
      </c>
      <c r="V351" s="513" t="str">
        <f t="shared" si="111"/>
        <v/>
      </c>
      <c r="W351" s="254" t="str">
        <f>IF(ISBLANK(B351)," ",IF(B351=IFERROR(VLOOKUP(B351,'מצבת והרשמה (2)'!F:F,1,0),0),"תקין","לא קיים במצבת כבית ספר בו מתקיימת פעילות"))</f>
        <v xml:space="preserve"> </v>
      </c>
      <c r="X351" s="256" t="str">
        <f t="shared" si="98"/>
        <v/>
      </c>
      <c r="Y351" s="256" t="str">
        <f t="shared" si="99"/>
        <v/>
      </c>
      <c r="Z351" s="741">
        <f t="shared" si="100"/>
        <v>0</v>
      </c>
      <c r="AA351" s="741">
        <f t="shared" si="101"/>
        <v>0</v>
      </c>
      <c r="AB351" s="741">
        <f t="shared" si="102"/>
        <v>0</v>
      </c>
      <c r="AC351" s="987">
        <f t="shared" si="112"/>
        <v>0</v>
      </c>
      <c r="AD351" s="987">
        <f t="shared" si="113"/>
        <v>0</v>
      </c>
      <c r="AE351" s="368" t="str">
        <f>IFERROR(VLOOKUP(B351,'[1]סיכום בקרת רשויות'!$A:$D,4,0),"")</f>
        <v/>
      </c>
      <c r="AF351" s="57" t="str">
        <f t="shared" si="114"/>
        <v/>
      </c>
      <c r="AG351" s="180">
        <f>IF(AF351="כן",M351*'גנים ובתי ספר- מבנה תקציב'!$H$59,0)</f>
        <v>0</v>
      </c>
      <c r="AH351" s="180">
        <f>IF(AF351="כן",M351*'גנים ובתי ספר- מבנה תקציב'!$I$59,0)</f>
        <v>0</v>
      </c>
      <c r="AI351" s="180">
        <f t="shared" si="115"/>
        <v>0</v>
      </c>
      <c r="AJ351" s="368" t="str">
        <f t="shared" si="103"/>
        <v/>
      </c>
    </row>
    <row r="352" spans="1:36" x14ac:dyDescent="0.25">
      <c r="A352" s="57">
        <v>332</v>
      </c>
      <c r="B352" s="690"/>
      <c r="C352" s="690"/>
      <c r="D352" s="252">
        <f>(IFERROR(SUMIF('מצבת והרשמה (2)'!$F$21:$F$501,'דוח ביצוע (3)'!$B352,'מצבת והרשמה (2)'!$J$21:$J$501),0))</f>
        <v>0</v>
      </c>
      <c r="E352" s="252">
        <f>IFERROR(SUMIF('מצבת והרשמה (2)'!$F$21:$F$501,'דוח ביצוע (3)'!$B352,'מצבת והרשמה (2)'!$K$21:$K$501),0)</f>
        <v>0</v>
      </c>
      <c r="F352" s="253">
        <f t="shared" si="104"/>
        <v>0</v>
      </c>
      <c r="G352" s="680"/>
      <c r="H352" s="680"/>
      <c r="I352" s="253">
        <f t="shared" si="97"/>
        <v>0</v>
      </c>
      <c r="J352" s="453">
        <f t="shared" si="105"/>
        <v>0</v>
      </c>
      <c r="K352" s="689"/>
      <c r="L352" s="689"/>
      <c r="M352" s="969">
        <f t="shared" si="106"/>
        <v>0</v>
      </c>
      <c r="N352" s="1029" t="str">
        <f t="shared" si="107"/>
        <v/>
      </c>
      <c r="O352" s="969" t="str">
        <f>IFERROR(VLOOKUP(B352,'נתוני רישום ומצבת'!B:Q,16,0),"")</f>
        <v/>
      </c>
      <c r="P352" s="969" t="str">
        <f>IFERROR(VLOOKUP(B352,'נתוני רישום ומצבת'!B:R,17,0),"")</f>
        <v/>
      </c>
      <c r="Q352" s="690"/>
      <c r="R352" s="1009"/>
      <c r="S352" s="376">
        <f t="shared" si="108"/>
        <v>0</v>
      </c>
      <c r="T352" s="376">
        <f t="shared" si="109"/>
        <v>0</v>
      </c>
      <c r="U352" s="386">
        <f t="shared" si="110"/>
        <v>0</v>
      </c>
      <c r="V352" s="513" t="str">
        <f t="shared" si="111"/>
        <v/>
      </c>
      <c r="W352" s="254" t="str">
        <f>IF(ISBLANK(B352)," ",IF(B352=IFERROR(VLOOKUP(B352,'מצבת והרשמה (2)'!F:F,1,0),0),"תקין","לא קיים במצבת כבית ספר בו מתקיימת פעילות"))</f>
        <v xml:space="preserve"> </v>
      </c>
      <c r="X352" s="256" t="str">
        <f t="shared" si="98"/>
        <v/>
      </c>
      <c r="Y352" s="256" t="str">
        <f t="shared" si="99"/>
        <v/>
      </c>
      <c r="Z352" s="741">
        <f t="shared" si="100"/>
        <v>0</v>
      </c>
      <c r="AA352" s="741">
        <f t="shared" si="101"/>
        <v>0</v>
      </c>
      <c r="AB352" s="741">
        <f t="shared" si="102"/>
        <v>0</v>
      </c>
      <c r="AC352" s="987">
        <f t="shared" si="112"/>
        <v>0</v>
      </c>
      <c r="AD352" s="987">
        <f t="shared" si="113"/>
        <v>0</v>
      </c>
      <c r="AE352" s="368" t="str">
        <f>IFERROR(VLOOKUP(B352,'[1]סיכום בקרת רשויות'!$A:$D,4,0),"")</f>
        <v/>
      </c>
      <c r="AF352" s="57" t="str">
        <f t="shared" si="114"/>
        <v/>
      </c>
      <c r="AG352" s="180">
        <f>IF(AF352="כן",M352*'גנים ובתי ספר- מבנה תקציב'!$H$59,0)</f>
        <v>0</v>
      </c>
      <c r="AH352" s="180">
        <f>IF(AF352="כן",M352*'גנים ובתי ספר- מבנה תקציב'!$I$59,0)</f>
        <v>0</v>
      </c>
      <c r="AI352" s="180">
        <f t="shared" si="115"/>
        <v>0</v>
      </c>
      <c r="AJ352" s="368" t="str">
        <f t="shared" si="103"/>
        <v/>
      </c>
    </row>
    <row r="353" spans="1:36" x14ac:dyDescent="0.25">
      <c r="A353" s="57">
        <v>333</v>
      </c>
      <c r="B353" s="690"/>
      <c r="C353" s="690"/>
      <c r="D353" s="252">
        <f>(IFERROR(SUMIF('מצבת והרשמה (2)'!$F$21:$F$501,'דוח ביצוע (3)'!$B353,'מצבת והרשמה (2)'!$J$21:$J$501),0))</f>
        <v>0</v>
      </c>
      <c r="E353" s="252">
        <f>IFERROR(SUMIF('מצבת והרשמה (2)'!$F$21:$F$501,'דוח ביצוע (3)'!$B353,'מצבת והרשמה (2)'!$K$21:$K$501),0)</f>
        <v>0</v>
      </c>
      <c r="F353" s="253">
        <f t="shared" si="104"/>
        <v>0</v>
      </c>
      <c r="G353" s="680"/>
      <c r="H353" s="680"/>
      <c r="I353" s="253">
        <f t="shared" si="97"/>
        <v>0</v>
      </c>
      <c r="J353" s="453">
        <f t="shared" si="105"/>
        <v>0</v>
      </c>
      <c r="K353" s="689"/>
      <c r="L353" s="689"/>
      <c r="M353" s="969">
        <f t="shared" si="106"/>
        <v>0</v>
      </c>
      <c r="N353" s="1029" t="str">
        <f t="shared" si="107"/>
        <v/>
      </c>
      <c r="O353" s="969" t="str">
        <f>IFERROR(VLOOKUP(B353,'נתוני רישום ומצבת'!B:Q,16,0),"")</f>
        <v/>
      </c>
      <c r="P353" s="969" t="str">
        <f>IFERROR(VLOOKUP(B353,'נתוני רישום ומצבת'!B:R,17,0),"")</f>
        <v/>
      </c>
      <c r="Q353" s="690"/>
      <c r="R353" s="1009"/>
      <c r="S353" s="376">
        <f t="shared" si="108"/>
        <v>0</v>
      </c>
      <c r="T353" s="376">
        <f t="shared" si="109"/>
        <v>0</v>
      </c>
      <c r="U353" s="386">
        <f t="shared" si="110"/>
        <v>0</v>
      </c>
      <c r="V353" s="513" t="str">
        <f t="shared" si="111"/>
        <v/>
      </c>
      <c r="W353" s="254" t="str">
        <f>IF(ISBLANK(B353)," ",IF(B353=IFERROR(VLOOKUP(B353,'מצבת והרשמה (2)'!F:F,1,0),0),"תקין","לא קיים במצבת כבית ספר בו מתקיימת פעילות"))</f>
        <v xml:space="preserve"> </v>
      </c>
      <c r="X353" s="256" t="str">
        <f t="shared" si="98"/>
        <v/>
      </c>
      <c r="Y353" s="256" t="str">
        <f t="shared" si="99"/>
        <v/>
      </c>
      <c r="Z353" s="741">
        <f t="shared" si="100"/>
        <v>0</v>
      </c>
      <c r="AA353" s="741">
        <f t="shared" si="101"/>
        <v>0</v>
      </c>
      <c r="AB353" s="741">
        <f t="shared" si="102"/>
        <v>0</v>
      </c>
      <c r="AC353" s="987">
        <f t="shared" si="112"/>
        <v>0</v>
      </c>
      <c r="AD353" s="987">
        <f t="shared" si="113"/>
        <v>0</v>
      </c>
      <c r="AE353" s="368" t="str">
        <f>IFERROR(VLOOKUP(B353,'[1]סיכום בקרת רשויות'!$A:$D,4,0),"")</f>
        <v/>
      </c>
      <c r="AF353" s="57" t="str">
        <f t="shared" si="114"/>
        <v/>
      </c>
      <c r="AG353" s="180">
        <f>IF(AF353="כן",M353*'גנים ובתי ספר- מבנה תקציב'!$H$59,0)</f>
        <v>0</v>
      </c>
      <c r="AH353" s="180">
        <f>IF(AF353="כן",M353*'גנים ובתי ספר- מבנה תקציב'!$I$59,0)</f>
        <v>0</v>
      </c>
      <c r="AI353" s="180">
        <f t="shared" si="115"/>
        <v>0</v>
      </c>
      <c r="AJ353" s="368" t="str">
        <f t="shared" si="103"/>
        <v/>
      </c>
    </row>
    <row r="354" spans="1:36" x14ac:dyDescent="0.25">
      <c r="A354" s="57">
        <v>334</v>
      </c>
      <c r="B354" s="690"/>
      <c r="C354" s="690"/>
      <c r="D354" s="252">
        <f>(IFERROR(SUMIF('מצבת והרשמה (2)'!$F$21:$F$501,'דוח ביצוע (3)'!$B354,'מצבת והרשמה (2)'!$J$21:$J$501),0))</f>
        <v>0</v>
      </c>
      <c r="E354" s="252">
        <f>IFERROR(SUMIF('מצבת והרשמה (2)'!$F$21:$F$501,'דוח ביצוע (3)'!$B354,'מצבת והרשמה (2)'!$K$21:$K$501),0)</f>
        <v>0</v>
      </c>
      <c r="F354" s="253">
        <f t="shared" si="104"/>
        <v>0</v>
      </c>
      <c r="G354" s="680"/>
      <c r="H354" s="680"/>
      <c r="I354" s="253">
        <f t="shared" si="97"/>
        <v>0</v>
      </c>
      <c r="J354" s="453">
        <f t="shared" si="105"/>
        <v>0</v>
      </c>
      <c r="K354" s="689"/>
      <c r="L354" s="689"/>
      <c r="M354" s="969">
        <f t="shared" si="106"/>
        <v>0</v>
      </c>
      <c r="N354" s="1029" t="str">
        <f t="shared" si="107"/>
        <v/>
      </c>
      <c r="O354" s="969" t="str">
        <f>IFERROR(VLOOKUP(B354,'נתוני רישום ומצבת'!B:Q,16,0),"")</f>
        <v/>
      </c>
      <c r="P354" s="969" t="str">
        <f>IFERROR(VLOOKUP(B354,'נתוני רישום ומצבת'!B:R,17,0),"")</f>
        <v/>
      </c>
      <c r="Q354" s="690"/>
      <c r="R354" s="1009"/>
      <c r="S354" s="376">
        <f t="shared" si="108"/>
        <v>0</v>
      </c>
      <c r="T354" s="376">
        <f t="shared" si="109"/>
        <v>0</v>
      </c>
      <c r="U354" s="386">
        <f t="shared" si="110"/>
        <v>0</v>
      </c>
      <c r="V354" s="513" t="str">
        <f t="shared" si="111"/>
        <v/>
      </c>
      <c r="W354" s="254" t="str">
        <f>IF(ISBLANK(B354)," ",IF(B354=IFERROR(VLOOKUP(B354,'מצבת והרשמה (2)'!F:F,1,0),0),"תקין","לא קיים במצבת כבית ספר בו מתקיימת פעילות"))</f>
        <v xml:space="preserve"> </v>
      </c>
      <c r="X354" s="256" t="str">
        <f t="shared" si="98"/>
        <v/>
      </c>
      <c r="Y354" s="256" t="str">
        <f t="shared" si="99"/>
        <v/>
      </c>
      <c r="Z354" s="741">
        <f t="shared" si="100"/>
        <v>0</v>
      </c>
      <c r="AA354" s="741">
        <f t="shared" si="101"/>
        <v>0</v>
      </c>
      <c r="AB354" s="741">
        <f t="shared" si="102"/>
        <v>0</v>
      </c>
      <c r="AC354" s="987">
        <f t="shared" si="112"/>
        <v>0</v>
      </c>
      <c r="AD354" s="987">
        <f t="shared" si="113"/>
        <v>0</v>
      </c>
      <c r="AE354" s="368" t="str">
        <f>IFERROR(VLOOKUP(B354,'[1]סיכום בקרת רשויות'!$A:$D,4,0),"")</f>
        <v/>
      </c>
      <c r="AF354" s="57" t="str">
        <f t="shared" si="114"/>
        <v/>
      </c>
      <c r="AG354" s="180">
        <f>IF(AF354="כן",M354*'גנים ובתי ספר- מבנה תקציב'!$H$59,0)</f>
        <v>0</v>
      </c>
      <c r="AH354" s="180">
        <f>IF(AF354="כן",M354*'גנים ובתי ספר- מבנה תקציב'!$I$59,0)</f>
        <v>0</v>
      </c>
      <c r="AI354" s="180">
        <f t="shared" si="115"/>
        <v>0</v>
      </c>
      <c r="AJ354" s="368" t="str">
        <f t="shared" si="103"/>
        <v/>
      </c>
    </row>
    <row r="355" spans="1:36" x14ac:dyDescent="0.25">
      <c r="A355" s="57">
        <v>335</v>
      </c>
      <c r="B355" s="690"/>
      <c r="C355" s="690"/>
      <c r="D355" s="252">
        <f>(IFERROR(SUMIF('מצבת והרשמה (2)'!$F$21:$F$501,'דוח ביצוע (3)'!$B355,'מצבת והרשמה (2)'!$J$21:$J$501),0))</f>
        <v>0</v>
      </c>
      <c r="E355" s="252">
        <f>IFERROR(SUMIF('מצבת והרשמה (2)'!$F$21:$F$501,'דוח ביצוע (3)'!$B355,'מצבת והרשמה (2)'!$K$21:$K$501),0)</f>
        <v>0</v>
      </c>
      <c r="F355" s="253">
        <f t="shared" si="104"/>
        <v>0</v>
      </c>
      <c r="G355" s="680"/>
      <c r="H355" s="680"/>
      <c r="I355" s="253">
        <f t="shared" si="97"/>
        <v>0</v>
      </c>
      <c r="J355" s="453">
        <f t="shared" si="105"/>
        <v>0</v>
      </c>
      <c r="K355" s="689"/>
      <c r="L355" s="689"/>
      <c r="M355" s="969">
        <f t="shared" si="106"/>
        <v>0</v>
      </c>
      <c r="N355" s="1029" t="str">
        <f t="shared" si="107"/>
        <v/>
      </c>
      <c r="O355" s="969" t="str">
        <f>IFERROR(VLOOKUP(B355,'נתוני רישום ומצבת'!B:Q,16,0),"")</f>
        <v/>
      </c>
      <c r="P355" s="969" t="str">
        <f>IFERROR(VLOOKUP(B355,'נתוני רישום ומצבת'!B:R,17,0),"")</f>
        <v/>
      </c>
      <c r="Q355" s="690"/>
      <c r="R355" s="1009"/>
      <c r="S355" s="376">
        <f t="shared" si="108"/>
        <v>0</v>
      </c>
      <c r="T355" s="376">
        <f t="shared" si="109"/>
        <v>0</v>
      </c>
      <c r="U355" s="386">
        <f t="shared" si="110"/>
        <v>0</v>
      </c>
      <c r="V355" s="513" t="str">
        <f t="shared" si="111"/>
        <v/>
      </c>
      <c r="W355" s="254" t="str">
        <f>IF(ISBLANK(B355)," ",IF(B355=IFERROR(VLOOKUP(B355,'מצבת והרשמה (2)'!F:F,1,0),0),"תקין","לא קיים במצבת כבית ספר בו מתקיימת פעילות"))</f>
        <v xml:space="preserve"> </v>
      </c>
      <c r="X355" s="256" t="str">
        <f t="shared" si="98"/>
        <v/>
      </c>
      <c r="Y355" s="256" t="str">
        <f t="shared" si="99"/>
        <v/>
      </c>
      <c r="Z355" s="741">
        <f t="shared" si="100"/>
        <v>0</v>
      </c>
      <c r="AA355" s="741">
        <f t="shared" si="101"/>
        <v>0</v>
      </c>
      <c r="AB355" s="741">
        <f t="shared" si="102"/>
        <v>0</v>
      </c>
      <c r="AC355" s="987">
        <f t="shared" si="112"/>
        <v>0</v>
      </c>
      <c r="AD355" s="987">
        <f t="shared" si="113"/>
        <v>0</v>
      </c>
      <c r="AE355" s="368" t="str">
        <f>IFERROR(VLOOKUP(B355,'[1]סיכום בקרת רשויות'!$A:$D,4,0),"")</f>
        <v/>
      </c>
      <c r="AF355" s="57" t="str">
        <f t="shared" si="114"/>
        <v/>
      </c>
      <c r="AG355" s="180">
        <f>IF(AF355="כן",M355*'גנים ובתי ספר- מבנה תקציב'!$H$59,0)</f>
        <v>0</v>
      </c>
      <c r="AH355" s="180">
        <f>IF(AF355="כן",M355*'גנים ובתי ספר- מבנה תקציב'!$I$59,0)</f>
        <v>0</v>
      </c>
      <c r="AI355" s="180">
        <f t="shared" si="115"/>
        <v>0</v>
      </c>
      <c r="AJ355" s="368" t="str">
        <f t="shared" si="103"/>
        <v/>
      </c>
    </row>
    <row r="356" spans="1:36" x14ac:dyDescent="0.25">
      <c r="A356" s="57">
        <v>336</v>
      </c>
      <c r="B356" s="690"/>
      <c r="C356" s="690"/>
      <c r="D356" s="252">
        <f>(IFERROR(SUMIF('מצבת והרשמה (2)'!$F$21:$F$501,'דוח ביצוע (3)'!$B356,'מצבת והרשמה (2)'!$J$21:$J$501),0))</f>
        <v>0</v>
      </c>
      <c r="E356" s="252">
        <f>IFERROR(SUMIF('מצבת והרשמה (2)'!$F$21:$F$501,'דוח ביצוע (3)'!$B356,'מצבת והרשמה (2)'!$K$21:$K$501),0)</f>
        <v>0</v>
      </c>
      <c r="F356" s="253">
        <f t="shared" si="104"/>
        <v>0</v>
      </c>
      <c r="G356" s="680"/>
      <c r="H356" s="680"/>
      <c r="I356" s="253">
        <f t="shared" si="97"/>
        <v>0</v>
      </c>
      <c r="J356" s="453">
        <f t="shared" si="105"/>
        <v>0</v>
      </c>
      <c r="K356" s="689"/>
      <c r="L356" s="689"/>
      <c r="M356" s="969">
        <f t="shared" si="106"/>
        <v>0</v>
      </c>
      <c r="N356" s="1029" t="str">
        <f t="shared" si="107"/>
        <v/>
      </c>
      <c r="O356" s="969" t="str">
        <f>IFERROR(VLOOKUP(B356,'נתוני רישום ומצבת'!B:Q,16,0),"")</f>
        <v/>
      </c>
      <c r="P356" s="969" t="str">
        <f>IFERROR(VLOOKUP(B356,'נתוני רישום ומצבת'!B:R,17,0),"")</f>
        <v/>
      </c>
      <c r="Q356" s="690"/>
      <c r="R356" s="1009"/>
      <c r="S356" s="376">
        <f t="shared" si="108"/>
        <v>0</v>
      </c>
      <c r="T356" s="376">
        <f t="shared" si="109"/>
        <v>0</v>
      </c>
      <c r="U356" s="386">
        <f t="shared" si="110"/>
        <v>0</v>
      </c>
      <c r="V356" s="513" t="str">
        <f t="shared" si="111"/>
        <v/>
      </c>
      <c r="W356" s="254" t="str">
        <f>IF(ISBLANK(B356)," ",IF(B356=IFERROR(VLOOKUP(B356,'מצבת והרשמה (2)'!F:F,1,0),0),"תקין","לא קיים במצבת כבית ספר בו מתקיימת פעילות"))</f>
        <v xml:space="preserve"> </v>
      </c>
      <c r="X356" s="256" t="str">
        <f t="shared" si="98"/>
        <v/>
      </c>
      <c r="Y356" s="256" t="str">
        <f t="shared" si="99"/>
        <v/>
      </c>
      <c r="Z356" s="741">
        <f t="shared" si="100"/>
        <v>0</v>
      </c>
      <c r="AA356" s="741">
        <f t="shared" si="101"/>
        <v>0</v>
      </c>
      <c r="AB356" s="741">
        <f t="shared" si="102"/>
        <v>0</v>
      </c>
      <c r="AC356" s="987">
        <f t="shared" si="112"/>
        <v>0</v>
      </c>
      <c r="AD356" s="987">
        <f t="shared" si="113"/>
        <v>0</v>
      </c>
      <c r="AE356" s="368" t="str">
        <f>IFERROR(VLOOKUP(B356,'[1]סיכום בקרת רשויות'!$A:$D,4,0),"")</f>
        <v/>
      </c>
      <c r="AF356" s="57" t="str">
        <f t="shared" si="114"/>
        <v/>
      </c>
      <c r="AG356" s="180">
        <f>IF(AF356="כן",M356*'גנים ובתי ספר- מבנה תקציב'!$H$59,0)</f>
        <v>0</v>
      </c>
      <c r="AH356" s="180">
        <f>IF(AF356="כן",M356*'גנים ובתי ספר- מבנה תקציב'!$I$59,0)</f>
        <v>0</v>
      </c>
      <c r="AI356" s="180">
        <f t="shared" si="115"/>
        <v>0</v>
      </c>
      <c r="AJ356" s="368" t="str">
        <f t="shared" si="103"/>
        <v/>
      </c>
    </row>
    <row r="357" spans="1:36" x14ac:dyDescent="0.25">
      <c r="A357" s="57">
        <v>337</v>
      </c>
      <c r="B357" s="690"/>
      <c r="C357" s="690"/>
      <c r="D357" s="252">
        <f>(IFERROR(SUMIF('מצבת והרשמה (2)'!$F$21:$F$501,'דוח ביצוע (3)'!$B357,'מצבת והרשמה (2)'!$J$21:$J$501),0))</f>
        <v>0</v>
      </c>
      <c r="E357" s="252">
        <f>IFERROR(SUMIF('מצבת והרשמה (2)'!$F$21:$F$501,'דוח ביצוע (3)'!$B357,'מצבת והרשמה (2)'!$K$21:$K$501),0)</f>
        <v>0</v>
      </c>
      <c r="F357" s="253">
        <f t="shared" si="104"/>
        <v>0</v>
      </c>
      <c r="G357" s="680"/>
      <c r="H357" s="680"/>
      <c r="I357" s="253">
        <f t="shared" si="97"/>
        <v>0</v>
      </c>
      <c r="J357" s="453">
        <f t="shared" si="105"/>
        <v>0</v>
      </c>
      <c r="K357" s="689"/>
      <c r="L357" s="689"/>
      <c r="M357" s="969">
        <f t="shared" si="106"/>
        <v>0</v>
      </c>
      <c r="N357" s="1029" t="str">
        <f t="shared" si="107"/>
        <v/>
      </c>
      <c r="O357" s="969" t="str">
        <f>IFERROR(VLOOKUP(B357,'נתוני רישום ומצבת'!B:Q,16,0),"")</f>
        <v/>
      </c>
      <c r="P357" s="969" t="str">
        <f>IFERROR(VLOOKUP(B357,'נתוני רישום ומצבת'!B:R,17,0),"")</f>
        <v/>
      </c>
      <c r="Q357" s="690"/>
      <c r="R357" s="1009"/>
      <c r="S357" s="376">
        <f t="shared" si="108"/>
        <v>0</v>
      </c>
      <c r="T357" s="376">
        <f t="shared" si="109"/>
        <v>0</v>
      </c>
      <c r="U357" s="386">
        <f t="shared" si="110"/>
        <v>0</v>
      </c>
      <c r="V357" s="513" t="str">
        <f t="shared" si="111"/>
        <v/>
      </c>
      <c r="W357" s="254" t="str">
        <f>IF(ISBLANK(B357)," ",IF(B357=IFERROR(VLOOKUP(B357,'מצבת והרשמה (2)'!F:F,1,0),0),"תקין","לא קיים במצבת כבית ספר בו מתקיימת פעילות"))</f>
        <v xml:space="preserve"> </v>
      </c>
      <c r="X357" s="256" t="str">
        <f t="shared" si="98"/>
        <v/>
      </c>
      <c r="Y357" s="256" t="str">
        <f t="shared" si="99"/>
        <v/>
      </c>
      <c r="Z357" s="741">
        <f t="shared" si="100"/>
        <v>0</v>
      </c>
      <c r="AA357" s="741">
        <f t="shared" si="101"/>
        <v>0</v>
      </c>
      <c r="AB357" s="741">
        <f t="shared" si="102"/>
        <v>0</v>
      </c>
      <c r="AC357" s="987">
        <f t="shared" si="112"/>
        <v>0</v>
      </c>
      <c r="AD357" s="987">
        <f t="shared" si="113"/>
        <v>0</v>
      </c>
      <c r="AE357" s="368" t="str">
        <f>IFERROR(VLOOKUP(B357,'[1]סיכום בקרת רשויות'!$A:$D,4,0),"")</f>
        <v/>
      </c>
      <c r="AF357" s="57" t="str">
        <f t="shared" si="114"/>
        <v/>
      </c>
      <c r="AG357" s="180">
        <f>IF(AF357="כן",M357*'גנים ובתי ספר- מבנה תקציב'!$H$59,0)</f>
        <v>0</v>
      </c>
      <c r="AH357" s="180">
        <f>IF(AF357="כן",M357*'גנים ובתי ספר- מבנה תקציב'!$I$59,0)</f>
        <v>0</v>
      </c>
      <c r="AI357" s="180">
        <f t="shared" si="115"/>
        <v>0</v>
      </c>
      <c r="AJ357" s="368" t="str">
        <f t="shared" si="103"/>
        <v/>
      </c>
    </row>
    <row r="358" spans="1:36" x14ac:dyDescent="0.25">
      <c r="A358" s="57">
        <v>338</v>
      </c>
      <c r="B358" s="690"/>
      <c r="C358" s="690"/>
      <c r="D358" s="252">
        <f>(IFERROR(SUMIF('מצבת והרשמה (2)'!$F$21:$F$501,'דוח ביצוע (3)'!$B358,'מצבת והרשמה (2)'!$J$21:$J$501),0))</f>
        <v>0</v>
      </c>
      <c r="E358" s="252">
        <f>IFERROR(SUMIF('מצבת והרשמה (2)'!$F$21:$F$501,'דוח ביצוע (3)'!$B358,'מצבת והרשמה (2)'!$K$21:$K$501),0)</f>
        <v>0</v>
      </c>
      <c r="F358" s="253">
        <f t="shared" si="104"/>
        <v>0</v>
      </c>
      <c r="G358" s="680"/>
      <c r="H358" s="680"/>
      <c r="I358" s="253">
        <f t="shared" si="97"/>
        <v>0</v>
      </c>
      <c r="J358" s="453">
        <f t="shared" si="105"/>
        <v>0</v>
      </c>
      <c r="K358" s="689"/>
      <c r="L358" s="689"/>
      <c r="M358" s="969">
        <f t="shared" si="106"/>
        <v>0</v>
      </c>
      <c r="N358" s="1029" t="str">
        <f t="shared" si="107"/>
        <v/>
      </c>
      <c r="O358" s="969" t="str">
        <f>IFERROR(VLOOKUP(B358,'נתוני רישום ומצבת'!B:Q,16,0),"")</f>
        <v/>
      </c>
      <c r="P358" s="969" t="str">
        <f>IFERROR(VLOOKUP(B358,'נתוני רישום ומצבת'!B:R,17,0),"")</f>
        <v/>
      </c>
      <c r="Q358" s="690"/>
      <c r="R358" s="1009"/>
      <c r="S358" s="376">
        <f t="shared" si="108"/>
        <v>0</v>
      </c>
      <c r="T358" s="376">
        <f t="shared" si="109"/>
        <v>0</v>
      </c>
      <c r="U358" s="386">
        <f t="shared" si="110"/>
        <v>0</v>
      </c>
      <c r="V358" s="513" t="str">
        <f t="shared" si="111"/>
        <v/>
      </c>
      <c r="W358" s="254" t="str">
        <f>IF(ISBLANK(B358)," ",IF(B358=IFERROR(VLOOKUP(B358,'מצבת והרשמה (2)'!F:F,1,0),0),"תקין","לא קיים במצבת כבית ספר בו מתקיימת פעילות"))</f>
        <v xml:space="preserve"> </v>
      </c>
      <c r="X358" s="256" t="str">
        <f t="shared" si="98"/>
        <v/>
      </c>
      <c r="Y358" s="256" t="str">
        <f t="shared" si="99"/>
        <v/>
      </c>
      <c r="Z358" s="741">
        <f t="shared" si="100"/>
        <v>0</v>
      </c>
      <c r="AA358" s="741">
        <f t="shared" si="101"/>
        <v>0</v>
      </c>
      <c r="AB358" s="741">
        <f t="shared" si="102"/>
        <v>0</v>
      </c>
      <c r="AC358" s="987">
        <f t="shared" si="112"/>
        <v>0</v>
      </c>
      <c r="AD358" s="987">
        <f t="shared" si="113"/>
        <v>0</v>
      </c>
      <c r="AE358" s="368" t="str">
        <f>IFERROR(VLOOKUP(B358,'[1]סיכום בקרת רשויות'!$A:$D,4,0),"")</f>
        <v/>
      </c>
      <c r="AF358" s="57" t="str">
        <f t="shared" si="114"/>
        <v/>
      </c>
      <c r="AG358" s="180">
        <f>IF(AF358="כן",M358*'גנים ובתי ספר- מבנה תקציב'!$H$59,0)</f>
        <v>0</v>
      </c>
      <c r="AH358" s="180">
        <f>IF(AF358="כן",M358*'גנים ובתי ספר- מבנה תקציב'!$I$59,0)</f>
        <v>0</v>
      </c>
      <c r="AI358" s="180">
        <f t="shared" si="115"/>
        <v>0</v>
      </c>
      <c r="AJ358" s="368" t="str">
        <f t="shared" si="103"/>
        <v/>
      </c>
    </row>
    <row r="359" spans="1:36" x14ac:dyDescent="0.25">
      <c r="A359" s="57">
        <v>339</v>
      </c>
      <c r="B359" s="690"/>
      <c r="C359" s="690"/>
      <c r="D359" s="252">
        <f>(IFERROR(SUMIF('מצבת והרשמה (2)'!$F$21:$F$501,'דוח ביצוע (3)'!$B359,'מצבת והרשמה (2)'!$J$21:$J$501),0))</f>
        <v>0</v>
      </c>
      <c r="E359" s="252">
        <f>IFERROR(SUMIF('מצבת והרשמה (2)'!$F$21:$F$501,'דוח ביצוע (3)'!$B359,'מצבת והרשמה (2)'!$K$21:$K$501),0)</f>
        <v>0</v>
      </c>
      <c r="F359" s="253">
        <f t="shared" si="104"/>
        <v>0</v>
      </c>
      <c r="G359" s="680"/>
      <c r="H359" s="680"/>
      <c r="I359" s="253">
        <f t="shared" si="97"/>
        <v>0</v>
      </c>
      <c r="J359" s="453">
        <f t="shared" si="105"/>
        <v>0</v>
      </c>
      <c r="K359" s="689"/>
      <c r="L359" s="689"/>
      <c r="M359" s="969">
        <f t="shared" si="106"/>
        <v>0</v>
      </c>
      <c r="N359" s="1029" t="str">
        <f t="shared" si="107"/>
        <v/>
      </c>
      <c r="O359" s="969" t="str">
        <f>IFERROR(VLOOKUP(B359,'נתוני רישום ומצבת'!B:Q,16,0),"")</f>
        <v/>
      </c>
      <c r="P359" s="969" t="str">
        <f>IFERROR(VLOOKUP(B359,'נתוני רישום ומצבת'!B:R,17,0),"")</f>
        <v/>
      </c>
      <c r="Q359" s="690"/>
      <c r="R359" s="1009"/>
      <c r="S359" s="376">
        <f t="shared" si="108"/>
        <v>0</v>
      </c>
      <c r="T359" s="376">
        <f t="shared" si="109"/>
        <v>0</v>
      </c>
      <c r="U359" s="386">
        <f t="shared" si="110"/>
        <v>0</v>
      </c>
      <c r="V359" s="513" t="str">
        <f t="shared" si="111"/>
        <v/>
      </c>
      <c r="W359" s="254" t="str">
        <f>IF(ISBLANK(B359)," ",IF(B359=IFERROR(VLOOKUP(B359,'מצבת והרשמה (2)'!F:F,1,0),0),"תקין","לא קיים במצבת כבית ספר בו מתקיימת פעילות"))</f>
        <v xml:space="preserve"> </v>
      </c>
      <c r="X359" s="256" t="str">
        <f t="shared" si="98"/>
        <v/>
      </c>
      <c r="Y359" s="256" t="str">
        <f t="shared" si="99"/>
        <v/>
      </c>
      <c r="Z359" s="741">
        <f t="shared" si="100"/>
        <v>0</v>
      </c>
      <c r="AA359" s="741">
        <f t="shared" si="101"/>
        <v>0</v>
      </c>
      <c r="AB359" s="741">
        <f t="shared" si="102"/>
        <v>0</v>
      </c>
      <c r="AC359" s="987">
        <f t="shared" si="112"/>
        <v>0</v>
      </c>
      <c r="AD359" s="987">
        <f t="shared" si="113"/>
        <v>0</v>
      </c>
      <c r="AE359" s="368" t="str">
        <f>IFERROR(VLOOKUP(B359,'[1]סיכום בקרת רשויות'!$A:$D,4,0),"")</f>
        <v/>
      </c>
      <c r="AF359" s="57" t="str">
        <f t="shared" si="114"/>
        <v/>
      </c>
      <c r="AG359" s="180">
        <f>IF(AF359="כן",M359*'גנים ובתי ספר- מבנה תקציב'!$H$59,0)</f>
        <v>0</v>
      </c>
      <c r="AH359" s="180">
        <f>IF(AF359="כן",M359*'גנים ובתי ספר- מבנה תקציב'!$I$59,0)</f>
        <v>0</v>
      </c>
      <c r="AI359" s="180">
        <f t="shared" si="115"/>
        <v>0</v>
      </c>
      <c r="AJ359" s="368" t="str">
        <f t="shared" si="103"/>
        <v/>
      </c>
    </row>
    <row r="360" spans="1:36" x14ac:dyDescent="0.25">
      <c r="A360" s="57">
        <v>340</v>
      </c>
      <c r="B360" s="690"/>
      <c r="C360" s="690"/>
      <c r="D360" s="252">
        <f>(IFERROR(SUMIF('מצבת והרשמה (2)'!$F$21:$F$501,'דוח ביצוע (3)'!$B360,'מצבת והרשמה (2)'!$J$21:$J$501),0))</f>
        <v>0</v>
      </c>
      <c r="E360" s="252">
        <f>IFERROR(SUMIF('מצבת והרשמה (2)'!$F$21:$F$501,'דוח ביצוע (3)'!$B360,'מצבת והרשמה (2)'!$K$21:$K$501),0)</f>
        <v>0</v>
      </c>
      <c r="F360" s="253">
        <f t="shared" si="104"/>
        <v>0</v>
      </c>
      <c r="G360" s="680"/>
      <c r="H360" s="680"/>
      <c r="I360" s="253">
        <f t="shared" si="97"/>
        <v>0</v>
      </c>
      <c r="J360" s="453">
        <f t="shared" si="105"/>
        <v>0</v>
      </c>
      <c r="K360" s="689"/>
      <c r="L360" s="689"/>
      <c r="M360" s="969">
        <f t="shared" si="106"/>
        <v>0</v>
      </c>
      <c r="N360" s="1029" t="str">
        <f t="shared" si="107"/>
        <v/>
      </c>
      <c r="O360" s="969" t="str">
        <f>IFERROR(VLOOKUP(B360,'נתוני רישום ומצבת'!B:Q,16,0),"")</f>
        <v/>
      </c>
      <c r="P360" s="969" t="str">
        <f>IFERROR(VLOOKUP(B360,'נתוני רישום ומצבת'!B:R,17,0),"")</f>
        <v/>
      </c>
      <c r="Q360" s="690"/>
      <c r="R360" s="1009"/>
      <c r="S360" s="376">
        <f t="shared" si="108"/>
        <v>0</v>
      </c>
      <c r="T360" s="376">
        <f t="shared" si="109"/>
        <v>0</v>
      </c>
      <c r="U360" s="386">
        <f t="shared" si="110"/>
        <v>0</v>
      </c>
      <c r="V360" s="513" t="str">
        <f t="shared" si="111"/>
        <v/>
      </c>
      <c r="W360" s="254" t="str">
        <f>IF(ISBLANK(B360)," ",IF(B360=IFERROR(VLOOKUP(B360,'מצבת והרשמה (2)'!F:F,1,0),0),"תקין","לא קיים במצבת כבית ספר בו מתקיימת פעילות"))</f>
        <v xml:space="preserve"> </v>
      </c>
      <c r="X360" s="256" t="str">
        <f t="shared" si="98"/>
        <v/>
      </c>
      <c r="Y360" s="256" t="str">
        <f t="shared" si="99"/>
        <v/>
      </c>
      <c r="Z360" s="741">
        <f t="shared" si="100"/>
        <v>0</v>
      </c>
      <c r="AA360" s="741">
        <f t="shared" si="101"/>
        <v>0</v>
      </c>
      <c r="AB360" s="741">
        <f t="shared" si="102"/>
        <v>0</v>
      </c>
      <c r="AC360" s="987">
        <f t="shared" si="112"/>
        <v>0</v>
      </c>
      <c r="AD360" s="987">
        <f t="shared" si="113"/>
        <v>0</v>
      </c>
      <c r="AE360" s="368" t="str">
        <f>IFERROR(VLOOKUP(B360,'[1]סיכום בקרת רשויות'!$A:$D,4,0),"")</f>
        <v/>
      </c>
      <c r="AF360" s="57" t="str">
        <f t="shared" si="114"/>
        <v/>
      </c>
      <c r="AG360" s="180">
        <f>IF(AF360="כן",M360*'גנים ובתי ספר- מבנה תקציב'!$H$59,0)</f>
        <v>0</v>
      </c>
      <c r="AH360" s="180">
        <f>IF(AF360="כן",M360*'גנים ובתי ספר- מבנה תקציב'!$I$59,0)</f>
        <v>0</v>
      </c>
      <c r="AI360" s="180">
        <f t="shared" si="115"/>
        <v>0</v>
      </c>
      <c r="AJ360" s="368" t="str">
        <f t="shared" si="103"/>
        <v/>
      </c>
    </row>
    <row r="361" spans="1:36" x14ac:dyDescent="0.25">
      <c r="A361" s="57">
        <v>341</v>
      </c>
      <c r="B361" s="690"/>
      <c r="C361" s="690"/>
      <c r="D361" s="252">
        <f>(IFERROR(SUMIF('מצבת והרשמה (2)'!$F$21:$F$501,'דוח ביצוע (3)'!$B361,'מצבת והרשמה (2)'!$J$21:$J$501),0))</f>
        <v>0</v>
      </c>
      <c r="E361" s="252">
        <f>IFERROR(SUMIF('מצבת והרשמה (2)'!$F$21:$F$501,'דוח ביצוע (3)'!$B361,'מצבת והרשמה (2)'!$K$21:$K$501),0)</f>
        <v>0</v>
      </c>
      <c r="F361" s="253">
        <f t="shared" si="104"/>
        <v>0</v>
      </c>
      <c r="G361" s="680"/>
      <c r="H361" s="680"/>
      <c r="I361" s="253">
        <f t="shared" si="97"/>
        <v>0</v>
      </c>
      <c r="J361" s="453">
        <f t="shared" si="105"/>
        <v>0</v>
      </c>
      <c r="K361" s="689"/>
      <c r="L361" s="689"/>
      <c r="M361" s="969">
        <f t="shared" si="106"/>
        <v>0</v>
      </c>
      <c r="N361" s="1029" t="str">
        <f t="shared" si="107"/>
        <v/>
      </c>
      <c r="O361" s="969" t="str">
        <f>IFERROR(VLOOKUP(B361,'נתוני רישום ומצבת'!B:Q,16,0),"")</f>
        <v/>
      </c>
      <c r="P361" s="969" t="str">
        <f>IFERROR(VLOOKUP(B361,'נתוני רישום ומצבת'!B:R,17,0),"")</f>
        <v/>
      </c>
      <c r="Q361" s="690"/>
      <c r="R361" s="1009"/>
      <c r="S361" s="376">
        <f t="shared" si="108"/>
        <v>0</v>
      </c>
      <c r="T361" s="376">
        <f t="shared" si="109"/>
        <v>0</v>
      </c>
      <c r="U361" s="386">
        <f t="shared" si="110"/>
        <v>0</v>
      </c>
      <c r="V361" s="513" t="str">
        <f t="shared" si="111"/>
        <v/>
      </c>
      <c r="W361" s="254" t="str">
        <f>IF(ISBLANK(B361)," ",IF(B361=IFERROR(VLOOKUP(B361,'מצבת והרשמה (2)'!F:F,1,0),0),"תקין","לא קיים במצבת כבית ספר בו מתקיימת פעילות"))</f>
        <v xml:space="preserve"> </v>
      </c>
      <c r="X361" s="256" t="str">
        <f t="shared" si="98"/>
        <v/>
      </c>
      <c r="Y361" s="256" t="str">
        <f t="shared" si="99"/>
        <v/>
      </c>
      <c r="Z361" s="741">
        <f t="shared" si="100"/>
        <v>0</v>
      </c>
      <c r="AA361" s="741">
        <f t="shared" si="101"/>
        <v>0</v>
      </c>
      <c r="AB361" s="741">
        <f t="shared" si="102"/>
        <v>0</v>
      </c>
      <c r="AC361" s="987">
        <f t="shared" si="112"/>
        <v>0</v>
      </c>
      <c r="AD361" s="987">
        <f t="shared" si="113"/>
        <v>0</v>
      </c>
      <c r="AE361" s="368" t="str">
        <f>IFERROR(VLOOKUP(B361,'[1]סיכום בקרת רשויות'!$A:$D,4,0),"")</f>
        <v/>
      </c>
      <c r="AF361" s="57" t="str">
        <f t="shared" si="114"/>
        <v/>
      </c>
      <c r="AG361" s="180">
        <f>IF(AF361="כן",M361*'גנים ובתי ספר- מבנה תקציב'!$H$59,0)</f>
        <v>0</v>
      </c>
      <c r="AH361" s="180">
        <f>IF(AF361="כן",M361*'גנים ובתי ספר- מבנה תקציב'!$I$59,0)</f>
        <v>0</v>
      </c>
      <c r="AI361" s="180">
        <f t="shared" si="115"/>
        <v>0</v>
      </c>
      <c r="AJ361" s="368" t="str">
        <f t="shared" si="103"/>
        <v/>
      </c>
    </row>
    <row r="362" spans="1:36" x14ac:dyDescent="0.25">
      <c r="A362" s="57">
        <v>342</v>
      </c>
      <c r="B362" s="690"/>
      <c r="C362" s="690"/>
      <c r="D362" s="252">
        <f>(IFERROR(SUMIF('מצבת והרשמה (2)'!$F$21:$F$501,'דוח ביצוע (3)'!$B362,'מצבת והרשמה (2)'!$J$21:$J$501),0))</f>
        <v>0</v>
      </c>
      <c r="E362" s="252">
        <f>IFERROR(SUMIF('מצבת והרשמה (2)'!$F$21:$F$501,'דוח ביצוע (3)'!$B362,'מצבת והרשמה (2)'!$K$21:$K$501),0)</f>
        <v>0</v>
      </c>
      <c r="F362" s="253">
        <f t="shared" si="104"/>
        <v>0</v>
      </c>
      <c r="G362" s="680"/>
      <c r="H362" s="680"/>
      <c r="I362" s="253">
        <f t="shared" si="97"/>
        <v>0</v>
      </c>
      <c r="J362" s="453">
        <f t="shared" si="105"/>
        <v>0</v>
      </c>
      <c r="K362" s="689"/>
      <c r="L362" s="689"/>
      <c r="M362" s="969">
        <f t="shared" si="106"/>
        <v>0</v>
      </c>
      <c r="N362" s="1029" t="str">
        <f t="shared" si="107"/>
        <v/>
      </c>
      <c r="O362" s="969" t="str">
        <f>IFERROR(VLOOKUP(B362,'נתוני רישום ומצבת'!B:Q,16,0),"")</f>
        <v/>
      </c>
      <c r="P362" s="969" t="str">
        <f>IFERROR(VLOOKUP(B362,'נתוני רישום ומצבת'!B:R,17,0),"")</f>
        <v/>
      </c>
      <c r="Q362" s="690"/>
      <c r="R362" s="1009"/>
      <c r="S362" s="376">
        <f t="shared" si="108"/>
        <v>0</v>
      </c>
      <c r="T362" s="376">
        <f t="shared" si="109"/>
        <v>0</v>
      </c>
      <c r="U362" s="386">
        <f t="shared" si="110"/>
        <v>0</v>
      </c>
      <c r="V362" s="513" t="str">
        <f t="shared" si="111"/>
        <v/>
      </c>
      <c r="W362" s="254" t="str">
        <f>IF(ISBLANK(B362)," ",IF(B362=IFERROR(VLOOKUP(B362,'מצבת והרשמה (2)'!F:F,1,0),0),"תקין","לא קיים במצבת כבית ספר בו מתקיימת פעילות"))</f>
        <v xml:space="preserve"> </v>
      </c>
      <c r="X362" s="256" t="str">
        <f t="shared" si="98"/>
        <v/>
      </c>
      <c r="Y362" s="256" t="str">
        <f t="shared" si="99"/>
        <v/>
      </c>
      <c r="Z362" s="741">
        <f t="shared" si="100"/>
        <v>0</v>
      </c>
      <c r="AA362" s="741">
        <f t="shared" si="101"/>
        <v>0</v>
      </c>
      <c r="AB362" s="741">
        <f t="shared" si="102"/>
        <v>0</v>
      </c>
      <c r="AC362" s="987">
        <f t="shared" si="112"/>
        <v>0</v>
      </c>
      <c r="AD362" s="987">
        <f t="shared" si="113"/>
        <v>0</v>
      </c>
      <c r="AE362" s="368" t="str">
        <f>IFERROR(VLOOKUP(B362,'[1]סיכום בקרת רשויות'!$A:$D,4,0),"")</f>
        <v/>
      </c>
      <c r="AF362" s="57" t="str">
        <f t="shared" si="114"/>
        <v/>
      </c>
      <c r="AG362" s="180">
        <f>IF(AF362="כן",M362*'גנים ובתי ספר- מבנה תקציב'!$H$59,0)</f>
        <v>0</v>
      </c>
      <c r="AH362" s="180">
        <f>IF(AF362="כן",M362*'גנים ובתי ספר- מבנה תקציב'!$I$59,0)</f>
        <v>0</v>
      </c>
      <c r="AI362" s="180">
        <f t="shared" si="115"/>
        <v>0</v>
      </c>
      <c r="AJ362" s="368" t="str">
        <f t="shared" si="103"/>
        <v/>
      </c>
    </row>
    <row r="363" spans="1:36" x14ac:dyDescent="0.25">
      <c r="A363" s="57">
        <v>343</v>
      </c>
      <c r="B363" s="690"/>
      <c r="C363" s="690"/>
      <c r="D363" s="252">
        <f>(IFERROR(SUMIF('מצבת והרשמה (2)'!$F$21:$F$501,'דוח ביצוע (3)'!$B363,'מצבת והרשמה (2)'!$J$21:$J$501),0))</f>
        <v>0</v>
      </c>
      <c r="E363" s="252">
        <f>IFERROR(SUMIF('מצבת והרשמה (2)'!$F$21:$F$501,'דוח ביצוע (3)'!$B363,'מצבת והרשמה (2)'!$K$21:$K$501),0)</f>
        <v>0</v>
      </c>
      <c r="F363" s="253">
        <f t="shared" si="104"/>
        <v>0</v>
      </c>
      <c r="G363" s="680"/>
      <c r="H363" s="680"/>
      <c r="I363" s="253">
        <f t="shared" si="97"/>
        <v>0</v>
      </c>
      <c r="J363" s="453">
        <f t="shared" si="105"/>
        <v>0</v>
      </c>
      <c r="K363" s="689"/>
      <c r="L363" s="689"/>
      <c r="M363" s="969">
        <f t="shared" si="106"/>
        <v>0</v>
      </c>
      <c r="N363" s="1029" t="str">
        <f t="shared" si="107"/>
        <v/>
      </c>
      <c r="O363" s="969" t="str">
        <f>IFERROR(VLOOKUP(B363,'נתוני רישום ומצבת'!B:Q,16,0),"")</f>
        <v/>
      </c>
      <c r="P363" s="969" t="str">
        <f>IFERROR(VLOOKUP(B363,'נתוני רישום ומצבת'!B:R,17,0),"")</f>
        <v/>
      </c>
      <c r="Q363" s="690"/>
      <c r="R363" s="1009"/>
      <c r="S363" s="376">
        <f t="shared" si="108"/>
        <v>0</v>
      </c>
      <c r="T363" s="376">
        <f t="shared" si="109"/>
        <v>0</v>
      </c>
      <c r="U363" s="386">
        <f t="shared" si="110"/>
        <v>0</v>
      </c>
      <c r="V363" s="513" t="str">
        <f t="shared" si="111"/>
        <v/>
      </c>
      <c r="W363" s="254" t="str">
        <f>IF(ISBLANK(B363)," ",IF(B363=IFERROR(VLOOKUP(B363,'מצבת והרשמה (2)'!F:F,1,0),0),"תקין","לא קיים במצבת כבית ספר בו מתקיימת פעילות"))</f>
        <v xml:space="preserve"> </v>
      </c>
      <c r="X363" s="256" t="str">
        <f t="shared" si="98"/>
        <v/>
      </c>
      <c r="Y363" s="256" t="str">
        <f t="shared" si="99"/>
        <v/>
      </c>
      <c r="Z363" s="741">
        <f t="shared" si="100"/>
        <v>0</v>
      </c>
      <c r="AA363" s="741">
        <f t="shared" si="101"/>
        <v>0</v>
      </c>
      <c r="AB363" s="741">
        <f t="shared" si="102"/>
        <v>0</v>
      </c>
      <c r="AC363" s="987">
        <f t="shared" si="112"/>
        <v>0</v>
      </c>
      <c r="AD363" s="987">
        <f t="shared" si="113"/>
        <v>0</v>
      </c>
      <c r="AE363" s="368" t="str">
        <f>IFERROR(VLOOKUP(B363,'[1]סיכום בקרת רשויות'!$A:$D,4,0),"")</f>
        <v/>
      </c>
      <c r="AF363" s="57" t="str">
        <f t="shared" si="114"/>
        <v/>
      </c>
      <c r="AG363" s="180">
        <f>IF(AF363="כן",M363*'גנים ובתי ספר- מבנה תקציב'!$H$59,0)</f>
        <v>0</v>
      </c>
      <c r="AH363" s="180">
        <f>IF(AF363="כן",M363*'גנים ובתי ספר- מבנה תקציב'!$I$59,0)</f>
        <v>0</v>
      </c>
      <c r="AI363" s="180">
        <f t="shared" si="115"/>
        <v>0</v>
      </c>
      <c r="AJ363" s="368" t="str">
        <f t="shared" si="103"/>
        <v/>
      </c>
    </row>
    <row r="364" spans="1:36" x14ac:dyDescent="0.25">
      <c r="A364" s="57">
        <v>344</v>
      </c>
      <c r="B364" s="690"/>
      <c r="C364" s="690"/>
      <c r="D364" s="252">
        <f>(IFERROR(SUMIF('מצבת והרשמה (2)'!$F$21:$F$501,'דוח ביצוע (3)'!$B364,'מצבת והרשמה (2)'!$J$21:$J$501),0))</f>
        <v>0</v>
      </c>
      <c r="E364" s="252">
        <f>IFERROR(SUMIF('מצבת והרשמה (2)'!$F$21:$F$501,'דוח ביצוע (3)'!$B364,'מצבת והרשמה (2)'!$K$21:$K$501),0)</f>
        <v>0</v>
      </c>
      <c r="F364" s="253">
        <f t="shared" si="104"/>
        <v>0</v>
      </c>
      <c r="G364" s="680"/>
      <c r="H364" s="680"/>
      <c r="I364" s="253">
        <f t="shared" si="97"/>
        <v>0</v>
      </c>
      <c r="J364" s="453">
        <f t="shared" si="105"/>
        <v>0</v>
      </c>
      <c r="K364" s="689"/>
      <c r="L364" s="689"/>
      <c r="M364" s="969">
        <f t="shared" si="106"/>
        <v>0</v>
      </c>
      <c r="N364" s="1029" t="str">
        <f t="shared" si="107"/>
        <v/>
      </c>
      <c r="O364" s="969" t="str">
        <f>IFERROR(VLOOKUP(B364,'נתוני רישום ומצבת'!B:Q,16,0),"")</f>
        <v/>
      </c>
      <c r="P364" s="969" t="str">
        <f>IFERROR(VLOOKUP(B364,'נתוני רישום ומצבת'!B:R,17,0),"")</f>
        <v/>
      </c>
      <c r="Q364" s="690"/>
      <c r="R364" s="1009"/>
      <c r="S364" s="376">
        <f t="shared" si="108"/>
        <v>0</v>
      </c>
      <c r="T364" s="376">
        <f t="shared" si="109"/>
        <v>0</v>
      </c>
      <c r="U364" s="386">
        <f t="shared" si="110"/>
        <v>0</v>
      </c>
      <c r="V364" s="513" t="str">
        <f t="shared" si="111"/>
        <v/>
      </c>
      <c r="W364" s="254" t="str">
        <f>IF(ISBLANK(B364)," ",IF(B364=IFERROR(VLOOKUP(B364,'מצבת והרשמה (2)'!F:F,1,0),0),"תקין","לא קיים במצבת כבית ספר בו מתקיימת פעילות"))</f>
        <v xml:space="preserve"> </v>
      </c>
      <c r="X364" s="256" t="str">
        <f t="shared" si="98"/>
        <v/>
      </c>
      <c r="Y364" s="256" t="str">
        <f t="shared" si="99"/>
        <v/>
      </c>
      <c r="Z364" s="741">
        <f t="shared" si="100"/>
        <v>0</v>
      </c>
      <c r="AA364" s="741">
        <f t="shared" si="101"/>
        <v>0</v>
      </c>
      <c r="AB364" s="741">
        <f t="shared" si="102"/>
        <v>0</v>
      </c>
      <c r="AC364" s="987">
        <f t="shared" si="112"/>
        <v>0</v>
      </c>
      <c r="AD364" s="987">
        <f t="shared" si="113"/>
        <v>0</v>
      </c>
      <c r="AE364" s="368" t="str">
        <f>IFERROR(VLOOKUP(B364,'[1]סיכום בקרת רשויות'!$A:$D,4,0),"")</f>
        <v/>
      </c>
      <c r="AF364" s="57" t="str">
        <f t="shared" si="114"/>
        <v/>
      </c>
      <c r="AG364" s="180">
        <f>IF(AF364="כן",M364*'גנים ובתי ספר- מבנה תקציב'!$H$59,0)</f>
        <v>0</v>
      </c>
      <c r="AH364" s="180">
        <f>IF(AF364="כן",M364*'גנים ובתי ספר- מבנה תקציב'!$I$59,0)</f>
        <v>0</v>
      </c>
      <c r="AI364" s="180">
        <f t="shared" si="115"/>
        <v>0</v>
      </c>
      <c r="AJ364" s="368" t="str">
        <f t="shared" si="103"/>
        <v/>
      </c>
    </row>
    <row r="365" spans="1:36" x14ac:dyDescent="0.25">
      <c r="A365" s="57">
        <v>345</v>
      </c>
      <c r="B365" s="690"/>
      <c r="C365" s="690"/>
      <c r="D365" s="252">
        <f>(IFERROR(SUMIF('מצבת והרשמה (2)'!$F$21:$F$501,'דוח ביצוע (3)'!$B365,'מצבת והרשמה (2)'!$J$21:$J$501),0))</f>
        <v>0</v>
      </c>
      <c r="E365" s="252">
        <f>IFERROR(SUMIF('מצבת והרשמה (2)'!$F$21:$F$501,'דוח ביצוע (3)'!$B365,'מצבת והרשמה (2)'!$K$21:$K$501),0)</f>
        <v>0</v>
      </c>
      <c r="F365" s="253">
        <f t="shared" si="104"/>
        <v>0</v>
      </c>
      <c r="G365" s="680"/>
      <c r="H365" s="680"/>
      <c r="I365" s="253">
        <f t="shared" si="97"/>
        <v>0</v>
      </c>
      <c r="J365" s="453">
        <f t="shared" si="105"/>
        <v>0</v>
      </c>
      <c r="K365" s="689"/>
      <c r="L365" s="689"/>
      <c r="M365" s="969">
        <f t="shared" si="106"/>
        <v>0</v>
      </c>
      <c r="N365" s="1029" t="str">
        <f t="shared" si="107"/>
        <v/>
      </c>
      <c r="O365" s="969" t="str">
        <f>IFERROR(VLOOKUP(B365,'נתוני רישום ומצבת'!B:Q,16,0),"")</f>
        <v/>
      </c>
      <c r="P365" s="969" t="str">
        <f>IFERROR(VLOOKUP(B365,'נתוני רישום ומצבת'!B:R,17,0),"")</f>
        <v/>
      </c>
      <c r="Q365" s="690"/>
      <c r="R365" s="1009"/>
      <c r="S365" s="376">
        <f t="shared" si="108"/>
        <v>0</v>
      </c>
      <c r="T365" s="376">
        <f t="shared" si="109"/>
        <v>0</v>
      </c>
      <c r="U365" s="386">
        <f t="shared" si="110"/>
        <v>0</v>
      </c>
      <c r="V365" s="513" t="str">
        <f t="shared" si="111"/>
        <v/>
      </c>
      <c r="W365" s="254" t="str">
        <f>IF(ISBLANK(B365)," ",IF(B365=IFERROR(VLOOKUP(B365,'מצבת והרשמה (2)'!F:F,1,0),0),"תקין","לא קיים במצבת כבית ספר בו מתקיימת פעילות"))</f>
        <v xml:space="preserve"> </v>
      </c>
      <c r="X365" s="256" t="str">
        <f t="shared" si="98"/>
        <v/>
      </c>
      <c r="Y365" s="256" t="str">
        <f t="shared" si="99"/>
        <v/>
      </c>
      <c r="Z365" s="741">
        <f t="shared" si="100"/>
        <v>0</v>
      </c>
      <c r="AA365" s="741">
        <f t="shared" si="101"/>
        <v>0</v>
      </c>
      <c r="AB365" s="741">
        <f t="shared" si="102"/>
        <v>0</v>
      </c>
      <c r="AC365" s="987">
        <f t="shared" si="112"/>
        <v>0</v>
      </c>
      <c r="AD365" s="987">
        <f t="shared" si="113"/>
        <v>0</v>
      </c>
      <c r="AE365" s="368" t="str">
        <f>IFERROR(VLOOKUP(B365,'[1]סיכום בקרת רשויות'!$A:$D,4,0),"")</f>
        <v/>
      </c>
      <c r="AF365" s="57" t="str">
        <f t="shared" si="114"/>
        <v/>
      </c>
      <c r="AG365" s="180">
        <f>IF(AF365="כן",M365*'גנים ובתי ספר- מבנה תקציב'!$H$59,0)</f>
        <v>0</v>
      </c>
      <c r="AH365" s="180">
        <f>IF(AF365="כן",M365*'גנים ובתי ספר- מבנה תקציב'!$I$59,0)</f>
        <v>0</v>
      </c>
      <c r="AI365" s="180">
        <f t="shared" si="115"/>
        <v>0</v>
      </c>
      <c r="AJ365" s="368" t="str">
        <f t="shared" si="103"/>
        <v/>
      </c>
    </row>
    <row r="366" spans="1:36" x14ac:dyDescent="0.25">
      <c r="A366" s="57">
        <v>346</v>
      </c>
      <c r="B366" s="690"/>
      <c r="C366" s="690"/>
      <c r="D366" s="252">
        <f>(IFERROR(SUMIF('מצבת והרשמה (2)'!$F$21:$F$501,'דוח ביצוע (3)'!$B366,'מצבת והרשמה (2)'!$J$21:$J$501),0))</f>
        <v>0</v>
      </c>
      <c r="E366" s="252">
        <f>IFERROR(SUMIF('מצבת והרשמה (2)'!$F$21:$F$501,'דוח ביצוע (3)'!$B366,'מצבת והרשמה (2)'!$K$21:$K$501),0)</f>
        <v>0</v>
      </c>
      <c r="F366" s="253">
        <f t="shared" si="104"/>
        <v>0</v>
      </c>
      <c r="G366" s="680"/>
      <c r="H366" s="680"/>
      <c r="I366" s="253">
        <f t="shared" si="97"/>
        <v>0</v>
      </c>
      <c r="J366" s="453">
        <f t="shared" si="105"/>
        <v>0</v>
      </c>
      <c r="K366" s="689"/>
      <c r="L366" s="689"/>
      <c r="M366" s="969">
        <f t="shared" si="106"/>
        <v>0</v>
      </c>
      <c r="N366" s="1029" t="str">
        <f t="shared" si="107"/>
        <v/>
      </c>
      <c r="O366" s="969" t="str">
        <f>IFERROR(VLOOKUP(B366,'נתוני רישום ומצבת'!B:Q,16,0),"")</f>
        <v/>
      </c>
      <c r="P366" s="969" t="str">
        <f>IFERROR(VLOOKUP(B366,'נתוני רישום ומצבת'!B:R,17,0),"")</f>
        <v/>
      </c>
      <c r="Q366" s="690"/>
      <c r="R366" s="1009"/>
      <c r="S366" s="376">
        <f t="shared" si="108"/>
        <v>0</v>
      </c>
      <c r="T366" s="376">
        <f t="shared" si="109"/>
        <v>0</v>
      </c>
      <c r="U366" s="386">
        <f t="shared" si="110"/>
        <v>0</v>
      </c>
      <c r="V366" s="513" t="str">
        <f t="shared" si="111"/>
        <v/>
      </c>
      <c r="W366" s="254" t="str">
        <f>IF(ISBLANK(B366)," ",IF(B366=IFERROR(VLOOKUP(B366,'מצבת והרשמה (2)'!F:F,1,0),0),"תקין","לא קיים במצבת כבית ספר בו מתקיימת פעילות"))</f>
        <v xml:space="preserve"> </v>
      </c>
      <c r="X366" s="256" t="str">
        <f t="shared" si="98"/>
        <v/>
      </c>
      <c r="Y366" s="256" t="str">
        <f t="shared" si="99"/>
        <v/>
      </c>
      <c r="Z366" s="741">
        <f t="shared" si="100"/>
        <v>0</v>
      </c>
      <c r="AA366" s="741">
        <f t="shared" si="101"/>
        <v>0</v>
      </c>
      <c r="AB366" s="741">
        <f t="shared" si="102"/>
        <v>0</v>
      </c>
      <c r="AC366" s="987">
        <f t="shared" si="112"/>
        <v>0</v>
      </c>
      <c r="AD366" s="987">
        <f t="shared" si="113"/>
        <v>0</v>
      </c>
      <c r="AE366" s="368" t="str">
        <f>IFERROR(VLOOKUP(B366,'[1]סיכום בקרת רשויות'!$A:$D,4,0),"")</f>
        <v/>
      </c>
      <c r="AF366" s="57" t="str">
        <f t="shared" si="114"/>
        <v/>
      </c>
      <c r="AG366" s="180">
        <f>IF(AF366="כן",M366*'גנים ובתי ספר- מבנה תקציב'!$H$59,0)</f>
        <v>0</v>
      </c>
      <c r="AH366" s="180">
        <f>IF(AF366="כן",M366*'גנים ובתי ספר- מבנה תקציב'!$I$59,0)</f>
        <v>0</v>
      </c>
      <c r="AI366" s="180">
        <f t="shared" si="115"/>
        <v>0</v>
      </c>
      <c r="AJ366" s="368" t="str">
        <f t="shared" si="103"/>
        <v/>
      </c>
    </row>
    <row r="367" spans="1:36" x14ac:dyDescent="0.25">
      <c r="A367" s="57">
        <v>347</v>
      </c>
      <c r="B367" s="690"/>
      <c r="C367" s="690"/>
      <c r="D367" s="252">
        <f>(IFERROR(SUMIF('מצבת והרשמה (2)'!$F$21:$F$501,'דוח ביצוע (3)'!$B367,'מצבת והרשמה (2)'!$J$21:$J$501),0))</f>
        <v>0</v>
      </c>
      <c r="E367" s="252">
        <f>IFERROR(SUMIF('מצבת והרשמה (2)'!$F$21:$F$501,'דוח ביצוע (3)'!$B367,'מצבת והרשמה (2)'!$K$21:$K$501),0)</f>
        <v>0</v>
      </c>
      <c r="F367" s="253">
        <f t="shared" si="104"/>
        <v>0</v>
      </c>
      <c r="G367" s="680"/>
      <c r="H367" s="680"/>
      <c r="I367" s="253">
        <f t="shared" si="97"/>
        <v>0</v>
      </c>
      <c r="J367" s="453">
        <f t="shared" si="105"/>
        <v>0</v>
      </c>
      <c r="K367" s="689"/>
      <c r="L367" s="689"/>
      <c r="M367" s="969">
        <f t="shared" si="106"/>
        <v>0</v>
      </c>
      <c r="N367" s="1029" t="str">
        <f t="shared" si="107"/>
        <v/>
      </c>
      <c r="O367" s="969" t="str">
        <f>IFERROR(VLOOKUP(B367,'נתוני רישום ומצבת'!B:Q,16,0),"")</f>
        <v/>
      </c>
      <c r="P367" s="969" t="str">
        <f>IFERROR(VLOOKUP(B367,'נתוני רישום ומצבת'!B:R,17,0),"")</f>
        <v/>
      </c>
      <c r="Q367" s="690"/>
      <c r="R367" s="1009"/>
      <c r="S367" s="376">
        <f t="shared" si="108"/>
        <v>0</v>
      </c>
      <c r="T367" s="376">
        <f t="shared" si="109"/>
        <v>0</v>
      </c>
      <c r="U367" s="386">
        <f t="shared" si="110"/>
        <v>0</v>
      </c>
      <c r="V367" s="513" t="str">
        <f t="shared" si="111"/>
        <v/>
      </c>
      <c r="W367" s="254" t="str">
        <f>IF(ISBLANK(B367)," ",IF(B367=IFERROR(VLOOKUP(B367,'מצבת והרשמה (2)'!F:F,1,0),0),"תקין","לא קיים במצבת כבית ספר בו מתקיימת פעילות"))</f>
        <v xml:space="preserve"> </v>
      </c>
      <c r="X367" s="256" t="str">
        <f t="shared" si="98"/>
        <v/>
      </c>
      <c r="Y367" s="256" t="str">
        <f t="shared" si="99"/>
        <v/>
      </c>
      <c r="Z367" s="741">
        <f t="shared" si="100"/>
        <v>0</v>
      </c>
      <c r="AA367" s="741">
        <f t="shared" si="101"/>
        <v>0</v>
      </c>
      <c r="AB367" s="741">
        <f t="shared" si="102"/>
        <v>0</v>
      </c>
      <c r="AC367" s="987">
        <f t="shared" si="112"/>
        <v>0</v>
      </c>
      <c r="AD367" s="987">
        <f t="shared" si="113"/>
        <v>0</v>
      </c>
      <c r="AE367" s="368" t="str">
        <f>IFERROR(VLOOKUP(B367,'[1]סיכום בקרת רשויות'!$A:$D,4,0),"")</f>
        <v/>
      </c>
      <c r="AF367" s="57" t="str">
        <f t="shared" si="114"/>
        <v/>
      </c>
      <c r="AG367" s="180">
        <f>IF(AF367="כן",M367*'גנים ובתי ספר- מבנה תקציב'!$H$59,0)</f>
        <v>0</v>
      </c>
      <c r="AH367" s="180">
        <f>IF(AF367="כן",M367*'גנים ובתי ספר- מבנה תקציב'!$I$59,0)</f>
        <v>0</v>
      </c>
      <c r="AI367" s="180">
        <f t="shared" si="115"/>
        <v>0</v>
      </c>
      <c r="AJ367" s="368" t="str">
        <f t="shared" si="103"/>
        <v/>
      </c>
    </row>
    <row r="368" spans="1:36" x14ac:dyDescent="0.25">
      <c r="A368" s="57">
        <v>348</v>
      </c>
      <c r="B368" s="690"/>
      <c r="C368" s="690"/>
      <c r="D368" s="252">
        <f>(IFERROR(SUMIF('מצבת והרשמה (2)'!$F$21:$F$501,'דוח ביצוע (3)'!$B368,'מצבת והרשמה (2)'!$J$21:$J$501),0))</f>
        <v>0</v>
      </c>
      <c r="E368" s="252">
        <f>IFERROR(SUMIF('מצבת והרשמה (2)'!$F$21:$F$501,'דוח ביצוע (3)'!$B368,'מצבת והרשמה (2)'!$K$21:$K$501),0)</f>
        <v>0</v>
      </c>
      <c r="F368" s="253">
        <f t="shared" si="104"/>
        <v>0</v>
      </c>
      <c r="G368" s="680"/>
      <c r="H368" s="680"/>
      <c r="I368" s="253">
        <f t="shared" si="97"/>
        <v>0</v>
      </c>
      <c r="J368" s="453">
        <f t="shared" si="105"/>
        <v>0</v>
      </c>
      <c r="K368" s="689"/>
      <c r="L368" s="689"/>
      <c r="M368" s="969">
        <f t="shared" si="106"/>
        <v>0</v>
      </c>
      <c r="N368" s="1029" t="str">
        <f t="shared" si="107"/>
        <v/>
      </c>
      <c r="O368" s="969" t="str">
        <f>IFERROR(VLOOKUP(B368,'נתוני רישום ומצבת'!B:Q,16,0),"")</f>
        <v/>
      </c>
      <c r="P368" s="969" t="str">
        <f>IFERROR(VLOOKUP(B368,'נתוני רישום ומצבת'!B:R,17,0),"")</f>
        <v/>
      </c>
      <c r="Q368" s="690"/>
      <c r="R368" s="1009"/>
      <c r="S368" s="376">
        <f t="shared" si="108"/>
        <v>0</v>
      </c>
      <c r="T368" s="376">
        <f t="shared" si="109"/>
        <v>0</v>
      </c>
      <c r="U368" s="386">
        <f t="shared" si="110"/>
        <v>0</v>
      </c>
      <c r="V368" s="513" t="str">
        <f t="shared" si="111"/>
        <v/>
      </c>
      <c r="W368" s="254" t="str">
        <f>IF(ISBLANK(B368)," ",IF(B368=IFERROR(VLOOKUP(B368,'מצבת והרשמה (2)'!F:F,1,0),0),"תקין","לא קיים במצבת כבית ספר בו מתקיימת פעילות"))</f>
        <v xml:space="preserve"> </v>
      </c>
      <c r="X368" s="256" t="str">
        <f t="shared" si="98"/>
        <v/>
      </c>
      <c r="Y368" s="256" t="str">
        <f t="shared" si="99"/>
        <v/>
      </c>
      <c r="Z368" s="741">
        <f t="shared" si="100"/>
        <v>0</v>
      </c>
      <c r="AA368" s="741">
        <f t="shared" si="101"/>
        <v>0</v>
      </c>
      <c r="AB368" s="741">
        <f t="shared" si="102"/>
        <v>0</v>
      </c>
      <c r="AC368" s="987">
        <f t="shared" si="112"/>
        <v>0</v>
      </c>
      <c r="AD368" s="987">
        <f t="shared" si="113"/>
        <v>0</v>
      </c>
      <c r="AE368" s="368" t="str">
        <f>IFERROR(VLOOKUP(B368,'[1]סיכום בקרת רשויות'!$A:$D,4,0),"")</f>
        <v/>
      </c>
      <c r="AF368" s="57" t="str">
        <f t="shared" si="114"/>
        <v/>
      </c>
      <c r="AG368" s="180">
        <f>IF(AF368="כן",M368*'גנים ובתי ספר- מבנה תקציב'!$H$59,0)</f>
        <v>0</v>
      </c>
      <c r="AH368" s="180">
        <f>IF(AF368="כן",M368*'גנים ובתי ספר- מבנה תקציב'!$I$59,0)</f>
        <v>0</v>
      </c>
      <c r="AI368" s="180">
        <f t="shared" si="115"/>
        <v>0</v>
      </c>
      <c r="AJ368" s="368" t="str">
        <f t="shared" si="103"/>
        <v/>
      </c>
    </row>
    <row r="369" spans="1:36" x14ac:dyDescent="0.25">
      <c r="A369" s="57">
        <v>349</v>
      </c>
      <c r="B369" s="690"/>
      <c r="C369" s="690"/>
      <c r="D369" s="252">
        <f>(IFERROR(SUMIF('מצבת והרשמה (2)'!$F$21:$F$501,'דוח ביצוע (3)'!$B369,'מצבת והרשמה (2)'!$J$21:$J$501),0))</f>
        <v>0</v>
      </c>
      <c r="E369" s="252">
        <f>IFERROR(SUMIF('מצבת והרשמה (2)'!$F$21:$F$501,'דוח ביצוע (3)'!$B369,'מצבת והרשמה (2)'!$K$21:$K$501),0)</f>
        <v>0</v>
      </c>
      <c r="F369" s="253">
        <f t="shared" si="104"/>
        <v>0</v>
      </c>
      <c r="G369" s="680"/>
      <c r="H369" s="680"/>
      <c r="I369" s="253">
        <f t="shared" si="97"/>
        <v>0</v>
      </c>
      <c r="J369" s="453">
        <f t="shared" si="105"/>
        <v>0</v>
      </c>
      <c r="K369" s="689"/>
      <c r="L369" s="689"/>
      <c r="M369" s="969">
        <f t="shared" si="106"/>
        <v>0</v>
      </c>
      <c r="N369" s="1029" t="str">
        <f t="shared" si="107"/>
        <v/>
      </c>
      <c r="O369" s="969" t="str">
        <f>IFERROR(VLOOKUP(B369,'נתוני רישום ומצבת'!B:Q,16,0),"")</f>
        <v/>
      </c>
      <c r="P369" s="969" t="str">
        <f>IFERROR(VLOOKUP(B369,'נתוני רישום ומצבת'!B:R,17,0),"")</f>
        <v/>
      </c>
      <c r="Q369" s="690"/>
      <c r="R369" s="1009"/>
      <c r="S369" s="376">
        <f t="shared" si="108"/>
        <v>0</v>
      </c>
      <c r="T369" s="376">
        <f t="shared" si="109"/>
        <v>0</v>
      </c>
      <c r="U369" s="386">
        <f t="shared" si="110"/>
        <v>0</v>
      </c>
      <c r="V369" s="513" t="str">
        <f t="shared" si="111"/>
        <v/>
      </c>
      <c r="W369" s="254" t="str">
        <f>IF(ISBLANK(B369)," ",IF(B369=IFERROR(VLOOKUP(B369,'מצבת והרשמה (2)'!F:F,1,0),0),"תקין","לא קיים במצבת כבית ספר בו מתקיימת פעילות"))</f>
        <v xml:space="preserve"> </v>
      </c>
      <c r="X369" s="256" t="str">
        <f t="shared" si="98"/>
        <v/>
      </c>
      <c r="Y369" s="256" t="str">
        <f t="shared" si="99"/>
        <v/>
      </c>
      <c r="Z369" s="741">
        <f t="shared" si="100"/>
        <v>0</v>
      </c>
      <c r="AA369" s="741">
        <f t="shared" si="101"/>
        <v>0</v>
      </c>
      <c r="AB369" s="741">
        <f t="shared" si="102"/>
        <v>0</v>
      </c>
      <c r="AC369" s="987">
        <f t="shared" si="112"/>
        <v>0</v>
      </c>
      <c r="AD369" s="987">
        <f t="shared" si="113"/>
        <v>0</v>
      </c>
      <c r="AE369" s="368" t="str">
        <f>IFERROR(VLOOKUP(B369,'[1]סיכום בקרת רשויות'!$A:$D,4,0),"")</f>
        <v/>
      </c>
      <c r="AF369" s="57" t="str">
        <f t="shared" si="114"/>
        <v/>
      </c>
      <c r="AG369" s="180">
        <f>IF(AF369="כן",M369*'גנים ובתי ספר- מבנה תקציב'!$H$59,0)</f>
        <v>0</v>
      </c>
      <c r="AH369" s="180">
        <f>IF(AF369="כן",M369*'גנים ובתי ספר- מבנה תקציב'!$I$59,0)</f>
        <v>0</v>
      </c>
      <c r="AI369" s="180">
        <f t="shared" si="115"/>
        <v>0</v>
      </c>
      <c r="AJ369" s="368" t="str">
        <f t="shared" si="103"/>
        <v/>
      </c>
    </row>
    <row r="370" spans="1:36" x14ac:dyDescent="0.25">
      <c r="A370" s="57">
        <v>350</v>
      </c>
      <c r="B370" s="690"/>
      <c r="C370" s="690"/>
      <c r="D370" s="252">
        <f>(IFERROR(SUMIF('מצבת והרשמה (2)'!$F$21:$F$501,'דוח ביצוע (3)'!$B370,'מצבת והרשמה (2)'!$J$21:$J$501),0))</f>
        <v>0</v>
      </c>
      <c r="E370" s="252">
        <f>IFERROR(SUMIF('מצבת והרשמה (2)'!$F$21:$F$501,'דוח ביצוע (3)'!$B370,'מצבת והרשמה (2)'!$K$21:$K$501),0)</f>
        <v>0</v>
      </c>
      <c r="F370" s="253">
        <f t="shared" si="104"/>
        <v>0</v>
      </c>
      <c r="G370" s="680"/>
      <c r="H370" s="680"/>
      <c r="I370" s="253">
        <f t="shared" si="97"/>
        <v>0</v>
      </c>
      <c r="J370" s="453">
        <f t="shared" si="105"/>
        <v>0</v>
      </c>
      <c r="K370" s="689"/>
      <c r="L370" s="689"/>
      <c r="M370" s="969">
        <f t="shared" si="106"/>
        <v>0</v>
      </c>
      <c r="N370" s="1029" t="str">
        <f t="shared" si="107"/>
        <v/>
      </c>
      <c r="O370" s="969" t="str">
        <f>IFERROR(VLOOKUP(B370,'נתוני רישום ומצבת'!B:Q,16,0),"")</f>
        <v/>
      </c>
      <c r="P370" s="969" t="str">
        <f>IFERROR(VLOOKUP(B370,'נתוני רישום ומצבת'!B:R,17,0),"")</f>
        <v/>
      </c>
      <c r="Q370" s="690"/>
      <c r="R370" s="1009"/>
      <c r="S370" s="376">
        <f t="shared" si="108"/>
        <v>0</v>
      </c>
      <c r="T370" s="376">
        <f t="shared" si="109"/>
        <v>0</v>
      </c>
      <c r="U370" s="386">
        <f t="shared" si="110"/>
        <v>0</v>
      </c>
      <c r="V370" s="513" t="str">
        <f t="shared" si="111"/>
        <v/>
      </c>
      <c r="W370" s="254" t="str">
        <f>IF(ISBLANK(B370)," ",IF(B370=IFERROR(VLOOKUP(B370,'מצבת והרשמה (2)'!F:F,1,0),0),"תקין","לא קיים במצבת כבית ספר בו מתקיימת פעילות"))</f>
        <v xml:space="preserve"> </v>
      </c>
      <c r="X370" s="256" t="str">
        <f t="shared" si="98"/>
        <v/>
      </c>
      <c r="Y370" s="256" t="str">
        <f t="shared" si="99"/>
        <v/>
      </c>
      <c r="Z370" s="741">
        <f t="shared" si="100"/>
        <v>0</v>
      </c>
      <c r="AA370" s="741">
        <f t="shared" si="101"/>
        <v>0</v>
      </c>
      <c r="AB370" s="741">
        <f t="shared" si="102"/>
        <v>0</v>
      </c>
      <c r="AC370" s="987">
        <f t="shared" si="112"/>
        <v>0</v>
      </c>
      <c r="AD370" s="987">
        <f t="shared" si="113"/>
        <v>0</v>
      </c>
      <c r="AE370" s="368" t="str">
        <f>IFERROR(VLOOKUP(B370,'[1]סיכום בקרת רשויות'!$A:$D,4,0),"")</f>
        <v/>
      </c>
      <c r="AF370" s="57" t="str">
        <f t="shared" si="114"/>
        <v/>
      </c>
      <c r="AG370" s="180">
        <f>IF(AF370="כן",M370*'גנים ובתי ספר- מבנה תקציב'!$H$59,0)</f>
        <v>0</v>
      </c>
      <c r="AH370" s="180">
        <f>IF(AF370="כן",M370*'גנים ובתי ספר- מבנה תקציב'!$I$59,0)</f>
        <v>0</v>
      </c>
      <c r="AI370" s="180">
        <f t="shared" si="115"/>
        <v>0</v>
      </c>
      <c r="AJ370" s="368" t="str">
        <f t="shared" si="103"/>
        <v/>
      </c>
    </row>
    <row r="371" spans="1:36" x14ac:dyDescent="0.25">
      <c r="A371" s="57">
        <v>351</v>
      </c>
      <c r="B371" s="690"/>
      <c r="C371" s="690"/>
      <c r="D371" s="252">
        <f>(IFERROR(SUMIF('מצבת והרשמה (2)'!$F$21:$F$501,'דוח ביצוע (3)'!$B371,'מצבת והרשמה (2)'!$J$21:$J$501),0))</f>
        <v>0</v>
      </c>
      <c r="E371" s="252">
        <f>IFERROR(SUMIF('מצבת והרשמה (2)'!$F$21:$F$501,'דוח ביצוע (3)'!$B371,'מצבת והרשמה (2)'!$K$21:$K$501),0)</f>
        <v>0</v>
      </c>
      <c r="F371" s="253">
        <f t="shared" si="104"/>
        <v>0</v>
      </c>
      <c r="G371" s="680"/>
      <c r="H371" s="680"/>
      <c r="I371" s="253">
        <f t="shared" si="97"/>
        <v>0</v>
      </c>
      <c r="J371" s="453">
        <f t="shared" si="105"/>
        <v>0</v>
      </c>
      <c r="K371" s="689"/>
      <c r="L371" s="689"/>
      <c r="M371" s="969">
        <f t="shared" si="106"/>
        <v>0</v>
      </c>
      <c r="N371" s="1029" t="str">
        <f t="shared" si="107"/>
        <v/>
      </c>
      <c r="O371" s="969" t="str">
        <f>IFERROR(VLOOKUP(B371,'נתוני רישום ומצבת'!B:Q,16,0),"")</f>
        <v/>
      </c>
      <c r="P371" s="969" t="str">
        <f>IFERROR(VLOOKUP(B371,'נתוני רישום ומצבת'!B:R,17,0),"")</f>
        <v/>
      </c>
      <c r="Q371" s="690"/>
      <c r="R371" s="1009"/>
      <c r="S371" s="376">
        <f t="shared" si="108"/>
        <v>0</v>
      </c>
      <c r="T371" s="376">
        <f t="shared" si="109"/>
        <v>0</v>
      </c>
      <c r="U371" s="386">
        <f t="shared" si="110"/>
        <v>0</v>
      </c>
      <c r="V371" s="513" t="str">
        <f t="shared" si="111"/>
        <v/>
      </c>
      <c r="W371" s="254" t="str">
        <f>IF(ISBLANK(B371)," ",IF(B371=IFERROR(VLOOKUP(B371,'מצבת והרשמה (2)'!F:F,1,0),0),"תקין","לא קיים במצבת כבית ספר בו מתקיימת פעילות"))</f>
        <v xml:space="preserve"> </v>
      </c>
      <c r="X371" s="256" t="str">
        <f t="shared" si="98"/>
        <v/>
      </c>
      <c r="Y371" s="256" t="str">
        <f t="shared" si="99"/>
        <v/>
      </c>
      <c r="Z371" s="741">
        <f t="shared" si="100"/>
        <v>0</v>
      </c>
      <c r="AA371" s="741">
        <f t="shared" si="101"/>
        <v>0</v>
      </c>
      <c r="AB371" s="741">
        <f t="shared" si="102"/>
        <v>0</v>
      </c>
      <c r="AC371" s="987">
        <f t="shared" si="112"/>
        <v>0</v>
      </c>
      <c r="AD371" s="987">
        <f t="shared" si="113"/>
        <v>0</v>
      </c>
      <c r="AE371" s="368" t="str">
        <f>IFERROR(VLOOKUP(B371,'[1]סיכום בקרת רשויות'!$A:$D,4,0),"")</f>
        <v/>
      </c>
      <c r="AF371" s="57" t="str">
        <f t="shared" si="114"/>
        <v/>
      </c>
      <c r="AG371" s="180">
        <f>IF(AF371="כן",M371*'גנים ובתי ספר- מבנה תקציב'!$H$59,0)</f>
        <v>0</v>
      </c>
      <c r="AH371" s="180">
        <f>IF(AF371="כן",M371*'גנים ובתי ספר- מבנה תקציב'!$I$59,0)</f>
        <v>0</v>
      </c>
      <c r="AI371" s="180">
        <f t="shared" si="115"/>
        <v>0</v>
      </c>
      <c r="AJ371" s="368" t="str">
        <f t="shared" si="103"/>
        <v/>
      </c>
    </row>
    <row r="372" spans="1:36" x14ac:dyDescent="0.25">
      <c r="A372" s="57">
        <v>352</v>
      </c>
      <c r="B372" s="690"/>
      <c r="C372" s="690"/>
      <c r="D372" s="252">
        <f>(IFERROR(SUMIF('מצבת והרשמה (2)'!$F$21:$F$501,'דוח ביצוע (3)'!$B372,'מצבת והרשמה (2)'!$J$21:$J$501),0))</f>
        <v>0</v>
      </c>
      <c r="E372" s="252">
        <f>IFERROR(SUMIF('מצבת והרשמה (2)'!$F$21:$F$501,'דוח ביצוע (3)'!$B372,'מצבת והרשמה (2)'!$K$21:$K$501),0)</f>
        <v>0</v>
      </c>
      <c r="F372" s="253">
        <f t="shared" si="104"/>
        <v>0</v>
      </c>
      <c r="G372" s="680"/>
      <c r="H372" s="680"/>
      <c r="I372" s="253">
        <f t="shared" si="97"/>
        <v>0</v>
      </c>
      <c r="J372" s="453">
        <f t="shared" si="105"/>
        <v>0</v>
      </c>
      <c r="K372" s="689"/>
      <c r="L372" s="689"/>
      <c r="M372" s="969">
        <f t="shared" si="106"/>
        <v>0</v>
      </c>
      <c r="N372" s="1029" t="str">
        <f t="shared" si="107"/>
        <v/>
      </c>
      <c r="O372" s="969" t="str">
        <f>IFERROR(VLOOKUP(B372,'נתוני רישום ומצבת'!B:Q,16,0),"")</f>
        <v/>
      </c>
      <c r="P372" s="969" t="str">
        <f>IFERROR(VLOOKUP(B372,'נתוני רישום ומצבת'!B:R,17,0),"")</f>
        <v/>
      </c>
      <c r="Q372" s="690"/>
      <c r="R372" s="1009"/>
      <c r="S372" s="376">
        <f t="shared" si="108"/>
        <v>0</v>
      </c>
      <c r="T372" s="376">
        <f t="shared" si="109"/>
        <v>0</v>
      </c>
      <c r="U372" s="386">
        <f t="shared" si="110"/>
        <v>0</v>
      </c>
      <c r="V372" s="513" t="str">
        <f t="shared" si="111"/>
        <v/>
      </c>
      <c r="W372" s="254" t="str">
        <f>IF(ISBLANK(B372)," ",IF(B372=IFERROR(VLOOKUP(B372,'מצבת והרשמה (2)'!F:F,1,0),0),"תקין","לא קיים במצבת כבית ספר בו מתקיימת פעילות"))</f>
        <v xml:space="preserve"> </v>
      </c>
      <c r="X372" s="256" t="str">
        <f t="shared" si="98"/>
        <v/>
      </c>
      <c r="Y372" s="256" t="str">
        <f t="shared" si="99"/>
        <v/>
      </c>
      <c r="Z372" s="741">
        <f t="shared" si="100"/>
        <v>0</v>
      </c>
      <c r="AA372" s="741">
        <f t="shared" si="101"/>
        <v>0</v>
      </c>
      <c r="AB372" s="741">
        <f t="shared" si="102"/>
        <v>0</v>
      </c>
      <c r="AC372" s="987">
        <f t="shared" si="112"/>
        <v>0</v>
      </c>
      <c r="AD372" s="987">
        <f t="shared" si="113"/>
        <v>0</v>
      </c>
      <c r="AE372" s="368" t="str">
        <f>IFERROR(VLOOKUP(B372,'[1]סיכום בקרת רשויות'!$A:$D,4,0),"")</f>
        <v/>
      </c>
      <c r="AF372" s="57" t="str">
        <f t="shared" si="114"/>
        <v/>
      </c>
      <c r="AG372" s="180">
        <f>IF(AF372="כן",M372*'גנים ובתי ספר- מבנה תקציב'!$H$59,0)</f>
        <v>0</v>
      </c>
      <c r="AH372" s="180">
        <f>IF(AF372="כן",M372*'גנים ובתי ספר- מבנה תקציב'!$I$59,0)</f>
        <v>0</v>
      </c>
      <c r="AI372" s="180">
        <f t="shared" si="115"/>
        <v>0</v>
      </c>
      <c r="AJ372" s="368" t="str">
        <f t="shared" si="103"/>
        <v/>
      </c>
    </row>
    <row r="373" spans="1:36" x14ac:dyDescent="0.25">
      <c r="A373" s="57">
        <v>353</v>
      </c>
      <c r="B373" s="690"/>
      <c r="C373" s="690"/>
      <c r="D373" s="252">
        <f>(IFERROR(SUMIF('מצבת והרשמה (2)'!$F$21:$F$501,'דוח ביצוע (3)'!$B373,'מצבת והרשמה (2)'!$J$21:$J$501),0))</f>
        <v>0</v>
      </c>
      <c r="E373" s="252">
        <f>IFERROR(SUMIF('מצבת והרשמה (2)'!$F$21:$F$501,'דוח ביצוע (3)'!$B373,'מצבת והרשמה (2)'!$K$21:$K$501),0)</f>
        <v>0</v>
      </c>
      <c r="F373" s="253">
        <f t="shared" si="104"/>
        <v>0</v>
      </c>
      <c r="G373" s="680"/>
      <c r="H373" s="680"/>
      <c r="I373" s="253">
        <f t="shared" si="97"/>
        <v>0</v>
      </c>
      <c r="J373" s="453">
        <f t="shared" si="105"/>
        <v>0</v>
      </c>
      <c r="K373" s="689"/>
      <c r="L373" s="689"/>
      <c r="M373" s="969">
        <f t="shared" si="106"/>
        <v>0</v>
      </c>
      <c r="N373" s="1029" t="str">
        <f t="shared" si="107"/>
        <v/>
      </c>
      <c r="O373" s="969" t="str">
        <f>IFERROR(VLOOKUP(B373,'נתוני רישום ומצבת'!B:Q,16,0),"")</f>
        <v/>
      </c>
      <c r="P373" s="969" t="str">
        <f>IFERROR(VLOOKUP(B373,'נתוני רישום ומצבת'!B:R,17,0),"")</f>
        <v/>
      </c>
      <c r="Q373" s="690"/>
      <c r="R373" s="1009"/>
      <c r="S373" s="376">
        <f t="shared" si="108"/>
        <v>0</v>
      </c>
      <c r="T373" s="376">
        <f t="shared" si="109"/>
        <v>0</v>
      </c>
      <c r="U373" s="386">
        <f t="shared" si="110"/>
        <v>0</v>
      </c>
      <c r="V373" s="513" t="str">
        <f t="shared" si="111"/>
        <v/>
      </c>
      <c r="W373" s="254" t="str">
        <f>IF(ISBLANK(B373)," ",IF(B373=IFERROR(VLOOKUP(B373,'מצבת והרשמה (2)'!F:F,1,0),0),"תקין","לא קיים במצבת כבית ספר בו מתקיימת פעילות"))</f>
        <v xml:space="preserve"> </v>
      </c>
      <c r="X373" s="256" t="str">
        <f t="shared" si="98"/>
        <v/>
      </c>
      <c r="Y373" s="256" t="str">
        <f t="shared" si="99"/>
        <v/>
      </c>
      <c r="Z373" s="741">
        <f t="shared" si="100"/>
        <v>0</v>
      </c>
      <c r="AA373" s="741">
        <f t="shared" si="101"/>
        <v>0</v>
      </c>
      <c r="AB373" s="741">
        <f t="shared" si="102"/>
        <v>0</v>
      </c>
      <c r="AC373" s="987">
        <f t="shared" si="112"/>
        <v>0</v>
      </c>
      <c r="AD373" s="987">
        <f t="shared" si="113"/>
        <v>0</v>
      </c>
      <c r="AE373" s="368" t="str">
        <f>IFERROR(VLOOKUP(B373,'[1]סיכום בקרת רשויות'!$A:$D,4,0),"")</f>
        <v/>
      </c>
      <c r="AF373" s="57" t="str">
        <f t="shared" si="114"/>
        <v/>
      </c>
      <c r="AG373" s="180">
        <f>IF(AF373="כן",M373*'גנים ובתי ספר- מבנה תקציב'!$H$59,0)</f>
        <v>0</v>
      </c>
      <c r="AH373" s="180">
        <f>IF(AF373="כן",M373*'גנים ובתי ספר- מבנה תקציב'!$I$59,0)</f>
        <v>0</v>
      </c>
      <c r="AI373" s="180">
        <f t="shared" si="115"/>
        <v>0</v>
      </c>
      <c r="AJ373" s="368" t="str">
        <f t="shared" si="103"/>
        <v/>
      </c>
    </row>
    <row r="374" spans="1:36" x14ac:dyDescent="0.25">
      <c r="A374" s="57">
        <v>354</v>
      </c>
      <c r="B374" s="690"/>
      <c r="C374" s="690"/>
      <c r="D374" s="252">
        <f>(IFERROR(SUMIF('מצבת והרשמה (2)'!$F$21:$F$501,'דוח ביצוע (3)'!$B374,'מצבת והרשמה (2)'!$J$21:$J$501),0))</f>
        <v>0</v>
      </c>
      <c r="E374" s="252">
        <f>IFERROR(SUMIF('מצבת והרשמה (2)'!$F$21:$F$501,'דוח ביצוע (3)'!$B374,'מצבת והרשמה (2)'!$K$21:$K$501),0)</f>
        <v>0</v>
      </c>
      <c r="F374" s="253">
        <f t="shared" si="104"/>
        <v>0</v>
      </c>
      <c r="G374" s="680"/>
      <c r="H374" s="680"/>
      <c r="I374" s="253">
        <f t="shared" si="97"/>
        <v>0</v>
      </c>
      <c r="J374" s="453">
        <f t="shared" si="105"/>
        <v>0</v>
      </c>
      <c r="K374" s="689"/>
      <c r="L374" s="689"/>
      <c r="M374" s="969">
        <f t="shared" si="106"/>
        <v>0</v>
      </c>
      <c r="N374" s="1029" t="str">
        <f t="shared" si="107"/>
        <v/>
      </c>
      <c r="O374" s="969" t="str">
        <f>IFERROR(VLOOKUP(B374,'נתוני רישום ומצבת'!B:Q,16,0),"")</f>
        <v/>
      </c>
      <c r="P374" s="969" t="str">
        <f>IFERROR(VLOOKUP(B374,'נתוני רישום ומצבת'!B:R,17,0),"")</f>
        <v/>
      </c>
      <c r="Q374" s="690"/>
      <c r="R374" s="1009"/>
      <c r="S374" s="376">
        <f t="shared" si="108"/>
        <v>0</v>
      </c>
      <c r="T374" s="376">
        <f t="shared" si="109"/>
        <v>0</v>
      </c>
      <c r="U374" s="386">
        <f t="shared" si="110"/>
        <v>0</v>
      </c>
      <c r="V374" s="513" t="str">
        <f t="shared" si="111"/>
        <v/>
      </c>
      <c r="W374" s="254" t="str">
        <f>IF(ISBLANK(B374)," ",IF(B374=IFERROR(VLOOKUP(B374,'מצבת והרשמה (2)'!F:F,1,0),0),"תקין","לא קיים במצבת כבית ספר בו מתקיימת פעילות"))</f>
        <v xml:space="preserve"> </v>
      </c>
      <c r="X374" s="256" t="str">
        <f t="shared" si="98"/>
        <v/>
      </c>
      <c r="Y374" s="256" t="str">
        <f t="shared" si="99"/>
        <v/>
      </c>
      <c r="Z374" s="741">
        <f t="shared" si="100"/>
        <v>0</v>
      </c>
      <c r="AA374" s="741">
        <f t="shared" si="101"/>
        <v>0</v>
      </c>
      <c r="AB374" s="741">
        <f t="shared" si="102"/>
        <v>0</v>
      </c>
      <c r="AC374" s="987">
        <f t="shared" si="112"/>
        <v>0</v>
      </c>
      <c r="AD374" s="987">
        <f t="shared" si="113"/>
        <v>0</v>
      </c>
      <c r="AE374" s="368" t="str">
        <f>IFERROR(VLOOKUP(B374,'[1]סיכום בקרת רשויות'!$A:$D,4,0),"")</f>
        <v/>
      </c>
      <c r="AF374" s="57" t="str">
        <f t="shared" si="114"/>
        <v/>
      </c>
      <c r="AG374" s="180">
        <f>IF(AF374="כן",M374*'גנים ובתי ספר- מבנה תקציב'!$H$59,0)</f>
        <v>0</v>
      </c>
      <c r="AH374" s="180">
        <f>IF(AF374="כן",M374*'גנים ובתי ספר- מבנה תקציב'!$I$59,0)</f>
        <v>0</v>
      </c>
      <c r="AI374" s="180">
        <f t="shared" si="115"/>
        <v>0</v>
      </c>
      <c r="AJ374" s="368" t="str">
        <f t="shared" si="103"/>
        <v/>
      </c>
    </row>
    <row r="375" spans="1:36" x14ac:dyDescent="0.25">
      <c r="A375" s="57">
        <v>355</v>
      </c>
      <c r="B375" s="690"/>
      <c r="C375" s="690"/>
      <c r="D375" s="252">
        <f>(IFERROR(SUMIF('מצבת והרשמה (2)'!$F$21:$F$501,'דוח ביצוע (3)'!$B375,'מצבת והרשמה (2)'!$J$21:$J$501),0))</f>
        <v>0</v>
      </c>
      <c r="E375" s="252">
        <f>IFERROR(SUMIF('מצבת והרשמה (2)'!$F$21:$F$501,'דוח ביצוע (3)'!$B375,'מצבת והרשמה (2)'!$K$21:$K$501),0)</f>
        <v>0</v>
      </c>
      <c r="F375" s="253">
        <f t="shared" si="104"/>
        <v>0</v>
      </c>
      <c r="G375" s="680"/>
      <c r="H375" s="680"/>
      <c r="I375" s="253">
        <f t="shared" si="97"/>
        <v>0</v>
      </c>
      <c r="J375" s="453">
        <f t="shared" si="105"/>
        <v>0</v>
      </c>
      <c r="K375" s="689"/>
      <c r="L375" s="689"/>
      <c r="M375" s="969">
        <f t="shared" si="106"/>
        <v>0</v>
      </c>
      <c r="N375" s="1029" t="str">
        <f t="shared" si="107"/>
        <v/>
      </c>
      <c r="O375" s="969" t="str">
        <f>IFERROR(VLOOKUP(B375,'נתוני רישום ומצבת'!B:Q,16,0),"")</f>
        <v/>
      </c>
      <c r="P375" s="969" t="str">
        <f>IFERROR(VLOOKUP(B375,'נתוני רישום ומצבת'!B:R,17,0),"")</f>
        <v/>
      </c>
      <c r="Q375" s="690"/>
      <c r="R375" s="1009"/>
      <c r="S375" s="376">
        <f t="shared" si="108"/>
        <v>0</v>
      </c>
      <c r="T375" s="376">
        <f t="shared" si="109"/>
        <v>0</v>
      </c>
      <c r="U375" s="386">
        <f t="shared" si="110"/>
        <v>0</v>
      </c>
      <c r="V375" s="513" t="str">
        <f t="shared" si="111"/>
        <v/>
      </c>
      <c r="W375" s="254" t="str">
        <f>IF(ISBLANK(B375)," ",IF(B375=IFERROR(VLOOKUP(B375,'מצבת והרשמה (2)'!F:F,1,0),0),"תקין","לא קיים במצבת כבית ספר בו מתקיימת פעילות"))</f>
        <v xml:space="preserve"> </v>
      </c>
      <c r="X375" s="256" t="str">
        <f t="shared" si="98"/>
        <v/>
      </c>
      <c r="Y375" s="256" t="str">
        <f t="shared" si="99"/>
        <v/>
      </c>
      <c r="Z375" s="741">
        <f t="shared" si="100"/>
        <v>0</v>
      </c>
      <c r="AA375" s="741">
        <f t="shared" si="101"/>
        <v>0</v>
      </c>
      <c r="AB375" s="741">
        <f t="shared" si="102"/>
        <v>0</v>
      </c>
      <c r="AC375" s="987">
        <f t="shared" si="112"/>
        <v>0</v>
      </c>
      <c r="AD375" s="987">
        <f t="shared" si="113"/>
        <v>0</v>
      </c>
      <c r="AE375" s="368" t="str">
        <f>IFERROR(VLOOKUP(B375,'[1]סיכום בקרת רשויות'!$A:$D,4,0),"")</f>
        <v/>
      </c>
      <c r="AF375" s="57" t="str">
        <f t="shared" si="114"/>
        <v/>
      </c>
      <c r="AG375" s="180">
        <f>IF(AF375="כן",M375*'גנים ובתי ספר- מבנה תקציב'!$H$59,0)</f>
        <v>0</v>
      </c>
      <c r="AH375" s="180">
        <f>IF(AF375="כן",M375*'גנים ובתי ספר- מבנה תקציב'!$I$59,0)</f>
        <v>0</v>
      </c>
      <c r="AI375" s="180">
        <f t="shared" si="115"/>
        <v>0</v>
      </c>
      <c r="AJ375" s="368" t="str">
        <f t="shared" si="103"/>
        <v/>
      </c>
    </row>
    <row r="376" spans="1:36" x14ac:dyDescent="0.25">
      <c r="A376" s="57">
        <v>356</v>
      </c>
      <c r="B376" s="690"/>
      <c r="C376" s="690"/>
      <c r="D376" s="252">
        <f>(IFERROR(SUMIF('מצבת והרשמה (2)'!$F$21:$F$501,'דוח ביצוע (3)'!$B376,'מצבת והרשמה (2)'!$J$21:$J$501),0))</f>
        <v>0</v>
      </c>
      <c r="E376" s="252">
        <f>IFERROR(SUMIF('מצבת והרשמה (2)'!$F$21:$F$501,'דוח ביצוע (3)'!$B376,'מצבת והרשמה (2)'!$K$21:$K$501),0)</f>
        <v>0</v>
      </c>
      <c r="F376" s="253">
        <f t="shared" si="104"/>
        <v>0</v>
      </c>
      <c r="G376" s="680"/>
      <c r="H376" s="680"/>
      <c r="I376" s="253">
        <f t="shared" si="97"/>
        <v>0</v>
      </c>
      <c r="J376" s="453">
        <f t="shared" si="105"/>
        <v>0</v>
      </c>
      <c r="K376" s="689"/>
      <c r="L376" s="689"/>
      <c r="M376" s="969">
        <f t="shared" si="106"/>
        <v>0</v>
      </c>
      <c r="N376" s="1029" t="str">
        <f t="shared" si="107"/>
        <v/>
      </c>
      <c r="O376" s="969" t="str">
        <f>IFERROR(VLOOKUP(B376,'נתוני רישום ומצבת'!B:Q,16,0),"")</f>
        <v/>
      </c>
      <c r="P376" s="969" t="str">
        <f>IFERROR(VLOOKUP(B376,'נתוני רישום ומצבת'!B:R,17,0),"")</f>
        <v/>
      </c>
      <c r="Q376" s="690"/>
      <c r="R376" s="1009"/>
      <c r="S376" s="376">
        <f t="shared" si="108"/>
        <v>0</v>
      </c>
      <c r="T376" s="376">
        <f t="shared" si="109"/>
        <v>0</v>
      </c>
      <c r="U376" s="386">
        <f t="shared" si="110"/>
        <v>0</v>
      </c>
      <c r="V376" s="513" t="str">
        <f t="shared" si="111"/>
        <v/>
      </c>
      <c r="W376" s="254" t="str">
        <f>IF(ISBLANK(B376)," ",IF(B376=IFERROR(VLOOKUP(B376,'מצבת והרשמה (2)'!F:F,1,0),0),"תקין","לא קיים במצבת כבית ספר בו מתקיימת פעילות"))</f>
        <v xml:space="preserve"> </v>
      </c>
      <c r="X376" s="256" t="str">
        <f t="shared" si="98"/>
        <v/>
      </c>
      <c r="Y376" s="256" t="str">
        <f t="shared" si="99"/>
        <v/>
      </c>
      <c r="Z376" s="741">
        <f t="shared" si="100"/>
        <v>0</v>
      </c>
      <c r="AA376" s="741">
        <f t="shared" si="101"/>
        <v>0</v>
      </c>
      <c r="AB376" s="741">
        <f t="shared" si="102"/>
        <v>0</v>
      </c>
      <c r="AC376" s="987">
        <f t="shared" si="112"/>
        <v>0</v>
      </c>
      <c r="AD376" s="987">
        <f t="shared" si="113"/>
        <v>0</v>
      </c>
      <c r="AE376" s="368" t="str">
        <f>IFERROR(VLOOKUP(B376,'[1]סיכום בקרת רשויות'!$A:$D,4,0),"")</f>
        <v/>
      </c>
      <c r="AF376" s="57" t="str">
        <f t="shared" si="114"/>
        <v/>
      </c>
      <c r="AG376" s="180">
        <f>IF(AF376="כן",M376*'גנים ובתי ספר- מבנה תקציב'!$H$59,0)</f>
        <v>0</v>
      </c>
      <c r="AH376" s="180">
        <f>IF(AF376="כן",M376*'גנים ובתי ספר- מבנה תקציב'!$I$59,0)</f>
        <v>0</v>
      </c>
      <c r="AI376" s="180">
        <f t="shared" si="115"/>
        <v>0</v>
      </c>
      <c r="AJ376" s="368" t="str">
        <f t="shared" si="103"/>
        <v/>
      </c>
    </row>
    <row r="377" spans="1:36" x14ac:dyDescent="0.25">
      <c r="A377" s="57">
        <v>357</v>
      </c>
      <c r="B377" s="690"/>
      <c r="C377" s="690"/>
      <c r="D377" s="252">
        <f>(IFERROR(SUMIF('מצבת והרשמה (2)'!$F$21:$F$501,'דוח ביצוע (3)'!$B377,'מצבת והרשמה (2)'!$J$21:$J$501),0))</f>
        <v>0</v>
      </c>
      <c r="E377" s="252">
        <f>IFERROR(SUMIF('מצבת והרשמה (2)'!$F$21:$F$501,'דוח ביצוע (3)'!$B377,'מצבת והרשמה (2)'!$K$21:$K$501),0)</f>
        <v>0</v>
      </c>
      <c r="F377" s="253">
        <f t="shared" si="104"/>
        <v>0</v>
      </c>
      <c r="G377" s="680"/>
      <c r="H377" s="680"/>
      <c r="I377" s="253">
        <f t="shared" si="97"/>
        <v>0</v>
      </c>
      <c r="J377" s="453">
        <f t="shared" si="105"/>
        <v>0</v>
      </c>
      <c r="K377" s="689"/>
      <c r="L377" s="689"/>
      <c r="M377" s="969">
        <f t="shared" si="106"/>
        <v>0</v>
      </c>
      <c r="N377" s="1029" t="str">
        <f t="shared" si="107"/>
        <v/>
      </c>
      <c r="O377" s="969" t="str">
        <f>IFERROR(VLOOKUP(B377,'נתוני רישום ומצבת'!B:Q,16,0),"")</f>
        <v/>
      </c>
      <c r="P377" s="969" t="str">
        <f>IFERROR(VLOOKUP(B377,'נתוני רישום ומצבת'!B:R,17,0),"")</f>
        <v/>
      </c>
      <c r="Q377" s="690"/>
      <c r="R377" s="1009"/>
      <c r="S377" s="376">
        <f t="shared" si="108"/>
        <v>0</v>
      </c>
      <c r="T377" s="376">
        <f t="shared" si="109"/>
        <v>0</v>
      </c>
      <c r="U377" s="386">
        <f t="shared" si="110"/>
        <v>0</v>
      </c>
      <c r="V377" s="513" t="str">
        <f t="shared" si="111"/>
        <v/>
      </c>
      <c r="W377" s="254" t="str">
        <f>IF(ISBLANK(B377)," ",IF(B377=IFERROR(VLOOKUP(B377,'מצבת והרשמה (2)'!F:F,1,0),0),"תקין","לא קיים במצבת כבית ספר בו מתקיימת פעילות"))</f>
        <v xml:space="preserve"> </v>
      </c>
      <c r="X377" s="256" t="str">
        <f t="shared" si="98"/>
        <v/>
      </c>
      <c r="Y377" s="256" t="str">
        <f t="shared" si="99"/>
        <v/>
      </c>
      <c r="Z377" s="741">
        <f t="shared" si="100"/>
        <v>0</v>
      </c>
      <c r="AA377" s="741">
        <f t="shared" si="101"/>
        <v>0</v>
      </c>
      <c r="AB377" s="741">
        <f t="shared" si="102"/>
        <v>0</v>
      </c>
      <c r="AC377" s="987">
        <f t="shared" si="112"/>
        <v>0</v>
      </c>
      <c r="AD377" s="987">
        <f t="shared" si="113"/>
        <v>0</v>
      </c>
      <c r="AE377" s="368" t="str">
        <f>IFERROR(VLOOKUP(B377,'[1]סיכום בקרת רשויות'!$A:$D,4,0),"")</f>
        <v/>
      </c>
      <c r="AF377" s="57" t="str">
        <f t="shared" si="114"/>
        <v/>
      </c>
      <c r="AG377" s="180">
        <f>IF(AF377="כן",M377*'גנים ובתי ספר- מבנה תקציב'!$H$59,0)</f>
        <v>0</v>
      </c>
      <c r="AH377" s="180">
        <f>IF(AF377="כן",M377*'גנים ובתי ספר- מבנה תקציב'!$I$59,0)</f>
        <v>0</v>
      </c>
      <c r="AI377" s="180">
        <f t="shared" si="115"/>
        <v>0</v>
      </c>
      <c r="AJ377" s="368" t="str">
        <f t="shared" si="103"/>
        <v/>
      </c>
    </row>
    <row r="378" spans="1:36" x14ac:dyDescent="0.25">
      <c r="A378" s="57">
        <v>358</v>
      </c>
      <c r="B378" s="690"/>
      <c r="C378" s="690"/>
      <c r="D378" s="252">
        <f>(IFERROR(SUMIF('מצבת והרשמה (2)'!$F$21:$F$501,'דוח ביצוע (3)'!$B378,'מצבת והרשמה (2)'!$J$21:$J$501),0))</f>
        <v>0</v>
      </c>
      <c r="E378" s="252">
        <f>IFERROR(SUMIF('מצבת והרשמה (2)'!$F$21:$F$501,'דוח ביצוע (3)'!$B378,'מצבת והרשמה (2)'!$K$21:$K$501),0)</f>
        <v>0</v>
      </c>
      <c r="F378" s="253">
        <f t="shared" si="104"/>
        <v>0</v>
      </c>
      <c r="G378" s="680"/>
      <c r="H378" s="680"/>
      <c r="I378" s="253">
        <f t="shared" si="97"/>
        <v>0</v>
      </c>
      <c r="J378" s="453">
        <f t="shared" si="105"/>
        <v>0</v>
      </c>
      <c r="K378" s="689"/>
      <c r="L378" s="689"/>
      <c r="M378" s="969">
        <f t="shared" si="106"/>
        <v>0</v>
      </c>
      <c r="N378" s="1029" t="str">
        <f t="shared" si="107"/>
        <v/>
      </c>
      <c r="O378" s="969" t="str">
        <f>IFERROR(VLOOKUP(B378,'נתוני רישום ומצבת'!B:Q,16,0),"")</f>
        <v/>
      </c>
      <c r="P378" s="969" t="str">
        <f>IFERROR(VLOOKUP(B378,'נתוני רישום ומצבת'!B:R,17,0),"")</f>
        <v/>
      </c>
      <c r="Q378" s="690"/>
      <c r="R378" s="1009"/>
      <c r="S378" s="376">
        <f t="shared" si="108"/>
        <v>0</v>
      </c>
      <c r="T378" s="376">
        <f t="shared" si="109"/>
        <v>0</v>
      </c>
      <c r="U378" s="386">
        <f t="shared" si="110"/>
        <v>0</v>
      </c>
      <c r="V378" s="513" t="str">
        <f t="shared" si="111"/>
        <v/>
      </c>
      <c r="W378" s="254" t="str">
        <f>IF(ISBLANK(B378)," ",IF(B378=IFERROR(VLOOKUP(B378,'מצבת והרשמה (2)'!F:F,1,0),0),"תקין","לא קיים במצבת כבית ספר בו מתקיימת פעילות"))</f>
        <v xml:space="preserve"> </v>
      </c>
      <c r="X378" s="256" t="str">
        <f t="shared" si="98"/>
        <v/>
      </c>
      <c r="Y378" s="256" t="str">
        <f t="shared" si="99"/>
        <v/>
      </c>
      <c r="Z378" s="741">
        <f t="shared" si="100"/>
        <v>0</v>
      </c>
      <c r="AA378" s="741">
        <f t="shared" si="101"/>
        <v>0</v>
      </c>
      <c r="AB378" s="741">
        <f t="shared" si="102"/>
        <v>0</v>
      </c>
      <c r="AC378" s="987">
        <f t="shared" si="112"/>
        <v>0</v>
      </c>
      <c r="AD378" s="987">
        <f t="shared" si="113"/>
        <v>0</v>
      </c>
      <c r="AE378" s="368" t="str">
        <f>IFERROR(VLOOKUP(B378,'[1]סיכום בקרת רשויות'!$A:$D,4,0),"")</f>
        <v/>
      </c>
      <c r="AF378" s="57" t="str">
        <f t="shared" si="114"/>
        <v/>
      </c>
      <c r="AG378" s="180">
        <f>IF(AF378="כן",M378*'גנים ובתי ספר- מבנה תקציב'!$H$59,0)</f>
        <v>0</v>
      </c>
      <c r="AH378" s="180">
        <f>IF(AF378="כן",M378*'גנים ובתי ספר- מבנה תקציב'!$I$59,0)</f>
        <v>0</v>
      </c>
      <c r="AI378" s="180">
        <f t="shared" si="115"/>
        <v>0</v>
      </c>
      <c r="AJ378" s="368" t="str">
        <f t="shared" si="103"/>
        <v/>
      </c>
    </row>
    <row r="379" spans="1:36" x14ac:dyDescent="0.25">
      <c r="A379" s="57">
        <v>359</v>
      </c>
      <c r="B379" s="690"/>
      <c r="C379" s="690"/>
      <c r="D379" s="252">
        <f>(IFERROR(SUMIF('מצבת והרשמה (2)'!$F$21:$F$501,'דוח ביצוע (3)'!$B379,'מצבת והרשמה (2)'!$J$21:$J$501),0))</f>
        <v>0</v>
      </c>
      <c r="E379" s="252">
        <f>IFERROR(SUMIF('מצבת והרשמה (2)'!$F$21:$F$501,'דוח ביצוע (3)'!$B379,'מצבת והרשמה (2)'!$K$21:$K$501),0)</f>
        <v>0</v>
      </c>
      <c r="F379" s="253">
        <f t="shared" si="104"/>
        <v>0</v>
      </c>
      <c r="G379" s="680"/>
      <c r="H379" s="680"/>
      <c r="I379" s="253">
        <f t="shared" si="97"/>
        <v>0</v>
      </c>
      <c r="J379" s="453">
        <f t="shared" si="105"/>
        <v>0</v>
      </c>
      <c r="K379" s="689"/>
      <c r="L379" s="689"/>
      <c r="M379" s="969">
        <f t="shared" si="106"/>
        <v>0</v>
      </c>
      <c r="N379" s="1029" t="str">
        <f t="shared" si="107"/>
        <v/>
      </c>
      <c r="O379" s="969" t="str">
        <f>IFERROR(VLOOKUP(B379,'נתוני רישום ומצבת'!B:Q,16,0),"")</f>
        <v/>
      </c>
      <c r="P379" s="969" t="str">
        <f>IFERROR(VLOOKUP(B379,'נתוני רישום ומצבת'!B:R,17,0),"")</f>
        <v/>
      </c>
      <c r="Q379" s="690"/>
      <c r="R379" s="1009"/>
      <c r="S379" s="376">
        <f t="shared" si="108"/>
        <v>0</v>
      </c>
      <c r="T379" s="376">
        <f t="shared" si="109"/>
        <v>0</v>
      </c>
      <c r="U379" s="386">
        <f t="shared" si="110"/>
        <v>0</v>
      </c>
      <c r="V379" s="513" t="str">
        <f t="shared" si="111"/>
        <v/>
      </c>
      <c r="W379" s="254" t="str">
        <f>IF(ISBLANK(B379)," ",IF(B379=IFERROR(VLOOKUP(B379,'מצבת והרשמה (2)'!F:F,1,0),0),"תקין","לא קיים במצבת כבית ספר בו מתקיימת פעילות"))</f>
        <v xml:space="preserve"> </v>
      </c>
      <c r="X379" s="256" t="str">
        <f t="shared" si="98"/>
        <v/>
      </c>
      <c r="Y379" s="256" t="str">
        <f t="shared" si="99"/>
        <v/>
      </c>
      <c r="Z379" s="741">
        <f t="shared" si="100"/>
        <v>0</v>
      </c>
      <c r="AA379" s="741">
        <f t="shared" si="101"/>
        <v>0</v>
      </c>
      <c r="AB379" s="741">
        <f t="shared" si="102"/>
        <v>0</v>
      </c>
      <c r="AC379" s="987">
        <f t="shared" si="112"/>
        <v>0</v>
      </c>
      <c r="AD379" s="987">
        <f t="shared" si="113"/>
        <v>0</v>
      </c>
      <c r="AE379" s="368" t="str">
        <f>IFERROR(VLOOKUP(B379,'[1]סיכום בקרת רשויות'!$A:$D,4,0),"")</f>
        <v/>
      </c>
      <c r="AF379" s="57" t="str">
        <f t="shared" si="114"/>
        <v/>
      </c>
      <c r="AG379" s="180">
        <f>IF(AF379="כן",M379*'גנים ובתי ספר- מבנה תקציב'!$H$59,0)</f>
        <v>0</v>
      </c>
      <c r="AH379" s="180">
        <f>IF(AF379="כן",M379*'גנים ובתי ספר- מבנה תקציב'!$I$59,0)</f>
        <v>0</v>
      </c>
      <c r="AI379" s="180">
        <f t="shared" si="115"/>
        <v>0</v>
      </c>
      <c r="AJ379" s="368" t="str">
        <f t="shared" si="103"/>
        <v/>
      </c>
    </row>
    <row r="380" spans="1:36" x14ac:dyDescent="0.25">
      <c r="A380" s="57">
        <v>360</v>
      </c>
      <c r="B380" s="690"/>
      <c r="C380" s="690"/>
      <c r="D380" s="252">
        <f>(IFERROR(SUMIF('מצבת והרשמה (2)'!$F$21:$F$501,'דוח ביצוע (3)'!$B380,'מצבת והרשמה (2)'!$J$21:$J$501),0))</f>
        <v>0</v>
      </c>
      <c r="E380" s="252">
        <f>IFERROR(SUMIF('מצבת והרשמה (2)'!$F$21:$F$501,'דוח ביצוע (3)'!$B380,'מצבת והרשמה (2)'!$K$21:$K$501),0)</f>
        <v>0</v>
      </c>
      <c r="F380" s="253">
        <f t="shared" si="104"/>
        <v>0</v>
      </c>
      <c r="G380" s="680"/>
      <c r="H380" s="680"/>
      <c r="I380" s="253">
        <f t="shared" si="97"/>
        <v>0</v>
      </c>
      <c r="J380" s="453">
        <f t="shared" si="105"/>
        <v>0</v>
      </c>
      <c r="K380" s="689"/>
      <c r="L380" s="689"/>
      <c r="M380" s="969">
        <f t="shared" si="106"/>
        <v>0</v>
      </c>
      <c r="N380" s="1029" t="str">
        <f t="shared" si="107"/>
        <v/>
      </c>
      <c r="O380" s="969" t="str">
        <f>IFERROR(VLOOKUP(B380,'נתוני רישום ומצבת'!B:Q,16,0),"")</f>
        <v/>
      </c>
      <c r="P380" s="969" t="str">
        <f>IFERROR(VLOOKUP(B380,'נתוני רישום ומצבת'!B:R,17,0),"")</f>
        <v/>
      </c>
      <c r="Q380" s="690"/>
      <c r="R380" s="1009"/>
      <c r="S380" s="376">
        <f t="shared" si="108"/>
        <v>0</v>
      </c>
      <c r="T380" s="376">
        <f t="shared" si="109"/>
        <v>0</v>
      </c>
      <c r="U380" s="386">
        <f t="shared" si="110"/>
        <v>0</v>
      </c>
      <c r="V380" s="513" t="str">
        <f t="shared" si="111"/>
        <v/>
      </c>
      <c r="W380" s="254" t="str">
        <f>IF(ISBLANK(B380)," ",IF(B380=IFERROR(VLOOKUP(B380,'מצבת והרשמה (2)'!F:F,1,0),0),"תקין","לא קיים במצבת כבית ספר בו מתקיימת פעילות"))</f>
        <v xml:space="preserve"> </v>
      </c>
      <c r="X380" s="256" t="str">
        <f t="shared" si="98"/>
        <v/>
      </c>
      <c r="Y380" s="256" t="str">
        <f t="shared" si="99"/>
        <v/>
      </c>
      <c r="Z380" s="741">
        <f t="shared" si="100"/>
        <v>0</v>
      </c>
      <c r="AA380" s="741">
        <f t="shared" si="101"/>
        <v>0</v>
      </c>
      <c r="AB380" s="741">
        <f t="shared" si="102"/>
        <v>0</v>
      </c>
      <c r="AC380" s="987">
        <f t="shared" si="112"/>
        <v>0</v>
      </c>
      <c r="AD380" s="987">
        <f t="shared" si="113"/>
        <v>0</v>
      </c>
      <c r="AE380" s="368" t="str">
        <f>IFERROR(VLOOKUP(B380,'[1]סיכום בקרת רשויות'!$A:$D,4,0),"")</f>
        <v/>
      </c>
      <c r="AF380" s="57" t="str">
        <f t="shared" si="114"/>
        <v/>
      </c>
      <c r="AG380" s="180">
        <f>IF(AF380="כן",M380*'גנים ובתי ספר- מבנה תקציב'!$H$59,0)</f>
        <v>0</v>
      </c>
      <c r="AH380" s="180">
        <f>IF(AF380="כן",M380*'גנים ובתי ספר- מבנה תקציב'!$I$59,0)</f>
        <v>0</v>
      </c>
      <c r="AI380" s="180">
        <f t="shared" si="115"/>
        <v>0</v>
      </c>
      <c r="AJ380" s="368" t="str">
        <f t="shared" si="103"/>
        <v/>
      </c>
    </row>
    <row r="381" spans="1:36" x14ac:dyDescent="0.25">
      <c r="A381" s="57">
        <v>361</v>
      </c>
      <c r="B381" s="690"/>
      <c r="C381" s="690"/>
      <c r="D381" s="252">
        <f>(IFERROR(SUMIF('מצבת והרשמה (2)'!$F$21:$F$501,'דוח ביצוע (3)'!$B381,'מצבת והרשמה (2)'!$J$21:$J$501),0))</f>
        <v>0</v>
      </c>
      <c r="E381" s="252">
        <f>IFERROR(SUMIF('מצבת והרשמה (2)'!$F$21:$F$501,'דוח ביצוע (3)'!$B381,'מצבת והרשמה (2)'!$K$21:$K$501),0)</f>
        <v>0</v>
      </c>
      <c r="F381" s="253">
        <f t="shared" si="104"/>
        <v>0</v>
      </c>
      <c r="G381" s="680"/>
      <c r="H381" s="680"/>
      <c r="I381" s="253">
        <f t="shared" si="97"/>
        <v>0</v>
      </c>
      <c r="J381" s="453">
        <f t="shared" si="105"/>
        <v>0</v>
      </c>
      <c r="K381" s="689"/>
      <c r="L381" s="689"/>
      <c r="M381" s="969">
        <f t="shared" si="106"/>
        <v>0</v>
      </c>
      <c r="N381" s="1029" t="str">
        <f t="shared" si="107"/>
        <v/>
      </c>
      <c r="O381" s="969" t="str">
        <f>IFERROR(VLOOKUP(B381,'נתוני רישום ומצבת'!B:Q,16,0),"")</f>
        <v/>
      </c>
      <c r="P381" s="969" t="str">
        <f>IFERROR(VLOOKUP(B381,'נתוני רישום ומצבת'!B:R,17,0),"")</f>
        <v/>
      </c>
      <c r="Q381" s="690"/>
      <c r="R381" s="1009"/>
      <c r="S381" s="376">
        <f t="shared" si="108"/>
        <v>0</v>
      </c>
      <c r="T381" s="376">
        <f t="shared" si="109"/>
        <v>0</v>
      </c>
      <c r="U381" s="386">
        <f t="shared" si="110"/>
        <v>0</v>
      </c>
      <c r="V381" s="513" t="str">
        <f t="shared" si="111"/>
        <v/>
      </c>
      <c r="W381" s="254" t="str">
        <f>IF(ISBLANK(B381)," ",IF(B381=IFERROR(VLOOKUP(B381,'מצבת והרשמה (2)'!F:F,1,0),0),"תקין","לא קיים במצבת כבית ספר בו מתקיימת פעילות"))</f>
        <v xml:space="preserve"> </v>
      </c>
      <c r="X381" s="256" t="str">
        <f t="shared" si="98"/>
        <v/>
      </c>
      <c r="Y381" s="256" t="str">
        <f t="shared" si="99"/>
        <v/>
      </c>
      <c r="Z381" s="741">
        <f t="shared" si="100"/>
        <v>0</v>
      </c>
      <c r="AA381" s="741">
        <f t="shared" si="101"/>
        <v>0</v>
      </c>
      <c r="AB381" s="741">
        <f t="shared" si="102"/>
        <v>0</v>
      </c>
      <c r="AC381" s="987">
        <f t="shared" si="112"/>
        <v>0</v>
      </c>
      <c r="AD381" s="987">
        <f t="shared" si="113"/>
        <v>0</v>
      </c>
      <c r="AE381" s="368" t="str">
        <f>IFERROR(VLOOKUP(B381,'[1]סיכום בקרת רשויות'!$A:$D,4,0),"")</f>
        <v/>
      </c>
      <c r="AF381" s="57" t="str">
        <f t="shared" si="114"/>
        <v/>
      </c>
      <c r="AG381" s="180">
        <f>IF(AF381="כן",M381*'גנים ובתי ספר- מבנה תקציב'!$H$59,0)</f>
        <v>0</v>
      </c>
      <c r="AH381" s="180">
        <f>IF(AF381="כן",M381*'גנים ובתי ספר- מבנה תקציב'!$I$59,0)</f>
        <v>0</v>
      </c>
      <c r="AI381" s="180">
        <f t="shared" si="115"/>
        <v>0</v>
      </c>
      <c r="AJ381" s="368" t="str">
        <f t="shared" si="103"/>
        <v/>
      </c>
    </row>
    <row r="382" spans="1:36" x14ac:dyDescent="0.25">
      <c r="A382" s="57">
        <v>362</v>
      </c>
      <c r="B382" s="690"/>
      <c r="C382" s="690"/>
      <c r="D382" s="252">
        <f>(IFERROR(SUMIF('מצבת והרשמה (2)'!$F$21:$F$501,'דוח ביצוע (3)'!$B382,'מצבת והרשמה (2)'!$J$21:$J$501),0))</f>
        <v>0</v>
      </c>
      <c r="E382" s="252">
        <f>IFERROR(SUMIF('מצבת והרשמה (2)'!$F$21:$F$501,'דוח ביצוע (3)'!$B382,'מצבת והרשמה (2)'!$K$21:$K$501),0)</f>
        <v>0</v>
      </c>
      <c r="F382" s="253">
        <f t="shared" si="104"/>
        <v>0</v>
      </c>
      <c r="G382" s="680"/>
      <c r="H382" s="680"/>
      <c r="I382" s="253">
        <f t="shared" si="97"/>
        <v>0</v>
      </c>
      <c r="J382" s="453">
        <f t="shared" si="105"/>
        <v>0</v>
      </c>
      <c r="K382" s="689"/>
      <c r="L382" s="689"/>
      <c r="M382" s="969">
        <f t="shared" si="106"/>
        <v>0</v>
      </c>
      <c r="N382" s="1029" t="str">
        <f t="shared" si="107"/>
        <v/>
      </c>
      <c r="O382" s="969" t="str">
        <f>IFERROR(VLOOKUP(B382,'נתוני רישום ומצבת'!B:Q,16,0),"")</f>
        <v/>
      </c>
      <c r="P382" s="969" t="str">
        <f>IFERROR(VLOOKUP(B382,'נתוני רישום ומצבת'!B:R,17,0),"")</f>
        <v/>
      </c>
      <c r="Q382" s="690"/>
      <c r="R382" s="1009"/>
      <c r="S382" s="376">
        <f t="shared" si="108"/>
        <v>0</v>
      </c>
      <c r="T382" s="376">
        <f t="shared" si="109"/>
        <v>0</v>
      </c>
      <c r="U382" s="386">
        <f t="shared" si="110"/>
        <v>0</v>
      </c>
      <c r="V382" s="513" t="str">
        <f t="shared" si="111"/>
        <v/>
      </c>
      <c r="W382" s="254" t="str">
        <f>IF(ISBLANK(B382)," ",IF(B382=IFERROR(VLOOKUP(B382,'מצבת והרשמה (2)'!F:F,1,0),0),"תקין","לא קיים במצבת כבית ספר בו מתקיימת פעילות"))</f>
        <v xml:space="preserve"> </v>
      </c>
      <c r="X382" s="256" t="str">
        <f t="shared" si="98"/>
        <v/>
      </c>
      <c r="Y382" s="256" t="str">
        <f t="shared" si="99"/>
        <v/>
      </c>
      <c r="Z382" s="741">
        <f t="shared" si="100"/>
        <v>0</v>
      </c>
      <c r="AA382" s="741">
        <f t="shared" si="101"/>
        <v>0</v>
      </c>
      <c r="AB382" s="741">
        <f t="shared" si="102"/>
        <v>0</v>
      </c>
      <c r="AC382" s="987">
        <f t="shared" si="112"/>
        <v>0</v>
      </c>
      <c r="AD382" s="987">
        <f t="shared" si="113"/>
        <v>0</v>
      </c>
      <c r="AE382" s="368" t="str">
        <f>IFERROR(VLOOKUP(B382,'[1]סיכום בקרת רשויות'!$A:$D,4,0),"")</f>
        <v/>
      </c>
      <c r="AF382" s="57" t="str">
        <f t="shared" si="114"/>
        <v/>
      </c>
      <c r="AG382" s="180">
        <f>IF(AF382="כן",M382*'גנים ובתי ספר- מבנה תקציב'!$H$59,0)</f>
        <v>0</v>
      </c>
      <c r="AH382" s="180">
        <f>IF(AF382="כן",M382*'גנים ובתי ספר- מבנה תקציב'!$I$59,0)</f>
        <v>0</v>
      </c>
      <c r="AI382" s="180">
        <f t="shared" si="115"/>
        <v>0</v>
      </c>
      <c r="AJ382" s="368" t="str">
        <f t="shared" si="103"/>
        <v/>
      </c>
    </row>
    <row r="383" spans="1:36" x14ac:dyDescent="0.25">
      <c r="A383" s="57">
        <v>363</v>
      </c>
      <c r="B383" s="690"/>
      <c r="C383" s="690"/>
      <c r="D383" s="252">
        <f>(IFERROR(SUMIF('מצבת והרשמה (2)'!$F$21:$F$501,'דוח ביצוע (3)'!$B383,'מצבת והרשמה (2)'!$J$21:$J$501),0))</f>
        <v>0</v>
      </c>
      <c r="E383" s="252">
        <f>IFERROR(SUMIF('מצבת והרשמה (2)'!$F$21:$F$501,'דוח ביצוע (3)'!$B383,'מצבת והרשמה (2)'!$K$21:$K$501),0)</f>
        <v>0</v>
      </c>
      <c r="F383" s="253">
        <f t="shared" si="104"/>
        <v>0</v>
      </c>
      <c r="G383" s="680"/>
      <c r="H383" s="680"/>
      <c r="I383" s="253">
        <f t="shared" si="97"/>
        <v>0</v>
      </c>
      <c r="J383" s="453">
        <f t="shared" si="105"/>
        <v>0</v>
      </c>
      <c r="K383" s="689"/>
      <c r="L383" s="689"/>
      <c r="M383" s="969">
        <f t="shared" si="106"/>
        <v>0</v>
      </c>
      <c r="N383" s="1029" t="str">
        <f t="shared" si="107"/>
        <v/>
      </c>
      <c r="O383" s="969" t="str">
        <f>IFERROR(VLOOKUP(B383,'נתוני רישום ומצבת'!B:Q,16,0),"")</f>
        <v/>
      </c>
      <c r="P383" s="969" t="str">
        <f>IFERROR(VLOOKUP(B383,'נתוני רישום ומצבת'!B:R,17,0),"")</f>
        <v/>
      </c>
      <c r="Q383" s="690"/>
      <c r="R383" s="1009"/>
      <c r="S383" s="376">
        <f t="shared" si="108"/>
        <v>0</v>
      </c>
      <c r="T383" s="376">
        <f t="shared" si="109"/>
        <v>0</v>
      </c>
      <c r="U383" s="386">
        <f t="shared" si="110"/>
        <v>0</v>
      </c>
      <c r="V383" s="513" t="str">
        <f t="shared" si="111"/>
        <v/>
      </c>
      <c r="W383" s="254" t="str">
        <f>IF(ISBLANK(B383)," ",IF(B383=IFERROR(VLOOKUP(B383,'מצבת והרשמה (2)'!F:F,1,0),0),"תקין","לא קיים במצבת כבית ספר בו מתקיימת פעילות"))</f>
        <v xml:space="preserve"> </v>
      </c>
      <c r="X383" s="256" t="str">
        <f t="shared" si="98"/>
        <v/>
      </c>
      <c r="Y383" s="256" t="str">
        <f t="shared" si="99"/>
        <v/>
      </c>
      <c r="Z383" s="741">
        <f t="shared" si="100"/>
        <v>0</v>
      </c>
      <c r="AA383" s="741">
        <f t="shared" si="101"/>
        <v>0</v>
      </c>
      <c r="AB383" s="741">
        <f t="shared" si="102"/>
        <v>0</v>
      </c>
      <c r="AC383" s="987">
        <f t="shared" si="112"/>
        <v>0</v>
      </c>
      <c r="AD383" s="987">
        <f t="shared" si="113"/>
        <v>0</v>
      </c>
      <c r="AE383" s="368" t="str">
        <f>IFERROR(VLOOKUP(B383,'[1]סיכום בקרת רשויות'!$A:$D,4,0),"")</f>
        <v/>
      </c>
      <c r="AF383" s="57" t="str">
        <f t="shared" si="114"/>
        <v/>
      </c>
      <c r="AG383" s="180">
        <f>IF(AF383="כן",M383*'גנים ובתי ספר- מבנה תקציב'!$H$59,0)</f>
        <v>0</v>
      </c>
      <c r="AH383" s="180">
        <f>IF(AF383="כן",M383*'גנים ובתי ספר- מבנה תקציב'!$I$59,0)</f>
        <v>0</v>
      </c>
      <c r="AI383" s="180">
        <f t="shared" si="115"/>
        <v>0</v>
      </c>
      <c r="AJ383" s="368" t="str">
        <f t="shared" si="103"/>
        <v/>
      </c>
    </row>
    <row r="384" spans="1:36" x14ac:dyDescent="0.25">
      <c r="A384" s="57">
        <v>364</v>
      </c>
      <c r="B384" s="690"/>
      <c r="C384" s="690"/>
      <c r="D384" s="252">
        <f>(IFERROR(SUMIF('מצבת והרשמה (2)'!$F$21:$F$501,'דוח ביצוע (3)'!$B384,'מצבת והרשמה (2)'!$J$21:$J$501),0))</f>
        <v>0</v>
      </c>
      <c r="E384" s="252">
        <f>IFERROR(SUMIF('מצבת והרשמה (2)'!$F$21:$F$501,'דוח ביצוע (3)'!$B384,'מצבת והרשמה (2)'!$K$21:$K$501),0)</f>
        <v>0</v>
      </c>
      <c r="F384" s="253">
        <f t="shared" si="104"/>
        <v>0</v>
      </c>
      <c r="G384" s="680"/>
      <c r="H384" s="680"/>
      <c r="I384" s="253">
        <f t="shared" si="97"/>
        <v>0</v>
      </c>
      <c r="J384" s="453">
        <f t="shared" si="105"/>
        <v>0</v>
      </c>
      <c r="K384" s="689"/>
      <c r="L384" s="689"/>
      <c r="M384" s="969">
        <f t="shared" si="106"/>
        <v>0</v>
      </c>
      <c r="N384" s="1029" t="str">
        <f t="shared" si="107"/>
        <v/>
      </c>
      <c r="O384" s="969" t="str">
        <f>IFERROR(VLOOKUP(B384,'נתוני רישום ומצבת'!B:Q,16,0),"")</f>
        <v/>
      </c>
      <c r="P384" s="969" t="str">
        <f>IFERROR(VLOOKUP(B384,'נתוני רישום ומצבת'!B:R,17,0),"")</f>
        <v/>
      </c>
      <c r="Q384" s="690"/>
      <c r="R384" s="1009"/>
      <c r="S384" s="376">
        <f t="shared" si="108"/>
        <v>0</v>
      </c>
      <c r="T384" s="376">
        <f t="shared" si="109"/>
        <v>0</v>
      </c>
      <c r="U384" s="386">
        <f t="shared" si="110"/>
        <v>0</v>
      </c>
      <c r="V384" s="513" t="str">
        <f t="shared" si="111"/>
        <v/>
      </c>
      <c r="W384" s="254" t="str">
        <f>IF(ISBLANK(B384)," ",IF(B384=IFERROR(VLOOKUP(B384,'מצבת והרשמה (2)'!F:F,1,0),0),"תקין","לא קיים במצבת כבית ספר בו מתקיימת פעילות"))</f>
        <v xml:space="preserve"> </v>
      </c>
      <c r="X384" s="256" t="str">
        <f t="shared" si="98"/>
        <v/>
      </c>
      <c r="Y384" s="256" t="str">
        <f t="shared" si="99"/>
        <v/>
      </c>
      <c r="Z384" s="741">
        <f t="shared" si="100"/>
        <v>0</v>
      </c>
      <c r="AA384" s="741">
        <f t="shared" si="101"/>
        <v>0</v>
      </c>
      <c r="AB384" s="741">
        <f t="shared" si="102"/>
        <v>0</v>
      </c>
      <c r="AC384" s="987">
        <f t="shared" si="112"/>
        <v>0</v>
      </c>
      <c r="AD384" s="987">
        <f t="shared" si="113"/>
        <v>0</v>
      </c>
      <c r="AE384" s="368" t="str">
        <f>IFERROR(VLOOKUP(B384,'[1]סיכום בקרת רשויות'!$A:$D,4,0),"")</f>
        <v/>
      </c>
      <c r="AF384" s="57" t="str">
        <f t="shared" si="114"/>
        <v/>
      </c>
      <c r="AG384" s="180">
        <f>IF(AF384="כן",M384*'גנים ובתי ספר- מבנה תקציב'!$H$59,0)</f>
        <v>0</v>
      </c>
      <c r="AH384" s="180">
        <f>IF(AF384="כן",M384*'גנים ובתי ספר- מבנה תקציב'!$I$59,0)</f>
        <v>0</v>
      </c>
      <c r="AI384" s="180">
        <f t="shared" si="115"/>
        <v>0</v>
      </c>
      <c r="AJ384" s="368" t="str">
        <f t="shared" si="103"/>
        <v/>
      </c>
    </row>
    <row r="385" spans="1:36" x14ac:dyDescent="0.25">
      <c r="A385" s="57">
        <v>365</v>
      </c>
      <c r="B385" s="690"/>
      <c r="C385" s="690"/>
      <c r="D385" s="252">
        <f>(IFERROR(SUMIF('מצבת והרשמה (2)'!$F$21:$F$501,'דוח ביצוע (3)'!$B385,'מצבת והרשמה (2)'!$J$21:$J$501),0))</f>
        <v>0</v>
      </c>
      <c r="E385" s="252">
        <f>IFERROR(SUMIF('מצבת והרשמה (2)'!$F$21:$F$501,'דוח ביצוע (3)'!$B385,'מצבת והרשמה (2)'!$K$21:$K$501),0)</f>
        <v>0</v>
      </c>
      <c r="F385" s="253">
        <f t="shared" si="104"/>
        <v>0</v>
      </c>
      <c r="G385" s="680"/>
      <c r="H385" s="680"/>
      <c r="I385" s="253">
        <f t="shared" si="97"/>
        <v>0</v>
      </c>
      <c r="J385" s="453">
        <f t="shared" si="105"/>
        <v>0</v>
      </c>
      <c r="K385" s="689"/>
      <c r="L385" s="689"/>
      <c r="M385" s="969">
        <f t="shared" si="106"/>
        <v>0</v>
      </c>
      <c r="N385" s="1029" t="str">
        <f t="shared" si="107"/>
        <v/>
      </c>
      <c r="O385" s="969" t="str">
        <f>IFERROR(VLOOKUP(B385,'נתוני רישום ומצבת'!B:Q,16,0),"")</f>
        <v/>
      </c>
      <c r="P385" s="969" t="str">
        <f>IFERROR(VLOOKUP(B385,'נתוני רישום ומצבת'!B:R,17,0),"")</f>
        <v/>
      </c>
      <c r="Q385" s="690"/>
      <c r="R385" s="1009"/>
      <c r="S385" s="376">
        <f t="shared" si="108"/>
        <v>0</v>
      </c>
      <c r="T385" s="376">
        <f t="shared" si="109"/>
        <v>0</v>
      </c>
      <c r="U385" s="386">
        <f t="shared" si="110"/>
        <v>0</v>
      </c>
      <c r="V385" s="513" t="str">
        <f t="shared" si="111"/>
        <v/>
      </c>
      <c r="W385" s="254" t="str">
        <f>IF(ISBLANK(B385)," ",IF(B385=IFERROR(VLOOKUP(B385,'מצבת והרשמה (2)'!F:F,1,0),0),"תקין","לא קיים במצבת כבית ספר בו מתקיימת פעילות"))</f>
        <v xml:space="preserve"> </v>
      </c>
      <c r="X385" s="256" t="str">
        <f t="shared" si="98"/>
        <v/>
      </c>
      <c r="Y385" s="256" t="str">
        <f t="shared" si="99"/>
        <v/>
      </c>
      <c r="Z385" s="741">
        <f t="shared" si="100"/>
        <v>0</v>
      </c>
      <c r="AA385" s="741">
        <f t="shared" si="101"/>
        <v>0</v>
      </c>
      <c r="AB385" s="741">
        <f t="shared" si="102"/>
        <v>0</v>
      </c>
      <c r="AC385" s="987">
        <f t="shared" si="112"/>
        <v>0</v>
      </c>
      <c r="AD385" s="987">
        <f t="shared" si="113"/>
        <v>0</v>
      </c>
      <c r="AE385" s="368" t="str">
        <f>IFERROR(VLOOKUP(B385,'[1]סיכום בקרת רשויות'!$A:$D,4,0),"")</f>
        <v/>
      </c>
      <c r="AF385" s="57" t="str">
        <f t="shared" si="114"/>
        <v/>
      </c>
      <c r="AG385" s="180">
        <f>IF(AF385="כן",M385*'גנים ובתי ספר- מבנה תקציב'!$H$59,0)</f>
        <v>0</v>
      </c>
      <c r="AH385" s="180">
        <f>IF(AF385="כן",M385*'גנים ובתי ספר- מבנה תקציב'!$I$59,0)</f>
        <v>0</v>
      </c>
      <c r="AI385" s="180">
        <f t="shared" si="115"/>
        <v>0</v>
      </c>
      <c r="AJ385" s="368" t="str">
        <f t="shared" si="103"/>
        <v/>
      </c>
    </row>
    <row r="386" spans="1:36" x14ac:dyDescent="0.25">
      <c r="A386" s="57">
        <v>366</v>
      </c>
      <c r="B386" s="690"/>
      <c r="C386" s="690"/>
      <c r="D386" s="252">
        <f>(IFERROR(SUMIF('מצבת והרשמה (2)'!$F$21:$F$501,'דוח ביצוע (3)'!$B386,'מצבת והרשמה (2)'!$J$21:$J$501),0))</f>
        <v>0</v>
      </c>
      <c r="E386" s="252">
        <f>IFERROR(SUMIF('מצבת והרשמה (2)'!$F$21:$F$501,'דוח ביצוע (3)'!$B386,'מצבת והרשמה (2)'!$K$21:$K$501),0)</f>
        <v>0</v>
      </c>
      <c r="F386" s="253">
        <f t="shared" si="104"/>
        <v>0</v>
      </c>
      <c r="G386" s="680"/>
      <c r="H386" s="680"/>
      <c r="I386" s="253">
        <f t="shared" si="97"/>
        <v>0</v>
      </c>
      <c r="J386" s="453">
        <f t="shared" si="105"/>
        <v>0</v>
      </c>
      <c r="K386" s="689"/>
      <c r="L386" s="689"/>
      <c r="M386" s="969">
        <f t="shared" si="106"/>
        <v>0</v>
      </c>
      <c r="N386" s="1029" t="str">
        <f t="shared" si="107"/>
        <v/>
      </c>
      <c r="O386" s="969" t="str">
        <f>IFERROR(VLOOKUP(B386,'נתוני רישום ומצבת'!B:Q,16,0),"")</f>
        <v/>
      </c>
      <c r="P386" s="969" t="str">
        <f>IFERROR(VLOOKUP(B386,'נתוני רישום ומצבת'!B:R,17,0),"")</f>
        <v/>
      </c>
      <c r="Q386" s="690"/>
      <c r="R386" s="1009"/>
      <c r="S386" s="376">
        <f t="shared" si="108"/>
        <v>0</v>
      </c>
      <c r="T386" s="376">
        <f t="shared" si="109"/>
        <v>0</v>
      </c>
      <c r="U386" s="386">
        <f t="shared" si="110"/>
        <v>0</v>
      </c>
      <c r="V386" s="513" t="str">
        <f t="shared" si="111"/>
        <v/>
      </c>
      <c r="W386" s="254" t="str">
        <f>IF(ISBLANK(B386)," ",IF(B386=IFERROR(VLOOKUP(B386,'מצבת והרשמה (2)'!F:F,1,0),0),"תקין","לא קיים במצבת כבית ספר בו מתקיימת פעילות"))</f>
        <v xml:space="preserve"> </v>
      </c>
      <c r="X386" s="256" t="str">
        <f t="shared" si="98"/>
        <v/>
      </c>
      <c r="Y386" s="256" t="str">
        <f t="shared" si="99"/>
        <v/>
      </c>
      <c r="Z386" s="741">
        <f t="shared" si="100"/>
        <v>0</v>
      </c>
      <c r="AA386" s="741">
        <f t="shared" si="101"/>
        <v>0</v>
      </c>
      <c r="AB386" s="741">
        <f t="shared" si="102"/>
        <v>0</v>
      </c>
      <c r="AC386" s="987">
        <f t="shared" si="112"/>
        <v>0</v>
      </c>
      <c r="AD386" s="987">
        <f t="shared" si="113"/>
        <v>0</v>
      </c>
      <c r="AE386" s="368" t="str">
        <f>IFERROR(VLOOKUP(B386,'[1]סיכום בקרת רשויות'!$A:$D,4,0),"")</f>
        <v/>
      </c>
      <c r="AF386" s="57" t="str">
        <f t="shared" si="114"/>
        <v/>
      </c>
      <c r="AG386" s="180">
        <f>IF(AF386="כן",M386*'גנים ובתי ספר- מבנה תקציב'!$H$59,0)</f>
        <v>0</v>
      </c>
      <c r="AH386" s="180">
        <f>IF(AF386="כן",M386*'גנים ובתי ספר- מבנה תקציב'!$I$59,0)</f>
        <v>0</v>
      </c>
      <c r="AI386" s="180">
        <f t="shared" si="115"/>
        <v>0</v>
      </c>
      <c r="AJ386" s="368" t="str">
        <f t="shared" si="103"/>
        <v/>
      </c>
    </row>
    <row r="387" spans="1:36" x14ac:dyDescent="0.25">
      <c r="A387" s="57">
        <v>367</v>
      </c>
      <c r="B387" s="690"/>
      <c r="C387" s="690"/>
      <c r="D387" s="252">
        <f>(IFERROR(SUMIF('מצבת והרשמה (2)'!$F$21:$F$501,'דוח ביצוע (3)'!$B387,'מצבת והרשמה (2)'!$J$21:$J$501),0))</f>
        <v>0</v>
      </c>
      <c r="E387" s="252">
        <f>IFERROR(SUMIF('מצבת והרשמה (2)'!$F$21:$F$501,'דוח ביצוע (3)'!$B387,'מצבת והרשמה (2)'!$K$21:$K$501),0)</f>
        <v>0</v>
      </c>
      <c r="F387" s="253">
        <f t="shared" si="104"/>
        <v>0</v>
      </c>
      <c r="G387" s="680"/>
      <c r="H387" s="680"/>
      <c r="I387" s="253">
        <f t="shared" si="97"/>
        <v>0</v>
      </c>
      <c r="J387" s="453">
        <f t="shared" si="105"/>
        <v>0</v>
      </c>
      <c r="K387" s="689"/>
      <c r="L387" s="689"/>
      <c r="M387" s="969">
        <f t="shared" si="106"/>
        <v>0</v>
      </c>
      <c r="N387" s="1029" t="str">
        <f t="shared" si="107"/>
        <v/>
      </c>
      <c r="O387" s="969" t="str">
        <f>IFERROR(VLOOKUP(B387,'נתוני רישום ומצבת'!B:Q,16,0),"")</f>
        <v/>
      </c>
      <c r="P387" s="969" t="str">
        <f>IFERROR(VLOOKUP(B387,'נתוני רישום ומצבת'!B:R,17,0),"")</f>
        <v/>
      </c>
      <c r="Q387" s="690"/>
      <c r="R387" s="1009"/>
      <c r="S387" s="376">
        <f t="shared" si="108"/>
        <v>0</v>
      </c>
      <c r="T387" s="376">
        <f t="shared" si="109"/>
        <v>0</v>
      </c>
      <c r="U387" s="386">
        <f t="shared" si="110"/>
        <v>0</v>
      </c>
      <c r="V387" s="513" t="str">
        <f t="shared" si="111"/>
        <v/>
      </c>
      <c r="W387" s="254" t="str">
        <f>IF(ISBLANK(B387)," ",IF(B387=IFERROR(VLOOKUP(B387,'מצבת והרשמה (2)'!F:F,1,0),0),"תקין","לא קיים במצבת כבית ספר בו מתקיימת פעילות"))</f>
        <v xml:space="preserve"> </v>
      </c>
      <c r="X387" s="256" t="str">
        <f t="shared" si="98"/>
        <v/>
      </c>
      <c r="Y387" s="256" t="str">
        <f t="shared" si="99"/>
        <v/>
      </c>
      <c r="Z387" s="741">
        <f t="shared" si="100"/>
        <v>0</v>
      </c>
      <c r="AA387" s="741">
        <f t="shared" si="101"/>
        <v>0</v>
      </c>
      <c r="AB387" s="741">
        <f t="shared" si="102"/>
        <v>0</v>
      </c>
      <c r="AC387" s="987">
        <f t="shared" si="112"/>
        <v>0</v>
      </c>
      <c r="AD387" s="987">
        <f t="shared" si="113"/>
        <v>0</v>
      </c>
      <c r="AE387" s="368" t="str">
        <f>IFERROR(VLOOKUP(B387,'[1]סיכום בקרת רשויות'!$A:$D,4,0),"")</f>
        <v/>
      </c>
      <c r="AF387" s="57" t="str">
        <f t="shared" si="114"/>
        <v/>
      </c>
      <c r="AG387" s="180">
        <f>IF(AF387="כן",M387*'גנים ובתי ספר- מבנה תקציב'!$H$59,0)</f>
        <v>0</v>
      </c>
      <c r="AH387" s="180">
        <f>IF(AF387="כן",M387*'גנים ובתי ספר- מבנה תקציב'!$I$59,0)</f>
        <v>0</v>
      </c>
      <c r="AI387" s="180">
        <f t="shared" si="115"/>
        <v>0</v>
      </c>
      <c r="AJ387" s="368" t="str">
        <f t="shared" si="103"/>
        <v/>
      </c>
    </row>
    <row r="388" spans="1:36" x14ac:dyDescent="0.25">
      <c r="A388" s="57">
        <v>368</v>
      </c>
      <c r="B388" s="690"/>
      <c r="C388" s="690"/>
      <c r="D388" s="252">
        <f>(IFERROR(SUMIF('מצבת והרשמה (2)'!$F$21:$F$501,'דוח ביצוע (3)'!$B388,'מצבת והרשמה (2)'!$J$21:$J$501),0))</f>
        <v>0</v>
      </c>
      <c r="E388" s="252">
        <f>IFERROR(SUMIF('מצבת והרשמה (2)'!$F$21:$F$501,'דוח ביצוע (3)'!$B388,'מצבת והרשמה (2)'!$K$21:$K$501),0)</f>
        <v>0</v>
      </c>
      <c r="F388" s="253">
        <f t="shared" si="104"/>
        <v>0</v>
      </c>
      <c r="G388" s="680"/>
      <c r="H388" s="680"/>
      <c r="I388" s="253">
        <f t="shared" si="97"/>
        <v>0</v>
      </c>
      <c r="J388" s="453">
        <f t="shared" si="105"/>
        <v>0</v>
      </c>
      <c r="K388" s="689"/>
      <c r="L388" s="689"/>
      <c r="M388" s="969">
        <f t="shared" si="106"/>
        <v>0</v>
      </c>
      <c r="N388" s="1029" t="str">
        <f t="shared" si="107"/>
        <v/>
      </c>
      <c r="O388" s="969" t="str">
        <f>IFERROR(VLOOKUP(B388,'נתוני רישום ומצבת'!B:Q,16,0),"")</f>
        <v/>
      </c>
      <c r="P388" s="969" t="str">
        <f>IFERROR(VLOOKUP(B388,'נתוני רישום ומצבת'!B:R,17,0),"")</f>
        <v/>
      </c>
      <c r="Q388" s="690"/>
      <c r="R388" s="1009"/>
      <c r="S388" s="376">
        <f t="shared" si="108"/>
        <v>0</v>
      </c>
      <c r="T388" s="376">
        <f t="shared" si="109"/>
        <v>0</v>
      </c>
      <c r="U388" s="386">
        <f t="shared" si="110"/>
        <v>0</v>
      </c>
      <c r="V388" s="513" t="str">
        <f t="shared" si="111"/>
        <v/>
      </c>
      <c r="W388" s="254" t="str">
        <f>IF(ISBLANK(B388)," ",IF(B388=IFERROR(VLOOKUP(B388,'מצבת והרשמה (2)'!F:F,1,0),0),"תקין","לא קיים במצבת כבית ספר בו מתקיימת פעילות"))</f>
        <v xml:space="preserve"> </v>
      </c>
      <c r="X388" s="256" t="str">
        <f t="shared" si="98"/>
        <v/>
      </c>
      <c r="Y388" s="256" t="str">
        <f t="shared" si="99"/>
        <v/>
      </c>
      <c r="Z388" s="741">
        <f t="shared" si="100"/>
        <v>0</v>
      </c>
      <c r="AA388" s="741">
        <f t="shared" si="101"/>
        <v>0</v>
      </c>
      <c r="AB388" s="741">
        <f t="shared" si="102"/>
        <v>0</v>
      </c>
      <c r="AC388" s="987">
        <f t="shared" si="112"/>
        <v>0</v>
      </c>
      <c r="AD388" s="987">
        <f t="shared" si="113"/>
        <v>0</v>
      </c>
      <c r="AE388" s="368" t="str">
        <f>IFERROR(VLOOKUP(B388,'[1]סיכום בקרת רשויות'!$A:$D,4,0),"")</f>
        <v/>
      </c>
      <c r="AF388" s="57" t="str">
        <f t="shared" si="114"/>
        <v/>
      </c>
      <c r="AG388" s="180">
        <f>IF(AF388="כן",M388*'גנים ובתי ספר- מבנה תקציב'!$H$59,0)</f>
        <v>0</v>
      </c>
      <c r="AH388" s="180">
        <f>IF(AF388="כן",M388*'גנים ובתי ספר- מבנה תקציב'!$I$59,0)</f>
        <v>0</v>
      </c>
      <c r="AI388" s="180">
        <f t="shared" si="115"/>
        <v>0</v>
      </c>
      <c r="AJ388" s="368" t="str">
        <f t="shared" si="103"/>
        <v/>
      </c>
    </row>
    <row r="389" spans="1:36" x14ac:dyDescent="0.25">
      <c r="A389" s="57">
        <v>369</v>
      </c>
      <c r="B389" s="690"/>
      <c r="C389" s="690"/>
      <c r="D389" s="252">
        <f>(IFERROR(SUMIF('מצבת והרשמה (2)'!$F$21:$F$501,'דוח ביצוע (3)'!$B389,'מצבת והרשמה (2)'!$J$21:$J$501),0))</f>
        <v>0</v>
      </c>
      <c r="E389" s="252">
        <f>IFERROR(SUMIF('מצבת והרשמה (2)'!$F$21:$F$501,'דוח ביצוע (3)'!$B389,'מצבת והרשמה (2)'!$K$21:$K$501),0)</f>
        <v>0</v>
      </c>
      <c r="F389" s="253">
        <f t="shared" si="104"/>
        <v>0</v>
      </c>
      <c r="G389" s="680"/>
      <c r="H389" s="680"/>
      <c r="I389" s="253">
        <f t="shared" si="97"/>
        <v>0</v>
      </c>
      <c r="J389" s="453">
        <f t="shared" si="105"/>
        <v>0</v>
      </c>
      <c r="K389" s="689"/>
      <c r="L389" s="689"/>
      <c r="M389" s="969">
        <f t="shared" si="106"/>
        <v>0</v>
      </c>
      <c r="N389" s="1029" t="str">
        <f t="shared" si="107"/>
        <v/>
      </c>
      <c r="O389" s="969" t="str">
        <f>IFERROR(VLOOKUP(B389,'נתוני רישום ומצבת'!B:Q,16,0),"")</f>
        <v/>
      </c>
      <c r="P389" s="969" t="str">
        <f>IFERROR(VLOOKUP(B389,'נתוני רישום ומצבת'!B:R,17,0),"")</f>
        <v/>
      </c>
      <c r="Q389" s="690"/>
      <c r="R389" s="1009"/>
      <c r="S389" s="376">
        <f t="shared" si="108"/>
        <v>0</v>
      </c>
      <c r="T389" s="376">
        <f t="shared" si="109"/>
        <v>0</v>
      </c>
      <c r="U389" s="386">
        <f t="shared" si="110"/>
        <v>0</v>
      </c>
      <c r="V389" s="513" t="str">
        <f t="shared" si="111"/>
        <v/>
      </c>
      <c r="W389" s="254" t="str">
        <f>IF(ISBLANK(B389)," ",IF(B389=IFERROR(VLOOKUP(B389,'מצבת והרשמה (2)'!F:F,1,0),0),"תקין","לא קיים במצבת כבית ספר בו מתקיימת פעילות"))</f>
        <v xml:space="preserve"> </v>
      </c>
      <c r="X389" s="256" t="str">
        <f t="shared" si="98"/>
        <v/>
      </c>
      <c r="Y389" s="256" t="str">
        <f t="shared" si="99"/>
        <v/>
      </c>
      <c r="Z389" s="741">
        <f t="shared" si="100"/>
        <v>0</v>
      </c>
      <c r="AA389" s="741">
        <f t="shared" si="101"/>
        <v>0</v>
      </c>
      <c r="AB389" s="741">
        <f t="shared" si="102"/>
        <v>0</v>
      </c>
      <c r="AC389" s="987">
        <f t="shared" si="112"/>
        <v>0</v>
      </c>
      <c r="AD389" s="987">
        <f t="shared" si="113"/>
        <v>0</v>
      </c>
      <c r="AE389" s="368" t="str">
        <f>IFERROR(VLOOKUP(B389,'[1]סיכום בקרת רשויות'!$A:$D,4,0),"")</f>
        <v/>
      </c>
      <c r="AF389" s="57" t="str">
        <f t="shared" si="114"/>
        <v/>
      </c>
      <c r="AG389" s="180">
        <f>IF(AF389="כן",M389*'גנים ובתי ספר- מבנה תקציב'!$H$59,0)</f>
        <v>0</v>
      </c>
      <c r="AH389" s="180">
        <f>IF(AF389="כן",M389*'גנים ובתי ספר- מבנה תקציב'!$I$59,0)</f>
        <v>0</v>
      </c>
      <c r="AI389" s="180">
        <f t="shared" si="115"/>
        <v>0</v>
      </c>
      <c r="AJ389" s="368" t="str">
        <f t="shared" si="103"/>
        <v/>
      </c>
    </row>
    <row r="390" spans="1:36" x14ac:dyDescent="0.25">
      <c r="A390" s="57">
        <v>370</v>
      </c>
      <c r="B390" s="690"/>
      <c r="C390" s="690"/>
      <c r="D390" s="252">
        <f>(IFERROR(SUMIF('מצבת והרשמה (2)'!$F$21:$F$501,'דוח ביצוע (3)'!$B390,'מצבת והרשמה (2)'!$J$21:$J$501),0))</f>
        <v>0</v>
      </c>
      <c r="E390" s="252">
        <f>IFERROR(SUMIF('מצבת והרשמה (2)'!$F$21:$F$501,'דוח ביצוע (3)'!$B390,'מצבת והרשמה (2)'!$K$21:$K$501),0)</f>
        <v>0</v>
      </c>
      <c r="F390" s="253">
        <f t="shared" si="104"/>
        <v>0</v>
      </c>
      <c r="G390" s="680"/>
      <c r="H390" s="680"/>
      <c r="I390" s="253">
        <f t="shared" si="97"/>
        <v>0</v>
      </c>
      <c r="J390" s="453">
        <f t="shared" si="105"/>
        <v>0</v>
      </c>
      <c r="K390" s="689"/>
      <c r="L390" s="689"/>
      <c r="M390" s="969">
        <f t="shared" si="106"/>
        <v>0</v>
      </c>
      <c r="N390" s="1029" t="str">
        <f t="shared" si="107"/>
        <v/>
      </c>
      <c r="O390" s="969" t="str">
        <f>IFERROR(VLOOKUP(B390,'נתוני רישום ומצבת'!B:Q,16,0),"")</f>
        <v/>
      </c>
      <c r="P390" s="969" t="str">
        <f>IFERROR(VLOOKUP(B390,'נתוני רישום ומצבת'!B:R,17,0),"")</f>
        <v/>
      </c>
      <c r="Q390" s="690"/>
      <c r="R390" s="1009"/>
      <c r="S390" s="376">
        <f t="shared" si="108"/>
        <v>0</v>
      </c>
      <c r="T390" s="376">
        <f t="shared" si="109"/>
        <v>0</v>
      </c>
      <c r="U390" s="386">
        <f t="shared" si="110"/>
        <v>0</v>
      </c>
      <c r="V390" s="513" t="str">
        <f t="shared" si="111"/>
        <v/>
      </c>
      <c r="W390" s="254" t="str">
        <f>IF(ISBLANK(B390)," ",IF(B390=IFERROR(VLOOKUP(B390,'מצבת והרשמה (2)'!F:F,1,0),0),"תקין","לא קיים במצבת כבית ספר בו מתקיימת פעילות"))</f>
        <v xml:space="preserve"> </v>
      </c>
      <c r="X390" s="256" t="str">
        <f t="shared" si="98"/>
        <v/>
      </c>
      <c r="Y390" s="256" t="str">
        <f t="shared" si="99"/>
        <v/>
      </c>
      <c r="Z390" s="741">
        <f t="shared" si="100"/>
        <v>0</v>
      </c>
      <c r="AA390" s="741">
        <f t="shared" si="101"/>
        <v>0</v>
      </c>
      <c r="AB390" s="741">
        <f t="shared" si="102"/>
        <v>0</v>
      </c>
      <c r="AC390" s="987">
        <f t="shared" si="112"/>
        <v>0</v>
      </c>
      <c r="AD390" s="987">
        <f t="shared" si="113"/>
        <v>0</v>
      </c>
      <c r="AE390" s="368" t="str">
        <f>IFERROR(VLOOKUP(B390,'[1]סיכום בקרת רשויות'!$A:$D,4,0),"")</f>
        <v/>
      </c>
      <c r="AF390" s="57" t="str">
        <f t="shared" si="114"/>
        <v/>
      </c>
      <c r="AG390" s="180">
        <f>IF(AF390="כן",M390*'גנים ובתי ספר- מבנה תקציב'!$H$59,0)</f>
        <v>0</v>
      </c>
      <c r="AH390" s="180">
        <f>IF(AF390="כן",M390*'גנים ובתי ספר- מבנה תקציב'!$I$59,0)</f>
        <v>0</v>
      </c>
      <c r="AI390" s="180">
        <f t="shared" si="115"/>
        <v>0</v>
      </c>
      <c r="AJ390" s="368" t="str">
        <f t="shared" si="103"/>
        <v/>
      </c>
    </row>
    <row r="391" spans="1:36" x14ac:dyDescent="0.25">
      <c r="A391" s="57">
        <v>371</v>
      </c>
      <c r="B391" s="690"/>
      <c r="C391" s="690"/>
      <c r="D391" s="252">
        <f>(IFERROR(SUMIF('מצבת והרשמה (2)'!$F$21:$F$501,'דוח ביצוע (3)'!$B391,'מצבת והרשמה (2)'!$J$21:$J$501),0))</f>
        <v>0</v>
      </c>
      <c r="E391" s="252">
        <f>IFERROR(SUMIF('מצבת והרשמה (2)'!$F$21:$F$501,'דוח ביצוע (3)'!$B391,'מצבת והרשמה (2)'!$K$21:$K$501),0)</f>
        <v>0</v>
      </c>
      <c r="F391" s="253">
        <f t="shared" si="104"/>
        <v>0</v>
      </c>
      <c r="G391" s="680"/>
      <c r="H391" s="680"/>
      <c r="I391" s="253">
        <f t="shared" ref="I391:I454" si="116">H391+G391</f>
        <v>0</v>
      </c>
      <c r="J391" s="453">
        <f t="shared" si="105"/>
        <v>0</v>
      </c>
      <c r="K391" s="689"/>
      <c r="L391" s="689"/>
      <c r="M391" s="969">
        <f t="shared" si="106"/>
        <v>0</v>
      </c>
      <c r="N391" s="1029" t="str">
        <f t="shared" si="107"/>
        <v/>
      </c>
      <c r="O391" s="969" t="str">
        <f>IFERROR(VLOOKUP(B391,'נתוני רישום ומצבת'!B:Q,16,0),"")</f>
        <v/>
      </c>
      <c r="P391" s="969" t="str">
        <f>IFERROR(VLOOKUP(B391,'נתוני רישום ומצבת'!B:R,17,0),"")</f>
        <v/>
      </c>
      <c r="Q391" s="690"/>
      <c r="R391" s="1009"/>
      <c r="S391" s="376">
        <f t="shared" si="108"/>
        <v>0</v>
      </c>
      <c r="T391" s="376">
        <f t="shared" si="109"/>
        <v>0</v>
      </c>
      <c r="U391" s="386">
        <f t="shared" si="110"/>
        <v>0</v>
      </c>
      <c r="V391" s="513" t="str">
        <f t="shared" si="111"/>
        <v/>
      </c>
      <c r="W391" s="254" t="str">
        <f>IF(ISBLANK(B391)," ",IF(B391=IFERROR(VLOOKUP(B391,'מצבת והרשמה (2)'!F:F,1,0),0),"תקין","לא קיים במצבת כבית ספר בו מתקיימת פעילות"))</f>
        <v xml:space="preserve"> </v>
      </c>
      <c r="X391" s="256" t="str">
        <f t="shared" si="98"/>
        <v/>
      </c>
      <c r="Y391" s="256" t="str">
        <f t="shared" si="99"/>
        <v/>
      </c>
      <c r="Z391" s="741">
        <f t="shared" si="100"/>
        <v>0</v>
      </c>
      <c r="AA391" s="741">
        <f t="shared" si="101"/>
        <v>0</v>
      </c>
      <c r="AB391" s="741">
        <f t="shared" si="102"/>
        <v>0</v>
      </c>
      <c r="AC391" s="987">
        <f t="shared" si="112"/>
        <v>0</v>
      </c>
      <c r="AD391" s="987">
        <f t="shared" si="113"/>
        <v>0</v>
      </c>
      <c r="AE391" s="368" t="str">
        <f>IFERROR(VLOOKUP(B391,'[1]סיכום בקרת רשויות'!$A:$D,4,0),"")</f>
        <v/>
      </c>
      <c r="AF391" s="57" t="str">
        <f t="shared" si="114"/>
        <v/>
      </c>
      <c r="AG391" s="180">
        <f>IF(AF391="כן",M391*'גנים ובתי ספר- מבנה תקציב'!$H$59,0)</f>
        <v>0</v>
      </c>
      <c r="AH391" s="180">
        <f>IF(AF391="כן",M391*'גנים ובתי ספר- מבנה תקציב'!$I$59,0)</f>
        <v>0</v>
      </c>
      <c r="AI391" s="180">
        <f t="shared" si="115"/>
        <v>0</v>
      </c>
      <c r="AJ391" s="368" t="str">
        <f t="shared" si="103"/>
        <v/>
      </c>
    </row>
    <row r="392" spans="1:36" x14ac:dyDescent="0.25">
      <c r="A392" s="57">
        <v>372</v>
      </c>
      <c r="B392" s="690"/>
      <c r="C392" s="690"/>
      <c r="D392" s="252">
        <f>(IFERROR(SUMIF('מצבת והרשמה (2)'!$F$21:$F$501,'דוח ביצוע (3)'!$B392,'מצבת והרשמה (2)'!$J$21:$J$501),0))</f>
        <v>0</v>
      </c>
      <c r="E392" s="252">
        <f>IFERROR(SUMIF('מצבת והרשמה (2)'!$F$21:$F$501,'דוח ביצוע (3)'!$B392,'מצבת והרשמה (2)'!$K$21:$K$501),0)</f>
        <v>0</v>
      </c>
      <c r="F392" s="253">
        <f t="shared" si="104"/>
        <v>0</v>
      </c>
      <c r="G392" s="680"/>
      <c r="H392" s="680"/>
      <c r="I392" s="253">
        <f t="shared" si="116"/>
        <v>0</v>
      </c>
      <c r="J392" s="453">
        <f t="shared" si="105"/>
        <v>0</v>
      </c>
      <c r="K392" s="689"/>
      <c r="L392" s="689"/>
      <c r="M392" s="969">
        <f t="shared" si="106"/>
        <v>0</v>
      </c>
      <c r="N392" s="1029" t="str">
        <f t="shared" si="107"/>
        <v/>
      </c>
      <c r="O392" s="969" t="str">
        <f>IFERROR(VLOOKUP(B392,'נתוני רישום ומצבת'!B:Q,16,0),"")</f>
        <v/>
      </c>
      <c r="P392" s="969" t="str">
        <f>IFERROR(VLOOKUP(B392,'נתוני רישום ומצבת'!B:R,17,0),"")</f>
        <v/>
      </c>
      <c r="Q392" s="690"/>
      <c r="R392" s="1009"/>
      <c r="S392" s="376">
        <f t="shared" si="108"/>
        <v>0</v>
      </c>
      <c r="T392" s="376">
        <f t="shared" si="109"/>
        <v>0</v>
      </c>
      <c r="U392" s="386">
        <f t="shared" si="110"/>
        <v>0</v>
      </c>
      <c r="V392" s="513" t="str">
        <f t="shared" si="111"/>
        <v/>
      </c>
      <c r="W392" s="254" t="str">
        <f>IF(ISBLANK(B392)," ",IF(B392=IFERROR(VLOOKUP(B392,'מצבת והרשמה (2)'!F:F,1,0),0),"תקין","לא קיים במצבת כבית ספר בו מתקיימת פעילות"))</f>
        <v xml:space="preserve"> </v>
      </c>
      <c r="X392" s="256" t="str">
        <f t="shared" si="98"/>
        <v/>
      </c>
      <c r="Y392" s="256" t="str">
        <f t="shared" si="99"/>
        <v/>
      </c>
      <c r="Z392" s="741">
        <f t="shared" si="100"/>
        <v>0</v>
      </c>
      <c r="AA392" s="741">
        <f t="shared" si="101"/>
        <v>0</v>
      </c>
      <c r="AB392" s="741">
        <f t="shared" si="102"/>
        <v>0</v>
      </c>
      <c r="AC392" s="987">
        <f t="shared" si="112"/>
        <v>0</v>
      </c>
      <c r="AD392" s="987">
        <f t="shared" si="113"/>
        <v>0</v>
      </c>
      <c r="AE392" s="368" t="str">
        <f>IFERROR(VLOOKUP(B392,'[1]סיכום בקרת רשויות'!$A:$D,4,0),"")</f>
        <v/>
      </c>
      <c r="AF392" s="57" t="str">
        <f t="shared" si="114"/>
        <v/>
      </c>
      <c r="AG392" s="180">
        <f>IF(AF392="כן",M392*'גנים ובתי ספר- מבנה תקציב'!$H$59,0)</f>
        <v>0</v>
      </c>
      <c r="AH392" s="180">
        <f>IF(AF392="כן",M392*'גנים ובתי ספר- מבנה תקציב'!$I$59,0)</f>
        <v>0</v>
      </c>
      <c r="AI392" s="180">
        <f t="shared" si="115"/>
        <v>0</v>
      </c>
      <c r="AJ392" s="368" t="str">
        <f t="shared" si="103"/>
        <v/>
      </c>
    </row>
    <row r="393" spans="1:36" x14ac:dyDescent="0.25">
      <c r="A393" s="57">
        <v>373</v>
      </c>
      <c r="B393" s="690"/>
      <c r="C393" s="690"/>
      <c r="D393" s="252">
        <f>(IFERROR(SUMIF('מצבת והרשמה (2)'!$F$21:$F$501,'דוח ביצוע (3)'!$B393,'מצבת והרשמה (2)'!$J$21:$J$501),0))</f>
        <v>0</v>
      </c>
      <c r="E393" s="252">
        <f>IFERROR(SUMIF('מצבת והרשמה (2)'!$F$21:$F$501,'דוח ביצוע (3)'!$B393,'מצבת והרשמה (2)'!$K$21:$K$501),0)</f>
        <v>0</v>
      </c>
      <c r="F393" s="253">
        <f t="shared" si="104"/>
        <v>0</v>
      </c>
      <c r="G393" s="680"/>
      <c r="H393" s="680"/>
      <c r="I393" s="253">
        <f t="shared" si="116"/>
        <v>0</v>
      </c>
      <c r="J393" s="453">
        <f t="shared" si="105"/>
        <v>0</v>
      </c>
      <c r="K393" s="689"/>
      <c r="L393" s="689"/>
      <c r="M393" s="969">
        <f t="shared" si="106"/>
        <v>0</v>
      </c>
      <c r="N393" s="1029" t="str">
        <f t="shared" si="107"/>
        <v/>
      </c>
      <c r="O393" s="969" t="str">
        <f>IFERROR(VLOOKUP(B393,'נתוני רישום ומצבת'!B:Q,16,0),"")</f>
        <v/>
      </c>
      <c r="P393" s="969" t="str">
        <f>IFERROR(VLOOKUP(B393,'נתוני רישום ומצבת'!B:R,17,0),"")</f>
        <v/>
      </c>
      <c r="Q393" s="690"/>
      <c r="R393" s="1009"/>
      <c r="S393" s="376">
        <f t="shared" si="108"/>
        <v>0</v>
      </c>
      <c r="T393" s="376">
        <f t="shared" si="109"/>
        <v>0</v>
      </c>
      <c r="U393" s="386">
        <f t="shared" si="110"/>
        <v>0</v>
      </c>
      <c r="V393" s="513" t="str">
        <f t="shared" si="111"/>
        <v/>
      </c>
      <c r="W393" s="254" t="str">
        <f>IF(ISBLANK(B393)," ",IF(B393=IFERROR(VLOOKUP(B393,'מצבת והרשמה (2)'!F:F,1,0),0),"תקין","לא קיים במצבת כבית ספר בו מתקיימת פעילות"))</f>
        <v xml:space="preserve"> </v>
      </c>
      <c r="X393" s="256" t="str">
        <f t="shared" si="98"/>
        <v/>
      </c>
      <c r="Y393" s="256" t="str">
        <f t="shared" si="99"/>
        <v/>
      </c>
      <c r="Z393" s="741">
        <f t="shared" si="100"/>
        <v>0</v>
      </c>
      <c r="AA393" s="741">
        <f t="shared" si="101"/>
        <v>0</v>
      </c>
      <c r="AB393" s="741">
        <f t="shared" si="102"/>
        <v>0</v>
      </c>
      <c r="AC393" s="987">
        <f t="shared" si="112"/>
        <v>0</v>
      </c>
      <c r="AD393" s="987">
        <f t="shared" si="113"/>
        <v>0</v>
      </c>
      <c r="AE393" s="368" t="str">
        <f>IFERROR(VLOOKUP(B393,'[1]סיכום בקרת רשויות'!$A:$D,4,0),"")</f>
        <v/>
      </c>
      <c r="AF393" s="57" t="str">
        <f t="shared" si="114"/>
        <v/>
      </c>
      <c r="AG393" s="180">
        <f>IF(AF393="כן",M393*'גנים ובתי ספר- מבנה תקציב'!$H$59,0)</f>
        <v>0</v>
      </c>
      <c r="AH393" s="180">
        <f>IF(AF393="כן",M393*'גנים ובתי ספר- מבנה תקציב'!$I$59,0)</f>
        <v>0</v>
      </c>
      <c r="AI393" s="180">
        <f t="shared" si="115"/>
        <v>0</v>
      </c>
      <c r="AJ393" s="368" t="str">
        <f t="shared" si="103"/>
        <v/>
      </c>
    </row>
    <row r="394" spans="1:36" x14ac:dyDescent="0.25">
      <c r="A394" s="57">
        <v>374</v>
      </c>
      <c r="B394" s="690"/>
      <c r="C394" s="690"/>
      <c r="D394" s="252">
        <f>(IFERROR(SUMIF('מצבת והרשמה (2)'!$F$21:$F$501,'דוח ביצוע (3)'!$B394,'מצבת והרשמה (2)'!$J$21:$J$501),0))</f>
        <v>0</v>
      </c>
      <c r="E394" s="252">
        <f>IFERROR(SUMIF('מצבת והרשמה (2)'!$F$21:$F$501,'דוח ביצוע (3)'!$B394,'מצבת והרשמה (2)'!$K$21:$K$501),0)</f>
        <v>0</v>
      </c>
      <c r="F394" s="253">
        <f t="shared" si="104"/>
        <v>0</v>
      </c>
      <c r="G394" s="680"/>
      <c r="H394" s="680"/>
      <c r="I394" s="253">
        <f t="shared" si="116"/>
        <v>0</v>
      </c>
      <c r="J394" s="453">
        <f t="shared" si="105"/>
        <v>0</v>
      </c>
      <c r="K394" s="689"/>
      <c r="L394" s="689"/>
      <c r="M394" s="969">
        <f t="shared" si="106"/>
        <v>0</v>
      </c>
      <c r="N394" s="1029" t="str">
        <f t="shared" si="107"/>
        <v/>
      </c>
      <c r="O394" s="969" t="str">
        <f>IFERROR(VLOOKUP(B394,'נתוני רישום ומצבת'!B:Q,16,0),"")</f>
        <v/>
      </c>
      <c r="P394" s="969" t="str">
        <f>IFERROR(VLOOKUP(B394,'נתוני רישום ומצבת'!B:R,17,0),"")</f>
        <v/>
      </c>
      <c r="Q394" s="690"/>
      <c r="R394" s="1009"/>
      <c r="S394" s="376">
        <f t="shared" si="108"/>
        <v>0</v>
      </c>
      <c r="T394" s="376">
        <f t="shared" si="109"/>
        <v>0</v>
      </c>
      <c r="U394" s="386">
        <f t="shared" si="110"/>
        <v>0</v>
      </c>
      <c r="V394" s="513" t="str">
        <f t="shared" si="111"/>
        <v/>
      </c>
      <c r="W394" s="254" t="str">
        <f>IF(ISBLANK(B394)," ",IF(B394=IFERROR(VLOOKUP(B394,'מצבת והרשמה (2)'!F:F,1,0),0),"תקין","לא קיים במצבת כבית ספר בו מתקיימת פעילות"))</f>
        <v xml:space="preserve"> </v>
      </c>
      <c r="X394" s="256" t="str">
        <f t="shared" si="98"/>
        <v/>
      </c>
      <c r="Y394" s="256" t="str">
        <f t="shared" si="99"/>
        <v/>
      </c>
      <c r="Z394" s="741">
        <f t="shared" si="100"/>
        <v>0</v>
      </c>
      <c r="AA394" s="741">
        <f t="shared" si="101"/>
        <v>0</v>
      </c>
      <c r="AB394" s="741">
        <f t="shared" si="102"/>
        <v>0</v>
      </c>
      <c r="AC394" s="987">
        <f t="shared" si="112"/>
        <v>0</v>
      </c>
      <c r="AD394" s="987">
        <f t="shared" si="113"/>
        <v>0</v>
      </c>
      <c r="AE394" s="368" t="str">
        <f>IFERROR(VLOOKUP(B394,'[1]סיכום בקרת רשויות'!$A:$D,4,0),"")</f>
        <v/>
      </c>
      <c r="AF394" s="57" t="str">
        <f t="shared" si="114"/>
        <v/>
      </c>
      <c r="AG394" s="180">
        <f>IF(AF394="כן",M394*'גנים ובתי ספר- מבנה תקציב'!$H$59,0)</f>
        <v>0</v>
      </c>
      <c r="AH394" s="180">
        <f>IF(AF394="כן",M394*'גנים ובתי ספר- מבנה תקציב'!$I$59,0)</f>
        <v>0</v>
      </c>
      <c r="AI394" s="180">
        <f t="shared" si="115"/>
        <v>0</v>
      </c>
      <c r="AJ394" s="368" t="str">
        <f t="shared" si="103"/>
        <v/>
      </c>
    </row>
    <row r="395" spans="1:36" x14ac:dyDescent="0.25">
      <c r="A395" s="57">
        <v>375</v>
      </c>
      <c r="B395" s="690"/>
      <c r="C395" s="690"/>
      <c r="D395" s="252">
        <f>(IFERROR(SUMIF('מצבת והרשמה (2)'!$F$21:$F$501,'דוח ביצוע (3)'!$B395,'מצבת והרשמה (2)'!$J$21:$J$501),0))</f>
        <v>0</v>
      </c>
      <c r="E395" s="252">
        <f>IFERROR(SUMIF('מצבת והרשמה (2)'!$F$21:$F$501,'דוח ביצוע (3)'!$B395,'מצבת והרשמה (2)'!$K$21:$K$501),0)</f>
        <v>0</v>
      </c>
      <c r="F395" s="253">
        <f t="shared" si="104"/>
        <v>0</v>
      </c>
      <c r="G395" s="680"/>
      <c r="H395" s="680"/>
      <c r="I395" s="253">
        <f t="shared" si="116"/>
        <v>0</v>
      </c>
      <c r="J395" s="453">
        <f t="shared" si="105"/>
        <v>0</v>
      </c>
      <c r="K395" s="689"/>
      <c r="L395" s="689"/>
      <c r="M395" s="969">
        <f t="shared" si="106"/>
        <v>0</v>
      </c>
      <c r="N395" s="1029" t="str">
        <f t="shared" si="107"/>
        <v/>
      </c>
      <c r="O395" s="969" t="str">
        <f>IFERROR(VLOOKUP(B395,'נתוני רישום ומצבת'!B:Q,16,0),"")</f>
        <v/>
      </c>
      <c r="P395" s="969" t="str">
        <f>IFERROR(VLOOKUP(B395,'נתוני רישום ומצבת'!B:R,17,0),"")</f>
        <v/>
      </c>
      <c r="Q395" s="690"/>
      <c r="R395" s="1009"/>
      <c r="S395" s="376">
        <f t="shared" si="108"/>
        <v>0</v>
      </c>
      <c r="T395" s="376">
        <f t="shared" si="109"/>
        <v>0</v>
      </c>
      <c r="U395" s="386">
        <f t="shared" si="110"/>
        <v>0</v>
      </c>
      <c r="V395" s="513" t="str">
        <f t="shared" si="111"/>
        <v/>
      </c>
      <c r="W395" s="254" t="str">
        <f>IF(ISBLANK(B395)," ",IF(B395=IFERROR(VLOOKUP(B395,'מצבת והרשמה (2)'!F:F,1,0),0),"תקין","לא קיים במצבת כבית ספר בו מתקיימת פעילות"))</f>
        <v xml:space="preserve"> </v>
      </c>
      <c r="X395" s="256" t="str">
        <f t="shared" si="98"/>
        <v/>
      </c>
      <c r="Y395" s="256" t="str">
        <f t="shared" si="99"/>
        <v/>
      </c>
      <c r="Z395" s="741">
        <f t="shared" si="100"/>
        <v>0</v>
      </c>
      <c r="AA395" s="741">
        <f t="shared" si="101"/>
        <v>0</v>
      </c>
      <c r="AB395" s="741">
        <f t="shared" si="102"/>
        <v>0</v>
      </c>
      <c r="AC395" s="987">
        <f t="shared" si="112"/>
        <v>0</v>
      </c>
      <c r="AD395" s="987">
        <f t="shared" si="113"/>
        <v>0</v>
      </c>
      <c r="AE395" s="368" t="str">
        <f>IFERROR(VLOOKUP(B395,'[1]סיכום בקרת רשויות'!$A:$D,4,0),"")</f>
        <v/>
      </c>
      <c r="AF395" s="57" t="str">
        <f t="shared" si="114"/>
        <v/>
      </c>
      <c r="AG395" s="180">
        <f>IF(AF395="כן",M395*'גנים ובתי ספר- מבנה תקציב'!$H$59,0)</f>
        <v>0</v>
      </c>
      <c r="AH395" s="180">
        <f>IF(AF395="כן",M395*'גנים ובתי ספר- מבנה תקציב'!$I$59,0)</f>
        <v>0</v>
      </c>
      <c r="AI395" s="180">
        <f t="shared" si="115"/>
        <v>0</v>
      </c>
      <c r="AJ395" s="368" t="str">
        <f t="shared" si="103"/>
        <v/>
      </c>
    </row>
    <row r="396" spans="1:36" x14ac:dyDescent="0.25">
      <c r="A396" s="57">
        <v>376</v>
      </c>
      <c r="B396" s="690"/>
      <c r="C396" s="690"/>
      <c r="D396" s="252">
        <f>(IFERROR(SUMIF('מצבת והרשמה (2)'!$F$21:$F$501,'דוח ביצוע (3)'!$B396,'מצבת והרשמה (2)'!$J$21:$J$501),0))</f>
        <v>0</v>
      </c>
      <c r="E396" s="252">
        <f>IFERROR(SUMIF('מצבת והרשמה (2)'!$F$21:$F$501,'דוח ביצוע (3)'!$B396,'מצבת והרשמה (2)'!$K$21:$K$501),0)</f>
        <v>0</v>
      </c>
      <c r="F396" s="253">
        <f t="shared" si="104"/>
        <v>0</v>
      </c>
      <c r="G396" s="680"/>
      <c r="H396" s="680"/>
      <c r="I396" s="253">
        <f t="shared" si="116"/>
        <v>0</v>
      </c>
      <c r="J396" s="453">
        <f t="shared" si="105"/>
        <v>0</v>
      </c>
      <c r="K396" s="689"/>
      <c r="L396" s="689"/>
      <c r="M396" s="969">
        <f t="shared" si="106"/>
        <v>0</v>
      </c>
      <c r="N396" s="1029" t="str">
        <f t="shared" si="107"/>
        <v/>
      </c>
      <c r="O396" s="969" t="str">
        <f>IFERROR(VLOOKUP(B396,'נתוני רישום ומצבת'!B:Q,16,0),"")</f>
        <v/>
      </c>
      <c r="P396" s="969" t="str">
        <f>IFERROR(VLOOKUP(B396,'נתוני רישום ומצבת'!B:R,17,0),"")</f>
        <v/>
      </c>
      <c r="Q396" s="690"/>
      <c r="R396" s="1009"/>
      <c r="S396" s="376">
        <f t="shared" si="108"/>
        <v>0</v>
      </c>
      <c r="T396" s="376">
        <f t="shared" si="109"/>
        <v>0</v>
      </c>
      <c r="U396" s="386">
        <f t="shared" si="110"/>
        <v>0</v>
      </c>
      <c r="V396" s="513" t="str">
        <f t="shared" si="111"/>
        <v/>
      </c>
      <c r="W396" s="254" t="str">
        <f>IF(ISBLANK(B396)," ",IF(B396=IFERROR(VLOOKUP(B396,'מצבת והרשמה (2)'!F:F,1,0),0),"תקין","לא קיים במצבת כבית ספר בו מתקיימת פעילות"))</f>
        <v xml:space="preserve"> </v>
      </c>
      <c r="X396" s="256" t="str">
        <f t="shared" si="98"/>
        <v/>
      </c>
      <c r="Y396" s="256" t="str">
        <f t="shared" si="99"/>
        <v/>
      </c>
      <c r="Z396" s="741">
        <f t="shared" si="100"/>
        <v>0</v>
      </c>
      <c r="AA396" s="741">
        <f t="shared" si="101"/>
        <v>0</v>
      </c>
      <c r="AB396" s="741">
        <f t="shared" si="102"/>
        <v>0</v>
      </c>
      <c r="AC396" s="987">
        <f t="shared" si="112"/>
        <v>0</v>
      </c>
      <c r="AD396" s="987">
        <f t="shared" si="113"/>
        <v>0</v>
      </c>
      <c r="AE396" s="368" t="str">
        <f>IFERROR(VLOOKUP(B396,'[1]סיכום בקרת רשויות'!$A:$D,4,0),"")</f>
        <v/>
      </c>
      <c r="AF396" s="57" t="str">
        <f t="shared" si="114"/>
        <v/>
      </c>
      <c r="AG396" s="180">
        <f>IF(AF396="כן",M396*'גנים ובתי ספר- מבנה תקציב'!$H$59,0)</f>
        <v>0</v>
      </c>
      <c r="AH396" s="180">
        <f>IF(AF396="כן",M396*'גנים ובתי ספר- מבנה תקציב'!$I$59,0)</f>
        <v>0</v>
      </c>
      <c r="AI396" s="180">
        <f t="shared" si="115"/>
        <v>0</v>
      </c>
      <c r="AJ396" s="368" t="str">
        <f t="shared" si="103"/>
        <v/>
      </c>
    </row>
    <row r="397" spans="1:36" x14ac:dyDescent="0.25">
      <c r="A397" s="57">
        <v>377</v>
      </c>
      <c r="B397" s="690"/>
      <c r="C397" s="690"/>
      <c r="D397" s="252">
        <f>(IFERROR(SUMIF('מצבת והרשמה (2)'!$F$21:$F$501,'דוח ביצוע (3)'!$B397,'מצבת והרשמה (2)'!$J$21:$J$501),0))</f>
        <v>0</v>
      </c>
      <c r="E397" s="252">
        <f>IFERROR(SUMIF('מצבת והרשמה (2)'!$F$21:$F$501,'דוח ביצוע (3)'!$B397,'מצבת והרשמה (2)'!$K$21:$K$501),0)</f>
        <v>0</v>
      </c>
      <c r="F397" s="253">
        <f t="shared" si="104"/>
        <v>0</v>
      </c>
      <c r="G397" s="680"/>
      <c r="H397" s="680"/>
      <c r="I397" s="253">
        <f t="shared" si="116"/>
        <v>0</v>
      </c>
      <c r="J397" s="453">
        <f t="shared" si="105"/>
        <v>0</v>
      </c>
      <c r="K397" s="689"/>
      <c r="L397" s="689"/>
      <c r="M397" s="969">
        <f t="shared" si="106"/>
        <v>0</v>
      </c>
      <c r="N397" s="1029" t="str">
        <f t="shared" si="107"/>
        <v/>
      </c>
      <c r="O397" s="969" t="str">
        <f>IFERROR(VLOOKUP(B397,'נתוני רישום ומצבת'!B:Q,16,0),"")</f>
        <v/>
      </c>
      <c r="P397" s="969" t="str">
        <f>IFERROR(VLOOKUP(B397,'נתוני רישום ומצבת'!B:R,17,0),"")</f>
        <v/>
      </c>
      <c r="Q397" s="690"/>
      <c r="R397" s="1009"/>
      <c r="S397" s="376">
        <f t="shared" si="108"/>
        <v>0</v>
      </c>
      <c r="T397" s="376">
        <f t="shared" si="109"/>
        <v>0</v>
      </c>
      <c r="U397" s="386">
        <f t="shared" si="110"/>
        <v>0</v>
      </c>
      <c r="V397" s="513" t="str">
        <f t="shared" si="111"/>
        <v/>
      </c>
      <c r="W397" s="254" t="str">
        <f>IF(ISBLANK(B397)," ",IF(B397=IFERROR(VLOOKUP(B397,'מצבת והרשמה (2)'!F:F,1,0),0),"תקין","לא קיים במצבת כבית ספר בו מתקיימת פעילות"))</f>
        <v xml:space="preserve"> </v>
      </c>
      <c r="X397" s="256" t="str">
        <f t="shared" si="98"/>
        <v/>
      </c>
      <c r="Y397" s="256" t="str">
        <f t="shared" si="99"/>
        <v/>
      </c>
      <c r="Z397" s="741">
        <f t="shared" si="100"/>
        <v>0</v>
      </c>
      <c r="AA397" s="741">
        <f t="shared" si="101"/>
        <v>0</v>
      </c>
      <c r="AB397" s="741">
        <f t="shared" si="102"/>
        <v>0</v>
      </c>
      <c r="AC397" s="987">
        <f t="shared" si="112"/>
        <v>0</v>
      </c>
      <c r="AD397" s="987">
        <f t="shared" si="113"/>
        <v>0</v>
      </c>
      <c r="AE397" s="368" t="str">
        <f>IFERROR(VLOOKUP(B397,'[1]סיכום בקרת רשויות'!$A:$D,4,0),"")</f>
        <v/>
      </c>
      <c r="AF397" s="57" t="str">
        <f t="shared" si="114"/>
        <v/>
      </c>
      <c r="AG397" s="180">
        <f>IF(AF397="כן",M397*'גנים ובתי ספר- מבנה תקציב'!$H$59,0)</f>
        <v>0</v>
      </c>
      <c r="AH397" s="180">
        <f>IF(AF397="כן",M397*'גנים ובתי ספר- מבנה תקציב'!$I$59,0)</f>
        <v>0</v>
      </c>
      <c r="AI397" s="180">
        <f t="shared" si="115"/>
        <v>0</v>
      </c>
      <c r="AJ397" s="368" t="str">
        <f t="shared" si="103"/>
        <v/>
      </c>
    </row>
    <row r="398" spans="1:36" x14ac:dyDescent="0.25">
      <c r="A398" s="57">
        <v>378</v>
      </c>
      <c r="B398" s="690"/>
      <c r="C398" s="690"/>
      <c r="D398" s="252">
        <f>(IFERROR(SUMIF('מצבת והרשמה (2)'!$F$21:$F$501,'דוח ביצוע (3)'!$B398,'מצבת והרשמה (2)'!$J$21:$J$501),0))</f>
        <v>0</v>
      </c>
      <c r="E398" s="252">
        <f>IFERROR(SUMIF('מצבת והרשמה (2)'!$F$21:$F$501,'דוח ביצוע (3)'!$B398,'מצבת והרשמה (2)'!$K$21:$K$501),0)</f>
        <v>0</v>
      </c>
      <c r="F398" s="253">
        <f t="shared" si="104"/>
        <v>0</v>
      </c>
      <c r="G398" s="680"/>
      <c r="H398" s="680"/>
      <c r="I398" s="253">
        <f t="shared" si="116"/>
        <v>0</v>
      </c>
      <c r="J398" s="453">
        <f t="shared" si="105"/>
        <v>0</v>
      </c>
      <c r="K398" s="689"/>
      <c r="L398" s="689"/>
      <c r="M398" s="969">
        <f t="shared" si="106"/>
        <v>0</v>
      </c>
      <c r="N398" s="1029" t="str">
        <f t="shared" si="107"/>
        <v/>
      </c>
      <c r="O398" s="969" t="str">
        <f>IFERROR(VLOOKUP(B398,'נתוני רישום ומצבת'!B:Q,16,0),"")</f>
        <v/>
      </c>
      <c r="P398" s="969" t="str">
        <f>IFERROR(VLOOKUP(B398,'נתוני רישום ומצבת'!B:R,17,0),"")</f>
        <v/>
      </c>
      <c r="Q398" s="690"/>
      <c r="R398" s="1009"/>
      <c r="S398" s="376">
        <f t="shared" si="108"/>
        <v>0</v>
      </c>
      <c r="T398" s="376">
        <f t="shared" si="109"/>
        <v>0</v>
      </c>
      <c r="U398" s="386">
        <f t="shared" si="110"/>
        <v>0</v>
      </c>
      <c r="V398" s="513" t="str">
        <f t="shared" si="111"/>
        <v/>
      </c>
      <c r="W398" s="254" t="str">
        <f>IF(ISBLANK(B398)," ",IF(B398=IFERROR(VLOOKUP(B398,'מצבת והרשמה (2)'!F:F,1,0),0),"תקין","לא קיים במצבת כבית ספר בו מתקיימת פעילות"))</f>
        <v xml:space="preserve"> </v>
      </c>
      <c r="X398" s="256" t="str">
        <f t="shared" si="98"/>
        <v/>
      </c>
      <c r="Y398" s="256" t="str">
        <f t="shared" si="99"/>
        <v/>
      </c>
      <c r="Z398" s="741">
        <f t="shared" si="100"/>
        <v>0</v>
      </c>
      <c r="AA398" s="741">
        <f t="shared" si="101"/>
        <v>0</v>
      </c>
      <c r="AB398" s="741">
        <f t="shared" si="102"/>
        <v>0</v>
      </c>
      <c r="AC398" s="987">
        <f t="shared" si="112"/>
        <v>0</v>
      </c>
      <c r="AD398" s="987">
        <f t="shared" si="113"/>
        <v>0</v>
      </c>
      <c r="AE398" s="368" t="str">
        <f>IFERROR(VLOOKUP(B398,'[1]סיכום בקרת רשויות'!$A:$D,4,0),"")</f>
        <v/>
      </c>
      <c r="AF398" s="57" t="str">
        <f t="shared" si="114"/>
        <v/>
      </c>
      <c r="AG398" s="180">
        <f>IF(AF398="כן",M398*'גנים ובתי ספר- מבנה תקציב'!$H$59,0)</f>
        <v>0</v>
      </c>
      <c r="AH398" s="180">
        <f>IF(AF398="כן",M398*'גנים ובתי ספר- מבנה תקציב'!$I$59,0)</f>
        <v>0</v>
      </c>
      <c r="AI398" s="180">
        <f t="shared" si="115"/>
        <v>0</v>
      </c>
      <c r="AJ398" s="368" t="str">
        <f t="shared" si="103"/>
        <v/>
      </c>
    </row>
    <row r="399" spans="1:36" x14ac:dyDescent="0.25">
      <c r="A399" s="57">
        <v>379</v>
      </c>
      <c r="B399" s="690"/>
      <c r="C399" s="690"/>
      <c r="D399" s="252">
        <f>(IFERROR(SUMIF('מצבת והרשמה (2)'!$F$21:$F$501,'דוח ביצוע (3)'!$B399,'מצבת והרשמה (2)'!$J$21:$J$501),0))</f>
        <v>0</v>
      </c>
      <c r="E399" s="252">
        <f>IFERROR(SUMIF('מצבת והרשמה (2)'!$F$21:$F$501,'דוח ביצוע (3)'!$B399,'מצבת והרשמה (2)'!$K$21:$K$501),0)</f>
        <v>0</v>
      </c>
      <c r="F399" s="253">
        <f t="shared" si="104"/>
        <v>0</v>
      </c>
      <c r="G399" s="680"/>
      <c r="H399" s="680"/>
      <c r="I399" s="253">
        <f t="shared" si="116"/>
        <v>0</v>
      </c>
      <c r="J399" s="453">
        <f t="shared" si="105"/>
        <v>0</v>
      </c>
      <c r="K399" s="689"/>
      <c r="L399" s="689"/>
      <c r="M399" s="969">
        <f t="shared" si="106"/>
        <v>0</v>
      </c>
      <c r="N399" s="1029" t="str">
        <f t="shared" si="107"/>
        <v/>
      </c>
      <c r="O399" s="969" t="str">
        <f>IFERROR(VLOOKUP(B399,'נתוני רישום ומצבת'!B:Q,16,0),"")</f>
        <v/>
      </c>
      <c r="P399" s="969" t="str">
        <f>IFERROR(VLOOKUP(B399,'נתוני רישום ומצבת'!B:R,17,0),"")</f>
        <v/>
      </c>
      <c r="Q399" s="690"/>
      <c r="R399" s="1009"/>
      <c r="S399" s="376">
        <f t="shared" si="108"/>
        <v>0</v>
      </c>
      <c r="T399" s="376">
        <f t="shared" si="109"/>
        <v>0</v>
      </c>
      <c r="U399" s="386">
        <f t="shared" si="110"/>
        <v>0</v>
      </c>
      <c r="V399" s="513" t="str">
        <f t="shared" si="111"/>
        <v/>
      </c>
      <c r="W399" s="254" t="str">
        <f>IF(ISBLANK(B399)," ",IF(B399=IFERROR(VLOOKUP(B399,'מצבת והרשמה (2)'!F:F,1,0),0),"תקין","לא קיים במצבת כבית ספר בו מתקיימת פעילות"))</f>
        <v xml:space="preserve"> </v>
      </c>
      <c r="X399" s="256" t="str">
        <f t="shared" si="98"/>
        <v/>
      </c>
      <c r="Y399" s="256" t="str">
        <f t="shared" si="99"/>
        <v/>
      </c>
      <c r="Z399" s="741">
        <f t="shared" si="100"/>
        <v>0</v>
      </c>
      <c r="AA399" s="741">
        <f t="shared" si="101"/>
        <v>0</v>
      </c>
      <c r="AB399" s="741">
        <f t="shared" si="102"/>
        <v>0</v>
      </c>
      <c r="AC399" s="987">
        <f t="shared" si="112"/>
        <v>0</v>
      </c>
      <c r="AD399" s="987">
        <f t="shared" si="113"/>
        <v>0</v>
      </c>
      <c r="AE399" s="368" t="str">
        <f>IFERROR(VLOOKUP(B399,'[1]סיכום בקרת רשויות'!$A:$D,4,0),"")</f>
        <v/>
      </c>
      <c r="AF399" s="57" t="str">
        <f t="shared" si="114"/>
        <v/>
      </c>
      <c r="AG399" s="180">
        <f>IF(AF399="כן",M399*'גנים ובתי ספר- מבנה תקציב'!$H$59,0)</f>
        <v>0</v>
      </c>
      <c r="AH399" s="180">
        <f>IF(AF399="כן",M399*'גנים ובתי ספר- מבנה תקציב'!$I$59,0)</f>
        <v>0</v>
      </c>
      <c r="AI399" s="180">
        <f t="shared" si="115"/>
        <v>0</v>
      </c>
      <c r="AJ399" s="368" t="str">
        <f t="shared" si="103"/>
        <v/>
      </c>
    </row>
    <row r="400" spans="1:36" x14ac:dyDescent="0.25">
      <c r="A400" s="57">
        <v>380</v>
      </c>
      <c r="B400" s="690"/>
      <c r="C400" s="690"/>
      <c r="D400" s="252">
        <f>(IFERROR(SUMIF('מצבת והרשמה (2)'!$F$21:$F$501,'דוח ביצוע (3)'!$B400,'מצבת והרשמה (2)'!$J$21:$J$501),0))</f>
        <v>0</v>
      </c>
      <c r="E400" s="252">
        <f>IFERROR(SUMIF('מצבת והרשמה (2)'!$F$21:$F$501,'דוח ביצוע (3)'!$B400,'מצבת והרשמה (2)'!$K$21:$K$501),0)</f>
        <v>0</v>
      </c>
      <c r="F400" s="253">
        <f t="shared" si="104"/>
        <v>0</v>
      </c>
      <c r="G400" s="680"/>
      <c r="H400" s="680"/>
      <c r="I400" s="253">
        <f t="shared" si="116"/>
        <v>0</v>
      </c>
      <c r="J400" s="453">
        <f t="shared" si="105"/>
        <v>0</v>
      </c>
      <c r="K400" s="689"/>
      <c r="L400" s="689"/>
      <c r="M400" s="969">
        <f t="shared" si="106"/>
        <v>0</v>
      </c>
      <c r="N400" s="1029" t="str">
        <f t="shared" si="107"/>
        <v/>
      </c>
      <c r="O400" s="969" t="str">
        <f>IFERROR(VLOOKUP(B400,'נתוני רישום ומצבת'!B:Q,16,0),"")</f>
        <v/>
      </c>
      <c r="P400" s="969" t="str">
        <f>IFERROR(VLOOKUP(B400,'נתוני רישום ומצבת'!B:R,17,0),"")</f>
        <v/>
      </c>
      <c r="Q400" s="690"/>
      <c r="R400" s="1009"/>
      <c r="S400" s="376">
        <f t="shared" si="108"/>
        <v>0</v>
      </c>
      <c r="T400" s="376">
        <f t="shared" si="109"/>
        <v>0</v>
      </c>
      <c r="U400" s="386">
        <f t="shared" si="110"/>
        <v>0</v>
      </c>
      <c r="V400" s="513" t="str">
        <f t="shared" si="111"/>
        <v/>
      </c>
      <c r="W400" s="254" t="str">
        <f>IF(ISBLANK(B400)," ",IF(B400=IFERROR(VLOOKUP(B400,'מצבת והרשמה (2)'!F:F,1,0),0),"תקין","לא קיים במצבת כבית ספר בו מתקיימת פעילות"))</f>
        <v xml:space="preserve"> </v>
      </c>
      <c r="X400" s="256" t="str">
        <f t="shared" si="98"/>
        <v/>
      </c>
      <c r="Y400" s="256" t="str">
        <f t="shared" si="99"/>
        <v/>
      </c>
      <c r="Z400" s="741">
        <f t="shared" si="100"/>
        <v>0</v>
      </c>
      <c r="AA400" s="741">
        <f t="shared" si="101"/>
        <v>0</v>
      </c>
      <c r="AB400" s="741">
        <f t="shared" si="102"/>
        <v>0</v>
      </c>
      <c r="AC400" s="987">
        <f t="shared" si="112"/>
        <v>0</v>
      </c>
      <c r="AD400" s="987">
        <f t="shared" si="113"/>
        <v>0</v>
      </c>
      <c r="AE400" s="368" t="str">
        <f>IFERROR(VLOOKUP(B400,'[1]סיכום בקרת רשויות'!$A:$D,4,0),"")</f>
        <v/>
      </c>
      <c r="AF400" s="57" t="str">
        <f t="shared" si="114"/>
        <v/>
      </c>
      <c r="AG400" s="180">
        <f>IF(AF400="כן",M400*'גנים ובתי ספר- מבנה תקציב'!$H$59,0)</f>
        <v>0</v>
      </c>
      <c r="AH400" s="180">
        <f>IF(AF400="כן",M400*'גנים ובתי ספר- מבנה תקציב'!$I$59,0)</f>
        <v>0</v>
      </c>
      <c r="AI400" s="180">
        <f t="shared" si="115"/>
        <v>0</v>
      </c>
      <c r="AJ400" s="368" t="str">
        <f t="shared" si="103"/>
        <v/>
      </c>
    </row>
    <row r="401" spans="1:36" x14ac:dyDescent="0.25">
      <c r="A401" s="57">
        <v>381</v>
      </c>
      <c r="B401" s="690"/>
      <c r="C401" s="690"/>
      <c r="D401" s="252">
        <f>(IFERROR(SUMIF('מצבת והרשמה (2)'!$F$21:$F$501,'דוח ביצוע (3)'!$B401,'מצבת והרשמה (2)'!$J$21:$J$501),0))</f>
        <v>0</v>
      </c>
      <c r="E401" s="252">
        <f>IFERROR(SUMIF('מצבת והרשמה (2)'!$F$21:$F$501,'דוח ביצוע (3)'!$B401,'מצבת והרשמה (2)'!$K$21:$K$501),0)</f>
        <v>0</v>
      </c>
      <c r="F401" s="253">
        <f t="shared" si="104"/>
        <v>0</v>
      </c>
      <c r="G401" s="680"/>
      <c r="H401" s="680"/>
      <c r="I401" s="253">
        <f t="shared" si="116"/>
        <v>0</v>
      </c>
      <c r="J401" s="453">
        <f t="shared" si="105"/>
        <v>0</v>
      </c>
      <c r="K401" s="689"/>
      <c r="L401" s="689"/>
      <c r="M401" s="969">
        <f t="shared" si="106"/>
        <v>0</v>
      </c>
      <c r="N401" s="1029" t="str">
        <f t="shared" si="107"/>
        <v/>
      </c>
      <c r="O401" s="969" t="str">
        <f>IFERROR(VLOOKUP(B401,'נתוני רישום ומצבת'!B:Q,16,0),"")</f>
        <v/>
      </c>
      <c r="P401" s="969" t="str">
        <f>IFERROR(VLOOKUP(B401,'נתוני רישום ומצבת'!B:R,17,0),"")</f>
        <v/>
      </c>
      <c r="Q401" s="690"/>
      <c r="R401" s="1009"/>
      <c r="S401" s="376">
        <f t="shared" si="108"/>
        <v>0</v>
      </c>
      <c r="T401" s="376">
        <f t="shared" si="109"/>
        <v>0</v>
      </c>
      <c r="U401" s="386">
        <f t="shared" si="110"/>
        <v>0</v>
      </c>
      <c r="V401" s="513" t="str">
        <f t="shared" si="111"/>
        <v/>
      </c>
      <c r="W401" s="254" t="str">
        <f>IF(ISBLANK(B401)," ",IF(B401=IFERROR(VLOOKUP(B401,'מצבת והרשמה (2)'!F:F,1,0),0),"תקין","לא קיים במצבת כבית ספר בו מתקיימת פעילות"))</f>
        <v xml:space="preserve"> </v>
      </c>
      <c r="X401" s="256" t="str">
        <f t="shared" si="98"/>
        <v/>
      </c>
      <c r="Y401" s="256" t="str">
        <f t="shared" si="99"/>
        <v/>
      </c>
      <c r="Z401" s="741">
        <f t="shared" si="100"/>
        <v>0</v>
      </c>
      <c r="AA401" s="741">
        <f t="shared" si="101"/>
        <v>0</v>
      </c>
      <c r="AB401" s="741">
        <f t="shared" si="102"/>
        <v>0</v>
      </c>
      <c r="AC401" s="987">
        <f t="shared" si="112"/>
        <v>0</v>
      </c>
      <c r="AD401" s="987">
        <f t="shared" si="113"/>
        <v>0</v>
      </c>
      <c r="AE401" s="368" t="str">
        <f>IFERROR(VLOOKUP(B401,'[1]סיכום בקרת רשויות'!$A:$D,4,0),"")</f>
        <v/>
      </c>
      <c r="AF401" s="57" t="str">
        <f t="shared" si="114"/>
        <v/>
      </c>
      <c r="AG401" s="180">
        <f>IF(AF401="כן",M401*'גנים ובתי ספר- מבנה תקציב'!$H$59,0)</f>
        <v>0</v>
      </c>
      <c r="AH401" s="180">
        <f>IF(AF401="כן",M401*'גנים ובתי ספר- מבנה תקציב'!$I$59,0)</f>
        <v>0</v>
      </c>
      <c r="AI401" s="180">
        <f t="shared" si="115"/>
        <v>0</v>
      </c>
      <c r="AJ401" s="368" t="str">
        <f t="shared" si="103"/>
        <v/>
      </c>
    </row>
    <row r="402" spans="1:36" x14ac:dyDescent="0.25">
      <c r="A402" s="57">
        <v>382</v>
      </c>
      <c r="B402" s="690"/>
      <c r="C402" s="690"/>
      <c r="D402" s="252">
        <f>(IFERROR(SUMIF('מצבת והרשמה (2)'!$F$21:$F$501,'דוח ביצוע (3)'!$B402,'מצבת והרשמה (2)'!$J$21:$J$501),0))</f>
        <v>0</v>
      </c>
      <c r="E402" s="252">
        <f>IFERROR(SUMIF('מצבת והרשמה (2)'!$F$21:$F$501,'דוח ביצוע (3)'!$B402,'מצבת והרשמה (2)'!$K$21:$K$501),0)</f>
        <v>0</v>
      </c>
      <c r="F402" s="253">
        <f t="shared" si="104"/>
        <v>0</v>
      </c>
      <c r="G402" s="680"/>
      <c r="H402" s="680"/>
      <c r="I402" s="253">
        <f t="shared" si="116"/>
        <v>0</v>
      </c>
      <c r="J402" s="453">
        <f t="shared" si="105"/>
        <v>0</v>
      </c>
      <c r="K402" s="689"/>
      <c r="L402" s="689"/>
      <c r="M402" s="969">
        <f t="shared" si="106"/>
        <v>0</v>
      </c>
      <c r="N402" s="1029" t="str">
        <f t="shared" si="107"/>
        <v/>
      </c>
      <c r="O402" s="969" t="str">
        <f>IFERROR(VLOOKUP(B402,'נתוני רישום ומצבת'!B:Q,16,0),"")</f>
        <v/>
      </c>
      <c r="P402" s="969" t="str">
        <f>IFERROR(VLOOKUP(B402,'נתוני רישום ומצבת'!B:R,17,0),"")</f>
        <v/>
      </c>
      <c r="Q402" s="690"/>
      <c r="R402" s="1009"/>
      <c r="S402" s="376">
        <f t="shared" si="108"/>
        <v>0</v>
      </c>
      <c r="T402" s="376">
        <f t="shared" si="109"/>
        <v>0</v>
      </c>
      <c r="U402" s="386">
        <f t="shared" si="110"/>
        <v>0</v>
      </c>
      <c r="V402" s="513" t="str">
        <f t="shared" si="111"/>
        <v/>
      </c>
      <c r="W402" s="254" t="str">
        <f>IF(ISBLANK(B402)," ",IF(B402=IFERROR(VLOOKUP(B402,'מצבת והרשמה (2)'!F:F,1,0),0),"תקין","לא קיים במצבת כבית ספר בו מתקיימת פעילות"))</f>
        <v xml:space="preserve"> </v>
      </c>
      <c r="X402" s="256" t="str">
        <f t="shared" si="98"/>
        <v/>
      </c>
      <c r="Y402" s="256" t="str">
        <f t="shared" si="99"/>
        <v/>
      </c>
      <c r="Z402" s="741">
        <f t="shared" si="100"/>
        <v>0</v>
      </c>
      <c r="AA402" s="741">
        <f t="shared" si="101"/>
        <v>0</v>
      </c>
      <c r="AB402" s="741">
        <f t="shared" si="102"/>
        <v>0</v>
      </c>
      <c r="AC402" s="987">
        <f t="shared" si="112"/>
        <v>0</v>
      </c>
      <c r="AD402" s="987">
        <f t="shared" si="113"/>
        <v>0</v>
      </c>
      <c r="AE402" s="368" t="str">
        <f>IFERROR(VLOOKUP(B402,'[1]סיכום בקרת רשויות'!$A:$D,4,0),"")</f>
        <v/>
      </c>
      <c r="AF402" s="57" t="str">
        <f t="shared" si="114"/>
        <v/>
      </c>
      <c r="AG402" s="180">
        <f>IF(AF402="כן",M402*'גנים ובתי ספר- מבנה תקציב'!$H$59,0)</f>
        <v>0</v>
      </c>
      <c r="AH402" s="180">
        <f>IF(AF402="כן",M402*'גנים ובתי ספר- מבנה תקציב'!$I$59,0)</f>
        <v>0</v>
      </c>
      <c r="AI402" s="180">
        <f t="shared" si="115"/>
        <v>0</v>
      </c>
      <c r="AJ402" s="368" t="str">
        <f t="shared" si="103"/>
        <v/>
      </c>
    </row>
    <row r="403" spans="1:36" x14ac:dyDescent="0.25">
      <c r="A403" s="57">
        <v>383</v>
      </c>
      <c r="B403" s="690"/>
      <c r="C403" s="690"/>
      <c r="D403" s="252">
        <f>(IFERROR(SUMIF('מצבת והרשמה (2)'!$F$21:$F$501,'דוח ביצוע (3)'!$B403,'מצבת והרשמה (2)'!$J$21:$J$501),0))</f>
        <v>0</v>
      </c>
      <c r="E403" s="252">
        <f>IFERROR(SUMIF('מצבת והרשמה (2)'!$F$21:$F$501,'דוח ביצוע (3)'!$B403,'מצבת והרשמה (2)'!$K$21:$K$501),0)</f>
        <v>0</v>
      </c>
      <c r="F403" s="253">
        <f t="shared" si="104"/>
        <v>0</v>
      </c>
      <c r="G403" s="680"/>
      <c r="H403" s="680"/>
      <c r="I403" s="253">
        <f t="shared" si="116"/>
        <v>0</v>
      </c>
      <c r="J403" s="453">
        <f t="shared" si="105"/>
        <v>0</v>
      </c>
      <c r="K403" s="689"/>
      <c r="L403" s="689"/>
      <c r="M403" s="969">
        <f t="shared" si="106"/>
        <v>0</v>
      </c>
      <c r="N403" s="1029" t="str">
        <f t="shared" si="107"/>
        <v/>
      </c>
      <c r="O403" s="969" t="str">
        <f>IFERROR(VLOOKUP(B403,'נתוני רישום ומצבת'!B:Q,16,0),"")</f>
        <v/>
      </c>
      <c r="P403" s="969" t="str">
        <f>IFERROR(VLOOKUP(B403,'נתוני רישום ומצבת'!B:R,17,0),"")</f>
        <v/>
      </c>
      <c r="Q403" s="690"/>
      <c r="R403" s="1009"/>
      <c r="S403" s="376">
        <f t="shared" si="108"/>
        <v>0</v>
      </c>
      <c r="T403" s="376">
        <f t="shared" si="109"/>
        <v>0</v>
      </c>
      <c r="U403" s="386">
        <f t="shared" si="110"/>
        <v>0</v>
      </c>
      <c r="V403" s="513" t="str">
        <f t="shared" si="111"/>
        <v/>
      </c>
      <c r="W403" s="254" t="str">
        <f>IF(ISBLANK(B403)," ",IF(B403=IFERROR(VLOOKUP(B403,'מצבת והרשמה (2)'!F:F,1,0),0),"תקין","לא קיים במצבת כבית ספר בו מתקיימת פעילות"))</f>
        <v xml:space="preserve"> </v>
      </c>
      <c r="X403" s="256" t="str">
        <f t="shared" si="98"/>
        <v/>
      </c>
      <c r="Y403" s="256" t="str">
        <f t="shared" si="99"/>
        <v/>
      </c>
      <c r="Z403" s="741">
        <f t="shared" si="100"/>
        <v>0</v>
      </c>
      <c r="AA403" s="741">
        <f t="shared" si="101"/>
        <v>0</v>
      </c>
      <c r="AB403" s="741">
        <f t="shared" si="102"/>
        <v>0</v>
      </c>
      <c r="AC403" s="987">
        <f t="shared" si="112"/>
        <v>0</v>
      </c>
      <c r="AD403" s="987">
        <f t="shared" si="113"/>
        <v>0</v>
      </c>
      <c r="AE403" s="368" t="str">
        <f>IFERROR(VLOOKUP(B403,'[1]סיכום בקרת רשויות'!$A:$D,4,0),"")</f>
        <v/>
      </c>
      <c r="AF403" s="57" t="str">
        <f t="shared" si="114"/>
        <v/>
      </c>
      <c r="AG403" s="180">
        <f>IF(AF403="כן",M403*'גנים ובתי ספר- מבנה תקציב'!$H$59,0)</f>
        <v>0</v>
      </c>
      <c r="AH403" s="180">
        <f>IF(AF403="כן",M403*'גנים ובתי ספר- מבנה תקציב'!$I$59,0)</f>
        <v>0</v>
      </c>
      <c r="AI403" s="180">
        <f t="shared" si="115"/>
        <v>0</v>
      </c>
      <c r="AJ403" s="368" t="str">
        <f t="shared" si="103"/>
        <v/>
      </c>
    </row>
    <row r="404" spans="1:36" x14ac:dyDescent="0.25">
      <c r="A404" s="57">
        <v>384</v>
      </c>
      <c r="B404" s="690"/>
      <c r="C404" s="690"/>
      <c r="D404" s="252">
        <f>(IFERROR(SUMIF('מצבת והרשמה (2)'!$F$21:$F$501,'דוח ביצוע (3)'!$B404,'מצבת והרשמה (2)'!$J$21:$J$501),0))</f>
        <v>0</v>
      </c>
      <c r="E404" s="252">
        <f>IFERROR(SUMIF('מצבת והרשמה (2)'!$F$21:$F$501,'דוח ביצוע (3)'!$B404,'מצבת והרשמה (2)'!$K$21:$K$501),0)</f>
        <v>0</v>
      </c>
      <c r="F404" s="253">
        <f t="shared" si="104"/>
        <v>0</v>
      </c>
      <c r="G404" s="680"/>
      <c r="H404" s="680"/>
      <c r="I404" s="253">
        <f t="shared" si="116"/>
        <v>0</v>
      </c>
      <c r="J404" s="453">
        <f t="shared" si="105"/>
        <v>0</v>
      </c>
      <c r="K404" s="689"/>
      <c r="L404" s="689"/>
      <c r="M404" s="969">
        <f t="shared" si="106"/>
        <v>0</v>
      </c>
      <c r="N404" s="1029" t="str">
        <f t="shared" si="107"/>
        <v/>
      </c>
      <c r="O404" s="969" t="str">
        <f>IFERROR(VLOOKUP(B404,'נתוני רישום ומצבת'!B:Q,16,0),"")</f>
        <v/>
      </c>
      <c r="P404" s="969" t="str">
        <f>IFERROR(VLOOKUP(B404,'נתוני רישום ומצבת'!B:R,17,0),"")</f>
        <v/>
      </c>
      <c r="Q404" s="690"/>
      <c r="R404" s="1009"/>
      <c r="S404" s="376">
        <f t="shared" si="108"/>
        <v>0</v>
      </c>
      <c r="T404" s="376">
        <f t="shared" si="109"/>
        <v>0</v>
      </c>
      <c r="U404" s="386">
        <f t="shared" si="110"/>
        <v>0</v>
      </c>
      <c r="V404" s="513" t="str">
        <f t="shared" si="111"/>
        <v/>
      </c>
      <c r="W404" s="254" t="str">
        <f>IF(ISBLANK(B404)," ",IF(B404=IFERROR(VLOOKUP(B404,'מצבת והרשמה (2)'!F:F,1,0),0),"תקין","לא קיים במצבת כבית ספר בו מתקיימת פעילות"))</f>
        <v xml:space="preserve"> </v>
      </c>
      <c r="X404" s="256" t="str">
        <f t="shared" si="98"/>
        <v/>
      </c>
      <c r="Y404" s="256" t="str">
        <f t="shared" si="99"/>
        <v/>
      </c>
      <c r="Z404" s="741">
        <f t="shared" si="100"/>
        <v>0</v>
      </c>
      <c r="AA404" s="741">
        <f t="shared" si="101"/>
        <v>0</v>
      </c>
      <c r="AB404" s="741">
        <f t="shared" si="102"/>
        <v>0</v>
      </c>
      <c r="AC404" s="987">
        <f t="shared" si="112"/>
        <v>0</v>
      </c>
      <c r="AD404" s="987">
        <f t="shared" si="113"/>
        <v>0</v>
      </c>
      <c r="AE404" s="368" t="str">
        <f>IFERROR(VLOOKUP(B404,'[1]סיכום בקרת רשויות'!$A:$D,4,0),"")</f>
        <v/>
      </c>
      <c r="AF404" s="57" t="str">
        <f t="shared" si="114"/>
        <v/>
      </c>
      <c r="AG404" s="180">
        <f>IF(AF404="כן",M404*'גנים ובתי ספר- מבנה תקציב'!$H$59,0)</f>
        <v>0</v>
      </c>
      <c r="AH404" s="180">
        <f>IF(AF404="כן",M404*'גנים ובתי ספר- מבנה תקציב'!$I$59,0)</f>
        <v>0</v>
      </c>
      <c r="AI404" s="180">
        <f t="shared" si="115"/>
        <v>0</v>
      </c>
      <c r="AJ404" s="368" t="str">
        <f t="shared" si="103"/>
        <v/>
      </c>
    </row>
    <row r="405" spans="1:36" x14ac:dyDescent="0.25">
      <c r="A405" s="57">
        <v>385</v>
      </c>
      <c r="B405" s="690"/>
      <c r="C405" s="690"/>
      <c r="D405" s="252">
        <f>(IFERROR(SUMIF('מצבת והרשמה (2)'!$F$21:$F$501,'דוח ביצוע (3)'!$B405,'מצבת והרשמה (2)'!$J$21:$J$501),0))</f>
        <v>0</v>
      </c>
      <c r="E405" s="252">
        <f>IFERROR(SUMIF('מצבת והרשמה (2)'!$F$21:$F$501,'דוח ביצוע (3)'!$B405,'מצבת והרשמה (2)'!$K$21:$K$501),0)</f>
        <v>0</v>
      </c>
      <c r="F405" s="253">
        <f t="shared" si="104"/>
        <v>0</v>
      </c>
      <c r="G405" s="680"/>
      <c r="H405" s="680"/>
      <c r="I405" s="253">
        <f t="shared" si="116"/>
        <v>0</v>
      </c>
      <c r="J405" s="453">
        <f t="shared" si="105"/>
        <v>0</v>
      </c>
      <c r="K405" s="689"/>
      <c r="L405" s="689"/>
      <c r="M405" s="969">
        <f t="shared" si="106"/>
        <v>0</v>
      </c>
      <c r="N405" s="1029" t="str">
        <f t="shared" si="107"/>
        <v/>
      </c>
      <c r="O405" s="969" t="str">
        <f>IFERROR(VLOOKUP(B405,'נתוני רישום ומצבת'!B:Q,16,0),"")</f>
        <v/>
      </c>
      <c r="P405" s="969" t="str">
        <f>IFERROR(VLOOKUP(B405,'נתוני רישום ומצבת'!B:R,17,0),"")</f>
        <v/>
      </c>
      <c r="Q405" s="690"/>
      <c r="R405" s="1009"/>
      <c r="S405" s="376">
        <f t="shared" si="108"/>
        <v>0</v>
      </c>
      <c r="T405" s="376">
        <f t="shared" si="109"/>
        <v>0</v>
      </c>
      <c r="U405" s="386">
        <f t="shared" si="110"/>
        <v>0</v>
      </c>
      <c r="V405" s="513" t="str">
        <f t="shared" si="111"/>
        <v/>
      </c>
      <c r="W405" s="254" t="str">
        <f>IF(ISBLANK(B405)," ",IF(B405=IFERROR(VLOOKUP(B405,'מצבת והרשמה (2)'!F:F,1,0),0),"תקין","לא קיים במצבת כבית ספר בו מתקיימת פעילות"))</f>
        <v xml:space="preserve"> </v>
      </c>
      <c r="X405" s="256" t="str">
        <f t="shared" ref="X405:X468" si="117">IF(IFERROR(COUNTIF($C$20:$C$2460,B405)," ")&gt;1,"סמל המוסד מופיע יותר מפעם אחת",IF(ISBLANK(B405),"","תקין"))</f>
        <v/>
      </c>
      <c r="Y405" s="256" t="str">
        <f t="shared" ref="Y405:Y473" si="118">IF(AND(ISNUMBER(B405),ISBLANK(B404)),"יש למלא שורות רצופות","")</f>
        <v/>
      </c>
      <c r="Z405" s="741">
        <f t="shared" ref="Z405:Z468" si="119">IF(OR(LEFT(V405,10)="יש למלא מס",LEFT(V405,10)="יש למלא סי"),1,0)</f>
        <v>0</v>
      </c>
      <c r="AA405" s="741">
        <f t="shared" ref="AA405:AA468" si="120">IF(COUNTIF(סמלפעילות,B405)&gt;1,1,0)</f>
        <v>0</v>
      </c>
      <c r="AB405" s="741">
        <f t="shared" ref="AB405:AB468" si="121">IF(B405&gt;0,IF(I405=0,1,0),0)</f>
        <v>0</v>
      </c>
      <c r="AC405" s="987">
        <f t="shared" si="112"/>
        <v>0</v>
      </c>
      <c r="AD405" s="987">
        <f t="shared" si="113"/>
        <v>0</v>
      </c>
      <c r="AE405" s="368" t="str">
        <f>IFERROR(VLOOKUP(B405,'[1]סיכום בקרת רשויות'!$A:$D,4,0),"")</f>
        <v/>
      </c>
      <c r="AF405" s="57" t="str">
        <f t="shared" si="114"/>
        <v/>
      </c>
      <c r="AG405" s="180">
        <f>IF(AF405="כן",M405*'גנים ובתי ספר- מבנה תקציב'!$H$59,0)</f>
        <v>0</v>
      </c>
      <c r="AH405" s="180">
        <f>IF(AF405="כן",M405*'גנים ובתי ספר- מבנה תקציב'!$I$59,0)</f>
        <v>0</v>
      </c>
      <c r="AI405" s="180">
        <f t="shared" si="115"/>
        <v>0</v>
      </c>
      <c r="AJ405" s="368" t="str">
        <f t="shared" ref="AJ405:AJ468" si="122">IF(B405&gt;0,IF(M405&lt;15,1,0),"")</f>
        <v/>
      </c>
    </row>
    <row r="406" spans="1:36" x14ac:dyDescent="0.25">
      <c r="A406" s="57">
        <v>386</v>
      </c>
      <c r="B406" s="690"/>
      <c r="C406" s="690"/>
      <c r="D406" s="252">
        <f>(IFERROR(SUMIF('מצבת והרשמה (2)'!$F$21:$F$501,'דוח ביצוע (3)'!$B406,'מצבת והרשמה (2)'!$J$21:$J$501),0))</f>
        <v>0</v>
      </c>
      <c r="E406" s="252">
        <f>IFERROR(SUMIF('מצבת והרשמה (2)'!$F$21:$F$501,'דוח ביצוע (3)'!$B406,'מצבת והרשמה (2)'!$K$21:$K$501),0)</f>
        <v>0</v>
      </c>
      <c r="F406" s="253">
        <f t="shared" ref="F406:F469" si="123">E406+D406</f>
        <v>0</v>
      </c>
      <c r="G406" s="680"/>
      <c r="H406" s="680"/>
      <c r="I406" s="253">
        <f t="shared" si="116"/>
        <v>0</v>
      </c>
      <c r="J406" s="453">
        <f t="shared" ref="J406:J469" si="124">IF(F406&gt;149,1,0)</f>
        <v>0</v>
      </c>
      <c r="K406" s="689"/>
      <c r="L406" s="689"/>
      <c r="M406" s="969">
        <f t="shared" ref="M406:M469" si="125">MIN(NETWORKDAYS.INTL(K406,L406,7),15)</f>
        <v>0</v>
      </c>
      <c r="N406" s="1029" t="str">
        <f t="shared" ref="N406:N469" si="126">IF(B406&gt;0,IF(M406&lt;15,"תקופת הפעילות נמוכה מהתקופה הנדרשת, ועל כן המוסד אינו זכאי לתקצוב","תקין"),"")</f>
        <v/>
      </c>
      <c r="O406" s="969" t="str">
        <f>IFERROR(VLOOKUP(B406,'נתוני רישום ומצבת'!B:Q,16,0),"")</f>
        <v/>
      </c>
      <c r="P406" s="969" t="str">
        <f>IFERROR(VLOOKUP(B406,'נתוני רישום ומצבת'!B:R,17,0),"")</f>
        <v/>
      </c>
      <c r="Q406" s="690"/>
      <c r="R406" s="1009"/>
      <c r="S406" s="376">
        <f t="shared" ref="S406:S469" si="127">IF(OR($T$2=0,N406="תקין"),MAX(IF(G406="",0,MIN(G406,D406)),0),0)</f>
        <v>0</v>
      </c>
      <c r="T406" s="376">
        <f t="shared" ref="T406:T469" si="128">IF(OR($T$2=0,N406="תקין"),MAX(IF(H406="",0,MIN(H406,E406)),0),0)</f>
        <v>0</v>
      </c>
      <c r="U406" s="386">
        <f t="shared" ref="U406:U469" si="129">SUM(S406:T406)</f>
        <v>0</v>
      </c>
      <c r="V406" s="513" t="str">
        <f t="shared" ref="V406:V469" si="130">IF(ISNUMBER(B406),IF(M406&lt;1,"יש למלא מס' ימי פעילות",IF(M406&lt;15,"יש למלא סיבה לחוסר ימי פעילות","תקין")),"")</f>
        <v/>
      </c>
      <c r="W406" s="254" t="str">
        <f>IF(ISBLANK(B406)," ",IF(B406=IFERROR(VLOOKUP(B406,'מצבת והרשמה (2)'!F:F,1,0),0),"תקין","לא קיים במצבת כבית ספר בו מתקיימת פעילות"))</f>
        <v xml:space="preserve"> </v>
      </c>
      <c r="X406" s="256" t="str">
        <f t="shared" si="117"/>
        <v/>
      </c>
      <c r="Y406" s="256" t="str">
        <f t="shared" si="118"/>
        <v/>
      </c>
      <c r="Z406" s="741">
        <f t="shared" si="119"/>
        <v>0</v>
      </c>
      <c r="AA406" s="741">
        <f t="shared" si="120"/>
        <v>0</v>
      </c>
      <c r="AB406" s="741">
        <f t="shared" si="121"/>
        <v>0</v>
      </c>
      <c r="AC406" s="987">
        <f t="shared" ref="AC406:AC469" si="131">MAX(IF(G406=" ",0,MIN(G406,D406)),0)</f>
        <v>0</v>
      </c>
      <c r="AD406" s="987">
        <f t="shared" ref="AD406:AD469" si="132">MAX(IF(H406=" ",0,MIN(H406,E406)),0)</f>
        <v>0</v>
      </c>
      <c r="AE406" s="368" t="str">
        <f>IFERROR(VLOOKUP(B406,'[1]סיכום בקרת רשויות'!$A:$D,4,0),"")</f>
        <v/>
      </c>
      <c r="AF406" s="57" t="str">
        <f t="shared" ref="AF406:AF469" si="133">IF(B406&gt;0,IF(Q406&gt;=MIN(40,P406),"כן",""),"")</f>
        <v/>
      </c>
      <c r="AG406" s="180">
        <f>IF(AF406="כן",M406*'גנים ובתי ספר- מבנה תקציב'!$H$59,0)</f>
        <v>0</v>
      </c>
      <c r="AH406" s="180">
        <f>IF(AF406="כן",M406*'גנים ובתי ספר- מבנה תקציב'!$I$59,0)</f>
        <v>0</v>
      </c>
      <c r="AI406" s="180">
        <f t="shared" ref="AI406:AI469" si="134">AH406+AG406</f>
        <v>0</v>
      </c>
      <c r="AJ406" s="368" t="str">
        <f t="shared" si="122"/>
        <v/>
      </c>
    </row>
    <row r="407" spans="1:36" x14ac:dyDescent="0.25">
      <c r="A407" s="57">
        <v>387</v>
      </c>
      <c r="B407" s="690"/>
      <c r="C407" s="690"/>
      <c r="D407" s="252">
        <f>(IFERROR(SUMIF('מצבת והרשמה (2)'!$F$21:$F$501,'דוח ביצוע (3)'!$B407,'מצבת והרשמה (2)'!$J$21:$J$501),0))</f>
        <v>0</v>
      </c>
      <c r="E407" s="252">
        <f>IFERROR(SUMIF('מצבת והרשמה (2)'!$F$21:$F$501,'דוח ביצוע (3)'!$B407,'מצבת והרשמה (2)'!$K$21:$K$501),0)</f>
        <v>0</v>
      </c>
      <c r="F407" s="253">
        <f t="shared" si="123"/>
        <v>0</v>
      </c>
      <c r="G407" s="680"/>
      <c r="H407" s="680"/>
      <c r="I407" s="253">
        <f t="shared" si="116"/>
        <v>0</v>
      </c>
      <c r="J407" s="453">
        <f t="shared" si="124"/>
        <v>0</v>
      </c>
      <c r="K407" s="689"/>
      <c r="L407" s="689"/>
      <c r="M407" s="969">
        <f t="shared" si="125"/>
        <v>0</v>
      </c>
      <c r="N407" s="1029" t="str">
        <f t="shared" si="126"/>
        <v/>
      </c>
      <c r="O407" s="969" t="str">
        <f>IFERROR(VLOOKUP(B407,'נתוני רישום ומצבת'!B:Q,16,0),"")</f>
        <v/>
      </c>
      <c r="P407" s="969" t="str">
        <f>IFERROR(VLOOKUP(B407,'נתוני רישום ומצבת'!B:R,17,0),"")</f>
        <v/>
      </c>
      <c r="Q407" s="690"/>
      <c r="R407" s="1009"/>
      <c r="S407" s="376">
        <f t="shared" si="127"/>
        <v>0</v>
      </c>
      <c r="T407" s="376">
        <f t="shared" si="128"/>
        <v>0</v>
      </c>
      <c r="U407" s="386">
        <f t="shared" si="129"/>
        <v>0</v>
      </c>
      <c r="V407" s="513" t="str">
        <f t="shared" si="130"/>
        <v/>
      </c>
      <c r="W407" s="254" t="str">
        <f>IF(ISBLANK(B407)," ",IF(B407=IFERROR(VLOOKUP(B407,'מצבת והרשמה (2)'!F:F,1,0),0),"תקין","לא קיים במצבת כבית ספר בו מתקיימת פעילות"))</f>
        <v xml:space="preserve"> </v>
      </c>
      <c r="X407" s="256" t="str">
        <f t="shared" si="117"/>
        <v/>
      </c>
      <c r="Y407" s="256" t="str">
        <f t="shared" si="118"/>
        <v/>
      </c>
      <c r="Z407" s="741">
        <f t="shared" si="119"/>
        <v>0</v>
      </c>
      <c r="AA407" s="741">
        <f t="shared" si="120"/>
        <v>0</v>
      </c>
      <c r="AB407" s="741">
        <f t="shared" si="121"/>
        <v>0</v>
      </c>
      <c r="AC407" s="987">
        <f t="shared" si="131"/>
        <v>0</v>
      </c>
      <c r="AD407" s="987">
        <f t="shared" si="132"/>
        <v>0</v>
      </c>
      <c r="AE407" s="368" t="str">
        <f>IFERROR(VLOOKUP(B407,'[1]סיכום בקרת רשויות'!$A:$D,4,0),"")</f>
        <v/>
      </c>
      <c r="AF407" s="57" t="str">
        <f t="shared" si="133"/>
        <v/>
      </c>
      <c r="AG407" s="180">
        <f>IF(AF407="כן",M407*'גנים ובתי ספר- מבנה תקציב'!$H$59,0)</f>
        <v>0</v>
      </c>
      <c r="AH407" s="180">
        <f>IF(AF407="כן",M407*'גנים ובתי ספר- מבנה תקציב'!$I$59,0)</f>
        <v>0</v>
      </c>
      <c r="AI407" s="180">
        <f t="shared" si="134"/>
        <v>0</v>
      </c>
      <c r="AJ407" s="368" t="str">
        <f t="shared" si="122"/>
        <v/>
      </c>
    </row>
    <row r="408" spans="1:36" x14ac:dyDescent="0.25">
      <c r="A408" s="57">
        <v>388</v>
      </c>
      <c r="B408" s="690"/>
      <c r="C408" s="690"/>
      <c r="D408" s="252">
        <f>(IFERROR(SUMIF('מצבת והרשמה (2)'!$F$21:$F$501,'דוח ביצוע (3)'!$B408,'מצבת והרשמה (2)'!$J$21:$J$501),0))</f>
        <v>0</v>
      </c>
      <c r="E408" s="252">
        <f>IFERROR(SUMIF('מצבת והרשמה (2)'!$F$21:$F$501,'דוח ביצוע (3)'!$B408,'מצבת והרשמה (2)'!$K$21:$K$501),0)</f>
        <v>0</v>
      </c>
      <c r="F408" s="253">
        <f t="shared" si="123"/>
        <v>0</v>
      </c>
      <c r="G408" s="680"/>
      <c r="H408" s="680"/>
      <c r="I408" s="253">
        <f t="shared" si="116"/>
        <v>0</v>
      </c>
      <c r="J408" s="453">
        <f t="shared" si="124"/>
        <v>0</v>
      </c>
      <c r="K408" s="689"/>
      <c r="L408" s="689"/>
      <c r="M408" s="969">
        <f t="shared" si="125"/>
        <v>0</v>
      </c>
      <c r="N408" s="1029" t="str">
        <f t="shared" si="126"/>
        <v/>
      </c>
      <c r="O408" s="969" t="str">
        <f>IFERROR(VLOOKUP(B408,'נתוני רישום ומצבת'!B:Q,16,0),"")</f>
        <v/>
      </c>
      <c r="P408" s="969" t="str">
        <f>IFERROR(VLOOKUP(B408,'נתוני רישום ומצבת'!B:R,17,0),"")</f>
        <v/>
      </c>
      <c r="Q408" s="690"/>
      <c r="R408" s="1009"/>
      <c r="S408" s="376">
        <f t="shared" si="127"/>
        <v>0</v>
      </c>
      <c r="T408" s="376">
        <f t="shared" si="128"/>
        <v>0</v>
      </c>
      <c r="U408" s="386">
        <f t="shared" si="129"/>
        <v>0</v>
      </c>
      <c r="V408" s="513" t="str">
        <f t="shared" si="130"/>
        <v/>
      </c>
      <c r="W408" s="254" t="str">
        <f>IF(ISBLANK(B408)," ",IF(B408=IFERROR(VLOOKUP(B408,'מצבת והרשמה (2)'!F:F,1,0),0),"תקין","לא קיים במצבת כבית ספר בו מתקיימת פעילות"))</f>
        <v xml:space="preserve"> </v>
      </c>
      <c r="X408" s="256" t="str">
        <f t="shared" si="117"/>
        <v/>
      </c>
      <c r="Y408" s="256" t="str">
        <f t="shared" si="118"/>
        <v/>
      </c>
      <c r="Z408" s="741">
        <f t="shared" si="119"/>
        <v>0</v>
      </c>
      <c r="AA408" s="741">
        <f t="shared" si="120"/>
        <v>0</v>
      </c>
      <c r="AB408" s="741">
        <f t="shared" si="121"/>
        <v>0</v>
      </c>
      <c r="AC408" s="987">
        <f t="shared" si="131"/>
        <v>0</v>
      </c>
      <c r="AD408" s="987">
        <f t="shared" si="132"/>
        <v>0</v>
      </c>
      <c r="AE408" s="368" t="str">
        <f>IFERROR(VLOOKUP(B408,'[1]סיכום בקרת רשויות'!$A:$D,4,0),"")</f>
        <v/>
      </c>
      <c r="AF408" s="57" t="str">
        <f t="shared" si="133"/>
        <v/>
      </c>
      <c r="AG408" s="180">
        <f>IF(AF408="כן",M408*'גנים ובתי ספר- מבנה תקציב'!$H$59,0)</f>
        <v>0</v>
      </c>
      <c r="AH408" s="180">
        <f>IF(AF408="כן",M408*'גנים ובתי ספר- מבנה תקציב'!$I$59,0)</f>
        <v>0</v>
      </c>
      <c r="AI408" s="180">
        <f t="shared" si="134"/>
        <v>0</v>
      </c>
      <c r="AJ408" s="368" t="str">
        <f t="shared" si="122"/>
        <v/>
      </c>
    </row>
    <row r="409" spans="1:36" x14ac:dyDescent="0.25">
      <c r="A409" s="57">
        <v>389</v>
      </c>
      <c r="B409" s="690"/>
      <c r="C409" s="690"/>
      <c r="D409" s="252">
        <f>(IFERROR(SUMIF('מצבת והרשמה (2)'!$F$21:$F$501,'דוח ביצוע (3)'!$B409,'מצבת והרשמה (2)'!$J$21:$J$501),0))</f>
        <v>0</v>
      </c>
      <c r="E409" s="252">
        <f>IFERROR(SUMIF('מצבת והרשמה (2)'!$F$21:$F$501,'דוח ביצוע (3)'!$B409,'מצבת והרשמה (2)'!$K$21:$K$501),0)</f>
        <v>0</v>
      </c>
      <c r="F409" s="253">
        <f t="shared" si="123"/>
        <v>0</v>
      </c>
      <c r="G409" s="680"/>
      <c r="H409" s="680"/>
      <c r="I409" s="253">
        <f t="shared" si="116"/>
        <v>0</v>
      </c>
      <c r="J409" s="453">
        <f t="shared" si="124"/>
        <v>0</v>
      </c>
      <c r="K409" s="689"/>
      <c r="L409" s="689"/>
      <c r="M409" s="969">
        <f t="shared" si="125"/>
        <v>0</v>
      </c>
      <c r="N409" s="1029" t="str">
        <f t="shared" si="126"/>
        <v/>
      </c>
      <c r="O409" s="969" t="str">
        <f>IFERROR(VLOOKUP(B409,'נתוני רישום ומצבת'!B:Q,16,0),"")</f>
        <v/>
      </c>
      <c r="P409" s="969" t="str">
        <f>IFERROR(VLOOKUP(B409,'נתוני רישום ומצבת'!B:R,17,0),"")</f>
        <v/>
      </c>
      <c r="Q409" s="690"/>
      <c r="R409" s="1009"/>
      <c r="S409" s="376">
        <f t="shared" si="127"/>
        <v>0</v>
      </c>
      <c r="T409" s="376">
        <f t="shared" si="128"/>
        <v>0</v>
      </c>
      <c r="U409" s="386">
        <f t="shared" si="129"/>
        <v>0</v>
      </c>
      <c r="V409" s="513" t="str">
        <f t="shared" si="130"/>
        <v/>
      </c>
      <c r="W409" s="254" t="str">
        <f>IF(ISBLANK(B409)," ",IF(B409=IFERROR(VLOOKUP(B409,'מצבת והרשמה (2)'!F:F,1,0),0),"תקין","לא קיים במצבת כבית ספר בו מתקיימת פעילות"))</f>
        <v xml:space="preserve"> </v>
      </c>
      <c r="X409" s="256" t="str">
        <f t="shared" si="117"/>
        <v/>
      </c>
      <c r="Y409" s="256" t="str">
        <f t="shared" si="118"/>
        <v/>
      </c>
      <c r="Z409" s="741">
        <f t="shared" si="119"/>
        <v>0</v>
      </c>
      <c r="AA409" s="741">
        <f t="shared" si="120"/>
        <v>0</v>
      </c>
      <c r="AB409" s="741">
        <f t="shared" si="121"/>
        <v>0</v>
      </c>
      <c r="AC409" s="987">
        <f t="shared" si="131"/>
        <v>0</v>
      </c>
      <c r="AD409" s="987">
        <f t="shared" si="132"/>
        <v>0</v>
      </c>
      <c r="AE409" s="368" t="str">
        <f>IFERROR(VLOOKUP(B409,'[1]סיכום בקרת רשויות'!$A:$D,4,0),"")</f>
        <v/>
      </c>
      <c r="AF409" s="57" t="str">
        <f t="shared" si="133"/>
        <v/>
      </c>
      <c r="AG409" s="180">
        <f>IF(AF409="כן",M409*'גנים ובתי ספר- מבנה תקציב'!$H$59,0)</f>
        <v>0</v>
      </c>
      <c r="AH409" s="180">
        <f>IF(AF409="כן",M409*'גנים ובתי ספר- מבנה תקציב'!$I$59,0)</f>
        <v>0</v>
      </c>
      <c r="AI409" s="180">
        <f t="shared" si="134"/>
        <v>0</v>
      </c>
      <c r="AJ409" s="368" t="str">
        <f t="shared" si="122"/>
        <v/>
      </c>
    </row>
    <row r="410" spans="1:36" x14ac:dyDescent="0.25">
      <c r="A410" s="57">
        <v>390</v>
      </c>
      <c r="B410" s="690"/>
      <c r="C410" s="690"/>
      <c r="D410" s="252">
        <f>(IFERROR(SUMIF('מצבת והרשמה (2)'!$F$21:$F$501,'דוח ביצוע (3)'!$B410,'מצבת והרשמה (2)'!$J$21:$J$501),0))</f>
        <v>0</v>
      </c>
      <c r="E410" s="252">
        <f>IFERROR(SUMIF('מצבת והרשמה (2)'!$F$21:$F$501,'דוח ביצוע (3)'!$B410,'מצבת והרשמה (2)'!$K$21:$K$501),0)</f>
        <v>0</v>
      </c>
      <c r="F410" s="253">
        <f t="shared" si="123"/>
        <v>0</v>
      </c>
      <c r="G410" s="680"/>
      <c r="H410" s="680"/>
      <c r="I410" s="253">
        <f t="shared" si="116"/>
        <v>0</v>
      </c>
      <c r="J410" s="453">
        <f t="shared" si="124"/>
        <v>0</v>
      </c>
      <c r="K410" s="689"/>
      <c r="L410" s="689"/>
      <c r="M410" s="969">
        <f t="shared" si="125"/>
        <v>0</v>
      </c>
      <c r="N410" s="1029" t="str">
        <f t="shared" si="126"/>
        <v/>
      </c>
      <c r="O410" s="969" t="str">
        <f>IFERROR(VLOOKUP(B410,'נתוני רישום ומצבת'!B:Q,16,0),"")</f>
        <v/>
      </c>
      <c r="P410" s="969" t="str">
        <f>IFERROR(VLOOKUP(B410,'נתוני רישום ומצבת'!B:R,17,0),"")</f>
        <v/>
      </c>
      <c r="Q410" s="690"/>
      <c r="R410" s="1009"/>
      <c r="S410" s="376">
        <f t="shared" si="127"/>
        <v>0</v>
      </c>
      <c r="T410" s="376">
        <f t="shared" si="128"/>
        <v>0</v>
      </c>
      <c r="U410" s="386">
        <f t="shared" si="129"/>
        <v>0</v>
      </c>
      <c r="V410" s="513" t="str">
        <f t="shared" si="130"/>
        <v/>
      </c>
      <c r="W410" s="254" t="str">
        <f>IF(ISBLANK(B410)," ",IF(B410=IFERROR(VLOOKUP(B410,'מצבת והרשמה (2)'!F:F,1,0),0),"תקין","לא קיים במצבת כבית ספר בו מתקיימת פעילות"))</f>
        <v xml:space="preserve"> </v>
      </c>
      <c r="X410" s="256" t="str">
        <f t="shared" si="117"/>
        <v/>
      </c>
      <c r="Y410" s="256" t="str">
        <f t="shared" si="118"/>
        <v/>
      </c>
      <c r="Z410" s="741">
        <f t="shared" si="119"/>
        <v>0</v>
      </c>
      <c r="AA410" s="741">
        <f t="shared" si="120"/>
        <v>0</v>
      </c>
      <c r="AB410" s="741">
        <f t="shared" si="121"/>
        <v>0</v>
      </c>
      <c r="AC410" s="987">
        <f t="shared" si="131"/>
        <v>0</v>
      </c>
      <c r="AD410" s="987">
        <f t="shared" si="132"/>
        <v>0</v>
      </c>
      <c r="AE410" s="368" t="str">
        <f>IFERROR(VLOOKUP(B410,'[1]סיכום בקרת רשויות'!$A:$D,4,0),"")</f>
        <v/>
      </c>
      <c r="AF410" s="57" t="str">
        <f t="shared" si="133"/>
        <v/>
      </c>
      <c r="AG410" s="180">
        <f>IF(AF410="כן",M410*'גנים ובתי ספר- מבנה תקציב'!$H$59,0)</f>
        <v>0</v>
      </c>
      <c r="AH410" s="180">
        <f>IF(AF410="כן",M410*'גנים ובתי ספר- מבנה תקציב'!$I$59,0)</f>
        <v>0</v>
      </c>
      <c r="AI410" s="180">
        <f t="shared" si="134"/>
        <v>0</v>
      </c>
      <c r="AJ410" s="368" t="str">
        <f t="shared" si="122"/>
        <v/>
      </c>
    </row>
    <row r="411" spans="1:36" x14ac:dyDescent="0.25">
      <c r="A411" s="57">
        <v>391</v>
      </c>
      <c r="B411" s="690"/>
      <c r="C411" s="690"/>
      <c r="D411" s="252">
        <f>(IFERROR(SUMIF('מצבת והרשמה (2)'!$F$21:$F$501,'דוח ביצוע (3)'!$B411,'מצבת והרשמה (2)'!$J$21:$J$501),0))</f>
        <v>0</v>
      </c>
      <c r="E411" s="252">
        <f>IFERROR(SUMIF('מצבת והרשמה (2)'!$F$21:$F$501,'דוח ביצוע (3)'!$B411,'מצבת והרשמה (2)'!$K$21:$K$501),0)</f>
        <v>0</v>
      </c>
      <c r="F411" s="253">
        <f t="shared" si="123"/>
        <v>0</v>
      </c>
      <c r="G411" s="680"/>
      <c r="H411" s="680"/>
      <c r="I411" s="253">
        <f t="shared" si="116"/>
        <v>0</v>
      </c>
      <c r="J411" s="453">
        <f t="shared" si="124"/>
        <v>0</v>
      </c>
      <c r="K411" s="689"/>
      <c r="L411" s="689"/>
      <c r="M411" s="969">
        <f t="shared" si="125"/>
        <v>0</v>
      </c>
      <c r="N411" s="1029" t="str">
        <f t="shared" si="126"/>
        <v/>
      </c>
      <c r="O411" s="969" t="str">
        <f>IFERROR(VLOOKUP(B411,'נתוני רישום ומצבת'!B:Q,16,0),"")</f>
        <v/>
      </c>
      <c r="P411" s="969" t="str">
        <f>IFERROR(VLOOKUP(B411,'נתוני רישום ומצבת'!B:R,17,0),"")</f>
        <v/>
      </c>
      <c r="Q411" s="690"/>
      <c r="R411" s="1009"/>
      <c r="S411" s="376">
        <f t="shared" si="127"/>
        <v>0</v>
      </c>
      <c r="T411" s="376">
        <f t="shared" si="128"/>
        <v>0</v>
      </c>
      <c r="U411" s="386">
        <f t="shared" si="129"/>
        <v>0</v>
      </c>
      <c r="V411" s="513" t="str">
        <f t="shared" si="130"/>
        <v/>
      </c>
      <c r="W411" s="254" t="str">
        <f>IF(ISBLANK(B411)," ",IF(B411=IFERROR(VLOOKUP(B411,'מצבת והרשמה (2)'!F:F,1,0),0),"תקין","לא קיים במצבת כבית ספר בו מתקיימת פעילות"))</f>
        <v xml:space="preserve"> </v>
      </c>
      <c r="X411" s="256" t="str">
        <f t="shared" si="117"/>
        <v/>
      </c>
      <c r="Y411" s="256" t="str">
        <f t="shared" si="118"/>
        <v/>
      </c>
      <c r="Z411" s="741">
        <f t="shared" si="119"/>
        <v>0</v>
      </c>
      <c r="AA411" s="741">
        <f t="shared" si="120"/>
        <v>0</v>
      </c>
      <c r="AB411" s="741">
        <f t="shared" si="121"/>
        <v>0</v>
      </c>
      <c r="AC411" s="987">
        <f t="shared" si="131"/>
        <v>0</v>
      </c>
      <c r="AD411" s="987">
        <f t="shared" si="132"/>
        <v>0</v>
      </c>
      <c r="AE411" s="368" t="str">
        <f>IFERROR(VLOOKUP(B411,'[1]סיכום בקרת רשויות'!$A:$D,4,0),"")</f>
        <v/>
      </c>
      <c r="AF411" s="57" t="str">
        <f t="shared" si="133"/>
        <v/>
      </c>
      <c r="AG411" s="180">
        <f>IF(AF411="כן",M411*'גנים ובתי ספר- מבנה תקציב'!$H$59,0)</f>
        <v>0</v>
      </c>
      <c r="AH411" s="180">
        <f>IF(AF411="כן",M411*'גנים ובתי ספר- מבנה תקציב'!$I$59,0)</f>
        <v>0</v>
      </c>
      <c r="AI411" s="180">
        <f t="shared" si="134"/>
        <v>0</v>
      </c>
      <c r="AJ411" s="368" t="str">
        <f t="shared" si="122"/>
        <v/>
      </c>
    </row>
    <row r="412" spans="1:36" x14ac:dyDescent="0.25">
      <c r="A412" s="57">
        <v>392</v>
      </c>
      <c r="B412" s="690"/>
      <c r="C412" s="690"/>
      <c r="D412" s="252">
        <f>(IFERROR(SUMIF('מצבת והרשמה (2)'!$F$21:$F$501,'דוח ביצוע (3)'!$B412,'מצבת והרשמה (2)'!$J$21:$J$501),0))</f>
        <v>0</v>
      </c>
      <c r="E412" s="252">
        <f>IFERROR(SUMIF('מצבת והרשמה (2)'!$F$21:$F$501,'דוח ביצוע (3)'!$B412,'מצבת והרשמה (2)'!$K$21:$K$501),0)</f>
        <v>0</v>
      </c>
      <c r="F412" s="253">
        <f t="shared" si="123"/>
        <v>0</v>
      </c>
      <c r="G412" s="680"/>
      <c r="H412" s="680"/>
      <c r="I412" s="253">
        <f t="shared" si="116"/>
        <v>0</v>
      </c>
      <c r="J412" s="453">
        <f t="shared" si="124"/>
        <v>0</v>
      </c>
      <c r="K412" s="689"/>
      <c r="L412" s="689"/>
      <c r="M412" s="969">
        <f t="shared" si="125"/>
        <v>0</v>
      </c>
      <c r="N412" s="1029" t="str">
        <f t="shared" si="126"/>
        <v/>
      </c>
      <c r="O412" s="969" t="str">
        <f>IFERROR(VLOOKUP(B412,'נתוני רישום ומצבת'!B:Q,16,0),"")</f>
        <v/>
      </c>
      <c r="P412" s="969" t="str">
        <f>IFERROR(VLOOKUP(B412,'נתוני רישום ומצבת'!B:R,17,0),"")</f>
        <v/>
      </c>
      <c r="Q412" s="690"/>
      <c r="R412" s="1009"/>
      <c r="S412" s="376">
        <f t="shared" si="127"/>
        <v>0</v>
      </c>
      <c r="T412" s="376">
        <f t="shared" si="128"/>
        <v>0</v>
      </c>
      <c r="U412" s="386">
        <f t="shared" si="129"/>
        <v>0</v>
      </c>
      <c r="V412" s="513" t="str">
        <f t="shared" si="130"/>
        <v/>
      </c>
      <c r="W412" s="254" t="str">
        <f>IF(ISBLANK(B412)," ",IF(B412=IFERROR(VLOOKUP(B412,'מצבת והרשמה (2)'!F:F,1,0),0),"תקין","לא קיים במצבת כבית ספר בו מתקיימת פעילות"))</f>
        <v xml:space="preserve"> </v>
      </c>
      <c r="X412" s="256" t="str">
        <f t="shared" si="117"/>
        <v/>
      </c>
      <c r="Y412" s="256" t="str">
        <f t="shared" si="118"/>
        <v/>
      </c>
      <c r="Z412" s="741">
        <f t="shared" si="119"/>
        <v>0</v>
      </c>
      <c r="AA412" s="741">
        <f t="shared" si="120"/>
        <v>0</v>
      </c>
      <c r="AB412" s="741">
        <f t="shared" si="121"/>
        <v>0</v>
      </c>
      <c r="AC412" s="987">
        <f t="shared" si="131"/>
        <v>0</v>
      </c>
      <c r="AD412" s="987">
        <f t="shared" si="132"/>
        <v>0</v>
      </c>
      <c r="AE412" s="368" t="str">
        <f>IFERROR(VLOOKUP(B412,'[1]סיכום בקרת רשויות'!$A:$D,4,0),"")</f>
        <v/>
      </c>
      <c r="AF412" s="57" t="str">
        <f t="shared" si="133"/>
        <v/>
      </c>
      <c r="AG412" s="180">
        <f>IF(AF412="כן",M412*'גנים ובתי ספר- מבנה תקציב'!$H$59,0)</f>
        <v>0</v>
      </c>
      <c r="AH412" s="180">
        <f>IF(AF412="כן",M412*'גנים ובתי ספר- מבנה תקציב'!$I$59,0)</f>
        <v>0</v>
      </c>
      <c r="AI412" s="180">
        <f t="shared" si="134"/>
        <v>0</v>
      </c>
      <c r="AJ412" s="368" t="str">
        <f t="shared" si="122"/>
        <v/>
      </c>
    </row>
    <row r="413" spans="1:36" x14ac:dyDescent="0.25">
      <c r="A413" s="57">
        <v>393</v>
      </c>
      <c r="B413" s="690"/>
      <c r="C413" s="690"/>
      <c r="D413" s="252">
        <f>(IFERROR(SUMIF('מצבת והרשמה (2)'!$F$21:$F$501,'דוח ביצוע (3)'!$B413,'מצבת והרשמה (2)'!$J$21:$J$501),0))</f>
        <v>0</v>
      </c>
      <c r="E413" s="252">
        <f>IFERROR(SUMIF('מצבת והרשמה (2)'!$F$21:$F$501,'דוח ביצוע (3)'!$B413,'מצבת והרשמה (2)'!$K$21:$K$501),0)</f>
        <v>0</v>
      </c>
      <c r="F413" s="253">
        <f t="shared" si="123"/>
        <v>0</v>
      </c>
      <c r="G413" s="680"/>
      <c r="H413" s="680"/>
      <c r="I413" s="253">
        <f t="shared" si="116"/>
        <v>0</v>
      </c>
      <c r="J413" s="453">
        <f t="shared" si="124"/>
        <v>0</v>
      </c>
      <c r="K413" s="689"/>
      <c r="L413" s="689"/>
      <c r="M413" s="969">
        <f t="shared" si="125"/>
        <v>0</v>
      </c>
      <c r="N413" s="1029" t="str">
        <f t="shared" si="126"/>
        <v/>
      </c>
      <c r="O413" s="969" t="str">
        <f>IFERROR(VLOOKUP(B413,'נתוני רישום ומצבת'!B:Q,16,0),"")</f>
        <v/>
      </c>
      <c r="P413" s="969" t="str">
        <f>IFERROR(VLOOKUP(B413,'נתוני רישום ומצבת'!B:R,17,0),"")</f>
        <v/>
      </c>
      <c r="Q413" s="690"/>
      <c r="R413" s="1009"/>
      <c r="S413" s="376">
        <f t="shared" si="127"/>
        <v>0</v>
      </c>
      <c r="T413" s="376">
        <f t="shared" si="128"/>
        <v>0</v>
      </c>
      <c r="U413" s="386">
        <f t="shared" si="129"/>
        <v>0</v>
      </c>
      <c r="V413" s="513" t="str">
        <f t="shared" si="130"/>
        <v/>
      </c>
      <c r="W413" s="254" t="str">
        <f>IF(ISBLANK(B413)," ",IF(B413=IFERROR(VLOOKUP(B413,'מצבת והרשמה (2)'!F:F,1,0),0),"תקין","לא קיים במצבת כבית ספר בו מתקיימת פעילות"))</f>
        <v xml:space="preserve"> </v>
      </c>
      <c r="X413" s="256" t="str">
        <f t="shared" si="117"/>
        <v/>
      </c>
      <c r="Y413" s="256" t="str">
        <f t="shared" si="118"/>
        <v/>
      </c>
      <c r="Z413" s="741">
        <f t="shared" si="119"/>
        <v>0</v>
      </c>
      <c r="AA413" s="741">
        <f t="shared" si="120"/>
        <v>0</v>
      </c>
      <c r="AB413" s="741">
        <f t="shared" si="121"/>
        <v>0</v>
      </c>
      <c r="AC413" s="987">
        <f t="shared" si="131"/>
        <v>0</v>
      </c>
      <c r="AD413" s="987">
        <f t="shared" si="132"/>
        <v>0</v>
      </c>
      <c r="AE413" s="368" t="str">
        <f>IFERROR(VLOOKUP(B413,'[1]סיכום בקרת רשויות'!$A:$D,4,0),"")</f>
        <v/>
      </c>
      <c r="AF413" s="57" t="str">
        <f t="shared" si="133"/>
        <v/>
      </c>
      <c r="AG413" s="180">
        <f>IF(AF413="כן",M413*'גנים ובתי ספר- מבנה תקציב'!$H$59,0)</f>
        <v>0</v>
      </c>
      <c r="AH413" s="180">
        <f>IF(AF413="כן",M413*'גנים ובתי ספר- מבנה תקציב'!$I$59,0)</f>
        <v>0</v>
      </c>
      <c r="AI413" s="180">
        <f t="shared" si="134"/>
        <v>0</v>
      </c>
      <c r="AJ413" s="368" t="str">
        <f t="shared" si="122"/>
        <v/>
      </c>
    </row>
    <row r="414" spans="1:36" x14ac:dyDescent="0.25">
      <c r="A414" s="57">
        <v>394</v>
      </c>
      <c r="B414" s="690"/>
      <c r="C414" s="690"/>
      <c r="D414" s="252">
        <f>(IFERROR(SUMIF('מצבת והרשמה (2)'!$F$21:$F$501,'דוח ביצוע (3)'!$B414,'מצבת והרשמה (2)'!$J$21:$J$501),0))</f>
        <v>0</v>
      </c>
      <c r="E414" s="252">
        <f>IFERROR(SUMIF('מצבת והרשמה (2)'!$F$21:$F$501,'דוח ביצוע (3)'!$B414,'מצבת והרשמה (2)'!$K$21:$K$501),0)</f>
        <v>0</v>
      </c>
      <c r="F414" s="253">
        <f t="shared" si="123"/>
        <v>0</v>
      </c>
      <c r="G414" s="680"/>
      <c r="H414" s="680"/>
      <c r="I414" s="253">
        <f t="shared" si="116"/>
        <v>0</v>
      </c>
      <c r="J414" s="453">
        <f t="shared" si="124"/>
        <v>0</v>
      </c>
      <c r="K414" s="689"/>
      <c r="L414" s="689"/>
      <c r="M414" s="969">
        <f t="shared" si="125"/>
        <v>0</v>
      </c>
      <c r="N414" s="1029" t="str">
        <f t="shared" si="126"/>
        <v/>
      </c>
      <c r="O414" s="969" t="str">
        <f>IFERROR(VLOOKUP(B414,'נתוני רישום ומצבת'!B:Q,16,0),"")</f>
        <v/>
      </c>
      <c r="P414" s="969" t="str">
        <f>IFERROR(VLOOKUP(B414,'נתוני רישום ומצבת'!B:R,17,0),"")</f>
        <v/>
      </c>
      <c r="Q414" s="690"/>
      <c r="R414" s="1009"/>
      <c r="S414" s="376">
        <f t="shared" si="127"/>
        <v>0</v>
      </c>
      <c r="T414" s="376">
        <f t="shared" si="128"/>
        <v>0</v>
      </c>
      <c r="U414" s="386">
        <f t="shared" si="129"/>
        <v>0</v>
      </c>
      <c r="V414" s="513" t="str">
        <f t="shared" si="130"/>
        <v/>
      </c>
      <c r="W414" s="254" t="str">
        <f>IF(ISBLANK(B414)," ",IF(B414=IFERROR(VLOOKUP(B414,'מצבת והרשמה (2)'!F:F,1,0),0),"תקין","לא קיים במצבת כבית ספר בו מתקיימת פעילות"))</f>
        <v xml:space="preserve"> </v>
      </c>
      <c r="X414" s="256" t="str">
        <f t="shared" si="117"/>
        <v/>
      </c>
      <c r="Y414" s="256" t="str">
        <f t="shared" si="118"/>
        <v/>
      </c>
      <c r="Z414" s="741">
        <f t="shared" si="119"/>
        <v>0</v>
      </c>
      <c r="AA414" s="741">
        <f t="shared" si="120"/>
        <v>0</v>
      </c>
      <c r="AB414" s="741">
        <f t="shared" si="121"/>
        <v>0</v>
      </c>
      <c r="AC414" s="987">
        <f t="shared" si="131"/>
        <v>0</v>
      </c>
      <c r="AD414" s="987">
        <f t="shared" si="132"/>
        <v>0</v>
      </c>
      <c r="AE414" s="368" t="str">
        <f>IFERROR(VLOOKUP(B414,'[1]סיכום בקרת רשויות'!$A:$D,4,0),"")</f>
        <v/>
      </c>
      <c r="AF414" s="57" t="str">
        <f t="shared" si="133"/>
        <v/>
      </c>
      <c r="AG414" s="180">
        <f>IF(AF414="כן",M414*'גנים ובתי ספר- מבנה תקציב'!$H$59,0)</f>
        <v>0</v>
      </c>
      <c r="AH414" s="180">
        <f>IF(AF414="כן",M414*'גנים ובתי ספר- מבנה תקציב'!$I$59,0)</f>
        <v>0</v>
      </c>
      <c r="AI414" s="180">
        <f t="shared" si="134"/>
        <v>0</v>
      </c>
      <c r="AJ414" s="368" t="str">
        <f t="shared" si="122"/>
        <v/>
      </c>
    </row>
    <row r="415" spans="1:36" x14ac:dyDescent="0.25">
      <c r="A415" s="57">
        <v>395</v>
      </c>
      <c r="B415" s="690"/>
      <c r="C415" s="690"/>
      <c r="D415" s="252">
        <f>(IFERROR(SUMIF('מצבת והרשמה (2)'!$F$21:$F$501,'דוח ביצוע (3)'!$B415,'מצבת והרשמה (2)'!$J$21:$J$501),0))</f>
        <v>0</v>
      </c>
      <c r="E415" s="252">
        <f>IFERROR(SUMIF('מצבת והרשמה (2)'!$F$21:$F$501,'דוח ביצוע (3)'!$B415,'מצבת והרשמה (2)'!$K$21:$K$501),0)</f>
        <v>0</v>
      </c>
      <c r="F415" s="253">
        <f t="shared" si="123"/>
        <v>0</v>
      </c>
      <c r="G415" s="680"/>
      <c r="H415" s="680"/>
      <c r="I415" s="253">
        <f t="shared" si="116"/>
        <v>0</v>
      </c>
      <c r="J415" s="453">
        <f t="shared" si="124"/>
        <v>0</v>
      </c>
      <c r="K415" s="689"/>
      <c r="L415" s="689"/>
      <c r="M415" s="969">
        <f t="shared" si="125"/>
        <v>0</v>
      </c>
      <c r="N415" s="1029" t="str">
        <f t="shared" si="126"/>
        <v/>
      </c>
      <c r="O415" s="969" t="str">
        <f>IFERROR(VLOOKUP(B415,'נתוני רישום ומצבת'!B:Q,16,0),"")</f>
        <v/>
      </c>
      <c r="P415" s="969" t="str">
        <f>IFERROR(VLOOKUP(B415,'נתוני רישום ומצבת'!B:R,17,0),"")</f>
        <v/>
      </c>
      <c r="Q415" s="690"/>
      <c r="R415" s="1009"/>
      <c r="S415" s="376">
        <f t="shared" si="127"/>
        <v>0</v>
      </c>
      <c r="T415" s="376">
        <f t="shared" si="128"/>
        <v>0</v>
      </c>
      <c r="U415" s="386">
        <f t="shared" si="129"/>
        <v>0</v>
      </c>
      <c r="V415" s="513" t="str">
        <f t="shared" si="130"/>
        <v/>
      </c>
      <c r="W415" s="254" t="str">
        <f>IF(ISBLANK(B415)," ",IF(B415=IFERROR(VLOOKUP(B415,'מצבת והרשמה (2)'!F:F,1,0),0),"תקין","לא קיים במצבת כבית ספר בו מתקיימת פעילות"))</f>
        <v xml:space="preserve"> </v>
      </c>
      <c r="X415" s="256" t="str">
        <f t="shared" si="117"/>
        <v/>
      </c>
      <c r="Y415" s="256" t="str">
        <f t="shared" si="118"/>
        <v/>
      </c>
      <c r="Z415" s="741">
        <f t="shared" si="119"/>
        <v>0</v>
      </c>
      <c r="AA415" s="741">
        <f t="shared" si="120"/>
        <v>0</v>
      </c>
      <c r="AB415" s="741">
        <f t="shared" si="121"/>
        <v>0</v>
      </c>
      <c r="AC415" s="987">
        <f t="shared" si="131"/>
        <v>0</v>
      </c>
      <c r="AD415" s="987">
        <f t="shared" si="132"/>
        <v>0</v>
      </c>
      <c r="AE415" s="368" t="str">
        <f>IFERROR(VLOOKUP(B415,'[1]סיכום בקרת רשויות'!$A:$D,4,0),"")</f>
        <v/>
      </c>
      <c r="AF415" s="57" t="str">
        <f t="shared" si="133"/>
        <v/>
      </c>
      <c r="AG415" s="180">
        <f>IF(AF415="כן",M415*'גנים ובתי ספר- מבנה תקציב'!$H$59,0)</f>
        <v>0</v>
      </c>
      <c r="AH415" s="180">
        <f>IF(AF415="כן",M415*'גנים ובתי ספר- מבנה תקציב'!$I$59,0)</f>
        <v>0</v>
      </c>
      <c r="AI415" s="180">
        <f t="shared" si="134"/>
        <v>0</v>
      </c>
      <c r="AJ415" s="368" t="str">
        <f t="shared" si="122"/>
        <v/>
      </c>
    </row>
    <row r="416" spans="1:36" x14ac:dyDescent="0.25">
      <c r="A416" s="57">
        <v>396</v>
      </c>
      <c r="B416" s="690"/>
      <c r="C416" s="690"/>
      <c r="D416" s="252">
        <f>(IFERROR(SUMIF('מצבת והרשמה (2)'!$F$21:$F$501,'דוח ביצוע (3)'!$B416,'מצבת והרשמה (2)'!$J$21:$J$501),0))</f>
        <v>0</v>
      </c>
      <c r="E416" s="252">
        <f>IFERROR(SUMIF('מצבת והרשמה (2)'!$F$21:$F$501,'דוח ביצוע (3)'!$B416,'מצבת והרשמה (2)'!$K$21:$K$501),0)</f>
        <v>0</v>
      </c>
      <c r="F416" s="253">
        <f t="shared" si="123"/>
        <v>0</v>
      </c>
      <c r="G416" s="680"/>
      <c r="H416" s="680"/>
      <c r="I416" s="253">
        <f t="shared" si="116"/>
        <v>0</v>
      </c>
      <c r="J416" s="453">
        <f t="shared" si="124"/>
        <v>0</v>
      </c>
      <c r="K416" s="689"/>
      <c r="L416" s="689"/>
      <c r="M416" s="969">
        <f t="shared" si="125"/>
        <v>0</v>
      </c>
      <c r="N416" s="1029" t="str">
        <f t="shared" si="126"/>
        <v/>
      </c>
      <c r="O416" s="969" t="str">
        <f>IFERROR(VLOOKUP(B416,'נתוני רישום ומצבת'!B:Q,16,0),"")</f>
        <v/>
      </c>
      <c r="P416" s="969" t="str">
        <f>IFERROR(VLOOKUP(B416,'נתוני רישום ומצבת'!B:R,17,0),"")</f>
        <v/>
      </c>
      <c r="Q416" s="690"/>
      <c r="R416" s="1009"/>
      <c r="S416" s="376">
        <f t="shared" si="127"/>
        <v>0</v>
      </c>
      <c r="T416" s="376">
        <f t="shared" si="128"/>
        <v>0</v>
      </c>
      <c r="U416" s="386">
        <f t="shared" si="129"/>
        <v>0</v>
      </c>
      <c r="V416" s="513" t="str">
        <f t="shared" si="130"/>
        <v/>
      </c>
      <c r="W416" s="254" t="str">
        <f>IF(ISBLANK(B416)," ",IF(B416=IFERROR(VLOOKUP(B416,'מצבת והרשמה (2)'!F:F,1,0),0),"תקין","לא קיים במצבת כבית ספר בו מתקיימת פעילות"))</f>
        <v xml:space="preserve"> </v>
      </c>
      <c r="X416" s="256" t="str">
        <f t="shared" si="117"/>
        <v/>
      </c>
      <c r="Y416" s="256" t="str">
        <f t="shared" si="118"/>
        <v/>
      </c>
      <c r="Z416" s="741">
        <f t="shared" si="119"/>
        <v>0</v>
      </c>
      <c r="AA416" s="741">
        <f t="shared" si="120"/>
        <v>0</v>
      </c>
      <c r="AB416" s="741">
        <f t="shared" si="121"/>
        <v>0</v>
      </c>
      <c r="AC416" s="987">
        <f t="shared" si="131"/>
        <v>0</v>
      </c>
      <c r="AD416" s="987">
        <f t="shared" si="132"/>
        <v>0</v>
      </c>
      <c r="AE416" s="368" t="str">
        <f>IFERROR(VLOOKUP(B416,'[1]סיכום בקרת רשויות'!$A:$D,4,0),"")</f>
        <v/>
      </c>
      <c r="AF416" s="57" t="str">
        <f t="shared" si="133"/>
        <v/>
      </c>
      <c r="AG416" s="180">
        <f>IF(AF416="כן",M416*'גנים ובתי ספר- מבנה תקציב'!$H$59,0)</f>
        <v>0</v>
      </c>
      <c r="AH416" s="180">
        <f>IF(AF416="כן",M416*'גנים ובתי ספר- מבנה תקציב'!$I$59,0)</f>
        <v>0</v>
      </c>
      <c r="AI416" s="180">
        <f t="shared" si="134"/>
        <v>0</v>
      </c>
      <c r="AJ416" s="368" t="str">
        <f t="shared" si="122"/>
        <v/>
      </c>
    </row>
    <row r="417" spans="1:36" x14ac:dyDescent="0.25">
      <c r="A417" s="57">
        <v>397</v>
      </c>
      <c r="B417" s="690"/>
      <c r="C417" s="690"/>
      <c r="D417" s="252">
        <f>(IFERROR(SUMIF('מצבת והרשמה (2)'!$F$21:$F$501,'דוח ביצוע (3)'!$B417,'מצבת והרשמה (2)'!$J$21:$J$501),0))</f>
        <v>0</v>
      </c>
      <c r="E417" s="252">
        <f>IFERROR(SUMIF('מצבת והרשמה (2)'!$F$21:$F$501,'דוח ביצוע (3)'!$B417,'מצבת והרשמה (2)'!$K$21:$K$501),0)</f>
        <v>0</v>
      </c>
      <c r="F417" s="253">
        <f t="shared" si="123"/>
        <v>0</v>
      </c>
      <c r="G417" s="680"/>
      <c r="H417" s="680"/>
      <c r="I417" s="253">
        <f t="shared" si="116"/>
        <v>0</v>
      </c>
      <c r="J417" s="453">
        <f t="shared" si="124"/>
        <v>0</v>
      </c>
      <c r="K417" s="689"/>
      <c r="L417" s="689"/>
      <c r="M417" s="969">
        <f t="shared" si="125"/>
        <v>0</v>
      </c>
      <c r="N417" s="1029" t="str">
        <f t="shared" si="126"/>
        <v/>
      </c>
      <c r="O417" s="969" t="str">
        <f>IFERROR(VLOOKUP(B417,'נתוני רישום ומצבת'!B:Q,16,0),"")</f>
        <v/>
      </c>
      <c r="P417" s="969" t="str">
        <f>IFERROR(VLOOKUP(B417,'נתוני רישום ומצבת'!B:R,17,0),"")</f>
        <v/>
      </c>
      <c r="Q417" s="690"/>
      <c r="R417" s="1009"/>
      <c r="S417" s="376">
        <f t="shared" si="127"/>
        <v>0</v>
      </c>
      <c r="T417" s="376">
        <f t="shared" si="128"/>
        <v>0</v>
      </c>
      <c r="U417" s="386">
        <f t="shared" si="129"/>
        <v>0</v>
      </c>
      <c r="V417" s="513" t="str">
        <f t="shared" si="130"/>
        <v/>
      </c>
      <c r="W417" s="254" t="str">
        <f>IF(ISBLANK(B417)," ",IF(B417=IFERROR(VLOOKUP(B417,'מצבת והרשמה (2)'!F:F,1,0),0),"תקין","לא קיים במצבת כבית ספר בו מתקיימת פעילות"))</f>
        <v xml:space="preserve"> </v>
      </c>
      <c r="X417" s="256" t="str">
        <f t="shared" si="117"/>
        <v/>
      </c>
      <c r="Y417" s="256" t="str">
        <f t="shared" si="118"/>
        <v/>
      </c>
      <c r="Z417" s="741">
        <f t="shared" si="119"/>
        <v>0</v>
      </c>
      <c r="AA417" s="741">
        <f t="shared" si="120"/>
        <v>0</v>
      </c>
      <c r="AB417" s="741">
        <f t="shared" si="121"/>
        <v>0</v>
      </c>
      <c r="AC417" s="987">
        <f t="shared" si="131"/>
        <v>0</v>
      </c>
      <c r="AD417" s="987">
        <f t="shared" si="132"/>
        <v>0</v>
      </c>
      <c r="AE417" s="368" t="str">
        <f>IFERROR(VLOOKUP(B417,'[1]סיכום בקרת רשויות'!$A:$D,4,0),"")</f>
        <v/>
      </c>
      <c r="AF417" s="57" t="str">
        <f t="shared" si="133"/>
        <v/>
      </c>
      <c r="AG417" s="180">
        <f>IF(AF417="כן",M417*'גנים ובתי ספר- מבנה תקציב'!$H$59,0)</f>
        <v>0</v>
      </c>
      <c r="AH417" s="180">
        <f>IF(AF417="כן",M417*'גנים ובתי ספר- מבנה תקציב'!$I$59,0)</f>
        <v>0</v>
      </c>
      <c r="AI417" s="180">
        <f t="shared" si="134"/>
        <v>0</v>
      </c>
      <c r="AJ417" s="368" t="str">
        <f t="shared" si="122"/>
        <v/>
      </c>
    </row>
    <row r="418" spans="1:36" x14ac:dyDescent="0.25">
      <c r="A418" s="57">
        <v>398</v>
      </c>
      <c r="B418" s="690"/>
      <c r="C418" s="690"/>
      <c r="D418" s="252">
        <f>(IFERROR(SUMIF('מצבת והרשמה (2)'!$F$21:$F$501,'דוח ביצוע (3)'!$B418,'מצבת והרשמה (2)'!$J$21:$J$501),0))</f>
        <v>0</v>
      </c>
      <c r="E418" s="252">
        <f>IFERROR(SUMIF('מצבת והרשמה (2)'!$F$21:$F$501,'דוח ביצוע (3)'!$B418,'מצבת והרשמה (2)'!$K$21:$K$501),0)</f>
        <v>0</v>
      </c>
      <c r="F418" s="253">
        <f t="shared" si="123"/>
        <v>0</v>
      </c>
      <c r="G418" s="680"/>
      <c r="H418" s="680"/>
      <c r="I418" s="253">
        <f t="shared" si="116"/>
        <v>0</v>
      </c>
      <c r="J418" s="453">
        <f t="shared" si="124"/>
        <v>0</v>
      </c>
      <c r="K418" s="689"/>
      <c r="L418" s="689"/>
      <c r="M418" s="969">
        <f t="shared" si="125"/>
        <v>0</v>
      </c>
      <c r="N418" s="1029" t="str">
        <f t="shared" si="126"/>
        <v/>
      </c>
      <c r="O418" s="969" t="str">
        <f>IFERROR(VLOOKUP(B418,'נתוני רישום ומצבת'!B:Q,16,0),"")</f>
        <v/>
      </c>
      <c r="P418" s="969" t="str">
        <f>IFERROR(VLOOKUP(B418,'נתוני רישום ומצבת'!B:R,17,0),"")</f>
        <v/>
      </c>
      <c r="Q418" s="690"/>
      <c r="R418" s="1009"/>
      <c r="S418" s="376">
        <f t="shared" si="127"/>
        <v>0</v>
      </c>
      <c r="T418" s="376">
        <f t="shared" si="128"/>
        <v>0</v>
      </c>
      <c r="U418" s="386">
        <f t="shared" si="129"/>
        <v>0</v>
      </c>
      <c r="V418" s="513" t="str">
        <f t="shared" si="130"/>
        <v/>
      </c>
      <c r="W418" s="254" t="str">
        <f>IF(ISBLANK(B418)," ",IF(B418=IFERROR(VLOOKUP(B418,'מצבת והרשמה (2)'!F:F,1,0),0),"תקין","לא קיים במצבת כבית ספר בו מתקיימת פעילות"))</f>
        <v xml:space="preserve"> </v>
      </c>
      <c r="X418" s="256" t="str">
        <f t="shared" si="117"/>
        <v/>
      </c>
      <c r="Y418" s="256" t="str">
        <f t="shared" si="118"/>
        <v/>
      </c>
      <c r="Z418" s="741">
        <f t="shared" si="119"/>
        <v>0</v>
      </c>
      <c r="AA418" s="741">
        <f t="shared" si="120"/>
        <v>0</v>
      </c>
      <c r="AB418" s="741">
        <f t="shared" si="121"/>
        <v>0</v>
      </c>
      <c r="AC418" s="987">
        <f t="shared" si="131"/>
        <v>0</v>
      </c>
      <c r="AD418" s="987">
        <f t="shared" si="132"/>
        <v>0</v>
      </c>
      <c r="AE418" s="368" t="str">
        <f>IFERROR(VLOOKUP(B418,'[1]סיכום בקרת רשויות'!$A:$D,4,0),"")</f>
        <v/>
      </c>
      <c r="AF418" s="57" t="str">
        <f t="shared" si="133"/>
        <v/>
      </c>
      <c r="AG418" s="180">
        <f>IF(AF418="כן",M418*'גנים ובתי ספר- מבנה תקציב'!$H$59,0)</f>
        <v>0</v>
      </c>
      <c r="AH418" s="180">
        <f>IF(AF418="כן",M418*'גנים ובתי ספר- מבנה תקציב'!$I$59,0)</f>
        <v>0</v>
      </c>
      <c r="AI418" s="180">
        <f t="shared" si="134"/>
        <v>0</v>
      </c>
      <c r="AJ418" s="368" t="str">
        <f t="shared" si="122"/>
        <v/>
      </c>
    </row>
    <row r="419" spans="1:36" x14ac:dyDescent="0.25">
      <c r="A419" s="57">
        <v>399</v>
      </c>
      <c r="B419" s="690"/>
      <c r="C419" s="690"/>
      <c r="D419" s="252">
        <f>(IFERROR(SUMIF('מצבת והרשמה (2)'!$F$21:$F$501,'דוח ביצוע (3)'!$B419,'מצבת והרשמה (2)'!$J$21:$J$501),0))</f>
        <v>0</v>
      </c>
      <c r="E419" s="252">
        <f>IFERROR(SUMIF('מצבת והרשמה (2)'!$F$21:$F$501,'דוח ביצוע (3)'!$B419,'מצבת והרשמה (2)'!$K$21:$K$501),0)</f>
        <v>0</v>
      </c>
      <c r="F419" s="253">
        <f t="shared" si="123"/>
        <v>0</v>
      </c>
      <c r="G419" s="680"/>
      <c r="H419" s="680"/>
      <c r="I419" s="253">
        <f t="shared" si="116"/>
        <v>0</v>
      </c>
      <c r="J419" s="453">
        <f t="shared" si="124"/>
        <v>0</v>
      </c>
      <c r="K419" s="689"/>
      <c r="L419" s="689"/>
      <c r="M419" s="969">
        <f t="shared" si="125"/>
        <v>0</v>
      </c>
      <c r="N419" s="1029" t="str">
        <f t="shared" si="126"/>
        <v/>
      </c>
      <c r="O419" s="969" t="str">
        <f>IFERROR(VLOOKUP(B419,'נתוני רישום ומצבת'!B:Q,16,0),"")</f>
        <v/>
      </c>
      <c r="P419" s="969" t="str">
        <f>IFERROR(VLOOKUP(B419,'נתוני רישום ומצבת'!B:R,17,0),"")</f>
        <v/>
      </c>
      <c r="Q419" s="690"/>
      <c r="R419" s="1009"/>
      <c r="S419" s="376">
        <f t="shared" si="127"/>
        <v>0</v>
      </c>
      <c r="T419" s="376">
        <f t="shared" si="128"/>
        <v>0</v>
      </c>
      <c r="U419" s="386">
        <f t="shared" si="129"/>
        <v>0</v>
      </c>
      <c r="V419" s="513" t="str">
        <f t="shared" si="130"/>
        <v/>
      </c>
      <c r="W419" s="254" t="str">
        <f>IF(ISBLANK(B419)," ",IF(B419=IFERROR(VLOOKUP(B419,'מצבת והרשמה (2)'!F:F,1,0),0),"תקין","לא קיים במצבת כבית ספר בו מתקיימת פעילות"))</f>
        <v xml:space="preserve"> </v>
      </c>
      <c r="X419" s="256" t="str">
        <f t="shared" si="117"/>
        <v/>
      </c>
      <c r="Y419" s="256" t="str">
        <f t="shared" si="118"/>
        <v/>
      </c>
      <c r="Z419" s="741">
        <f t="shared" si="119"/>
        <v>0</v>
      </c>
      <c r="AA419" s="741">
        <f t="shared" si="120"/>
        <v>0</v>
      </c>
      <c r="AB419" s="741">
        <f t="shared" si="121"/>
        <v>0</v>
      </c>
      <c r="AC419" s="987">
        <f t="shared" si="131"/>
        <v>0</v>
      </c>
      <c r="AD419" s="987">
        <f t="shared" si="132"/>
        <v>0</v>
      </c>
      <c r="AE419" s="368" t="str">
        <f>IFERROR(VLOOKUP(B419,'[1]סיכום בקרת רשויות'!$A:$D,4,0),"")</f>
        <v/>
      </c>
      <c r="AF419" s="57" t="str">
        <f t="shared" si="133"/>
        <v/>
      </c>
      <c r="AG419" s="180">
        <f>IF(AF419="כן",M419*'גנים ובתי ספר- מבנה תקציב'!$H$59,0)</f>
        <v>0</v>
      </c>
      <c r="AH419" s="180">
        <f>IF(AF419="כן",M419*'גנים ובתי ספר- מבנה תקציב'!$I$59,0)</f>
        <v>0</v>
      </c>
      <c r="AI419" s="180">
        <f t="shared" si="134"/>
        <v>0</v>
      </c>
      <c r="AJ419" s="368" t="str">
        <f t="shared" si="122"/>
        <v/>
      </c>
    </row>
    <row r="420" spans="1:36" x14ac:dyDescent="0.25">
      <c r="A420" s="57">
        <v>400</v>
      </c>
      <c r="B420" s="690"/>
      <c r="C420" s="690"/>
      <c r="D420" s="252">
        <f>(IFERROR(SUMIF('מצבת והרשמה (2)'!$F$21:$F$501,'דוח ביצוע (3)'!$B420,'מצבת והרשמה (2)'!$J$21:$J$501),0))</f>
        <v>0</v>
      </c>
      <c r="E420" s="252">
        <f>IFERROR(SUMIF('מצבת והרשמה (2)'!$F$21:$F$501,'דוח ביצוע (3)'!$B420,'מצבת והרשמה (2)'!$K$21:$K$501),0)</f>
        <v>0</v>
      </c>
      <c r="F420" s="253">
        <f t="shared" si="123"/>
        <v>0</v>
      </c>
      <c r="G420" s="680"/>
      <c r="H420" s="680"/>
      <c r="I420" s="253">
        <f t="shared" si="116"/>
        <v>0</v>
      </c>
      <c r="J420" s="453">
        <f t="shared" si="124"/>
        <v>0</v>
      </c>
      <c r="K420" s="689"/>
      <c r="L420" s="689"/>
      <c r="M420" s="969">
        <f t="shared" si="125"/>
        <v>0</v>
      </c>
      <c r="N420" s="1029" t="str">
        <f t="shared" si="126"/>
        <v/>
      </c>
      <c r="O420" s="969" t="str">
        <f>IFERROR(VLOOKUP(B420,'נתוני רישום ומצבת'!B:Q,16,0),"")</f>
        <v/>
      </c>
      <c r="P420" s="969" t="str">
        <f>IFERROR(VLOOKUP(B420,'נתוני רישום ומצבת'!B:R,17,0),"")</f>
        <v/>
      </c>
      <c r="Q420" s="690"/>
      <c r="R420" s="1009"/>
      <c r="S420" s="376">
        <f t="shared" si="127"/>
        <v>0</v>
      </c>
      <c r="T420" s="376">
        <f t="shared" si="128"/>
        <v>0</v>
      </c>
      <c r="U420" s="386">
        <f t="shared" si="129"/>
        <v>0</v>
      </c>
      <c r="V420" s="513" t="str">
        <f t="shared" si="130"/>
        <v/>
      </c>
      <c r="W420" s="254" t="str">
        <f>IF(ISBLANK(B420)," ",IF(B420=IFERROR(VLOOKUP(B420,'מצבת והרשמה (2)'!F:F,1,0),0),"תקין","לא קיים במצבת כבית ספר בו מתקיימת פעילות"))</f>
        <v xml:space="preserve"> </v>
      </c>
      <c r="X420" s="256" t="str">
        <f t="shared" si="117"/>
        <v/>
      </c>
      <c r="Y420" s="256" t="str">
        <f t="shared" si="118"/>
        <v/>
      </c>
      <c r="Z420" s="741">
        <f t="shared" si="119"/>
        <v>0</v>
      </c>
      <c r="AA420" s="741">
        <f t="shared" si="120"/>
        <v>0</v>
      </c>
      <c r="AB420" s="741">
        <f t="shared" si="121"/>
        <v>0</v>
      </c>
      <c r="AC420" s="987">
        <f t="shared" si="131"/>
        <v>0</v>
      </c>
      <c r="AD420" s="987">
        <f t="shared" si="132"/>
        <v>0</v>
      </c>
      <c r="AE420" s="368" t="str">
        <f>IFERROR(VLOOKUP(B420,'[1]סיכום בקרת רשויות'!$A:$D,4,0),"")</f>
        <v/>
      </c>
      <c r="AF420" s="57" t="str">
        <f t="shared" si="133"/>
        <v/>
      </c>
      <c r="AG420" s="180">
        <f>IF(AF420="כן",M420*'גנים ובתי ספר- מבנה תקציב'!$H$59,0)</f>
        <v>0</v>
      </c>
      <c r="AH420" s="180">
        <f>IF(AF420="כן",M420*'גנים ובתי ספר- מבנה תקציב'!$I$59,0)</f>
        <v>0</v>
      </c>
      <c r="AI420" s="180">
        <f t="shared" si="134"/>
        <v>0</v>
      </c>
      <c r="AJ420" s="368" t="str">
        <f t="shared" si="122"/>
        <v/>
      </c>
    </row>
    <row r="421" spans="1:36" x14ac:dyDescent="0.25">
      <c r="A421" s="57">
        <v>401</v>
      </c>
      <c r="B421" s="690"/>
      <c r="C421" s="690"/>
      <c r="D421" s="252">
        <f>(IFERROR(SUMIF('מצבת והרשמה (2)'!$F$21:$F$501,'דוח ביצוע (3)'!$B421,'מצבת והרשמה (2)'!$J$21:$J$501),0))</f>
        <v>0</v>
      </c>
      <c r="E421" s="252">
        <f>IFERROR(SUMIF('מצבת והרשמה (2)'!$F$21:$F$501,'דוח ביצוע (3)'!$B421,'מצבת והרשמה (2)'!$K$21:$K$501),0)</f>
        <v>0</v>
      </c>
      <c r="F421" s="253">
        <f t="shared" si="123"/>
        <v>0</v>
      </c>
      <c r="G421" s="680"/>
      <c r="H421" s="680"/>
      <c r="I421" s="253">
        <f t="shared" si="116"/>
        <v>0</v>
      </c>
      <c r="J421" s="453">
        <f t="shared" si="124"/>
        <v>0</v>
      </c>
      <c r="K421" s="689"/>
      <c r="L421" s="689"/>
      <c r="M421" s="969">
        <f t="shared" si="125"/>
        <v>0</v>
      </c>
      <c r="N421" s="1029" t="str">
        <f t="shared" si="126"/>
        <v/>
      </c>
      <c r="O421" s="969" t="str">
        <f>IFERROR(VLOOKUP(B421,'נתוני רישום ומצבת'!B:Q,16,0),"")</f>
        <v/>
      </c>
      <c r="P421" s="969" t="str">
        <f>IFERROR(VLOOKUP(B421,'נתוני רישום ומצבת'!B:R,17,0),"")</f>
        <v/>
      </c>
      <c r="Q421" s="690"/>
      <c r="R421" s="1009"/>
      <c r="S421" s="376">
        <f t="shared" si="127"/>
        <v>0</v>
      </c>
      <c r="T421" s="376">
        <f t="shared" si="128"/>
        <v>0</v>
      </c>
      <c r="U421" s="386">
        <f t="shared" si="129"/>
        <v>0</v>
      </c>
      <c r="V421" s="513" t="str">
        <f t="shared" si="130"/>
        <v/>
      </c>
      <c r="W421" s="254" t="str">
        <f>IF(ISBLANK(B421)," ",IF(B421=IFERROR(VLOOKUP(B421,'מצבת והרשמה (2)'!F:F,1,0),0),"תקין","לא קיים במצבת כבית ספר בו מתקיימת פעילות"))</f>
        <v xml:space="preserve"> </v>
      </c>
      <c r="X421" s="256" t="str">
        <f t="shared" si="117"/>
        <v/>
      </c>
      <c r="Y421" s="256" t="str">
        <f t="shared" si="118"/>
        <v/>
      </c>
      <c r="Z421" s="741">
        <f t="shared" si="119"/>
        <v>0</v>
      </c>
      <c r="AA421" s="741">
        <f t="shared" si="120"/>
        <v>0</v>
      </c>
      <c r="AB421" s="741">
        <f t="shared" si="121"/>
        <v>0</v>
      </c>
      <c r="AC421" s="987">
        <f t="shared" si="131"/>
        <v>0</v>
      </c>
      <c r="AD421" s="987">
        <f t="shared" si="132"/>
        <v>0</v>
      </c>
      <c r="AE421" s="368" t="str">
        <f>IFERROR(VLOOKUP(B421,'[1]סיכום בקרת רשויות'!$A:$D,4,0),"")</f>
        <v/>
      </c>
      <c r="AF421" s="57" t="str">
        <f t="shared" si="133"/>
        <v/>
      </c>
      <c r="AG421" s="180">
        <f>IF(AF421="כן",M421*'גנים ובתי ספר- מבנה תקציב'!$H$59,0)</f>
        <v>0</v>
      </c>
      <c r="AH421" s="180">
        <f>IF(AF421="כן",M421*'גנים ובתי ספר- מבנה תקציב'!$I$59,0)</f>
        <v>0</v>
      </c>
      <c r="AI421" s="180">
        <f t="shared" si="134"/>
        <v>0</v>
      </c>
      <c r="AJ421" s="368" t="str">
        <f t="shared" si="122"/>
        <v/>
      </c>
    </row>
    <row r="422" spans="1:36" x14ac:dyDescent="0.25">
      <c r="A422" s="57">
        <v>402</v>
      </c>
      <c r="B422" s="690"/>
      <c r="C422" s="690"/>
      <c r="D422" s="252">
        <f>(IFERROR(SUMIF('מצבת והרשמה (2)'!$F$21:$F$501,'דוח ביצוע (3)'!$B422,'מצבת והרשמה (2)'!$J$21:$J$501),0))</f>
        <v>0</v>
      </c>
      <c r="E422" s="252">
        <f>IFERROR(SUMIF('מצבת והרשמה (2)'!$F$21:$F$501,'דוח ביצוע (3)'!$B422,'מצבת והרשמה (2)'!$K$21:$K$501),0)</f>
        <v>0</v>
      </c>
      <c r="F422" s="253">
        <f t="shared" si="123"/>
        <v>0</v>
      </c>
      <c r="G422" s="680"/>
      <c r="H422" s="680"/>
      <c r="I422" s="253">
        <f t="shared" si="116"/>
        <v>0</v>
      </c>
      <c r="J422" s="453">
        <f t="shared" si="124"/>
        <v>0</v>
      </c>
      <c r="K422" s="689"/>
      <c r="L422" s="689"/>
      <c r="M422" s="969">
        <f t="shared" si="125"/>
        <v>0</v>
      </c>
      <c r="N422" s="1029" t="str">
        <f t="shared" si="126"/>
        <v/>
      </c>
      <c r="O422" s="969" t="str">
        <f>IFERROR(VLOOKUP(B422,'נתוני רישום ומצבת'!B:Q,16,0),"")</f>
        <v/>
      </c>
      <c r="P422" s="969" t="str">
        <f>IFERROR(VLOOKUP(B422,'נתוני רישום ומצבת'!B:R,17,0),"")</f>
        <v/>
      </c>
      <c r="Q422" s="690"/>
      <c r="R422" s="1009"/>
      <c r="S422" s="376">
        <f t="shared" si="127"/>
        <v>0</v>
      </c>
      <c r="T422" s="376">
        <f t="shared" si="128"/>
        <v>0</v>
      </c>
      <c r="U422" s="386">
        <f t="shared" si="129"/>
        <v>0</v>
      </c>
      <c r="V422" s="513" t="str">
        <f t="shared" si="130"/>
        <v/>
      </c>
      <c r="W422" s="254" t="str">
        <f>IF(ISBLANK(B422)," ",IF(B422=IFERROR(VLOOKUP(B422,'מצבת והרשמה (2)'!F:F,1,0),0),"תקין","לא קיים במצבת כבית ספר בו מתקיימת פעילות"))</f>
        <v xml:space="preserve"> </v>
      </c>
      <c r="X422" s="256" t="str">
        <f t="shared" si="117"/>
        <v/>
      </c>
      <c r="Y422" s="256" t="str">
        <f t="shared" si="118"/>
        <v/>
      </c>
      <c r="Z422" s="741">
        <f t="shared" si="119"/>
        <v>0</v>
      </c>
      <c r="AA422" s="741">
        <f t="shared" si="120"/>
        <v>0</v>
      </c>
      <c r="AB422" s="741">
        <f t="shared" si="121"/>
        <v>0</v>
      </c>
      <c r="AC422" s="987">
        <f t="shared" si="131"/>
        <v>0</v>
      </c>
      <c r="AD422" s="987">
        <f t="shared" si="132"/>
        <v>0</v>
      </c>
      <c r="AE422" s="368" t="str">
        <f>IFERROR(VLOOKUP(B422,'[1]סיכום בקרת רשויות'!$A:$D,4,0),"")</f>
        <v/>
      </c>
      <c r="AF422" s="57" t="str">
        <f t="shared" si="133"/>
        <v/>
      </c>
      <c r="AG422" s="180">
        <f>IF(AF422="כן",M422*'גנים ובתי ספר- מבנה תקציב'!$H$59,0)</f>
        <v>0</v>
      </c>
      <c r="AH422" s="180">
        <f>IF(AF422="כן",M422*'גנים ובתי ספר- מבנה תקציב'!$I$59,0)</f>
        <v>0</v>
      </c>
      <c r="AI422" s="180">
        <f t="shared" si="134"/>
        <v>0</v>
      </c>
      <c r="AJ422" s="368" t="str">
        <f t="shared" si="122"/>
        <v/>
      </c>
    </row>
    <row r="423" spans="1:36" x14ac:dyDescent="0.25">
      <c r="A423" s="57">
        <v>403</v>
      </c>
      <c r="B423" s="690"/>
      <c r="C423" s="690"/>
      <c r="D423" s="252">
        <f>(IFERROR(SUMIF('מצבת והרשמה (2)'!$F$21:$F$501,'דוח ביצוע (3)'!$B423,'מצבת והרשמה (2)'!$J$21:$J$501),0))</f>
        <v>0</v>
      </c>
      <c r="E423" s="252">
        <f>IFERROR(SUMIF('מצבת והרשמה (2)'!$F$21:$F$501,'דוח ביצוע (3)'!$B423,'מצבת והרשמה (2)'!$K$21:$K$501),0)</f>
        <v>0</v>
      </c>
      <c r="F423" s="253">
        <f t="shared" si="123"/>
        <v>0</v>
      </c>
      <c r="G423" s="680"/>
      <c r="H423" s="680"/>
      <c r="I423" s="253">
        <f t="shared" si="116"/>
        <v>0</v>
      </c>
      <c r="J423" s="453">
        <f t="shared" si="124"/>
        <v>0</v>
      </c>
      <c r="K423" s="689"/>
      <c r="L423" s="689"/>
      <c r="M423" s="969">
        <f t="shared" si="125"/>
        <v>0</v>
      </c>
      <c r="N423" s="1029" t="str">
        <f t="shared" si="126"/>
        <v/>
      </c>
      <c r="O423" s="969" t="str">
        <f>IFERROR(VLOOKUP(B423,'נתוני רישום ומצבת'!B:Q,16,0),"")</f>
        <v/>
      </c>
      <c r="P423" s="969" t="str">
        <f>IFERROR(VLOOKUP(B423,'נתוני רישום ומצבת'!B:R,17,0),"")</f>
        <v/>
      </c>
      <c r="Q423" s="690"/>
      <c r="R423" s="1009"/>
      <c r="S423" s="376">
        <f t="shared" si="127"/>
        <v>0</v>
      </c>
      <c r="T423" s="376">
        <f t="shared" si="128"/>
        <v>0</v>
      </c>
      <c r="U423" s="386">
        <f t="shared" si="129"/>
        <v>0</v>
      </c>
      <c r="V423" s="513" t="str">
        <f t="shared" si="130"/>
        <v/>
      </c>
      <c r="W423" s="254" t="str">
        <f>IF(ISBLANK(B423)," ",IF(B423=IFERROR(VLOOKUP(B423,'מצבת והרשמה (2)'!F:F,1,0),0),"תקין","לא קיים במצבת כבית ספר בו מתקיימת פעילות"))</f>
        <v xml:space="preserve"> </v>
      </c>
      <c r="X423" s="256" t="str">
        <f t="shared" si="117"/>
        <v/>
      </c>
      <c r="Y423" s="256" t="str">
        <f t="shared" si="118"/>
        <v/>
      </c>
      <c r="Z423" s="741">
        <f t="shared" si="119"/>
        <v>0</v>
      </c>
      <c r="AA423" s="741">
        <f t="shared" si="120"/>
        <v>0</v>
      </c>
      <c r="AB423" s="741">
        <f t="shared" si="121"/>
        <v>0</v>
      </c>
      <c r="AC423" s="987">
        <f t="shared" si="131"/>
        <v>0</v>
      </c>
      <c r="AD423" s="987">
        <f t="shared" si="132"/>
        <v>0</v>
      </c>
      <c r="AE423" s="368" t="str">
        <f>IFERROR(VLOOKUP(B423,'[1]סיכום בקרת רשויות'!$A:$D,4,0),"")</f>
        <v/>
      </c>
      <c r="AF423" s="57" t="str">
        <f t="shared" si="133"/>
        <v/>
      </c>
      <c r="AG423" s="180">
        <f>IF(AF423="כן",M423*'גנים ובתי ספר- מבנה תקציב'!$H$59,0)</f>
        <v>0</v>
      </c>
      <c r="AH423" s="180">
        <f>IF(AF423="כן",M423*'גנים ובתי ספר- מבנה תקציב'!$I$59,0)</f>
        <v>0</v>
      </c>
      <c r="AI423" s="180">
        <f t="shared" si="134"/>
        <v>0</v>
      </c>
      <c r="AJ423" s="368" t="str">
        <f t="shared" si="122"/>
        <v/>
      </c>
    </row>
    <row r="424" spans="1:36" x14ac:dyDescent="0.25">
      <c r="A424" s="57">
        <v>404</v>
      </c>
      <c r="B424" s="690"/>
      <c r="C424" s="690"/>
      <c r="D424" s="252">
        <f>(IFERROR(SUMIF('מצבת והרשמה (2)'!$F$21:$F$501,'דוח ביצוע (3)'!$B424,'מצבת והרשמה (2)'!$J$21:$J$501),0))</f>
        <v>0</v>
      </c>
      <c r="E424" s="252">
        <f>IFERROR(SUMIF('מצבת והרשמה (2)'!$F$21:$F$501,'דוח ביצוע (3)'!$B424,'מצבת והרשמה (2)'!$K$21:$K$501),0)</f>
        <v>0</v>
      </c>
      <c r="F424" s="253">
        <f t="shared" si="123"/>
        <v>0</v>
      </c>
      <c r="G424" s="680"/>
      <c r="H424" s="680"/>
      <c r="I424" s="253">
        <f t="shared" si="116"/>
        <v>0</v>
      </c>
      <c r="J424" s="453">
        <f t="shared" si="124"/>
        <v>0</v>
      </c>
      <c r="K424" s="689"/>
      <c r="L424" s="689"/>
      <c r="M424" s="969">
        <f t="shared" si="125"/>
        <v>0</v>
      </c>
      <c r="N424" s="1029" t="str">
        <f t="shared" si="126"/>
        <v/>
      </c>
      <c r="O424" s="969" t="str">
        <f>IFERROR(VLOOKUP(B424,'נתוני רישום ומצבת'!B:Q,16,0),"")</f>
        <v/>
      </c>
      <c r="P424" s="969" t="str">
        <f>IFERROR(VLOOKUP(B424,'נתוני רישום ומצבת'!B:R,17,0),"")</f>
        <v/>
      </c>
      <c r="Q424" s="690"/>
      <c r="R424" s="1009"/>
      <c r="S424" s="376">
        <f t="shared" si="127"/>
        <v>0</v>
      </c>
      <c r="T424" s="376">
        <f t="shared" si="128"/>
        <v>0</v>
      </c>
      <c r="U424" s="386">
        <f t="shared" si="129"/>
        <v>0</v>
      </c>
      <c r="V424" s="513" t="str">
        <f t="shared" si="130"/>
        <v/>
      </c>
      <c r="W424" s="254" t="str">
        <f>IF(ISBLANK(B424)," ",IF(B424=IFERROR(VLOOKUP(B424,'מצבת והרשמה (2)'!F:F,1,0),0),"תקין","לא קיים במצבת כבית ספר בו מתקיימת פעילות"))</f>
        <v xml:space="preserve"> </v>
      </c>
      <c r="X424" s="256" t="str">
        <f t="shared" si="117"/>
        <v/>
      </c>
      <c r="Y424" s="256" t="str">
        <f t="shared" si="118"/>
        <v/>
      </c>
      <c r="Z424" s="741">
        <f t="shared" si="119"/>
        <v>0</v>
      </c>
      <c r="AA424" s="741">
        <f t="shared" si="120"/>
        <v>0</v>
      </c>
      <c r="AB424" s="741">
        <f t="shared" si="121"/>
        <v>0</v>
      </c>
      <c r="AC424" s="987">
        <f t="shared" si="131"/>
        <v>0</v>
      </c>
      <c r="AD424" s="987">
        <f t="shared" si="132"/>
        <v>0</v>
      </c>
      <c r="AE424" s="368" t="str">
        <f>IFERROR(VLOOKUP(B424,'[1]סיכום בקרת רשויות'!$A:$D,4,0),"")</f>
        <v/>
      </c>
      <c r="AF424" s="57" t="str">
        <f t="shared" si="133"/>
        <v/>
      </c>
      <c r="AG424" s="180">
        <f>IF(AF424="כן",M424*'גנים ובתי ספר- מבנה תקציב'!$H$59,0)</f>
        <v>0</v>
      </c>
      <c r="AH424" s="180">
        <f>IF(AF424="כן",M424*'גנים ובתי ספר- מבנה תקציב'!$I$59,0)</f>
        <v>0</v>
      </c>
      <c r="AI424" s="180">
        <f t="shared" si="134"/>
        <v>0</v>
      </c>
      <c r="AJ424" s="368" t="str">
        <f t="shared" si="122"/>
        <v/>
      </c>
    </row>
    <row r="425" spans="1:36" x14ac:dyDescent="0.25">
      <c r="A425" s="57">
        <v>405</v>
      </c>
      <c r="B425" s="690"/>
      <c r="C425" s="690"/>
      <c r="D425" s="252">
        <f>(IFERROR(SUMIF('מצבת והרשמה (2)'!$F$21:$F$501,'דוח ביצוע (3)'!$B425,'מצבת והרשמה (2)'!$J$21:$J$501),0))</f>
        <v>0</v>
      </c>
      <c r="E425" s="252">
        <f>IFERROR(SUMIF('מצבת והרשמה (2)'!$F$21:$F$501,'דוח ביצוע (3)'!$B425,'מצבת והרשמה (2)'!$K$21:$K$501),0)</f>
        <v>0</v>
      </c>
      <c r="F425" s="253">
        <f t="shared" si="123"/>
        <v>0</v>
      </c>
      <c r="G425" s="680"/>
      <c r="H425" s="680"/>
      <c r="I425" s="253">
        <f t="shared" si="116"/>
        <v>0</v>
      </c>
      <c r="J425" s="453">
        <f t="shared" si="124"/>
        <v>0</v>
      </c>
      <c r="K425" s="689"/>
      <c r="L425" s="689"/>
      <c r="M425" s="969">
        <f t="shared" si="125"/>
        <v>0</v>
      </c>
      <c r="N425" s="1029" t="str">
        <f t="shared" si="126"/>
        <v/>
      </c>
      <c r="O425" s="969" t="str">
        <f>IFERROR(VLOOKUP(B425,'נתוני רישום ומצבת'!B:Q,16,0),"")</f>
        <v/>
      </c>
      <c r="P425" s="969" t="str">
        <f>IFERROR(VLOOKUP(B425,'נתוני רישום ומצבת'!B:R,17,0),"")</f>
        <v/>
      </c>
      <c r="Q425" s="690"/>
      <c r="R425" s="1009"/>
      <c r="S425" s="376">
        <f t="shared" si="127"/>
        <v>0</v>
      </c>
      <c r="T425" s="376">
        <f t="shared" si="128"/>
        <v>0</v>
      </c>
      <c r="U425" s="386">
        <f t="shared" si="129"/>
        <v>0</v>
      </c>
      <c r="V425" s="513" t="str">
        <f t="shared" si="130"/>
        <v/>
      </c>
      <c r="W425" s="254" t="str">
        <f>IF(ISBLANK(B425)," ",IF(B425=IFERROR(VLOOKUP(B425,'מצבת והרשמה (2)'!F:F,1,0),0),"תקין","לא קיים במצבת כבית ספר בו מתקיימת פעילות"))</f>
        <v xml:space="preserve"> </v>
      </c>
      <c r="X425" s="256" t="str">
        <f t="shared" si="117"/>
        <v/>
      </c>
      <c r="Y425" s="256" t="str">
        <f t="shared" si="118"/>
        <v/>
      </c>
      <c r="Z425" s="741">
        <f t="shared" si="119"/>
        <v>0</v>
      </c>
      <c r="AA425" s="741">
        <f t="shared" si="120"/>
        <v>0</v>
      </c>
      <c r="AB425" s="741">
        <f t="shared" si="121"/>
        <v>0</v>
      </c>
      <c r="AC425" s="987">
        <f t="shared" si="131"/>
        <v>0</v>
      </c>
      <c r="AD425" s="987">
        <f t="shared" si="132"/>
        <v>0</v>
      </c>
      <c r="AE425" s="368" t="str">
        <f>IFERROR(VLOOKUP(B425,'[1]סיכום בקרת רשויות'!$A:$D,4,0),"")</f>
        <v/>
      </c>
      <c r="AF425" s="57" t="str">
        <f t="shared" si="133"/>
        <v/>
      </c>
      <c r="AG425" s="180">
        <f>IF(AF425="כן",M425*'גנים ובתי ספר- מבנה תקציב'!$H$59,0)</f>
        <v>0</v>
      </c>
      <c r="AH425" s="180">
        <f>IF(AF425="כן",M425*'גנים ובתי ספר- מבנה תקציב'!$I$59,0)</f>
        <v>0</v>
      </c>
      <c r="AI425" s="180">
        <f t="shared" si="134"/>
        <v>0</v>
      </c>
      <c r="AJ425" s="368" t="str">
        <f t="shared" si="122"/>
        <v/>
      </c>
    </row>
    <row r="426" spans="1:36" x14ac:dyDescent="0.25">
      <c r="A426" s="57">
        <v>406</v>
      </c>
      <c r="B426" s="690"/>
      <c r="C426" s="690"/>
      <c r="D426" s="252">
        <f>(IFERROR(SUMIF('מצבת והרשמה (2)'!$F$21:$F$501,'דוח ביצוע (3)'!$B426,'מצבת והרשמה (2)'!$J$21:$J$501),0))</f>
        <v>0</v>
      </c>
      <c r="E426" s="252">
        <f>IFERROR(SUMIF('מצבת והרשמה (2)'!$F$21:$F$501,'דוח ביצוע (3)'!$B426,'מצבת והרשמה (2)'!$K$21:$K$501),0)</f>
        <v>0</v>
      </c>
      <c r="F426" s="253">
        <f t="shared" si="123"/>
        <v>0</v>
      </c>
      <c r="G426" s="680"/>
      <c r="H426" s="680"/>
      <c r="I426" s="253">
        <f t="shared" si="116"/>
        <v>0</v>
      </c>
      <c r="J426" s="453">
        <f t="shared" si="124"/>
        <v>0</v>
      </c>
      <c r="K426" s="689"/>
      <c r="L426" s="689"/>
      <c r="M426" s="969">
        <f t="shared" si="125"/>
        <v>0</v>
      </c>
      <c r="N426" s="1029" t="str">
        <f t="shared" si="126"/>
        <v/>
      </c>
      <c r="O426" s="969" t="str">
        <f>IFERROR(VLOOKUP(B426,'נתוני רישום ומצבת'!B:Q,16,0),"")</f>
        <v/>
      </c>
      <c r="P426" s="969" t="str">
        <f>IFERROR(VLOOKUP(B426,'נתוני רישום ומצבת'!B:R,17,0),"")</f>
        <v/>
      </c>
      <c r="Q426" s="690"/>
      <c r="R426" s="1009"/>
      <c r="S426" s="376">
        <f t="shared" si="127"/>
        <v>0</v>
      </c>
      <c r="T426" s="376">
        <f t="shared" si="128"/>
        <v>0</v>
      </c>
      <c r="U426" s="386">
        <f t="shared" si="129"/>
        <v>0</v>
      </c>
      <c r="V426" s="513" t="str">
        <f t="shared" si="130"/>
        <v/>
      </c>
      <c r="W426" s="254" t="str">
        <f>IF(ISBLANK(B426)," ",IF(B426=IFERROR(VLOOKUP(B426,'מצבת והרשמה (2)'!F:F,1,0),0),"תקין","לא קיים במצבת כבית ספר בו מתקיימת פעילות"))</f>
        <v xml:space="preserve"> </v>
      </c>
      <c r="X426" s="256" t="str">
        <f t="shared" si="117"/>
        <v/>
      </c>
      <c r="Y426" s="256" t="str">
        <f t="shared" si="118"/>
        <v/>
      </c>
      <c r="Z426" s="741">
        <f t="shared" si="119"/>
        <v>0</v>
      </c>
      <c r="AA426" s="741">
        <f t="shared" si="120"/>
        <v>0</v>
      </c>
      <c r="AB426" s="741">
        <f t="shared" si="121"/>
        <v>0</v>
      </c>
      <c r="AC426" s="987">
        <f t="shared" si="131"/>
        <v>0</v>
      </c>
      <c r="AD426" s="987">
        <f t="shared" si="132"/>
        <v>0</v>
      </c>
      <c r="AE426" s="368" t="str">
        <f>IFERROR(VLOOKUP(B426,'[1]סיכום בקרת רשויות'!$A:$D,4,0),"")</f>
        <v/>
      </c>
      <c r="AF426" s="57" t="str">
        <f t="shared" si="133"/>
        <v/>
      </c>
      <c r="AG426" s="180">
        <f>IF(AF426="כן",M426*'גנים ובתי ספר- מבנה תקציב'!$H$59,0)</f>
        <v>0</v>
      </c>
      <c r="AH426" s="180">
        <f>IF(AF426="כן",M426*'גנים ובתי ספר- מבנה תקציב'!$I$59,0)</f>
        <v>0</v>
      </c>
      <c r="AI426" s="180">
        <f t="shared" si="134"/>
        <v>0</v>
      </c>
      <c r="AJ426" s="368" t="str">
        <f t="shared" si="122"/>
        <v/>
      </c>
    </row>
    <row r="427" spans="1:36" x14ac:dyDescent="0.25">
      <c r="A427" s="57">
        <v>407</v>
      </c>
      <c r="B427" s="690"/>
      <c r="C427" s="690"/>
      <c r="D427" s="252">
        <f>(IFERROR(SUMIF('מצבת והרשמה (2)'!$F$21:$F$501,'דוח ביצוע (3)'!$B427,'מצבת והרשמה (2)'!$J$21:$J$501),0))</f>
        <v>0</v>
      </c>
      <c r="E427" s="252">
        <f>IFERROR(SUMIF('מצבת והרשמה (2)'!$F$21:$F$501,'דוח ביצוע (3)'!$B427,'מצבת והרשמה (2)'!$K$21:$K$501),0)</f>
        <v>0</v>
      </c>
      <c r="F427" s="253">
        <f t="shared" si="123"/>
        <v>0</v>
      </c>
      <c r="G427" s="680"/>
      <c r="H427" s="680"/>
      <c r="I427" s="253">
        <f t="shared" si="116"/>
        <v>0</v>
      </c>
      <c r="J427" s="453">
        <f t="shared" si="124"/>
        <v>0</v>
      </c>
      <c r="K427" s="689"/>
      <c r="L427" s="689"/>
      <c r="M427" s="969">
        <f t="shared" si="125"/>
        <v>0</v>
      </c>
      <c r="N427" s="1029" t="str">
        <f t="shared" si="126"/>
        <v/>
      </c>
      <c r="O427" s="969" t="str">
        <f>IFERROR(VLOOKUP(B427,'נתוני רישום ומצבת'!B:Q,16,0),"")</f>
        <v/>
      </c>
      <c r="P427" s="969" t="str">
        <f>IFERROR(VLOOKUP(B427,'נתוני רישום ומצבת'!B:R,17,0),"")</f>
        <v/>
      </c>
      <c r="Q427" s="690"/>
      <c r="R427" s="1009"/>
      <c r="S427" s="376">
        <f t="shared" si="127"/>
        <v>0</v>
      </c>
      <c r="T427" s="376">
        <f t="shared" si="128"/>
        <v>0</v>
      </c>
      <c r="U427" s="386">
        <f t="shared" si="129"/>
        <v>0</v>
      </c>
      <c r="V427" s="513" t="str">
        <f t="shared" si="130"/>
        <v/>
      </c>
      <c r="W427" s="254" t="str">
        <f>IF(ISBLANK(B427)," ",IF(B427=IFERROR(VLOOKUP(B427,'מצבת והרשמה (2)'!F:F,1,0),0),"תקין","לא קיים במצבת כבית ספר בו מתקיימת פעילות"))</f>
        <v xml:space="preserve"> </v>
      </c>
      <c r="X427" s="256" t="str">
        <f t="shared" si="117"/>
        <v/>
      </c>
      <c r="Y427" s="256" t="str">
        <f t="shared" si="118"/>
        <v/>
      </c>
      <c r="Z427" s="741">
        <f t="shared" si="119"/>
        <v>0</v>
      </c>
      <c r="AA427" s="741">
        <f t="shared" si="120"/>
        <v>0</v>
      </c>
      <c r="AB427" s="741">
        <f t="shared" si="121"/>
        <v>0</v>
      </c>
      <c r="AC427" s="987">
        <f t="shared" si="131"/>
        <v>0</v>
      </c>
      <c r="AD427" s="987">
        <f t="shared" si="132"/>
        <v>0</v>
      </c>
      <c r="AE427" s="368" t="str">
        <f>IFERROR(VLOOKUP(B427,'[1]סיכום בקרת רשויות'!$A:$D,4,0),"")</f>
        <v/>
      </c>
      <c r="AF427" s="57" t="str">
        <f t="shared" si="133"/>
        <v/>
      </c>
      <c r="AG427" s="180">
        <f>IF(AF427="כן",M427*'גנים ובתי ספר- מבנה תקציב'!$H$59,0)</f>
        <v>0</v>
      </c>
      <c r="AH427" s="180">
        <f>IF(AF427="כן",M427*'גנים ובתי ספר- מבנה תקציב'!$I$59,0)</f>
        <v>0</v>
      </c>
      <c r="AI427" s="180">
        <f t="shared" si="134"/>
        <v>0</v>
      </c>
      <c r="AJ427" s="368" t="str">
        <f t="shared" si="122"/>
        <v/>
      </c>
    </row>
    <row r="428" spans="1:36" x14ac:dyDescent="0.25">
      <c r="A428" s="57">
        <v>408</v>
      </c>
      <c r="B428" s="690"/>
      <c r="C428" s="690"/>
      <c r="D428" s="252">
        <f>(IFERROR(SUMIF('מצבת והרשמה (2)'!$F$21:$F$501,'דוח ביצוע (3)'!$B428,'מצבת והרשמה (2)'!$J$21:$J$501),0))</f>
        <v>0</v>
      </c>
      <c r="E428" s="252">
        <f>IFERROR(SUMIF('מצבת והרשמה (2)'!$F$21:$F$501,'דוח ביצוע (3)'!$B428,'מצבת והרשמה (2)'!$K$21:$K$501),0)</f>
        <v>0</v>
      </c>
      <c r="F428" s="253">
        <f t="shared" si="123"/>
        <v>0</v>
      </c>
      <c r="G428" s="680"/>
      <c r="H428" s="680"/>
      <c r="I428" s="253">
        <f t="shared" si="116"/>
        <v>0</v>
      </c>
      <c r="J428" s="453">
        <f t="shared" si="124"/>
        <v>0</v>
      </c>
      <c r="K428" s="689"/>
      <c r="L428" s="689"/>
      <c r="M428" s="969">
        <f t="shared" si="125"/>
        <v>0</v>
      </c>
      <c r="N428" s="1029" t="str">
        <f t="shared" si="126"/>
        <v/>
      </c>
      <c r="O428" s="969" t="str">
        <f>IFERROR(VLOOKUP(B428,'נתוני רישום ומצבת'!B:Q,16,0),"")</f>
        <v/>
      </c>
      <c r="P428" s="969" t="str">
        <f>IFERROR(VLOOKUP(B428,'נתוני רישום ומצבת'!B:R,17,0),"")</f>
        <v/>
      </c>
      <c r="Q428" s="690"/>
      <c r="R428" s="1009"/>
      <c r="S428" s="376">
        <f t="shared" si="127"/>
        <v>0</v>
      </c>
      <c r="T428" s="376">
        <f t="shared" si="128"/>
        <v>0</v>
      </c>
      <c r="U428" s="386">
        <f t="shared" si="129"/>
        <v>0</v>
      </c>
      <c r="V428" s="513" t="str">
        <f t="shared" si="130"/>
        <v/>
      </c>
      <c r="W428" s="254" t="str">
        <f>IF(ISBLANK(B428)," ",IF(B428=IFERROR(VLOOKUP(B428,'מצבת והרשמה (2)'!F:F,1,0),0),"תקין","לא קיים במצבת כבית ספר בו מתקיימת פעילות"))</f>
        <v xml:space="preserve"> </v>
      </c>
      <c r="X428" s="256" t="str">
        <f t="shared" si="117"/>
        <v/>
      </c>
      <c r="Y428" s="256" t="str">
        <f t="shared" si="118"/>
        <v/>
      </c>
      <c r="Z428" s="741">
        <f t="shared" si="119"/>
        <v>0</v>
      </c>
      <c r="AA428" s="741">
        <f t="shared" si="120"/>
        <v>0</v>
      </c>
      <c r="AB428" s="741">
        <f t="shared" si="121"/>
        <v>0</v>
      </c>
      <c r="AC428" s="987">
        <f t="shared" si="131"/>
        <v>0</v>
      </c>
      <c r="AD428" s="987">
        <f t="shared" si="132"/>
        <v>0</v>
      </c>
      <c r="AE428" s="368" t="str">
        <f>IFERROR(VLOOKUP(B428,'[1]סיכום בקרת רשויות'!$A:$D,4,0),"")</f>
        <v/>
      </c>
      <c r="AF428" s="57" t="str">
        <f t="shared" si="133"/>
        <v/>
      </c>
      <c r="AG428" s="180">
        <f>IF(AF428="כן",M428*'גנים ובתי ספר- מבנה תקציב'!$H$59,0)</f>
        <v>0</v>
      </c>
      <c r="AH428" s="180">
        <f>IF(AF428="כן",M428*'גנים ובתי ספר- מבנה תקציב'!$I$59,0)</f>
        <v>0</v>
      </c>
      <c r="AI428" s="180">
        <f t="shared" si="134"/>
        <v>0</v>
      </c>
      <c r="AJ428" s="368" t="str">
        <f t="shared" si="122"/>
        <v/>
      </c>
    </row>
    <row r="429" spans="1:36" x14ac:dyDescent="0.25">
      <c r="A429" s="57">
        <v>409</v>
      </c>
      <c r="B429" s="690"/>
      <c r="C429" s="690"/>
      <c r="D429" s="252">
        <f>(IFERROR(SUMIF('מצבת והרשמה (2)'!$F$21:$F$501,'דוח ביצוע (3)'!$B429,'מצבת והרשמה (2)'!$J$21:$J$501),0))</f>
        <v>0</v>
      </c>
      <c r="E429" s="252">
        <f>IFERROR(SUMIF('מצבת והרשמה (2)'!$F$21:$F$501,'דוח ביצוע (3)'!$B429,'מצבת והרשמה (2)'!$K$21:$K$501),0)</f>
        <v>0</v>
      </c>
      <c r="F429" s="253">
        <f t="shared" si="123"/>
        <v>0</v>
      </c>
      <c r="G429" s="680"/>
      <c r="H429" s="680"/>
      <c r="I429" s="253">
        <f t="shared" si="116"/>
        <v>0</v>
      </c>
      <c r="J429" s="453">
        <f t="shared" si="124"/>
        <v>0</v>
      </c>
      <c r="K429" s="689"/>
      <c r="L429" s="689"/>
      <c r="M429" s="969">
        <f t="shared" si="125"/>
        <v>0</v>
      </c>
      <c r="N429" s="1029" t="str">
        <f t="shared" si="126"/>
        <v/>
      </c>
      <c r="O429" s="969" t="str">
        <f>IFERROR(VLOOKUP(B429,'נתוני רישום ומצבת'!B:Q,16,0),"")</f>
        <v/>
      </c>
      <c r="P429" s="969" t="str">
        <f>IFERROR(VLOOKUP(B429,'נתוני רישום ומצבת'!B:R,17,0),"")</f>
        <v/>
      </c>
      <c r="Q429" s="690"/>
      <c r="R429" s="1009"/>
      <c r="S429" s="376">
        <f t="shared" si="127"/>
        <v>0</v>
      </c>
      <c r="T429" s="376">
        <f t="shared" si="128"/>
        <v>0</v>
      </c>
      <c r="U429" s="386">
        <f t="shared" si="129"/>
        <v>0</v>
      </c>
      <c r="V429" s="513" t="str">
        <f t="shared" si="130"/>
        <v/>
      </c>
      <c r="W429" s="254" t="str">
        <f>IF(ISBLANK(B429)," ",IF(B429=IFERROR(VLOOKUP(B429,'מצבת והרשמה (2)'!F:F,1,0),0),"תקין","לא קיים במצבת כבית ספר בו מתקיימת פעילות"))</f>
        <v xml:space="preserve"> </v>
      </c>
      <c r="X429" s="256" t="str">
        <f t="shared" si="117"/>
        <v/>
      </c>
      <c r="Y429" s="256" t="str">
        <f t="shared" si="118"/>
        <v/>
      </c>
      <c r="Z429" s="741">
        <f t="shared" si="119"/>
        <v>0</v>
      </c>
      <c r="AA429" s="741">
        <f t="shared" si="120"/>
        <v>0</v>
      </c>
      <c r="AB429" s="741">
        <f t="shared" si="121"/>
        <v>0</v>
      </c>
      <c r="AC429" s="987">
        <f t="shared" si="131"/>
        <v>0</v>
      </c>
      <c r="AD429" s="987">
        <f t="shared" si="132"/>
        <v>0</v>
      </c>
      <c r="AE429" s="368" t="str">
        <f>IFERROR(VLOOKUP(B429,'[1]סיכום בקרת רשויות'!$A:$D,4,0),"")</f>
        <v/>
      </c>
      <c r="AF429" s="57" t="str">
        <f t="shared" si="133"/>
        <v/>
      </c>
      <c r="AG429" s="180">
        <f>IF(AF429="כן",M429*'גנים ובתי ספר- מבנה תקציב'!$H$59,0)</f>
        <v>0</v>
      </c>
      <c r="AH429" s="180">
        <f>IF(AF429="כן",M429*'גנים ובתי ספר- מבנה תקציב'!$I$59,0)</f>
        <v>0</v>
      </c>
      <c r="AI429" s="180">
        <f t="shared" si="134"/>
        <v>0</v>
      </c>
      <c r="AJ429" s="368" t="str">
        <f t="shared" si="122"/>
        <v/>
      </c>
    </row>
    <row r="430" spans="1:36" x14ac:dyDescent="0.25">
      <c r="A430" s="57">
        <v>410</v>
      </c>
      <c r="B430" s="690"/>
      <c r="C430" s="690"/>
      <c r="D430" s="252">
        <f>(IFERROR(SUMIF('מצבת והרשמה (2)'!$F$21:$F$501,'דוח ביצוע (3)'!$B430,'מצבת והרשמה (2)'!$J$21:$J$501),0))</f>
        <v>0</v>
      </c>
      <c r="E430" s="252">
        <f>IFERROR(SUMIF('מצבת והרשמה (2)'!$F$21:$F$501,'דוח ביצוע (3)'!$B430,'מצבת והרשמה (2)'!$K$21:$K$501),0)</f>
        <v>0</v>
      </c>
      <c r="F430" s="253">
        <f t="shared" si="123"/>
        <v>0</v>
      </c>
      <c r="G430" s="680"/>
      <c r="H430" s="680"/>
      <c r="I430" s="253">
        <f t="shared" si="116"/>
        <v>0</v>
      </c>
      <c r="J430" s="453">
        <f t="shared" si="124"/>
        <v>0</v>
      </c>
      <c r="K430" s="689"/>
      <c r="L430" s="689"/>
      <c r="M430" s="969">
        <f t="shared" si="125"/>
        <v>0</v>
      </c>
      <c r="N430" s="1029" t="str">
        <f t="shared" si="126"/>
        <v/>
      </c>
      <c r="O430" s="969" t="str">
        <f>IFERROR(VLOOKUP(B430,'נתוני רישום ומצבת'!B:Q,16,0),"")</f>
        <v/>
      </c>
      <c r="P430" s="969" t="str">
        <f>IFERROR(VLOOKUP(B430,'נתוני רישום ומצבת'!B:R,17,0),"")</f>
        <v/>
      </c>
      <c r="Q430" s="690"/>
      <c r="R430" s="1009"/>
      <c r="S430" s="376">
        <f t="shared" si="127"/>
        <v>0</v>
      </c>
      <c r="T430" s="376">
        <f t="shared" si="128"/>
        <v>0</v>
      </c>
      <c r="U430" s="386">
        <f t="shared" si="129"/>
        <v>0</v>
      </c>
      <c r="V430" s="513" t="str">
        <f t="shared" si="130"/>
        <v/>
      </c>
      <c r="W430" s="254" t="str">
        <f>IF(ISBLANK(B430)," ",IF(B430=IFERROR(VLOOKUP(B430,'מצבת והרשמה (2)'!F:F,1,0),0),"תקין","לא קיים במצבת כבית ספר בו מתקיימת פעילות"))</f>
        <v xml:space="preserve"> </v>
      </c>
      <c r="X430" s="256" t="str">
        <f t="shared" si="117"/>
        <v/>
      </c>
      <c r="Y430" s="256" t="str">
        <f t="shared" si="118"/>
        <v/>
      </c>
      <c r="Z430" s="741">
        <f t="shared" si="119"/>
        <v>0</v>
      </c>
      <c r="AA430" s="741">
        <f t="shared" si="120"/>
        <v>0</v>
      </c>
      <c r="AB430" s="741">
        <f t="shared" si="121"/>
        <v>0</v>
      </c>
      <c r="AC430" s="987">
        <f t="shared" si="131"/>
        <v>0</v>
      </c>
      <c r="AD430" s="987">
        <f t="shared" si="132"/>
        <v>0</v>
      </c>
      <c r="AE430" s="368" t="str">
        <f>IFERROR(VLOOKUP(B430,'[1]סיכום בקרת רשויות'!$A:$D,4,0),"")</f>
        <v/>
      </c>
      <c r="AF430" s="57" t="str">
        <f t="shared" si="133"/>
        <v/>
      </c>
      <c r="AG430" s="180">
        <f>IF(AF430="כן",M430*'גנים ובתי ספר- מבנה תקציב'!$H$59,0)</f>
        <v>0</v>
      </c>
      <c r="AH430" s="180">
        <f>IF(AF430="כן",M430*'גנים ובתי ספר- מבנה תקציב'!$I$59,0)</f>
        <v>0</v>
      </c>
      <c r="AI430" s="180">
        <f t="shared" si="134"/>
        <v>0</v>
      </c>
      <c r="AJ430" s="368" t="str">
        <f t="shared" si="122"/>
        <v/>
      </c>
    </row>
    <row r="431" spans="1:36" x14ac:dyDescent="0.25">
      <c r="A431" s="57">
        <v>411</v>
      </c>
      <c r="B431" s="690"/>
      <c r="C431" s="690"/>
      <c r="D431" s="252">
        <f>(IFERROR(SUMIF('מצבת והרשמה (2)'!$F$21:$F$501,'דוח ביצוע (3)'!$B431,'מצבת והרשמה (2)'!$J$21:$J$501),0))</f>
        <v>0</v>
      </c>
      <c r="E431" s="252">
        <f>IFERROR(SUMIF('מצבת והרשמה (2)'!$F$21:$F$501,'דוח ביצוע (3)'!$B431,'מצבת והרשמה (2)'!$K$21:$K$501),0)</f>
        <v>0</v>
      </c>
      <c r="F431" s="253">
        <f t="shared" si="123"/>
        <v>0</v>
      </c>
      <c r="G431" s="680"/>
      <c r="H431" s="680"/>
      <c r="I431" s="253">
        <f t="shared" si="116"/>
        <v>0</v>
      </c>
      <c r="J431" s="453">
        <f t="shared" si="124"/>
        <v>0</v>
      </c>
      <c r="K431" s="689"/>
      <c r="L431" s="689"/>
      <c r="M431" s="969">
        <f t="shared" si="125"/>
        <v>0</v>
      </c>
      <c r="N431" s="1029" t="str">
        <f t="shared" si="126"/>
        <v/>
      </c>
      <c r="O431" s="969" t="str">
        <f>IFERROR(VLOOKUP(B431,'נתוני רישום ומצבת'!B:Q,16,0),"")</f>
        <v/>
      </c>
      <c r="P431" s="969" t="str">
        <f>IFERROR(VLOOKUP(B431,'נתוני רישום ומצבת'!B:R,17,0),"")</f>
        <v/>
      </c>
      <c r="Q431" s="690"/>
      <c r="R431" s="1009"/>
      <c r="S431" s="376">
        <f t="shared" si="127"/>
        <v>0</v>
      </c>
      <c r="T431" s="376">
        <f t="shared" si="128"/>
        <v>0</v>
      </c>
      <c r="U431" s="386">
        <f t="shared" si="129"/>
        <v>0</v>
      </c>
      <c r="V431" s="513" t="str">
        <f t="shared" si="130"/>
        <v/>
      </c>
      <c r="W431" s="254" t="str">
        <f>IF(ISBLANK(B431)," ",IF(B431=IFERROR(VLOOKUP(B431,'מצבת והרשמה (2)'!F:F,1,0),0),"תקין","לא קיים במצבת כבית ספר בו מתקיימת פעילות"))</f>
        <v xml:space="preserve"> </v>
      </c>
      <c r="X431" s="256" t="str">
        <f t="shared" si="117"/>
        <v/>
      </c>
      <c r="Y431" s="256" t="str">
        <f t="shared" si="118"/>
        <v/>
      </c>
      <c r="Z431" s="741">
        <f t="shared" si="119"/>
        <v>0</v>
      </c>
      <c r="AA431" s="741">
        <f t="shared" si="120"/>
        <v>0</v>
      </c>
      <c r="AB431" s="741">
        <f t="shared" si="121"/>
        <v>0</v>
      </c>
      <c r="AC431" s="987">
        <f t="shared" si="131"/>
        <v>0</v>
      </c>
      <c r="AD431" s="987">
        <f t="shared" si="132"/>
        <v>0</v>
      </c>
      <c r="AE431" s="368" t="str">
        <f>IFERROR(VLOOKUP(B431,'[1]סיכום בקרת רשויות'!$A:$D,4,0),"")</f>
        <v/>
      </c>
      <c r="AF431" s="57" t="str">
        <f t="shared" si="133"/>
        <v/>
      </c>
      <c r="AG431" s="180">
        <f>IF(AF431="כן",M431*'גנים ובתי ספר- מבנה תקציב'!$H$59,0)</f>
        <v>0</v>
      </c>
      <c r="AH431" s="180">
        <f>IF(AF431="כן",M431*'גנים ובתי ספר- מבנה תקציב'!$I$59,0)</f>
        <v>0</v>
      </c>
      <c r="AI431" s="180">
        <f t="shared" si="134"/>
        <v>0</v>
      </c>
      <c r="AJ431" s="368" t="str">
        <f t="shared" si="122"/>
        <v/>
      </c>
    </row>
    <row r="432" spans="1:36" x14ac:dyDescent="0.25">
      <c r="A432" s="57">
        <v>412</v>
      </c>
      <c r="B432" s="690"/>
      <c r="C432" s="690"/>
      <c r="D432" s="252">
        <f>(IFERROR(SUMIF('מצבת והרשמה (2)'!$F$21:$F$501,'דוח ביצוע (3)'!$B432,'מצבת והרשמה (2)'!$J$21:$J$501),0))</f>
        <v>0</v>
      </c>
      <c r="E432" s="252">
        <f>IFERROR(SUMIF('מצבת והרשמה (2)'!$F$21:$F$501,'דוח ביצוע (3)'!$B432,'מצבת והרשמה (2)'!$K$21:$K$501),0)</f>
        <v>0</v>
      </c>
      <c r="F432" s="253">
        <f t="shared" si="123"/>
        <v>0</v>
      </c>
      <c r="G432" s="680"/>
      <c r="H432" s="680"/>
      <c r="I432" s="253">
        <f t="shared" si="116"/>
        <v>0</v>
      </c>
      <c r="J432" s="453">
        <f t="shared" si="124"/>
        <v>0</v>
      </c>
      <c r="K432" s="689"/>
      <c r="L432" s="689"/>
      <c r="M432" s="969">
        <f t="shared" si="125"/>
        <v>0</v>
      </c>
      <c r="N432" s="1029" t="str">
        <f t="shared" si="126"/>
        <v/>
      </c>
      <c r="O432" s="969" t="str">
        <f>IFERROR(VLOOKUP(B432,'נתוני רישום ומצבת'!B:Q,16,0),"")</f>
        <v/>
      </c>
      <c r="P432" s="969" t="str">
        <f>IFERROR(VLOOKUP(B432,'נתוני רישום ומצבת'!B:R,17,0),"")</f>
        <v/>
      </c>
      <c r="Q432" s="690"/>
      <c r="R432" s="1009"/>
      <c r="S432" s="376">
        <f t="shared" si="127"/>
        <v>0</v>
      </c>
      <c r="T432" s="376">
        <f t="shared" si="128"/>
        <v>0</v>
      </c>
      <c r="U432" s="386">
        <f t="shared" si="129"/>
        <v>0</v>
      </c>
      <c r="V432" s="513" t="str">
        <f t="shared" si="130"/>
        <v/>
      </c>
      <c r="W432" s="254" t="str">
        <f>IF(ISBLANK(B432)," ",IF(B432=IFERROR(VLOOKUP(B432,'מצבת והרשמה (2)'!F:F,1,0),0),"תקין","לא קיים במצבת כבית ספר בו מתקיימת פעילות"))</f>
        <v xml:space="preserve"> </v>
      </c>
      <c r="X432" s="256" t="str">
        <f t="shared" si="117"/>
        <v/>
      </c>
      <c r="Y432" s="256" t="str">
        <f t="shared" si="118"/>
        <v/>
      </c>
      <c r="Z432" s="741">
        <f t="shared" si="119"/>
        <v>0</v>
      </c>
      <c r="AA432" s="741">
        <f t="shared" si="120"/>
        <v>0</v>
      </c>
      <c r="AB432" s="741">
        <f t="shared" si="121"/>
        <v>0</v>
      </c>
      <c r="AC432" s="987">
        <f t="shared" si="131"/>
        <v>0</v>
      </c>
      <c r="AD432" s="987">
        <f t="shared" si="132"/>
        <v>0</v>
      </c>
      <c r="AE432" s="368" t="str">
        <f>IFERROR(VLOOKUP(B432,'[1]סיכום בקרת רשויות'!$A:$D,4,0),"")</f>
        <v/>
      </c>
      <c r="AF432" s="57" t="str">
        <f t="shared" si="133"/>
        <v/>
      </c>
      <c r="AG432" s="180">
        <f>IF(AF432="כן",M432*'גנים ובתי ספר- מבנה תקציב'!$H$59,0)</f>
        <v>0</v>
      </c>
      <c r="AH432" s="180">
        <f>IF(AF432="כן",M432*'גנים ובתי ספר- מבנה תקציב'!$I$59,0)</f>
        <v>0</v>
      </c>
      <c r="AI432" s="180">
        <f t="shared" si="134"/>
        <v>0</v>
      </c>
      <c r="AJ432" s="368" t="str">
        <f t="shared" si="122"/>
        <v/>
      </c>
    </row>
    <row r="433" spans="1:36" x14ac:dyDescent="0.25">
      <c r="A433" s="57">
        <v>413</v>
      </c>
      <c r="B433" s="690"/>
      <c r="C433" s="690"/>
      <c r="D433" s="252">
        <f>(IFERROR(SUMIF('מצבת והרשמה (2)'!$F$21:$F$501,'דוח ביצוע (3)'!$B433,'מצבת והרשמה (2)'!$J$21:$J$501),0))</f>
        <v>0</v>
      </c>
      <c r="E433" s="252">
        <f>IFERROR(SUMIF('מצבת והרשמה (2)'!$F$21:$F$501,'דוח ביצוע (3)'!$B433,'מצבת והרשמה (2)'!$K$21:$K$501),0)</f>
        <v>0</v>
      </c>
      <c r="F433" s="253">
        <f t="shared" si="123"/>
        <v>0</v>
      </c>
      <c r="G433" s="680"/>
      <c r="H433" s="680"/>
      <c r="I433" s="253">
        <f t="shared" si="116"/>
        <v>0</v>
      </c>
      <c r="J433" s="453">
        <f t="shared" si="124"/>
        <v>0</v>
      </c>
      <c r="K433" s="689"/>
      <c r="L433" s="689"/>
      <c r="M433" s="969">
        <f t="shared" si="125"/>
        <v>0</v>
      </c>
      <c r="N433" s="1029" t="str">
        <f t="shared" si="126"/>
        <v/>
      </c>
      <c r="O433" s="969" t="str">
        <f>IFERROR(VLOOKUP(B433,'נתוני רישום ומצבת'!B:Q,16,0),"")</f>
        <v/>
      </c>
      <c r="P433" s="969" t="str">
        <f>IFERROR(VLOOKUP(B433,'נתוני רישום ומצבת'!B:R,17,0),"")</f>
        <v/>
      </c>
      <c r="Q433" s="690"/>
      <c r="R433" s="1009"/>
      <c r="S433" s="376">
        <f t="shared" si="127"/>
        <v>0</v>
      </c>
      <c r="T433" s="376">
        <f t="shared" si="128"/>
        <v>0</v>
      </c>
      <c r="U433" s="386">
        <f t="shared" si="129"/>
        <v>0</v>
      </c>
      <c r="V433" s="513" t="str">
        <f t="shared" si="130"/>
        <v/>
      </c>
      <c r="W433" s="254" t="str">
        <f>IF(ISBLANK(B433)," ",IF(B433=IFERROR(VLOOKUP(B433,'מצבת והרשמה (2)'!F:F,1,0),0),"תקין","לא קיים במצבת כבית ספר בו מתקיימת פעילות"))</f>
        <v xml:space="preserve"> </v>
      </c>
      <c r="X433" s="256" t="str">
        <f t="shared" si="117"/>
        <v/>
      </c>
      <c r="Y433" s="256" t="str">
        <f t="shared" si="118"/>
        <v/>
      </c>
      <c r="Z433" s="741">
        <f t="shared" si="119"/>
        <v>0</v>
      </c>
      <c r="AA433" s="741">
        <f t="shared" si="120"/>
        <v>0</v>
      </c>
      <c r="AB433" s="741">
        <f t="shared" si="121"/>
        <v>0</v>
      </c>
      <c r="AC433" s="987">
        <f t="shared" si="131"/>
        <v>0</v>
      </c>
      <c r="AD433" s="987">
        <f t="shared" si="132"/>
        <v>0</v>
      </c>
      <c r="AE433" s="368" t="str">
        <f>IFERROR(VLOOKUP(B433,'[1]סיכום בקרת רשויות'!$A:$D,4,0),"")</f>
        <v/>
      </c>
      <c r="AF433" s="57" t="str">
        <f t="shared" si="133"/>
        <v/>
      </c>
      <c r="AG433" s="180">
        <f>IF(AF433="כן",M433*'גנים ובתי ספר- מבנה תקציב'!$H$59,0)</f>
        <v>0</v>
      </c>
      <c r="AH433" s="180">
        <f>IF(AF433="כן",M433*'גנים ובתי ספר- מבנה תקציב'!$I$59,0)</f>
        <v>0</v>
      </c>
      <c r="AI433" s="180">
        <f t="shared" si="134"/>
        <v>0</v>
      </c>
      <c r="AJ433" s="368" t="str">
        <f t="shared" si="122"/>
        <v/>
      </c>
    </row>
    <row r="434" spans="1:36" x14ac:dyDescent="0.25">
      <c r="A434" s="57">
        <v>414</v>
      </c>
      <c r="B434" s="690"/>
      <c r="C434" s="690"/>
      <c r="D434" s="252">
        <f>(IFERROR(SUMIF('מצבת והרשמה (2)'!$F$21:$F$501,'דוח ביצוע (3)'!$B434,'מצבת והרשמה (2)'!$J$21:$J$501),0))</f>
        <v>0</v>
      </c>
      <c r="E434" s="252">
        <f>IFERROR(SUMIF('מצבת והרשמה (2)'!$F$21:$F$501,'דוח ביצוע (3)'!$B434,'מצבת והרשמה (2)'!$K$21:$K$501),0)</f>
        <v>0</v>
      </c>
      <c r="F434" s="253">
        <f t="shared" si="123"/>
        <v>0</v>
      </c>
      <c r="G434" s="680"/>
      <c r="H434" s="680"/>
      <c r="I434" s="253">
        <f t="shared" si="116"/>
        <v>0</v>
      </c>
      <c r="J434" s="453">
        <f t="shared" si="124"/>
        <v>0</v>
      </c>
      <c r="K434" s="689"/>
      <c r="L434" s="689"/>
      <c r="M434" s="969">
        <f t="shared" si="125"/>
        <v>0</v>
      </c>
      <c r="N434" s="1029" t="str">
        <f t="shared" si="126"/>
        <v/>
      </c>
      <c r="O434" s="969" t="str">
        <f>IFERROR(VLOOKUP(B434,'נתוני רישום ומצבת'!B:Q,16,0),"")</f>
        <v/>
      </c>
      <c r="P434" s="969" t="str">
        <f>IFERROR(VLOOKUP(B434,'נתוני רישום ומצבת'!B:R,17,0),"")</f>
        <v/>
      </c>
      <c r="Q434" s="690"/>
      <c r="R434" s="1009"/>
      <c r="S434" s="376">
        <f t="shared" si="127"/>
        <v>0</v>
      </c>
      <c r="T434" s="376">
        <f t="shared" si="128"/>
        <v>0</v>
      </c>
      <c r="U434" s="386">
        <f t="shared" si="129"/>
        <v>0</v>
      </c>
      <c r="V434" s="513" t="str">
        <f t="shared" si="130"/>
        <v/>
      </c>
      <c r="W434" s="254" t="str">
        <f>IF(ISBLANK(B434)," ",IF(B434=IFERROR(VLOOKUP(B434,'מצבת והרשמה (2)'!F:F,1,0),0),"תקין","לא קיים במצבת כבית ספר בו מתקיימת פעילות"))</f>
        <v xml:space="preserve"> </v>
      </c>
      <c r="X434" s="256" t="str">
        <f t="shared" si="117"/>
        <v/>
      </c>
      <c r="Y434" s="256" t="str">
        <f t="shared" si="118"/>
        <v/>
      </c>
      <c r="Z434" s="741">
        <f t="shared" si="119"/>
        <v>0</v>
      </c>
      <c r="AA434" s="741">
        <f t="shared" si="120"/>
        <v>0</v>
      </c>
      <c r="AB434" s="741">
        <f t="shared" si="121"/>
        <v>0</v>
      </c>
      <c r="AC434" s="987">
        <f t="shared" si="131"/>
        <v>0</v>
      </c>
      <c r="AD434" s="987">
        <f t="shared" si="132"/>
        <v>0</v>
      </c>
      <c r="AE434" s="368" t="str">
        <f>IFERROR(VLOOKUP(B434,'[1]סיכום בקרת רשויות'!$A:$D,4,0),"")</f>
        <v/>
      </c>
      <c r="AF434" s="57" t="str">
        <f t="shared" si="133"/>
        <v/>
      </c>
      <c r="AG434" s="180">
        <f>IF(AF434="כן",M434*'גנים ובתי ספר- מבנה תקציב'!$H$59,0)</f>
        <v>0</v>
      </c>
      <c r="AH434" s="180">
        <f>IF(AF434="כן",M434*'גנים ובתי ספר- מבנה תקציב'!$I$59,0)</f>
        <v>0</v>
      </c>
      <c r="AI434" s="180">
        <f t="shared" si="134"/>
        <v>0</v>
      </c>
      <c r="AJ434" s="368" t="str">
        <f t="shared" si="122"/>
        <v/>
      </c>
    </row>
    <row r="435" spans="1:36" x14ac:dyDescent="0.25">
      <c r="A435" s="57">
        <v>415</v>
      </c>
      <c r="B435" s="690"/>
      <c r="C435" s="690"/>
      <c r="D435" s="252">
        <f>(IFERROR(SUMIF('מצבת והרשמה (2)'!$F$21:$F$501,'דוח ביצוע (3)'!$B435,'מצבת והרשמה (2)'!$J$21:$J$501),0))</f>
        <v>0</v>
      </c>
      <c r="E435" s="252">
        <f>IFERROR(SUMIF('מצבת והרשמה (2)'!$F$21:$F$501,'דוח ביצוע (3)'!$B435,'מצבת והרשמה (2)'!$K$21:$K$501),0)</f>
        <v>0</v>
      </c>
      <c r="F435" s="253">
        <f t="shared" si="123"/>
        <v>0</v>
      </c>
      <c r="G435" s="680"/>
      <c r="H435" s="680"/>
      <c r="I435" s="253">
        <f t="shared" si="116"/>
        <v>0</v>
      </c>
      <c r="J435" s="453">
        <f t="shared" si="124"/>
        <v>0</v>
      </c>
      <c r="K435" s="689"/>
      <c r="L435" s="689"/>
      <c r="M435" s="969">
        <f t="shared" si="125"/>
        <v>0</v>
      </c>
      <c r="N435" s="1029" t="str">
        <f t="shared" si="126"/>
        <v/>
      </c>
      <c r="O435" s="969" t="str">
        <f>IFERROR(VLOOKUP(B435,'נתוני רישום ומצבת'!B:Q,16,0),"")</f>
        <v/>
      </c>
      <c r="P435" s="969" t="str">
        <f>IFERROR(VLOOKUP(B435,'נתוני רישום ומצבת'!B:R,17,0),"")</f>
        <v/>
      </c>
      <c r="Q435" s="690"/>
      <c r="R435" s="1009"/>
      <c r="S435" s="376">
        <f t="shared" si="127"/>
        <v>0</v>
      </c>
      <c r="T435" s="376">
        <f t="shared" si="128"/>
        <v>0</v>
      </c>
      <c r="U435" s="386">
        <f t="shared" si="129"/>
        <v>0</v>
      </c>
      <c r="V435" s="513" t="str">
        <f t="shared" si="130"/>
        <v/>
      </c>
      <c r="W435" s="254" t="str">
        <f>IF(ISBLANK(B435)," ",IF(B435=IFERROR(VLOOKUP(B435,'מצבת והרשמה (2)'!F:F,1,0),0),"תקין","לא קיים במצבת כבית ספר בו מתקיימת פעילות"))</f>
        <v xml:space="preserve"> </v>
      </c>
      <c r="X435" s="256" t="str">
        <f t="shared" si="117"/>
        <v/>
      </c>
      <c r="Y435" s="256" t="str">
        <f t="shared" si="118"/>
        <v/>
      </c>
      <c r="Z435" s="741">
        <f t="shared" si="119"/>
        <v>0</v>
      </c>
      <c r="AA435" s="741">
        <f t="shared" si="120"/>
        <v>0</v>
      </c>
      <c r="AB435" s="741">
        <f t="shared" si="121"/>
        <v>0</v>
      </c>
      <c r="AC435" s="987">
        <f t="shared" si="131"/>
        <v>0</v>
      </c>
      <c r="AD435" s="987">
        <f t="shared" si="132"/>
        <v>0</v>
      </c>
      <c r="AE435" s="368" t="str">
        <f>IFERROR(VLOOKUP(B435,'[1]סיכום בקרת רשויות'!$A:$D,4,0),"")</f>
        <v/>
      </c>
      <c r="AF435" s="57" t="str">
        <f t="shared" si="133"/>
        <v/>
      </c>
      <c r="AG435" s="180">
        <f>IF(AF435="כן",M435*'גנים ובתי ספר- מבנה תקציב'!$H$59,0)</f>
        <v>0</v>
      </c>
      <c r="AH435" s="180">
        <f>IF(AF435="כן",M435*'גנים ובתי ספר- מבנה תקציב'!$I$59,0)</f>
        <v>0</v>
      </c>
      <c r="AI435" s="180">
        <f t="shared" si="134"/>
        <v>0</v>
      </c>
      <c r="AJ435" s="368" t="str">
        <f t="shared" si="122"/>
        <v/>
      </c>
    </row>
    <row r="436" spans="1:36" x14ac:dyDescent="0.25">
      <c r="A436" s="57">
        <v>416</v>
      </c>
      <c r="B436" s="690"/>
      <c r="C436" s="690"/>
      <c r="D436" s="252">
        <f>(IFERROR(SUMIF('מצבת והרשמה (2)'!$F$21:$F$501,'דוח ביצוע (3)'!$B436,'מצבת והרשמה (2)'!$J$21:$J$501),0))</f>
        <v>0</v>
      </c>
      <c r="E436" s="252">
        <f>IFERROR(SUMIF('מצבת והרשמה (2)'!$F$21:$F$501,'דוח ביצוע (3)'!$B436,'מצבת והרשמה (2)'!$K$21:$K$501),0)</f>
        <v>0</v>
      </c>
      <c r="F436" s="253">
        <f t="shared" si="123"/>
        <v>0</v>
      </c>
      <c r="G436" s="680"/>
      <c r="H436" s="680"/>
      <c r="I436" s="253">
        <f t="shared" si="116"/>
        <v>0</v>
      </c>
      <c r="J436" s="453">
        <f t="shared" si="124"/>
        <v>0</v>
      </c>
      <c r="K436" s="689"/>
      <c r="L436" s="689"/>
      <c r="M436" s="969">
        <f t="shared" si="125"/>
        <v>0</v>
      </c>
      <c r="N436" s="1029" t="str">
        <f t="shared" si="126"/>
        <v/>
      </c>
      <c r="O436" s="969" t="str">
        <f>IFERROR(VLOOKUP(B436,'נתוני רישום ומצבת'!B:Q,16,0),"")</f>
        <v/>
      </c>
      <c r="P436" s="969" t="str">
        <f>IFERROR(VLOOKUP(B436,'נתוני רישום ומצבת'!B:R,17,0),"")</f>
        <v/>
      </c>
      <c r="Q436" s="690"/>
      <c r="R436" s="1009"/>
      <c r="S436" s="376">
        <f t="shared" si="127"/>
        <v>0</v>
      </c>
      <c r="T436" s="376">
        <f t="shared" si="128"/>
        <v>0</v>
      </c>
      <c r="U436" s="386">
        <f t="shared" si="129"/>
        <v>0</v>
      </c>
      <c r="V436" s="513" t="str">
        <f t="shared" si="130"/>
        <v/>
      </c>
      <c r="W436" s="254" t="str">
        <f>IF(ISBLANK(B436)," ",IF(B436=IFERROR(VLOOKUP(B436,'מצבת והרשמה (2)'!F:F,1,0),0),"תקין","לא קיים במצבת כבית ספר בו מתקיימת פעילות"))</f>
        <v xml:space="preserve"> </v>
      </c>
      <c r="X436" s="256" t="str">
        <f t="shared" si="117"/>
        <v/>
      </c>
      <c r="Y436" s="256" t="str">
        <f t="shared" si="118"/>
        <v/>
      </c>
      <c r="Z436" s="741">
        <f t="shared" si="119"/>
        <v>0</v>
      </c>
      <c r="AA436" s="741">
        <f t="shared" si="120"/>
        <v>0</v>
      </c>
      <c r="AB436" s="741">
        <f t="shared" si="121"/>
        <v>0</v>
      </c>
      <c r="AC436" s="987">
        <f t="shared" si="131"/>
        <v>0</v>
      </c>
      <c r="AD436" s="987">
        <f t="shared" si="132"/>
        <v>0</v>
      </c>
      <c r="AE436" s="368" t="str">
        <f>IFERROR(VLOOKUP(B436,'[1]סיכום בקרת רשויות'!$A:$D,4,0),"")</f>
        <v/>
      </c>
      <c r="AF436" s="57" t="str">
        <f t="shared" si="133"/>
        <v/>
      </c>
      <c r="AG436" s="180">
        <f>IF(AF436="כן",M436*'גנים ובתי ספר- מבנה תקציב'!$H$59,0)</f>
        <v>0</v>
      </c>
      <c r="AH436" s="180">
        <f>IF(AF436="כן",M436*'גנים ובתי ספר- מבנה תקציב'!$I$59,0)</f>
        <v>0</v>
      </c>
      <c r="AI436" s="180">
        <f t="shared" si="134"/>
        <v>0</v>
      </c>
      <c r="AJ436" s="368" t="str">
        <f t="shared" si="122"/>
        <v/>
      </c>
    </row>
    <row r="437" spans="1:36" x14ac:dyDescent="0.25">
      <c r="A437" s="57">
        <v>417</v>
      </c>
      <c r="B437" s="690"/>
      <c r="C437" s="690"/>
      <c r="D437" s="252">
        <f>(IFERROR(SUMIF('מצבת והרשמה (2)'!$F$21:$F$501,'דוח ביצוע (3)'!$B437,'מצבת והרשמה (2)'!$J$21:$J$501),0))</f>
        <v>0</v>
      </c>
      <c r="E437" s="252">
        <f>IFERROR(SUMIF('מצבת והרשמה (2)'!$F$21:$F$501,'דוח ביצוע (3)'!$B437,'מצבת והרשמה (2)'!$K$21:$K$501),0)</f>
        <v>0</v>
      </c>
      <c r="F437" s="253">
        <f t="shared" si="123"/>
        <v>0</v>
      </c>
      <c r="G437" s="680"/>
      <c r="H437" s="680"/>
      <c r="I437" s="253">
        <f t="shared" si="116"/>
        <v>0</v>
      </c>
      <c r="J437" s="453">
        <f t="shared" si="124"/>
        <v>0</v>
      </c>
      <c r="K437" s="689"/>
      <c r="L437" s="689"/>
      <c r="M437" s="969">
        <f t="shared" si="125"/>
        <v>0</v>
      </c>
      <c r="N437" s="1029" t="str">
        <f t="shared" si="126"/>
        <v/>
      </c>
      <c r="O437" s="969" t="str">
        <f>IFERROR(VLOOKUP(B437,'נתוני רישום ומצבת'!B:Q,16,0),"")</f>
        <v/>
      </c>
      <c r="P437" s="969" t="str">
        <f>IFERROR(VLOOKUP(B437,'נתוני רישום ומצבת'!B:R,17,0),"")</f>
        <v/>
      </c>
      <c r="Q437" s="690"/>
      <c r="R437" s="1009"/>
      <c r="S437" s="376">
        <f t="shared" si="127"/>
        <v>0</v>
      </c>
      <c r="T437" s="376">
        <f t="shared" si="128"/>
        <v>0</v>
      </c>
      <c r="U437" s="386">
        <f t="shared" si="129"/>
        <v>0</v>
      </c>
      <c r="V437" s="513" t="str">
        <f t="shared" si="130"/>
        <v/>
      </c>
      <c r="W437" s="254" t="str">
        <f>IF(ISBLANK(B437)," ",IF(B437=IFERROR(VLOOKUP(B437,'מצבת והרשמה (2)'!F:F,1,0),0),"תקין","לא קיים במצבת כבית ספר בו מתקיימת פעילות"))</f>
        <v xml:space="preserve"> </v>
      </c>
      <c r="X437" s="256" t="str">
        <f t="shared" si="117"/>
        <v/>
      </c>
      <c r="Y437" s="256" t="str">
        <f t="shared" si="118"/>
        <v/>
      </c>
      <c r="Z437" s="741">
        <f t="shared" si="119"/>
        <v>0</v>
      </c>
      <c r="AA437" s="741">
        <f t="shared" si="120"/>
        <v>0</v>
      </c>
      <c r="AB437" s="741">
        <f t="shared" si="121"/>
        <v>0</v>
      </c>
      <c r="AC437" s="987">
        <f t="shared" si="131"/>
        <v>0</v>
      </c>
      <c r="AD437" s="987">
        <f t="shared" si="132"/>
        <v>0</v>
      </c>
      <c r="AE437" s="368" t="str">
        <f>IFERROR(VLOOKUP(B437,'[1]סיכום בקרת רשויות'!$A:$D,4,0),"")</f>
        <v/>
      </c>
      <c r="AF437" s="57" t="str">
        <f t="shared" si="133"/>
        <v/>
      </c>
      <c r="AG437" s="180">
        <f>IF(AF437="כן",M437*'גנים ובתי ספר- מבנה תקציב'!$H$59,0)</f>
        <v>0</v>
      </c>
      <c r="AH437" s="180">
        <f>IF(AF437="כן",M437*'גנים ובתי ספר- מבנה תקציב'!$I$59,0)</f>
        <v>0</v>
      </c>
      <c r="AI437" s="180">
        <f t="shared" si="134"/>
        <v>0</v>
      </c>
      <c r="AJ437" s="368" t="str">
        <f t="shared" si="122"/>
        <v/>
      </c>
    </row>
    <row r="438" spans="1:36" x14ac:dyDescent="0.25">
      <c r="A438" s="57">
        <v>418</v>
      </c>
      <c r="B438" s="690"/>
      <c r="C438" s="690"/>
      <c r="D438" s="252">
        <f>(IFERROR(SUMIF('מצבת והרשמה (2)'!$F$21:$F$501,'דוח ביצוע (3)'!$B438,'מצבת והרשמה (2)'!$J$21:$J$501),0))</f>
        <v>0</v>
      </c>
      <c r="E438" s="252">
        <f>IFERROR(SUMIF('מצבת והרשמה (2)'!$F$21:$F$501,'דוח ביצוע (3)'!$B438,'מצבת והרשמה (2)'!$K$21:$K$501),0)</f>
        <v>0</v>
      </c>
      <c r="F438" s="253">
        <f t="shared" si="123"/>
        <v>0</v>
      </c>
      <c r="G438" s="680"/>
      <c r="H438" s="680"/>
      <c r="I438" s="253">
        <f t="shared" si="116"/>
        <v>0</v>
      </c>
      <c r="J438" s="453">
        <f t="shared" si="124"/>
        <v>0</v>
      </c>
      <c r="K438" s="689"/>
      <c r="L438" s="689"/>
      <c r="M438" s="969">
        <f t="shared" si="125"/>
        <v>0</v>
      </c>
      <c r="N438" s="1029" t="str">
        <f t="shared" si="126"/>
        <v/>
      </c>
      <c r="O438" s="969" t="str">
        <f>IFERROR(VLOOKUP(B438,'נתוני רישום ומצבת'!B:Q,16,0),"")</f>
        <v/>
      </c>
      <c r="P438" s="969" t="str">
        <f>IFERROR(VLOOKUP(B438,'נתוני רישום ומצבת'!B:R,17,0),"")</f>
        <v/>
      </c>
      <c r="Q438" s="690"/>
      <c r="R438" s="1009"/>
      <c r="S438" s="376">
        <f t="shared" si="127"/>
        <v>0</v>
      </c>
      <c r="T438" s="376">
        <f t="shared" si="128"/>
        <v>0</v>
      </c>
      <c r="U438" s="386">
        <f t="shared" si="129"/>
        <v>0</v>
      </c>
      <c r="V438" s="513" t="str">
        <f t="shared" si="130"/>
        <v/>
      </c>
      <c r="W438" s="254" t="str">
        <f>IF(ISBLANK(B438)," ",IF(B438=IFERROR(VLOOKUP(B438,'מצבת והרשמה (2)'!F:F,1,0),0),"תקין","לא קיים במצבת כבית ספר בו מתקיימת פעילות"))</f>
        <v xml:space="preserve"> </v>
      </c>
      <c r="X438" s="256" t="str">
        <f t="shared" si="117"/>
        <v/>
      </c>
      <c r="Y438" s="256" t="str">
        <f t="shared" si="118"/>
        <v/>
      </c>
      <c r="Z438" s="741">
        <f t="shared" si="119"/>
        <v>0</v>
      </c>
      <c r="AA438" s="741">
        <f t="shared" si="120"/>
        <v>0</v>
      </c>
      <c r="AB438" s="741">
        <f t="shared" si="121"/>
        <v>0</v>
      </c>
      <c r="AC438" s="987">
        <f t="shared" si="131"/>
        <v>0</v>
      </c>
      <c r="AD438" s="987">
        <f t="shared" si="132"/>
        <v>0</v>
      </c>
      <c r="AE438" s="368" t="str">
        <f>IFERROR(VLOOKUP(B438,'[1]סיכום בקרת רשויות'!$A:$D,4,0),"")</f>
        <v/>
      </c>
      <c r="AF438" s="57" t="str">
        <f t="shared" si="133"/>
        <v/>
      </c>
      <c r="AG438" s="180">
        <f>IF(AF438="כן",M438*'גנים ובתי ספר- מבנה תקציב'!$H$59,0)</f>
        <v>0</v>
      </c>
      <c r="AH438" s="180">
        <f>IF(AF438="כן",M438*'גנים ובתי ספר- מבנה תקציב'!$I$59,0)</f>
        <v>0</v>
      </c>
      <c r="AI438" s="180">
        <f t="shared" si="134"/>
        <v>0</v>
      </c>
      <c r="AJ438" s="368" t="str">
        <f t="shared" si="122"/>
        <v/>
      </c>
    </row>
    <row r="439" spans="1:36" x14ac:dyDescent="0.25">
      <c r="A439" s="57">
        <v>419</v>
      </c>
      <c r="B439" s="690"/>
      <c r="C439" s="690"/>
      <c r="D439" s="252">
        <f>(IFERROR(SUMIF('מצבת והרשמה (2)'!$F$21:$F$501,'דוח ביצוע (3)'!$B439,'מצבת והרשמה (2)'!$J$21:$J$501),0))</f>
        <v>0</v>
      </c>
      <c r="E439" s="252">
        <f>IFERROR(SUMIF('מצבת והרשמה (2)'!$F$21:$F$501,'דוח ביצוע (3)'!$B439,'מצבת והרשמה (2)'!$K$21:$K$501),0)</f>
        <v>0</v>
      </c>
      <c r="F439" s="253">
        <f t="shared" si="123"/>
        <v>0</v>
      </c>
      <c r="G439" s="680"/>
      <c r="H439" s="680"/>
      <c r="I439" s="253">
        <f t="shared" si="116"/>
        <v>0</v>
      </c>
      <c r="J439" s="453">
        <f t="shared" si="124"/>
        <v>0</v>
      </c>
      <c r="K439" s="689"/>
      <c r="L439" s="689"/>
      <c r="M439" s="969">
        <f t="shared" si="125"/>
        <v>0</v>
      </c>
      <c r="N439" s="1029" t="str">
        <f t="shared" si="126"/>
        <v/>
      </c>
      <c r="O439" s="969" t="str">
        <f>IFERROR(VLOOKUP(B439,'נתוני רישום ומצבת'!B:Q,16,0),"")</f>
        <v/>
      </c>
      <c r="P439" s="969" t="str">
        <f>IFERROR(VLOOKUP(B439,'נתוני רישום ומצבת'!B:R,17,0),"")</f>
        <v/>
      </c>
      <c r="Q439" s="690"/>
      <c r="R439" s="1009"/>
      <c r="S439" s="376">
        <f t="shared" si="127"/>
        <v>0</v>
      </c>
      <c r="T439" s="376">
        <f t="shared" si="128"/>
        <v>0</v>
      </c>
      <c r="U439" s="386">
        <f t="shared" si="129"/>
        <v>0</v>
      </c>
      <c r="V439" s="513" t="str">
        <f t="shared" si="130"/>
        <v/>
      </c>
      <c r="W439" s="254" t="str">
        <f>IF(ISBLANK(B439)," ",IF(B439=IFERROR(VLOOKUP(B439,'מצבת והרשמה (2)'!F:F,1,0),0),"תקין","לא קיים במצבת כבית ספר בו מתקיימת פעילות"))</f>
        <v xml:space="preserve"> </v>
      </c>
      <c r="X439" s="256" t="str">
        <f t="shared" si="117"/>
        <v/>
      </c>
      <c r="Y439" s="256" t="str">
        <f t="shared" si="118"/>
        <v/>
      </c>
      <c r="Z439" s="741">
        <f t="shared" si="119"/>
        <v>0</v>
      </c>
      <c r="AA439" s="741">
        <f t="shared" si="120"/>
        <v>0</v>
      </c>
      <c r="AB439" s="741">
        <f t="shared" si="121"/>
        <v>0</v>
      </c>
      <c r="AC439" s="987">
        <f t="shared" si="131"/>
        <v>0</v>
      </c>
      <c r="AD439" s="987">
        <f t="shared" si="132"/>
        <v>0</v>
      </c>
      <c r="AE439" s="368" t="str">
        <f>IFERROR(VLOOKUP(B439,'[1]סיכום בקרת רשויות'!$A:$D,4,0),"")</f>
        <v/>
      </c>
      <c r="AF439" s="57" t="str">
        <f t="shared" si="133"/>
        <v/>
      </c>
      <c r="AG439" s="180">
        <f>IF(AF439="כן",M439*'גנים ובתי ספר- מבנה תקציב'!$H$59,0)</f>
        <v>0</v>
      </c>
      <c r="AH439" s="180">
        <f>IF(AF439="כן",M439*'גנים ובתי ספר- מבנה תקציב'!$I$59,0)</f>
        <v>0</v>
      </c>
      <c r="AI439" s="180">
        <f t="shared" si="134"/>
        <v>0</v>
      </c>
      <c r="AJ439" s="368" t="str">
        <f t="shared" si="122"/>
        <v/>
      </c>
    </row>
    <row r="440" spans="1:36" x14ac:dyDescent="0.25">
      <c r="A440" s="57">
        <v>420</v>
      </c>
      <c r="B440" s="690"/>
      <c r="C440" s="690"/>
      <c r="D440" s="252">
        <f>(IFERROR(SUMIF('מצבת והרשמה (2)'!$F$21:$F$501,'דוח ביצוע (3)'!$B440,'מצבת והרשמה (2)'!$J$21:$J$501),0))</f>
        <v>0</v>
      </c>
      <c r="E440" s="252">
        <f>IFERROR(SUMIF('מצבת והרשמה (2)'!$F$21:$F$501,'דוח ביצוע (3)'!$B440,'מצבת והרשמה (2)'!$K$21:$K$501),0)</f>
        <v>0</v>
      </c>
      <c r="F440" s="253">
        <f t="shared" si="123"/>
        <v>0</v>
      </c>
      <c r="G440" s="680"/>
      <c r="H440" s="680"/>
      <c r="I440" s="253">
        <f t="shared" si="116"/>
        <v>0</v>
      </c>
      <c r="J440" s="453">
        <f t="shared" si="124"/>
        <v>0</v>
      </c>
      <c r="K440" s="689"/>
      <c r="L440" s="689"/>
      <c r="M440" s="969">
        <f t="shared" si="125"/>
        <v>0</v>
      </c>
      <c r="N440" s="1029" t="str">
        <f t="shared" si="126"/>
        <v/>
      </c>
      <c r="O440" s="969" t="str">
        <f>IFERROR(VLOOKUP(B440,'נתוני רישום ומצבת'!B:Q,16,0),"")</f>
        <v/>
      </c>
      <c r="P440" s="969" t="str">
        <f>IFERROR(VLOOKUP(B440,'נתוני רישום ומצבת'!B:R,17,0),"")</f>
        <v/>
      </c>
      <c r="Q440" s="690"/>
      <c r="R440" s="1009"/>
      <c r="S440" s="376">
        <f t="shared" si="127"/>
        <v>0</v>
      </c>
      <c r="T440" s="376">
        <f t="shared" si="128"/>
        <v>0</v>
      </c>
      <c r="U440" s="386">
        <f t="shared" si="129"/>
        <v>0</v>
      </c>
      <c r="V440" s="513" t="str">
        <f t="shared" si="130"/>
        <v/>
      </c>
      <c r="W440" s="254" t="str">
        <f>IF(ISBLANK(B440)," ",IF(B440=IFERROR(VLOOKUP(B440,'מצבת והרשמה (2)'!F:F,1,0),0),"תקין","לא קיים במצבת כבית ספר בו מתקיימת פעילות"))</f>
        <v xml:space="preserve"> </v>
      </c>
      <c r="X440" s="256" t="str">
        <f t="shared" si="117"/>
        <v/>
      </c>
      <c r="Y440" s="256" t="str">
        <f t="shared" si="118"/>
        <v/>
      </c>
      <c r="Z440" s="741">
        <f t="shared" si="119"/>
        <v>0</v>
      </c>
      <c r="AA440" s="741">
        <f t="shared" si="120"/>
        <v>0</v>
      </c>
      <c r="AB440" s="741">
        <f t="shared" si="121"/>
        <v>0</v>
      </c>
      <c r="AC440" s="987">
        <f t="shared" si="131"/>
        <v>0</v>
      </c>
      <c r="AD440" s="987">
        <f t="shared" si="132"/>
        <v>0</v>
      </c>
      <c r="AE440" s="368" t="str">
        <f>IFERROR(VLOOKUP(B440,'[1]סיכום בקרת רשויות'!$A:$D,4,0),"")</f>
        <v/>
      </c>
      <c r="AF440" s="57" t="str">
        <f t="shared" si="133"/>
        <v/>
      </c>
      <c r="AG440" s="180">
        <f>IF(AF440="כן",M440*'גנים ובתי ספר- מבנה תקציב'!$H$59,0)</f>
        <v>0</v>
      </c>
      <c r="AH440" s="180">
        <f>IF(AF440="כן",M440*'גנים ובתי ספר- מבנה תקציב'!$I$59,0)</f>
        <v>0</v>
      </c>
      <c r="AI440" s="180">
        <f t="shared" si="134"/>
        <v>0</v>
      </c>
      <c r="AJ440" s="368" t="str">
        <f t="shared" si="122"/>
        <v/>
      </c>
    </row>
    <row r="441" spans="1:36" x14ac:dyDescent="0.25">
      <c r="A441" s="57">
        <v>421</v>
      </c>
      <c r="B441" s="690"/>
      <c r="C441" s="690"/>
      <c r="D441" s="252">
        <f>(IFERROR(SUMIF('מצבת והרשמה (2)'!$F$21:$F$501,'דוח ביצוע (3)'!$B441,'מצבת והרשמה (2)'!$J$21:$J$501),0))</f>
        <v>0</v>
      </c>
      <c r="E441" s="252">
        <f>IFERROR(SUMIF('מצבת והרשמה (2)'!$F$21:$F$501,'דוח ביצוע (3)'!$B441,'מצבת והרשמה (2)'!$K$21:$K$501),0)</f>
        <v>0</v>
      </c>
      <c r="F441" s="253">
        <f t="shared" si="123"/>
        <v>0</v>
      </c>
      <c r="G441" s="680"/>
      <c r="H441" s="680"/>
      <c r="I441" s="253">
        <f t="shared" si="116"/>
        <v>0</v>
      </c>
      <c r="J441" s="453">
        <f t="shared" si="124"/>
        <v>0</v>
      </c>
      <c r="K441" s="689"/>
      <c r="L441" s="689"/>
      <c r="M441" s="969">
        <f t="shared" si="125"/>
        <v>0</v>
      </c>
      <c r="N441" s="1029" t="str">
        <f t="shared" si="126"/>
        <v/>
      </c>
      <c r="O441" s="969" t="str">
        <f>IFERROR(VLOOKUP(B441,'נתוני רישום ומצבת'!B:Q,16,0),"")</f>
        <v/>
      </c>
      <c r="P441" s="969" t="str">
        <f>IFERROR(VLOOKUP(B441,'נתוני רישום ומצבת'!B:R,17,0),"")</f>
        <v/>
      </c>
      <c r="Q441" s="690"/>
      <c r="R441" s="1009"/>
      <c r="S441" s="376">
        <f t="shared" si="127"/>
        <v>0</v>
      </c>
      <c r="T441" s="376">
        <f t="shared" si="128"/>
        <v>0</v>
      </c>
      <c r="U441" s="386">
        <f t="shared" si="129"/>
        <v>0</v>
      </c>
      <c r="V441" s="513" t="str">
        <f t="shared" si="130"/>
        <v/>
      </c>
      <c r="W441" s="254" t="str">
        <f>IF(ISBLANK(B441)," ",IF(B441=IFERROR(VLOOKUP(B441,'מצבת והרשמה (2)'!F:F,1,0),0),"תקין","לא קיים במצבת כבית ספר בו מתקיימת פעילות"))</f>
        <v xml:space="preserve"> </v>
      </c>
      <c r="X441" s="256" t="str">
        <f t="shared" si="117"/>
        <v/>
      </c>
      <c r="Y441" s="256" t="str">
        <f t="shared" si="118"/>
        <v/>
      </c>
      <c r="Z441" s="741">
        <f t="shared" si="119"/>
        <v>0</v>
      </c>
      <c r="AA441" s="741">
        <f t="shared" si="120"/>
        <v>0</v>
      </c>
      <c r="AB441" s="741">
        <f t="shared" si="121"/>
        <v>0</v>
      </c>
      <c r="AC441" s="987">
        <f t="shared" si="131"/>
        <v>0</v>
      </c>
      <c r="AD441" s="987">
        <f t="shared" si="132"/>
        <v>0</v>
      </c>
      <c r="AE441" s="368" t="str">
        <f>IFERROR(VLOOKUP(B441,'[1]סיכום בקרת רשויות'!$A:$D,4,0),"")</f>
        <v/>
      </c>
      <c r="AF441" s="57" t="str">
        <f t="shared" si="133"/>
        <v/>
      </c>
      <c r="AG441" s="180">
        <f>IF(AF441="כן",M441*'גנים ובתי ספר- מבנה תקציב'!$H$59,0)</f>
        <v>0</v>
      </c>
      <c r="AH441" s="180">
        <f>IF(AF441="כן",M441*'גנים ובתי ספר- מבנה תקציב'!$I$59,0)</f>
        <v>0</v>
      </c>
      <c r="AI441" s="180">
        <f t="shared" si="134"/>
        <v>0</v>
      </c>
      <c r="AJ441" s="368" t="str">
        <f t="shared" si="122"/>
        <v/>
      </c>
    </row>
    <row r="442" spans="1:36" x14ac:dyDescent="0.25">
      <c r="A442" s="57">
        <v>422</v>
      </c>
      <c r="B442" s="690"/>
      <c r="C442" s="690"/>
      <c r="D442" s="252">
        <f>(IFERROR(SUMIF('מצבת והרשמה (2)'!$F$21:$F$501,'דוח ביצוע (3)'!$B442,'מצבת והרשמה (2)'!$J$21:$J$501),0))</f>
        <v>0</v>
      </c>
      <c r="E442" s="252">
        <f>IFERROR(SUMIF('מצבת והרשמה (2)'!$F$21:$F$501,'דוח ביצוע (3)'!$B442,'מצבת והרשמה (2)'!$K$21:$K$501),0)</f>
        <v>0</v>
      </c>
      <c r="F442" s="253">
        <f t="shared" si="123"/>
        <v>0</v>
      </c>
      <c r="G442" s="680"/>
      <c r="H442" s="680"/>
      <c r="I442" s="253">
        <f t="shared" si="116"/>
        <v>0</v>
      </c>
      <c r="J442" s="453">
        <f t="shared" si="124"/>
        <v>0</v>
      </c>
      <c r="K442" s="689"/>
      <c r="L442" s="689"/>
      <c r="M442" s="969">
        <f t="shared" si="125"/>
        <v>0</v>
      </c>
      <c r="N442" s="1029" t="str">
        <f t="shared" si="126"/>
        <v/>
      </c>
      <c r="O442" s="969" t="str">
        <f>IFERROR(VLOOKUP(B442,'נתוני רישום ומצבת'!B:Q,16,0),"")</f>
        <v/>
      </c>
      <c r="P442" s="969" t="str">
        <f>IFERROR(VLOOKUP(B442,'נתוני רישום ומצבת'!B:R,17,0),"")</f>
        <v/>
      </c>
      <c r="Q442" s="690"/>
      <c r="R442" s="1009"/>
      <c r="S442" s="376">
        <f t="shared" si="127"/>
        <v>0</v>
      </c>
      <c r="T442" s="376">
        <f t="shared" si="128"/>
        <v>0</v>
      </c>
      <c r="U442" s="386">
        <f t="shared" si="129"/>
        <v>0</v>
      </c>
      <c r="V442" s="513" t="str">
        <f t="shared" si="130"/>
        <v/>
      </c>
      <c r="W442" s="254" t="str">
        <f>IF(ISBLANK(B442)," ",IF(B442=IFERROR(VLOOKUP(B442,'מצבת והרשמה (2)'!F:F,1,0),0),"תקין","לא קיים במצבת כבית ספר בו מתקיימת פעילות"))</f>
        <v xml:space="preserve"> </v>
      </c>
      <c r="X442" s="256" t="str">
        <f t="shared" si="117"/>
        <v/>
      </c>
      <c r="Y442" s="256" t="str">
        <f t="shared" si="118"/>
        <v/>
      </c>
      <c r="Z442" s="741">
        <f t="shared" si="119"/>
        <v>0</v>
      </c>
      <c r="AA442" s="741">
        <f t="shared" si="120"/>
        <v>0</v>
      </c>
      <c r="AB442" s="741">
        <f t="shared" si="121"/>
        <v>0</v>
      </c>
      <c r="AC442" s="987">
        <f t="shared" si="131"/>
        <v>0</v>
      </c>
      <c r="AD442" s="987">
        <f t="shared" si="132"/>
        <v>0</v>
      </c>
      <c r="AE442" s="368" t="str">
        <f>IFERROR(VLOOKUP(B442,'[1]סיכום בקרת רשויות'!$A:$D,4,0),"")</f>
        <v/>
      </c>
      <c r="AF442" s="57" t="str">
        <f t="shared" si="133"/>
        <v/>
      </c>
      <c r="AG442" s="180">
        <f>IF(AF442="כן",M442*'גנים ובתי ספר- מבנה תקציב'!$H$59,0)</f>
        <v>0</v>
      </c>
      <c r="AH442" s="180">
        <f>IF(AF442="כן",M442*'גנים ובתי ספר- מבנה תקציב'!$I$59,0)</f>
        <v>0</v>
      </c>
      <c r="AI442" s="180">
        <f t="shared" si="134"/>
        <v>0</v>
      </c>
      <c r="AJ442" s="368" t="str">
        <f t="shared" si="122"/>
        <v/>
      </c>
    </row>
    <row r="443" spans="1:36" x14ac:dyDescent="0.25">
      <c r="A443" s="57">
        <v>423</v>
      </c>
      <c r="B443" s="690"/>
      <c r="C443" s="690"/>
      <c r="D443" s="252">
        <f>(IFERROR(SUMIF('מצבת והרשמה (2)'!$F$21:$F$501,'דוח ביצוע (3)'!$B443,'מצבת והרשמה (2)'!$J$21:$J$501),0))</f>
        <v>0</v>
      </c>
      <c r="E443" s="252">
        <f>IFERROR(SUMIF('מצבת והרשמה (2)'!$F$21:$F$501,'דוח ביצוע (3)'!$B443,'מצבת והרשמה (2)'!$K$21:$K$501),0)</f>
        <v>0</v>
      </c>
      <c r="F443" s="253">
        <f t="shared" si="123"/>
        <v>0</v>
      </c>
      <c r="G443" s="680"/>
      <c r="H443" s="680"/>
      <c r="I443" s="253">
        <f t="shared" si="116"/>
        <v>0</v>
      </c>
      <c r="J443" s="453">
        <f t="shared" si="124"/>
        <v>0</v>
      </c>
      <c r="K443" s="689"/>
      <c r="L443" s="689"/>
      <c r="M443" s="969">
        <f t="shared" si="125"/>
        <v>0</v>
      </c>
      <c r="N443" s="1029" t="str">
        <f t="shared" si="126"/>
        <v/>
      </c>
      <c r="O443" s="969" t="str">
        <f>IFERROR(VLOOKUP(B443,'נתוני רישום ומצבת'!B:Q,16,0),"")</f>
        <v/>
      </c>
      <c r="P443" s="969" t="str">
        <f>IFERROR(VLOOKUP(B443,'נתוני רישום ומצבת'!B:R,17,0),"")</f>
        <v/>
      </c>
      <c r="Q443" s="690"/>
      <c r="R443" s="1009"/>
      <c r="S443" s="376">
        <f t="shared" si="127"/>
        <v>0</v>
      </c>
      <c r="T443" s="376">
        <f t="shared" si="128"/>
        <v>0</v>
      </c>
      <c r="U443" s="386">
        <f t="shared" si="129"/>
        <v>0</v>
      </c>
      <c r="V443" s="513" t="str">
        <f t="shared" si="130"/>
        <v/>
      </c>
      <c r="W443" s="254" t="str">
        <f>IF(ISBLANK(B443)," ",IF(B443=IFERROR(VLOOKUP(B443,'מצבת והרשמה (2)'!F:F,1,0),0),"תקין","לא קיים במצבת כבית ספר בו מתקיימת פעילות"))</f>
        <v xml:space="preserve"> </v>
      </c>
      <c r="X443" s="256" t="str">
        <f t="shared" si="117"/>
        <v/>
      </c>
      <c r="Y443" s="256" t="str">
        <f t="shared" si="118"/>
        <v/>
      </c>
      <c r="Z443" s="741">
        <f t="shared" si="119"/>
        <v>0</v>
      </c>
      <c r="AA443" s="741">
        <f t="shared" si="120"/>
        <v>0</v>
      </c>
      <c r="AB443" s="741">
        <f t="shared" si="121"/>
        <v>0</v>
      </c>
      <c r="AC443" s="987">
        <f t="shared" si="131"/>
        <v>0</v>
      </c>
      <c r="AD443" s="987">
        <f t="shared" si="132"/>
        <v>0</v>
      </c>
      <c r="AE443" s="368" t="str">
        <f>IFERROR(VLOOKUP(B443,'[1]סיכום בקרת רשויות'!$A:$D,4,0),"")</f>
        <v/>
      </c>
      <c r="AF443" s="57" t="str">
        <f t="shared" si="133"/>
        <v/>
      </c>
      <c r="AG443" s="180">
        <f>IF(AF443="כן",M443*'גנים ובתי ספר- מבנה תקציב'!$H$59,0)</f>
        <v>0</v>
      </c>
      <c r="AH443" s="180">
        <f>IF(AF443="כן",M443*'גנים ובתי ספר- מבנה תקציב'!$I$59,0)</f>
        <v>0</v>
      </c>
      <c r="AI443" s="180">
        <f t="shared" si="134"/>
        <v>0</v>
      </c>
      <c r="AJ443" s="368" t="str">
        <f t="shared" si="122"/>
        <v/>
      </c>
    </row>
    <row r="444" spans="1:36" x14ac:dyDescent="0.25">
      <c r="A444" s="57">
        <v>424</v>
      </c>
      <c r="B444" s="690"/>
      <c r="C444" s="690"/>
      <c r="D444" s="252">
        <f>(IFERROR(SUMIF('מצבת והרשמה (2)'!$F$21:$F$501,'דוח ביצוע (3)'!$B444,'מצבת והרשמה (2)'!$J$21:$J$501),0))</f>
        <v>0</v>
      </c>
      <c r="E444" s="252">
        <f>IFERROR(SUMIF('מצבת והרשמה (2)'!$F$21:$F$501,'דוח ביצוע (3)'!$B444,'מצבת והרשמה (2)'!$K$21:$K$501),0)</f>
        <v>0</v>
      </c>
      <c r="F444" s="253">
        <f t="shared" si="123"/>
        <v>0</v>
      </c>
      <c r="G444" s="680"/>
      <c r="H444" s="680"/>
      <c r="I444" s="253">
        <f t="shared" si="116"/>
        <v>0</v>
      </c>
      <c r="J444" s="453">
        <f t="shared" si="124"/>
        <v>0</v>
      </c>
      <c r="K444" s="689"/>
      <c r="L444" s="689"/>
      <c r="M444" s="969">
        <f t="shared" si="125"/>
        <v>0</v>
      </c>
      <c r="N444" s="1029" t="str">
        <f t="shared" si="126"/>
        <v/>
      </c>
      <c r="O444" s="969" t="str">
        <f>IFERROR(VLOOKUP(B444,'נתוני רישום ומצבת'!B:Q,16,0),"")</f>
        <v/>
      </c>
      <c r="P444" s="969" t="str">
        <f>IFERROR(VLOOKUP(B444,'נתוני רישום ומצבת'!B:R,17,0),"")</f>
        <v/>
      </c>
      <c r="Q444" s="690"/>
      <c r="R444" s="1009"/>
      <c r="S444" s="376">
        <f t="shared" si="127"/>
        <v>0</v>
      </c>
      <c r="T444" s="376">
        <f t="shared" si="128"/>
        <v>0</v>
      </c>
      <c r="U444" s="386">
        <f t="shared" si="129"/>
        <v>0</v>
      </c>
      <c r="V444" s="513" t="str">
        <f t="shared" si="130"/>
        <v/>
      </c>
      <c r="W444" s="254" t="str">
        <f>IF(ISBLANK(B444)," ",IF(B444=IFERROR(VLOOKUP(B444,'מצבת והרשמה (2)'!F:F,1,0),0),"תקין","לא קיים במצבת כבית ספר בו מתקיימת פעילות"))</f>
        <v xml:space="preserve"> </v>
      </c>
      <c r="X444" s="256" t="str">
        <f t="shared" si="117"/>
        <v/>
      </c>
      <c r="Y444" s="256" t="str">
        <f t="shared" si="118"/>
        <v/>
      </c>
      <c r="Z444" s="741">
        <f t="shared" si="119"/>
        <v>0</v>
      </c>
      <c r="AA444" s="741">
        <f t="shared" si="120"/>
        <v>0</v>
      </c>
      <c r="AB444" s="741">
        <f t="shared" si="121"/>
        <v>0</v>
      </c>
      <c r="AC444" s="987">
        <f t="shared" si="131"/>
        <v>0</v>
      </c>
      <c r="AD444" s="987">
        <f t="shared" si="132"/>
        <v>0</v>
      </c>
      <c r="AE444" s="368" t="str">
        <f>IFERROR(VLOOKUP(B444,'[1]סיכום בקרת רשויות'!$A:$D,4,0),"")</f>
        <v/>
      </c>
      <c r="AF444" s="57" t="str">
        <f t="shared" si="133"/>
        <v/>
      </c>
      <c r="AG444" s="180">
        <f>IF(AF444="כן",M444*'גנים ובתי ספר- מבנה תקציב'!$H$59,0)</f>
        <v>0</v>
      </c>
      <c r="AH444" s="180">
        <f>IF(AF444="כן",M444*'גנים ובתי ספר- מבנה תקציב'!$I$59,0)</f>
        <v>0</v>
      </c>
      <c r="AI444" s="180">
        <f t="shared" si="134"/>
        <v>0</v>
      </c>
      <c r="AJ444" s="368" t="str">
        <f t="shared" si="122"/>
        <v/>
      </c>
    </row>
    <row r="445" spans="1:36" x14ac:dyDescent="0.25">
      <c r="A445" s="57">
        <v>425</v>
      </c>
      <c r="B445" s="690"/>
      <c r="C445" s="690"/>
      <c r="D445" s="252">
        <f>(IFERROR(SUMIF('מצבת והרשמה (2)'!$F$21:$F$501,'דוח ביצוע (3)'!$B445,'מצבת והרשמה (2)'!$J$21:$J$501),0))</f>
        <v>0</v>
      </c>
      <c r="E445" s="252">
        <f>IFERROR(SUMIF('מצבת והרשמה (2)'!$F$21:$F$501,'דוח ביצוע (3)'!$B445,'מצבת והרשמה (2)'!$K$21:$K$501),0)</f>
        <v>0</v>
      </c>
      <c r="F445" s="253">
        <f t="shared" si="123"/>
        <v>0</v>
      </c>
      <c r="G445" s="680"/>
      <c r="H445" s="680"/>
      <c r="I445" s="253">
        <f t="shared" si="116"/>
        <v>0</v>
      </c>
      <c r="J445" s="453">
        <f t="shared" si="124"/>
        <v>0</v>
      </c>
      <c r="K445" s="689"/>
      <c r="L445" s="689"/>
      <c r="M445" s="969">
        <f t="shared" si="125"/>
        <v>0</v>
      </c>
      <c r="N445" s="1029" t="str">
        <f t="shared" si="126"/>
        <v/>
      </c>
      <c r="O445" s="969" t="str">
        <f>IFERROR(VLOOKUP(B445,'נתוני רישום ומצבת'!B:Q,16,0),"")</f>
        <v/>
      </c>
      <c r="P445" s="969" t="str">
        <f>IFERROR(VLOOKUP(B445,'נתוני רישום ומצבת'!B:R,17,0),"")</f>
        <v/>
      </c>
      <c r="Q445" s="690"/>
      <c r="R445" s="1009"/>
      <c r="S445" s="376">
        <f t="shared" si="127"/>
        <v>0</v>
      </c>
      <c r="T445" s="376">
        <f t="shared" si="128"/>
        <v>0</v>
      </c>
      <c r="U445" s="386">
        <f t="shared" si="129"/>
        <v>0</v>
      </c>
      <c r="V445" s="513" t="str">
        <f t="shared" si="130"/>
        <v/>
      </c>
      <c r="W445" s="254" t="str">
        <f>IF(ISBLANK(B445)," ",IF(B445=IFERROR(VLOOKUP(B445,'מצבת והרשמה (2)'!F:F,1,0),0),"תקין","לא קיים במצבת כבית ספר בו מתקיימת פעילות"))</f>
        <v xml:space="preserve"> </v>
      </c>
      <c r="X445" s="256" t="str">
        <f t="shared" si="117"/>
        <v/>
      </c>
      <c r="Y445" s="256" t="str">
        <f t="shared" si="118"/>
        <v/>
      </c>
      <c r="Z445" s="741">
        <f t="shared" si="119"/>
        <v>0</v>
      </c>
      <c r="AA445" s="741">
        <f t="shared" si="120"/>
        <v>0</v>
      </c>
      <c r="AB445" s="741">
        <f t="shared" si="121"/>
        <v>0</v>
      </c>
      <c r="AC445" s="987">
        <f t="shared" si="131"/>
        <v>0</v>
      </c>
      <c r="AD445" s="987">
        <f t="shared" si="132"/>
        <v>0</v>
      </c>
      <c r="AE445" s="368" t="str">
        <f>IFERROR(VLOOKUP(B445,'[1]סיכום בקרת רשויות'!$A:$D,4,0),"")</f>
        <v/>
      </c>
      <c r="AF445" s="57" t="str">
        <f t="shared" si="133"/>
        <v/>
      </c>
      <c r="AG445" s="180">
        <f>IF(AF445="כן",M445*'גנים ובתי ספר- מבנה תקציב'!$H$59,0)</f>
        <v>0</v>
      </c>
      <c r="AH445" s="180">
        <f>IF(AF445="כן",M445*'גנים ובתי ספר- מבנה תקציב'!$I$59,0)</f>
        <v>0</v>
      </c>
      <c r="AI445" s="180">
        <f t="shared" si="134"/>
        <v>0</v>
      </c>
      <c r="AJ445" s="368" t="str">
        <f t="shared" si="122"/>
        <v/>
      </c>
    </row>
    <row r="446" spans="1:36" x14ac:dyDescent="0.25">
      <c r="A446" s="57">
        <v>426</v>
      </c>
      <c r="B446" s="690"/>
      <c r="C446" s="690"/>
      <c r="D446" s="252">
        <f>(IFERROR(SUMIF('מצבת והרשמה (2)'!$F$21:$F$501,'דוח ביצוע (3)'!$B446,'מצבת והרשמה (2)'!$J$21:$J$501),0))</f>
        <v>0</v>
      </c>
      <c r="E446" s="252">
        <f>IFERROR(SUMIF('מצבת והרשמה (2)'!$F$21:$F$501,'דוח ביצוע (3)'!$B446,'מצבת והרשמה (2)'!$K$21:$K$501),0)</f>
        <v>0</v>
      </c>
      <c r="F446" s="253">
        <f t="shared" si="123"/>
        <v>0</v>
      </c>
      <c r="G446" s="680"/>
      <c r="H446" s="680"/>
      <c r="I446" s="253">
        <f t="shared" si="116"/>
        <v>0</v>
      </c>
      <c r="J446" s="453">
        <f t="shared" si="124"/>
        <v>0</v>
      </c>
      <c r="K446" s="689"/>
      <c r="L446" s="689"/>
      <c r="M446" s="969">
        <f t="shared" si="125"/>
        <v>0</v>
      </c>
      <c r="N446" s="1029" t="str">
        <f t="shared" si="126"/>
        <v/>
      </c>
      <c r="O446" s="969" t="str">
        <f>IFERROR(VLOOKUP(B446,'נתוני רישום ומצבת'!B:Q,16,0),"")</f>
        <v/>
      </c>
      <c r="P446" s="969" t="str">
        <f>IFERROR(VLOOKUP(B446,'נתוני רישום ומצבת'!B:R,17,0),"")</f>
        <v/>
      </c>
      <c r="Q446" s="690"/>
      <c r="R446" s="1009"/>
      <c r="S446" s="376">
        <f t="shared" si="127"/>
        <v>0</v>
      </c>
      <c r="T446" s="376">
        <f t="shared" si="128"/>
        <v>0</v>
      </c>
      <c r="U446" s="386">
        <f t="shared" si="129"/>
        <v>0</v>
      </c>
      <c r="V446" s="513" t="str">
        <f t="shared" si="130"/>
        <v/>
      </c>
      <c r="W446" s="254" t="str">
        <f>IF(ISBLANK(B446)," ",IF(B446=IFERROR(VLOOKUP(B446,'מצבת והרשמה (2)'!F:F,1,0),0),"תקין","לא קיים במצבת כבית ספר בו מתקיימת פעילות"))</f>
        <v xml:space="preserve"> </v>
      </c>
      <c r="X446" s="256" t="str">
        <f t="shared" si="117"/>
        <v/>
      </c>
      <c r="Y446" s="256" t="str">
        <f t="shared" si="118"/>
        <v/>
      </c>
      <c r="Z446" s="741">
        <f t="shared" si="119"/>
        <v>0</v>
      </c>
      <c r="AA446" s="741">
        <f t="shared" si="120"/>
        <v>0</v>
      </c>
      <c r="AB446" s="741">
        <f t="shared" si="121"/>
        <v>0</v>
      </c>
      <c r="AC446" s="987">
        <f t="shared" si="131"/>
        <v>0</v>
      </c>
      <c r="AD446" s="987">
        <f t="shared" si="132"/>
        <v>0</v>
      </c>
      <c r="AE446" s="368" t="str">
        <f>IFERROR(VLOOKUP(B446,'[1]סיכום בקרת רשויות'!$A:$D,4,0),"")</f>
        <v/>
      </c>
      <c r="AF446" s="57" t="str">
        <f t="shared" si="133"/>
        <v/>
      </c>
      <c r="AG446" s="180">
        <f>IF(AF446="כן",M446*'גנים ובתי ספר- מבנה תקציב'!$H$59,0)</f>
        <v>0</v>
      </c>
      <c r="AH446" s="180">
        <f>IF(AF446="כן",M446*'גנים ובתי ספר- מבנה תקציב'!$I$59,0)</f>
        <v>0</v>
      </c>
      <c r="AI446" s="180">
        <f t="shared" si="134"/>
        <v>0</v>
      </c>
      <c r="AJ446" s="368" t="str">
        <f t="shared" si="122"/>
        <v/>
      </c>
    </row>
    <row r="447" spans="1:36" x14ac:dyDescent="0.25">
      <c r="A447" s="57">
        <v>427</v>
      </c>
      <c r="B447" s="690"/>
      <c r="C447" s="690"/>
      <c r="D447" s="252">
        <f>(IFERROR(SUMIF('מצבת והרשמה (2)'!$F$21:$F$501,'דוח ביצוע (3)'!$B447,'מצבת והרשמה (2)'!$J$21:$J$501),0))</f>
        <v>0</v>
      </c>
      <c r="E447" s="252">
        <f>IFERROR(SUMIF('מצבת והרשמה (2)'!$F$21:$F$501,'דוח ביצוע (3)'!$B447,'מצבת והרשמה (2)'!$K$21:$K$501),0)</f>
        <v>0</v>
      </c>
      <c r="F447" s="253">
        <f t="shared" si="123"/>
        <v>0</v>
      </c>
      <c r="G447" s="680"/>
      <c r="H447" s="680"/>
      <c r="I447" s="253">
        <f t="shared" si="116"/>
        <v>0</v>
      </c>
      <c r="J447" s="453">
        <f t="shared" si="124"/>
        <v>0</v>
      </c>
      <c r="K447" s="689"/>
      <c r="L447" s="689"/>
      <c r="M447" s="969">
        <f t="shared" si="125"/>
        <v>0</v>
      </c>
      <c r="N447" s="1029" t="str">
        <f t="shared" si="126"/>
        <v/>
      </c>
      <c r="O447" s="969" t="str">
        <f>IFERROR(VLOOKUP(B447,'נתוני רישום ומצבת'!B:Q,16,0),"")</f>
        <v/>
      </c>
      <c r="P447" s="969" t="str">
        <f>IFERROR(VLOOKUP(B447,'נתוני רישום ומצבת'!B:R,17,0),"")</f>
        <v/>
      </c>
      <c r="Q447" s="690"/>
      <c r="R447" s="1009"/>
      <c r="S447" s="376">
        <f t="shared" si="127"/>
        <v>0</v>
      </c>
      <c r="T447" s="376">
        <f t="shared" si="128"/>
        <v>0</v>
      </c>
      <c r="U447" s="386">
        <f t="shared" si="129"/>
        <v>0</v>
      </c>
      <c r="V447" s="513" t="str">
        <f t="shared" si="130"/>
        <v/>
      </c>
      <c r="W447" s="254" t="str">
        <f>IF(ISBLANK(B447)," ",IF(B447=IFERROR(VLOOKUP(B447,'מצבת והרשמה (2)'!F:F,1,0),0),"תקין","לא קיים במצבת כבית ספר בו מתקיימת פעילות"))</f>
        <v xml:space="preserve"> </v>
      </c>
      <c r="X447" s="256" t="str">
        <f t="shared" si="117"/>
        <v/>
      </c>
      <c r="Y447" s="256" t="str">
        <f t="shared" si="118"/>
        <v/>
      </c>
      <c r="Z447" s="741">
        <f t="shared" si="119"/>
        <v>0</v>
      </c>
      <c r="AA447" s="741">
        <f t="shared" si="120"/>
        <v>0</v>
      </c>
      <c r="AB447" s="741">
        <f t="shared" si="121"/>
        <v>0</v>
      </c>
      <c r="AC447" s="987">
        <f t="shared" si="131"/>
        <v>0</v>
      </c>
      <c r="AD447" s="987">
        <f t="shared" si="132"/>
        <v>0</v>
      </c>
      <c r="AE447" s="368" t="str">
        <f>IFERROR(VLOOKUP(B447,'[1]סיכום בקרת רשויות'!$A:$D,4,0),"")</f>
        <v/>
      </c>
      <c r="AF447" s="57" t="str">
        <f t="shared" si="133"/>
        <v/>
      </c>
      <c r="AG447" s="180">
        <f>IF(AF447="כן",M447*'גנים ובתי ספר- מבנה תקציב'!$H$59,0)</f>
        <v>0</v>
      </c>
      <c r="AH447" s="180">
        <f>IF(AF447="כן",M447*'גנים ובתי ספר- מבנה תקציב'!$I$59,0)</f>
        <v>0</v>
      </c>
      <c r="AI447" s="180">
        <f t="shared" si="134"/>
        <v>0</v>
      </c>
      <c r="AJ447" s="368" t="str">
        <f t="shared" si="122"/>
        <v/>
      </c>
    </row>
    <row r="448" spans="1:36" x14ac:dyDescent="0.25">
      <c r="A448" s="57">
        <v>428</v>
      </c>
      <c r="B448" s="690"/>
      <c r="C448" s="690"/>
      <c r="D448" s="252">
        <f>(IFERROR(SUMIF('מצבת והרשמה (2)'!$F$21:$F$501,'דוח ביצוע (3)'!$B448,'מצבת והרשמה (2)'!$J$21:$J$501),0))</f>
        <v>0</v>
      </c>
      <c r="E448" s="252">
        <f>IFERROR(SUMIF('מצבת והרשמה (2)'!$F$21:$F$501,'דוח ביצוע (3)'!$B448,'מצבת והרשמה (2)'!$K$21:$K$501),0)</f>
        <v>0</v>
      </c>
      <c r="F448" s="253">
        <f t="shared" si="123"/>
        <v>0</v>
      </c>
      <c r="G448" s="680"/>
      <c r="H448" s="680"/>
      <c r="I448" s="253">
        <f t="shared" si="116"/>
        <v>0</v>
      </c>
      <c r="J448" s="453">
        <f t="shared" si="124"/>
        <v>0</v>
      </c>
      <c r="K448" s="689"/>
      <c r="L448" s="689"/>
      <c r="M448" s="969">
        <f t="shared" si="125"/>
        <v>0</v>
      </c>
      <c r="N448" s="1029" t="str">
        <f t="shared" si="126"/>
        <v/>
      </c>
      <c r="O448" s="969" t="str">
        <f>IFERROR(VLOOKUP(B448,'נתוני רישום ומצבת'!B:Q,16,0),"")</f>
        <v/>
      </c>
      <c r="P448" s="969" t="str">
        <f>IFERROR(VLOOKUP(B448,'נתוני רישום ומצבת'!B:R,17,0),"")</f>
        <v/>
      </c>
      <c r="Q448" s="690"/>
      <c r="R448" s="1009"/>
      <c r="S448" s="376">
        <f t="shared" si="127"/>
        <v>0</v>
      </c>
      <c r="T448" s="376">
        <f t="shared" si="128"/>
        <v>0</v>
      </c>
      <c r="U448" s="386">
        <f t="shared" si="129"/>
        <v>0</v>
      </c>
      <c r="V448" s="513" t="str">
        <f t="shared" si="130"/>
        <v/>
      </c>
      <c r="W448" s="254" t="str">
        <f>IF(ISBLANK(B448)," ",IF(B448=IFERROR(VLOOKUP(B448,'מצבת והרשמה (2)'!F:F,1,0),0),"תקין","לא קיים במצבת כבית ספר בו מתקיימת פעילות"))</f>
        <v xml:space="preserve"> </v>
      </c>
      <c r="X448" s="256" t="str">
        <f t="shared" si="117"/>
        <v/>
      </c>
      <c r="Y448" s="256" t="str">
        <f t="shared" si="118"/>
        <v/>
      </c>
      <c r="Z448" s="741">
        <f t="shared" si="119"/>
        <v>0</v>
      </c>
      <c r="AA448" s="741">
        <f t="shared" si="120"/>
        <v>0</v>
      </c>
      <c r="AB448" s="741">
        <f t="shared" si="121"/>
        <v>0</v>
      </c>
      <c r="AC448" s="987">
        <f t="shared" si="131"/>
        <v>0</v>
      </c>
      <c r="AD448" s="987">
        <f t="shared" si="132"/>
        <v>0</v>
      </c>
      <c r="AE448" s="368" t="str">
        <f>IFERROR(VLOOKUP(B448,'[1]סיכום בקרת רשויות'!$A:$D,4,0),"")</f>
        <v/>
      </c>
      <c r="AF448" s="57" t="str">
        <f t="shared" si="133"/>
        <v/>
      </c>
      <c r="AG448" s="180">
        <f>IF(AF448="כן",M448*'גנים ובתי ספר- מבנה תקציב'!$H$59,0)</f>
        <v>0</v>
      </c>
      <c r="AH448" s="180">
        <f>IF(AF448="כן",M448*'גנים ובתי ספר- מבנה תקציב'!$I$59,0)</f>
        <v>0</v>
      </c>
      <c r="AI448" s="180">
        <f t="shared" si="134"/>
        <v>0</v>
      </c>
      <c r="AJ448" s="368" t="str">
        <f t="shared" si="122"/>
        <v/>
      </c>
    </row>
    <row r="449" spans="1:36" x14ac:dyDescent="0.25">
      <c r="A449" s="57">
        <v>429</v>
      </c>
      <c r="B449" s="690"/>
      <c r="C449" s="690"/>
      <c r="D449" s="252">
        <f>(IFERROR(SUMIF('מצבת והרשמה (2)'!$F$21:$F$501,'דוח ביצוע (3)'!$B449,'מצבת והרשמה (2)'!$J$21:$J$501),0))</f>
        <v>0</v>
      </c>
      <c r="E449" s="252">
        <f>IFERROR(SUMIF('מצבת והרשמה (2)'!$F$21:$F$501,'דוח ביצוע (3)'!$B449,'מצבת והרשמה (2)'!$K$21:$K$501),0)</f>
        <v>0</v>
      </c>
      <c r="F449" s="253">
        <f t="shared" si="123"/>
        <v>0</v>
      </c>
      <c r="G449" s="680"/>
      <c r="H449" s="680"/>
      <c r="I449" s="253">
        <f t="shared" si="116"/>
        <v>0</v>
      </c>
      <c r="J449" s="453">
        <f t="shared" si="124"/>
        <v>0</v>
      </c>
      <c r="K449" s="689"/>
      <c r="L449" s="689"/>
      <c r="M449" s="969">
        <f t="shared" si="125"/>
        <v>0</v>
      </c>
      <c r="N449" s="1029" t="str">
        <f t="shared" si="126"/>
        <v/>
      </c>
      <c r="O449" s="969" t="str">
        <f>IFERROR(VLOOKUP(B449,'נתוני רישום ומצבת'!B:Q,16,0),"")</f>
        <v/>
      </c>
      <c r="P449" s="969" t="str">
        <f>IFERROR(VLOOKUP(B449,'נתוני רישום ומצבת'!B:R,17,0),"")</f>
        <v/>
      </c>
      <c r="Q449" s="690"/>
      <c r="R449" s="1009"/>
      <c r="S449" s="376">
        <f t="shared" si="127"/>
        <v>0</v>
      </c>
      <c r="T449" s="376">
        <f t="shared" si="128"/>
        <v>0</v>
      </c>
      <c r="U449" s="386">
        <f t="shared" si="129"/>
        <v>0</v>
      </c>
      <c r="V449" s="513" t="str">
        <f t="shared" si="130"/>
        <v/>
      </c>
      <c r="W449" s="254" t="str">
        <f>IF(ISBLANK(B449)," ",IF(B449=IFERROR(VLOOKUP(B449,'מצבת והרשמה (2)'!F:F,1,0),0),"תקין","לא קיים במצבת כבית ספר בו מתקיימת פעילות"))</f>
        <v xml:space="preserve"> </v>
      </c>
      <c r="X449" s="256" t="str">
        <f t="shared" si="117"/>
        <v/>
      </c>
      <c r="Y449" s="256" t="str">
        <f t="shared" si="118"/>
        <v/>
      </c>
      <c r="Z449" s="741">
        <f t="shared" si="119"/>
        <v>0</v>
      </c>
      <c r="AA449" s="741">
        <f t="shared" si="120"/>
        <v>0</v>
      </c>
      <c r="AB449" s="741">
        <f t="shared" si="121"/>
        <v>0</v>
      </c>
      <c r="AC449" s="987">
        <f t="shared" si="131"/>
        <v>0</v>
      </c>
      <c r="AD449" s="987">
        <f t="shared" si="132"/>
        <v>0</v>
      </c>
      <c r="AE449" s="368" t="str">
        <f>IFERROR(VLOOKUP(B449,'[1]סיכום בקרת רשויות'!$A:$D,4,0),"")</f>
        <v/>
      </c>
      <c r="AF449" s="57" t="str">
        <f t="shared" si="133"/>
        <v/>
      </c>
      <c r="AG449" s="180">
        <f>IF(AF449="כן",M449*'גנים ובתי ספר- מבנה תקציב'!$H$59,0)</f>
        <v>0</v>
      </c>
      <c r="AH449" s="180">
        <f>IF(AF449="כן",M449*'גנים ובתי ספר- מבנה תקציב'!$I$59,0)</f>
        <v>0</v>
      </c>
      <c r="AI449" s="180">
        <f t="shared" si="134"/>
        <v>0</v>
      </c>
      <c r="AJ449" s="368" t="str">
        <f t="shared" si="122"/>
        <v/>
      </c>
    </row>
    <row r="450" spans="1:36" x14ac:dyDescent="0.25">
      <c r="A450" s="57">
        <v>430</v>
      </c>
      <c r="B450" s="690"/>
      <c r="C450" s="690"/>
      <c r="D450" s="252">
        <f>(IFERROR(SUMIF('מצבת והרשמה (2)'!$F$21:$F$501,'דוח ביצוע (3)'!$B450,'מצבת והרשמה (2)'!$J$21:$J$501),0))</f>
        <v>0</v>
      </c>
      <c r="E450" s="252">
        <f>IFERROR(SUMIF('מצבת והרשמה (2)'!$F$21:$F$501,'דוח ביצוע (3)'!$B450,'מצבת והרשמה (2)'!$K$21:$K$501),0)</f>
        <v>0</v>
      </c>
      <c r="F450" s="253">
        <f t="shared" si="123"/>
        <v>0</v>
      </c>
      <c r="G450" s="680"/>
      <c r="H450" s="680"/>
      <c r="I450" s="253">
        <f t="shared" si="116"/>
        <v>0</v>
      </c>
      <c r="J450" s="453">
        <f t="shared" si="124"/>
        <v>0</v>
      </c>
      <c r="K450" s="689"/>
      <c r="L450" s="689"/>
      <c r="M450" s="969">
        <f t="shared" si="125"/>
        <v>0</v>
      </c>
      <c r="N450" s="1029" t="str">
        <f t="shared" si="126"/>
        <v/>
      </c>
      <c r="O450" s="969" t="str">
        <f>IFERROR(VLOOKUP(B450,'נתוני רישום ומצבת'!B:Q,16,0),"")</f>
        <v/>
      </c>
      <c r="P450" s="969" t="str">
        <f>IFERROR(VLOOKUP(B450,'נתוני רישום ומצבת'!B:R,17,0),"")</f>
        <v/>
      </c>
      <c r="Q450" s="690"/>
      <c r="R450" s="1009"/>
      <c r="S450" s="376">
        <f t="shared" si="127"/>
        <v>0</v>
      </c>
      <c r="T450" s="376">
        <f t="shared" si="128"/>
        <v>0</v>
      </c>
      <c r="U450" s="386">
        <f t="shared" si="129"/>
        <v>0</v>
      </c>
      <c r="V450" s="513" t="str">
        <f t="shared" si="130"/>
        <v/>
      </c>
      <c r="W450" s="254" t="str">
        <f>IF(ISBLANK(B450)," ",IF(B450=IFERROR(VLOOKUP(B450,'מצבת והרשמה (2)'!F:F,1,0),0),"תקין","לא קיים במצבת כבית ספר בו מתקיימת פעילות"))</f>
        <v xml:space="preserve"> </v>
      </c>
      <c r="X450" s="256" t="str">
        <f t="shared" si="117"/>
        <v/>
      </c>
      <c r="Y450" s="256" t="str">
        <f t="shared" si="118"/>
        <v/>
      </c>
      <c r="Z450" s="741">
        <f t="shared" si="119"/>
        <v>0</v>
      </c>
      <c r="AA450" s="741">
        <f t="shared" si="120"/>
        <v>0</v>
      </c>
      <c r="AB450" s="741">
        <f t="shared" si="121"/>
        <v>0</v>
      </c>
      <c r="AC450" s="987">
        <f t="shared" si="131"/>
        <v>0</v>
      </c>
      <c r="AD450" s="987">
        <f t="shared" si="132"/>
        <v>0</v>
      </c>
      <c r="AE450" s="368" t="str">
        <f>IFERROR(VLOOKUP(B450,'[1]סיכום בקרת רשויות'!$A:$D,4,0),"")</f>
        <v/>
      </c>
      <c r="AF450" s="57" t="str">
        <f t="shared" si="133"/>
        <v/>
      </c>
      <c r="AG450" s="180">
        <f>IF(AF450="כן",M450*'גנים ובתי ספר- מבנה תקציב'!$H$59,0)</f>
        <v>0</v>
      </c>
      <c r="AH450" s="180">
        <f>IF(AF450="כן",M450*'גנים ובתי ספר- מבנה תקציב'!$I$59,0)</f>
        <v>0</v>
      </c>
      <c r="AI450" s="180">
        <f t="shared" si="134"/>
        <v>0</v>
      </c>
      <c r="AJ450" s="368" t="str">
        <f t="shared" si="122"/>
        <v/>
      </c>
    </row>
    <row r="451" spans="1:36" x14ac:dyDescent="0.25">
      <c r="A451" s="57">
        <v>431</v>
      </c>
      <c r="B451" s="690"/>
      <c r="C451" s="690"/>
      <c r="D451" s="252">
        <f>(IFERROR(SUMIF('מצבת והרשמה (2)'!$F$21:$F$501,'דוח ביצוע (3)'!$B451,'מצבת והרשמה (2)'!$J$21:$J$501),0))</f>
        <v>0</v>
      </c>
      <c r="E451" s="252">
        <f>IFERROR(SUMIF('מצבת והרשמה (2)'!$F$21:$F$501,'דוח ביצוע (3)'!$B451,'מצבת והרשמה (2)'!$K$21:$K$501),0)</f>
        <v>0</v>
      </c>
      <c r="F451" s="253">
        <f t="shared" si="123"/>
        <v>0</v>
      </c>
      <c r="G451" s="680"/>
      <c r="H451" s="680"/>
      <c r="I451" s="253">
        <f t="shared" si="116"/>
        <v>0</v>
      </c>
      <c r="J451" s="453">
        <f t="shared" si="124"/>
        <v>0</v>
      </c>
      <c r="K451" s="689"/>
      <c r="L451" s="689"/>
      <c r="M451" s="969">
        <f t="shared" si="125"/>
        <v>0</v>
      </c>
      <c r="N451" s="1029" t="str">
        <f t="shared" si="126"/>
        <v/>
      </c>
      <c r="O451" s="969" t="str">
        <f>IFERROR(VLOOKUP(B451,'נתוני רישום ומצבת'!B:Q,16,0),"")</f>
        <v/>
      </c>
      <c r="P451" s="969" t="str">
        <f>IFERROR(VLOOKUP(B451,'נתוני רישום ומצבת'!B:R,17,0),"")</f>
        <v/>
      </c>
      <c r="Q451" s="690"/>
      <c r="R451" s="1009"/>
      <c r="S451" s="376">
        <f t="shared" si="127"/>
        <v>0</v>
      </c>
      <c r="T451" s="376">
        <f t="shared" si="128"/>
        <v>0</v>
      </c>
      <c r="U451" s="386">
        <f t="shared" si="129"/>
        <v>0</v>
      </c>
      <c r="V451" s="513" t="str">
        <f t="shared" si="130"/>
        <v/>
      </c>
      <c r="W451" s="254" t="str">
        <f>IF(ISBLANK(B451)," ",IF(B451=IFERROR(VLOOKUP(B451,'מצבת והרשמה (2)'!F:F,1,0),0),"תקין","לא קיים במצבת כבית ספר בו מתקיימת פעילות"))</f>
        <v xml:space="preserve"> </v>
      </c>
      <c r="X451" s="256" t="str">
        <f t="shared" si="117"/>
        <v/>
      </c>
      <c r="Y451" s="256" t="str">
        <f t="shared" si="118"/>
        <v/>
      </c>
      <c r="Z451" s="741">
        <f t="shared" si="119"/>
        <v>0</v>
      </c>
      <c r="AA451" s="741">
        <f t="shared" si="120"/>
        <v>0</v>
      </c>
      <c r="AB451" s="741">
        <f t="shared" si="121"/>
        <v>0</v>
      </c>
      <c r="AC451" s="987">
        <f t="shared" si="131"/>
        <v>0</v>
      </c>
      <c r="AD451" s="987">
        <f t="shared" si="132"/>
        <v>0</v>
      </c>
      <c r="AE451" s="368" t="str">
        <f>IFERROR(VLOOKUP(B451,'[1]סיכום בקרת רשויות'!$A:$D,4,0),"")</f>
        <v/>
      </c>
      <c r="AF451" s="57" t="str">
        <f t="shared" si="133"/>
        <v/>
      </c>
      <c r="AG451" s="180">
        <f>IF(AF451="כן",M451*'גנים ובתי ספר- מבנה תקציב'!$H$59,0)</f>
        <v>0</v>
      </c>
      <c r="AH451" s="180">
        <f>IF(AF451="כן",M451*'גנים ובתי ספר- מבנה תקציב'!$I$59,0)</f>
        <v>0</v>
      </c>
      <c r="AI451" s="180">
        <f t="shared" si="134"/>
        <v>0</v>
      </c>
      <c r="AJ451" s="368" t="str">
        <f t="shared" si="122"/>
        <v/>
      </c>
    </row>
    <row r="452" spans="1:36" x14ac:dyDescent="0.25">
      <c r="A452" s="57">
        <v>432</v>
      </c>
      <c r="B452" s="690"/>
      <c r="C452" s="690"/>
      <c r="D452" s="252">
        <f>(IFERROR(SUMIF('מצבת והרשמה (2)'!$F$21:$F$501,'דוח ביצוע (3)'!$B452,'מצבת והרשמה (2)'!$J$21:$J$501),0))</f>
        <v>0</v>
      </c>
      <c r="E452" s="252">
        <f>IFERROR(SUMIF('מצבת והרשמה (2)'!$F$21:$F$501,'דוח ביצוע (3)'!$B452,'מצבת והרשמה (2)'!$K$21:$K$501),0)</f>
        <v>0</v>
      </c>
      <c r="F452" s="253">
        <f t="shared" si="123"/>
        <v>0</v>
      </c>
      <c r="G452" s="680"/>
      <c r="H452" s="680"/>
      <c r="I452" s="253">
        <f t="shared" si="116"/>
        <v>0</v>
      </c>
      <c r="J452" s="453">
        <f t="shared" si="124"/>
        <v>0</v>
      </c>
      <c r="K452" s="689"/>
      <c r="L452" s="689"/>
      <c r="M452" s="969">
        <f t="shared" si="125"/>
        <v>0</v>
      </c>
      <c r="N452" s="1029" t="str">
        <f t="shared" si="126"/>
        <v/>
      </c>
      <c r="O452" s="969" t="str">
        <f>IFERROR(VLOOKUP(B452,'נתוני רישום ומצבת'!B:Q,16,0),"")</f>
        <v/>
      </c>
      <c r="P452" s="969" t="str">
        <f>IFERROR(VLOOKUP(B452,'נתוני רישום ומצבת'!B:R,17,0),"")</f>
        <v/>
      </c>
      <c r="Q452" s="690"/>
      <c r="R452" s="1009"/>
      <c r="S452" s="376">
        <f t="shared" si="127"/>
        <v>0</v>
      </c>
      <c r="T452" s="376">
        <f t="shared" si="128"/>
        <v>0</v>
      </c>
      <c r="U452" s="386">
        <f t="shared" si="129"/>
        <v>0</v>
      </c>
      <c r="V452" s="513" t="str">
        <f t="shared" si="130"/>
        <v/>
      </c>
      <c r="W452" s="254" t="str">
        <f>IF(ISBLANK(B452)," ",IF(B452=IFERROR(VLOOKUP(B452,'מצבת והרשמה (2)'!F:F,1,0),0),"תקין","לא קיים במצבת כבית ספר בו מתקיימת פעילות"))</f>
        <v xml:space="preserve"> </v>
      </c>
      <c r="X452" s="256" t="str">
        <f t="shared" si="117"/>
        <v/>
      </c>
      <c r="Y452" s="256" t="str">
        <f t="shared" si="118"/>
        <v/>
      </c>
      <c r="Z452" s="741">
        <f t="shared" si="119"/>
        <v>0</v>
      </c>
      <c r="AA452" s="741">
        <f t="shared" si="120"/>
        <v>0</v>
      </c>
      <c r="AB452" s="741">
        <f t="shared" si="121"/>
        <v>0</v>
      </c>
      <c r="AC452" s="987">
        <f t="shared" si="131"/>
        <v>0</v>
      </c>
      <c r="AD452" s="987">
        <f t="shared" si="132"/>
        <v>0</v>
      </c>
      <c r="AE452" s="368" t="str">
        <f>IFERROR(VLOOKUP(B452,'[1]סיכום בקרת רשויות'!$A:$D,4,0),"")</f>
        <v/>
      </c>
      <c r="AF452" s="57" t="str">
        <f t="shared" si="133"/>
        <v/>
      </c>
      <c r="AG452" s="180">
        <f>IF(AF452="כן",M452*'גנים ובתי ספר- מבנה תקציב'!$H$59,0)</f>
        <v>0</v>
      </c>
      <c r="AH452" s="180">
        <f>IF(AF452="כן",M452*'גנים ובתי ספר- מבנה תקציב'!$I$59,0)</f>
        <v>0</v>
      </c>
      <c r="AI452" s="180">
        <f t="shared" si="134"/>
        <v>0</v>
      </c>
      <c r="AJ452" s="368" t="str">
        <f t="shared" si="122"/>
        <v/>
      </c>
    </row>
    <row r="453" spans="1:36" x14ac:dyDescent="0.25">
      <c r="A453" s="57">
        <v>433</v>
      </c>
      <c r="B453" s="690"/>
      <c r="C453" s="690"/>
      <c r="D453" s="252">
        <f>(IFERROR(SUMIF('מצבת והרשמה (2)'!$F$21:$F$501,'דוח ביצוע (3)'!$B453,'מצבת והרשמה (2)'!$J$21:$J$501),0))</f>
        <v>0</v>
      </c>
      <c r="E453" s="252">
        <f>IFERROR(SUMIF('מצבת והרשמה (2)'!$F$21:$F$501,'דוח ביצוע (3)'!$B453,'מצבת והרשמה (2)'!$K$21:$K$501),0)</f>
        <v>0</v>
      </c>
      <c r="F453" s="253">
        <f t="shared" si="123"/>
        <v>0</v>
      </c>
      <c r="G453" s="680"/>
      <c r="H453" s="680"/>
      <c r="I453" s="253">
        <f t="shared" si="116"/>
        <v>0</v>
      </c>
      <c r="J453" s="453">
        <f t="shared" si="124"/>
        <v>0</v>
      </c>
      <c r="K453" s="689"/>
      <c r="L453" s="689"/>
      <c r="M453" s="969">
        <f t="shared" si="125"/>
        <v>0</v>
      </c>
      <c r="N453" s="1029" t="str">
        <f t="shared" si="126"/>
        <v/>
      </c>
      <c r="O453" s="969" t="str">
        <f>IFERROR(VLOOKUP(B453,'נתוני רישום ומצבת'!B:Q,16,0),"")</f>
        <v/>
      </c>
      <c r="P453" s="969" t="str">
        <f>IFERROR(VLOOKUP(B453,'נתוני רישום ומצבת'!B:R,17,0),"")</f>
        <v/>
      </c>
      <c r="Q453" s="690"/>
      <c r="R453" s="1009"/>
      <c r="S453" s="376">
        <f t="shared" si="127"/>
        <v>0</v>
      </c>
      <c r="T453" s="376">
        <f t="shared" si="128"/>
        <v>0</v>
      </c>
      <c r="U453" s="386">
        <f t="shared" si="129"/>
        <v>0</v>
      </c>
      <c r="V453" s="513" t="str">
        <f t="shared" si="130"/>
        <v/>
      </c>
      <c r="W453" s="254" t="str">
        <f>IF(ISBLANK(B453)," ",IF(B453=IFERROR(VLOOKUP(B453,'מצבת והרשמה (2)'!F:F,1,0),0),"תקין","לא קיים במצבת כבית ספר בו מתקיימת פעילות"))</f>
        <v xml:space="preserve"> </v>
      </c>
      <c r="X453" s="256" t="str">
        <f t="shared" si="117"/>
        <v/>
      </c>
      <c r="Y453" s="256" t="str">
        <f t="shared" si="118"/>
        <v/>
      </c>
      <c r="Z453" s="741">
        <f t="shared" si="119"/>
        <v>0</v>
      </c>
      <c r="AA453" s="741">
        <f t="shared" si="120"/>
        <v>0</v>
      </c>
      <c r="AB453" s="741">
        <f t="shared" si="121"/>
        <v>0</v>
      </c>
      <c r="AC453" s="987">
        <f t="shared" si="131"/>
        <v>0</v>
      </c>
      <c r="AD453" s="987">
        <f t="shared" si="132"/>
        <v>0</v>
      </c>
      <c r="AE453" s="368" t="str">
        <f>IFERROR(VLOOKUP(B453,'[1]סיכום בקרת רשויות'!$A:$D,4,0),"")</f>
        <v/>
      </c>
      <c r="AF453" s="57" t="str">
        <f t="shared" si="133"/>
        <v/>
      </c>
      <c r="AG453" s="180">
        <f>IF(AF453="כן",M453*'גנים ובתי ספר- מבנה תקציב'!$H$59,0)</f>
        <v>0</v>
      </c>
      <c r="AH453" s="180">
        <f>IF(AF453="כן",M453*'גנים ובתי ספר- מבנה תקציב'!$I$59,0)</f>
        <v>0</v>
      </c>
      <c r="AI453" s="180">
        <f t="shared" si="134"/>
        <v>0</v>
      </c>
      <c r="AJ453" s="368" t="str">
        <f t="shared" si="122"/>
        <v/>
      </c>
    </row>
    <row r="454" spans="1:36" x14ac:dyDescent="0.25">
      <c r="A454" s="57">
        <v>434</v>
      </c>
      <c r="B454" s="690"/>
      <c r="C454" s="690"/>
      <c r="D454" s="252">
        <f>(IFERROR(SUMIF('מצבת והרשמה (2)'!$F$21:$F$501,'דוח ביצוע (3)'!$B454,'מצבת והרשמה (2)'!$J$21:$J$501),0))</f>
        <v>0</v>
      </c>
      <c r="E454" s="252">
        <f>IFERROR(SUMIF('מצבת והרשמה (2)'!$F$21:$F$501,'דוח ביצוע (3)'!$B454,'מצבת והרשמה (2)'!$K$21:$K$501),0)</f>
        <v>0</v>
      </c>
      <c r="F454" s="253">
        <f t="shared" si="123"/>
        <v>0</v>
      </c>
      <c r="G454" s="680"/>
      <c r="H454" s="680"/>
      <c r="I454" s="253">
        <f t="shared" si="116"/>
        <v>0</v>
      </c>
      <c r="J454" s="453">
        <f t="shared" si="124"/>
        <v>0</v>
      </c>
      <c r="K454" s="689"/>
      <c r="L454" s="689"/>
      <c r="M454" s="969">
        <f t="shared" si="125"/>
        <v>0</v>
      </c>
      <c r="N454" s="1029" t="str">
        <f t="shared" si="126"/>
        <v/>
      </c>
      <c r="O454" s="969" t="str">
        <f>IFERROR(VLOOKUP(B454,'נתוני רישום ומצבת'!B:Q,16,0),"")</f>
        <v/>
      </c>
      <c r="P454" s="969" t="str">
        <f>IFERROR(VLOOKUP(B454,'נתוני רישום ומצבת'!B:R,17,0),"")</f>
        <v/>
      </c>
      <c r="Q454" s="690"/>
      <c r="R454" s="1009"/>
      <c r="S454" s="376">
        <f t="shared" si="127"/>
        <v>0</v>
      </c>
      <c r="T454" s="376">
        <f t="shared" si="128"/>
        <v>0</v>
      </c>
      <c r="U454" s="386">
        <f t="shared" si="129"/>
        <v>0</v>
      </c>
      <c r="V454" s="513" t="str">
        <f t="shared" si="130"/>
        <v/>
      </c>
      <c r="W454" s="254" t="str">
        <f>IF(ISBLANK(B454)," ",IF(B454=IFERROR(VLOOKUP(B454,'מצבת והרשמה (2)'!F:F,1,0),0),"תקין","לא קיים במצבת כבית ספר בו מתקיימת פעילות"))</f>
        <v xml:space="preserve"> </v>
      </c>
      <c r="X454" s="256" t="str">
        <f t="shared" si="117"/>
        <v/>
      </c>
      <c r="Y454" s="256" t="str">
        <f t="shared" si="118"/>
        <v/>
      </c>
      <c r="Z454" s="741">
        <f t="shared" si="119"/>
        <v>0</v>
      </c>
      <c r="AA454" s="741">
        <f t="shared" si="120"/>
        <v>0</v>
      </c>
      <c r="AB454" s="741">
        <f t="shared" si="121"/>
        <v>0</v>
      </c>
      <c r="AC454" s="987">
        <f t="shared" si="131"/>
        <v>0</v>
      </c>
      <c r="AD454" s="987">
        <f t="shared" si="132"/>
        <v>0</v>
      </c>
      <c r="AE454" s="368" t="str">
        <f>IFERROR(VLOOKUP(B454,'[1]סיכום בקרת רשויות'!$A:$D,4,0),"")</f>
        <v/>
      </c>
      <c r="AF454" s="57" t="str">
        <f t="shared" si="133"/>
        <v/>
      </c>
      <c r="AG454" s="180">
        <f>IF(AF454="כן",M454*'גנים ובתי ספר- מבנה תקציב'!$H$59,0)</f>
        <v>0</v>
      </c>
      <c r="AH454" s="180">
        <f>IF(AF454="כן",M454*'גנים ובתי ספר- מבנה תקציב'!$I$59,0)</f>
        <v>0</v>
      </c>
      <c r="AI454" s="180">
        <f t="shared" si="134"/>
        <v>0</v>
      </c>
      <c r="AJ454" s="368" t="str">
        <f t="shared" si="122"/>
        <v/>
      </c>
    </row>
    <row r="455" spans="1:36" x14ac:dyDescent="0.25">
      <c r="A455" s="57">
        <v>435</v>
      </c>
      <c r="B455" s="690"/>
      <c r="C455" s="690"/>
      <c r="D455" s="252">
        <f>(IFERROR(SUMIF('מצבת והרשמה (2)'!$F$21:$F$501,'דוח ביצוע (3)'!$B455,'מצבת והרשמה (2)'!$J$21:$J$501),0))</f>
        <v>0</v>
      </c>
      <c r="E455" s="252">
        <f>IFERROR(SUMIF('מצבת והרשמה (2)'!$F$21:$F$501,'דוח ביצוע (3)'!$B455,'מצבת והרשמה (2)'!$K$21:$K$501),0)</f>
        <v>0</v>
      </c>
      <c r="F455" s="253">
        <f t="shared" si="123"/>
        <v>0</v>
      </c>
      <c r="G455" s="680"/>
      <c r="H455" s="680"/>
      <c r="I455" s="253">
        <f t="shared" ref="I455:I518" si="135">H455+G455</f>
        <v>0</v>
      </c>
      <c r="J455" s="453">
        <f t="shared" si="124"/>
        <v>0</v>
      </c>
      <c r="K455" s="689"/>
      <c r="L455" s="689"/>
      <c r="M455" s="969">
        <f t="shared" si="125"/>
        <v>0</v>
      </c>
      <c r="N455" s="1029" t="str">
        <f t="shared" si="126"/>
        <v/>
      </c>
      <c r="O455" s="969" t="str">
        <f>IFERROR(VLOOKUP(B455,'נתוני רישום ומצבת'!B:Q,16,0),"")</f>
        <v/>
      </c>
      <c r="P455" s="969" t="str">
        <f>IFERROR(VLOOKUP(B455,'נתוני רישום ומצבת'!B:R,17,0),"")</f>
        <v/>
      </c>
      <c r="Q455" s="690"/>
      <c r="R455" s="1009"/>
      <c r="S455" s="376">
        <f t="shared" si="127"/>
        <v>0</v>
      </c>
      <c r="T455" s="376">
        <f t="shared" si="128"/>
        <v>0</v>
      </c>
      <c r="U455" s="386">
        <f t="shared" si="129"/>
        <v>0</v>
      </c>
      <c r="V455" s="513" t="str">
        <f t="shared" si="130"/>
        <v/>
      </c>
      <c r="W455" s="254" t="str">
        <f>IF(ISBLANK(B455)," ",IF(B455=IFERROR(VLOOKUP(B455,'מצבת והרשמה (2)'!F:F,1,0),0),"תקין","לא קיים במצבת כבית ספר בו מתקיימת פעילות"))</f>
        <v xml:space="preserve"> </v>
      </c>
      <c r="X455" s="256" t="str">
        <f t="shared" si="117"/>
        <v/>
      </c>
      <c r="Y455" s="256" t="str">
        <f t="shared" si="118"/>
        <v/>
      </c>
      <c r="Z455" s="741">
        <f t="shared" si="119"/>
        <v>0</v>
      </c>
      <c r="AA455" s="741">
        <f t="shared" si="120"/>
        <v>0</v>
      </c>
      <c r="AB455" s="741">
        <f t="shared" si="121"/>
        <v>0</v>
      </c>
      <c r="AC455" s="987">
        <f t="shared" si="131"/>
        <v>0</v>
      </c>
      <c r="AD455" s="987">
        <f t="shared" si="132"/>
        <v>0</v>
      </c>
      <c r="AE455" s="368" t="str">
        <f>IFERROR(VLOOKUP(B455,'[1]סיכום בקרת רשויות'!$A:$D,4,0),"")</f>
        <v/>
      </c>
      <c r="AF455" s="57" t="str">
        <f t="shared" si="133"/>
        <v/>
      </c>
      <c r="AG455" s="180">
        <f>IF(AF455="כן",M455*'גנים ובתי ספר- מבנה תקציב'!$H$59,0)</f>
        <v>0</v>
      </c>
      <c r="AH455" s="180">
        <f>IF(AF455="כן",M455*'גנים ובתי ספר- מבנה תקציב'!$I$59,0)</f>
        <v>0</v>
      </c>
      <c r="AI455" s="180">
        <f t="shared" si="134"/>
        <v>0</v>
      </c>
      <c r="AJ455" s="368" t="str">
        <f t="shared" si="122"/>
        <v/>
      </c>
    </row>
    <row r="456" spans="1:36" x14ac:dyDescent="0.25">
      <c r="A456" s="57">
        <v>436</v>
      </c>
      <c r="B456" s="690"/>
      <c r="C456" s="690"/>
      <c r="D456" s="252">
        <f>(IFERROR(SUMIF('מצבת והרשמה (2)'!$F$21:$F$501,'דוח ביצוע (3)'!$B456,'מצבת והרשמה (2)'!$J$21:$J$501),0))</f>
        <v>0</v>
      </c>
      <c r="E456" s="252">
        <f>IFERROR(SUMIF('מצבת והרשמה (2)'!$F$21:$F$501,'דוח ביצוע (3)'!$B456,'מצבת והרשמה (2)'!$K$21:$K$501),0)</f>
        <v>0</v>
      </c>
      <c r="F456" s="253">
        <f t="shared" si="123"/>
        <v>0</v>
      </c>
      <c r="G456" s="680"/>
      <c r="H456" s="680"/>
      <c r="I456" s="253">
        <f t="shared" si="135"/>
        <v>0</v>
      </c>
      <c r="J456" s="453">
        <f t="shared" si="124"/>
        <v>0</v>
      </c>
      <c r="K456" s="689"/>
      <c r="L456" s="689"/>
      <c r="M456" s="969">
        <f t="shared" si="125"/>
        <v>0</v>
      </c>
      <c r="N456" s="1029" t="str">
        <f t="shared" si="126"/>
        <v/>
      </c>
      <c r="O456" s="969" t="str">
        <f>IFERROR(VLOOKUP(B456,'נתוני רישום ומצבת'!B:Q,16,0),"")</f>
        <v/>
      </c>
      <c r="P456" s="969" t="str">
        <f>IFERROR(VLOOKUP(B456,'נתוני רישום ומצבת'!B:R,17,0),"")</f>
        <v/>
      </c>
      <c r="Q456" s="690"/>
      <c r="R456" s="1009"/>
      <c r="S456" s="376">
        <f t="shared" si="127"/>
        <v>0</v>
      </c>
      <c r="T456" s="376">
        <f t="shared" si="128"/>
        <v>0</v>
      </c>
      <c r="U456" s="386">
        <f t="shared" si="129"/>
        <v>0</v>
      </c>
      <c r="V456" s="513" t="str">
        <f t="shared" si="130"/>
        <v/>
      </c>
      <c r="W456" s="254" t="str">
        <f>IF(ISBLANK(B456)," ",IF(B456=IFERROR(VLOOKUP(B456,'מצבת והרשמה (2)'!F:F,1,0),0),"תקין","לא קיים במצבת כבית ספר בו מתקיימת פעילות"))</f>
        <v xml:space="preserve"> </v>
      </c>
      <c r="X456" s="256" t="str">
        <f t="shared" si="117"/>
        <v/>
      </c>
      <c r="Y456" s="256" t="str">
        <f t="shared" si="118"/>
        <v/>
      </c>
      <c r="Z456" s="741">
        <f t="shared" si="119"/>
        <v>0</v>
      </c>
      <c r="AA456" s="741">
        <f t="shared" si="120"/>
        <v>0</v>
      </c>
      <c r="AB456" s="741">
        <f t="shared" si="121"/>
        <v>0</v>
      </c>
      <c r="AC456" s="987">
        <f t="shared" si="131"/>
        <v>0</v>
      </c>
      <c r="AD456" s="987">
        <f t="shared" si="132"/>
        <v>0</v>
      </c>
      <c r="AE456" s="368" t="str">
        <f>IFERROR(VLOOKUP(B456,'[1]סיכום בקרת רשויות'!$A:$D,4,0),"")</f>
        <v/>
      </c>
      <c r="AF456" s="57" t="str">
        <f t="shared" si="133"/>
        <v/>
      </c>
      <c r="AG456" s="180">
        <f>IF(AF456="כן",M456*'גנים ובתי ספר- מבנה תקציב'!$H$59,0)</f>
        <v>0</v>
      </c>
      <c r="AH456" s="180">
        <f>IF(AF456="כן",M456*'גנים ובתי ספר- מבנה תקציב'!$I$59,0)</f>
        <v>0</v>
      </c>
      <c r="AI456" s="180">
        <f t="shared" si="134"/>
        <v>0</v>
      </c>
      <c r="AJ456" s="368" t="str">
        <f t="shared" si="122"/>
        <v/>
      </c>
    </row>
    <row r="457" spans="1:36" x14ac:dyDescent="0.25">
      <c r="A457" s="57">
        <v>437</v>
      </c>
      <c r="B457" s="690"/>
      <c r="C457" s="690"/>
      <c r="D457" s="252">
        <f>(IFERROR(SUMIF('מצבת והרשמה (2)'!$F$21:$F$501,'דוח ביצוע (3)'!$B457,'מצבת והרשמה (2)'!$J$21:$J$501),0))</f>
        <v>0</v>
      </c>
      <c r="E457" s="252">
        <f>IFERROR(SUMIF('מצבת והרשמה (2)'!$F$21:$F$501,'דוח ביצוע (3)'!$B457,'מצבת והרשמה (2)'!$K$21:$K$501),0)</f>
        <v>0</v>
      </c>
      <c r="F457" s="253">
        <f t="shared" si="123"/>
        <v>0</v>
      </c>
      <c r="G457" s="680"/>
      <c r="H457" s="680"/>
      <c r="I457" s="253">
        <f t="shared" si="135"/>
        <v>0</v>
      </c>
      <c r="J457" s="453">
        <f t="shared" si="124"/>
        <v>0</v>
      </c>
      <c r="K457" s="689"/>
      <c r="L457" s="689"/>
      <c r="M457" s="969">
        <f t="shared" si="125"/>
        <v>0</v>
      </c>
      <c r="N457" s="1029" t="str">
        <f t="shared" si="126"/>
        <v/>
      </c>
      <c r="O457" s="969" t="str">
        <f>IFERROR(VLOOKUP(B457,'נתוני רישום ומצבת'!B:Q,16,0),"")</f>
        <v/>
      </c>
      <c r="P457" s="969" t="str">
        <f>IFERROR(VLOOKUP(B457,'נתוני רישום ומצבת'!B:R,17,0),"")</f>
        <v/>
      </c>
      <c r="Q457" s="690"/>
      <c r="R457" s="1009"/>
      <c r="S457" s="376">
        <f t="shared" si="127"/>
        <v>0</v>
      </c>
      <c r="T457" s="376">
        <f t="shared" si="128"/>
        <v>0</v>
      </c>
      <c r="U457" s="386">
        <f t="shared" si="129"/>
        <v>0</v>
      </c>
      <c r="V457" s="513" t="str">
        <f t="shared" si="130"/>
        <v/>
      </c>
      <c r="W457" s="254" t="str">
        <f>IF(ISBLANK(B457)," ",IF(B457=IFERROR(VLOOKUP(B457,'מצבת והרשמה (2)'!F:F,1,0),0),"תקין","לא קיים במצבת כבית ספר בו מתקיימת פעילות"))</f>
        <v xml:space="preserve"> </v>
      </c>
      <c r="X457" s="256" t="str">
        <f t="shared" si="117"/>
        <v/>
      </c>
      <c r="Y457" s="256" t="str">
        <f t="shared" si="118"/>
        <v/>
      </c>
      <c r="Z457" s="741">
        <f t="shared" si="119"/>
        <v>0</v>
      </c>
      <c r="AA457" s="741">
        <f t="shared" si="120"/>
        <v>0</v>
      </c>
      <c r="AB457" s="741">
        <f t="shared" si="121"/>
        <v>0</v>
      </c>
      <c r="AC457" s="987">
        <f t="shared" si="131"/>
        <v>0</v>
      </c>
      <c r="AD457" s="987">
        <f t="shared" si="132"/>
        <v>0</v>
      </c>
      <c r="AE457" s="368" t="str">
        <f>IFERROR(VLOOKUP(B457,'[1]סיכום בקרת רשויות'!$A:$D,4,0),"")</f>
        <v/>
      </c>
      <c r="AF457" s="57" t="str">
        <f t="shared" si="133"/>
        <v/>
      </c>
      <c r="AG457" s="180">
        <f>IF(AF457="כן",M457*'גנים ובתי ספר- מבנה תקציב'!$H$59,0)</f>
        <v>0</v>
      </c>
      <c r="AH457" s="180">
        <f>IF(AF457="כן",M457*'גנים ובתי ספר- מבנה תקציב'!$I$59,0)</f>
        <v>0</v>
      </c>
      <c r="AI457" s="180">
        <f t="shared" si="134"/>
        <v>0</v>
      </c>
      <c r="AJ457" s="368" t="str">
        <f t="shared" si="122"/>
        <v/>
      </c>
    </row>
    <row r="458" spans="1:36" x14ac:dyDescent="0.25">
      <c r="A458" s="57">
        <v>438</v>
      </c>
      <c r="B458" s="690"/>
      <c r="C458" s="690"/>
      <c r="D458" s="252">
        <f>(IFERROR(SUMIF('מצבת והרשמה (2)'!$F$21:$F$501,'דוח ביצוע (3)'!$B458,'מצבת והרשמה (2)'!$J$21:$J$501),0))</f>
        <v>0</v>
      </c>
      <c r="E458" s="252">
        <f>IFERROR(SUMIF('מצבת והרשמה (2)'!$F$21:$F$501,'דוח ביצוע (3)'!$B458,'מצבת והרשמה (2)'!$K$21:$K$501),0)</f>
        <v>0</v>
      </c>
      <c r="F458" s="253">
        <f t="shared" si="123"/>
        <v>0</v>
      </c>
      <c r="G458" s="680"/>
      <c r="H458" s="680"/>
      <c r="I458" s="253">
        <f t="shared" si="135"/>
        <v>0</v>
      </c>
      <c r="J458" s="453">
        <f t="shared" si="124"/>
        <v>0</v>
      </c>
      <c r="K458" s="689"/>
      <c r="L458" s="689"/>
      <c r="M458" s="969">
        <f t="shared" si="125"/>
        <v>0</v>
      </c>
      <c r="N458" s="1029" t="str">
        <f t="shared" si="126"/>
        <v/>
      </c>
      <c r="O458" s="969" t="str">
        <f>IFERROR(VLOOKUP(B458,'נתוני רישום ומצבת'!B:Q,16,0),"")</f>
        <v/>
      </c>
      <c r="P458" s="969" t="str">
        <f>IFERROR(VLOOKUP(B458,'נתוני רישום ומצבת'!B:R,17,0),"")</f>
        <v/>
      </c>
      <c r="Q458" s="690"/>
      <c r="R458" s="1009"/>
      <c r="S458" s="376">
        <f t="shared" si="127"/>
        <v>0</v>
      </c>
      <c r="T458" s="376">
        <f t="shared" si="128"/>
        <v>0</v>
      </c>
      <c r="U458" s="386">
        <f t="shared" si="129"/>
        <v>0</v>
      </c>
      <c r="V458" s="513" t="str">
        <f t="shared" si="130"/>
        <v/>
      </c>
      <c r="W458" s="254" t="str">
        <f>IF(ISBLANK(B458)," ",IF(B458=IFERROR(VLOOKUP(B458,'מצבת והרשמה (2)'!F:F,1,0),0),"תקין","לא קיים במצבת כבית ספר בו מתקיימת פעילות"))</f>
        <v xml:space="preserve"> </v>
      </c>
      <c r="X458" s="256" t="str">
        <f t="shared" si="117"/>
        <v/>
      </c>
      <c r="Y458" s="256" t="str">
        <f t="shared" si="118"/>
        <v/>
      </c>
      <c r="Z458" s="741">
        <f t="shared" si="119"/>
        <v>0</v>
      </c>
      <c r="AA458" s="741">
        <f t="shared" si="120"/>
        <v>0</v>
      </c>
      <c r="AB458" s="741">
        <f t="shared" si="121"/>
        <v>0</v>
      </c>
      <c r="AC458" s="987">
        <f t="shared" si="131"/>
        <v>0</v>
      </c>
      <c r="AD458" s="987">
        <f t="shared" si="132"/>
        <v>0</v>
      </c>
      <c r="AE458" s="368" t="str">
        <f>IFERROR(VLOOKUP(B458,'[1]סיכום בקרת רשויות'!$A:$D,4,0),"")</f>
        <v/>
      </c>
      <c r="AF458" s="57" t="str">
        <f t="shared" si="133"/>
        <v/>
      </c>
      <c r="AG458" s="180">
        <f>IF(AF458="כן",M458*'גנים ובתי ספר- מבנה תקציב'!$H$59,0)</f>
        <v>0</v>
      </c>
      <c r="AH458" s="180">
        <f>IF(AF458="כן",M458*'גנים ובתי ספר- מבנה תקציב'!$I$59,0)</f>
        <v>0</v>
      </c>
      <c r="AI458" s="180">
        <f t="shared" si="134"/>
        <v>0</v>
      </c>
      <c r="AJ458" s="368" t="str">
        <f t="shared" si="122"/>
        <v/>
      </c>
    </row>
    <row r="459" spans="1:36" x14ac:dyDescent="0.25">
      <c r="A459" s="57">
        <v>439</v>
      </c>
      <c r="B459" s="690"/>
      <c r="C459" s="690"/>
      <c r="D459" s="252">
        <f>(IFERROR(SUMIF('מצבת והרשמה (2)'!$F$21:$F$501,'דוח ביצוע (3)'!$B459,'מצבת והרשמה (2)'!$J$21:$J$501),0))</f>
        <v>0</v>
      </c>
      <c r="E459" s="252">
        <f>IFERROR(SUMIF('מצבת והרשמה (2)'!$F$21:$F$501,'דוח ביצוע (3)'!$B459,'מצבת והרשמה (2)'!$K$21:$K$501),0)</f>
        <v>0</v>
      </c>
      <c r="F459" s="253">
        <f t="shared" si="123"/>
        <v>0</v>
      </c>
      <c r="G459" s="680"/>
      <c r="H459" s="680"/>
      <c r="I459" s="253">
        <f t="shared" si="135"/>
        <v>0</v>
      </c>
      <c r="J459" s="453">
        <f t="shared" si="124"/>
        <v>0</v>
      </c>
      <c r="K459" s="689"/>
      <c r="L459" s="689"/>
      <c r="M459" s="969">
        <f t="shared" si="125"/>
        <v>0</v>
      </c>
      <c r="N459" s="1029" t="str">
        <f t="shared" si="126"/>
        <v/>
      </c>
      <c r="O459" s="969" t="str">
        <f>IFERROR(VLOOKUP(B459,'נתוני רישום ומצבת'!B:Q,16,0),"")</f>
        <v/>
      </c>
      <c r="P459" s="969" t="str">
        <f>IFERROR(VLOOKUP(B459,'נתוני רישום ומצבת'!B:R,17,0),"")</f>
        <v/>
      </c>
      <c r="Q459" s="690"/>
      <c r="R459" s="1009"/>
      <c r="S459" s="376">
        <f t="shared" si="127"/>
        <v>0</v>
      </c>
      <c r="T459" s="376">
        <f t="shared" si="128"/>
        <v>0</v>
      </c>
      <c r="U459" s="386">
        <f t="shared" si="129"/>
        <v>0</v>
      </c>
      <c r="V459" s="513" t="str">
        <f t="shared" si="130"/>
        <v/>
      </c>
      <c r="W459" s="254" t="str">
        <f>IF(ISBLANK(B459)," ",IF(B459=IFERROR(VLOOKUP(B459,'מצבת והרשמה (2)'!F:F,1,0),0),"תקין","לא קיים במצבת כבית ספר בו מתקיימת פעילות"))</f>
        <v xml:space="preserve"> </v>
      </c>
      <c r="X459" s="256" t="str">
        <f t="shared" si="117"/>
        <v/>
      </c>
      <c r="Y459" s="256" t="str">
        <f t="shared" si="118"/>
        <v/>
      </c>
      <c r="Z459" s="741">
        <f t="shared" si="119"/>
        <v>0</v>
      </c>
      <c r="AA459" s="741">
        <f t="shared" si="120"/>
        <v>0</v>
      </c>
      <c r="AB459" s="741">
        <f t="shared" si="121"/>
        <v>0</v>
      </c>
      <c r="AC459" s="987">
        <f t="shared" si="131"/>
        <v>0</v>
      </c>
      <c r="AD459" s="987">
        <f t="shared" si="132"/>
        <v>0</v>
      </c>
      <c r="AE459" s="368" t="str">
        <f>IFERROR(VLOOKUP(B459,'[1]סיכום בקרת רשויות'!$A:$D,4,0),"")</f>
        <v/>
      </c>
      <c r="AF459" s="57" t="str">
        <f t="shared" si="133"/>
        <v/>
      </c>
      <c r="AG459" s="180">
        <f>IF(AF459="כן",M459*'גנים ובתי ספר- מבנה תקציב'!$H$59,0)</f>
        <v>0</v>
      </c>
      <c r="AH459" s="180">
        <f>IF(AF459="כן",M459*'גנים ובתי ספר- מבנה תקציב'!$I$59,0)</f>
        <v>0</v>
      </c>
      <c r="AI459" s="180">
        <f t="shared" si="134"/>
        <v>0</v>
      </c>
      <c r="AJ459" s="368" t="str">
        <f t="shared" si="122"/>
        <v/>
      </c>
    </row>
    <row r="460" spans="1:36" x14ac:dyDescent="0.25">
      <c r="A460" s="57">
        <v>440</v>
      </c>
      <c r="B460" s="690"/>
      <c r="C460" s="690"/>
      <c r="D460" s="252">
        <f>(IFERROR(SUMIF('מצבת והרשמה (2)'!$F$21:$F$501,'דוח ביצוע (3)'!$B460,'מצבת והרשמה (2)'!$J$21:$J$501),0))</f>
        <v>0</v>
      </c>
      <c r="E460" s="252">
        <f>IFERROR(SUMIF('מצבת והרשמה (2)'!$F$21:$F$501,'דוח ביצוע (3)'!$B460,'מצבת והרשמה (2)'!$K$21:$K$501),0)</f>
        <v>0</v>
      </c>
      <c r="F460" s="253">
        <f t="shared" si="123"/>
        <v>0</v>
      </c>
      <c r="G460" s="680"/>
      <c r="H460" s="680"/>
      <c r="I460" s="253">
        <f t="shared" si="135"/>
        <v>0</v>
      </c>
      <c r="J460" s="453">
        <f t="shared" si="124"/>
        <v>0</v>
      </c>
      <c r="K460" s="689"/>
      <c r="L460" s="689"/>
      <c r="M460" s="969">
        <f t="shared" si="125"/>
        <v>0</v>
      </c>
      <c r="N460" s="1029" t="str">
        <f t="shared" si="126"/>
        <v/>
      </c>
      <c r="O460" s="969" t="str">
        <f>IFERROR(VLOOKUP(B460,'נתוני רישום ומצבת'!B:Q,16,0),"")</f>
        <v/>
      </c>
      <c r="P460" s="969" t="str">
        <f>IFERROR(VLOOKUP(B460,'נתוני רישום ומצבת'!B:R,17,0),"")</f>
        <v/>
      </c>
      <c r="Q460" s="690"/>
      <c r="R460" s="1009"/>
      <c r="S460" s="376">
        <f t="shared" si="127"/>
        <v>0</v>
      </c>
      <c r="T460" s="376">
        <f t="shared" si="128"/>
        <v>0</v>
      </c>
      <c r="U460" s="386">
        <f t="shared" si="129"/>
        <v>0</v>
      </c>
      <c r="V460" s="513" t="str">
        <f t="shared" si="130"/>
        <v/>
      </c>
      <c r="W460" s="254" t="str">
        <f>IF(ISBLANK(B460)," ",IF(B460=IFERROR(VLOOKUP(B460,'מצבת והרשמה (2)'!F:F,1,0),0),"תקין","לא קיים במצבת כבית ספר בו מתקיימת פעילות"))</f>
        <v xml:space="preserve"> </v>
      </c>
      <c r="X460" s="256" t="str">
        <f t="shared" si="117"/>
        <v/>
      </c>
      <c r="Y460" s="256" t="str">
        <f t="shared" si="118"/>
        <v/>
      </c>
      <c r="Z460" s="741">
        <f t="shared" si="119"/>
        <v>0</v>
      </c>
      <c r="AA460" s="741">
        <f t="shared" si="120"/>
        <v>0</v>
      </c>
      <c r="AB460" s="741">
        <f t="shared" si="121"/>
        <v>0</v>
      </c>
      <c r="AC460" s="987">
        <f t="shared" si="131"/>
        <v>0</v>
      </c>
      <c r="AD460" s="987">
        <f t="shared" si="132"/>
        <v>0</v>
      </c>
      <c r="AE460" s="368" t="str">
        <f>IFERROR(VLOOKUP(B460,'[1]סיכום בקרת רשויות'!$A:$D,4,0),"")</f>
        <v/>
      </c>
      <c r="AF460" s="57" t="str">
        <f t="shared" si="133"/>
        <v/>
      </c>
      <c r="AG460" s="180">
        <f>IF(AF460="כן",M460*'גנים ובתי ספר- מבנה תקציב'!$H$59,0)</f>
        <v>0</v>
      </c>
      <c r="AH460" s="180">
        <f>IF(AF460="כן",M460*'גנים ובתי ספר- מבנה תקציב'!$I$59,0)</f>
        <v>0</v>
      </c>
      <c r="AI460" s="180">
        <f t="shared" si="134"/>
        <v>0</v>
      </c>
      <c r="AJ460" s="368" t="str">
        <f t="shared" si="122"/>
        <v/>
      </c>
    </row>
    <row r="461" spans="1:36" x14ac:dyDescent="0.25">
      <c r="A461" s="57">
        <v>441</v>
      </c>
      <c r="B461" s="690"/>
      <c r="C461" s="690"/>
      <c r="D461" s="252">
        <f>(IFERROR(SUMIF('מצבת והרשמה (2)'!$F$21:$F$501,'דוח ביצוע (3)'!$B461,'מצבת והרשמה (2)'!$J$21:$J$501),0))</f>
        <v>0</v>
      </c>
      <c r="E461" s="252">
        <f>IFERROR(SUMIF('מצבת והרשמה (2)'!$F$21:$F$501,'דוח ביצוע (3)'!$B461,'מצבת והרשמה (2)'!$K$21:$K$501),0)</f>
        <v>0</v>
      </c>
      <c r="F461" s="253">
        <f t="shared" si="123"/>
        <v>0</v>
      </c>
      <c r="G461" s="680"/>
      <c r="H461" s="680"/>
      <c r="I461" s="253">
        <f t="shared" si="135"/>
        <v>0</v>
      </c>
      <c r="J461" s="453">
        <f t="shared" si="124"/>
        <v>0</v>
      </c>
      <c r="K461" s="689"/>
      <c r="L461" s="689"/>
      <c r="M461" s="969">
        <f t="shared" si="125"/>
        <v>0</v>
      </c>
      <c r="N461" s="1029" t="str">
        <f t="shared" si="126"/>
        <v/>
      </c>
      <c r="O461" s="969" t="str">
        <f>IFERROR(VLOOKUP(B461,'נתוני רישום ומצבת'!B:Q,16,0),"")</f>
        <v/>
      </c>
      <c r="P461" s="969" t="str">
        <f>IFERROR(VLOOKUP(B461,'נתוני רישום ומצבת'!B:R,17,0),"")</f>
        <v/>
      </c>
      <c r="Q461" s="690"/>
      <c r="R461" s="1009"/>
      <c r="S461" s="376">
        <f t="shared" si="127"/>
        <v>0</v>
      </c>
      <c r="T461" s="376">
        <f t="shared" si="128"/>
        <v>0</v>
      </c>
      <c r="U461" s="386">
        <f t="shared" si="129"/>
        <v>0</v>
      </c>
      <c r="V461" s="513" t="str">
        <f t="shared" si="130"/>
        <v/>
      </c>
      <c r="W461" s="254" t="str">
        <f>IF(ISBLANK(B461)," ",IF(B461=IFERROR(VLOOKUP(B461,'מצבת והרשמה (2)'!F:F,1,0),0),"תקין","לא קיים במצבת כבית ספר בו מתקיימת פעילות"))</f>
        <v xml:space="preserve"> </v>
      </c>
      <c r="X461" s="256" t="str">
        <f t="shared" si="117"/>
        <v/>
      </c>
      <c r="Y461" s="256" t="str">
        <f t="shared" si="118"/>
        <v/>
      </c>
      <c r="Z461" s="741">
        <f t="shared" si="119"/>
        <v>0</v>
      </c>
      <c r="AA461" s="741">
        <f t="shared" si="120"/>
        <v>0</v>
      </c>
      <c r="AB461" s="741">
        <f t="shared" si="121"/>
        <v>0</v>
      </c>
      <c r="AC461" s="987">
        <f t="shared" si="131"/>
        <v>0</v>
      </c>
      <c r="AD461" s="987">
        <f t="shared" si="132"/>
        <v>0</v>
      </c>
      <c r="AE461" s="368" t="str">
        <f>IFERROR(VLOOKUP(B461,'[1]סיכום בקרת רשויות'!$A:$D,4,0),"")</f>
        <v/>
      </c>
      <c r="AF461" s="57" t="str">
        <f t="shared" si="133"/>
        <v/>
      </c>
      <c r="AG461" s="180">
        <f>IF(AF461="כן",M461*'גנים ובתי ספר- מבנה תקציב'!$H$59,0)</f>
        <v>0</v>
      </c>
      <c r="AH461" s="180">
        <f>IF(AF461="כן",M461*'גנים ובתי ספר- מבנה תקציב'!$I$59,0)</f>
        <v>0</v>
      </c>
      <c r="AI461" s="180">
        <f t="shared" si="134"/>
        <v>0</v>
      </c>
      <c r="AJ461" s="368" t="str">
        <f t="shared" si="122"/>
        <v/>
      </c>
    </row>
    <row r="462" spans="1:36" x14ac:dyDescent="0.25">
      <c r="A462" s="57">
        <v>442</v>
      </c>
      <c r="B462" s="690"/>
      <c r="C462" s="690"/>
      <c r="D462" s="252">
        <f>(IFERROR(SUMIF('מצבת והרשמה (2)'!$F$21:$F$501,'דוח ביצוע (3)'!$B462,'מצבת והרשמה (2)'!$J$21:$J$501),0))</f>
        <v>0</v>
      </c>
      <c r="E462" s="252">
        <f>IFERROR(SUMIF('מצבת והרשמה (2)'!$F$21:$F$501,'דוח ביצוע (3)'!$B462,'מצבת והרשמה (2)'!$K$21:$K$501),0)</f>
        <v>0</v>
      </c>
      <c r="F462" s="253">
        <f t="shared" si="123"/>
        <v>0</v>
      </c>
      <c r="G462" s="680"/>
      <c r="H462" s="680"/>
      <c r="I462" s="253">
        <f t="shared" si="135"/>
        <v>0</v>
      </c>
      <c r="J462" s="453">
        <f t="shared" si="124"/>
        <v>0</v>
      </c>
      <c r="K462" s="689"/>
      <c r="L462" s="689"/>
      <c r="M462" s="969">
        <f t="shared" si="125"/>
        <v>0</v>
      </c>
      <c r="N462" s="1029" t="str">
        <f t="shared" si="126"/>
        <v/>
      </c>
      <c r="O462" s="969" t="str">
        <f>IFERROR(VLOOKUP(B462,'נתוני רישום ומצבת'!B:Q,16,0),"")</f>
        <v/>
      </c>
      <c r="P462" s="969" t="str">
        <f>IFERROR(VLOOKUP(B462,'נתוני רישום ומצבת'!B:R,17,0),"")</f>
        <v/>
      </c>
      <c r="Q462" s="690"/>
      <c r="R462" s="1009"/>
      <c r="S462" s="376">
        <f t="shared" si="127"/>
        <v>0</v>
      </c>
      <c r="T462" s="376">
        <f t="shared" si="128"/>
        <v>0</v>
      </c>
      <c r="U462" s="386">
        <f t="shared" si="129"/>
        <v>0</v>
      </c>
      <c r="V462" s="513" t="str">
        <f t="shared" si="130"/>
        <v/>
      </c>
      <c r="W462" s="254" t="str">
        <f>IF(ISBLANK(B462)," ",IF(B462=IFERROR(VLOOKUP(B462,'מצבת והרשמה (2)'!F:F,1,0),0),"תקין","לא קיים במצבת כבית ספר בו מתקיימת פעילות"))</f>
        <v xml:space="preserve"> </v>
      </c>
      <c r="X462" s="256" t="str">
        <f t="shared" si="117"/>
        <v/>
      </c>
      <c r="Y462" s="256" t="str">
        <f t="shared" si="118"/>
        <v/>
      </c>
      <c r="Z462" s="741">
        <f t="shared" si="119"/>
        <v>0</v>
      </c>
      <c r="AA462" s="741">
        <f t="shared" si="120"/>
        <v>0</v>
      </c>
      <c r="AB462" s="741">
        <f t="shared" si="121"/>
        <v>0</v>
      </c>
      <c r="AC462" s="987">
        <f t="shared" si="131"/>
        <v>0</v>
      </c>
      <c r="AD462" s="987">
        <f t="shared" si="132"/>
        <v>0</v>
      </c>
      <c r="AE462" s="368" t="str">
        <f>IFERROR(VLOOKUP(B462,'[1]סיכום בקרת רשויות'!$A:$D,4,0),"")</f>
        <v/>
      </c>
      <c r="AF462" s="57" t="str">
        <f t="shared" si="133"/>
        <v/>
      </c>
      <c r="AG462" s="180">
        <f>IF(AF462="כן",M462*'גנים ובתי ספר- מבנה תקציב'!$H$59,0)</f>
        <v>0</v>
      </c>
      <c r="AH462" s="180">
        <f>IF(AF462="כן",M462*'גנים ובתי ספר- מבנה תקציב'!$I$59,0)</f>
        <v>0</v>
      </c>
      <c r="AI462" s="180">
        <f t="shared" si="134"/>
        <v>0</v>
      </c>
      <c r="AJ462" s="368" t="str">
        <f t="shared" si="122"/>
        <v/>
      </c>
    </row>
    <row r="463" spans="1:36" x14ac:dyDescent="0.25">
      <c r="A463" s="57">
        <v>443</v>
      </c>
      <c r="B463" s="690"/>
      <c r="C463" s="690"/>
      <c r="D463" s="252">
        <f>(IFERROR(SUMIF('מצבת והרשמה (2)'!$F$21:$F$501,'דוח ביצוע (3)'!$B463,'מצבת והרשמה (2)'!$J$21:$J$501),0))</f>
        <v>0</v>
      </c>
      <c r="E463" s="252">
        <f>IFERROR(SUMIF('מצבת והרשמה (2)'!$F$21:$F$501,'דוח ביצוע (3)'!$B463,'מצבת והרשמה (2)'!$K$21:$K$501),0)</f>
        <v>0</v>
      </c>
      <c r="F463" s="253">
        <f t="shared" si="123"/>
        <v>0</v>
      </c>
      <c r="G463" s="680"/>
      <c r="H463" s="680"/>
      <c r="I463" s="253">
        <f t="shared" si="135"/>
        <v>0</v>
      </c>
      <c r="J463" s="453">
        <f t="shared" si="124"/>
        <v>0</v>
      </c>
      <c r="K463" s="689"/>
      <c r="L463" s="689"/>
      <c r="M463" s="969">
        <f t="shared" si="125"/>
        <v>0</v>
      </c>
      <c r="N463" s="1029" t="str">
        <f t="shared" si="126"/>
        <v/>
      </c>
      <c r="O463" s="969" t="str">
        <f>IFERROR(VLOOKUP(B463,'נתוני רישום ומצבת'!B:Q,16,0),"")</f>
        <v/>
      </c>
      <c r="P463" s="969" t="str">
        <f>IFERROR(VLOOKUP(B463,'נתוני רישום ומצבת'!B:R,17,0),"")</f>
        <v/>
      </c>
      <c r="Q463" s="690"/>
      <c r="R463" s="1009"/>
      <c r="S463" s="376">
        <f t="shared" si="127"/>
        <v>0</v>
      </c>
      <c r="T463" s="376">
        <f t="shared" si="128"/>
        <v>0</v>
      </c>
      <c r="U463" s="386">
        <f t="shared" si="129"/>
        <v>0</v>
      </c>
      <c r="V463" s="513" t="str">
        <f t="shared" si="130"/>
        <v/>
      </c>
      <c r="W463" s="254" t="str">
        <f>IF(ISBLANK(B463)," ",IF(B463=IFERROR(VLOOKUP(B463,'מצבת והרשמה (2)'!F:F,1,0),0),"תקין","לא קיים במצבת כבית ספר בו מתקיימת פעילות"))</f>
        <v xml:space="preserve"> </v>
      </c>
      <c r="X463" s="256" t="str">
        <f t="shared" si="117"/>
        <v/>
      </c>
      <c r="Y463" s="256" t="str">
        <f t="shared" si="118"/>
        <v/>
      </c>
      <c r="Z463" s="741">
        <f t="shared" si="119"/>
        <v>0</v>
      </c>
      <c r="AA463" s="741">
        <f t="shared" si="120"/>
        <v>0</v>
      </c>
      <c r="AB463" s="741">
        <f t="shared" si="121"/>
        <v>0</v>
      </c>
      <c r="AC463" s="987">
        <f t="shared" si="131"/>
        <v>0</v>
      </c>
      <c r="AD463" s="987">
        <f t="shared" si="132"/>
        <v>0</v>
      </c>
      <c r="AE463" s="368" t="str">
        <f>IFERROR(VLOOKUP(B463,'[1]סיכום בקרת רשויות'!$A:$D,4,0),"")</f>
        <v/>
      </c>
      <c r="AF463" s="57" t="str">
        <f t="shared" si="133"/>
        <v/>
      </c>
      <c r="AG463" s="180">
        <f>IF(AF463="כן",M463*'גנים ובתי ספר- מבנה תקציב'!$H$59,0)</f>
        <v>0</v>
      </c>
      <c r="AH463" s="180">
        <f>IF(AF463="כן",M463*'גנים ובתי ספר- מבנה תקציב'!$I$59,0)</f>
        <v>0</v>
      </c>
      <c r="AI463" s="180">
        <f t="shared" si="134"/>
        <v>0</v>
      </c>
      <c r="AJ463" s="368" t="str">
        <f t="shared" si="122"/>
        <v/>
      </c>
    </row>
    <row r="464" spans="1:36" x14ac:dyDescent="0.25">
      <c r="A464" s="57">
        <v>444</v>
      </c>
      <c r="B464" s="690"/>
      <c r="C464" s="690"/>
      <c r="D464" s="252">
        <f>(IFERROR(SUMIF('מצבת והרשמה (2)'!$F$21:$F$501,'דוח ביצוע (3)'!$B464,'מצבת והרשמה (2)'!$J$21:$J$501),0))</f>
        <v>0</v>
      </c>
      <c r="E464" s="252">
        <f>IFERROR(SUMIF('מצבת והרשמה (2)'!$F$21:$F$501,'דוח ביצוע (3)'!$B464,'מצבת והרשמה (2)'!$K$21:$K$501),0)</f>
        <v>0</v>
      </c>
      <c r="F464" s="253">
        <f t="shared" si="123"/>
        <v>0</v>
      </c>
      <c r="G464" s="680"/>
      <c r="H464" s="680"/>
      <c r="I464" s="253">
        <f t="shared" si="135"/>
        <v>0</v>
      </c>
      <c r="J464" s="453">
        <f t="shared" si="124"/>
        <v>0</v>
      </c>
      <c r="K464" s="689"/>
      <c r="L464" s="689"/>
      <c r="M464" s="969">
        <f t="shared" si="125"/>
        <v>0</v>
      </c>
      <c r="N464" s="1029" t="str">
        <f t="shared" si="126"/>
        <v/>
      </c>
      <c r="O464" s="969" t="str">
        <f>IFERROR(VLOOKUP(B464,'נתוני רישום ומצבת'!B:Q,16,0),"")</f>
        <v/>
      </c>
      <c r="P464" s="969" t="str">
        <f>IFERROR(VLOOKUP(B464,'נתוני רישום ומצבת'!B:R,17,0),"")</f>
        <v/>
      </c>
      <c r="Q464" s="690"/>
      <c r="R464" s="1009"/>
      <c r="S464" s="376">
        <f t="shared" si="127"/>
        <v>0</v>
      </c>
      <c r="T464" s="376">
        <f t="shared" si="128"/>
        <v>0</v>
      </c>
      <c r="U464" s="386">
        <f t="shared" si="129"/>
        <v>0</v>
      </c>
      <c r="V464" s="513" t="str">
        <f t="shared" si="130"/>
        <v/>
      </c>
      <c r="W464" s="254" t="str">
        <f>IF(ISBLANK(B464)," ",IF(B464=IFERROR(VLOOKUP(B464,'מצבת והרשמה (2)'!F:F,1,0),0),"תקין","לא קיים במצבת כבית ספר בו מתקיימת פעילות"))</f>
        <v xml:space="preserve"> </v>
      </c>
      <c r="X464" s="256" t="str">
        <f t="shared" si="117"/>
        <v/>
      </c>
      <c r="Y464" s="256" t="str">
        <f t="shared" si="118"/>
        <v/>
      </c>
      <c r="Z464" s="741">
        <f t="shared" si="119"/>
        <v>0</v>
      </c>
      <c r="AA464" s="741">
        <f t="shared" si="120"/>
        <v>0</v>
      </c>
      <c r="AB464" s="741">
        <f t="shared" si="121"/>
        <v>0</v>
      </c>
      <c r="AC464" s="987">
        <f t="shared" si="131"/>
        <v>0</v>
      </c>
      <c r="AD464" s="987">
        <f t="shared" si="132"/>
        <v>0</v>
      </c>
      <c r="AE464" s="368" t="str">
        <f>IFERROR(VLOOKUP(B464,'[1]סיכום בקרת רשויות'!$A:$D,4,0),"")</f>
        <v/>
      </c>
      <c r="AF464" s="57" t="str">
        <f t="shared" si="133"/>
        <v/>
      </c>
      <c r="AG464" s="180">
        <f>IF(AF464="כן",M464*'גנים ובתי ספר- מבנה תקציב'!$H$59,0)</f>
        <v>0</v>
      </c>
      <c r="AH464" s="180">
        <f>IF(AF464="כן",M464*'גנים ובתי ספר- מבנה תקציב'!$I$59,0)</f>
        <v>0</v>
      </c>
      <c r="AI464" s="180">
        <f t="shared" si="134"/>
        <v>0</v>
      </c>
      <c r="AJ464" s="368" t="str">
        <f t="shared" si="122"/>
        <v/>
      </c>
    </row>
    <row r="465" spans="1:36" x14ac:dyDescent="0.25">
      <c r="A465" s="57">
        <v>445</v>
      </c>
      <c r="B465" s="690"/>
      <c r="C465" s="690"/>
      <c r="D465" s="252">
        <f>(IFERROR(SUMIF('מצבת והרשמה (2)'!$F$21:$F$501,'דוח ביצוע (3)'!$B465,'מצבת והרשמה (2)'!$J$21:$J$501),0))</f>
        <v>0</v>
      </c>
      <c r="E465" s="252">
        <f>IFERROR(SUMIF('מצבת והרשמה (2)'!$F$21:$F$501,'דוח ביצוע (3)'!$B465,'מצבת והרשמה (2)'!$K$21:$K$501),0)</f>
        <v>0</v>
      </c>
      <c r="F465" s="253">
        <f t="shared" si="123"/>
        <v>0</v>
      </c>
      <c r="G465" s="680"/>
      <c r="H465" s="680"/>
      <c r="I465" s="253">
        <f t="shared" si="135"/>
        <v>0</v>
      </c>
      <c r="J465" s="453">
        <f t="shared" si="124"/>
        <v>0</v>
      </c>
      <c r="K465" s="689"/>
      <c r="L465" s="689"/>
      <c r="M465" s="969">
        <f t="shared" si="125"/>
        <v>0</v>
      </c>
      <c r="N465" s="1029" t="str">
        <f t="shared" si="126"/>
        <v/>
      </c>
      <c r="O465" s="969" t="str">
        <f>IFERROR(VLOOKUP(B465,'נתוני רישום ומצבת'!B:Q,16,0),"")</f>
        <v/>
      </c>
      <c r="P465" s="969" t="str">
        <f>IFERROR(VLOOKUP(B465,'נתוני רישום ומצבת'!B:R,17,0),"")</f>
        <v/>
      </c>
      <c r="Q465" s="690"/>
      <c r="R465" s="1009"/>
      <c r="S465" s="376">
        <f t="shared" si="127"/>
        <v>0</v>
      </c>
      <c r="T465" s="376">
        <f t="shared" si="128"/>
        <v>0</v>
      </c>
      <c r="U465" s="386">
        <f t="shared" si="129"/>
        <v>0</v>
      </c>
      <c r="V465" s="513" t="str">
        <f t="shared" si="130"/>
        <v/>
      </c>
      <c r="W465" s="254" t="str">
        <f>IF(ISBLANK(B465)," ",IF(B465=IFERROR(VLOOKUP(B465,'מצבת והרשמה (2)'!F:F,1,0),0),"תקין","לא קיים במצבת כבית ספר בו מתקיימת פעילות"))</f>
        <v xml:space="preserve"> </v>
      </c>
      <c r="X465" s="256" t="str">
        <f t="shared" si="117"/>
        <v/>
      </c>
      <c r="Y465" s="256" t="str">
        <f t="shared" si="118"/>
        <v/>
      </c>
      <c r="Z465" s="741">
        <f t="shared" si="119"/>
        <v>0</v>
      </c>
      <c r="AA465" s="741">
        <f t="shared" si="120"/>
        <v>0</v>
      </c>
      <c r="AB465" s="741">
        <f t="shared" si="121"/>
        <v>0</v>
      </c>
      <c r="AC465" s="987">
        <f t="shared" si="131"/>
        <v>0</v>
      </c>
      <c r="AD465" s="987">
        <f t="shared" si="132"/>
        <v>0</v>
      </c>
      <c r="AE465" s="368" t="str">
        <f>IFERROR(VLOOKUP(B465,'[1]סיכום בקרת רשויות'!$A:$D,4,0),"")</f>
        <v/>
      </c>
      <c r="AF465" s="57" t="str">
        <f t="shared" si="133"/>
        <v/>
      </c>
      <c r="AG465" s="180">
        <f>IF(AF465="כן",M465*'גנים ובתי ספר- מבנה תקציב'!$H$59,0)</f>
        <v>0</v>
      </c>
      <c r="AH465" s="180">
        <f>IF(AF465="כן",M465*'גנים ובתי ספר- מבנה תקציב'!$I$59,0)</f>
        <v>0</v>
      </c>
      <c r="AI465" s="180">
        <f t="shared" si="134"/>
        <v>0</v>
      </c>
      <c r="AJ465" s="368" t="str">
        <f t="shared" si="122"/>
        <v/>
      </c>
    </row>
    <row r="466" spans="1:36" x14ac:dyDescent="0.25">
      <c r="A466" s="57">
        <v>446</v>
      </c>
      <c r="B466" s="690"/>
      <c r="C466" s="690"/>
      <c r="D466" s="252">
        <f>(IFERROR(SUMIF('מצבת והרשמה (2)'!$F$21:$F$501,'דוח ביצוע (3)'!$B466,'מצבת והרשמה (2)'!$J$21:$J$501),0))</f>
        <v>0</v>
      </c>
      <c r="E466" s="252">
        <f>IFERROR(SUMIF('מצבת והרשמה (2)'!$F$21:$F$501,'דוח ביצוע (3)'!$B466,'מצבת והרשמה (2)'!$K$21:$K$501),0)</f>
        <v>0</v>
      </c>
      <c r="F466" s="253">
        <f t="shared" si="123"/>
        <v>0</v>
      </c>
      <c r="G466" s="680"/>
      <c r="H466" s="680"/>
      <c r="I466" s="253">
        <f t="shared" si="135"/>
        <v>0</v>
      </c>
      <c r="J466" s="453">
        <f t="shared" si="124"/>
        <v>0</v>
      </c>
      <c r="K466" s="689"/>
      <c r="L466" s="689"/>
      <c r="M466" s="969">
        <f t="shared" si="125"/>
        <v>0</v>
      </c>
      <c r="N466" s="1029" t="str">
        <f t="shared" si="126"/>
        <v/>
      </c>
      <c r="O466" s="969" t="str">
        <f>IFERROR(VLOOKUP(B466,'נתוני רישום ומצבת'!B:Q,16,0),"")</f>
        <v/>
      </c>
      <c r="P466" s="969" t="str">
        <f>IFERROR(VLOOKUP(B466,'נתוני רישום ומצבת'!B:R,17,0),"")</f>
        <v/>
      </c>
      <c r="Q466" s="690"/>
      <c r="R466" s="1009"/>
      <c r="S466" s="376">
        <f t="shared" si="127"/>
        <v>0</v>
      </c>
      <c r="T466" s="376">
        <f t="shared" si="128"/>
        <v>0</v>
      </c>
      <c r="U466" s="386">
        <f t="shared" si="129"/>
        <v>0</v>
      </c>
      <c r="V466" s="513" t="str">
        <f t="shared" si="130"/>
        <v/>
      </c>
      <c r="W466" s="254" t="str">
        <f>IF(ISBLANK(B466)," ",IF(B466=IFERROR(VLOOKUP(B466,'מצבת והרשמה (2)'!F:F,1,0),0),"תקין","לא קיים במצבת כבית ספר בו מתקיימת פעילות"))</f>
        <v xml:space="preserve"> </v>
      </c>
      <c r="X466" s="256" t="str">
        <f t="shared" si="117"/>
        <v/>
      </c>
      <c r="Y466" s="256" t="str">
        <f t="shared" si="118"/>
        <v/>
      </c>
      <c r="Z466" s="741">
        <f t="shared" si="119"/>
        <v>0</v>
      </c>
      <c r="AA466" s="741">
        <f t="shared" si="120"/>
        <v>0</v>
      </c>
      <c r="AB466" s="741">
        <f t="shared" si="121"/>
        <v>0</v>
      </c>
      <c r="AC466" s="987">
        <f t="shared" si="131"/>
        <v>0</v>
      </c>
      <c r="AD466" s="987">
        <f t="shared" si="132"/>
        <v>0</v>
      </c>
      <c r="AE466" s="368" t="str">
        <f>IFERROR(VLOOKUP(B466,'[1]סיכום בקרת רשויות'!$A:$D,4,0),"")</f>
        <v/>
      </c>
      <c r="AF466" s="57" t="str">
        <f t="shared" si="133"/>
        <v/>
      </c>
      <c r="AG466" s="180">
        <f>IF(AF466="כן",M466*'גנים ובתי ספר- מבנה תקציב'!$H$59,0)</f>
        <v>0</v>
      </c>
      <c r="AH466" s="180">
        <f>IF(AF466="כן",M466*'גנים ובתי ספר- מבנה תקציב'!$I$59,0)</f>
        <v>0</v>
      </c>
      <c r="AI466" s="180">
        <f t="shared" si="134"/>
        <v>0</v>
      </c>
      <c r="AJ466" s="368" t="str">
        <f t="shared" si="122"/>
        <v/>
      </c>
    </row>
    <row r="467" spans="1:36" x14ac:dyDescent="0.25">
      <c r="A467" s="57">
        <v>447</v>
      </c>
      <c r="B467" s="690"/>
      <c r="C467" s="690"/>
      <c r="D467" s="252">
        <f>(IFERROR(SUMIF('מצבת והרשמה (2)'!$F$21:$F$501,'דוח ביצוע (3)'!$B467,'מצבת והרשמה (2)'!$J$21:$J$501),0))</f>
        <v>0</v>
      </c>
      <c r="E467" s="252">
        <f>IFERROR(SUMIF('מצבת והרשמה (2)'!$F$21:$F$501,'דוח ביצוע (3)'!$B467,'מצבת והרשמה (2)'!$K$21:$K$501),0)</f>
        <v>0</v>
      </c>
      <c r="F467" s="253">
        <f t="shared" si="123"/>
        <v>0</v>
      </c>
      <c r="G467" s="680"/>
      <c r="H467" s="680"/>
      <c r="I467" s="253">
        <f t="shared" si="135"/>
        <v>0</v>
      </c>
      <c r="J467" s="453">
        <f t="shared" si="124"/>
        <v>0</v>
      </c>
      <c r="K467" s="689"/>
      <c r="L467" s="689"/>
      <c r="M467" s="969">
        <f t="shared" si="125"/>
        <v>0</v>
      </c>
      <c r="N467" s="1029" t="str">
        <f t="shared" si="126"/>
        <v/>
      </c>
      <c r="O467" s="969" t="str">
        <f>IFERROR(VLOOKUP(B467,'נתוני רישום ומצבת'!B:Q,16,0),"")</f>
        <v/>
      </c>
      <c r="P467" s="969" t="str">
        <f>IFERROR(VLOOKUP(B467,'נתוני רישום ומצבת'!B:R,17,0),"")</f>
        <v/>
      </c>
      <c r="Q467" s="690"/>
      <c r="R467" s="1009"/>
      <c r="S467" s="376">
        <f t="shared" si="127"/>
        <v>0</v>
      </c>
      <c r="T467" s="376">
        <f t="shared" si="128"/>
        <v>0</v>
      </c>
      <c r="U467" s="386">
        <f t="shared" si="129"/>
        <v>0</v>
      </c>
      <c r="V467" s="513" t="str">
        <f t="shared" si="130"/>
        <v/>
      </c>
      <c r="W467" s="254" t="str">
        <f>IF(ISBLANK(B467)," ",IF(B467=IFERROR(VLOOKUP(B467,'מצבת והרשמה (2)'!F:F,1,0),0),"תקין","לא קיים במצבת כבית ספר בו מתקיימת פעילות"))</f>
        <v xml:space="preserve"> </v>
      </c>
      <c r="X467" s="256" t="str">
        <f t="shared" si="117"/>
        <v/>
      </c>
      <c r="Y467" s="256" t="str">
        <f t="shared" si="118"/>
        <v/>
      </c>
      <c r="Z467" s="741">
        <f t="shared" si="119"/>
        <v>0</v>
      </c>
      <c r="AA467" s="741">
        <f t="shared" si="120"/>
        <v>0</v>
      </c>
      <c r="AB467" s="741">
        <f t="shared" si="121"/>
        <v>0</v>
      </c>
      <c r="AC467" s="987">
        <f t="shared" si="131"/>
        <v>0</v>
      </c>
      <c r="AD467" s="987">
        <f t="shared" si="132"/>
        <v>0</v>
      </c>
      <c r="AE467" s="368" t="str">
        <f>IFERROR(VLOOKUP(B467,'[1]סיכום בקרת רשויות'!$A:$D,4,0),"")</f>
        <v/>
      </c>
      <c r="AF467" s="57" t="str">
        <f t="shared" si="133"/>
        <v/>
      </c>
      <c r="AG467" s="180">
        <f>IF(AF467="כן",M467*'גנים ובתי ספר- מבנה תקציב'!$H$59,0)</f>
        <v>0</v>
      </c>
      <c r="AH467" s="180">
        <f>IF(AF467="כן",M467*'גנים ובתי ספר- מבנה תקציב'!$I$59,0)</f>
        <v>0</v>
      </c>
      <c r="AI467" s="180">
        <f t="shared" si="134"/>
        <v>0</v>
      </c>
      <c r="AJ467" s="368" t="str">
        <f t="shared" si="122"/>
        <v/>
      </c>
    </row>
    <row r="468" spans="1:36" x14ac:dyDescent="0.25">
      <c r="A468" s="57">
        <v>448</v>
      </c>
      <c r="B468" s="690"/>
      <c r="C468" s="690"/>
      <c r="D468" s="252">
        <f>(IFERROR(SUMIF('מצבת והרשמה (2)'!$F$21:$F$501,'דוח ביצוע (3)'!$B468,'מצבת והרשמה (2)'!$J$21:$J$501),0))</f>
        <v>0</v>
      </c>
      <c r="E468" s="252">
        <f>IFERROR(SUMIF('מצבת והרשמה (2)'!$F$21:$F$501,'דוח ביצוע (3)'!$B468,'מצבת והרשמה (2)'!$K$21:$K$501),0)</f>
        <v>0</v>
      </c>
      <c r="F468" s="253">
        <f t="shared" si="123"/>
        <v>0</v>
      </c>
      <c r="G468" s="680"/>
      <c r="H468" s="680"/>
      <c r="I468" s="253">
        <f t="shared" si="135"/>
        <v>0</v>
      </c>
      <c r="J468" s="453">
        <f t="shared" si="124"/>
        <v>0</v>
      </c>
      <c r="K468" s="689"/>
      <c r="L468" s="689"/>
      <c r="M468" s="969">
        <f t="shared" si="125"/>
        <v>0</v>
      </c>
      <c r="N468" s="1029" t="str">
        <f t="shared" si="126"/>
        <v/>
      </c>
      <c r="O468" s="969" t="str">
        <f>IFERROR(VLOOKUP(B468,'נתוני רישום ומצבת'!B:Q,16,0),"")</f>
        <v/>
      </c>
      <c r="P468" s="969" t="str">
        <f>IFERROR(VLOOKUP(B468,'נתוני רישום ומצבת'!B:R,17,0),"")</f>
        <v/>
      </c>
      <c r="Q468" s="690"/>
      <c r="R468" s="1009"/>
      <c r="S468" s="376">
        <f t="shared" si="127"/>
        <v>0</v>
      </c>
      <c r="T468" s="376">
        <f t="shared" si="128"/>
        <v>0</v>
      </c>
      <c r="U468" s="386">
        <f t="shared" si="129"/>
        <v>0</v>
      </c>
      <c r="V468" s="513" t="str">
        <f t="shared" si="130"/>
        <v/>
      </c>
      <c r="W468" s="254" t="str">
        <f>IF(ISBLANK(B468)," ",IF(B468=IFERROR(VLOOKUP(B468,'מצבת והרשמה (2)'!F:F,1,0),0),"תקין","לא קיים במצבת כבית ספר בו מתקיימת פעילות"))</f>
        <v xml:space="preserve"> </v>
      </c>
      <c r="X468" s="256" t="str">
        <f t="shared" si="117"/>
        <v/>
      </c>
      <c r="Y468" s="256" t="str">
        <f t="shared" si="118"/>
        <v/>
      </c>
      <c r="Z468" s="741">
        <f t="shared" si="119"/>
        <v>0</v>
      </c>
      <c r="AA468" s="741">
        <f t="shared" si="120"/>
        <v>0</v>
      </c>
      <c r="AB468" s="741">
        <f t="shared" si="121"/>
        <v>0</v>
      </c>
      <c r="AC468" s="987">
        <f t="shared" si="131"/>
        <v>0</v>
      </c>
      <c r="AD468" s="987">
        <f t="shared" si="132"/>
        <v>0</v>
      </c>
      <c r="AE468" s="368" t="str">
        <f>IFERROR(VLOOKUP(B468,'[1]סיכום בקרת רשויות'!$A:$D,4,0),"")</f>
        <v/>
      </c>
      <c r="AF468" s="57" t="str">
        <f t="shared" si="133"/>
        <v/>
      </c>
      <c r="AG468" s="180">
        <f>IF(AF468="כן",M468*'גנים ובתי ספר- מבנה תקציב'!$H$59,0)</f>
        <v>0</v>
      </c>
      <c r="AH468" s="180">
        <f>IF(AF468="כן",M468*'גנים ובתי ספר- מבנה תקציב'!$I$59,0)</f>
        <v>0</v>
      </c>
      <c r="AI468" s="180">
        <f t="shared" si="134"/>
        <v>0</v>
      </c>
      <c r="AJ468" s="368" t="str">
        <f t="shared" si="122"/>
        <v/>
      </c>
    </row>
    <row r="469" spans="1:36" x14ac:dyDescent="0.25">
      <c r="A469" s="57">
        <v>449</v>
      </c>
      <c r="B469" s="690"/>
      <c r="C469" s="690"/>
      <c r="D469" s="252">
        <f>(IFERROR(SUMIF('מצבת והרשמה (2)'!$F$21:$F$501,'דוח ביצוע (3)'!$B469,'מצבת והרשמה (2)'!$J$21:$J$501),0))</f>
        <v>0</v>
      </c>
      <c r="E469" s="252">
        <f>IFERROR(SUMIF('מצבת והרשמה (2)'!$F$21:$F$501,'דוח ביצוע (3)'!$B469,'מצבת והרשמה (2)'!$K$21:$K$501),0)</f>
        <v>0</v>
      </c>
      <c r="F469" s="253">
        <f t="shared" si="123"/>
        <v>0</v>
      </c>
      <c r="G469" s="680"/>
      <c r="H469" s="680"/>
      <c r="I469" s="253">
        <f t="shared" si="135"/>
        <v>0</v>
      </c>
      <c r="J469" s="453">
        <f t="shared" si="124"/>
        <v>0</v>
      </c>
      <c r="K469" s="689"/>
      <c r="L469" s="689"/>
      <c r="M469" s="969">
        <f t="shared" si="125"/>
        <v>0</v>
      </c>
      <c r="N469" s="1029" t="str">
        <f t="shared" si="126"/>
        <v/>
      </c>
      <c r="O469" s="969" t="str">
        <f>IFERROR(VLOOKUP(B469,'נתוני רישום ומצבת'!B:Q,16,0),"")</f>
        <v/>
      </c>
      <c r="P469" s="969" t="str">
        <f>IFERROR(VLOOKUP(B469,'נתוני רישום ומצבת'!B:R,17,0),"")</f>
        <v/>
      </c>
      <c r="Q469" s="690"/>
      <c r="R469" s="1009"/>
      <c r="S469" s="376">
        <f t="shared" si="127"/>
        <v>0</v>
      </c>
      <c r="T469" s="376">
        <f t="shared" si="128"/>
        <v>0</v>
      </c>
      <c r="U469" s="386">
        <f t="shared" si="129"/>
        <v>0</v>
      </c>
      <c r="V469" s="513" t="str">
        <f t="shared" si="130"/>
        <v/>
      </c>
      <c r="W469" s="254" t="str">
        <f>IF(ISBLANK(B469)," ",IF(B469=IFERROR(VLOOKUP(B469,'מצבת והרשמה (2)'!F:F,1,0),0),"תקין","לא קיים במצבת כבית ספר בו מתקיימת פעילות"))</f>
        <v xml:space="preserve"> </v>
      </c>
      <c r="X469" s="256" t="str">
        <f t="shared" ref="X469:X520" si="136">IF(IFERROR(COUNTIF($C$20:$C$2460,B469)," ")&gt;1,"סמל המוסד מופיע יותר מפעם אחת",IF(ISBLANK(B469),"","תקין"))</f>
        <v/>
      </c>
      <c r="Y469" s="256" t="str">
        <f t="shared" si="118"/>
        <v/>
      </c>
      <c r="Z469" s="741">
        <f t="shared" ref="Z469:Z520" si="137">IF(OR(LEFT(V469,10)="יש למלא מס",LEFT(V469,10)="יש למלא סי"),1,0)</f>
        <v>0</v>
      </c>
      <c r="AA469" s="741">
        <f t="shared" ref="AA469:AA520" si="138">IF(COUNTIF(סמלפעילות,B469)&gt;1,1,0)</f>
        <v>0</v>
      </c>
      <c r="AB469" s="741">
        <f t="shared" ref="AB469:AB520" si="139">IF(B469&gt;0,IF(I469=0,1,0),0)</f>
        <v>0</v>
      </c>
      <c r="AC469" s="987">
        <f t="shared" si="131"/>
        <v>0</v>
      </c>
      <c r="AD469" s="987">
        <f t="shared" si="132"/>
        <v>0</v>
      </c>
      <c r="AE469" s="368" t="str">
        <f>IFERROR(VLOOKUP(B469,'[1]סיכום בקרת רשויות'!$A:$D,4,0),"")</f>
        <v/>
      </c>
      <c r="AF469" s="57" t="str">
        <f t="shared" si="133"/>
        <v/>
      </c>
      <c r="AG469" s="180">
        <f>IF(AF469="כן",M469*'גנים ובתי ספר- מבנה תקציב'!$H$59,0)</f>
        <v>0</v>
      </c>
      <c r="AH469" s="180">
        <f>IF(AF469="כן",M469*'גנים ובתי ספר- מבנה תקציב'!$I$59,0)</f>
        <v>0</v>
      </c>
      <c r="AI469" s="180">
        <f t="shared" si="134"/>
        <v>0</v>
      </c>
      <c r="AJ469" s="368" t="str">
        <f t="shared" ref="AJ469:AJ520" si="140">IF(B469&gt;0,IF(M469&lt;15,1,0),"")</f>
        <v/>
      </c>
    </row>
    <row r="470" spans="1:36" x14ac:dyDescent="0.25">
      <c r="A470" s="57">
        <v>450</v>
      </c>
      <c r="B470" s="690"/>
      <c r="C470" s="690"/>
      <c r="D470" s="252">
        <f>(IFERROR(SUMIF('מצבת והרשמה (2)'!$F$21:$F$501,'דוח ביצוע (3)'!$B470,'מצבת והרשמה (2)'!$J$21:$J$501),0))</f>
        <v>0</v>
      </c>
      <c r="E470" s="252">
        <f>IFERROR(SUMIF('מצבת והרשמה (2)'!$F$21:$F$501,'דוח ביצוע (3)'!$B470,'מצבת והרשמה (2)'!$K$21:$K$501),0)</f>
        <v>0</v>
      </c>
      <c r="F470" s="253">
        <f t="shared" ref="F470:F520" si="141">E470+D470</f>
        <v>0</v>
      </c>
      <c r="G470" s="680"/>
      <c r="H470" s="680"/>
      <c r="I470" s="253">
        <f t="shared" si="135"/>
        <v>0</v>
      </c>
      <c r="J470" s="453">
        <f t="shared" ref="J470:J520" si="142">IF(F470&gt;149,1,0)</f>
        <v>0</v>
      </c>
      <c r="K470" s="689"/>
      <c r="L470" s="689"/>
      <c r="M470" s="969">
        <f t="shared" ref="M470:M520" si="143">MIN(NETWORKDAYS.INTL(K470,L470,7),15)</f>
        <v>0</v>
      </c>
      <c r="N470" s="1029" t="str">
        <f t="shared" ref="N470:N520" si="144">IF(B470&gt;0,IF(M470&lt;15,"תקופת הפעילות נמוכה מהתקופה הנדרשת, ועל כן המוסד אינו זכאי לתקצוב","תקין"),"")</f>
        <v/>
      </c>
      <c r="O470" s="969" t="str">
        <f>IFERROR(VLOOKUP(B470,'נתוני רישום ומצבת'!B:Q,16,0),"")</f>
        <v/>
      </c>
      <c r="P470" s="969" t="str">
        <f>IFERROR(VLOOKUP(B470,'נתוני רישום ומצבת'!B:R,17,0),"")</f>
        <v/>
      </c>
      <c r="Q470" s="690"/>
      <c r="R470" s="1009"/>
      <c r="S470" s="376">
        <f t="shared" ref="S470:S520" si="145">IF(OR($T$2=0,N470="תקין"),MAX(IF(G470="",0,MIN(G470,D470)),0),0)</f>
        <v>0</v>
      </c>
      <c r="T470" s="376">
        <f t="shared" ref="T470:T520" si="146">IF(OR($T$2=0,N470="תקין"),MAX(IF(H470="",0,MIN(H470,E470)),0),0)</f>
        <v>0</v>
      </c>
      <c r="U470" s="386">
        <f t="shared" ref="U470:U520" si="147">SUM(S470:T470)</f>
        <v>0</v>
      </c>
      <c r="V470" s="513" t="str">
        <f t="shared" ref="V470:V520" si="148">IF(ISNUMBER(B470),IF(M470&lt;1,"יש למלא מס' ימי פעילות",IF(M470&lt;15,"יש למלא סיבה לחוסר ימי פעילות","תקין")),"")</f>
        <v/>
      </c>
      <c r="W470" s="254" t="str">
        <f>IF(ISBLANK(B470)," ",IF(B470=IFERROR(VLOOKUP(B470,'מצבת והרשמה (2)'!F:F,1,0),0),"תקין","לא קיים במצבת כבית ספר בו מתקיימת פעילות"))</f>
        <v xml:space="preserve"> </v>
      </c>
      <c r="X470" s="256" t="str">
        <f t="shared" si="136"/>
        <v/>
      </c>
      <c r="Y470" s="256" t="str">
        <f t="shared" si="118"/>
        <v/>
      </c>
      <c r="Z470" s="741">
        <f t="shared" si="137"/>
        <v>0</v>
      </c>
      <c r="AA470" s="741">
        <f t="shared" si="138"/>
        <v>0</v>
      </c>
      <c r="AB470" s="741">
        <f t="shared" si="139"/>
        <v>0</v>
      </c>
      <c r="AC470" s="987">
        <f t="shared" ref="AC470:AC520" si="149">MAX(IF(G470=" ",0,MIN(G470,D470)),0)</f>
        <v>0</v>
      </c>
      <c r="AD470" s="987">
        <f t="shared" ref="AD470:AD520" si="150">MAX(IF(H470=" ",0,MIN(H470,E470)),0)</f>
        <v>0</v>
      </c>
      <c r="AE470" s="368" t="str">
        <f>IFERROR(VLOOKUP(B470,'[1]סיכום בקרת רשויות'!$A:$D,4,0),"")</f>
        <v/>
      </c>
      <c r="AF470" s="57" t="str">
        <f t="shared" ref="AF470:AF520" si="151">IF(B470&gt;0,IF(Q470&gt;=MIN(40,P470),"כן",""),"")</f>
        <v/>
      </c>
      <c r="AG470" s="180">
        <f>IF(AF470="כן",M470*'גנים ובתי ספר- מבנה תקציב'!$H$59,0)</f>
        <v>0</v>
      </c>
      <c r="AH470" s="180">
        <f>IF(AF470="כן",M470*'גנים ובתי ספר- מבנה תקציב'!$I$59,0)</f>
        <v>0</v>
      </c>
      <c r="AI470" s="180">
        <f t="shared" ref="AI470:AI520" si="152">AH470+AG470</f>
        <v>0</v>
      </c>
      <c r="AJ470" s="368" t="str">
        <f t="shared" si="140"/>
        <v/>
      </c>
    </row>
    <row r="471" spans="1:36" x14ac:dyDescent="0.25">
      <c r="A471" s="57">
        <v>451</v>
      </c>
      <c r="B471" s="690"/>
      <c r="C471" s="690"/>
      <c r="D471" s="252">
        <f>(IFERROR(SUMIF('מצבת והרשמה (2)'!$F$21:$F$501,'דוח ביצוע (3)'!$B471,'מצבת והרשמה (2)'!$J$21:$J$501),0))</f>
        <v>0</v>
      </c>
      <c r="E471" s="252">
        <f>IFERROR(SUMIF('מצבת והרשמה (2)'!$F$21:$F$501,'דוח ביצוע (3)'!$B471,'מצבת והרשמה (2)'!$K$21:$K$501),0)</f>
        <v>0</v>
      </c>
      <c r="F471" s="253">
        <f t="shared" si="141"/>
        <v>0</v>
      </c>
      <c r="G471" s="680"/>
      <c r="H471" s="680"/>
      <c r="I471" s="253">
        <f t="shared" si="135"/>
        <v>0</v>
      </c>
      <c r="J471" s="453">
        <f t="shared" si="142"/>
        <v>0</v>
      </c>
      <c r="K471" s="689"/>
      <c r="L471" s="689"/>
      <c r="M471" s="969">
        <f t="shared" si="143"/>
        <v>0</v>
      </c>
      <c r="N471" s="1029" t="str">
        <f t="shared" si="144"/>
        <v/>
      </c>
      <c r="O471" s="969" t="str">
        <f>IFERROR(VLOOKUP(B471,'נתוני רישום ומצבת'!B:Q,16,0),"")</f>
        <v/>
      </c>
      <c r="P471" s="969" t="str">
        <f>IFERROR(VLOOKUP(B471,'נתוני רישום ומצבת'!B:R,17,0),"")</f>
        <v/>
      </c>
      <c r="Q471" s="690"/>
      <c r="R471" s="1009"/>
      <c r="S471" s="376">
        <f t="shared" si="145"/>
        <v>0</v>
      </c>
      <c r="T471" s="376">
        <f t="shared" si="146"/>
        <v>0</v>
      </c>
      <c r="U471" s="386">
        <f t="shared" si="147"/>
        <v>0</v>
      </c>
      <c r="V471" s="513" t="str">
        <f t="shared" si="148"/>
        <v/>
      </c>
      <c r="W471" s="254" t="str">
        <f>IF(ISBLANK(B471)," ",IF(B471=IFERROR(VLOOKUP(B471,'מצבת והרשמה (2)'!F:F,1,0),0),"תקין","לא קיים במצבת כבית ספר בו מתקיימת פעילות"))</f>
        <v xml:space="preserve"> </v>
      </c>
      <c r="X471" s="256" t="str">
        <f t="shared" si="136"/>
        <v/>
      </c>
      <c r="Y471" s="256" t="str">
        <f t="shared" si="118"/>
        <v/>
      </c>
      <c r="Z471" s="741">
        <f t="shared" si="137"/>
        <v>0</v>
      </c>
      <c r="AA471" s="741">
        <f t="shared" si="138"/>
        <v>0</v>
      </c>
      <c r="AB471" s="741">
        <f t="shared" si="139"/>
        <v>0</v>
      </c>
      <c r="AC471" s="987">
        <f t="shared" si="149"/>
        <v>0</v>
      </c>
      <c r="AD471" s="987">
        <f t="shared" si="150"/>
        <v>0</v>
      </c>
      <c r="AE471" s="368" t="str">
        <f>IFERROR(VLOOKUP(B471,'[1]סיכום בקרת רשויות'!$A:$D,4,0),"")</f>
        <v/>
      </c>
      <c r="AF471" s="57" t="str">
        <f t="shared" si="151"/>
        <v/>
      </c>
      <c r="AG471" s="180">
        <f>IF(AF471="כן",M471*'גנים ובתי ספר- מבנה תקציב'!$H$59,0)</f>
        <v>0</v>
      </c>
      <c r="AH471" s="180">
        <f>IF(AF471="כן",M471*'גנים ובתי ספר- מבנה תקציב'!$I$59,0)</f>
        <v>0</v>
      </c>
      <c r="AI471" s="180">
        <f t="shared" si="152"/>
        <v>0</v>
      </c>
      <c r="AJ471" s="368" t="str">
        <f t="shared" si="140"/>
        <v/>
      </c>
    </row>
    <row r="472" spans="1:36" x14ac:dyDescent="0.25">
      <c r="A472" s="57">
        <v>452</v>
      </c>
      <c r="B472" s="690"/>
      <c r="C472" s="690"/>
      <c r="D472" s="252">
        <f>(IFERROR(SUMIF('מצבת והרשמה (2)'!$F$21:$F$501,'דוח ביצוע (3)'!$B472,'מצבת והרשמה (2)'!$J$21:$J$501),0))</f>
        <v>0</v>
      </c>
      <c r="E472" s="252">
        <f>IFERROR(SUMIF('מצבת והרשמה (2)'!$F$21:$F$501,'דוח ביצוע (3)'!$B472,'מצבת והרשמה (2)'!$K$21:$K$501),0)</f>
        <v>0</v>
      </c>
      <c r="F472" s="253">
        <f t="shared" si="141"/>
        <v>0</v>
      </c>
      <c r="G472" s="680"/>
      <c r="H472" s="680"/>
      <c r="I472" s="253">
        <f t="shared" si="135"/>
        <v>0</v>
      </c>
      <c r="J472" s="453">
        <f t="shared" si="142"/>
        <v>0</v>
      </c>
      <c r="K472" s="689"/>
      <c r="L472" s="689"/>
      <c r="M472" s="969">
        <f t="shared" si="143"/>
        <v>0</v>
      </c>
      <c r="N472" s="1029" t="str">
        <f t="shared" si="144"/>
        <v/>
      </c>
      <c r="O472" s="969" t="str">
        <f>IFERROR(VLOOKUP(B472,'נתוני רישום ומצבת'!B:Q,16,0),"")</f>
        <v/>
      </c>
      <c r="P472" s="969" t="str">
        <f>IFERROR(VLOOKUP(B472,'נתוני רישום ומצבת'!B:R,17,0),"")</f>
        <v/>
      </c>
      <c r="Q472" s="690"/>
      <c r="R472" s="1009"/>
      <c r="S472" s="376">
        <f t="shared" si="145"/>
        <v>0</v>
      </c>
      <c r="T472" s="376">
        <f t="shared" si="146"/>
        <v>0</v>
      </c>
      <c r="U472" s="386">
        <f t="shared" si="147"/>
        <v>0</v>
      </c>
      <c r="V472" s="513" t="str">
        <f t="shared" si="148"/>
        <v/>
      </c>
      <c r="W472" s="254" t="str">
        <f>IF(ISBLANK(B472)," ",IF(B472=IFERROR(VLOOKUP(B472,'מצבת והרשמה (2)'!F:F,1,0),0),"תקין","לא קיים במצבת כבית ספר בו מתקיימת פעילות"))</f>
        <v xml:space="preserve"> </v>
      </c>
      <c r="X472" s="256" t="str">
        <f t="shared" si="136"/>
        <v/>
      </c>
      <c r="Y472" s="256" t="str">
        <f t="shared" si="118"/>
        <v/>
      </c>
      <c r="Z472" s="741">
        <f t="shared" si="137"/>
        <v>0</v>
      </c>
      <c r="AA472" s="741">
        <f t="shared" si="138"/>
        <v>0</v>
      </c>
      <c r="AB472" s="741">
        <f t="shared" si="139"/>
        <v>0</v>
      </c>
      <c r="AC472" s="987">
        <f t="shared" si="149"/>
        <v>0</v>
      </c>
      <c r="AD472" s="987">
        <f t="shared" si="150"/>
        <v>0</v>
      </c>
      <c r="AE472" s="368" t="str">
        <f>IFERROR(VLOOKUP(B472,'[1]סיכום בקרת רשויות'!$A:$D,4,0),"")</f>
        <v/>
      </c>
      <c r="AF472" s="57" t="str">
        <f t="shared" si="151"/>
        <v/>
      </c>
      <c r="AG472" s="180">
        <f>IF(AF472="כן",M472*'גנים ובתי ספר- מבנה תקציב'!$H$59,0)</f>
        <v>0</v>
      </c>
      <c r="AH472" s="180">
        <f>IF(AF472="כן",M472*'גנים ובתי ספר- מבנה תקציב'!$I$59,0)</f>
        <v>0</v>
      </c>
      <c r="AI472" s="180">
        <f t="shared" si="152"/>
        <v>0</v>
      </c>
      <c r="AJ472" s="368" t="str">
        <f t="shared" si="140"/>
        <v/>
      </c>
    </row>
    <row r="473" spans="1:36" x14ac:dyDescent="0.25">
      <c r="A473" s="57">
        <v>453</v>
      </c>
      <c r="B473" s="690"/>
      <c r="C473" s="690"/>
      <c r="D473" s="252">
        <f>(IFERROR(SUMIF('מצבת והרשמה (2)'!$F$21:$F$501,'דוח ביצוע (3)'!$B473,'מצבת והרשמה (2)'!$J$21:$J$501),0))</f>
        <v>0</v>
      </c>
      <c r="E473" s="252">
        <f>IFERROR(SUMIF('מצבת והרשמה (2)'!$F$21:$F$501,'דוח ביצוע (3)'!$B473,'מצבת והרשמה (2)'!$K$21:$K$501),0)</f>
        <v>0</v>
      </c>
      <c r="F473" s="253">
        <f t="shared" si="141"/>
        <v>0</v>
      </c>
      <c r="G473" s="680"/>
      <c r="H473" s="680"/>
      <c r="I473" s="253">
        <f t="shared" si="135"/>
        <v>0</v>
      </c>
      <c r="J473" s="453">
        <f t="shared" si="142"/>
        <v>0</v>
      </c>
      <c r="K473" s="689"/>
      <c r="L473" s="689"/>
      <c r="M473" s="969">
        <f t="shared" si="143"/>
        <v>0</v>
      </c>
      <c r="N473" s="1029" t="str">
        <f t="shared" si="144"/>
        <v/>
      </c>
      <c r="O473" s="969" t="str">
        <f>IFERROR(VLOOKUP(B473,'נתוני רישום ומצבת'!B:Q,16,0),"")</f>
        <v/>
      </c>
      <c r="P473" s="969" t="str">
        <f>IFERROR(VLOOKUP(B473,'נתוני רישום ומצבת'!B:R,17,0),"")</f>
        <v/>
      </c>
      <c r="Q473" s="690"/>
      <c r="R473" s="1009"/>
      <c r="S473" s="376">
        <f t="shared" si="145"/>
        <v>0</v>
      </c>
      <c r="T473" s="376">
        <f t="shared" si="146"/>
        <v>0</v>
      </c>
      <c r="U473" s="386">
        <f t="shared" si="147"/>
        <v>0</v>
      </c>
      <c r="V473" s="513" t="str">
        <f t="shared" si="148"/>
        <v/>
      </c>
      <c r="W473" s="254" t="str">
        <f>IF(ISBLANK(B473)," ",IF(B473=IFERROR(VLOOKUP(B473,'מצבת והרשמה (2)'!F:F,1,0),0),"תקין","לא קיים במצבת כבית ספר בו מתקיימת פעילות"))</f>
        <v xml:space="preserve"> </v>
      </c>
      <c r="X473" s="256" t="str">
        <f t="shared" si="136"/>
        <v/>
      </c>
      <c r="Y473" s="256" t="str">
        <f t="shared" si="118"/>
        <v/>
      </c>
      <c r="Z473" s="741">
        <f t="shared" si="137"/>
        <v>0</v>
      </c>
      <c r="AA473" s="741">
        <f t="shared" si="138"/>
        <v>0</v>
      </c>
      <c r="AB473" s="741">
        <f t="shared" si="139"/>
        <v>0</v>
      </c>
      <c r="AC473" s="987">
        <f t="shared" si="149"/>
        <v>0</v>
      </c>
      <c r="AD473" s="987">
        <f t="shared" si="150"/>
        <v>0</v>
      </c>
      <c r="AE473" s="368" t="str">
        <f>IFERROR(VLOOKUP(B473,'[1]סיכום בקרת רשויות'!$A:$D,4,0),"")</f>
        <v/>
      </c>
      <c r="AF473" s="57" t="str">
        <f t="shared" si="151"/>
        <v/>
      </c>
      <c r="AG473" s="180">
        <f>IF(AF473="כן",M473*'גנים ובתי ספר- מבנה תקציב'!$H$59,0)</f>
        <v>0</v>
      </c>
      <c r="AH473" s="180">
        <f>IF(AF473="כן",M473*'גנים ובתי ספר- מבנה תקציב'!$I$59,0)</f>
        <v>0</v>
      </c>
      <c r="AI473" s="180">
        <f t="shared" si="152"/>
        <v>0</v>
      </c>
      <c r="AJ473" s="368" t="str">
        <f t="shared" si="140"/>
        <v/>
      </c>
    </row>
    <row r="474" spans="1:36" x14ac:dyDescent="0.25">
      <c r="A474" s="57">
        <v>454</v>
      </c>
      <c r="B474" s="690"/>
      <c r="C474" s="690"/>
      <c r="D474" s="252">
        <f>(IFERROR(SUMIF('מצבת והרשמה (2)'!$F$21:$F$501,'דוח ביצוע (3)'!$B474,'מצבת והרשמה (2)'!$J$21:$J$501),0))</f>
        <v>0</v>
      </c>
      <c r="E474" s="252">
        <f>IFERROR(SUMIF('מצבת והרשמה (2)'!$F$21:$F$501,'דוח ביצוע (3)'!$B474,'מצבת והרשמה (2)'!$K$21:$K$501),0)</f>
        <v>0</v>
      </c>
      <c r="F474" s="253">
        <f t="shared" si="141"/>
        <v>0</v>
      </c>
      <c r="G474" s="680"/>
      <c r="H474" s="680"/>
      <c r="I474" s="253">
        <f t="shared" si="135"/>
        <v>0</v>
      </c>
      <c r="J474" s="453">
        <f t="shared" si="142"/>
        <v>0</v>
      </c>
      <c r="K474" s="689"/>
      <c r="L474" s="689"/>
      <c r="M474" s="969">
        <f t="shared" si="143"/>
        <v>0</v>
      </c>
      <c r="N474" s="1029" t="str">
        <f t="shared" si="144"/>
        <v/>
      </c>
      <c r="O474" s="969" t="str">
        <f>IFERROR(VLOOKUP(B474,'נתוני רישום ומצבת'!B:Q,16,0),"")</f>
        <v/>
      </c>
      <c r="P474" s="969" t="str">
        <f>IFERROR(VLOOKUP(B474,'נתוני רישום ומצבת'!B:R,17,0),"")</f>
        <v/>
      </c>
      <c r="Q474" s="690"/>
      <c r="R474" s="1009"/>
      <c r="S474" s="376">
        <f t="shared" si="145"/>
        <v>0</v>
      </c>
      <c r="T474" s="376">
        <f t="shared" si="146"/>
        <v>0</v>
      </c>
      <c r="U474" s="386">
        <f t="shared" si="147"/>
        <v>0</v>
      </c>
      <c r="V474" s="513" t="str">
        <f t="shared" si="148"/>
        <v/>
      </c>
      <c r="W474" s="254" t="str">
        <f>IF(ISBLANK(B474)," ",IF(B474=IFERROR(VLOOKUP(B474,'מצבת והרשמה (2)'!F:F,1,0),0),"תקין","לא קיים במצבת כבית ספר בו מתקיימת פעילות"))</f>
        <v xml:space="preserve"> </v>
      </c>
      <c r="X474" s="256" t="str">
        <f t="shared" si="136"/>
        <v/>
      </c>
      <c r="Y474" s="256" t="str">
        <f t="shared" ref="Y474:Y520" si="153">IF(AND(ISNUMBER(B474),ISBLANK(B473)),"יש למלא שורות רצופות","")</f>
        <v/>
      </c>
      <c r="Z474" s="741">
        <f t="shared" si="137"/>
        <v>0</v>
      </c>
      <c r="AA474" s="741">
        <f t="shared" si="138"/>
        <v>0</v>
      </c>
      <c r="AB474" s="741">
        <f t="shared" si="139"/>
        <v>0</v>
      </c>
      <c r="AC474" s="987">
        <f t="shared" si="149"/>
        <v>0</v>
      </c>
      <c r="AD474" s="987">
        <f t="shared" si="150"/>
        <v>0</v>
      </c>
      <c r="AE474" s="368" t="str">
        <f>IFERROR(VLOOKUP(B474,'[1]סיכום בקרת רשויות'!$A:$D,4,0),"")</f>
        <v/>
      </c>
      <c r="AF474" s="57" t="str">
        <f t="shared" si="151"/>
        <v/>
      </c>
      <c r="AG474" s="180">
        <f>IF(AF474="כן",M474*'גנים ובתי ספר- מבנה תקציב'!$H$59,0)</f>
        <v>0</v>
      </c>
      <c r="AH474" s="180">
        <f>IF(AF474="כן",M474*'גנים ובתי ספר- מבנה תקציב'!$I$59,0)</f>
        <v>0</v>
      </c>
      <c r="AI474" s="180">
        <f t="shared" si="152"/>
        <v>0</v>
      </c>
      <c r="AJ474" s="368" t="str">
        <f t="shared" si="140"/>
        <v/>
      </c>
    </row>
    <row r="475" spans="1:36" x14ac:dyDescent="0.25">
      <c r="A475" s="57">
        <v>455</v>
      </c>
      <c r="B475" s="690"/>
      <c r="C475" s="690"/>
      <c r="D475" s="252">
        <f>(IFERROR(SUMIF('מצבת והרשמה (2)'!$F$21:$F$501,'דוח ביצוע (3)'!$B475,'מצבת והרשמה (2)'!$J$21:$J$501),0))</f>
        <v>0</v>
      </c>
      <c r="E475" s="252">
        <f>IFERROR(SUMIF('מצבת והרשמה (2)'!$F$21:$F$501,'דוח ביצוע (3)'!$B475,'מצבת והרשמה (2)'!$K$21:$K$501),0)</f>
        <v>0</v>
      </c>
      <c r="F475" s="253">
        <f t="shared" si="141"/>
        <v>0</v>
      </c>
      <c r="G475" s="680"/>
      <c r="H475" s="680"/>
      <c r="I475" s="253">
        <f t="shared" si="135"/>
        <v>0</v>
      </c>
      <c r="J475" s="453">
        <f t="shared" si="142"/>
        <v>0</v>
      </c>
      <c r="K475" s="689"/>
      <c r="L475" s="689"/>
      <c r="M475" s="969">
        <f t="shared" si="143"/>
        <v>0</v>
      </c>
      <c r="N475" s="1029" t="str">
        <f t="shared" si="144"/>
        <v/>
      </c>
      <c r="O475" s="969" t="str">
        <f>IFERROR(VLOOKUP(B475,'נתוני רישום ומצבת'!B:Q,16,0),"")</f>
        <v/>
      </c>
      <c r="P475" s="969" t="str">
        <f>IFERROR(VLOOKUP(B475,'נתוני רישום ומצבת'!B:R,17,0),"")</f>
        <v/>
      </c>
      <c r="Q475" s="690"/>
      <c r="R475" s="1009"/>
      <c r="S475" s="376">
        <f t="shared" si="145"/>
        <v>0</v>
      </c>
      <c r="T475" s="376">
        <f t="shared" si="146"/>
        <v>0</v>
      </c>
      <c r="U475" s="386">
        <f t="shared" si="147"/>
        <v>0</v>
      </c>
      <c r="V475" s="513" t="str">
        <f t="shared" si="148"/>
        <v/>
      </c>
      <c r="W475" s="254" t="str">
        <f>IF(ISBLANK(B475)," ",IF(B475=IFERROR(VLOOKUP(B475,'מצבת והרשמה (2)'!F:F,1,0),0),"תקין","לא קיים במצבת כבית ספר בו מתקיימת פעילות"))</f>
        <v xml:space="preserve"> </v>
      </c>
      <c r="X475" s="256" t="str">
        <f t="shared" si="136"/>
        <v/>
      </c>
      <c r="Y475" s="256" t="str">
        <f t="shared" si="153"/>
        <v/>
      </c>
      <c r="Z475" s="741">
        <f t="shared" si="137"/>
        <v>0</v>
      </c>
      <c r="AA475" s="741">
        <f t="shared" si="138"/>
        <v>0</v>
      </c>
      <c r="AB475" s="741">
        <f t="shared" si="139"/>
        <v>0</v>
      </c>
      <c r="AC475" s="987">
        <f t="shared" si="149"/>
        <v>0</v>
      </c>
      <c r="AD475" s="987">
        <f t="shared" si="150"/>
        <v>0</v>
      </c>
      <c r="AE475" s="368" t="str">
        <f>IFERROR(VLOOKUP(B475,'[1]סיכום בקרת רשויות'!$A:$D,4,0),"")</f>
        <v/>
      </c>
      <c r="AF475" s="57" t="str">
        <f t="shared" si="151"/>
        <v/>
      </c>
      <c r="AG475" s="180">
        <f>IF(AF475="כן",M475*'גנים ובתי ספר- מבנה תקציב'!$H$59,0)</f>
        <v>0</v>
      </c>
      <c r="AH475" s="180">
        <f>IF(AF475="כן",M475*'גנים ובתי ספר- מבנה תקציב'!$I$59,0)</f>
        <v>0</v>
      </c>
      <c r="AI475" s="180">
        <f t="shared" si="152"/>
        <v>0</v>
      </c>
      <c r="AJ475" s="368" t="str">
        <f t="shared" si="140"/>
        <v/>
      </c>
    </row>
    <row r="476" spans="1:36" x14ac:dyDescent="0.25">
      <c r="A476" s="57">
        <v>456</v>
      </c>
      <c r="B476" s="690"/>
      <c r="C476" s="690"/>
      <c r="D476" s="252">
        <f>(IFERROR(SUMIF('מצבת והרשמה (2)'!$F$21:$F$501,'דוח ביצוע (3)'!$B476,'מצבת והרשמה (2)'!$J$21:$J$501),0))</f>
        <v>0</v>
      </c>
      <c r="E476" s="252">
        <f>IFERROR(SUMIF('מצבת והרשמה (2)'!$F$21:$F$501,'דוח ביצוע (3)'!$B476,'מצבת והרשמה (2)'!$K$21:$K$501),0)</f>
        <v>0</v>
      </c>
      <c r="F476" s="253">
        <f t="shared" si="141"/>
        <v>0</v>
      </c>
      <c r="G476" s="680"/>
      <c r="H476" s="680"/>
      <c r="I476" s="253">
        <f t="shared" si="135"/>
        <v>0</v>
      </c>
      <c r="J476" s="453">
        <f t="shared" si="142"/>
        <v>0</v>
      </c>
      <c r="K476" s="689"/>
      <c r="L476" s="689"/>
      <c r="M476" s="969">
        <f t="shared" si="143"/>
        <v>0</v>
      </c>
      <c r="N476" s="1029" t="str">
        <f t="shared" si="144"/>
        <v/>
      </c>
      <c r="O476" s="969" t="str">
        <f>IFERROR(VLOOKUP(B476,'נתוני רישום ומצבת'!B:Q,16,0),"")</f>
        <v/>
      </c>
      <c r="P476" s="969" t="str">
        <f>IFERROR(VLOOKUP(B476,'נתוני רישום ומצבת'!B:R,17,0),"")</f>
        <v/>
      </c>
      <c r="Q476" s="690"/>
      <c r="R476" s="1009"/>
      <c r="S476" s="376">
        <f t="shared" si="145"/>
        <v>0</v>
      </c>
      <c r="T476" s="376">
        <f t="shared" si="146"/>
        <v>0</v>
      </c>
      <c r="U476" s="386">
        <f t="shared" si="147"/>
        <v>0</v>
      </c>
      <c r="V476" s="513" t="str">
        <f t="shared" si="148"/>
        <v/>
      </c>
      <c r="W476" s="254" t="str">
        <f>IF(ISBLANK(B476)," ",IF(B476=IFERROR(VLOOKUP(B476,'מצבת והרשמה (2)'!F:F,1,0),0),"תקין","לא קיים במצבת כבית ספר בו מתקיימת פעילות"))</f>
        <v xml:space="preserve"> </v>
      </c>
      <c r="X476" s="256" t="str">
        <f t="shared" si="136"/>
        <v/>
      </c>
      <c r="Y476" s="256" t="str">
        <f t="shared" si="153"/>
        <v/>
      </c>
      <c r="Z476" s="741">
        <f t="shared" si="137"/>
        <v>0</v>
      </c>
      <c r="AA476" s="741">
        <f t="shared" si="138"/>
        <v>0</v>
      </c>
      <c r="AB476" s="741">
        <f t="shared" si="139"/>
        <v>0</v>
      </c>
      <c r="AC476" s="987">
        <f t="shared" si="149"/>
        <v>0</v>
      </c>
      <c r="AD476" s="987">
        <f t="shared" si="150"/>
        <v>0</v>
      </c>
      <c r="AE476" s="368" t="str">
        <f>IFERROR(VLOOKUP(B476,'[1]סיכום בקרת רשויות'!$A:$D,4,0),"")</f>
        <v/>
      </c>
      <c r="AF476" s="57" t="str">
        <f t="shared" si="151"/>
        <v/>
      </c>
      <c r="AG476" s="180">
        <f>IF(AF476="כן",M476*'גנים ובתי ספר- מבנה תקציב'!$H$59,0)</f>
        <v>0</v>
      </c>
      <c r="AH476" s="180">
        <f>IF(AF476="כן",M476*'גנים ובתי ספר- מבנה תקציב'!$I$59,0)</f>
        <v>0</v>
      </c>
      <c r="AI476" s="180">
        <f t="shared" si="152"/>
        <v>0</v>
      </c>
      <c r="AJ476" s="368" t="str">
        <f t="shared" si="140"/>
        <v/>
      </c>
    </row>
    <row r="477" spans="1:36" x14ac:dyDescent="0.25">
      <c r="A477" s="57">
        <v>457</v>
      </c>
      <c r="B477" s="690"/>
      <c r="C477" s="690"/>
      <c r="D477" s="252">
        <f>(IFERROR(SUMIF('מצבת והרשמה (2)'!$F$21:$F$501,'דוח ביצוע (3)'!$B477,'מצבת והרשמה (2)'!$J$21:$J$501),0))</f>
        <v>0</v>
      </c>
      <c r="E477" s="252">
        <f>IFERROR(SUMIF('מצבת והרשמה (2)'!$F$21:$F$501,'דוח ביצוע (3)'!$B477,'מצבת והרשמה (2)'!$K$21:$K$501),0)</f>
        <v>0</v>
      </c>
      <c r="F477" s="253">
        <f t="shared" si="141"/>
        <v>0</v>
      </c>
      <c r="G477" s="680"/>
      <c r="H477" s="680"/>
      <c r="I477" s="253">
        <f t="shared" si="135"/>
        <v>0</v>
      </c>
      <c r="J477" s="453">
        <f t="shared" si="142"/>
        <v>0</v>
      </c>
      <c r="K477" s="689"/>
      <c r="L477" s="689"/>
      <c r="M477" s="969">
        <f t="shared" si="143"/>
        <v>0</v>
      </c>
      <c r="N477" s="1029" t="str">
        <f t="shared" si="144"/>
        <v/>
      </c>
      <c r="O477" s="969" t="str">
        <f>IFERROR(VLOOKUP(B477,'נתוני רישום ומצבת'!B:Q,16,0),"")</f>
        <v/>
      </c>
      <c r="P477" s="969" t="str">
        <f>IFERROR(VLOOKUP(B477,'נתוני רישום ומצבת'!B:R,17,0),"")</f>
        <v/>
      </c>
      <c r="Q477" s="690"/>
      <c r="R477" s="1009"/>
      <c r="S477" s="376">
        <f t="shared" si="145"/>
        <v>0</v>
      </c>
      <c r="T477" s="376">
        <f t="shared" si="146"/>
        <v>0</v>
      </c>
      <c r="U477" s="386">
        <f t="shared" si="147"/>
        <v>0</v>
      </c>
      <c r="V477" s="513" t="str">
        <f t="shared" si="148"/>
        <v/>
      </c>
      <c r="W477" s="254" t="str">
        <f>IF(ISBLANK(B477)," ",IF(B477=IFERROR(VLOOKUP(B477,'מצבת והרשמה (2)'!F:F,1,0),0),"תקין","לא קיים במצבת כבית ספר בו מתקיימת פעילות"))</f>
        <v xml:space="preserve"> </v>
      </c>
      <c r="X477" s="256" t="str">
        <f t="shared" si="136"/>
        <v/>
      </c>
      <c r="Y477" s="256" t="str">
        <f t="shared" si="153"/>
        <v/>
      </c>
      <c r="Z477" s="741">
        <f t="shared" si="137"/>
        <v>0</v>
      </c>
      <c r="AA477" s="741">
        <f t="shared" si="138"/>
        <v>0</v>
      </c>
      <c r="AB477" s="741">
        <f t="shared" si="139"/>
        <v>0</v>
      </c>
      <c r="AC477" s="987">
        <f t="shared" si="149"/>
        <v>0</v>
      </c>
      <c r="AD477" s="987">
        <f t="shared" si="150"/>
        <v>0</v>
      </c>
      <c r="AE477" s="368" t="str">
        <f>IFERROR(VLOOKUP(B477,'[1]סיכום בקרת רשויות'!$A:$D,4,0),"")</f>
        <v/>
      </c>
      <c r="AF477" s="57" t="str">
        <f t="shared" si="151"/>
        <v/>
      </c>
      <c r="AG477" s="180">
        <f>IF(AF477="כן",M477*'גנים ובתי ספר- מבנה תקציב'!$H$59,0)</f>
        <v>0</v>
      </c>
      <c r="AH477" s="180">
        <f>IF(AF477="כן",M477*'גנים ובתי ספר- מבנה תקציב'!$I$59,0)</f>
        <v>0</v>
      </c>
      <c r="AI477" s="180">
        <f t="shared" si="152"/>
        <v>0</v>
      </c>
      <c r="AJ477" s="368" t="str">
        <f t="shared" si="140"/>
        <v/>
      </c>
    </row>
    <row r="478" spans="1:36" x14ac:dyDescent="0.25">
      <c r="A478" s="57">
        <v>458</v>
      </c>
      <c r="B478" s="690"/>
      <c r="C478" s="690"/>
      <c r="D478" s="252">
        <f>(IFERROR(SUMIF('מצבת והרשמה (2)'!$F$21:$F$501,'דוח ביצוע (3)'!$B478,'מצבת והרשמה (2)'!$J$21:$J$501),0))</f>
        <v>0</v>
      </c>
      <c r="E478" s="252">
        <f>IFERROR(SUMIF('מצבת והרשמה (2)'!$F$21:$F$501,'דוח ביצוע (3)'!$B478,'מצבת והרשמה (2)'!$K$21:$K$501),0)</f>
        <v>0</v>
      </c>
      <c r="F478" s="253">
        <f t="shared" si="141"/>
        <v>0</v>
      </c>
      <c r="G478" s="680"/>
      <c r="H478" s="680"/>
      <c r="I478" s="253">
        <f t="shared" si="135"/>
        <v>0</v>
      </c>
      <c r="J478" s="453">
        <f t="shared" si="142"/>
        <v>0</v>
      </c>
      <c r="K478" s="689"/>
      <c r="L478" s="689"/>
      <c r="M478" s="969">
        <f t="shared" si="143"/>
        <v>0</v>
      </c>
      <c r="N478" s="1029" t="str">
        <f t="shared" si="144"/>
        <v/>
      </c>
      <c r="O478" s="969" t="str">
        <f>IFERROR(VLOOKUP(B478,'נתוני רישום ומצבת'!B:Q,16,0),"")</f>
        <v/>
      </c>
      <c r="P478" s="969" t="str">
        <f>IFERROR(VLOOKUP(B478,'נתוני רישום ומצבת'!B:R,17,0),"")</f>
        <v/>
      </c>
      <c r="Q478" s="690"/>
      <c r="R478" s="1009"/>
      <c r="S478" s="376">
        <f t="shared" si="145"/>
        <v>0</v>
      </c>
      <c r="T478" s="376">
        <f t="shared" si="146"/>
        <v>0</v>
      </c>
      <c r="U478" s="386">
        <f t="shared" si="147"/>
        <v>0</v>
      </c>
      <c r="V478" s="513" t="str">
        <f t="shared" si="148"/>
        <v/>
      </c>
      <c r="W478" s="254" t="str">
        <f>IF(ISBLANK(B478)," ",IF(B478=IFERROR(VLOOKUP(B478,'מצבת והרשמה (2)'!F:F,1,0),0),"תקין","לא קיים במצבת כבית ספר בו מתקיימת פעילות"))</f>
        <v xml:space="preserve"> </v>
      </c>
      <c r="X478" s="256" t="str">
        <f t="shared" si="136"/>
        <v/>
      </c>
      <c r="Y478" s="256" t="str">
        <f t="shared" si="153"/>
        <v/>
      </c>
      <c r="Z478" s="741">
        <f t="shared" si="137"/>
        <v>0</v>
      </c>
      <c r="AA478" s="741">
        <f t="shared" si="138"/>
        <v>0</v>
      </c>
      <c r="AB478" s="741">
        <f t="shared" si="139"/>
        <v>0</v>
      </c>
      <c r="AC478" s="987">
        <f t="shared" si="149"/>
        <v>0</v>
      </c>
      <c r="AD478" s="987">
        <f t="shared" si="150"/>
        <v>0</v>
      </c>
      <c r="AE478" s="368" t="str">
        <f>IFERROR(VLOOKUP(B478,'[1]סיכום בקרת רשויות'!$A:$D,4,0),"")</f>
        <v/>
      </c>
      <c r="AF478" s="57" t="str">
        <f t="shared" si="151"/>
        <v/>
      </c>
      <c r="AG478" s="180">
        <f>IF(AF478="כן",M478*'גנים ובתי ספר- מבנה תקציב'!$H$59,0)</f>
        <v>0</v>
      </c>
      <c r="AH478" s="180">
        <f>IF(AF478="כן",M478*'גנים ובתי ספר- מבנה תקציב'!$I$59,0)</f>
        <v>0</v>
      </c>
      <c r="AI478" s="180">
        <f t="shared" si="152"/>
        <v>0</v>
      </c>
      <c r="AJ478" s="368" t="str">
        <f t="shared" si="140"/>
        <v/>
      </c>
    </row>
    <row r="479" spans="1:36" x14ac:dyDescent="0.25">
      <c r="A479" s="57">
        <v>459</v>
      </c>
      <c r="B479" s="690"/>
      <c r="C479" s="690"/>
      <c r="D479" s="252">
        <f>(IFERROR(SUMIF('מצבת והרשמה (2)'!$F$21:$F$501,'דוח ביצוע (3)'!$B479,'מצבת והרשמה (2)'!$J$21:$J$501),0))</f>
        <v>0</v>
      </c>
      <c r="E479" s="252">
        <f>IFERROR(SUMIF('מצבת והרשמה (2)'!$F$21:$F$501,'דוח ביצוע (3)'!$B479,'מצבת והרשמה (2)'!$K$21:$K$501),0)</f>
        <v>0</v>
      </c>
      <c r="F479" s="253">
        <f t="shared" si="141"/>
        <v>0</v>
      </c>
      <c r="G479" s="680"/>
      <c r="H479" s="680"/>
      <c r="I479" s="253">
        <f t="shared" si="135"/>
        <v>0</v>
      </c>
      <c r="J479" s="453">
        <f t="shared" si="142"/>
        <v>0</v>
      </c>
      <c r="K479" s="689"/>
      <c r="L479" s="689"/>
      <c r="M479" s="969">
        <f t="shared" si="143"/>
        <v>0</v>
      </c>
      <c r="N479" s="1029" t="str">
        <f t="shared" si="144"/>
        <v/>
      </c>
      <c r="O479" s="969" t="str">
        <f>IFERROR(VLOOKUP(B479,'נתוני רישום ומצבת'!B:Q,16,0),"")</f>
        <v/>
      </c>
      <c r="P479" s="969" t="str">
        <f>IFERROR(VLOOKUP(B479,'נתוני רישום ומצבת'!B:R,17,0),"")</f>
        <v/>
      </c>
      <c r="Q479" s="690"/>
      <c r="R479" s="1009"/>
      <c r="S479" s="376">
        <f t="shared" si="145"/>
        <v>0</v>
      </c>
      <c r="T479" s="376">
        <f t="shared" si="146"/>
        <v>0</v>
      </c>
      <c r="U479" s="386">
        <f t="shared" si="147"/>
        <v>0</v>
      </c>
      <c r="V479" s="513" t="str">
        <f t="shared" si="148"/>
        <v/>
      </c>
      <c r="W479" s="254" t="str">
        <f>IF(ISBLANK(B479)," ",IF(B479=IFERROR(VLOOKUP(B479,'מצבת והרשמה (2)'!F:F,1,0),0),"תקין","לא קיים במצבת כבית ספר בו מתקיימת פעילות"))</f>
        <v xml:space="preserve"> </v>
      </c>
      <c r="X479" s="256" t="str">
        <f t="shared" si="136"/>
        <v/>
      </c>
      <c r="Y479" s="256" t="str">
        <f t="shared" si="153"/>
        <v/>
      </c>
      <c r="Z479" s="741">
        <f t="shared" si="137"/>
        <v>0</v>
      </c>
      <c r="AA479" s="741">
        <f t="shared" si="138"/>
        <v>0</v>
      </c>
      <c r="AB479" s="741">
        <f t="shared" si="139"/>
        <v>0</v>
      </c>
      <c r="AC479" s="987">
        <f t="shared" si="149"/>
        <v>0</v>
      </c>
      <c r="AD479" s="987">
        <f t="shared" si="150"/>
        <v>0</v>
      </c>
      <c r="AE479" s="368" t="str">
        <f>IFERROR(VLOOKUP(B479,'[1]סיכום בקרת רשויות'!$A:$D,4,0),"")</f>
        <v/>
      </c>
      <c r="AF479" s="57" t="str">
        <f t="shared" si="151"/>
        <v/>
      </c>
      <c r="AG479" s="180">
        <f>IF(AF479="כן",M479*'גנים ובתי ספר- מבנה תקציב'!$H$59,0)</f>
        <v>0</v>
      </c>
      <c r="AH479" s="180">
        <f>IF(AF479="כן",M479*'גנים ובתי ספר- מבנה תקציב'!$I$59,0)</f>
        <v>0</v>
      </c>
      <c r="AI479" s="180">
        <f t="shared" si="152"/>
        <v>0</v>
      </c>
      <c r="AJ479" s="368" t="str">
        <f t="shared" si="140"/>
        <v/>
      </c>
    </row>
    <row r="480" spans="1:36" x14ac:dyDescent="0.25">
      <c r="A480" s="57">
        <v>460</v>
      </c>
      <c r="B480" s="690"/>
      <c r="C480" s="690"/>
      <c r="D480" s="252">
        <f>(IFERROR(SUMIF('מצבת והרשמה (2)'!$F$21:$F$501,'דוח ביצוע (3)'!$B480,'מצבת והרשמה (2)'!$J$21:$J$501),0))</f>
        <v>0</v>
      </c>
      <c r="E480" s="252">
        <f>IFERROR(SUMIF('מצבת והרשמה (2)'!$F$21:$F$501,'דוח ביצוע (3)'!$B480,'מצבת והרשמה (2)'!$K$21:$K$501),0)</f>
        <v>0</v>
      </c>
      <c r="F480" s="253">
        <f t="shared" si="141"/>
        <v>0</v>
      </c>
      <c r="G480" s="680"/>
      <c r="H480" s="680"/>
      <c r="I480" s="253">
        <f t="shared" si="135"/>
        <v>0</v>
      </c>
      <c r="J480" s="453">
        <f t="shared" si="142"/>
        <v>0</v>
      </c>
      <c r="K480" s="689"/>
      <c r="L480" s="689"/>
      <c r="M480" s="969">
        <f t="shared" si="143"/>
        <v>0</v>
      </c>
      <c r="N480" s="1029" t="str">
        <f t="shared" si="144"/>
        <v/>
      </c>
      <c r="O480" s="969" t="str">
        <f>IFERROR(VLOOKUP(B480,'נתוני רישום ומצבת'!B:Q,16,0),"")</f>
        <v/>
      </c>
      <c r="P480" s="969" t="str">
        <f>IFERROR(VLOOKUP(B480,'נתוני רישום ומצבת'!B:R,17,0),"")</f>
        <v/>
      </c>
      <c r="Q480" s="690"/>
      <c r="R480" s="1009"/>
      <c r="S480" s="376">
        <f t="shared" si="145"/>
        <v>0</v>
      </c>
      <c r="T480" s="376">
        <f t="shared" si="146"/>
        <v>0</v>
      </c>
      <c r="U480" s="386">
        <f t="shared" si="147"/>
        <v>0</v>
      </c>
      <c r="V480" s="513" t="str">
        <f t="shared" si="148"/>
        <v/>
      </c>
      <c r="W480" s="254" t="str">
        <f>IF(ISBLANK(B480)," ",IF(B480=IFERROR(VLOOKUP(B480,'מצבת והרשמה (2)'!F:F,1,0),0),"תקין","לא קיים במצבת כבית ספר בו מתקיימת פעילות"))</f>
        <v xml:space="preserve"> </v>
      </c>
      <c r="X480" s="256" t="str">
        <f t="shared" si="136"/>
        <v/>
      </c>
      <c r="Y480" s="256" t="str">
        <f t="shared" si="153"/>
        <v/>
      </c>
      <c r="Z480" s="741">
        <f t="shared" si="137"/>
        <v>0</v>
      </c>
      <c r="AA480" s="741">
        <f t="shared" si="138"/>
        <v>0</v>
      </c>
      <c r="AB480" s="741">
        <f t="shared" si="139"/>
        <v>0</v>
      </c>
      <c r="AC480" s="987">
        <f t="shared" si="149"/>
        <v>0</v>
      </c>
      <c r="AD480" s="987">
        <f t="shared" si="150"/>
        <v>0</v>
      </c>
      <c r="AE480" s="368" t="str">
        <f>IFERROR(VLOOKUP(B480,'[1]סיכום בקרת רשויות'!$A:$D,4,0),"")</f>
        <v/>
      </c>
      <c r="AF480" s="57" t="str">
        <f t="shared" si="151"/>
        <v/>
      </c>
      <c r="AG480" s="180">
        <f>IF(AF480="כן",M480*'גנים ובתי ספר- מבנה תקציב'!$H$59,0)</f>
        <v>0</v>
      </c>
      <c r="AH480" s="180">
        <f>IF(AF480="כן",M480*'גנים ובתי ספר- מבנה תקציב'!$I$59,0)</f>
        <v>0</v>
      </c>
      <c r="AI480" s="180">
        <f t="shared" si="152"/>
        <v>0</v>
      </c>
      <c r="AJ480" s="368" t="str">
        <f t="shared" si="140"/>
        <v/>
      </c>
    </row>
    <row r="481" spans="1:36" x14ac:dyDescent="0.25">
      <c r="A481" s="57">
        <v>461</v>
      </c>
      <c r="B481" s="690"/>
      <c r="C481" s="690"/>
      <c r="D481" s="252">
        <f>(IFERROR(SUMIF('מצבת והרשמה (2)'!$F$21:$F$501,'דוח ביצוע (3)'!$B481,'מצבת והרשמה (2)'!$J$21:$J$501),0))</f>
        <v>0</v>
      </c>
      <c r="E481" s="252">
        <f>IFERROR(SUMIF('מצבת והרשמה (2)'!$F$21:$F$501,'דוח ביצוע (3)'!$B481,'מצבת והרשמה (2)'!$K$21:$K$501),0)</f>
        <v>0</v>
      </c>
      <c r="F481" s="253">
        <f t="shared" si="141"/>
        <v>0</v>
      </c>
      <c r="G481" s="680"/>
      <c r="H481" s="680"/>
      <c r="I481" s="253">
        <f t="shared" si="135"/>
        <v>0</v>
      </c>
      <c r="J481" s="453">
        <f t="shared" si="142"/>
        <v>0</v>
      </c>
      <c r="K481" s="689"/>
      <c r="L481" s="689"/>
      <c r="M481" s="969">
        <f t="shared" si="143"/>
        <v>0</v>
      </c>
      <c r="N481" s="1029" t="str">
        <f t="shared" si="144"/>
        <v/>
      </c>
      <c r="O481" s="969" t="str">
        <f>IFERROR(VLOOKUP(B481,'נתוני רישום ומצבת'!B:Q,16,0),"")</f>
        <v/>
      </c>
      <c r="P481" s="969" t="str">
        <f>IFERROR(VLOOKUP(B481,'נתוני רישום ומצבת'!B:R,17,0),"")</f>
        <v/>
      </c>
      <c r="Q481" s="690"/>
      <c r="R481" s="1009"/>
      <c r="S481" s="376">
        <f t="shared" si="145"/>
        <v>0</v>
      </c>
      <c r="T481" s="376">
        <f t="shared" si="146"/>
        <v>0</v>
      </c>
      <c r="U481" s="386">
        <f t="shared" si="147"/>
        <v>0</v>
      </c>
      <c r="V481" s="513" t="str">
        <f t="shared" si="148"/>
        <v/>
      </c>
      <c r="W481" s="254" t="str">
        <f>IF(ISBLANK(B481)," ",IF(B481=IFERROR(VLOOKUP(B481,'מצבת והרשמה (2)'!F:F,1,0),0),"תקין","לא קיים במצבת כבית ספר בו מתקיימת פעילות"))</f>
        <v xml:space="preserve"> </v>
      </c>
      <c r="X481" s="256" t="str">
        <f t="shared" si="136"/>
        <v/>
      </c>
      <c r="Y481" s="256" t="str">
        <f t="shared" si="153"/>
        <v/>
      </c>
      <c r="Z481" s="741">
        <f t="shared" si="137"/>
        <v>0</v>
      </c>
      <c r="AA481" s="741">
        <f t="shared" si="138"/>
        <v>0</v>
      </c>
      <c r="AB481" s="741">
        <f t="shared" si="139"/>
        <v>0</v>
      </c>
      <c r="AC481" s="987">
        <f t="shared" si="149"/>
        <v>0</v>
      </c>
      <c r="AD481" s="987">
        <f t="shared" si="150"/>
        <v>0</v>
      </c>
      <c r="AE481" s="368" t="str">
        <f>IFERROR(VLOOKUP(B481,'[1]סיכום בקרת רשויות'!$A:$D,4,0),"")</f>
        <v/>
      </c>
      <c r="AF481" s="57" t="str">
        <f t="shared" si="151"/>
        <v/>
      </c>
      <c r="AG481" s="180">
        <f>IF(AF481="כן",M481*'גנים ובתי ספר- מבנה תקציב'!$H$59,0)</f>
        <v>0</v>
      </c>
      <c r="AH481" s="180">
        <f>IF(AF481="כן",M481*'גנים ובתי ספר- מבנה תקציב'!$I$59,0)</f>
        <v>0</v>
      </c>
      <c r="AI481" s="180">
        <f t="shared" si="152"/>
        <v>0</v>
      </c>
      <c r="AJ481" s="368" t="str">
        <f t="shared" si="140"/>
        <v/>
      </c>
    </row>
    <row r="482" spans="1:36" x14ac:dyDescent="0.25">
      <c r="A482" s="57">
        <v>462</v>
      </c>
      <c r="B482" s="690"/>
      <c r="C482" s="690"/>
      <c r="D482" s="252">
        <f>(IFERROR(SUMIF('מצבת והרשמה (2)'!$F$21:$F$501,'דוח ביצוע (3)'!$B482,'מצבת והרשמה (2)'!$J$21:$J$501),0))</f>
        <v>0</v>
      </c>
      <c r="E482" s="252">
        <f>IFERROR(SUMIF('מצבת והרשמה (2)'!$F$21:$F$501,'דוח ביצוע (3)'!$B482,'מצבת והרשמה (2)'!$K$21:$K$501),0)</f>
        <v>0</v>
      </c>
      <c r="F482" s="253">
        <f t="shared" si="141"/>
        <v>0</v>
      </c>
      <c r="G482" s="680"/>
      <c r="H482" s="680"/>
      <c r="I482" s="253">
        <f t="shared" si="135"/>
        <v>0</v>
      </c>
      <c r="J482" s="453">
        <f t="shared" si="142"/>
        <v>0</v>
      </c>
      <c r="K482" s="689"/>
      <c r="L482" s="689"/>
      <c r="M482" s="969">
        <f t="shared" si="143"/>
        <v>0</v>
      </c>
      <c r="N482" s="1029" t="str">
        <f t="shared" si="144"/>
        <v/>
      </c>
      <c r="O482" s="969" t="str">
        <f>IFERROR(VLOOKUP(B482,'נתוני רישום ומצבת'!B:Q,16,0),"")</f>
        <v/>
      </c>
      <c r="P482" s="969" t="str">
        <f>IFERROR(VLOOKUP(B482,'נתוני רישום ומצבת'!B:R,17,0),"")</f>
        <v/>
      </c>
      <c r="Q482" s="690"/>
      <c r="R482" s="1009"/>
      <c r="S482" s="376">
        <f t="shared" si="145"/>
        <v>0</v>
      </c>
      <c r="T482" s="376">
        <f t="shared" si="146"/>
        <v>0</v>
      </c>
      <c r="U482" s="386">
        <f t="shared" si="147"/>
        <v>0</v>
      </c>
      <c r="V482" s="513" t="str">
        <f t="shared" si="148"/>
        <v/>
      </c>
      <c r="W482" s="254" t="str">
        <f>IF(ISBLANK(B482)," ",IF(B482=IFERROR(VLOOKUP(B482,'מצבת והרשמה (2)'!F:F,1,0),0),"תקין","לא קיים במצבת כבית ספר בו מתקיימת פעילות"))</f>
        <v xml:space="preserve"> </v>
      </c>
      <c r="X482" s="256" t="str">
        <f t="shared" si="136"/>
        <v/>
      </c>
      <c r="Y482" s="256" t="str">
        <f t="shared" si="153"/>
        <v/>
      </c>
      <c r="Z482" s="741">
        <f t="shared" si="137"/>
        <v>0</v>
      </c>
      <c r="AA482" s="741">
        <f t="shared" si="138"/>
        <v>0</v>
      </c>
      <c r="AB482" s="741">
        <f t="shared" si="139"/>
        <v>0</v>
      </c>
      <c r="AC482" s="987">
        <f t="shared" si="149"/>
        <v>0</v>
      </c>
      <c r="AD482" s="987">
        <f t="shared" si="150"/>
        <v>0</v>
      </c>
      <c r="AE482" s="368" t="str">
        <f>IFERROR(VLOOKUP(B482,'[1]סיכום בקרת רשויות'!$A:$D,4,0),"")</f>
        <v/>
      </c>
      <c r="AF482" s="57" t="str">
        <f t="shared" si="151"/>
        <v/>
      </c>
      <c r="AG482" s="180">
        <f>IF(AF482="כן",M482*'גנים ובתי ספר- מבנה תקציב'!$H$59,0)</f>
        <v>0</v>
      </c>
      <c r="AH482" s="180">
        <f>IF(AF482="כן",M482*'גנים ובתי ספר- מבנה תקציב'!$I$59,0)</f>
        <v>0</v>
      </c>
      <c r="AI482" s="180">
        <f t="shared" si="152"/>
        <v>0</v>
      </c>
      <c r="AJ482" s="368" t="str">
        <f t="shared" si="140"/>
        <v/>
      </c>
    </row>
    <row r="483" spans="1:36" x14ac:dyDescent="0.25">
      <c r="A483" s="57">
        <v>463</v>
      </c>
      <c r="B483" s="690"/>
      <c r="C483" s="690"/>
      <c r="D483" s="252">
        <f>(IFERROR(SUMIF('מצבת והרשמה (2)'!$F$21:$F$501,'דוח ביצוע (3)'!$B483,'מצבת והרשמה (2)'!$J$21:$J$501),0))</f>
        <v>0</v>
      </c>
      <c r="E483" s="252">
        <f>IFERROR(SUMIF('מצבת והרשמה (2)'!$F$21:$F$501,'דוח ביצוע (3)'!$B483,'מצבת והרשמה (2)'!$K$21:$K$501),0)</f>
        <v>0</v>
      </c>
      <c r="F483" s="253">
        <f t="shared" si="141"/>
        <v>0</v>
      </c>
      <c r="G483" s="680"/>
      <c r="H483" s="680"/>
      <c r="I483" s="253">
        <f t="shared" si="135"/>
        <v>0</v>
      </c>
      <c r="J483" s="453">
        <f t="shared" si="142"/>
        <v>0</v>
      </c>
      <c r="K483" s="689"/>
      <c r="L483" s="689"/>
      <c r="M483" s="969">
        <f t="shared" si="143"/>
        <v>0</v>
      </c>
      <c r="N483" s="1029" t="str">
        <f t="shared" si="144"/>
        <v/>
      </c>
      <c r="O483" s="969" t="str">
        <f>IFERROR(VLOOKUP(B483,'נתוני רישום ומצבת'!B:Q,16,0),"")</f>
        <v/>
      </c>
      <c r="P483" s="969" t="str">
        <f>IFERROR(VLOOKUP(B483,'נתוני רישום ומצבת'!B:R,17,0),"")</f>
        <v/>
      </c>
      <c r="Q483" s="690"/>
      <c r="R483" s="1009"/>
      <c r="S483" s="376">
        <f t="shared" si="145"/>
        <v>0</v>
      </c>
      <c r="T483" s="376">
        <f t="shared" si="146"/>
        <v>0</v>
      </c>
      <c r="U483" s="386">
        <f t="shared" si="147"/>
        <v>0</v>
      </c>
      <c r="V483" s="513" t="str">
        <f t="shared" si="148"/>
        <v/>
      </c>
      <c r="W483" s="254" t="str">
        <f>IF(ISBLANK(B483)," ",IF(B483=IFERROR(VLOOKUP(B483,'מצבת והרשמה (2)'!F:F,1,0),0),"תקין","לא קיים במצבת כבית ספר בו מתקיימת פעילות"))</f>
        <v xml:space="preserve"> </v>
      </c>
      <c r="X483" s="256" t="str">
        <f t="shared" si="136"/>
        <v/>
      </c>
      <c r="Y483" s="256" t="str">
        <f t="shared" si="153"/>
        <v/>
      </c>
      <c r="Z483" s="741">
        <f t="shared" si="137"/>
        <v>0</v>
      </c>
      <c r="AA483" s="741">
        <f t="shared" si="138"/>
        <v>0</v>
      </c>
      <c r="AB483" s="741">
        <f t="shared" si="139"/>
        <v>0</v>
      </c>
      <c r="AC483" s="987">
        <f t="shared" si="149"/>
        <v>0</v>
      </c>
      <c r="AD483" s="987">
        <f t="shared" si="150"/>
        <v>0</v>
      </c>
      <c r="AE483" s="368" t="str">
        <f>IFERROR(VLOOKUP(B483,'[1]סיכום בקרת רשויות'!$A:$D,4,0),"")</f>
        <v/>
      </c>
      <c r="AF483" s="57" t="str">
        <f t="shared" si="151"/>
        <v/>
      </c>
      <c r="AG483" s="180">
        <f>IF(AF483="כן",M483*'גנים ובתי ספר- מבנה תקציב'!$H$59,0)</f>
        <v>0</v>
      </c>
      <c r="AH483" s="180">
        <f>IF(AF483="כן",M483*'גנים ובתי ספר- מבנה תקציב'!$I$59,0)</f>
        <v>0</v>
      </c>
      <c r="AI483" s="180">
        <f t="shared" si="152"/>
        <v>0</v>
      </c>
      <c r="AJ483" s="368" t="str">
        <f t="shared" si="140"/>
        <v/>
      </c>
    </row>
    <row r="484" spans="1:36" x14ac:dyDescent="0.25">
      <c r="A484" s="57">
        <v>464</v>
      </c>
      <c r="B484" s="690"/>
      <c r="C484" s="690"/>
      <c r="D484" s="252">
        <f>(IFERROR(SUMIF('מצבת והרשמה (2)'!$F$21:$F$501,'דוח ביצוע (3)'!$B484,'מצבת והרשמה (2)'!$J$21:$J$501),0))</f>
        <v>0</v>
      </c>
      <c r="E484" s="252">
        <f>IFERROR(SUMIF('מצבת והרשמה (2)'!$F$21:$F$501,'דוח ביצוע (3)'!$B484,'מצבת והרשמה (2)'!$K$21:$K$501),0)</f>
        <v>0</v>
      </c>
      <c r="F484" s="253">
        <f t="shared" si="141"/>
        <v>0</v>
      </c>
      <c r="G484" s="680"/>
      <c r="H484" s="680"/>
      <c r="I484" s="253">
        <f t="shared" si="135"/>
        <v>0</v>
      </c>
      <c r="J484" s="453">
        <f t="shared" si="142"/>
        <v>0</v>
      </c>
      <c r="K484" s="689"/>
      <c r="L484" s="689"/>
      <c r="M484" s="969">
        <f t="shared" si="143"/>
        <v>0</v>
      </c>
      <c r="N484" s="1029" t="str">
        <f t="shared" si="144"/>
        <v/>
      </c>
      <c r="O484" s="969" t="str">
        <f>IFERROR(VLOOKUP(B484,'נתוני רישום ומצבת'!B:Q,16,0),"")</f>
        <v/>
      </c>
      <c r="P484" s="969" t="str">
        <f>IFERROR(VLOOKUP(B484,'נתוני רישום ומצבת'!B:R,17,0),"")</f>
        <v/>
      </c>
      <c r="Q484" s="690"/>
      <c r="R484" s="1009"/>
      <c r="S484" s="376">
        <f t="shared" si="145"/>
        <v>0</v>
      </c>
      <c r="T484" s="376">
        <f t="shared" si="146"/>
        <v>0</v>
      </c>
      <c r="U484" s="386">
        <f t="shared" si="147"/>
        <v>0</v>
      </c>
      <c r="V484" s="513" t="str">
        <f t="shared" si="148"/>
        <v/>
      </c>
      <c r="W484" s="254" t="str">
        <f>IF(ISBLANK(B484)," ",IF(B484=IFERROR(VLOOKUP(B484,'מצבת והרשמה (2)'!F:F,1,0),0),"תקין","לא קיים במצבת כבית ספר בו מתקיימת פעילות"))</f>
        <v xml:space="preserve"> </v>
      </c>
      <c r="X484" s="256" t="str">
        <f t="shared" si="136"/>
        <v/>
      </c>
      <c r="Y484" s="256" t="str">
        <f t="shared" si="153"/>
        <v/>
      </c>
      <c r="Z484" s="741">
        <f t="shared" si="137"/>
        <v>0</v>
      </c>
      <c r="AA484" s="741">
        <f t="shared" si="138"/>
        <v>0</v>
      </c>
      <c r="AB484" s="741">
        <f t="shared" si="139"/>
        <v>0</v>
      </c>
      <c r="AC484" s="987">
        <f t="shared" si="149"/>
        <v>0</v>
      </c>
      <c r="AD484" s="987">
        <f t="shared" si="150"/>
        <v>0</v>
      </c>
      <c r="AE484" s="368" t="str">
        <f>IFERROR(VLOOKUP(B484,'[1]סיכום בקרת רשויות'!$A:$D,4,0),"")</f>
        <v/>
      </c>
      <c r="AF484" s="57" t="str">
        <f t="shared" si="151"/>
        <v/>
      </c>
      <c r="AG484" s="180">
        <f>IF(AF484="כן",M484*'גנים ובתי ספר- מבנה תקציב'!$H$59,0)</f>
        <v>0</v>
      </c>
      <c r="AH484" s="180">
        <f>IF(AF484="כן",M484*'גנים ובתי ספר- מבנה תקציב'!$I$59,0)</f>
        <v>0</v>
      </c>
      <c r="AI484" s="180">
        <f t="shared" si="152"/>
        <v>0</v>
      </c>
      <c r="AJ484" s="368" t="str">
        <f t="shared" si="140"/>
        <v/>
      </c>
    </row>
    <row r="485" spans="1:36" x14ac:dyDescent="0.25">
      <c r="A485" s="57">
        <v>465</v>
      </c>
      <c r="B485" s="690"/>
      <c r="C485" s="690"/>
      <c r="D485" s="252">
        <f>(IFERROR(SUMIF('מצבת והרשמה (2)'!$F$21:$F$501,'דוח ביצוע (3)'!$B485,'מצבת והרשמה (2)'!$J$21:$J$501),0))</f>
        <v>0</v>
      </c>
      <c r="E485" s="252">
        <f>IFERROR(SUMIF('מצבת והרשמה (2)'!$F$21:$F$501,'דוח ביצוע (3)'!$B485,'מצבת והרשמה (2)'!$K$21:$K$501),0)</f>
        <v>0</v>
      </c>
      <c r="F485" s="253">
        <f t="shared" si="141"/>
        <v>0</v>
      </c>
      <c r="G485" s="680"/>
      <c r="H485" s="680"/>
      <c r="I485" s="253">
        <f t="shared" si="135"/>
        <v>0</v>
      </c>
      <c r="J485" s="453">
        <f t="shared" si="142"/>
        <v>0</v>
      </c>
      <c r="K485" s="689"/>
      <c r="L485" s="689"/>
      <c r="M485" s="969">
        <f t="shared" si="143"/>
        <v>0</v>
      </c>
      <c r="N485" s="1029" t="str">
        <f t="shared" si="144"/>
        <v/>
      </c>
      <c r="O485" s="969" t="str">
        <f>IFERROR(VLOOKUP(B485,'נתוני רישום ומצבת'!B:Q,16,0),"")</f>
        <v/>
      </c>
      <c r="P485" s="969" t="str">
        <f>IFERROR(VLOOKUP(B485,'נתוני רישום ומצבת'!B:R,17,0),"")</f>
        <v/>
      </c>
      <c r="Q485" s="690"/>
      <c r="R485" s="1009"/>
      <c r="S485" s="376">
        <f t="shared" si="145"/>
        <v>0</v>
      </c>
      <c r="T485" s="376">
        <f t="shared" si="146"/>
        <v>0</v>
      </c>
      <c r="U485" s="386">
        <f t="shared" si="147"/>
        <v>0</v>
      </c>
      <c r="V485" s="513" t="str">
        <f t="shared" si="148"/>
        <v/>
      </c>
      <c r="W485" s="254" t="str">
        <f>IF(ISBLANK(B485)," ",IF(B485=IFERROR(VLOOKUP(B485,'מצבת והרשמה (2)'!F:F,1,0),0),"תקין","לא קיים במצבת כבית ספר בו מתקיימת פעילות"))</f>
        <v xml:space="preserve"> </v>
      </c>
      <c r="X485" s="256" t="str">
        <f t="shared" si="136"/>
        <v/>
      </c>
      <c r="Y485" s="256" t="str">
        <f t="shared" si="153"/>
        <v/>
      </c>
      <c r="Z485" s="741">
        <f t="shared" si="137"/>
        <v>0</v>
      </c>
      <c r="AA485" s="741">
        <f t="shared" si="138"/>
        <v>0</v>
      </c>
      <c r="AB485" s="741">
        <f t="shared" si="139"/>
        <v>0</v>
      </c>
      <c r="AC485" s="987">
        <f t="shared" si="149"/>
        <v>0</v>
      </c>
      <c r="AD485" s="987">
        <f t="shared" si="150"/>
        <v>0</v>
      </c>
      <c r="AE485" s="368" t="str">
        <f>IFERROR(VLOOKUP(B485,'[1]סיכום בקרת רשויות'!$A:$D,4,0),"")</f>
        <v/>
      </c>
      <c r="AF485" s="57" t="str">
        <f t="shared" si="151"/>
        <v/>
      </c>
      <c r="AG485" s="180">
        <f>IF(AF485="כן",M485*'גנים ובתי ספר- מבנה תקציב'!$H$59,0)</f>
        <v>0</v>
      </c>
      <c r="AH485" s="180">
        <f>IF(AF485="כן",M485*'גנים ובתי ספר- מבנה תקציב'!$I$59,0)</f>
        <v>0</v>
      </c>
      <c r="AI485" s="180">
        <f t="shared" si="152"/>
        <v>0</v>
      </c>
      <c r="AJ485" s="368" t="str">
        <f t="shared" si="140"/>
        <v/>
      </c>
    </row>
    <row r="486" spans="1:36" x14ac:dyDescent="0.25">
      <c r="A486" s="57">
        <v>466</v>
      </c>
      <c r="B486" s="690"/>
      <c r="C486" s="690"/>
      <c r="D486" s="252">
        <f>(IFERROR(SUMIF('מצבת והרשמה (2)'!$F$21:$F$501,'דוח ביצוע (3)'!$B486,'מצבת והרשמה (2)'!$J$21:$J$501),0))</f>
        <v>0</v>
      </c>
      <c r="E486" s="252">
        <f>IFERROR(SUMIF('מצבת והרשמה (2)'!$F$21:$F$501,'דוח ביצוע (3)'!$B486,'מצבת והרשמה (2)'!$K$21:$K$501),0)</f>
        <v>0</v>
      </c>
      <c r="F486" s="253">
        <f t="shared" si="141"/>
        <v>0</v>
      </c>
      <c r="G486" s="680"/>
      <c r="H486" s="680"/>
      <c r="I486" s="253">
        <f t="shared" si="135"/>
        <v>0</v>
      </c>
      <c r="J486" s="453">
        <f t="shared" si="142"/>
        <v>0</v>
      </c>
      <c r="K486" s="689"/>
      <c r="L486" s="689"/>
      <c r="M486" s="969">
        <f t="shared" si="143"/>
        <v>0</v>
      </c>
      <c r="N486" s="1029" t="str">
        <f t="shared" si="144"/>
        <v/>
      </c>
      <c r="O486" s="969" t="str">
        <f>IFERROR(VLOOKUP(B486,'נתוני רישום ומצבת'!B:Q,16,0),"")</f>
        <v/>
      </c>
      <c r="P486" s="969" t="str">
        <f>IFERROR(VLOOKUP(B486,'נתוני רישום ומצבת'!B:R,17,0),"")</f>
        <v/>
      </c>
      <c r="Q486" s="690"/>
      <c r="R486" s="1009"/>
      <c r="S486" s="376">
        <f t="shared" si="145"/>
        <v>0</v>
      </c>
      <c r="T486" s="376">
        <f t="shared" si="146"/>
        <v>0</v>
      </c>
      <c r="U486" s="386">
        <f t="shared" si="147"/>
        <v>0</v>
      </c>
      <c r="V486" s="513" t="str">
        <f t="shared" si="148"/>
        <v/>
      </c>
      <c r="W486" s="254" t="str">
        <f>IF(ISBLANK(B486)," ",IF(B486=IFERROR(VLOOKUP(B486,'מצבת והרשמה (2)'!F:F,1,0),0),"תקין","לא קיים במצבת כבית ספר בו מתקיימת פעילות"))</f>
        <v xml:space="preserve"> </v>
      </c>
      <c r="X486" s="256" t="str">
        <f t="shared" si="136"/>
        <v/>
      </c>
      <c r="Y486" s="256" t="str">
        <f t="shared" si="153"/>
        <v/>
      </c>
      <c r="Z486" s="741">
        <f t="shared" si="137"/>
        <v>0</v>
      </c>
      <c r="AA486" s="741">
        <f t="shared" si="138"/>
        <v>0</v>
      </c>
      <c r="AB486" s="741">
        <f t="shared" si="139"/>
        <v>0</v>
      </c>
      <c r="AC486" s="987">
        <f t="shared" si="149"/>
        <v>0</v>
      </c>
      <c r="AD486" s="987">
        <f t="shared" si="150"/>
        <v>0</v>
      </c>
      <c r="AE486" s="368" t="str">
        <f>IFERROR(VLOOKUP(B486,'[1]סיכום בקרת רשויות'!$A:$D,4,0),"")</f>
        <v/>
      </c>
      <c r="AF486" s="57" t="str">
        <f t="shared" si="151"/>
        <v/>
      </c>
      <c r="AG486" s="180">
        <f>IF(AF486="כן",M486*'גנים ובתי ספר- מבנה תקציב'!$H$59,0)</f>
        <v>0</v>
      </c>
      <c r="AH486" s="180">
        <f>IF(AF486="כן",M486*'גנים ובתי ספר- מבנה תקציב'!$I$59,0)</f>
        <v>0</v>
      </c>
      <c r="AI486" s="180">
        <f t="shared" si="152"/>
        <v>0</v>
      </c>
      <c r="AJ486" s="368" t="str">
        <f t="shared" si="140"/>
        <v/>
      </c>
    </row>
    <row r="487" spans="1:36" x14ac:dyDescent="0.25">
      <c r="A487" s="57">
        <v>467</v>
      </c>
      <c r="B487" s="690"/>
      <c r="C487" s="690"/>
      <c r="D487" s="252">
        <f>(IFERROR(SUMIF('מצבת והרשמה (2)'!$F$21:$F$501,'דוח ביצוע (3)'!$B487,'מצבת והרשמה (2)'!$J$21:$J$501),0))</f>
        <v>0</v>
      </c>
      <c r="E487" s="252">
        <f>IFERROR(SUMIF('מצבת והרשמה (2)'!$F$21:$F$501,'דוח ביצוע (3)'!$B487,'מצבת והרשמה (2)'!$K$21:$K$501),0)</f>
        <v>0</v>
      </c>
      <c r="F487" s="253">
        <f t="shared" si="141"/>
        <v>0</v>
      </c>
      <c r="G487" s="680"/>
      <c r="H487" s="680"/>
      <c r="I487" s="253">
        <f t="shared" si="135"/>
        <v>0</v>
      </c>
      <c r="J487" s="453">
        <f t="shared" si="142"/>
        <v>0</v>
      </c>
      <c r="K487" s="689"/>
      <c r="L487" s="689"/>
      <c r="M487" s="969">
        <f t="shared" si="143"/>
        <v>0</v>
      </c>
      <c r="N487" s="1029" t="str">
        <f t="shared" si="144"/>
        <v/>
      </c>
      <c r="O487" s="969" t="str">
        <f>IFERROR(VLOOKUP(B487,'נתוני רישום ומצבת'!B:Q,16,0),"")</f>
        <v/>
      </c>
      <c r="P487" s="969" t="str">
        <f>IFERROR(VLOOKUP(B487,'נתוני רישום ומצבת'!B:R,17,0),"")</f>
        <v/>
      </c>
      <c r="Q487" s="690"/>
      <c r="R487" s="1009"/>
      <c r="S487" s="376">
        <f t="shared" si="145"/>
        <v>0</v>
      </c>
      <c r="T487" s="376">
        <f t="shared" si="146"/>
        <v>0</v>
      </c>
      <c r="U487" s="386">
        <f t="shared" si="147"/>
        <v>0</v>
      </c>
      <c r="V487" s="513" t="str">
        <f t="shared" si="148"/>
        <v/>
      </c>
      <c r="W487" s="254" t="str">
        <f>IF(ISBLANK(B487)," ",IF(B487=IFERROR(VLOOKUP(B487,'מצבת והרשמה (2)'!F:F,1,0),0),"תקין","לא קיים במצבת כבית ספר בו מתקיימת פעילות"))</f>
        <v xml:space="preserve"> </v>
      </c>
      <c r="X487" s="256" t="str">
        <f t="shared" si="136"/>
        <v/>
      </c>
      <c r="Y487" s="256" t="str">
        <f t="shared" si="153"/>
        <v/>
      </c>
      <c r="Z487" s="741">
        <f t="shared" si="137"/>
        <v>0</v>
      </c>
      <c r="AA487" s="741">
        <f t="shared" si="138"/>
        <v>0</v>
      </c>
      <c r="AB487" s="741">
        <f t="shared" si="139"/>
        <v>0</v>
      </c>
      <c r="AC487" s="987">
        <f t="shared" si="149"/>
        <v>0</v>
      </c>
      <c r="AD487" s="987">
        <f t="shared" si="150"/>
        <v>0</v>
      </c>
      <c r="AE487" s="368" t="str">
        <f>IFERROR(VLOOKUP(B487,'[1]סיכום בקרת רשויות'!$A:$D,4,0),"")</f>
        <v/>
      </c>
      <c r="AF487" s="57" t="str">
        <f t="shared" si="151"/>
        <v/>
      </c>
      <c r="AG487" s="180">
        <f>IF(AF487="כן",M487*'גנים ובתי ספר- מבנה תקציב'!$H$59,0)</f>
        <v>0</v>
      </c>
      <c r="AH487" s="180">
        <f>IF(AF487="כן",M487*'גנים ובתי ספר- מבנה תקציב'!$I$59,0)</f>
        <v>0</v>
      </c>
      <c r="AI487" s="180">
        <f t="shared" si="152"/>
        <v>0</v>
      </c>
      <c r="AJ487" s="368" t="str">
        <f t="shared" si="140"/>
        <v/>
      </c>
    </row>
    <row r="488" spans="1:36" x14ac:dyDescent="0.25">
      <c r="A488" s="57">
        <v>468</v>
      </c>
      <c r="B488" s="690"/>
      <c r="C488" s="690"/>
      <c r="D488" s="252">
        <f>(IFERROR(SUMIF('מצבת והרשמה (2)'!$F$21:$F$501,'דוח ביצוע (3)'!$B488,'מצבת והרשמה (2)'!$J$21:$J$501),0))</f>
        <v>0</v>
      </c>
      <c r="E488" s="252">
        <f>IFERROR(SUMIF('מצבת והרשמה (2)'!$F$21:$F$501,'דוח ביצוע (3)'!$B488,'מצבת והרשמה (2)'!$K$21:$K$501),0)</f>
        <v>0</v>
      </c>
      <c r="F488" s="253">
        <f t="shared" si="141"/>
        <v>0</v>
      </c>
      <c r="G488" s="680"/>
      <c r="H488" s="680"/>
      <c r="I488" s="253">
        <f t="shared" si="135"/>
        <v>0</v>
      </c>
      <c r="J488" s="453">
        <f t="shared" si="142"/>
        <v>0</v>
      </c>
      <c r="K488" s="689"/>
      <c r="L488" s="689"/>
      <c r="M488" s="969">
        <f t="shared" si="143"/>
        <v>0</v>
      </c>
      <c r="N488" s="1029" t="str">
        <f t="shared" si="144"/>
        <v/>
      </c>
      <c r="O488" s="969" t="str">
        <f>IFERROR(VLOOKUP(B488,'נתוני רישום ומצבת'!B:Q,16,0),"")</f>
        <v/>
      </c>
      <c r="P488" s="969" t="str">
        <f>IFERROR(VLOOKUP(B488,'נתוני רישום ומצבת'!B:R,17,0),"")</f>
        <v/>
      </c>
      <c r="Q488" s="690"/>
      <c r="R488" s="1009"/>
      <c r="S488" s="376">
        <f t="shared" si="145"/>
        <v>0</v>
      </c>
      <c r="T488" s="376">
        <f t="shared" si="146"/>
        <v>0</v>
      </c>
      <c r="U488" s="386">
        <f t="shared" si="147"/>
        <v>0</v>
      </c>
      <c r="V488" s="513" t="str">
        <f t="shared" si="148"/>
        <v/>
      </c>
      <c r="W488" s="254" t="str">
        <f>IF(ISBLANK(B488)," ",IF(B488=IFERROR(VLOOKUP(B488,'מצבת והרשמה (2)'!F:F,1,0),0),"תקין","לא קיים במצבת כבית ספר בו מתקיימת פעילות"))</f>
        <v xml:space="preserve"> </v>
      </c>
      <c r="X488" s="256" t="str">
        <f t="shared" si="136"/>
        <v/>
      </c>
      <c r="Y488" s="256" t="str">
        <f t="shared" si="153"/>
        <v/>
      </c>
      <c r="Z488" s="741">
        <f t="shared" si="137"/>
        <v>0</v>
      </c>
      <c r="AA488" s="741">
        <f t="shared" si="138"/>
        <v>0</v>
      </c>
      <c r="AB488" s="741">
        <f t="shared" si="139"/>
        <v>0</v>
      </c>
      <c r="AC488" s="987">
        <f t="shared" si="149"/>
        <v>0</v>
      </c>
      <c r="AD488" s="987">
        <f t="shared" si="150"/>
        <v>0</v>
      </c>
      <c r="AE488" s="368" t="str">
        <f>IFERROR(VLOOKUP(B488,'[1]סיכום בקרת רשויות'!$A:$D,4,0),"")</f>
        <v/>
      </c>
      <c r="AF488" s="57" t="str">
        <f t="shared" si="151"/>
        <v/>
      </c>
      <c r="AG488" s="180">
        <f>IF(AF488="כן",M488*'גנים ובתי ספר- מבנה תקציב'!$H$59,0)</f>
        <v>0</v>
      </c>
      <c r="AH488" s="180">
        <f>IF(AF488="כן",M488*'גנים ובתי ספר- מבנה תקציב'!$I$59,0)</f>
        <v>0</v>
      </c>
      <c r="AI488" s="180">
        <f t="shared" si="152"/>
        <v>0</v>
      </c>
      <c r="AJ488" s="368" t="str">
        <f t="shared" si="140"/>
        <v/>
      </c>
    </row>
    <row r="489" spans="1:36" x14ac:dyDescent="0.25">
      <c r="A489" s="57">
        <v>469</v>
      </c>
      <c r="B489" s="690"/>
      <c r="C489" s="690"/>
      <c r="D489" s="252">
        <f>(IFERROR(SUMIF('מצבת והרשמה (2)'!$F$21:$F$501,'דוח ביצוע (3)'!$B489,'מצבת והרשמה (2)'!$J$21:$J$501),0))</f>
        <v>0</v>
      </c>
      <c r="E489" s="252">
        <f>IFERROR(SUMIF('מצבת והרשמה (2)'!$F$21:$F$501,'דוח ביצוע (3)'!$B489,'מצבת והרשמה (2)'!$K$21:$K$501),0)</f>
        <v>0</v>
      </c>
      <c r="F489" s="253">
        <f t="shared" si="141"/>
        <v>0</v>
      </c>
      <c r="G489" s="680"/>
      <c r="H489" s="680"/>
      <c r="I489" s="253">
        <f t="shared" si="135"/>
        <v>0</v>
      </c>
      <c r="J489" s="453">
        <f t="shared" si="142"/>
        <v>0</v>
      </c>
      <c r="K489" s="689"/>
      <c r="L489" s="689"/>
      <c r="M489" s="969">
        <f t="shared" si="143"/>
        <v>0</v>
      </c>
      <c r="N489" s="1029" t="str">
        <f t="shared" si="144"/>
        <v/>
      </c>
      <c r="O489" s="969" t="str">
        <f>IFERROR(VLOOKUP(B489,'נתוני רישום ומצבת'!B:Q,16,0),"")</f>
        <v/>
      </c>
      <c r="P489" s="969" t="str">
        <f>IFERROR(VLOOKUP(B489,'נתוני רישום ומצבת'!B:R,17,0),"")</f>
        <v/>
      </c>
      <c r="Q489" s="690"/>
      <c r="R489" s="1009"/>
      <c r="S489" s="376">
        <f t="shared" si="145"/>
        <v>0</v>
      </c>
      <c r="T489" s="376">
        <f t="shared" si="146"/>
        <v>0</v>
      </c>
      <c r="U489" s="386">
        <f t="shared" si="147"/>
        <v>0</v>
      </c>
      <c r="V489" s="513" t="str">
        <f t="shared" si="148"/>
        <v/>
      </c>
      <c r="W489" s="254" t="str">
        <f>IF(ISBLANK(B489)," ",IF(B489=IFERROR(VLOOKUP(B489,'מצבת והרשמה (2)'!F:F,1,0),0),"תקין","לא קיים במצבת כבית ספר בו מתקיימת פעילות"))</f>
        <v xml:space="preserve"> </v>
      </c>
      <c r="X489" s="256" t="str">
        <f t="shared" si="136"/>
        <v/>
      </c>
      <c r="Y489" s="256" t="str">
        <f t="shared" si="153"/>
        <v/>
      </c>
      <c r="Z489" s="741">
        <f t="shared" si="137"/>
        <v>0</v>
      </c>
      <c r="AA489" s="741">
        <f t="shared" si="138"/>
        <v>0</v>
      </c>
      <c r="AB489" s="741">
        <f t="shared" si="139"/>
        <v>0</v>
      </c>
      <c r="AC489" s="987">
        <f t="shared" si="149"/>
        <v>0</v>
      </c>
      <c r="AD489" s="987">
        <f t="shared" si="150"/>
        <v>0</v>
      </c>
      <c r="AE489" s="368" t="str">
        <f>IFERROR(VLOOKUP(B489,'[1]סיכום בקרת רשויות'!$A:$D,4,0),"")</f>
        <v/>
      </c>
      <c r="AF489" s="57" t="str">
        <f t="shared" si="151"/>
        <v/>
      </c>
      <c r="AG489" s="180">
        <f>IF(AF489="כן",M489*'גנים ובתי ספר- מבנה תקציב'!$H$59,0)</f>
        <v>0</v>
      </c>
      <c r="AH489" s="180">
        <f>IF(AF489="כן",M489*'גנים ובתי ספר- מבנה תקציב'!$I$59,0)</f>
        <v>0</v>
      </c>
      <c r="AI489" s="180">
        <f t="shared" si="152"/>
        <v>0</v>
      </c>
      <c r="AJ489" s="368" t="str">
        <f t="shared" si="140"/>
        <v/>
      </c>
    </row>
    <row r="490" spans="1:36" x14ac:dyDescent="0.25">
      <c r="A490" s="57">
        <v>470</v>
      </c>
      <c r="B490" s="690"/>
      <c r="C490" s="690"/>
      <c r="D490" s="252">
        <f>(IFERROR(SUMIF('מצבת והרשמה (2)'!$F$21:$F$501,'דוח ביצוע (3)'!$B490,'מצבת והרשמה (2)'!$J$21:$J$501),0))</f>
        <v>0</v>
      </c>
      <c r="E490" s="252">
        <f>IFERROR(SUMIF('מצבת והרשמה (2)'!$F$21:$F$501,'דוח ביצוע (3)'!$B490,'מצבת והרשמה (2)'!$K$21:$K$501),0)</f>
        <v>0</v>
      </c>
      <c r="F490" s="253">
        <f t="shared" si="141"/>
        <v>0</v>
      </c>
      <c r="G490" s="680"/>
      <c r="H490" s="680"/>
      <c r="I490" s="253">
        <f t="shared" si="135"/>
        <v>0</v>
      </c>
      <c r="J490" s="453">
        <f t="shared" si="142"/>
        <v>0</v>
      </c>
      <c r="K490" s="689"/>
      <c r="L490" s="689"/>
      <c r="M490" s="969">
        <f t="shared" si="143"/>
        <v>0</v>
      </c>
      <c r="N490" s="1029" t="str">
        <f t="shared" si="144"/>
        <v/>
      </c>
      <c r="O490" s="969" t="str">
        <f>IFERROR(VLOOKUP(B490,'נתוני רישום ומצבת'!B:Q,16,0),"")</f>
        <v/>
      </c>
      <c r="P490" s="969" t="str">
        <f>IFERROR(VLOOKUP(B490,'נתוני רישום ומצבת'!B:R,17,0),"")</f>
        <v/>
      </c>
      <c r="Q490" s="690"/>
      <c r="R490" s="1009"/>
      <c r="S490" s="376">
        <f t="shared" si="145"/>
        <v>0</v>
      </c>
      <c r="T490" s="376">
        <f t="shared" si="146"/>
        <v>0</v>
      </c>
      <c r="U490" s="386">
        <f t="shared" si="147"/>
        <v>0</v>
      </c>
      <c r="V490" s="513" t="str">
        <f t="shared" si="148"/>
        <v/>
      </c>
      <c r="W490" s="254" t="str">
        <f>IF(ISBLANK(B490)," ",IF(B490=IFERROR(VLOOKUP(B490,'מצבת והרשמה (2)'!F:F,1,0),0),"תקין","לא קיים במצבת כבית ספר בו מתקיימת פעילות"))</f>
        <v xml:space="preserve"> </v>
      </c>
      <c r="X490" s="256" t="str">
        <f t="shared" si="136"/>
        <v/>
      </c>
      <c r="Y490" s="256" t="str">
        <f t="shared" si="153"/>
        <v/>
      </c>
      <c r="Z490" s="741">
        <f t="shared" si="137"/>
        <v>0</v>
      </c>
      <c r="AA490" s="741">
        <f t="shared" si="138"/>
        <v>0</v>
      </c>
      <c r="AB490" s="741">
        <f t="shared" si="139"/>
        <v>0</v>
      </c>
      <c r="AC490" s="987">
        <f t="shared" si="149"/>
        <v>0</v>
      </c>
      <c r="AD490" s="987">
        <f t="shared" si="150"/>
        <v>0</v>
      </c>
      <c r="AE490" s="368" t="str">
        <f>IFERROR(VLOOKUP(B490,'[1]סיכום בקרת רשויות'!$A:$D,4,0),"")</f>
        <v/>
      </c>
      <c r="AF490" s="57" t="str">
        <f t="shared" si="151"/>
        <v/>
      </c>
      <c r="AG490" s="180">
        <f>IF(AF490="כן",M490*'גנים ובתי ספר- מבנה תקציב'!$H$59,0)</f>
        <v>0</v>
      </c>
      <c r="AH490" s="180">
        <f>IF(AF490="כן",M490*'גנים ובתי ספר- מבנה תקציב'!$I$59,0)</f>
        <v>0</v>
      </c>
      <c r="AI490" s="180">
        <f t="shared" si="152"/>
        <v>0</v>
      </c>
      <c r="AJ490" s="368" t="str">
        <f t="shared" si="140"/>
        <v/>
      </c>
    </row>
    <row r="491" spans="1:36" x14ac:dyDescent="0.25">
      <c r="A491" s="57">
        <v>471</v>
      </c>
      <c r="B491" s="690"/>
      <c r="C491" s="690"/>
      <c r="D491" s="252">
        <f>(IFERROR(SUMIF('מצבת והרשמה (2)'!$F$21:$F$501,'דוח ביצוע (3)'!$B491,'מצבת והרשמה (2)'!$J$21:$J$501),0))</f>
        <v>0</v>
      </c>
      <c r="E491" s="252">
        <f>IFERROR(SUMIF('מצבת והרשמה (2)'!$F$21:$F$501,'דוח ביצוע (3)'!$B491,'מצבת והרשמה (2)'!$K$21:$K$501),0)</f>
        <v>0</v>
      </c>
      <c r="F491" s="253">
        <f t="shared" si="141"/>
        <v>0</v>
      </c>
      <c r="G491" s="680"/>
      <c r="H491" s="680"/>
      <c r="I491" s="253">
        <f t="shared" si="135"/>
        <v>0</v>
      </c>
      <c r="J491" s="453">
        <f t="shared" si="142"/>
        <v>0</v>
      </c>
      <c r="K491" s="689"/>
      <c r="L491" s="689"/>
      <c r="M491" s="969">
        <f t="shared" si="143"/>
        <v>0</v>
      </c>
      <c r="N491" s="1029" t="str">
        <f t="shared" si="144"/>
        <v/>
      </c>
      <c r="O491" s="969" t="str">
        <f>IFERROR(VLOOKUP(B491,'נתוני רישום ומצבת'!B:Q,16,0),"")</f>
        <v/>
      </c>
      <c r="P491" s="969" t="str">
        <f>IFERROR(VLOOKUP(B491,'נתוני רישום ומצבת'!B:R,17,0),"")</f>
        <v/>
      </c>
      <c r="Q491" s="690"/>
      <c r="R491" s="1009"/>
      <c r="S491" s="376">
        <f t="shared" si="145"/>
        <v>0</v>
      </c>
      <c r="T491" s="376">
        <f t="shared" si="146"/>
        <v>0</v>
      </c>
      <c r="U491" s="386">
        <f t="shared" si="147"/>
        <v>0</v>
      </c>
      <c r="V491" s="513" t="str">
        <f t="shared" si="148"/>
        <v/>
      </c>
      <c r="W491" s="254" t="str">
        <f>IF(ISBLANK(B491)," ",IF(B491=IFERROR(VLOOKUP(B491,'מצבת והרשמה (2)'!F:F,1,0),0),"תקין","לא קיים במצבת כבית ספר בו מתקיימת פעילות"))</f>
        <v xml:space="preserve"> </v>
      </c>
      <c r="X491" s="256" t="str">
        <f t="shared" si="136"/>
        <v/>
      </c>
      <c r="Y491" s="256" t="str">
        <f t="shared" si="153"/>
        <v/>
      </c>
      <c r="Z491" s="741">
        <f t="shared" si="137"/>
        <v>0</v>
      </c>
      <c r="AA491" s="741">
        <f t="shared" si="138"/>
        <v>0</v>
      </c>
      <c r="AB491" s="741">
        <f t="shared" si="139"/>
        <v>0</v>
      </c>
      <c r="AC491" s="987">
        <f t="shared" si="149"/>
        <v>0</v>
      </c>
      <c r="AD491" s="987">
        <f t="shared" si="150"/>
        <v>0</v>
      </c>
      <c r="AE491" s="368" t="str">
        <f>IFERROR(VLOOKUP(B491,'[1]סיכום בקרת רשויות'!$A:$D,4,0),"")</f>
        <v/>
      </c>
      <c r="AF491" s="57" t="str">
        <f t="shared" si="151"/>
        <v/>
      </c>
      <c r="AG491" s="180">
        <f>IF(AF491="כן",M491*'גנים ובתי ספר- מבנה תקציב'!$H$59,0)</f>
        <v>0</v>
      </c>
      <c r="AH491" s="180">
        <f>IF(AF491="כן",M491*'גנים ובתי ספר- מבנה תקציב'!$I$59,0)</f>
        <v>0</v>
      </c>
      <c r="AI491" s="180">
        <f t="shared" si="152"/>
        <v>0</v>
      </c>
      <c r="AJ491" s="368" t="str">
        <f t="shared" si="140"/>
        <v/>
      </c>
    </row>
    <row r="492" spans="1:36" x14ac:dyDescent="0.25">
      <c r="A492" s="57">
        <v>472</v>
      </c>
      <c r="B492" s="690"/>
      <c r="C492" s="690"/>
      <c r="D492" s="252">
        <f>(IFERROR(SUMIF('מצבת והרשמה (2)'!$F$21:$F$501,'דוח ביצוע (3)'!$B492,'מצבת והרשמה (2)'!$J$21:$J$501),0))</f>
        <v>0</v>
      </c>
      <c r="E492" s="252">
        <f>IFERROR(SUMIF('מצבת והרשמה (2)'!$F$21:$F$501,'דוח ביצוע (3)'!$B492,'מצבת והרשמה (2)'!$K$21:$K$501),0)</f>
        <v>0</v>
      </c>
      <c r="F492" s="253">
        <f t="shared" si="141"/>
        <v>0</v>
      </c>
      <c r="G492" s="680"/>
      <c r="H492" s="680"/>
      <c r="I492" s="253">
        <f t="shared" si="135"/>
        <v>0</v>
      </c>
      <c r="J492" s="453">
        <f t="shared" si="142"/>
        <v>0</v>
      </c>
      <c r="K492" s="689"/>
      <c r="L492" s="689"/>
      <c r="M492" s="969">
        <f t="shared" si="143"/>
        <v>0</v>
      </c>
      <c r="N492" s="1029" t="str">
        <f t="shared" si="144"/>
        <v/>
      </c>
      <c r="O492" s="969" t="str">
        <f>IFERROR(VLOOKUP(B492,'נתוני רישום ומצבת'!B:Q,16,0),"")</f>
        <v/>
      </c>
      <c r="P492" s="969" t="str">
        <f>IFERROR(VLOOKUP(B492,'נתוני רישום ומצבת'!B:R,17,0),"")</f>
        <v/>
      </c>
      <c r="Q492" s="690"/>
      <c r="R492" s="1009"/>
      <c r="S492" s="376">
        <f t="shared" si="145"/>
        <v>0</v>
      </c>
      <c r="T492" s="376">
        <f t="shared" si="146"/>
        <v>0</v>
      </c>
      <c r="U492" s="386">
        <f t="shared" si="147"/>
        <v>0</v>
      </c>
      <c r="V492" s="513" t="str">
        <f t="shared" si="148"/>
        <v/>
      </c>
      <c r="W492" s="254" t="str">
        <f>IF(ISBLANK(B492)," ",IF(B492=IFERROR(VLOOKUP(B492,'מצבת והרשמה (2)'!F:F,1,0),0),"תקין","לא קיים במצבת כבית ספר בו מתקיימת פעילות"))</f>
        <v xml:space="preserve"> </v>
      </c>
      <c r="X492" s="256" t="str">
        <f t="shared" si="136"/>
        <v/>
      </c>
      <c r="Y492" s="256" t="str">
        <f t="shared" si="153"/>
        <v/>
      </c>
      <c r="Z492" s="741">
        <f t="shared" si="137"/>
        <v>0</v>
      </c>
      <c r="AA492" s="741">
        <f t="shared" si="138"/>
        <v>0</v>
      </c>
      <c r="AB492" s="741">
        <f t="shared" si="139"/>
        <v>0</v>
      </c>
      <c r="AC492" s="987">
        <f t="shared" si="149"/>
        <v>0</v>
      </c>
      <c r="AD492" s="987">
        <f t="shared" si="150"/>
        <v>0</v>
      </c>
      <c r="AE492" s="368" t="str">
        <f>IFERROR(VLOOKUP(B492,'[1]סיכום בקרת רשויות'!$A:$D,4,0),"")</f>
        <v/>
      </c>
      <c r="AF492" s="57" t="str">
        <f t="shared" si="151"/>
        <v/>
      </c>
      <c r="AG492" s="180">
        <f>IF(AF492="כן",M492*'גנים ובתי ספר- מבנה תקציב'!$H$59,0)</f>
        <v>0</v>
      </c>
      <c r="AH492" s="180">
        <f>IF(AF492="כן",M492*'גנים ובתי ספר- מבנה תקציב'!$I$59,0)</f>
        <v>0</v>
      </c>
      <c r="AI492" s="180">
        <f t="shared" si="152"/>
        <v>0</v>
      </c>
      <c r="AJ492" s="368" t="str">
        <f t="shared" si="140"/>
        <v/>
      </c>
    </row>
    <row r="493" spans="1:36" x14ac:dyDescent="0.25">
      <c r="A493" s="57">
        <v>473</v>
      </c>
      <c r="B493" s="690"/>
      <c r="C493" s="690"/>
      <c r="D493" s="252">
        <f>(IFERROR(SUMIF('מצבת והרשמה (2)'!$F$21:$F$501,'דוח ביצוע (3)'!$B493,'מצבת והרשמה (2)'!$J$21:$J$501),0))</f>
        <v>0</v>
      </c>
      <c r="E493" s="252">
        <f>IFERROR(SUMIF('מצבת והרשמה (2)'!$F$21:$F$501,'דוח ביצוע (3)'!$B493,'מצבת והרשמה (2)'!$K$21:$K$501),0)</f>
        <v>0</v>
      </c>
      <c r="F493" s="253">
        <f t="shared" si="141"/>
        <v>0</v>
      </c>
      <c r="G493" s="680"/>
      <c r="H493" s="680"/>
      <c r="I493" s="253">
        <f t="shared" si="135"/>
        <v>0</v>
      </c>
      <c r="J493" s="453">
        <f t="shared" si="142"/>
        <v>0</v>
      </c>
      <c r="K493" s="689"/>
      <c r="L493" s="689"/>
      <c r="M493" s="969">
        <f t="shared" si="143"/>
        <v>0</v>
      </c>
      <c r="N493" s="1029" t="str">
        <f t="shared" si="144"/>
        <v/>
      </c>
      <c r="O493" s="969" t="str">
        <f>IFERROR(VLOOKUP(B493,'נתוני רישום ומצבת'!B:Q,16,0),"")</f>
        <v/>
      </c>
      <c r="P493" s="969" t="str">
        <f>IFERROR(VLOOKUP(B493,'נתוני רישום ומצבת'!B:R,17,0),"")</f>
        <v/>
      </c>
      <c r="Q493" s="690"/>
      <c r="R493" s="1009"/>
      <c r="S493" s="376">
        <f t="shared" si="145"/>
        <v>0</v>
      </c>
      <c r="T493" s="376">
        <f t="shared" si="146"/>
        <v>0</v>
      </c>
      <c r="U493" s="386">
        <f t="shared" si="147"/>
        <v>0</v>
      </c>
      <c r="V493" s="513" t="str">
        <f t="shared" si="148"/>
        <v/>
      </c>
      <c r="W493" s="254" t="str">
        <f>IF(ISBLANK(B493)," ",IF(B493=IFERROR(VLOOKUP(B493,'מצבת והרשמה (2)'!F:F,1,0),0),"תקין","לא קיים במצבת כבית ספר בו מתקיימת פעילות"))</f>
        <v xml:space="preserve"> </v>
      </c>
      <c r="X493" s="256" t="str">
        <f t="shared" si="136"/>
        <v/>
      </c>
      <c r="Y493" s="256" t="str">
        <f t="shared" si="153"/>
        <v/>
      </c>
      <c r="Z493" s="741">
        <f t="shared" si="137"/>
        <v>0</v>
      </c>
      <c r="AA493" s="741">
        <f t="shared" si="138"/>
        <v>0</v>
      </c>
      <c r="AB493" s="741">
        <f t="shared" si="139"/>
        <v>0</v>
      </c>
      <c r="AC493" s="987">
        <f t="shared" si="149"/>
        <v>0</v>
      </c>
      <c r="AD493" s="987">
        <f t="shared" si="150"/>
        <v>0</v>
      </c>
      <c r="AE493" s="368" t="str">
        <f>IFERROR(VLOOKUP(B493,'[1]סיכום בקרת רשויות'!$A:$D,4,0),"")</f>
        <v/>
      </c>
      <c r="AF493" s="57" t="str">
        <f t="shared" si="151"/>
        <v/>
      </c>
      <c r="AG493" s="180">
        <f>IF(AF493="כן",M493*'גנים ובתי ספר- מבנה תקציב'!$H$59,0)</f>
        <v>0</v>
      </c>
      <c r="AH493" s="180">
        <f>IF(AF493="כן",M493*'גנים ובתי ספר- מבנה תקציב'!$I$59,0)</f>
        <v>0</v>
      </c>
      <c r="AI493" s="180">
        <f t="shared" si="152"/>
        <v>0</v>
      </c>
      <c r="AJ493" s="368" t="str">
        <f t="shared" si="140"/>
        <v/>
      </c>
    </row>
    <row r="494" spans="1:36" x14ac:dyDescent="0.25">
      <c r="A494" s="57">
        <v>474</v>
      </c>
      <c r="B494" s="690"/>
      <c r="C494" s="690"/>
      <c r="D494" s="252">
        <f>(IFERROR(SUMIF('מצבת והרשמה (2)'!$F$21:$F$501,'דוח ביצוע (3)'!$B494,'מצבת והרשמה (2)'!$J$21:$J$501),0))</f>
        <v>0</v>
      </c>
      <c r="E494" s="252">
        <f>IFERROR(SUMIF('מצבת והרשמה (2)'!$F$21:$F$501,'דוח ביצוע (3)'!$B494,'מצבת והרשמה (2)'!$K$21:$K$501),0)</f>
        <v>0</v>
      </c>
      <c r="F494" s="253">
        <f t="shared" si="141"/>
        <v>0</v>
      </c>
      <c r="G494" s="680"/>
      <c r="H494" s="680"/>
      <c r="I494" s="253">
        <f t="shared" si="135"/>
        <v>0</v>
      </c>
      <c r="J494" s="453">
        <f t="shared" si="142"/>
        <v>0</v>
      </c>
      <c r="K494" s="689"/>
      <c r="L494" s="689"/>
      <c r="M494" s="969">
        <f t="shared" si="143"/>
        <v>0</v>
      </c>
      <c r="N494" s="1029" t="str">
        <f t="shared" si="144"/>
        <v/>
      </c>
      <c r="O494" s="969" t="str">
        <f>IFERROR(VLOOKUP(B494,'נתוני רישום ומצבת'!B:Q,16,0),"")</f>
        <v/>
      </c>
      <c r="P494" s="969" t="str">
        <f>IFERROR(VLOOKUP(B494,'נתוני רישום ומצבת'!B:R,17,0),"")</f>
        <v/>
      </c>
      <c r="Q494" s="690"/>
      <c r="R494" s="1009"/>
      <c r="S494" s="376">
        <f t="shared" si="145"/>
        <v>0</v>
      </c>
      <c r="T494" s="376">
        <f t="shared" si="146"/>
        <v>0</v>
      </c>
      <c r="U494" s="386">
        <f t="shared" si="147"/>
        <v>0</v>
      </c>
      <c r="V494" s="513" t="str">
        <f t="shared" si="148"/>
        <v/>
      </c>
      <c r="W494" s="254" t="str">
        <f>IF(ISBLANK(B494)," ",IF(B494=IFERROR(VLOOKUP(B494,'מצבת והרשמה (2)'!F:F,1,0),0),"תקין","לא קיים במצבת כבית ספר בו מתקיימת פעילות"))</f>
        <v xml:space="preserve"> </v>
      </c>
      <c r="X494" s="256" t="str">
        <f t="shared" si="136"/>
        <v/>
      </c>
      <c r="Y494" s="256" t="str">
        <f t="shared" si="153"/>
        <v/>
      </c>
      <c r="Z494" s="741">
        <f t="shared" si="137"/>
        <v>0</v>
      </c>
      <c r="AA494" s="741">
        <f t="shared" si="138"/>
        <v>0</v>
      </c>
      <c r="AB494" s="741">
        <f t="shared" si="139"/>
        <v>0</v>
      </c>
      <c r="AC494" s="987">
        <f t="shared" si="149"/>
        <v>0</v>
      </c>
      <c r="AD494" s="987">
        <f t="shared" si="150"/>
        <v>0</v>
      </c>
      <c r="AE494" s="368" t="str">
        <f>IFERROR(VLOOKUP(B494,'[1]סיכום בקרת רשויות'!$A:$D,4,0),"")</f>
        <v/>
      </c>
      <c r="AF494" s="57" t="str">
        <f t="shared" si="151"/>
        <v/>
      </c>
      <c r="AG494" s="180">
        <f>IF(AF494="כן",M494*'גנים ובתי ספר- מבנה תקציב'!$H$59,0)</f>
        <v>0</v>
      </c>
      <c r="AH494" s="180">
        <f>IF(AF494="כן",M494*'גנים ובתי ספר- מבנה תקציב'!$I$59,0)</f>
        <v>0</v>
      </c>
      <c r="AI494" s="180">
        <f t="shared" si="152"/>
        <v>0</v>
      </c>
      <c r="AJ494" s="368" t="str">
        <f t="shared" si="140"/>
        <v/>
      </c>
    </row>
    <row r="495" spans="1:36" x14ac:dyDescent="0.25">
      <c r="A495" s="57">
        <v>475</v>
      </c>
      <c r="B495" s="690"/>
      <c r="C495" s="690"/>
      <c r="D495" s="252">
        <f>(IFERROR(SUMIF('מצבת והרשמה (2)'!$F$21:$F$501,'דוח ביצוע (3)'!$B495,'מצבת והרשמה (2)'!$J$21:$J$501),0))</f>
        <v>0</v>
      </c>
      <c r="E495" s="252">
        <f>IFERROR(SUMIF('מצבת והרשמה (2)'!$F$21:$F$501,'דוח ביצוע (3)'!$B495,'מצבת והרשמה (2)'!$K$21:$K$501),0)</f>
        <v>0</v>
      </c>
      <c r="F495" s="253">
        <f t="shared" si="141"/>
        <v>0</v>
      </c>
      <c r="G495" s="680"/>
      <c r="H495" s="680"/>
      <c r="I495" s="253">
        <f t="shared" si="135"/>
        <v>0</v>
      </c>
      <c r="J495" s="453">
        <f t="shared" si="142"/>
        <v>0</v>
      </c>
      <c r="K495" s="689"/>
      <c r="L495" s="689"/>
      <c r="M495" s="969">
        <f t="shared" si="143"/>
        <v>0</v>
      </c>
      <c r="N495" s="1029" t="str">
        <f t="shared" si="144"/>
        <v/>
      </c>
      <c r="O495" s="969" t="str">
        <f>IFERROR(VLOOKUP(B495,'נתוני רישום ומצבת'!B:Q,16,0),"")</f>
        <v/>
      </c>
      <c r="P495" s="969" t="str">
        <f>IFERROR(VLOOKUP(B495,'נתוני רישום ומצבת'!B:R,17,0),"")</f>
        <v/>
      </c>
      <c r="Q495" s="690"/>
      <c r="R495" s="1009"/>
      <c r="S495" s="376">
        <f t="shared" si="145"/>
        <v>0</v>
      </c>
      <c r="T495" s="376">
        <f t="shared" si="146"/>
        <v>0</v>
      </c>
      <c r="U495" s="386">
        <f t="shared" si="147"/>
        <v>0</v>
      </c>
      <c r="V495" s="513" t="str">
        <f t="shared" si="148"/>
        <v/>
      </c>
      <c r="W495" s="254" t="str">
        <f>IF(ISBLANK(B495)," ",IF(B495=IFERROR(VLOOKUP(B495,'מצבת והרשמה (2)'!F:F,1,0),0),"תקין","לא קיים במצבת כבית ספר בו מתקיימת פעילות"))</f>
        <v xml:space="preserve"> </v>
      </c>
      <c r="X495" s="256" t="str">
        <f t="shared" si="136"/>
        <v/>
      </c>
      <c r="Y495" s="256" t="str">
        <f t="shared" si="153"/>
        <v/>
      </c>
      <c r="Z495" s="741">
        <f t="shared" si="137"/>
        <v>0</v>
      </c>
      <c r="AA495" s="741">
        <f t="shared" si="138"/>
        <v>0</v>
      </c>
      <c r="AB495" s="741">
        <f t="shared" si="139"/>
        <v>0</v>
      </c>
      <c r="AC495" s="987">
        <f t="shared" si="149"/>
        <v>0</v>
      </c>
      <c r="AD495" s="987">
        <f t="shared" si="150"/>
        <v>0</v>
      </c>
      <c r="AE495" s="368" t="str">
        <f>IFERROR(VLOOKUP(B495,'[1]סיכום בקרת רשויות'!$A:$D,4,0),"")</f>
        <v/>
      </c>
      <c r="AF495" s="57" t="str">
        <f t="shared" si="151"/>
        <v/>
      </c>
      <c r="AG495" s="180">
        <f>IF(AF495="כן",M495*'גנים ובתי ספר- מבנה תקציב'!$H$59,0)</f>
        <v>0</v>
      </c>
      <c r="AH495" s="180">
        <f>IF(AF495="כן",M495*'גנים ובתי ספר- מבנה תקציב'!$I$59,0)</f>
        <v>0</v>
      </c>
      <c r="AI495" s="180">
        <f t="shared" si="152"/>
        <v>0</v>
      </c>
      <c r="AJ495" s="368" t="str">
        <f t="shared" si="140"/>
        <v/>
      </c>
    </row>
    <row r="496" spans="1:36" x14ac:dyDescent="0.25">
      <c r="A496" s="57">
        <v>476</v>
      </c>
      <c r="B496" s="690"/>
      <c r="C496" s="690"/>
      <c r="D496" s="252">
        <f>(IFERROR(SUMIF('מצבת והרשמה (2)'!$F$21:$F$501,'דוח ביצוע (3)'!$B496,'מצבת והרשמה (2)'!$J$21:$J$501),0))</f>
        <v>0</v>
      </c>
      <c r="E496" s="252">
        <f>IFERROR(SUMIF('מצבת והרשמה (2)'!$F$21:$F$501,'דוח ביצוע (3)'!$B496,'מצבת והרשמה (2)'!$K$21:$K$501),0)</f>
        <v>0</v>
      </c>
      <c r="F496" s="253">
        <f t="shared" si="141"/>
        <v>0</v>
      </c>
      <c r="G496" s="680"/>
      <c r="H496" s="680"/>
      <c r="I496" s="253">
        <f t="shared" si="135"/>
        <v>0</v>
      </c>
      <c r="J496" s="453">
        <f t="shared" si="142"/>
        <v>0</v>
      </c>
      <c r="K496" s="689"/>
      <c r="L496" s="689"/>
      <c r="M496" s="969">
        <f t="shared" si="143"/>
        <v>0</v>
      </c>
      <c r="N496" s="1029" t="str">
        <f t="shared" si="144"/>
        <v/>
      </c>
      <c r="O496" s="969" t="str">
        <f>IFERROR(VLOOKUP(B496,'נתוני רישום ומצבת'!B:Q,16,0),"")</f>
        <v/>
      </c>
      <c r="P496" s="969" t="str">
        <f>IFERROR(VLOOKUP(B496,'נתוני רישום ומצבת'!B:R,17,0),"")</f>
        <v/>
      </c>
      <c r="Q496" s="690"/>
      <c r="R496" s="1009"/>
      <c r="S496" s="376">
        <f t="shared" si="145"/>
        <v>0</v>
      </c>
      <c r="T496" s="376">
        <f t="shared" si="146"/>
        <v>0</v>
      </c>
      <c r="U496" s="386">
        <f t="shared" si="147"/>
        <v>0</v>
      </c>
      <c r="V496" s="513" t="str">
        <f t="shared" si="148"/>
        <v/>
      </c>
      <c r="W496" s="254" t="str">
        <f>IF(ISBLANK(B496)," ",IF(B496=IFERROR(VLOOKUP(B496,'מצבת והרשמה (2)'!F:F,1,0),0),"תקין","לא קיים במצבת כבית ספר בו מתקיימת פעילות"))</f>
        <v xml:space="preserve"> </v>
      </c>
      <c r="X496" s="256" t="str">
        <f t="shared" si="136"/>
        <v/>
      </c>
      <c r="Y496" s="256" t="str">
        <f t="shared" si="153"/>
        <v/>
      </c>
      <c r="Z496" s="741">
        <f t="shared" si="137"/>
        <v>0</v>
      </c>
      <c r="AA496" s="741">
        <f t="shared" si="138"/>
        <v>0</v>
      </c>
      <c r="AB496" s="741">
        <f t="shared" si="139"/>
        <v>0</v>
      </c>
      <c r="AC496" s="987">
        <f t="shared" si="149"/>
        <v>0</v>
      </c>
      <c r="AD496" s="987">
        <f t="shared" si="150"/>
        <v>0</v>
      </c>
      <c r="AE496" s="368" t="str">
        <f>IFERROR(VLOOKUP(B496,'[1]סיכום בקרת רשויות'!$A:$D,4,0),"")</f>
        <v/>
      </c>
      <c r="AF496" s="57" t="str">
        <f t="shared" si="151"/>
        <v/>
      </c>
      <c r="AG496" s="180">
        <f>IF(AF496="כן",M496*'גנים ובתי ספר- מבנה תקציב'!$H$59,0)</f>
        <v>0</v>
      </c>
      <c r="AH496" s="180">
        <f>IF(AF496="כן",M496*'גנים ובתי ספר- מבנה תקציב'!$I$59,0)</f>
        <v>0</v>
      </c>
      <c r="AI496" s="180">
        <f t="shared" si="152"/>
        <v>0</v>
      </c>
      <c r="AJ496" s="368" t="str">
        <f t="shared" si="140"/>
        <v/>
      </c>
    </row>
    <row r="497" spans="1:36" x14ac:dyDescent="0.25">
      <c r="A497" s="57">
        <v>477</v>
      </c>
      <c r="B497" s="690"/>
      <c r="C497" s="690"/>
      <c r="D497" s="252">
        <f>(IFERROR(SUMIF('מצבת והרשמה (2)'!$F$21:$F$501,'דוח ביצוע (3)'!$B497,'מצבת והרשמה (2)'!$J$21:$J$501),0))</f>
        <v>0</v>
      </c>
      <c r="E497" s="252">
        <f>IFERROR(SUMIF('מצבת והרשמה (2)'!$F$21:$F$501,'דוח ביצוע (3)'!$B497,'מצבת והרשמה (2)'!$K$21:$K$501),0)</f>
        <v>0</v>
      </c>
      <c r="F497" s="253">
        <f t="shared" si="141"/>
        <v>0</v>
      </c>
      <c r="G497" s="680"/>
      <c r="H497" s="680"/>
      <c r="I497" s="253">
        <f t="shared" si="135"/>
        <v>0</v>
      </c>
      <c r="J497" s="453">
        <f t="shared" si="142"/>
        <v>0</v>
      </c>
      <c r="K497" s="689"/>
      <c r="L497" s="689"/>
      <c r="M497" s="969">
        <f t="shared" si="143"/>
        <v>0</v>
      </c>
      <c r="N497" s="1029" t="str">
        <f t="shared" si="144"/>
        <v/>
      </c>
      <c r="O497" s="969" t="str">
        <f>IFERROR(VLOOKUP(B497,'נתוני רישום ומצבת'!B:Q,16,0),"")</f>
        <v/>
      </c>
      <c r="P497" s="969" t="str">
        <f>IFERROR(VLOOKUP(B497,'נתוני רישום ומצבת'!B:R,17,0),"")</f>
        <v/>
      </c>
      <c r="Q497" s="690"/>
      <c r="R497" s="1009"/>
      <c r="S497" s="376">
        <f t="shared" si="145"/>
        <v>0</v>
      </c>
      <c r="T497" s="376">
        <f t="shared" si="146"/>
        <v>0</v>
      </c>
      <c r="U497" s="386">
        <f t="shared" si="147"/>
        <v>0</v>
      </c>
      <c r="V497" s="513" t="str">
        <f t="shared" si="148"/>
        <v/>
      </c>
      <c r="W497" s="254" t="str">
        <f>IF(ISBLANK(B497)," ",IF(B497=IFERROR(VLOOKUP(B497,'מצבת והרשמה (2)'!F:F,1,0),0),"תקין","לא קיים במצבת כבית ספר בו מתקיימת פעילות"))</f>
        <v xml:space="preserve"> </v>
      </c>
      <c r="X497" s="256" t="str">
        <f t="shared" si="136"/>
        <v/>
      </c>
      <c r="Y497" s="256" t="str">
        <f t="shared" si="153"/>
        <v/>
      </c>
      <c r="Z497" s="741">
        <f t="shared" si="137"/>
        <v>0</v>
      </c>
      <c r="AA497" s="741">
        <f t="shared" si="138"/>
        <v>0</v>
      </c>
      <c r="AB497" s="741">
        <f t="shared" si="139"/>
        <v>0</v>
      </c>
      <c r="AC497" s="987">
        <f t="shared" si="149"/>
        <v>0</v>
      </c>
      <c r="AD497" s="987">
        <f t="shared" si="150"/>
        <v>0</v>
      </c>
      <c r="AE497" s="368" t="str">
        <f>IFERROR(VLOOKUP(B497,'[1]סיכום בקרת רשויות'!$A:$D,4,0),"")</f>
        <v/>
      </c>
      <c r="AF497" s="57" t="str">
        <f t="shared" si="151"/>
        <v/>
      </c>
      <c r="AG497" s="180">
        <f>IF(AF497="כן",M497*'גנים ובתי ספר- מבנה תקציב'!$H$59,0)</f>
        <v>0</v>
      </c>
      <c r="AH497" s="180">
        <f>IF(AF497="כן",M497*'גנים ובתי ספר- מבנה תקציב'!$I$59,0)</f>
        <v>0</v>
      </c>
      <c r="AI497" s="180">
        <f t="shared" si="152"/>
        <v>0</v>
      </c>
      <c r="AJ497" s="368" t="str">
        <f t="shared" si="140"/>
        <v/>
      </c>
    </row>
    <row r="498" spans="1:36" x14ac:dyDescent="0.25">
      <c r="A498" s="57">
        <v>478</v>
      </c>
      <c r="B498" s="690"/>
      <c r="C498" s="690"/>
      <c r="D498" s="252">
        <f>(IFERROR(SUMIF('מצבת והרשמה (2)'!$F$21:$F$501,'דוח ביצוע (3)'!$B498,'מצבת והרשמה (2)'!$J$21:$J$501),0))</f>
        <v>0</v>
      </c>
      <c r="E498" s="252">
        <f>IFERROR(SUMIF('מצבת והרשמה (2)'!$F$21:$F$501,'דוח ביצוע (3)'!$B498,'מצבת והרשמה (2)'!$K$21:$K$501),0)</f>
        <v>0</v>
      </c>
      <c r="F498" s="253">
        <f t="shared" si="141"/>
        <v>0</v>
      </c>
      <c r="G498" s="680"/>
      <c r="H498" s="680"/>
      <c r="I498" s="253">
        <f t="shared" si="135"/>
        <v>0</v>
      </c>
      <c r="J498" s="453">
        <f t="shared" si="142"/>
        <v>0</v>
      </c>
      <c r="K498" s="689"/>
      <c r="L498" s="689"/>
      <c r="M498" s="969">
        <f t="shared" si="143"/>
        <v>0</v>
      </c>
      <c r="N498" s="1029" t="str">
        <f t="shared" si="144"/>
        <v/>
      </c>
      <c r="O498" s="969" t="str">
        <f>IFERROR(VLOOKUP(B498,'נתוני רישום ומצבת'!B:Q,16,0),"")</f>
        <v/>
      </c>
      <c r="P498" s="969" t="str">
        <f>IFERROR(VLOOKUP(B498,'נתוני רישום ומצבת'!B:R,17,0),"")</f>
        <v/>
      </c>
      <c r="Q498" s="690"/>
      <c r="R498" s="1009"/>
      <c r="S498" s="376">
        <f t="shared" si="145"/>
        <v>0</v>
      </c>
      <c r="T498" s="376">
        <f t="shared" si="146"/>
        <v>0</v>
      </c>
      <c r="U498" s="386">
        <f t="shared" si="147"/>
        <v>0</v>
      </c>
      <c r="V498" s="513" t="str">
        <f t="shared" si="148"/>
        <v/>
      </c>
      <c r="W498" s="254" t="str">
        <f>IF(ISBLANK(B498)," ",IF(B498=IFERROR(VLOOKUP(B498,'מצבת והרשמה (2)'!F:F,1,0),0),"תקין","לא קיים במצבת כבית ספר בו מתקיימת פעילות"))</f>
        <v xml:space="preserve"> </v>
      </c>
      <c r="X498" s="256" t="str">
        <f t="shared" si="136"/>
        <v/>
      </c>
      <c r="Y498" s="256" t="str">
        <f t="shared" si="153"/>
        <v/>
      </c>
      <c r="Z498" s="741">
        <f t="shared" si="137"/>
        <v>0</v>
      </c>
      <c r="AA498" s="741">
        <f t="shared" si="138"/>
        <v>0</v>
      </c>
      <c r="AB498" s="741">
        <f t="shared" si="139"/>
        <v>0</v>
      </c>
      <c r="AC498" s="987">
        <f t="shared" si="149"/>
        <v>0</v>
      </c>
      <c r="AD498" s="987">
        <f t="shared" si="150"/>
        <v>0</v>
      </c>
      <c r="AE498" s="368" t="str">
        <f>IFERROR(VLOOKUP(B498,'[1]סיכום בקרת רשויות'!$A:$D,4,0),"")</f>
        <v/>
      </c>
      <c r="AF498" s="57" t="str">
        <f t="shared" si="151"/>
        <v/>
      </c>
      <c r="AG498" s="180">
        <f>IF(AF498="כן",M498*'גנים ובתי ספר- מבנה תקציב'!$H$59,0)</f>
        <v>0</v>
      </c>
      <c r="AH498" s="180">
        <f>IF(AF498="כן",M498*'גנים ובתי ספר- מבנה תקציב'!$I$59,0)</f>
        <v>0</v>
      </c>
      <c r="AI498" s="180">
        <f t="shared" si="152"/>
        <v>0</v>
      </c>
      <c r="AJ498" s="368" t="str">
        <f t="shared" si="140"/>
        <v/>
      </c>
    </row>
    <row r="499" spans="1:36" x14ac:dyDescent="0.25">
      <c r="A499" s="57">
        <v>479</v>
      </c>
      <c r="B499" s="690"/>
      <c r="C499" s="690"/>
      <c r="D499" s="252">
        <f>(IFERROR(SUMIF('מצבת והרשמה (2)'!$F$21:$F$501,'דוח ביצוע (3)'!$B499,'מצבת והרשמה (2)'!$J$21:$J$501),0))</f>
        <v>0</v>
      </c>
      <c r="E499" s="252">
        <f>IFERROR(SUMIF('מצבת והרשמה (2)'!$F$21:$F$501,'דוח ביצוע (3)'!$B499,'מצבת והרשמה (2)'!$K$21:$K$501),0)</f>
        <v>0</v>
      </c>
      <c r="F499" s="253">
        <f t="shared" si="141"/>
        <v>0</v>
      </c>
      <c r="G499" s="680"/>
      <c r="H499" s="680"/>
      <c r="I499" s="253">
        <f t="shared" si="135"/>
        <v>0</v>
      </c>
      <c r="J499" s="453">
        <f t="shared" si="142"/>
        <v>0</v>
      </c>
      <c r="K499" s="689"/>
      <c r="L499" s="689"/>
      <c r="M499" s="969">
        <f t="shared" si="143"/>
        <v>0</v>
      </c>
      <c r="N499" s="1029" t="str">
        <f t="shared" si="144"/>
        <v/>
      </c>
      <c r="O499" s="969" t="str">
        <f>IFERROR(VLOOKUP(B499,'נתוני רישום ומצבת'!B:Q,16,0),"")</f>
        <v/>
      </c>
      <c r="P499" s="969" t="str">
        <f>IFERROR(VLOOKUP(B499,'נתוני רישום ומצבת'!B:R,17,0),"")</f>
        <v/>
      </c>
      <c r="Q499" s="690"/>
      <c r="R499" s="1009"/>
      <c r="S499" s="376">
        <f t="shared" si="145"/>
        <v>0</v>
      </c>
      <c r="T499" s="376">
        <f t="shared" si="146"/>
        <v>0</v>
      </c>
      <c r="U499" s="386">
        <f t="shared" si="147"/>
        <v>0</v>
      </c>
      <c r="V499" s="513" t="str">
        <f t="shared" si="148"/>
        <v/>
      </c>
      <c r="W499" s="254" t="str">
        <f>IF(ISBLANK(B499)," ",IF(B499=IFERROR(VLOOKUP(B499,'מצבת והרשמה (2)'!F:F,1,0),0),"תקין","לא קיים במצבת כבית ספר בו מתקיימת פעילות"))</f>
        <v xml:space="preserve"> </v>
      </c>
      <c r="X499" s="256" t="str">
        <f t="shared" si="136"/>
        <v/>
      </c>
      <c r="Y499" s="256" t="str">
        <f t="shared" si="153"/>
        <v/>
      </c>
      <c r="Z499" s="741">
        <f t="shared" si="137"/>
        <v>0</v>
      </c>
      <c r="AA499" s="741">
        <f t="shared" si="138"/>
        <v>0</v>
      </c>
      <c r="AB499" s="741">
        <f t="shared" si="139"/>
        <v>0</v>
      </c>
      <c r="AC499" s="987">
        <f t="shared" si="149"/>
        <v>0</v>
      </c>
      <c r="AD499" s="987">
        <f t="shared" si="150"/>
        <v>0</v>
      </c>
      <c r="AE499" s="368" t="str">
        <f>IFERROR(VLOOKUP(B499,'[1]סיכום בקרת רשויות'!$A:$D,4,0),"")</f>
        <v/>
      </c>
      <c r="AF499" s="57" t="str">
        <f t="shared" si="151"/>
        <v/>
      </c>
      <c r="AG499" s="180">
        <f>IF(AF499="כן",M499*'גנים ובתי ספר- מבנה תקציב'!$H$59,0)</f>
        <v>0</v>
      </c>
      <c r="AH499" s="180">
        <f>IF(AF499="כן",M499*'גנים ובתי ספר- מבנה תקציב'!$I$59,0)</f>
        <v>0</v>
      </c>
      <c r="AI499" s="180">
        <f t="shared" si="152"/>
        <v>0</v>
      </c>
      <c r="AJ499" s="368" t="str">
        <f t="shared" si="140"/>
        <v/>
      </c>
    </row>
    <row r="500" spans="1:36" x14ac:dyDescent="0.25">
      <c r="A500" s="57">
        <v>480</v>
      </c>
      <c r="B500" s="690"/>
      <c r="C500" s="690"/>
      <c r="D500" s="252">
        <f>(IFERROR(SUMIF('מצבת והרשמה (2)'!$F$21:$F$501,'דוח ביצוע (3)'!$B500,'מצבת והרשמה (2)'!$J$21:$J$501),0))</f>
        <v>0</v>
      </c>
      <c r="E500" s="252">
        <f>IFERROR(SUMIF('מצבת והרשמה (2)'!$F$21:$F$501,'דוח ביצוע (3)'!$B500,'מצבת והרשמה (2)'!$K$21:$K$501),0)</f>
        <v>0</v>
      </c>
      <c r="F500" s="253">
        <f t="shared" si="141"/>
        <v>0</v>
      </c>
      <c r="G500" s="680"/>
      <c r="H500" s="680"/>
      <c r="I500" s="253">
        <f t="shared" si="135"/>
        <v>0</v>
      </c>
      <c r="J500" s="453">
        <f t="shared" si="142"/>
        <v>0</v>
      </c>
      <c r="K500" s="689"/>
      <c r="L500" s="689"/>
      <c r="M500" s="969">
        <f t="shared" si="143"/>
        <v>0</v>
      </c>
      <c r="N500" s="1029" t="str">
        <f t="shared" si="144"/>
        <v/>
      </c>
      <c r="O500" s="969" t="str">
        <f>IFERROR(VLOOKUP(B500,'נתוני רישום ומצבת'!B:Q,16,0),"")</f>
        <v/>
      </c>
      <c r="P500" s="969" t="str">
        <f>IFERROR(VLOOKUP(B500,'נתוני רישום ומצבת'!B:R,17,0),"")</f>
        <v/>
      </c>
      <c r="Q500" s="690"/>
      <c r="R500" s="1009"/>
      <c r="S500" s="376">
        <f t="shared" si="145"/>
        <v>0</v>
      </c>
      <c r="T500" s="376">
        <f t="shared" si="146"/>
        <v>0</v>
      </c>
      <c r="U500" s="386">
        <f t="shared" si="147"/>
        <v>0</v>
      </c>
      <c r="V500" s="513" t="str">
        <f t="shared" si="148"/>
        <v/>
      </c>
      <c r="W500" s="254" t="str">
        <f>IF(ISBLANK(B500)," ",IF(B500=IFERROR(VLOOKUP(B500,'מצבת והרשמה (2)'!F:F,1,0),0),"תקין","לא קיים במצבת כבית ספר בו מתקיימת פעילות"))</f>
        <v xml:space="preserve"> </v>
      </c>
      <c r="X500" s="256" t="str">
        <f t="shared" si="136"/>
        <v/>
      </c>
      <c r="Y500" s="256" t="str">
        <f t="shared" si="153"/>
        <v/>
      </c>
      <c r="Z500" s="741">
        <f t="shared" si="137"/>
        <v>0</v>
      </c>
      <c r="AA500" s="741">
        <f t="shared" si="138"/>
        <v>0</v>
      </c>
      <c r="AB500" s="741">
        <f t="shared" si="139"/>
        <v>0</v>
      </c>
      <c r="AC500" s="987">
        <f t="shared" si="149"/>
        <v>0</v>
      </c>
      <c r="AD500" s="987">
        <f t="shared" si="150"/>
        <v>0</v>
      </c>
      <c r="AE500" s="368" t="str">
        <f>IFERROR(VLOOKUP(B500,'[1]סיכום בקרת רשויות'!$A:$D,4,0),"")</f>
        <v/>
      </c>
      <c r="AF500" s="57" t="str">
        <f t="shared" si="151"/>
        <v/>
      </c>
      <c r="AG500" s="180">
        <f>IF(AF500="כן",M500*'גנים ובתי ספר- מבנה תקציב'!$H$59,0)</f>
        <v>0</v>
      </c>
      <c r="AH500" s="180">
        <f>IF(AF500="כן",M500*'גנים ובתי ספר- מבנה תקציב'!$I$59,0)</f>
        <v>0</v>
      </c>
      <c r="AI500" s="180">
        <f t="shared" si="152"/>
        <v>0</v>
      </c>
      <c r="AJ500" s="368" t="str">
        <f t="shared" si="140"/>
        <v/>
      </c>
    </row>
    <row r="501" spans="1:36" x14ac:dyDescent="0.25">
      <c r="A501" s="57">
        <v>481</v>
      </c>
      <c r="B501" s="690"/>
      <c r="C501" s="690"/>
      <c r="D501" s="252">
        <f>(IFERROR(SUMIF('מצבת והרשמה (2)'!$F$21:$F$501,'דוח ביצוע (3)'!$B501,'מצבת והרשמה (2)'!$J$21:$J$501),0))</f>
        <v>0</v>
      </c>
      <c r="E501" s="252">
        <f>IFERROR(SUMIF('מצבת והרשמה (2)'!$F$21:$F$501,'דוח ביצוע (3)'!$B501,'מצבת והרשמה (2)'!$K$21:$K$501),0)</f>
        <v>0</v>
      </c>
      <c r="F501" s="253">
        <f t="shared" si="141"/>
        <v>0</v>
      </c>
      <c r="G501" s="680"/>
      <c r="H501" s="680"/>
      <c r="I501" s="253">
        <f t="shared" si="135"/>
        <v>0</v>
      </c>
      <c r="J501" s="453">
        <f t="shared" si="142"/>
        <v>0</v>
      </c>
      <c r="K501" s="689"/>
      <c r="L501" s="689"/>
      <c r="M501" s="969">
        <f t="shared" si="143"/>
        <v>0</v>
      </c>
      <c r="N501" s="1029" t="str">
        <f t="shared" si="144"/>
        <v/>
      </c>
      <c r="O501" s="969" t="str">
        <f>IFERROR(VLOOKUP(B501,'נתוני רישום ומצבת'!B:Q,16,0),"")</f>
        <v/>
      </c>
      <c r="P501" s="969" t="str">
        <f>IFERROR(VLOOKUP(B501,'נתוני רישום ומצבת'!B:R,17,0),"")</f>
        <v/>
      </c>
      <c r="Q501" s="690"/>
      <c r="R501" s="1009"/>
      <c r="S501" s="376">
        <f t="shared" si="145"/>
        <v>0</v>
      </c>
      <c r="T501" s="376">
        <f t="shared" si="146"/>
        <v>0</v>
      </c>
      <c r="U501" s="386">
        <f t="shared" si="147"/>
        <v>0</v>
      </c>
      <c r="V501" s="513" t="str">
        <f t="shared" si="148"/>
        <v/>
      </c>
      <c r="W501" s="254" t="str">
        <f>IF(ISBLANK(B501)," ",IF(B501=IFERROR(VLOOKUP(B501,'מצבת והרשמה (2)'!F:F,1,0),0),"תקין","לא קיים במצבת כבית ספר בו מתקיימת פעילות"))</f>
        <v xml:space="preserve"> </v>
      </c>
      <c r="X501" s="256" t="str">
        <f t="shared" si="136"/>
        <v/>
      </c>
      <c r="Y501" s="256" t="str">
        <f t="shared" si="153"/>
        <v/>
      </c>
      <c r="Z501" s="741">
        <f t="shared" si="137"/>
        <v>0</v>
      </c>
      <c r="AA501" s="741">
        <f t="shared" si="138"/>
        <v>0</v>
      </c>
      <c r="AB501" s="741">
        <f t="shared" si="139"/>
        <v>0</v>
      </c>
      <c r="AC501" s="987">
        <f t="shared" si="149"/>
        <v>0</v>
      </c>
      <c r="AD501" s="987">
        <f t="shared" si="150"/>
        <v>0</v>
      </c>
      <c r="AE501" s="368" t="str">
        <f>IFERROR(VLOOKUP(B501,'[1]סיכום בקרת רשויות'!$A:$D,4,0),"")</f>
        <v/>
      </c>
      <c r="AF501" s="57" t="str">
        <f t="shared" si="151"/>
        <v/>
      </c>
      <c r="AG501" s="180">
        <f>IF(AF501="כן",M501*'גנים ובתי ספר- מבנה תקציב'!$H$59,0)</f>
        <v>0</v>
      </c>
      <c r="AH501" s="180">
        <f>IF(AF501="כן",M501*'גנים ובתי ספר- מבנה תקציב'!$I$59,0)</f>
        <v>0</v>
      </c>
      <c r="AI501" s="180">
        <f t="shared" si="152"/>
        <v>0</v>
      </c>
      <c r="AJ501" s="368" t="str">
        <f t="shared" si="140"/>
        <v/>
      </c>
    </row>
    <row r="502" spans="1:36" x14ac:dyDescent="0.25">
      <c r="A502" s="57">
        <v>482</v>
      </c>
      <c r="B502" s="690"/>
      <c r="C502" s="690"/>
      <c r="D502" s="252">
        <f>(IFERROR(SUMIF('מצבת והרשמה (2)'!$F$21:$F$501,'דוח ביצוע (3)'!$B502,'מצבת והרשמה (2)'!$J$21:$J$501),0))</f>
        <v>0</v>
      </c>
      <c r="E502" s="252">
        <f>IFERROR(SUMIF('מצבת והרשמה (2)'!$F$21:$F$501,'דוח ביצוע (3)'!$B502,'מצבת והרשמה (2)'!$K$21:$K$501),0)</f>
        <v>0</v>
      </c>
      <c r="F502" s="253">
        <f t="shared" si="141"/>
        <v>0</v>
      </c>
      <c r="G502" s="680"/>
      <c r="H502" s="680"/>
      <c r="I502" s="253">
        <f t="shared" si="135"/>
        <v>0</v>
      </c>
      <c r="J502" s="453">
        <f t="shared" si="142"/>
        <v>0</v>
      </c>
      <c r="K502" s="689"/>
      <c r="L502" s="689"/>
      <c r="M502" s="969">
        <f t="shared" si="143"/>
        <v>0</v>
      </c>
      <c r="N502" s="1029" t="str">
        <f t="shared" si="144"/>
        <v/>
      </c>
      <c r="O502" s="969" t="str">
        <f>IFERROR(VLOOKUP(B502,'נתוני רישום ומצבת'!B:Q,16,0),"")</f>
        <v/>
      </c>
      <c r="P502" s="969" t="str">
        <f>IFERROR(VLOOKUP(B502,'נתוני רישום ומצבת'!B:R,17,0),"")</f>
        <v/>
      </c>
      <c r="Q502" s="690"/>
      <c r="R502" s="1009"/>
      <c r="S502" s="376">
        <f t="shared" si="145"/>
        <v>0</v>
      </c>
      <c r="T502" s="376">
        <f t="shared" si="146"/>
        <v>0</v>
      </c>
      <c r="U502" s="386">
        <f t="shared" si="147"/>
        <v>0</v>
      </c>
      <c r="V502" s="513" t="str">
        <f t="shared" si="148"/>
        <v/>
      </c>
      <c r="W502" s="254" t="str">
        <f>IF(ISBLANK(B502)," ",IF(B502=IFERROR(VLOOKUP(B502,'מצבת והרשמה (2)'!F:F,1,0),0),"תקין","לא קיים במצבת כבית ספר בו מתקיימת פעילות"))</f>
        <v xml:space="preserve"> </v>
      </c>
      <c r="X502" s="256" t="str">
        <f t="shared" si="136"/>
        <v/>
      </c>
      <c r="Y502" s="256" t="str">
        <f t="shared" si="153"/>
        <v/>
      </c>
      <c r="Z502" s="741">
        <f t="shared" si="137"/>
        <v>0</v>
      </c>
      <c r="AA502" s="741">
        <f t="shared" si="138"/>
        <v>0</v>
      </c>
      <c r="AB502" s="741">
        <f t="shared" si="139"/>
        <v>0</v>
      </c>
      <c r="AC502" s="987">
        <f t="shared" si="149"/>
        <v>0</v>
      </c>
      <c r="AD502" s="987">
        <f t="shared" si="150"/>
        <v>0</v>
      </c>
      <c r="AE502" s="368" t="str">
        <f>IFERROR(VLOOKUP(B502,'[1]סיכום בקרת רשויות'!$A:$D,4,0),"")</f>
        <v/>
      </c>
      <c r="AF502" s="57" t="str">
        <f t="shared" si="151"/>
        <v/>
      </c>
      <c r="AG502" s="180">
        <f>IF(AF502="כן",M502*'גנים ובתי ספר- מבנה תקציב'!$H$59,0)</f>
        <v>0</v>
      </c>
      <c r="AH502" s="180">
        <f>IF(AF502="כן",M502*'גנים ובתי ספר- מבנה תקציב'!$I$59,0)</f>
        <v>0</v>
      </c>
      <c r="AI502" s="180">
        <f t="shared" si="152"/>
        <v>0</v>
      </c>
      <c r="AJ502" s="368" t="str">
        <f t="shared" si="140"/>
        <v/>
      </c>
    </row>
    <row r="503" spans="1:36" x14ac:dyDescent="0.25">
      <c r="A503" s="57">
        <v>483</v>
      </c>
      <c r="B503" s="690"/>
      <c r="C503" s="690"/>
      <c r="D503" s="252">
        <f>(IFERROR(SUMIF('מצבת והרשמה (2)'!$F$21:$F$501,'דוח ביצוע (3)'!$B503,'מצבת והרשמה (2)'!$J$21:$J$501),0))</f>
        <v>0</v>
      </c>
      <c r="E503" s="252">
        <f>IFERROR(SUMIF('מצבת והרשמה (2)'!$F$21:$F$501,'דוח ביצוע (3)'!$B503,'מצבת והרשמה (2)'!$K$21:$K$501),0)</f>
        <v>0</v>
      </c>
      <c r="F503" s="253">
        <f t="shared" si="141"/>
        <v>0</v>
      </c>
      <c r="G503" s="680"/>
      <c r="H503" s="680"/>
      <c r="I503" s="253">
        <f t="shared" si="135"/>
        <v>0</v>
      </c>
      <c r="J503" s="453">
        <f t="shared" si="142"/>
        <v>0</v>
      </c>
      <c r="K503" s="689"/>
      <c r="L503" s="689"/>
      <c r="M503" s="969">
        <f t="shared" si="143"/>
        <v>0</v>
      </c>
      <c r="N503" s="1029" t="str">
        <f t="shared" si="144"/>
        <v/>
      </c>
      <c r="O503" s="969" t="str">
        <f>IFERROR(VLOOKUP(B503,'נתוני רישום ומצבת'!B:Q,16,0),"")</f>
        <v/>
      </c>
      <c r="P503" s="969" t="str">
        <f>IFERROR(VLOOKUP(B503,'נתוני רישום ומצבת'!B:R,17,0),"")</f>
        <v/>
      </c>
      <c r="Q503" s="690"/>
      <c r="R503" s="1009"/>
      <c r="S503" s="376">
        <f t="shared" si="145"/>
        <v>0</v>
      </c>
      <c r="T503" s="376">
        <f t="shared" si="146"/>
        <v>0</v>
      </c>
      <c r="U503" s="386">
        <f t="shared" si="147"/>
        <v>0</v>
      </c>
      <c r="V503" s="513" t="str">
        <f t="shared" si="148"/>
        <v/>
      </c>
      <c r="W503" s="254" t="str">
        <f>IF(ISBLANK(B503)," ",IF(B503=IFERROR(VLOOKUP(B503,'מצבת והרשמה (2)'!F:F,1,0),0),"תקין","לא קיים במצבת כבית ספר בו מתקיימת פעילות"))</f>
        <v xml:space="preserve"> </v>
      </c>
      <c r="X503" s="256" t="str">
        <f t="shared" si="136"/>
        <v/>
      </c>
      <c r="Y503" s="256" t="str">
        <f t="shared" si="153"/>
        <v/>
      </c>
      <c r="Z503" s="741">
        <f t="shared" si="137"/>
        <v>0</v>
      </c>
      <c r="AA503" s="741">
        <f t="shared" si="138"/>
        <v>0</v>
      </c>
      <c r="AB503" s="741">
        <f t="shared" si="139"/>
        <v>0</v>
      </c>
      <c r="AC503" s="987">
        <f t="shared" si="149"/>
        <v>0</v>
      </c>
      <c r="AD503" s="987">
        <f t="shared" si="150"/>
        <v>0</v>
      </c>
      <c r="AE503" s="368" t="str">
        <f>IFERROR(VLOOKUP(B503,'[1]סיכום בקרת רשויות'!$A:$D,4,0),"")</f>
        <v/>
      </c>
      <c r="AF503" s="57" t="str">
        <f t="shared" si="151"/>
        <v/>
      </c>
      <c r="AG503" s="180">
        <f>IF(AF503="כן",M503*'גנים ובתי ספר- מבנה תקציב'!$H$59,0)</f>
        <v>0</v>
      </c>
      <c r="AH503" s="180">
        <f>IF(AF503="כן",M503*'גנים ובתי ספר- מבנה תקציב'!$I$59,0)</f>
        <v>0</v>
      </c>
      <c r="AI503" s="180">
        <f t="shared" si="152"/>
        <v>0</v>
      </c>
      <c r="AJ503" s="368" t="str">
        <f t="shared" si="140"/>
        <v/>
      </c>
    </row>
    <row r="504" spans="1:36" x14ac:dyDescent="0.25">
      <c r="A504" s="57">
        <v>484</v>
      </c>
      <c r="B504" s="690"/>
      <c r="C504" s="690"/>
      <c r="D504" s="252">
        <f>(IFERROR(SUMIF('מצבת והרשמה (2)'!$F$21:$F$501,'דוח ביצוע (3)'!$B504,'מצבת והרשמה (2)'!$J$21:$J$501),0))</f>
        <v>0</v>
      </c>
      <c r="E504" s="252">
        <f>IFERROR(SUMIF('מצבת והרשמה (2)'!$F$21:$F$501,'דוח ביצוע (3)'!$B504,'מצבת והרשמה (2)'!$K$21:$K$501),0)</f>
        <v>0</v>
      </c>
      <c r="F504" s="253">
        <f t="shared" si="141"/>
        <v>0</v>
      </c>
      <c r="G504" s="680"/>
      <c r="H504" s="680"/>
      <c r="I504" s="253">
        <f t="shared" si="135"/>
        <v>0</v>
      </c>
      <c r="J504" s="453">
        <f t="shared" si="142"/>
        <v>0</v>
      </c>
      <c r="K504" s="689"/>
      <c r="L504" s="689"/>
      <c r="M504" s="969">
        <f t="shared" si="143"/>
        <v>0</v>
      </c>
      <c r="N504" s="1029" t="str">
        <f t="shared" si="144"/>
        <v/>
      </c>
      <c r="O504" s="969" t="str">
        <f>IFERROR(VLOOKUP(B504,'נתוני רישום ומצבת'!B:Q,16,0),"")</f>
        <v/>
      </c>
      <c r="P504" s="969" t="str">
        <f>IFERROR(VLOOKUP(B504,'נתוני רישום ומצבת'!B:R,17,0),"")</f>
        <v/>
      </c>
      <c r="Q504" s="690"/>
      <c r="R504" s="1009"/>
      <c r="S504" s="376">
        <f t="shared" si="145"/>
        <v>0</v>
      </c>
      <c r="T504" s="376">
        <f t="shared" si="146"/>
        <v>0</v>
      </c>
      <c r="U504" s="386">
        <f t="shared" si="147"/>
        <v>0</v>
      </c>
      <c r="V504" s="513" t="str">
        <f t="shared" si="148"/>
        <v/>
      </c>
      <c r="W504" s="254" t="str">
        <f>IF(ISBLANK(B504)," ",IF(B504=IFERROR(VLOOKUP(B504,'מצבת והרשמה (2)'!F:F,1,0),0),"תקין","לא קיים במצבת כבית ספר בו מתקיימת פעילות"))</f>
        <v xml:space="preserve"> </v>
      </c>
      <c r="X504" s="256" t="str">
        <f t="shared" si="136"/>
        <v/>
      </c>
      <c r="Y504" s="256" t="str">
        <f t="shared" si="153"/>
        <v/>
      </c>
      <c r="Z504" s="741">
        <f t="shared" si="137"/>
        <v>0</v>
      </c>
      <c r="AA504" s="741">
        <f t="shared" si="138"/>
        <v>0</v>
      </c>
      <c r="AB504" s="741">
        <f t="shared" si="139"/>
        <v>0</v>
      </c>
      <c r="AC504" s="987">
        <f t="shared" si="149"/>
        <v>0</v>
      </c>
      <c r="AD504" s="987">
        <f t="shared" si="150"/>
        <v>0</v>
      </c>
      <c r="AE504" s="368" t="str">
        <f>IFERROR(VLOOKUP(B504,'[1]סיכום בקרת רשויות'!$A:$D,4,0),"")</f>
        <v/>
      </c>
      <c r="AF504" s="57" t="str">
        <f t="shared" si="151"/>
        <v/>
      </c>
      <c r="AG504" s="180">
        <f>IF(AF504="כן",M504*'גנים ובתי ספר- מבנה תקציב'!$H$59,0)</f>
        <v>0</v>
      </c>
      <c r="AH504" s="180">
        <f>IF(AF504="כן",M504*'גנים ובתי ספר- מבנה תקציב'!$I$59,0)</f>
        <v>0</v>
      </c>
      <c r="AI504" s="180">
        <f t="shared" si="152"/>
        <v>0</v>
      </c>
      <c r="AJ504" s="368" t="str">
        <f t="shared" si="140"/>
        <v/>
      </c>
    </row>
    <row r="505" spans="1:36" x14ac:dyDescent="0.25">
      <c r="A505" s="57">
        <v>485</v>
      </c>
      <c r="B505" s="690"/>
      <c r="C505" s="690"/>
      <c r="D505" s="252">
        <f>(IFERROR(SUMIF('מצבת והרשמה (2)'!$F$21:$F$501,'דוח ביצוע (3)'!$B505,'מצבת והרשמה (2)'!$J$21:$J$501),0))</f>
        <v>0</v>
      </c>
      <c r="E505" s="252">
        <f>IFERROR(SUMIF('מצבת והרשמה (2)'!$F$21:$F$501,'דוח ביצוע (3)'!$B505,'מצבת והרשמה (2)'!$K$21:$K$501),0)</f>
        <v>0</v>
      </c>
      <c r="F505" s="253">
        <f t="shared" si="141"/>
        <v>0</v>
      </c>
      <c r="G505" s="680"/>
      <c r="H505" s="680"/>
      <c r="I505" s="253">
        <f t="shared" si="135"/>
        <v>0</v>
      </c>
      <c r="J505" s="453">
        <f t="shared" si="142"/>
        <v>0</v>
      </c>
      <c r="K505" s="689"/>
      <c r="L505" s="689"/>
      <c r="M505" s="969">
        <f t="shared" si="143"/>
        <v>0</v>
      </c>
      <c r="N505" s="1029" t="str">
        <f t="shared" si="144"/>
        <v/>
      </c>
      <c r="O505" s="969" t="str">
        <f>IFERROR(VLOOKUP(B505,'נתוני רישום ומצבת'!B:Q,16,0),"")</f>
        <v/>
      </c>
      <c r="P505" s="969" t="str">
        <f>IFERROR(VLOOKUP(B505,'נתוני רישום ומצבת'!B:R,17,0),"")</f>
        <v/>
      </c>
      <c r="Q505" s="690"/>
      <c r="R505" s="1009"/>
      <c r="S505" s="376">
        <f t="shared" si="145"/>
        <v>0</v>
      </c>
      <c r="T505" s="376">
        <f t="shared" si="146"/>
        <v>0</v>
      </c>
      <c r="U505" s="386">
        <f t="shared" si="147"/>
        <v>0</v>
      </c>
      <c r="V505" s="513" t="str">
        <f t="shared" si="148"/>
        <v/>
      </c>
      <c r="W505" s="254" t="str">
        <f>IF(ISBLANK(B505)," ",IF(B505=IFERROR(VLOOKUP(B505,'מצבת והרשמה (2)'!F:F,1,0),0),"תקין","לא קיים במצבת כבית ספר בו מתקיימת פעילות"))</f>
        <v xml:space="preserve"> </v>
      </c>
      <c r="X505" s="256" t="str">
        <f t="shared" si="136"/>
        <v/>
      </c>
      <c r="Y505" s="256" t="str">
        <f t="shared" si="153"/>
        <v/>
      </c>
      <c r="Z505" s="741">
        <f t="shared" si="137"/>
        <v>0</v>
      </c>
      <c r="AA505" s="741">
        <f t="shared" si="138"/>
        <v>0</v>
      </c>
      <c r="AB505" s="741">
        <f t="shared" si="139"/>
        <v>0</v>
      </c>
      <c r="AC505" s="987">
        <f t="shared" si="149"/>
        <v>0</v>
      </c>
      <c r="AD505" s="987">
        <f t="shared" si="150"/>
        <v>0</v>
      </c>
      <c r="AE505" s="368" t="str">
        <f>IFERROR(VLOOKUP(B505,'[1]סיכום בקרת רשויות'!$A:$D,4,0),"")</f>
        <v/>
      </c>
      <c r="AF505" s="57" t="str">
        <f t="shared" si="151"/>
        <v/>
      </c>
      <c r="AG505" s="180">
        <f>IF(AF505="כן",M505*'גנים ובתי ספר- מבנה תקציב'!$H$59,0)</f>
        <v>0</v>
      </c>
      <c r="AH505" s="180">
        <f>IF(AF505="כן",M505*'גנים ובתי ספר- מבנה תקציב'!$I$59,0)</f>
        <v>0</v>
      </c>
      <c r="AI505" s="180">
        <f t="shared" si="152"/>
        <v>0</v>
      </c>
      <c r="AJ505" s="368" t="str">
        <f t="shared" si="140"/>
        <v/>
      </c>
    </row>
    <row r="506" spans="1:36" x14ac:dyDescent="0.25">
      <c r="A506" s="57">
        <v>486</v>
      </c>
      <c r="B506" s="690"/>
      <c r="C506" s="690"/>
      <c r="D506" s="252">
        <f>(IFERROR(SUMIF('מצבת והרשמה (2)'!$F$21:$F$501,'דוח ביצוע (3)'!$B506,'מצבת והרשמה (2)'!$J$21:$J$501),0))</f>
        <v>0</v>
      </c>
      <c r="E506" s="252">
        <f>IFERROR(SUMIF('מצבת והרשמה (2)'!$F$21:$F$501,'דוח ביצוע (3)'!$B506,'מצבת והרשמה (2)'!$K$21:$K$501),0)</f>
        <v>0</v>
      </c>
      <c r="F506" s="253">
        <f t="shared" si="141"/>
        <v>0</v>
      </c>
      <c r="G506" s="680"/>
      <c r="H506" s="680"/>
      <c r="I506" s="253">
        <f t="shared" si="135"/>
        <v>0</v>
      </c>
      <c r="J506" s="453">
        <f t="shared" si="142"/>
        <v>0</v>
      </c>
      <c r="K506" s="689"/>
      <c r="L506" s="689"/>
      <c r="M506" s="969">
        <f t="shared" si="143"/>
        <v>0</v>
      </c>
      <c r="N506" s="1029" t="str">
        <f t="shared" si="144"/>
        <v/>
      </c>
      <c r="O506" s="969" t="str">
        <f>IFERROR(VLOOKUP(B506,'נתוני רישום ומצבת'!B:Q,16,0),"")</f>
        <v/>
      </c>
      <c r="P506" s="969" t="str">
        <f>IFERROR(VLOOKUP(B506,'נתוני רישום ומצבת'!B:R,17,0),"")</f>
        <v/>
      </c>
      <c r="Q506" s="690"/>
      <c r="R506" s="1009"/>
      <c r="S506" s="376">
        <f t="shared" si="145"/>
        <v>0</v>
      </c>
      <c r="T506" s="376">
        <f t="shared" si="146"/>
        <v>0</v>
      </c>
      <c r="U506" s="386">
        <f t="shared" si="147"/>
        <v>0</v>
      </c>
      <c r="V506" s="513" t="str">
        <f t="shared" si="148"/>
        <v/>
      </c>
      <c r="W506" s="254" t="str">
        <f>IF(ISBLANK(B506)," ",IF(B506=IFERROR(VLOOKUP(B506,'מצבת והרשמה (2)'!F:F,1,0),0),"תקין","לא קיים במצבת כבית ספר בו מתקיימת פעילות"))</f>
        <v xml:space="preserve"> </v>
      </c>
      <c r="X506" s="256" t="str">
        <f t="shared" si="136"/>
        <v/>
      </c>
      <c r="Y506" s="256" t="str">
        <f t="shared" si="153"/>
        <v/>
      </c>
      <c r="Z506" s="741">
        <f t="shared" si="137"/>
        <v>0</v>
      </c>
      <c r="AA506" s="741">
        <f t="shared" si="138"/>
        <v>0</v>
      </c>
      <c r="AB506" s="741">
        <f t="shared" si="139"/>
        <v>0</v>
      </c>
      <c r="AC506" s="987">
        <f t="shared" si="149"/>
        <v>0</v>
      </c>
      <c r="AD506" s="987">
        <f t="shared" si="150"/>
        <v>0</v>
      </c>
      <c r="AE506" s="368" t="str">
        <f>IFERROR(VLOOKUP(B506,'[1]סיכום בקרת רשויות'!$A:$D,4,0),"")</f>
        <v/>
      </c>
      <c r="AF506" s="57" t="str">
        <f t="shared" si="151"/>
        <v/>
      </c>
      <c r="AG506" s="180">
        <f>IF(AF506="כן",M506*'גנים ובתי ספר- מבנה תקציב'!$H$59,0)</f>
        <v>0</v>
      </c>
      <c r="AH506" s="180">
        <f>IF(AF506="כן",M506*'גנים ובתי ספר- מבנה תקציב'!$I$59,0)</f>
        <v>0</v>
      </c>
      <c r="AI506" s="180">
        <f t="shared" si="152"/>
        <v>0</v>
      </c>
      <c r="AJ506" s="368" t="str">
        <f t="shared" si="140"/>
        <v/>
      </c>
    </row>
    <row r="507" spans="1:36" x14ac:dyDescent="0.25">
      <c r="A507" s="57">
        <v>487</v>
      </c>
      <c r="B507" s="690"/>
      <c r="C507" s="690"/>
      <c r="D507" s="252">
        <f>(IFERROR(SUMIF('מצבת והרשמה (2)'!$F$21:$F$501,'דוח ביצוע (3)'!$B507,'מצבת והרשמה (2)'!$J$21:$J$501),0))</f>
        <v>0</v>
      </c>
      <c r="E507" s="252">
        <f>IFERROR(SUMIF('מצבת והרשמה (2)'!$F$21:$F$501,'דוח ביצוע (3)'!$B507,'מצבת והרשמה (2)'!$K$21:$K$501),0)</f>
        <v>0</v>
      </c>
      <c r="F507" s="253">
        <f t="shared" si="141"/>
        <v>0</v>
      </c>
      <c r="G507" s="680"/>
      <c r="H507" s="680"/>
      <c r="I507" s="253">
        <f t="shared" si="135"/>
        <v>0</v>
      </c>
      <c r="J507" s="453">
        <f t="shared" si="142"/>
        <v>0</v>
      </c>
      <c r="K507" s="689"/>
      <c r="L507" s="689"/>
      <c r="M507" s="969">
        <f t="shared" si="143"/>
        <v>0</v>
      </c>
      <c r="N507" s="1029" t="str">
        <f t="shared" si="144"/>
        <v/>
      </c>
      <c r="O507" s="969" t="str">
        <f>IFERROR(VLOOKUP(B507,'נתוני רישום ומצבת'!B:Q,16,0),"")</f>
        <v/>
      </c>
      <c r="P507" s="969" t="str">
        <f>IFERROR(VLOOKUP(B507,'נתוני רישום ומצבת'!B:R,17,0),"")</f>
        <v/>
      </c>
      <c r="Q507" s="690"/>
      <c r="R507" s="1009"/>
      <c r="S507" s="376">
        <f t="shared" si="145"/>
        <v>0</v>
      </c>
      <c r="T507" s="376">
        <f t="shared" si="146"/>
        <v>0</v>
      </c>
      <c r="U507" s="386">
        <f t="shared" si="147"/>
        <v>0</v>
      </c>
      <c r="V507" s="513" t="str">
        <f t="shared" si="148"/>
        <v/>
      </c>
      <c r="W507" s="254" t="str">
        <f>IF(ISBLANK(B507)," ",IF(B507=IFERROR(VLOOKUP(B507,'מצבת והרשמה (2)'!F:F,1,0),0),"תקין","לא קיים במצבת כבית ספר בו מתקיימת פעילות"))</f>
        <v xml:space="preserve"> </v>
      </c>
      <c r="X507" s="256" t="str">
        <f t="shared" si="136"/>
        <v/>
      </c>
      <c r="Y507" s="256" t="str">
        <f t="shared" si="153"/>
        <v/>
      </c>
      <c r="Z507" s="741">
        <f t="shared" si="137"/>
        <v>0</v>
      </c>
      <c r="AA507" s="741">
        <f t="shared" si="138"/>
        <v>0</v>
      </c>
      <c r="AB507" s="741">
        <f t="shared" si="139"/>
        <v>0</v>
      </c>
      <c r="AC507" s="987">
        <f t="shared" si="149"/>
        <v>0</v>
      </c>
      <c r="AD507" s="987">
        <f t="shared" si="150"/>
        <v>0</v>
      </c>
      <c r="AE507" s="368" t="str">
        <f>IFERROR(VLOOKUP(B507,'[1]סיכום בקרת רשויות'!$A:$D,4,0),"")</f>
        <v/>
      </c>
      <c r="AF507" s="57" t="str">
        <f t="shared" si="151"/>
        <v/>
      </c>
      <c r="AG507" s="180">
        <f>IF(AF507="כן",M507*'גנים ובתי ספר- מבנה תקציב'!$H$59,0)</f>
        <v>0</v>
      </c>
      <c r="AH507" s="180">
        <f>IF(AF507="כן",M507*'גנים ובתי ספר- מבנה תקציב'!$I$59,0)</f>
        <v>0</v>
      </c>
      <c r="AI507" s="180">
        <f t="shared" si="152"/>
        <v>0</v>
      </c>
      <c r="AJ507" s="368" t="str">
        <f t="shared" si="140"/>
        <v/>
      </c>
    </row>
    <row r="508" spans="1:36" x14ac:dyDescent="0.25">
      <c r="A508" s="57">
        <v>488</v>
      </c>
      <c r="B508" s="690"/>
      <c r="C508" s="690"/>
      <c r="D508" s="252">
        <f>(IFERROR(SUMIF('מצבת והרשמה (2)'!$F$21:$F$501,'דוח ביצוע (3)'!$B508,'מצבת והרשמה (2)'!$J$21:$J$501),0))</f>
        <v>0</v>
      </c>
      <c r="E508" s="252">
        <f>IFERROR(SUMIF('מצבת והרשמה (2)'!$F$21:$F$501,'דוח ביצוע (3)'!$B508,'מצבת והרשמה (2)'!$K$21:$K$501),0)</f>
        <v>0</v>
      </c>
      <c r="F508" s="253">
        <f t="shared" si="141"/>
        <v>0</v>
      </c>
      <c r="G508" s="680"/>
      <c r="H508" s="680"/>
      <c r="I508" s="253">
        <f t="shared" si="135"/>
        <v>0</v>
      </c>
      <c r="J508" s="453">
        <f t="shared" si="142"/>
        <v>0</v>
      </c>
      <c r="K508" s="689"/>
      <c r="L508" s="689"/>
      <c r="M508" s="969">
        <f t="shared" si="143"/>
        <v>0</v>
      </c>
      <c r="N508" s="1029" t="str">
        <f t="shared" si="144"/>
        <v/>
      </c>
      <c r="O508" s="969" t="str">
        <f>IFERROR(VLOOKUP(B508,'נתוני רישום ומצבת'!B:Q,16,0),"")</f>
        <v/>
      </c>
      <c r="P508" s="969" t="str">
        <f>IFERROR(VLOOKUP(B508,'נתוני רישום ומצבת'!B:R,17,0),"")</f>
        <v/>
      </c>
      <c r="Q508" s="690"/>
      <c r="R508" s="1009"/>
      <c r="S508" s="376">
        <f t="shared" si="145"/>
        <v>0</v>
      </c>
      <c r="T508" s="376">
        <f t="shared" si="146"/>
        <v>0</v>
      </c>
      <c r="U508" s="386">
        <f t="shared" si="147"/>
        <v>0</v>
      </c>
      <c r="V508" s="513" t="str">
        <f t="shared" si="148"/>
        <v/>
      </c>
      <c r="W508" s="254" t="str">
        <f>IF(ISBLANK(B508)," ",IF(B508=IFERROR(VLOOKUP(B508,'מצבת והרשמה (2)'!F:F,1,0),0),"תקין","לא קיים במצבת כבית ספר בו מתקיימת פעילות"))</f>
        <v xml:space="preserve"> </v>
      </c>
      <c r="X508" s="256" t="str">
        <f t="shared" si="136"/>
        <v/>
      </c>
      <c r="Y508" s="256" t="str">
        <f t="shared" si="153"/>
        <v/>
      </c>
      <c r="Z508" s="741">
        <f t="shared" si="137"/>
        <v>0</v>
      </c>
      <c r="AA508" s="741">
        <f t="shared" si="138"/>
        <v>0</v>
      </c>
      <c r="AB508" s="741">
        <f t="shared" si="139"/>
        <v>0</v>
      </c>
      <c r="AC508" s="987">
        <f t="shared" si="149"/>
        <v>0</v>
      </c>
      <c r="AD508" s="987">
        <f t="shared" si="150"/>
        <v>0</v>
      </c>
      <c r="AE508" s="368" t="str">
        <f>IFERROR(VLOOKUP(B508,'[1]סיכום בקרת רשויות'!$A:$D,4,0),"")</f>
        <v/>
      </c>
      <c r="AF508" s="57" t="str">
        <f t="shared" si="151"/>
        <v/>
      </c>
      <c r="AG508" s="180">
        <f>IF(AF508="כן",M508*'גנים ובתי ספר- מבנה תקציב'!$H$59,0)</f>
        <v>0</v>
      </c>
      <c r="AH508" s="180">
        <f>IF(AF508="כן",M508*'גנים ובתי ספר- מבנה תקציב'!$I$59,0)</f>
        <v>0</v>
      </c>
      <c r="AI508" s="180">
        <f t="shared" si="152"/>
        <v>0</v>
      </c>
      <c r="AJ508" s="368" t="str">
        <f t="shared" si="140"/>
        <v/>
      </c>
    </row>
    <row r="509" spans="1:36" x14ac:dyDescent="0.25">
      <c r="A509" s="57">
        <v>489</v>
      </c>
      <c r="B509" s="690"/>
      <c r="C509" s="690"/>
      <c r="D509" s="252">
        <f>(IFERROR(SUMIF('מצבת והרשמה (2)'!$F$21:$F$501,'דוח ביצוע (3)'!$B509,'מצבת והרשמה (2)'!$J$21:$J$501),0))</f>
        <v>0</v>
      </c>
      <c r="E509" s="252">
        <f>IFERROR(SUMIF('מצבת והרשמה (2)'!$F$21:$F$501,'דוח ביצוע (3)'!$B509,'מצבת והרשמה (2)'!$K$21:$K$501),0)</f>
        <v>0</v>
      </c>
      <c r="F509" s="253">
        <f t="shared" si="141"/>
        <v>0</v>
      </c>
      <c r="G509" s="680"/>
      <c r="H509" s="680"/>
      <c r="I509" s="253">
        <f t="shared" si="135"/>
        <v>0</v>
      </c>
      <c r="J509" s="453">
        <f t="shared" si="142"/>
        <v>0</v>
      </c>
      <c r="K509" s="689"/>
      <c r="L509" s="689"/>
      <c r="M509" s="969">
        <f t="shared" si="143"/>
        <v>0</v>
      </c>
      <c r="N509" s="1029" t="str">
        <f t="shared" si="144"/>
        <v/>
      </c>
      <c r="O509" s="969" t="str">
        <f>IFERROR(VLOOKUP(B509,'נתוני רישום ומצבת'!B:Q,16,0),"")</f>
        <v/>
      </c>
      <c r="P509" s="969" t="str">
        <f>IFERROR(VLOOKUP(B509,'נתוני רישום ומצבת'!B:R,17,0),"")</f>
        <v/>
      </c>
      <c r="Q509" s="690"/>
      <c r="R509" s="1009"/>
      <c r="S509" s="376">
        <f t="shared" si="145"/>
        <v>0</v>
      </c>
      <c r="T509" s="376">
        <f t="shared" si="146"/>
        <v>0</v>
      </c>
      <c r="U509" s="386">
        <f t="shared" si="147"/>
        <v>0</v>
      </c>
      <c r="V509" s="513" t="str">
        <f t="shared" si="148"/>
        <v/>
      </c>
      <c r="W509" s="254" t="str">
        <f>IF(ISBLANK(B509)," ",IF(B509=IFERROR(VLOOKUP(B509,'מצבת והרשמה (2)'!F:F,1,0),0),"תקין","לא קיים במצבת כבית ספר בו מתקיימת פעילות"))</f>
        <v xml:space="preserve"> </v>
      </c>
      <c r="X509" s="256" t="str">
        <f t="shared" si="136"/>
        <v/>
      </c>
      <c r="Y509" s="256" t="str">
        <f t="shared" si="153"/>
        <v/>
      </c>
      <c r="Z509" s="741">
        <f t="shared" si="137"/>
        <v>0</v>
      </c>
      <c r="AA509" s="741">
        <f t="shared" si="138"/>
        <v>0</v>
      </c>
      <c r="AB509" s="741">
        <f t="shared" si="139"/>
        <v>0</v>
      </c>
      <c r="AC509" s="987">
        <f t="shared" si="149"/>
        <v>0</v>
      </c>
      <c r="AD509" s="987">
        <f t="shared" si="150"/>
        <v>0</v>
      </c>
      <c r="AE509" s="368" t="str">
        <f>IFERROR(VLOOKUP(B509,'[1]סיכום בקרת רשויות'!$A:$D,4,0),"")</f>
        <v/>
      </c>
      <c r="AF509" s="57" t="str">
        <f t="shared" si="151"/>
        <v/>
      </c>
      <c r="AG509" s="180">
        <f>IF(AF509="כן",M509*'גנים ובתי ספר- מבנה תקציב'!$H$59,0)</f>
        <v>0</v>
      </c>
      <c r="AH509" s="180">
        <f>IF(AF509="כן",M509*'גנים ובתי ספר- מבנה תקציב'!$I$59,0)</f>
        <v>0</v>
      </c>
      <c r="AI509" s="180">
        <f t="shared" si="152"/>
        <v>0</v>
      </c>
      <c r="AJ509" s="368" t="str">
        <f t="shared" si="140"/>
        <v/>
      </c>
    </row>
    <row r="510" spans="1:36" x14ac:dyDescent="0.25">
      <c r="A510" s="57">
        <v>490</v>
      </c>
      <c r="B510" s="690"/>
      <c r="C510" s="690"/>
      <c r="D510" s="252">
        <f>(IFERROR(SUMIF('מצבת והרשמה (2)'!$F$21:$F$501,'דוח ביצוע (3)'!$B510,'מצבת והרשמה (2)'!$J$21:$J$501),0))</f>
        <v>0</v>
      </c>
      <c r="E510" s="252">
        <f>IFERROR(SUMIF('מצבת והרשמה (2)'!$F$21:$F$501,'דוח ביצוע (3)'!$B510,'מצבת והרשמה (2)'!$K$21:$K$501),0)</f>
        <v>0</v>
      </c>
      <c r="F510" s="253">
        <f t="shared" si="141"/>
        <v>0</v>
      </c>
      <c r="G510" s="680"/>
      <c r="H510" s="680"/>
      <c r="I510" s="253">
        <f t="shared" si="135"/>
        <v>0</v>
      </c>
      <c r="J510" s="453">
        <f t="shared" si="142"/>
        <v>0</v>
      </c>
      <c r="K510" s="689"/>
      <c r="L510" s="689"/>
      <c r="M510" s="969">
        <f t="shared" si="143"/>
        <v>0</v>
      </c>
      <c r="N510" s="1029" t="str">
        <f t="shared" si="144"/>
        <v/>
      </c>
      <c r="O510" s="969" t="str">
        <f>IFERROR(VLOOKUP(B510,'נתוני רישום ומצבת'!B:Q,16,0),"")</f>
        <v/>
      </c>
      <c r="P510" s="969" t="str">
        <f>IFERROR(VLOOKUP(B510,'נתוני רישום ומצבת'!B:R,17,0),"")</f>
        <v/>
      </c>
      <c r="Q510" s="690"/>
      <c r="R510" s="1009"/>
      <c r="S510" s="376">
        <f t="shared" si="145"/>
        <v>0</v>
      </c>
      <c r="T510" s="376">
        <f t="shared" si="146"/>
        <v>0</v>
      </c>
      <c r="U510" s="386">
        <f t="shared" si="147"/>
        <v>0</v>
      </c>
      <c r="V510" s="513" t="str">
        <f t="shared" si="148"/>
        <v/>
      </c>
      <c r="W510" s="254" t="str">
        <f>IF(ISBLANK(B510)," ",IF(B510=IFERROR(VLOOKUP(B510,'מצבת והרשמה (2)'!F:F,1,0),0),"תקין","לא קיים במצבת כבית ספר בו מתקיימת פעילות"))</f>
        <v xml:space="preserve"> </v>
      </c>
      <c r="X510" s="256" t="str">
        <f t="shared" si="136"/>
        <v/>
      </c>
      <c r="Y510" s="256" t="str">
        <f t="shared" si="153"/>
        <v/>
      </c>
      <c r="Z510" s="741">
        <f t="shared" si="137"/>
        <v>0</v>
      </c>
      <c r="AA510" s="741">
        <f t="shared" si="138"/>
        <v>0</v>
      </c>
      <c r="AB510" s="741">
        <f t="shared" si="139"/>
        <v>0</v>
      </c>
      <c r="AC510" s="987">
        <f t="shared" si="149"/>
        <v>0</v>
      </c>
      <c r="AD510" s="987">
        <f t="shared" si="150"/>
        <v>0</v>
      </c>
      <c r="AE510" s="368" t="str">
        <f>IFERROR(VLOOKUP(B510,'[1]סיכום בקרת רשויות'!$A:$D,4,0),"")</f>
        <v/>
      </c>
      <c r="AF510" s="57" t="str">
        <f t="shared" si="151"/>
        <v/>
      </c>
      <c r="AG510" s="180">
        <f>IF(AF510="כן",M510*'גנים ובתי ספר- מבנה תקציב'!$H$59,0)</f>
        <v>0</v>
      </c>
      <c r="AH510" s="180">
        <f>IF(AF510="כן",M510*'גנים ובתי ספר- מבנה תקציב'!$I$59,0)</f>
        <v>0</v>
      </c>
      <c r="AI510" s="180">
        <f t="shared" si="152"/>
        <v>0</v>
      </c>
      <c r="AJ510" s="368" t="str">
        <f t="shared" si="140"/>
        <v/>
      </c>
    </row>
    <row r="511" spans="1:36" x14ac:dyDescent="0.25">
      <c r="A511" s="57">
        <v>491</v>
      </c>
      <c r="B511" s="690"/>
      <c r="C511" s="690"/>
      <c r="D511" s="252">
        <f>(IFERROR(SUMIF('מצבת והרשמה (2)'!$F$21:$F$501,'דוח ביצוע (3)'!$B511,'מצבת והרשמה (2)'!$J$21:$J$501),0))</f>
        <v>0</v>
      </c>
      <c r="E511" s="252">
        <f>IFERROR(SUMIF('מצבת והרשמה (2)'!$F$21:$F$501,'דוח ביצוע (3)'!$B511,'מצבת והרשמה (2)'!$K$21:$K$501),0)</f>
        <v>0</v>
      </c>
      <c r="F511" s="253">
        <f t="shared" si="141"/>
        <v>0</v>
      </c>
      <c r="G511" s="680"/>
      <c r="H511" s="680"/>
      <c r="I511" s="253">
        <f t="shared" si="135"/>
        <v>0</v>
      </c>
      <c r="J511" s="453">
        <f t="shared" si="142"/>
        <v>0</v>
      </c>
      <c r="K511" s="689"/>
      <c r="L511" s="689"/>
      <c r="M511" s="969">
        <f t="shared" si="143"/>
        <v>0</v>
      </c>
      <c r="N511" s="1029" t="str">
        <f t="shared" si="144"/>
        <v/>
      </c>
      <c r="O511" s="969" t="str">
        <f>IFERROR(VLOOKUP(B511,'נתוני רישום ומצבת'!B:Q,16,0),"")</f>
        <v/>
      </c>
      <c r="P511" s="969" t="str">
        <f>IFERROR(VLOOKUP(B511,'נתוני רישום ומצבת'!B:R,17,0),"")</f>
        <v/>
      </c>
      <c r="Q511" s="690"/>
      <c r="R511" s="1009"/>
      <c r="S511" s="376">
        <f t="shared" si="145"/>
        <v>0</v>
      </c>
      <c r="T511" s="376">
        <f t="shared" si="146"/>
        <v>0</v>
      </c>
      <c r="U511" s="386">
        <f t="shared" si="147"/>
        <v>0</v>
      </c>
      <c r="V511" s="513" t="str">
        <f t="shared" si="148"/>
        <v/>
      </c>
      <c r="W511" s="254" t="str">
        <f>IF(ISBLANK(B511)," ",IF(B511=IFERROR(VLOOKUP(B511,'מצבת והרשמה (2)'!F:F,1,0),0),"תקין","לא קיים במצבת כבית ספר בו מתקיימת פעילות"))</f>
        <v xml:space="preserve"> </v>
      </c>
      <c r="X511" s="256" t="str">
        <f t="shared" si="136"/>
        <v/>
      </c>
      <c r="Y511" s="256" t="str">
        <f t="shared" si="153"/>
        <v/>
      </c>
      <c r="Z511" s="741">
        <f t="shared" si="137"/>
        <v>0</v>
      </c>
      <c r="AA511" s="741">
        <f t="shared" si="138"/>
        <v>0</v>
      </c>
      <c r="AB511" s="741">
        <f t="shared" si="139"/>
        <v>0</v>
      </c>
      <c r="AC511" s="987">
        <f t="shared" si="149"/>
        <v>0</v>
      </c>
      <c r="AD511" s="987">
        <f t="shared" si="150"/>
        <v>0</v>
      </c>
      <c r="AE511" s="368" t="str">
        <f>IFERROR(VLOOKUP(B511,'[1]סיכום בקרת רשויות'!$A:$D,4,0),"")</f>
        <v/>
      </c>
      <c r="AF511" s="57" t="str">
        <f t="shared" si="151"/>
        <v/>
      </c>
      <c r="AG511" s="180">
        <f>IF(AF511="כן",M511*'גנים ובתי ספר- מבנה תקציב'!$H$59,0)</f>
        <v>0</v>
      </c>
      <c r="AH511" s="180">
        <f>IF(AF511="כן",M511*'גנים ובתי ספר- מבנה תקציב'!$I$59,0)</f>
        <v>0</v>
      </c>
      <c r="AI511" s="180">
        <f t="shared" si="152"/>
        <v>0</v>
      </c>
      <c r="AJ511" s="368" t="str">
        <f t="shared" si="140"/>
        <v/>
      </c>
    </row>
    <row r="512" spans="1:36" x14ac:dyDescent="0.25">
      <c r="A512" s="57">
        <v>492</v>
      </c>
      <c r="B512" s="690"/>
      <c r="C512" s="690"/>
      <c r="D512" s="252">
        <f>(IFERROR(SUMIF('מצבת והרשמה (2)'!$F$21:$F$501,'דוח ביצוע (3)'!$B512,'מצבת והרשמה (2)'!$J$21:$J$501),0))</f>
        <v>0</v>
      </c>
      <c r="E512" s="252">
        <f>IFERROR(SUMIF('מצבת והרשמה (2)'!$F$21:$F$501,'דוח ביצוע (3)'!$B512,'מצבת והרשמה (2)'!$K$21:$K$501),0)</f>
        <v>0</v>
      </c>
      <c r="F512" s="253">
        <f t="shared" si="141"/>
        <v>0</v>
      </c>
      <c r="G512" s="680"/>
      <c r="H512" s="680"/>
      <c r="I512" s="253">
        <f t="shared" si="135"/>
        <v>0</v>
      </c>
      <c r="J512" s="453">
        <f t="shared" si="142"/>
        <v>0</v>
      </c>
      <c r="K512" s="689"/>
      <c r="L512" s="689"/>
      <c r="M512" s="969">
        <f t="shared" si="143"/>
        <v>0</v>
      </c>
      <c r="N512" s="1029" t="str">
        <f t="shared" si="144"/>
        <v/>
      </c>
      <c r="O512" s="969" t="str">
        <f>IFERROR(VLOOKUP(B512,'נתוני רישום ומצבת'!B:Q,16,0),"")</f>
        <v/>
      </c>
      <c r="P512" s="969" t="str">
        <f>IFERROR(VLOOKUP(B512,'נתוני רישום ומצבת'!B:R,17,0),"")</f>
        <v/>
      </c>
      <c r="Q512" s="690"/>
      <c r="R512" s="1009"/>
      <c r="S512" s="376">
        <f t="shared" si="145"/>
        <v>0</v>
      </c>
      <c r="T512" s="376">
        <f t="shared" si="146"/>
        <v>0</v>
      </c>
      <c r="U512" s="386">
        <f t="shared" si="147"/>
        <v>0</v>
      </c>
      <c r="V512" s="513" t="str">
        <f t="shared" si="148"/>
        <v/>
      </c>
      <c r="W512" s="254" t="str">
        <f>IF(ISBLANK(B512)," ",IF(B512=IFERROR(VLOOKUP(B512,'מצבת והרשמה (2)'!F:F,1,0),0),"תקין","לא קיים במצבת כבית ספר בו מתקיימת פעילות"))</f>
        <v xml:space="preserve"> </v>
      </c>
      <c r="X512" s="256" t="str">
        <f t="shared" si="136"/>
        <v/>
      </c>
      <c r="Y512" s="256" t="str">
        <f t="shared" si="153"/>
        <v/>
      </c>
      <c r="Z512" s="741">
        <f t="shared" si="137"/>
        <v>0</v>
      </c>
      <c r="AA512" s="741">
        <f t="shared" si="138"/>
        <v>0</v>
      </c>
      <c r="AB512" s="741">
        <f t="shared" si="139"/>
        <v>0</v>
      </c>
      <c r="AC512" s="987">
        <f t="shared" si="149"/>
        <v>0</v>
      </c>
      <c r="AD512" s="987">
        <f t="shared" si="150"/>
        <v>0</v>
      </c>
      <c r="AE512" s="368" t="str">
        <f>IFERROR(VLOOKUP(B512,'[1]סיכום בקרת רשויות'!$A:$D,4,0),"")</f>
        <v/>
      </c>
      <c r="AF512" s="57" t="str">
        <f t="shared" si="151"/>
        <v/>
      </c>
      <c r="AG512" s="180">
        <f>IF(AF512="כן",M512*'גנים ובתי ספר- מבנה תקציב'!$H$59,0)</f>
        <v>0</v>
      </c>
      <c r="AH512" s="180">
        <f>IF(AF512="כן",M512*'גנים ובתי ספר- מבנה תקציב'!$I$59,0)</f>
        <v>0</v>
      </c>
      <c r="AI512" s="180">
        <f t="shared" si="152"/>
        <v>0</v>
      </c>
      <c r="AJ512" s="368" t="str">
        <f t="shared" si="140"/>
        <v/>
      </c>
    </row>
    <row r="513" spans="1:36" x14ac:dyDescent="0.25">
      <c r="A513" s="57">
        <v>493</v>
      </c>
      <c r="B513" s="690"/>
      <c r="C513" s="690"/>
      <c r="D513" s="252">
        <f>(IFERROR(SUMIF('מצבת והרשמה (2)'!$F$21:$F$501,'דוח ביצוע (3)'!$B513,'מצבת והרשמה (2)'!$J$21:$J$501),0))</f>
        <v>0</v>
      </c>
      <c r="E513" s="252">
        <f>IFERROR(SUMIF('מצבת והרשמה (2)'!$F$21:$F$501,'דוח ביצוע (3)'!$B513,'מצבת והרשמה (2)'!$K$21:$K$501),0)</f>
        <v>0</v>
      </c>
      <c r="F513" s="253">
        <f t="shared" si="141"/>
        <v>0</v>
      </c>
      <c r="G513" s="680"/>
      <c r="H513" s="680"/>
      <c r="I513" s="253">
        <f t="shared" si="135"/>
        <v>0</v>
      </c>
      <c r="J513" s="453">
        <f t="shared" si="142"/>
        <v>0</v>
      </c>
      <c r="K513" s="689"/>
      <c r="L513" s="689"/>
      <c r="M513" s="969">
        <f t="shared" si="143"/>
        <v>0</v>
      </c>
      <c r="N513" s="1029" t="str">
        <f t="shared" si="144"/>
        <v/>
      </c>
      <c r="O513" s="969" t="str">
        <f>IFERROR(VLOOKUP(B513,'נתוני רישום ומצבת'!B:Q,16,0),"")</f>
        <v/>
      </c>
      <c r="P513" s="969" t="str">
        <f>IFERROR(VLOOKUP(B513,'נתוני רישום ומצבת'!B:R,17,0),"")</f>
        <v/>
      </c>
      <c r="Q513" s="690"/>
      <c r="R513" s="1009"/>
      <c r="S513" s="376">
        <f t="shared" si="145"/>
        <v>0</v>
      </c>
      <c r="T513" s="376">
        <f t="shared" si="146"/>
        <v>0</v>
      </c>
      <c r="U513" s="386">
        <f t="shared" si="147"/>
        <v>0</v>
      </c>
      <c r="V513" s="513" t="str">
        <f t="shared" si="148"/>
        <v/>
      </c>
      <c r="W513" s="254" t="str">
        <f>IF(ISBLANK(B513)," ",IF(B513=IFERROR(VLOOKUP(B513,'מצבת והרשמה (2)'!F:F,1,0),0),"תקין","לא קיים במצבת כבית ספר בו מתקיימת פעילות"))</f>
        <v xml:space="preserve"> </v>
      </c>
      <c r="X513" s="256" t="str">
        <f t="shared" si="136"/>
        <v/>
      </c>
      <c r="Y513" s="256" t="str">
        <f t="shared" si="153"/>
        <v/>
      </c>
      <c r="Z513" s="741">
        <f t="shared" si="137"/>
        <v>0</v>
      </c>
      <c r="AA513" s="741">
        <f t="shared" si="138"/>
        <v>0</v>
      </c>
      <c r="AB513" s="741">
        <f t="shared" si="139"/>
        <v>0</v>
      </c>
      <c r="AC513" s="987">
        <f t="shared" si="149"/>
        <v>0</v>
      </c>
      <c r="AD513" s="987">
        <f t="shared" si="150"/>
        <v>0</v>
      </c>
      <c r="AE513" s="368" t="str">
        <f>IFERROR(VLOOKUP(B513,'[1]סיכום בקרת רשויות'!$A:$D,4,0),"")</f>
        <v/>
      </c>
      <c r="AF513" s="57" t="str">
        <f t="shared" si="151"/>
        <v/>
      </c>
      <c r="AG513" s="180">
        <f>IF(AF513="כן",M513*'גנים ובתי ספר- מבנה תקציב'!$H$59,0)</f>
        <v>0</v>
      </c>
      <c r="AH513" s="180">
        <f>IF(AF513="כן",M513*'גנים ובתי ספר- מבנה תקציב'!$I$59,0)</f>
        <v>0</v>
      </c>
      <c r="AI513" s="180">
        <f t="shared" si="152"/>
        <v>0</v>
      </c>
      <c r="AJ513" s="368" t="str">
        <f t="shared" si="140"/>
        <v/>
      </c>
    </row>
    <row r="514" spans="1:36" x14ac:dyDescent="0.25">
      <c r="A514" s="57">
        <v>494</v>
      </c>
      <c r="B514" s="690"/>
      <c r="C514" s="690"/>
      <c r="D514" s="252">
        <f>(IFERROR(SUMIF('מצבת והרשמה (2)'!$F$21:$F$501,'דוח ביצוע (3)'!$B514,'מצבת והרשמה (2)'!$J$21:$J$501),0))</f>
        <v>0</v>
      </c>
      <c r="E514" s="252">
        <f>IFERROR(SUMIF('מצבת והרשמה (2)'!$F$21:$F$501,'דוח ביצוע (3)'!$B514,'מצבת והרשמה (2)'!$K$21:$K$501),0)</f>
        <v>0</v>
      </c>
      <c r="F514" s="253">
        <f t="shared" si="141"/>
        <v>0</v>
      </c>
      <c r="G514" s="680"/>
      <c r="H514" s="680"/>
      <c r="I514" s="253">
        <f t="shared" si="135"/>
        <v>0</v>
      </c>
      <c r="J514" s="453">
        <f t="shared" si="142"/>
        <v>0</v>
      </c>
      <c r="K514" s="689"/>
      <c r="L514" s="689"/>
      <c r="M514" s="969">
        <f t="shared" si="143"/>
        <v>0</v>
      </c>
      <c r="N514" s="1029" t="str">
        <f t="shared" si="144"/>
        <v/>
      </c>
      <c r="O514" s="969" t="str">
        <f>IFERROR(VLOOKUP(B514,'נתוני רישום ומצבת'!B:Q,16,0),"")</f>
        <v/>
      </c>
      <c r="P514" s="969" t="str">
        <f>IFERROR(VLOOKUP(B514,'נתוני רישום ומצבת'!B:R,17,0),"")</f>
        <v/>
      </c>
      <c r="Q514" s="690"/>
      <c r="R514" s="1009"/>
      <c r="S514" s="376">
        <f t="shared" si="145"/>
        <v>0</v>
      </c>
      <c r="T514" s="376">
        <f t="shared" si="146"/>
        <v>0</v>
      </c>
      <c r="U514" s="386">
        <f t="shared" si="147"/>
        <v>0</v>
      </c>
      <c r="V514" s="513" t="str">
        <f t="shared" si="148"/>
        <v/>
      </c>
      <c r="W514" s="254" t="str">
        <f>IF(ISBLANK(B514)," ",IF(B514=IFERROR(VLOOKUP(B514,'מצבת והרשמה (2)'!F:F,1,0),0),"תקין","לא קיים במצבת כבית ספר בו מתקיימת פעילות"))</f>
        <v xml:space="preserve"> </v>
      </c>
      <c r="X514" s="256" t="str">
        <f t="shared" si="136"/>
        <v/>
      </c>
      <c r="Y514" s="256" t="str">
        <f t="shared" si="153"/>
        <v/>
      </c>
      <c r="Z514" s="741">
        <f t="shared" si="137"/>
        <v>0</v>
      </c>
      <c r="AA514" s="741">
        <f t="shared" si="138"/>
        <v>0</v>
      </c>
      <c r="AB514" s="741">
        <f t="shared" si="139"/>
        <v>0</v>
      </c>
      <c r="AC514" s="987">
        <f t="shared" si="149"/>
        <v>0</v>
      </c>
      <c r="AD514" s="987">
        <f t="shared" si="150"/>
        <v>0</v>
      </c>
      <c r="AE514" s="368" t="str">
        <f>IFERROR(VLOOKUP(B514,'[1]סיכום בקרת רשויות'!$A:$D,4,0),"")</f>
        <v/>
      </c>
      <c r="AF514" s="57" t="str">
        <f t="shared" si="151"/>
        <v/>
      </c>
      <c r="AG514" s="180">
        <f>IF(AF514="כן",M514*'גנים ובתי ספר- מבנה תקציב'!$H$59,0)</f>
        <v>0</v>
      </c>
      <c r="AH514" s="180">
        <f>IF(AF514="כן",M514*'גנים ובתי ספר- מבנה תקציב'!$I$59,0)</f>
        <v>0</v>
      </c>
      <c r="AI514" s="180">
        <f t="shared" si="152"/>
        <v>0</v>
      </c>
      <c r="AJ514" s="368" t="str">
        <f t="shared" si="140"/>
        <v/>
      </c>
    </row>
    <row r="515" spans="1:36" x14ac:dyDescent="0.25">
      <c r="A515" s="57">
        <v>495</v>
      </c>
      <c r="B515" s="690"/>
      <c r="C515" s="690"/>
      <c r="D515" s="252">
        <f>(IFERROR(SUMIF('מצבת והרשמה (2)'!$F$21:$F$501,'דוח ביצוע (3)'!$B515,'מצבת והרשמה (2)'!$J$21:$J$501),0))</f>
        <v>0</v>
      </c>
      <c r="E515" s="252">
        <f>IFERROR(SUMIF('מצבת והרשמה (2)'!$F$21:$F$501,'דוח ביצוע (3)'!$B515,'מצבת והרשמה (2)'!$K$21:$K$501),0)</f>
        <v>0</v>
      </c>
      <c r="F515" s="253">
        <f t="shared" si="141"/>
        <v>0</v>
      </c>
      <c r="G515" s="680"/>
      <c r="H515" s="680"/>
      <c r="I515" s="253">
        <f t="shared" si="135"/>
        <v>0</v>
      </c>
      <c r="J515" s="453">
        <f t="shared" si="142"/>
        <v>0</v>
      </c>
      <c r="K515" s="689"/>
      <c r="L515" s="689"/>
      <c r="M515" s="969">
        <f t="shared" si="143"/>
        <v>0</v>
      </c>
      <c r="N515" s="1029" t="str">
        <f t="shared" si="144"/>
        <v/>
      </c>
      <c r="O515" s="969" t="str">
        <f>IFERROR(VLOOKUP(B515,'נתוני רישום ומצבת'!B:Q,16,0),"")</f>
        <v/>
      </c>
      <c r="P515" s="969" t="str">
        <f>IFERROR(VLOOKUP(B515,'נתוני רישום ומצבת'!B:R,17,0),"")</f>
        <v/>
      </c>
      <c r="Q515" s="690"/>
      <c r="R515" s="1009"/>
      <c r="S515" s="376">
        <f t="shared" si="145"/>
        <v>0</v>
      </c>
      <c r="T515" s="376">
        <f t="shared" si="146"/>
        <v>0</v>
      </c>
      <c r="U515" s="386">
        <f t="shared" si="147"/>
        <v>0</v>
      </c>
      <c r="V515" s="513" t="str">
        <f t="shared" si="148"/>
        <v/>
      </c>
      <c r="W515" s="254" t="str">
        <f>IF(ISBLANK(B515)," ",IF(B515=IFERROR(VLOOKUP(B515,'מצבת והרשמה (2)'!F:F,1,0),0),"תקין","לא קיים במצבת כבית ספר בו מתקיימת פעילות"))</f>
        <v xml:space="preserve"> </v>
      </c>
      <c r="X515" s="256" t="str">
        <f t="shared" si="136"/>
        <v/>
      </c>
      <c r="Y515" s="256" t="str">
        <f t="shared" si="153"/>
        <v/>
      </c>
      <c r="Z515" s="741">
        <f t="shared" si="137"/>
        <v>0</v>
      </c>
      <c r="AA515" s="741">
        <f t="shared" si="138"/>
        <v>0</v>
      </c>
      <c r="AB515" s="741">
        <f t="shared" si="139"/>
        <v>0</v>
      </c>
      <c r="AC515" s="987">
        <f t="shared" si="149"/>
        <v>0</v>
      </c>
      <c r="AD515" s="987">
        <f t="shared" si="150"/>
        <v>0</v>
      </c>
      <c r="AE515" s="368" t="str">
        <f>IFERROR(VLOOKUP(B515,'[1]סיכום בקרת רשויות'!$A:$D,4,0),"")</f>
        <v/>
      </c>
      <c r="AF515" s="57" t="str">
        <f t="shared" si="151"/>
        <v/>
      </c>
      <c r="AG515" s="180">
        <f>IF(AF515="כן",M515*'גנים ובתי ספר- מבנה תקציב'!$H$59,0)</f>
        <v>0</v>
      </c>
      <c r="AH515" s="180">
        <f>IF(AF515="כן",M515*'גנים ובתי ספר- מבנה תקציב'!$I$59,0)</f>
        <v>0</v>
      </c>
      <c r="AI515" s="180">
        <f t="shared" si="152"/>
        <v>0</v>
      </c>
      <c r="AJ515" s="368" t="str">
        <f t="shared" si="140"/>
        <v/>
      </c>
    </row>
    <row r="516" spans="1:36" x14ac:dyDescent="0.25">
      <c r="A516" s="57">
        <v>496</v>
      </c>
      <c r="B516" s="690"/>
      <c r="C516" s="690"/>
      <c r="D516" s="252">
        <f>(IFERROR(SUMIF('מצבת והרשמה (2)'!$F$21:$F$501,'דוח ביצוע (3)'!$B516,'מצבת והרשמה (2)'!$J$21:$J$501),0))</f>
        <v>0</v>
      </c>
      <c r="E516" s="252">
        <f>IFERROR(SUMIF('מצבת והרשמה (2)'!$F$21:$F$501,'דוח ביצוע (3)'!$B516,'מצבת והרשמה (2)'!$K$21:$K$501),0)</f>
        <v>0</v>
      </c>
      <c r="F516" s="253">
        <f t="shared" si="141"/>
        <v>0</v>
      </c>
      <c r="G516" s="680"/>
      <c r="H516" s="680"/>
      <c r="I516" s="253">
        <f t="shared" si="135"/>
        <v>0</v>
      </c>
      <c r="J516" s="453">
        <f t="shared" si="142"/>
        <v>0</v>
      </c>
      <c r="K516" s="689"/>
      <c r="L516" s="689"/>
      <c r="M516" s="969">
        <f t="shared" si="143"/>
        <v>0</v>
      </c>
      <c r="N516" s="1029" t="str">
        <f t="shared" si="144"/>
        <v/>
      </c>
      <c r="O516" s="969" t="str">
        <f>IFERROR(VLOOKUP(B516,'נתוני רישום ומצבת'!B:Q,16,0),"")</f>
        <v/>
      </c>
      <c r="P516" s="969" t="str">
        <f>IFERROR(VLOOKUP(B516,'נתוני רישום ומצבת'!B:R,17,0),"")</f>
        <v/>
      </c>
      <c r="Q516" s="690"/>
      <c r="R516" s="1009"/>
      <c r="S516" s="376">
        <f t="shared" si="145"/>
        <v>0</v>
      </c>
      <c r="T516" s="376">
        <f t="shared" si="146"/>
        <v>0</v>
      </c>
      <c r="U516" s="386">
        <f t="shared" si="147"/>
        <v>0</v>
      </c>
      <c r="V516" s="513" t="str">
        <f t="shared" si="148"/>
        <v/>
      </c>
      <c r="W516" s="254" t="str">
        <f>IF(ISBLANK(B516)," ",IF(B516=IFERROR(VLOOKUP(B516,'מצבת והרשמה (2)'!F:F,1,0),0),"תקין","לא קיים במצבת כבית ספר בו מתקיימת פעילות"))</f>
        <v xml:space="preserve"> </v>
      </c>
      <c r="X516" s="256" t="str">
        <f t="shared" si="136"/>
        <v/>
      </c>
      <c r="Y516" s="256" t="str">
        <f t="shared" si="153"/>
        <v/>
      </c>
      <c r="Z516" s="741">
        <f t="shared" si="137"/>
        <v>0</v>
      </c>
      <c r="AA516" s="741">
        <f t="shared" si="138"/>
        <v>0</v>
      </c>
      <c r="AB516" s="741">
        <f t="shared" si="139"/>
        <v>0</v>
      </c>
      <c r="AC516" s="987">
        <f t="shared" si="149"/>
        <v>0</v>
      </c>
      <c r="AD516" s="987">
        <f t="shared" si="150"/>
        <v>0</v>
      </c>
      <c r="AE516" s="368" t="str">
        <f>IFERROR(VLOOKUP(B516,'[1]סיכום בקרת רשויות'!$A:$D,4,0),"")</f>
        <v/>
      </c>
      <c r="AF516" s="57" t="str">
        <f t="shared" si="151"/>
        <v/>
      </c>
      <c r="AG516" s="180">
        <f>IF(AF516="כן",M516*'גנים ובתי ספר- מבנה תקציב'!$H$59,0)</f>
        <v>0</v>
      </c>
      <c r="AH516" s="180">
        <f>IF(AF516="כן",M516*'גנים ובתי ספר- מבנה תקציב'!$I$59,0)</f>
        <v>0</v>
      </c>
      <c r="AI516" s="180">
        <f t="shared" si="152"/>
        <v>0</v>
      </c>
      <c r="AJ516" s="368" t="str">
        <f t="shared" si="140"/>
        <v/>
      </c>
    </row>
    <row r="517" spans="1:36" x14ac:dyDescent="0.25">
      <c r="A517" s="57">
        <v>497</v>
      </c>
      <c r="B517" s="690"/>
      <c r="C517" s="690"/>
      <c r="D517" s="252">
        <f>(IFERROR(SUMIF('מצבת והרשמה (2)'!$F$21:$F$501,'דוח ביצוע (3)'!$B517,'מצבת והרשמה (2)'!$J$21:$J$501),0))</f>
        <v>0</v>
      </c>
      <c r="E517" s="252">
        <f>IFERROR(SUMIF('מצבת והרשמה (2)'!$F$21:$F$501,'דוח ביצוע (3)'!$B517,'מצבת והרשמה (2)'!$K$21:$K$501),0)</f>
        <v>0</v>
      </c>
      <c r="F517" s="253">
        <f t="shared" si="141"/>
        <v>0</v>
      </c>
      <c r="G517" s="680"/>
      <c r="H517" s="680"/>
      <c r="I517" s="253">
        <f t="shared" si="135"/>
        <v>0</v>
      </c>
      <c r="J517" s="453">
        <f t="shared" si="142"/>
        <v>0</v>
      </c>
      <c r="K517" s="689"/>
      <c r="L517" s="689"/>
      <c r="M517" s="969">
        <f t="shared" si="143"/>
        <v>0</v>
      </c>
      <c r="N517" s="1029" t="str">
        <f t="shared" si="144"/>
        <v/>
      </c>
      <c r="O517" s="969" t="str">
        <f>IFERROR(VLOOKUP(B517,'נתוני רישום ומצבת'!B:Q,16,0),"")</f>
        <v/>
      </c>
      <c r="P517" s="969" t="str">
        <f>IFERROR(VLOOKUP(B517,'נתוני רישום ומצבת'!B:R,17,0),"")</f>
        <v/>
      </c>
      <c r="Q517" s="690"/>
      <c r="R517" s="1009"/>
      <c r="S517" s="376">
        <f t="shared" si="145"/>
        <v>0</v>
      </c>
      <c r="T517" s="376">
        <f t="shared" si="146"/>
        <v>0</v>
      </c>
      <c r="U517" s="386">
        <f t="shared" si="147"/>
        <v>0</v>
      </c>
      <c r="V517" s="513" t="str">
        <f t="shared" si="148"/>
        <v/>
      </c>
      <c r="W517" s="254" t="str">
        <f>IF(ISBLANK(B517)," ",IF(B517=IFERROR(VLOOKUP(B517,'מצבת והרשמה (2)'!F:F,1,0),0),"תקין","לא קיים במצבת כבית ספר בו מתקיימת פעילות"))</f>
        <v xml:space="preserve"> </v>
      </c>
      <c r="X517" s="256" t="str">
        <f t="shared" si="136"/>
        <v/>
      </c>
      <c r="Y517" s="256" t="str">
        <f t="shared" si="153"/>
        <v/>
      </c>
      <c r="Z517" s="741">
        <f t="shared" si="137"/>
        <v>0</v>
      </c>
      <c r="AA517" s="741">
        <f t="shared" si="138"/>
        <v>0</v>
      </c>
      <c r="AB517" s="741">
        <f t="shared" si="139"/>
        <v>0</v>
      </c>
      <c r="AC517" s="987">
        <f t="shared" si="149"/>
        <v>0</v>
      </c>
      <c r="AD517" s="987">
        <f t="shared" si="150"/>
        <v>0</v>
      </c>
      <c r="AE517" s="368" t="str">
        <f>IFERROR(VLOOKUP(B517,'[1]סיכום בקרת רשויות'!$A:$D,4,0),"")</f>
        <v/>
      </c>
      <c r="AF517" s="57" t="str">
        <f t="shared" si="151"/>
        <v/>
      </c>
      <c r="AG517" s="180">
        <f>IF(AF517="כן",M517*'גנים ובתי ספר- מבנה תקציב'!$H$59,0)</f>
        <v>0</v>
      </c>
      <c r="AH517" s="180">
        <f>IF(AF517="כן",M517*'גנים ובתי ספר- מבנה תקציב'!$I$59,0)</f>
        <v>0</v>
      </c>
      <c r="AI517" s="180">
        <f t="shared" si="152"/>
        <v>0</v>
      </c>
      <c r="AJ517" s="368" t="str">
        <f t="shared" si="140"/>
        <v/>
      </c>
    </row>
    <row r="518" spans="1:36" x14ac:dyDescent="0.25">
      <c r="A518" s="57">
        <v>498</v>
      </c>
      <c r="B518" s="690"/>
      <c r="C518" s="690"/>
      <c r="D518" s="252">
        <f>(IFERROR(SUMIF('מצבת והרשמה (2)'!$F$21:$F$501,'דוח ביצוע (3)'!$B518,'מצבת והרשמה (2)'!$J$21:$J$501),0))</f>
        <v>0</v>
      </c>
      <c r="E518" s="252">
        <f>IFERROR(SUMIF('מצבת והרשמה (2)'!$F$21:$F$501,'דוח ביצוע (3)'!$B518,'מצבת והרשמה (2)'!$K$21:$K$501),0)</f>
        <v>0</v>
      </c>
      <c r="F518" s="253">
        <f t="shared" si="141"/>
        <v>0</v>
      </c>
      <c r="G518" s="680"/>
      <c r="H518" s="680"/>
      <c r="I518" s="253">
        <f t="shared" si="135"/>
        <v>0</v>
      </c>
      <c r="J518" s="453">
        <f t="shared" si="142"/>
        <v>0</v>
      </c>
      <c r="K518" s="689"/>
      <c r="L518" s="689"/>
      <c r="M518" s="969">
        <f t="shared" si="143"/>
        <v>0</v>
      </c>
      <c r="N518" s="1029" t="str">
        <f t="shared" si="144"/>
        <v/>
      </c>
      <c r="O518" s="969" t="str">
        <f>IFERROR(VLOOKUP(B518,'נתוני רישום ומצבת'!B:Q,16,0),"")</f>
        <v/>
      </c>
      <c r="P518" s="969" t="str">
        <f>IFERROR(VLOOKUP(B518,'נתוני רישום ומצבת'!B:R,17,0),"")</f>
        <v/>
      </c>
      <c r="Q518" s="690"/>
      <c r="R518" s="1009"/>
      <c r="S518" s="376">
        <f t="shared" si="145"/>
        <v>0</v>
      </c>
      <c r="T518" s="376">
        <f t="shared" si="146"/>
        <v>0</v>
      </c>
      <c r="U518" s="386">
        <f t="shared" si="147"/>
        <v>0</v>
      </c>
      <c r="V518" s="513" t="str">
        <f t="shared" si="148"/>
        <v/>
      </c>
      <c r="W518" s="254" t="str">
        <f>IF(ISBLANK(B518)," ",IF(B518=IFERROR(VLOOKUP(B518,'מצבת והרשמה (2)'!F:F,1,0),0),"תקין","לא קיים במצבת כבית ספר בו מתקיימת פעילות"))</f>
        <v xml:space="preserve"> </v>
      </c>
      <c r="X518" s="256" t="str">
        <f t="shared" si="136"/>
        <v/>
      </c>
      <c r="Y518" s="256" t="str">
        <f t="shared" si="153"/>
        <v/>
      </c>
      <c r="Z518" s="741">
        <f t="shared" si="137"/>
        <v>0</v>
      </c>
      <c r="AA518" s="741">
        <f t="shared" si="138"/>
        <v>0</v>
      </c>
      <c r="AB518" s="741">
        <f t="shared" si="139"/>
        <v>0</v>
      </c>
      <c r="AC518" s="987">
        <f t="shared" si="149"/>
        <v>0</v>
      </c>
      <c r="AD518" s="987">
        <f t="shared" si="150"/>
        <v>0</v>
      </c>
      <c r="AE518" s="368" t="str">
        <f>IFERROR(VLOOKUP(B518,'[1]סיכום בקרת רשויות'!$A:$D,4,0),"")</f>
        <v/>
      </c>
      <c r="AF518" s="57" t="str">
        <f t="shared" si="151"/>
        <v/>
      </c>
      <c r="AG518" s="180">
        <f>IF(AF518="כן",M518*'גנים ובתי ספר- מבנה תקציב'!$H$59,0)</f>
        <v>0</v>
      </c>
      <c r="AH518" s="180">
        <f>IF(AF518="כן",M518*'גנים ובתי ספר- מבנה תקציב'!$I$59,0)</f>
        <v>0</v>
      </c>
      <c r="AI518" s="180">
        <f t="shared" si="152"/>
        <v>0</v>
      </c>
      <c r="AJ518" s="368" t="str">
        <f t="shared" si="140"/>
        <v/>
      </c>
    </row>
    <row r="519" spans="1:36" x14ac:dyDescent="0.25">
      <c r="A519" s="57">
        <v>499</v>
      </c>
      <c r="B519" s="690"/>
      <c r="C519" s="690"/>
      <c r="D519" s="252">
        <f>(IFERROR(SUMIF('מצבת והרשמה (2)'!$F$21:$F$501,'דוח ביצוע (3)'!$B519,'מצבת והרשמה (2)'!$J$21:$J$501),0))</f>
        <v>0</v>
      </c>
      <c r="E519" s="252">
        <f>IFERROR(SUMIF('מצבת והרשמה (2)'!$F$21:$F$501,'דוח ביצוע (3)'!$B519,'מצבת והרשמה (2)'!$K$21:$K$501),0)</f>
        <v>0</v>
      </c>
      <c r="F519" s="253">
        <f t="shared" si="141"/>
        <v>0</v>
      </c>
      <c r="G519" s="680"/>
      <c r="H519" s="680"/>
      <c r="I519" s="253">
        <f>H519+G519</f>
        <v>0</v>
      </c>
      <c r="J519" s="453">
        <f t="shared" si="142"/>
        <v>0</v>
      </c>
      <c r="K519" s="689"/>
      <c r="L519" s="689"/>
      <c r="M519" s="969">
        <f t="shared" si="143"/>
        <v>0</v>
      </c>
      <c r="N519" s="1029" t="str">
        <f t="shared" si="144"/>
        <v/>
      </c>
      <c r="O519" s="969" t="str">
        <f>IFERROR(VLOOKUP(B519,'נתוני רישום ומצבת'!B:Q,16,0),"")</f>
        <v/>
      </c>
      <c r="P519" s="969" t="str">
        <f>IFERROR(VLOOKUP(B519,'נתוני רישום ומצבת'!B:R,17,0),"")</f>
        <v/>
      </c>
      <c r="Q519" s="690"/>
      <c r="R519" s="1009"/>
      <c r="S519" s="376">
        <f t="shared" si="145"/>
        <v>0</v>
      </c>
      <c r="T519" s="376">
        <f t="shared" si="146"/>
        <v>0</v>
      </c>
      <c r="U519" s="386">
        <f t="shared" si="147"/>
        <v>0</v>
      </c>
      <c r="V519" s="513" t="str">
        <f t="shared" si="148"/>
        <v/>
      </c>
      <c r="W519" s="254" t="str">
        <f>IF(ISBLANK(B519)," ",IF(B519=IFERROR(VLOOKUP(B519,'מצבת והרשמה (2)'!F:F,1,0),0),"תקין","לא קיים במצבת כבית ספר בו מתקיימת פעילות"))</f>
        <v xml:space="preserve"> </v>
      </c>
      <c r="X519" s="256" t="str">
        <f t="shared" si="136"/>
        <v/>
      </c>
      <c r="Y519" s="256" t="str">
        <f t="shared" si="153"/>
        <v/>
      </c>
      <c r="Z519" s="741">
        <f t="shared" si="137"/>
        <v>0</v>
      </c>
      <c r="AA519" s="741">
        <f t="shared" si="138"/>
        <v>0</v>
      </c>
      <c r="AB519" s="741">
        <f t="shared" si="139"/>
        <v>0</v>
      </c>
      <c r="AC519" s="987">
        <f t="shared" si="149"/>
        <v>0</v>
      </c>
      <c r="AD519" s="987">
        <f t="shared" si="150"/>
        <v>0</v>
      </c>
      <c r="AE519" s="368" t="str">
        <f>IFERROR(VLOOKUP(B519,'[1]סיכום בקרת רשויות'!$A:$D,4,0),"")</f>
        <v/>
      </c>
      <c r="AF519" s="57" t="str">
        <f t="shared" si="151"/>
        <v/>
      </c>
      <c r="AG519" s="180">
        <f>IF(AF519="כן",M519*'גנים ובתי ספר- מבנה תקציב'!$H$59,0)</f>
        <v>0</v>
      </c>
      <c r="AH519" s="180">
        <f>IF(AF519="כן",M519*'גנים ובתי ספר- מבנה תקציב'!$I$59,0)</f>
        <v>0</v>
      </c>
      <c r="AI519" s="180">
        <f t="shared" si="152"/>
        <v>0</v>
      </c>
      <c r="AJ519" s="368" t="str">
        <f t="shared" si="140"/>
        <v/>
      </c>
    </row>
    <row r="520" spans="1:36" x14ac:dyDescent="0.25">
      <c r="A520" s="57">
        <v>500</v>
      </c>
      <c r="B520" s="690"/>
      <c r="C520" s="690"/>
      <c r="D520" s="252">
        <f>(IFERROR(SUMIF('מצבת והרשמה (2)'!$F$21:$F$501,'דוח ביצוע (3)'!$B520,'מצבת והרשמה (2)'!$J$21:$J$501),0))</f>
        <v>0</v>
      </c>
      <c r="E520" s="252">
        <f>IFERROR(SUMIF('מצבת והרשמה (2)'!$F$21:$F$501,'דוח ביצוע (3)'!$B520,'מצבת והרשמה (2)'!$K$21:$K$501),0)</f>
        <v>0</v>
      </c>
      <c r="F520" s="253">
        <f t="shared" si="141"/>
        <v>0</v>
      </c>
      <c r="G520" s="680"/>
      <c r="H520" s="680"/>
      <c r="I520" s="253">
        <f>H520+G520</f>
        <v>0</v>
      </c>
      <c r="J520" s="453">
        <f t="shared" si="142"/>
        <v>0</v>
      </c>
      <c r="K520" s="689"/>
      <c r="L520" s="689"/>
      <c r="M520" s="969">
        <f t="shared" si="143"/>
        <v>0</v>
      </c>
      <c r="N520" s="1029" t="str">
        <f t="shared" si="144"/>
        <v/>
      </c>
      <c r="O520" s="969" t="str">
        <f>IFERROR(VLOOKUP(B520,'נתוני רישום ומצבת'!B:Q,16,0),"")</f>
        <v/>
      </c>
      <c r="P520" s="969" t="str">
        <f>IFERROR(VLOOKUP(B520,'נתוני רישום ומצבת'!B:R,17,0),"")</f>
        <v/>
      </c>
      <c r="Q520" s="690"/>
      <c r="R520" s="1009"/>
      <c r="S520" s="376">
        <f t="shared" si="145"/>
        <v>0</v>
      </c>
      <c r="T520" s="376">
        <f t="shared" si="146"/>
        <v>0</v>
      </c>
      <c r="U520" s="386">
        <f t="shared" si="147"/>
        <v>0</v>
      </c>
      <c r="V520" s="513" t="str">
        <f t="shared" si="148"/>
        <v/>
      </c>
      <c r="W520" s="254" t="str">
        <f>IF(ISBLANK(B520)," ",IF(B520=IFERROR(VLOOKUP(B520,'מצבת והרשמה (2)'!F:F,1,0),0),"תקין","לא קיים במצבת כבית ספר בו מתקיימת פעילות"))</f>
        <v xml:space="preserve"> </v>
      </c>
      <c r="X520" s="256" t="str">
        <f t="shared" si="136"/>
        <v/>
      </c>
      <c r="Y520" s="256" t="str">
        <f t="shared" si="153"/>
        <v/>
      </c>
      <c r="Z520" s="741">
        <f t="shared" si="137"/>
        <v>0</v>
      </c>
      <c r="AA520" s="741">
        <f t="shared" si="138"/>
        <v>0</v>
      </c>
      <c r="AB520" s="741">
        <f t="shared" si="139"/>
        <v>0</v>
      </c>
      <c r="AC520" s="987">
        <f t="shared" si="149"/>
        <v>0</v>
      </c>
      <c r="AD520" s="987">
        <f t="shared" si="150"/>
        <v>0</v>
      </c>
      <c r="AE520" s="368" t="str">
        <f>IFERROR(VLOOKUP(B520,'[1]סיכום בקרת רשויות'!$A:$D,4,0),"")</f>
        <v/>
      </c>
      <c r="AF520" s="57" t="str">
        <f t="shared" si="151"/>
        <v/>
      </c>
      <c r="AG520" s="180">
        <f>IF(AF520="כן",M520*'גנים ובתי ספר- מבנה תקציב'!$H$59,0)</f>
        <v>0</v>
      </c>
      <c r="AH520" s="180">
        <f>IF(AF520="כן",M520*'גנים ובתי ספר- מבנה תקציב'!$I$59,0)</f>
        <v>0</v>
      </c>
      <c r="AI520" s="180">
        <f t="shared" si="152"/>
        <v>0</v>
      </c>
      <c r="AJ520" s="368" t="str">
        <f t="shared" si="140"/>
        <v/>
      </c>
    </row>
  </sheetData>
  <sheetProtection algorithmName="SHA-512" hashValue="ssN6z6sVgCiJrobIUDICP7qgSE/pZACBmFEp3mCoqChe5Sl+OI8LI+gx08odj/pwNckM3Ju1S3U0YH2xien7nQ==" saltValue="mA4oGTDwsmQIGNmA3HcTBw==" spinCount="100000" sheet="1" objects="1" scenarios="1"/>
  <customSheetViews>
    <customSheetView guid="{BA0A6883-E808-4711-BE2E-E9E96FA9E885}" showPageBreaks="1" fitToPage="1" printArea="1" showAutoFilter="1" topLeftCell="A13">
      <selection activeCell="G7" sqref="G7"/>
      <pageMargins left="0.31496062992125984" right="0.31496062992125984" top="0.31496062992125984" bottom="0.35433070866141736" header="7.874015748031496E-2" footer="0.19685039370078741"/>
      <pageSetup paperSize="9" scale="95" fitToHeight="0" orientation="portrait" horizontalDpi="4294967293" verticalDpi="4294967293" r:id="rId1"/>
      <headerFooter>
        <oddHeader>&amp;L&amp;12&amp;U&amp;A</oddHeader>
        <oddFooter>&amp;C&amp;14- 3 -</oddFooter>
      </headerFooter>
      <autoFilter ref="B23:R523" xr:uid="{4C671EC6-2362-42EC-9F4B-1336BF9988AB}"/>
    </customSheetView>
    <customSheetView guid="{ACD441E8-3AD2-4F62-A341-3CB1D0C27992}" fitToPage="1" showAutoFilter="1">
      <selection activeCell="G3" sqref="G3"/>
      <pageMargins left="0.31496062992125984" right="0.31496062992125984" top="0.31496062992125984" bottom="0.35433070866141736" header="7.874015748031496E-2" footer="0.19685039370078741"/>
      <pageSetup paperSize="9" scale="95" fitToHeight="0" orientation="portrait" horizontalDpi="4294967293" verticalDpi="4294967293" r:id="rId2"/>
      <headerFooter>
        <oddHeader>&amp;L&amp;12&amp;U&amp;A</oddHeader>
        <oddFooter>&amp;C&amp;14- 3 -</oddFooter>
      </headerFooter>
      <autoFilter ref="B23:R73" xr:uid="{CA322960-5875-45D9-9996-533A44AABF86}"/>
    </customSheetView>
    <customSheetView guid="{4C449889-8AC9-4BD3-9CEA-74B4C2A98249}" showPageBreaks="1" fitToPage="1" printArea="1" showAutoFilter="1" topLeftCell="A23">
      <selection activeCell="M23" sqref="M23"/>
      <pageMargins left="0.31496062992125984" right="0.31496062992125984" top="0.31496062992125984" bottom="0.35433070866141736" header="7.874015748031496E-2" footer="0.19685039370078741"/>
      <pageSetup paperSize="9" scale="95" fitToHeight="0" orientation="portrait" horizontalDpi="4294967293" verticalDpi="4294967293" r:id="rId3"/>
      <headerFooter>
        <oddHeader>&amp;L&amp;12&amp;U&amp;A</oddHeader>
        <oddFooter>&amp;C&amp;14- 3 -</oddFooter>
      </headerFooter>
      <autoFilter ref="B23:R73" xr:uid="{0D6050D7-56AD-4FDB-B929-BDDCC0CCC8EE}"/>
    </customSheetView>
  </customSheetViews>
  <mergeCells count="8">
    <mergeCell ref="AA2:AA5"/>
    <mergeCell ref="K19:L19"/>
    <mergeCell ref="G19:H19"/>
    <mergeCell ref="K11:M11"/>
    <mergeCell ref="G11:J11"/>
    <mergeCell ref="O19:Q19"/>
    <mergeCell ref="S19:U19"/>
    <mergeCell ref="B15:I15"/>
  </mergeCells>
  <conditionalFormatting sqref="W12">
    <cfRule type="containsText" dxfId="172" priority="13" operator="containsText" text="שימו לב">
      <formula>NOT(ISERROR(SEARCH("שימו לב",W12)))</formula>
    </cfRule>
  </conditionalFormatting>
  <conditionalFormatting sqref="X21:X520">
    <cfRule type="containsText" dxfId="171" priority="17" operator="containsText" text="יותר מפעם אחת">
      <formula>NOT(ISERROR(SEARCH("יותר מפעם אחת",X21)))</formula>
    </cfRule>
  </conditionalFormatting>
  <conditionalFormatting sqref="Z1:AA2 Z3:Z5 Z6:AA6 Z521:AA1048576 Y20:AB520 Z7:Z18">
    <cfRule type="containsText" dxfId="170" priority="16" operator="containsText" text="יש למלא">
      <formula>NOT(ISERROR(SEARCH("יש למלא",Y1)))</formula>
    </cfRule>
  </conditionalFormatting>
  <conditionalFormatting sqref="C1:C14 C521:C1048576 B19:B20 C16:C18">
    <cfRule type="duplicateValues" dxfId="169" priority="12"/>
  </conditionalFormatting>
  <conditionalFormatting sqref="L6">
    <cfRule type="containsText" dxfId="168" priority="8" operator="containsText" text="שימו לב">
      <formula>NOT(ISERROR(SEARCH("שימו לב",L6)))</formula>
    </cfRule>
  </conditionalFormatting>
  <conditionalFormatting sqref="L4">
    <cfRule type="containsText" dxfId="167" priority="7" operator="containsText" text="שימו לב">
      <formula>NOT(ISERROR(SEARCH("שימו לב",L4)))</formula>
    </cfRule>
  </conditionalFormatting>
  <conditionalFormatting sqref="L5">
    <cfRule type="containsText" dxfId="166" priority="6" operator="containsText" text="שימו לב">
      <formula>NOT(ISERROR(SEARCH("שימו לב",L5)))</formula>
    </cfRule>
  </conditionalFormatting>
  <conditionalFormatting sqref="A19">
    <cfRule type="duplicateValues" dxfId="165" priority="5"/>
  </conditionalFormatting>
  <conditionalFormatting sqref="AB7:AB18 AD7:AD18 AF7:AF18">
    <cfRule type="containsText" dxfId="164" priority="4" operator="containsText" text="יש למלא">
      <formula>NOT(ISERROR(SEARCH("יש למלא",AB7)))</formula>
    </cfRule>
  </conditionalFormatting>
  <conditionalFormatting sqref="T2">
    <cfRule type="containsText" dxfId="163" priority="1" operator="containsText" text="יש למלא">
      <formula>NOT(ISERROR(SEARCH("יש למלא",T2)))</formula>
    </cfRule>
  </conditionalFormatting>
  <dataValidations count="8">
    <dataValidation type="whole" allowBlank="1" showInputMessage="1" showErrorMessage="1" error="מספר ימי הפעילות המקסימלי הוא 15!" sqref="M21:M520" xr:uid="{00000000-0002-0000-0600-000001000000}">
      <formula1>0</formula1>
      <formula2>15</formula2>
    </dataValidation>
    <dataValidation type="date" allowBlank="1" showInputMessage="1" showErrorMessage="1" error="אנא הקלד/י את התאריך בפורמט dd/mm/yyyy (לדוג' - 01/07/2025) בתקופת הפעילות._x000a_" sqref="L521:M1048576" xr:uid="{5E4F6E92-60C4-4370-8C96-CBAA257341FA}">
      <formula1>46204</formula1>
      <formula2>46224</formula2>
    </dataValidation>
    <dataValidation type="list" allowBlank="1" showInputMessage="1" showErrorMessage="1" sqref="R21:R1048576" xr:uid="{4A95ED61-0009-406C-A6EE-D2CD797F9474}">
      <formula1>"כן, לא, ל""ר"</formula1>
    </dataValidation>
    <dataValidation type="list" allowBlank="1" showDropDown="1" showInputMessage="1" showErrorMessage="1" error="יש להקליד כן / לא בלבד!" sqref="R1:R10 R12:R20 K11 L12" xr:uid="{88C9FCC8-72DF-4896-AE4C-850625E04DFA}">
      <formula1>"כן, לא"</formula1>
    </dataValidation>
    <dataValidation type="custom" allowBlank="1" showInputMessage="1" showErrorMessage="1" sqref="B1:B20 B521:B1048576" xr:uid="{B0E34378-FA17-4AFC-94C7-5368BA9E7FD9}">
      <formula1>COUNTIF($B$21:$B$520,B7)=1</formula1>
    </dataValidation>
    <dataValidation type="date" allowBlank="1" showInputMessage="1" showErrorMessage="1" error="אנא הקלד/י את התאריך בפורמט dd/mm/yyyy (לדוג' - 01/07/2026) בתקופת הפעילות._x000a_" sqref="K21:L520" xr:uid="{99D94A78-F0C9-4B6B-8242-4AE8A93BB56A}">
      <formula1>46204</formula1>
      <formula2>46224</formula2>
    </dataValidation>
    <dataValidation type="list" allowBlank="1" showInputMessage="1" showErrorMessage="1" sqref="B21:B520" xr:uid="{B947A918-7594-4D2E-89F5-FFD199E972C7}">
      <formula1>פעילות</formula1>
    </dataValidation>
    <dataValidation type="list" allowBlank="1" showInputMessage="1" showErrorMessage="1" sqref="T2" xr:uid="{EA8F4E2F-ED15-415F-901C-E61D4235EC95}">
      <formula1>"0,1"</formula1>
    </dataValidation>
  </dataValidations>
  <hyperlinks>
    <hyperlink ref="A1" location="'תוכן העניינים'!A1" tooltip="הנחיות למילוי גיליון" display="תוכן העניינים" xr:uid="{51B5BEC4-DE8D-40AB-9438-FB46BDD90392}"/>
  </hyperlinks>
  <pageMargins left="0.31496062992125984" right="0.31496062992125984" top="0.31496062992125984" bottom="0.35433070866141736" header="7.874015748031496E-2" footer="0.19685039370078741"/>
  <pageSetup paperSize="9" scale="85" fitToHeight="0" orientation="portrait" horizontalDpi="4294967293" verticalDpi="4294967293" r:id="rId4"/>
  <headerFooter>
    <oddHeader>&amp;L&amp;12&amp;U&amp;A</oddHeader>
    <oddFooter>&amp;C&amp;14- 3 -</oddFooter>
  </headerFooter>
  <extLst>
    <ext xmlns:x14="http://schemas.microsoft.com/office/spreadsheetml/2009/9/main" uri="{78C0D931-6437-407d-A8EE-F0AAD7539E65}">
      <x14:conditionalFormattings>
        <x14:conditionalFormatting xmlns:xm="http://schemas.microsoft.com/office/excel/2006/main">
          <x14:cfRule type="containsText" priority="15" operator="containsText" id="{1F1C060B-E45A-486F-B3E5-4CDBAB50B0E3}">
            <xm:f>NOT(ISERROR(SEARCH("לא",V21)))</xm:f>
            <xm:f>"לא"</xm:f>
            <x14:dxf>
              <font>
                <b/>
                <i val="0"/>
                <color rgb="FF9C0006"/>
              </font>
              <fill>
                <patternFill>
                  <bgColor rgb="FFFFC7CE"/>
                </patternFill>
              </fill>
            </x14:dxf>
          </x14:cfRule>
          <xm:sqref>V21:X520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3">
    <tabColor rgb="FF00FFFF"/>
  </sheetPr>
  <dimension ref="A1:P3018"/>
  <sheetViews>
    <sheetView showGridLines="0" rightToLeft="1" workbookViewId="0">
      <selection activeCell="H9" sqref="H9"/>
    </sheetView>
  </sheetViews>
  <sheetFormatPr defaultColWidth="9" defaultRowHeight="15" x14ac:dyDescent="0.25"/>
  <cols>
    <col min="1" max="1" width="11" style="22" customWidth="1"/>
    <col min="2" max="2" width="23" style="228" customWidth="1"/>
    <col min="3" max="3" width="27.375" style="22" customWidth="1"/>
    <col min="4" max="4" width="18" style="22" customWidth="1"/>
    <col min="5" max="5" width="13.375" style="22" customWidth="1"/>
    <col min="6" max="6" width="13.5" style="22" customWidth="1"/>
    <col min="7" max="7" width="13" style="22" customWidth="1"/>
    <col min="8" max="12" width="9" style="22"/>
    <col min="13" max="13" width="8.75" style="534" hidden="1" customWidth="1"/>
    <col min="14" max="16384" width="9" style="22"/>
  </cols>
  <sheetData>
    <row r="1" spans="1:16" ht="21" thickBot="1" x14ac:dyDescent="0.35">
      <c r="A1" s="802" t="s">
        <v>2851</v>
      </c>
      <c r="B1" s="224"/>
      <c r="C1" s="21"/>
      <c r="D1" s="512" t="str">
        <f>'גנים ובתי ספר- מבנה תקציב'!$E$1</f>
        <v>תכנית בתי הספר והגנים של החופש הגדול, קיץ תשפ"ו</v>
      </c>
      <c r="E1" s="32"/>
      <c r="M1" s="534" t="s">
        <v>2525</v>
      </c>
    </row>
    <row r="2" spans="1:16" ht="15.75" thickBot="1" x14ac:dyDescent="0.3">
      <c r="B2" s="224"/>
      <c r="C2" s="21"/>
      <c r="D2" s="21"/>
      <c r="E2" s="31"/>
    </row>
    <row r="3" spans="1:16" ht="19.5" thickBot="1" x14ac:dyDescent="0.35">
      <c r="B3" s="204" t="s">
        <v>16</v>
      </c>
      <c r="C3" s="509">
        <f>'נתונים כלליים (1)'!$C$5</f>
        <v>0</v>
      </c>
      <c r="D3" s="17"/>
      <c r="E3" s="225"/>
      <c r="I3" s="743" t="str">
        <f>IF(AND(I4="",I5="")," ","שגיאות בגיליון:")</f>
        <v xml:space="preserve"> </v>
      </c>
    </row>
    <row r="4" spans="1:16" ht="19.5" customHeight="1" thickBot="1" x14ac:dyDescent="0.35">
      <c r="B4" s="204" t="s">
        <v>7</v>
      </c>
      <c r="C4" s="510" t="str">
        <f>'נתונים כלליים (1)'!$C$6</f>
        <v/>
      </c>
      <c r="D4" s="21"/>
      <c r="E4" s="205" t="s">
        <v>2801</v>
      </c>
      <c r="F4" s="226"/>
      <c r="G4" s="206"/>
      <c r="I4" s="743" t="str">
        <f>IF(C9&lt;B9,CONCATENATE("שימו לב, ישנם ",B9-C9," מוסדות אשר דווחו בדוח ביצוע ולא דווח עליהם הוצאות"),IF(B9&lt;C9,CONCATENATE("שימו לב, ישנם ",C9-B9," מוסדות אשר דווח עליהם הוצאות אולם לא דווחו בדוח ביצוע"),""))</f>
        <v/>
      </c>
      <c r="M4" s="535"/>
    </row>
    <row r="5" spans="1:16" ht="19.5" thickBot="1" x14ac:dyDescent="0.35">
      <c r="B5" s="204" t="s">
        <v>2340</v>
      </c>
      <c r="C5" s="511">
        <f>'נתונים כלליים (1)'!$C$7</f>
        <v>0</v>
      </c>
      <c r="D5" s="21"/>
      <c r="E5" s="207" t="s">
        <v>2802</v>
      </c>
      <c r="F5" s="227"/>
      <c r="G5" s="208"/>
      <c r="I5" s="743"/>
      <c r="M5" s="535"/>
    </row>
    <row r="6" spans="1:16" ht="18.75" x14ac:dyDescent="0.3">
      <c r="D6" s="166"/>
      <c r="E6" s="31"/>
      <c r="M6" s="535"/>
    </row>
    <row r="7" spans="1:16" ht="18.75" x14ac:dyDescent="0.3">
      <c r="B7" s="229" t="s">
        <v>8</v>
      </c>
      <c r="D7" s="166"/>
      <c r="E7" s="31"/>
      <c r="G7" s="39"/>
      <c r="M7" s="535"/>
    </row>
    <row r="8" spans="1:16" s="40" customFormat="1" ht="45" x14ac:dyDescent="0.25">
      <c r="B8" s="174" t="s">
        <v>2339</v>
      </c>
      <c r="C8" s="174" t="s">
        <v>2333</v>
      </c>
      <c r="D8" s="174" t="s">
        <v>0</v>
      </c>
      <c r="E8" s="174" t="s">
        <v>93</v>
      </c>
      <c r="F8" s="536" t="s">
        <v>46</v>
      </c>
      <c r="G8" s="174" t="s">
        <v>3</v>
      </c>
      <c r="H8" s="174" t="s">
        <v>2334</v>
      </c>
      <c r="J8" s="709"/>
      <c r="K8" s="709"/>
      <c r="L8" s="709"/>
      <c r="M8" s="535"/>
    </row>
    <row r="9" spans="1:16" s="313" customFormat="1" ht="17.25" x14ac:dyDescent="0.2">
      <c r="B9" s="552">
        <f>'דוח ביצוע (3)'!C13</f>
        <v>0</v>
      </c>
      <c r="C9" s="552">
        <f>SUM(IF(FREQUENCY(B17:$B$3016,B17:$B$3016)&gt;0,1))</f>
        <v>0</v>
      </c>
      <c r="D9" s="552">
        <f>SUMIF($D$16:$D$3016,D$8,$E$16:$E$3016)</f>
        <v>0</v>
      </c>
      <c r="E9" s="552">
        <f>SUMIF($D$16:$D$3016,E$8,$E$16:$E$3016)</f>
        <v>0</v>
      </c>
      <c r="F9" s="550">
        <f>SUMIF($D$16:$D$3016,F$8,$E$16:$E$3016)</f>
        <v>0</v>
      </c>
      <c r="G9" s="552">
        <f>SUMIF($D$16:$D$3016,G$8,$E$16:$E$3016)</f>
        <v>0</v>
      </c>
      <c r="H9" s="553">
        <f>SUM(D9:G9)</f>
        <v>0</v>
      </c>
      <c r="J9" s="742"/>
      <c r="K9" s="742"/>
      <c r="L9" s="742"/>
      <c r="M9" s="551"/>
    </row>
    <row r="10" spans="1:16" x14ac:dyDescent="0.25">
      <c r="C10" s="232"/>
    </row>
    <row r="11" spans="1:16" x14ac:dyDescent="0.25">
      <c r="B11" s="231"/>
      <c r="C11" s="232"/>
    </row>
    <row r="12" spans="1:16" ht="18.75" x14ac:dyDescent="0.3">
      <c r="C12" s="33"/>
      <c r="D12" s="42" t="s">
        <v>5</v>
      </c>
      <c r="E12" s="33"/>
      <c r="F12" s="33"/>
      <c r="G12" s="33"/>
    </row>
    <row r="13" spans="1:16" ht="18.75" customHeight="1" x14ac:dyDescent="0.25">
      <c r="D13" s="233" t="s">
        <v>2834</v>
      </c>
    </row>
    <row r="14" spans="1:16" ht="12.75" customHeight="1" thickBot="1" x14ac:dyDescent="0.3">
      <c r="B14" s="22"/>
    </row>
    <row r="15" spans="1:16" ht="35.25" customHeight="1" x14ac:dyDescent="0.25">
      <c r="D15" s="388" t="s">
        <v>156</v>
      </c>
    </row>
    <row r="16" spans="1:16" ht="48" customHeight="1" x14ac:dyDescent="0.25">
      <c r="B16" s="194" t="s">
        <v>2537</v>
      </c>
      <c r="C16" s="389" t="s">
        <v>98</v>
      </c>
      <c r="D16" s="389" t="s">
        <v>113</v>
      </c>
      <c r="E16" s="390" t="s">
        <v>114</v>
      </c>
      <c r="F16" s="389" t="s">
        <v>115</v>
      </c>
      <c r="G16" s="389" t="s">
        <v>116</v>
      </c>
      <c r="H16" s="17"/>
      <c r="I16" s="17"/>
      <c r="J16" s="17"/>
      <c r="K16" s="17"/>
      <c r="L16" s="17"/>
      <c r="N16" s="17"/>
      <c r="O16" s="17"/>
      <c r="P16" s="17"/>
    </row>
    <row r="17" spans="2:13" ht="15.75" x14ac:dyDescent="0.25">
      <c r="B17" s="691"/>
      <c r="C17" s="117" t="str">
        <f>IF(ISNUMBER(B17),IFERROR(VLOOKUP(B17,'נתוני רישום ומצבת'!B:J,3,0),""),"")</f>
        <v/>
      </c>
      <c r="D17" s="693"/>
      <c r="E17" s="694"/>
      <c r="F17" s="695"/>
      <c r="G17" s="696"/>
      <c r="M17" s="534" t="str">
        <f t="shared" ref="M17:M80" si="0">TEXT(LEFT(D17,2),0)</f>
        <v/>
      </c>
    </row>
    <row r="18" spans="2:13" ht="15.75" x14ac:dyDescent="0.25">
      <c r="B18" s="691"/>
      <c r="C18" s="117" t="str">
        <f>IF(ISNUMBER(B18),IFERROR(VLOOKUP(B18,'נתוני רישום ומצבת'!B:J,3,0),""),"")</f>
        <v/>
      </c>
      <c r="D18" s="693"/>
      <c r="E18" s="694"/>
      <c r="F18" s="695"/>
      <c r="G18" s="696"/>
      <c r="M18" s="534" t="str">
        <f t="shared" si="0"/>
        <v/>
      </c>
    </row>
    <row r="19" spans="2:13" ht="15.75" x14ac:dyDescent="0.25">
      <c r="B19" s="691"/>
      <c r="C19" s="117" t="str">
        <f>IF(ISNUMBER(B19),IFERROR(VLOOKUP(B19,'נתוני רישום ומצבת'!B:J,3,0),""),"")</f>
        <v/>
      </c>
      <c r="D19" s="693"/>
      <c r="E19" s="694"/>
      <c r="F19" s="695"/>
      <c r="G19" s="696"/>
      <c r="M19" s="534" t="str">
        <f t="shared" si="0"/>
        <v/>
      </c>
    </row>
    <row r="20" spans="2:13" ht="15.75" x14ac:dyDescent="0.25">
      <c r="B20" s="691"/>
      <c r="C20" s="117" t="str">
        <f>IF(ISNUMBER(B20),IFERROR(VLOOKUP(B20,'נתוני רישום ומצבת'!B:J,3,0),""),"")</f>
        <v/>
      </c>
      <c r="D20" s="693"/>
      <c r="E20" s="694"/>
      <c r="F20" s="695"/>
      <c r="G20" s="696"/>
      <c r="M20" s="534" t="str">
        <f t="shared" si="0"/>
        <v/>
      </c>
    </row>
    <row r="21" spans="2:13" ht="15.75" x14ac:dyDescent="0.25">
      <c r="B21" s="692"/>
      <c r="C21" s="117" t="str">
        <f>IF(ISNUMBER(B21),IFERROR(VLOOKUP(B21,'נתוני רישום ומצבת'!B:J,3,0),""),"")</f>
        <v/>
      </c>
      <c r="D21" s="693"/>
      <c r="E21" s="694"/>
      <c r="F21" s="695"/>
      <c r="G21" s="696"/>
      <c r="K21" s="22" t="str">
        <f t="shared" ref="K21:K84" si="1">IF(C8&lt;5,IF(D21=$F$8,-E21," "),"")</f>
        <v/>
      </c>
      <c r="M21" s="534" t="str">
        <f t="shared" si="0"/>
        <v/>
      </c>
    </row>
    <row r="22" spans="2:13" ht="15.75" x14ac:dyDescent="0.25">
      <c r="B22" s="692"/>
      <c r="C22" s="117" t="str">
        <f>IF(ISNUMBER(B22),IFERROR(VLOOKUP(B22,'נתוני רישום ומצבת'!B:J,3,0),""),"")</f>
        <v/>
      </c>
      <c r="D22" s="693"/>
      <c r="E22" s="694"/>
      <c r="F22" s="695"/>
      <c r="G22" s="696"/>
      <c r="K22" s="22" t="str">
        <f t="shared" si="1"/>
        <v xml:space="preserve"> </v>
      </c>
      <c r="M22" s="534" t="str">
        <f t="shared" si="0"/>
        <v/>
      </c>
    </row>
    <row r="23" spans="2:13" ht="15.75" x14ac:dyDescent="0.25">
      <c r="B23" s="692"/>
      <c r="C23" s="117" t="str">
        <f>IF(ISNUMBER(B23),IFERROR(VLOOKUP(B23,'נתוני רישום ומצבת'!B:J,3,0),""),"")</f>
        <v/>
      </c>
      <c r="D23" s="693"/>
      <c r="E23" s="694"/>
      <c r="F23" s="695"/>
      <c r="G23" s="696"/>
      <c r="K23" s="22" t="str">
        <f t="shared" si="1"/>
        <v xml:space="preserve"> </v>
      </c>
      <c r="M23" s="534" t="str">
        <f t="shared" si="0"/>
        <v/>
      </c>
    </row>
    <row r="24" spans="2:13" ht="15.75" x14ac:dyDescent="0.25">
      <c r="B24" s="692"/>
      <c r="C24" s="117" t="str">
        <f>IF(ISNUMBER(B24),IFERROR(VLOOKUP(B24,'נתוני רישום ומצבת'!B:J,3,0),""),"")</f>
        <v/>
      </c>
      <c r="D24" s="693"/>
      <c r="E24" s="694"/>
      <c r="F24" s="695"/>
      <c r="G24" s="696"/>
      <c r="K24" s="22" t="str">
        <f t="shared" si="1"/>
        <v xml:space="preserve"> </v>
      </c>
      <c r="M24" s="534" t="str">
        <f t="shared" si="0"/>
        <v/>
      </c>
    </row>
    <row r="25" spans="2:13" ht="15.75" x14ac:dyDescent="0.25">
      <c r="B25" s="692"/>
      <c r="C25" s="117" t="str">
        <f>IF(ISNUMBER(B25),IFERROR(VLOOKUP(B25,'נתוני רישום ומצבת'!B:J,3,0),""),"")</f>
        <v/>
      </c>
      <c r="D25" s="693"/>
      <c r="E25" s="694"/>
      <c r="F25" s="695"/>
      <c r="G25" s="696"/>
      <c r="K25" s="22" t="str">
        <f t="shared" si="1"/>
        <v xml:space="preserve"> </v>
      </c>
      <c r="M25" s="534" t="str">
        <f t="shared" si="0"/>
        <v/>
      </c>
    </row>
    <row r="26" spans="2:13" ht="15.75" x14ac:dyDescent="0.25">
      <c r="B26" s="692"/>
      <c r="C26" s="117" t="str">
        <f>IF(ISNUMBER(B26),IFERROR(VLOOKUP(B26,'נתוני רישום ומצבת'!B:J,3,0),""),"")</f>
        <v/>
      </c>
      <c r="D26" s="693"/>
      <c r="E26" s="694"/>
      <c r="F26" s="695"/>
      <c r="G26" s="696"/>
      <c r="K26" s="22" t="str">
        <f t="shared" si="1"/>
        <v xml:space="preserve"> </v>
      </c>
      <c r="M26" s="534" t="str">
        <f t="shared" si="0"/>
        <v/>
      </c>
    </row>
    <row r="27" spans="2:13" ht="15.75" x14ac:dyDescent="0.25">
      <c r="B27" s="692"/>
      <c r="C27" s="117" t="str">
        <f>IF(ISNUMBER(B27),IFERROR(VLOOKUP(B27,'נתוני רישום ומצבת'!B:J,3,0),""),"")</f>
        <v/>
      </c>
      <c r="D27" s="693"/>
      <c r="E27" s="694"/>
      <c r="F27" s="695"/>
      <c r="G27" s="696"/>
      <c r="K27" s="22" t="str">
        <f t="shared" si="1"/>
        <v xml:space="preserve"> </v>
      </c>
      <c r="M27" s="534" t="str">
        <f t="shared" si="0"/>
        <v/>
      </c>
    </row>
    <row r="28" spans="2:13" ht="15.75" x14ac:dyDescent="0.25">
      <c r="B28" s="692"/>
      <c r="C28" s="117" t="str">
        <f>IF(ISNUMBER(B28),IFERROR(VLOOKUP(B28,'נתוני רישום ומצבת'!B:J,3,0),""),"")</f>
        <v/>
      </c>
      <c r="D28" s="693"/>
      <c r="E28" s="694"/>
      <c r="F28" s="695"/>
      <c r="G28" s="696"/>
      <c r="K28" s="22" t="str">
        <f t="shared" si="1"/>
        <v xml:space="preserve"> </v>
      </c>
      <c r="M28" s="534" t="str">
        <f t="shared" si="0"/>
        <v/>
      </c>
    </row>
    <row r="29" spans="2:13" ht="15.75" x14ac:dyDescent="0.25">
      <c r="B29" s="692"/>
      <c r="C29" s="117" t="str">
        <f>IF(ISNUMBER(B29),IFERROR(VLOOKUP(B29,'נתוני רישום ומצבת'!B:J,3,0),""),"")</f>
        <v/>
      </c>
      <c r="D29" s="693"/>
      <c r="E29" s="694"/>
      <c r="F29" s="695"/>
      <c r="G29" s="696"/>
      <c r="K29" s="22" t="str">
        <f t="shared" si="1"/>
        <v/>
      </c>
      <c r="M29" s="534" t="str">
        <f t="shared" si="0"/>
        <v/>
      </c>
    </row>
    <row r="30" spans="2:13" ht="15.75" x14ac:dyDescent="0.25">
      <c r="B30" s="692"/>
      <c r="C30" s="117" t="str">
        <f>IF(ISNUMBER(B30),IFERROR(VLOOKUP(B30,'נתוני רישום ומצבת'!B:J,3,0),""),"")</f>
        <v/>
      </c>
      <c r="D30" s="693"/>
      <c r="E30" s="694"/>
      <c r="F30" s="695"/>
      <c r="G30" s="696"/>
      <c r="K30" s="22" t="str">
        <f t="shared" si="1"/>
        <v/>
      </c>
      <c r="M30" s="534" t="str">
        <f t="shared" si="0"/>
        <v/>
      </c>
    </row>
    <row r="31" spans="2:13" ht="15.75" x14ac:dyDescent="0.25">
      <c r="B31" s="692"/>
      <c r="C31" s="117" t="str">
        <f>IF(ISNUMBER(B31),IFERROR(VLOOKUP(B31,'נתוני רישום ומצבת'!B:J,3,0),""),"")</f>
        <v/>
      </c>
      <c r="D31" s="693"/>
      <c r="E31" s="694"/>
      <c r="F31" s="695"/>
      <c r="G31" s="696"/>
      <c r="K31" s="22" t="str">
        <f t="shared" si="1"/>
        <v/>
      </c>
      <c r="M31" s="534" t="str">
        <f t="shared" si="0"/>
        <v/>
      </c>
    </row>
    <row r="32" spans="2:13" ht="15.75" x14ac:dyDescent="0.25">
      <c r="B32" s="692"/>
      <c r="C32" s="117" t="str">
        <f>IF(ISNUMBER(B32),IFERROR(VLOOKUP(B32,'נתוני רישום ומצבת'!B:J,3,0),""),"")</f>
        <v/>
      </c>
      <c r="D32" s="693"/>
      <c r="E32" s="694"/>
      <c r="F32" s="695"/>
      <c r="G32" s="696"/>
      <c r="K32" s="22" t="str">
        <f t="shared" si="1"/>
        <v/>
      </c>
      <c r="M32" s="534" t="str">
        <f t="shared" si="0"/>
        <v/>
      </c>
    </row>
    <row r="33" spans="2:13" ht="15.75" x14ac:dyDescent="0.25">
      <c r="B33" s="692"/>
      <c r="C33" s="117" t="str">
        <f>IF(ISNUMBER(B33),IFERROR(VLOOKUP(B33,'נתוני רישום ומצבת'!B:J,3,0),""),"")</f>
        <v/>
      </c>
      <c r="D33" s="693"/>
      <c r="E33" s="694"/>
      <c r="F33" s="695"/>
      <c r="G33" s="696"/>
      <c r="K33" s="22" t="str">
        <f t="shared" si="1"/>
        <v/>
      </c>
      <c r="M33" s="534" t="str">
        <f t="shared" si="0"/>
        <v/>
      </c>
    </row>
    <row r="34" spans="2:13" ht="15.75" x14ac:dyDescent="0.25">
      <c r="B34" s="692"/>
      <c r="C34" s="117" t="str">
        <f>IF(ISNUMBER(B34),IFERROR(VLOOKUP(B34,'נתוני רישום ומצבת'!B:J,3,0),""),"")</f>
        <v/>
      </c>
      <c r="D34" s="693"/>
      <c r="E34" s="694"/>
      <c r="F34" s="695"/>
      <c r="G34" s="696"/>
      <c r="K34" s="22" t="str">
        <f t="shared" si="1"/>
        <v/>
      </c>
      <c r="M34" s="534" t="str">
        <f t="shared" si="0"/>
        <v/>
      </c>
    </row>
    <row r="35" spans="2:13" ht="15.75" x14ac:dyDescent="0.25">
      <c r="B35" s="692"/>
      <c r="C35" s="117" t="str">
        <f>IF(ISNUMBER(B35),IFERROR(VLOOKUP(B35,'נתוני רישום ומצבת'!B:J,3,0),""),"")</f>
        <v/>
      </c>
      <c r="D35" s="693"/>
      <c r="E35" s="694"/>
      <c r="F35" s="695"/>
      <c r="G35" s="696"/>
      <c r="K35" s="22" t="str">
        <f t="shared" si="1"/>
        <v/>
      </c>
      <c r="M35" s="534" t="str">
        <f t="shared" si="0"/>
        <v/>
      </c>
    </row>
    <row r="36" spans="2:13" ht="15.75" x14ac:dyDescent="0.25">
      <c r="B36" s="692"/>
      <c r="C36" s="117" t="str">
        <f>IF(ISNUMBER(B36),IFERROR(VLOOKUP(B36,'נתוני רישום ומצבת'!B:J,3,0),""),"")</f>
        <v/>
      </c>
      <c r="D36" s="693"/>
      <c r="E36" s="694"/>
      <c r="F36" s="695"/>
      <c r="G36" s="696"/>
      <c r="K36" s="22" t="str">
        <f t="shared" si="1"/>
        <v/>
      </c>
      <c r="M36" s="534" t="str">
        <f t="shared" si="0"/>
        <v/>
      </c>
    </row>
    <row r="37" spans="2:13" ht="15.75" x14ac:dyDescent="0.25">
      <c r="B37" s="692"/>
      <c r="C37" s="117" t="str">
        <f>IF(ISNUMBER(B37),IFERROR(VLOOKUP(B37,'נתוני רישום ומצבת'!B:J,3,0),""),"")</f>
        <v/>
      </c>
      <c r="D37" s="693"/>
      <c r="E37" s="694"/>
      <c r="F37" s="695"/>
      <c r="G37" s="696"/>
      <c r="K37" s="22" t="str">
        <f t="shared" si="1"/>
        <v/>
      </c>
      <c r="M37" s="534" t="str">
        <f t="shared" si="0"/>
        <v/>
      </c>
    </row>
    <row r="38" spans="2:13" ht="15.75" x14ac:dyDescent="0.25">
      <c r="B38" s="692"/>
      <c r="C38" s="117" t="str">
        <f>IF(ISNUMBER(B38),IFERROR(VLOOKUP(B38,'נתוני רישום ומצבת'!B:J,3,0),""),"")</f>
        <v/>
      </c>
      <c r="D38" s="693"/>
      <c r="E38" s="694"/>
      <c r="F38" s="695"/>
      <c r="G38" s="696"/>
      <c r="K38" s="22" t="str">
        <f t="shared" si="1"/>
        <v/>
      </c>
      <c r="M38" s="534" t="str">
        <f t="shared" si="0"/>
        <v/>
      </c>
    </row>
    <row r="39" spans="2:13" ht="15.75" x14ac:dyDescent="0.25">
      <c r="B39" s="692"/>
      <c r="C39" s="117" t="str">
        <f>IF(ISNUMBER(B39),IFERROR(VLOOKUP(B39,'נתוני רישום ומצבת'!B:J,3,0),""),"")</f>
        <v/>
      </c>
      <c r="D39" s="693"/>
      <c r="E39" s="694"/>
      <c r="F39" s="695"/>
      <c r="G39" s="696"/>
      <c r="K39" s="22" t="str">
        <f t="shared" si="1"/>
        <v/>
      </c>
      <c r="M39" s="534" t="str">
        <f t="shared" si="0"/>
        <v/>
      </c>
    </row>
    <row r="40" spans="2:13" ht="15.75" x14ac:dyDescent="0.25">
      <c r="B40" s="692"/>
      <c r="C40" s="117" t="str">
        <f>IF(ISNUMBER(B40),IFERROR(VLOOKUP(B40,'נתוני רישום ומצבת'!B:J,3,0),""),"")</f>
        <v/>
      </c>
      <c r="D40" s="693"/>
      <c r="E40" s="694"/>
      <c r="F40" s="695"/>
      <c r="G40" s="696"/>
      <c r="K40" s="22" t="str">
        <f t="shared" si="1"/>
        <v/>
      </c>
      <c r="M40" s="534" t="str">
        <f t="shared" si="0"/>
        <v/>
      </c>
    </row>
    <row r="41" spans="2:13" ht="15.75" x14ac:dyDescent="0.25">
      <c r="B41" s="692"/>
      <c r="C41" s="117" t="str">
        <f>IF(ISNUMBER(B41),IFERROR(VLOOKUP(B41,'נתוני רישום ומצבת'!B:J,3,0),""),"")</f>
        <v/>
      </c>
      <c r="D41" s="693"/>
      <c r="E41" s="694"/>
      <c r="F41" s="695"/>
      <c r="G41" s="696"/>
      <c r="K41" s="22" t="str">
        <f t="shared" si="1"/>
        <v/>
      </c>
      <c r="M41" s="534" t="str">
        <f t="shared" si="0"/>
        <v/>
      </c>
    </row>
    <row r="42" spans="2:13" ht="15.75" x14ac:dyDescent="0.25">
      <c r="B42" s="692"/>
      <c r="C42" s="117" t="str">
        <f>IF(ISNUMBER(B42),IFERROR(VLOOKUP(B42,'נתוני רישום ומצבת'!B:J,3,0),""),"")</f>
        <v/>
      </c>
      <c r="D42" s="693"/>
      <c r="E42" s="694"/>
      <c r="F42" s="695"/>
      <c r="G42" s="696"/>
      <c r="K42" s="22" t="str">
        <f t="shared" si="1"/>
        <v/>
      </c>
      <c r="M42" s="534" t="str">
        <f t="shared" si="0"/>
        <v/>
      </c>
    </row>
    <row r="43" spans="2:13" ht="15.75" x14ac:dyDescent="0.25">
      <c r="B43" s="692"/>
      <c r="C43" s="117" t="str">
        <f>IF(ISNUMBER(B43),IFERROR(VLOOKUP(B43,'נתוני רישום ומצבת'!B:J,3,0),""),"")</f>
        <v/>
      </c>
      <c r="D43" s="693"/>
      <c r="E43" s="694"/>
      <c r="F43" s="695"/>
      <c r="G43" s="696"/>
      <c r="K43" s="22" t="str">
        <f t="shared" si="1"/>
        <v/>
      </c>
      <c r="M43" s="534" t="str">
        <f t="shared" si="0"/>
        <v/>
      </c>
    </row>
    <row r="44" spans="2:13" ht="15.75" x14ac:dyDescent="0.25">
      <c r="B44" s="692"/>
      <c r="C44" s="117" t="str">
        <f>IF(ISNUMBER(B44),IFERROR(VLOOKUP(B44,'נתוני רישום ומצבת'!B:J,3,0),""),"")</f>
        <v/>
      </c>
      <c r="D44" s="693"/>
      <c r="E44" s="694"/>
      <c r="F44" s="695"/>
      <c r="G44" s="696"/>
      <c r="K44" s="22" t="str">
        <f t="shared" si="1"/>
        <v/>
      </c>
      <c r="M44" s="534" t="str">
        <f t="shared" si="0"/>
        <v/>
      </c>
    </row>
    <row r="45" spans="2:13" ht="15.75" x14ac:dyDescent="0.25">
      <c r="B45" s="692"/>
      <c r="C45" s="117" t="str">
        <f>IF(ISNUMBER(B45),IFERROR(VLOOKUP(B45,'נתוני רישום ומצבת'!B:J,3,0),""),"")</f>
        <v/>
      </c>
      <c r="D45" s="693"/>
      <c r="E45" s="694"/>
      <c r="F45" s="695"/>
      <c r="G45" s="696"/>
      <c r="K45" s="22" t="str">
        <f t="shared" si="1"/>
        <v/>
      </c>
      <c r="M45" s="534" t="str">
        <f t="shared" si="0"/>
        <v/>
      </c>
    </row>
    <row r="46" spans="2:13" ht="15.75" x14ac:dyDescent="0.25">
      <c r="B46" s="692"/>
      <c r="C46" s="117" t="str">
        <f>IF(ISNUMBER(B46),IFERROR(VLOOKUP(B46,'נתוני רישום ומצבת'!B:J,3,0),""),"")</f>
        <v/>
      </c>
      <c r="D46" s="693"/>
      <c r="E46" s="694"/>
      <c r="F46" s="695"/>
      <c r="G46" s="696"/>
      <c r="K46" s="22" t="str">
        <f t="shared" si="1"/>
        <v/>
      </c>
      <c r="M46" s="534" t="str">
        <f t="shared" si="0"/>
        <v/>
      </c>
    </row>
    <row r="47" spans="2:13" ht="15.75" x14ac:dyDescent="0.25">
      <c r="B47" s="692"/>
      <c r="C47" s="117" t="str">
        <f>IF(ISNUMBER(B47),IFERROR(VLOOKUP(B47,'נתוני רישום ומצבת'!B:J,3,0),""),"")</f>
        <v/>
      </c>
      <c r="D47" s="693"/>
      <c r="E47" s="694"/>
      <c r="F47" s="695"/>
      <c r="G47" s="696"/>
      <c r="K47" s="22" t="str">
        <f t="shared" si="1"/>
        <v/>
      </c>
      <c r="M47" s="534" t="str">
        <f t="shared" si="0"/>
        <v/>
      </c>
    </row>
    <row r="48" spans="2:13" ht="15.75" x14ac:dyDescent="0.25">
      <c r="B48" s="692"/>
      <c r="C48" s="117" t="str">
        <f>IF(ISNUMBER(B48),IFERROR(VLOOKUP(B48,'נתוני רישום ומצבת'!B:J,3,0),""),"")</f>
        <v/>
      </c>
      <c r="D48" s="693"/>
      <c r="E48" s="694"/>
      <c r="F48" s="695"/>
      <c r="G48" s="696"/>
      <c r="K48" s="22" t="str">
        <f t="shared" si="1"/>
        <v/>
      </c>
      <c r="M48" s="534" t="str">
        <f t="shared" si="0"/>
        <v/>
      </c>
    </row>
    <row r="49" spans="2:13" ht="15.75" x14ac:dyDescent="0.25">
      <c r="B49" s="692"/>
      <c r="C49" s="117" t="str">
        <f>IF(ISNUMBER(B49),IFERROR(VLOOKUP(B49,'נתוני רישום ומצבת'!B:J,3,0),""),"")</f>
        <v/>
      </c>
      <c r="D49" s="693"/>
      <c r="E49" s="694"/>
      <c r="F49" s="695"/>
      <c r="G49" s="696"/>
      <c r="K49" s="22" t="str">
        <f t="shared" si="1"/>
        <v/>
      </c>
      <c r="M49" s="534" t="str">
        <f t="shared" si="0"/>
        <v/>
      </c>
    </row>
    <row r="50" spans="2:13" ht="15.75" x14ac:dyDescent="0.25">
      <c r="B50" s="692"/>
      <c r="C50" s="117" t="str">
        <f>IF(ISNUMBER(B50),IFERROR(VLOOKUP(B50,'נתוני רישום ומצבת'!B:J,3,0),""),"")</f>
        <v/>
      </c>
      <c r="D50" s="693"/>
      <c r="E50" s="694"/>
      <c r="F50" s="695"/>
      <c r="G50" s="696"/>
      <c r="K50" s="22" t="str">
        <f t="shared" si="1"/>
        <v/>
      </c>
      <c r="M50" s="534" t="str">
        <f t="shared" si="0"/>
        <v/>
      </c>
    </row>
    <row r="51" spans="2:13" ht="15.75" x14ac:dyDescent="0.25">
      <c r="B51" s="692"/>
      <c r="C51" s="117" t="str">
        <f>IF(ISNUMBER(B51),IFERROR(VLOOKUP(B51,'נתוני רישום ומצבת'!B:J,3,0),""),"")</f>
        <v/>
      </c>
      <c r="D51" s="693"/>
      <c r="E51" s="694"/>
      <c r="F51" s="695"/>
      <c r="G51" s="696"/>
      <c r="K51" s="22" t="str">
        <f t="shared" si="1"/>
        <v/>
      </c>
      <c r="M51" s="534" t="str">
        <f t="shared" si="0"/>
        <v/>
      </c>
    </row>
    <row r="52" spans="2:13" ht="15.75" x14ac:dyDescent="0.25">
      <c r="B52" s="692"/>
      <c r="C52" s="117" t="str">
        <f>IF(ISNUMBER(B52),IFERROR(VLOOKUP(B52,'נתוני רישום ומצבת'!B:J,3,0),""),"")</f>
        <v/>
      </c>
      <c r="D52" s="693"/>
      <c r="E52" s="694"/>
      <c r="F52" s="695"/>
      <c r="G52" s="696"/>
      <c r="K52" s="22" t="str">
        <f t="shared" si="1"/>
        <v/>
      </c>
      <c r="M52" s="534" t="str">
        <f t="shared" si="0"/>
        <v/>
      </c>
    </row>
    <row r="53" spans="2:13" ht="15.75" x14ac:dyDescent="0.25">
      <c r="B53" s="692"/>
      <c r="C53" s="117" t="str">
        <f>IF(ISNUMBER(B53),IFERROR(VLOOKUP(B53,'נתוני רישום ומצבת'!B:J,3,0),""),"")</f>
        <v/>
      </c>
      <c r="D53" s="693"/>
      <c r="E53" s="694"/>
      <c r="F53" s="695"/>
      <c r="G53" s="696"/>
      <c r="K53" s="22" t="str">
        <f t="shared" si="1"/>
        <v/>
      </c>
      <c r="M53" s="534" t="str">
        <f t="shared" si="0"/>
        <v/>
      </c>
    </row>
    <row r="54" spans="2:13" ht="15.75" x14ac:dyDescent="0.25">
      <c r="B54" s="692"/>
      <c r="C54" s="117" t="str">
        <f>IF(ISNUMBER(B54),IFERROR(VLOOKUP(B54,'נתוני רישום ומצבת'!B:J,3,0),""),"")</f>
        <v/>
      </c>
      <c r="D54" s="693"/>
      <c r="E54" s="694"/>
      <c r="F54" s="695"/>
      <c r="G54" s="696"/>
      <c r="K54" s="22" t="str">
        <f t="shared" si="1"/>
        <v/>
      </c>
      <c r="M54" s="534" t="str">
        <f t="shared" si="0"/>
        <v/>
      </c>
    </row>
    <row r="55" spans="2:13" ht="15.75" x14ac:dyDescent="0.25">
      <c r="B55" s="692"/>
      <c r="C55" s="117" t="str">
        <f>IF(ISNUMBER(B55),IFERROR(VLOOKUP(B55,'נתוני רישום ומצבת'!B:J,3,0),""),"")</f>
        <v/>
      </c>
      <c r="D55" s="693"/>
      <c r="E55" s="694"/>
      <c r="F55" s="695"/>
      <c r="G55" s="696"/>
      <c r="K55" s="22" t="str">
        <f t="shared" si="1"/>
        <v/>
      </c>
      <c r="M55" s="534" t="str">
        <f t="shared" si="0"/>
        <v/>
      </c>
    </row>
    <row r="56" spans="2:13" ht="15.75" x14ac:dyDescent="0.25">
      <c r="B56" s="692"/>
      <c r="C56" s="117" t="str">
        <f>IF(ISNUMBER(B56),IFERROR(VLOOKUP(B56,'נתוני רישום ומצבת'!B:J,3,0),""),"")</f>
        <v/>
      </c>
      <c r="D56" s="693"/>
      <c r="E56" s="694"/>
      <c r="F56" s="695"/>
      <c r="G56" s="696"/>
      <c r="K56" s="22" t="str">
        <f t="shared" si="1"/>
        <v/>
      </c>
      <c r="M56" s="534" t="str">
        <f t="shared" si="0"/>
        <v/>
      </c>
    </row>
    <row r="57" spans="2:13" ht="15.75" x14ac:dyDescent="0.25">
      <c r="B57" s="692"/>
      <c r="C57" s="117" t="str">
        <f>IF(ISNUMBER(B57),IFERROR(VLOOKUP(B57,'נתוני רישום ומצבת'!B:J,3,0),""),"")</f>
        <v/>
      </c>
      <c r="D57" s="693"/>
      <c r="E57" s="694"/>
      <c r="F57" s="695"/>
      <c r="G57" s="696"/>
      <c r="K57" s="22" t="str">
        <f t="shared" si="1"/>
        <v/>
      </c>
      <c r="M57" s="534" t="str">
        <f t="shared" si="0"/>
        <v/>
      </c>
    </row>
    <row r="58" spans="2:13" ht="15.75" x14ac:dyDescent="0.25">
      <c r="B58" s="692"/>
      <c r="C58" s="117" t="str">
        <f>IF(ISNUMBER(B58),IFERROR(VLOOKUP(B58,'נתוני רישום ומצבת'!B:J,3,0),""),"")</f>
        <v/>
      </c>
      <c r="D58" s="693"/>
      <c r="E58" s="694"/>
      <c r="F58" s="695"/>
      <c r="G58" s="696"/>
      <c r="K58" s="22" t="str">
        <f t="shared" si="1"/>
        <v/>
      </c>
      <c r="M58" s="534" t="str">
        <f t="shared" si="0"/>
        <v/>
      </c>
    </row>
    <row r="59" spans="2:13" ht="15.75" x14ac:dyDescent="0.25">
      <c r="B59" s="692"/>
      <c r="C59" s="117" t="str">
        <f>IF(ISNUMBER(B59),IFERROR(VLOOKUP(B59,'נתוני רישום ומצבת'!B:J,3,0),""),"")</f>
        <v/>
      </c>
      <c r="D59" s="693"/>
      <c r="E59" s="694"/>
      <c r="F59" s="695"/>
      <c r="G59" s="696"/>
      <c r="K59" s="22" t="str">
        <f t="shared" si="1"/>
        <v/>
      </c>
      <c r="M59" s="534" t="str">
        <f t="shared" si="0"/>
        <v/>
      </c>
    </row>
    <row r="60" spans="2:13" ht="15.75" x14ac:dyDescent="0.25">
      <c r="B60" s="692"/>
      <c r="C60" s="117" t="str">
        <f>IF(ISNUMBER(B60),IFERROR(VLOOKUP(B60,'נתוני רישום ומצבת'!B:J,3,0),""),"")</f>
        <v/>
      </c>
      <c r="D60" s="693"/>
      <c r="E60" s="694"/>
      <c r="F60" s="695"/>
      <c r="G60" s="696"/>
      <c r="K60" s="22" t="str">
        <f t="shared" si="1"/>
        <v/>
      </c>
      <c r="M60" s="534" t="str">
        <f t="shared" si="0"/>
        <v/>
      </c>
    </row>
    <row r="61" spans="2:13" ht="15.75" x14ac:dyDescent="0.25">
      <c r="B61" s="692"/>
      <c r="C61" s="117" t="str">
        <f>IF(ISNUMBER(B61),IFERROR(VLOOKUP(B61,'נתוני רישום ומצבת'!B:J,3,0),""),"")</f>
        <v/>
      </c>
      <c r="D61" s="693"/>
      <c r="E61" s="694"/>
      <c r="F61" s="695"/>
      <c r="G61" s="696"/>
      <c r="K61" s="22" t="str">
        <f t="shared" si="1"/>
        <v/>
      </c>
      <c r="M61" s="534" t="str">
        <f t="shared" si="0"/>
        <v/>
      </c>
    </row>
    <row r="62" spans="2:13" ht="15.75" x14ac:dyDescent="0.25">
      <c r="B62" s="692"/>
      <c r="C62" s="117" t="str">
        <f>IF(ISNUMBER(B62),IFERROR(VLOOKUP(B62,'נתוני רישום ומצבת'!B:J,3,0),""),"")</f>
        <v/>
      </c>
      <c r="D62" s="693"/>
      <c r="E62" s="694"/>
      <c r="F62" s="695"/>
      <c r="G62" s="696"/>
      <c r="K62" s="22" t="str">
        <f t="shared" si="1"/>
        <v/>
      </c>
      <c r="M62" s="534" t="str">
        <f t="shared" si="0"/>
        <v/>
      </c>
    </row>
    <row r="63" spans="2:13" ht="15.75" x14ac:dyDescent="0.25">
      <c r="B63" s="692"/>
      <c r="C63" s="117" t="str">
        <f>IF(ISNUMBER(B63),IFERROR(VLOOKUP(B63,'נתוני רישום ומצבת'!B:J,3,0),""),"")</f>
        <v/>
      </c>
      <c r="D63" s="693"/>
      <c r="E63" s="694"/>
      <c r="F63" s="695"/>
      <c r="G63" s="696"/>
      <c r="K63" s="22" t="str">
        <f t="shared" si="1"/>
        <v/>
      </c>
      <c r="M63" s="534" t="str">
        <f t="shared" si="0"/>
        <v/>
      </c>
    </row>
    <row r="64" spans="2:13" ht="15.75" x14ac:dyDescent="0.25">
      <c r="B64" s="692"/>
      <c r="C64" s="117" t="str">
        <f>IF(ISNUMBER(B64),IFERROR(VLOOKUP(B64,'נתוני רישום ומצבת'!B:J,3,0),""),"")</f>
        <v/>
      </c>
      <c r="D64" s="693"/>
      <c r="E64" s="694"/>
      <c r="F64" s="695"/>
      <c r="G64" s="696"/>
      <c r="K64" s="22" t="str">
        <f t="shared" si="1"/>
        <v/>
      </c>
      <c r="M64" s="534" t="str">
        <f t="shared" si="0"/>
        <v/>
      </c>
    </row>
    <row r="65" spans="2:13" ht="15.75" x14ac:dyDescent="0.25">
      <c r="B65" s="692"/>
      <c r="C65" s="117" t="str">
        <f>IF(ISNUMBER(B65),IFERROR(VLOOKUP(B65,'נתוני רישום ומצבת'!B:J,3,0),""),"")</f>
        <v/>
      </c>
      <c r="D65" s="693"/>
      <c r="E65" s="694"/>
      <c r="F65" s="695"/>
      <c r="G65" s="696"/>
      <c r="K65" s="22" t="str">
        <f t="shared" si="1"/>
        <v/>
      </c>
      <c r="M65" s="534" t="str">
        <f t="shared" si="0"/>
        <v/>
      </c>
    </row>
    <row r="66" spans="2:13" ht="15.75" x14ac:dyDescent="0.25">
      <c r="B66" s="692"/>
      <c r="C66" s="117" t="str">
        <f>IF(ISNUMBER(B66),IFERROR(VLOOKUP(B66,'נתוני רישום ומצבת'!B:J,3,0),""),"")</f>
        <v/>
      </c>
      <c r="D66" s="693"/>
      <c r="E66" s="694"/>
      <c r="F66" s="695"/>
      <c r="G66" s="696"/>
      <c r="K66" s="22" t="str">
        <f t="shared" si="1"/>
        <v/>
      </c>
      <c r="M66" s="534" t="str">
        <f t="shared" si="0"/>
        <v/>
      </c>
    </row>
    <row r="67" spans="2:13" ht="15.75" x14ac:dyDescent="0.25">
      <c r="B67" s="692"/>
      <c r="C67" s="117" t="str">
        <f>IF(ISNUMBER(B67),IFERROR(VLOOKUP(B67,'נתוני רישום ומצבת'!B:J,3,0),""),"")</f>
        <v/>
      </c>
      <c r="D67" s="693"/>
      <c r="E67" s="694"/>
      <c r="F67" s="695"/>
      <c r="G67" s="696"/>
      <c r="K67" s="22" t="str">
        <f t="shared" si="1"/>
        <v/>
      </c>
      <c r="M67" s="534" t="str">
        <f t="shared" si="0"/>
        <v/>
      </c>
    </row>
    <row r="68" spans="2:13" ht="15.75" x14ac:dyDescent="0.25">
      <c r="B68" s="692"/>
      <c r="C68" s="117" t="str">
        <f>IF(ISNUMBER(B68),IFERROR(VLOOKUP(B68,'נתוני רישום ומצבת'!B:J,3,0),""),"")</f>
        <v/>
      </c>
      <c r="D68" s="693"/>
      <c r="E68" s="694"/>
      <c r="F68" s="695"/>
      <c r="G68" s="696"/>
      <c r="K68" s="22" t="str">
        <f t="shared" si="1"/>
        <v/>
      </c>
      <c r="M68" s="534" t="str">
        <f t="shared" si="0"/>
        <v/>
      </c>
    </row>
    <row r="69" spans="2:13" ht="15.75" x14ac:dyDescent="0.25">
      <c r="B69" s="692"/>
      <c r="C69" s="117" t="str">
        <f>IF(ISNUMBER(B69),IFERROR(VLOOKUP(B69,'נתוני רישום ומצבת'!B:J,3,0),""),"")</f>
        <v/>
      </c>
      <c r="D69" s="693"/>
      <c r="E69" s="694"/>
      <c r="F69" s="695"/>
      <c r="G69" s="696"/>
      <c r="K69" s="22" t="str">
        <f t="shared" si="1"/>
        <v/>
      </c>
      <c r="M69" s="534" t="str">
        <f t="shared" si="0"/>
        <v/>
      </c>
    </row>
    <row r="70" spans="2:13" ht="15.75" x14ac:dyDescent="0.25">
      <c r="B70" s="692"/>
      <c r="C70" s="117" t="str">
        <f>IF(ISNUMBER(B70),IFERROR(VLOOKUP(B70,'נתוני רישום ומצבת'!B:J,3,0),""),"")</f>
        <v/>
      </c>
      <c r="D70" s="693"/>
      <c r="E70" s="694"/>
      <c r="F70" s="695"/>
      <c r="G70" s="696"/>
      <c r="K70" s="22" t="str">
        <f t="shared" si="1"/>
        <v/>
      </c>
      <c r="M70" s="534" t="str">
        <f t="shared" si="0"/>
        <v/>
      </c>
    </row>
    <row r="71" spans="2:13" ht="15.75" x14ac:dyDescent="0.25">
      <c r="B71" s="692"/>
      <c r="C71" s="117" t="str">
        <f>IF(ISNUMBER(B71),IFERROR(VLOOKUP(B71,'נתוני רישום ומצבת'!B:J,3,0),""),"")</f>
        <v/>
      </c>
      <c r="D71" s="693"/>
      <c r="E71" s="694"/>
      <c r="F71" s="695"/>
      <c r="G71" s="696"/>
      <c r="K71" s="22" t="str">
        <f t="shared" si="1"/>
        <v/>
      </c>
      <c r="M71" s="534" t="str">
        <f t="shared" si="0"/>
        <v/>
      </c>
    </row>
    <row r="72" spans="2:13" ht="15.75" x14ac:dyDescent="0.25">
      <c r="B72" s="692"/>
      <c r="C72" s="117" t="str">
        <f>IF(ISNUMBER(B72),IFERROR(VLOOKUP(B72,'נתוני רישום ומצבת'!B:J,3,0),""),"")</f>
        <v/>
      </c>
      <c r="D72" s="693"/>
      <c r="E72" s="694"/>
      <c r="F72" s="695"/>
      <c r="G72" s="696"/>
      <c r="K72" s="22" t="str">
        <f t="shared" si="1"/>
        <v/>
      </c>
      <c r="M72" s="534" t="str">
        <f t="shared" si="0"/>
        <v/>
      </c>
    </row>
    <row r="73" spans="2:13" ht="15.75" x14ac:dyDescent="0.25">
      <c r="B73" s="692"/>
      <c r="C73" s="117" t="str">
        <f>IF(ISNUMBER(B73),IFERROR(VLOOKUP(B73,'נתוני רישום ומצבת'!B:J,3,0),""),"")</f>
        <v/>
      </c>
      <c r="D73" s="693"/>
      <c r="E73" s="694"/>
      <c r="F73" s="695"/>
      <c r="G73" s="696"/>
      <c r="K73" s="22" t="str">
        <f t="shared" si="1"/>
        <v/>
      </c>
      <c r="M73" s="534" t="str">
        <f t="shared" si="0"/>
        <v/>
      </c>
    </row>
    <row r="74" spans="2:13" ht="15.75" x14ac:dyDescent="0.25">
      <c r="B74" s="692"/>
      <c r="C74" s="117" t="str">
        <f>IF(ISNUMBER(B74),IFERROR(VLOOKUP(B74,'נתוני רישום ומצבת'!B:J,3,0),""),"")</f>
        <v/>
      </c>
      <c r="D74" s="693"/>
      <c r="E74" s="694"/>
      <c r="F74" s="695"/>
      <c r="G74" s="696"/>
      <c r="K74" s="22" t="str">
        <f t="shared" si="1"/>
        <v/>
      </c>
      <c r="M74" s="534" t="str">
        <f t="shared" si="0"/>
        <v/>
      </c>
    </row>
    <row r="75" spans="2:13" ht="15.75" x14ac:dyDescent="0.25">
      <c r="B75" s="692"/>
      <c r="C75" s="117" t="str">
        <f>IF(ISNUMBER(B75),IFERROR(VLOOKUP(B75,'נתוני רישום ומצבת'!B:J,3,0),""),"")</f>
        <v/>
      </c>
      <c r="D75" s="693"/>
      <c r="E75" s="694"/>
      <c r="F75" s="695"/>
      <c r="G75" s="696"/>
      <c r="K75" s="22" t="str">
        <f t="shared" si="1"/>
        <v/>
      </c>
      <c r="M75" s="534" t="str">
        <f t="shared" si="0"/>
        <v/>
      </c>
    </row>
    <row r="76" spans="2:13" ht="15.75" x14ac:dyDescent="0.25">
      <c r="B76" s="692"/>
      <c r="C76" s="117" t="str">
        <f>IF(ISNUMBER(B76),IFERROR(VLOOKUP(B76,'נתוני רישום ומצבת'!B:J,3,0),""),"")</f>
        <v/>
      </c>
      <c r="D76" s="693"/>
      <c r="E76" s="694"/>
      <c r="F76" s="695"/>
      <c r="G76" s="696"/>
      <c r="K76" s="22" t="str">
        <f t="shared" si="1"/>
        <v/>
      </c>
      <c r="M76" s="534" t="str">
        <f t="shared" si="0"/>
        <v/>
      </c>
    </row>
    <row r="77" spans="2:13" ht="15.75" x14ac:dyDescent="0.25">
      <c r="B77" s="692"/>
      <c r="C77" s="117" t="str">
        <f>IF(ISNUMBER(B77),IFERROR(VLOOKUP(B77,'נתוני רישום ומצבת'!B:J,3,0),""),"")</f>
        <v/>
      </c>
      <c r="D77" s="693"/>
      <c r="E77" s="694"/>
      <c r="F77" s="695"/>
      <c r="G77" s="696"/>
      <c r="K77" s="22" t="str">
        <f t="shared" si="1"/>
        <v/>
      </c>
      <c r="M77" s="534" t="str">
        <f t="shared" si="0"/>
        <v/>
      </c>
    </row>
    <row r="78" spans="2:13" ht="15.75" x14ac:dyDescent="0.25">
      <c r="B78" s="692"/>
      <c r="C78" s="117" t="str">
        <f>IF(ISNUMBER(B78),IFERROR(VLOOKUP(B78,'נתוני רישום ומצבת'!B:J,3,0),""),"")</f>
        <v/>
      </c>
      <c r="D78" s="693"/>
      <c r="E78" s="694"/>
      <c r="F78" s="695"/>
      <c r="G78" s="696"/>
      <c r="K78" s="22" t="str">
        <f t="shared" si="1"/>
        <v/>
      </c>
      <c r="M78" s="534" t="str">
        <f t="shared" si="0"/>
        <v/>
      </c>
    </row>
    <row r="79" spans="2:13" ht="15.75" x14ac:dyDescent="0.25">
      <c r="B79" s="692"/>
      <c r="C79" s="117" t="str">
        <f>IF(ISNUMBER(B79),IFERROR(VLOOKUP(B79,'נתוני רישום ומצבת'!B:J,3,0),""),"")</f>
        <v/>
      </c>
      <c r="D79" s="693"/>
      <c r="E79" s="694"/>
      <c r="F79" s="695"/>
      <c r="G79" s="696"/>
      <c r="K79" s="22" t="str">
        <f t="shared" si="1"/>
        <v/>
      </c>
      <c r="M79" s="534" t="str">
        <f t="shared" si="0"/>
        <v/>
      </c>
    </row>
    <row r="80" spans="2:13" ht="15.75" x14ac:dyDescent="0.25">
      <c r="B80" s="692"/>
      <c r="C80" s="117" t="str">
        <f>IF(ISNUMBER(B80),IFERROR(VLOOKUP(B80,'נתוני רישום ומצבת'!B:J,3,0),""),"")</f>
        <v/>
      </c>
      <c r="D80" s="693"/>
      <c r="E80" s="694"/>
      <c r="F80" s="695"/>
      <c r="G80" s="696"/>
      <c r="K80" s="22" t="str">
        <f t="shared" si="1"/>
        <v/>
      </c>
      <c r="M80" s="534" t="str">
        <f t="shared" si="0"/>
        <v/>
      </c>
    </row>
    <row r="81" spans="2:13" ht="15.75" x14ac:dyDescent="0.25">
      <c r="B81" s="692"/>
      <c r="C81" s="117" t="str">
        <f>IF(ISNUMBER(B81),IFERROR(VLOOKUP(B81,'נתוני רישום ומצבת'!B:J,3,0),""),"")</f>
        <v/>
      </c>
      <c r="D81" s="693"/>
      <c r="E81" s="694"/>
      <c r="F81" s="695"/>
      <c r="G81" s="696"/>
      <c r="K81" s="22" t="str">
        <f t="shared" si="1"/>
        <v/>
      </c>
      <c r="M81" s="534" t="str">
        <f t="shared" ref="M81:M144" si="2">TEXT(LEFT(D81,2),0)</f>
        <v/>
      </c>
    </row>
    <row r="82" spans="2:13" ht="15.75" x14ac:dyDescent="0.25">
      <c r="B82" s="692"/>
      <c r="C82" s="117" t="str">
        <f>IF(ISNUMBER(B82),IFERROR(VLOOKUP(B82,'נתוני רישום ומצבת'!B:J,3,0),""),"")</f>
        <v/>
      </c>
      <c r="D82" s="693"/>
      <c r="E82" s="694"/>
      <c r="F82" s="695"/>
      <c r="G82" s="696"/>
      <c r="K82" s="22" t="str">
        <f t="shared" si="1"/>
        <v/>
      </c>
      <c r="M82" s="534" t="str">
        <f t="shared" si="2"/>
        <v/>
      </c>
    </row>
    <row r="83" spans="2:13" ht="15.75" x14ac:dyDescent="0.25">
      <c r="B83" s="692"/>
      <c r="C83" s="117" t="str">
        <f>IF(ISNUMBER(B83),IFERROR(VLOOKUP(B83,'נתוני רישום ומצבת'!B:J,3,0),""),"")</f>
        <v/>
      </c>
      <c r="D83" s="693"/>
      <c r="E83" s="694"/>
      <c r="F83" s="695"/>
      <c r="G83" s="696"/>
      <c r="K83" s="22" t="str">
        <f t="shared" si="1"/>
        <v/>
      </c>
      <c r="M83" s="534" t="str">
        <f t="shared" si="2"/>
        <v/>
      </c>
    </row>
    <row r="84" spans="2:13" ht="15.75" x14ac:dyDescent="0.25">
      <c r="B84" s="692"/>
      <c r="C84" s="117" t="str">
        <f>IF(ISNUMBER(B84),IFERROR(VLOOKUP(B84,'נתוני רישום ומצבת'!B:J,3,0),""),"")</f>
        <v/>
      </c>
      <c r="D84" s="693"/>
      <c r="E84" s="694"/>
      <c r="F84" s="695"/>
      <c r="G84" s="696"/>
      <c r="K84" s="22" t="str">
        <f t="shared" si="1"/>
        <v/>
      </c>
      <c r="M84" s="534" t="str">
        <f t="shared" si="2"/>
        <v/>
      </c>
    </row>
    <row r="85" spans="2:13" ht="15.75" x14ac:dyDescent="0.25">
      <c r="B85" s="692"/>
      <c r="C85" s="117" t="str">
        <f>IF(ISNUMBER(B85),IFERROR(VLOOKUP(B85,'נתוני רישום ומצבת'!B:J,3,0),""),"")</f>
        <v/>
      </c>
      <c r="D85" s="693"/>
      <c r="E85" s="694"/>
      <c r="F85" s="695"/>
      <c r="G85" s="696"/>
      <c r="K85" s="22" t="str">
        <f t="shared" ref="K85:K148" si="3">IF(C72&lt;5,IF(D85=$F$8,-E85," "),"")</f>
        <v/>
      </c>
      <c r="M85" s="534" t="str">
        <f t="shared" si="2"/>
        <v/>
      </c>
    </row>
    <row r="86" spans="2:13" ht="15.75" x14ac:dyDescent="0.25">
      <c r="B86" s="692"/>
      <c r="C86" s="117" t="str">
        <f>IF(ISNUMBER(B86),IFERROR(VLOOKUP(B86,'נתוני רישום ומצבת'!B:J,3,0),""),"")</f>
        <v/>
      </c>
      <c r="D86" s="693"/>
      <c r="E86" s="694"/>
      <c r="F86" s="695"/>
      <c r="G86" s="696"/>
      <c r="K86" s="22" t="str">
        <f t="shared" si="3"/>
        <v/>
      </c>
      <c r="M86" s="534" t="str">
        <f t="shared" si="2"/>
        <v/>
      </c>
    </row>
    <row r="87" spans="2:13" ht="15.75" x14ac:dyDescent="0.25">
      <c r="B87" s="692"/>
      <c r="C87" s="117" t="str">
        <f>IF(ISNUMBER(B87),IFERROR(VLOOKUP(B87,'נתוני רישום ומצבת'!B:J,3,0),""),"")</f>
        <v/>
      </c>
      <c r="D87" s="693"/>
      <c r="E87" s="694"/>
      <c r="F87" s="695"/>
      <c r="G87" s="696"/>
      <c r="K87" s="22" t="str">
        <f t="shared" si="3"/>
        <v/>
      </c>
      <c r="M87" s="534" t="str">
        <f t="shared" si="2"/>
        <v/>
      </c>
    </row>
    <row r="88" spans="2:13" ht="15.75" x14ac:dyDescent="0.25">
      <c r="B88" s="692"/>
      <c r="C88" s="117" t="str">
        <f>IF(ISNUMBER(B88),IFERROR(VLOOKUP(B88,'נתוני רישום ומצבת'!B:J,3,0),""),"")</f>
        <v/>
      </c>
      <c r="D88" s="693"/>
      <c r="E88" s="694"/>
      <c r="F88" s="695"/>
      <c r="G88" s="696"/>
      <c r="K88" s="22" t="str">
        <f t="shared" si="3"/>
        <v/>
      </c>
      <c r="M88" s="534" t="str">
        <f t="shared" si="2"/>
        <v/>
      </c>
    </row>
    <row r="89" spans="2:13" ht="15.75" x14ac:dyDescent="0.25">
      <c r="B89" s="692"/>
      <c r="C89" s="117" t="str">
        <f>IF(ISNUMBER(B89),IFERROR(VLOOKUP(B89,'נתוני רישום ומצבת'!B:J,3,0),""),"")</f>
        <v/>
      </c>
      <c r="D89" s="693"/>
      <c r="E89" s="694"/>
      <c r="F89" s="695"/>
      <c r="G89" s="696"/>
      <c r="K89" s="22" t="str">
        <f t="shared" si="3"/>
        <v/>
      </c>
      <c r="M89" s="534" t="str">
        <f t="shared" si="2"/>
        <v/>
      </c>
    </row>
    <row r="90" spans="2:13" ht="15.75" x14ac:dyDescent="0.25">
      <c r="B90" s="692"/>
      <c r="C90" s="117" t="str">
        <f>IF(ISNUMBER(B90),IFERROR(VLOOKUP(B90,'נתוני רישום ומצבת'!B:J,3,0),""),"")</f>
        <v/>
      </c>
      <c r="D90" s="693"/>
      <c r="E90" s="694"/>
      <c r="F90" s="695"/>
      <c r="G90" s="696"/>
      <c r="K90" s="22" t="str">
        <f t="shared" si="3"/>
        <v/>
      </c>
      <c r="M90" s="534" t="str">
        <f t="shared" si="2"/>
        <v/>
      </c>
    </row>
    <row r="91" spans="2:13" ht="15.75" x14ac:dyDescent="0.25">
      <c r="B91" s="692"/>
      <c r="C91" s="117" t="str">
        <f>IF(ISNUMBER(B91),IFERROR(VLOOKUP(B91,'נתוני רישום ומצבת'!B:J,3,0),""),"")</f>
        <v/>
      </c>
      <c r="D91" s="693"/>
      <c r="E91" s="694"/>
      <c r="F91" s="695"/>
      <c r="G91" s="696"/>
      <c r="K91" s="22" t="str">
        <f t="shared" si="3"/>
        <v/>
      </c>
      <c r="M91" s="534" t="str">
        <f t="shared" si="2"/>
        <v/>
      </c>
    </row>
    <row r="92" spans="2:13" ht="15.75" x14ac:dyDescent="0.25">
      <c r="B92" s="692"/>
      <c r="C92" s="117" t="str">
        <f>IF(ISNUMBER(B92),IFERROR(VLOOKUP(B92,'נתוני רישום ומצבת'!B:J,3,0),""),"")</f>
        <v/>
      </c>
      <c r="D92" s="693"/>
      <c r="E92" s="694"/>
      <c r="F92" s="695"/>
      <c r="G92" s="696"/>
      <c r="K92" s="22" t="str">
        <f t="shared" si="3"/>
        <v/>
      </c>
      <c r="M92" s="534" t="str">
        <f t="shared" si="2"/>
        <v/>
      </c>
    </row>
    <row r="93" spans="2:13" ht="15.75" x14ac:dyDescent="0.25">
      <c r="B93" s="692"/>
      <c r="C93" s="117" t="str">
        <f>IF(ISNUMBER(B93),IFERROR(VLOOKUP(B93,'נתוני רישום ומצבת'!B:J,3,0),""),"")</f>
        <v/>
      </c>
      <c r="D93" s="693"/>
      <c r="E93" s="694"/>
      <c r="F93" s="695"/>
      <c r="G93" s="696"/>
      <c r="K93" s="22" t="str">
        <f t="shared" si="3"/>
        <v/>
      </c>
      <c r="M93" s="534" t="str">
        <f t="shared" si="2"/>
        <v/>
      </c>
    </row>
    <row r="94" spans="2:13" ht="15.75" x14ac:dyDescent="0.25">
      <c r="B94" s="692"/>
      <c r="C94" s="117" t="str">
        <f>IF(ISNUMBER(B94),IFERROR(VLOOKUP(B94,'נתוני רישום ומצבת'!B:J,3,0),""),"")</f>
        <v/>
      </c>
      <c r="D94" s="693"/>
      <c r="E94" s="694"/>
      <c r="F94" s="695"/>
      <c r="G94" s="696"/>
      <c r="K94" s="22" t="str">
        <f t="shared" si="3"/>
        <v/>
      </c>
      <c r="M94" s="534" t="str">
        <f t="shared" si="2"/>
        <v/>
      </c>
    </row>
    <row r="95" spans="2:13" ht="15.75" x14ac:dyDescent="0.25">
      <c r="B95" s="692"/>
      <c r="C95" s="117" t="str">
        <f>IF(ISNUMBER(B95),IFERROR(VLOOKUP(B95,'נתוני רישום ומצבת'!B:J,3,0),""),"")</f>
        <v/>
      </c>
      <c r="D95" s="693"/>
      <c r="E95" s="694"/>
      <c r="F95" s="695"/>
      <c r="G95" s="696"/>
      <c r="K95" s="22" t="str">
        <f t="shared" si="3"/>
        <v/>
      </c>
      <c r="M95" s="534" t="str">
        <f t="shared" si="2"/>
        <v/>
      </c>
    </row>
    <row r="96" spans="2:13" ht="15.75" x14ac:dyDescent="0.25">
      <c r="B96" s="692"/>
      <c r="C96" s="117" t="str">
        <f>IF(ISNUMBER(B96),IFERROR(VLOOKUP(B96,'נתוני רישום ומצבת'!B:J,3,0),""),"")</f>
        <v/>
      </c>
      <c r="D96" s="693"/>
      <c r="E96" s="697"/>
      <c r="F96" s="695"/>
      <c r="G96" s="696"/>
      <c r="K96" s="22" t="str">
        <f t="shared" si="3"/>
        <v/>
      </c>
      <c r="M96" s="534" t="str">
        <f t="shared" si="2"/>
        <v/>
      </c>
    </row>
    <row r="97" spans="2:13" ht="15.75" x14ac:dyDescent="0.25">
      <c r="B97" s="692"/>
      <c r="C97" s="117" t="str">
        <f>IF(ISNUMBER(B97),IFERROR(VLOOKUP(B97,'נתוני רישום ומצבת'!B:J,3,0),""),"")</f>
        <v/>
      </c>
      <c r="D97" s="693"/>
      <c r="E97" s="697"/>
      <c r="F97" s="695"/>
      <c r="G97" s="696"/>
      <c r="K97" s="22" t="str">
        <f t="shared" si="3"/>
        <v/>
      </c>
      <c r="M97" s="534" t="str">
        <f t="shared" si="2"/>
        <v/>
      </c>
    </row>
    <row r="98" spans="2:13" ht="15.75" x14ac:dyDescent="0.25">
      <c r="B98" s="692"/>
      <c r="C98" s="117" t="str">
        <f>IF(ISNUMBER(B98),IFERROR(VLOOKUP(B98,'נתוני רישום ומצבת'!B:J,3,0),""),"")</f>
        <v/>
      </c>
      <c r="D98" s="693"/>
      <c r="E98" s="697"/>
      <c r="F98" s="695"/>
      <c r="G98" s="696"/>
      <c r="K98" s="22" t="str">
        <f t="shared" si="3"/>
        <v/>
      </c>
      <c r="M98" s="534" t="str">
        <f t="shared" si="2"/>
        <v/>
      </c>
    </row>
    <row r="99" spans="2:13" ht="15.75" x14ac:dyDescent="0.25">
      <c r="B99" s="692"/>
      <c r="C99" s="117" t="str">
        <f>IF(ISNUMBER(B99),IFERROR(VLOOKUP(B99,'נתוני רישום ומצבת'!B:J,3,0),""),"")</f>
        <v/>
      </c>
      <c r="D99" s="693"/>
      <c r="E99" s="697"/>
      <c r="F99" s="695"/>
      <c r="G99" s="696"/>
      <c r="K99" s="22" t="str">
        <f t="shared" si="3"/>
        <v/>
      </c>
      <c r="M99" s="534" t="str">
        <f t="shared" si="2"/>
        <v/>
      </c>
    </row>
    <row r="100" spans="2:13" ht="15.75" x14ac:dyDescent="0.25">
      <c r="B100" s="692"/>
      <c r="C100" s="117" t="str">
        <f>IF(ISNUMBER(B100),IFERROR(VLOOKUP(B100,'נתוני רישום ומצבת'!B:J,3,0),""),"")</f>
        <v/>
      </c>
      <c r="D100" s="693"/>
      <c r="E100" s="697"/>
      <c r="F100" s="695"/>
      <c r="G100" s="696"/>
      <c r="K100" s="22" t="str">
        <f t="shared" si="3"/>
        <v/>
      </c>
      <c r="M100" s="534" t="str">
        <f t="shared" si="2"/>
        <v/>
      </c>
    </row>
    <row r="101" spans="2:13" ht="15.75" x14ac:dyDescent="0.25">
      <c r="B101" s="692"/>
      <c r="C101" s="117" t="str">
        <f>IF(ISNUMBER(B101),IFERROR(VLOOKUP(B101,'נתוני רישום ומצבת'!B:J,3,0),""),"")</f>
        <v/>
      </c>
      <c r="D101" s="693"/>
      <c r="E101" s="697"/>
      <c r="F101" s="695"/>
      <c r="G101" s="696"/>
      <c r="K101" s="22" t="str">
        <f t="shared" si="3"/>
        <v/>
      </c>
      <c r="M101" s="534" t="str">
        <f t="shared" si="2"/>
        <v/>
      </c>
    </row>
    <row r="102" spans="2:13" ht="15.75" x14ac:dyDescent="0.25">
      <c r="B102" s="692"/>
      <c r="C102" s="117" t="str">
        <f>IF(ISNUMBER(B102),IFERROR(VLOOKUP(B102,'נתוני רישום ומצבת'!B:J,3,0),""),"")</f>
        <v/>
      </c>
      <c r="D102" s="693"/>
      <c r="E102" s="697"/>
      <c r="F102" s="695"/>
      <c r="G102" s="696"/>
      <c r="K102" s="22" t="str">
        <f t="shared" si="3"/>
        <v/>
      </c>
      <c r="M102" s="534" t="str">
        <f t="shared" si="2"/>
        <v/>
      </c>
    </row>
    <row r="103" spans="2:13" ht="15.75" x14ac:dyDescent="0.25">
      <c r="B103" s="692"/>
      <c r="C103" s="117" t="str">
        <f>IF(ISNUMBER(B103),IFERROR(VLOOKUP(B103,'נתוני רישום ומצבת'!B:J,3,0),""),"")</f>
        <v/>
      </c>
      <c r="D103" s="693"/>
      <c r="E103" s="697"/>
      <c r="F103" s="695"/>
      <c r="G103" s="696"/>
      <c r="K103" s="22" t="str">
        <f t="shared" si="3"/>
        <v/>
      </c>
      <c r="M103" s="534" t="str">
        <f t="shared" si="2"/>
        <v/>
      </c>
    </row>
    <row r="104" spans="2:13" ht="15.75" x14ac:dyDescent="0.25">
      <c r="B104" s="692"/>
      <c r="C104" s="117" t="str">
        <f>IF(ISNUMBER(B104),IFERROR(VLOOKUP(B104,'נתוני רישום ומצבת'!B:J,3,0),""),"")</f>
        <v/>
      </c>
      <c r="D104" s="693"/>
      <c r="E104" s="697"/>
      <c r="F104" s="695"/>
      <c r="G104" s="696"/>
      <c r="K104" s="22" t="str">
        <f t="shared" si="3"/>
        <v/>
      </c>
      <c r="M104" s="534" t="str">
        <f t="shared" si="2"/>
        <v/>
      </c>
    </row>
    <row r="105" spans="2:13" ht="15.75" x14ac:dyDescent="0.25">
      <c r="B105" s="692"/>
      <c r="C105" s="117" t="str">
        <f>IF(ISNUMBER(B105),IFERROR(VLOOKUP(B105,'נתוני רישום ומצבת'!B:J,3,0),""),"")</f>
        <v/>
      </c>
      <c r="D105" s="693"/>
      <c r="E105" s="697"/>
      <c r="F105" s="695"/>
      <c r="G105" s="696"/>
      <c r="K105" s="22" t="str">
        <f t="shared" si="3"/>
        <v/>
      </c>
      <c r="M105" s="534" t="str">
        <f t="shared" si="2"/>
        <v/>
      </c>
    </row>
    <row r="106" spans="2:13" ht="15.75" x14ac:dyDescent="0.25">
      <c r="B106" s="692"/>
      <c r="C106" s="117" t="str">
        <f>IF(ISNUMBER(B106),IFERROR(VLOOKUP(B106,'נתוני רישום ומצבת'!B:J,3,0),""),"")</f>
        <v/>
      </c>
      <c r="D106" s="693"/>
      <c r="E106" s="697"/>
      <c r="F106" s="695"/>
      <c r="G106" s="696"/>
      <c r="K106" s="22" t="str">
        <f t="shared" si="3"/>
        <v/>
      </c>
      <c r="M106" s="534" t="str">
        <f t="shared" si="2"/>
        <v/>
      </c>
    </row>
    <row r="107" spans="2:13" ht="15.75" x14ac:dyDescent="0.25">
      <c r="B107" s="692"/>
      <c r="C107" s="117" t="str">
        <f>IF(ISNUMBER(B107),IFERROR(VLOOKUP(B107,'נתוני רישום ומצבת'!B:J,3,0),""),"")</f>
        <v/>
      </c>
      <c r="D107" s="693"/>
      <c r="E107" s="697"/>
      <c r="F107" s="695"/>
      <c r="G107" s="696"/>
      <c r="K107" s="22" t="str">
        <f t="shared" si="3"/>
        <v/>
      </c>
      <c r="M107" s="534" t="str">
        <f t="shared" si="2"/>
        <v/>
      </c>
    </row>
    <row r="108" spans="2:13" ht="15.75" x14ac:dyDescent="0.25">
      <c r="B108" s="692"/>
      <c r="C108" s="117" t="str">
        <f>IF(ISNUMBER(B108),IFERROR(VLOOKUP(B108,'נתוני רישום ומצבת'!B:J,3,0),""),"")</f>
        <v/>
      </c>
      <c r="D108" s="693"/>
      <c r="E108" s="697"/>
      <c r="F108" s="695"/>
      <c r="G108" s="696"/>
      <c r="K108" s="22" t="str">
        <f t="shared" si="3"/>
        <v/>
      </c>
      <c r="M108" s="534" t="str">
        <f t="shared" si="2"/>
        <v/>
      </c>
    </row>
    <row r="109" spans="2:13" ht="15.75" x14ac:dyDescent="0.25">
      <c r="B109" s="692"/>
      <c r="C109" s="117" t="str">
        <f>IF(ISNUMBER(B109),IFERROR(VLOOKUP(B109,'נתוני רישום ומצבת'!B:J,3,0),""),"")</f>
        <v/>
      </c>
      <c r="D109" s="693"/>
      <c r="E109" s="697"/>
      <c r="F109" s="695"/>
      <c r="G109" s="696"/>
      <c r="K109" s="22" t="str">
        <f t="shared" si="3"/>
        <v/>
      </c>
      <c r="M109" s="534" t="str">
        <f t="shared" si="2"/>
        <v/>
      </c>
    </row>
    <row r="110" spans="2:13" ht="15.75" x14ac:dyDescent="0.25">
      <c r="B110" s="692"/>
      <c r="C110" s="117" t="str">
        <f>IF(ISNUMBER(B110),IFERROR(VLOOKUP(B110,'נתוני רישום ומצבת'!B:J,3,0),""),"")</f>
        <v/>
      </c>
      <c r="D110" s="693"/>
      <c r="E110" s="697"/>
      <c r="F110" s="695"/>
      <c r="G110" s="696"/>
      <c r="K110" s="22" t="str">
        <f t="shared" si="3"/>
        <v/>
      </c>
      <c r="M110" s="534" t="str">
        <f t="shared" si="2"/>
        <v/>
      </c>
    </row>
    <row r="111" spans="2:13" ht="15.75" x14ac:dyDescent="0.25">
      <c r="B111" s="692"/>
      <c r="C111" s="117" t="str">
        <f>IF(ISNUMBER(B111),IFERROR(VLOOKUP(B111,'נתוני רישום ומצבת'!B:J,3,0),""),"")</f>
        <v/>
      </c>
      <c r="D111" s="693"/>
      <c r="E111" s="697"/>
      <c r="F111" s="695"/>
      <c r="G111" s="696"/>
      <c r="K111" s="22" t="str">
        <f t="shared" si="3"/>
        <v/>
      </c>
      <c r="M111" s="534" t="str">
        <f t="shared" si="2"/>
        <v/>
      </c>
    </row>
    <row r="112" spans="2:13" ht="15.75" x14ac:dyDescent="0.25">
      <c r="B112" s="692"/>
      <c r="C112" s="117" t="str">
        <f>IF(ISNUMBER(B112),IFERROR(VLOOKUP(B112,'נתוני רישום ומצבת'!B:J,3,0),""),"")</f>
        <v/>
      </c>
      <c r="D112" s="693"/>
      <c r="E112" s="697"/>
      <c r="F112" s="695"/>
      <c r="G112" s="696"/>
      <c r="K112" s="22" t="str">
        <f t="shared" si="3"/>
        <v/>
      </c>
      <c r="M112" s="534" t="str">
        <f t="shared" si="2"/>
        <v/>
      </c>
    </row>
    <row r="113" spans="2:13" ht="15.75" x14ac:dyDescent="0.25">
      <c r="B113" s="692"/>
      <c r="C113" s="117" t="str">
        <f>IF(ISNUMBER(B113),IFERROR(VLOOKUP(B113,'נתוני רישום ומצבת'!B:J,3,0),""),"")</f>
        <v/>
      </c>
      <c r="D113" s="693"/>
      <c r="E113" s="697"/>
      <c r="F113" s="695"/>
      <c r="G113" s="696"/>
      <c r="K113" s="22" t="str">
        <f t="shared" si="3"/>
        <v/>
      </c>
      <c r="M113" s="534" t="str">
        <f t="shared" si="2"/>
        <v/>
      </c>
    </row>
    <row r="114" spans="2:13" ht="15.75" x14ac:dyDescent="0.25">
      <c r="B114" s="692"/>
      <c r="C114" s="117" t="str">
        <f>IF(ISNUMBER(B114),IFERROR(VLOOKUP(B114,'נתוני רישום ומצבת'!B:J,3,0),""),"")</f>
        <v/>
      </c>
      <c r="D114" s="693"/>
      <c r="E114" s="697"/>
      <c r="F114" s="695"/>
      <c r="G114" s="696"/>
      <c r="K114" s="22" t="str">
        <f t="shared" si="3"/>
        <v/>
      </c>
      <c r="M114" s="534" t="str">
        <f t="shared" si="2"/>
        <v/>
      </c>
    </row>
    <row r="115" spans="2:13" ht="15.75" x14ac:dyDescent="0.25">
      <c r="B115" s="692"/>
      <c r="C115" s="117" t="str">
        <f>IF(ISNUMBER(B115),IFERROR(VLOOKUP(B115,'נתוני רישום ומצבת'!B:J,3,0),""),"")</f>
        <v/>
      </c>
      <c r="D115" s="693"/>
      <c r="E115" s="697"/>
      <c r="F115" s="695"/>
      <c r="G115" s="696"/>
      <c r="K115" s="22" t="str">
        <f t="shared" si="3"/>
        <v/>
      </c>
      <c r="M115" s="534" t="str">
        <f t="shared" si="2"/>
        <v/>
      </c>
    </row>
    <row r="116" spans="2:13" ht="15.75" x14ac:dyDescent="0.25">
      <c r="B116" s="692"/>
      <c r="C116" s="117" t="str">
        <f>IF(ISNUMBER(B116),IFERROR(VLOOKUP(B116,'נתוני רישום ומצבת'!B:J,3,0),""),"")</f>
        <v/>
      </c>
      <c r="D116" s="693"/>
      <c r="E116" s="697"/>
      <c r="F116" s="695"/>
      <c r="G116" s="696"/>
      <c r="K116" s="22" t="str">
        <f t="shared" si="3"/>
        <v/>
      </c>
      <c r="M116" s="534" t="str">
        <f t="shared" si="2"/>
        <v/>
      </c>
    </row>
    <row r="117" spans="2:13" ht="15.75" x14ac:dyDescent="0.25">
      <c r="B117" s="692"/>
      <c r="C117" s="117" t="str">
        <f>IF(ISNUMBER(B117),IFERROR(VLOOKUP(B117,'נתוני רישום ומצבת'!B:J,3,0),""),"")</f>
        <v/>
      </c>
      <c r="D117" s="693"/>
      <c r="E117" s="697"/>
      <c r="F117" s="695"/>
      <c r="G117" s="696"/>
      <c r="K117" s="22" t="str">
        <f t="shared" si="3"/>
        <v/>
      </c>
      <c r="M117" s="534" t="str">
        <f t="shared" si="2"/>
        <v/>
      </c>
    </row>
    <row r="118" spans="2:13" ht="15.75" x14ac:dyDescent="0.25">
      <c r="B118" s="692"/>
      <c r="C118" s="117" t="str">
        <f>IF(ISNUMBER(B118),IFERROR(VLOOKUP(B118,'נתוני רישום ומצבת'!B:J,3,0),""),"")</f>
        <v/>
      </c>
      <c r="D118" s="693"/>
      <c r="E118" s="697"/>
      <c r="F118" s="695"/>
      <c r="G118" s="696"/>
      <c r="K118" s="22" t="str">
        <f t="shared" si="3"/>
        <v/>
      </c>
      <c r="M118" s="534" t="str">
        <f t="shared" si="2"/>
        <v/>
      </c>
    </row>
    <row r="119" spans="2:13" ht="15.75" x14ac:dyDescent="0.25">
      <c r="B119" s="692"/>
      <c r="C119" s="117" t="str">
        <f>IF(ISNUMBER(B119),IFERROR(VLOOKUP(B119,'נתוני רישום ומצבת'!B:J,3,0),""),"")</f>
        <v/>
      </c>
      <c r="D119" s="693"/>
      <c r="E119" s="697"/>
      <c r="F119" s="695"/>
      <c r="G119" s="696"/>
      <c r="K119" s="22" t="str">
        <f t="shared" si="3"/>
        <v/>
      </c>
      <c r="M119" s="534" t="str">
        <f t="shared" si="2"/>
        <v/>
      </c>
    </row>
    <row r="120" spans="2:13" ht="15.75" x14ac:dyDescent="0.25">
      <c r="B120" s="692"/>
      <c r="C120" s="117" t="str">
        <f>IF(ISNUMBER(B120),IFERROR(VLOOKUP(B120,'נתוני רישום ומצבת'!B:J,3,0),""),"")</f>
        <v/>
      </c>
      <c r="D120" s="693"/>
      <c r="E120" s="697"/>
      <c r="F120" s="695"/>
      <c r="G120" s="696"/>
      <c r="K120" s="22" t="str">
        <f t="shared" si="3"/>
        <v/>
      </c>
      <c r="M120" s="534" t="str">
        <f t="shared" si="2"/>
        <v/>
      </c>
    </row>
    <row r="121" spans="2:13" ht="15.75" x14ac:dyDescent="0.25">
      <c r="B121" s="692"/>
      <c r="C121" s="117" t="str">
        <f>IF(ISNUMBER(B121),IFERROR(VLOOKUP(B121,'נתוני רישום ומצבת'!B:J,3,0),""),"")</f>
        <v/>
      </c>
      <c r="D121" s="693"/>
      <c r="E121" s="697"/>
      <c r="F121" s="695"/>
      <c r="G121" s="696"/>
      <c r="K121" s="22" t="str">
        <f t="shared" si="3"/>
        <v/>
      </c>
      <c r="M121" s="534" t="str">
        <f t="shared" si="2"/>
        <v/>
      </c>
    </row>
    <row r="122" spans="2:13" ht="15.75" x14ac:dyDescent="0.25">
      <c r="B122" s="692"/>
      <c r="C122" s="117" t="str">
        <f>IF(ISNUMBER(B122),IFERROR(VLOOKUP(B122,'נתוני רישום ומצבת'!B:J,3,0),""),"")</f>
        <v/>
      </c>
      <c r="D122" s="693"/>
      <c r="E122" s="697"/>
      <c r="F122" s="695"/>
      <c r="G122" s="696"/>
      <c r="K122" s="22" t="str">
        <f t="shared" si="3"/>
        <v/>
      </c>
      <c r="M122" s="534" t="str">
        <f t="shared" si="2"/>
        <v/>
      </c>
    </row>
    <row r="123" spans="2:13" ht="15.75" x14ac:dyDescent="0.25">
      <c r="B123" s="692"/>
      <c r="C123" s="117" t="str">
        <f>IF(ISNUMBER(B123),IFERROR(VLOOKUP(B123,'נתוני רישום ומצבת'!B:J,3,0),""),"")</f>
        <v/>
      </c>
      <c r="D123" s="693"/>
      <c r="E123" s="697"/>
      <c r="F123" s="695"/>
      <c r="G123" s="696"/>
      <c r="K123" s="22" t="str">
        <f t="shared" si="3"/>
        <v/>
      </c>
      <c r="M123" s="534" t="str">
        <f t="shared" si="2"/>
        <v/>
      </c>
    </row>
    <row r="124" spans="2:13" ht="15.75" x14ac:dyDescent="0.25">
      <c r="B124" s="692"/>
      <c r="C124" s="117" t="str">
        <f>IF(ISNUMBER(B124),IFERROR(VLOOKUP(B124,'נתוני רישום ומצבת'!B:J,3,0),""),"")</f>
        <v/>
      </c>
      <c r="D124" s="693"/>
      <c r="E124" s="697"/>
      <c r="F124" s="695"/>
      <c r="G124" s="696"/>
      <c r="K124" s="22" t="str">
        <f t="shared" si="3"/>
        <v/>
      </c>
      <c r="M124" s="534" t="str">
        <f t="shared" si="2"/>
        <v/>
      </c>
    </row>
    <row r="125" spans="2:13" ht="15.75" x14ac:dyDescent="0.25">
      <c r="B125" s="692"/>
      <c r="C125" s="117" t="str">
        <f>IF(ISNUMBER(B125),IFERROR(VLOOKUP(B125,'נתוני רישום ומצבת'!B:J,3,0),""),"")</f>
        <v/>
      </c>
      <c r="D125" s="693"/>
      <c r="E125" s="697"/>
      <c r="F125" s="695"/>
      <c r="G125" s="696"/>
      <c r="K125" s="22" t="str">
        <f t="shared" si="3"/>
        <v/>
      </c>
      <c r="M125" s="534" t="str">
        <f t="shared" si="2"/>
        <v/>
      </c>
    </row>
    <row r="126" spans="2:13" ht="15.75" x14ac:dyDescent="0.25">
      <c r="B126" s="692"/>
      <c r="C126" s="117" t="str">
        <f>IF(ISNUMBER(B126),IFERROR(VLOOKUP(B126,'נתוני רישום ומצבת'!B:J,3,0),""),"")</f>
        <v/>
      </c>
      <c r="D126" s="693"/>
      <c r="E126" s="697"/>
      <c r="F126" s="695"/>
      <c r="G126" s="696"/>
      <c r="K126" s="22" t="str">
        <f t="shared" si="3"/>
        <v/>
      </c>
      <c r="M126" s="534" t="str">
        <f t="shared" si="2"/>
        <v/>
      </c>
    </row>
    <row r="127" spans="2:13" ht="15.75" x14ac:dyDescent="0.25">
      <c r="B127" s="692"/>
      <c r="C127" s="117" t="str">
        <f>IF(ISNUMBER(B127),IFERROR(VLOOKUP(B127,'נתוני רישום ומצבת'!B:J,3,0),""),"")</f>
        <v/>
      </c>
      <c r="D127" s="693"/>
      <c r="E127" s="697"/>
      <c r="F127" s="695"/>
      <c r="G127" s="696"/>
      <c r="K127" s="22" t="str">
        <f t="shared" si="3"/>
        <v/>
      </c>
      <c r="M127" s="534" t="str">
        <f t="shared" si="2"/>
        <v/>
      </c>
    </row>
    <row r="128" spans="2:13" ht="15.75" x14ac:dyDescent="0.25">
      <c r="B128" s="692"/>
      <c r="C128" s="117" t="str">
        <f>IF(ISNUMBER(B128),IFERROR(VLOOKUP(B128,'נתוני רישום ומצבת'!B:J,3,0),""),"")</f>
        <v/>
      </c>
      <c r="D128" s="693"/>
      <c r="E128" s="697"/>
      <c r="F128" s="695"/>
      <c r="G128" s="696"/>
      <c r="K128" s="22" t="str">
        <f t="shared" si="3"/>
        <v/>
      </c>
      <c r="M128" s="534" t="str">
        <f t="shared" si="2"/>
        <v/>
      </c>
    </row>
    <row r="129" spans="2:13" ht="15.75" x14ac:dyDescent="0.25">
      <c r="B129" s="692"/>
      <c r="C129" s="117" t="str">
        <f>IF(ISNUMBER(B129),IFERROR(VLOOKUP(B129,'נתוני רישום ומצבת'!B:J,3,0),""),"")</f>
        <v/>
      </c>
      <c r="D129" s="693"/>
      <c r="E129" s="697"/>
      <c r="F129" s="695"/>
      <c r="G129" s="696"/>
      <c r="K129" s="22" t="str">
        <f t="shared" si="3"/>
        <v/>
      </c>
      <c r="M129" s="534" t="str">
        <f t="shared" si="2"/>
        <v/>
      </c>
    </row>
    <row r="130" spans="2:13" ht="15.75" x14ac:dyDescent="0.25">
      <c r="B130" s="692"/>
      <c r="C130" s="117" t="str">
        <f>IF(ISNUMBER(B130),IFERROR(VLOOKUP(B130,'נתוני רישום ומצבת'!B:J,3,0),""),"")</f>
        <v/>
      </c>
      <c r="D130" s="693"/>
      <c r="E130" s="697"/>
      <c r="F130" s="695"/>
      <c r="G130" s="696"/>
      <c r="K130" s="22" t="str">
        <f t="shared" si="3"/>
        <v/>
      </c>
      <c r="M130" s="534" t="str">
        <f t="shared" si="2"/>
        <v/>
      </c>
    </row>
    <row r="131" spans="2:13" ht="15.75" x14ac:dyDescent="0.25">
      <c r="B131" s="692"/>
      <c r="C131" s="117" t="str">
        <f>IF(ISNUMBER(B131),IFERROR(VLOOKUP(B131,'נתוני רישום ומצבת'!B:J,3,0),""),"")</f>
        <v/>
      </c>
      <c r="D131" s="693"/>
      <c r="E131" s="697"/>
      <c r="F131" s="695"/>
      <c r="G131" s="696"/>
      <c r="K131" s="22" t="str">
        <f t="shared" si="3"/>
        <v/>
      </c>
      <c r="M131" s="534" t="str">
        <f t="shared" si="2"/>
        <v/>
      </c>
    </row>
    <row r="132" spans="2:13" ht="15.75" x14ac:dyDescent="0.25">
      <c r="B132" s="692"/>
      <c r="C132" s="117" t="str">
        <f>IF(ISNUMBER(B132),IFERROR(VLOOKUP(B132,'נתוני רישום ומצבת'!B:J,3,0),""),"")</f>
        <v/>
      </c>
      <c r="D132" s="693"/>
      <c r="E132" s="697"/>
      <c r="F132" s="695"/>
      <c r="G132" s="696"/>
      <c r="K132" s="22" t="str">
        <f t="shared" si="3"/>
        <v/>
      </c>
      <c r="M132" s="534" t="str">
        <f t="shared" si="2"/>
        <v/>
      </c>
    </row>
    <row r="133" spans="2:13" ht="15.75" x14ac:dyDescent="0.25">
      <c r="B133" s="692"/>
      <c r="C133" s="117" t="str">
        <f>IF(ISNUMBER(B133),IFERROR(VLOOKUP(B133,'נתוני רישום ומצבת'!B:J,3,0),""),"")</f>
        <v/>
      </c>
      <c r="D133" s="693"/>
      <c r="E133" s="697"/>
      <c r="F133" s="695"/>
      <c r="G133" s="696"/>
      <c r="K133" s="22" t="str">
        <f t="shared" si="3"/>
        <v/>
      </c>
      <c r="M133" s="534" t="str">
        <f t="shared" si="2"/>
        <v/>
      </c>
    </row>
    <row r="134" spans="2:13" ht="15.75" x14ac:dyDescent="0.25">
      <c r="B134" s="692"/>
      <c r="C134" s="117" t="str">
        <f>IF(ISNUMBER(B134),IFERROR(VLOOKUP(B134,'נתוני רישום ומצבת'!B:J,3,0),""),"")</f>
        <v/>
      </c>
      <c r="D134" s="693"/>
      <c r="E134" s="697"/>
      <c r="F134" s="695"/>
      <c r="G134" s="696"/>
      <c r="K134" s="22" t="str">
        <f t="shared" si="3"/>
        <v/>
      </c>
      <c r="M134" s="534" t="str">
        <f t="shared" si="2"/>
        <v/>
      </c>
    </row>
    <row r="135" spans="2:13" ht="15.75" x14ac:dyDescent="0.25">
      <c r="B135" s="692"/>
      <c r="C135" s="117" t="str">
        <f>IF(ISNUMBER(B135),IFERROR(VLOOKUP(B135,'נתוני רישום ומצבת'!B:J,3,0),""),"")</f>
        <v/>
      </c>
      <c r="D135" s="693"/>
      <c r="E135" s="697"/>
      <c r="F135" s="695"/>
      <c r="G135" s="696"/>
      <c r="K135" s="22" t="str">
        <f t="shared" si="3"/>
        <v/>
      </c>
      <c r="M135" s="534" t="str">
        <f t="shared" si="2"/>
        <v/>
      </c>
    </row>
    <row r="136" spans="2:13" ht="15.75" x14ac:dyDescent="0.25">
      <c r="B136" s="692"/>
      <c r="C136" s="117" t="str">
        <f>IF(ISNUMBER(B136),IFERROR(VLOOKUP(B136,'נתוני רישום ומצבת'!B:J,3,0),""),"")</f>
        <v/>
      </c>
      <c r="D136" s="693"/>
      <c r="E136" s="697"/>
      <c r="F136" s="695"/>
      <c r="G136" s="696"/>
      <c r="K136" s="22" t="str">
        <f t="shared" si="3"/>
        <v/>
      </c>
      <c r="M136" s="534" t="str">
        <f t="shared" si="2"/>
        <v/>
      </c>
    </row>
    <row r="137" spans="2:13" ht="15.75" x14ac:dyDescent="0.25">
      <c r="B137" s="692"/>
      <c r="C137" s="117" t="str">
        <f>IF(ISNUMBER(B137),IFERROR(VLOOKUP(B137,'נתוני רישום ומצבת'!B:J,3,0),""),"")</f>
        <v/>
      </c>
      <c r="D137" s="693"/>
      <c r="E137" s="697"/>
      <c r="F137" s="695"/>
      <c r="G137" s="696"/>
      <c r="K137" s="22" t="str">
        <f t="shared" si="3"/>
        <v/>
      </c>
      <c r="M137" s="534" t="str">
        <f t="shared" si="2"/>
        <v/>
      </c>
    </row>
    <row r="138" spans="2:13" ht="15.75" x14ac:dyDescent="0.25">
      <c r="B138" s="692"/>
      <c r="C138" s="117" t="str">
        <f>IF(ISNUMBER(B138),IFERROR(VLOOKUP(B138,'נתוני רישום ומצבת'!B:J,3,0),""),"")</f>
        <v/>
      </c>
      <c r="D138" s="693"/>
      <c r="E138" s="697"/>
      <c r="F138" s="695"/>
      <c r="G138" s="696"/>
      <c r="K138" s="22" t="str">
        <f t="shared" si="3"/>
        <v/>
      </c>
      <c r="M138" s="534" t="str">
        <f t="shared" si="2"/>
        <v/>
      </c>
    </row>
    <row r="139" spans="2:13" ht="15.75" x14ac:dyDescent="0.25">
      <c r="B139" s="692"/>
      <c r="C139" s="117" t="str">
        <f>IF(ISNUMBER(B139),IFERROR(VLOOKUP(B139,'נתוני רישום ומצבת'!B:J,3,0),""),"")</f>
        <v/>
      </c>
      <c r="D139" s="693"/>
      <c r="E139" s="697"/>
      <c r="F139" s="695"/>
      <c r="G139" s="696"/>
      <c r="K139" s="22" t="str">
        <f t="shared" si="3"/>
        <v/>
      </c>
      <c r="M139" s="534" t="str">
        <f t="shared" si="2"/>
        <v/>
      </c>
    </row>
    <row r="140" spans="2:13" ht="15.75" x14ac:dyDescent="0.25">
      <c r="B140" s="692"/>
      <c r="C140" s="117" t="str">
        <f>IF(ISNUMBER(B140),IFERROR(VLOOKUP(B140,'נתוני רישום ומצבת'!B:J,3,0),""),"")</f>
        <v/>
      </c>
      <c r="D140" s="693"/>
      <c r="E140" s="697"/>
      <c r="F140" s="695"/>
      <c r="G140" s="696"/>
      <c r="K140" s="22" t="str">
        <f t="shared" si="3"/>
        <v/>
      </c>
      <c r="M140" s="534" t="str">
        <f t="shared" si="2"/>
        <v/>
      </c>
    </row>
    <row r="141" spans="2:13" ht="15.75" x14ac:dyDescent="0.25">
      <c r="B141" s="692"/>
      <c r="C141" s="117" t="str">
        <f>IF(ISNUMBER(B141),IFERROR(VLOOKUP(B141,'נתוני רישום ומצבת'!B:J,3,0),""),"")</f>
        <v/>
      </c>
      <c r="D141" s="693"/>
      <c r="E141" s="697"/>
      <c r="F141" s="695"/>
      <c r="G141" s="696"/>
      <c r="K141" s="22" t="str">
        <f t="shared" si="3"/>
        <v/>
      </c>
      <c r="M141" s="534" t="str">
        <f t="shared" si="2"/>
        <v/>
      </c>
    </row>
    <row r="142" spans="2:13" ht="15.75" x14ac:dyDescent="0.25">
      <c r="B142" s="692"/>
      <c r="C142" s="117" t="str">
        <f>IF(ISNUMBER(B142),IFERROR(VLOOKUP(B142,'נתוני רישום ומצבת'!B:J,3,0),""),"")</f>
        <v/>
      </c>
      <c r="D142" s="693"/>
      <c r="E142" s="697"/>
      <c r="F142" s="695"/>
      <c r="G142" s="696"/>
      <c r="K142" s="22" t="str">
        <f t="shared" si="3"/>
        <v/>
      </c>
      <c r="M142" s="534" t="str">
        <f t="shared" si="2"/>
        <v/>
      </c>
    </row>
    <row r="143" spans="2:13" ht="15.75" x14ac:dyDescent="0.25">
      <c r="B143" s="692"/>
      <c r="C143" s="117" t="str">
        <f>IF(ISNUMBER(B143),IFERROR(VLOOKUP(B143,'נתוני רישום ומצבת'!B:J,3,0),""),"")</f>
        <v/>
      </c>
      <c r="D143" s="693"/>
      <c r="E143" s="697"/>
      <c r="F143" s="695"/>
      <c r="G143" s="696"/>
      <c r="K143" s="22" t="str">
        <f t="shared" si="3"/>
        <v/>
      </c>
      <c r="M143" s="534" t="str">
        <f t="shared" si="2"/>
        <v/>
      </c>
    </row>
    <row r="144" spans="2:13" ht="15.75" x14ac:dyDescent="0.25">
      <c r="B144" s="692"/>
      <c r="C144" s="117" t="str">
        <f>IF(ISNUMBER(B144),IFERROR(VLOOKUP(B144,'נתוני רישום ומצבת'!B:J,3,0),""),"")</f>
        <v/>
      </c>
      <c r="D144" s="693"/>
      <c r="E144" s="697"/>
      <c r="F144" s="695"/>
      <c r="G144" s="696"/>
      <c r="K144" s="22" t="str">
        <f t="shared" si="3"/>
        <v/>
      </c>
      <c r="M144" s="534" t="str">
        <f t="shared" si="2"/>
        <v/>
      </c>
    </row>
    <row r="145" spans="2:13" ht="15.75" x14ac:dyDescent="0.25">
      <c r="B145" s="692"/>
      <c r="C145" s="117" t="str">
        <f>IF(ISNUMBER(B145),IFERROR(VLOOKUP(B145,'נתוני רישום ומצבת'!B:J,3,0),""),"")</f>
        <v/>
      </c>
      <c r="D145" s="693"/>
      <c r="E145" s="697"/>
      <c r="F145" s="695"/>
      <c r="G145" s="696"/>
      <c r="K145" s="22" t="str">
        <f t="shared" si="3"/>
        <v/>
      </c>
      <c r="M145" s="534" t="str">
        <f t="shared" ref="M145:M208" si="4">TEXT(LEFT(D145,2),0)</f>
        <v/>
      </c>
    </row>
    <row r="146" spans="2:13" ht="15.75" x14ac:dyDescent="0.25">
      <c r="B146" s="692"/>
      <c r="C146" s="117" t="str">
        <f>IF(ISNUMBER(B146),IFERROR(VLOOKUP(B146,'נתוני רישום ומצבת'!B:J,3,0),""),"")</f>
        <v/>
      </c>
      <c r="D146" s="693"/>
      <c r="E146" s="697"/>
      <c r="F146" s="695"/>
      <c r="G146" s="696"/>
      <c r="K146" s="22" t="str">
        <f t="shared" si="3"/>
        <v/>
      </c>
      <c r="M146" s="534" t="str">
        <f t="shared" si="4"/>
        <v/>
      </c>
    </row>
    <row r="147" spans="2:13" ht="15.75" x14ac:dyDescent="0.25">
      <c r="B147" s="692"/>
      <c r="C147" s="117" t="str">
        <f>IF(ISNUMBER(B147),IFERROR(VLOOKUP(B147,'נתוני רישום ומצבת'!B:J,3,0),""),"")</f>
        <v/>
      </c>
      <c r="D147" s="693"/>
      <c r="E147" s="697"/>
      <c r="F147" s="695"/>
      <c r="G147" s="696"/>
      <c r="K147" s="22" t="str">
        <f t="shared" si="3"/>
        <v/>
      </c>
      <c r="M147" s="534" t="str">
        <f t="shared" si="4"/>
        <v/>
      </c>
    </row>
    <row r="148" spans="2:13" ht="15.75" x14ac:dyDescent="0.25">
      <c r="B148" s="692"/>
      <c r="C148" s="117" t="str">
        <f>IF(ISNUMBER(B148),IFERROR(VLOOKUP(B148,'נתוני רישום ומצבת'!B:J,3,0),""),"")</f>
        <v/>
      </c>
      <c r="D148" s="693"/>
      <c r="E148" s="697"/>
      <c r="F148" s="695"/>
      <c r="G148" s="696"/>
      <c r="K148" s="22" t="str">
        <f t="shared" si="3"/>
        <v/>
      </c>
      <c r="M148" s="534" t="str">
        <f t="shared" si="4"/>
        <v/>
      </c>
    </row>
    <row r="149" spans="2:13" ht="15.75" x14ac:dyDescent="0.25">
      <c r="B149" s="692"/>
      <c r="C149" s="117" t="str">
        <f>IF(ISNUMBER(B149),IFERROR(VLOOKUP(B149,'נתוני רישום ומצבת'!B:J,3,0),""),"")</f>
        <v/>
      </c>
      <c r="D149" s="693"/>
      <c r="E149" s="697"/>
      <c r="F149" s="695"/>
      <c r="G149" s="696"/>
      <c r="K149" s="22" t="str">
        <f t="shared" ref="K149:K212" si="5">IF(C136&lt;5,IF(D149=$F$8,-E149," "),"")</f>
        <v/>
      </c>
      <c r="M149" s="534" t="str">
        <f t="shared" si="4"/>
        <v/>
      </c>
    </row>
    <row r="150" spans="2:13" ht="15.75" x14ac:dyDescent="0.25">
      <c r="B150" s="692"/>
      <c r="C150" s="117" t="str">
        <f>IF(ISNUMBER(B150),IFERROR(VLOOKUP(B150,'נתוני רישום ומצבת'!B:J,3,0),""),"")</f>
        <v/>
      </c>
      <c r="D150" s="693"/>
      <c r="E150" s="697"/>
      <c r="F150" s="695"/>
      <c r="G150" s="696"/>
      <c r="K150" s="22" t="str">
        <f t="shared" si="5"/>
        <v/>
      </c>
      <c r="M150" s="534" t="str">
        <f t="shared" si="4"/>
        <v/>
      </c>
    </row>
    <row r="151" spans="2:13" ht="15.75" x14ac:dyDescent="0.25">
      <c r="B151" s="692"/>
      <c r="C151" s="117" t="str">
        <f>IF(ISNUMBER(B151),IFERROR(VLOOKUP(B151,'נתוני רישום ומצבת'!B:J,3,0),""),"")</f>
        <v/>
      </c>
      <c r="D151" s="693"/>
      <c r="E151" s="697"/>
      <c r="F151" s="695"/>
      <c r="G151" s="696"/>
      <c r="K151" s="22" t="str">
        <f t="shared" si="5"/>
        <v/>
      </c>
      <c r="M151" s="534" t="str">
        <f t="shared" si="4"/>
        <v/>
      </c>
    </row>
    <row r="152" spans="2:13" ht="15.75" x14ac:dyDescent="0.25">
      <c r="B152" s="692"/>
      <c r="C152" s="117" t="str">
        <f>IF(ISNUMBER(B152),IFERROR(VLOOKUP(B152,'נתוני רישום ומצבת'!B:J,3,0),""),"")</f>
        <v/>
      </c>
      <c r="D152" s="693"/>
      <c r="E152" s="697"/>
      <c r="F152" s="695"/>
      <c r="G152" s="696"/>
      <c r="K152" s="22" t="str">
        <f t="shared" si="5"/>
        <v/>
      </c>
      <c r="M152" s="534" t="str">
        <f t="shared" si="4"/>
        <v/>
      </c>
    </row>
    <row r="153" spans="2:13" ht="15.75" x14ac:dyDescent="0.25">
      <c r="B153" s="692"/>
      <c r="C153" s="117" t="str">
        <f>IF(ISNUMBER(B153),IFERROR(VLOOKUP(B153,'נתוני רישום ומצבת'!B:J,3,0),""),"")</f>
        <v/>
      </c>
      <c r="D153" s="693"/>
      <c r="E153" s="697"/>
      <c r="F153" s="695"/>
      <c r="G153" s="696"/>
      <c r="K153" s="22" t="str">
        <f t="shared" si="5"/>
        <v/>
      </c>
      <c r="M153" s="534" t="str">
        <f t="shared" si="4"/>
        <v/>
      </c>
    </row>
    <row r="154" spans="2:13" ht="15.75" x14ac:dyDescent="0.25">
      <c r="B154" s="692"/>
      <c r="C154" s="117" t="str">
        <f>IF(ISNUMBER(B154),IFERROR(VLOOKUP(B154,'נתוני רישום ומצבת'!B:J,3,0),""),"")</f>
        <v/>
      </c>
      <c r="D154" s="693"/>
      <c r="E154" s="697"/>
      <c r="F154" s="695"/>
      <c r="G154" s="696"/>
      <c r="K154" s="22" t="str">
        <f t="shared" si="5"/>
        <v/>
      </c>
      <c r="M154" s="534" t="str">
        <f t="shared" si="4"/>
        <v/>
      </c>
    </row>
    <row r="155" spans="2:13" ht="15.75" x14ac:dyDescent="0.25">
      <c r="B155" s="692"/>
      <c r="C155" s="117" t="str">
        <f>IF(ISNUMBER(B155),IFERROR(VLOOKUP(B155,'נתוני רישום ומצבת'!B:J,3,0),""),"")</f>
        <v/>
      </c>
      <c r="D155" s="693"/>
      <c r="E155" s="697"/>
      <c r="F155" s="695"/>
      <c r="G155" s="696"/>
      <c r="K155" s="22" t="str">
        <f t="shared" si="5"/>
        <v/>
      </c>
      <c r="M155" s="534" t="str">
        <f t="shared" si="4"/>
        <v/>
      </c>
    </row>
    <row r="156" spans="2:13" ht="15.75" x14ac:dyDescent="0.25">
      <c r="B156" s="692"/>
      <c r="C156" s="117" t="str">
        <f>IF(ISNUMBER(B156),IFERROR(VLOOKUP(B156,'נתוני רישום ומצבת'!B:J,3,0),""),"")</f>
        <v/>
      </c>
      <c r="D156" s="693"/>
      <c r="E156" s="697"/>
      <c r="F156" s="695"/>
      <c r="G156" s="696"/>
      <c r="K156" s="22" t="str">
        <f t="shared" si="5"/>
        <v/>
      </c>
      <c r="M156" s="534" t="str">
        <f t="shared" si="4"/>
        <v/>
      </c>
    </row>
    <row r="157" spans="2:13" ht="15.75" x14ac:dyDescent="0.25">
      <c r="B157" s="692"/>
      <c r="C157" s="117" t="str">
        <f>IF(ISNUMBER(B157),IFERROR(VLOOKUP(B157,'נתוני רישום ומצבת'!B:J,3,0),""),"")</f>
        <v/>
      </c>
      <c r="D157" s="693"/>
      <c r="E157" s="697"/>
      <c r="F157" s="695"/>
      <c r="G157" s="696"/>
      <c r="K157" s="22" t="str">
        <f t="shared" si="5"/>
        <v/>
      </c>
      <c r="M157" s="534" t="str">
        <f t="shared" si="4"/>
        <v/>
      </c>
    </row>
    <row r="158" spans="2:13" ht="15.75" x14ac:dyDescent="0.25">
      <c r="B158" s="692"/>
      <c r="C158" s="117" t="str">
        <f>IF(ISNUMBER(B158),IFERROR(VLOOKUP(B158,'נתוני רישום ומצבת'!B:J,3,0),""),"")</f>
        <v/>
      </c>
      <c r="D158" s="693"/>
      <c r="E158" s="697"/>
      <c r="F158" s="695"/>
      <c r="G158" s="696"/>
      <c r="K158" s="22" t="str">
        <f t="shared" si="5"/>
        <v/>
      </c>
      <c r="M158" s="534" t="str">
        <f t="shared" si="4"/>
        <v/>
      </c>
    </row>
    <row r="159" spans="2:13" ht="15.75" x14ac:dyDescent="0.25">
      <c r="B159" s="692"/>
      <c r="C159" s="117" t="str">
        <f>IF(ISNUMBER(B159),IFERROR(VLOOKUP(B159,'נתוני רישום ומצבת'!B:J,3,0),""),"")</f>
        <v/>
      </c>
      <c r="D159" s="693"/>
      <c r="E159" s="697"/>
      <c r="F159" s="695"/>
      <c r="G159" s="696"/>
      <c r="K159" s="22" t="str">
        <f t="shared" si="5"/>
        <v/>
      </c>
      <c r="M159" s="534" t="str">
        <f t="shared" si="4"/>
        <v/>
      </c>
    </row>
    <row r="160" spans="2:13" ht="15.75" x14ac:dyDescent="0.25">
      <c r="B160" s="692"/>
      <c r="C160" s="117" t="str">
        <f>IF(ISNUMBER(B160),IFERROR(VLOOKUP(B160,'נתוני רישום ומצבת'!B:J,3,0),""),"")</f>
        <v/>
      </c>
      <c r="D160" s="693"/>
      <c r="E160" s="697"/>
      <c r="F160" s="695"/>
      <c r="G160" s="696"/>
      <c r="K160" s="22" t="str">
        <f t="shared" si="5"/>
        <v/>
      </c>
      <c r="M160" s="534" t="str">
        <f t="shared" si="4"/>
        <v/>
      </c>
    </row>
    <row r="161" spans="2:13" ht="15.75" x14ac:dyDescent="0.25">
      <c r="B161" s="692"/>
      <c r="C161" s="117" t="str">
        <f>IF(ISNUMBER(B161),IFERROR(VLOOKUP(B161,'נתוני רישום ומצבת'!B:J,3,0),""),"")</f>
        <v/>
      </c>
      <c r="D161" s="693"/>
      <c r="E161" s="697"/>
      <c r="F161" s="695"/>
      <c r="G161" s="696"/>
      <c r="K161" s="22" t="str">
        <f t="shared" si="5"/>
        <v/>
      </c>
      <c r="M161" s="534" t="str">
        <f t="shared" si="4"/>
        <v/>
      </c>
    </row>
    <row r="162" spans="2:13" ht="15.75" x14ac:dyDescent="0.25">
      <c r="B162" s="692"/>
      <c r="C162" s="117" t="str">
        <f>IF(ISNUMBER(B162),IFERROR(VLOOKUP(B162,'נתוני רישום ומצבת'!B:J,3,0),""),"")</f>
        <v/>
      </c>
      <c r="D162" s="693"/>
      <c r="E162" s="697"/>
      <c r="F162" s="695"/>
      <c r="G162" s="696"/>
      <c r="K162" s="22" t="str">
        <f t="shared" si="5"/>
        <v/>
      </c>
      <c r="M162" s="534" t="str">
        <f t="shared" si="4"/>
        <v/>
      </c>
    </row>
    <row r="163" spans="2:13" ht="15.75" x14ac:dyDescent="0.25">
      <c r="B163" s="692"/>
      <c r="C163" s="117" t="str">
        <f>IF(ISNUMBER(B163),IFERROR(VLOOKUP(B163,'נתוני רישום ומצבת'!B:J,3,0),""),"")</f>
        <v/>
      </c>
      <c r="D163" s="693"/>
      <c r="E163" s="697"/>
      <c r="F163" s="695"/>
      <c r="G163" s="696"/>
      <c r="K163" s="22" t="str">
        <f t="shared" si="5"/>
        <v/>
      </c>
      <c r="M163" s="534" t="str">
        <f t="shared" si="4"/>
        <v/>
      </c>
    </row>
    <row r="164" spans="2:13" ht="15.75" x14ac:dyDescent="0.25">
      <c r="B164" s="692"/>
      <c r="C164" s="117" t="str">
        <f>IF(ISNUMBER(B164),IFERROR(VLOOKUP(B164,'נתוני רישום ומצבת'!B:J,3,0),""),"")</f>
        <v/>
      </c>
      <c r="D164" s="693"/>
      <c r="E164" s="697"/>
      <c r="F164" s="695"/>
      <c r="G164" s="696"/>
      <c r="K164" s="22" t="str">
        <f t="shared" si="5"/>
        <v/>
      </c>
      <c r="M164" s="534" t="str">
        <f t="shared" si="4"/>
        <v/>
      </c>
    </row>
    <row r="165" spans="2:13" ht="15.75" x14ac:dyDescent="0.25">
      <c r="B165" s="692"/>
      <c r="C165" s="117" t="str">
        <f>IF(ISNUMBER(B165),IFERROR(VLOOKUP(B165,'נתוני רישום ומצבת'!B:J,3,0),""),"")</f>
        <v/>
      </c>
      <c r="D165" s="693"/>
      <c r="E165" s="697"/>
      <c r="F165" s="695"/>
      <c r="G165" s="696"/>
      <c r="K165" s="22" t="str">
        <f t="shared" si="5"/>
        <v/>
      </c>
      <c r="M165" s="534" t="str">
        <f t="shared" si="4"/>
        <v/>
      </c>
    </row>
    <row r="166" spans="2:13" ht="15.75" x14ac:dyDescent="0.25">
      <c r="B166" s="692"/>
      <c r="C166" s="117" t="str">
        <f>IF(ISNUMBER(B166),IFERROR(VLOOKUP(B166,'נתוני רישום ומצבת'!B:J,3,0),""),"")</f>
        <v/>
      </c>
      <c r="D166" s="693"/>
      <c r="E166" s="697"/>
      <c r="F166" s="695"/>
      <c r="G166" s="696"/>
      <c r="K166" s="22" t="str">
        <f t="shared" si="5"/>
        <v/>
      </c>
      <c r="M166" s="534" t="str">
        <f t="shared" si="4"/>
        <v/>
      </c>
    </row>
    <row r="167" spans="2:13" ht="15.75" x14ac:dyDescent="0.25">
      <c r="B167" s="692"/>
      <c r="C167" s="117" t="str">
        <f>IF(ISNUMBER(B167),IFERROR(VLOOKUP(B167,'נתוני רישום ומצבת'!B:J,3,0),""),"")</f>
        <v/>
      </c>
      <c r="D167" s="693"/>
      <c r="E167" s="697"/>
      <c r="F167" s="695"/>
      <c r="G167" s="696"/>
      <c r="K167" s="22" t="str">
        <f t="shared" si="5"/>
        <v/>
      </c>
      <c r="M167" s="534" t="str">
        <f t="shared" si="4"/>
        <v/>
      </c>
    </row>
    <row r="168" spans="2:13" ht="15.75" x14ac:dyDescent="0.25">
      <c r="B168" s="692"/>
      <c r="C168" s="117" t="str">
        <f>IF(ISNUMBER(B168),IFERROR(VLOOKUP(B168,'נתוני רישום ומצבת'!B:J,3,0),""),"")</f>
        <v/>
      </c>
      <c r="D168" s="693"/>
      <c r="E168" s="697"/>
      <c r="F168" s="695"/>
      <c r="G168" s="696"/>
      <c r="K168" s="22" t="str">
        <f t="shared" si="5"/>
        <v/>
      </c>
      <c r="M168" s="534" t="str">
        <f t="shared" si="4"/>
        <v/>
      </c>
    </row>
    <row r="169" spans="2:13" ht="15.75" x14ac:dyDescent="0.25">
      <c r="B169" s="692"/>
      <c r="C169" s="117" t="str">
        <f>IF(ISNUMBER(B169),IFERROR(VLOOKUP(B169,'נתוני רישום ומצבת'!B:J,3,0),""),"")</f>
        <v/>
      </c>
      <c r="D169" s="693"/>
      <c r="E169" s="697"/>
      <c r="F169" s="695"/>
      <c r="G169" s="696"/>
      <c r="K169" s="22" t="str">
        <f t="shared" si="5"/>
        <v/>
      </c>
      <c r="M169" s="534" t="str">
        <f t="shared" si="4"/>
        <v/>
      </c>
    </row>
    <row r="170" spans="2:13" ht="15.75" x14ac:dyDescent="0.25">
      <c r="B170" s="692"/>
      <c r="C170" s="117" t="str">
        <f>IF(ISNUMBER(B170),IFERROR(VLOOKUP(B170,'נתוני רישום ומצבת'!B:J,3,0),""),"")</f>
        <v/>
      </c>
      <c r="D170" s="693"/>
      <c r="E170" s="697"/>
      <c r="F170" s="695"/>
      <c r="G170" s="696"/>
      <c r="K170" s="22" t="str">
        <f t="shared" si="5"/>
        <v/>
      </c>
      <c r="M170" s="534" t="str">
        <f t="shared" si="4"/>
        <v/>
      </c>
    </row>
    <row r="171" spans="2:13" ht="15.75" x14ac:dyDescent="0.25">
      <c r="B171" s="692"/>
      <c r="C171" s="117" t="str">
        <f>IF(ISNUMBER(B171),IFERROR(VLOOKUP(B171,'נתוני רישום ומצבת'!B:J,3,0),""),"")</f>
        <v/>
      </c>
      <c r="D171" s="693"/>
      <c r="E171" s="697"/>
      <c r="F171" s="695"/>
      <c r="G171" s="696"/>
      <c r="K171" s="22" t="str">
        <f t="shared" si="5"/>
        <v/>
      </c>
      <c r="M171" s="534" t="str">
        <f t="shared" si="4"/>
        <v/>
      </c>
    </row>
    <row r="172" spans="2:13" ht="15.75" x14ac:dyDescent="0.25">
      <c r="B172" s="692"/>
      <c r="C172" s="117" t="str">
        <f>IF(ISNUMBER(B172),IFERROR(VLOOKUP(B172,'נתוני רישום ומצבת'!B:J,3,0),""),"")</f>
        <v/>
      </c>
      <c r="D172" s="693"/>
      <c r="E172" s="697"/>
      <c r="F172" s="695"/>
      <c r="G172" s="696"/>
      <c r="K172" s="22" t="str">
        <f t="shared" si="5"/>
        <v/>
      </c>
      <c r="M172" s="534" t="str">
        <f t="shared" si="4"/>
        <v/>
      </c>
    </row>
    <row r="173" spans="2:13" ht="15.75" x14ac:dyDescent="0.25">
      <c r="B173" s="692"/>
      <c r="C173" s="117" t="str">
        <f>IF(ISNUMBER(B173),IFERROR(VLOOKUP(B173,'נתוני רישום ומצבת'!B:J,3,0),""),"")</f>
        <v/>
      </c>
      <c r="D173" s="693"/>
      <c r="E173" s="697"/>
      <c r="F173" s="695"/>
      <c r="G173" s="696"/>
      <c r="K173" s="22" t="str">
        <f t="shared" si="5"/>
        <v/>
      </c>
      <c r="M173" s="534" t="str">
        <f t="shared" si="4"/>
        <v/>
      </c>
    </row>
    <row r="174" spans="2:13" ht="15.75" x14ac:dyDescent="0.25">
      <c r="B174" s="692"/>
      <c r="C174" s="117" t="str">
        <f>IF(ISNUMBER(B174),IFERROR(VLOOKUP(B174,'נתוני רישום ומצבת'!B:J,3,0),""),"")</f>
        <v/>
      </c>
      <c r="D174" s="693"/>
      <c r="E174" s="697"/>
      <c r="F174" s="695"/>
      <c r="G174" s="696"/>
      <c r="K174" s="22" t="str">
        <f t="shared" si="5"/>
        <v/>
      </c>
      <c r="M174" s="534" t="str">
        <f t="shared" si="4"/>
        <v/>
      </c>
    </row>
    <row r="175" spans="2:13" ht="15.75" x14ac:dyDescent="0.25">
      <c r="B175" s="692"/>
      <c r="C175" s="117" t="str">
        <f>IF(ISNUMBER(B175),IFERROR(VLOOKUP(B175,'נתוני רישום ומצבת'!B:J,3,0),""),"")</f>
        <v/>
      </c>
      <c r="D175" s="693"/>
      <c r="E175" s="697"/>
      <c r="F175" s="695"/>
      <c r="G175" s="696"/>
      <c r="K175" s="22" t="str">
        <f t="shared" si="5"/>
        <v/>
      </c>
      <c r="M175" s="534" t="str">
        <f t="shared" si="4"/>
        <v/>
      </c>
    </row>
    <row r="176" spans="2:13" ht="15.75" x14ac:dyDescent="0.25">
      <c r="B176" s="692"/>
      <c r="C176" s="117" t="str">
        <f>IF(ISNUMBER(B176),IFERROR(VLOOKUP(B176,'נתוני רישום ומצבת'!B:J,3,0),""),"")</f>
        <v/>
      </c>
      <c r="D176" s="693"/>
      <c r="E176" s="697"/>
      <c r="F176" s="695"/>
      <c r="G176" s="696"/>
      <c r="K176" s="22" t="str">
        <f t="shared" si="5"/>
        <v/>
      </c>
      <c r="M176" s="534" t="str">
        <f t="shared" si="4"/>
        <v/>
      </c>
    </row>
    <row r="177" spans="2:13" ht="15.75" x14ac:dyDescent="0.25">
      <c r="B177" s="692"/>
      <c r="C177" s="117" t="str">
        <f>IF(ISNUMBER(B177),IFERROR(VLOOKUP(B177,'נתוני רישום ומצבת'!B:J,3,0),""),"")</f>
        <v/>
      </c>
      <c r="D177" s="693"/>
      <c r="E177" s="697"/>
      <c r="F177" s="695"/>
      <c r="G177" s="696"/>
      <c r="K177" s="22" t="str">
        <f t="shared" si="5"/>
        <v/>
      </c>
      <c r="M177" s="534" t="str">
        <f t="shared" si="4"/>
        <v/>
      </c>
    </row>
    <row r="178" spans="2:13" ht="15.75" x14ac:dyDescent="0.25">
      <c r="B178" s="692"/>
      <c r="C178" s="117" t="str">
        <f>IF(ISNUMBER(B178),IFERROR(VLOOKUP(B178,'נתוני רישום ומצבת'!B:J,3,0),""),"")</f>
        <v/>
      </c>
      <c r="D178" s="693"/>
      <c r="E178" s="697"/>
      <c r="F178" s="695"/>
      <c r="G178" s="696"/>
      <c r="K178" s="22" t="str">
        <f t="shared" si="5"/>
        <v/>
      </c>
      <c r="M178" s="534" t="str">
        <f t="shared" si="4"/>
        <v/>
      </c>
    </row>
    <row r="179" spans="2:13" ht="15.75" x14ac:dyDescent="0.25">
      <c r="B179" s="692"/>
      <c r="C179" s="117" t="str">
        <f>IF(ISNUMBER(B179),IFERROR(VLOOKUP(B179,'נתוני רישום ומצבת'!B:J,3,0),""),"")</f>
        <v/>
      </c>
      <c r="D179" s="693"/>
      <c r="E179" s="697"/>
      <c r="F179" s="695"/>
      <c r="G179" s="696"/>
      <c r="K179" s="22" t="str">
        <f t="shared" si="5"/>
        <v/>
      </c>
      <c r="M179" s="534" t="str">
        <f t="shared" si="4"/>
        <v/>
      </c>
    </row>
    <row r="180" spans="2:13" ht="15.75" x14ac:dyDescent="0.25">
      <c r="B180" s="692"/>
      <c r="C180" s="117" t="str">
        <f>IF(ISNUMBER(B180),IFERROR(VLOOKUP(B180,'נתוני רישום ומצבת'!B:J,3,0),""),"")</f>
        <v/>
      </c>
      <c r="D180" s="693"/>
      <c r="E180" s="697"/>
      <c r="F180" s="695"/>
      <c r="G180" s="696"/>
      <c r="K180" s="22" t="str">
        <f t="shared" si="5"/>
        <v/>
      </c>
      <c r="M180" s="534" t="str">
        <f t="shared" si="4"/>
        <v/>
      </c>
    </row>
    <row r="181" spans="2:13" ht="15.75" x14ac:dyDescent="0.25">
      <c r="B181" s="692"/>
      <c r="C181" s="117" t="str">
        <f>IF(ISNUMBER(B181),IFERROR(VLOOKUP(B181,'נתוני רישום ומצבת'!B:J,3,0),""),"")</f>
        <v/>
      </c>
      <c r="D181" s="693"/>
      <c r="E181" s="697"/>
      <c r="F181" s="695"/>
      <c r="G181" s="696"/>
      <c r="K181" s="22" t="str">
        <f t="shared" si="5"/>
        <v/>
      </c>
      <c r="M181" s="534" t="str">
        <f t="shared" si="4"/>
        <v/>
      </c>
    </row>
    <row r="182" spans="2:13" ht="15.75" x14ac:dyDescent="0.25">
      <c r="B182" s="692"/>
      <c r="C182" s="117" t="str">
        <f>IF(ISNUMBER(B182),IFERROR(VLOOKUP(B182,'נתוני רישום ומצבת'!B:J,3,0),""),"")</f>
        <v/>
      </c>
      <c r="D182" s="693"/>
      <c r="E182" s="697"/>
      <c r="F182" s="695"/>
      <c r="G182" s="696"/>
      <c r="K182" s="22" t="str">
        <f t="shared" si="5"/>
        <v/>
      </c>
      <c r="M182" s="534" t="str">
        <f t="shared" si="4"/>
        <v/>
      </c>
    </row>
    <row r="183" spans="2:13" ht="15.75" x14ac:dyDescent="0.25">
      <c r="B183" s="692"/>
      <c r="C183" s="117" t="str">
        <f>IF(ISNUMBER(B183),IFERROR(VLOOKUP(B183,'נתוני רישום ומצבת'!B:J,3,0),""),"")</f>
        <v/>
      </c>
      <c r="D183" s="693"/>
      <c r="E183" s="697"/>
      <c r="F183" s="695"/>
      <c r="G183" s="696"/>
      <c r="K183" s="22" t="str">
        <f t="shared" si="5"/>
        <v/>
      </c>
      <c r="M183" s="534" t="str">
        <f t="shared" si="4"/>
        <v/>
      </c>
    </row>
    <row r="184" spans="2:13" ht="15.75" x14ac:dyDescent="0.25">
      <c r="B184" s="692"/>
      <c r="C184" s="117" t="str">
        <f>IF(ISNUMBER(B184),IFERROR(VLOOKUP(B184,'נתוני רישום ומצבת'!B:J,3,0),""),"")</f>
        <v/>
      </c>
      <c r="D184" s="693"/>
      <c r="E184" s="697"/>
      <c r="F184" s="695"/>
      <c r="G184" s="696"/>
      <c r="K184" s="22" t="str">
        <f t="shared" si="5"/>
        <v/>
      </c>
      <c r="M184" s="534" t="str">
        <f t="shared" si="4"/>
        <v/>
      </c>
    </row>
    <row r="185" spans="2:13" ht="15.75" x14ac:dyDescent="0.25">
      <c r="B185" s="692"/>
      <c r="C185" s="117" t="str">
        <f>IF(ISNUMBER(B185),IFERROR(VLOOKUP(B185,'נתוני רישום ומצבת'!B:J,3,0),""),"")</f>
        <v/>
      </c>
      <c r="D185" s="693"/>
      <c r="E185" s="697"/>
      <c r="F185" s="695"/>
      <c r="G185" s="696"/>
      <c r="K185" s="22" t="str">
        <f t="shared" si="5"/>
        <v/>
      </c>
      <c r="M185" s="534" t="str">
        <f t="shared" si="4"/>
        <v/>
      </c>
    </row>
    <row r="186" spans="2:13" ht="15.75" x14ac:dyDescent="0.25">
      <c r="B186" s="692"/>
      <c r="C186" s="117" t="str">
        <f>IF(ISNUMBER(B186),IFERROR(VLOOKUP(B186,'נתוני רישום ומצבת'!B:J,3,0),""),"")</f>
        <v/>
      </c>
      <c r="D186" s="693"/>
      <c r="E186" s="697"/>
      <c r="F186" s="695"/>
      <c r="G186" s="696"/>
      <c r="K186" s="22" t="str">
        <f t="shared" si="5"/>
        <v/>
      </c>
      <c r="M186" s="534" t="str">
        <f t="shared" si="4"/>
        <v/>
      </c>
    </row>
    <row r="187" spans="2:13" ht="15.75" x14ac:dyDescent="0.25">
      <c r="B187" s="692"/>
      <c r="C187" s="117" t="str">
        <f>IF(ISNUMBER(B187),IFERROR(VLOOKUP(B187,'נתוני רישום ומצבת'!B:J,3,0),""),"")</f>
        <v/>
      </c>
      <c r="D187" s="693"/>
      <c r="E187" s="697"/>
      <c r="F187" s="695"/>
      <c r="G187" s="696"/>
      <c r="K187" s="22" t="str">
        <f t="shared" si="5"/>
        <v/>
      </c>
      <c r="M187" s="534" t="str">
        <f t="shared" si="4"/>
        <v/>
      </c>
    </row>
    <row r="188" spans="2:13" ht="15.75" x14ac:dyDescent="0.25">
      <c r="B188" s="692"/>
      <c r="C188" s="117" t="str">
        <f>IF(ISNUMBER(B188),IFERROR(VLOOKUP(B188,'נתוני רישום ומצבת'!B:J,3,0),""),"")</f>
        <v/>
      </c>
      <c r="D188" s="693"/>
      <c r="E188" s="697"/>
      <c r="F188" s="695"/>
      <c r="G188" s="696"/>
      <c r="K188" s="22" t="str">
        <f t="shared" si="5"/>
        <v/>
      </c>
      <c r="M188" s="534" t="str">
        <f t="shared" si="4"/>
        <v/>
      </c>
    </row>
    <row r="189" spans="2:13" ht="15.75" x14ac:dyDescent="0.25">
      <c r="B189" s="692"/>
      <c r="C189" s="117" t="str">
        <f>IF(ISNUMBER(B189),IFERROR(VLOOKUP(B189,'נתוני רישום ומצבת'!B:J,3,0),""),"")</f>
        <v/>
      </c>
      <c r="D189" s="693"/>
      <c r="E189" s="697"/>
      <c r="F189" s="695"/>
      <c r="G189" s="696"/>
      <c r="K189" s="22" t="str">
        <f t="shared" si="5"/>
        <v/>
      </c>
      <c r="M189" s="534" t="str">
        <f t="shared" si="4"/>
        <v/>
      </c>
    </row>
    <row r="190" spans="2:13" ht="15.75" x14ac:dyDescent="0.25">
      <c r="B190" s="692"/>
      <c r="C190" s="117" t="str">
        <f>IF(ISNUMBER(B190),IFERROR(VLOOKUP(B190,'נתוני רישום ומצבת'!B:J,3,0),""),"")</f>
        <v/>
      </c>
      <c r="D190" s="693"/>
      <c r="E190" s="697"/>
      <c r="F190" s="695"/>
      <c r="G190" s="696"/>
      <c r="K190" s="22" t="str">
        <f t="shared" si="5"/>
        <v/>
      </c>
      <c r="M190" s="534" t="str">
        <f t="shared" si="4"/>
        <v/>
      </c>
    </row>
    <row r="191" spans="2:13" ht="15.75" x14ac:dyDescent="0.25">
      <c r="B191" s="692"/>
      <c r="C191" s="117" t="str">
        <f>IF(ISNUMBER(B191),IFERROR(VLOOKUP(B191,'נתוני רישום ומצבת'!B:J,3,0),""),"")</f>
        <v/>
      </c>
      <c r="D191" s="693"/>
      <c r="E191" s="697"/>
      <c r="F191" s="695"/>
      <c r="G191" s="696"/>
      <c r="K191" s="22" t="str">
        <f t="shared" si="5"/>
        <v/>
      </c>
      <c r="M191" s="534" t="str">
        <f t="shared" si="4"/>
        <v/>
      </c>
    </row>
    <row r="192" spans="2:13" ht="15.75" x14ac:dyDescent="0.25">
      <c r="B192" s="692"/>
      <c r="C192" s="117" t="str">
        <f>IF(ISNUMBER(B192),IFERROR(VLOOKUP(B192,'נתוני רישום ומצבת'!B:J,3,0),""),"")</f>
        <v/>
      </c>
      <c r="D192" s="693"/>
      <c r="E192" s="697"/>
      <c r="F192" s="695"/>
      <c r="G192" s="696"/>
      <c r="K192" s="22" t="str">
        <f t="shared" si="5"/>
        <v/>
      </c>
      <c r="M192" s="534" t="str">
        <f t="shared" si="4"/>
        <v/>
      </c>
    </row>
    <row r="193" spans="2:13" ht="15.75" x14ac:dyDescent="0.25">
      <c r="B193" s="692"/>
      <c r="C193" s="117" t="str">
        <f>IF(ISNUMBER(B193),IFERROR(VLOOKUP(B193,'נתוני רישום ומצבת'!B:J,3,0),""),"")</f>
        <v/>
      </c>
      <c r="D193" s="693"/>
      <c r="E193" s="697"/>
      <c r="F193" s="695"/>
      <c r="G193" s="696"/>
      <c r="K193" s="22" t="str">
        <f t="shared" si="5"/>
        <v/>
      </c>
      <c r="M193" s="534" t="str">
        <f t="shared" si="4"/>
        <v/>
      </c>
    </row>
    <row r="194" spans="2:13" ht="15.75" x14ac:dyDescent="0.25">
      <c r="B194" s="692"/>
      <c r="C194" s="117" t="str">
        <f>IF(ISNUMBER(B194),IFERROR(VLOOKUP(B194,'נתוני רישום ומצבת'!B:J,3,0),""),"")</f>
        <v/>
      </c>
      <c r="D194" s="693"/>
      <c r="E194" s="697"/>
      <c r="F194" s="695"/>
      <c r="G194" s="696"/>
      <c r="K194" s="22" t="str">
        <f t="shared" si="5"/>
        <v/>
      </c>
      <c r="M194" s="534" t="str">
        <f t="shared" si="4"/>
        <v/>
      </c>
    </row>
    <row r="195" spans="2:13" ht="15.75" x14ac:dyDescent="0.25">
      <c r="B195" s="692"/>
      <c r="C195" s="117" t="str">
        <f>IF(ISNUMBER(B195),IFERROR(VLOOKUP(B195,'נתוני רישום ומצבת'!B:J,3,0),""),"")</f>
        <v/>
      </c>
      <c r="D195" s="693"/>
      <c r="E195" s="697"/>
      <c r="F195" s="695"/>
      <c r="G195" s="696"/>
      <c r="K195" s="22" t="str">
        <f t="shared" si="5"/>
        <v/>
      </c>
      <c r="M195" s="534" t="str">
        <f t="shared" si="4"/>
        <v/>
      </c>
    </row>
    <row r="196" spans="2:13" ht="15.75" x14ac:dyDescent="0.25">
      <c r="B196" s="692"/>
      <c r="C196" s="117" t="str">
        <f>IF(ISNUMBER(B196),IFERROR(VLOOKUP(B196,'נתוני רישום ומצבת'!B:J,3,0),""),"")</f>
        <v/>
      </c>
      <c r="D196" s="693"/>
      <c r="E196" s="697"/>
      <c r="F196" s="695"/>
      <c r="G196" s="696"/>
      <c r="K196" s="22" t="str">
        <f t="shared" si="5"/>
        <v/>
      </c>
      <c r="M196" s="534" t="str">
        <f t="shared" si="4"/>
        <v/>
      </c>
    </row>
    <row r="197" spans="2:13" ht="15.75" x14ac:dyDescent="0.25">
      <c r="B197" s="692"/>
      <c r="C197" s="117" t="str">
        <f>IF(ISNUMBER(B197),IFERROR(VLOOKUP(B197,'נתוני רישום ומצבת'!B:J,3,0),""),"")</f>
        <v/>
      </c>
      <c r="D197" s="693"/>
      <c r="E197" s="697"/>
      <c r="F197" s="695"/>
      <c r="G197" s="696"/>
      <c r="K197" s="22" t="str">
        <f t="shared" si="5"/>
        <v/>
      </c>
      <c r="M197" s="534" t="str">
        <f t="shared" si="4"/>
        <v/>
      </c>
    </row>
    <row r="198" spans="2:13" ht="15.75" x14ac:dyDescent="0.25">
      <c r="B198" s="692"/>
      <c r="C198" s="117" t="str">
        <f>IF(ISNUMBER(B198),IFERROR(VLOOKUP(B198,'נתוני רישום ומצבת'!B:J,3,0),""),"")</f>
        <v/>
      </c>
      <c r="D198" s="693"/>
      <c r="E198" s="697"/>
      <c r="F198" s="695"/>
      <c r="G198" s="696"/>
      <c r="K198" s="22" t="str">
        <f t="shared" si="5"/>
        <v/>
      </c>
      <c r="M198" s="534" t="str">
        <f t="shared" si="4"/>
        <v/>
      </c>
    </row>
    <row r="199" spans="2:13" ht="15.75" x14ac:dyDescent="0.25">
      <c r="B199" s="692"/>
      <c r="C199" s="117" t="str">
        <f>IF(ISNUMBER(B199),IFERROR(VLOOKUP(B199,'נתוני רישום ומצבת'!B:J,3,0),""),"")</f>
        <v/>
      </c>
      <c r="D199" s="693"/>
      <c r="E199" s="697"/>
      <c r="F199" s="695"/>
      <c r="G199" s="696"/>
      <c r="K199" s="22" t="str">
        <f t="shared" si="5"/>
        <v/>
      </c>
      <c r="M199" s="534" t="str">
        <f t="shared" si="4"/>
        <v/>
      </c>
    </row>
    <row r="200" spans="2:13" ht="15.75" x14ac:dyDescent="0.25">
      <c r="B200" s="692"/>
      <c r="C200" s="117" t="str">
        <f>IF(ISNUMBER(B200),IFERROR(VLOOKUP(B200,'נתוני רישום ומצבת'!B:J,3,0),""),"")</f>
        <v/>
      </c>
      <c r="D200" s="693"/>
      <c r="E200" s="697"/>
      <c r="F200" s="695"/>
      <c r="G200" s="696"/>
      <c r="K200" s="22" t="str">
        <f t="shared" si="5"/>
        <v/>
      </c>
      <c r="M200" s="534" t="str">
        <f t="shared" si="4"/>
        <v/>
      </c>
    </row>
    <row r="201" spans="2:13" ht="15.75" x14ac:dyDescent="0.25">
      <c r="B201" s="692"/>
      <c r="C201" s="117" t="str">
        <f>IF(ISNUMBER(B201),IFERROR(VLOOKUP(B201,'נתוני רישום ומצבת'!B:J,3,0),""),"")</f>
        <v/>
      </c>
      <c r="D201" s="693"/>
      <c r="E201" s="697"/>
      <c r="F201" s="695"/>
      <c r="G201" s="696"/>
      <c r="K201" s="22" t="str">
        <f t="shared" si="5"/>
        <v/>
      </c>
      <c r="M201" s="534" t="str">
        <f t="shared" si="4"/>
        <v/>
      </c>
    </row>
    <row r="202" spans="2:13" ht="15.75" x14ac:dyDescent="0.25">
      <c r="B202" s="692"/>
      <c r="C202" s="117" t="str">
        <f>IF(ISNUMBER(B202),IFERROR(VLOOKUP(B202,'נתוני רישום ומצבת'!B:J,3,0),""),"")</f>
        <v/>
      </c>
      <c r="D202" s="693"/>
      <c r="E202" s="697"/>
      <c r="F202" s="695"/>
      <c r="G202" s="696"/>
      <c r="K202" s="22" t="str">
        <f t="shared" si="5"/>
        <v/>
      </c>
      <c r="M202" s="534" t="str">
        <f t="shared" si="4"/>
        <v/>
      </c>
    </row>
    <row r="203" spans="2:13" ht="15.75" x14ac:dyDescent="0.25">
      <c r="B203" s="692"/>
      <c r="C203" s="117" t="str">
        <f>IF(ISNUMBER(B203),IFERROR(VLOOKUP(B203,'נתוני רישום ומצבת'!B:J,3,0),""),"")</f>
        <v/>
      </c>
      <c r="D203" s="693"/>
      <c r="E203" s="697"/>
      <c r="F203" s="695"/>
      <c r="G203" s="696"/>
      <c r="K203" s="22" t="str">
        <f t="shared" si="5"/>
        <v/>
      </c>
      <c r="M203" s="534" t="str">
        <f t="shared" si="4"/>
        <v/>
      </c>
    </row>
    <row r="204" spans="2:13" ht="15.75" x14ac:dyDescent="0.25">
      <c r="B204" s="692"/>
      <c r="C204" s="117" t="str">
        <f>IF(ISNUMBER(B204),IFERROR(VLOOKUP(B204,'נתוני רישום ומצבת'!B:J,3,0),""),"")</f>
        <v/>
      </c>
      <c r="D204" s="693"/>
      <c r="E204" s="697"/>
      <c r="F204" s="695"/>
      <c r="G204" s="696"/>
      <c r="K204" s="22" t="str">
        <f t="shared" si="5"/>
        <v/>
      </c>
      <c r="M204" s="534" t="str">
        <f t="shared" si="4"/>
        <v/>
      </c>
    </row>
    <row r="205" spans="2:13" ht="15.75" x14ac:dyDescent="0.25">
      <c r="B205" s="692"/>
      <c r="C205" s="117" t="str">
        <f>IF(ISNUMBER(B205),IFERROR(VLOOKUP(B205,'נתוני רישום ומצבת'!B:J,3,0),""),"")</f>
        <v/>
      </c>
      <c r="D205" s="693"/>
      <c r="E205" s="697"/>
      <c r="F205" s="695"/>
      <c r="G205" s="696"/>
      <c r="K205" s="22" t="str">
        <f t="shared" si="5"/>
        <v/>
      </c>
      <c r="M205" s="534" t="str">
        <f t="shared" si="4"/>
        <v/>
      </c>
    </row>
    <row r="206" spans="2:13" ht="15.75" x14ac:dyDescent="0.25">
      <c r="B206" s="692"/>
      <c r="C206" s="117" t="str">
        <f>IF(ISNUMBER(B206),IFERROR(VLOOKUP(B206,'נתוני רישום ומצבת'!B:J,3,0),""),"")</f>
        <v/>
      </c>
      <c r="D206" s="693"/>
      <c r="E206" s="697"/>
      <c r="F206" s="695"/>
      <c r="G206" s="696"/>
      <c r="K206" s="22" t="str">
        <f t="shared" si="5"/>
        <v/>
      </c>
      <c r="M206" s="534" t="str">
        <f t="shared" si="4"/>
        <v/>
      </c>
    </row>
    <row r="207" spans="2:13" ht="15.75" x14ac:dyDescent="0.25">
      <c r="B207" s="692"/>
      <c r="C207" s="117" t="str">
        <f>IF(ISNUMBER(B207),IFERROR(VLOOKUP(B207,'נתוני רישום ומצבת'!B:J,3,0),""),"")</f>
        <v/>
      </c>
      <c r="D207" s="693"/>
      <c r="E207" s="697"/>
      <c r="F207" s="695"/>
      <c r="G207" s="696"/>
      <c r="K207" s="22" t="str">
        <f t="shared" si="5"/>
        <v/>
      </c>
      <c r="M207" s="534" t="str">
        <f t="shared" si="4"/>
        <v/>
      </c>
    </row>
    <row r="208" spans="2:13" ht="15.75" x14ac:dyDescent="0.25">
      <c r="B208" s="692"/>
      <c r="C208" s="117" t="str">
        <f>IF(ISNUMBER(B208),IFERROR(VLOOKUP(B208,'נתוני רישום ומצבת'!B:J,3,0),""),"")</f>
        <v/>
      </c>
      <c r="D208" s="693"/>
      <c r="E208" s="697"/>
      <c r="F208" s="695"/>
      <c r="G208" s="696"/>
      <c r="K208" s="22" t="str">
        <f t="shared" si="5"/>
        <v/>
      </c>
      <c r="M208" s="534" t="str">
        <f t="shared" si="4"/>
        <v/>
      </c>
    </row>
    <row r="209" spans="2:13" ht="15.75" x14ac:dyDescent="0.25">
      <c r="B209" s="692"/>
      <c r="C209" s="117" t="str">
        <f>IF(ISNUMBER(B209),IFERROR(VLOOKUP(B209,'נתוני רישום ומצבת'!B:J,3,0),""),"")</f>
        <v/>
      </c>
      <c r="D209" s="693"/>
      <c r="E209" s="697"/>
      <c r="F209" s="695"/>
      <c r="G209" s="696"/>
      <c r="K209" s="22" t="str">
        <f t="shared" si="5"/>
        <v/>
      </c>
      <c r="M209" s="534" t="str">
        <f t="shared" ref="M209:M272" si="6">TEXT(LEFT(D209,2),0)</f>
        <v/>
      </c>
    </row>
    <row r="210" spans="2:13" ht="15.75" x14ac:dyDescent="0.25">
      <c r="B210" s="692"/>
      <c r="C210" s="117" t="str">
        <f>IF(ISNUMBER(B210),IFERROR(VLOOKUP(B210,'נתוני רישום ומצבת'!B:J,3,0),""),"")</f>
        <v/>
      </c>
      <c r="D210" s="693"/>
      <c r="E210" s="697"/>
      <c r="F210" s="695"/>
      <c r="G210" s="696"/>
      <c r="K210" s="22" t="str">
        <f t="shared" si="5"/>
        <v/>
      </c>
      <c r="M210" s="534" t="str">
        <f t="shared" si="6"/>
        <v/>
      </c>
    </row>
    <row r="211" spans="2:13" ht="15.75" x14ac:dyDescent="0.25">
      <c r="B211" s="692"/>
      <c r="C211" s="117" t="str">
        <f>IF(ISNUMBER(B211),IFERROR(VLOOKUP(B211,'נתוני רישום ומצבת'!B:J,3,0),""),"")</f>
        <v/>
      </c>
      <c r="D211" s="693"/>
      <c r="E211" s="697"/>
      <c r="F211" s="695"/>
      <c r="G211" s="696"/>
      <c r="K211" s="22" t="str">
        <f t="shared" si="5"/>
        <v/>
      </c>
      <c r="M211" s="534" t="str">
        <f t="shared" si="6"/>
        <v/>
      </c>
    </row>
    <row r="212" spans="2:13" ht="15.75" x14ac:dyDescent="0.25">
      <c r="B212" s="692"/>
      <c r="C212" s="117" t="str">
        <f>IF(ISNUMBER(B212),IFERROR(VLOOKUP(B212,'נתוני רישום ומצבת'!B:J,3,0),""),"")</f>
        <v/>
      </c>
      <c r="D212" s="693"/>
      <c r="E212" s="697"/>
      <c r="F212" s="695"/>
      <c r="G212" s="696"/>
      <c r="K212" s="22" t="str">
        <f t="shared" si="5"/>
        <v/>
      </c>
      <c r="M212" s="534" t="str">
        <f t="shared" si="6"/>
        <v/>
      </c>
    </row>
    <row r="213" spans="2:13" ht="15.75" x14ac:dyDescent="0.25">
      <c r="B213" s="692"/>
      <c r="C213" s="117" t="str">
        <f>IF(ISNUMBER(B213),IFERROR(VLOOKUP(B213,'נתוני רישום ומצבת'!B:J,3,0),""),"")</f>
        <v/>
      </c>
      <c r="D213" s="693"/>
      <c r="E213" s="697"/>
      <c r="F213" s="695"/>
      <c r="G213" s="696"/>
      <c r="K213" s="22" t="str">
        <f t="shared" ref="K213:K276" si="7">IF(C200&lt;5,IF(D213=$F$8,-E213," "),"")</f>
        <v/>
      </c>
      <c r="M213" s="534" t="str">
        <f t="shared" si="6"/>
        <v/>
      </c>
    </row>
    <row r="214" spans="2:13" ht="15.75" x14ac:dyDescent="0.25">
      <c r="B214" s="692"/>
      <c r="C214" s="117" t="str">
        <f>IF(ISNUMBER(B214),IFERROR(VLOOKUP(B214,'נתוני רישום ומצבת'!B:J,3,0),""),"")</f>
        <v/>
      </c>
      <c r="D214" s="693"/>
      <c r="E214" s="697"/>
      <c r="F214" s="695"/>
      <c r="G214" s="696"/>
      <c r="K214" s="22" t="str">
        <f t="shared" si="7"/>
        <v/>
      </c>
      <c r="M214" s="534" t="str">
        <f t="shared" si="6"/>
        <v/>
      </c>
    </row>
    <row r="215" spans="2:13" ht="15.75" x14ac:dyDescent="0.25">
      <c r="B215" s="692"/>
      <c r="C215" s="117" t="str">
        <f>IF(ISNUMBER(B215),IFERROR(VLOOKUP(B215,'נתוני רישום ומצבת'!B:J,3,0),""),"")</f>
        <v/>
      </c>
      <c r="D215" s="693"/>
      <c r="E215" s="697"/>
      <c r="F215" s="695"/>
      <c r="G215" s="696"/>
      <c r="K215" s="22" t="str">
        <f t="shared" si="7"/>
        <v/>
      </c>
      <c r="M215" s="534" t="str">
        <f t="shared" si="6"/>
        <v/>
      </c>
    </row>
    <row r="216" spans="2:13" ht="15.75" x14ac:dyDescent="0.25">
      <c r="B216" s="692"/>
      <c r="C216" s="117" t="str">
        <f>IF(ISNUMBER(B216),IFERROR(VLOOKUP(B216,'נתוני רישום ומצבת'!B:J,3,0),""),"")</f>
        <v/>
      </c>
      <c r="D216" s="693"/>
      <c r="E216" s="697"/>
      <c r="F216" s="695"/>
      <c r="G216" s="696"/>
      <c r="K216" s="22" t="str">
        <f t="shared" si="7"/>
        <v/>
      </c>
      <c r="M216" s="534" t="str">
        <f t="shared" si="6"/>
        <v/>
      </c>
    </row>
    <row r="217" spans="2:13" ht="15.75" x14ac:dyDescent="0.25">
      <c r="B217" s="692"/>
      <c r="C217" s="117" t="str">
        <f>IF(ISNUMBER(B217),IFERROR(VLOOKUP(B217,'נתוני רישום ומצבת'!B:J,3,0),""),"")</f>
        <v/>
      </c>
      <c r="D217" s="693"/>
      <c r="E217" s="697"/>
      <c r="F217" s="695"/>
      <c r="G217" s="696"/>
      <c r="K217" s="22" t="str">
        <f t="shared" si="7"/>
        <v/>
      </c>
      <c r="M217" s="534" t="str">
        <f t="shared" si="6"/>
        <v/>
      </c>
    </row>
    <row r="218" spans="2:13" ht="15.75" x14ac:dyDescent="0.25">
      <c r="B218" s="692"/>
      <c r="C218" s="117" t="str">
        <f>IF(ISNUMBER(B218),IFERROR(VLOOKUP(B218,'נתוני רישום ומצבת'!B:J,3,0),""),"")</f>
        <v/>
      </c>
      <c r="D218" s="693"/>
      <c r="E218" s="697"/>
      <c r="F218" s="695"/>
      <c r="G218" s="696"/>
      <c r="K218" s="22" t="str">
        <f t="shared" si="7"/>
        <v/>
      </c>
      <c r="M218" s="534" t="str">
        <f t="shared" si="6"/>
        <v/>
      </c>
    </row>
    <row r="219" spans="2:13" ht="15.75" x14ac:dyDescent="0.25">
      <c r="B219" s="692"/>
      <c r="C219" s="117" t="str">
        <f>IF(ISNUMBER(B219),IFERROR(VLOOKUP(B219,'נתוני רישום ומצבת'!B:J,3,0),""),"")</f>
        <v/>
      </c>
      <c r="D219" s="693"/>
      <c r="E219" s="697"/>
      <c r="F219" s="695"/>
      <c r="G219" s="696"/>
      <c r="K219" s="22" t="str">
        <f t="shared" si="7"/>
        <v/>
      </c>
      <c r="M219" s="534" t="str">
        <f t="shared" si="6"/>
        <v/>
      </c>
    </row>
    <row r="220" spans="2:13" ht="15.75" x14ac:dyDescent="0.25">
      <c r="B220" s="692"/>
      <c r="C220" s="117" t="str">
        <f>IF(ISNUMBER(B220),IFERROR(VLOOKUP(B220,'נתוני רישום ומצבת'!B:J,3,0),""),"")</f>
        <v/>
      </c>
      <c r="D220" s="693"/>
      <c r="E220" s="697"/>
      <c r="F220" s="695"/>
      <c r="G220" s="696"/>
      <c r="K220" s="22" t="str">
        <f t="shared" si="7"/>
        <v/>
      </c>
      <c r="M220" s="534" t="str">
        <f t="shared" si="6"/>
        <v/>
      </c>
    </row>
    <row r="221" spans="2:13" ht="15.75" x14ac:dyDescent="0.25">
      <c r="B221" s="692"/>
      <c r="C221" s="117" t="str">
        <f>IF(ISNUMBER(B221),IFERROR(VLOOKUP(B221,'נתוני רישום ומצבת'!B:J,3,0),""),"")</f>
        <v/>
      </c>
      <c r="D221" s="693"/>
      <c r="E221" s="697"/>
      <c r="F221" s="695"/>
      <c r="G221" s="696"/>
      <c r="K221" s="22" t="str">
        <f t="shared" si="7"/>
        <v/>
      </c>
      <c r="M221" s="534" t="str">
        <f t="shared" si="6"/>
        <v/>
      </c>
    </row>
    <row r="222" spans="2:13" ht="15.75" x14ac:dyDescent="0.25">
      <c r="B222" s="692"/>
      <c r="C222" s="117" t="str">
        <f>IF(ISNUMBER(B222),IFERROR(VLOOKUP(B222,'נתוני רישום ומצבת'!B:J,3,0),""),"")</f>
        <v/>
      </c>
      <c r="D222" s="693"/>
      <c r="E222" s="697"/>
      <c r="F222" s="695"/>
      <c r="G222" s="696"/>
      <c r="K222" s="22" t="str">
        <f t="shared" si="7"/>
        <v/>
      </c>
      <c r="M222" s="534" t="str">
        <f t="shared" si="6"/>
        <v/>
      </c>
    </row>
    <row r="223" spans="2:13" ht="15.75" x14ac:dyDescent="0.25">
      <c r="B223" s="692"/>
      <c r="C223" s="117" t="str">
        <f>IF(ISNUMBER(B223),IFERROR(VLOOKUP(B223,'נתוני רישום ומצבת'!B:J,3,0),""),"")</f>
        <v/>
      </c>
      <c r="D223" s="693"/>
      <c r="E223" s="697"/>
      <c r="F223" s="695"/>
      <c r="G223" s="696"/>
      <c r="K223" s="22" t="str">
        <f t="shared" si="7"/>
        <v/>
      </c>
      <c r="M223" s="534" t="str">
        <f t="shared" si="6"/>
        <v/>
      </c>
    </row>
    <row r="224" spans="2:13" ht="15.75" x14ac:dyDescent="0.25">
      <c r="B224" s="692"/>
      <c r="C224" s="117" t="str">
        <f>IF(ISNUMBER(B224),IFERROR(VLOOKUP(B224,'נתוני רישום ומצבת'!B:J,3,0),""),"")</f>
        <v/>
      </c>
      <c r="D224" s="693"/>
      <c r="E224" s="697"/>
      <c r="F224" s="695"/>
      <c r="G224" s="696"/>
      <c r="K224" s="22" t="str">
        <f t="shared" si="7"/>
        <v/>
      </c>
      <c r="M224" s="534" t="str">
        <f t="shared" si="6"/>
        <v/>
      </c>
    </row>
    <row r="225" spans="2:13" ht="15.75" x14ac:dyDescent="0.25">
      <c r="B225" s="692"/>
      <c r="C225" s="117" t="str">
        <f>IF(ISNUMBER(B225),IFERROR(VLOOKUP(B225,'נתוני רישום ומצבת'!B:J,3,0),""),"")</f>
        <v/>
      </c>
      <c r="D225" s="693"/>
      <c r="E225" s="697"/>
      <c r="F225" s="695"/>
      <c r="G225" s="696"/>
      <c r="K225" s="22" t="str">
        <f t="shared" si="7"/>
        <v/>
      </c>
      <c r="M225" s="534" t="str">
        <f t="shared" si="6"/>
        <v/>
      </c>
    </row>
    <row r="226" spans="2:13" ht="15.75" x14ac:dyDescent="0.25">
      <c r="B226" s="692"/>
      <c r="C226" s="117" t="str">
        <f>IF(ISNUMBER(B226),IFERROR(VLOOKUP(B226,'נתוני רישום ומצבת'!B:J,3,0),""),"")</f>
        <v/>
      </c>
      <c r="D226" s="693"/>
      <c r="E226" s="697"/>
      <c r="F226" s="695"/>
      <c r="G226" s="696"/>
      <c r="K226" s="22" t="str">
        <f t="shared" si="7"/>
        <v/>
      </c>
      <c r="M226" s="534" t="str">
        <f t="shared" si="6"/>
        <v/>
      </c>
    </row>
    <row r="227" spans="2:13" ht="15.75" x14ac:dyDescent="0.25">
      <c r="B227" s="692"/>
      <c r="C227" s="117" t="str">
        <f>IF(ISNUMBER(B227),IFERROR(VLOOKUP(B227,'נתוני רישום ומצבת'!B:J,3,0),""),"")</f>
        <v/>
      </c>
      <c r="D227" s="693"/>
      <c r="E227" s="697"/>
      <c r="F227" s="695"/>
      <c r="G227" s="696"/>
      <c r="K227" s="22" t="str">
        <f t="shared" si="7"/>
        <v/>
      </c>
      <c r="M227" s="534" t="str">
        <f t="shared" si="6"/>
        <v/>
      </c>
    </row>
    <row r="228" spans="2:13" ht="15.75" x14ac:dyDescent="0.25">
      <c r="B228" s="692"/>
      <c r="C228" s="117" t="str">
        <f>IF(ISNUMBER(B228),IFERROR(VLOOKUP(B228,'נתוני רישום ומצבת'!B:J,3,0),""),"")</f>
        <v/>
      </c>
      <c r="D228" s="693"/>
      <c r="E228" s="697"/>
      <c r="F228" s="695"/>
      <c r="G228" s="696"/>
      <c r="K228" s="22" t="str">
        <f t="shared" si="7"/>
        <v/>
      </c>
      <c r="M228" s="534" t="str">
        <f t="shared" si="6"/>
        <v/>
      </c>
    </row>
    <row r="229" spans="2:13" ht="15.75" x14ac:dyDescent="0.25">
      <c r="B229" s="692"/>
      <c r="C229" s="117" t="str">
        <f>IF(ISNUMBER(B229),IFERROR(VLOOKUP(B229,'נתוני רישום ומצבת'!B:J,3,0),""),"")</f>
        <v/>
      </c>
      <c r="D229" s="693"/>
      <c r="E229" s="697"/>
      <c r="F229" s="695"/>
      <c r="G229" s="696"/>
      <c r="K229" s="22" t="str">
        <f t="shared" si="7"/>
        <v/>
      </c>
      <c r="M229" s="534" t="str">
        <f t="shared" si="6"/>
        <v/>
      </c>
    </row>
    <row r="230" spans="2:13" ht="15.75" x14ac:dyDescent="0.25">
      <c r="B230" s="692"/>
      <c r="C230" s="117" t="str">
        <f>IF(ISNUMBER(B230),IFERROR(VLOOKUP(B230,'נתוני רישום ומצבת'!B:J,3,0),""),"")</f>
        <v/>
      </c>
      <c r="D230" s="693"/>
      <c r="E230" s="697"/>
      <c r="F230" s="695"/>
      <c r="G230" s="696"/>
      <c r="K230" s="22" t="str">
        <f t="shared" si="7"/>
        <v/>
      </c>
      <c r="M230" s="534" t="str">
        <f t="shared" si="6"/>
        <v/>
      </c>
    </row>
    <row r="231" spans="2:13" ht="15.75" x14ac:dyDescent="0.25">
      <c r="B231" s="692"/>
      <c r="C231" s="117" t="str">
        <f>IF(ISNUMBER(B231),IFERROR(VLOOKUP(B231,'נתוני רישום ומצבת'!B:J,3,0),""),"")</f>
        <v/>
      </c>
      <c r="D231" s="693"/>
      <c r="E231" s="697"/>
      <c r="F231" s="695"/>
      <c r="G231" s="696"/>
      <c r="K231" s="22" t="str">
        <f t="shared" si="7"/>
        <v/>
      </c>
      <c r="M231" s="534" t="str">
        <f t="shared" si="6"/>
        <v/>
      </c>
    </row>
    <row r="232" spans="2:13" ht="15.75" x14ac:dyDescent="0.25">
      <c r="B232" s="692"/>
      <c r="C232" s="117" t="str">
        <f>IF(ISNUMBER(B232),IFERROR(VLOOKUP(B232,'נתוני רישום ומצבת'!B:J,3,0),""),"")</f>
        <v/>
      </c>
      <c r="D232" s="693"/>
      <c r="E232" s="697"/>
      <c r="F232" s="695"/>
      <c r="G232" s="696"/>
      <c r="K232" s="22" t="str">
        <f t="shared" si="7"/>
        <v/>
      </c>
      <c r="M232" s="534" t="str">
        <f t="shared" si="6"/>
        <v/>
      </c>
    </row>
    <row r="233" spans="2:13" ht="15.75" x14ac:dyDescent="0.25">
      <c r="B233" s="692"/>
      <c r="C233" s="117" t="str">
        <f>IF(ISNUMBER(B233),IFERROR(VLOOKUP(B233,'נתוני רישום ומצבת'!B:J,3,0),""),"")</f>
        <v/>
      </c>
      <c r="D233" s="693"/>
      <c r="E233" s="697"/>
      <c r="F233" s="695"/>
      <c r="G233" s="696"/>
      <c r="K233" s="22" t="str">
        <f t="shared" si="7"/>
        <v/>
      </c>
      <c r="M233" s="534" t="str">
        <f t="shared" si="6"/>
        <v/>
      </c>
    </row>
    <row r="234" spans="2:13" ht="15.75" x14ac:dyDescent="0.25">
      <c r="B234" s="692"/>
      <c r="C234" s="117" t="str">
        <f>IF(ISNUMBER(B234),IFERROR(VLOOKUP(B234,'נתוני רישום ומצבת'!B:J,3,0),""),"")</f>
        <v/>
      </c>
      <c r="D234" s="693"/>
      <c r="E234" s="697"/>
      <c r="F234" s="695"/>
      <c r="G234" s="696"/>
      <c r="K234" s="22" t="str">
        <f t="shared" si="7"/>
        <v/>
      </c>
      <c r="M234" s="534" t="str">
        <f t="shared" si="6"/>
        <v/>
      </c>
    </row>
    <row r="235" spans="2:13" ht="15.75" x14ac:dyDescent="0.25">
      <c r="B235" s="692"/>
      <c r="C235" s="117" t="str">
        <f>IF(ISNUMBER(B235),IFERROR(VLOOKUP(B235,'נתוני רישום ומצבת'!B:J,3,0),""),"")</f>
        <v/>
      </c>
      <c r="D235" s="693"/>
      <c r="E235" s="697"/>
      <c r="F235" s="695"/>
      <c r="G235" s="696"/>
      <c r="K235" s="22" t="str">
        <f t="shared" si="7"/>
        <v/>
      </c>
      <c r="M235" s="534" t="str">
        <f t="shared" si="6"/>
        <v/>
      </c>
    </row>
    <row r="236" spans="2:13" ht="15.75" x14ac:dyDescent="0.25">
      <c r="B236" s="692"/>
      <c r="C236" s="117" t="str">
        <f>IF(ISNUMBER(B236),IFERROR(VLOOKUP(B236,'נתוני רישום ומצבת'!B:J,3,0),""),"")</f>
        <v/>
      </c>
      <c r="D236" s="693"/>
      <c r="E236" s="697"/>
      <c r="F236" s="695"/>
      <c r="G236" s="696"/>
      <c r="K236" s="22" t="str">
        <f t="shared" si="7"/>
        <v/>
      </c>
      <c r="M236" s="534" t="str">
        <f t="shared" si="6"/>
        <v/>
      </c>
    </row>
    <row r="237" spans="2:13" ht="15.75" x14ac:dyDescent="0.25">
      <c r="B237" s="692"/>
      <c r="C237" s="117" t="str">
        <f>IF(ISNUMBER(B237),IFERROR(VLOOKUP(B237,'נתוני רישום ומצבת'!B:J,3,0),""),"")</f>
        <v/>
      </c>
      <c r="D237" s="693"/>
      <c r="E237" s="697"/>
      <c r="F237" s="695"/>
      <c r="G237" s="696"/>
      <c r="K237" s="22" t="str">
        <f t="shared" si="7"/>
        <v/>
      </c>
      <c r="M237" s="534" t="str">
        <f t="shared" si="6"/>
        <v/>
      </c>
    </row>
    <row r="238" spans="2:13" ht="15.75" x14ac:dyDescent="0.25">
      <c r="B238" s="692"/>
      <c r="C238" s="117" t="str">
        <f>IF(ISNUMBER(B238),IFERROR(VLOOKUP(B238,'נתוני רישום ומצבת'!B:J,3,0),""),"")</f>
        <v/>
      </c>
      <c r="D238" s="693"/>
      <c r="E238" s="697"/>
      <c r="F238" s="695"/>
      <c r="G238" s="696"/>
      <c r="K238" s="22" t="str">
        <f t="shared" si="7"/>
        <v/>
      </c>
      <c r="M238" s="534" t="str">
        <f t="shared" si="6"/>
        <v/>
      </c>
    </row>
    <row r="239" spans="2:13" ht="15.75" x14ac:dyDescent="0.25">
      <c r="B239" s="692"/>
      <c r="C239" s="117" t="str">
        <f>IF(ISNUMBER(B239),IFERROR(VLOOKUP(B239,'נתוני רישום ומצבת'!B:J,3,0),""),"")</f>
        <v/>
      </c>
      <c r="D239" s="693"/>
      <c r="E239" s="697"/>
      <c r="F239" s="695"/>
      <c r="G239" s="696"/>
      <c r="K239" s="22" t="str">
        <f t="shared" si="7"/>
        <v/>
      </c>
      <c r="M239" s="534" t="str">
        <f t="shared" si="6"/>
        <v/>
      </c>
    </row>
    <row r="240" spans="2:13" ht="15.75" x14ac:dyDescent="0.25">
      <c r="B240" s="692"/>
      <c r="C240" s="117" t="str">
        <f>IF(ISNUMBER(B240),IFERROR(VLOOKUP(B240,'נתוני רישום ומצבת'!B:J,3,0),""),"")</f>
        <v/>
      </c>
      <c r="D240" s="693"/>
      <c r="E240" s="697"/>
      <c r="F240" s="695"/>
      <c r="G240" s="696"/>
      <c r="K240" s="22" t="str">
        <f t="shared" si="7"/>
        <v/>
      </c>
      <c r="M240" s="534" t="str">
        <f t="shared" si="6"/>
        <v/>
      </c>
    </row>
    <row r="241" spans="2:13" ht="15.75" x14ac:dyDescent="0.25">
      <c r="B241" s="692"/>
      <c r="C241" s="117" t="str">
        <f>IF(ISNUMBER(B241),IFERROR(VLOOKUP(B241,'נתוני רישום ומצבת'!B:J,3,0),""),"")</f>
        <v/>
      </c>
      <c r="D241" s="693"/>
      <c r="E241" s="697"/>
      <c r="F241" s="695"/>
      <c r="G241" s="696"/>
      <c r="K241" s="22" t="str">
        <f t="shared" si="7"/>
        <v/>
      </c>
      <c r="M241" s="534" t="str">
        <f t="shared" si="6"/>
        <v/>
      </c>
    </row>
    <row r="242" spans="2:13" ht="15.75" x14ac:dyDescent="0.25">
      <c r="B242" s="692"/>
      <c r="C242" s="117" t="str">
        <f>IF(ISNUMBER(B242),IFERROR(VLOOKUP(B242,'נתוני רישום ומצבת'!B:J,3,0),""),"")</f>
        <v/>
      </c>
      <c r="D242" s="693"/>
      <c r="E242" s="697"/>
      <c r="F242" s="695"/>
      <c r="G242" s="696"/>
      <c r="K242" s="22" t="str">
        <f t="shared" si="7"/>
        <v/>
      </c>
      <c r="M242" s="534" t="str">
        <f t="shared" si="6"/>
        <v/>
      </c>
    </row>
    <row r="243" spans="2:13" ht="15.75" x14ac:dyDescent="0.25">
      <c r="B243" s="692"/>
      <c r="C243" s="117" t="str">
        <f>IF(ISNUMBER(B243),IFERROR(VLOOKUP(B243,'נתוני רישום ומצבת'!B:J,3,0),""),"")</f>
        <v/>
      </c>
      <c r="D243" s="693"/>
      <c r="E243" s="697"/>
      <c r="F243" s="695"/>
      <c r="G243" s="696"/>
      <c r="K243" s="22" t="str">
        <f t="shared" si="7"/>
        <v/>
      </c>
      <c r="M243" s="534" t="str">
        <f t="shared" si="6"/>
        <v/>
      </c>
    </row>
    <row r="244" spans="2:13" ht="15.75" x14ac:dyDescent="0.25">
      <c r="B244" s="692"/>
      <c r="C244" s="117" t="str">
        <f>IF(ISNUMBER(B244),IFERROR(VLOOKUP(B244,'נתוני רישום ומצבת'!B:J,3,0),""),"")</f>
        <v/>
      </c>
      <c r="D244" s="693"/>
      <c r="E244" s="697"/>
      <c r="F244" s="695"/>
      <c r="G244" s="696"/>
      <c r="K244" s="22" t="str">
        <f t="shared" si="7"/>
        <v/>
      </c>
      <c r="M244" s="534" t="str">
        <f t="shared" si="6"/>
        <v/>
      </c>
    </row>
    <row r="245" spans="2:13" ht="15.75" x14ac:dyDescent="0.25">
      <c r="B245" s="692"/>
      <c r="C245" s="117" t="str">
        <f>IF(ISNUMBER(B245),IFERROR(VLOOKUP(B245,'נתוני רישום ומצבת'!B:J,3,0),""),"")</f>
        <v/>
      </c>
      <c r="D245" s="693"/>
      <c r="E245" s="697"/>
      <c r="F245" s="695"/>
      <c r="G245" s="696"/>
      <c r="K245" s="22" t="str">
        <f t="shared" si="7"/>
        <v/>
      </c>
      <c r="M245" s="534" t="str">
        <f t="shared" si="6"/>
        <v/>
      </c>
    </row>
    <row r="246" spans="2:13" ht="15.75" x14ac:dyDescent="0.25">
      <c r="B246" s="692"/>
      <c r="C246" s="117" t="str">
        <f>IF(ISNUMBER(B246),IFERROR(VLOOKUP(B246,'נתוני רישום ומצבת'!B:J,3,0),""),"")</f>
        <v/>
      </c>
      <c r="D246" s="693"/>
      <c r="E246" s="697"/>
      <c r="F246" s="695"/>
      <c r="G246" s="696"/>
      <c r="K246" s="22" t="str">
        <f t="shared" si="7"/>
        <v/>
      </c>
      <c r="M246" s="534" t="str">
        <f t="shared" si="6"/>
        <v/>
      </c>
    </row>
    <row r="247" spans="2:13" ht="15.75" x14ac:dyDescent="0.25">
      <c r="B247" s="692"/>
      <c r="C247" s="117" t="str">
        <f>IF(ISNUMBER(B247),IFERROR(VLOOKUP(B247,'נתוני רישום ומצבת'!B:J,3,0),""),"")</f>
        <v/>
      </c>
      <c r="D247" s="693"/>
      <c r="E247" s="697"/>
      <c r="F247" s="695"/>
      <c r="G247" s="696"/>
      <c r="K247" s="22" t="str">
        <f t="shared" si="7"/>
        <v/>
      </c>
      <c r="M247" s="534" t="str">
        <f t="shared" si="6"/>
        <v/>
      </c>
    </row>
    <row r="248" spans="2:13" ht="15.75" x14ac:dyDescent="0.25">
      <c r="B248" s="692"/>
      <c r="C248" s="117" t="str">
        <f>IF(ISNUMBER(B248),IFERROR(VLOOKUP(B248,'נתוני רישום ומצבת'!B:J,3,0),""),"")</f>
        <v/>
      </c>
      <c r="D248" s="693"/>
      <c r="E248" s="697"/>
      <c r="F248" s="695"/>
      <c r="G248" s="696"/>
      <c r="K248" s="22" t="str">
        <f t="shared" si="7"/>
        <v/>
      </c>
      <c r="M248" s="534" t="str">
        <f t="shared" si="6"/>
        <v/>
      </c>
    </row>
    <row r="249" spans="2:13" ht="15.75" x14ac:dyDescent="0.25">
      <c r="B249" s="692"/>
      <c r="C249" s="117" t="str">
        <f>IF(ISNUMBER(B249),IFERROR(VLOOKUP(B249,'נתוני רישום ומצבת'!B:J,3,0),""),"")</f>
        <v/>
      </c>
      <c r="D249" s="693"/>
      <c r="E249" s="697"/>
      <c r="F249" s="695"/>
      <c r="G249" s="696"/>
      <c r="K249" s="22" t="str">
        <f t="shared" si="7"/>
        <v/>
      </c>
      <c r="M249" s="534" t="str">
        <f t="shared" si="6"/>
        <v/>
      </c>
    </row>
    <row r="250" spans="2:13" ht="15.75" x14ac:dyDescent="0.25">
      <c r="B250" s="692"/>
      <c r="C250" s="117" t="str">
        <f>IF(ISNUMBER(B250),IFERROR(VLOOKUP(B250,'נתוני רישום ומצבת'!B:J,3,0),""),"")</f>
        <v/>
      </c>
      <c r="D250" s="693"/>
      <c r="E250" s="697"/>
      <c r="F250" s="695"/>
      <c r="G250" s="696"/>
      <c r="K250" s="22" t="str">
        <f t="shared" si="7"/>
        <v/>
      </c>
      <c r="M250" s="534" t="str">
        <f t="shared" si="6"/>
        <v/>
      </c>
    </row>
    <row r="251" spans="2:13" ht="15.75" x14ac:dyDescent="0.25">
      <c r="B251" s="692"/>
      <c r="C251" s="117" t="str">
        <f>IF(ISNUMBER(B251),IFERROR(VLOOKUP(B251,'נתוני רישום ומצבת'!B:J,3,0),""),"")</f>
        <v/>
      </c>
      <c r="D251" s="693"/>
      <c r="E251" s="697"/>
      <c r="F251" s="695"/>
      <c r="G251" s="696"/>
      <c r="K251" s="22" t="str">
        <f t="shared" si="7"/>
        <v/>
      </c>
      <c r="M251" s="534" t="str">
        <f t="shared" si="6"/>
        <v/>
      </c>
    </row>
    <row r="252" spans="2:13" ht="15.75" x14ac:dyDescent="0.25">
      <c r="B252" s="692"/>
      <c r="C252" s="117" t="str">
        <f>IF(ISNUMBER(B252),IFERROR(VLOOKUP(B252,'נתוני רישום ומצבת'!B:J,3,0),""),"")</f>
        <v/>
      </c>
      <c r="D252" s="693"/>
      <c r="E252" s="697"/>
      <c r="F252" s="695"/>
      <c r="G252" s="696"/>
      <c r="K252" s="22" t="str">
        <f t="shared" si="7"/>
        <v/>
      </c>
      <c r="M252" s="534" t="str">
        <f t="shared" si="6"/>
        <v/>
      </c>
    </row>
    <row r="253" spans="2:13" ht="15.75" x14ac:dyDescent="0.25">
      <c r="B253" s="692"/>
      <c r="C253" s="117" t="str">
        <f>IF(ISNUMBER(B253),IFERROR(VLOOKUP(B253,'נתוני רישום ומצבת'!B:J,3,0),""),"")</f>
        <v/>
      </c>
      <c r="D253" s="693"/>
      <c r="E253" s="697"/>
      <c r="F253" s="695"/>
      <c r="G253" s="696"/>
      <c r="K253" s="22" t="str">
        <f t="shared" si="7"/>
        <v/>
      </c>
      <c r="M253" s="534" t="str">
        <f t="shared" si="6"/>
        <v/>
      </c>
    </row>
    <row r="254" spans="2:13" ht="15.75" x14ac:dyDescent="0.25">
      <c r="B254" s="692"/>
      <c r="C254" s="117" t="str">
        <f>IF(ISNUMBER(B254),IFERROR(VLOOKUP(B254,'נתוני רישום ומצבת'!B:J,3,0),""),"")</f>
        <v/>
      </c>
      <c r="D254" s="693"/>
      <c r="E254" s="697"/>
      <c r="F254" s="695"/>
      <c r="G254" s="696"/>
      <c r="K254" s="22" t="str">
        <f t="shared" si="7"/>
        <v/>
      </c>
      <c r="M254" s="534" t="str">
        <f t="shared" si="6"/>
        <v/>
      </c>
    </row>
    <row r="255" spans="2:13" ht="15.75" x14ac:dyDescent="0.25">
      <c r="B255" s="692"/>
      <c r="C255" s="117" t="str">
        <f>IF(ISNUMBER(B255),IFERROR(VLOOKUP(B255,'נתוני רישום ומצבת'!B:J,3,0),""),"")</f>
        <v/>
      </c>
      <c r="D255" s="693"/>
      <c r="E255" s="697"/>
      <c r="F255" s="695"/>
      <c r="G255" s="696"/>
      <c r="K255" s="22" t="str">
        <f t="shared" si="7"/>
        <v/>
      </c>
      <c r="M255" s="534" t="str">
        <f t="shared" si="6"/>
        <v/>
      </c>
    </row>
    <row r="256" spans="2:13" ht="15.75" x14ac:dyDescent="0.25">
      <c r="B256" s="692"/>
      <c r="C256" s="117" t="str">
        <f>IF(ISNUMBER(B256),IFERROR(VLOOKUP(B256,'נתוני רישום ומצבת'!B:J,3,0),""),"")</f>
        <v/>
      </c>
      <c r="D256" s="693"/>
      <c r="E256" s="697"/>
      <c r="F256" s="695"/>
      <c r="G256" s="696"/>
      <c r="K256" s="22" t="str">
        <f t="shared" si="7"/>
        <v/>
      </c>
      <c r="M256" s="534" t="str">
        <f t="shared" si="6"/>
        <v/>
      </c>
    </row>
    <row r="257" spans="2:13" ht="15.75" x14ac:dyDescent="0.25">
      <c r="B257" s="692"/>
      <c r="C257" s="117" t="str">
        <f>IF(ISNUMBER(B257),IFERROR(VLOOKUP(B257,'נתוני רישום ומצבת'!B:J,3,0),""),"")</f>
        <v/>
      </c>
      <c r="D257" s="693"/>
      <c r="E257" s="697"/>
      <c r="F257" s="695"/>
      <c r="G257" s="696"/>
      <c r="K257" s="22" t="str">
        <f t="shared" si="7"/>
        <v/>
      </c>
      <c r="M257" s="534" t="str">
        <f t="shared" si="6"/>
        <v/>
      </c>
    </row>
    <row r="258" spans="2:13" ht="15.75" x14ac:dyDescent="0.25">
      <c r="B258" s="692"/>
      <c r="C258" s="117" t="str">
        <f>IF(ISNUMBER(B258),IFERROR(VLOOKUP(B258,'נתוני רישום ומצבת'!B:J,3,0),""),"")</f>
        <v/>
      </c>
      <c r="D258" s="693"/>
      <c r="E258" s="697"/>
      <c r="F258" s="695"/>
      <c r="G258" s="696"/>
      <c r="K258" s="22" t="str">
        <f t="shared" si="7"/>
        <v/>
      </c>
      <c r="M258" s="534" t="str">
        <f t="shared" si="6"/>
        <v/>
      </c>
    </row>
    <row r="259" spans="2:13" ht="15.75" x14ac:dyDescent="0.25">
      <c r="B259" s="692"/>
      <c r="C259" s="117" t="str">
        <f>IF(ISNUMBER(B259),IFERROR(VLOOKUP(B259,'נתוני רישום ומצבת'!B:J,3,0),""),"")</f>
        <v/>
      </c>
      <c r="D259" s="693"/>
      <c r="E259" s="697"/>
      <c r="F259" s="695"/>
      <c r="G259" s="696"/>
      <c r="K259" s="22" t="str">
        <f t="shared" si="7"/>
        <v/>
      </c>
      <c r="M259" s="534" t="str">
        <f t="shared" si="6"/>
        <v/>
      </c>
    </row>
    <row r="260" spans="2:13" ht="15.75" x14ac:dyDescent="0.25">
      <c r="B260" s="692"/>
      <c r="C260" s="117" t="str">
        <f>IF(ISNUMBER(B260),IFERROR(VLOOKUP(B260,'נתוני רישום ומצבת'!B:J,3,0),""),"")</f>
        <v/>
      </c>
      <c r="D260" s="693"/>
      <c r="E260" s="697"/>
      <c r="F260" s="695"/>
      <c r="G260" s="696"/>
      <c r="K260" s="22" t="str">
        <f t="shared" si="7"/>
        <v/>
      </c>
      <c r="M260" s="534" t="str">
        <f t="shared" si="6"/>
        <v/>
      </c>
    </row>
    <row r="261" spans="2:13" ht="15.75" x14ac:dyDescent="0.25">
      <c r="B261" s="692"/>
      <c r="C261" s="117" t="str">
        <f>IF(ISNUMBER(B261),IFERROR(VLOOKUP(B261,'נתוני רישום ומצבת'!B:J,3,0),""),"")</f>
        <v/>
      </c>
      <c r="D261" s="693"/>
      <c r="E261" s="697"/>
      <c r="F261" s="695"/>
      <c r="G261" s="696"/>
      <c r="K261" s="22" t="str">
        <f t="shared" si="7"/>
        <v/>
      </c>
      <c r="M261" s="534" t="str">
        <f t="shared" si="6"/>
        <v/>
      </c>
    </row>
    <row r="262" spans="2:13" ht="15.75" x14ac:dyDescent="0.25">
      <c r="B262" s="692"/>
      <c r="C262" s="117" t="str">
        <f>IF(ISNUMBER(B262),IFERROR(VLOOKUP(B262,'נתוני רישום ומצבת'!B:J,3,0),""),"")</f>
        <v/>
      </c>
      <c r="D262" s="693"/>
      <c r="E262" s="697"/>
      <c r="F262" s="695"/>
      <c r="G262" s="696"/>
      <c r="K262" s="22" t="str">
        <f t="shared" si="7"/>
        <v/>
      </c>
      <c r="M262" s="534" t="str">
        <f t="shared" si="6"/>
        <v/>
      </c>
    </row>
    <row r="263" spans="2:13" ht="15.75" x14ac:dyDescent="0.25">
      <c r="B263" s="692"/>
      <c r="C263" s="117" t="str">
        <f>IF(ISNUMBER(B263),IFERROR(VLOOKUP(B263,'נתוני רישום ומצבת'!B:J,3,0),""),"")</f>
        <v/>
      </c>
      <c r="D263" s="693"/>
      <c r="E263" s="697"/>
      <c r="F263" s="695"/>
      <c r="G263" s="696"/>
      <c r="K263" s="22" t="str">
        <f t="shared" si="7"/>
        <v/>
      </c>
      <c r="M263" s="534" t="str">
        <f t="shared" si="6"/>
        <v/>
      </c>
    </row>
    <row r="264" spans="2:13" ht="15.75" x14ac:dyDescent="0.25">
      <c r="B264" s="692"/>
      <c r="C264" s="117" t="str">
        <f>IF(ISNUMBER(B264),IFERROR(VLOOKUP(B264,'נתוני רישום ומצבת'!B:J,3,0),""),"")</f>
        <v/>
      </c>
      <c r="D264" s="693"/>
      <c r="E264" s="697"/>
      <c r="F264" s="695"/>
      <c r="G264" s="696"/>
      <c r="K264" s="22" t="str">
        <f t="shared" si="7"/>
        <v/>
      </c>
      <c r="M264" s="534" t="str">
        <f t="shared" si="6"/>
        <v/>
      </c>
    </row>
    <row r="265" spans="2:13" ht="15.75" x14ac:dyDescent="0.25">
      <c r="B265" s="692"/>
      <c r="C265" s="117" t="str">
        <f>IF(ISNUMBER(B265),IFERROR(VLOOKUP(B265,'נתוני רישום ומצבת'!B:J,3,0),""),"")</f>
        <v/>
      </c>
      <c r="D265" s="693"/>
      <c r="E265" s="697"/>
      <c r="F265" s="695"/>
      <c r="G265" s="696"/>
      <c r="K265" s="22" t="str">
        <f t="shared" si="7"/>
        <v/>
      </c>
      <c r="M265" s="534" t="str">
        <f t="shared" si="6"/>
        <v/>
      </c>
    </row>
    <row r="266" spans="2:13" ht="15.75" x14ac:dyDescent="0.25">
      <c r="B266" s="692"/>
      <c r="C266" s="117" t="str">
        <f>IF(ISNUMBER(B266),IFERROR(VLOOKUP(B266,'נתוני רישום ומצבת'!B:J,3,0),""),"")</f>
        <v/>
      </c>
      <c r="D266" s="693"/>
      <c r="E266" s="697"/>
      <c r="F266" s="695"/>
      <c r="G266" s="696"/>
      <c r="K266" s="22" t="str">
        <f t="shared" si="7"/>
        <v/>
      </c>
      <c r="M266" s="534" t="str">
        <f t="shared" si="6"/>
        <v/>
      </c>
    </row>
    <row r="267" spans="2:13" ht="15.75" x14ac:dyDescent="0.25">
      <c r="B267" s="692"/>
      <c r="C267" s="117" t="str">
        <f>IF(ISNUMBER(B267),IFERROR(VLOOKUP(B267,'נתוני רישום ומצבת'!B:J,3,0),""),"")</f>
        <v/>
      </c>
      <c r="D267" s="693"/>
      <c r="E267" s="697"/>
      <c r="F267" s="695"/>
      <c r="G267" s="696"/>
      <c r="K267" s="22" t="str">
        <f t="shared" si="7"/>
        <v/>
      </c>
      <c r="M267" s="534" t="str">
        <f t="shared" si="6"/>
        <v/>
      </c>
    </row>
    <row r="268" spans="2:13" ht="15.75" x14ac:dyDescent="0.25">
      <c r="B268" s="692"/>
      <c r="C268" s="117" t="str">
        <f>IF(ISNUMBER(B268),IFERROR(VLOOKUP(B268,'נתוני רישום ומצבת'!B:J,3,0),""),"")</f>
        <v/>
      </c>
      <c r="D268" s="693"/>
      <c r="E268" s="697"/>
      <c r="F268" s="695"/>
      <c r="G268" s="696"/>
      <c r="K268" s="22" t="str">
        <f t="shared" si="7"/>
        <v/>
      </c>
      <c r="M268" s="534" t="str">
        <f t="shared" si="6"/>
        <v/>
      </c>
    </row>
    <row r="269" spans="2:13" ht="15.75" x14ac:dyDescent="0.25">
      <c r="B269" s="692"/>
      <c r="C269" s="117" t="str">
        <f>IF(ISNUMBER(B269),IFERROR(VLOOKUP(B269,'נתוני רישום ומצבת'!B:J,3,0),""),"")</f>
        <v/>
      </c>
      <c r="D269" s="693"/>
      <c r="E269" s="697"/>
      <c r="F269" s="695"/>
      <c r="G269" s="696"/>
      <c r="K269" s="22" t="str">
        <f t="shared" si="7"/>
        <v/>
      </c>
      <c r="M269" s="534" t="str">
        <f t="shared" si="6"/>
        <v/>
      </c>
    </row>
    <row r="270" spans="2:13" ht="15.75" x14ac:dyDescent="0.25">
      <c r="B270" s="692"/>
      <c r="C270" s="117" t="str">
        <f>IF(ISNUMBER(B270),IFERROR(VLOOKUP(B270,'נתוני רישום ומצבת'!B:J,3,0),""),"")</f>
        <v/>
      </c>
      <c r="D270" s="693"/>
      <c r="E270" s="697"/>
      <c r="F270" s="695"/>
      <c r="G270" s="696"/>
      <c r="K270" s="22" t="str">
        <f t="shared" si="7"/>
        <v/>
      </c>
      <c r="M270" s="534" t="str">
        <f t="shared" si="6"/>
        <v/>
      </c>
    </row>
    <row r="271" spans="2:13" ht="15.75" x14ac:dyDescent="0.25">
      <c r="B271" s="692"/>
      <c r="C271" s="117" t="str">
        <f>IF(ISNUMBER(B271),IFERROR(VLOOKUP(B271,'נתוני רישום ומצבת'!B:J,3,0),""),"")</f>
        <v/>
      </c>
      <c r="D271" s="693"/>
      <c r="E271" s="697"/>
      <c r="F271" s="695"/>
      <c r="G271" s="696"/>
      <c r="K271" s="22" t="str">
        <f t="shared" si="7"/>
        <v/>
      </c>
      <c r="M271" s="534" t="str">
        <f t="shared" si="6"/>
        <v/>
      </c>
    </row>
    <row r="272" spans="2:13" ht="15.75" x14ac:dyDescent="0.25">
      <c r="B272" s="692"/>
      <c r="C272" s="117" t="str">
        <f>IF(ISNUMBER(B272),IFERROR(VLOOKUP(B272,'נתוני רישום ומצבת'!B:J,3,0),""),"")</f>
        <v/>
      </c>
      <c r="D272" s="693"/>
      <c r="E272" s="697"/>
      <c r="F272" s="695"/>
      <c r="G272" s="696"/>
      <c r="K272" s="22" t="str">
        <f t="shared" si="7"/>
        <v/>
      </c>
      <c r="M272" s="534" t="str">
        <f t="shared" si="6"/>
        <v/>
      </c>
    </row>
    <row r="273" spans="2:13" ht="15.75" x14ac:dyDescent="0.25">
      <c r="B273" s="692"/>
      <c r="C273" s="117" t="str">
        <f>IF(ISNUMBER(B273),IFERROR(VLOOKUP(B273,'נתוני רישום ומצבת'!B:J,3,0),""),"")</f>
        <v/>
      </c>
      <c r="D273" s="693"/>
      <c r="E273" s="697"/>
      <c r="F273" s="695"/>
      <c r="G273" s="696"/>
      <c r="K273" s="22" t="str">
        <f t="shared" si="7"/>
        <v/>
      </c>
      <c r="M273" s="534" t="str">
        <f t="shared" ref="M273:M336" si="8">TEXT(LEFT(D273,2),0)</f>
        <v/>
      </c>
    </row>
    <row r="274" spans="2:13" ht="15.75" x14ac:dyDescent="0.25">
      <c r="B274" s="692"/>
      <c r="C274" s="117" t="str">
        <f>IF(ISNUMBER(B274),IFERROR(VLOOKUP(B274,'נתוני רישום ומצבת'!B:J,3,0),""),"")</f>
        <v/>
      </c>
      <c r="D274" s="693"/>
      <c r="E274" s="697"/>
      <c r="F274" s="695"/>
      <c r="G274" s="696"/>
      <c r="K274" s="22" t="str">
        <f t="shared" si="7"/>
        <v/>
      </c>
      <c r="M274" s="534" t="str">
        <f t="shared" si="8"/>
        <v/>
      </c>
    </row>
    <row r="275" spans="2:13" ht="15.75" x14ac:dyDescent="0.25">
      <c r="B275" s="692"/>
      <c r="C275" s="117" t="str">
        <f>IF(ISNUMBER(B275),IFERROR(VLOOKUP(B275,'נתוני רישום ומצבת'!B:J,3,0),""),"")</f>
        <v/>
      </c>
      <c r="D275" s="693"/>
      <c r="E275" s="697"/>
      <c r="F275" s="695"/>
      <c r="G275" s="696"/>
      <c r="K275" s="22" t="str">
        <f t="shared" si="7"/>
        <v/>
      </c>
      <c r="M275" s="534" t="str">
        <f t="shared" si="8"/>
        <v/>
      </c>
    </row>
    <row r="276" spans="2:13" ht="15.75" x14ac:dyDescent="0.25">
      <c r="B276" s="692"/>
      <c r="C276" s="117" t="str">
        <f>IF(ISNUMBER(B276),IFERROR(VLOOKUP(B276,'נתוני רישום ומצבת'!B:J,3,0),""),"")</f>
        <v/>
      </c>
      <c r="D276" s="693"/>
      <c r="E276" s="697"/>
      <c r="F276" s="695"/>
      <c r="G276" s="696"/>
      <c r="K276" s="22" t="str">
        <f t="shared" si="7"/>
        <v/>
      </c>
      <c r="M276" s="534" t="str">
        <f t="shared" si="8"/>
        <v/>
      </c>
    </row>
    <row r="277" spans="2:13" ht="15.75" x14ac:dyDescent="0.25">
      <c r="B277" s="692"/>
      <c r="C277" s="117" t="str">
        <f>IF(ISNUMBER(B277),IFERROR(VLOOKUP(B277,'נתוני רישום ומצבת'!B:J,3,0),""),"")</f>
        <v/>
      </c>
      <c r="D277" s="693"/>
      <c r="E277" s="697"/>
      <c r="F277" s="695"/>
      <c r="G277" s="696"/>
      <c r="K277" s="22" t="str">
        <f t="shared" ref="K277:K340" si="9">IF(C264&lt;5,IF(D277=$F$8,-E277," "),"")</f>
        <v/>
      </c>
      <c r="M277" s="534" t="str">
        <f t="shared" si="8"/>
        <v/>
      </c>
    </row>
    <row r="278" spans="2:13" ht="15.75" x14ac:dyDescent="0.25">
      <c r="B278" s="692"/>
      <c r="C278" s="117" t="str">
        <f>IF(ISNUMBER(B278),IFERROR(VLOOKUP(B278,'נתוני רישום ומצבת'!B:J,3,0),""),"")</f>
        <v/>
      </c>
      <c r="D278" s="693"/>
      <c r="E278" s="697"/>
      <c r="F278" s="695"/>
      <c r="G278" s="696"/>
      <c r="K278" s="22" t="str">
        <f t="shared" si="9"/>
        <v/>
      </c>
      <c r="M278" s="534" t="str">
        <f t="shared" si="8"/>
        <v/>
      </c>
    </row>
    <row r="279" spans="2:13" ht="15.75" x14ac:dyDescent="0.25">
      <c r="B279" s="692"/>
      <c r="C279" s="117" t="str">
        <f>IF(ISNUMBER(B279),IFERROR(VLOOKUP(B279,'נתוני רישום ומצבת'!B:J,3,0),""),"")</f>
        <v/>
      </c>
      <c r="D279" s="693"/>
      <c r="E279" s="697"/>
      <c r="F279" s="695"/>
      <c r="G279" s="696"/>
      <c r="K279" s="22" t="str">
        <f t="shared" si="9"/>
        <v/>
      </c>
      <c r="M279" s="534" t="str">
        <f t="shared" si="8"/>
        <v/>
      </c>
    </row>
    <row r="280" spans="2:13" ht="15.75" x14ac:dyDescent="0.25">
      <c r="B280" s="692"/>
      <c r="C280" s="117" t="str">
        <f>IF(ISNUMBER(B280),IFERROR(VLOOKUP(B280,'נתוני רישום ומצבת'!B:J,3,0),""),"")</f>
        <v/>
      </c>
      <c r="D280" s="693"/>
      <c r="E280" s="697"/>
      <c r="F280" s="695"/>
      <c r="G280" s="696"/>
      <c r="K280" s="22" t="str">
        <f t="shared" si="9"/>
        <v/>
      </c>
      <c r="M280" s="534" t="str">
        <f t="shared" si="8"/>
        <v/>
      </c>
    </row>
    <row r="281" spans="2:13" ht="15.75" x14ac:dyDescent="0.25">
      <c r="B281" s="692"/>
      <c r="C281" s="117" t="str">
        <f>IF(ISNUMBER(B281),IFERROR(VLOOKUP(B281,'נתוני רישום ומצבת'!B:J,3,0),""),"")</f>
        <v/>
      </c>
      <c r="D281" s="693"/>
      <c r="E281" s="697"/>
      <c r="F281" s="695"/>
      <c r="G281" s="696"/>
      <c r="K281" s="22" t="str">
        <f t="shared" si="9"/>
        <v/>
      </c>
      <c r="M281" s="534" t="str">
        <f t="shared" si="8"/>
        <v/>
      </c>
    </row>
    <row r="282" spans="2:13" ht="15.75" x14ac:dyDescent="0.25">
      <c r="B282" s="692"/>
      <c r="C282" s="117" t="str">
        <f>IF(ISNUMBER(B282),IFERROR(VLOOKUP(B282,'נתוני רישום ומצבת'!B:J,3,0),""),"")</f>
        <v/>
      </c>
      <c r="D282" s="693"/>
      <c r="E282" s="697"/>
      <c r="F282" s="695"/>
      <c r="G282" s="696"/>
      <c r="K282" s="22" t="str">
        <f t="shared" si="9"/>
        <v/>
      </c>
      <c r="M282" s="534" t="str">
        <f t="shared" si="8"/>
        <v/>
      </c>
    </row>
    <row r="283" spans="2:13" ht="15.75" x14ac:dyDescent="0.25">
      <c r="B283" s="692"/>
      <c r="C283" s="117" t="str">
        <f>IF(ISNUMBER(B283),IFERROR(VLOOKUP(B283,'נתוני רישום ומצבת'!B:J,3,0),""),"")</f>
        <v/>
      </c>
      <c r="D283" s="693"/>
      <c r="E283" s="697"/>
      <c r="F283" s="695"/>
      <c r="G283" s="696"/>
      <c r="K283" s="22" t="str">
        <f t="shared" si="9"/>
        <v/>
      </c>
      <c r="M283" s="534" t="str">
        <f t="shared" si="8"/>
        <v/>
      </c>
    </row>
    <row r="284" spans="2:13" ht="15.75" x14ac:dyDescent="0.25">
      <c r="B284" s="692"/>
      <c r="C284" s="117" t="str">
        <f>IF(ISNUMBER(B284),IFERROR(VLOOKUP(B284,'נתוני רישום ומצבת'!B:J,3,0),""),"")</f>
        <v/>
      </c>
      <c r="D284" s="693"/>
      <c r="E284" s="697"/>
      <c r="F284" s="695"/>
      <c r="G284" s="696"/>
      <c r="K284" s="22" t="str">
        <f t="shared" si="9"/>
        <v/>
      </c>
      <c r="M284" s="534" t="str">
        <f t="shared" si="8"/>
        <v/>
      </c>
    </row>
    <row r="285" spans="2:13" ht="15.75" x14ac:dyDescent="0.25">
      <c r="B285" s="692"/>
      <c r="C285" s="117" t="str">
        <f>IF(ISNUMBER(B285),IFERROR(VLOOKUP(B285,'נתוני רישום ומצבת'!B:J,3,0),""),"")</f>
        <v/>
      </c>
      <c r="D285" s="693"/>
      <c r="E285" s="697"/>
      <c r="F285" s="695"/>
      <c r="G285" s="696"/>
      <c r="K285" s="22" t="str">
        <f t="shared" si="9"/>
        <v/>
      </c>
      <c r="M285" s="534" t="str">
        <f t="shared" si="8"/>
        <v/>
      </c>
    </row>
    <row r="286" spans="2:13" ht="15.75" x14ac:dyDescent="0.25">
      <c r="B286" s="692"/>
      <c r="C286" s="117" t="str">
        <f>IF(ISNUMBER(B286),IFERROR(VLOOKUP(B286,'נתוני רישום ומצבת'!B:J,3,0),""),"")</f>
        <v/>
      </c>
      <c r="D286" s="693"/>
      <c r="E286" s="697"/>
      <c r="F286" s="695"/>
      <c r="G286" s="696"/>
      <c r="K286" s="22" t="str">
        <f t="shared" si="9"/>
        <v/>
      </c>
      <c r="M286" s="534" t="str">
        <f t="shared" si="8"/>
        <v/>
      </c>
    </row>
    <row r="287" spans="2:13" ht="15.75" x14ac:dyDescent="0.25">
      <c r="B287" s="692"/>
      <c r="C287" s="117" t="str">
        <f>IF(ISNUMBER(B287),IFERROR(VLOOKUP(B287,'נתוני רישום ומצבת'!B:J,3,0),""),"")</f>
        <v/>
      </c>
      <c r="D287" s="693"/>
      <c r="E287" s="697"/>
      <c r="F287" s="695"/>
      <c r="G287" s="696"/>
      <c r="K287" s="22" t="str">
        <f t="shared" si="9"/>
        <v/>
      </c>
      <c r="M287" s="534" t="str">
        <f t="shared" si="8"/>
        <v/>
      </c>
    </row>
    <row r="288" spans="2:13" ht="15.75" x14ac:dyDescent="0.25">
      <c r="B288" s="692"/>
      <c r="C288" s="117" t="str">
        <f>IF(ISNUMBER(B288),IFERROR(VLOOKUP(B288,'נתוני רישום ומצבת'!B:J,3,0),""),"")</f>
        <v/>
      </c>
      <c r="D288" s="693"/>
      <c r="E288" s="697"/>
      <c r="F288" s="695"/>
      <c r="G288" s="696"/>
      <c r="K288" s="22" t="str">
        <f t="shared" si="9"/>
        <v/>
      </c>
      <c r="M288" s="534" t="str">
        <f t="shared" si="8"/>
        <v/>
      </c>
    </row>
    <row r="289" spans="2:13" ht="15.75" x14ac:dyDescent="0.25">
      <c r="B289" s="692"/>
      <c r="C289" s="117" t="str">
        <f>IF(ISNUMBER(B289),IFERROR(VLOOKUP(B289,'נתוני רישום ומצבת'!B:J,3,0),""),"")</f>
        <v/>
      </c>
      <c r="D289" s="693"/>
      <c r="E289" s="697"/>
      <c r="F289" s="695"/>
      <c r="G289" s="696"/>
      <c r="K289" s="22" t="str">
        <f t="shared" si="9"/>
        <v/>
      </c>
      <c r="M289" s="534" t="str">
        <f t="shared" si="8"/>
        <v/>
      </c>
    </row>
    <row r="290" spans="2:13" ht="15.75" x14ac:dyDescent="0.25">
      <c r="B290" s="692"/>
      <c r="C290" s="117" t="str">
        <f>IF(ISNUMBER(B290),IFERROR(VLOOKUP(B290,'נתוני רישום ומצבת'!B:J,3,0),""),"")</f>
        <v/>
      </c>
      <c r="D290" s="693"/>
      <c r="E290" s="697"/>
      <c r="F290" s="695"/>
      <c r="G290" s="696"/>
      <c r="K290" s="22" t="str">
        <f t="shared" si="9"/>
        <v/>
      </c>
      <c r="M290" s="534" t="str">
        <f t="shared" si="8"/>
        <v/>
      </c>
    </row>
    <row r="291" spans="2:13" ht="15.75" x14ac:dyDescent="0.25">
      <c r="B291" s="692"/>
      <c r="C291" s="117" t="str">
        <f>IF(ISNUMBER(B291),IFERROR(VLOOKUP(B291,'נתוני רישום ומצבת'!B:J,3,0),""),"")</f>
        <v/>
      </c>
      <c r="D291" s="693"/>
      <c r="E291" s="697"/>
      <c r="F291" s="695"/>
      <c r="G291" s="696"/>
      <c r="K291" s="22" t="str">
        <f t="shared" si="9"/>
        <v/>
      </c>
      <c r="M291" s="534" t="str">
        <f t="shared" si="8"/>
        <v/>
      </c>
    </row>
    <row r="292" spans="2:13" ht="15.75" x14ac:dyDescent="0.25">
      <c r="B292" s="692"/>
      <c r="C292" s="117" t="str">
        <f>IF(ISNUMBER(B292),IFERROR(VLOOKUP(B292,'נתוני רישום ומצבת'!B:J,3,0),""),"")</f>
        <v/>
      </c>
      <c r="D292" s="693"/>
      <c r="E292" s="697"/>
      <c r="F292" s="695"/>
      <c r="G292" s="696"/>
      <c r="K292" s="22" t="str">
        <f t="shared" si="9"/>
        <v/>
      </c>
      <c r="M292" s="534" t="str">
        <f t="shared" si="8"/>
        <v/>
      </c>
    </row>
    <row r="293" spans="2:13" ht="15.75" x14ac:dyDescent="0.25">
      <c r="B293" s="692"/>
      <c r="C293" s="117" t="str">
        <f>IF(ISNUMBER(B293),IFERROR(VLOOKUP(B293,'נתוני רישום ומצבת'!B:J,3,0),""),"")</f>
        <v/>
      </c>
      <c r="D293" s="693"/>
      <c r="E293" s="697"/>
      <c r="F293" s="695"/>
      <c r="G293" s="696"/>
      <c r="K293" s="22" t="str">
        <f t="shared" si="9"/>
        <v/>
      </c>
      <c r="M293" s="534" t="str">
        <f t="shared" si="8"/>
        <v/>
      </c>
    </row>
    <row r="294" spans="2:13" ht="15.75" x14ac:dyDescent="0.25">
      <c r="B294" s="692"/>
      <c r="C294" s="117" t="str">
        <f>IF(ISNUMBER(B294),IFERROR(VLOOKUP(B294,'נתוני רישום ומצבת'!B:J,3,0),""),"")</f>
        <v/>
      </c>
      <c r="D294" s="693"/>
      <c r="E294" s="697"/>
      <c r="F294" s="695"/>
      <c r="G294" s="696"/>
      <c r="K294" s="22" t="str">
        <f t="shared" si="9"/>
        <v/>
      </c>
      <c r="M294" s="534" t="str">
        <f t="shared" si="8"/>
        <v/>
      </c>
    </row>
    <row r="295" spans="2:13" ht="15.75" x14ac:dyDescent="0.25">
      <c r="B295" s="692"/>
      <c r="C295" s="117" t="str">
        <f>IF(ISNUMBER(B295),IFERROR(VLOOKUP(B295,'נתוני רישום ומצבת'!B:J,3,0),""),"")</f>
        <v/>
      </c>
      <c r="D295" s="693"/>
      <c r="E295" s="697"/>
      <c r="F295" s="695"/>
      <c r="G295" s="696"/>
      <c r="K295" s="22" t="str">
        <f t="shared" si="9"/>
        <v/>
      </c>
      <c r="M295" s="534" t="str">
        <f t="shared" si="8"/>
        <v/>
      </c>
    </row>
    <row r="296" spans="2:13" ht="15.75" x14ac:dyDescent="0.25">
      <c r="B296" s="692"/>
      <c r="C296" s="117" t="str">
        <f>IF(ISNUMBER(B296),IFERROR(VLOOKUP(B296,'נתוני רישום ומצבת'!B:J,3,0),""),"")</f>
        <v/>
      </c>
      <c r="D296" s="693"/>
      <c r="E296" s="697"/>
      <c r="F296" s="695"/>
      <c r="G296" s="696"/>
      <c r="K296" s="22" t="str">
        <f t="shared" si="9"/>
        <v/>
      </c>
      <c r="M296" s="534" t="str">
        <f t="shared" si="8"/>
        <v/>
      </c>
    </row>
    <row r="297" spans="2:13" ht="15.75" x14ac:dyDescent="0.25">
      <c r="B297" s="692"/>
      <c r="C297" s="117" t="str">
        <f>IF(ISNUMBER(B297),IFERROR(VLOOKUP(B297,'נתוני רישום ומצבת'!B:J,3,0),""),"")</f>
        <v/>
      </c>
      <c r="D297" s="693"/>
      <c r="E297" s="697"/>
      <c r="F297" s="695"/>
      <c r="G297" s="696"/>
      <c r="K297" s="22" t="str">
        <f t="shared" si="9"/>
        <v/>
      </c>
      <c r="M297" s="534" t="str">
        <f t="shared" si="8"/>
        <v/>
      </c>
    </row>
    <row r="298" spans="2:13" ht="15.75" x14ac:dyDescent="0.25">
      <c r="B298" s="692"/>
      <c r="C298" s="117" t="str">
        <f>IF(ISNUMBER(B298),IFERROR(VLOOKUP(B298,'נתוני רישום ומצבת'!B:J,3,0),""),"")</f>
        <v/>
      </c>
      <c r="D298" s="693"/>
      <c r="E298" s="697"/>
      <c r="F298" s="695"/>
      <c r="G298" s="696"/>
      <c r="K298" s="22" t="str">
        <f t="shared" si="9"/>
        <v/>
      </c>
      <c r="M298" s="534" t="str">
        <f t="shared" si="8"/>
        <v/>
      </c>
    </row>
    <row r="299" spans="2:13" ht="15.75" x14ac:dyDescent="0.25">
      <c r="B299" s="692"/>
      <c r="C299" s="117" t="str">
        <f>IF(ISNUMBER(B299),IFERROR(VLOOKUP(B299,'נתוני רישום ומצבת'!B:J,3,0),""),"")</f>
        <v/>
      </c>
      <c r="D299" s="693"/>
      <c r="E299" s="697"/>
      <c r="F299" s="695"/>
      <c r="G299" s="696"/>
      <c r="K299" s="22" t="str">
        <f t="shared" si="9"/>
        <v/>
      </c>
      <c r="M299" s="534" t="str">
        <f t="shared" si="8"/>
        <v/>
      </c>
    </row>
    <row r="300" spans="2:13" ht="15.75" x14ac:dyDescent="0.25">
      <c r="B300" s="692"/>
      <c r="C300" s="117" t="str">
        <f>IF(ISNUMBER(B300),IFERROR(VLOOKUP(B300,'נתוני רישום ומצבת'!B:J,3,0),""),"")</f>
        <v/>
      </c>
      <c r="D300" s="693"/>
      <c r="E300" s="697"/>
      <c r="F300" s="695"/>
      <c r="G300" s="696"/>
      <c r="K300" s="22" t="str">
        <f t="shared" si="9"/>
        <v/>
      </c>
      <c r="M300" s="534" t="str">
        <f t="shared" si="8"/>
        <v/>
      </c>
    </row>
    <row r="301" spans="2:13" ht="15.75" x14ac:dyDescent="0.25">
      <c r="B301" s="692"/>
      <c r="C301" s="117" t="str">
        <f>IF(ISNUMBER(B301),IFERROR(VLOOKUP(B301,'נתוני רישום ומצבת'!B:J,3,0),""),"")</f>
        <v/>
      </c>
      <c r="D301" s="693"/>
      <c r="E301" s="697"/>
      <c r="F301" s="695"/>
      <c r="G301" s="696"/>
      <c r="K301" s="22" t="str">
        <f t="shared" si="9"/>
        <v/>
      </c>
      <c r="M301" s="534" t="str">
        <f t="shared" si="8"/>
        <v/>
      </c>
    </row>
    <row r="302" spans="2:13" ht="15.75" x14ac:dyDescent="0.25">
      <c r="B302" s="692"/>
      <c r="C302" s="117" t="str">
        <f>IF(ISNUMBER(B302),IFERROR(VLOOKUP(B302,'נתוני רישום ומצבת'!B:J,3,0),""),"")</f>
        <v/>
      </c>
      <c r="D302" s="693"/>
      <c r="E302" s="697"/>
      <c r="F302" s="695"/>
      <c r="G302" s="696"/>
      <c r="K302" s="22" t="str">
        <f t="shared" si="9"/>
        <v/>
      </c>
      <c r="M302" s="534" t="str">
        <f t="shared" si="8"/>
        <v/>
      </c>
    </row>
    <row r="303" spans="2:13" ht="15.75" x14ac:dyDescent="0.25">
      <c r="B303" s="692"/>
      <c r="C303" s="117" t="str">
        <f>IF(ISNUMBER(B303),IFERROR(VLOOKUP(B303,'נתוני רישום ומצבת'!B:J,3,0),""),"")</f>
        <v/>
      </c>
      <c r="D303" s="693"/>
      <c r="E303" s="697"/>
      <c r="F303" s="695"/>
      <c r="G303" s="696"/>
      <c r="K303" s="22" t="str">
        <f t="shared" si="9"/>
        <v/>
      </c>
      <c r="M303" s="534" t="str">
        <f t="shared" si="8"/>
        <v/>
      </c>
    </row>
    <row r="304" spans="2:13" ht="15.75" x14ac:dyDescent="0.25">
      <c r="B304" s="692"/>
      <c r="C304" s="117" t="str">
        <f>IF(ISNUMBER(B304),IFERROR(VLOOKUP(B304,'נתוני רישום ומצבת'!B:J,3,0),""),"")</f>
        <v/>
      </c>
      <c r="D304" s="693"/>
      <c r="E304" s="697"/>
      <c r="F304" s="695"/>
      <c r="G304" s="696"/>
      <c r="K304" s="22" t="str">
        <f t="shared" si="9"/>
        <v/>
      </c>
      <c r="M304" s="534" t="str">
        <f t="shared" si="8"/>
        <v/>
      </c>
    </row>
    <row r="305" spans="2:13" ht="15.75" x14ac:dyDescent="0.25">
      <c r="B305" s="692"/>
      <c r="C305" s="117" t="str">
        <f>IF(ISNUMBER(B305),IFERROR(VLOOKUP(B305,'נתוני רישום ומצבת'!B:J,3,0),""),"")</f>
        <v/>
      </c>
      <c r="D305" s="693"/>
      <c r="E305" s="697"/>
      <c r="F305" s="695"/>
      <c r="G305" s="696"/>
      <c r="K305" s="22" t="str">
        <f t="shared" si="9"/>
        <v/>
      </c>
      <c r="M305" s="534" t="str">
        <f t="shared" si="8"/>
        <v/>
      </c>
    </row>
    <row r="306" spans="2:13" ht="15.75" x14ac:dyDescent="0.25">
      <c r="B306" s="692"/>
      <c r="C306" s="117" t="str">
        <f>IF(ISNUMBER(B306),IFERROR(VLOOKUP(B306,'נתוני רישום ומצבת'!B:J,3,0),""),"")</f>
        <v/>
      </c>
      <c r="D306" s="693"/>
      <c r="E306" s="697"/>
      <c r="F306" s="695"/>
      <c r="G306" s="696"/>
      <c r="K306" s="22" t="str">
        <f t="shared" si="9"/>
        <v/>
      </c>
      <c r="M306" s="534" t="str">
        <f t="shared" si="8"/>
        <v/>
      </c>
    </row>
    <row r="307" spans="2:13" ht="15.75" x14ac:dyDescent="0.25">
      <c r="B307" s="692"/>
      <c r="C307" s="117" t="str">
        <f>IF(ISNUMBER(B307),IFERROR(VLOOKUP(B307,'נתוני רישום ומצבת'!B:J,3,0),""),"")</f>
        <v/>
      </c>
      <c r="D307" s="693"/>
      <c r="E307" s="697"/>
      <c r="F307" s="695"/>
      <c r="G307" s="696"/>
      <c r="K307" s="22" t="str">
        <f t="shared" si="9"/>
        <v/>
      </c>
      <c r="M307" s="534" t="str">
        <f t="shared" si="8"/>
        <v/>
      </c>
    </row>
    <row r="308" spans="2:13" ht="15.75" x14ac:dyDescent="0.25">
      <c r="B308" s="692"/>
      <c r="C308" s="117" t="str">
        <f>IF(ISNUMBER(B308),IFERROR(VLOOKUP(B308,'נתוני רישום ומצבת'!B:J,3,0),""),"")</f>
        <v/>
      </c>
      <c r="D308" s="693"/>
      <c r="E308" s="697"/>
      <c r="F308" s="695"/>
      <c r="G308" s="696"/>
      <c r="K308" s="22" t="str">
        <f t="shared" si="9"/>
        <v/>
      </c>
      <c r="M308" s="534" t="str">
        <f t="shared" si="8"/>
        <v/>
      </c>
    </row>
    <row r="309" spans="2:13" ht="15.75" x14ac:dyDescent="0.25">
      <c r="B309" s="692"/>
      <c r="C309" s="117" t="str">
        <f>IF(ISNUMBER(B309),IFERROR(VLOOKUP(B309,'נתוני רישום ומצבת'!B:J,3,0),""),"")</f>
        <v/>
      </c>
      <c r="D309" s="693"/>
      <c r="E309" s="697"/>
      <c r="F309" s="695"/>
      <c r="G309" s="696"/>
      <c r="K309" s="22" t="str">
        <f t="shared" si="9"/>
        <v/>
      </c>
      <c r="M309" s="534" t="str">
        <f t="shared" si="8"/>
        <v/>
      </c>
    </row>
    <row r="310" spans="2:13" ht="15.75" x14ac:dyDescent="0.25">
      <c r="B310" s="692"/>
      <c r="C310" s="117" t="str">
        <f>IF(ISNUMBER(B310),IFERROR(VLOOKUP(B310,'נתוני רישום ומצבת'!B:J,3,0),""),"")</f>
        <v/>
      </c>
      <c r="D310" s="693"/>
      <c r="E310" s="697"/>
      <c r="F310" s="695"/>
      <c r="G310" s="696"/>
      <c r="K310" s="22" t="str">
        <f t="shared" si="9"/>
        <v/>
      </c>
      <c r="M310" s="534" t="str">
        <f t="shared" si="8"/>
        <v/>
      </c>
    </row>
    <row r="311" spans="2:13" ht="15.75" x14ac:dyDescent="0.25">
      <c r="B311" s="692"/>
      <c r="C311" s="117" t="str">
        <f>IF(ISNUMBER(B311),IFERROR(VLOOKUP(B311,'נתוני רישום ומצבת'!B:J,3,0),""),"")</f>
        <v/>
      </c>
      <c r="D311" s="693"/>
      <c r="E311" s="697"/>
      <c r="F311" s="695"/>
      <c r="G311" s="696"/>
      <c r="K311" s="22" t="str">
        <f t="shared" si="9"/>
        <v/>
      </c>
      <c r="M311" s="534" t="str">
        <f t="shared" si="8"/>
        <v/>
      </c>
    </row>
    <row r="312" spans="2:13" ht="15.75" x14ac:dyDescent="0.25">
      <c r="B312" s="692"/>
      <c r="C312" s="117" t="str">
        <f>IF(ISNUMBER(B312),IFERROR(VLOOKUP(B312,'נתוני רישום ומצבת'!B:J,3,0),""),"")</f>
        <v/>
      </c>
      <c r="D312" s="693"/>
      <c r="E312" s="697"/>
      <c r="F312" s="695"/>
      <c r="G312" s="696"/>
      <c r="K312" s="22" t="str">
        <f t="shared" si="9"/>
        <v/>
      </c>
      <c r="M312" s="534" t="str">
        <f t="shared" si="8"/>
        <v/>
      </c>
    </row>
    <row r="313" spans="2:13" ht="15.75" x14ac:dyDescent="0.25">
      <c r="B313" s="692"/>
      <c r="C313" s="117" t="str">
        <f>IF(ISNUMBER(B313),IFERROR(VLOOKUP(B313,'נתוני רישום ומצבת'!B:J,3,0),""),"")</f>
        <v/>
      </c>
      <c r="D313" s="693"/>
      <c r="E313" s="697"/>
      <c r="F313" s="695"/>
      <c r="G313" s="696"/>
      <c r="K313" s="22" t="str">
        <f t="shared" si="9"/>
        <v/>
      </c>
      <c r="M313" s="534" t="str">
        <f t="shared" si="8"/>
        <v/>
      </c>
    </row>
    <row r="314" spans="2:13" ht="15.75" x14ac:dyDescent="0.25">
      <c r="B314" s="692"/>
      <c r="C314" s="117" t="str">
        <f>IF(ISNUMBER(B314),IFERROR(VLOOKUP(B314,'נתוני רישום ומצבת'!B:J,3,0),""),"")</f>
        <v/>
      </c>
      <c r="D314" s="693"/>
      <c r="E314" s="697"/>
      <c r="F314" s="695"/>
      <c r="G314" s="696"/>
      <c r="K314" s="22" t="str">
        <f t="shared" si="9"/>
        <v/>
      </c>
      <c r="M314" s="534" t="str">
        <f t="shared" si="8"/>
        <v/>
      </c>
    </row>
    <row r="315" spans="2:13" ht="15.75" x14ac:dyDescent="0.25">
      <c r="B315" s="692"/>
      <c r="C315" s="117" t="str">
        <f>IF(ISNUMBER(B315),IFERROR(VLOOKUP(B315,'נתוני רישום ומצבת'!B:J,3,0),""),"")</f>
        <v/>
      </c>
      <c r="D315" s="693"/>
      <c r="E315" s="697"/>
      <c r="F315" s="695"/>
      <c r="G315" s="696"/>
      <c r="K315" s="22" t="str">
        <f t="shared" si="9"/>
        <v/>
      </c>
      <c r="M315" s="534" t="str">
        <f t="shared" si="8"/>
        <v/>
      </c>
    </row>
    <row r="316" spans="2:13" ht="15.75" x14ac:dyDescent="0.25">
      <c r="B316" s="692"/>
      <c r="C316" s="117" t="str">
        <f>IF(ISNUMBER(B316),IFERROR(VLOOKUP(B316,'נתוני רישום ומצבת'!B:J,3,0),""),"")</f>
        <v/>
      </c>
      <c r="D316" s="693"/>
      <c r="E316" s="697"/>
      <c r="F316" s="695"/>
      <c r="G316" s="696"/>
      <c r="K316" s="22" t="str">
        <f t="shared" si="9"/>
        <v/>
      </c>
      <c r="M316" s="534" t="str">
        <f t="shared" si="8"/>
        <v/>
      </c>
    </row>
    <row r="317" spans="2:13" ht="15.75" x14ac:dyDescent="0.25">
      <c r="B317" s="692"/>
      <c r="C317" s="117" t="str">
        <f>IF(ISNUMBER(B317),IFERROR(VLOOKUP(B317,'נתוני רישום ומצבת'!B:J,3,0),""),"")</f>
        <v/>
      </c>
      <c r="D317" s="693"/>
      <c r="E317" s="697"/>
      <c r="F317" s="695"/>
      <c r="G317" s="696"/>
      <c r="K317" s="22" t="str">
        <f t="shared" si="9"/>
        <v/>
      </c>
      <c r="M317" s="534" t="str">
        <f t="shared" si="8"/>
        <v/>
      </c>
    </row>
    <row r="318" spans="2:13" ht="15.75" x14ac:dyDescent="0.25">
      <c r="B318" s="692"/>
      <c r="C318" s="117" t="str">
        <f>IF(ISNUMBER(B318),IFERROR(VLOOKUP(B318,'נתוני רישום ומצבת'!B:J,3,0),""),"")</f>
        <v/>
      </c>
      <c r="D318" s="693"/>
      <c r="E318" s="697"/>
      <c r="F318" s="695"/>
      <c r="G318" s="696"/>
      <c r="K318" s="22" t="str">
        <f t="shared" si="9"/>
        <v/>
      </c>
      <c r="M318" s="534" t="str">
        <f t="shared" si="8"/>
        <v/>
      </c>
    </row>
    <row r="319" spans="2:13" ht="15.75" x14ac:dyDescent="0.25">
      <c r="B319" s="692"/>
      <c r="C319" s="117" t="str">
        <f>IF(ISNUMBER(B319),IFERROR(VLOOKUP(B319,'נתוני רישום ומצבת'!B:J,3,0),""),"")</f>
        <v/>
      </c>
      <c r="D319" s="693"/>
      <c r="E319" s="697"/>
      <c r="F319" s="695"/>
      <c r="G319" s="696"/>
      <c r="K319" s="22" t="str">
        <f t="shared" si="9"/>
        <v/>
      </c>
      <c r="M319" s="534" t="str">
        <f t="shared" si="8"/>
        <v/>
      </c>
    </row>
    <row r="320" spans="2:13" ht="15.75" x14ac:dyDescent="0.25">
      <c r="B320" s="692"/>
      <c r="C320" s="117" t="str">
        <f>IF(ISNUMBER(B320),IFERROR(VLOOKUP(B320,'נתוני רישום ומצבת'!B:J,3,0),""),"")</f>
        <v/>
      </c>
      <c r="D320" s="693"/>
      <c r="E320" s="697"/>
      <c r="F320" s="695"/>
      <c r="G320" s="696"/>
      <c r="K320" s="22" t="str">
        <f t="shared" si="9"/>
        <v/>
      </c>
      <c r="M320" s="534" t="str">
        <f t="shared" si="8"/>
        <v/>
      </c>
    </row>
    <row r="321" spans="2:13" ht="15.75" x14ac:dyDescent="0.25">
      <c r="B321" s="692"/>
      <c r="C321" s="117" t="str">
        <f>IF(ISNUMBER(B321),IFERROR(VLOOKUP(B321,'נתוני רישום ומצבת'!B:J,3,0),""),"")</f>
        <v/>
      </c>
      <c r="D321" s="693"/>
      <c r="E321" s="697"/>
      <c r="F321" s="695"/>
      <c r="G321" s="696"/>
      <c r="K321" s="22" t="str">
        <f t="shared" si="9"/>
        <v/>
      </c>
      <c r="M321" s="534" t="str">
        <f t="shared" si="8"/>
        <v/>
      </c>
    </row>
    <row r="322" spans="2:13" ht="15.75" x14ac:dyDescent="0.25">
      <c r="B322" s="692"/>
      <c r="C322" s="117" t="str">
        <f>IF(ISNUMBER(B322),IFERROR(VLOOKUP(B322,'נתוני רישום ומצבת'!B:J,3,0),""),"")</f>
        <v/>
      </c>
      <c r="D322" s="693"/>
      <c r="E322" s="697"/>
      <c r="F322" s="695"/>
      <c r="G322" s="696"/>
      <c r="K322" s="22" t="str">
        <f t="shared" si="9"/>
        <v/>
      </c>
      <c r="M322" s="534" t="str">
        <f t="shared" si="8"/>
        <v/>
      </c>
    </row>
    <row r="323" spans="2:13" ht="15.75" x14ac:dyDescent="0.25">
      <c r="B323" s="692"/>
      <c r="C323" s="117" t="str">
        <f>IF(ISNUMBER(B323),IFERROR(VLOOKUP(B323,'נתוני רישום ומצבת'!B:J,3,0),""),"")</f>
        <v/>
      </c>
      <c r="D323" s="693"/>
      <c r="E323" s="697"/>
      <c r="F323" s="695"/>
      <c r="G323" s="696"/>
      <c r="K323" s="22" t="str">
        <f t="shared" si="9"/>
        <v/>
      </c>
      <c r="M323" s="534" t="str">
        <f t="shared" si="8"/>
        <v/>
      </c>
    </row>
    <row r="324" spans="2:13" ht="15.75" x14ac:dyDescent="0.25">
      <c r="B324" s="692"/>
      <c r="C324" s="117" t="str">
        <f>IF(ISNUMBER(B324),IFERROR(VLOOKUP(B324,'נתוני רישום ומצבת'!B:J,3,0),""),"")</f>
        <v/>
      </c>
      <c r="D324" s="693"/>
      <c r="E324" s="697"/>
      <c r="F324" s="695"/>
      <c r="G324" s="696"/>
      <c r="K324" s="22" t="str">
        <f t="shared" si="9"/>
        <v/>
      </c>
      <c r="M324" s="534" t="str">
        <f t="shared" si="8"/>
        <v/>
      </c>
    </row>
    <row r="325" spans="2:13" ht="15.75" x14ac:dyDescent="0.25">
      <c r="B325" s="692"/>
      <c r="C325" s="117" t="str">
        <f>IF(ISNUMBER(B325),IFERROR(VLOOKUP(B325,'נתוני רישום ומצבת'!B:J,3,0),""),"")</f>
        <v/>
      </c>
      <c r="D325" s="693"/>
      <c r="E325" s="697"/>
      <c r="F325" s="695"/>
      <c r="G325" s="696"/>
      <c r="K325" s="22" t="str">
        <f t="shared" si="9"/>
        <v/>
      </c>
      <c r="M325" s="534" t="str">
        <f t="shared" si="8"/>
        <v/>
      </c>
    </row>
    <row r="326" spans="2:13" ht="15.75" x14ac:dyDescent="0.25">
      <c r="B326" s="692"/>
      <c r="C326" s="117" t="str">
        <f>IF(ISNUMBER(B326),IFERROR(VLOOKUP(B326,'נתוני רישום ומצבת'!B:J,3,0),""),"")</f>
        <v/>
      </c>
      <c r="D326" s="693"/>
      <c r="E326" s="697"/>
      <c r="F326" s="695"/>
      <c r="G326" s="696"/>
      <c r="K326" s="22" t="str">
        <f t="shared" si="9"/>
        <v/>
      </c>
      <c r="M326" s="534" t="str">
        <f t="shared" si="8"/>
        <v/>
      </c>
    </row>
    <row r="327" spans="2:13" ht="15.75" x14ac:dyDescent="0.25">
      <c r="B327" s="692"/>
      <c r="C327" s="117" t="str">
        <f>IF(ISNUMBER(B327),IFERROR(VLOOKUP(B327,'נתוני רישום ומצבת'!B:J,3,0),""),"")</f>
        <v/>
      </c>
      <c r="D327" s="693"/>
      <c r="E327" s="697"/>
      <c r="F327" s="695"/>
      <c r="G327" s="696"/>
      <c r="K327" s="22" t="str">
        <f t="shared" si="9"/>
        <v/>
      </c>
      <c r="M327" s="534" t="str">
        <f t="shared" si="8"/>
        <v/>
      </c>
    </row>
    <row r="328" spans="2:13" ht="15.75" x14ac:dyDescent="0.25">
      <c r="B328" s="692"/>
      <c r="C328" s="117" t="str">
        <f>IF(ISNUMBER(B328),IFERROR(VLOOKUP(B328,'נתוני רישום ומצבת'!B:J,3,0),""),"")</f>
        <v/>
      </c>
      <c r="D328" s="693"/>
      <c r="E328" s="697"/>
      <c r="F328" s="695"/>
      <c r="G328" s="696"/>
      <c r="K328" s="22" t="str">
        <f t="shared" si="9"/>
        <v/>
      </c>
      <c r="M328" s="534" t="str">
        <f t="shared" si="8"/>
        <v/>
      </c>
    </row>
    <row r="329" spans="2:13" ht="15.75" x14ac:dyDescent="0.25">
      <c r="B329" s="692"/>
      <c r="C329" s="117" t="str">
        <f>IF(ISNUMBER(B329),IFERROR(VLOOKUP(B329,'נתוני רישום ומצבת'!B:J,3,0),""),"")</f>
        <v/>
      </c>
      <c r="D329" s="693"/>
      <c r="E329" s="697"/>
      <c r="F329" s="695"/>
      <c r="G329" s="696"/>
      <c r="K329" s="22" t="str">
        <f t="shared" si="9"/>
        <v/>
      </c>
      <c r="M329" s="534" t="str">
        <f t="shared" si="8"/>
        <v/>
      </c>
    </row>
    <row r="330" spans="2:13" ht="15.75" x14ac:dyDescent="0.25">
      <c r="B330" s="692"/>
      <c r="C330" s="117" t="str">
        <f>IF(ISNUMBER(B330),IFERROR(VLOOKUP(B330,'נתוני רישום ומצבת'!B:J,3,0),""),"")</f>
        <v/>
      </c>
      <c r="D330" s="693"/>
      <c r="E330" s="697"/>
      <c r="F330" s="695"/>
      <c r="G330" s="696"/>
      <c r="K330" s="22" t="str">
        <f t="shared" si="9"/>
        <v/>
      </c>
      <c r="M330" s="534" t="str">
        <f t="shared" si="8"/>
        <v/>
      </c>
    </row>
    <row r="331" spans="2:13" ht="15.75" x14ac:dyDescent="0.25">
      <c r="B331" s="692"/>
      <c r="C331" s="117" t="str">
        <f>IF(ISNUMBER(B331),IFERROR(VLOOKUP(B331,'נתוני רישום ומצבת'!B:J,3,0),""),"")</f>
        <v/>
      </c>
      <c r="D331" s="693"/>
      <c r="E331" s="697"/>
      <c r="F331" s="695"/>
      <c r="G331" s="696"/>
      <c r="K331" s="22" t="str">
        <f t="shared" si="9"/>
        <v/>
      </c>
      <c r="M331" s="534" t="str">
        <f t="shared" si="8"/>
        <v/>
      </c>
    </row>
    <row r="332" spans="2:13" ht="15.75" x14ac:dyDescent="0.25">
      <c r="B332" s="692"/>
      <c r="C332" s="117" t="str">
        <f>IF(ISNUMBER(B332),IFERROR(VLOOKUP(B332,'נתוני רישום ומצבת'!B:J,3,0),""),"")</f>
        <v/>
      </c>
      <c r="D332" s="693"/>
      <c r="E332" s="697"/>
      <c r="F332" s="695"/>
      <c r="G332" s="696"/>
      <c r="K332" s="22" t="str">
        <f t="shared" si="9"/>
        <v/>
      </c>
      <c r="M332" s="534" t="str">
        <f t="shared" si="8"/>
        <v/>
      </c>
    </row>
    <row r="333" spans="2:13" ht="15.75" x14ac:dyDescent="0.25">
      <c r="B333" s="692"/>
      <c r="C333" s="117" t="str">
        <f>IF(ISNUMBER(B333),IFERROR(VLOOKUP(B333,'נתוני רישום ומצבת'!B:J,3,0),""),"")</f>
        <v/>
      </c>
      <c r="D333" s="693"/>
      <c r="E333" s="697"/>
      <c r="F333" s="695"/>
      <c r="G333" s="696"/>
      <c r="K333" s="22" t="str">
        <f t="shared" si="9"/>
        <v/>
      </c>
      <c r="M333" s="534" t="str">
        <f t="shared" si="8"/>
        <v/>
      </c>
    </row>
    <row r="334" spans="2:13" ht="15.75" x14ac:dyDescent="0.25">
      <c r="B334" s="692"/>
      <c r="C334" s="117" t="str">
        <f>IF(ISNUMBER(B334),IFERROR(VLOOKUP(B334,'נתוני רישום ומצבת'!B:J,3,0),""),"")</f>
        <v/>
      </c>
      <c r="D334" s="693"/>
      <c r="E334" s="697"/>
      <c r="F334" s="695"/>
      <c r="G334" s="696"/>
      <c r="K334" s="22" t="str">
        <f t="shared" si="9"/>
        <v/>
      </c>
      <c r="M334" s="534" t="str">
        <f t="shared" si="8"/>
        <v/>
      </c>
    </row>
    <row r="335" spans="2:13" ht="15.75" x14ac:dyDescent="0.25">
      <c r="B335" s="692"/>
      <c r="C335" s="117" t="str">
        <f>IF(ISNUMBER(B335),IFERROR(VLOOKUP(B335,'נתוני רישום ומצבת'!B:J,3,0),""),"")</f>
        <v/>
      </c>
      <c r="D335" s="693"/>
      <c r="E335" s="697"/>
      <c r="F335" s="695"/>
      <c r="G335" s="696"/>
      <c r="K335" s="22" t="str">
        <f t="shared" si="9"/>
        <v/>
      </c>
      <c r="M335" s="534" t="str">
        <f t="shared" si="8"/>
        <v/>
      </c>
    </row>
    <row r="336" spans="2:13" ht="15.75" x14ac:dyDescent="0.25">
      <c r="B336" s="692"/>
      <c r="C336" s="117" t="str">
        <f>IF(ISNUMBER(B336),IFERROR(VLOOKUP(B336,'נתוני רישום ומצבת'!B:J,3,0),""),"")</f>
        <v/>
      </c>
      <c r="D336" s="693"/>
      <c r="E336" s="697"/>
      <c r="F336" s="695"/>
      <c r="G336" s="696"/>
      <c r="K336" s="22" t="str">
        <f t="shared" si="9"/>
        <v/>
      </c>
      <c r="M336" s="534" t="str">
        <f t="shared" si="8"/>
        <v/>
      </c>
    </row>
    <row r="337" spans="2:13" ht="15.75" x14ac:dyDescent="0.25">
      <c r="B337" s="692"/>
      <c r="C337" s="117" t="str">
        <f>IF(ISNUMBER(B337),IFERROR(VLOOKUP(B337,'נתוני רישום ומצבת'!B:J,3,0),""),"")</f>
        <v/>
      </c>
      <c r="D337" s="693"/>
      <c r="E337" s="697"/>
      <c r="F337" s="695"/>
      <c r="G337" s="696"/>
      <c r="K337" s="22" t="str">
        <f t="shared" si="9"/>
        <v/>
      </c>
      <c r="M337" s="534" t="str">
        <f t="shared" ref="M337:M400" si="10">TEXT(LEFT(D337,2),0)</f>
        <v/>
      </c>
    </row>
    <row r="338" spans="2:13" ht="15.75" x14ac:dyDescent="0.25">
      <c r="B338" s="692"/>
      <c r="C338" s="117" t="str">
        <f>IF(ISNUMBER(B338),IFERROR(VLOOKUP(B338,'נתוני רישום ומצבת'!B:J,3,0),""),"")</f>
        <v/>
      </c>
      <c r="D338" s="693"/>
      <c r="E338" s="697"/>
      <c r="F338" s="695"/>
      <c r="G338" s="696"/>
      <c r="K338" s="22" t="str">
        <f t="shared" si="9"/>
        <v/>
      </c>
      <c r="M338" s="534" t="str">
        <f t="shared" si="10"/>
        <v/>
      </c>
    </row>
    <row r="339" spans="2:13" ht="15.75" x14ac:dyDescent="0.25">
      <c r="B339" s="692"/>
      <c r="C339" s="117" t="str">
        <f>IF(ISNUMBER(B339),IFERROR(VLOOKUP(B339,'נתוני רישום ומצבת'!B:J,3,0),""),"")</f>
        <v/>
      </c>
      <c r="D339" s="693"/>
      <c r="E339" s="697"/>
      <c r="F339" s="695"/>
      <c r="G339" s="696"/>
      <c r="K339" s="22" t="str">
        <f t="shared" si="9"/>
        <v/>
      </c>
      <c r="M339" s="534" t="str">
        <f t="shared" si="10"/>
        <v/>
      </c>
    </row>
    <row r="340" spans="2:13" ht="15.75" x14ac:dyDescent="0.25">
      <c r="B340" s="692"/>
      <c r="C340" s="117" t="str">
        <f>IF(ISNUMBER(B340),IFERROR(VLOOKUP(B340,'נתוני רישום ומצבת'!B:J,3,0),""),"")</f>
        <v/>
      </c>
      <c r="D340" s="693"/>
      <c r="E340" s="697"/>
      <c r="F340" s="695"/>
      <c r="G340" s="696"/>
      <c r="K340" s="22" t="str">
        <f t="shared" si="9"/>
        <v/>
      </c>
      <c r="M340" s="534" t="str">
        <f t="shared" si="10"/>
        <v/>
      </c>
    </row>
    <row r="341" spans="2:13" ht="15.75" x14ac:dyDescent="0.25">
      <c r="B341" s="692"/>
      <c r="C341" s="117" t="str">
        <f>IF(ISNUMBER(B341),IFERROR(VLOOKUP(B341,'נתוני רישום ומצבת'!B:J,3,0),""),"")</f>
        <v/>
      </c>
      <c r="D341" s="693"/>
      <c r="E341" s="697"/>
      <c r="F341" s="695"/>
      <c r="G341" s="696"/>
      <c r="K341" s="22" t="str">
        <f t="shared" ref="K341:K404" si="11">IF(C328&lt;5,IF(D341=$F$8,-E341," "),"")</f>
        <v/>
      </c>
      <c r="M341" s="534" t="str">
        <f t="shared" si="10"/>
        <v/>
      </c>
    </row>
    <row r="342" spans="2:13" ht="15.75" x14ac:dyDescent="0.25">
      <c r="B342" s="692"/>
      <c r="C342" s="117" t="str">
        <f>IF(ISNUMBER(B342),IFERROR(VLOOKUP(B342,'נתוני רישום ומצבת'!B:J,3,0),""),"")</f>
        <v/>
      </c>
      <c r="D342" s="693"/>
      <c r="E342" s="697"/>
      <c r="F342" s="695"/>
      <c r="G342" s="696"/>
      <c r="K342" s="22" t="str">
        <f t="shared" si="11"/>
        <v/>
      </c>
      <c r="M342" s="534" t="str">
        <f t="shared" si="10"/>
        <v/>
      </c>
    </row>
    <row r="343" spans="2:13" ht="15.75" x14ac:dyDescent="0.25">
      <c r="B343" s="692"/>
      <c r="C343" s="117" t="str">
        <f>IF(ISNUMBER(B343),IFERROR(VLOOKUP(B343,'נתוני רישום ומצבת'!B:J,3,0),""),"")</f>
        <v/>
      </c>
      <c r="D343" s="693"/>
      <c r="E343" s="697"/>
      <c r="F343" s="695"/>
      <c r="G343" s="696"/>
      <c r="K343" s="22" t="str">
        <f t="shared" si="11"/>
        <v/>
      </c>
      <c r="M343" s="534" t="str">
        <f t="shared" si="10"/>
        <v/>
      </c>
    </row>
    <row r="344" spans="2:13" ht="15.75" x14ac:dyDescent="0.25">
      <c r="B344" s="692"/>
      <c r="C344" s="117" t="str">
        <f>IF(ISNUMBER(B344),IFERROR(VLOOKUP(B344,'נתוני רישום ומצבת'!B:J,3,0),""),"")</f>
        <v/>
      </c>
      <c r="D344" s="693"/>
      <c r="E344" s="697"/>
      <c r="F344" s="695"/>
      <c r="G344" s="696"/>
      <c r="K344" s="22" t="str">
        <f t="shared" si="11"/>
        <v/>
      </c>
      <c r="M344" s="534" t="str">
        <f t="shared" si="10"/>
        <v/>
      </c>
    </row>
    <row r="345" spans="2:13" ht="15.75" x14ac:dyDescent="0.25">
      <c r="B345" s="692"/>
      <c r="C345" s="117" t="str">
        <f>IF(ISNUMBER(B345),IFERROR(VLOOKUP(B345,'נתוני רישום ומצבת'!B:J,3,0),""),"")</f>
        <v/>
      </c>
      <c r="D345" s="693"/>
      <c r="E345" s="697"/>
      <c r="F345" s="695"/>
      <c r="G345" s="696"/>
      <c r="K345" s="22" t="str">
        <f t="shared" si="11"/>
        <v/>
      </c>
      <c r="M345" s="534" t="str">
        <f t="shared" si="10"/>
        <v/>
      </c>
    </row>
    <row r="346" spans="2:13" ht="15.75" x14ac:dyDescent="0.25">
      <c r="B346" s="692"/>
      <c r="C346" s="117" t="str">
        <f>IF(ISNUMBER(B346),IFERROR(VLOOKUP(B346,'נתוני רישום ומצבת'!B:J,3,0),""),"")</f>
        <v/>
      </c>
      <c r="D346" s="693"/>
      <c r="E346" s="697"/>
      <c r="F346" s="695"/>
      <c r="G346" s="696"/>
      <c r="K346" s="22" t="str">
        <f t="shared" si="11"/>
        <v/>
      </c>
      <c r="M346" s="534" t="str">
        <f t="shared" si="10"/>
        <v/>
      </c>
    </row>
    <row r="347" spans="2:13" ht="15.75" x14ac:dyDescent="0.25">
      <c r="B347" s="692"/>
      <c r="C347" s="117" t="str">
        <f>IF(ISNUMBER(B347),IFERROR(VLOOKUP(B347,'נתוני רישום ומצבת'!B:J,3,0),""),"")</f>
        <v/>
      </c>
      <c r="D347" s="693"/>
      <c r="E347" s="697"/>
      <c r="F347" s="695"/>
      <c r="G347" s="696"/>
      <c r="K347" s="22" t="str">
        <f t="shared" si="11"/>
        <v/>
      </c>
      <c r="M347" s="534" t="str">
        <f t="shared" si="10"/>
        <v/>
      </c>
    </row>
    <row r="348" spans="2:13" ht="15.75" x14ac:dyDescent="0.25">
      <c r="B348" s="692"/>
      <c r="C348" s="117" t="str">
        <f>IF(ISNUMBER(B348),IFERROR(VLOOKUP(B348,'נתוני רישום ומצבת'!B:J,3,0),""),"")</f>
        <v/>
      </c>
      <c r="D348" s="693"/>
      <c r="E348" s="697"/>
      <c r="F348" s="695"/>
      <c r="G348" s="696"/>
      <c r="K348" s="22" t="str">
        <f t="shared" si="11"/>
        <v/>
      </c>
      <c r="M348" s="534" t="str">
        <f t="shared" si="10"/>
        <v/>
      </c>
    </row>
    <row r="349" spans="2:13" ht="15.75" x14ac:dyDescent="0.25">
      <c r="B349" s="692"/>
      <c r="C349" s="117" t="str">
        <f>IF(ISNUMBER(B349),IFERROR(VLOOKUP(B349,'נתוני רישום ומצבת'!B:J,3,0),""),"")</f>
        <v/>
      </c>
      <c r="D349" s="693"/>
      <c r="E349" s="697"/>
      <c r="F349" s="695"/>
      <c r="G349" s="696"/>
      <c r="K349" s="22" t="str">
        <f t="shared" si="11"/>
        <v/>
      </c>
      <c r="M349" s="534" t="str">
        <f t="shared" si="10"/>
        <v/>
      </c>
    </row>
    <row r="350" spans="2:13" ht="15.75" x14ac:dyDescent="0.25">
      <c r="B350" s="692"/>
      <c r="C350" s="117" t="str">
        <f>IF(ISNUMBER(B350),IFERROR(VLOOKUP(B350,'נתוני רישום ומצבת'!B:J,3,0),""),"")</f>
        <v/>
      </c>
      <c r="D350" s="693"/>
      <c r="E350" s="697"/>
      <c r="F350" s="695"/>
      <c r="G350" s="696"/>
      <c r="K350" s="22" t="str">
        <f t="shared" si="11"/>
        <v/>
      </c>
      <c r="M350" s="534" t="str">
        <f t="shared" si="10"/>
        <v/>
      </c>
    </row>
    <row r="351" spans="2:13" ht="15.75" x14ac:dyDescent="0.25">
      <c r="B351" s="692"/>
      <c r="C351" s="117" t="str">
        <f>IF(ISNUMBER(B351),IFERROR(VLOOKUP(B351,'נתוני רישום ומצבת'!B:J,3,0),""),"")</f>
        <v/>
      </c>
      <c r="D351" s="693"/>
      <c r="E351" s="697"/>
      <c r="F351" s="695"/>
      <c r="G351" s="696"/>
      <c r="K351" s="22" t="str">
        <f t="shared" si="11"/>
        <v/>
      </c>
      <c r="M351" s="534" t="str">
        <f t="shared" si="10"/>
        <v/>
      </c>
    </row>
    <row r="352" spans="2:13" ht="15.75" x14ac:dyDescent="0.25">
      <c r="B352" s="692"/>
      <c r="C352" s="117" t="str">
        <f>IF(ISNUMBER(B352),IFERROR(VLOOKUP(B352,'נתוני רישום ומצבת'!B:J,3,0),""),"")</f>
        <v/>
      </c>
      <c r="D352" s="693"/>
      <c r="E352" s="697"/>
      <c r="F352" s="695"/>
      <c r="G352" s="696"/>
      <c r="K352" s="22" t="str">
        <f t="shared" si="11"/>
        <v/>
      </c>
      <c r="M352" s="534" t="str">
        <f t="shared" si="10"/>
        <v/>
      </c>
    </row>
    <row r="353" spans="2:13" ht="15.75" x14ac:dyDescent="0.25">
      <c r="B353" s="692"/>
      <c r="C353" s="117" t="str">
        <f>IF(ISNUMBER(B353),IFERROR(VLOOKUP(B353,'נתוני רישום ומצבת'!B:J,3,0),""),"")</f>
        <v/>
      </c>
      <c r="D353" s="693"/>
      <c r="E353" s="697"/>
      <c r="F353" s="695"/>
      <c r="G353" s="696"/>
      <c r="K353" s="22" t="str">
        <f t="shared" si="11"/>
        <v/>
      </c>
      <c r="M353" s="534" t="str">
        <f t="shared" si="10"/>
        <v/>
      </c>
    </row>
    <row r="354" spans="2:13" ht="15.75" x14ac:dyDescent="0.25">
      <c r="B354" s="692"/>
      <c r="C354" s="117" t="str">
        <f>IF(ISNUMBER(B354),IFERROR(VLOOKUP(B354,'נתוני רישום ומצבת'!B:J,3,0),""),"")</f>
        <v/>
      </c>
      <c r="D354" s="693"/>
      <c r="E354" s="697"/>
      <c r="F354" s="695"/>
      <c r="G354" s="696"/>
      <c r="K354" s="22" t="str">
        <f t="shared" si="11"/>
        <v/>
      </c>
      <c r="M354" s="534" t="str">
        <f t="shared" si="10"/>
        <v/>
      </c>
    </row>
    <row r="355" spans="2:13" ht="15.75" x14ac:dyDescent="0.25">
      <c r="B355" s="692"/>
      <c r="C355" s="117" t="str">
        <f>IF(ISNUMBER(B355),IFERROR(VLOOKUP(B355,'נתוני רישום ומצבת'!B:J,3,0),""),"")</f>
        <v/>
      </c>
      <c r="D355" s="693"/>
      <c r="E355" s="697"/>
      <c r="F355" s="695"/>
      <c r="G355" s="696"/>
      <c r="K355" s="22" t="str">
        <f t="shared" si="11"/>
        <v/>
      </c>
      <c r="M355" s="534" t="str">
        <f t="shared" si="10"/>
        <v/>
      </c>
    </row>
    <row r="356" spans="2:13" ht="15.75" x14ac:dyDescent="0.25">
      <c r="B356" s="692"/>
      <c r="C356" s="117" t="str">
        <f>IF(ISNUMBER(B356),IFERROR(VLOOKUP(B356,'נתוני רישום ומצבת'!B:J,3,0),""),"")</f>
        <v/>
      </c>
      <c r="D356" s="693"/>
      <c r="E356" s="697"/>
      <c r="F356" s="695"/>
      <c r="G356" s="696"/>
      <c r="K356" s="22" t="str">
        <f t="shared" si="11"/>
        <v/>
      </c>
      <c r="M356" s="534" t="str">
        <f t="shared" si="10"/>
        <v/>
      </c>
    </row>
    <row r="357" spans="2:13" ht="15.75" x14ac:dyDescent="0.25">
      <c r="B357" s="692"/>
      <c r="C357" s="117" t="str">
        <f>IF(ISNUMBER(B357),IFERROR(VLOOKUP(B357,'נתוני רישום ומצבת'!B:J,3,0),""),"")</f>
        <v/>
      </c>
      <c r="D357" s="693"/>
      <c r="E357" s="697"/>
      <c r="F357" s="695"/>
      <c r="G357" s="696"/>
      <c r="K357" s="22" t="str">
        <f t="shared" si="11"/>
        <v/>
      </c>
      <c r="M357" s="534" t="str">
        <f t="shared" si="10"/>
        <v/>
      </c>
    </row>
    <row r="358" spans="2:13" ht="15.75" x14ac:dyDescent="0.25">
      <c r="B358" s="692"/>
      <c r="C358" s="117" t="str">
        <f>IF(ISNUMBER(B358),IFERROR(VLOOKUP(B358,'נתוני רישום ומצבת'!B:J,3,0),""),"")</f>
        <v/>
      </c>
      <c r="D358" s="693"/>
      <c r="E358" s="697"/>
      <c r="F358" s="695"/>
      <c r="G358" s="696"/>
      <c r="K358" s="22" t="str">
        <f t="shared" si="11"/>
        <v/>
      </c>
      <c r="M358" s="534" t="str">
        <f t="shared" si="10"/>
        <v/>
      </c>
    </row>
    <row r="359" spans="2:13" ht="15.75" x14ac:dyDescent="0.25">
      <c r="B359" s="692"/>
      <c r="C359" s="117" t="str">
        <f>IF(ISNUMBER(B359),IFERROR(VLOOKUP(B359,'נתוני רישום ומצבת'!B:J,3,0),""),"")</f>
        <v/>
      </c>
      <c r="D359" s="693"/>
      <c r="E359" s="697"/>
      <c r="F359" s="695"/>
      <c r="G359" s="696"/>
      <c r="K359" s="22" t="str">
        <f t="shared" si="11"/>
        <v/>
      </c>
      <c r="M359" s="534" t="str">
        <f t="shared" si="10"/>
        <v/>
      </c>
    </row>
    <row r="360" spans="2:13" ht="15.75" x14ac:dyDescent="0.25">
      <c r="B360" s="692"/>
      <c r="C360" s="117" t="str">
        <f>IF(ISNUMBER(B360),IFERROR(VLOOKUP(B360,'נתוני רישום ומצבת'!B:J,3,0),""),"")</f>
        <v/>
      </c>
      <c r="D360" s="693"/>
      <c r="E360" s="697"/>
      <c r="F360" s="695"/>
      <c r="G360" s="696"/>
      <c r="K360" s="22" t="str">
        <f t="shared" si="11"/>
        <v/>
      </c>
      <c r="M360" s="534" t="str">
        <f t="shared" si="10"/>
        <v/>
      </c>
    </row>
    <row r="361" spans="2:13" ht="15.75" x14ac:dyDescent="0.25">
      <c r="B361" s="692"/>
      <c r="C361" s="117" t="str">
        <f>IF(ISNUMBER(B361),IFERROR(VLOOKUP(B361,'נתוני רישום ומצבת'!B:J,3,0),""),"")</f>
        <v/>
      </c>
      <c r="D361" s="693"/>
      <c r="E361" s="697"/>
      <c r="F361" s="695"/>
      <c r="G361" s="696"/>
      <c r="K361" s="22" t="str">
        <f t="shared" si="11"/>
        <v/>
      </c>
      <c r="M361" s="534" t="str">
        <f t="shared" si="10"/>
        <v/>
      </c>
    </row>
    <row r="362" spans="2:13" ht="15.75" x14ac:dyDescent="0.25">
      <c r="B362" s="692"/>
      <c r="C362" s="117" t="str">
        <f>IF(ISNUMBER(B362),IFERROR(VLOOKUP(B362,'נתוני רישום ומצבת'!B:J,3,0),""),"")</f>
        <v/>
      </c>
      <c r="D362" s="693"/>
      <c r="E362" s="697"/>
      <c r="F362" s="695"/>
      <c r="G362" s="696"/>
      <c r="K362" s="22" t="str">
        <f t="shared" si="11"/>
        <v/>
      </c>
      <c r="M362" s="534" t="str">
        <f t="shared" si="10"/>
        <v/>
      </c>
    </row>
    <row r="363" spans="2:13" ht="15.75" x14ac:dyDescent="0.25">
      <c r="B363" s="692"/>
      <c r="C363" s="117" t="str">
        <f>IF(ISNUMBER(B363),IFERROR(VLOOKUP(B363,'נתוני רישום ומצבת'!B:J,3,0),""),"")</f>
        <v/>
      </c>
      <c r="D363" s="693"/>
      <c r="E363" s="697"/>
      <c r="F363" s="695"/>
      <c r="G363" s="696"/>
      <c r="K363" s="22" t="str">
        <f t="shared" si="11"/>
        <v/>
      </c>
      <c r="M363" s="534" t="str">
        <f t="shared" si="10"/>
        <v/>
      </c>
    </row>
    <row r="364" spans="2:13" ht="15.75" x14ac:dyDescent="0.25">
      <c r="B364" s="692"/>
      <c r="C364" s="117" t="str">
        <f>IF(ISNUMBER(B364),IFERROR(VLOOKUP(B364,'נתוני רישום ומצבת'!B:J,3,0),""),"")</f>
        <v/>
      </c>
      <c r="D364" s="693"/>
      <c r="E364" s="697"/>
      <c r="F364" s="695"/>
      <c r="G364" s="696"/>
      <c r="K364" s="22" t="str">
        <f t="shared" si="11"/>
        <v/>
      </c>
      <c r="M364" s="534" t="str">
        <f t="shared" si="10"/>
        <v/>
      </c>
    </row>
    <row r="365" spans="2:13" ht="15.75" x14ac:dyDescent="0.25">
      <c r="B365" s="692"/>
      <c r="C365" s="117" t="str">
        <f>IF(ISNUMBER(B365),IFERROR(VLOOKUP(B365,'נתוני רישום ומצבת'!B:J,3,0),""),"")</f>
        <v/>
      </c>
      <c r="D365" s="693"/>
      <c r="E365" s="697"/>
      <c r="F365" s="695"/>
      <c r="G365" s="696"/>
      <c r="K365" s="22" t="str">
        <f t="shared" si="11"/>
        <v/>
      </c>
      <c r="M365" s="534" t="str">
        <f t="shared" si="10"/>
        <v/>
      </c>
    </row>
    <row r="366" spans="2:13" ht="15.75" x14ac:dyDescent="0.25">
      <c r="B366" s="692"/>
      <c r="C366" s="117" t="str">
        <f>IF(ISNUMBER(B366),IFERROR(VLOOKUP(B366,'נתוני רישום ומצבת'!B:J,3,0),""),"")</f>
        <v/>
      </c>
      <c r="D366" s="693"/>
      <c r="E366" s="697"/>
      <c r="F366" s="695"/>
      <c r="G366" s="696"/>
      <c r="K366" s="22" t="str">
        <f t="shared" si="11"/>
        <v/>
      </c>
      <c r="M366" s="534" t="str">
        <f t="shared" si="10"/>
        <v/>
      </c>
    </row>
    <row r="367" spans="2:13" ht="15.75" x14ac:dyDescent="0.25">
      <c r="B367" s="692"/>
      <c r="C367" s="117" t="str">
        <f>IF(ISNUMBER(B367),IFERROR(VLOOKUP(B367,'נתוני רישום ומצבת'!B:J,3,0),""),"")</f>
        <v/>
      </c>
      <c r="D367" s="693"/>
      <c r="E367" s="697"/>
      <c r="F367" s="695"/>
      <c r="G367" s="696"/>
      <c r="K367" s="22" t="str">
        <f t="shared" si="11"/>
        <v/>
      </c>
      <c r="M367" s="534" t="str">
        <f t="shared" si="10"/>
        <v/>
      </c>
    </row>
    <row r="368" spans="2:13" ht="15.75" x14ac:dyDescent="0.25">
      <c r="B368" s="692"/>
      <c r="C368" s="117" t="str">
        <f>IF(ISNUMBER(B368),IFERROR(VLOOKUP(B368,'נתוני רישום ומצבת'!B:J,3,0),""),"")</f>
        <v/>
      </c>
      <c r="D368" s="693"/>
      <c r="E368" s="697"/>
      <c r="F368" s="695"/>
      <c r="G368" s="696"/>
      <c r="K368" s="22" t="str">
        <f t="shared" si="11"/>
        <v/>
      </c>
      <c r="M368" s="534" t="str">
        <f t="shared" si="10"/>
        <v/>
      </c>
    </row>
    <row r="369" spans="2:13" ht="15.75" x14ac:dyDescent="0.25">
      <c r="B369" s="692"/>
      <c r="C369" s="117" t="str">
        <f>IF(ISNUMBER(B369),IFERROR(VLOOKUP(B369,'נתוני רישום ומצבת'!B:J,3,0),""),"")</f>
        <v/>
      </c>
      <c r="D369" s="693"/>
      <c r="E369" s="697"/>
      <c r="F369" s="695"/>
      <c r="G369" s="696"/>
      <c r="K369" s="22" t="str">
        <f t="shared" si="11"/>
        <v/>
      </c>
      <c r="M369" s="534" t="str">
        <f t="shared" si="10"/>
        <v/>
      </c>
    </row>
    <row r="370" spans="2:13" ht="15.75" x14ac:dyDescent="0.25">
      <c r="B370" s="692"/>
      <c r="C370" s="117" t="str">
        <f>IF(ISNUMBER(B370),IFERROR(VLOOKUP(B370,'נתוני רישום ומצבת'!B:J,3,0),""),"")</f>
        <v/>
      </c>
      <c r="D370" s="693"/>
      <c r="E370" s="697"/>
      <c r="F370" s="695"/>
      <c r="G370" s="696"/>
      <c r="K370" s="22" t="str">
        <f t="shared" si="11"/>
        <v/>
      </c>
      <c r="M370" s="534" t="str">
        <f t="shared" si="10"/>
        <v/>
      </c>
    </row>
    <row r="371" spans="2:13" ht="15.75" x14ac:dyDescent="0.25">
      <c r="B371" s="692"/>
      <c r="C371" s="117" t="str">
        <f>IF(ISNUMBER(B371),IFERROR(VLOOKUP(B371,'נתוני רישום ומצבת'!B:J,3,0),""),"")</f>
        <v/>
      </c>
      <c r="D371" s="693"/>
      <c r="E371" s="697"/>
      <c r="F371" s="695"/>
      <c r="G371" s="696"/>
      <c r="K371" s="22" t="str">
        <f t="shared" si="11"/>
        <v/>
      </c>
      <c r="M371" s="534" t="str">
        <f t="shared" si="10"/>
        <v/>
      </c>
    </row>
    <row r="372" spans="2:13" ht="15.75" x14ac:dyDescent="0.25">
      <c r="B372" s="692"/>
      <c r="C372" s="117" t="str">
        <f>IF(ISNUMBER(B372),IFERROR(VLOOKUP(B372,'נתוני רישום ומצבת'!B:J,3,0),""),"")</f>
        <v/>
      </c>
      <c r="D372" s="693"/>
      <c r="E372" s="697"/>
      <c r="F372" s="695"/>
      <c r="G372" s="696"/>
      <c r="K372" s="22" t="str">
        <f t="shared" si="11"/>
        <v/>
      </c>
      <c r="M372" s="534" t="str">
        <f t="shared" si="10"/>
        <v/>
      </c>
    </row>
    <row r="373" spans="2:13" ht="15.75" x14ac:dyDescent="0.25">
      <c r="B373" s="692"/>
      <c r="C373" s="117" t="str">
        <f>IF(ISNUMBER(B373),IFERROR(VLOOKUP(B373,'נתוני רישום ומצבת'!B:J,3,0),""),"")</f>
        <v/>
      </c>
      <c r="D373" s="693"/>
      <c r="E373" s="697"/>
      <c r="F373" s="695"/>
      <c r="G373" s="696"/>
      <c r="K373" s="22" t="str">
        <f t="shared" si="11"/>
        <v/>
      </c>
      <c r="M373" s="534" t="str">
        <f t="shared" si="10"/>
        <v/>
      </c>
    </row>
    <row r="374" spans="2:13" ht="15.75" x14ac:dyDescent="0.25">
      <c r="B374" s="692"/>
      <c r="C374" s="117" t="str">
        <f>IF(ISNUMBER(B374),IFERROR(VLOOKUP(B374,'נתוני רישום ומצבת'!B:J,3,0),""),"")</f>
        <v/>
      </c>
      <c r="D374" s="693"/>
      <c r="E374" s="697"/>
      <c r="F374" s="695"/>
      <c r="G374" s="696"/>
      <c r="K374" s="22" t="str">
        <f t="shared" si="11"/>
        <v/>
      </c>
      <c r="M374" s="534" t="str">
        <f t="shared" si="10"/>
        <v/>
      </c>
    </row>
    <row r="375" spans="2:13" ht="15.75" x14ac:dyDescent="0.25">
      <c r="B375" s="692"/>
      <c r="C375" s="117" t="str">
        <f>IF(ISNUMBER(B375),IFERROR(VLOOKUP(B375,'נתוני רישום ומצבת'!B:J,3,0),""),"")</f>
        <v/>
      </c>
      <c r="D375" s="693"/>
      <c r="E375" s="697"/>
      <c r="F375" s="695"/>
      <c r="G375" s="696"/>
      <c r="K375" s="22" t="str">
        <f t="shared" si="11"/>
        <v/>
      </c>
      <c r="M375" s="534" t="str">
        <f t="shared" si="10"/>
        <v/>
      </c>
    </row>
    <row r="376" spans="2:13" ht="15.75" x14ac:dyDescent="0.25">
      <c r="B376" s="692"/>
      <c r="C376" s="117" t="str">
        <f>IF(ISNUMBER(B376),IFERROR(VLOOKUP(B376,'נתוני רישום ומצבת'!B:J,3,0),""),"")</f>
        <v/>
      </c>
      <c r="D376" s="693"/>
      <c r="E376" s="697"/>
      <c r="F376" s="695"/>
      <c r="G376" s="696"/>
      <c r="K376" s="22" t="str">
        <f t="shared" si="11"/>
        <v/>
      </c>
      <c r="M376" s="534" t="str">
        <f t="shared" si="10"/>
        <v/>
      </c>
    </row>
    <row r="377" spans="2:13" ht="15.75" x14ac:dyDescent="0.25">
      <c r="B377" s="692"/>
      <c r="C377" s="117" t="str">
        <f>IF(ISNUMBER(B377),IFERROR(VLOOKUP(B377,'נתוני רישום ומצבת'!B:J,3,0),""),"")</f>
        <v/>
      </c>
      <c r="D377" s="693"/>
      <c r="E377" s="697"/>
      <c r="F377" s="695"/>
      <c r="G377" s="696"/>
      <c r="K377" s="22" t="str">
        <f t="shared" si="11"/>
        <v/>
      </c>
      <c r="M377" s="534" t="str">
        <f t="shared" si="10"/>
        <v/>
      </c>
    </row>
    <row r="378" spans="2:13" ht="15.75" x14ac:dyDescent="0.25">
      <c r="B378" s="692"/>
      <c r="C378" s="117" t="str">
        <f>IF(ISNUMBER(B378),IFERROR(VLOOKUP(B378,'נתוני רישום ומצבת'!B:J,3,0),""),"")</f>
        <v/>
      </c>
      <c r="D378" s="693"/>
      <c r="E378" s="697"/>
      <c r="F378" s="695"/>
      <c r="G378" s="696"/>
      <c r="K378" s="22" t="str">
        <f t="shared" si="11"/>
        <v/>
      </c>
      <c r="M378" s="534" t="str">
        <f t="shared" si="10"/>
        <v/>
      </c>
    </row>
    <row r="379" spans="2:13" ht="15.75" x14ac:dyDescent="0.25">
      <c r="B379" s="692"/>
      <c r="C379" s="117" t="str">
        <f>IF(ISNUMBER(B379),IFERROR(VLOOKUP(B379,'נתוני רישום ומצבת'!B:J,3,0),""),"")</f>
        <v/>
      </c>
      <c r="D379" s="693"/>
      <c r="E379" s="697"/>
      <c r="F379" s="695"/>
      <c r="G379" s="696"/>
      <c r="K379" s="22" t="str">
        <f t="shared" si="11"/>
        <v/>
      </c>
      <c r="M379" s="534" t="str">
        <f t="shared" si="10"/>
        <v/>
      </c>
    </row>
    <row r="380" spans="2:13" ht="15.75" x14ac:dyDescent="0.25">
      <c r="B380" s="692"/>
      <c r="C380" s="117" t="str">
        <f>IF(ISNUMBER(B380),IFERROR(VLOOKUP(B380,'נתוני רישום ומצבת'!B:J,3,0),""),"")</f>
        <v/>
      </c>
      <c r="D380" s="693"/>
      <c r="E380" s="697"/>
      <c r="F380" s="695"/>
      <c r="G380" s="696"/>
      <c r="K380" s="22" t="str">
        <f t="shared" si="11"/>
        <v/>
      </c>
      <c r="M380" s="534" t="str">
        <f t="shared" si="10"/>
        <v/>
      </c>
    </row>
    <row r="381" spans="2:13" ht="15.75" x14ac:dyDescent="0.25">
      <c r="B381" s="692"/>
      <c r="C381" s="117" t="str">
        <f>IF(ISNUMBER(B381),IFERROR(VLOOKUP(B381,'נתוני רישום ומצבת'!B:J,3,0),""),"")</f>
        <v/>
      </c>
      <c r="D381" s="693"/>
      <c r="E381" s="697"/>
      <c r="F381" s="695"/>
      <c r="G381" s="696"/>
      <c r="K381" s="22" t="str">
        <f t="shared" si="11"/>
        <v/>
      </c>
      <c r="M381" s="534" t="str">
        <f t="shared" si="10"/>
        <v/>
      </c>
    </row>
    <row r="382" spans="2:13" ht="15.75" x14ac:dyDescent="0.25">
      <c r="B382" s="692"/>
      <c r="C382" s="117" t="str">
        <f>IF(ISNUMBER(B382),IFERROR(VLOOKUP(B382,'נתוני רישום ומצבת'!B:J,3,0),""),"")</f>
        <v/>
      </c>
      <c r="D382" s="693"/>
      <c r="E382" s="697"/>
      <c r="F382" s="695"/>
      <c r="G382" s="696"/>
      <c r="K382" s="22" t="str">
        <f t="shared" si="11"/>
        <v/>
      </c>
      <c r="M382" s="534" t="str">
        <f t="shared" si="10"/>
        <v/>
      </c>
    </row>
    <row r="383" spans="2:13" ht="15.75" x14ac:dyDescent="0.25">
      <c r="B383" s="692"/>
      <c r="C383" s="117" t="str">
        <f>IF(ISNUMBER(B383),IFERROR(VLOOKUP(B383,'נתוני רישום ומצבת'!B:J,3,0),""),"")</f>
        <v/>
      </c>
      <c r="D383" s="693"/>
      <c r="E383" s="697"/>
      <c r="F383" s="695"/>
      <c r="G383" s="696"/>
      <c r="K383" s="22" t="str">
        <f t="shared" si="11"/>
        <v/>
      </c>
      <c r="M383" s="534" t="str">
        <f t="shared" si="10"/>
        <v/>
      </c>
    </row>
    <row r="384" spans="2:13" ht="15.75" x14ac:dyDescent="0.25">
      <c r="B384" s="692"/>
      <c r="C384" s="117" t="str">
        <f>IF(ISNUMBER(B384),IFERROR(VLOOKUP(B384,'נתוני רישום ומצבת'!B:J,3,0),""),"")</f>
        <v/>
      </c>
      <c r="D384" s="693"/>
      <c r="E384" s="697"/>
      <c r="F384" s="695"/>
      <c r="G384" s="696"/>
      <c r="K384" s="22" t="str">
        <f t="shared" si="11"/>
        <v/>
      </c>
      <c r="M384" s="534" t="str">
        <f t="shared" si="10"/>
        <v/>
      </c>
    </row>
    <row r="385" spans="2:13" ht="15.75" x14ac:dyDescent="0.25">
      <c r="B385" s="692"/>
      <c r="C385" s="117" t="str">
        <f>IF(ISNUMBER(B385),IFERROR(VLOOKUP(B385,'נתוני רישום ומצבת'!B:J,3,0),""),"")</f>
        <v/>
      </c>
      <c r="D385" s="693"/>
      <c r="E385" s="697"/>
      <c r="F385" s="695"/>
      <c r="G385" s="696"/>
      <c r="K385" s="22" t="str">
        <f t="shared" si="11"/>
        <v/>
      </c>
      <c r="M385" s="534" t="str">
        <f t="shared" si="10"/>
        <v/>
      </c>
    </row>
    <row r="386" spans="2:13" ht="15.75" x14ac:dyDescent="0.25">
      <c r="B386" s="692"/>
      <c r="C386" s="117" t="str">
        <f>IF(ISNUMBER(B386),IFERROR(VLOOKUP(B386,'נתוני רישום ומצבת'!B:J,3,0),""),"")</f>
        <v/>
      </c>
      <c r="D386" s="693"/>
      <c r="E386" s="697"/>
      <c r="F386" s="695"/>
      <c r="G386" s="696"/>
      <c r="K386" s="22" t="str">
        <f t="shared" si="11"/>
        <v/>
      </c>
      <c r="M386" s="534" t="str">
        <f t="shared" si="10"/>
        <v/>
      </c>
    </row>
    <row r="387" spans="2:13" ht="15.75" x14ac:dyDescent="0.25">
      <c r="B387" s="692"/>
      <c r="C387" s="117" t="str">
        <f>IF(ISNUMBER(B387),IFERROR(VLOOKUP(B387,'נתוני רישום ומצבת'!B:J,3,0),""),"")</f>
        <v/>
      </c>
      <c r="D387" s="693"/>
      <c r="E387" s="697"/>
      <c r="F387" s="695"/>
      <c r="G387" s="696"/>
      <c r="K387" s="22" t="str">
        <f t="shared" si="11"/>
        <v/>
      </c>
      <c r="M387" s="534" t="str">
        <f t="shared" si="10"/>
        <v/>
      </c>
    </row>
    <row r="388" spans="2:13" ht="15.75" x14ac:dyDescent="0.25">
      <c r="B388" s="692"/>
      <c r="C388" s="117" t="str">
        <f>IF(ISNUMBER(B388),IFERROR(VLOOKUP(B388,'נתוני רישום ומצבת'!B:J,3,0),""),"")</f>
        <v/>
      </c>
      <c r="D388" s="693"/>
      <c r="E388" s="697"/>
      <c r="F388" s="695"/>
      <c r="G388" s="696"/>
      <c r="K388" s="22" t="str">
        <f t="shared" si="11"/>
        <v/>
      </c>
      <c r="M388" s="534" t="str">
        <f t="shared" si="10"/>
        <v/>
      </c>
    </row>
    <row r="389" spans="2:13" ht="15.75" x14ac:dyDescent="0.25">
      <c r="B389" s="692"/>
      <c r="C389" s="117" t="str">
        <f>IF(ISNUMBER(B389),IFERROR(VLOOKUP(B389,'נתוני רישום ומצבת'!B:J,3,0),""),"")</f>
        <v/>
      </c>
      <c r="D389" s="693"/>
      <c r="E389" s="697"/>
      <c r="F389" s="695"/>
      <c r="G389" s="696"/>
      <c r="K389" s="22" t="str">
        <f t="shared" si="11"/>
        <v/>
      </c>
      <c r="M389" s="534" t="str">
        <f t="shared" si="10"/>
        <v/>
      </c>
    </row>
    <row r="390" spans="2:13" ht="15.75" x14ac:dyDescent="0.25">
      <c r="B390" s="692"/>
      <c r="C390" s="117" t="str">
        <f>IF(ISNUMBER(B390),IFERROR(VLOOKUP(B390,'נתוני רישום ומצבת'!B:J,3,0),""),"")</f>
        <v/>
      </c>
      <c r="D390" s="693"/>
      <c r="E390" s="697"/>
      <c r="F390" s="695"/>
      <c r="G390" s="696"/>
      <c r="K390" s="22" t="str">
        <f t="shared" si="11"/>
        <v/>
      </c>
      <c r="M390" s="534" t="str">
        <f t="shared" si="10"/>
        <v/>
      </c>
    </row>
    <row r="391" spans="2:13" ht="15.75" x14ac:dyDescent="0.25">
      <c r="B391" s="692"/>
      <c r="C391" s="117" t="str">
        <f>IF(ISNUMBER(B391),IFERROR(VLOOKUP(B391,'נתוני רישום ומצבת'!B:J,3,0),""),"")</f>
        <v/>
      </c>
      <c r="D391" s="693"/>
      <c r="E391" s="697"/>
      <c r="F391" s="695"/>
      <c r="G391" s="696"/>
      <c r="K391" s="22" t="str">
        <f t="shared" si="11"/>
        <v/>
      </c>
      <c r="M391" s="534" t="str">
        <f t="shared" si="10"/>
        <v/>
      </c>
    </row>
    <row r="392" spans="2:13" ht="15.75" x14ac:dyDescent="0.25">
      <c r="B392" s="692"/>
      <c r="C392" s="117" t="str">
        <f>IF(ISNUMBER(B392),IFERROR(VLOOKUP(B392,'נתוני רישום ומצבת'!B:J,3,0),""),"")</f>
        <v/>
      </c>
      <c r="D392" s="693"/>
      <c r="E392" s="697"/>
      <c r="F392" s="695"/>
      <c r="G392" s="696"/>
      <c r="K392" s="22" t="str">
        <f t="shared" si="11"/>
        <v/>
      </c>
      <c r="M392" s="534" t="str">
        <f t="shared" si="10"/>
        <v/>
      </c>
    </row>
    <row r="393" spans="2:13" ht="15.75" x14ac:dyDescent="0.25">
      <c r="B393" s="692"/>
      <c r="C393" s="117" t="str">
        <f>IF(ISNUMBER(B393),IFERROR(VLOOKUP(B393,'נתוני רישום ומצבת'!B:J,3,0),""),"")</f>
        <v/>
      </c>
      <c r="D393" s="693"/>
      <c r="E393" s="697"/>
      <c r="F393" s="695"/>
      <c r="G393" s="696"/>
      <c r="K393" s="22" t="str">
        <f t="shared" si="11"/>
        <v/>
      </c>
      <c r="M393" s="534" t="str">
        <f t="shared" si="10"/>
        <v/>
      </c>
    </row>
    <row r="394" spans="2:13" ht="15.75" x14ac:dyDescent="0.25">
      <c r="B394" s="692"/>
      <c r="C394" s="117" t="str">
        <f>IF(ISNUMBER(B394),IFERROR(VLOOKUP(B394,'נתוני רישום ומצבת'!B:J,3,0),""),"")</f>
        <v/>
      </c>
      <c r="D394" s="693"/>
      <c r="E394" s="697"/>
      <c r="F394" s="695"/>
      <c r="G394" s="696"/>
      <c r="K394" s="22" t="str">
        <f t="shared" si="11"/>
        <v/>
      </c>
      <c r="M394" s="534" t="str">
        <f t="shared" si="10"/>
        <v/>
      </c>
    </row>
    <row r="395" spans="2:13" ht="15.75" x14ac:dyDescent="0.25">
      <c r="B395" s="692"/>
      <c r="C395" s="117" t="str">
        <f>IF(ISNUMBER(B395),IFERROR(VLOOKUP(B395,'נתוני רישום ומצבת'!B:J,3,0),""),"")</f>
        <v/>
      </c>
      <c r="D395" s="693"/>
      <c r="E395" s="697"/>
      <c r="F395" s="695"/>
      <c r="G395" s="696"/>
      <c r="K395" s="22" t="str">
        <f t="shared" si="11"/>
        <v/>
      </c>
      <c r="M395" s="534" t="str">
        <f t="shared" si="10"/>
        <v/>
      </c>
    </row>
    <row r="396" spans="2:13" ht="15.75" x14ac:dyDescent="0.25">
      <c r="B396" s="692"/>
      <c r="C396" s="117" t="str">
        <f>IF(ISNUMBER(B396),IFERROR(VLOOKUP(B396,'נתוני רישום ומצבת'!B:J,3,0),""),"")</f>
        <v/>
      </c>
      <c r="D396" s="693"/>
      <c r="E396" s="697"/>
      <c r="F396" s="695"/>
      <c r="G396" s="696"/>
      <c r="K396" s="22" t="str">
        <f t="shared" si="11"/>
        <v/>
      </c>
      <c r="M396" s="534" t="str">
        <f t="shared" si="10"/>
        <v/>
      </c>
    </row>
    <row r="397" spans="2:13" ht="15.75" x14ac:dyDescent="0.25">
      <c r="B397" s="692"/>
      <c r="C397" s="117" t="str">
        <f>IF(ISNUMBER(B397),IFERROR(VLOOKUP(B397,'נתוני רישום ומצבת'!B:J,3,0),""),"")</f>
        <v/>
      </c>
      <c r="D397" s="693"/>
      <c r="E397" s="697"/>
      <c r="F397" s="695"/>
      <c r="G397" s="696"/>
      <c r="K397" s="22" t="str">
        <f t="shared" si="11"/>
        <v/>
      </c>
      <c r="M397" s="534" t="str">
        <f t="shared" si="10"/>
        <v/>
      </c>
    </row>
    <row r="398" spans="2:13" ht="15.75" x14ac:dyDescent="0.25">
      <c r="B398" s="692"/>
      <c r="C398" s="117" t="str">
        <f>IF(ISNUMBER(B398),IFERROR(VLOOKUP(B398,'נתוני רישום ומצבת'!B:J,3,0),""),"")</f>
        <v/>
      </c>
      <c r="D398" s="693"/>
      <c r="E398" s="697"/>
      <c r="F398" s="695"/>
      <c r="G398" s="696"/>
      <c r="K398" s="22" t="str">
        <f t="shared" si="11"/>
        <v/>
      </c>
      <c r="M398" s="534" t="str">
        <f t="shared" si="10"/>
        <v/>
      </c>
    </row>
    <row r="399" spans="2:13" ht="15.75" x14ac:dyDescent="0.25">
      <c r="B399" s="692"/>
      <c r="C399" s="117" t="str">
        <f>IF(ISNUMBER(B399),IFERROR(VLOOKUP(B399,'נתוני רישום ומצבת'!B:J,3,0),""),"")</f>
        <v/>
      </c>
      <c r="D399" s="693"/>
      <c r="E399" s="697"/>
      <c r="F399" s="695"/>
      <c r="G399" s="696"/>
      <c r="K399" s="22" t="str">
        <f t="shared" si="11"/>
        <v/>
      </c>
      <c r="M399" s="534" t="str">
        <f t="shared" si="10"/>
        <v/>
      </c>
    </row>
    <row r="400" spans="2:13" ht="15.75" x14ac:dyDescent="0.25">
      <c r="B400" s="692"/>
      <c r="C400" s="117" t="str">
        <f>IF(ISNUMBER(B400),IFERROR(VLOOKUP(B400,'נתוני רישום ומצבת'!B:J,3,0),""),"")</f>
        <v/>
      </c>
      <c r="D400" s="693"/>
      <c r="E400" s="697"/>
      <c r="F400" s="695"/>
      <c r="G400" s="696"/>
      <c r="K400" s="22" t="str">
        <f t="shared" si="11"/>
        <v/>
      </c>
      <c r="M400" s="534" t="str">
        <f t="shared" si="10"/>
        <v/>
      </c>
    </row>
    <row r="401" spans="2:13" ht="15.75" x14ac:dyDescent="0.25">
      <c r="B401" s="692"/>
      <c r="C401" s="117" t="str">
        <f>IF(ISNUMBER(B401),IFERROR(VLOOKUP(B401,'נתוני רישום ומצבת'!B:J,3,0),""),"")</f>
        <v/>
      </c>
      <c r="D401" s="693"/>
      <c r="E401" s="697"/>
      <c r="F401" s="695"/>
      <c r="G401" s="696"/>
      <c r="K401" s="22" t="str">
        <f t="shared" si="11"/>
        <v/>
      </c>
      <c r="M401" s="534" t="str">
        <f t="shared" ref="M401:M464" si="12">TEXT(LEFT(D401,2),0)</f>
        <v/>
      </c>
    </row>
    <row r="402" spans="2:13" ht="15.75" x14ac:dyDescent="0.25">
      <c r="B402" s="692"/>
      <c r="C402" s="117" t="str">
        <f>IF(ISNUMBER(B402),IFERROR(VLOOKUP(B402,'נתוני רישום ומצבת'!B:J,3,0),""),"")</f>
        <v/>
      </c>
      <c r="D402" s="693"/>
      <c r="E402" s="697"/>
      <c r="F402" s="695"/>
      <c r="G402" s="696"/>
      <c r="K402" s="22" t="str">
        <f t="shared" si="11"/>
        <v/>
      </c>
      <c r="M402" s="534" t="str">
        <f t="shared" si="12"/>
        <v/>
      </c>
    </row>
    <row r="403" spans="2:13" ht="15.75" x14ac:dyDescent="0.25">
      <c r="B403" s="692"/>
      <c r="C403" s="117" t="str">
        <f>IF(ISNUMBER(B403),IFERROR(VLOOKUP(B403,'נתוני רישום ומצבת'!B:J,3,0),""),"")</f>
        <v/>
      </c>
      <c r="D403" s="693"/>
      <c r="E403" s="697"/>
      <c r="F403" s="695"/>
      <c r="G403" s="696"/>
      <c r="K403" s="22" t="str">
        <f t="shared" si="11"/>
        <v/>
      </c>
      <c r="M403" s="534" t="str">
        <f t="shared" si="12"/>
        <v/>
      </c>
    </row>
    <row r="404" spans="2:13" ht="15.75" x14ac:dyDescent="0.25">
      <c r="B404" s="692"/>
      <c r="C404" s="117" t="str">
        <f>IF(ISNUMBER(B404),IFERROR(VLOOKUP(B404,'נתוני רישום ומצבת'!B:J,3,0),""),"")</f>
        <v/>
      </c>
      <c r="D404" s="693"/>
      <c r="E404" s="697"/>
      <c r="F404" s="695"/>
      <c r="G404" s="696"/>
      <c r="K404" s="22" t="str">
        <f t="shared" si="11"/>
        <v/>
      </c>
      <c r="M404" s="534" t="str">
        <f t="shared" si="12"/>
        <v/>
      </c>
    </row>
    <row r="405" spans="2:13" ht="15.75" x14ac:dyDescent="0.25">
      <c r="B405" s="692"/>
      <c r="C405" s="117" t="str">
        <f>IF(ISNUMBER(B405),IFERROR(VLOOKUP(B405,'נתוני רישום ומצבת'!B:J,3,0),""),"")</f>
        <v/>
      </c>
      <c r="D405" s="693"/>
      <c r="E405" s="697"/>
      <c r="F405" s="695"/>
      <c r="G405" s="696"/>
      <c r="K405" s="22" t="str">
        <f t="shared" ref="K405:K468" si="13">IF(C392&lt;5,IF(D405=$F$8,-E405," "),"")</f>
        <v/>
      </c>
      <c r="M405" s="534" t="str">
        <f t="shared" si="12"/>
        <v/>
      </c>
    </row>
    <row r="406" spans="2:13" ht="15.75" x14ac:dyDescent="0.25">
      <c r="B406" s="692"/>
      <c r="C406" s="117" t="str">
        <f>IF(ISNUMBER(B406),IFERROR(VLOOKUP(B406,'נתוני רישום ומצבת'!B:J,3,0),""),"")</f>
        <v/>
      </c>
      <c r="D406" s="693"/>
      <c r="E406" s="697"/>
      <c r="F406" s="695"/>
      <c r="G406" s="696"/>
      <c r="K406" s="22" t="str">
        <f t="shared" si="13"/>
        <v/>
      </c>
      <c r="M406" s="534" t="str">
        <f t="shared" si="12"/>
        <v/>
      </c>
    </row>
    <row r="407" spans="2:13" ht="15.75" x14ac:dyDescent="0.25">
      <c r="B407" s="692"/>
      <c r="C407" s="117" t="str">
        <f>IF(ISNUMBER(B407),IFERROR(VLOOKUP(B407,'נתוני רישום ומצבת'!B:J,3,0),""),"")</f>
        <v/>
      </c>
      <c r="D407" s="693"/>
      <c r="E407" s="697"/>
      <c r="F407" s="695"/>
      <c r="G407" s="696"/>
      <c r="K407" s="22" t="str">
        <f t="shared" si="13"/>
        <v/>
      </c>
      <c r="M407" s="534" t="str">
        <f t="shared" si="12"/>
        <v/>
      </c>
    </row>
    <row r="408" spans="2:13" ht="15.75" x14ac:dyDescent="0.25">
      <c r="B408" s="692"/>
      <c r="C408" s="117" t="str">
        <f>IF(ISNUMBER(B408),IFERROR(VLOOKUP(B408,'נתוני רישום ומצבת'!B:J,3,0),""),"")</f>
        <v/>
      </c>
      <c r="D408" s="693"/>
      <c r="E408" s="697"/>
      <c r="F408" s="695"/>
      <c r="G408" s="696"/>
      <c r="K408" s="22" t="str">
        <f t="shared" si="13"/>
        <v/>
      </c>
      <c r="M408" s="534" t="str">
        <f t="shared" si="12"/>
        <v/>
      </c>
    </row>
    <row r="409" spans="2:13" ht="15.75" x14ac:dyDescent="0.25">
      <c r="B409" s="692"/>
      <c r="C409" s="117" t="str">
        <f>IF(ISNUMBER(B409),IFERROR(VLOOKUP(B409,'נתוני רישום ומצבת'!B:J,3,0),""),"")</f>
        <v/>
      </c>
      <c r="D409" s="693"/>
      <c r="E409" s="697"/>
      <c r="F409" s="695"/>
      <c r="G409" s="696"/>
      <c r="K409" s="22" t="str">
        <f t="shared" si="13"/>
        <v/>
      </c>
      <c r="M409" s="534" t="str">
        <f t="shared" si="12"/>
        <v/>
      </c>
    </row>
    <row r="410" spans="2:13" ht="15.75" x14ac:dyDescent="0.25">
      <c r="B410" s="692"/>
      <c r="C410" s="117" t="str">
        <f>IF(ISNUMBER(B410),IFERROR(VLOOKUP(B410,'נתוני רישום ומצבת'!B:J,3,0),""),"")</f>
        <v/>
      </c>
      <c r="D410" s="693"/>
      <c r="E410" s="697"/>
      <c r="F410" s="695"/>
      <c r="G410" s="696"/>
      <c r="K410" s="22" t="str">
        <f t="shared" si="13"/>
        <v/>
      </c>
      <c r="M410" s="534" t="str">
        <f t="shared" si="12"/>
        <v/>
      </c>
    </row>
    <row r="411" spans="2:13" ht="15.75" x14ac:dyDescent="0.25">
      <c r="B411" s="692"/>
      <c r="C411" s="117" t="str">
        <f>IF(ISNUMBER(B411),IFERROR(VLOOKUP(B411,'נתוני רישום ומצבת'!B:J,3,0),""),"")</f>
        <v/>
      </c>
      <c r="D411" s="693"/>
      <c r="E411" s="697"/>
      <c r="F411" s="695"/>
      <c r="G411" s="696"/>
      <c r="K411" s="22" t="str">
        <f t="shared" si="13"/>
        <v/>
      </c>
      <c r="M411" s="534" t="str">
        <f t="shared" si="12"/>
        <v/>
      </c>
    </row>
    <row r="412" spans="2:13" ht="15.75" x14ac:dyDescent="0.25">
      <c r="B412" s="692"/>
      <c r="C412" s="117" t="str">
        <f>IF(ISNUMBER(B412),IFERROR(VLOOKUP(B412,'נתוני רישום ומצבת'!B:J,3,0),""),"")</f>
        <v/>
      </c>
      <c r="D412" s="693"/>
      <c r="E412" s="697"/>
      <c r="F412" s="695"/>
      <c r="G412" s="696"/>
      <c r="K412" s="22" t="str">
        <f t="shared" si="13"/>
        <v/>
      </c>
      <c r="M412" s="534" t="str">
        <f t="shared" si="12"/>
        <v/>
      </c>
    </row>
    <row r="413" spans="2:13" ht="15.75" x14ac:dyDescent="0.25">
      <c r="B413" s="692"/>
      <c r="C413" s="117" t="str">
        <f>IF(ISNUMBER(B413),IFERROR(VLOOKUP(B413,'נתוני רישום ומצבת'!B:J,3,0),""),"")</f>
        <v/>
      </c>
      <c r="D413" s="693"/>
      <c r="E413" s="697"/>
      <c r="F413" s="695"/>
      <c r="G413" s="696"/>
      <c r="K413" s="22" t="str">
        <f t="shared" si="13"/>
        <v/>
      </c>
      <c r="M413" s="534" t="str">
        <f t="shared" si="12"/>
        <v/>
      </c>
    </row>
    <row r="414" spans="2:13" ht="15.75" x14ac:dyDescent="0.25">
      <c r="B414" s="692"/>
      <c r="C414" s="117" t="str">
        <f>IF(ISNUMBER(B414),IFERROR(VLOOKUP(B414,'נתוני רישום ומצבת'!B:J,3,0),""),"")</f>
        <v/>
      </c>
      <c r="D414" s="693"/>
      <c r="E414" s="697"/>
      <c r="F414" s="695"/>
      <c r="G414" s="696"/>
      <c r="K414" s="22" t="str">
        <f t="shared" si="13"/>
        <v/>
      </c>
      <c r="M414" s="534" t="str">
        <f t="shared" si="12"/>
        <v/>
      </c>
    </row>
    <row r="415" spans="2:13" ht="15.75" x14ac:dyDescent="0.25">
      <c r="B415" s="692"/>
      <c r="C415" s="117" t="str">
        <f>IF(ISNUMBER(B415),IFERROR(VLOOKUP(B415,'נתוני רישום ומצבת'!B:J,3,0),""),"")</f>
        <v/>
      </c>
      <c r="D415" s="693"/>
      <c r="E415" s="697"/>
      <c r="F415" s="695"/>
      <c r="G415" s="696"/>
      <c r="K415" s="22" t="str">
        <f t="shared" si="13"/>
        <v/>
      </c>
      <c r="M415" s="534" t="str">
        <f t="shared" si="12"/>
        <v/>
      </c>
    </row>
    <row r="416" spans="2:13" ht="15.75" x14ac:dyDescent="0.25">
      <c r="B416" s="692"/>
      <c r="C416" s="117" t="str">
        <f>IF(ISNUMBER(B416),IFERROR(VLOOKUP(B416,'נתוני רישום ומצבת'!B:J,3,0),""),"")</f>
        <v/>
      </c>
      <c r="D416" s="693"/>
      <c r="E416" s="697"/>
      <c r="F416" s="695"/>
      <c r="G416" s="696"/>
      <c r="K416" s="22" t="str">
        <f t="shared" si="13"/>
        <v/>
      </c>
      <c r="M416" s="534" t="str">
        <f t="shared" si="12"/>
        <v/>
      </c>
    </row>
    <row r="417" spans="2:13" ht="15.75" x14ac:dyDescent="0.25">
      <c r="B417" s="692"/>
      <c r="C417" s="117" t="str">
        <f>IF(ISNUMBER(B417),IFERROR(VLOOKUP(B417,'נתוני רישום ומצבת'!B:J,3,0),""),"")</f>
        <v/>
      </c>
      <c r="D417" s="693"/>
      <c r="E417" s="697"/>
      <c r="F417" s="695"/>
      <c r="G417" s="696"/>
      <c r="K417" s="22" t="str">
        <f t="shared" si="13"/>
        <v/>
      </c>
      <c r="M417" s="534" t="str">
        <f t="shared" si="12"/>
        <v/>
      </c>
    </row>
    <row r="418" spans="2:13" ht="15.75" x14ac:dyDescent="0.25">
      <c r="B418" s="692"/>
      <c r="C418" s="117" t="str">
        <f>IF(ISNUMBER(B418),IFERROR(VLOOKUP(B418,'נתוני רישום ומצבת'!B:J,3,0),""),"")</f>
        <v/>
      </c>
      <c r="D418" s="693"/>
      <c r="E418" s="697"/>
      <c r="F418" s="695"/>
      <c r="G418" s="696"/>
      <c r="K418" s="22" t="str">
        <f t="shared" si="13"/>
        <v/>
      </c>
      <c r="M418" s="534" t="str">
        <f t="shared" si="12"/>
        <v/>
      </c>
    </row>
    <row r="419" spans="2:13" ht="15.75" x14ac:dyDescent="0.25">
      <c r="B419" s="692"/>
      <c r="C419" s="117" t="str">
        <f>IF(ISNUMBER(B419),IFERROR(VLOOKUP(B419,'נתוני רישום ומצבת'!B:J,3,0),""),"")</f>
        <v/>
      </c>
      <c r="D419" s="693"/>
      <c r="E419" s="697"/>
      <c r="F419" s="695"/>
      <c r="G419" s="696"/>
      <c r="K419" s="22" t="str">
        <f t="shared" si="13"/>
        <v/>
      </c>
      <c r="M419" s="534" t="str">
        <f t="shared" si="12"/>
        <v/>
      </c>
    </row>
    <row r="420" spans="2:13" ht="15.75" x14ac:dyDescent="0.25">
      <c r="B420" s="692"/>
      <c r="C420" s="117" t="str">
        <f>IF(ISNUMBER(B420),IFERROR(VLOOKUP(B420,'נתוני רישום ומצבת'!B:J,3,0),""),"")</f>
        <v/>
      </c>
      <c r="D420" s="693"/>
      <c r="E420" s="697"/>
      <c r="F420" s="695"/>
      <c r="G420" s="696"/>
      <c r="K420" s="22" t="str">
        <f t="shared" si="13"/>
        <v/>
      </c>
      <c r="M420" s="534" t="str">
        <f t="shared" si="12"/>
        <v/>
      </c>
    </row>
    <row r="421" spans="2:13" ht="15.75" x14ac:dyDescent="0.25">
      <c r="B421" s="692"/>
      <c r="C421" s="117" t="str">
        <f>IF(ISNUMBER(B421),IFERROR(VLOOKUP(B421,'נתוני רישום ומצבת'!B:J,3,0),""),"")</f>
        <v/>
      </c>
      <c r="D421" s="693"/>
      <c r="E421" s="697"/>
      <c r="F421" s="695"/>
      <c r="G421" s="696"/>
      <c r="K421" s="22" t="str">
        <f t="shared" si="13"/>
        <v/>
      </c>
      <c r="M421" s="534" t="str">
        <f t="shared" si="12"/>
        <v/>
      </c>
    </row>
    <row r="422" spans="2:13" ht="15.75" x14ac:dyDescent="0.25">
      <c r="B422" s="692"/>
      <c r="C422" s="117" t="str">
        <f>IF(ISNUMBER(B422),IFERROR(VLOOKUP(B422,'נתוני רישום ומצבת'!B:J,3,0),""),"")</f>
        <v/>
      </c>
      <c r="D422" s="693"/>
      <c r="E422" s="697"/>
      <c r="F422" s="695"/>
      <c r="G422" s="696"/>
      <c r="K422" s="22" t="str">
        <f t="shared" si="13"/>
        <v/>
      </c>
      <c r="M422" s="534" t="str">
        <f t="shared" si="12"/>
        <v/>
      </c>
    </row>
    <row r="423" spans="2:13" ht="15.75" x14ac:dyDescent="0.25">
      <c r="B423" s="692"/>
      <c r="C423" s="117" t="str">
        <f>IF(ISNUMBER(B423),IFERROR(VLOOKUP(B423,'נתוני רישום ומצבת'!B:J,3,0),""),"")</f>
        <v/>
      </c>
      <c r="D423" s="693"/>
      <c r="E423" s="697"/>
      <c r="F423" s="695"/>
      <c r="G423" s="696"/>
      <c r="K423" s="22" t="str">
        <f t="shared" si="13"/>
        <v/>
      </c>
      <c r="M423" s="534" t="str">
        <f t="shared" si="12"/>
        <v/>
      </c>
    </row>
    <row r="424" spans="2:13" ht="15.75" x14ac:dyDescent="0.25">
      <c r="B424" s="692"/>
      <c r="C424" s="117" t="str">
        <f>IF(ISNUMBER(B424),IFERROR(VLOOKUP(B424,'נתוני רישום ומצבת'!B:J,3,0),""),"")</f>
        <v/>
      </c>
      <c r="D424" s="693"/>
      <c r="E424" s="697"/>
      <c r="F424" s="695"/>
      <c r="G424" s="696"/>
      <c r="K424" s="22" t="str">
        <f t="shared" si="13"/>
        <v/>
      </c>
      <c r="M424" s="534" t="str">
        <f t="shared" si="12"/>
        <v/>
      </c>
    </row>
    <row r="425" spans="2:13" ht="15.75" x14ac:dyDescent="0.25">
      <c r="B425" s="692"/>
      <c r="C425" s="117" t="str">
        <f>IF(ISNUMBER(B425),IFERROR(VLOOKUP(B425,'נתוני רישום ומצבת'!B:J,3,0),""),"")</f>
        <v/>
      </c>
      <c r="D425" s="693"/>
      <c r="E425" s="697"/>
      <c r="F425" s="695"/>
      <c r="G425" s="696"/>
      <c r="K425" s="22" t="str">
        <f t="shared" si="13"/>
        <v/>
      </c>
      <c r="M425" s="534" t="str">
        <f t="shared" si="12"/>
        <v/>
      </c>
    </row>
    <row r="426" spans="2:13" ht="15.75" x14ac:dyDescent="0.25">
      <c r="B426" s="692"/>
      <c r="C426" s="117" t="str">
        <f>IF(ISNUMBER(B426),IFERROR(VLOOKUP(B426,'נתוני רישום ומצבת'!B:J,3,0),""),"")</f>
        <v/>
      </c>
      <c r="D426" s="693"/>
      <c r="E426" s="697"/>
      <c r="F426" s="695"/>
      <c r="G426" s="696"/>
      <c r="K426" s="22" t="str">
        <f t="shared" si="13"/>
        <v/>
      </c>
      <c r="M426" s="534" t="str">
        <f t="shared" si="12"/>
        <v/>
      </c>
    </row>
    <row r="427" spans="2:13" ht="15.75" x14ac:dyDescent="0.25">
      <c r="B427" s="692"/>
      <c r="C427" s="117" t="str">
        <f>IF(ISNUMBER(B427),IFERROR(VLOOKUP(B427,'נתוני רישום ומצבת'!B:J,3,0),""),"")</f>
        <v/>
      </c>
      <c r="D427" s="693"/>
      <c r="E427" s="697"/>
      <c r="F427" s="695"/>
      <c r="G427" s="696"/>
      <c r="K427" s="22" t="str">
        <f t="shared" si="13"/>
        <v/>
      </c>
      <c r="M427" s="534" t="str">
        <f t="shared" si="12"/>
        <v/>
      </c>
    </row>
    <row r="428" spans="2:13" ht="15.75" x14ac:dyDescent="0.25">
      <c r="B428" s="692"/>
      <c r="C428" s="117" t="str">
        <f>IF(ISNUMBER(B428),IFERROR(VLOOKUP(B428,'נתוני רישום ומצבת'!B:J,3,0),""),"")</f>
        <v/>
      </c>
      <c r="D428" s="693"/>
      <c r="E428" s="697"/>
      <c r="F428" s="695"/>
      <c r="G428" s="696"/>
      <c r="K428" s="22" t="str">
        <f t="shared" si="13"/>
        <v/>
      </c>
      <c r="M428" s="534" t="str">
        <f t="shared" si="12"/>
        <v/>
      </c>
    </row>
    <row r="429" spans="2:13" ht="15.75" x14ac:dyDescent="0.25">
      <c r="B429" s="692"/>
      <c r="C429" s="117" t="str">
        <f>IF(ISNUMBER(B429),IFERROR(VLOOKUP(B429,'נתוני רישום ומצבת'!B:J,3,0),""),"")</f>
        <v/>
      </c>
      <c r="D429" s="693"/>
      <c r="E429" s="697"/>
      <c r="F429" s="695"/>
      <c r="G429" s="696"/>
      <c r="K429" s="22" t="str">
        <f t="shared" si="13"/>
        <v/>
      </c>
      <c r="M429" s="534" t="str">
        <f t="shared" si="12"/>
        <v/>
      </c>
    </row>
    <row r="430" spans="2:13" ht="15.75" x14ac:dyDescent="0.25">
      <c r="B430" s="692"/>
      <c r="C430" s="117" t="str">
        <f>IF(ISNUMBER(B430),IFERROR(VLOOKUP(B430,'נתוני רישום ומצבת'!B:J,3,0),""),"")</f>
        <v/>
      </c>
      <c r="D430" s="693"/>
      <c r="E430" s="697"/>
      <c r="F430" s="695"/>
      <c r="G430" s="696"/>
      <c r="K430" s="22" t="str">
        <f t="shared" si="13"/>
        <v/>
      </c>
      <c r="M430" s="534" t="str">
        <f t="shared" si="12"/>
        <v/>
      </c>
    </row>
    <row r="431" spans="2:13" ht="15.75" x14ac:dyDescent="0.25">
      <c r="B431" s="692"/>
      <c r="C431" s="117" t="str">
        <f>IF(ISNUMBER(B431),IFERROR(VLOOKUP(B431,'נתוני רישום ומצבת'!B:J,3,0),""),"")</f>
        <v/>
      </c>
      <c r="D431" s="693"/>
      <c r="E431" s="697"/>
      <c r="F431" s="695"/>
      <c r="G431" s="696"/>
      <c r="K431" s="22" t="str">
        <f t="shared" si="13"/>
        <v/>
      </c>
      <c r="M431" s="534" t="str">
        <f t="shared" si="12"/>
        <v/>
      </c>
    </row>
    <row r="432" spans="2:13" ht="15.75" x14ac:dyDescent="0.25">
      <c r="B432" s="692"/>
      <c r="C432" s="117" t="str">
        <f>IF(ISNUMBER(B432),IFERROR(VLOOKUP(B432,'נתוני רישום ומצבת'!B:J,3,0),""),"")</f>
        <v/>
      </c>
      <c r="D432" s="693"/>
      <c r="E432" s="697"/>
      <c r="F432" s="695"/>
      <c r="G432" s="696"/>
      <c r="K432" s="22" t="str">
        <f t="shared" si="13"/>
        <v/>
      </c>
      <c r="M432" s="534" t="str">
        <f t="shared" si="12"/>
        <v/>
      </c>
    </row>
    <row r="433" spans="2:13" ht="15.75" x14ac:dyDescent="0.25">
      <c r="B433" s="692"/>
      <c r="C433" s="117" t="str">
        <f>IF(ISNUMBER(B433),IFERROR(VLOOKUP(B433,'נתוני רישום ומצבת'!B:J,3,0),""),"")</f>
        <v/>
      </c>
      <c r="D433" s="693"/>
      <c r="E433" s="697"/>
      <c r="F433" s="695"/>
      <c r="G433" s="696"/>
      <c r="K433" s="22" t="str">
        <f t="shared" si="13"/>
        <v/>
      </c>
      <c r="M433" s="534" t="str">
        <f t="shared" si="12"/>
        <v/>
      </c>
    </row>
    <row r="434" spans="2:13" ht="15.75" x14ac:dyDescent="0.25">
      <c r="B434" s="692"/>
      <c r="C434" s="117" t="str">
        <f>IF(ISNUMBER(B434),IFERROR(VLOOKUP(B434,'נתוני רישום ומצבת'!B:J,3,0),""),"")</f>
        <v/>
      </c>
      <c r="D434" s="693"/>
      <c r="E434" s="697"/>
      <c r="F434" s="695"/>
      <c r="G434" s="696"/>
      <c r="K434" s="22" t="str">
        <f t="shared" si="13"/>
        <v/>
      </c>
      <c r="M434" s="534" t="str">
        <f t="shared" si="12"/>
        <v/>
      </c>
    </row>
    <row r="435" spans="2:13" ht="15.75" x14ac:dyDescent="0.25">
      <c r="B435" s="692"/>
      <c r="C435" s="117" t="str">
        <f>IF(ISNUMBER(B435),IFERROR(VLOOKUP(B435,'נתוני רישום ומצבת'!B:J,3,0),""),"")</f>
        <v/>
      </c>
      <c r="D435" s="693"/>
      <c r="E435" s="697"/>
      <c r="F435" s="695"/>
      <c r="G435" s="696"/>
      <c r="K435" s="22" t="str">
        <f t="shared" si="13"/>
        <v/>
      </c>
      <c r="M435" s="534" t="str">
        <f t="shared" si="12"/>
        <v/>
      </c>
    </row>
    <row r="436" spans="2:13" ht="15.75" x14ac:dyDescent="0.25">
      <c r="B436" s="692"/>
      <c r="C436" s="117" t="str">
        <f>IF(ISNUMBER(B436),IFERROR(VLOOKUP(B436,'נתוני רישום ומצבת'!B:J,3,0),""),"")</f>
        <v/>
      </c>
      <c r="D436" s="693"/>
      <c r="E436" s="697"/>
      <c r="F436" s="695"/>
      <c r="G436" s="696"/>
      <c r="K436" s="22" t="str">
        <f t="shared" si="13"/>
        <v/>
      </c>
      <c r="M436" s="534" t="str">
        <f t="shared" si="12"/>
        <v/>
      </c>
    </row>
    <row r="437" spans="2:13" ht="15.75" x14ac:dyDescent="0.25">
      <c r="B437" s="692"/>
      <c r="C437" s="117" t="str">
        <f>IF(ISNUMBER(B437),IFERROR(VLOOKUP(B437,'נתוני רישום ומצבת'!B:J,3,0),""),"")</f>
        <v/>
      </c>
      <c r="D437" s="693"/>
      <c r="E437" s="697"/>
      <c r="F437" s="695"/>
      <c r="G437" s="696"/>
      <c r="K437" s="22" t="str">
        <f t="shared" si="13"/>
        <v/>
      </c>
      <c r="M437" s="534" t="str">
        <f t="shared" si="12"/>
        <v/>
      </c>
    </row>
    <row r="438" spans="2:13" ht="15.75" x14ac:dyDescent="0.25">
      <c r="B438" s="692"/>
      <c r="C438" s="117" t="str">
        <f>IF(ISNUMBER(B438),IFERROR(VLOOKUP(B438,'נתוני רישום ומצבת'!B:J,3,0),""),"")</f>
        <v/>
      </c>
      <c r="D438" s="693"/>
      <c r="E438" s="697"/>
      <c r="F438" s="695"/>
      <c r="G438" s="696"/>
      <c r="K438" s="22" t="str">
        <f t="shared" si="13"/>
        <v/>
      </c>
      <c r="M438" s="534" t="str">
        <f t="shared" si="12"/>
        <v/>
      </c>
    </row>
    <row r="439" spans="2:13" ht="15.75" x14ac:dyDescent="0.25">
      <c r="B439" s="692"/>
      <c r="C439" s="117" t="str">
        <f>IF(ISNUMBER(B439),IFERROR(VLOOKUP(B439,'נתוני רישום ומצבת'!B:J,3,0),""),"")</f>
        <v/>
      </c>
      <c r="D439" s="693"/>
      <c r="E439" s="697"/>
      <c r="F439" s="695"/>
      <c r="G439" s="696"/>
      <c r="K439" s="22" t="str">
        <f t="shared" si="13"/>
        <v/>
      </c>
      <c r="M439" s="534" t="str">
        <f t="shared" si="12"/>
        <v/>
      </c>
    </row>
    <row r="440" spans="2:13" ht="15.75" x14ac:dyDescent="0.25">
      <c r="B440" s="692"/>
      <c r="C440" s="117" t="str">
        <f>IF(ISNUMBER(B440),IFERROR(VLOOKUP(B440,'נתוני רישום ומצבת'!B:J,3,0),""),"")</f>
        <v/>
      </c>
      <c r="D440" s="693"/>
      <c r="E440" s="697"/>
      <c r="F440" s="695"/>
      <c r="G440" s="696"/>
      <c r="K440" s="22" t="str">
        <f t="shared" si="13"/>
        <v/>
      </c>
      <c r="M440" s="534" t="str">
        <f t="shared" si="12"/>
        <v/>
      </c>
    </row>
    <row r="441" spans="2:13" ht="15.75" x14ac:dyDescent="0.25">
      <c r="B441" s="692"/>
      <c r="C441" s="117" t="str">
        <f>IF(ISNUMBER(B441),IFERROR(VLOOKUP(B441,'נתוני רישום ומצבת'!B:J,3,0),""),"")</f>
        <v/>
      </c>
      <c r="D441" s="693"/>
      <c r="E441" s="697"/>
      <c r="F441" s="695"/>
      <c r="G441" s="696"/>
      <c r="K441" s="22" t="str">
        <f t="shared" si="13"/>
        <v/>
      </c>
      <c r="M441" s="534" t="str">
        <f t="shared" si="12"/>
        <v/>
      </c>
    </row>
    <row r="442" spans="2:13" ht="15.75" x14ac:dyDescent="0.25">
      <c r="B442" s="692"/>
      <c r="C442" s="117" t="str">
        <f>IF(ISNUMBER(B442),IFERROR(VLOOKUP(B442,'נתוני רישום ומצבת'!B:J,3,0),""),"")</f>
        <v/>
      </c>
      <c r="D442" s="693"/>
      <c r="E442" s="697"/>
      <c r="F442" s="695"/>
      <c r="G442" s="696"/>
      <c r="K442" s="22" t="str">
        <f t="shared" si="13"/>
        <v/>
      </c>
      <c r="M442" s="534" t="str">
        <f t="shared" si="12"/>
        <v/>
      </c>
    </row>
    <row r="443" spans="2:13" ht="15.75" x14ac:dyDescent="0.25">
      <c r="B443" s="692"/>
      <c r="C443" s="117" t="str">
        <f>IF(ISNUMBER(B443),IFERROR(VLOOKUP(B443,'נתוני רישום ומצבת'!B:J,3,0),""),"")</f>
        <v/>
      </c>
      <c r="D443" s="693"/>
      <c r="E443" s="697"/>
      <c r="F443" s="695"/>
      <c r="G443" s="696"/>
      <c r="K443" s="22" t="str">
        <f t="shared" si="13"/>
        <v/>
      </c>
      <c r="M443" s="534" t="str">
        <f t="shared" si="12"/>
        <v/>
      </c>
    </row>
    <row r="444" spans="2:13" ht="15.75" x14ac:dyDescent="0.25">
      <c r="B444" s="692"/>
      <c r="C444" s="117" t="str">
        <f>IF(ISNUMBER(B444),IFERROR(VLOOKUP(B444,'נתוני רישום ומצבת'!B:J,3,0),""),"")</f>
        <v/>
      </c>
      <c r="D444" s="693"/>
      <c r="E444" s="697"/>
      <c r="F444" s="695"/>
      <c r="G444" s="696"/>
      <c r="K444" s="22" t="str">
        <f t="shared" si="13"/>
        <v/>
      </c>
      <c r="M444" s="534" t="str">
        <f t="shared" si="12"/>
        <v/>
      </c>
    </row>
    <row r="445" spans="2:13" ht="15.75" x14ac:dyDescent="0.25">
      <c r="B445" s="692"/>
      <c r="C445" s="117" t="str">
        <f>IF(ISNUMBER(B445),IFERROR(VLOOKUP(B445,'נתוני רישום ומצבת'!B:J,3,0),""),"")</f>
        <v/>
      </c>
      <c r="D445" s="693"/>
      <c r="E445" s="697"/>
      <c r="F445" s="695"/>
      <c r="G445" s="696"/>
      <c r="K445" s="22" t="str">
        <f t="shared" si="13"/>
        <v/>
      </c>
      <c r="M445" s="534" t="str">
        <f t="shared" si="12"/>
        <v/>
      </c>
    </row>
    <row r="446" spans="2:13" ht="15.75" x14ac:dyDescent="0.25">
      <c r="B446" s="692"/>
      <c r="C446" s="117" t="str">
        <f>IF(ISNUMBER(B446),IFERROR(VLOOKUP(B446,'נתוני רישום ומצבת'!B:J,3,0),""),"")</f>
        <v/>
      </c>
      <c r="D446" s="693"/>
      <c r="E446" s="697"/>
      <c r="F446" s="695"/>
      <c r="G446" s="696"/>
      <c r="K446" s="22" t="str">
        <f t="shared" si="13"/>
        <v/>
      </c>
      <c r="M446" s="534" t="str">
        <f t="shared" si="12"/>
        <v/>
      </c>
    </row>
    <row r="447" spans="2:13" ht="15.75" x14ac:dyDescent="0.25">
      <c r="B447" s="692"/>
      <c r="C447" s="117" t="str">
        <f>IF(ISNUMBER(B447),IFERROR(VLOOKUP(B447,'נתוני רישום ומצבת'!B:J,3,0),""),"")</f>
        <v/>
      </c>
      <c r="D447" s="693"/>
      <c r="E447" s="697"/>
      <c r="F447" s="695"/>
      <c r="G447" s="696"/>
      <c r="K447" s="22" t="str">
        <f t="shared" si="13"/>
        <v/>
      </c>
      <c r="M447" s="534" t="str">
        <f t="shared" si="12"/>
        <v/>
      </c>
    </row>
    <row r="448" spans="2:13" ht="15.75" x14ac:dyDescent="0.25">
      <c r="B448" s="692"/>
      <c r="C448" s="117" t="str">
        <f>IF(ISNUMBER(B448),IFERROR(VLOOKUP(B448,'נתוני רישום ומצבת'!B:J,3,0),""),"")</f>
        <v/>
      </c>
      <c r="D448" s="693"/>
      <c r="E448" s="697"/>
      <c r="F448" s="695"/>
      <c r="G448" s="696"/>
      <c r="K448" s="22" t="str">
        <f t="shared" si="13"/>
        <v/>
      </c>
      <c r="M448" s="534" t="str">
        <f t="shared" si="12"/>
        <v/>
      </c>
    </row>
    <row r="449" spans="2:13" ht="15.75" x14ac:dyDescent="0.25">
      <c r="B449" s="692"/>
      <c r="C449" s="117" t="str">
        <f>IF(ISNUMBER(B449),IFERROR(VLOOKUP(B449,'נתוני רישום ומצבת'!B:J,3,0),""),"")</f>
        <v/>
      </c>
      <c r="D449" s="693"/>
      <c r="E449" s="697"/>
      <c r="F449" s="695"/>
      <c r="G449" s="696"/>
      <c r="K449" s="22" t="str">
        <f t="shared" si="13"/>
        <v/>
      </c>
      <c r="M449" s="534" t="str">
        <f t="shared" si="12"/>
        <v/>
      </c>
    </row>
    <row r="450" spans="2:13" ht="15.75" x14ac:dyDescent="0.25">
      <c r="B450" s="692"/>
      <c r="C450" s="117" t="str">
        <f>IF(ISNUMBER(B450),IFERROR(VLOOKUP(B450,'נתוני רישום ומצבת'!B:J,3,0),""),"")</f>
        <v/>
      </c>
      <c r="D450" s="693"/>
      <c r="E450" s="697"/>
      <c r="F450" s="695"/>
      <c r="G450" s="696"/>
      <c r="K450" s="22" t="str">
        <f t="shared" si="13"/>
        <v/>
      </c>
      <c r="M450" s="534" t="str">
        <f t="shared" si="12"/>
        <v/>
      </c>
    </row>
    <row r="451" spans="2:13" ht="15.75" x14ac:dyDescent="0.25">
      <c r="B451" s="692"/>
      <c r="C451" s="117" t="str">
        <f>IF(ISNUMBER(B451),IFERROR(VLOOKUP(B451,'נתוני רישום ומצבת'!B:J,3,0),""),"")</f>
        <v/>
      </c>
      <c r="D451" s="693"/>
      <c r="E451" s="697"/>
      <c r="F451" s="695"/>
      <c r="G451" s="696"/>
      <c r="K451" s="22" t="str">
        <f t="shared" si="13"/>
        <v/>
      </c>
      <c r="M451" s="534" t="str">
        <f t="shared" si="12"/>
        <v/>
      </c>
    </row>
    <row r="452" spans="2:13" ht="15.75" x14ac:dyDescent="0.25">
      <c r="B452" s="692"/>
      <c r="C452" s="117" t="str">
        <f>IF(ISNUMBER(B452),IFERROR(VLOOKUP(B452,'נתוני רישום ומצבת'!B:J,3,0),""),"")</f>
        <v/>
      </c>
      <c r="D452" s="693"/>
      <c r="E452" s="697"/>
      <c r="F452" s="695"/>
      <c r="G452" s="696"/>
      <c r="K452" s="22" t="str">
        <f t="shared" si="13"/>
        <v/>
      </c>
      <c r="M452" s="534" t="str">
        <f t="shared" si="12"/>
        <v/>
      </c>
    </row>
    <row r="453" spans="2:13" ht="15.75" x14ac:dyDescent="0.25">
      <c r="B453" s="692"/>
      <c r="C453" s="117" t="str">
        <f>IF(ISNUMBER(B453),IFERROR(VLOOKUP(B453,'נתוני רישום ומצבת'!B:J,3,0),""),"")</f>
        <v/>
      </c>
      <c r="D453" s="693"/>
      <c r="E453" s="697"/>
      <c r="F453" s="695"/>
      <c r="G453" s="696"/>
      <c r="K453" s="22" t="str">
        <f t="shared" si="13"/>
        <v/>
      </c>
      <c r="M453" s="534" t="str">
        <f t="shared" si="12"/>
        <v/>
      </c>
    </row>
    <row r="454" spans="2:13" ht="15.75" x14ac:dyDescent="0.25">
      <c r="B454" s="692"/>
      <c r="C454" s="117" t="str">
        <f>IF(ISNUMBER(B454),IFERROR(VLOOKUP(B454,'נתוני רישום ומצבת'!B:J,3,0),""),"")</f>
        <v/>
      </c>
      <c r="D454" s="693"/>
      <c r="E454" s="697"/>
      <c r="F454" s="695"/>
      <c r="G454" s="696"/>
      <c r="K454" s="22" t="str">
        <f t="shared" si="13"/>
        <v/>
      </c>
      <c r="M454" s="534" t="str">
        <f t="shared" si="12"/>
        <v/>
      </c>
    </row>
    <row r="455" spans="2:13" ht="15.75" x14ac:dyDescent="0.25">
      <c r="B455" s="692"/>
      <c r="C455" s="117" t="str">
        <f>IF(ISNUMBER(B455),IFERROR(VLOOKUP(B455,'נתוני רישום ומצבת'!B:J,3,0),""),"")</f>
        <v/>
      </c>
      <c r="D455" s="693"/>
      <c r="E455" s="697"/>
      <c r="F455" s="695"/>
      <c r="G455" s="696"/>
      <c r="K455" s="22" t="str">
        <f t="shared" si="13"/>
        <v/>
      </c>
      <c r="M455" s="534" t="str">
        <f t="shared" si="12"/>
        <v/>
      </c>
    </row>
    <row r="456" spans="2:13" ht="15.75" x14ac:dyDescent="0.25">
      <c r="B456" s="692"/>
      <c r="C456" s="117" t="str">
        <f>IF(ISNUMBER(B456),IFERROR(VLOOKUP(B456,'נתוני רישום ומצבת'!B:J,3,0),""),"")</f>
        <v/>
      </c>
      <c r="D456" s="693"/>
      <c r="E456" s="697"/>
      <c r="F456" s="695"/>
      <c r="G456" s="696"/>
      <c r="K456" s="22" t="str">
        <f t="shared" si="13"/>
        <v/>
      </c>
      <c r="M456" s="534" t="str">
        <f t="shared" si="12"/>
        <v/>
      </c>
    </row>
    <row r="457" spans="2:13" ht="15.75" x14ac:dyDescent="0.25">
      <c r="B457" s="692"/>
      <c r="C457" s="117" t="str">
        <f>IF(ISNUMBER(B457),IFERROR(VLOOKUP(B457,'נתוני רישום ומצבת'!B:J,3,0),""),"")</f>
        <v/>
      </c>
      <c r="D457" s="693"/>
      <c r="E457" s="697"/>
      <c r="F457" s="695"/>
      <c r="G457" s="696"/>
      <c r="K457" s="22" t="str">
        <f t="shared" si="13"/>
        <v/>
      </c>
      <c r="M457" s="534" t="str">
        <f t="shared" si="12"/>
        <v/>
      </c>
    </row>
    <row r="458" spans="2:13" ht="15.75" x14ac:dyDescent="0.25">
      <c r="B458" s="692"/>
      <c r="C458" s="117" t="str">
        <f>IF(ISNUMBER(B458),IFERROR(VLOOKUP(B458,'נתוני רישום ומצבת'!B:J,3,0),""),"")</f>
        <v/>
      </c>
      <c r="D458" s="693"/>
      <c r="E458" s="697"/>
      <c r="F458" s="695"/>
      <c r="G458" s="696"/>
      <c r="K458" s="22" t="str">
        <f t="shared" si="13"/>
        <v/>
      </c>
      <c r="M458" s="534" t="str">
        <f t="shared" si="12"/>
        <v/>
      </c>
    </row>
    <row r="459" spans="2:13" ht="15.75" x14ac:dyDescent="0.25">
      <c r="B459" s="692"/>
      <c r="C459" s="117" t="str">
        <f>IF(ISNUMBER(B459),IFERROR(VLOOKUP(B459,'נתוני רישום ומצבת'!B:J,3,0),""),"")</f>
        <v/>
      </c>
      <c r="D459" s="693"/>
      <c r="E459" s="697"/>
      <c r="F459" s="695"/>
      <c r="G459" s="696"/>
      <c r="K459" s="22" t="str">
        <f t="shared" si="13"/>
        <v/>
      </c>
      <c r="M459" s="534" t="str">
        <f t="shared" si="12"/>
        <v/>
      </c>
    </row>
    <row r="460" spans="2:13" ht="15.75" x14ac:dyDescent="0.25">
      <c r="B460" s="692"/>
      <c r="C460" s="117" t="str">
        <f>IF(ISNUMBER(B460),IFERROR(VLOOKUP(B460,'נתוני רישום ומצבת'!B:J,3,0),""),"")</f>
        <v/>
      </c>
      <c r="D460" s="693"/>
      <c r="E460" s="697"/>
      <c r="F460" s="695"/>
      <c r="G460" s="696"/>
      <c r="K460" s="22" t="str">
        <f t="shared" si="13"/>
        <v/>
      </c>
      <c r="M460" s="534" t="str">
        <f t="shared" si="12"/>
        <v/>
      </c>
    </row>
    <row r="461" spans="2:13" ht="15.75" x14ac:dyDescent="0.25">
      <c r="B461" s="692"/>
      <c r="C461" s="117" t="str">
        <f>IF(ISNUMBER(B461),IFERROR(VLOOKUP(B461,'נתוני רישום ומצבת'!B:J,3,0),""),"")</f>
        <v/>
      </c>
      <c r="D461" s="693"/>
      <c r="E461" s="697"/>
      <c r="F461" s="695"/>
      <c r="G461" s="696"/>
      <c r="K461" s="22" t="str">
        <f t="shared" si="13"/>
        <v/>
      </c>
      <c r="M461" s="534" t="str">
        <f t="shared" si="12"/>
        <v/>
      </c>
    </row>
    <row r="462" spans="2:13" ht="15.75" x14ac:dyDescent="0.25">
      <c r="B462" s="692"/>
      <c r="C462" s="117" t="str">
        <f>IF(ISNUMBER(B462),IFERROR(VLOOKUP(B462,'נתוני רישום ומצבת'!B:J,3,0),""),"")</f>
        <v/>
      </c>
      <c r="D462" s="693"/>
      <c r="E462" s="697"/>
      <c r="F462" s="695"/>
      <c r="G462" s="696"/>
      <c r="K462" s="22" t="str">
        <f t="shared" si="13"/>
        <v/>
      </c>
      <c r="M462" s="534" t="str">
        <f t="shared" si="12"/>
        <v/>
      </c>
    </row>
    <row r="463" spans="2:13" ht="15.75" x14ac:dyDescent="0.25">
      <c r="B463" s="692"/>
      <c r="C463" s="117" t="str">
        <f>IF(ISNUMBER(B463),IFERROR(VLOOKUP(B463,'נתוני רישום ומצבת'!B:J,3,0),""),"")</f>
        <v/>
      </c>
      <c r="D463" s="693"/>
      <c r="E463" s="697"/>
      <c r="F463" s="695"/>
      <c r="G463" s="696"/>
      <c r="K463" s="22" t="str">
        <f t="shared" si="13"/>
        <v/>
      </c>
      <c r="M463" s="534" t="str">
        <f t="shared" si="12"/>
        <v/>
      </c>
    </row>
    <row r="464" spans="2:13" ht="15.75" x14ac:dyDescent="0.25">
      <c r="B464" s="692"/>
      <c r="C464" s="117" t="str">
        <f>IF(ISNUMBER(B464),IFERROR(VLOOKUP(B464,'נתוני רישום ומצבת'!B:J,3,0),""),"")</f>
        <v/>
      </c>
      <c r="D464" s="693"/>
      <c r="E464" s="697"/>
      <c r="F464" s="695"/>
      <c r="G464" s="696"/>
      <c r="K464" s="22" t="str">
        <f t="shared" si="13"/>
        <v/>
      </c>
      <c r="M464" s="534" t="str">
        <f t="shared" si="12"/>
        <v/>
      </c>
    </row>
    <row r="465" spans="2:13" ht="15.75" x14ac:dyDescent="0.25">
      <c r="B465" s="692"/>
      <c r="C465" s="117" t="str">
        <f>IF(ISNUMBER(B465),IFERROR(VLOOKUP(B465,'נתוני רישום ומצבת'!B:J,3,0),""),"")</f>
        <v/>
      </c>
      <c r="D465" s="693"/>
      <c r="E465" s="697"/>
      <c r="F465" s="695"/>
      <c r="G465" s="696"/>
      <c r="K465" s="22" t="str">
        <f t="shared" si="13"/>
        <v/>
      </c>
      <c r="M465" s="534" t="str">
        <f t="shared" ref="M465:M528" si="14">TEXT(LEFT(D465,2),0)</f>
        <v/>
      </c>
    </row>
    <row r="466" spans="2:13" ht="15.75" x14ac:dyDescent="0.25">
      <c r="B466" s="692"/>
      <c r="C466" s="117" t="str">
        <f>IF(ISNUMBER(B466),IFERROR(VLOOKUP(B466,'נתוני רישום ומצבת'!B:J,3,0),""),"")</f>
        <v/>
      </c>
      <c r="D466" s="693"/>
      <c r="E466" s="697"/>
      <c r="F466" s="695"/>
      <c r="G466" s="696"/>
      <c r="K466" s="22" t="str">
        <f t="shared" si="13"/>
        <v/>
      </c>
      <c r="M466" s="534" t="str">
        <f t="shared" si="14"/>
        <v/>
      </c>
    </row>
    <row r="467" spans="2:13" ht="15.75" x14ac:dyDescent="0.25">
      <c r="B467" s="692"/>
      <c r="C467" s="117" t="str">
        <f>IF(ISNUMBER(B467),IFERROR(VLOOKUP(B467,'נתוני רישום ומצבת'!B:J,3,0),""),"")</f>
        <v/>
      </c>
      <c r="D467" s="693"/>
      <c r="E467" s="697"/>
      <c r="F467" s="695"/>
      <c r="G467" s="696"/>
      <c r="K467" s="22" t="str">
        <f t="shared" si="13"/>
        <v/>
      </c>
      <c r="M467" s="534" t="str">
        <f t="shared" si="14"/>
        <v/>
      </c>
    </row>
    <row r="468" spans="2:13" ht="15.75" x14ac:dyDescent="0.25">
      <c r="B468" s="692"/>
      <c r="C468" s="117" t="str">
        <f>IF(ISNUMBER(B468),IFERROR(VLOOKUP(B468,'נתוני רישום ומצבת'!B:J,3,0),""),"")</f>
        <v/>
      </c>
      <c r="D468" s="693"/>
      <c r="E468" s="697"/>
      <c r="F468" s="695"/>
      <c r="G468" s="696"/>
      <c r="K468" s="22" t="str">
        <f t="shared" si="13"/>
        <v/>
      </c>
      <c r="M468" s="534" t="str">
        <f t="shared" si="14"/>
        <v/>
      </c>
    </row>
    <row r="469" spans="2:13" ht="15.75" x14ac:dyDescent="0.25">
      <c r="B469" s="692"/>
      <c r="C469" s="117" t="str">
        <f>IF(ISNUMBER(B469),IFERROR(VLOOKUP(B469,'נתוני רישום ומצבת'!B:J,3,0),""),"")</f>
        <v/>
      </c>
      <c r="D469" s="693"/>
      <c r="E469" s="697"/>
      <c r="F469" s="695"/>
      <c r="G469" s="696"/>
      <c r="K469" s="22" t="str">
        <f t="shared" ref="K469:K532" si="15">IF(C456&lt;5,IF(D469=$F$8,-E469," "),"")</f>
        <v/>
      </c>
      <c r="M469" s="534" t="str">
        <f t="shared" si="14"/>
        <v/>
      </c>
    </row>
    <row r="470" spans="2:13" ht="15.75" x14ac:dyDescent="0.25">
      <c r="B470" s="692"/>
      <c r="C470" s="117" t="str">
        <f>IF(ISNUMBER(B470),IFERROR(VLOOKUP(B470,'נתוני רישום ומצבת'!B:J,3,0),""),"")</f>
        <v/>
      </c>
      <c r="D470" s="693"/>
      <c r="E470" s="697"/>
      <c r="F470" s="695"/>
      <c r="G470" s="696"/>
      <c r="K470" s="22" t="str">
        <f t="shared" si="15"/>
        <v/>
      </c>
      <c r="M470" s="534" t="str">
        <f t="shared" si="14"/>
        <v/>
      </c>
    </row>
    <row r="471" spans="2:13" ht="15.75" x14ac:dyDescent="0.25">
      <c r="B471" s="692"/>
      <c r="C471" s="117" t="str">
        <f>IF(ISNUMBER(B471),IFERROR(VLOOKUP(B471,'נתוני רישום ומצבת'!B:J,3,0),""),"")</f>
        <v/>
      </c>
      <c r="D471" s="693"/>
      <c r="E471" s="697"/>
      <c r="F471" s="695"/>
      <c r="G471" s="696"/>
      <c r="K471" s="22" t="str">
        <f t="shared" si="15"/>
        <v/>
      </c>
      <c r="M471" s="534" t="str">
        <f t="shared" si="14"/>
        <v/>
      </c>
    </row>
    <row r="472" spans="2:13" ht="15.75" x14ac:dyDescent="0.25">
      <c r="B472" s="692"/>
      <c r="C472" s="117" t="str">
        <f>IF(ISNUMBER(B472),IFERROR(VLOOKUP(B472,'נתוני רישום ומצבת'!B:J,3,0),""),"")</f>
        <v/>
      </c>
      <c r="D472" s="693"/>
      <c r="E472" s="697"/>
      <c r="F472" s="695"/>
      <c r="G472" s="696"/>
      <c r="K472" s="22" t="str">
        <f t="shared" si="15"/>
        <v/>
      </c>
      <c r="M472" s="534" t="str">
        <f t="shared" si="14"/>
        <v/>
      </c>
    </row>
    <row r="473" spans="2:13" ht="15.75" x14ac:dyDescent="0.25">
      <c r="B473" s="692"/>
      <c r="C473" s="117" t="str">
        <f>IF(ISNUMBER(B473),IFERROR(VLOOKUP(B473,'נתוני רישום ומצבת'!B:J,3,0),""),"")</f>
        <v/>
      </c>
      <c r="D473" s="693"/>
      <c r="E473" s="697"/>
      <c r="F473" s="695"/>
      <c r="G473" s="696"/>
      <c r="K473" s="22" t="str">
        <f t="shared" si="15"/>
        <v/>
      </c>
      <c r="M473" s="534" t="str">
        <f t="shared" si="14"/>
        <v/>
      </c>
    </row>
    <row r="474" spans="2:13" ht="15.75" x14ac:dyDescent="0.25">
      <c r="B474" s="692"/>
      <c r="C474" s="117" t="str">
        <f>IF(ISNUMBER(B474),IFERROR(VLOOKUP(B474,'נתוני רישום ומצבת'!B:J,3,0),""),"")</f>
        <v/>
      </c>
      <c r="D474" s="693"/>
      <c r="E474" s="697"/>
      <c r="F474" s="695"/>
      <c r="G474" s="696"/>
      <c r="K474" s="22" t="str">
        <f t="shared" si="15"/>
        <v/>
      </c>
      <c r="M474" s="534" t="str">
        <f t="shared" si="14"/>
        <v/>
      </c>
    </row>
    <row r="475" spans="2:13" ht="15.75" x14ac:dyDescent="0.25">
      <c r="B475" s="692"/>
      <c r="C475" s="117" t="str">
        <f>IF(ISNUMBER(B475),IFERROR(VLOOKUP(B475,'נתוני רישום ומצבת'!B:J,3,0),""),"")</f>
        <v/>
      </c>
      <c r="D475" s="693"/>
      <c r="E475" s="697"/>
      <c r="F475" s="695"/>
      <c r="G475" s="696"/>
      <c r="K475" s="22" t="str">
        <f t="shared" si="15"/>
        <v/>
      </c>
      <c r="M475" s="534" t="str">
        <f t="shared" si="14"/>
        <v/>
      </c>
    </row>
    <row r="476" spans="2:13" ht="15.75" x14ac:dyDescent="0.25">
      <c r="B476" s="692"/>
      <c r="C476" s="117" t="str">
        <f>IF(ISNUMBER(B476),IFERROR(VLOOKUP(B476,'נתוני רישום ומצבת'!B:J,3,0),""),"")</f>
        <v/>
      </c>
      <c r="D476" s="693"/>
      <c r="E476" s="697"/>
      <c r="F476" s="695"/>
      <c r="G476" s="696"/>
      <c r="K476" s="22" t="str">
        <f t="shared" si="15"/>
        <v/>
      </c>
      <c r="M476" s="534" t="str">
        <f t="shared" si="14"/>
        <v/>
      </c>
    </row>
    <row r="477" spans="2:13" ht="15.75" x14ac:dyDescent="0.25">
      <c r="B477" s="692"/>
      <c r="C477" s="117" t="str">
        <f>IF(ISNUMBER(B477),IFERROR(VLOOKUP(B477,'נתוני רישום ומצבת'!B:J,3,0),""),"")</f>
        <v/>
      </c>
      <c r="D477" s="693"/>
      <c r="E477" s="697"/>
      <c r="F477" s="695"/>
      <c r="G477" s="696"/>
      <c r="K477" s="22" t="str">
        <f t="shared" si="15"/>
        <v/>
      </c>
      <c r="M477" s="534" t="str">
        <f t="shared" si="14"/>
        <v/>
      </c>
    </row>
    <row r="478" spans="2:13" ht="15.75" x14ac:dyDescent="0.25">
      <c r="B478" s="692"/>
      <c r="C478" s="117" t="str">
        <f>IF(ISNUMBER(B478),IFERROR(VLOOKUP(B478,'נתוני רישום ומצבת'!B:J,3,0),""),"")</f>
        <v/>
      </c>
      <c r="D478" s="693"/>
      <c r="E478" s="697"/>
      <c r="F478" s="695"/>
      <c r="G478" s="696"/>
      <c r="K478" s="22" t="str">
        <f t="shared" si="15"/>
        <v/>
      </c>
      <c r="M478" s="534" t="str">
        <f t="shared" si="14"/>
        <v/>
      </c>
    </row>
    <row r="479" spans="2:13" ht="15.75" x14ac:dyDescent="0.25">
      <c r="B479" s="692"/>
      <c r="C479" s="117" t="str">
        <f>IF(ISNUMBER(B479),IFERROR(VLOOKUP(B479,'נתוני רישום ומצבת'!B:J,3,0),""),"")</f>
        <v/>
      </c>
      <c r="D479" s="693"/>
      <c r="E479" s="697"/>
      <c r="F479" s="695"/>
      <c r="G479" s="696"/>
      <c r="K479" s="22" t="str">
        <f t="shared" si="15"/>
        <v/>
      </c>
      <c r="M479" s="534" t="str">
        <f t="shared" si="14"/>
        <v/>
      </c>
    </row>
    <row r="480" spans="2:13" ht="15.75" x14ac:dyDescent="0.25">
      <c r="B480" s="692"/>
      <c r="C480" s="117" t="str">
        <f>IF(ISNUMBER(B480),IFERROR(VLOOKUP(B480,'נתוני רישום ומצבת'!B:J,3,0),""),"")</f>
        <v/>
      </c>
      <c r="D480" s="693"/>
      <c r="E480" s="697"/>
      <c r="F480" s="695"/>
      <c r="G480" s="696"/>
      <c r="K480" s="22" t="str">
        <f t="shared" si="15"/>
        <v/>
      </c>
      <c r="M480" s="534" t="str">
        <f t="shared" si="14"/>
        <v/>
      </c>
    </row>
    <row r="481" spans="2:13" ht="15.75" x14ac:dyDescent="0.25">
      <c r="B481" s="692"/>
      <c r="C481" s="117" t="str">
        <f>IF(ISNUMBER(B481),IFERROR(VLOOKUP(B481,'נתוני רישום ומצבת'!B:J,3,0),""),"")</f>
        <v/>
      </c>
      <c r="D481" s="693"/>
      <c r="E481" s="697"/>
      <c r="F481" s="695"/>
      <c r="G481" s="696"/>
      <c r="K481" s="22" t="str">
        <f t="shared" si="15"/>
        <v/>
      </c>
      <c r="M481" s="534" t="str">
        <f t="shared" si="14"/>
        <v/>
      </c>
    </row>
    <row r="482" spans="2:13" ht="15.75" x14ac:dyDescent="0.25">
      <c r="B482" s="692"/>
      <c r="C482" s="117" t="str">
        <f>IF(ISNUMBER(B482),IFERROR(VLOOKUP(B482,'נתוני רישום ומצבת'!B:J,3,0),""),"")</f>
        <v/>
      </c>
      <c r="D482" s="693"/>
      <c r="E482" s="697"/>
      <c r="F482" s="695"/>
      <c r="G482" s="696"/>
      <c r="K482" s="22" t="str">
        <f t="shared" si="15"/>
        <v/>
      </c>
      <c r="M482" s="534" t="str">
        <f t="shared" si="14"/>
        <v/>
      </c>
    </row>
    <row r="483" spans="2:13" ht="15.75" x14ac:dyDescent="0.25">
      <c r="B483" s="692"/>
      <c r="C483" s="117" t="str">
        <f>IF(ISNUMBER(B483),IFERROR(VLOOKUP(B483,'נתוני רישום ומצבת'!B:J,3,0),""),"")</f>
        <v/>
      </c>
      <c r="D483" s="693"/>
      <c r="E483" s="697"/>
      <c r="F483" s="695"/>
      <c r="G483" s="696"/>
      <c r="K483" s="22" t="str">
        <f t="shared" si="15"/>
        <v/>
      </c>
      <c r="M483" s="534" t="str">
        <f t="shared" si="14"/>
        <v/>
      </c>
    </row>
    <row r="484" spans="2:13" ht="15.75" x14ac:dyDescent="0.25">
      <c r="B484" s="692"/>
      <c r="C484" s="117" t="str">
        <f>IF(ISNUMBER(B484),IFERROR(VLOOKUP(B484,'נתוני רישום ומצבת'!B:J,3,0),""),"")</f>
        <v/>
      </c>
      <c r="D484" s="693"/>
      <c r="E484" s="697"/>
      <c r="F484" s="695"/>
      <c r="G484" s="696"/>
      <c r="K484" s="22" t="str">
        <f t="shared" si="15"/>
        <v/>
      </c>
      <c r="M484" s="534" t="str">
        <f t="shared" si="14"/>
        <v/>
      </c>
    </row>
    <row r="485" spans="2:13" ht="15.75" x14ac:dyDescent="0.25">
      <c r="B485" s="692"/>
      <c r="C485" s="117" t="str">
        <f>IF(ISNUMBER(B485),IFERROR(VLOOKUP(B485,'נתוני רישום ומצבת'!B:J,3,0),""),"")</f>
        <v/>
      </c>
      <c r="D485" s="693"/>
      <c r="E485" s="697"/>
      <c r="F485" s="695"/>
      <c r="G485" s="696"/>
      <c r="K485" s="22" t="str">
        <f t="shared" si="15"/>
        <v/>
      </c>
      <c r="M485" s="534" t="str">
        <f t="shared" si="14"/>
        <v/>
      </c>
    </row>
    <row r="486" spans="2:13" ht="15.75" x14ac:dyDescent="0.25">
      <c r="B486" s="692"/>
      <c r="C486" s="117" t="str">
        <f>IF(ISNUMBER(B486),IFERROR(VLOOKUP(B486,'נתוני רישום ומצבת'!B:J,3,0),""),"")</f>
        <v/>
      </c>
      <c r="D486" s="693"/>
      <c r="E486" s="697"/>
      <c r="F486" s="695"/>
      <c r="G486" s="696"/>
      <c r="K486" s="22" t="str">
        <f t="shared" si="15"/>
        <v/>
      </c>
      <c r="M486" s="534" t="str">
        <f t="shared" si="14"/>
        <v/>
      </c>
    </row>
    <row r="487" spans="2:13" ht="15.75" x14ac:dyDescent="0.25">
      <c r="B487" s="692"/>
      <c r="C487" s="117" t="str">
        <f>IF(ISNUMBER(B487),IFERROR(VLOOKUP(B487,'נתוני רישום ומצבת'!B:J,3,0),""),"")</f>
        <v/>
      </c>
      <c r="D487" s="693"/>
      <c r="E487" s="697"/>
      <c r="F487" s="695"/>
      <c r="G487" s="696"/>
      <c r="K487" s="22" t="str">
        <f t="shared" si="15"/>
        <v/>
      </c>
      <c r="M487" s="534" t="str">
        <f t="shared" si="14"/>
        <v/>
      </c>
    </row>
    <row r="488" spans="2:13" ht="15.75" x14ac:dyDescent="0.25">
      <c r="B488" s="692"/>
      <c r="C488" s="117" t="str">
        <f>IF(ISNUMBER(B488),IFERROR(VLOOKUP(B488,'נתוני רישום ומצבת'!B:J,3,0),""),"")</f>
        <v/>
      </c>
      <c r="D488" s="693"/>
      <c r="E488" s="697"/>
      <c r="F488" s="695"/>
      <c r="G488" s="696"/>
      <c r="K488" s="22" t="str">
        <f t="shared" si="15"/>
        <v/>
      </c>
      <c r="M488" s="534" t="str">
        <f t="shared" si="14"/>
        <v/>
      </c>
    </row>
    <row r="489" spans="2:13" ht="15.75" x14ac:dyDescent="0.25">
      <c r="B489" s="692"/>
      <c r="C489" s="117" t="str">
        <f>IF(ISNUMBER(B489),IFERROR(VLOOKUP(B489,'נתוני רישום ומצבת'!B:J,3,0),""),"")</f>
        <v/>
      </c>
      <c r="D489" s="693"/>
      <c r="E489" s="697"/>
      <c r="F489" s="695"/>
      <c r="G489" s="696"/>
      <c r="K489" s="22" t="str">
        <f t="shared" si="15"/>
        <v/>
      </c>
      <c r="M489" s="534" t="str">
        <f t="shared" si="14"/>
        <v/>
      </c>
    </row>
    <row r="490" spans="2:13" ht="15.75" x14ac:dyDescent="0.25">
      <c r="B490" s="692"/>
      <c r="C490" s="117" t="str">
        <f>IF(ISNUMBER(B490),IFERROR(VLOOKUP(B490,'נתוני רישום ומצבת'!B:J,3,0),""),"")</f>
        <v/>
      </c>
      <c r="D490" s="693"/>
      <c r="E490" s="697"/>
      <c r="F490" s="695"/>
      <c r="G490" s="696"/>
      <c r="K490" s="22" t="str">
        <f t="shared" si="15"/>
        <v/>
      </c>
      <c r="M490" s="534" t="str">
        <f t="shared" si="14"/>
        <v/>
      </c>
    </row>
    <row r="491" spans="2:13" ht="15.75" x14ac:dyDescent="0.25">
      <c r="B491" s="692"/>
      <c r="C491" s="117" t="str">
        <f>IF(ISNUMBER(B491),IFERROR(VLOOKUP(B491,'נתוני רישום ומצבת'!B:J,3,0),""),"")</f>
        <v/>
      </c>
      <c r="D491" s="693"/>
      <c r="E491" s="697"/>
      <c r="F491" s="695"/>
      <c r="G491" s="696"/>
      <c r="K491" s="22" t="str">
        <f t="shared" si="15"/>
        <v/>
      </c>
      <c r="M491" s="534" t="str">
        <f t="shared" si="14"/>
        <v/>
      </c>
    </row>
    <row r="492" spans="2:13" ht="15.75" x14ac:dyDescent="0.25">
      <c r="B492" s="692"/>
      <c r="C492" s="117" t="str">
        <f>IF(ISNUMBER(B492),IFERROR(VLOOKUP(B492,'נתוני רישום ומצבת'!B:J,3,0),""),"")</f>
        <v/>
      </c>
      <c r="D492" s="693"/>
      <c r="E492" s="697"/>
      <c r="F492" s="695"/>
      <c r="G492" s="696"/>
      <c r="K492" s="22" t="str">
        <f t="shared" si="15"/>
        <v/>
      </c>
      <c r="M492" s="534" t="str">
        <f t="shared" si="14"/>
        <v/>
      </c>
    </row>
    <row r="493" spans="2:13" ht="15.75" x14ac:dyDescent="0.25">
      <c r="B493" s="692"/>
      <c r="C493" s="117" t="str">
        <f>IF(ISNUMBER(B493),IFERROR(VLOOKUP(B493,'נתוני רישום ומצבת'!B:J,3,0),""),"")</f>
        <v/>
      </c>
      <c r="D493" s="693"/>
      <c r="E493" s="697"/>
      <c r="F493" s="695"/>
      <c r="G493" s="696"/>
      <c r="K493" s="22" t="str">
        <f t="shared" si="15"/>
        <v/>
      </c>
      <c r="M493" s="534" t="str">
        <f t="shared" si="14"/>
        <v/>
      </c>
    </row>
    <row r="494" spans="2:13" ht="15.75" x14ac:dyDescent="0.25">
      <c r="B494" s="692"/>
      <c r="C494" s="117" t="str">
        <f>IF(ISNUMBER(B494),IFERROR(VLOOKUP(B494,'נתוני רישום ומצבת'!B:J,3,0),""),"")</f>
        <v/>
      </c>
      <c r="D494" s="693"/>
      <c r="E494" s="697"/>
      <c r="F494" s="695"/>
      <c r="G494" s="696"/>
      <c r="K494" s="22" t="str">
        <f t="shared" si="15"/>
        <v/>
      </c>
      <c r="M494" s="534" t="str">
        <f t="shared" si="14"/>
        <v/>
      </c>
    </row>
    <row r="495" spans="2:13" ht="15.75" x14ac:dyDescent="0.25">
      <c r="B495" s="692"/>
      <c r="C495" s="117" t="str">
        <f>IF(ISNUMBER(B495),IFERROR(VLOOKUP(B495,'נתוני רישום ומצבת'!B:J,3,0),""),"")</f>
        <v/>
      </c>
      <c r="D495" s="693"/>
      <c r="E495" s="697"/>
      <c r="F495" s="695"/>
      <c r="G495" s="696"/>
      <c r="K495" s="22" t="str">
        <f t="shared" si="15"/>
        <v/>
      </c>
      <c r="M495" s="534" t="str">
        <f t="shared" si="14"/>
        <v/>
      </c>
    </row>
    <row r="496" spans="2:13" ht="15.75" x14ac:dyDescent="0.25">
      <c r="B496" s="692"/>
      <c r="C496" s="117" t="str">
        <f>IF(ISNUMBER(B496),IFERROR(VLOOKUP(B496,'נתוני רישום ומצבת'!B:J,3,0),""),"")</f>
        <v/>
      </c>
      <c r="D496" s="693"/>
      <c r="E496" s="697"/>
      <c r="F496" s="695"/>
      <c r="G496" s="696"/>
      <c r="K496" s="22" t="str">
        <f t="shared" si="15"/>
        <v/>
      </c>
      <c r="M496" s="534" t="str">
        <f t="shared" si="14"/>
        <v/>
      </c>
    </row>
    <row r="497" spans="2:13" ht="15.75" x14ac:dyDescent="0.25">
      <c r="B497" s="692"/>
      <c r="C497" s="117" t="str">
        <f>IF(ISNUMBER(B497),IFERROR(VLOOKUP(B497,'נתוני רישום ומצבת'!B:J,3,0),""),"")</f>
        <v/>
      </c>
      <c r="D497" s="693"/>
      <c r="E497" s="697"/>
      <c r="F497" s="695"/>
      <c r="G497" s="696"/>
      <c r="K497" s="22" t="str">
        <f t="shared" si="15"/>
        <v/>
      </c>
      <c r="M497" s="534" t="str">
        <f t="shared" si="14"/>
        <v/>
      </c>
    </row>
    <row r="498" spans="2:13" ht="15.75" x14ac:dyDescent="0.25">
      <c r="B498" s="692"/>
      <c r="C498" s="117" t="str">
        <f>IF(ISNUMBER(B498),IFERROR(VLOOKUP(B498,'נתוני רישום ומצבת'!B:J,3,0),""),"")</f>
        <v/>
      </c>
      <c r="D498" s="693"/>
      <c r="E498" s="697"/>
      <c r="F498" s="695"/>
      <c r="G498" s="696"/>
      <c r="K498" s="22" t="str">
        <f t="shared" si="15"/>
        <v/>
      </c>
      <c r="M498" s="534" t="str">
        <f t="shared" si="14"/>
        <v/>
      </c>
    </row>
    <row r="499" spans="2:13" ht="15.75" x14ac:dyDescent="0.25">
      <c r="B499" s="692"/>
      <c r="C499" s="117" t="str">
        <f>IF(ISNUMBER(B499),IFERROR(VLOOKUP(B499,'נתוני רישום ומצבת'!B:J,3,0),""),"")</f>
        <v/>
      </c>
      <c r="D499" s="693"/>
      <c r="E499" s="697"/>
      <c r="F499" s="695"/>
      <c r="G499" s="696"/>
      <c r="K499" s="22" t="str">
        <f t="shared" si="15"/>
        <v/>
      </c>
      <c r="M499" s="534" t="str">
        <f t="shared" si="14"/>
        <v/>
      </c>
    </row>
    <row r="500" spans="2:13" ht="15.75" x14ac:dyDescent="0.25">
      <c r="B500" s="692"/>
      <c r="C500" s="117" t="str">
        <f>IF(ISNUMBER(B500),IFERROR(VLOOKUP(B500,'נתוני רישום ומצבת'!B:J,3,0),""),"")</f>
        <v/>
      </c>
      <c r="D500" s="693"/>
      <c r="E500" s="697"/>
      <c r="F500" s="695"/>
      <c r="G500" s="696"/>
      <c r="K500" s="22" t="str">
        <f t="shared" si="15"/>
        <v/>
      </c>
      <c r="M500" s="534" t="str">
        <f t="shared" si="14"/>
        <v/>
      </c>
    </row>
    <row r="501" spans="2:13" ht="15.75" x14ac:dyDescent="0.25">
      <c r="B501" s="692"/>
      <c r="C501" s="117" t="str">
        <f>IF(ISNUMBER(B501),IFERROR(VLOOKUP(B501,'נתוני רישום ומצבת'!B:J,3,0),""),"")</f>
        <v/>
      </c>
      <c r="D501" s="693"/>
      <c r="E501" s="697"/>
      <c r="F501" s="695"/>
      <c r="G501" s="696"/>
      <c r="K501" s="22" t="str">
        <f t="shared" si="15"/>
        <v/>
      </c>
      <c r="M501" s="534" t="str">
        <f t="shared" si="14"/>
        <v/>
      </c>
    </row>
    <row r="502" spans="2:13" ht="15.75" x14ac:dyDescent="0.25">
      <c r="B502" s="692"/>
      <c r="C502" s="117" t="str">
        <f>IF(ISNUMBER(B502),IFERROR(VLOOKUP(B502,'נתוני רישום ומצבת'!B:J,3,0),""),"")</f>
        <v/>
      </c>
      <c r="D502" s="693"/>
      <c r="E502" s="697"/>
      <c r="F502" s="695"/>
      <c r="G502" s="696"/>
      <c r="K502" s="22" t="str">
        <f t="shared" si="15"/>
        <v/>
      </c>
      <c r="M502" s="534" t="str">
        <f t="shared" si="14"/>
        <v/>
      </c>
    </row>
    <row r="503" spans="2:13" ht="15.75" x14ac:dyDescent="0.25">
      <c r="B503" s="692"/>
      <c r="C503" s="117" t="str">
        <f>IF(ISNUMBER(B503),IFERROR(VLOOKUP(B503,'נתוני רישום ומצבת'!B:J,3,0),""),"")</f>
        <v/>
      </c>
      <c r="D503" s="693"/>
      <c r="E503" s="697"/>
      <c r="F503" s="695"/>
      <c r="G503" s="696"/>
      <c r="K503" s="22" t="str">
        <f t="shared" si="15"/>
        <v/>
      </c>
      <c r="M503" s="534" t="str">
        <f t="shared" si="14"/>
        <v/>
      </c>
    </row>
    <row r="504" spans="2:13" ht="15.75" x14ac:dyDescent="0.25">
      <c r="B504" s="692"/>
      <c r="C504" s="117" t="str">
        <f>IF(ISNUMBER(B504),IFERROR(VLOOKUP(B504,'נתוני רישום ומצבת'!B:J,3,0),""),"")</f>
        <v/>
      </c>
      <c r="D504" s="693"/>
      <c r="E504" s="697"/>
      <c r="F504" s="695"/>
      <c r="G504" s="696"/>
      <c r="K504" s="22" t="str">
        <f t="shared" si="15"/>
        <v/>
      </c>
      <c r="M504" s="534" t="str">
        <f t="shared" si="14"/>
        <v/>
      </c>
    </row>
    <row r="505" spans="2:13" ht="15.75" x14ac:dyDescent="0.25">
      <c r="B505" s="692"/>
      <c r="C505" s="117" t="str">
        <f>IF(ISNUMBER(B505),IFERROR(VLOOKUP(B505,'נתוני רישום ומצבת'!B:J,3,0),""),"")</f>
        <v/>
      </c>
      <c r="D505" s="693"/>
      <c r="E505" s="697"/>
      <c r="F505" s="695"/>
      <c r="G505" s="696"/>
      <c r="K505" s="22" t="str">
        <f t="shared" si="15"/>
        <v/>
      </c>
      <c r="M505" s="534" t="str">
        <f t="shared" si="14"/>
        <v/>
      </c>
    </row>
    <row r="506" spans="2:13" ht="15.75" x14ac:dyDescent="0.25">
      <c r="B506" s="692"/>
      <c r="C506" s="117" t="str">
        <f>IF(ISNUMBER(B506),IFERROR(VLOOKUP(B506,'נתוני רישום ומצבת'!B:J,3,0),""),"")</f>
        <v/>
      </c>
      <c r="D506" s="693"/>
      <c r="E506" s="697"/>
      <c r="F506" s="695"/>
      <c r="G506" s="696"/>
      <c r="K506" s="22" t="str">
        <f t="shared" si="15"/>
        <v/>
      </c>
      <c r="M506" s="534" t="str">
        <f t="shared" si="14"/>
        <v/>
      </c>
    </row>
    <row r="507" spans="2:13" ht="15.75" x14ac:dyDescent="0.25">
      <c r="B507" s="692"/>
      <c r="C507" s="117" t="str">
        <f>IF(ISNUMBER(B507),IFERROR(VLOOKUP(B507,'נתוני רישום ומצבת'!B:J,3,0),""),"")</f>
        <v/>
      </c>
      <c r="D507" s="693"/>
      <c r="E507" s="697"/>
      <c r="F507" s="695"/>
      <c r="G507" s="696"/>
      <c r="K507" s="22" t="str">
        <f t="shared" si="15"/>
        <v/>
      </c>
      <c r="M507" s="534" t="str">
        <f t="shared" si="14"/>
        <v/>
      </c>
    </row>
    <row r="508" spans="2:13" ht="15.75" x14ac:dyDescent="0.25">
      <c r="B508" s="692"/>
      <c r="C508" s="117" t="str">
        <f>IF(ISNUMBER(B508),IFERROR(VLOOKUP(B508,'נתוני רישום ומצבת'!B:J,3,0),""),"")</f>
        <v/>
      </c>
      <c r="D508" s="693"/>
      <c r="E508" s="697"/>
      <c r="F508" s="695"/>
      <c r="G508" s="696"/>
      <c r="K508" s="22" t="str">
        <f t="shared" si="15"/>
        <v/>
      </c>
      <c r="M508" s="534" t="str">
        <f t="shared" si="14"/>
        <v/>
      </c>
    </row>
    <row r="509" spans="2:13" ht="15.75" x14ac:dyDescent="0.25">
      <c r="B509" s="692"/>
      <c r="C509" s="117" t="str">
        <f>IF(ISNUMBER(B509),IFERROR(VLOOKUP(B509,'נתוני רישום ומצבת'!B:J,3,0),""),"")</f>
        <v/>
      </c>
      <c r="D509" s="693"/>
      <c r="E509" s="697"/>
      <c r="F509" s="695"/>
      <c r="G509" s="696"/>
      <c r="K509" s="22" t="str">
        <f t="shared" si="15"/>
        <v/>
      </c>
      <c r="M509" s="534" t="str">
        <f t="shared" si="14"/>
        <v/>
      </c>
    </row>
    <row r="510" spans="2:13" ht="15.75" x14ac:dyDescent="0.25">
      <c r="B510" s="692"/>
      <c r="C510" s="117" t="str">
        <f>IF(ISNUMBER(B510),IFERROR(VLOOKUP(B510,'נתוני רישום ומצבת'!B:J,3,0),""),"")</f>
        <v/>
      </c>
      <c r="D510" s="693"/>
      <c r="E510" s="697"/>
      <c r="F510" s="695"/>
      <c r="G510" s="696"/>
      <c r="K510" s="22" t="str">
        <f t="shared" si="15"/>
        <v/>
      </c>
      <c r="M510" s="534" t="str">
        <f t="shared" si="14"/>
        <v/>
      </c>
    </row>
    <row r="511" spans="2:13" ht="15.75" x14ac:dyDescent="0.25">
      <c r="B511" s="692"/>
      <c r="C511" s="117" t="str">
        <f>IF(ISNUMBER(B511),IFERROR(VLOOKUP(B511,'נתוני רישום ומצבת'!B:J,3,0),""),"")</f>
        <v/>
      </c>
      <c r="D511" s="693"/>
      <c r="E511" s="697"/>
      <c r="F511" s="695"/>
      <c r="G511" s="696"/>
      <c r="K511" s="22" t="str">
        <f t="shared" si="15"/>
        <v/>
      </c>
      <c r="M511" s="534" t="str">
        <f t="shared" si="14"/>
        <v/>
      </c>
    </row>
    <row r="512" spans="2:13" ht="15.75" x14ac:dyDescent="0.25">
      <c r="B512" s="692"/>
      <c r="C512" s="117" t="str">
        <f>IF(ISNUMBER(B512),IFERROR(VLOOKUP(B512,'נתוני רישום ומצבת'!B:J,3,0),""),"")</f>
        <v/>
      </c>
      <c r="D512" s="693"/>
      <c r="E512" s="697"/>
      <c r="F512" s="695"/>
      <c r="G512" s="696"/>
      <c r="K512" s="22" t="str">
        <f t="shared" si="15"/>
        <v/>
      </c>
      <c r="M512" s="534" t="str">
        <f t="shared" si="14"/>
        <v/>
      </c>
    </row>
    <row r="513" spans="2:13" ht="15.75" x14ac:dyDescent="0.25">
      <c r="B513" s="692"/>
      <c r="C513" s="117" t="str">
        <f>IF(ISNUMBER(B513),IFERROR(VLOOKUP(B513,'נתוני רישום ומצבת'!B:J,3,0),""),"")</f>
        <v/>
      </c>
      <c r="D513" s="693"/>
      <c r="E513" s="697"/>
      <c r="F513" s="695"/>
      <c r="G513" s="696"/>
      <c r="K513" s="22" t="str">
        <f t="shared" si="15"/>
        <v/>
      </c>
      <c r="M513" s="534" t="str">
        <f t="shared" si="14"/>
        <v/>
      </c>
    </row>
    <row r="514" spans="2:13" ht="15.75" x14ac:dyDescent="0.25">
      <c r="B514" s="692"/>
      <c r="C514" s="117" t="str">
        <f>IF(ISNUMBER(B514),IFERROR(VLOOKUP(B514,'נתוני רישום ומצבת'!B:J,3,0),""),"")</f>
        <v/>
      </c>
      <c r="D514" s="693"/>
      <c r="E514" s="697"/>
      <c r="F514" s="695"/>
      <c r="G514" s="696"/>
      <c r="K514" s="22" t="str">
        <f t="shared" si="15"/>
        <v/>
      </c>
      <c r="M514" s="534" t="str">
        <f t="shared" si="14"/>
        <v/>
      </c>
    </row>
    <row r="515" spans="2:13" ht="15.75" x14ac:dyDescent="0.25">
      <c r="B515" s="692"/>
      <c r="C515" s="117" t="str">
        <f>IF(ISNUMBER(B515),IFERROR(VLOOKUP(B515,'נתוני רישום ומצבת'!B:J,3,0),""),"")</f>
        <v/>
      </c>
      <c r="D515" s="693"/>
      <c r="E515" s="697"/>
      <c r="F515" s="695"/>
      <c r="G515" s="696"/>
      <c r="K515" s="22" t="str">
        <f t="shared" si="15"/>
        <v/>
      </c>
      <c r="M515" s="534" t="str">
        <f t="shared" si="14"/>
        <v/>
      </c>
    </row>
    <row r="516" spans="2:13" ht="15.75" x14ac:dyDescent="0.25">
      <c r="B516" s="692"/>
      <c r="C516" s="117" t="str">
        <f>IF(ISNUMBER(B516),IFERROR(VLOOKUP(B516,'נתוני רישום ומצבת'!B:J,3,0),""),"")</f>
        <v/>
      </c>
      <c r="D516" s="693"/>
      <c r="E516" s="697"/>
      <c r="F516" s="695"/>
      <c r="G516" s="696"/>
      <c r="K516" s="22" t="str">
        <f t="shared" si="15"/>
        <v/>
      </c>
      <c r="M516" s="534" t="str">
        <f t="shared" si="14"/>
        <v/>
      </c>
    </row>
    <row r="517" spans="2:13" ht="15.75" x14ac:dyDescent="0.25">
      <c r="B517" s="692"/>
      <c r="C517" s="117" t="str">
        <f>IF(ISNUMBER(B517),IFERROR(VLOOKUP(B517,'נתוני רישום ומצבת'!B:J,3,0),""),"")</f>
        <v/>
      </c>
      <c r="D517" s="693"/>
      <c r="E517" s="697"/>
      <c r="F517" s="695"/>
      <c r="G517" s="696"/>
      <c r="K517" s="22" t="str">
        <f t="shared" si="15"/>
        <v/>
      </c>
      <c r="M517" s="534" t="str">
        <f t="shared" si="14"/>
        <v/>
      </c>
    </row>
    <row r="518" spans="2:13" ht="15.75" x14ac:dyDescent="0.25">
      <c r="B518" s="692"/>
      <c r="C518" s="117" t="str">
        <f>IF(ISNUMBER(B518),IFERROR(VLOOKUP(B518,'נתוני רישום ומצבת'!B:J,3,0),""),"")</f>
        <v/>
      </c>
      <c r="D518" s="693"/>
      <c r="E518" s="697"/>
      <c r="F518" s="695"/>
      <c r="G518" s="696"/>
      <c r="K518" s="22" t="str">
        <f t="shared" si="15"/>
        <v/>
      </c>
      <c r="M518" s="534" t="str">
        <f t="shared" si="14"/>
        <v/>
      </c>
    </row>
    <row r="519" spans="2:13" ht="15.75" x14ac:dyDescent="0.25">
      <c r="B519" s="692"/>
      <c r="C519" s="117" t="str">
        <f>IF(ISNUMBER(B519),IFERROR(VLOOKUP(B519,'נתוני רישום ומצבת'!B:J,3,0),""),"")</f>
        <v/>
      </c>
      <c r="D519" s="693"/>
      <c r="E519" s="697"/>
      <c r="F519" s="695"/>
      <c r="G519" s="696"/>
      <c r="K519" s="22" t="str">
        <f t="shared" si="15"/>
        <v/>
      </c>
      <c r="M519" s="534" t="str">
        <f t="shared" si="14"/>
        <v/>
      </c>
    </row>
    <row r="520" spans="2:13" ht="15.75" x14ac:dyDescent="0.25">
      <c r="B520" s="692"/>
      <c r="C520" s="117" t="str">
        <f>IF(ISNUMBER(B520),IFERROR(VLOOKUP(B520,'נתוני רישום ומצבת'!B:J,3,0),""),"")</f>
        <v/>
      </c>
      <c r="D520" s="693"/>
      <c r="E520" s="697"/>
      <c r="F520" s="695"/>
      <c r="G520" s="696"/>
      <c r="K520" s="22" t="str">
        <f t="shared" si="15"/>
        <v/>
      </c>
      <c r="M520" s="534" t="str">
        <f t="shared" si="14"/>
        <v/>
      </c>
    </row>
    <row r="521" spans="2:13" ht="15.75" x14ac:dyDescent="0.25">
      <c r="B521" s="692"/>
      <c r="C521" s="117" t="str">
        <f>IF(ISNUMBER(B521),IFERROR(VLOOKUP(B521,'נתוני רישום ומצבת'!B:J,3,0),""),"")</f>
        <v/>
      </c>
      <c r="D521" s="693"/>
      <c r="E521" s="697"/>
      <c r="F521" s="695"/>
      <c r="G521" s="696"/>
      <c r="K521" s="22" t="str">
        <f t="shared" si="15"/>
        <v/>
      </c>
      <c r="M521" s="534" t="str">
        <f t="shared" si="14"/>
        <v/>
      </c>
    </row>
    <row r="522" spans="2:13" ht="15.75" x14ac:dyDescent="0.25">
      <c r="B522" s="692"/>
      <c r="C522" s="117" t="str">
        <f>IF(ISNUMBER(B522),IFERROR(VLOOKUP(B522,'נתוני רישום ומצבת'!B:J,3,0),""),"")</f>
        <v/>
      </c>
      <c r="D522" s="693"/>
      <c r="E522" s="697"/>
      <c r="F522" s="695"/>
      <c r="G522" s="696"/>
      <c r="K522" s="22" t="str">
        <f t="shared" si="15"/>
        <v/>
      </c>
      <c r="M522" s="534" t="str">
        <f t="shared" si="14"/>
        <v/>
      </c>
    </row>
    <row r="523" spans="2:13" ht="15.75" x14ac:dyDescent="0.25">
      <c r="B523" s="692"/>
      <c r="C523" s="117" t="str">
        <f>IF(ISNUMBER(B523),IFERROR(VLOOKUP(B523,'נתוני רישום ומצבת'!B:J,3,0),""),"")</f>
        <v/>
      </c>
      <c r="D523" s="693"/>
      <c r="E523" s="697"/>
      <c r="F523" s="695"/>
      <c r="G523" s="696"/>
      <c r="K523" s="22" t="str">
        <f t="shared" si="15"/>
        <v/>
      </c>
      <c r="M523" s="534" t="str">
        <f t="shared" si="14"/>
        <v/>
      </c>
    </row>
    <row r="524" spans="2:13" ht="15.75" x14ac:dyDescent="0.25">
      <c r="B524" s="692"/>
      <c r="C524" s="117" t="str">
        <f>IF(ISNUMBER(B524),IFERROR(VLOOKUP(B524,'נתוני רישום ומצבת'!B:J,3,0),""),"")</f>
        <v/>
      </c>
      <c r="D524" s="693"/>
      <c r="E524" s="697"/>
      <c r="F524" s="695"/>
      <c r="G524" s="696"/>
      <c r="K524" s="22" t="str">
        <f t="shared" si="15"/>
        <v/>
      </c>
      <c r="M524" s="534" t="str">
        <f t="shared" si="14"/>
        <v/>
      </c>
    </row>
    <row r="525" spans="2:13" ht="15.75" x14ac:dyDescent="0.25">
      <c r="B525" s="692"/>
      <c r="C525" s="117" t="str">
        <f>IF(ISNUMBER(B525),IFERROR(VLOOKUP(B525,'נתוני רישום ומצבת'!B:J,3,0),""),"")</f>
        <v/>
      </c>
      <c r="D525" s="693"/>
      <c r="E525" s="697"/>
      <c r="F525" s="695"/>
      <c r="G525" s="696"/>
      <c r="K525" s="22" t="str">
        <f t="shared" si="15"/>
        <v/>
      </c>
      <c r="M525" s="534" t="str">
        <f t="shared" si="14"/>
        <v/>
      </c>
    </row>
    <row r="526" spans="2:13" ht="15.75" x14ac:dyDescent="0.25">
      <c r="B526" s="692"/>
      <c r="C526" s="117" t="str">
        <f>IF(ISNUMBER(B526),IFERROR(VLOOKUP(B526,'נתוני רישום ומצבת'!B:J,3,0),""),"")</f>
        <v/>
      </c>
      <c r="D526" s="693"/>
      <c r="E526" s="697"/>
      <c r="F526" s="695"/>
      <c r="G526" s="696"/>
      <c r="K526" s="22" t="str">
        <f t="shared" si="15"/>
        <v/>
      </c>
      <c r="M526" s="534" t="str">
        <f t="shared" si="14"/>
        <v/>
      </c>
    </row>
    <row r="527" spans="2:13" ht="15.75" x14ac:dyDescent="0.25">
      <c r="B527" s="692"/>
      <c r="C527" s="117" t="str">
        <f>IF(ISNUMBER(B527),IFERROR(VLOOKUP(B527,'נתוני רישום ומצבת'!B:J,3,0),""),"")</f>
        <v/>
      </c>
      <c r="D527" s="693"/>
      <c r="E527" s="697"/>
      <c r="F527" s="695"/>
      <c r="G527" s="696"/>
      <c r="K527" s="22" t="str">
        <f t="shared" si="15"/>
        <v/>
      </c>
      <c r="M527" s="534" t="str">
        <f t="shared" si="14"/>
        <v/>
      </c>
    </row>
    <row r="528" spans="2:13" ht="15.75" x14ac:dyDescent="0.25">
      <c r="B528" s="692"/>
      <c r="C528" s="117" t="str">
        <f>IF(ISNUMBER(B528),IFERROR(VLOOKUP(B528,'נתוני רישום ומצבת'!B:J,3,0),""),"")</f>
        <v/>
      </c>
      <c r="D528" s="693"/>
      <c r="E528" s="697"/>
      <c r="F528" s="695"/>
      <c r="G528" s="696"/>
      <c r="K528" s="22" t="str">
        <f t="shared" si="15"/>
        <v/>
      </c>
      <c r="M528" s="534" t="str">
        <f t="shared" si="14"/>
        <v/>
      </c>
    </row>
    <row r="529" spans="2:13" ht="15.75" x14ac:dyDescent="0.25">
      <c r="B529" s="692"/>
      <c r="C529" s="117" t="str">
        <f>IF(ISNUMBER(B529),IFERROR(VLOOKUP(B529,'נתוני רישום ומצבת'!B:J,3,0),""),"")</f>
        <v/>
      </c>
      <c r="D529" s="693"/>
      <c r="E529" s="697"/>
      <c r="F529" s="695"/>
      <c r="G529" s="696"/>
      <c r="K529" s="22" t="str">
        <f t="shared" si="15"/>
        <v/>
      </c>
      <c r="M529" s="534" t="str">
        <f t="shared" ref="M529:M592" si="16">TEXT(LEFT(D529,2),0)</f>
        <v/>
      </c>
    </row>
    <row r="530" spans="2:13" ht="15.75" x14ac:dyDescent="0.25">
      <c r="B530" s="692"/>
      <c r="C530" s="117" t="str">
        <f>IF(ISNUMBER(B530),IFERROR(VLOOKUP(B530,'נתוני רישום ומצבת'!B:J,3,0),""),"")</f>
        <v/>
      </c>
      <c r="D530" s="693"/>
      <c r="E530" s="697"/>
      <c r="F530" s="695"/>
      <c r="G530" s="696"/>
      <c r="K530" s="22" t="str">
        <f t="shared" si="15"/>
        <v/>
      </c>
      <c r="M530" s="534" t="str">
        <f t="shared" si="16"/>
        <v/>
      </c>
    </row>
    <row r="531" spans="2:13" ht="15.75" x14ac:dyDescent="0.25">
      <c r="B531" s="692"/>
      <c r="C531" s="117" t="str">
        <f>IF(ISNUMBER(B531),IFERROR(VLOOKUP(B531,'נתוני רישום ומצבת'!B:J,3,0),""),"")</f>
        <v/>
      </c>
      <c r="D531" s="693"/>
      <c r="E531" s="697"/>
      <c r="F531" s="695"/>
      <c r="G531" s="696"/>
      <c r="K531" s="22" t="str">
        <f t="shared" si="15"/>
        <v/>
      </c>
      <c r="M531" s="534" t="str">
        <f t="shared" si="16"/>
        <v/>
      </c>
    </row>
    <row r="532" spans="2:13" ht="15.75" x14ac:dyDescent="0.25">
      <c r="B532" s="692"/>
      <c r="C532" s="117" t="str">
        <f>IF(ISNUMBER(B532),IFERROR(VLOOKUP(B532,'נתוני רישום ומצבת'!B:J,3,0),""),"")</f>
        <v/>
      </c>
      <c r="D532" s="693"/>
      <c r="E532" s="697"/>
      <c r="F532" s="695"/>
      <c r="G532" s="696"/>
      <c r="K532" s="22" t="str">
        <f t="shared" si="15"/>
        <v/>
      </c>
      <c r="M532" s="534" t="str">
        <f t="shared" si="16"/>
        <v/>
      </c>
    </row>
    <row r="533" spans="2:13" ht="15.75" x14ac:dyDescent="0.25">
      <c r="B533" s="692"/>
      <c r="C533" s="117" t="str">
        <f>IF(ISNUMBER(B533),IFERROR(VLOOKUP(B533,'נתוני רישום ומצבת'!B:J,3,0),""),"")</f>
        <v/>
      </c>
      <c r="D533" s="693"/>
      <c r="E533" s="697"/>
      <c r="F533" s="695"/>
      <c r="G533" s="696"/>
      <c r="K533" s="22" t="str">
        <f t="shared" ref="K533:K596" si="17">IF(C520&lt;5,IF(D533=$F$8,-E533," "),"")</f>
        <v/>
      </c>
      <c r="M533" s="534" t="str">
        <f t="shared" si="16"/>
        <v/>
      </c>
    </row>
    <row r="534" spans="2:13" ht="15.75" x14ac:dyDescent="0.25">
      <c r="B534" s="692"/>
      <c r="C534" s="117" t="str">
        <f>IF(ISNUMBER(B534),IFERROR(VLOOKUP(B534,'נתוני רישום ומצבת'!B:J,3,0),""),"")</f>
        <v/>
      </c>
      <c r="D534" s="693"/>
      <c r="E534" s="697"/>
      <c r="F534" s="695"/>
      <c r="G534" s="696"/>
      <c r="K534" s="22" t="str">
        <f t="shared" si="17"/>
        <v/>
      </c>
      <c r="M534" s="534" t="str">
        <f t="shared" si="16"/>
        <v/>
      </c>
    </row>
    <row r="535" spans="2:13" ht="15.75" x14ac:dyDescent="0.25">
      <c r="B535" s="692"/>
      <c r="C535" s="117" t="str">
        <f>IF(ISNUMBER(B535),IFERROR(VLOOKUP(B535,'נתוני רישום ומצבת'!B:J,3,0),""),"")</f>
        <v/>
      </c>
      <c r="D535" s="693"/>
      <c r="E535" s="697"/>
      <c r="F535" s="695"/>
      <c r="G535" s="696"/>
      <c r="K535" s="22" t="str">
        <f t="shared" si="17"/>
        <v/>
      </c>
      <c r="M535" s="534" t="str">
        <f t="shared" si="16"/>
        <v/>
      </c>
    </row>
    <row r="536" spans="2:13" ht="15.75" x14ac:dyDescent="0.25">
      <c r="B536" s="692"/>
      <c r="C536" s="117" t="str">
        <f>IF(ISNUMBER(B536),IFERROR(VLOOKUP(B536,'נתוני רישום ומצבת'!B:J,3,0),""),"")</f>
        <v/>
      </c>
      <c r="D536" s="693"/>
      <c r="E536" s="697"/>
      <c r="F536" s="695"/>
      <c r="G536" s="696"/>
      <c r="K536" s="22" t="str">
        <f t="shared" si="17"/>
        <v/>
      </c>
      <c r="M536" s="534" t="str">
        <f t="shared" si="16"/>
        <v/>
      </c>
    </row>
    <row r="537" spans="2:13" ht="15.75" x14ac:dyDescent="0.25">
      <c r="B537" s="692"/>
      <c r="C537" s="117" t="str">
        <f>IF(ISNUMBER(B537),IFERROR(VLOOKUP(B537,'נתוני רישום ומצבת'!B:J,3,0),""),"")</f>
        <v/>
      </c>
      <c r="D537" s="693"/>
      <c r="E537" s="697"/>
      <c r="F537" s="695"/>
      <c r="G537" s="696"/>
      <c r="K537" s="22" t="str">
        <f t="shared" si="17"/>
        <v/>
      </c>
      <c r="M537" s="534" t="str">
        <f t="shared" si="16"/>
        <v/>
      </c>
    </row>
    <row r="538" spans="2:13" ht="15.75" x14ac:dyDescent="0.25">
      <c r="B538" s="692"/>
      <c r="C538" s="117" t="str">
        <f>IF(ISNUMBER(B538),IFERROR(VLOOKUP(B538,'נתוני רישום ומצבת'!B:J,3,0),""),"")</f>
        <v/>
      </c>
      <c r="D538" s="693"/>
      <c r="E538" s="697"/>
      <c r="F538" s="695"/>
      <c r="G538" s="696"/>
      <c r="K538" s="22" t="str">
        <f t="shared" si="17"/>
        <v/>
      </c>
      <c r="M538" s="534" t="str">
        <f t="shared" si="16"/>
        <v/>
      </c>
    </row>
    <row r="539" spans="2:13" ht="15.75" x14ac:dyDescent="0.25">
      <c r="B539" s="692"/>
      <c r="C539" s="117" t="str">
        <f>IF(ISNUMBER(B539),IFERROR(VLOOKUP(B539,'נתוני רישום ומצבת'!B:J,3,0),""),"")</f>
        <v/>
      </c>
      <c r="D539" s="693"/>
      <c r="E539" s="697"/>
      <c r="F539" s="695"/>
      <c r="G539" s="696"/>
      <c r="K539" s="22" t="str">
        <f t="shared" si="17"/>
        <v/>
      </c>
      <c r="M539" s="534" t="str">
        <f t="shared" si="16"/>
        <v/>
      </c>
    </row>
    <row r="540" spans="2:13" ht="15.75" x14ac:dyDescent="0.25">
      <c r="B540" s="692"/>
      <c r="C540" s="117" t="str">
        <f>IF(ISNUMBER(B540),IFERROR(VLOOKUP(B540,'נתוני רישום ומצבת'!B:J,3,0),""),"")</f>
        <v/>
      </c>
      <c r="D540" s="693"/>
      <c r="E540" s="697"/>
      <c r="F540" s="695"/>
      <c r="G540" s="696"/>
      <c r="K540" s="22" t="str">
        <f t="shared" si="17"/>
        <v/>
      </c>
      <c r="M540" s="534" t="str">
        <f t="shared" si="16"/>
        <v/>
      </c>
    </row>
    <row r="541" spans="2:13" ht="15.75" x14ac:dyDescent="0.25">
      <c r="B541" s="692"/>
      <c r="C541" s="117" t="str">
        <f>IF(ISNUMBER(B541),IFERROR(VLOOKUP(B541,'נתוני רישום ומצבת'!B:J,3,0),""),"")</f>
        <v/>
      </c>
      <c r="D541" s="693"/>
      <c r="E541" s="697"/>
      <c r="F541" s="695"/>
      <c r="G541" s="696"/>
      <c r="K541" s="22" t="str">
        <f t="shared" si="17"/>
        <v/>
      </c>
      <c r="M541" s="534" t="str">
        <f t="shared" si="16"/>
        <v/>
      </c>
    </row>
    <row r="542" spans="2:13" ht="15.75" x14ac:dyDescent="0.25">
      <c r="B542" s="692"/>
      <c r="C542" s="117" t="str">
        <f>IF(ISNUMBER(B542),IFERROR(VLOOKUP(B542,'נתוני רישום ומצבת'!B:J,3,0),""),"")</f>
        <v/>
      </c>
      <c r="D542" s="693"/>
      <c r="E542" s="697"/>
      <c r="F542" s="695"/>
      <c r="G542" s="696"/>
      <c r="K542" s="22" t="str">
        <f t="shared" si="17"/>
        <v/>
      </c>
      <c r="M542" s="534" t="str">
        <f t="shared" si="16"/>
        <v/>
      </c>
    </row>
    <row r="543" spans="2:13" ht="15.75" x14ac:dyDescent="0.25">
      <c r="B543" s="692"/>
      <c r="C543" s="117" t="str">
        <f>IF(ISNUMBER(B543),IFERROR(VLOOKUP(B543,'נתוני רישום ומצבת'!B:J,3,0),""),"")</f>
        <v/>
      </c>
      <c r="D543" s="693"/>
      <c r="E543" s="697"/>
      <c r="F543" s="695"/>
      <c r="G543" s="696"/>
      <c r="K543" s="22" t="str">
        <f t="shared" si="17"/>
        <v/>
      </c>
      <c r="M543" s="534" t="str">
        <f t="shared" si="16"/>
        <v/>
      </c>
    </row>
    <row r="544" spans="2:13" ht="15.75" x14ac:dyDescent="0.25">
      <c r="B544" s="692"/>
      <c r="C544" s="117" t="str">
        <f>IF(ISNUMBER(B544),IFERROR(VLOOKUP(B544,'נתוני רישום ומצבת'!B:J,3,0),""),"")</f>
        <v/>
      </c>
      <c r="D544" s="693"/>
      <c r="E544" s="697"/>
      <c r="F544" s="695"/>
      <c r="G544" s="696"/>
      <c r="K544" s="22" t="str">
        <f t="shared" si="17"/>
        <v/>
      </c>
      <c r="M544" s="534" t="str">
        <f t="shared" si="16"/>
        <v/>
      </c>
    </row>
    <row r="545" spans="2:13" ht="15.75" x14ac:dyDescent="0.25">
      <c r="B545" s="692"/>
      <c r="C545" s="117" t="str">
        <f>IF(ISNUMBER(B545),IFERROR(VLOOKUP(B545,'נתוני רישום ומצבת'!B:J,3,0),""),"")</f>
        <v/>
      </c>
      <c r="D545" s="693"/>
      <c r="E545" s="697"/>
      <c r="F545" s="695"/>
      <c r="G545" s="696"/>
      <c r="K545" s="22" t="str">
        <f t="shared" si="17"/>
        <v/>
      </c>
      <c r="M545" s="534" t="str">
        <f t="shared" si="16"/>
        <v/>
      </c>
    </row>
    <row r="546" spans="2:13" ht="15.75" x14ac:dyDescent="0.25">
      <c r="B546" s="692"/>
      <c r="C546" s="117" t="str">
        <f>IF(ISNUMBER(B546),IFERROR(VLOOKUP(B546,'נתוני רישום ומצבת'!B:J,3,0),""),"")</f>
        <v/>
      </c>
      <c r="D546" s="693"/>
      <c r="E546" s="697"/>
      <c r="F546" s="695"/>
      <c r="G546" s="696"/>
      <c r="K546" s="22" t="str">
        <f t="shared" si="17"/>
        <v/>
      </c>
      <c r="M546" s="534" t="str">
        <f t="shared" si="16"/>
        <v/>
      </c>
    </row>
    <row r="547" spans="2:13" ht="15.75" x14ac:dyDescent="0.25">
      <c r="B547" s="692"/>
      <c r="C547" s="117" t="str">
        <f>IF(ISNUMBER(B547),IFERROR(VLOOKUP(B547,'נתוני רישום ומצבת'!B:J,3,0),""),"")</f>
        <v/>
      </c>
      <c r="D547" s="693"/>
      <c r="E547" s="697"/>
      <c r="F547" s="695"/>
      <c r="G547" s="696"/>
      <c r="K547" s="22" t="str">
        <f t="shared" si="17"/>
        <v/>
      </c>
      <c r="M547" s="534" t="str">
        <f t="shared" si="16"/>
        <v/>
      </c>
    </row>
    <row r="548" spans="2:13" ht="15.75" x14ac:dyDescent="0.25">
      <c r="B548" s="692"/>
      <c r="C548" s="117" t="str">
        <f>IF(ISNUMBER(B548),IFERROR(VLOOKUP(B548,'נתוני רישום ומצבת'!B:J,3,0),""),"")</f>
        <v/>
      </c>
      <c r="D548" s="693"/>
      <c r="E548" s="697"/>
      <c r="F548" s="695"/>
      <c r="G548" s="696"/>
      <c r="K548" s="22" t="str">
        <f t="shared" si="17"/>
        <v/>
      </c>
      <c r="M548" s="534" t="str">
        <f t="shared" si="16"/>
        <v/>
      </c>
    </row>
    <row r="549" spans="2:13" ht="15.75" x14ac:dyDescent="0.25">
      <c r="B549" s="692"/>
      <c r="C549" s="117" t="str">
        <f>IF(ISNUMBER(B549),IFERROR(VLOOKUP(B549,'נתוני רישום ומצבת'!B:J,3,0),""),"")</f>
        <v/>
      </c>
      <c r="D549" s="693"/>
      <c r="E549" s="697"/>
      <c r="F549" s="695"/>
      <c r="G549" s="696"/>
      <c r="K549" s="22" t="str">
        <f t="shared" si="17"/>
        <v/>
      </c>
      <c r="M549" s="534" t="str">
        <f t="shared" si="16"/>
        <v/>
      </c>
    </row>
    <row r="550" spans="2:13" ht="15.75" x14ac:dyDescent="0.25">
      <c r="B550" s="692"/>
      <c r="C550" s="117" t="str">
        <f>IF(ISNUMBER(B550),IFERROR(VLOOKUP(B550,'נתוני רישום ומצבת'!B:J,3,0),""),"")</f>
        <v/>
      </c>
      <c r="D550" s="693"/>
      <c r="E550" s="697"/>
      <c r="F550" s="695"/>
      <c r="G550" s="696"/>
      <c r="K550" s="22" t="str">
        <f t="shared" si="17"/>
        <v/>
      </c>
      <c r="M550" s="534" t="str">
        <f t="shared" si="16"/>
        <v/>
      </c>
    </row>
    <row r="551" spans="2:13" ht="15.75" x14ac:dyDescent="0.25">
      <c r="B551" s="692"/>
      <c r="C551" s="117" t="str">
        <f>IF(ISNUMBER(B551),IFERROR(VLOOKUP(B551,'נתוני רישום ומצבת'!B:J,3,0),""),"")</f>
        <v/>
      </c>
      <c r="D551" s="693"/>
      <c r="E551" s="697"/>
      <c r="F551" s="695"/>
      <c r="G551" s="696"/>
      <c r="K551" s="22" t="str">
        <f t="shared" si="17"/>
        <v/>
      </c>
      <c r="M551" s="534" t="str">
        <f t="shared" si="16"/>
        <v/>
      </c>
    </row>
    <row r="552" spans="2:13" ht="15.75" x14ac:dyDescent="0.25">
      <c r="B552" s="692"/>
      <c r="C552" s="117" t="str">
        <f>IF(ISNUMBER(B552),IFERROR(VLOOKUP(B552,'נתוני רישום ומצבת'!B:J,3,0),""),"")</f>
        <v/>
      </c>
      <c r="D552" s="693"/>
      <c r="E552" s="697"/>
      <c r="F552" s="695"/>
      <c r="G552" s="696"/>
      <c r="K552" s="22" t="str">
        <f t="shared" si="17"/>
        <v/>
      </c>
      <c r="M552" s="534" t="str">
        <f t="shared" si="16"/>
        <v/>
      </c>
    </row>
    <row r="553" spans="2:13" ht="15.75" x14ac:dyDescent="0.25">
      <c r="B553" s="692"/>
      <c r="C553" s="117" t="str">
        <f>IF(ISNUMBER(B553),IFERROR(VLOOKUP(B553,'נתוני רישום ומצבת'!B:J,3,0),""),"")</f>
        <v/>
      </c>
      <c r="D553" s="693"/>
      <c r="E553" s="697"/>
      <c r="F553" s="695"/>
      <c r="G553" s="696"/>
      <c r="K553" s="22" t="str">
        <f t="shared" si="17"/>
        <v/>
      </c>
      <c r="M553" s="534" t="str">
        <f t="shared" si="16"/>
        <v/>
      </c>
    </row>
    <row r="554" spans="2:13" ht="15.75" x14ac:dyDescent="0.25">
      <c r="B554" s="692"/>
      <c r="C554" s="117" t="str">
        <f>IF(ISNUMBER(B554),IFERROR(VLOOKUP(B554,'נתוני רישום ומצבת'!B:J,3,0),""),"")</f>
        <v/>
      </c>
      <c r="D554" s="693"/>
      <c r="E554" s="697"/>
      <c r="F554" s="695"/>
      <c r="G554" s="696"/>
      <c r="K554" s="22" t="str">
        <f t="shared" si="17"/>
        <v/>
      </c>
      <c r="M554" s="534" t="str">
        <f t="shared" si="16"/>
        <v/>
      </c>
    </row>
    <row r="555" spans="2:13" ht="15.75" x14ac:dyDescent="0.25">
      <c r="B555" s="692"/>
      <c r="C555" s="117" t="str">
        <f>IF(ISNUMBER(B555),IFERROR(VLOOKUP(B555,'נתוני רישום ומצבת'!B:J,3,0),""),"")</f>
        <v/>
      </c>
      <c r="D555" s="693"/>
      <c r="E555" s="697"/>
      <c r="F555" s="695"/>
      <c r="G555" s="696"/>
      <c r="K555" s="22" t="str">
        <f t="shared" si="17"/>
        <v/>
      </c>
      <c r="M555" s="534" t="str">
        <f t="shared" si="16"/>
        <v/>
      </c>
    </row>
    <row r="556" spans="2:13" ht="15.75" x14ac:dyDescent="0.25">
      <c r="B556" s="692"/>
      <c r="C556" s="117" t="str">
        <f>IF(ISNUMBER(B556),IFERROR(VLOOKUP(B556,'נתוני רישום ומצבת'!B:J,3,0),""),"")</f>
        <v/>
      </c>
      <c r="D556" s="693"/>
      <c r="E556" s="697"/>
      <c r="F556" s="695"/>
      <c r="G556" s="696"/>
      <c r="K556" s="22" t="str">
        <f t="shared" si="17"/>
        <v/>
      </c>
      <c r="M556" s="534" t="str">
        <f t="shared" si="16"/>
        <v/>
      </c>
    </row>
    <row r="557" spans="2:13" ht="15.75" x14ac:dyDescent="0.25">
      <c r="B557" s="692"/>
      <c r="C557" s="117" t="str">
        <f>IF(ISNUMBER(B557),IFERROR(VLOOKUP(B557,'נתוני רישום ומצבת'!B:J,3,0),""),"")</f>
        <v/>
      </c>
      <c r="D557" s="693"/>
      <c r="E557" s="697"/>
      <c r="F557" s="695"/>
      <c r="G557" s="696"/>
      <c r="K557" s="22" t="str">
        <f t="shared" si="17"/>
        <v/>
      </c>
      <c r="M557" s="534" t="str">
        <f t="shared" si="16"/>
        <v/>
      </c>
    </row>
    <row r="558" spans="2:13" ht="15.75" x14ac:dyDescent="0.25">
      <c r="B558" s="692"/>
      <c r="C558" s="117" t="str">
        <f>IF(ISNUMBER(B558),IFERROR(VLOOKUP(B558,'נתוני רישום ומצבת'!B:J,3,0),""),"")</f>
        <v/>
      </c>
      <c r="D558" s="693"/>
      <c r="E558" s="697"/>
      <c r="F558" s="695"/>
      <c r="G558" s="696"/>
      <c r="K558" s="22" t="str">
        <f t="shared" si="17"/>
        <v/>
      </c>
      <c r="M558" s="534" t="str">
        <f t="shared" si="16"/>
        <v/>
      </c>
    </row>
    <row r="559" spans="2:13" ht="15.75" x14ac:dyDescent="0.25">
      <c r="B559" s="692"/>
      <c r="C559" s="117" t="str">
        <f>IF(ISNUMBER(B559),IFERROR(VLOOKUP(B559,'נתוני רישום ומצבת'!B:J,3,0),""),"")</f>
        <v/>
      </c>
      <c r="D559" s="693"/>
      <c r="E559" s="697"/>
      <c r="F559" s="695"/>
      <c r="G559" s="696"/>
      <c r="K559" s="22" t="str">
        <f t="shared" si="17"/>
        <v/>
      </c>
      <c r="M559" s="534" t="str">
        <f t="shared" si="16"/>
        <v/>
      </c>
    </row>
    <row r="560" spans="2:13" ht="15.75" x14ac:dyDescent="0.25">
      <c r="B560" s="692"/>
      <c r="C560" s="117" t="str">
        <f>IF(ISNUMBER(B560),IFERROR(VLOOKUP(B560,'נתוני רישום ומצבת'!B:J,3,0),""),"")</f>
        <v/>
      </c>
      <c r="D560" s="693"/>
      <c r="E560" s="697"/>
      <c r="F560" s="695"/>
      <c r="G560" s="696"/>
      <c r="K560" s="22" t="str">
        <f t="shared" si="17"/>
        <v/>
      </c>
      <c r="M560" s="534" t="str">
        <f t="shared" si="16"/>
        <v/>
      </c>
    </row>
    <row r="561" spans="2:13" ht="15.75" x14ac:dyDescent="0.25">
      <c r="B561" s="692"/>
      <c r="C561" s="117" t="str">
        <f>IF(ISNUMBER(B561),IFERROR(VLOOKUP(B561,'נתוני רישום ומצבת'!B:J,3,0),""),"")</f>
        <v/>
      </c>
      <c r="D561" s="693"/>
      <c r="E561" s="697"/>
      <c r="F561" s="695"/>
      <c r="G561" s="696"/>
      <c r="K561" s="22" t="str">
        <f t="shared" si="17"/>
        <v/>
      </c>
      <c r="M561" s="534" t="str">
        <f t="shared" si="16"/>
        <v/>
      </c>
    </row>
    <row r="562" spans="2:13" ht="15.75" x14ac:dyDescent="0.25">
      <c r="B562" s="692"/>
      <c r="C562" s="117" t="str">
        <f>IF(ISNUMBER(B562),IFERROR(VLOOKUP(B562,'נתוני רישום ומצבת'!B:J,3,0),""),"")</f>
        <v/>
      </c>
      <c r="D562" s="693"/>
      <c r="E562" s="697"/>
      <c r="F562" s="695"/>
      <c r="G562" s="696"/>
      <c r="K562" s="22" t="str">
        <f t="shared" si="17"/>
        <v/>
      </c>
      <c r="M562" s="534" t="str">
        <f t="shared" si="16"/>
        <v/>
      </c>
    </row>
    <row r="563" spans="2:13" ht="15.75" x14ac:dyDescent="0.25">
      <c r="B563" s="692"/>
      <c r="C563" s="117" t="str">
        <f>IF(ISNUMBER(B563),IFERROR(VLOOKUP(B563,'נתוני רישום ומצבת'!B:J,3,0),""),"")</f>
        <v/>
      </c>
      <c r="D563" s="693"/>
      <c r="E563" s="697"/>
      <c r="F563" s="695"/>
      <c r="G563" s="696"/>
      <c r="K563" s="22" t="str">
        <f t="shared" si="17"/>
        <v/>
      </c>
      <c r="M563" s="534" t="str">
        <f t="shared" si="16"/>
        <v/>
      </c>
    </row>
    <row r="564" spans="2:13" ht="15.75" x14ac:dyDescent="0.25">
      <c r="B564" s="692"/>
      <c r="C564" s="117" t="str">
        <f>IF(ISNUMBER(B564),IFERROR(VLOOKUP(B564,'נתוני רישום ומצבת'!B:J,3,0),""),"")</f>
        <v/>
      </c>
      <c r="D564" s="693"/>
      <c r="E564" s="697"/>
      <c r="F564" s="695"/>
      <c r="G564" s="696"/>
      <c r="K564" s="22" t="str">
        <f t="shared" si="17"/>
        <v/>
      </c>
      <c r="M564" s="534" t="str">
        <f t="shared" si="16"/>
        <v/>
      </c>
    </row>
    <row r="565" spans="2:13" ht="15.75" x14ac:dyDescent="0.25">
      <c r="B565" s="692"/>
      <c r="C565" s="117" t="str">
        <f>IF(ISNUMBER(B565),IFERROR(VLOOKUP(B565,'נתוני רישום ומצבת'!B:J,3,0),""),"")</f>
        <v/>
      </c>
      <c r="D565" s="693"/>
      <c r="E565" s="697"/>
      <c r="F565" s="695"/>
      <c r="G565" s="696"/>
      <c r="K565" s="22" t="str">
        <f t="shared" si="17"/>
        <v/>
      </c>
      <c r="M565" s="534" t="str">
        <f t="shared" si="16"/>
        <v/>
      </c>
    </row>
    <row r="566" spans="2:13" ht="15.75" x14ac:dyDescent="0.25">
      <c r="B566" s="692"/>
      <c r="C566" s="117" t="str">
        <f>IF(ISNUMBER(B566),IFERROR(VLOOKUP(B566,'נתוני רישום ומצבת'!B:J,3,0),""),"")</f>
        <v/>
      </c>
      <c r="D566" s="693"/>
      <c r="E566" s="697"/>
      <c r="F566" s="695"/>
      <c r="G566" s="696"/>
      <c r="K566" s="22" t="str">
        <f t="shared" si="17"/>
        <v/>
      </c>
      <c r="M566" s="534" t="str">
        <f t="shared" si="16"/>
        <v/>
      </c>
    </row>
    <row r="567" spans="2:13" ht="15.75" x14ac:dyDescent="0.25">
      <c r="B567" s="692"/>
      <c r="C567" s="117" t="str">
        <f>IF(ISNUMBER(B567),IFERROR(VLOOKUP(B567,'נתוני רישום ומצבת'!B:J,3,0),""),"")</f>
        <v/>
      </c>
      <c r="D567" s="693"/>
      <c r="E567" s="697"/>
      <c r="F567" s="695"/>
      <c r="G567" s="696"/>
      <c r="K567" s="22" t="str">
        <f t="shared" si="17"/>
        <v/>
      </c>
      <c r="M567" s="534" t="str">
        <f t="shared" si="16"/>
        <v/>
      </c>
    </row>
    <row r="568" spans="2:13" ht="15.75" x14ac:dyDescent="0.25">
      <c r="B568" s="692"/>
      <c r="C568" s="117" t="str">
        <f>IF(ISNUMBER(B568),IFERROR(VLOOKUP(B568,'נתוני רישום ומצבת'!B:J,3,0),""),"")</f>
        <v/>
      </c>
      <c r="D568" s="693"/>
      <c r="E568" s="697"/>
      <c r="F568" s="695"/>
      <c r="G568" s="696"/>
      <c r="K568" s="22" t="str">
        <f t="shared" si="17"/>
        <v/>
      </c>
      <c r="M568" s="534" t="str">
        <f t="shared" si="16"/>
        <v/>
      </c>
    </row>
    <row r="569" spans="2:13" ht="15.75" x14ac:dyDescent="0.25">
      <c r="B569" s="692"/>
      <c r="C569" s="117" t="str">
        <f>IF(ISNUMBER(B569),IFERROR(VLOOKUP(B569,'נתוני רישום ומצבת'!B:J,3,0),""),"")</f>
        <v/>
      </c>
      <c r="D569" s="693"/>
      <c r="E569" s="697"/>
      <c r="F569" s="695"/>
      <c r="G569" s="696"/>
      <c r="K569" s="22" t="str">
        <f t="shared" si="17"/>
        <v/>
      </c>
      <c r="M569" s="534" t="str">
        <f t="shared" si="16"/>
        <v/>
      </c>
    </row>
    <row r="570" spans="2:13" ht="15.75" x14ac:dyDescent="0.25">
      <c r="B570" s="692"/>
      <c r="C570" s="117" t="str">
        <f>IF(ISNUMBER(B570),IFERROR(VLOOKUP(B570,'נתוני רישום ומצבת'!B:J,3,0),""),"")</f>
        <v/>
      </c>
      <c r="D570" s="693"/>
      <c r="E570" s="697"/>
      <c r="F570" s="695"/>
      <c r="G570" s="696"/>
      <c r="K570" s="22" t="str">
        <f t="shared" si="17"/>
        <v/>
      </c>
      <c r="M570" s="534" t="str">
        <f t="shared" si="16"/>
        <v/>
      </c>
    </row>
    <row r="571" spans="2:13" ht="15.75" x14ac:dyDescent="0.25">
      <c r="B571" s="692"/>
      <c r="C571" s="117" t="str">
        <f>IF(ISNUMBER(B571),IFERROR(VLOOKUP(B571,'נתוני רישום ומצבת'!B:J,3,0),""),"")</f>
        <v/>
      </c>
      <c r="D571" s="693"/>
      <c r="E571" s="697"/>
      <c r="F571" s="695"/>
      <c r="G571" s="696"/>
      <c r="K571" s="22" t="str">
        <f t="shared" si="17"/>
        <v/>
      </c>
      <c r="M571" s="534" t="str">
        <f t="shared" si="16"/>
        <v/>
      </c>
    </row>
    <row r="572" spans="2:13" ht="15.75" x14ac:dyDescent="0.25">
      <c r="B572" s="692"/>
      <c r="C572" s="117" t="str">
        <f>IF(ISNUMBER(B572),IFERROR(VLOOKUP(B572,'נתוני רישום ומצבת'!B:J,3,0),""),"")</f>
        <v/>
      </c>
      <c r="D572" s="693"/>
      <c r="E572" s="697"/>
      <c r="F572" s="695"/>
      <c r="G572" s="696"/>
      <c r="K572" s="22" t="str">
        <f t="shared" si="17"/>
        <v/>
      </c>
      <c r="M572" s="534" t="str">
        <f t="shared" si="16"/>
        <v/>
      </c>
    </row>
    <row r="573" spans="2:13" ht="15.75" x14ac:dyDescent="0.25">
      <c r="B573" s="692"/>
      <c r="C573" s="117" t="str">
        <f>IF(ISNUMBER(B573),IFERROR(VLOOKUP(B573,'נתוני רישום ומצבת'!B:J,3,0),""),"")</f>
        <v/>
      </c>
      <c r="D573" s="693"/>
      <c r="E573" s="697"/>
      <c r="F573" s="695"/>
      <c r="G573" s="696"/>
      <c r="K573" s="22" t="str">
        <f t="shared" si="17"/>
        <v/>
      </c>
      <c r="M573" s="534" t="str">
        <f t="shared" si="16"/>
        <v/>
      </c>
    </row>
    <row r="574" spans="2:13" ht="15.75" x14ac:dyDescent="0.25">
      <c r="B574" s="692"/>
      <c r="C574" s="117" t="str">
        <f>IF(ISNUMBER(B574),IFERROR(VLOOKUP(B574,'נתוני רישום ומצבת'!B:J,3,0),""),"")</f>
        <v/>
      </c>
      <c r="D574" s="693"/>
      <c r="E574" s="697"/>
      <c r="F574" s="695"/>
      <c r="G574" s="696"/>
      <c r="K574" s="22" t="str">
        <f t="shared" si="17"/>
        <v/>
      </c>
      <c r="M574" s="534" t="str">
        <f t="shared" si="16"/>
        <v/>
      </c>
    </row>
    <row r="575" spans="2:13" ht="15.75" x14ac:dyDescent="0.25">
      <c r="B575" s="692"/>
      <c r="C575" s="117" t="str">
        <f>IF(ISNUMBER(B575),IFERROR(VLOOKUP(B575,'נתוני רישום ומצבת'!B:J,3,0),""),"")</f>
        <v/>
      </c>
      <c r="D575" s="693"/>
      <c r="E575" s="697"/>
      <c r="F575" s="695"/>
      <c r="G575" s="696"/>
      <c r="K575" s="22" t="str">
        <f t="shared" si="17"/>
        <v/>
      </c>
      <c r="M575" s="534" t="str">
        <f t="shared" si="16"/>
        <v/>
      </c>
    </row>
    <row r="576" spans="2:13" ht="15.75" x14ac:dyDescent="0.25">
      <c r="B576" s="692"/>
      <c r="C576" s="117" t="str">
        <f>IF(ISNUMBER(B576),IFERROR(VLOOKUP(B576,'נתוני רישום ומצבת'!B:J,3,0),""),"")</f>
        <v/>
      </c>
      <c r="D576" s="693"/>
      <c r="E576" s="697"/>
      <c r="F576" s="695"/>
      <c r="G576" s="696"/>
      <c r="K576" s="22" t="str">
        <f t="shared" si="17"/>
        <v/>
      </c>
      <c r="M576" s="534" t="str">
        <f t="shared" si="16"/>
        <v/>
      </c>
    </row>
    <row r="577" spans="2:13" ht="15.75" x14ac:dyDescent="0.25">
      <c r="B577" s="692"/>
      <c r="C577" s="117" t="str">
        <f>IF(ISNUMBER(B577),IFERROR(VLOOKUP(B577,'נתוני רישום ומצבת'!B:J,3,0),""),"")</f>
        <v/>
      </c>
      <c r="D577" s="693"/>
      <c r="E577" s="697"/>
      <c r="F577" s="695"/>
      <c r="G577" s="696"/>
      <c r="K577" s="22" t="str">
        <f t="shared" si="17"/>
        <v/>
      </c>
      <c r="M577" s="534" t="str">
        <f t="shared" si="16"/>
        <v/>
      </c>
    </row>
    <row r="578" spans="2:13" ht="15.75" x14ac:dyDescent="0.25">
      <c r="B578" s="692"/>
      <c r="C578" s="117" t="str">
        <f>IF(ISNUMBER(B578),IFERROR(VLOOKUP(B578,'נתוני רישום ומצבת'!B:J,3,0),""),"")</f>
        <v/>
      </c>
      <c r="D578" s="693"/>
      <c r="E578" s="697"/>
      <c r="F578" s="695"/>
      <c r="G578" s="696"/>
      <c r="K578" s="22" t="str">
        <f t="shared" si="17"/>
        <v/>
      </c>
      <c r="M578" s="534" t="str">
        <f t="shared" si="16"/>
        <v/>
      </c>
    </row>
    <row r="579" spans="2:13" ht="15.75" x14ac:dyDescent="0.25">
      <c r="B579" s="692"/>
      <c r="C579" s="117" t="str">
        <f>IF(ISNUMBER(B579),IFERROR(VLOOKUP(B579,'נתוני רישום ומצבת'!B:J,3,0),""),"")</f>
        <v/>
      </c>
      <c r="D579" s="693"/>
      <c r="E579" s="697"/>
      <c r="F579" s="695"/>
      <c r="G579" s="696"/>
      <c r="K579" s="22" t="str">
        <f t="shared" si="17"/>
        <v/>
      </c>
      <c r="M579" s="534" t="str">
        <f t="shared" si="16"/>
        <v/>
      </c>
    </row>
    <row r="580" spans="2:13" ht="15.75" x14ac:dyDescent="0.25">
      <c r="B580" s="692"/>
      <c r="C580" s="117" t="str">
        <f>IF(ISNUMBER(B580),IFERROR(VLOOKUP(B580,'נתוני רישום ומצבת'!B:J,3,0),""),"")</f>
        <v/>
      </c>
      <c r="D580" s="693"/>
      <c r="E580" s="697"/>
      <c r="F580" s="695"/>
      <c r="G580" s="696"/>
      <c r="K580" s="22" t="str">
        <f t="shared" si="17"/>
        <v/>
      </c>
      <c r="M580" s="534" t="str">
        <f t="shared" si="16"/>
        <v/>
      </c>
    </row>
    <row r="581" spans="2:13" ht="15.75" x14ac:dyDescent="0.25">
      <c r="B581" s="692"/>
      <c r="C581" s="117" t="str">
        <f>IF(ISNUMBER(B581),IFERROR(VLOOKUP(B581,'נתוני רישום ומצבת'!B:J,3,0),""),"")</f>
        <v/>
      </c>
      <c r="D581" s="693"/>
      <c r="E581" s="697"/>
      <c r="F581" s="695"/>
      <c r="G581" s="696"/>
      <c r="K581" s="22" t="str">
        <f t="shared" si="17"/>
        <v/>
      </c>
      <c r="M581" s="534" t="str">
        <f t="shared" si="16"/>
        <v/>
      </c>
    </row>
    <row r="582" spans="2:13" ht="15.75" x14ac:dyDescent="0.25">
      <c r="B582" s="692"/>
      <c r="C582" s="117" t="str">
        <f>IF(ISNUMBER(B582),IFERROR(VLOOKUP(B582,'נתוני רישום ומצבת'!B:J,3,0),""),"")</f>
        <v/>
      </c>
      <c r="D582" s="693"/>
      <c r="E582" s="697"/>
      <c r="F582" s="695"/>
      <c r="G582" s="696"/>
      <c r="K582" s="22" t="str">
        <f t="shared" si="17"/>
        <v/>
      </c>
      <c r="M582" s="534" t="str">
        <f t="shared" si="16"/>
        <v/>
      </c>
    </row>
    <row r="583" spans="2:13" ht="15.75" x14ac:dyDescent="0.25">
      <c r="B583" s="692"/>
      <c r="C583" s="117" t="str">
        <f>IF(ISNUMBER(B583),IFERROR(VLOOKUP(B583,'נתוני רישום ומצבת'!B:J,3,0),""),"")</f>
        <v/>
      </c>
      <c r="D583" s="693"/>
      <c r="E583" s="697"/>
      <c r="F583" s="695"/>
      <c r="G583" s="696"/>
      <c r="K583" s="22" t="str">
        <f t="shared" si="17"/>
        <v/>
      </c>
      <c r="M583" s="534" t="str">
        <f t="shared" si="16"/>
        <v/>
      </c>
    </row>
    <row r="584" spans="2:13" ht="15.75" x14ac:dyDescent="0.25">
      <c r="B584" s="692"/>
      <c r="C584" s="117" t="str">
        <f>IF(ISNUMBER(B584),IFERROR(VLOOKUP(B584,'נתוני רישום ומצבת'!B:J,3,0),""),"")</f>
        <v/>
      </c>
      <c r="D584" s="693"/>
      <c r="E584" s="697"/>
      <c r="F584" s="695"/>
      <c r="G584" s="696"/>
      <c r="K584" s="22" t="str">
        <f t="shared" si="17"/>
        <v/>
      </c>
      <c r="M584" s="534" t="str">
        <f t="shared" si="16"/>
        <v/>
      </c>
    </row>
    <row r="585" spans="2:13" ht="15.75" x14ac:dyDescent="0.25">
      <c r="B585" s="692"/>
      <c r="C585" s="117" t="str">
        <f>IF(ISNUMBER(B585),IFERROR(VLOOKUP(B585,'נתוני רישום ומצבת'!B:J,3,0),""),"")</f>
        <v/>
      </c>
      <c r="D585" s="693"/>
      <c r="E585" s="697"/>
      <c r="F585" s="695"/>
      <c r="G585" s="696"/>
      <c r="K585" s="22" t="str">
        <f t="shared" si="17"/>
        <v/>
      </c>
      <c r="M585" s="534" t="str">
        <f t="shared" si="16"/>
        <v/>
      </c>
    </row>
    <row r="586" spans="2:13" ht="15.75" x14ac:dyDescent="0.25">
      <c r="B586" s="692"/>
      <c r="C586" s="117" t="str">
        <f>IF(ISNUMBER(B586),IFERROR(VLOOKUP(B586,'נתוני רישום ומצבת'!B:J,3,0),""),"")</f>
        <v/>
      </c>
      <c r="D586" s="693"/>
      <c r="E586" s="697"/>
      <c r="F586" s="695"/>
      <c r="G586" s="696"/>
      <c r="K586" s="22" t="str">
        <f t="shared" si="17"/>
        <v/>
      </c>
      <c r="M586" s="534" t="str">
        <f t="shared" si="16"/>
        <v/>
      </c>
    </row>
    <row r="587" spans="2:13" ht="15.75" x14ac:dyDescent="0.25">
      <c r="B587" s="692"/>
      <c r="C587" s="117" t="str">
        <f>IF(ISNUMBER(B587),IFERROR(VLOOKUP(B587,'נתוני רישום ומצבת'!B:J,3,0),""),"")</f>
        <v/>
      </c>
      <c r="D587" s="693"/>
      <c r="E587" s="697"/>
      <c r="F587" s="695"/>
      <c r="G587" s="696"/>
      <c r="K587" s="22" t="str">
        <f t="shared" si="17"/>
        <v/>
      </c>
      <c r="M587" s="534" t="str">
        <f t="shared" si="16"/>
        <v/>
      </c>
    </row>
    <row r="588" spans="2:13" ht="15.75" x14ac:dyDescent="0.25">
      <c r="B588" s="692"/>
      <c r="C588" s="117" t="str">
        <f>IF(ISNUMBER(B588),IFERROR(VLOOKUP(B588,'נתוני רישום ומצבת'!B:J,3,0),""),"")</f>
        <v/>
      </c>
      <c r="D588" s="693"/>
      <c r="E588" s="697"/>
      <c r="F588" s="695"/>
      <c r="G588" s="696"/>
      <c r="K588" s="22" t="str">
        <f t="shared" si="17"/>
        <v/>
      </c>
      <c r="M588" s="534" t="str">
        <f t="shared" si="16"/>
        <v/>
      </c>
    </row>
    <row r="589" spans="2:13" ht="15.75" x14ac:dyDescent="0.25">
      <c r="B589" s="692"/>
      <c r="C589" s="117" t="str">
        <f>IF(ISNUMBER(B589),IFERROR(VLOOKUP(B589,'נתוני רישום ומצבת'!B:J,3,0),""),"")</f>
        <v/>
      </c>
      <c r="D589" s="693"/>
      <c r="E589" s="697"/>
      <c r="F589" s="695"/>
      <c r="G589" s="696"/>
      <c r="K589" s="22" t="str">
        <f t="shared" si="17"/>
        <v/>
      </c>
      <c r="M589" s="534" t="str">
        <f t="shared" si="16"/>
        <v/>
      </c>
    </row>
    <row r="590" spans="2:13" ht="15.75" x14ac:dyDescent="0.25">
      <c r="B590" s="692"/>
      <c r="C590" s="117" t="str">
        <f>IF(ISNUMBER(B590),IFERROR(VLOOKUP(B590,'נתוני רישום ומצבת'!B:J,3,0),""),"")</f>
        <v/>
      </c>
      <c r="D590" s="693"/>
      <c r="E590" s="697"/>
      <c r="F590" s="695"/>
      <c r="G590" s="696"/>
      <c r="K590" s="22" t="str">
        <f t="shared" si="17"/>
        <v/>
      </c>
      <c r="M590" s="534" t="str">
        <f t="shared" si="16"/>
        <v/>
      </c>
    </row>
    <row r="591" spans="2:13" ht="15.75" x14ac:dyDescent="0.25">
      <c r="B591" s="692"/>
      <c r="C591" s="117" t="str">
        <f>IF(ISNUMBER(B591),IFERROR(VLOOKUP(B591,'נתוני רישום ומצבת'!B:J,3,0),""),"")</f>
        <v/>
      </c>
      <c r="D591" s="693"/>
      <c r="E591" s="697"/>
      <c r="F591" s="695"/>
      <c r="G591" s="696"/>
      <c r="K591" s="22" t="str">
        <f t="shared" si="17"/>
        <v/>
      </c>
      <c r="M591" s="534" t="str">
        <f t="shared" si="16"/>
        <v/>
      </c>
    </row>
    <row r="592" spans="2:13" ht="15.75" x14ac:dyDescent="0.25">
      <c r="B592" s="692"/>
      <c r="C592" s="117" t="str">
        <f>IF(ISNUMBER(B592),IFERROR(VLOOKUP(B592,'נתוני רישום ומצבת'!B:J,3,0),""),"")</f>
        <v/>
      </c>
      <c r="D592" s="693"/>
      <c r="E592" s="697"/>
      <c r="F592" s="695"/>
      <c r="G592" s="696"/>
      <c r="K592" s="22" t="str">
        <f t="shared" si="17"/>
        <v/>
      </c>
      <c r="M592" s="534" t="str">
        <f t="shared" si="16"/>
        <v/>
      </c>
    </row>
    <row r="593" spans="2:13" ht="15.75" x14ac:dyDescent="0.25">
      <c r="B593" s="692"/>
      <c r="C593" s="117" t="str">
        <f>IF(ISNUMBER(B593),IFERROR(VLOOKUP(B593,'נתוני רישום ומצבת'!B:J,3,0),""),"")</f>
        <v/>
      </c>
      <c r="D593" s="693"/>
      <c r="E593" s="697"/>
      <c r="F593" s="695"/>
      <c r="G593" s="696"/>
      <c r="K593" s="22" t="str">
        <f t="shared" si="17"/>
        <v/>
      </c>
      <c r="M593" s="534" t="str">
        <f t="shared" ref="M593:M656" si="18">TEXT(LEFT(D593,2),0)</f>
        <v/>
      </c>
    </row>
    <row r="594" spans="2:13" ht="15.75" x14ac:dyDescent="0.25">
      <c r="B594" s="692"/>
      <c r="C594" s="117" t="str">
        <f>IF(ISNUMBER(B594),IFERROR(VLOOKUP(B594,'נתוני רישום ומצבת'!B:J,3,0),""),"")</f>
        <v/>
      </c>
      <c r="D594" s="693"/>
      <c r="E594" s="697"/>
      <c r="F594" s="695"/>
      <c r="G594" s="696"/>
      <c r="K594" s="22" t="str">
        <f t="shared" si="17"/>
        <v/>
      </c>
      <c r="M594" s="534" t="str">
        <f t="shared" si="18"/>
        <v/>
      </c>
    </row>
    <row r="595" spans="2:13" ht="15.75" x14ac:dyDescent="0.25">
      <c r="B595" s="692"/>
      <c r="C595" s="117" t="str">
        <f>IF(ISNUMBER(B595),IFERROR(VLOOKUP(B595,'נתוני רישום ומצבת'!B:J,3,0),""),"")</f>
        <v/>
      </c>
      <c r="D595" s="693"/>
      <c r="E595" s="697"/>
      <c r="F595" s="695"/>
      <c r="G595" s="696"/>
      <c r="K595" s="22" t="str">
        <f t="shared" si="17"/>
        <v/>
      </c>
      <c r="M595" s="534" t="str">
        <f t="shared" si="18"/>
        <v/>
      </c>
    </row>
    <row r="596" spans="2:13" ht="15.75" x14ac:dyDescent="0.25">
      <c r="B596" s="692"/>
      <c r="C596" s="117" t="str">
        <f>IF(ISNUMBER(B596),IFERROR(VLOOKUP(B596,'נתוני רישום ומצבת'!B:J,3,0),""),"")</f>
        <v/>
      </c>
      <c r="D596" s="693"/>
      <c r="E596" s="697"/>
      <c r="F596" s="695"/>
      <c r="G596" s="696"/>
      <c r="K596" s="22" t="str">
        <f t="shared" si="17"/>
        <v/>
      </c>
      <c r="M596" s="534" t="str">
        <f t="shared" si="18"/>
        <v/>
      </c>
    </row>
    <row r="597" spans="2:13" ht="15.75" x14ac:dyDescent="0.25">
      <c r="B597" s="692"/>
      <c r="C597" s="117" t="str">
        <f>IF(ISNUMBER(B597),IFERROR(VLOOKUP(B597,'נתוני רישום ומצבת'!B:J,3,0),""),"")</f>
        <v/>
      </c>
      <c r="D597" s="693"/>
      <c r="E597" s="697"/>
      <c r="F597" s="695"/>
      <c r="G597" s="696"/>
      <c r="K597" s="22" t="str">
        <f t="shared" ref="K597:K660" si="19">IF(C584&lt;5,IF(D597=$F$8,-E597," "),"")</f>
        <v/>
      </c>
      <c r="M597" s="534" t="str">
        <f t="shared" si="18"/>
        <v/>
      </c>
    </row>
    <row r="598" spans="2:13" ht="15.75" x14ac:dyDescent="0.25">
      <c r="B598" s="692"/>
      <c r="C598" s="117" t="str">
        <f>IF(ISNUMBER(B598),IFERROR(VLOOKUP(B598,'נתוני רישום ומצבת'!B:J,3,0),""),"")</f>
        <v/>
      </c>
      <c r="D598" s="693"/>
      <c r="E598" s="697"/>
      <c r="F598" s="695"/>
      <c r="G598" s="696"/>
      <c r="K598" s="22" t="str">
        <f t="shared" si="19"/>
        <v/>
      </c>
      <c r="M598" s="534" t="str">
        <f t="shared" si="18"/>
        <v/>
      </c>
    </row>
    <row r="599" spans="2:13" ht="15.75" x14ac:dyDescent="0.25">
      <c r="B599" s="692"/>
      <c r="C599" s="117" t="str">
        <f>IF(ISNUMBER(B599),IFERROR(VLOOKUP(B599,'נתוני רישום ומצבת'!B:J,3,0),""),"")</f>
        <v/>
      </c>
      <c r="D599" s="693"/>
      <c r="E599" s="697"/>
      <c r="F599" s="695"/>
      <c r="G599" s="696"/>
      <c r="K599" s="22" t="str">
        <f t="shared" si="19"/>
        <v/>
      </c>
      <c r="M599" s="534" t="str">
        <f t="shared" si="18"/>
        <v/>
      </c>
    </row>
    <row r="600" spans="2:13" ht="15.75" x14ac:dyDescent="0.25">
      <c r="B600" s="692"/>
      <c r="C600" s="117" t="str">
        <f>IF(ISNUMBER(B600),IFERROR(VLOOKUP(B600,'נתוני רישום ומצבת'!B:J,3,0),""),"")</f>
        <v/>
      </c>
      <c r="D600" s="693"/>
      <c r="E600" s="697"/>
      <c r="F600" s="695"/>
      <c r="G600" s="696"/>
      <c r="K600" s="22" t="str">
        <f t="shared" si="19"/>
        <v/>
      </c>
      <c r="M600" s="534" t="str">
        <f t="shared" si="18"/>
        <v/>
      </c>
    </row>
    <row r="601" spans="2:13" ht="15.75" x14ac:dyDescent="0.25">
      <c r="B601" s="692"/>
      <c r="C601" s="117" t="str">
        <f>IF(ISNUMBER(B601),IFERROR(VLOOKUP(B601,'נתוני רישום ומצבת'!B:J,3,0),""),"")</f>
        <v/>
      </c>
      <c r="D601" s="693"/>
      <c r="E601" s="697"/>
      <c r="F601" s="695"/>
      <c r="G601" s="696"/>
      <c r="K601" s="22" t="str">
        <f t="shared" si="19"/>
        <v/>
      </c>
      <c r="M601" s="534" t="str">
        <f t="shared" si="18"/>
        <v/>
      </c>
    </row>
    <row r="602" spans="2:13" ht="15.75" x14ac:dyDescent="0.25">
      <c r="B602" s="692"/>
      <c r="C602" s="117" t="str">
        <f>IF(ISNUMBER(B602),IFERROR(VLOOKUP(B602,'נתוני רישום ומצבת'!B:J,3,0),""),"")</f>
        <v/>
      </c>
      <c r="D602" s="693"/>
      <c r="E602" s="697"/>
      <c r="F602" s="695"/>
      <c r="G602" s="696"/>
      <c r="K602" s="22" t="str">
        <f t="shared" si="19"/>
        <v/>
      </c>
      <c r="M602" s="534" t="str">
        <f t="shared" si="18"/>
        <v/>
      </c>
    </row>
    <row r="603" spans="2:13" ht="15.75" x14ac:dyDescent="0.25">
      <c r="B603" s="692"/>
      <c r="C603" s="117" t="str">
        <f>IF(ISNUMBER(B603),IFERROR(VLOOKUP(B603,'נתוני רישום ומצבת'!B:J,3,0),""),"")</f>
        <v/>
      </c>
      <c r="D603" s="693"/>
      <c r="E603" s="697"/>
      <c r="F603" s="695"/>
      <c r="G603" s="696"/>
      <c r="K603" s="22" t="str">
        <f t="shared" si="19"/>
        <v/>
      </c>
      <c r="M603" s="534" t="str">
        <f t="shared" si="18"/>
        <v/>
      </c>
    </row>
    <row r="604" spans="2:13" ht="15.75" x14ac:dyDescent="0.25">
      <c r="B604" s="692"/>
      <c r="C604" s="117" t="str">
        <f>IF(ISNUMBER(B604),IFERROR(VLOOKUP(B604,'נתוני רישום ומצבת'!B:J,3,0),""),"")</f>
        <v/>
      </c>
      <c r="D604" s="693"/>
      <c r="E604" s="697"/>
      <c r="F604" s="695"/>
      <c r="G604" s="696"/>
      <c r="K604" s="22" t="str">
        <f t="shared" si="19"/>
        <v/>
      </c>
      <c r="M604" s="534" t="str">
        <f t="shared" si="18"/>
        <v/>
      </c>
    </row>
    <row r="605" spans="2:13" ht="15.75" x14ac:dyDescent="0.25">
      <c r="B605" s="692"/>
      <c r="C605" s="117" t="str">
        <f>IF(ISNUMBER(B605),IFERROR(VLOOKUP(B605,'נתוני רישום ומצבת'!B:J,3,0),""),"")</f>
        <v/>
      </c>
      <c r="D605" s="693"/>
      <c r="E605" s="697"/>
      <c r="F605" s="695"/>
      <c r="G605" s="696"/>
      <c r="K605" s="22" t="str">
        <f t="shared" si="19"/>
        <v/>
      </c>
      <c r="M605" s="534" t="str">
        <f t="shared" si="18"/>
        <v/>
      </c>
    </row>
    <row r="606" spans="2:13" ht="15.75" x14ac:dyDescent="0.25">
      <c r="B606" s="692"/>
      <c r="C606" s="117" t="str">
        <f>IF(ISNUMBER(B606),IFERROR(VLOOKUP(B606,'נתוני רישום ומצבת'!B:J,3,0),""),"")</f>
        <v/>
      </c>
      <c r="D606" s="693"/>
      <c r="E606" s="697"/>
      <c r="F606" s="695"/>
      <c r="G606" s="696"/>
      <c r="K606" s="22" t="str">
        <f t="shared" si="19"/>
        <v/>
      </c>
      <c r="M606" s="534" t="str">
        <f t="shared" si="18"/>
        <v/>
      </c>
    </row>
    <row r="607" spans="2:13" ht="15.75" x14ac:dyDescent="0.25">
      <c r="B607" s="692"/>
      <c r="C607" s="117" t="str">
        <f>IF(ISNUMBER(B607),IFERROR(VLOOKUP(B607,'נתוני רישום ומצבת'!B:J,3,0),""),"")</f>
        <v/>
      </c>
      <c r="D607" s="693"/>
      <c r="E607" s="697"/>
      <c r="F607" s="695"/>
      <c r="G607" s="696"/>
      <c r="K607" s="22" t="str">
        <f t="shared" si="19"/>
        <v/>
      </c>
      <c r="M607" s="534" t="str">
        <f t="shared" si="18"/>
        <v/>
      </c>
    </row>
    <row r="608" spans="2:13" ht="15.75" x14ac:dyDescent="0.25">
      <c r="B608" s="692"/>
      <c r="C608" s="117" t="str">
        <f>IF(ISNUMBER(B608),IFERROR(VLOOKUP(B608,'נתוני רישום ומצבת'!B:J,3,0),""),"")</f>
        <v/>
      </c>
      <c r="D608" s="693"/>
      <c r="E608" s="697"/>
      <c r="F608" s="695"/>
      <c r="G608" s="696"/>
      <c r="K608" s="22" t="str">
        <f t="shared" si="19"/>
        <v/>
      </c>
      <c r="M608" s="534" t="str">
        <f t="shared" si="18"/>
        <v/>
      </c>
    </row>
    <row r="609" spans="2:13" ht="15.75" x14ac:dyDescent="0.25">
      <c r="B609" s="692"/>
      <c r="C609" s="117" t="str">
        <f>IF(ISNUMBER(B609),IFERROR(VLOOKUP(B609,'נתוני רישום ומצבת'!B:J,3,0),""),"")</f>
        <v/>
      </c>
      <c r="D609" s="693"/>
      <c r="E609" s="697"/>
      <c r="F609" s="695"/>
      <c r="G609" s="696"/>
      <c r="K609" s="22" t="str">
        <f t="shared" si="19"/>
        <v/>
      </c>
      <c r="M609" s="534" t="str">
        <f t="shared" si="18"/>
        <v/>
      </c>
    </row>
    <row r="610" spans="2:13" ht="15.75" x14ac:dyDescent="0.25">
      <c r="B610" s="692"/>
      <c r="C610" s="117" t="str">
        <f>IF(ISNUMBER(B610),IFERROR(VLOOKUP(B610,'נתוני רישום ומצבת'!B:J,3,0),""),"")</f>
        <v/>
      </c>
      <c r="D610" s="693"/>
      <c r="E610" s="697"/>
      <c r="F610" s="695"/>
      <c r="G610" s="696"/>
      <c r="K610" s="22" t="str">
        <f t="shared" si="19"/>
        <v/>
      </c>
      <c r="M610" s="534" t="str">
        <f t="shared" si="18"/>
        <v/>
      </c>
    </row>
    <row r="611" spans="2:13" ht="15.75" x14ac:dyDescent="0.25">
      <c r="B611" s="692"/>
      <c r="C611" s="117" t="str">
        <f>IF(ISNUMBER(B611),IFERROR(VLOOKUP(B611,'נתוני רישום ומצבת'!B:J,3,0),""),"")</f>
        <v/>
      </c>
      <c r="D611" s="693"/>
      <c r="E611" s="697"/>
      <c r="F611" s="695"/>
      <c r="G611" s="696"/>
      <c r="K611" s="22" t="str">
        <f t="shared" si="19"/>
        <v/>
      </c>
      <c r="M611" s="534" t="str">
        <f t="shared" si="18"/>
        <v/>
      </c>
    </row>
    <row r="612" spans="2:13" ht="15.75" x14ac:dyDescent="0.25">
      <c r="B612" s="692"/>
      <c r="C612" s="117" t="str">
        <f>IF(ISNUMBER(B612),IFERROR(VLOOKUP(B612,'נתוני רישום ומצבת'!B:J,3,0),""),"")</f>
        <v/>
      </c>
      <c r="D612" s="693"/>
      <c r="E612" s="697"/>
      <c r="F612" s="695"/>
      <c r="G612" s="696"/>
      <c r="K612" s="22" t="str">
        <f t="shared" si="19"/>
        <v/>
      </c>
      <c r="M612" s="534" t="str">
        <f t="shared" si="18"/>
        <v/>
      </c>
    </row>
    <row r="613" spans="2:13" ht="15.75" x14ac:dyDescent="0.25">
      <c r="B613" s="692"/>
      <c r="C613" s="117" t="str">
        <f>IF(ISNUMBER(B613),IFERROR(VLOOKUP(B613,'נתוני רישום ומצבת'!B:J,3,0),""),"")</f>
        <v/>
      </c>
      <c r="D613" s="693"/>
      <c r="E613" s="697"/>
      <c r="F613" s="695"/>
      <c r="G613" s="696"/>
      <c r="K613" s="22" t="str">
        <f t="shared" si="19"/>
        <v/>
      </c>
      <c r="M613" s="534" t="str">
        <f t="shared" si="18"/>
        <v/>
      </c>
    </row>
    <row r="614" spans="2:13" ht="15.75" x14ac:dyDescent="0.25">
      <c r="B614" s="692"/>
      <c r="C614" s="117" t="str">
        <f>IF(ISNUMBER(B614),IFERROR(VLOOKUP(B614,'נתוני רישום ומצבת'!B:J,3,0),""),"")</f>
        <v/>
      </c>
      <c r="D614" s="693"/>
      <c r="E614" s="697"/>
      <c r="F614" s="695"/>
      <c r="G614" s="696"/>
      <c r="K614" s="22" t="str">
        <f t="shared" si="19"/>
        <v/>
      </c>
      <c r="M614" s="534" t="str">
        <f t="shared" si="18"/>
        <v/>
      </c>
    </row>
    <row r="615" spans="2:13" ht="15.75" x14ac:dyDescent="0.25">
      <c r="B615" s="692"/>
      <c r="C615" s="117" t="str">
        <f>IF(ISNUMBER(B615),IFERROR(VLOOKUP(B615,'נתוני רישום ומצבת'!B:J,3,0),""),"")</f>
        <v/>
      </c>
      <c r="D615" s="693"/>
      <c r="E615" s="697"/>
      <c r="F615" s="695"/>
      <c r="G615" s="696"/>
      <c r="K615" s="22" t="str">
        <f t="shared" si="19"/>
        <v/>
      </c>
      <c r="M615" s="534" t="str">
        <f t="shared" si="18"/>
        <v/>
      </c>
    </row>
    <row r="616" spans="2:13" ht="15.75" x14ac:dyDescent="0.25">
      <c r="B616" s="692"/>
      <c r="C616" s="117" t="str">
        <f>IF(ISNUMBER(B616),IFERROR(VLOOKUP(B616,'נתוני רישום ומצבת'!B:J,3,0),""),"")</f>
        <v/>
      </c>
      <c r="D616" s="693"/>
      <c r="E616" s="697"/>
      <c r="F616" s="695"/>
      <c r="G616" s="696"/>
      <c r="K616" s="22" t="str">
        <f t="shared" si="19"/>
        <v/>
      </c>
      <c r="M616" s="534" t="str">
        <f t="shared" si="18"/>
        <v/>
      </c>
    </row>
    <row r="617" spans="2:13" ht="15.75" x14ac:dyDescent="0.25">
      <c r="B617" s="692"/>
      <c r="C617" s="117" t="str">
        <f>IF(ISNUMBER(B617),IFERROR(VLOOKUP(B617,'נתוני רישום ומצבת'!B:J,3,0),""),"")</f>
        <v/>
      </c>
      <c r="D617" s="693"/>
      <c r="E617" s="697"/>
      <c r="F617" s="695"/>
      <c r="G617" s="696"/>
      <c r="K617" s="22" t="str">
        <f t="shared" si="19"/>
        <v/>
      </c>
      <c r="M617" s="534" t="str">
        <f t="shared" si="18"/>
        <v/>
      </c>
    </row>
    <row r="618" spans="2:13" ht="15.75" x14ac:dyDescent="0.25">
      <c r="B618" s="692"/>
      <c r="C618" s="117" t="str">
        <f>IF(ISNUMBER(B618),IFERROR(VLOOKUP(B618,'נתוני רישום ומצבת'!B:J,3,0),""),"")</f>
        <v/>
      </c>
      <c r="D618" s="693"/>
      <c r="E618" s="697"/>
      <c r="F618" s="695"/>
      <c r="G618" s="696"/>
      <c r="K618" s="22" t="str">
        <f t="shared" si="19"/>
        <v/>
      </c>
      <c r="M618" s="534" t="str">
        <f t="shared" si="18"/>
        <v/>
      </c>
    </row>
    <row r="619" spans="2:13" ht="15.75" x14ac:dyDescent="0.25">
      <c r="B619" s="692"/>
      <c r="C619" s="117" t="str">
        <f>IF(ISNUMBER(B619),IFERROR(VLOOKUP(B619,'נתוני רישום ומצבת'!B:J,3,0),""),"")</f>
        <v/>
      </c>
      <c r="D619" s="693"/>
      <c r="E619" s="697"/>
      <c r="F619" s="695"/>
      <c r="G619" s="696"/>
      <c r="K619" s="22" t="str">
        <f t="shared" si="19"/>
        <v/>
      </c>
      <c r="M619" s="534" t="str">
        <f t="shared" si="18"/>
        <v/>
      </c>
    </row>
    <row r="620" spans="2:13" ht="15.75" x14ac:dyDescent="0.25">
      <c r="B620" s="692"/>
      <c r="C620" s="117" t="str">
        <f>IF(ISNUMBER(B620),IFERROR(VLOOKUP(B620,'נתוני רישום ומצבת'!B:J,3,0),""),"")</f>
        <v/>
      </c>
      <c r="D620" s="693"/>
      <c r="E620" s="697"/>
      <c r="F620" s="695"/>
      <c r="G620" s="696"/>
      <c r="K620" s="22" t="str">
        <f t="shared" si="19"/>
        <v/>
      </c>
      <c r="M620" s="534" t="str">
        <f t="shared" si="18"/>
        <v/>
      </c>
    </row>
    <row r="621" spans="2:13" ht="15.75" x14ac:dyDescent="0.25">
      <c r="B621" s="692"/>
      <c r="C621" s="117" t="str">
        <f>IF(ISNUMBER(B621),IFERROR(VLOOKUP(B621,'נתוני רישום ומצבת'!B:J,3,0),""),"")</f>
        <v/>
      </c>
      <c r="D621" s="693"/>
      <c r="E621" s="697"/>
      <c r="F621" s="695"/>
      <c r="G621" s="696"/>
      <c r="K621" s="22" t="str">
        <f t="shared" si="19"/>
        <v/>
      </c>
      <c r="M621" s="534" t="str">
        <f t="shared" si="18"/>
        <v/>
      </c>
    </row>
    <row r="622" spans="2:13" ht="15.75" x14ac:dyDescent="0.25">
      <c r="B622" s="692"/>
      <c r="C622" s="117" t="str">
        <f>IF(ISNUMBER(B622),IFERROR(VLOOKUP(B622,'נתוני רישום ומצבת'!B:J,3,0),""),"")</f>
        <v/>
      </c>
      <c r="D622" s="693"/>
      <c r="E622" s="697"/>
      <c r="F622" s="695"/>
      <c r="G622" s="696"/>
      <c r="K622" s="22" t="str">
        <f t="shared" si="19"/>
        <v/>
      </c>
      <c r="M622" s="534" t="str">
        <f t="shared" si="18"/>
        <v/>
      </c>
    </row>
    <row r="623" spans="2:13" ht="15.75" x14ac:dyDescent="0.25">
      <c r="B623" s="692"/>
      <c r="C623" s="117" t="str">
        <f>IF(ISNUMBER(B623),IFERROR(VLOOKUP(B623,'נתוני רישום ומצבת'!B:J,3,0),""),"")</f>
        <v/>
      </c>
      <c r="D623" s="693"/>
      <c r="E623" s="697"/>
      <c r="F623" s="695"/>
      <c r="G623" s="696"/>
      <c r="K623" s="22" t="str">
        <f t="shared" si="19"/>
        <v/>
      </c>
      <c r="M623" s="534" t="str">
        <f t="shared" si="18"/>
        <v/>
      </c>
    </row>
    <row r="624" spans="2:13" ht="15.75" x14ac:dyDescent="0.25">
      <c r="B624" s="692"/>
      <c r="C624" s="117" t="str">
        <f>IF(ISNUMBER(B624),IFERROR(VLOOKUP(B624,'נתוני רישום ומצבת'!B:J,3,0),""),"")</f>
        <v/>
      </c>
      <c r="D624" s="693"/>
      <c r="E624" s="697"/>
      <c r="F624" s="695"/>
      <c r="G624" s="696"/>
      <c r="K624" s="22" t="str">
        <f t="shared" si="19"/>
        <v/>
      </c>
      <c r="M624" s="534" t="str">
        <f t="shared" si="18"/>
        <v/>
      </c>
    </row>
    <row r="625" spans="2:13" ht="15.75" x14ac:dyDescent="0.25">
      <c r="B625" s="692"/>
      <c r="C625" s="117" t="str">
        <f>IF(ISNUMBER(B625),IFERROR(VLOOKUP(B625,'נתוני רישום ומצבת'!B:J,3,0),""),"")</f>
        <v/>
      </c>
      <c r="D625" s="693"/>
      <c r="E625" s="697"/>
      <c r="F625" s="695"/>
      <c r="G625" s="696"/>
      <c r="K625" s="22" t="str">
        <f t="shared" si="19"/>
        <v/>
      </c>
      <c r="M625" s="534" t="str">
        <f t="shared" si="18"/>
        <v/>
      </c>
    </row>
    <row r="626" spans="2:13" ht="15.75" x14ac:dyDescent="0.25">
      <c r="B626" s="692"/>
      <c r="C626" s="117" t="str">
        <f>IF(ISNUMBER(B626),IFERROR(VLOOKUP(B626,'נתוני רישום ומצבת'!B:J,3,0),""),"")</f>
        <v/>
      </c>
      <c r="D626" s="693"/>
      <c r="E626" s="697"/>
      <c r="F626" s="695"/>
      <c r="G626" s="696"/>
      <c r="K626" s="22" t="str">
        <f t="shared" si="19"/>
        <v/>
      </c>
      <c r="M626" s="534" t="str">
        <f t="shared" si="18"/>
        <v/>
      </c>
    </row>
    <row r="627" spans="2:13" ht="15.75" x14ac:dyDescent="0.25">
      <c r="B627" s="692"/>
      <c r="C627" s="117" t="str">
        <f>IF(ISNUMBER(B627),IFERROR(VLOOKUP(B627,'נתוני רישום ומצבת'!B:J,3,0),""),"")</f>
        <v/>
      </c>
      <c r="D627" s="693"/>
      <c r="E627" s="697"/>
      <c r="F627" s="695"/>
      <c r="G627" s="696"/>
      <c r="K627" s="22" t="str">
        <f t="shared" si="19"/>
        <v/>
      </c>
      <c r="M627" s="534" t="str">
        <f t="shared" si="18"/>
        <v/>
      </c>
    </row>
    <row r="628" spans="2:13" ht="15.75" x14ac:dyDescent="0.25">
      <c r="B628" s="692"/>
      <c r="C628" s="117" t="str">
        <f>IF(ISNUMBER(B628),IFERROR(VLOOKUP(B628,'נתוני רישום ומצבת'!B:J,3,0),""),"")</f>
        <v/>
      </c>
      <c r="D628" s="693"/>
      <c r="E628" s="697"/>
      <c r="F628" s="695"/>
      <c r="G628" s="696"/>
      <c r="K628" s="22" t="str">
        <f t="shared" si="19"/>
        <v/>
      </c>
      <c r="M628" s="534" t="str">
        <f t="shared" si="18"/>
        <v/>
      </c>
    </row>
    <row r="629" spans="2:13" ht="15.75" x14ac:dyDescent="0.25">
      <c r="B629" s="692"/>
      <c r="C629" s="117" t="str">
        <f>IF(ISNUMBER(B629),IFERROR(VLOOKUP(B629,'נתוני רישום ומצבת'!B:J,3,0),""),"")</f>
        <v/>
      </c>
      <c r="D629" s="693"/>
      <c r="E629" s="697"/>
      <c r="F629" s="695"/>
      <c r="G629" s="696"/>
      <c r="K629" s="22" t="str">
        <f t="shared" si="19"/>
        <v/>
      </c>
      <c r="M629" s="534" t="str">
        <f t="shared" si="18"/>
        <v/>
      </c>
    </row>
    <row r="630" spans="2:13" ht="15.75" x14ac:dyDescent="0.25">
      <c r="B630" s="692"/>
      <c r="C630" s="117" t="str">
        <f>IF(ISNUMBER(B630),IFERROR(VLOOKUP(B630,'נתוני רישום ומצבת'!B:J,3,0),""),"")</f>
        <v/>
      </c>
      <c r="D630" s="693"/>
      <c r="E630" s="697"/>
      <c r="F630" s="695"/>
      <c r="G630" s="696"/>
      <c r="K630" s="22" t="str">
        <f t="shared" si="19"/>
        <v/>
      </c>
      <c r="M630" s="534" t="str">
        <f t="shared" si="18"/>
        <v/>
      </c>
    </row>
    <row r="631" spans="2:13" ht="15.75" x14ac:dyDescent="0.25">
      <c r="B631" s="692"/>
      <c r="C631" s="117" t="str">
        <f>IF(ISNUMBER(B631),IFERROR(VLOOKUP(B631,'נתוני רישום ומצבת'!B:J,3,0),""),"")</f>
        <v/>
      </c>
      <c r="D631" s="693"/>
      <c r="E631" s="697"/>
      <c r="F631" s="695"/>
      <c r="G631" s="696"/>
      <c r="K631" s="22" t="str">
        <f t="shared" si="19"/>
        <v/>
      </c>
      <c r="M631" s="534" t="str">
        <f t="shared" si="18"/>
        <v/>
      </c>
    </row>
    <row r="632" spans="2:13" ht="15.75" x14ac:dyDescent="0.25">
      <c r="B632" s="692"/>
      <c r="C632" s="117" t="str">
        <f>IF(ISNUMBER(B632),IFERROR(VLOOKUP(B632,'נתוני רישום ומצבת'!B:J,3,0),""),"")</f>
        <v/>
      </c>
      <c r="D632" s="693"/>
      <c r="E632" s="697"/>
      <c r="F632" s="695"/>
      <c r="G632" s="696"/>
      <c r="K632" s="22" t="str">
        <f t="shared" si="19"/>
        <v/>
      </c>
      <c r="M632" s="534" t="str">
        <f t="shared" si="18"/>
        <v/>
      </c>
    </row>
    <row r="633" spans="2:13" ht="15.75" x14ac:dyDescent="0.25">
      <c r="B633" s="692"/>
      <c r="C633" s="117" t="str">
        <f>IF(ISNUMBER(B633),IFERROR(VLOOKUP(B633,'נתוני רישום ומצבת'!B:J,3,0),""),"")</f>
        <v/>
      </c>
      <c r="D633" s="693"/>
      <c r="E633" s="697"/>
      <c r="F633" s="695"/>
      <c r="G633" s="696"/>
      <c r="K633" s="22" t="str">
        <f t="shared" si="19"/>
        <v/>
      </c>
      <c r="M633" s="534" t="str">
        <f t="shared" si="18"/>
        <v/>
      </c>
    </row>
    <row r="634" spans="2:13" ht="15.75" x14ac:dyDescent="0.25">
      <c r="B634" s="692"/>
      <c r="C634" s="117" t="str">
        <f>IF(ISNUMBER(B634),IFERROR(VLOOKUP(B634,'נתוני רישום ומצבת'!B:J,3,0),""),"")</f>
        <v/>
      </c>
      <c r="D634" s="693"/>
      <c r="E634" s="697"/>
      <c r="F634" s="695"/>
      <c r="G634" s="696"/>
      <c r="K634" s="22" t="str">
        <f t="shared" si="19"/>
        <v/>
      </c>
      <c r="M634" s="534" t="str">
        <f t="shared" si="18"/>
        <v/>
      </c>
    </row>
    <row r="635" spans="2:13" ht="15.75" x14ac:dyDescent="0.25">
      <c r="B635" s="692"/>
      <c r="C635" s="117" t="str">
        <f>IF(ISNUMBER(B635),IFERROR(VLOOKUP(B635,'נתוני רישום ומצבת'!B:J,3,0),""),"")</f>
        <v/>
      </c>
      <c r="D635" s="693"/>
      <c r="E635" s="697"/>
      <c r="F635" s="695"/>
      <c r="G635" s="696"/>
      <c r="K635" s="22" t="str">
        <f t="shared" si="19"/>
        <v/>
      </c>
      <c r="M635" s="534" t="str">
        <f t="shared" si="18"/>
        <v/>
      </c>
    </row>
    <row r="636" spans="2:13" ht="15.75" x14ac:dyDescent="0.25">
      <c r="B636" s="692"/>
      <c r="C636" s="117" t="str">
        <f>IF(ISNUMBER(B636),IFERROR(VLOOKUP(B636,'נתוני רישום ומצבת'!B:J,3,0),""),"")</f>
        <v/>
      </c>
      <c r="D636" s="693"/>
      <c r="E636" s="697"/>
      <c r="F636" s="695"/>
      <c r="G636" s="696"/>
      <c r="K636" s="22" t="str">
        <f t="shared" si="19"/>
        <v/>
      </c>
      <c r="M636" s="534" t="str">
        <f t="shared" si="18"/>
        <v/>
      </c>
    </row>
    <row r="637" spans="2:13" ht="15.75" x14ac:dyDescent="0.25">
      <c r="B637" s="692"/>
      <c r="C637" s="117" t="str">
        <f>IF(ISNUMBER(B637),IFERROR(VLOOKUP(B637,'נתוני רישום ומצבת'!B:J,3,0),""),"")</f>
        <v/>
      </c>
      <c r="D637" s="693"/>
      <c r="E637" s="697"/>
      <c r="F637" s="695"/>
      <c r="G637" s="696"/>
      <c r="K637" s="22" t="str">
        <f t="shared" si="19"/>
        <v/>
      </c>
      <c r="M637" s="534" t="str">
        <f t="shared" si="18"/>
        <v/>
      </c>
    </row>
    <row r="638" spans="2:13" ht="15.75" x14ac:dyDescent="0.25">
      <c r="B638" s="692"/>
      <c r="C638" s="117" t="str">
        <f>IF(ISNUMBER(B638),IFERROR(VLOOKUP(B638,'נתוני רישום ומצבת'!B:J,3,0),""),"")</f>
        <v/>
      </c>
      <c r="D638" s="693"/>
      <c r="E638" s="697"/>
      <c r="F638" s="695"/>
      <c r="G638" s="696"/>
      <c r="K638" s="22" t="str">
        <f t="shared" si="19"/>
        <v/>
      </c>
      <c r="M638" s="534" t="str">
        <f t="shared" si="18"/>
        <v/>
      </c>
    </row>
    <row r="639" spans="2:13" ht="15.75" x14ac:dyDescent="0.25">
      <c r="B639" s="692"/>
      <c r="C639" s="117" t="str">
        <f>IF(ISNUMBER(B639),IFERROR(VLOOKUP(B639,'נתוני רישום ומצבת'!B:J,3,0),""),"")</f>
        <v/>
      </c>
      <c r="D639" s="693"/>
      <c r="E639" s="697"/>
      <c r="F639" s="695"/>
      <c r="G639" s="696"/>
      <c r="K639" s="22" t="str">
        <f t="shared" si="19"/>
        <v/>
      </c>
      <c r="M639" s="534" t="str">
        <f t="shared" si="18"/>
        <v/>
      </c>
    </row>
    <row r="640" spans="2:13" ht="15.75" x14ac:dyDescent="0.25">
      <c r="B640" s="692"/>
      <c r="C640" s="117" t="str">
        <f>IF(ISNUMBER(B640),IFERROR(VLOOKUP(B640,'נתוני רישום ומצבת'!B:J,3,0),""),"")</f>
        <v/>
      </c>
      <c r="D640" s="693"/>
      <c r="E640" s="697"/>
      <c r="F640" s="695"/>
      <c r="G640" s="696"/>
      <c r="K640" s="22" t="str">
        <f t="shared" si="19"/>
        <v/>
      </c>
      <c r="M640" s="534" t="str">
        <f t="shared" si="18"/>
        <v/>
      </c>
    </row>
    <row r="641" spans="2:13" ht="15.75" x14ac:dyDescent="0.25">
      <c r="B641" s="692"/>
      <c r="C641" s="117" t="str">
        <f>IF(ISNUMBER(B641),IFERROR(VLOOKUP(B641,'נתוני רישום ומצבת'!B:J,3,0),""),"")</f>
        <v/>
      </c>
      <c r="D641" s="693"/>
      <c r="E641" s="697"/>
      <c r="F641" s="695"/>
      <c r="G641" s="696"/>
      <c r="K641" s="22" t="str">
        <f t="shared" si="19"/>
        <v/>
      </c>
      <c r="M641" s="534" t="str">
        <f t="shared" si="18"/>
        <v/>
      </c>
    </row>
    <row r="642" spans="2:13" ht="15.75" x14ac:dyDescent="0.25">
      <c r="B642" s="692"/>
      <c r="C642" s="117" t="str">
        <f>IF(ISNUMBER(B642),IFERROR(VLOOKUP(B642,'נתוני רישום ומצבת'!B:J,3,0),""),"")</f>
        <v/>
      </c>
      <c r="D642" s="693"/>
      <c r="E642" s="697"/>
      <c r="F642" s="695"/>
      <c r="G642" s="696"/>
      <c r="K642" s="22" t="str">
        <f t="shared" si="19"/>
        <v/>
      </c>
      <c r="M642" s="534" t="str">
        <f t="shared" si="18"/>
        <v/>
      </c>
    </row>
    <row r="643" spans="2:13" ht="15.75" x14ac:dyDescent="0.25">
      <c r="B643" s="692"/>
      <c r="C643" s="117" t="str">
        <f>IF(ISNUMBER(B643),IFERROR(VLOOKUP(B643,'נתוני רישום ומצבת'!B:J,3,0),""),"")</f>
        <v/>
      </c>
      <c r="D643" s="693"/>
      <c r="E643" s="697"/>
      <c r="F643" s="695"/>
      <c r="G643" s="696"/>
      <c r="K643" s="22" t="str">
        <f t="shared" si="19"/>
        <v/>
      </c>
      <c r="M643" s="534" t="str">
        <f t="shared" si="18"/>
        <v/>
      </c>
    </row>
    <row r="644" spans="2:13" ht="15.75" x14ac:dyDescent="0.25">
      <c r="B644" s="692"/>
      <c r="C644" s="117" t="str">
        <f>IF(ISNUMBER(B644),IFERROR(VLOOKUP(B644,'נתוני רישום ומצבת'!B:J,3,0),""),"")</f>
        <v/>
      </c>
      <c r="D644" s="693"/>
      <c r="E644" s="697"/>
      <c r="F644" s="695"/>
      <c r="G644" s="696"/>
      <c r="K644" s="22" t="str">
        <f t="shared" si="19"/>
        <v/>
      </c>
      <c r="M644" s="534" t="str">
        <f t="shared" si="18"/>
        <v/>
      </c>
    </row>
    <row r="645" spans="2:13" ht="15.75" x14ac:dyDescent="0.25">
      <c r="B645" s="692"/>
      <c r="C645" s="117" t="str">
        <f>IF(ISNUMBER(B645),IFERROR(VLOOKUP(B645,'נתוני רישום ומצבת'!B:J,3,0),""),"")</f>
        <v/>
      </c>
      <c r="D645" s="693"/>
      <c r="E645" s="697"/>
      <c r="F645" s="695"/>
      <c r="G645" s="696"/>
      <c r="K645" s="22" t="str">
        <f t="shared" si="19"/>
        <v/>
      </c>
      <c r="M645" s="534" t="str">
        <f t="shared" si="18"/>
        <v/>
      </c>
    </row>
    <row r="646" spans="2:13" ht="15.75" x14ac:dyDescent="0.25">
      <c r="B646" s="692"/>
      <c r="C646" s="117" t="str">
        <f>IF(ISNUMBER(B646),IFERROR(VLOOKUP(B646,'נתוני רישום ומצבת'!B:J,3,0),""),"")</f>
        <v/>
      </c>
      <c r="D646" s="693"/>
      <c r="E646" s="697"/>
      <c r="F646" s="695"/>
      <c r="G646" s="696"/>
      <c r="K646" s="22" t="str">
        <f t="shared" si="19"/>
        <v/>
      </c>
      <c r="M646" s="534" t="str">
        <f t="shared" si="18"/>
        <v/>
      </c>
    </row>
    <row r="647" spans="2:13" ht="15.75" x14ac:dyDescent="0.25">
      <c r="B647" s="692"/>
      <c r="C647" s="117" t="str">
        <f>IF(ISNUMBER(B647),IFERROR(VLOOKUP(B647,'נתוני רישום ומצבת'!B:J,3,0),""),"")</f>
        <v/>
      </c>
      <c r="D647" s="693"/>
      <c r="E647" s="697"/>
      <c r="F647" s="695"/>
      <c r="G647" s="696"/>
      <c r="K647" s="22" t="str">
        <f t="shared" si="19"/>
        <v/>
      </c>
      <c r="M647" s="534" t="str">
        <f t="shared" si="18"/>
        <v/>
      </c>
    </row>
    <row r="648" spans="2:13" ht="15.75" x14ac:dyDescent="0.25">
      <c r="B648" s="692"/>
      <c r="C648" s="117" t="str">
        <f>IF(ISNUMBER(B648),IFERROR(VLOOKUP(B648,'נתוני רישום ומצבת'!B:J,3,0),""),"")</f>
        <v/>
      </c>
      <c r="D648" s="693"/>
      <c r="E648" s="697"/>
      <c r="F648" s="695"/>
      <c r="G648" s="696"/>
      <c r="K648" s="22" t="str">
        <f t="shared" si="19"/>
        <v/>
      </c>
      <c r="M648" s="534" t="str">
        <f t="shared" si="18"/>
        <v/>
      </c>
    </row>
    <row r="649" spans="2:13" ht="15.75" x14ac:dyDescent="0.25">
      <c r="B649" s="692"/>
      <c r="C649" s="117" t="str">
        <f>IF(ISNUMBER(B649),IFERROR(VLOOKUP(B649,'נתוני רישום ומצבת'!B:J,3,0),""),"")</f>
        <v/>
      </c>
      <c r="D649" s="693"/>
      <c r="E649" s="697"/>
      <c r="F649" s="695"/>
      <c r="G649" s="696"/>
      <c r="K649" s="22" t="str">
        <f t="shared" si="19"/>
        <v/>
      </c>
      <c r="M649" s="534" t="str">
        <f t="shared" si="18"/>
        <v/>
      </c>
    </row>
    <row r="650" spans="2:13" ht="15.75" x14ac:dyDescent="0.25">
      <c r="B650" s="692"/>
      <c r="C650" s="117" t="str">
        <f>IF(ISNUMBER(B650),IFERROR(VLOOKUP(B650,'נתוני רישום ומצבת'!B:J,3,0),""),"")</f>
        <v/>
      </c>
      <c r="D650" s="693"/>
      <c r="E650" s="697"/>
      <c r="F650" s="695"/>
      <c r="G650" s="696"/>
      <c r="K650" s="22" t="str">
        <f t="shared" si="19"/>
        <v/>
      </c>
      <c r="M650" s="534" t="str">
        <f t="shared" si="18"/>
        <v/>
      </c>
    </row>
    <row r="651" spans="2:13" ht="15.75" x14ac:dyDescent="0.25">
      <c r="B651" s="692"/>
      <c r="C651" s="117" t="str">
        <f>IF(ISNUMBER(B651),IFERROR(VLOOKUP(B651,'נתוני רישום ומצבת'!B:J,3,0),""),"")</f>
        <v/>
      </c>
      <c r="D651" s="693"/>
      <c r="E651" s="697"/>
      <c r="F651" s="695"/>
      <c r="G651" s="696"/>
      <c r="K651" s="22" t="str">
        <f t="shared" si="19"/>
        <v/>
      </c>
      <c r="M651" s="534" t="str">
        <f t="shared" si="18"/>
        <v/>
      </c>
    </row>
    <row r="652" spans="2:13" ht="15.75" x14ac:dyDescent="0.25">
      <c r="B652" s="692"/>
      <c r="C652" s="117" t="str">
        <f>IF(ISNUMBER(B652),IFERROR(VLOOKUP(B652,'נתוני רישום ומצבת'!B:J,3,0),""),"")</f>
        <v/>
      </c>
      <c r="D652" s="693"/>
      <c r="E652" s="697"/>
      <c r="F652" s="695"/>
      <c r="G652" s="696"/>
      <c r="K652" s="22" t="str">
        <f t="shared" si="19"/>
        <v/>
      </c>
      <c r="M652" s="534" t="str">
        <f t="shared" si="18"/>
        <v/>
      </c>
    </row>
    <row r="653" spans="2:13" ht="15.75" x14ac:dyDescent="0.25">
      <c r="B653" s="692"/>
      <c r="C653" s="117" t="str">
        <f>IF(ISNUMBER(B653),IFERROR(VLOOKUP(B653,'נתוני רישום ומצבת'!B:J,3,0),""),"")</f>
        <v/>
      </c>
      <c r="D653" s="693"/>
      <c r="E653" s="697"/>
      <c r="F653" s="695"/>
      <c r="G653" s="696"/>
      <c r="K653" s="22" t="str">
        <f t="shared" si="19"/>
        <v/>
      </c>
      <c r="M653" s="534" t="str">
        <f t="shared" si="18"/>
        <v/>
      </c>
    </row>
    <row r="654" spans="2:13" ht="15.75" x14ac:dyDescent="0.25">
      <c r="B654" s="692"/>
      <c r="C654" s="117" t="str">
        <f>IF(ISNUMBER(B654),IFERROR(VLOOKUP(B654,'נתוני רישום ומצבת'!B:J,3,0),""),"")</f>
        <v/>
      </c>
      <c r="D654" s="693"/>
      <c r="E654" s="697"/>
      <c r="F654" s="695"/>
      <c r="G654" s="696"/>
      <c r="K654" s="22" t="str">
        <f t="shared" si="19"/>
        <v/>
      </c>
      <c r="M654" s="534" t="str">
        <f t="shared" si="18"/>
        <v/>
      </c>
    </row>
    <row r="655" spans="2:13" ht="15.75" x14ac:dyDescent="0.25">
      <c r="B655" s="692"/>
      <c r="C655" s="117" t="str">
        <f>IF(ISNUMBER(B655),IFERROR(VLOOKUP(B655,'נתוני רישום ומצבת'!B:J,3,0),""),"")</f>
        <v/>
      </c>
      <c r="D655" s="693"/>
      <c r="E655" s="697"/>
      <c r="F655" s="695"/>
      <c r="G655" s="696"/>
      <c r="K655" s="22" t="str">
        <f t="shared" si="19"/>
        <v/>
      </c>
      <c r="M655" s="534" t="str">
        <f t="shared" si="18"/>
        <v/>
      </c>
    </row>
    <row r="656" spans="2:13" ht="15.75" x14ac:dyDescent="0.25">
      <c r="B656" s="692"/>
      <c r="C656" s="117" t="str">
        <f>IF(ISNUMBER(B656),IFERROR(VLOOKUP(B656,'נתוני רישום ומצבת'!B:J,3,0),""),"")</f>
        <v/>
      </c>
      <c r="D656" s="693"/>
      <c r="E656" s="697"/>
      <c r="F656" s="695"/>
      <c r="G656" s="696"/>
      <c r="K656" s="22" t="str">
        <f t="shared" si="19"/>
        <v/>
      </c>
      <c r="M656" s="534" t="str">
        <f t="shared" si="18"/>
        <v/>
      </c>
    </row>
    <row r="657" spans="2:13" ht="15.75" x14ac:dyDescent="0.25">
      <c r="B657" s="692"/>
      <c r="C657" s="117" t="str">
        <f>IF(ISNUMBER(B657),IFERROR(VLOOKUP(B657,'נתוני רישום ומצבת'!B:J,3,0),""),"")</f>
        <v/>
      </c>
      <c r="D657" s="693"/>
      <c r="E657" s="697"/>
      <c r="F657" s="695"/>
      <c r="G657" s="696"/>
      <c r="K657" s="22" t="str">
        <f t="shared" si="19"/>
        <v/>
      </c>
      <c r="M657" s="534" t="str">
        <f t="shared" ref="M657:M720" si="20">TEXT(LEFT(D657,2),0)</f>
        <v/>
      </c>
    </row>
    <row r="658" spans="2:13" ht="15.75" x14ac:dyDescent="0.25">
      <c r="B658" s="692"/>
      <c r="C658" s="117" t="str">
        <f>IF(ISNUMBER(B658),IFERROR(VLOOKUP(B658,'נתוני רישום ומצבת'!B:J,3,0),""),"")</f>
        <v/>
      </c>
      <c r="D658" s="693"/>
      <c r="E658" s="697"/>
      <c r="F658" s="695"/>
      <c r="G658" s="696"/>
      <c r="K658" s="22" t="str">
        <f t="shared" si="19"/>
        <v/>
      </c>
      <c r="M658" s="534" t="str">
        <f t="shared" si="20"/>
        <v/>
      </c>
    </row>
    <row r="659" spans="2:13" ht="15.75" x14ac:dyDescent="0.25">
      <c r="B659" s="692"/>
      <c r="C659" s="117" t="str">
        <f>IF(ISNUMBER(B659),IFERROR(VLOOKUP(B659,'נתוני רישום ומצבת'!B:J,3,0),""),"")</f>
        <v/>
      </c>
      <c r="D659" s="693"/>
      <c r="E659" s="697"/>
      <c r="F659" s="695"/>
      <c r="G659" s="696"/>
      <c r="K659" s="22" t="str">
        <f t="shared" si="19"/>
        <v/>
      </c>
      <c r="M659" s="534" t="str">
        <f t="shared" si="20"/>
        <v/>
      </c>
    </row>
    <row r="660" spans="2:13" ht="15.75" x14ac:dyDescent="0.25">
      <c r="B660" s="692"/>
      <c r="C660" s="117" t="str">
        <f>IF(ISNUMBER(B660),IFERROR(VLOOKUP(B660,'נתוני רישום ומצבת'!B:J,3,0),""),"")</f>
        <v/>
      </c>
      <c r="D660" s="693"/>
      <c r="E660" s="697"/>
      <c r="F660" s="695"/>
      <c r="G660" s="696"/>
      <c r="K660" s="22" t="str">
        <f t="shared" si="19"/>
        <v/>
      </c>
      <c r="M660" s="534" t="str">
        <f t="shared" si="20"/>
        <v/>
      </c>
    </row>
    <row r="661" spans="2:13" ht="15.75" x14ac:dyDescent="0.25">
      <c r="B661" s="692"/>
      <c r="C661" s="117" t="str">
        <f>IF(ISNUMBER(B661),IFERROR(VLOOKUP(B661,'נתוני רישום ומצבת'!B:J,3,0),""),"")</f>
        <v/>
      </c>
      <c r="D661" s="693"/>
      <c r="E661" s="697"/>
      <c r="F661" s="695"/>
      <c r="G661" s="696"/>
      <c r="K661" s="22" t="str">
        <f t="shared" ref="K661:K724" si="21">IF(C648&lt;5,IF(D661=$F$8,-E661," "),"")</f>
        <v/>
      </c>
      <c r="M661" s="534" t="str">
        <f t="shared" si="20"/>
        <v/>
      </c>
    </row>
    <row r="662" spans="2:13" ht="15.75" x14ac:dyDescent="0.25">
      <c r="B662" s="692"/>
      <c r="C662" s="117" t="str">
        <f>IF(ISNUMBER(B662),IFERROR(VLOOKUP(B662,'נתוני רישום ומצבת'!B:J,3,0),""),"")</f>
        <v/>
      </c>
      <c r="D662" s="693"/>
      <c r="E662" s="697"/>
      <c r="F662" s="695"/>
      <c r="G662" s="696"/>
      <c r="K662" s="22" t="str">
        <f t="shared" si="21"/>
        <v/>
      </c>
      <c r="M662" s="534" t="str">
        <f t="shared" si="20"/>
        <v/>
      </c>
    </row>
    <row r="663" spans="2:13" ht="15.75" x14ac:dyDescent="0.25">
      <c r="B663" s="692"/>
      <c r="C663" s="117" t="str">
        <f>IF(ISNUMBER(B663),IFERROR(VLOOKUP(B663,'נתוני רישום ומצבת'!B:J,3,0),""),"")</f>
        <v/>
      </c>
      <c r="D663" s="693"/>
      <c r="E663" s="697"/>
      <c r="F663" s="695"/>
      <c r="G663" s="696"/>
      <c r="K663" s="22" t="str">
        <f t="shared" si="21"/>
        <v/>
      </c>
      <c r="M663" s="534" t="str">
        <f t="shared" si="20"/>
        <v/>
      </c>
    </row>
    <row r="664" spans="2:13" ht="15.75" x14ac:dyDescent="0.25">
      <c r="B664" s="692"/>
      <c r="C664" s="117" t="str">
        <f>IF(ISNUMBER(B664),IFERROR(VLOOKUP(B664,'נתוני רישום ומצבת'!B:J,3,0),""),"")</f>
        <v/>
      </c>
      <c r="D664" s="693"/>
      <c r="E664" s="697"/>
      <c r="F664" s="695"/>
      <c r="G664" s="696"/>
      <c r="K664" s="22" t="str">
        <f t="shared" si="21"/>
        <v/>
      </c>
      <c r="M664" s="534" t="str">
        <f t="shared" si="20"/>
        <v/>
      </c>
    </row>
    <row r="665" spans="2:13" ht="15.75" x14ac:dyDescent="0.25">
      <c r="B665" s="692"/>
      <c r="C665" s="117" t="str">
        <f>IF(ISNUMBER(B665),IFERROR(VLOOKUP(B665,'נתוני רישום ומצבת'!B:J,3,0),""),"")</f>
        <v/>
      </c>
      <c r="D665" s="693"/>
      <c r="E665" s="697"/>
      <c r="F665" s="695"/>
      <c r="G665" s="696"/>
      <c r="K665" s="22" t="str">
        <f t="shared" si="21"/>
        <v/>
      </c>
      <c r="M665" s="534" t="str">
        <f t="shared" si="20"/>
        <v/>
      </c>
    </row>
    <row r="666" spans="2:13" ht="15.75" x14ac:dyDescent="0.25">
      <c r="B666" s="692"/>
      <c r="C666" s="117" t="str">
        <f>IF(ISNUMBER(B666),IFERROR(VLOOKUP(B666,'נתוני רישום ומצבת'!B:J,3,0),""),"")</f>
        <v/>
      </c>
      <c r="D666" s="693"/>
      <c r="E666" s="697"/>
      <c r="F666" s="695"/>
      <c r="G666" s="696"/>
      <c r="K666" s="22" t="str">
        <f t="shared" si="21"/>
        <v/>
      </c>
      <c r="M666" s="534" t="str">
        <f t="shared" si="20"/>
        <v/>
      </c>
    </row>
    <row r="667" spans="2:13" ht="15.75" x14ac:dyDescent="0.25">
      <c r="B667" s="692"/>
      <c r="C667" s="117" t="str">
        <f>IF(ISNUMBER(B667),IFERROR(VLOOKUP(B667,'נתוני רישום ומצבת'!B:J,3,0),""),"")</f>
        <v/>
      </c>
      <c r="D667" s="693"/>
      <c r="E667" s="697"/>
      <c r="F667" s="695"/>
      <c r="G667" s="696"/>
      <c r="K667" s="22" t="str">
        <f t="shared" si="21"/>
        <v/>
      </c>
      <c r="M667" s="534" t="str">
        <f t="shared" si="20"/>
        <v/>
      </c>
    </row>
    <row r="668" spans="2:13" ht="15.75" x14ac:dyDescent="0.25">
      <c r="B668" s="692"/>
      <c r="C668" s="117" t="str">
        <f>IF(ISNUMBER(B668),IFERROR(VLOOKUP(B668,'נתוני רישום ומצבת'!B:J,3,0),""),"")</f>
        <v/>
      </c>
      <c r="D668" s="693"/>
      <c r="E668" s="697"/>
      <c r="F668" s="695"/>
      <c r="G668" s="696"/>
      <c r="K668" s="22" t="str">
        <f t="shared" si="21"/>
        <v/>
      </c>
      <c r="M668" s="534" t="str">
        <f t="shared" si="20"/>
        <v/>
      </c>
    </row>
    <row r="669" spans="2:13" ht="15.75" x14ac:dyDescent="0.25">
      <c r="B669" s="692"/>
      <c r="C669" s="117" t="str">
        <f>IF(ISNUMBER(B669),IFERROR(VLOOKUP(B669,'נתוני רישום ומצבת'!B:J,3,0),""),"")</f>
        <v/>
      </c>
      <c r="D669" s="693"/>
      <c r="E669" s="697"/>
      <c r="F669" s="695"/>
      <c r="G669" s="696"/>
      <c r="K669" s="22" t="str">
        <f t="shared" si="21"/>
        <v/>
      </c>
      <c r="M669" s="534" t="str">
        <f t="shared" si="20"/>
        <v/>
      </c>
    </row>
    <row r="670" spans="2:13" ht="15.75" x14ac:dyDescent="0.25">
      <c r="B670" s="692"/>
      <c r="C670" s="117" t="str">
        <f>IF(ISNUMBER(B670),IFERROR(VLOOKUP(B670,'נתוני רישום ומצבת'!B:J,3,0),""),"")</f>
        <v/>
      </c>
      <c r="D670" s="693"/>
      <c r="E670" s="697"/>
      <c r="F670" s="695"/>
      <c r="G670" s="696"/>
      <c r="K670" s="22" t="str">
        <f t="shared" si="21"/>
        <v/>
      </c>
      <c r="M670" s="534" t="str">
        <f t="shared" si="20"/>
        <v/>
      </c>
    </row>
    <row r="671" spans="2:13" ht="15.75" x14ac:dyDescent="0.25">
      <c r="B671" s="692"/>
      <c r="C671" s="117" t="str">
        <f>IF(ISNUMBER(B671),IFERROR(VLOOKUP(B671,'נתוני רישום ומצבת'!B:J,3,0),""),"")</f>
        <v/>
      </c>
      <c r="D671" s="693"/>
      <c r="E671" s="697"/>
      <c r="F671" s="695"/>
      <c r="G671" s="696"/>
      <c r="K671" s="22" t="str">
        <f t="shared" si="21"/>
        <v/>
      </c>
      <c r="M671" s="534" t="str">
        <f t="shared" si="20"/>
        <v/>
      </c>
    </row>
    <row r="672" spans="2:13" ht="15.75" x14ac:dyDescent="0.25">
      <c r="B672" s="692"/>
      <c r="C672" s="117" t="str">
        <f>IF(ISNUMBER(B672),IFERROR(VLOOKUP(B672,'נתוני רישום ומצבת'!B:J,3,0),""),"")</f>
        <v/>
      </c>
      <c r="D672" s="693"/>
      <c r="E672" s="697"/>
      <c r="F672" s="695"/>
      <c r="G672" s="696"/>
      <c r="K672" s="22" t="str">
        <f t="shared" si="21"/>
        <v/>
      </c>
      <c r="M672" s="534" t="str">
        <f t="shared" si="20"/>
        <v/>
      </c>
    </row>
    <row r="673" spans="2:13" ht="15.75" x14ac:dyDescent="0.25">
      <c r="B673" s="692"/>
      <c r="C673" s="117" t="str">
        <f>IF(ISNUMBER(B673),IFERROR(VLOOKUP(B673,'נתוני רישום ומצבת'!B:J,3,0),""),"")</f>
        <v/>
      </c>
      <c r="D673" s="693"/>
      <c r="E673" s="697"/>
      <c r="F673" s="695"/>
      <c r="G673" s="696"/>
      <c r="K673" s="22" t="str">
        <f t="shared" si="21"/>
        <v/>
      </c>
      <c r="M673" s="534" t="str">
        <f t="shared" si="20"/>
        <v/>
      </c>
    </row>
    <row r="674" spans="2:13" ht="15.75" x14ac:dyDescent="0.25">
      <c r="B674" s="692"/>
      <c r="C674" s="117" t="str">
        <f>IF(ISNUMBER(B674),IFERROR(VLOOKUP(B674,'נתוני רישום ומצבת'!B:J,3,0),""),"")</f>
        <v/>
      </c>
      <c r="D674" s="693"/>
      <c r="E674" s="697"/>
      <c r="F674" s="695"/>
      <c r="G674" s="696"/>
      <c r="K674" s="22" t="str">
        <f t="shared" si="21"/>
        <v/>
      </c>
      <c r="M674" s="534" t="str">
        <f t="shared" si="20"/>
        <v/>
      </c>
    </row>
    <row r="675" spans="2:13" ht="15.75" x14ac:dyDescent="0.25">
      <c r="B675" s="692"/>
      <c r="C675" s="117" t="str">
        <f>IF(ISNUMBER(B675),IFERROR(VLOOKUP(B675,'נתוני רישום ומצבת'!B:J,3,0),""),"")</f>
        <v/>
      </c>
      <c r="D675" s="693"/>
      <c r="E675" s="697"/>
      <c r="F675" s="695"/>
      <c r="G675" s="696"/>
      <c r="K675" s="22" t="str">
        <f t="shared" si="21"/>
        <v/>
      </c>
      <c r="M675" s="534" t="str">
        <f t="shared" si="20"/>
        <v/>
      </c>
    </row>
    <row r="676" spans="2:13" ht="15.75" x14ac:dyDescent="0.25">
      <c r="B676" s="692"/>
      <c r="C676" s="117" t="str">
        <f>IF(ISNUMBER(B676),IFERROR(VLOOKUP(B676,'נתוני רישום ומצבת'!B:J,3,0),""),"")</f>
        <v/>
      </c>
      <c r="D676" s="693"/>
      <c r="E676" s="697"/>
      <c r="F676" s="695"/>
      <c r="G676" s="696"/>
      <c r="K676" s="22" t="str">
        <f t="shared" si="21"/>
        <v/>
      </c>
      <c r="M676" s="534" t="str">
        <f t="shared" si="20"/>
        <v/>
      </c>
    </row>
    <row r="677" spans="2:13" ht="15.75" x14ac:dyDescent="0.25">
      <c r="B677" s="692"/>
      <c r="C677" s="117" t="str">
        <f>IF(ISNUMBER(B677),IFERROR(VLOOKUP(B677,'נתוני רישום ומצבת'!B:J,3,0),""),"")</f>
        <v/>
      </c>
      <c r="D677" s="693"/>
      <c r="E677" s="697"/>
      <c r="F677" s="695"/>
      <c r="G677" s="696"/>
      <c r="K677" s="22" t="str">
        <f t="shared" si="21"/>
        <v/>
      </c>
      <c r="M677" s="534" t="str">
        <f t="shared" si="20"/>
        <v/>
      </c>
    </row>
    <row r="678" spans="2:13" ht="15.75" x14ac:dyDescent="0.25">
      <c r="B678" s="692"/>
      <c r="C678" s="117" t="str">
        <f>IF(ISNUMBER(B678),IFERROR(VLOOKUP(B678,'נתוני רישום ומצבת'!B:J,3,0),""),"")</f>
        <v/>
      </c>
      <c r="D678" s="693"/>
      <c r="E678" s="697"/>
      <c r="F678" s="695"/>
      <c r="G678" s="696"/>
      <c r="K678" s="22" t="str">
        <f t="shared" si="21"/>
        <v/>
      </c>
      <c r="M678" s="534" t="str">
        <f t="shared" si="20"/>
        <v/>
      </c>
    </row>
    <row r="679" spans="2:13" ht="15.75" x14ac:dyDescent="0.25">
      <c r="B679" s="692"/>
      <c r="C679" s="117" t="str">
        <f>IF(ISNUMBER(B679),IFERROR(VLOOKUP(B679,'נתוני רישום ומצבת'!B:J,3,0),""),"")</f>
        <v/>
      </c>
      <c r="D679" s="693"/>
      <c r="E679" s="697"/>
      <c r="F679" s="695"/>
      <c r="G679" s="696"/>
      <c r="K679" s="22" t="str">
        <f t="shared" si="21"/>
        <v/>
      </c>
      <c r="M679" s="534" t="str">
        <f t="shared" si="20"/>
        <v/>
      </c>
    </row>
    <row r="680" spans="2:13" ht="15.75" x14ac:dyDescent="0.25">
      <c r="B680" s="692"/>
      <c r="C680" s="117" t="str">
        <f>IF(ISNUMBER(B680),IFERROR(VLOOKUP(B680,'נתוני רישום ומצבת'!B:J,3,0),""),"")</f>
        <v/>
      </c>
      <c r="D680" s="693"/>
      <c r="E680" s="697"/>
      <c r="F680" s="695"/>
      <c r="G680" s="696"/>
      <c r="K680" s="22" t="str">
        <f t="shared" si="21"/>
        <v/>
      </c>
      <c r="M680" s="534" t="str">
        <f t="shared" si="20"/>
        <v/>
      </c>
    </row>
    <row r="681" spans="2:13" ht="15.75" x14ac:dyDescent="0.25">
      <c r="B681" s="692"/>
      <c r="C681" s="117" t="str">
        <f>IF(ISNUMBER(B681),IFERROR(VLOOKUP(B681,'נתוני רישום ומצבת'!B:J,3,0),""),"")</f>
        <v/>
      </c>
      <c r="D681" s="693"/>
      <c r="E681" s="697"/>
      <c r="F681" s="695"/>
      <c r="G681" s="696"/>
      <c r="K681" s="22" t="str">
        <f t="shared" si="21"/>
        <v/>
      </c>
      <c r="M681" s="534" t="str">
        <f t="shared" si="20"/>
        <v/>
      </c>
    </row>
    <row r="682" spans="2:13" ht="15.75" x14ac:dyDescent="0.25">
      <c r="B682" s="692"/>
      <c r="C682" s="117" t="str">
        <f>IF(ISNUMBER(B682),IFERROR(VLOOKUP(B682,'נתוני רישום ומצבת'!B:J,3,0),""),"")</f>
        <v/>
      </c>
      <c r="D682" s="693"/>
      <c r="E682" s="697"/>
      <c r="F682" s="695"/>
      <c r="G682" s="696"/>
      <c r="K682" s="22" t="str">
        <f t="shared" si="21"/>
        <v/>
      </c>
      <c r="M682" s="534" t="str">
        <f t="shared" si="20"/>
        <v/>
      </c>
    </row>
    <row r="683" spans="2:13" ht="15.75" x14ac:dyDescent="0.25">
      <c r="B683" s="692"/>
      <c r="C683" s="117" t="str">
        <f>IF(ISNUMBER(B683),IFERROR(VLOOKUP(B683,'נתוני רישום ומצבת'!B:J,3,0),""),"")</f>
        <v/>
      </c>
      <c r="D683" s="693"/>
      <c r="E683" s="697"/>
      <c r="F683" s="695"/>
      <c r="G683" s="696"/>
      <c r="K683" s="22" t="str">
        <f t="shared" si="21"/>
        <v/>
      </c>
      <c r="M683" s="534" t="str">
        <f t="shared" si="20"/>
        <v/>
      </c>
    </row>
    <row r="684" spans="2:13" ht="15.75" x14ac:dyDescent="0.25">
      <c r="B684" s="692"/>
      <c r="C684" s="117" t="str">
        <f>IF(ISNUMBER(B684),IFERROR(VLOOKUP(B684,'נתוני רישום ומצבת'!B:J,3,0),""),"")</f>
        <v/>
      </c>
      <c r="D684" s="693"/>
      <c r="E684" s="697"/>
      <c r="F684" s="695"/>
      <c r="G684" s="696"/>
      <c r="K684" s="22" t="str">
        <f t="shared" si="21"/>
        <v/>
      </c>
      <c r="M684" s="534" t="str">
        <f t="shared" si="20"/>
        <v/>
      </c>
    </row>
    <row r="685" spans="2:13" ht="15.75" x14ac:dyDescent="0.25">
      <c r="B685" s="692"/>
      <c r="C685" s="117" t="str">
        <f>IF(ISNUMBER(B685),IFERROR(VLOOKUP(B685,'נתוני רישום ומצבת'!B:J,3,0),""),"")</f>
        <v/>
      </c>
      <c r="D685" s="693"/>
      <c r="E685" s="697"/>
      <c r="F685" s="695"/>
      <c r="G685" s="696"/>
      <c r="K685" s="22" t="str">
        <f t="shared" si="21"/>
        <v/>
      </c>
      <c r="M685" s="534" t="str">
        <f t="shared" si="20"/>
        <v/>
      </c>
    </row>
    <row r="686" spans="2:13" ht="15.75" x14ac:dyDescent="0.25">
      <c r="B686" s="692"/>
      <c r="C686" s="117" t="str">
        <f>IF(ISNUMBER(B686),IFERROR(VLOOKUP(B686,'נתוני רישום ומצבת'!B:J,3,0),""),"")</f>
        <v/>
      </c>
      <c r="D686" s="693"/>
      <c r="E686" s="697"/>
      <c r="F686" s="695"/>
      <c r="G686" s="696"/>
      <c r="K686" s="22" t="str">
        <f t="shared" si="21"/>
        <v/>
      </c>
      <c r="M686" s="534" t="str">
        <f t="shared" si="20"/>
        <v/>
      </c>
    </row>
    <row r="687" spans="2:13" ht="15.75" x14ac:dyDescent="0.25">
      <c r="B687" s="692"/>
      <c r="C687" s="117" t="str">
        <f>IF(ISNUMBER(B687),IFERROR(VLOOKUP(B687,'נתוני רישום ומצבת'!B:J,3,0),""),"")</f>
        <v/>
      </c>
      <c r="D687" s="693"/>
      <c r="E687" s="697"/>
      <c r="F687" s="695"/>
      <c r="G687" s="696"/>
      <c r="K687" s="22" t="str">
        <f t="shared" si="21"/>
        <v/>
      </c>
      <c r="M687" s="534" t="str">
        <f t="shared" si="20"/>
        <v/>
      </c>
    </row>
    <row r="688" spans="2:13" ht="15.75" x14ac:dyDescent="0.25">
      <c r="B688" s="692"/>
      <c r="C688" s="117" t="str">
        <f>IF(ISNUMBER(B688),IFERROR(VLOOKUP(B688,'נתוני רישום ומצבת'!B:J,3,0),""),"")</f>
        <v/>
      </c>
      <c r="D688" s="693"/>
      <c r="E688" s="697"/>
      <c r="F688" s="695"/>
      <c r="G688" s="696"/>
      <c r="K688" s="22" t="str">
        <f t="shared" si="21"/>
        <v/>
      </c>
      <c r="M688" s="534" t="str">
        <f t="shared" si="20"/>
        <v/>
      </c>
    </row>
    <row r="689" spans="2:13" ht="15.75" x14ac:dyDescent="0.25">
      <c r="B689" s="692"/>
      <c r="C689" s="117" t="str">
        <f>IF(ISNUMBER(B689),IFERROR(VLOOKUP(B689,'נתוני רישום ומצבת'!B:J,3,0),""),"")</f>
        <v/>
      </c>
      <c r="D689" s="693"/>
      <c r="E689" s="697"/>
      <c r="F689" s="695"/>
      <c r="G689" s="696"/>
      <c r="K689" s="22" t="str">
        <f t="shared" si="21"/>
        <v/>
      </c>
      <c r="M689" s="534" t="str">
        <f t="shared" si="20"/>
        <v/>
      </c>
    </row>
    <row r="690" spans="2:13" ht="15.75" x14ac:dyDescent="0.25">
      <c r="B690" s="692"/>
      <c r="C690" s="117" t="str">
        <f>IF(ISNUMBER(B690),IFERROR(VLOOKUP(B690,'נתוני רישום ומצבת'!B:J,3,0),""),"")</f>
        <v/>
      </c>
      <c r="D690" s="693"/>
      <c r="E690" s="697"/>
      <c r="F690" s="695"/>
      <c r="G690" s="696"/>
      <c r="K690" s="22" t="str">
        <f t="shared" si="21"/>
        <v/>
      </c>
      <c r="M690" s="534" t="str">
        <f t="shared" si="20"/>
        <v/>
      </c>
    </row>
    <row r="691" spans="2:13" ht="15.75" x14ac:dyDescent="0.25">
      <c r="B691" s="692"/>
      <c r="C691" s="117" t="str">
        <f>IF(ISNUMBER(B691),IFERROR(VLOOKUP(B691,'נתוני רישום ומצבת'!B:J,3,0),""),"")</f>
        <v/>
      </c>
      <c r="D691" s="693"/>
      <c r="E691" s="697"/>
      <c r="F691" s="695"/>
      <c r="G691" s="696"/>
      <c r="K691" s="22" t="str">
        <f t="shared" si="21"/>
        <v/>
      </c>
      <c r="M691" s="534" t="str">
        <f t="shared" si="20"/>
        <v/>
      </c>
    </row>
    <row r="692" spans="2:13" ht="15.75" x14ac:dyDescent="0.25">
      <c r="B692" s="692"/>
      <c r="C692" s="117" t="str">
        <f>IF(ISNUMBER(B692),IFERROR(VLOOKUP(B692,'נתוני רישום ומצבת'!B:J,3,0),""),"")</f>
        <v/>
      </c>
      <c r="D692" s="693"/>
      <c r="E692" s="697"/>
      <c r="F692" s="695"/>
      <c r="G692" s="696"/>
      <c r="K692" s="22" t="str">
        <f t="shared" si="21"/>
        <v/>
      </c>
      <c r="M692" s="534" t="str">
        <f t="shared" si="20"/>
        <v/>
      </c>
    </row>
    <row r="693" spans="2:13" ht="15.75" x14ac:dyDescent="0.25">
      <c r="B693" s="692"/>
      <c r="C693" s="117" t="str">
        <f>IF(ISNUMBER(B693),IFERROR(VLOOKUP(B693,'נתוני רישום ומצבת'!B:J,3,0),""),"")</f>
        <v/>
      </c>
      <c r="D693" s="693"/>
      <c r="E693" s="697"/>
      <c r="F693" s="695"/>
      <c r="G693" s="696"/>
      <c r="K693" s="22" t="str">
        <f t="shared" si="21"/>
        <v/>
      </c>
      <c r="M693" s="534" t="str">
        <f t="shared" si="20"/>
        <v/>
      </c>
    </row>
    <row r="694" spans="2:13" ht="15.75" x14ac:dyDescent="0.25">
      <c r="B694" s="692"/>
      <c r="C694" s="117" t="str">
        <f>IF(ISNUMBER(B694),IFERROR(VLOOKUP(B694,'נתוני רישום ומצבת'!B:J,3,0),""),"")</f>
        <v/>
      </c>
      <c r="D694" s="693"/>
      <c r="E694" s="697"/>
      <c r="F694" s="695"/>
      <c r="G694" s="696"/>
      <c r="K694" s="22" t="str">
        <f t="shared" si="21"/>
        <v/>
      </c>
      <c r="M694" s="534" t="str">
        <f t="shared" si="20"/>
        <v/>
      </c>
    </row>
    <row r="695" spans="2:13" ht="15.75" x14ac:dyDescent="0.25">
      <c r="B695" s="692"/>
      <c r="C695" s="117" t="str">
        <f>IF(ISNUMBER(B695),IFERROR(VLOOKUP(B695,'נתוני רישום ומצבת'!B:J,3,0),""),"")</f>
        <v/>
      </c>
      <c r="D695" s="693"/>
      <c r="E695" s="697"/>
      <c r="F695" s="695"/>
      <c r="G695" s="696"/>
      <c r="K695" s="22" t="str">
        <f t="shared" si="21"/>
        <v/>
      </c>
      <c r="M695" s="534" t="str">
        <f t="shared" si="20"/>
        <v/>
      </c>
    </row>
    <row r="696" spans="2:13" ht="15.75" x14ac:dyDescent="0.25">
      <c r="B696" s="692"/>
      <c r="C696" s="117" t="str">
        <f>IF(ISNUMBER(B696),IFERROR(VLOOKUP(B696,'נתוני רישום ומצבת'!B:J,3,0),""),"")</f>
        <v/>
      </c>
      <c r="D696" s="693"/>
      <c r="E696" s="697"/>
      <c r="F696" s="695"/>
      <c r="G696" s="696"/>
      <c r="K696" s="22" t="str">
        <f t="shared" si="21"/>
        <v/>
      </c>
      <c r="M696" s="534" t="str">
        <f t="shared" si="20"/>
        <v/>
      </c>
    </row>
    <row r="697" spans="2:13" ht="15.75" x14ac:dyDescent="0.25">
      <c r="B697" s="692"/>
      <c r="C697" s="117" t="str">
        <f>IF(ISNUMBER(B697),IFERROR(VLOOKUP(B697,'נתוני רישום ומצבת'!B:J,3,0),""),"")</f>
        <v/>
      </c>
      <c r="D697" s="693"/>
      <c r="E697" s="697"/>
      <c r="F697" s="695"/>
      <c r="G697" s="696"/>
      <c r="K697" s="22" t="str">
        <f t="shared" si="21"/>
        <v/>
      </c>
      <c r="M697" s="534" t="str">
        <f t="shared" si="20"/>
        <v/>
      </c>
    </row>
    <row r="698" spans="2:13" ht="15.75" x14ac:dyDescent="0.25">
      <c r="B698" s="692"/>
      <c r="C698" s="117" t="str">
        <f>IF(ISNUMBER(B698),IFERROR(VLOOKUP(B698,'נתוני רישום ומצבת'!B:J,3,0),""),"")</f>
        <v/>
      </c>
      <c r="D698" s="693"/>
      <c r="E698" s="697"/>
      <c r="F698" s="695"/>
      <c r="G698" s="696"/>
      <c r="K698" s="22" t="str">
        <f t="shared" si="21"/>
        <v/>
      </c>
      <c r="M698" s="534" t="str">
        <f t="shared" si="20"/>
        <v/>
      </c>
    </row>
    <row r="699" spans="2:13" ht="15.75" x14ac:dyDescent="0.25">
      <c r="B699" s="692"/>
      <c r="C699" s="117" t="str">
        <f>IF(ISNUMBER(B699),IFERROR(VLOOKUP(B699,'נתוני רישום ומצבת'!B:J,3,0),""),"")</f>
        <v/>
      </c>
      <c r="D699" s="693"/>
      <c r="E699" s="697"/>
      <c r="F699" s="695"/>
      <c r="G699" s="696"/>
      <c r="K699" s="22" t="str">
        <f t="shared" si="21"/>
        <v/>
      </c>
      <c r="M699" s="534" t="str">
        <f t="shared" si="20"/>
        <v/>
      </c>
    </row>
    <row r="700" spans="2:13" ht="15.75" x14ac:dyDescent="0.25">
      <c r="B700" s="692"/>
      <c r="C700" s="117" t="str">
        <f>IF(ISNUMBER(B700),IFERROR(VLOOKUP(B700,'נתוני רישום ומצבת'!B:J,3,0),""),"")</f>
        <v/>
      </c>
      <c r="D700" s="693"/>
      <c r="E700" s="697"/>
      <c r="F700" s="695"/>
      <c r="G700" s="696"/>
      <c r="K700" s="22" t="str">
        <f t="shared" si="21"/>
        <v/>
      </c>
      <c r="M700" s="534" t="str">
        <f t="shared" si="20"/>
        <v/>
      </c>
    </row>
    <row r="701" spans="2:13" ht="15.75" x14ac:dyDescent="0.25">
      <c r="B701" s="692"/>
      <c r="C701" s="117" t="str">
        <f>IF(ISNUMBER(B701),IFERROR(VLOOKUP(B701,'נתוני רישום ומצבת'!B:J,3,0),""),"")</f>
        <v/>
      </c>
      <c r="D701" s="693"/>
      <c r="E701" s="697"/>
      <c r="F701" s="695"/>
      <c r="G701" s="696"/>
      <c r="K701" s="22" t="str">
        <f t="shared" si="21"/>
        <v/>
      </c>
      <c r="M701" s="534" t="str">
        <f t="shared" si="20"/>
        <v/>
      </c>
    </row>
    <row r="702" spans="2:13" ht="15.75" x14ac:dyDescent="0.25">
      <c r="B702" s="692"/>
      <c r="C702" s="117" t="str">
        <f>IF(ISNUMBER(B702),IFERROR(VLOOKUP(B702,'נתוני רישום ומצבת'!B:J,3,0),""),"")</f>
        <v/>
      </c>
      <c r="D702" s="693"/>
      <c r="E702" s="697"/>
      <c r="F702" s="695"/>
      <c r="G702" s="696"/>
      <c r="K702" s="22" t="str">
        <f t="shared" si="21"/>
        <v/>
      </c>
      <c r="M702" s="534" t="str">
        <f t="shared" si="20"/>
        <v/>
      </c>
    </row>
    <row r="703" spans="2:13" ht="15.75" x14ac:dyDescent="0.25">
      <c r="B703" s="692"/>
      <c r="C703" s="117" t="str">
        <f>IF(ISNUMBER(B703),IFERROR(VLOOKUP(B703,'נתוני רישום ומצבת'!B:J,3,0),""),"")</f>
        <v/>
      </c>
      <c r="D703" s="693"/>
      <c r="E703" s="697"/>
      <c r="F703" s="695"/>
      <c r="G703" s="696"/>
      <c r="K703" s="22" t="str">
        <f t="shared" si="21"/>
        <v/>
      </c>
      <c r="M703" s="534" t="str">
        <f t="shared" si="20"/>
        <v/>
      </c>
    </row>
    <row r="704" spans="2:13" ht="15.75" x14ac:dyDescent="0.25">
      <c r="B704" s="692"/>
      <c r="C704" s="117" t="str">
        <f>IF(ISNUMBER(B704),IFERROR(VLOOKUP(B704,'נתוני רישום ומצבת'!B:J,3,0),""),"")</f>
        <v/>
      </c>
      <c r="D704" s="693"/>
      <c r="E704" s="697"/>
      <c r="F704" s="695"/>
      <c r="G704" s="696"/>
      <c r="K704" s="22" t="str">
        <f t="shared" si="21"/>
        <v/>
      </c>
      <c r="M704" s="534" t="str">
        <f t="shared" si="20"/>
        <v/>
      </c>
    </row>
    <row r="705" spans="2:13" ht="15.75" x14ac:dyDescent="0.25">
      <c r="B705" s="692"/>
      <c r="C705" s="117" t="str">
        <f>IF(ISNUMBER(B705),IFERROR(VLOOKUP(B705,'נתוני רישום ומצבת'!B:J,3,0),""),"")</f>
        <v/>
      </c>
      <c r="D705" s="693"/>
      <c r="E705" s="697"/>
      <c r="F705" s="695"/>
      <c r="G705" s="696"/>
      <c r="K705" s="22" t="str">
        <f t="shared" si="21"/>
        <v/>
      </c>
      <c r="M705" s="534" t="str">
        <f t="shared" si="20"/>
        <v/>
      </c>
    </row>
    <row r="706" spans="2:13" ht="15.75" x14ac:dyDescent="0.25">
      <c r="B706" s="692"/>
      <c r="C706" s="117" t="str">
        <f>IF(ISNUMBER(B706),IFERROR(VLOOKUP(B706,'נתוני רישום ומצבת'!B:J,3,0),""),"")</f>
        <v/>
      </c>
      <c r="D706" s="693"/>
      <c r="E706" s="697"/>
      <c r="F706" s="695"/>
      <c r="G706" s="696"/>
      <c r="K706" s="22" t="str">
        <f t="shared" si="21"/>
        <v/>
      </c>
      <c r="M706" s="534" t="str">
        <f t="shared" si="20"/>
        <v/>
      </c>
    </row>
    <row r="707" spans="2:13" ht="15.75" x14ac:dyDescent="0.25">
      <c r="B707" s="692"/>
      <c r="C707" s="117" t="str">
        <f>IF(ISNUMBER(B707),IFERROR(VLOOKUP(B707,'נתוני רישום ומצבת'!B:J,3,0),""),"")</f>
        <v/>
      </c>
      <c r="D707" s="693"/>
      <c r="E707" s="697"/>
      <c r="F707" s="695"/>
      <c r="G707" s="696"/>
      <c r="K707" s="22" t="str">
        <f t="shared" si="21"/>
        <v/>
      </c>
      <c r="M707" s="534" t="str">
        <f t="shared" si="20"/>
        <v/>
      </c>
    </row>
    <row r="708" spans="2:13" ht="15.75" x14ac:dyDescent="0.25">
      <c r="B708" s="692"/>
      <c r="C708" s="117" t="str">
        <f>IF(ISNUMBER(B708),IFERROR(VLOOKUP(B708,'נתוני רישום ומצבת'!B:J,3,0),""),"")</f>
        <v/>
      </c>
      <c r="D708" s="693"/>
      <c r="E708" s="697"/>
      <c r="F708" s="695"/>
      <c r="G708" s="696"/>
      <c r="K708" s="22" t="str">
        <f t="shared" si="21"/>
        <v/>
      </c>
      <c r="M708" s="534" t="str">
        <f t="shared" si="20"/>
        <v/>
      </c>
    </row>
    <row r="709" spans="2:13" ht="15.75" x14ac:dyDescent="0.25">
      <c r="B709" s="692"/>
      <c r="C709" s="117" t="str">
        <f>IF(ISNUMBER(B709),IFERROR(VLOOKUP(B709,'נתוני רישום ומצבת'!B:J,3,0),""),"")</f>
        <v/>
      </c>
      <c r="D709" s="693"/>
      <c r="E709" s="697"/>
      <c r="F709" s="695"/>
      <c r="G709" s="696"/>
      <c r="K709" s="22" t="str">
        <f t="shared" si="21"/>
        <v/>
      </c>
      <c r="M709" s="534" t="str">
        <f t="shared" si="20"/>
        <v/>
      </c>
    </row>
    <row r="710" spans="2:13" ht="15.75" x14ac:dyDescent="0.25">
      <c r="B710" s="692"/>
      <c r="C710" s="117" t="str">
        <f>IF(ISNUMBER(B710),IFERROR(VLOOKUP(B710,'נתוני רישום ומצבת'!B:J,3,0),""),"")</f>
        <v/>
      </c>
      <c r="D710" s="693"/>
      <c r="E710" s="697"/>
      <c r="F710" s="695"/>
      <c r="G710" s="696"/>
      <c r="K710" s="22" t="str">
        <f t="shared" si="21"/>
        <v/>
      </c>
      <c r="M710" s="534" t="str">
        <f t="shared" si="20"/>
        <v/>
      </c>
    </row>
    <row r="711" spans="2:13" ht="15.75" x14ac:dyDescent="0.25">
      <c r="B711" s="692"/>
      <c r="C711" s="117" t="str">
        <f>IF(ISNUMBER(B711),IFERROR(VLOOKUP(B711,'נתוני רישום ומצבת'!B:J,3,0),""),"")</f>
        <v/>
      </c>
      <c r="D711" s="693"/>
      <c r="E711" s="697"/>
      <c r="F711" s="695"/>
      <c r="G711" s="696"/>
      <c r="K711" s="22" t="str">
        <f t="shared" si="21"/>
        <v/>
      </c>
      <c r="M711" s="534" t="str">
        <f t="shared" si="20"/>
        <v/>
      </c>
    </row>
    <row r="712" spans="2:13" ht="15.75" x14ac:dyDescent="0.25">
      <c r="B712" s="692"/>
      <c r="C712" s="117" t="str">
        <f>IF(ISNUMBER(B712),IFERROR(VLOOKUP(B712,'נתוני רישום ומצבת'!B:J,3,0),""),"")</f>
        <v/>
      </c>
      <c r="D712" s="693"/>
      <c r="E712" s="697"/>
      <c r="F712" s="695"/>
      <c r="G712" s="696"/>
      <c r="K712" s="22" t="str">
        <f t="shared" si="21"/>
        <v/>
      </c>
      <c r="M712" s="534" t="str">
        <f t="shared" si="20"/>
        <v/>
      </c>
    </row>
    <row r="713" spans="2:13" ht="15.75" x14ac:dyDescent="0.25">
      <c r="B713" s="692"/>
      <c r="C713" s="117" t="str">
        <f>IF(ISNUMBER(B713),IFERROR(VLOOKUP(B713,'נתוני רישום ומצבת'!B:J,3,0),""),"")</f>
        <v/>
      </c>
      <c r="D713" s="693"/>
      <c r="E713" s="697"/>
      <c r="F713" s="695"/>
      <c r="G713" s="696"/>
      <c r="K713" s="22" t="str">
        <f t="shared" si="21"/>
        <v/>
      </c>
      <c r="M713" s="534" t="str">
        <f t="shared" si="20"/>
        <v/>
      </c>
    </row>
    <row r="714" spans="2:13" ht="15.75" x14ac:dyDescent="0.25">
      <c r="B714" s="692"/>
      <c r="C714" s="117" t="str">
        <f>IF(ISNUMBER(B714),IFERROR(VLOOKUP(B714,'נתוני רישום ומצבת'!B:J,3,0),""),"")</f>
        <v/>
      </c>
      <c r="D714" s="693"/>
      <c r="E714" s="697"/>
      <c r="F714" s="695"/>
      <c r="G714" s="696"/>
      <c r="K714" s="22" t="str">
        <f t="shared" si="21"/>
        <v/>
      </c>
      <c r="M714" s="534" t="str">
        <f t="shared" si="20"/>
        <v/>
      </c>
    </row>
    <row r="715" spans="2:13" ht="15.75" x14ac:dyDescent="0.25">
      <c r="B715" s="692"/>
      <c r="C715" s="117" t="str">
        <f>IF(ISNUMBER(B715),IFERROR(VLOOKUP(B715,'נתוני רישום ומצבת'!B:J,3,0),""),"")</f>
        <v/>
      </c>
      <c r="D715" s="693"/>
      <c r="E715" s="697"/>
      <c r="F715" s="695"/>
      <c r="G715" s="696"/>
      <c r="K715" s="22" t="str">
        <f t="shared" si="21"/>
        <v/>
      </c>
      <c r="M715" s="534" t="str">
        <f t="shared" si="20"/>
        <v/>
      </c>
    </row>
    <row r="716" spans="2:13" ht="15.75" x14ac:dyDescent="0.25">
      <c r="B716" s="692"/>
      <c r="C716" s="117" t="str">
        <f>IF(ISNUMBER(B716),IFERROR(VLOOKUP(B716,'נתוני רישום ומצבת'!B:J,3,0),""),"")</f>
        <v/>
      </c>
      <c r="D716" s="693"/>
      <c r="E716" s="697"/>
      <c r="F716" s="695"/>
      <c r="G716" s="696"/>
      <c r="K716" s="22" t="str">
        <f t="shared" si="21"/>
        <v/>
      </c>
      <c r="M716" s="534" t="str">
        <f t="shared" si="20"/>
        <v/>
      </c>
    </row>
    <row r="717" spans="2:13" ht="15.75" x14ac:dyDescent="0.25">
      <c r="B717" s="692"/>
      <c r="C717" s="117" t="str">
        <f>IF(ISNUMBER(B717),IFERROR(VLOOKUP(B717,'נתוני רישום ומצבת'!B:J,3,0),""),"")</f>
        <v/>
      </c>
      <c r="D717" s="693"/>
      <c r="E717" s="697"/>
      <c r="F717" s="695"/>
      <c r="G717" s="696"/>
      <c r="K717" s="22" t="str">
        <f t="shared" si="21"/>
        <v/>
      </c>
      <c r="M717" s="534" t="str">
        <f t="shared" si="20"/>
        <v/>
      </c>
    </row>
    <row r="718" spans="2:13" ht="15.75" x14ac:dyDescent="0.25">
      <c r="B718" s="692"/>
      <c r="C718" s="117" t="str">
        <f>IF(ISNUMBER(B718),IFERROR(VLOOKUP(B718,'נתוני רישום ומצבת'!B:J,3,0),""),"")</f>
        <v/>
      </c>
      <c r="D718" s="693"/>
      <c r="E718" s="697"/>
      <c r="F718" s="695"/>
      <c r="G718" s="696"/>
      <c r="K718" s="22" t="str">
        <f t="shared" si="21"/>
        <v/>
      </c>
      <c r="M718" s="534" t="str">
        <f t="shared" si="20"/>
        <v/>
      </c>
    </row>
    <row r="719" spans="2:13" ht="15.75" x14ac:dyDescent="0.25">
      <c r="B719" s="692"/>
      <c r="C719" s="117" t="str">
        <f>IF(ISNUMBER(B719),IFERROR(VLOOKUP(B719,'נתוני רישום ומצבת'!B:J,3,0),""),"")</f>
        <v/>
      </c>
      <c r="D719" s="693"/>
      <c r="E719" s="697"/>
      <c r="F719" s="695"/>
      <c r="G719" s="696"/>
      <c r="K719" s="22" t="str">
        <f t="shared" si="21"/>
        <v/>
      </c>
      <c r="M719" s="534" t="str">
        <f t="shared" si="20"/>
        <v/>
      </c>
    </row>
    <row r="720" spans="2:13" ht="15.75" x14ac:dyDescent="0.25">
      <c r="B720" s="692"/>
      <c r="C720" s="117" t="str">
        <f>IF(ISNUMBER(B720),IFERROR(VLOOKUP(B720,'נתוני רישום ומצבת'!B:J,3,0),""),"")</f>
        <v/>
      </c>
      <c r="D720" s="693"/>
      <c r="E720" s="697"/>
      <c r="F720" s="695"/>
      <c r="G720" s="696"/>
      <c r="K720" s="22" t="str">
        <f t="shared" si="21"/>
        <v/>
      </c>
      <c r="M720" s="534" t="str">
        <f t="shared" si="20"/>
        <v/>
      </c>
    </row>
    <row r="721" spans="2:13" ht="15.75" x14ac:dyDescent="0.25">
      <c r="B721" s="692"/>
      <c r="C721" s="117" t="str">
        <f>IF(ISNUMBER(B721),IFERROR(VLOOKUP(B721,'נתוני רישום ומצבת'!B:J,3,0),""),"")</f>
        <v/>
      </c>
      <c r="D721" s="693"/>
      <c r="E721" s="697"/>
      <c r="F721" s="695"/>
      <c r="G721" s="696"/>
      <c r="K721" s="22" t="str">
        <f t="shared" si="21"/>
        <v/>
      </c>
      <c r="M721" s="534" t="str">
        <f t="shared" ref="M721:M784" si="22">TEXT(LEFT(D721,2),0)</f>
        <v/>
      </c>
    </row>
    <row r="722" spans="2:13" ht="15.75" x14ac:dyDescent="0.25">
      <c r="B722" s="692"/>
      <c r="C722" s="117" t="str">
        <f>IF(ISNUMBER(B722),IFERROR(VLOOKUP(B722,'נתוני רישום ומצבת'!B:J,3,0),""),"")</f>
        <v/>
      </c>
      <c r="D722" s="693"/>
      <c r="E722" s="697"/>
      <c r="F722" s="695"/>
      <c r="G722" s="696"/>
      <c r="K722" s="22" t="str">
        <f t="shared" si="21"/>
        <v/>
      </c>
      <c r="M722" s="534" t="str">
        <f t="shared" si="22"/>
        <v/>
      </c>
    </row>
    <row r="723" spans="2:13" ht="15.75" x14ac:dyDescent="0.25">
      <c r="B723" s="692"/>
      <c r="C723" s="117" t="str">
        <f>IF(ISNUMBER(B723),IFERROR(VLOOKUP(B723,'נתוני רישום ומצבת'!B:J,3,0),""),"")</f>
        <v/>
      </c>
      <c r="D723" s="693"/>
      <c r="E723" s="697"/>
      <c r="F723" s="695"/>
      <c r="G723" s="696"/>
      <c r="K723" s="22" t="str">
        <f t="shared" si="21"/>
        <v/>
      </c>
      <c r="M723" s="534" t="str">
        <f t="shared" si="22"/>
        <v/>
      </c>
    </row>
    <row r="724" spans="2:13" ht="15.75" x14ac:dyDescent="0.25">
      <c r="B724" s="692"/>
      <c r="C724" s="117" t="str">
        <f>IF(ISNUMBER(B724),IFERROR(VLOOKUP(B724,'נתוני רישום ומצבת'!B:J,3,0),""),"")</f>
        <v/>
      </c>
      <c r="D724" s="693"/>
      <c r="E724" s="697"/>
      <c r="F724" s="695"/>
      <c r="G724" s="696"/>
      <c r="K724" s="22" t="str">
        <f t="shared" si="21"/>
        <v/>
      </c>
      <c r="M724" s="534" t="str">
        <f t="shared" si="22"/>
        <v/>
      </c>
    </row>
    <row r="725" spans="2:13" ht="15.75" x14ac:dyDescent="0.25">
      <c r="B725" s="692"/>
      <c r="C725" s="117" t="str">
        <f>IF(ISNUMBER(B725),IFERROR(VLOOKUP(B725,'נתוני רישום ומצבת'!B:J,3,0),""),"")</f>
        <v/>
      </c>
      <c r="D725" s="693"/>
      <c r="E725" s="697"/>
      <c r="F725" s="695"/>
      <c r="G725" s="696"/>
      <c r="K725" s="22" t="str">
        <f t="shared" ref="K725:K788" si="23">IF(C712&lt;5,IF(D725=$F$8,-E725," "),"")</f>
        <v/>
      </c>
      <c r="M725" s="534" t="str">
        <f t="shared" si="22"/>
        <v/>
      </c>
    </row>
    <row r="726" spans="2:13" ht="15.75" x14ac:dyDescent="0.25">
      <c r="B726" s="692"/>
      <c r="C726" s="117" t="str">
        <f>IF(ISNUMBER(B726),IFERROR(VLOOKUP(B726,'נתוני רישום ומצבת'!B:J,3,0),""),"")</f>
        <v/>
      </c>
      <c r="D726" s="693"/>
      <c r="E726" s="697"/>
      <c r="F726" s="695"/>
      <c r="G726" s="696"/>
      <c r="K726" s="22" t="str">
        <f t="shared" si="23"/>
        <v/>
      </c>
      <c r="M726" s="534" t="str">
        <f t="shared" si="22"/>
        <v/>
      </c>
    </row>
    <row r="727" spans="2:13" ht="15.75" x14ac:dyDescent="0.25">
      <c r="B727" s="692"/>
      <c r="C727" s="117" t="str">
        <f>IF(ISNUMBER(B727),IFERROR(VLOOKUP(B727,'נתוני רישום ומצבת'!B:J,3,0),""),"")</f>
        <v/>
      </c>
      <c r="D727" s="693"/>
      <c r="E727" s="697"/>
      <c r="F727" s="695"/>
      <c r="G727" s="696"/>
      <c r="K727" s="22" t="str">
        <f t="shared" si="23"/>
        <v/>
      </c>
      <c r="M727" s="534" t="str">
        <f t="shared" si="22"/>
        <v/>
      </c>
    </row>
    <row r="728" spans="2:13" ht="15.75" x14ac:dyDescent="0.25">
      <c r="B728" s="692"/>
      <c r="C728" s="117" t="str">
        <f>IF(ISNUMBER(B728),IFERROR(VLOOKUP(B728,'נתוני רישום ומצבת'!B:J,3,0),""),"")</f>
        <v/>
      </c>
      <c r="D728" s="693"/>
      <c r="E728" s="697"/>
      <c r="F728" s="695"/>
      <c r="G728" s="696"/>
      <c r="K728" s="22" t="str">
        <f t="shared" si="23"/>
        <v/>
      </c>
      <c r="M728" s="534" t="str">
        <f t="shared" si="22"/>
        <v/>
      </c>
    </row>
    <row r="729" spans="2:13" ht="15.75" x14ac:dyDescent="0.25">
      <c r="B729" s="692"/>
      <c r="C729" s="117" t="str">
        <f>IF(ISNUMBER(B729),IFERROR(VLOOKUP(B729,'נתוני רישום ומצבת'!B:J,3,0),""),"")</f>
        <v/>
      </c>
      <c r="D729" s="693"/>
      <c r="E729" s="697"/>
      <c r="F729" s="695"/>
      <c r="G729" s="696"/>
      <c r="K729" s="22" t="str">
        <f t="shared" si="23"/>
        <v/>
      </c>
      <c r="M729" s="534" t="str">
        <f t="shared" si="22"/>
        <v/>
      </c>
    </row>
    <row r="730" spans="2:13" ht="15.75" x14ac:dyDescent="0.25">
      <c r="B730" s="692"/>
      <c r="C730" s="117" t="str">
        <f>IF(ISNUMBER(B730),IFERROR(VLOOKUP(B730,'נתוני רישום ומצבת'!B:J,3,0),""),"")</f>
        <v/>
      </c>
      <c r="D730" s="693"/>
      <c r="E730" s="697"/>
      <c r="F730" s="695"/>
      <c r="G730" s="696"/>
      <c r="K730" s="22" t="str">
        <f t="shared" si="23"/>
        <v/>
      </c>
      <c r="M730" s="534" t="str">
        <f t="shared" si="22"/>
        <v/>
      </c>
    </row>
    <row r="731" spans="2:13" ht="15.75" x14ac:dyDescent="0.25">
      <c r="B731" s="692"/>
      <c r="C731" s="117" t="str">
        <f>IF(ISNUMBER(B731),IFERROR(VLOOKUP(B731,'נתוני רישום ומצבת'!B:J,3,0),""),"")</f>
        <v/>
      </c>
      <c r="D731" s="693"/>
      <c r="E731" s="697"/>
      <c r="F731" s="695"/>
      <c r="G731" s="696"/>
      <c r="K731" s="22" t="str">
        <f t="shared" si="23"/>
        <v/>
      </c>
      <c r="M731" s="534" t="str">
        <f t="shared" si="22"/>
        <v/>
      </c>
    </row>
    <row r="732" spans="2:13" ht="15.75" x14ac:dyDescent="0.25">
      <c r="B732" s="692"/>
      <c r="C732" s="117" t="str">
        <f>IF(ISNUMBER(B732),IFERROR(VLOOKUP(B732,'נתוני רישום ומצבת'!B:J,3,0),""),"")</f>
        <v/>
      </c>
      <c r="D732" s="693"/>
      <c r="E732" s="697"/>
      <c r="F732" s="695"/>
      <c r="G732" s="696"/>
      <c r="K732" s="22" t="str">
        <f t="shared" si="23"/>
        <v/>
      </c>
      <c r="M732" s="534" t="str">
        <f t="shared" si="22"/>
        <v/>
      </c>
    </row>
    <row r="733" spans="2:13" ht="15.75" x14ac:dyDescent="0.25">
      <c r="B733" s="692"/>
      <c r="C733" s="117" t="str">
        <f>IF(ISNUMBER(B733),IFERROR(VLOOKUP(B733,'נתוני רישום ומצבת'!B:J,3,0),""),"")</f>
        <v/>
      </c>
      <c r="D733" s="693"/>
      <c r="E733" s="697"/>
      <c r="F733" s="695"/>
      <c r="G733" s="696"/>
      <c r="K733" s="22" t="str">
        <f t="shared" si="23"/>
        <v/>
      </c>
      <c r="M733" s="534" t="str">
        <f t="shared" si="22"/>
        <v/>
      </c>
    </row>
    <row r="734" spans="2:13" ht="15.75" x14ac:dyDescent="0.25">
      <c r="B734" s="692"/>
      <c r="C734" s="117" t="str">
        <f>IF(ISNUMBER(B734),IFERROR(VLOOKUP(B734,'נתוני רישום ומצבת'!B:J,3,0),""),"")</f>
        <v/>
      </c>
      <c r="D734" s="693"/>
      <c r="E734" s="697"/>
      <c r="F734" s="695"/>
      <c r="G734" s="696"/>
      <c r="K734" s="22" t="str">
        <f t="shared" si="23"/>
        <v/>
      </c>
      <c r="M734" s="534" t="str">
        <f t="shared" si="22"/>
        <v/>
      </c>
    </row>
    <row r="735" spans="2:13" ht="15.75" x14ac:dyDescent="0.25">
      <c r="B735" s="692"/>
      <c r="C735" s="117" t="str">
        <f>IF(ISNUMBER(B735),IFERROR(VLOOKUP(B735,'נתוני רישום ומצבת'!B:J,3,0),""),"")</f>
        <v/>
      </c>
      <c r="D735" s="693"/>
      <c r="E735" s="697"/>
      <c r="F735" s="695"/>
      <c r="G735" s="696"/>
      <c r="K735" s="22" t="str">
        <f t="shared" si="23"/>
        <v/>
      </c>
      <c r="M735" s="534" t="str">
        <f t="shared" si="22"/>
        <v/>
      </c>
    </row>
    <row r="736" spans="2:13" ht="15.75" x14ac:dyDescent="0.25">
      <c r="B736" s="692"/>
      <c r="C736" s="117" t="str">
        <f>IF(ISNUMBER(B736),IFERROR(VLOOKUP(B736,'נתוני רישום ומצבת'!B:J,3,0),""),"")</f>
        <v/>
      </c>
      <c r="D736" s="693"/>
      <c r="E736" s="697"/>
      <c r="F736" s="695"/>
      <c r="G736" s="696"/>
      <c r="K736" s="22" t="str">
        <f t="shared" si="23"/>
        <v/>
      </c>
      <c r="M736" s="534" t="str">
        <f t="shared" si="22"/>
        <v/>
      </c>
    </row>
    <row r="737" spans="2:13" ht="15.75" x14ac:dyDescent="0.25">
      <c r="B737" s="692"/>
      <c r="C737" s="117" t="str">
        <f>IF(ISNUMBER(B737),IFERROR(VLOOKUP(B737,'נתוני רישום ומצבת'!B:J,3,0),""),"")</f>
        <v/>
      </c>
      <c r="D737" s="693"/>
      <c r="E737" s="697"/>
      <c r="F737" s="695"/>
      <c r="G737" s="696"/>
      <c r="K737" s="22" t="str">
        <f t="shared" si="23"/>
        <v/>
      </c>
      <c r="M737" s="534" t="str">
        <f t="shared" si="22"/>
        <v/>
      </c>
    </row>
    <row r="738" spans="2:13" ht="15.75" x14ac:dyDescent="0.25">
      <c r="B738" s="692"/>
      <c r="C738" s="117" t="str">
        <f>IF(ISNUMBER(B738),IFERROR(VLOOKUP(B738,'נתוני רישום ומצבת'!B:J,3,0),""),"")</f>
        <v/>
      </c>
      <c r="D738" s="693"/>
      <c r="E738" s="697"/>
      <c r="F738" s="695"/>
      <c r="G738" s="696"/>
      <c r="K738" s="22" t="str">
        <f t="shared" si="23"/>
        <v/>
      </c>
      <c r="M738" s="534" t="str">
        <f t="shared" si="22"/>
        <v/>
      </c>
    </row>
    <row r="739" spans="2:13" ht="15.75" x14ac:dyDescent="0.25">
      <c r="B739" s="692"/>
      <c r="C739" s="117" t="str">
        <f>IF(ISNUMBER(B739),IFERROR(VLOOKUP(B739,'נתוני רישום ומצבת'!B:J,3,0),""),"")</f>
        <v/>
      </c>
      <c r="D739" s="693"/>
      <c r="E739" s="697"/>
      <c r="F739" s="695"/>
      <c r="G739" s="696"/>
      <c r="K739" s="22" t="str">
        <f t="shared" si="23"/>
        <v/>
      </c>
      <c r="M739" s="534" t="str">
        <f t="shared" si="22"/>
        <v/>
      </c>
    </row>
    <row r="740" spans="2:13" ht="15.75" x14ac:dyDescent="0.25">
      <c r="B740" s="692"/>
      <c r="C740" s="117" t="str">
        <f>IF(ISNUMBER(B740),IFERROR(VLOOKUP(B740,'נתוני רישום ומצבת'!B:J,3,0),""),"")</f>
        <v/>
      </c>
      <c r="D740" s="693"/>
      <c r="E740" s="697"/>
      <c r="F740" s="695"/>
      <c r="G740" s="696"/>
      <c r="K740" s="22" t="str">
        <f t="shared" si="23"/>
        <v/>
      </c>
      <c r="M740" s="534" t="str">
        <f t="shared" si="22"/>
        <v/>
      </c>
    </row>
    <row r="741" spans="2:13" ht="15.75" x14ac:dyDescent="0.25">
      <c r="B741" s="692"/>
      <c r="C741" s="117" t="str">
        <f>IF(ISNUMBER(B741),IFERROR(VLOOKUP(B741,'נתוני רישום ומצבת'!B:J,3,0),""),"")</f>
        <v/>
      </c>
      <c r="D741" s="693"/>
      <c r="E741" s="697"/>
      <c r="F741" s="695"/>
      <c r="G741" s="696"/>
      <c r="K741" s="22" t="str">
        <f t="shared" si="23"/>
        <v/>
      </c>
      <c r="M741" s="534" t="str">
        <f t="shared" si="22"/>
        <v/>
      </c>
    </row>
    <row r="742" spans="2:13" ht="15.75" x14ac:dyDescent="0.25">
      <c r="B742" s="692"/>
      <c r="C742" s="117" t="str">
        <f>IF(ISNUMBER(B742),IFERROR(VLOOKUP(B742,'נתוני רישום ומצבת'!B:J,3,0),""),"")</f>
        <v/>
      </c>
      <c r="D742" s="693"/>
      <c r="E742" s="697"/>
      <c r="F742" s="695"/>
      <c r="G742" s="696"/>
      <c r="K742" s="22" t="str">
        <f t="shared" si="23"/>
        <v/>
      </c>
      <c r="M742" s="534" t="str">
        <f t="shared" si="22"/>
        <v/>
      </c>
    </row>
    <row r="743" spans="2:13" ht="15.75" x14ac:dyDescent="0.25">
      <c r="B743" s="692"/>
      <c r="C743" s="117" t="str">
        <f>IF(ISNUMBER(B743),IFERROR(VLOOKUP(B743,'נתוני רישום ומצבת'!B:J,3,0),""),"")</f>
        <v/>
      </c>
      <c r="D743" s="693"/>
      <c r="E743" s="697"/>
      <c r="F743" s="695"/>
      <c r="G743" s="696"/>
      <c r="K743" s="22" t="str">
        <f t="shared" si="23"/>
        <v/>
      </c>
      <c r="M743" s="534" t="str">
        <f t="shared" si="22"/>
        <v/>
      </c>
    </row>
    <row r="744" spans="2:13" ht="15.75" x14ac:dyDescent="0.25">
      <c r="B744" s="692"/>
      <c r="C744" s="117" t="str">
        <f>IF(ISNUMBER(B744),IFERROR(VLOOKUP(B744,'נתוני רישום ומצבת'!B:J,3,0),""),"")</f>
        <v/>
      </c>
      <c r="D744" s="693"/>
      <c r="E744" s="697"/>
      <c r="F744" s="695"/>
      <c r="G744" s="696"/>
      <c r="K744" s="22" t="str">
        <f t="shared" si="23"/>
        <v/>
      </c>
      <c r="M744" s="534" t="str">
        <f t="shared" si="22"/>
        <v/>
      </c>
    </row>
    <row r="745" spans="2:13" ht="15.75" x14ac:dyDescent="0.25">
      <c r="B745" s="692"/>
      <c r="C745" s="117" t="str">
        <f>IF(ISNUMBER(B745),IFERROR(VLOOKUP(B745,'נתוני רישום ומצבת'!B:J,3,0),""),"")</f>
        <v/>
      </c>
      <c r="D745" s="693"/>
      <c r="E745" s="697"/>
      <c r="F745" s="695"/>
      <c r="G745" s="696"/>
      <c r="K745" s="22" t="str">
        <f t="shared" si="23"/>
        <v/>
      </c>
      <c r="M745" s="534" t="str">
        <f t="shared" si="22"/>
        <v/>
      </c>
    </row>
    <row r="746" spans="2:13" ht="15.75" x14ac:dyDescent="0.25">
      <c r="B746" s="692"/>
      <c r="C746" s="117" t="str">
        <f>IF(ISNUMBER(B746),IFERROR(VLOOKUP(B746,'נתוני רישום ומצבת'!B:J,3,0),""),"")</f>
        <v/>
      </c>
      <c r="D746" s="693"/>
      <c r="E746" s="697"/>
      <c r="F746" s="695"/>
      <c r="G746" s="696"/>
      <c r="K746" s="22" t="str">
        <f t="shared" si="23"/>
        <v/>
      </c>
      <c r="M746" s="534" t="str">
        <f t="shared" si="22"/>
        <v/>
      </c>
    </row>
    <row r="747" spans="2:13" ht="15.75" x14ac:dyDescent="0.25">
      <c r="B747" s="692"/>
      <c r="C747" s="117" t="str">
        <f>IF(ISNUMBER(B747),IFERROR(VLOOKUP(B747,'נתוני רישום ומצבת'!B:J,3,0),""),"")</f>
        <v/>
      </c>
      <c r="D747" s="693"/>
      <c r="E747" s="697"/>
      <c r="F747" s="695"/>
      <c r="G747" s="696"/>
      <c r="K747" s="22" t="str">
        <f t="shared" si="23"/>
        <v/>
      </c>
      <c r="M747" s="534" t="str">
        <f t="shared" si="22"/>
        <v/>
      </c>
    </row>
    <row r="748" spans="2:13" ht="15.75" x14ac:dyDescent="0.25">
      <c r="B748" s="692"/>
      <c r="C748" s="117" t="str">
        <f>IF(ISNUMBER(B748),IFERROR(VLOOKUP(B748,'נתוני רישום ומצבת'!B:J,3,0),""),"")</f>
        <v/>
      </c>
      <c r="D748" s="693"/>
      <c r="E748" s="697"/>
      <c r="F748" s="695"/>
      <c r="G748" s="696"/>
      <c r="K748" s="22" t="str">
        <f t="shared" si="23"/>
        <v/>
      </c>
      <c r="M748" s="534" t="str">
        <f t="shared" si="22"/>
        <v/>
      </c>
    </row>
    <row r="749" spans="2:13" ht="15.75" x14ac:dyDescent="0.25">
      <c r="B749" s="692"/>
      <c r="C749" s="117" t="str">
        <f>IF(ISNUMBER(B749),IFERROR(VLOOKUP(B749,'נתוני רישום ומצבת'!B:J,3,0),""),"")</f>
        <v/>
      </c>
      <c r="D749" s="693"/>
      <c r="E749" s="697"/>
      <c r="F749" s="695"/>
      <c r="G749" s="696"/>
      <c r="K749" s="22" t="str">
        <f t="shared" si="23"/>
        <v/>
      </c>
      <c r="M749" s="534" t="str">
        <f t="shared" si="22"/>
        <v/>
      </c>
    </row>
    <row r="750" spans="2:13" ht="15.75" x14ac:dyDescent="0.25">
      <c r="B750" s="692"/>
      <c r="C750" s="117" t="str">
        <f>IF(ISNUMBER(B750),IFERROR(VLOOKUP(B750,'נתוני רישום ומצבת'!B:J,3,0),""),"")</f>
        <v/>
      </c>
      <c r="D750" s="693"/>
      <c r="E750" s="697"/>
      <c r="F750" s="695"/>
      <c r="G750" s="696"/>
      <c r="K750" s="22" t="str">
        <f t="shared" si="23"/>
        <v/>
      </c>
      <c r="M750" s="534" t="str">
        <f t="shared" si="22"/>
        <v/>
      </c>
    </row>
    <row r="751" spans="2:13" ht="15.75" x14ac:dyDescent="0.25">
      <c r="B751" s="692"/>
      <c r="C751" s="117" t="str">
        <f>IF(ISNUMBER(B751),IFERROR(VLOOKUP(B751,'נתוני רישום ומצבת'!B:J,3,0),""),"")</f>
        <v/>
      </c>
      <c r="D751" s="693"/>
      <c r="E751" s="697"/>
      <c r="F751" s="695"/>
      <c r="G751" s="696"/>
      <c r="K751" s="22" t="str">
        <f t="shared" si="23"/>
        <v/>
      </c>
      <c r="M751" s="534" t="str">
        <f t="shared" si="22"/>
        <v/>
      </c>
    </row>
    <row r="752" spans="2:13" ht="15.75" x14ac:dyDescent="0.25">
      <c r="B752" s="692"/>
      <c r="C752" s="117" t="str">
        <f>IF(ISNUMBER(B752),IFERROR(VLOOKUP(B752,'נתוני רישום ומצבת'!B:J,3,0),""),"")</f>
        <v/>
      </c>
      <c r="D752" s="693"/>
      <c r="E752" s="697"/>
      <c r="F752" s="695"/>
      <c r="G752" s="696"/>
      <c r="K752" s="22" t="str">
        <f t="shared" si="23"/>
        <v/>
      </c>
      <c r="M752" s="534" t="str">
        <f t="shared" si="22"/>
        <v/>
      </c>
    </row>
    <row r="753" spans="2:13" ht="15.75" x14ac:dyDescent="0.25">
      <c r="B753" s="692"/>
      <c r="C753" s="117" t="str">
        <f>IF(ISNUMBER(B753),IFERROR(VLOOKUP(B753,'נתוני רישום ומצבת'!B:J,3,0),""),"")</f>
        <v/>
      </c>
      <c r="D753" s="693"/>
      <c r="E753" s="697"/>
      <c r="F753" s="695"/>
      <c r="G753" s="696"/>
      <c r="K753" s="22" t="str">
        <f t="shared" si="23"/>
        <v/>
      </c>
      <c r="M753" s="534" t="str">
        <f t="shared" si="22"/>
        <v/>
      </c>
    </row>
    <row r="754" spans="2:13" ht="15.75" x14ac:dyDescent="0.25">
      <c r="B754" s="692"/>
      <c r="C754" s="117" t="str">
        <f>IF(ISNUMBER(B754),IFERROR(VLOOKUP(B754,'נתוני רישום ומצבת'!B:J,3,0),""),"")</f>
        <v/>
      </c>
      <c r="D754" s="693"/>
      <c r="E754" s="697"/>
      <c r="F754" s="695"/>
      <c r="G754" s="696"/>
      <c r="K754" s="22" t="str">
        <f t="shared" si="23"/>
        <v/>
      </c>
      <c r="M754" s="534" t="str">
        <f t="shared" si="22"/>
        <v/>
      </c>
    </row>
    <row r="755" spans="2:13" ht="15.75" x14ac:dyDescent="0.25">
      <c r="B755" s="692"/>
      <c r="C755" s="117" t="str">
        <f>IF(ISNUMBER(B755),IFERROR(VLOOKUP(B755,'נתוני רישום ומצבת'!B:J,3,0),""),"")</f>
        <v/>
      </c>
      <c r="D755" s="693"/>
      <c r="E755" s="697"/>
      <c r="F755" s="695"/>
      <c r="G755" s="696"/>
      <c r="K755" s="22" t="str">
        <f t="shared" si="23"/>
        <v/>
      </c>
      <c r="M755" s="534" t="str">
        <f t="shared" si="22"/>
        <v/>
      </c>
    </row>
    <row r="756" spans="2:13" ht="15.75" x14ac:dyDescent="0.25">
      <c r="B756" s="692"/>
      <c r="C756" s="117" t="str">
        <f>IF(ISNUMBER(B756),IFERROR(VLOOKUP(B756,'נתוני רישום ומצבת'!B:J,3,0),""),"")</f>
        <v/>
      </c>
      <c r="D756" s="693"/>
      <c r="E756" s="697"/>
      <c r="F756" s="695"/>
      <c r="G756" s="696"/>
      <c r="K756" s="22" t="str">
        <f t="shared" si="23"/>
        <v/>
      </c>
      <c r="M756" s="534" t="str">
        <f t="shared" si="22"/>
        <v/>
      </c>
    </row>
    <row r="757" spans="2:13" ht="15.75" x14ac:dyDescent="0.25">
      <c r="B757" s="692"/>
      <c r="C757" s="117" t="str">
        <f>IF(ISNUMBER(B757),IFERROR(VLOOKUP(B757,'נתוני רישום ומצבת'!B:J,3,0),""),"")</f>
        <v/>
      </c>
      <c r="D757" s="693"/>
      <c r="E757" s="697"/>
      <c r="F757" s="695"/>
      <c r="G757" s="696"/>
      <c r="K757" s="22" t="str">
        <f t="shared" si="23"/>
        <v/>
      </c>
      <c r="M757" s="534" t="str">
        <f t="shared" si="22"/>
        <v/>
      </c>
    </row>
    <row r="758" spans="2:13" ht="15.75" x14ac:dyDescent="0.25">
      <c r="B758" s="692"/>
      <c r="C758" s="117" t="str">
        <f>IF(ISNUMBER(B758),IFERROR(VLOOKUP(B758,'נתוני רישום ומצבת'!B:J,3,0),""),"")</f>
        <v/>
      </c>
      <c r="D758" s="693"/>
      <c r="E758" s="697"/>
      <c r="F758" s="695"/>
      <c r="G758" s="696"/>
      <c r="K758" s="22" t="str">
        <f t="shared" si="23"/>
        <v/>
      </c>
      <c r="M758" s="534" t="str">
        <f t="shared" si="22"/>
        <v/>
      </c>
    </row>
    <row r="759" spans="2:13" ht="15.75" x14ac:dyDescent="0.25">
      <c r="B759" s="692"/>
      <c r="C759" s="117" t="str">
        <f>IF(ISNUMBER(B759),IFERROR(VLOOKUP(B759,'נתוני רישום ומצבת'!B:J,3,0),""),"")</f>
        <v/>
      </c>
      <c r="D759" s="693"/>
      <c r="E759" s="697"/>
      <c r="F759" s="695"/>
      <c r="G759" s="696"/>
      <c r="K759" s="22" t="str">
        <f t="shared" si="23"/>
        <v/>
      </c>
      <c r="M759" s="534" t="str">
        <f t="shared" si="22"/>
        <v/>
      </c>
    </row>
    <row r="760" spans="2:13" ht="15.75" x14ac:dyDescent="0.25">
      <c r="B760" s="692"/>
      <c r="C760" s="117" t="str">
        <f>IF(ISNUMBER(B760),IFERROR(VLOOKUP(B760,'נתוני רישום ומצבת'!B:J,3,0),""),"")</f>
        <v/>
      </c>
      <c r="D760" s="693"/>
      <c r="E760" s="697"/>
      <c r="F760" s="695"/>
      <c r="G760" s="696"/>
      <c r="K760" s="22" t="str">
        <f t="shared" si="23"/>
        <v/>
      </c>
      <c r="M760" s="534" t="str">
        <f t="shared" si="22"/>
        <v/>
      </c>
    </row>
    <row r="761" spans="2:13" ht="15.75" x14ac:dyDescent="0.25">
      <c r="B761" s="692"/>
      <c r="C761" s="117" t="str">
        <f>IF(ISNUMBER(B761),IFERROR(VLOOKUP(B761,'נתוני רישום ומצבת'!B:J,3,0),""),"")</f>
        <v/>
      </c>
      <c r="D761" s="693"/>
      <c r="E761" s="697"/>
      <c r="F761" s="695"/>
      <c r="G761" s="696"/>
      <c r="K761" s="22" t="str">
        <f t="shared" si="23"/>
        <v/>
      </c>
      <c r="M761" s="534" t="str">
        <f t="shared" si="22"/>
        <v/>
      </c>
    </row>
    <row r="762" spans="2:13" ht="15.75" x14ac:dyDescent="0.25">
      <c r="B762" s="692"/>
      <c r="C762" s="117" t="str">
        <f>IF(ISNUMBER(B762),IFERROR(VLOOKUP(B762,'נתוני רישום ומצבת'!B:J,3,0),""),"")</f>
        <v/>
      </c>
      <c r="D762" s="693"/>
      <c r="E762" s="697"/>
      <c r="F762" s="695"/>
      <c r="G762" s="696"/>
      <c r="K762" s="22" t="str">
        <f t="shared" si="23"/>
        <v/>
      </c>
      <c r="M762" s="534" t="str">
        <f t="shared" si="22"/>
        <v/>
      </c>
    </row>
    <row r="763" spans="2:13" ht="15.75" x14ac:dyDescent="0.25">
      <c r="B763" s="692"/>
      <c r="C763" s="117" t="str">
        <f>IF(ISNUMBER(B763),IFERROR(VLOOKUP(B763,'נתוני רישום ומצבת'!B:J,3,0),""),"")</f>
        <v/>
      </c>
      <c r="D763" s="693"/>
      <c r="E763" s="697"/>
      <c r="F763" s="695"/>
      <c r="G763" s="696"/>
      <c r="K763" s="22" t="str">
        <f t="shared" si="23"/>
        <v/>
      </c>
      <c r="M763" s="534" t="str">
        <f t="shared" si="22"/>
        <v/>
      </c>
    </row>
    <row r="764" spans="2:13" ht="15.75" x14ac:dyDescent="0.25">
      <c r="B764" s="692"/>
      <c r="C764" s="117" t="str">
        <f>IF(ISNUMBER(B764),IFERROR(VLOOKUP(B764,'נתוני רישום ומצבת'!B:J,3,0),""),"")</f>
        <v/>
      </c>
      <c r="D764" s="693"/>
      <c r="E764" s="697"/>
      <c r="F764" s="695"/>
      <c r="G764" s="696"/>
      <c r="K764" s="22" t="str">
        <f t="shared" si="23"/>
        <v/>
      </c>
      <c r="M764" s="534" t="str">
        <f t="shared" si="22"/>
        <v/>
      </c>
    </row>
    <row r="765" spans="2:13" ht="15.75" x14ac:dyDescent="0.25">
      <c r="B765" s="692"/>
      <c r="C765" s="117" t="str">
        <f>IF(ISNUMBER(B765),IFERROR(VLOOKUP(B765,'נתוני רישום ומצבת'!B:J,3,0),""),"")</f>
        <v/>
      </c>
      <c r="D765" s="693"/>
      <c r="E765" s="697"/>
      <c r="F765" s="695"/>
      <c r="G765" s="696"/>
      <c r="K765" s="22" t="str">
        <f t="shared" si="23"/>
        <v/>
      </c>
      <c r="M765" s="534" t="str">
        <f t="shared" si="22"/>
        <v/>
      </c>
    </row>
    <row r="766" spans="2:13" ht="15.75" x14ac:dyDescent="0.25">
      <c r="B766" s="692"/>
      <c r="C766" s="117" t="str">
        <f>IF(ISNUMBER(B766),IFERROR(VLOOKUP(B766,'נתוני רישום ומצבת'!B:J,3,0),""),"")</f>
        <v/>
      </c>
      <c r="D766" s="693"/>
      <c r="E766" s="697"/>
      <c r="F766" s="695"/>
      <c r="G766" s="696"/>
      <c r="K766" s="22" t="str">
        <f t="shared" si="23"/>
        <v/>
      </c>
      <c r="M766" s="534" t="str">
        <f t="shared" si="22"/>
        <v/>
      </c>
    </row>
    <row r="767" spans="2:13" ht="15.75" x14ac:dyDescent="0.25">
      <c r="B767" s="692"/>
      <c r="C767" s="117" t="str">
        <f>IF(ISNUMBER(B767),IFERROR(VLOOKUP(B767,'נתוני רישום ומצבת'!B:J,3,0),""),"")</f>
        <v/>
      </c>
      <c r="D767" s="693"/>
      <c r="E767" s="697"/>
      <c r="F767" s="695"/>
      <c r="G767" s="696"/>
      <c r="K767" s="22" t="str">
        <f t="shared" si="23"/>
        <v/>
      </c>
      <c r="M767" s="534" t="str">
        <f t="shared" si="22"/>
        <v/>
      </c>
    </row>
    <row r="768" spans="2:13" ht="15.75" x14ac:dyDescent="0.25">
      <c r="B768" s="692"/>
      <c r="C768" s="117" t="str">
        <f>IF(ISNUMBER(B768),IFERROR(VLOOKUP(B768,'נתוני רישום ומצבת'!B:J,3,0),""),"")</f>
        <v/>
      </c>
      <c r="D768" s="693"/>
      <c r="E768" s="697"/>
      <c r="F768" s="695"/>
      <c r="G768" s="696"/>
      <c r="K768" s="22" t="str">
        <f t="shared" si="23"/>
        <v/>
      </c>
      <c r="M768" s="534" t="str">
        <f t="shared" si="22"/>
        <v/>
      </c>
    </row>
    <row r="769" spans="2:13" ht="15.75" x14ac:dyDescent="0.25">
      <c r="B769" s="692"/>
      <c r="C769" s="117" t="str">
        <f>IF(ISNUMBER(B769),IFERROR(VLOOKUP(B769,'נתוני רישום ומצבת'!B:J,3,0),""),"")</f>
        <v/>
      </c>
      <c r="D769" s="693"/>
      <c r="E769" s="697"/>
      <c r="F769" s="695"/>
      <c r="G769" s="696"/>
      <c r="K769" s="22" t="str">
        <f t="shared" si="23"/>
        <v/>
      </c>
      <c r="M769" s="534" t="str">
        <f t="shared" si="22"/>
        <v/>
      </c>
    </row>
    <row r="770" spans="2:13" ht="15.75" x14ac:dyDescent="0.25">
      <c r="B770" s="692"/>
      <c r="C770" s="117" t="str">
        <f>IF(ISNUMBER(B770),IFERROR(VLOOKUP(B770,'נתוני רישום ומצבת'!B:J,3,0),""),"")</f>
        <v/>
      </c>
      <c r="D770" s="693"/>
      <c r="E770" s="697"/>
      <c r="F770" s="695"/>
      <c r="G770" s="696"/>
      <c r="K770" s="22" t="str">
        <f t="shared" si="23"/>
        <v/>
      </c>
      <c r="M770" s="534" t="str">
        <f t="shared" si="22"/>
        <v/>
      </c>
    </row>
    <row r="771" spans="2:13" ht="15.75" x14ac:dyDescent="0.25">
      <c r="B771" s="692"/>
      <c r="C771" s="117" t="str">
        <f>IF(ISNUMBER(B771),IFERROR(VLOOKUP(B771,'נתוני רישום ומצבת'!B:J,3,0),""),"")</f>
        <v/>
      </c>
      <c r="D771" s="693"/>
      <c r="E771" s="697"/>
      <c r="F771" s="695"/>
      <c r="G771" s="696"/>
      <c r="K771" s="22" t="str">
        <f t="shared" si="23"/>
        <v/>
      </c>
      <c r="M771" s="534" t="str">
        <f t="shared" si="22"/>
        <v/>
      </c>
    </row>
    <row r="772" spans="2:13" ht="15.75" x14ac:dyDescent="0.25">
      <c r="B772" s="692"/>
      <c r="C772" s="117" t="str">
        <f>IF(ISNUMBER(B772),IFERROR(VLOOKUP(B772,'נתוני רישום ומצבת'!B:J,3,0),""),"")</f>
        <v/>
      </c>
      <c r="D772" s="693"/>
      <c r="E772" s="697"/>
      <c r="F772" s="695"/>
      <c r="G772" s="696"/>
      <c r="K772" s="22" t="str">
        <f t="shared" si="23"/>
        <v/>
      </c>
      <c r="M772" s="534" t="str">
        <f t="shared" si="22"/>
        <v/>
      </c>
    </row>
    <row r="773" spans="2:13" ht="15.75" x14ac:dyDescent="0.25">
      <c r="B773" s="692"/>
      <c r="C773" s="117" t="str">
        <f>IF(ISNUMBER(B773),IFERROR(VLOOKUP(B773,'נתוני רישום ומצבת'!B:J,3,0),""),"")</f>
        <v/>
      </c>
      <c r="D773" s="693"/>
      <c r="E773" s="697"/>
      <c r="F773" s="695"/>
      <c r="G773" s="696"/>
      <c r="K773" s="22" t="str">
        <f t="shared" si="23"/>
        <v/>
      </c>
      <c r="M773" s="534" t="str">
        <f t="shared" si="22"/>
        <v/>
      </c>
    </row>
    <row r="774" spans="2:13" ht="15.75" x14ac:dyDescent="0.25">
      <c r="B774" s="692"/>
      <c r="C774" s="117" t="str">
        <f>IF(ISNUMBER(B774),IFERROR(VLOOKUP(B774,'נתוני רישום ומצבת'!B:J,3,0),""),"")</f>
        <v/>
      </c>
      <c r="D774" s="693"/>
      <c r="E774" s="697"/>
      <c r="F774" s="695"/>
      <c r="G774" s="696"/>
      <c r="K774" s="22" t="str">
        <f t="shared" si="23"/>
        <v/>
      </c>
      <c r="M774" s="534" t="str">
        <f t="shared" si="22"/>
        <v/>
      </c>
    </row>
    <row r="775" spans="2:13" ht="15.75" x14ac:dyDescent="0.25">
      <c r="B775" s="692"/>
      <c r="C775" s="117" t="str">
        <f>IF(ISNUMBER(B775),IFERROR(VLOOKUP(B775,'נתוני רישום ומצבת'!B:J,3,0),""),"")</f>
        <v/>
      </c>
      <c r="D775" s="693"/>
      <c r="E775" s="697"/>
      <c r="F775" s="695"/>
      <c r="G775" s="696"/>
      <c r="K775" s="22" t="str">
        <f t="shared" si="23"/>
        <v/>
      </c>
      <c r="M775" s="534" t="str">
        <f t="shared" si="22"/>
        <v/>
      </c>
    </row>
    <row r="776" spans="2:13" ht="15.75" x14ac:dyDescent="0.25">
      <c r="B776" s="692"/>
      <c r="C776" s="117" t="str">
        <f>IF(ISNUMBER(B776),IFERROR(VLOOKUP(B776,'נתוני רישום ומצבת'!B:J,3,0),""),"")</f>
        <v/>
      </c>
      <c r="D776" s="693"/>
      <c r="E776" s="697"/>
      <c r="F776" s="695"/>
      <c r="G776" s="696"/>
      <c r="K776" s="22" t="str">
        <f t="shared" si="23"/>
        <v/>
      </c>
      <c r="M776" s="534" t="str">
        <f t="shared" si="22"/>
        <v/>
      </c>
    </row>
    <row r="777" spans="2:13" ht="15.75" x14ac:dyDescent="0.25">
      <c r="B777" s="692"/>
      <c r="C777" s="117" t="str">
        <f>IF(ISNUMBER(B777),IFERROR(VLOOKUP(B777,'נתוני רישום ומצבת'!B:J,3,0),""),"")</f>
        <v/>
      </c>
      <c r="D777" s="693"/>
      <c r="E777" s="697"/>
      <c r="F777" s="695"/>
      <c r="G777" s="696"/>
      <c r="K777" s="22" t="str">
        <f t="shared" si="23"/>
        <v/>
      </c>
      <c r="M777" s="534" t="str">
        <f t="shared" si="22"/>
        <v/>
      </c>
    </row>
    <row r="778" spans="2:13" ht="15.75" x14ac:dyDescent="0.25">
      <c r="B778" s="692"/>
      <c r="C778" s="117" t="str">
        <f>IF(ISNUMBER(B778),IFERROR(VLOOKUP(B778,'נתוני רישום ומצבת'!B:J,3,0),""),"")</f>
        <v/>
      </c>
      <c r="D778" s="693"/>
      <c r="E778" s="697"/>
      <c r="F778" s="695"/>
      <c r="G778" s="696"/>
      <c r="K778" s="22" t="str">
        <f t="shared" si="23"/>
        <v/>
      </c>
      <c r="M778" s="534" t="str">
        <f t="shared" si="22"/>
        <v/>
      </c>
    </row>
    <row r="779" spans="2:13" ht="15.75" x14ac:dyDescent="0.25">
      <c r="B779" s="692"/>
      <c r="C779" s="117" t="str">
        <f>IF(ISNUMBER(B779),IFERROR(VLOOKUP(B779,'נתוני רישום ומצבת'!B:J,3,0),""),"")</f>
        <v/>
      </c>
      <c r="D779" s="693"/>
      <c r="E779" s="697"/>
      <c r="F779" s="695"/>
      <c r="G779" s="696"/>
      <c r="K779" s="22" t="str">
        <f t="shared" si="23"/>
        <v/>
      </c>
      <c r="M779" s="534" t="str">
        <f t="shared" si="22"/>
        <v/>
      </c>
    </row>
    <row r="780" spans="2:13" ht="15.75" x14ac:dyDescent="0.25">
      <c r="B780" s="692"/>
      <c r="C780" s="117" t="str">
        <f>IF(ISNUMBER(B780),IFERROR(VLOOKUP(B780,'נתוני רישום ומצבת'!B:J,3,0),""),"")</f>
        <v/>
      </c>
      <c r="D780" s="693"/>
      <c r="E780" s="697"/>
      <c r="F780" s="695"/>
      <c r="G780" s="696"/>
      <c r="K780" s="22" t="str">
        <f t="shared" si="23"/>
        <v/>
      </c>
      <c r="M780" s="534" t="str">
        <f t="shared" si="22"/>
        <v/>
      </c>
    </row>
    <row r="781" spans="2:13" ht="15.75" x14ac:dyDescent="0.25">
      <c r="B781" s="692"/>
      <c r="C781" s="117" t="str">
        <f>IF(ISNUMBER(B781),IFERROR(VLOOKUP(B781,'נתוני רישום ומצבת'!B:J,3,0),""),"")</f>
        <v/>
      </c>
      <c r="D781" s="693"/>
      <c r="E781" s="697"/>
      <c r="F781" s="695"/>
      <c r="G781" s="696"/>
      <c r="K781" s="22" t="str">
        <f t="shared" si="23"/>
        <v/>
      </c>
      <c r="M781" s="534" t="str">
        <f t="shared" si="22"/>
        <v/>
      </c>
    </row>
    <row r="782" spans="2:13" ht="15.75" x14ac:dyDescent="0.25">
      <c r="B782" s="692"/>
      <c r="C782" s="117" t="str">
        <f>IF(ISNUMBER(B782),IFERROR(VLOOKUP(B782,'נתוני רישום ומצבת'!B:J,3,0),""),"")</f>
        <v/>
      </c>
      <c r="D782" s="693"/>
      <c r="E782" s="697"/>
      <c r="F782" s="695"/>
      <c r="G782" s="696"/>
      <c r="K782" s="22" t="str">
        <f t="shared" si="23"/>
        <v/>
      </c>
      <c r="M782" s="534" t="str">
        <f t="shared" si="22"/>
        <v/>
      </c>
    </row>
    <row r="783" spans="2:13" ht="15.75" x14ac:dyDescent="0.25">
      <c r="B783" s="692"/>
      <c r="C783" s="117" t="str">
        <f>IF(ISNUMBER(B783),IFERROR(VLOOKUP(B783,'נתוני רישום ומצבת'!B:J,3,0),""),"")</f>
        <v/>
      </c>
      <c r="D783" s="693"/>
      <c r="E783" s="697"/>
      <c r="F783" s="695"/>
      <c r="G783" s="696"/>
      <c r="K783" s="22" t="str">
        <f t="shared" si="23"/>
        <v/>
      </c>
      <c r="M783" s="534" t="str">
        <f t="shared" si="22"/>
        <v/>
      </c>
    </row>
    <row r="784" spans="2:13" ht="15.75" x14ac:dyDescent="0.25">
      <c r="B784" s="692"/>
      <c r="C784" s="117" t="str">
        <f>IF(ISNUMBER(B784),IFERROR(VLOOKUP(B784,'נתוני רישום ומצבת'!B:J,3,0),""),"")</f>
        <v/>
      </c>
      <c r="D784" s="693"/>
      <c r="E784" s="697"/>
      <c r="F784" s="695"/>
      <c r="G784" s="696"/>
      <c r="K784" s="22" t="str">
        <f t="shared" si="23"/>
        <v/>
      </c>
      <c r="M784" s="534" t="str">
        <f t="shared" si="22"/>
        <v/>
      </c>
    </row>
    <row r="785" spans="2:13" ht="15.75" x14ac:dyDescent="0.25">
      <c r="B785" s="692"/>
      <c r="C785" s="117" t="str">
        <f>IF(ISNUMBER(B785),IFERROR(VLOOKUP(B785,'נתוני רישום ומצבת'!B:J,3,0),""),"")</f>
        <v/>
      </c>
      <c r="D785" s="693"/>
      <c r="E785" s="697"/>
      <c r="F785" s="695"/>
      <c r="G785" s="696"/>
      <c r="K785" s="22" t="str">
        <f t="shared" si="23"/>
        <v/>
      </c>
      <c r="M785" s="534" t="str">
        <f t="shared" ref="M785:M848" si="24">TEXT(LEFT(D785,2),0)</f>
        <v/>
      </c>
    </row>
    <row r="786" spans="2:13" ht="15.75" x14ac:dyDescent="0.25">
      <c r="B786" s="692"/>
      <c r="C786" s="117" t="str">
        <f>IF(ISNUMBER(B786),IFERROR(VLOOKUP(B786,'נתוני רישום ומצבת'!B:J,3,0),""),"")</f>
        <v/>
      </c>
      <c r="D786" s="693"/>
      <c r="E786" s="697"/>
      <c r="F786" s="695"/>
      <c r="G786" s="696"/>
      <c r="K786" s="22" t="str">
        <f t="shared" si="23"/>
        <v/>
      </c>
      <c r="M786" s="534" t="str">
        <f t="shared" si="24"/>
        <v/>
      </c>
    </row>
    <row r="787" spans="2:13" ht="15.75" x14ac:dyDescent="0.25">
      <c r="B787" s="692"/>
      <c r="C787" s="117" t="str">
        <f>IF(ISNUMBER(B787),IFERROR(VLOOKUP(B787,'נתוני רישום ומצבת'!B:J,3,0),""),"")</f>
        <v/>
      </c>
      <c r="D787" s="693"/>
      <c r="E787" s="697"/>
      <c r="F787" s="695"/>
      <c r="G787" s="696"/>
      <c r="K787" s="22" t="str">
        <f t="shared" si="23"/>
        <v/>
      </c>
      <c r="M787" s="534" t="str">
        <f t="shared" si="24"/>
        <v/>
      </c>
    </row>
    <row r="788" spans="2:13" ht="15.75" x14ac:dyDescent="0.25">
      <c r="B788" s="692"/>
      <c r="C788" s="117" t="str">
        <f>IF(ISNUMBER(B788),IFERROR(VLOOKUP(B788,'נתוני רישום ומצבת'!B:J,3,0),""),"")</f>
        <v/>
      </c>
      <c r="D788" s="693"/>
      <c r="E788" s="697"/>
      <c r="F788" s="695"/>
      <c r="G788" s="696"/>
      <c r="K788" s="22" t="str">
        <f t="shared" si="23"/>
        <v/>
      </c>
      <c r="M788" s="534" t="str">
        <f t="shared" si="24"/>
        <v/>
      </c>
    </row>
    <row r="789" spans="2:13" ht="15.75" x14ac:dyDescent="0.25">
      <c r="B789" s="692"/>
      <c r="C789" s="117" t="str">
        <f>IF(ISNUMBER(B789),IFERROR(VLOOKUP(B789,'נתוני רישום ומצבת'!B:J,3,0),""),"")</f>
        <v/>
      </c>
      <c r="D789" s="693"/>
      <c r="E789" s="697"/>
      <c r="F789" s="695"/>
      <c r="G789" s="696"/>
      <c r="K789" s="22" t="str">
        <f t="shared" ref="K789:K852" si="25">IF(C776&lt;5,IF(D789=$F$8,-E789," "),"")</f>
        <v/>
      </c>
      <c r="M789" s="534" t="str">
        <f t="shared" si="24"/>
        <v/>
      </c>
    </row>
    <row r="790" spans="2:13" ht="15.75" x14ac:dyDescent="0.25">
      <c r="B790" s="692"/>
      <c r="C790" s="117" t="str">
        <f>IF(ISNUMBER(B790),IFERROR(VLOOKUP(B790,'נתוני רישום ומצבת'!B:J,3,0),""),"")</f>
        <v/>
      </c>
      <c r="D790" s="693"/>
      <c r="E790" s="697"/>
      <c r="F790" s="695"/>
      <c r="G790" s="696"/>
      <c r="K790" s="22" t="str">
        <f t="shared" si="25"/>
        <v/>
      </c>
      <c r="M790" s="534" t="str">
        <f t="shared" si="24"/>
        <v/>
      </c>
    </row>
    <row r="791" spans="2:13" ht="15.75" x14ac:dyDescent="0.25">
      <c r="B791" s="692"/>
      <c r="C791" s="117" t="str">
        <f>IF(ISNUMBER(B791),IFERROR(VLOOKUP(B791,'נתוני רישום ומצבת'!B:J,3,0),""),"")</f>
        <v/>
      </c>
      <c r="D791" s="693"/>
      <c r="E791" s="697"/>
      <c r="F791" s="695"/>
      <c r="G791" s="696"/>
      <c r="K791" s="22" t="str">
        <f t="shared" si="25"/>
        <v/>
      </c>
      <c r="M791" s="534" t="str">
        <f t="shared" si="24"/>
        <v/>
      </c>
    </row>
    <row r="792" spans="2:13" ht="15.75" x14ac:dyDescent="0.25">
      <c r="B792" s="692"/>
      <c r="C792" s="117" t="str">
        <f>IF(ISNUMBER(B792),IFERROR(VLOOKUP(B792,'נתוני רישום ומצבת'!B:J,3,0),""),"")</f>
        <v/>
      </c>
      <c r="D792" s="693"/>
      <c r="E792" s="697"/>
      <c r="F792" s="695"/>
      <c r="G792" s="696"/>
      <c r="K792" s="22" t="str">
        <f t="shared" si="25"/>
        <v/>
      </c>
      <c r="M792" s="534" t="str">
        <f t="shared" si="24"/>
        <v/>
      </c>
    </row>
    <row r="793" spans="2:13" ht="15.75" x14ac:dyDescent="0.25">
      <c r="B793" s="692"/>
      <c r="C793" s="117" t="str">
        <f>IF(ISNUMBER(B793),IFERROR(VLOOKUP(B793,'נתוני רישום ומצבת'!B:J,3,0),""),"")</f>
        <v/>
      </c>
      <c r="D793" s="693"/>
      <c r="E793" s="697"/>
      <c r="F793" s="695"/>
      <c r="G793" s="696"/>
      <c r="K793" s="22" t="str">
        <f t="shared" si="25"/>
        <v/>
      </c>
      <c r="M793" s="534" t="str">
        <f t="shared" si="24"/>
        <v/>
      </c>
    </row>
    <row r="794" spans="2:13" ht="15.75" x14ac:dyDescent="0.25">
      <c r="B794" s="692"/>
      <c r="C794" s="117" t="str">
        <f>IF(ISNUMBER(B794),IFERROR(VLOOKUP(B794,'נתוני רישום ומצבת'!B:J,3,0),""),"")</f>
        <v/>
      </c>
      <c r="D794" s="693"/>
      <c r="E794" s="697"/>
      <c r="F794" s="695"/>
      <c r="G794" s="696"/>
      <c r="K794" s="22" t="str">
        <f t="shared" si="25"/>
        <v/>
      </c>
      <c r="M794" s="534" t="str">
        <f t="shared" si="24"/>
        <v/>
      </c>
    </row>
    <row r="795" spans="2:13" ht="15.75" x14ac:dyDescent="0.25">
      <c r="B795" s="692"/>
      <c r="C795" s="117" t="str">
        <f>IF(ISNUMBER(B795),IFERROR(VLOOKUP(B795,'נתוני רישום ומצבת'!B:J,3,0),""),"")</f>
        <v/>
      </c>
      <c r="D795" s="693"/>
      <c r="E795" s="697"/>
      <c r="F795" s="695"/>
      <c r="G795" s="696"/>
      <c r="K795" s="22" t="str">
        <f t="shared" si="25"/>
        <v/>
      </c>
      <c r="M795" s="534" t="str">
        <f t="shared" si="24"/>
        <v/>
      </c>
    </row>
    <row r="796" spans="2:13" ht="15.75" x14ac:dyDescent="0.25">
      <c r="B796" s="692"/>
      <c r="C796" s="117" t="str">
        <f>IF(ISNUMBER(B796),IFERROR(VLOOKUP(B796,'נתוני רישום ומצבת'!B:J,3,0),""),"")</f>
        <v/>
      </c>
      <c r="D796" s="693"/>
      <c r="E796" s="697"/>
      <c r="F796" s="695"/>
      <c r="G796" s="696"/>
      <c r="K796" s="22" t="str">
        <f t="shared" si="25"/>
        <v/>
      </c>
      <c r="M796" s="534" t="str">
        <f t="shared" si="24"/>
        <v/>
      </c>
    </row>
    <row r="797" spans="2:13" ht="15.75" x14ac:dyDescent="0.25">
      <c r="B797" s="692"/>
      <c r="C797" s="117" t="str">
        <f>IF(ISNUMBER(B797),IFERROR(VLOOKUP(B797,'נתוני רישום ומצבת'!B:J,3,0),""),"")</f>
        <v/>
      </c>
      <c r="D797" s="693"/>
      <c r="E797" s="697"/>
      <c r="F797" s="695"/>
      <c r="G797" s="696"/>
      <c r="K797" s="22" t="str">
        <f t="shared" si="25"/>
        <v/>
      </c>
      <c r="M797" s="534" t="str">
        <f t="shared" si="24"/>
        <v/>
      </c>
    </row>
    <row r="798" spans="2:13" ht="15.75" x14ac:dyDescent="0.25">
      <c r="B798" s="692"/>
      <c r="C798" s="117" t="str">
        <f>IF(ISNUMBER(B798),IFERROR(VLOOKUP(B798,'נתוני רישום ומצבת'!B:J,3,0),""),"")</f>
        <v/>
      </c>
      <c r="D798" s="693"/>
      <c r="E798" s="697"/>
      <c r="F798" s="695"/>
      <c r="G798" s="696"/>
      <c r="K798" s="22" t="str">
        <f t="shared" si="25"/>
        <v/>
      </c>
      <c r="M798" s="534" t="str">
        <f t="shared" si="24"/>
        <v/>
      </c>
    </row>
    <row r="799" spans="2:13" ht="15.75" x14ac:dyDescent="0.25">
      <c r="B799" s="692"/>
      <c r="C799" s="117" t="str">
        <f>IF(ISNUMBER(B799),IFERROR(VLOOKUP(B799,'נתוני רישום ומצבת'!B:J,3,0),""),"")</f>
        <v/>
      </c>
      <c r="D799" s="693"/>
      <c r="E799" s="697"/>
      <c r="F799" s="695"/>
      <c r="G799" s="696"/>
      <c r="K799" s="22" t="str">
        <f t="shared" si="25"/>
        <v/>
      </c>
      <c r="M799" s="534" t="str">
        <f t="shared" si="24"/>
        <v/>
      </c>
    </row>
    <row r="800" spans="2:13" ht="15.75" x14ac:dyDescent="0.25">
      <c r="B800" s="692"/>
      <c r="C800" s="117" t="str">
        <f>IF(ISNUMBER(B800),IFERROR(VLOOKUP(B800,'נתוני רישום ומצבת'!B:J,3,0),""),"")</f>
        <v/>
      </c>
      <c r="D800" s="693"/>
      <c r="E800" s="697"/>
      <c r="F800" s="695"/>
      <c r="G800" s="696"/>
      <c r="K800" s="22" t="str">
        <f t="shared" si="25"/>
        <v/>
      </c>
      <c r="M800" s="534" t="str">
        <f t="shared" si="24"/>
        <v/>
      </c>
    </row>
    <row r="801" spans="2:13" ht="15.75" x14ac:dyDescent="0.25">
      <c r="B801" s="692"/>
      <c r="C801" s="117" t="str">
        <f>IF(ISNUMBER(B801),IFERROR(VLOOKUP(B801,'נתוני רישום ומצבת'!B:J,3,0),""),"")</f>
        <v/>
      </c>
      <c r="D801" s="693"/>
      <c r="E801" s="697"/>
      <c r="F801" s="695"/>
      <c r="G801" s="696"/>
      <c r="K801" s="22" t="str">
        <f t="shared" si="25"/>
        <v/>
      </c>
      <c r="M801" s="534" t="str">
        <f t="shared" si="24"/>
        <v/>
      </c>
    </row>
    <row r="802" spans="2:13" ht="15.75" x14ac:dyDescent="0.25">
      <c r="B802" s="692"/>
      <c r="C802" s="117" t="str">
        <f>IF(ISNUMBER(B802),IFERROR(VLOOKUP(B802,'נתוני רישום ומצבת'!B:J,3,0),""),"")</f>
        <v/>
      </c>
      <c r="D802" s="693"/>
      <c r="E802" s="697"/>
      <c r="F802" s="695"/>
      <c r="G802" s="696"/>
      <c r="K802" s="22" t="str">
        <f t="shared" si="25"/>
        <v/>
      </c>
      <c r="M802" s="534" t="str">
        <f t="shared" si="24"/>
        <v/>
      </c>
    </row>
    <row r="803" spans="2:13" ht="15.75" x14ac:dyDescent="0.25">
      <c r="B803" s="692"/>
      <c r="C803" s="117" t="str">
        <f>IF(ISNUMBER(B803),IFERROR(VLOOKUP(B803,'נתוני רישום ומצבת'!B:J,3,0),""),"")</f>
        <v/>
      </c>
      <c r="D803" s="693"/>
      <c r="E803" s="697"/>
      <c r="F803" s="695"/>
      <c r="G803" s="696"/>
      <c r="K803" s="22" t="str">
        <f t="shared" si="25"/>
        <v/>
      </c>
      <c r="M803" s="534" t="str">
        <f t="shared" si="24"/>
        <v/>
      </c>
    </row>
    <row r="804" spans="2:13" ht="15.75" x14ac:dyDescent="0.25">
      <c r="B804" s="692"/>
      <c r="C804" s="117" t="str">
        <f>IF(ISNUMBER(B804),IFERROR(VLOOKUP(B804,'נתוני רישום ומצבת'!B:J,3,0),""),"")</f>
        <v/>
      </c>
      <c r="D804" s="693"/>
      <c r="E804" s="697"/>
      <c r="F804" s="695"/>
      <c r="G804" s="696"/>
      <c r="K804" s="22" t="str">
        <f t="shared" si="25"/>
        <v/>
      </c>
      <c r="M804" s="534" t="str">
        <f t="shared" si="24"/>
        <v/>
      </c>
    </row>
    <row r="805" spans="2:13" ht="15.75" x14ac:dyDescent="0.25">
      <c r="B805" s="692"/>
      <c r="C805" s="117" t="str">
        <f>IF(ISNUMBER(B805),IFERROR(VLOOKUP(B805,'נתוני רישום ומצבת'!B:J,3,0),""),"")</f>
        <v/>
      </c>
      <c r="D805" s="693"/>
      <c r="E805" s="697"/>
      <c r="F805" s="695"/>
      <c r="G805" s="696"/>
      <c r="K805" s="22" t="str">
        <f t="shared" si="25"/>
        <v/>
      </c>
      <c r="M805" s="534" t="str">
        <f t="shared" si="24"/>
        <v/>
      </c>
    </row>
    <row r="806" spans="2:13" ht="15.75" x14ac:dyDescent="0.25">
      <c r="B806" s="692"/>
      <c r="C806" s="117" t="str">
        <f>IF(ISNUMBER(B806),IFERROR(VLOOKUP(B806,'נתוני רישום ומצבת'!B:J,3,0),""),"")</f>
        <v/>
      </c>
      <c r="D806" s="693"/>
      <c r="E806" s="697"/>
      <c r="F806" s="695"/>
      <c r="G806" s="696"/>
      <c r="K806" s="22" t="str">
        <f t="shared" si="25"/>
        <v/>
      </c>
      <c r="M806" s="534" t="str">
        <f t="shared" si="24"/>
        <v/>
      </c>
    </row>
    <row r="807" spans="2:13" ht="15.75" x14ac:dyDescent="0.25">
      <c r="B807" s="692"/>
      <c r="C807" s="117" t="str">
        <f>IF(ISNUMBER(B807),IFERROR(VLOOKUP(B807,'נתוני רישום ומצבת'!B:J,3,0),""),"")</f>
        <v/>
      </c>
      <c r="D807" s="693"/>
      <c r="E807" s="697"/>
      <c r="F807" s="695"/>
      <c r="G807" s="696"/>
      <c r="K807" s="22" t="str">
        <f t="shared" si="25"/>
        <v/>
      </c>
      <c r="M807" s="534" t="str">
        <f t="shared" si="24"/>
        <v/>
      </c>
    </row>
    <row r="808" spans="2:13" ht="15.75" x14ac:dyDescent="0.25">
      <c r="B808" s="692"/>
      <c r="C808" s="117" t="str">
        <f>IF(ISNUMBER(B808),IFERROR(VLOOKUP(B808,'נתוני רישום ומצבת'!B:J,3,0),""),"")</f>
        <v/>
      </c>
      <c r="D808" s="693"/>
      <c r="E808" s="697"/>
      <c r="F808" s="695"/>
      <c r="G808" s="696"/>
      <c r="K808" s="22" t="str">
        <f t="shared" si="25"/>
        <v/>
      </c>
      <c r="M808" s="534" t="str">
        <f t="shared" si="24"/>
        <v/>
      </c>
    </row>
    <row r="809" spans="2:13" ht="15.75" x14ac:dyDescent="0.25">
      <c r="B809" s="692"/>
      <c r="C809" s="117" t="str">
        <f>IF(ISNUMBER(B809),IFERROR(VLOOKUP(B809,'נתוני רישום ומצבת'!B:J,3,0),""),"")</f>
        <v/>
      </c>
      <c r="D809" s="693"/>
      <c r="E809" s="697"/>
      <c r="F809" s="695"/>
      <c r="G809" s="696"/>
      <c r="K809" s="22" t="str">
        <f t="shared" si="25"/>
        <v/>
      </c>
      <c r="M809" s="534" t="str">
        <f t="shared" si="24"/>
        <v/>
      </c>
    </row>
    <row r="810" spans="2:13" ht="15.75" x14ac:dyDescent="0.25">
      <c r="B810" s="692"/>
      <c r="C810" s="117" t="str">
        <f>IF(ISNUMBER(B810),IFERROR(VLOOKUP(B810,'נתוני רישום ומצבת'!B:J,3,0),""),"")</f>
        <v/>
      </c>
      <c r="D810" s="693"/>
      <c r="E810" s="697"/>
      <c r="F810" s="695"/>
      <c r="G810" s="696"/>
      <c r="K810" s="22" t="str">
        <f t="shared" si="25"/>
        <v/>
      </c>
      <c r="M810" s="534" t="str">
        <f t="shared" si="24"/>
        <v/>
      </c>
    </row>
    <row r="811" spans="2:13" ht="15.75" x14ac:dyDescent="0.25">
      <c r="B811" s="692"/>
      <c r="C811" s="117" t="str">
        <f>IF(ISNUMBER(B811),IFERROR(VLOOKUP(B811,'נתוני רישום ומצבת'!B:J,3,0),""),"")</f>
        <v/>
      </c>
      <c r="D811" s="693"/>
      <c r="E811" s="697"/>
      <c r="F811" s="695"/>
      <c r="G811" s="696"/>
      <c r="K811" s="22" t="str">
        <f t="shared" si="25"/>
        <v/>
      </c>
      <c r="M811" s="534" t="str">
        <f t="shared" si="24"/>
        <v/>
      </c>
    </row>
    <row r="812" spans="2:13" ht="15.75" x14ac:dyDescent="0.25">
      <c r="B812" s="692"/>
      <c r="C812" s="117" t="str">
        <f>IF(ISNUMBER(B812),IFERROR(VLOOKUP(B812,'נתוני רישום ומצבת'!B:J,3,0),""),"")</f>
        <v/>
      </c>
      <c r="D812" s="693"/>
      <c r="E812" s="697"/>
      <c r="F812" s="695"/>
      <c r="G812" s="696"/>
      <c r="K812" s="22" t="str">
        <f t="shared" si="25"/>
        <v/>
      </c>
      <c r="M812" s="534" t="str">
        <f t="shared" si="24"/>
        <v/>
      </c>
    </row>
    <row r="813" spans="2:13" ht="15.75" x14ac:dyDescent="0.25">
      <c r="B813" s="692"/>
      <c r="C813" s="117" t="str">
        <f>IF(ISNUMBER(B813),IFERROR(VLOOKUP(B813,'נתוני רישום ומצבת'!B:J,3,0),""),"")</f>
        <v/>
      </c>
      <c r="D813" s="693"/>
      <c r="E813" s="697"/>
      <c r="F813" s="695"/>
      <c r="G813" s="696"/>
      <c r="K813" s="22" t="str">
        <f t="shared" si="25"/>
        <v/>
      </c>
      <c r="M813" s="534" t="str">
        <f t="shared" si="24"/>
        <v/>
      </c>
    </row>
    <row r="814" spans="2:13" ht="15.75" x14ac:dyDescent="0.25">
      <c r="B814" s="692"/>
      <c r="C814" s="117" t="str">
        <f>IF(ISNUMBER(B814),IFERROR(VLOOKUP(B814,'נתוני רישום ומצבת'!B:J,3,0),""),"")</f>
        <v/>
      </c>
      <c r="D814" s="693"/>
      <c r="E814" s="697"/>
      <c r="F814" s="695"/>
      <c r="G814" s="696"/>
      <c r="K814" s="22" t="str">
        <f t="shared" si="25"/>
        <v/>
      </c>
      <c r="M814" s="534" t="str">
        <f t="shared" si="24"/>
        <v/>
      </c>
    </row>
    <row r="815" spans="2:13" ht="15.75" x14ac:dyDescent="0.25">
      <c r="B815" s="692"/>
      <c r="C815" s="117" t="str">
        <f>IF(ISNUMBER(B815),IFERROR(VLOOKUP(B815,'נתוני רישום ומצבת'!B:J,3,0),""),"")</f>
        <v/>
      </c>
      <c r="D815" s="693"/>
      <c r="E815" s="697"/>
      <c r="F815" s="695"/>
      <c r="G815" s="696"/>
      <c r="K815" s="22" t="str">
        <f t="shared" si="25"/>
        <v/>
      </c>
      <c r="M815" s="534" t="str">
        <f t="shared" si="24"/>
        <v/>
      </c>
    </row>
    <row r="816" spans="2:13" ht="15.75" x14ac:dyDescent="0.25">
      <c r="B816" s="692"/>
      <c r="C816" s="117" t="str">
        <f>IF(ISNUMBER(B816),IFERROR(VLOOKUP(B816,'נתוני רישום ומצבת'!B:J,3,0),""),"")</f>
        <v/>
      </c>
      <c r="D816" s="693"/>
      <c r="E816" s="697"/>
      <c r="F816" s="695"/>
      <c r="G816" s="696"/>
      <c r="K816" s="22" t="str">
        <f t="shared" si="25"/>
        <v/>
      </c>
      <c r="M816" s="534" t="str">
        <f t="shared" si="24"/>
        <v/>
      </c>
    </row>
    <row r="817" spans="2:13" ht="15.75" x14ac:dyDescent="0.25">
      <c r="B817" s="692"/>
      <c r="C817" s="117" t="str">
        <f>IF(ISNUMBER(B817),IFERROR(VLOOKUP(B817,'נתוני רישום ומצבת'!B:J,3,0),""),"")</f>
        <v/>
      </c>
      <c r="D817" s="693"/>
      <c r="E817" s="697"/>
      <c r="F817" s="695"/>
      <c r="G817" s="696"/>
      <c r="K817" s="22" t="str">
        <f t="shared" si="25"/>
        <v/>
      </c>
      <c r="M817" s="534" t="str">
        <f t="shared" si="24"/>
        <v/>
      </c>
    </row>
    <row r="818" spans="2:13" ht="15.75" x14ac:dyDescent="0.25">
      <c r="B818" s="692"/>
      <c r="C818" s="117" t="str">
        <f>IF(ISNUMBER(B818),IFERROR(VLOOKUP(B818,'נתוני רישום ומצבת'!B:J,3,0),""),"")</f>
        <v/>
      </c>
      <c r="D818" s="693"/>
      <c r="E818" s="697"/>
      <c r="F818" s="695"/>
      <c r="G818" s="696"/>
      <c r="K818" s="22" t="str">
        <f t="shared" si="25"/>
        <v/>
      </c>
      <c r="M818" s="534" t="str">
        <f t="shared" si="24"/>
        <v/>
      </c>
    </row>
    <row r="819" spans="2:13" ht="15.75" x14ac:dyDescent="0.25">
      <c r="B819" s="692"/>
      <c r="C819" s="117" t="str">
        <f>IF(ISNUMBER(B819),IFERROR(VLOOKUP(B819,'נתוני רישום ומצבת'!B:J,3,0),""),"")</f>
        <v/>
      </c>
      <c r="D819" s="693"/>
      <c r="E819" s="697"/>
      <c r="F819" s="695"/>
      <c r="G819" s="696"/>
      <c r="K819" s="22" t="str">
        <f t="shared" si="25"/>
        <v/>
      </c>
      <c r="M819" s="534" t="str">
        <f t="shared" si="24"/>
        <v/>
      </c>
    </row>
    <row r="820" spans="2:13" ht="15.75" x14ac:dyDescent="0.25">
      <c r="B820" s="692"/>
      <c r="C820" s="117" t="str">
        <f>IF(ISNUMBER(B820),IFERROR(VLOOKUP(B820,'נתוני רישום ומצבת'!B:J,3,0),""),"")</f>
        <v/>
      </c>
      <c r="D820" s="693"/>
      <c r="E820" s="697"/>
      <c r="F820" s="695"/>
      <c r="G820" s="696"/>
      <c r="K820" s="22" t="str">
        <f t="shared" si="25"/>
        <v/>
      </c>
      <c r="M820" s="534" t="str">
        <f t="shared" si="24"/>
        <v/>
      </c>
    </row>
    <row r="821" spans="2:13" ht="15.75" x14ac:dyDescent="0.25">
      <c r="B821" s="692"/>
      <c r="C821" s="117" t="str">
        <f>IF(ISNUMBER(B821),IFERROR(VLOOKUP(B821,'נתוני רישום ומצבת'!B:J,3,0),""),"")</f>
        <v/>
      </c>
      <c r="D821" s="693"/>
      <c r="E821" s="697"/>
      <c r="F821" s="695"/>
      <c r="G821" s="696"/>
      <c r="K821" s="22" t="str">
        <f t="shared" si="25"/>
        <v/>
      </c>
      <c r="M821" s="534" t="str">
        <f t="shared" si="24"/>
        <v/>
      </c>
    </row>
    <row r="822" spans="2:13" ht="15.75" x14ac:dyDescent="0.25">
      <c r="B822" s="692"/>
      <c r="C822" s="117" t="str">
        <f>IF(ISNUMBER(B822),IFERROR(VLOOKUP(B822,'נתוני רישום ומצבת'!B:J,3,0),""),"")</f>
        <v/>
      </c>
      <c r="D822" s="693"/>
      <c r="E822" s="697"/>
      <c r="F822" s="695"/>
      <c r="G822" s="696"/>
      <c r="K822" s="22" t="str">
        <f t="shared" si="25"/>
        <v/>
      </c>
      <c r="M822" s="534" t="str">
        <f t="shared" si="24"/>
        <v/>
      </c>
    </row>
    <row r="823" spans="2:13" ht="15.75" x14ac:dyDescent="0.25">
      <c r="B823" s="692"/>
      <c r="C823" s="117" t="str">
        <f>IF(ISNUMBER(B823),IFERROR(VLOOKUP(B823,'נתוני רישום ומצבת'!B:J,3,0),""),"")</f>
        <v/>
      </c>
      <c r="D823" s="693"/>
      <c r="E823" s="697"/>
      <c r="F823" s="695"/>
      <c r="G823" s="696"/>
      <c r="K823" s="22" t="str">
        <f t="shared" si="25"/>
        <v/>
      </c>
      <c r="M823" s="534" t="str">
        <f t="shared" si="24"/>
        <v/>
      </c>
    </row>
    <row r="824" spans="2:13" ht="15.75" x14ac:dyDescent="0.25">
      <c r="B824" s="692"/>
      <c r="C824" s="117" t="str">
        <f>IF(ISNUMBER(B824),IFERROR(VLOOKUP(B824,'נתוני רישום ומצבת'!B:J,3,0),""),"")</f>
        <v/>
      </c>
      <c r="D824" s="693"/>
      <c r="E824" s="697"/>
      <c r="F824" s="695"/>
      <c r="G824" s="696"/>
      <c r="K824" s="22" t="str">
        <f t="shared" si="25"/>
        <v/>
      </c>
      <c r="M824" s="534" t="str">
        <f t="shared" si="24"/>
        <v/>
      </c>
    </row>
    <row r="825" spans="2:13" ht="15.75" x14ac:dyDescent="0.25">
      <c r="B825" s="692"/>
      <c r="C825" s="117" t="str">
        <f>IF(ISNUMBER(B825),IFERROR(VLOOKUP(B825,'נתוני רישום ומצבת'!B:J,3,0),""),"")</f>
        <v/>
      </c>
      <c r="D825" s="693"/>
      <c r="E825" s="697"/>
      <c r="F825" s="695"/>
      <c r="G825" s="696"/>
      <c r="K825" s="22" t="str">
        <f t="shared" si="25"/>
        <v/>
      </c>
      <c r="M825" s="534" t="str">
        <f t="shared" si="24"/>
        <v/>
      </c>
    </row>
    <row r="826" spans="2:13" ht="15.75" x14ac:dyDescent="0.25">
      <c r="B826" s="692"/>
      <c r="C826" s="117" t="str">
        <f>IF(ISNUMBER(B826),IFERROR(VLOOKUP(B826,'נתוני רישום ומצבת'!B:J,3,0),""),"")</f>
        <v/>
      </c>
      <c r="D826" s="693"/>
      <c r="E826" s="697"/>
      <c r="F826" s="695"/>
      <c r="G826" s="696"/>
      <c r="K826" s="22" t="str">
        <f t="shared" si="25"/>
        <v/>
      </c>
      <c r="M826" s="534" t="str">
        <f t="shared" si="24"/>
        <v/>
      </c>
    </row>
    <row r="827" spans="2:13" ht="15.75" x14ac:dyDescent="0.25">
      <c r="B827" s="692"/>
      <c r="C827" s="117" t="str">
        <f>IF(ISNUMBER(B827),IFERROR(VLOOKUP(B827,'נתוני רישום ומצבת'!B:J,3,0),""),"")</f>
        <v/>
      </c>
      <c r="D827" s="693"/>
      <c r="E827" s="697"/>
      <c r="F827" s="695"/>
      <c r="G827" s="696"/>
      <c r="K827" s="22" t="str">
        <f t="shared" si="25"/>
        <v/>
      </c>
      <c r="M827" s="534" t="str">
        <f t="shared" si="24"/>
        <v/>
      </c>
    </row>
    <row r="828" spans="2:13" ht="15.75" x14ac:dyDescent="0.25">
      <c r="B828" s="692"/>
      <c r="C828" s="117" t="str">
        <f>IF(ISNUMBER(B828),IFERROR(VLOOKUP(B828,'נתוני רישום ומצבת'!B:J,3,0),""),"")</f>
        <v/>
      </c>
      <c r="D828" s="693"/>
      <c r="E828" s="697"/>
      <c r="F828" s="695"/>
      <c r="G828" s="696"/>
      <c r="K828" s="22" t="str">
        <f t="shared" si="25"/>
        <v/>
      </c>
      <c r="M828" s="534" t="str">
        <f t="shared" si="24"/>
        <v/>
      </c>
    </row>
    <row r="829" spans="2:13" ht="15.75" x14ac:dyDescent="0.25">
      <c r="B829" s="692"/>
      <c r="C829" s="117" t="str">
        <f>IF(ISNUMBER(B829),IFERROR(VLOOKUP(B829,'נתוני רישום ומצבת'!B:J,3,0),""),"")</f>
        <v/>
      </c>
      <c r="D829" s="693"/>
      <c r="E829" s="697"/>
      <c r="F829" s="695"/>
      <c r="G829" s="696"/>
      <c r="K829" s="22" t="str">
        <f t="shared" si="25"/>
        <v/>
      </c>
      <c r="M829" s="534" t="str">
        <f t="shared" si="24"/>
        <v/>
      </c>
    </row>
    <row r="830" spans="2:13" ht="15.75" x14ac:dyDescent="0.25">
      <c r="B830" s="692"/>
      <c r="C830" s="117" t="str">
        <f>IF(ISNUMBER(B830),IFERROR(VLOOKUP(B830,'נתוני רישום ומצבת'!B:J,3,0),""),"")</f>
        <v/>
      </c>
      <c r="D830" s="693"/>
      <c r="E830" s="697"/>
      <c r="F830" s="695"/>
      <c r="G830" s="696"/>
      <c r="K830" s="22" t="str">
        <f t="shared" si="25"/>
        <v/>
      </c>
      <c r="M830" s="534" t="str">
        <f t="shared" si="24"/>
        <v/>
      </c>
    </row>
    <row r="831" spans="2:13" ht="15.75" x14ac:dyDescent="0.25">
      <c r="B831" s="692"/>
      <c r="C831" s="117" t="str">
        <f>IF(ISNUMBER(B831),IFERROR(VLOOKUP(B831,'נתוני רישום ומצבת'!B:J,3,0),""),"")</f>
        <v/>
      </c>
      <c r="D831" s="693"/>
      <c r="E831" s="697"/>
      <c r="F831" s="695"/>
      <c r="G831" s="696"/>
      <c r="K831" s="22" t="str">
        <f t="shared" si="25"/>
        <v/>
      </c>
      <c r="M831" s="534" t="str">
        <f t="shared" si="24"/>
        <v/>
      </c>
    </row>
    <row r="832" spans="2:13" ht="15.75" x14ac:dyDescent="0.25">
      <c r="B832" s="692"/>
      <c r="C832" s="117" t="str">
        <f>IF(ISNUMBER(B832),IFERROR(VLOOKUP(B832,'נתוני רישום ומצבת'!B:J,3,0),""),"")</f>
        <v/>
      </c>
      <c r="D832" s="693"/>
      <c r="E832" s="697"/>
      <c r="F832" s="695"/>
      <c r="G832" s="696"/>
      <c r="K832" s="22" t="str">
        <f t="shared" si="25"/>
        <v/>
      </c>
      <c r="M832" s="534" t="str">
        <f t="shared" si="24"/>
        <v/>
      </c>
    </row>
    <row r="833" spans="2:13" ht="15.75" x14ac:dyDescent="0.25">
      <c r="B833" s="692"/>
      <c r="C833" s="117" t="str">
        <f>IF(ISNUMBER(B833),IFERROR(VLOOKUP(B833,'נתוני רישום ומצבת'!B:J,3,0),""),"")</f>
        <v/>
      </c>
      <c r="D833" s="693"/>
      <c r="E833" s="697"/>
      <c r="F833" s="695"/>
      <c r="G833" s="696"/>
      <c r="K833" s="22" t="str">
        <f t="shared" si="25"/>
        <v/>
      </c>
      <c r="M833" s="534" t="str">
        <f t="shared" si="24"/>
        <v/>
      </c>
    </row>
    <row r="834" spans="2:13" ht="15.75" x14ac:dyDescent="0.25">
      <c r="B834" s="692"/>
      <c r="C834" s="117" t="str">
        <f>IF(ISNUMBER(B834),IFERROR(VLOOKUP(B834,'נתוני רישום ומצבת'!B:J,3,0),""),"")</f>
        <v/>
      </c>
      <c r="D834" s="693"/>
      <c r="E834" s="697"/>
      <c r="F834" s="695"/>
      <c r="G834" s="696"/>
      <c r="K834" s="22" t="str">
        <f t="shared" si="25"/>
        <v/>
      </c>
      <c r="M834" s="534" t="str">
        <f t="shared" si="24"/>
        <v/>
      </c>
    </row>
    <row r="835" spans="2:13" ht="15.75" x14ac:dyDescent="0.25">
      <c r="B835" s="692"/>
      <c r="C835" s="117" t="str">
        <f>IF(ISNUMBER(B835),IFERROR(VLOOKUP(B835,'נתוני רישום ומצבת'!B:J,3,0),""),"")</f>
        <v/>
      </c>
      <c r="D835" s="693"/>
      <c r="E835" s="697"/>
      <c r="F835" s="695"/>
      <c r="G835" s="696"/>
      <c r="K835" s="22" t="str">
        <f t="shared" si="25"/>
        <v/>
      </c>
      <c r="M835" s="534" t="str">
        <f t="shared" si="24"/>
        <v/>
      </c>
    </row>
    <row r="836" spans="2:13" ht="15.75" x14ac:dyDescent="0.25">
      <c r="B836" s="692"/>
      <c r="C836" s="117" t="str">
        <f>IF(ISNUMBER(B836),IFERROR(VLOOKUP(B836,'נתוני רישום ומצבת'!B:J,3,0),""),"")</f>
        <v/>
      </c>
      <c r="D836" s="693"/>
      <c r="E836" s="697"/>
      <c r="F836" s="695"/>
      <c r="G836" s="696"/>
      <c r="K836" s="22" t="str">
        <f t="shared" si="25"/>
        <v/>
      </c>
      <c r="M836" s="534" t="str">
        <f t="shared" si="24"/>
        <v/>
      </c>
    </row>
    <row r="837" spans="2:13" ht="15.75" x14ac:dyDescent="0.25">
      <c r="B837" s="692"/>
      <c r="C837" s="117" t="str">
        <f>IF(ISNUMBER(B837),IFERROR(VLOOKUP(B837,'נתוני רישום ומצבת'!B:J,3,0),""),"")</f>
        <v/>
      </c>
      <c r="D837" s="693"/>
      <c r="E837" s="697"/>
      <c r="F837" s="695"/>
      <c r="G837" s="696"/>
      <c r="K837" s="22" t="str">
        <f t="shared" si="25"/>
        <v/>
      </c>
      <c r="M837" s="534" t="str">
        <f t="shared" si="24"/>
        <v/>
      </c>
    </row>
    <row r="838" spans="2:13" ht="15.75" x14ac:dyDescent="0.25">
      <c r="B838" s="692"/>
      <c r="C838" s="117" t="str">
        <f>IF(ISNUMBER(B838),IFERROR(VLOOKUP(B838,'נתוני רישום ומצבת'!B:J,3,0),""),"")</f>
        <v/>
      </c>
      <c r="D838" s="693"/>
      <c r="E838" s="697"/>
      <c r="F838" s="695"/>
      <c r="G838" s="696"/>
      <c r="K838" s="22" t="str">
        <f t="shared" si="25"/>
        <v/>
      </c>
      <c r="M838" s="534" t="str">
        <f t="shared" si="24"/>
        <v/>
      </c>
    </row>
    <row r="839" spans="2:13" ht="15.75" x14ac:dyDescent="0.25">
      <c r="B839" s="692"/>
      <c r="C839" s="117" t="str">
        <f>IF(ISNUMBER(B839),IFERROR(VLOOKUP(B839,'נתוני רישום ומצבת'!B:J,3,0),""),"")</f>
        <v/>
      </c>
      <c r="D839" s="693"/>
      <c r="E839" s="697"/>
      <c r="F839" s="695"/>
      <c r="G839" s="696"/>
      <c r="K839" s="22" t="str">
        <f t="shared" si="25"/>
        <v/>
      </c>
      <c r="M839" s="534" t="str">
        <f t="shared" si="24"/>
        <v/>
      </c>
    </row>
    <row r="840" spans="2:13" ht="15.75" x14ac:dyDescent="0.25">
      <c r="B840" s="692"/>
      <c r="C840" s="117" t="str">
        <f>IF(ISNUMBER(B840),IFERROR(VLOOKUP(B840,'נתוני רישום ומצבת'!B:J,3,0),""),"")</f>
        <v/>
      </c>
      <c r="D840" s="693"/>
      <c r="E840" s="697"/>
      <c r="F840" s="695"/>
      <c r="G840" s="696"/>
      <c r="K840" s="22" t="str">
        <f t="shared" si="25"/>
        <v/>
      </c>
      <c r="M840" s="534" t="str">
        <f t="shared" si="24"/>
        <v/>
      </c>
    </row>
    <row r="841" spans="2:13" ht="15.75" x14ac:dyDescent="0.25">
      <c r="B841" s="692"/>
      <c r="C841" s="117" t="str">
        <f>IF(ISNUMBER(B841),IFERROR(VLOOKUP(B841,'נתוני רישום ומצבת'!B:J,3,0),""),"")</f>
        <v/>
      </c>
      <c r="D841" s="693"/>
      <c r="E841" s="697"/>
      <c r="F841" s="695"/>
      <c r="G841" s="696"/>
      <c r="K841" s="22" t="str">
        <f t="shared" si="25"/>
        <v/>
      </c>
      <c r="M841" s="534" t="str">
        <f t="shared" si="24"/>
        <v/>
      </c>
    </row>
    <row r="842" spans="2:13" ht="15.75" x14ac:dyDescent="0.25">
      <c r="B842" s="692"/>
      <c r="C842" s="117" t="str">
        <f>IF(ISNUMBER(B842),IFERROR(VLOOKUP(B842,'נתוני רישום ומצבת'!B:J,3,0),""),"")</f>
        <v/>
      </c>
      <c r="D842" s="693"/>
      <c r="E842" s="697"/>
      <c r="F842" s="695"/>
      <c r="G842" s="696"/>
      <c r="K842" s="22" t="str">
        <f t="shared" si="25"/>
        <v/>
      </c>
      <c r="M842" s="534" t="str">
        <f t="shared" si="24"/>
        <v/>
      </c>
    </row>
    <row r="843" spans="2:13" ht="15.75" x14ac:dyDescent="0.25">
      <c r="B843" s="692"/>
      <c r="C843" s="117" t="str">
        <f>IF(ISNUMBER(B843),IFERROR(VLOOKUP(B843,'נתוני רישום ומצבת'!B:J,3,0),""),"")</f>
        <v/>
      </c>
      <c r="D843" s="693"/>
      <c r="E843" s="697"/>
      <c r="F843" s="695"/>
      <c r="G843" s="696"/>
      <c r="K843" s="22" t="str">
        <f t="shared" si="25"/>
        <v/>
      </c>
      <c r="M843" s="534" t="str">
        <f t="shared" si="24"/>
        <v/>
      </c>
    </row>
    <row r="844" spans="2:13" ht="15.75" x14ac:dyDescent="0.25">
      <c r="B844" s="692"/>
      <c r="C844" s="117" t="str">
        <f>IF(ISNUMBER(B844),IFERROR(VLOOKUP(B844,'נתוני רישום ומצבת'!B:J,3,0),""),"")</f>
        <v/>
      </c>
      <c r="D844" s="693"/>
      <c r="E844" s="697"/>
      <c r="F844" s="695"/>
      <c r="G844" s="696"/>
      <c r="K844" s="22" t="str">
        <f t="shared" si="25"/>
        <v/>
      </c>
      <c r="M844" s="534" t="str">
        <f t="shared" si="24"/>
        <v/>
      </c>
    </row>
    <row r="845" spans="2:13" ht="15.75" x14ac:dyDescent="0.25">
      <c r="B845" s="692"/>
      <c r="C845" s="117" t="str">
        <f>IF(ISNUMBER(B845),IFERROR(VLOOKUP(B845,'נתוני רישום ומצבת'!B:J,3,0),""),"")</f>
        <v/>
      </c>
      <c r="D845" s="693"/>
      <c r="E845" s="697"/>
      <c r="F845" s="695"/>
      <c r="G845" s="696"/>
      <c r="K845" s="22" t="str">
        <f t="shared" si="25"/>
        <v/>
      </c>
      <c r="M845" s="534" t="str">
        <f t="shared" si="24"/>
        <v/>
      </c>
    </row>
    <row r="846" spans="2:13" ht="15.75" x14ac:dyDescent="0.25">
      <c r="B846" s="692"/>
      <c r="C846" s="117" t="str">
        <f>IF(ISNUMBER(B846),IFERROR(VLOOKUP(B846,'נתוני רישום ומצבת'!B:J,3,0),""),"")</f>
        <v/>
      </c>
      <c r="D846" s="693"/>
      <c r="E846" s="697"/>
      <c r="F846" s="695"/>
      <c r="G846" s="696"/>
      <c r="K846" s="22" t="str">
        <f t="shared" si="25"/>
        <v/>
      </c>
      <c r="M846" s="534" t="str">
        <f t="shared" si="24"/>
        <v/>
      </c>
    </row>
    <row r="847" spans="2:13" ht="15.75" x14ac:dyDescent="0.25">
      <c r="B847" s="692"/>
      <c r="C847" s="117" t="str">
        <f>IF(ISNUMBER(B847),IFERROR(VLOOKUP(B847,'נתוני רישום ומצבת'!B:J,3,0),""),"")</f>
        <v/>
      </c>
      <c r="D847" s="693"/>
      <c r="E847" s="697"/>
      <c r="F847" s="695"/>
      <c r="G847" s="696"/>
      <c r="K847" s="22" t="str">
        <f t="shared" si="25"/>
        <v/>
      </c>
      <c r="M847" s="534" t="str">
        <f t="shared" si="24"/>
        <v/>
      </c>
    </row>
    <row r="848" spans="2:13" ht="15.75" x14ac:dyDescent="0.25">
      <c r="B848" s="692"/>
      <c r="C848" s="117" t="str">
        <f>IF(ISNUMBER(B848),IFERROR(VLOOKUP(B848,'נתוני רישום ומצבת'!B:J,3,0),""),"")</f>
        <v/>
      </c>
      <c r="D848" s="693"/>
      <c r="E848" s="697"/>
      <c r="F848" s="695"/>
      <c r="G848" s="696"/>
      <c r="K848" s="22" t="str">
        <f t="shared" si="25"/>
        <v/>
      </c>
      <c r="M848" s="534" t="str">
        <f t="shared" si="24"/>
        <v/>
      </c>
    </row>
    <row r="849" spans="2:13" ht="15.75" x14ac:dyDescent="0.25">
      <c r="B849" s="692"/>
      <c r="C849" s="117" t="str">
        <f>IF(ISNUMBER(B849),IFERROR(VLOOKUP(B849,'נתוני רישום ומצבת'!B:J,3,0),""),"")</f>
        <v/>
      </c>
      <c r="D849" s="693"/>
      <c r="E849" s="697"/>
      <c r="F849" s="695"/>
      <c r="G849" s="696"/>
      <c r="K849" s="22" t="str">
        <f t="shared" si="25"/>
        <v/>
      </c>
      <c r="M849" s="534" t="str">
        <f t="shared" ref="M849:M912" si="26">TEXT(LEFT(D849,2),0)</f>
        <v/>
      </c>
    </row>
    <row r="850" spans="2:13" ht="15.75" x14ac:dyDescent="0.25">
      <c r="B850" s="692"/>
      <c r="C850" s="117" t="str">
        <f>IF(ISNUMBER(B850),IFERROR(VLOOKUP(B850,'נתוני רישום ומצבת'!B:J,3,0),""),"")</f>
        <v/>
      </c>
      <c r="D850" s="693"/>
      <c r="E850" s="697"/>
      <c r="F850" s="695"/>
      <c r="G850" s="696"/>
      <c r="K850" s="22" t="str">
        <f t="shared" si="25"/>
        <v/>
      </c>
      <c r="M850" s="534" t="str">
        <f t="shared" si="26"/>
        <v/>
      </c>
    </row>
    <row r="851" spans="2:13" ht="15.75" x14ac:dyDescent="0.25">
      <c r="B851" s="692"/>
      <c r="C851" s="117" t="str">
        <f>IF(ISNUMBER(B851),IFERROR(VLOOKUP(B851,'נתוני רישום ומצבת'!B:J,3,0),""),"")</f>
        <v/>
      </c>
      <c r="D851" s="693"/>
      <c r="E851" s="697"/>
      <c r="F851" s="695"/>
      <c r="G851" s="696"/>
      <c r="K851" s="22" t="str">
        <f t="shared" si="25"/>
        <v/>
      </c>
      <c r="M851" s="534" t="str">
        <f t="shared" si="26"/>
        <v/>
      </c>
    </row>
    <row r="852" spans="2:13" ht="15.75" x14ac:dyDescent="0.25">
      <c r="B852" s="692"/>
      <c r="C852" s="117" t="str">
        <f>IF(ISNUMBER(B852),IFERROR(VLOOKUP(B852,'נתוני רישום ומצבת'!B:J,3,0),""),"")</f>
        <v/>
      </c>
      <c r="D852" s="693"/>
      <c r="E852" s="697"/>
      <c r="F852" s="695"/>
      <c r="G852" s="696"/>
      <c r="K852" s="22" t="str">
        <f t="shared" si="25"/>
        <v/>
      </c>
      <c r="M852" s="534" t="str">
        <f t="shared" si="26"/>
        <v/>
      </c>
    </row>
    <row r="853" spans="2:13" ht="15.75" x14ac:dyDescent="0.25">
      <c r="B853" s="692"/>
      <c r="C853" s="117" t="str">
        <f>IF(ISNUMBER(B853),IFERROR(VLOOKUP(B853,'נתוני רישום ומצבת'!B:J,3,0),""),"")</f>
        <v/>
      </c>
      <c r="D853" s="693"/>
      <c r="E853" s="697"/>
      <c r="F853" s="695"/>
      <c r="G853" s="696"/>
      <c r="K853" s="22" t="str">
        <f t="shared" ref="K853:K916" si="27">IF(C840&lt;5,IF(D853=$F$8,-E853," "),"")</f>
        <v/>
      </c>
      <c r="M853" s="534" t="str">
        <f t="shared" si="26"/>
        <v/>
      </c>
    </row>
    <row r="854" spans="2:13" ht="15.75" x14ac:dyDescent="0.25">
      <c r="B854" s="692"/>
      <c r="C854" s="117" t="str">
        <f>IF(ISNUMBER(B854),IFERROR(VLOOKUP(B854,'נתוני רישום ומצבת'!B:J,3,0),""),"")</f>
        <v/>
      </c>
      <c r="D854" s="693"/>
      <c r="E854" s="697"/>
      <c r="F854" s="695"/>
      <c r="G854" s="696"/>
      <c r="K854" s="22" t="str">
        <f t="shared" si="27"/>
        <v/>
      </c>
      <c r="M854" s="534" t="str">
        <f t="shared" si="26"/>
        <v/>
      </c>
    </row>
    <row r="855" spans="2:13" ht="15.75" x14ac:dyDescent="0.25">
      <c r="B855" s="692"/>
      <c r="C855" s="117" t="str">
        <f>IF(ISNUMBER(B855),IFERROR(VLOOKUP(B855,'נתוני רישום ומצבת'!B:J,3,0),""),"")</f>
        <v/>
      </c>
      <c r="D855" s="693"/>
      <c r="E855" s="697"/>
      <c r="F855" s="695"/>
      <c r="G855" s="696"/>
      <c r="K855" s="22" t="str">
        <f t="shared" si="27"/>
        <v/>
      </c>
      <c r="M855" s="534" t="str">
        <f t="shared" si="26"/>
        <v/>
      </c>
    </row>
    <row r="856" spans="2:13" ht="15.75" x14ac:dyDescent="0.25">
      <c r="B856" s="692"/>
      <c r="C856" s="117" t="str">
        <f>IF(ISNUMBER(B856),IFERROR(VLOOKUP(B856,'נתוני רישום ומצבת'!B:J,3,0),""),"")</f>
        <v/>
      </c>
      <c r="D856" s="693"/>
      <c r="E856" s="697"/>
      <c r="F856" s="695"/>
      <c r="G856" s="696"/>
      <c r="K856" s="22" t="str">
        <f t="shared" si="27"/>
        <v/>
      </c>
      <c r="M856" s="534" t="str">
        <f t="shared" si="26"/>
        <v/>
      </c>
    </row>
    <row r="857" spans="2:13" ht="15.75" x14ac:dyDescent="0.25">
      <c r="B857" s="692"/>
      <c r="C857" s="117" t="str">
        <f>IF(ISNUMBER(B857),IFERROR(VLOOKUP(B857,'נתוני רישום ומצבת'!B:J,3,0),""),"")</f>
        <v/>
      </c>
      <c r="D857" s="693"/>
      <c r="E857" s="697"/>
      <c r="F857" s="695"/>
      <c r="G857" s="696"/>
      <c r="K857" s="22" t="str">
        <f t="shared" si="27"/>
        <v/>
      </c>
      <c r="M857" s="534" t="str">
        <f t="shared" si="26"/>
        <v/>
      </c>
    </row>
    <row r="858" spans="2:13" ht="15.75" x14ac:dyDescent="0.25">
      <c r="B858" s="692"/>
      <c r="C858" s="117" t="str">
        <f>IF(ISNUMBER(B858),IFERROR(VLOOKUP(B858,'נתוני רישום ומצבת'!B:J,3,0),""),"")</f>
        <v/>
      </c>
      <c r="D858" s="693"/>
      <c r="E858" s="697"/>
      <c r="F858" s="695"/>
      <c r="G858" s="696"/>
      <c r="K858" s="22" t="str">
        <f t="shared" si="27"/>
        <v/>
      </c>
      <c r="M858" s="534" t="str">
        <f t="shared" si="26"/>
        <v/>
      </c>
    </row>
    <row r="859" spans="2:13" ht="15.75" x14ac:dyDescent="0.25">
      <c r="B859" s="692"/>
      <c r="C859" s="117" t="str">
        <f>IF(ISNUMBER(B859),IFERROR(VLOOKUP(B859,'נתוני רישום ומצבת'!B:J,3,0),""),"")</f>
        <v/>
      </c>
      <c r="D859" s="693"/>
      <c r="E859" s="697"/>
      <c r="F859" s="695"/>
      <c r="G859" s="696"/>
      <c r="K859" s="22" t="str">
        <f t="shared" si="27"/>
        <v/>
      </c>
      <c r="M859" s="534" t="str">
        <f t="shared" si="26"/>
        <v/>
      </c>
    </row>
    <row r="860" spans="2:13" ht="15.75" x14ac:dyDescent="0.25">
      <c r="B860" s="692"/>
      <c r="C860" s="117" t="str">
        <f>IF(ISNUMBER(B860),IFERROR(VLOOKUP(B860,'נתוני רישום ומצבת'!B:J,3,0),""),"")</f>
        <v/>
      </c>
      <c r="D860" s="693"/>
      <c r="E860" s="697"/>
      <c r="F860" s="695"/>
      <c r="G860" s="696"/>
      <c r="K860" s="22" t="str">
        <f t="shared" si="27"/>
        <v/>
      </c>
      <c r="M860" s="534" t="str">
        <f t="shared" si="26"/>
        <v/>
      </c>
    </row>
    <row r="861" spans="2:13" ht="15.75" x14ac:dyDescent="0.25">
      <c r="B861" s="692"/>
      <c r="C861" s="117" t="str">
        <f>IF(ISNUMBER(B861),IFERROR(VLOOKUP(B861,'נתוני רישום ומצבת'!B:J,3,0),""),"")</f>
        <v/>
      </c>
      <c r="D861" s="693"/>
      <c r="E861" s="697"/>
      <c r="F861" s="695"/>
      <c r="G861" s="696"/>
      <c r="K861" s="22" t="str">
        <f t="shared" si="27"/>
        <v/>
      </c>
      <c r="M861" s="534" t="str">
        <f t="shared" si="26"/>
        <v/>
      </c>
    </row>
    <row r="862" spans="2:13" ht="15.75" x14ac:dyDescent="0.25">
      <c r="B862" s="692"/>
      <c r="C862" s="117" t="str">
        <f>IF(ISNUMBER(B862),IFERROR(VLOOKUP(B862,'נתוני רישום ומצבת'!B:J,3,0),""),"")</f>
        <v/>
      </c>
      <c r="D862" s="693"/>
      <c r="E862" s="697"/>
      <c r="F862" s="695"/>
      <c r="G862" s="696"/>
      <c r="K862" s="22" t="str">
        <f t="shared" si="27"/>
        <v/>
      </c>
      <c r="M862" s="534" t="str">
        <f t="shared" si="26"/>
        <v/>
      </c>
    </row>
    <row r="863" spans="2:13" ht="15.75" x14ac:dyDescent="0.25">
      <c r="B863" s="692"/>
      <c r="C863" s="117" t="str">
        <f>IF(ISNUMBER(B863),IFERROR(VLOOKUP(B863,'נתוני רישום ומצבת'!B:J,3,0),""),"")</f>
        <v/>
      </c>
      <c r="D863" s="693"/>
      <c r="E863" s="697"/>
      <c r="F863" s="695"/>
      <c r="G863" s="696"/>
      <c r="K863" s="22" t="str">
        <f t="shared" si="27"/>
        <v/>
      </c>
      <c r="M863" s="534" t="str">
        <f t="shared" si="26"/>
        <v/>
      </c>
    </row>
    <row r="864" spans="2:13" ht="15.75" x14ac:dyDescent="0.25">
      <c r="B864" s="692"/>
      <c r="C864" s="117" t="str">
        <f>IF(ISNUMBER(B864),IFERROR(VLOOKUP(B864,'נתוני רישום ומצבת'!B:J,3,0),""),"")</f>
        <v/>
      </c>
      <c r="D864" s="693"/>
      <c r="E864" s="697"/>
      <c r="F864" s="695"/>
      <c r="G864" s="696"/>
      <c r="K864" s="22" t="str">
        <f t="shared" si="27"/>
        <v/>
      </c>
      <c r="M864" s="534" t="str">
        <f t="shared" si="26"/>
        <v/>
      </c>
    </row>
    <row r="865" spans="2:13" ht="15.75" x14ac:dyDescent="0.25">
      <c r="B865" s="692"/>
      <c r="C865" s="117" t="str">
        <f>IF(ISNUMBER(B865),IFERROR(VLOOKUP(B865,'נתוני רישום ומצבת'!B:J,3,0),""),"")</f>
        <v/>
      </c>
      <c r="D865" s="693"/>
      <c r="E865" s="697"/>
      <c r="F865" s="695"/>
      <c r="G865" s="696"/>
      <c r="K865" s="22" t="str">
        <f t="shared" si="27"/>
        <v/>
      </c>
      <c r="M865" s="534" t="str">
        <f t="shared" si="26"/>
        <v/>
      </c>
    </row>
    <row r="866" spans="2:13" ht="15.75" x14ac:dyDescent="0.25">
      <c r="B866" s="692"/>
      <c r="C866" s="117" t="str">
        <f>IF(ISNUMBER(B866),IFERROR(VLOOKUP(B866,'נתוני רישום ומצבת'!B:J,3,0),""),"")</f>
        <v/>
      </c>
      <c r="D866" s="693"/>
      <c r="E866" s="697"/>
      <c r="F866" s="695"/>
      <c r="G866" s="696"/>
      <c r="K866" s="22" t="str">
        <f t="shared" si="27"/>
        <v/>
      </c>
      <c r="M866" s="534" t="str">
        <f t="shared" si="26"/>
        <v/>
      </c>
    </row>
    <row r="867" spans="2:13" ht="15.75" x14ac:dyDescent="0.25">
      <c r="B867" s="692"/>
      <c r="C867" s="117" t="str">
        <f>IF(ISNUMBER(B867),IFERROR(VLOOKUP(B867,'נתוני רישום ומצבת'!B:J,3,0),""),"")</f>
        <v/>
      </c>
      <c r="D867" s="693"/>
      <c r="E867" s="697"/>
      <c r="F867" s="695"/>
      <c r="G867" s="696"/>
      <c r="K867" s="22" t="str">
        <f t="shared" si="27"/>
        <v/>
      </c>
      <c r="M867" s="534" t="str">
        <f t="shared" si="26"/>
        <v/>
      </c>
    </row>
    <row r="868" spans="2:13" ht="15.75" x14ac:dyDescent="0.25">
      <c r="B868" s="692"/>
      <c r="C868" s="117" t="str">
        <f>IF(ISNUMBER(B868),IFERROR(VLOOKUP(B868,'נתוני רישום ומצבת'!B:J,3,0),""),"")</f>
        <v/>
      </c>
      <c r="D868" s="693"/>
      <c r="E868" s="697"/>
      <c r="F868" s="695"/>
      <c r="G868" s="696"/>
      <c r="K868" s="22" t="str">
        <f t="shared" si="27"/>
        <v/>
      </c>
      <c r="M868" s="534" t="str">
        <f t="shared" si="26"/>
        <v/>
      </c>
    </row>
    <row r="869" spans="2:13" ht="15.75" x14ac:dyDescent="0.25">
      <c r="B869" s="692"/>
      <c r="C869" s="117" t="str">
        <f>IF(ISNUMBER(B869),IFERROR(VLOOKUP(B869,'נתוני רישום ומצבת'!B:J,3,0),""),"")</f>
        <v/>
      </c>
      <c r="D869" s="693"/>
      <c r="E869" s="697"/>
      <c r="F869" s="695"/>
      <c r="G869" s="696"/>
      <c r="K869" s="22" t="str">
        <f t="shared" si="27"/>
        <v/>
      </c>
      <c r="M869" s="534" t="str">
        <f t="shared" si="26"/>
        <v/>
      </c>
    </row>
    <row r="870" spans="2:13" ht="15.75" x14ac:dyDescent="0.25">
      <c r="B870" s="692"/>
      <c r="C870" s="117" t="str">
        <f>IF(ISNUMBER(B870),IFERROR(VLOOKUP(B870,'נתוני רישום ומצבת'!B:J,3,0),""),"")</f>
        <v/>
      </c>
      <c r="D870" s="693"/>
      <c r="E870" s="697"/>
      <c r="F870" s="695"/>
      <c r="G870" s="696"/>
      <c r="K870" s="22" t="str">
        <f t="shared" si="27"/>
        <v/>
      </c>
      <c r="M870" s="534" t="str">
        <f t="shared" si="26"/>
        <v/>
      </c>
    </row>
    <row r="871" spans="2:13" ht="15.75" x14ac:dyDescent="0.25">
      <c r="B871" s="692"/>
      <c r="C871" s="117" t="str">
        <f>IF(ISNUMBER(B871),IFERROR(VLOOKUP(B871,'נתוני רישום ומצבת'!B:J,3,0),""),"")</f>
        <v/>
      </c>
      <c r="D871" s="693"/>
      <c r="E871" s="697"/>
      <c r="F871" s="695"/>
      <c r="G871" s="696"/>
      <c r="K871" s="22" t="str">
        <f t="shared" si="27"/>
        <v/>
      </c>
      <c r="M871" s="534" t="str">
        <f t="shared" si="26"/>
        <v/>
      </c>
    </row>
    <row r="872" spans="2:13" ht="15.75" x14ac:dyDescent="0.25">
      <c r="B872" s="692"/>
      <c r="C872" s="117" t="str">
        <f>IF(ISNUMBER(B872),IFERROR(VLOOKUP(B872,'נתוני רישום ומצבת'!B:J,3,0),""),"")</f>
        <v/>
      </c>
      <c r="D872" s="693"/>
      <c r="E872" s="697"/>
      <c r="F872" s="695"/>
      <c r="G872" s="696"/>
      <c r="K872" s="22" t="str">
        <f t="shared" si="27"/>
        <v/>
      </c>
      <c r="M872" s="534" t="str">
        <f t="shared" si="26"/>
        <v/>
      </c>
    </row>
    <row r="873" spans="2:13" ht="15.75" x14ac:dyDescent="0.25">
      <c r="B873" s="692"/>
      <c r="C873" s="117" t="str">
        <f>IF(ISNUMBER(B873),IFERROR(VLOOKUP(B873,'נתוני רישום ומצבת'!B:J,3,0),""),"")</f>
        <v/>
      </c>
      <c r="D873" s="693"/>
      <c r="E873" s="697"/>
      <c r="F873" s="695"/>
      <c r="G873" s="696"/>
      <c r="K873" s="22" t="str">
        <f t="shared" si="27"/>
        <v/>
      </c>
      <c r="M873" s="534" t="str">
        <f t="shared" si="26"/>
        <v/>
      </c>
    </row>
    <row r="874" spans="2:13" ht="15.75" x14ac:dyDescent="0.25">
      <c r="B874" s="692"/>
      <c r="C874" s="117" t="str">
        <f>IF(ISNUMBER(B874),IFERROR(VLOOKUP(B874,'נתוני רישום ומצבת'!B:J,3,0),""),"")</f>
        <v/>
      </c>
      <c r="D874" s="693"/>
      <c r="E874" s="697"/>
      <c r="F874" s="695"/>
      <c r="G874" s="696"/>
      <c r="K874" s="22" t="str">
        <f t="shared" si="27"/>
        <v/>
      </c>
      <c r="M874" s="534" t="str">
        <f t="shared" si="26"/>
        <v/>
      </c>
    </row>
    <row r="875" spans="2:13" ht="15.75" x14ac:dyDescent="0.25">
      <c r="B875" s="692"/>
      <c r="C875" s="117" t="str">
        <f>IF(ISNUMBER(B875),IFERROR(VLOOKUP(B875,'נתוני רישום ומצבת'!B:J,3,0),""),"")</f>
        <v/>
      </c>
      <c r="D875" s="693"/>
      <c r="E875" s="697"/>
      <c r="F875" s="695"/>
      <c r="G875" s="696"/>
      <c r="K875" s="22" t="str">
        <f t="shared" si="27"/>
        <v/>
      </c>
      <c r="M875" s="534" t="str">
        <f t="shared" si="26"/>
        <v/>
      </c>
    </row>
    <row r="876" spans="2:13" ht="15.75" x14ac:dyDescent="0.25">
      <c r="B876" s="692"/>
      <c r="C876" s="117" t="str">
        <f>IF(ISNUMBER(B876),IFERROR(VLOOKUP(B876,'נתוני רישום ומצבת'!B:J,3,0),""),"")</f>
        <v/>
      </c>
      <c r="D876" s="693"/>
      <c r="E876" s="697"/>
      <c r="F876" s="695"/>
      <c r="G876" s="696"/>
      <c r="K876" s="22" t="str">
        <f t="shared" si="27"/>
        <v/>
      </c>
      <c r="M876" s="534" t="str">
        <f t="shared" si="26"/>
        <v/>
      </c>
    </row>
    <row r="877" spans="2:13" ht="15.75" x14ac:dyDescent="0.25">
      <c r="B877" s="692"/>
      <c r="C877" s="117" t="str">
        <f>IF(ISNUMBER(B877),IFERROR(VLOOKUP(B877,'נתוני רישום ומצבת'!B:J,3,0),""),"")</f>
        <v/>
      </c>
      <c r="D877" s="693"/>
      <c r="E877" s="697"/>
      <c r="F877" s="695"/>
      <c r="G877" s="696"/>
      <c r="K877" s="22" t="str">
        <f t="shared" si="27"/>
        <v/>
      </c>
      <c r="M877" s="534" t="str">
        <f t="shared" si="26"/>
        <v/>
      </c>
    </row>
    <row r="878" spans="2:13" ht="15.75" x14ac:dyDescent="0.25">
      <c r="B878" s="692"/>
      <c r="C878" s="117" t="str">
        <f>IF(ISNUMBER(B878),IFERROR(VLOOKUP(B878,'נתוני רישום ומצבת'!B:J,3,0),""),"")</f>
        <v/>
      </c>
      <c r="D878" s="693"/>
      <c r="E878" s="697"/>
      <c r="F878" s="695"/>
      <c r="G878" s="696"/>
      <c r="K878" s="22" t="str">
        <f t="shared" si="27"/>
        <v/>
      </c>
      <c r="M878" s="534" t="str">
        <f t="shared" si="26"/>
        <v/>
      </c>
    </row>
    <row r="879" spans="2:13" ht="15.75" x14ac:dyDescent="0.25">
      <c r="B879" s="692"/>
      <c r="C879" s="117" t="str">
        <f>IF(ISNUMBER(B879),IFERROR(VLOOKUP(B879,'נתוני רישום ומצבת'!B:J,3,0),""),"")</f>
        <v/>
      </c>
      <c r="D879" s="693"/>
      <c r="E879" s="697"/>
      <c r="F879" s="695"/>
      <c r="G879" s="696"/>
      <c r="K879" s="22" t="str">
        <f t="shared" si="27"/>
        <v/>
      </c>
      <c r="M879" s="534" t="str">
        <f t="shared" si="26"/>
        <v/>
      </c>
    </row>
    <row r="880" spans="2:13" ht="15.75" x14ac:dyDescent="0.25">
      <c r="B880" s="692"/>
      <c r="C880" s="117" t="str">
        <f>IF(ISNUMBER(B880),IFERROR(VLOOKUP(B880,'נתוני רישום ומצבת'!B:J,3,0),""),"")</f>
        <v/>
      </c>
      <c r="D880" s="693"/>
      <c r="E880" s="697"/>
      <c r="F880" s="695"/>
      <c r="G880" s="696"/>
      <c r="K880" s="22" t="str">
        <f t="shared" si="27"/>
        <v/>
      </c>
      <c r="M880" s="534" t="str">
        <f t="shared" si="26"/>
        <v/>
      </c>
    </row>
    <row r="881" spans="2:13" ht="15.75" x14ac:dyDescent="0.25">
      <c r="B881" s="692"/>
      <c r="C881" s="117" t="str">
        <f>IF(ISNUMBER(B881),IFERROR(VLOOKUP(B881,'נתוני רישום ומצבת'!B:J,3,0),""),"")</f>
        <v/>
      </c>
      <c r="D881" s="693"/>
      <c r="E881" s="697"/>
      <c r="F881" s="695"/>
      <c r="G881" s="696"/>
      <c r="K881" s="22" t="str">
        <f t="shared" si="27"/>
        <v/>
      </c>
      <c r="M881" s="534" t="str">
        <f t="shared" si="26"/>
        <v/>
      </c>
    </row>
    <row r="882" spans="2:13" ht="15.75" x14ac:dyDescent="0.25">
      <c r="B882" s="692"/>
      <c r="C882" s="117" t="str">
        <f>IF(ISNUMBER(B882),IFERROR(VLOOKUP(B882,'נתוני רישום ומצבת'!B:J,3,0),""),"")</f>
        <v/>
      </c>
      <c r="D882" s="693"/>
      <c r="E882" s="697"/>
      <c r="F882" s="695"/>
      <c r="G882" s="696"/>
      <c r="K882" s="22" t="str">
        <f t="shared" si="27"/>
        <v/>
      </c>
      <c r="M882" s="534" t="str">
        <f t="shared" si="26"/>
        <v/>
      </c>
    </row>
    <row r="883" spans="2:13" ht="15.75" x14ac:dyDescent="0.25">
      <c r="B883" s="692"/>
      <c r="C883" s="117" t="str">
        <f>IF(ISNUMBER(B883),IFERROR(VLOOKUP(B883,'נתוני רישום ומצבת'!B:J,3,0),""),"")</f>
        <v/>
      </c>
      <c r="D883" s="693"/>
      <c r="E883" s="697"/>
      <c r="F883" s="695"/>
      <c r="G883" s="696"/>
      <c r="K883" s="22" t="str">
        <f t="shared" si="27"/>
        <v/>
      </c>
      <c r="M883" s="534" t="str">
        <f t="shared" si="26"/>
        <v/>
      </c>
    </row>
    <row r="884" spans="2:13" ht="15.75" x14ac:dyDescent="0.25">
      <c r="B884" s="692"/>
      <c r="C884" s="117" t="str">
        <f>IF(ISNUMBER(B884),IFERROR(VLOOKUP(B884,'נתוני רישום ומצבת'!B:J,3,0),""),"")</f>
        <v/>
      </c>
      <c r="D884" s="693"/>
      <c r="E884" s="697"/>
      <c r="F884" s="695"/>
      <c r="G884" s="696"/>
      <c r="K884" s="22" t="str">
        <f t="shared" si="27"/>
        <v/>
      </c>
      <c r="M884" s="534" t="str">
        <f t="shared" si="26"/>
        <v/>
      </c>
    </row>
    <row r="885" spans="2:13" ht="15.75" x14ac:dyDescent="0.25">
      <c r="B885" s="692"/>
      <c r="C885" s="117" t="str">
        <f>IF(ISNUMBER(B885),IFERROR(VLOOKUP(B885,'נתוני רישום ומצבת'!B:J,3,0),""),"")</f>
        <v/>
      </c>
      <c r="D885" s="693"/>
      <c r="E885" s="697"/>
      <c r="F885" s="695"/>
      <c r="G885" s="696"/>
      <c r="K885" s="22" t="str">
        <f t="shared" si="27"/>
        <v/>
      </c>
      <c r="M885" s="534" t="str">
        <f t="shared" si="26"/>
        <v/>
      </c>
    </row>
    <row r="886" spans="2:13" ht="15.75" x14ac:dyDescent="0.25">
      <c r="B886" s="692"/>
      <c r="C886" s="117" t="str">
        <f>IF(ISNUMBER(B886),IFERROR(VLOOKUP(B886,'נתוני רישום ומצבת'!B:J,3,0),""),"")</f>
        <v/>
      </c>
      <c r="D886" s="693"/>
      <c r="E886" s="697"/>
      <c r="F886" s="695"/>
      <c r="G886" s="696"/>
      <c r="K886" s="22" t="str">
        <f t="shared" si="27"/>
        <v/>
      </c>
      <c r="M886" s="534" t="str">
        <f t="shared" si="26"/>
        <v/>
      </c>
    </row>
    <row r="887" spans="2:13" ht="15.75" x14ac:dyDescent="0.25">
      <c r="B887" s="692"/>
      <c r="C887" s="117" t="str">
        <f>IF(ISNUMBER(B887),IFERROR(VLOOKUP(B887,'נתוני רישום ומצבת'!B:J,3,0),""),"")</f>
        <v/>
      </c>
      <c r="D887" s="693"/>
      <c r="E887" s="697"/>
      <c r="F887" s="695"/>
      <c r="G887" s="696"/>
      <c r="K887" s="22" t="str">
        <f t="shared" si="27"/>
        <v/>
      </c>
      <c r="M887" s="534" t="str">
        <f t="shared" si="26"/>
        <v/>
      </c>
    </row>
    <row r="888" spans="2:13" ht="15.75" x14ac:dyDescent="0.25">
      <c r="B888" s="692"/>
      <c r="C888" s="117" t="str">
        <f>IF(ISNUMBER(B888),IFERROR(VLOOKUP(B888,'נתוני רישום ומצבת'!B:J,3,0),""),"")</f>
        <v/>
      </c>
      <c r="D888" s="693"/>
      <c r="E888" s="697"/>
      <c r="F888" s="695"/>
      <c r="G888" s="696"/>
      <c r="K888" s="22" t="str">
        <f t="shared" si="27"/>
        <v/>
      </c>
      <c r="M888" s="534" t="str">
        <f t="shared" si="26"/>
        <v/>
      </c>
    </row>
    <row r="889" spans="2:13" ht="15.75" x14ac:dyDescent="0.25">
      <c r="B889" s="692"/>
      <c r="C889" s="117" t="str">
        <f>IF(ISNUMBER(B889),IFERROR(VLOOKUP(B889,'נתוני רישום ומצבת'!B:J,3,0),""),"")</f>
        <v/>
      </c>
      <c r="D889" s="693"/>
      <c r="E889" s="697"/>
      <c r="F889" s="695"/>
      <c r="G889" s="696"/>
      <c r="K889" s="22" t="str">
        <f t="shared" si="27"/>
        <v/>
      </c>
      <c r="M889" s="534" t="str">
        <f t="shared" si="26"/>
        <v/>
      </c>
    </row>
    <row r="890" spans="2:13" ht="15.75" x14ac:dyDescent="0.25">
      <c r="B890" s="692"/>
      <c r="C890" s="117" t="str">
        <f>IF(ISNUMBER(B890),IFERROR(VLOOKUP(B890,'נתוני רישום ומצבת'!B:J,3,0),""),"")</f>
        <v/>
      </c>
      <c r="D890" s="693"/>
      <c r="E890" s="697"/>
      <c r="F890" s="695"/>
      <c r="G890" s="696"/>
      <c r="K890" s="22" t="str">
        <f t="shared" si="27"/>
        <v/>
      </c>
      <c r="M890" s="534" t="str">
        <f t="shared" si="26"/>
        <v/>
      </c>
    </row>
    <row r="891" spans="2:13" ht="15.75" x14ac:dyDescent="0.25">
      <c r="B891" s="692"/>
      <c r="C891" s="117" t="str">
        <f>IF(ISNUMBER(B891),IFERROR(VLOOKUP(B891,'נתוני רישום ומצבת'!B:J,3,0),""),"")</f>
        <v/>
      </c>
      <c r="D891" s="693"/>
      <c r="E891" s="697"/>
      <c r="F891" s="695"/>
      <c r="G891" s="696"/>
      <c r="K891" s="22" t="str">
        <f t="shared" si="27"/>
        <v/>
      </c>
      <c r="M891" s="534" t="str">
        <f t="shared" si="26"/>
        <v/>
      </c>
    </row>
    <row r="892" spans="2:13" ht="15.75" x14ac:dyDescent="0.25">
      <c r="B892" s="692"/>
      <c r="C892" s="117" t="str">
        <f>IF(ISNUMBER(B892),IFERROR(VLOOKUP(B892,'נתוני רישום ומצבת'!B:J,3,0),""),"")</f>
        <v/>
      </c>
      <c r="D892" s="693"/>
      <c r="E892" s="697"/>
      <c r="F892" s="695"/>
      <c r="G892" s="696"/>
      <c r="K892" s="22" t="str">
        <f t="shared" si="27"/>
        <v/>
      </c>
      <c r="M892" s="534" t="str">
        <f t="shared" si="26"/>
        <v/>
      </c>
    </row>
    <row r="893" spans="2:13" ht="15.75" x14ac:dyDescent="0.25">
      <c r="B893" s="692"/>
      <c r="C893" s="117" t="str">
        <f>IF(ISNUMBER(B893),IFERROR(VLOOKUP(B893,'נתוני רישום ומצבת'!B:J,3,0),""),"")</f>
        <v/>
      </c>
      <c r="D893" s="693"/>
      <c r="E893" s="697"/>
      <c r="F893" s="695"/>
      <c r="G893" s="696"/>
      <c r="K893" s="22" t="str">
        <f t="shared" si="27"/>
        <v/>
      </c>
      <c r="M893" s="534" t="str">
        <f t="shared" si="26"/>
        <v/>
      </c>
    </row>
    <row r="894" spans="2:13" ht="15.75" x14ac:dyDescent="0.25">
      <c r="B894" s="692"/>
      <c r="C894" s="117" t="str">
        <f>IF(ISNUMBER(B894),IFERROR(VLOOKUP(B894,'נתוני רישום ומצבת'!B:J,3,0),""),"")</f>
        <v/>
      </c>
      <c r="D894" s="693"/>
      <c r="E894" s="697"/>
      <c r="F894" s="695"/>
      <c r="G894" s="696"/>
      <c r="K894" s="22" t="str">
        <f t="shared" si="27"/>
        <v/>
      </c>
      <c r="M894" s="534" t="str">
        <f t="shared" si="26"/>
        <v/>
      </c>
    </row>
    <row r="895" spans="2:13" ht="15.75" x14ac:dyDescent="0.25">
      <c r="B895" s="692"/>
      <c r="C895" s="117" t="str">
        <f>IF(ISNUMBER(B895),IFERROR(VLOOKUP(B895,'נתוני רישום ומצבת'!B:J,3,0),""),"")</f>
        <v/>
      </c>
      <c r="D895" s="693"/>
      <c r="E895" s="697"/>
      <c r="F895" s="695"/>
      <c r="G895" s="696"/>
      <c r="K895" s="22" t="str">
        <f t="shared" si="27"/>
        <v/>
      </c>
      <c r="M895" s="534" t="str">
        <f t="shared" si="26"/>
        <v/>
      </c>
    </row>
    <row r="896" spans="2:13" ht="15.75" x14ac:dyDescent="0.25">
      <c r="B896" s="692"/>
      <c r="C896" s="117" t="str">
        <f>IF(ISNUMBER(B896),IFERROR(VLOOKUP(B896,'נתוני רישום ומצבת'!B:J,3,0),""),"")</f>
        <v/>
      </c>
      <c r="D896" s="693"/>
      <c r="E896" s="697"/>
      <c r="F896" s="695"/>
      <c r="G896" s="696"/>
      <c r="K896" s="22" t="str">
        <f t="shared" si="27"/>
        <v/>
      </c>
      <c r="M896" s="534" t="str">
        <f t="shared" si="26"/>
        <v/>
      </c>
    </row>
    <row r="897" spans="2:13" ht="15.75" x14ac:dyDescent="0.25">
      <c r="B897" s="692"/>
      <c r="C897" s="117" t="str">
        <f>IF(ISNUMBER(B897),IFERROR(VLOOKUP(B897,'נתוני רישום ומצבת'!B:J,3,0),""),"")</f>
        <v/>
      </c>
      <c r="D897" s="693"/>
      <c r="E897" s="697"/>
      <c r="F897" s="695"/>
      <c r="G897" s="696"/>
      <c r="K897" s="22" t="str">
        <f t="shared" si="27"/>
        <v/>
      </c>
      <c r="M897" s="534" t="str">
        <f t="shared" si="26"/>
        <v/>
      </c>
    </row>
    <row r="898" spans="2:13" ht="15.75" x14ac:dyDescent="0.25">
      <c r="B898" s="692"/>
      <c r="C898" s="117" t="str">
        <f>IF(ISNUMBER(B898),IFERROR(VLOOKUP(B898,'נתוני רישום ומצבת'!B:J,3,0),""),"")</f>
        <v/>
      </c>
      <c r="D898" s="693"/>
      <c r="E898" s="697"/>
      <c r="F898" s="695"/>
      <c r="G898" s="696"/>
      <c r="K898" s="22" t="str">
        <f t="shared" si="27"/>
        <v/>
      </c>
      <c r="M898" s="534" t="str">
        <f t="shared" si="26"/>
        <v/>
      </c>
    </row>
    <row r="899" spans="2:13" ht="15.75" x14ac:dyDescent="0.25">
      <c r="B899" s="692"/>
      <c r="C899" s="117" t="str">
        <f>IF(ISNUMBER(B899),IFERROR(VLOOKUP(B899,'נתוני רישום ומצבת'!B:J,3,0),""),"")</f>
        <v/>
      </c>
      <c r="D899" s="693"/>
      <c r="E899" s="697"/>
      <c r="F899" s="695"/>
      <c r="G899" s="696"/>
      <c r="K899" s="22" t="str">
        <f t="shared" si="27"/>
        <v/>
      </c>
      <c r="M899" s="534" t="str">
        <f t="shared" si="26"/>
        <v/>
      </c>
    </row>
    <row r="900" spans="2:13" ht="15.75" x14ac:dyDescent="0.25">
      <c r="B900" s="692"/>
      <c r="C900" s="117" t="str">
        <f>IF(ISNUMBER(B900),IFERROR(VLOOKUP(B900,'נתוני רישום ומצבת'!B:J,3,0),""),"")</f>
        <v/>
      </c>
      <c r="D900" s="693"/>
      <c r="E900" s="697"/>
      <c r="F900" s="695"/>
      <c r="G900" s="696"/>
      <c r="K900" s="22" t="str">
        <f t="shared" si="27"/>
        <v/>
      </c>
      <c r="M900" s="534" t="str">
        <f t="shared" si="26"/>
        <v/>
      </c>
    </row>
    <row r="901" spans="2:13" ht="15.75" x14ac:dyDescent="0.25">
      <c r="B901" s="692"/>
      <c r="C901" s="117" t="str">
        <f>IF(ISNUMBER(B901),IFERROR(VLOOKUP(B901,'נתוני רישום ומצבת'!B:J,3,0),""),"")</f>
        <v/>
      </c>
      <c r="D901" s="693"/>
      <c r="E901" s="697"/>
      <c r="F901" s="695"/>
      <c r="G901" s="696"/>
      <c r="K901" s="22" t="str">
        <f t="shared" si="27"/>
        <v/>
      </c>
      <c r="M901" s="534" t="str">
        <f t="shared" si="26"/>
        <v/>
      </c>
    </row>
    <row r="902" spans="2:13" ht="15.75" x14ac:dyDescent="0.25">
      <c r="B902" s="692"/>
      <c r="C902" s="117" t="str">
        <f>IF(ISNUMBER(B902),IFERROR(VLOOKUP(B902,'נתוני רישום ומצבת'!B:J,3,0),""),"")</f>
        <v/>
      </c>
      <c r="D902" s="693"/>
      <c r="E902" s="697"/>
      <c r="F902" s="695"/>
      <c r="G902" s="696"/>
      <c r="K902" s="22" t="str">
        <f t="shared" si="27"/>
        <v/>
      </c>
      <c r="M902" s="534" t="str">
        <f t="shared" si="26"/>
        <v/>
      </c>
    </row>
    <row r="903" spans="2:13" ht="15.75" x14ac:dyDescent="0.25">
      <c r="B903" s="692"/>
      <c r="C903" s="117" t="str">
        <f>IF(ISNUMBER(B903),IFERROR(VLOOKUP(B903,'נתוני רישום ומצבת'!B:J,3,0),""),"")</f>
        <v/>
      </c>
      <c r="D903" s="693"/>
      <c r="E903" s="697"/>
      <c r="F903" s="695"/>
      <c r="G903" s="696"/>
      <c r="K903" s="22" t="str">
        <f t="shared" si="27"/>
        <v/>
      </c>
      <c r="M903" s="534" t="str">
        <f t="shared" si="26"/>
        <v/>
      </c>
    </row>
    <row r="904" spans="2:13" ht="15.75" x14ac:dyDescent="0.25">
      <c r="B904" s="692"/>
      <c r="C904" s="117" t="str">
        <f>IF(ISNUMBER(B904),IFERROR(VLOOKUP(B904,'נתוני רישום ומצבת'!B:J,3,0),""),"")</f>
        <v/>
      </c>
      <c r="D904" s="693"/>
      <c r="E904" s="697"/>
      <c r="F904" s="695"/>
      <c r="G904" s="696"/>
      <c r="K904" s="22" t="str">
        <f t="shared" si="27"/>
        <v/>
      </c>
      <c r="M904" s="534" t="str">
        <f t="shared" si="26"/>
        <v/>
      </c>
    </row>
    <row r="905" spans="2:13" ht="15.75" x14ac:dyDescent="0.25">
      <c r="B905" s="692"/>
      <c r="C905" s="117" t="str">
        <f>IF(ISNUMBER(B905),IFERROR(VLOOKUP(B905,'נתוני רישום ומצבת'!B:J,3,0),""),"")</f>
        <v/>
      </c>
      <c r="D905" s="693"/>
      <c r="E905" s="697"/>
      <c r="F905" s="695"/>
      <c r="G905" s="696"/>
      <c r="K905" s="22" t="str">
        <f t="shared" si="27"/>
        <v/>
      </c>
      <c r="M905" s="534" t="str">
        <f t="shared" si="26"/>
        <v/>
      </c>
    </row>
    <row r="906" spans="2:13" ht="15.75" x14ac:dyDescent="0.25">
      <c r="B906" s="692"/>
      <c r="C906" s="117" t="str">
        <f>IF(ISNUMBER(B906),IFERROR(VLOOKUP(B906,'נתוני רישום ומצבת'!B:J,3,0),""),"")</f>
        <v/>
      </c>
      <c r="D906" s="693"/>
      <c r="E906" s="697"/>
      <c r="F906" s="695"/>
      <c r="G906" s="696"/>
      <c r="K906" s="22" t="str">
        <f t="shared" si="27"/>
        <v/>
      </c>
      <c r="M906" s="534" t="str">
        <f t="shared" si="26"/>
        <v/>
      </c>
    </row>
    <row r="907" spans="2:13" ht="15.75" x14ac:dyDescent="0.25">
      <c r="B907" s="692"/>
      <c r="C907" s="117" t="str">
        <f>IF(ISNUMBER(B907),IFERROR(VLOOKUP(B907,'נתוני רישום ומצבת'!B:J,3,0),""),"")</f>
        <v/>
      </c>
      <c r="D907" s="693"/>
      <c r="E907" s="697"/>
      <c r="F907" s="695"/>
      <c r="G907" s="696"/>
      <c r="K907" s="22" t="str">
        <f t="shared" si="27"/>
        <v/>
      </c>
      <c r="M907" s="534" t="str">
        <f t="shared" si="26"/>
        <v/>
      </c>
    </row>
    <row r="908" spans="2:13" ht="15.75" x14ac:dyDescent="0.25">
      <c r="B908" s="692"/>
      <c r="C908" s="117" t="str">
        <f>IF(ISNUMBER(B908),IFERROR(VLOOKUP(B908,'נתוני רישום ומצבת'!B:J,3,0),""),"")</f>
        <v/>
      </c>
      <c r="D908" s="693"/>
      <c r="E908" s="697"/>
      <c r="F908" s="695"/>
      <c r="G908" s="696"/>
      <c r="K908" s="22" t="str">
        <f t="shared" si="27"/>
        <v/>
      </c>
      <c r="M908" s="534" t="str">
        <f t="shared" si="26"/>
        <v/>
      </c>
    </row>
    <row r="909" spans="2:13" ht="15.75" x14ac:dyDescent="0.25">
      <c r="B909" s="692"/>
      <c r="C909" s="117" t="str">
        <f>IF(ISNUMBER(B909),IFERROR(VLOOKUP(B909,'נתוני רישום ומצבת'!B:J,3,0),""),"")</f>
        <v/>
      </c>
      <c r="D909" s="693"/>
      <c r="E909" s="697"/>
      <c r="F909" s="695"/>
      <c r="G909" s="696"/>
      <c r="K909" s="22" t="str">
        <f t="shared" si="27"/>
        <v/>
      </c>
      <c r="M909" s="534" t="str">
        <f t="shared" si="26"/>
        <v/>
      </c>
    </row>
    <row r="910" spans="2:13" ht="15.75" x14ac:dyDescent="0.25">
      <c r="B910" s="692"/>
      <c r="C910" s="117" t="str">
        <f>IF(ISNUMBER(B910),IFERROR(VLOOKUP(B910,'נתוני רישום ומצבת'!B:J,3,0),""),"")</f>
        <v/>
      </c>
      <c r="D910" s="693"/>
      <c r="E910" s="697"/>
      <c r="F910" s="695"/>
      <c r="G910" s="696"/>
      <c r="K910" s="22" t="str">
        <f t="shared" si="27"/>
        <v/>
      </c>
      <c r="M910" s="534" t="str">
        <f t="shared" si="26"/>
        <v/>
      </c>
    </row>
    <row r="911" spans="2:13" ht="15.75" x14ac:dyDescent="0.25">
      <c r="B911" s="692"/>
      <c r="C911" s="117" t="str">
        <f>IF(ISNUMBER(B911),IFERROR(VLOOKUP(B911,'נתוני רישום ומצבת'!B:J,3,0),""),"")</f>
        <v/>
      </c>
      <c r="D911" s="693"/>
      <c r="E911" s="697"/>
      <c r="F911" s="695"/>
      <c r="G911" s="696"/>
      <c r="K911" s="22" t="str">
        <f t="shared" si="27"/>
        <v/>
      </c>
      <c r="M911" s="534" t="str">
        <f t="shared" si="26"/>
        <v/>
      </c>
    </row>
    <row r="912" spans="2:13" ht="15.75" x14ac:dyDescent="0.25">
      <c r="B912" s="692"/>
      <c r="C912" s="117" t="str">
        <f>IF(ISNUMBER(B912),IFERROR(VLOOKUP(B912,'נתוני רישום ומצבת'!B:J,3,0),""),"")</f>
        <v/>
      </c>
      <c r="D912" s="693"/>
      <c r="E912" s="697"/>
      <c r="F912" s="695"/>
      <c r="G912" s="696"/>
      <c r="K912" s="22" t="str">
        <f t="shared" si="27"/>
        <v/>
      </c>
      <c r="M912" s="534" t="str">
        <f t="shared" si="26"/>
        <v/>
      </c>
    </row>
    <row r="913" spans="2:13" ht="15.75" x14ac:dyDescent="0.25">
      <c r="B913" s="692"/>
      <c r="C913" s="117" t="str">
        <f>IF(ISNUMBER(B913),IFERROR(VLOOKUP(B913,'נתוני רישום ומצבת'!B:J,3,0),""),"")</f>
        <v/>
      </c>
      <c r="D913" s="693"/>
      <c r="E913" s="697"/>
      <c r="F913" s="695"/>
      <c r="G913" s="696"/>
      <c r="K913" s="22" t="str">
        <f t="shared" si="27"/>
        <v/>
      </c>
      <c r="M913" s="534" t="str">
        <f t="shared" ref="M913:M976" si="28">TEXT(LEFT(D913,2),0)</f>
        <v/>
      </c>
    </row>
    <row r="914" spans="2:13" ht="15.75" x14ac:dyDescent="0.25">
      <c r="B914" s="692"/>
      <c r="C914" s="117" t="str">
        <f>IF(ISNUMBER(B914),IFERROR(VLOOKUP(B914,'נתוני רישום ומצבת'!B:J,3,0),""),"")</f>
        <v/>
      </c>
      <c r="D914" s="693"/>
      <c r="E914" s="697"/>
      <c r="F914" s="695"/>
      <c r="G914" s="696"/>
      <c r="K914" s="22" t="str">
        <f t="shared" si="27"/>
        <v/>
      </c>
      <c r="M914" s="534" t="str">
        <f t="shared" si="28"/>
        <v/>
      </c>
    </row>
    <row r="915" spans="2:13" ht="15.75" x14ac:dyDescent="0.25">
      <c r="B915" s="692"/>
      <c r="C915" s="117" t="str">
        <f>IF(ISNUMBER(B915),IFERROR(VLOOKUP(B915,'נתוני רישום ומצבת'!B:J,3,0),""),"")</f>
        <v/>
      </c>
      <c r="D915" s="693"/>
      <c r="E915" s="697"/>
      <c r="F915" s="695"/>
      <c r="G915" s="696"/>
      <c r="K915" s="22" t="str">
        <f t="shared" si="27"/>
        <v/>
      </c>
      <c r="M915" s="534" t="str">
        <f t="shared" si="28"/>
        <v/>
      </c>
    </row>
    <row r="916" spans="2:13" ht="15.75" x14ac:dyDescent="0.25">
      <c r="B916" s="692"/>
      <c r="C916" s="117" t="str">
        <f>IF(ISNUMBER(B916),IFERROR(VLOOKUP(B916,'נתוני רישום ומצבת'!B:J,3,0),""),"")</f>
        <v/>
      </c>
      <c r="D916" s="693"/>
      <c r="E916" s="697"/>
      <c r="F916" s="695"/>
      <c r="G916" s="696"/>
      <c r="K916" s="22" t="str">
        <f t="shared" si="27"/>
        <v/>
      </c>
      <c r="M916" s="534" t="str">
        <f t="shared" si="28"/>
        <v/>
      </c>
    </row>
    <row r="917" spans="2:13" ht="15.75" x14ac:dyDescent="0.25">
      <c r="B917" s="692"/>
      <c r="C917" s="117" t="str">
        <f>IF(ISNUMBER(B917),IFERROR(VLOOKUP(B917,'נתוני רישום ומצבת'!B:J,3,0),""),"")</f>
        <v/>
      </c>
      <c r="D917" s="693"/>
      <c r="E917" s="697"/>
      <c r="F917" s="695"/>
      <c r="G917" s="696"/>
      <c r="K917" s="22" t="str">
        <f t="shared" ref="K917:K980" si="29">IF(C904&lt;5,IF(D917=$F$8,-E917," "),"")</f>
        <v/>
      </c>
      <c r="M917" s="534" t="str">
        <f t="shared" si="28"/>
        <v/>
      </c>
    </row>
    <row r="918" spans="2:13" ht="15.75" x14ac:dyDescent="0.25">
      <c r="B918" s="692"/>
      <c r="C918" s="117" t="str">
        <f>IF(ISNUMBER(B918),IFERROR(VLOOKUP(B918,'נתוני רישום ומצבת'!B:J,3,0),""),"")</f>
        <v/>
      </c>
      <c r="D918" s="693"/>
      <c r="E918" s="697"/>
      <c r="F918" s="695"/>
      <c r="G918" s="696"/>
      <c r="K918" s="22" t="str">
        <f t="shared" si="29"/>
        <v/>
      </c>
      <c r="M918" s="534" t="str">
        <f t="shared" si="28"/>
        <v/>
      </c>
    </row>
    <row r="919" spans="2:13" ht="15.75" x14ac:dyDescent="0.25">
      <c r="B919" s="692"/>
      <c r="C919" s="117" t="str">
        <f>IF(ISNUMBER(B919),IFERROR(VLOOKUP(B919,'נתוני רישום ומצבת'!B:J,3,0),""),"")</f>
        <v/>
      </c>
      <c r="D919" s="693"/>
      <c r="E919" s="697"/>
      <c r="F919" s="695"/>
      <c r="G919" s="696"/>
      <c r="K919" s="22" t="str">
        <f t="shared" si="29"/>
        <v/>
      </c>
      <c r="M919" s="534" t="str">
        <f t="shared" si="28"/>
        <v/>
      </c>
    </row>
    <row r="920" spans="2:13" ht="15.75" x14ac:dyDescent="0.25">
      <c r="B920" s="692"/>
      <c r="C920" s="117" t="str">
        <f>IF(ISNUMBER(B920),IFERROR(VLOOKUP(B920,'נתוני רישום ומצבת'!B:J,3,0),""),"")</f>
        <v/>
      </c>
      <c r="D920" s="693"/>
      <c r="E920" s="697"/>
      <c r="F920" s="695"/>
      <c r="G920" s="696"/>
      <c r="K920" s="22" t="str">
        <f t="shared" si="29"/>
        <v/>
      </c>
      <c r="M920" s="534" t="str">
        <f t="shared" si="28"/>
        <v/>
      </c>
    </row>
    <row r="921" spans="2:13" ht="15.75" x14ac:dyDescent="0.25">
      <c r="B921" s="692"/>
      <c r="C921" s="117" t="str">
        <f>IF(ISNUMBER(B921),IFERROR(VLOOKUP(B921,'נתוני רישום ומצבת'!B:J,3,0),""),"")</f>
        <v/>
      </c>
      <c r="D921" s="693"/>
      <c r="E921" s="697"/>
      <c r="F921" s="695"/>
      <c r="G921" s="696"/>
      <c r="K921" s="22" t="str">
        <f t="shared" si="29"/>
        <v/>
      </c>
      <c r="M921" s="534" t="str">
        <f t="shared" si="28"/>
        <v/>
      </c>
    </row>
    <row r="922" spans="2:13" ht="15.75" x14ac:dyDescent="0.25">
      <c r="B922" s="692"/>
      <c r="C922" s="117" t="str">
        <f>IF(ISNUMBER(B922),IFERROR(VLOOKUP(B922,'נתוני רישום ומצבת'!B:J,3,0),""),"")</f>
        <v/>
      </c>
      <c r="D922" s="693"/>
      <c r="E922" s="697"/>
      <c r="F922" s="695"/>
      <c r="G922" s="696"/>
      <c r="K922" s="22" t="str">
        <f t="shared" si="29"/>
        <v/>
      </c>
      <c r="M922" s="534" t="str">
        <f t="shared" si="28"/>
        <v/>
      </c>
    </row>
    <row r="923" spans="2:13" ht="15.75" x14ac:dyDescent="0.25">
      <c r="B923" s="692"/>
      <c r="C923" s="117" t="str">
        <f>IF(ISNUMBER(B923),IFERROR(VLOOKUP(B923,'נתוני רישום ומצבת'!B:J,3,0),""),"")</f>
        <v/>
      </c>
      <c r="D923" s="693"/>
      <c r="E923" s="697"/>
      <c r="F923" s="695"/>
      <c r="G923" s="696"/>
      <c r="K923" s="22" t="str">
        <f t="shared" si="29"/>
        <v/>
      </c>
      <c r="M923" s="534" t="str">
        <f t="shared" si="28"/>
        <v/>
      </c>
    </row>
    <row r="924" spans="2:13" ht="15.75" x14ac:dyDescent="0.25">
      <c r="B924" s="692"/>
      <c r="C924" s="117" t="str">
        <f>IF(ISNUMBER(B924),IFERROR(VLOOKUP(B924,'נתוני רישום ומצבת'!B:J,3,0),""),"")</f>
        <v/>
      </c>
      <c r="D924" s="693"/>
      <c r="E924" s="697"/>
      <c r="F924" s="695"/>
      <c r="G924" s="696"/>
      <c r="K924" s="22" t="str">
        <f t="shared" si="29"/>
        <v/>
      </c>
      <c r="M924" s="534" t="str">
        <f t="shared" si="28"/>
        <v/>
      </c>
    </row>
    <row r="925" spans="2:13" ht="15.75" x14ac:dyDescent="0.25">
      <c r="B925" s="692"/>
      <c r="C925" s="117" t="str">
        <f>IF(ISNUMBER(B925),IFERROR(VLOOKUP(B925,'נתוני רישום ומצבת'!B:J,3,0),""),"")</f>
        <v/>
      </c>
      <c r="D925" s="693"/>
      <c r="E925" s="697"/>
      <c r="F925" s="695"/>
      <c r="G925" s="696"/>
      <c r="K925" s="22" t="str">
        <f t="shared" si="29"/>
        <v/>
      </c>
      <c r="M925" s="534" t="str">
        <f t="shared" si="28"/>
        <v/>
      </c>
    </row>
    <row r="926" spans="2:13" ht="15.75" x14ac:dyDescent="0.25">
      <c r="B926" s="692"/>
      <c r="C926" s="117" t="str">
        <f>IF(ISNUMBER(B926),IFERROR(VLOOKUP(B926,'נתוני רישום ומצבת'!B:J,3,0),""),"")</f>
        <v/>
      </c>
      <c r="D926" s="693"/>
      <c r="E926" s="697"/>
      <c r="F926" s="695"/>
      <c r="G926" s="696"/>
      <c r="K926" s="22" t="str">
        <f t="shared" si="29"/>
        <v/>
      </c>
      <c r="M926" s="534" t="str">
        <f t="shared" si="28"/>
        <v/>
      </c>
    </row>
    <row r="927" spans="2:13" ht="15.75" x14ac:dyDescent="0.25">
      <c r="B927" s="692"/>
      <c r="C927" s="117" t="str">
        <f>IF(ISNUMBER(B927),IFERROR(VLOOKUP(B927,'נתוני רישום ומצבת'!B:J,3,0),""),"")</f>
        <v/>
      </c>
      <c r="D927" s="693"/>
      <c r="E927" s="697"/>
      <c r="F927" s="695"/>
      <c r="G927" s="696"/>
      <c r="K927" s="22" t="str">
        <f t="shared" si="29"/>
        <v/>
      </c>
      <c r="M927" s="534" t="str">
        <f t="shared" si="28"/>
        <v/>
      </c>
    </row>
    <row r="928" spans="2:13" ht="15.75" x14ac:dyDescent="0.25">
      <c r="B928" s="692"/>
      <c r="C928" s="117" t="str">
        <f>IF(ISNUMBER(B928),IFERROR(VLOOKUP(B928,'נתוני רישום ומצבת'!B:J,3,0),""),"")</f>
        <v/>
      </c>
      <c r="D928" s="693"/>
      <c r="E928" s="697"/>
      <c r="F928" s="695"/>
      <c r="G928" s="696"/>
      <c r="K928" s="22" t="str">
        <f t="shared" si="29"/>
        <v/>
      </c>
      <c r="M928" s="534" t="str">
        <f t="shared" si="28"/>
        <v/>
      </c>
    </row>
    <row r="929" spans="2:13" ht="15.75" x14ac:dyDescent="0.25">
      <c r="B929" s="692"/>
      <c r="C929" s="117" t="str">
        <f>IF(ISNUMBER(B929),IFERROR(VLOOKUP(B929,'נתוני רישום ומצבת'!B:J,3,0),""),"")</f>
        <v/>
      </c>
      <c r="D929" s="693"/>
      <c r="E929" s="697"/>
      <c r="F929" s="695"/>
      <c r="G929" s="696"/>
      <c r="K929" s="22" t="str">
        <f t="shared" si="29"/>
        <v/>
      </c>
      <c r="M929" s="534" t="str">
        <f t="shared" si="28"/>
        <v/>
      </c>
    </row>
    <row r="930" spans="2:13" ht="15.75" x14ac:dyDescent="0.25">
      <c r="B930" s="692"/>
      <c r="C930" s="117" t="str">
        <f>IF(ISNUMBER(B930),IFERROR(VLOOKUP(B930,'נתוני רישום ומצבת'!B:J,3,0),""),"")</f>
        <v/>
      </c>
      <c r="D930" s="693"/>
      <c r="E930" s="697"/>
      <c r="F930" s="695"/>
      <c r="G930" s="696"/>
      <c r="K930" s="22" t="str">
        <f t="shared" si="29"/>
        <v/>
      </c>
      <c r="M930" s="534" t="str">
        <f t="shared" si="28"/>
        <v/>
      </c>
    </row>
    <row r="931" spans="2:13" ht="15.75" x14ac:dyDescent="0.25">
      <c r="B931" s="692"/>
      <c r="C931" s="117" t="str">
        <f>IF(ISNUMBER(B931),IFERROR(VLOOKUP(B931,'נתוני רישום ומצבת'!B:J,3,0),""),"")</f>
        <v/>
      </c>
      <c r="D931" s="693"/>
      <c r="E931" s="697"/>
      <c r="F931" s="695"/>
      <c r="G931" s="696"/>
      <c r="K931" s="22" t="str">
        <f t="shared" si="29"/>
        <v/>
      </c>
      <c r="M931" s="534" t="str">
        <f t="shared" si="28"/>
        <v/>
      </c>
    </row>
    <row r="932" spans="2:13" ht="15.75" x14ac:dyDescent="0.25">
      <c r="B932" s="692"/>
      <c r="C932" s="117" t="str">
        <f>IF(ISNUMBER(B932),IFERROR(VLOOKUP(B932,'נתוני רישום ומצבת'!B:J,3,0),""),"")</f>
        <v/>
      </c>
      <c r="D932" s="693"/>
      <c r="E932" s="697"/>
      <c r="F932" s="695"/>
      <c r="G932" s="696"/>
      <c r="K932" s="22" t="str">
        <f t="shared" si="29"/>
        <v/>
      </c>
      <c r="M932" s="534" t="str">
        <f t="shared" si="28"/>
        <v/>
      </c>
    </row>
    <row r="933" spans="2:13" ht="15.75" x14ac:dyDescent="0.25">
      <c r="B933" s="692"/>
      <c r="C933" s="117" t="str">
        <f>IF(ISNUMBER(B933),IFERROR(VLOOKUP(B933,'נתוני רישום ומצבת'!B:J,3,0),""),"")</f>
        <v/>
      </c>
      <c r="D933" s="693"/>
      <c r="E933" s="697"/>
      <c r="F933" s="695"/>
      <c r="G933" s="696"/>
      <c r="K933" s="22" t="str">
        <f t="shared" si="29"/>
        <v/>
      </c>
      <c r="M933" s="534" t="str">
        <f t="shared" si="28"/>
        <v/>
      </c>
    </row>
    <row r="934" spans="2:13" ht="15.75" x14ac:dyDescent="0.25">
      <c r="B934" s="692"/>
      <c r="C934" s="117" t="str">
        <f>IF(ISNUMBER(B934),IFERROR(VLOOKUP(B934,'נתוני רישום ומצבת'!B:J,3,0),""),"")</f>
        <v/>
      </c>
      <c r="D934" s="693"/>
      <c r="E934" s="697"/>
      <c r="F934" s="695"/>
      <c r="G934" s="696"/>
      <c r="K934" s="22" t="str">
        <f t="shared" si="29"/>
        <v/>
      </c>
      <c r="M934" s="534" t="str">
        <f t="shared" si="28"/>
        <v/>
      </c>
    </row>
    <row r="935" spans="2:13" ht="15.75" x14ac:dyDescent="0.25">
      <c r="B935" s="692"/>
      <c r="C935" s="117" t="str">
        <f>IF(ISNUMBER(B935),IFERROR(VLOOKUP(B935,'נתוני רישום ומצבת'!B:J,3,0),""),"")</f>
        <v/>
      </c>
      <c r="D935" s="693"/>
      <c r="E935" s="697"/>
      <c r="F935" s="695"/>
      <c r="G935" s="696"/>
      <c r="K935" s="22" t="str">
        <f t="shared" si="29"/>
        <v/>
      </c>
      <c r="M935" s="534" t="str">
        <f t="shared" si="28"/>
        <v/>
      </c>
    </row>
    <row r="936" spans="2:13" ht="15.75" x14ac:dyDescent="0.25">
      <c r="B936" s="692"/>
      <c r="C936" s="117" t="str">
        <f>IF(ISNUMBER(B936),IFERROR(VLOOKUP(B936,'נתוני רישום ומצבת'!B:J,3,0),""),"")</f>
        <v/>
      </c>
      <c r="D936" s="693"/>
      <c r="E936" s="697"/>
      <c r="F936" s="695"/>
      <c r="G936" s="696"/>
      <c r="K936" s="22" t="str">
        <f t="shared" si="29"/>
        <v/>
      </c>
      <c r="M936" s="534" t="str">
        <f t="shared" si="28"/>
        <v/>
      </c>
    </row>
    <row r="937" spans="2:13" ht="15.75" x14ac:dyDescent="0.25">
      <c r="B937" s="692"/>
      <c r="C937" s="117" t="str">
        <f>IF(ISNUMBER(B937),IFERROR(VLOOKUP(B937,'נתוני רישום ומצבת'!B:J,3,0),""),"")</f>
        <v/>
      </c>
      <c r="D937" s="693"/>
      <c r="E937" s="697"/>
      <c r="F937" s="695"/>
      <c r="G937" s="696"/>
      <c r="K937" s="22" t="str">
        <f t="shared" si="29"/>
        <v/>
      </c>
      <c r="M937" s="534" t="str">
        <f t="shared" si="28"/>
        <v/>
      </c>
    </row>
    <row r="938" spans="2:13" ht="15.75" x14ac:dyDescent="0.25">
      <c r="B938" s="692"/>
      <c r="C938" s="117" t="str">
        <f>IF(ISNUMBER(B938),IFERROR(VLOOKUP(B938,'נתוני רישום ומצבת'!B:J,3,0),""),"")</f>
        <v/>
      </c>
      <c r="D938" s="693"/>
      <c r="E938" s="697"/>
      <c r="F938" s="695"/>
      <c r="G938" s="696"/>
      <c r="K938" s="22" t="str">
        <f t="shared" si="29"/>
        <v/>
      </c>
      <c r="M938" s="534" t="str">
        <f t="shared" si="28"/>
        <v/>
      </c>
    </row>
    <row r="939" spans="2:13" ht="15.75" x14ac:dyDescent="0.25">
      <c r="B939" s="692"/>
      <c r="C939" s="117" t="str">
        <f>IF(ISNUMBER(B939),IFERROR(VLOOKUP(B939,'נתוני רישום ומצבת'!B:J,3,0),""),"")</f>
        <v/>
      </c>
      <c r="D939" s="693"/>
      <c r="E939" s="697"/>
      <c r="F939" s="695"/>
      <c r="G939" s="696"/>
      <c r="K939" s="22" t="str">
        <f t="shared" si="29"/>
        <v/>
      </c>
      <c r="M939" s="534" t="str">
        <f t="shared" si="28"/>
        <v/>
      </c>
    </row>
    <row r="940" spans="2:13" ht="15.75" x14ac:dyDescent="0.25">
      <c r="B940" s="692"/>
      <c r="C940" s="117" t="str">
        <f>IF(ISNUMBER(B940),IFERROR(VLOOKUP(B940,'נתוני רישום ומצבת'!B:J,3,0),""),"")</f>
        <v/>
      </c>
      <c r="D940" s="693"/>
      <c r="E940" s="697"/>
      <c r="F940" s="695"/>
      <c r="G940" s="696"/>
      <c r="K940" s="22" t="str">
        <f t="shared" si="29"/>
        <v/>
      </c>
      <c r="M940" s="534" t="str">
        <f t="shared" si="28"/>
        <v/>
      </c>
    </row>
    <row r="941" spans="2:13" ht="15.75" x14ac:dyDescent="0.25">
      <c r="B941" s="692"/>
      <c r="C941" s="117" t="str">
        <f>IF(ISNUMBER(B941),IFERROR(VLOOKUP(B941,'נתוני רישום ומצבת'!B:J,3,0),""),"")</f>
        <v/>
      </c>
      <c r="D941" s="693"/>
      <c r="E941" s="697"/>
      <c r="F941" s="695"/>
      <c r="G941" s="696"/>
      <c r="K941" s="22" t="str">
        <f t="shared" si="29"/>
        <v/>
      </c>
      <c r="M941" s="534" t="str">
        <f t="shared" si="28"/>
        <v/>
      </c>
    </row>
    <row r="942" spans="2:13" ht="15.75" x14ac:dyDescent="0.25">
      <c r="B942" s="692"/>
      <c r="C942" s="117" t="str">
        <f>IF(ISNUMBER(B942),IFERROR(VLOOKUP(B942,'נתוני רישום ומצבת'!B:J,3,0),""),"")</f>
        <v/>
      </c>
      <c r="D942" s="693"/>
      <c r="E942" s="697"/>
      <c r="F942" s="695"/>
      <c r="G942" s="696"/>
      <c r="K942" s="22" t="str">
        <f t="shared" si="29"/>
        <v/>
      </c>
      <c r="M942" s="534" t="str">
        <f t="shared" si="28"/>
        <v/>
      </c>
    </row>
    <row r="943" spans="2:13" ht="15.75" x14ac:dyDescent="0.25">
      <c r="B943" s="692"/>
      <c r="C943" s="117" t="str">
        <f>IF(ISNUMBER(B943),IFERROR(VLOOKUP(B943,'נתוני רישום ומצבת'!B:J,3,0),""),"")</f>
        <v/>
      </c>
      <c r="D943" s="693"/>
      <c r="E943" s="697"/>
      <c r="F943" s="695"/>
      <c r="G943" s="696"/>
      <c r="K943" s="22" t="str">
        <f t="shared" si="29"/>
        <v/>
      </c>
      <c r="M943" s="534" t="str">
        <f t="shared" si="28"/>
        <v/>
      </c>
    </row>
    <row r="944" spans="2:13" ht="15.75" x14ac:dyDescent="0.25">
      <c r="B944" s="692"/>
      <c r="C944" s="117" t="str">
        <f>IF(ISNUMBER(B944),IFERROR(VLOOKUP(B944,'נתוני רישום ומצבת'!B:J,3,0),""),"")</f>
        <v/>
      </c>
      <c r="D944" s="693"/>
      <c r="E944" s="697"/>
      <c r="F944" s="695"/>
      <c r="G944" s="696"/>
      <c r="K944" s="22" t="str">
        <f t="shared" si="29"/>
        <v/>
      </c>
      <c r="M944" s="534" t="str">
        <f t="shared" si="28"/>
        <v/>
      </c>
    </row>
    <row r="945" spans="2:13" ht="15.75" x14ac:dyDescent="0.25">
      <c r="B945" s="692"/>
      <c r="C945" s="117" t="str">
        <f>IF(ISNUMBER(B945),IFERROR(VLOOKUP(B945,'נתוני רישום ומצבת'!B:J,3,0),""),"")</f>
        <v/>
      </c>
      <c r="D945" s="693"/>
      <c r="E945" s="697"/>
      <c r="F945" s="695"/>
      <c r="G945" s="696"/>
      <c r="K945" s="22" t="str">
        <f t="shared" si="29"/>
        <v/>
      </c>
      <c r="M945" s="534" t="str">
        <f t="shared" si="28"/>
        <v/>
      </c>
    </row>
    <row r="946" spans="2:13" ht="15.75" x14ac:dyDescent="0.25">
      <c r="B946" s="692"/>
      <c r="C946" s="117" t="str">
        <f>IF(ISNUMBER(B946),IFERROR(VLOOKUP(B946,'נתוני רישום ומצבת'!B:J,3,0),""),"")</f>
        <v/>
      </c>
      <c r="D946" s="693"/>
      <c r="E946" s="697"/>
      <c r="F946" s="695"/>
      <c r="G946" s="696"/>
      <c r="K946" s="22" t="str">
        <f t="shared" si="29"/>
        <v/>
      </c>
      <c r="M946" s="534" t="str">
        <f t="shared" si="28"/>
        <v/>
      </c>
    </row>
    <row r="947" spans="2:13" ht="15.75" x14ac:dyDescent="0.25">
      <c r="B947" s="692"/>
      <c r="C947" s="117" t="str">
        <f>IF(ISNUMBER(B947),IFERROR(VLOOKUP(B947,'נתוני רישום ומצבת'!B:J,3,0),""),"")</f>
        <v/>
      </c>
      <c r="D947" s="693"/>
      <c r="E947" s="697"/>
      <c r="F947" s="695"/>
      <c r="G947" s="696"/>
      <c r="K947" s="22" t="str">
        <f t="shared" si="29"/>
        <v/>
      </c>
      <c r="M947" s="534" t="str">
        <f t="shared" si="28"/>
        <v/>
      </c>
    </row>
    <row r="948" spans="2:13" ht="15.75" x14ac:dyDescent="0.25">
      <c r="B948" s="692"/>
      <c r="C948" s="117" t="str">
        <f>IF(ISNUMBER(B948),IFERROR(VLOOKUP(B948,'נתוני רישום ומצבת'!B:J,3,0),""),"")</f>
        <v/>
      </c>
      <c r="D948" s="693"/>
      <c r="E948" s="697"/>
      <c r="F948" s="695"/>
      <c r="G948" s="696"/>
      <c r="K948" s="22" t="str">
        <f t="shared" si="29"/>
        <v/>
      </c>
      <c r="M948" s="534" t="str">
        <f t="shared" si="28"/>
        <v/>
      </c>
    </row>
    <row r="949" spans="2:13" ht="15.75" x14ac:dyDescent="0.25">
      <c r="B949" s="692"/>
      <c r="C949" s="117" t="str">
        <f>IF(ISNUMBER(B949),IFERROR(VLOOKUP(B949,'נתוני רישום ומצבת'!B:J,3,0),""),"")</f>
        <v/>
      </c>
      <c r="D949" s="693"/>
      <c r="E949" s="697"/>
      <c r="F949" s="695"/>
      <c r="G949" s="696"/>
      <c r="K949" s="22" t="str">
        <f t="shared" si="29"/>
        <v/>
      </c>
      <c r="M949" s="534" t="str">
        <f t="shared" si="28"/>
        <v/>
      </c>
    </row>
    <row r="950" spans="2:13" ht="15.75" x14ac:dyDescent="0.25">
      <c r="B950" s="692"/>
      <c r="C950" s="117" t="str">
        <f>IF(ISNUMBER(B950),IFERROR(VLOOKUP(B950,'נתוני רישום ומצבת'!B:J,3,0),""),"")</f>
        <v/>
      </c>
      <c r="D950" s="693"/>
      <c r="E950" s="697"/>
      <c r="F950" s="695"/>
      <c r="G950" s="696"/>
      <c r="K950" s="22" t="str">
        <f t="shared" si="29"/>
        <v/>
      </c>
      <c r="M950" s="534" t="str">
        <f t="shared" si="28"/>
        <v/>
      </c>
    </row>
    <row r="951" spans="2:13" ht="15.75" x14ac:dyDescent="0.25">
      <c r="B951" s="692"/>
      <c r="C951" s="117" t="str">
        <f>IF(ISNUMBER(B951),IFERROR(VLOOKUP(B951,'נתוני רישום ומצבת'!B:J,3,0),""),"")</f>
        <v/>
      </c>
      <c r="D951" s="693"/>
      <c r="E951" s="697"/>
      <c r="F951" s="695"/>
      <c r="G951" s="696"/>
      <c r="K951" s="22" t="str">
        <f t="shared" si="29"/>
        <v/>
      </c>
      <c r="M951" s="534" t="str">
        <f t="shared" si="28"/>
        <v/>
      </c>
    </row>
    <row r="952" spans="2:13" ht="15.75" x14ac:dyDescent="0.25">
      <c r="B952" s="692"/>
      <c r="C952" s="117" t="str">
        <f>IF(ISNUMBER(B952),IFERROR(VLOOKUP(B952,'נתוני רישום ומצבת'!B:J,3,0),""),"")</f>
        <v/>
      </c>
      <c r="D952" s="693"/>
      <c r="E952" s="697"/>
      <c r="F952" s="695"/>
      <c r="G952" s="696"/>
      <c r="K952" s="22" t="str">
        <f t="shared" si="29"/>
        <v/>
      </c>
      <c r="M952" s="534" t="str">
        <f t="shared" si="28"/>
        <v/>
      </c>
    </row>
    <row r="953" spans="2:13" ht="15.75" x14ac:dyDescent="0.25">
      <c r="B953" s="692"/>
      <c r="C953" s="117" t="str">
        <f>IF(ISNUMBER(B953),IFERROR(VLOOKUP(B953,'נתוני רישום ומצבת'!B:J,3,0),""),"")</f>
        <v/>
      </c>
      <c r="D953" s="693"/>
      <c r="E953" s="697"/>
      <c r="F953" s="695"/>
      <c r="G953" s="696"/>
      <c r="K953" s="22" t="str">
        <f t="shared" si="29"/>
        <v/>
      </c>
      <c r="M953" s="534" t="str">
        <f t="shared" si="28"/>
        <v/>
      </c>
    </row>
    <row r="954" spans="2:13" ht="15.75" x14ac:dyDescent="0.25">
      <c r="B954" s="692"/>
      <c r="C954" s="117" t="str">
        <f>IF(ISNUMBER(B954),IFERROR(VLOOKUP(B954,'נתוני רישום ומצבת'!B:J,3,0),""),"")</f>
        <v/>
      </c>
      <c r="D954" s="693"/>
      <c r="E954" s="697"/>
      <c r="F954" s="695"/>
      <c r="G954" s="696"/>
      <c r="K954" s="22" t="str">
        <f t="shared" si="29"/>
        <v/>
      </c>
      <c r="M954" s="534" t="str">
        <f t="shared" si="28"/>
        <v/>
      </c>
    </row>
    <row r="955" spans="2:13" ht="15.75" x14ac:dyDescent="0.25">
      <c r="B955" s="692"/>
      <c r="C955" s="117" t="str">
        <f>IF(ISNUMBER(B955),IFERROR(VLOOKUP(B955,'נתוני רישום ומצבת'!B:J,3,0),""),"")</f>
        <v/>
      </c>
      <c r="D955" s="693"/>
      <c r="E955" s="697"/>
      <c r="F955" s="695"/>
      <c r="G955" s="696"/>
      <c r="K955" s="22" t="str">
        <f t="shared" si="29"/>
        <v/>
      </c>
      <c r="M955" s="534" t="str">
        <f t="shared" si="28"/>
        <v/>
      </c>
    </row>
    <row r="956" spans="2:13" ht="15.75" x14ac:dyDescent="0.25">
      <c r="B956" s="692"/>
      <c r="C956" s="117" t="str">
        <f>IF(ISNUMBER(B956),IFERROR(VLOOKUP(B956,'נתוני רישום ומצבת'!B:J,3,0),""),"")</f>
        <v/>
      </c>
      <c r="D956" s="693"/>
      <c r="E956" s="697"/>
      <c r="F956" s="695"/>
      <c r="G956" s="696"/>
      <c r="K956" s="22" t="str">
        <f t="shared" si="29"/>
        <v/>
      </c>
      <c r="M956" s="534" t="str">
        <f t="shared" si="28"/>
        <v/>
      </c>
    </row>
    <row r="957" spans="2:13" ht="15.75" x14ac:dyDescent="0.25">
      <c r="B957" s="692"/>
      <c r="C957" s="117" t="str">
        <f>IF(ISNUMBER(B957),IFERROR(VLOOKUP(B957,'נתוני רישום ומצבת'!B:J,3,0),""),"")</f>
        <v/>
      </c>
      <c r="D957" s="693"/>
      <c r="E957" s="697"/>
      <c r="F957" s="695"/>
      <c r="G957" s="696"/>
      <c r="K957" s="22" t="str">
        <f t="shared" si="29"/>
        <v/>
      </c>
      <c r="M957" s="534" t="str">
        <f t="shared" si="28"/>
        <v/>
      </c>
    </row>
    <row r="958" spans="2:13" ht="15.75" x14ac:dyDescent="0.25">
      <c r="B958" s="692"/>
      <c r="C958" s="117" t="str">
        <f>IF(ISNUMBER(B958),IFERROR(VLOOKUP(B958,'נתוני רישום ומצבת'!B:J,3,0),""),"")</f>
        <v/>
      </c>
      <c r="D958" s="693"/>
      <c r="E958" s="697"/>
      <c r="F958" s="695"/>
      <c r="G958" s="696"/>
      <c r="K958" s="22" t="str">
        <f t="shared" si="29"/>
        <v/>
      </c>
      <c r="M958" s="534" t="str">
        <f t="shared" si="28"/>
        <v/>
      </c>
    </row>
    <row r="959" spans="2:13" ht="15.75" x14ac:dyDescent="0.25">
      <c r="B959" s="692"/>
      <c r="C959" s="117" t="str">
        <f>IF(ISNUMBER(B959),IFERROR(VLOOKUP(B959,'נתוני רישום ומצבת'!B:J,3,0),""),"")</f>
        <v/>
      </c>
      <c r="D959" s="693"/>
      <c r="E959" s="697"/>
      <c r="F959" s="695"/>
      <c r="G959" s="696"/>
      <c r="K959" s="22" t="str">
        <f t="shared" si="29"/>
        <v/>
      </c>
      <c r="M959" s="534" t="str">
        <f t="shared" si="28"/>
        <v/>
      </c>
    </row>
    <row r="960" spans="2:13" ht="15.75" x14ac:dyDescent="0.25">
      <c r="B960" s="692"/>
      <c r="C960" s="117" t="str">
        <f>IF(ISNUMBER(B960),IFERROR(VLOOKUP(B960,'נתוני רישום ומצבת'!B:J,3,0),""),"")</f>
        <v/>
      </c>
      <c r="D960" s="693"/>
      <c r="E960" s="697"/>
      <c r="F960" s="695"/>
      <c r="G960" s="696"/>
      <c r="K960" s="22" t="str">
        <f t="shared" si="29"/>
        <v/>
      </c>
      <c r="M960" s="534" t="str">
        <f t="shared" si="28"/>
        <v/>
      </c>
    </row>
    <row r="961" spans="2:13" ht="15.75" x14ac:dyDescent="0.25">
      <c r="B961" s="692"/>
      <c r="C961" s="117" t="str">
        <f>IF(ISNUMBER(B961),IFERROR(VLOOKUP(B961,'נתוני רישום ומצבת'!B:J,3,0),""),"")</f>
        <v/>
      </c>
      <c r="D961" s="693"/>
      <c r="E961" s="697"/>
      <c r="F961" s="695"/>
      <c r="G961" s="696"/>
      <c r="K961" s="22" t="str">
        <f t="shared" si="29"/>
        <v/>
      </c>
      <c r="M961" s="534" t="str">
        <f t="shared" si="28"/>
        <v/>
      </c>
    </row>
    <row r="962" spans="2:13" ht="15.75" x14ac:dyDescent="0.25">
      <c r="B962" s="692"/>
      <c r="C962" s="117" t="str">
        <f>IF(ISNUMBER(B962),IFERROR(VLOOKUP(B962,'נתוני רישום ומצבת'!B:J,3,0),""),"")</f>
        <v/>
      </c>
      <c r="D962" s="693"/>
      <c r="E962" s="697"/>
      <c r="F962" s="695"/>
      <c r="G962" s="696"/>
      <c r="K962" s="22" t="str">
        <f t="shared" si="29"/>
        <v/>
      </c>
      <c r="M962" s="534" t="str">
        <f t="shared" si="28"/>
        <v/>
      </c>
    </row>
    <row r="963" spans="2:13" ht="15.75" x14ac:dyDescent="0.25">
      <c r="B963" s="692"/>
      <c r="C963" s="117" t="str">
        <f>IF(ISNUMBER(B963),IFERROR(VLOOKUP(B963,'נתוני רישום ומצבת'!B:J,3,0),""),"")</f>
        <v/>
      </c>
      <c r="D963" s="693"/>
      <c r="E963" s="697"/>
      <c r="F963" s="695"/>
      <c r="G963" s="696"/>
      <c r="K963" s="22" t="str">
        <f t="shared" si="29"/>
        <v/>
      </c>
      <c r="M963" s="534" t="str">
        <f t="shared" si="28"/>
        <v/>
      </c>
    </row>
    <row r="964" spans="2:13" ht="15.75" x14ac:dyDescent="0.25">
      <c r="B964" s="692"/>
      <c r="C964" s="117" t="str">
        <f>IF(ISNUMBER(B964),IFERROR(VLOOKUP(B964,'נתוני רישום ומצבת'!B:J,3,0),""),"")</f>
        <v/>
      </c>
      <c r="D964" s="693"/>
      <c r="E964" s="697"/>
      <c r="F964" s="695"/>
      <c r="G964" s="696"/>
      <c r="K964" s="22" t="str">
        <f t="shared" si="29"/>
        <v/>
      </c>
      <c r="M964" s="534" t="str">
        <f t="shared" si="28"/>
        <v/>
      </c>
    </row>
    <row r="965" spans="2:13" ht="15.75" x14ac:dyDescent="0.25">
      <c r="B965" s="692"/>
      <c r="C965" s="117" t="str">
        <f>IF(ISNUMBER(B965),IFERROR(VLOOKUP(B965,'נתוני רישום ומצבת'!B:J,3,0),""),"")</f>
        <v/>
      </c>
      <c r="D965" s="693"/>
      <c r="E965" s="697"/>
      <c r="F965" s="695"/>
      <c r="G965" s="696"/>
      <c r="K965" s="22" t="str">
        <f t="shared" si="29"/>
        <v/>
      </c>
      <c r="M965" s="534" t="str">
        <f t="shared" si="28"/>
        <v/>
      </c>
    </row>
    <row r="966" spans="2:13" ht="15.75" x14ac:dyDescent="0.25">
      <c r="B966" s="692"/>
      <c r="C966" s="117" t="str">
        <f>IF(ISNUMBER(B966),IFERROR(VLOOKUP(B966,'נתוני רישום ומצבת'!B:J,3,0),""),"")</f>
        <v/>
      </c>
      <c r="D966" s="693"/>
      <c r="E966" s="697"/>
      <c r="F966" s="695"/>
      <c r="G966" s="696"/>
      <c r="K966" s="22" t="str">
        <f t="shared" si="29"/>
        <v/>
      </c>
      <c r="M966" s="534" t="str">
        <f t="shared" si="28"/>
        <v/>
      </c>
    </row>
    <row r="967" spans="2:13" ht="15.75" x14ac:dyDescent="0.25">
      <c r="B967" s="692"/>
      <c r="C967" s="117" t="str">
        <f>IF(ISNUMBER(B967),IFERROR(VLOOKUP(B967,'נתוני רישום ומצבת'!B:J,3,0),""),"")</f>
        <v/>
      </c>
      <c r="D967" s="693"/>
      <c r="E967" s="697"/>
      <c r="F967" s="695"/>
      <c r="G967" s="696"/>
      <c r="K967" s="22" t="str">
        <f t="shared" si="29"/>
        <v/>
      </c>
      <c r="M967" s="534" t="str">
        <f t="shared" si="28"/>
        <v/>
      </c>
    </row>
    <row r="968" spans="2:13" ht="15.75" x14ac:dyDescent="0.25">
      <c r="B968" s="692"/>
      <c r="C968" s="117" t="str">
        <f>IF(ISNUMBER(B968),IFERROR(VLOOKUP(B968,'נתוני רישום ומצבת'!B:J,3,0),""),"")</f>
        <v/>
      </c>
      <c r="D968" s="693"/>
      <c r="E968" s="697"/>
      <c r="F968" s="695"/>
      <c r="G968" s="696"/>
      <c r="K968" s="22" t="str">
        <f t="shared" si="29"/>
        <v/>
      </c>
      <c r="M968" s="534" t="str">
        <f t="shared" si="28"/>
        <v/>
      </c>
    </row>
    <row r="969" spans="2:13" ht="15.75" x14ac:dyDescent="0.25">
      <c r="B969" s="692"/>
      <c r="C969" s="117" t="str">
        <f>IF(ISNUMBER(B969),IFERROR(VLOOKUP(B969,'נתוני רישום ומצבת'!B:J,3,0),""),"")</f>
        <v/>
      </c>
      <c r="D969" s="693"/>
      <c r="E969" s="697"/>
      <c r="F969" s="695"/>
      <c r="G969" s="696"/>
      <c r="K969" s="22" t="str">
        <f t="shared" si="29"/>
        <v/>
      </c>
      <c r="M969" s="534" t="str">
        <f t="shared" si="28"/>
        <v/>
      </c>
    </row>
    <row r="970" spans="2:13" ht="15.75" x14ac:dyDescent="0.25">
      <c r="B970" s="692"/>
      <c r="C970" s="117" t="str">
        <f>IF(ISNUMBER(B970),IFERROR(VLOOKUP(B970,'נתוני רישום ומצבת'!B:J,3,0),""),"")</f>
        <v/>
      </c>
      <c r="D970" s="693"/>
      <c r="E970" s="697"/>
      <c r="F970" s="695"/>
      <c r="G970" s="696"/>
      <c r="K970" s="22" t="str">
        <f t="shared" si="29"/>
        <v/>
      </c>
      <c r="M970" s="534" t="str">
        <f t="shared" si="28"/>
        <v/>
      </c>
    </row>
    <row r="971" spans="2:13" ht="15.75" x14ac:dyDescent="0.25">
      <c r="B971" s="692"/>
      <c r="C971" s="117" t="str">
        <f>IF(ISNUMBER(B971),IFERROR(VLOOKUP(B971,'נתוני רישום ומצבת'!B:J,3,0),""),"")</f>
        <v/>
      </c>
      <c r="D971" s="693"/>
      <c r="E971" s="697"/>
      <c r="F971" s="695"/>
      <c r="G971" s="696"/>
      <c r="K971" s="22" t="str">
        <f t="shared" si="29"/>
        <v/>
      </c>
      <c r="M971" s="534" t="str">
        <f t="shared" si="28"/>
        <v/>
      </c>
    </row>
    <row r="972" spans="2:13" ht="15.75" x14ac:dyDescent="0.25">
      <c r="B972" s="692"/>
      <c r="C972" s="117" t="str">
        <f>IF(ISNUMBER(B972),IFERROR(VLOOKUP(B972,'נתוני רישום ומצבת'!B:J,3,0),""),"")</f>
        <v/>
      </c>
      <c r="D972" s="693"/>
      <c r="E972" s="697"/>
      <c r="F972" s="695"/>
      <c r="G972" s="696"/>
      <c r="K972" s="22" t="str">
        <f t="shared" si="29"/>
        <v/>
      </c>
      <c r="M972" s="534" t="str">
        <f t="shared" si="28"/>
        <v/>
      </c>
    </row>
    <row r="973" spans="2:13" ht="15.75" x14ac:dyDescent="0.25">
      <c r="B973" s="692"/>
      <c r="C973" s="117" t="str">
        <f>IF(ISNUMBER(B973),IFERROR(VLOOKUP(B973,'נתוני רישום ומצבת'!B:J,3,0),""),"")</f>
        <v/>
      </c>
      <c r="D973" s="693"/>
      <c r="E973" s="697"/>
      <c r="F973" s="695"/>
      <c r="G973" s="696"/>
      <c r="K973" s="22" t="str">
        <f t="shared" si="29"/>
        <v/>
      </c>
      <c r="M973" s="534" t="str">
        <f t="shared" si="28"/>
        <v/>
      </c>
    </row>
    <row r="974" spans="2:13" ht="15.75" x14ac:dyDescent="0.25">
      <c r="B974" s="692"/>
      <c r="C974" s="117" t="str">
        <f>IF(ISNUMBER(B974),IFERROR(VLOOKUP(B974,'נתוני רישום ומצבת'!B:J,3,0),""),"")</f>
        <v/>
      </c>
      <c r="D974" s="693"/>
      <c r="E974" s="697"/>
      <c r="F974" s="695"/>
      <c r="G974" s="696"/>
      <c r="K974" s="22" t="str">
        <f t="shared" si="29"/>
        <v/>
      </c>
      <c r="M974" s="534" t="str">
        <f t="shared" si="28"/>
        <v/>
      </c>
    </row>
    <row r="975" spans="2:13" ht="15.75" x14ac:dyDescent="0.25">
      <c r="B975" s="692"/>
      <c r="C975" s="117" t="str">
        <f>IF(ISNUMBER(B975),IFERROR(VLOOKUP(B975,'נתוני רישום ומצבת'!B:J,3,0),""),"")</f>
        <v/>
      </c>
      <c r="D975" s="693"/>
      <c r="E975" s="697"/>
      <c r="F975" s="695"/>
      <c r="G975" s="696"/>
      <c r="K975" s="22" t="str">
        <f t="shared" si="29"/>
        <v/>
      </c>
      <c r="M975" s="534" t="str">
        <f t="shared" si="28"/>
        <v/>
      </c>
    </row>
    <row r="976" spans="2:13" ht="15.75" x14ac:dyDescent="0.25">
      <c r="B976" s="692"/>
      <c r="C976" s="117" t="str">
        <f>IF(ISNUMBER(B976),IFERROR(VLOOKUP(B976,'נתוני רישום ומצבת'!B:J,3,0),""),"")</f>
        <v/>
      </c>
      <c r="D976" s="693"/>
      <c r="E976" s="697"/>
      <c r="F976" s="695"/>
      <c r="G976" s="696"/>
      <c r="K976" s="22" t="str">
        <f t="shared" si="29"/>
        <v/>
      </c>
      <c r="M976" s="534" t="str">
        <f t="shared" si="28"/>
        <v/>
      </c>
    </row>
    <row r="977" spans="2:13" ht="15.75" x14ac:dyDescent="0.25">
      <c r="B977" s="692"/>
      <c r="C977" s="117" t="str">
        <f>IF(ISNUMBER(B977),IFERROR(VLOOKUP(B977,'נתוני רישום ומצבת'!B:J,3,0),""),"")</f>
        <v/>
      </c>
      <c r="D977" s="693"/>
      <c r="E977" s="697"/>
      <c r="F977" s="695"/>
      <c r="G977" s="696"/>
      <c r="K977" s="22" t="str">
        <f t="shared" si="29"/>
        <v/>
      </c>
      <c r="M977" s="534" t="str">
        <f t="shared" ref="M977:M1040" si="30">TEXT(LEFT(D977,2),0)</f>
        <v/>
      </c>
    </row>
    <row r="978" spans="2:13" ht="15.75" x14ac:dyDescent="0.25">
      <c r="B978" s="692"/>
      <c r="C978" s="117" t="str">
        <f>IF(ISNUMBER(B978),IFERROR(VLOOKUP(B978,'נתוני רישום ומצבת'!B:J,3,0),""),"")</f>
        <v/>
      </c>
      <c r="D978" s="693"/>
      <c r="E978" s="697"/>
      <c r="F978" s="695"/>
      <c r="G978" s="696"/>
      <c r="K978" s="22" t="str">
        <f t="shared" si="29"/>
        <v/>
      </c>
      <c r="M978" s="534" t="str">
        <f t="shared" si="30"/>
        <v/>
      </c>
    </row>
    <row r="979" spans="2:13" ht="15.75" x14ac:dyDescent="0.25">
      <c r="B979" s="692"/>
      <c r="C979" s="117" t="str">
        <f>IF(ISNUMBER(B979),IFERROR(VLOOKUP(B979,'נתוני רישום ומצבת'!B:J,3,0),""),"")</f>
        <v/>
      </c>
      <c r="D979" s="693"/>
      <c r="E979" s="697"/>
      <c r="F979" s="695"/>
      <c r="G979" s="696"/>
      <c r="K979" s="22" t="str">
        <f t="shared" si="29"/>
        <v/>
      </c>
      <c r="M979" s="534" t="str">
        <f t="shared" si="30"/>
        <v/>
      </c>
    </row>
    <row r="980" spans="2:13" ht="15.75" x14ac:dyDescent="0.25">
      <c r="B980" s="692"/>
      <c r="C980" s="117" t="str">
        <f>IF(ISNUMBER(B980),IFERROR(VLOOKUP(B980,'נתוני רישום ומצבת'!B:J,3,0),""),"")</f>
        <v/>
      </c>
      <c r="D980" s="693"/>
      <c r="E980" s="697"/>
      <c r="F980" s="695"/>
      <c r="G980" s="696"/>
      <c r="K980" s="22" t="str">
        <f t="shared" si="29"/>
        <v/>
      </c>
      <c r="M980" s="534" t="str">
        <f t="shared" si="30"/>
        <v/>
      </c>
    </row>
    <row r="981" spans="2:13" ht="15.75" x14ac:dyDescent="0.25">
      <c r="B981" s="692"/>
      <c r="C981" s="117" t="str">
        <f>IF(ISNUMBER(B981),IFERROR(VLOOKUP(B981,'נתוני רישום ומצבת'!B:J,3,0),""),"")</f>
        <v/>
      </c>
      <c r="D981" s="693"/>
      <c r="E981" s="697"/>
      <c r="F981" s="695"/>
      <c r="G981" s="696"/>
      <c r="K981" s="22" t="str">
        <f t="shared" ref="K981:K1044" si="31">IF(C968&lt;5,IF(D981=$F$8,-E981," "),"")</f>
        <v/>
      </c>
      <c r="M981" s="534" t="str">
        <f t="shared" si="30"/>
        <v/>
      </c>
    </row>
    <row r="982" spans="2:13" ht="15.75" x14ac:dyDescent="0.25">
      <c r="B982" s="692"/>
      <c r="C982" s="117" t="str">
        <f>IF(ISNUMBER(B982),IFERROR(VLOOKUP(B982,'נתוני רישום ומצבת'!B:J,3,0),""),"")</f>
        <v/>
      </c>
      <c r="D982" s="693"/>
      <c r="E982" s="697"/>
      <c r="F982" s="695"/>
      <c r="G982" s="696"/>
      <c r="K982" s="22" t="str">
        <f t="shared" si="31"/>
        <v/>
      </c>
      <c r="M982" s="534" t="str">
        <f t="shared" si="30"/>
        <v/>
      </c>
    </row>
    <row r="983" spans="2:13" ht="15.75" x14ac:dyDescent="0.25">
      <c r="B983" s="692"/>
      <c r="C983" s="117" t="str">
        <f>IF(ISNUMBER(B983),IFERROR(VLOOKUP(B983,'נתוני רישום ומצבת'!B:J,3,0),""),"")</f>
        <v/>
      </c>
      <c r="D983" s="693"/>
      <c r="E983" s="697"/>
      <c r="F983" s="695"/>
      <c r="G983" s="696"/>
      <c r="K983" s="22" t="str">
        <f t="shared" si="31"/>
        <v/>
      </c>
      <c r="M983" s="534" t="str">
        <f t="shared" si="30"/>
        <v/>
      </c>
    </row>
    <row r="984" spans="2:13" ht="15.75" x14ac:dyDescent="0.25">
      <c r="B984" s="692"/>
      <c r="C984" s="117" t="str">
        <f>IF(ISNUMBER(B984),IFERROR(VLOOKUP(B984,'נתוני רישום ומצבת'!B:J,3,0),""),"")</f>
        <v/>
      </c>
      <c r="D984" s="693"/>
      <c r="E984" s="697"/>
      <c r="F984" s="695"/>
      <c r="G984" s="696"/>
      <c r="K984" s="22" t="str">
        <f t="shared" si="31"/>
        <v/>
      </c>
      <c r="M984" s="534" t="str">
        <f t="shared" si="30"/>
        <v/>
      </c>
    </row>
    <row r="985" spans="2:13" ht="15.75" x14ac:dyDescent="0.25">
      <c r="B985" s="692"/>
      <c r="C985" s="117" t="str">
        <f>IF(ISNUMBER(B985),IFERROR(VLOOKUP(B985,'נתוני רישום ומצבת'!B:J,3,0),""),"")</f>
        <v/>
      </c>
      <c r="D985" s="693"/>
      <c r="E985" s="697"/>
      <c r="F985" s="695"/>
      <c r="G985" s="696"/>
      <c r="K985" s="22" t="str">
        <f t="shared" si="31"/>
        <v/>
      </c>
      <c r="M985" s="534" t="str">
        <f t="shared" si="30"/>
        <v/>
      </c>
    </row>
    <row r="986" spans="2:13" ht="15.75" x14ac:dyDescent="0.25">
      <c r="B986" s="692"/>
      <c r="C986" s="117" t="str">
        <f>IF(ISNUMBER(B986),IFERROR(VLOOKUP(B986,'נתוני רישום ומצבת'!B:J,3,0),""),"")</f>
        <v/>
      </c>
      <c r="D986" s="693"/>
      <c r="E986" s="697"/>
      <c r="F986" s="695"/>
      <c r="G986" s="696"/>
      <c r="K986" s="22" t="str">
        <f t="shared" si="31"/>
        <v/>
      </c>
      <c r="M986" s="534" t="str">
        <f t="shared" si="30"/>
        <v/>
      </c>
    </row>
    <row r="987" spans="2:13" ht="15.75" x14ac:dyDescent="0.25">
      <c r="B987" s="692"/>
      <c r="C987" s="117" t="str">
        <f>IF(ISNUMBER(B987),IFERROR(VLOOKUP(B987,'נתוני רישום ומצבת'!B:J,3,0),""),"")</f>
        <v/>
      </c>
      <c r="D987" s="693"/>
      <c r="E987" s="697"/>
      <c r="F987" s="695"/>
      <c r="G987" s="696"/>
      <c r="K987" s="22" t="str">
        <f t="shared" si="31"/>
        <v/>
      </c>
      <c r="M987" s="534" t="str">
        <f t="shared" si="30"/>
        <v/>
      </c>
    </row>
    <row r="988" spans="2:13" ht="15.75" x14ac:dyDescent="0.25">
      <c r="B988" s="692"/>
      <c r="C988" s="117" t="str">
        <f>IF(ISNUMBER(B988),IFERROR(VLOOKUP(B988,'נתוני רישום ומצבת'!B:J,3,0),""),"")</f>
        <v/>
      </c>
      <c r="D988" s="693"/>
      <c r="E988" s="697"/>
      <c r="F988" s="695"/>
      <c r="G988" s="696"/>
      <c r="K988" s="22" t="str">
        <f t="shared" si="31"/>
        <v/>
      </c>
      <c r="M988" s="534" t="str">
        <f t="shared" si="30"/>
        <v/>
      </c>
    </row>
    <row r="989" spans="2:13" ht="15.75" x14ac:dyDescent="0.25">
      <c r="B989" s="692"/>
      <c r="C989" s="117" t="str">
        <f>IF(ISNUMBER(B989),IFERROR(VLOOKUP(B989,'נתוני רישום ומצבת'!B:J,3,0),""),"")</f>
        <v/>
      </c>
      <c r="D989" s="693"/>
      <c r="E989" s="697"/>
      <c r="F989" s="695"/>
      <c r="G989" s="696"/>
      <c r="K989" s="22" t="str">
        <f t="shared" si="31"/>
        <v/>
      </c>
      <c r="M989" s="534" t="str">
        <f t="shared" si="30"/>
        <v/>
      </c>
    </row>
    <row r="990" spans="2:13" ht="15.75" x14ac:dyDescent="0.25">
      <c r="B990" s="692"/>
      <c r="C990" s="117" t="str">
        <f>IF(ISNUMBER(B990),IFERROR(VLOOKUP(B990,'נתוני רישום ומצבת'!B:J,3,0),""),"")</f>
        <v/>
      </c>
      <c r="D990" s="693"/>
      <c r="E990" s="697"/>
      <c r="F990" s="695"/>
      <c r="G990" s="696"/>
      <c r="K990" s="22" t="str">
        <f t="shared" si="31"/>
        <v/>
      </c>
      <c r="M990" s="534" t="str">
        <f t="shared" si="30"/>
        <v/>
      </c>
    </row>
    <row r="991" spans="2:13" ht="15.75" x14ac:dyDescent="0.25">
      <c r="B991" s="692"/>
      <c r="C991" s="117" t="str">
        <f>IF(ISNUMBER(B991),IFERROR(VLOOKUP(B991,'נתוני רישום ומצבת'!B:J,3,0),""),"")</f>
        <v/>
      </c>
      <c r="D991" s="693"/>
      <c r="E991" s="697"/>
      <c r="F991" s="695"/>
      <c r="G991" s="696"/>
      <c r="K991" s="22" t="str">
        <f t="shared" si="31"/>
        <v/>
      </c>
      <c r="M991" s="534" t="str">
        <f t="shared" si="30"/>
        <v/>
      </c>
    </row>
    <row r="992" spans="2:13" ht="15.75" x14ac:dyDescent="0.25">
      <c r="B992" s="692"/>
      <c r="C992" s="117" t="str">
        <f>IF(ISNUMBER(B992),IFERROR(VLOOKUP(B992,'נתוני רישום ומצבת'!B:J,3,0),""),"")</f>
        <v/>
      </c>
      <c r="D992" s="693"/>
      <c r="E992" s="697"/>
      <c r="F992" s="695"/>
      <c r="G992" s="696"/>
      <c r="K992" s="22" t="str">
        <f t="shared" si="31"/>
        <v/>
      </c>
      <c r="M992" s="534" t="str">
        <f t="shared" si="30"/>
        <v/>
      </c>
    </row>
    <row r="993" spans="2:13" ht="15.75" x14ac:dyDescent="0.25">
      <c r="B993" s="692"/>
      <c r="C993" s="117" t="str">
        <f>IF(ISNUMBER(B993),IFERROR(VLOOKUP(B993,'נתוני רישום ומצבת'!B:J,3,0),""),"")</f>
        <v/>
      </c>
      <c r="D993" s="693"/>
      <c r="E993" s="697"/>
      <c r="F993" s="695"/>
      <c r="G993" s="696"/>
      <c r="K993" s="22" t="str">
        <f t="shared" si="31"/>
        <v/>
      </c>
      <c r="M993" s="534" t="str">
        <f t="shared" si="30"/>
        <v/>
      </c>
    </row>
    <row r="994" spans="2:13" ht="15.75" x14ac:dyDescent="0.25">
      <c r="B994" s="692"/>
      <c r="C994" s="117" t="str">
        <f>IF(ISNUMBER(B994),IFERROR(VLOOKUP(B994,'נתוני רישום ומצבת'!B:J,3,0),""),"")</f>
        <v/>
      </c>
      <c r="D994" s="693"/>
      <c r="E994" s="697"/>
      <c r="F994" s="695"/>
      <c r="G994" s="696"/>
      <c r="K994" s="22" t="str">
        <f t="shared" si="31"/>
        <v/>
      </c>
      <c r="M994" s="534" t="str">
        <f t="shared" si="30"/>
        <v/>
      </c>
    </row>
    <row r="995" spans="2:13" ht="15.75" x14ac:dyDescent="0.25">
      <c r="B995" s="692"/>
      <c r="C995" s="117" t="str">
        <f>IF(ISNUMBER(B995),IFERROR(VLOOKUP(B995,'נתוני רישום ומצבת'!B:J,3,0),""),"")</f>
        <v/>
      </c>
      <c r="D995" s="693"/>
      <c r="E995" s="697"/>
      <c r="F995" s="695"/>
      <c r="G995" s="696"/>
      <c r="K995" s="22" t="str">
        <f t="shared" si="31"/>
        <v/>
      </c>
      <c r="M995" s="534" t="str">
        <f t="shared" si="30"/>
        <v/>
      </c>
    </row>
    <row r="996" spans="2:13" ht="15.75" x14ac:dyDescent="0.25">
      <c r="B996" s="692"/>
      <c r="C996" s="117" t="str">
        <f>IF(ISNUMBER(B996),IFERROR(VLOOKUP(B996,'נתוני רישום ומצבת'!B:J,3,0),""),"")</f>
        <v/>
      </c>
      <c r="D996" s="693"/>
      <c r="E996" s="697"/>
      <c r="F996" s="695"/>
      <c r="G996" s="696"/>
      <c r="K996" s="22" t="str">
        <f t="shared" si="31"/>
        <v/>
      </c>
      <c r="M996" s="534" t="str">
        <f t="shared" si="30"/>
        <v/>
      </c>
    </row>
    <row r="997" spans="2:13" ht="15.75" x14ac:dyDescent="0.25">
      <c r="B997" s="692"/>
      <c r="C997" s="117" t="str">
        <f>IF(ISNUMBER(B997),IFERROR(VLOOKUP(B997,'נתוני רישום ומצבת'!B:J,3,0),""),"")</f>
        <v/>
      </c>
      <c r="D997" s="693"/>
      <c r="E997" s="697"/>
      <c r="F997" s="695"/>
      <c r="G997" s="696"/>
      <c r="K997" s="22" t="str">
        <f t="shared" si="31"/>
        <v/>
      </c>
      <c r="M997" s="534" t="str">
        <f t="shared" si="30"/>
        <v/>
      </c>
    </row>
    <row r="998" spans="2:13" ht="15.75" x14ac:dyDescent="0.25">
      <c r="B998" s="692"/>
      <c r="C998" s="117" t="str">
        <f>IF(ISNUMBER(B998),IFERROR(VLOOKUP(B998,'נתוני רישום ומצבת'!B:J,3,0),""),"")</f>
        <v/>
      </c>
      <c r="D998" s="693"/>
      <c r="E998" s="697"/>
      <c r="F998" s="695"/>
      <c r="G998" s="696"/>
      <c r="K998" s="22" t="str">
        <f t="shared" si="31"/>
        <v/>
      </c>
      <c r="M998" s="534" t="str">
        <f t="shared" si="30"/>
        <v/>
      </c>
    </row>
    <row r="999" spans="2:13" ht="15.75" x14ac:dyDescent="0.25">
      <c r="B999" s="692"/>
      <c r="C999" s="117" t="str">
        <f>IF(ISNUMBER(B999),IFERROR(VLOOKUP(B999,'נתוני רישום ומצבת'!B:J,3,0),""),"")</f>
        <v/>
      </c>
      <c r="D999" s="693"/>
      <c r="E999" s="697"/>
      <c r="F999" s="695"/>
      <c r="G999" s="696"/>
      <c r="K999" s="22" t="str">
        <f t="shared" si="31"/>
        <v/>
      </c>
      <c r="M999" s="534" t="str">
        <f t="shared" si="30"/>
        <v/>
      </c>
    </row>
    <row r="1000" spans="2:13" ht="15.75" x14ac:dyDescent="0.25">
      <c r="B1000" s="692"/>
      <c r="C1000" s="117" t="str">
        <f>IF(ISNUMBER(B1000),IFERROR(VLOOKUP(B1000,'נתוני רישום ומצבת'!B:J,3,0),""),"")</f>
        <v/>
      </c>
      <c r="D1000" s="693"/>
      <c r="E1000" s="697"/>
      <c r="F1000" s="695"/>
      <c r="G1000" s="696"/>
      <c r="K1000" s="22" t="str">
        <f t="shared" si="31"/>
        <v/>
      </c>
      <c r="M1000" s="534" t="str">
        <f t="shared" si="30"/>
        <v/>
      </c>
    </row>
    <row r="1001" spans="2:13" ht="15.75" x14ac:dyDescent="0.25">
      <c r="B1001" s="692"/>
      <c r="C1001" s="117" t="str">
        <f>IF(ISNUMBER(B1001),IFERROR(VLOOKUP(B1001,'נתוני רישום ומצבת'!B:J,3,0),""),"")</f>
        <v/>
      </c>
      <c r="D1001" s="693"/>
      <c r="E1001" s="697"/>
      <c r="F1001" s="695"/>
      <c r="G1001" s="696"/>
      <c r="K1001" s="22" t="str">
        <f t="shared" si="31"/>
        <v/>
      </c>
      <c r="M1001" s="534" t="str">
        <f t="shared" si="30"/>
        <v/>
      </c>
    </row>
    <row r="1002" spans="2:13" ht="15.75" x14ac:dyDescent="0.25">
      <c r="B1002" s="692"/>
      <c r="C1002" s="117" t="str">
        <f>IF(ISNUMBER(B1002),IFERROR(VLOOKUP(B1002,'נתוני רישום ומצבת'!B:J,3,0),""),"")</f>
        <v/>
      </c>
      <c r="D1002" s="693"/>
      <c r="E1002" s="697"/>
      <c r="F1002" s="695"/>
      <c r="G1002" s="696"/>
      <c r="K1002" s="22" t="str">
        <f t="shared" si="31"/>
        <v/>
      </c>
      <c r="M1002" s="534" t="str">
        <f t="shared" si="30"/>
        <v/>
      </c>
    </row>
    <row r="1003" spans="2:13" ht="15.75" x14ac:dyDescent="0.25">
      <c r="B1003" s="692"/>
      <c r="C1003" s="117" t="str">
        <f>IF(ISNUMBER(B1003),IFERROR(VLOOKUP(B1003,'נתוני רישום ומצבת'!B:J,3,0),""),"")</f>
        <v/>
      </c>
      <c r="D1003" s="693"/>
      <c r="E1003" s="697"/>
      <c r="F1003" s="695"/>
      <c r="G1003" s="696"/>
      <c r="K1003" s="22" t="str">
        <f t="shared" si="31"/>
        <v/>
      </c>
      <c r="M1003" s="534" t="str">
        <f t="shared" si="30"/>
        <v/>
      </c>
    </row>
    <row r="1004" spans="2:13" ht="15.75" x14ac:dyDescent="0.25">
      <c r="B1004" s="692"/>
      <c r="C1004" s="117" t="str">
        <f>IF(ISNUMBER(B1004),IFERROR(VLOOKUP(B1004,'נתוני רישום ומצבת'!B:J,3,0),""),"")</f>
        <v/>
      </c>
      <c r="D1004" s="693"/>
      <c r="E1004" s="697"/>
      <c r="F1004" s="695"/>
      <c r="G1004" s="696"/>
      <c r="K1004" s="22" t="str">
        <f t="shared" si="31"/>
        <v/>
      </c>
      <c r="M1004" s="534" t="str">
        <f t="shared" si="30"/>
        <v/>
      </c>
    </row>
    <row r="1005" spans="2:13" ht="15.75" x14ac:dyDescent="0.25">
      <c r="B1005" s="692"/>
      <c r="C1005" s="117" t="str">
        <f>IF(ISNUMBER(B1005),IFERROR(VLOOKUP(B1005,'נתוני רישום ומצבת'!B:J,3,0),""),"")</f>
        <v/>
      </c>
      <c r="D1005" s="693"/>
      <c r="E1005" s="697"/>
      <c r="F1005" s="695"/>
      <c r="G1005" s="696"/>
      <c r="K1005" s="22" t="str">
        <f t="shared" si="31"/>
        <v/>
      </c>
      <c r="M1005" s="534" t="str">
        <f t="shared" si="30"/>
        <v/>
      </c>
    </row>
    <row r="1006" spans="2:13" ht="15.75" x14ac:dyDescent="0.25">
      <c r="B1006" s="692"/>
      <c r="C1006" s="117" t="str">
        <f>IF(ISNUMBER(B1006),IFERROR(VLOOKUP(B1006,'נתוני רישום ומצבת'!B:J,3,0),""),"")</f>
        <v/>
      </c>
      <c r="D1006" s="693"/>
      <c r="E1006" s="697"/>
      <c r="F1006" s="695"/>
      <c r="G1006" s="696"/>
      <c r="K1006" s="22" t="str">
        <f t="shared" si="31"/>
        <v/>
      </c>
      <c r="M1006" s="534" t="str">
        <f t="shared" si="30"/>
        <v/>
      </c>
    </row>
    <row r="1007" spans="2:13" ht="15.75" x14ac:dyDescent="0.25">
      <c r="B1007" s="692"/>
      <c r="C1007" s="117" t="str">
        <f>IF(ISNUMBER(B1007),IFERROR(VLOOKUP(B1007,'נתוני רישום ומצבת'!B:J,3,0),""),"")</f>
        <v/>
      </c>
      <c r="D1007" s="693"/>
      <c r="E1007" s="697"/>
      <c r="F1007" s="695"/>
      <c r="G1007" s="696"/>
      <c r="K1007" s="22" t="str">
        <f t="shared" si="31"/>
        <v/>
      </c>
      <c r="M1007" s="534" t="str">
        <f t="shared" si="30"/>
        <v/>
      </c>
    </row>
    <row r="1008" spans="2:13" ht="15.75" x14ac:dyDescent="0.25">
      <c r="B1008" s="692"/>
      <c r="C1008" s="117" t="str">
        <f>IF(ISNUMBER(B1008),IFERROR(VLOOKUP(B1008,'נתוני רישום ומצבת'!B:J,3,0),""),"")</f>
        <v/>
      </c>
      <c r="D1008" s="693"/>
      <c r="E1008" s="697"/>
      <c r="F1008" s="695"/>
      <c r="G1008" s="696"/>
      <c r="K1008" s="22" t="str">
        <f t="shared" si="31"/>
        <v/>
      </c>
      <c r="M1008" s="534" t="str">
        <f t="shared" si="30"/>
        <v/>
      </c>
    </row>
    <row r="1009" spans="2:13" ht="15.75" x14ac:dyDescent="0.25">
      <c r="B1009" s="692"/>
      <c r="C1009" s="117" t="str">
        <f>IF(ISNUMBER(B1009),IFERROR(VLOOKUP(B1009,'נתוני רישום ומצבת'!B:J,3,0),""),"")</f>
        <v/>
      </c>
      <c r="D1009" s="693"/>
      <c r="E1009" s="697"/>
      <c r="F1009" s="695"/>
      <c r="G1009" s="696"/>
      <c r="K1009" s="22" t="str">
        <f t="shared" si="31"/>
        <v/>
      </c>
      <c r="M1009" s="534" t="str">
        <f t="shared" si="30"/>
        <v/>
      </c>
    </row>
    <row r="1010" spans="2:13" ht="15.75" x14ac:dyDescent="0.25">
      <c r="B1010" s="692"/>
      <c r="C1010" s="117" t="str">
        <f>IF(ISNUMBER(B1010),IFERROR(VLOOKUP(B1010,'נתוני רישום ומצבת'!B:J,3,0),""),"")</f>
        <v/>
      </c>
      <c r="D1010" s="693"/>
      <c r="E1010" s="697"/>
      <c r="F1010" s="695"/>
      <c r="G1010" s="696"/>
      <c r="K1010" s="22" t="str">
        <f t="shared" si="31"/>
        <v/>
      </c>
      <c r="M1010" s="534" t="str">
        <f t="shared" si="30"/>
        <v/>
      </c>
    </row>
    <row r="1011" spans="2:13" ht="15.75" x14ac:dyDescent="0.25">
      <c r="B1011" s="692"/>
      <c r="C1011" s="117" t="str">
        <f>IF(ISNUMBER(B1011),IFERROR(VLOOKUP(B1011,'נתוני רישום ומצבת'!B:J,3,0),""),"")</f>
        <v/>
      </c>
      <c r="D1011" s="693"/>
      <c r="E1011" s="697"/>
      <c r="F1011" s="695"/>
      <c r="G1011" s="696"/>
      <c r="K1011" s="22" t="str">
        <f t="shared" si="31"/>
        <v/>
      </c>
      <c r="M1011" s="534" t="str">
        <f t="shared" si="30"/>
        <v/>
      </c>
    </row>
    <row r="1012" spans="2:13" ht="15.75" x14ac:dyDescent="0.25">
      <c r="B1012" s="692"/>
      <c r="C1012" s="117" t="str">
        <f>IF(ISNUMBER(B1012),IFERROR(VLOOKUP(B1012,'נתוני רישום ומצבת'!B:J,3,0),""),"")</f>
        <v/>
      </c>
      <c r="D1012" s="693"/>
      <c r="E1012" s="697"/>
      <c r="F1012" s="695"/>
      <c r="G1012" s="696"/>
      <c r="K1012" s="22" t="str">
        <f t="shared" si="31"/>
        <v/>
      </c>
      <c r="M1012" s="534" t="str">
        <f t="shared" si="30"/>
        <v/>
      </c>
    </row>
    <row r="1013" spans="2:13" ht="15.75" x14ac:dyDescent="0.25">
      <c r="B1013" s="692"/>
      <c r="C1013" s="117" t="str">
        <f>IF(ISNUMBER(B1013),IFERROR(VLOOKUP(B1013,'נתוני רישום ומצבת'!B:J,3,0),""),"")</f>
        <v/>
      </c>
      <c r="D1013" s="693"/>
      <c r="E1013" s="697"/>
      <c r="F1013" s="695"/>
      <c r="G1013" s="696"/>
      <c r="K1013" s="22" t="str">
        <f t="shared" si="31"/>
        <v/>
      </c>
      <c r="M1013" s="534" t="str">
        <f t="shared" si="30"/>
        <v/>
      </c>
    </row>
    <row r="1014" spans="2:13" ht="15.75" x14ac:dyDescent="0.25">
      <c r="B1014" s="692"/>
      <c r="C1014" s="117" t="str">
        <f>IF(ISNUMBER(B1014),IFERROR(VLOOKUP(B1014,'נתוני רישום ומצבת'!B:J,3,0),""),"")</f>
        <v/>
      </c>
      <c r="D1014" s="693"/>
      <c r="E1014" s="697"/>
      <c r="F1014" s="695"/>
      <c r="G1014" s="696"/>
      <c r="K1014" s="22" t="str">
        <f t="shared" si="31"/>
        <v/>
      </c>
      <c r="M1014" s="534" t="str">
        <f t="shared" si="30"/>
        <v/>
      </c>
    </row>
    <row r="1015" spans="2:13" ht="15.75" x14ac:dyDescent="0.25">
      <c r="B1015" s="692"/>
      <c r="C1015" s="117" t="str">
        <f>IF(ISNUMBER(B1015),IFERROR(VLOOKUP(B1015,'נתוני רישום ומצבת'!B:J,3,0),""),"")</f>
        <v/>
      </c>
      <c r="D1015" s="693"/>
      <c r="E1015" s="697"/>
      <c r="F1015" s="695"/>
      <c r="G1015" s="696"/>
      <c r="K1015" s="22" t="str">
        <f t="shared" si="31"/>
        <v/>
      </c>
      <c r="M1015" s="534" t="str">
        <f t="shared" si="30"/>
        <v/>
      </c>
    </row>
    <row r="1016" spans="2:13" ht="15.75" x14ac:dyDescent="0.25">
      <c r="B1016" s="692"/>
      <c r="C1016" s="117" t="str">
        <f>IF(ISNUMBER(B1016),IFERROR(VLOOKUP(B1016,'נתוני רישום ומצבת'!B:J,3,0),""),"")</f>
        <v/>
      </c>
      <c r="D1016" s="693"/>
      <c r="E1016" s="697"/>
      <c r="F1016" s="695"/>
      <c r="G1016" s="696"/>
      <c r="K1016" s="22" t="str">
        <f t="shared" si="31"/>
        <v/>
      </c>
      <c r="M1016" s="534" t="str">
        <f t="shared" si="30"/>
        <v/>
      </c>
    </row>
    <row r="1017" spans="2:13" ht="15.75" x14ac:dyDescent="0.25">
      <c r="B1017" s="692"/>
      <c r="C1017" s="117" t="str">
        <f>IF(ISNUMBER(B1017),IFERROR(VLOOKUP(B1017,'נתוני רישום ומצבת'!B:J,3,0),""),"")</f>
        <v/>
      </c>
      <c r="D1017" s="693"/>
      <c r="E1017" s="697"/>
      <c r="F1017" s="695"/>
      <c r="G1017" s="696"/>
      <c r="K1017" s="22" t="str">
        <f t="shared" si="31"/>
        <v/>
      </c>
      <c r="M1017" s="534" t="str">
        <f t="shared" si="30"/>
        <v/>
      </c>
    </row>
    <row r="1018" spans="2:13" ht="15.75" x14ac:dyDescent="0.25">
      <c r="B1018" s="692"/>
      <c r="C1018" s="117" t="str">
        <f>IF(ISNUMBER(B1018),IFERROR(VLOOKUP(B1018,'נתוני רישום ומצבת'!B:J,3,0),""),"")</f>
        <v/>
      </c>
      <c r="D1018" s="693"/>
      <c r="E1018" s="697"/>
      <c r="F1018" s="695"/>
      <c r="G1018" s="696"/>
      <c r="K1018" s="22" t="str">
        <f t="shared" si="31"/>
        <v/>
      </c>
      <c r="M1018" s="534" t="str">
        <f t="shared" si="30"/>
        <v/>
      </c>
    </row>
    <row r="1019" spans="2:13" ht="15.75" x14ac:dyDescent="0.25">
      <c r="B1019" s="692"/>
      <c r="C1019" s="117" t="str">
        <f>IF(ISNUMBER(B1019),IFERROR(VLOOKUP(B1019,'נתוני רישום ומצבת'!B:J,3,0),""),"")</f>
        <v/>
      </c>
      <c r="D1019" s="693"/>
      <c r="E1019" s="697"/>
      <c r="F1019" s="695"/>
      <c r="G1019" s="696"/>
      <c r="K1019" s="22" t="str">
        <f t="shared" si="31"/>
        <v/>
      </c>
      <c r="M1019" s="534" t="str">
        <f t="shared" si="30"/>
        <v/>
      </c>
    </row>
    <row r="1020" spans="2:13" ht="15.75" x14ac:dyDescent="0.25">
      <c r="B1020" s="692"/>
      <c r="C1020" s="117" t="str">
        <f>IF(ISNUMBER(B1020),IFERROR(VLOOKUP(B1020,'נתוני רישום ומצבת'!B:J,3,0),""),"")</f>
        <v/>
      </c>
      <c r="D1020" s="693"/>
      <c r="E1020" s="697"/>
      <c r="F1020" s="695"/>
      <c r="G1020" s="696"/>
      <c r="K1020" s="22" t="str">
        <f t="shared" si="31"/>
        <v/>
      </c>
      <c r="M1020" s="534" t="str">
        <f t="shared" si="30"/>
        <v/>
      </c>
    </row>
    <row r="1021" spans="2:13" ht="15.75" x14ac:dyDescent="0.25">
      <c r="B1021" s="692"/>
      <c r="C1021" s="117" t="str">
        <f>IF(ISNUMBER(B1021),IFERROR(VLOOKUP(B1021,'נתוני רישום ומצבת'!B:J,3,0),""),"")</f>
        <v/>
      </c>
      <c r="D1021" s="693"/>
      <c r="E1021" s="697"/>
      <c r="F1021" s="695"/>
      <c r="G1021" s="696"/>
      <c r="K1021" s="22" t="str">
        <f t="shared" si="31"/>
        <v/>
      </c>
      <c r="M1021" s="534" t="str">
        <f t="shared" si="30"/>
        <v/>
      </c>
    </row>
    <row r="1022" spans="2:13" ht="15.75" x14ac:dyDescent="0.25">
      <c r="B1022" s="692"/>
      <c r="C1022" s="117" t="str">
        <f>IF(ISNUMBER(B1022),IFERROR(VLOOKUP(B1022,'נתוני רישום ומצבת'!B:J,3,0),""),"")</f>
        <v/>
      </c>
      <c r="D1022" s="693"/>
      <c r="E1022" s="697"/>
      <c r="F1022" s="695"/>
      <c r="G1022" s="696"/>
      <c r="K1022" s="22" t="str">
        <f t="shared" si="31"/>
        <v/>
      </c>
      <c r="M1022" s="534" t="str">
        <f t="shared" si="30"/>
        <v/>
      </c>
    </row>
    <row r="1023" spans="2:13" ht="15.75" x14ac:dyDescent="0.25">
      <c r="B1023" s="692"/>
      <c r="C1023" s="117" t="str">
        <f>IF(ISNUMBER(B1023),IFERROR(VLOOKUP(B1023,'נתוני רישום ומצבת'!B:J,3,0),""),"")</f>
        <v/>
      </c>
      <c r="D1023" s="693"/>
      <c r="E1023" s="697"/>
      <c r="F1023" s="695"/>
      <c r="G1023" s="696"/>
      <c r="K1023" s="22" t="str">
        <f t="shared" si="31"/>
        <v/>
      </c>
      <c r="M1023" s="534" t="str">
        <f t="shared" si="30"/>
        <v/>
      </c>
    </row>
    <row r="1024" spans="2:13" ht="15.75" x14ac:dyDescent="0.25">
      <c r="B1024" s="692"/>
      <c r="C1024" s="117" t="str">
        <f>IF(ISNUMBER(B1024),IFERROR(VLOOKUP(B1024,'נתוני רישום ומצבת'!B:J,3,0),""),"")</f>
        <v/>
      </c>
      <c r="D1024" s="693"/>
      <c r="E1024" s="697"/>
      <c r="F1024" s="695"/>
      <c r="G1024" s="696"/>
      <c r="K1024" s="22" t="str">
        <f t="shared" si="31"/>
        <v/>
      </c>
      <c r="M1024" s="534" t="str">
        <f t="shared" si="30"/>
        <v/>
      </c>
    </row>
    <row r="1025" spans="2:13" ht="15.75" x14ac:dyDescent="0.25">
      <c r="B1025" s="692"/>
      <c r="C1025" s="117" t="str">
        <f>IF(ISNUMBER(B1025),IFERROR(VLOOKUP(B1025,'נתוני רישום ומצבת'!B:J,3,0),""),"")</f>
        <v/>
      </c>
      <c r="D1025" s="693"/>
      <c r="E1025" s="697"/>
      <c r="F1025" s="695"/>
      <c r="G1025" s="696"/>
      <c r="K1025" s="22" t="str">
        <f t="shared" si="31"/>
        <v/>
      </c>
      <c r="M1025" s="534" t="str">
        <f t="shared" si="30"/>
        <v/>
      </c>
    </row>
    <row r="1026" spans="2:13" ht="15.75" x14ac:dyDescent="0.25">
      <c r="B1026" s="692"/>
      <c r="C1026" s="117" t="str">
        <f>IF(ISNUMBER(B1026),IFERROR(VLOOKUP(B1026,'נתוני רישום ומצבת'!B:J,3,0),""),"")</f>
        <v/>
      </c>
      <c r="D1026" s="693"/>
      <c r="E1026" s="697"/>
      <c r="F1026" s="695"/>
      <c r="G1026" s="696"/>
      <c r="K1026" s="22" t="str">
        <f t="shared" si="31"/>
        <v/>
      </c>
      <c r="M1026" s="534" t="str">
        <f t="shared" si="30"/>
        <v/>
      </c>
    </row>
    <row r="1027" spans="2:13" ht="15.75" x14ac:dyDescent="0.25">
      <c r="B1027" s="692"/>
      <c r="C1027" s="117" t="str">
        <f>IF(ISNUMBER(B1027),IFERROR(VLOOKUP(B1027,'נתוני רישום ומצבת'!B:J,3,0),""),"")</f>
        <v/>
      </c>
      <c r="D1027" s="693"/>
      <c r="E1027" s="697"/>
      <c r="F1027" s="695"/>
      <c r="G1027" s="696"/>
      <c r="K1027" s="22" t="str">
        <f t="shared" si="31"/>
        <v/>
      </c>
      <c r="M1027" s="534" t="str">
        <f t="shared" si="30"/>
        <v/>
      </c>
    </row>
    <row r="1028" spans="2:13" ht="15.75" x14ac:dyDescent="0.25">
      <c r="B1028" s="692"/>
      <c r="C1028" s="117" t="str">
        <f>IF(ISNUMBER(B1028),IFERROR(VLOOKUP(B1028,'נתוני רישום ומצבת'!B:J,3,0),""),"")</f>
        <v/>
      </c>
      <c r="D1028" s="693"/>
      <c r="E1028" s="697"/>
      <c r="F1028" s="695"/>
      <c r="G1028" s="696"/>
      <c r="K1028" s="22" t="str">
        <f t="shared" si="31"/>
        <v/>
      </c>
      <c r="M1028" s="534" t="str">
        <f t="shared" si="30"/>
        <v/>
      </c>
    </row>
    <row r="1029" spans="2:13" ht="15.75" x14ac:dyDescent="0.25">
      <c r="B1029" s="692"/>
      <c r="C1029" s="117" t="str">
        <f>IF(ISNUMBER(B1029),IFERROR(VLOOKUP(B1029,'נתוני רישום ומצבת'!B:J,3,0),""),"")</f>
        <v/>
      </c>
      <c r="D1029" s="693"/>
      <c r="E1029" s="697"/>
      <c r="F1029" s="695"/>
      <c r="G1029" s="696"/>
      <c r="K1029" s="22" t="str">
        <f t="shared" si="31"/>
        <v/>
      </c>
      <c r="M1029" s="534" t="str">
        <f t="shared" si="30"/>
        <v/>
      </c>
    </row>
    <row r="1030" spans="2:13" ht="15.75" x14ac:dyDescent="0.25">
      <c r="B1030" s="692"/>
      <c r="C1030" s="117" t="str">
        <f>IF(ISNUMBER(B1030),IFERROR(VLOOKUP(B1030,'נתוני רישום ומצבת'!B:J,3,0),""),"")</f>
        <v/>
      </c>
      <c r="D1030" s="693"/>
      <c r="E1030" s="697"/>
      <c r="F1030" s="695"/>
      <c r="G1030" s="696"/>
      <c r="K1030" s="22" t="str">
        <f t="shared" si="31"/>
        <v/>
      </c>
      <c r="M1030" s="534" t="str">
        <f t="shared" si="30"/>
        <v/>
      </c>
    </row>
    <row r="1031" spans="2:13" ht="15.75" x14ac:dyDescent="0.25">
      <c r="B1031" s="692"/>
      <c r="C1031" s="117" t="str">
        <f>IF(ISNUMBER(B1031),IFERROR(VLOOKUP(B1031,'נתוני רישום ומצבת'!B:J,3,0),""),"")</f>
        <v/>
      </c>
      <c r="D1031" s="693"/>
      <c r="E1031" s="697"/>
      <c r="F1031" s="695"/>
      <c r="G1031" s="696"/>
      <c r="K1031" s="22" t="str">
        <f t="shared" si="31"/>
        <v/>
      </c>
      <c r="M1031" s="534" t="str">
        <f t="shared" si="30"/>
        <v/>
      </c>
    </row>
    <row r="1032" spans="2:13" ht="15.75" x14ac:dyDescent="0.25">
      <c r="B1032" s="692"/>
      <c r="C1032" s="117" t="str">
        <f>IF(ISNUMBER(B1032),IFERROR(VLOOKUP(B1032,'נתוני רישום ומצבת'!B:J,3,0),""),"")</f>
        <v/>
      </c>
      <c r="D1032" s="693"/>
      <c r="E1032" s="697"/>
      <c r="F1032" s="695"/>
      <c r="G1032" s="696"/>
      <c r="K1032" s="22" t="str">
        <f t="shared" si="31"/>
        <v/>
      </c>
      <c r="M1032" s="534" t="str">
        <f t="shared" si="30"/>
        <v/>
      </c>
    </row>
    <row r="1033" spans="2:13" ht="15.75" x14ac:dyDescent="0.25">
      <c r="B1033" s="692"/>
      <c r="C1033" s="117" t="str">
        <f>IF(ISNUMBER(B1033),IFERROR(VLOOKUP(B1033,'נתוני רישום ומצבת'!B:J,3,0),""),"")</f>
        <v/>
      </c>
      <c r="D1033" s="693"/>
      <c r="E1033" s="697"/>
      <c r="F1033" s="695"/>
      <c r="G1033" s="696"/>
      <c r="K1033" s="22" t="str">
        <f t="shared" si="31"/>
        <v/>
      </c>
      <c r="M1033" s="534" t="str">
        <f t="shared" si="30"/>
        <v/>
      </c>
    </row>
    <row r="1034" spans="2:13" ht="15.75" x14ac:dyDescent="0.25">
      <c r="B1034" s="692"/>
      <c r="C1034" s="117" t="str">
        <f>IF(ISNUMBER(B1034),IFERROR(VLOOKUP(B1034,'נתוני רישום ומצבת'!B:J,3,0),""),"")</f>
        <v/>
      </c>
      <c r="D1034" s="693"/>
      <c r="E1034" s="697"/>
      <c r="F1034" s="695"/>
      <c r="G1034" s="696"/>
      <c r="K1034" s="22" t="str">
        <f t="shared" si="31"/>
        <v/>
      </c>
      <c r="M1034" s="534" t="str">
        <f t="shared" si="30"/>
        <v/>
      </c>
    </row>
    <row r="1035" spans="2:13" ht="15.75" x14ac:dyDescent="0.25">
      <c r="B1035" s="692"/>
      <c r="C1035" s="117" t="str">
        <f>IF(ISNUMBER(B1035),IFERROR(VLOOKUP(B1035,'נתוני רישום ומצבת'!B:J,3,0),""),"")</f>
        <v/>
      </c>
      <c r="D1035" s="693"/>
      <c r="E1035" s="697"/>
      <c r="F1035" s="695"/>
      <c r="G1035" s="696"/>
      <c r="K1035" s="22" t="str">
        <f t="shared" si="31"/>
        <v/>
      </c>
      <c r="M1035" s="534" t="str">
        <f t="shared" si="30"/>
        <v/>
      </c>
    </row>
    <row r="1036" spans="2:13" ht="15.75" x14ac:dyDescent="0.25">
      <c r="B1036" s="692"/>
      <c r="C1036" s="117" t="str">
        <f>IF(ISNUMBER(B1036),IFERROR(VLOOKUP(B1036,'נתוני רישום ומצבת'!B:J,3,0),""),"")</f>
        <v/>
      </c>
      <c r="D1036" s="693"/>
      <c r="E1036" s="697"/>
      <c r="F1036" s="695"/>
      <c r="G1036" s="696"/>
      <c r="K1036" s="22" t="str">
        <f t="shared" si="31"/>
        <v/>
      </c>
      <c r="M1036" s="534" t="str">
        <f t="shared" si="30"/>
        <v/>
      </c>
    </row>
    <row r="1037" spans="2:13" ht="15.75" x14ac:dyDescent="0.25">
      <c r="B1037" s="692"/>
      <c r="C1037" s="117" t="str">
        <f>IF(ISNUMBER(B1037),IFERROR(VLOOKUP(B1037,'נתוני רישום ומצבת'!B:J,3,0),""),"")</f>
        <v/>
      </c>
      <c r="D1037" s="693"/>
      <c r="E1037" s="697"/>
      <c r="F1037" s="695"/>
      <c r="G1037" s="696"/>
      <c r="K1037" s="22" t="str">
        <f t="shared" si="31"/>
        <v/>
      </c>
      <c r="M1037" s="534" t="str">
        <f t="shared" si="30"/>
        <v/>
      </c>
    </row>
    <row r="1038" spans="2:13" ht="15.75" x14ac:dyDescent="0.25">
      <c r="B1038" s="692"/>
      <c r="C1038" s="117" t="str">
        <f>IF(ISNUMBER(B1038),IFERROR(VLOOKUP(B1038,'נתוני רישום ומצבת'!B:J,3,0),""),"")</f>
        <v/>
      </c>
      <c r="D1038" s="693"/>
      <c r="E1038" s="697"/>
      <c r="F1038" s="695"/>
      <c r="G1038" s="696"/>
      <c r="K1038" s="22" t="str">
        <f t="shared" si="31"/>
        <v/>
      </c>
      <c r="M1038" s="534" t="str">
        <f t="shared" si="30"/>
        <v/>
      </c>
    </row>
    <row r="1039" spans="2:13" ht="15.75" x14ac:dyDescent="0.25">
      <c r="B1039" s="692"/>
      <c r="C1039" s="117" t="str">
        <f>IF(ISNUMBER(B1039),IFERROR(VLOOKUP(B1039,'נתוני רישום ומצבת'!B:J,3,0),""),"")</f>
        <v/>
      </c>
      <c r="D1039" s="693"/>
      <c r="E1039" s="697"/>
      <c r="F1039" s="695"/>
      <c r="G1039" s="696"/>
      <c r="K1039" s="22" t="str">
        <f t="shared" si="31"/>
        <v/>
      </c>
      <c r="M1039" s="534" t="str">
        <f t="shared" si="30"/>
        <v/>
      </c>
    </row>
    <row r="1040" spans="2:13" ht="15.75" x14ac:dyDescent="0.25">
      <c r="B1040" s="692"/>
      <c r="C1040" s="117" t="str">
        <f>IF(ISNUMBER(B1040),IFERROR(VLOOKUP(B1040,'נתוני רישום ומצבת'!B:J,3,0),""),"")</f>
        <v/>
      </c>
      <c r="D1040" s="693"/>
      <c r="E1040" s="697"/>
      <c r="F1040" s="695"/>
      <c r="G1040" s="696"/>
      <c r="K1040" s="22" t="str">
        <f t="shared" si="31"/>
        <v/>
      </c>
      <c r="M1040" s="534" t="str">
        <f t="shared" si="30"/>
        <v/>
      </c>
    </row>
    <row r="1041" spans="2:13" ht="15.75" x14ac:dyDescent="0.25">
      <c r="B1041" s="692"/>
      <c r="C1041" s="117" t="str">
        <f>IF(ISNUMBER(B1041),IFERROR(VLOOKUP(B1041,'נתוני רישום ומצבת'!B:J,3,0),""),"")</f>
        <v/>
      </c>
      <c r="D1041" s="693"/>
      <c r="E1041" s="697"/>
      <c r="F1041" s="695"/>
      <c r="G1041" s="696"/>
      <c r="K1041" s="22" t="str">
        <f t="shared" si="31"/>
        <v/>
      </c>
      <c r="M1041" s="534" t="str">
        <f t="shared" ref="M1041:M1104" si="32">TEXT(LEFT(D1041,2),0)</f>
        <v/>
      </c>
    </row>
    <row r="1042" spans="2:13" ht="15.75" x14ac:dyDescent="0.25">
      <c r="B1042" s="692"/>
      <c r="C1042" s="117" t="str">
        <f>IF(ISNUMBER(B1042),IFERROR(VLOOKUP(B1042,'נתוני רישום ומצבת'!B:J,3,0),""),"")</f>
        <v/>
      </c>
      <c r="D1042" s="693"/>
      <c r="E1042" s="697"/>
      <c r="F1042" s="695"/>
      <c r="G1042" s="696"/>
      <c r="K1042" s="22" t="str">
        <f t="shared" si="31"/>
        <v/>
      </c>
      <c r="M1042" s="534" t="str">
        <f t="shared" si="32"/>
        <v/>
      </c>
    </row>
    <row r="1043" spans="2:13" ht="15.75" x14ac:dyDescent="0.25">
      <c r="B1043" s="692"/>
      <c r="C1043" s="117" t="str">
        <f>IF(ISNUMBER(B1043),IFERROR(VLOOKUP(B1043,'נתוני רישום ומצבת'!B:J,3,0),""),"")</f>
        <v/>
      </c>
      <c r="D1043" s="693"/>
      <c r="E1043" s="697"/>
      <c r="F1043" s="695"/>
      <c r="G1043" s="696"/>
      <c r="K1043" s="22" t="str">
        <f t="shared" si="31"/>
        <v/>
      </c>
      <c r="M1043" s="534" t="str">
        <f t="shared" si="32"/>
        <v/>
      </c>
    </row>
    <row r="1044" spans="2:13" ht="15.75" x14ac:dyDescent="0.25">
      <c r="B1044" s="692"/>
      <c r="C1044" s="117" t="str">
        <f>IF(ISNUMBER(B1044),IFERROR(VLOOKUP(B1044,'נתוני רישום ומצבת'!B:J,3,0),""),"")</f>
        <v/>
      </c>
      <c r="D1044" s="693"/>
      <c r="E1044" s="697"/>
      <c r="F1044" s="695"/>
      <c r="G1044" s="696"/>
      <c r="K1044" s="22" t="str">
        <f t="shared" si="31"/>
        <v/>
      </c>
      <c r="M1044" s="534" t="str">
        <f t="shared" si="32"/>
        <v/>
      </c>
    </row>
    <row r="1045" spans="2:13" ht="15.75" x14ac:dyDescent="0.25">
      <c r="B1045" s="692"/>
      <c r="C1045" s="117" t="str">
        <f>IF(ISNUMBER(B1045),IFERROR(VLOOKUP(B1045,'נתוני רישום ומצבת'!B:J,3,0),""),"")</f>
        <v/>
      </c>
      <c r="D1045" s="693"/>
      <c r="E1045" s="697"/>
      <c r="F1045" s="695"/>
      <c r="G1045" s="696"/>
      <c r="K1045" s="22" t="str">
        <f t="shared" ref="K1045:K1108" si="33">IF(C1032&lt;5,IF(D1045=$F$8,-E1045," "),"")</f>
        <v/>
      </c>
      <c r="M1045" s="534" t="str">
        <f t="shared" si="32"/>
        <v/>
      </c>
    </row>
    <row r="1046" spans="2:13" ht="15.75" x14ac:dyDescent="0.25">
      <c r="B1046" s="692"/>
      <c r="C1046" s="117" t="str">
        <f>IF(ISNUMBER(B1046),IFERROR(VLOOKUP(B1046,'נתוני רישום ומצבת'!B:J,3,0),""),"")</f>
        <v/>
      </c>
      <c r="D1046" s="693"/>
      <c r="E1046" s="697"/>
      <c r="F1046" s="695"/>
      <c r="G1046" s="696"/>
      <c r="K1046" s="22" t="str">
        <f t="shared" si="33"/>
        <v/>
      </c>
      <c r="M1046" s="534" t="str">
        <f t="shared" si="32"/>
        <v/>
      </c>
    </row>
    <row r="1047" spans="2:13" ht="15.75" x14ac:dyDescent="0.25">
      <c r="B1047" s="692"/>
      <c r="C1047" s="117" t="str">
        <f>IF(ISNUMBER(B1047),IFERROR(VLOOKUP(B1047,'נתוני רישום ומצבת'!B:J,3,0),""),"")</f>
        <v/>
      </c>
      <c r="D1047" s="693"/>
      <c r="E1047" s="697"/>
      <c r="F1047" s="695"/>
      <c r="G1047" s="696"/>
      <c r="K1047" s="22" t="str">
        <f t="shared" si="33"/>
        <v/>
      </c>
      <c r="M1047" s="534" t="str">
        <f t="shared" si="32"/>
        <v/>
      </c>
    </row>
    <row r="1048" spans="2:13" ht="15.75" x14ac:dyDescent="0.25">
      <c r="B1048" s="692"/>
      <c r="C1048" s="117" t="str">
        <f>IF(ISNUMBER(B1048),IFERROR(VLOOKUP(B1048,'נתוני רישום ומצבת'!B:J,3,0),""),"")</f>
        <v/>
      </c>
      <c r="D1048" s="693"/>
      <c r="E1048" s="697"/>
      <c r="F1048" s="695"/>
      <c r="G1048" s="696"/>
      <c r="K1048" s="22" t="str">
        <f t="shared" si="33"/>
        <v/>
      </c>
      <c r="M1048" s="534" t="str">
        <f t="shared" si="32"/>
        <v/>
      </c>
    </row>
    <row r="1049" spans="2:13" ht="15.75" x14ac:dyDescent="0.25">
      <c r="B1049" s="692"/>
      <c r="C1049" s="117" t="str">
        <f>IF(ISNUMBER(B1049),IFERROR(VLOOKUP(B1049,'נתוני רישום ומצבת'!B:J,3,0),""),"")</f>
        <v/>
      </c>
      <c r="D1049" s="693"/>
      <c r="E1049" s="697"/>
      <c r="F1049" s="695"/>
      <c r="G1049" s="696"/>
      <c r="K1049" s="22" t="str">
        <f t="shared" si="33"/>
        <v/>
      </c>
      <c r="M1049" s="534" t="str">
        <f t="shared" si="32"/>
        <v/>
      </c>
    </row>
    <row r="1050" spans="2:13" ht="15.75" x14ac:dyDescent="0.25">
      <c r="B1050" s="692"/>
      <c r="C1050" s="117" t="str">
        <f>IF(ISNUMBER(B1050),IFERROR(VLOOKUP(B1050,'נתוני רישום ומצבת'!B:J,3,0),""),"")</f>
        <v/>
      </c>
      <c r="D1050" s="693"/>
      <c r="E1050" s="697"/>
      <c r="F1050" s="695"/>
      <c r="G1050" s="696"/>
      <c r="K1050" s="22" t="str">
        <f t="shared" si="33"/>
        <v/>
      </c>
      <c r="M1050" s="534" t="str">
        <f t="shared" si="32"/>
        <v/>
      </c>
    </row>
    <row r="1051" spans="2:13" ht="15.75" x14ac:dyDescent="0.25">
      <c r="B1051" s="692"/>
      <c r="C1051" s="117" t="str">
        <f>IF(ISNUMBER(B1051),IFERROR(VLOOKUP(B1051,'נתוני רישום ומצבת'!B:J,3,0),""),"")</f>
        <v/>
      </c>
      <c r="D1051" s="693"/>
      <c r="E1051" s="697"/>
      <c r="F1051" s="695"/>
      <c r="G1051" s="696"/>
      <c r="K1051" s="22" t="str">
        <f t="shared" si="33"/>
        <v/>
      </c>
      <c r="M1051" s="534" t="str">
        <f t="shared" si="32"/>
        <v/>
      </c>
    </row>
    <row r="1052" spans="2:13" ht="15.75" x14ac:dyDescent="0.25">
      <c r="B1052" s="692"/>
      <c r="C1052" s="117" t="str">
        <f>IF(ISNUMBER(B1052),IFERROR(VLOOKUP(B1052,'נתוני רישום ומצבת'!B:J,3,0),""),"")</f>
        <v/>
      </c>
      <c r="D1052" s="693"/>
      <c r="E1052" s="697"/>
      <c r="F1052" s="695"/>
      <c r="G1052" s="696"/>
      <c r="K1052" s="22" t="str">
        <f t="shared" si="33"/>
        <v/>
      </c>
      <c r="M1052" s="534" t="str">
        <f t="shared" si="32"/>
        <v/>
      </c>
    </row>
    <row r="1053" spans="2:13" ht="15.75" x14ac:dyDescent="0.25">
      <c r="B1053" s="692"/>
      <c r="C1053" s="117" t="str">
        <f>IF(ISNUMBER(B1053),IFERROR(VLOOKUP(B1053,'נתוני רישום ומצבת'!B:J,3,0),""),"")</f>
        <v/>
      </c>
      <c r="D1053" s="693"/>
      <c r="E1053" s="697"/>
      <c r="F1053" s="695"/>
      <c r="G1053" s="696"/>
      <c r="K1053" s="22" t="str">
        <f t="shared" si="33"/>
        <v/>
      </c>
      <c r="M1053" s="534" t="str">
        <f t="shared" si="32"/>
        <v/>
      </c>
    </row>
    <row r="1054" spans="2:13" ht="15.75" x14ac:dyDescent="0.25">
      <c r="B1054" s="692"/>
      <c r="C1054" s="117" t="str">
        <f>IF(ISNUMBER(B1054),IFERROR(VLOOKUP(B1054,'נתוני רישום ומצבת'!B:J,3,0),""),"")</f>
        <v/>
      </c>
      <c r="D1054" s="693"/>
      <c r="E1054" s="697"/>
      <c r="F1054" s="695"/>
      <c r="G1054" s="696"/>
      <c r="K1054" s="22" t="str">
        <f t="shared" si="33"/>
        <v/>
      </c>
      <c r="M1054" s="534" t="str">
        <f t="shared" si="32"/>
        <v/>
      </c>
    </row>
    <row r="1055" spans="2:13" ht="15.75" x14ac:dyDescent="0.25">
      <c r="B1055" s="692"/>
      <c r="C1055" s="117" t="str">
        <f>IF(ISNUMBER(B1055),IFERROR(VLOOKUP(B1055,'נתוני רישום ומצבת'!B:J,3,0),""),"")</f>
        <v/>
      </c>
      <c r="D1055" s="693"/>
      <c r="E1055" s="697"/>
      <c r="F1055" s="695"/>
      <c r="G1055" s="696"/>
      <c r="K1055" s="22" t="str">
        <f t="shared" si="33"/>
        <v/>
      </c>
      <c r="M1055" s="534" t="str">
        <f t="shared" si="32"/>
        <v/>
      </c>
    </row>
    <row r="1056" spans="2:13" ht="15.75" x14ac:dyDescent="0.25">
      <c r="B1056" s="692"/>
      <c r="C1056" s="117" t="str">
        <f>IF(ISNUMBER(B1056),IFERROR(VLOOKUP(B1056,'נתוני רישום ומצבת'!B:J,3,0),""),"")</f>
        <v/>
      </c>
      <c r="D1056" s="693"/>
      <c r="E1056" s="697"/>
      <c r="F1056" s="695"/>
      <c r="G1056" s="696"/>
      <c r="K1056" s="22" t="str">
        <f t="shared" si="33"/>
        <v/>
      </c>
      <c r="M1056" s="534" t="str">
        <f t="shared" si="32"/>
        <v/>
      </c>
    </row>
    <row r="1057" spans="2:13" ht="15.75" x14ac:dyDescent="0.25">
      <c r="B1057" s="692"/>
      <c r="C1057" s="117" t="str">
        <f>IF(ISNUMBER(B1057),IFERROR(VLOOKUP(B1057,'נתוני רישום ומצבת'!B:J,3,0),""),"")</f>
        <v/>
      </c>
      <c r="D1057" s="693"/>
      <c r="E1057" s="697"/>
      <c r="F1057" s="695"/>
      <c r="G1057" s="696"/>
      <c r="K1057" s="22" t="str">
        <f t="shared" si="33"/>
        <v/>
      </c>
      <c r="M1057" s="534" t="str">
        <f t="shared" si="32"/>
        <v/>
      </c>
    </row>
    <row r="1058" spans="2:13" ht="15.75" x14ac:dyDescent="0.25">
      <c r="B1058" s="692"/>
      <c r="C1058" s="117" t="str">
        <f>IF(ISNUMBER(B1058),IFERROR(VLOOKUP(B1058,'נתוני רישום ומצבת'!B:J,3,0),""),"")</f>
        <v/>
      </c>
      <c r="D1058" s="693"/>
      <c r="E1058" s="697"/>
      <c r="F1058" s="695"/>
      <c r="G1058" s="696"/>
      <c r="K1058" s="22" t="str">
        <f t="shared" si="33"/>
        <v/>
      </c>
      <c r="M1058" s="534" t="str">
        <f t="shared" si="32"/>
        <v/>
      </c>
    </row>
    <row r="1059" spans="2:13" ht="15.75" x14ac:dyDescent="0.25">
      <c r="B1059" s="692"/>
      <c r="C1059" s="117" t="str">
        <f>IF(ISNUMBER(B1059),IFERROR(VLOOKUP(B1059,'נתוני רישום ומצבת'!B:J,3,0),""),"")</f>
        <v/>
      </c>
      <c r="D1059" s="693"/>
      <c r="E1059" s="697"/>
      <c r="F1059" s="695"/>
      <c r="G1059" s="696"/>
      <c r="K1059" s="22" t="str">
        <f t="shared" si="33"/>
        <v/>
      </c>
      <c r="M1059" s="534" t="str">
        <f t="shared" si="32"/>
        <v/>
      </c>
    </row>
    <row r="1060" spans="2:13" ht="15.75" x14ac:dyDescent="0.25">
      <c r="B1060" s="692"/>
      <c r="C1060" s="117" t="str">
        <f>IF(ISNUMBER(B1060),IFERROR(VLOOKUP(B1060,'נתוני רישום ומצבת'!B:J,3,0),""),"")</f>
        <v/>
      </c>
      <c r="D1060" s="693"/>
      <c r="E1060" s="697"/>
      <c r="F1060" s="695"/>
      <c r="G1060" s="696"/>
      <c r="K1060" s="22" t="str">
        <f t="shared" si="33"/>
        <v/>
      </c>
      <c r="M1060" s="534" t="str">
        <f t="shared" si="32"/>
        <v/>
      </c>
    </row>
    <row r="1061" spans="2:13" ht="15.75" x14ac:dyDescent="0.25">
      <c r="B1061" s="692"/>
      <c r="C1061" s="117" t="str">
        <f>IF(ISNUMBER(B1061),IFERROR(VLOOKUP(B1061,'נתוני רישום ומצבת'!B:J,3,0),""),"")</f>
        <v/>
      </c>
      <c r="D1061" s="693"/>
      <c r="E1061" s="697"/>
      <c r="F1061" s="695"/>
      <c r="G1061" s="696"/>
      <c r="K1061" s="22" t="str">
        <f t="shared" si="33"/>
        <v/>
      </c>
      <c r="M1061" s="534" t="str">
        <f t="shared" si="32"/>
        <v/>
      </c>
    </row>
    <row r="1062" spans="2:13" ht="15.75" x14ac:dyDescent="0.25">
      <c r="B1062" s="692"/>
      <c r="C1062" s="117" t="str">
        <f>IF(ISNUMBER(B1062),IFERROR(VLOOKUP(B1062,'נתוני רישום ומצבת'!B:J,3,0),""),"")</f>
        <v/>
      </c>
      <c r="D1062" s="693"/>
      <c r="E1062" s="697"/>
      <c r="F1062" s="695"/>
      <c r="G1062" s="696"/>
      <c r="K1062" s="22" t="str">
        <f t="shared" si="33"/>
        <v/>
      </c>
      <c r="M1062" s="534" t="str">
        <f t="shared" si="32"/>
        <v/>
      </c>
    </row>
    <row r="1063" spans="2:13" ht="15.75" x14ac:dyDescent="0.25">
      <c r="B1063" s="692"/>
      <c r="C1063" s="117" t="str">
        <f>IF(ISNUMBER(B1063),IFERROR(VLOOKUP(B1063,'נתוני רישום ומצבת'!B:J,3,0),""),"")</f>
        <v/>
      </c>
      <c r="D1063" s="693"/>
      <c r="E1063" s="697"/>
      <c r="F1063" s="695"/>
      <c r="G1063" s="696"/>
      <c r="K1063" s="22" t="str">
        <f t="shared" si="33"/>
        <v/>
      </c>
      <c r="M1063" s="534" t="str">
        <f t="shared" si="32"/>
        <v/>
      </c>
    </row>
    <row r="1064" spans="2:13" ht="15.75" x14ac:dyDescent="0.25">
      <c r="B1064" s="692"/>
      <c r="C1064" s="117" t="str">
        <f>IF(ISNUMBER(B1064),IFERROR(VLOOKUP(B1064,'נתוני רישום ומצבת'!B:J,3,0),""),"")</f>
        <v/>
      </c>
      <c r="D1064" s="693"/>
      <c r="E1064" s="697"/>
      <c r="F1064" s="695"/>
      <c r="G1064" s="696"/>
      <c r="K1064" s="22" t="str">
        <f t="shared" si="33"/>
        <v/>
      </c>
      <c r="M1064" s="534" t="str">
        <f t="shared" si="32"/>
        <v/>
      </c>
    </row>
    <row r="1065" spans="2:13" ht="15.75" x14ac:dyDescent="0.25">
      <c r="B1065" s="692"/>
      <c r="C1065" s="117" t="str">
        <f>IF(ISNUMBER(B1065),IFERROR(VLOOKUP(B1065,'נתוני רישום ומצבת'!B:J,3,0),""),"")</f>
        <v/>
      </c>
      <c r="D1065" s="693"/>
      <c r="E1065" s="697"/>
      <c r="F1065" s="695"/>
      <c r="G1065" s="696"/>
      <c r="K1065" s="22" t="str">
        <f t="shared" si="33"/>
        <v/>
      </c>
      <c r="M1065" s="534" t="str">
        <f t="shared" si="32"/>
        <v/>
      </c>
    </row>
    <row r="1066" spans="2:13" ht="15.75" x14ac:dyDescent="0.25">
      <c r="B1066" s="692"/>
      <c r="C1066" s="117" t="str">
        <f>IF(ISNUMBER(B1066),IFERROR(VLOOKUP(B1066,'נתוני רישום ומצבת'!B:J,3,0),""),"")</f>
        <v/>
      </c>
      <c r="D1066" s="693"/>
      <c r="E1066" s="697"/>
      <c r="F1066" s="695"/>
      <c r="G1066" s="696"/>
      <c r="K1066" s="22" t="str">
        <f t="shared" si="33"/>
        <v/>
      </c>
      <c r="M1066" s="534" t="str">
        <f t="shared" si="32"/>
        <v/>
      </c>
    </row>
    <row r="1067" spans="2:13" ht="15.75" x14ac:dyDescent="0.25">
      <c r="B1067" s="692"/>
      <c r="C1067" s="117" t="str">
        <f>IF(ISNUMBER(B1067),IFERROR(VLOOKUP(B1067,'נתוני רישום ומצבת'!B:J,3,0),""),"")</f>
        <v/>
      </c>
      <c r="D1067" s="693"/>
      <c r="E1067" s="697"/>
      <c r="F1067" s="695"/>
      <c r="G1067" s="696"/>
      <c r="K1067" s="22" t="str">
        <f t="shared" si="33"/>
        <v/>
      </c>
      <c r="M1067" s="534" t="str">
        <f t="shared" si="32"/>
        <v/>
      </c>
    </row>
    <row r="1068" spans="2:13" ht="15.75" x14ac:dyDescent="0.25">
      <c r="B1068" s="692"/>
      <c r="C1068" s="117" t="str">
        <f>IF(ISNUMBER(B1068),IFERROR(VLOOKUP(B1068,'נתוני רישום ומצבת'!B:J,3,0),""),"")</f>
        <v/>
      </c>
      <c r="D1068" s="693"/>
      <c r="E1068" s="697"/>
      <c r="F1068" s="695"/>
      <c r="G1068" s="696"/>
      <c r="K1068" s="22" t="str">
        <f t="shared" si="33"/>
        <v/>
      </c>
      <c r="M1068" s="534" t="str">
        <f t="shared" si="32"/>
        <v/>
      </c>
    </row>
    <row r="1069" spans="2:13" ht="15.75" x14ac:dyDescent="0.25">
      <c r="B1069" s="692"/>
      <c r="C1069" s="117" t="str">
        <f>IF(ISNUMBER(B1069),IFERROR(VLOOKUP(B1069,'נתוני רישום ומצבת'!B:J,3,0),""),"")</f>
        <v/>
      </c>
      <c r="D1069" s="693"/>
      <c r="E1069" s="697"/>
      <c r="F1069" s="695"/>
      <c r="G1069" s="696"/>
      <c r="K1069" s="22" t="str">
        <f t="shared" si="33"/>
        <v/>
      </c>
      <c r="M1069" s="534" t="str">
        <f t="shared" si="32"/>
        <v/>
      </c>
    </row>
    <row r="1070" spans="2:13" ht="15.75" x14ac:dyDescent="0.25">
      <c r="B1070" s="692"/>
      <c r="C1070" s="117" t="str">
        <f>IF(ISNUMBER(B1070),IFERROR(VLOOKUP(B1070,'נתוני רישום ומצבת'!B:J,3,0),""),"")</f>
        <v/>
      </c>
      <c r="D1070" s="693"/>
      <c r="E1070" s="697"/>
      <c r="F1070" s="695"/>
      <c r="G1070" s="696"/>
      <c r="K1070" s="22" t="str">
        <f t="shared" si="33"/>
        <v/>
      </c>
      <c r="M1070" s="534" t="str">
        <f t="shared" si="32"/>
        <v/>
      </c>
    </row>
    <row r="1071" spans="2:13" ht="15.75" x14ac:dyDescent="0.25">
      <c r="B1071" s="692"/>
      <c r="C1071" s="117" t="str">
        <f>IF(ISNUMBER(B1071),IFERROR(VLOOKUP(B1071,'נתוני רישום ומצבת'!B:J,3,0),""),"")</f>
        <v/>
      </c>
      <c r="D1071" s="693"/>
      <c r="E1071" s="697"/>
      <c r="F1071" s="695"/>
      <c r="G1071" s="696"/>
      <c r="K1071" s="22" t="str">
        <f t="shared" si="33"/>
        <v/>
      </c>
      <c r="M1071" s="534" t="str">
        <f t="shared" si="32"/>
        <v/>
      </c>
    </row>
    <row r="1072" spans="2:13" ht="15.75" x14ac:dyDescent="0.25">
      <c r="B1072" s="692"/>
      <c r="C1072" s="117" t="str">
        <f>IF(ISNUMBER(B1072),IFERROR(VLOOKUP(B1072,'נתוני רישום ומצבת'!B:J,3,0),""),"")</f>
        <v/>
      </c>
      <c r="D1072" s="693"/>
      <c r="E1072" s="697"/>
      <c r="F1072" s="695"/>
      <c r="G1072" s="696"/>
      <c r="K1072" s="22" t="str">
        <f t="shared" si="33"/>
        <v/>
      </c>
      <c r="M1072" s="534" t="str">
        <f t="shared" si="32"/>
        <v/>
      </c>
    </row>
    <row r="1073" spans="2:13" ht="15.75" x14ac:dyDescent="0.25">
      <c r="B1073" s="692"/>
      <c r="C1073" s="117" t="str">
        <f>IF(ISNUMBER(B1073),IFERROR(VLOOKUP(B1073,'נתוני רישום ומצבת'!B:J,3,0),""),"")</f>
        <v/>
      </c>
      <c r="D1073" s="693"/>
      <c r="E1073" s="697"/>
      <c r="F1073" s="695"/>
      <c r="G1073" s="696"/>
      <c r="K1073" s="22" t="str">
        <f t="shared" si="33"/>
        <v/>
      </c>
      <c r="M1073" s="534" t="str">
        <f t="shared" si="32"/>
        <v/>
      </c>
    </row>
    <row r="1074" spans="2:13" ht="15.75" x14ac:dyDescent="0.25">
      <c r="B1074" s="692"/>
      <c r="C1074" s="117" t="str">
        <f>IF(ISNUMBER(B1074),IFERROR(VLOOKUP(B1074,'נתוני רישום ומצבת'!B:J,3,0),""),"")</f>
        <v/>
      </c>
      <c r="D1074" s="693"/>
      <c r="E1074" s="697"/>
      <c r="F1074" s="695"/>
      <c r="G1074" s="696"/>
      <c r="K1074" s="22" t="str">
        <f t="shared" si="33"/>
        <v/>
      </c>
      <c r="M1074" s="534" t="str">
        <f t="shared" si="32"/>
        <v/>
      </c>
    </row>
    <row r="1075" spans="2:13" ht="15.75" x14ac:dyDescent="0.25">
      <c r="B1075" s="692"/>
      <c r="C1075" s="117" t="str">
        <f>IF(ISNUMBER(B1075),IFERROR(VLOOKUP(B1075,'נתוני רישום ומצבת'!B:J,3,0),""),"")</f>
        <v/>
      </c>
      <c r="D1075" s="693"/>
      <c r="E1075" s="697"/>
      <c r="F1075" s="695"/>
      <c r="G1075" s="696"/>
      <c r="K1075" s="22" t="str">
        <f t="shared" si="33"/>
        <v/>
      </c>
      <c r="M1075" s="534" t="str">
        <f t="shared" si="32"/>
        <v/>
      </c>
    </row>
    <row r="1076" spans="2:13" ht="15.75" x14ac:dyDescent="0.25">
      <c r="B1076" s="692"/>
      <c r="C1076" s="117" t="str">
        <f>IF(ISNUMBER(B1076),IFERROR(VLOOKUP(B1076,'נתוני רישום ומצבת'!B:J,3,0),""),"")</f>
        <v/>
      </c>
      <c r="D1076" s="693"/>
      <c r="E1076" s="697"/>
      <c r="F1076" s="695"/>
      <c r="G1076" s="696"/>
      <c r="K1076" s="22" t="str">
        <f t="shared" si="33"/>
        <v/>
      </c>
      <c r="M1076" s="534" t="str">
        <f t="shared" si="32"/>
        <v/>
      </c>
    </row>
    <row r="1077" spans="2:13" ht="15.75" x14ac:dyDescent="0.25">
      <c r="B1077" s="692"/>
      <c r="C1077" s="117" t="str">
        <f>IF(ISNUMBER(B1077),IFERROR(VLOOKUP(B1077,'נתוני רישום ומצבת'!B:J,3,0),""),"")</f>
        <v/>
      </c>
      <c r="D1077" s="693"/>
      <c r="E1077" s="697"/>
      <c r="F1077" s="695"/>
      <c r="G1077" s="696"/>
      <c r="K1077" s="22" t="str">
        <f t="shared" si="33"/>
        <v/>
      </c>
      <c r="M1077" s="534" t="str">
        <f t="shared" si="32"/>
        <v/>
      </c>
    </row>
    <row r="1078" spans="2:13" ht="15.75" x14ac:dyDescent="0.25">
      <c r="B1078" s="692"/>
      <c r="C1078" s="117" t="str">
        <f>IF(ISNUMBER(B1078),IFERROR(VLOOKUP(B1078,'נתוני רישום ומצבת'!B:J,3,0),""),"")</f>
        <v/>
      </c>
      <c r="D1078" s="693"/>
      <c r="E1078" s="697"/>
      <c r="F1078" s="695"/>
      <c r="G1078" s="696"/>
      <c r="K1078" s="22" t="str">
        <f t="shared" si="33"/>
        <v/>
      </c>
      <c r="M1078" s="534" t="str">
        <f t="shared" si="32"/>
        <v/>
      </c>
    </row>
    <row r="1079" spans="2:13" ht="15.75" x14ac:dyDescent="0.25">
      <c r="B1079" s="692"/>
      <c r="C1079" s="117" t="str">
        <f>IF(ISNUMBER(B1079),IFERROR(VLOOKUP(B1079,'נתוני רישום ומצבת'!B:J,3,0),""),"")</f>
        <v/>
      </c>
      <c r="D1079" s="693"/>
      <c r="E1079" s="697"/>
      <c r="F1079" s="695"/>
      <c r="G1079" s="696"/>
      <c r="K1079" s="22" t="str">
        <f t="shared" si="33"/>
        <v/>
      </c>
      <c r="M1079" s="534" t="str">
        <f t="shared" si="32"/>
        <v/>
      </c>
    </row>
    <row r="1080" spans="2:13" ht="15.75" x14ac:dyDescent="0.25">
      <c r="B1080" s="692"/>
      <c r="C1080" s="117" t="str">
        <f>IF(ISNUMBER(B1080),IFERROR(VLOOKUP(B1080,'נתוני רישום ומצבת'!B:J,3,0),""),"")</f>
        <v/>
      </c>
      <c r="D1080" s="693"/>
      <c r="E1080" s="697"/>
      <c r="F1080" s="695"/>
      <c r="G1080" s="696"/>
      <c r="K1080" s="22" t="str">
        <f t="shared" si="33"/>
        <v/>
      </c>
      <c r="M1080" s="534" t="str">
        <f t="shared" si="32"/>
        <v/>
      </c>
    </row>
    <row r="1081" spans="2:13" ht="15.75" x14ac:dyDescent="0.25">
      <c r="B1081" s="692"/>
      <c r="C1081" s="117" t="str">
        <f>IF(ISNUMBER(B1081),IFERROR(VLOOKUP(B1081,'נתוני רישום ומצבת'!B:J,3,0),""),"")</f>
        <v/>
      </c>
      <c r="D1081" s="693"/>
      <c r="E1081" s="697"/>
      <c r="F1081" s="695"/>
      <c r="G1081" s="696"/>
      <c r="K1081" s="22" t="str">
        <f t="shared" si="33"/>
        <v/>
      </c>
      <c r="M1081" s="534" t="str">
        <f t="shared" si="32"/>
        <v/>
      </c>
    </row>
    <row r="1082" spans="2:13" ht="15.75" x14ac:dyDescent="0.25">
      <c r="B1082" s="692"/>
      <c r="C1082" s="117" t="str">
        <f>IF(ISNUMBER(B1082),IFERROR(VLOOKUP(B1082,'נתוני רישום ומצבת'!B:J,3,0),""),"")</f>
        <v/>
      </c>
      <c r="D1082" s="693"/>
      <c r="E1082" s="697"/>
      <c r="F1082" s="695"/>
      <c r="G1082" s="696"/>
      <c r="K1082" s="22" t="str">
        <f t="shared" si="33"/>
        <v/>
      </c>
      <c r="M1082" s="534" t="str">
        <f t="shared" si="32"/>
        <v/>
      </c>
    </row>
    <row r="1083" spans="2:13" ht="15.75" x14ac:dyDescent="0.25">
      <c r="B1083" s="692"/>
      <c r="C1083" s="117" t="str">
        <f>IF(ISNUMBER(B1083),IFERROR(VLOOKUP(B1083,'נתוני רישום ומצבת'!B:J,3,0),""),"")</f>
        <v/>
      </c>
      <c r="D1083" s="693"/>
      <c r="E1083" s="697"/>
      <c r="F1083" s="695"/>
      <c r="G1083" s="696"/>
      <c r="K1083" s="22" t="str">
        <f t="shared" si="33"/>
        <v/>
      </c>
      <c r="M1083" s="534" t="str">
        <f t="shared" si="32"/>
        <v/>
      </c>
    </row>
    <row r="1084" spans="2:13" ht="15.75" x14ac:dyDescent="0.25">
      <c r="B1084" s="692"/>
      <c r="C1084" s="117" t="str">
        <f>IF(ISNUMBER(B1084),IFERROR(VLOOKUP(B1084,'נתוני רישום ומצבת'!B:J,3,0),""),"")</f>
        <v/>
      </c>
      <c r="D1084" s="693"/>
      <c r="E1084" s="697"/>
      <c r="F1084" s="695"/>
      <c r="G1084" s="696"/>
      <c r="K1084" s="22" t="str">
        <f t="shared" si="33"/>
        <v/>
      </c>
      <c r="M1084" s="534" t="str">
        <f t="shared" si="32"/>
        <v/>
      </c>
    </row>
    <row r="1085" spans="2:13" ht="15.75" x14ac:dyDescent="0.25">
      <c r="B1085" s="692"/>
      <c r="C1085" s="117" t="str">
        <f>IF(ISNUMBER(B1085),IFERROR(VLOOKUP(B1085,'נתוני רישום ומצבת'!B:J,3,0),""),"")</f>
        <v/>
      </c>
      <c r="D1085" s="693"/>
      <c r="E1085" s="697"/>
      <c r="F1085" s="695"/>
      <c r="G1085" s="696"/>
      <c r="K1085" s="22" t="str">
        <f t="shared" si="33"/>
        <v/>
      </c>
      <c r="M1085" s="534" t="str">
        <f t="shared" si="32"/>
        <v/>
      </c>
    </row>
    <row r="1086" spans="2:13" ht="15.75" x14ac:dyDescent="0.25">
      <c r="B1086" s="692"/>
      <c r="C1086" s="117" t="str">
        <f>IF(ISNUMBER(B1086),IFERROR(VLOOKUP(B1086,'נתוני רישום ומצבת'!B:J,3,0),""),"")</f>
        <v/>
      </c>
      <c r="D1086" s="693"/>
      <c r="E1086" s="697"/>
      <c r="F1086" s="695"/>
      <c r="G1086" s="696"/>
      <c r="K1086" s="22" t="str">
        <f t="shared" si="33"/>
        <v/>
      </c>
      <c r="M1086" s="534" t="str">
        <f t="shared" si="32"/>
        <v/>
      </c>
    </row>
    <row r="1087" spans="2:13" ht="15.75" x14ac:dyDescent="0.25">
      <c r="B1087" s="692"/>
      <c r="C1087" s="117" t="str">
        <f>IF(ISNUMBER(B1087),IFERROR(VLOOKUP(B1087,'נתוני רישום ומצבת'!B:J,3,0),""),"")</f>
        <v/>
      </c>
      <c r="D1087" s="693"/>
      <c r="E1087" s="697"/>
      <c r="F1087" s="695"/>
      <c r="G1087" s="696"/>
      <c r="K1087" s="22" t="str">
        <f t="shared" si="33"/>
        <v/>
      </c>
      <c r="M1087" s="534" t="str">
        <f t="shared" si="32"/>
        <v/>
      </c>
    </row>
    <row r="1088" spans="2:13" ht="15.75" x14ac:dyDescent="0.25">
      <c r="B1088" s="692"/>
      <c r="C1088" s="117" t="str">
        <f>IF(ISNUMBER(B1088),IFERROR(VLOOKUP(B1088,'נתוני רישום ומצבת'!B:J,3,0),""),"")</f>
        <v/>
      </c>
      <c r="D1088" s="693"/>
      <c r="E1088" s="697"/>
      <c r="F1088" s="695"/>
      <c r="G1088" s="696"/>
      <c r="K1088" s="22" t="str">
        <f t="shared" si="33"/>
        <v/>
      </c>
      <c r="M1088" s="534" t="str">
        <f t="shared" si="32"/>
        <v/>
      </c>
    </row>
    <row r="1089" spans="2:13" ht="15.75" x14ac:dyDescent="0.25">
      <c r="B1089" s="692"/>
      <c r="C1089" s="117" t="str">
        <f>IF(ISNUMBER(B1089),IFERROR(VLOOKUP(B1089,'נתוני רישום ומצבת'!B:J,3,0),""),"")</f>
        <v/>
      </c>
      <c r="D1089" s="693"/>
      <c r="E1089" s="697"/>
      <c r="F1089" s="695"/>
      <c r="G1089" s="696"/>
      <c r="K1089" s="22" t="str">
        <f t="shared" si="33"/>
        <v/>
      </c>
      <c r="M1089" s="534" t="str">
        <f t="shared" si="32"/>
        <v/>
      </c>
    </row>
    <row r="1090" spans="2:13" ht="15.75" x14ac:dyDescent="0.25">
      <c r="B1090" s="692"/>
      <c r="C1090" s="117" t="str">
        <f>IF(ISNUMBER(B1090),IFERROR(VLOOKUP(B1090,'נתוני רישום ומצבת'!B:J,3,0),""),"")</f>
        <v/>
      </c>
      <c r="D1090" s="693"/>
      <c r="E1090" s="697"/>
      <c r="F1090" s="695"/>
      <c r="G1090" s="696"/>
      <c r="K1090" s="22" t="str">
        <f t="shared" si="33"/>
        <v/>
      </c>
      <c r="M1090" s="534" t="str">
        <f t="shared" si="32"/>
        <v/>
      </c>
    </row>
    <row r="1091" spans="2:13" ht="15.75" x14ac:dyDescent="0.25">
      <c r="B1091" s="692"/>
      <c r="C1091" s="117" t="str">
        <f>IF(ISNUMBER(B1091),IFERROR(VLOOKUP(B1091,'נתוני רישום ומצבת'!B:J,3,0),""),"")</f>
        <v/>
      </c>
      <c r="D1091" s="693"/>
      <c r="E1091" s="697"/>
      <c r="F1091" s="695"/>
      <c r="G1091" s="696"/>
      <c r="K1091" s="22" t="str">
        <f t="shared" si="33"/>
        <v/>
      </c>
      <c r="M1091" s="534" t="str">
        <f t="shared" si="32"/>
        <v/>
      </c>
    </row>
    <row r="1092" spans="2:13" ht="15.75" x14ac:dyDescent="0.25">
      <c r="B1092" s="692"/>
      <c r="C1092" s="117" t="str">
        <f>IF(ISNUMBER(B1092),IFERROR(VLOOKUP(B1092,'נתוני רישום ומצבת'!B:J,3,0),""),"")</f>
        <v/>
      </c>
      <c r="D1092" s="693"/>
      <c r="E1092" s="697"/>
      <c r="F1092" s="695"/>
      <c r="G1092" s="696"/>
      <c r="K1092" s="22" t="str">
        <f t="shared" si="33"/>
        <v/>
      </c>
      <c r="M1092" s="534" t="str">
        <f t="shared" si="32"/>
        <v/>
      </c>
    </row>
    <row r="1093" spans="2:13" ht="15.75" x14ac:dyDescent="0.25">
      <c r="B1093" s="692"/>
      <c r="C1093" s="117" t="str">
        <f>IF(ISNUMBER(B1093),IFERROR(VLOOKUP(B1093,'נתוני רישום ומצבת'!B:J,3,0),""),"")</f>
        <v/>
      </c>
      <c r="D1093" s="693"/>
      <c r="E1093" s="697"/>
      <c r="F1093" s="695"/>
      <c r="G1093" s="696"/>
      <c r="K1093" s="22" t="str">
        <f t="shared" si="33"/>
        <v/>
      </c>
      <c r="M1093" s="534" t="str">
        <f t="shared" si="32"/>
        <v/>
      </c>
    </row>
    <row r="1094" spans="2:13" ht="15.75" x14ac:dyDescent="0.25">
      <c r="B1094" s="692"/>
      <c r="C1094" s="117" t="str">
        <f>IF(ISNUMBER(B1094),IFERROR(VLOOKUP(B1094,'נתוני רישום ומצבת'!B:J,3,0),""),"")</f>
        <v/>
      </c>
      <c r="D1094" s="693"/>
      <c r="E1094" s="697"/>
      <c r="F1094" s="695"/>
      <c r="G1094" s="696"/>
      <c r="K1094" s="22" t="str">
        <f t="shared" si="33"/>
        <v/>
      </c>
      <c r="M1094" s="534" t="str">
        <f t="shared" si="32"/>
        <v/>
      </c>
    </row>
    <row r="1095" spans="2:13" ht="15.75" x14ac:dyDescent="0.25">
      <c r="B1095" s="692"/>
      <c r="C1095" s="117" t="str">
        <f>IF(ISNUMBER(B1095),IFERROR(VLOOKUP(B1095,'נתוני רישום ומצבת'!B:J,3,0),""),"")</f>
        <v/>
      </c>
      <c r="D1095" s="693"/>
      <c r="E1095" s="697"/>
      <c r="F1095" s="695"/>
      <c r="G1095" s="696"/>
      <c r="K1095" s="22" t="str">
        <f t="shared" si="33"/>
        <v/>
      </c>
      <c r="M1095" s="534" t="str">
        <f t="shared" si="32"/>
        <v/>
      </c>
    </row>
    <row r="1096" spans="2:13" ht="15.75" x14ac:dyDescent="0.25">
      <c r="B1096" s="692"/>
      <c r="C1096" s="117" t="str">
        <f>IF(ISNUMBER(B1096),IFERROR(VLOOKUP(B1096,'נתוני רישום ומצבת'!B:J,3,0),""),"")</f>
        <v/>
      </c>
      <c r="D1096" s="693"/>
      <c r="E1096" s="697"/>
      <c r="F1096" s="695"/>
      <c r="G1096" s="696"/>
      <c r="K1096" s="22" t="str">
        <f t="shared" si="33"/>
        <v/>
      </c>
      <c r="M1096" s="534" t="str">
        <f t="shared" si="32"/>
        <v/>
      </c>
    </row>
    <row r="1097" spans="2:13" ht="15.75" x14ac:dyDescent="0.25">
      <c r="B1097" s="692"/>
      <c r="C1097" s="117" t="str">
        <f>IF(ISNUMBER(B1097),IFERROR(VLOOKUP(B1097,'נתוני רישום ומצבת'!B:J,3,0),""),"")</f>
        <v/>
      </c>
      <c r="D1097" s="693"/>
      <c r="E1097" s="697"/>
      <c r="F1097" s="695"/>
      <c r="G1097" s="696"/>
      <c r="K1097" s="22" t="str">
        <f t="shared" si="33"/>
        <v/>
      </c>
      <c r="M1097" s="534" t="str">
        <f t="shared" si="32"/>
        <v/>
      </c>
    </row>
    <row r="1098" spans="2:13" ht="15.75" x14ac:dyDescent="0.25">
      <c r="B1098" s="692"/>
      <c r="C1098" s="117" t="str">
        <f>IF(ISNUMBER(B1098),IFERROR(VLOOKUP(B1098,'נתוני רישום ומצבת'!B:J,3,0),""),"")</f>
        <v/>
      </c>
      <c r="D1098" s="693"/>
      <c r="E1098" s="697"/>
      <c r="F1098" s="695"/>
      <c r="G1098" s="696"/>
      <c r="K1098" s="22" t="str">
        <f t="shared" si="33"/>
        <v/>
      </c>
      <c r="M1098" s="534" t="str">
        <f t="shared" si="32"/>
        <v/>
      </c>
    </row>
    <row r="1099" spans="2:13" ht="15.75" x14ac:dyDescent="0.25">
      <c r="B1099" s="692"/>
      <c r="C1099" s="117" t="str">
        <f>IF(ISNUMBER(B1099),IFERROR(VLOOKUP(B1099,'נתוני רישום ומצבת'!B:J,3,0),""),"")</f>
        <v/>
      </c>
      <c r="D1099" s="693"/>
      <c r="E1099" s="697"/>
      <c r="F1099" s="695"/>
      <c r="G1099" s="696"/>
      <c r="K1099" s="22" t="str">
        <f t="shared" si="33"/>
        <v/>
      </c>
      <c r="M1099" s="534" t="str">
        <f t="shared" si="32"/>
        <v/>
      </c>
    </row>
    <row r="1100" spans="2:13" ht="15.75" x14ac:dyDescent="0.25">
      <c r="B1100" s="692"/>
      <c r="C1100" s="117" t="str">
        <f>IF(ISNUMBER(B1100),IFERROR(VLOOKUP(B1100,'נתוני רישום ומצבת'!B:J,3,0),""),"")</f>
        <v/>
      </c>
      <c r="D1100" s="693"/>
      <c r="E1100" s="697"/>
      <c r="F1100" s="695"/>
      <c r="G1100" s="696"/>
      <c r="K1100" s="22" t="str">
        <f t="shared" si="33"/>
        <v/>
      </c>
      <c r="M1100" s="534" t="str">
        <f t="shared" si="32"/>
        <v/>
      </c>
    </row>
    <row r="1101" spans="2:13" ht="15.75" x14ac:dyDescent="0.25">
      <c r="B1101" s="692"/>
      <c r="C1101" s="117" t="str">
        <f>IF(ISNUMBER(B1101),IFERROR(VLOOKUP(B1101,'נתוני רישום ומצבת'!B:J,3,0),""),"")</f>
        <v/>
      </c>
      <c r="D1101" s="693"/>
      <c r="E1101" s="697"/>
      <c r="F1101" s="695"/>
      <c r="G1101" s="696"/>
      <c r="K1101" s="22" t="str">
        <f t="shared" si="33"/>
        <v/>
      </c>
      <c r="M1101" s="534" t="str">
        <f t="shared" si="32"/>
        <v/>
      </c>
    </row>
    <row r="1102" spans="2:13" ht="15.75" x14ac:dyDescent="0.25">
      <c r="B1102" s="692"/>
      <c r="C1102" s="117" t="str">
        <f>IF(ISNUMBER(B1102),IFERROR(VLOOKUP(B1102,'נתוני רישום ומצבת'!B:J,3,0),""),"")</f>
        <v/>
      </c>
      <c r="D1102" s="693"/>
      <c r="E1102" s="697"/>
      <c r="F1102" s="695"/>
      <c r="G1102" s="696"/>
      <c r="K1102" s="22" t="str">
        <f t="shared" si="33"/>
        <v/>
      </c>
      <c r="M1102" s="534" t="str">
        <f t="shared" si="32"/>
        <v/>
      </c>
    </row>
    <row r="1103" spans="2:13" ht="15.75" x14ac:dyDescent="0.25">
      <c r="B1103" s="692"/>
      <c r="C1103" s="117" t="str">
        <f>IF(ISNUMBER(B1103),IFERROR(VLOOKUP(B1103,'נתוני רישום ומצבת'!B:J,3,0),""),"")</f>
        <v/>
      </c>
      <c r="D1103" s="693"/>
      <c r="E1103" s="697"/>
      <c r="F1103" s="695"/>
      <c r="G1103" s="696"/>
      <c r="K1103" s="22" t="str">
        <f t="shared" si="33"/>
        <v/>
      </c>
      <c r="M1103" s="534" t="str">
        <f t="shared" si="32"/>
        <v/>
      </c>
    </row>
    <row r="1104" spans="2:13" ht="15.75" x14ac:dyDescent="0.25">
      <c r="B1104" s="692"/>
      <c r="C1104" s="117" t="str">
        <f>IF(ISNUMBER(B1104),IFERROR(VLOOKUP(B1104,'נתוני רישום ומצבת'!B:J,3,0),""),"")</f>
        <v/>
      </c>
      <c r="D1104" s="693"/>
      <c r="E1104" s="697"/>
      <c r="F1104" s="695"/>
      <c r="G1104" s="696"/>
      <c r="K1104" s="22" t="str">
        <f t="shared" si="33"/>
        <v/>
      </c>
      <c r="M1104" s="534" t="str">
        <f t="shared" si="32"/>
        <v/>
      </c>
    </row>
    <row r="1105" spans="2:13" ht="15.75" x14ac:dyDescent="0.25">
      <c r="B1105" s="692"/>
      <c r="C1105" s="117" t="str">
        <f>IF(ISNUMBER(B1105),IFERROR(VLOOKUP(B1105,'נתוני רישום ומצבת'!B:J,3,0),""),"")</f>
        <v/>
      </c>
      <c r="D1105" s="693"/>
      <c r="E1105" s="697"/>
      <c r="F1105" s="695"/>
      <c r="G1105" s="696"/>
      <c r="K1105" s="22" t="str">
        <f t="shared" si="33"/>
        <v/>
      </c>
      <c r="M1105" s="534" t="str">
        <f t="shared" ref="M1105:M1168" si="34">TEXT(LEFT(D1105,2),0)</f>
        <v/>
      </c>
    </row>
    <row r="1106" spans="2:13" ht="15.75" x14ac:dyDescent="0.25">
      <c r="B1106" s="692"/>
      <c r="C1106" s="117" t="str">
        <f>IF(ISNUMBER(B1106),IFERROR(VLOOKUP(B1106,'נתוני רישום ומצבת'!B:J,3,0),""),"")</f>
        <v/>
      </c>
      <c r="D1106" s="693"/>
      <c r="E1106" s="697"/>
      <c r="F1106" s="695"/>
      <c r="G1106" s="696"/>
      <c r="K1106" s="22" t="str">
        <f t="shared" si="33"/>
        <v/>
      </c>
      <c r="M1106" s="534" t="str">
        <f t="shared" si="34"/>
        <v/>
      </c>
    </row>
    <row r="1107" spans="2:13" ht="15.75" x14ac:dyDescent="0.25">
      <c r="B1107" s="692"/>
      <c r="C1107" s="117" t="str">
        <f>IF(ISNUMBER(B1107),IFERROR(VLOOKUP(B1107,'נתוני רישום ומצבת'!B:J,3,0),""),"")</f>
        <v/>
      </c>
      <c r="D1107" s="693"/>
      <c r="E1107" s="697"/>
      <c r="F1107" s="695"/>
      <c r="G1107" s="696"/>
      <c r="K1107" s="22" t="str">
        <f t="shared" si="33"/>
        <v/>
      </c>
      <c r="M1107" s="534" t="str">
        <f t="shared" si="34"/>
        <v/>
      </c>
    </row>
    <row r="1108" spans="2:13" ht="15.75" x14ac:dyDescent="0.25">
      <c r="B1108" s="692"/>
      <c r="C1108" s="117" t="str">
        <f>IF(ISNUMBER(B1108),IFERROR(VLOOKUP(B1108,'נתוני רישום ומצבת'!B:J,3,0),""),"")</f>
        <v/>
      </c>
      <c r="D1108" s="693"/>
      <c r="E1108" s="697"/>
      <c r="F1108" s="695"/>
      <c r="G1108" s="696"/>
      <c r="K1108" s="22" t="str">
        <f t="shared" si="33"/>
        <v/>
      </c>
      <c r="M1108" s="534" t="str">
        <f t="shared" si="34"/>
        <v/>
      </c>
    </row>
    <row r="1109" spans="2:13" ht="15.75" x14ac:dyDescent="0.25">
      <c r="B1109" s="692"/>
      <c r="C1109" s="117" t="str">
        <f>IF(ISNUMBER(B1109),IFERROR(VLOOKUP(B1109,'נתוני רישום ומצבת'!B:J,3,0),""),"")</f>
        <v/>
      </c>
      <c r="D1109" s="693"/>
      <c r="E1109" s="697"/>
      <c r="F1109" s="695"/>
      <c r="G1109" s="696"/>
      <c r="K1109" s="22" t="str">
        <f t="shared" ref="K1109:K1172" si="35">IF(C1096&lt;5,IF(D1109=$F$8,-E1109," "),"")</f>
        <v/>
      </c>
      <c r="M1109" s="534" t="str">
        <f t="shared" si="34"/>
        <v/>
      </c>
    </row>
    <row r="1110" spans="2:13" ht="15.75" x14ac:dyDescent="0.25">
      <c r="B1110" s="692"/>
      <c r="C1110" s="117" t="str">
        <f>IF(ISNUMBER(B1110),IFERROR(VLOOKUP(B1110,'נתוני רישום ומצבת'!B:J,3,0),""),"")</f>
        <v/>
      </c>
      <c r="D1110" s="693"/>
      <c r="E1110" s="697"/>
      <c r="F1110" s="695"/>
      <c r="G1110" s="696"/>
      <c r="K1110" s="22" t="str">
        <f t="shared" si="35"/>
        <v/>
      </c>
      <c r="M1110" s="534" t="str">
        <f t="shared" si="34"/>
        <v/>
      </c>
    </row>
    <row r="1111" spans="2:13" ht="15.75" x14ac:dyDescent="0.25">
      <c r="B1111" s="692"/>
      <c r="C1111" s="117" t="str">
        <f>IF(ISNUMBER(B1111),IFERROR(VLOOKUP(B1111,'נתוני רישום ומצבת'!B:J,3,0),""),"")</f>
        <v/>
      </c>
      <c r="D1111" s="693"/>
      <c r="E1111" s="697"/>
      <c r="F1111" s="695"/>
      <c r="G1111" s="696"/>
      <c r="K1111" s="22" t="str">
        <f t="shared" si="35"/>
        <v/>
      </c>
      <c r="M1111" s="534" t="str">
        <f t="shared" si="34"/>
        <v/>
      </c>
    </row>
    <row r="1112" spans="2:13" ht="15.75" x14ac:dyDescent="0.25">
      <c r="B1112" s="692"/>
      <c r="C1112" s="117" t="str">
        <f>IF(ISNUMBER(B1112),IFERROR(VLOOKUP(B1112,'נתוני רישום ומצבת'!B:J,3,0),""),"")</f>
        <v/>
      </c>
      <c r="D1112" s="693"/>
      <c r="E1112" s="697"/>
      <c r="F1112" s="695"/>
      <c r="G1112" s="696"/>
      <c r="K1112" s="22" t="str">
        <f t="shared" si="35"/>
        <v/>
      </c>
      <c r="M1112" s="534" t="str">
        <f t="shared" si="34"/>
        <v/>
      </c>
    </row>
    <row r="1113" spans="2:13" ht="15.75" x14ac:dyDescent="0.25">
      <c r="B1113" s="692"/>
      <c r="C1113" s="117" t="str">
        <f>IF(ISNUMBER(B1113),IFERROR(VLOOKUP(B1113,'נתוני רישום ומצבת'!B:J,3,0),""),"")</f>
        <v/>
      </c>
      <c r="D1113" s="693"/>
      <c r="E1113" s="697"/>
      <c r="F1113" s="695"/>
      <c r="G1113" s="696"/>
      <c r="K1113" s="22" t="str">
        <f t="shared" si="35"/>
        <v/>
      </c>
      <c r="M1113" s="534" t="str">
        <f t="shared" si="34"/>
        <v/>
      </c>
    </row>
    <row r="1114" spans="2:13" ht="15.75" x14ac:dyDescent="0.25">
      <c r="B1114" s="692"/>
      <c r="C1114" s="117" t="str">
        <f>IF(ISNUMBER(B1114),IFERROR(VLOOKUP(B1114,'נתוני רישום ומצבת'!B:J,3,0),""),"")</f>
        <v/>
      </c>
      <c r="D1114" s="693"/>
      <c r="E1114" s="697"/>
      <c r="F1114" s="695"/>
      <c r="G1114" s="696"/>
      <c r="K1114" s="22" t="str">
        <f t="shared" si="35"/>
        <v/>
      </c>
      <c r="M1114" s="534" t="str">
        <f t="shared" si="34"/>
        <v/>
      </c>
    </row>
    <row r="1115" spans="2:13" ht="15.75" x14ac:dyDescent="0.25">
      <c r="B1115" s="692"/>
      <c r="C1115" s="117" t="str">
        <f>IF(ISNUMBER(B1115),IFERROR(VLOOKUP(B1115,'נתוני רישום ומצבת'!B:J,3,0),""),"")</f>
        <v/>
      </c>
      <c r="D1115" s="693"/>
      <c r="E1115" s="697"/>
      <c r="F1115" s="695"/>
      <c r="G1115" s="696"/>
      <c r="K1115" s="22" t="str">
        <f t="shared" si="35"/>
        <v/>
      </c>
      <c r="M1115" s="534" t="str">
        <f t="shared" si="34"/>
        <v/>
      </c>
    </row>
    <row r="1116" spans="2:13" ht="15.75" x14ac:dyDescent="0.25">
      <c r="B1116" s="692"/>
      <c r="C1116" s="117" t="str">
        <f>IF(ISNUMBER(B1116),IFERROR(VLOOKUP(B1116,'נתוני רישום ומצבת'!B:J,3,0),""),"")</f>
        <v/>
      </c>
      <c r="D1116" s="693"/>
      <c r="E1116" s="697"/>
      <c r="F1116" s="695"/>
      <c r="G1116" s="696"/>
      <c r="K1116" s="22" t="str">
        <f t="shared" si="35"/>
        <v/>
      </c>
      <c r="M1116" s="534" t="str">
        <f t="shared" si="34"/>
        <v/>
      </c>
    </row>
    <row r="1117" spans="2:13" ht="15.75" x14ac:dyDescent="0.25">
      <c r="B1117" s="692"/>
      <c r="C1117" s="117" t="str">
        <f>IF(ISNUMBER(B1117),IFERROR(VLOOKUP(B1117,'נתוני רישום ומצבת'!B:J,3,0),""),"")</f>
        <v/>
      </c>
      <c r="D1117" s="693"/>
      <c r="E1117" s="697"/>
      <c r="F1117" s="695"/>
      <c r="G1117" s="696"/>
      <c r="K1117" s="22" t="str">
        <f t="shared" si="35"/>
        <v/>
      </c>
      <c r="M1117" s="534" t="str">
        <f t="shared" si="34"/>
        <v/>
      </c>
    </row>
    <row r="1118" spans="2:13" ht="15.75" x14ac:dyDescent="0.25">
      <c r="B1118" s="692"/>
      <c r="C1118" s="117" t="str">
        <f>IF(ISNUMBER(B1118),IFERROR(VLOOKUP(B1118,'נתוני רישום ומצבת'!B:J,3,0),""),"")</f>
        <v/>
      </c>
      <c r="D1118" s="693"/>
      <c r="E1118" s="697"/>
      <c r="F1118" s="695"/>
      <c r="G1118" s="696"/>
      <c r="K1118" s="22" t="str">
        <f t="shared" si="35"/>
        <v/>
      </c>
      <c r="M1118" s="534" t="str">
        <f t="shared" si="34"/>
        <v/>
      </c>
    </row>
    <row r="1119" spans="2:13" ht="15.75" x14ac:dyDescent="0.25">
      <c r="B1119" s="692"/>
      <c r="C1119" s="117" t="str">
        <f>IF(ISNUMBER(B1119),IFERROR(VLOOKUP(B1119,'נתוני רישום ומצבת'!B:J,3,0),""),"")</f>
        <v/>
      </c>
      <c r="D1119" s="693"/>
      <c r="E1119" s="697"/>
      <c r="F1119" s="695"/>
      <c r="G1119" s="696"/>
      <c r="K1119" s="22" t="str">
        <f t="shared" si="35"/>
        <v/>
      </c>
      <c r="M1119" s="534" t="str">
        <f t="shared" si="34"/>
        <v/>
      </c>
    </row>
    <row r="1120" spans="2:13" ht="15.75" x14ac:dyDescent="0.25">
      <c r="B1120" s="692"/>
      <c r="C1120" s="117" t="str">
        <f>IF(ISNUMBER(B1120),IFERROR(VLOOKUP(B1120,'נתוני רישום ומצבת'!B:J,3,0),""),"")</f>
        <v/>
      </c>
      <c r="D1120" s="693"/>
      <c r="E1120" s="697"/>
      <c r="F1120" s="695"/>
      <c r="G1120" s="696"/>
      <c r="K1120" s="22" t="str">
        <f t="shared" si="35"/>
        <v/>
      </c>
      <c r="M1120" s="534" t="str">
        <f t="shared" si="34"/>
        <v/>
      </c>
    </row>
    <row r="1121" spans="2:13" ht="15.75" x14ac:dyDescent="0.25">
      <c r="B1121" s="692"/>
      <c r="C1121" s="117" t="str">
        <f>IF(ISNUMBER(B1121),IFERROR(VLOOKUP(B1121,'נתוני רישום ומצבת'!B:J,3,0),""),"")</f>
        <v/>
      </c>
      <c r="D1121" s="693"/>
      <c r="E1121" s="697"/>
      <c r="F1121" s="695"/>
      <c r="G1121" s="696"/>
      <c r="K1121" s="22" t="str">
        <f t="shared" si="35"/>
        <v/>
      </c>
      <c r="M1121" s="534" t="str">
        <f t="shared" si="34"/>
        <v/>
      </c>
    </row>
    <row r="1122" spans="2:13" ht="15.75" x14ac:dyDescent="0.25">
      <c r="B1122" s="692"/>
      <c r="C1122" s="117" t="str">
        <f>IF(ISNUMBER(B1122),IFERROR(VLOOKUP(B1122,'נתוני רישום ומצבת'!B:J,3,0),""),"")</f>
        <v/>
      </c>
      <c r="D1122" s="693"/>
      <c r="E1122" s="697"/>
      <c r="F1122" s="695"/>
      <c r="G1122" s="696"/>
      <c r="K1122" s="22" t="str">
        <f t="shared" si="35"/>
        <v/>
      </c>
      <c r="M1122" s="534" t="str">
        <f t="shared" si="34"/>
        <v/>
      </c>
    </row>
    <row r="1123" spans="2:13" ht="15.75" x14ac:dyDescent="0.25">
      <c r="B1123" s="692"/>
      <c r="C1123" s="117" t="str">
        <f>IF(ISNUMBER(B1123),IFERROR(VLOOKUP(B1123,'נתוני רישום ומצבת'!B:J,3,0),""),"")</f>
        <v/>
      </c>
      <c r="D1123" s="693"/>
      <c r="E1123" s="697"/>
      <c r="F1123" s="695"/>
      <c r="G1123" s="696"/>
      <c r="K1123" s="22" t="str">
        <f t="shared" si="35"/>
        <v/>
      </c>
      <c r="M1123" s="534" t="str">
        <f t="shared" si="34"/>
        <v/>
      </c>
    </row>
    <row r="1124" spans="2:13" ht="15.75" x14ac:dyDescent="0.25">
      <c r="B1124" s="692"/>
      <c r="C1124" s="117" t="str">
        <f>IF(ISNUMBER(B1124),IFERROR(VLOOKUP(B1124,'נתוני רישום ומצבת'!B:J,3,0),""),"")</f>
        <v/>
      </c>
      <c r="D1124" s="693"/>
      <c r="E1124" s="697"/>
      <c r="F1124" s="695"/>
      <c r="G1124" s="696"/>
      <c r="K1124" s="22" t="str">
        <f t="shared" si="35"/>
        <v/>
      </c>
      <c r="M1124" s="534" t="str">
        <f t="shared" si="34"/>
        <v/>
      </c>
    </row>
    <row r="1125" spans="2:13" ht="15.75" x14ac:dyDescent="0.25">
      <c r="B1125" s="692"/>
      <c r="C1125" s="117" t="str">
        <f>IF(ISNUMBER(B1125),IFERROR(VLOOKUP(B1125,'נתוני רישום ומצבת'!B:J,3,0),""),"")</f>
        <v/>
      </c>
      <c r="D1125" s="693"/>
      <c r="E1125" s="697"/>
      <c r="F1125" s="695"/>
      <c r="G1125" s="696"/>
      <c r="K1125" s="22" t="str">
        <f t="shared" si="35"/>
        <v/>
      </c>
      <c r="M1125" s="534" t="str">
        <f t="shared" si="34"/>
        <v/>
      </c>
    </row>
    <row r="1126" spans="2:13" ht="15.75" x14ac:dyDescent="0.25">
      <c r="B1126" s="692"/>
      <c r="C1126" s="117" t="str">
        <f>IF(ISNUMBER(B1126),IFERROR(VLOOKUP(B1126,'נתוני רישום ומצבת'!B:J,3,0),""),"")</f>
        <v/>
      </c>
      <c r="D1126" s="693"/>
      <c r="E1126" s="697"/>
      <c r="F1126" s="695"/>
      <c r="G1126" s="696"/>
      <c r="K1126" s="22" t="str">
        <f t="shared" si="35"/>
        <v/>
      </c>
      <c r="M1126" s="534" t="str">
        <f t="shared" si="34"/>
        <v/>
      </c>
    </row>
    <row r="1127" spans="2:13" ht="15.75" x14ac:dyDescent="0.25">
      <c r="B1127" s="692"/>
      <c r="C1127" s="117" t="str">
        <f>IF(ISNUMBER(B1127),IFERROR(VLOOKUP(B1127,'נתוני רישום ומצבת'!B:J,3,0),""),"")</f>
        <v/>
      </c>
      <c r="D1127" s="693"/>
      <c r="E1127" s="697"/>
      <c r="F1127" s="695"/>
      <c r="G1127" s="696"/>
      <c r="K1127" s="22" t="str">
        <f t="shared" si="35"/>
        <v/>
      </c>
      <c r="M1127" s="534" t="str">
        <f t="shared" si="34"/>
        <v/>
      </c>
    </row>
    <row r="1128" spans="2:13" ht="15.75" x14ac:dyDescent="0.25">
      <c r="B1128" s="692"/>
      <c r="C1128" s="117" t="str">
        <f>IF(ISNUMBER(B1128),IFERROR(VLOOKUP(B1128,'נתוני רישום ומצבת'!B:J,3,0),""),"")</f>
        <v/>
      </c>
      <c r="D1128" s="693"/>
      <c r="E1128" s="697"/>
      <c r="F1128" s="695"/>
      <c r="G1128" s="696"/>
      <c r="K1128" s="22" t="str">
        <f t="shared" si="35"/>
        <v/>
      </c>
      <c r="M1128" s="534" t="str">
        <f t="shared" si="34"/>
        <v/>
      </c>
    </row>
    <row r="1129" spans="2:13" ht="15.75" x14ac:dyDescent="0.25">
      <c r="B1129" s="692"/>
      <c r="C1129" s="117" t="str">
        <f>IF(ISNUMBER(B1129),IFERROR(VLOOKUP(B1129,'נתוני רישום ומצבת'!B:J,3,0),""),"")</f>
        <v/>
      </c>
      <c r="D1129" s="693"/>
      <c r="E1129" s="697"/>
      <c r="F1129" s="695"/>
      <c r="G1129" s="696"/>
      <c r="K1129" s="22" t="str">
        <f t="shared" si="35"/>
        <v/>
      </c>
      <c r="M1129" s="534" t="str">
        <f t="shared" si="34"/>
        <v/>
      </c>
    </row>
    <row r="1130" spans="2:13" ht="15.75" x14ac:dyDescent="0.25">
      <c r="B1130" s="692"/>
      <c r="C1130" s="117" t="str">
        <f>IF(ISNUMBER(B1130),IFERROR(VLOOKUP(B1130,'נתוני רישום ומצבת'!B:J,3,0),""),"")</f>
        <v/>
      </c>
      <c r="D1130" s="693"/>
      <c r="E1130" s="697"/>
      <c r="F1130" s="695"/>
      <c r="G1130" s="696"/>
      <c r="K1130" s="22" t="str">
        <f t="shared" si="35"/>
        <v/>
      </c>
      <c r="M1130" s="534" t="str">
        <f t="shared" si="34"/>
        <v/>
      </c>
    </row>
    <row r="1131" spans="2:13" ht="15.75" x14ac:dyDescent="0.25">
      <c r="B1131" s="692"/>
      <c r="C1131" s="117" t="str">
        <f>IF(ISNUMBER(B1131),IFERROR(VLOOKUP(B1131,'נתוני רישום ומצבת'!B:J,3,0),""),"")</f>
        <v/>
      </c>
      <c r="D1131" s="693"/>
      <c r="E1131" s="697"/>
      <c r="F1131" s="695"/>
      <c r="G1131" s="696"/>
      <c r="K1131" s="22" t="str">
        <f t="shared" si="35"/>
        <v/>
      </c>
      <c r="M1131" s="534" t="str">
        <f t="shared" si="34"/>
        <v/>
      </c>
    </row>
    <row r="1132" spans="2:13" ht="15.75" x14ac:dyDescent="0.25">
      <c r="B1132" s="692"/>
      <c r="C1132" s="117" t="str">
        <f>IF(ISNUMBER(B1132),IFERROR(VLOOKUP(B1132,'נתוני רישום ומצבת'!B:J,3,0),""),"")</f>
        <v/>
      </c>
      <c r="D1132" s="693"/>
      <c r="E1132" s="697"/>
      <c r="F1132" s="695"/>
      <c r="G1132" s="696"/>
      <c r="K1132" s="22" t="str">
        <f t="shared" si="35"/>
        <v/>
      </c>
      <c r="M1132" s="534" t="str">
        <f t="shared" si="34"/>
        <v/>
      </c>
    </row>
    <row r="1133" spans="2:13" ht="15.75" x14ac:dyDescent="0.25">
      <c r="B1133" s="692"/>
      <c r="C1133" s="117" t="str">
        <f>IF(ISNUMBER(B1133),IFERROR(VLOOKUP(B1133,'נתוני רישום ומצבת'!B:J,3,0),""),"")</f>
        <v/>
      </c>
      <c r="D1133" s="693"/>
      <c r="E1133" s="697"/>
      <c r="F1133" s="695"/>
      <c r="G1133" s="696"/>
      <c r="K1133" s="22" t="str">
        <f t="shared" si="35"/>
        <v/>
      </c>
      <c r="M1133" s="534" t="str">
        <f t="shared" si="34"/>
        <v/>
      </c>
    </row>
    <row r="1134" spans="2:13" ht="15.75" x14ac:dyDescent="0.25">
      <c r="B1134" s="692"/>
      <c r="C1134" s="117" t="str">
        <f>IF(ISNUMBER(B1134),IFERROR(VLOOKUP(B1134,'נתוני רישום ומצבת'!B:J,3,0),""),"")</f>
        <v/>
      </c>
      <c r="D1134" s="693"/>
      <c r="E1134" s="697"/>
      <c r="F1134" s="695"/>
      <c r="G1134" s="696"/>
      <c r="K1134" s="22" t="str">
        <f t="shared" si="35"/>
        <v/>
      </c>
      <c r="M1134" s="534" t="str">
        <f t="shared" si="34"/>
        <v/>
      </c>
    </row>
    <row r="1135" spans="2:13" ht="15.75" x14ac:dyDescent="0.25">
      <c r="B1135" s="692"/>
      <c r="C1135" s="117" t="str">
        <f>IF(ISNUMBER(B1135),IFERROR(VLOOKUP(B1135,'נתוני רישום ומצבת'!B:J,3,0),""),"")</f>
        <v/>
      </c>
      <c r="D1135" s="693"/>
      <c r="E1135" s="697"/>
      <c r="F1135" s="695"/>
      <c r="G1135" s="696"/>
      <c r="K1135" s="22" t="str">
        <f t="shared" si="35"/>
        <v/>
      </c>
      <c r="M1135" s="534" t="str">
        <f t="shared" si="34"/>
        <v/>
      </c>
    </row>
    <row r="1136" spans="2:13" ht="15.75" x14ac:dyDescent="0.25">
      <c r="B1136" s="692"/>
      <c r="C1136" s="117" t="str">
        <f>IF(ISNUMBER(B1136),IFERROR(VLOOKUP(B1136,'נתוני רישום ומצבת'!B:J,3,0),""),"")</f>
        <v/>
      </c>
      <c r="D1136" s="693"/>
      <c r="E1136" s="697"/>
      <c r="F1136" s="695"/>
      <c r="G1136" s="696"/>
      <c r="K1136" s="22" t="str">
        <f t="shared" si="35"/>
        <v/>
      </c>
      <c r="M1136" s="534" t="str">
        <f t="shared" si="34"/>
        <v/>
      </c>
    </row>
    <row r="1137" spans="2:13" ht="15.75" x14ac:dyDescent="0.25">
      <c r="B1137" s="692"/>
      <c r="C1137" s="117" t="str">
        <f>IF(ISNUMBER(B1137),IFERROR(VLOOKUP(B1137,'נתוני רישום ומצבת'!B:J,3,0),""),"")</f>
        <v/>
      </c>
      <c r="D1137" s="693"/>
      <c r="E1137" s="697"/>
      <c r="F1137" s="695"/>
      <c r="G1137" s="696"/>
      <c r="K1137" s="22" t="str">
        <f t="shared" si="35"/>
        <v/>
      </c>
      <c r="M1137" s="534" t="str">
        <f t="shared" si="34"/>
        <v/>
      </c>
    </row>
    <row r="1138" spans="2:13" ht="15.75" x14ac:dyDescent="0.25">
      <c r="B1138" s="692"/>
      <c r="C1138" s="117" t="str">
        <f>IF(ISNUMBER(B1138),IFERROR(VLOOKUP(B1138,'נתוני רישום ומצבת'!B:J,3,0),""),"")</f>
        <v/>
      </c>
      <c r="D1138" s="693"/>
      <c r="E1138" s="697"/>
      <c r="F1138" s="695"/>
      <c r="G1138" s="696"/>
      <c r="K1138" s="22" t="str">
        <f t="shared" si="35"/>
        <v/>
      </c>
      <c r="M1138" s="534" t="str">
        <f t="shared" si="34"/>
        <v/>
      </c>
    </row>
    <row r="1139" spans="2:13" ht="15.75" x14ac:dyDescent="0.25">
      <c r="B1139" s="692"/>
      <c r="C1139" s="117" t="str">
        <f>IF(ISNUMBER(B1139),IFERROR(VLOOKUP(B1139,'נתוני רישום ומצבת'!B:J,3,0),""),"")</f>
        <v/>
      </c>
      <c r="D1139" s="693"/>
      <c r="E1139" s="697"/>
      <c r="F1139" s="695"/>
      <c r="G1139" s="696"/>
      <c r="K1139" s="22" t="str">
        <f t="shared" si="35"/>
        <v/>
      </c>
      <c r="M1139" s="534" t="str">
        <f t="shared" si="34"/>
        <v/>
      </c>
    </row>
    <row r="1140" spans="2:13" ht="15.75" x14ac:dyDescent="0.25">
      <c r="B1140" s="692"/>
      <c r="C1140" s="117" t="str">
        <f>IF(ISNUMBER(B1140),IFERROR(VLOOKUP(B1140,'נתוני רישום ומצבת'!B:J,3,0),""),"")</f>
        <v/>
      </c>
      <c r="D1140" s="693"/>
      <c r="E1140" s="697"/>
      <c r="F1140" s="695"/>
      <c r="G1140" s="696"/>
      <c r="K1140" s="22" t="str">
        <f t="shared" si="35"/>
        <v/>
      </c>
      <c r="M1140" s="534" t="str">
        <f t="shared" si="34"/>
        <v/>
      </c>
    </row>
    <row r="1141" spans="2:13" ht="15.75" x14ac:dyDescent="0.25">
      <c r="B1141" s="692"/>
      <c r="C1141" s="117" t="str">
        <f>IF(ISNUMBER(B1141),IFERROR(VLOOKUP(B1141,'נתוני רישום ומצבת'!B:J,3,0),""),"")</f>
        <v/>
      </c>
      <c r="D1141" s="693"/>
      <c r="E1141" s="697"/>
      <c r="F1141" s="695"/>
      <c r="G1141" s="696"/>
      <c r="K1141" s="22" t="str">
        <f t="shared" si="35"/>
        <v/>
      </c>
      <c r="M1141" s="534" t="str">
        <f t="shared" si="34"/>
        <v/>
      </c>
    </row>
    <row r="1142" spans="2:13" ht="15.75" x14ac:dyDescent="0.25">
      <c r="B1142" s="692"/>
      <c r="C1142" s="117" t="str">
        <f>IF(ISNUMBER(B1142),IFERROR(VLOOKUP(B1142,'נתוני רישום ומצבת'!B:J,3,0),""),"")</f>
        <v/>
      </c>
      <c r="D1142" s="693"/>
      <c r="E1142" s="697"/>
      <c r="F1142" s="695"/>
      <c r="G1142" s="696"/>
      <c r="K1142" s="22" t="str">
        <f t="shared" si="35"/>
        <v/>
      </c>
      <c r="M1142" s="534" t="str">
        <f t="shared" si="34"/>
        <v/>
      </c>
    </row>
    <row r="1143" spans="2:13" ht="15.75" x14ac:dyDescent="0.25">
      <c r="B1143" s="692"/>
      <c r="C1143" s="117" t="str">
        <f>IF(ISNUMBER(B1143),IFERROR(VLOOKUP(B1143,'נתוני רישום ומצבת'!B:J,3,0),""),"")</f>
        <v/>
      </c>
      <c r="D1143" s="693"/>
      <c r="E1143" s="697"/>
      <c r="F1143" s="695"/>
      <c r="G1143" s="696"/>
      <c r="K1143" s="22" t="str">
        <f t="shared" si="35"/>
        <v/>
      </c>
      <c r="M1143" s="534" t="str">
        <f t="shared" si="34"/>
        <v/>
      </c>
    </row>
    <row r="1144" spans="2:13" ht="15.75" x14ac:dyDescent="0.25">
      <c r="B1144" s="692"/>
      <c r="C1144" s="117" t="str">
        <f>IF(ISNUMBER(B1144),IFERROR(VLOOKUP(B1144,'נתוני רישום ומצבת'!B:J,3,0),""),"")</f>
        <v/>
      </c>
      <c r="D1144" s="693"/>
      <c r="E1144" s="697"/>
      <c r="F1144" s="695"/>
      <c r="G1144" s="696"/>
      <c r="K1144" s="22" t="str">
        <f t="shared" si="35"/>
        <v/>
      </c>
      <c r="M1144" s="534" t="str">
        <f t="shared" si="34"/>
        <v/>
      </c>
    </row>
    <row r="1145" spans="2:13" ht="15.75" x14ac:dyDescent="0.25">
      <c r="B1145" s="692"/>
      <c r="C1145" s="117" t="str">
        <f>IF(ISNUMBER(B1145),IFERROR(VLOOKUP(B1145,'נתוני רישום ומצבת'!B:J,3,0),""),"")</f>
        <v/>
      </c>
      <c r="D1145" s="693"/>
      <c r="E1145" s="697"/>
      <c r="F1145" s="695"/>
      <c r="G1145" s="696"/>
      <c r="K1145" s="22" t="str">
        <f t="shared" si="35"/>
        <v/>
      </c>
      <c r="M1145" s="534" t="str">
        <f t="shared" si="34"/>
        <v/>
      </c>
    </row>
    <row r="1146" spans="2:13" ht="15.75" x14ac:dyDescent="0.25">
      <c r="B1146" s="692"/>
      <c r="C1146" s="117" t="str">
        <f>IF(ISNUMBER(B1146),IFERROR(VLOOKUP(B1146,'נתוני רישום ומצבת'!B:J,3,0),""),"")</f>
        <v/>
      </c>
      <c r="D1146" s="693"/>
      <c r="E1146" s="697"/>
      <c r="F1146" s="695"/>
      <c r="G1146" s="696"/>
      <c r="K1146" s="22" t="str">
        <f t="shared" si="35"/>
        <v/>
      </c>
      <c r="M1146" s="534" t="str">
        <f t="shared" si="34"/>
        <v/>
      </c>
    </row>
    <row r="1147" spans="2:13" ht="15.75" x14ac:dyDescent="0.25">
      <c r="B1147" s="692"/>
      <c r="C1147" s="117" t="str">
        <f>IF(ISNUMBER(B1147),IFERROR(VLOOKUP(B1147,'נתוני רישום ומצבת'!B:J,3,0),""),"")</f>
        <v/>
      </c>
      <c r="D1147" s="693"/>
      <c r="E1147" s="697"/>
      <c r="F1147" s="695"/>
      <c r="G1147" s="696"/>
      <c r="K1147" s="22" t="str">
        <f t="shared" si="35"/>
        <v/>
      </c>
      <c r="M1147" s="534" t="str">
        <f t="shared" si="34"/>
        <v/>
      </c>
    </row>
    <row r="1148" spans="2:13" ht="15.75" x14ac:dyDescent="0.25">
      <c r="B1148" s="692"/>
      <c r="C1148" s="117" t="str">
        <f>IF(ISNUMBER(B1148),IFERROR(VLOOKUP(B1148,'נתוני רישום ומצבת'!B:J,3,0),""),"")</f>
        <v/>
      </c>
      <c r="D1148" s="693"/>
      <c r="E1148" s="697"/>
      <c r="F1148" s="695"/>
      <c r="G1148" s="696"/>
      <c r="K1148" s="22" t="str">
        <f t="shared" si="35"/>
        <v/>
      </c>
      <c r="M1148" s="534" t="str">
        <f t="shared" si="34"/>
        <v/>
      </c>
    </row>
    <row r="1149" spans="2:13" ht="15.75" x14ac:dyDescent="0.25">
      <c r="B1149" s="692"/>
      <c r="C1149" s="117" t="str">
        <f>IF(ISNUMBER(B1149),IFERROR(VLOOKUP(B1149,'נתוני רישום ומצבת'!B:J,3,0),""),"")</f>
        <v/>
      </c>
      <c r="D1149" s="693"/>
      <c r="E1149" s="697"/>
      <c r="F1149" s="695"/>
      <c r="G1149" s="696"/>
      <c r="K1149" s="22" t="str">
        <f t="shared" si="35"/>
        <v/>
      </c>
      <c r="M1149" s="534" t="str">
        <f t="shared" si="34"/>
        <v/>
      </c>
    </row>
    <row r="1150" spans="2:13" ht="15.75" x14ac:dyDescent="0.25">
      <c r="B1150" s="692"/>
      <c r="C1150" s="117" t="str">
        <f>IF(ISNUMBER(B1150),IFERROR(VLOOKUP(B1150,'נתוני רישום ומצבת'!B:J,3,0),""),"")</f>
        <v/>
      </c>
      <c r="D1150" s="693"/>
      <c r="E1150" s="697"/>
      <c r="F1150" s="695"/>
      <c r="G1150" s="696"/>
      <c r="K1150" s="22" t="str">
        <f t="shared" si="35"/>
        <v/>
      </c>
      <c r="M1150" s="534" t="str">
        <f t="shared" si="34"/>
        <v/>
      </c>
    </row>
    <row r="1151" spans="2:13" ht="15.75" x14ac:dyDescent="0.25">
      <c r="B1151" s="692"/>
      <c r="C1151" s="117" t="str">
        <f>IF(ISNUMBER(B1151),IFERROR(VLOOKUP(B1151,'נתוני רישום ומצבת'!B:J,3,0),""),"")</f>
        <v/>
      </c>
      <c r="D1151" s="693"/>
      <c r="E1151" s="697"/>
      <c r="F1151" s="695"/>
      <c r="G1151" s="696"/>
      <c r="K1151" s="22" t="str">
        <f t="shared" si="35"/>
        <v/>
      </c>
      <c r="M1151" s="534" t="str">
        <f t="shared" si="34"/>
        <v/>
      </c>
    </row>
    <row r="1152" spans="2:13" ht="15.75" x14ac:dyDescent="0.25">
      <c r="B1152" s="692"/>
      <c r="C1152" s="117" t="str">
        <f>IF(ISNUMBER(B1152),IFERROR(VLOOKUP(B1152,'נתוני רישום ומצבת'!B:J,3,0),""),"")</f>
        <v/>
      </c>
      <c r="D1152" s="693"/>
      <c r="E1152" s="697"/>
      <c r="F1152" s="695"/>
      <c r="G1152" s="696"/>
      <c r="K1152" s="22" t="str">
        <f t="shared" si="35"/>
        <v/>
      </c>
      <c r="M1152" s="534" t="str">
        <f t="shared" si="34"/>
        <v/>
      </c>
    </row>
    <row r="1153" spans="2:13" ht="15.75" x14ac:dyDescent="0.25">
      <c r="B1153" s="692"/>
      <c r="C1153" s="117" t="str">
        <f>IF(ISNUMBER(B1153),IFERROR(VLOOKUP(B1153,'נתוני רישום ומצבת'!B:J,3,0),""),"")</f>
        <v/>
      </c>
      <c r="D1153" s="693"/>
      <c r="E1153" s="697"/>
      <c r="F1153" s="695"/>
      <c r="G1153" s="696"/>
      <c r="K1153" s="22" t="str">
        <f t="shared" si="35"/>
        <v/>
      </c>
      <c r="M1153" s="534" t="str">
        <f t="shared" si="34"/>
        <v/>
      </c>
    </row>
    <row r="1154" spans="2:13" ht="15.75" x14ac:dyDescent="0.25">
      <c r="B1154" s="692"/>
      <c r="C1154" s="117" t="str">
        <f>IF(ISNUMBER(B1154),IFERROR(VLOOKUP(B1154,'נתוני רישום ומצבת'!B:J,3,0),""),"")</f>
        <v/>
      </c>
      <c r="D1154" s="693"/>
      <c r="E1154" s="697"/>
      <c r="F1154" s="695"/>
      <c r="G1154" s="696"/>
      <c r="K1154" s="22" t="str">
        <f t="shared" si="35"/>
        <v/>
      </c>
      <c r="M1154" s="534" t="str">
        <f t="shared" si="34"/>
        <v/>
      </c>
    </row>
    <row r="1155" spans="2:13" ht="15.75" x14ac:dyDescent="0.25">
      <c r="B1155" s="692"/>
      <c r="C1155" s="117" t="str">
        <f>IF(ISNUMBER(B1155),IFERROR(VLOOKUP(B1155,'נתוני רישום ומצבת'!B:J,3,0),""),"")</f>
        <v/>
      </c>
      <c r="D1155" s="693"/>
      <c r="E1155" s="697"/>
      <c r="F1155" s="695"/>
      <c r="G1155" s="696"/>
      <c r="K1155" s="22" t="str">
        <f t="shared" si="35"/>
        <v/>
      </c>
      <c r="M1155" s="534" t="str">
        <f t="shared" si="34"/>
        <v/>
      </c>
    </row>
    <row r="1156" spans="2:13" ht="15.75" x14ac:dyDescent="0.25">
      <c r="B1156" s="692"/>
      <c r="C1156" s="117" t="str">
        <f>IF(ISNUMBER(B1156),IFERROR(VLOOKUP(B1156,'נתוני רישום ומצבת'!B:J,3,0),""),"")</f>
        <v/>
      </c>
      <c r="D1156" s="693"/>
      <c r="E1156" s="697"/>
      <c r="F1156" s="695"/>
      <c r="G1156" s="696"/>
      <c r="K1156" s="22" t="str">
        <f t="shared" si="35"/>
        <v/>
      </c>
      <c r="M1156" s="534" t="str">
        <f t="shared" si="34"/>
        <v/>
      </c>
    </row>
    <row r="1157" spans="2:13" ht="15.75" x14ac:dyDescent="0.25">
      <c r="B1157" s="692"/>
      <c r="C1157" s="117" t="str">
        <f>IF(ISNUMBER(B1157),IFERROR(VLOOKUP(B1157,'נתוני רישום ומצבת'!B:J,3,0),""),"")</f>
        <v/>
      </c>
      <c r="D1157" s="693"/>
      <c r="E1157" s="697"/>
      <c r="F1157" s="695"/>
      <c r="G1157" s="696"/>
      <c r="K1157" s="22" t="str">
        <f t="shared" si="35"/>
        <v/>
      </c>
      <c r="M1157" s="534" t="str">
        <f t="shared" si="34"/>
        <v/>
      </c>
    </row>
    <row r="1158" spans="2:13" ht="15.75" x14ac:dyDescent="0.25">
      <c r="B1158" s="692"/>
      <c r="C1158" s="117" t="str">
        <f>IF(ISNUMBER(B1158),IFERROR(VLOOKUP(B1158,'נתוני רישום ומצבת'!B:J,3,0),""),"")</f>
        <v/>
      </c>
      <c r="D1158" s="693"/>
      <c r="E1158" s="697"/>
      <c r="F1158" s="695"/>
      <c r="G1158" s="696"/>
      <c r="K1158" s="22" t="str">
        <f t="shared" si="35"/>
        <v/>
      </c>
      <c r="M1158" s="534" t="str">
        <f t="shared" si="34"/>
        <v/>
      </c>
    </row>
    <row r="1159" spans="2:13" ht="15.75" x14ac:dyDescent="0.25">
      <c r="B1159" s="692"/>
      <c r="C1159" s="117" t="str">
        <f>IF(ISNUMBER(B1159),IFERROR(VLOOKUP(B1159,'נתוני רישום ומצבת'!B:J,3,0),""),"")</f>
        <v/>
      </c>
      <c r="D1159" s="693"/>
      <c r="E1159" s="697"/>
      <c r="F1159" s="695"/>
      <c r="G1159" s="696"/>
      <c r="K1159" s="22" t="str">
        <f t="shared" si="35"/>
        <v/>
      </c>
      <c r="M1159" s="534" t="str">
        <f t="shared" si="34"/>
        <v/>
      </c>
    </row>
    <row r="1160" spans="2:13" ht="15.75" x14ac:dyDescent="0.25">
      <c r="B1160" s="692"/>
      <c r="C1160" s="117" t="str">
        <f>IF(ISNUMBER(B1160),IFERROR(VLOOKUP(B1160,'נתוני רישום ומצבת'!B:J,3,0),""),"")</f>
        <v/>
      </c>
      <c r="D1160" s="693"/>
      <c r="E1160" s="697"/>
      <c r="F1160" s="695"/>
      <c r="G1160" s="696"/>
      <c r="K1160" s="22" t="str">
        <f t="shared" si="35"/>
        <v/>
      </c>
      <c r="M1160" s="534" t="str">
        <f t="shared" si="34"/>
        <v/>
      </c>
    </row>
    <row r="1161" spans="2:13" ht="15.75" x14ac:dyDescent="0.25">
      <c r="B1161" s="692"/>
      <c r="C1161" s="117" t="str">
        <f>IF(ISNUMBER(B1161),IFERROR(VLOOKUP(B1161,'נתוני רישום ומצבת'!B:J,3,0),""),"")</f>
        <v/>
      </c>
      <c r="D1161" s="693"/>
      <c r="E1161" s="697"/>
      <c r="F1161" s="695"/>
      <c r="G1161" s="696"/>
      <c r="K1161" s="22" t="str">
        <f t="shared" si="35"/>
        <v/>
      </c>
      <c r="M1161" s="534" t="str">
        <f t="shared" si="34"/>
        <v/>
      </c>
    </row>
    <row r="1162" spans="2:13" ht="15.75" x14ac:dyDescent="0.25">
      <c r="B1162" s="692"/>
      <c r="C1162" s="117" t="str">
        <f>IF(ISNUMBER(B1162),IFERROR(VLOOKUP(B1162,'נתוני רישום ומצבת'!B:J,3,0),""),"")</f>
        <v/>
      </c>
      <c r="D1162" s="693"/>
      <c r="E1162" s="697"/>
      <c r="F1162" s="695"/>
      <c r="G1162" s="696"/>
      <c r="K1162" s="22" t="str">
        <f t="shared" si="35"/>
        <v/>
      </c>
      <c r="M1162" s="534" t="str">
        <f t="shared" si="34"/>
        <v/>
      </c>
    </row>
    <row r="1163" spans="2:13" ht="15.75" x14ac:dyDescent="0.25">
      <c r="B1163" s="692"/>
      <c r="C1163" s="117" t="str">
        <f>IF(ISNUMBER(B1163),IFERROR(VLOOKUP(B1163,'נתוני רישום ומצבת'!B:J,3,0),""),"")</f>
        <v/>
      </c>
      <c r="D1163" s="693"/>
      <c r="E1163" s="697"/>
      <c r="F1163" s="695"/>
      <c r="G1163" s="696"/>
      <c r="K1163" s="22" t="str">
        <f t="shared" si="35"/>
        <v/>
      </c>
      <c r="M1163" s="534" t="str">
        <f t="shared" si="34"/>
        <v/>
      </c>
    </row>
    <row r="1164" spans="2:13" ht="15.75" x14ac:dyDescent="0.25">
      <c r="B1164" s="692"/>
      <c r="C1164" s="117" t="str">
        <f>IF(ISNUMBER(B1164),IFERROR(VLOOKUP(B1164,'נתוני רישום ומצבת'!B:J,3,0),""),"")</f>
        <v/>
      </c>
      <c r="D1164" s="693"/>
      <c r="E1164" s="697"/>
      <c r="F1164" s="695"/>
      <c r="G1164" s="696"/>
      <c r="K1164" s="22" t="str">
        <f t="shared" si="35"/>
        <v/>
      </c>
      <c r="M1164" s="534" t="str">
        <f t="shared" si="34"/>
        <v/>
      </c>
    </row>
    <row r="1165" spans="2:13" ht="15.75" x14ac:dyDescent="0.25">
      <c r="B1165" s="692"/>
      <c r="C1165" s="117" t="str">
        <f>IF(ISNUMBER(B1165),IFERROR(VLOOKUP(B1165,'נתוני רישום ומצבת'!B:J,3,0),""),"")</f>
        <v/>
      </c>
      <c r="D1165" s="693"/>
      <c r="E1165" s="697"/>
      <c r="F1165" s="695"/>
      <c r="G1165" s="696"/>
      <c r="K1165" s="22" t="str">
        <f t="shared" si="35"/>
        <v/>
      </c>
      <c r="M1165" s="534" t="str">
        <f t="shared" si="34"/>
        <v/>
      </c>
    </row>
    <row r="1166" spans="2:13" ht="15.75" x14ac:dyDescent="0.25">
      <c r="B1166" s="692"/>
      <c r="C1166" s="117" t="str">
        <f>IF(ISNUMBER(B1166),IFERROR(VLOOKUP(B1166,'נתוני רישום ומצבת'!B:J,3,0),""),"")</f>
        <v/>
      </c>
      <c r="D1166" s="693"/>
      <c r="E1166" s="697"/>
      <c r="F1166" s="695"/>
      <c r="G1166" s="696"/>
      <c r="K1166" s="22" t="str">
        <f t="shared" si="35"/>
        <v/>
      </c>
      <c r="M1166" s="534" t="str">
        <f t="shared" si="34"/>
        <v/>
      </c>
    </row>
    <row r="1167" spans="2:13" ht="15.75" x14ac:dyDescent="0.25">
      <c r="B1167" s="692"/>
      <c r="C1167" s="117" t="str">
        <f>IF(ISNUMBER(B1167),IFERROR(VLOOKUP(B1167,'נתוני רישום ומצבת'!B:J,3,0),""),"")</f>
        <v/>
      </c>
      <c r="D1167" s="693"/>
      <c r="E1167" s="697"/>
      <c r="F1167" s="695"/>
      <c r="G1167" s="696"/>
      <c r="K1167" s="22" t="str">
        <f t="shared" si="35"/>
        <v/>
      </c>
      <c r="M1167" s="534" t="str">
        <f t="shared" si="34"/>
        <v/>
      </c>
    </row>
    <row r="1168" spans="2:13" ht="15.75" x14ac:dyDescent="0.25">
      <c r="B1168" s="692"/>
      <c r="C1168" s="117" t="str">
        <f>IF(ISNUMBER(B1168),IFERROR(VLOOKUP(B1168,'נתוני רישום ומצבת'!B:J,3,0),""),"")</f>
        <v/>
      </c>
      <c r="D1168" s="693"/>
      <c r="E1168" s="697"/>
      <c r="F1168" s="695"/>
      <c r="G1168" s="696"/>
      <c r="K1168" s="22" t="str">
        <f t="shared" si="35"/>
        <v/>
      </c>
      <c r="M1168" s="534" t="str">
        <f t="shared" si="34"/>
        <v/>
      </c>
    </row>
    <row r="1169" spans="2:13" ht="15.75" x14ac:dyDescent="0.25">
      <c r="B1169" s="692"/>
      <c r="C1169" s="117" t="str">
        <f>IF(ISNUMBER(B1169),IFERROR(VLOOKUP(B1169,'נתוני רישום ומצבת'!B:J,3,0),""),"")</f>
        <v/>
      </c>
      <c r="D1169" s="693"/>
      <c r="E1169" s="697"/>
      <c r="F1169" s="695"/>
      <c r="G1169" s="696"/>
      <c r="K1169" s="22" t="str">
        <f t="shared" si="35"/>
        <v/>
      </c>
      <c r="M1169" s="534" t="str">
        <f t="shared" ref="M1169:M1232" si="36">TEXT(LEFT(D1169,2),0)</f>
        <v/>
      </c>
    </row>
    <row r="1170" spans="2:13" ht="15.75" x14ac:dyDescent="0.25">
      <c r="B1170" s="692"/>
      <c r="C1170" s="117" t="str">
        <f>IF(ISNUMBER(B1170),IFERROR(VLOOKUP(B1170,'נתוני רישום ומצבת'!B:J,3,0),""),"")</f>
        <v/>
      </c>
      <c r="D1170" s="693"/>
      <c r="E1170" s="697"/>
      <c r="F1170" s="695"/>
      <c r="G1170" s="696"/>
      <c r="K1170" s="22" t="str">
        <f t="shared" si="35"/>
        <v/>
      </c>
      <c r="M1170" s="534" t="str">
        <f t="shared" si="36"/>
        <v/>
      </c>
    </row>
    <row r="1171" spans="2:13" ht="15.75" x14ac:dyDescent="0.25">
      <c r="B1171" s="692"/>
      <c r="C1171" s="117" t="str">
        <f>IF(ISNUMBER(B1171),IFERROR(VLOOKUP(B1171,'נתוני רישום ומצבת'!B:J,3,0),""),"")</f>
        <v/>
      </c>
      <c r="D1171" s="693"/>
      <c r="E1171" s="697"/>
      <c r="F1171" s="695"/>
      <c r="G1171" s="696"/>
      <c r="K1171" s="22" t="str">
        <f t="shared" si="35"/>
        <v/>
      </c>
      <c r="M1171" s="534" t="str">
        <f t="shared" si="36"/>
        <v/>
      </c>
    </row>
    <row r="1172" spans="2:13" ht="15.75" x14ac:dyDescent="0.25">
      <c r="B1172" s="692"/>
      <c r="C1172" s="117" t="str">
        <f>IF(ISNUMBER(B1172),IFERROR(VLOOKUP(B1172,'נתוני רישום ומצבת'!B:J,3,0),""),"")</f>
        <v/>
      </c>
      <c r="D1172" s="693"/>
      <c r="E1172" s="697"/>
      <c r="F1172" s="695"/>
      <c r="G1172" s="696"/>
      <c r="K1172" s="22" t="str">
        <f t="shared" si="35"/>
        <v/>
      </c>
      <c r="M1172" s="534" t="str">
        <f t="shared" si="36"/>
        <v/>
      </c>
    </row>
    <row r="1173" spans="2:13" ht="15.75" x14ac:dyDescent="0.25">
      <c r="B1173" s="692"/>
      <c r="C1173" s="117" t="str">
        <f>IF(ISNUMBER(B1173),IFERROR(VLOOKUP(B1173,'נתוני רישום ומצבת'!B:J,3,0),""),"")</f>
        <v/>
      </c>
      <c r="D1173" s="693"/>
      <c r="E1173" s="697"/>
      <c r="F1173" s="695"/>
      <c r="G1173" s="696"/>
      <c r="K1173" s="22" t="str">
        <f t="shared" ref="K1173:K1236" si="37">IF(C1160&lt;5,IF(D1173=$F$8,-E1173," "),"")</f>
        <v/>
      </c>
      <c r="M1173" s="534" t="str">
        <f t="shared" si="36"/>
        <v/>
      </c>
    </row>
    <row r="1174" spans="2:13" ht="15.75" x14ac:dyDescent="0.25">
      <c r="B1174" s="692"/>
      <c r="C1174" s="117" t="str">
        <f>IF(ISNUMBER(B1174),IFERROR(VLOOKUP(B1174,'נתוני רישום ומצבת'!B:J,3,0),""),"")</f>
        <v/>
      </c>
      <c r="D1174" s="693"/>
      <c r="E1174" s="697"/>
      <c r="F1174" s="695"/>
      <c r="G1174" s="696"/>
      <c r="K1174" s="22" t="str">
        <f t="shared" si="37"/>
        <v/>
      </c>
      <c r="M1174" s="534" t="str">
        <f t="shared" si="36"/>
        <v/>
      </c>
    </row>
    <row r="1175" spans="2:13" ht="15.75" x14ac:dyDescent="0.25">
      <c r="B1175" s="692"/>
      <c r="C1175" s="117" t="str">
        <f>IF(ISNUMBER(B1175),IFERROR(VLOOKUP(B1175,'נתוני רישום ומצבת'!B:J,3,0),""),"")</f>
        <v/>
      </c>
      <c r="D1175" s="693"/>
      <c r="E1175" s="697"/>
      <c r="F1175" s="695"/>
      <c r="G1175" s="696"/>
      <c r="K1175" s="22" t="str">
        <f t="shared" si="37"/>
        <v/>
      </c>
      <c r="M1175" s="534" t="str">
        <f t="shared" si="36"/>
        <v/>
      </c>
    </row>
    <row r="1176" spans="2:13" ht="15.75" x14ac:dyDescent="0.25">
      <c r="B1176" s="692"/>
      <c r="C1176" s="117" t="str">
        <f>IF(ISNUMBER(B1176),IFERROR(VLOOKUP(B1176,'נתוני רישום ומצבת'!B:J,3,0),""),"")</f>
        <v/>
      </c>
      <c r="D1176" s="693"/>
      <c r="E1176" s="697"/>
      <c r="F1176" s="695"/>
      <c r="G1176" s="696"/>
      <c r="K1176" s="22" t="str">
        <f t="shared" si="37"/>
        <v/>
      </c>
      <c r="M1176" s="534" t="str">
        <f t="shared" si="36"/>
        <v/>
      </c>
    </row>
    <row r="1177" spans="2:13" ht="15.75" x14ac:dyDescent="0.25">
      <c r="B1177" s="692"/>
      <c r="C1177" s="117" t="str">
        <f>IF(ISNUMBER(B1177),IFERROR(VLOOKUP(B1177,'נתוני רישום ומצבת'!B:J,3,0),""),"")</f>
        <v/>
      </c>
      <c r="D1177" s="693"/>
      <c r="E1177" s="697"/>
      <c r="F1177" s="695"/>
      <c r="G1177" s="696"/>
      <c r="K1177" s="22" t="str">
        <f t="shared" si="37"/>
        <v/>
      </c>
      <c r="M1177" s="534" t="str">
        <f t="shared" si="36"/>
        <v/>
      </c>
    </row>
    <row r="1178" spans="2:13" ht="15.75" x14ac:dyDescent="0.25">
      <c r="B1178" s="692"/>
      <c r="C1178" s="117" t="str">
        <f>IF(ISNUMBER(B1178),IFERROR(VLOOKUP(B1178,'נתוני רישום ומצבת'!B:J,3,0),""),"")</f>
        <v/>
      </c>
      <c r="D1178" s="693"/>
      <c r="E1178" s="697"/>
      <c r="F1178" s="695"/>
      <c r="G1178" s="696"/>
      <c r="K1178" s="22" t="str">
        <f t="shared" si="37"/>
        <v/>
      </c>
      <c r="M1178" s="534" t="str">
        <f t="shared" si="36"/>
        <v/>
      </c>
    </row>
    <row r="1179" spans="2:13" ht="15.75" x14ac:dyDescent="0.25">
      <c r="B1179" s="692"/>
      <c r="C1179" s="117" t="str">
        <f>IF(ISNUMBER(B1179),IFERROR(VLOOKUP(B1179,'נתוני רישום ומצבת'!B:J,3,0),""),"")</f>
        <v/>
      </c>
      <c r="D1179" s="693"/>
      <c r="E1179" s="697"/>
      <c r="F1179" s="695"/>
      <c r="G1179" s="696"/>
      <c r="K1179" s="22" t="str">
        <f t="shared" si="37"/>
        <v/>
      </c>
      <c r="M1179" s="534" t="str">
        <f t="shared" si="36"/>
        <v/>
      </c>
    </row>
    <row r="1180" spans="2:13" ht="15.75" x14ac:dyDescent="0.25">
      <c r="B1180" s="692"/>
      <c r="C1180" s="117" t="str">
        <f>IF(ISNUMBER(B1180),IFERROR(VLOOKUP(B1180,'נתוני רישום ומצבת'!B:J,3,0),""),"")</f>
        <v/>
      </c>
      <c r="D1180" s="693"/>
      <c r="E1180" s="697"/>
      <c r="F1180" s="695"/>
      <c r="G1180" s="696"/>
      <c r="K1180" s="22" t="str">
        <f t="shared" si="37"/>
        <v/>
      </c>
      <c r="M1180" s="534" t="str">
        <f t="shared" si="36"/>
        <v/>
      </c>
    </row>
    <row r="1181" spans="2:13" ht="15.75" x14ac:dyDescent="0.25">
      <c r="B1181" s="692"/>
      <c r="C1181" s="117" t="str">
        <f>IF(ISNUMBER(B1181),IFERROR(VLOOKUP(B1181,'נתוני רישום ומצבת'!B:J,3,0),""),"")</f>
        <v/>
      </c>
      <c r="D1181" s="693"/>
      <c r="E1181" s="697"/>
      <c r="F1181" s="695"/>
      <c r="G1181" s="696"/>
      <c r="K1181" s="22" t="str">
        <f t="shared" si="37"/>
        <v/>
      </c>
      <c r="M1181" s="534" t="str">
        <f t="shared" si="36"/>
        <v/>
      </c>
    </row>
    <row r="1182" spans="2:13" ht="15.75" x14ac:dyDescent="0.25">
      <c r="B1182" s="692"/>
      <c r="C1182" s="117" t="str">
        <f>IF(ISNUMBER(B1182),IFERROR(VLOOKUP(B1182,'נתוני רישום ומצבת'!B:J,3,0),""),"")</f>
        <v/>
      </c>
      <c r="D1182" s="693"/>
      <c r="E1182" s="697"/>
      <c r="F1182" s="695"/>
      <c r="G1182" s="696"/>
      <c r="K1182" s="22" t="str">
        <f t="shared" si="37"/>
        <v/>
      </c>
      <c r="M1182" s="534" t="str">
        <f t="shared" si="36"/>
        <v/>
      </c>
    </row>
    <row r="1183" spans="2:13" ht="15.75" x14ac:dyDescent="0.25">
      <c r="B1183" s="692"/>
      <c r="C1183" s="117" t="str">
        <f>IF(ISNUMBER(B1183),IFERROR(VLOOKUP(B1183,'נתוני רישום ומצבת'!B:J,3,0),""),"")</f>
        <v/>
      </c>
      <c r="D1183" s="693"/>
      <c r="E1183" s="697"/>
      <c r="F1183" s="695"/>
      <c r="G1183" s="696"/>
      <c r="K1183" s="22" t="str">
        <f t="shared" si="37"/>
        <v/>
      </c>
      <c r="M1183" s="534" t="str">
        <f t="shared" si="36"/>
        <v/>
      </c>
    </row>
    <row r="1184" spans="2:13" ht="15.75" x14ac:dyDescent="0.25">
      <c r="B1184" s="692"/>
      <c r="C1184" s="117" t="str">
        <f>IF(ISNUMBER(B1184),IFERROR(VLOOKUP(B1184,'נתוני רישום ומצבת'!B:J,3,0),""),"")</f>
        <v/>
      </c>
      <c r="D1184" s="693"/>
      <c r="E1184" s="697"/>
      <c r="F1184" s="695"/>
      <c r="G1184" s="696"/>
      <c r="K1184" s="22" t="str">
        <f t="shared" si="37"/>
        <v/>
      </c>
      <c r="M1184" s="534" t="str">
        <f t="shared" si="36"/>
        <v/>
      </c>
    </row>
    <row r="1185" spans="2:13" ht="15.75" x14ac:dyDescent="0.25">
      <c r="B1185" s="692"/>
      <c r="C1185" s="117" t="str">
        <f>IF(ISNUMBER(B1185),IFERROR(VLOOKUP(B1185,'נתוני רישום ומצבת'!B:J,3,0),""),"")</f>
        <v/>
      </c>
      <c r="D1185" s="693"/>
      <c r="E1185" s="697"/>
      <c r="F1185" s="695"/>
      <c r="G1185" s="696"/>
      <c r="K1185" s="22" t="str">
        <f t="shared" si="37"/>
        <v/>
      </c>
      <c r="M1185" s="534" t="str">
        <f t="shared" si="36"/>
        <v/>
      </c>
    </row>
    <row r="1186" spans="2:13" ht="15.75" x14ac:dyDescent="0.25">
      <c r="B1186" s="692"/>
      <c r="C1186" s="117" t="str">
        <f>IF(ISNUMBER(B1186),IFERROR(VLOOKUP(B1186,'נתוני רישום ומצבת'!B:J,3,0),""),"")</f>
        <v/>
      </c>
      <c r="D1186" s="693"/>
      <c r="E1186" s="697"/>
      <c r="F1186" s="695"/>
      <c r="G1186" s="696"/>
      <c r="K1186" s="22" t="str">
        <f t="shared" si="37"/>
        <v/>
      </c>
      <c r="M1186" s="534" t="str">
        <f t="shared" si="36"/>
        <v/>
      </c>
    </row>
    <row r="1187" spans="2:13" ht="15.75" x14ac:dyDescent="0.25">
      <c r="B1187" s="692"/>
      <c r="C1187" s="117" t="str">
        <f>IF(ISNUMBER(B1187),IFERROR(VLOOKUP(B1187,'נתוני רישום ומצבת'!B:J,3,0),""),"")</f>
        <v/>
      </c>
      <c r="D1187" s="693"/>
      <c r="E1187" s="697"/>
      <c r="F1187" s="695"/>
      <c r="G1187" s="696"/>
      <c r="K1187" s="22" t="str">
        <f t="shared" si="37"/>
        <v/>
      </c>
      <c r="M1187" s="534" t="str">
        <f t="shared" si="36"/>
        <v/>
      </c>
    </row>
    <row r="1188" spans="2:13" ht="15.75" x14ac:dyDescent="0.25">
      <c r="B1188" s="692"/>
      <c r="C1188" s="117" t="str">
        <f>IF(ISNUMBER(B1188),IFERROR(VLOOKUP(B1188,'נתוני רישום ומצבת'!B:J,3,0),""),"")</f>
        <v/>
      </c>
      <c r="D1188" s="693"/>
      <c r="E1188" s="697"/>
      <c r="F1188" s="695"/>
      <c r="G1188" s="696"/>
      <c r="K1188" s="22" t="str">
        <f t="shared" si="37"/>
        <v/>
      </c>
      <c r="M1188" s="534" t="str">
        <f t="shared" si="36"/>
        <v/>
      </c>
    </row>
    <row r="1189" spans="2:13" ht="15.75" x14ac:dyDescent="0.25">
      <c r="B1189" s="692"/>
      <c r="C1189" s="117" t="str">
        <f>IF(ISNUMBER(B1189),IFERROR(VLOOKUP(B1189,'נתוני רישום ומצבת'!B:J,3,0),""),"")</f>
        <v/>
      </c>
      <c r="D1189" s="693"/>
      <c r="E1189" s="697"/>
      <c r="F1189" s="695"/>
      <c r="G1189" s="696"/>
      <c r="K1189" s="22" t="str">
        <f t="shared" si="37"/>
        <v/>
      </c>
      <c r="M1189" s="534" t="str">
        <f t="shared" si="36"/>
        <v/>
      </c>
    </row>
    <row r="1190" spans="2:13" ht="15.75" x14ac:dyDescent="0.25">
      <c r="B1190" s="692"/>
      <c r="C1190" s="117" t="str">
        <f>IF(ISNUMBER(B1190),IFERROR(VLOOKUP(B1190,'נתוני רישום ומצבת'!B:J,3,0),""),"")</f>
        <v/>
      </c>
      <c r="D1190" s="693"/>
      <c r="E1190" s="697"/>
      <c r="F1190" s="695"/>
      <c r="G1190" s="696"/>
      <c r="K1190" s="22" t="str">
        <f t="shared" si="37"/>
        <v/>
      </c>
      <c r="M1190" s="534" t="str">
        <f t="shared" si="36"/>
        <v/>
      </c>
    </row>
    <row r="1191" spans="2:13" ht="15.75" x14ac:dyDescent="0.25">
      <c r="B1191" s="692"/>
      <c r="C1191" s="117" t="str">
        <f>IF(ISNUMBER(B1191),IFERROR(VLOOKUP(B1191,'נתוני רישום ומצבת'!B:J,3,0),""),"")</f>
        <v/>
      </c>
      <c r="D1191" s="693"/>
      <c r="E1191" s="697"/>
      <c r="F1191" s="695"/>
      <c r="G1191" s="696"/>
      <c r="K1191" s="22" t="str">
        <f t="shared" si="37"/>
        <v/>
      </c>
      <c r="M1191" s="534" t="str">
        <f t="shared" si="36"/>
        <v/>
      </c>
    </row>
    <row r="1192" spans="2:13" ht="15.75" x14ac:dyDescent="0.25">
      <c r="B1192" s="692"/>
      <c r="C1192" s="117" t="str">
        <f>IF(ISNUMBER(B1192),IFERROR(VLOOKUP(B1192,'נתוני רישום ומצבת'!B:J,3,0),""),"")</f>
        <v/>
      </c>
      <c r="D1192" s="693"/>
      <c r="E1192" s="697"/>
      <c r="F1192" s="695"/>
      <c r="G1192" s="696"/>
      <c r="K1192" s="22" t="str">
        <f t="shared" si="37"/>
        <v/>
      </c>
      <c r="M1192" s="534" t="str">
        <f t="shared" si="36"/>
        <v/>
      </c>
    </row>
    <row r="1193" spans="2:13" ht="15.75" x14ac:dyDescent="0.25">
      <c r="B1193" s="692"/>
      <c r="C1193" s="117" t="str">
        <f>IF(ISNUMBER(B1193),IFERROR(VLOOKUP(B1193,'נתוני רישום ומצבת'!B:J,3,0),""),"")</f>
        <v/>
      </c>
      <c r="D1193" s="693"/>
      <c r="E1193" s="697"/>
      <c r="F1193" s="695"/>
      <c r="G1193" s="696"/>
      <c r="K1193" s="22" t="str">
        <f t="shared" si="37"/>
        <v/>
      </c>
      <c r="M1193" s="534" t="str">
        <f t="shared" si="36"/>
        <v/>
      </c>
    </row>
    <row r="1194" spans="2:13" ht="15.75" x14ac:dyDescent="0.25">
      <c r="B1194" s="692"/>
      <c r="C1194" s="117" t="str">
        <f>IF(ISNUMBER(B1194),IFERROR(VLOOKUP(B1194,'נתוני רישום ומצבת'!B:J,3,0),""),"")</f>
        <v/>
      </c>
      <c r="D1194" s="693"/>
      <c r="E1194" s="697"/>
      <c r="F1194" s="695"/>
      <c r="G1194" s="696"/>
      <c r="K1194" s="22" t="str">
        <f t="shared" si="37"/>
        <v/>
      </c>
      <c r="M1194" s="534" t="str">
        <f t="shared" si="36"/>
        <v/>
      </c>
    </row>
    <row r="1195" spans="2:13" ht="15.75" x14ac:dyDescent="0.25">
      <c r="B1195" s="692"/>
      <c r="C1195" s="117" t="str">
        <f>IF(ISNUMBER(B1195),IFERROR(VLOOKUP(B1195,'נתוני רישום ומצבת'!B:J,3,0),""),"")</f>
        <v/>
      </c>
      <c r="D1195" s="693"/>
      <c r="E1195" s="697"/>
      <c r="F1195" s="695"/>
      <c r="G1195" s="696"/>
      <c r="K1195" s="22" t="str">
        <f t="shared" si="37"/>
        <v/>
      </c>
      <c r="M1195" s="534" t="str">
        <f t="shared" si="36"/>
        <v/>
      </c>
    </row>
    <row r="1196" spans="2:13" ht="15.75" x14ac:dyDescent="0.25">
      <c r="B1196" s="692"/>
      <c r="C1196" s="117" t="str">
        <f>IF(ISNUMBER(B1196),IFERROR(VLOOKUP(B1196,'נתוני רישום ומצבת'!B:J,3,0),""),"")</f>
        <v/>
      </c>
      <c r="D1196" s="693"/>
      <c r="E1196" s="697"/>
      <c r="F1196" s="695"/>
      <c r="G1196" s="696"/>
      <c r="K1196" s="22" t="str">
        <f t="shared" si="37"/>
        <v/>
      </c>
      <c r="M1196" s="534" t="str">
        <f t="shared" si="36"/>
        <v/>
      </c>
    </row>
    <row r="1197" spans="2:13" ht="15.75" x14ac:dyDescent="0.25">
      <c r="B1197" s="692"/>
      <c r="C1197" s="117" t="str">
        <f>IF(ISNUMBER(B1197),IFERROR(VLOOKUP(B1197,'נתוני רישום ומצבת'!B:J,3,0),""),"")</f>
        <v/>
      </c>
      <c r="D1197" s="693"/>
      <c r="E1197" s="697"/>
      <c r="F1197" s="695"/>
      <c r="G1197" s="696"/>
      <c r="K1197" s="22" t="str">
        <f t="shared" si="37"/>
        <v/>
      </c>
      <c r="M1197" s="534" t="str">
        <f t="shared" si="36"/>
        <v/>
      </c>
    </row>
    <row r="1198" spans="2:13" ht="15.75" x14ac:dyDescent="0.25">
      <c r="B1198" s="692"/>
      <c r="C1198" s="117" t="str">
        <f>IF(ISNUMBER(B1198),IFERROR(VLOOKUP(B1198,'נתוני רישום ומצבת'!B:J,3,0),""),"")</f>
        <v/>
      </c>
      <c r="D1198" s="693"/>
      <c r="E1198" s="697"/>
      <c r="F1198" s="695"/>
      <c r="G1198" s="696"/>
      <c r="K1198" s="22" t="str">
        <f t="shared" si="37"/>
        <v/>
      </c>
      <c r="M1198" s="534" t="str">
        <f t="shared" si="36"/>
        <v/>
      </c>
    </row>
    <row r="1199" spans="2:13" ht="15.75" x14ac:dyDescent="0.25">
      <c r="B1199" s="692"/>
      <c r="C1199" s="117" t="str">
        <f>IF(ISNUMBER(B1199),IFERROR(VLOOKUP(B1199,'נתוני רישום ומצבת'!B:J,3,0),""),"")</f>
        <v/>
      </c>
      <c r="D1199" s="693"/>
      <c r="E1199" s="697"/>
      <c r="F1199" s="695"/>
      <c r="G1199" s="696"/>
      <c r="K1199" s="22" t="str">
        <f t="shared" si="37"/>
        <v/>
      </c>
      <c r="M1199" s="534" t="str">
        <f t="shared" si="36"/>
        <v/>
      </c>
    </row>
    <row r="1200" spans="2:13" ht="15.75" x14ac:dyDescent="0.25">
      <c r="B1200" s="692"/>
      <c r="C1200" s="117" t="str">
        <f>IF(ISNUMBER(B1200),IFERROR(VLOOKUP(B1200,'נתוני רישום ומצבת'!B:J,3,0),""),"")</f>
        <v/>
      </c>
      <c r="D1200" s="693"/>
      <c r="E1200" s="697"/>
      <c r="F1200" s="695"/>
      <c r="G1200" s="696"/>
      <c r="K1200" s="22" t="str">
        <f t="shared" si="37"/>
        <v/>
      </c>
      <c r="M1200" s="534" t="str">
        <f t="shared" si="36"/>
        <v/>
      </c>
    </row>
    <row r="1201" spans="2:13" ht="15.75" x14ac:dyDescent="0.25">
      <c r="B1201" s="692"/>
      <c r="C1201" s="117" t="str">
        <f>IF(ISNUMBER(B1201),IFERROR(VLOOKUP(B1201,'נתוני רישום ומצבת'!B:J,3,0),""),"")</f>
        <v/>
      </c>
      <c r="D1201" s="693"/>
      <c r="E1201" s="697"/>
      <c r="F1201" s="695"/>
      <c r="G1201" s="696"/>
      <c r="K1201" s="22" t="str">
        <f t="shared" si="37"/>
        <v/>
      </c>
      <c r="M1201" s="534" t="str">
        <f t="shared" si="36"/>
        <v/>
      </c>
    </row>
    <row r="1202" spans="2:13" ht="15.75" x14ac:dyDescent="0.25">
      <c r="B1202" s="692"/>
      <c r="C1202" s="117" t="str">
        <f>IF(ISNUMBER(B1202),IFERROR(VLOOKUP(B1202,'נתוני רישום ומצבת'!B:J,3,0),""),"")</f>
        <v/>
      </c>
      <c r="D1202" s="693"/>
      <c r="E1202" s="697"/>
      <c r="F1202" s="695"/>
      <c r="G1202" s="696"/>
      <c r="K1202" s="22" t="str">
        <f t="shared" si="37"/>
        <v/>
      </c>
      <c r="M1202" s="534" t="str">
        <f t="shared" si="36"/>
        <v/>
      </c>
    </row>
    <row r="1203" spans="2:13" ht="15.75" x14ac:dyDescent="0.25">
      <c r="B1203" s="692"/>
      <c r="C1203" s="117" t="str">
        <f>IF(ISNUMBER(B1203),IFERROR(VLOOKUP(B1203,'נתוני רישום ומצבת'!B:J,3,0),""),"")</f>
        <v/>
      </c>
      <c r="D1203" s="693"/>
      <c r="E1203" s="697"/>
      <c r="F1203" s="695"/>
      <c r="G1203" s="696"/>
      <c r="K1203" s="22" t="str">
        <f t="shared" si="37"/>
        <v/>
      </c>
      <c r="M1203" s="534" t="str">
        <f t="shared" si="36"/>
        <v/>
      </c>
    </row>
    <row r="1204" spans="2:13" ht="15.75" x14ac:dyDescent="0.25">
      <c r="B1204" s="692"/>
      <c r="C1204" s="117" t="str">
        <f>IF(ISNUMBER(B1204),IFERROR(VLOOKUP(B1204,'נתוני רישום ומצבת'!B:J,3,0),""),"")</f>
        <v/>
      </c>
      <c r="D1204" s="693"/>
      <c r="E1204" s="697"/>
      <c r="F1204" s="695"/>
      <c r="G1204" s="696"/>
      <c r="K1204" s="22" t="str">
        <f t="shared" si="37"/>
        <v/>
      </c>
      <c r="M1204" s="534" t="str">
        <f t="shared" si="36"/>
        <v/>
      </c>
    </row>
    <row r="1205" spans="2:13" ht="15.75" x14ac:dyDescent="0.25">
      <c r="B1205" s="692"/>
      <c r="C1205" s="117" t="str">
        <f>IF(ISNUMBER(B1205),IFERROR(VLOOKUP(B1205,'נתוני רישום ומצבת'!B:J,3,0),""),"")</f>
        <v/>
      </c>
      <c r="D1205" s="693"/>
      <c r="E1205" s="697"/>
      <c r="F1205" s="695"/>
      <c r="G1205" s="696"/>
      <c r="K1205" s="22" t="str">
        <f t="shared" si="37"/>
        <v/>
      </c>
      <c r="M1205" s="534" t="str">
        <f t="shared" si="36"/>
        <v/>
      </c>
    </row>
    <row r="1206" spans="2:13" ht="15.75" x14ac:dyDescent="0.25">
      <c r="B1206" s="692"/>
      <c r="C1206" s="117" t="str">
        <f>IF(ISNUMBER(B1206),IFERROR(VLOOKUP(B1206,'נתוני רישום ומצבת'!B:J,3,0),""),"")</f>
        <v/>
      </c>
      <c r="D1206" s="693"/>
      <c r="E1206" s="697"/>
      <c r="F1206" s="695"/>
      <c r="G1206" s="696"/>
      <c r="K1206" s="22" t="str">
        <f t="shared" si="37"/>
        <v/>
      </c>
      <c r="M1206" s="534" t="str">
        <f t="shared" si="36"/>
        <v/>
      </c>
    </row>
    <row r="1207" spans="2:13" ht="15.75" x14ac:dyDescent="0.25">
      <c r="B1207" s="692"/>
      <c r="C1207" s="117" t="str">
        <f>IF(ISNUMBER(B1207),IFERROR(VLOOKUP(B1207,'נתוני רישום ומצבת'!B:J,3,0),""),"")</f>
        <v/>
      </c>
      <c r="D1207" s="693"/>
      <c r="E1207" s="697"/>
      <c r="F1207" s="695"/>
      <c r="G1207" s="696"/>
      <c r="K1207" s="22" t="str">
        <f t="shared" si="37"/>
        <v/>
      </c>
      <c r="M1207" s="534" t="str">
        <f t="shared" si="36"/>
        <v/>
      </c>
    </row>
    <row r="1208" spans="2:13" ht="15.75" x14ac:dyDescent="0.25">
      <c r="B1208" s="692"/>
      <c r="C1208" s="117" t="str">
        <f>IF(ISNUMBER(B1208),IFERROR(VLOOKUP(B1208,'נתוני רישום ומצבת'!B:J,3,0),""),"")</f>
        <v/>
      </c>
      <c r="D1208" s="693"/>
      <c r="E1208" s="697"/>
      <c r="F1208" s="695"/>
      <c r="G1208" s="696"/>
      <c r="K1208" s="22" t="str">
        <f t="shared" si="37"/>
        <v/>
      </c>
      <c r="M1208" s="534" t="str">
        <f t="shared" si="36"/>
        <v/>
      </c>
    </row>
    <row r="1209" spans="2:13" ht="15.75" x14ac:dyDescent="0.25">
      <c r="B1209" s="692"/>
      <c r="C1209" s="117" t="str">
        <f>IF(ISNUMBER(B1209),IFERROR(VLOOKUP(B1209,'נתוני רישום ומצבת'!B:J,3,0),""),"")</f>
        <v/>
      </c>
      <c r="D1209" s="693"/>
      <c r="E1209" s="697"/>
      <c r="F1209" s="695"/>
      <c r="G1209" s="696"/>
      <c r="K1209" s="22" t="str">
        <f t="shared" si="37"/>
        <v/>
      </c>
      <c r="M1209" s="534" t="str">
        <f t="shared" si="36"/>
        <v/>
      </c>
    </row>
    <row r="1210" spans="2:13" ht="15.75" x14ac:dyDescent="0.25">
      <c r="B1210" s="692"/>
      <c r="C1210" s="117" t="str">
        <f>IF(ISNUMBER(B1210),IFERROR(VLOOKUP(B1210,'נתוני רישום ומצבת'!B:J,3,0),""),"")</f>
        <v/>
      </c>
      <c r="D1210" s="693"/>
      <c r="E1210" s="697"/>
      <c r="F1210" s="695"/>
      <c r="G1210" s="696"/>
      <c r="K1210" s="22" t="str">
        <f t="shared" si="37"/>
        <v/>
      </c>
      <c r="M1210" s="534" t="str">
        <f t="shared" si="36"/>
        <v/>
      </c>
    </row>
    <row r="1211" spans="2:13" ht="15.75" x14ac:dyDescent="0.25">
      <c r="B1211" s="692"/>
      <c r="C1211" s="117" t="str">
        <f>IF(ISNUMBER(B1211),IFERROR(VLOOKUP(B1211,'נתוני רישום ומצבת'!B:J,3,0),""),"")</f>
        <v/>
      </c>
      <c r="D1211" s="693"/>
      <c r="E1211" s="697"/>
      <c r="F1211" s="695"/>
      <c r="G1211" s="696"/>
      <c r="K1211" s="22" t="str">
        <f t="shared" si="37"/>
        <v/>
      </c>
      <c r="M1211" s="534" t="str">
        <f t="shared" si="36"/>
        <v/>
      </c>
    </row>
    <row r="1212" spans="2:13" ht="15.75" x14ac:dyDescent="0.25">
      <c r="B1212" s="692"/>
      <c r="C1212" s="117" t="str">
        <f>IF(ISNUMBER(B1212),IFERROR(VLOOKUP(B1212,'נתוני רישום ומצבת'!B:J,3,0),""),"")</f>
        <v/>
      </c>
      <c r="D1212" s="693"/>
      <c r="E1212" s="697"/>
      <c r="F1212" s="695"/>
      <c r="G1212" s="696"/>
      <c r="K1212" s="22" t="str">
        <f t="shared" si="37"/>
        <v/>
      </c>
      <c r="M1212" s="534" t="str">
        <f t="shared" si="36"/>
        <v/>
      </c>
    </row>
    <row r="1213" spans="2:13" ht="15.75" x14ac:dyDescent="0.25">
      <c r="B1213" s="692"/>
      <c r="C1213" s="117" t="str">
        <f>IF(ISNUMBER(B1213),IFERROR(VLOOKUP(B1213,'נתוני רישום ומצבת'!B:J,3,0),""),"")</f>
        <v/>
      </c>
      <c r="D1213" s="693"/>
      <c r="E1213" s="697"/>
      <c r="F1213" s="695"/>
      <c r="G1213" s="696"/>
      <c r="K1213" s="22" t="str">
        <f t="shared" si="37"/>
        <v/>
      </c>
      <c r="M1213" s="534" t="str">
        <f t="shared" si="36"/>
        <v/>
      </c>
    </row>
    <row r="1214" spans="2:13" ht="15.75" x14ac:dyDescent="0.25">
      <c r="B1214" s="692"/>
      <c r="C1214" s="117" t="str">
        <f>IF(ISNUMBER(B1214),IFERROR(VLOOKUP(B1214,'נתוני רישום ומצבת'!B:J,3,0),""),"")</f>
        <v/>
      </c>
      <c r="D1214" s="693"/>
      <c r="E1214" s="697"/>
      <c r="F1214" s="695"/>
      <c r="G1214" s="696"/>
      <c r="K1214" s="22" t="str">
        <f t="shared" si="37"/>
        <v/>
      </c>
      <c r="M1214" s="534" t="str">
        <f t="shared" si="36"/>
        <v/>
      </c>
    </row>
    <row r="1215" spans="2:13" ht="15.75" x14ac:dyDescent="0.25">
      <c r="B1215" s="692"/>
      <c r="C1215" s="117" t="str">
        <f>IF(ISNUMBER(B1215),IFERROR(VLOOKUP(B1215,'נתוני רישום ומצבת'!B:J,3,0),""),"")</f>
        <v/>
      </c>
      <c r="D1215" s="693"/>
      <c r="E1215" s="697"/>
      <c r="F1215" s="695"/>
      <c r="G1215" s="696"/>
      <c r="K1215" s="22" t="str">
        <f t="shared" si="37"/>
        <v/>
      </c>
      <c r="M1215" s="534" t="str">
        <f t="shared" si="36"/>
        <v/>
      </c>
    </row>
    <row r="1216" spans="2:13" ht="15.75" x14ac:dyDescent="0.25">
      <c r="B1216" s="692"/>
      <c r="C1216" s="117" t="str">
        <f>IF(ISNUMBER(B1216),IFERROR(VLOOKUP(B1216,'נתוני רישום ומצבת'!B:J,3,0),""),"")</f>
        <v/>
      </c>
      <c r="D1216" s="693"/>
      <c r="E1216" s="697"/>
      <c r="F1216" s="695"/>
      <c r="G1216" s="696"/>
      <c r="K1216" s="22" t="str">
        <f t="shared" si="37"/>
        <v/>
      </c>
      <c r="M1216" s="534" t="str">
        <f t="shared" si="36"/>
        <v/>
      </c>
    </row>
    <row r="1217" spans="2:13" ht="15.75" x14ac:dyDescent="0.25">
      <c r="B1217" s="692"/>
      <c r="C1217" s="117" t="str">
        <f>IF(ISNUMBER(B1217),IFERROR(VLOOKUP(B1217,'נתוני רישום ומצבת'!B:J,3,0),""),"")</f>
        <v/>
      </c>
      <c r="D1217" s="693"/>
      <c r="E1217" s="697"/>
      <c r="F1217" s="695"/>
      <c r="G1217" s="696"/>
      <c r="K1217" s="22" t="str">
        <f t="shared" si="37"/>
        <v/>
      </c>
      <c r="M1217" s="534" t="str">
        <f t="shared" si="36"/>
        <v/>
      </c>
    </row>
    <row r="1218" spans="2:13" ht="15.75" x14ac:dyDescent="0.25">
      <c r="B1218" s="692"/>
      <c r="C1218" s="117" t="str">
        <f>IF(ISNUMBER(B1218),IFERROR(VLOOKUP(B1218,'נתוני רישום ומצבת'!B:J,3,0),""),"")</f>
        <v/>
      </c>
      <c r="D1218" s="693"/>
      <c r="E1218" s="697"/>
      <c r="F1218" s="695"/>
      <c r="G1218" s="696"/>
      <c r="K1218" s="22" t="str">
        <f t="shared" si="37"/>
        <v/>
      </c>
      <c r="M1218" s="534" t="str">
        <f t="shared" si="36"/>
        <v/>
      </c>
    </row>
    <row r="1219" spans="2:13" ht="15.75" x14ac:dyDescent="0.25">
      <c r="B1219" s="692"/>
      <c r="C1219" s="117" t="str">
        <f>IF(ISNUMBER(B1219),IFERROR(VLOOKUP(B1219,'נתוני רישום ומצבת'!B:J,3,0),""),"")</f>
        <v/>
      </c>
      <c r="D1219" s="693"/>
      <c r="E1219" s="697"/>
      <c r="F1219" s="695"/>
      <c r="G1219" s="696"/>
      <c r="K1219" s="22" t="str">
        <f t="shared" si="37"/>
        <v/>
      </c>
      <c r="M1219" s="534" t="str">
        <f t="shared" si="36"/>
        <v/>
      </c>
    </row>
    <row r="1220" spans="2:13" ht="15.75" x14ac:dyDescent="0.25">
      <c r="B1220" s="692"/>
      <c r="C1220" s="117" t="str">
        <f>IF(ISNUMBER(B1220),IFERROR(VLOOKUP(B1220,'נתוני רישום ומצבת'!B:J,3,0),""),"")</f>
        <v/>
      </c>
      <c r="D1220" s="693"/>
      <c r="E1220" s="697"/>
      <c r="F1220" s="695"/>
      <c r="G1220" s="696"/>
      <c r="K1220" s="22" t="str">
        <f t="shared" si="37"/>
        <v/>
      </c>
      <c r="M1220" s="534" t="str">
        <f t="shared" si="36"/>
        <v/>
      </c>
    </row>
    <row r="1221" spans="2:13" ht="15.75" x14ac:dyDescent="0.25">
      <c r="B1221" s="692"/>
      <c r="C1221" s="117" t="str">
        <f>IF(ISNUMBER(B1221),IFERROR(VLOOKUP(B1221,'נתוני רישום ומצבת'!B:J,3,0),""),"")</f>
        <v/>
      </c>
      <c r="D1221" s="693"/>
      <c r="E1221" s="697"/>
      <c r="F1221" s="695"/>
      <c r="G1221" s="696"/>
      <c r="K1221" s="22" t="str">
        <f t="shared" si="37"/>
        <v/>
      </c>
      <c r="M1221" s="534" t="str">
        <f t="shared" si="36"/>
        <v/>
      </c>
    </row>
    <row r="1222" spans="2:13" ht="15.75" x14ac:dyDescent="0.25">
      <c r="B1222" s="692"/>
      <c r="C1222" s="117" t="str">
        <f>IF(ISNUMBER(B1222),IFERROR(VLOOKUP(B1222,'נתוני רישום ומצבת'!B:J,3,0),""),"")</f>
        <v/>
      </c>
      <c r="D1222" s="693"/>
      <c r="E1222" s="697"/>
      <c r="F1222" s="695"/>
      <c r="G1222" s="696"/>
      <c r="K1222" s="22" t="str">
        <f t="shared" si="37"/>
        <v/>
      </c>
      <c r="M1222" s="534" t="str">
        <f t="shared" si="36"/>
        <v/>
      </c>
    </row>
    <row r="1223" spans="2:13" ht="15.75" x14ac:dyDescent="0.25">
      <c r="B1223" s="692"/>
      <c r="C1223" s="117" t="str">
        <f>IF(ISNUMBER(B1223),IFERROR(VLOOKUP(B1223,'נתוני רישום ומצבת'!B:J,3,0),""),"")</f>
        <v/>
      </c>
      <c r="D1223" s="693"/>
      <c r="E1223" s="697"/>
      <c r="F1223" s="695"/>
      <c r="G1223" s="696"/>
      <c r="K1223" s="22" t="str">
        <f t="shared" si="37"/>
        <v/>
      </c>
      <c r="M1223" s="534" t="str">
        <f t="shared" si="36"/>
        <v/>
      </c>
    </row>
    <row r="1224" spans="2:13" ht="15.75" x14ac:dyDescent="0.25">
      <c r="B1224" s="692"/>
      <c r="C1224" s="117" t="str">
        <f>IF(ISNUMBER(B1224),IFERROR(VLOOKUP(B1224,'נתוני רישום ומצבת'!B:J,3,0),""),"")</f>
        <v/>
      </c>
      <c r="D1224" s="693"/>
      <c r="E1224" s="697"/>
      <c r="F1224" s="695"/>
      <c r="G1224" s="696"/>
      <c r="K1224" s="22" t="str">
        <f t="shared" si="37"/>
        <v/>
      </c>
      <c r="M1224" s="534" t="str">
        <f t="shared" si="36"/>
        <v/>
      </c>
    </row>
    <row r="1225" spans="2:13" ht="15.75" x14ac:dyDescent="0.25">
      <c r="B1225" s="692"/>
      <c r="C1225" s="117" t="str">
        <f>IF(ISNUMBER(B1225),IFERROR(VLOOKUP(B1225,'נתוני רישום ומצבת'!B:J,3,0),""),"")</f>
        <v/>
      </c>
      <c r="D1225" s="693"/>
      <c r="E1225" s="697"/>
      <c r="F1225" s="695"/>
      <c r="G1225" s="696"/>
      <c r="K1225" s="22" t="str">
        <f t="shared" si="37"/>
        <v/>
      </c>
      <c r="M1225" s="534" t="str">
        <f t="shared" si="36"/>
        <v/>
      </c>
    </row>
    <row r="1226" spans="2:13" ht="15.75" x14ac:dyDescent="0.25">
      <c r="B1226" s="692"/>
      <c r="C1226" s="117" t="str">
        <f>IF(ISNUMBER(B1226),IFERROR(VLOOKUP(B1226,'נתוני רישום ומצבת'!B:J,3,0),""),"")</f>
        <v/>
      </c>
      <c r="D1226" s="693"/>
      <c r="E1226" s="697"/>
      <c r="F1226" s="695"/>
      <c r="G1226" s="696"/>
      <c r="K1226" s="22" t="str">
        <f t="shared" si="37"/>
        <v/>
      </c>
      <c r="M1226" s="534" t="str">
        <f t="shared" si="36"/>
        <v/>
      </c>
    </row>
    <row r="1227" spans="2:13" ht="15.75" x14ac:dyDescent="0.25">
      <c r="B1227" s="692"/>
      <c r="C1227" s="117" t="str">
        <f>IF(ISNUMBER(B1227),IFERROR(VLOOKUP(B1227,'נתוני רישום ומצבת'!B:J,3,0),""),"")</f>
        <v/>
      </c>
      <c r="D1227" s="693"/>
      <c r="E1227" s="697"/>
      <c r="F1227" s="695"/>
      <c r="G1227" s="696"/>
      <c r="K1227" s="22" t="str">
        <f t="shared" si="37"/>
        <v/>
      </c>
      <c r="M1227" s="534" t="str">
        <f t="shared" si="36"/>
        <v/>
      </c>
    </row>
    <row r="1228" spans="2:13" ht="15.75" x14ac:dyDescent="0.25">
      <c r="B1228" s="692"/>
      <c r="C1228" s="117" t="str">
        <f>IF(ISNUMBER(B1228),IFERROR(VLOOKUP(B1228,'נתוני רישום ומצבת'!B:J,3,0),""),"")</f>
        <v/>
      </c>
      <c r="D1228" s="693"/>
      <c r="E1228" s="697"/>
      <c r="F1228" s="695"/>
      <c r="G1228" s="696"/>
      <c r="K1228" s="22" t="str">
        <f t="shared" si="37"/>
        <v/>
      </c>
      <c r="M1228" s="534" t="str">
        <f t="shared" si="36"/>
        <v/>
      </c>
    </row>
    <row r="1229" spans="2:13" ht="15.75" x14ac:dyDescent="0.25">
      <c r="B1229" s="692"/>
      <c r="C1229" s="117" t="str">
        <f>IF(ISNUMBER(B1229),IFERROR(VLOOKUP(B1229,'נתוני רישום ומצבת'!B:J,3,0),""),"")</f>
        <v/>
      </c>
      <c r="D1229" s="693"/>
      <c r="E1229" s="697"/>
      <c r="F1229" s="695"/>
      <c r="G1229" s="696"/>
      <c r="K1229" s="22" t="str">
        <f t="shared" si="37"/>
        <v/>
      </c>
      <c r="M1229" s="534" t="str">
        <f t="shared" si="36"/>
        <v/>
      </c>
    </row>
    <row r="1230" spans="2:13" ht="15.75" x14ac:dyDescent="0.25">
      <c r="B1230" s="692"/>
      <c r="C1230" s="117" t="str">
        <f>IF(ISNUMBER(B1230),IFERROR(VLOOKUP(B1230,'נתוני רישום ומצבת'!B:J,3,0),""),"")</f>
        <v/>
      </c>
      <c r="D1230" s="693"/>
      <c r="E1230" s="697"/>
      <c r="F1230" s="695"/>
      <c r="G1230" s="696"/>
      <c r="K1230" s="22" t="str">
        <f t="shared" si="37"/>
        <v/>
      </c>
      <c r="M1230" s="534" t="str">
        <f t="shared" si="36"/>
        <v/>
      </c>
    </row>
    <row r="1231" spans="2:13" ht="15.75" x14ac:dyDescent="0.25">
      <c r="B1231" s="692"/>
      <c r="C1231" s="117" t="str">
        <f>IF(ISNUMBER(B1231),IFERROR(VLOOKUP(B1231,'נתוני רישום ומצבת'!B:J,3,0),""),"")</f>
        <v/>
      </c>
      <c r="D1231" s="693"/>
      <c r="E1231" s="697"/>
      <c r="F1231" s="695"/>
      <c r="G1231" s="696"/>
      <c r="K1231" s="22" t="str">
        <f t="shared" si="37"/>
        <v/>
      </c>
      <c r="M1231" s="534" t="str">
        <f t="shared" si="36"/>
        <v/>
      </c>
    </row>
    <row r="1232" spans="2:13" ht="15.75" x14ac:dyDescent="0.25">
      <c r="B1232" s="692"/>
      <c r="C1232" s="117" t="str">
        <f>IF(ISNUMBER(B1232),IFERROR(VLOOKUP(B1232,'נתוני רישום ומצבת'!B:J,3,0),""),"")</f>
        <v/>
      </c>
      <c r="D1232" s="693"/>
      <c r="E1232" s="697"/>
      <c r="F1232" s="695"/>
      <c r="G1232" s="696"/>
      <c r="K1232" s="22" t="str">
        <f t="shared" si="37"/>
        <v/>
      </c>
      <c r="M1232" s="534" t="str">
        <f t="shared" si="36"/>
        <v/>
      </c>
    </row>
    <row r="1233" spans="2:13" ht="15.75" x14ac:dyDescent="0.25">
      <c r="B1233" s="692"/>
      <c r="C1233" s="117" t="str">
        <f>IF(ISNUMBER(B1233),IFERROR(VLOOKUP(B1233,'נתוני רישום ומצבת'!B:J,3,0),""),"")</f>
        <v/>
      </c>
      <c r="D1233" s="693"/>
      <c r="E1233" s="697"/>
      <c r="F1233" s="695"/>
      <c r="G1233" s="696"/>
      <c r="K1233" s="22" t="str">
        <f t="shared" si="37"/>
        <v/>
      </c>
      <c r="M1233" s="534" t="str">
        <f t="shared" ref="M1233:M1296" si="38">TEXT(LEFT(D1233,2),0)</f>
        <v/>
      </c>
    </row>
    <row r="1234" spans="2:13" ht="15.75" x14ac:dyDescent="0.25">
      <c r="B1234" s="692"/>
      <c r="C1234" s="117" t="str">
        <f>IF(ISNUMBER(B1234),IFERROR(VLOOKUP(B1234,'נתוני רישום ומצבת'!B:J,3,0),""),"")</f>
        <v/>
      </c>
      <c r="D1234" s="693"/>
      <c r="E1234" s="697"/>
      <c r="F1234" s="695"/>
      <c r="G1234" s="696"/>
      <c r="K1234" s="22" t="str">
        <f t="shared" si="37"/>
        <v/>
      </c>
      <c r="M1234" s="534" t="str">
        <f t="shared" si="38"/>
        <v/>
      </c>
    </row>
    <row r="1235" spans="2:13" ht="15.75" x14ac:dyDescent="0.25">
      <c r="B1235" s="692"/>
      <c r="C1235" s="117" t="str">
        <f>IF(ISNUMBER(B1235),IFERROR(VLOOKUP(B1235,'נתוני רישום ומצבת'!B:J,3,0),""),"")</f>
        <v/>
      </c>
      <c r="D1235" s="693"/>
      <c r="E1235" s="697"/>
      <c r="F1235" s="695"/>
      <c r="G1235" s="696"/>
      <c r="K1235" s="22" t="str">
        <f t="shared" si="37"/>
        <v/>
      </c>
      <c r="M1235" s="534" t="str">
        <f t="shared" si="38"/>
        <v/>
      </c>
    </row>
    <row r="1236" spans="2:13" ht="15.75" x14ac:dyDescent="0.25">
      <c r="B1236" s="692"/>
      <c r="C1236" s="117" t="str">
        <f>IF(ISNUMBER(B1236),IFERROR(VLOOKUP(B1236,'נתוני רישום ומצבת'!B:J,3,0),""),"")</f>
        <v/>
      </c>
      <c r="D1236" s="693"/>
      <c r="E1236" s="697"/>
      <c r="F1236" s="695"/>
      <c r="G1236" s="696"/>
      <c r="K1236" s="22" t="str">
        <f t="shared" si="37"/>
        <v/>
      </c>
      <c r="M1236" s="534" t="str">
        <f t="shared" si="38"/>
        <v/>
      </c>
    </row>
    <row r="1237" spans="2:13" ht="15.75" x14ac:dyDescent="0.25">
      <c r="B1237" s="692"/>
      <c r="C1237" s="117" t="str">
        <f>IF(ISNUMBER(B1237),IFERROR(VLOOKUP(B1237,'נתוני רישום ומצבת'!B:J,3,0),""),"")</f>
        <v/>
      </c>
      <c r="D1237" s="693"/>
      <c r="E1237" s="697"/>
      <c r="F1237" s="695"/>
      <c r="G1237" s="696"/>
      <c r="K1237" s="22" t="str">
        <f t="shared" ref="K1237:K1300" si="39">IF(C1224&lt;5,IF(D1237=$F$8,-E1237," "),"")</f>
        <v/>
      </c>
      <c r="M1237" s="534" t="str">
        <f t="shared" si="38"/>
        <v/>
      </c>
    </row>
    <row r="1238" spans="2:13" ht="15.75" x14ac:dyDescent="0.25">
      <c r="B1238" s="692"/>
      <c r="C1238" s="117" t="str">
        <f>IF(ISNUMBER(B1238),IFERROR(VLOOKUP(B1238,'נתוני רישום ומצבת'!B:J,3,0),""),"")</f>
        <v/>
      </c>
      <c r="D1238" s="693"/>
      <c r="E1238" s="697"/>
      <c r="F1238" s="695"/>
      <c r="G1238" s="696"/>
      <c r="K1238" s="22" t="str">
        <f t="shared" si="39"/>
        <v/>
      </c>
      <c r="M1238" s="534" t="str">
        <f t="shared" si="38"/>
        <v/>
      </c>
    </row>
    <row r="1239" spans="2:13" ht="15.75" x14ac:dyDescent="0.25">
      <c r="B1239" s="692"/>
      <c r="C1239" s="117" t="str">
        <f>IF(ISNUMBER(B1239),IFERROR(VLOOKUP(B1239,'נתוני רישום ומצבת'!B:J,3,0),""),"")</f>
        <v/>
      </c>
      <c r="D1239" s="693"/>
      <c r="E1239" s="697"/>
      <c r="F1239" s="695"/>
      <c r="G1239" s="696"/>
      <c r="K1239" s="22" t="str">
        <f t="shared" si="39"/>
        <v/>
      </c>
      <c r="M1239" s="534" t="str">
        <f t="shared" si="38"/>
        <v/>
      </c>
    </row>
    <row r="1240" spans="2:13" ht="15.75" x14ac:dyDescent="0.25">
      <c r="B1240" s="692"/>
      <c r="C1240" s="117" t="str">
        <f>IF(ISNUMBER(B1240),IFERROR(VLOOKUP(B1240,'נתוני רישום ומצבת'!B:J,3,0),""),"")</f>
        <v/>
      </c>
      <c r="D1240" s="693"/>
      <c r="E1240" s="697"/>
      <c r="F1240" s="695"/>
      <c r="G1240" s="696"/>
      <c r="K1240" s="22" t="str">
        <f t="shared" si="39"/>
        <v/>
      </c>
      <c r="M1240" s="534" t="str">
        <f t="shared" si="38"/>
        <v/>
      </c>
    </row>
    <row r="1241" spans="2:13" ht="15.75" x14ac:dyDescent="0.25">
      <c r="B1241" s="692"/>
      <c r="C1241" s="117" t="str">
        <f>IF(ISNUMBER(B1241),IFERROR(VLOOKUP(B1241,'נתוני רישום ומצבת'!B:J,3,0),""),"")</f>
        <v/>
      </c>
      <c r="D1241" s="693"/>
      <c r="E1241" s="697"/>
      <c r="F1241" s="695"/>
      <c r="G1241" s="696"/>
      <c r="K1241" s="22" t="str">
        <f t="shared" si="39"/>
        <v/>
      </c>
      <c r="M1241" s="534" t="str">
        <f t="shared" si="38"/>
        <v/>
      </c>
    </row>
    <row r="1242" spans="2:13" ht="15.75" x14ac:dyDescent="0.25">
      <c r="B1242" s="692"/>
      <c r="C1242" s="117" t="str">
        <f>IF(ISNUMBER(B1242),IFERROR(VLOOKUP(B1242,'נתוני רישום ומצבת'!B:J,3,0),""),"")</f>
        <v/>
      </c>
      <c r="D1242" s="693"/>
      <c r="E1242" s="697"/>
      <c r="F1242" s="695"/>
      <c r="G1242" s="696"/>
      <c r="K1242" s="22" t="str">
        <f t="shared" si="39"/>
        <v/>
      </c>
      <c r="M1242" s="534" t="str">
        <f t="shared" si="38"/>
        <v/>
      </c>
    </row>
    <row r="1243" spans="2:13" ht="15.75" x14ac:dyDescent="0.25">
      <c r="B1243" s="692"/>
      <c r="C1243" s="117" t="str">
        <f>IF(ISNUMBER(B1243),IFERROR(VLOOKUP(B1243,'נתוני רישום ומצבת'!B:J,3,0),""),"")</f>
        <v/>
      </c>
      <c r="D1243" s="693"/>
      <c r="E1243" s="697"/>
      <c r="F1243" s="695"/>
      <c r="G1243" s="696"/>
      <c r="K1243" s="22" t="str">
        <f t="shared" si="39"/>
        <v/>
      </c>
      <c r="M1243" s="534" t="str">
        <f t="shared" si="38"/>
        <v/>
      </c>
    </row>
    <row r="1244" spans="2:13" ht="15.75" x14ac:dyDescent="0.25">
      <c r="B1244" s="692"/>
      <c r="C1244" s="117" t="str">
        <f>IF(ISNUMBER(B1244),IFERROR(VLOOKUP(B1244,'נתוני רישום ומצבת'!B:J,3,0),""),"")</f>
        <v/>
      </c>
      <c r="D1244" s="693"/>
      <c r="E1244" s="697"/>
      <c r="F1244" s="695"/>
      <c r="G1244" s="696"/>
      <c r="K1244" s="22" t="str">
        <f t="shared" si="39"/>
        <v/>
      </c>
      <c r="M1244" s="534" t="str">
        <f t="shared" si="38"/>
        <v/>
      </c>
    </row>
    <row r="1245" spans="2:13" ht="15.75" x14ac:dyDescent="0.25">
      <c r="B1245" s="692"/>
      <c r="C1245" s="117" t="str">
        <f>IF(ISNUMBER(B1245),IFERROR(VLOOKUP(B1245,'נתוני רישום ומצבת'!B:J,3,0),""),"")</f>
        <v/>
      </c>
      <c r="D1245" s="693"/>
      <c r="E1245" s="697"/>
      <c r="F1245" s="695"/>
      <c r="G1245" s="696"/>
      <c r="K1245" s="22" t="str">
        <f t="shared" si="39"/>
        <v/>
      </c>
      <c r="M1245" s="534" t="str">
        <f t="shared" si="38"/>
        <v/>
      </c>
    </row>
    <row r="1246" spans="2:13" ht="15.75" x14ac:dyDescent="0.25">
      <c r="B1246" s="692"/>
      <c r="C1246" s="117" t="str">
        <f>IF(ISNUMBER(B1246),IFERROR(VLOOKUP(B1246,'נתוני רישום ומצבת'!B:J,3,0),""),"")</f>
        <v/>
      </c>
      <c r="D1246" s="693"/>
      <c r="E1246" s="697"/>
      <c r="F1246" s="695"/>
      <c r="G1246" s="696"/>
      <c r="K1246" s="22" t="str">
        <f t="shared" si="39"/>
        <v/>
      </c>
      <c r="M1246" s="534" t="str">
        <f t="shared" si="38"/>
        <v/>
      </c>
    </row>
    <row r="1247" spans="2:13" ht="15.75" x14ac:dyDescent="0.25">
      <c r="B1247" s="692"/>
      <c r="C1247" s="117" t="str">
        <f>IF(ISNUMBER(B1247),IFERROR(VLOOKUP(B1247,'נתוני רישום ומצבת'!B:J,3,0),""),"")</f>
        <v/>
      </c>
      <c r="D1247" s="693"/>
      <c r="E1247" s="697"/>
      <c r="F1247" s="695"/>
      <c r="G1247" s="696"/>
      <c r="K1247" s="22" t="str">
        <f t="shared" si="39"/>
        <v/>
      </c>
      <c r="M1247" s="534" t="str">
        <f t="shared" si="38"/>
        <v/>
      </c>
    </row>
    <row r="1248" spans="2:13" ht="15.75" x14ac:dyDescent="0.25">
      <c r="B1248" s="692"/>
      <c r="C1248" s="117" t="str">
        <f>IF(ISNUMBER(B1248),IFERROR(VLOOKUP(B1248,'נתוני רישום ומצבת'!B:J,3,0),""),"")</f>
        <v/>
      </c>
      <c r="D1248" s="693"/>
      <c r="E1248" s="697"/>
      <c r="F1248" s="695"/>
      <c r="G1248" s="696"/>
      <c r="K1248" s="22" t="str">
        <f t="shared" si="39"/>
        <v/>
      </c>
      <c r="M1248" s="534" t="str">
        <f t="shared" si="38"/>
        <v/>
      </c>
    </row>
    <row r="1249" spans="2:13" ht="15.75" x14ac:dyDescent="0.25">
      <c r="B1249" s="692"/>
      <c r="C1249" s="117" t="str">
        <f>IF(ISNUMBER(B1249),IFERROR(VLOOKUP(B1249,'נתוני רישום ומצבת'!B:J,3,0),""),"")</f>
        <v/>
      </c>
      <c r="D1249" s="693"/>
      <c r="E1249" s="697"/>
      <c r="F1249" s="695"/>
      <c r="G1249" s="696"/>
      <c r="K1249" s="22" t="str">
        <f t="shared" si="39"/>
        <v/>
      </c>
      <c r="M1249" s="534" t="str">
        <f t="shared" si="38"/>
        <v/>
      </c>
    </row>
    <row r="1250" spans="2:13" ht="15.75" x14ac:dyDescent="0.25">
      <c r="B1250" s="692"/>
      <c r="C1250" s="117" t="str">
        <f>IF(ISNUMBER(B1250),IFERROR(VLOOKUP(B1250,'נתוני רישום ומצבת'!B:J,3,0),""),"")</f>
        <v/>
      </c>
      <c r="D1250" s="693"/>
      <c r="E1250" s="697"/>
      <c r="F1250" s="695"/>
      <c r="G1250" s="696"/>
      <c r="K1250" s="22" t="str">
        <f t="shared" si="39"/>
        <v/>
      </c>
      <c r="M1250" s="534" t="str">
        <f t="shared" si="38"/>
        <v/>
      </c>
    </row>
    <row r="1251" spans="2:13" ht="15.75" x14ac:dyDescent="0.25">
      <c r="B1251" s="692"/>
      <c r="C1251" s="117" t="str">
        <f>IF(ISNUMBER(B1251),IFERROR(VLOOKUP(B1251,'נתוני רישום ומצבת'!B:J,3,0),""),"")</f>
        <v/>
      </c>
      <c r="D1251" s="693"/>
      <c r="E1251" s="697"/>
      <c r="F1251" s="695"/>
      <c r="G1251" s="696"/>
      <c r="K1251" s="22" t="str">
        <f t="shared" si="39"/>
        <v/>
      </c>
      <c r="M1251" s="534" t="str">
        <f t="shared" si="38"/>
        <v/>
      </c>
    </row>
    <row r="1252" spans="2:13" ht="15.75" x14ac:dyDescent="0.25">
      <c r="B1252" s="692"/>
      <c r="C1252" s="117" t="str">
        <f>IF(ISNUMBER(B1252),IFERROR(VLOOKUP(B1252,'נתוני רישום ומצבת'!B:J,3,0),""),"")</f>
        <v/>
      </c>
      <c r="D1252" s="693"/>
      <c r="E1252" s="697"/>
      <c r="F1252" s="695"/>
      <c r="G1252" s="696"/>
      <c r="K1252" s="22" t="str">
        <f t="shared" si="39"/>
        <v/>
      </c>
      <c r="M1252" s="534" t="str">
        <f t="shared" si="38"/>
        <v/>
      </c>
    </row>
    <row r="1253" spans="2:13" ht="15.75" x14ac:dyDescent="0.25">
      <c r="B1253" s="692"/>
      <c r="C1253" s="117" t="str">
        <f>IF(ISNUMBER(B1253),IFERROR(VLOOKUP(B1253,'נתוני רישום ומצבת'!B:J,3,0),""),"")</f>
        <v/>
      </c>
      <c r="D1253" s="693"/>
      <c r="E1253" s="697"/>
      <c r="F1253" s="695"/>
      <c r="G1253" s="696"/>
      <c r="K1253" s="22" t="str">
        <f t="shared" si="39"/>
        <v/>
      </c>
      <c r="M1253" s="534" t="str">
        <f t="shared" si="38"/>
        <v/>
      </c>
    </row>
    <row r="1254" spans="2:13" ht="15.75" x14ac:dyDescent="0.25">
      <c r="B1254" s="692"/>
      <c r="C1254" s="117" t="str">
        <f>IF(ISNUMBER(B1254),IFERROR(VLOOKUP(B1254,'נתוני רישום ומצבת'!B:J,3,0),""),"")</f>
        <v/>
      </c>
      <c r="D1254" s="693"/>
      <c r="E1254" s="697"/>
      <c r="F1254" s="695"/>
      <c r="G1254" s="696"/>
      <c r="K1254" s="22" t="str">
        <f t="shared" si="39"/>
        <v/>
      </c>
      <c r="M1254" s="534" t="str">
        <f t="shared" si="38"/>
        <v/>
      </c>
    </row>
    <row r="1255" spans="2:13" ht="15.75" x14ac:dyDescent="0.25">
      <c r="B1255" s="692"/>
      <c r="C1255" s="117" t="str">
        <f>IF(ISNUMBER(B1255),IFERROR(VLOOKUP(B1255,'נתוני רישום ומצבת'!B:J,3,0),""),"")</f>
        <v/>
      </c>
      <c r="D1255" s="693"/>
      <c r="E1255" s="697"/>
      <c r="F1255" s="695"/>
      <c r="G1255" s="696"/>
      <c r="K1255" s="22" t="str">
        <f t="shared" si="39"/>
        <v/>
      </c>
      <c r="M1255" s="534" t="str">
        <f t="shared" si="38"/>
        <v/>
      </c>
    </row>
    <row r="1256" spans="2:13" ht="15.75" x14ac:dyDescent="0.25">
      <c r="B1256" s="692"/>
      <c r="C1256" s="117" t="str">
        <f>IF(ISNUMBER(B1256),IFERROR(VLOOKUP(B1256,'נתוני רישום ומצבת'!B:J,3,0),""),"")</f>
        <v/>
      </c>
      <c r="D1256" s="693"/>
      <c r="E1256" s="697"/>
      <c r="F1256" s="695"/>
      <c r="G1256" s="696"/>
      <c r="K1256" s="22" t="str">
        <f t="shared" si="39"/>
        <v/>
      </c>
      <c r="M1256" s="534" t="str">
        <f t="shared" si="38"/>
        <v/>
      </c>
    </row>
    <row r="1257" spans="2:13" ht="15.75" x14ac:dyDescent="0.25">
      <c r="B1257" s="692"/>
      <c r="C1257" s="117" t="str">
        <f>IF(ISNUMBER(B1257),IFERROR(VLOOKUP(B1257,'נתוני רישום ומצבת'!B:J,3,0),""),"")</f>
        <v/>
      </c>
      <c r="D1257" s="693"/>
      <c r="E1257" s="697"/>
      <c r="F1257" s="695"/>
      <c r="G1257" s="696"/>
      <c r="K1257" s="22" t="str">
        <f t="shared" si="39"/>
        <v/>
      </c>
      <c r="M1257" s="534" t="str">
        <f t="shared" si="38"/>
        <v/>
      </c>
    </row>
    <row r="1258" spans="2:13" ht="15.75" x14ac:dyDescent="0.25">
      <c r="B1258" s="692"/>
      <c r="C1258" s="117" t="str">
        <f>IF(ISNUMBER(B1258),IFERROR(VLOOKUP(B1258,'נתוני רישום ומצבת'!B:J,3,0),""),"")</f>
        <v/>
      </c>
      <c r="D1258" s="693"/>
      <c r="E1258" s="697"/>
      <c r="F1258" s="695"/>
      <c r="G1258" s="696"/>
      <c r="K1258" s="22" t="str">
        <f t="shared" si="39"/>
        <v/>
      </c>
      <c r="M1258" s="534" t="str">
        <f t="shared" si="38"/>
        <v/>
      </c>
    </row>
    <row r="1259" spans="2:13" ht="15.75" x14ac:dyDescent="0.25">
      <c r="B1259" s="692"/>
      <c r="C1259" s="117" t="str">
        <f>IF(ISNUMBER(B1259),IFERROR(VLOOKUP(B1259,'נתוני רישום ומצבת'!B:J,3,0),""),"")</f>
        <v/>
      </c>
      <c r="D1259" s="693"/>
      <c r="E1259" s="697"/>
      <c r="F1259" s="695"/>
      <c r="G1259" s="696"/>
      <c r="K1259" s="22" t="str">
        <f t="shared" si="39"/>
        <v/>
      </c>
      <c r="M1259" s="534" t="str">
        <f t="shared" si="38"/>
        <v/>
      </c>
    </row>
    <row r="1260" spans="2:13" ht="15.75" x14ac:dyDescent="0.25">
      <c r="B1260" s="692"/>
      <c r="C1260" s="117" t="str">
        <f>IF(ISNUMBER(B1260),IFERROR(VLOOKUP(B1260,'נתוני רישום ומצבת'!B:J,3,0),""),"")</f>
        <v/>
      </c>
      <c r="D1260" s="693"/>
      <c r="E1260" s="697"/>
      <c r="F1260" s="695"/>
      <c r="G1260" s="696"/>
      <c r="K1260" s="22" t="str">
        <f t="shared" si="39"/>
        <v/>
      </c>
      <c r="M1260" s="534" t="str">
        <f t="shared" si="38"/>
        <v/>
      </c>
    </row>
    <row r="1261" spans="2:13" ht="15.75" x14ac:dyDescent="0.25">
      <c r="B1261" s="692"/>
      <c r="C1261" s="117" t="str">
        <f>IF(ISNUMBER(B1261),IFERROR(VLOOKUP(B1261,'נתוני רישום ומצבת'!B:J,3,0),""),"")</f>
        <v/>
      </c>
      <c r="D1261" s="693"/>
      <c r="E1261" s="697"/>
      <c r="F1261" s="695"/>
      <c r="G1261" s="696"/>
      <c r="K1261" s="22" t="str">
        <f t="shared" si="39"/>
        <v/>
      </c>
      <c r="M1261" s="534" t="str">
        <f t="shared" si="38"/>
        <v/>
      </c>
    </row>
    <row r="1262" spans="2:13" ht="15.75" x14ac:dyDescent="0.25">
      <c r="B1262" s="692"/>
      <c r="C1262" s="117" t="str">
        <f>IF(ISNUMBER(B1262),IFERROR(VLOOKUP(B1262,'נתוני רישום ומצבת'!B:J,3,0),""),"")</f>
        <v/>
      </c>
      <c r="D1262" s="693"/>
      <c r="E1262" s="697"/>
      <c r="F1262" s="695"/>
      <c r="G1262" s="696"/>
      <c r="K1262" s="22" t="str">
        <f t="shared" si="39"/>
        <v/>
      </c>
      <c r="M1262" s="534" t="str">
        <f t="shared" si="38"/>
        <v/>
      </c>
    </row>
    <row r="1263" spans="2:13" ht="15.75" x14ac:dyDescent="0.25">
      <c r="B1263" s="692"/>
      <c r="C1263" s="117" t="str">
        <f>IF(ISNUMBER(B1263),IFERROR(VLOOKUP(B1263,'נתוני רישום ומצבת'!B:J,3,0),""),"")</f>
        <v/>
      </c>
      <c r="D1263" s="693"/>
      <c r="E1263" s="697"/>
      <c r="F1263" s="695"/>
      <c r="G1263" s="696"/>
      <c r="K1263" s="22" t="str">
        <f t="shared" si="39"/>
        <v/>
      </c>
      <c r="M1263" s="534" t="str">
        <f t="shared" si="38"/>
        <v/>
      </c>
    </row>
    <row r="1264" spans="2:13" ht="15.75" x14ac:dyDescent="0.25">
      <c r="B1264" s="692"/>
      <c r="C1264" s="117" t="str">
        <f>IF(ISNUMBER(B1264),IFERROR(VLOOKUP(B1264,'נתוני רישום ומצבת'!B:J,3,0),""),"")</f>
        <v/>
      </c>
      <c r="D1264" s="693"/>
      <c r="E1264" s="697"/>
      <c r="F1264" s="695"/>
      <c r="G1264" s="696"/>
      <c r="K1264" s="22" t="str">
        <f t="shared" si="39"/>
        <v/>
      </c>
      <c r="M1264" s="534" t="str">
        <f t="shared" si="38"/>
        <v/>
      </c>
    </row>
    <row r="1265" spans="2:13" ht="15.75" x14ac:dyDescent="0.25">
      <c r="B1265" s="692"/>
      <c r="C1265" s="117" t="str">
        <f>IF(ISNUMBER(B1265),IFERROR(VLOOKUP(B1265,'נתוני רישום ומצבת'!B:J,3,0),""),"")</f>
        <v/>
      </c>
      <c r="D1265" s="693"/>
      <c r="E1265" s="697"/>
      <c r="F1265" s="695"/>
      <c r="G1265" s="696"/>
      <c r="K1265" s="22" t="str">
        <f t="shared" si="39"/>
        <v/>
      </c>
      <c r="M1265" s="534" t="str">
        <f t="shared" si="38"/>
        <v/>
      </c>
    </row>
    <row r="1266" spans="2:13" ht="15.75" x14ac:dyDescent="0.25">
      <c r="B1266" s="692"/>
      <c r="C1266" s="117" t="str">
        <f>IF(ISNUMBER(B1266),IFERROR(VLOOKUP(B1266,'נתוני רישום ומצבת'!B:J,3,0),""),"")</f>
        <v/>
      </c>
      <c r="D1266" s="693"/>
      <c r="E1266" s="697"/>
      <c r="F1266" s="695"/>
      <c r="G1266" s="696"/>
      <c r="K1266" s="22" t="str">
        <f t="shared" si="39"/>
        <v/>
      </c>
      <c r="M1266" s="534" t="str">
        <f t="shared" si="38"/>
        <v/>
      </c>
    </row>
    <row r="1267" spans="2:13" ht="15.75" x14ac:dyDescent="0.25">
      <c r="B1267" s="692"/>
      <c r="C1267" s="117" t="str">
        <f>IF(ISNUMBER(B1267),IFERROR(VLOOKUP(B1267,'נתוני רישום ומצבת'!B:J,3,0),""),"")</f>
        <v/>
      </c>
      <c r="D1267" s="693"/>
      <c r="E1267" s="697"/>
      <c r="F1267" s="695"/>
      <c r="G1267" s="696"/>
      <c r="K1267" s="22" t="str">
        <f t="shared" si="39"/>
        <v/>
      </c>
      <c r="M1267" s="534" t="str">
        <f t="shared" si="38"/>
        <v/>
      </c>
    </row>
    <row r="1268" spans="2:13" ht="15.75" x14ac:dyDescent="0.25">
      <c r="B1268" s="692"/>
      <c r="C1268" s="117" t="str">
        <f>IF(ISNUMBER(B1268),IFERROR(VLOOKUP(B1268,'נתוני רישום ומצבת'!B:J,3,0),""),"")</f>
        <v/>
      </c>
      <c r="D1268" s="693"/>
      <c r="E1268" s="697"/>
      <c r="F1268" s="695"/>
      <c r="G1268" s="696"/>
      <c r="K1268" s="22" t="str">
        <f t="shared" si="39"/>
        <v/>
      </c>
      <c r="M1268" s="534" t="str">
        <f t="shared" si="38"/>
        <v/>
      </c>
    </row>
    <row r="1269" spans="2:13" ht="15.75" x14ac:dyDescent="0.25">
      <c r="B1269" s="692"/>
      <c r="C1269" s="117" t="str">
        <f>IF(ISNUMBER(B1269),IFERROR(VLOOKUP(B1269,'נתוני רישום ומצבת'!B:J,3,0),""),"")</f>
        <v/>
      </c>
      <c r="D1269" s="693"/>
      <c r="E1269" s="697"/>
      <c r="F1269" s="695"/>
      <c r="G1269" s="696"/>
      <c r="K1269" s="22" t="str">
        <f t="shared" si="39"/>
        <v/>
      </c>
      <c r="M1269" s="534" t="str">
        <f t="shared" si="38"/>
        <v/>
      </c>
    </row>
    <row r="1270" spans="2:13" ht="15.75" x14ac:dyDescent="0.25">
      <c r="B1270" s="692"/>
      <c r="C1270" s="117" t="str">
        <f>IF(ISNUMBER(B1270),IFERROR(VLOOKUP(B1270,'נתוני רישום ומצבת'!B:J,3,0),""),"")</f>
        <v/>
      </c>
      <c r="D1270" s="693"/>
      <c r="E1270" s="697"/>
      <c r="F1270" s="695"/>
      <c r="G1270" s="696"/>
      <c r="K1270" s="22" t="str">
        <f t="shared" si="39"/>
        <v/>
      </c>
      <c r="M1270" s="534" t="str">
        <f t="shared" si="38"/>
        <v/>
      </c>
    </row>
    <row r="1271" spans="2:13" ht="15.75" x14ac:dyDescent="0.25">
      <c r="B1271" s="692"/>
      <c r="C1271" s="117" t="str">
        <f>IF(ISNUMBER(B1271),IFERROR(VLOOKUP(B1271,'נתוני רישום ומצבת'!B:J,3,0),""),"")</f>
        <v/>
      </c>
      <c r="D1271" s="693"/>
      <c r="E1271" s="697"/>
      <c r="F1271" s="695"/>
      <c r="G1271" s="696"/>
      <c r="K1271" s="22" t="str">
        <f t="shared" si="39"/>
        <v/>
      </c>
      <c r="M1271" s="534" t="str">
        <f t="shared" si="38"/>
        <v/>
      </c>
    </row>
    <row r="1272" spans="2:13" ht="15.75" x14ac:dyDescent="0.25">
      <c r="B1272" s="692"/>
      <c r="C1272" s="117" t="str">
        <f>IF(ISNUMBER(B1272),IFERROR(VLOOKUP(B1272,'נתוני רישום ומצבת'!B:J,3,0),""),"")</f>
        <v/>
      </c>
      <c r="D1272" s="693"/>
      <c r="E1272" s="697"/>
      <c r="F1272" s="695"/>
      <c r="G1272" s="696"/>
      <c r="K1272" s="22" t="str">
        <f t="shared" si="39"/>
        <v/>
      </c>
      <c r="M1272" s="534" t="str">
        <f t="shared" si="38"/>
        <v/>
      </c>
    </row>
    <row r="1273" spans="2:13" ht="15.75" x14ac:dyDescent="0.25">
      <c r="B1273" s="692"/>
      <c r="C1273" s="117" t="str">
        <f>IF(ISNUMBER(B1273),IFERROR(VLOOKUP(B1273,'נתוני רישום ומצבת'!B:J,3,0),""),"")</f>
        <v/>
      </c>
      <c r="D1273" s="693"/>
      <c r="E1273" s="697"/>
      <c r="F1273" s="695"/>
      <c r="G1273" s="696"/>
      <c r="K1273" s="22" t="str">
        <f t="shared" si="39"/>
        <v/>
      </c>
      <c r="M1273" s="534" t="str">
        <f t="shared" si="38"/>
        <v/>
      </c>
    </row>
    <row r="1274" spans="2:13" ht="15.75" x14ac:dyDescent="0.25">
      <c r="B1274" s="692"/>
      <c r="C1274" s="117" t="str">
        <f>IF(ISNUMBER(B1274),IFERROR(VLOOKUP(B1274,'נתוני רישום ומצבת'!B:J,3,0),""),"")</f>
        <v/>
      </c>
      <c r="D1274" s="693"/>
      <c r="E1274" s="697"/>
      <c r="F1274" s="695"/>
      <c r="G1274" s="696"/>
      <c r="K1274" s="22" t="str">
        <f t="shared" si="39"/>
        <v/>
      </c>
      <c r="M1274" s="534" t="str">
        <f t="shared" si="38"/>
        <v/>
      </c>
    </row>
    <row r="1275" spans="2:13" ht="15.75" x14ac:dyDescent="0.25">
      <c r="B1275" s="692"/>
      <c r="C1275" s="117" t="str">
        <f>IF(ISNUMBER(B1275),IFERROR(VLOOKUP(B1275,'נתוני רישום ומצבת'!B:J,3,0),""),"")</f>
        <v/>
      </c>
      <c r="D1275" s="693"/>
      <c r="E1275" s="697"/>
      <c r="F1275" s="695"/>
      <c r="G1275" s="696"/>
      <c r="K1275" s="22" t="str">
        <f t="shared" si="39"/>
        <v/>
      </c>
      <c r="M1275" s="534" t="str">
        <f t="shared" si="38"/>
        <v/>
      </c>
    </row>
    <row r="1276" spans="2:13" ht="15.75" x14ac:dyDescent="0.25">
      <c r="B1276" s="692"/>
      <c r="C1276" s="117" t="str">
        <f>IF(ISNUMBER(B1276),IFERROR(VLOOKUP(B1276,'נתוני רישום ומצבת'!B:J,3,0),""),"")</f>
        <v/>
      </c>
      <c r="D1276" s="693"/>
      <c r="E1276" s="697"/>
      <c r="F1276" s="695"/>
      <c r="G1276" s="696"/>
      <c r="K1276" s="22" t="str">
        <f t="shared" si="39"/>
        <v/>
      </c>
      <c r="M1276" s="534" t="str">
        <f t="shared" si="38"/>
        <v/>
      </c>
    </row>
    <row r="1277" spans="2:13" ht="15.75" x14ac:dyDescent="0.25">
      <c r="B1277" s="692"/>
      <c r="C1277" s="117" t="str">
        <f>IF(ISNUMBER(B1277),IFERROR(VLOOKUP(B1277,'נתוני רישום ומצבת'!B:J,3,0),""),"")</f>
        <v/>
      </c>
      <c r="D1277" s="693"/>
      <c r="E1277" s="697"/>
      <c r="F1277" s="695"/>
      <c r="G1277" s="696"/>
      <c r="K1277" s="22" t="str">
        <f t="shared" si="39"/>
        <v/>
      </c>
      <c r="M1277" s="534" t="str">
        <f t="shared" si="38"/>
        <v/>
      </c>
    </row>
    <row r="1278" spans="2:13" ht="15.75" x14ac:dyDescent="0.25">
      <c r="B1278" s="692"/>
      <c r="C1278" s="117" t="str">
        <f>IF(ISNUMBER(B1278),IFERROR(VLOOKUP(B1278,'נתוני רישום ומצבת'!B:J,3,0),""),"")</f>
        <v/>
      </c>
      <c r="D1278" s="693"/>
      <c r="E1278" s="697"/>
      <c r="F1278" s="695"/>
      <c r="G1278" s="696"/>
      <c r="K1278" s="22" t="str">
        <f t="shared" si="39"/>
        <v/>
      </c>
      <c r="M1278" s="534" t="str">
        <f t="shared" si="38"/>
        <v/>
      </c>
    </row>
    <row r="1279" spans="2:13" ht="15.75" x14ac:dyDescent="0.25">
      <c r="B1279" s="692"/>
      <c r="C1279" s="117" t="str">
        <f>IF(ISNUMBER(B1279),IFERROR(VLOOKUP(B1279,'נתוני רישום ומצבת'!B:J,3,0),""),"")</f>
        <v/>
      </c>
      <c r="D1279" s="693"/>
      <c r="E1279" s="697"/>
      <c r="F1279" s="695"/>
      <c r="G1279" s="696"/>
      <c r="K1279" s="22" t="str">
        <f t="shared" si="39"/>
        <v/>
      </c>
      <c r="M1279" s="534" t="str">
        <f t="shared" si="38"/>
        <v/>
      </c>
    </row>
    <row r="1280" spans="2:13" ht="15.75" x14ac:dyDescent="0.25">
      <c r="B1280" s="692"/>
      <c r="C1280" s="117" t="str">
        <f>IF(ISNUMBER(B1280),IFERROR(VLOOKUP(B1280,'נתוני רישום ומצבת'!B:J,3,0),""),"")</f>
        <v/>
      </c>
      <c r="D1280" s="693"/>
      <c r="E1280" s="697"/>
      <c r="F1280" s="695"/>
      <c r="G1280" s="696"/>
      <c r="K1280" s="22" t="str">
        <f t="shared" si="39"/>
        <v/>
      </c>
      <c r="M1280" s="534" t="str">
        <f t="shared" si="38"/>
        <v/>
      </c>
    </row>
    <row r="1281" spans="2:13" ht="15.75" x14ac:dyDescent="0.25">
      <c r="B1281" s="692"/>
      <c r="C1281" s="117" t="str">
        <f>IF(ISNUMBER(B1281),IFERROR(VLOOKUP(B1281,'נתוני רישום ומצבת'!B:J,3,0),""),"")</f>
        <v/>
      </c>
      <c r="D1281" s="693"/>
      <c r="E1281" s="697"/>
      <c r="F1281" s="695"/>
      <c r="G1281" s="696"/>
      <c r="K1281" s="22" t="str">
        <f t="shared" si="39"/>
        <v/>
      </c>
      <c r="M1281" s="534" t="str">
        <f t="shared" si="38"/>
        <v/>
      </c>
    </row>
    <row r="1282" spans="2:13" ht="15.75" x14ac:dyDescent="0.25">
      <c r="B1282" s="692"/>
      <c r="C1282" s="117" t="str">
        <f>IF(ISNUMBER(B1282),IFERROR(VLOOKUP(B1282,'נתוני רישום ומצבת'!B:J,3,0),""),"")</f>
        <v/>
      </c>
      <c r="D1282" s="693"/>
      <c r="E1282" s="697"/>
      <c r="F1282" s="695"/>
      <c r="G1282" s="696"/>
      <c r="K1282" s="22" t="str">
        <f t="shared" si="39"/>
        <v/>
      </c>
      <c r="M1282" s="534" t="str">
        <f t="shared" si="38"/>
        <v/>
      </c>
    </row>
    <row r="1283" spans="2:13" ht="15.75" x14ac:dyDescent="0.25">
      <c r="B1283" s="692"/>
      <c r="C1283" s="117" t="str">
        <f>IF(ISNUMBER(B1283),IFERROR(VLOOKUP(B1283,'נתוני רישום ומצבת'!B:J,3,0),""),"")</f>
        <v/>
      </c>
      <c r="D1283" s="693"/>
      <c r="E1283" s="697"/>
      <c r="F1283" s="695"/>
      <c r="G1283" s="696"/>
      <c r="K1283" s="22" t="str">
        <f t="shared" si="39"/>
        <v/>
      </c>
      <c r="M1283" s="534" t="str">
        <f t="shared" si="38"/>
        <v/>
      </c>
    </row>
    <row r="1284" spans="2:13" ht="15.75" x14ac:dyDescent="0.25">
      <c r="B1284" s="692"/>
      <c r="C1284" s="117" t="str">
        <f>IF(ISNUMBER(B1284),IFERROR(VLOOKUP(B1284,'נתוני רישום ומצבת'!B:J,3,0),""),"")</f>
        <v/>
      </c>
      <c r="D1284" s="693"/>
      <c r="E1284" s="697"/>
      <c r="F1284" s="695"/>
      <c r="G1284" s="696"/>
      <c r="K1284" s="22" t="str">
        <f t="shared" si="39"/>
        <v/>
      </c>
      <c r="M1284" s="534" t="str">
        <f t="shared" si="38"/>
        <v/>
      </c>
    </row>
    <row r="1285" spans="2:13" ht="15.75" x14ac:dyDescent="0.25">
      <c r="B1285" s="692"/>
      <c r="C1285" s="117" t="str">
        <f>IF(ISNUMBER(B1285),IFERROR(VLOOKUP(B1285,'נתוני רישום ומצבת'!B:J,3,0),""),"")</f>
        <v/>
      </c>
      <c r="D1285" s="693"/>
      <c r="E1285" s="697"/>
      <c r="F1285" s="695"/>
      <c r="G1285" s="696"/>
      <c r="K1285" s="22" t="str">
        <f t="shared" si="39"/>
        <v/>
      </c>
      <c r="M1285" s="534" t="str">
        <f t="shared" si="38"/>
        <v/>
      </c>
    </row>
    <row r="1286" spans="2:13" ht="15.75" x14ac:dyDescent="0.25">
      <c r="B1286" s="692"/>
      <c r="C1286" s="117" t="str">
        <f>IF(ISNUMBER(B1286),IFERROR(VLOOKUP(B1286,'נתוני רישום ומצבת'!B:J,3,0),""),"")</f>
        <v/>
      </c>
      <c r="D1286" s="693"/>
      <c r="E1286" s="697"/>
      <c r="F1286" s="695"/>
      <c r="G1286" s="696"/>
      <c r="K1286" s="22" t="str">
        <f t="shared" si="39"/>
        <v/>
      </c>
      <c r="M1286" s="534" t="str">
        <f t="shared" si="38"/>
        <v/>
      </c>
    </row>
    <row r="1287" spans="2:13" ht="15.75" x14ac:dyDescent="0.25">
      <c r="B1287" s="692"/>
      <c r="C1287" s="117" t="str">
        <f>IF(ISNUMBER(B1287),IFERROR(VLOOKUP(B1287,'נתוני רישום ומצבת'!B:J,3,0),""),"")</f>
        <v/>
      </c>
      <c r="D1287" s="693"/>
      <c r="E1287" s="697"/>
      <c r="F1287" s="695"/>
      <c r="G1287" s="696"/>
      <c r="K1287" s="22" t="str">
        <f t="shared" si="39"/>
        <v/>
      </c>
      <c r="M1287" s="534" t="str">
        <f t="shared" si="38"/>
        <v/>
      </c>
    </row>
    <row r="1288" spans="2:13" ht="15.75" x14ac:dyDescent="0.25">
      <c r="B1288" s="692"/>
      <c r="C1288" s="117" t="str">
        <f>IF(ISNUMBER(B1288),IFERROR(VLOOKUP(B1288,'נתוני רישום ומצבת'!B:J,3,0),""),"")</f>
        <v/>
      </c>
      <c r="D1288" s="693"/>
      <c r="E1288" s="697"/>
      <c r="F1288" s="695"/>
      <c r="G1288" s="696"/>
      <c r="K1288" s="22" t="str">
        <f t="shared" si="39"/>
        <v/>
      </c>
      <c r="M1288" s="534" t="str">
        <f t="shared" si="38"/>
        <v/>
      </c>
    </row>
    <row r="1289" spans="2:13" ht="15.75" x14ac:dyDescent="0.25">
      <c r="B1289" s="692"/>
      <c r="C1289" s="117" t="str">
        <f>IF(ISNUMBER(B1289),IFERROR(VLOOKUP(B1289,'נתוני רישום ומצבת'!B:J,3,0),""),"")</f>
        <v/>
      </c>
      <c r="D1289" s="693"/>
      <c r="E1289" s="697"/>
      <c r="F1289" s="695"/>
      <c r="G1289" s="696"/>
      <c r="K1289" s="22" t="str">
        <f t="shared" si="39"/>
        <v/>
      </c>
      <c r="M1289" s="534" t="str">
        <f t="shared" si="38"/>
        <v/>
      </c>
    </row>
    <row r="1290" spans="2:13" ht="15.75" x14ac:dyDescent="0.25">
      <c r="B1290" s="692"/>
      <c r="C1290" s="117" t="str">
        <f>IF(ISNUMBER(B1290),IFERROR(VLOOKUP(B1290,'נתוני רישום ומצבת'!B:J,3,0),""),"")</f>
        <v/>
      </c>
      <c r="D1290" s="693"/>
      <c r="E1290" s="697"/>
      <c r="F1290" s="695"/>
      <c r="G1290" s="696"/>
      <c r="K1290" s="22" t="str">
        <f t="shared" si="39"/>
        <v/>
      </c>
      <c r="M1290" s="534" t="str">
        <f t="shared" si="38"/>
        <v/>
      </c>
    </row>
    <row r="1291" spans="2:13" ht="15.75" x14ac:dyDescent="0.25">
      <c r="B1291" s="692"/>
      <c r="C1291" s="117" t="str">
        <f>IF(ISNUMBER(B1291),IFERROR(VLOOKUP(B1291,'נתוני רישום ומצבת'!B:J,3,0),""),"")</f>
        <v/>
      </c>
      <c r="D1291" s="693"/>
      <c r="E1291" s="697"/>
      <c r="F1291" s="695"/>
      <c r="G1291" s="696"/>
      <c r="K1291" s="22" t="str">
        <f t="shared" si="39"/>
        <v/>
      </c>
      <c r="M1291" s="534" t="str">
        <f t="shared" si="38"/>
        <v/>
      </c>
    </row>
    <row r="1292" spans="2:13" ht="15.75" x14ac:dyDescent="0.25">
      <c r="B1292" s="692"/>
      <c r="C1292" s="117" t="str">
        <f>IF(ISNUMBER(B1292),IFERROR(VLOOKUP(B1292,'נתוני רישום ומצבת'!B:J,3,0),""),"")</f>
        <v/>
      </c>
      <c r="D1292" s="693"/>
      <c r="E1292" s="697"/>
      <c r="F1292" s="695"/>
      <c r="G1292" s="696"/>
      <c r="K1292" s="22" t="str">
        <f t="shared" si="39"/>
        <v/>
      </c>
      <c r="M1292" s="534" t="str">
        <f t="shared" si="38"/>
        <v/>
      </c>
    </row>
    <row r="1293" spans="2:13" ht="15.75" x14ac:dyDescent="0.25">
      <c r="B1293" s="692"/>
      <c r="C1293" s="117" t="str">
        <f>IF(ISNUMBER(B1293),IFERROR(VLOOKUP(B1293,'נתוני רישום ומצבת'!B:J,3,0),""),"")</f>
        <v/>
      </c>
      <c r="D1293" s="693"/>
      <c r="E1293" s="697"/>
      <c r="F1293" s="695"/>
      <c r="G1293" s="696"/>
      <c r="K1293" s="22" t="str">
        <f t="shared" si="39"/>
        <v/>
      </c>
      <c r="M1293" s="534" t="str">
        <f t="shared" si="38"/>
        <v/>
      </c>
    </row>
    <row r="1294" spans="2:13" ht="15.75" x14ac:dyDescent="0.25">
      <c r="B1294" s="692"/>
      <c r="C1294" s="117" t="str">
        <f>IF(ISNUMBER(B1294),IFERROR(VLOOKUP(B1294,'נתוני רישום ומצבת'!B:J,3,0),""),"")</f>
        <v/>
      </c>
      <c r="D1294" s="693"/>
      <c r="E1294" s="697"/>
      <c r="F1294" s="695"/>
      <c r="G1294" s="696"/>
      <c r="K1294" s="22" t="str">
        <f t="shared" si="39"/>
        <v/>
      </c>
      <c r="M1294" s="534" t="str">
        <f t="shared" si="38"/>
        <v/>
      </c>
    </row>
    <row r="1295" spans="2:13" ht="15.75" x14ac:dyDescent="0.25">
      <c r="B1295" s="692"/>
      <c r="C1295" s="117" t="str">
        <f>IF(ISNUMBER(B1295),IFERROR(VLOOKUP(B1295,'נתוני רישום ומצבת'!B:J,3,0),""),"")</f>
        <v/>
      </c>
      <c r="D1295" s="693"/>
      <c r="E1295" s="697"/>
      <c r="F1295" s="695"/>
      <c r="G1295" s="696"/>
      <c r="K1295" s="22" t="str">
        <f t="shared" si="39"/>
        <v/>
      </c>
      <c r="M1295" s="534" t="str">
        <f t="shared" si="38"/>
        <v/>
      </c>
    </row>
    <row r="1296" spans="2:13" ht="15.75" x14ac:dyDescent="0.25">
      <c r="B1296" s="692"/>
      <c r="C1296" s="117" t="str">
        <f>IF(ISNUMBER(B1296),IFERROR(VLOOKUP(B1296,'נתוני רישום ומצבת'!B:J,3,0),""),"")</f>
        <v/>
      </c>
      <c r="D1296" s="693"/>
      <c r="E1296" s="697"/>
      <c r="F1296" s="695"/>
      <c r="G1296" s="696"/>
      <c r="K1296" s="22" t="str">
        <f t="shared" si="39"/>
        <v/>
      </c>
      <c r="M1296" s="534" t="str">
        <f t="shared" si="38"/>
        <v/>
      </c>
    </row>
    <row r="1297" spans="2:13" ht="15.75" x14ac:dyDescent="0.25">
      <c r="B1297" s="692"/>
      <c r="C1297" s="117" t="str">
        <f>IF(ISNUMBER(B1297),IFERROR(VLOOKUP(B1297,'נתוני רישום ומצבת'!B:J,3,0),""),"")</f>
        <v/>
      </c>
      <c r="D1297" s="693"/>
      <c r="E1297" s="697"/>
      <c r="F1297" s="695"/>
      <c r="G1297" s="696"/>
      <c r="K1297" s="22" t="str">
        <f t="shared" si="39"/>
        <v/>
      </c>
      <c r="M1297" s="534" t="str">
        <f t="shared" ref="M1297:M1360" si="40">TEXT(LEFT(D1297,2),0)</f>
        <v/>
      </c>
    </row>
    <row r="1298" spans="2:13" ht="15.75" x14ac:dyDescent="0.25">
      <c r="B1298" s="692"/>
      <c r="C1298" s="117" t="str">
        <f>IF(ISNUMBER(B1298),IFERROR(VLOOKUP(B1298,'נתוני רישום ומצבת'!B:J,3,0),""),"")</f>
        <v/>
      </c>
      <c r="D1298" s="693"/>
      <c r="E1298" s="697"/>
      <c r="F1298" s="695"/>
      <c r="G1298" s="696"/>
      <c r="K1298" s="22" t="str">
        <f t="shared" si="39"/>
        <v/>
      </c>
      <c r="M1298" s="534" t="str">
        <f t="shared" si="40"/>
        <v/>
      </c>
    </row>
    <row r="1299" spans="2:13" ht="15.75" x14ac:dyDescent="0.25">
      <c r="B1299" s="692"/>
      <c r="C1299" s="117" t="str">
        <f>IF(ISNUMBER(B1299),IFERROR(VLOOKUP(B1299,'נתוני רישום ומצבת'!B:J,3,0),""),"")</f>
        <v/>
      </c>
      <c r="D1299" s="693"/>
      <c r="E1299" s="697"/>
      <c r="F1299" s="695"/>
      <c r="G1299" s="696"/>
      <c r="K1299" s="22" t="str">
        <f t="shared" si="39"/>
        <v/>
      </c>
      <c r="M1299" s="534" t="str">
        <f t="shared" si="40"/>
        <v/>
      </c>
    </row>
    <row r="1300" spans="2:13" ht="15.75" x14ac:dyDescent="0.25">
      <c r="B1300" s="692"/>
      <c r="C1300" s="117" t="str">
        <f>IF(ISNUMBER(B1300),IFERROR(VLOOKUP(B1300,'נתוני רישום ומצבת'!B:J,3,0),""),"")</f>
        <v/>
      </c>
      <c r="D1300" s="693"/>
      <c r="E1300" s="697"/>
      <c r="F1300" s="695"/>
      <c r="G1300" s="696"/>
      <c r="K1300" s="22" t="str">
        <f t="shared" si="39"/>
        <v/>
      </c>
      <c r="M1300" s="534" t="str">
        <f t="shared" si="40"/>
        <v/>
      </c>
    </row>
    <row r="1301" spans="2:13" ht="15.75" x14ac:dyDescent="0.25">
      <c r="B1301" s="692"/>
      <c r="C1301" s="117" t="str">
        <f>IF(ISNUMBER(B1301),IFERROR(VLOOKUP(B1301,'נתוני רישום ומצבת'!B:J,3,0),""),"")</f>
        <v/>
      </c>
      <c r="D1301" s="693"/>
      <c r="E1301" s="697"/>
      <c r="F1301" s="695"/>
      <c r="G1301" s="696"/>
      <c r="K1301" s="22" t="str">
        <f t="shared" ref="K1301:K1364" si="41">IF(C1288&lt;5,IF(D1301=$F$8,-E1301," "),"")</f>
        <v/>
      </c>
      <c r="M1301" s="534" t="str">
        <f t="shared" si="40"/>
        <v/>
      </c>
    </row>
    <row r="1302" spans="2:13" ht="15.75" x14ac:dyDescent="0.25">
      <c r="B1302" s="692"/>
      <c r="C1302" s="117" t="str">
        <f>IF(ISNUMBER(B1302),IFERROR(VLOOKUP(B1302,'נתוני רישום ומצבת'!B:J,3,0),""),"")</f>
        <v/>
      </c>
      <c r="D1302" s="693"/>
      <c r="E1302" s="697"/>
      <c r="F1302" s="695"/>
      <c r="G1302" s="696"/>
      <c r="K1302" s="22" t="str">
        <f t="shared" si="41"/>
        <v/>
      </c>
      <c r="M1302" s="534" t="str">
        <f t="shared" si="40"/>
        <v/>
      </c>
    </row>
    <row r="1303" spans="2:13" ht="15.75" x14ac:dyDescent="0.25">
      <c r="B1303" s="692"/>
      <c r="C1303" s="117" t="str">
        <f>IF(ISNUMBER(B1303),IFERROR(VLOOKUP(B1303,'נתוני רישום ומצבת'!B:J,3,0),""),"")</f>
        <v/>
      </c>
      <c r="D1303" s="693"/>
      <c r="E1303" s="697"/>
      <c r="F1303" s="695"/>
      <c r="G1303" s="696"/>
      <c r="K1303" s="22" t="str">
        <f t="shared" si="41"/>
        <v/>
      </c>
      <c r="M1303" s="534" t="str">
        <f t="shared" si="40"/>
        <v/>
      </c>
    </row>
    <row r="1304" spans="2:13" ht="15.75" x14ac:dyDescent="0.25">
      <c r="B1304" s="692"/>
      <c r="C1304" s="117" t="str">
        <f>IF(ISNUMBER(B1304),IFERROR(VLOOKUP(B1304,'נתוני רישום ומצבת'!B:J,3,0),""),"")</f>
        <v/>
      </c>
      <c r="D1304" s="693"/>
      <c r="E1304" s="697"/>
      <c r="F1304" s="695"/>
      <c r="G1304" s="696"/>
      <c r="K1304" s="22" t="str">
        <f t="shared" si="41"/>
        <v/>
      </c>
      <c r="M1304" s="534" t="str">
        <f t="shared" si="40"/>
        <v/>
      </c>
    </row>
    <row r="1305" spans="2:13" ht="15.75" x14ac:dyDescent="0.25">
      <c r="B1305" s="692"/>
      <c r="C1305" s="117" t="str">
        <f>IF(ISNUMBER(B1305),IFERROR(VLOOKUP(B1305,'נתוני רישום ומצבת'!B:J,3,0),""),"")</f>
        <v/>
      </c>
      <c r="D1305" s="693"/>
      <c r="E1305" s="697"/>
      <c r="F1305" s="695"/>
      <c r="G1305" s="696"/>
      <c r="K1305" s="22" t="str">
        <f t="shared" si="41"/>
        <v/>
      </c>
      <c r="M1305" s="534" t="str">
        <f t="shared" si="40"/>
        <v/>
      </c>
    </row>
    <row r="1306" spans="2:13" ht="15.75" x14ac:dyDescent="0.25">
      <c r="B1306" s="692"/>
      <c r="C1306" s="117" t="str">
        <f>IF(ISNUMBER(B1306),IFERROR(VLOOKUP(B1306,'נתוני רישום ומצבת'!B:J,3,0),""),"")</f>
        <v/>
      </c>
      <c r="D1306" s="693"/>
      <c r="E1306" s="697"/>
      <c r="F1306" s="695"/>
      <c r="G1306" s="696"/>
      <c r="K1306" s="22" t="str">
        <f t="shared" si="41"/>
        <v/>
      </c>
      <c r="M1306" s="534" t="str">
        <f t="shared" si="40"/>
        <v/>
      </c>
    </row>
    <row r="1307" spans="2:13" ht="15.75" x14ac:dyDescent="0.25">
      <c r="B1307" s="692"/>
      <c r="C1307" s="117" t="str">
        <f>IF(ISNUMBER(B1307),IFERROR(VLOOKUP(B1307,'נתוני רישום ומצבת'!B:J,3,0),""),"")</f>
        <v/>
      </c>
      <c r="D1307" s="693"/>
      <c r="E1307" s="697"/>
      <c r="F1307" s="695"/>
      <c r="G1307" s="696"/>
      <c r="K1307" s="22" t="str">
        <f t="shared" si="41"/>
        <v/>
      </c>
      <c r="M1307" s="534" t="str">
        <f t="shared" si="40"/>
        <v/>
      </c>
    </row>
    <row r="1308" spans="2:13" ht="15.75" x14ac:dyDescent="0.25">
      <c r="B1308" s="692"/>
      <c r="C1308" s="117" t="str">
        <f>IF(ISNUMBER(B1308),IFERROR(VLOOKUP(B1308,'נתוני רישום ומצבת'!B:J,3,0),""),"")</f>
        <v/>
      </c>
      <c r="D1308" s="693"/>
      <c r="E1308" s="697"/>
      <c r="F1308" s="695"/>
      <c r="G1308" s="696"/>
      <c r="K1308" s="22" t="str">
        <f t="shared" si="41"/>
        <v/>
      </c>
      <c r="M1308" s="534" t="str">
        <f t="shared" si="40"/>
        <v/>
      </c>
    </row>
    <row r="1309" spans="2:13" ht="15.75" x14ac:dyDescent="0.25">
      <c r="B1309" s="692"/>
      <c r="C1309" s="117" t="str">
        <f>IF(ISNUMBER(B1309),IFERROR(VLOOKUP(B1309,'נתוני רישום ומצבת'!B:J,3,0),""),"")</f>
        <v/>
      </c>
      <c r="D1309" s="693"/>
      <c r="E1309" s="697"/>
      <c r="F1309" s="695"/>
      <c r="G1309" s="696"/>
      <c r="K1309" s="22" t="str">
        <f t="shared" si="41"/>
        <v/>
      </c>
      <c r="M1309" s="534" t="str">
        <f t="shared" si="40"/>
        <v/>
      </c>
    </row>
    <row r="1310" spans="2:13" ht="15.75" x14ac:dyDescent="0.25">
      <c r="B1310" s="692"/>
      <c r="C1310" s="117" t="str">
        <f>IF(ISNUMBER(B1310),IFERROR(VLOOKUP(B1310,'נתוני רישום ומצבת'!B:J,3,0),""),"")</f>
        <v/>
      </c>
      <c r="D1310" s="693"/>
      <c r="E1310" s="697"/>
      <c r="F1310" s="695"/>
      <c r="G1310" s="696"/>
      <c r="K1310" s="22" t="str">
        <f t="shared" si="41"/>
        <v/>
      </c>
      <c r="M1310" s="534" t="str">
        <f t="shared" si="40"/>
        <v/>
      </c>
    </row>
    <row r="1311" spans="2:13" ht="15.75" x14ac:dyDescent="0.25">
      <c r="B1311" s="692"/>
      <c r="C1311" s="117" t="str">
        <f>IF(ISNUMBER(B1311),IFERROR(VLOOKUP(B1311,'נתוני רישום ומצבת'!B:J,3,0),""),"")</f>
        <v/>
      </c>
      <c r="D1311" s="693"/>
      <c r="E1311" s="697"/>
      <c r="F1311" s="695"/>
      <c r="G1311" s="696"/>
      <c r="K1311" s="22" t="str">
        <f t="shared" si="41"/>
        <v/>
      </c>
      <c r="M1311" s="534" t="str">
        <f t="shared" si="40"/>
        <v/>
      </c>
    </row>
    <row r="1312" spans="2:13" ht="15.75" x14ac:dyDescent="0.25">
      <c r="B1312" s="692"/>
      <c r="C1312" s="117" t="str">
        <f>IF(ISNUMBER(B1312),IFERROR(VLOOKUP(B1312,'נתוני רישום ומצבת'!B:J,3,0),""),"")</f>
        <v/>
      </c>
      <c r="D1312" s="693"/>
      <c r="E1312" s="697"/>
      <c r="F1312" s="695"/>
      <c r="G1312" s="696"/>
      <c r="K1312" s="22" t="str">
        <f t="shared" si="41"/>
        <v/>
      </c>
      <c r="M1312" s="534" t="str">
        <f t="shared" si="40"/>
        <v/>
      </c>
    </row>
    <row r="1313" spans="2:13" ht="15.75" x14ac:dyDescent="0.25">
      <c r="B1313" s="692"/>
      <c r="C1313" s="117" t="str">
        <f>IF(ISNUMBER(B1313),IFERROR(VLOOKUP(B1313,'נתוני רישום ומצבת'!B:J,3,0),""),"")</f>
        <v/>
      </c>
      <c r="D1313" s="693"/>
      <c r="E1313" s="697"/>
      <c r="F1313" s="695"/>
      <c r="G1313" s="696"/>
      <c r="K1313" s="22" t="str">
        <f t="shared" si="41"/>
        <v/>
      </c>
      <c r="M1313" s="534" t="str">
        <f t="shared" si="40"/>
        <v/>
      </c>
    </row>
    <row r="1314" spans="2:13" ht="15.75" x14ac:dyDescent="0.25">
      <c r="B1314" s="692"/>
      <c r="C1314" s="117" t="str">
        <f>IF(ISNUMBER(B1314),IFERROR(VLOOKUP(B1314,'נתוני רישום ומצבת'!B:J,3,0),""),"")</f>
        <v/>
      </c>
      <c r="D1314" s="693"/>
      <c r="E1314" s="697"/>
      <c r="F1314" s="695"/>
      <c r="G1314" s="696"/>
      <c r="K1314" s="22" t="str">
        <f t="shared" si="41"/>
        <v/>
      </c>
      <c r="M1314" s="534" t="str">
        <f t="shared" si="40"/>
        <v/>
      </c>
    </row>
    <row r="1315" spans="2:13" ht="15.75" x14ac:dyDescent="0.25">
      <c r="B1315" s="692"/>
      <c r="C1315" s="117" t="str">
        <f>IF(ISNUMBER(B1315),IFERROR(VLOOKUP(B1315,'נתוני רישום ומצבת'!B:J,3,0),""),"")</f>
        <v/>
      </c>
      <c r="D1315" s="693"/>
      <c r="E1315" s="697"/>
      <c r="F1315" s="695"/>
      <c r="G1315" s="696"/>
      <c r="K1315" s="22" t="str">
        <f t="shared" si="41"/>
        <v/>
      </c>
      <c r="M1315" s="534" t="str">
        <f t="shared" si="40"/>
        <v/>
      </c>
    </row>
    <row r="1316" spans="2:13" ht="15.75" x14ac:dyDescent="0.25">
      <c r="B1316" s="692"/>
      <c r="C1316" s="117" t="str">
        <f>IF(ISNUMBER(B1316),IFERROR(VLOOKUP(B1316,'נתוני רישום ומצבת'!B:J,3,0),""),"")</f>
        <v/>
      </c>
      <c r="D1316" s="693"/>
      <c r="E1316" s="697"/>
      <c r="F1316" s="695"/>
      <c r="G1316" s="696"/>
      <c r="K1316" s="22" t="str">
        <f t="shared" si="41"/>
        <v/>
      </c>
      <c r="M1316" s="534" t="str">
        <f t="shared" si="40"/>
        <v/>
      </c>
    </row>
    <row r="1317" spans="2:13" ht="15.75" x14ac:dyDescent="0.25">
      <c r="B1317" s="692"/>
      <c r="C1317" s="117" t="str">
        <f>IF(ISNUMBER(B1317),IFERROR(VLOOKUP(B1317,'נתוני רישום ומצבת'!B:J,3,0),""),"")</f>
        <v/>
      </c>
      <c r="D1317" s="693"/>
      <c r="E1317" s="697"/>
      <c r="F1317" s="695"/>
      <c r="G1317" s="696"/>
      <c r="K1317" s="22" t="str">
        <f t="shared" si="41"/>
        <v/>
      </c>
      <c r="M1317" s="534" t="str">
        <f t="shared" si="40"/>
        <v/>
      </c>
    </row>
    <row r="1318" spans="2:13" ht="15.75" x14ac:dyDescent="0.25">
      <c r="B1318" s="692"/>
      <c r="C1318" s="117" t="str">
        <f>IF(ISNUMBER(B1318),IFERROR(VLOOKUP(B1318,'נתוני רישום ומצבת'!B:J,3,0),""),"")</f>
        <v/>
      </c>
      <c r="D1318" s="693"/>
      <c r="E1318" s="697"/>
      <c r="F1318" s="695"/>
      <c r="G1318" s="696"/>
      <c r="K1318" s="22" t="str">
        <f t="shared" si="41"/>
        <v/>
      </c>
      <c r="M1318" s="534" t="str">
        <f t="shared" si="40"/>
        <v/>
      </c>
    </row>
    <row r="1319" spans="2:13" ht="15.75" x14ac:dyDescent="0.25">
      <c r="B1319" s="692"/>
      <c r="C1319" s="117" t="str">
        <f>IF(ISNUMBER(B1319),IFERROR(VLOOKUP(B1319,'נתוני רישום ומצבת'!B:J,3,0),""),"")</f>
        <v/>
      </c>
      <c r="D1319" s="693"/>
      <c r="E1319" s="697"/>
      <c r="F1319" s="695"/>
      <c r="G1319" s="696"/>
      <c r="K1319" s="22" t="str">
        <f t="shared" si="41"/>
        <v/>
      </c>
      <c r="M1319" s="534" t="str">
        <f t="shared" si="40"/>
        <v/>
      </c>
    </row>
    <row r="1320" spans="2:13" ht="15.75" x14ac:dyDescent="0.25">
      <c r="B1320" s="692"/>
      <c r="C1320" s="117" t="str">
        <f>IF(ISNUMBER(B1320),IFERROR(VLOOKUP(B1320,'נתוני רישום ומצבת'!B:J,3,0),""),"")</f>
        <v/>
      </c>
      <c r="D1320" s="693"/>
      <c r="E1320" s="697"/>
      <c r="F1320" s="695"/>
      <c r="G1320" s="696"/>
      <c r="K1320" s="22" t="str">
        <f t="shared" si="41"/>
        <v/>
      </c>
      <c r="M1320" s="534" t="str">
        <f t="shared" si="40"/>
        <v/>
      </c>
    </row>
    <row r="1321" spans="2:13" ht="15.75" x14ac:dyDescent="0.25">
      <c r="B1321" s="692"/>
      <c r="C1321" s="117" t="str">
        <f>IF(ISNUMBER(B1321),IFERROR(VLOOKUP(B1321,'נתוני רישום ומצבת'!B:J,3,0),""),"")</f>
        <v/>
      </c>
      <c r="D1321" s="693"/>
      <c r="E1321" s="697"/>
      <c r="F1321" s="695"/>
      <c r="G1321" s="696"/>
      <c r="K1321" s="22" t="str">
        <f t="shared" si="41"/>
        <v/>
      </c>
      <c r="M1321" s="534" t="str">
        <f t="shared" si="40"/>
        <v/>
      </c>
    </row>
    <row r="1322" spans="2:13" ht="15.75" x14ac:dyDescent="0.25">
      <c r="B1322" s="692"/>
      <c r="C1322" s="117" t="str">
        <f>IF(ISNUMBER(B1322),IFERROR(VLOOKUP(B1322,'נתוני רישום ומצבת'!B:J,3,0),""),"")</f>
        <v/>
      </c>
      <c r="D1322" s="693"/>
      <c r="E1322" s="697"/>
      <c r="F1322" s="695"/>
      <c r="G1322" s="696"/>
      <c r="K1322" s="22" t="str">
        <f t="shared" si="41"/>
        <v/>
      </c>
      <c r="M1322" s="534" t="str">
        <f t="shared" si="40"/>
        <v/>
      </c>
    </row>
    <row r="1323" spans="2:13" ht="15.75" x14ac:dyDescent="0.25">
      <c r="B1323" s="692"/>
      <c r="C1323" s="117" t="str">
        <f>IF(ISNUMBER(B1323),IFERROR(VLOOKUP(B1323,'נתוני רישום ומצבת'!B:J,3,0),""),"")</f>
        <v/>
      </c>
      <c r="D1323" s="693"/>
      <c r="E1323" s="697"/>
      <c r="F1323" s="695"/>
      <c r="G1323" s="696"/>
      <c r="K1323" s="22" t="str">
        <f t="shared" si="41"/>
        <v/>
      </c>
      <c r="M1323" s="534" t="str">
        <f t="shared" si="40"/>
        <v/>
      </c>
    </row>
    <row r="1324" spans="2:13" ht="15.75" x14ac:dyDescent="0.25">
      <c r="B1324" s="692"/>
      <c r="C1324" s="117" t="str">
        <f>IF(ISNUMBER(B1324),IFERROR(VLOOKUP(B1324,'נתוני רישום ומצבת'!B:J,3,0),""),"")</f>
        <v/>
      </c>
      <c r="D1324" s="693"/>
      <c r="E1324" s="697"/>
      <c r="F1324" s="695"/>
      <c r="G1324" s="696"/>
      <c r="K1324" s="22" t="str">
        <f t="shared" si="41"/>
        <v/>
      </c>
      <c r="M1324" s="534" t="str">
        <f t="shared" si="40"/>
        <v/>
      </c>
    </row>
    <row r="1325" spans="2:13" ht="15.75" x14ac:dyDescent="0.25">
      <c r="B1325" s="692"/>
      <c r="C1325" s="117" t="str">
        <f>IF(ISNUMBER(B1325),IFERROR(VLOOKUP(B1325,'נתוני רישום ומצבת'!B:J,3,0),""),"")</f>
        <v/>
      </c>
      <c r="D1325" s="693"/>
      <c r="E1325" s="697"/>
      <c r="F1325" s="695"/>
      <c r="G1325" s="696"/>
      <c r="K1325" s="22" t="str">
        <f t="shared" si="41"/>
        <v/>
      </c>
      <c r="M1325" s="534" t="str">
        <f t="shared" si="40"/>
        <v/>
      </c>
    </row>
    <row r="1326" spans="2:13" ht="15.75" x14ac:dyDescent="0.25">
      <c r="B1326" s="692"/>
      <c r="C1326" s="117" t="str">
        <f>IF(ISNUMBER(B1326),IFERROR(VLOOKUP(B1326,'נתוני רישום ומצבת'!B:J,3,0),""),"")</f>
        <v/>
      </c>
      <c r="D1326" s="693"/>
      <c r="E1326" s="697"/>
      <c r="F1326" s="695"/>
      <c r="G1326" s="696"/>
      <c r="K1326" s="22" t="str">
        <f t="shared" si="41"/>
        <v/>
      </c>
      <c r="M1326" s="534" t="str">
        <f t="shared" si="40"/>
        <v/>
      </c>
    </row>
    <row r="1327" spans="2:13" ht="15.75" x14ac:dyDescent="0.25">
      <c r="B1327" s="692"/>
      <c r="C1327" s="117" t="str">
        <f>IF(ISNUMBER(B1327),IFERROR(VLOOKUP(B1327,'נתוני רישום ומצבת'!B:J,3,0),""),"")</f>
        <v/>
      </c>
      <c r="D1327" s="693"/>
      <c r="E1327" s="697"/>
      <c r="F1327" s="695"/>
      <c r="G1327" s="696"/>
      <c r="K1327" s="22" t="str">
        <f t="shared" si="41"/>
        <v/>
      </c>
      <c r="M1327" s="534" t="str">
        <f t="shared" si="40"/>
        <v/>
      </c>
    </row>
    <row r="1328" spans="2:13" ht="15.75" x14ac:dyDescent="0.25">
      <c r="B1328" s="692"/>
      <c r="C1328" s="117" t="str">
        <f>IF(ISNUMBER(B1328),IFERROR(VLOOKUP(B1328,'נתוני רישום ומצבת'!B:J,3,0),""),"")</f>
        <v/>
      </c>
      <c r="D1328" s="693"/>
      <c r="E1328" s="697"/>
      <c r="F1328" s="695"/>
      <c r="G1328" s="696"/>
      <c r="K1328" s="22" t="str">
        <f t="shared" si="41"/>
        <v/>
      </c>
      <c r="M1328" s="534" t="str">
        <f t="shared" si="40"/>
        <v/>
      </c>
    </row>
    <row r="1329" spans="2:13" ht="15.75" x14ac:dyDescent="0.25">
      <c r="B1329" s="692"/>
      <c r="C1329" s="117" t="str">
        <f>IF(ISNUMBER(B1329),IFERROR(VLOOKUP(B1329,'נתוני רישום ומצבת'!B:J,3,0),""),"")</f>
        <v/>
      </c>
      <c r="D1329" s="693"/>
      <c r="E1329" s="697"/>
      <c r="F1329" s="695"/>
      <c r="G1329" s="696"/>
      <c r="K1329" s="22" t="str">
        <f t="shared" si="41"/>
        <v/>
      </c>
      <c r="M1329" s="534" t="str">
        <f t="shared" si="40"/>
        <v/>
      </c>
    </row>
    <row r="1330" spans="2:13" ht="15.75" x14ac:dyDescent="0.25">
      <c r="B1330" s="692"/>
      <c r="C1330" s="117" t="str">
        <f>IF(ISNUMBER(B1330),IFERROR(VLOOKUP(B1330,'נתוני רישום ומצבת'!B:J,3,0),""),"")</f>
        <v/>
      </c>
      <c r="D1330" s="693"/>
      <c r="E1330" s="697"/>
      <c r="F1330" s="695"/>
      <c r="G1330" s="696"/>
      <c r="K1330" s="22" t="str">
        <f t="shared" si="41"/>
        <v/>
      </c>
      <c r="M1330" s="534" t="str">
        <f t="shared" si="40"/>
        <v/>
      </c>
    </row>
    <row r="1331" spans="2:13" ht="15.75" x14ac:dyDescent="0.25">
      <c r="B1331" s="692"/>
      <c r="C1331" s="117" t="str">
        <f>IF(ISNUMBER(B1331),IFERROR(VLOOKUP(B1331,'נתוני רישום ומצבת'!B:J,3,0),""),"")</f>
        <v/>
      </c>
      <c r="D1331" s="693"/>
      <c r="E1331" s="697"/>
      <c r="F1331" s="695"/>
      <c r="G1331" s="696"/>
      <c r="K1331" s="22" t="str">
        <f t="shared" si="41"/>
        <v/>
      </c>
      <c r="M1331" s="534" t="str">
        <f t="shared" si="40"/>
        <v/>
      </c>
    </row>
    <row r="1332" spans="2:13" ht="15.75" x14ac:dyDescent="0.25">
      <c r="B1332" s="692"/>
      <c r="C1332" s="117" t="str">
        <f>IF(ISNUMBER(B1332),IFERROR(VLOOKUP(B1332,'נתוני רישום ומצבת'!B:J,3,0),""),"")</f>
        <v/>
      </c>
      <c r="D1332" s="693"/>
      <c r="E1332" s="697"/>
      <c r="F1332" s="695"/>
      <c r="G1332" s="696"/>
      <c r="K1332" s="22" t="str">
        <f t="shared" si="41"/>
        <v/>
      </c>
      <c r="M1332" s="534" t="str">
        <f t="shared" si="40"/>
        <v/>
      </c>
    </row>
    <row r="1333" spans="2:13" ht="15.75" x14ac:dyDescent="0.25">
      <c r="B1333" s="692"/>
      <c r="C1333" s="117" t="str">
        <f>IF(ISNUMBER(B1333),IFERROR(VLOOKUP(B1333,'נתוני רישום ומצבת'!B:J,3,0),""),"")</f>
        <v/>
      </c>
      <c r="D1333" s="693"/>
      <c r="E1333" s="697"/>
      <c r="F1333" s="695"/>
      <c r="G1333" s="696"/>
      <c r="K1333" s="22" t="str">
        <f t="shared" si="41"/>
        <v/>
      </c>
      <c r="M1333" s="534" t="str">
        <f t="shared" si="40"/>
        <v/>
      </c>
    </row>
    <row r="1334" spans="2:13" ht="15.75" x14ac:dyDescent="0.25">
      <c r="B1334" s="692"/>
      <c r="C1334" s="117" t="str">
        <f>IF(ISNUMBER(B1334),IFERROR(VLOOKUP(B1334,'נתוני רישום ומצבת'!B:J,3,0),""),"")</f>
        <v/>
      </c>
      <c r="D1334" s="693"/>
      <c r="E1334" s="697"/>
      <c r="F1334" s="695"/>
      <c r="G1334" s="696"/>
      <c r="K1334" s="22" t="str">
        <f t="shared" si="41"/>
        <v/>
      </c>
      <c r="M1334" s="534" t="str">
        <f t="shared" si="40"/>
        <v/>
      </c>
    </row>
    <row r="1335" spans="2:13" ht="15.75" x14ac:dyDescent="0.25">
      <c r="B1335" s="692"/>
      <c r="C1335" s="117" t="str">
        <f>IF(ISNUMBER(B1335),IFERROR(VLOOKUP(B1335,'נתוני רישום ומצבת'!B:J,3,0),""),"")</f>
        <v/>
      </c>
      <c r="D1335" s="693"/>
      <c r="E1335" s="697"/>
      <c r="F1335" s="695"/>
      <c r="G1335" s="696"/>
      <c r="K1335" s="22" t="str">
        <f t="shared" si="41"/>
        <v/>
      </c>
      <c r="M1335" s="534" t="str">
        <f t="shared" si="40"/>
        <v/>
      </c>
    </row>
    <row r="1336" spans="2:13" ht="15.75" x14ac:dyDescent="0.25">
      <c r="B1336" s="692"/>
      <c r="C1336" s="117" t="str">
        <f>IF(ISNUMBER(B1336),IFERROR(VLOOKUP(B1336,'נתוני רישום ומצבת'!B:J,3,0),""),"")</f>
        <v/>
      </c>
      <c r="D1336" s="693"/>
      <c r="E1336" s="697"/>
      <c r="F1336" s="695"/>
      <c r="G1336" s="696"/>
      <c r="K1336" s="22" t="str">
        <f t="shared" si="41"/>
        <v/>
      </c>
      <c r="M1336" s="534" t="str">
        <f t="shared" si="40"/>
        <v/>
      </c>
    </row>
    <row r="1337" spans="2:13" ht="15.75" x14ac:dyDescent="0.25">
      <c r="B1337" s="692"/>
      <c r="C1337" s="117" t="str">
        <f>IF(ISNUMBER(B1337),IFERROR(VLOOKUP(B1337,'נתוני רישום ומצבת'!B:J,3,0),""),"")</f>
        <v/>
      </c>
      <c r="D1337" s="693"/>
      <c r="E1337" s="697"/>
      <c r="F1337" s="695"/>
      <c r="G1337" s="696"/>
      <c r="K1337" s="22" t="str">
        <f t="shared" si="41"/>
        <v/>
      </c>
      <c r="M1337" s="534" t="str">
        <f t="shared" si="40"/>
        <v/>
      </c>
    </row>
    <row r="1338" spans="2:13" ht="15.75" x14ac:dyDescent="0.25">
      <c r="B1338" s="692"/>
      <c r="C1338" s="117" t="str">
        <f>IF(ISNUMBER(B1338),IFERROR(VLOOKUP(B1338,'נתוני רישום ומצבת'!B:J,3,0),""),"")</f>
        <v/>
      </c>
      <c r="D1338" s="693"/>
      <c r="E1338" s="697"/>
      <c r="F1338" s="695"/>
      <c r="G1338" s="696"/>
      <c r="K1338" s="22" t="str">
        <f t="shared" si="41"/>
        <v/>
      </c>
      <c r="M1338" s="534" t="str">
        <f t="shared" si="40"/>
        <v/>
      </c>
    </row>
    <row r="1339" spans="2:13" ht="15.75" x14ac:dyDescent="0.25">
      <c r="B1339" s="692"/>
      <c r="C1339" s="117" t="str">
        <f>IF(ISNUMBER(B1339),IFERROR(VLOOKUP(B1339,'נתוני רישום ומצבת'!B:J,3,0),""),"")</f>
        <v/>
      </c>
      <c r="D1339" s="693"/>
      <c r="E1339" s="697"/>
      <c r="F1339" s="695"/>
      <c r="G1339" s="696"/>
      <c r="K1339" s="22" t="str">
        <f t="shared" si="41"/>
        <v/>
      </c>
      <c r="M1339" s="534" t="str">
        <f t="shared" si="40"/>
        <v/>
      </c>
    </row>
    <row r="1340" spans="2:13" ht="15.75" x14ac:dyDescent="0.25">
      <c r="B1340" s="692"/>
      <c r="C1340" s="117" t="str">
        <f>IF(ISNUMBER(B1340),IFERROR(VLOOKUP(B1340,'נתוני רישום ומצבת'!B:J,3,0),""),"")</f>
        <v/>
      </c>
      <c r="D1340" s="693"/>
      <c r="E1340" s="697"/>
      <c r="F1340" s="695"/>
      <c r="G1340" s="696"/>
      <c r="K1340" s="22" t="str">
        <f t="shared" si="41"/>
        <v/>
      </c>
      <c r="M1340" s="534" t="str">
        <f t="shared" si="40"/>
        <v/>
      </c>
    </row>
    <row r="1341" spans="2:13" ht="15.75" x14ac:dyDescent="0.25">
      <c r="B1341" s="692"/>
      <c r="C1341" s="117" t="str">
        <f>IF(ISNUMBER(B1341),IFERROR(VLOOKUP(B1341,'נתוני רישום ומצבת'!B:J,3,0),""),"")</f>
        <v/>
      </c>
      <c r="D1341" s="693"/>
      <c r="E1341" s="697"/>
      <c r="F1341" s="695"/>
      <c r="G1341" s="696"/>
      <c r="K1341" s="22" t="str">
        <f t="shared" si="41"/>
        <v/>
      </c>
      <c r="M1341" s="534" t="str">
        <f t="shared" si="40"/>
        <v/>
      </c>
    </row>
    <row r="1342" spans="2:13" ht="15.75" x14ac:dyDescent="0.25">
      <c r="B1342" s="692"/>
      <c r="C1342" s="117" t="str">
        <f>IF(ISNUMBER(B1342),IFERROR(VLOOKUP(B1342,'נתוני רישום ומצבת'!B:J,3,0),""),"")</f>
        <v/>
      </c>
      <c r="D1342" s="693"/>
      <c r="E1342" s="697"/>
      <c r="F1342" s="695"/>
      <c r="G1342" s="696"/>
      <c r="K1342" s="22" t="str">
        <f t="shared" si="41"/>
        <v/>
      </c>
      <c r="M1342" s="534" t="str">
        <f t="shared" si="40"/>
        <v/>
      </c>
    </row>
    <row r="1343" spans="2:13" ht="15.75" x14ac:dyDescent="0.25">
      <c r="B1343" s="692"/>
      <c r="C1343" s="117" t="str">
        <f>IF(ISNUMBER(B1343),IFERROR(VLOOKUP(B1343,'נתוני רישום ומצבת'!B:J,3,0),""),"")</f>
        <v/>
      </c>
      <c r="D1343" s="693"/>
      <c r="E1343" s="697"/>
      <c r="F1343" s="695"/>
      <c r="G1343" s="696"/>
      <c r="K1343" s="22" t="str">
        <f t="shared" si="41"/>
        <v/>
      </c>
      <c r="M1343" s="534" t="str">
        <f t="shared" si="40"/>
        <v/>
      </c>
    </row>
    <row r="1344" spans="2:13" ht="15.75" x14ac:dyDescent="0.25">
      <c r="B1344" s="692"/>
      <c r="C1344" s="117" t="str">
        <f>IF(ISNUMBER(B1344),IFERROR(VLOOKUP(B1344,'נתוני רישום ומצבת'!B:J,3,0),""),"")</f>
        <v/>
      </c>
      <c r="D1344" s="693"/>
      <c r="E1344" s="697"/>
      <c r="F1344" s="695"/>
      <c r="G1344" s="696"/>
      <c r="K1344" s="22" t="str">
        <f t="shared" si="41"/>
        <v/>
      </c>
      <c r="M1344" s="534" t="str">
        <f t="shared" si="40"/>
        <v/>
      </c>
    </row>
    <row r="1345" spans="2:13" ht="15.75" x14ac:dyDescent="0.25">
      <c r="B1345" s="692"/>
      <c r="C1345" s="117" t="str">
        <f>IF(ISNUMBER(B1345),IFERROR(VLOOKUP(B1345,'נתוני רישום ומצבת'!B:J,3,0),""),"")</f>
        <v/>
      </c>
      <c r="D1345" s="693"/>
      <c r="E1345" s="697"/>
      <c r="F1345" s="695"/>
      <c r="G1345" s="696"/>
      <c r="K1345" s="22" t="str">
        <f t="shared" si="41"/>
        <v/>
      </c>
      <c r="M1345" s="534" t="str">
        <f t="shared" si="40"/>
        <v/>
      </c>
    </row>
    <row r="1346" spans="2:13" ht="15.75" x14ac:dyDescent="0.25">
      <c r="B1346" s="692"/>
      <c r="C1346" s="117" t="str">
        <f>IF(ISNUMBER(B1346),IFERROR(VLOOKUP(B1346,'נתוני רישום ומצבת'!B:J,3,0),""),"")</f>
        <v/>
      </c>
      <c r="D1346" s="693"/>
      <c r="E1346" s="697"/>
      <c r="F1346" s="695"/>
      <c r="G1346" s="696"/>
      <c r="K1346" s="22" t="str">
        <f t="shared" si="41"/>
        <v/>
      </c>
      <c r="M1346" s="534" t="str">
        <f t="shared" si="40"/>
        <v/>
      </c>
    </row>
    <row r="1347" spans="2:13" ht="15.75" x14ac:dyDescent="0.25">
      <c r="B1347" s="692"/>
      <c r="C1347" s="117" t="str">
        <f>IF(ISNUMBER(B1347),IFERROR(VLOOKUP(B1347,'נתוני רישום ומצבת'!B:J,3,0),""),"")</f>
        <v/>
      </c>
      <c r="D1347" s="693"/>
      <c r="E1347" s="697"/>
      <c r="F1347" s="695"/>
      <c r="G1347" s="696"/>
      <c r="K1347" s="22" t="str">
        <f t="shared" si="41"/>
        <v/>
      </c>
      <c r="M1347" s="534" t="str">
        <f t="shared" si="40"/>
        <v/>
      </c>
    </row>
    <row r="1348" spans="2:13" ht="15.75" x14ac:dyDescent="0.25">
      <c r="B1348" s="692"/>
      <c r="C1348" s="117" t="str">
        <f>IF(ISNUMBER(B1348),IFERROR(VLOOKUP(B1348,'נתוני רישום ומצבת'!B:J,3,0),""),"")</f>
        <v/>
      </c>
      <c r="D1348" s="693"/>
      <c r="E1348" s="697"/>
      <c r="F1348" s="695"/>
      <c r="G1348" s="696"/>
      <c r="K1348" s="22" t="str">
        <f t="shared" si="41"/>
        <v/>
      </c>
      <c r="M1348" s="534" t="str">
        <f t="shared" si="40"/>
        <v/>
      </c>
    </row>
    <row r="1349" spans="2:13" ht="15.75" x14ac:dyDescent="0.25">
      <c r="B1349" s="692"/>
      <c r="C1349" s="117" t="str">
        <f>IF(ISNUMBER(B1349),IFERROR(VLOOKUP(B1349,'נתוני רישום ומצבת'!B:J,3,0),""),"")</f>
        <v/>
      </c>
      <c r="D1349" s="693"/>
      <c r="E1349" s="697"/>
      <c r="F1349" s="695"/>
      <c r="G1349" s="696"/>
      <c r="K1349" s="22" t="str">
        <f t="shared" si="41"/>
        <v/>
      </c>
      <c r="M1349" s="534" t="str">
        <f t="shared" si="40"/>
        <v/>
      </c>
    </row>
    <row r="1350" spans="2:13" ht="15.75" x14ac:dyDescent="0.25">
      <c r="B1350" s="692"/>
      <c r="C1350" s="117" t="str">
        <f>IF(ISNUMBER(B1350),IFERROR(VLOOKUP(B1350,'נתוני רישום ומצבת'!B:J,3,0),""),"")</f>
        <v/>
      </c>
      <c r="D1350" s="693"/>
      <c r="E1350" s="697"/>
      <c r="F1350" s="695"/>
      <c r="G1350" s="696"/>
      <c r="K1350" s="22" t="str">
        <f t="shared" si="41"/>
        <v/>
      </c>
      <c r="M1350" s="534" t="str">
        <f t="shared" si="40"/>
        <v/>
      </c>
    </row>
    <row r="1351" spans="2:13" ht="15.75" x14ac:dyDescent="0.25">
      <c r="B1351" s="692"/>
      <c r="C1351" s="117" t="str">
        <f>IF(ISNUMBER(B1351),IFERROR(VLOOKUP(B1351,'נתוני רישום ומצבת'!B:J,3,0),""),"")</f>
        <v/>
      </c>
      <c r="D1351" s="693"/>
      <c r="E1351" s="697"/>
      <c r="F1351" s="695"/>
      <c r="G1351" s="696"/>
      <c r="K1351" s="22" t="str">
        <f t="shared" si="41"/>
        <v/>
      </c>
      <c r="M1351" s="534" t="str">
        <f t="shared" si="40"/>
        <v/>
      </c>
    </row>
    <row r="1352" spans="2:13" ht="15.75" x14ac:dyDescent="0.25">
      <c r="B1352" s="692"/>
      <c r="C1352" s="117" t="str">
        <f>IF(ISNUMBER(B1352),IFERROR(VLOOKUP(B1352,'נתוני רישום ומצבת'!B:J,3,0),""),"")</f>
        <v/>
      </c>
      <c r="D1352" s="693"/>
      <c r="E1352" s="697"/>
      <c r="F1352" s="695"/>
      <c r="G1352" s="696"/>
      <c r="K1352" s="22" t="str">
        <f t="shared" si="41"/>
        <v/>
      </c>
      <c r="M1352" s="534" t="str">
        <f t="shared" si="40"/>
        <v/>
      </c>
    </row>
    <row r="1353" spans="2:13" ht="15.75" x14ac:dyDescent="0.25">
      <c r="B1353" s="692"/>
      <c r="C1353" s="117" t="str">
        <f>IF(ISNUMBER(B1353),IFERROR(VLOOKUP(B1353,'נתוני רישום ומצבת'!B:J,3,0),""),"")</f>
        <v/>
      </c>
      <c r="D1353" s="693"/>
      <c r="E1353" s="697"/>
      <c r="F1353" s="695"/>
      <c r="G1353" s="696"/>
      <c r="K1353" s="22" t="str">
        <f t="shared" si="41"/>
        <v/>
      </c>
      <c r="M1353" s="534" t="str">
        <f t="shared" si="40"/>
        <v/>
      </c>
    </row>
    <row r="1354" spans="2:13" ht="15.75" x14ac:dyDescent="0.25">
      <c r="B1354" s="692"/>
      <c r="C1354" s="117" t="str">
        <f>IF(ISNUMBER(B1354),IFERROR(VLOOKUP(B1354,'נתוני רישום ומצבת'!B:J,3,0),""),"")</f>
        <v/>
      </c>
      <c r="D1354" s="693"/>
      <c r="E1354" s="697"/>
      <c r="F1354" s="695"/>
      <c r="G1354" s="696"/>
      <c r="K1354" s="22" t="str">
        <f t="shared" si="41"/>
        <v/>
      </c>
      <c r="M1354" s="534" t="str">
        <f t="shared" si="40"/>
        <v/>
      </c>
    </row>
    <row r="1355" spans="2:13" ht="15.75" x14ac:dyDescent="0.25">
      <c r="B1355" s="692"/>
      <c r="C1355" s="117" t="str">
        <f>IF(ISNUMBER(B1355),IFERROR(VLOOKUP(B1355,'נתוני רישום ומצבת'!B:J,3,0),""),"")</f>
        <v/>
      </c>
      <c r="D1355" s="693"/>
      <c r="E1355" s="697"/>
      <c r="F1355" s="695"/>
      <c r="G1355" s="696"/>
      <c r="K1355" s="22" t="str">
        <f t="shared" si="41"/>
        <v/>
      </c>
      <c r="M1355" s="534" t="str">
        <f t="shared" si="40"/>
        <v/>
      </c>
    </row>
    <row r="1356" spans="2:13" ht="15.75" x14ac:dyDescent="0.25">
      <c r="B1356" s="692"/>
      <c r="C1356" s="117" t="str">
        <f>IF(ISNUMBER(B1356),IFERROR(VLOOKUP(B1356,'נתוני רישום ומצבת'!B:J,3,0),""),"")</f>
        <v/>
      </c>
      <c r="D1356" s="693"/>
      <c r="E1356" s="697"/>
      <c r="F1356" s="695"/>
      <c r="G1356" s="696"/>
      <c r="K1356" s="22" t="str">
        <f t="shared" si="41"/>
        <v/>
      </c>
      <c r="M1356" s="534" t="str">
        <f t="shared" si="40"/>
        <v/>
      </c>
    </row>
    <row r="1357" spans="2:13" ht="15.75" x14ac:dyDescent="0.25">
      <c r="B1357" s="692"/>
      <c r="C1357" s="117" t="str">
        <f>IF(ISNUMBER(B1357),IFERROR(VLOOKUP(B1357,'נתוני רישום ומצבת'!B:J,3,0),""),"")</f>
        <v/>
      </c>
      <c r="D1357" s="693"/>
      <c r="E1357" s="697"/>
      <c r="F1357" s="695"/>
      <c r="G1357" s="696"/>
      <c r="K1357" s="22" t="str">
        <f t="shared" si="41"/>
        <v/>
      </c>
      <c r="M1357" s="534" t="str">
        <f t="shared" si="40"/>
        <v/>
      </c>
    </row>
    <row r="1358" spans="2:13" ht="15.75" x14ac:dyDescent="0.25">
      <c r="B1358" s="692"/>
      <c r="C1358" s="117" t="str">
        <f>IF(ISNUMBER(B1358),IFERROR(VLOOKUP(B1358,'נתוני רישום ומצבת'!B:J,3,0),""),"")</f>
        <v/>
      </c>
      <c r="D1358" s="693"/>
      <c r="E1358" s="697"/>
      <c r="F1358" s="695"/>
      <c r="G1358" s="696"/>
      <c r="K1358" s="22" t="str">
        <f t="shared" si="41"/>
        <v/>
      </c>
      <c r="M1358" s="534" t="str">
        <f t="shared" si="40"/>
        <v/>
      </c>
    </row>
    <row r="1359" spans="2:13" ht="15.75" x14ac:dyDescent="0.25">
      <c r="B1359" s="692"/>
      <c r="C1359" s="117" t="str">
        <f>IF(ISNUMBER(B1359),IFERROR(VLOOKUP(B1359,'נתוני רישום ומצבת'!B:J,3,0),""),"")</f>
        <v/>
      </c>
      <c r="D1359" s="693"/>
      <c r="E1359" s="697"/>
      <c r="F1359" s="695"/>
      <c r="G1359" s="696"/>
      <c r="K1359" s="22" t="str">
        <f t="shared" si="41"/>
        <v/>
      </c>
      <c r="M1359" s="534" t="str">
        <f t="shared" si="40"/>
        <v/>
      </c>
    </row>
    <row r="1360" spans="2:13" ht="15.75" x14ac:dyDescent="0.25">
      <c r="B1360" s="692"/>
      <c r="C1360" s="117" t="str">
        <f>IF(ISNUMBER(B1360),IFERROR(VLOOKUP(B1360,'נתוני רישום ומצבת'!B:J,3,0),""),"")</f>
        <v/>
      </c>
      <c r="D1360" s="693"/>
      <c r="E1360" s="697"/>
      <c r="F1360" s="695"/>
      <c r="G1360" s="696"/>
      <c r="K1360" s="22" t="str">
        <f t="shared" si="41"/>
        <v/>
      </c>
      <c r="M1360" s="534" t="str">
        <f t="shared" si="40"/>
        <v/>
      </c>
    </row>
    <row r="1361" spans="2:13" ht="15.75" x14ac:dyDescent="0.25">
      <c r="B1361" s="692"/>
      <c r="C1361" s="117" t="str">
        <f>IF(ISNUMBER(B1361),IFERROR(VLOOKUP(B1361,'נתוני רישום ומצבת'!B:J,3,0),""),"")</f>
        <v/>
      </c>
      <c r="D1361" s="693"/>
      <c r="E1361" s="697"/>
      <c r="F1361" s="695"/>
      <c r="G1361" s="696"/>
      <c r="K1361" s="22" t="str">
        <f t="shared" si="41"/>
        <v/>
      </c>
      <c r="M1361" s="534" t="str">
        <f t="shared" ref="M1361:M1424" si="42">TEXT(LEFT(D1361,2),0)</f>
        <v/>
      </c>
    </row>
    <row r="1362" spans="2:13" ht="15.75" x14ac:dyDescent="0.25">
      <c r="B1362" s="692"/>
      <c r="C1362" s="117" t="str">
        <f>IF(ISNUMBER(B1362),IFERROR(VLOOKUP(B1362,'נתוני רישום ומצבת'!B:J,3,0),""),"")</f>
        <v/>
      </c>
      <c r="D1362" s="693"/>
      <c r="E1362" s="697"/>
      <c r="F1362" s="695"/>
      <c r="G1362" s="696"/>
      <c r="K1362" s="22" t="str">
        <f t="shared" si="41"/>
        <v/>
      </c>
      <c r="M1362" s="534" t="str">
        <f t="shared" si="42"/>
        <v/>
      </c>
    </row>
    <row r="1363" spans="2:13" ht="15.75" x14ac:dyDescent="0.25">
      <c r="B1363" s="692"/>
      <c r="C1363" s="117" t="str">
        <f>IF(ISNUMBER(B1363),IFERROR(VLOOKUP(B1363,'נתוני רישום ומצבת'!B:J,3,0),""),"")</f>
        <v/>
      </c>
      <c r="D1363" s="693"/>
      <c r="E1363" s="697"/>
      <c r="F1363" s="695"/>
      <c r="G1363" s="696"/>
      <c r="K1363" s="22" t="str">
        <f t="shared" si="41"/>
        <v/>
      </c>
      <c r="M1363" s="534" t="str">
        <f t="shared" si="42"/>
        <v/>
      </c>
    </row>
    <row r="1364" spans="2:13" ht="15.75" x14ac:dyDescent="0.25">
      <c r="B1364" s="692"/>
      <c r="C1364" s="117" t="str">
        <f>IF(ISNUMBER(B1364),IFERROR(VLOOKUP(B1364,'נתוני רישום ומצבת'!B:J,3,0),""),"")</f>
        <v/>
      </c>
      <c r="D1364" s="693"/>
      <c r="E1364" s="697"/>
      <c r="F1364" s="695"/>
      <c r="G1364" s="696"/>
      <c r="K1364" s="22" t="str">
        <f t="shared" si="41"/>
        <v/>
      </c>
      <c r="M1364" s="534" t="str">
        <f t="shared" si="42"/>
        <v/>
      </c>
    </row>
    <row r="1365" spans="2:13" ht="15.75" x14ac:dyDescent="0.25">
      <c r="B1365" s="692"/>
      <c r="C1365" s="117" t="str">
        <f>IF(ISNUMBER(B1365),IFERROR(VLOOKUP(B1365,'נתוני רישום ומצבת'!B:J,3,0),""),"")</f>
        <v/>
      </c>
      <c r="D1365" s="693"/>
      <c r="E1365" s="697"/>
      <c r="F1365" s="695"/>
      <c r="G1365" s="696"/>
      <c r="K1365" s="22" t="str">
        <f t="shared" ref="K1365:K1428" si="43">IF(C1352&lt;5,IF(D1365=$F$8,-E1365," "),"")</f>
        <v/>
      </c>
      <c r="M1365" s="534" t="str">
        <f t="shared" si="42"/>
        <v/>
      </c>
    </row>
    <row r="1366" spans="2:13" ht="15.75" x14ac:dyDescent="0.25">
      <c r="B1366" s="692"/>
      <c r="C1366" s="117" t="str">
        <f>IF(ISNUMBER(B1366),IFERROR(VLOOKUP(B1366,'נתוני רישום ומצבת'!B:J,3,0),""),"")</f>
        <v/>
      </c>
      <c r="D1366" s="693"/>
      <c r="E1366" s="697"/>
      <c r="F1366" s="695"/>
      <c r="G1366" s="696"/>
      <c r="K1366" s="22" t="str">
        <f t="shared" si="43"/>
        <v/>
      </c>
      <c r="M1366" s="534" t="str">
        <f t="shared" si="42"/>
        <v/>
      </c>
    </row>
    <row r="1367" spans="2:13" ht="15.75" x14ac:dyDescent="0.25">
      <c r="B1367" s="692"/>
      <c r="C1367" s="117" t="str">
        <f>IF(ISNUMBER(B1367),IFERROR(VLOOKUP(B1367,'נתוני רישום ומצבת'!B:J,3,0),""),"")</f>
        <v/>
      </c>
      <c r="D1367" s="693"/>
      <c r="E1367" s="697"/>
      <c r="F1367" s="695"/>
      <c r="G1367" s="696"/>
      <c r="K1367" s="22" t="str">
        <f t="shared" si="43"/>
        <v/>
      </c>
      <c r="M1367" s="534" t="str">
        <f t="shared" si="42"/>
        <v/>
      </c>
    </row>
    <row r="1368" spans="2:13" ht="15.75" x14ac:dyDescent="0.25">
      <c r="B1368" s="692"/>
      <c r="C1368" s="117" t="str">
        <f>IF(ISNUMBER(B1368),IFERROR(VLOOKUP(B1368,'נתוני רישום ומצבת'!B:J,3,0),""),"")</f>
        <v/>
      </c>
      <c r="D1368" s="693"/>
      <c r="E1368" s="697"/>
      <c r="F1368" s="695"/>
      <c r="G1368" s="696"/>
      <c r="K1368" s="22" t="str">
        <f t="shared" si="43"/>
        <v/>
      </c>
      <c r="M1368" s="534" t="str">
        <f t="shared" si="42"/>
        <v/>
      </c>
    </row>
    <row r="1369" spans="2:13" ht="15.75" x14ac:dyDescent="0.25">
      <c r="B1369" s="692"/>
      <c r="C1369" s="117" t="str">
        <f>IF(ISNUMBER(B1369),IFERROR(VLOOKUP(B1369,'נתוני רישום ומצבת'!B:J,3,0),""),"")</f>
        <v/>
      </c>
      <c r="D1369" s="693"/>
      <c r="E1369" s="697"/>
      <c r="F1369" s="695"/>
      <c r="G1369" s="696"/>
      <c r="K1369" s="22" t="str">
        <f t="shared" si="43"/>
        <v/>
      </c>
      <c r="M1369" s="534" t="str">
        <f t="shared" si="42"/>
        <v/>
      </c>
    </row>
    <row r="1370" spans="2:13" ht="15.75" x14ac:dyDescent="0.25">
      <c r="B1370" s="692"/>
      <c r="C1370" s="117" t="str">
        <f>IF(ISNUMBER(B1370),IFERROR(VLOOKUP(B1370,'נתוני רישום ומצבת'!B:J,3,0),""),"")</f>
        <v/>
      </c>
      <c r="D1370" s="693"/>
      <c r="E1370" s="697"/>
      <c r="F1370" s="695"/>
      <c r="G1370" s="696"/>
      <c r="K1370" s="22" t="str">
        <f t="shared" si="43"/>
        <v/>
      </c>
      <c r="M1370" s="534" t="str">
        <f t="shared" si="42"/>
        <v/>
      </c>
    </row>
    <row r="1371" spans="2:13" ht="15.75" x14ac:dyDescent="0.25">
      <c r="B1371" s="692"/>
      <c r="C1371" s="117" t="str">
        <f>IF(ISNUMBER(B1371),IFERROR(VLOOKUP(B1371,'נתוני רישום ומצבת'!B:J,3,0),""),"")</f>
        <v/>
      </c>
      <c r="D1371" s="693"/>
      <c r="E1371" s="697"/>
      <c r="F1371" s="695"/>
      <c r="G1371" s="696"/>
      <c r="K1371" s="22" t="str">
        <f t="shared" si="43"/>
        <v/>
      </c>
      <c r="M1371" s="534" t="str">
        <f t="shared" si="42"/>
        <v/>
      </c>
    </row>
    <row r="1372" spans="2:13" ht="15.75" x14ac:dyDescent="0.25">
      <c r="B1372" s="692"/>
      <c r="C1372" s="117" t="str">
        <f>IF(ISNUMBER(B1372),IFERROR(VLOOKUP(B1372,'נתוני רישום ומצבת'!B:J,3,0),""),"")</f>
        <v/>
      </c>
      <c r="D1372" s="693"/>
      <c r="E1372" s="697"/>
      <c r="F1372" s="695"/>
      <c r="G1372" s="696"/>
      <c r="K1372" s="22" t="str">
        <f t="shared" si="43"/>
        <v/>
      </c>
      <c r="M1372" s="534" t="str">
        <f t="shared" si="42"/>
        <v/>
      </c>
    </row>
    <row r="1373" spans="2:13" ht="15.75" x14ac:dyDescent="0.25">
      <c r="B1373" s="692"/>
      <c r="C1373" s="117" t="str">
        <f>IF(ISNUMBER(B1373),IFERROR(VLOOKUP(B1373,'נתוני רישום ומצבת'!B:J,3,0),""),"")</f>
        <v/>
      </c>
      <c r="D1373" s="693"/>
      <c r="E1373" s="697"/>
      <c r="F1373" s="695"/>
      <c r="G1373" s="696"/>
      <c r="K1373" s="22" t="str">
        <f t="shared" si="43"/>
        <v/>
      </c>
      <c r="M1373" s="534" t="str">
        <f t="shared" si="42"/>
        <v/>
      </c>
    </row>
    <row r="1374" spans="2:13" ht="15.75" x14ac:dyDescent="0.25">
      <c r="B1374" s="692"/>
      <c r="C1374" s="117" t="str">
        <f>IF(ISNUMBER(B1374),IFERROR(VLOOKUP(B1374,'נתוני רישום ומצבת'!B:J,3,0),""),"")</f>
        <v/>
      </c>
      <c r="D1374" s="693"/>
      <c r="E1374" s="697"/>
      <c r="F1374" s="695"/>
      <c r="G1374" s="696"/>
      <c r="K1374" s="22" t="str">
        <f t="shared" si="43"/>
        <v/>
      </c>
      <c r="M1374" s="534" t="str">
        <f t="shared" si="42"/>
        <v/>
      </c>
    </row>
    <row r="1375" spans="2:13" ht="15.75" x14ac:dyDescent="0.25">
      <c r="B1375" s="692"/>
      <c r="C1375" s="117" t="str">
        <f>IF(ISNUMBER(B1375),IFERROR(VLOOKUP(B1375,'נתוני רישום ומצבת'!B:J,3,0),""),"")</f>
        <v/>
      </c>
      <c r="D1375" s="693"/>
      <c r="E1375" s="697"/>
      <c r="F1375" s="695"/>
      <c r="G1375" s="696"/>
      <c r="K1375" s="22" t="str">
        <f t="shared" si="43"/>
        <v/>
      </c>
      <c r="M1375" s="534" t="str">
        <f t="shared" si="42"/>
        <v/>
      </c>
    </row>
    <row r="1376" spans="2:13" ht="15.75" x14ac:dyDescent="0.25">
      <c r="B1376" s="692"/>
      <c r="C1376" s="117" t="str">
        <f>IF(ISNUMBER(B1376),IFERROR(VLOOKUP(B1376,'נתוני רישום ומצבת'!B:J,3,0),""),"")</f>
        <v/>
      </c>
      <c r="D1376" s="693"/>
      <c r="E1376" s="697"/>
      <c r="F1376" s="695"/>
      <c r="G1376" s="696"/>
      <c r="K1376" s="22" t="str">
        <f t="shared" si="43"/>
        <v/>
      </c>
      <c r="M1376" s="534" t="str">
        <f t="shared" si="42"/>
        <v/>
      </c>
    </row>
    <row r="1377" spans="2:13" ht="15.75" x14ac:dyDescent="0.25">
      <c r="B1377" s="692"/>
      <c r="C1377" s="117" t="str">
        <f>IF(ISNUMBER(B1377),IFERROR(VLOOKUP(B1377,'נתוני רישום ומצבת'!B:J,3,0),""),"")</f>
        <v/>
      </c>
      <c r="D1377" s="693"/>
      <c r="E1377" s="697"/>
      <c r="F1377" s="695"/>
      <c r="G1377" s="696"/>
      <c r="K1377" s="22" t="str">
        <f t="shared" si="43"/>
        <v/>
      </c>
      <c r="M1377" s="534" t="str">
        <f t="shared" si="42"/>
        <v/>
      </c>
    </row>
    <row r="1378" spans="2:13" ht="15.75" x14ac:dyDescent="0.25">
      <c r="B1378" s="692"/>
      <c r="C1378" s="117" t="str">
        <f>IF(ISNUMBER(B1378),IFERROR(VLOOKUP(B1378,'נתוני רישום ומצבת'!B:J,3,0),""),"")</f>
        <v/>
      </c>
      <c r="D1378" s="693"/>
      <c r="E1378" s="697"/>
      <c r="F1378" s="695"/>
      <c r="G1378" s="696"/>
      <c r="K1378" s="22" t="str">
        <f t="shared" si="43"/>
        <v/>
      </c>
      <c r="M1378" s="534" t="str">
        <f t="shared" si="42"/>
        <v/>
      </c>
    </row>
    <row r="1379" spans="2:13" ht="15.75" x14ac:dyDescent="0.25">
      <c r="B1379" s="692"/>
      <c r="C1379" s="117" t="str">
        <f>IF(ISNUMBER(B1379),IFERROR(VLOOKUP(B1379,'נתוני רישום ומצבת'!B:J,3,0),""),"")</f>
        <v/>
      </c>
      <c r="D1379" s="693"/>
      <c r="E1379" s="697"/>
      <c r="F1379" s="695"/>
      <c r="G1379" s="696"/>
      <c r="K1379" s="22" t="str">
        <f t="shared" si="43"/>
        <v/>
      </c>
      <c r="M1379" s="534" t="str">
        <f t="shared" si="42"/>
        <v/>
      </c>
    </row>
    <row r="1380" spans="2:13" ht="15.75" x14ac:dyDescent="0.25">
      <c r="B1380" s="692"/>
      <c r="C1380" s="117" t="str">
        <f>IF(ISNUMBER(B1380),IFERROR(VLOOKUP(B1380,'נתוני רישום ומצבת'!B:J,3,0),""),"")</f>
        <v/>
      </c>
      <c r="D1380" s="693"/>
      <c r="E1380" s="697"/>
      <c r="F1380" s="695"/>
      <c r="G1380" s="696"/>
      <c r="K1380" s="22" t="str">
        <f t="shared" si="43"/>
        <v/>
      </c>
      <c r="M1380" s="534" t="str">
        <f t="shared" si="42"/>
        <v/>
      </c>
    </row>
    <row r="1381" spans="2:13" ht="15.75" x14ac:dyDescent="0.25">
      <c r="B1381" s="692"/>
      <c r="C1381" s="117" t="str">
        <f>IF(ISNUMBER(B1381),IFERROR(VLOOKUP(B1381,'נתוני רישום ומצבת'!B:J,3,0),""),"")</f>
        <v/>
      </c>
      <c r="D1381" s="693"/>
      <c r="E1381" s="697"/>
      <c r="F1381" s="695"/>
      <c r="G1381" s="696"/>
      <c r="K1381" s="22" t="str">
        <f t="shared" si="43"/>
        <v/>
      </c>
      <c r="M1381" s="534" t="str">
        <f t="shared" si="42"/>
        <v/>
      </c>
    </row>
    <row r="1382" spans="2:13" ht="15.75" x14ac:dyDescent="0.25">
      <c r="B1382" s="692"/>
      <c r="C1382" s="117" t="str">
        <f>IF(ISNUMBER(B1382),IFERROR(VLOOKUP(B1382,'נתוני רישום ומצבת'!B:J,3,0),""),"")</f>
        <v/>
      </c>
      <c r="D1382" s="693"/>
      <c r="E1382" s="697"/>
      <c r="F1382" s="695"/>
      <c r="G1382" s="696"/>
      <c r="K1382" s="22" t="str">
        <f t="shared" si="43"/>
        <v/>
      </c>
      <c r="M1382" s="534" t="str">
        <f t="shared" si="42"/>
        <v/>
      </c>
    </row>
    <row r="1383" spans="2:13" ht="15.75" x14ac:dyDescent="0.25">
      <c r="B1383" s="692"/>
      <c r="C1383" s="117" t="str">
        <f>IF(ISNUMBER(B1383),IFERROR(VLOOKUP(B1383,'נתוני רישום ומצבת'!B:J,3,0),""),"")</f>
        <v/>
      </c>
      <c r="D1383" s="693"/>
      <c r="E1383" s="697"/>
      <c r="F1383" s="695"/>
      <c r="G1383" s="696"/>
      <c r="K1383" s="22" t="str">
        <f t="shared" si="43"/>
        <v/>
      </c>
      <c r="M1383" s="534" t="str">
        <f t="shared" si="42"/>
        <v/>
      </c>
    </row>
    <row r="1384" spans="2:13" ht="15.75" x14ac:dyDescent="0.25">
      <c r="B1384" s="692"/>
      <c r="C1384" s="117" t="str">
        <f>IF(ISNUMBER(B1384),IFERROR(VLOOKUP(B1384,'נתוני רישום ומצבת'!B:J,3,0),""),"")</f>
        <v/>
      </c>
      <c r="D1384" s="693"/>
      <c r="E1384" s="697"/>
      <c r="F1384" s="695"/>
      <c r="G1384" s="696"/>
      <c r="K1384" s="22" t="str">
        <f t="shared" si="43"/>
        <v/>
      </c>
      <c r="M1384" s="534" t="str">
        <f t="shared" si="42"/>
        <v/>
      </c>
    </row>
    <row r="1385" spans="2:13" ht="15.75" x14ac:dyDescent="0.25">
      <c r="B1385" s="692"/>
      <c r="C1385" s="117" t="str">
        <f>IF(ISNUMBER(B1385),IFERROR(VLOOKUP(B1385,'נתוני רישום ומצבת'!B:J,3,0),""),"")</f>
        <v/>
      </c>
      <c r="D1385" s="693"/>
      <c r="E1385" s="697"/>
      <c r="F1385" s="695"/>
      <c r="G1385" s="696"/>
      <c r="K1385" s="22" t="str">
        <f t="shared" si="43"/>
        <v/>
      </c>
      <c r="M1385" s="534" t="str">
        <f t="shared" si="42"/>
        <v/>
      </c>
    </row>
    <row r="1386" spans="2:13" ht="15.75" x14ac:dyDescent="0.25">
      <c r="B1386" s="692"/>
      <c r="C1386" s="117" t="str">
        <f>IF(ISNUMBER(B1386),IFERROR(VLOOKUP(B1386,'נתוני רישום ומצבת'!B:J,3,0),""),"")</f>
        <v/>
      </c>
      <c r="D1386" s="693"/>
      <c r="E1386" s="697"/>
      <c r="F1386" s="695"/>
      <c r="G1386" s="696"/>
      <c r="K1386" s="22" t="str">
        <f t="shared" si="43"/>
        <v/>
      </c>
      <c r="M1386" s="534" t="str">
        <f t="shared" si="42"/>
        <v/>
      </c>
    </row>
    <row r="1387" spans="2:13" ht="15.75" x14ac:dyDescent="0.25">
      <c r="B1387" s="692"/>
      <c r="C1387" s="117" t="str">
        <f>IF(ISNUMBER(B1387),IFERROR(VLOOKUP(B1387,'נתוני רישום ומצבת'!B:J,3,0),""),"")</f>
        <v/>
      </c>
      <c r="D1387" s="693"/>
      <c r="E1387" s="697"/>
      <c r="F1387" s="695"/>
      <c r="G1387" s="696"/>
      <c r="K1387" s="22" t="str">
        <f t="shared" si="43"/>
        <v/>
      </c>
      <c r="M1387" s="534" t="str">
        <f t="shared" si="42"/>
        <v/>
      </c>
    </row>
    <row r="1388" spans="2:13" ht="15.75" x14ac:dyDescent="0.25">
      <c r="B1388" s="692"/>
      <c r="C1388" s="117" t="str">
        <f>IF(ISNUMBER(B1388),IFERROR(VLOOKUP(B1388,'נתוני רישום ומצבת'!B:J,3,0),""),"")</f>
        <v/>
      </c>
      <c r="D1388" s="693"/>
      <c r="E1388" s="697"/>
      <c r="F1388" s="695"/>
      <c r="G1388" s="696"/>
      <c r="K1388" s="22" t="str">
        <f t="shared" si="43"/>
        <v/>
      </c>
      <c r="M1388" s="534" t="str">
        <f t="shared" si="42"/>
        <v/>
      </c>
    </row>
    <row r="1389" spans="2:13" ht="15.75" x14ac:dyDescent="0.25">
      <c r="B1389" s="692"/>
      <c r="C1389" s="117" t="str">
        <f>IF(ISNUMBER(B1389),IFERROR(VLOOKUP(B1389,'נתוני רישום ומצבת'!B:J,3,0),""),"")</f>
        <v/>
      </c>
      <c r="D1389" s="693"/>
      <c r="E1389" s="697"/>
      <c r="F1389" s="695"/>
      <c r="G1389" s="696"/>
      <c r="K1389" s="22" t="str">
        <f t="shared" si="43"/>
        <v/>
      </c>
      <c r="M1389" s="534" t="str">
        <f t="shared" si="42"/>
        <v/>
      </c>
    </row>
    <row r="1390" spans="2:13" ht="15.75" x14ac:dyDescent="0.25">
      <c r="B1390" s="692"/>
      <c r="C1390" s="117" t="str">
        <f>IF(ISNUMBER(B1390),IFERROR(VLOOKUP(B1390,'נתוני רישום ומצבת'!B:J,3,0),""),"")</f>
        <v/>
      </c>
      <c r="D1390" s="693"/>
      <c r="E1390" s="697"/>
      <c r="F1390" s="695"/>
      <c r="G1390" s="696"/>
      <c r="K1390" s="22" t="str">
        <f t="shared" si="43"/>
        <v/>
      </c>
      <c r="M1390" s="534" t="str">
        <f t="shared" si="42"/>
        <v/>
      </c>
    </row>
    <row r="1391" spans="2:13" ht="15.75" x14ac:dyDescent="0.25">
      <c r="B1391" s="692"/>
      <c r="C1391" s="117" t="str">
        <f>IF(ISNUMBER(B1391),IFERROR(VLOOKUP(B1391,'נתוני רישום ומצבת'!B:J,3,0),""),"")</f>
        <v/>
      </c>
      <c r="D1391" s="693"/>
      <c r="E1391" s="697"/>
      <c r="F1391" s="695"/>
      <c r="G1391" s="696"/>
      <c r="K1391" s="22" t="str">
        <f t="shared" si="43"/>
        <v/>
      </c>
      <c r="M1391" s="534" t="str">
        <f t="shared" si="42"/>
        <v/>
      </c>
    </row>
    <row r="1392" spans="2:13" ht="15.75" x14ac:dyDescent="0.25">
      <c r="B1392" s="692"/>
      <c r="C1392" s="117" t="str">
        <f>IF(ISNUMBER(B1392),IFERROR(VLOOKUP(B1392,'נתוני רישום ומצבת'!B:J,3,0),""),"")</f>
        <v/>
      </c>
      <c r="D1392" s="693"/>
      <c r="E1392" s="697"/>
      <c r="F1392" s="695"/>
      <c r="G1392" s="696"/>
      <c r="K1392" s="22" t="str">
        <f t="shared" si="43"/>
        <v/>
      </c>
      <c r="M1392" s="534" t="str">
        <f t="shared" si="42"/>
        <v/>
      </c>
    </row>
    <row r="1393" spans="2:13" ht="15.75" x14ac:dyDescent="0.25">
      <c r="B1393" s="692"/>
      <c r="C1393" s="117" t="str">
        <f>IF(ISNUMBER(B1393),IFERROR(VLOOKUP(B1393,'נתוני רישום ומצבת'!B:J,3,0),""),"")</f>
        <v/>
      </c>
      <c r="D1393" s="693"/>
      <c r="E1393" s="697"/>
      <c r="F1393" s="695"/>
      <c r="G1393" s="696"/>
      <c r="K1393" s="22" t="str">
        <f t="shared" si="43"/>
        <v/>
      </c>
      <c r="M1393" s="534" t="str">
        <f t="shared" si="42"/>
        <v/>
      </c>
    </row>
    <row r="1394" spans="2:13" ht="15.75" x14ac:dyDescent="0.25">
      <c r="B1394" s="692"/>
      <c r="C1394" s="117" t="str">
        <f>IF(ISNUMBER(B1394),IFERROR(VLOOKUP(B1394,'נתוני רישום ומצבת'!B:J,3,0),""),"")</f>
        <v/>
      </c>
      <c r="D1394" s="693"/>
      <c r="E1394" s="697"/>
      <c r="F1394" s="695"/>
      <c r="G1394" s="696"/>
      <c r="K1394" s="22" t="str">
        <f t="shared" si="43"/>
        <v/>
      </c>
      <c r="M1394" s="534" t="str">
        <f t="shared" si="42"/>
        <v/>
      </c>
    </row>
    <row r="1395" spans="2:13" ht="15.75" x14ac:dyDescent="0.25">
      <c r="B1395" s="692"/>
      <c r="C1395" s="117" t="str">
        <f>IF(ISNUMBER(B1395),IFERROR(VLOOKUP(B1395,'נתוני רישום ומצבת'!B:J,3,0),""),"")</f>
        <v/>
      </c>
      <c r="D1395" s="693"/>
      <c r="E1395" s="697"/>
      <c r="F1395" s="695"/>
      <c r="G1395" s="696"/>
      <c r="K1395" s="22" t="str">
        <f t="shared" si="43"/>
        <v/>
      </c>
      <c r="M1395" s="534" t="str">
        <f t="shared" si="42"/>
        <v/>
      </c>
    </row>
    <row r="1396" spans="2:13" ht="15.75" x14ac:dyDescent="0.25">
      <c r="B1396" s="692"/>
      <c r="C1396" s="117" t="str">
        <f>IF(ISNUMBER(B1396),IFERROR(VLOOKUP(B1396,'נתוני רישום ומצבת'!B:J,3,0),""),"")</f>
        <v/>
      </c>
      <c r="D1396" s="693"/>
      <c r="E1396" s="697"/>
      <c r="F1396" s="695"/>
      <c r="G1396" s="696"/>
      <c r="K1396" s="22" t="str">
        <f t="shared" si="43"/>
        <v/>
      </c>
      <c r="M1396" s="534" t="str">
        <f t="shared" si="42"/>
        <v/>
      </c>
    </row>
    <row r="1397" spans="2:13" ht="15.75" x14ac:dyDescent="0.25">
      <c r="B1397" s="692"/>
      <c r="C1397" s="117" t="str">
        <f>IF(ISNUMBER(B1397),IFERROR(VLOOKUP(B1397,'נתוני רישום ומצבת'!B:J,3,0),""),"")</f>
        <v/>
      </c>
      <c r="D1397" s="693"/>
      <c r="E1397" s="697"/>
      <c r="F1397" s="695"/>
      <c r="G1397" s="696"/>
      <c r="K1397" s="22" t="str">
        <f t="shared" si="43"/>
        <v/>
      </c>
      <c r="M1397" s="534" t="str">
        <f t="shared" si="42"/>
        <v/>
      </c>
    </row>
    <row r="1398" spans="2:13" ht="15.75" x14ac:dyDescent="0.25">
      <c r="B1398" s="692"/>
      <c r="C1398" s="117" t="str">
        <f>IF(ISNUMBER(B1398),IFERROR(VLOOKUP(B1398,'נתוני רישום ומצבת'!B:J,3,0),""),"")</f>
        <v/>
      </c>
      <c r="D1398" s="693"/>
      <c r="E1398" s="697"/>
      <c r="F1398" s="695"/>
      <c r="G1398" s="696"/>
      <c r="K1398" s="22" t="str">
        <f t="shared" si="43"/>
        <v/>
      </c>
      <c r="M1398" s="534" t="str">
        <f t="shared" si="42"/>
        <v/>
      </c>
    </row>
    <row r="1399" spans="2:13" ht="15.75" x14ac:dyDescent="0.25">
      <c r="B1399" s="692"/>
      <c r="C1399" s="117" t="str">
        <f>IF(ISNUMBER(B1399),IFERROR(VLOOKUP(B1399,'נתוני רישום ומצבת'!B:J,3,0),""),"")</f>
        <v/>
      </c>
      <c r="D1399" s="693"/>
      <c r="E1399" s="697"/>
      <c r="F1399" s="695"/>
      <c r="G1399" s="696"/>
      <c r="K1399" s="22" t="str">
        <f t="shared" si="43"/>
        <v/>
      </c>
      <c r="M1399" s="534" t="str">
        <f t="shared" si="42"/>
        <v/>
      </c>
    </row>
    <row r="1400" spans="2:13" ht="15.75" x14ac:dyDescent="0.25">
      <c r="B1400" s="692"/>
      <c r="C1400" s="117" t="str">
        <f>IF(ISNUMBER(B1400),IFERROR(VLOOKUP(B1400,'נתוני רישום ומצבת'!B:J,3,0),""),"")</f>
        <v/>
      </c>
      <c r="D1400" s="693"/>
      <c r="E1400" s="697"/>
      <c r="F1400" s="695"/>
      <c r="G1400" s="696"/>
      <c r="K1400" s="22" t="str">
        <f t="shared" si="43"/>
        <v/>
      </c>
      <c r="M1400" s="534" t="str">
        <f t="shared" si="42"/>
        <v/>
      </c>
    </row>
    <row r="1401" spans="2:13" ht="15.75" x14ac:dyDescent="0.25">
      <c r="B1401" s="692"/>
      <c r="C1401" s="117" t="str">
        <f>IF(ISNUMBER(B1401),IFERROR(VLOOKUP(B1401,'נתוני רישום ומצבת'!B:J,3,0),""),"")</f>
        <v/>
      </c>
      <c r="D1401" s="693"/>
      <c r="E1401" s="697"/>
      <c r="F1401" s="695"/>
      <c r="G1401" s="696"/>
      <c r="K1401" s="22" t="str">
        <f t="shared" si="43"/>
        <v/>
      </c>
      <c r="M1401" s="534" t="str">
        <f t="shared" si="42"/>
        <v/>
      </c>
    </row>
    <row r="1402" spans="2:13" ht="15.75" x14ac:dyDescent="0.25">
      <c r="B1402" s="692"/>
      <c r="C1402" s="117" t="str">
        <f>IF(ISNUMBER(B1402),IFERROR(VLOOKUP(B1402,'נתוני רישום ומצבת'!B:J,3,0),""),"")</f>
        <v/>
      </c>
      <c r="D1402" s="693"/>
      <c r="E1402" s="697"/>
      <c r="F1402" s="695"/>
      <c r="G1402" s="696"/>
      <c r="K1402" s="22" t="str">
        <f t="shared" si="43"/>
        <v/>
      </c>
      <c r="M1402" s="534" t="str">
        <f t="shared" si="42"/>
        <v/>
      </c>
    </row>
    <row r="1403" spans="2:13" ht="15.75" x14ac:dyDescent="0.25">
      <c r="B1403" s="692"/>
      <c r="C1403" s="117" t="str">
        <f>IF(ISNUMBER(B1403),IFERROR(VLOOKUP(B1403,'נתוני רישום ומצבת'!B:J,3,0),""),"")</f>
        <v/>
      </c>
      <c r="D1403" s="693"/>
      <c r="E1403" s="697"/>
      <c r="F1403" s="695"/>
      <c r="G1403" s="696"/>
      <c r="K1403" s="22" t="str">
        <f t="shared" si="43"/>
        <v/>
      </c>
      <c r="M1403" s="534" t="str">
        <f t="shared" si="42"/>
        <v/>
      </c>
    </row>
    <row r="1404" spans="2:13" ht="15.75" x14ac:dyDescent="0.25">
      <c r="B1404" s="692"/>
      <c r="C1404" s="117" t="str">
        <f>IF(ISNUMBER(B1404),IFERROR(VLOOKUP(B1404,'נתוני רישום ומצבת'!B:J,3,0),""),"")</f>
        <v/>
      </c>
      <c r="D1404" s="693"/>
      <c r="E1404" s="697"/>
      <c r="F1404" s="695"/>
      <c r="G1404" s="696"/>
      <c r="K1404" s="22" t="str">
        <f t="shared" si="43"/>
        <v/>
      </c>
      <c r="M1404" s="534" t="str">
        <f t="shared" si="42"/>
        <v/>
      </c>
    </row>
    <row r="1405" spans="2:13" ht="15.75" x14ac:dyDescent="0.25">
      <c r="B1405" s="692"/>
      <c r="C1405" s="117" t="str">
        <f>IF(ISNUMBER(B1405),IFERROR(VLOOKUP(B1405,'נתוני רישום ומצבת'!B:J,3,0),""),"")</f>
        <v/>
      </c>
      <c r="D1405" s="693"/>
      <c r="E1405" s="697"/>
      <c r="F1405" s="695"/>
      <c r="G1405" s="696"/>
      <c r="K1405" s="22" t="str">
        <f t="shared" si="43"/>
        <v/>
      </c>
      <c r="M1405" s="534" t="str">
        <f t="shared" si="42"/>
        <v/>
      </c>
    </row>
    <row r="1406" spans="2:13" ht="15.75" x14ac:dyDescent="0.25">
      <c r="B1406" s="692"/>
      <c r="C1406" s="117" t="str">
        <f>IF(ISNUMBER(B1406),IFERROR(VLOOKUP(B1406,'נתוני רישום ומצבת'!B:J,3,0),""),"")</f>
        <v/>
      </c>
      <c r="D1406" s="693"/>
      <c r="E1406" s="697"/>
      <c r="F1406" s="695"/>
      <c r="G1406" s="696"/>
      <c r="K1406" s="22" t="str">
        <f t="shared" si="43"/>
        <v/>
      </c>
      <c r="M1406" s="534" t="str">
        <f t="shared" si="42"/>
        <v/>
      </c>
    </row>
    <row r="1407" spans="2:13" ht="15.75" x14ac:dyDescent="0.25">
      <c r="B1407" s="692"/>
      <c r="C1407" s="117" t="str">
        <f>IF(ISNUMBER(B1407),IFERROR(VLOOKUP(B1407,'נתוני רישום ומצבת'!B:J,3,0),""),"")</f>
        <v/>
      </c>
      <c r="D1407" s="693"/>
      <c r="E1407" s="697"/>
      <c r="F1407" s="695"/>
      <c r="G1407" s="696"/>
      <c r="K1407" s="22" t="str">
        <f t="shared" si="43"/>
        <v/>
      </c>
      <c r="M1407" s="534" t="str">
        <f t="shared" si="42"/>
        <v/>
      </c>
    </row>
    <row r="1408" spans="2:13" ht="15.75" x14ac:dyDescent="0.25">
      <c r="B1408" s="692"/>
      <c r="C1408" s="117" t="str">
        <f>IF(ISNUMBER(B1408),IFERROR(VLOOKUP(B1408,'נתוני רישום ומצבת'!B:J,3,0),""),"")</f>
        <v/>
      </c>
      <c r="D1408" s="693"/>
      <c r="E1408" s="697"/>
      <c r="F1408" s="695"/>
      <c r="G1408" s="696"/>
      <c r="K1408" s="22" t="str">
        <f t="shared" si="43"/>
        <v/>
      </c>
      <c r="M1408" s="534" t="str">
        <f t="shared" si="42"/>
        <v/>
      </c>
    </row>
    <row r="1409" spans="2:13" ht="15.75" x14ac:dyDescent="0.25">
      <c r="B1409" s="692"/>
      <c r="C1409" s="117" t="str">
        <f>IF(ISNUMBER(B1409),IFERROR(VLOOKUP(B1409,'נתוני רישום ומצבת'!B:J,3,0),""),"")</f>
        <v/>
      </c>
      <c r="D1409" s="693"/>
      <c r="E1409" s="697"/>
      <c r="F1409" s="695"/>
      <c r="G1409" s="696"/>
      <c r="K1409" s="22" t="str">
        <f t="shared" si="43"/>
        <v/>
      </c>
      <c r="M1409" s="534" t="str">
        <f t="shared" si="42"/>
        <v/>
      </c>
    </row>
    <row r="1410" spans="2:13" ht="15.75" x14ac:dyDescent="0.25">
      <c r="B1410" s="692"/>
      <c r="C1410" s="117" t="str">
        <f>IF(ISNUMBER(B1410),IFERROR(VLOOKUP(B1410,'נתוני רישום ומצבת'!B:J,3,0),""),"")</f>
        <v/>
      </c>
      <c r="D1410" s="693"/>
      <c r="E1410" s="697"/>
      <c r="F1410" s="695"/>
      <c r="G1410" s="696"/>
      <c r="K1410" s="22" t="str">
        <f t="shared" si="43"/>
        <v/>
      </c>
      <c r="M1410" s="534" t="str">
        <f t="shared" si="42"/>
        <v/>
      </c>
    </row>
    <row r="1411" spans="2:13" ht="15.75" x14ac:dyDescent="0.25">
      <c r="B1411" s="692"/>
      <c r="C1411" s="117" t="str">
        <f>IF(ISNUMBER(B1411),IFERROR(VLOOKUP(B1411,'נתוני רישום ומצבת'!B:J,3,0),""),"")</f>
        <v/>
      </c>
      <c r="D1411" s="693"/>
      <c r="E1411" s="697"/>
      <c r="F1411" s="695"/>
      <c r="G1411" s="696"/>
      <c r="K1411" s="22" t="str">
        <f t="shared" si="43"/>
        <v/>
      </c>
      <c r="M1411" s="534" t="str">
        <f t="shared" si="42"/>
        <v/>
      </c>
    </row>
    <row r="1412" spans="2:13" ht="15.75" x14ac:dyDescent="0.25">
      <c r="B1412" s="692"/>
      <c r="C1412" s="117" t="str">
        <f>IF(ISNUMBER(B1412),IFERROR(VLOOKUP(B1412,'נתוני רישום ומצבת'!B:J,3,0),""),"")</f>
        <v/>
      </c>
      <c r="D1412" s="693"/>
      <c r="E1412" s="697"/>
      <c r="F1412" s="695"/>
      <c r="G1412" s="696"/>
      <c r="K1412" s="22" t="str">
        <f t="shared" si="43"/>
        <v/>
      </c>
      <c r="M1412" s="534" t="str">
        <f t="shared" si="42"/>
        <v/>
      </c>
    </row>
    <row r="1413" spans="2:13" ht="15.75" x14ac:dyDescent="0.25">
      <c r="B1413" s="692"/>
      <c r="C1413" s="117" t="str">
        <f>IF(ISNUMBER(B1413),IFERROR(VLOOKUP(B1413,'נתוני רישום ומצבת'!B:J,3,0),""),"")</f>
        <v/>
      </c>
      <c r="D1413" s="693"/>
      <c r="E1413" s="697"/>
      <c r="F1413" s="695"/>
      <c r="G1413" s="696"/>
      <c r="K1413" s="22" t="str">
        <f t="shared" si="43"/>
        <v/>
      </c>
      <c r="M1413" s="534" t="str">
        <f t="shared" si="42"/>
        <v/>
      </c>
    </row>
    <row r="1414" spans="2:13" ht="15.75" x14ac:dyDescent="0.25">
      <c r="B1414" s="692"/>
      <c r="C1414" s="117" t="str">
        <f>IF(ISNUMBER(B1414),IFERROR(VLOOKUP(B1414,'נתוני רישום ומצבת'!B:J,3,0),""),"")</f>
        <v/>
      </c>
      <c r="D1414" s="693"/>
      <c r="E1414" s="697"/>
      <c r="F1414" s="695"/>
      <c r="G1414" s="696"/>
      <c r="K1414" s="22" t="str">
        <f t="shared" si="43"/>
        <v/>
      </c>
      <c r="M1414" s="534" t="str">
        <f t="shared" si="42"/>
        <v/>
      </c>
    </row>
    <row r="1415" spans="2:13" ht="15.75" x14ac:dyDescent="0.25">
      <c r="B1415" s="692"/>
      <c r="C1415" s="117" t="str">
        <f>IF(ISNUMBER(B1415),IFERROR(VLOOKUP(B1415,'נתוני רישום ומצבת'!B:J,3,0),""),"")</f>
        <v/>
      </c>
      <c r="D1415" s="693"/>
      <c r="E1415" s="697"/>
      <c r="F1415" s="695"/>
      <c r="G1415" s="696"/>
      <c r="K1415" s="22" t="str">
        <f t="shared" si="43"/>
        <v/>
      </c>
      <c r="M1415" s="534" t="str">
        <f t="shared" si="42"/>
        <v/>
      </c>
    </row>
    <row r="1416" spans="2:13" ht="15.75" x14ac:dyDescent="0.25">
      <c r="B1416" s="692"/>
      <c r="C1416" s="117" t="str">
        <f>IF(ISNUMBER(B1416),IFERROR(VLOOKUP(B1416,'נתוני רישום ומצבת'!B:J,3,0),""),"")</f>
        <v/>
      </c>
      <c r="D1416" s="693"/>
      <c r="E1416" s="697"/>
      <c r="F1416" s="695"/>
      <c r="G1416" s="696"/>
      <c r="K1416" s="22" t="str">
        <f t="shared" si="43"/>
        <v/>
      </c>
      <c r="M1416" s="534" t="str">
        <f t="shared" si="42"/>
        <v/>
      </c>
    </row>
    <row r="1417" spans="2:13" ht="15.75" x14ac:dyDescent="0.25">
      <c r="B1417" s="692"/>
      <c r="C1417" s="117" t="str">
        <f>IF(ISNUMBER(B1417),IFERROR(VLOOKUP(B1417,'נתוני רישום ומצבת'!B:J,3,0),""),"")</f>
        <v/>
      </c>
      <c r="D1417" s="693"/>
      <c r="E1417" s="697"/>
      <c r="F1417" s="695"/>
      <c r="G1417" s="696"/>
      <c r="K1417" s="22" t="str">
        <f t="shared" si="43"/>
        <v/>
      </c>
      <c r="M1417" s="534" t="str">
        <f t="shared" si="42"/>
        <v/>
      </c>
    </row>
    <row r="1418" spans="2:13" ht="15.75" x14ac:dyDescent="0.25">
      <c r="B1418" s="692"/>
      <c r="C1418" s="117" t="str">
        <f>IF(ISNUMBER(B1418),IFERROR(VLOOKUP(B1418,'נתוני רישום ומצבת'!B:J,3,0),""),"")</f>
        <v/>
      </c>
      <c r="D1418" s="693"/>
      <c r="E1418" s="697"/>
      <c r="F1418" s="695"/>
      <c r="G1418" s="696"/>
      <c r="K1418" s="22" t="str">
        <f t="shared" si="43"/>
        <v/>
      </c>
      <c r="M1418" s="534" t="str">
        <f t="shared" si="42"/>
        <v/>
      </c>
    </row>
    <row r="1419" spans="2:13" ht="15.75" x14ac:dyDescent="0.25">
      <c r="B1419" s="692"/>
      <c r="C1419" s="117" t="str">
        <f>IF(ISNUMBER(B1419),IFERROR(VLOOKUP(B1419,'נתוני רישום ומצבת'!B:J,3,0),""),"")</f>
        <v/>
      </c>
      <c r="D1419" s="693"/>
      <c r="E1419" s="697"/>
      <c r="F1419" s="695"/>
      <c r="G1419" s="696"/>
      <c r="K1419" s="22" t="str">
        <f t="shared" si="43"/>
        <v/>
      </c>
      <c r="M1419" s="534" t="str">
        <f t="shared" si="42"/>
        <v/>
      </c>
    </row>
    <row r="1420" spans="2:13" ht="15.75" x14ac:dyDescent="0.25">
      <c r="B1420" s="692"/>
      <c r="C1420" s="117" t="str">
        <f>IF(ISNUMBER(B1420),IFERROR(VLOOKUP(B1420,'נתוני רישום ומצבת'!B:J,3,0),""),"")</f>
        <v/>
      </c>
      <c r="D1420" s="693"/>
      <c r="E1420" s="697"/>
      <c r="F1420" s="695"/>
      <c r="G1420" s="696"/>
      <c r="K1420" s="22" t="str">
        <f t="shared" si="43"/>
        <v/>
      </c>
      <c r="M1420" s="534" t="str">
        <f t="shared" si="42"/>
        <v/>
      </c>
    </row>
    <row r="1421" spans="2:13" ht="15.75" x14ac:dyDescent="0.25">
      <c r="B1421" s="692"/>
      <c r="C1421" s="117" t="str">
        <f>IF(ISNUMBER(B1421),IFERROR(VLOOKUP(B1421,'נתוני רישום ומצבת'!B:J,3,0),""),"")</f>
        <v/>
      </c>
      <c r="D1421" s="693"/>
      <c r="E1421" s="697"/>
      <c r="F1421" s="695"/>
      <c r="G1421" s="696"/>
      <c r="K1421" s="22" t="str">
        <f t="shared" si="43"/>
        <v/>
      </c>
      <c r="M1421" s="534" t="str">
        <f t="shared" si="42"/>
        <v/>
      </c>
    </row>
    <row r="1422" spans="2:13" ht="15.75" x14ac:dyDescent="0.25">
      <c r="B1422" s="692"/>
      <c r="C1422" s="117" t="str">
        <f>IF(ISNUMBER(B1422),IFERROR(VLOOKUP(B1422,'נתוני רישום ומצבת'!B:J,3,0),""),"")</f>
        <v/>
      </c>
      <c r="D1422" s="693"/>
      <c r="E1422" s="697"/>
      <c r="F1422" s="695"/>
      <c r="G1422" s="696"/>
      <c r="K1422" s="22" t="str">
        <f t="shared" si="43"/>
        <v/>
      </c>
      <c r="M1422" s="534" t="str">
        <f t="shared" si="42"/>
        <v/>
      </c>
    </row>
    <row r="1423" spans="2:13" ht="15.75" x14ac:dyDescent="0.25">
      <c r="B1423" s="692"/>
      <c r="C1423" s="117" t="str">
        <f>IF(ISNUMBER(B1423),IFERROR(VLOOKUP(B1423,'נתוני רישום ומצבת'!B:J,3,0),""),"")</f>
        <v/>
      </c>
      <c r="D1423" s="693"/>
      <c r="E1423" s="697"/>
      <c r="F1423" s="695"/>
      <c r="G1423" s="696"/>
      <c r="K1423" s="22" t="str">
        <f t="shared" si="43"/>
        <v/>
      </c>
      <c r="M1423" s="534" t="str">
        <f t="shared" si="42"/>
        <v/>
      </c>
    </row>
    <row r="1424" spans="2:13" ht="15.75" x14ac:dyDescent="0.25">
      <c r="B1424" s="692"/>
      <c r="C1424" s="117" t="str">
        <f>IF(ISNUMBER(B1424),IFERROR(VLOOKUP(B1424,'נתוני רישום ומצבת'!B:J,3,0),""),"")</f>
        <v/>
      </c>
      <c r="D1424" s="693"/>
      <c r="E1424" s="697"/>
      <c r="F1424" s="695"/>
      <c r="G1424" s="696"/>
      <c r="K1424" s="22" t="str">
        <f t="shared" si="43"/>
        <v/>
      </c>
      <c r="M1424" s="534" t="str">
        <f t="shared" si="42"/>
        <v/>
      </c>
    </row>
    <row r="1425" spans="2:13" ht="15.75" x14ac:dyDescent="0.25">
      <c r="B1425" s="692"/>
      <c r="C1425" s="117" t="str">
        <f>IF(ISNUMBER(B1425),IFERROR(VLOOKUP(B1425,'נתוני רישום ומצבת'!B:J,3,0),""),"")</f>
        <v/>
      </c>
      <c r="D1425" s="693"/>
      <c r="E1425" s="697"/>
      <c r="F1425" s="695"/>
      <c r="G1425" s="696"/>
      <c r="K1425" s="22" t="str">
        <f t="shared" si="43"/>
        <v/>
      </c>
      <c r="M1425" s="534" t="str">
        <f t="shared" ref="M1425:M1488" si="44">TEXT(LEFT(D1425,2),0)</f>
        <v/>
      </c>
    </row>
    <row r="1426" spans="2:13" ht="15.75" x14ac:dyDescent="0.25">
      <c r="B1426" s="692"/>
      <c r="C1426" s="117" t="str">
        <f>IF(ISNUMBER(B1426),IFERROR(VLOOKUP(B1426,'נתוני רישום ומצבת'!B:J,3,0),""),"")</f>
        <v/>
      </c>
      <c r="D1426" s="693"/>
      <c r="E1426" s="697"/>
      <c r="F1426" s="695"/>
      <c r="G1426" s="696"/>
      <c r="K1426" s="22" t="str">
        <f t="shared" si="43"/>
        <v/>
      </c>
      <c r="M1426" s="534" t="str">
        <f t="shared" si="44"/>
        <v/>
      </c>
    </row>
    <row r="1427" spans="2:13" ht="15.75" x14ac:dyDescent="0.25">
      <c r="B1427" s="692"/>
      <c r="C1427" s="117" t="str">
        <f>IF(ISNUMBER(B1427),IFERROR(VLOOKUP(B1427,'נתוני רישום ומצבת'!B:J,3,0),""),"")</f>
        <v/>
      </c>
      <c r="D1427" s="693"/>
      <c r="E1427" s="697"/>
      <c r="F1427" s="695"/>
      <c r="G1427" s="696"/>
      <c r="K1427" s="22" t="str">
        <f t="shared" si="43"/>
        <v/>
      </c>
      <c r="M1427" s="534" t="str">
        <f t="shared" si="44"/>
        <v/>
      </c>
    </row>
    <row r="1428" spans="2:13" ht="15.75" x14ac:dyDescent="0.25">
      <c r="B1428" s="692"/>
      <c r="C1428" s="117" t="str">
        <f>IF(ISNUMBER(B1428),IFERROR(VLOOKUP(B1428,'נתוני רישום ומצבת'!B:J,3,0),""),"")</f>
        <v/>
      </c>
      <c r="D1428" s="693"/>
      <c r="E1428" s="697"/>
      <c r="F1428" s="695"/>
      <c r="G1428" s="696"/>
      <c r="K1428" s="22" t="str">
        <f t="shared" si="43"/>
        <v/>
      </c>
      <c r="M1428" s="534" t="str">
        <f t="shared" si="44"/>
        <v/>
      </c>
    </row>
    <row r="1429" spans="2:13" ht="15.75" x14ac:dyDescent="0.25">
      <c r="B1429" s="692"/>
      <c r="C1429" s="117" t="str">
        <f>IF(ISNUMBER(B1429),IFERROR(VLOOKUP(B1429,'נתוני רישום ומצבת'!B:J,3,0),""),"")</f>
        <v/>
      </c>
      <c r="D1429" s="693"/>
      <c r="E1429" s="697"/>
      <c r="F1429" s="695"/>
      <c r="G1429" s="696"/>
      <c r="K1429" s="22" t="str">
        <f t="shared" ref="K1429:K1492" si="45">IF(C1416&lt;5,IF(D1429=$F$8,-E1429," "),"")</f>
        <v/>
      </c>
      <c r="M1429" s="534" t="str">
        <f t="shared" si="44"/>
        <v/>
      </c>
    </row>
    <row r="1430" spans="2:13" ht="15.75" x14ac:dyDescent="0.25">
      <c r="B1430" s="692"/>
      <c r="C1430" s="117" t="str">
        <f>IF(ISNUMBER(B1430),IFERROR(VLOOKUP(B1430,'נתוני רישום ומצבת'!B:J,3,0),""),"")</f>
        <v/>
      </c>
      <c r="D1430" s="693"/>
      <c r="E1430" s="697"/>
      <c r="F1430" s="695"/>
      <c r="G1430" s="696"/>
      <c r="K1430" s="22" t="str">
        <f t="shared" si="45"/>
        <v/>
      </c>
      <c r="M1430" s="534" t="str">
        <f t="shared" si="44"/>
        <v/>
      </c>
    </row>
    <row r="1431" spans="2:13" ht="15.75" x14ac:dyDescent="0.25">
      <c r="B1431" s="692"/>
      <c r="C1431" s="117" t="str">
        <f>IF(ISNUMBER(B1431),IFERROR(VLOOKUP(B1431,'נתוני רישום ומצבת'!B:J,3,0),""),"")</f>
        <v/>
      </c>
      <c r="D1431" s="693"/>
      <c r="E1431" s="697"/>
      <c r="F1431" s="695"/>
      <c r="G1431" s="696"/>
      <c r="K1431" s="22" t="str">
        <f t="shared" si="45"/>
        <v/>
      </c>
      <c r="M1431" s="534" t="str">
        <f t="shared" si="44"/>
        <v/>
      </c>
    </row>
    <row r="1432" spans="2:13" ht="15.75" x14ac:dyDescent="0.25">
      <c r="B1432" s="692"/>
      <c r="C1432" s="117" t="str">
        <f>IF(ISNUMBER(B1432),IFERROR(VLOOKUP(B1432,'נתוני רישום ומצבת'!B:J,3,0),""),"")</f>
        <v/>
      </c>
      <c r="D1432" s="693"/>
      <c r="E1432" s="697"/>
      <c r="F1432" s="695"/>
      <c r="G1432" s="696"/>
      <c r="K1432" s="22" t="str">
        <f t="shared" si="45"/>
        <v/>
      </c>
      <c r="M1432" s="534" t="str">
        <f t="shared" si="44"/>
        <v/>
      </c>
    </row>
    <row r="1433" spans="2:13" ht="15.75" x14ac:dyDescent="0.25">
      <c r="B1433" s="692"/>
      <c r="C1433" s="117" t="str">
        <f>IF(ISNUMBER(B1433),IFERROR(VLOOKUP(B1433,'נתוני רישום ומצבת'!B:J,3,0),""),"")</f>
        <v/>
      </c>
      <c r="D1433" s="693"/>
      <c r="E1433" s="697"/>
      <c r="F1433" s="695"/>
      <c r="G1433" s="696"/>
      <c r="K1433" s="22" t="str">
        <f t="shared" si="45"/>
        <v/>
      </c>
      <c r="M1433" s="534" t="str">
        <f t="shared" si="44"/>
        <v/>
      </c>
    </row>
    <row r="1434" spans="2:13" ht="15.75" x14ac:dyDescent="0.25">
      <c r="B1434" s="692"/>
      <c r="C1434" s="117" t="str">
        <f>IF(ISNUMBER(B1434),IFERROR(VLOOKUP(B1434,'נתוני רישום ומצבת'!B:J,3,0),""),"")</f>
        <v/>
      </c>
      <c r="D1434" s="693"/>
      <c r="E1434" s="697"/>
      <c r="F1434" s="695"/>
      <c r="G1434" s="696"/>
      <c r="K1434" s="22" t="str">
        <f t="shared" si="45"/>
        <v/>
      </c>
      <c r="M1434" s="534" t="str">
        <f t="shared" si="44"/>
        <v/>
      </c>
    </row>
    <row r="1435" spans="2:13" ht="15.75" x14ac:dyDescent="0.25">
      <c r="B1435" s="692"/>
      <c r="C1435" s="117" t="str">
        <f>IF(ISNUMBER(B1435),IFERROR(VLOOKUP(B1435,'נתוני רישום ומצבת'!B:J,3,0),""),"")</f>
        <v/>
      </c>
      <c r="D1435" s="693"/>
      <c r="E1435" s="697"/>
      <c r="F1435" s="695"/>
      <c r="G1435" s="696"/>
      <c r="K1435" s="22" t="str">
        <f t="shared" si="45"/>
        <v/>
      </c>
      <c r="M1435" s="534" t="str">
        <f t="shared" si="44"/>
        <v/>
      </c>
    </row>
    <row r="1436" spans="2:13" ht="15.75" x14ac:dyDescent="0.25">
      <c r="B1436" s="692"/>
      <c r="C1436" s="117" t="str">
        <f>IF(ISNUMBER(B1436),IFERROR(VLOOKUP(B1436,'נתוני רישום ומצבת'!B:J,3,0),""),"")</f>
        <v/>
      </c>
      <c r="D1436" s="693"/>
      <c r="E1436" s="697"/>
      <c r="F1436" s="695"/>
      <c r="G1436" s="696"/>
      <c r="K1436" s="22" t="str">
        <f t="shared" si="45"/>
        <v/>
      </c>
      <c r="M1436" s="534" t="str">
        <f t="shared" si="44"/>
        <v/>
      </c>
    </row>
    <row r="1437" spans="2:13" ht="15.75" x14ac:dyDescent="0.25">
      <c r="B1437" s="692"/>
      <c r="C1437" s="117" t="str">
        <f>IF(ISNUMBER(B1437),IFERROR(VLOOKUP(B1437,'נתוני רישום ומצבת'!B:J,3,0),""),"")</f>
        <v/>
      </c>
      <c r="D1437" s="693"/>
      <c r="E1437" s="697"/>
      <c r="F1437" s="695"/>
      <c r="G1437" s="696"/>
      <c r="K1437" s="22" t="str">
        <f t="shared" si="45"/>
        <v/>
      </c>
      <c r="M1437" s="534" t="str">
        <f t="shared" si="44"/>
        <v/>
      </c>
    </row>
    <row r="1438" spans="2:13" ht="15.75" x14ac:dyDescent="0.25">
      <c r="B1438" s="692"/>
      <c r="C1438" s="117" t="str">
        <f>IF(ISNUMBER(B1438),IFERROR(VLOOKUP(B1438,'נתוני רישום ומצבת'!B:J,3,0),""),"")</f>
        <v/>
      </c>
      <c r="D1438" s="693"/>
      <c r="E1438" s="697"/>
      <c r="F1438" s="695"/>
      <c r="G1438" s="696"/>
      <c r="K1438" s="22" t="str">
        <f t="shared" si="45"/>
        <v/>
      </c>
      <c r="M1438" s="534" t="str">
        <f t="shared" si="44"/>
        <v/>
      </c>
    </row>
    <row r="1439" spans="2:13" ht="15.75" x14ac:dyDescent="0.25">
      <c r="B1439" s="692"/>
      <c r="C1439" s="117" t="str">
        <f>IF(ISNUMBER(B1439),IFERROR(VLOOKUP(B1439,'נתוני רישום ומצבת'!B:J,3,0),""),"")</f>
        <v/>
      </c>
      <c r="D1439" s="693"/>
      <c r="E1439" s="697"/>
      <c r="F1439" s="695"/>
      <c r="G1439" s="696"/>
      <c r="K1439" s="22" t="str">
        <f t="shared" si="45"/>
        <v/>
      </c>
      <c r="M1439" s="534" t="str">
        <f t="shared" si="44"/>
        <v/>
      </c>
    </row>
    <row r="1440" spans="2:13" ht="15.75" x14ac:dyDescent="0.25">
      <c r="B1440" s="692"/>
      <c r="C1440" s="117" t="str">
        <f>IF(ISNUMBER(B1440),IFERROR(VLOOKUP(B1440,'נתוני רישום ומצבת'!B:J,3,0),""),"")</f>
        <v/>
      </c>
      <c r="D1440" s="693"/>
      <c r="E1440" s="697"/>
      <c r="F1440" s="695"/>
      <c r="G1440" s="696"/>
      <c r="K1440" s="22" t="str">
        <f t="shared" si="45"/>
        <v/>
      </c>
      <c r="M1440" s="534" t="str">
        <f t="shared" si="44"/>
        <v/>
      </c>
    </row>
    <row r="1441" spans="2:13" ht="15.75" x14ac:dyDescent="0.25">
      <c r="B1441" s="692"/>
      <c r="C1441" s="117" t="str">
        <f>IF(ISNUMBER(B1441),IFERROR(VLOOKUP(B1441,'נתוני רישום ומצבת'!B:J,3,0),""),"")</f>
        <v/>
      </c>
      <c r="D1441" s="693"/>
      <c r="E1441" s="697"/>
      <c r="F1441" s="695"/>
      <c r="G1441" s="696"/>
      <c r="K1441" s="22" t="str">
        <f t="shared" si="45"/>
        <v/>
      </c>
      <c r="M1441" s="534" t="str">
        <f t="shared" si="44"/>
        <v/>
      </c>
    </row>
    <row r="1442" spans="2:13" ht="15.75" x14ac:dyDescent="0.25">
      <c r="B1442" s="692"/>
      <c r="C1442" s="117" t="str">
        <f>IF(ISNUMBER(B1442),IFERROR(VLOOKUP(B1442,'נתוני רישום ומצבת'!B:J,3,0),""),"")</f>
        <v/>
      </c>
      <c r="D1442" s="693"/>
      <c r="E1442" s="697"/>
      <c r="F1442" s="695"/>
      <c r="G1442" s="696"/>
      <c r="K1442" s="22" t="str">
        <f t="shared" si="45"/>
        <v/>
      </c>
      <c r="M1442" s="534" t="str">
        <f t="shared" si="44"/>
        <v/>
      </c>
    </row>
    <row r="1443" spans="2:13" ht="15.75" x14ac:dyDescent="0.25">
      <c r="B1443" s="692"/>
      <c r="C1443" s="117" t="str">
        <f>IF(ISNUMBER(B1443),IFERROR(VLOOKUP(B1443,'נתוני רישום ומצבת'!B:J,3,0),""),"")</f>
        <v/>
      </c>
      <c r="D1443" s="693"/>
      <c r="E1443" s="697"/>
      <c r="F1443" s="695"/>
      <c r="G1443" s="696"/>
      <c r="K1443" s="22" t="str">
        <f t="shared" si="45"/>
        <v/>
      </c>
      <c r="M1443" s="534" t="str">
        <f t="shared" si="44"/>
        <v/>
      </c>
    </row>
    <row r="1444" spans="2:13" ht="15.75" x14ac:dyDescent="0.25">
      <c r="B1444" s="692"/>
      <c r="C1444" s="117" t="str">
        <f>IF(ISNUMBER(B1444),IFERROR(VLOOKUP(B1444,'נתוני רישום ומצבת'!B:J,3,0),""),"")</f>
        <v/>
      </c>
      <c r="D1444" s="693"/>
      <c r="E1444" s="697"/>
      <c r="F1444" s="695"/>
      <c r="G1444" s="696"/>
      <c r="K1444" s="22" t="str">
        <f t="shared" si="45"/>
        <v/>
      </c>
      <c r="M1444" s="534" t="str">
        <f t="shared" si="44"/>
        <v/>
      </c>
    </row>
    <row r="1445" spans="2:13" ht="15.75" x14ac:dyDescent="0.25">
      <c r="B1445" s="692"/>
      <c r="C1445" s="117" t="str">
        <f>IF(ISNUMBER(B1445),IFERROR(VLOOKUP(B1445,'נתוני רישום ומצבת'!B:J,3,0),""),"")</f>
        <v/>
      </c>
      <c r="D1445" s="693"/>
      <c r="E1445" s="697"/>
      <c r="F1445" s="695"/>
      <c r="G1445" s="696"/>
      <c r="K1445" s="22" t="str">
        <f t="shared" si="45"/>
        <v/>
      </c>
      <c r="M1445" s="534" t="str">
        <f t="shared" si="44"/>
        <v/>
      </c>
    </row>
    <row r="1446" spans="2:13" ht="15.75" x14ac:dyDescent="0.25">
      <c r="B1446" s="692"/>
      <c r="C1446" s="117" t="str">
        <f>IF(ISNUMBER(B1446),IFERROR(VLOOKUP(B1446,'נתוני רישום ומצבת'!B:J,3,0),""),"")</f>
        <v/>
      </c>
      <c r="D1446" s="693"/>
      <c r="E1446" s="697"/>
      <c r="F1446" s="695"/>
      <c r="G1446" s="696"/>
      <c r="K1446" s="22" t="str">
        <f t="shared" si="45"/>
        <v/>
      </c>
      <c r="M1446" s="534" t="str">
        <f t="shared" si="44"/>
        <v/>
      </c>
    </row>
    <row r="1447" spans="2:13" ht="15.75" x14ac:dyDescent="0.25">
      <c r="B1447" s="692"/>
      <c r="C1447" s="117" t="str">
        <f>IF(ISNUMBER(B1447),IFERROR(VLOOKUP(B1447,'נתוני רישום ומצבת'!B:J,3,0),""),"")</f>
        <v/>
      </c>
      <c r="D1447" s="693"/>
      <c r="E1447" s="697"/>
      <c r="F1447" s="695"/>
      <c r="G1447" s="696"/>
      <c r="K1447" s="22" t="str">
        <f t="shared" si="45"/>
        <v/>
      </c>
      <c r="M1447" s="534" t="str">
        <f t="shared" si="44"/>
        <v/>
      </c>
    </row>
    <row r="1448" spans="2:13" ht="15.75" x14ac:dyDescent="0.25">
      <c r="B1448" s="692"/>
      <c r="C1448" s="117" t="str">
        <f>IF(ISNUMBER(B1448),IFERROR(VLOOKUP(B1448,'נתוני רישום ומצבת'!B:J,3,0),""),"")</f>
        <v/>
      </c>
      <c r="D1448" s="693"/>
      <c r="E1448" s="697"/>
      <c r="F1448" s="695"/>
      <c r="G1448" s="696"/>
      <c r="K1448" s="22" t="str">
        <f t="shared" si="45"/>
        <v/>
      </c>
      <c r="M1448" s="534" t="str">
        <f t="shared" si="44"/>
        <v/>
      </c>
    </row>
    <row r="1449" spans="2:13" ht="15.75" x14ac:dyDescent="0.25">
      <c r="B1449" s="692"/>
      <c r="C1449" s="117" t="str">
        <f>IF(ISNUMBER(B1449),IFERROR(VLOOKUP(B1449,'נתוני רישום ומצבת'!B:J,3,0),""),"")</f>
        <v/>
      </c>
      <c r="D1449" s="693"/>
      <c r="E1449" s="697"/>
      <c r="F1449" s="695"/>
      <c r="G1449" s="696"/>
      <c r="K1449" s="22" t="str">
        <f t="shared" si="45"/>
        <v/>
      </c>
      <c r="M1449" s="534" t="str">
        <f t="shared" si="44"/>
        <v/>
      </c>
    </row>
    <row r="1450" spans="2:13" ht="15.75" x14ac:dyDescent="0.25">
      <c r="B1450" s="692"/>
      <c r="C1450" s="117" t="str">
        <f>IF(ISNUMBER(B1450),IFERROR(VLOOKUP(B1450,'נתוני רישום ומצבת'!B:J,3,0),""),"")</f>
        <v/>
      </c>
      <c r="D1450" s="693"/>
      <c r="E1450" s="697"/>
      <c r="F1450" s="695"/>
      <c r="G1450" s="696"/>
      <c r="K1450" s="22" t="str">
        <f t="shared" si="45"/>
        <v/>
      </c>
      <c r="M1450" s="534" t="str">
        <f t="shared" si="44"/>
        <v/>
      </c>
    </row>
    <row r="1451" spans="2:13" ht="15.75" x14ac:dyDescent="0.25">
      <c r="B1451" s="692"/>
      <c r="C1451" s="117" t="str">
        <f>IF(ISNUMBER(B1451),IFERROR(VLOOKUP(B1451,'נתוני רישום ומצבת'!B:J,3,0),""),"")</f>
        <v/>
      </c>
      <c r="D1451" s="693"/>
      <c r="E1451" s="697"/>
      <c r="F1451" s="695"/>
      <c r="G1451" s="696"/>
      <c r="K1451" s="22" t="str">
        <f t="shared" si="45"/>
        <v/>
      </c>
      <c r="M1451" s="534" t="str">
        <f t="shared" si="44"/>
        <v/>
      </c>
    </row>
    <row r="1452" spans="2:13" ht="15.75" x14ac:dyDescent="0.25">
      <c r="B1452" s="692"/>
      <c r="C1452" s="117" t="str">
        <f>IF(ISNUMBER(B1452),IFERROR(VLOOKUP(B1452,'נתוני רישום ומצבת'!B:J,3,0),""),"")</f>
        <v/>
      </c>
      <c r="D1452" s="693"/>
      <c r="E1452" s="697"/>
      <c r="F1452" s="695"/>
      <c r="G1452" s="696"/>
      <c r="K1452" s="22" t="str">
        <f t="shared" si="45"/>
        <v/>
      </c>
      <c r="M1452" s="534" t="str">
        <f t="shared" si="44"/>
        <v/>
      </c>
    </row>
    <row r="1453" spans="2:13" ht="15.75" x14ac:dyDescent="0.25">
      <c r="B1453" s="692"/>
      <c r="C1453" s="117" t="str">
        <f>IF(ISNUMBER(B1453),IFERROR(VLOOKUP(B1453,'נתוני רישום ומצבת'!B:J,3,0),""),"")</f>
        <v/>
      </c>
      <c r="D1453" s="693"/>
      <c r="E1453" s="697"/>
      <c r="F1453" s="695"/>
      <c r="G1453" s="696"/>
      <c r="K1453" s="22" t="str">
        <f t="shared" si="45"/>
        <v/>
      </c>
      <c r="M1453" s="534" t="str">
        <f t="shared" si="44"/>
        <v/>
      </c>
    </row>
    <row r="1454" spans="2:13" ht="15.75" x14ac:dyDescent="0.25">
      <c r="B1454" s="692"/>
      <c r="C1454" s="117" t="str">
        <f>IF(ISNUMBER(B1454),IFERROR(VLOOKUP(B1454,'נתוני רישום ומצבת'!B:J,3,0),""),"")</f>
        <v/>
      </c>
      <c r="D1454" s="693"/>
      <c r="E1454" s="697"/>
      <c r="F1454" s="695"/>
      <c r="G1454" s="696"/>
      <c r="K1454" s="22" t="str">
        <f t="shared" si="45"/>
        <v/>
      </c>
      <c r="M1454" s="534" t="str">
        <f t="shared" si="44"/>
        <v/>
      </c>
    </row>
    <row r="1455" spans="2:13" ht="15.75" x14ac:dyDescent="0.25">
      <c r="B1455" s="692"/>
      <c r="C1455" s="117" t="str">
        <f>IF(ISNUMBER(B1455),IFERROR(VLOOKUP(B1455,'נתוני רישום ומצבת'!B:J,3,0),""),"")</f>
        <v/>
      </c>
      <c r="D1455" s="693"/>
      <c r="E1455" s="697"/>
      <c r="F1455" s="695"/>
      <c r="G1455" s="696"/>
      <c r="K1455" s="22" t="str">
        <f t="shared" si="45"/>
        <v/>
      </c>
      <c r="M1455" s="534" t="str">
        <f t="shared" si="44"/>
        <v/>
      </c>
    </row>
    <row r="1456" spans="2:13" ht="15.75" x14ac:dyDescent="0.25">
      <c r="B1456" s="692"/>
      <c r="C1456" s="117" t="str">
        <f>IF(ISNUMBER(B1456),IFERROR(VLOOKUP(B1456,'נתוני רישום ומצבת'!B:J,3,0),""),"")</f>
        <v/>
      </c>
      <c r="D1456" s="693"/>
      <c r="E1456" s="697"/>
      <c r="F1456" s="695"/>
      <c r="G1456" s="696"/>
      <c r="K1456" s="22" t="str">
        <f t="shared" si="45"/>
        <v/>
      </c>
      <c r="M1456" s="534" t="str">
        <f t="shared" si="44"/>
        <v/>
      </c>
    </row>
    <row r="1457" spans="2:13" ht="15.75" x14ac:dyDescent="0.25">
      <c r="B1457" s="692"/>
      <c r="C1457" s="117" t="str">
        <f>IF(ISNUMBER(B1457),IFERROR(VLOOKUP(B1457,'נתוני רישום ומצבת'!B:J,3,0),""),"")</f>
        <v/>
      </c>
      <c r="D1457" s="693"/>
      <c r="E1457" s="697"/>
      <c r="F1457" s="695"/>
      <c r="G1457" s="696"/>
      <c r="K1457" s="22" t="str">
        <f t="shared" si="45"/>
        <v/>
      </c>
      <c r="M1457" s="534" t="str">
        <f t="shared" si="44"/>
        <v/>
      </c>
    </row>
    <row r="1458" spans="2:13" ht="15.75" x14ac:dyDescent="0.25">
      <c r="B1458" s="692"/>
      <c r="C1458" s="117" t="str">
        <f>IF(ISNUMBER(B1458),IFERROR(VLOOKUP(B1458,'נתוני רישום ומצבת'!B:J,3,0),""),"")</f>
        <v/>
      </c>
      <c r="D1458" s="693"/>
      <c r="E1458" s="697"/>
      <c r="F1458" s="695"/>
      <c r="G1458" s="696"/>
      <c r="K1458" s="22" t="str">
        <f t="shared" si="45"/>
        <v/>
      </c>
      <c r="M1458" s="534" t="str">
        <f t="shared" si="44"/>
        <v/>
      </c>
    </row>
    <row r="1459" spans="2:13" ht="15.75" x14ac:dyDescent="0.25">
      <c r="B1459" s="692"/>
      <c r="C1459" s="117" t="str">
        <f>IF(ISNUMBER(B1459),IFERROR(VLOOKUP(B1459,'נתוני רישום ומצבת'!B:J,3,0),""),"")</f>
        <v/>
      </c>
      <c r="D1459" s="693"/>
      <c r="E1459" s="697"/>
      <c r="F1459" s="695"/>
      <c r="G1459" s="696"/>
      <c r="K1459" s="22" t="str">
        <f t="shared" si="45"/>
        <v/>
      </c>
      <c r="M1459" s="534" t="str">
        <f t="shared" si="44"/>
        <v/>
      </c>
    </row>
    <row r="1460" spans="2:13" ht="15.75" x14ac:dyDescent="0.25">
      <c r="B1460" s="692"/>
      <c r="C1460" s="117" t="str">
        <f>IF(ISNUMBER(B1460),IFERROR(VLOOKUP(B1460,'נתוני רישום ומצבת'!B:J,3,0),""),"")</f>
        <v/>
      </c>
      <c r="D1460" s="693"/>
      <c r="E1460" s="697"/>
      <c r="F1460" s="695"/>
      <c r="G1460" s="696"/>
      <c r="K1460" s="22" t="str">
        <f t="shared" si="45"/>
        <v/>
      </c>
      <c r="M1460" s="534" t="str">
        <f t="shared" si="44"/>
        <v/>
      </c>
    </row>
    <row r="1461" spans="2:13" ht="15.75" x14ac:dyDescent="0.25">
      <c r="B1461" s="692"/>
      <c r="C1461" s="117" t="str">
        <f>IF(ISNUMBER(B1461),IFERROR(VLOOKUP(B1461,'נתוני רישום ומצבת'!B:J,3,0),""),"")</f>
        <v/>
      </c>
      <c r="D1461" s="693"/>
      <c r="E1461" s="697"/>
      <c r="F1461" s="695"/>
      <c r="G1461" s="696"/>
      <c r="K1461" s="22" t="str">
        <f t="shared" si="45"/>
        <v/>
      </c>
      <c r="M1461" s="534" t="str">
        <f t="shared" si="44"/>
        <v/>
      </c>
    </row>
    <row r="1462" spans="2:13" ht="15.75" x14ac:dyDescent="0.25">
      <c r="B1462" s="692"/>
      <c r="C1462" s="117" t="str">
        <f>IF(ISNUMBER(B1462),IFERROR(VLOOKUP(B1462,'נתוני רישום ומצבת'!B:J,3,0),""),"")</f>
        <v/>
      </c>
      <c r="D1462" s="693"/>
      <c r="E1462" s="697"/>
      <c r="F1462" s="695"/>
      <c r="G1462" s="696"/>
      <c r="K1462" s="22" t="str">
        <f t="shared" si="45"/>
        <v/>
      </c>
      <c r="M1462" s="534" t="str">
        <f t="shared" si="44"/>
        <v/>
      </c>
    </row>
    <row r="1463" spans="2:13" ht="15.75" x14ac:dyDescent="0.25">
      <c r="B1463" s="692"/>
      <c r="C1463" s="117" t="str">
        <f>IF(ISNUMBER(B1463),IFERROR(VLOOKUP(B1463,'נתוני רישום ומצבת'!B:J,3,0),""),"")</f>
        <v/>
      </c>
      <c r="D1463" s="693"/>
      <c r="E1463" s="697"/>
      <c r="F1463" s="695"/>
      <c r="G1463" s="696"/>
      <c r="K1463" s="22" t="str">
        <f t="shared" si="45"/>
        <v/>
      </c>
      <c r="M1463" s="534" t="str">
        <f t="shared" si="44"/>
        <v/>
      </c>
    </row>
    <row r="1464" spans="2:13" ht="15.75" x14ac:dyDescent="0.25">
      <c r="B1464" s="692"/>
      <c r="C1464" s="117" t="str">
        <f>IF(ISNUMBER(B1464),IFERROR(VLOOKUP(B1464,'נתוני רישום ומצבת'!B:J,3,0),""),"")</f>
        <v/>
      </c>
      <c r="D1464" s="693"/>
      <c r="E1464" s="697"/>
      <c r="F1464" s="695"/>
      <c r="G1464" s="696"/>
      <c r="K1464" s="22" t="str">
        <f t="shared" si="45"/>
        <v/>
      </c>
      <c r="M1464" s="534" t="str">
        <f t="shared" si="44"/>
        <v/>
      </c>
    </row>
    <row r="1465" spans="2:13" ht="15.75" x14ac:dyDescent="0.25">
      <c r="B1465" s="692"/>
      <c r="C1465" s="117" t="str">
        <f>IF(ISNUMBER(B1465),IFERROR(VLOOKUP(B1465,'נתוני רישום ומצבת'!B:J,3,0),""),"")</f>
        <v/>
      </c>
      <c r="D1465" s="693"/>
      <c r="E1465" s="697"/>
      <c r="F1465" s="695"/>
      <c r="G1465" s="696"/>
      <c r="K1465" s="22" t="str">
        <f t="shared" si="45"/>
        <v/>
      </c>
      <c r="M1465" s="534" t="str">
        <f t="shared" si="44"/>
        <v/>
      </c>
    </row>
    <row r="1466" spans="2:13" ht="15.75" x14ac:dyDescent="0.25">
      <c r="B1466" s="692"/>
      <c r="C1466" s="117" t="str">
        <f>IF(ISNUMBER(B1466),IFERROR(VLOOKUP(B1466,'נתוני רישום ומצבת'!B:J,3,0),""),"")</f>
        <v/>
      </c>
      <c r="D1466" s="693"/>
      <c r="E1466" s="697"/>
      <c r="F1466" s="695"/>
      <c r="G1466" s="696"/>
      <c r="K1466" s="22" t="str">
        <f t="shared" si="45"/>
        <v/>
      </c>
      <c r="M1466" s="534" t="str">
        <f t="shared" si="44"/>
        <v/>
      </c>
    </row>
    <row r="1467" spans="2:13" ht="15.75" x14ac:dyDescent="0.25">
      <c r="B1467" s="692"/>
      <c r="C1467" s="117" t="str">
        <f>IF(ISNUMBER(B1467),IFERROR(VLOOKUP(B1467,'נתוני רישום ומצבת'!B:J,3,0),""),"")</f>
        <v/>
      </c>
      <c r="D1467" s="693"/>
      <c r="E1467" s="697"/>
      <c r="F1467" s="695"/>
      <c r="G1467" s="696"/>
      <c r="K1467" s="22" t="str">
        <f t="shared" si="45"/>
        <v/>
      </c>
      <c r="M1467" s="534" t="str">
        <f t="shared" si="44"/>
        <v/>
      </c>
    </row>
    <row r="1468" spans="2:13" ht="15.75" x14ac:dyDescent="0.25">
      <c r="B1468" s="692"/>
      <c r="C1468" s="117" t="str">
        <f>IF(ISNUMBER(B1468),IFERROR(VLOOKUP(B1468,'נתוני רישום ומצבת'!B:J,3,0),""),"")</f>
        <v/>
      </c>
      <c r="D1468" s="693"/>
      <c r="E1468" s="697"/>
      <c r="F1468" s="695"/>
      <c r="G1468" s="696"/>
      <c r="K1468" s="22" t="str">
        <f t="shared" si="45"/>
        <v/>
      </c>
      <c r="M1468" s="534" t="str">
        <f t="shared" si="44"/>
        <v/>
      </c>
    </row>
    <row r="1469" spans="2:13" ht="15.75" x14ac:dyDescent="0.25">
      <c r="B1469" s="692"/>
      <c r="C1469" s="117" t="str">
        <f>IF(ISNUMBER(B1469),IFERROR(VLOOKUP(B1469,'נתוני רישום ומצבת'!B:J,3,0),""),"")</f>
        <v/>
      </c>
      <c r="D1469" s="693"/>
      <c r="E1469" s="697"/>
      <c r="F1469" s="695"/>
      <c r="G1469" s="696"/>
      <c r="K1469" s="22" t="str">
        <f t="shared" si="45"/>
        <v/>
      </c>
      <c r="M1469" s="534" t="str">
        <f t="shared" si="44"/>
        <v/>
      </c>
    </row>
    <row r="1470" spans="2:13" ht="15.75" x14ac:dyDescent="0.25">
      <c r="B1470" s="692"/>
      <c r="C1470" s="117" t="str">
        <f>IF(ISNUMBER(B1470),IFERROR(VLOOKUP(B1470,'נתוני רישום ומצבת'!B:J,3,0),""),"")</f>
        <v/>
      </c>
      <c r="D1470" s="693"/>
      <c r="E1470" s="697"/>
      <c r="F1470" s="695"/>
      <c r="G1470" s="696"/>
      <c r="K1470" s="22" t="str">
        <f t="shared" si="45"/>
        <v/>
      </c>
      <c r="M1470" s="534" t="str">
        <f t="shared" si="44"/>
        <v/>
      </c>
    </row>
    <row r="1471" spans="2:13" ht="15.75" x14ac:dyDescent="0.25">
      <c r="B1471" s="692"/>
      <c r="C1471" s="117" t="str">
        <f>IF(ISNUMBER(B1471),IFERROR(VLOOKUP(B1471,'נתוני רישום ומצבת'!B:J,3,0),""),"")</f>
        <v/>
      </c>
      <c r="D1471" s="693"/>
      <c r="E1471" s="697"/>
      <c r="F1471" s="695"/>
      <c r="G1471" s="696"/>
      <c r="K1471" s="22" t="str">
        <f t="shared" si="45"/>
        <v/>
      </c>
      <c r="M1471" s="534" t="str">
        <f t="shared" si="44"/>
        <v/>
      </c>
    </row>
    <row r="1472" spans="2:13" ht="15.75" x14ac:dyDescent="0.25">
      <c r="B1472" s="692"/>
      <c r="C1472" s="117" t="str">
        <f>IF(ISNUMBER(B1472),IFERROR(VLOOKUP(B1472,'נתוני רישום ומצבת'!B:J,3,0),""),"")</f>
        <v/>
      </c>
      <c r="D1472" s="693"/>
      <c r="E1472" s="697"/>
      <c r="F1472" s="695"/>
      <c r="G1472" s="696"/>
      <c r="K1472" s="22" t="str">
        <f t="shared" si="45"/>
        <v/>
      </c>
      <c r="M1472" s="534" t="str">
        <f t="shared" si="44"/>
        <v/>
      </c>
    </row>
    <row r="1473" spans="2:13" ht="15.75" x14ac:dyDescent="0.25">
      <c r="B1473" s="692"/>
      <c r="C1473" s="117" t="str">
        <f>IF(ISNUMBER(B1473),IFERROR(VLOOKUP(B1473,'נתוני רישום ומצבת'!B:J,3,0),""),"")</f>
        <v/>
      </c>
      <c r="D1473" s="693"/>
      <c r="E1473" s="697"/>
      <c r="F1473" s="695"/>
      <c r="G1473" s="696"/>
      <c r="K1473" s="22" t="str">
        <f t="shared" si="45"/>
        <v/>
      </c>
      <c r="M1473" s="534" t="str">
        <f t="shared" si="44"/>
        <v/>
      </c>
    </row>
    <row r="1474" spans="2:13" ht="15.75" x14ac:dyDescent="0.25">
      <c r="B1474" s="692"/>
      <c r="C1474" s="117" t="str">
        <f>IF(ISNUMBER(B1474),IFERROR(VLOOKUP(B1474,'נתוני רישום ומצבת'!B:J,3,0),""),"")</f>
        <v/>
      </c>
      <c r="D1474" s="693"/>
      <c r="E1474" s="697"/>
      <c r="F1474" s="695"/>
      <c r="G1474" s="696"/>
      <c r="K1474" s="22" t="str">
        <f t="shared" si="45"/>
        <v/>
      </c>
      <c r="M1474" s="534" t="str">
        <f t="shared" si="44"/>
        <v/>
      </c>
    </row>
    <row r="1475" spans="2:13" ht="15.75" x14ac:dyDescent="0.25">
      <c r="B1475" s="692"/>
      <c r="C1475" s="117" t="str">
        <f>IF(ISNUMBER(B1475),IFERROR(VLOOKUP(B1475,'נתוני רישום ומצבת'!B:J,3,0),""),"")</f>
        <v/>
      </c>
      <c r="D1475" s="693"/>
      <c r="E1475" s="697"/>
      <c r="F1475" s="695"/>
      <c r="G1475" s="696"/>
      <c r="K1475" s="22" t="str">
        <f t="shared" si="45"/>
        <v/>
      </c>
      <c r="M1475" s="534" t="str">
        <f t="shared" si="44"/>
        <v/>
      </c>
    </row>
    <row r="1476" spans="2:13" ht="15.75" x14ac:dyDescent="0.25">
      <c r="B1476" s="692"/>
      <c r="C1476" s="117" t="str">
        <f>IF(ISNUMBER(B1476),IFERROR(VLOOKUP(B1476,'נתוני רישום ומצבת'!B:J,3,0),""),"")</f>
        <v/>
      </c>
      <c r="D1476" s="693"/>
      <c r="E1476" s="697"/>
      <c r="F1476" s="695"/>
      <c r="G1476" s="696"/>
      <c r="K1476" s="22" t="str">
        <f t="shared" si="45"/>
        <v/>
      </c>
      <c r="M1476" s="534" t="str">
        <f t="shared" si="44"/>
        <v/>
      </c>
    </row>
    <row r="1477" spans="2:13" ht="15.75" x14ac:dyDescent="0.25">
      <c r="B1477" s="692"/>
      <c r="C1477" s="117" t="str">
        <f>IF(ISNUMBER(B1477),IFERROR(VLOOKUP(B1477,'נתוני רישום ומצבת'!B:J,3,0),""),"")</f>
        <v/>
      </c>
      <c r="D1477" s="693"/>
      <c r="E1477" s="697"/>
      <c r="F1477" s="695"/>
      <c r="G1477" s="696"/>
      <c r="K1477" s="22" t="str">
        <f t="shared" si="45"/>
        <v/>
      </c>
      <c r="M1477" s="534" t="str">
        <f t="shared" si="44"/>
        <v/>
      </c>
    </row>
    <row r="1478" spans="2:13" ht="15.75" x14ac:dyDescent="0.25">
      <c r="B1478" s="692"/>
      <c r="C1478" s="117" t="str">
        <f>IF(ISNUMBER(B1478),IFERROR(VLOOKUP(B1478,'נתוני רישום ומצבת'!B:J,3,0),""),"")</f>
        <v/>
      </c>
      <c r="D1478" s="693"/>
      <c r="E1478" s="697"/>
      <c r="F1478" s="695"/>
      <c r="G1478" s="696"/>
      <c r="K1478" s="22" t="str">
        <f t="shared" si="45"/>
        <v/>
      </c>
      <c r="M1478" s="534" t="str">
        <f t="shared" si="44"/>
        <v/>
      </c>
    </row>
    <row r="1479" spans="2:13" ht="15.75" x14ac:dyDescent="0.25">
      <c r="B1479" s="692"/>
      <c r="C1479" s="117" t="str">
        <f>IF(ISNUMBER(B1479),IFERROR(VLOOKUP(B1479,'נתוני רישום ומצבת'!B:J,3,0),""),"")</f>
        <v/>
      </c>
      <c r="D1479" s="693"/>
      <c r="E1479" s="697"/>
      <c r="F1479" s="695"/>
      <c r="G1479" s="696"/>
      <c r="K1479" s="22" t="str">
        <f t="shared" si="45"/>
        <v/>
      </c>
      <c r="M1479" s="534" t="str">
        <f t="shared" si="44"/>
        <v/>
      </c>
    </row>
    <row r="1480" spans="2:13" ht="15.75" x14ac:dyDescent="0.25">
      <c r="B1480" s="692"/>
      <c r="C1480" s="117" t="str">
        <f>IF(ISNUMBER(B1480),IFERROR(VLOOKUP(B1480,'נתוני רישום ומצבת'!B:J,3,0),""),"")</f>
        <v/>
      </c>
      <c r="D1480" s="693"/>
      <c r="E1480" s="697"/>
      <c r="F1480" s="695"/>
      <c r="G1480" s="696"/>
      <c r="K1480" s="22" t="str">
        <f t="shared" si="45"/>
        <v/>
      </c>
      <c r="M1480" s="534" t="str">
        <f t="shared" si="44"/>
        <v/>
      </c>
    </row>
    <row r="1481" spans="2:13" ht="15.75" x14ac:dyDescent="0.25">
      <c r="B1481" s="692"/>
      <c r="C1481" s="117" t="str">
        <f>IF(ISNUMBER(B1481),IFERROR(VLOOKUP(B1481,'נתוני רישום ומצבת'!B:J,3,0),""),"")</f>
        <v/>
      </c>
      <c r="D1481" s="693"/>
      <c r="E1481" s="697"/>
      <c r="F1481" s="695"/>
      <c r="G1481" s="696"/>
      <c r="K1481" s="22" t="str">
        <f t="shared" si="45"/>
        <v/>
      </c>
      <c r="M1481" s="534" t="str">
        <f t="shared" si="44"/>
        <v/>
      </c>
    </row>
    <row r="1482" spans="2:13" ht="15.75" x14ac:dyDescent="0.25">
      <c r="B1482" s="692"/>
      <c r="C1482" s="117" t="str">
        <f>IF(ISNUMBER(B1482),IFERROR(VLOOKUP(B1482,'נתוני רישום ומצבת'!B:J,3,0),""),"")</f>
        <v/>
      </c>
      <c r="D1482" s="693"/>
      <c r="E1482" s="697"/>
      <c r="F1482" s="695"/>
      <c r="G1482" s="696"/>
      <c r="K1482" s="22" t="str">
        <f t="shared" si="45"/>
        <v/>
      </c>
      <c r="M1482" s="534" t="str">
        <f t="shared" si="44"/>
        <v/>
      </c>
    </row>
    <row r="1483" spans="2:13" ht="15.75" x14ac:dyDescent="0.25">
      <c r="B1483" s="692"/>
      <c r="C1483" s="117" t="str">
        <f>IF(ISNUMBER(B1483),IFERROR(VLOOKUP(B1483,'נתוני רישום ומצבת'!B:J,3,0),""),"")</f>
        <v/>
      </c>
      <c r="D1483" s="693"/>
      <c r="E1483" s="697"/>
      <c r="F1483" s="695"/>
      <c r="G1483" s="696"/>
      <c r="K1483" s="22" t="str">
        <f t="shared" si="45"/>
        <v/>
      </c>
      <c r="M1483" s="534" t="str">
        <f t="shared" si="44"/>
        <v/>
      </c>
    </row>
    <row r="1484" spans="2:13" ht="15.75" x14ac:dyDescent="0.25">
      <c r="B1484" s="692"/>
      <c r="C1484" s="117" t="str">
        <f>IF(ISNUMBER(B1484),IFERROR(VLOOKUP(B1484,'נתוני רישום ומצבת'!B:J,3,0),""),"")</f>
        <v/>
      </c>
      <c r="D1484" s="693"/>
      <c r="E1484" s="697"/>
      <c r="F1484" s="695"/>
      <c r="G1484" s="696"/>
      <c r="K1484" s="22" t="str">
        <f t="shared" si="45"/>
        <v/>
      </c>
      <c r="M1484" s="534" t="str">
        <f t="shared" si="44"/>
        <v/>
      </c>
    </row>
    <row r="1485" spans="2:13" ht="15.75" x14ac:dyDescent="0.25">
      <c r="B1485" s="692"/>
      <c r="C1485" s="117" t="str">
        <f>IF(ISNUMBER(B1485),IFERROR(VLOOKUP(B1485,'נתוני רישום ומצבת'!B:J,3,0),""),"")</f>
        <v/>
      </c>
      <c r="D1485" s="693"/>
      <c r="E1485" s="697"/>
      <c r="F1485" s="695"/>
      <c r="G1485" s="696"/>
      <c r="K1485" s="22" t="str">
        <f t="shared" si="45"/>
        <v/>
      </c>
      <c r="M1485" s="534" t="str">
        <f t="shared" si="44"/>
        <v/>
      </c>
    </row>
    <row r="1486" spans="2:13" ht="15.75" x14ac:dyDescent="0.25">
      <c r="B1486" s="692"/>
      <c r="C1486" s="117" t="str">
        <f>IF(ISNUMBER(B1486),IFERROR(VLOOKUP(B1486,'נתוני רישום ומצבת'!B:J,3,0),""),"")</f>
        <v/>
      </c>
      <c r="D1486" s="693"/>
      <c r="E1486" s="697"/>
      <c r="F1486" s="695"/>
      <c r="G1486" s="696"/>
      <c r="K1486" s="22" t="str">
        <f t="shared" si="45"/>
        <v/>
      </c>
      <c r="M1486" s="534" t="str">
        <f t="shared" si="44"/>
        <v/>
      </c>
    </row>
    <row r="1487" spans="2:13" ht="15.75" x14ac:dyDescent="0.25">
      <c r="B1487" s="692"/>
      <c r="C1487" s="117" t="str">
        <f>IF(ISNUMBER(B1487),IFERROR(VLOOKUP(B1487,'נתוני רישום ומצבת'!B:J,3,0),""),"")</f>
        <v/>
      </c>
      <c r="D1487" s="693"/>
      <c r="E1487" s="697"/>
      <c r="F1487" s="695"/>
      <c r="G1487" s="696"/>
      <c r="K1487" s="22" t="str">
        <f t="shared" si="45"/>
        <v/>
      </c>
      <c r="M1487" s="534" t="str">
        <f t="shared" si="44"/>
        <v/>
      </c>
    </row>
    <row r="1488" spans="2:13" ht="15.75" x14ac:dyDescent="0.25">
      <c r="B1488" s="692"/>
      <c r="C1488" s="117" t="str">
        <f>IF(ISNUMBER(B1488),IFERROR(VLOOKUP(B1488,'נתוני רישום ומצבת'!B:J,3,0),""),"")</f>
        <v/>
      </c>
      <c r="D1488" s="693"/>
      <c r="E1488" s="697"/>
      <c r="F1488" s="695"/>
      <c r="G1488" s="696"/>
      <c r="K1488" s="22" t="str">
        <f t="shared" si="45"/>
        <v/>
      </c>
      <c r="M1488" s="534" t="str">
        <f t="shared" si="44"/>
        <v/>
      </c>
    </row>
    <row r="1489" spans="2:13" ht="15.75" x14ac:dyDescent="0.25">
      <c r="B1489" s="692"/>
      <c r="C1489" s="117" t="str">
        <f>IF(ISNUMBER(B1489),IFERROR(VLOOKUP(B1489,'נתוני רישום ומצבת'!B:J,3,0),""),"")</f>
        <v/>
      </c>
      <c r="D1489" s="693"/>
      <c r="E1489" s="697"/>
      <c r="F1489" s="695"/>
      <c r="G1489" s="696"/>
      <c r="K1489" s="22" t="str">
        <f t="shared" si="45"/>
        <v/>
      </c>
      <c r="M1489" s="534" t="str">
        <f t="shared" ref="M1489:M1552" si="46">TEXT(LEFT(D1489,2),0)</f>
        <v/>
      </c>
    </row>
    <row r="1490" spans="2:13" ht="15.75" x14ac:dyDescent="0.25">
      <c r="B1490" s="692"/>
      <c r="C1490" s="117" t="str">
        <f>IF(ISNUMBER(B1490),IFERROR(VLOOKUP(B1490,'נתוני רישום ומצבת'!B:J,3,0),""),"")</f>
        <v/>
      </c>
      <c r="D1490" s="693"/>
      <c r="E1490" s="697"/>
      <c r="F1490" s="695"/>
      <c r="G1490" s="696"/>
      <c r="K1490" s="22" t="str">
        <f t="shared" si="45"/>
        <v/>
      </c>
      <c r="M1490" s="534" t="str">
        <f t="shared" si="46"/>
        <v/>
      </c>
    </row>
    <row r="1491" spans="2:13" ht="15.75" x14ac:dyDescent="0.25">
      <c r="B1491" s="692"/>
      <c r="C1491" s="117" t="str">
        <f>IF(ISNUMBER(B1491),IFERROR(VLOOKUP(B1491,'נתוני רישום ומצבת'!B:J,3,0),""),"")</f>
        <v/>
      </c>
      <c r="D1491" s="693"/>
      <c r="E1491" s="697"/>
      <c r="F1491" s="695"/>
      <c r="G1491" s="696"/>
      <c r="K1491" s="22" t="str">
        <f t="shared" si="45"/>
        <v/>
      </c>
      <c r="M1491" s="534" t="str">
        <f t="shared" si="46"/>
        <v/>
      </c>
    </row>
    <row r="1492" spans="2:13" ht="15.75" x14ac:dyDescent="0.25">
      <c r="B1492" s="692"/>
      <c r="C1492" s="117" t="str">
        <f>IF(ISNUMBER(B1492),IFERROR(VLOOKUP(B1492,'נתוני רישום ומצבת'!B:J,3,0),""),"")</f>
        <v/>
      </c>
      <c r="D1492" s="693"/>
      <c r="E1492" s="697"/>
      <c r="F1492" s="695"/>
      <c r="G1492" s="696"/>
      <c r="K1492" s="22" t="str">
        <f t="shared" si="45"/>
        <v/>
      </c>
      <c r="M1492" s="534" t="str">
        <f t="shared" si="46"/>
        <v/>
      </c>
    </row>
    <row r="1493" spans="2:13" ht="15.75" x14ac:dyDescent="0.25">
      <c r="B1493" s="692"/>
      <c r="C1493" s="117" t="str">
        <f>IF(ISNUMBER(B1493),IFERROR(VLOOKUP(B1493,'נתוני רישום ומצבת'!B:J,3,0),""),"")</f>
        <v/>
      </c>
      <c r="D1493" s="693"/>
      <c r="E1493" s="697"/>
      <c r="F1493" s="695"/>
      <c r="G1493" s="696"/>
      <c r="K1493" s="22" t="str">
        <f t="shared" ref="K1493:K1556" si="47">IF(C1480&lt;5,IF(D1493=$F$8,-E1493," "),"")</f>
        <v/>
      </c>
      <c r="M1493" s="534" t="str">
        <f t="shared" si="46"/>
        <v/>
      </c>
    </row>
    <row r="1494" spans="2:13" ht="15.75" x14ac:dyDescent="0.25">
      <c r="B1494" s="692"/>
      <c r="C1494" s="117" t="str">
        <f>IF(ISNUMBER(B1494),IFERROR(VLOOKUP(B1494,'נתוני רישום ומצבת'!B:J,3,0),""),"")</f>
        <v/>
      </c>
      <c r="D1494" s="693"/>
      <c r="E1494" s="697"/>
      <c r="F1494" s="695"/>
      <c r="G1494" s="696"/>
      <c r="K1494" s="22" t="str">
        <f t="shared" si="47"/>
        <v/>
      </c>
      <c r="M1494" s="534" t="str">
        <f t="shared" si="46"/>
        <v/>
      </c>
    </row>
    <row r="1495" spans="2:13" ht="15.75" x14ac:dyDescent="0.25">
      <c r="B1495" s="692"/>
      <c r="C1495" s="117" t="str">
        <f>IF(ISNUMBER(B1495),IFERROR(VLOOKUP(B1495,'נתוני רישום ומצבת'!B:J,3,0),""),"")</f>
        <v/>
      </c>
      <c r="D1495" s="693"/>
      <c r="E1495" s="697"/>
      <c r="F1495" s="695"/>
      <c r="G1495" s="696"/>
      <c r="K1495" s="22" t="str">
        <f t="shared" si="47"/>
        <v/>
      </c>
      <c r="M1495" s="534" t="str">
        <f t="shared" si="46"/>
        <v/>
      </c>
    </row>
    <row r="1496" spans="2:13" ht="15.75" x14ac:dyDescent="0.25">
      <c r="B1496" s="692"/>
      <c r="C1496" s="117" t="str">
        <f>IF(ISNUMBER(B1496),IFERROR(VLOOKUP(B1496,'נתוני רישום ומצבת'!B:J,3,0),""),"")</f>
        <v/>
      </c>
      <c r="D1496" s="693"/>
      <c r="E1496" s="697"/>
      <c r="F1496" s="695"/>
      <c r="G1496" s="696"/>
      <c r="K1496" s="22" t="str">
        <f t="shared" si="47"/>
        <v/>
      </c>
      <c r="M1496" s="534" t="str">
        <f t="shared" si="46"/>
        <v/>
      </c>
    </row>
    <row r="1497" spans="2:13" ht="15.75" x14ac:dyDescent="0.25">
      <c r="B1497" s="692"/>
      <c r="C1497" s="117" t="str">
        <f>IF(ISNUMBER(B1497),IFERROR(VLOOKUP(B1497,'נתוני רישום ומצבת'!B:J,3,0),""),"")</f>
        <v/>
      </c>
      <c r="D1497" s="693"/>
      <c r="E1497" s="697"/>
      <c r="F1497" s="695"/>
      <c r="G1497" s="696"/>
      <c r="K1497" s="22" t="str">
        <f t="shared" si="47"/>
        <v/>
      </c>
      <c r="M1497" s="534" t="str">
        <f t="shared" si="46"/>
        <v/>
      </c>
    </row>
    <row r="1498" spans="2:13" ht="15.75" x14ac:dyDescent="0.25">
      <c r="B1498" s="692"/>
      <c r="C1498" s="117" t="str">
        <f>IF(ISNUMBER(B1498),IFERROR(VLOOKUP(B1498,'נתוני רישום ומצבת'!B:J,3,0),""),"")</f>
        <v/>
      </c>
      <c r="D1498" s="693"/>
      <c r="E1498" s="697"/>
      <c r="F1498" s="695"/>
      <c r="G1498" s="696"/>
      <c r="K1498" s="22" t="str">
        <f t="shared" si="47"/>
        <v/>
      </c>
      <c r="M1498" s="534" t="str">
        <f t="shared" si="46"/>
        <v/>
      </c>
    </row>
    <row r="1499" spans="2:13" ht="15.75" x14ac:dyDescent="0.25">
      <c r="B1499" s="692"/>
      <c r="C1499" s="117" t="str">
        <f>IF(ISNUMBER(B1499),IFERROR(VLOOKUP(B1499,'נתוני רישום ומצבת'!B:J,3,0),""),"")</f>
        <v/>
      </c>
      <c r="D1499" s="693"/>
      <c r="E1499" s="697"/>
      <c r="F1499" s="695"/>
      <c r="G1499" s="696"/>
      <c r="K1499" s="22" t="str">
        <f t="shared" si="47"/>
        <v/>
      </c>
      <c r="M1499" s="534" t="str">
        <f t="shared" si="46"/>
        <v/>
      </c>
    </row>
    <row r="1500" spans="2:13" ht="15.75" x14ac:dyDescent="0.25">
      <c r="B1500" s="692"/>
      <c r="C1500" s="117" t="str">
        <f>IF(ISNUMBER(B1500),IFERROR(VLOOKUP(B1500,'נתוני רישום ומצבת'!B:J,3,0),""),"")</f>
        <v/>
      </c>
      <c r="D1500" s="693"/>
      <c r="E1500" s="697"/>
      <c r="F1500" s="695"/>
      <c r="G1500" s="696"/>
      <c r="K1500" s="22" t="str">
        <f t="shared" si="47"/>
        <v/>
      </c>
      <c r="M1500" s="534" t="str">
        <f t="shared" si="46"/>
        <v/>
      </c>
    </row>
    <row r="1501" spans="2:13" ht="15.75" x14ac:dyDescent="0.25">
      <c r="B1501" s="692"/>
      <c r="C1501" s="117" t="str">
        <f>IF(ISNUMBER(B1501),IFERROR(VLOOKUP(B1501,'נתוני רישום ומצבת'!B:J,3,0),""),"")</f>
        <v/>
      </c>
      <c r="D1501" s="693"/>
      <c r="E1501" s="697"/>
      <c r="F1501" s="695"/>
      <c r="G1501" s="696"/>
      <c r="K1501" s="22" t="str">
        <f t="shared" si="47"/>
        <v/>
      </c>
      <c r="M1501" s="534" t="str">
        <f t="shared" si="46"/>
        <v/>
      </c>
    </row>
    <row r="1502" spans="2:13" ht="15.75" x14ac:dyDescent="0.25">
      <c r="B1502" s="692"/>
      <c r="C1502" s="117" t="str">
        <f>IF(ISNUMBER(B1502),IFERROR(VLOOKUP(B1502,'נתוני רישום ומצבת'!B:J,3,0),""),"")</f>
        <v/>
      </c>
      <c r="D1502" s="693"/>
      <c r="E1502" s="697"/>
      <c r="F1502" s="695"/>
      <c r="G1502" s="696"/>
      <c r="K1502" s="22" t="str">
        <f t="shared" si="47"/>
        <v/>
      </c>
      <c r="M1502" s="534" t="str">
        <f t="shared" si="46"/>
        <v/>
      </c>
    </row>
    <row r="1503" spans="2:13" ht="15.75" x14ac:dyDescent="0.25">
      <c r="B1503" s="692"/>
      <c r="C1503" s="117" t="str">
        <f>IF(ISNUMBER(B1503),IFERROR(VLOOKUP(B1503,'נתוני רישום ומצבת'!B:J,3,0),""),"")</f>
        <v/>
      </c>
      <c r="D1503" s="693"/>
      <c r="E1503" s="697"/>
      <c r="F1503" s="695"/>
      <c r="G1503" s="696"/>
      <c r="K1503" s="22" t="str">
        <f t="shared" si="47"/>
        <v/>
      </c>
      <c r="M1503" s="534" t="str">
        <f t="shared" si="46"/>
        <v/>
      </c>
    </row>
    <row r="1504" spans="2:13" ht="15.75" x14ac:dyDescent="0.25">
      <c r="B1504" s="692"/>
      <c r="C1504" s="117" t="str">
        <f>IF(ISNUMBER(B1504),IFERROR(VLOOKUP(B1504,'נתוני רישום ומצבת'!B:J,3,0),""),"")</f>
        <v/>
      </c>
      <c r="D1504" s="693"/>
      <c r="E1504" s="697"/>
      <c r="F1504" s="695"/>
      <c r="G1504" s="696"/>
      <c r="K1504" s="22" t="str">
        <f t="shared" si="47"/>
        <v/>
      </c>
      <c r="M1504" s="534" t="str">
        <f t="shared" si="46"/>
        <v/>
      </c>
    </row>
    <row r="1505" spans="2:13" ht="15.75" x14ac:dyDescent="0.25">
      <c r="B1505" s="692"/>
      <c r="C1505" s="117" t="str">
        <f>IF(ISNUMBER(B1505),IFERROR(VLOOKUP(B1505,'נתוני רישום ומצבת'!B:J,3,0),""),"")</f>
        <v/>
      </c>
      <c r="D1505" s="693"/>
      <c r="E1505" s="697"/>
      <c r="F1505" s="695"/>
      <c r="G1505" s="696"/>
      <c r="K1505" s="22" t="str">
        <f t="shared" si="47"/>
        <v/>
      </c>
      <c r="M1505" s="534" t="str">
        <f t="shared" si="46"/>
        <v/>
      </c>
    </row>
    <row r="1506" spans="2:13" ht="15.75" x14ac:dyDescent="0.25">
      <c r="B1506" s="692"/>
      <c r="C1506" s="117" t="str">
        <f>IF(ISNUMBER(B1506),IFERROR(VLOOKUP(B1506,'נתוני רישום ומצבת'!B:J,3,0),""),"")</f>
        <v/>
      </c>
      <c r="D1506" s="693"/>
      <c r="E1506" s="697"/>
      <c r="F1506" s="695"/>
      <c r="G1506" s="696"/>
      <c r="K1506" s="22" t="str">
        <f t="shared" si="47"/>
        <v/>
      </c>
      <c r="M1506" s="534" t="str">
        <f t="shared" si="46"/>
        <v/>
      </c>
    </row>
    <row r="1507" spans="2:13" ht="15.75" x14ac:dyDescent="0.25">
      <c r="B1507" s="692"/>
      <c r="C1507" s="117" t="str">
        <f>IF(ISNUMBER(B1507),IFERROR(VLOOKUP(B1507,'נתוני רישום ומצבת'!B:J,3,0),""),"")</f>
        <v/>
      </c>
      <c r="D1507" s="693"/>
      <c r="E1507" s="697"/>
      <c r="F1507" s="695"/>
      <c r="G1507" s="696"/>
      <c r="K1507" s="22" t="str">
        <f t="shared" si="47"/>
        <v/>
      </c>
      <c r="M1507" s="534" t="str">
        <f t="shared" si="46"/>
        <v/>
      </c>
    </row>
    <row r="1508" spans="2:13" ht="15.75" x14ac:dyDescent="0.25">
      <c r="B1508" s="692"/>
      <c r="C1508" s="117" t="str">
        <f>IF(ISNUMBER(B1508),IFERROR(VLOOKUP(B1508,'נתוני רישום ומצבת'!B:J,3,0),""),"")</f>
        <v/>
      </c>
      <c r="D1508" s="693"/>
      <c r="E1508" s="697"/>
      <c r="F1508" s="695"/>
      <c r="G1508" s="696"/>
      <c r="K1508" s="22" t="str">
        <f t="shared" si="47"/>
        <v/>
      </c>
      <c r="M1508" s="534" t="str">
        <f t="shared" si="46"/>
        <v/>
      </c>
    </row>
    <row r="1509" spans="2:13" ht="15.75" x14ac:dyDescent="0.25">
      <c r="B1509" s="692"/>
      <c r="C1509" s="117" t="str">
        <f>IF(ISNUMBER(B1509),IFERROR(VLOOKUP(B1509,'נתוני רישום ומצבת'!B:J,3,0),""),"")</f>
        <v/>
      </c>
      <c r="D1509" s="693"/>
      <c r="E1509" s="697"/>
      <c r="F1509" s="695"/>
      <c r="G1509" s="696"/>
      <c r="K1509" s="22" t="str">
        <f t="shared" si="47"/>
        <v/>
      </c>
      <c r="M1509" s="534" t="str">
        <f t="shared" si="46"/>
        <v/>
      </c>
    </row>
    <row r="1510" spans="2:13" ht="15.75" x14ac:dyDescent="0.25">
      <c r="B1510" s="692"/>
      <c r="C1510" s="117" t="str">
        <f>IF(ISNUMBER(B1510),IFERROR(VLOOKUP(B1510,'נתוני רישום ומצבת'!B:J,3,0),""),"")</f>
        <v/>
      </c>
      <c r="D1510" s="693"/>
      <c r="E1510" s="697"/>
      <c r="F1510" s="695"/>
      <c r="G1510" s="696"/>
      <c r="K1510" s="22" t="str">
        <f t="shared" si="47"/>
        <v/>
      </c>
      <c r="M1510" s="534" t="str">
        <f t="shared" si="46"/>
        <v/>
      </c>
    </row>
    <row r="1511" spans="2:13" ht="15.75" x14ac:dyDescent="0.25">
      <c r="B1511" s="692"/>
      <c r="C1511" s="117" t="str">
        <f>IF(ISNUMBER(B1511),IFERROR(VLOOKUP(B1511,'נתוני רישום ומצבת'!B:J,3,0),""),"")</f>
        <v/>
      </c>
      <c r="D1511" s="693"/>
      <c r="E1511" s="697"/>
      <c r="F1511" s="695"/>
      <c r="G1511" s="696"/>
      <c r="K1511" s="22" t="str">
        <f t="shared" si="47"/>
        <v/>
      </c>
      <c r="M1511" s="534" t="str">
        <f t="shared" si="46"/>
        <v/>
      </c>
    </row>
    <row r="1512" spans="2:13" ht="15.75" x14ac:dyDescent="0.25">
      <c r="B1512" s="692"/>
      <c r="C1512" s="117" t="str">
        <f>IF(ISNUMBER(B1512),IFERROR(VLOOKUP(B1512,'נתוני רישום ומצבת'!B:J,3,0),""),"")</f>
        <v/>
      </c>
      <c r="D1512" s="693"/>
      <c r="E1512" s="697"/>
      <c r="F1512" s="695"/>
      <c r="G1512" s="696"/>
      <c r="K1512" s="22" t="str">
        <f t="shared" si="47"/>
        <v/>
      </c>
      <c r="M1512" s="534" t="str">
        <f t="shared" si="46"/>
        <v/>
      </c>
    </row>
    <row r="1513" spans="2:13" ht="15.75" x14ac:dyDescent="0.25">
      <c r="B1513" s="692"/>
      <c r="C1513" s="117" t="str">
        <f>IF(ISNUMBER(B1513),IFERROR(VLOOKUP(B1513,'נתוני רישום ומצבת'!B:J,3,0),""),"")</f>
        <v/>
      </c>
      <c r="D1513" s="693"/>
      <c r="E1513" s="697"/>
      <c r="F1513" s="695"/>
      <c r="G1513" s="696"/>
      <c r="K1513" s="22" t="str">
        <f t="shared" si="47"/>
        <v/>
      </c>
      <c r="M1513" s="534" t="str">
        <f t="shared" si="46"/>
        <v/>
      </c>
    </row>
    <row r="1514" spans="2:13" ht="15.75" x14ac:dyDescent="0.25">
      <c r="B1514" s="692"/>
      <c r="C1514" s="117" t="str">
        <f>IF(ISNUMBER(B1514),IFERROR(VLOOKUP(B1514,'נתוני רישום ומצבת'!B:J,3,0),""),"")</f>
        <v/>
      </c>
      <c r="D1514" s="693"/>
      <c r="E1514" s="697"/>
      <c r="F1514" s="695"/>
      <c r="G1514" s="696"/>
      <c r="K1514" s="22" t="str">
        <f t="shared" si="47"/>
        <v/>
      </c>
      <c r="M1514" s="534" t="str">
        <f t="shared" si="46"/>
        <v/>
      </c>
    </row>
    <row r="1515" spans="2:13" ht="15.75" x14ac:dyDescent="0.25">
      <c r="B1515" s="692"/>
      <c r="C1515" s="117" t="str">
        <f>IF(ISNUMBER(B1515),IFERROR(VLOOKUP(B1515,'נתוני רישום ומצבת'!B:J,3,0),""),"")</f>
        <v/>
      </c>
      <c r="D1515" s="693"/>
      <c r="E1515" s="697"/>
      <c r="F1515" s="695"/>
      <c r="G1515" s="696"/>
      <c r="K1515" s="22" t="str">
        <f t="shared" si="47"/>
        <v/>
      </c>
      <c r="M1515" s="534" t="str">
        <f t="shared" si="46"/>
        <v/>
      </c>
    </row>
    <row r="1516" spans="2:13" ht="15.75" x14ac:dyDescent="0.25">
      <c r="B1516" s="692"/>
      <c r="C1516" s="117" t="str">
        <f>IF(ISNUMBER(B1516),IFERROR(VLOOKUP(B1516,'נתוני רישום ומצבת'!B:J,3,0),""),"")</f>
        <v/>
      </c>
      <c r="D1516" s="693"/>
      <c r="E1516" s="697"/>
      <c r="F1516" s="695"/>
      <c r="G1516" s="696"/>
      <c r="K1516" s="22" t="str">
        <f t="shared" si="47"/>
        <v/>
      </c>
      <c r="M1516" s="534" t="str">
        <f t="shared" si="46"/>
        <v/>
      </c>
    </row>
    <row r="1517" spans="2:13" ht="15.75" x14ac:dyDescent="0.25">
      <c r="B1517" s="692"/>
      <c r="C1517" s="117" t="str">
        <f>IF(ISNUMBER(B1517),IFERROR(VLOOKUP(B1517,'נתוני רישום ומצבת'!B:J,3,0),""),"")</f>
        <v/>
      </c>
      <c r="D1517" s="693"/>
      <c r="E1517" s="697"/>
      <c r="F1517" s="695"/>
      <c r="G1517" s="696"/>
      <c r="K1517" s="22" t="str">
        <f t="shared" si="47"/>
        <v/>
      </c>
      <c r="M1517" s="534" t="str">
        <f t="shared" si="46"/>
        <v/>
      </c>
    </row>
    <row r="1518" spans="2:13" ht="15.75" x14ac:dyDescent="0.25">
      <c r="B1518" s="692"/>
      <c r="C1518" s="117" t="str">
        <f>IF(ISNUMBER(B1518),IFERROR(VLOOKUP(B1518,'נתוני רישום ומצבת'!B:J,3,0),""),"")</f>
        <v/>
      </c>
      <c r="D1518" s="693"/>
      <c r="E1518" s="697"/>
      <c r="F1518" s="695"/>
      <c r="G1518" s="696"/>
      <c r="K1518" s="22" t="str">
        <f t="shared" si="47"/>
        <v/>
      </c>
      <c r="M1518" s="534" t="str">
        <f t="shared" si="46"/>
        <v/>
      </c>
    </row>
    <row r="1519" spans="2:13" ht="15.75" x14ac:dyDescent="0.25">
      <c r="B1519" s="692"/>
      <c r="C1519" s="117" t="str">
        <f>IF(ISNUMBER(B1519),IFERROR(VLOOKUP(B1519,'נתוני רישום ומצבת'!B:J,3,0),""),"")</f>
        <v/>
      </c>
      <c r="D1519" s="693"/>
      <c r="E1519" s="697"/>
      <c r="F1519" s="695"/>
      <c r="G1519" s="696"/>
      <c r="K1519" s="22" t="str">
        <f t="shared" si="47"/>
        <v/>
      </c>
      <c r="M1519" s="534" t="str">
        <f t="shared" si="46"/>
        <v/>
      </c>
    </row>
    <row r="1520" spans="2:13" ht="15.75" x14ac:dyDescent="0.25">
      <c r="B1520" s="692"/>
      <c r="C1520" s="117" t="str">
        <f>IF(ISNUMBER(B1520),IFERROR(VLOOKUP(B1520,'נתוני רישום ומצבת'!B:J,3,0),""),"")</f>
        <v/>
      </c>
      <c r="D1520" s="693"/>
      <c r="E1520" s="697"/>
      <c r="F1520" s="695"/>
      <c r="G1520" s="696"/>
      <c r="K1520" s="22" t="str">
        <f t="shared" si="47"/>
        <v/>
      </c>
      <c r="M1520" s="534" t="str">
        <f t="shared" si="46"/>
        <v/>
      </c>
    </row>
    <row r="1521" spans="2:13" ht="15.75" x14ac:dyDescent="0.25">
      <c r="B1521" s="692"/>
      <c r="C1521" s="117" t="str">
        <f>IF(ISNUMBER(B1521),IFERROR(VLOOKUP(B1521,'נתוני רישום ומצבת'!B:J,3,0),""),"")</f>
        <v/>
      </c>
      <c r="D1521" s="693"/>
      <c r="E1521" s="697"/>
      <c r="F1521" s="695"/>
      <c r="G1521" s="696"/>
      <c r="K1521" s="22" t="str">
        <f t="shared" si="47"/>
        <v/>
      </c>
      <c r="M1521" s="534" t="str">
        <f t="shared" si="46"/>
        <v/>
      </c>
    </row>
    <row r="1522" spans="2:13" ht="15.75" x14ac:dyDescent="0.25">
      <c r="B1522" s="692"/>
      <c r="C1522" s="117" t="str">
        <f>IF(ISNUMBER(B1522),IFERROR(VLOOKUP(B1522,'נתוני רישום ומצבת'!B:J,3,0),""),"")</f>
        <v/>
      </c>
      <c r="D1522" s="693"/>
      <c r="E1522" s="697"/>
      <c r="F1522" s="695"/>
      <c r="G1522" s="696"/>
      <c r="K1522" s="22" t="str">
        <f t="shared" si="47"/>
        <v/>
      </c>
      <c r="M1522" s="534" t="str">
        <f t="shared" si="46"/>
        <v/>
      </c>
    </row>
    <row r="1523" spans="2:13" ht="15.75" x14ac:dyDescent="0.25">
      <c r="B1523" s="692"/>
      <c r="C1523" s="117" t="str">
        <f>IF(ISNUMBER(B1523),IFERROR(VLOOKUP(B1523,'נתוני רישום ומצבת'!B:J,3,0),""),"")</f>
        <v/>
      </c>
      <c r="D1523" s="693"/>
      <c r="E1523" s="697"/>
      <c r="F1523" s="695"/>
      <c r="G1523" s="696"/>
      <c r="K1523" s="22" t="str">
        <f t="shared" si="47"/>
        <v/>
      </c>
      <c r="M1523" s="534" t="str">
        <f t="shared" si="46"/>
        <v/>
      </c>
    </row>
    <row r="1524" spans="2:13" ht="15.75" x14ac:dyDescent="0.25">
      <c r="B1524" s="692"/>
      <c r="C1524" s="117" t="str">
        <f>IF(ISNUMBER(B1524),IFERROR(VLOOKUP(B1524,'נתוני רישום ומצבת'!B:J,3,0),""),"")</f>
        <v/>
      </c>
      <c r="D1524" s="693"/>
      <c r="E1524" s="697"/>
      <c r="F1524" s="695"/>
      <c r="G1524" s="696"/>
      <c r="K1524" s="22" t="str">
        <f t="shared" si="47"/>
        <v/>
      </c>
      <c r="M1524" s="534" t="str">
        <f t="shared" si="46"/>
        <v/>
      </c>
    </row>
    <row r="1525" spans="2:13" ht="15.75" x14ac:dyDescent="0.25">
      <c r="B1525" s="692"/>
      <c r="C1525" s="117" t="str">
        <f>IF(ISNUMBER(B1525),IFERROR(VLOOKUP(B1525,'נתוני רישום ומצבת'!B:J,3,0),""),"")</f>
        <v/>
      </c>
      <c r="D1525" s="693"/>
      <c r="E1525" s="697"/>
      <c r="F1525" s="695"/>
      <c r="G1525" s="696"/>
      <c r="K1525" s="22" t="str">
        <f t="shared" si="47"/>
        <v/>
      </c>
      <c r="M1525" s="534" t="str">
        <f t="shared" si="46"/>
        <v/>
      </c>
    </row>
    <row r="1526" spans="2:13" ht="15.75" x14ac:dyDescent="0.25">
      <c r="B1526" s="692"/>
      <c r="C1526" s="117" t="str">
        <f>IF(ISNUMBER(B1526),IFERROR(VLOOKUP(B1526,'נתוני רישום ומצבת'!B:J,3,0),""),"")</f>
        <v/>
      </c>
      <c r="D1526" s="693"/>
      <c r="E1526" s="697"/>
      <c r="F1526" s="695"/>
      <c r="G1526" s="696"/>
      <c r="K1526" s="22" t="str">
        <f t="shared" si="47"/>
        <v/>
      </c>
      <c r="M1526" s="534" t="str">
        <f t="shared" si="46"/>
        <v/>
      </c>
    </row>
    <row r="1527" spans="2:13" ht="15.75" x14ac:dyDescent="0.25">
      <c r="B1527" s="692"/>
      <c r="C1527" s="117" t="str">
        <f>IF(ISNUMBER(B1527),IFERROR(VLOOKUP(B1527,'נתוני רישום ומצבת'!B:J,3,0),""),"")</f>
        <v/>
      </c>
      <c r="D1527" s="693"/>
      <c r="E1527" s="697"/>
      <c r="F1527" s="695"/>
      <c r="G1527" s="696"/>
      <c r="K1527" s="22" t="str">
        <f t="shared" si="47"/>
        <v/>
      </c>
      <c r="M1527" s="534" t="str">
        <f t="shared" si="46"/>
        <v/>
      </c>
    </row>
    <row r="1528" spans="2:13" ht="15.75" x14ac:dyDescent="0.25">
      <c r="B1528" s="692"/>
      <c r="C1528" s="117" t="str">
        <f>IF(ISNUMBER(B1528),IFERROR(VLOOKUP(B1528,'נתוני רישום ומצבת'!B:J,3,0),""),"")</f>
        <v/>
      </c>
      <c r="D1528" s="693"/>
      <c r="E1528" s="697"/>
      <c r="F1528" s="695"/>
      <c r="G1528" s="696"/>
      <c r="K1528" s="22" t="str">
        <f t="shared" si="47"/>
        <v/>
      </c>
      <c r="M1528" s="534" t="str">
        <f t="shared" si="46"/>
        <v/>
      </c>
    </row>
    <row r="1529" spans="2:13" ht="15.75" x14ac:dyDescent="0.25">
      <c r="B1529" s="692"/>
      <c r="C1529" s="117" t="str">
        <f>IF(ISNUMBER(B1529),IFERROR(VLOOKUP(B1529,'נתוני רישום ומצבת'!B:J,3,0),""),"")</f>
        <v/>
      </c>
      <c r="D1529" s="693"/>
      <c r="E1529" s="697"/>
      <c r="F1529" s="695"/>
      <c r="G1529" s="696"/>
      <c r="K1529" s="22" t="str">
        <f t="shared" si="47"/>
        <v/>
      </c>
      <c r="M1529" s="534" t="str">
        <f t="shared" si="46"/>
        <v/>
      </c>
    </row>
    <row r="1530" spans="2:13" ht="15.75" x14ac:dyDescent="0.25">
      <c r="B1530" s="692"/>
      <c r="C1530" s="117" t="str">
        <f>IF(ISNUMBER(B1530),IFERROR(VLOOKUP(B1530,'נתוני רישום ומצבת'!B:J,3,0),""),"")</f>
        <v/>
      </c>
      <c r="D1530" s="693"/>
      <c r="E1530" s="697"/>
      <c r="F1530" s="695"/>
      <c r="G1530" s="696"/>
      <c r="K1530" s="22" t="str">
        <f t="shared" si="47"/>
        <v/>
      </c>
      <c r="M1530" s="534" t="str">
        <f t="shared" si="46"/>
        <v/>
      </c>
    </row>
    <row r="1531" spans="2:13" ht="15.75" x14ac:dyDescent="0.25">
      <c r="B1531" s="692"/>
      <c r="C1531" s="117" t="str">
        <f>IF(ISNUMBER(B1531),IFERROR(VLOOKUP(B1531,'נתוני רישום ומצבת'!B:J,3,0),""),"")</f>
        <v/>
      </c>
      <c r="D1531" s="693"/>
      <c r="E1531" s="697"/>
      <c r="F1531" s="695"/>
      <c r="G1531" s="696"/>
      <c r="K1531" s="22" t="str">
        <f t="shared" si="47"/>
        <v/>
      </c>
      <c r="M1531" s="534" t="str">
        <f t="shared" si="46"/>
        <v/>
      </c>
    </row>
    <row r="1532" spans="2:13" ht="15.75" x14ac:dyDescent="0.25">
      <c r="B1532" s="692"/>
      <c r="C1532" s="117" t="str">
        <f>IF(ISNUMBER(B1532),IFERROR(VLOOKUP(B1532,'נתוני רישום ומצבת'!B:J,3,0),""),"")</f>
        <v/>
      </c>
      <c r="D1532" s="693"/>
      <c r="E1532" s="697"/>
      <c r="F1532" s="695"/>
      <c r="G1532" s="696"/>
      <c r="K1532" s="22" t="str">
        <f t="shared" si="47"/>
        <v/>
      </c>
      <c r="M1532" s="534" t="str">
        <f t="shared" si="46"/>
        <v/>
      </c>
    </row>
    <row r="1533" spans="2:13" ht="15.75" x14ac:dyDescent="0.25">
      <c r="B1533" s="692"/>
      <c r="C1533" s="117" t="str">
        <f>IF(ISNUMBER(B1533),IFERROR(VLOOKUP(B1533,'נתוני רישום ומצבת'!B:J,3,0),""),"")</f>
        <v/>
      </c>
      <c r="D1533" s="693"/>
      <c r="E1533" s="697"/>
      <c r="F1533" s="695"/>
      <c r="G1533" s="696"/>
      <c r="K1533" s="22" t="str">
        <f t="shared" si="47"/>
        <v/>
      </c>
      <c r="M1533" s="534" t="str">
        <f t="shared" si="46"/>
        <v/>
      </c>
    </row>
    <row r="1534" spans="2:13" ht="15.75" x14ac:dyDescent="0.25">
      <c r="B1534" s="692"/>
      <c r="C1534" s="117" t="str">
        <f>IF(ISNUMBER(B1534),IFERROR(VLOOKUP(B1534,'נתוני רישום ומצבת'!B:J,3,0),""),"")</f>
        <v/>
      </c>
      <c r="D1534" s="693"/>
      <c r="E1534" s="697"/>
      <c r="F1534" s="695"/>
      <c r="G1534" s="696"/>
      <c r="K1534" s="22" t="str">
        <f t="shared" si="47"/>
        <v/>
      </c>
      <c r="M1534" s="534" t="str">
        <f t="shared" si="46"/>
        <v/>
      </c>
    </row>
    <row r="1535" spans="2:13" ht="15.75" x14ac:dyDescent="0.25">
      <c r="B1535" s="692"/>
      <c r="C1535" s="117" t="str">
        <f>IF(ISNUMBER(B1535),IFERROR(VLOOKUP(B1535,'נתוני רישום ומצבת'!B:J,3,0),""),"")</f>
        <v/>
      </c>
      <c r="D1535" s="693"/>
      <c r="E1535" s="697"/>
      <c r="F1535" s="695"/>
      <c r="G1535" s="696"/>
      <c r="K1535" s="22" t="str">
        <f t="shared" si="47"/>
        <v/>
      </c>
      <c r="M1535" s="534" t="str">
        <f t="shared" si="46"/>
        <v/>
      </c>
    </row>
    <row r="1536" spans="2:13" ht="15.75" x14ac:dyDescent="0.25">
      <c r="B1536" s="692"/>
      <c r="C1536" s="117" t="str">
        <f>IF(ISNUMBER(B1536),IFERROR(VLOOKUP(B1536,'נתוני רישום ומצבת'!B:J,3,0),""),"")</f>
        <v/>
      </c>
      <c r="D1536" s="693"/>
      <c r="E1536" s="697"/>
      <c r="F1536" s="695"/>
      <c r="G1536" s="696"/>
      <c r="K1536" s="22" t="str">
        <f t="shared" si="47"/>
        <v/>
      </c>
      <c r="M1536" s="534" t="str">
        <f t="shared" si="46"/>
        <v/>
      </c>
    </row>
    <row r="1537" spans="2:13" ht="15.75" x14ac:dyDescent="0.25">
      <c r="B1537" s="692"/>
      <c r="C1537" s="117" t="str">
        <f>IF(ISNUMBER(B1537),IFERROR(VLOOKUP(B1537,'נתוני רישום ומצבת'!B:J,3,0),""),"")</f>
        <v/>
      </c>
      <c r="D1537" s="693"/>
      <c r="E1537" s="697"/>
      <c r="F1537" s="695"/>
      <c r="G1537" s="696"/>
      <c r="K1537" s="22" t="str">
        <f t="shared" si="47"/>
        <v/>
      </c>
      <c r="M1537" s="534" t="str">
        <f t="shared" si="46"/>
        <v/>
      </c>
    </row>
    <row r="1538" spans="2:13" ht="15.75" x14ac:dyDescent="0.25">
      <c r="B1538" s="692"/>
      <c r="C1538" s="117" t="str">
        <f>IF(ISNUMBER(B1538),IFERROR(VLOOKUP(B1538,'נתוני רישום ומצבת'!B:J,3,0),""),"")</f>
        <v/>
      </c>
      <c r="D1538" s="693"/>
      <c r="E1538" s="697"/>
      <c r="F1538" s="695"/>
      <c r="G1538" s="696"/>
      <c r="K1538" s="22" t="str">
        <f t="shared" si="47"/>
        <v/>
      </c>
      <c r="M1538" s="534" t="str">
        <f t="shared" si="46"/>
        <v/>
      </c>
    </row>
    <row r="1539" spans="2:13" ht="15.75" x14ac:dyDescent="0.25">
      <c r="B1539" s="692"/>
      <c r="C1539" s="117" t="str">
        <f>IF(ISNUMBER(B1539),IFERROR(VLOOKUP(B1539,'נתוני רישום ומצבת'!B:J,3,0),""),"")</f>
        <v/>
      </c>
      <c r="D1539" s="693"/>
      <c r="E1539" s="697"/>
      <c r="F1539" s="695"/>
      <c r="G1539" s="696"/>
      <c r="K1539" s="22" t="str">
        <f t="shared" si="47"/>
        <v/>
      </c>
      <c r="M1539" s="534" t="str">
        <f t="shared" si="46"/>
        <v/>
      </c>
    </row>
    <row r="1540" spans="2:13" ht="15.75" x14ac:dyDescent="0.25">
      <c r="B1540" s="692"/>
      <c r="C1540" s="117" t="str">
        <f>IF(ISNUMBER(B1540),IFERROR(VLOOKUP(B1540,'נתוני רישום ומצבת'!B:J,3,0),""),"")</f>
        <v/>
      </c>
      <c r="D1540" s="693"/>
      <c r="E1540" s="697"/>
      <c r="F1540" s="695"/>
      <c r="G1540" s="696"/>
      <c r="K1540" s="22" t="str">
        <f t="shared" si="47"/>
        <v/>
      </c>
      <c r="M1540" s="534" t="str">
        <f t="shared" si="46"/>
        <v/>
      </c>
    </row>
    <row r="1541" spans="2:13" ht="15.75" x14ac:dyDescent="0.25">
      <c r="B1541" s="692"/>
      <c r="C1541" s="117" t="str">
        <f>IF(ISNUMBER(B1541),IFERROR(VLOOKUP(B1541,'נתוני רישום ומצבת'!B:J,3,0),""),"")</f>
        <v/>
      </c>
      <c r="D1541" s="693"/>
      <c r="E1541" s="697"/>
      <c r="F1541" s="695"/>
      <c r="G1541" s="696"/>
      <c r="K1541" s="22" t="str">
        <f t="shared" si="47"/>
        <v/>
      </c>
      <c r="M1541" s="534" t="str">
        <f t="shared" si="46"/>
        <v/>
      </c>
    </row>
    <row r="1542" spans="2:13" ht="15.75" x14ac:dyDescent="0.25">
      <c r="B1542" s="692"/>
      <c r="C1542" s="117" t="str">
        <f>IF(ISNUMBER(B1542),IFERROR(VLOOKUP(B1542,'נתוני רישום ומצבת'!B:J,3,0),""),"")</f>
        <v/>
      </c>
      <c r="D1542" s="693"/>
      <c r="E1542" s="697"/>
      <c r="F1542" s="695"/>
      <c r="G1542" s="696"/>
      <c r="K1542" s="22" t="str">
        <f t="shared" si="47"/>
        <v/>
      </c>
      <c r="M1542" s="534" t="str">
        <f t="shared" si="46"/>
        <v/>
      </c>
    </row>
    <row r="1543" spans="2:13" ht="15.75" x14ac:dyDescent="0.25">
      <c r="B1543" s="692"/>
      <c r="C1543" s="117" t="str">
        <f>IF(ISNUMBER(B1543),IFERROR(VLOOKUP(B1543,'נתוני רישום ומצבת'!B:J,3,0),""),"")</f>
        <v/>
      </c>
      <c r="D1543" s="693"/>
      <c r="E1543" s="697"/>
      <c r="F1543" s="695"/>
      <c r="G1543" s="696"/>
      <c r="K1543" s="22" t="str">
        <f t="shared" si="47"/>
        <v/>
      </c>
      <c r="M1543" s="534" t="str">
        <f t="shared" si="46"/>
        <v/>
      </c>
    </row>
    <row r="1544" spans="2:13" ht="15.75" x14ac:dyDescent="0.25">
      <c r="B1544" s="692"/>
      <c r="C1544" s="117" t="str">
        <f>IF(ISNUMBER(B1544),IFERROR(VLOOKUP(B1544,'נתוני רישום ומצבת'!B:J,3,0),""),"")</f>
        <v/>
      </c>
      <c r="D1544" s="693"/>
      <c r="E1544" s="697"/>
      <c r="F1544" s="695"/>
      <c r="G1544" s="696"/>
      <c r="K1544" s="22" t="str">
        <f t="shared" si="47"/>
        <v/>
      </c>
      <c r="M1544" s="534" t="str">
        <f t="shared" si="46"/>
        <v/>
      </c>
    </row>
    <row r="1545" spans="2:13" ht="15.75" x14ac:dyDescent="0.25">
      <c r="B1545" s="692"/>
      <c r="C1545" s="117" t="str">
        <f>IF(ISNUMBER(B1545),IFERROR(VLOOKUP(B1545,'נתוני רישום ומצבת'!B:J,3,0),""),"")</f>
        <v/>
      </c>
      <c r="D1545" s="693"/>
      <c r="E1545" s="697"/>
      <c r="F1545" s="695"/>
      <c r="G1545" s="696"/>
      <c r="K1545" s="22" t="str">
        <f t="shared" si="47"/>
        <v/>
      </c>
      <c r="M1545" s="534" t="str">
        <f t="shared" si="46"/>
        <v/>
      </c>
    </row>
    <row r="1546" spans="2:13" ht="15.75" x14ac:dyDescent="0.25">
      <c r="B1546" s="692"/>
      <c r="C1546" s="117" t="str">
        <f>IF(ISNUMBER(B1546),IFERROR(VLOOKUP(B1546,'נתוני רישום ומצבת'!B:J,3,0),""),"")</f>
        <v/>
      </c>
      <c r="D1546" s="693"/>
      <c r="E1546" s="697"/>
      <c r="F1546" s="695"/>
      <c r="G1546" s="696"/>
      <c r="K1546" s="22" t="str">
        <f t="shared" si="47"/>
        <v/>
      </c>
      <c r="M1546" s="534" t="str">
        <f t="shared" si="46"/>
        <v/>
      </c>
    </row>
    <row r="1547" spans="2:13" ht="15.75" x14ac:dyDescent="0.25">
      <c r="B1547" s="692"/>
      <c r="C1547" s="117" t="str">
        <f>IF(ISNUMBER(B1547),IFERROR(VLOOKUP(B1547,'נתוני רישום ומצבת'!B:J,3,0),""),"")</f>
        <v/>
      </c>
      <c r="D1547" s="693"/>
      <c r="E1547" s="697"/>
      <c r="F1547" s="695"/>
      <c r="G1547" s="696"/>
      <c r="K1547" s="22" t="str">
        <f t="shared" si="47"/>
        <v/>
      </c>
      <c r="M1547" s="534" t="str">
        <f t="shared" si="46"/>
        <v/>
      </c>
    </row>
    <row r="1548" spans="2:13" ht="15.75" x14ac:dyDescent="0.25">
      <c r="B1548" s="692"/>
      <c r="C1548" s="117" t="str">
        <f>IF(ISNUMBER(B1548),IFERROR(VLOOKUP(B1548,'נתוני רישום ומצבת'!B:J,3,0),""),"")</f>
        <v/>
      </c>
      <c r="D1548" s="693"/>
      <c r="E1548" s="697"/>
      <c r="F1548" s="695"/>
      <c r="G1548" s="696"/>
      <c r="K1548" s="22" t="str">
        <f t="shared" si="47"/>
        <v/>
      </c>
      <c r="M1548" s="534" t="str">
        <f t="shared" si="46"/>
        <v/>
      </c>
    </row>
    <row r="1549" spans="2:13" ht="15.75" x14ac:dyDescent="0.25">
      <c r="B1549" s="692"/>
      <c r="C1549" s="117" t="str">
        <f>IF(ISNUMBER(B1549),IFERROR(VLOOKUP(B1549,'נתוני רישום ומצבת'!B:J,3,0),""),"")</f>
        <v/>
      </c>
      <c r="D1549" s="693"/>
      <c r="E1549" s="697"/>
      <c r="F1549" s="695"/>
      <c r="G1549" s="696"/>
      <c r="K1549" s="22" t="str">
        <f t="shared" si="47"/>
        <v/>
      </c>
      <c r="M1549" s="534" t="str">
        <f t="shared" si="46"/>
        <v/>
      </c>
    </row>
    <row r="1550" spans="2:13" ht="15.75" x14ac:dyDescent="0.25">
      <c r="B1550" s="692"/>
      <c r="C1550" s="117" t="str">
        <f>IF(ISNUMBER(B1550),IFERROR(VLOOKUP(B1550,'נתוני רישום ומצבת'!B:J,3,0),""),"")</f>
        <v/>
      </c>
      <c r="D1550" s="693"/>
      <c r="E1550" s="697"/>
      <c r="F1550" s="695"/>
      <c r="G1550" s="696"/>
      <c r="K1550" s="22" t="str">
        <f t="shared" si="47"/>
        <v/>
      </c>
      <c r="M1550" s="534" t="str">
        <f t="shared" si="46"/>
        <v/>
      </c>
    </row>
    <row r="1551" spans="2:13" ht="15.75" x14ac:dyDescent="0.25">
      <c r="B1551" s="692"/>
      <c r="C1551" s="117" t="str">
        <f>IF(ISNUMBER(B1551),IFERROR(VLOOKUP(B1551,'נתוני רישום ומצבת'!B:J,3,0),""),"")</f>
        <v/>
      </c>
      <c r="D1551" s="693"/>
      <c r="E1551" s="697"/>
      <c r="F1551" s="695"/>
      <c r="G1551" s="696"/>
      <c r="K1551" s="22" t="str">
        <f t="shared" si="47"/>
        <v/>
      </c>
      <c r="M1551" s="534" t="str">
        <f t="shared" si="46"/>
        <v/>
      </c>
    </row>
    <row r="1552" spans="2:13" ht="15.75" x14ac:dyDescent="0.25">
      <c r="B1552" s="692"/>
      <c r="C1552" s="117" t="str">
        <f>IF(ISNUMBER(B1552),IFERROR(VLOOKUP(B1552,'נתוני רישום ומצבת'!B:J,3,0),""),"")</f>
        <v/>
      </c>
      <c r="D1552" s="693"/>
      <c r="E1552" s="697"/>
      <c r="F1552" s="695"/>
      <c r="G1552" s="696"/>
      <c r="K1552" s="22" t="str">
        <f t="shared" si="47"/>
        <v/>
      </c>
      <c r="M1552" s="534" t="str">
        <f t="shared" si="46"/>
        <v/>
      </c>
    </row>
    <row r="1553" spans="2:13" ht="15.75" x14ac:dyDescent="0.25">
      <c r="B1553" s="692"/>
      <c r="C1553" s="117" t="str">
        <f>IF(ISNUMBER(B1553),IFERROR(VLOOKUP(B1553,'נתוני רישום ומצבת'!B:J,3,0),""),"")</f>
        <v/>
      </c>
      <c r="D1553" s="693"/>
      <c r="E1553" s="697"/>
      <c r="F1553" s="695"/>
      <c r="G1553" s="696"/>
      <c r="K1553" s="22" t="str">
        <f t="shared" si="47"/>
        <v/>
      </c>
      <c r="M1553" s="534" t="str">
        <f t="shared" ref="M1553:M1616" si="48">TEXT(LEFT(D1553,2),0)</f>
        <v/>
      </c>
    </row>
    <row r="1554" spans="2:13" ht="15.75" x14ac:dyDescent="0.25">
      <c r="B1554" s="692"/>
      <c r="C1554" s="117" t="str">
        <f>IF(ISNUMBER(B1554),IFERROR(VLOOKUP(B1554,'נתוני רישום ומצבת'!B:J,3,0),""),"")</f>
        <v/>
      </c>
      <c r="D1554" s="693"/>
      <c r="E1554" s="697"/>
      <c r="F1554" s="695"/>
      <c r="G1554" s="696"/>
      <c r="K1554" s="22" t="str">
        <f t="shared" si="47"/>
        <v/>
      </c>
      <c r="M1554" s="534" t="str">
        <f t="shared" si="48"/>
        <v/>
      </c>
    </row>
    <row r="1555" spans="2:13" ht="15.75" x14ac:dyDescent="0.25">
      <c r="B1555" s="692"/>
      <c r="C1555" s="117" t="str">
        <f>IF(ISNUMBER(B1555),IFERROR(VLOOKUP(B1555,'נתוני רישום ומצבת'!B:J,3,0),""),"")</f>
        <v/>
      </c>
      <c r="D1555" s="693"/>
      <c r="E1555" s="697"/>
      <c r="F1555" s="695"/>
      <c r="G1555" s="696"/>
      <c r="K1555" s="22" t="str">
        <f t="shared" si="47"/>
        <v/>
      </c>
      <c r="M1555" s="534" t="str">
        <f t="shared" si="48"/>
        <v/>
      </c>
    </row>
    <row r="1556" spans="2:13" ht="15.75" x14ac:dyDescent="0.25">
      <c r="B1556" s="692"/>
      <c r="C1556" s="117" t="str">
        <f>IF(ISNUMBER(B1556),IFERROR(VLOOKUP(B1556,'נתוני רישום ומצבת'!B:J,3,0),""),"")</f>
        <v/>
      </c>
      <c r="D1556" s="693"/>
      <c r="E1556" s="697"/>
      <c r="F1556" s="695"/>
      <c r="G1556" s="696"/>
      <c r="K1556" s="22" t="str">
        <f t="shared" si="47"/>
        <v/>
      </c>
      <c r="M1556" s="534" t="str">
        <f t="shared" si="48"/>
        <v/>
      </c>
    </row>
    <row r="1557" spans="2:13" ht="15.75" x14ac:dyDescent="0.25">
      <c r="B1557" s="692"/>
      <c r="C1557" s="117" t="str">
        <f>IF(ISNUMBER(B1557),IFERROR(VLOOKUP(B1557,'נתוני רישום ומצבת'!B:J,3,0),""),"")</f>
        <v/>
      </c>
      <c r="D1557" s="693"/>
      <c r="E1557" s="697"/>
      <c r="F1557" s="695"/>
      <c r="G1557" s="696"/>
      <c r="K1557" s="22" t="str">
        <f t="shared" ref="K1557:K1620" si="49">IF(C1544&lt;5,IF(D1557=$F$8,-E1557," "),"")</f>
        <v/>
      </c>
      <c r="M1557" s="534" t="str">
        <f t="shared" si="48"/>
        <v/>
      </c>
    </row>
    <row r="1558" spans="2:13" ht="15.75" x14ac:dyDescent="0.25">
      <c r="B1558" s="692"/>
      <c r="C1558" s="117" t="str">
        <f>IF(ISNUMBER(B1558),IFERROR(VLOOKUP(B1558,'נתוני רישום ומצבת'!B:J,3,0),""),"")</f>
        <v/>
      </c>
      <c r="D1558" s="693"/>
      <c r="E1558" s="697"/>
      <c r="F1558" s="695"/>
      <c r="G1558" s="696"/>
      <c r="K1558" s="22" t="str">
        <f t="shared" si="49"/>
        <v/>
      </c>
      <c r="M1558" s="534" t="str">
        <f t="shared" si="48"/>
        <v/>
      </c>
    </row>
    <row r="1559" spans="2:13" ht="15.75" x14ac:dyDescent="0.25">
      <c r="B1559" s="692"/>
      <c r="C1559" s="117" t="str">
        <f>IF(ISNUMBER(B1559),IFERROR(VLOOKUP(B1559,'נתוני רישום ומצבת'!B:J,3,0),""),"")</f>
        <v/>
      </c>
      <c r="D1559" s="693"/>
      <c r="E1559" s="697"/>
      <c r="F1559" s="695"/>
      <c r="G1559" s="696"/>
      <c r="K1559" s="22" t="str">
        <f t="shared" si="49"/>
        <v/>
      </c>
      <c r="M1559" s="534" t="str">
        <f t="shared" si="48"/>
        <v/>
      </c>
    </row>
    <row r="1560" spans="2:13" ht="15.75" x14ac:dyDescent="0.25">
      <c r="B1560" s="692"/>
      <c r="C1560" s="117" t="str">
        <f>IF(ISNUMBER(B1560),IFERROR(VLOOKUP(B1560,'נתוני רישום ומצבת'!B:J,3,0),""),"")</f>
        <v/>
      </c>
      <c r="D1560" s="693"/>
      <c r="E1560" s="697"/>
      <c r="F1560" s="695"/>
      <c r="G1560" s="696"/>
      <c r="K1560" s="22" t="str">
        <f t="shared" si="49"/>
        <v/>
      </c>
      <c r="M1560" s="534" t="str">
        <f t="shared" si="48"/>
        <v/>
      </c>
    </row>
    <row r="1561" spans="2:13" ht="15.75" x14ac:dyDescent="0.25">
      <c r="B1561" s="692"/>
      <c r="C1561" s="117" t="str">
        <f>IF(ISNUMBER(B1561),IFERROR(VLOOKUP(B1561,'נתוני רישום ומצבת'!B:J,3,0),""),"")</f>
        <v/>
      </c>
      <c r="D1561" s="693"/>
      <c r="E1561" s="697"/>
      <c r="F1561" s="695"/>
      <c r="G1561" s="696"/>
      <c r="K1561" s="22" t="str">
        <f t="shared" si="49"/>
        <v/>
      </c>
      <c r="M1561" s="534" t="str">
        <f t="shared" si="48"/>
        <v/>
      </c>
    </row>
    <row r="1562" spans="2:13" ht="15.75" x14ac:dyDescent="0.25">
      <c r="B1562" s="692"/>
      <c r="C1562" s="117" t="str">
        <f>IF(ISNUMBER(B1562),IFERROR(VLOOKUP(B1562,'נתוני רישום ומצבת'!B:J,3,0),""),"")</f>
        <v/>
      </c>
      <c r="D1562" s="693"/>
      <c r="E1562" s="697"/>
      <c r="F1562" s="695"/>
      <c r="G1562" s="696"/>
      <c r="K1562" s="22" t="str">
        <f t="shared" si="49"/>
        <v/>
      </c>
      <c r="M1562" s="534" t="str">
        <f t="shared" si="48"/>
        <v/>
      </c>
    </row>
    <row r="1563" spans="2:13" ht="15.75" x14ac:dyDescent="0.25">
      <c r="B1563" s="692"/>
      <c r="C1563" s="117" t="str">
        <f>IF(ISNUMBER(B1563),IFERROR(VLOOKUP(B1563,'נתוני רישום ומצבת'!B:J,3,0),""),"")</f>
        <v/>
      </c>
      <c r="D1563" s="693"/>
      <c r="E1563" s="697"/>
      <c r="F1563" s="695"/>
      <c r="G1563" s="696"/>
      <c r="K1563" s="22" t="str">
        <f t="shared" si="49"/>
        <v/>
      </c>
      <c r="M1563" s="534" t="str">
        <f t="shared" si="48"/>
        <v/>
      </c>
    </row>
    <row r="1564" spans="2:13" ht="15.75" x14ac:dyDescent="0.25">
      <c r="B1564" s="692"/>
      <c r="C1564" s="117" t="str">
        <f>IF(ISNUMBER(B1564),IFERROR(VLOOKUP(B1564,'נתוני רישום ומצבת'!B:J,3,0),""),"")</f>
        <v/>
      </c>
      <c r="D1564" s="693"/>
      <c r="E1564" s="697"/>
      <c r="F1564" s="695"/>
      <c r="G1564" s="696"/>
      <c r="K1564" s="22" t="str">
        <f t="shared" si="49"/>
        <v/>
      </c>
      <c r="M1564" s="534" t="str">
        <f t="shared" si="48"/>
        <v/>
      </c>
    </row>
    <row r="1565" spans="2:13" ht="15.75" x14ac:dyDescent="0.25">
      <c r="B1565" s="692"/>
      <c r="C1565" s="117" t="str">
        <f>IF(ISNUMBER(B1565),IFERROR(VLOOKUP(B1565,'נתוני רישום ומצבת'!B:J,3,0),""),"")</f>
        <v/>
      </c>
      <c r="D1565" s="693"/>
      <c r="E1565" s="697"/>
      <c r="F1565" s="695"/>
      <c r="G1565" s="696"/>
      <c r="K1565" s="22" t="str">
        <f t="shared" si="49"/>
        <v/>
      </c>
      <c r="M1565" s="534" t="str">
        <f t="shared" si="48"/>
        <v/>
      </c>
    </row>
    <row r="1566" spans="2:13" ht="15.75" x14ac:dyDescent="0.25">
      <c r="B1566" s="692"/>
      <c r="C1566" s="117" t="str">
        <f>IF(ISNUMBER(B1566),IFERROR(VLOOKUP(B1566,'נתוני רישום ומצבת'!B:J,3,0),""),"")</f>
        <v/>
      </c>
      <c r="D1566" s="693"/>
      <c r="E1566" s="697"/>
      <c r="F1566" s="695"/>
      <c r="G1566" s="696"/>
      <c r="K1566" s="22" t="str">
        <f t="shared" si="49"/>
        <v/>
      </c>
      <c r="M1566" s="534" t="str">
        <f t="shared" si="48"/>
        <v/>
      </c>
    </row>
    <row r="1567" spans="2:13" ht="15.75" x14ac:dyDescent="0.25">
      <c r="B1567" s="692"/>
      <c r="C1567" s="117" t="str">
        <f>IF(ISNUMBER(B1567),IFERROR(VLOOKUP(B1567,'נתוני רישום ומצבת'!B:J,3,0),""),"")</f>
        <v/>
      </c>
      <c r="D1567" s="693"/>
      <c r="E1567" s="697"/>
      <c r="F1567" s="695"/>
      <c r="G1567" s="696"/>
      <c r="K1567" s="22" t="str">
        <f t="shared" si="49"/>
        <v/>
      </c>
      <c r="M1567" s="534" t="str">
        <f t="shared" si="48"/>
        <v/>
      </c>
    </row>
    <row r="1568" spans="2:13" ht="15.75" x14ac:dyDescent="0.25">
      <c r="B1568" s="692"/>
      <c r="C1568" s="117" t="str">
        <f>IF(ISNUMBER(B1568),IFERROR(VLOOKUP(B1568,'נתוני רישום ומצבת'!B:J,3,0),""),"")</f>
        <v/>
      </c>
      <c r="D1568" s="693"/>
      <c r="E1568" s="697"/>
      <c r="F1568" s="695"/>
      <c r="G1568" s="696"/>
      <c r="K1568" s="22" t="str">
        <f t="shared" si="49"/>
        <v/>
      </c>
      <c r="M1568" s="534" t="str">
        <f t="shared" si="48"/>
        <v/>
      </c>
    </row>
    <row r="1569" spans="2:13" ht="15.75" x14ac:dyDescent="0.25">
      <c r="B1569" s="692"/>
      <c r="C1569" s="117" t="str">
        <f>IF(ISNUMBER(B1569),IFERROR(VLOOKUP(B1569,'נתוני רישום ומצבת'!B:J,3,0),""),"")</f>
        <v/>
      </c>
      <c r="D1569" s="693"/>
      <c r="E1569" s="697"/>
      <c r="F1569" s="695"/>
      <c r="G1569" s="696"/>
      <c r="K1569" s="22" t="str">
        <f t="shared" si="49"/>
        <v/>
      </c>
      <c r="M1569" s="534" t="str">
        <f t="shared" si="48"/>
        <v/>
      </c>
    </row>
    <row r="1570" spans="2:13" ht="15.75" x14ac:dyDescent="0.25">
      <c r="B1570" s="692"/>
      <c r="C1570" s="117" t="str">
        <f>IF(ISNUMBER(B1570),IFERROR(VLOOKUP(B1570,'נתוני רישום ומצבת'!B:J,3,0),""),"")</f>
        <v/>
      </c>
      <c r="D1570" s="693"/>
      <c r="E1570" s="697"/>
      <c r="F1570" s="695"/>
      <c r="G1570" s="696"/>
      <c r="K1570" s="22" t="str">
        <f t="shared" si="49"/>
        <v/>
      </c>
      <c r="M1570" s="534" t="str">
        <f t="shared" si="48"/>
        <v/>
      </c>
    </row>
    <row r="1571" spans="2:13" ht="15.75" x14ac:dyDescent="0.25">
      <c r="B1571" s="692"/>
      <c r="C1571" s="117" t="str">
        <f>IF(ISNUMBER(B1571),IFERROR(VLOOKUP(B1571,'נתוני רישום ומצבת'!B:J,3,0),""),"")</f>
        <v/>
      </c>
      <c r="D1571" s="693"/>
      <c r="E1571" s="697"/>
      <c r="F1571" s="695"/>
      <c r="G1571" s="696"/>
      <c r="K1571" s="22" t="str">
        <f t="shared" si="49"/>
        <v/>
      </c>
      <c r="M1571" s="534" t="str">
        <f t="shared" si="48"/>
        <v/>
      </c>
    </row>
    <row r="1572" spans="2:13" ht="15.75" x14ac:dyDescent="0.25">
      <c r="B1572" s="692"/>
      <c r="C1572" s="117" t="str">
        <f>IF(ISNUMBER(B1572),IFERROR(VLOOKUP(B1572,'נתוני רישום ומצבת'!B:J,3,0),""),"")</f>
        <v/>
      </c>
      <c r="D1572" s="693"/>
      <c r="E1572" s="697"/>
      <c r="F1572" s="695"/>
      <c r="G1572" s="696"/>
      <c r="K1572" s="22" t="str">
        <f t="shared" si="49"/>
        <v/>
      </c>
      <c r="M1572" s="534" t="str">
        <f t="shared" si="48"/>
        <v/>
      </c>
    </row>
    <row r="1573" spans="2:13" ht="15.75" x14ac:dyDescent="0.25">
      <c r="B1573" s="692"/>
      <c r="C1573" s="117" t="str">
        <f>IF(ISNUMBER(B1573),IFERROR(VLOOKUP(B1573,'נתוני רישום ומצבת'!B:J,3,0),""),"")</f>
        <v/>
      </c>
      <c r="D1573" s="693"/>
      <c r="E1573" s="697"/>
      <c r="F1573" s="695"/>
      <c r="G1573" s="696"/>
      <c r="K1573" s="22" t="str">
        <f t="shared" si="49"/>
        <v/>
      </c>
      <c r="M1573" s="534" t="str">
        <f t="shared" si="48"/>
        <v/>
      </c>
    </row>
    <row r="1574" spans="2:13" ht="15.75" x14ac:dyDescent="0.25">
      <c r="B1574" s="692"/>
      <c r="C1574" s="117" t="str">
        <f>IF(ISNUMBER(B1574),IFERROR(VLOOKUP(B1574,'נתוני רישום ומצבת'!B:J,3,0),""),"")</f>
        <v/>
      </c>
      <c r="D1574" s="693"/>
      <c r="E1574" s="697"/>
      <c r="F1574" s="695"/>
      <c r="G1574" s="696"/>
      <c r="K1574" s="22" t="str">
        <f t="shared" si="49"/>
        <v/>
      </c>
      <c r="M1574" s="534" t="str">
        <f t="shared" si="48"/>
        <v/>
      </c>
    </row>
    <row r="1575" spans="2:13" ht="15.75" x14ac:dyDescent="0.25">
      <c r="B1575" s="692"/>
      <c r="C1575" s="117" t="str">
        <f>IF(ISNUMBER(B1575),IFERROR(VLOOKUP(B1575,'נתוני רישום ומצבת'!B:J,3,0),""),"")</f>
        <v/>
      </c>
      <c r="D1575" s="693"/>
      <c r="E1575" s="697"/>
      <c r="F1575" s="695"/>
      <c r="G1575" s="696"/>
      <c r="K1575" s="22" t="str">
        <f t="shared" si="49"/>
        <v/>
      </c>
      <c r="M1575" s="534" t="str">
        <f t="shared" si="48"/>
        <v/>
      </c>
    </row>
    <row r="1576" spans="2:13" ht="15.75" x14ac:dyDescent="0.25">
      <c r="B1576" s="692"/>
      <c r="C1576" s="117" t="str">
        <f>IF(ISNUMBER(B1576),IFERROR(VLOOKUP(B1576,'נתוני רישום ומצבת'!B:J,3,0),""),"")</f>
        <v/>
      </c>
      <c r="D1576" s="693"/>
      <c r="E1576" s="697"/>
      <c r="F1576" s="695"/>
      <c r="G1576" s="696"/>
      <c r="K1576" s="22" t="str">
        <f t="shared" si="49"/>
        <v/>
      </c>
      <c r="M1576" s="534" t="str">
        <f t="shared" si="48"/>
        <v/>
      </c>
    </row>
    <row r="1577" spans="2:13" ht="15.75" x14ac:dyDescent="0.25">
      <c r="B1577" s="692"/>
      <c r="C1577" s="117" t="str">
        <f>IF(ISNUMBER(B1577),IFERROR(VLOOKUP(B1577,'נתוני רישום ומצבת'!B:J,3,0),""),"")</f>
        <v/>
      </c>
      <c r="D1577" s="693"/>
      <c r="E1577" s="697"/>
      <c r="F1577" s="695"/>
      <c r="G1577" s="696"/>
      <c r="K1577" s="22" t="str">
        <f t="shared" si="49"/>
        <v/>
      </c>
      <c r="M1577" s="534" t="str">
        <f t="shared" si="48"/>
        <v/>
      </c>
    </row>
    <row r="1578" spans="2:13" ht="15.75" x14ac:dyDescent="0.25">
      <c r="B1578" s="692"/>
      <c r="C1578" s="117" t="str">
        <f>IF(ISNUMBER(B1578),IFERROR(VLOOKUP(B1578,'נתוני רישום ומצבת'!B:J,3,0),""),"")</f>
        <v/>
      </c>
      <c r="D1578" s="693"/>
      <c r="E1578" s="697"/>
      <c r="F1578" s="695"/>
      <c r="G1578" s="696"/>
      <c r="K1578" s="22" t="str">
        <f t="shared" si="49"/>
        <v/>
      </c>
      <c r="M1578" s="534" t="str">
        <f t="shared" si="48"/>
        <v/>
      </c>
    </row>
    <row r="1579" spans="2:13" ht="15.75" x14ac:dyDescent="0.25">
      <c r="B1579" s="692"/>
      <c r="C1579" s="117" t="str">
        <f>IF(ISNUMBER(B1579),IFERROR(VLOOKUP(B1579,'נתוני רישום ומצבת'!B:J,3,0),""),"")</f>
        <v/>
      </c>
      <c r="D1579" s="693"/>
      <c r="E1579" s="697"/>
      <c r="F1579" s="695"/>
      <c r="G1579" s="696"/>
      <c r="K1579" s="22" t="str">
        <f t="shared" si="49"/>
        <v/>
      </c>
      <c r="M1579" s="534" t="str">
        <f t="shared" si="48"/>
        <v/>
      </c>
    </row>
    <row r="1580" spans="2:13" ht="15.75" x14ac:dyDescent="0.25">
      <c r="B1580" s="692"/>
      <c r="C1580" s="117" t="str">
        <f>IF(ISNUMBER(B1580),IFERROR(VLOOKUP(B1580,'נתוני רישום ומצבת'!B:J,3,0),""),"")</f>
        <v/>
      </c>
      <c r="D1580" s="693"/>
      <c r="E1580" s="697"/>
      <c r="F1580" s="695"/>
      <c r="G1580" s="696"/>
      <c r="K1580" s="22" t="str">
        <f t="shared" si="49"/>
        <v/>
      </c>
      <c r="M1580" s="534" t="str">
        <f t="shared" si="48"/>
        <v/>
      </c>
    </row>
    <row r="1581" spans="2:13" ht="15.75" x14ac:dyDescent="0.25">
      <c r="B1581" s="692"/>
      <c r="C1581" s="117" t="str">
        <f>IF(ISNUMBER(B1581),IFERROR(VLOOKUP(B1581,'נתוני רישום ומצבת'!B:J,3,0),""),"")</f>
        <v/>
      </c>
      <c r="D1581" s="693"/>
      <c r="E1581" s="697"/>
      <c r="F1581" s="695"/>
      <c r="G1581" s="696"/>
      <c r="K1581" s="22" t="str">
        <f t="shared" si="49"/>
        <v/>
      </c>
      <c r="M1581" s="534" t="str">
        <f t="shared" si="48"/>
        <v/>
      </c>
    </row>
    <row r="1582" spans="2:13" ht="15.75" x14ac:dyDescent="0.25">
      <c r="B1582" s="692"/>
      <c r="C1582" s="117" t="str">
        <f>IF(ISNUMBER(B1582),IFERROR(VLOOKUP(B1582,'נתוני רישום ומצבת'!B:J,3,0),""),"")</f>
        <v/>
      </c>
      <c r="D1582" s="693"/>
      <c r="E1582" s="697"/>
      <c r="F1582" s="695"/>
      <c r="G1582" s="696"/>
      <c r="K1582" s="22" t="str">
        <f t="shared" si="49"/>
        <v/>
      </c>
      <c r="M1582" s="534" t="str">
        <f t="shared" si="48"/>
        <v/>
      </c>
    </row>
    <row r="1583" spans="2:13" ht="15.75" x14ac:dyDescent="0.25">
      <c r="B1583" s="692"/>
      <c r="C1583" s="117" t="str">
        <f>IF(ISNUMBER(B1583),IFERROR(VLOOKUP(B1583,'נתוני רישום ומצבת'!B:J,3,0),""),"")</f>
        <v/>
      </c>
      <c r="D1583" s="693"/>
      <c r="E1583" s="697"/>
      <c r="F1583" s="695"/>
      <c r="G1583" s="696"/>
      <c r="K1583" s="22" t="str">
        <f t="shared" si="49"/>
        <v/>
      </c>
      <c r="M1583" s="534" t="str">
        <f t="shared" si="48"/>
        <v/>
      </c>
    </row>
    <row r="1584" spans="2:13" ht="15.75" x14ac:dyDescent="0.25">
      <c r="B1584" s="692"/>
      <c r="C1584" s="117" t="str">
        <f>IF(ISNUMBER(B1584),IFERROR(VLOOKUP(B1584,'נתוני רישום ומצבת'!B:J,3,0),""),"")</f>
        <v/>
      </c>
      <c r="D1584" s="693"/>
      <c r="E1584" s="697"/>
      <c r="F1584" s="695"/>
      <c r="G1584" s="696"/>
      <c r="K1584" s="22" t="str">
        <f t="shared" si="49"/>
        <v/>
      </c>
      <c r="M1584" s="534" t="str">
        <f t="shared" si="48"/>
        <v/>
      </c>
    </row>
    <row r="1585" spans="2:13" ht="15.75" x14ac:dyDescent="0.25">
      <c r="B1585" s="692"/>
      <c r="C1585" s="117" t="str">
        <f>IF(ISNUMBER(B1585),IFERROR(VLOOKUP(B1585,'נתוני רישום ומצבת'!B:J,3,0),""),"")</f>
        <v/>
      </c>
      <c r="D1585" s="693"/>
      <c r="E1585" s="697"/>
      <c r="F1585" s="695"/>
      <c r="G1585" s="696"/>
      <c r="K1585" s="22" t="str">
        <f t="shared" si="49"/>
        <v/>
      </c>
      <c r="M1585" s="534" t="str">
        <f t="shared" si="48"/>
        <v/>
      </c>
    </row>
    <row r="1586" spans="2:13" ht="15.75" x14ac:dyDescent="0.25">
      <c r="B1586" s="692"/>
      <c r="C1586" s="117" t="str">
        <f>IF(ISNUMBER(B1586),IFERROR(VLOOKUP(B1586,'נתוני רישום ומצבת'!B:J,3,0),""),"")</f>
        <v/>
      </c>
      <c r="D1586" s="693"/>
      <c r="E1586" s="697"/>
      <c r="F1586" s="695"/>
      <c r="G1586" s="696"/>
      <c r="K1586" s="22" t="str">
        <f t="shared" si="49"/>
        <v/>
      </c>
      <c r="M1586" s="534" t="str">
        <f t="shared" si="48"/>
        <v/>
      </c>
    </row>
    <row r="1587" spans="2:13" ht="15.75" x14ac:dyDescent="0.25">
      <c r="B1587" s="692"/>
      <c r="C1587" s="117" t="str">
        <f>IF(ISNUMBER(B1587),IFERROR(VLOOKUP(B1587,'נתוני רישום ומצבת'!B:J,3,0),""),"")</f>
        <v/>
      </c>
      <c r="D1587" s="693"/>
      <c r="E1587" s="697"/>
      <c r="F1587" s="695"/>
      <c r="G1587" s="696"/>
      <c r="K1587" s="22" t="str">
        <f t="shared" si="49"/>
        <v/>
      </c>
      <c r="M1587" s="534" t="str">
        <f t="shared" si="48"/>
        <v/>
      </c>
    </row>
    <row r="1588" spans="2:13" ht="15.75" x14ac:dyDescent="0.25">
      <c r="B1588" s="692"/>
      <c r="C1588" s="117" t="str">
        <f>IF(ISNUMBER(B1588),IFERROR(VLOOKUP(B1588,'נתוני רישום ומצבת'!B:J,3,0),""),"")</f>
        <v/>
      </c>
      <c r="D1588" s="693"/>
      <c r="E1588" s="697"/>
      <c r="F1588" s="695"/>
      <c r="G1588" s="696"/>
      <c r="K1588" s="22" t="str">
        <f t="shared" si="49"/>
        <v/>
      </c>
      <c r="M1588" s="534" t="str">
        <f t="shared" si="48"/>
        <v/>
      </c>
    </row>
    <row r="1589" spans="2:13" ht="15.75" x14ac:dyDescent="0.25">
      <c r="B1589" s="692"/>
      <c r="C1589" s="117" t="str">
        <f>IF(ISNUMBER(B1589),IFERROR(VLOOKUP(B1589,'נתוני רישום ומצבת'!B:J,3,0),""),"")</f>
        <v/>
      </c>
      <c r="D1589" s="693"/>
      <c r="E1589" s="697"/>
      <c r="F1589" s="695"/>
      <c r="G1589" s="696"/>
      <c r="K1589" s="22" t="str">
        <f t="shared" si="49"/>
        <v/>
      </c>
      <c r="M1589" s="534" t="str">
        <f t="shared" si="48"/>
        <v/>
      </c>
    </row>
    <row r="1590" spans="2:13" ht="15.75" x14ac:dyDescent="0.25">
      <c r="B1590" s="692"/>
      <c r="C1590" s="117" t="str">
        <f>IF(ISNUMBER(B1590),IFERROR(VLOOKUP(B1590,'נתוני רישום ומצבת'!B:J,3,0),""),"")</f>
        <v/>
      </c>
      <c r="D1590" s="693"/>
      <c r="E1590" s="697"/>
      <c r="F1590" s="695"/>
      <c r="G1590" s="696"/>
      <c r="K1590" s="22" t="str">
        <f t="shared" si="49"/>
        <v/>
      </c>
      <c r="M1590" s="534" t="str">
        <f t="shared" si="48"/>
        <v/>
      </c>
    </row>
    <row r="1591" spans="2:13" ht="15.75" x14ac:dyDescent="0.25">
      <c r="B1591" s="692"/>
      <c r="C1591" s="117" t="str">
        <f>IF(ISNUMBER(B1591),IFERROR(VLOOKUP(B1591,'נתוני רישום ומצבת'!B:J,3,0),""),"")</f>
        <v/>
      </c>
      <c r="D1591" s="693"/>
      <c r="E1591" s="697"/>
      <c r="F1591" s="695"/>
      <c r="G1591" s="696"/>
      <c r="K1591" s="22" t="str">
        <f t="shared" si="49"/>
        <v/>
      </c>
      <c r="M1591" s="534" t="str">
        <f t="shared" si="48"/>
        <v/>
      </c>
    </row>
    <row r="1592" spans="2:13" ht="15.75" x14ac:dyDescent="0.25">
      <c r="B1592" s="692"/>
      <c r="C1592" s="117" t="str">
        <f>IF(ISNUMBER(B1592),IFERROR(VLOOKUP(B1592,'נתוני רישום ומצבת'!B:J,3,0),""),"")</f>
        <v/>
      </c>
      <c r="D1592" s="693"/>
      <c r="E1592" s="697"/>
      <c r="F1592" s="695"/>
      <c r="G1592" s="696"/>
      <c r="K1592" s="22" t="str">
        <f t="shared" si="49"/>
        <v/>
      </c>
      <c r="M1592" s="534" t="str">
        <f t="shared" si="48"/>
        <v/>
      </c>
    </row>
    <row r="1593" spans="2:13" ht="15.75" x14ac:dyDescent="0.25">
      <c r="B1593" s="692"/>
      <c r="C1593" s="117" t="str">
        <f>IF(ISNUMBER(B1593),IFERROR(VLOOKUP(B1593,'נתוני רישום ומצבת'!B:J,3,0),""),"")</f>
        <v/>
      </c>
      <c r="D1593" s="693"/>
      <c r="E1593" s="697"/>
      <c r="F1593" s="695"/>
      <c r="G1593" s="696"/>
      <c r="K1593" s="22" t="str">
        <f t="shared" si="49"/>
        <v/>
      </c>
      <c r="M1593" s="534" t="str">
        <f t="shared" si="48"/>
        <v/>
      </c>
    </row>
    <row r="1594" spans="2:13" ht="15.75" x14ac:dyDescent="0.25">
      <c r="B1594" s="692"/>
      <c r="C1594" s="117" t="str">
        <f>IF(ISNUMBER(B1594),IFERROR(VLOOKUP(B1594,'נתוני רישום ומצבת'!B:J,3,0),""),"")</f>
        <v/>
      </c>
      <c r="D1594" s="693"/>
      <c r="E1594" s="697"/>
      <c r="F1594" s="695"/>
      <c r="G1594" s="696"/>
      <c r="K1594" s="22" t="str">
        <f t="shared" si="49"/>
        <v/>
      </c>
      <c r="M1594" s="534" t="str">
        <f t="shared" si="48"/>
        <v/>
      </c>
    </row>
    <row r="1595" spans="2:13" ht="15.75" x14ac:dyDescent="0.25">
      <c r="B1595" s="692"/>
      <c r="C1595" s="117" t="str">
        <f>IF(ISNUMBER(B1595),IFERROR(VLOOKUP(B1595,'נתוני רישום ומצבת'!B:J,3,0),""),"")</f>
        <v/>
      </c>
      <c r="D1595" s="693"/>
      <c r="E1595" s="697"/>
      <c r="F1595" s="695"/>
      <c r="G1595" s="696"/>
      <c r="K1595" s="22" t="str">
        <f t="shared" si="49"/>
        <v/>
      </c>
      <c r="M1595" s="534" t="str">
        <f t="shared" si="48"/>
        <v/>
      </c>
    </row>
    <row r="1596" spans="2:13" ht="15.75" x14ac:dyDescent="0.25">
      <c r="B1596" s="692"/>
      <c r="C1596" s="117" t="str">
        <f>IF(ISNUMBER(B1596),IFERROR(VLOOKUP(B1596,'נתוני רישום ומצבת'!B:J,3,0),""),"")</f>
        <v/>
      </c>
      <c r="D1596" s="693"/>
      <c r="E1596" s="697"/>
      <c r="F1596" s="695"/>
      <c r="G1596" s="696"/>
      <c r="K1596" s="22" t="str">
        <f t="shared" si="49"/>
        <v/>
      </c>
      <c r="M1596" s="534" t="str">
        <f t="shared" si="48"/>
        <v/>
      </c>
    </row>
    <row r="1597" spans="2:13" ht="15.75" x14ac:dyDescent="0.25">
      <c r="B1597" s="692"/>
      <c r="C1597" s="117" t="str">
        <f>IF(ISNUMBER(B1597),IFERROR(VLOOKUP(B1597,'נתוני רישום ומצבת'!B:J,3,0),""),"")</f>
        <v/>
      </c>
      <c r="D1597" s="693"/>
      <c r="E1597" s="697"/>
      <c r="F1597" s="695"/>
      <c r="G1597" s="696"/>
      <c r="K1597" s="22" t="str">
        <f t="shared" si="49"/>
        <v/>
      </c>
      <c r="M1597" s="534" t="str">
        <f t="shared" si="48"/>
        <v/>
      </c>
    </row>
    <row r="1598" spans="2:13" ht="15.75" x14ac:dyDescent="0.25">
      <c r="B1598" s="692"/>
      <c r="C1598" s="117" t="str">
        <f>IF(ISNUMBER(B1598),IFERROR(VLOOKUP(B1598,'נתוני רישום ומצבת'!B:J,3,0),""),"")</f>
        <v/>
      </c>
      <c r="D1598" s="693"/>
      <c r="E1598" s="697"/>
      <c r="F1598" s="695"/>
      <c r="G1598" s="696"/>
      <c r="K1598" s="22" t="str">
        <f t="shared" si="49"/>
        <v/>
      </c>
      <c r="M1598" s="534" t="str">
        <f t="shared" si="48"/>
        <v/>
      </c>
    </row>
    <row r="1599" spans="2:13" ht="15.75" x14ac:dyDescent="0.25">
      <c r="B1599" s="692"/>
      <c r="C1599" s="117" t="str">
        <f>IF(ISNUMBER(B1599),IFERROR(VLOOKUP(B1599,'נתוני רישום ומצבת'!B:J,3,0),""),"")</f>
        <v/>
      </c>
      <c r="D1599" s="693"/>
      <c r="E1599" s="697"/>
      <c r="F1599" s="695"/>
      <c r="G1599" s="696"/>
      <c r="K1599" s="22" t="str">
        <f t="shared" si="49"/>
        <v/>
      </c>
      <c r="M1599" s="534" t="str">
        <f t="shared" si="48"/>
        <v/>
      </c>
    </row>
    <row r="1600" spans="2:13" ht="15.75" x14ac:dyDescent="0.25">
      <c r="B1600" s="692"/>
      <c r="C1600" s="117" t="str">
        <f>IF(ISNUMBER(B1600),IFERROR(VLOOKUP(B1600,'נתוני רישום ומצבת'!B:J,3,0),""),"")</f>
        <v/>
      </c>
      <c r="D1600" s="693"/>
      <c r="E1600" s="697"/>
      <c r="F1600" s="695"/>
      <c r="G1600" s="696"/>
      <c r="K1600" s="22" t="str">
        <f t="shared" si="49"/>
        <v/>
      </c>
      <c r="M1600" s="534" t="str">
        <f t="shared" si="48"/>
        <v/>
      </c>
    </row>
    <row r="1601" spans="2:13" ht="15.75" x14ac:dyDescent="0.25">
      <c r="B1601" s="692"/>
      <c r="C1601" s="117" t="str">
        <f>IF(ISNUMBER(B1601),IFERROR(VLOOKUP(B1601,'נתוני רישום ומצבת'!B:J,3,0),""),"")</f>
        <v/>
      </c>
      <c r="D1601" s="693"/>
      <c r="E1601" s="697"/>
      <c r="F1601" s="695"/>
      <c r="G1601" s="696"/>
      <c r="K1601" s="22" t="str">
        <f t="shared" si="49"/>
        <v/>
      </c>
      <c r="M1601" s="534" t="str">
        <f t="shared" si="48"/>
        <v/>
      </c>
    </row>
    <row r="1602" spans="2:13" ht="15.75" x14ac:dyDescent="0.25">
      <c r="B1602" s="692"/>
      <c r="C1602" s="117" t="str">
        <f>IF(ISNUMBER(B1602),IFERROR(VLOOKUP(B1602,'נתוני רישום ומצבת'!B:J,3,0),""),"")</f>
        <v/>
      </c>
      <c r="D1602" s="693"/>
      <c r="E1602" s="697"/>
      <c r="F1602" s="695"/>
      <c r="G1602" s="696"/>
      <c r="K1602" s="22" t="str">
        <f t="shared" si="49"/>
        <v/>
      </c>
      <c r="M1602" s="534" t="str">
        <f t="shared" si="48"/>
        <v/>
      </c>
    </row>
    <row r="1603" spans="2:13" ht="15.75" x14ac:dyDescent="0.25">
      <c r="B1603" s="692"/>
      <c r="C1603" s="117" t="str">
        <f>IF(ISNUMBER(B1603),IFERROR(VLOOKUP(B1603,'נתוני רישום ומצבת'!B:J,3,0),""),"")</f>
        <v/>
      </c>
      <c r="D1603" s="693"/>
      <c r="E1603" s="697"/>
      <c r="F1603" s="695"/>
      <c r="G1603" s="696"/>
      <c r="K1603" s="22" t="str">
        <f t="shared" si="49"/>
        <v/>
      </c>
      <c r="M1603" s="534" t="str">
        <f t="shared" si="48"/>
        <v/>
      </c>
    </row>
    <row r="1604" spans="2:13" ht="15.75" x14ac:dyDescent="0.25">
      <c r="B1604" s="692"/>
      <c r="C1604" s="117" t="str">
        <f>IF(ISNUMBER(B1604),IFERROR(VLOOKUP(B1604,'נתוני רישום ומצבת'!B:J,3,0),""),"")</f>
        <v/>
      </c>
      <c r="D1604" s="693"/>
      <c r="E1604" s="697"/>
      <c r="F1604" s="695"/>
      <c r="G1604" s="696"/>
      <c r="K1604" s="22" t="str">
        <f t="shared" si="49"/>
        <v/>
      </c>
      <c r="M1604" s="534" t="str">
        <f t="shared" si="48"/>
        <v/>
      </c>
    </row>
    <row r="1605" spans="2:13" ht="15.75" x14ac:dyDescent="0.25">
      <c r="B1605" s="692"/>
      <c r="C1605" s="117" t="str">
        <f>IF(ISNUMBER(B1605),IFERROR(VLOOKUP(B1605,'נתוני רישום ומצבת'!B:J,3,0),""),"")</f>
        <v/>
      </c>
      <c r="D1605" s="693"/>
      <c r="E1605" s="697"/>
      <c r="F1605" s="695"/>
      <c r="G1605" s="696"/>
      <c r="K1605" s="22" t="str">
        <f t="shared" si="49"/>
        <v/>
      </c>
      <c r="M1605" s="534" t="str">
        <f t="shared" si="48"/>
        <v/>
      </c>
    </row>
    <row r="1606" spans="2:13" ht="15.75" x14ac:dyDescent="0.25">
      <c r="B1606" s="692"/>
      <c r="C1606" s="117" t="str">
        <f>IF(ISNUMBER(B1606),IFERROR(VLOOKUP(B1606,'נתוני רישום ומצבת'!B:J,3,0),""),"")</f>
        <v/>
      </c>
      <c r="D1606" s="693"/>
      <c r="E1606" s="697"/>
      <c r="F1606" s="695"/>
      <c r="G1606" s="696"/>
      <c r="K1606" s="22" t="str">
        <f t="shared" si="49"/>
        <v/>
      </c>
      <c r="M1606" s="534" t="str">
        <f t="shared" si="48"/>
        <v/>
      </c>
    </row>
    <row r="1607" spans="2:13" ht="15.75" x14ac:dyDescent="0.25">
      <c r="B1607" s="692"/>
      <c r="C1607" s="117" t="str">
        <f>IF(ISNUMBER(B1607),IFERROR(VLOOKUP(B1607,'נתוני רישום ומצבת'!B:J,3,0),""),"")</f>
        <v/>
      </c>
      <c r="D1607" s="693"/>
      <c r="E1607" s="697"/>
      <c r="F1607" s="695"/>
      <c r="G1607" s="696"/>
      <c r="K1607" s="22" t="str">
        <f t="shared" si="49"/>
        <v/>
      </c>
      <c r="M1607" s="534" t="str">
        <f t="shared" si="48"/>
        <v/>
      </c>
    </row>
    <row r="1608" spans="2:13" ht="15.75" x14ac:dyDescent="0.25">
      <c r="B1608" s="692"/>
      <c r="C1608" s="117" t="str">
        <f>IF(ISNUMBER(B1608),IFERROR(VLOOKUP(B1608,'נתוני רישום ומצבת'!B:J,3,0),""),"")</f>
        <v/>
      </c>
      <c r="D1608" s="693"/>
      <c r="E1608" s="697"/>
      <c r="F1608" s="695"/>
      <c r="G1608" s="696"/>
      <c r="K1608" s="22" t="str">
        <f t="shared" si="49"/>
        <v/>
      </c>
      <c r="M1608" s="534" t="str">
        <f t="shared" si="48"/>
        <v/>
      </c>
    </row>
    <row r="1609" spans="2:13" ht="15.75" x14ac:dyDescent="0.25">
      <c r="B1609" s="692"/>
      <c r="C1609" s="117" t="str">
        <f>IF(ISNUMBER(B1609),IFERROR(VLOOKUP(B1609,'נתוני רישום ומצבת'!B:J,3,0),""),"")</f>
        <v/>
      </c>
      <c r="D1609" s="693"/>
      <c r="E1609" s="697"/>
      <c r="F1609" s="695"/>
      <c r="G1609" s="696"/>
      <c r="K1609" s="22" t="str">
        <f t="shared" si="49"/>
        <v/>
      </c>
      <c r="M1609" s="534" t="str">
        <f t="shared" si="48"/>
        <v/>
      </c>
    </row>
    <row r="1610" spans="2:13" ht="15.75" x14ac:dyDescent="0.25">
      <c r="B1610" s="692"/>
      <c r="C1610" s="117" t="str">
        <f>IF(ISNUMBER(B1610),IFERROR(VLOOKUP(B1610,'נתוני רישום ומצבת'!B:J,3,0),""),"")</f>
        <v/>
      </c>
      <c r="D1610" s="693"/>
      <c r="E1610" s="697"/>
      <c r="F1610" s="695"/>
      <c r="G1610" s="696"/>
      <c r="K1610" s="22" t="str">
        <f t="shared" si="49"/>
        <v/>
      </c>
      <c r="M1610" s="534" t="str">
        <f t="shared" si="48"/>
        <v/>
      </c>
    </row>
    <row r="1611" spans="2:13" ht="15.75" x14ac:dyDescent="0.25">
      <c r="B1611" s="692"/>
      <c r="C1611" s="117" t="str">
        <f>IF(ISNUMBER(B1611),IFERROR(VLOOKUP(B1611,'נתוני רישום ומצבת'!B:J,3,0),""),"")</f>
        <v/>
      </c>
      <c r="D1611" s="693"/>
      <c r="E1611" s="697"/>
      <c r="F1611" s="695"/>
      <c r="G1611" s="696"/>
      <c r="K1611" s="22" t="str">
        <f t="shared" si="49"/>
        <v/>
      </c>
      <c r="M1611" s="534" t="str">
        <f t="shared" si="48"/>
        <v/>
      </c>
    </row>
    <row r="1612" spans="2:13" ht="15.75" x14ac:dyDescent="0.25">
      <c r="B1612" s="692"/>
      <c r="C1612" s="117" t="str">
        <f>IF(ISNUMBER(B1612),IFERROR(VLOOKUP(B1612,'נתוני רישום ומצבת'!B:J,3,0),""),"")</f>
        <v/>
      </c>
      <c r="D1612" s="693"/>
      <c r="E1612" s="697"/>
      <c r="F1612" s="695"/>
      <c r="G1612" s="696"/>
      <c r="K1612" s="22" t="str">
        <f t="shared" si="49"/>
        <v/>
      </c>
      <c r="M1612" s="534" t="str">
        <f t="shared" si="48"/>
        <v/>
      </c>
    </row>
    <row r="1613" spans="2:13" ht="15.75" x14ac:dyDescent="0.25">
      <c r="B1613" s="692"/>
      <c r="C1613" s="117" t="str">
        <f>IF(ISNUMBER(B1613),IFERROR(VLOOKUP(B1613,'נתוני רישום ומצבת'!B:J,3,0),""),"")</f>
        <v/>
      </c>
      <c r="D1613" s="693"/>
      <c r="E1613" s="697"/>
      <c r="F1613" s="695"/>
      <c r="G1613" s="696"/>
      <c r="K1613" s="22" t="str">
        <f t="shared" si="49"/>
        <v/>
      </c>
      <c r="M1613" s="534" t="str">
        <f t="shared" si="48"/>
        <v/>
      </c>
    </row>
    <row r="1614" spans="2:13" ht="15.75" x14ac:dyDescent="0.25">
      <c r="B1614" s="692"/>
      <c r="C1614" s="117" t="str">
        <f>IF(ISNUMBER(B1614),IFERROR(VLOOKUP(B1614,'נתוני רישום ומצבת'!B:J,3,0),""),"")</f>
        <v/>
      </c>
      <c r="D1614" s="693"/>
      <c r="E1614" s="697"/>
      <c r="F1614" s="695"/>
      <c r="G1614" s="696"/>
      <c r="K1614" s="22" t="str">
        <f t="shared" si="49"/>
        <v/>
      </c>
      <c r="M1614" s="534" t="str">
        <f t="shared" si="48"/>
        <v/>
      </c>
    </row>
    <row r="1615" spans="2:13" ht="15.75" x14ac:dyDescent="0.25">
      <c r="B1615" s="692"/>
      <c r="C1615" s="117" t="str">
        <f>IF(ISNUMBER(B1615),IFERROR(VLOOKUP(B1615,'נתוני רישום ומצבת'!B:J,3,0),""),"")</f>
        <v/>
      </c>
      <c r="D1615" s="693"/>
      <c r="E1615" s="697"/>
      <c r="F1615" s="695"/>
      <c r="G1615" s="696"/>
      <c r="K1615" s="22" t="str">
        <f t="shared" si="49"/>
        <v/>
      </c>
      <c r="M1615" s="534" t="str">
        <f t="shared" si="48"/>
        <v/>
      </c>
    </row>
    <row r="1616" spans="2:13" ht="15.75" x14ac:dyDescent="0.25">
      <c r="B1616" s="692"/>
      <c r="C1616" s="117" t="str">
        <f>IF(ISNUMBER(B1616),IFERROR(VLOOKUP(B1616,'נתוני רישום ומצבת'!B:J,3,0),""),"")</f>
        <v/>
      </c>
      <c r="D1616" s="693"/>
      <c r="E1616" s="697"/>
      <c r="F1616" s="695"/>
      <c r="G1616" s="696"/>
      <c r="K1616" s="22" t="str">
        <f t="shared" si="49"/>
        <v/>
      </c>
      <c r="M1616" s="534" t="str">
        <f t="shared" si="48"/>
        <v/>
      </c>
    </row>
    <row r="1617" spans="2:13" ht="15.75" x14ac:dyDescent="0.25">
      <c r="B1617" s="692"/>
      <c r="C1617" s="117" t="str">
        <f>IF(ISNUMBER(B1617),IFERROR(VLOOKUP(B1617,'נתוני רישום ומצבת'!B:J,3,0),""),"")</f>
        <v/>
      </c>
      <c r="D1617" s="693"/>
      <c r="E1617" s="697"/>
      <c r="F1617" s="695"/>
      <c r="G1617" s="696"/>
      <c r="K1617" s="22" t="str">
        <f t="shared" si="49"/>
        <v/>
      </c>
      <c r="M1617" s="534" t="str">
        <f t="shared" ref="M1617:M1680" si="50">TEXT(LEFT(D1617,2),0)</f>
        <v/>
      </c>
    </row>
    <row r="1618" spans="2:13" ht="15.75" x14ac:dyDescent="0.25">
      <c r="B1618" s="692"/>
      <c r="C1618" s="117" t="str">
        <f>IF(ISNUMBER(B1618),IFERROR(VLOOKUP(B1618,'נתוני רישום ומצבת'!B:J,3,0),""),"")</f>
        <v/>
      </c>
      <c r="D1618" s="693"/>
      <c r="E1618" s="697"/>
      <c r="F1618" s="695"/>
      <c r="G1618" s="696"/>
      <c r="K1618" s="22" t="str">
        <f t="shared" si="49"/>
        <v/>
      </c>
      <c r="M1618" s="534" t="str">
        <f t="shared" si="50"/>
        <v/>
      </c>
    </row>
    <row r="1619" spans="2:13" ht="15.75" x14ac:dyDescent="0.25">
      <c r="B1619" s="692"/>
      <c r="C1619" s="117" t="str">
        <f>IF(ISNUMBER(B1619),IFERROR(VLOOKUP(B1619,'נתוני רישום ומצבת'!B:J,3,0),""),"")</f>
        <v/>
      </c>
      <c r="D1619" s="693"/>
      <c r="E1619" s="697"/>
      <c r="F1619" s="695"/>
      <c r="G1619" s="696"/>
      <c r="K1619" s="22" t="str">
        <f t="shared" si="49"/>
        <v/>
      </c>
      <c r="M1619" s="534" t="str">
        <f t="shared" si="50"/>
        <v/>
      </c>
    </row>
    <row r="1620" spans="2:13" ht="15.75" x14ac:dyDescent="0.25">
      <c r="B1620" s="692"/>
      <c r="C1620" s="117" t="str">
        <f>IF(ISNUMBER(B1620),IFERROR(VLOOKUP(B1620,'נתוני רישום ומצבת'!B:J,3,0),""),"")</f>
        <v/>
      </c>
      <c r="D1620" s="693"/>
      <c r="E1620" s="697"/>
      <c r="F1620" s="695"/>
      <c r="G1620" s="696"/>
      <c r="K1620" s="22" t="str">
        <f t="shared" si="49"/>
        <v/>
      </c>
      <c r="M1620" s="534" t="str">
        <f t="shared" si="50"/>
        <v/>
      </c>
    </row>
    <row r="1621" spans="2:13" ht="15.75" x14ac:dyDescent="0.25">
      <c r="B1621" s="692"/>
      <c r="C1621" s="117" t="str">
        <f>IF(ISNUMBER(B1621),IFERROR(VLOOKUP(B1621,'נתוני רישום ומצבת'!B:J,3,0),""),"")</f>
        <v/>
      </c>
      <c r="D1621" s="693"/>
      <c r="E1621" s="697"/>
      <c r="F1621" s="695"/>
      <c r="G1621" s="696"/>
      <c r="K1621" s="22" t="str">
        <f t="shared" ref="K1621:K1684" si="51">IF(C1608&lt;5,IF(D1621=$F$8,-E1621," "),"")</f>
        <v/>
      </c>
      <c r="M1621" s="534" t="str">
        <f t="shared" si="50"/>
        <v/>
      </c>
    </row>
    <row r="1622" spans="2:13" ht="15.75" x14ac:dyDescent="0.25">
      <c r="B1622" s="692"/>
      <c r="C1622" s="117" t="str">
        <f>IF(ISNUMBER(B1622),IFERROR(VLOOKUP(B1622,'נתוני רישום ומצבת'!B:J,3,0),""),"")</f>
        <v/>
      </c>
      <c r="D1622" s="693"/>
      <c r="E1622" s="697"/>
      <c r="F1622" s="695"/>
      <c r="G1622" s="696"/>
      <c r="K1622" s="22" t="str">
        <f t="shared" si="51"/>
        <v/>
      </c>
      <c r="M1622" s="534" t="str">
        <f t="shared" si="50"/>
        <v/>
      </c>
    </row>
    <row r="1623" spans="2:13" ht="15.75" x14ac:dyDescent="0.25">
      <c r="B1623" s="692"/>
      <c r="C1623" s="117" t="str">
        <f>IF(ISNUMBER(B1623),IFERROR(VLOOKUP(B1623,'נתוני רישום ומצבת'!B:J,3,0),""),"")</f>
        <v/>
      </c>
      <c r="D1623" s="693"/>
      <c r="E1623" s="697"/>
      <c r="F1623" s="695"/>
      <c r="G1623" s="696"/>
      <c r="K1623" s="22" t="str">
        <f t="shared" si="51"/>
        <v/>
      </c>
      <c r="M1623" s="534" t="str">
        <f t="shared" si="50"/>
        <v/>
      </c>
    </row>
    <row r="1624" spans="2:13" ht="15.75" x14ac:dyDescent="0.25">
      <c r="B1624" s="692"/>
      <c r="C1624" s="117" t="str">
        <f>IF(ISNUMBER(B1624),IFERROR(VLOOKUP(B1624,'נתוני רישום ומצבת'!B:J,3,0),""),"")</f>
        <v/>
      </c>
      <c r="D1624" s="693"/>
      <c r="E1624" s="697"/>
      <c r="F1624" s="695"/>
      <c r="G1624" s="696"/>
      <c r="K1624" s="22" t="str">
        <f t="shared" si="51"/>
        <v/>
      </c>
      <c r="M1624" s="534" t="str">
        <f t="shared" si="50"/>
        <v/>
      </c>
    </row>
    <row r="1625" spans="2:13" ht="15.75" x14ac:dyDescent="0.25">
      <c r="B1625" s="692"/>
      <c r="C1625" s="117" t="str">
        <f>IF(ISNUMBER(B1625),IFERROR(VLOOKUP(B1625,'נתוני רישום ומצבת'!B:J,3,0),""),"")</f>
        <v/>
      </c>
      <c r="D1625" s="693"/>
      <c r="E1625" s="697"/>
      <c r="F1625" s="695"/>
      <c r="G1625" s="696"/>
      <c r="K1625" s="22" t="str">
        <f t="shared" si="51"/>
        <v/>
      </c>
      <c r="M1625" s="534" t="str">
        <f t="shared" si="50"/>
        <v/>
      </c>
    </row>
    <row r="1626" spans="2:13" ht="15.75" x14ac:dyDescent="0.25">
      <c r="B1626" s="692"/>
      <c r="C1626" s="117" t="str">
        <f>IF(ISNUMBER(B1626),IFERROR(VLOOKUP(B1626,'נתוני רישום ומצבת'!B:J,3,0),""),"")</f>
        <v/>
      </c>
      <c r="D1626" s="693"/>
      <c r="E1626" s="697"/>
      <c r="F1626" s="695"/>
      <c r="G1626" s="696"/>
      <c r="K1626" s="22" t="str">
        <f t="shared" si="51"/>
        <v/>
      </c>
      <c r="M1626" s="534" t="str">
        <f t="shared" si="50"/>
        <v/>
      </c>
    </row>
    <row r="1627" spans="2:13" ht="15.75" x14ac:dyDescent="0.25">
      <c r="B1627" s="692"/>
      <c r="C1627" s="117" t="str">
        <f>IF(ISNUMBER(B1627),IFERROR(VLOOKUP(B1627,'נתוני רישום ומצבת'!B:J,3,0),""),"")</f>
        <v/>
      </c>
      <c r="D1627" s="693"/>
      <c r="E1627" s="697"/>
      <c r="F1627" s="695"/>
      <c r="G1627" s="696"/>
      <c r="K1627" s="22" t="str">
        <f t="shared" si="51"/>
        <v/>
      </c>
      <c r="M1627" s="534" t="str">
        <f t="shared" si="50"/>
        <v/>
      </c>
    </row>
    <row r="1628" spans="2:13" ht="15.75" x14ac:dyDescent="0.25">
      <c r="B1628" s="692"/>
      <c r="C1628" s="117" t="str">
        <f>IF(ISNUMBER(B1628),IFERROR(VLOOKUP(B1628,'נתוני רישום ומצבת'!B:J,3,0),""),"")</f>
        <v/>
      </c>
      <c r="D1628" s="693"/>
      <c r="E1628" s="697"/>
      <c r="F1628" s="695"/>
      <c r="G1628" s="696"/>
      <c r="K1628" s="22" t="str">
        <f t="shared" si="51"/>
        <v/>
      </c>
      <c r="M1628" s="534" t="str">
        <f t="shared" si="50"/>
        <v/>
      </c>
    </row>
    <row r="1629" spans="2:13" ht="15.75" x14ac:dyDescent="0.25">
      <c r="B1629" s="692"/>
      <c r="C1629" s="117" t="str">
        <f>IF(ISNUMBER(B1629),IFERROR(VLOOKUP(B1629,'נתוני רישום ומצבת'!B:J,3,0),""),"")</f>
        <v/>
      </c>
      <c r="D1629" s="693"/>
      <c r="E1629" s="697"/>
      <c r="F1629" s="695"/>
      <c r="G1629" s="696"/>
      <c r="K1629" s="22" t="str">
        <f t="shared" si="51"/>
        <v/>
      </c>
      <c r="M1629" s="534" t="str">
        <f t="shared" si="50"/>
        <v/>
      </c>
    </row>
    <row r="1630" spans="2:13" ht="15.75" x14ac:dyDescent="0.25">
      <c r="B1630" s="692"/>
      <c r="C1630" s="117" t="str">
        <f>IF(ISNUMBER(B1630),IFERROR(VLOOKUP(B1630,'נתוני רישום ומצבת'!B:J,3,0),""),"")</f>
        <v/>
      </c>
      <c r="D1630" s="693"/>
      <c r="E1630" s="697"/>
      <c r="F1630" s="695"/>
      <c r="G1630" s="696"/>
      <c r="K1630" s="22" t="str">
        <f t="shared" si="51"/>
        <v/>
      </c>
      <c r="M1630" s="534" t="str">
        <f t="shared" si="50"/>
        <v/>
      </c>
    </row>
    <row r="1631" spans="2:13" ht="15.75" x14ac:dyDescent="0.25">
      <c r="B1631" s="692"/>
      <c r="C1631" s="117" t="str">
        <f>IF(ISNUMBER(B1631),IFERROR(VLOOKUP(B1631,'נתוני רישום ומצבת'!B:J,3,0),""),"")</f>
        <v/>
      </c>
      <c r="D1631" s="693"/>
      <c r="E1631" s="697"/>
      <c r="F1631" s="695"/>
      <c r="G1631" s="696"/>
      <c r="K1631" s="22" t="str">
        <f t="shared" si="51"/>
        <v/>
      </c>
      <c r="M1631" s="534" t="str">
        <f t="shared" si="50"/>
        <v/>
      </c>
    </row>
    <row r="1632" spans="2:13" ht="15.75" x14ac:dyDescent="0.25">
      <c r="B1632" s="692"/>
      <c r="C1632" s="117" t="str">
        <f>IF(ISNUMBER(B1632),IFERROR(VLOOKUP(B1632,'נתוני רישום ומצבת'!B:J,3,0),""),"")</f>
        <v/>
      </c>
      <c r="D1632" s="693"/>
      <c r="E1632" s="697"/>
      <c r="F1632" s="695"/>
      <c r="G1632" s="696"/>
      <c r="K1632" s="22" t="str">
        <f t="shared" si="51"/>
        <v/>
      </c>
      <c r="M1632" s="534" t="str">
        <f t="shared" si="50"/>
        <v/>
      </c>
    </row>
    <row r="1633" spans="2:13" ht="15.75" x14ac:dyDescent="0.25">
      <c r="B1633" s="692"/>
      <c r="C1633" s="117" t="str">
        <f>IF(ISNUMBER(B1633),IFERROR(VLOOKUP(B1633,'נתוני רישום ומצבת'!B:J,3,0),""),"")</f>
        <v/>
      </c>
      <c r="D1633" s="693"/>
      <c r="E1633" s="697"/>
      <c r="F1633" s="695"/>
      <c r="G1633" s="696"/>
      <c r="K1633" s="22" t="str">
        <f t="shared" si="51"/>
        <v/>
      </c>
      <c r="M1633" s="534" t="str">
        <f t="shared" si="50"/>
        <v/>
      </c>
    </row>
    <row r="1634" spans="2:13" ht="15.75" x14ac:dyDescent="0.25">
      <c r="B1634" s="692"/>
      <c r="C1634" s="117" t="str">
        <f>IF(ISNUMBER(B1634),IFERROR(VLOOKUP(B1634,'נתוני רישום ומצבת'!B:J,3,0),""),"")</f>
        <v/>
      </c>
      <c r="D1634" s="693"/>
      <c r="E1634" s="697"/>
      <c r="F1634" s="695"/>
      <c r="G1634" s="696"/>
      <c r="K1634" s="22" t="str">
        <f t="shared" si="51"/>
        <v/>
      </c>
      <c r="M1634" s="534" t="str">
        <f t="shared" si="50"/>
        <v/>
      </c>
    </row>
    <row r="1635" spans="2:13" ht="15.75" x14ac:dyDescent="0.25">
      <c r="B1635" s="692"/>
      <c r="C1635" s="117" t="str">
        <f>IF(ISNUMBER(B1635),IFERROR(VLOOKUP(B1635,'נתוני רישום ומצבת'!B:J,3,0),""),"")</f>
        <v/>
      </c>
      <c r="D1635" s="693"/>
      <c r="E1635" s="697"/>
      <c r="F1635" s="695"/>
      <c r="G1635" s="696"/>
      <c r="K1635" s="22" t="str">
        <f t="shared" si="51"/>
        <v/>
      </c>
      <c r="M1635" s="534" t="str">
        <f t="shared" si="50"/>
        <v/>
      </c>
    </row>
    <row r="1636" spans="2:13" ht="15.75" x14ac:dyDescent="0.25">
      <c r="B1636" s="692"/>
      <c r="C1636" s="117" t="str">
        <f>IF(ISNUMBER(B1636),IFERROR(VLOOKUP(B1636,'נתוני רישום ומצבת'!B:J,3,0),""),"")</f>
        <v/>
      </c>
      <c r="D1636" s="693"/>
      <c r="E1636" s="697"/>
      <c r="F1636" s="695"/>
      <c r="G1636" s="696"/>
      <c r="K1636" s="22" t="str">
        <f t="shared" si="51"/>
        <v/>
      </c>
      <c r="M1636" s="534" t="str">
        <f t="shared" si="50"/>
        <v/>
      </c>
    </row>
    <row r="1637" spans="2:13" ht="15.75" x14ac:dyDescent="0.25">
      <c r="B1637" s="692"/>
      <c r="C1637" s="117" t="str">
        <f>IF(ISNUMBER(B1637),IFERROR(VLOOKUP(B1637,'נתוני רישום ומצבת'!B:J,3,0),""),"")</f>
        <v/>
      </c>
      <c r="D1637" s="693"/>
      <c r="E1637" s="697"/>
      <c r="F1637" s="695"/>
      <c r="G1637" s="696"/>
      <c r="K1637" s="22" t="str">
        <f t="shared" si="51"/>
        <v/>
      </c>
      <c r="M1637" s="534" t="str">
        <f t="shared" si="50"/>
        <v/>
      </c>
    </row>
    <row r="1638" spans="2:13" ht="15.75" x14ac:dyDescent="0.25">
      <c r="B1638" s="692"/>
      <c r="C1638" s="117" t="str">
        <f>IF(ISNUMBER(B1638),IFERROR(VLOOKUP(B1638,'נתוני רישום ומצבת'!B:J,3,0),""),"")</f>
        <v/>
      </c>
      <c r="D1638" s="693"/>
      <c r="E1638" s="697"/>
      <c r="F1638" s="695"/>
      <c r="G1638" s="696"/>
      <c r="K1638" s="22" t="str">
        <f t="shared" si="51"/>
        <v/>
      </c>
      <c r="M1638" s="534" t="str">
        <f t="shared" si="50"/>
        <v/>
      </c>
    </row>
    <row r="1639" spans="2:13" ht="15.75" x14ac:dyDescent="0.25">
      <c r="B1639" s="692"/>
      <c r="C1639" s="117" t="str">
        <f>IF(ISNUMBER(B1639),IFERROR(VLOOKUP(B1639,'נתוני רישום ומצבת'!B:J,3,0),""),"")</f>
        <v/>
      </c>
      <c r="D1639" s="693"/>
      <c r="E1639" s="697"/>
      <c r="F1639" s="695"/>
      <c r="G1639" s="696"/>
      <c r="K1639" s="22" t="str">
        <f t="shared" si="51"/>
        <v/>
      </c>
      <c r="M1639" s="534" t="str">
        <f t="shared" si="50"/>
        <v/>
      </c>
    </row>
    <row r="1640" spans="2:13" ht="15.75" x14ac:dyDescent="0.25">
      <c r="B1640" s="692"/>
      <c r="C1640" s="117" t="str">
        <f>IF(ISNUMBER(B1640),IFERROR(VLOOKUP(B1640,'נתוני רישום ומצבת'!B:J,3,0),""),"")</f>
        <v/>
      </c>
      <c r="D1640" s="693"/>
      <c r="E1640" s="697"/>
      <c r="F1640" s="695"/>
      <c r="G1640" s="696"/>
      <c r="K1640" s="22" t="str">
        <f t="shared" si="51"/>
        <v/>
      </c>
      <c r="M1640" s="534" t="str">
        <f t="shared" si="50"/>
        <v/>
      </c>
    </row>
    <row r="1641" spans="2:13" ht="15.75" x14ac:dyDescent="0.25">
      <c r="B1641" s="692"/>
      <c r="C1641" s="117" t="str">
        <f>IF(ISNUMBER(B1641),IFERROR(VLOOKUP(B1641,'נתוני רישום ומצבת'!B:J,3,0),""),"")</f>
        <v/>
      </c>
      <c r="D1641" s="693"/>
      <c r="E1641" s="697"/>
      <c r="F1641" s="695"/>
      <c r="G1641" s="696"/>
      <c r="K1641" s="22" t="str">
        <f t="shared" si="51"/>
        <v/>
      </c>
      <c r="M1641" s="534" t="str">
        <f t="shared" si="50"/>
        <v/>
      </c>
    </row>
    <row r="1642" spans="2:13" ht="15.75" x14ac:dyDescent="0.25">
      <c r="B1642" s="692"/>
      <c r="C1642" s="117" t="str">
        <f>IF(ISNUMBER(B1642),IFERROR(VLOOKUP(B1642,'נתוני רישום ומצבת'!B:J,3,0),""),"")</f>
        <v/>
      </c>
      <c r="D1642" s="693"/>
      <c r="E1642" s="697"/>
      <c r="F1642" s="695"/>
      <c r="G1642" s="696"/>
      <c r="K1642" s="22" t="str">
        <f t="shared" si="51"/>
        <v/>
      </c>
      <c r="M1642" s="534" t="str">
        <f t="shared" si="50"/>
        <v/>
      </c>
    </row>
    <row r="1643" spans="2:13" ht="15.75" x14ac:dyDescent="0.25">
      <c r="B1643" s="692"/>
      <c r="C1643" s="117" t="str">
        <f>IF(ISNUMBER(B1643),IFERROR(VLOOKUP(B1643,'נתוני רישום ומצבת'!B:J,3,0),""),"")</f>
        <v/>
      </c>
      <c r="D1643" s="693"/>
      <c r="E1643" s="697"/>
      <c r="F1643" s="695"/>
      <c r="G1643" s="696"/>
      <c r="K1643" s="22" t="str">
        <f t="shared" si="51"/>
        <v/>
      </c>
      <c r="M1643" s="534" t="str">
        <f t="shared" si="50"/>
        <v/>
      </c>
    </row>
    <row r="1644" spans="2:13" ht="15.75" x14ac:dyDescent="0.25">
      <c r="B1644" s="692"/>
      <c r="C1644" s="117" t="str">
        <f>IF(ISNUMBER(B1644),IFERROR(VLOOKUP(B1644,'נתוני רישום ומצבת'!B:J,3,0),""),"")</f>
        <v/>
      </c>
      <c r="D1644" s="693"/>
      <c r="E1644" s="697"/>
      <c r="F1644" s="695"/>
      <c r="G1644" s="696"/>
      <c r="K1644" s="22" t="str">
        <f t="shared" si="51"/>
        <v/>
      </c>
      <c r="M1644" s="534" t="str">
        <f t="shared" si="50"/>
        <v/>
      </c>
    </row>
    <row r="1645" spans="2:13" ht="15.75" x14ac:dyDescent="0.25">
      <c r="B1645" s="692"/>
      <c r="C1645" s="117" t="str">
        <f>IF(ISNUMBER(B1645),IFERROR(VLOOKUP(B1645,'נתוני רישום ומצבת'!B:J,3,0),""),"")</f>
        <v/>
      </c>
      <c r="D1645" s="693"/>
      <c r="E1645" s="697"/>
      <c r="F1645" s="695"/>
      <c r="G1645" s="696"/>
      <c r="K1645" s="22" t="str">
        <f t="shared" si="51"/>
        <v/>
      </c>
      <c r="M1645" s="534" t="str">
        <f t="shared" si="50"/>
        <v/>
      </c>
    </row>
    <row r="1646" spans="2:13" ht="15.75" x14ac:dyDescent="0.25">
      <c r="B1646" s="692"/>
      <c r="C1646" s="117" t="str">
        <f>IF(ISNUMBER(B1646),IFERROR(VLOOKUP(B1646,'נתוני רישום ומצבת'!B:J,3,0),""),"")</f>
        <v/>
      </c>
      <c r="D1646" s="693"/>
      <c r="E1646" s="697"/>
      <c r="F1646" s="695"/>
      <c r="G1646" s="696"/>
      <c r="K1646" s="22" t="str">
        <f t="shared" si="51"/>
        <v/>
      </c>
      <c r="M1646" s="534" t="str">
        <f t="shared" si="50"/>
        <v/>
      </c>
    </row>
    <row r="1647" spans="2:13" ht="15.75" x14ac:dyDescent="0.25">
      <c r="B1647" s="692"/>
      <c r="C1647" s="117" t="str">
        <f>IF(ISNUMBER(B1647),IFERROR(VLOOKUP(B1647,'נתוני רישום ומצבת'!B:J,3,0),""),"")</f>
        <v/>
      </c>
      <c r="D1647" s="693"/>
      <c r="E1647" s="697"/>
      <c r="F1647" s="695"/>
      <c r="G1647" s="696"/>
      <c r="K1647" s="22" t="str">
        <f t="shared" si="51"/>
        <v/>
      </c>
      <c r="M1647" s="534" t="str">
        <f t="shared" si="50"/>
        <v/>
      </c>
    </row>
    <row r="1648" spans="2:13" ht="15.75" x14ac:dyDescent="0.25">
      <c r="B1648" s="692"/>
      <c r="C1648" s="117" t="str">
        <f>IF(ISNUMBER(B1648),IFERROR(VLOOKUP(B1648,'נתוני רישום ומצבת'!B:J,3,0),""),"")</f>
        <v/>
      </c>
      <c r="D1648" s="693"/>
      <c r="E1648" s="697"/>
      <c r="F1648" s="695"/>
      <c r="G1648" s="696"/>
      <c r="K1648" s="22" t="str">
        <f t="shared" si="51"/>
        <v/>
      </c>
      <c r="M1648" s="534" t="str">
        <f t="shared" si="50"/>
        <v/>
      </c>
    </row>
    <row r="1649" spans="2:13" ht="15.75" x14ac:dyDescent="0.25">
      <c r="B1649" s="692"/>
      <c r="C1649" s="117" t="str">
        <f>IF(ISNUMBER(B1649),IFERROR(VLOOKUP(B1649,'נתוני רישום ומצבת'!B:J,3,0),""),"")</f>
        <v/>
      </c>
      <c r="D1649" s="693"/>
      <c r="E1649" s="697"/>
      <c r="F1649" s="695"/>
      <c r="G1649" s="696"/>
      <c r="K1649" s="22" t="str">
        <f t="shared" si="51"/>
        <v/>
      </c>
      <c r="M1649" s="534" t="str">
        <f t="shared" si="50"/>
        <v/>
      </c>
    </row>
    <row r="1650" spans="2:13" ht="15.75" x14ac:dyDescent="0.25">
      <c r="B1650" s="692"/>
      <c r="C1650" s="117" t="str">
        <f>IF(ISNUMBER(B1650),IFERROR(VLOOKUP(B1650,'נתוני רישום ומצבת'!B:J,3,0),""),"")</f>
        <v/>
      </c>
      <c r="D1650" s="693"/>
      <c r="E1650" s="697"/>
      <c r="F1650" s="695"/>
      <c r="G1650" s="696"/>
      <c r="K1650" s="22" t="str">
        <f t="shared" si="51"/>
        <v/>
      </c>
      <c r="M1650" s="534" t="str">
        <f t="shared" si="50"/>
        <v/>
      </c>
    </row>
    <row r="1651" spans="2:13" ht="15.75" x14ac:dyDescent="0.25">
      <c r="B1651" s="692"/>
      <c r="C1651" s="117" t="str">
        <f>IF(ISNUMBER(B1651),IFERROR(VLOOKUP(B1651,'נתוני רישום ומצבת'!B:J,3,0),""),"")</f>
        <v/>
      </c>
      <c r="D1651" s="693"/>
      <c r="E1651" s="697"/>
      <c r="F1651" s="695"/>
      <c r="G1651" s="696"/>
      <c r="K1651" s="22" t="str">
        <f t="shared" si="51"/>
        <v/>
      </c>
      <c r="M1651" s="534" t="str">
        <f t="shared" si="50"/>
        <v/>
      </c>
    </row>
    <row r="1652" spans="2:13" ht="15.75" x14ac:dyDescent="0.25">
      <c r="B1652" s="692"/>
      <c r="C1652" s="117" t="str">
        <f>IF(ISNUMBER(B1652),IFERROR(VLOOKUP(B1652,'נתוני רישום ומצבת'!B:J,3,0),""),"")</f>
        <v/>
      </c>
      <c r="D1652" s="693"/>
      <c r="E1652" s="697"/>
      <c r="F1652" s="695"/>
      <c r="G1652" s="696"/>
      <c r="K1652" s="22" t="str">
        <f t="shared" si="51"/>
        <v/>
      </c>
      <c r="M1652" s="534" t="str">
        <f t="shared" si="50"/>
        <v/>
      </c>
    </row>
    <row r="1653" spans="2:13" ht="15.75" x14ac:dyDescent="0.25">
      <c r="B1653" s="692"/>
      <c r="C1653" s="117" t="str">
        <f>IF(ISNUMBER(B1653),IFERROR(VLOOKUP(B1653,'נתוני רישום ומצבת'!B:J,3,0),""),"")</f>
        <v/>
      </c>
      <c r="D1653" s="693"/>
      <c r="E1653" s="697"/>
      <c r="F1653" s="695"/>
      <c r="G1653" s="696"/>
      <c r="K1653" s="22" t="str">
        <f t="shared" si="51"/>
        <v/>
      </c>
      <c r="M1653" s="534" t="str">
        <f t="shared" si="50"/>
        <v/>
      </c>
    </row>
    <row r="1654" spans="2:13" ht="15.75" x14ac:dyDescent="0.25">
      <c r="B1654" s="692"/>
      <c r="C1654" s="117" t="str">
        <f>IF(ISNUMBER(B1654),IFERROR(VLOOKUP(B1654,'נתוני רישום ומצבת'!B:J,3,0),""),"")</f>
        <v/>
      </c>
      <c r="D1654" s="693"/>
      <c r="E1654" s="697"/>
      <c r="F1654" s="695"/>
      <c r="G1654" s="696"/>
      <c r="K1654" s="22" t="str">
        <f t="shared" si="51"/>
        <v/>
      </c>
      <c r="M1654" s="534" t="str">
        <f t="shared" si="50"/>
        <v/>
      </c>
    </row>
    <row r="1655" spans="2:13" ht="15.75" x14ac:dyDescent="0.25">
      <c r="B1655" s="692"/>
      <c r="C1655" s="117" t="str">
        <f>IF(ISNUMBER(B1655),IFERROR(VLOOKUP(B1655,'נתוני רישום ומצבת'!B:J,3,0),""),"")</f>
        <v/>
      </c>
      <c r="D1655" s="693"/>
      <c r="E1655" s="697"/>
      <c r="F1655" s="695"/>
      <c r="G1655" s="696"/>
      <c r="K1655" s="22" t="str">
        <f t="shared" si="51"/>
        <v/>
      </c>
      <c r="M1655" s="534" t="str">
        <f t="shared" si="50"/>
        <v/>
      </c>
    </row>
    <row r="1656" spans="2:13" ht="15.75" x14ac:dyDescent="0.25">
      <c r="B1656" s="692"/>
      <c r="C1656" s="117" t="str">
        <f>IF(ISNUMBER(B1656),IFERROR(VLOOKUP(B1656,'נתוני רישום ומצבת'!B:J,3,0),""),"")</f>
        <v/>
      </c>
      <c r="D1656" s="693"/>
      <c r="E1656" s="697"/>
      <c r="F1656" s="695"/>
      <c r="G1656" s="696"/>
      <c r="K1656" s="22" t="str">
        <f t="shared" si="51"/>
        <v/>
      </c>
      <c r="M1656" s="534" t="str">
        <f t="shared" si="50"/>
        <v/>
      </c>
    </row>
    <row r="1657" spans="2:13" ht="15.75" x14ac:dyDescent="0.25">
      <c r="B1657" s="692"/>
      <c r="C1657" s="117" t="str">
        <f>IF(ISNUMBER(B1657),IFERROR(VLOOKUP(B1657,'נתוני רישום ומצבת'!B:J,3,0),""),"")</f>
        <v/>
      </c>
      <c r="D1657" s="693"/>
      <c r="E1657" s="697"/>
      <c r="F1657" s="695"/>
      <c r="G1657" s="696"/>
      <c r="K1657" s="22" t="str">
        <f t="shared" si="51"/>
        <v/>
      </c>
      <c r="M1657" s="534" t="str">
        <f t="shared" si="50"/>
        <v/>
      </c>
    </row>
    <row r="1658" spans="2:13" ht="15.75" x14ac:dyDescent="0.25">
      <c r="B1658" s="692"/>
      <c r="C1658" s="117" t="str">
        <f>IF(ISNUMBER(B1658),IFERROR(VLOOKUP(B1658,'נתוני רישום ומצבת'!B:J,3,0),""),"")</f>
        <v/>
      </c>
      <c r="D1658" s="693"/>
      <c r="E1658" s="697"/>
      <c r="F1658" s="695"/>
      <c r="G1658" s="696"/>
      <c r="K1658" s="22" t="str">
        <f t="shared" si="51"/>
        <v/>
      </c>
      <c r="M1658" s="534" t="str">
        <f t="shared" si="50"/>
        <v/>
      </c>
    </row>
    <row r="1659" spans="2:13" ht="15.75" x14ac:dyDescent="0.25">
      <c r="B1659" s="692"/>
      <c r="C1659" s="117" t="str">
        <f>IF(ISNUMBER(B1659),IFERROR(VLOOKUP(B1659,'נתוני רישום ומצבת'!B:J,3,0),""),"")</f>
        <v/>
      </c>
      <c r="D1659" s="693"/>
      <c r="E1659" s="697"/>
      <c r="F1659" s="695"/>
      <c r="G1659" s="696"/>
      <c r="K1659" s="22" t="str">
        <f t="shared" si="51"/>
        <v/>
      </c>
      <c r="M1659" s="534" t="str">
        <f t="shared" si="50"/>
        <v/>
      </c>
    </row>
    <row r="1660" spans="2:13" ht="15.75" x14ac:dyDescent="0.25">
      <c r="B1660" s="692"/>
      <c r="C1660" s="117" t="str">
        <f>IF(ISNUMBER(B1660),IFERROR(VLOOKUP(B1660,'נתוני רישום ומצבת'!B:J,3,0),""),"")</f>
        <v/>
      </c>
      <c r="D1660" s="693"/>
      <c r="E1660" s="697"/>
      <c r="F1660" s="695"/>
      <c r="G1660" s="696"/>
      <c r="K1660" s="22" t="str">
        <f t="shared" si="51"/>
        <v/>
      </c>
      <c r="M1660" s="534" t="str">
        <f t="shared" si="50"/>
        <v/>
      </c>
    </row>
    <row r="1661" spans="2:13" ht="15.75" x14ac:dyDescent="0.25">
      <c r="B1661" s="692"/>
      <c r="C1661" s="117" t="str">
        <f>IF(ISNUMBER(B1661),IFERROR(VLOOKUP(B1661,'נתוני רישום ומצבת'!B:J,3,0),""),"")</f>
        <v/>
      </c>
      <c r="D1661" s="693"/>
      <c r="E1661" s="697"/>
      <c r="F1661" s="695"/>
      <c r="G1661" s="696"/>
      <c r="K1661" s="22" t="str">
        <f t="shared" si="51"/>
        <v/>
      </c>
      <c r="M1661" s="534" t="str">
        <f t="shared" si="50"/>
        <v/>
      </c>
    </row>
    <row r="1662" spans="2:13" ht="15.75" x14ac:dyDescent="0.25">
      <c r="B1662" s="692"/>
      <c r="C1662" s="117" t="str">
        <f>IF(ISNUMBER(B1662),IFERROR(VLOOKUP(B1662,'נתוני רישום ומצבת'!B:J,3,0),""),"")</f>
        <v/>
      </c>
      <c r="D1662" s="693"/>
      <c r="E1662" s="697"/>
      <c r="F1662" s="695"/>
      <c r="G1662" s="696"/>
      <c r="K1662" s="22" t="str">
        <f t="shared" si="51"/>
        <v/>
      </c>
      <c r="M1662" s="534" t="str">
        <f t="shared" si="50"/>
        <v/>
      </c>
    </row>
    <row r="1663" spans="2:13" ht="15.75" x14ac:dyDescent="0.25">
      <c r="B1663" s="692"/>
      <c r="C1663" s="117" t="str">
        <f>IF(ISNUMBER(B1663),IFERROR(VLOOKUP(B1663,'נתוני רישום ומצבת'!B:J,3,0),""),"")</f>
        <v/>
      </c>
      <c r="D1663" s="693"/>
      <c r="E1663" s="697"/>
      <c r="F1663" s="695"/>
      <c r="G1663" s="696"/>
      <c r="K1663" s="22" t="str">
        <f t="shared" si="51"/>
        <v/>
      </c>
      <c r="M1663" s="534" t="str">
        <f t="shared" si="50"/>
        <v/>
      </c>
    </row>
    <row r="1664" spans="2:13" ht="15.75" x14ac:dyDescent="0.25">
      <c r="B1664" s="692"/>
      <c r="C1664" s="117" t="str">
        <f>IF(ISNUMBER(B1664),IFERROR(VLOOKUP(B1664,'נתוני רישום ומצבת'!B:J,3,0),""),"")</f>
        <v/>
      </c>
      <c r="D1664" s="693"/>
      <c r="E1664" s="697"/>
      <c r="F1664" s="695"/>
      <c r="G1664" s="696"/>
      <c r="K1664" s="22" t="str">
        <f t="shared" si="51"/>
        <v/>
      </c>
      <c r="M1664" s="534" t="str">
        <f t="shared" si="50"/>
        <v/>
      </c>
    </row>
    <row r="1665" spans="2:13" ht="15.75" x14ac:dyDescent="0.25">
      <c r="B1665" s="692"/>
      <c r="C1665" s="117" t="str">
        <f>IF(ISNUMBER(B1665),IFERROR(VLOOKUP(B1665,'נתוני רישום ומצבת'!B:J,3,0),""),"")</f>
        <v/>
      </c>
      <c r="D1665" s="693"/>
      <c r="E1665" s="697"/>
      <c r="F1665" s="695"/>
      <c r="G1665" s="696"/>
      <c r="K1665" s="22" t="str">
        <f t="shared" si="51"/>
        <v/>
      </c>
      <c r="M1665" s="534" t="str">
        <f t="shared" si="50"/>
        <v/>
      </c>
    </row>
    <row r="1666" spans="2:13" ht="15.75" x14ac:dyDescent="0.25">
      <c r="B1666" s="692"/>
      <c r="C1666" s="117" t="str">
        <f>IF(ISNUMBER(B1666),IFERROR(VLOOKUP(B1666,'נתוני רישום ומצבת'!B:J,3,0),""),"")</f>
        <v/>
      </c>
      <c r="D1666" s="693"/>
      <c r="E1666" s="697"/>
      <c r="F1666" s="695"/>
      <c r="G1666" s="696"/>
      <c r="K1666" s="22" t="str">
        <f t="shared" si="51"/>
        <v/>
      </c>
      <c r="M1666" s="534" t="str">
        <f t="shared" si="50"/>
        <v/>
      </c>
    </row>
    <row r="1667" spans="2:13" ht="15.75" x14ac:dyDescent="0.25">
      <c r="B1667" s="692"/>
      <c r="C1667" s="117" t="str">
        <f>IF(ISNUMBER(B1667),IFERROR(VLOOKUP(B1667,'נתוני רישום ומצבת'!B:J,3,0),""),"")</f>
        <v/>
      </c>
      <c r="D1667" s="693"/>
      <c r="E1667" s="697"/>
      <c r="F1667" s="695"/>
      <c r="G1667" s="696"/>
      <c r="K1667" s="22" t="str">
        <f t="shared" si="51"/>
        <v/>
      </c>
      <c r="M1667" s="534" t="str">
        <f t="shared" si="50"/>
        <v/>
      </c>
    </row>
    <row r="1668" spans="2:13" ht="15.75" x14ac:dyDescent="0.25">
      <c r="B1668" s="692"/>
      <c r="C1668" s="117" t="str">
        <f>IF(ISNUMBER(B1668),IFERROR(VLOOKUP(B1668,'נתוני רישום ומצבת'!B:J,3,0),""),"")</f>
        <v/>
      </c>
      <c r="D1668" s="693"/>
      <c r="E1668" s="697"/>
      <c r="F1668" s="695"/>
      <c r="G1668" s="696"/>
      <c r="K1668" s="22" t="str">
        <f t="shared" si="51"/>
        <v/>
      </c>
      <c r="M1668" s="534" t="str">
        <f t="shared" si="50"/>
        <v/>
      </c>
    </row>
    <row r="1669" spans="2:13" ht="15.75" x14ac:dyDescent="0.25">
      <c r="B1669" s="692"/>
      <c r="C1669" s="117" t="str">
        <f>IF(ISNUMBER(B1669),IFERROR(VLOOKUP(B1669,'נתוני רישום ומצבת'!B:J,3,0),""),"")</f>
        <v/>
      </c>
      <c r="D1669" s="693"/>
      <c r="E1669" s="697"/>
      <c r="F1669" s="695"/>
      <c r="G1669" s="696"/>
      <c r="K1669" s="22" t="str">
        <f t="shared" si="51"/>
        <v/>
      </c>
      <c r="M1669" s="534" t="str">
        <f t="shared" si="50"/>
        <v/>
      </c>
    </row>
    <row r="1670" spans="2:13" ht="15.75" x14ac:dyDescent="0.25">
      <c r="B1670" s="692"/>
      <c r="C1670" s="117" t="str">
        <f>IF(ISNUMBER(B1670),IFERROR(VLOOKUP(B1670,'נתוני רישום ומצבת'!B:J,3,0),""),"")</f>
        <v/>
      </c>
      <c r="D1670" s="693"/>
      <c r="E1670" s="697"/>
      <c r="F1670" s="695"/>
      <c r="G1670" s="696"/>
      <c r="K1670" s="22" t="str">
        <f t="shared" si="51"/>
        <v/>
      </c>
      <c r="M1670" s="534" t="str">
        <f t="shared" si="50"/>
        <v/>
      </c>
    </row>
    <row r="1671" spans="2:13" ht="15.75" x14ac:dyDescent="0.25">
      <c r="B1671" s="692"/>
      <c r="C1671" s="117" t="str">
        <f>IF(ISNUMBER(B1671),IFERROR(VLOOKUP(B1671,'נתוני רישום ומצבת'!B:J,3,0),""),"")</f>
        <v/>
      </c>
      <c r="D1671" s="693"/>
      <c r="E1671" s="697"/>
      <c r="F1671" s="695"/>
      <c r="G1671" s="696"/>
      <c r="K1671" s="22" t="str">
        <f t="shared" si="51"/>
        <v/>
      </c>
      <c r="M1671" s="534" t="str">
        <f t="shared" si="50"/>
        <v/>
      </c>
    </row>
    <row r="1672" spans="2:13" ht="15.75" x14ac:dyDescent="0.25">
      <c r="B1672" s="692"/>
      <c r="C1672" s="117" t="str">
        <f>IF(ISNUMBER(B1672),IFERROR(VLOOKUP(B1672,'נתוני רישום ומצבת'!B:J,3,0),""),"")</f>
        <v/>
      </c>
      <c r="D1672" s="693"/>
      <c r="E1672" s="697"/>
      <c r="F1672" s="695"/>
      <c r="G1672" s="696"/>
      <c r="K1672" s="22" t="str">
        <f t="shared" si="51"/>
        <v/>
      </c>
      <c r="M1672" s="534" t="str">
        <f t="shared" si="50"/>
        <v/>
      </c>
    </row>
    <row r="1673" spans="2:13" ht="15.75" x14ac:dyDescent="0.25">
      <c r="B1673" s="692"/>
      <c r="C1673" s="117" t="str">
        <f>IF(ISNUMBER(B1673),IFERROR(VLOOKUP(B1673,'נתוני רישום ומצבת'!B:J,3,0),""),"")</f>
        <v/>
      </c>
      <c r="D1673" s="693"/>
      <c r="E1673" s="697"/>
      <c r="F1673" s="695"/>
      <c r="G1673" s="696"/>
      <c r="K1673" s="22" t="str">
        <f t="shared" si="51"/>
        <v/>
      </c>
      <c r="M1673" s="534" t="str">
        <f t="shared" si="50"/>
        <v/>
      </c>
    </row>
    <row r="1674" spans="2:13" ht="15.75" x14ac:dyDescent="0.25">
      <c r="B1674" s="692"/>
      <c r="C1674" s="117" t="str">
        <f>IF(ISNUMBER(B1674),IFERROR(VLOOKUP(B1674,'נתוני רישום ומצבת'!B:J,3,0),""),"")</f>
        <v/>
      </c>
      <c r="D1674" s="693"/>
      <c r="E1674" s="697"/>
      <c r="F1674" s="695"/>
      <c r="G1674" s="696"/>
      <c r="K1674" s="22" t="str">
        <f t="shared" si="51"/>
        <v/>
      </c>
      <c r="M1674" s="534" t="str">
        <f t="shared" si="50"/>
        <v/>
      </c>
    </row>
    <row r="1675" spans="2:13" ht="15.75" x14ac:dyDescent="0.25">
      <c r="B1675" s="692"/>
      <c r="C1675" s="117" t="str">
        <f>IF(ISNUMBER(B1675),IFERROR(VLOOKUP(B1675,'נתוני רישום ומצבת'!B:J,3,0),""),"")</f>
        <v/>
      </c>
      <c r="D1675" s="693"/>
      <c r="E1675" s="697"/>
      <c r="F1675" s="695"/>
      <c r="G1675" s="696"/>
      <c r="K1675" s="22" t="str">
        <f t="shared" si="51"/>
        <v/>
      </c>
      <c r="M1675" s="534" t="str">
        <f t="shared" si="50"/>
        <v/>
      </c>
    </row>
    <row r="1676" spans="2:13" ht="15.75" x14ac:dyDescent="0.25">
      <c r="B1676" s="692"/>
      <c r="C1676" s="117" t="str">
        <f>IF(ISNUMBER(B1676),IFERROR(VLOOKUP(B1676,'נתוני רישום ומצבת'!B:J,3,0),""),"")</f>
        <v/>
      </c>
      <c r="D1676" s="693"/>
      <c r="E1676" s="697"/>
      <c r="F1676" s="695"/>
      <c r="G1676" s="696"/>
      <c r="K1676" s="22" t="str">
        <f t="shared" si="51"/>
        <v/>
      </c>
      <c r="M1676" s="534" t="str">
        <f t="shared" si="50"/>
        <v/>
      </c>
    </row>
    <row r="1677" spans="2:13" ht="15.75" x14ac:dyDescent="0.25">
      <c r="B1677" s="692"/>
      <c r="C1677" s="117" t="str">
        <f>IF(ISNUMBER(B1677),IFERROR(VLOOKUP(B1677,'נתוני רישום ומצבת'!B:J,3,0),""),"")</f>
        <v/>
      </c>
      <c r="D1677" s="693"/>
      <c r="E1677" s="697"/>
      <c r="F1677" s="695"/>
      <c r="G1677" s="696"/>
      <c r="K1677" s="22" t="str">
        <f t="shared" si="51"/>
        <v/>
      </c>
      <c r="M1677" s="534" t="str">
        <f t="shared" si="50"/>
        <v/>
      </c>
    </row>
    <row r="1678" spans="2:13" ht="15.75" x14ac:dyDescent="0.25">
      <c r="B1678" s="692"/>
      <c r="C1678" s="117" t="str">
        <f>IF(ISNUMBER(B1678),IFERROR(VLOOKUP(B1678,'נתוני רישום ומצבת'!B:J,3,0),""),"")</f>
        <v/>
      </c>
      <c r="D1678" s="693"/>
      <c r="E1678" s="697"/>
      <c r="F1678" s="695"/>
      <c r="G1678" s="696"/>
      <c r="K1678" s="22" t="str">
        <f t="shared" si="51"/>
        <v/>
      </c>
      <c r="M1678" s="534" t="str">
        <f t="shared" si="50"/>
        <v/>
      </c>
    </row>
    <row r="1679" spans="2:13" ht="15.75" x14ac:dyDescent="0.25">
      <c r="B1679" s="692"/>
      <c r="C1679" s="117" t="str">
        <f>IF(ISNUMBER(B1679),IFERROR(VLOOKUP(B1679,'נתוני רישום ומצבת'!B:J,3,0),""),"")</f>
        <v/>
      </c>
      <c r="D1679" s="693"/>
      <c r="E1679" s="697"/>
      <c r="F1679" s="695"/>
      <c r="G1679" s="696"/>
      <c r="K1679" s="22" t="str">
        <f t="shared" si="51"/>
        <v/>
      </c>
      <c r="M1679" s="534" t="str">
        <f t="shared" si="50"/>
        <v/>
      </c>
    </row>
    <row r="1680" spans="2:13" ht="15.75" x14ac:dyDescent="0.25">
      <c r="B1680" s="692"/>
      <c r="C1680" s="117" t="str">
        <f>IF(ISNUMBER(B1680),IFERROR(VLOOKUP(B1680,'נתוני רישום ומצבת'!B:J,3,0),""),"")</f>
        <v/>
      </c>
      <c r="D1680" s="693"/>
      <c r="E1680" s="697"/>
      <c r="F1680" s="695"/>
      <c r="G1680" s="696"/>
      <c r="K1680" s="22" t="str">
        <f t="shared" si="51"/>
        <v/>
      </c>
      <c r="M1680" s="534" t="str">
        <f t="shared" si="50"/>
        <v/>
      </c>
    </row>
    <row r="1681" spans="2:13" ht="15.75" x14ac:dyDescent="0.25">
      <c r="B1681" s="692"/>
      <c r="C1681" s="117" t="str">
        <f>IF(ISNUMBER(B1681),IFERROR(VLOOKUP(B1681,'נתוני רישום ומצבת'!B:J,3,0),""),"")</f>
        <v/>
      </c>
      <c r="D1681" s="693"/>
      <c r="E1681" s="697"/>
      <c r="F1681" s="695"/>
      <c r="G1681" s="696"/>
      <c r="K1681" s="22" t="str">
        <f t="shared" si="51"/>
        <v/>
      </c>
      <c r="M1681" s="534" t="str">
        <f t="shared" ref="M1681:M1744" si="52">TEXT(LEFT(D1681,2),0)</f>
        <v/>
      </c>
    </row>
    <row r="1682" spans="2:13" ht="15.75" x14ac:dyDescent="0.25">
      <c r="B1682" s="692"/>
      <c r="C1682" s="117" t="str">
        <f>IF(ISNUMBER(B1682),IFERROR(VLOOKUP(B1682,'נתוני רישום ומצבת'!B:J,3,0),""),"")</f>
        <v/>
      </c>
      <c r="D1682" s="693"/>
      <c r="E1682" s="697"/>
      <c r="F1682" s="695"/>
      <c r="G1682" s="696"/>
      <c r="K1682" s="22" t="str">
        <f t="shared" si="51"/>
        <v/>
      </c>
      <c r="M1682" s="534" t="str">
        <f t="shared" si="52"/>
        <v/>
      </c>
    </row>
    <row r="1683" spans="2:13" ht="15.75" x14ac:dyDescent="0.25">
      <c r="B1683" s="692"/>
      <c r="C1683" s="117" t="str">
        <f>IF(ISNUMBER(B1683),IFERROR(VLOOKUP(B1683,'נתוני רישום ומצבת'!B:J,3,0),""),"")</f>
        <v/>
      </c>
      <c r="D1683" s="693"/>
      <c r="E1683" s="697"/>
      <c r="F1683" s="695"/>
      <c r="G1683" s="696"/>
      <c r="K1683" s="22" t="str">
        <f t="shared" si="51"/>
        <v/>
      </c>
      <c r="M1683" s="534" t="str">
        <f t="shared" si="52"/>
        <v/>
      </c>
    </row>
    <row r="1684" spans="2:13" ht="15.75" x14ac:dyDescent="0.25">
      <c r="B1684" s="692"/>
      <c r="C1684" s="117" t="str">
        <f>IF(ISNUMBER(B1684),IFERROR(VLOOKUP(B1684,'נתוני רישום ומצבת'!B:J,3,0),""),"")</f>
        <v/>
      </c>
      <c r="D1684" s="693"/>
      <c r="E1684" s="697"/>
      <c r="F1684" s="695"/>
      <c r="G1684" s="696"/>
      <c r="K1684" s="22" t="str">
        <f t="shared" si="51"/>
        <v/>
      </c>
      <c r="M1684" s="534" t="str">
        <f t="shared" si="52"/>
        <v/>
      </c>
    </row>
    <row r="1685" spans="2:13" ht="15.75" x14ac:dyDescent="0.25">
      <c r="B1685" s="692"/>
      <c r="C1685" s="117" t="str">
        <f>IF(ISNUMBER(B1685),IFERROR(VLOOKUP(B1685,'נתוני רישום ומצבת'!B:J,3,0),""),"")</f>
        <v/>
      </c>
      <c r="D1685" s="693"/>
      <c r="E1685" s="697"/>
      <c r="F1685" s="695"/>
      <c r="G1685" s="696"/>
      <c r="K1685" s="22" t="str">
        <f t="shared" ref="K1685:K1748" si="53">IF(C1672&lt;5,IF(D1685=$F$8,-E1685," "),"")</f>
        <v/>
      </c>
      <c r="M1685" s="534" t="str">
        <f t="shared" si="52"/>
        <v/>
      </c>
    </row>
    <row r="1686" spans="2:13" ht="15.75" x14ac:dyDescent="0.25">
      <c r="B1686" s="692"/>
      <c r="C1686" s="117" t="str">
        <f>IF(ISNUMBER(B1686),IFERROR(VLOOKUP(B1686,'נתוני רישום ומצבת'!B:J,3,0),""),"")</f>
        <v/>
      </c>
      <c r="D1686" s="693"/>
      <c r="E1686" s="697"/>
      <c r="F1686" s="695"/>
      <c r="G1686" s="696"/>
      <c r="K1686" s="22" t="str">
        <f t="shared" si="53"/>
        <v/>
      </c>
      <c r="M1686" s="534" t="str">
        <f t="shared" si="52"/>
        <v/>
      </c>
    </row>
    <row r="1687" spans="2:13" ht="15.75" x14ac:dyDescent="0.25">
      <c r="B1687" s="692"/>
      <c r="C1687" s="117" t="str">
        <f>IF(ISNUMBER(B1687),IFERROR(VLOOKUP(B1687,'נתוני רישום ומצבת'!B:J,3,0),""),"")</f>
        <v/>
      </c>
      <c r="D1687" s="693"/>
      <c r="E1687" s="697"/>
      <c r="F1687" s="695"/>
      <c r="G1687" s="696"/>
      <c r="K1687" s="22" t="str">
        <f t="shared" si="53"/>
        <v/>
      </c>
      <c r="M1687" s="534" t="str">
        <f t="shared" si="52"/>
        <v/>
      </c>
    </row>
    <row r="1688" spans="2:13" ht="15.75" x14ac:dyDescent="0.25">
      <c r="B1688" s="692"/>
      <c r="C1688" s="117" t="str">
        <f>IF(ISNUMBER(B1688),IFERROR(VLOOKUP(B1688,'נתוני רישום ומצבת'!B:J,3,0),""),"")</f>
        <v/>
      </c>
      <c r="D1688" s="693"/>
      <c r="E1688" s="697"/>
      <c r="F1688" s="695"/>
      <c r="G1688" s="696"/>
      <c r="K1688" s="22" t="str">
        <f t="shared" si="53"/>
        <v/>
      </c>
      <c r="M1688" s="534" t="str">
        <f t="shared" si="52"/>
        <v/>
      </c>
    </row>
    <row r="1689" spans="2:13" ht="15.75" x14ac:dyDescent="0.25">
      <c r="B1689" s="692"/>
      <c r="C1689" s="117" t="str">
        <f>IF(ISNUMBER(B1689),IFERROR(VLOOKUP(B1689,'נתוני רישום ומצבת'!B:J,3,0),""),"")</f>
        <v/>
      </c>
      <c r="D1689" s="693"/>
      <c r="E1689" s="697"/>
      <c r="F1689" s="695"/>
      <c r="G1689" s="696"/>
      <c r="K1689" s="22" t="str">
        <f t="shared" si="53"/>
        <v/>
      </c>
      <c r="M1689" s="534" t="str">
        <f t="shared" si="52"/>
        <v/>
      </c>
    </row>
    <row r="1690" spans="2:13" ht="15.75" x14ac:dyDescent="0.25">
      <c r="B1690" s="692"/>
      <c r="C1690" s="117" t="str">
        <f>IF(ISNUMBER(B1690),IFERROR(VLOOKUP(B1690,'נתוני רישום ומצבת'!B:J,3,0),""),"")</f>
        <v/>
      </c>
      <c r="D1690" s="693"/>
      <c r="E1690" s="697"/>
      <c r="F1690" s="695"/>
      <c r="G1690" s="696"/>
      <c r="K1690" s="22" t="str">
        <f t="shared" si="53"/>
        <v/>
      </c>
      <c r="M1690" s="534" t="str">
        <f t="shared" si="52"/>
        <v/>
      </c>
    </row>
    <row r="1691" spans="2:13" ht="15.75" x14ac:dyDescent="0.25">
      <c r="B1691" s="692"/>
      <c r="C1691" s="117" t="str">
        <f>IF(ISNUMBER(B1691),IFERROR(VLOOKUP(B1691,'נתוני רישום ומצבת'!B:J,3,0),""),"")</f>
        <v/>
      </c>
      <c r="D1691" s="693"/>
      <c r="E1691" s="697"/>
      <c r="F1691" s="695"/>
      <c r="G1691" s="696"/>
      <c r="K1691" s="22" t="str">
        <f t="shared" si="53"/>
        <v/>
      </c>
      <c r="M1691" s="534" t="str">
        <f t="shared" si="52"/>
        <v/>
      </c>
    </row>
    <row r="1692" spans="2:13" ht="15.75" x14ac:dyDescent="0.25">
      <c r="B1692" s="692"/>
      <c r="C1692" s="117" t="str">
        <f>IF(ISNUMBER(B1692),IFERROR(VLOOKUP(B1692,'נתוני רישום ומצבת'!B:J,3,0),""),"")</f>
        <v/>
      </c>
      <c r="D1692" s="693"/>
      <c r="E1692" s="697"/>
      <c r="F1692" s="695"/>
      <c r="G1692" s="696"/>
      <c r="K1692" s="22" t="str">
        <f t="shared" si="53"/>
        <v/>
      </c>
      <c r="M1692" s="534" t="str">
        <f t="shared" si="52"/>
        <v/>
      </c>
    </row>
    <row r="1693" spans="2:13" ht="15.75" x14ac:dyDescent="0.25">
      <c r="B1693" s="692"/>
      <c r="C1693" s="117" t="str">
        <f>IF(ISNUMBER(B1693),IFERROR(VLOOKUP(B1693,'נתוני רישום ומצבת'!B:J,3,0),""),"")</f>
        <v/>
      </c>
      <c r="D1693" s="693"/>
      <c r="E1693" s="697"/>
      <c r="F1693" s="695"/>
      <c r="G1693" s="696"/>
      <c r="K1693" s="22" t="str">
        <f t="shared" si="53"/>
        <v/>
      </c>
      <c r="M1693" s="534" t="str">
        <f t="shared" si="52"/>
        <v/>
      </c>
    </row>
    <row r="1694" spans="2:13" ht="15.75" x14ac:dyDescent="0.25">
      <c r="B1694" s="692"/>
      <c r="C1694" s="117" t="str">
        <f>IF(ISNUMBER(B1694),IFERROR(VLOOKUP(B1694,'נתוני רישום ומצבת'!B:J,3,0),""),"")</f>
        <v/>
      </c>
      <c r="D1694" s="693"/>
      <c r="E1694" s="697"/>
      <c r="F1694" s="695"/>
      <c r="G1694" s="696"/>
      <c r="K1694" s="22" t="str">
        <f t="shared" si="53"/>
        <v/>
      </c>
      <c r="M1694" s="534" t="str">
        <f t="shared" si="52"/>
        <v/>
      </c>
    </row>
    <row r="1695" spans="2:13" ht="15.75" x14ac:dyDescent="0.25">
      <c r="B1695" s="692"/>
      <c r="C1695" s="117" t="str">
        <f>IF(ISNUMBER(B1695),IFERROR(VLOOKUP(B1695,'נתוני רישום ומצבת'!B:J,3,0),""),"")</f>
        <v/>
      </c>
      <c r="D1695" s="693"/>
      <c r="E1695" s="697"/>
      <c r="F1695" s="695"/>
      <c r="G1695" s="696"/>
      <c r="K1695" s="22" t="str">
        <f t="shared" si="53"/>
        <v/>
      </c>
      <c r="M1695" s="534" t="str">
        <f t="shared" si="52"/>
        <v/>
      </c>
    </row>
    <row r="1696" spans="2:13" ht="15.75" x14ac:dyDescent="0.25">
      <c r="B1696" s="692"/>
      <c r="C1696" s="117" t="str">
        <f>IF(ISNUMBER(B1696),IFERROR(VLOOKUP(B1696,'נתוני רישום ומצבת'!B:J,3,0),""),"")</f>
        <v/>
      </c>
      <c r="D1696" s="693"/>
      <c r="E1696" s="697"/>
      <c r="F1696" s="695"/>
      <c r="G1696" s="696"/>
      <c r="K1696" s="22" t="str">
        <f t="shared" si="53"/>
        <v/>
      </c>
      <c r="M1696" s="534" t="str">
        <f t="shared" si="52"/>
        <v/>
      </c>
    </row>
    <row r="1697" spans="2:13" ht="15.75" x14ac:dyDescent="0.25">
      <c r="B1697" s="692"/>
      <c r="C1697" s="117" t="str">
        <f>IF(ISNUMBER(B1697),IFERROR(VLOOKUP(B1697,'נתוני רישום ומצבת'!B:J,3,0),""),"")</f>
        <v/>
      </c>
      <c r="D1697" s="693"/>
      <c r="E1697" s="697"/>
      <c r="F1697" s="695"/>
      <c r="G1697" s="696"/>
      <c r="K1697" s="22" t="str">
        <f t="shared" si="53"/>
        <v/>
      </c>
      <c r="M1697" s="534" t="str">
        <f t="shared" si="52"/>
        <v/>
      </c>
    </row>
    <row r="1698" spans="2:13" ht="15.75" x14ac:dyDescent="0.25">
      <c r="B1698" s="692"/>
      <c r="C1698" s="117" t="str">
        <f>IF(ISNUMBER(B1698),IFERROR(VLOOKUP(B1698,'נתוני רישום ומצבת'!B:J,3,0),""),"")</f>
        <v/>
      </c>
      <c r="D1698" s="693"/>
      <c r="E1698" s="697"/>
      <c r="F1698" s="695"/>
      <c r="G1698" s="696"/>
      <c r="K1698" s="22" t="str">
        <f t="shared" si="53"/>
        <v/>
      </c>
      <c r="M1698" s="534" t="str">
        <f t="shared" si="52"/>
        <v/>
      </c>
    </row>
    <row r="1699" spans="2:13" ht="15.75" x14ac:dyDescent="0.25">
      <c r="B1699" s="692"/>
      <c r="C1699" s="117" t="str">
        <f>IF(ISNUMBER(B1699),IFERROR(VLOOKUP(B1699,'נתוני רישום ומצבת'!B:J,3,0),""),"")</f>
        <v/>
      </c>
      <c r="D1699" s="693"/>
      <c r="E1699" s="697"/>
      <c r="F1699" s="695"/>
      <c r="G1699" s="696"/>
      <c r="K1699" s="22" t="str">
        <f t="shared" si="53"/>
        <v/>
      </c>
      <c r="M1699" s="534" t="str">
        <f t="shared" si="52"/>
        <v/>
      </c>
    </row>
    <row r="1700" spans="2:13" ht="15.75" x14ac:dyDescent="0.25">
      <c r="B1700" s="692"/>
      <c r="C1700" s="117" t="str">
        <f>IF(ISNUMBER(B1700),IFERROR(VLOOKUP(B1700,'נתוני רישום ומצבת'!B:J,3,0),""),"")</f>
        <v/>
      </c>
      <c r="D1700" s="693"/>
      <c r="E1700" s="697"/>
      <c r="F1700" s="695"/>
      <c r="G1700" s="696"/>
      <c r="K1700" s="22" t="str">
        <f t="shared" si="53"/>
        <v/>
      </c>
      <c r="M1700" s="534" t="str">
        <f t="shared" si="52"/>
        <v/>
      </c>
    </row>
    <row r="1701" spans="2:13" ht="15.75" x14ac:dyDescent="0.25">
      <c r="B1701" s="692"/>
      <c r="C1701" s="117" t="str">
        <f>IF(ISNUMBER(B1701),IFERROR(VLOOKUP(B1701,'נתוני רישום ומצבת'!B:J,3,0),""),"")</f>
        <v/>
      </c>
      <c r="D1701" s="693"/>
      <c r="E1701" s="697"/>
      <c r="F1701" s="695"/>
      <c r="G1701" s="696"/>
      <c r="K1701" s="22" t="str">
        <f t="shared" si="53"/>
        <v/>
      </c>
      <c r="M1701" s="534" t="str">
        <f t="shared" si="52"/>
        <v/>
      </c>
    </row>
    <row r="1702" spans="2:13" ht="15.75" x14ac:dyDescent="0.25">
      <c r="B1702" s="692"/>
      <c r="C1702" s="117" t="str">
        <f>IF(ISNUMBER(B1702),IFERROR(VLOOKUP(B1702,'נתוני רישום ומצבת'!B:J,3,0),""),"")</f>
        <v/>
      </c>
      <c r="D1702" s="693"/>
      <c r="E1702" s="697"/>
      <c r="F1702" s="695"/>
      <c r="G1702" s="696"/>
      <c r="K1702" s="22" t="str">
        <f t="shared" si="53"/>
        <v/>
      </c>
      <c r="M1702" s="534" t="str">
        <f t="shared" si="52"/>
        <v/>
      </c>
    </row>
    <row r="1703" spans="2:13" ht="15.75" x14ac:dyDescent="0.25">
      <c r="B1703" s="692"/>
      <c r="C1703" s="117" t="str">
        <f>IF(ISNUMBER(B1703),IFERROR(VLOOKUP(B1703,'נתוני רישום ומצבת'!B:J,3,0),""),"")</f>
        <v/>
      </c>
      <c r="D1703" s="693"/>
      <c r="E1703" s="697"/>
      <c r="F1703" s="695"/>
      <c r="G1703" s="696"/>
      <c r="K1703" s="22" t="str">
        <f t="shared" si="53"/>
        <v/>
      </c>
      <c r="M1703" s="534" t="str">
        <f t="shared" si="52"/>
        <v/>
      </c>
    </row>
    <row r="1704" spans="2:13" ht="15.75" x14ac:dyDescent="0.25">
      <c r="B1704" s="692"/>
      <c r="C1704" s="117" t="str">
        <f>IF(ISNUMBER(B1704),IFERROR(VLOOKUP(B1704,'נתוני רישום ומצבת'!B:J,3,0),""),"")</f>
        <v/>
      </c>
      <c r="D1704" s="693"/>
      <c r="E1704" s="697"/>
      <c r="F1704" s="695"/>
      <c r="G1704" s="696"/>
      <c r="K1704" s="22" t="str">
        <f t="shared" si="53"/>
        <v/>
      </c>
      <c r="M1704" s="534" t="str">
        <f t="shared" si="52"/>
        <v/>
      </c>
    </row>
    <row r="1705" spans="2:13" ht="15.75" x14ac:dyDescent="0.25">
      <c r="B1705" s="692"/>
      <c r="C1705" s="117" t="str">
        <f>IF(ISNUMBER(B1705),IFERROR(VLOOKUP(B1705,'נתוני רישום ומצבת'!B:J,3,0),""),"")</f>
        <v/>
      </c>
      <c r="D1705" s="693"/>
      <c r="E1705" s="697"/>
      <c r="F1705" s="695"/>
      <c r="G1705" s="696"/>
      <c r="K1705" s="22" t="str">
        <f t="shared" si="53"/>
        <v/>
      </c>
      <c r="M1705" s="534" t="str">
        <f t="shared" si="52"/>
        <v/>
      </c>
    </row>
    <row r="1706" spans="2:13" ht="15.75" x14ac:dyDescent="0.25">
      <c r="B1706" s="692"/>
      <c r="C1706" s="117" t="str">
        <f>IF(ISNUMBER(B1706),IFERROR(VLOOKUP(B1706,'נתוני רישום ומצבת'!B:J,3,0),""),"")</f>
        <v/>
      </c>
      <c r="D1706" s="693"/>
      <c r="E1706" s="697"/>
      <c r="F1706" s="695"/>
      <c r="G1706" s="696"/>
      <c r="K1706" s="22" t="str">
        <f t="shared" si="53"/>
        <v/>
      </c>
      <c r="M1706" s="534" t="str">
        <f t="shared" si="52"/>
        <v/>
      </c>
    </row>
    <row r="1707" spans="2:13" ht="15.75" x14ac:dyDescent="0.25">
      <c r="B1707" s="692"/>
      <c r="C1707" s="117" t="str">
        <f>IF(ISNUMBER(B1707),IFERROR(VLOOKUP(B1707,'נתוני רישום ומצבת'!B:J,3,0),""),"")</f>
        <v/>
      </c>
      <c r="D1707" s="693"/>
      <c r="E1707" s="697"/>
      <c r="F1707" s="695"/>
      <c r="G1707" s="696"/>
      <c r="K1707" s="22" t="str">
        <f t="shared" si="53"/>
        <v/>
      </c>
      <c r="M1707" s="534" t="str">
        <f t="shared" si="52"/>
        <v/>
      </c>
    </row>
    <row r="1708" spans="2:13" ht="15.75" x14ac:dyDescent="0.25">
      <c r="B1708" s="692"/>
      <c r="C1708" s="117" t="str">
        <f>IF(ISNUMBER(B1708),IFERROR(VLOOKUP(B1708,'נתוני רישום ומצבת'!B:J,3,0),""),"")</f>
        <v/>
      </c>
      <c r="D1708" s="693"/>
      <c r="E1708" s="697"/>
      <c r="F1708" s="695"/>
      <c r="G1708" s="696"/>
      <c r="K1708" s="22" t="str">
        <f t="shared" si="53"/>
        <v/>
      </c>
      <c r="M1708" s="534" t="str">
        <f t="shared" si="52"/>
        <v/>
      </c>
    </row>
    <row r="1709" spans="2:13" ht="15.75" x14ac:dyDescent="0.25">
      <c r="B1709" s="692"/>
      <c r="C1709" s="117" t="str">
        <f>IF(ISNUMBER(B1709),IFERROR(VLOOKUP(B1709,'נתוני רישום ומצבת'!B:J,3,0),""),"")</f>
        <v/>
      </c>
      <c r="D1709" s="693"/>
      <c r="E1709" s="697"/>
      <c r="F1709" s="695"/>
      <c r="G1709" s="696"/>
      <c r="K1709" s="22" t="str">
        <f t="shared" si="53"/>
        <v/>
      </c>
      <c r="M1709" s="534" t="str">
        <f t="shared" si="52"/>
        <v/>
      </c>
    </row>
    <row r="1710" spans="2:13" ht="15.75" x14ac:dyDescent="0.25">
      <c r="B1710" s="692"/>
      <c r="C1710" s="117" t="str">
        <f>IF(ISNUMBER(B1710),IFERROR(VLOOKUP(B1710,'נתוני רישום ומצבת'!B:J,3,0),""),"")</f>
        <v/>
      </c>
      <c r="D1710" s="693"/>
      <c r="E1710" s="697"/>
      <c r="F1710" s="695"/>
      <c r="G1710" s="696"/>
      <c r="K1710" s="22" t="str">
        <f t="shared" si="53"/>
        <v/>
      </c>
      <c r="M1710" s="534" t="str">
        <f t="shared" si="52"/>
        <v/>
      </c>
    </row>
    <row r="1711" spans="2:13" ht="15.75" x14ac:dyDescent="0.25">
      <c r="B1711" s="692"/>
      <c r="C1711" s="117" t="str">
        <f>IF(ISNUMBER(B1711),IFERROR(VLOOKUP(B1711,'נתוני רישום ומצבת'!B:J,3,0),""),"")</f>
        <v/>
      </c>
      <c r="D1711" s="693"/>
      <c r="E1711" s="697"/>
      <c r="F1711" s="695"/>
      <c r="G1711" s="696"/>
      <c r="K1711" s="22" t="str">
        <f t="shared" si="53"/>
        <v/>
      </c>
      <c r="M1711" s="534" t="str">
        <f t="shared" si="52"/>
        <v/>
      </c>
    </row>
    <row r="1712" spans="2:13" ht="15.75" x14ac:dyDescent="0.25">
      <c r="B1712" s="692"/>
      <c r="C1712" s="117" t="str">
        <f>IF(ISNUMBER(B1712),IFERROR(VLOOKUP(B1712,'נתוני רישום ומצבת'!B:J,3,0),""),"")</f>
        <v/>
      </c>
      <c r="D1712" s="693"/>
      <c r="E1712" s="697"/>
      <c r="F1712" s="695"/>
      <c r="G1712" s="696"/>
      <c r="K1712" s="22" t="str">
        <f t="shared" si="53"/>
        <v/>
      </c>
      <c r="M1712" s="534" t="str">
        <f t="shared" si="52"/>
        <v/>
      </c>
    </row>
    <row r="1713" spans="2:13" ht="15.75" x14ac:dyDescent="0.25">
      <c r="B1713" s="692"/>
      <c r="C1713" s="117" t="str">
        <f>IF(ISNUMBER(B1713),IFERROR(VLOOKUP(B1713,'נתוני רישום ומצבת'!B:J,3,0),""),"")</f>
        <v/>
      </c>
      <c r="D1713" s="693"/>
      <c r="E1713" s="697"/>
      <c r="F1713" s="695"/>
      <c r="G1713" s="696"/>
      <c r="K1713" s="22" t="str">
        <f t="shared" si="53"/>
        <v/>
      </c>
      <c r="M1713" s="534" t="str">
        <f t="shared" si="52"/>
        <v/>
      </c>
    </row>
    <row r="1714" spans="2:13" ht="15.75" x14ac:dyDescent="0.25">
      <c r="B1714" s="692"/>
      <c r="C1714" s="117" t="str">
        <f>IF(ISNUMBER(B1714),IFERROR(VLOOKUP(B1714,'נתוני רישום ומצבת'!B:J,3,0),""),"")</f>
        <v/>
      </c>
      <c r="D1714" s="693"/>
      <c r="E1714" s="697"/>
      <c r="F1714" s="695"/>
      <c r="G1714" s="696"/>
      <c r="K1714" s="22" t="str">
        <f t="shared" si="53"/>
        <v/>
      </c>
      <c r="M1714" s="534" t="str">
        <f t="shared" si="52"/>
        <v/>
      </c>
    </row>
    <row r="1715" spans="2:13" ht="15.75" x14ac:dyDescent="0.25">
      <c r="B1715" s="692"/>
      <c r="C1715" s="117" t="str">
        <f>IF(ISNUMBER(B1715),IFERROR(VLOOKUP(B1715,'נתוני רישום ומצבת'!B:J,3,0),""),"")</f>
        <v/>
      </c>
      <c r="D1715" s="693"/>
      <c r="E1715" s="697"/>
      <c r="F1715" s="695"/>
      <c r="G1715" s="696"/>
      <c r="K1715" s="22" t="str">
        <f t="shared" si="53"/>
        <v/>
      </c>
      <c r="M1715" s="534" t="str">
        <f t="shared" si="52"/>
        <v/>
      </c>
    </row>
    <row r="1716" spans="2:13" ht="15.75" x14ac:dyDescent="0.25">
      <c r="B1716" s="692"/>
      <c r="C1716" s="117" t="str">
        <f>IF(ISNUMBER(B1716),IFERROR(VLOOKUP(B1716,'נתוני רישום ומצבת'!B:J,3,0),""),"")</f>
        <v/>
      </c>
      <c r="D1716" s="693"/>
      <c r="E1716" s="697"/>
      <c r="F1716" s="695"/>
      <c r="G1716" s="696"/>
      <c r="K1716" s="22" t="str">
        <f t="shared" si="53"/>
        <v/>
      </c>
      <c r="M1716" s="534" t="str">
        <f t="shared" si="52"/>
        <v/>
      </c>
    </row>
    <row r="1717" spans="2:13" ht="15.75" x14ac:dyDescent="0.25">
      <c r="B1717" s="692"/>
      <c r="C1717" s="117" t="str">
        <f>IF(ISNUMBER(B1717),IFERROR(VLOOKUP(B1717,'נתוני רישום ומצבת'!B:J,3,0),""),"")</f>
        <v/>
      </c>
      <c r="D1717" s="693"/>
      <c r="E1717" s="697"/>
      <c r="F1717" s="695"/>
      <c r="G1717" s="696"/>
      <c r="K1717" s="22" t="str">
        <f t="shared" si="53"/>
        <v/>
      </c>
      <c r="M1717" s="534" t="str">
        <f t="shared" si="52"/>
        <v/>
      </c>
    </row>
    <row r="1718" spans="2:13" ht="15.75" x14ac:dyDescent="0.25">
      <c r="B1718" s="692"/>
      <c r="C1718" s="117" t="str">
        <f>IF(ISNUMBER(B1718),IFERROR(VLOOKUP(B1718,'נתוני רישום ומצבת'!B:J,3,0),""),"")</f>
        <v/>
      </c>
      <c r="D1718" s="693"/>
      <c r="E1718" s="697"/>
      <c r="F1718" s="695"/>
      <c r="G1718" s="696"/>
      <c r="K1718" s="22" t="str">
        <f t="shared" si="53"/>
        <v/>
      </c>
      <c r="M1718" s="534" t="str">
        <f t="shared" si="52"/>
        <v/>
      </c>
    </row>
    <row r="1719" spans="2:13" ht="15.75" x14ac:dyDescent="0.25">
      <c r="B1719" s="692"/>
      <c r="C1719" s="117" t="str">
        <f>IF(ISNUMBER(B1719),IFERROR(VLOOKUP(B1719,'נתוני רישום ומצבת'!B:J,3,0),""),"")</f>
        <v/>
      </c>
      <c r="D1719" s="693"/>
      <c r="E1719" s="697"/>
      <c r="F1719" s="695"/>
      <c r="G1719" s="696"/>
      <c r="K1719" s="22" t="str">
        <f t="shared" si="53"/>
        <v/>
      </c>
      <c r="M1719" s="534" t="str">
        <f t="shared" si="52"/>
        <v/>
      </c>
    </row>
    <row r="1720" spans="2:13" ht="15.75" x14ac:dyDescent="0.25">
      <c r="B1720" s="692"/>
      <c r="C1720" s="117" t="str">
        <f>IF(ISNUMBER(B1720),IFERROR(VLOOKUP(B1720,'נתוני רישום ומצבת'!B:J,3,0),""),"")</f>
        <v/>
      </c>
      <c r="D1720" s="693"/>
      <c r="E1720" s="697"/>
      <c r="F1720" s="695"/>
      <c r="G1720" s="696"/>
      <c r="K1720" s="22" t="str">
        <f t="shared" si="53"/>
        <v/>
      </c>
      <c r="M1720" s="534" t="str">
        <f t="shared" si="52"/>
        <v/>
      </c>
    </row>
    <row r="1721" spans="2:13" ht="15.75" x14ac:dyDescent="0.25">
      <c r="B1721" s="692"/>
      <c r="C1721" s="117" t="str">
        <f>IF(ISNUMBER(B1721),IFERROR(VLOOKUP(B1721,'נתוני רישום ומצבת'!B:J,3,0),""),"")</f>
        <v/>
      </c>
      <c r="D1721" s="693"/>
      <c r="E1721" s="697"/>
      <c r="F1721" s="695"/>
      <c r="G1721" s="696"/>
      <c r="K1721" s="22" t="str">
        <f t="shared" si="53"/>
        <v/>
      </c>
      <c r="M1721" s="534" t="str">
        <f t="shared" si="52"/>
        <v/>
      </c>
    </row>
    <row r="1722" spans="2:13" ht="15.75" x14ac:dyDescent="0.25">
      <c r="B1722" s="692"/>
      <c r="C1722" s="117" t="str">
        <f>IF(ISNUMBER(B1722),IFERROR(VLOOKUP(B1722,'נתוני רישום ומצבת'!B:J,3,0),""),"")</f>
        <v/>
      </c>
      <c r="D1722" s="693"/>
      <c r="E1722" s="697"/>
      <c r="F1722" s="695"/>
      <c r="G1722" s="696"/>
      <c r="K1722" s="22" t="str">
        <f t="shared" si="53"/>
        <v/>
      </c>
      <c r="M1722" s="534" t="str">
        <f t="shared" si="52"/>
        <v/>
      </c>
    </row>
    <row r="1723" spans="2:13" ht="15.75" x14ac:dyDescent="0.25">
      <c r="B1723" s="692"/>
      <c r="C1723" s="117" t="str">
        <f>IF(ISNUMBER(B1723),IFERROR(VLOOKUP(B1723,'נתוני רישום ומצבת'!B:J,3,0),""),"")</f>
        <v/>
      </c>
      <c r="D1723" s="693"/>
      <c r="E1723" s="697"/>
      <c r="F1723" s="695"/>
      <c r="G1723" s="696"/>
      <c r="K1723" s="22" t="str">
        <f t="shared" si="53"/>
        <v/>
      </c>
      <c r="M1723" s="534" t="str">
        <f t="shared" si="52"/>
        <v/>
      </c>
    </row>
    <row r="1724" spans="2:13" ht="15.75" x14ac:dyDescent="0.25">
      <c r="B1724" s="692"/>
      <c r="C1724" s="117" t="str">
        <f>IF(ISNUMBER(B1724),IFERROR(VLOOKUP(B1724,'נתוני רישום ומצבת'!B:J,3,0),""),"")</f>
        <v/>
      </c>
      <c r="D1724" s="693"/>
      <c r="E1724" s="697"/>
      <c r="F1724" s="695"/>
      <c r="G1724" s="696"/>
      <c r="K1724" s="22" t="str">
        <f t="shared" si="53"/>
        <v/>
      </c>
      <c r="M1724" s="534" t="str">
        <f t="shared" si="52"/>
        <v/>
      </c>
    </row>
    <row r="1725" spans="2:13" ht="15.75" x14ac:dyDescent="0.25">
      <c r="B1725" s="692"/>
      <c r="C1725" s="117" t="str">
        <f>IF(ISNUMBER(B1725),IFERROR(VLOOKUP(B1725,'נתוני רישום ומצבת'!B:J,3,0),""),"")</f>
        <v/>
      </c>
      <c r="D1725" s="693"/>
      <c r="E1725" s="697"/>
      <c r="F1725" s="695"/>
      <c r="G1725" s="696"/>
      <c r="K1725" s="22" t="str">
        <f t="shared" si="53"/>
        <v/>
      </c>
      <c r="M1725" s="534" t="str">
        <f t="shared" si="52"/>
        <v/>
      </c>
    </row>
    <row r="1726" spans="2:13" ht="15.75" x14ac:dyDescent="0.25">
      <c r="B1726" s="692"/>
      <c r="C1726" s="117" t="str">
        <f>IF(ISNUMBER(B1726),IFERROR(VLOOKUP(B1726,'נתוני רישום ומצבת'!B:J,3,0),""),"")</f>
        <v/>
      </c>
      <c r="D1726" s="693"/>
      <c r="E1726" s="697"/>
      <c r="F1726" s="695"/>
      <c r="G1726" s="696"/>
      <c r="K1726" s="22" t="str">
        <f t="shared" si="53"/>
        <v/>
      </c>
      <c r="M1726" s="534" t="str">
        <f t="shared" si="52"/>
        <v/>
      </c>
    </row>
    <row r="1727" spans="2:13" ht="15.75" x14ac:dyDescent="0.25">
      <c r="B1727" s="692"/>
      <c r="C1727" s="117" t="str">
        <f>IF(ISNUMBER(B1727),IFERROR(VLOOKUP(B1727,'נתוני רישום ומצבת'!B:J,3,0),""),"")</f>
        <v/>
      </c>
      <c r="D1727" s="693"/>
      <c r="E1727" s="697"/>
      <c r="F1727" s="695"/>
      <c r="G1727" s="696"/>
      <c r="K1727" s="22" t="str">
        <f t="shared" si="53"/>
        <v/>
      </c>
      <c r="M1727" s="534" t="str">
        <f t="shared" si="52"/>
        <v/>
      </c>
    </row>
    <row r="1728" spans="2:13" ht="15.75" x14ac:dyDescent="0.25">
      <c r="B1728" s="692"/>
      <c r="C1728" s="117" t="str">
        <f>IF(ISNUMBER(B1728),IFERROR(VLOOKUP(B1728,'נתוני רישום ומצבת'!B:J,3,0),""),"")</f>
        <v/>
      </c>
      <c r="D1728" s="693"/>
      <c r="E1728" s="697"/>
      <c r="F1728" s="695"/>
      <c r="G1728" s="696"/>
      <c r="K1728" s="22" t="str">
        <f t="shared" si="53"/>
        <v/>
      </c>
      <c r="M1728" s="534" t="str">
        <f t="shared" si="52"/>
        <v/>
      </c>
    </row>
    <row r="1729" spans="2:13" ht="15.75" x14ac:dyDescent="0.25">
      <c r="B1729" s="692"/>
      <c r="C1729" s="117" t="str">
        <f>IF(ISNUMBER(B1729),IFERROR(VLOOKUP(B1729,'נתוני רישום ומצבת'!B:J,3,0),""),"")</f>
        <v/>
      </c>
      <c r="D1729" s="693"/>
      <c r="E1729" s="697"/>
      <c r="F1729" s="695"/>
      <c r="G1729" s="696"/>
      <c r="K1729" s="22" t="str">
        <f t="shared" si="53"/>
        <v/>
      </c>
      <c r="M1729" s="534" t="str">
        <f t="shared" si="52"/>
        <v/>
      </c>
    </row>
    <row r="1730" spans="2:13" ht="15.75" x14ac:dyDescent="0.25">
      <c r="B1730" s="692"/>
      <c r="C1730" s="117" t="str">
        <f>IF(ISNUMBER(B1730),IFERROR(VLOOKUP(B1730,'נתוני רישום ומצבת'!B:J,3,0),""),"")</f>
        <v/>
      </c>
      <c r="D1730" s="693"/>
      <c r="E1730" s="697"/>
      <c r="F1730" s="695"/>
      <c r="G1730" s="696"/>
      <c r="K1730" s="22" t="str">
        <f t="shared" si="53"/>
        <v/>
      </c>
      <c r="M1730" s="534" t="str">
        <f t="shared" si="52"/>
        <v/>
      </c>
    </row>
    <row r="1731" spans="2:13" ht="15.75" x14ac:dyDescent="0.25">
      <c r="B1731" s="692"/>
      <c r="C1731" s="117" t="str">
        <f>IF(ISNUMBER(B1731),IFERROR(VLOOKUP(B1731,'נתוני רישום ומצבת'!B:J,3,0),""),"")</f>
        <v/>
      </c>
      <c r="D1731" s="693"/>
      <c r="E1731" s="697"/>
      <c r="F1731" s="695"/>
      <c r="G1731" s="696"/>
      <c r="K1731" s="22" t="str">
        <f t="shared" si="53"/>
        <v/>
      </c>
      <c r="M1731" s="534" t="str">
        <f t="shared" si="52"/>
        <v/>
      </c>
    </row>
    <row r="1732" spans="2:13" ht="15.75" x14ac:dyDescent="0.25">
      <c r="B1732" s="692"/>
      <c r="C1732" s="117" t="str">
        <f>IF(ISNUMBER(B1732),IFERROR(VLOOKUP(B1732,'נתוני רישום ומצבת'!B:J,3,0),""),"")</f>
        <v/>
      </c>
      <c r="D1732" s="693"/>
      <c r="E1732" s="697"/>
      <c r="F1732" s="695"/>
      <c r="G1732" s="696"/>
      <c r="K1732" s="22" t="str">
        <f t="shared" si="53"/>
        <v/>
      </c>
      <c r="M1732" s="534" t="str">
        <f t="shared" si="52"/>
        <v/>
      </c>
    </row>
    <row r="1733" spans="2:13" ht="15.75" x14ac:dyDescent="0.25">
      <c r="B1733" s="692"/>
      <c r="C1733" s="117" t="str">
        <f>IF(ISNUMBER(B1733),IFERROR(VLOOKUP(B1733,'נתוני רישום ומצבת'!B:J,3,0),""),"")</f>
        <v/>
      </c>
      <c r="D1733" s="693"/>
      <c r="E1733" s="697"/>
      <c r="F1733" s="695"/>
      <c r="G1733" s="696"/>
      <c r="K1733" s="22" t="str">
        <f t="shared" si="53"/>
        <v/>
      </c>
      <c r="M1733" s="534" t="str">
        <f t="shared" si="52"/>
        <v/>
      </c>
    </row>
    <row r="1734" spans="2:13" ht="15.75" x14ac:dyDescent="0.25">
      <c r="B1734" s="692"/>
      <c r="C1734" s="117" t="str">
        <f>IF(ISNUMBER(B1734),IFERROR(VLOOKUP(B1734,'נתוני רישום ומצבת'!B:J,3,0),""),"")</f>
        <v/>
      </c>
      <c r="D1734" s="693"/>
      <c r="E1734" s="697"/>
      <c r="F1734" s="695"/>
      <c r="G1734" s="696"/>
      <c r="K1734" s="22" t="str">
        <f t="shared" si="53"/>
        <v/>
      </c>
      <c r="M1734" s="534" t="str">
        <f t="shared" si="52"/>
        <v/>
      </c>
    </row>
    <row r="1735" spans="2:13" ht="15.75" x14ac:dyDescent="0.25">
      <c r="B1735" s="692"/>
      <c r="C1735" s="117" t="str">
        <f>IF(ISNUMBER(B1735),IFERROR(VLOOKUP(B1735,'נתוני רישום ומצבת'!B:J,3,0),""),"")</f>
        <v/>
      </c>
      <c r="D1735" s="693"/>
      <c r="E1735" s="697"/>
      <c r="F1735" s="695"/>
      <c r="G1735" s="696"/>
      <c r="K1735" s="22" t="str">
        <f t="shared" si="53"/>
        <v/>
      </c>
      <c r="M1735" s="534" t="str">
        <f t="shared" si="52"/>
        <v/>
      </c>
    </row>
    <row r="1736" spans="2:13" ht="15.75" x14ac:dyDescent="0.25">
      <c r="B1736" s="692"/>
      <c r="C1736" s="117" t="str">
        <f>IF(ISNUMBER(B1736),IFERROR(VLOOKUP(B1736,'נתוני רישום ומצבת'!B:J,3,0),""),"")</f>
        <v/>
      </c>
      <c r="D1736" s="693"/>
      <c r="E1736" s="697"/>
      <c r="F1736" s="695"/>
      <c r="G1736" s="696"/>
      <c r="K1736" s="22" t="str">
        <f t="shared" si="53"/>
        <v/>
      </c>
      <c r="M1736" s="534" t="str">
        <f t="shared" si="52"/>
        <v/>
      </c>
    </row>
    <row r="1737" spans="2:13" ht="15.75" x14ac:dyDescent="0.25">
      <c r="B1737" s="692"/>
      <c r="C1737" s="117" t="str">
        <f>IF(ISNUMBER(B1737),IFERROR(VLOOKUP(B1737,'נתוני רישום ומצבת'!B:J,3,0),""),"")</f>
        <v/>
      </c>
      <c r="D1737" s="693"/>
      <c r="E1737" s="697"/>
      <c r="F1737" s="695"/>
      <c r="G1737" s="696"/>
      <c r="K1737" s="22" t="str">
        <f t="shared" si="53"/>
        <v/>
      </c>
      <c r="M1737" s="534" t="str">
        <f t="shared" si="52"/>
        <v/>
      </c>
    </row>
    <row r="1738" spans="2:13" ht="15.75" x14ac:dyDescent="0.25">
      <c r="B1738" s="692"/>
      <c r="C1738" s="117" t="str">
        <f>IF(ISNUMBER(B1738),IFERROR(VLOOKUP(B1738,'נתוני רישום ומצבת'!B:J,3,0),""),"")</f>
        <v/>
      </c>
      <c r="D1738" s="693"/>
      <c r="E1738" s="697"/>
      <c r="F1738" s="695"/>
      <c r="G1738" s="696"/>
      <c r="K1738" s="22" t="str">
        <f t="shared" si="53"/>
        <v/>
      </c>
      <c r="M1738" s="534" t="str">
        <f t="shared" si="52"/>
        <v/>
      </c>
    </row>
    <row r="1739" spans="2:13" ht="15.75" x14ac:dyDescent="0.25">
      <c r="B1739" s="692"/>
      <c r="C1739" s="117" t="str">
        <f>IF(ISNUMBER(B1739),IFERROR(VLOOKUP(B1739,'נתוני רישום ומצבת'!B:J,3,0),""),"")</f>
        <v/>
      </c>
      <c r="D1739" s="693"/>
      <c r="E1739" s="697"/>
      <c r="F1739" s="695"/>
      <c r="G1739" s="696"/>
      <c r="K1739" s="22" t="str">
        <f t="shared" si="53"/>
        <v/>
      </c>
      <c r="M1739" s="534" t="str">
        <f t="shared" si="52"/>
        <v/>
      </c>
    </row>
    <row r="1740" spans="2:13" ht="15.75" x14ac:dyDescent="0.25">
      <c r="B1740" s="692"/>
      <c r="C1740" s="117" t="str">
        <f>IF(ISNUMBER(B1740),IFERROR(VLOOKUP(B1740,'נתוני רישום ומצבת'!B:J,3,0),""),"")</f>
        <v/>
      </c>
      <c r="D1740" s="693"/>
      <c r="E1740" s="697"/>
      <c r="F1740" s="695"/>
      <c r="G1740" s="696"/>
      <c r="K1740" s="22" t="str">
        <f t="shared" si="53"/>
        <v/>
      </c>
      <c r="M1740" s="534" t="str">
        <f t="shared" si="52"/>
        <v/>
      </c>
    </row>
    <row r="1741" spans="2:13" ht="15.75" x14ac:dyDescent="0.25">
      <c r="B1741" s="692"/>
      <c r="C1741" s="117" t="str">
        <f>IF(ISNUMBER(B1741),IFERROR(VLOOKUP(B1741,'נתוני רישום ומצבת'!B:J,3,0),""),"")</f>
        <v/>
      </c>
      <c r="D1741" s="693"/>
      <c r="E1741" s="697"/>
      <c r="F1741" s="695"/>
      <c r="G1741" s="696"/>
      <c r="K1741" s="22" t="str">
        <f t="shared" si="53"/>
        <v/>
      </c>
      <c r="M1741" s="534" t="str">
        <f t="shared" si="52"/>
        <v/>
      </c>
    </row>
    <row r="1742" spans="2:13" ht="15.75" x14ac:dyDescent="0.25">
      <c r="B1742" s="692"/>
      <c r="C1742" s="117" t="str">
        <f>IF(ISNUMBER(B1742),IFERROR(VLOOKUP(B1742,'נתוני רישום ומצבת'!B:J,3,0),""),"")</f>
        <v/>
      </c>
      <c r="D1742" s="693"/>
      <c r="E1742" s="697"/>
      <c r="F1742" s="695"/>
      <c r="G1742" s="696"/>
      <c r="K1742" s="22" t="str">
        <f t="shared" si="53"/>
        <v/>
      </c>
      <c r="M1742" s="534" t="str">
        <f t="shared" si="52"/>
        <v/>
      </c>
    </row>
    <row r="1743" spans="2:13" ht="15.75" x14ac:dyDescent="0.25">
      <c r="B1743" s="692"/>
      <c r="C1743" s="117" t="str">
        <f>IF(ISNUMBER(B1743),IFERROR(VLOOKUP(B1743,'נתוני רישום ומצבת'!B:J,3,0),""),"")</f>
        <v/>
      </c>
      <c r="D1743" s="693"/>
      <c r="E1743" s="697"/>
      <c r="F1743" s="695"/>
      <c r="G1743" s="696"/>
      <c r="K1743" s="22" t="str">
        <f t="shared" si="53"/>
        <v/>
      </c>
      <c r="M1743" s="534" t="str">
        <f t="shared" si="52"/>
        <v/>
      </c>
    </row>
    <row r="1744" spans="2:13" ht="15.75" x14ac:dyDescent="0.25">
      <c r="B1744" s="692"/>
      <c r="C1744" s="117" t="str">
        <f>IF(ISNUMBER(B1744),IFERROR(VLOOKUP(B1744,'נתוני רישום ומצבת'!B:J,3,0),""),"")</f>
        <v/>
      </c>
      <c r="D1744" s="693"/>
      <c r="E1744" s="697"/>
      <c r="F1744" s="695"/>
      <c r="G1744" s="696"/>
      <c r="K1744" s="22" t="str">
        <f t="shared" si="53"/>
        <v/>
      </c>
      <c r="M1744" s="534" t="str">
        <f t="shared" si="52"/>
        <v/>
      </c>
    </row>
    <row r="1745" spans="2:13" ht="15.75" x14ac:dyDescent="0.25">
      <c r="B1745" s="692"/>
      <c r="C1745" s="117" t="str">
        <f>IF(ISNUMBER(B1745),IFERROR(VLOOKUP(B1745,'נתוני רישום ומצבת'!B:J,3,0),""),"")</f>
        <v/>
      </c>
      <c r="D1745" s="693"/>
      <c r="E1745" s="697"/>
      <c r="F1745" s="695"/>
      <c r="G1745" s="696"/>
      <c r="K1745" s="22" t="str">
        <f t="shared" si="53"/>
        <v/>
      </c>
      <c r="M1745" s="534" t="str">
        <f t="shared" ref="M1745:M1808" si="54">TEXT(LEFT(D1745,2),0)</f>
        <v/>
      </c>
    </row>
    <row r="1746" spans="2:13" ht="15.75" x14ac:dyDescent="0.25">
      <c r="B1746" s="692"/>
      <c r="C1746" s="117" t="str">
        <f>IF(ISNUMBER(B1746),IFERROR(VLOOKUP(B1746,'נתוני רישום ומצבת'!B:J,3,0),""),"")</f>
        <v/>
      </c>
      <c r="D1746" s="693"/>
      <c r="E1746" s="697"/>
      <c r="F1746" s="695"/>
      <c r="G1746" s="696"/>
      <c r="K1746" s="22" t="str">
        <f t="shared" si="53"/>
        <v/>
      </c>
      <c r="M1746" s="534" t="str">
        <f t="shared" si="54"/>
        <v/>
      </c>
    </row>
    <row r="1747" spans="2:13" ht="15.75" x14ac:dyDescent="0.25">
      <c r="B1747" s="692"/>
      <c r="C1747" s="117" t="str">
        <f>IF(ISNUMBER(B1747),IFERROR(VLOOKUP(B1747,'נתוני רישום ומצבת'!B:J,3,0),""),"")</f>
        <v/>
      </c>
      <c r="D1747" s="693"/>
      <c r="E1747" s="697"/>
      <c r="F1747" s="695"/>
      <c r="G1747" s="696"/>
      <c r="K1747" s="22" t="str">
        <f t="shared" si="53"/>
        <v/>
      </c>
      <c r="M1747" s="534" t="str">
        <f t="shared" si="54"/>
        <v/>
      </c>
    </row>
    <row r="1748" spans="2:13" ht="15.75" x14ac:dyDescent="0.25">
      <c r="B1748" s="692"/>
      <c r="C1748" s="117" t="str">
        <f>IF(ISNUMBER(B1748),IFERROR(VLOOKUP(B1748,'נתוני רישום ומצבת'!B:J,3,0),""),"")</f>
        <v/>
      </c>
      <c r="D1748" s="693"/>
      <c r="E1748" s="697"/>
      <c r="F1748" s="695"/>
      <c r="G1748" s="696"/>
      <c r="K1748" s="22" t="str">
        <f t="shared" si="53"/>
        <v/>
      </c>
      <c r="M1748" s="534" t="str">
        <f t="shared" si="54"/>
        <v/>
      </c>
    </row>
    <row r="1749" spans="2:13" ht="15.75" x14ac:dyDescent="0.25">
      <c r="B1749" s="692"/>
      <c r="C1749" s="117" t="str">
        <f>IF(ISNUMBER(B1749),IFERROR(VLOOKUP(B1749,'נתוני רישום ומצבת'!B:J,3,0),""),"")</f>
        <v/>
      </c>
      <c r="D1749" s="693"/>
      <c r="E1749" s="697"/>
      <c r="F1749" s="695"/>
      <c r="G1749" s="696"/>
      <c r="K1749" s="22" t="str">
        <f t="shared" ref="K1749:K1812" si="55">IF(C1736&lt;5,IF(D1749=$F$8,-E1749," "),"")</f>
        <v/>
      </c>
      <c r="M1749" s="534" t="str">
        <f t="shared" si="54"/>
        <v/>
      </c>
    </row>
    <row r="1750" spans="2:13" ht="15.75" x14ac:dyDescent="0.25">
      <c r="B1750" s="692"/>
      <c r="C1750" s="117" t="str">
        <f>IF(ISNUMBER(B1750),IFERROR(VLOOKUP(B1750,'נתוני רישום ומצבת'!B:J,3,0),""),"")</f>
        <v/>
      </c>
      <c r="D1750" s="693"/>
      <c r="E1750" s="697"/>
      <c r="F1750" s="695"/>
      <c r="G1750" s="696"/>
      <c r="K1750" s="22" t="str">
        <f t="shared" si="55"/>
        <v/>
      </c>
      <c r="M1750" s="534" t="str">
        <f t="shared" si="54"/>
        <v/>
      </c>
    </row>
    <row r="1751" spans="2:13" ht="15.75" x14ac:dyDescent="0.25">
      <c r="B1751" s="692"/>
      <c r="C1751" s="117" t="str">
        <f>IF(ISNUMBER(B1751),IFERROR(VLOOKUP(B1751,'נתוני רישום ומצבת'!B:J,3,0),""),"")</f>
        <v/>
      </c>
      <c r="D1751" s="693"/>
      <c r="E1751" s="697"/>
      <c r="F1751" s="695"/>
      <c r="G1751" s="696"/>
      <c r="K1751" s="22" t="str">
        <f t="shared" si="55"/>
        <v/>
      </c>
      <c r="M1751" s="534" t="str">
        <f t="shared" si="54"/>
        <v/>
      </c>
    </row>
    <row r="1752" spans="2:13" ht="15.75" x14ac:dyDescent="0.25">
      <c r="B1752" s="692"/>
      <c r="C1752" s="117" t="str">
        <f>IF(ISNUMBER(B1752),IFERROR(VLOOKUP(B1752,'נתוני רישום ומצבת'!B:J,3,0),""),"")</f>
        <v/>
      </c>
      <c r="D1752" s="693"/>
      <c r="E1752" s="697"/>
      <c r="F1752" s="695"/>
      <c r="G1752" s="696"/>
      <c r="K1752" s="22" t="str">
        <f t="shared" si="55"/>
        <v/>
      </c>
      <c r="M1752" s="534" t="str">
        <f t="shared" si="54"/>
        <v/>
      </c>
    </row>
    <row r="1753" spans="2:13" ht="15.75" x14ac:dyDescent="0.25">
      <c r="B1753" s="692"/>
      <c r="C1753" s="117" t="str">
        <f>IF(ISNUMBER(B1753),IFERROR(VLOOKUP(B1753,'נתוני רישום ומצבת'!B:J,3,0),""),"")</f>
        <v/>
      </c>
      <c r="D1753" s="693"/>
      <c r="E1753" s="697"/>
      <c r="F1753" s="695"/>
      <c r="G1753" s="696"/>
      <c r="K1753" s="22" t="str">
        <f t="shared" si="55"/>
        <v/>
      </c>
      <c r="M1753" s="534" t="str">
        <f t="shared" si="54"/>
        <v/>
      </c>
    </row>
    <row r="1754" spans="2:13" ht="15.75" x14ac:dyDescent="0.25">
      <c r="B1754" s="692"/>
      <c r="C1754" s="117" t="str">
        <f>IF(ISNUMBER(B1754),IFERROR(VLOOKUP(B1754,'נתוני רישום ומצבת'!B:J,3,0),""),"")</f>
        <v/>
      </c>
      <c r="D1754" s="693"/>
      <c r="E1754" s="697"/>
      <c r="F1754" s="695"/>
      <c r="G1754" s="696"/>
      <c r="K1754" s="22" t="str">
        <f t="shared" si="55"/>
        <v/>
      </c>
      <c r="M1754" s="534" t="str">
        <f t="shared" si="54"/>
        <v/>
      </c>
    </row>
    <row r="1755" spans="2:13" ht="15.75" x14ac:dyDescent="0.25">
      <c r="B1755" s="692"/>
      <c r="C1755" s="117" t="str">
        <f>IF(ISNUMBER(B1755),IFERROR(VLOOKUP(B1755,'נתוני רישום ומצבת'!B:J,3,0),""),"")</f>
        <v/>
      </c>
      <c r="D1755" s="693"/>
      <c r="E1755" s="697"/>
      <c r="F1755" s="695"/>
      <c r="G1755" s="696"/>
      <c r="K1755" s="22" t="str">
        <f t="shared" si="55"/>
        <v/>
      </c>
      <c r="M1755" s="534" t="str">
        <f t="shared" si="54"/>
        <v/>
      </c>
    </row>
    <row r="1756" spans="2:13" ht="15.75" x14ac:dyDescent="0.25">
      <c r="B1756" s="692"/>
      <c r="C1756" s="117" t="str">
        <f>IF(ISNUMBER(B1756),IFERROR(VLOOKUP(B1756,'נתוני רישום ומצבת'!B:J,3,0),""),"")</f>
        <v/>
      </c>
      <c r="D1756" s="693"/>
      <c r="E1756" s="697"/>
      <c r="F1756" s="695"/>
      <c r="G1756" s="696"/>
      <c r="K1756" s="22" t="str">
        <f t="shared" si="55"/>
        <v/>
      </c>
      <c r="M1756" s="534" t="str">
        <f t="shared" si="54"/>
        <v/>
      </c>
    </row>
    <row r="1757" spans="2:13" ht="15.75" x14ac:dyDescent="0.25">
      <c r="B1757" s="692"/>
      <c r="C1757" s="117" t="str">
        <f>IF(ISNUMBER(B1757),IFERROR(VLOOKUP(B1757,'נתוני רישום ומצבת'!B:J,3,0),""),"")</f>
        <v/>
      </c>
      <c r="D1757" s="693"/>
      <c r="E1757" s="697"/>
      <c r="F1757" s="695"/>
      <c r="G1757" s="696"/>
      <c r="K1757" s="22" t="str">
        <f t="shared" si="55"/>
        <v/>
      </c>
      <c r="M1757" s="534" t="str">
        <f t="shared" si="54"/>
        <v/>
      </c>
    </row>
    <row r="1758" spans="2:13" ht="15.75" x14ac:dyDescent="0.25">
      <c r="B1758" s="692"/>
      <c r="C1758" s="117" t="str">
        <f>IF(ISNUMBER(B1758),IFERROR(VLOOKUP(B1758,'נתוני רישום ומצבת'!B:J,3,0),""),"")</f>
        <v/>
      </c>
      <c r="D1758" s="693"/>
      <c r="E1758" s="697"/>
      <c r="F1758" s="695"/>
      <c r="G1758" s="696"/>
      <c r="K1758" s="22" t="str">
        <f t="shared" si="55"/>
        <v/>
      </c>
      <c r="M1758" s="534" t="str">
        <f t="shared" si="54"/>
        <v/>
      </c>
    </row>
    <row r="1759" spans="2:13" ht="15.75" x14ac:dyDescent="0.25">
      <c r="B1759" s="692"/>
      <c r="C1759" s="117" t="str">
        <f>IF(ISNUMBER(B1759),IFERROR(VLOOKUP(B1759,'נתוני רישום ומצבת'!B:J,3,0),""),"")</f>
        <v/>
      </c>
      <c r="D1759" s="693"/>
      <c r="E1759" s="697"/>
      <c r="F1759" s="695"/>
      <c r="G1759" s="696"/>
      <c r="K1759" s="22" t="str">
        <f t="shared" si="55"/>
        <v/>
      </c>
      <c r="M1759" s="534" t="str">
        <f t="shared" si="54"/>
        <v/>
      </c>
    </row>
    <row r="1760" spans="2:13" ht="15.75" x14ac:dyDescent="0.25">
      <c r="B1760" s="692"/>
      <c r="C1760" s="117" t="str">
        <f>IF(ISNUMBER(B1760),IFERROR(VLOOKUP(B1760,'נתוני רישום ומצבת'!B:J,3,0),""),"")</f>
        <v/>
      </c>
      <c r="D1760" s="693"/>
      <c r="E1760" s="697"/>
      <c r="F1760" s="695"/>
      <c r="G1760" s="696"/>
      <c r="K1760" s="22" t="str">
        <f t="shared" si="55"/>
        <v/>
      </c>
      <c r="M1760" s="534" t="str">
        <f t="shared" si="54"/>
        <v/>
      </c>
    </row>
    <row r="1761" spans="2:13" ht="15.75" x14ac:dyDescent="0.25">
      <c r="B1761" s="692"/>
      <c r="C1761" s="117" t="str">
        <f>IF(ISNUMBER(B1761),IFERROR(VLOOKUP(B1761,'נתוני רישום ומצבת'!B:J,3,0),""),"")</f>
        <v/>
      </c>
      <c r="D1761" s="693"/>
      <c r="E1761" s="697"/>
      <c r="F1761" s="695"/>
      <c r="G1761" s="696"/>
      <c r="K1761" s="22" t="str">
        <f t="shared" si="55"/>
        <v/>
      </c>
      <c r="M1761" s="534" t="str">
        <f t="shared" si="54"/>
        <v/>
      </c>
    </row>
    <row r="1762" spans="2:13" ht="15.75" x14ac:dyDescent="0.25">
      <c r="B1762" s="692"/>
      <c r="C1762" s="117" t="str">
        <f>IF(ISNUMBER(B1762),IFERROR(VLOOKUP(B1762,'נתוני רישום ומצבת'!B:J,3,0),""),"")</f>
        <v/>
      </c>
      <c r="D1762" s="693"/>
      <c r="E1762" s="697"/>
      <c r="F1762" s="695"/>
      <c r="G1762" s="696"/>
      <c r="K1762" s="22" t="str">
        <f t="shared" si="55"/>
        <v/>
      </c>
      <c r="M1762" s="534" t="str">
        <f t="shared" si="54"/>
        <v/>
      </c>
    </row>
    <row r="1763" spans="2:13" ht="15.75" x14ac:dyDescent="0.25">
      <c r="B1763" s="692"/>
      <c r="C1763" s="117" t="str">
        <f>IF(ISNUMBER(B1763),IFERROR(VLOOKUP(B1763,'נתוני רישום ומצבת'!B:J,3,0),""),"")</f>
        <v/>
      </c>
      <c r="D1763" s="693"/>
      <c r="E1763" s="697"/>
      <c r="F1763" s="695"/>
      <c r="G1763" s="696"/>
      <c r="K1763" s="22" t="str">
        <f t="shared" si="55"/>
        <v/>
      </c>
      <c r="M1763" s="534" t="str">
        <f t="shared" si="54"/>
        <v/>
      </c>
    </row>
    <row r="1764" spans="2:13" ht="15.75" x14ac:dyDescent="0.25">
      <c r="B1764" s="692"/>
      <c r="C1764" s="117" t="str">
        <f>IF(ISNUMBER(B1764),IFERROR(VLOOKUP(B1764,'נתוני רישום ומצבת'!B:J,3,0),""),"")</f>
        <v/>
      </c>
      <c r="D1764" s="693"/>
      <c r="E1764" s="697"/>
      <c r="F1764" s="695"/>
      <c r="G1764" s="696"/>
      <c r="K1764" s="22" t="str">
        <f t="shared" si="55"/>
        <v/>
      </c>
      <c r="M1764" s="534" t="str">
        <f t="shared" si="54"/>
        <v/>
      </c>
    </row>
    <row r="1765" spans="2:13" ht="15.75" x14ac:dyDescent="0.25">
      <c r="B1765" s="692"/>
      <c r="C1765" s="117" t="str">
        <f>IF(ISNUMBER(B1765),IFERROR(VLOOKUP(B1765,'נתוני רישום ומצבת'!B:J,3,0),""),"")</f>
        <v/>
      </c>
      <c r="D1765" s="693"/>
      <c r="E1765" s="697"/>
      <c r="F1765" s="695"/>
      <c r="G1765" s="696"/>
      <c r="K1765" s="22" t="str">
        <f t="shared" si="55"/>
        <v/>
      </c>
      <c r="M1765" s="534" t="str">
        <f t="shared" si="54"/>
        <v/>
      </c>
    </row>
    <row r="1766" spans="2:13" ht="15.75" x14ac:dyDescent="0.25">
      <c r="B1766" s="692"/>
      <c r="C1766" s="117" t="str">
        <f>IF(ISNUMBER(B1766),IFERROR(VLOOKUP(B1766,'נתוני רישום ומצבת'!B:J,3,0),""),"")</f>
        <v/>
      </c>
      <c r="D1766" s="693"/>
      <c r="E1766" s="697"/>
      <c r="F1766" s="695"/>
      <c r="G1766" s="696"/>
      <c r="K1766" s="22" t="str">
        <f t="shared" si="55"/>
        <v/>
      </c>
      <c r="M1766" s="534" t="str">
        <f t="shared" si="54"/>
        <v/>
      </c>
    </row>
    <row r="1767" spans="2:13" ht="15.75" x14ac:dyDescent="0.25">
      <c r="B1767" s="692"/>
      <c r="C1767" s="117" t="str">
        <f>IF(ISNUMBER(B1767),IFERROR(VLOOKUP(B1767,'נתוני רישום ומצבת'!B:J,3,0),""),"")</f>
        <v/>
      </c>
      <c r="D1767" s="693"/>
      <c r="E1767" s="697"/>
      <c r="F1767" s="695"/>
      <c r="G1767" s="696"/>
      <c r="K1767" s="22" t="str">
        <f t="shared" si="55"/>
        <v/>
      </c>
      <c r="M1767" s="534" t="str">
        <f t="shared" si="54"/>
        <v/>
      </c>
    </row>
    <row r="1768" spans="2:13" ht="15.75" x14ac:dyDescent="0.25">
      <c r="B1768" s="692"/>
      <c r="C1768" s="117" t="str">
        <f>IF(ISNUMBER(B1768),IFERROR(VLOOKUP(B1768,'נתוני רישום ומצבת'!B:J,3,0),""),"")</f>
        <v/>
      </c>
      <c r="D1768" s="693"/>
      <c r="E1768" s="697"/>
      <c r="F1768" s="695"/>
      <c r="G1768" s="696"/>
      <c r="K1768" s="22" t="str">
        <f t="shared" si="55"/>
        <v/>
      </c>
      <c r="M1768" s="534" t="str">
        <f t="shared" si="54"/>
        <v/>
      </c>
    </row>
    <row r="1769" spans="2:13" ht="15.75" x14ac:dyDescent="0.25">
      <c r="B1769" s="692"/>
      <c r="C1769" s="117" t="str">
        <f>IF(ISNUMBER(B1769),IFERROR(VLOOKUP(B1769,'נתוני רישום ומצבת'!B:J,3,0),""),"")</f>
        <v/>
      </c>
      <c r="D1769" s="693"/>
      <c r="E1769" s="697"/>
      <c r="F1769" s="695"/>
      <c r="G1769" s="696"/>
      <c r="K1769" s="22" t="str">
        <f t="shared" si="55"/>
        <v/>
      </c>
      <c r="M1769" s="534" t="str">
        <f t="shared" si="54"/>
        <v/>
      </c>
    </row>
    <row r="1770" spans="2:13" ht="15.75" x14ac:dyDescent="0.25">
      <c r="B1770" s="692"/>
      <c r="C1770" s="117" t="str">
        <f>IF(ISNUMBER(B1770),IFERROR(VLOOKUP(B1770,'נתוני רישום ומצבת'!B:J,3,0),""),"")</f>
        <v/>
      </c>
      <c r="D1770" s="693"/>
      <c r="E1770" s="697"/>
      <c r="F1770" s="695"/>
      <c r="G1770" s="696"/>
      <c r="K1770" s="22" t="str">
        <f t="shared" si="55"/>
        <v/>
      </c>
      <c r="M1770" s="534" t="str">
        <f t="shared" si="54"/>
        <v/>
      </c>
    </row>
    <row r="1771" spans="2:13" ht="15.75" x14ac:dyDescent="0.25">
      <c r="B1771" s="692"/>
      <c r="C1771" s="117" t="str">
        <f>IF(ISNUMBER(B1771),IFERROR(VLOOKUP(B1771,'נתוני רישום ומצבת'!B:J,3,0),""),"")</f>
        <v/>
      </c>
      <c r="D1771" s="693"/>
      <c r="E1771" s="697"/>
      <c r="F1771" s="695"/>
      <c r="G1771" s="696"/>
      <c r="K1771" s="22" t="str">
        <f t="shared" si="55"/>
        <v/>
      </c>
      <c r="M1771" s="534" t="str">
        <f t="shared" si="54"/>
        <v/>
      </c>
    </row>
    <row r="1772" spans="2:13" ht="15.75" x14ac:dyDescent="0.25">
      <c r="B1772" s="692"/>
      <c r="C1772" s="117" t="str">
        <f>IF(ISNUMBER(B1772),IFERROR(VLOOKUP(B1772,'נתוני רישום ומצבת'!B:J,3,0),""),"")</f>
        <v/>
      </c>
      <c r="D1772" s="693"/>
      <c r="E1772" s="697"/>
      <c r="F1772" s="695"/>
      <c r="G1772" s="696"/>
      <c r="K1772" s="22" t="str">
        <f t="shared" si="55"/>
        <v/>
      </c>
      <c r="M1772" s="534" t="str">
        <f t="shared" si="54"/>
        <v/>
      </c>
    </row>
    <row r="1773" spans="2:13" ht="15.75" x14ac:dyDescent="0.25">
      <c r="B1773" s="692"/>
      <c r="C1773" s="117" t="str">
        <f>IF(ISNUMBER(B1773),IFERROR(VLOOKUP(B1773,'נתוני רישום ומצבת'!B:J,3,0),""),"")</f>
        <v/>
      </c>
      <c r="D1773" s="693"/>
      <c r="E1773" s="697"/>
      <c r="F1773" s="695"/>
      <c r="G1773" s="696"/>
      <c r="K1773" s="22" t="str">
        <f t="shared" si="55"/>
        <v/>
      </c>
      <c r="M1773" s="534" t="str">
        <f t="shared" si="54"/>
        <v/>
      </c>
    </row>
    <row r="1774" spans="2:13" ht="15.75" x14ac:dyDescent="0.25">
      <c r="B1774" s="692"/>
      <c r="C1774" s="117" t="str">
        <f>IF(ISNUMBER(B1774),IFERROR(VLOOKUP(B1774,'נתוני רישום ומצבת'!B:J,3,0),""),"")</f>
        <v/>
      </c>
      <c r="D1774" s="693"/>
      <c r="E1774" s="697"/>
      <c r="F1774" s="695"/>
      <c r="G1774" s="696"/>
      <c r="K1774" s="22" t="str">
        <f t="shared" si="55"/>
        <v/>
      </c>
      <c r="M1774" s="534" t="str">
        <f t="shared" si="54"/>
        <v/>
      </c>
    </row>
    <row r="1775" spans="2:13" ht="15.75" x14ac:dyDescent="0.25">
      <c r="B1775" s="692"/>
      <c r="C1775" s="117" t="str">
        <f>IF(ISNUMBER(B1775),IFERROR(VLOOKUP(B1775,'נתוני רישום ומצבת'!B:J,3,0),""),"")</f>
        <v/>
      </c>
      <c r="D1775" s="693"/>
      <c r="E1775" s="697"/>
      <c r="F1775" s="695"/>
      <c r="G1775" s="696"/>
      <c r="K1775" s="22" t="str">
        <f t="shared" si="55"/>
        <v/>
      </c>
      <c r="M1775" s="534" t="str">
        <f t="shared" si="54"/>
        <v/>
      </c>
    </row>
    <row r="1776" spans="2:13" ht="15.75" x14ac:dyDescent="0.25">
      <c r="B1776" s="692"/>
      <c r="C1776" s="117" t="str">
        <f>IF(ISNUMBER(B1776),IFERROR(VLOOKUP(B1776,'נתוני רישום ומצבת'!B:J,3,0),""),"")</f>
        <v/>
      </c>
      <c r="D1776" s="693"/>
      <c r="E1776" s="697"/>
      <c r="F1776" s="695"/>
      <c r="G1776" s="696"/>
      <c r="K1776" s="22" t="str">
        <f t="shared" si="55"/>
        <v/>
      </c>
      <c r="M1776" s="534" t="str">
        <f t="shared" si="54"/>
        <v/>
      </c>
    </row>
    <row r="1777" spans="2:13" ht="15.75" x14ac:dyDescent="0.25">
      <c r="B1777" s="692"/>
      <c r="C1777" s="117" t="str">
        <f>IF(ISNUMBER(B1777),IFERROR(VLOOKUP(B1777,'נתוני רישום ומצבת'!B:J,3,0),""),"")</f>
        <v/>
      </c>
      <c r="D1777" s="693"/>
      <c r="E1777" s="697"/>
      <c r="F1777" s="695"/>
      <c r="G1777" s="696"/>
      <c r="K1777" s="22" t="str">
        <f t="shared" si="55"/>
        <v/>
      </c>
      <c r="M1777" s="534" t="str">
        <f t="shared" si="54"/>
        <v/>
      </c>
    </row>
    <row r="1778" spans="2:13" ht="15.75" x14ac:dyDescent="0.25">
      <c r="B1778" s="692"/>
      <c r="C1778" s="117" t="str">
        <f>IF(ISNUMBER(B1778),IFERROR(VLOOKUP(B1778,'נתוני רישום ומצבת'!B:J,3,0),""),"")</f>
        <v/>
      </c>
      <c r="D1778" s="693"/>
      <c r="E1778" s="697"/>
      <c r="F1778" s="695"/>
      <c r="G1778" s="696"/>
      <c r="K1778" s="22" t="str">
        <f t="shared" si="55"/>
        <v/>
      </c>
      <c r="M1778" s="534" t="str">
        <f t="shared" si="54"/>
        <v/>
      </c>
    </row>
    <row r="1779" spans="2:13" ht="15.75" x14ac:dyDescent="0.25">
      <c r="B1779" s="692"/>
      <c r="C1779" s="117" t="str">
        <f>IF(ISNUMBER(B1779),IFERROR(VLOOKUP(B1779,'נתוני רישום ומצבת'!B:J,3,0),""),"")</f>
        <v/>
      </c>
      <c r="D1779" s="693"/>
      <c r="E1779" s="697"/>
      <c r="F1779" s="695"/>
      <c r="G1779" s="696"/>
      <c r="K1779" s="22" t="str">
        <f t="shared" si="55"/>
        <v/>
      </c>
      <c r="M1779" s="534" t="str">
        <f t="shared" si="54"/>
        <v/>
      </c>
    </row>
    <row r="1780" spans="2:13" ht="15.75" x14ac:dyDescent="0.25">
      <c r="B1780" s="692"/>
      <c r="C1780" s="117" t="str">
        <f>IF(ISNUMBER(B1780),IFERROR(VLOOKUP(B1780,'נתוני רישום ומצבת'!B:J,3,0),""),"")</f>
        <v/>
      </c>
      <c r="D1780" s="693"/>
      <c r="E1780" s="697"/>
      <c r="F1780" s="695"/>
      <c r="G1780" s="696"/>
      <c r="K1780" s="22" t="str">
        <f t="shared" si="55"/>
        <v/>
      </c>
      <c r="M1780" s="534" t="str">
        <f t="shared" si="54"/>
        <v/>
      </c>
    </row>
    <row r="1781" spans="2:13" ht="15.75" x14ac:dyDescent="0.25">
      <c r="B1781" s="692"/>
      <c r="C1781" s="117" t="str">
        <f>IF(ISNUMBER(B1781),IFERROR(VLOOKUP(B1781,'נתוני רישום ומצבת'!B:J,3,0),""),"")</f>
        <v/>
      </c>
      <c r="D1781" s="693"/>
      <c r="E1781" s="697"/>
      <c r="F1781" s="695"/>
      <c r="G1781" s="696"/>
      <c r="K1781" s="22" t="str">
        <f t="shared" si="55"/>
        <v/>
      </c>
      <c r="M1781" s="534" t="str">
        <f t="shared" si="54"/>
        <v/>
      </c>
    </row>
    <row r="1782" spans="2:13" ht="15.75" x14ac:dyDescent="0.25">
      <c r="B1782" s="692"/>
      <c r="C1782" s="117" t="str">
        <f>IF(ISNUMBER(B1782),IFERROR(VLOOKUP(B1782,'נתוני רישום ומצבת'!B:J,3,0),""),"")</f>
        <v/>
      </c>
      <c r="D1782" s="693"/>
      <c r="E1782" s="697"/>
      <c r="F1782" s="695"/>
      <c r="G1782" s="696"/>
      <c r="K1782" s="22" t="str">
        <f t="shared" si="55"/>
        <v/>
      </c>
      <c r="M1782" s="534" t="str">
        <f t="shared" si="54"/>
        <v/>
      </c>
    </row>
    <row r="1783" spans="2:13" ht="15.75" x14ac:dyDescent="0.25">
      <c r="B1783" s="692"/>
      <c r="C1783" s="117" t="str">
        <f>IF(ISNUMBER(B1783),IFERROR(VLOOKUP(B1783,'נתוני רישום ומצבת'!B:J,3,0),""),"")</f>
        <v/>
      </c>
      <c r="D1783" s="693"/>
      <c r="E1783" s="697"/>
      <c r="F1783" s="695"/>
      <c r="G1783" s="696"/>
      <c r="K1783" s="22" t="str">
        <f t="shared" si="55"/>
        <v/>
      </c>
      <c r="M1783" s="534" t="str">
        <f t="shared" si="54"/>
        <v/>
      </c>
    </row>
    <row r="1784" spans="2:13" ht="15.75" x14ac:dyDescent="0.25">
      <c r="B1784" s="692"/>
      <c r="C1784" s="117" t="str">
        <f>IF(ISNUMBER(B1784),IFERROR(VLOOKUP(B1784,'נתוני רישום ומצבת'!B:J,3,0),""),"")</f>
        <v/>
      </c>
      <c r="D1784" s="693"/>
      <c r="E1784" s="697"/>
      <c r="F1784" s="695"/>
      <c r="G1784" s="696"/>
      <c r="K1784" s="22" t="str">
        <f t="shared" si="55"/>
        <v/>
      </c>
      <c r="M1784" s="534" t="str">
        <f t="shared" si="54"/>
        <v/>
      </c>
    </row>
    <row r="1785" spans="2:13" ht="15.75" x14ac:dyDescent="0.25">
      <c r="B1785" s="692"/>
      <c r="C1785" s="117" t="str">
        <f>IF(ISNUMBER(B1785),IFERROR(VLOOKUP(B1785,'נתוני רישום ומצבת'!B:J,3,0),""),"")</f>
        <v/>
      </c>
      <c r="D1785" s="693"/>
      <c r="E1785" s="697"/>
      <c r="F1785" s="695"/>
      <c r="G1785" s="696"/>
      <c r="K1785" s="22" t="str">
        <f t="shared" si="55"/>
        <v/>
      </c>
      <c r="M1785" s="534" t="str">
        <f t="shared" si="54"/>
        <v/>
      </c>
    </row>
    <row r="1786" spans="2:13" ht="15.75" x14ac:dyDescent="0.25">
      <c r="B1786" s="692"/>
      <c r="C1786" s="117" t="str">
        <f>IF(ISNUMBER(B1786),IFERROR(VLOOKUP(B1786,'נתוני רישום ומצבת'!B:J,3,0),""),"")</f>
        <v/>
      </c>
      <c r="D1786" s="693"/>
      <c r="E1786" s="697"/>
      <c r="F1786" s="695"/>
      <c r="G1786" s="696"/>
      <c r="K1786" s="22" t="str">
        <f t="shared" si="55"/>
        <v/>
      </c>
      <c r="M1786" s="534" t="str">
        <f t="shared" si="54"/>
        <v/>
      </c>
    </row>
    <row r="1787" spans="2:13" ht="15.75" x14ac:dyDescent="0.25">
      <c r="B1787" s="692"/>
      <c r="C1787" s="117" t="str">
        <f>IF(ISNUMBER(B1787),IFERROR(VLOOKUP(B1787,'נתוני רישום ומצבת'!B:J,3,0),""),"")</f>
        <v/>
      </c>
      <c r="D1787" s="693"/>
      <c r="E1787" s="697"/>
      <c r="F1787" s="695"/>
      <c r="G1787" s="696"/>
      <c r="K1787" s="22" t="str">
        <f t="shared" si="55"/>
        <v/>
      </c>
      <c r="M1787" s="534" t="str">
        <f t="shared" si="54"/>
        <v/>
      </c>
    </row>
    <row r="1788" spans="2:13" ht="15.75" x14ac:dyDescent="0.25">
      <c r="B1788" s="692"/>
      <c r="C1788" s="117" t="str">
        <f>IF(ISNUMBER(B1788),IFERROR(VLOOKUP(B1788,'נתוני רישום ומצבת'!B:J,3,0),""),"")</f>
        <v/>
      </c>
      <c r="D1788" s="693"/>
      <c r="E1788" s="697"/>
      <c r="F1788" s="695"/>
      <c r="G1788" s="696"/>
      <c r="K1788" s="22" t="str">
        <f t="shared" si="55"/>
        <v/>
      </c>
      <c r="M1788" s="534" t="str">
        <f t="shared" si="54"/>
        <v/>
      </c>
    </row>
    <row r="1789" spans="2:13" ht="15.75" x14ac:dyDescent="0.25">
      <c r="B1789" s="692"/>
      <c r="C1789" s="117" t="str">
        <f>IF(ISNUMBER(B1789),IFERROR(VLOOKUP(B1789,'נתוני רישום ומצבת'!B:J,3,0),""),"")</f>
        <v/>
      </c>
      <c r="D1789" s="693"/>
      <c r="E1789" s="697"/>
      <c r="F1789" s="695"/>
      <c r="G1789" s="696"/>
      <c r="K1789" s="22" t="str">
        <f t="shared" si="55"/>
        <v/>
      </c>
      <c r="M1789" s="534" t="str">
        <f t="shared" si="54"/>
        <v/>
      </c>
    </row>
    <row r="1790" spans="2:13" ht="15.75" x14ac:dyDescent="0.25">
      <c r="B1790" s="692"/>
      <c r="C1790" s="117" t="str">
        <f>IF(ISNUMBER(B1790),IFERROR(VLOOKUP(B1790,'נתוני רישום ומצבת'!B:J,3,0),""),"")</f>
        <v/>
      </c>
      <c r="D1790" s="693"/>
      <c r="E1790" s="697"/>
      <c r="F1790" s="695"/>
      <c r="G1790" s="696"/>
      <c r="K1790" s="22" t="str">
        <f t="shared" si="55"/>
        <v/>
      </c>
      <c r="M1790" s="534" t="str">
        <f t="shared" si="54"/>
        <v/>
      </c>
    </row>
    <row r="1791" spans="2:13" ht="15.75" x14ac:dyDescent="0.25">
      <c r="B1791" s="692"/>
      <c r="C1791" s="117" t="str">
        <f>IF(ISNUMBER(B1791),IFERROR(VLOOKUP(B1791,'נתוני רישום ומצבת'!B:J,3,0),""),"")</f>
        <v/>
      </c>
      <c r="D1791" s="693"/>
      <c r="E1791" s="697"/>
      <c r="F1791" s="695"/>
      <c r="G1791" s="696"/>
      <c r="K1791" s="22" t="str">
        <f t="shared" si="55"/>
        <v/>
      </c>
      <c r="M1791" s="534" t="str">
        <f t="shared" si="54"/>
        <v/>
      </c>
    </row>
    <row r="1792" spans="2:13" ht="15.75" x14ac:dyDescent="0.25">
      <c r="B1792" s="692"/>
      <c r="C1792" s="117" t="str">
        <f>IF(ISNUMBER(B1792),IFERROR(VLOOKUP(B1792,'נתוני רישום ומצבת'!B:J,3,0),""),"")</f>
        <v/>
      </c>
      <c r="D1792" s="693"/>
      <c r="E1792" s="697"/>
      <c r="F1792" s="695"/>
      <c r="G1792" s="696"/>
      <c r="K1792" s="22" t="str">
        <f t="shared" si="55"/>
        <v/>
      </c>
      <c r="M1792" s="534" t="str">
        <f t="shared" si="54"/>
        <v/>
      </c>
    </row>
    <row r="1793" spans="2:13" ht="15.75" x14ac:dyDescent="0.25">
      <c r="B1793" s="692"/>
      <c r="C1793" s="117" t="str">
        <f>IF(ISNUMBER(B1793),IFERROR(VLOOKUP(B1793,'נתוני רישום ומצבת'!B:J,3,0),""),"")</f>
        <v/>
      </c>
      <c r="D1793" s="693"/>
      <c r="E1793" s="697"/>
      <c r="F1793" s="695"/>
      <c r="G1793" s="696"/>
      <c r="K1793" s="22" t="str">
        <f t="shared" si="55"/>
        <v/>
      </c>
      <c r="M1793" s="534" t="str">
        <f t="shared" si="54"/>
        <v/>
      </c>
    </row>
    <row r="1794" spans="2:13" ht="15.75" x14ac:dyDescent="0.25">
      <c r="B1794" s="692"/>
      <c r="C1794" s="117" t="str">
        <f>IF(ISNUMBER(B1794),IFERROR(VLOOKUP(B1794,'נתוני רישום ומצבת'!B:J,3,0),""),"")</f>
        <v/>
      </c>
      <c r="D1794" s="693"/>
      <c r="E1794" s="697"/>
      <c r="F1794" s="695"/>
      <c r="G1794" s="696"/>
      <c r="K1794" s="22" t="str">
        <f t="shared" si="55"/>
        <v/>
      </c>
      <c r="M1794" s="534" t="str">
        <f t="shared" si="54"/>
        <v/>
      </c>
    </row>
    <row r="1795" spans="2:13" ht="15.75" x14ac:dyDescent="0.25">
      <c r="B1795" s="692"/>
      <c r="C1795" s="117" t="str">
        <f>IF(ISNUMBER(B1795),IFERROR(VLOOKUP(B1795,'נתוני רישום ומצבת'!B:J,3,0),""),"")</f>
        <v/>
      </c>
      <c r="D1795" s="693"/>
      <c r="E1795" s="697"/>
      <c r="F1795" s="695"/>
      <c r="G1795" s="696"/>
      <c r="K1795" s="22" t="str">
        <f t="shared" si="55"/>
        <v/>
      </c>
      <c r="M1795" s="534" t="str">
        <f t="shared" si="54"/>
        <v/>
      </c>
    </row>
    <row r="1796" spans="2:13" ht="15.75" x14ac:dyDescent="0.25">
      <c r="B1796" s="692"/>
      <c r="C1796" s="117" t="str">
        <f>IF(ISNUMBER(B1796),IFERROR(VLOOKUP(B1796,'נתוני רישום ומצבת'!B:J,3,0),""),"")</f>
        <v/>
      </c>
      <c r="D1796" s="693"/>
      <c r="E1796" s="697"/>
      <c r="F1796" s="695"/>
      <c r="G1796" s="696"/>
      <c r="K1796" s="22" t="str">
        <f t="shared" si="55"/>
        <v/>
      </c>
      <c r="M1796" s="534" t="str">
        <f t="shared" si="54"/>
        <v/>
      </c>
    </row>
    <row r="1797" spans="2:13" ht="15.75" x14ac:dyDescent="0.25">
      <c r="B1797" s="692"/>
      <c r="C1797" s="117" t="str">
        <f>IF(ISNUMBER(B1797),IFERROR(VLOOKUP(B1797,'נתוני רישום ומצבת'!B:J,3,0),""),"")</f>
        <v/>
      </c>
      <c r="D1797" s="693"/>
      <c r="E1797" s="697"/>
      <c r="F1797" s="695"/>
      <c r="G1797" s="696"/>
      <c r="K1797" s="22" t="str">
        <f t="shared" si="55"/>
        <v/>
      </c>
      <c r="M1797" s="534" t="str">
        <f t="shared" si="54"/>
        <v/>
      </c>
    </row>
    <row r="1798" spans="2:13" ht="15.75" x14ac:dyDescent="0.25">
      <c r="B1798" s="692"/>
      <c r="C1798" s="117" t="str">
        <f>IF(ISNUMBER(B1798),IFERROR(VLOOKUP(B1798,'נתוני רישום ומצבת'!B:J,3,0),""),"")</f>
        <v/>
      </c>
      <c r="D1798" s="693"/>
      <c r="E1798" s="697"/>
      <c r="F1798" s="695"/>
      <c r="G1798" s="696"/>
      <c r="K1798" s="22" t="str">
        <f t="shared" si="55"/>
        <v/>
      </c>
      <c r="M1798" s="534" t="str">
        <f t="shared" si="54"/>
        <v/>
      </c>
    </row>
    <row r="1799" spans="2:13" ht="15.75" x14ac:dyDescent="0.25">
      <c r="B1799" s="692"/>
      <c r="C1799" s="117" t="str">
        <f>IF(ISNUMBER(B1799),IFERROR(VLOOKUP(B1799,'נתוני רישום ומצבת'!B:J,3,0),""),"")</f>
        <v/>
      </c>
      <c r="D1799" s="693"/>
      <c r="E1799" s="697"/>
      <c r="F1799" s="695"/>
      <c r="G1799" s="696"/>
      <c r="K1799" s="22" t="str">
        <f t="shared" si="55"/>
        <v/>
      </c>
      <c r="M1799" s="534" t="str">
        <f t="shared" si="54"/>
        <v/>
      </c>
    </row>
    <row r="1800" spans="2:13" ht="15.75" x14ac:dyDescent="0.25">
      <c r="B1800" s="692"/>
      <c r="C1800" s="117" t="str">
        <f>IF(ISNUMBER(B1800),IFERROR(VLOOKUP(B1800,'נתוני רישום ומצבת'!B:J,3,0),""),"")</f>
        <v/>
      </c>
      <c r="D1800" s="693"/>
      <c r="E1800" s="697"/>
      <c r="F1800" s="695"/>
      <c r="G1800" s="696"/>
      <c r="K1800" s="22" t="str">
        <f t="shared" si="55"/>
        <v/>
      </c>
      <c r="M1800" s="534" t="str">
        <f t="shared" si="54"/>
        <v/>
      </c>
    </row>
    <row r="1801" spans="2:13" ht="15.75" x14ac:dyDescent="0.25">
      <c r="B1801" s="692"/>
      <c r="C1801" s="117" t="str">
        <f>IF(ISNUMBER(B1801),IFERROR(VLOOKUP(B1801,'נתוני רישום ומצבת'!B:J,3,0),""),"")</f>
        <v/>
      </c>
      <c r="D1801" s="693"/>
      <c r="E1801" s="697"/>
      <c r="F1801" s="695"/>
      <c r="G1801" s="696"/>
      <c r="K1801" s="22" t="str">
        <f t="shared" si="55"/>
        <v/>
      </c>
      <c r="M1801" s="534" t="str">
        <f t="shared" si="54"/>
        <v/>
      </c>
    </row>
    <row r="1802" spans="2:13" ht="15.75" x14ac:dyDescent="0.25">
      <c r="B1802" s="692"/>
      <c r="C1802" s="117" t="str">
        <f>IF(ISNUMBER(B1802),IFERROR(VLOOKUP(B1802,'נתוני רישום ומצבת'!B:J,3,0),""),"")</f>
        <v/>
      </c>
      <c r="D1802" s="693"/>
      <c r="E1802" s="697"/>
      <c r="F1802" s="695"/>
      <c r="G1802" s="696"/>
      <c r="K1802" s="22" t="str">
        <f t="shared" si="55"/>
        <v/>
      </c>
      <c r="M1802" s="534" t="str">
        <f t="shared" si="54"/>
        <v/>
      </c>
    </row>
    <row r="1803" spans="2:13" ht="15.75" x14ac:dyDescent="0.25">
      <c r="B1803" s="692"/>
      <c r="C1803" s="117" t="str">
        <f>IF(ISNUMBER(B1803),IFERROR(VLOOKUP(B1803,'נתוני רישום ומצבת'!B:J,3,0),""),"")</f>
        <v/>
      </c>
      <c r="D1803" s="693"/>
      <c r="E1803" s="697"/>
      <c r="F1803" s="695"/>
      <c r="G1803" s="696"/>
      <c r="K1803" s="22" t="str">
        <f t="shared" si="55"/>
        <v/>
      </c>
      <c r="M1803" s="534" t="str">
        <f t="shared" si="54"/>
        <v/>
      </c>
    </row>
    <row r="1804" spans="2:13" ht="15.75" x14ac:dyDescent="0.25">
      <c r="B1804" s="692"/>
      <c r="C1804" s="117" t="str">
        <f>IF(ISNUMBER(B1804),IFERROR(VLOOKUP(B1804,'נתוני רישום ומצבת'!B:J,3,0),""),"")</f>
        <v/>
      </c>
      <c r="D1804" s="693"/>
      <c r="E1804" s="697"/>
      <c r="F1804" s="695"/>
      <c r="G1804" s="696"/>
      <c r="K1804" s="22" t="str">
        <f t="shared" si="55"/>
        <v/>
      </c>
      <c r="M1804" s="534" t="str">
        <f t="shared" si="54"/>
        <v/>
      </c>
    </row>
    <row r="1805" spans="2:13" ht="15.75" x14ac:dyDescent="0.25">
      <c r="B1805" s="692"/>
      <c r="C1805" s="117" t="str">
        <f>IF(ISNUMBER(B1805),IFERROR(VLOOKUP(B1805,'נתוני רישום ומצבת'!B:J,3,0),""),"")</f>
        <v/>
      </c>
      <c r="D1805" s="693"/>
      <c r="E1805" s="697"/>
      <c r="F1805" s="695"/>
      <c r="G1805" s="696"/>
      <c r="K1805" s="22" t="str">
        <f t="shared" si="55"/>
        <v/>
      </c>
      <c r="M1805" s="534" t="str">
        <f t="shared" si="54"/>
        <v/>
      </c>
    </row>
    <row r="1806" spans="2:13" ht="15.75" x14ac:dyDescent="0.25">
      <c r="B1806" s="692"/>
      <c r="C1806" s="117" t="str">
        <f>IF(ISNUMBER(B1806),IFERROR(VLOOKUP(B1806,'נתוני רישום ומצבת'!B:J,3,0),""),"")</f>
        <v/>
      </c>
      <c r="D1806" s="693"/>
      <c r="E1806" s="697"/>
      <c r="F1806" s="695"/>
      <c r="G1806" s="696"/>
      <c r="K1806" s="22" t="str">
        <f t="shared" si="55"/>
        <v/>
      </c>
      <c r="M1806" s="534" t="str">
        <f t="shared" si="54"/>
        <v/>
      </c>
    </row>
    <row r="1807" spans="2:13" ht="15.75" x14ac:dyDescent="0.25">
      <c r="B1807" s="692"/>
      <c r="C1807" s="117" t="str">
        <f>IF(ISNUMBER(B1807),IFERROR(VLOOKUP(B1807,'נתוני רישום ומצבת'!B:J,3,0),""),"")</f>
        <v/>
      </c>
      <c r="D1807" s="693"/>
      <c r="E1807" s="697"/>
      <c r="F1807" s="695"/>
      <c r="G1807" s="696"/>
      <c r="K1807" s="22" t="str">
        <f t="shared" si="55"/>
        <v/>
      </c>
      <c r="M1807" s="534" t="str">
        <f t="shared" si="54"/>
        <v/>
      </c>
    </row>
    <row r="1808" spans="2:13" ht="15.75" x14ac:dyDescent="0.25">
      <c r="B1808" s="692"/>
      <c r="C1808" s="117" t="str">
        <f>IF(ISNUMBER(B1808),IFERROR(VLOOKUP(B1808,'נתוני רישום ומצבת'!B:J,3,0),""),"")</f>
        <v/>
      </c>
      <c r="D1808" s="693"/>
      <c r="E1808" s="697"/>
      <c r="F1808" s="695"/>
      <c r="G1808" s="696"/>
      <c r="K1808" s="22" t="str">
        <f t="shared" si="55"/>
        <v/>
      </c>
      <c r="M1808" s="534" t="str">
        <f t="shared" si="54"/>
        <v/>
      </c>
    </row>
    <row r="1809" spans="2:13" ht="15.75" x14ac:dyDescent="0.25">
      <c r="B1809" s="692"/>
      <c r="C1809" s="117" t="str">
        <f>IF(ISNUMBER(B1809),IFERROR(VLOOKUP(B1809,'נתוני רישום ומצבת'!B:J,3,0),""),"")</f>
        <v/>
      </c>
      <c r="D1809" s="693"/>
      <c r="E1809" s="697"/>
      <c r="F1809" s="695"/>
      <c r="G1809" s="696"/>
      <c r="K1809" s="22" t="str">
        <f t="shared" si="55"/>
        <v/>
      </c>
      <c r="M1809" s="534" t="str">
        <f t="shared" ref="M1809:M1872" si="56">TEXT(LEFT(D1809,2),0)</f>
        <v/>
      </c>
    </row>
    <row r="1810" spans="2:13" ht="15.75" x14ac:dyDescent="0.25">
      <c r="B1810" s="692"/>
      <c r="C1810" s="117" t="str">
        <f>IF(ISNUMBER(B1810),IFERROR(VLOOKUP(B1810,'נתוני רישום ומצבת'!B:J,3,0),""),"")</f>
        <v/>
      </c>
      <c r="D1810" s="693"/>
      <c r="E1810" s="697"/>
      <c r="F1810" s="695"/>
      <c r="G1810" s="696"/>
      <c r="K1810" s="22" t="str">
        <f t="shared" si="55"/>
        <v/>
      </c>
      <c r="M1810" s="534" t="str">
        <f t="shared" si="56"/>
        <v/>
      </c>
    </row>
    <row r="1811" spans="2:13" ht="15.75" x14ac:dyDescent="0.25">
      <c r="B1811" s="692"/>
      <c r="C1811" s="117" t="str">
        <f>IF(ISNUMBER(B1811),IFERROR(VLOOKUP(B1811,'נתוני רישום ומצבת'!B:J,3,0),""),"")</f>
        <v/>
      </c>
      <c r="D1811" s="693"/>
      <c r="E1811" s="697"/>
      <c r="F1811" s="695"/>
      <c r="G1811" s="696"/>
      <c r="K1811" s="22" t="str">
        <f t="shared" si="55"/>
        <v/>
      </c>
      <c r="M1811" s="534" t="str">
        <f t="shared" si="56"/>
        <v/>
      </c>
    </row>
    <row r="1812" spans="2:13" ht="15.75" x14ac:dyDescent="0.25">
      <c r="B1812" s="692"/>
      <c r="C1812" s="117" t="str">
        <f>IF(ISNUMBER(B1812),IFERROR(VLOOKUP(B1812,'נתוני רישום ומצבת'!B:J,3,0),""),"")</f>
        <v/>
      </c>
      <c r="D1812" s="693"/>
      <c r="E1812" s="697"/>
      <c r="F1812" s="695"/>
      <c r="G1812" s="696"/>
      <c r="K1812" s="22" t="str">
        <f t="shared" si="55"/>
        <v/>
      </c>
      <c r="M1812" s="534" t="str">
        <f t="shared" si="56"/>
        <v/>
      </c>
    </row>
    <row r="1813" spans="2:13" ht="15.75" x14ac:dyDescent="0.25">
      <c r="B1813" s="692"/>
      <c r="C1813" s="117" t="str">
        <f>IF(ISNUMBER(B1813),IFERROR(VLOOKUP(B1813,'נתוני רישום ומצבת'!B:J,3,0),""),"")</f>
        <v/>
      </c>
      <c r="D1813" s="693"/>
      <c r="E1813" s="697"/>
      <c r="F1813" s="695"/>
      <c r="G1813" s="696"/>
      <c r="K1813" s="22" t="str">
        <f t="shared" ref="K1813:K1876" si="57">IF(C1800&lt;5,IF(D1813=$F$8,-E1813," "),"")</f>
        <v/>
      </c>
      <c r="M1813" s="534" t="str">
        <f t="shared" si="56"/>
        <v/>
      </c>
    </row>
    <row r="1814" spans="2:13" ht="15.75" x14ac:dyDescent="0.25">
      <c r="B1814" s="692"/>
      <c r="C1814" s="117" t="str">
        <f>IF(ISNUMBER(B1814),IFERROR(VLOOKUP(B1814,'נתוני רישום ומצבת'!B:J,3,0),""),"")</f>
        <v/>
      </c>
      <c r="D1814" s="693"/>
      <c r="E1814" s="697"/>
      <c r="F1814" s="695"/>
      <c r="G1814" s="696"/>
      <c r="K1814" s="22" t="str">
        <f t="shared" si="57"/>
        <v/>
      </c>
      <c r="M1814" s="534" t="str">
        <f t="shared" si="56"/>
        <v/>
      </c>
    </row>
    <row r="1815" spans="2:13" ht="15.75" x14ac:dyDescent="0.25">
      <c r="B1815" s="692"/>
      <c r="C1815" s="117" t="str">
        <f>IF(ISNUMBER(B1815),IFERROR(VLOOKUP(B1815,'נתוני רישום ומצבת'!B:J,3,0),""),"")</f>
        <v/>
      </c>
      <c r="D1815" s="693"/>
      <c r="E1815" s="697"/>
      <c r="F1815" s="695"/>
      <c r="G1815" s="696"/>
      <c r="K1815" s="22" t="str">
        <f t="shared" si="57"/>
        <v/>
      </c>
      <c r="M1815" s="534" t="str">
        <f t="shared" si="56"/>
        <v/>
      </c>
    </row>
    <row r="1816" spans="2:13" ht="15.75" x14ac:dyDescent="0.25">
      <c r="B1816" s="692"/>
      <c r="C1816" s="117" t="str">
        <f>IF(ISNUMBER(B1816),IFERROR(VLOOKUP(B1816,'נתוני רישום ומצבת'!B:J,3,0),""),"")</f>
        <v/>
      </c>
      <c r="D1816" s="693"/>
      <c r="E1816" s="697"/>
      <c r="F1816" s="695"/>
      <c r="G1816" s="696"/>
      <c r="K1816" s="22" t="str">
        <f t="shared" si="57"/>
        <v/>
      </c>
      <c r="M1816" s="534" t="str">
        <f t="shared" si="56"/>
        <v/>
      </c>
    </row>
    <row r="1817" spans="2:13" ht="15.75" x14ac:dyDescent="0.25">
      <c r="B1817" s="692"/>
      <c r="C1817" s="117" t="str">
        <f>IF(ISNUMBER(B1817),IFERROR(VLOOKUP(B1817,'נתוני רישום ומצבת'!B:J,3,0),""),"")</f>
        <v/>
      </c>
      <c r="D1817" s="693"/>
      <c r="E1817" s="697"/>
      <c r="F1817" s="695"/>
      <c r="G1817" s="696"/>
      <c r="K1817" s="22" t="str">
        <f t="shared" si="57"/>
        <v/>
      </c>
      <c r="M1817" s="534" t="str">
        <f t="shared" si="56"/>
        <v/>
      </c>
    </row>
    <row r="1818" spans="2:13" ht="15.75" x14ac:dyDescent="0.25">
      <c r="B1818" s="692"/>
      <c r="C1818" s="117" t="str">
        <f>IF(ISNUMBER(B1818),IFERROR(VLOOKUP(B1818,'נתוני רישום ומצבת'!B:J,3,0),""),"")</f>
        <v/>
      </c>
      <c r="D1818" s="693"/>
      <c r="E1818" s="697"/>
      <c r="F1818" s="695"/>
      <c r="G1818" s="696"/>
      <c r="K1818" s="22" t="str">
        <f t="shared" si="57"/>
        <v/>
      </c>
      <c r="M1818" s="534" t="str">
        <f t="shared" si="56"/>
        <v/>
      </c>
    </row>
    <row r="1819" spans="2:13" ht="15.75" x14ac:dyDescent="0.25">
      <c r="B1819" s="692"/>
      <c r="C1819" s="117" t="str">
        <f>IF(ISNUMBER(B1819),IFERROR(VLOOKUP(B1819,'נתוני רישום ומצבת'!B:J,3,0),""),"")</f>
        <v/>
      </c>
      <c r="D1819" s="693"/>
      <c r="E1819" s="697"/>
      <c r="F1819" s="695"/>
      <c r="G1819" s="696"/>
      <c r="K1819" s="22" t="str">
        <f t="shared" si="57"/>
        <v/>
      </c>
      <c r="M1819" s="534" t="str">
        <f t="shared" si="56"/>
        <v/>
      </c>
    </row>
    <row r="1820" spans="2:13" ht="15.75" x14ac:dyDescent="0.25">
      <c r="B1820" s="692"/>
      <c r="C1820" s="117" t="str">
        <f>IF(ISNUMBER(B1820),IFERROR(VLOOKUP(B1820,'נתוני רישום ומצבת'!B:J,3,0),""),"")</f>
        <v/>
      </c>
      <c r="D1820" s="693"/>
      <c r="E1820" s="697"/>
      <c r="F1820" s="695"/>
      <c r="G1820" s="696"/>
      <c r="K1820" s="22" t="str">
        <f t="shared" si="57"/>
        <v/>
      </c>
      <c r="M1820" s="534" t="str">
        <f t="shared" si="56"/>
        <v/>
      </c>
    </row>
    <row r="1821" spans="2:13" ht="15.75" x14ac:dyDescent="0.25">
      <c r="B1821" s="692"/>
      <c r="C1821" s="117" t="str">
        <f>IF(ISNUMBER(B1821),IFERROR(VLOOKUP(B1821,'נתוני רישום ומצבת'!B:J,3,0),""),"")</f>
        <v/>
      </c>
      <c r="D1821" s="693"/>
      <c r="E1821" s="697"/>
      <c r="F1821" s="695"/>
      <c r="G1821" s="696"/>
      <c r="K1821" s="22" t="str">
        <f t="shared" si="57"/>
        <v/>
      </c>
      <c r="M1821" s="534" t="str">
        <f t="shared" si="56"/>
        <v/>
      </c>
    </row>
    <row r="1822" spans="2:13" ht="15.75" x14ac:dyDescent="0.25">
      <c r="B1822" s="692"/>
      <c r="C1822" s="117" t="str">
        <f>IF(ISNUMBER(B1822),IFERROR(VLOOKUP(B1822,'נתוני רישום ומצבת'!B:J,3,0),""),"")</f>
        <v/>
      </c>
      <c r="D1822" s="693"/>
      <c r="E1822" s="697"/>
      <c r="F1822" s="695"/>
      <c r="G1822" s="696"/>
      <c r="K1822" s="22" t="str">
        <f t="shared" si="57"/>
        <v/>
      </c>
      <c r="M1822" s="534" t="str">
        <f t="shared" si="56"/>
        <v/>
      </c>
    </row>
    <row r="1823" spans="2:13" ht="15.75" x14ac:dyDescent="0.25">
      <c r="B1823" s="692"/>
      <c r="C1823" s="117" t="str">
        <f>IF(ISNUMBER(B1823),IFERROR(VLOOKUP(B1823,'נתוני רישום ומצבת'!B:J,3,0),""),"")</f>
        <v/>
      </c>
      <c r="D1823" s="693"/>
      <c r="E1823" s="697"/>
      <c r="F1823" s="695"/>
      <c r="G1823" s="696"/>
      <c r="K1823" s="22" t="str">
        <f t="shared" si="57"/>
        <v/>
      </c>
      <c r="M1823" s="534" t="str">
        <f t="shared" si="56"/>
        <v/>
      </c>
    </row>
    <row r="1824" spans="2:13" ht="15.75" x14ac:dyDescent="0.25">
      <c r="B1824" s="692"/>
      <c r="C1824" s="117" t="str">
        <f>IF(ISNUMBER(B1824),IFERROR(VLOOKUP(B1824,'נתוני רישום ומצבת'!B:J,3,0),""),"")</f>
        <v/>
      </c>
      <c r="D1824" s="693"/>
      <c r="E1824" s="697"/>
      <c r="F1824" s="695"/>
      <c r="G1824" s="696"/>
      <c r="K1824" s="22" t="str">
        <f t="shared" si="57"/>
        <v/>
      </c>
      <c r="M1824" s="534" t="str">
        <f t="shared" si="56"/>
        <v/>
      </c>
    </row>
    <row r="1825" spans="2:13" ht="15.75" x14ac:dyDescent="0.25">
      <c r="B1825" s="692"/>
      <c r="C1825" s="117" t="str">
        <f>IF(ISNUMBER(B1825),IFERROR(VLOOKUP(B1825,'נתוני רישום ומצבת'!B:J,3,0),""),"")</f>
        <v/>
      </c>
      <c r="D1825" s="693"/>
      <c r="E1825" s="697"/>
      <c r="F1825" s="695"/>
      <c r="G1825" s="696"/>
      <c r="K1825" s="22" t="str">
        <f t="shared" si="57"/>
        <v/>
      </c>
      <c r="M1825" s="534" t="str">
        <f t="shared" si="56"/>
        <v/>
      </c>
    </row>
    <row r="1826" spans="2:13" ht="15.75" x14ac:dyDescent="0.25">
      <c r="B1826" s="692"/>
      <c r="C1826" s="117" t="str">
        <f>IF(ISNUMBER(B1826),IFERROR(VLOOKUP(B1826,'נתוני רישום ומצבת'!B:J,3,0),""),"")</f>
        <v/>
      </c>
      <c r="D1826" s="693"/>
      <c r="E1826" s="697"/>
      <c r="F1826" s="695"/>
      <c r="G1826" s="696"/>
      <c r="K1826" s="22" t="str">
        <f t="shared" si="57"/>
        <v/>
      </c>
      <c r="M1826" s="534" t="str">
        <f t="shared" si="56"/>
        <v/>
      </c>
    </row>
    <row r="1827" spans="2:13" ht="15.75" x14ac:dyDescent="0.25">
      <c r="B1827" s="692"/>
      <c r="C1827" s="117" t="str">
        <f>IF(ISNUMBER(B1827),IFERROR(VLOOKUP(B1827,'נתוני רישום ומצבת'!B:J,3,0),""),"")</f>
        <v/>
      </c>
      <c r="D1827" s="693"/>
      <c r="E1827" s="697"/>
      <c r="F1827" s="695"/>
      <c r="G1827" s="696"/>
      <c r="K1827" s="22" t="str">
        <f t="shared" si="57"/>
        <v/>
      </c>
      <c r="M1827" s="534" t="str">
        <f t="shared" si="56"/>
        <v/>
      </c>
    </row>
    <row r="1828" spans="2:13" ht="15.75" x14ac:dyDescent="0.25">
      <c r="B1828" s="692"/>
      <c r="C1828" s="117" t="str">
        <f>IF(ISNUMBER(B1828),IFERROR(VLOOKUP(B1828,'נתוני רישום ומצבת'!B:J,3,0),""),"")</f>
        <v/>
      </c>
      <c r="D1828" s="693"/>
      <c r="E1828" s="697"/>
      <c r="F1828" s="695"/>
      <c r="G1828" s="696"/>
      <c r="K1828" s="22" t="str">
        <f t="shared" si="57"/>
        <v/>
      </c>
      <c r="M1828" s="534" t="str">
        <f t="shared" si="56"/>
        <v/>
      </c>
    </row>
    <row r="1829" spans="2:13" ht="15.75" x14ac:dyDescent="0.25">
      <c r="B1829" s="692"/>
      <c r="C1829" s="117" t="str">
        <f>IF(ISNUMBER(B1829),IFERROR(VLOOKUP(B1829,'נתוני רישום ומצבת'!B:J,3,0),""),"")</f>
        <v/>
      </c>
      <c r="D1829" s="693"/>
      <c r="E1829" s="697"/>
      <c r="F1829" s="695"/>
      <c r="G1829" s="696"/>
      <c r="K1829" s="22" t="str">
        <f t="shared" si="57"/>
        <v/>
      </c>
      <c r="M1829" s="534" t="str">
        <f t="shared" si="56"/>
        <v/>
      </c>
    </row>
    <row r="1830" spans="2:13" ht="15.75" x14ac:dyDescent="0.25">
      <c r="B1830" s="692"/>
      <c r="C1830" s="117" t="str">
        <f>IF(ISNUMBER(B1830),IFERROR(VLOOKUP(B1830,'נתוני רישום ומצבת'!B:J,3,0),""),"")</f>
        <v/>
      </c>
      <c r="D1830" s="693"/>
      <c r="E1830" s="697"/>
      <c r="F1830" s="695"/>
      <c r="G1830" s="696"/>
      <c r="K1830" s="22" t="str">
        <f t="shared" si="57"/>
        <v/>
      </c>
      <c r="M1830" s="534" t="str">
        <f t="shared" si="56"/>
        <v/>
      </c>
    </row>
    <row r="1831" spans="2:13" ht="15.75" x14ac:dyDescent="0.25">
      <c r="B1831" s="692"/>
      <c r="C1831" s="117" t="str">
        <f>IF(ISNUMBER(B1831),IFERROR(VLOOKUP(B1831,'נתוני רישום ומצבת'!B:J,3,0),""),"")</f>
        <v/>
      </c>
      <c r="D1831" s="693"/>
      <c r="E1831" s="697"/>
      <c r="F1831" s="695"/>
      <c r="G1831" s="696"/>
      <c r="K1831" s="22" t="str">
        <f t="shared" si="57"/>
        <v/>
      </c>
      <c r="M1831" s="534" t="str">
        <f t="shared" si="56"/>
        <v/>
      </c>
    </row>
    <row r="1832" spans="2:13" ht="15.75" x14ac:dyDescent="0.25">
      <c r="B1832" s="692"/>
      <c r="C1832" s="117" t="str">
        <f>IF(ISNUMBER(B1832),IFERROR(VLOOKUP(B1832,'נתוני רישום ומצבת'!B:J,3,0),""),"")</f>
        <v/>
      </c>
      <c r="D1832" s="693"/>
      <c r="E1832" s="697"/>
      <c r="F1832" s="695"/>
      <c r="G1832" s="696"/>
      <c r="K1832" s="22" t="str">
        <f t="shared" si="57"/>
        <v/>
      </c>
      <c r="M1832" s="534" t="str">
        <f t="shared" si="56"/>
        <v/>
      </c>
    </row>
    <row r="1833" spans="2:13" ht="15.75" x14ac:dyDescent="0.25">
      <c r="B1833" s="692"/>
      <c r="C1833" s="117" t="str">
        <f>IF(ISNUMBER(B1833),IFERROR(VLOOKUP(B1833,'נתוני רישום ומצבת'!B:J,3,0),""),"")</f>
        <v/>
      </c>
      <c r="D1833" s="693"/>
      <c r="E1833" s="697"/>
      <c r="F1833" s="695"/>
      <c r="G1833" s="696"/>
      <c r="K1833" s="22" t="str">
        <f t="shared" si="57"/>
        <v/>
      </c>
      <c r="M1833" s="534" t="str">
        <f t="shared" si="56"/>
        <v/>
      </c>
    </row>
    <row r="1834" spans="2:13" ht="15.75" x14ac:dyDescent="0.25">
      <c r="B1834" s="692"/>
      <c r="C1834" s="117" t="str">
        <f>IF(ISNUMBER(B1834),IFERROR(VLOOKUP(B1834,'נתוני רישום ומצבת'!B:J,3,0),""),"")</f>
        <v/>
      </c>
      <c r="D1834" s="693"/>
      <c r="E1834" s="697"/>
      <c r="F1834" s="695"/>
      <c r="G1834" s="696"/>
      <c r="K1834" s="22" t="str">
        <f t="shared" si="57"/>
        <v/>
      </c>
      <c r="M1834" s="534" t="str">
        <f t="shared" si="56"/>
        <v/>
      </c>
    </row>
    <row r="1835" spans="2:13" ht="15.75" x14ac:dyDescent="0.25">
      <c r="B1835" s="692"/>
      <c r="C1835" s="117" t="str">
        <f>IF(ISNUMBER(B1835),IFERROR(VLOOKUP(B1835,'נתוני רישום ומצבת'!B:J,3,0),""),"")</f>
        <v/>
      </c>
      <c r="D1835" s="693"/>
      <c r="E1835" s="697"/>
      <c r="F1835" s="695"/>
      <c r="G1835" s="696"/>
      <c r="K1835" s="22" t="str">
        <f t="shared" si="57"/>
        <v/>
      </c>
      <c r="M1835" s="534" t="str">
        <f t="shared" si="56"/>
        <v/>
      </c>
    </row>
    <row r="1836" spans="2:13" ht="15.75" x14ac:dyDescent="0.25">
      <c r="B1836" s="692"/>
      <c r="C1836" s="117" t="str">
        <f>IF(ISNUMBER(B1836),IFERROR(VLOOKUP(B1836,'נתוני רישום ומצבת'!B:J,3,0),""),"")</f>
        <v/>
      </c>
      <c r="D1836" s="693"/>
      <c r="E1836" s="697"/>
      <c r="F1836" s="695"/>
      <c r="G1836" s="696"/>
      <c r="K1836" s="22" t="str">
        <f t="shared" si="57"/>
        <v/>
      </c>
      <c r="M1836" s="534" t="str">
        <f t="shared" si="56"/>
        <v/>
      </c>
    </row>
    <row r="1837" spans="2:13" ht="15.75" x14ac:dyDescent="0.25">
      <c r="B1837" s="692"/>
      <c r="C1837" s="117" t="str">
        <f>IF(ISNUMBER(B1837),IFERROR(VLOOKUP(B1837,'נתוני רישום ומצבת'!B:J,3,0),""),"")</f>
        <v/>
      </c>
      <c r="D1837" s="693"/>
      <c r="E1837" s="697"/>
      <c r="F1837" s="695"/>
      <c r="G1837" s="696"/>
      <c r="K1837" s="22" t="str">
        <f t="shared" si="57"/>
        <v/>
      </c>
      <c r="M1837" s="534" t="str">
        <f t="shared" si="56"/>
        <v/>
      </c>
    </row>
    <row r="1838" spans="2:13" ht="15.75" x14ac:dyDescent="0.25">
      <c r="B1838" s="692"/>
      <c r="C1838" s="117" t="str">
        <f>IF(ISNUMBER(B1838),IFERROR(VLOOKUP(B1838,'נתוני רישום ומצבת'!B:J,3,0),""),"")</f>
        <v/>
      </c>
      <c r="D1838" s="693"/>
      <c r="E1838" s="697"/>
      <c r="F1838" s="695"/>
      <c r="G1838" s="696"/>
      <c r="K1838" s="22" t="str">
        <f t="shared" si="57"/>
        <v/>
      </c>
      <c r="M1838" s="534" t="str">
        <f t="shared" si="56"/>
        <v/>
      </c>
    </row>
    <row r="1839" spans="2:13" ht="15.75" x14ac:dyDescent="0.25">
      <c r="B1839" s="692"/>
      <c r="C1839" s="117" t="str">
        <f>IF(ISNUMBER(B1839),IFERROR(VLOOKUP(B1839,'נתוני רישום ומצבת'!B:J,3,0),""),"")</f>
        <v/>
      </c>
      <c r="D1839" s="693"/>
      <c r="E1839" s="697"/>
      <c r="F1839" s="695"/>
      <c r="G1839" s="696"/>
      <c r="K1839" s="22" t="str">
        <f t="shared" si="57"/>
        <v/>
      </c>
      <c r="M1839" s="534" t="str">
        <f t="shared" si="56"/>
        <v/>
      </c>
    </row>
    <row r="1840" spans="2:13" ht="15.75" x14ac:dyDescent="0.25">
      <c r="B1840" s="692"/>
      <c r="C1840" s="117" t="str">
        <f>IF(ISNUMBER(B1840),IFERROR(VLOOKUP(B1840,'נתוני רישום ומצבת'!B:J,3,0),""),"")</f>
        <v/>
      </c>
      <c r="D1840" s="693"/>
      <c r="E1840" s="697"/>
      <c r="F1840" s="695"/>
      <c r="G1840" s="696"/>
      <c r="K1840" s="22" t="str">
        <f t="shared" si="57"/>
        <v/>
      </c>
      <c r="M1840" s="534" t="str">
        <f t="shared" si="56"/>
        <v/>
      </c>
    </row>
    <row r="1841" spans="2:13" ht="15.75" x14ac:dyDescent="0.25">
      <c r="B1841" s="692"/>
      <c r="C1841" s="117" t="str">
        <f>IF(ISNUMBER(B1841),IFERROR(VLOOKUP(B1841,'נתוני רישום ומצבת'!B:J,3,0),""),"")</f>
        <v/>
      </c>
      <c r="D1841" s="693"/>
      <c r="E1841" s="697"/>
      <c r="F1841" s="695"/>
      <c r="G1841" s="696"/>
      <c r="K1841" s="22" t="str">
        <f t="shared" si="57"/>
        <v/>
      </c>
      <c r="M1841" s="534" t="str">
        <f t="shared" si="56"/>
        <v/>
      </c>
    </row>
    <row r="1842" spans="2:13" ht="15.75" x14ac:dyDescent="0.25">
      <c r="B1842" s="692"/>
      <c r="C1842" s="117" t="str">
        <f>IF(ISNUMBER(B1842),IFERROR(VLOOKUP(B1842,'נתוני רישום ומצבת'!B:J,3,0),""),"")</f>
        <v/>
      </c>
      <c r="D1842" s="693"/>
      <c r="E1842" s="697"/>
      <c r="F1842" s="695"/>
      <c r="G1842" s="696"/>
      <c r="K1842" s="22" t="str">
        <f t="shared" si="57"/>
        <v/>
      </c>
      <c r="M1842" s="534" t="str">
        <f t="shared" si="56"/>
        <v/>
      </c>
    </row>
    <row r="1843" spans="2:13" ht="15.75" x14ac:dyDescent="0.25">
      <c r="B1843" s="692"/>
      <c r="C1843" s="117" t="str">
        <f>IF(ISNUMBER(B1843),IFERROR(VLOOKUP(B1843,'נתוני רישום ומצבת'!B:J,3,0),""),"")</f>
        <v/>
      </c>
      <c r="D1843" s="693"/>
      <c r="E1843" s="697"/>
      <c r="F1843" s="695"/>
      <c r="G1843" s="696"/>
      <c r="K1843" s="22" t="str">
        <f t="shared" si="57"/>
        <v/>
      </c>
      <c r="M1843" s="534" t="str">
        <f t="shared" si="56"/>
        <v/>
      </c>
    </row>
    <row r="1844" spans="2:13" ht="15.75" x14ac:dyDescent="0.25">
      <c r="B1844" s="692"/>
      <c r="C1844" s="117" t="str">
        <f>IF(ISNUMBER(B1844),IFERROR(VLOOKUP(B1844,'נתוני רישום ומצבת'!B:J,3,0),""),"")</f>
        <v/>
      </c>
      <c r="D1844" s="693"/>
      <c r="E1844" s="697"/>
      <c r="F1844" s="695"/>
      <c r="G1844" s="696"/>
      <c r="K1844" s="22" t="str">
        <f t="shared" si="57"/>
        <v/>
      </c>
      <c r="M1844" s="534" t="str">
        <f t="shared" si="56"/>
        <v/>
      </c>
    </row>
    <row r="1845" spans="2:13" ht="15.75" x14ac:dyDescent="0.25">
      <c r="B1845" s="692"/>
      <c r="C1845" s="117" t="str">
        <f>IF(ISNUMBER(B1845),IFERROR(VLOOKUP(B1845,'נתוני רישום ומצבת'!B:J,3,0),""),"")</f>
        <v/>
      </c>
      <c r="D1845" s="693"/>
      <c r="E1845" s="697"/>
      <c r="F1845" s="695"/>
      <c r="G1845" s="696"/>
      <c r="K1845" s="22" t="str">
        <f t="shared" si="57"/>
        <v/>
      </c>
      <c r="M1845" s="534" t="str">
        <f t="shared" si="56"/>
        <v/>
      </c>
    </row>
    <row r="1846" spans="2:13" ht="15.75" x14ac:dyDescent="0.25">
      <c r="B1846" s="692"/>
      <c r="C1846" s="117" t="str">
        <f>IF(ISNUMBER(B1846),IFERROR(VLOOKUP(B1846,'נתוני רישום ומצבת'!B:J,3,0),""),"")</f>
        <v/>
      </c>
      <c r="D1846" s="693"/>
      <c r="E1846" s="697"/>
      <c r="F1846" s="695"/>
      <c r="G1846" s="696"/>
      <c r="K1846" s="22" t="str">
        <f t="shared" si="57"/>
        <v/>
      </c>
      <c r="M1846" s="534" t="str">
        <f t="shared" si="56"/>
        <v/>
      </c>
    </row>
    <row r="1847" spans="2:13" ht="15.75" x14ac:dyDescent="0.25">
      <c r="B1847" s="692"/>
      <c r="C1847" s="117" t="str">
        <f>IF(ISNUMBER(B1847),IFERROR(VLOOKUP(B1847,'נתוני רישום ומצבת'!B:J,3,0),""),"")</f>
        <v/>
      </c>
      <c r="D1847" s="693"/>
      <c r="E1847" s="697"/>
      <c r="F1847" s="695"/>
      <c r="G1847" s="696"/>
      <c r="K1847" s="22" t="str">
        <f t="shared" si="57"/>
        <v/>
      </c>
      <c r="M1847" s="534" t="str">
        <f t="shared" si="56"/>
        <v/>
      </c>
    </row>
    <row r="1848" spans="2:13" ht="15.75" x14ac:dyDescent="0.25">
      <c r="B1848" s="692"/>
      <c r="C1848" s="117" t="str">
        <f>IF(ISNUMBER(B1848),IFERROR(VLOOKUP(B1848,'נתוני רישום ומצבת'!B:J,3,0),""),"")</f>
        <v/>
      </c>
      <c r="D1848" s="693"/>
      <c r="E1848" s="697"/>
      <c r="F1848" s="695"/>
      <c r="G1848" s="696"/>
      <c r="K1848" s="22" t="str">
        <f t="shared" si="57"/>
        <v/>
      </c>
      <c r="M1848" s="534" t="str">
        <f t="shared" si="56"/>
        <v/>
      </c>
    </row>
    <row r="1849" spans="2:13" ht="15.75" x14ac:dyDescent="0.25">
      <c r="B1849" s="692"/>
      <c r="C1849" s="117" t="str">
        <f>IF(ISNUMBER(B1849),IFERROR(VLOOKUP(B1849,'נתוני רישום ומצבת'!B:J,3,0),""),"")</f>
        <v/>
      </c>
      <c r="D1849" s="693"/>
      <c r="E1849" s="697"/>
      <c r="F1849" s="695"/>
      <c r="G1849" s="696"/>
      <c r="K1849" s="22" t="str">
        <f t="shared" si="57"/>
        <v/>
      </c>
      <c r="M1849" s="534" t="str">
        <f t="shared" si="56"/>
        <v/>
      </c>
    </row>
    <row r="1850" spans="2:13" ht="15.75" x14ac:dyDescent="0.25">
      <c r="B1850" s="692"/>
      <c r="C1850" s="117" t="str">
        <f>IF(ISNUMBER(B1850),IFERROR(VLOOKUP(B1850,'נתוני רישום ומצבת'!B:J,3,0),""),"")</f>
        <v/>
      </c>
      <c r="D1850" s="693"/>
      <c r="E1850" s="697"/>
      <c r="F1850" s="695"/>
      <c r="G1850" s="696"/>
      <c r="K1850" s="22" t="str">
        <f t="shared" si="57"/>
        <v/>
      </c>
      <c r="M1850" s="534" t="str">
        <f t="shared" si="56"/>
        <v/>
      </c>
    </row>
    <row r="1851" spans="2:13" ht="15.75" x14ac:dyDescent="0.25">
      <c r="B1851" s="692"/>
      <c r="C1851" s="117" t="str">
        <f>IF(ISNUMBER(B1851),IFERROR(VLOOKUP(B1851,'נתוני רישום ומצבת'!B:J,3,0),""),"")</f>
        <v/>
      </c>
      <c r="D1851" s="693"/>
      <c r="E1851" s="697"/>
      <c r="F1851" s="695"/>
      <c r="G1851" s="696"/>
      <c r="K1851" s="22" t="str">
        <f t="shared" si="57"/>
        <v/>
      </c>
      <c r="M1851" s="534" t="str">
        <f t="shared" si="56"/>
        <v/>
      </c>
    </row>
    <row r="1852" spans="2:13" ht="15.75" x14ac:dyDescent="0.25">
      <c r="B1852" s="692"/>
      <c r="C1852" s="117" t="str">
        <f>IF(ISNUMBER(B1852),IFERROR(VLOOKUP(B1852,'נתוני רישום ומצבת'!B:J,3,0),""),"")</f>
        <v/>
      </c>
      <c r="D1852" s="693"/>
      <c r="E1852" s="697"/>
      <c r="F1852" s="695"/>
      <c r="G1852" s="696"/>
      <c r="K1852" s="22" t="str">
        <f t="shared" si="57"/>
        <v/>
      </c>
      <c r="M1852" s="534" t="str">
        <f t="shared" si="56"/>
        <v/>
      </c>
    </row>
    <row r="1853" spans="2:13" ht="15.75" x14ac:dyDescent="0.25">
      <c r="B1853" s="692"/>
      <c r="C1853" s="117" t="str">
        <f>IF(ISNUMBER(B1853),IFERROR(VLOOKUP(B1853,'נתוני רישום ומצבת'!B:J,3,0),""),"")</f>
        <v/>
      </c>
      <c r="D1853" s="693"/>
      <c r="E1853" s="697"/>
      <c r="F1853" s="695"/>
      <c r="G1853" s="696"/>
      <c r="K1853" s="22" t="str">
        <f t="shared" si="57"/>
        <v/>
      </c>
      <c r="M1853" s="534" t="str">
        <f t="shared" si="56"/>
        <v/>
      </c>
    </row>
    <row r="1854" spans="2:13" ht="15.75" x14ac:dyDescent="0.25">
      <c r="B1854" s="692"/>
      <c r="C1854" s="117" t="str">
        <f>IF(ISNUMBER(B1854),IFERROR(VLOOKUP(B1854,'נתוני רישום ומצבת'!B:J,3,0),""),"")</f>
        <v/>
      </c>
      <c r="D1854" s="693"/>
      <c r="E1854" s="697"/>
      <c r="F1854" s="695"/>
      <c r="G1854" s="696"/>
      <c r="K1854" s="22" t="str">
        <f t="shared" si="57"/>
        <v/>
      </c>
      <c r="M1854" s="534" t="str">
        <f t="shared" si="56"/>
        <v/>
      </c>
    </row>
    <row r="1855" spans="2:13" ht="15.75" x14ac:dyDescent="0.25">
      <c r="B1855" s="692"/>
      <c r="C1855" s="117" t="str">
        <f>IF(ISNUMBER(B1855),IFERROR(VLOOKUP(B1855,'נתוני רישום ומצבת'!B:J,3,0),""),"")</f>
        <v/>
      </c>
      <c r="D1855" s="693"/>
      <c r="E1855" s="697"/>
      <c r="F1855" s="695"/>
      <c r="G1855" s="696"/>
      <c r="K1855" s="22" t="str">
        <f t="shared" si="57"/>
        <v/>
      </c>
      <c r="M1855" s="534" t="str">
        <f t="shared" si="56"/>
        <v/>
      </c>
    </row>
    <row r="1856" spans="2:13" ht="15.75" x14ac:dyDescent="0.25">
      <c r="B1856" s="692"/>
      <c r="C1856" s="117" t="str">
        <f>IF(ISNUMBER(B1856),IFERROR(VLOOKUP(B1856,'נתוני רישום ומצבת'!B:J,3,0),""),"")</f>
        <v/>
      </c>
      <c r="D1856" s="693"/>
      <c r="E1856" s="697"/>
      <c r="F1856" s="695"/>
      <c r="G1856" s="696"/>
      <c r="K1856" s="22" t="str">
        <f t="shared" si="57"/>
        <v/>
      </c>
      <c r="M1856" s="534" t="str">
        <f t="shared" si="56"/>
        <v/>
      </c>
    </row>
    <row r="1857" spans="2:13" ht="15.75" x14ac:dyDescent="0.25">
      <c r="B1857" s="692"/>
      <c r="C1857" s="117" t="str">
        <f>IF(ISNUMBER(B1857),IFERROR(VLOOKUP(B1857,'נתוני רישום ומצבת'!B:J,3,0),""),"")</f>
        <v/>
      </c>
      <c r="D1857" s="693"/>
      <c r="E1857" s="697"/>
      <c r="F1857" s="695"/>
      <c r="G1857" s="696"/>
      <c r="K1857" s="22" t="str">
        <f t="shared" si="57"/>
        <v/>
      </c>
      <c r="M1857" s="534" t="str">
        <f t="shared" si="56"/>
        <v/>
      </c>
    </row>
    <row r="1858" spans="2:13" ht="15.75" x14ac:dyDescent="0.25">
      <c r="B1858" s="692"/>
      <c r="C1858" s="117" t="str">
        <f>IF(ISNUMBER(B1858),IFERROR(VLOOKUP(B1858,'נתוני רישום ומצבת'!B:J,3,0),""),"")</f>
        <v/>
      </c>
      <c r="D1858" s="693"/>
      <c r="E1858" s="697"/>
      <c r="F1858" s="695"/>
      <c r="G1858" s="696"/>
      <c r="K1858" s="22" t="str">
        <f t="shared" si="57"/>
        <v/>
      </c>
      <c r="M1858" s="534" t="str">
        <f t="shared" si="56"/>
        <v/>
      </c>
    </row>
    <row r="1859" spans="2:13" ht="15.75" x14ac:dyDescent="0.25">
      <c r="B1859" s="692"/>
      <c r="C1859" s="117" t="str">
        <f>IF(ISNUMBER(B1859),IFERROR(VLOOKUP(B1859,'נתוני רישום ומצבת'!B:J,3,0),""),"")</f>
        <v/>
      </c>
      <c r="D1859" s="693"/>
      <c r="E1859" s="697"/>
      <c r="F1859" s="695"/>
      <c r="G1859" s="696"/>
      <c r="K1859" s="22" t="str">
        <f t="shared" si="57"/>
        <v/>
      </c>
      <c r="M1859" s="534" t="str">
        <f t="shared" si="56"/>
        <v/>
      </c>
    </row>
    <row r="1860" spans="2:13" ht="15.75" x14ac:dyDescent="0.25">
      <c r="B1860" s="692"/>
      <c r="C1860" s="117" t="str">
        <f>IF(ISNUMBER(B1860),IFERROR(VLOOKUP(B1860,'נתוני רישום ומצבת'!B:J,3,0),""),"")</f>
        <v/>
      </c>
      <c r="D1860" s="693"/>
      <c r="E1860" s="697"/>
      <c r="F1860" s="695"/>
      <c r="G1860" s="696"/>
      <c r="K1860" s="22" t="str">
        <f t="shared" si="57"/>
        <v/>
      </c>
      <c r="M1860" s="534" t="str">
        <f t="shared" si="56"/>
        <v/>
      </c>
    </row>
    <row r="1861" spans="2:13" ht="15.75" x14ac:dyDescent="0.25">
      <c r="B1861" s="692"/>
      <c r="C1861" s="117" t="str">
        <f>IF(ISNUMBER(B1861),IFERROR(VLOOKUP(B1861,'נתוני רישום ומצבת'!B:J,3,0),""),"")</f>
        <v/>
      </c>
      <c r="D1861" s="693"/>
      <c r="E1861" s="697"/>
      <c r="F1861" s="695"/>
      <c r="G1861" s="696"/>
      <c r="K1861" s="22" t="str">
        <f t="shared" si="57"/>
        <v/>
      </c>
      <c r="M1861" s="534" t="str">
        <f t="shared" si="56"/>
        <v/>
      </c>
    </row>
    <row r="1862" spans="2:13" ht="15.75" x14ac:dyDescent="0.25">
      <c r="B1862" s="692"/>
      <c r="C1862" s="117" t="str">
        <f>IF(ISNUMBER(B1862),IFERROR(VLOOKUP(B1862,'נתוני רישום ומצבת'!B:J,3,0),""),"")</f>
        <v/>
      </c>
      <c r="D1862" s="693"/>
      <c r="E1862" s="697"/>
      <c r="F1862" s="695"/>
      <c r="G1862" s="696"/>
      <c r="K1862" s="22" t="str">
        <f t="shared" si="57"/>
        <v/>
      </c>
      <c r="M1862" s="534" t="str">
        <f t="shared" si="56"/>
        <v/>
      </c>
    </row>
    <row r="1863" spans="2:13" ht="15.75" x14ac:dyDescent="0.25">
      <c r="B1863" s="692"/>
      <c r="C1863" s="117" t="str">
        <f>IF(ISNUMBER(B1863),IFERROR(VLOOKUP(B1863,'נתוני רישום ומצבת'!B:J,3,0),""),"")</f>
        <v/>
      </c>
      <c r="D1863" s="693"/>
      <c r="E1863" s="697"/>
      <c r="F1863" s="695"/>
      <c r="G1863" s="696"/>
      <c r="K1863" s="22" t="str">
        <f t="shared" si="57"/>
        <v/>
      </c>
      <c r="M1863" s="534" t="str">
        <f t="shared" si="56"/>
        <v/>
      </c>
    </row>
    <row r="1864" spans="2:13" ht="15.75" x14ac:dyDescent="0.25">
      <c r="B1864" s="692"/>
      <c r="C1864" s="117" t="str">
        <f>IF(ISNUMBER(B1864),IFERROR(VLOOKUP(B1864,'נתוני רישום ומצבת'!B:J,3,0),""),"")</f>
        <v/>
      </c>
      <c r="D1864" s="693"/>
      <c r="E1864" s="697"/>
      <c r="F1864" s="695"/>
      <c r="G1864" s="696"/>
      <c r="K1864" s="22" t="str">
        <f t="shared" si="57"/>
        <v/>
      </c>
      <c r="M1864" s="534" t="str">
        <f t="shared" si="56"/>
        <v/>
      </c>
    </row>
    <row r="1865" spans="2:13" ht="15.75" x14ac:dyDescent="0.25">
      <c r="B1865" s="692"/>
      <c r="C1865" s="117" t="str">
        <f>IF(ISNUMBER(B1865),IFERROR(VLOOKUP(B1865,'נתוני רישום ומצבת'!B:J,3,0),""),"")</f>
        <v/>
      </c>
      <c r="D1865" s="693"/>
      <c r="E1865" s="697"/>
      <c r="F1865" s="695"/>
      <c r="G1865" s="696"/>
      <c r="K1865" s="22" t="str">
        <f t="shared" si="57"/>
        <v/>
      </c>
      <c r="M1865" s="534" t="str">
        <f t="shared" si="56"/>
        <v/>
      </c>
    </row>
    <row r="1866" spans="2:13" ht="15.75" x14ac:dyDescent="0.25">
      <c r="B1866" s="692"/>
      <c r="C1866" s="117" t="str">
        <f>IF(ISNUMBER(B1866),IFERROR(VLOOKUP(B1866,'נתוני רישום ומצבת'!B:J,3,0),""),"")</f>
        <v/>
      </c>
      <c r="D1866" s="693"/>
      <c r="E1866" s="697"/>
      <c r="F1866" s="695"/>
      <c r="G1866" s="696"/>
      <c r="K1866" s="22" t="str">
        <f t="shared" si="57"/>
        <v/>
      </c>
      <c r="M1866" s="534" t="str">
        <f t="shared" si="56"/>
        <v/>
      </c>
    </row>
    <row r="1867" spans="2:13" ht="15.75" x14ac:dyDescent="0.25">
      <c r="B1867" s="692"/>
      <c r="C1867" s="117" t="str">
        <f>IF(ISNUMBER(B1867),IFERROR(VLOOKUP(B1867,'נתוני רישום ומצבת'!B:J,3,0),""),"")</f>
        <v/>
      </c>
      <c r="D1867" s="693"/>
      <c r="E1867" s="697"/>
      <c r="F1867" s="695"/>
      <c r="G1867" s="696"/>
      <c r="K1867" s="22" t="str">
        <f t="shared" si="57"/>
        <v/>
      </c>
      <c r="M1867" s="534" t="str">
        <f t="shared" si="56"/>
        <v/>
      </c>
    </row>
    <row r="1868" spans="2:13" ht="15.75" x14ac:dyDescent="0.25">
      <c r="B1868" s="692"/>
      <c r="C1868" s="117" t="str">
        <f>IF(ISNUMBER(B1868),IFERROR(VLOOKUP(B1868,'נתוני רישום ומצבת'!B:J,3,0),""),"")</f>
        <v/>
      </c>
      <c r="D1868" s="693"/>
      <c r="E1868" s="697"/>
      <c r="F1868" s="695"/>
      <c r="G1868" s="696"/>
      <c r="K1868" s="22" t="str">
        <f t="shared" si="57"/>
        <v/>
      </c>
      <c r="M1868" s="534" t="str">
        <f t="shared" si="56"/>
        <v/>
      </c>
    </row>
    <row r="1869" spans="2:13" ht="15.75" x14ac:dyDescent="0.25">
      <c r="B1869" s="692"/>
      <c r="C1869" s="117" t="str">
        <f>IF(ISNUMBER(B1869),IFERROR(VLOOKUP(B1869,'נתוני רישום ומצבת'!B:J,3,0),""),"")</f>
        <v/>
      </c>
      <c r="D1869" s="693"/>
      <c r="E1869" s="697"/>
      <c r="F1869" s="695"/>
      <c r="G1869" s="696"/>
      <c r="K1869" s="22" t="str">
        <f t="shared" si="57"/>
        <v/>
      </c>
      <c r="M1869" s="534" t="str">
        <f t="shared" si="56"/>
        <v/>
      </c>
    </row>
    <row r="1870" spans="2:13" ht="15.75" x14ac:dyDescent="0.25">
      <c r="B1870" s="692"/>
      <c r="C1870" s="117" t="str">
        <f>IF(ISNUMBER(B1870),IFERROR(VLOOKUP(B1870,'נתוני רישום ומצבת'!B:J,3,0),""),"")</f>
        <v/>
      </c>
      <c r="D1870" s="693"/>
      <c r="E1870" s="697"/>
      <c r="F1870" s="695"/>
      <c r="G1870" s="696"/>
      <c r="K1870" s="22" t="str">
        <f t="shared" si="57"/>
        <v/>
      </c>
      <c r="M1870" s="534" t="str">
        <f t="shared" si="56"/>
        <v/>
      </c>
    </row>
    <row r="1871" spans="2:13" ht="15.75" x14ac:dyDescent="0.25">
      <c r="B1871" s="692"/>
      <c r="C1871" s="117" t="str">
        <f>IF(ISNUMBER(B1871),IFERROR(VLOOKUP(B1871,'נתוני רישום ומצבת'!B:J,3,0),""),"")</f>
        <v/>
      </c>
      <c r="D1871" s="693"/>
      <c r="E1871" s="697"/>
      <c r="F1871" s="695"/>
      <c r="G1871" s="696"/>
      <c r="K1871" s="22" t="str">
        <f t="shared" si="57"/>
        <v/>
      </c>
      <c r="M1871" s="534" t="str">
        <f t="shared" si="56"/>
        <v/>
      </c>
    </row>
    <row r="1872" spans="2:13" ht="15.75" x14ac:dyDescent="0.25">
      <c r="B1872" s="692"/>
      <c r="C1872" s="117" t="str">
        <f>IF(ISNUMBER(B1872),IFERROR(VLOOKUP(B1872,'נתוני רישום ומצבת'!B:J,3,0),""),"")</f>
        <v/>
      </c>
      <c r="D1872" s="693"/>
      <c r="E1872" s="697"/>
      <c r="F1872" s="695"/>
      <c r="G1872" s="696"/>
      <c r="K1872" s="22" t="str">
        <f t="shared" si="57"/>
        <v/>
      </c>
      <c r="M1872" s="534" t="str">
        <f t="shared" si="56"/>
        <v/>
      </c>
    </row>
    <row r="1873" spans="2:13" ht="15.75" x14ac:dyDescent="0.25">
      <c r="B1873" s="692"/>
      <c r="C1873" s="117" t="str">
        <f>IF(ISNUMBER(B1873),IFERROR(VLOOKUP(B1873,'נתוני רישום ומצבת'!B:J,3,0),""),"")</f>
        <v/>
      </c>
      <c r="D1873" s="693"/>
      <c r="E1873" s="697"/>
      <c r="F1873" s="695"/>
      <c r="G1873" s="696"/>
      <c r="K1873" s="22" t="str">
        <f t="shared" si="57"/>
        <v/>
      </c>
      <c r="M1873" s="534" t="str">
        <f t="shared" ref="M1873:M1936" si="58">TEXT(LEFT(D1873,2),0)</f>
        <v/>
      </c>
    </row>
    <row r="1874" spans="2:13" ht="15.75" x14ac:dyDescent="0.25">
      <c r="B1874" s="692"/>
      <c r="C1874" s="117" t="str">
        <f>IF(ISNUMBER(B1874),IFERROR(VLOOKUP(B1874,'נתוני רישום ומצבת'!B:J,3,0),""),"")</f>
        <v/>
      </c>
      <c r="D1874" s="693"/>
      <c r="E1874" s="697"/>
      <c r="F1874" s="695"/>
      <c r="G1874" s="696"/>
      <c r="K1874" s="22" t="str">
        <f t="shared" si="57"/>
        <v/>
      </c>
      <c r="M1874" s="534" t="str">
        <f t="shared" si="58"/>
        <v/>
      </c>
    </row>
    <row r="1875" spans="2:13" ht="15.75" x14ac:dyDescent="0.25">
      <c r="B1875" s="692"/>
      <c r="C1875" s="117" t="str">
        <f>IF(ISNUMBER(B1875),IFERROR(VLOOKUP(B1875,'נתוני רישום ומצבת'!B:J,3,0),""),"")</f>
        <v/>
      </c>
      <c r="D1875" s="693"/>
      <c r="E1875" s="697"/>
      <c r="F1875" s="695"/>
      <c r="G1875" s="696"/>
      <c r="K1875" s="22" t="str">
        <f t="shared" si="57"/>
        <v/>
      </c>
      <c r="M1875" s="534" t="str">
        <f t="shared" si="58"/>
        <v/>
      </c>
    </row>
    <row r="1876" spans="2:13" ht="15.75" x14ac:dyDescent="0.25">
      <c r="B1876" s="692"/>
      <c r="C1876" s="117" t="str">
        <f>IF(ISNUMBER(B1876),IFERROR(VLOOKUP(B1876,'נתוני רישום ומצבת'!B:J,3,0),""),"")</f>
        <v/>
      </c>
      <c r="D1876" s="693"/>
      <c r="E1876" s="697"/>
      <c r="F1876" s="695"/>
      <c r="G1876" s="696"/>
      <c r="K1876" s="22" t="str">
        <f t="shared" si="57"/>
        <v/>
      </c>
      <c r="M1876" s="534" t="str">
        <f t="shared" si="58"/>
        <v/>
      </c>
    </row>
    <row r="1877" spans="2:13" ht="15.75" x14ac:dyDescent="0.25">
      <c r="B1877" s="692"/>
      <c r="C1877" s="117" t="str">
        <f>IF(ISNUMBER(B1877),IFERROR(VLOOKUP(B1877,'נתוני רישום ומצבת'!B:J,3,0),""),"")</f>
        <v/>
      </c>
      <c r="D1877" s="693"/>
      <c r="E1877" s="697"/>
      <c r="F1877" s="695"/>
      <c r="G1877" s="696"/>
      <c r="K1877" s="22" t="str">
        <f t="shared" ref="K1877:K1940" si="59">IF(C1864&lt;5,IF(D1877=$F$8,-E1877," "),"")</f>
        <v/>
      </c>
      <c r="M1877" s="534" t="str">
        <f t="shared" si="58"/>
        <v/>
      </c>
    </row>
    <row r="1878" spans="2:13" ht="15.75" x14ac:dyDescent="0.25">
      <c r="B1878" s="692"/>
      <c r="C1878" s="117" t="str">
        <f>IF(ISNUMBER(B1878),IFERROR(VLOOKUP(B1878,'נתוני רישום ומצבת'!B:J,3,0),""),"")</f>
        <v/>
      </c>
      <c r="D1878" s="693"/>
      <c r="E1878" s="697"/>
      <c r="F1878" s="695"/>
      <c r="G1878" s="696"/>
      <c r="K1878" s="22" t="str">
        <f t="shared" si="59"/>
        <v/>
      </c>
      <c r="M1878" s="534" t="str">
        <f t="shared" si="58"/>
        <v/>
      </c>
    </row>
    <row r="1879" spans="2:13" ht="15.75" x14ac:dyDescent="0.25">
      <c r="B1879" s="692"/>
      <c r="C1879" s="117" t="str">
        <f>IF(ISNUMBER(B1879),IFERROR(VLOOKUP(B1879,'נתוני רישום ומצבת'!B:J,3,0),""),"")</f>
        <v/>
      </c>
      <c r="D1879" s="693"/>
      <c r="E1879" s="697"/>
      <c r="F1879" s="695"/>
      <c r="G1879" s="696"/>
      <c r="K1879" s="22" t="str">
        <f t="shared" si="59"/>
        <v/>
      </c>
      <c r="M1879" s="534" t="str">
        <f t="shared" si="58"/>
        <v/>
      </c>
    </row>
    <row r="1880" spans="2:13" ht="15.75" x14ac:dyDescent="0.25">
      <c r="B1880" s="692"/>
      <c r="C1880" s="117" t="str">
        <f>IF(ISNUMBER(B1880),IFERROR(VLOOKUP(B1880,'נתוני רישום ומצבת'!B:J,3,0),""),"")</f>
        <v/>
      </c>
      <c r="D1880" s="693"/>
      <c r="E1880" s="697"/>
      <c r="F1880" s="695"/>
      <c r="G1880" s="696"/>
      <c r="K1880" s="22" t="str">
        <f t="shared" si="59"/>
        <v/>
      </c>
      <c r="M1880" s="534" t="str">
        <f t="shared" si="58"/>
        <v/>
      </c>
    </row>
    <row r="1881" spans="2:13" ht="15.75" x14ac:dyDescent="0.25">
      <c r="B1881" s="692"/>
      <c r="C1881" s="117" t="str">
        <f>IF(ISNUMBER(B1881),IFERROR(VLOOKUP(B1881,'נתוני רישום ומצבת'!B:J,3,0),""),"")</f>
        <v/>
      </c>
      <c r="D1881" s="693"/>
      <c r="E1881" s="697"/>
      <c r="F1881" s="695"/>
      <c r="G1881" s="696"/>
      <c r="K1881" s="22" t="str">
        <f t="shared" si="59"/>
        <v/>
      </c>
      <c r="M1881" s="534" t="str">
        <f t="shared" si="58"/>
        <v/>
      </c>
    </row>
    <row r="1882" spans="2:13" ht="15.75" x14ac:dyDescent="0.25">
      <c r="B1882" s="692"/>
      <c r="C1882" s="117" t="str">
        <f>IF(ISNUMBER(B1882),IFERROR(VLOOKUP(B1882,'נתוני רישום ומצבת'!B:J,3,0),""),"")</f>
        <v/>
      </c>
      <c r="D1882" s="693"/>
      <c r="E1882" s="697"/>
      <c r="F1882" s="695"/>
      <c r="G1882" s="696"/>
      <c r="K1882" s="22" t="str">
        <f t="shared" si="59"/>
        <v/>
      </c>
      <c r="M1882" s="534" t="str">
        <f t="shared" si="58"/>
        <v/>
      </c>
    </row>
    <row r="1883" spans="2:13" ht="15.75" x14ac:dyDescent="0.25">
      <c r="B1883" s="692"/>
      <c r="C1883" s="117" t="str">
        <f>IF(ISNUMBER(B1883),IFERROR(VLOOKUP(B1883,'נתוני רישום ומצבת'!B:J,3,0),""),"")</f>
        <v/>
      </c>
      <c r="D1883" s="693"/>
      <c r="E1883" s="697"/>
      <c r="F1883" s="695"/>
      <c r="G1883" s="696"/>
      <c r="K1883" s="22" t="str">
        <f t="shared" si="59"/>
        <v/>
      </c>
      <c r="M1883" s="534" t="str">
        <f t="shared" si="58"/>
        <v/>
      </c>
    </row>
    <row r="1884" spans="2:13" ht="15.75" x14ac:dyDescent="0.25">
      <c r="B1884" s="692"/>
      <c r="C1884" s="117" t="str">
        <f>IF(ISNUMBER(B1884),IFERROR(VLOOKUP(B1884,'נתוני רישום ומצבת'!B:J,3,0),""),"")</f>
        <v/>
      </c>
      <c r="D1884" s="693"/>
      <c r="E1884" s="697"/>
      <c r="F1884" s="695"/>
      <c r="G1884" s="696"/>
      <c r="K1884" s="22" t="str">
        <f t="shared" si="59"/>
        <v/>
      </c>
      <c r="M1884" s="534" t="str">
        <f t="shared" si="58"/>
        <v/>
      </c>
    </row>
    <row r="1885" spans="2:13" ht="15.75" x14ac:dyDescent="0.25">
      <c r="B1885" s="692"/>
      <c r="C1885" s="117" t="str">
        <f>IF(ISNUMBER(B1885),IFERROR(VLOOKUP(B1885,'נתוני רישום ומצבת'!B:J,3,0),""),"")</f>
        <v/>
      </c>
      <c r="D1885" s="693"/>
      <c r="E1885" s="697"/>
      <c r="F1885" s="695"/>
      <c r="G1885" s="696"/>
      <c r="K1885" s="22" t="str">
        <f t="shared" si="59"/>
        <v/>
      </c>
      <c r="M1885" s="534" t="str">
        <f t="shared" si="58"/>
        <v/>
      </c>
    </row>
    <row r="1886" spans="2:13" ht="15.75" x14ac:dyDescent="0.25">
      <c r="B1886" s="692"/>
      <c r="C1886" s="117" t="str">
        <f>IF(ISNUMBER(B1886),IFERROR(VLOOKUP(B1886,'נתוני רישום ומצבת'!B:J,3,0),""),"")</f>
        <v/>
      </c>
      <c r="D1886" s="693"/>
      <c r="E1886" s="697"/>
      <c r="F1886" s="695"/>
      <c r="G1886" s="696"/>
      <c r="K1886" s="22" t="str">
        <f t="shared" si="59"/>
        <v/>
      </c>
      <c r="M1886" s="534" t="str">
        <f t="shared" si="58"/>
        <v/>
      </c>
    </row>
    <row r="1887" spans="2:13" ht="15.75" x14ac:dyDescent="0.25">
      <c r="B1887" s="692"/>
      <c r="C1887" s="117" t="str">
        <f>IF(ISNUMBER(B1887),IFERROR(VLOOKUP(B1887,'נתוני רישום ומצבת'!B:J,3,0),""),"")</f>
        <v/>
      </c>
      <c r="D1887" s="693"/>
      <c r="E1887" s="697"/>
      <c r="F1887" s="695"/>
      <c r="G1887" s="696"/>
      <c r="K1887" s="22" t="str">
        <f t="shared" si="59"/>
        <v/>
      </c>
      <c r="M1887" s="534" t="str">
        <f t="shared" si="58"/>
        <v/>
      </c>
    </row>
    <row r="1888" spans="2:13" ht="15.75" x14ac:dyDescent="0.25">
      <c r="B1888" s="692"/>
      <c r="C1888" s="117" t="str">
        <f>IF(ISNUMBER(B1888),IFERROR(VLOOKUP(B1888,'נתוני רישום ומצבת'!B:J,3,0),""),"")</f>
        <v/>
      </c>
      <c r="D1888" s="693"/>
      <c r="E1888" s="697"/>
      <c r="F1888" s="695"/>
      <c r="G1888" s="696"/>
      <c r="K1888" s="22" t="str">
        <f t="shared" si="59"/>
        <v/>
      </c>
      <c r="M1888" s="534" t="str">
        <f t="shared" si="58"/>
        <v/>
      </c>
    </row>
    <row r="1889" spans="2:13" ht="15.75" x14ac:dyDescent="0.25">
      <c r="B1889" s="692"/>
      <c r="C1889" s="117" t="str">
        <f>IF(ISNUMBER(B1889),IFERROR(VLOOKUP(B1889,'נתוני רישום ומצבת'!B:J,3,0),""),"")</f>
        <v/>
      </c>
      <c r="D1889" s="693"/>
      <c r="E1889" s="697"/>
      <c r="F1889" s="695"/>
      <c r="G1889" s="696"/>
      <c r="K1889" s="22" t="str">
        <f t="shared" si="59"/>
        <v/>
      </c>
      <c r="M1889" s="534" t="str">
        <f t="shared" si="58"/>
        <v/>
      </c>
    </row>
    <row r="1890" spans="2:13" ht="15.75" x14ac:dyDescent="0.25">
      <c r="B1890" s="692"/>
      <c r="C1890" s="117" t="str">
        <f>IF(ISNUMBER(B1890),IFERROR(VLOOKUP(B1890,'נתוני רישום ומצבת'!B:J,3,0),""),"")</f>
        <v/>
      </c>
      <c r="D1890" s="693"/>
      <c r="E1890" s="697"/>
      <c r="F1890" s="695"/>
      <c r="G1890" s="696"/>
      <c r="K1890" s="22" t="str">
        <f t="shared" si="59"/>
        <v/>
      </c>
      <c r="M1890" s="534" t="str">
        <f t="shared" si="58"/>
        <v/>
      </c>
    </row>
    <row r="1891" spans="2:13" ht="15.75" x14ac:dyDescent="0.25">
      <c r="B1891" s="692"/>
      <c r="C1891" s="117" t="str">
        <f>IF(ISNUMBER(B1891),IFERROR(VLOOKUP(B1891,'נתוני רישום ומצבת'!B:J,3,0),""),"")</f>
        <v/>
      </c>
      <c r="D1891" s="693"/>
      <c r="E1891" s="697"/>
      <c r="F1891" s="695"/>
      <c r="G1891" s="696"/>
      <c r="K1891" s="22" t="str">
        <f t="shared" si="59"/>
        <v/>
      </c>
      <c r="M1891" s="534" t="str">
        <f t="shared" si="58"/>
        <v/>
      </c>
    </row>
    <row r="1892" spans="2:13" ht="15.75" x14ac:dyDescent="0.25">
      <c r="B1892" s="692"/>
      <c r="C1892" s="117" t="str">
        <f>IF(ISNUMBER(B1892),IFERROR(VLOOKUP(B1892,'נתוני רישום ומצבת'!B:J,3,0),""),"")</f>
        <v/>
      </c>
      <c r="D1892" s="693"/>
      <c r="E1892" s="697"/>
      <c r="F1892" s="695"/>
      <c r="G1892" s="696"/>
      <c r="K1892" s="22" t="str">
        <f t="shared" si="59"/>
        <v/>
      </c>
      <c r="M1892" s="534" t="str">
        <f t="shared" si="58"/>
        <v/>
      </c>
    </row>
    <row r="1893" spans="2:13" ht="15.75" x14ac:dyDescent="0.25">
      <c r="B1893" s="692"/>
      <c r="C1893" s="117" t="str">
        <f>IF(ISNUMBER(B1893),IFERROR(VLOOKUP(B1893,'נתוני רישום ומצבת'!B:J,3,0),""),"")</f>
        <v/>
      </c>
      <c r="D1893" s="693"/>
      <c r="E1893" s="697"/>
      <c r="F1893" s="695"/>
      <c r="G1893" s="696"/>
      <c r="K1893" s="22" t="str">
        <f t="shared" si="59"/>
        <v/>
      </c>
      <c r="M1893" s="534" t="str">
        <f t="shared" si="58"/>
        <v/>
      </c>
    </row>
    <row r="1894" spans="2:13" ht="15.75" x14ac:dyDescent="0.25">
      <c r="B1894" s="692"/>
      <c r="C1894" s="117" t="str">
        <f>IF(ISNUMBER(B1894),IFERROR(VLOOKUP(B1894,'נתוני רישום ומצבת'!B:J,3,0),""),"")</f>
        <v/>
      </c>
      <c r="D1894" s="693"/>
      <c r="E1894" s="697"/>
      <c r="F1894" s="695"/>
      <c r="G1894" s="696"/>
      <c r="K1894" s="22" t="str">
        <f t="shared" si="59"/>
        <v/>
      </c>
      <c r="M1894" s="534" t="str">
        <f t="shared" si="58"/>
        <v/>
      </c>
    </row>
    <row r="1895" spans="2:13" ht="15.75" x14ac:dyDescent="0.25">
      <c r="B1895" s="692"/>
      <c r="C1895" s="117" t="str">
        <f>IF(ISNUMBER(B1895),IFERROR(VLOOKUP(B1895,'נתוני רישום ומצבת'!B:J,3,0),""),"")</f>
        <v/>
      </c>
      <c r="D1895" s="693"/>
      <c r="E1895" s="697"/>
      <c r="F1895" s="695"/>
      <c r="G1895" s="696"/>
      <c r="K1895" s="22" t="str">
        <f t="shared" si="59"/>
        <v/>
      </c>
      <c r="M1895" s="534" t="str">
        <f t="shared" si="58"/>
        <v/>
      </c>
    </row>
    <row r="1896" spans="2:13" ht="15.75" x14ac:dyDescent="0.25">
      <c r="B1896" s="692"/>
      <c r="C1896" s="117" t="str">
        <f>IF(ISNUMBER(B1896),IFERROR(VLOOKUP(B1896,'נתוני רישום ומצבת'!B:J,3,0),""),"")</f>
        <v/>
      </c>
      <c r="D1896" s="693"/>
      <c r="E1896" s="697"/>
      <c r="F1896" s="695"/>
      <c r="G1896" s="696"/>
      <c r="K1896" s="22" t="str">
        <f t="shared" si="59"/>
        <v/>
      </c>
      <c r="M1896" s="534" t="str">
        <f t="shared" si="58"/>
        <v/>
      </c>
    </row>
    <row r="1897" spans="2:13" ht="15.75" x14ac:dyDescent="0.25">
      <c r="B1897" s="692"/>
      <c r="C1897" s="117" t="str">
        <f>IF(ISNUMBER(B1897),IFERROR(VLOOKUP(B1897,'נתוני רישום ומצבת'!B:J,3,0),""),"")</f>
        <v/>
      </c>
      <c r="D1897" s="693"/>
      <c r="E1897" s="697"/>
      <c r="F1897" s="695"/>
      <c r="G1897" s="696"/>
      <c r="K1897" s="22" t="str">
        <f t="shared" si="59"/>
        <v/>
      </c>
      <c r="M1897" s="534" t="str">
        <f t="shared" si="58"/>
        <v/>
      </c>
    </row>
    <row r="1898" spans="2:13" ht="15.75" x14ac:dyDescent="0.25">
      <c r="B1898" s="692"/>
      <c r="C1898" s="117" t="str">
        <f>IF(ISNUMBER(B1898),IFERROR(VLOOKUP(B1898,'נתוני רישום ומצבת'!B:J,3,0),""),"")</f>
        <v/>
      </c>
      <c r="D1898" s="693"/>
      <c r="E1898" s="697"/>
      <c r="F1898" s="695"/>
      <c r="G1898" s="696"/>
      <c r="K1898" s="22" t="str">
        <f t="shared" si="59"/>
        <v/>
      </c>
      <c r="M1898" s="534" t="str">
        <f t="shared" si="58"/>
        <v/>
      </c>
    </row>
    <row r="1899" spans="2:13" ht="15.75" x14ac:dyDescent="0.25">
      <c r="B1899" s="692"/>
      <c r="C1899" s="117" t="str">
        <f>IF(ISNUMBER(B1899),IFERROR(VLOOKUP(B1899,'נתוני רישום ומצבת'!B:J,3,0),""),"")</f>
        <v/>
      </c>
      <c r="D1899" s="693"/>
      <c r="E1899" s="697"/>
      <c r="F1899" s="695"/>
      <c r="G1899" s="696"/>
      <c r="K1899" s="22" t="str">
        <f t="shared" si="59"/>
        <v/>
      </c>
      <c r="M1899" s="534" t="str">
        <f t="shared" si="58"/>
        <v/>
      </c>
    </row>
    <row r="1900" spans="2:13" ht="15.75" x14ac:dyDescent="0.25">
      <c r="B1900" s="692"/>
      <c r="C1900" s="117" t="str">
        <f>IF(ISNUMBER(B1900),IFERROR(VLOOKUP(B1900,'נתוני רישום ומצבת'!B:J,3,0),""),"")</f>
        <v/>
      </c>
      <c r="D1900" s="693"/>
      <c r="E1900" s="697"/>
      <c r="F1900" s="695"/>
      <c r="G1900" s="696"/>
      <c r="K1900" s="22" t="str">
        <f t="shared" si="59"/>
        <v/>
      </c>
      <c r="M1900" s="534" t="str">
        <f t="shared" si="58"/>
        <v/>
      </c>
    </row>
    <row r="1901" spans="2:13" ht="15.75" x14ac:dyDescent="0.25">
      <c r="B1901" s="692"/>
      <c r="C1901" s="117" t="str">
        <f>IF(ISNUMBER(B1901),IFERROR(VLOOKUP(B1901,'נתוני רישום ומצבת'!B:J,3,0),""),"")</f>
        <v/>
      </c>
      <c r="D1901" s="693"/>
      <c r="E1901" s="697"/>
      <c r="F1901" s="695"/>
      <c r="G1901" s="696"/>
      <c r="K1901" s="22" t="str">
        <f t="shared" si="59"/>
        <v/>
      </c>
      <c r="M1901" s="534" t="str">
        <f t="shared" si="58"/>
        <v/>
      </c>
    </row>
    <row r="1902" spans="2:13" ht="15.75" x14ac:dyDescent="0.25">
      <c r="B1902" s="692"/>
      <c r="C1902" s="117" t="str">
        <f>IF(ISNUMBER(B1902),IFERROR(VLOOKUP(B1902,'נתוני רישום ומצבת'!B:J,3,0),""),"")</f>
        <v/>
      </c>
      <c r="D1902" s="693"/>
      <c r="E1902" s="697"/>
      <c r="F1902" s="695"/>
      <c r="G1902" s="696"/>
      <c r="K1902" s="22" t="str">
        <f t="shared" si="59"/>
        <v/>
      </c>
      <c r="M1902" s="534" t="str">
        <f t="shared" si="58"/>
        <v/>
      </c>
    </row>
    <row r="1903" spans="2:13" ht="15.75" x14ac:dyDescent="0.25">
      <c r="B1903" s="692"/>
      <c r="C1903" s="117" t="str">
        <f>IF(ISNUMBER(B1903),IFERROR(VLOOKUP(B1903,'נתוני רישום ומצבת'!B:J,3,0),""),"")</f>
        <v/>
      </c>
      <c r="D1903" s="693"/>
      <c r="E1903" s="697"/>
      <c r="F1903" s="695"/>
      <c r="G1903" s="696"/>
      <c r="K1903" s="22" t="str">
        <f t="shared" si="59"/>
        <v/>
      </c>
      <c r="M1903" s="534" t="str">
        <f t="shared" si="58"/>
        <v/>
      </c>
    </row>
    <row r="1904" spans="2:13" ht="15.75" x14ac:dyDescent="0.25">
      <c r="B1904" s="692"/>
      <c r="C1904" s="117" t="str">
        <f>IF(ISNUMBER(B1904),IFERROR(VLOOKUP(B1904,'נתוני רישום ומצבת'!B:J,3,0),""),"")</f>
        <v/>
      </c>
      <c r="D1904" s="693"/>
      <c r="E1904" s="697"/>
      <c r="F1904" s="695"/>
      <c r="G1904" s="696"/>
      <c r="K1904" s="22" t="str">
        <f t="shared" si="59"/>
        <v/>
      </c>
      <c r="M1904" s="534" t="str">
        <f t="shared" si="58"/>
        <v/>
      </c>
    </row>
    <row r="1905" spans="2:13" ht="15.75" x14ac:dyDescent="0.25">
      <c r="B1905" s="692"/>
      <c r="C1905" s="117" t="str">
        <f>IF(ISNUMBER(B1905),IFERROR(VLOOKUP(B1905,'נתוני רישום ומצבת'!B:J,3,0),""),"")</f>
        <v/>
      </c>
      <c r="D1905" s="693"/>
      <c r="E1905" s="697"/>
      <c r="F1905" s="695"/>
      <c r="G1905" s="696"/>
      <c r="K1905" s="22" t="str">
        <f t="shared" si="59"/>
        <v/>
      </c>
      <c r="M1905" s="534" t="str">
        <f t="shared" si="58"/>
        <v/>
      </c>
    </row>
    <row r="1906" spans="2:13" ht="15.75" x14ac:dyDescent="0.25">
      <c r="B1906" s="692"/>
      <c r="C1906" s="117" t="str">
        <f>IF(ISNUMBER(B1906),IFERROR(VLOOKUP(B1906,'נתוני רישום ומצבת'!B:J,3,0),""),"")</f>
        <v/>
      </c>
      <c r="D1906" s="693"/>
      <c r="E1906" s="697"/>
      <c r="F1906" s="695"/>
      <c r="G1906" s="696"/>
      <c r="K1906" s="22" t="str">
        <f t="shared" si="59"/>
        <v/>
      </c>
      <c r="M1906" s="534" t="str">
        <f t="shared" si="58"/>
        <v/>
      </c>
    </row>
    <row r="1907" spans="2:13" ht="15.75" x14ac:dyDescent="0.25">
      <c r="B1907" s="692"/>
      <c r="C1907" s="117" t="str">
        <f>IF(ISNUMBER(B1907),IFERROR(VLOOKUP(B1907,'נתוני רישום ומצבת'!B:J,3,0),""),"")</f>
        <v/>
      </c>
      <c r="D1907" s="693"/>
      <c r="E1907" s="697"/>
      <c r="F1907" s="695"/>
      <c r="G1907" s="696"/>
      <c r="K1907" s="22" t="str">
        <f t="shared" si="59"/>
        <v/>
      </c>
      <c r="M1907" s="534" t="str">
        <f t="shared" si="58"/>
        <v/>
      </c>
    </row>
    <row r="1908" spans="2:13" ht="15.75" x14ac:dyDescent="0.25">
      <c r="B1908" s="692"/>
      <c r="C1908" s="117" t="str">
        <f>IF(ISNUMBER(B1908),IFERROR(VLOOKUP(B1908,'נתוני רישום ומצבת'!B:J,3,0),""),"")</f>
        <v/>
      </c>
      <c r="D1908" s="693"/>
      <c r="E1908" s="697"/>
      <c r="F1908" s="695"/>
      <c r="G1908" s="696"/>
      <c r="K1908" s="22" t="str">
        <f t="shared" si="59"/>
        <v/>
      </c>
      <c r="M1908" s="534" t="str">
        <f t="shared" si="58"/>
        <v/>
      </c>
    </row>
    <row r="1909" spans="2:13" ht="15.75" x14ac:dyDescent="0.25">
      <c r="B1909" s="692"/>
      <c r="C1909" s="117" t="str">
        <f>IF(ISNUMBER(B1909),IFERROR(VLOOKUP(B1909,'נתוני רישום ומצבת'!B:J,3,0),""),"")</f>
        <v/>
      </c>
      <c r="D1909" s="693"/>
      <c r="E1909" s="697"/>
      <c r="F1909" s="695"/>
      <c r="G1909" s="696"/>
      <c r="K1909" s="22" t="str">
        <f t="shared" si="59"/>
        <v/>
      </c>
      <c r="M1909" s="534" t="str">
        <f t="shared" si="58"/>
        <v/>
      </c>
    </row>
    <row r="1910" spans="2:13" ht="15.75" x14ac:dyDescent="0.25">
      <c r="B1910" s="692"/>
      <c r="C1910" s="117" t="str">
        <f>IF(ISNUMBER(B1910),IFERROR(VLOOKUP(B1910,'נתוני רישום ומצבת'!B:J,3,0),""),"")</f>
        <v/>
      </c>
      <c r="D1910" s="693"/>
      <c r="E1910" s="697"/>
      <c r="F1910" s="695"/>
      <c r="G1910" s="696"/>
      <c r="K1910" s="22" t="str">
        <f t="shared" si="59"/>
        <v/>
      </c>
      <c r="M1910" s="534" t="str">
        <f t="shared" si="58"/>
        <v/>
      </c>
    </row>
    <row r="1911" spans="2:13" ht="15.75" x14ac:dyDescent="0.25">
      <c r="B1911" s="692"/>
      <c r="C1911" s="117" t="str">
        <f>IF(ISNUMBER(B1911),IFERROR(VLOOKUP(B1911,'נתוני רישום ומצבת'!B:J,3,0),""),"")</f>
        <v/>
      </c>
      <c r="D1911" s="693"/>
      <c r="E1911" s="697"/>
      <c r="F1911" s="695"/>
      <c r="G1911" s="696"/>
      <c r="K1911" s="22" t="str">
        <f t="shared" si="59"/>
        <v/>
      </c>
      <c r="M1911" s="534" t="str">
        <f t="shared" si="58"/>
        <v/>
      </c>
    </row>
    <row r="1912" spans="2:13" ht="15.75" x14ac:dyDescent="0.25">
      <c r="B1912" s="692"/>
      <c r="C1912" s="117" t="str">
        <f>IF(ISNUMBER(B1912),IFERROR(VLOOKUP(B1912,'נתוני רישום ומצבת'!B:J,3,0),""),"")</f>
        <v/>
      </c>
      <c r="D1912" s="693"/>
      <c r="E1912" s="697"/>
      <c r="F1912" s="695"/>
      <c r="G1912" s="696"/>
      <c r="K1912" s="22" t="str">
        <f t="shared" si="59"/>
        <v/>
      </c>
      <c r="M1912" s="534" t="str">
        <f t="shared" si="58"/>
        <v/>
      </c>
    </row>
    <row r="1913" spans="2:13" ht="15.75" x14ac:dyDescent="0.25">
      <c r="B1913" s="692"/>
      <c r="C1913" s="117" t="str">
        <f>IF(ISNUMBER(B1913),IFERROR(VLOOKUP(B1913,'נתוני רישום ומצבת'!B:J,3,0),""),"")</f>
        <v/>
      </c>
      <c r="D1913" s="693"/>
      <c r="E1913" s="697"/>
      <c r="F1913" s="695"/>
      <c r="G1913" s="696"/>
      <c r="K1913" s="22" t="str">
        <f t="shared" si="59"/>
        <v/>
      </c>
      <c r="M1913" s="534" t="str">
        <f t="shared" si="58"/>
        <v/>
      </c>
    </row>
    <row r="1914" spans="2:13" ht="15.75" x14ac:dyDescent="0.25">
      <c r="B1914" s="692"/>
      <c r="C1914" s="117" t="str">
        <f>IF(ISNUMBER(B1914),IFERROR(VLOOKUP(B1914,'נתוני רישום ומצבת'!B:J,3,0),""),"")</f>
        <v/>
      </c>
      <c r="D1914" s="693"/>
      <c r="E1914" s="697"/>
      <c r="F1914" s="695"/>
      <c r="G1914" s="696"/>
      <c r="K1914" s="22" t="str">
        <f t="shared" si="59"/>
        <v/>
      </c>
      <c r="M1914" s="534" t="str">
        <f t="shared" si="58"/>
        <v/>
      </c>
    </row>
    <row r="1915" spans="2:13" ht="15.75" x14ac:dyDescent="0.25">
      <c r="B1915" s="692"/>
      <c r="C1915" s="117" t="str">
        <f>IF(ISNUMBER(B1915),IFERROR(VLOOKUP(B1915,'נתוני רישום ומצבת'!B:J,3,0),""),"")</f>
        <v/>
      </c>
      <c r="D1915" s="693"/>
      <c r="E1915" s="697"/>
      <c r="F1915" s="695"/>
      <c r="G1915" s="696"/>
      <c r="K1915" s="22" t="str">
        <f t="shared" si="59"/>
        <v/>
      </c>
      <c r="M1915" s="534" t="str">
        <f t="shared" si="58"/>
        <v/>
      </c>
    </row>
    <row r="1916" spans="2:13" ht="15.75" x14ac:dyDescent="0.25">
      <c r="B1916" s="692"/>
      <c r="C1916" s="117" t="str">
        <f>IF(ISNUMBER(B1916),IFERROR(VLOOKUP(B1916,'נתוני רישום ומצבת'!B:J,3,0),""),"")</f>
        <v/>
      </c>
      <c r="D1916" s="693"/>
      <c r="E1916" s="697"/>
      <c r="F1916" s="695"/>
      <c r="G1916" s="696"/>
      <c r="K1916" s="22" t="str">
        <f t="shared" si="59"/>
        <v/>
      </c>
      <c r="M1916" s="534" t="str">
        <f t="shared" si="58"/>
        <v/>
      </c>
    </row>
    <row r="1917" spans="2:13" ht="15.75" x14ac:dyDescent="0.25">
      <c r="B1917" s="692"/>
      <c r="C1917" s="117" t="str">
        <f>IF(ISNUMBER(B1917),IFERROR(VLOOKUP(B1917,'נתוני רישום ומצבת'!B:J,3,0),""),"")</f>
        <v/>
      </c>
      <c r="D1917" s="693"/>
      <c r="E1917" s="697"/>
      <c r="F1917" s="695"/>
      <c r="G1917" s="696"/>
      <c r="K1917" s="22" t="str">
        <f t="shared" si="59"/>
        <v/>
      </c>
      <c r="M1917" s="534" t="str">
        <f t="shared" si="58"/>
        <v/>
      </c>
    </row>
    <row r="1918" spans="2:13" ht="15.75" x14ac:dyDescent="0.25">
      <c r="B1918" s="692"/>
      <c r="C1918" s="117" t="str">
        <f>IF(ISNUMBER(B1918),IFERROR(VLOOKUP(B1918,'נתוני רישום ומצבת'!B:J,3,0),""),"")</f>
        <v/>
      </c>
      <c r="D1918" s="693"/>
      <c r="E1918" s="697"/>
      <c r="F1918" s="695"/>
      <c r="G1918" s="696"/>
      <c r="K1918" s="22" t="str">
        <f t="shared" si="59"/>
        <v/>
      </c>
      <c r="M1918" s="534" t="str">
        <f t="shared" si="58"/>
        <v/>
      </c>
    </row>
    <row r="1919" spans="2:13" ht="15.75" x14ac:dyDescent="0.25">
      <c r="B1919" s="692"/>
      <c r="C1919" s="117" t="str">
        <f>IF(ISNUMBER(B1919),IFERROR(VLOOKUP(B1919,'נתוני רישום ומצבת'!B:J,3,0),""),"")</f>
        <v/>
      </c>
      <c r="D1919" s="693"/>
      <c r="E1919" s="697"/>
      <c r="F1919" s="695"/>
      <c r="G1919" s="696"/>
      <c r="K1919" s="22" t="str">
        <f t="shared" si="59"/>
        <v/>
      </c>
      <c r="M1919" s="534" t="str">
        <f t="shared" si="58"/>
        <v/>
      </c>
    </row>
    <row r="1920" spans="2:13" ht="15.75" x14ac:dyDescent="0.25">
      <c r="B1920" s="692"/>
      <c r="C1920" s="117" t="str">
        <f>IF(ISNUMBER(B1920),IFERROR(VLOOKUP(B1920,'נתוני רישום ומצבת'!B:J,3,0),""),"")</f>
        <v/>
      </c>
      <c r="D1920" s="693"/>
      <c r="E1920" s="697"/>
      <c r="F1920" s="695"/>
      <c r="G1920" s="696"/>
      <c r="K1920" s="22" t="str">
        <f t="shared" si="59"/>
        <v/>
      </c>
      <c r="M1920" s="534" t="str">
        <f t="shared" si="58"/>
        <v/>
      </c>
    </row>
    <row r="1921" spans="2:13" ht="15.75" x14ac:dyDescent="0.25">
      <c r="B1921" s="692"/>
      <c r="C1921" s="117" t="str">
        <f>IF(ISNUMBER(B1921),IFERROR(VLOOKUP(B1921,'נתוני רישום ומצבת'!B:J,3,0),""),"")</f>
        <v/>
      </c>
      <c r="D1921" s="693"/>
      <c r="E1921" s="697"/>
      <c r="F1921" s="695"/>
      <c r="G1921" s="696"/>
      <c r="K1921" s="22" t="str">
        <f t="shared" si="59"/>
        <v/>
      </c>
      <c r="M1921" s="534" t="str">
        <f t="shared" si="58"/>
        <v/>
      </c>
    </row>
    <row r="1922" spans="2:13" ht="15.75" x14ac:dyDescent="0.25">
      <c r="B1922" s="692"/>
      <c r="C1922" s="117" t="str">
        <f>IF(ISNUMBER(B1922),IFERROR(VLOOKUP(B1922,'נתוני רישום ומצבת'!B:J,3,0),""),"")</f>
        <v/>
      </c>
      <c r="D1922" s="693"/>
      <c r="E1922" s="697"/>
      <c r="F1922" s="695"/>
      <c r="G1922" s="696"/>
      <c r="K1922" s="22" t="str">
        <f t="shared" si="59"/>
        <v/>
      </c>
      <c r="M1922" s="534" t="str">
        <f t="shared" si="58"/>
        <v/>
      </c>
    </row>
    <row r="1923" spans="2:13" ht="15.75" x14ac:dyDescent="0.25">
      <c r="B1923" s="692"/>
      <c r="C1923" s="117" t="str">
        <f>IF(ISNUMBER(B1923),IFERROR(VLOOKUP(B1923,'נתוני רישום ומצבת'!B:J,3,0),""),"")</f>
        <v/>
      </c>
      <c r="D1923" s="693"/>
      <c r="E1923" s="697"/>
      <c r="F1923" s="695"/>
      <c r="G1923" s="696"/>
      <c r="K1923" s="22" t="str">
        <f t="shared" si="59"/>
        <v/>
      </c>
      <c r="M1923" s="534" t="str">
        <f t="shared" si="58"/>
        <v/>
      </c>
    </row>
    <row r="1924" spans="2:13" ht="15.75" x14ac:dyDescent="0.25">
      <c r="B1924" s="692"/>
      <c r="C1924" s="117" t="str">
        <f>IF(ISNUMBER(B1924),IFERROR(VLOOKUP(B1924,'נתוני רישום ומצבת'!B:J,3,0),""),"")</f>
        <v/>
      </c>
      <c r="D1924" s="693"/>
      <c r="E1924" s="697"/>
      <c r="F1924" s="695"/>
      <c r="G1924" s="696"/>
      <c r="K1924" s="22" t="str">
        <f t="shared" si="59"/>
        <v/>
      </c>
      <c r="M1924" s="534" t="str">
        <f t="shared" si="58"/>
        <v/>
      </c>
    </row>
    <row r="1925" spans="2:13" ht="15.75" x14ac:dyDescent="0.25">
      <c r="B1925" s="692"/>
      <c r="C1925" s="117" t="str">
        <f>IF(ISNUMBER(B1925),IFERROR(VLOOKUP(B1925,'נתוני רישום ומצבת'!B:J,3,0),""),"")</f>
        <v/>
      </c>
      <c r="D1925" s="693"/>
      <c r="E1925" s="697"/>
      <c r="F1925" s="695"/>
      <c r="G1925" s="696"/>
      <c r="K1925" s="22" t="str">
        <f t="shared" si="59"/>
        <v/>
      </c>
      <c r="M1925" s="534" t="str">
        <f t="shared" si="58"/>
        <v/>
      </c>
    </row>
    <row r="1926" spans="2:13" ht="15.75" x14ac:dyDescent="0.25">
      <c r="B1926" s="692"/>
      <c r="C1926" s="117" t="str">
        <f>IF(ISNUMBER(B1926),IFERROR(VLOOKUP(B1926,'נתוני רישום ומצבת'!B:J,3,0),""),"")</f>
        <v/>
      </c>
      <c r="D1926" s="693"/>
      <c r="E1926" s="697"/>
      <c r="F1926" s="695"/>
      <c r="G1926" s="696"/>
      <c r="K1926" s="22" t="str">
        <f t="shared" si="59"/>
        <v/>
      </c>
      <c r="M1926" s="534" t="str">
        <f t="shared" si="58"/>
        <v/>
      </c>
    </row>
    <row r="1927" spans="2:13" ht="15.75" x14ac:dyDescent="0.25">
      <c r="B1927" s="692"/>
      <c r="C1927" s="117" t="str">
        <f>IF(ISNUMBER(B1927),IFERROR(VLOOKUP(B1927,'נתוני רישום ומצבת'!B:J,3,0),""),"")</f>
        <v/>
      </c>
      <c r="D1927" s="693"/>
      <c r="E1927" s="697"/>
      <c r="F1927" s="695"/>
      <c r="G1927" s="696"/>
      <c r="K1927" s="22" t="str">
        <f t="shared" si="59"/>
        <v/>
      </c>
      <c r="M1927" s="534" t="str">
        <f t="shared" si="58"/>
        <v/>
      </c>
    </row>
    <row r="1928" spans="2:13" ht="15.75" x14ac:dyDescent="0.25">
      <c r="B1928" s="692"/>
      <c r="C1928" s="117" t="str">
        <f>IF(ISNUMBER(B1928),IFERROR(VLOOKUP(B1928,'נתוני רישום ומצבת'!B:J,3,0),""),"")</f>
        <v/>
      </c>
      <c r="D1928" s="693"/>
      <c r="E1928" s="697"/>
      <c r="F1928" s="695"/>
      <c r="G1928" s="696"/>
      <c r="K1928" s="22" t="str">
        <f t="shared" si="59"/>
        <v/>
      </c>
      <c r="M1928" s="534" t="str">
        <f t="shared" si="58"/>
        <v/>
      </c>
    </row>
    <row r="1929" spans="2:13" ht="15.75" x14ac:dyDescent="0.25">
      <c r="B1929" s="692"/>
      <c r="C1929" s="117" t="str">
        <f>IF(ISNUMBER(B1929),IFERROR(VLOOKUP(B1929,'נתוני רישום ומצבת'!B:J,3,0),""),"")</f>
        <v/>
      </c>
      <c r="D1929" s="693"/>
      <c r="E1929" s="697"/>
      <c r="F1929" s="695"/>
      <c r="G1929" s="696"/>
      <c r="K1929" s="22" t="str">
        <f t="shared" si="59"/>
        <v/>
      </c>
      <c r="M1929" s="534" t="str">
        <f t="shared" si="58"/>
        <v/>
      </c>
    </row>
    <row r="1930" spans="2:13" ht="15.75" x14ac:dyDescent="0.25">
      <c r="B1930" s="692"/>
      <c r="C1930" s="117" t="str">
        <f>IF(ISNUMBER(B1930),IFERROR(VLOOKUP(B1930,'נתוני רישום ומצבת'!B:J,3,0),""),"")</f>
        <v/>
      </c>
      <c r="D1930" s="693"/>
      <c r="E1930" s="697"/>
      <c r="F1930" s="695"/>
      <c r="G1930" s="696"/>
      <c r="K1930" s="22" t="str">
        <f t="shared" si="59"/>
        <v/>
      </c>
      <c r="M1930" s="534" t="str">
        <f t="shared" si="58"/>
        <v/>
      </c>
    </row>
    <row r="1931" spans="2:13" ht="15.75" x14ac:dyDescent="0.25">
      <c r="B1931" s="692"/>
      <c r="C1931" s="117" t="str">
        <f>IF(ISNUMBER(B1931),IFERROR(VLOOKUP(B1931,'נתוני רישום ומצבת'!B:J,3,0),""),"")</f>
        <v/>
      </c>
      <c r="D1931" s="693"/>
      <c r="E1931" s="697"/>
      <c r="F1931" s="695"/>
      <c r="G1931" s="696"/>
      <c r="K1931" s="22" t="str">
        <f t="shared" si="59"/>
        <v/>
      </c>
      <c r="M1931" s="534" t="str">
        <f t="shared" si="58"/>
        <v/>
      </c>
    </row>
    <row r="1932" spans="2:13" ht="15.75" x14ac:dyDescent="0.25">
      <c r="B1932" s="692"/>
      <c r="C1932" s="117" t="str">
        <f>IF(ISNUMBER(B1932),IFERROR(VLOOKUP(B1932,'נתוני רישום ומצבת'!B:J,3,0),""),"")</f>
        <v/>
      </c>
      <c r="D1932" s="693"/>
      <c r="E1932" s="697"/>
      <c r="F1932" s="695"/>
      <c r="G1932" s="696"/>
      <c r="K1932" s="22" t="str">
        <f t="shared" si="59"/>
        <v/>
      </c>
      <c r="M1932" s="534" t="str">
        <f t="shared" si="58"/>
        <v/>
      </c>
    </row>
    <row r="1933" spans="2:13" ht="15.75" x14ac:dyDescent="0.25">
      <c r="B1933" s="692"/>
      <c r="C1933" s="117" t="str">
        <f>IF(ISNUMBER(B1933),IFERROR(VLOOKUP(B1933,'נתוני רישום ומצבת'!B:J,3,0),""),"")</f>
        <v/>
      </c>
      <c r="D1933" s="693"/>
      <c r="E1933" s="697"/>
      <c r="F1933" s="695"/>
      <c r="G1933" s="696"/>
      <c r="K1933" s="22" t="str">
        <f t="shared" si="59"/>
        <v/>
      </c>
      <c r="M1933" s="534" t="str">
        <f t="shared" si="58"/>
        <v/>
      </c>
    </row>
    <row r="1934" spans="2:13" ht="15.75" x14ac:dyDescent="0.25">
      <c r="B1934" s="692"/>
      <c r="C1934" s="117" t="str">
        <f>IF(ISNUMBER(B1934),IFERROR(VLOOKUP(B1934,'נתוני רישום ומצבת'!B:J,3,0),""),"")</f>
        <v/>
      </c>
      <c r="D1934" s="693"/>
      <c r="E1934" s="697"/>
      <c r="F1934" s="695"/>
      <c r="G1934" s="696"/>
      <c r="K1934" s="22" t="str">
        <f t="shared" si="59"/>
        <v/>
      </c>
      <c r="M1934" s="534" t="str">
        <f t="shared" si="58"/>
        <v/>
      </c>
    </row>
    <row r="1935" spans="2:13" ht="15.75" x14ac:dyDescent="0.25">
      <c r="B1935" s="692"/>
      <c r="C1935" s="117" t="str">
        <f>IF(ISNUMBER(B1935),IFERROR(VLOOKUP(B1935,'נתוני רישום ומצבת'!B:J,3,0),""),"")</f>
        <v/>
      </c>
      <c r="D1935" s="693"/>
      <c r="E1935" s="697"/>
      <c r="F1935" s="695"/>
      <c r="G1935" s="696"/>
      <c r="K1935" s="22" t="str">
        <f t="shared" si="59"/>
        <v/>
      </c>
      <c r="M1935" s="534" t="str">
        <f t="shared" si="58"/>
        <v/>
      </c>
    </row>
    <row r="1936" spans="2:13" ht="15.75" x14ac:dyDescent="0.25">
      <c r="B1936" s="692"/>
      <c r="C1936" s="117" t="str">
        <f>IF(ISNUMBER(B1936),IFERROR(VLOOKUP(B1936,'נתוני רישום ומצבת'!B:J,3,0),""),"")</f>
        <v/>
      </c>
      <c r="D1936" s="693"/>
      <c r="E1936" s="697"/>
      <c r="F1936" s="695"/>
      <c r="G1936" s="696"/>
      <c r="K1936" s="22" t="str">
        <f t="shared" si="59"/>
        <v/>
      </c>
      <c r="M1936" s="534" t="str">
        <f t="shared" si="58"/>
        <v/>
      </c>
    </row>
    <row r="1937" spans="2:13" ht="15.75" x14ac:dyDescent="0.25">
      <c r="B1937" s="692"/>
      <c r="C1937" s="117" t="str">
        <f>IF(ISNUMBER(B1937),IFERROR(VLOOKUP(B1937,'נתוני רישום ומצבת'!B:J,3,0),""),"")</f>
        <v/>
      </c>
      <c r="D1937" s="693"/>
      <c r="E1937" s="697"/>
      <c r="F1937" s="695"/>
      <c r="G1937" s="696"/>
      <c r="K1937" s="22" t="str">
        <f t="shared" si="59"/>
        <v/>
      </c>
      <c r="M1937" s="534" t="str">
        <f t="shared" ref="M1937:M2000" si="60">TEXT(LEFT(D1937,2),0)</f>
        <v/>
      </c>
    </row>
    <row r="1938" spans="2:13" ht="15.75" x14ac:dyDescent="0.25">
      <c r="B1938" s="692"/>
      <c r="C1938" s="117" t="str">
        <f>IF(ISNUMBER(B1938),IFERROR(VLOOKUP(B1938,'נתוני רישום ומצבת'!B:J,3,0),""),"")</f>
        <v/>
      </c>
      <c r="D1938" s="693"/>
      <c r="E1938" s="697"/>
      <c r="F1938" s="695"/>
      <c r="G1938" s="696"/>
      <c r="K1938" s="22" t="str">
        <f t="shared" si="59"/>
        <v/>
      </c>
      <c r="M1938" s="534" t="str">
        <f t="shared" si="60"/>
        <v/>
      </c>
    </row>
    <row r="1939" spans="2:13" ht="15.75" x14ac:dyDescent="0.25">
      <c r="B1939" s="692"/>
      <c r="C1939" s="117" t="str">
        <f>IF(ISNUMBER(B1939),IFERROR(VLOOKUP(B1939,'נתוני רישום ומצבת'!B:J,3,0),""),"")</f>
        <v/>
      </c>
      <c r="D1939" s="693"/>
      <c r="E1939" s="697"/>
      <c r="F1939" s="695"/>
      <c r="G1939" s="696"/>
      <c r="K1939" s="22" t="str">
        <f t="shared" si="59"/>
        <v/>
      </c>
      <c r="M1939" s="534" t="str">
        <f t="shared" si="60"/>
        <v/>
      </c>
    </row>
    <row r="1940" spans="2:13" ht="15.75" x14ac:dyDescent="0.25">
      <c r="B1940" s="692"/>
      <c r="C1940" s="117" t="str">
        <f>IF(ISNUMBER(B1940),IFERROR(VLOOKUP(B1940,'נתוני רישום ומצבת'!B:J,3,0),""),"")</f>
        <v/>
      </c>
      <c r="D1940" s="693"/>
      <c r="E1940" s="697"/>
      <c r="F1940" s="695"/>
      <c r="G1940" s="696"/>
      <c r="K1940" s="22" t="str">
        <f t="shared" si="59"/>
        <v/>
      </c>
      <c r="M1940" s="534" t="str">
        <f t="shared" si="60"/>
        <v/>
      </c>
    </row>
    <row r="1941" spans="2:13" ht="15.75" x14ac:dyDescent="0.25">
      <c r="B1941" s="692"/>
      <c r="C1941" s="117" t="str">
        <f>IF(ISNUMBER(B1941),IFERROR(VLOOKUP(B1941,'נתוני רישום ומצבת'!B:J,3,0),""),"")</f>
        <v/>
      </c>
      <c r="D1941" s="693"/>
      <c r="E1941" s="697"/>
      <c r="F1941" s="695"/>
      <c r="G1941" s="696"/>
      <c r="K1941" s="22" t="str">
        <f t="shared" ref="K1941:K2004" si="61">IF(C1928&lt;5,IF(D1941=$F$8,-E1941," "),"")</f>
        <v/>
      </c>
      <c r="M1941" s="534" t="str">
        <f t="shared" si="60"/>
        <v/>
      </c>
    </row>
    <row r="1942" spans="2:13" ht="15.75" x14ac:dyDescent="0.25">
      <c r="B1942" s="692"/>
      <c r="C1942" s="117" t="str">
        <f>IF(ISNUMBER(B1942),IFERROR(VLOOKUP(B1942,'נתוני רישום ומצבת'!B:J,3,0),""),"")</f>
        <v/>
      </c>
      <c r="D1942" s="693"/>
      <c r="E1942" s="697"/>
      <c r="F1942" s="695"/>
      <c r="G1942" s="696"/>
      <c r="K1942" s="22" t="str">
        <f t="shared" si="61"/>
        <v/>
      </c>
      <c r="M1942" s="534" t="str">
        <f t="shared" si="60"/>
        <v/>
      </c>
    </row>
    <row r="1943" spans="2:13" ht="15.75" x14ac:dyDescent="0.25">
      <c r="B1943" s="692"/>
      <c r="C1943" s="117" t="str">
        <f>IF(ISNUMBER(B1943),IFERROR(VLOOKUP(B1943,'נתוני רישום ומצבת'!B:J,3,0),""),"")</f>
        <v/>
      </c>
      <c r="D1943" s="693"/>
      <c r="E1943" s="697"/>
      <c r="F1943" s="695"/>
      <c r="G1943" s="696"/>
      <c r="K1943" s="22" t="str">
        <f t="shared" si="61"/>
        <v/>
      </c>
      <c r="M1943" s="534" t="str">
        <f t="shared" si="60"/>
        <v/>
      </c>
    </row>
    <row r="1944" spans="2:13" ht="15.75" x14ac:dyDescent="0.25">
      <c r="B1944" s="692"/>
      <c r="C1944" s="117" t="str">
        <f>IF(ISNUMBER(B1944),IFERROR(VLOOKUP(B1944,'נתוני רישום ומצבת'!B:J,3,0),""),"")</f>
        <v/>
      </c>
      <c r="D1944" s="693"/>
      <c r="E1944" s="697"/>
      <c r="F1944" s="695"/>
      <c r="G1944" s="696"/>
      <c r="K1944" s="22" t="str">
        <f t="shared" si="61"/>
        <v/>
      </c>
      <c r="M1944" s="534" t="str">
        <f t="shared" si="60"/>
        <v/>
      </c>
    </row>
    <row r="1945" spans="2:13" ht="15.75" x14ac:dyDescent="0.25">
      <c r="B1945" s="692"/>
      <c r="C1945" s="117" t="str">
        <f>IF(ISNUMBER(B1945),IFERROR(VLOOKUP(B1945,'נתוני רישום ומצבת'!B:J,3,0),""),"")</f>
        <v/>
      </c>
      <c r="D1945" s="693"/>
      <c r="E1945" s="697"/>
      <c r="F1945" s="695"/>
      <c r="G1945" s="696"/>
      <c r="K1945" s="22" t="str">
        <f t="shared" si="61"/>
        <v/>
      </c>
      <c r="M1945" s="534" t="str">
        <f t="shared" si="60"/>
        <v/>
      </c>
    </row>
    <row r="1946" spans="2:13" ht="15.75" x14ac:dyDescent="0.25">
      <c r="B1946" s="692"/>
      <c r="C1946" s="117" t="str">
        <f>IF(ISNUMBER(B1946),IFERROR(VLOOKUP(B1946,'נתוני רישום ומצבת'!B:J,3,0),""),"")</f>
        <v/>
      </c>
      <c r="D1946" s="693"/>
      <c r="E1946" s="697"/>
      <c r="F1946" s="695"/>
      <c r="G1946" s="696"/>
      <c r="K1946" s="22" t="str">
        <f t="shared" si="61"/>
        <v/>
      </c>
      <c r="M1946" s="534" t="str">
        <f t="shared" si="60"/>
        <v/>
      </c>
    </row>
    <row r="1947" spans="2:13" ht="15.75" x14ac:dyDescent="0.25">
      <c r="B1947" s="692"/>
      <c r="C1947" s="117" t="str">
        <f>IF(ISNUMBER(B1947),IFERROR(VLOOKUP(B1947,'נתוני רישום ומצבת'!B:J,3,0),""),"")</f>
        <v/>
      </c>
      <c r="D1947" s="693"/>
      <c r="E1947" s="697"/>
      <c r="F1947" s="695"/>
      <c r="G1947" s="696"/>
      <c r="K1947" s="22" t="str">
        <f t="shared" si="61"/>
        <v/>
      </c>
      <c r="M1947" s="534" t="str">
        <f t="shared" si="60"/>
        <v/>
      </c>
    </row>
    <row r="1948" spans="2:13" ht="15.75" x14ac:dyDescent="0.25">
      <c r="B1948" s="692"/>
      <c r="C1948" s="117" t="str">
        <f>IF(ISNUMBER(B1948),IFERROR(VLOOKUP(B1948,'נתוני רישום ומצבת'!B:J,3,0),""),"")</f>
        <v/>
      </c>
      <c r="D1948" s="693"/>
      <c r="E1948" s="697"/>
      <c r="F1948" s="695"/>
      <c r="G1948" s="696"/>
      <c r="K1948" s="22" t="str">
        <f t="shared" si="61"/>
        <v/>
      </c>
      <c r="M1948" s="534" t="str">
        <f t="shared" si="60"/>
        <v/>
      </c>
    </row>
    <row r="1949" spans="2:13" ht="15.75" x14ac:dyDescent="0.25">
      <c r="B1949" s="692"/>
      <c r="C1949" s="117" t="str">
        <f>IF(ISNUMBER(B1949),IFERROR(VLOOKUP(B1949,'נתוני רישום ומצבת'!B:J,3,0),""),"")</f>
        <v/>
      </c>
      <c r="D1949" s="693"/>
      <c r="E1949" s="697"/>
      <c r="F1949" s="695"/>
      <c r="G1949" s="696"/>
      <c r="K1949" s="22" t="str">
        <f t="shared" si="61"/>
        <v/>
      </c>
      <c r="M1949" s="534" t="str">
        <f t="shared" si="60"/>
        <v/>
      </c>
    </row>
    <row r="1950" spans="2:13" ht="15.75" x14ac:dyDescent="0.25">
      <c r="B1950" s="692"/>
      <c r="C1950" s="117" t="str">
        <f>IF(ISNUMBER(B1950),IFERROR(VLOOKUP(B1950,'נתוני רישום ומצבת'!B:J,3,0),""),"")</f>
        <v/>
      </c>
      <c r="D1950" s="693"/>
      <c r="E1950" s="697"/>
      <c r="F1950" s="695"/>
      <c r="G1950" s="696"/>
      <c r="K1950" s="22" t="str">
        <f t="shared" si="61"/>
        <v/>
      </c>
      <c r="M1950" s="534" t="str">
        <f t="shared" si="60"/>
        <v/>
      </c>
    </row>
    <row r="1951" spans="2:13" ht="15.75" x14ac:dyDescent="0.25">
      <c r="B1951" s="692"/>
      <c r="C1951" s="117" t="str">
        <f>IF(ISNUMBER(B1951),IFERROR(VLOOKUP(B1951,'נתוני רישום ומצבת'!B:J,3,0),""),"")</f>
        <v/>
      </c>
      <c r="D1951" s="693"/>
      <c r="E1951" s="697"/>
      <c r="F1951" s="695"/>
      <c r="G1951" s="696"/>
      <c r="K1951" s="22" t="str">
        <f t="shared" si="61"/>
        <v/>
      </c>
      <c r="M1951" s="534" t="str">
        <f t="shared" si="60"/>
        <v/>
      </c>
    </row>
    <row r="1952" spans="2:13" ht="15.75" x14ac:dyDescent="0.25">
      <c r="B1952" s="692"/>
      <c r="C1952" s="117" t="str">
        <f>IF(ISNUMBER(B1952),IFERROR(VLOOKUP(B1952,'נתוני רישום ומצבת'!B:J,3,0),""),"")</f>
        <v/>
      </c>
      <c r="D1952" s="693"/>
      <c r="E1952" s="697"/>
      <c r="F1952" s="695"/>
      <c r="G1952" s="696"/>
      <c r="K1952" s="22" t="str">
        <f t="shared" si="61"/>
        <v/>
      </c>
      <c r="M1952" s="534" t="str">
        <f t="shared" si="60"/>
        <v/>
      </c>
    </row>
    <row r="1953" spans="2:13" ht="15.75" x14ac:dyDescent="0.25">
      <c r="B1953" s="692"/>
      <c r="C1953" s="117" t="str">
        <f>IF(ISNUMBER(B1953),IFERROR(VLOOKUP(B1953,'נתוני רישום ומצבת'!B:J,3,0),""),"")</f>
        <v/>
      </c>
      <c r="D1953" s="693"/>
      <c r="E1953" s="697"/>
      <c r="F1953" s="695"/>
      <c r="G1953" s="696"/>
      <c r="K1953" s="22" t="str">
        <f t="shared" si="61"/>
        <v/>
      </c>
      <c r="M1953" s="534" t="str">
        <f t="shared" si="60"/>
        <v/>
      </c>
    </row>
    <row r="1954" spans="2:13" ht="15.75" x14ac:dyDescent="0.25">
      <c r="B1954" s="692"/>
      <c r="C1954" s="117" t="str">
        <f>IF(ISNUMBER(B1954),IFERROR(VLOOKUP(B1954,'נתוני רישום ומצבת'!B:J,3,0),""),"")</f>
        <v/>
      </c>
      <c r="D1954" s="693"/>
      <c r="E1954" s="697"/>
      <c r="F1954" s="695"/>
      <c r="G1954" s="696"/>
      <c r="K1954" s="22" t="str">
        <f t="shared" si="61"/>
        <v/>
      </c>
      <c r="M1954" s="534" t="str">
        <f t="shared" si="60"/>
        <v/>
      </c>
    </row>
    <row r="1955" spans="2:13" ht="15.75" x14ac:dyDescent="0.25">
      <c r="B1955" s="692"/>
      <c r="C1955" s="117" t="str">
        <f>IF(ISNUMBER(B1955),IFERROR(VLOOKUP(B1955,'נתוני רישום ומצבת'!B:J,3,0),""),"")</f>
        <v/>
      </c>
      <c r="D1955" s="693"/>
      <c r="E1955" s="697"/>
      <c r="F1955" s="695"/>
      <c r="G1955" s="696"/>
      <c r="K1955" s="22" t="str">
        <f t="shared" si="61"/>
        <v/>
      </c>
      <c r="M1955" s="534" t="str">
        <f t="shared" si="60"/>
        <v/>
      </c>
    </row>
    <row r="1956" spans="2:13" ht="15.75" x14ac:dyDescent="0.25">
      <c r="B1956" s="692"/>
      <c r="C1956" s="117" t="str">
        <f>IF(ISNUMBER(B1956),IFERROR(VLOOKUP(B1956,'נתוני רישום ומצבת'!B:J,3,0),""),"")</f>
        <v/>
      </c>
      <c r="D1956" s="693"/>
      <c r="E1956" s="697"/>
      <c r="F1956" s="695"/>
      <c r="G1956" s="696"/>
      <c r="K1956" s="22" t="str">
        <f t="shared" si="61"/>
        <v/>
      </c>
      <c r="M1956" s="534" t="str">
        <f t="shared" si="60"/>
        <v/>
      </c>
    </row>
    <row r="1957" spans="2:13" ht="15.75" x14ac:dyDescent="0.25">
      <c r="B1957" s="692"/>
      <c r="C1957" s="117" t="str">
        <f>IF(ISNUMBER(B1957),IFERROR(VLOOKUP(B1957,'נתוני רישום ומצבת'!B:J,3,0),""),"")</f>
        <v/>
      </c>
      <c r="D1957" s="693"/>
      <c r="E1957" s="697"/>
      <c r="F1957" s="695"/>
      <c r="G1957" s="696"/>
      <c r="K1957" s="22" t="str">
        <f t="shared" si="61"/>
        <v/>
      </c>
      <c r="M1957" s="534" t="str">
        <f t="shared" si="60"/>
        <v/>
      </c>
    </row>
    <row r="1958" spans="2:13" ht="15.75" x14ac:dyDescent="0.25">
      <c r="B1958" s="692"/>
      <c r="C1958" s="117" t="str">
        <f>IF(ISNUMBER(B1958),IFERROR(VLOOKUP(B1958,'נתוני רישום ומצבת'!B:J,3,0),""),"")</f>
        <v/>
      </c>
      <c r="D1958" s="693"/>
      <c r="E1958" s="697"/>
      <c r="F1958" s="695"/>
      <c r="G1958" s="696"/>
      <c r="K1958" s="22" t="str">
        <f t="shared" si="61"/>
        <v/>
      </c>
      <c r="M1958" s="534" t="str">
        <f t="shared" si="60"/>
        <v/>
      </c>
    </row>
    <row r="1959" spans="2:13" ht="15.75" x14ac:dyDescent="0.25">
      <c r="B1959" s="692"/>
      <c r="C1959" s="117" t="str">
        <f>IF(ISNUMBER(B1959),IFERROR(VLOOKUP(B1959,'נתוני רישום ומצבת'!B:J,3,0),""),"")</f>
        <v/>
      </c>
      <c r="D1959" s="693"/>
      <c r="E1959" s="697"/>
      <c r="F1959" s="695"/>
      <c r="G1959" s="696"/>
      <c r="K1959" s="22" t="str">
        <f t="shared" si="61"/>
        <v/>
      </c>
      <c r="M1959" s="534" t="str">
        <f t="shared" si="60"/>
        <v/>
      </c>
    </row>
    <row r="1960" spans="2:13" ht="15.75" x14ac:dyDescent="0.25">
      <c r="B1960" s="692"/>
      <c r="C1960" s="117" t="str">
        <f>IF(ISNUMBER(B1960),IFERROR(VLOOKUP(B1960,'נתוני רישום ומצבת'!B:J,3,0),""),"")</f>
        <v/>
      </c>
      <c r="D1960" s="693"/>
      <c r="E1960" s="697"/>
      <c r="F1960" s="695"/>
      <c r="G1960" s="696"/>
      <c r="K1960" s="22" t="str">
        <f t="shared" si="61"/>
        <v/>
      </c>
      <c r="M1960" s="534" t="str">
        <f t="shared" si="60"/>
        <v/>
      </c>
    </row>
    <row r="1961" spans="2:13" ht="15.75" x14ac:dyDescent="0.25">
      <c r="B1961" s="692"/>
      <c r="C1961" s="117" t="str">
        <f>IF(ISNUMBER(B1961),IFERROR(VLOOKUP(B1961,'נתוני רישום ומצבת'!B:J,3,0),""),"")</f>
        <v/>
      </c>
      <c r="D1961" s="693"/>
      <c r="E1961" s="697"/>
      <c r="F1961" s="695"/>
      <c r="G1961" s="696"/>
      <c r="K1961" s="22" t="str">
        <f t="shared" si="61"/>
        <v/>
      </c>
      <c r="M1961" s="534" t="str">
        <f t="shared" si="60"/>
        <v/>
      </c>
    </row>
    <row r="1962" spans="2:13" ht="15.75" x14ac:dyDescent="0.25">
      <c r="B1962" s="692"/>
      <c r="C1962" s="117" t="str">
        <f>IF(ISNUMBER(B1962),IFERROR(VLOOKUP(B1962,'נתוני רישום ומצבת'!B:J,3,0),""),"")</f>
        <v/>
      </c>
      <c r="D1962" s="693"/>
      <c r="E1962" s="697"/>
      <c r="F1962" s="695"/>
      <c r="G1962" s="696"/>
      <c r="K1962" s="22" t="str">
        <f t="shared" si="61"/>
        <v/>
      </c>
      <c r="M1962" s="534" t="str">
        <f t="shared" si="60"/>
        <v/>
      </c>
    </row>
    <row r="1963" spans="2:13" ht="15.75" x14ac:dyDescent="0.25">
      <c r="B1963" s="692"/>
      <c r="C1963" s="117" t="str">
        <f>IF(ISNUMBER(B1963),IFERROR(VLOOKUP(B1963,'נתוני רישום ומצבת'!B:J,3,0),""),"")</f>
        <v/>
      </c>
      <c r="D1963" s="693"/>
      <c r="E1963" s="697"/>
      <c r="F1963" s="695"/>
      <c r="G1963" s="696"/>
      <c r="K1963" s="22" t="str">
        <f t="shared" si="61"/>
        <v/>
      </c>
      <c r="M1963" s="534" t="str">
        <f t="shared" si="60"/>
        <v/>
      </c>
    </row>
    <row r="1964" spans="2:13" ht="15.75" x14ac:dyDescent="0.25">
      <c r="B1964" s="692"/>
      <c r="C1964" s="117" t="str">
        <f>IF(ISNUMBER(B1964),IFERROR(VLOOKUP(B1964,'נתוני רישום ומצבת'!B:J,3,0),""),"")</f>
        <v/>
      </c>
      <c r="D1964" s="693"/>
      <c r="E1964" s="697"/>
      <c r="F1964" s="695"/>
      <c r="G1964" s="696"/>
      <c r="K1964" s="22" t="str">
        <f t="shared" si="61"/>
        <v/>
      </c>
      <c r="M1964" s="534" t="str">
        <f t="shared" si="60"/>
        <v/>
      </c>
    </row>
    <row r="1965" spans="2:13" ht="15.75" x14ac:dyDescent="0.25">
      <c r="B1965" s="692"/>
      <c r="C1965" s="117" t="str">
        <f>IF(ISNUMBER(B1965),IFERROR(VLOOKUP(B1965,'נתוני רישום ומצבת'!B:J,3,0),""),"")</f>
        <v/>
      </c>
      <c r="D1965" s="693"/>
      <c r="E1965" s="697"/>
      <c r="F1965" s="695"/>
      <c r="G1965" s="696"/>
      <c r="K1965" s="22" t="str">
        <f t="shared" si="61"/>
        <v/>
      </c>
      <c r="M1965" s="534" t="str">
        <f t="shared" si="60"/>
        <v/>
      </c>
    </row>
    <row r="1966" spans="2:13" ht="15.75" x14ac:dyDescent="0.25">
      <c r="B1966" s="692"/>
      <c r="C1966" s="117" t="str">
        <f>IF(ISNUMBER(B1966),IFERROR(VLOOKUP(B1966,'נתוני רישום ומצבת'!B:J,3,0),""),"")</f>
        <v/>
      </c>
      <c r="D1966" s="693"/>
      <c r="E1966" s="697"/>
      <c r="F1966" s="695"/>
      <c r="G1966" s="696"/>
      <c r="K1966" s="22" t="str">
        <f t="shared" si="61"/>
        <v/>
      </c>
      <c r="M1966" s="534" t="str">
        <f t="shared" si="60"/>
        <v/>
      </c>
    </row>
    <row r="1967" spans="2:13" ht="15.75" x14ac:dyDescent="0.25">
      <c r="B1967" s="692"/>
      <c r="C1967" s="117" t="str">
        <f>IF(ISNUMBER(B1967),IFERROR(VLOOKUP(B1967,'נתוני רישום ומצבת'!B:J,3,0),""),"")</f>
        <v/>
      </c>
      <c r="D1967" s="693"/>
      <c r="E1967" s="697"/>
      <c r="F1967" s="695"/>
      <c r="G1967" s="696"/>
      <c r="K1967" s="22" t="str">
        <f t="shared" si="61"/>
        <v/>
      </c>
      <c r="M1967" s="534" t="str">
        <f t="shared" si="60"/>
        <v/>
      </c>
    </row>
    <row r="1968" spans="2:13" ht="15.75" x14ac:dyDescent="0.25">
      <c r="B1968" s="692"/>
      <c r="C1968" s="117" t="str">
        <f>IF(ISNUMBER(B1968),IFERROR(VLOOKUP(B1968,'נתוני רישום ומצבת'!B:J,3,0),""),"")</f>
        <v/>
      </c>
      <c r="D1968" s="693"/>
      <c r="E1968" s="697"/>
      <c r="F1968" s="695"/>
      <c r="G1968" s="696"/>
      <c r="K1968" s="22" t="str">
        <f t="shared" si="61"/>
        <v/>
      </c>
      <c r="M1968" s="534" t="str">
        <f t="shared" si="60"/>
        <v/>
      </c>
    </row>
    <row r="1969" spans="2:13" ht="15.75" x14ac:dyDescent="0.25">
      <c r="B1969" s="692"/>
      <c r="C1969" s="117" t="str">
        <f>IF(ISNUMBER(B1969),IFERROR(VLOOKUP(B1969,'נתוני רישום ומצבת'!B:J,3,0),""),"")</f>
        <v/>
      </c>
      <c r="D1969" s="693"/>
      <c r="E1969" s="697"/>
      <c r="F1969" s="695"/>
      <c r="G1969" s="696"/>
      <c r="K1969" s="22" t="str">
        <f t="shared" si="61"/>
        <v/>
      </c>
      <c r="M1969" s="534" t="str">
        <f t="shared" si="60"/>
        <v/>
      </c>
    </row>
    <row r="1970" spans="2:13" ht="15.75" x14ac:dyDescent="0.25">
      <c r="B1970" s="692"/>
      <c r="C1970" s="117" t="str">
        <f>IF(ISNUMBER(B1970),IFERROR(VLOOKUP(B1970,'נתוני רישום ומצבת'!B:J,3,0),""),"")</f>
        <v/>
      </c>
      <c r="D1970" s="693"/>
      <c r="E1970" s="697"/>
      <c r="F1970" s="695"/>
      <c r="G1970" s="696"/>
      <c r="K1970" s="22" t="str">
        <f t="shared" si="61"/>
        <v/>
      </c>
      <c r="M1970" s="534" t="str">
        <f t="shared" si="60"/>
        <v/>
      </c>
    </row>
    <row r="1971" spans="2:13" ht="15.75" x14ac:dyDescent="0.25">
      <c r="B1971" s="692"/>
      <c r="C1971" s="117" t="str">
        <f>IF(ISNUMBER(B1971),IFERROR(VLOOKUP(B1971,'נתוני רישום ומצבת'!B:J,3,0),""),"")</f>
        <v/>
      </c>
      <c r="D1971" s="693"/>
      <c r="E1971" s="697"/>
      <c r="F1971" s="695"/>
      <c r="G1971" s="696"/>
      <c r="K1971" s="22" t="str">
        <f t="shared" si="61"/>
        <v/>
      </c>
      <c r="M1971" s="534" t="str">
        <f t="shared" si="60"/>
        <v/>
      </c>
    </row>
    <row r="1972" spans="2:13" ht="15.75" x14ac:dyDescent="0.25">
      <c r="B1972" s="692"/>
      <c r="C1972" s="117" t="str">
        <f>IF(ISNUMBER(B1972),IFERROR(VLOOKUP(B1972,'נתוני רישום ומצבת'!B:J,3,0),""),"")</f>
        <v/>
      </c>
      <c r="D1972" s="693"/>
      <c r="E1972" s="697"/>
      <c r="F1972" s="695"/>
      <c r="G1972" s="696"/>
      <c r="K1972" s="22" t="str">
        <f t="shared" si="61"/>
        <v/>
      </c>
      <c r="M1972" s="534" t="str">
        <f t="shared" si="60"/>
        <v/>
      </c>
    </row>
    <row r="1973" spans="2:13" ht="15.75" x14ac:dyDescent="0.25">
      <c r="B1973" s="692"/>
      <c r="C1973" s="117" t="str">
        <f>IF(ISNUMBER(B1973),IFERROR(VLOOKUP(B1973,'נתוני רישום ומצבת'!B:J,3,0),""),"")</f>
        <v/>
      </c>
      <c r="D1973" s="693"/>
      <c r="E1973" s="697"/>
      <c r="F1973" s="695"/>
      <c r="G1973" s="696"/>
      <c r="K1973" s="22" t="str">
        <f t="shared" si="61"/>
        <v/>
      </c>
      <c r="M1973" s="534" t="str">
        <f t="shared" si="60"/>
        <v/>
      </c>
    </row>
    <row r="1974" spans="2:13" ht="15.75" x14ac:dyDescent="0.25">
      <c r="B1974" s="692"/>
      <c r="C1974" s="117" t="str">
        <f>IF(ISNUMBER(B1974),IFERROR(VLOOKUP(B1974,'נתוני רישום ומצבת'!B:J,3,0),""),"")</f>
        <v/>
      </c>
      <c r="D1974" s="693"/>
      <c r="E1974" s="697"/>
      <c r="F1974" s="695"/>
      <c r="G1974" s="696"/>
      <c r="K1974" s="22" t="str">
        <f t="shared" si="61"/>
        <v/>
      </c>
      <c r="M1974" s="534" t="str">
        <f t="shared" si="60"/>
        <v/>
      </c>
    </row>
    <row r="1975" spans="2:13" ht="15.75" x14ac:dyDescent="0.25">
      <c r="B1975" s="692"/>
      <c r="C1975" s="117" t="str">
        <f>IF(ISNUMBER(B1975),IFERROR(VLOOKUP(B1975,'נתוני רישום ומצבת'!B:J,3,0),""),"")</f>
        <v/>
      </c>
      <c r="D1975" s="693"/>
      <c r="E1975" s="697"/>
      <c r="F1975" s="695"/>
      <c r="G1975" s="696"/>
      <c r="K1975" s="22" t="str">
        <f t="shared" si="61"/>
        <v/>
      </c>
      <c r="M1975" s="534" t="str">
        <f t="shared" si="60"/>
        <v/>
      </c>
    </row>
    <row r="1976" spans="2:13" ht="15.75" x14ac:dyDescent="0.25">
      <c r="B1976" s="692"/>
      <c r="C1976" s="117" t="str">
        <f>IF(ISNUMBER(B1976),IFERROR(VLOOKUP(B1976,'נתוני רישום ומצבת'!B:J,3,0),""),"")</f>
        <v/>
      </c>
      <c r="D1976" s="693"/>
      <c r="E1976" s="697"/>
      <c r="F1976" s="695"/>
      <c r="G1976" s="696"/>
      <c r="K1976" s="22" t="str">
        <f t="shared" si="61"/>
        <v/>
      </c>
      <c r="M1976" s="534" t="str">
        <f t="shared" si="60"/>
        <v/>
      </c>
    </row>
    <row r="1977" spans="2:13" ht="15.75" x14ac:dyDescent="0.25">
      <c r="B1977" s="692"/>
      <c r="C1977" s="117" t="str">
        <f>IF(ISNUMBER(B1977),IFERROR(VLOOKUP(B1977,'נתוני רישום ומצבת'!B:J,3,0),""),"")</f>
        <v/>
      </c>
      <c r="D1977" s="693"/>
      <c r="E1977" s="697"/>
      <c r="F1977" s="695"/>
      <c r="G1977" s="696"/>
      <c r="K1977" s="22" t="str">
        <f t="shared" si="61"/>
        <v/>
      </c>
      <c r="M1977" s="534" t="str">
        <f t="shared" si="60"/>
        <v/>
      </c>
    </row>
    <row r="1978" spans="2:13" ht="15.75" x14ac:dyDescent="0.25">
      <c r="B1978" s="692"/>
      <c r="C1978" s="117" t="str">
        <f>IF(ISNUMBER(B1978),IFERROR(VLOOKUP(B1978,'נתוני רישום ומצבת'!B:J,3,0),""),"")</f>
        <v/>
      </c>
      <c r="D1978" s="693"/>
      <c r="E1978" s="697"/>
      <c r="F1978" s="695"/>
      <c r="G1978" s="696"/>
      <c r="K1978" s="22" t="str">
        <f t="shared" si="61"/>
        <v/>
      </c>
      <c r="M1978" s="534" t="str">
        <f t="shared" si="60"/>
        <v/>
      </c>
    </row>
    <row r="1979" spans="2:13" ht="15.75" x14ac:dyDescent="0.25">
      <c r="B1979" s="692"/>
      <c r="C1979" s="117" t="str">
        <f>IF(ISNUMBER(B1979),IFERROR(VLOOKUP(B1979,'נתוני רישום ומצבת'!B:J,3,0),""),"")</f>
        <v/>
      </c>
      <c r="D1979" s="693"/>
      <c r="E1979" s="697"/>
      <c r="F1979" s="695"/>
      <c r="G1979" s="696"/>
      <c r="K1979" s="22" t="str">
        <f t="shared" si="61"/>
        <v/>
      </c>
      <c r="M1979" s="534" t="str">
        <f t="shared" si="60"/>
        <v/>
      </c>
    </row>
    <row r="1980" spans="2:13" ht="15.75" x14ac:dyDescent="0.25">
      <c r="B1980" s="692"/>
      <c r="C1980" s="117" t="str">
        <f>IF(ISNUMBER(B1980),IFERROR(VLOOKUP(B1980,'נתוני רישום ומצבת'!B:J,3,0),""),"")</f>
        <v/>
      </c>
      <c r="D1980" s="693"/>
      <c r="E1980" s="697"/>
      <c r="F1980" s="695"/>
      <c r="G1980" s="696"/>
      <c r="K1980" s="22" t="str">
        <f t="shared" si="61"/>
        <v/>
      </c>
      <c r="M1980" s="534" t="str">
        <f t="shared" si="60"/>
        <v/>
      </c>
    </row>
    <row r="1981" spans="2:13" ht="15.75" x14ac:dyDescent="0.25">
      <c r="B1981" s="692"/>
      <c r="C1981" s="117" t="str">
        <f>IF(ISNUMBER(B1981),IFERROR(VLOOKUP(B1981,'נתוני רישום ומצבת'!B:J,3,0),""),"")</f>
        <v/>
      </c>
      <c r="D1981" s="693"/>
      <c r="E1981" s="697"/>
      <c r="F1981" s="695"/>
      <c r="G1981" s="696"/>
      <c r="K1981" s="22" t="str">
        <f t="shared" si="61"/>
        <v/>
      </c>
      <c r="M1981" s="534" t="str">
        <f t="shared" si="60"/>
        <v/>
      </c>
    </row>
    <row r="1982" spans="2:13" ht="15.75" x14ac:dyDescent="0.25">
      <c r="B1982" s="692"/>
      <c r="C1982" s="117" t="str">
        <f>IF(ISNUMBER(B1982),IFERROR(VLOOKUP(B1982,'נתוני רישום ומצבת'!B:J,3,0),""),"")</f>
        <v/>
      </c>
      <c r="D1982" s="693"/>
      <c r="E1982" s="697"/>
      <c r="F1982" s="695"/>
      <c r="G1982" s="696"/>
      <c r="K1982" s="22" t="str">
        <f t="shared" si="61"/>
        <v/>
      </c>
      <c r="M1982" s="534" t="str">
        <f t="shared" si="60"/>
        <v/>
      </c>
    </row>
    <row r="1983" spans="2:13" ht="15.75" x14ac:dyDescent="0.25">
      <c r="B1983" s="692"/>
      <c r="C1983" s="117" t="str">
        <f>IF(ISNUMBER(B1983),IFERROR(VLOOKUP(B1983,'נתוני רישום ומצבת'!B:J,3,0),""),"")</f>
        <v/>
      </c>
      <c r="D1983" s="693"/>
      <c r="E1983" s="697"/>
      <c r="F1983" s="695"/>
      <c r="G1983" s="696"/>
      <c r="K1983" s="22" t="str">
        <f t="shared" si="61"/>
        <v/>
      </c>
      <c r="M1983" s="534" t="str">
        <f t="shared" si="60"/>
        <v/>
      </c>
    </row>
    <row r="1984" spans="2:13" ht="15.75" x14ac:dyDescent="0.25">
      <c r="B1984" s="692"/>
      <c r="C1984" s="117" t="str">
        <f>IF(ISNUMBER(B1984),IFERROR(VLOOKUP(B1984,'נתוני רישום ומצבת'!B:J,3,0),""),"")</f>
        <v/>
      </c>
      <c r="D1984" s="693"/>
      <c r="E1984" s="697"/>
      <c r="F1984" s="695"/>
      <c r="G1984" s="696"/>
      <c r="K1984" s="22" t="str">
        <f t="shared" si="61"/>
        <v/>
      </c>
      <c r="M1984" s="534" t="str">
        <f t="shared" si="60"/>
        <v/>
      </c>
    </row>
    <row r="1985" spans="2:13" ht="15.75" x14ac:dyDescent="0.25">
      <c r="B1985" s="692"/>
      <c r="C1985" s="117" t="str">
        <f>IF(ISNUMBER(B1985),IFERROR(VLOOKUP(B1985,'נתוני רישום ומצבת'!B:J,3,0),""),"")</f>
        <v/>
      </c>
      <c r="D1985" s="693"/>
      <c r="E1985" s="697"/>
      <c r="F1985" s="695"/>
      <c r="G1985" s="696"/>
      <c r="K1985" s="22" t="str">
        <f t="shared" si="61"/>
        <v/>
      </c>
      <c r="M1985" s="534" t="str">
        <f t="shared" si="60"/>
        <v/>
      </c>
    </row>
    <row r="1986" spans="2:13" ht="15.75" x14ac:dyDescent="0.25">
      <c r="B1986" s="692"/>
      <c r="C1986" s="117" t="str">
        <f>IF(ISNUMBER(B1986),IFERROR(VLOOKUP(B1986,'נתוני רישום ומצבת'!B:J,3,0),""),"")</f>
        <v/>
      </c>
      <c r="D1986" s="693"/>
      <c r="E1986" s="697"/>
      <c r="F1986" s="695"/>
      <c r="G1986" s="696"/>
      <c r="K1986" s="22" t="str">
        <f t="shared" si="61"/>
        <v/>
      </c>
      <c r="M1986" s="534" t="str">
        <f t="shared" si="60"/>
        <v/>
      </c>
    </row>
    <row r="1987" spans="2:13" ht="15.75" x14ac:dyDescent="0.25">
      <c r="B1987" s="692"/>
      <c r="C1987" s="117" t="str">
        <f>IF(ISNUMBER(B1987),IFERROR(VLOOKUP(B1987,'נתוני רישום ומצבת'!B:J,3,0),""),"")</f>
        <v/>
      </c>
      <c r="D1987" s="693"/>
      <c r="E1987" s="697"/>
      <c r="F1987" s="695"/>
      <c r="G1987" s="696"/>
      <c r="K1987" s="22" t="str">
        <f t="shared" si="61"/>
        <v/>
      </c>
      <c r="M1987" s="534" t="str">
        <f t="shared" si="60"/>
        <v/>
      </c>
    </row>
    <row r="1988" spans="2:13" ht="15.75" x14ac:dyDescent="0.25">
      <c r="B1988" s="692"/>
      <c r="C1988" s="117" t="str">
        <f>IF(ISNUMBER(B1988),IFERROR(VLOOKUP(B1988,'נתוני רישום ומצבת'!B:J,3,0),""),"")</f>
        <v/>
      </c>
      <c r="D1988" s="693"/>
      <c r="E1988" s="697"/>
      <c r="F1988" s="695"/>
      <c r="G1988" s="696"/>
      <c r="K1988" s="22" t="str">
        <f t="shared" si="61"/>
        <v/>
      </c>
      <c r="M1988" s="534" t="str">
        <f t="shared" si="60"/>
        <v/>
      </c>
    </row>
    <row r="1989" spans="2:13" ht="15.75" x14ac:dyDescent="0.25">
      <c r="B1989" s="692"/>
      <c r="C1989" s="117" t="str">
        <f>IF(ISNUMBER(B1989),IFERROR(VLOOKUP(B1989,'נתוני רישום ומצבת'!B:J,3,0),""),"")</f>
        <v/>
      </c>
      <c r="D1989" s="693"/>
      <c r="E1989" s="697"/>
      <c r="F1989" s="695"/>
      <c r="G1989" s="696"/>
      <c r="K1989" s="22" t="str">
        <f t="shared" si="61"/>
        <v/>
      </c>
      <c r="M1989" s="534" t="str">
        <f t="shared" si="60"/>
        <v/>
      </c>
    </row>
    <row r="1990" spans="2:13" ht="15.75" x14ac:dyDescent="0.25">
      <c r="B1990" s="692"/>
      <c r="C1990" s="117" t="str">
        <f>IF(ISNUMBER(B1990),IFERROR(VLOOKUP(B1990,'נתוני רישום ומצבת'!B:J,3,0),""),"")</f>
        <v/>
      </c>
      <c r="D1990" s="693"/>
      <c r="E1990" s="697"/>
      <c r="F1990" s="695"/>
      <c r="G1990" s="696"/>
      <c r="K1990" s="22" t="str">
        <f t="shared" si="61"/>
        <v/>
      </c>
      <c r="M1990" s="534" t="str">
        <f t="shared" si="60"/>
        <v/>
      </c>
    </row>
    <row r="1991" spans="2:13" ht="15.75" x14ac:dyDescent="0.25">
      <c r="B1991" s="692"/>
      <c r="C1991" s="117" t="str">
        <f>IF(ISNUMBER(B1991),IFERROR(VLOOKUP(B1991,'נתוני רישום ומצבת'!B:J,3,0),""),"")</f>
        <v/>
      </c>
      <c r="D1991" s="693"/>
      <c r="E1991" s="697"/>
      <c r="F1991" s="695"/>
      <c r="G1991" s="696"/>
      <c r="K1991" s="22" t="str">
        <f t="shared" si="61"/>
        <v/>
      </c>
      <c r="M1991" s="534" t="str">
        <f t="shared" si="60"/>
        <v/>
      </c>
    </row>
    <row r="1992" spans="2:13" ht="15.75" x14ac:dyDescent="0.25">
      <c r="B1992" s="692"/>
      <c r="C1992" s="117" t="str">
        <f>IF(ISNUMBER(B1992),IFERROR(VLOOKUP(B1992,'נתוני רישום ומצבת'!B:J,3,0),""),"")</f>
        <v/>
      </c>
      <c r="D1992" s="693"/>
      <c r="E1992" s="697"/>
      <c r="F1992" s="695"/>
      <c r="G1992" s="696"/>
      <c r="K1992" s="22" t="str">
        <f t="shared" si="61"/>
        <v/>
      </c>
      <c r="M1992" s="534" t="str">
        <f t="shared" si="60"/>
        <v/>
      </c>
    </row>
    <row r="1993" spans="2:13" ht="15.75" x14ac:dyDescent="0.25">
      <c r="B1993" s="692"/>
      <c r="C1993" s="117" t="str">
        <f>IF(ISNUMBER(B1993),IFERROR(VLOOKUP(B1993,'נתוני רישום ומצבת'!B:J,3,0),""),"")</f>
        <v/>
      </c>
      <c r="D1993" s="693"/>
      <c r="E1993" s="697"/>
      <c r="F1993" s="695"/>
      <c r="G1993" s="696"/>
      <c r="K1993" s="22" t="str">
        <f t="shared" si="61"/>
        <v/>
      </c>
      <c r="M1993" s="534" t="str">
        <f t="shared" si="60"/>
        <v/>
      </c>
    </row>
    <row r="1994" spans="2:13" ht="15.75" x14ac:dyDescent="0.25">
      <c r="B1994" s="692"/>
      <c r="C1994" s="117" t="str">
        <f>IF(ISNUMBER(B1994),IFERROR(VLOOKUP(B1994,'נתוני רישום ומצבת'!B:J,3,0),""),"")</f>
        <v/>
      </c>
      <c r="D1994" s="693"/>
      <c r="E1994" s="697"/>
      <c r="F1994" s="695"/>
      <c r="G1994" s="696"/>
      <c r="K1994" s="22" t="str">
        <f t="shared" si="61"/>
        <v/>
      </c>
      <c r="M1994" s="534" t="str">
        <f t="shared" si="60"/>
        <v/>
      </c>
    </row>
    <row r="1995" spans="2:13" ht="15.75" x14ac:dyDescent="0.25">
      <c r="B1995" s="692"/>
      <c r="C1995" s="117" t="str">
        <f>IF(ISNUMBER(B1995),IFERROR(VLOOKUP(B1995,'נתוני רישום ומצבת'!B:J,3,0),""),"")</f>
        <v/>
      </c>
      <c r="D1995" s="693"/>
      <c r="E1995" s="697"/>
      <c r="F1995" s="695"/>
      <c r="G1995" s="696"/>
      <c r="K1995" s="22" t="str">
        <f t="shared" si="61"/>
        <v/>
      </c>
      <c r="M1995" s="534" t="str">
        <f t="shared" si="60"/>
        <v/>
      </c>
    </row>
    <row r="1996" spans="2:13" ht="15.75" x14ac:dyDescent="0.25">
      <c r="B1996" s="692"/>
      <c r="C1996" s="117" t="str">
        <f>IF(ISNUMBER(B1996),IFERROR(VLOOKUP(B1996,'נתוני רישום ומצבת'!B:J,3,0),""),"")</f>
        <v/>
      </c>
      <c r="D1996" s="693"/>
      <c r="E1996" s="697"/>
      <c r="F1996" s="695"/>
      <c r="G1996" s="696"/>
      <c r="K1996" s="22" t="str">
        <f t="shared" si="61"/>
        <v/>
      </c>
      <c r="M1996" s="534" t="str">
        <f t="shared" si="60"/>
        <v/>
      </c>
    </row>
    <row r="1997" spans="2:13" ht="15.75" x14ac:dyDescent="0.25">
      <c r="B1997" s="692"/>
      <c r="C1997" s="117" t="str">
        <f>IF(ISNUMBER(B1997),IFERROR(VLOOKUP(B1997,'נתוני רישום ומצבת'!B:J,3,0),""),"")</f>
        <v/>
      </c>
      <c r="D1997" s="693"/>
      <c r="E1997" s="697"/>
      <c r="F1997" s="695"/>
      <c r="G1997" s="696"/>
      <c r="K1997" s="22" t="str">
        <f t="shared" si="61"/>
        <v/>
      </c>
      <c r="M1997" s="534" t="str">
        <f t="shared" si="60"/>
        <v/>
      </c>
    </row>
    <row r="1998" spans="2:13" ht="15.75" x14ac:dyDescent="0.25">
      <c r="B1998" s="692"/>
      <c r="C1998" s="117" t="str">
        <f>IF(ISNUMBER(B1998),IFERROR(VLOOKUP(B1998,'נתוני רישום ומצבת'!B:J,3,0),""),"")</f>
        <v/>
      </c>
      <c r="D1998" s="693"/>
      <c r="E1998" s="697"/>
      <c r="F1998" s="695"/>
      <c r="G1998" s="696"/>
      <c r="K1998" s="22" t="str">
        <f t="shared" si="61"/>
        <v/>
      </c>
      <c r="M1998" s="534" t="str">
        <f t="shared" si="60"/>
        <v/>
      </c>
    </row>
    <row r="1999" spans="2:13" ht="15.75" x14ac:dyDescent="0.25">
      <c r="B1999" s="692"/>
      <c r="C1999" s="117" t="str">
        <f>IF(ISNUMBER(B1999),IFERROR(VLOOKUP(B1999,'נתוני רישום ומצבת'!B:J,3,0),""),"")</f>
        <v/>
      </c>
      <c r="D1999" s="693"/>
      <c r="E1999" s="697"/>
      <c r="F1999" s="695"/>
      <c r="G1999" s="696"/>
      <c r="K1999" s="22" t="str">
        <f t="shared" si="61"/>
        <v/>
      </c>
      <c r="M1999" s="534" t="str">
        <f t="shared" si="60"/>
        <v/>
      </c>
    </row>
    <row r="2000" spans="2:13" ht="15.75" x14ac:dyDescent="0.25">
      <c r="B2000" s="692"/>
      <c r="C2000" s="117" t="str">
        <f>IF(ISNUMBER(B2000),IFERROR(VLOOKUP(B2000,'נתוני רישום ומצבת'!B:J,3,0),""),"")</f>
        <v/>
      </c>
      <c r="D2000" s="693"/>
      <c r="E2000" s="697"/>
      <c r="F2000" s="695"/>
      <c r="G2000" s="696"/>
      <c r="K2000" s="22" t="str">
        <f t="shared" si="61"/>
        <v/>
      </c>
      <c r="M2000" s="534" t="str">
        <f t="shared" si="60"/>
        <v/>
      </c>
    </row>
    <row r="2001" spans="2:13" ht="15.75" x14ac:dyDescent="0.25">
      <c r="B2001" s="692"/>
      <c r="C2001" s="117" t="str">
        <f>IF(ISNUMBER(B2001),IFERROR(VLOOKUP(B2001,'נתוני רישום ומצבת'!B:J,3,0),""),"")</f>
        <v/>
      </c>
      <c r="D2001" s="693"/>
      <c r="E2001" s="697"/>
      <c r="F2001" s="695"/>
      <c r="G2001" s="696"/>
      <c r="K2001" s="22" t="str">
        <f t="shared" si="61"/>
        <v/>
      </c>
      <c r="M2001" s="534" t="str">
        <f t="shared" ref="M2001:M2064" si="62">TEXT(LEFT(D2001,2),0)</f>
        <v/>
      </c>
    </row>
    <row r="2002" spans="2:13" ht="15.75" x14ac:dyDescent="0.25">
      <c r="B2002" s="692"/>
      <c r="C2002" s="117" t="str">
        <f>IF(ISNUMBER(B2002),IFERROR(VLOOKUP(B2002,'נתוני רישום ומצבת'!B:J,3,0),""),"")</f>
        <v/>
      </c>
      <c r="D2002" s="693"/>
      <c r="E2002" s="697"/>
      <c r="F2002" s="695"/>
      <c r="G2002" s="696"/>
      <c r="K2002" s="22" t="str">
        <f t="shared" si="61"/>
        <v/>
      </c>
      <c r="M2002" s="534" t="str">
        <f t="shared" si="62"/>
        <v/>
      </c>
    </row>
    <row r="2003" spans="2:13" ht="15.75" x14ac:dyDescent="0.25">
      <c r="B2003" s="692"/>
      <c r="C2003" s="117" t="str">
        <f>IF(ISNUMBER(B2003),IFERROR(VLOOKUP(B2003,'נתוני רישום ומצבת'!B:J,3,0),""),"")</f>
        <v/>
      </c>
      <c r="D2003" s="693"/>
      <c r="E2003" s="697"/>
      <c r="F2003" s="695"/>
      <c r="G2003" s="696"/>
      <c r="K2003" s="22" t="str">
        <f t="shared" si="61"/>
        <v/>
      </c>
      <c r="M2003" s="534" t="str">
        <f t="shared" si="62"/>
        <v/>
      </c>
    </row>
    <row r="2004" spans="2:13" ht="15.75" x14ac:dyDescent="0.25">
      <c r="B2004" s="692"/>
      <c r="C2004" s="117" t="str">
        <f>IF(ISNUMBER(B2004),IFERROR(VLOOKUP(B2004,'נתוני רישום ומצבת'!B:J,3,0),""),"")</f>
        <v/>
      </c>
      <c r="D2004" s="693"/>
      <c r="E2004" s="697"/>
      <c r="F2004" s="695"/>
      <c r="G2004" s="696"/>
      <c r="K2004" s="22" t="str">
        <f t="shared" si="61"/>
        <v/>
      </c>
      <c r="M2004" s="534" t="str">
        <f t="shared" si="62"/>
        <v/>
      </c>
    </row>
    <row r="2005" spans="2:13" ht="15.75" x14ac:dyDescent="0.25">
      <c r="B2005" s="692"/>
      <c r="C2005" s="117" t="str">
        <f>IF(ISNUMBER(B2005),IFERROR(VLOOKUP(B2005,'נתוני רישום ומצבת'!B:J,3,0),""),"")</f>
        <v/>
      </c>
      <c r="D2005" s="693"/>
      <c r="E2005" s="697"/>
      <c r="F2005" s="695"/>
      <c r="G2005" s="696"/>
      <c r="K2005" s="22" t="str">
        <f t="shared" ref="K2005:K2068" si="63">IF(C1992&lt;5,IF(D2005=$F$8,-E2005," "),"")</f>
        <v/>
      </c>
      <c r="M2005" s="534" t="str">
        <f t="shared" si="62"/>
        <v/>
      </c>
    </row>
    <row r="2006" spans="2:13" ht="15.75" x14ac:dyDescent="0.25">
      <c r="B2006" s="692"/>
      <c r="C2006" s="117" t="str">
        <f>IF(ISNUMBER(B2006),IFERROR(VLOOKUP(B2006,'נתוני רישום ומצבת'!B:J,3,0),""),"")</f>
        <v/>
      </c>
      <c r="D2006" s="693"/>
      <c r="E2006" s="697"/>
      <c r="F2006" s="695"/>
      <c r="G2006" s="696"/>
      <c r="K2006" s="22" t="str">
        <f t="shared" si="63"/>
        <v/>
      </c>
      <c r="M2006" s="534" t="str">
        <f t="shared" si="62"/>
        <v/>
      </c>
    </row>
    <row r="2007" spans="2:13" ht="15.75" x14ac:dyDescent="0.25">
      <c r="B2007" s="692"/>
      <c r="C2007" s="117" t="str">
        <f>IF(ISNUMBER(B2007),IFERROR(VLOOKUP(B2007,'נתוני רישום ומצבת'!B:J,3,0),""),"")</f>
        <v/>
      </c>
      <c r="D2007" s="693"/>
      <c r="E2007" s="697"/>
      <c r="F2007" s="695"/>
      <c r="G2007" s="696"/>
      <c r="K2007" s="22" t="str">
        <f t="shared" si="63"/>
        <v/>
      </c>
      <c r="M2007" s="534" t="str">
        <f t="shared" si="62"/>
        <v/>
      </c>
    </row>
    <row r="2008" spans="2:13" ht="15.75" x14ac:dyDescent="0.25">
      <c r="B2008" s="692"/>
      <c r="C2008" s="117" t="str">
        <f>IF(ISNUMBER(B2008),IFERROR(VLOOKUP(B2008,'נתוני רישום ומצבת'!B:J,3,0),""),"")</f>
        <v/>
      </c>
      <c r="D2008" s="693"/>
      <c r="E2008" s="697"/>
      <c r="F2008" s="695"/>
      <c r="G2008" s="696"/>
      <c r="K2008" s="22" t="str">
        <f t="shared" si="63"/>
        <v/>
      </c>
      <c r="M2008" s="534" t="str">
        <f t="shared" si="62"/>
        <v/>
      </c>
    </row>
    <row r="2009" spans="2:13" ht="15.75" x14ac:dyDescent="0.25">
      <c r="B2009" s="692"/>
      <c r="C2009" s="117" t="str">
        <f>IF(ISNUMBER(B2009),IFERROR(VLOOKUP(B2009,'נתוני רישום ומצבת'!B:J,3,0),""),"")</f>
        <v/>
      </c>
      <c r="D2009" s="693"/>
      <c r="E2009" s="697"/>
      <c r="F2009" s="695"/>
      <c r="G2009" s="696"/>
      <c r="K2009" s="22" t="str">
        <f t="shared" si="63"/>
        <v/>
      </c>
      <c r="M2009" s="534" t="str">
        <f t="shared" si="62"/>
        <v/>
      </c>
    </row>
    <row r="2010" spans="2:13" ht="15.75" x14ac:dyDescent="0.25">
      <c r="B2010" s="692"/>
      <c r="C2010" s="117" t="str">
        <f>IF(ISNUMBER(B2010),IFERROR(VLOOKUP(B2010,'נתוני רישום ומצבת'!B:J,3,0),""),"")</f>
        <v/>
      </c>
      <c r="D2010" s="693"/>
      <c r="E2010" s="697"/>
      <c r="F2010" s="695"/>
      <c r="G2010" s="696"/>
      <c r="K2010" s="22" t="str">
        <f t="shared" si="63"/>
        <v/>
      </c>
      <c r="M2010" s="534" t="str">
        <f t="shared" si="62"/>
        <v/>
      </c>
    </row>
    <row r="2011" spans="2:13" ht="15.75" x14ac:dyDescent="0.25">
      <c r="B2011" s="692"/>
      <c r="C2011" s="117" t="str">
        <f>IF(ISNUMBER(B2011),IFERROR(VLOOKUP(B2011,'נתוני רישום ומצבת'!B:J,3,0),""),"")</f>
        <v/>
      </c>
      <c r="D2011" s="693"/>
      <c r="E2011" s="697"/>
      <c r="F2011" s="695"/>
      <c r="G2011" s="696"/>
      <c r="K2011" s="22" t="str">
        <f t="shared" si="63"/>
        <v/>
      </c>
      <c r="M2011" s="534" t="str">
        <f t="shared" si="62"/>
        <v/>
      </c>
    </row>
    <row r="2012" spans="2:13" ht="15.75" x14ac:dyDescent="0.25">
      <c r="B2012" s="692"/>
      <c r="C2012" s="117" t="str">
        <f>IF(ISNUMBER(B2012),IFERROR(VLOOKUP(B2012,'נתוני רישום ומצבת'!B:J,3,0),""),"")</f>
        <v/>
      </c>
      <c r="D2012" s="693"/>
      <c r="E2012" s="697"/>
      <c r="F2012" s="695"/>
      <c r="G2012" s="696"/>
      <c r="K2012" s="22" t="str">
        <f t="shared" si="63"/>
        <v/>
      </c>
      <c r="M2012" s="534" t="str">
        <f t="shared" si="62"/>
        <v/>
      </c>
    </row>
    <row r="2013" spans="2:13" ht="15.75" x14ac:dyDescent="0.25">
      <c r="B2013" s="692"/>
      <c r="C2013" s="117" t="str">
        <f>IF(ISNUMBER(B2013),IFERROR(VLOOKUP(B2013,'נתוני רישום ומצבת'!B:J,3,0),""),"")</f>
        <v/>
      </c>
      <c r="D2013" s="693"/>
      <c r="E2013" s="697"/>
      <c r="F2013" s="695"/>
      <c r="G2013" s="696"/>
      <c r="K2013" s="22" t="str">
        <f t="shared" si="63"/>
        <v/>
      </c>
      <c r="M2013" s="534" t="str">
        <f t="shared" si="62"/>
        <v/>
      </c>
    </row>
    <row r="2014" spans="2:13" ht="15.75" x14ac:dyDescent="0.25">
      <c r="B2014" s="692"/>
      <c r="C2014" s="117" t="str">
        <f>IF(ISNUMBER(B2014),IFERROR(VLOOKUP(B2014,'נתוני רישום ומצבת'!B:J,3,0),""),"")</f>
        <v/>
      </c>
      <c r="D2014" s="693"/>
      <c r="E2014" s="697"/>
      <c r="F2014" s="695"/>
      <c r="G2014" s="696"/>
      <c r="K2014" s="22" t="str">
        <f t="shared" si="63"/>
        <v/>
      </c>
      <c r="M2014" s="534" t="str">
        <f t="shared" si="62"/>
        <v/>
      </c>
    </row>
    <row r="2015" spans="2:13" ht="15.75" x14ac:dyDescent="0.25">
      <c r="B2015" s="692"/>
      <c r="C2015" s="117" t="str">
        <f>IF(ISNUMBER(B2015),IFERROR(VLOOKUP(B2015,'נתוני רישום ומצבת'!B:J,3,0),""),"")</f>
        <v/>
      </c>
      <c r="D2015" s="693"/>
      <c r="E2015" s="697"/>
      <c r="F2015" s="695"/>
      <c r="G2015" s="696"/>
      <c r="K2015" s="22" t="str">
        <f t="shared" si="63"/>
        <v/>
      </c>
      <c r="M2015" s="534" t="str">
        <f t="shared" si="62"/>
        <v/>
      </c>
    </row>
    <row r="2016" spans="2:13" ht="15.75" x14ac:dyDescent="0.25">
      <c r="B2016" s="692"/>
      <c r="C2016" s="117" t="str">
        <f>IF(ISNUMBER(B2016),IFERROR(VLOOKUP(B2016,'נתוני רישום ומצבת'!B:J,3,0),""),"")</f>
        <v/>
      </c>
      <c r="D2016" s="693"/>
      <c r="E2016" s="697"/>
      <c r="F2016" s="695"/>
      <c r="G2016" s="696"/>
      <c r="K2016" s="22" t="str">
        <f t="shared" si="63"/>
        <v/>
      </c>
      <c r="M2016" s="534" t="str">
        <f t="shared" si="62"/>
        <v/>
      </c>
    </row>
    <row r="2017" spans="2:13" ht="15.75" x14ac:dyDescent="0.25">
      <c r="B2017" s="692"/>
      <c r="C2017" s="117" t="str">
        <f>IF(ISNUMBER(B2017),IFERROR(VLOOKUP(B2017,'נתוני רישום ומצבת'!B:J,3,0),""),"")</f>
        <v/>
      </c>
      <c r="D2017" s="693"/>
      <c r="E2017" s="697"/>
      <c r="F2017" s="695"/>
      <c r="G2017" s="696"/>
      <c r="K2017" s="22" t="str">
        <f t="shared" si="63"/>
        <v/>
      </c>
      <c r="M2017" s="534" t="str">
        <f t="shared" si="62"/>
        <v/>
      </c>
    </row>
    <row r="2018" spans="2:13" ht="15.75" x14ac:dyDescent="0.25">
      <c r="B2018" s="692"/>
      <c r="C2018" s="117" t="str">
        <f>IF(ISNUMBER(B2018),IFERROR(VLOOKUP(B2018,'נתוני רישום ומצבת'!B:J,3,0),""),"")</f>
        <v/>
      </c>
      <c r="D2018" s="693"/>
      <c r="E2018" s="697"/>
      <c r="F2018" s="695"/>
      <c r="G2018" s="696"/>
      <c r="K2018" s="22" t="str">
        <f t="shared" si="63"/>
        <v/>
      </c>
      <c r="M2018" s="534" t="str">
        <f t="shared" si="62"/>
        <v/>
      </c>
    </row>
    <row r="2019" spans="2:13" ht="15.75" x14ac:dyDescent="0.25">
      <c r="B2019" s="692"/>
      <c r="C2019" s="117" t="str">
        <f>IF(ISNUMBER(B2019),IFERROR(VLOOKUP(B2019,'נתוני רישום ומצבת'!B:J,3,0),""),"")</f>
        <v/>
      </c>
      <c r="D2019" s="693"/>
      <c r="E2019" s="697"/>
      <c r="F2019" s="695"/>
      <c r="G2019" s="696"/>
      <c r="K2019" s="22" t="str">
        <f t="shared" si="63"/>
        <v/>
      </c>
      <c r="M2019" s="534" t="str">
        <f t="shared" si="62"/>
        <v/>
      </c>
    </row>
    <row r="2020" spans="2:13" ht="15.75" x14ac:dyDescent="0.25">
      <c r="B2020" s="692"/>
      <c r="C2020" s="117" t="str">
        <f>IF(ISNUMBER(B2020),IFERROR(VLOOKUP(B2020,'נתוני רישום ומצבת'!B:J,3,0),""),"")</f>
        <v/>
      </c>
      <c r="D2020" s="693"/>
      <c r="E2020" s="697"/>
      <c r="F2020" s="695"/>
      <c r="G2020" s="696"/>
      <c r="K2020" s="22" t="str">
        <f t="shared" si="63"/>
        <v/>
      </c>
      <c r="M2020" s="534" t="str">
        <f t="shared" si="62"/>
        <v/>
      </c>
    </row>
    <row r="2021" spans="2:13" ht="15.75" x14ac:dyDescent="0.25">
      <c r="B2021" s="692"/>
      <c r="C2021" s="117" t="str">
        <f>IF(ISNUMBER(B2021),IFERROR(VLOOKUP(B2021,'נתוני רישום ומצבת'!B:J,3,0),""),"")</f>
        <v/>
      </c>
      <c r="D2021" s="693"/>
      <c r="E2021" s="697"/>
      <c r="F2021" s="695"/>
      <c r="G2021" s="696"/>
      <c r="K2021" s="22" t="str">
        <f t="shared" si="63"/>
        <v/>
      </c>
      <c r="M2021" s="534" t="str">
        <f t="shared" si="62"/>
        <v/>
      </c>
    </row>
    <row r="2022" spans="2:13" ht="15.75" x14ac:dyDescent="0.25">
      <c r="B2022" s="692"/>
      <c r="C2022" s="117" t="str">
        <f>IF(ISNUMBER(B2022),IFERROR(VLOOKUP(B2022,'נתוני רישום ומצבת'!B:J,3,0),""),"")</f>
        <v/>
      </c>
      <c r="D2022" s="693"/>
      <c r="E2022" s="697"/>
      <c r="F2022" s="695"/>
      <c r="G2022" s="696"/>
      <c r="K2022" s="22" t="str">
        <f t="shared" si="63"/>
        <v/>
      </c>
      <c r="M2022" s="534" t="str">
        <f t="shared" si="62"/>
        <v/>
      </c>
    </row>
    <row r="2023" spans="2:13" ht="15.75" x14ac:dyDescent="0.25">
      <c r="B2023" s="692"/>
      <c r="C2023" s="117" t="str">
        <f>IF(ISNUMBER(B2023),IFERROR(VLOOKUP(B2023,'נתוני רישום ומצבת'!B:J,3,0),""),"")</f>
        <v/>
      </c>
      <c r="D2023" s="693"/>
      <c r="E2023" s="697"/>
      <c r="F2023" s="695"/>
      <c r="G2023" s="696"/>
      <c r="K2023" s="22" t="str">
        <f t="shared" si="63"/>
        <v/>
      </c>
      <c r="M2023" s="534" t="str">
        <f t="shared" si="62"/>
        <v/>
      </c>
    </row>
    <row r="2024" spans="2:13" ht="15.75" x14ac:dyDescent="0.25">
      <c r="B2024" s="692"/>
      <c r="C2024" s="117" t="str">
        <f>IF(ISNUMBER(B2024),IFERROR(VLOOKUP(B2024,'נתוני רישום ומצבת'!B:J,3,0),""),"")</f>
        <v/>
      </c>
      <c r="D2024" s="693"/>
      <c r="E2024" s="697"/>
      <c r="F2024" s="695"/>
      <c r="G2024" s="696"/>
      <c r="K2024" s="22" t="str">
        <f t="shared" si="63"/>
        <v/>
      </c>
      <c r="M2024" s="534" t="str">
        <f t="shared" si="62"/>
        <v/>
      </c>
    </row>
    <row r="2025" spans="2:13" ht="15.75" x14ac:dyDescent="0.25">
      <c r="B2025" s="692"/>
      <c r="C2025" s="117" t="str">
        <f>IF(ISNUMBER(B2025),IFERROR(VLOOKUP(B2025,'נתוני רישום ומצבת'!B:J,3,0),""),"")</f>
        <v/>
      </c>
      <c r="D2025" s="693"/>
      <c r="E2025" s="697"/>
      <c r="F2025" s="695"/>
      <c r="G2025" s="696"/>
      <c r="K2025" s="22" t="str">
        <f t="shared" si="63"/>
        <v/>
      </c>
      <c r="M2025" s="534" t="str">
        <f t="shared" si="62"/>
        <v/>
      </c>
    </row>
    <row r="2026" spans="2:13" ht="15.75" x14ac:dyDescent="0.25">
      <c r="B2026" s="692"/>
      <c r="C2026" s="117" t="str">
        <f>IF(ISNUMBER(B2026),IFERROR(VLOOKUP(B2026,'נתוני רישום ומצבת'!B:J,3,0),""),"")</f>
        <v/>
      </c>
      <c r="D2026" s="693"/>
      <c r="E2026" s="697"/>
      <c r="F2026" s="695"/>
      <c r="G2026" s="696"/>
      <c r="K2026" s="22" t="str">
        <f t="shared" si="63"/>
        <v/>
      </c>
      <c r="M2026" s="534" t="str">
        <f t="shared" si="62"/>
        <v/>
      </c>
    </row>
    <row r="2027" spans="2:13" ht="15.75" x14ac:dyDescent="0.25">
      <c r="B2027" s="692"/>
      <c r="C2027" s="117" t="str">
        <f>IF(ISNUMBER(B2027),IFERROR(VLOOKUP(B2027,'נתוני רישום ומצבת'!B:J,3,0),""),"")</f>
        <v/>
      </c>
      <c r="D2027" s="693"/>
      <c r="E2027" s="697"/>
      <c r="F2027" s="695"/>
      <c r="G2027" s="696"/>
      <c r="K2027" s="22" t="str">
        <f t="shared" si="63"/>
        <v/>
      </c>
      <c r="M2027" s="534" t="str">
        <f t="shared" si="62"/>
        <v/>
      </c>
    </row>
    <row r="2028" spans="2:13" ht="15.75" x14ac:dyDescent="0.25">
      <c r="B2028" s="692"/>
      <c r="C2028" s="117" t="str">
        <f>IF(ISNUMBER(B2028),IFERROR(VLOOKUP(B2028,'נתוני רישום ומצבת'!B:J,3,0),""),"")</f>
        <v/>
      </c>
      <c r="D2028" s="693"/>
      <c r="E2028" s="697"/>
      <c r="F2028" s="695"/>
      <c r="G2028" s="696"/>
      <c r="K2028" s="22" t="str">
        <f t="shared" si="63"/>
        <v/>
      </c>
      <c r="M2028" s="534" t="str">
        <f t="shared" si="62"/>
        <v/>
      </c>
    </row>
    <row r="2029" spans="2:13" ht="15.75" x14ac:dyDescent="0.25">
      <c r="B2029" s="692"/>
      <c r="C2029" s="117" t="str">
        <f>IF(ISNUMBER(B2029),IFERROR(VLOOKUP(B2029,'נתוני רישום ומצבת'!B:J,3,0),""),"")</f>
        <v/>
      </c>
      <c r="D2029" s="693"/>
      <c r="E2029" s="697"/>
      <c r="F2029" s="695"/>
      <c r="G2029" s="696"/>
      <c r="K2029" s="22" t="str">
        <f t="shared" si="63"/>
        <v/>
      </c>
      <c r="M2029" s="534" t="str">
        <f t="shared" si="62"/>
        <v/>
      </c>
    </row>
    <row r="2030" spans="2:13" ht="15.75" x14ac:dyDescent="0.25">
      <c r="B2030" s="692"/>
      <c r="C2030" s="117" t="str">
        <f>IF(ISNUMBER(B2030),IFERROR(VLOOKUP(B2030,'נתוני רישום ומצבת'!B:J,3,0),""),"")</f>
        <v/>
      </c>
      <c r="D2030" s="693"/>
      <c r="E2030" s="697"/>
      <c r="F2030" s="695"/>
      <c r="G2030" s="696"/>
      <c r="K2030" s="22" t="str">
        <f t="shared" si="63"/>
        <v/>
      </c>
      <c r="M2030" s="534" t="str">
        <f t="shared" si="62"/>
        <v/>
      </c>
    </row>
    <row r="2031" spans="2:13" ht="15.75" x14ac:dyDescent="0.25">
      <c r="B2031" s="692"/>
      <c r="C2031" s="117" t="str">
        <f>IF(ISNUMBER(B2031),IFERROR(VLOOKUP(B2031,'נתוני רישום ומצבת'!B:J,3,0),""),"")</f>
        <v/>
      </c>
      <c r="D2031" s="693"/>
      <c r="E2031" s="697"/>
      <c r="F2031" s="695"/>
      <c r="G2031" s="696"/>
      <c r="K2031" s="22" t="str">
        <f t="shared" si="63"/>
        <v/>
      </c>
      <c r="M2031" s="534" t="str">
        <f t="shared" si="62"/>
        <v/>
      </c>
    </row>
    <row r="2032" spans="2:13" ht="15.75" x14ac:dyDescent="0.25">
      <c r="B2032" s="692"/>
      <c r="C2032" s="117" t="str">
        <f>IF(ISNUMBER(B2032),IFERROR(VLOOKUP(B2032,'נתוני רישום ומצבת'!B:J,3,0),""),"")</f>
        <v/>
      </c>
      <c r="D2032" s="693"/>
      <c r="E2032" s="697"/>
      <c r="F2032" s="695"/>
      <c r="G2032" s="696"/>
      <c r="K2032" s="22" t="str">
        <f t="shared" si="63"/>
        <v/>
      </c>
      <c r="M2032" s="534" t="str">
        <f t="shared" si="62"/>
        <v/>
      </c>
    </row>
    <row r="2033" spans="2:13" ht="15.75" x14ac:dyDescent="0.25">
      <c r="B2033" s="692"/>
      <c r="C2033" s="117" t="str">
        <f>IF(ISNUMBER(B2033),IFERROR(VLOOKUP(B2033,'נתוני רישום ומצבת'!B:J,3,0),""),"")</f>
        <v/>
      </c>
      <c r="D2033" s="693"/>
      <c r="E2033" s="697"/>
      <c r="F2033" s="695"/>
      <c r="G2033" s="696"/>
      <c r="K2033" s="22" t="str">
        <f t="shared" si="63"/>
        <v/>
      </c>
      <c r="M2033" s="534" t="str">
        <f t="shared" si="62"/>
        <v/>
      </c>
    </row>
    <row r="2034" spans="2:13" ht="15.75" x14ac:dyDescent="0.25">
      <c r="B2034" s="692"/>
      <c r="C2034" s="117" t="str">
        <f>IF(ISNUMBER(B2034),IFERROR(VLOOKUP(B2034,'נתוני רישום ומצבת'!B:J,3,0),""),"")</f>
        <v/>
      </c>
      <c r="D2034" s="693"/>
      <c r="E2034" s="697"/>
      <c r="F2034" s="695"/>
      <c r="G2034" s="696"/>
      <c r="K2034" s="22" t="str">
        <f t="shared" si="63"/>
        <v/>
      </c>
      <c r="M2034" s="534" t="str">
        <f t="shared" si="62"/>
        <v/>
      </c>
    </row>
    <row r="2035" spans="2:13" ht="15.75" x14ac:dyDescent="0.25">
      <c r="B2035" s="692"/>
      <c r="C2035" s="117" t="str">
        <f>IF(ISNUMBER(B2035),IFERROR(VLOOKUP(B2035,'נתוני רישום ומצבת'!B:J,3,0),""),"")</f>
        <v/>
      </c>
      <c r="D2035" s="693"/>
      <c r="E2035" s="697"/>
      <c r="F2035" s="695"/>
      <c r="G2035" s="696"/>
      <c r="K2035" s="22" t="str">
        <f t="shared" si="63"/>
        <v/>
      </c>
      <c r="M2035" s="534" t="str">
        <f t="shared" si="62"/>
        <v/>
      </c>
    </row>
    <row r="2036" spans="2:13" ht="15.75" x14ac:dyDescent="0.25">
      <c r="B2036" s="692"/>
      <c r="C2036" s="117" t="str">
        <f>IF(ISNUMBER(B2036),IFERROR(VLOOKUP(B2036,'נתוני רישום ומצבת'!B:J,3,0),""),"")</f>
        <v/>
      </c>
      <c r="D2036" s="693"/>
      <c r="E2036" s="697"/>
      <c r="F2036" s="695"/>
      <c r="G2036" s="696"/>
      <c r="K2036" s="22" t="str">
        <f t="shared" si="63"/>
        <v/>
      </c>
      <c r="M2036" s="534" t="str">
        <f t="shared" si="62"/>
        <v/>
      </c>
    </row>
    <row r="2037" spans="2:13" ht="15.75" x14ac:dyDescent="0.25">
      <c r="B2037" s="692"/>
      <c r="C2037" s="117" t="str">
        <f>IF(ISNUMBER(B2037),IFERROR(VLOOKUP(B2037,'נתוני רישום ומצבת'!B:J,3,0),""),"")</f>
        <v/>
      </c>
      <c r="D2037" s="693"/>
      <c r="E2037" s="697"/>
      <c r="F2037" s="695"/>
      <c r="G2037" s="696"/>
      <c r="K2037" s="22" t="str">
        <f t="shared" si="63"/>
        <v/>
      </c>
      <c r="M2037" s="534" t="str">
        <f t="shared" si="62"/>
        <v/>
      </c>
    </row>
    <row r="2038" spans="2:13" ht="15.75" x14ac:dyDescent="0.25">
      <c r="B2038" s="692"/>
      <c r="C2038" s="117" t="str">
        <f>IF(ISNUMBER(B2038),IFERROR(VLOOKUP(B2038,'נתוני רישום ומצבת'!B:J,3,0),""),"")</f>
        <v/>
      </c>
      <c r="D2038" s="693"/>
      <c r="E2038" s="697"/>
      <c r="F2038" s="695"/>
      <c r="G2038" s="696"/>
      <c r="K2038" s="22" t="str">
        <f t="shared" si="63"/>
        <v/>
      </c>
      <c r="M2038" s="534" t="str">
        <f t="shared" si="62"/>
        <v/>
      </c>
    </row>
    <row r="2039" spans="2:13" ht="15.75" x14ac:dyDescent="0.25">
      <c r="B2039" s="692"/>
      <c r="C2039" s="117" t="str">
        <f>IF(ISNUMBER(B2039),IFERROR(VLOOKUP(B2039,'נתוני רישום ומצבת'!B:J,3,0),""),"")</f>
        <v/>
      </c>
      <c r="D2039" s="693"/>
      <c r="E2039" s="697"/>
      <c r="F2039" s="695"/>
      <c r="G2039" s="696"/>
      <c r="K2039" s="22" t="str">
        <f t="shared" si="63"/>
        <v/>
      </c>
      <c r="M2039" s="534" t="str">
        <f t="shared" si="62"/>
        <v/>
      </c>
    </row>
    <row r="2040" spans="2:13" ht="15.75" x14ac:dyDescent="0.25">
      <c r="B2040" s="692"/>
      <c r="C2040" s="117" t="str">
        <f>IF(ISNUMBER(B2040),IFERROR(VLOOKUP(B2040,'נתוני רישום ומצבת'!B:J,3,0),""),"")</f>
        <v/>
      </c>
      <c r="D2040" s="693"/>
      <c r="E2040" s="697"/>
      <c r="F2040" s="695"/>
      <c r="G2040" s="696"/>
      <c r="K2040" s="22" t="str">
        <f t="shared" si="63"/>
        <v/>
      </c>
      <c r="M2040" s="534" t="str">
        <f t="shared" si="62"/>
        <v/>
      </c>
    </row>
    <row r="2041" spans="2:13" ht="15.75" x14ac:dyDescent="0.25">
      <c r="B2041" s="692"/>
      <c r="C2041" s="117" t="str">
        <f>IF(ISNUMBER(B2041),IFERROR(VLOOKUP(B2041,'נתוני רישום ומצבת'!B:J,3,0),""),"")</f>
        <v/>
      </c>
      <c r="D2041" s="693"/>
      <c r="E2041" s="697"/>
      <c r="F2041" s="695"/>
      <c r="G2041" s="696"/>
      <c r="K2041" s="22" t="str">
        <f t="shared" si="63"/>
        <v/>
      </c>
      <c r="M2041" s="534" t="str">
        <f t="shared" si="62"/>
        <v/>
      </c>
    </row>
    <row r="2042" spans="2:13" ht="15.75" x14ac:dyDescent="0.25">
      <c r="B2042" s="692"/>
      <c r="C2042" s="117" t="str">
        <f>IF(ISNUMBER(B2042),IFERROR(VLOOKUP(B2042,'נתוני רישום ומצבת'!B:J,3,0),""),"")</f>
        <v/>
      </c>
      <c r="D2042" s="693"/>
      <c r="E2042" s="697"/>
      <c r="F2042" s="695"/>
      <c r="G2042" s="696"/>
      <c r="K2042" s="22" t="str">
        <f t="shared" si="63"/>
        <v/>
      </c>
      <c r="M2042" s="534" t="str">
        <f t="shared" si="62"/>
        <v/>
      </c>
    </row>
    <row r="2043" spans="2:13" ht="15.75" x14ac:dyDescent="0.25">
      <c r="B2043" s="692"/>
      <c r="C2043" s="117" t="str">
        <f>IF(ISNUMBER(B2043),IFERROR(VLOOKUP(B2043,'נתוני רישום ומצבת'!B:J,3,0),""),"")</f>
        <v/>
      </c>
      <c r="D2043" s="693"/>
      <c r="E2043" s="697"/>
      <c r="F2043" s="695"/>
      <c r="G2043" s="696"/>
      <c r="K2043" s="22" t="str">
        <f t="shared" si="63"/>
        <v/>
      </c>
      <c r="M2043" s="534" t="str">
        <f t="shared" si="62"/>
        <v/>
      </c>
    </row>
    <row r="2044" spans="2:13" ht="15.75" x14ac:dyDescent="0.25">
      <c r="B2044" s="692"/>
      <c r="C2044" s="117" t="str">
        <f>IF(ISNUMBER(B2044),IFERROR(VLOOKUP(B2044,'נתוני רישום ומצבת'!B:J,3,0),""),"")</f>
        <v/>
      </c>
      <c r="D2044" s="693"/>
      <c r="E2044" s="697"/>
      <c r="F2044" s="695"/>
      <c r="G2044" s="696"/>
      <c r="K2044" s="22" t="str">
        <f t="shared" si="63"/>
        <v/>
      </c>
      <c r="M2044" s="534" t="str">
        <f t="shared" si="62"/>
        <v/>
      </c>
    </row>
    <row r="2045" spans="2:13" ht="15.75" x14ac:dyDescent="0.25">
      <c r="B2045" s="692"/>
      <c r="C2045" s="117" t="str">
        <f>IF(ISNUMBER(B2045),IFERROR(VLOOKUP(B2045,'נתוני רישום ומצבת'!B:J,3,0),""),"")</f>
        <v/>
      </c>
      <c r="D2045" s="693"/>
      <c r="E2045" s="697"/>
      <c r="F2045" s="695"/>
      <c r="G2045" s="696"/>
      <c r="K2045" s="22" t="str">
        <f t="shared" si="63"/>
        <v/>
      </c>
      <c r="M2045" s="534" t="str">
        <f t="shared" si="62"/>
        <v/>
      </c>
    </row>
    <row r="2046" spans="2:13" ht="15.75" x14ac:dyDescent="0.25">
      <c r="B2046" s="692"/>
      <c r="C2046" s="117" t="str">
        <f>IF(ISNUMBER(B2046),IFERROR(VLOOKUP(B2046,'נתוני רישום ומצבת'!B:J,3,0),""),"")</f>
        <v/>
      </c>
      <c r="D2046" s="693"/>
      <c r="E2046" s="697"/>
      <c r="F2046" s="695"/>
      <c r="G2046" s="696"/>
      <c r="K2046" s="22" t="str">
        <f t="shared" si="63"/>
        <v/>
      </c>
      <c r="M2046" s="534" t="str">
        <f t="shared" si="62"/>
        <v/>
      </c>
    </row>
    <row r="2047" spans="2:13" ht="15.75" x14ac:dyDescent="0.25">
      <c r="B2047" s="692"/>
      <c r="C2047" s="117" t="str">
        <f>IF(ISNUMBER(B2047),IFERROR(VLOOKUP(B2047,'נתוני רישום ומצבת'!B:J,3,0),""),"")</f>
        <v/>
      </c>
      <c r="D2047" s="693"/>
      <c r="E2047" s="697"/>
      <c r="F2047" s="695"/>
      <c r="G2047" s="696"/>
      <c r="K2047" s="22" t="str">
        <f t="shared" si="63"/>
        <v/>
      </c>
      <c r="M2047" s="534" t="str">
        <f t="shared" si="62"/>
        <v/>
      </c>
    </row>
    <row r="2048" spans="2:13" ht="15.75" x14ac:dyDescent="0.25">
      <c r="B2048" s="692"/>
      <c r="C2048" s="117" t="str">
        <f>IF(ISNUMBER(B2048),IFERROR(VLOOKUP(B2048,'נתוני רישום ומצבת'!B:J,3,0),""),"")</f>
        <v/>
      </c>
      <c r="D2048" s="693"/>
      <c r="E2048" s="697"/>
      <c r="F2048" s="695"/>
      <c r="G2048" s="696"/>
      <c r="K2048" s="22" t="str">
        <f t="shared" si="63"/>
        <v/>
      </c>
      <c r="M2048" s="534" t="str">
        <f t="shared" si="62"/>
        <v/>
      </c>
    </row>
    <row r="2049" spans="2:13" ht="15.75" x14ac:dyDescent="0.25">
      <c r="B2049" s="692"/>
      <c r="C2049" s="117" t="str">
        <f>IF(ISNUMBER(B2049),IFERROR(VLOOKUP(B2049,'נתוני רישום ומצבת'!B:J,3,0),""),"")</f>
        <v/>
      </c>
      <c r="D2049" s="693"/>
      <c r="E2049" s="697"/>
      <c r="F2049" s="695"/>
      <c r="G2049" s="696"/>
      <c r="K2049" s="22" t="str">
        <f t="shared" si="63"/>
        <v/>
      </c>
      <c r="M2049" s="534" t="str">
        <f t="shared" si="62"/>
        <v/>
      </c>
    </row>
    <row r="2050" spans="2:13" ht="15.75" x14ac:dyDescent="0.25">
      <c r="B2050" s="692"/>
      <c r="C2050" s="117" t="str">
        <f>IF(ISNUMBER(B2050),IFERROR(VLOOKUP(B2050,'נתוני רישום ומצבת'!B:J,3,0),""),"")</f>
        <v/>
      </c>
      <c r="D2050" s="693"/>
      <c r="E2050" s="697"/>
      <c r="F2050" s="695"/>
      <c r="G2050" s="696"/>
      <c r="K2050" s="22" t="str">
        <f t="shared" si="63"/>
        <v/>
      </c>
      <c r="M2050" s="534" t="str">
        <f t="shared" si="62"/>
        <v/>
      </c>
    </row>
    <row r="2051" spans="2:13" ht="15.75" x14ac:dyDescent="0.25">
      <c r="B2051" s="692"/>
      <c r="C2051" s="117" t="str">
        <f>IF(ISNUMBER(B2051),IFERROR(VLOOKUP(B2051,'נתוני רישום ומצבת'!B:J,3,0),""),"")</f>
        <v/>
      </c>
      <c r="D2051" s="693"/>
      <c r="E2051" s="697"/>
      <c r="F2051" s="695"/>
      <c r="G2051" s="696"/>
      <c r="K2051" s="22" t="str">
        <f t="shared" si="63"/>
        <v/>
      </c>
      <c r="M2051" s="534" t="str">
        <f t="shared" si="62"/>
        <v/>
      </c>
    </row>
    <row r="2052" spans="2:13" ht="15.75" x14ac:dyDescent="0.25">
      <c r="B2052" s="692"/>
      <c r="C2052" s="117" t="str">
        <f>IF(ISNUMBER(B2052),IFERROR(VLOOKUP(B2052,'נתוני רישום ומצבת'!B:J,3,0),""),"")</f>
        <v/>
      </c>
      <c r="D2052" s="693"/>
      <c r="E2052" s="697"/>
      <c r="F2052" s="695"/>
      <c r="G2052" s="696"/>
      <c r="K2052" s="22" t="str">
        <f t="shared" si="63"/>
        <v/>
      </c>
      <c r="M2052" s="534" t="str">
        <f t="shared" si="62"/>
        <v/>
      </c>
    </row>
    <row r="2053" spans="2:13" ht="15.75" x14ac:dyDescent="0.25">
      <c r="B2053" s="692"/>
      <c r="C2053" s="117" t="str">
        <f>IF(ISNUMBER(B2053),IFERROR(VLOOKUP(B2053,'נתוני רישום ומצבת'!B:J,3,0),""),"")</f>
        <v/>
      </c>
      <c r="D2053" s="693"/>
      <c r="E2053" s="697"/>
      <c r="F2053" s="695"/>
      <c r="G2053" s="696"/>
      <c r="K2053" s="22" t="str">
        <f t="shared" si="63"/>
        <v/>
      </c>
      <c r="M2053" s="534" t="str">
        <f t="shared" si="62"/>
        <v/>
      </c>
    </row>
    <row r="2054" spans="2:13" ht="15.75" x14ac:dyDescent="0.25">
      <c r="B2054" s="692"/>
      <c r="C2054" s="117" t="str">
        <f>IF(ISNUMBER(B2054),IFERROR(VLOOKUP(B2054,'נתוני רישום ומצבת'!B:J,3,0),""),"")</f>
        <v/>
      </c>
      <c r="D2054" s="693"/>
      <c r="E2054" s="697"/>
      <c r="F2054" s="695"/>
      <c r="G2054" s="696"/>
      <c r="K2054" s="22" t="str">
        <f t="shared" si="63"/>
        <v/>
      </c>
      <c r="M2054" s="534" t="str">
        <f t="shared" si="62"/>
        <v/>
      </c>
    </row>
    <row r="2055" spans="2:13" ht="15.75" x14ac:dyDescent="0.25">
      <c r="B2055" s="692"/>
      <c r="C2055" s="117" t="str">
        <f>IF(ISNUMBER(B2055),IFERROR(VLOOKUP(B2055,'נתוני רישום ומצבת'!B:J,3,0),""),"")</f>
        <v/>
      </c>
      <c r="D2055" s="693"/>
      <c r="E2055" s="697"/>
      <c r="F2055" s="695"/>
      <c r="G2055" s="696"/>
      <c r="K2055" s="22" t="str">
        <f t="shared" si="63"/>
        <v/>
      </c>
      <c r="M2055" s="534" t="str">
        <f t="shared" si="62"/>
        <v/>
      </c>
    </row>
    <row r="2056" spans="2:13" ht="15.75" x14ac:dyDescent="0.25">
      <c r="B2056" s="692"/>
      <c r="C2056" s="117" t="str">
        <f>IF(ISNUMBER(B2056),IFERROR(VLOOKUP(B2056,'נתוני רישום ומצבת'!B:J,3,0),""),"")</f>
        <v/>
      </c>
      <c r="D2056" s="693"/>
      <c r="E2056" s="697"/>
      <c r="F2056" s="695"/>
      <c r="G2056" s="696"/>
      <c r="K2056" s="22" t="str">
        <f t="shared" si="63"/>
        <v/>
      </c>
      <c r="M2056" s="534" t="str">
        <f t="shared" si="62"/>
        <v/>
      </c>
    </row>
    <row r="2057" spans="2:13" ht="15.75" x14ac:dyDescent="0.25">
      <c r="B2057" s="692"/>
      <c r="C2057" s="117" t="str">
        <f>IF(ISNUMBER(B2057),IFERROR(VLOOKUP(B2057,'נתוני רישום ומצבת'!B:J,3,0),""),"")</f>
        <v/>
      </c>
      <c r="D2057" s="693"/>
      <c r="E2057" s="697"/>
      <c r="F2057" s="695"/>
      <c r="G2057" s="696"/>
      <c r="K2057" s="22" t="str">
        <f t="shared" si="63"/>
        <v/>
      </c>
      <c r="M2057" s="534" t="str">
        <f t="shared" si="62"/>
        <v/>
      </c>
    </row>
    <row r="2058" spans="2:13" ht="15.75" x14ac:dyDescent="0.25">
      <c r="B2058" s="692"/>
      <c r="C2058" s="117" t="str">
        <f>IF(ISNUMBER(B2058),IFERROR(VLOOKUP(B2058,'נתוני רישום ומצבת'!B:J,3,0),""),"")</f>
        <v/>
      </c>
      <c r="D2058" s="693"/>
      <c r="E2058" s="697"/>
      <c r="F2058" s="695"/>
      <c r="G2058" s="696"/>
      <c r="K2058" s="22" t="str">
        <f t="shared" si="63"/>
        <v/>
      </c>
      <c r="M2058" s="534" t="str">
        <f t="shared" si="62"/>
        <v/>
      </c>
    </row>
    <row r="2059" spans="2:13" ht="15.75" x14ac:dyDescent="0.25">
      <c r="B2059" s="692"/>
      <c r="C2059" s="117" t="str">
        <f>IF(ISNUMBER(B2059),IFERROR(VLOOKUP(B2059,'נתוני רישום ומצבת'!B:J,3,0),""),"")</f>
        <v/>
      </c>
      <c r="D2059" s="693"/>
      <c r="E2059" s="697"/>
      <c r="F2059" s="695"/>
      <c r="G2059" s="696"/>
      <c r="K2059" s="22" t="str">
        <f t="shared" si="63"/>
        <v/>
      </c>
      <c r="M2059" s="534" t="str">
        <f t="shared" si="62"/>
        <v/>
      </c>
    </row>
    <row r="2060" spans="2:13" ht="15.75" x14ac:dyDescent="0.25">
      <c r="B2060" s="692"/>
      <c r="C2060" s="117" t="str">
        <f>IF(ISNUMBER(B2060),IFERROR(VLOOKUP(B2060,'נתוני רישום ומצבת'!B:J,3,0),""),"")</f>
        <v/>
      </c>
      <c r="D2060" s="693"/>
      <c r="E2060" s="697"/>
      <c r="F2060" s="695"/>
      <c r="G2060" s="696"/>
      <c r="K2060" s="22" t="str">
        <f t="shared" si="63"/>
        <v/>
      </c>
      <c r="M2060" s="534" t="str">
        <f t="shared" si="62"/>
        <v/>
      </c>
    </row>
    <row r="2061" spans="2:13" ht="15.75" x14ac:dyDescent="0.25">
      <c r="B2061" s="692"/>
      <c r="C2061" s="117" t="str">
        <f>IF(ISNUMBER(B2061),IFERROR(VLOOKUP(B2061,'נתוני רישום ומצבת'!B:J,3,0),""),"")</f>
        <v/>
      </c>
      <c r="D2061" s="693"/>
      <c r="E2061" s="697"/>
      <c r="F2061" s="695"/>
      <c r="G2061" s="696"/>
      <c r="K2061" s="22" t="str">
        <f t="shared" si="63"/>
        <v/>
      </c>
      <c r="M2061" s="534" t="str">
        <f t="shared" si="62"/>
        <v/>
      </c>
    </row>
    <row r="2062" spans="2:13" ht="15.75" x14ac:dyDescent="0.25">
      <c r="B2062" s="692"/>
      <c r="C2062" s="117" t="str">
        <f>IF(ISNUMBER(B2062),IFERROR(VLOOKUP(B2062,'נתוני רישום ומצבת'!B:J,3,0),""),"")</f>
        <v/>
      </c>
      <c r="D2062" s="693"/>
      <c r="E2062" s="697"/>
      <c r="F2062" s="695"/>
      <c r="G2062" s="696"/>
      <c r="K2062" s="22" t="str">
        <f t="shared" si="63"/>
        <v/>
      </c>
      <c r="M2062" s="534" t="str">
        <f t="shared" si="62"/>
        <v/>
      </c>
    </row>
    <row r="2063" spans="2:13" ht="15.75" x14ac:dyDescent="0.25">
      <c r="B2063" s="692"/>
      <c r="C2063" s="117" t="str">
        <f>IF(ISNUMBER(B2063),IFERROR(VLOOKUP(B2063,'נתוני רישום ומצבת'!B:J,3,0),""),"")</f>
        <v/>
      </c>
      <c r="D2063" s="693"/>
      <c r="E2063" s="697"/>
      <c r="F2063" s="695"/>
      <c r="G2063" s="696"/>
      <c r="K2063" s="22" t="str">
        <f t="shared" si="63"/>
        <v/>
      </c>
      <c r="M2063" s="534" t="str">
        <f t="shared" si="62"/>
        <v/>
      </c>
    </row>
    <row r="2064" spans="2:13" ht="15.75" x14ac:dyDescent="0.25">
      <c r="B2064" s="692"/>
      <c r="C2064" s="117" t="str">
        <f>IF(ISNUMBER(B2064),IFERROR(VLOOKUP(B2064,'נתוני רישום ומצבת'!B:J,3,0),""),"")</f>
        <v/>
      </c>
      <c r="D2064" s="693"/>
      <c r="E2064" s="697"/>
      <c r="F2064" s="695"/>
      <c r="G2064" s="696"/>
      <c r="K2064" s="22" t="str">
        <f t="shared" si="63"/>
        <v/>
      </c>
      <c r="M2064" s="534" t="str">
        <f t="shared" si="62"/>
        <v/>
      </c>
    </row>
    <row r="2065" spans="2:13" ht="15.75" x14ac:dyDescent="0.25">
      <c r="B2065" s="692"/>
      <c r="C2065" s="117" t="str">
        <f>IF(ISNUMBER(B2065),IFERROR(VLOOKUP(B2065,'נתוני רישום ומצבת'!B:J,3,0),""),"")</f>
        <v/>
      </c>
      <c r="D2065" s="693"/>
      <c r="E2065" s="697"/>
      <c r="F2065" s="695"/>
      <c r="G2065" s="696"/>
      <c r="K2065" s="22" t="str">
        <f t="shared" si="63"/>
        <v/>
      </c>
      <c r="M2065" s="534" t="str">
        <f t="shared" ref="M2065:M2128" si="64">TEXT(LEFT(D2065,2),0)</f>
        <v/>
      </c>
    </row>
    <row r="2066" spans="2:13" ht="15.75" x14ac:dyDescent="0.25">
      <c r="B2066" s="692"/>
      <c r="C2066" s="117" t="str">
        <f>IF(ISNUMBER(B2066),IFERROR(VLOOKUP(B2066,'נתוני רישום ומצבת'!B:J,3,0),""),"")</f>
        <v/>
      </c>
      <c r="D2066" s="693"/>
      <c r="E2066" s="697"/>
      <c r="F2066" s="695"/>
      <c r="G2066" s="696"/>
      <c r="K2066" s="22" t="str">
        <f t="shared" si="63"/>
        <v/>
      </c>
      <c r="M2066" s="534" t="str">
        <f t="shared" si="64"/>
        <v/>
      </c>
    </row>
    <row r="2067" spans="2:13" ht="15.75" x14ac:dyDescent="0.25">
      <c r="B2067" s="692"/>
      <c r="C2067" s="117" t="str">
        <f>IF(ISNUMBER(B2067),IFERROR(VLOOKUP(B2067,'נתוני רישום ומצבת'!B:J,3,0),""),"")</f>
        <v/>
      </c>
      <c r="D2067" s="693"/>
      <c r="E2067" s="697"/>
      <c r="F2067" s="695"/>
      <c r="G2067" s="696"/>
      <c r="K2067" s="22" t="str">
        <f t="shared" si="63"/>
        <v/>
      </c>
      <c r="M2067" s="534" t="str">
        <f t="shared" si="64"/>
        <v/>
      </c>
    </row>
    <row r="2068" spans="2:13" ht="15.75" x14ac:dyDescent="0.25">
      <c r="B2068" s="692"/>
      <c r="C2068" s="117" t="str">
        <f>IF(ISNUMBER(B2068),IFERROR(VLOOKUP(B2068,'נתוני רישום ומצבת'!B:J,3,0),""),"")</f>
        <v/>
      </c>
      <c r="D2068" s="693"/>
      <c r="E2068" s="697"/>
      <c r="F2068" s="695"/>
      <c r="G2068" s="696"/>
      <c r="K2068" s="22" t="str">
        <f t="shared" si="63"/>
        <v/>
      </c>
      <c r="M2068" s="534" t="str">
        <f t="shared" si="64"/>
        <v/>
      </c>
    </row>
    <row r="2069" spans="2:13" ht="15.75" x14ac:dyDescent="0.25">
      <c r="B2069" s="692"/>
      <c r="C2069" s="117" t="str">
        <f>IF(ISNUMBER(B2069),IFERROR(VLOOKUP(B2069,'נתוני רישום ומצבת'!B:J,3,0),""),"")</f>
        <v/>
      </c>
      <c r="D2069" s="693"/>
      <c r="E2069" s="697"/>
      <c r="F2069" s="695"/>
      <c r="G2069" s="696"/>
      <c r="K2069" s="22" t="str">
        <f t="shared" ref="K2069:K2132" si="65">IF(C2056&lt;5,IF(D2069=$F$8,-E2069," "),"")</f>
        <v/>
      </c>
      <c r="M2069" s="534" t="str">
        <f t="shared" si="64"/>
        <v/>
      </c>
    </row>
    <row r="2070" spans="2:13" ht="15.75" x14ac:dyDescent="0.25">
      <c r="B2070" s="692"/>
      <c r="C2070" s="117" t="str">
        <f>IF(ISNUMBER(B2070),IFERROR(VLOOKUP(B2070,'נתוני רישום ומצבת'!B:J,3,0),""),"")</f>
        <v/>
      </c>
      <c r="D2070" s="693"/>
      <c r="E2070" s="697"/>
      <c r="F2070" s="695"/>
      <c r="G2070" s="696"/>
      <c r="K2070" s="22" t="str">
        <f t="shared" si="65"/>
        <v/>
      </c>
      <c r="M2070" s="534" t="str">
        <f t="shared" si="64"/>
        <v/>
      </c>
    </row>
    <row r="2071" spans="2:13" ht="15.75" x14ac:dyDescent="0.25">
      <c r="B2071" s="692"/>
      <c r="C2071" s="117" t="str">
        <f>IF(ISNUMBER(B2071),IFERROR(VLOOKUP(B2071,'נתוני רישום ומצבת'!B:J,3,0),""),"")</f>
        <v/>
      </c>
      <c r="D2071" s="693"/>
      <c r="E2071" s="697"/>
      <c r="F2071" s="695"/>
      <c r="G2071" s="696"/>
      <c r="K2071" s="22" t="str">
        <f t="shared" si="65"/>
        <v/>
      </c>
      <c r="M2071" s="534" t="str">
        <f t="shared" si="64"/>
        <v/>
      </c>
    </row>
    <row r="2072" spans="2:13" ht="15.75" x14ac:dyDescent="0.25">
      <c r="B2072" s="692"/>
      <c r="C2072" s="117" t="str">
        <f>IF(ISNUMBER(B2072),IFERROR(VLOOKUP(B2072,'נתוני רישום ומצבת'!B:J,3,0),""),"")</f>
        <v/>
      </c>
      <c r="D2072" s="693"/>
      <c r="E2072" s="697"/>
      <c r="F2072" s="695"/>
      <c r="G2072" s="696"/>
      <c r="K2072" s="22" t="str">
        <f t="shared" si="65"/>
        <v/>
      </c>
      <c r="M2072" s="534" t="str">
        <f t="shared" si="64"/>
        <v/>
      </c>
    </row>
    <row r="2073" spans="2:13" ht="15.75" x14ac:dyDescent="0.25">
      <c r="B2073" s="692"/>
      <c r="C2073" s="117" t="str">
        <f>IF(ISNUMBER(B2073),IFERROR(VLOOKUP(B2073,'נתוני רישום ומצבת'!B:J,3,0),""),"")</f>
        <v/>
      </c>
      <c r="D2073" s="693"/>
      <c r="E2073" s="697"/>
      <c r="F2073" s="695"/>
      <c r="G2073" s="696"/>
      <c r="K2073" s="22" t="str">
        <f t="shared" si="65"/>
        <v/>
      </c>
      <c r="M2073" s="534" t="str">
        <f t="shared" si="64"/>
        <v/>
      </c>
    </row>
    <row r="2074" spans="2:13" ht="15.75" x14ac:dyDescent="0.25">
      <c r="B2074" s="692"/>
      <c r="C2074" s="117" t="str">
        <f>IF(ISNUMBER(B2074),IFERROR(VLOOKUP(B2074,'נתוני רישום ומצבת'!B:J,3,0),""),"")</f>
        <v/>
      </c>
      <c r="D2074" s="693"/>
      <c r="E2074" s="697"/>
      <c r="F2074" s="695"/>
      <c r="G2074" s="696"/>
      <c r="K2074" s="22" t="str">
        <f t="shared" si="65"/>
        <v/>
      </c>
      <c r="M2074" s="534" t="str">
        <f t="shared" si="64"/>
        <v/>
      </c>
    </row>
    <row r="2075" spans="2:13" ht="15.75" x14ac:dyDescent="0.25">
      <c r="B2075" s="692"/>
      <c r="C2075" s="117" t="str">
        <f>IF(ISNUMBER(B2075),IFERROR(VLOOKUP(B2075,'נתוני רישום ומצבת'!B:J,3,0),""),"")</f>
        <v/>
      </c>
      <c r="D2075" s="693"/>
      <c r="E2075" s="697"/>
      <c r="F2075" s="695"/>
      <c r="G2075" s="696"/>
      <c r="K2075" s="22" t="str">
        <f t="shared" si="65"/>
        <v/>
      </c>
      <c r="M2075" s="534" t="str">
        <f t="shared" si="64"/>
        <v/>
      </c>
    </row>
    <row r="2076" spans="2:13" ht="15.75" x14ac:dyDescent="0.25">
      <c r="B2076" s="692"/>
      <c r="C2076" s="117" t="str">
        <f>IF(ISNUMBER(B2076),IFERROR(VLOOKUP(B2076,'נתוני רישום ומצבת'!B:J,3,0),""),"")</f>
        <v/>
      </c>
      <c r="D2076" s="693"/>
      <c r="E2076" s="697"/>
      <c r="F2076" s="695"/>
      <c r="G2076" s="696"/>
      <c r="K2076" s="22" t="str">
        <f t="shared" si="65"/>
        <v/>
      </c>
      <c r="M2076" s="534" t="str">
        <f t="shared" si="64"/>
        <v/>
      </c>
    </row>
    <row r="2077" spans="2:13" ht="15.75" x14ac:dyDescent="0.25">
      <c r="B2077" s="692"/>
      <c r="C2077" s="117" t="str">
        <f>IF(ISNUMBER(B2077),IFERROR(VLOOKUP(B2077,'נתוני רישום ומצבת'!B:J,3,0),""),"")</f>
        <v/>
      </c>
      <c r="D2077" s="693"/>
      <c r="E2077" s="697"/>
      <c r="F2077" s="695"/>
      <c r="G2077" s="696"/>
      <c r="K2077" s="22" t="str">
        <f t="shared" si="65"/>
        <v/>
      </c>
      <c r="M2077" s="534" t="str">
        <f t="shared" si="64"/>
        <v/>
      </c>
    </row>
    <row r="2078" spans="2:13" ht="15.75" x14ac:dyDescent="0.25">
      <c r="B2078" s="692"/>
      <c r="C2078" s="117" t="str">
        <f>IF(ISNUMBER(B2078),IFERROR(VLOOKUP(B2078,'נתוני רישום ומצבת'!B:J,3,0),""),"")</f>
        <v/>
      </c>
      <c r="D2078" s="693"/>
      <c r="E2078" s="697"/>
      <c r="F2078" s="695"/>
      <c r="G2078" s="696"/>
      <c r="K2078" s="22" t="str">
        <f t="shared" si="65"/>
        <v/>
      </c>
      <c r="M2078" s="534" t="str">
        <f t="shared" si="64"/>
        <v/>
      </c>
    </row>
    <row r="2079" spans="2:13" ht="15.75" x14ac:dyDescent="0.25">
      <c r="B2079" s="692"/>
      <c r="C2079" s="117" t="str">
        <f>IF(ISNUMBER(B2079),IFERROR(VLOOKUP(B2079,'נתוני רישום ומצבת'!B:J,3,0),""),"")</f>
        <v/>
      </c>
      <c r="D2079" s="693"/>
      <c r="E2079" s="697"/>
      <c r="F2079" s="695"/>
      <c r="G2079" s="696"/>
      <c r="K2079" s="22" t="str">
        <f t="shared" si="65"/>
        <v/>
      </c>
      <c r="M2079" s="534" t="str">
        <f t="shared" si="64"/>
        <v/>
      </c>
    </row>
    <row r="2080" spans="2:13" ht="15.75" x14ac:dyDescent="0.25">
      <c r="B2080" s="692"/>
      <c r="C2080" s="117" t="str">
        <f>IF(ISNUMBER(B2080),IFERROR(VLOOKUP(B2080,'נתוני רישום ומצבת'!B:J,3,0),""),"")</f>
        <v/>
      </c>
      <c r="D2080" s="693"/>
      <c r="E2080" s="697"/>
      <c r="F2080" s="695"/>
      <c r="G2080" s="696"/>
      <c r="K2080" s="22" t="str">
        <f t="shared" si="65"/>
        <v/>
      </c>
      <c r="M2080" s="534" t="str">
        <f t="shared" si="64"/>
        <v/>
      </c>
    </row>
    <row r="2081" spans="2:13" ht="15.75" x14ac:dyDescent="0.25">
      <c r="B2081" s="692"/>
      <c r="C2081" s="117" t="str">
        <f>IF(ISNUMBER(B2081),IFERROR(VLOOKUP(B2081,'נתוני רישום ומצבת'!B:J,3,0),""),"")</f>
        <v/>
      </c>
      <c r="D2081" s="693"/>
      <c r="E2081" s="697"/>
      <c r="F2081" s="695"/>
      <c r="G2081" s="696"/>
      <c r="K2081" s="22" t="str">
        <f t="shared" si="65"/>
        <v/>
      </c>
      <c r="M2081" s="534" t="str">
        <f t="shared" si="64"/>
        <v/>
      </c>
    </row>
    <row r="2082" spans="2:13" ht="15.75" x14ac:dyDescent="0.25">
      <c r="B2082" s="692"/>
      <c r="C2082" s="117" t="str">
        <f>IF(ISNUMBER(B2082),IFERROR(VLOOKUP(B2082,'נתוני רישום ומצבת'!B:J,3,0),""),"")</f>
        <v/>
      </c>
      <c r="D2082" s="693"/>
      <c r="E2082" s="697"/>
      <c r="F2082" s="695"/>
      <c r="G2082" s="696"/>
      <c r="K2082" s="22" t="str">
        <f t="shared" si="65"/>
        <v/>
      </c>
      <c r="M2082" s="534" t="str">
        <f t="shared" si="64"/>
        <v/>
      </c>
    </row>
    <row r="2083" spans="2:13" ht="15.75" x14ac:dyDescent="0.25">
      <c r="B2083" s="692"/>
      <c r="C2083" s="117" t="str">
        <f>IF(ISNUMBER(B2083),IFERROR(VLOOKUP(B2083,'נתוני רישום ומצבת'!B:J,3,0),""),"")</f>
        <v/>
      </c>
      <c r="D2083" s="693"/>
      <c r="E2083" s="697"/>
      <c r="F2083" s="695"/>
      <c r="G2083" s="696"/>
      <c r="K2083" s="22" t="str">
        <f t="shared" si="65"/>
        <v/>
      </c>
      <c r="M2083" s="534" t="str">
        <f t="shared" si="64"/>
        <v/>
      </c>
    </row>
    <row r="2084" spans="2:13" ht="15.75" x14ac:dyDescent="0.25">
      <c r="B2084" s="692"/>
      <c r="C2084" s="117" t="str">
        <f>IF(ISNUMBER(B2084),IFERROR(VLOOKUP(B2084,'נתוני רישום ומצבת'!B:J,3,0),""),"")</f>
        <v/>
      </c>
      <c r="D2084" s="693"/>
      <c r="E2084" s="697"/>
      <c r="F2084" s="695"/>
      <c r="G2084" s="696"/>
      <c r="K2084" s="22" t="str">
        <f t="shared" si="65"/>
        <v/>
      </c>
      <c r="M2084" s="534" t="str">
        <f t="shared" si="64"/>
        <v/>
      </c>
    </row>
    <row r="2085" spans="2:13" ht="15.75" x14ac:dyDescent="0.25">
      <c r="B2085" s="692"/>
      <c r="C2085" s="117" t="str">
        <f>IF(ISNUMBER(B2085),IFERROR(VLOOKUP(B2085,'נתוני רישום ומצבת'!B:J,3,0),""),"")</f>
        <v/>
      </c>
      <c r="D2085" s="693"/>
      <c r="E2085" s="697"/>
      <c r="F2085" s="695"/>
      <c r="G2085" s="696"/>
      <c r="K2085" s="22" t="str">
        <f t="shared" si="65"/>
        <v/>
      </c>
      <c r="M2085" s="534" t="str">
        <f t="shared" si="64"/>
        <v/>
      </c>
    </row>
    <row r="2086" spans="2:13" ht="15.75" x14ac:dyDescent="0.25">
      <c r="B2086" s="692"/>
      <c r="C2086" s="117" t="str">
        <f>IF(ISNUMBER(B2086),IFERROR(VLOOKUP(B2086,'נתוני רישום ומצבת'!B:J,3,0),""),"")</f>
        <v/>
      </c>
      <c r="D2086" s="693"/>
      <c r="E2086" s="697"/>
      <c r="F2086" s="695"/>
      <c r="G2086" s="696"/>
      <c r="K2086" s="22" t="str">
        <f t="shared" si="65"/>
        <v/>
      </c>
      <c r="M2086" s="534" t="str">
        <f t="shared" si="64"/>
        <v/>
      </c>
    </row>
    <row r="2087" spans="2:13" ht="15.75" x14ac:dyDescent="0.25">
      <c r="B2087" s="692"/>
      <c r="C2087" s="117" t="str">
        <f>IF(ISNUMBER(B2087),IFERROR(VLOOKUP(B2087,'נתוני רישום ומצבת'!B:J,3,0),""),"")</f>
        <v/>
      </c>
      <c r="D2087" s="693"/>
      <c r="E2087" s="697"/>
      <c r="F2087" s="695"/>
      <c r="G2087" s="696"/>
      <c r="K2087" s="22" t="str">
        <f t="shared" si="65"/>
        <v/>
      </c>
      <c r="M2087" s="534" t="str">
        <f t="shared" si="64"/>
        <v/>
      </c>
    </row>
    <row r="2088" spans="2:13" ht="15.75" x14ac:dyDescent="0.25">
      <c r="B2088" s="692"/>
      <c r="C2088" s="117" t="str">
        <f>IF(ISNUMBER(B2088),IFERROR(VLOOKUP(B2088,'נתוני רישום ומצבת'!B:J,3,0),""),"")</f>
        <v/>
      </c>
      <c r="D2088" s="693"/>
      <c r="E2088" s="697"/>
      <c r="F2088" s="695"/>
      <c r="G2088" s="696"/>
      <c r="K2088" s="22" t="str">
        <f t="shared" si="65"/>
        <v/>
      </c>
      <c r="M2088" s="534" t="str">
        <f t="shared" si="64"/>
        <v/>
      </c>
    </row>
    <row r="2089" spans="2:13" ht="15.75" x14ac:dyDescent="0.25">
      <c r="B2089" s="692"/>
      <c r="C2089" s="117" t="str">
        <f>IF(ISNUMBER(B2089),IFERROR(VLOOKUP(B2089,'נתוני רישום ומצבת'!B:J,3,0),""),"")</f>
        <v/>
      </c>
      <c r="D2089" s="693"/>
      <c r="E2089" s="697"/>
      <c r="F2089" s="695"/>
      <c r="G2089" s="696"/>
      <c r="K2089" s="22" t="str">
        <f t="shared" si="65"/>
        <v/>
      </c>
      <c r="M2089" s="534" t="str">
        <f t="shared" si="64"/>
        <v/>
      </c>
    </row>
    <row r="2090" spans="2:13" ht="15.75" x14ac:dyDescent="0.25">
      <c r="B2090" s="692"/>
      <c r="C2090" s="117" t="str">
        <f>IF(ISNUMBER(B2090),IFERROR(VLOOKUP(B2090,'נתוני רישום ומצבת'!B:J,3,0),""),"")</f>
        <v/>
      </c>
      <c r="D2090" s="693"/>
      <c r="E2090" s="697"/>
      <c r="F2090" s="695"/>
      <c r="G2090" s="696"/>
      <c r="K2090" s="22" t="str">
        <f t="shared" si="65"/>
        <v/>
      </c>
      <c r="M2090" s="534" t="str">
        <f t="shared" si="64"/>
        <v/>
      </c>
    </row>
    <row r="2091" spans="2:13" ht="15.75" x14ac:dyDescent="0.25">
      <c r="B2091" s="692"/>
      <c r="C2091" s="117" t="str">
        <f>IF(ISNUMBER(B2091),IFERROR(VLOOKUP(B2091,'נתוני רישום ומצבת'!B:J,3,0),""),"")</f>
        <v/>
      </c>
      <c r="D2091" s="693"/>
      <c r="E2091" s="697"/>
      <c r="F2091" s="695"/>
      <c r="G2091" s="696"/>
      <c r="K2091" s="22" t="str">
        <f t="shared" si="65"/>
        <v/>
      </c>
      <c r="M2091" s="534" t="str">
        <f t="shared" si="64"/>
        <v/>
      </c>
    </row>
    <row r="2092" spans="2:13" ht="15.75" x14ac:dyDescent="0.25">
      <c r="B2092" s="692"/>
      <c r="C2092" s="117" t="str">
        <f>IF(ISNUMBER(B2092),IFERROR(VLOOKUP(B2092,'נתוני רישום ומצבת'!B:J,3,0),""),"")</f>
        <v/>
      </c>
      <c r="D2092" s="693"/>
      <c r="E2092" s="697"/>
      <c r="F2092" s="695"/>
      <c r="G2092" s="696"/>
      <c r="K2092" s="22" t="str">
        <f t="shared" si="65"/>
        <v/>
      </c>
      <c r="M2092" s="534" t="str">
        <f t="shared" si="64"/>
        <v/>
      </c>
    </row>
    <row r="2093" spans="2:13" ht="15.75" x14ac:dyDescent="0.25">
      <c r="B2093" s="692"/>
      <c r="C2093" s="117" t="str">
        <f>IF(ISNUMBER(B2093),IFERROR(VLOOKUP(B2093,'נתוני רישום ומצבת'!B:J,3,0),""),"")</f>
        <v/>
      </c>
      <c r="D2093" s="693"/>
      <c r="E2093" s="697"/>
      <c r="F2093" s="695"/>
      <c r="G2093" s="696"/>
      <c r="K2093" s="22" t="str">
        <f t="shared" si="65"/>
        <v/>
      </c>
      <c r="M2093" s="534" t="str">
        <f t="shared" si="64"/>
        <v/>
      </c>
    </row>
    <row r="2094" spans="2:13" ht="15.75" x14ac:dyDescent="0.25">
      <c r="B2094" s="692"/>
      <c r="C2094" s="117" t="str">
        <f>IF(ISNUMBER(B2094),IFERROR(VLOOKUP(B2094,'נתוני רישום ומצבת'!B:J,3,0),""),"")</f>
        <v/>
      </c>
      <c r="D2094" s="693"/>
      <c r="E2094" s="697"/>
      <c r="F2094" s="695"/>
      <c r="G2094" s="696"/>
      <c r="K2094" s="22" t="str">
        <f t="shared" si="65"/>
        <v/>
      </c>
      <c r="M2094" s="534" t="str">
        <f t="shared" si="64"/>
        <v/>
      </c>
    </row>
    <row r="2095" spans="2:13" ht="15.75" x14ac:dyDescent="0.25">
      <c r="B2095" s="692"/>
      <c r="C2095" s="117" t="str">
        <f>IF(ISNUMBER(B2095),IFERROR(VLOOKUP(B2095,'נתוני רישום ומצבת'!B:J,3,0),""),"")</f>
        <v/>
      </c>
      <c r="D2095" s="693"/>
      <c r="E2095" s="697"/>
      <c r="F2095" s="695"/>
      <c r="G2095" s="696"/>
      <c r="K2095" s="22" t="str">
        <f t="shared" si="65"/>
        <v/>
      </c>
      <c r="M2095" s="534" t="str">
        <f t="shared" si="64"/>
        <v/>
      </c>
    </row>
    <row r="2096" spans="2:13" ht="15.75" x14ac:dyDescent="0.25">
      <c r="B2096" s="692"/>
      <c r="C2096" s="117" t="str">
        <f>IF(ISNUMBER(B2096),IFERROR(VLOOKUP(B2096,'נתוני רישום ומצבת'!B:J,3,0),""),"")</f>
        <v/>
      </c>
      <c r="D2096" s="693"/>
      <c r="E2096" s="697"/>
      <c r="F2096" s="695"/>
      <c r="G2096" s="696"/>
      <c r="K2096" s="22" t="str">
        <f t="shared" si="65"/>
        <v/>
      </c>
      <c r="M2096" s="534" t="str">
        <f t="shared" si="64"/>
        <v/>
      </c>
    </row>
    <row r="2097" spans="2:13" ht="15.75" x14ac:dyDescent="0.25">
      <c r="B2097" s="692"/>
      <c r="C2097" s="117" t="str">
        <f>IF(ISNUMBER(B2097),IFERROR(VLOOKUP(B2097,'נתוני רישום ומצבת'!B:J,3,0),""),"")</f>
        <v/>
      </c>
      <c r="D2097" s="693"/>
      <c r="E2097" s="697"/>
      <c r="F2097" s="695"/>
      <c r="G2097" s="696"/>
      <c r="K2097" s="22" t="str">
        <f t="shared" si="65"/>
        <v/>
      </c>
      <c r="M2097" s="534" t="str">
        <f t="shared" si="64"/>
        <v/>
      </c>
    </row>
    <row r="2098" spans="2:13" ht="15.75" x14ac:dyDescent="0.25">
      <c r="B2098" s="692"/>
      <c r="C2098" s="117" t="str">
        <f>IF(ISNUMBER(B2098),IFERROR(VLOOKUP(B2098,'נתוני רישום ומצבת'!B:J,3,0),""),"")</f>
        <v/>
      </c>
      <c r="D2098" s="693"/>
      <c r="E2098" s="697"/>
      <c r="F2098" s="695"/>
      <c r="G2098" s="696"/>
      <c r="K2098" s="22" t="str">
        <f t="shared" si="65"/>
        <v/>
      </c>
      <c r="M2098" s="534" t="str">
        <f t="shared" si="64"/>
        <v/>
      </c>
    </row>
    <row r="2099" spans="2:13" ht="15.75" x14ac:dyDescent="0.25">
      <c r="B2099" s="692"/>
      <c r="C2099" s="117" t="str">
        <f>IF(ISNUMBER(B2099),IFERROR(VLOOKUP(B2099,'נתוני רישום ומצבת'!B:J,3,0),""),"")</f>
        <v/>
      </c>
      <c r="D2099" s="693"/>
      <c r="E2099" s="697"/>
      <c r="F2099" s="695"/>
      <c r="G2099" s="696"/>
      <c r="K2099" s="22" t="str">
        <f t="shared" si="65"/>
        <v/>
      </c>
      <c r="M2099" s="534" t="str">
        <f t="shared" si="64"/>
        <v/>
      </c>
    </row>
    <row r="2100" spans="2:13" ht="15.75" x14ac:dyDescent="0.25">
      <c r="B2100" s="692"/>
      <c r="C2100" s="117" t="str">
        <f>IF(ISNUMBER(B2100),IFERROR(VLOOKUP(B2100,'נתוני רישום ומצבת'!B:J,3,0),""),"")</f>
        <v/>
      </c>
      <c r="D2100" s="693"/>
      <c r="E2100" s="697"/>
      <c r="F2100" s="695"/>
      <c r="G2100" s="696"/>
      <c r="K2100" s="22" t="str">
        <f t="shared" si="65"/>
        <v/>
      </c>
      <c r="M2100" s="534" t="str">
        <f t="shared" si="64"/>
        <v/>
      </c>
    </row>
    <row r="2101" spans="2:13" ht="15.75" x14ac:dyDescent="0.25">
      <c r="B2101" s="692"/>
      <c r="C2101" s="117" t="str">
        <f>IF(ISNUMBER(B2101),IFERROR(VLOOKUP(B2101,'נתוני רישום ומצבת'!B:J,3,0),""),"")</f>
        <v/>
      </c>
      <c r="D2101" s="693"/>
      <c r="E2101" s="697"/>
      <c r="F2101" s="695"/>
      <c r="G2101" s="696"/>
      <c r="K2101" s="22" t="str">
        <f t="shared" si="65"/>
        <v/>
      </c>
      <c r="M2101" s="534" t="str">
        <f t="shared" si="64"/>
        <v/>
      </c>
    </row>
    <row r="2102" spans="2:13" ht="15.75" x14ac:dyDescent="0.25">
      <c r="B2102" s="692"/>
      <c r="C2102" s="117" t="str">
        <f>IF(ISNUMBER(B2102),IFERROR(VLOOKUP(B2102,'נתוני רישום ומצבת'!B:J,3,0),""),"")</f>
        <v/>
      </c>
      <c r="D2102" s="693"/>
      <c r="E2102" s="697"/>
      <c r="F2102" s="695"/>
      <c r="G2102" s="696"/>
      <c r="K2102" s="22" t="str">
        <f t="shared" si="65"/>
        <v/>
      </c>
      <c r="M2102" s="534" t="str">
        <f t="shared" si="64"/>
        <v/>
      </c>
    </row>
    <row r="2103" spans="2:13" ht="15.75" x14ac:dyDescent="0.25">
      <c r="B2103" s="692"/>
      <c r="C2103" s="117" t="str">
        <f>IF(ISNUMBER(B2103),IFERROR(VLOOKUP(B2103,'נתוני רישום ומצבת'!B:J,3,0),""),"")</f>
        <v/>
      </c>
      <c r="D2103" s="693"/>
      <c r="E2103" s="697"/>
      <c r="F2103" s="695"/>
      <c r="G2103" s="696"/>
      <c r="K2103" s="22" t="str">
        <f t="shared" si="65"/>
        <v/>
      </c>
      <c r="M2103" s="534" t="str">
        <f t="shared" si="64"/>
        <v/>
      </c>
    </row>
    <row r="2104" spans="2:13" ht="15.75" x14ac:dyDescent="0.25">
      <c r="B2104" s="692"/>
      <c r="C2104" s="117" t="str">
        <f>IF(ISNUMBER(B2104),IFERROR(VLOOKUP(B2104,'נתוני רישום ומצבת'!B:J,3,0),""),"")</f>
        <v/>
      </c>
      <c r="D2104" s="693"/>
      <c r="E2104" s="697"/>
      <c r="F2104" s="695"/>
      <c r="G2104" s="696"/>
      <c r="K2104" s="22" t="str">
        <f t="shared" si="65"/>
        <v/>
      </c>
      <c r="M2104" s="534" t="str">
        <f t="shared" si="64"/>
        <v/>
      </c>
    </row>
    <row r="2105" spans="2:13" ht="15.75" x14ac:dyDescent="0.25">
      <c r="B2105" s="692"/>
      <c r="C2105" s="117" t="str">
        <f>IF(ISNUMBER(B2105),IFERROR(VLOOKUP(B2105,'נתוני רישום ומצבת'!B:J,3,0),""),"")</f>
        <v/>
      </c>
      <c r="D2105" s="693"/>
      <c r="E2105" s="697"/>
      <c r="F2105" s="695"/>
      <c r="G2105" s="696"/>
      <c r="K2105" s="22" t="str">
        <f t="shared" si="65"/>
        <v/>
      </c>
      <c r="M2105" s="534" t="str">
        <f t="shared" si="64"/>
        <v/>
      </c>
    </row>
    <row r="2106" spans="2:13" ht="15.75" x14ac:dyDescent="0.25">
      <c r="B2106" s="692"/>
      <c r="C2106" s="117" t="str">
        <f>IF(ISNUMBER(B2106),IFERROR(VLOOKUP(B2106,'נתוני רישום ומצבת'!B:J,3,0),""),"")</f>
        <v/>
      </c>
      <c r="D2106" s="693"/>
      <c r="E2106" s="697"/>
      <c r="F2106" s="695"/>
      <c r="G2106" s="696"/>
      <c r="K2106" s="22" t="str">
        <f t="shared" si="65"/>
        <v/>
      </c>
      <c r="M2106" s="534" t="str">
        <f t="shared" si="64"/>
        <v/>
      </c>
    </row>
    <row r="2107" spans="2:13" ht="15.75" x14ac:dyDescent="0.25">
      <c r="B2107" s="692"/>
      <c r="C2107" s="117" t="str">
        <f>IF(ISNUMBER(B2107),IFERROR(VLOOKUP(B2107,'נתוני רישום ומצבת'!B:J,3,0),""),"")</f>
        <v/>
      </c>
      <c r="D2107" s="693"/>
      <c r="E2107" s="697"/>
      <c r="F2107" s="695"/>
      <c r="G2107" s="696"/>
      <c r="K2107" s="22" t="str">
        <f t="shared" si="65"/>
        <v/>
      </c>
      <c r="M2107" s="534" t="str">
        <f t="shared" si="64"/>
        <v/>
      </c>
    </row>
    <row r="2108" spans="2:13" ht="15.75" x14ac:dyDescent="0.25">
      <c r="B2108" s="692"/>
      <c r="C2108" s="117" t="str">
        <f>IF(ISNUMBER(B2108),IFERROR(VLOOKUP(B2108,'נתוני רישום ומצבת'!B:J,3,0),""),"")</f>
        <v/>
      </c>
      <c r="D2108" s="693"/>
      <c r="E2108" s="697"/>
      <c r="F2108" s="695"/>
      <c r="G2108" s="696"/>
      <c r="K2108" s="22" t="str">
        <f t="shared" si="65"/>
        <v/>
      </c>
      <c r="M2108" s="534" t="str">
        <f t="shared" si="64"/>
        <v/>
      </c>
    </row>
    <row r="2109" spans="2:13" ht="15.75" x14ac:dyDescent="0.25">
      <c r="B2109" s="692"/>
      <c r="C2109" s="117" t="str">
        <f>IF(ISNUMBER(B2109),IFERROR(VLOOKUP(B2109,'נתוני רישום ומצבת'!B:J,3,0),""),"")</f>
        <v/>
      </c>
      <c r="D2109" s="693"/>
      <c r="E2109" s="697"/>
      <c r="F2109" s="695"/>
      <c r="G2109" s="696"/>
      <c r="K2109" s="22" t="str">
        <f t="shared" si="65"/>
        <v/>
      </c>
      <c r="M2109" s="534" t="str">
        <f t="shared" si="64"/>
        <v/>
      </c>
    </row>
    <row r="2110" spans="2:13" ht="15.75" x14ac:dyDescent="0.25">
      <c r="B2110" s="692"/>
      <c r="C2110" s="117" t="str">
        <f>IF(ISNUMBER(B2110),IFERROR(VLOOKUP(B2110,'נתוני רישום ומצבת'!B:J,3,0),""),"")</f>
        <v/>
      </c>
      <c r="D2110" s="693"/>
      <c r="E2110" s="697"/>
      <c r="F2110" s="695"/>
      <c r="G2110" s="696"/>
      <c r="K2110" s="22" t="str">
        <f t="shared" si="65"/>
        <v/>
      </c>
      <c r="M2110" s="534" t="str">
        <f t="shared" si="64"/>
        <v/>
      </c>
    </row>
    <row r="2111" spans="2:13" ht="15.75" x14ac:dyDescent="0.25">
      <c r="B2111" s="692"/>
      <c r="C2111" s="117" t="str">
        <f>IF(ISNUMBER(B2111),IFERROR(VLOOKUP(B2111,'נתוני רישום ומצבת'!B:J,3,0),""),"")</f>
        <v/>
      </c>
      <c r="D2111" s="693"/>
      <c r="E2111" s="697"/>
      <c r="F2111" s="695"/>
      <c r="G2111" s="696"/>
      <c r="K2111" s="22" t="str">
        <f t="shared" si="65"/>
        <v/>
      </c>
      <c r="M2111" s="534" t="str">
        <f t="shared" si="64"/>
        <v/>
      </c>
    </row>
    <row r="2112" spans="2:13" ht="15.75" x14ac:dyDescent="0.25">
      <c r="B2112" s="692"/>
      <c r="C2112" s="117" t="str">
        <f>IF(ISNUMBER(B2112),IFERROR(VLOOKUP(B2112,'נתוני רישום ומצבת'!B:J,3,0),""),"")</f>
        <v/>
      </c>
      <c r="D2112" s="693"/>
      <c r="E2112" s="697"/>
      <c r="F2112" s="695"/>
      <c r="G2112" s="696"/>
      <c r="K2112" s="22" t="str">
        <f t="shared" si="65"/>
        <v/>
      </c>
      <c r="M2112" s="534" t="str">
        <f t="shared" si="64"/>
        <v/>
      </c>
    </row>
    <row r="2113" spans="2:13" ht="15.75" x14ac:dyDescent="0.25">
      <c r="B2113" s="692"/>
      <c r="C2113" s="117" t="str">
        <f>IF(ISNUMBER(B2113),IFERROR(VLOOKUP(B2113,'נתוני רישום ומצבת'!B:J,3,0),""),"")</f>
        <v/>
      </c>
      <c r="D2113" s="693"/>
      <c r="E2113" s="697"/>
      <c r="F2113" s="695"/>
      <c r="G2113" s="696"/>
      <c r="K2113" s="22" t="str">
        <f t="shared" si="65"/>
        <v/>
      </c>
      <c r="M2113" s="534" t="str">
        <f t="shared" si="64"/>
        <v/>
      </c>
    </row>
    <row r="2114" spans="2:13" ht="15.75" x14ac:dyDescent="0.25">
      <c r="B2114" s="692"/>
      <c r="C2114" s="117" t="str">
        <f>IF(ISNUMBER(B2114),IFERROR(VLOOKUP(B2114,'נתוני רישום ומצבת'!B:J,3,0),""),"")</f>
        <v/>
      </c>
      <c r="D2114" s="693"/>
      <c r="E2114" s="697"/>
      <c r="F2114" s="695"/>
      <c r="G2114" s="696"/>
      <c r="K2114" s="22" t="str">
        <f t="shared" si="65"/>
        <v/>
      </c>
      <c r="M2114" s="534" t="str">
        <f t="shared" si="64"/>
        <v/>
      </c>
    </row>
    <row r="2115" spans="2:13" ht="15.75" x14ac:dyDescent="0.25">
      <c r="B2115" s="692"/>
      <c r="C2115" s="117" t="str">
        <f>IF(ISNUMBER(B2115),IFERROR(VLOOKUP(B2115,'נתוני רישום ומצבת'!B:J,3,0),""),"")</f>
        <v/>
      </c>
      <c r="D2115" s="693"/>
      <c r="E2115" s="697"/>
      <c r="F2115" s="695"/>
      <c r="G2115" s="696"/>
      <c r="K2115" s="22" t="str">
        <f t="shared" si="65"/>
        <v/>
      </c>
      <c r="M2115" s="534" t="str">
        <f t="shared" si="64"/>
        <v/>
      </c>
    </row>
    <row r="2116" spans="2:13" ht="15.75" x14ac:dyDescent="0.25">
      <c r="B2116" s="692"/>
      <c r="C2116" s="117" t="str">
        <f>IF(ISNUMBER(B2116),IFERROR(VLOOKUP(B2116,'נתוני רישום ומצבת'!B:J,3,0),""),"")</f>
        <v/>
      </c>
      <c r="D2116" s="693"/>
      <c r="E2116" s="697"/>
      <c r="F2116" s="695"/>
      <c r="G2116" s="696"/>
      <c r="K2116" s="22" t="str">
        <f t="shared" si="65"/>
        <v/>
      </c>
      <c r="M2116" s="534" t="str">
        <f t="shared" si="64"/>
        <v/>
      </c>
    </row>
    <row r="2117" spans="2:13" ht="15.75" x14ac:dyDescent="0.25">
      <c r="B2117" s="692"/>
      <c r="C2117" s="117" t="str">
        <f>IF(ISNUMBER(B2117),IFERROR(VLOOKUP(B2117,'נתוני רישום ומצבת'!B:J,3,0),""),"")</f>
        <v/>
      </c>
      <c r="D2117" s="693"/>
      <c r="E2117" s="697"/>
      <c r="F2117" s="695"/>
      <c r="G2117" s="696"/>
      <c r="K2117" s="22" t="str">
        <f t="shared" si="65"/>
        <v/>
      </c>
      <c r="M2117" s="534" t="str">
        <f t="shared" si="64"/>
        <v/>
      </c>
    </row>
    <row r="2118" spans="2:13" ht="15.75" x14ac:dyDescent="0.25">
      <c r="B2118" s="692"/>
      <c r="C2118" s="117" t="str">
        <f>IF(ISNUMBER(B2118),IFERROR(VLOOKUP(B2118,'נתוני רישום ומצבת'!B:J,3,0),""),"")</f>
        <v/>
      </c>
      <c r="D2118" s="693"/>
      <c r="E2118" s="697"/>
      <c r="F2118" s="695"/>
      <c r="G2118" s="696"/>
      <c r="K2118" s="22" t="str">
        <f t="shared" si="65"/>
        <v/>
      </c>
      <c r="M2118" s="534" t="str">
        <f t="shared" si="64"/>
        <v/>
      </c>
    </row>
    <row r="2119" spans="2:13" ht="15.75" x14ac:dyDescent="0.25">
      <c r="B2119" s="692"/>
      <c r="C2119" s="117" t="str">
        <f>IF(ISNUMBER(B2119),IFERROR(VLOOKUP(B2119,'נתוני רישום ומצבת'!B:J,3,0),""),"")</f>
        <v/>
      </c>
      <c r="D2119" s="693"/>
      <c r="E2119" s="697"/>
      <c r="F2119" s="695"/>
      <c r="G2119" s="696"/>
      <c r="K2119" s="22" t="str">
        <f t="shared" si="65"/>
        <v/>
      </c>
      <c r="M2119" s="534" t="str">
        <f t="shared" si="64"/>
        <v/>
      </c>
    </row>
    <row r="2120" spans="2:13" ht="15.75" x14ac:dyDescent="0.25">
      <c r="B2120" s="692"/>
      <c r="C2120" s="117" t="str">
        <f>IF(ISNUMBER(B2120),IFERROR(VLOOKUP(B2120,'נתוני רישום ומצבת'!B:J,3,0),""),"")</f>
        <v/>
      </c>
      <c r="D2120" s="693"/>
      <c r="E2120" s="697"/>
      <c r="F2120" s="695"/>
      <c r="G2120" s="696"/>
      <c r="K2120" s="22" t="str">
        <f t="shared" si="65"/>
        <v/>
      </c>
      <c r="M2120" s="534" t="str">
        <f t="shared" si="64"/>
        <v/>
      </c>
    </row>
    <row r="2121" spans="2:13" ht="15.75" x14ac:dyDescent="0.25">
      <c r="B2121" s="692"/>
      <c r="C2121" s="117" t="str">
        <f>IF(ISNUMBER(B2121),IFERROR(VLOOKUP(B2121,'נתוני רישום ומצבת'!B:J,3,0),""),"")</f>
        <v/>
      </c>
      <c r="D2121" s="693"/>
      <c r="E2121" s="697"/>
      <c r="F2121" s="695"/>
      <c r="G2121" s="696"/>
      <c r="K2121" s="22" t="str">
        <f t="shared" si="65"/>
        <v/>
      </c>
      <c r="M2121" s="534" t="str">
        <f t="shared" si="64"/>
        <v/>
      </c>
    </row>
    <row r="2122" spans="2:13" ht="15.75" x14ac:dyDescent="0.25">
      <c r="B2122" s="692"/>
      <c r="C2122" s="117" t="str">
        <f>IF(ISNUMBER(B2122),IFERROR(VLOOKUP(B2122,'נתוני רישום ומצבת'!B:J,3,0),""),"")</f>
        <v/>
      </c>
      <c r="D2122" s="693"/>
      <c r="E2122" s="697"/>
      <c r="F2122" s="695"/>
      <c r="G2122" s="696"/>
      <c r="K2122" s="22" t="str">
        <f t="shared" si="65"/>
        <v/>
      </c>
      <c r="M2122" s="534" t="str">
        <f t="shared" si="64"/>
        <v/>
      </c>
    </row>
    <row r="2123" spans="2:13" ht="15.75" x14ac:dyDescent="0.25">
      <c r="B2123" s="692"/>
      <c r="C2123" s="117" t="str">
        <f>IF(ISNUMBER(B2123),IFERROR(VLOOKUP(B2123,'נתוני רישום ומצבת'!B:J,3,0),""),"")</f>
        <v/>
      </c>
      <c r="D2123" s="693"/>
      <c r="E2123" s="697"/>
      <c r="F2123" s="695"/>
      <c r="G2123" s="696"/>
      <c r="K2123" s="22" t="str">
        <f t="shared" si="65"/>
        <v/>
      </c>
      <c r="M2123" s="534" t="str">
        <f t="shared" si="64"/>
        <v/>
      </c>
    </row>
    <row r="2124" spans="2:13" ht="15.75" x14ac:dyDescent="0.25">
      <c r="B2124" s="692"/>
      <c r="C2124" s="117" t="str">
        <f>IF(ISNUMBER(B2124),IFERROR(VLOOKUP(B2124,'נתוני רישום ומצבת'!B:J,3,0),""),"")</f>
        <v/>
      </c>
      <c r="D2124" s="693"/>
      <c r="E2124" s="697"/>
      <c r="F2124" s="695"/>
      <c r="G2124" s="696"/>
      <c r="K2124" s="22" t="str">
        <f t="shared" si="65"/>
        <v/>
      </c>
      <c r="M2124" s="534" t="str">
        <f t="shared" si="64"/>
        <v/>
      </c>
    </row>
    <row r="2125" spans="2:13" ht="15.75" x14ac:dyDescent="0.25">
      <c r="B2125" s="692"/>
      <c r="C2125" s="117" t="str">
        <f>IF(ISNUMBER(B2125),IFERROR(VLOOKUP(B2125,'נתוני רישום ומצבת'!B:J,3,0),""),"")</f>
        <v/>
      </c>
      <c r="D2125" s="693"/>
      <c r="E2125" s="697"/>
      <c r="F2125" s="695"/>
      <c r="G2125" s="696"/>
      <c r="K2125" s="22" t="str">
        <f t="shared" si="65"/>
        <v/>
      </c>
      <c r="M2125" s="534" t="str">
        <f t="shared" si="64"/>
        <v/>
      </c>
    </row>
    <row r="2126" spans="2:13" ht="15.75" x14ac:dyDescent="0.25">
      <c r="B2126" s="692"/>
      <c r="C2126" s="117" t="str">
        <f>IF(ISNUMBER(B2126),IFERROR(VLOOKUP(B2126,'נתוני רישום ומצבת'!B:J,3,0),""),"")</f>
        <v/>
      </c>
      <c r="D2126" s="693"/>
      <c r="E2126" s="697"/>
      <c r="F2126" s="695"/>
      <c r="G2126" s="696"/>
      <c r="K2126" s="22" t="str">
        <f t="shared" si="65"/>
        <v/>
      </c>
      <c r="M2126" s="534" t="str">
        <f t="shared" si="64"/>
        <v/>
      </c>
    </row>
    <row r="2127" spans="2:13" ht="15.75" x14ac:dyDescent="0.25">
      <c r="B2127" s="692"/>
      <c r="C2127" s="117" t="str">
        <f>IF(ISNUMBER(B2127),IFERROR(VLOOKUP(B2127,'נתוני רישום ומצבת'!B:J,3,0),""),"")</f>
        <v/>
      </c>
      <c r="D2127" s="693"/>
      <c r="E2127" s="697"/>
      <c r="F2127" s="695"/>
      <c r="G2127" s="696"/>
      <c r="K2127" s="22" t="str">
        <f t="shared" si="65"/>
        <v/>
      </c>
      <c r="M2127" s="534" t="str">
        <f t="shared" si="64"/>
        <v/>
      </c>
    </row>
    <row r="2128" spans="2:13" ht="15.75" x14ac:dyDescent="0.25">
      <c r="B2128" s="692"/>
      <c r="C2128" s="117" t="str">
        <f>IF(ISNUMBER(B2128),IFERROR(VLOOKUP(B2128,'נתוני רישום ומצבת'!B:J,3,0),""),"")</f>
        <v/>
      </c>
      <c r="D2128" s="693"/>
      <c r="E2128" s="697"/>
      <c r="F2128" s="695"/>
      <c r="G2128" s="696"/>
      <c r="K2128" s="22" t="str">
        <f t="shared" si="65"/>
        <v/>
      </c>
      <c r="M2128" s="534" t="str">
        <f t="shared" si="64"/>
        <v/>
      </c>
    </row>
    <row r="2129" spans="2:13" ht="15.75" x14ac:dyDescent="0.25">
      <c r="B2129" s="692"/>
      <c r="C2129" s="117" t="str">
        <f>IF(ISNUMBER(B2129),IFERROR(VLOOKUP(B2129,'נתוני רישום ומצבת'!B:J,3,0),""),"")</f>
        <v/>
      </c>
      <c r="D2129" s="693"/>
      <c r="E2129" s="697"/>
      <c r="F2129" s="695"/>
      <c r="G2129" s="696"/>
      <c r="K2129" s="22" t="str">
        <f t="shared" si="65"/>
        <v/>
      </c>
      <c r="M2129" s="534" t="str">
        <f t="shared" ref="M2129:M2192" si="66">TEXT(LEFT(D2129,2),0)</f>
        <v/>
      </c>
    </row>
    <row r="2130" spans="2:13" ht="15.75" x14ac:dyDescent="0.25">
      <c r="B2130" s="692"/>
      <c r="C2130" s="117" t="str">
        <f>IF(ISNUMBER(B2130),IFERROR(VLOOKUP(B2130,'נתוני רישום ומצבת'!B:J,3,0),""),"")</f>
        <v/>
      </c>
      <c r="D2130" s="693"/>
      <c r="E2130" s="697"/>
      <c r="F2130" s="695"/>
      <c r="G2130" s="696"/>
      <c r="K2130" s="22" t="str">
        <f t="shared" si="65"/>
        <v/>
      </c>
      <c r="M2130" s="534" t="str">
        <f t="shared" si="66"/>
        <v/>
      </c>
    </row>
    <row r="2131" spans="2:13" ht="15.75" x14ac:dyDescent="0.25">
      <c r="B2131" s="692"/>
      <c r="C2131" s="117" t="str">
        <f>IF(ISNUMBER(B2131),IFERROR(VLOOKUP(B2131,'נתוני רישום ומצבת'!B:J,3,0),""),"")</f>
        <v/>
      </c>
      <c r="D2131" s="693"/>
      <c r="E2131" s="697"/>
      <c r="F2131" s="695"/>
      <c r="G2131" s="696"/>
      <c r="K2131" s="22" t="str">
        <f t="shared" si="65"/>
        <v/>
      </c>
      <c r="M2131" s="534" t="str">
        <f t="shared" si="66"/>
        <v/>
      </c>
    </row>
    <row r="2132" spans="2:13" ht="15.75" x14ac:dyDescent="0.25">
      <c r="B2132" s="692"/>
      <c r="C2132" s="117" t="str">
        <f>IF(ISNUMBER(B2132),IFERROR(VLOOKUP(B2132,'נתוני רישום ומצבת'!B:J,3,0),""),"")</f>
        <v/>
      </c>
      <c r="D2132" s="693"/>
      <c r="E2132" s="697"/>
      <c r="F2132" s="695"/>
      <c r="G2132" s="696"/>
      <c r="K2132" s="22" t="str">
        <f t="shared" si="65"/>
        <v/>
      </c>
      <c r="M2132" s="534" t="str">
        <f t="shared" si="66"/>
        <v/>
      </c>
    </row>
    <row r="2133" spans="2:13" ht="15.75" x14ac:dyDescent="0.25">
      <c r="B2133" s="692"/>
      <c r="C2133" s="117" t="str">
        <f>IF(ISNUMBER(B2133),IFERROR(VLOOKUP(B2133,'נתוני רישום ומצבת'!B:J,3,0),""),"")</f>
        <v/>
      </c>
      <c r="D2133" s="693"/>
      <c r="E2133" s="697"/>
      <c r="F2133" s="695"/>
      <c r="G2133" s="696"/>
      <c r="K2133" s="22" t="str">
        <f t="shared" ref="K2133:K2196" si="67">IF(C2120&lt;5,IF(D2133=$F$8,-E2133," "),"")</f>
        <v/>
      </c>
      <c r="M2133" s="534" t="str">
        <f t="shared" si="66"/>
        <v/>
      </c>
    </row>
    <row r="2134" spans="2:13" ht="15.75" x14ac:dyDescent="0.25">
      <c r="B2134" s="692"/>
      <c r="C2134" s="117" t="str">
        <f>IF(ISNUMBER(B2134),IFERROR(VLOOKUP(B2134,'נתוני רישום ומצבת'!B:J,3,0),""),"")</f>
        <v/>
      </c>
      <c r="D2134" s="693"/>
      <c r="E2134" s="697"/>
      <c r="F2134" s="695"/>
      <c r="G2134" s="696"/>
      <c r="K2134" s="22" t="str">
        <f t="shared" si="67"/>
        <v/>
      </c>
      <c r="M2134" s="534" t="str">
        <f t="shared" si="66"/>
        <v/>
      </c>
    </row>
    <row r="2135" spans="2:13" ht="15.75" x14ac:dyDescent="0.25">
      <c r="B2135" s="692"/>
      <c r="C2135" s="117" t="str">
        <f>IF(ISNUMBER(B2135),IFERROR(VLOOKUP(B2135,'נתוני רישום ומצבת'!B:J,3,0),""),"")</f>
        <v/>
      </c>
      <c r="D2135" s="693"/>
      <c r="E2135" s="697"/>
      <c r="F2135" s="695"/>
      <c r="G2135" s="696"/>
      <c r="K2135" s="22" t="str">
        <f t="shared" si="67"/>
        <v/>
      </c>
      <c r="M2135" s="534" t="str">
        <f t="shared" si="66"/>
        <v/>
      </c>
    </row>
    <row r="2136" spans="2:13" ht="15.75" x14ac:dyDescent="0.25">
      <c r="B2136" s="692"/>
      <c r="C2136" s="117" t="str">
        <f>IF(ISNUMBER(B2136),IFERROR(VLOOKUP(B2136,'נתוני רישום ומצבת'!B:J,3,0),""),"")</f>
        <v/>
      </c>
      <c r="D2136" s="693"/>
      <c r="E2136" s="697"/>
      <c r="F2136" s="695"/>
      <c r="G2136" s="696"/>
      <c r="K2136" s="22" t="str">
        <f t="shared" si="67"/>
        <v/>
      </c>
      <c r="M2136" s="534" t="str">
        <f t="shared" si="66"/>
        <v/>
      </c>
    </row>
    <row r="2137" spans="2:13" ht="15.75" x14ac:dyDescent="0.25">
      <c r="B2137" s="692"/>
      <c r="C2137" s="117" t="str">
        <f>IF(ISNUMBER(B2137),IFERROR(VLOOKUP(B2137,'נתוני רישום ומצבת'!B:J,3,0),""),"")</f>
        <v/>
      </c>
      <c r="D2137" s="693"/>
      <c r="E2137" s="697"/>
      <c r="F2137" s="695"/>
      <c r="G2137" s="696"/>
      <c r="K2137" s="22" t="str">
        <f t="shared" si="67"/>
        <v/>
      </c>
      <c r="M2137" s="534" t="str">
        <f t="shared" si="66"/>
        <v/>
      </c>
    </row>
    <row r="2138" spans="2:13" ht="15.75" x14ac:dyDescent="0.25">
      <c r="B2138" s="692"/>
      <c r="C2138" s="117" t="str">
        <f>IF(ISNUMBER(B2138),IFERROR(VLOOKUP(B2138,'נתוני רישום ומצבת'!B:J,3,0),""),"")</f>
        <v/>
      </c>
      <c r="D2138" s="693"/>
      <c r="E2138" s="697"/>
      <c r="F2138" s="695"/>
      <c r="G2138" s="696"/>
      <c r="K2138" s="22" t="str">
        <f t="shared" si="67"/>
        <v/>
      </c>
      <c r="M2138" s="534" t="str">
        <f t="shared" si="66"/>
        <v/>
      </c>
    </row>
    <row r="2139" spans="2:13" ht="15.75" x14ac:dyDescent="0.25">
      <c r="B2139" s="692"/>
      <c r="C2139" s="117" t="str">
        <f>IF(ISNUMBER(B2139),IFERROR(VLOOKUP(B2139,'נתוני רישום ומצבת'!B:J,3,0),""),"")</f>
        <v/>
      </c>
      <c r="D2139" s="693"/>
      <c r="E2139" s="697"/>
      <c r="F2139" s="695"/>
      <c r="G2139" s="696"/>
      <c r="K2139" s="22" t="str">
        <f t="shared" si="67"/>
        <v/>
      </c>
      <c r="M2139" s="534" t="str">
        <f t="shared" si="66"/>
        <v/>
      </c>
    </row>
    <row r="2140" spans="2:13" ht="15.75" x14ac:dyDescent="0.25">
      <c r="B2140" s="692"/>
      <c r="C2140" s="117" t="str">
        <f>IF(ISNUMBER(B2140),IFERROR(VLOOKUP(B2140,'נתוני רישום ומצבת'!B:J,3,0),""),"")</f>
        <v/>
      </c>
      <c r="D2140" s="693"/>
      <c r="E2140" s="697"/>
      <c r="F2140" s="695"/>
      <c r="G2140" s="696"/>
      <c r="K2140" s="22" t="str">
        <f t="shared" si="67"/>
        <v/>
      </c>
      <c r="M2140" s="534" t="str">
        <f t="shared" si="66"/>
        <v/>
      </c>
    </row>
    <row r="2141" spans="2:13" ht="15.75" x14ac:dyDescent="0.25">
      <c r="B2141" s="692"/>
      <c r="C2141" s="117" t="str">
        <f>IF(ISNUMBER(B2141),IFERROR(VLOOKUP(B2141,'נתוני רישום ומצבת'!B:J,3,0),""),"")</f>
        <v/>
      </c>
      <c r="D2141" s="693"/>
      <c r="E2141" s="697"/>
      <c r="F2141" s="695"/>
      <c r="G2141" s="696"/>
      <c r="K2141" s="22" t="str">
        <f t="shared" si="67"/>
        <v/>
      </c>
      <c r="M2141" s="534" t="str">
        <f t="shared" si="66"/>
        <v/>
      </c>
    </row>
    <row r="2142" spans="2:13" ht="15.75" x14ac:dyDescent="0.25">
      <c r="B2142" s="692"/>
      <c r="C2142" s="117" t="str">
        <f>IF(ISNUMBER(B2142),IFERROR(VLOOKUP(B2142,'נתוני רישום ומצבת'!B:J,3,0),""),"")</f>
        <v/>
      </c>
      <c r="D2142" s="693"/>
      <c r="E2142" s="697"/>
      <c r="F2142" s="695"/>
      <c r="G2142" s="696"/>
      <c r="K2142" s="22" t="str">
        <f t="shared" si="67"/>
        <v/>
      </c>
      <c r="M2142" s="534" t="str">
        <f t="shared" si="66"/>
        <v/>
      </c>
    </row>
    <row r="2143" spans="2:13" ht="15.75" x14ac:dyDescent="0.25">
      <c r="B2143" s="692"/>
      <c r="C2143" s="117" t="str">
        <f>IF(ISNUMBER(B2143),IFERROR(VLOOKUP(B2143,'נתוני רישום ומצבת'!B:J,3,0),""),"")</f>
        <v/>
      </c>
      <c r="D2143" s="693"/>
      <c r="E2143" s="697"/>
      <c r="F2143" s="695"/>
      <c r="G2143" s="696"/>
      <c r="K2143" s="22" t="str">
        <f t="shared" si="67"/>
        <v/>
      </c>
      <c r="M2143" s="534" t="str">
        <f t="shared" si="66"/>
        <v/>
      </c>
    </row>
    <row r="2144" spans="2:13" ht="15.75" x14ac:dyDescent="0.25">
      <c r="B2144" s="692"/>
      <c r="C2144" s="117" t="str">
        <f>IF(ISNUMBER(B2144),IFERROR(VLOOKUP(B2144,'נתוני רישום ומצבת'!B:J,3,0),""),"")</f>
        <v/>
      </c>
      <c r="D2144" s="693"/>
      <c r="E2144" s="697"/>
      <c r="F2144" s="695"/>
      <c r="G2144" s="696"/>
      <c r="K2144" s="22" t="str">
        <f t="shared" si="67"/>
        <v/>
      </c>
      <c r="M2144" s="534" t="str">
        <f t="shared" si="66"/>
        <v/>
      </c>
    </row>
    <row r="2145" spans="2:13" ht="15.75" x14ac:dyDescent="0.25">
      <c r="B2145" s="692"/>
      <c r="C2145" s="117" t="str">
        <f>IF(ISNUMBER(B2145),IFERROR(VLOOKUP(B2145,'נתוני רישום ומצבת'!B:J,3,0),""),"")</f>
        <v/>
      </c>
      <c r="D2145" s="693"/>
      <c r="E2145" s="697"/>
      <c r="F2145" s="695"/>
      <c r="G2145" s="696"/>
      <c r="K2145" s="22" t="str">
        <f t="shared" si="67"/>
        <v/>
      </c>
      <c r="M2145" s="534" t="str">
        <f t="shared" si="66"/>
        <v/>
      </c>
    </row>
    <row r="2146" spans="2:13" ht="15.75" x14ac:dyDescent="0.25">
      <c r="B2146" s="692"/>
      <c r="C2146" s="117" t="str">
        <f>IF(ISNUMBER(B2146),IFERROR(VLOOKUP(B2146,'נתוני רישום ומצבת'!B:J,3,0),""),"")</f>
        <v/>
      </c>
      <c r="D2146" s="693"/>
      <c r="E2146" s="697"/>
      <c r="F2146" s="695"/>
      <c r="G2146" s="696"/>
      <c r="K2146" s="22" t="str">
        <f t="shared" si="67"/>
        <v/>
      </c>
      <c r="M2146" s="534" t="str">
        <f t="shared" si="66"/>
        <v/>
      </c>
    </row>
    <row r="2147" spans="2:13" ht="15.75" x14ac:dyDescent="0.25">
      <c r="B2147" s="692"/>
      <c r="C2147" s="117" t="str">
        <f>IF(ISNUMBER(B2147),IFERROR(VLOOKUP(B2147,'נתוני רישום ומצבת'!B:J,3,0),""),"")</f>
        <v/>
      </c>
      <c r="D2147" s="693"/>
      <c r="E2147" s="697"/>
      <c r="F2147" s="695"/>
      <c r="G2147" s="696"/>
      <c r="K2147" s="22" t="str">
        <f t="shared" si="67"/>
        <v/>
      </c>
      <c r="M2147" s="534" t="str">
        <f t="shared" si="66"/>
        <v/>
      </c>
    </row>
    <row r="2148" spans="2:13" ht="15.75" x14ac:dyDescent="0.25">
      <c r="B2148" s="692"/>
      <c r="C2148" s="117" t="str">
        <f>IF(ISNUMBER(B2148),IFERROR(VLOOKUP(B2148,'נתוני רישום ומצבת'!B:J,3,0),""),"")</f>
        <v/>
      </c>
      <c r="D2148" s="693"/>
      <c r="E2148" s="697"/>
      <c r="F2148" s="695"/>
      <c r="G2148" s="696"/>
      <c r="K2148" s="22" t="str">
        <f t="shared" si="67"/>
        <v/>
      </c>
      <c r="M2148" s="534" t="str">
        <f t="shared" si="66"/>
        <v/>
      </c>
    </row>
    <row r="2149" spans="2:13" ht="15.75" x14ac:dyDescent="0.25">
      <c r="B2149" s="692"/>
      <c r="C2149" s="117" t="str">
        <f>IF(ISNUMBER(B2149),IFERROR(VLOOKUP(B2149,'נתוני רישום ומצבת'!B:J,3,0),""),"")</f>
        <v/>
      </c>
      <c r="D2149" s="693"/>
      <c r="E2149" s="697"/>
      <c r="F2149" s="695"/>
      <c r="G2149" s="696"/>
      <c r="K2149" s="22" t="str">
        <f t="shared" si="67"/>
        <v/>
      </c>
      <c r="M2149" s="534" t="str">
        <f t="shared" si="66"/>
        <v/>
      </c>
    </row>
    <row r="2150" spans="2:13" ht="15.75" x14ac:dyDescent="0.25">
      <c r="B2150" s="692"/>
      <c r="C2150" s="117" t="str">
        <f>IF(ISNUMBER(B2150),IFERROR(VLOOKUP(B2150,'נתוני רישום ומצבת'!B:J,3,0),""),"")</f>
        <v/>
      </c>
      <c r="D2150" s="693"/>
      <c r="E2150" s="697"/>
      <c r="F2150" s="695"/>
      <c r="G2150" s="696"/>
      <c r="K2150" s="22" t="str">
        <f t="shared" si="67"/>
        <v/>
      </c>
      <c r="M2150" s="534" t="str">
        <f t="shared" si="66"/>
        <v/>
      </c>
    </row>
    <row r="2151" spans="2:13" ht="15.75" x14ac:dyDescent="0.25">
      <c r="B2151" s="692"/>
      <c r="C2151" s="117" t="str">
        <f>IF(ISNUMBER(B2151),IFERROR(VLOOKUP(B2151,'נתוני רישום ומצבת'!B:J,3,0),""),"")</f>
        <v/>
      </c>
      <c r="D2151" s="693"/>
      <c r="E2151" s="697"/>
      <c r="F2151" s="695"/>
      <c r="G2151" s="696"/>
      <c r="K2151" s="22" t="str">
        <f t="shared" si="67"/>
        <v/>
      </c>
      <c r="M2151" s="534" t="str">
        <f t="shared" si="66"/>
        <v/>
      </c>
    </row>
    <row r="2152" spans="2:13" ht="15.75" x14ac:dyDescent="0.25">
      <c r="B2152" s="692"/>
      <c r="C2152" s="117" t="str">
        <f>IF(ISNUMBER(B2152),IFERROR(VLOOKUP(B2152,'נתוני רישום ומצבת'!B:J,3,0),""),"")</f>
        <v/>
      </c>
      <c r="D2152" s="693"/>
      <c r="E2152" s="697"/>
      <c r="F2152" s="695"/>
      <c r="G2152" s="696"/>
      <c r="K2152" s="22" t="str">
        <f t="shared" si="67"/>
        <v/>
      </c>
      <c r="M2152" s="534" t="str">
        <f t="shared" si="66"/>
        <v/>
      </c>
    </row>
    <row r="2153" spans="2:13" ht="15.75" x14ac:dyDescent="0.25">
      <c r="B2153" s="692"/>
      <c r="C2153" s="117" t="str">
        <f>IF(ISNUMBER(B2153),IFERROR(VLOOKUP(B2153,'נתוני רישום ומצבת'!B:J,3,0),""),"")</f>
        <v/>
      </c>
      <c r="D2153" s="693"/>
      <c r="E2153" s="697"/>
      <c r="F2153" s="695"/>
      <c r="G2153" s="696"/>
      <c r="K2153" s="22" t="str">
        <f t="shared" si="67"/>
        <v/>
      </c>
      <c r="M2153" s="534" t="str">
        <f t="shared" si="66"/>
        <v/>
      </c>
    </row>
    <row r="2154" spans="2:13" ht="15.75" x14ac:dyDescent="0.25">
      <c r="B2154" s="692"/>
      <c r="C2154" s="117" t="str">
        <f>IF(ISNUMBER(B2154),IFERROR(VLOOKUP(B2154,'נתוני רישום ומצבת'!B:J,3,0),""),"")</f>
        <v/>
      </c>
      <c r="D2154" s="693"/>
      <c r="E2154" s="697"/>
      <c r="F2154" s="695"/>
      <c r="G2154" s="696"/>
      <c r="K2154" s="22" t="str">
        <f t="shared" si="67"/>
        <v/>
      </c>
      <c r="M2154" s="534" t="str">
        <f t="shared" si="66"/>
        <v/>
      </c>
    </row>
    <row r="2155" spans="2:13" ht="15.75" x14ac:dyDescent="0.25">
      <c r="B2155" s="692"/>
      <c r="C2155" s="117" t="str">
        <f>IF(ISNUMBER(B2155),IFERROR(VLOOKUP(B2155,'נתוני רישום ומצבת'!B:J,3,0),""),"")</f>
        <v/>
      </c>
      <c r="D2155" s="693"/>
      <c r="E2155" s="697"/>
      <c r="F2155" s="695"/>
      <c r="G2155" s="696"/>
      <c r="K2155" s="22" t="str">
        <f t="shared" si="67"/>
        <v/>
      </c>
      <c r="M2155" s="534" t="str">
        <f t="shared" si="66"/>
        <v/>
      </c>
    </row>
    <row r="2156" spans="2:13" ht="15.75" x14ac:dyDescent="0.25">
      <c r="B2156" s="692"/>
      <c r="C2156" s="117" t="str">
        <f>IF(ISNUMBER(B2156),IFERROR(VLOOKUP(B2156,'נתוני רישום ומצבת'!B:J,3,0),""),"")</f>
        <v/>
      </c>
      <c r="D2156" s="693"/>
      <c r="E2156" s="697"/>
      <c r="F2156" s="695"/>
      <c r="G2156" s="696"/>
      <c r="K2156" s="22" t="str">
        <f t="shared" si="67"/>
        <v/>
      </c>
      <c r="M2156" s="534" t="str">
        <f t="shared" si="66"/>
        <v/>
      </c>
    </row>
    <row r="2157" spans="2:13" ht="15.75" x14ac:dyDescent="0.25">
      <c r="B2157" s="692"/>
      <c r="C2157" s="117" t="str">
        <f>IF(ISNUMBER(B2157),IFERROR(VLOOKUP(B2157,'נתוני רישום ומצבת'!B:J,3,0),""),"")</f>
        <v/>
      </c>
      <c r="D2157" s="693"/>
      <c r="E2157" s="697"/>
      <c r="F2157" s="695"/>
      <c r="G2157" s="696"/>
      <c r="K2157" s="22" t="str">
        <f t="shared" si="67"/>
        <v/>
      </c>
      <c r="M2157" s="534" t="str">
        <f t="shared" si="66"/>
        <v/>
      </c>
    </row>
    <row r="2158" spans="2:13" ht="15.75" x14ac:dyDescent="0.25">
      <c r="B2158" s="692"/>
      <c r="C2158" s="117" t="str">
        <f>IF(ISNUMBER(B2158),IFERROR(VLOOKUP(B2158,'נתוני רישום ומצבת'!B:J,3,0),""),"")</f>
        <v/>
      </c>
      <c r="D2158" s="693"/>
      <c r="E2158" s="697"/>
      <c r="F2158" s="695"/>
      <c r="G2158" s="696"/>
      <c r="K2158" s="22" t="str">
        <f t="shared" si="67"/>
        <v/>
      </c>
      <c r="M2158" s="534" t="str">
        <f t="shared" si="66"/>
        <v/>
      </c>
    </row>
    <row r="2159" spans="2:13" ht="15.75" x14ac:dyDescent="0.25">
      <c r="B2159" s="692"/>
      <c r="C2159" s="117" t="str">
        <f>IF(ISNUMBER(B2159),IFERROR(VLOOKUP(B2159,'נתוני רישום ומצבת'!B:J,3,0),""),"")</f>
        <v/>
      </c>
      <c r="D2159" s="693"/>
      <c r="E2159" s="697"/>
      <c r="F2159" s="695"/>
      <c r="G2159" s="696"/>
      <c r="K2159" s="22" t="str">
        <f t="shared" si="67"/>
        <v/>
      </c>
      <c r="M2159" s="534" t="str">
        <f t="shared" si="66"/>
        <v/>
      </c>
    </row>
    <row r="2160" spans="2:13" ht="15.75" x14ac:dyDescent="0.25">
      <c r="B2160" s="692"/>
      <c r="C2160" s="117" t="str">
        <f>IF(ISNUMBER(B2160),IFERROR(VLOOKUP(B2160,'נתוני רישום ומצבת'!B:J,3,0),""),"")</f>
        <v/>
      </c>
      <c r="D2160" s="693"/>
      <c r="E2160" s="697"/>
      <c r="F2160" s="695"/>
      <c r="G2160" s="696"/>
      <c r="K2160" s="22" t="str">
        <f t="shared" si="67"/>
        <v/>
      </c>
      <c r="M2160" s="534" t="str">
        <f t="shared" si="66"/>
        <v/>
      </c>
    </row>
    <row r="2161" spans="2:13" ht="15.75" x14ac:dyDescent="0.25">
      <c r="B2161" s="692"/>
      <c r="C2161" s="117" t="str">
        <f>IF(ISNUMBER(B2161),IFERROR(VLOOKUP(B2161,'נתוני רישום ומצבת'!B:J,3,0),""),"")</f>
        <v/>
      </c>
      <c r="D2161" s="693"/>
      <c r="E2161" s="697"/>
      <c r="F2161" s="695"/>
      <c r="G2161" s="696"/>
      <c r="K2161" s="22" t="str">
        <f t="shared" si="67"/>
        <v/>
      </c>
      <c r="M2161" s="534" t="str">
        <f t="shared" si="66"/>
        <v/>
      </c>
    </row>
    <row r="2162" spans="2:13" ht="15.75" x14ac:dyDescent="0.25">
      <c r="B2162" s="692"/>
      <c r="C2162" s="117" t="str">
        <f>IF(ISNUMBER(B2162),IFERROR(VLOOKUP(B2162,'נתוני רישום ומצבת'!B:J,3,0),""),"")</f>
        <v/>
      </c>
      <c r="D2162" s="693"/>
      <c r="E2162" s="697"/>
      <c r="F2162" s="695"/>
      <c r="G2162" s="696"/>
      <c r="K2162" s="22" t="str">
        <f t="shared" si="67"/>
        <v/>
      </c>
      <c r="M2162" s="534" t="str">
        <f t="shared" si="66"/>
        <v/>
      </c>
    </row>
    <row r="2163" spans="2:13" ht="15.75" x14ac:dyDescent="0.25">
      <c r="B2163" s="692"/>
      <c r="C2163" s="117" t="str">
        <f>IF(ISNUMBER(B2163),IFERROR(VLOOKUP(B2163,'נתוני רישום ומצבת'!B:J,3,0),""),"")</f>
        <v/>
      </c>
      <c r="D2163" s="693"/>
      <c r="E2163" s="697"/>
      <c r="F2163" s="695"/>
      <c r="G2163" s="696"/>
      <c r="K2163" s="22" t="str">
        <f t="shared" si="67"/>
        <v/>
      </c>
      <c r="M2163" s="534" t="str">
        <f t="shared" si="66"/>
        <v/>
      </c>
    </row>
    <row r="2164" spans="2:13" ht="15.75" x14ac:dyDescent="0.25">
      <c r="B2164" s="692"/>
      <c r="C2164" s="117" t="str">
        <f>IF(ISNUMBER(B2164),IFERROR(VLOOKUP(B2164,'נתוני רישום ומצבת'!B:J,3,0),""),"")</f>
        <v/>
      </c>
      <c r="D2164" s="693"/>
      <c r="E2164" s="697"/>
      <c r="F2164" s="695"/>
      <c r="G2164" s="696"/>
      <c r="K2164" s="22" t="str">
        <f t="shared" si="67"/>
        <v/>
      </c>
      <c r="M2164" s="534" t="str">
        <f t="shared" si="66"/>
        <v/>
      </c>
    </row>
    <row r="2165" spans="2:13" ht="15.75" x14ac:dyDescent="0.25">
      <c r="B2165" s="692"/>
      <c r="C2165" s="117" t="str">
        <f>IF(ISNUMBER(B2165),IFERROR(VLOOKUP(B2165,'נתוני רישום ומצבת'!B:J,3,0),""),"")</f>
        <v/>
      </c>
      <c r="D2165" s="693"/>
      <c r="E2165" s="697"/>
      <c r="F2165" s="695"/>
      <c r="G2165" s="696"/>
      <c r="K2165" s="22" t="str">
        <f t="shared" si="67"/>
        <v/>
      </c>
      <c r="M2165" s="534" t="str">
        <f t="shared" si="66"/>
        <v/>
      </c>
    </row>
    <row r="2166" spans="2:13" ht="15.75" x14ac:dyDescent="0.25">
      <c r="B2166" s="692"/>
      <c r="C2166" s="117" t="str">
        <f>IF(ISNUMBER(B2166),IFERROR(VLOOKUP(B2166,'נתוני רישום ומצבת'!B:J,3,0),""),"")</f>
        <v/>
      </c>
      <c r="D2166" s="693"/>
      <c r="E2166" s="697"/>
      <c r="F2166" s="695"/>
      <c r="G2166" s="696"/>
      <c r="K2166" s="22" t="str">
        <f t="shared" si="67"/>
        <v/>
      </c>
      <c r="M2166" s="534" t="str">
        <f t="shared" si="66"/>
        <v/>
      </c>
    </row>
    <row r="2167" spans="2:13" ht="15.75" x14ac:dyDescent="0.25">
      <c r="B2167" s="692"/>
      <c r="C2167" s="117" t="str">
        <f>IF(ISNUMBER(B2167),IFERROR(VLOOKUP(B2167,'נתוני רישום ומצבת'!B:J,3,0),""),"")</f>
        <v/>
      </c>
      <c r="D2167" s="693"/>
      <c r="E2167" s="697"/>
      <c r="F2167" s="695"/>
      <c r="G2167" s="696"/>
      <c r="K2167" s="22" t="str">
        <f t="shared" si="67"/>
        <v/>
      </c>
      <c r="M2167" s="534" t="str">
        <f t="shared" si="66"/>
        <v/>
      </c>
    </row>
    <row r="2168" spans="2:13" ht="15.75" x14ac:dyDescent="0.25">
      <c r="B2168" s="692"/>
      <c r="C2168" s="117" t="str">
        <f>IF(ISNUMBER(B2168),IFERROR(VLOOKUP(B2168,'נתוני רישום ומצבת'!B:J,3,0),""),"")</f>
        <v/>
      </c>
      <c r="D2168" s="693"/>
      <c r="E2168" s="697"/>
      <c r="F2168" s="695"/>
      <c r="G2168" s="696"/>
      <c r="K2168" s="22" t="str">
        <f t="shared" si="67"/>
        <v/>
      </c>
      <c r="M2168" s="534" t="str">
        <f t="shared" si="66"/>
        <v/>
      </c>
    </row>
    <row r="2169" spans="2:13" ht="15.75" x14ac:dyDescent="0.25">
      <c r="B2169" s="692"/>
      <c r="C2169" s="117" t="str">
        <f>IF(ISNUMBER(B2169),IFERROR(VLOOKUP(B2169,'נתוני רישום ומצבת'!B:J,3,0),""),"")</f>
        <v/>
      </c>
      <c r="D2169" s="693"/>
      <c r="E2169" s="697"/>
      <c r="F2169" s="695"/>
      <c r="G2169" s="696"/>
      <c r="K2169" s="22" t="str">
        <f t="shared" si="67"/>
        <v/>
      </c>
      <c r="M2169" s="534" t="str">
        <f t="shared" si="66"/>
        <v/>
      </c>
    </row>
    <row r="2170" spans="2:13" ht="15.75" x14ac:dyDescent="0.25">
      <c r="B2170" s="692"/>
      <c r="C2170" s="117" t="str">
        <f>IF(ISNUMBER(B2170),IFERROR(VLOOKUP(B2170,'נתוני רישום ומצבת'!B:J,3,0),""),"")</f>
        <v/>
      </c>
      <c r="D2170" s="693"/>
      <c r="E2170" s="697"/>
      <c r="F2170" s="695"/>
      <c r="G2170" s="696"/>
      <c r="K2170" s="22" t="str">
        <f t="shared" si="67"/>
        <v/>
      </c>
      <c r="M2170" s="534" t="str">
        <f t="shared" si="66"/>
        <v/>
      </c>
    </row>
    <row r="2171" spans="2:13" ht="15.75" x14ac:dyDescent="0.25">
      <c r="B2171" s="692"/>
      <c r="C2171" s="117" t="str">
        <f>IF(ISNUMBER(B2171),IFERROR(VLOOKUP(B2171,'נתוני רישום ומצבת'!B:J,3,0),""),"")</f>
        <v/>
      </c>
      <c r="D2171" s="693"/>
      <c r="E2171" s="697"/>
      <c r="F2171" s="695"/>
      <c r="G2171" s="696"/>
      <c r="K2171" s="22" t="str">
        <f t="shared" si="67"/>
        <v/>
      </c>
      <c r="M2171" s="534" t="str">
        <f t="shared" si="66"/>
        <v/>
      </c>
    </row>
    <row r="2172" spans="2:13" ht="15.75" x14ac:dyDescent="0.25">
      <c r="B2172" s="692"/>
      <c r="C2172" s="117" t="str">
        <f>IF(ISNUMBER(B2172),IFERROR(VLOOKUP(B2172,'נתוני רישום ומצבת'!B:J,3,0),""),"")</f>
        <v/>
      </c>
      <c r="D2172" s="693"/>
      <c r="E2172" s="697"/>
      <c r="F2172" s="695"/>
      <c r="G2172" s="696"/>
      <c r="K2172" s="22" t="str">
        <f t="shared" si="67"/>
        <v/>
      </c>
      <c r="M2172" s="534" t="str">
        <f t="shared" si="66"/>
        <v/>
      </c>
    </row>
    <row r="2173" spans="2:13" ht="15.75" x14ac:dyDescent="0.25">
      <c r="B2173" s="692"/>
      <c r="C2173" s="117" t="str">
        <f>IF(ISNUMBER(B2173),IFERROR(VLOOKUP(B2173,'נתוני רישום ומצבת'!B:J,3,0),""),"")</f>
        <v/>
      </c>
      <c r="D2173" s="693"/>
      <c r="E2173" s="697"/>
      <c r="F2173" s="695"/>
      <c r="G2173" s="696"/>
      <c r="K2173" s="22" t="str">
        <f t="shared" si="67"/>
        <v/>
      </c>
      <c r="M2173" s="534" t="str">
        <f t="shared" si="66"/>
        <v/>
      </c>
    </row>
    <row r="2174" spans="2:13" ht="15.75" x14ac:dyDescent="0.25">
      <c r="B2174" s="692"/>
      <c r="C2174" s="117" t="str">
        <f>IF(ISNUMBER(B2174),IFERROR(VLOOKUP(B2174,'נתוני רישום ומצבת'!B:J,3,0),""),"")</f>
        <v/>
      </c>
      <c r="D2174" s="693"/>
      <c r="E2174" s="697"/>
      <c r="F2174" s="695"/>
      <c r="G2174" s="696"/>
      <c r="K2174" s="22" t="str">
        <f t="shared" si="67"/>
        <v/>
      </c>
      <c r="M2174" s="534" t="str">
        <f t="shared" si="66"/>
        <v/>
      </c>
    </row>
    <row r="2175" spans="2:13" ht="15.75" x14ac:dyDescent="0.25">
      <c r="B2175" s="692"/>
      <c r="C2175" s="117" t="str">
        <f>IF(ISNUMBER(B2175),IFERROR(VLOOKUP(B2175,'נתוני רישום ומצבת'!B:J,3,0),""),"")</f>
        <v/>
      </c>
      <c r="D2175" s="693"/>
      <c r="E2175" s="697"/>
      <c r="F2175" s="695"/>
      <c r="G2175" s="696"/>
      <c r="K2175" s="22" t="str">
        <f t="shared" si="67"/>
        <v/>
      </c>
      <c r="M2175" s="534" t="str">
        <f t="shared" si="66"/>
        <v/>
      </c>
    </row>
    <row r="2176" spans="2:13" ht="15.75" x14ac:dyDescent="0.25">
      <c r="B2176" s="692"/>
      <c r="C2176" s="117" t="str">
        <f>IF(ISNUMBER(B2176),IFERROR(VLOOKUP(B2176,'נתוני רישום ומצבת'!B:J,3,0),""),"")</f>
        <v/>
      </c>
      <c r="D2176" s="693"/>
      <c r="E2176" s="697"/>
      <c r="F2176" s="695"/>
      <c r="G2176" s="696"/>
      <c r="K2176" s="22" t="str">
        <f t="shared" si="67"/>
        <v/>
      </c>
      <c r="M2176" s="534" t="str">
        <f t="shared" si="66"/>
        <v/>
      </c>
    </row>
    <row r="2177" spans="2:13" ht="15.75" x14ac:dyDescent="0.25">
      <c r="B2177" s="692"/>
      <c r="C2177" s="117" t="str">
        <f>IF(ISNUMBER(B2177),IFERROR(VLOOKUP(B2177,'נתוני רישום ומצבת'!B:J,3,0),""),"")</f>
        <v/>
      </c>
      <c r="D2177" s="693"/>
      <c r="E2177" s="697"/>
      <c r="F2177" s="695"/>
      <c r="G2177" s="696"/>
      <c r="K2177" s="22" t="str">
        <f t="shared" si="67"/>
        <v/>
      </c>
      <c r="M2177" s="534" t="str">
        <f t="shared" si="66"/>
        <v/>
      </c>
    </row>
    <row r="2178" spans="2:13" ht="15.75" x14ac:dyDescent="0.25">
      <c r="B2178" s="692"/>
      <c r="C2178" s="117" t="str">
        <f>IF(ISNUMBER(B2178),IFERROR(VLOOKUP(B2178,'נתוני רישום ומצבת'!B:J,3,0),""),"")</f>
        <v/>
      </c>
      <c r="D2178" s="693"/>
      <c r="E2178" s="697"/>
      <c r="F2178" s="695"/>
      <c r="G2178" s="696"/>
      <c r="K2178" s="22" t="str">
        <f t="shared" si="67"/>
        <v/>
      </c>
      <c r="M2178" s="534" t="str">
        <f t="shared" si="66"/>
        <v/>
      </c>
    </row>
    <row r="2179" spans="2:13" ht="15.75" x14ac:dyDescent="0.25">
      <c r="B2179" s="692"/>
      <c r="C2179" s="117" t="str">
        <f>IF(ISNUMBER(B2179),IFERROR(VLOOKUP(B2179,'נתוני רישום ומצבת'!B:J,3,0),""),"")</f>
        <v/>
      </c>
      <c r="D2179" s="693"/>
      <c r="E2179" s="697"/>
      <c r="F2179" s="695"/>
      <c r="G2179" s="696"/>
      <c r="K2179" s="22" t="str">
        <f t="shared" si="67"/>
        <v/>
      </c>
      <c r="M2179" s="534" t="str">
        <f t="shared" si="66"/>
        <v/>
      </c>
    </row>
    <row r="2180" spans="2:13" ht="15.75" x14ac:dyDescent="0.25">
      <c r="B2180" s="692"/>
      <c r="C2180" s="117" t="str">
        <f>IF(ISNUMBER(B2180),IFERROR(VLOOKUP(B2180,'נתוני רישום ומצבת'!B:J,3,0),""),"")</f>
        <v/>
      </c>
      <c r="D2180" s="693"/>
      <c r="E2180" s="697"/>
      <c r="F2180" s="695"/>
      <c r="G2180" s="696"/>
      <c r="K2180" s="22" t="str">
        <f t="shared" si="67"/>
        <v/>
      </c>
      <c r="M2180" s="534" t="str">
        <f t="shared" si="66"/>
        <v/>
      </c>
    </row>
    <row r="2181" spans="2:13" ht="15.75" x14ac:dyDescent="0.25">
      <c r="B2181" s="692"/>
      <c r="C2181" s="117" t="str">
        <f>IF(ISNUMBER(B2181),IFERROR(VLOOKUP(B2181,'נתוני רישום ומצבת'!B:J,3,0),""),"")</f>
        <v/>
      </c>
      <c r="D2181" s="693"/>
      <c r="E2181" s="697"/>
      <c r="F2181" s="695"/>
      <c r="G2181" s="696"/>
      <c r="K2181" s="22" t="str">
        <f t="shared" si="67"/>
        <v/>
      </c>
      <c r="M2181" s="534" t="str">
        <f t="shared" si="66"/>
        <v/>
      </c>
    </row>
    <row r="2182" spans="2:13" ht="15.75" x14ac:dyDescent="0.25">
      <c r="B2182" s="692"/>
      <c r="C2182" s="117" t="str">
        <f>IF(ISNUMBER(B2182),IFERROR(VLOOKUP(B2182,'נתוני רישום ומצבת'!B:J,3,0),""),"")</f>
        <v/>
      </c>
      <c r="D2182" s="693"/>
      <c r="E2182" s="697"/>
      <c r="F2182" s="695"/>
      <c r="G2182" s="696"/>
      <c r="K2182" s="22" t="str">
        <f t="shared" si="67"/>
        <v/>
      </c>
      <c r="M2182" s="534" t="str">
        <f t="shared" si="66"/>
        <v/>
      </c>
    </row>
    <row r="2183" spans="2:13" ht="15.75" x14ac:dyDescent="0.25">
      <c r="B2183" s="692"/>
      <c r="C2183" s="117" t="str">
        <f>IF(ISNUMBER(B2183),IFERROR(VLOOKUP(B2183,'נתוני רישום ומצבת'!B:J,3,0),""),"")</f>
        <v/>
      </c>
      <c r="D2183" s="693"/>
      <c r="E2183" s="697"/>
      <c r="F2183" s="695"/>
      <c r="G2183" s="696"/>
      <c r="K2183" s="22" t="str">
        <f t="shared" si="67"/>
        <v/>
      </c>
      <c r="M2183" s="534" t="str">
        <f t="shared" si="66"/>
        <v/>
      </c>
    </row>
    <row r="2184" spans="2:13" ht="15.75" x14ac:dyDescent="0.25">
      <c r="B2184" s="692"/>
      <c r="C2184" s="117" t="str">
        <f>IF(ISNUMBER(B2184),IFERROR(VLOOKUP(B2184,'נתוני רישום ומצבת'!B:J,3,0),""),"")</f>
        <v/>
      </c>
      <c r="D2184" s="693"/>
      <c r="E2184" s="697"/>
      <c r="F2184" s="695"/>
      <c r="G2184" s="696"/>
      <c r="K2184" s="22" t="str">
        <f t="shared" si="67"/>
        <v/>
      </c>
      <c r="M2184" s="534" t="str">
        <f t="shared" si="66"/>
        <v/>
      </c>
    </row>
    <row r="2185" spans="2:13" ht="15.75" x14ac:dyDescent="0.25">
      <c r="B2185" s="692"/>
      <c r="C2185" s="117" t="str">
        <f>IF(ISNUMBER(B2185),IFERROR(VLOOKUP(B2185,'נתוני רישום ומצבת'!B:J,3,0),""),"")</f>
        <v/>
      </c>
      <c r="D2185" s="693"/>
      <c r="E2185" s="697"/>
      <c r="F2185" s="695"/>
      <c r="G2185" s="696"/>
      <c r="K2185" s="22" t="str">
        <f t="shared" si="67"/>
        <v/>
      </c>
      <c r="M2185" s="534" t="str">
        <f t="shared" si="66"/>
        <v/>
      </c>
    </row>
    <row r="2186" spans="2:13" ht="15.75" x14ac:dyDescent="0.25">
      <c r="B2186" s="692"/>
      <c r="C2186" s="117" t="str">
        <f>IF(ISNUMBER(B2186),IFERROR(VLOOKUP(B2186,'נתוני רישום ומצבת'!B:J,3,0),""),"")</f>
        <v/>
      </c>
      <c r="D2186" s="693"/>
      <c r="E2186" s="697"/>
      <c r="F2186" s="695"/>
      <c r="G2186" s="696"/>
      <c r="K2186" s="22" t="str">
        <f t="shared" si="67"/>
        <v/>
      </c>
      <c r="M2186" s="534" t="str">
        <f t="shared" si="66"/>
        <v/>
      </c>
    </row>
    <row r="2187" spans="2:13" ht="15.75" x14ac:dyDescent="0.25">
      <c r="B2187" s="692"/>
      <c r="C2187" s="117" t="str">
        <f>IF(ISNUMBER(B2187),IFERROR(VLOOKUP(B2187,'נתוני רישום ומצבת'!B:J,3,0),""),"")</f>
        <v/>
      </c>
      <c r="D2187" s="693"/>
      <c r="E2187" s="697"/>
      <c r="F2187" s="695"/>
      <c r="G2187" s="696"/>
      <c r="K2187" s="22" t="str">
        <f t="shared" si="67"/>
        <v/>
      </c>
      <c r="M2187" s="534" t="str">
        <f t="shared" si="66"/>
        <v/>
      </c>
    </row>
    <row r="2188" spans="2:13" ht="15.75" x14ac:dyDescent="0.25">
      <c r="B2188" s="692"/>
      <c r="C2188" s="117" t="str">
        <f>IF(ISNUMBER(B2188),IFERROR(VLOOKUP(B2188,'נתוני רישום ומצבת'!B:J,3,0),""),"")</f>
        <v/>
      </c>
      <c r="D2188" s="693"/>
      <c r="E2188" s="697"/>
      <c r="F2188" s="695"/>
      <c r="G2188" s="696"/>
      <c r="K2188" s="22" t="str">
        <f t="shared" si="67"/>
        <v/>
      </c>
      <c r="M2188" s="534" t="str">
        <f t="shared" si="66"/>
        <v/>
      </c>
    </row>
    <row r="2189" spans="2:13" ht="15.75" x14ac:dyDescent="0.25">
      <c r="B2189" s="692"/>
      <c r="C2189" s="117" t="str">
        <f>IF(ISNUMBER(B2189),IFERROR(VLOOKUP(B2189,'נתוני רישום ומצבת'!B:J,3,0),""),"")</f>
        <v/>
      </c>
      <c r="D2189" s="693"/>
      <c r="E2189" s="697"/>
      <c r="F2189" s="695"/>
      <c r="G2189" s="696"/>
      <c r="K2189" s="22" t="str">
        <f t="shared" si="67"/>
        <v/>
      </c>
      <c r="M2189" s="534" t="str">
        <f t="shared" si="66"/>
        <v/>
      </c>
    </row>
    <row r="2190" spans="2:13" ht="15.75" x14ac:dyDescent="0.25">
      <c r="B2190" s="692"/>
      <c r="C2190" s="117" t="str">
        <f>IF(ISNUMBER(B2190),IFERROR(VLOOKUP(B2190,'נתוני רישום ומצבת'!B:J,3,0),""),"")</f>
        <v/>
      </c>
      <c r="D2190" s="693"/>
      <c r="E2190" s="697"/>
      <c r="F2190" s="695"/>
      <c r="G2190" s="696"/>
      <c r="K2190" s="22" t="str">
        <f t="shared" si="67"/>
        <v/>
      </c>
      <c r="M2190" s="534" t="str">
        <f t="shared" si="66"/>
        <v/>
      </c>
    </row>
    <row r="2191" spans="2:13" ht="15.75" x14ac:dyDescent="0.25">
      <c r="B2191" s="692"/>
      <c r="C2191" s="117" t="str">
        <f>IF(ISNUMBER(B2191),IFERROR(VLOOKUP(B2191,'נתוני רישום ומצבת'!B:J,3,0),""),"")</f>
        <v/>
      </c>
      <c r="D2191" s="693"/>
      <c r="E2191" s="697"/>
      <c r="F2191" s="695"/>
      <c r="G2191" s="696"/>
      <c r="K2191" s="22" t="str">
        <f t="shared" si="67"/>
        <v/>
      </c>
      <c r="M2191" s="534" t="str">
        <f t="shared" si="66"/>
        <v/>
      </c>
    </row>
    <row r="2192" spans="2:13" ht="15.75" x14ac:dyDescent="0.25">
      <c r="B2192" s="692"/>
      <c r="C2192" s="117" t="str">
        <f>IF(ISNUMBER(B2192),IFERROR(VLOOKUP(B2192,'נתוני רישום ומצבת'!B:J,3,0),""),"")</f>
        <v/>
      </c>
      <c r="D2192" s="693"/>
      <c r="E2192" s="697"/>
      <c r="F2192" s="695"/>
      <c r="G2192" s="696"/>
      <c r="K2192" s="22" t="str">
        <f t="shared" si="67"/>
        <v/>
      </c>
      <c r="M2192" s="534" t="str">
        <f t="shared" si="66"/>
        <v/>
      </c>
    </row>
    <row r="2193" spans="2:13" ht="15.75" x14ac:dyDescent="0.25">
      <c r="B2193" s="692"/>
      <c r="C2193" s="117" t="str">
        <f>IF(ISNUMBER(B2193),IFERROR(VLOOKUP(B2193,'נתוני רישום ומצבת'!B:J,3,0),""),"")</f>
        <v/>
      </c>
      <c r="D2193" s="693"/>
      <c r="E2193" s="697"/>
      <c r="F2193" s="695"/>
      <c r="G2193" s="696"/>
      <c r="K2193" s="22" t="str">
        <f t="shared" si="67"/>
        <v/>
      </c>
      <c r="M2193" s="534" t="str">
        <f t="shared" ref="M2193:M2256" si="68">TEXT(LEFT(D2193,2),0)</f>
        <v/>
      </c>
    </row>
    <row r="2194" spans="2:13" ht="15.75" x14ac:dyDescent="0.25">
      <c r="B2194" s="692"/>
      <c r="C2194" s="117" t="str">
        <f>IF(ISNUMBER(B2194),IFERROR(VLOOKUP(B2194,'נתוני רישום ומצבת'!B:J,3,0),""),"")</f>
        <v/>
      </c>
      <c r="D2194" s="693"/>
      <c r="E2194" s="697"/>
      <c r="F2194" s="695"/>
      <c r="G2194" s="696"/>
      <c r="K2194" s="22" t="str">
        <f t="shared" si="67"/>
        <v/>
      </c>
      <c r="M2194" s="534" t="str">
        <f t="shared" si="68"/>
        <v/>
      </c>
    </row>
    <row r="2195" spans="2:13" ht="15.75" x14ac:dyDescent="0.25">
      <c r="B2195" s="692"/>
      <c r="C2195" s="117" t="str">
        <f>IF(ISNUMBER(B2195),IFERROR(VLOOKUP(B2195,'נתוני רישום ומצבת'!B:J,3,0),""),"")</f>
        <v/>
      </c>
      <c r="D2195" s="693"/>
      <c r="E2195" s="697"/>
      <c r="F2195" s="695"/>
      <c r="G2195" s="696"/>
      <c r="K2195" s="22" t="str">
        <f t="shared" si="67"/>
        <v/>
      </c>
      <c r="M2195" s="534" t="str">
        <f t="shared" si="68"/>
        <v/>
      </c>
    </row>
    <row r="2196" spans="2:13" ht="15.75" x14ac:dyDescent="0.25">
      <c r="B2196" s="692"/>
      <c r="C2196" s="117" t="str">
        <f>IF(ISNUMBER(B2196),IFERROR(VLOOKUP(B2196,'נתוני רישום ומצבת'!B:J,3,0),""),"")</f>
        <v/>
      </c>
      <c r="D2196" s="693"/>
      <c r="E2196" s="697"/>
      <c r="F2196" s="695"/>
      <c r="G2196" s="696"/>
      <c r="K2196" s="22" t="str">
        <f t="shared" si="67"/>
        <v/>
      </c>
      <c r="M2196" s="534" t="str">
        <f t="shared" si="68"/>
        <v/>
      </c>
    </row>
    <row r="2197" spans="2:13" ht="15.75" x14ac:dyDescent="0.25">
      <c r="B2197" s="692"/>
      <c r="C2197" s="117" t="str">
        <f>IF(ISNUMBER(B2197),IFERROR(VLOOKUP(B2197,'נתוני רישום ומצבת'!B:J,3,0),""),"")</f>
        <v/>
      </c>
      <c r="D2197" s="693"/>
      <c r="E2197" s="697"/>
      <c r="F2197" s="695"/>
      <c r="G2197" s="696"/>
      <c r="K2197" s="22" t="str">
        <f t="shared" ref="K2197:K2260" si="69">IF(C2184&lt;5,IF(D2197=$F$8,-E2197," "),"")</f>
        <v/>
      </c>
      <c r="M2197" s="534" t="str">
        <f t="shared" si="68"/>
        <v/>
      </c>
    </row>
    <row r="2198" spans="2:13" ht="15.75" x14ac:dyDescent="0.25">
      <c r="B2198" s="692"/>
      <c r="C2198" s="117" t="str">
        <f>IF(ISNUMBER(B2198),IFERROR(VLOOKUP(B2198,'נתוני רישום ומצבת'!B:J,3,0),""),"")</f>
        <v/>
      </c>
      <c r="D2198" s="693"/>
      <c r="E2198" s="697"/>
      <c r="F2198" s="695"/>
      <c r="G2198" s="696"/>
      <c r="K2198" s="22" t="str">
        <f t="shared" si="69"/>
        <v/>
      </c>
      <c r="M2198" s="534" t="str">
        <f t="shared" si="68"/>
        <v/>
      </c>
    </row>
    <row r="2199" spans="2:13" ht="15.75" x14ac:dyDescent="0.25">
      <c r="B2199" s="692"/>
      <c r="C2199" s="117" t="str">
        <f>IF(ISNUMBER(B2199),IFERROR(VLOOKUP(B2199,'נתוני רישום ומצבת'!B:J,3,0),""),"")</f>
        <v/>
      </c>
      <c r="D2199" s="693"/>
      <c r="E2199" s="697"/>
      <c r="F2199" s="695"/>
      <c r="G2199" s="696"/>
      <c r="K2199" s="22" t="str">
        <f t="shared" si="69"/>
        <v/>
      </c>
      <c r="M2199" s="534" t="str">
        <f t="shared" si="68"/>
        <v/>
      </c>
    </row>
    <row r="2200" spans="2:13" ht="15.75" x14ac:dyDescent="0.25">
      <c r="B2200" s="692"/>
      <c r="C2200" s="117" t="str">
        <f>IF(ISNUMBER(B2200),IFERROR(VLOOKUP(B2200,'נתוני רישום ומצבת'!B:J,3,0),""),"")</f>
        <v/>
      </c>
      <c r="D2200" s="693"/>
      <c r="E2200" s="697"/>
      <c r="F2200" s="695"/>
      <c r="G2200" s="696"/>
      <c r="K2200" s="22" t="str">
        <f t="shared" si="69"/>
        <v/>
      </c>
      <c r="M2200" s="534" t="str">
        <f t="shared" si="68"/>
        <v/>
      </c>
    </row>
    <row r="2201" spans="2:13" ht="15.75" x14ac:dyDescent="0.25">
      <c r="B2201" s="692"/>
      <c r="C2201" s="117" t="str">
        <f>IF(ISNUMBER(B2201),IFERROR(VLOOKUP(B2201,'נתוני רישום ומצבת'!B:J,3,0),""),"")</f>
        <v/>
      </c>
      <c r="D2201" s="693"/>
      <c r="E2201" s="697"/>
      <c r="F2201" s="695"/>
      <c r="G2201" s="696"/>
      <c r="K2201" s="22" t="str">
        <f t="shared" si="69"/>
        <v/>
      </c>
      <c r="M2201" s="534" t="str">
        <f t="shared" si="68"/>
        <v/>
      </c>
    </row>
    <row r="2202" spans="2:13" ht="15.75" x14ac:dyDescent="0.25">
      <c r="B2202" s="692"/>
      <c r="C2202" s="117" t="str">
        <f>IF(ISNUMBER(B2202),IFERROR(VLOOKUP(B2202,'נתוני רישום ומצבת'!B:J,3,0),""),"")</f>
        <v/>
      </c>
      <c r="D2202" s="693"/>
      <c r="E2202" s="697"/>
      <c r="F2202" s="695"/>
      <c r="G2202" s="696"/>
      <c r="K2202" s="22" t="str">
        <f t="shared" si="69"/>
        <v/>
      </c>
      <c r="M2202" s="534" t="str">
        <f t="shared" si="68"/>
        <v/>
      </c>
    </row>
    <row r="2203" spans="2:13" ht="15.75" x14ac:dyDescent="0.25">
      <c r="B2203" s="692"/>
      <c r="C2203" s="117" t="str">
        <f>IF(ISNUMBER(B2203),IFERROR(VLOOKUP(B2203,'נתוני רישום ומצבת'!B:J,3,0),""),"")</f>
        <v/>
      </c>
      <c r="D2203" s="693"/>
      <c r="E2203" s="697"/>
      <c r="F2203" s="695"/>
      <c r="G2203" s="696"/>
      <c r="K2203" s="22" t="str">
        <f t="shared" si="69"/>
        <v/>
      </c>
      <c r="M2203" s="534" t="str">
        <f t="shared" si="68"/>
        <v/>
      </c>
    </row>
    <row r="2204" spans="2:13" ht="15.75" x14ac:dyDescent="0.25">
      <c r="B2204" s="692"/>
      <c r="C2204" s="117" t="str">
        <f>IF(ISNUMBER(B2204),IFERROR(VLOOKUP(B2204,'נתוני רישום ומצבת'!B:J,3,0),""),"")</f>
        <v/>
      </c>
      <c r="D2204" s="693"/>
      <c r="E2204" s="697"/>
      <c r="F2204" s="695"/>
      <c r="G2204" s="696"/>
      <c r="K2204" s="22" t="str">
        <f t="shared" si="69"/>
        <v/>
      </c>
      <c r="M2204" s="534" t="str">
        <f t="shared" si="68"/>
        <v/>
      </c>
    </row>
    <row r="2205" spans="2:13" ht="15.75" x14ac:dyDescent="0.25">
      <c r="B2205" s="692"/>
      <c r="C2205" s="117" t="str">
        <f>IF(ISNUMBER(B2205),IFERROR(VLOOKUP(B2205,'נתוני רישום ומצבת'!B:J,3,0),""),"")</f>
        <v/>
      </c>
      <c r="D2205" s="693"/>
      <c r="E2205" s="697"/>
      <c r="F2205" s="695"/>
      <c r="G2205" s="696"/>
      <c r="K2205" s="22" t="str">
        <f t="shared" si="69"/>
        <v/>
      </c>
      <c r="M2205" s="534" t="str">
        <f t="shared" si="68"/>
        <v/>
      </c>
    </row>
    <row r="2206" spans="2:13" ht="15.75" x14ac:dyDescent="0.25">
      <c r="B2206" s="692"/>
      <c r="C2206" s="117" t="str">
        <f>IF(ISNUMBER(B2206),IFERROR(VLOOKUP(B2206,'נתוני רישום ומצבת'!B:J,3,0),""),"")</f>
        <v/>
      </c>
      <c r="D2206" s="693"/>
      <c r="E2206" s="697"/>
      <c r="F2206" s="695"/>
      <c r="G2206" s="696"/>
      <c r="K2206" s="22" t="str">
        <f t="shared" si="69"/>
        <v/>
      </c>
      <c r="M2206" s="534" t="str">
        <f t="shared" si="68"/>
        <v/>
      </c>
    </row>
    <row r="2207" spans="2:13" ht="15.75" x14ac:dyDescent="0.25">
      <c r="B2207" s="692"/>
      <c r="C2207" s="117" t="str">
        <f>IF(ISNUMBER(B2207),IFERROR(VLOOKUP(B2207,'נתוני רישום ומצבת'!B:J,3,0),""),"")</f>
        <v/>
      </c>
      <c r="D2207" s="693"/>
      <c r="E2207" s="697"/>
      <c r="F2207" s="695"/>
      <c r="G2207" s="696"/>
      <c r="K2207" s="22" t="str">
        <f t="shared" si="69"/>
        <v/>
      </c>
      <c r="M2207" s="534" t="str">
        <f t="shared" si="68"/>
        <v/>
      </c>
    </row>
    <row r="2208" spans="2:13" ht="15.75" x14ac:dyDescent="0.25">
      <c r="B2208" s="692"/>
      <c r="C2208" s="117" t="str">
        <f>IF(ISNUMBER(B2208),IFERROR(VLOOKUP(B2208,'נתוני רישום ומצבת'!B:J,3,0),""),"")</f>
        <v/>
      </c>
      <c r="D2208" s="693"/>
      <c r="E2208" s="697"/>
      <c r="F2208" s="695"/>
      <c r="G2208" s="696"/>
      <c r="K2208" s="22" t="str">
        <f t="shared" si="69"/>
        <v/>
      </c>
      <c r="M2208" s="534" t="str">
        <f t="shared" si="68"/>
        <v/>
      </c>
    </row>
    <row r="2209" spans="2:13" ht="15.75" x14ac:dyDescent="0.25">
      <c r="B2209" s="692"/>
      <c r="C2209" s="117" t="str">
        <f>IF(ISNUMBER(B2209),IFERROR(VLOOKUP(B2209,'נתוני רישום ומצבת'!B:J,3,0),""),"")</f>
        <v/>
      </c>
      <c r="D2209" s="693"/>
      <c r="E2209" s="697"/>
      <c r="F2209" s="695"/>
      <c r="G2209" s="696"/>
      <c r="K2209" s="22" t="str">
        <f t="shared" si="69"/>
        <v/>
      </c>
      <c r="M2209" s="534" t="str">
        <f t="shared" si="68"/>
        <v/>
      </c>
    </row>
    <row r="2210" spans="2:13" ht="15.75" x14ac:dyDescent="0.25">
      <c r="B2210" s="692"/>
      <c r="C2210" s="117" t="str">
        <f>IF(ISNUMBER(B2210),IFERROR(VLOOKUP(B2210,'נתוני רישום ומצבת'!B:J,3,0),""),"")</f>
        <v/>
      </c>
      <c r="D2210" s="693"/>
      <c r="E2210" s="697"/>
      <c r="F2210" s="695"/>
      <c r="G2210" s="696"/>
      <c r="K2210" s="22" t="str">
        <f t="shared" si="69"/>
        <v/>
      </c>
      <c r="M2210" s="534" t="str">
        <f t="shared" si="68"/>
        <v/>
      </c>
    </row>
    <row r="2211" spans="2:13" ht="15.75" x14ac:dyDescent="0.25">
      <c r="B2211" s="692"/>
      <c r="C2211" s="117" t="str">
        <f>IF(ISNUMBER(B2211),IFERROR(VLOOKUP(B2211,'נתוני רישום ומצבת'!B:J,3,0),""),"")</f>
        <v/>
      </c>
      <c r="D2211" s="693"/>
      <c r="E2211" s="697"/>
      <c r="F2211" s="695"/>
      <c r="G2211" s="696"/>
      <c r="K2211" s="22" t="str">
        <f t="shared" si="69"/>
        <v/>
      </c>
      <c r="M2211" s="534" t="str">
        <f t="shared" si="68"/>
        <v/>
      </c>
    </row>
    <row r="2212" spans="2:13" ht="15.75" x14ac:dyDescent="0.25">
      <c r="B2212" s="692"/>
      <c r="C2212" s="117" t="str">
        <f>IF(ISNUMBER(B2212),IFERROR(VLOOKUP(B2212,'נתוני רישום ומצבת'!B:J,3,0),""),"")</f>
        <v/>
      </c>
      <c r="D2212" s="693"/>
      <c r="E2212" s="697"/>
      <c r="F2212" s="695"/>
      <c r="G2212" s="696"/>
      <c r="K2212" s="22" t="str">
        <f t="shared" si="69"/>
        <v/>
      </c>
      <c r="M2212" s="534" t="str">
        <f t="shared" si="68"/>
        <v/>
      </c>
    </row>
    <row r="2213" spans="2:13" ht="15.75" x14ac:dyDescent="0.25">
      <c r="B2213" s="692"/>
      <c r="C2213" s="117" t="str">
        <f>IF(ISNUMBER(B2213),IFERROR(VLOOKUP(B2213,'נתוני רישום ומצבת'!B:J,3,0),""),"")</f>
        <v/>
      </c>
      <c r="D2213" s="693"/>
      <c r="E2213" s="697"/>
      <c r="F2213" s="695"/>
      <c r="G2213" s="696"/>
      <c r="K2213" s="22" t="str">
        <f t="shared" si="69"/>
        <v/>
      </c>
      <c r="M2213" s="534" t="str">
        <f t="shared" si="68"/>
        <v/>
      </c>
    </row>
    <row r="2214" spans="2:13" ht="15.75" x14ac:dyDescent="0.25">
      <c r="B2214" s="692"/>
      <c r="C2214" s="117" t="str">
        <f>IF(ISNUMBER(B2214),IFERROR(VLOOKUP(B2214,'נתוני רישום ומצבת'!B:J,3,0),""),"")</f>
        <v/>
      </c>
      <c r="D2214" s="693"/>
      <c r="E2214" s="697"/>
      <c r="F2214" s="695"/>
      <c r="G2214" s="696"/>
      <c r="K2214" s="22" t="str">
        <f t="shared" si="69"/>
        <v/>
      </c>
      <c r="M2214" s="534" t="str">
        <f t="shared" si="68"/>
        <v/>
      </c>
    </row>
    <row r="2215" spans="2:13" ht="15.75" x14ac:dyDescent="0.25">
      <c r="B2215" s="692"/>
      <c r="C2215" s="117" t="str">
        <f>IF(ISNUMBER(B2215),IFERROR(VLOOKUP(B2215,'נתוני רישום ומצבת'!B:J,3,0),""),"")</f>
        <v/>
      </c>
      <c r="D2215" s="693"/>
      <c r="E2215" s="697"/>
      <c r="F2215" s="695"/>
      <c r="G2215" s="696"/>
      <c r="K2215" s="22" t="str">
        <f t="shared" si="69"/>
        <v/>
      </c>
      <c r="M2215" s="534" t="str">
        <f t="shared" si="68"/>
        <v/>
      </c>
    </row>
    <row r="2216" spans="2:13" ht="15.75" x14ac:dyDescent="0.25">
      <c r="B2216" s="692"/>
      <c r="C2216" s="117" t="str">
        <f>IF(ISNUMBER(B2216),IFERROR(VLOOKUP(B2216,'נתוני רישום ומצבת'!B:J,3,0),""),"")</f>
        <v/>
      </c>
      <c r="D2216" s="693"/>
      <c r="E2216" s="697"/>
      <c r="F2216" s="695"/>
      <c r="G2216" s="696"/>
      <c r="K2216" s="22" t="str">
        <f t="shared" si="69"/>
        <v/>
      </c>
      <c r="M2216" s="534" t="str">
        <f t="shared" si="68"/>
        <v/>
      </c>
    </row>
    <row r="2217" spans="2:13" ht="15.75" x14ac:dyDescent="0.25">
      <c r="B2217" s="692"/>
      <c r="C2217" s="117" t="str">
        <f>IF(ISNUMBER(B2217),IFERROR(VLOOKUP(B2217,'נתוני רישום ומצבת'!B:J,3,0),""),"")</f>
        <v/>
      </c>
      <c r="D2217" s="693"/>
      <c r="E2217" s="697"/>
      <c r="F2217" s="695"/>
      <c r="G2217" s="696"/>
      <c r="K2217" s="22" t="str">
        <f t="shared" si="69"/>
        <v/>
      </c>
      <c r="M2217" s="534" t="str">
        <f t="shared" si="68"/>
        <v/>
      </c>
    </row>
    <row r="2218" spans="2:13" ht="15.75" x14ac:dyDescent="0.25">
      <c r="B2218" s="692"/>
      <c r="C2218" s="117" t="str">
        <f>IF(ISNUMBER(B2218),IFERROR(VLOOKUP(B2218,'נתוני רישום ומצבת'!B:J,3,0),""),"")</f>
        <v/>
      </c>
      <c r="D2218" s="693"/>
      <c r="E2218" s="697"/>
      <c r="F2218" s="695"/>
      <c r="G2218" s="696"/>
      <c r="K2218" s="22" t="str">
        <f t="shared" si="69"/>
        <v/>
      </c>
      <c r="M2218" s="534" t="str">
        <f t="shared" si="68"/>
        <v/>
      </c>
    </row>
    <row r="2219" spans="2:13" ht="15.75" x14ac:dyDescent="0.25">
      <c r="B2219" s="692"/>
      <c r="C2219" s="117" t="str">
        <f>IF(ISNUMBER(B2219),IFERROR(VLOOKUP(B2219,'נתוני רישום ומצבת'!B:J,3,0),""),"")</f>
        <v/>
      </c>
      <c r="D2219" s="693"/>
      <c r="E2219" s="697"/>
      <c r="F2219" s="695"/>
      <c r="G2219" s="696"/>
      <c r="K2219" s="22" t="str">
        <f t="shared" si="69"/>
        <v/>
      </c>
      <c r="M2219" s="534" t="str">
        <f t="shared" si="68"/>
        <v/>
      </c>
    </row>
    <row r="2220" spans="2:13" ht="15.75" x14ac:dyDescent="0.25">
      <c r="B2220" s="692"/>
      <c r="C2220" s="117" t="str">
        <f>IF(ISNUMBER(B2220),IFERROR(VLOOKUP(B2220,'נתוני רישום ומצבת'!B:J,3,0),""),"")</f>
        <v/>
      </c>
      <c r="D2220" s="693"/>
      <c r="E2220" s="697"/>
      <c r="F2220" s="695"/>
      <c r="G2220" s="696"/>
      <c r="K2220" s="22" t="str">
        <f t="shared" si="69"/>
        <v/>
      </c>
      <c r="M2220" s="534" t="str">
        <f t="shared" si="68"/>
        <v/>
      </c>
    </row>
    <row r="2221" spans="2:13" ht="15.75" x14ac:dyDescent="0.25">
      <c r="B2221" s="692"/>
      <c r="C2221" s="117" t="str">
        <f>IF(ISNUMBER(B2221),IFERROR(VLOOKUP(B2221,'נתוני רישום ומצבת'!B:J,3,0),""),"")</f>
        <v/>
      </c>
      <c r="D2221" s="693"/>
      <c r="E2221" s="697"/>
      <c r="F2221" s="695"/>
      <c r="G2221" s="696"/>
      <c r="K2221" s="22" t="str">
        <f t="shared" si="69"/>
        <v/>
      </c>
      <c r="M2221" s="534" t="str">
        <f t="shared" si="68"/>
        <v/>
      </c>
    </row>
    <row r="2222" spans="2:13" ht="15.75" x14ac:dyDescent="0.25">
      <c r="B2222" s="692"/>
      <c r="C2222" s="117" t="str">
        <f>IF(ISNUMBER(B2222),IFERROR(VLOOKUP(B2222,'נתוני רישום ומצבת'!B:J,3,0),""),"")</f>
        <v/>
      </c>
      <c r="D2222" s="693"/>
      <c r="E2222" s="697"/>
      <c r="F2222" s="695"/>
      <c r="G2222" s="696"/>
      <c r="K2222" s="22" t="str">
        <f t="shared" si="69"/>
        <v/>
      </c>
      <c r="M2222" s="534" t="str">
        <f t="shared" si="68"/>
        <v/>
      </c>
    </row>
    <row r="2223" spans="2:13" ht="15.75" x14ac:dyDescent="0.25">
      <c r="B2223" s="692"/>
      <c r="C2223" s="117" t="str">
        <f>IF(ISNUMBER(B2223),IFERROR(VLOOKUP(B2223,'נתוני רישום ומצבת'!B:J,3,0),""),"")</f>
        <v/>
      </c>
      <c r="D2223" s="693"/>
      <c r="E2223" s="697"/>
      <c r="F2223" s="695"/>
      <c r="G2223" s="696"/>
      <c r="K2223" s="22" t="str">
        <f t="shared" si="69"/>
        <v/>
      </c>
      <c r="M2223" s="534" t="str">
        <f t="shared" si="68"/>
        <v/>
      </c>
    </row>
    <row r="2224" spans="2:13" ht="15.75" x14ac:dyDescent="0.25">
      <c r="B2224" s="692"/>
      <c r="C2224" s="117" t="str">
        <f>IF(ISNUMBER(B2224),IFERROR(VLOOKUP(B2224,'נתוני רישום ומצבת'!B:J,3,0),""),"")</f>
        <v/>
      </c>
      <c r="D2224" s="693"/>
      <c r="E2224" s="697"/>
      <c r="F2224" s="695"/>
      <c r="G2224" s="696"/>
      <c r="K2224" s="22" t="str">
        <f t="shared" si="69"/>
        <v/>
      </c>
      <c r="M2224" s="534" t="str">
        <f t="shared" si="68"/>
        <v/>
      </c>
    </row>
    <row r="2225" spans="2:13" ht="15.75" x14ac:dyDescent="0.25">
      <c r="B2225" s="692"/>
      <c r="C2225" s="117" t="str">
        <f>IF(ISNUMBER(B2225),IFERROR(VLOOKUP(B2225,'נתוני רישום ומצבת'!B:J,3,0),""),"")</f>
        <v/>
      </c>
      <c r="D2225" s="693"/>
      <c r="E2225" s="697"/>
      <c r="F2225" s="695"/>
      <c r="G2225" s="696"/>
      <c r="K2225" s="22" t="str">
        <f t="shared" si="69"/>
        <v/>
      </c>
      <c r="M2225" s="534" t="str">
        <f t="shared" si="68"/>
        <v/>
      </c>
    </row>
    <row r="2226" spans="2:13" ht="15.75" x14ac:dyDescent="0.25">
      <c r="B2226" s="692"/>
      <c r="C2226" s="117" t="str">
        <f>IF(ISNUMBER(B2226),IFERROR(VLOOKUP(B2226,'נתוני רישום ומצבת'!B:J,3,0),""),"")</f>
        <v/>
      </c>
      <c r="D2226" s="693"/>
      <c r="E2226" s="697"/>
      <c r="F2226" s="695"/>
      <c r="G2226" s="696"/>
      <c r="K2226" s="22" t="str">
        <f t="shared" si="69"/>
        <v/>
      </c>
      <c r="M2226" s="534" t="str">
        <f t="shared" si="68"/>
        <v/>
      </c>
    </row>
    <row r="2227" spans="2:13" ht="15.75" x14ac:dyDescent="0.25">
      <c r="B2227" s="692"/>
      <c r="C2227" s="117" t="str">
        <f>IF(ISNUMBER(B2227),IFERROR(VLOOKUP(B2227,'נתוני רישום ומצבת'!B:J,3,0),""),"")</f>
        <v/>
      </c>
      <c r="D2227" s="693"/>
      <c r="E2227" s="697"/>
      <c r="F2227" s="695"/>
      <c r="G2227" s="696"/>
      <c r="K2227" s="22" t="str">
        <f t="shared" si="69"/>
        <v/>
      </c>
      <c r="M2227" s="534" t="str">
        <f t="shared" si="68"/>
        <v/>
      </c>
    </row>
    <row r="2228" spans="2:13" ht="15.75" x14ac:dyDescent="0.25">
      <c r="B2228" s="692"/>
      <c r="C2228" s="117" t="str">
        <f>IF(ISNUMBER(B2228),IFERROR(VLOOKUP(B2228,'נתוני רישום ומצבת'!B:J,3,0),""),"")</f>
        <v/>
      </c>
      <c r="D2228" s="693"/>
      <c r="E2228" s="697"/>
      <c r="F2228" s="695"/>
      <c r="G2228" s="696"/>
      <c r="K2228" s="22" t="str">
        <f t="shared" si="69"/>
        <v/>
      </c>
      <c r="M2228" s="534" t="str">
        <f t="shared" si="68"/>
        <v/>
      </c>
    </row>
    <row r="2229" spans="2:13" ht="15.75" x14ac:dyDescent="0.25">
      <c r="B2229" s="692"/>
      <c r="C2229" s="117" t="str">
        <f>IF(ISNUMBER(B2229),IFERROR(VLOOKUP(B2229,'נתוני רישום ומצבת'!B:J,3,0),""),"")</f>
        <v/>
      </c>
      <c r="D2229" s="693"/>
      <c r="E2229" s="697"/>
      <c r="F2229" s="695"/>
      <c r="G2229" s="696"/>
      <c r="K2229" s="22" t="str">
        <f t="shared" si="69"/>
        <v/>
      </c>
      <c r="M2229" s="534" t="str">
        <f t="shared" si="68"/>
        <v/>
      </c>
    </row>
    <row r="2230" spans="2:13" ht="15.75" x14ac:dyDescent="0.25">
      <c r="B2230" s="692"/>
      <c r="C2230" s="117" t="str">
        <f>IF(ISNUMBER(B2230),IFERROR(VLOOKUP(B2230,'נתוני רישום ומצבת'!B:J,3,0),""),"")</f>
        <v/>
      </c>
      <c r="D2230" s="693"/>
      <c r="E2230" s="697"/>
      <c r="F2230" s="695"/>
      <c r="G2230" s="696"/>
      <c r="K2230" s="22" t="str">
        <f t="shared" si="69"/>
        <v/>
      </c>
      <c r="M2230" s="534" t="str">
        <f t="shared" si="68"/>
        <v/>
      </c>
    </row>
    <row r="2231" spans="2:13" ht="15.75" x14ac:dyDescent="0.25">
      <c r="B2231" s="692"/>
      <c r="C2231" s="117" t="str">
        <f>IF(ISNUMBER(B2231),IFERROR(VLOOKUP(B2231,'נתוני רישום ומצבת'!B:J,3,0),""),"")</f>
        <v/>
      </c>
      <c r="D2231" s="693"/>
      <c r="E2231" s="697"/>
      <c r="F2231" s="695"/>
      <c r="G2231" s="696"/>
      <c r="K2231" s="22" t="str">
        <f t="shared" si="69"/>
        <v/>
      </c>
      <c r="M2231" s="534" t="str">
        <f t="shared" si="68"/>
        <v/>
      </c>
    </row>
    <row r="2232" spans="2:13" ht="15.75" x14ac:dyDescent="0.25">
      <c r="B2232" s="692"/>
      <c r="C2232" s="117" t="str">
        <f>IF(ISNUMBER(B2232),IFERROR(VLOOKUP(B2232,'נתוני רישום ומצבת'!B:J,3,0),""),"")</f>
        <v/>
      </c>
      <c r="D2232" s="693"/>
      <c r="E2232" s="697"/>
      <c r="F2232" s="695"/>
      <c r="G2232" s="696"/>
      <c r="K2232" s="22" t="str">
        <f t="shared" si="69"/>
        <v/>
      </c>
      <c r="M2232" s="534" t="str">
        <f t="shared" si="68"/>
        <v/>
      </c>
    </row>
    <row r="2233" spans="2:13" ht="15.75" x14ac:dyDescent="0.25">
      <c r="B2233" s="692"/>
      <c r="C2233" s="117" t="str">
        <f>IF(ISNUMBER(B2233),IFERROR(VLOOKUP(B2233,'נתוני רישום ומצבת'!B:J,3,0),""),"")</f>
        <v/>
      </c>
      <c r="D2233" s="693"/>
      <c r="E2233" s="697"/>
      <c r="F2233" s="695"/>
      <c r="G2233" s="696"/>
      <c r="K2233" s="22" t="str">
        <f t="shared" si="69"/>
        <v/>
      </c>
      <c r="M2233" s="534" t="str">
        <f t="shared" si="68"/>
        <v/>
      </c>
    </row>
    <row r="2234" spans="2:13" ht="15.75" x14ac:dyDescent="0.25">
      <c r="B2234" s="692"/>
      <c r="C2234" s="117" t="str">
        <f>IF(ISNUMBER(B2234),IFERROR(VLOOKUP(B2234,'נתוני רישום ומצבת'!B:J,3,0),""),"")</f>
        <v/>
      </c>
      <c r="D2234" s="693"/>
      <c r="E2234" s="697"/>
      <c r="F2234" s="695"/>
      <c r="G2234" s="696"/>
      <c r="K2234" s="22" t="str">
        <f t="shared" si="69"/>
        <v/>
      </c>
      <c r="M2234" s="534" t="str">
        <f t="shared" si="68"/>
        <v/>
      </c>
    </row>
    <row r="2235" spans="2:13" ht="15.75" x14ac:dyDescent="0.25">
      <c r="B2235" s="692"/>
      <c r="C2235" s="117" t="str">
        <f>IF(ISNUMBER(B2235),IFERROR(VLOOKUP(B2235,'נתוני רישום ומצבת'!B:J,3,0),""),"")</f>
        <v/>
      </c>
      <c r="D2235" s="693"/>
      <c r="E2235" s="697"/>
      <c r="F2235" s="695"/>
      <c r="G2235" s="696"/>
      <c r="K2235" s="22" t="str">
        <f t="shared" si="69"/>
        <v/>
      </c>
      <c r="M2235" s="534" t="str">
        <f t="shared" si="68"/>
        <v/>
      </c>
    </row>
    <row r="2236" spans="2:13" ht="15.75" x14ac:dyDescent="0.25">
      <c r="B2236" s="692"/>
      <c r="C2236" s="117" t="str">
        <f>IF(ISNUMBER(B2236),IFERROR(VLOOKUP(B2236,'נתוני רישום ומצבת'!B:J,3,0),""),"")</f>
        <v/>
      </c>
      <c r="D2236" s="693"/>
      <c r="E2236" s="697"/>
      <c r="F2236" s="695"/>
      <c r="G2236" s="696"/>
      <c r="K2236" s="22" t="str">
        <f t="shared" si="69"/>
        <v/>
      </c>
      <c r="M2236" s="534" t="str">
        <f t="shared" si="68"/>
        <v/>
      </c>
    </row>
    <row r="2237" spans="2:13" ht="15.75" x14ac:dyDescent="0.25">
      <c r="B2237" s="692"/>
      <c r="C2237" s="117" t="str">
        <f>IF(ISNUMBER(B2237),IFERROR(VLOOKUP(B2237,'נתוני רישום ומצבת'!B:J,3,0),""),"")</f>
        <v/>
      </c>
      <c r="D2237" s="693"/>
      <c r="E2237" s="697"/>
      <c r="F2237" s="695"/>
      <c r="G2237" s="696"/>
      <c r="K2237" s="22" t="str">
        <f t="shared" si="69"/>
        <v/>
      </c>
      <c r="M2237" s="534" t="str">
        <f t="shared" si="68"/>
        <v/>
      </c>
    </row>
    <row r="2238" spans="2:13" ht="15.75" x14ac:dyDescent="0.25">
      <c r="B2238" s="692"/>
      <c r="C2238" s="117" t="str">
        <f>IF(ISNUMBER(B2238),IFERROR(VLOOKUP(B2238,'נתוני רישום ומצבת'!B:J,3,0),""),"")</f>
        <v/>
      </c>
      <c r="D2238" s="693"/>
      <c r="E2238" s="697"/>
      <c r="F2238" s="695"/>
      <c r="G2238" s="696"/>
      <c r="K2238" s="22" t="str">
        <f t="shared" si="69"/>
        <v/>
      </c>
      <c r="M2238" s="534" t="str">
        <f t="shared" si="68"/>
        <v/>
      </c>
    </row>
    <row r="2239" spans="2:13" ht="15.75" x14ac:dyDescent="0.25">
      <c r="B2239" s="692"/>
      <c r="C2239" s="117" t="str">
        <f>IF(ISNUMBER(B2239),IFERROR(VLOOKUP(B2239,'נתוני רישום ומצבת'!B:J,3,0),""),"")</f>
        <v/>
      </c>
      <c r="D2239" s="693"/>
      <c r="E2239" s="697"/>
      <c r="F2239" s="695"/>
      <c r="G2239" s="696"/>
      <c r="K2239" s="22" t="str">
        <f t="shared" si="69"/>
        <v/>
      </c>
      <c r="M2239" s="534" t="str">
        <f t="shared" si="68"/>
        <v/>
      </c>
    </row>
    <row r="2240" spans="2:13" ht="15.75" x14ac:dyDescent="0.25">
      <c r="B2240" s="692"/>
      <c r="C2240" s="117" t="str">
        <f>IF(ISNUMBER(B2240),IFERROR(VLOOKUP(B2240,'נתוני רישום ומצבת'!B:J,3,0),""),"")</f>
        <v/>
      </c>
      <c r="D2240" s="693"/>
      <c r="E2240" s="697"/>
      <c r="F2240" s="695"/>
      <c r="G2240" s="696"/>
      <c r="K2240" s="22" t="str">
        <f t="shared" si="69"/>
        <v/>
      </c>
      <c r="M2240" s="534" t="str">
        <f t="shared" si="68"/>
        <v/>
      </c>
    </row>
    <row r="2241" spans="2:13" ht="15.75" x14ac:dyDescent="0.25">
      <c r="B2241" s="692"/>
      <c r="C2241" s="117" t="str">
        <f>IF(ISNUMBER(B2241),IFERROR(VLOOKUP(B2241,'נתוני רישום ומצבת'!B:J,3,0),""),"")</f>
        <v/>
      </c>
      <c r="D2241" s="693"/>
      <c r="E2241" s="697"/>
      <c r="F2241" s="695"/>
      <c r="G2241" s="696"/>
      <c r="K2241" s="22" t="str">
        <f t="shared" si="69"/>
        <v/>
      </c>
      <c r="M2241" s="534" t="str">
        <f t="shared" si="68"/>
        <v/>
      </c>
    </row>
    <row r="2242" spans="2:13" ht="15.75" x14ac:dyDescent="0.25">
      <c r="B2242" s="692"/>
      <c r="C2242" s="117" t="str">
        <f>IF(ISNUMBER(B2242),IFERROR(VLOOKUP(B2242,'נתוני רישום ומצבת'!B:J,3,0),""),"")</f>
        <v/>
      </c>
      <c r="D2242" s="693"/>
      <c r="E2242" s="697"/>
      <c r="F2242" s="695"/>
      <c r="G2242" s="696"/>
      <c r="K2242" s="22" t="str">
        <f t="shared" si="69"/>
        <v/>
      </c>
      <c r="M2242" s="534" t="str">
        <f t="shared" si="68"/>
        <v/>
      </c>
    </row>
    <row r="2243" spans="2:13" ht="15.75" x14ac:dyDescent="0.25">
      <c r="B2243" s="692"/>
      <c r="C2243" s="117" t="str">
        <f>IF(ISNUMBER(B2243),IFERROR(VLOOKUP(B2243,'נתוני רישום ומצבת'!B:J,3,0),""),"")</f>
        <v/>
      </c>
      <c r="D2243" s="693"/>
      <c r="E2243" s="697"/>
      <c r="F2243" s="695"/>
      <c r="G2243" s="696"/>
      <c r="K2243" s="22" t="str">
        <f t="shared" si="69"/>
        <v/>
      </c>
      <c r="M2243" s="534" t="str">
        <f t="shared" si="68"/>
        <v/>
      </c>
    </row>
    <row r="2244" spans="2:13" ht="15.75" x14ac:dyDescent="0.25">
      <c r="B2244" s="692"/>
      <c r="C2244" s="117" t="str">
        <f>IF(ISNUMBER(B2244),IFERROR(VLOOKUP(B2244,'נתוני רישום ומצבת'!B:J,3,0),""),"")</f>
        <v/>
      </c>
      <c r="D2244" s="693"/>
      <c r="E2244" s="697"/>
      <c r="F2244" s="695"/>
      <c r="G2244" s="696"/>
      <c r="K2244" s="22" t="str">
        <f t="shared" si="69"/>
        <v/>
      </c>
      <c r="M2244" s="534" t="str">
        <f t="shared" si="68"/>
        <v/>
      </c>
    </row>
    <row r="2245" spans="2:13" ht="15.75" x14ac:dyDescent="0.25">
      <c r="B2245" s="692"/>
      <c r="C2245" s="117" t="str">
        <f>IF(ISNUMBER(B2245),IFERROR(VLOOKUP(B2245,'נתוני רישום ומצבת'!B:J,3,0),""),"")</f>
        <v/>
      </c>
      <c r="D2245" s="693"/>
      <c r="E2245" s="697"/>
      <c r="F2245" s="695"/>
      <c r="G2245" s="696"/>
      <c r="K2245" s="22" t="str">
        <f t="shared" si="69"/>
        <v/>
      </c>
      <c r="M2245" s="534" t="str">
        <f t="shared" si="68"/>
        <v/>
      </c>
    </row>
    <row r="2246" spans="2:13" ht="15.75" x14ac:dyDescent="0.25">
      <c r="B2246" s="692"/>
      <c r="C2246" s="117" t="str">
        <f>IF(ISNUMBER(B2246),IFERROR(VLOOKUP(B2246,'נתוני רישום ומצבת'!B:J,3,0),""),"")</f>
        <v/>
      </c>
      <c r="D2246" s="693"/>
      <c r="E2246" s="697"/>
      <c r="F2246" s="695"/>
      <c r="G2246" s="696"/>
      <c r="K2246" s="22" t="str">
        <f t="shared" si="69"/>
        <v/>
      </c>
      <c r="M2246" s="534" t="str">
        <f t="shared" si="68"/>
        <v/>
      </c>
    </row>
    <row r="2247" spans="2:13" ht="15.75" x14ac:dyDescent="0.25">
      <c r="B2247" s="692"/>
      <c r="C2247" s="117" t="str">
        <f>IF(ISNUMBER(B2247),IFERROR(VLOOKUP(B2247,'נתוני רישום ומצבת'!B:J,3,0),""),"")</f>
        <v/>
      </c>
      <c r="D2247" s="693"/>
      <c r="E2247" s="697"/>
      <c r="F2247" s="695"/>
      <c r="G2247" s="696"/>
      <c r="K2247" s="22" t="str">
        <f t="shared" si="69"/>
        <v/>
      </c>
      <c r="M2247" s="534" t="str">
        <f t="shared" si="68"/>
        <v/>
      </c>
    </row>
    <row r="2248" spans="2:13" ht="15.75" x14ac:dyDescent="0.25">
      <c r="B2248" s="692"/>
      <c r="C2248" s="117" t="str">
        <f>IF(ISNUMBER(B2248),IFERROR(VLOOKUP(B2248,'נתוני רישום ומצבת'!B:J,3,0),""),"")</f>
        <v/>
      </c>
      <c r="D2248" s="693"/>
      <c r="E2248" s="697"/>
      <c r="F2248" s="695"/>
      <c r="G2248" s="696"/>
      <c r="K2248" s="22" t="str">
        <f t="shared" si="69"/>
        <v/>
      </c>
      <c r="M2248" s="534" t="str">
        <f t="shared" si="68"/>
        <v/>
      </c>
    </row>
    <row r="2249" spans="2:13" ht="15.75" x14ac:dyDescent="0.25">
      <c r="B2249" s="692"/>
      <c r="C2249" s="117" t="str">
        <f>IF(ISNUMBER(B2249),IFERROR(VLOOKUP(B2249,'נתוני רישום ומצבת'!B:J,3,0),""),"")</f>
        <v/>
      </c>
      <c r="D2249" s="693"/>
      <c r="E2249" s="697"/>
      <c r="F2249" s="695"/>
      <c r="G2249" s="696"/>
      <c r="K2249" s="22" t="str">
        <f t="shared" si="69"/>
        <v/>
      </c>
      <c r="M2249" s="534" t="str">
        <f t="shared" si="68"/>
        <v/>
      </c>
    </row>
    <row r="2250" spans="2:13" ht="15.75" x14ac:dyDescent="0.25">
      <c r="B2250" s="692"/>
      <c r="C2250" s="117" t="str">
        <f>IF(ISNUMBER(B2250),IFERROR(VLOOKUP(B2250,'נתוני רישום ומצבת'!B:J,3,0),""),"")</f>
        <v/>
      </c>
      <c r="D2250" s="693"/>
      <c r="E2250" s="697"/>
      <c r="F2250" s="695"/>
      <c r="G2250" s="696"/>
      <c r="K2250" s="22" t="str">
        <f t="shared" si="69"/>
        <v/>
      </c>
      <c r="M2250" s="534" t="str">
        <f t="shared" si="68"/>
        <v/>
      </c>
    </row>
    <row r="2251" spans="2:13" ht="15.75" x14ac:dyDescent="0.25">
      <c r="B2251" s="692"/>
      <c r="C2251" s="117" t="str">
        <f>IF(ISNUMBER(B2251),IFERROR(VLOOKUP(B2251,'נתוני רישום ומצבת'!B:J,3,0),""),"")</f>
        <v/>
      </c>
      <c r="D2251" s="693"/>
      <c r="E2251" s="697"/>
      <c r="F2251" s="695"/>
      <c r="G2251" s="696"/>
      <c r="K2251" s="22" t="str">
        <f t="shared" si="69"/>
        <v/>
      </c>
      <c r="M2251" s="534" t="str">
        <f t="shared" si="68"/>
        <v/>
      </c>
    </row>
    <row r="2252" spans="2:13" ht="15.75" x14ac:dyDescent="0.25">
      <c r="B2252" s="692"/>
      <c r="C2252" s="117" t="str">
        <f>IF(ISNUMBER(B2252),IFERROR(VLOOKUP(B2252,'נתוני רישום ומצבת'!B:J,3,0),""),"")</f>
        <v/>
      </c>
      <c r="D2252" s="693"/>
      <c r="E2252" s="697"/>
      <c r="F2252" s="695"/>
      <c r="G2252" s="696"/>
      <c r="K2252" s="22" t="str">
        <f t="shared" si="69"/>
        <v/>
      </c>
      <c r="M2252" s="534" t="str">
        <f t="shared" si="68"/>
        <v/>
      </c>
    </row>
    <row r="2253" spans="2:13" ht="15.75" x14ac:dyDescent="0.25">
      <c r="B2253" s="692"/>
      <c r="C2253" s="117" t="str">
        <f>IF(ISNUMBER(B2253),IFERROR(VLOOKUP(B2253,'נתוני רישום ומצבת'!B:J,3,0),""),"")</f>
        <v/>
      </c>
      <c r="D2253" s="693"/>
      <c r="E2253" s="697"/>
      <c r="F2253" s="695"/>
      <c r="G2253" s="696"/>
      <c r="K2253" s="22" t="str">
        <f t="shared" si="69"/>
        <v/>
      </c>
      <c r="M2253" s="534" t="str">
        <f t="shared" si="68"/>
        <v/>
      </c>
    </row>
    <row r="2254" spans="2:13" ht="15.75" x14ac:dyDescent="0.25">
      <c r="B2254" s="692"/>
      <c r="C2254" s="117" t="str">
        <f>IF(ISNUMBER(B2254),IFERROR(VLOOKUP(B2254,'נתוני רישום ומצבת'!B:J,3,0),""),"")</f>
        <v/>
      </c>
      <c r="D2254" s="693"/>
      <c r="E2254" s="697"/>
      <c r="F2254" s="695"/>
      <c r="G2254" s="696"/>
      <c r="K2254" s="22" t="str">
        <f t="shared" si="69"/>
        <v/>
      </c>
      <c r="M2254" s="534" t="str">
        <f t="shared" si="68"/>
        <v/>
      </c>
    </row>
    <row r="2255" spans="2:13" ht="15.75" x14ac:dyDescent="0.25">
      <c r="B2255" s="692"/>
      <c r="C2255" s="117" t="str">
        <f>IF(ISNUMBER(B2255),IFERROR(VLOOKUP(B2255,'נתוני רישום ומצבת'!B:J,3,0),""),"")</f>
        <v/>
      </c>
      <c r="D2255" s="693"/>
      <c r="E2255" s="697"/>
      <c r="F2255" s="695"/>
      <c r="G2255" s="696"/>
      <c r="K2255" s="22" t="str">
        <f t="shared" si="69"/>
        <v/>
      </c>
      <c r="M2255" s="534" t="str">
        <f t="shared" si="68"/>
        <v/>
      </c>
    </row>
    <row r="2256" spans="2:13" ht="15.75" x14ac:dyDescent="0.25">
      <c r="B2256" s="692"/>
      <c r="C2256" s="117" t="str">
        <f>IF(ISNUMBER(B2256),IFERROR(VLOOKUP(B2256,'נתוני רישום ומצבת'!B:J,3,0),""),"")</f>
        <v/>
      </c>
      <c r="D2256" s="693"/>
      <c r="E2256" s="697"/>
      <c r="F2256" s="695"/>
      <c r="G2256" s="696"/>
      <c r="K2256" s="22" t="str">
        <f t="shared" si="69"/>
        <v/>
      </c>
      <c r="M2256" s="534" t="str">
        <f t="shared" si="68"/>
        <v/>
      </c>
    </row>
    <row r="2257" spans="2:13" ht="15.75" x14ac:dyDescent="0.25">
      <c r="B2257" s="692"/>
      <c r="C2257" s="117" t="str">
        <f>IF(ISNUMBER(B2257),IFERROR(VLOOKUP(B2257,'נתוני רישום ומצבת'!B:J,3,0),""),"")</f>
        <v/>
      </c>
      <c r="D2257" s="693"/>
      <c r="E2257" s="697"/>
      <c r="F2257" s="695"/>
      <c r="G2257" s="696"/>
      <c r="K2257" s="22" t="str">
        <f t="shared" si="69"/>
        <v/>
      </c>
      <c r="M2257" s="534" t="str">
        <f t="shared" ref="M2257:M2320" si="70">TEXT(LEFT(D2257,2),0)</f>
        <v/>
      </c>
    </row>
    <row r="2258" spans="2:13" ht="15.75" x14ac:dyDescent="0.25">
      <c r="B2258" s="692"/>
      <c r="C2258" s="117" t="str">
        <f>IF(ISNUMBER(B2258),IFERROR(VLOOKUP(B2258,'נתוני רישום ומצבת'!B:J,3,0),""),"")</f>
        <v/>
      </c>
      <c r="D2258" s="693"/>
      <c r="E2258" s="697"/>
      <c r="F2258" s="695"/>
      <c r="G2258" s="696"/>
      <c r="K2258" s="22" t="str">
        <f t="shared" si="69"/>
        <v/>
      </c>
      <c r="M2258" s="534" t="str">
        <f t="shared" si="70"/>
        <v/>
      </c>
    </row>
    <row r="2259" spans="2:13" ht="15.75" x14ac:dyDescent="0.25">
      <c r="B2259" s="692"/>
      <c r="C2259" s="117" t="str">
        <f>IF(ISNUMBER(B2259),IFERROR(VLOOKUP(B2259,'נתוני רישום ומצבת'!B:J,3,0),""),"")</f>
        <v/>
      </c>
      <c r="D2259" s="693"/>
      <c r="E2259" s="697"/>
      <c r="F2259" s="695"/>
      <c r="G2259" s="696"/>
      <c r="K2259" s="22" t="str">
        <f t="shared" si="69"/>
        <v/>
      </c>
      <c r="M2259" s="534" t="str">
        <f t="shared" si="70"/>
        <v/>
      </c>
    </row>
    <row r="2260" spans="2:13" ht="15.75" x14ac:dyDescent="0.25">
      <c r="B2260" s="692"/>
      <c r="C2260" s="117" t="str">
        <f>IF(ISNUMBER(B2260),IFERROR(VLOOKUP(B2260,'נתוני רישום ומצבת'!B:J,3,0),""),"")</f>
        <v/>
      </c>
      <c r="D2260" s="693"/>
      <c r="E2260" s="697"/>
      <c r="F2260" s="695"/>
      <c r="G2260" s="696"/>
      <c r="K2260" s="22" t="str">
        <f t="shared" si="69"/>
        <v/>
      </c>
      <c r="M2260" s="534" t="str">
        <f t="shared" si="70"/>
        <v/>
      </c>
    </row>
    <row r="2261" spans="2:13" ht="15.75" x14ac:dyDescent="0.25">
      <c r="B2261" s="692"/>
      <c r="C2261" s="117" t="str">
        <f>IF(ISNUMBER(B2261),IFERROR(VLOOKUP(B2261,'נתוני רישום ומצבת'!B:J,3,0),""),"")</f>
        <v/>
      </c>
      <c r="D2261" s="693"/>
      <c r="E2261" s="697"/>
      <c r="F2261" s="695"/>
      <c r="G2261" s="696"/>
      <c r="K2261" s="22" t="str">
        <f t="shared" ref="K2261:K2324" si="71">IF(C2248&lt;5,IF(D2261=$F$8,-E2261," "),"")</f>
        <v/>
      </c>
      <c r="M2261" s="534" t="str">
        <f t="shared" si="70"/>
        <v/>
      </c>
    </row>
    <row r="2262" spans="2:13" ht="15.75" x14ac:dyDescent="0.25">
      <c r="B2262" s="692"/>
      <c r="C2262" s="117" t="str">
        <f>IF(ISNUMBER(B2262),IFERROR(VLOOKUP(B2262,'נתוני רישום ומצבת'!B:J,3,0),""),"")</f>
        <v/>
      </c>
      <c r="D2262" s="693"/>
      <c r="E2262" s="697"/>
      <c r="F2262" s="695"/>
      <c r="G2262" s="696"/>
      <c r="K2262" s="22" t="str">
        <f t="shared" si="71"/>
        <v/>
      </c>
      <c r="M2262" s="534" t="str">
        <f t="shared" si="70"/>
        <v/>
      </c>
    </row>
    <row r="2263" spans="2:13" ht="15.75" x14ac:dyDescent="0.25">
      <c r="B2263" s="692"/>
      <c r="C2263" s="117" t="str">
        <f>IF(ISNUMBER(B2263),IFERROR(VLOOKUP(B2263,'נתוני רישום ומצבת'!B:J,3,0),""),"")</f>
        <v/>
      </c>
      <c r="D2263" s="693"/>
      <c r="E2263" s="697"/>
      <c r="F2263" s="695"/>
      <c r="G2263" s="696"/>
      <c r="K2263" s="22" t="str">
        <f t="shared" si="71"/>
        <v/>
      </c>
      <c r="M2263" s="534" t="str">
        <f t="shared" si="70"/>
        <v/>
      </c>
    </row>
    <row r="2264" spans="2:13" ht="15.75" x14ac:dyDescent="0.25">
      <c r="B2264" s="692"/>
      <c r="C2264" s="117" t="str">
        <f>IF(ISNUMBER(B2264),IFERROR(VLOOKUP(B2264,'נתוני רישום ומצבת'!B:J,3,0),""),"")</f>
        <v/>
      </c>
      <c r="D2264" s="693"/>
      <c r="E2264" s="697"/>
      <c r="F2264" s="695"/>
      <c r="G2264" s="696"/>
      <c r="K2264" s="22" t="str">
        <f t="shared" si="71"/>
        <v/>
      </c>
      <c r="M2264" s="534" t="str">
        <f t="shared" si="70"/>
        <v/>
      </c>
    </row>
    <row r="2265" spans="2:13" ht="15.75" x14ac:dyDescent="0.25">
      <c r="B2265" s="692"/>
      <c r="C2265" s="117" t="str">
        <f>IF(ISNUMBER(B2265),IFERROR(VLOOKUP(B2265,'נתוני רישום ומצבת'!B:J,3,0),""),"")</f>
        <v/>
      </c>
      <c r="D2265" s="693"/>
      <c r="E2265" s="697"/>
      <c r="F2265" s="695"/>
      <c r="G2265" s="696"/>
      <c r="K2265" s="22" t="str">
        <f t="shared" si="71"/>
        <v/>
      </c>
      <c r="M2265" s="534" t="str">
        <f t="shared" si="70"/>
        <v/>
      </c>
    </row>
    <row r="2266" spans="2:13" ht="15.75" x14ac:dyDescent="0.25">
      <c r="B2266" s="692"/>
      <c r="C2266" s="117" t="str">
        <f>IF(ISNUMBER(B2266),IFERROR(VLOOKUP(B2266,'נתוני רישום ומצבת'!B:J,3,0),""),"")</f>
        <v/>
      </c>
      <c r="D2266" s="693"/>
      <c r="E2266" s="697"/>
      <c r="F2266" s="695"/>
      <c r="G2266" s="696"/>
      <c r="K2266" s="22" t="str">
        <f t="shared" si="71"/>
        <v/>
      </c>
      <c r="M2266" s="534" t="str">
        <f t="shared" si="70"/>
        <v/>
      </c>
    </row>
    <row r="2267" spans="2:13" ht="15.75" x14ac:dyDescent="0.25">
      <c r="B2267" s="692"/>
      <c r="C2267" s="117" t="str">
        <f>IF(ISNUMBER(B2267),IFERROR(VLOOKUP(B2267,'נתוני רישום ומצבת'!B:J,3,0),""),"")</f>
        <v/>
      </c>
      <c r="D2267" s="693"/>
      <c r="E2267" s="697"/>
      <c r="F2267" s="695"/>
      <c r="G2267" s="696"/>
      <c r="K2267" s="22" t="str">
        <f t="shared" si="71"/>
        <v/>
      </c>
      <c r="M2267" s="534" t="str">
        <f t="shared" si="70"/>
        <v/>
      </c>
    </row>
    <row r="2268" spans="2:13" ht="15.75" x14ac:dyDescent="0.25">
      <c r="B2268" s="692"/>
      <c r="C2268" s="117" t="str">
        <f>IF(ISNUMBER(B2268),IFERROR(VLOOKUP(B2268,'נתוני רישום ומצבת'!B:J,3,0),""),"")</f>
        <v/>
      </c>
      <c r="D2268" s="693"/>
      <c r="E2268" s="697"/>
      <c r="F2268" s="695"/>
      <c r="G2268" s="696"/>
      <c r="K2268" s="22" t="str">
        <f t="shared" si="71"/>
        <v/>
      </c>
      <c r="M2268" s="534" t="str">
        <f t="shared" si="70"/>
        <v/>
      </c>
    </row>
    <row r="2269" spans="2:13" ht="15.75" x14ac:dyDescent="0.25">
      <c r="B2269" s="692"/>
      <c r="C2269" s="117" t="str">
        <f>IF(ISNUMBER(B2269),IFERROR(VLOOKUP(B2269,'נתוני רישום ומצבת'!B:J,3,0),""),"")</f>
        <v/>
      </c>
      <c r="D2269" s="693"/>
      <c r="E2269" s="697"/>
      <c r="F2269" s="695"/>
      <c r="G2269" s="696"/>
      <c r="K2269" s="22" t="str">
        <f t="shared" si="71"/>
        <v/>
      </c>
      <c r="M2269" s="534" t="str">
        <f t="shared" si="70"/>
        <v/>
      </c>
    </row>
    <row r="2270" spans="2:13" ht="15.75" x14ac:dyDescent="0.25">
      <c r="B2270" s="692"/>
      <c r="C2270" s="117" t="str">
        <f>IF(ISNUMBER(B2270),IFERROR(VLOOKUP(B2270,'נתוני רישום ומצבת'!B:J,3,0),""),"")</f>
        <v/>
      </c>
      <c r="D2270" s="693"/>
      <c r="E2270" s="697"/>
      <c r="F2270" s="695"/>
      <c r="G2270" s="696"/>
      <c r="K2270" s="22" t="str">
        <f t="shared" si="71"/>
        <v/>
      </c>
      <c r="M2270" s="534" t="str">
        <f t="shared" si="70"/>
        <v/>
      </c>
    </row>
    <row r="2271" spans="2:13" ht="15.75" x14ac:dyDescent="0.25">
      <c r="B2271" s="692"/>
      <c r="C2271" s="117" t="str">
        <f>IF(ISNUMBER(B2271),IFERROR(VLOOKUP(B2271,'נתוני רישום ומצבת'!B:J,3,0),""),"")</f>
        <v/>
      </c>
      <c r="D2271" s="693"/>
      <c r="E2271" s="697"/>
      <c r="F2271" s="695"/>
      <c r="G2271" s="696"/>
      <c r="K2271" s="22" t="str">
        <f t="shared" si="71"/>
        <v/>
      </c>
      <c r="M2271" s="534" t="str">
        <f t="shared" si="70"/>
        <v/>
      </c>
    </row>
    <row r="2272" spans="2:13" ht="15.75" x14ac:dyDescent="0.25">
      <c r="B2272" s="692"/>
      <c r="C2272" s="117" t="str">
        <f>IF(ISNUMBER(B2272),IFERROR(VLOOKUP(B2272,'נתוני רישום ומצבת'!B:J,3,0),""),"")</f>
        <v/>
      </c>
      <c r="D2272" s="693"/>
      <c r="E2272" s="697"/>
      <c r="F2272" s="695"/>
      <c r="G2272" s="696"/>
      <c r="K2272" s="22" t="str">
        <f t="shared" si="71"/>
        <v/>
      </c>
      <c r="M2272" s="534" t="str">
        <f t="shared" si="70"/>
        <v/>
      </c>
    </row>
    <row r="2273" spans="2:13" ht="15.75" x14ac:dyDescent="0.25">
      <c r="B2273" s="692"/>
      <c r="C2273" s="117" t="str">
        <f>IF(ISNUMBER(B2273),IFERROR(VLOOKUP(B2273,'נתוני רישום ומצבת'!B:J,3,0),""),"")</f>
        <v/>
      </c>
      <c r="D2273" s="693"/>
      <c r="E2273" s="697"/>
      <c r="F2273" s="695"/>
      <c r="G2273" s="696"/>
      <c r="K2273" s="22" t="str">
        <f t="shared" si="71"/>
        <v/>
      </c>
      <c r="M2273" s="534" t="str">
        <f t="shared" si="70"/>
        <v/>
      </c>
    </row>
    <row r="2274" spans="2:13" ht="15.75" x14ac:dyDescent="0.25">
      <c r="B2274" s="692"/>
      <c r="C2274" s="117" t="str">
        <f>IF(ISNUMBER(B2274),IFERROR(VLOOKUP(B2274,'נתוני רישום ומצבת'!B:J,3,0),""),"")</f>
        <v/>
      </c>
      <c r="D2274" s="693"/>
      <c r="E2274" s="697"/>
      <c r="F2274" s="695"/>
      <c r="G2274" s="696"/>
      <c r="K2274" s="22" t="str">
        <f t="shared" si="71"/>
        <v/>
      </c>
      <c r="M2274" s="534" t="str">
        <f t="shared" si="70"/>
        <v/>
      </c>
    </row>
    <row r="2275" spans="2:13" ht="15.75" x14ac:dyDescent="0.25">
      <c r="B2275" s="692"/>
      <c r="C2275" s="117" t="str">
        <f>IF(ISNUMBER(B2275),IFERROR(VLOOKUP(B2275,'נתוני רישום ומצבת'!B:J,3,0),""),"")</f>
        <v/>
      </c>
      <c r="D2275" s="693"/>
      <c r="E2275" s="697"/>
      <c r="F2275" s="695"/>
      <c r="G2275" s="696"/>
      <c r="K2275" s="22" t="str">
        <f t="shared" si="71"/>
        <v/>
      </c>
      <c r="M2275" s="534" t="str">
        <f t="shared" si="70"/>
        <v/>
      </c>
    </row>
    <row r="2276" spans="2:13" ht="15.75" x14ac:dyDescent="0.25">
      <c r="B2276" s="692"/>
      <c r="C2276" s="117" t="str">
        <f>IF(ISNUMBER(B2276),IFERROR(VLOOKUP(B2276,'נתוני רישום ומצבת'!B:J,3,0),""),"")</f>
        <v/>
      </c>
      <c r="D2276" s="693"/>
      <c r="E2276" s="697"/>
      <c r="F2276" s="695"/>
      <c r="G2276" s="696"/>
      <c r="K2276" s="22" t="str">
        <f t="shared" si="71"/>
        <v/>
      </c>
      <c r="M2276" s="534" t="str">
        <f t="shared" si="70"/>
        <v/>
      </c>
    </row>
    <row r="2277" spans="2:13" ht="15.75" x14ac:dyDescent="0.25">
      <c r="B2277" s="692"/>
      <c r="C2277" s="117" t="str">
        <f>IF(ISNUMBER(B2277),IFERROR(VLOOKUP(B2277,'נתוני רישום ומצבת'!B:J,3,0),""),"")</f>
        <v/>
      </c>
      <c r="D2277" s="693"/>
      <c r="E2277" s="697"/>
      <c r="F2277" s="695"/>
      <c r="G2277" s="696"/>
      <c r="K2277" s="22" t="str">
        <f t="shared" si="71"/>
        <v/>
      </c>
      <c r="M2277" s="534" t="str">
        <f t="shared" si="70"/>
        <v/>
      </c>
    </row>
    <row r="2278" spans="2:13" ht="15.75" x14ac:dyDescent="0.25">
      <c r="B2278" s="692"/>
      <c r="C2278" s="117" t="str">
        <f>IF(ISNUMBER(B2278),IFERROR(VLOOKUP(B2278,'נתוני רישום ומצבת'!B:J,3,0),""),"")</f>
        <v/>
      </c>
      <c r="D2278" s="693"/>
      <c r="E2278" s="697"/>
      <c r="F2278" s="695"/>
      <c r="G2278" s="696"/>
      <c r="K2278" s="22" t="str">
        <f t="shared" si="71"/>
        <v/>
      </c>
      <c r="M2278" s="534" t="str">
        <f t="shared" si="70"/>
        <v/>
      </c>
    </row>
    <row r="2279" spans="2:13" ht="15.75" x14ac:dyDescent="0.25">
      <c r="B2279" s="692"/>
      <c r="C2279" s="117" t="str">
        <f>IF(ISNUMBER(B2279),IFERROR(VLOOKUP(B2279,'נתוני רישום ומצבת'!B:J,3,0),""),"")</f>
        <v/>
      </c>
      <c r="D2279" s="693"/>
      <c r="E2279" s="697"/>
      <c r="F2279" s="695"/>
      <c r="G2279" s="696"/>
      <c r="K2279" s="22" t="str">
        <f t="shared" si="71"/>
        <v/>
      </c>
      <c r="M2279" s="534" t="str">
        <f t="shared" si="70"/>
        <v/>
      </c>
    </row>
    <row r="2280" spans="2:13" ht="15.75" x14ac:dyDescent="0.25">
      <c r="B2280" s="692"/>
      <c r="C2280" s="117" t="str">
        <f>IF(ISNUMBER(B2280),IFERROR(VLOOKUP(B2280,'נתוני רישום ומצבת'!B:J,3,0),""),"")</f>
        <v/>
      </c>
      <c r="D2280" s="693"/>
      <c r="E2280" s="697"/>
      <c r="F2280" s="695"/>
      <c r="G2280" s="696"/>
      <c r="K2280" s="22" t="str">
        <f t="shared" si="71"/>
        <v/>
      </c>
      <c r="M2280" s="534" t="str">
        <f t="shared" si="70"/>
        <v/>
      </c>
    </row>
    <row r="2281" spans="2:13" ht="15.75" x14ac:dyDescent="0.25">
      <c r="B2281" s="692"/>
      <c r="C2281" s="117" t="str">
        <f>IF(ISNUMBER(B2281),IFERROR(VLOOKUP(B2281,'נתוני רישום ומצבת'!B:J,3,0),""),"")</f>
        <v/>
      </c>
      <c r="D2281" s="693"/>
      <c r="E2281" s="697"/>
      <c r="F2281" s="695"/>
      <c r="G2281" s="696"/>
      <c r="K2281" s="22" t="str">
        <f t="shared" si="71"/>
        <v/>
      </c>
      <c r="M2281" s="534" t="str">
        <f t="shared" si="70"/>
        <v/>
      </c>
    </row>
    <row r="2282" spans="2:13" ht="15.75" x14ac:dyDescent="0.25">
      <c r="B2282" s="692"/>
      <c r="C2282" s="117" t="str">
        <f>IF(ISNUMBER(B2282),IFERROR(VLOOKUP(B2282,'נתוני רישום ומצבת'!B:J,3,0),""),"")</f>
        <v/>
      </c>
      <c r="D2282" s="693"/>
      <c r="E2282" s="697"/>
      <c r="F2282" s="695"/>
      <c r="G2282" s="696"/>
      <c r="K2282" s="22" t="str">
        <f t="shared" si="71"/>
        <v/>
      </c>
      <c r="M2282" s="534" t="str">
        <f t="shared" si="70"/>
        <v/>
      </c>
    </row>
    <row r="2283" spans="2:13" ht="15.75" x14ac:dyDescent="0.25">
      <c r="B2283" s="692"/>
      <c r="C2283" s="117" t="str">
        <f>IF(ISNUMBER(B2283),IFERROR(VLOOKUP(B2283,'נתוני רישום ומצבת'!B:J,3,0),""),"")</f>
        <v/>
      </c>
      <c r="D2283" s="693"/>
      <c r="E2283" s="697"/>
      <c r="F2283" s="695"/>
      <c r="G2283" s="696"/>
      <c r="K2283" s="22" t="str">
        <f t="shared" si="71"/>
        <v/>
      </c>
      <c r="M2283" s="534" t="str">
        <f t="shared" si="70"/>
        <v/>
      </c>
    </row>
    <row r="2284" spans="2:13" ht="15.75" x14ac:dyDescent="0.25">
      <c r="B2284" s="692"/>
      <c r="C2284" s="117" t="str">
        <f>IF(ISNUMBER(B2284),IFERROR(VLOOKUP(B2284,'נתוני רישום ומצבת'!B:J,3,0),""),"")</f>
        <v/>
      </c>
      <c r="D2284" s="693"/>
      <c r="E2284" s="697"/>
      <c r="F2284" s="695"/>
      <c r="G2284" s="696"/>
      <c r="K2284" s="22" t="str">
        <f t="shared" si="71"/>
        <v/>
      </c>
      <c r="M2284" s="534" t="str">
        <f t="shared" si="70"/>
        <v/>
      </c>
    </row>
    <row r="2285" spans="2:13" ht="15.75" x14ac:dyDescent="0.25">
      <c r="B2285" s="692"/>
      <c r="C2285" s="117" t="str">
        <f>IF(ISNUMBER(B2285),IFERROR(VLOOKUP(B2285,'נתוני רישום ומצבת'!B:J,3,0),""),"")</f>
        <v/>
      </c>
      <c r="D2285" s="693"/>
      <c r="E2285" s="697"/>
      <c r="F2285" s="695"/>
      <c r="G2285" s="696"/>
      <c r="K2285" s="22" t="str">
        <f t="shared" si="71"/>
        <v/>
      </c>
      <c r="M2285" s="534" t="str">
        <f t="shared" si="70"/>
        <v/>
      </c>
    </row>
    <row r="2286" spans="2:13" ht="15.75" x14ac:dyDescent="0.25">
      <c r="B2286" s="692"/>
      <c r="C2286" s="117" t="str">
        <f>IF(ISNUMBER(B2286),IFERROR(VLOOKUP(B2286,'נתוני רישום ומצבת'!B:J,3,0),""),"")</f>
        <v/>
      </c>
      <c r="D2286" s="693"/>
      <c r="E2286" s="697"/>
      <c r="F2286" s="695"/>
      <c r="G2286" s="696"/>
      <c r="K2286" s="22" t="str">
        <f t="shared" si="71"/>
        <v/>
      </c>
      <c r="M2286" s="534" t="str">
        <f t="shared" si="70"/>
        <v/>
      </c>
    </row>
    <row r="2287" spans="2:13" ht="15.75" x14ac:dyDescent="0.25">
      <c r="B2287" s="692"/>
      <c r="C2287" s="117" t="str">
        <f>IF(ISNUMBER(B2287),IFERROR(VLOOKUP(B2287,'נתוני רישום ומצבת'!B:J,3,0),""),"")</f>
        <v/>
      </c>
      <c r="D2287" s="693"/>
      <c r="E2287" s="697"/>
      <c r="F2287" s="695"/>
      <c r="G2287" s="696"/>
      <c r="K2287" s="22" t="str">
        <f t="shared" si="71"/>
        <v/>
      </c>
      <c r="M2287" s="534" t="str">
        <f t="shared" si="70"/>
        <v/>
      </c>
    </row>
    <row r="2288" spans="2:13" ht="15.75" x14ac:dyDescent="0.25">
      <c r="B2288" s="692"/>
      <c r="C2288" s="117" t="str">
        <f>IF(ISNUMBER(B2288),IFERROR(VLOOKUP(B2288,'נתוני רישום ומצבת'!B:J,3,0),""),"")</f>
        <v/>
      </c>
      <c r="D2288" s="693"/>
      <c r="E2288" s="697"/>
      <c r="F2288" s="695"/>
      <c r="G2288" s="696"/>
      <c r="K2288" s="22" t="str">
        <f t="shared" si="71"/>
        <v/>
      </c>
      <c r="M2288" s="534" t="str">
        <f t="shared" si="70"/>
        <v/>
      </c>
    </row>
    <row r="2289" spans="2:13" ht="15.75" x14ac:dyDescent="0.25">
      <c r="B2289" s="692"/>
      <c r="C2289" s="117" t="str">
        <f>IF(ISNUMBER(B2289),IFERROR(VLOOKUP(B2289,'נתוני רישום ומצבת'!B:J,3,0),""),"")</f>
        <v/>
      </c>
      <c r="D2289" s="693"/>
      <c r="E2289" s="697"/>
      <c r="F2289" s="695"/>
      <c r="G2289" s="696"/>
      <c r="K2289" s="22" t="str">
        <f t="shared" si="71"/>
        <v/>
      </c>
      <c r="M2289" s="534" t="str">
        <f t="shared" si="70"/>
        <v/>
      </c>
    </row>
    <row r="2290" spans="2:13" ht="15.75" x14ac:dyDescent="0.25">
      <c r="B2290" s="692"/>
      <c r="C2290" s="117" t="str">
        <f>IF(ISNUMBER(B2290),IFERROR(VLOOKUP(B2290,'נתוני רישום ומצבת'!B:J,3,0),""),"")</f>
        <v/>
      </c>
      <c r="D2290" s="693"/>
      <c r="E2290" s="697"/>
      <c r="F2290" s="695"/>
      <c r="G2290" s="696"/>
      <c r="K2290" s="22" t="str">
        <f t="shared" si="71"/>
        <v/>
      </c>
      <c r="M2290" s="534" t="str">
        <f t="shared" si="70"/>
        <v/>
      </c>
    </row>
    <row r="2291" spans="2:13" ht="15.75" x14ac:dyDescent="0.25">
      <c r="B2291" s="692"/>
      <c r="C2291" s="117" t="str">
        <f>IF(ISNUMBER(B2291),IFERROR(VLOOKUP(B2291,'נתוני רישום ומצבת'!B:J,3,0),""),"")</f>
        <v/>
      </c>
      <c r="D2291" s="693"/>
      <c r="E2291" s="697"/>
      <c r="F2291" s="695"/>
      <c r="G2291" s="696"/>
      <c r="K2291" s="22" t="str">
        <f t="shared" si="71"/>
        <v/>
      </c>
      <c r="M2291" s="534" t="str">
        <f t="shared" si="70"/>
        <v/>
      </c>
    </row>
    <row r="2292" spans="2:13" ht="15.75" x14ac:dyDescent="0.25">
      <c r="B2292" s="692"/>
      <c r="C2292" s="117" t="str">
        <f>IF(ISNUMBER(B2292),IFERROR(VLOOKUP(B2292,'נתוני רישום ומצבת'!B:J,3,0),""),"")</f>
        <v/>
      </c>
      <c r="D2292" s="693"/>
      <c r="E2292" s="697"/>
      <c r="F2292" s="695"/>
      <c r="G2292" s="696"/>
      <c r="K2292" s="22" t="str">
        <f t="shared" si="71"/>
        <v/>
      </c>
      <c r="M2292" s="534" t="str">
        <f t="shared" si="70"/>
        <v/>
      </c>
    </row>
    <row r="2293" spans="2:13" ht="15.75" x14ac:dyDescent="0.25">
      <c r="B2293" s="692"/>
      <c r="C2293" s="117" t="str">
        <f>IF(ISNUMBER(B2293),IFERROR(VLOOKUP(B2293,'נתוני רישום ומצבת'!B:J,3,0),""),"")</f>
        <v/>
      </c>
      <c r="D2293" s="693"/>
      <c r="E2293" s="697"/>
      <c r="F2293" s="695"/>
      <c r="G2293" s="696"/>
      <c r="K2293" s="22" t="str">
        <f t="shared" si="71"/>
        <v/>
      </c>
      <c r="M2293" s="534" t="str">
        <f t="shared" si="70"/>
        <v/>
      </c>
    </row>
    <row r="2294" spans="2:13" ht="15.75" x14ac:dyDescent="0.25">
      <c r="B2294" s="692"/>
      <c r="C2294" s="117" t="str">
        <f>IF(ISNUMBER(B2294),IFERROR(VLOOKUP(B2294,'נתוני רישום ומצבת'!B:J,3,0),""),"")</f>
        <v/>
      </c>
      <c r="D2294" s="693"/>
      <c r="E2294" s="697"/>
      <c r="F2294" s="695"/>
      <c r="G2294" s="696"/>
      <c r="K2294" s="22" t="str">
        <f t="shared" si="71"/>
        <v/>
      </c>
      <c r="M2294" s="534" t="str">
        <f t="shared" si="70"/>
        <v/>
      </c>
    </row>
    <row r="2295" spans="2:13" ht="15.75" x14ac:dyDescent="0.25">
      <c r="B2295" s="692"/>
      <c r="C2295" s="117" t="str">
        <f>IF(ISNUMBER(B2295),IFERROR(VLOOKUP(B2295,'נתוני רישום ומצבת'!B:J,3,0),""),"")</f>
        <v/>
      </c>
      <c r="D2295" s="693"/>
      <c r="E2295" s="697"/>
      <c r="F2295" s="695"/>
      <c r="G2295" s="696"/>
      <c r="K2295" s="22" t="str">
        <f t="shared" si="71"/>
        <v/>
      </c>
      <c r="M2295" s="534" t="str">
        <f t="shared" si="70"/>
        <v/>
      </c>
    </row>
    <row r="2296" spans="2:13" ht="15.75" x14ac:dyDescent="0.25">
      <c r="B2296" s="692"/>
      <c r="C2296" s="117" t="str">
        <f>IF(ISNUMBER(B2296),IFERROR(VLOOKUP(B2296,'נתוני רישום ומצבת'!B:J,3,0),""),"")</f>
        <v/>
      </c>
      <c r="D2296" s="693"/>
      <c r="E2296" s="697"/>
      <c r="F2296" s="695"/>
      <c r="G2296" s="696"/>
      <c r="K2296" s="22" t="str">
        <f t="shared" si="71"/>
        <v/>
      </c>
      <c r="M2296" s="534" t="str">
        <f t="shared" si="70"/>
        <v/>
      </c>
    </row>
    <row r="2297" spans="2:13" ht="15.75" x14ac:dyDescent="0.25">
      <c r="B2297" s="692"/>
      <c r="C2297" s="117" t="str">
        <f>IF(ISNUMBER(B2297),IFERROR(VLOOKUP(B2297,'נתוני רישום ומצבת'!B:J,3,0),""),"")</f>
        <v/>
      </c>
      <c r="D2297" s="693"/>
      <c r="E2297" s="697"/>
      <c r="F2297" s="695"/>
      <c r="G2297" s="696"/>
      <c r="K2297" s="22" t="str">
        <f t="shared" si="71"/>
        <v/>
      </c>
      <c r="M2297" s="534" t="str">
        <f t="shared" si="70"/>
        <v/>
      </c>
    </row>
    <row r="2298" spans="2:13" ht="15.75" x14ac:dyDescent="0.25">
      <c r="B2298" s="692"/>
      <c r="C2298" s="117" t="str">
        <f>IF(ISNUMBER(B2298),IFERROR(VLOOKUP(B2298,'נתוני רישום ומצבת'!B:J,3,0),""),"")</f>
        <v/>
      </c>
      <c r="D2298" s="693"/>
      <c r="E2298" s="697"/>
      <c r="F2298" s="695"/>
      <c r="G2298" s="696"/>
      <c r="K2298" s="22" t="str">
        <f t="shared" si="71"/>
        <v/>
      </c>
      <c r="M2298" s="534" t="str">
        <f t="shared" si="70"/>
        <v/>
      </c>
    </row>
    <row r="2299" spans="2:13" ht="15.75" x14ac:dyDescent="0.25">
      <c r="B2299" s="692"/>
      <c r="C2299" s="117" t="str">
        <f>IF(ISNUMBER(B2299),IFERROR(VLOOKUP(B2299,'נתוני רישום ומצבת'!B:J,3,0),""),"")</f>
        <v/>
      </c>
      <c r="D2299" s="693"/>
      <c r="E2299" s="697"/>
      <c r="F2299" s="695"/>
      <c r="G2299" s="696"/>
      <c r="K2299" s="22" t="str">
        <f t="shared" si="71"/>
        <v/>
      </c>
      <c r="M2299" s="534" t="str">
        <f t="shared" si="70"/>
        <v/>
      </c>
    </row>
    <row r="2300" spans="2:13" ht="15.75" x14ac:dyDescent="0.25">
      <c r="B2300" s="692"/>
      <c r="C2300" s="117" t="str">
        <f>IF(ISNUMBER(B2300),IFERROR(VLOOKUP(B2300,'נתוני רישום ומצבת'!B:J,3,0),""),"")</f>
        <v/>
      </c>
      <c r="D2300" s="693"/>
      <c r="E2300" s="697"/>
      <c r="F2300" s="695"/>
      <c r="G2300" s="696"/>
      <c r="K2300" s="22" t="str">
        <f t="shared" si="71"/>
        <v/>
      </c>
      <c r="M2300" s="534" t="str">
        <f t="shared" si="70"/>
        <v/>
      </c>
    </row>
    <row r="2301" spans="2:13" ht="15.75" x14ac:dyDescent="0.25">
      <c r="B2301" s="692"/>
      <c r="C2301" s="117" t="str">
        <f>IF(ISNUMBER(B2301),IFERROR(VLOOKUP(B2301,'נתוני רישום ומצבת'!B:J,3,0),""),"")</f>
        <v/>
      </c>
      <c r="D2301" s="693"/>
      <c r="E2301" s="697"/>
      <c r="F2301" s="695"/>
      <c r="G2301" s="696"/>
      <c r="K2301" s="22" t="str">
        <f t="shared" si="71"/>
        <v/>
      </c>
      <c r="M2301" s="534" t="str">
        <f t="shared" si="70"/>
        <v/>
      </c>
    </row>
    <row r="2302" spans="2:13" ht="15.75" x14ac:dyDescent="0.25">
      <c r="B2302" s="692"/>
      <c r="C2302" s="117" t="str">
        <f>IF(ISNUMBER(B2302),IFERROR(VLOOKUP(B2302,'נתוני רישום ומצבת'!B:J,3,0),""),"")</f>
        <v/>
      </c>
      <c r="D2302" s="693"/>
      <c r="E2302" s="697"/>
      <c r="F2302" s="695"/>
      <c r="G2302" s="696"/>
      <c r="K2302" s="22" t="str">
        <f t="shared" si="71"/>
        <v/>
      </c>
      <c r="M2302" s="534" t="str">
        <f t="shared" si="70"/>
        <v/>
      </c>
    </row>
    <row r="2303" spans="2:13" ht="15.75" x14ac:dyDescent="0.25">
      <c r="B2303" s="692"/>
      <c r="C2303" s="117" t="str">
        <f>IF(ISNUMBER(B2303),IFERROR(VLOOKUP(B2303,'נתוני רישום ומצבת'!B:J,3,0),""),"")</f>
        <v/>
      </c>
      <c r="D2303" s="693"/>
      <c r="E2303" s="697"/>
      <c r="F2303" s="695"/>
      <c r="G2303" s="696"/>
      <c r="K2303" s="22" t="str">
        <f t="shared" si="71"/>
        <v/>
      </c>
      <c r="M2303" s="534" t="str">
        <f t="shared" si="70"/>
        <v/>
      </c>
    </row>
    <row r="2304" spans="2:13" ht="15.75" x14ac:dyDescent="0.25">
      <c r="B2304" s="692"/>
      <c r="C2304" s="117" t="str">
        <f>IF(ISNUMBER(B2304),IFERROR(VLOOKUP(B2304,'נתוני רישום ומצבת'!B:J,3,0),""),"")</f>
        <v/>
      </c>
      <c r="D2304" s="693"/>
      <c r="E2304" s="697"/>
      <c r="F2304" s="695"/>
      <c r="G2304" s="696"/>
      <c r="K2304" s="22" t="str">
        <f t="shared" si="71"/>
        <v/>
      </c>
      <c r="M2304" s="534" t="str">
        <f t="shared" si="70"/>
        <v/>
      </c>
    </row>
    <row r="2305" spans="2:13" ht="15.75" x14ac:dyDescent="0.25">
      <c r="B2305" s="692"/>
      <c r="C2305" s="117" t="str">
        <f>IF(ISNUMBER(B2305),IFERROR(VLOOKUP(B2305,'נתוני רישום ומצבת'!B:J,3,0),""),"")</f>
        <v/>
      </c>
      <c r="D2305" s="693"/>
      <c r="E2305" s="697"/>
      <c r="F2305" s="695"/>
      <c r="G2305" s="696"/>
      <c r="K2305" s="22" t="str">
        <f t="shared" si="71"/>
        <v/>
      </c>
      <c r="M2305" s="534" t="str">
        <f t="shared" si="70"/>
        <v/>
      </c>
    </row>
    <row r="2306" spans="2:13" ht="15.75" x14ac:dyDescent="0.25">
      <c r="B2306" s="692"/>
      <c r="C2306" s="117" t="str">
        <f>IF(ISNUMBER(B2306),IFERROR(VLOOKUP(B2306,'נתוני רישום ומצבת'!B:J,3,0),""),"")</f>
        <v/>
      </c>
      <c r="D2306" s="693"/>
      <c r="E2306" s="697"/>
      <c r="F2306" s="695"/>
      <c r="G2306" s="696"/>
      <c r="K2306" s="22" t="str">
        <f t="shared" si="71"/>
        <v/>
      </c>
      <c r="M2306" s="534" t="str">
        <f t="shared" si="70"/>
        <v/>
      </c>
    </row>
    <row r="2307" spans="2:13" ht="15.75" x14ac:dyDescent="0.25">
      <c r="B2307" s="692"/>
      <c r="C2307" s="117" t="str">
        <f>IF(ISNUMBER(B2307),IFERROR(VLOOKUP(B2307,'נתוני רישום ומצבת'!B:J,3,0),""),"")</f>
        <v/>
      </c>
      <c r="D2307" s="693"/>
      <c r="E2307" s="697"/>
      <c r="F2307" s="695"/>
      <c r="G2307" s="696"/>
      <c r="K2307" s="22" t="str">
        <f t="shared" si="71"/>
        <v/>
      </c>
      <c r="M2307" s="534" t="str">
        <f t="shared" si="70"/>
        <v/>
      </c>
    </row>
    <row r="2308" spans="2:13" ht="15.75" x14ac:dyDescent="0.25">
      <c r="B2308" s="692"/>
      <c r="C2308" s="117" t="str">
        <f>IF(ISNUMBER(B2308),IFERROR(VLOOKUP(B2308,'נתוני רישום ומצבת'!B:J,3,0),""),"")</f>
        <v/>
      </c>
      <c r="D2308" s="693"/>
      <c r="E2308" s="697"/>
      <c r="F2308" s="695"/>
      <c r="G2308" s="696"/>
      <c r="K2308" s="22" t="str">
        <f t="shared" si="71"/>
        <v/>
      </c>
      <c r="M2308" s="534" t="str">
        <f t="shared" si="70"/>
        <v/>
      </c>
    </row>
    <row r="2309" spans="2:13" ht="15.75" x14ac:dyDescent="0.25">
      <c r="B2309" s="692"/>
      <c r="C2309" s="117" t="str">
        <f>IF(ISNUMBER(B2309),IFERROR(VLOOKUP(B2309,'נתוני רישום ומצבת'!B:J,3,0),""),"")</f>
        <v/>
      </c>
      <c r="D2309" s="693"/>
      <c r="E2309" s="697"/>
      <c r="F2309" s="695"/>
      <c r="G2309" s="696"/>
      <c r="K2309" s="22" t="str">
        <f t="shared" si="71"/>
        <v/>
      </c>
      <c r="M2309" s="534" t="str">
        <f t="shared" si="70"/>
        <v/>
      </c>
    </row>
    <row r="2310" spans="2:13" ht="15.75" x14ac:dyDescent="0.25">
      <c r="B2310" s="692"/>
      <c r="C2310" s="117" t="str">
        <f>IF(ISNUMBER(B2310),IFERROR(VLOOKUP(B2310,'נתוני רישום ומצבת'!B:J,3,0),""),"")</f>
        <v/>
      </c>
      <c r="D2310" s="693"/>
      <c r="E2310" s="697"/>
      <c r="F2310" s="695"/>
      <c r="G2310" s="696"/>
      <c r="K2310" s="22" t="str">
        <f t="shared" si="71"/>
        <v/>
      </c>
      <c r="M2310" s="534" t="str">
        <f t="shared" si="70"/>
        <v/>
      </c>
    </row>
    <row r="2311" spans="2:13" ht="15.75" x14ac:dyDescent="0.25">
      <c r="B2311" s="692"/>
      <c r="C2311" s="117" t="str">
        <f>IF(ISNUMBER(B2311),IFERROR(VLOOKUP(B2311,'נתוני רישום ומצבת'!B:J,3,0),""),"")</f>
        <v/>
      </c>
      <c r="D2311" s="693"/>
      <c r="E2311" s="697"/>
      <c r="F2311" s="695"/>
      <c r="G2311" s="696"/>
      <c r="K2311" s="22" t="str">
        <f t="shared" si="71"/>
        <v/>
      </c>
      <c r="M2311" s="534" t="str">
        <f t="shared" si="70"/>
        <v/>
      </c>
    </row>
    <row r="2312" spans="2:13" ht="15.75" x14ac:dyDescent="0.25">
      <c r="B2312" s="692"/>
      <c r="C2312" s="117" t="str">
        <f>IF(ISNUMBER(B2312),IFERROR(VLOOKUP(B2312,'נתוני רישום ומצבת'!B:J,3,0),""),"")</f>
        <v/>
      </c>
      <c r="D2312" s="693"/>
      <c r="E2312" s="697"/>
      <c r="F2312" s="695"/>
      <c r="G2312" s="696"/>
      <c r="K2312" s="22" t="str">
        <f t="shared" si="71"/>
        <v/>
      </c>
      <c r="M2312" s="534" t="str">
        <f t="shared" si="70"/>
        <v/>
      </c>
    </row>
    <row r="2313" spans="2:13" ht="15.75" x14ac:dyDescent="0.25">
      <c r="B2313" s="692"/>
      <c r="C2313" s="117" t="str">
        <f>IF(ISNUMBER(B2313),IFERROR(VLOOKUP(B2313,'נתוני רישום ומצבת'!B:J,3,0),""),"")</f>
        <v/>
      </c>
      <c r="D2313" s="693"/>
      <c r="E2313" s="697"/>
      <c r="F2313" s="695"/>
      <c r="G2313" s="696"/>
      <c r="K2313" s="22" t="str">
        <f t="shared" si="71"/>
        <v/>
      </c>
      <c r="M2313" s="534" t="str">
        <f t="shared" si="70"/>
        <v/>
      </c>
    </row>
    <row r="2314" spans="2:13" ht="15.75" x14ac:dyDescent="0.25">
      <c r="B2314" s="692"/>
      <c r="C2314" s="117" t="str">
        <f>IF(ISNUMBER(B2314),IFERROR(VLOOKUP(B2314,'נתוני רישום ומצבת'!B:J,3,0),""),"")</f>
        <v/>
      </c>
      <c r="D2314" s="693"/>
      <c r="E2314" s="697"/>
      <c r="F2314" s="695"/>
      <c r="G2314" s="696"/>
      <c r="K2314" s="22" t="str">
        <f t="shared" si="71"/>
        <v/>
      </c>
      <c r="M2314" s="534" t="str">
        <f t="shared" si="70"/>
        <v/>
      </c>
    </row>
    <row r="2315" spans="2:13" ht="15.75" x14ac:dyDescent="0.25">
      <c r="B2315" s="692"/>
      <c r="C2315" s="117" t="str">
        <f>IF(ISNUMBER(B2315),IFERROR(VLOOKUP(B2315,'נתוני רישום ומצבת'!B:J,3,0),""),"")</f>
        <v/>
      </c>
      <c r="D2315" s="693"/>
      <c r="E2315" s="697"/>
      <c r="F2315" s="695"/>
      <c r="G2315" s="696"/>
      <c r="K2315" s="22" t="str">
        <f t="shared" si="71"/>
        <v/>
      </c>
      <c r="M2315" s="534" t="str">
        <f t="shared" si="70"/>
        <v/>
      </c>
    </row>
    <row r="2316" spans="2:13" ht="15.75" x14ac:dyDescent="0.25">
      <c r="B2316" s="692"/>
      <c r="C2316" s="117" t="str">
        <f>IF(ISNUMBER(B2316),IFERROR(VLOOKUP(B2316,'נתוני רישום ומצבת'!B:J,3,0),""),"")</f>
        <v/>
      </c>
      <c r="D2316" s="693"/>
      <c r="E2316" s="697"/>
      <c r="F2316" s="695"/>
      <c r="G2316" s="696"/>
      <c r="K2316" s="22" t="str">
        <f t="shared" si="71"/>
        <v/>
      </c>
      <c r="M2316" s="534" t="str">
        <f t="shared" si="70"/>
        <v/>
      </c>
    </row>
    <row r="2317" spans="2:13" ht="15.75" x14ac:dyDescent="0.25">
      <c r="B2317" s="692"/>
      <c r="C2317" s="117" t="str">
        <f>IF(ISNUMBER(B2317),IFERROR(VLOOKUP(B2317,'נתוני רישום ומצבת'!B:J,3,0),""),"")</f>
        <v/>
      </c>
      <c r="D2317" s="693"/>
      <c r="E2317" s="697"/>
      <c r="F2317" s="695"/>
      <c r="G2317" s="696"/>
      <c r="K2317" s="22" t="str">
        <f t="shared" si="71"/>
        <v/>
      </c>
      <c r="M2317" s="534" t="str">
        <f t="shared" si="70"/>
        <v/>
      </c>
    </row>
    <row r="2318" spans="2:13" ht="15.75" x14ac:dyDescent="0.25">
      <c r="B2318" s="692"/>
      <c r="C2318" s="117" t="str">
        <f>IF(ISNUMBER(B2318),IFERROR(VLOOKUP(B2318,'נתוני רישום ומצבת'!B:J,3,0),""),"")</f>
        <v/>
      </c>
      <c r="D2318" s="693"/>
      <c r="E2318" s="697"/>
      <c r="F2318" s="695"/>
      <c r="G2318" s="696"/>
      <c r="K2318" s="22" t="str">
        <f t="shared" si="71"/>
        <v/>
      </c>
      <c r="M2318" s="534" t="str">
        <f t="shared" si="70"/>
        <v/>
      </c>
    </row>
    <row r="2319" spans="2:13" ht="15.75" x14ac:dyDescent="0.25">
      <c r="B2319" s="692"/>
      <c r="C2319" s="117" t="str">
        <f>IF(ISNUMBER(B2319),IFERROR(VLOOKUP(B2319,'נתוני רישום ומצבת'!B:J,3,0),""),"")</f>
        <v/>
      </c>
      <c r="D2319" s="693"/>
      <c r="E2319" s="697"/>
      <c r="F2319" s="695"/>
      <c r="G2319" s="696"/>
      <c r="K2319" s="22" t="str">
        <f t="shared" si="71"/>
        <v/>
      </c>
      <c r="M2319" s="534" t="str">
        <f t="shared" si="70"/>
        <v/>
      </c>
    </row>
    <row r="2320" spans="2:13" ht="15.75" x14ac:dyDescent="0.25">
      <c r="B2320" s="692"/>
      <c r="C2320" s="117" t="str">
        <f>IF(ISNUMBER(B2320),IFERROR(VLOOKUP(B2320,'נתוני רישום ומצבת'!B:J,3,0),""),"")</f>
        <v/>
      </c>
      <c r="D2320" s="693"/>
      <c r="E2320" s="697"/>
      <c r="F2320" s="695"/>
      <c r="G2320" s="696"/>
      <c r="K2320" s="22" t="str">
        <f t="shared" si="71"/>
        <v/>
      </c>
      <c r="M2320" s="534" t="str">
        <f t="shared" si="70"/>
        <v/>
      </c>
    </row>
    <row r="2321" spans="2:13" ht="15.75" x14ac:dyDescent="0.25">
      <c r="B2321" s="692"/>
      <c r="C2321" s="117" t="str">
        <f>IF(ISNUMBER(B2321),IFERROR(VLOOKUP(B2321,'נתוני רישום ומצבת'!B:J,3,0),""),"")</f>
        <v/>
      </c>
      <c r="D2321" s="693"/>
      <c r="E2321" s="697"/>
      <c r="F2321" s="695"/>
      <c r="G2321" s="696"/>
      <c r="K2321" s="22" t="str">
        <f t="shared" si="71"/>
        <v/>
      </c>
      <c r="M2321" s="534" t="str">
        <f t="shared" ref="M2321:M2384" si="72">TEXT(LEFT(D2321,2),0)</f>
        <v/>
      </c>
    </row>
    <row r="2322" spans="2:13" ht="15.75" x14ac:dyDescent="0.25">
      <c r="B2322" s="692"/>
      <c r="C2322" s="117" t="str">
        <f>IF(ISNUMBER(B2322),IFERROR(VLOOKUP(B2322,'נתוני רישום ומצבת'!B:J,3,0),""),"")</f>
        <v/>
      </c>
      <c r="D2322" s="693"/>
      <c r="E2322" s="697"/>
      <c r="F2322" s="695"/>
      <c r="G2322" s="696"/>
      <c r="K2322" s="22" t="str">
        <f t="shared" si="71"/>
        <v/>
      </c>
      <c r="M2322" s="534" t="str">
        <f t="shared" si="72"/>
        <v/>
      </c>
    </row>
    <row r="2323" spans="2:13" ht="15.75" x14ac:dyDescent="0.25">
      <c r="B2323" s="692"/>
      <c r="C2323" s="117" t="str">
        <f>IF(ISNUMBER(B2323),IFERROR(VLOOKUP(B2323,'נתוני רישום ומצבת'!B:J,3,0),""),"")</f>
        <v/>
      </c>
      <c r="D2323" s="693"/>
      <c r="E2323" s="697"/>
      <c r="F2323" s="695"/>
      <c r="G2323" s="696"/>
      <c r="K2323" s="22" t="str">
        <f t="shared" si="71"/>
        <v/>
      </c>
      <c r="M2323" s="534" t="str">
        <f t="shared" si="72"/>
        <v/>
      </c>
    </row>
    <row r="2324" spans="2:13" ht="15.75" x14ac:dyDescent="0.25">
      <c r="B2324" s="692"/>
      <c r="C2324" s="117" t="str">
        <f>IF(ISNUMBER(B2324),IFERROR(VLOOKUP(B2324,'נתוני רישום ומצבת'!B:J,3,0),""),"")</f>
        <v/>
      </c>
      <c r="D2324" s="693"/>
      <c r="E2324" s="697"/>
      <c r="F2324" s="695"/>
      <c r="G2324" s="696"/>
      <c r="K2324" s="22" t="str">
        <f t="shared" si="71"/>
        <v/>
      </c>
      <c r="M2324" s="534" t="str">
        <f t="shared" si="72"/>
        <v/>
      </c>
    </row>
    <row r="2325" spans="2:13" ht="15.75" x14ac:dyDescent="0.25">
      <c r="B2325" s="692"/>
      <c r="C2325" s="117" t="str">
        <f>IF(ISNUMBER(B2325),IFERROR(VLOOKUP(B2325,'נתוני רישום ומצבת'!B:J,3,0),""),"")</f>
        <v/>
      </c>
      <c r="D2325" s="693"/>
      <c r="E2325" s="697"/>
      <c r="F2325" s="695"/>
      <c r="G2325" s="696"/>
      <c r="K2325" s="22" t="str">
        <f t="shared" ref="K2325:K2388" si="73">IF(C2312&lt;5,IF(D2325=$F$8,-E2325," "),"")</f>
        <v/>
      </c>
      <c r="M2325" s="534" t="str">
        <f t="shared" si="72"/>
        <v/>
      </c>
    </row>
    <row r="2326" spans="2:13" ht="15.75" x14ac:dyDescent="0.25">
      <c r="B2326" s="692"/>
      <c r="C2326" s="117" t="str">
        <f>IF(ISNUMBER(B2326),IFERROR(VLOOKUP(B2326,'נתוני רישום ומצבת'!B:J,3,0),""),"")</f>
        <v/>
      </c>
      <c r="D2326" s="693"/>
      <c r="E2326" s="697"/>
      <c r="F2326" s="695"/>
      <c r="G2326" s="696"/>
      <c r="K2326" s="22" t="str">
        <f t="shared" si="73"/>
        <v/>
      </c>
      <c r="M2326" s="534" t="str">
        <f t="shared" si="72"/>
        <v/>
      </c>
    </row>
    <row r="2327" spans="2:13" ht="15.75" x14ac:dyDescent="0.25">
      <c r="B2327" s="692"/>
      <c r="C2327" s="117" t="str">
        <f>IF(ISNUMBER(B2327),IFERROR(VLOOKUP(B2327,'נתוני רישום ומצבת'!B:J,3,0),""),"")</f>
        <v/>
      </c>
      <c r="D2327" s="693"/>
      <c r="E2327" s="697"/>
      <c r="F2327" s="695"/>
      <c r="G2327" s="696"/>
      <c r="K2327" s="22" t="str">
        <f t="shared" si="73"/>
        <v/>
      </c>
      <c r="M2327" s="534" t="str">
        <f t="shared" si="72"/>
        <v/>
      </c>
    </row>
    <row r="2328" spans="2:13" ht="15.75" x14ac:dyDescent="0.25">
      <c r="B2328" s="692"/>
      <c r="C2328" s="117" t="str">
        <f>IF(ISNUMBER(B2328),IFERROR(VLOOKUP(B2328,'נתוני רישום ומצבת'!B:J,3,0),""),"")</f>
        <v/>
      </c>
      <c r="D2328" s="693"/>
      <c r="E2328" s="697"/>
      <c r="F2328" s="695"/>
      <c r="G2328" s="696"/>
      <c r="K2328" s="22" t="str">
        <f t="shared" si="73"/>
        <v/>
      </c>
      <c r="M2328" s="534" t="str">
        <f t="shared" si="72"/>
        <v/>
      </c>
    </row>
    <row r="2329" spans="2:13" ht="15.75" x14ac:dyDescent="0.25">
      <c r="B2329" s="692"/>
      <c r="C2329" s="117" t="str">
        <f>IF(ISNUMBER(B2329),IFERROR(VLOOKUP(B2329,'נתוני רישום ומצבת'!B:J,3,0),""),"")</f>
        <v/>
      </c>
      <c r="D2329" s="693"/>
      <c r="E2329" s="697"/>
      <c r="F2329" s="695"/>
      <c r="G2329" s="696"/>
      <c r="K2329" s="22" t="str">
        <f t="shared" si="73"/>
        <v/>
      </c>
      <c r="M2329" s="534" t="str">
        <f t="shared" si="72"/>
        <v/>
      </c>
    </row>
    <row r="2330" spans="2:13" ht="15.75" x14ac:dyDescent="0.25">
      <c r="B2330" s="692"/>
      <c r="C2330" s="117" t="str">
        <f>IF(ISNUMBER(B2330),IFERROR(VLOOKUP(B2330,'נתוני רישום ומצבת'!B:J,3,0),""),"")</f>
        <v/>
      </c>
      <c r="D2330" s="693"/>
      <c r="E2330" s="697"/>
      <c r="F2330" s="695"/>
      <c r="G2330" s="696"/>
      <c r="K2330" s="22" t="str">
        <f t="shared" si="73"/>
        <v/>
      </c>
      <c r="M2330" s="534" t="str">
        <f t="shared" si="72"/>
        <v/>
      </c>
    </row>
    <row r="2331" spans="2:13" ht="15.75" x14ac:dyDescent="0.25">
      <c r="B2331" s="692"/>
      <c r="C2331" s="117" t="str">
        <f>IF(ISNUMBER(B2331),IFERROR(VLOOKUP(B2331,'נתוני רישום ומצבת'!B:J,3,0),""),"")</f>
        <v/>
      </c>
      <c r="D2331" s="693"/>
      <c r="E2331" s="697"/>
      <c r="F2331" s="695"/>
      <c r="G2331" s="696"/>
      <c r="K2331" s="22" t="str">
        <f t="shared" si="73"/>
        <v/>
      </c>
      <c r="M2331" s="534" t="str">
        <f t="shared" si="72"/>
        <v/>
      </c>
    </row>
    <row r="2332" spans="2:13" ht="15.75" x14ac:dyDescent="0.25">
      <c r="B2332" s="692"/>
      <c r="C2332" s="117" t="str">
        <f>IF(ISNUMBER(B2332),IFERROR(VLOOKUP(B2332,'נתוני רישום ומצבת'!B:J,3,0),""),"")</f>
        <v/>
      </c>
      <c r="D2332" s="693"/>
      <c r="E2332" s="697"/>
      <c r="F2332" s="695"/>
      <c r="G2332" s="696"/>
      <c r="K2332" s="22" t="str">
        <f t="shared" si="73"/>
        <v/>
      </c>
      <c r="M2332" s="534" t="str">
        <f t="shared" si="72"/>
        <v/>
      </c>
    </row>
    <row r="2333" spans="2:13" ht="15.75" x14ac:dyDescent="0.25">
      <c r="B2333" s="692"/>
      <c r="C2333" s="117" t="str">
        <f>IF(ISNUMBER(B2333),IFERROR(VLOOKUP(B2333,'נתוני רישום ומצבת'!B:J,3,0),""),"")</f>
        <v/>
      </c>
      <c r="D2333" s="693"/>
      <c r="E2333" s="697"/>
      <c r="F2333" s="695"/>
      <c r="G2333" s="696"/>
      <c r="K2333" s="22" t="str">
        <f t="shared" si="73"/>
        <v/>
      </c>
      <c r="M2333" s="534" t="str">
        <f t="shared" si="72"/>
        <v/>
      </c>
    </row>
    <row r="2334" spans="2:13" ht="15.75" x14ac:dyDescent="0.25">
      <c r="B2334" s="692"/>
      <c r="C2334" s="117" t="str">
        <f>IF(ISNUMBER(B2334),IFERROR(VLOOKUP(B2334,'נתוני רישום ומצבת'!B:J,3,0),""),"")</f>
        <v/>
      </c>
      <c r="D2334" s="693"/>
      <c r="E2334" s="697"/>
      <c r="F2334" s="695"/>
      <c r="G2334" s="696"/>
      <c r="K2334" s="22" t="str">
        <f t="shared" si="73"/>
        <v/>
      </c>
      <c r="M2334" s="534" t="str">
        <f t="shared" si="72"/>
        <v/>
      </c>
    </row>
    <row r="2335" spans="2:13" ht="15.75" x14ac:dyDescent="0.25">
      <c r="B2335" s="692"/>
      <c r="C2335" s="117" t="str">
        <f>IF(ISNUMBER(B2335),IFERROR(VLOOKUP(B2335,'נתוני רישום ומצבת'!B:J,3,0),""),"")</f>
        <v/>
      </c>
      <c r="D2335" s="693"/>
      <c r="E2335" s="697"/>
      <c r="F2335" s="695"/>
      <c r="G2335" s="696"/>
      <c r="K2335" s="22" t="str">
        <f t="shared" si="73"/>
        <v/>
      </c>
      <c r="M2335" s="534" t="str">
        <f t="shared" si="72"/>
        <v/>
      </c>
    </row>
    <row r="2336" spans="2:13" ht="15.75" x14ac:dyDescent="0.25">
      <c r="B2336" s="692"/>
      <c r="C2336" s="117" t="str">
        <f>IF(ISNUMBER(B2336),IFERROR(VLOOKUP(B2336,'נתוני רישום ומצבת'!B:J,3,0),""),"")</f>
        <v/>
      </c>
      <c r="D2336" s="693"/>
      <c r="E2336" s="697"/>
      <c r="F2336" s="695"/>
      <c r="G2336" s="696"/>
      <c r="K2336" s="22" t="str">
        <f t="shared" si="73"/>
        <v/>
      </c>
      <c r="M2336" s="534" t="str">
        <f t="shared" si="72"/>
        <v/>
      </c>
    </row>
    <row r="2337" spans="2:13" ht="15.75" x14ac:dyDescent="0.25">
      <c r="B2337" s="692"/>
      <c r="C2337" s="117" t="str">
        <f>IF(ISNUMBER(B2337),IFERROR(VLOOKUP(B2337,'נתוני רישום ומצבת'!B:J,3,0),""),"")</f>
        <v/>
      </c>
      <c r="D2337" s="693"/>
      <c r="E2337" s="697"/>
      <c r="F2337" s="695"/>
      <c r="G2337" s="696"/>
      <c r="K2337" s="22" t="str">
        <f t="shared" si="73"/>
        <v/>
      </c>
      <c r="M2337" s="534" t="str">
        <f t="shared" si="72"/>
        <v/>
      </c>
    </row>
    <row r="2338" spans="2:13" ht="15.75" x14ac:dyDescent="0.25">
      <c r="B2338" s="692"/>
      <c r="C2338" s="117" t="str">
        <f>IF(ISNUMBER(B2338),IFERROR(VLOOKUP(B2338,'נתוני רישום ומצבת'!B:J,3,0),""),"")</f>
        <v/>
      </c>
      <c r="D2338" s="693"/>
      <c r="E2338" s="697"/>
      <c r="F2338" s="695"/>
      <c r="G2338" s="696"/>
      <c r="K2338" s="22" t="str">
        <f t="shared" si="73"/>
        <v/>
      </c>
      <c r="M2338" s="534" t="str">
        <f t="shared" si="72"/>
        <v/>
      </c>
    </row>
    <row r="2339" spans="2:13" ht="15.75" x14ac:dyDescent="0.25">
      <c r="B2339" s="692"/>
      <c r="C2339" s="117" t="str">
        <f>IF(ISNUMBER(B2339),IFERROR(VLOOKUP(B2339,'נתוני רישום ומצבת'!B:J,3,0),""),"")</f>
        <v/>
      </c>
      <c r="D2339" s="693"/>
      <c r="E2339" s="697"/>
      <c r="F2339" s="695"/>
      <c r="G2339" s="696"/>
      <c r="K2339" s="22" t="str">
        <f t="shared" si="73"/>
        <v/>
      </c>
      <c r="M2339" s="534" t="str">
        <f t="shared" si="72"/>
        <v/>
      </c>
    </row>
    <row r="2340" spans="2:13" ht="15.75" x14ac:dyDescent="0.25">
      <c r="B2340" s="692"/>
      <c r="C2340" s="117" t="str">
        <f>IF(ISNUMBER(B2340),IFERROR(VLOOKUP(B2340,'נתוני רישום ומצבת'!B:J,3,0),""),"")</f>
        <v/>
      </c>
      <c r="D2340" s="693"/>
      <c r="E2340" s="697"/>
      <c r="F2340" s="695"/>
      <c r="G2340" s="696"/>
      <c r="K2340" s="22" t="str">
        <f t="shared" si="73"/>
        <v/>
      </c>
      <c r="M2340" s="534" t="str">
        <f t="shared" si="72"/>
        <v/>
      </c>
    </row>
    <row r="2341" spans="2:13" ht="15.75" x14ac:dyDescent="0.25">
      <c r="B2341" s="692"/>
      <c r="C2341" s="117" t="str">
        <f>IF(ISNUMBER(B2341),IFERROR(VLOOKUP(B2341,'נתוני רישום ומצבת'!B:J,3,0),""),"")</f>
        <v/>
      </c>
      <c r="D2341" s="693"/>
      <c r="E2341" s="697"/>
      <c r="F2341" s="695"/>
      <c r="G2341" s="696"/>
      <c r="K2341" s="22" t="str">
        <f t="shared" si="73"/>
        <v/>
      </c>
      <c r="M2341" s="534" t="str">
        <f t="shared" si="72"/>
        <v/>
      </c>
    </row>
    <row r="2342" spans="2:13" ht="15.75" x14ac:dyDescent="0.25">
      <c r="B2342" s="692"/>
      <c r="C2342" s="117" t="str">
        <f>IF(ISNUMBER(B2342),IFERROR(VLOOKUP(B2342,'נתוני רישום ומצבת'!B:J,3,0),""),"")</f>
        <v/>
      </c>
      <c r="D2342" s="693"/>
      <c r="E2342" s="697"/>
      <c r="F2342" s="695"/>
      <c r="G2342" s="696"/>
      <c r="K2342" s="22" t="str">
        <f t="shared" si="73"/>
        <v/>
      </c>
      <c r="M2342" s="534" t="str">
        <f t="shared" si="72"/>
        <v/>
      </c>
    </row>
    <row r="2343" spans="2:13" ht="15.75" x14ac:dyDescent="0.25">
      <c r="B2343" s="692"/>
      <c r="C2343" s="117" t="str">
        <f>IF(ISNUMBER(B2343),IFERROR(VLOOKUP(B2343,'נתוני רישום ומצבת'!B:J,3,0),""),"")</f>
        <v/>
      </c>
      <c r="D2343" s="693"/>
      <c r="E2343" s="697"/>
      <c r="F2343" s="695"/>
      <c r="G2343" s="696"/>
      <c r="K2343" s="22" t="str">
        <f t="shared" si="73"/>
        <v/>
      </c>
      <c r="M2343" s="534" t="str">
        <f t="shared" si="72"/>
        <v/>
      </c>
    </row>
    <row r="2344" spans="2:13" ht="15.75" x14ac:dyDescent="0.25">
      <c r="B2344" s="692"/>
      <c r="C2344" s="117" t="str">
        <f>IF(ISNUMBER(B2344),IFERROR(VLOOKUP(B2344,'נתוני רישום ומצבת'!B:J,3,0),""),"")</f>
        <v/>
      </c>
      <c r="D2344" s="693"/>
      <c r="E2344" s="697"/>
      <c r="F2344" s="695"/>
      <c r="G2344" s="696"/>
      <c r="K2344" s="22" t="str">
        <f t="shared" si="73"/>
        <v/>
      </c>
      <c r="M2344" s="534" t="str">
        <f t="shared" si="72"/>
        <v/>
      </c>
    </row>
    <row r="2345" spans="2:13" ht="15.75" x14ac:dyDescent="0.25">
      <c r="B2345" s="692"/>
      <c r="C2345" s="117" t="str">
        <f>IF(ISNUMBER(B2345),IFERROR(VLOOKUP(B2345,'נתוני רישום ומצבת'!B:J,3,0),""),"")</f>
        <v/>
      </c>
      <c r="D2345" s="693"/>
      <c r="E2345" s="697"/>
      <c r="F2345" s="695"/>
      <c r="G2345" s="696"/>
      <c r="K2345" s="22" t="str">
        <f t="shared" si="73"/>
        <v/>
      </c>
      <c r="M2345" s="534" t="str">
        <f t="shared" si="72"/>
        <v/>
      </c>
    </row>
    <row r="2346" spans="2:13" ht="15.75" x14ac:dyDescent="0.25">
      <c r="B2346" s="692"/>
      <c r="C2346" s="117" t="str">
        <f>IF(ISNUMBER(B2346),IFERROR(VLOOKUP(B2346,'נתוני רישום ומצבת'!B:J,3,0),""),"")</f>
        <v/>
      </c>
      <c r="D2346" s="693"/>
      <c r="E2346" s="697"/>
      <c r="F2346" s="695"/>
      <c r="G2346" s="696"/>
      <c r="K2346" s="22" t="str">
        <f t="shared" si="73"/>
        <v/>
      </c>
      <c r="M2346" s="534" t="str">
        <f t="shared" si="72"/>
        <v/>
      </c>
    </row>
    <row r="2347" spans="2:13" ht="15.75" x14ac:dyDescent="0.25">
      <c r="B2347" s="692"/>
      <c r="C2347" s="117" t="str">
        <f>IF(ISNUMBER(B2347),IFERROR(VLOOKUP(B2347,'נתוני רישום ומצבת'!B:J,3,0),""),"")</f>
        <v/>
      </c>
      <c r="D2347" s="693"/>
      <c r="E2347" s="697"/>
      <c r="F2347" s="695"/>
      <c r="G2347" s="696"/>
      <c r="K2347" s="22" t="str">
        <f t="shared" si="73"/>
        <v/>
      </c>
      <c r="M2347" s="534" t="str">
        <f t="shared" si="72"/>
        <v/>
      </c>
    </row>
    <row r="2348" spans="2:13" ht="15.75" x14ac:dyDescent="0.25">
      <c r="B2348" s="692"/>
      <c r="C2348" s="117" t="str">
        <f>IF(ISNUMBER(B2348),IFERROR(VLOOKUP(B2348,'נתוני רישום ומצבת'!B:J,3,0),""),"")</f>
        <v/>
      </c>
      <c r="D2348" s="693"/>
      <c r="E2348" s="697"/>
      <c r="F2348" s="695"/>
      <c r="G2348" s="696"/>
      <c r="K2348" s="22" t="str">
        <f t="shared" si="73"/>
        <v/>
      </c>
      <c r="M2348" s="534" t="str">
        <f t="shared" si="72"/>
        <v/>
      </c>
    </row>
    <row r="2349" spans="2:13" ht="15.75" x14ac:dyDescent="0.25">
      <c r="B2349" s="692"/>
      <c r="C2349" s="117" t="str">
        <f>IF(ISNUMBER(B2349),IFERROR(VLOOKUP(B2349,'נתוני רישום ומצבת'!B:J,3,0),""),"")</f>
        <v/>
      </c>
      <c r="D2349" s="693"/>
      <c r="E2349" s="697"/>
      <c r="F2349" s="695"/>
      <c r="G2349" s="696"/>
      <c r="K2349" s="22" t="str">
        <f t="shared" si="73"/>
        <v/>
      </c>
      <c r="M2349" s="534" t="str">
        <f t="shared" si="72"/>
        <v/>
      </c>
    </row>
    <row r="2350" spans="2:13" ht="15.75" x14ac:dyDescent="0.25">
      <c r="B2350" s="692"/>
      <c r="C2350" s="117" t="str">
        <f>IF(ISNUMBER(B2350),IFERROR(VLOOKUP(B2350,'נתוני רישום ומצבת'!B:J,3,0),""),"")</f>
        <v/>
      </c>
      <c r="D2350" s="693"/>
      <c r="E2350" s="697"/>
      <c r="F2350" s="695"/>
      <c r="G2350" s="696"/>
      <c r="K2350" s="22" t="str">
        <f t="shared" si="73"/>
        <v/>
      </c>
      <c r="M2350" s="534" t="str">
        <f t="shared" si="72"/>
        <v/>
      </c>
    </row>
    <row r="2351" spans="2:13" ht="15.75" x14ac:dyDescent="0.25">
      <c r="B2351" s="692"/>
      <c r="C2351" s="117" t="str">
        <f>IF(ISNUMBER(B2351),IFERROR(VLOOKUP(B2351,'נתוני רישום ומצבת'!B:J,3,0),""),"")</f>
        <v/>
      </c>
      <c r="D2351" s="693"/>
      <c r="E2351" s="697"/>
      <c r="F2351" s="695"/>
      <c r="G2351" s="696"/>
      <c r="K2351" s="22" t="str">
        <f t="shared" si="73"/>
        <v/>
      </c>
      <c r="M2351" s="534" t="str">
        <f t="shared" si="72"/>
        <v/>
      </c>
    </row>
    <row r="2352" spans="2:13" ht="15.75" x14ac:dyDescent="0.25">
      <c r="B2352" s="692"/>
      <c r="C2352" s="117" t="str">
        <f>IF(ISNUMBER(B2352),IFERROR(VLOOKUP(B2352,'נתוני רישום ומצבת'!B:J,3,0),""),"")</f>
        <v/>
      </c>
      <c r="D2352" s="693"/>
      <c r="E2352" s="697"/>
      <c r="F2352" s="695"/>
      <c r="G2352" s="696"/>
      <c r="K2352" s="22" t="str">
        <f t="shared" si="73"/>
        <v/>
      </c>
      <c r="M2352" s="534" t="str">
        <f t="shared" si="72"/>
        <v/>
      </c>
    </row>
    <row r="2353" spans="2:13" ht="15.75" x14ac:dyDescent="0.25">
      <c r="B2353" s="692"/>
      <c r="C2353" s="117" t="str">
        <f>IF(ISNUMBER(B2353),IFERROR(VLOOKUP(B2353,'נתוני רישום ומצבת'!B:J,3,0),""),"")</f>
        <v/>
      </c>
      <c r="D2353" s="693"/>
      <c r="E2353" s="697"/>
      <c r="F2353" s="695"/>
      <c r="G2353" s="696"/>
      <c r="K2353" s="22" t="str">
        <f t="shared" si="73"/>
        <v/>
      </c>
      <c r="M2353" s="534" t="str">
        <f t="shared" si="72"/>
        <v/>
      </c>
    </row>
    <row r="2354" spans="2:13" ht="15.75" x14ac:dyDescent="0.25">
      <c r="B2354" s="692"/>
      <c r="C2354" s="117" t="str">
        <f>IF(ISNUMBER(B2354),IFERROR(VLOOKUP(B2354,'נתוני רישום ומצבת'!B:J,3,0),""),"")</f>
        <v/>
      </c>
      <c r="D2354" s="693"/>
      <c r="E2354" s="697"/>
      <c r="F2354" s="695"/>
      <c r="G2354" s="696"/>
      <c r="K2354" s="22" t="str">
        <f t="shared" si="73"/>
        <v/>
      </c>
      <c r="M2354" s="534" t="str">
        <f t="shared" si="72"/>
        <v/>
      </c>
    </row>
    <row r="2355" spans="2:13" ht="15.75" x14ac:dyDescent="0.25">
      <c r="B2355" s="692"/>
      <c r="C2355" s="117" t="str">
        <f>IF(ISNUMBER(B2355),IFERROR(VLOOKUP(B2355,'נתוני רישום ומצבת'!B:J,3,0),""),"")</f>
        <v/>
      </c>
      <c r="D2355" s="693"/>
      <c r="E2355" s="697"/>
      <c r="F2355" s="695"/>
      <c r="G2355" s="696"/>
      <c r="K2355" s="22" t="str">
        <f t="shared" si="73"/>
        <v/>
      </c>
      <c r="M2355" s="534" t="str">
        <f t="shared" si="72"/>
        <v/>
      </c>
    </row>
    <row r="2356" spans="2:13" ht="15.75" x14ac:dyDescent="0.25">
      <c r="B2356" s="692"/>
      <c r="C2356" s="117" t="str">
        <f>IF(ISNUMBER(B2356),IFERROR(VLOOKUP(B2356,'נתוני רישום ומצבת'!B:J,3,0),""),"")</f>
        <v/>
      </c>
      <c r="D2356" s="693"/>
      <c r="E2356" s="697"/>
      <c r="F2356" s="695"/>
      <c r="G2356" s="696"/>
      <c r="K2356" s="22" t="str">
        <f t="shared" si="73"/>
        <v/>
      </c>
      <c r="M2356" s="534" t="str">
        <f t="shared" si="72"/>
        <v/>
      </c>
    </row>
    <row r="2357" spans="2:13" ht="15.75" x14ac:dyDescent="0.25">
      <c r="B2357" s="692"/>
      <c r="C2357" s="117" t="str">
        <f>IF(ISNUMBER(B2357),IFERROR(VLOOKUP(B2357,'נתוני רישום ומצבת'!B:J,3,0),""),"")</f>
        <v/>
      </c>
      <c r="D2357" s="693"/>
      <c r="E2357" s="697"/>
      <c r="F2357" s="695"/>
      <c r="G2357" s="696"/>
      <c r="K2357" s="22" t="str">
        <f t="shared" si="73"/>
        <v/>
      </c>
      <c r="M2357" s="534" t="str">
        <f t="shared" si="72"/>
        <v/>
      </c>
    </row>
    <row r="2358" spans="2:13" ht="15.75" x14ac:dyDescent="0.25">
      <c r="B2358" s="692"/>
      <c r="C2358" s="117" t="str">
        <f>IF(ISNUMBER(B2358),IFERROR(VLOOKUP(B2358,'נתוני רישום ומצבת'!B:J,3,0),""),"")</f>
        <v/>
      </c>
      <c r="D2358" s="693"/>
      <c r="E2358" s="697"/>
      <c r="F2358" s="695"/>
      <c r="G2358" s="696"/>
      <c r="K2358" s="22" t="str">
        <f t="shared" si="73"/>
        <v/>
      </c>
      <c r="M2358" s="534" t="str">
        <f t="shared" si="72"/>
        <v/>
      </c>
    </row>
    <row r="2359" spans="2:13" ht="15.75" x14ac:dyDescent="0.25">
      <c r="B2359" s="692"/>
      <c r="C2359" s="117" t="str">
        <f>IF(ISNUMBER(B2359),IFERROR(VLOOKUP(B2359,'נתוני רישום ומצבת'!B:J,3,0),""),"")</f>
        <v/>
      </c>
      <c r="D2359" s="693"/>
      <c r="E2359" s="697"/>
      <c r="F2359" s="695"/>
      <c r="G2359" s="696"/>
      <c r="K2359" s="22" t="str">
        <f t="shared" si="73"/>
        <v/>
      </c>
      <c r="M2359" s="534" t="str">
        <f t="shared" si="72"/>
        <v/>
      </c>
    </row>
    <row r="2360" spans="2:13" ht="15.75" x14ac:dyDescent="0.25">
      <c r="B2360" s="692"/>
      <c r="C2360" s="117" t="str">
        <f>IF(ISNUMBER(B2360),IFERROR(VLOOKUP(B2360,'נתוני רישום ומצבת'!B:J,3,0),""),"")</f>
        <v/>
      </c>
      <c r="D2360" s="693"/>
      <c r="E2360" s="697"/>
      <c r="F2360" s="695"/>
      <c r="G2360" s="696"/>
      <c r="K2360" s="22" t="str">
        <f t="shared" si="73"/>
        <v/>
      </c>
      <c r="M2360" s="534" t="str">
        <f t="shared" si="72"/>
        <v/>
      </c>
    </row>
    <row r="2361" spans="2:13" ht="15.75" x14ac:dyDescent="0.25">
      <c r="B2361" s="692"/>
      <c r="C2361" s="117" t="str">
        <f>IF(ISNUMBER(B2361),IFERROR(VLOOKUP(B2361,'נתוני רישום ומצבת'!B:J,3,0),""),"")</f>
        <v/>
      </c>
      <c r="D2361" s="693"/>
      <c r="E2361" s="697"/>
      <c r="F2361" s="695"/>
      <c r="G2361" s="696"/>
      <c r="K2361" s="22" t="str">
        <f t="shared" si="73"/>
        <v/>
      </c>
      <c r="M2361" s="534" t="str">
        <f t="shared" si="72"/>
        <v/>
      </c>
    </row>
    <row r="2362" spans="2:13" ht="15.75" x14ac:dyDescent="0.25">
      <c r="B2362" s="692"/>
      <c r="C2362" s="117" t="str">
        <f>IF(ISNUMBER(B2362),IFERROR(VLOOKUP(B2362,'נתוני רישום ומצבת'!B:J,3,0),""),"")</f>
        <v/>
      </c>
      <c r="D2362" s="693"/>
      <c r="E2362" s="697"/>
      <c r="F2362" s="695"/>
      <c r="G2362" s="696"/>
      <c r="K2362" s="22" t="str">
        <f t="shared" si="73"/>
        <v/>
      </c>
      <c r="M2362" s="534" t="str">
        <f t="shared" si="72"/>
        <v/>
      </c>
    </row>
    <row r="2363" spans="2:13" ht="15.75" x14ac:dyDescent="0.25">
      <c r="B2363" s="692"/>
      <c r="C2363" s="117" t="str">
        <f>IF(ISNUMBER(B2363),IFERROR(VLOOKUP(B2363,'נתוני רישום ומצבת'!B:J,3,0),""),"")</f>
        <v/>
      </c>
      <c r="D2363" s="693"/>
      <c r="E2363" s="697"/>
      <c r="F2363" s="695"/>
      <c r="G2363" s="696"/>
      <c r="K2363" s="22" t="str">
        <f t="shared" si="73"/>
        <v/>
      </c>
      <c r="M2363" s="534" t="str">
        <f t="shared" si="72"/>
        <v/>
      </c>
    </row>
    <row r="2364" spans="2:13" ht="15.75" x14ac:dyDescent="0.25">
      <c r="B2364" s="692"/>
      <c r="C2364" s="117" t="str">
        <f>IF(ISNUMBER(B2364),IFERROR(VLOOKUP(B2364,'נתוני רישום ומצבת'!B:J,3,0),""),"")</f>
        <v/>
      </c>
      <c r="D2364" s="693"/>
      <c r="E2364" s="697"/>
      <c r="F2364" s="695"/>
      <c r="G2364" s="696"/>
      <c r="K2364" s="22" t="str">
        <f t="shared" si="73"/>
        <v/>
      </c>
      <c r="M2364" s="534" t="str">
        <f t="shared" si="72"/>
        <v/>
      </c>
    </row>
    <row r="2365" spans="2:13" ht="15.75" x14ac:dyDescent="0.25">
      <c r="B2365" s="692"/>
      <c r="C2365" s="117" t="str">
        <f>IF(ISNUMBER(B2365),IFERROR(VLOOKUP(B2365,'נתוני רישום ומצבת'!B:J,3,0),""),"")</f>
        <v/>
      </c>
      <c r="D2365" s="693"/>
      <c r="E2365" s="697"/>
      <c r="F2365" s="695"/>
      <c r="G2365" s="696"/>
      <c r="K2365" s="22" t="str">
        <f t="shared" si="73"/>
        <v/>
      </c>
      <c r="M2365" s="534" t="str">
        <f t="shared" si="72"/>
        <v/>
      </c>
    </row>
    <row r="2366" spans="2:13" ht="15.75" x14ac:dyDescent="0.25">
      <c r="B2366" s="692"/>
      <c r="C2366" s="117" t="str">
        <f>IF(ISNUMBER(B2366),IFERROR(VLOOKUP(B2366,'נתוני רישום ומצבת'!B:J,3,0),""),"")</f>
        <v/>
      </c>
      <c r="D2366" s="693"/>
      <c r="E2366" s="697"/>
      <c r="F2366" s="695"/>
      <c r="G2366" s="696"/>
      <c r="K2366" s="22" t="str">
        <f t="shared" si="73"/>
        <v/>
      </c>
      <c r="M2366" s="534" t="str">
        <f t="shared" si="72"/>
        <v/>
      </c>
    </row>
    <row r="2367" spans="2:13" ht="15.75" x14ac:dyDescent="0.25">
      <c r="B2367" s="692"/>
      <c r="C2367" s="117" t="str">
        <f>IF(ISNUMBER(B2367),IFERROR(VLOOKUP(B2367,'נתוני רישום ומצבת'!B:J,3,0),""),"")</f>
        <v/>
      </c>
      <c r="D2367" s="693"/>
      <c r="E2367" s="697"/>
      <c r="F2367" s="695"/>
      <c r="G2367" s="696"/>
      <c r="K2367" s="22" t="str">
        <f t="shared" si="73"/>
        <v/>
      </c>
      <c r="M2367" s="534" t="str">
        <f t="shared" si="72"/>
        <v/>
      </c>
    </row>
    <row r="2368" spans="2:13" ht="15.75" x14ac:dyDescent="0.25">
      <c r="B2368" s="692"/>
      <c r="C2368" s="117" t="str">
        <f>IF(ISNUMBER(B2368),IFERROR(VLOOKUP(B2368,'נתוני רישום ומצבת'!B:J,3,0),""),"")</f>
        <v/>
      </c>
      <c r="D2368" s="693"/>
      <c r="E2368" s="697"/>
      <c r="F2368" s="695"/>
      <c r="G2368" s="696"/>
      <c r="K2368" s="22" t="str">
        <f t="shared" si="73"/>
        <v/>
      </c>
      <c r="M2368" s="534" t="str">
        <f t="shared" si="72"/>
        <v/>
      </c>
    </row>
    <row r="2369" spans="2:13" ht="15.75" x14ac:dyDescent="0.25">
      <c r="B2369" s="692"/>
      <c r="C2369" s="117" t="str">
        <f>IF(ISNUMBER(B2369),IFERROR(VLOOKUP(B2369,'נתוני רישום ומצבת'!B:J,3,0),""),"")</f>
        <v/>
      </c>
      <c r="D2369" s="693"/>
      <c r="E2369" s="697"/>
      <c r="F2369" s="695"/>
      <c r="G2369" s="696"/>
      <c r="K2369" s="22" t="str">
        <f t="shared" si="73"/>
        <v/>
      </c>
      <c r="M2369" s="534" t="str">
        <f t="shared" si="72"/>
        <v/>
      </c>
    </row>
    <row r="2370" spans="2:13" ht="15.75" x14ac:dyDescent="0.25">
      <c r="B2370" s="692"/>
      <c r="C2370" s="117" t="str">
        <f>IF(ISNUMBER(B2370),IFERROR(VLOOKUP(B2370,'נתוני רישום ומצבת'!B:J,3,0),""),"")</f>
        <v/>
      </c>
      <c r="D2370" s="693"/>
      <c r="E2370" s="697"/>
      <c r="F2370" s="695"/>
      <c r="G2370" s="696"/>
      <c r="K2370" s="22" t="str">
        <f t="shared" si="73"/>
        <v/>
      </c>
      <c r="M2370" s="534" t="str">
        <f t="shared" si="72"/>
        <v/>
      </c>
    </row>
    <row r="2371" spans="2:13" ht="15.75" x14ac:dyDescent="0.25">
      <c r="B2371" s="692"/>
      <c r="C2371" s="117" t="str">
        <f>IF(ISNUMBER(B2371),IFERROR(VLOOKUP(B2371,'נתוני רישום ומצבת'!B:J,3,0),""),"")</f>
        <v/>
      </c>
      <c r="D2371" s="693"/>
      <c r="E2371" s="697"/>
      <c r="F2371" s="695"/>
      <c r="G2371" s="696"/>
      <c r="K2371" s="22" t="str">
        <f t="shared" si="73"/>
        <v/>
      </c>
      <c r="M2371" s="534" t="str">
        <f t="shared" si="72"/>
        <v/>
      </c>
    </row>
    <row r="2372" spans="2:13" ht="15.75" x14ac:dyDescent="0.25">
      <c r="B2372" s="692"/>
      <c r="C2372" s="117" t="str">
        <f>IF(ISNUMBER(B2372),IFERROR(VLOOKUP(B2372,'נתוני רישום ומצבת'!B:J,3,0),""),"")</f>
        <v/>
      </c>
      <c r="D2372" s="693"/>
      <c r="E2372" s="697"/>
      <c r="F2372" s="695"/>
      <c r="G2372" s="696"/>
      <c r="K2372" s="22" t="str">
        <f t="shared" si="73"/>
        <v/>
      </c>
      <c r="M2372" s="534" t="str">
        <f t="shared" si="72"/>
        <v/>
      </c>
    </row>
    <row r="2373" spans="2:13" ht="15.75" x14ac:dyDescent="0.25">
      <c r="B2373" s="692"/>
      <c r="C2373" s="117" t="str">
        <f>IF(ISNUMBER(B2373),IFERROR(VLOOKUP(B2373,'נתוני רישום ומצבת'!B:J,3,0),""),"")</f>
        <v/>
      </c>
      <c r="D2373" s="693"/>
      <c r="E2373" s="697"/>
      <c r="F2373" s="695"/>
      <c r="G2373" s="696"/>
      <c r="K2373" s="22" t="str">
        <f t="shared" si="73"/>
        <v/>
      </c>
      <c r="M2373" s="534" t="str">
        <f t="shared" si="72"/>
        <v/>
      </c>
    </row>
    <row r="2374" spans="2:13" ht="15.75" x14ac:dyDescent="0.25">
      <c r="B2374" s="692"/>
      <c r="C2374" s="117" t="str">
        <f>IF(ISNUMBER(B2374),IFERROR(VLOOKUP(B2374,'נתוני רישום ומצבת'!B:J,3,0),""),"")</f>
        <v/>
      </c>
      <c r="D2374" s="693"/>
      <c r="E2374" s="697"/>
      <c r="F2374" s="695"/>
      <c r="G2374" s="696"/>
      <c r="K2374" s="22" t="str">
        <f t="shared" si="73"/>
        <v/>
      </c>
      <c r="M2374" s="534" t="str">
        <f t="shared" si="72"/>
        <v/>
      </c>
    </row>
    <row r="2375" spans="2:13" ht="15.75" x14ac:dyDescent="0.25">
      <c r="B2375" s="692"/>
      <c r="C2375" s="117" t="str">
        <f>IF(ISNUMBER(B2375),IFERROR(VLOOKUP(B2375,'נתוני רישום ומצבת'!B:J,3,0),""),"")</f>
        <v/>
      </c>
      <c r="D2375" s="693"/>
      <c r="E2375" s="697"/>
      <c r="F2375" s="695"/>
      <c r="G2375" s="696"/>
      <c r="K2375" s="22" t="str">
        <f t="shared" si="73"/>
        <v/>
      </c>
      <c r="M2375" s="534" t="str">
        <f t="shared" si="72"/>
        <v/>
      </c>
    </row>
    <row r="2376" spans="2:13" ht="15.75" x14ac:dyDescent="0.25">
      <c r="B2376" s="692"/>
      <c r="C2376" s="117" t="str">
        <f>IF(ISNUMBER(B2376),IFERROR(VLOOKUP(B2376,'נתוני רישום ומצבת'!B:J,3,0),""),"")</f>
        <v/>
      </c>
      <c r="D2376" s="693"/>
      <c r="E2376" s="697"/>
      <c r="F2376" s="695"/>
      <c r="G2376" s="696"/>
      <c r="K2376" s="22" t="str">
        <f t="shared" si="73"/>
        <v/>
      </c>
      <c r="M2376" s="534" t="str">
        <f t="shared" si="72"/>
        <v/>
      </c>
    </row>
    <row r="2377" spans="2:13" ht="15.75" x14ac:dyDescent="0.25">
      <c r="B2377" s="692"/>
      <c r="C2377" s="117" t="str">
        <f>IF(ISNUMBER(B2377),IFERROR(VLOOKUP(B2377,'נתוני רישום ומצבת'!B:J,3,0),""),"")</f>
        <v/>
      </c>
      <c r="D2377" s="693"/>
      <c r="E2377" s="697"/>
      <c r="F2377" s="695"/>
      <c r="G2377" s="696"/>
      <c r="K2377" s="22" t="str">
        <f t="shared" si="73"/>
        <v/>
      </c>
      <c r="M2377" s="534" t="str">
        <f t="shared" si="72"/>
        <v/>
      </c>
    </row>
    <row r="2378" spans="2:13" ht="15.75" x14ac:dyDescent="0.25">
      <c r="B2378" s="692"/>
      <c r="C2378" s="117" t="str">
        <f>IF(ISNUMBER(B2378),IFERROR(VLOOKUP(B2378,'נתוני רישום ומצבת'!B:J,3,0),""),"")</f>
        <v/>
      </c>
      <c r="D2378" s="693"/>
      <c r="E2378" s="697"/>
      <c r="F2378" s="695"/>
      <c r="G2378" s="696"/>
      <c r="K2378" s="22" t="str">
        <f t="shared" si="73"/>
        <v/>
      </c>
      <c r="M2378" s="534" t="str">
        <f t="shared" si="72"/>
        <v/>
      </c>
    </row>
    <row r="2379" spans="2:13" ht="15.75" x14ac:dyDescent="0.25">
      <c r="B2379" s="692"/>
      <c r="C2379" s="117" t="str">
        <f>IF(ISNUMBER(B2379),IFERROR(VLOOKUP(B2379,'נתוני רישום ומצבת'!B:J,3,0),""),"")</f>
        <v/>
      </c>
      <c r="D2379" s="693"/>
      <c r="E2379" s="697"/>
      <c r="F2379" s="695"/>
      <c r="G2379" s="696"/>
      <c r="K2379" s="22" t="str">
        <f t="shared" si="73"/>
        <v/>
      </c>
      <c r="M2379" s="534" t="str">
        <f t="shared" si="72"/>
        <v/>
      </c>
    </row>
    <row r="2380" spans="2:13" ht="15.75" x14ac:dyDescent="0.25">
      <c r="B2380" s="692"/>
      <c r="C2380" s="117" t="str">
        <f>IF(ISNUMBER(B2380),IFERROR(VLOOKUP(B2380,'נתוני רישום ומצבת'!B:J,3,0),""),"")</f>
        <v/>
      </c>
      <c r="D2380" s="693"/>
      <c r="E2380" s="697"/>
      <c r="F2380" s="695"/>
      <c r="G2380" s="696"/>
      <c r="K2380" s="22" t="str">
        <f t="shared" si="73"/>
        <v/>
      </c>
      <c r="M2380" s="534" t="str">
        <f t="shared" si="72"/>
        <v/>
      </c>
    </row>
    <row r="2381" spans="2:13" ht="15.75" x14ac:dyDescent="0.25">
      <c r="B2381" s="692"/>
      <c r="C2381" s="117" t="str">
        <f>IF(ISNUMBER(B2381),IFERROR(VLOOKUP(B2381,'נתוני רישום ומצבת'!B:J,3,0),""),"")</f>
        <v/>
      </c>
      <c r="D2381" s="693"/>
      <c r="E2381" s="697"/>
      <c r="F2381" s="695"/>
      <c r="G2381" s="696"/>
      <c r="K2381" s="22" t="str">
        <f t="shared" si="73"/>
        <v/>
      </c>
      <c r="M2381" s="534" t="str">
        <f t="shared" si="72"/>
        <v/>
      </c>
    </row>
    <row r="2382" spans="2:13" ht="15.75" x14ac:dyDescent="0.25">
      <c r="B2382" s="692"/>
      <c r="C2382" s="117" t="str">
        <f>IF(ISNUMBER(B2382),IFERROR(VLOOKUP(B2382,'נתוני רישום ומצבת'!B:J,3,0),""),"")</f>
        <v/>
      </c>
      <c r="D2382" s="693"/>
      <c r="E2382" s="697"/>
      <c r="F2382" s="695"/>
      <c r="G2382" s="696"/>
      <c r="K2382" s="22" t="str">
        <f t="shared" si="73"/>
        <v/>
      </c>
      <c r="M2382" s="534" t="str">
        <f t="shared" si="72"/>
        <v/>
      </c>
    </row>
    <row r="2383" spans="2:13" ht="15.75" x14ac:dyDescent="0.25">
      <c r="B2383" s="692"/>
      <c r="C2383" s="117" t="str">
        <f>IF(ISNUMBER(B2383),IFERROR(VLOOKUP(B2383,'נתוני רישום ומצבת'!B:J,3,0),""),"")</f>
        <v/>
      </c>
      <c r="D2383" s="693"/>
      <c r="E2383" s="697"/>
      <c r="F2383" s="695"/>
      <c r="G2383" s="696"/>
      <c r="K2383" s="22" t="str">
        <f t="shared" si="73"/>
        <v/>
      </c>
      <c r="M2383" s="534" t="str">
        <f t="shared" si="72"/>
        <v/>
      </c>
    </row>
    <row r="2384" spans="2:13" ht="15.75" x14ac:dyDescent="0.25">
      <c r="B2384" s="692"/>
      <c r="C2384" s="117" t="str">
        <f>IF(ISNUMBER(B2384),IFERROR(VLOOKUP(B2384,'נתוני רישום ומצבת'!B:J,3,0),""),"")</f>
        <v/>
      </c>
      <c r="D2384" s="693"/>
      <c r="E2384" s="697"/>
      <c r="F2384" s="695"/>
      <c r="G2384" s="696"/>
      <c r="K2384" s="22" t="str">
        <f t="shared" si="73"/>
        <v/>
      </c>
      <c r="M2384" s="534" t="str">
        <f t="shared" si="72"/>
        <v/>
      </c>
    </row>
    <row r="2385" spans="2:13" ht="15.75" x14ac:dyDescent="0.25">
      <c r="B2385" s="692"/>
      <c r="C2385" s="117" t="str">
        <f>IF(ISNUMBER(B2385),IFERROR(VLOOKUP(B2385,'נתוני רישום ומצבת'!B:J,3,0),""),"")</f>
        <v/>
      </c>
      <c r="D2385" s="693"/>
      <c r="E2385" s="697"/>
      <c r="F2385" s="695"/>
      <c r="G2385" s="696"/>
      <c r="K2385" s="22" t="str">
        <f t="shared" si="73"/>
        <v/>
      </c>
      <c r="M2385" s="534" t="str">
        <f t="shared" ref="M2385:M2448" si="74">TEXT(LEFT(D2385,2),0)</f>
        <v/>
      </c>
    </row>
    <row r="2386" spans="2:13" ht="15.75" x14ac:dyDescent="0.25">
      <c r="B2386" s="692"/>
      <c r="C2386" s="117" t="str">
        <f>IF(ISNUMBER(B2386),IFERROR(VLOOKUP(B2386,'נתוני רישום ומצבת'!B:J,3,0),""),"")</f>
        <v/>
      </c>
      <c r="D2386" s="693"/>
      <c r="E2386" s="697"/>
      <c r="F2386" s="695"/>
      <c r="G2386" s="696"/>
      <c r="K2386" s="22" t="str">
        <f t="shared" si="73"/>
        <v/>
      </c>
      <c r="M2386" s="534" t="str">
        <f t="shared" si="74"/>
        <v/>
      </c>
    </row>
    <row r="2387" spans="2:13" ht="15.75" x14ac:dyDescent="0.25">
      <c r="B2387" s="692"/>
      <c r="C2387" s="117" t="str">
        <f>IF(ISNUMBER(B2387),IFERROR(VLOOKUP(B2387,'נתוני רישום ומצבת'!B:J,3,0),""),"")</f>
        <v/>
      </c>
      <c r="D2387" s="693"/>
      <c r="E2387" s="697"/>
      <c r="F2387" s="695"/>
      <c r="G2387" s="696"/>
      <c r="K2387" s="22" t="str">
        <f t="shared" si="73"/>
        <v/>
      </c>
      <c r="M2387" s="534" t="str">
        <f t="shared" si="74"/>
        <v/>
      </c>
    </row>
    <row r="2388" spans="2:13" ht="15.75" x14ac:dyDescent="0.25">
      <c r="B2388" s="692"/>
      <c r="C2388" s="117" t="str">
        <f>IF(ISNUMBER(B2388),IFERROR(VLOOKUP(B2388,'נתוני רישום ומצבת'!B:J,3,0),""),"")</f>
        <v/>
      </c>
      <c r="D2388" s="693"/>
      <c r="E2388" s="697"/>
      <c r="F2388" s="695"/>
      <c r="G2388" s="696"/>
      <c r="K2388" s="22" t="str">
        <f t="shared" si="73"/>
        <v/>
      </c>
      <c r="M2388" s="534" t="str">
        <f t="shared" si="74"/>
        <v/>
      </c>
    </row>
    <row r="2389" spans="2:13" ht="15.75" x14ac:dyDescent="0.25">
      <c r="B2389" s="692"/>
      <c r="C2389" s="117" t="str">
        <f>IF(ISNUMBER(B2389),IFERROR(VLOOKUP(B2389,'נתוני רישום ומצבת'!B:J,3,0),""),"")</f>
        <v/>
      </c>
      <c r="D2389" s="693"/>
      <c r="E2389" s="697"/>
      <c r="F2389" s="695"/>
      <c r="G2389" s="696"/>
      <c r="K2389" s="22" t="str">
        <f t="shared" ref="K2389:K2452" si="75">IF(C2376&lt;5,IF(D2389=$F$8,-E2389," "),"")</f>
        <v/>
      </c>
      <c r="M2389" s="534" t="str">
        <f t="shared" si="74"/>
        <v/>
      </c>
    </row>
    <row r="2390" spans="2:13" ht="15.75" x14ac:dyDescent="0.25">
      <c r="B2390" s="692"/>
      <c r="C2390" s="117" t="str">
        <f>IF(ISNUMBER(B2390),IFERROR(VLOOKUP(B2390,'נתוני רישום ומצבת'!B:J,3,0),""),"")</f>
        <v/>
      </c>
      <c r="D2390" s="693"/>
      <c r="E2390" s="697"/>
      <c r="F2390" s="695"/>
      <c r="G2390" s="696"/>
      <c r="K2390" s="22" t="str">
        <f t="shared" si="75"/>
        <v/>
      </c>
      <c r="M2390" s="534" t="str">
        <f t="shared" si="74"/>
        <v/>
      </c>
    </row>
    <row r="2391" spans="2:13" ht="15.75" x14ac:dyDescent="0.25">
      <c r="B2391" s="692"/>
      <c r="C2391" s="117" t="str">
        <f>IF(ISNUMBER(B2391),IFERROR(VLOOKUP(B2391,'נתוני רישום ומצבת'!B:J,3,0),""),"")</f>
        <v/>
      </c>
      <c r="D2391" s="693"/>
      <c r="E2391" s="697"/>
      <c r="F2391" s="695"/>
      <c r="G2391" s="696"/>
      <c r="K2391" s="22" t="str">
        <f t="shared" si="75"/>
        <v/>
      </c>
      <c r="M2391" s="534" t="str">
        <f t="shared" si="74"/>
        <v/>
      </c>
    </row>
    <row r="2392" spans="2:13" ht="15.75" x14ac:dyDescent="0.25">
      <c r="B2392" s="692"/>
      <c r="C2392" s="117" t="str">
        <f>IF(ISNUMBER(B2392),IFERROR(VLOOKUP(B2392,'נתוני רישום ומצבת'!B:J,3,0),""),"")</f>
        <v/>
      </c>
      <c r="D2392" s="693"/>
      <c r="E2392" s="697"/>
      <c r="F2392" s="695"/>
      <c r="G2392" s="696"/>
      <c r="K2392" s="22" t="str">
        <f t="shared" si="75"/>
        <v/>
      </c>
      <c r="M2392" s="534" t="str">
        <f t="shared" si="74"/>
        <v/>
      </c>
    </row>
    <row r="2393" spans="2:13" ht="15.75" x14ac:dyDescent="0.25">
      <c r="B2393" s="692"/>
      <c r="C2393" s="117" t="str">
        <f>IF(ISNUMBER(B2393),IFERROR(VLOOKUP(B2393,'נתוני רישום ומצבת'!B:J,3,0),""),"")</f>
        <v/>
      </c>
      <c r="D2393" s="693"/>
      <c r="E2393" s="697"/>
      <c r="F2393" s="695"/>
      <c r="G2393" s="696"/>
      <c r="K2393" s="22" t="str">
        <f t="shared" si="75"/>
        <v/>
      </c>
      <c r="M2393" s="534" t="str">
        <f t="shared" si="74"/>
        <v/>
      </c>
    </row>
    <row r="2394" spans="2:13" ht="15.75" x14ac:dyDescent="0.25">
      <c r="B2394" s="692"/>
      <c r="C2394" s="117" t="str">
        <f>IF(ISNUMBER(B2394),IFERROR(VLOOKUP(B2394,'נתוני רישום ומצבת'!B:J,3,0),""),"")</f>
        <v/>
      </c>
      <c r="D2394" s="693"/>
      <c r="E2394" s="697"/>
      <c r="F2394" s="695"/>
      <c r="G2394" s="696"/>
      <c r="K2394" s="22" t="str">
        <f t="shared" si="75"/>
        <v/>
      </c>
      <c r="M2394" s="534" t="str">
        <f t="shared" si="74"/>
        <v/>
      </c>
    </row>
    <row r="2395" spans="2:13" ht="15.75" x14ac:dyDescent="0.25">
      <c r="B2395" s="692"/>
      <c r="C2395" s="117" t="str">
        <f>IF(ISNUMBER(B2395),IFERROR(VLOOKUP(B2395,'נתוני רישום ומצבת'!B:J,3,0),""),"")</f>
        <v/>
      </c>
      <c r="D2395" s="693"/>
      <c r="E2395" s="697"/>
      <c r="F2395" s="695"/>
      <c r="G2395" s="696"/>
      <c r="K2395" s="22" t="str">
        <f t="shared" si="75"/>
        <v/>
      </c>
      <c r="M2395" s="534" t="str">
        <f t="shared" si="74"/>
        <v/>
      </c>
    </row>
    <row r="2396" spans="2:13" ht="15.75" x14ac:dyDescent="0.25">
      <c r="B2396" s="692"/>
      <c r="C2396" s="117" t="str">
        <f>IF(ISNUMBER(B2396),IFERROR(VLOOKUP(B2396,'נתוני רישום ומצבת'!B:J,3,0),""),"")</f>
        <v/>
      </c>
      <c r="D2396" s="693"/>
      <c r="E2396" s="697"/>
      <c r="F2396" s="695"/>
      <c r="G2396" s="696"/>
      <c r="K2396" s="22" t="str">
        <f t="shared" si="75"/>
        <v/>
      </c>
      <c r="M2396" s="534" t="str">
        <f t="shared" si="74"/>
        <v/>
      </c>
    </row>
    <row r="2397" spans="2:13" ht="15.75" x14ac:dyDescent="0.25">
      <c r="B2397" s="692"/>
      <c r="C2397" s="117" t="str">
        <f>IF(ISNUMBER(B2397),IFERROR(VLOOKUP(B2397,'נתוני רישום ומצבת'!B:J,3,0),""),"")</f>
        <v/>
      </c>
      <c r="D2397" s="693"/>
      <c r="E2397" s="697"/>
      <c r="F2397" s="695"/>
      <c r="G2397" s="696"/>
      <c r="K2397" s="22" t="str">
        <f t="shared" si="75"/>
        <v/>
      </c>
      <c r="M2397" s="534" t="str">
        <f t="shared" si="74"/>
        <v/>
      </c>
    </row>
    <row r="2398" spans="2:13" ht="15.75" x14ac:dyDescent="0.25">
      <c r="B2398" s="692"/>
      <c r="C2398" s="117" t="str">
        <f>IF(ISNUMBER(B2398),IFERROR(VLOOKUP(B2398,'נתוני רישום ומצבת'!B:J,3,0),""),"")</f>
        <v/>
      </c>
      <c r="D2398" s="693"/>
      <c r="E2398" s="697"/>
      <c r="F2398" s="695"/>
      <c r="G2398" s="696"/>
      <c r="K2398" s="22" t="str">
        <f t="shared" si="75"/>
        <v/>
      </c>
      <c r="M2398" s="534" t="str">
        <f t="shared" si="74"/>
        <v/>
      </c>
    </row>
    <row r="2399" spans="2:13" ht="15.75" x14ac:dyDescent="0.25">
      <c r="B2399" s="692"/>
      <c r="C2399" s="117" t="str">
        <f>IF(ISNUMBER(B2399),IFERROR(VLOOKUP(B2399,'נתוני רישום ומצבת'!B:J,3,0),""),"")</f>
        <v/>
      </c>
      <c r="D2399" s="693"/>
      <c r="E2399" s="697"/>
      <c r="F2399" s="695"/>
      <c r="G2399" s="696"/>
      <c r="K2399" s="22" t="str">
        <f t="shared" si="75"/>
        <v/>
      </c>
      <c r="M2399" s="534" t="str">
        <f t="shared" si="74"/>
        <v/>
      </c>
    </row>
    <row r="2400" spans="2:13" ht="15.75" x14ac:dyDescent="0.25">
      <c r="B2400" s="692"/>
      <c r="C2400" s="117" t="str">
        <f>IF(ISNUMBER(B2400),IFERROR(VLOOKUP(B2400,'נתוני רישום ומצבת'!B:J,3,0),""),"")</f>
        <v/>
      </c>
      <c r="D2400" s="693"/>
      <c r="E2400" s="697"/>
      <c r="F2400" s="695"/>
      <c r="G2400" s="696"/>
      <c r="K2400" s="22" t="str">
        <f t="shared" si="75"/>
        <v/>
      </c>
      <c r="M2400" s="534" t="str">
        <f t="shared" si="74"/>
        <v/>
      </c>
    </row>
    <row r="2401" spans="2:13" ht="15.75" x14ac:dyDescent="0.25">
      <c r="B2401" s="692"/>
      <c r="C2401" s="117" t="str">
        <f>IF(ISNUMBER(B2401),IFERROR(VLOOKUP(B2401,'נתוני רישום ומצבת'!B:J,3,0),""),"")</f>
        <v/>
      </c>
      <c r="D2401" s="693"/>
      <c r="E2401" s="697"/>
      <c r="F2401" s="695"/>
      <c r="G2401" s="696"/>
      <c r="K2401" s="22" t="str">
        <f t="shared" si="75"/>
        <v/>
      </c>
      <c r="M2401" s="534" t="str">
        <f t="shared" si="74"/>
        <v/>
      </c>
    </row>
    <row r="2402" spans="2:13" ht="15.75" x14ac:dyDescent="0.25">
      <c r="B2402" s="692"/>
      <c r="C2402" s="117" t="str">
        <f>IF(ISNUMBER(B2402),IFERROR(VLOOKUP(B2402,'נתוני רישום ומצבת'!B:J,3,0),""),"")</f>
        <v/>
      </c>
      <c r="D2402" s="693"/>
      <c r="E2402" s="697"/>
      <c r="F2402" s="695"/>
      <c r="G2402" s="696"/>
      <c r="K2402" s="22" t="str">
        <f t="shared" si="75"/>
        <v/>
      </c>
      <c r="M2402" s="534" t="str">
        <f t="shared" si="74"/>
        <v/>
      </c>
    </row>
    <row r="2403" spans="2:13" ht="15.75" x14ac:dyDescent="0.25">
      <c r="B2403" s="692"/>
      <c r="C2403" s="117" t="str">
        <f>IF(ISNUMBER(B2403),IFERROR(VLOOKUP(B2403,'נתוני רישום ומצבת'!B:J,3,0),""),"")</f>
        <v/>
      </c>
      <c r="D2403" s="693"/>
      <c r="E2403" s="697"/>
      <c r="F2403" s="695"/>
      <c r="G2403" s="696"/>
      <c r="K2403" s="22" t="str">
        <f t="shared" si="75"/>
        <v/>
      </c>
      <c r="M2403" s="534" t="str">
        <f t="shared" si="74"/>
        <v/>
      </c>
    </row>
    <row r="2404" spans="2:13" ht="15.75" x14ac:dyDescent="0.25">
      <c r="B2404" s="692"/>
      <c r="C2404" s="117" t="str">
        <f>IF(ISNUMBER(B2404),IFERROR(VLOOKUP(B2404,'נתוני רישום ומצבת'!B:J,3,0),""),"")</f>
        <v/>
      </c>
      <c r="D2404" s="693"/>
      <c r="E2404" s="697"/>
      <c r="F2404" s="695"/>
      <c r="G2404" s="696"/>
      <c r="K2404" s="22" t="str">
        <f t="shared" si="75"/>
        <v/>
      </c>
      <c r="M2404" s="534" t="str">
        <f t="shared" si="74"/>
        <v/>
      </c>
    </row>
    <row r="2405" spans="2:13" ht="15.75" x14ac:dyDescent="0.25">
      <c r="B2405" s="692"/>
      <c r="C2405" s="117" t="str">
        <f>IF(ISNUMBER(B2405),IFERROR(VLOOKUP(B2405,'נתוני רישום ומצבת'!B:J,3,0),""),"")</f>
        <v/>
      </c>
      <c r="D2405" s="693"/>
      <c r="E2405" s="697"/>
      <c r="F2405" s="695"/>
      <c r="G2405" s="696"/>
      <c r="K2405" s="22" t="str">
        <f t="shared" si="75"/>
        <v/>
      </c>
      <c r="M2405" s="534" t="str">
        <f t="shared" si="74"/>
        <v/>
      </c>
    </row>
    <row r="2406" spans="2:13" ht="15.75" x14ac:dyDescent="0.25">
      <c r="B2406" s="692"/>
      <c r="C2406" s="117" t="str">
        <f>IF(ISNUMBER(B2406),IFERROR(VLOOKUP(B2406,'נתוני רישום ומצבת'!B:J,3,0),""),"")</f>
        <v/>
      </c>
      <c r="D2406" s="693"/>
      <c r="E2406" s="697"/>
      <c r="F2406" s="695"/>
      <c r="G2406" s="696"/>
      <c r="K2406" s="22" t="str">
        <f t="shared" si="75"/>
        <v/>
      </c>
      <c r="M2406" s="534" t="str">
        <f t="shared" si="74"/>
        <v/>
      </c>
    </row>
    <row r="2407" spans="2:13" ht="15.75" x14ac:dyDescent="0.25">
      <c r="B2407" s="692"/>
      <c r="C2407" s="117" t="str">
        <f>IF(ISNUMBER(B2407),IFERROR(VLOOKUP(B2407,'נתוני רישום ומצבת'!B:J,3,0),""),"")</f>
        <v/>
      </c>
      <c r="D2407" s="693"/>
      <c r="E2407" s="697"/>
      <c r="F2407" s="695"/>
      <c r="G2407" s="696"/>
      <c r="K2407" s="22" t="str">
        <f t="shared" si="75"/>
        <v/>
      </c>
      <c r="M2407" s="534" t="str">
        <f t="shared" si="74"/>
        <v/>
      </c>
    </row>
    <row r="2408" spans="2:13" ht="15.75" x14ac:dyDescent="0.25">
      <c r="B2408" s="692"/>
      <c r="C2408" s="117" t="str">
        <f>IF(ISNUMBER(B2408),IFERROR(VLOOKUP(B2408,'נתוני רישום ומצבת'!B:J,3,0),""),"")</f>
        <v/>
      </c>
      <c r="D2408" s="693"/>
      <c r="E2408" s="697"/>
      <c r="F2408" s="695"/>
      <c r="G2408" s="696"/>
      <c r="K2408" s="22" t="str">
        <f t="shared" si="75"/>
        <v/>
      </c>
      <c r="M2408" s="534" t="str">
        <f t="shared" si="74"/>
        <v/>
      </c>
    </row>
    <row r="2409" spans="2:13" ht="15.75" x14ac:dyDescent="0.25">
      <c r="B2409" s="692"/>
      <c r="C2409" s="117" t="str">
        <f>IF(ISNUMBER(B2409),IFERROR(VLOOKUP(B2409,'נתוני רישום ומצבת'!B:J,3,0),""),"")</f>
        <v/>
      </c>
      <c r="D2409" s="693"/>
      <c r="E2409" s="697"/>
      <c r="F2409" s="695"/>
      <c r="G2409" s="696"/>
      <c r="K2409" s="22" t="str">
        <f t="shared" si="75"/>
        <v/>
      </c>
      <c r="M2409" s="534" t="str">
        <f t="shared" si="74"/>
        <v/>
      </c>
    </row>
    <row r="2410" spans="2:13" ht="15.75" x14ac:dyDescent="0.25">
      <c r="B2410" s="692"/>
      <c r="C2410" s="117" t="str">
        <f>IF(ISNUMBER(B2410),IFERROR(VLOOKUP(B2410,'נתוני רישום ומצבת'!B:J,3,0),""),"")</f>
        <v/>
      </c>
      <c r="D2410" s="693"/>
      <c r="E2410" s="697"/>
      <c r="F2410" s="695"/>
      <c r="G2410" s="696"/>
      <c r="K2410" s="22" t="str">
        <f t="shared" si="75"/>
        <v/>
      </c>
      <c r="M2410" s="534" t="str">
        <f t="shared" si="74"/>
        <v/>
      </c>
    </row>
    <row r="2411" spans="2:13" ht="15.75" x14ac:dyDescent="0.25">
      <c r="B2411" s="692"/>
      <c r="C2411" s="117" t="str">
        <f>IF(ISNUMBER(B2411),IFERROR(VLOOKUP(B2411,'נתוני רישום ומצבת'!B:J,3,0),""),"")</f>
        <v/>
      </c>
      <c r="D2411" s="693"/>
      <c r="E2411" s="697"/>
      <c r="F2411" s="695"/>
      <c r="G2411" s="696"/>
      <c r="K2411" s="22" t="str">
        <f t="shared" si="75"/>
        <v/>
      </c>
      <c r="M2411" s="534" t="str">
        <f t="shared" si="74"/>
        <v/>
      </c>
    </row>
    <row r="2412" spans="2:13" ht="15.75" x14ac:dyDescent="0.25">
      <c r="B2412" s="692"/>
      <c r="C2412" s="117" t="str">
        <f>IF(ISNUMBER(B2412),IFERROR(VLOOKUP(B2412,'נתוני רישום ומצבת'!B:J,3,0),""),"")</f>
        <v/>
      </c>
      <c r="D2412" s="693"/>
      <c r="E2412" s="697"/>
      <c r="F2412" s="695"/>
      <c r="G2412" s="696"/>
      <c r="K2412" s="22" t="str">
        <f t="shared" si="75"/>
        <v/>
      </c>
      <c r="M2412" s="534" t="str">
        <f t="shared" si="74"/>
        <v/>
      </c>
    </row>
    <row r="2413" spans="2:13" ht="15.75" x14ac:dyDescent="0.25">
      <c r="B2413" s="692"/>
      <c r="C2413" s="117" t="str">
        <f>IF(ISNUMBER(B2413),IFERROR(VLOOKUP(B2413,'נתוני רישום ומצבת'!B:J,3,0),""),"")</f>
        <v/>
      </c>
      <c r="D2413" s="693"/>
      <c r="E2413" s="697"/>
      <c r="F2413" s="695"/>
      <c r="G2413" s="696"/>
      <c r="K2413" s="22" t="str">
        <f t="shared" si="75"/>
        <v/>
      </c>
      <c r="M2413" s="534" t="str">
        <f t="shared" si="74"/>
        <v/>
      </c>
    </row>
    <row r="2414" spans="2:13" ht="15.75" x14ac:dyDescent="0.25">
      <c r="B2414" s="692"/>
      <c r="C2414" s="117" t="str">
        <f>IF(ISNUMBER(B2414),IFERROR(VLOOKUP(B2414,'נתוני רישום ומצבת'!B:J,3,0),""),"")</f>
        <v/>
      </c>
      <c r="D2414" s="693"/>
      <c r="E2414" s="697"/>
      <c r="F2414" s="695"/>
      <c r="G2414" s="696"/>
      <c r="K2414" s="22" t="str">
        <f t="shared" si="75"/>
        <v/>
      </c>
      <c r="M2414" s="534" t="str">
        <f t="shared" si="74"/>
        <v/>
      </c>
    </row>
    <row r="2415" spans="2:13" ht="15.75" x14ac:dyDescent="0.25">
      <c r="B2415" s="692"/>
      <c r="C2415" s="117" t="str">
        <f>IF(ISNUMBER(B2415),IFERROR(VLOOKUP(B2415,'נתוני רישום ומצבת'!B:J,3,0),""),"")</f>
        <v/>
      </c>
      <c r="D2415" s="693"/>
      <c r="E2415" s="697"/>
      <c r="F2415" s="695"/>
      <c r="G2415" s="696"/>
      <c r="K2415" s="22" t="str">
        <f t="shared" si="75"/>
        <v/>
      </c>
      <c r="M2415" s="534" t="str">
        <f t="shared" si="74"/>
        <v/>
      </c>
    </row>
    <row r="2416" spans="2:13" ht="15.75" x14ac:dyDescent="0.25">
      <c r="B2416" s="692"/>
      <c r="C2416" s="117" t="str">
        <f>IF(ISNUMBER(B2416),IFERROR(VLOOKUP(B2416,'נתוני רישום ומצבת'!B:J,3,0),""),"")</f>
        <v/>
      </c>
      <c r="D2416" s="693"/>
      <c r="E2416" s="697"/>
      <c r="F2416" s="695"/>
      <c r="G2416" s="696"/>
      <c r="K2416" s="22" t="str">
        <f t="shared" si="75"/>
        <v/>
      </c>
      <c r="M2416" s="534" t="str">
        <f t="shared" si="74"/>
        <v/>
      </c>
    </row>
    <row r="2417" spans="2:13" ht="15.75" x14ac:dyDescent="0.25">
      <c r="B2417" s="692"/>
      <c r="C2417" s="117" t="str">
        <f>IF(ISNUMBER(B2417),IFERROR(VLOOKUP(B2417,'נתוני רישום ומצבת'!B:J,3,0),""),"")</f>
        <v/>
      </c>
      <c r="D2417" s="693"/>
      <c r="E2417" s="697"/>
      <c r="F2417" s="695"/>
      <c r="G2417" s="696"/>
      <c r="K2417" s="22" t="str">
        <f t="shared" si="75"/>
        <v/>
      </c>
      <c r="M2417" s="534" t="str">
        <f t="shared" si="74"/>
        <v/>
      </c>
    </row>
    <row r="2418" spans="2:13" ht="15.75" x14ac:dyDescent="0.25">
      <c r="B2418" s="692"/>
      <c r="C2418" s="117" t="str">
        <f>IF(ISNUMBER(B2418),IFERROR(VLOOKUP(B2418,'נתוני רישום ומצבת'!B:J,3,0),""),"")</f>
        <v/>
      </c>
      <c r="D2418" s="693"/>
      <c r="E2418" s="697"/>
      <c r="F2418" s="695"/>
      <c r="G2418" s="696"/>
      <c r="K2418" s="22" t="str">
        <f t="shared" si="75"/>
        <v/>
      </c>
      <c r="M2418" s="534" t="str">
        <f t="shared" si="74"/>
        <v/>
      </c>
    </row>
    <row r="2419" spans="2:13" ht="15.75" x14ac:dyDescent="0.25">
      <c r="B2419" s="692"/>
      <c r="C2419" s="117" t="str">
        <f>IF(ISNUMBER(B2419),IFERROR(VLOOKUP(B2419,'נתוני רישום ומצבת'!B:J,3,0),""),"")</f>
        <v/>
      </c>
      <c r="D2419" s="693"/>
      <c r="E2419" s="697"/>
      <c r="F2419" s="695"/>
      <c r="G2419" s="696"/>
      <c r="K2419" s="22" t="str">
        <f t="shared" si="75"/>
        <v/>
      </c>
      <c r="M2419" s="534" t="str">
        <f t="shared" si="74"/>
        <v/>
      </c>
    </row>
    <row r="2420" spans="2:13" ht="15.75" x14ac:dyDescent="0.25">
      <c r="B2420" s="692"/>
      <c r="C2420" s="117" t="str">
        <f>IF(ISNUMBER(B2420),IFERROR(VLOOKUP(B2420,'נתוני רישום ומצבת'!B:J,3,0),""),"")</f>
        <v/>
      </c>
      <c r="D2420" s="693"/>
      <c r="E2420" s="697"/>
      <c r="F2420" s="695"/>
      <c r="G2420" s="696"/>
      <c r="K2420" s="22" t="str">
        <f t="shared" si="75"/>
        <v/>
      </c>
      <c r="M2420" s="534" t="str">
        <f t="shared" si="74"/>
        <v/>
      </c>
    </row>
    <row r="2421" spans="2:13" ht="15.75" x14ac:dyDescent="0.25">
      <c r="B2421" s="692"/>
      <c r="C2421" s="117" t="str">
        <f>IF(ISNUMBER(B2421),IFERROR(VLOOKUP(B2421,'נתוני רישום ומצבת'!B:J,3,0),""),"")</f>
        <v/>
      </c>
      <c r="D2421" s="693"/>
      <c r="E2421" s="697"/>
      <c r="F2421" s="695"/>
      <c r="G2421" s="696"/>
      <c r="K2421" s="22" t="str">
        <f t="shared" si="75"/>
        <v/>
      </c>
      <c r="M2421" s="534" t="str">
        <f t="shared" si="74"/>
        <v/>
      </c>
    </row>
    <row r="2422" spans="2:13" ht="15.75" x14ac:dyDescent="0.25">
      <c r="B2422" s="692"/>
      <c r="C2422" s="117" t="str">
        <f>IF(ISNUMBER(B2422),IFERROR(VLOOKUP(B2422,'נתוני רישום ומצבת'!B:J,3,0),""),"")</f>
        <v/>
      </c>
      <c r="D2422" s="693"/>
      <c r="E2422" s="697"/>
      <c r="F2422" s="695"/>
      <c r="G2422" s="696"/>
      <c r="K2422" s="22" t="str">
        <f t="shared" si="75"/>
        <v/>
      </c>
      <c r="M2422" s="534" t="str">
        <f t="shared" si="74"/>
        <v/>
      </c>
    </row>
    <row r="2423" spans="2:13" ht="15.75" x14ac:dyDescent="0.25">
      <c r="B2423" s="692"/>
      <c r="C2423" s="117" t="str">
        <f>IF(ISNUMBER(B2423),IFERROR(VLOOKUP(B2423,'נתוני רישום ומצבת'!B:J,3,0),""),"")</f>
        <v/>
      </c>
      <c r="D2423" s="693"/>
      <c r="E2423" s="697"/>
      <c r="F2423" s="695"/>
      <c r="G2423" s="696"/>
      <c r="K2423" s="22" t="str">
        <f t="shared" si="75"/>
        <v/>
      </c>
      <c r="M2423" s="534" t="str">
        <f t="shared" si="74"/>
        <v/>
      </c>
    </row>
    <row r="2424" spans="2:13" ht="15.75" x14ac:dyDescent="0.25">
      <c r="B2424" s="692"/>
      <c r="C2424" s="117" t="str">
        <f>IF(ISNUMBER(B2424),IFERROR(VLOOKUP(B2424,'נתוני רישום ומצבת'!B:J,3,0),""),"")</f>
        <v/>
      </c>
      <c r="D2424" s="693"/>
      <c r="E2424" s="697"/>
      <c r="F2424" s="695"/>
      <c r="G2424" s="696"/>
      <c r="K2424" s="22" t="str">
        <f t="shared" si="75"/>
        <v/>
      </c>
      <c r="M2424" s="534" t="str">
        <f t="shared" si="74"/>
        <v/>
      </c>
    </row>
    <row r="2425" spans="2:13" ht="15.75" x14ac:dyDescent="0.25">
      <c r="B2425" s="692"/>
      <c r="C2425" s="117" t="str">
        <f>IF(ISNUMBER(B2425),IFERROR(VLOOKUP(B2425,'נתוני רישום ומצבת'!B:J,3,0),""),"")</f>
        <v/>
      </c>
      <c r="D2425" s="693"/>
      <c r="E2425" s="697"/>
      <c r="F2425" s="695"/>
      <c r="G2425" s="696"/>
      <c r="K2425" s="22" t="str">
        <f t="shared" si="75"/>
        <v/>
      </c>
      <c r="M2425" s="534" t="str">
        <f t="shared" si="74"/>
        <v/>
      </c>
    </row>
    <row r="2426" spans="2:13" ht="15.75" x14ac:dyDescent="0.25">
      <c r="B2426" s="692"/>
      <c r="C2426" s="117" t="str">
        <f>IF(ISNUMBER(B2426),IFERROR(VLOOKUP(B2426,'נתוני רישום ומצבת'!B:J,3,0),""),"")</f>
        <v/>
      </c>
      <c r="D2426" s="693"/>
      <c r="E2426" s="697"/>
      <c r="F2426" s="695"/>
      <c r="G2426" s="696"/>
      <c r="K2426" s="22" t="str">
        <f t="shared" si="75"/>
        <v/>
      </c>
      <c r="M2426" s="534" t="str">
        <f t="shared" si="74"/>
        <v/>
      </c>
    </row>
    <row r="2427" spans="2:13" ht="15.75" x14ac:dyDescent="0.25">
      <c r="B2427" s="692"/>
      <c r="C2427" s="117" t="str">
        <f>IF(ISNUMBER(B2427),IFERROR(VLOOKUP(B2427,'נתוני רישום ומצבת'!B:J,3,0),""),"")</f>
        <v/>
      </c>
      <c r="D2427" s="693"/>
      <c r="E2427" s="697"/>
      <c r="F2427" s="695"/>
      <c r="G2427" s="696"/>
      <c r="K2427" s="22" t="str">
        <f t="shared" si="75"/>
        <v/>
      </c>
      <c r="M2427" s="534" t="str">
        <f t="shared" si="74"/>
        <v/>
      </c>
    </row>
    <row r="2428" spans="2:13" ht="15.75" x14ac:dyDescent="0.25">
      <c r="B2428" s="692"/>
      <c r="C2428" s="117" t="str">
        <f>IF(ISNUMBER(B2428),IFERROR(VLOOKUP(B2428,'נתוני רישום ומצבת'!B:J,3,0),""),"")</f>
        <v/>
      </c>
      <c r="D2428" s="693"/>
      <c r="E2428" s="697"/>
      <c r="F2428" s="695"/>
      <c r="G2428" s="696"/>
      <c r="K2428" s="22" t="str">
        <f t="shared" si="75"/>
        <v/>
      </c>
      <c r="M2428" s="534" t="str">
        <f t="shared" si="74"/>
        <v/>
      </c>
    </row>
    <row r="2429" spans="2:13" ht="15.75" x14ac:dyDescent="0.25">
      <c r="B2429" s="692"/>
      <c r="C2429" s="117" t="str">
        <f>IF(ISNUMBER(B2429),IFERROR(VLOOKUP(B2429,'נתוני רישום ומצבת'!B:J,3,0),""),"")</f>
        <v/>
      </c>
      <c r="D2429" s="693"/>
      <c r="E2429" s="697"/>
      <c r="F2429" s="695"/>
      <c r="G2429" s="696"/>
      <c r="K2429" s="22" t="str">
        <f t="shared" si="75"/>
        <v/>
      </c>
      <c r="M2429" s="534" t="str">
        <f t="shared" si="74"/>
        <v/>
      </c>
    </row>
    <row r="2430" spans="2:13" ht="15.75" x14ac:dyDescent="0.25">
      <c r="B2430" s="692"/>
      <c r="C2430" s="117" t="str">
        <f>IF(ISNUMBER(B2430),IFERROR(VLOOKUP(B2430,'נתוני רישום ומצבת'!B:J,3,0),""),"")</f>
        <v/>
      </c>
      <c r="D2430" s="693"/>
      <c r="E2430" s="697"/>
      <c r="F2430" s="695"/>
      <c r="G2430" s="696"/>
      <c r="K2430" s="22" t="str">
        <f t="shared" si="75"/>
        <v/>
      </c>
      <c r="M2430" s="534" t="str">
        <f t="shared" si="74"/>
        <v/>
      </c>
    </row>
    <row r="2431" spans="2:13" ht="15.75" x14ac:dyDescent="0.25">
      <c r="B2431" s="692"/>
      <c r="C2431" s="117" t="str">
        <f>IF(ISNUMBER(B2431),IFERROR(VLOOKUP(B2431,'נתוני רישום ומצבת'!B:J,3,0),""),"")</f>
        <v/>
      </c>
      <c r="D2431" s="693"/>
      <c r="E2431" s="697"/>
      <c r="F2431" s="695"/>
      <c r="G2431" s="696"/>
      <c r="K2431" s="22" t="str">
        <f t="shared" si="75"/>
        <v/>
      </c>
      <c r="M2431" s="534" t="str">
        <f t="shared" si="74"/>
        <v/>
      </c>
    </row>
    <row r="2432" spans="2:13" ht="15.75" x14ac:dyDescent="0.25">
      <c r="B2432" s="692"/>
      <c r="C2432" s="117" t="str">
        <f>IF(ISNUMBER(B2432),IFERROR(VLOOKUP(B2432,'נתוני רישום ומצבת'!B:J,3,0),""),"")</f>
        <v/>
      </c>
      <c r="D2432" s="693"/>
      <c r="E2432" s="697"/>
      <c r="F2432" s="695"/>
      <c r="G2432" s="696"/>
      <c r="K2432" s="22" t="str">
        <f t="shared" si="75"/>
        <v/>
      </c>
      <c r="M2432" s="534" t="str">
        <f t="shared" si="74"/>
        <v/>
      </c>
    </row>
    <row r="2433" spans="2:13" ht="15.75" x14ac:dyDescent="0.25">
      <c r="B2433" s="692"/>
      <c r="C2433" s="117" t="str">
        <f>IF(ISNUMBER(B2433),IFERROR(VLOOKUP(B2433,'נתוני רישום ומצבת'!B:J,3,0),""),"")</f>
        <v/>
      </c>
      <c r="D2433" s="693"/>
      <c r="E2433" s="697"/>
      <c r="F2433" s="695"/>
      <c r="G2433" s="696"/>
      <c r="K2433" s="22" t="str">
        <f t="shared" si="75"/>
        <v/>
      </c>
      <c r="M2433" s="534" t="str">
        <f t="shared" si="74"/>
        <v/>
      </c>
    </row>
    <row r="2434" spans="2:13" ht="15.75" x14ac:dyDescent="0.25">
      <c r="B2434" s="692"/>
      <c r="C2434" s="117" t="str">
        <f>IF(ISNUMBER(B2434),IFERROR(VLOOKUP(B2434,'נתוני רישום ומצבת'!B:J,3,0),""),"")</f>
        <v/>
      </c>
      <c r="D2434" s="693"/>
      <c r="E2434" s="697"/>
      <c r="F2434" s="695"/>
      <c r="G2434" s="696"/>
      <c r="K2434" s="22" t="str">
        <f t="shared" si="75"/>
        <v/>
      </c>
      <c r="M2434" s="534" t="str">
        <f t="shared" si="74"/>
        <v/>
      </c>
    </row>
    <row r="2435" spans="2:13" ht="15.75" x14ac:dyDescent="0.25">
      <c r="B2435" s="692"/>
      <c r="C2435" s="117" t="str">
        <f>IF(ISNUMBER(B2435),IFERROR(VLOOKUP(B2435,'נתוני רישום ומצבת'!B:J,3,0),""),"")</f>
        <v/>
      </c>
      <c r="D2435" s="693"/>
      <c r="E2435" s="697"/>
      <c r="F2435" s="695"/>
      <c r="G2435" s="696"/>
      <c r="K2435" s="22" t="str">
        <f t="shared" si="75"/>
        <v/>
      </c>
      <c r="M2435" s="534" t="str">
        <f t="shared" si="74"/>
        <v/>
      </c>
    </row>
    <row r="2436" spans="2:13" ht="15.75" x14ac:dyDescent="0.25">
      <c r="B2436" s="692"/>
      <c r="C2436" s="117" t="str">
        <f>IF(ISNUMBER(B2436),IFERROR(VLOOKUP(B2436,'נתוני רישום ומצבת'!B:J,3,0),""),"")</f>
        <v/>
      </c>
      <c r="D2436" s="693"/>
      <c r="E2436" s="697"/>
      <c r="F2436" s="695"/>
      <c r="G2436" s="696"/>
      <c r="K2436" s="22" t="str">
        <f t="shared" si="75"/>
        <v/>
      </c>
      <c r="M2436" s="534" t="str">
        <f t="shared" si="74"/>
        <v/>
      </c>
    </row>
    <row r="2437" spans="2:13" ht="15.75" x14ac:dyDescent="0.25">
      <c r="B2437" s="692"/>
      <c r="C2437" s="117" t="str">
        <f>IF(ISNUMBER(B2437),IFERROR(VLOOKUP(B2437,'נתוני רישום ומצבת'!B:J,3,0),""),"")</f>
        <v/>
      </c>
      <c r="D2437" s="693"/>
      <c r="E2437" s="697"/>
      <c r="F2437" s="695"/>
      <c r="G2437" s="696"/>
      <c r="K2437" s="22" t="str">
        <f t="shared" si="75"/>
        <v/>
      </c>
      <c r="M2437" s="534" t="str">
        <f t="shared" si="74"/>
        <v/>
      </c>
    </row>
    <row r="2438" spans="2:13" ht="15.75" x14ac:dyDescent="0.25">
      <c r="B2438" s="692"/>
      <c r="C2438" s="117" t="str">
        <f>IF(ISNUMBER(B2438),IFERROR(VLOOKUP(B2438,'נתוני רישום ומצבת'!B:J,3,0),""),"")</f>
        <v/>
      </c>
      <c r="D2438" s="693"/>
      <c r="E2438" s="697"/>
      <c r="F2438" s="695"/>
      <c r="G2438" s="696"/>
      <c r="K2438" s="22" t="str">
        <f t="shared" si="75"/>
        <v/>
      </c>
      <c r="M2438" s="534" t="str">
        <f t="shared" si="74"/>
        <v/>
      </c>
    </row>
    <row r="2439" spans="2:13" ht="15.75" x14ac:dyDescent="0.25">
      <c r="B2439" s="692"/>
      <c r="C2439" s="117" t="str">
        <f>IF(ISNUMBER(B2439),IFERROR(VLOOKUP(B2439,'נתוני רישום ומצבת'!B:J,3,0),""),"")</f>
        <v/>
      </c>
      <c r="D2439" s="693"/>
      <c r="E2439" s="697"/>
      <c r="F2439" s="695"/>
      <c r="G2439" s="696"/>
      <c r="K2439" s="22" t="str">
        <f t="shared" si="75"/>
        <v/>
      </c>
      <c r="M2439" s="534" t="str">
        <f t="shared" si="74"/>
        <v/>
      </c>
    </row>
    <row r="2440" spans="2:13" ht="15.75" x14ac:dyDescent="0.25">
      <c r="B2440" s="692"/>
      <c r="C2440" s="117" t="str">
        <f>IF(ISNUMBER(B2440),IFERROR(VLOOKUP(B2440,'נתוני רישום ומצבת'!B:J,3,0),""),"")</f>
        <v/>
      </c>
      <c r="D2440" s="693"/>
      <c r="E2440" s="697"/>
      <c r="F2440" s="695"/>
      <c r="G2440" s="696"/>
      <c r="K2440" s="22" t="str">
        <f t="shared" si="75"/>
        <v/>
      </c>
      <c r="M2440" s="534" t="str">
        <f t="shared" si="74"/>
        <v/>
      </c>
    </row>
    <row r="2441" spans="2:13" ht="15.75" x14ac:dyDescent="0.25">
      <c r="B2441" s="692"/>
      <c r="C2441" s="117" t="str">
        <f>IF(ISNUMBER(B2441),IFERROR(VLOOKUP(B2441,'נתוני רישום ומצבת'!B:J,3,0),""),"")</f>
        <v/>
      </c>
      <c r="D2441" s="693"/>
      <c r="E2441" s="697"/>
      <c r="F2441" s="695"/>
      <c r="G2441" s="696"/>
      <c r="K2441" s="22" t="str">
        <f t="shared" si="75"/>
        <v/>
      </c>
      <c r="M2441" s="534" t="str">
        <f t="shared" si="74"/>
        <v/>
      </c>
    </row>
    <row r="2442" spans="2:13" ht="15.75" x14ac:dyDescent="0.25">
      <c r="B2442" s="692"/>
      <c r="C2442" s="117" t="str">
        <f>IF(ISNUMBER(B2442),IFERROR(VLOOKUP(B2442,'נתוני רישום ומצבת'!B:J,3,0),""),"")</f>
        <v/>
      </c>
      <c r="D2442" s="693"/>
      <c r="E2442" s="697"/>
      <c r="F2442" s="695"/>
      <c r="G2442" s="696"/>
      <c r="K2442" s="22" t="str">
        <f t="shared" si="75"/>
        <v/>
      </c>
      <c r="M2442" s="534" t="str">
        <f t="shared" si="74"/>
        <v/>
      </c>
    </row>
    <row r="2443" spans="2:13" ht="15.75" x14ac:dyDescent="0.25">
      <c r="B2443" s="692"/>
      <c r="C2443" s="117" t="str">
        <f>IF(ISNUMBER(B2443),IFERROR(VLOOKUP(B2443,'נתוני רישום ומצבת'!B:J,3,0),""),"")</f>
        <v/>
      </c>
      <c r="D2443" s="693"/>
      <c r="E2443" s="697"/>
      <c r="F2443" s="695"/>
      <c r="G2443" s="696"/>
      <c r="K2443" s="22" t="str">
        <f t="shared" si="75"/>
        <v/>
      </c>
      <c r="M2443" s="534" t="str">
        <f t="shared" si="74"/>
        <v/>
      </c>
    </row>
    <row r="2444" spans="2:13" ht="15.75" x14ac:dyDescent="0.25">
      <c r="B2444" s="692"/>
      <c r="C2444" s="117" t="str">
        <f>IF(ISNUMBER(B2444),IFERROR(VLOOKUP(B2444,'נתוני רישום ומצבת'!B:J,3,0),""),"")</f>
        <v/>
      </c>
      <c r="D2444" s="693"/>
      <c r="E2444" s="697"/>
      <c r="F2444" s="695"/>
      <c r="G2444" s="696"/>
      <c r="K2444" s="22" t="str">
        <f t="shared" si="75"/>
        <v/>
      </c>
      <c r="M2444" s="534" t="str">
        <f t="shared" si="74"/>
        <v/>
      </c>
    </row>
    <row r="2445" spans="2:13" ht="15.75" x14ac:dyDescent="0.25">
      <c r="B2445" s="692"/>
      <c r="C2445" s="117" t="str">
        <f>IF(ISNUMBER(B2445),IFERROR(VLOOKUP(B2445,'נתוני רישום ומצבת'!B:J,3,0),""),"")</f>
        <v/>
      </c>
      <c r="D2445" s="693"/>
      <c r="E2445" s="697"/>
      <c r="F2445" s="695"/>
      <c r="G2445" s="696"/>
      <c r="K2445" s="22" t="str">
        <f t="shared" si="75"/>
        <v/>
      </c>
      <c r="M2445" s="534" t="str">
        <f t="shared" si="74"/>
        <v/>
      </c>
    </row>
    <row r="2446" spans="2:13" ht="15.75" x14ac:dyDescent="0.25">
      <c r="B2446" s="692"/>
      <c r="C2446" s="117" t="str">
        <f>IF(ISNUMBER(B2446),IFERROR(VLOOKUP(B2446,'נתוני רישום ומצבת'!B:J,3,0),""),"")</f>
        <v/>
      </c>
      <c r="D2446" s="693"/>
      <c r="E2446" s="697"/>
      <c r="F2446" s="695"/>
      <c r="G2446" s="696"/>
      <c r="K2446" s="22" t="str">
        <f t="shared" si="75"/>
        <v/>
      </c>
      <c r="M2446" s="534" t="str">
        <f t="shared" si="74"/>
        <v/>
      </c>
    </row>
    <row r="2447" spans="2:13" ht="15.75" x14ac:dyDescent="0.25">
      <c r="B2447" s="692"/>
      <c r="C2447" s="117" t="str">
        <f>IF(ISNUMBER(B2447),IFERROR(VLOOKUP(B2447,'נתוני רישום ומצבת'!B:J,3,0),""),"")</f>
        <v/>
      </c>
      <c r="D2447" s="693"/>
      <c r="E2447" s="697"/>
      <c r="F2447" s="695"/>
      <c r="G2447" s="696"/>
      <c r="K2447" s="22" t="str">
        <f t="shared" si="75"/>
        <v/>
      </c>
      <c r="M2447" s="534" t="str">
        <f t="shared" si="74"/>
        <v/>
      </c>
    </row>
    <row r="2448" spans="2:13" ht="15.75" x14ac:dyDescent="0.25">
      <c r="B2448" s="692"/>
      <c r="C2448" s="117" t="str">
        <f>IF(ISNUMBER(B2448),IFERROR(VLOOKUP(B2448,'נתוני רישום ומצבת'!B:J,3,0),""),"")</f>
        <v/>
      </c>
      <c r="D2448" s="693"/>
      <c r="E2448" s="697"/>
      <c r="F2448" s="695"/>
      <c r="G2448" s="696"/>
      <c r="K2448" s="22" t="str">
        <f t="shared" si="75"/>
        <v/>
      </c>
      <c r="M2448" s="534" t="str">
        <f t="shared" si="74"/>
        <v/>
      </c>
    </row>
    <row r="2449" spans="2:13" ht="15.75" x14ac:dyDescent="0.25">
      <c r="B2449" s="692"/>
      <c r="C2449" s="117" t="str">
        <f>IF(ISNUMBER(B2449),IFERROR(VLOOKUP(B2449,'נתוני רישום ומצבת'!B:J,3,0),""),"")</f>
        <v/>
      </c>
      <c r="D2449" s="693"/>
      <c r="E2449" s="697"/>
      <c r="F2449" s="695"/>
      <c r="G2449" s="696"/>
      <c r="K2449" s="22" t="str">
        <f t="shared" si="75"/>
        <v/>
      </c>
      <c r="M2449" s="534" t="str">
        <f t="shared" ref="M2449:M2512" si="76">TEXT(LEFT(D2449,2),0)</f>
        <v/>
      </c>
    </row>
    <row r="2450" spans="2:13" ht="15.75" x14ac:dyDescent="0.25">
      <c r="B2450" s="692"/>
      <c r="C2450" s="117" t="str">
        <f>IF(ISNUMBER(B2450),IFERROR(VLOOKUP(B2450,'נתוני רישום ומצבת'!B:J,3,0),""),"")</f>
        <v/>
      </c>
      <c r="D2450" s="693"/>
      <c r="E2450" s="697"/>
      <c r="F2450" s="695"/>
      <c r="G2450" s="696"/>
      <c r="K2450" s="22" t="str">
        <f t="shared" si="75"/>
        <v/>
      </c>
      <c r="M2450" s="534" t="str">
        <f t="shared" si="76"/>
        <v/>
      </c>
    </row>
    <row r="2451" spans="2:13" ht="15.75" x14ac:dyDescent="0.25">
      <c r="B2451" s="692"/>
      <c r="C2451" s="117" t="str">
        <f>IF(ISNUMBER(B2451),IFERROR(VLOOKUP(B2451,'נתוני רישום ומצבת'!B:J,3,0),""),"")</f>
        <v/>
      </c>
      <c r="D2451" s="693"/>
      <c r="E2451" s="697"/>
      <c r="F2451" s="695"/>
      <c r="G2451" s="696"/>
      <c r="K2451" s="22" t="str">
        <f t="shared" si="75"/>
        <v/>
      </c>
      <c r="M2451" s="534" t="str">
        <f t="shared" si="76"/>
        <v/>
      </c>
    </row>
    <row r="2452" spans="2:13" ht="15.75" x14ac:dyDescent="0.25">
      <c r="B2452" s="692"/>
      <c r="C2452" s="117" t="str">
        <f>IF(ISNUMBER(B2452),IFERROR(VLOOKUP(B2452,'נתוני רישום ומצבת'!B:J,3,0),""),"")</f>
        <v/>
      </c>
      <c r="D2452" s="693"/>
      <c r="E2452" s="697"/>
      <c r="F2452" s="695"/>
      <c r="G2452" s="696"/>
      <c r="K2452" s="22" t="str">
        <f t="shared" si="75"/>
        <v/>
      </c>
      <c r="M2452" s="534" t="str">
        <f t="shared" si="76"/>
        <v/>
      </c>
    </row>
    <row r="2453" spans="2:13" ht="15.75" x14ac:dyDescent="0.25">
      <c r="B2453" s="692"/>
      <c r="C2453" s="117" t="str">
        <f>IF(ISNUMBER(B2453),IFERROR(VLOOKUP(B2453,'נתוני רישום ומצבת'!B:J,3,0),""),"")</f>
        <v/>
      </c>
      <c r="D2453" s="693"/>
      <c r="E2453" s="697"/>
      <c r="F2453" s="695"/>
      <c r="G2453" s="696"/>
      <c r="K2453" s="22" t="str">
        <f t="shared" ref="K2453:K2516" si="77">IF(C2440&lt;5,IF(D2453=$F$8,-E2453," "),"")</f>
        <v/>
      </c>
      <c r="M2453" s="534" t="str">
        <f t="shared" si="76"/>
        <v/>
      </c>
    </row>
    <row r="2454" spans="2:13" ht="15.75" x14ac:dyDescent="0.25">
      <c r="B2454" s="692"/>
      <c r="C2454" s="117" t="str">
        <f>IF(ISNUMBER(B2454),IFERROR(VLOOKUP(B2454,'נתוני רישום ומצבת'!B:J,3,0),""),"")</f>
        <v/>
      </c>
      <c r="D2454" s="693"/>
      <c r="E2454" s="697"/>
      <c r="F2454" s="695"/>
      <c r="G2454" s="696"/>
      <c r="K2454" s="22" t="str">
        <f t="shared" si="77"/>
        <v/>
      </c>
      <c r="M2454" s="534" t="str">
        <f t="shared" si="76"/>
        <v/>
      </c>
    </row>
    <row r="2455" spans="2:13" ht="15.75" x14ac:dyDescent="0.25">
      <c r="B2455" s="692"/>
      <c r="C2455" s="117" t="str">
        <f>IF(ISNUMBER(B2455),IFERROR(VLOOKUP(B2455,'נתוני רישום ומצבת'!B:J,3,0),""),"")</f>
        <v/>
      </c>
      <c r="D2455" s="693"/>
      <c r="E2455" s="697"/>
      <c r="F2455" s="695"/>
      <c r="G2455" s="696"/>
      <c r="K2455" s="22" t="str">
        <f t="shared" si="77"/>
        <v/>
      </c>
      <c r="M2455" s="534" t="str">
        <f t="shared" si="76"/>
        <v/>
      </c>
    </row>
    <row r="2456" spans="2:13" ht="15.75" x14ac:dyDescent="0.25">
      <c r="B2456" s="692"/>
      <c r="C2456" s="117" t="str">
        <f>IF(ISNUMBER(B2456),IFERROR(VLOOKUP(B2456,'נתוני רישום ומצבת'!B:J,3,0),""),"")</f>
        <v/>
      </c>
      <c r="D2456" s="693"/>
      <c r="E2456" s="697"/>
      <c r="F2456" s="695"/>
      <c r="G2456" s="696"/>
      <c r="K2456" s="22" t="str">
        <f t="shared" si="77"/>
        <v/>
      </c>
      <c r="M2456" s="534" t="str">
        <f t="shared" si="76"/>
        <v/>
      </c>
    </row>
    <row r="2457" spans="2:13" ht="15.75" x14ac:dyDescent="0.25">
      <c r="B2457" s="692"/>
      <c r="C2457" s="117" t="str">
        <f>IF(ISNUMBER(B2457),IFERROR(VLOOKUP(B2457,'נתוני רישום ומצבת'!B:J,3,0),""),"")</f>
        <v/>
      </c>
      <c r="D2457" s="693"/>
      <c r="E2457" s="697"/>
      <c r="F2457" s="695"/>
      <c r="G2457" s="696"/>
      <c r="K2457" s="22" t="str">
        <f t="shared" si="77"/>
        <v/>
      </c>
      <c r="M2457" s="534" t="str">
        <f t="shared" si="76"/>
        <v/>
      </c>
    </row>
    <row r="2458" spans="2:13" ht="15.75" x14ac:dyDescent="0.25">
      <c r="B2458" s="692"/>
      <c r="C2458" s="117" t="str">
        <f>IF(ISNUMBER(B2458),IFERROR(VLOOKUP(B2458,'נתוני רישום ומצבת'!B:J,3,0),""),"")</f>
        <v/>
      </c>
      <c r="D2458" s="693"/>
      <c r="E2458" s="697"/>
      <c r="F2458" s="695"/>
      <c r="G2458" s="696"/>
      <c r="K2458" s="22" t="str">
        <f t="shared" si="77"/>
        <v/>
      </c>
      <c r="M2458" s="534" t="str">
        <f t="shared" si="76"/>
        <v/>
      </c>
    </row>
    <row r="2459" spans="2:13" ht="15.75" x14ac:dyDescent="0.25">
      <c r="B2459" s="692"/>
      <c r="C2459" s="117" t="str">
        <f>IF(ISNUMBER(B2459),IFERROR(VLOOKUP(B2459,'נתוני רישום ומצבת'!B:J,3,0),""),"")</f>
        <v/>
      </c>
      <c r="D2459" s="693"/>
      <c r="E2459" s="697"/>
      <c r="F2459" s="695"/>
      <c r="G2459" s="696"/>
      <c r="K2459" s="22" t="str">
        <f t="shared" si="77"/>
        <v/>
      </c>
      <c r="M2459" s="534" t="str">
        <f t="shared" si="76"/>
        <v/>
      </c>
    </row>
    <row r="2460" spans="2:13" ht="15.75" x14ac:dyDescent="0.25">
      <c r="B2460" s="692"/>
      <c r="C2460" s="117" t="str">
        <f>IF(ISNUMBER(B2460),IFERROR(VLOOKUP(B2460,'נתוני רישום ומצבת'!B:J,3,0),""),"")</f>
        <v/>
      </c>
      <c r="D2460" s="693"/>
      <c r="E2460" s="697"/>
      <c r="F2460" s="695"/>
      <c r="G2460" s="696"/>
      <c r="K2460" s="22" t="str">
        <f t="shared" si="77"/>
        <v/>
      </c>
      <c r="M2460" s="534" t="str">
        <f t="shared" si="76"/>
        <v/>
      </c>
    </row>
    <row r="2461" spans="2:13" ht="15.75" x14ac:dyDescent="0.25">
      <c r="B2461" s="692"/>
      <c r="C2461" s="117" t="str">
        <f>IF(ISNUMBER(B2461),IFERROR(VLOOKUP(B2461,'נתוני רישום ומצבת'!B:J,3,0),""),"")</f>
        <v/>
      </c>
      <c r="D2461" s="693"/>
      <c r="E2461" s="697"/>
      <c r="F2461" s="695"/>
      <c r="G2461" s="696"/>
      <c r="K2461" s="22" t="str">
        <f t="shared" si="77"/>
        <v/>
      </c>
      <c r="M2461" s="534" t="str">
        <f t="shared" si="76"/>
        <v/>
      </c>
    </row>
    <row r="2462" spans="2:13" ht="15.75" x14ac:dyDescent="0.25">
      <c r="B2462" s="692"/>
      <c r="C2462" s="117" t="str">
        <f>IF(ISNUMBER(B2462),IFERROR(VLOOKUP(B2462,'נתוני רישום ומצבת'!B:J,3,0),""),"")</f>
        <v/>
      </c>
      <c r="D2462" s="693"/>
      <c r="E2462" s="697"/>
      <c r="F2462" s="695"/>
      <c r="G2462" s="696"/>
      <c r="K2462" s="22" t="str">
        <f t="shared" si="77"/>
        <v/>
      </c>
      <c r="M2462" s="534" t="str">
        <f t="shared" si="76"/>
        <v/>
      </c>
    </row>
    <row r="2463" spans="2:13" ht="15.75" x14ac:dyDescent="0.25">
      <c r="B2463" s="692"/>
      <c r="C2463" s="117" t="str">
        <f>IF(ISNUMBER(B2463),IFERROR(VLOOKUP(B2463,'נתוני רישום ומצבת'!B:J,3,0),""),"")</f>
        <v/>
      </c>
      <c r="D2463" s="693"/>
      <c r="E2463" s="697"/>
      <c r="F2463" s="695"/>
      <c r="G2463" s="696"/>
      <c r="K2463" s="22" t="str">
        <f t="shared" si="77"/>
        <v/>
      </c>
      <c r="M2463" s="534" t="str">
        <f t="shared" si="76"/>
        <v/>
      </c>
    </row>
    <row r="2464" spans="2:13" ht="15.75" x14ac:dyDescent="0.25">
      <c r="B2464" s="692"/>
      <c r="C2464" s="117" t="str">
        <f>IF(ISNUMBER(B2464),IFERROR(VLOOKUP(B2464,'נתוני רישום ומצבת'!B:J,3,0),""),"")</f>
        <v/>
      </c>
      <c r="D2464" s="693"/>
      <c r="E2464" s="697"/>
      <c r="F2464" s="695"/>
      <c r="G2464" s="696"/>
      <c r="K2464" s="22" t="str">
        <f t="shared" si="77"/>
        <v/>
      </c>
      <c r="M2464" s="534" t="str">
        <f t="shared" si="76"/>
        <v/>
      </c>
    </row>
    <row r="2465" spans="2:13" ht="15.75" x14ac:dyDescent="0.25">
      <c r="B2465" s="692"/>
      <c r="C2465" s="117" t="str">
        <f>IF(ISNUMBER(B2465),IFERROR(VLOOKUP(B2465,'נתוני רישום ומצבת'!B:J,3,0),""),"")</f>
        <v/>
      </c>
      <c r="D2465" s="693"/>
      <c r="E2465" s="697"/>
      <c r="F2465" s="695"/>
      <c r="G2465" s="696"/>
      <c r="K2465" s="22" t="str">
        <f t="shared" si="77"/>
        <v/>
      </c>
      <c r="M2465" s="534" t="str">
        <f t="shared" si="76"/>
        <v/>
      </c>
    </row>
    <row r="2466" spans="2:13" ht="15.75" x14ac:dyDescent="0.25">
      <c r="B2466" s="692"/>
      <c r="C2466" s="117" t="str">
        <f>IF(ISNUMBER(B2466),IFERROR(VLOOKUP(B2466,'נתוני רישום ומצבת'!B:J,3,0),""),"")</f>
        <v/>
      </c>
      <c r="D2466" s="693"/>
      <c r="E2466" s="697"/>
      <c r="F2466" s="695"/>
      <c r="G2466" s="696"/>
      <c r="K2466" s="22" t="str">
        <f t="shared" si="77"/>
        <v/>
      </c>
      <c r="M2466" s="534" t="str">
        <f t="shared" si="76"/>
        <v/>
      </c>
    </row>
    <row r="2467" spans="2:13" ht="15.75" x14ac:dyDescent="0.25">
      <c r="B2467" s="692"/>
      <c r="C2467" s="117" t="str">
        <f>IF(ISNUMBER(B2467),IFERROR(VLOOKUP(B2467,'נתוני רישום ומצבת'!B:J,3,0),""),"")</f>
        <v/>
      </c>
      <c r="D2467" s="693"/>
      <c r="E2467" s="697"/>
      <c r="F2467" s="695"/>
      <c r="G2467" s="696"/>
      <c r="K2467" s="22" t="str">
        <f t="shared" si="77"/>
        <v/>
      </c>
      <c r="M2467" s="534" t="str">
        <f t="shared" si="76"/>
        <v/>
      </c>
    </row>
    <row r="2468" spans="2:13" ht="15.75" x14ac:dyDescent="0.25">
      <c r="B2468" s="692"/>
      <c r="C2468" s="117" t="str">
        <f>IF(ISNUMBER(B2468),IFERROR(VLOOKUP(B2468,'נתוני רישום ומצבת'!B:J,3,0),""),"")</f>
        <v/>
      </c>
      <c r="D2468" s="693"/>
      <c r="E2468" s="697"/>
      <c r="F2468" s="695"/>
      <c r="G2468" s="696"/>
      <c r="K2468" s="22" t="str">
        <f t="shared" si="77"/>
        <v/>
      </c>
      <c r="M2468" s="534" t="str">
        <f t="shared" si="76"/>
        <v/>
      </c>
    </row>
    <row r="2469" spans="2:13" ht="15.75" x14ac:dyDescent="0.25">
      <c r="B2469" s="692"/>
      <c r="C2469" s="117" t="str">
        <f>IF(ISNUMBER(B2469),IFERROR(VLOOKUP(B2469,'נתוני רישום ומצבת'!B:J,3,0),""),"")</f>
        <v/>
      </c>
      <c r="D2469" s="693"/>
      <c r="E2469" s="697"/>
      <c r="F2469" s="695"/>
      <c r="G2469" s="696"/>
      <c r="K2469" s="22" t="str">
        <f t="shared" si="77"/>
        <v/>
      </c>
      <c r="M2469" s="534" t="str">
        <f t="shared" si="76"/>
        <v/>
      </c>
    </row>
    <row r="2470" spans="2:13" ht="15.75" x14ac:dyDescent="0.25">
      <c r="B2470" s="692"/>
      <c r="C2470" s="117" t="str">
        <f>IF(ISNUMBER(B2470),IFERROR(VLOOKUP(B2470,'נתוני רישום ומצבת'!B:J,3,0),""),"")</f>
        <v/>
      </c>
      <c r="D2470" s="693"/>
      <c r="E2470" s="697"/>
      <c r="F2470" s="695"/>
      <c r="G2470" s="696"/>
      <c r="K2470" s="22" t="str">
        <f t="shared" si="77"/>
        <v/>
      </c>
      <c r="M2470" s="534" t="str">
        <f t="shared" si="76"/>
        <v/>
      </c>
    </row>
    <row r="2471" spans="2:13" ht="15.75" x14ac:dyDescent="0.25">
      <c r="B2471" s="692"/>
      <c r="C2471" s="117" t="str">
        <f>IF(ISNUMBER(B2471),IFERROR(VLOOKUP(B2471,'נתוני רישום ומצבת'!B:J,3,0),""),"")</f>
        <v/>
      </c>
      <c r="D2471" s="693"/>
      <c r="E2471" s="697"/>
      <c r="F2471" s="695"/>
      <c r="G2471" s="696"/>
      <c r="K2471" s="22" t="str">
        <f t="shared" si="77"/>
        <v/>
      </c>
      <c r="M2471" s="534" t="str">
        <f t="shared" si="76"/>
        <v/>
      </c>
    </row>
    <row r="2472" spans="2:13" ht="15.75" x14ac:dyDescent="0.25">
      <c r="B2472" s="692"/>
      <c r="C2472" s="117" t="str">
        <f>IF(ISNUMBER(B2472),IFERROR(VLOOKUP(B2472,'נתוני רישום ומצבת'!B:J,3,0),""),"")</f>
        <v/>
      </c>
      <c r="D2472" s="693"/>
      <c r="E2472" s="697"/>
      <c r="F2472" s="695"/>
      <c r="G2472" s="696"/>
      <c r="K2472" s="22" t="str">
        <f t="shared" si="77"/>
        <v/>
      </c>
      <c r="M2472" s="534" t="str">
        <f t="shared" si="76"/>
        <v/>
      </c>
    </row>
    <row r="2473" spans="2:13" ht="15.75" x14ac:dyDescent="0.25">
      <c r="B2473" s="692"/>
      <c r="C2473" s="117" t="str">
        <f>IF(ISNUMBER(B2473),IFERROR(VLOOKUP(B2473,'נתוני רישום ומצבת'!B:J,3,0),""),"")</f>
        <v/>
      </c>
      <c r="D2473" s="693"/>
      <c r="E2473" s="697"/>
      <c r="F2473" s="695"/>
      <c r="G2473" s="696"/>
      <c r="K2473" s="22" t="str">
        <f t="shared" si="77"/>
        <v/>
      </c>
      <c r="M2473" s="534" t="str">
        <f t="shared" si="76"/>
        <v/>
      </c>
    </row>
    <row r="2474" spans="2:13" ht="15.75" x14ac:dyDescent="0.25">
      <c r="B2474" s="692"/>
      <c r="C2474" s="117" t="str">
        <f>IF(ISNUMBER(B2474),IFERROR(VLOOKUP(B2474,'נתוני רישום ומצבת'!B:J,3,0),""),"")</f>
        <v/>
      </c>
      <c r="D2474" s="693"/>
      <c r="E2474" s="697"/>
      <c r="F2474" s="695"/>
      <c r="G2474" s="696"/>
      <c r="K2474" s="22" t="str">
        <f t="shared" si="77"/>
        <v/>
      </c>
      <c r="M2474" s="534" t="str">
        <f t="shared" si="76"/>
        <v/>
      </c>
    </row>
    <row r="2475" spans="2:13" ht="15.75" x14ac:dyDescent="0.25">
      <c r="B2475" s="692"/>
      <c r="C2475" s="117" t="str">
        <f>IF(ISNUMBER(B2475),IFERROR(VLOOKUP(B2475,'נתוני רישום ומצבת'!B:J,3,0),""),"")</f>
        <v/>
      </c>
      <c r="D2475" s="693"/>
      <c r="E2475" s="697"/>
      <c r="F2475" s="695"/>
      <c r="G2475" s="696"/>
      <c r="K2475" s="22" t="str">
        <f t="shared" si="77"/>
        <v/>
      </c>
      <c r="M2475" s="534" t="str">
        <f t="shared" si="76"/>
        <v/>
      </c>
    </row>
    <row r="2476" spans="2:13" ht="15.75" x14ac:dyDescent="0.25">
      <c r="B2476" s="692"/>
      <c r="C2476" s="117" t="str">
        <f>IF(ISNUMBER(B2476),IFERROR(VLOOKUP(B2476,'נתוני רישום ומצבת'!B:J,3,0),""),"")</f>
        <v/>
      </c>
      <c r="D2476" s="693"/>
      <c r="E2476" s="697"/>
      <c r="F2476" s="695"/>
      <c r="G2476" s="696"/>
      <c r="K2476" s="22" t="str">
        <f t="shared" si="77"/>
        <v/>
      </c>
      <c r="M2476" s="534" t="str">
        <f t="shared" si="76"/>
        <v/>
      </c>
    </row>
    <row r="2477" spans="2:13" ht="15.75" x14ac:dyDescent="0.25">
      <c r="B2477" s="692"/>
      <c r="C2477" s="117" t="str">
        <f>IF(ISNUMBER(B2477),IFERROR(VLOOKUP(B2477,'נתוני רישום ומצבת'!B:J,3,0),""),"")</f>
        <v/>
      </c>
      <c r="D2477" s="693"/>
      <c r="E2477" s="697"/>
      <c r="F2477" s="695"/>
      <c r="G2477" s="696"/>
      <c r="K2477" s="22" t="str">
        <f t="shared" si="77"/>
        <v/>
      </c>
      <c r="M2477" s="534" t="str">
        <f t="shared" si="76"/>
        <v/>
      </c>
    </row>
    <row r="2478" spans="2:13" ht="15.75" x14ac:dyDescent="0.25">
      <c r="B2478" s="692"/>
      <c r="C2478" s="117" t="str">
        <f>IF(ISNUMBER(B2478),IFERROR(VLOOKUP(B2478,'נתוני רישום ומצבת'!B:J,3,0),""),"")</f>
        <v/>
      </c>
      <c r="D2478" s="693"/>
      <c r="E2478" s="697"/>
      <c r="F2478" s="695"/>
      <c r="G2478" s="696"/>
      <c r="K2478" s="22" t="str">
        <f t="shared" si="77"/>
        <v/>
      </c>
      <c r="M2478" s="534" t="str">
        <f t="shared" si="76"/>
        <v/>
      </c>
    </row>
    <row r="2479" spans="2:13" ht="15.75" x14ac:dyDescent="0.25">
      <c r="B2479" s="692"/>
      <c r="C2479" s="117" t="str">
        <f>IF(ISNUMBER(B2479),IFERROR(VLOOKUP(B2479,'נתוני רישום ומצבת'!B:J,3,0),""),"")</f>
        <v/>
      </c>
      <c r="D2479" s="693"/>
      <c r="E2479" s="697"/>
      <c r="F2479" s="695"/>
      <c r="G2479" s="696"/>
      <c r="K2479" s="22" t="str">
        <f t="shared" si="77"/>
        <v/>
      </c>
      <c r="M2479" s="534" t="str">
        <f t="shared" si="76"/>
        <v/>
      </c>
    </row>
    <row r="2480" spans="2:13" ht="15.75" x14ac:dyDescent="0.25">
      <c r="B2480" s="692"/>
      <c r="C2480" s="117" t="str">
        <f>IF(ISNUMBER(B2480),IFERROR(VLOOKUP(B2480,'נתוני רישום ומצבת'!B:J,3,0),""),"")</f>
        <v/>
      </c>
      <c r="D2480" s="693"/>
      <c r="E2480" s="697"/>
      <c r="F2480" s="695"/>
      <c r="G2480" s="696"/>
      <c r="K2480" s="22" t="str">
        <f t="shared" si="77"/>
        <v/>
      </c>
      <c r="M2480" s="534" t="str">
        <f t="shared" si="76"/>
        <v/>
      </c>
    </row>
    <row r="2481" spans="2:13" ht="15.75" x14ac:dyDescent="0.25">
      <c r="B2481" s="692"/>
      <c r="C2481" s="117" t="str">
        <f>IF(ISNUMBER(B2481),IFERROR(VLOOKUP(B2481,'נתוני רישום ומצבת'!B:J,3,0),""),"")</f>
        <v/>
      </c>
      <c r="D2481" s="693"/>
      <c r="E2481" s="697"/>
      <c r="F2481" s="695"/>
      <c r="G2481" s="696"/>
      <c r="K2481" s="22" t="str">
        <f t="shared" si="77"/>
        <v/>
      </c>
      <c r="M2481" s="534" t="str">
        <f t="shared" si="76"/>
        <v/>
      </c>
    </row>
    <row r="2482" spans="2:13" ht="15.75" x14ac:dyDescent="0.25">
      <c r="B2482" s="692"/>
      <c r="C2482" s="117" t="str">
        <f>IF(ISNUMBER(B2482),IFERROR(VLOOKUP(B2482,'נתוני רישום ומצבת'!B:J,3,0),""),"")</f>
        <v/>
      </c>
      <c r="D2482" s="693"/>
      <c r="E2482" s="697"/>
      <c r="F2482" s="695"/>
      <c r="G2482" s="696"/>
      <c r="K2482" s="22" t="str">
        <f t="shared" si="77"/>
        <v/>
      </c>
      <c r="M2482" s="534" t="str">
        <f t="shared" si="76"/>
        <v/>
      </c>
    </row>
    <row r="2483" spans="2:13" ht="15.75" x14ac:dyDescent="0.25">
      <c r="B2483" s="692"/>
      <c r="C2483" s="117" t="str">
        <f>IF(ISNUMBER(B2483),IFERROR(VLOOKUP(B2483,'נתוני רישום ומצבת'!B:J,3,0),""),"")</f>
        <v/>
      </c>
      <c r="D2483" s="693"/>
      <c r="E2483" s="697"/>
      <c r="F2483" s="695"/>
      <c r="G2483" s="696"/>
      <c r="K2483" s="22" t="str">
        <f t="shared" si="77"/>
        <v/>
      </c>
      <c r="M2483" s="534" t="str">
        <f t="shared" si="76"/>
        <v/>
      </c>
    </row>
    <row r="2484" spans="2:13" ht="15.75" x14ac:dyDescent="0.25">
      <c r="B2484" s="692"/>
      <c r="C2484" s="117" t="str">
        <f>IF(ISNUMBER(B2484),IFERROR(VLOOKUP(B2484,'נתוני רישום ומצבת'!B:J,3,0),""),"")</f>
        <v/>
      </c>
      <c r="D2484" s="693"/>
      <c r="E2484" s="697"/>
      <c r="F2484" s="695"/>
      <c r="G2484" s="696"/>
      <c r="K2484" s="22" t="str">
        <f t="shared" si="77"/>
        <v/>
      </c>
      <c r="M2484" s="534" t="str">
        <f t="shared" si="76"/>
        <v/>
      </c>
    </row>
    <row r="2485" spans="2:13" ht="15.75" x14ac:dyDescent="0.25">
      <c r="B2485" s="692"/>
      <c r="C2485" s="117" t="str">
        <f>IF(ISNUMBER(B2485),IFERROR(VLOOKUP(B2485,'נתוני רישום ומצבת'!B:J,3,0),""),"")</f>
        <v/>
      </c>
      <c r="D2485" s="693"/>
      <c r="E2485" s="697"/>
      <c r="F2485" s="695"/>
      <c r="G2485" s="696"/>
      <c r="K2485" s="22" t="str">
        <f t="shared" si="77"/>
        <v/>
      </c>
      <c r="M2485" s="534" t="str">
        <f t="shared" si="76"/>
        <v/>
      </c>
    </row>
    <row r="2486" spans="2:13" ht="15.75" x14ac:dyDescent="0.25">
      <c r="B2486" s="692"/>
      <c r="C2486" s="117" t="str">
        <f>IF(ISNUMBER(B2486),IFERROR(VLOOKUP(B2486,'נתוני רישום ומצבת'!B:J,3,0),""),"")</f>
        <v/>
      </c>
      <c r="D2486" s="693"/>
      <c r="E2486" s="697"/>
      <c r="F2486" s="695"/>
      <c r="G2486" s="696"/>
      <c r="K2486" s="22" t="str">
        <f t="shared" si="77"/>
        <v/>
      </c>
      <c r="M2486" s="534" t="str">
        <f t="shared" si="76"/>
        <v/>
      </c>
    </row>
    <row r="2487" spans="2:13" ht="15.75" x14ac:dyDescent="0.25">
      <c r="B2487" s="692"/>
      <c r="C2487" s="117" t="str">
        <f>IF(ISNUMBER(B2487),IFERROR(VLOOKUP(B2487,'נתוני רישום ומצבת'!B:J,3,0),""),"")</f>
        <v/>
      </c>
      <c r="D2487" s="693"/>
      <c r="E2487" s="697"/>
      <c r="F2487" s="695"/>
      <c r="G2487" s="696"/>
      <c r="K2487" s="22" t="str">
        <f t="shared" si="77"/>
        <v/>
      </c>
      <c r="M2487" s="534" t="str">
        <f t="shared" si="76"/>
        <v/>
      </c>
    </row>
    <row r="2488" spans="2:13" ht="15.75" x14ac:dyDescent="0.25">
      <c r="B2488" s="692"/>
      <c r="C2488" s="117" t="str">
        <f>IF(ISNUMBER(B2488),IFERROR(VLOOKUP(B2488,'נתוני רישום ומצבת'!B:J,3,0),""),"")</f>
        <v/>
      </c>
      <c r="D2488" s="693"/>
      <c r="E2488" s="697"/>
      <c r="F2488" s="695"/>
      <c r="G2488" s="696"/>
      <c r="K2488" s="22" t="str">
        <f t="shared" si="77"/>
        <v/>
      </c>
      <c r="M2488" s="534" t="str">
        <f t="shared" si="76"/>
        <v/>
      </c>
    </row>
    <row r="2489" spans="2:13" ht="15.75" x14ac:dyDescent="0.25">
      <c r="B2489" s="692"/>
      <c r="C2489" s="117" t="str">
        <f>IF(ISNUMBER(B2489),IFERROR(VLOOKUP(B2489,'נתוני רישום ומצבת'!B:J,3,0),""),"")</f>
        <v/>
      </c>
      <c r="D2489" s="693"/>
      <c r="E2489" s="697"/>
      <c r="F2489" s="695"/>
      <c r="G2489" s="696"/>
      <c r="K2489" s="22" t="str">
        <f t="shared" si="77"/>
        <v/>
      </c>
      <c r="M2489" s="534" t="str">
        <f t="shared" si="76"/>
        <v/>
      </c>
    </row>
    <row r="2490" spans="2:13" ht="15.75" x14ac:dyDescent="0.25">
      <c r="B2490" s="692"/>
      <c r="C2490" s="117" t="str">
        <f>IF(ISNUMBER(B2490),IFERROR(VLOOKUP(B2490,'נתוני רישום ומצבת'!B:J,3,0),""),"")</f>
        <v/>
      </c>
      <c r="D2490" s="693"/>
      <c r="E2490" s="697"/>
      <c r="F2490" s="695"/>
      <c r="G2490" s="696"/>
      <c r="K2490" s="22" t="str">
        <f t="shared" si="77"/>
        <v/>
      </c>
      <c r="M2490" s="534" t="str">
        <f t="shared" si="76"/>
        <v/>
      </c>
    </row>
    <row r="2491" spans="2:13" ht="15.75" x14ac:dyDescent="0.25">
      <c r="B2491" s="692"/>
      <c r="C2491" s="117" t="str">
        <f>IF(ISNUMBER(B2491),IFERROR(VLOOKUP(B2491,'נתוני רישום ומצבת'!B:J,3,0),""),"")</f>
        <v/>
      </c>
      <c r="D2491" s="693"/>
      <c r="E2491" s="697"/>
      <c r="F2491" s="695"/>
      <c r="G2491" s="696"/>
      <c r="K2491" s="22" t="str">
        <f t="shared" si="77"/>
        <v/>
      </c>
      <c r="M2491" s="534" t="str">
        <f t="shared" si="76"/>
        <v/>
      </c>
    </row>
    <row r="2492" spans="2:13" ht="15.75" x14ac:dyDescent="0.25">
      <c r="B2492" s="692"/>
      <c r="C2492" s="117" t="str">
        <f>IF(ISNUMBER(B2492),IFERROR(VLOOKUP(B2492,'נתוני רישום ומצבת'!B:J,3,0),""),"")</f>
        <v/>
      </c>
      <c r="D2492" s="693"/>
      <c r="E2492" s="697"/>
      <c r="F2492" s="695"/>
      <c r="G2492" s="696"/>
      <c r="K2492" s="22" t="str">
        <f t="shared" si="77"/>
        <v/>
      </c>
      <c r="M2492" s="534" t="str">
        <f t="shared" si="76"/>
        <v/>
      </c>
    </row>
    <row r="2493" spans="2:13" ht="15.75" x14ac:dyDescent="0.25">
      <c r="B2493" s="692"/>
      <c r="C2493" s="117" t="str">
        <f>IF(ISNUMBER(B2493),IFERROR(VLOOKUP(B2493,'נתוני רישום ומצבת'!B:J,3,0),""),"")</f>
        <v/>
      </c>
      <c r="D2493" s="693"/>
      <c r="E2493" s="697"/>
      <c r="F2493" s="695"/>
      <c r="G2493" s="696"/>
      <c r="K2493" s="22" t="str">
        <f t="shared" si="77"/>
        <v/>
      </c>
      <c r="M2493" s="534" t="str">
        <f t="shared" si="76"/>
        <v/>
      </c>
    </row>
    <row r="2494" spans="2:13" ht="15.75" x14ac:dyDescent="0.25">
      <c r="B2494" s="692"/>
      <c r="C2494" s="117" t="str">
        <f>IF(ISNUMBER(B2494),IFERROR(VLOOKUP(B2494,'נתוני רישום ומצבת'!B:J,3,0),""),"")</f>
        <v/>
      </c>
      <c r="D2494" s="693"/>
      <c r="E2494" s="697"/>
      <c r="F2494" s="695"/>
      <c r="G2494" s="696"/>
      <c r="K2494" s="22" t="str">
        <f t="shared" si="77"/>
        <v/>
      </c>
      <c r="M2494" s="534" t="str">
        <f t="shared" si="76"/>
        <v/>
      </c>
    </row>
    <row r="2495" spans="2:13" ht="15.75" x14ac:dyDescent="0.25">
      <c r="B2495" s="692"/>
      <c r="C2495" s="117" t="str">
        <f>IF(ISNUMBER(B2495),IFERROR(VLOOKUP(B2495,'נתוני רישום ומצבת'!B:J,3,0),""),"")</f>
        <v/>
      </c>
      <c r="D2495" s="693"/>
      <c r="E2495" s="697"/>
      <c r="F2495" s="695"/>
      <c r="G2495" s="696"/>
      <c r="K2495" s="22" t="str">
        <f t="shared" si="77"/>
        <v/>
      </c>
      <c r="M2495" s="534" t="str">
        <f t="shared" si="76"/>
        <v/>
      </c>
    </row>
    <row r="2496" spans="2:13" ht="15.75" x14ac:dyDescent="0.25">
      <c r="B2496" s="692"/>
      <c r="C2496" s="117" t="str">
        <f>IF(ISNUMBER(B2496),IFERROR(VLOOKUP(B2496,'נתוני רישום ומצבת'!B:J,3,0),""),"")</f>
        <v/>
      </c>
      <c r="D2496" s="693"/>
      <c r="E2496" s="697"/>
      <c r="F2496" s="695"/>
      <c r="G2496" s="696"/>
      <c r="K2496" s="22" t="str">
        <f t="shared" si="77"/>
        <v/>
      </c>
      <c r="M2496" s="534" t="str">
        <f t="shared" si="76"/>
        <v/>
      </c>
    </row>
    <row r="2497" spans="2:13" ht="15.75" x14ac:dyDescent="0.25">
      <c r="B2497" s="692"/>
      <c r="C2497" s="117" t="str">
        <f>IF(ISNUMBER(B2497),IFERROR(VLOOKUP(B2497,'נתוני רישום ומצבת'!B:J,3,0),""),"")</f>
        <v/>
      </c>
      <c r="D2497" s="693"/>
      <c r="E2497" s="697"/>
      <c r="F2497" s="695"/>
      <c r="G2497" s="696"/>
      <c r="K2497" s="22" t="str">
        <f t="shared" si="77"/>
        <v/>
      </c>
      <c r="M2497" s="534" t="str">
        <f t="shared" si="76"/>
        <v/>
      </c>
    </row>
    <row r="2498" spans="2:13" ht="15.75" x14ac:dyDescent="0.25">
      <c r="B2498" s="692"/>
      <c r="C2498" s="117" t="str">
        <f>IF(ISNUMBER(B2498),IFERROR(VLOOKUP(B2498,'נתוני רישום ומצבת'!B:J,3,0),""),"")</f>
        <v/>
      </c>
      <c r="D2498" s="693"/>
      <c r="E2498" s="697"/>
      <c r="F2498" s="695"/>
      <c r="G2498" s="696"/>
      <c r="K2498" s="22" t="str">
        <f t="shared" si="77"/>
        <v/>
      </c>
      <c r="M2498" s="534" t="str">
        <f t="shared" si="76"/>
        <v/>
      </c>
    </row>
    <row r="2499" spans="2:13" ht="15.75" x14ac:dyDescent="0.25">
      <c r="B2499" s="692"/>
      <c r="C2499" s="117" t="str">
        <f>IF(ISNUMBER(B2499),IFERROR(VLOOKUP(B2499,'נתוני רישום ומצבת'!B:J,3,0),""),"")</f>
        <v/>
      </c>
      <c r="D2499" s="693"/>
      <c r="E2499" s="697"/>
      <c r="F2499" s="695"/>
      <c r="G2499" s="696"/>
      <c r="K2499" s="22" t="str">
        <f t="shared" si="77"/>
        <v/>
      </c>
      <c r="M2499" s="534" t="str">
        <f t="shared" si="76"/>
        <v/>
      </c>
    </row>
    <row r="2500" spans="2:13" ht="15.75" x14ac:dyDescent="0.25">
      <c r="B2500" s="692"/>
      <c r="C2500" s="117" t="str">
        <f>IF(ISNUMBER(B2500),IFERROR(VLOOKUP(B2500,'נתוני רישום ומצבת'!B:J,3,0),""),"")</f>
        <v/>
      </c>
      <c r="D2500" s="693"/>
      <c r="E2500" s="697"/>
      <c r="F2500" s="695"/>
      <c r="G2500" s="696"/>
      <c r="K2500" s="22" t="str">
        <f t="shared" si="77"/>
        <v/>
      </c>
      <c r="M2500" s="534" t="str">
        <f t="shared" si="76"/>
        <v/>
      </c>
    </row>
    <row r="2501" spans="2:13" ht="15.75" x14ac:dyDescent="0.25">
      <c r="B2501" s="692"/>
      <c r="C2501" s="117" t="str">
        <f>IF(ISNUMBER(B2501),IFERROR(VLOOKUP(B2501,'נתוני רישום ומצבת'!B:J,3,0),""),"")</f>
        <v/>
      </c>
      <c r="D2501" s="693"/>
      <c r="E2501" s="697"/>
      <c r="F2501" s="695"/>
      <c r="G2501" s="696"/>
      <c r="K2501" s="22" t="str">
        <f t="shared" si="77"/>
        <v/>
      </c>
      <c r="M2501" s="534" t="str">
        <f t="shared" si="76"/>
        <v/>
      </c>
    </row>
    <row r="2502" spans="2:13" ht="15.75" x14ac:dyDescent="0.25">
      <c r="B2502" s="692"/>
      <c r="C2502" s="117" t="str">
        <f>IF(ISNUMBER(B2502),IFERROR(VLOOKUP(B2502,'נתוני רישום ומצבת'!B:J,3,0),""),"")</f>
        <v/>
      </c>
      <c r="D2502" s="693"/>
      <c r="E2502" s="697"/>
      <c r="F2502" s="695"/>
      <c r="G2502" s="696"/>
      <c r="K2502" s="22" t="str">
        <f t="shared" si="77"/>
        <v/>
      </c>
      <c r="M2502" s="534" t="str">
        <f t="shared" si="76"/>
        <v/>
      </c>
    </row>
    <row r="2503" spans="2:13" ht="15.75" x14ac:dyDescent="0.25">
      <c r="B2503" s="692"/>
      <c r="C2503" s="117" t="str">
        <f>IF(ISNUMBER(B2503),IFERROR(VLOOKUP(B2503,'נתוני רישום ומצבת'!B:J,3,0),""),"")</f>
        <v/>
      </c>
      <c r="D2503" s="693"/>
      <c r="E2503" s="697"/>
      <c r="F2503" s="695"/>
      <c r="G2503" s="696"/>
      <c r="K2503" s="22" t="str">
        <f t="shared" si="77"/>
        <v/>
      </c>
      <c r="M2503" s="534" t="str">
        <f t="shared" si="76"/>
        <v/>
      </c>
    </row>
    <row r="2504" spans="2:13" ht="15.75" x14ac:dyDescent="0.25">
      <c r="B2504" s="692"/>
      <c r="C2504" s="117" t="str">
        <f>IF(ISNUMBER(B2504),IFERROR(VLOOKUP(B2504,'נתוני רישום ומצבת'!B:J,3,0),""),"")</f>
        <v/>
      </c>
      <c r="D2504" s="693"/>
      <c r="E2504" s="697"/>
      <c r="F2504" s="695"/>
      <c r="G2504" s="696"/>
      <c r="K2504" s="22" t="str">
        <f t="shared" si="77"/>
        <v/>
      </c>
      <c r="M2504" s="534" t="str">
        <f t="shared" si="76"/>
        <v/>
      </c>
    </row>
    <row r="2505" spans="2:13" ht="15.75" x14ac:dyDescent="0.25">
      <c r="B2505" s="692"/>
      <c r="C2505" s="117" t="str">
        <f>IF(ISNUMBER(B2505),IFERROR(VLOOKUP(B2505,'נתוני רישום ומצבת'!B:J,3,0),""),"")</f>
        <v/>
      </c>
      <c r="D2505" s="693"/>
      <c r="E2505" s="697"/>
      <c r="F2505" s="695"/>
      <c r="G2505" s="696"/>
      <c r="K2505" s="22" t="str">
        <f t="shared" si="77"/>
        <v/>
      </c>
      <c r="M2505" s="534" t="str">
        <f t="shared" si="76"/>
        <v/>
      </c>
    </row>
    <row r="2506" spans="2:13" ht="15.75" x14ac:dyDescent="0.25">
      <c r="B2506" s="692"/>
      <c r="C2506" s="117" t="str">
        <f>IF(ISNUMBER(B2506),IFERROR(VLOOKUP(B2506,'נתוני רישום ומצבת'!B:J,3,0),""),"")</f>
        <v/>
      </c>
      <c r="D2506" s="693"/>
      <c r="E2506" s="697"/>
      <c r="F2506" s="695"/>
      <c r="G2506" s="696"/>
      <c r="K2506" s="22" t="str">
        <f t="shared" si="77"/>
        <v/>
      </c>
      <c r="M2506" s="534" t="str">
        <f t="shared" si="76"/>
        <v/>
      </c>
    </row>
    <row r="2507" spans="2:13" ht="15.75" x14ac:dyDescent="0.25">
      <c r="B2507" s="692"/>
      <c r="C2507" s="117" t="str">
        <f>IF(ISNUMBER(B2507),IFERROR(VLOOKUP(B2507,'נתוני רישום ומצבת'!B:J,3,0),""),"")</f>
        <v/>
      </c>
      <c r="D2507" s="693"/>
      <c r="E2507" s="697"/>
      <c r="F2507" s="695"/>
      <c r="G2507" s="696"/>
      <c r="K2507" s="22" t="str">
        <f t="shared" si="77"/>
        <v/>
      </c>
      <c r="M2507" s="534" t="str">
        <f t="shared" si="76"/>
        <v/>
      </c>
    </row>
    <row r="2508" spans="2:13" ht="15.75" x14ac:dyDescent="0.25">
      <c r="B2508" s="692"/>
      <c r="C2508" s="117" t="str">
        <f>IF(ISNUMBER(B2508),IFERROR(VLOOKUP(B2508,'נתוני רישום ומצבת'!B:J,3,0),""),"")</f>
        <v/>
      </c>
      <c r="D2508" s="693"/>
      <c r="E2508" s="697"/>
      <c r="F2508" s="695"/>
      <c r="G2508" s="696"/>
      <c r="K2508" s="22" t="str">
        <f t="shared" si="77"/>
        <v/>
      </c>
      <c r="M2508" s="534" t="str">
        <f t="shared" si="76"/>
        <v/>
      </c>
    </row>
    <row r="2509" spans="2:13" ht="15.75" x14ac:dyDescent="0.25">
      <c r="B2509" s="692"/>
      <c r="C2509" s="117" t="str">
        <f>IF(ISNUMBER(B2509),IFERROR(VLOOKUP(B2509,'נתוני רישום ומצבת'!B:J,3,0),""),"")</f>
        <v/>
      </c>
      <c r="D2509" s="693"/>
      <c r="E2509" s="697"/>
      <c r="F2509" s="695"/>
      <c r="G2509" s="696"/>
      <c r="K2509" s="22" t="str">
        <f t="shared" si="77"/>
        <v/>
      </c>
      <c r="M2509" s="534" t="str">
        <f t="shared" si="76"/>
        <v/>
      </c>
    </row>
    <row r="2510" spans="2:13" ht="15.75" x14ac:dyDescent="0.25">
      <c r="B2510" s="692"/>
      <c r="C2510" s="117" t="str">
        <f>IF(ISNUMBER(B2510),IFERROR(VLOOKUP(B2510,'נתוני רישום ומצבת'!B:J,3,0),""),"")</f>
        <v/>
      </c>
      <c r="D2510" s="693"/>
      <c r="E2510" s="697"/>
      <c r="F2510" s="695"/>
      <c r="G2510" s="696"/>
      <c r="K2510" s="22" t="str">
        <f t="shared" si="77"/>
        <v/>
      </c>
      <c r="M2510" s="534" t="str">
        <f t="shared" si="76"/>
        <v/>
      </c>
    </row>
    <row r="2511" spans="2:13" ht="15.75" x14ac:dyDescent="0.25">
      <c r="B2511" s="692"/>
      <c r="C2511" s="117" t="str">
        <f>IF(ISNUMBER(B2511),IFERROR(VLOOKUP(B2511,'נתוני רישום ומצבת'!B:J,3,0),""),"")</f>
        <v/>
      </c>
      <c r="D2511" s="693"/>
      <c r="E2511" s="697"/>
      <c r="F2511" s="695"/>
      <c r="G2511" s="696"/>
      <c r="K2511" s="22" t="str">
        <f t="shared" si="77"/>
        <v/>
      </c>
      <c r="M2511" s="534" t="str">
        <f t="shared" si="76"/>
        <v/>
      </c>
    </row>
    <row r="2512" spans="2:13" ht="15.75" x14ac:dyDescent="0.25">
      <c r="B2512" s="692"/>
      <c r="C2512" s="117" t="str">
        <f>IF(ISNUMBER(B2512),IFERROR(VLOOKUP(B2512,'נתוני רישום ומצבת'!B:J,3,0),""),"")</f>
        <v/>
      </c>
      <c r="D2512" s="693"/>
      <c r="E2512" s="697"/>
      <c r="F2512" s="695"/>
      <c r="G2512" s="696"/>
      <c r="K2512" s="22" t="str">
        <f t="shared" si="77"/>
        <v/>
      </c>
      <c r="M2512" s="534" t="str">
        <f t="shared" si="76"/>
        <v/>
      </c>
    </row>
    <row r="2513" spans="2:13" ht="15.75" x14ac:dyDescent="0.25">
      <c r="B2513" s="692"/>
      <c r="C2513" s="117" t="str">
        <f>IF(ISNUMBER(B2513),IFERROR(VLOOKUP(B2513,'נתוני רישום ומצבת'!B:J,3,0),""),"")</f>
        <v/>
      </c>
      <c r="D2513" s="693"/>
      <c r="E2513" s="697"/>
      <c r="F2513" s="695"/>
      <c r="G2513" s="696"/>
      <c r="K2513" s="22" t="str">
        <f t="shared" si="77"/>
        <v/>
      </c>
      <c r="M2513" s="534" t="str">
        <f t="shared" ref="M2513:M2576" si="78">TEXT(LEFT(D2513,2),0)</f>
        <v/>
      </c>
    </row>
    <row r="2514" spans="2:13" ht="15.75" x14ac:dyDescent="0.25">
      <c r="B2514" s="692"/>
      <c r="C2514" s="117" t="str">
        <f>IF(ISNUMBER(B2514),IFERROR(VLOOKUP(B2514,'נתוני רישום ומצבת'!B:J,3,0),""),"")</f>
        <v/>
      </c>
      <c r="D2514" s="693"/>
      <c r="E2514" s="697"/>
      <c r="F2514" s="695"/>
      <c r="G2514" s="696"/>
      <c r="K2514" s="22" t="str">
        <f t="shared" si="77"/>
        <v/>
      </c>
      <c r="M2514" s="534" t="str">
        <f t="shared" si="78"/>
        <v/>
      </c>
    </row>
    <row r="2515" spans="2:13" ht="15.75" x14ac:dyDescent="0.25">
      <c r="B2515" s="692"/>
      <c r="C2515" s="117" t="str">
        <f>IF(ISNUMBER(B2515),IFERROR(VLOOKUP(B2515,'נתוני רישום ומצבת'!B:J,3,0),""),"")</f>
        <v/>
      </c>
      <c r="D2515" s="693"/>
      <c r="E2515" s="697"/>
      <c r="F2515" s="695"/>
      <c r="G2515" s="696"/>
      <c r="K2515" s="22" t="str">
        <f t="shared" si="77"/>
        <v/>
      </c>
      <c r="M2515" s="534" t="str">
        <f t="shared" si="78"/>
        <v/>
      </c>
    </row>
    <row r="2516" spans="2:13" ht="15.75" x14ac:dyDescent="0.25">
      <c r="B2516" s="692"/>
      <c r="C2516" s="117" t="str">
        <f>IF(ISNUMBER(B2516),IFERROR(VLOOKUP(B2516,'נתוני רישום ומצבת'!B:J,3,0),""),"")</f>
        <v/>
      </c>
      <c r="D2516" s="693"/>
      <c r="E2516" s="697"/>
      <c r="F2516" s="695"/>
      <c r="G2516" s="696"/>
      <c r="K2516" s="22" t="str">
        <f t="shared" si="77"/>
        <v/>
      </c>
      <c r="M2516" s="534" t="str">
        <f t="shared" si="78"/>
        <v/>
      </c>
    </row>
    <row r="2517" spans="2:13" ht="15.75" x14ac:dyDescent="0.25">
      <c r="B2517" s="692"/>
      <c r="C2517" s="117" t="str">
        <f>IF(ISNUMBER(B2517),IFERROR(VLOOKUP(B2517,'נתוני רישום ומצבת'!B:J,3,0),""),"")</f>
        <v/>
      </c>
      <c r="D2517" s="693"/>
      <c r="E2517" s="697"/>
      <c r="F2517" s="695"/>
      <c r="G2517" s="696"/>
      <c r="K2517" s="22" t="str">
        <f t="shared" ref="K2517:K2580" si="79">IF(C2504&lt;5,IF(D2517=$F$8,-E2517," "),"")</f>
        <v/>
      </c>
      <c r="M2517" s="534" t="str">
        <f t="shared" si="78"/>
        <v/>
      </c>
    </row>
    <row r="2518" spans="2:13" ht="15.75" x14ac:dyDescent="0.25">
      <c r="B2518" s="692"/>
      <c r="C2518" s="117" t="str">
        <f>IF(ISNUMBER(B2518),IFERROR(VLOOKUP(B2518,'נתוני רישום ומצבת'!B:J,3,0),""),"")</f>
        <v/>
      </c>
      <c r="D2518" s="693"/>
      <c r="E2518" s="697"/>
      <c r="F2518" s="695"/>
      <c r="G2518" s="696"/>
      <c r="K2518" s="22" t="str">
        <f t="shared" si="79"/>
        <v/>
      </c>
      <c r="M2518" s="534" t="str">
        <f t="shared" si="78"/>
        <v/>
      </c>
    </row>
    <row r="2519" spans="2:13" ht="15.75" x14ac:dyDescent="0.25">
      <c r="B2519" s="692"/>
      <c r="C2519" s="117" t="str">
        <f>IF(ISNUMBER(B2519),IFERROR(VLOOKUP(B2519,'נתוני רישום ומצבת'!B:J,3,0),""),"")</f>
        <v/>
      </c>
      <c r="D2519" s="693"/>
      <c r="E2519" s="697"/>
      <c r="F2519" s="695"/>
      <c r="G2519" s="696"/>
      <c r="K2519" s="22" t="str">
        <f t="shared" si="79"/>
        <v/>
      </c>
      <c r="M2519" s="534" t="str">
        <f t="shared" si="78"/>
        <v/>
      </c>
    </row>
    <row r="2520" spans="2:13" ht="15.75" x14ac:dyDescent="0.25">
      <c r="B2520" s="692"/>
      <c r="C2520" s="117" t="str">
        <f>IF(ISNUMBER(B2520),IFERROR(VLOOKUP(B2520,'נתוני רישום ומצבת'!B:J,3,0),""),"")</f>
        <v/>
      </c>
      <c r="D2520" s="693"/>
      <c r="E2520" s="697"/>
      <c r="F2520" s="695"/>
      <c r="G2520" s="696"/>
      <c r="K2520" s="22" t="str">
        <f t="shared" si="79"/>
        <v/>
      </c>
      <c r="M2520" s="534" t="str">
        <f t="shared" si="78"/>
        <v/>
      </c>
    </row>
    <row r="2521" spans="2:13" ht="15.75" x14ac:dyDescent="0.25">
      <c r="B2521" s="692"/>
      <c r="C2521" s="117" t="str">
        <f>IF(ISNUMBER(B2521),IFERROR(VLOOKUP(B2521,'נתוני רישום ומצבת'!B:J,3,0),""),"")</f>
        <v/>
      </c>
      <c r="D2521" s="693"/>
      <c r="E2521" s="697"/>
      <c r="F2521" s="695"/>
      <c r="G2521" s="696"/>
      <c r="K2521" s="22" t="str">
        <f t="shared" si="79"/>
        <v/>
      </c>
      <c r="M2521" s="534" t="str">
        <f t="shared" si="78"/>
        <v/>
      </c>
    </row>
    <row r="2522" spans="2:13" ht="15.75" x14ac:dyDescent="0.25">
      <c r="B2522" s="692"/>
      <c r="C2522" s="117" t="str">
        <f>IF(ISNUMBER(B2522),IFERROR(VLOOKUP(B2522,'נתוני רישום ומצבת'!B:J,3,0),""),"")</f>
        <v/>
      </c>
      <c r="D2522" s="693"/>
      <c r="E2522" s="697"/>
      <c r="F2522" s="695"/>
      <c r="G2522" s="696"/>
      <c r="K2522" s="22" t="str">
        <f t="shared" si="79"/>
        <v/>
      </c>
      <c r="M2522" s="534" t="str">
        <f t="shared" si="78"/>
        <v/>
      </c>
    </row>
    <row r="2523" spans="2:13" ht="15.75" x14ac:dyDescent="0.25">
      <c r="B2523" s="692"/>
      <c r="C2523" s="117" t="str">
        <f>IF(ISNUMBER(B2523),IFERROR(VLOOKUP(B2523,'נתוני רישום ומצבת'!B:J,3,0),""),"")</f>
        <v/>
      </c>
      <c r="D2523" s="693"/>
      <c r="E2523" s="697"/>
      <c r="F2523" s="695"/>
      <c r="G2523" s="696"/>
      <c r="K2523" s="22" t="str">
        <f t="shared" si="79"/>
        <v/>
      </c>
      <c r="M2523" s="534" t="str">
        <f t="shared" si="78"/>
        <v/>
      </c>
    </row>
    <row r="2524" spans="2:13" ht="15.75" x14ac:dyDescent="0.25">
      <c r="B2524" s="692"/>
      <c r="C2524" s="117" t="str">
        <f>IF(ISNUMBER(B2524),IFERROR(VLOOKUP(B2524,'נתוני רישום ומצבת'!B:J,3,0),""),"")</f>
        <v/>
      </c>
      <c r="D2524" s="693"/>
      <c r="E2524" s="697"/>
      <c r="F2524" s="695"/>
      <c r="G2524" s="696"/>
      <c r="K2524" s="22" t="str">
        <f t="shared" si="79"/>
        <v/>
      </c>
      <c r="M2524" s="534" t="str">
        <f t="shared" si="78"/>
        <v/>
      </c>
    </row>
    <row r="2525" spans="2:13" ht="15.75" x14ac:dyDescent="0.25">
      <c r="B2525" s="692"/>
      <c r="C2525" s="117" t="str">
        <f>IF(ISNUMBER(B2525),IFERROR(VLOOKUP(B2525,'נתוני רישום ומצבת'!B:J,3,0),""),"")</f>
        <v/>
      </c>
      <c r="D2525" s="693"/>
      <c r="E2525" s="697"/>
      <c r="F2525" s="695"/>
      <c r="G2525" s="696"/>
      <c r="K2525" s="22" t="str">
        <f t="shared" si="79"/>
        <v/>
      </c>
      <c r="M2525" s="534" t="str">
        <f t="shared" si="78"/>
        <v/>
      </c>
    </row>
    <row r="2526" spans="2:13" ht="15.75" x14ac:dyDescent="0.25">
      <c r="B2526" s="692"/>
      <c r="C2526" s="117" t="str">
        <f>IF(ISNUMBER(B2526),IFERROR(VLOOKUP(B2526,'נתוני רישום ומצבת'!B:J,3,0),""),"")</f>
        <v/>
      </c>
      <c r="D2526" s="693"/>
      <c r="E2526" s="697"/>
      <c r="F2526" s="695"/>
      <c r="G2526" s="696"/>
      <c r="K2526" s="22" t="str">
        <f t="shared" si="79"/>
        <v/>
      </c>
      <c r="M2526" s="534" t="str">
        <f t="shared" si="78"/>
        <v/>
      </c>
    </row>
    <row r="2527" spans="2:13" ht="15.75" x14ac:dyDescent="0.25">
      <c r="B2527" s="692"/>
      <c r="C2527" s="117" t="str">
        <f>IF(ISNUMBER(B2527),IFERROR(VLOOKUP(B2527,'נתוני רישום ומצבת'!B:J,3,0),""),"")</f>
        <v/>
      </c>
      <c r="D2527" s="693"/>
      <c r="E2527" s="697"/>
      <c r="F2527" s="695"/>
      <c r="G2527" s="696"/>
      <c r="K2527" s="22" t="str">
        <f t="shared" si="79"/>
        <v/>
      </c>
      <c r="M2527" s="534" t="str">
        <f t="shared" si="78"/>
        <v/>
      </c>
    </row>
    <row r="2528" spans="2:13" ht="15.75" x14ac:dyDescent="0.25">
      <c r="B2528" s="692"/>
      <c r="C2528" s="117" t="str">
        <f>IF(ISNUMBER(B2528),IFERROR(VLOOKUP(B2528,'נתוני רישום ומצבת'!B:J,3,0),""),"")</f>
        <v/>
      </c>
      <c r="D2528" s="693"/>
      <c r="E2528" s="697"/>
      <c r="F2528" s="695"/>
      <c r="G2528" s="696"/>
      <c r="K2528" s="22" t="str">
        <f t="shared" si="79"/>
        <v/>
      </c>
      <c r="M2528" s="534" t="str">
        <f t="shared" si="78"/>
        <v/>
      </c>
    </row>
    <row r="2529" spans="2:13" ht="15.75" x14ac:dyDescent="0.25">
      <c r="B2529" s="692"/>
      <c r="C2529" s="117" t="str">
        <f>IF(ISNUMBER(B2529),IFERROR(VLOOKUP(B2529,'נתוני רישום ומצבת'!B:J,3,0),""),"")</f>
        <v/>
      </c>
      <c r="D2529" s="693"/>
      <c r="E2529" s="697"/>
      <c r="F2529" s="695"/>
      <c r="G2529" s="696"/>
      <c r="K2529" s="22" t="str">
        <f t="shared" si="79"/>
        <v/>
      </c>
      <c r="M2529" s="534" t="str">
        <f t="shared" si="78"/>
        <v/>
      </c>
    </row>
    <row r="2530" spans="2:13" ht="15.75" x14ac:dyDescent="0.25">
      <c r="B2530" s="692"/>
      <c r="C2530" s="117" t="str">
        <f>IF(ISNUMBER(B2530),IFERROR(VLOOKUP(B2530,'נתוני רישום ומצבת'!B:J,3,0),""),"")</f>
        <v/>
      </c>
      <c r="D2530" s="693"/>
      <c r="E2530" s="697"/>
      <c r="F2530" s="695"/>
      <c r="G2530" s="696"/>
      <c r="K2530" s="22" t="str">
        <f t="shared" si="79"/>
        <v/>
      </c>
      <c r="M2530" s="534" t="str">
        <f t="shared" si="78"/>
        <v/>
      </c>
    </row>
    <row r="2531" spans="2:13" ht="15.75" x14ac:dyDescent="0.25">
      <c r="B2531" s="692"/>
      <c r="C2531" s="117" t="str">
        <f>IF(ISNUMBER(B2531),IFERROR(VLOOKUP(B2531,'נתוני רישום ומצבת'!B:J,3,0),""),"")</f>
        <v/>
      </c>
      <c r="D2531" s="693"/>
      <c r="E2531" s="697"/>
      <c r="F2531" s="695"/>
      <c r="G2531" s="696"/>
      <c r="K2531" s="22" t="str">
        <f t="shared" si="79"/>
        <v/>
      </c>
      <c r="M2531" s="534" t="str">
        <f t="shared" si="78"/>
        <v/>
      </c>
    </row>
    <row r="2532" spans="2:13" ht="15.75" x14ac:dyDescent="0.25">
      <c r="B2532" s="692"/>
      <c r="C2532" s="117" t="str">
        <f>IF(ISNUMBER(B2532),IFERROR(VLOOKUP(B2532,'נתוני רישום ומצבת'!B:J,3,0),""),"")</f>
        <v/>
      </c>
      <c r="D2532" s="693"/>
      <c r="E2532" s="697"/>
      <c r="F2532" s="695"/>
      <c r="G2532" s="696"/>
      <c r="K2532" s="22" t="str">
        <f t="shared" si="79"/>
        <v/>
      </c>
      <c r="M2532" s="534" t="str">
        <f t="shared" si="78"/>
        <v/>
      </c>
    </row>
    <row r="2533" spans="2:13" ht="15.75" x14ac:dyDescent="0.25">
      <c r="B2533" s="692"/>
      <c r="C2533" s="117" t="str">
        <f>IF(ISNUMBER(B2533),IFERROR(VLOOKUP(B2533,'נתוני רישום ומצבת'!B:J,3,0),""),"")</f>
        <v/>
      </c>
      <c r="D2533" s="693"/>
      <c r="E2533" s="697"/>
      <c r="F2533" s="695"/>
      <c r="G2533" s="696"/>
      <c r="K2533" s="22" t="str">
        <f t="shared" si="79"/>
        <v/>
      </c>
      <c r="M2533" s="534" t="str">
        <f t="shared" si="78"/>
        <v/>
      </c>
    </row>
    <row r="2534" spans="2:13" ht="15.75" x14ac:dyDescent="0.25">
      <c r="B2534" s="692"/>
      <c r="C2534" s="117" t="str">
        <f>IF(ISNUMBER(B2534),IFERROR(VLOOKUP(B2534,'נתוני רישום ומצבת'!B:J,3,0),""),"")</f>
        <v/>
      </c>
      <c r="D2534" s="693"/>
      <c r="E2534" s="697"/>
      <c r="F2534" s="695"/>
      <c r="G2534" s="696"/>
      <c r="K2534" s="22" t="str">
        <f t="shared" si="79"/>
        <v/>
      </c>
      <c r="M2534" s="534" t="str">
        <f t="shared" si="78"/>
        <v/>
      </c>
    </row>
    <row r="2535" spans="2:13" ht="15.75" x14ac:dyDescent="0.25">
      <c r="B2535" s="692"/>
      <c r="C2535" s="117" t="str">
        <f>IF(ISNUMBER(B2535),IFERROR(VLOOKUP(B2535,'נתוני רישום ומצבת'!B:J,3,0),""),"")</f>
        <v/>
      </c>
      <c r="D2535" s="693"/>
      <c r="E2535" s="697"/>
      <c r="F2535" s="695"/>
      <c r="G2535" s="696"/>
      <c r="K2535" s="22" t="str">
        <f t="shared" si="79"/>
        <v/>
      </c>
      <c r="M2535" s="534" t="str">
        <f t="shared" si="78"/>
        <v/>
      </c>
    </row>
    <row r="2536" spans="2:13" ht="15.75" x14ac:dyDescent="0.25">
      <c r="B2536" s="692"/>
      <c r="C2536" s="117" t="str">
        <f>IF(ISNUMBER(B2536),IFERROR(VLOOKUP(B2536,'נתוני רישום ומצבת'!B:J,3,0),""),"")</f>
        <v/>
      </c>
      <c r="D2536" s="693"/>
      <c r="E2536" s="697"/>
      <c r="F2536" s="695"/>
      <c r="G2536" s="696"/>
      <c r="K2536" s="22" t="str">
        <f t="shared" si="79"/>
        <v/>
      </c>
      <c r="M2536" s="534" t="str">
        <f t="shared" si="78"/>
        <v/>
      </c>
    </row>
    <row r="2537" spans="2:13" ht="15.75" x14ac:dyDescent="0.25">
      <c r="B2537" s="692"/>
      <c r="C2537" s="117" t="str">
        <f>IF(ISNUMBER(B2537),IFERROR(VLOOKUP(B2537,'נתוני רישום ומצבת'!B:J,3,0),""),"")</f>
        <v/>
      </c>
      <c r="D2537" s="693"/>
      <c r="E2537" s="697"/>
      <c r="F2537" s="695"/>
      <c r="G2537" s="696"/>
      <c r="K2537" s="22" t="str">
        <f t="shared" si="79"/>
        <v/>
      </c>
      <c r="M2537" s="534" t="str">
        <f t="shared" si="78"/>
        <v/>
      </c>
    </row>
    <row r="2538" spans="2:13" ht="15.75" x14ac:dyDescent="0.25">
      <c r="B2538" s="692"/>
      <c r="C2538" s="117" t="str">
        <f>IF(ISNUMBER(B2538),IFERROR(VLOOKUP(B2538,'נתוני רישום ומצבת'!B:J,3,0),""),"")</f>
        <v/>
      </c>
      <c r="D2538" s="693"/>
      <c r="E2538" s="697"/>
      <c r="F2538" s="695"/>
      <c r="G2538" s="696"/>
      <c r="K2538" s="22" t="str">
        <f t="shared" si="79"/>
        <v/>
      </c>
      <c r="M2538" s="534" t="str">
        <f t="shared" si="78"/>
        <v/>
      </c>
    </row>
    <row r="2539" spans="2:13" ht="15.75" x14ac:dyDescent="0.25">
      <c r="B2539" s="692"/>
      <c r="C2539" s="117" t="str">
        <f>IF(ISNUMBER(B2539),IFERROR(VLOOKUP(B2539,'נתוני רישום ומצבת'!B:J,3,0),""),"")</f>
        <v/>
      </c>
      <c r="D2539" s="693"/>
      <c r="E2539" s="697"/>
      <c r="F2539" s="695"/>
      <c r="G2539" s="696"/>
      <c r="K2539" s="22" t="str">
        <f t="shared" si="79"/>
        <v/>
      </c>
      <c r="M2539" s="534" t="str">
        <f t="shared" si="78"/>
        <v/>
      </c>
    </row>
    <row r="2540" spans="2:13" ht="15.75" x14ac:dyDescent="0.25">
      <c r="B2540" s="692"/>
      <c r="C2540" s="117" t="str">
        <f>IF(ISNUMBER(B2540),IFERROR(VLOOKUP(B2540,'נתוני רישום ומצבת'!B:J,3,0),""),"")</f>
        <v/>
      </c>
      <c r="D2540" s="693"/>
      <c r="E2540" s="697"/>
      <c r="F2540" s="695"/>
      <c r="G2540" s="696"/>
      <c r="K2540" s="22" t="str">
        <f t="shared" si="79"/>
        <v/>
      </c>
      <c r="M2540" s="534" t="str">
        <f t="shared" si="78"/>
        <v/>
      </c>
    </row>
    <row r="2541" spans="2:13" ht="15.75" x14ac:dyDescent="0.25">
      <c r="B2541" s="692"/>
      <c r="C2541" s="117" t="str">
        <f>IF(ISNUMBER(B2541),IFERROR(VLOOKUP(B2541,'נתוני רישום ומצבת'!B:J,3,0),""),"")</f>
        <v/>
      </c>
      <c r="D2541" s="693"/>
      <c r="E2541" s="697"/>
      <c r="F2541" s="695"/>
      <c r="G2541" s="696"/>
      <c r="K2541" s="22" t="str">
        <f t="shared" si="79"/>
        <v/>
      </c>
      <c r="M2541" s="534" t="str">
        <f t="shared" si="78"/>
        <v/>
      </c>
    </row>
    <row r="2542" spans="2:13" ht="15.75" x14ac:dyDescent="0.25">
      <c r="B2542" s="692"/>
      <c r="C2542" s="117" t="str">
        <f>IF(ISNUMBER(B2542),IFERROR(VLOOKUP(B2542,'נתוני רישום ומצבת'!B:J,3,0),""),"")</f>
        <v/>
      </c>
      <c r="D2542" s="693"/>
      <c r="E2542" s="697"/>
      <c r="F2542" s="695"/>
      <c r="G2542" s="696"/>
      <c r="K2542" s="22" t="str">
        <f t="shared" si="79"/>
        <v/>
      </c>
      <c r="M2542" s="534" t="str">
        <f t="shared" si="78"/>
        <v/>
      </c>
    </row>
    <row r="2543" spans="2:13" ht="15.75" x14ac:dyDescent="0.25">
      <c r="B2543" s="692"/>
      <c r="C2543" s="117" t="str">
        <f>IF(ISNUMBER(B2543),IFERROR(VLOOKUP(B2543,'נתוני רישום ומצבת'!B:J,3,0),""),"")</f>
        <v/>
      </c>
      <c r="D2543" s="693"/>
      <c r="E2543" s="697"/>
      <c r="F2543" s="695"/>
      <c r="G2543" s="696"/>
      <c r="K2543" s="22" t="str">
        <f t="shared" si="79"/>
        <v/>
      </c>
      <c r="M2543" s="534" t="str">
        <f t="shared" si="78"/>
        <v/>
      </c>
    </row>
    <row r="2544" spans="2:13" ht="15.75" x14ac:dyDescent="0.25">
      <c r="B2544" s="692"/>
      <c r="C2544" s="117" t="str">
        <f>IF(ISNUMBER(B2544),IFERROR(VLOOKUP(B2544,'נתוני רישום ומצבת'!B:J,3,0),""),"")</f>
        <v/>
      </c>
      <c r="D2544" s="693"/>
      <c r="E2544" s="697"/>
      <c r="F2544" s="695"/>
      <c r="G2544" s="696"/>
      <c r="K2544" s="22" t="str">
        <f t="shared" si="79"/>
        <v/>
      </c>
      <c r="M2544" s="534" t="str">
        <f t="shared" si="78"/>
        <v/>
      </c>
    </row>
    <row r="2545" spans="2:13" ht="15.75" x14ac:dyDescent="0.25">
      <c r="B2545" s="692"/>
      <c r="C2545" s="117" t="str">
        <f>IF(ISNUMBER(B2545),IFERROR(VLOOKUP(B2545,'נתוני רישום ומצבת'!B:J,3,0),""),"")</f>
        <v/>
      </c>
      <c r="D2545" s="693"/>
      <c r="E2545" s="697"/>
      <c r="F2545" s="695"/>
      <c r="G2545" s="696"/>
      <c r="K2545" s="22" t="str">
        <f t="shared" si="79"/>
        <v/>
      </c>
      <c r="M2545" s="534" t="str">
        <f t="shared" si="78"/>
        <v/>
      </c>
    </row>
    <row r="2546" spans="2:13" ht="15.75" x14ac:dyDescent="0.25">
      <c r="B2546" s="692"/>
      <c r="C2546" s="117" t="str">
        <f>IF(ISNUMBER(B2546),IFERROR(VLOOKUP(B2546,'נתוני רישום ומצבת'!B:J,3,0),""),"")</f>
        <v/>
      </c>
      <c r="D2546" s="693"/>
      <c r="E2546" s="697"/>
      <c r="F2546" s="695"/>
      <c r="G2546" s="696"/>
      <c r="K2546" s="22" t="str">
        <f t="shared" si="79"/>
        <v/>
      </c>
      <c r="M2546" s="534" t="str">
        <f t="shared" si="78"/>
        <v/>
      </c>
    </row>
    <row r="2547" spans="2:13" ht="15.75" x14ac:dyDescent="0.25">
      <c r="B2547" s="692"/>
      <c r="C2547" s="117" t="str">
        <f>IF(ISNUMBER(B2547),IFERROR(VLOOKUP(B2547,'נתוני רישום ומצבת'!B:J,3,0),""),"")</f>
        <v/>
      </c>
      <c r="D2547" s="693"/>
      <c r="E2547" s="697"/>
      <c r="F2547" s="695"/>
      <c r="G2547" s="696"/>
      <c r="K2547" s="22" t="str">
        <f t="shared" si="79"/>
        <v/>
      </c>
      <c r="M2547" s="534" t="str">
        <f t="shared" si="78"/>
        <v/>
      </c>
    </row>
    <row r="2548" spans="2:13" ht="15.75" x14ac:dyDescent="0.25">
      <c r="B2548" s="692"/>
      <c r="C2548" s="117" t="str">
        <f>IF(ISNUMBER(B2548),IFERROR(VLOOKUP(B2548,'נתוני רישום ומצבת'!B:J,3,0),""),"")</f>
        <v/>
      </c>
      <c r="D2548" s="693"/>
      <c r="E2548" s="697"/>
      <c r="F2548" s="695"/>
      <c r="G2548" s="696"/>
      <c r="K2548" s="22" t="str">
        <f t="shared" si="79"/>
        <v/>
      </c>
      <c r="M2548" s="534" t="str">
        <f t="shared" si="78"/>
        <v/>
      </c>
    </row>
    <row r="2549" spans="2:13" ht="15.75" x14ac:dyDescent="0.25">
      <c r="B2549" s="692"/>
      <c r="C2549" s="117" t="str">
        <f>IF(ISNUMBER(B2549),IFERROR(VLOOKUP(B2549,'נתוני רישום ומצבת'!B:J,3,0),""),"")</f>
        <v/>
      </c>
      <c r="D2549" s="693"/>
      <c r="E2549" s="697"/>
      <c r="F2549" s="695"/>
      <c r="G2549" s="696"/>
      <c r="K2549" s="22" t="str">
        <f t="shared" si="79"/>
        <v/>
      </c>
      <c r="M2549" s="534" t="str">
        <f t="shared" si="78"/>
        <v/>
      </c>
    </row>
    <row r="2550" spans="2:13" ht="15.75" x14ac:dyDescent="0.25">
      <c r="B2550" s="692"/>
      <c r="C2550" s="117" t="str">
        <f>IF(ISNUMBER(B2550),IFERROR(VLOOKUP(B2550,'נתוני רישום ומצבת'!B:J,3,0),""),"")</f>
        <v/>
      </c>
      <c r="D2550" s="693"/>
      <c r="E2550" s="697"/>
      <c r="F2550" s="695"/>
      <c r="G2550" s="696"/>
      <c r="K2550" s="22" t="str">
        <f t="shared" si="79"/>
        <v/>
      </c>
      <c r="M2550" s="534" t="str">
        <f t="shared" si="78"/>
        <v/>
      </c>
    </row>
    <row r="2551" spans="2:13" ht="15.75" x14ac:dyDescent="0.25">
      <c r="B2551" s="692"/>
      <c r="C2551" s="117" t="str">
        <f>IF(ISNUMBER(B2551),IFERROR(VLOOKUP(B2551,'נתוני רישום ומצבת'!B:J,3,0),""),"")</f>
        <v/>
      </c>
      <c r="D2551" s="693"/>
      <c r="E2551" s="697"/>
      <c r="F2551" s="695"/>
      <c r="G2551" s="696"/>
      <c r="K2551" s="22" t="str">
        <f t="shared" si="79"/>
        <v/>
      </c>
      <c r="M2551" s="534" t="str">
        <f t="shared" si="78"/>
        <v/>
      </c>
    </row>
    <row r="2552" spans="2:13" ht="15.75" x14ac:dyDescent="0.25">
      <c r="B2552" s="692"/>
      <c r="C2552" s="117" t="str">
        <f>IF(ISNUMBER(B2552),IFERROR(VLOOKUP(B2552,'נתוני רישום ומצבת'!B:J,3,0),""),"")</f>
        <v/>
      </c>
      <c r="D2552" s="693"/>
      <c r="E2552" s="697"/>
      <c r="F2552" s="695"/>
      <c r="G2552" s="696"/>
      <c r="K2552" s="22" t="str">
        <f t="shared" si="79"/>
        <v/>
      </c>
      <c r="M2552" s="534" t="str">
        <f t="shared" si="78"/>
        <v/>
      </c>
    </row>
    <row r="2553" spans="2:13" ht="15.75" x14ac:dyDescent="0.25">
      <c r="B2553" s="692"/>
      <c r="C2553" s="117" t="str">
        <f>IF(ISNUMBER(B2553),IFERROR(VLOOKUP(B2553,'נתוני רישום ומצבת'!B:J,3,0),""),"")</f>
        <v/>
      </c>
      <c r="D2553" s="693"/>
      <c r="E2553" s="697"/>
      <c r="F2553" s="695"/>
      <c r="G2553" s="696"/>
      <c r="K2553" s="22" t="str">
        <f t="shared" si="79"/>
        <v/>
      </c>
      <c r="M2553" s="534" t="str">
        <f t="shared" si="78"/>
        <v/>
      </c>
    </row>
    <row r="2554" spans="2:13" ht="15.75" x14ac:dyDescent="0.25">
      <c r="B2554" s="692"/>
      <c r="C2554" s="117" t="str">
        <f>IF(ISNUMBER(B2554),IFERROR(VLOOKUP(B2554,'נתוני רישום ומצבת'!B:J,3,0),""),"")</f>
        <v/>
      </c>
      <c r="D2554" s="693"/>
      <c r="E2554" s="697"/>
      <c r="F2554" s="695"/>
      <c r="G2554" s="696"/>
      <c r="K2554" s="22" t="str">
        <f t="shared" si="79"/>
        <v/>
      </c>
      <c r="M2554" s="534" t="str">
        <f t="shared" si="78"/>
        <v/>
      </c>
    </row>
    <row r="2555" spans="2:13" ht="15.75" x14ac:dyDescent="0.25">
      <c r="B2555" s="692"/>
      <c r="C2555" s="117" t="str">
        <f>IF(ISNUMBER(B2555),IFERROR(VLOOKUP(B2555,'נתוני רישום ומצבת'!B:J,3,0),""),"")</f>
        <v/>
      </c>
      <c r="D2555" s="693"/>
      <c r="E2555" s="697"/>
      <c r="F2555" s="695"/>
      <c r="G2555" s="696"/>
      <c r="K2555" s="22" t="str">
        <f t="shared" si="79"/>
        <v/>
      </c>
      <c r="M2555" s="534" t="str">
        <f t="shared" si="78"/>
        <v/>
      </c>
    </row>
    <row r="2556" spans="2:13" ht="15.75" x14ac:dyDescent="0.25">
      <c r="B2556" s="692"/>
      <c r="C2556" s="117" t="str">
        <f>IF(ISNUMBER(B2556),IFERROR(VLOOKUP(B2556,'נתוני רישום ומצבת'!B:J,3,0),""),"")</f>
        <v/>
      </c>
      <c r="D2556" s="693"/>
      <c r="E2556" s="697"/>
      <c r="F2556" s="695"/>
      <c r="G2556" s="696"/>
      <c r="K2556" s="22" t="str">
        <f t="shared" si="79"/>
        <v/>
      </c>
      <c r="M2556" s="534" t="str">
        <f t="shared" si="78"/>
        <v/>
      </c>
    </row>
    <row r="2557" spans="2:13" ht="15.75" x14ac:dyDescent="0.25">
      <c r="B2557" s="692"/>
      <c r="C2557" s="117" t="str">
        <f>IF(ISNUMBER(B2557),IFERROR(VLOOKUP(B2557,'נתוני רישום ומצבת'!B:J,3,0),""),"")</f>
        <v/>
      </c>
      <c r="D2557" s="693"/>
      <c r="E2557" s="697"/>
      <c r="F2557" s="695"/>
      <c r="G2557" s="696"/>
      <c r="K2557" s="22" t="str">
        <f t="shared" si="79"/>
        <v/>
      </c>
      <c r="M2557" s="534" t="str">
        <f t="shared" si="78"/>
        <v/>
      </c>
    </row>
    <row r="2558" spans="2:13" ht="15.75" x14ac:dyDescent="0.25">
      <c r="B2558" s="692"/>
      <c r="C2558" s="117" t="str">
        <f>IF(ISNUMBER(B2558),IFERROR(VLOOKUP(B2558,'נתוני רישום ומצבת'!B:J,3,0),""),"")</f>
        <v/>
      </c>
      <c r="D2558" s="693"/>
      <c r="E2558" s="697"/>
      <c r="F2558" s="695"/>
      <c r="G2558" s="696"/>
      <c r="K2558" s="22" t="str">
        <f t="shared" si="79"/>
        <v/>
      </c>
      <c r="M2558" s="534" t="str">
        <f t="shared" si="78"/>
        <v/>
      </c>
    </row>
    <row r="2559" spans="2:13" ht="15.75" x14ac:dyDescent="0.25">
      <c r="B2559" s="692"/>
      <c r="C2559" s="117" t="str">
        <f>IF(ISNUMBER(B2559),IFERROR(VLOOKUP(B2559,'נתוני רישום ומצבת'!B:J,3,0),""),"")</f>
        <v/>
      </c>
      <c r="D2559" s="693"/>
      <c r="E2559" s="697"/>
      <c r="F2559" s="695"/>
      <c r="G2559" s="696"/>
      <c r="K2559" s="22" t="str">
        <f t="shared" si="79"/>
        <v/>
      </c>
      <c r="M2559" s="534" t="str">
        <f t="shared" si="78"/>
        <v/>
      </c>
    </row>
    <row r="2560" spans="2:13" ht="15.75" x14ac:dyDescent="0.25">
      <c r="B2560" s="692"/>
      <c r="C2560" s="117" t="str">
        <f>IF(ISNUMBER(B2560),IFERROR(VLOOKUP(B2560,'נתוני רישום ומצבת'!B:J,3,0),""),"")</f>
        <v/>
      </c>
      <c r="D2560" s="693"/>
      <c r="E2560" s="697"/>
      <c r="F2560" s="695"/>
      <c r="G2560" s="696"/>
      <c r="K2560" s="22" t="str">
        <f t="shared" si="79"/>
        <v/>
      </c>
      <c r="M2560" s="534" t="str">
        <f t="shared" si="78"/>
        <v/>
      </c>
    </row>
    <row r="2561" spans="2:13" ht="15.75" x14ac:dyDescent="0.25">
      <c r="B2561" s="692"/>
      <c r="C2561" s="117" t="str">
        <f>IF(ISNUMBER(B2561),IFERROR(VLOOKUP(B2561,'נתוני רישום ומצבת'!B:J,3,0),""),"")</f>
        <v/>
      </c>
      <c r="D2561" s="693"/>
      <c r="E2561" s="697"/>
      <c r="F2561" s="695"/>
      <c r="G2561" s="696"/>
      <c r="K2561" s="22" t="str">
        <f t="shared" si="79"/>
        <v/>
      </c>
      <c r="M2561" s="534" t="str">
        <f t="shared" si="78"/>
        <v/>
      </c>
    </row>
    <row r="2562" spans="2:13" ht="15.75" x14ac:dyDescent="0.25">
      <c r="B2562" s="692"/>
      <c r="C2562" s="117" t="str">
        <f>IF(ISNUMBER(B2562),IFERROR(VLOOKUP(B2562,'נתוני רישום ומצבת'!B:J,3,0),""),"")</f>
        <v/>
      </c>
      <c r="D2562" s="693"/>
      <c r="E2562" s="697"/>
      <c r="F2562" s="695"/>
      <c r="G2562" s="696"/>
      <c r="K2562" s="22" t="str">
        <f t="shared" si="79"/>
        <v/>
      </c>
      <c r="M2562" s="534" t="str">
        <f t="shared" si="78"/>
        <v/>
      </c>
    </row>
    <row r="2563" spans="2:13" ht="15.75" x14ac:dyDescent="0.25">
      <c r="B2563" s="692"/>
      <c r="C2563" s="117" t="str">
        <f>IF(ISNUMBER(B2563),IFERROR(VLOOKUP(B2563,'נתוני רישום ומצבת'!B:J,3,0),""),"")</f>
        <v/>
      </c>
      <c r="D2563" s="693"/>
      <c r="E2563" s="697"/>
      <c r="F2563" s="695"/>
      <c r="G2563" s="696"/>
      <c r="K2563" s="22" t="str">
        <f t="shared" si="79"/>
        <v/>
      </c>
      <c r="M2563" s="534" t="str">
        <f t="shared" si="78"/>
        <v/>
      </c>
    </row>
    <row r="2564" spans="2:13" ht="15.75" x14ac:dyDescent="0.25">
      <c r="B2564" s="692"/>
      <c r="C2564" s="117" t="str">
        <f>IF(ISNUMBER(B2564),IFERROR(VLOOKUP(B2564,'נתוני רישום ומצבת'!B:J,3,0),""),"")</f>
        <v/>
      </c>
      <c r="D2564" s="693"/>
      <c r="E2564" s="697"/>
      <c r="F2564" s="695"/>
      <c r="G2564" s="696"/>
      <c r="K2564" s="22" t="str">
        <f t="shared" si="79"/>
        <v/>
      </c>
      <c r="M2564" s="534" t="str">
        <f t="shared" si="78"/>
        <v/>
      </c>
    </row>
    <row r="2565" spans="2:13" ht="15.75" x14ac:dyDescent="0.25">
      <c r="B2565" s="692"/>
      <c r="C2565" s="117" t="str">
        <f>IF(ISNUMBER(B2565),IFERROR(VLOOKUP(B2565,'נתוני רישום ומצבת'!B:J,3,0),""),"")</f>
        <v/>
      </c>
      <c r="D2565" s="693"/>
      <c r="E2565" s="697"/>
      <c r="F2565" s="695"/>
      <c r="G2565" s="696"/>
      <c r="K2565" s="22" t="str">
        <f t="shared" si="79"/>
        <v/>
      </c>
      <c r="M2565" s="534" t="str">
        <f t="shared" si="78"/>
        <v/>
      </c>
    </row>
    <row r="2566" spans="2:13" ht="15.75" x14ac:dyDescent="0.25">
      <c r="B2566" s="692"/>
      <c r="C2566" s="117" t="str">
        <f>IF(ISNUMBER(B2566),IFERROR(VLOOKUP(B2566,'נתוני רישום ומצבת'!B:J,3,0),""),"")</f>
        <v/>
      </c>
      <c r="D2566" s="693"/>
      <c r="E2566" s="697"/>
      <c r="F2566" s="695"/>
      <c r="G2566" s="696"/>
      <c r="K2566" s="22" t="str">
        <f t="shared" si="79"/>
        <v/>
      </c>
      <c r="M2566" s="534" t="str">
        <f t="shared" si="78"/>
        <v/>
      </c>
    </row>
    <row r="2567" spans="2:13" ht="15.75" x14ac:dyDescent="0.25">
      <c r="B2567" s="692"/>
      <c r="C2567" s="117" t="str">
        <f>IF(ISNUMBER(B2567),IFERROR(VLOOKUP(B2567,'נתוני רישום ומצבת'!B:J,3,0),""),"")</f>
        <v/>
      </c>
      <c r="D2567" s="693"/>
      <c r="E2567" s="697"/>
      <c r="F2567" s="695"/>
      <c r="G2567" s="696"/>
      <c r="K2567" s="22" t="str">
        <f t="shared" si="79"/>
        <v/>
      </c>
      <c r="M2567" s="534" t="str">
        <f t="shared" si="78"/>
        <v/>
      </c>
    </row>
    <row r="2568" spans="2:13" ht="15.75" x14ac:dyDescent="0.25">
      <c r="B2568" s="692"/>
      <c r="C2568" s="117" t="str">
        <f>IF(ISNUMBER(B2568),IFERROR(VLOOKUP(B2568,'נתוני רישום ומצבת'!B:J,3,0),""),"")</f>
        <v/>
      </c>
      <c r="D2568" s="693"/>
      <c r="E2568" s="697"/>
      <c r="F2568" s="695"/>
      <c r="G2568" s="696"/>
      <c r="K2568" s="22" t="str">
        <f t="shared" si="79"/>
        <v/>
      </c>
      <c r="M2568" s="534" t="str">
        <f t="shared" si="78"/>
        <v/>
      </c>
    </row>
    <row r="2569" spans="2:13" ht="15.75" x14ac:dyDescent="0.25">
      <c r="B2569" s="692"/>
      <c r="C2569" s="117" t="str">
        <f>IF(ISNUMBER(B2569),IFERROR(VLOOKUP(B2569,'נתוני רישום ומצבת'!B:J,3,0),""),"")</f>
        <v/>
      </c>
      <c r="D2569" s="693"/>
      <c r="E2569" s="697"/>
      <c r="F2569" s="695"/>
      <c r="G2569" s="696"/>
      <c r="K2569" s="22" t="str">
        <f t="shared" si="79"/>
        <v/>
      </c>
      <c r="M2569" s="534" t="str">
        <f t="shared" si="78"/>
        <v/>
      </c>
    </row>
    <row r="2570" spans="2:13" ht="15.75" x14ac:dyDescent="0.25">
      <c r="B2570" s="692"/>
      <c r="C2570" s="117" t="str">
        <f>IF(ISNUMBER(B2570),IFERROR(VLOOKUP(B2570,'נתוני רישום ומצבת'!B:J,3,0),""),"")</f>
        <v/>
      </c>
      <c r="D2570" s="693"/>
      <c r="E2570" s="697"/>
      <c r="F2570" s="695"/>
      <c r="G2570" s="696"/>
      <c r="K2570" s="22" t="str">
        <f t="shared" si="79"/>
        <v/>
      </c>
      <c r="M2570" s="534" t="str">
        <f t="shared" si="78"/>
        <v/>
      </c>
    </row>
    <row r="2571" spans="2:13" ht="15.75" x14ac:dyDescent="0.25">
      <c r="B2571" s="692"/>
      <c r="C2571" s="117" t="str">
        <f>IF(ISNUMBER(B2571),IFERROR(VLOOKUP(B2571,'נתוני רישום ומצבת'!B:J,3,0),""),"")</f>
        <v/>
      </c>
      <c r="D2571" s="693"/>
      <c r="E2571" s="697"/>
      <c r="F2571" s="695"/>
      <c r="G2571" s="696"/>
      <c r="K2571" s="22" t="str">
        <f t="shared" si="79"/>
        <v/>
      </c>
      <c r="M2571" s="534" t="str">
        <f t="shared" si="78"/>
        <v/>
      </c>
    </row>
    <row r="2572" spans="2:13" ht="15.75" x14ac:dyDescent="0.25">
      <c r="B2572" s="692"/>
      <c r="C2572" s="117" t="str">
        <f>IF(ISNUMBER(B2572),IFERROR(VLOOKUP(B2572,'נתוני רישום ומצבת'!B:J,3,0),""),"")</f>
        <v/>
      </c>
      <c r="D2572" s="693"/>
      <c r="E2572" s="697"/>
      <c r="F2572" s="695"/>
      <c r="G2572" s="696"/>
      <c r="K2572" s="22" t="str">
        <f t="shared" si="79"/>
        <v/>
      </c>
      <c r="M2572" s="534" t="str">
        <f t="shared" si="78"/>
        <v/>
      </c>
    </row>
    <row r="2573" spans="2:13" ht="15.75" x14ac:dyDescent="0.25">
      <c r="B2573" s="692"/>
      <c r="C2573" s="117" t="str">
        <f>IF(ISNUMBER(B2573),IFERROR(VLOOKUP(B2573,'נתוני רישום ומצבת'!B:J,3,0),""),"")</f>
        <v/>
      </c>
      <c r="D2573" s="693"/>
      <c r="E2573" s="697"/>
      <c r="F2573" s="695"/>
      <c r="G2573" s="696"/>
      <c r="K2573" s="22" t="str">
        <f t="shared" si="79"/>
        <v/>
      </c>
      <c r="M2573" s="534" t="str">
        <f t="shared" si="78"/>
        <v/>
      </c>
    </row>
    <row r="2574" spans="2:13" ht="15.75" x14ac:dyDescent="0.25">
      <c r="B2574" s="692"/>
      <c r="C2574" s="117" t="str">
        <f>IF(ISNUMBER(B2574),IFERROR(VLOOKUP(B2574,'נתוני רישום ומצבת'!B:J,3,0),""),"")</f>
        <v/>
      </c>
      <c r="D2574" s="693"/>
      <c r="E2574" s="697"/>
      <c r="F2574" s="695"/>
      <c r="G2574" s="696"/>
      <c r="K2574" s="22" t="str">
        <f t="shared" si="79"/>
        <v/>
      </c>
      <c r="M2574" s="534" t="str">
        <f t="shared" si="78"/>
        <v/>
      </c>
    </row>
    <row r="2575" spans="2:13" ht="15.75" x14ac:dyDescent="0.25">
      <c r="B2575" s="692"/>
      <c r="C2575" s="117" t="str">
        <f>IF(ISNUMBER(B2575),IFERROR(VLOOKUP(B2575,'נתוני רישום ומצבת'!B:J,3,0),""),"")</f>
        <v/>
      </c>
      <c r="D2575" s="693"/>
      <c r="E2575" s="697"/>
      <c r="F2575" s="695"/>
      <c r="G2575" s="696"/>
      <c r="K2575" s="22" t="str">
        <f t="shared" si="79"/>
        <v/>
      </c>
      <c r="M2575" s="534" t="str">
        <f t="shared" si="78"/>
        <v/>
      </c>
    </row>
    <row r="2576" spans="2:13" ht="15.75" x14ac:dyDescent="0.25">
      <c r="B2576" s="692"/>
      <c r="C2576" s="117" t="str">
        <f>IF(ISNUMBER(B2576),IFERROR(VLOOKUP(B2576,'נתוני רישום ומצבת'!B:J,3,0),""),"")</f>
        <v/>
      </c>
      <c r="D2576" s="693"/>
      <c r="E2576" s="697"/>
      <c r="F2576" s="695"/>
      <c r="G2576" s="696"/>
      <c r="K2576" s="22" t="str">
        <f t="shared" si="79"/>
        <v/>
      </c>
      <c r="M2576" s="534" t="str">
        <f t="shared" si="78"/>
        <v/>
      </c>
    </row>
    <row r="2577" spans="2:13" ht="15.75" x14ac:dyDescent="0.25">
      <c r="B2577" s="692"/>
      <c r="C2577" s="117" t="str">
        <f>IF(ISNUMBER(B2577),IFERROR(VLOOKUP(B2577,'נתוני רישום ומצבת'!B:J,3,0),""),"")</f>
        <v/>
      </c>
      <c r="D2577" s="693"/>
      <c r="E2577" s="697"/>
      <c r="F2577" s="695"/>
      <c r="G2577" s="696"/>
      <c r="K2577" s="22" t="str">
        <f t="shared" si="79"/>
        <v/>
      </c>
      <c r="M2577" s="534" t="str">
        <f t="shared" ref="M2577:M2640" si="80">TEXT(LEFT(D2577,2),0)</f>
        <v/>
      </c>
    </row>
    <row r="2578" spans="2:13" ht="15.75" x14ac:dyDescent="0.25">
      <c r="B2578" s="692"/>
      <c r="C2578" s="117" t="str">
        <f>IF(ISNUMBER(B2578),IFERROR(VLOOKUP(B2578,'נתוני רישום ומצבת'!B:J,3,0),""),"")</f>
        <v/>
      </c>
      <c r="D2578" s="693"/>
      <c r="E2578" s="697"/>
      <c r="F2578" s="695"/>
      <c r="G2578" s="696"/>
      <c r="K2578" s="22" t="str">
        <f t="shared" si="79"/>
        <v/>
      </c>
      <c r="M2578" s="534" t="str">
        <f t="shared" si="80"/>
        <v/>
      </c>
    </row>
    <row r="2579" spans="2:13" ht="15.75" x14ac:dyDescent="0.25">
      <c r="B2579" s="692"/>
      <c r="C2579" s="117" t="str">
        <f>IF(ISNUMBER(B2579),IFERROR(VLOOKUP(B2579,'נתוני רישום ומצבת'!B:J,3,0),""),"")</f>
        <v/>
      </c>
      <c r="D2579" s="693"/>
      <c r="E2579" s="697"/>
      <c r="F2579" s="695"/>
      <c r="G2579" s="696"/>
      <c r="K2579" s="22" t="str">
        <f t="shared" si="79"/>
        <v/>
      </c>
      <c r="M2579" s="534" t="str">
        <f t="shared" si="80"/>
        <v/>
      </c>
    </row>
    <row r="2580" spans="2:13" ht="15.75" x14ac:dyDescent="0.25">
      <c r="B2580" s="692"/>
      <c r="C2580" s="117" t="str">
        <f>IF(ISNUMBER(B2580),IFERROR(VLOOKUP(B2580,'נתוני רישום ומצבת'!B:J,3,0),""),"")</f>
        <v/>
      </c>
      <c r="D2580" s="693"/>
      <c r="E2580" s="697"/>
      <c r="F2580" s="695"/>
      <c r="G2580" s="696"/>
      <c r="K2580" s="22" t="str">
        <f t="shared" si="79"/>
        <v/>
      </c>
      <c r="M2580" s="534" t="str">
        <f t="shared" si="80"/>
        <v/>
      </c>
    </row>
    <row r="2581" spans="2:13" ht="15.75" x14ac:dyDescent="0.25">
      <c r="B2581" s="692"/>
      <c r="C2581" s="117" t="str">
        <f>IF(ISNUMBER(B2581),IFERROR(VLOOKUP(B2581,'נתוני רישום ומצבת'!B:J,3,0),""),"")</f>
        <v/>
      </c>
      <c r="D2581" s="693"/>
      <c r="E2581" s="697"/>
      <c r="F2581" s="695"/>
      <c r="G2581" s="696"/>
      <c r="K2581" s="22" t="str">
        <f t="shared" ref="K2581:K2644" si="81">IF(C2568&lt;5,IF(D2581=$F$8,-E2581," "),"")</f>
        <v/>
      </c>
      <c r="M2581" s="534" t="str">
        <f t="shared" si="80"/>
        <v/>
      </c>
    </row>
    <row r="2582" spans="2:13" ht="15.75" x14ac:dyDescent="0.25">
      <c r="B2582" s="692"/>
      <c r="C2582" s="117" t="str">
        <f>IF(ISNUMBER(B2582),IFERROR(VLOOKUP(B2582,'נתוני רישום ומצבת'!B:J,3,0),""),"")</f>
        <v/>
      </c>
      <c r="D2582" s="693"/>
      <c r="E2582" s="697"/>
      <c r="F2582" s="695"/>
      <c r="G2582" s="696"/>
      <c r="K2582" s="22" t="str">
        <f t="shared" si="81"/>
        <v/>
      </c>
      <c r="M2582" s="534" t="str">
        <f t="shared" si="80"/>
        <v/>
      </c>
    </row>
    <row r="2583" spans="2:13" ht="15.75" x14ac:dyDescent="0.25">
      <c r="B2583" s="692"/>
      <c r="C2583" s="117" t="str">
        <f>IF(ISNUMBER(B2583),IFERROR(VLOOKUP(B2583,'נתוני רישום ומצבת'!B:J,3,0),""),"")</f>
        <v/>
      </c>
      <c r="D2583" s="693"/>
      <c r="E2583" s="697"/>
      <c r="F2583" s="695"/>
      <c r="G2583" s="696"/>
      <c r="K2583" s="22" t="str">
        <f t="shared" si="81"/>
        <v/>
      </c>
      <c r="M2583" s="534" t="str">
        <f t="shared" si="80"/>
        <v/>
      </c>
    </row>
    <row r="2584" spans="2:13" ht="15.75" x14ac:dyDescent="0.25">
      <c r="B2584" s="692"/>
      <c r="C2584" s="117" t="str">
        <f>IF(ISNUMBER(B2584),IFERROR(VLOOKUP(B2584,'נתוני רישום ומצבת'!B:J,3,0),""),"")</f>
        <v/>
      </c>
      <c r="D2584" s="693"/>
      <c r="E2584" s="697"/>
      <c r="F2584" s="695"/>
      <c r="G2584" s="696"/>
      <c r="K2584" s="22" t="str">
        <f t="shared" si="81"/>
        <v/>
      </c>
      <c r="M2584" s="534" t="str">
        <f t="shared" si="80"/>
        <v/>
      </c>
    </row>
    <row r="2585" spans="2:13" ht="15.75" x14ac:dyDescent="0.25">
      <c r="B2585" s="692"/>
      <c r="C2585" s="117" t="str">
        <f>IF(ISNUMBER(B2585),IFERROR(VLOOKUP(B2585,'נתוני רישום ומצבת'!B:J,3,0),""),"")</f>
        <v/>
      </c>
      <c r="D2585" s="693"/>
      <c r="E2585" s="697"/>
      <c r="F2585" s="695"/>
      <c r="G2585" s="696"/>
      <c r="K2585" s="22" t="str">
        <f t="shared" si="81"/>
        <v/>
      </c>
      <c r="M2585" s="534" t="str">
        <f t="shared" si="80"/>
        <v/>
      </c>
    </row>
    <row r="2586" spans="2:13" ht="15.75" x14ac:dyDescent="0.25">
      <c r="B2586" s="692"/>
      <c r="C2586" s="117" t="str">
        <f>IF(ISNUMBER(B2586),IFERROR(VLOOKUP(B2586,'נתוני רישום ומצבת'!B:J,3,0),""),"")</f>
        <v/>
      </c>
      <c r="D2586" s="693"/>
      <c r="E2586" s="697"/>
      <c r="F2586" s="695"/>
      <c r="G2586" s="696"/>
      <c r="K2586" s="22" t="str">
        <f t="shared" si="81"/>
        <v/>
      </c>
      <c r="M2586" s="534" t="str">
        <f t="shared" si="80"/>
        <v/>
      </c>
    </row>
    <row r="2587" spans="2:13" ht="15.75" x14ac:dyDescent="0.25">
      <c r="B2587" s="692"/>
      <c r="C2587" s="117" t="str">
        <f>IF(ISNUMBER(B2587),IFERROR(VLOOKUP(B2587,'נתוני רישום ומצבת'!B:J,3,0),""),"")</f>
        <v/>
      </c>
      <c r="D2587" s="693"/>
      <c r="E2587" s="697"/>
      <c r="F2587" s="695"/>
      <c r="G2587" s="696"/>
      <c r="K2587" s="22" t="str">
        <f t="shared" si="81"/>
        <v/>
      </c>
      <c r="M2587" s="534" t="str">
        <f t="shared" si="80"/>
        <v/>
      </c>
    </row>
    <row r="2588" spans="2:13" ht="15.75" x14ac:dyDescent="0.25">
      <c r="B2588" s="692"/>
      <c r="C2588" s="117" t="str">
        <f>IF(ISNUMBER(B2588),IFERROR(VLOOKUP(B2588,'נתוני רישום ומצבת'!B:J,3,0),""),"")</f>
        <v/>
      </c>
      <c r="D2588" s="693"/>
      <c r="E2588" s="697"/>
      <c r="F2588" s="695"/>
      <c r="G2588" s="696"/>
      <c r="K2588" s="22" t="str">
        <f t="shared" si="81"/>
        <v/>
      </c>
      <c r="M2588" s="534" t="str">
        <f t="shared" si="80"/>
        <v/>
      </c>
    </row>
    <row r="2589" spans="2:13" ht="15.75" x14ac:dyDescent="0.25">
      <c r="B2589" s="692"/>
      <c r="C2589" s="117" t="str">
        <f>IF(ISNUMBER(B2589),IFERROR(VLOOKUP(B2589,'נתוני רישום ומצבת'!B:J,3,0),""),"")</f>
        <v/>
      </c>
      <c r="D2589" s="693"/>
      <c r="E2589" s="697"/>
      <c r="F2589" s="695"/>
      <c r="G2589" s="696"/>
      <c r="K2589" s="22" t="str">
        <f t="shared" si="81"/>
        <v/>
      </c>
      <c r="M2589" s="534" t="str">
        <f t="shared" si="80"/>
        <v/>
      </c>
    </row>
    <row r="2590" spans="2:13" ht="15.75" x14ac:dyDescent="0.25">
      <c r="B2590" s="692"/>
      <c r="C2590" s="117" t="str">
        <f>IF(ISNUMBER(B2590),IFERROR(VLOOKUP(B2590,'נתוני רישום ומצבת'!B:J,3,0),""),"")</f>
        <v/>
      </c>
      <c r="D2590" s="693"/>
      <c r="E2590" s="697"/>
      <c r="F2590" s="695"/>
      <c r="G2590" s="696"/>
      <c r="K2590" s="22" t="str">
        <f t="shared" si="81"/>
        <v/>
      </c>
      <c r="M2590" s="534" t="str">
        <f t="shared" si="80"/>
        <v/>
      </c>
    </row>
    <row r="2591" spans="2:13" ht="15.75" x14ac:dyDescent="0.25">
      <c r="B2591" s="692"/>
      <c r="C2591" s="117" t="str">
        <f>IF(ISNUMBER(B2591),IFERROR(VLOOKUP(B2591,'נתוני רישום ומצבת'!B:J,3,0),""),"")</f>
        <v/>
      </c>
      <c r="D2591" s="693"/>
      <c r="E2591" s="697"/>
      <c r="F2591" s="695"/>
      <c r="G2591" s="696"/>
      <c r="K2591" s="22" t="str">
        <f t="shared" si="81"/>
        <v/>
      </c>
      <c r="M2591" s="534" t="str">
        <f t="shared" si="80"/>
        <v/>
      </c>
    </row>
    <row r="2592" spans="2:13" ht="15.75" x14ac:dyDescent="0.25">
      <c r="B2592" s="692"/>
      <c r="C2592" s="117" t="str">
        <f>IF(ISNUMBER(B2592),IFERROR(VLOOKUP(B2592,'נתוני רישום ומצבת'!B:J,3,0),""),"")</f>
        <v/>
      </c>
      <c r="D2592" s="693"/>
      <c r="E2592" s="697"/>
      <c r="F2592" s="695"/>
      <c r="G2592" s="696"/>
      <c r="K2592" s="22" t="str">
        <f t="shared" si="81"/>
        <v/>
      </c>
      <c r="M2592" s="534" t="str">
        <f t="shared" si="80"/>
        <v/>
      </c>
    </row>
    <row r="2593" spans="2:13" ht="15.75" x14ac:dyDescent="0.25">
      <c r="B2593" s="692"/>
      <c r="C2593" s="117" t="str">
        <f>IF(ISNUMBER(B2593),IFERROR(VLOOKUP(B2593,'נתוני רישום ומצבת'!B:J,3,0),""),"")</f>
        <v/>
      </c>
      <c r="D2593" s="693"/>
      <c r="E2593" s="697"/>
      <c r="F2593" s="695"/>
      <c r="G2593" s="696"/>
      <c r="K2593" s="22" t="str">
        <f t="shared" si="81"/>
        <v/>
      </c>
      <c r="M2593" s="534" t="str">
        <f t="shared" si="80"/>
        <v/>
      </c>
    </row>
    <row r="2594" spans="2:13" ht="15.75" x14ac:dyDescent="0.25">
      <c r="B2594" s="692"/>
      <c r="C2594" s="117" t="str">
        <f>IF(ISNUMBER(B2594),IFERROR(VLOOKUP(B2594,'נתוני רישום ומצבת'!B:J,3,0),""),"")</f>
        <v/>
      </c>
      <c r="D2594" s="693"/>
      <c r="E2594" s="697"/>
      <c r="F2594" s="695"/>
      <c r="G2594" s="696"/>
      <c r="K2594" s="22" t="str">
        <f t="shared" si="81"/>
        <v/>
      </c>
      <c r="M2594" s="534" t="str">
        <f t="shared" si="80"/>
        <v/>
      </c>
    </row>
    <row r="2595" spans="2:13" ht="15.75" x14ac:dyDescent="0.25">
      <c r="B2595" s="692"/>
      <c r="C2595" s="117" t="str">
        <f>IF(ISNUMBER(B2595),IFERROR(VLOOKUP(B2595,'נתוני רישום ומצבת'!B:J,3,0),""),"")</f>
        <v/>
      </c>
      <c r="D2595" s="693"/>
      <c r="E2595" s="697"/>
      <c r="F2595" s="695"/>
      <c r="G2595" s="696"/>
      <c r="K2595" s="22" t="str">
        <f t="shared" si="81"/>
        <v/>
      </c>
      <c r="M2595" s="534" t="str">
        <f t="shared" si="80"/>
        <v/>
      </c>
    </row>
    <row r="2596" spans="2:13" ht="15.75" x14ac:dyDescent="0.25">
      <c r="B2596" s="692"/>
      <c r="C2596" s="117" t="str">
        <f>IF(ISNUMBER(B2596),IFERROR(VLOOKUP(B2596,'נתוני רישום ומצבת'!B:J,3,0),""),"")</f>
        <v/>
      </c>
      <c r="D2596" s="693"/>
      <c r="E2596" s="697"/>
      <c r="F2596" s="695"/>
      <c r="G2596" s="696"/>
      <c r="K2596" s="22" t="str">
        <f t="shared" si="81"/>
        <v/>
      </c>
      <c r="M2596" s="534" t="str">
        <f t="shared" si="80"/>
        <v/>
      </c>
    </row>
    <row r="2597" spans="2:13" ht="15.75" x14ac:dyDescent="0.25">
      <c r="B2597" s="692"/>
      <c r="C2597" s="117" t="str">
        <f>IF(ISNUMBER(B2597),IFERROR(VLOOKUP(B2597,'נתוני רישום ומצבת'!B:J,3,0),""),"")</f>
        <v/>
      </c>
      <c r="D2597" s="693"/>
      <c r="E2597" s="697"/>
      <c r="F2597" s="695"/>
      <c r="G2597" s="696"/>
      <c r="K2597" s="22" t="str">
        <f t="shared" si="81"/>
        <v/>
      </c>
      <c r="M2597" s="534" t="str">
        <f t="shared" si="80"/>
        <v/>
      </c>
    </row>
    <row r="2598" spans="2:13" ht="15.75" x14ac:dyDescent="0.25">
      <c r="B2598" s="692"/>
      <c r="C2598" s="117" t="str">
        <f>IF(ISNUMBER(B2598),IFERROR(VLOOKUP(B2598,'נתוני רישום ומצבת'!B:J,3,0),""),"")</f>
        <v/>
      </c>
      <c r="D2598" s="693"/>
      <c r="E2598" s="697"/>
      <c r="F2598" s="695"/>
      <c r="G2598" s="696"/>
      <c r="K2598" s="22" t="str">
        <f t="shared" si="81"/>
        <v/>
      </c>
      <c r="M2598" s="534" t="str">
        <f t="shared" si="80"/>
        <v/>
      </c>
    </row>
    <row r="2599" spans="2:13" ht="15.75" x14ac:dyDescent="0.25">
      <c r="B2599" s="692"/>
      <c r="C2599" s="117" t="str">
        <f>IF(ISNUMBER(B2599),IFERROR(VLOOKUP(B2599,'נתוני רישום ומצבת'!B:J,3,0),""),"")</f>
        <v/>
      </c>
      <c r="D2599" s="693"/>
      <c r="E2599" s="697"/>
      <c r="F2599" s="695"/>
      <c r="G2599" s="696"/>
      <c r="K2599" s="22" t="str">
        <f t="shared" si="81"/>
        <v/>
      </c>
      <c r="M2599" s="534" t="str">
        <f t="shared" si="80"/>
        <v/>
      </c>
    </row>
    <row r="2600" spans="2:13" ht="15.75" x14ac:dyDescent="0.25">
      <c r="B2600" s="692"/>
      <c r="C2600" s="117" t="str">
        <f>IF(ISNUMBER(B2600),IFERROR(VLOOKUP(B2600,'נתוני רישום ומצבת'!B:J,3,0),""),"")</f>
        <v/>
      </c>
      <c r="D2600" s="693"/>
      <c r="E2600" s="697"/>
      <c r="F2600" s="695"/>
      <c r="G2600" s="696"/>
      <c r="K2600" s="22" t="str">
        <f t="shared" si="81"/>
        <v/>
      </c>
      <c r="M2600" s="534" t="str">
        <f t="shared" si="80"/>
        <v/>
      </c>
    </row>
    <row r="2601" spans="2:13" ht="15.75" x14ac:dyDescent="0.25">
      <c r="B2601" s="692"/>
      <c r="C2601" s="117" t="str">
        <f>IF(ISNUMBER(B2601),IFERROR(VLOOKUP(B2601,'נתוני רישום ומצבת'!B:J,3,0),""),"")</f>
        <v/>
      </c>
      <c r="D2601" s="693"/>
      <c r="E2601" s="697"/>
      <c r="F2601" s="695"/>
      <c r="G2601" s="696"/>
      <c r="K2601" s="22" t="str">
        <f t="shared" si="81"/>
        <v/>
      </c>
      <c r="M2601" s="534" t="str">
        <f t="shared" si="80"/>
        <v/>
      </c>
    </row>
    <row r="2602" spans="2:13" ht="15.75" x14ac:dyDescent="0.25">
      <c r="B2602" s="692"/>
      <c r="C2602" s="117" t="str">
        <f>IF(ISNUMBER(B2602),IFERROR(VLOOKUP(B2602,'נתוני רישום ומצבת'!B:J,3,0),""),"")</f>
        <v/>
      </c>
      <c r="D2602" s="693"/>
      <c r="E2602" s="697"/>
      <c r="F2602" s="695"/>
      <c r="G2602" s="696"/>
      <c r="K2602" s="22" t="str">
        <f t="shared" si="81"/>
        <v/>
      </c>
      <c r="M2602" s="534" t="str">
        <f t="shared" si="80"/>
        <v/>
      </c>
    </row>
    <row r="2603" spans="2:13" ht="15.75" x14ac:dyDescent="0.25">
      <c r="B2603" s="692"/>
      <c r="C2603" s="117" t="str">
        <f>IF(ISNUMBER(B2603),IFERROR(VLOOKUP(B2603,'נתוני רישום ומצבת'!B:J,3,0),""),"")</f>
        <v/>
      </c>
      <c r="D2603" s="693"/>
      <c r="E2603" s="697"/>
      <c r="F2603" s="695"/>
      <c r="G2603" s="696"/>
      <c r="K2603" s="22" t="str">
        <f t="shared" si="81"/>
        <v/>
      </c>
      <c r="M2603" s="534" t="str">
        <f t="shared" si="80"/>
        <v/>
      </c>
    </row>
    <row r="2604" spans="2:13" ht="15.75" x14ac:dyDescent="0.25">
      <c r="B2604" s="692"/>
      <c r="C2604" s="117" t="str">
        <f>IF(ISNUMBER(B2604),IFERROR(VLOOKUP(B2604,'נתוני רישום ומצבת'!B:J,3,0),""),"")</f>
        <v/>
      </c>
      <c r="D2604" s="693"/>
      <c r="E2604" s="697"/>
      <c r="F2604" s="695"/>
      <c r="G2604" s="696"/>
      <c r="K2604" s="22" t="str">
        <f t="shared" si="81"/>
        <v/>
      </c>
      <c r="M2604" s="534" t="str">
        <f t="shared" si="80"/>
        <v/>
      </c>
    </row>
    <row r="2605" spans="2:13" ht="15.75" x14ac:dyDescent="0.25">
      <c r="B2605" s="692"/>
      <c r="C2605" s="117" t="str">
        <f>IF(ISNUMBER(B2605),IFERROR(VLOOKUP(B2605,'נתוני רישום ומצבת'!B:J,3,0),""),"")</f>
        <v/>
      </c>
      <c r="D2605" s="693"/>
      <c r="E2605" s="697"/>
      <c r="F2605" s="695"/>
      <c r="G2605" s="696"/>
      <c r="K2605" s="22" t="str">
        <f t="shared" si="81"/>
        <v/>
      </c>
      <c r="M2605" s="534" t="str">
        <f t="shared" si="80"/>
        <v/>
      </c>
    </row>
    <row r="2606" spans="2:13" ht="15.75" x14ac:dyDescent="0.25">
      <c r="B2606" s="692"/>
      <c r="C2606" s="117" t="str">
        <f>IF(ISNUMBER(B2606),IFERROR(VLOOKUP(B2606,'נתוני רישום ומצבת'!B:J,3,0),""),"")</f>
        <v/>
      </c>
      <c r="D2606" s="693"/>
      <c r="E2606" s="697"/>
      <c r="F2606" s="695"/>
      <c r="G2606" s="696"/>
      <c r="K2606" s="22" t="str">
        <f t="shared" si="81"/>
        <v/>
      </c>
      <c r="M2606" s="534" t="str">
        <f t="shared" si="80"/>
        <v/>
      </c>
    </row>
    <row r="2607" spans="2:13" ht="15.75" x14ac:dyDescent="0.25">
      <c r="B2607" s="692"/>
      <c r="C2607" s="117" t="str">
        <f>IF(ISNUMBER(B2607),IFERROR(VLOOKUP(B2607,'נתוני רישום ומצבת'!B:J,3,0),""),"")</f>
        <v/>
      </c>
      <c r="D2607" s="693"/>
      <c r="E2607" s="697"/>
      <c r="F2607" s="695"/>
      <c r="G2607" s="696"/>
      <c r="K2607" s="22" t="str">
        <f t="shared" si="81"/>
        <v/>
      </c>
      <c r="M2607" s="534" t="str">
        <f t="shared" si="80"/>
        <v/>
      </c>
    </row>
    <row r="2608" spans="2:13" ht="15.75" x14ac:dyDescent="0.25">
      <c r="B2608" s="692"/>
      <c r="C2608" s="117" t="str">
        <f>IF(ISNUMBER(B2608),IFERROR(VLOOKUP(B2608,'נתוני רישום ומצבת'!B:J,3,0),""),"")</f>
        <v/>
      </c>
      <c r="D2608" s="693"/>
      <c r="E2608" s="697"/>
      <c r="F2608" s="695"/>
      <c r="G2608" s="696"/>
      <c r="K2608" s="22" t="str">
        <f t="shared" si="81"/>
        <v/>
      </c>
      <c r="M2608" s="534" t="str">
        <f t="shared" si="80"/>
        <v/>
      </c>
    </row>
    <row r="2609" spans="2:13" ht="15.75" x14ac:dyDescent="0.25">
      <c r="B2609" s="692"/>
      <c r="C2609" s="117" t="str">
        <f>IF(ISNUMBER(B2609),IFERROR(VLOOKUP(B2609,'נתוני רישום ומצבת'!B:J,3,0),""),"")</f>
        <v/>
      </c>
      <c r="D2609" s="693"/>
      <c r="E2609" s="697"/>
      <c r="F2609" s="695"/>
      <c r="G2609" s="696"/>
      <c r="K2609" s="22" t="str">
        <f t="shared" si="81"/>
        <v/>
      </c>
      <c r="M2609" s="534" t="str">
        <f t="shared" si="80"/>
        <v/>
      </c>
    </row>
    <row r="2610" spans="2:13" ht="15.75" x14ac:dyDescent="0.25">
      <c r="B2610" s="692"/>
      <c r="C2610" s="117" t="str">
        <f>IF(ISNUMBER(B2610),IFERROR(VLOOKUP(B2610,'נתוני רישום ומצבת'!B:J,3,0),""),"")</f>
        <v/>
      </c>
      <c r="D2610" s="693"/>
      <c r="E2610" s="697"/>
      <c r="F2610" s="695"/>
      <c r="G2610" s="696"/>
      <c r="K2610" s="22" t="str">
        <f t="shared" si="81"/>
        <v/>
      </c>
      <c r="M2610" s="534" t="str">
        <f t="shared" si="80"/>
        <v/>
      </c>
    </row>
    <row r="2611" spans="2:13" ht="15.75" x14ac:dyDescent="0.25">
      <c r="B2611" s="692"/>
      <c r="C2611" s="117" t="str">
        <f>IF(ISNUMBER(B2611),IFERROR(VLOOKUP(B2611,'נתוני רישום ומצבת'!B:J,3,0),""),"")</f>
        <v/>
      </c>
      <c r="D2611" s="693"/>
      <c r="E2611" s="697"/>
      <c r="F2611" s="695"/>
      <c r="G2611" s="696"/>
      <c r="K2611" s="22" t="str">
        <f t="shared" si="81"/>
        <v/>
      </c>
      <c r="M2611" s="534" t="str">
        <f t="shared" si="80"/>
        <v/>
      </c>
    </row>
    <row r="2612" spans="2:13" ht="15.75" x14ac:dyDescent="0.25">
      <c r="B2612" s="692"/>
      <c r="C2612" s="117" t="str">
        <f>IF(ISNUMBER(B2612),IFERROR(VLOOKUP(B2612,'נתוני רישום ומצבת'!B:J,3,0),""),"")</f>
        <v/>
      </c>
      <c r="D2612" s="693"/>
      <c r="E2612" s="697"/>
      <c r="F2612" s="695"/>
      <c r="G2612" s="696"/>
      <c r="K2612" s="22" t="str">
        <f t="shared" si="81"/>
        <v/>
      </c>
      <c r="M2612" s="534" t="str">
        <f t="shared" si="80"/>
        <v/>
      </c>
    </row>
    <row r="2613" spans="2:13" ht="15.75" x14ac:dyDescent="0.25">
      <c r="B2613" s="692"/>
      <c r="C2613" s="117" t="str">
        <f>IF(ISNUMBER(B2613),IFERROR(VLOOKUP(B2613,'נתוני רישום ומצבת'!B:J,3,0),""),"")</f>
        <v/>
      </c>
      <c r="D2613" s="693"/>
      <c r="E2613" s="697"/>
      <c r="F2613" s="695"/>
      <c r="G2613" s="696"/>
      <c r="K2613" s="22" t="str">
        <f t="shared" si="81"/>
        <v/>
      </c>
      <c r="M2613" s="534" t="str">
        <f t="shared" si="80"/>
        <v/>
      </c>
    </row>
    <row r="2614" spans="2:13" ht="15.75" x14ac:dyDescent="0.25">
      <c r="B2614" s="692"/>
      <c r="C2614" s="117" t="str">
        <f>IF(ISNUMBER(B2614),IFERROR(VLOOKUP(B2614,'נתוני רישום ומצבת'!B:J,3,0),""),"")</f>
        <v/>
      </c>
      <c r="D2614" s="693"/>
      <c r="E2614" s="697"/>
      <c r="F2614" s="695"/>
      <c r="G2614" s="696"/>
      <c r="K2614" s="22" t="str">
        <f t="shared" si="81"/>
        <v/>
      </c>
      <c r="M2614" s="534" t="str">
        <f t="shared" si="80"/>
        <v/>
      </c>
    </row>
    <row r="2615" spans="2:13" ht="15.75" x14ac:dyDescent="0.25">
      <c r="B2615" s="692"/>
      <c r="C2615" s="117" t="str">
        <f>IF(ISNUMBER(B2615),IFERROR(VLOOKUP(B2615,'נתוני רישום ומצבת'!B:J,3,0),""),"")</f>
        <v/>
      </c>
      <c r="D2615" s="693"/>
      <c r="E2615" s="697"/>
      <c r="F2615" s="695"/>
      <c r="G2615" s="696"/>
      <c r="K2615" s="22" t="str">
        <f t="shared" si="81"/>
        <v/>
      </c>
      <c r="M2615" s="534" t="str">
        <f t="shared" si="80"/>
        <v/>
      </c>
    </row>
    <row r="2616" spans="2:13" ht="15.75" x14ac:dyDescent="0.25">
      <c r="B2616" s="692"/>
      <c r="C2616" s="117" t="str">
        <f>IF(ISNUMBER(B2616),IFERROR(VLOOKUP(B2616,'נתוני רישום ומצבת'!B:J,3,0),""),"")</f>
        <v/>
      </c>
      <c r="D2616" s="693"/>
      <c r="E2616" s="697"/>
      <c r="F2616" s="695"/>
      <c r="G2616" s="696"/>
      <c r="K2616" s="22" t="str">
        <f t="shared" si="81"/>
        <v/>
      </c>
      <c r="M2616" s="534" t="str">
        <f t="shared" si="80"/>
        <v/>
      </c>
    </row>
    <row r="2617" spans="2:13" ht="15.75" x14ac:dyDescent="0.25">
      <c r="B2617" s="692"/>
      <c r="C2617" s="117" t="str">
        <f>IF(ISNUMBER(B2617),IFERROR(VLOOKUP(B2617,'נתוני רישום ומצבת'!B:J,3,0),""),"")</f>
        <v/>
      </c>
      <c r="D2617" s="693"/>
      <c r="E2617" s="697"/>
      <c r="F2617" s="695"/>
      <c r="G2617" s="696"/>
      <c r="K2617" s="22" t="str">
        <f t="shared" si="81"/>
        <v/>
      </c>
      <c r="M2617" s="534" t="str">
        <f t="shared" si="80"/>
        <v/>
      </c>
    </row>
    <row r="2618" spans="2:13" ht="15.75" x14ac:dyDescent="0.25">
      <c r="B2618" s="692"/>
      <c r="C2618" s="117" t="str">
        <f>IF(ISNUMBER(B2618),IFERROR(VLOOKUP(B2618,'נתוני רישום ומצבת'!B:J,3,0),""),"")</f>
        <v/>
      </c>
      <c r="D2618" s="693"/>
      <c r="E2618" s="697"/>
      <c r="F2618" s="695"/>
      <c r="G2618" s="696"/>
      <c r="K2618" s="22" t="str">
        <f t="shared" si="81"/>
        <v/>
      </c>
      <c r="M2618" s="534" t="str">
        <f t="shared" si="80"/>
        <v/>
      </c>
    </row>
    <row r="2619" spans="2:13" ht="15.75" x14ac:dyDescent="0.25">
      <c r="B2619" s="692"/>
      <c r="C2619" s="117" t="str">
        <f>IF(ISNUMBER(B2619),IFERROR(VLOOKUP(B2619,'נתוני רישום ומצבת'!B:J,3,0),""),"")</f>
        <v/>
      </c>
      <c r="D2619" s="693"/>
      <c r="E2619" s="697"/>
      <c r="F2619" s="695"/>
      <c r="G2619" s="696"/>
      <c r="K2619" s="22" t="str">
        <f t="shared" si="81"/>
        <v/>
      </c>
      <c r="M2619" s="534" t="str">
        <f t="shared" si="80"/>
        <v/>
      </c>
    </row>
    <row r="2620" spans="2:13" ht="15.75" x14ac:dyDescent="0.25">
      <c r="B2620" s="692"/>
      <c r="C2620" s="117" t="str">
        <f>IF(ISNUMBER(B2620),IFERROR(VLOOKUP(B2620,'נתוני רישום ומצבת'!B:J,3,0),""),"")</f>
        <v/>
      </c>
      <c r="D2620" s="693"/>
      <c r="E2620" s="697"/>
      <c r="F2620" s="695"/>
      <c r="G2620" s="696"/>
      <c r="K2620" s="22" t="str">
        <f t="shared" si="81"/>
        <v/>
      </c>
      <c r="M2620" s="534" t="str">
        <f t="shared" si="80"/>
        <v/>
      </c>
    </row>
    <row r="2621" spans="2:13" ht="15.75" x14ac:dyDescent="0.25">
      <c r="B2621" s="692"/>
      <c r="C2621" s="117" t="str">
        <f>IF(ISNUMBER(B2621),IFERROR(VLOOKUP(B2621,'נתוני רישום ומצבת'!B:J,3,0),""),"")</f>
        <v/>
      </c>
      <c r="D2621" s="693"/>
      <c r="E2621" s="697"/>
      <c r="F2621" s="695"/>
      <c r="G2621" s="696"/>
      <c r="K2621" s="22" t="str">
        <f t="shared" si="81"/>
        <v/>
      </c>
      <c r="M2621" s="534" t="str">
        <f t="shared" si="80"/>
        <v/>
      </c>
    </row>
    <row r="2622" spans="2:13" ht="15.75" x14ac:dyDescent="0.25">
      <c r="B2622" s="692"/>
      <c r="C2622" s="117" t="str">
        <f>IF(ISNUMBER(B2622),IFERROR(VLOOKUP(B2622,'נתוני רישום ומצבת'!B:J,3,0),""),"")</f>
        <v/>
      </c>
      <c r="D2622" s="693"/>
      <c r="E2622" s="697"/>
      <c r="F2622" s="695"/>
      <c r="G2622" s="696"/>
      <c r="K2622" s="22" t="str">
        <f t="shared" si="81"/>
        <v/>
      </c>
      <c r="M2622" s="534" t="str">
        <f t="shared" si="80"/>
        <v/>
      </c>
    </row>
    <row r="2623" spans="2:13" ht="15.75" x14ac:dyDescent="0.25">
      <c r="B2623" s="692"/>
      <c r="C2623" s="117" t="str">
        <f>IF(ISNUMBER(B2623),IFERROR(VLOOKUP(B2623,'נתוני רישום ומצבת'!B:J,3,0),""),"")</f>
        <v/>
      </c>
      <c r="D2623" s="693"/>
      <c r="E2623" s="697"/>
      <c r="F2623" s="695"/>
      <c r="G2623" s="696"/>
      <c r="K2623" s="22" t="str">
        <f t="shared" si="81"/>
        <v/>
      </c>
      <c r="M2623" s="534" t="str">
        <f t="shared" si="80"/>
        <v/>
      </c>
    </row>
    <row r="2624" spans="2:13" ht="15.75" x14ac:dyDescent="0.25">
      <c r="B2624" s="692"/>
      <c r="C2624" s="117" t="str">
        <f>IF(ISNUMBER(B2624),IFERROR(VLOOKUP(B2624,'נתוני רישום ומצבת'!B:J,3,0),""),"")</f>
        <v/>
      </c>
      <c r="D2624" s="693"/>
      <c r="E2624" s="697"/>
      <c r="F2624" s="695"/>
      <c r="G2624" s="696"/>
      <c r="K2624" s="22" t="str">
        <f t="shared" si="81"/>
        <v/>
      </c>
      <c r="M2624" s="534" t="str">
        <f t="shared" si="80"/>
        <v/>
      </c>
    </row>
    <row r="2625" spans="2:13" ht="15.75" x14ac:dyDescent="0.25">
      <c r="B2625" s="692"/>
      <c r="C2625" s="117" t="str">
        <f>IF(ISNUMBER(B2625),IFERROR(VLOOKUP(B2625,'נתוני רישום ומצבת'!B:J,3,0),""),"")</f>
        <v/>
      </c>
      <c r="D2625" s="693"/>
      <c r="E2625" s="697"/>
      <c r="F2625" s="695"/>
      <c r="G2625" s="696"/>
      <c r="K2625" s="22" t="str">
        <f t="shared" si="81"/>
        <v/>
      </c>
      <c r="M2625" s="534" t="str">
        <f t="shared" si="80"/>
        <v/>
      </c>
    </row>
    <row r="2626" spans="2:13" ht="15.75" x14ac:dyDescent="0.25">
      <c r="B2626" s="692"/>
      <c r="C2626" s="117" t="str">
        <f>IF(ISNUMBER(B2626),IFERROR(VLOOKUP(B2626,'נתוני רישום ומצבת'!B:J,3,0),""),"")</f>
        <v/>
      </c>
      <c r="D2626" s="693"/>
      <c r="E2626" s="697"/>
      <c r="F2626" s="695"/>
      <c r="G2626" s="696"/>
      <c r="K2626" s="22" t="str">
        <f t="shared" si="81"/>
        <v/>
      </c>
      <c r="M2626" s="534" t="str">
        <f t="shared" si="80"/>
        <v/>
      </c>
    </row>
    <row r="2627" spans="2:13" ht="15.75" x14ac:dyDescent="0.25">
      <c r="B2627" s="692"/>
      <c r="C2627" s="117" t="str">
        <f>IF(ISNUMBER(B2627),IFERROR(VLOOKUP(B2627,'נתוני רישום ומצבת'!B:J,3,0),""),"")</f>
        <v/>
      </c>
      <c r="D2627" s="693"/>
      <c r="E2627" s="697"/>
      <c r="F2627" s="695"/>
      <c r="G2627" s="696"/>
      <c r="K2627" s="22" t="str">
        <f t="shared" si="81"/>
        <v/>
      </c>
      <c r="M2627" s="534" t="str">
        <f t="shared" si="80"/>
        <v/>
      </c>
    </row>
    <row r="2628" spans="2:13" ht="15.75" x14ac:dyDescent="0.25">
      <c r="B2628" s="692"/>
      <c r="C2628" s="117" t="str">
        <f>IF(ISNUMBER(B2628),IFERROR(VLOOKUP(B2628,'נתוני רישום ומצבת'!B:J,3,0),""),"")</f>
        <v/>
      </c>
      <c r="D2628" s="693"/>
      <c r="E2628" s="697"/>
      <c r="F2628" s="695"/>
      <c r="G2628" s="696"/>
      <c r="K2628" s="22" t="str">
        <f t="shared" si="81"/>
        <v/>
      </c>
      <c r="M2628" s="534" t="str">
        <f t="shared" si="80"/>
        <v/>
      </c>
    </row>
    <row r="2629" spans="2:13" ht="15.75" x14ac:dyDescent="0.25">
      <c r="B2629" s="692"/>
      <c r="C2629" s="117" t="str">
        <f>IF(ISNUMBER(B2629),IFERROR(VLOOKUP(B2629,'נתוני רישום ומצבת'!B:J,3,0),""),"")</f>
        <v/>
      </c>
      <c r="D2629" s="693"/>
      <c r="E2629" s="697"/>
      <c r="F2629" s="695"/>
      <c r="G2629" s="696"/>
      <c r="K2629" s="22" t="str">
        <f t="shared" si="81"/>
        <v/>
      </c>
      <c r="M2629" s="534" t="str">
        <f t="shared" si="80"/>
        <v/>
      </c>
    </row>
    <row r="2630" spans="2:13" ht="15.75" x14ac:dyDescent="0.25">
      <c r="B2630" s="692"/>
      <c r="C2630" s="117" t="str">
        <f>IF(ISNUMBER(B2630),IFERROR(VLOOKUP(B2630,'נתוני רישום ומצבת'!B:J,3,0),""),"")</f>
        <v/>
      </c>
      <c r="D2630" s="693"/>
      <c r="E2630" s="697"/>
      <c r="F2630" s="695"/>
      <c r="G2630" s="696"/>
      <c r="K2630" s="22" t="str">
        <f t="shared" si="81"/>
        <v/>
      </c>
      <c r="M2630" s="534" t="str">
        <f t="shared" si="80"/>
        <v/>
      </c>
    </row>
    <row r="2631" spans="2:13" ht="15.75" x14ac:dyDescent="0.25">
      <c r="B2631" s="692"/>
      <c r="C2631" s="117" t="str">
        <f>IF(ISNUMBER(B2631),IFERROR(VLOOKUP(B2631,'נתוני רישום ומצבת'!B:J,3,0),""),"")</f>
        <v/>
      </c>
      <c r="D2631" s="693"/>
      <c r="E2631" s="697"/>
      <c r="F2631" s="695"/>
      <c r="G2631" s="696"/>
      <c r="K2631" s="22" t="str">
        <f t="shared" si="81"/>
        <v/>
      </c>
      <c r="M2631" s="534" t="str">
        <f t="shared" si="80"/>
        <v/>
      </c>
    </row>
    <row r="2632" spans="2:13" ht="15.75" x14ac:dyDescent="0.25">
      <c r="B2632" s="692"/>
      <c r="C2632" s="117" t="str">
        <f>IF(ISNUMBER(B2632),IFERROR(VLOOKUP(B2632,'נתוני רישום ומצבת'!B:J,3,0),""),"")</f>
        <v/>
      </c>
      <c r="D2632" s="693"/>
      <c r="E2632" s="697"/>
      <c r="F2632" s="695"/>
      <c r="G2632" s="696"/>
      <c r="K2632" s="22" t="str">
        <f t="shared" si="81"/>
        <v/>
      </c>
      <c r="M2632" s="534" t="str">
        <f t="shared" si="80"/>
        <v/>
      </c>
    </row>
    <row r="2633" spans="2:13" ht="15.75" x14ac:dyDescent="0.25">
      <c r="B2633" s="692"/>
      <c r="C2633" s="117" t="str">
        <f>IF(ISNUMBER(B2633),IFERROR(VLOOKUP(B2633,'נתוני רישום ומצבת'!B:J,3,0),""),"")</f>
        <v/>
      </c>
      <c r="D2633" s="693"/>
      <c r="E2633" s="697"/>
      <c r="F2633" s="695"/>
      <c r="G2633" s="696"/>
      <c r="K2633" s="22" t="str">
        <f t="shared" si="81"/>
        <v/>
      </c>
      <c r="M2633" s="534" t="str">
        <f t="shared" si="80"/>
        <v/>
      </c>
    </row>
    <row r="2634" spans="2:13" ht="15.75" x14ac:dyDescent="0.25">
      <c r="B2634" s="692"/>
      <c r="C2634" s="117" t="str">
        <f>IF(ISNUMBER(B2634),IFERROR(VLOOKUP(B2634,'נתוני רישום ומצבת'!B:J,3,0),""),"")</f>
        <v/>
      </c>
      <c r="D2634" s="693"/>
      <c r="E2634" s="697"/>
      <c r="F2634" s="695"/>
      <c r="G2634" s="696"/>
      <c r="K2634" s="22" t="str">
        <f t="shared" si="81"/>
        <v/>
      </c>
      <c r="M2634" s="534" t="str">
        <f t="shared" si="80"/>
        <v/>
      </c>
    </row>
    <row r="2635" spans="2:13" ht="15.75" x14ac:dyDescent="0.25">
      <c r="B2635" s="692"/>
      <c r="C2635" s="117" t="str">
        <f>IF(ISNUMBER(B2635),IFERROR(VLOOKUP(B2635,'נתוני רישום ומצבת'!B:J,3,0),""),"")</f>
        <v/>
      </c>
      <c r="D2635" s="693"/>
      <c r="E2635" s="697"/>
      <c r="F2635" s="695"/>
      <c r="G2635" s="696"/>
      <c r="K2635" s="22" t="str">
        <f t="shared" si="81"/>
        <v/>
      </c>
      <c r="M2635" s="534" t="str">
        <f t="shared" si="80"/>
        <v/>
      </c>
    </row>
    <row r="2636" spans="2:13" ht="15.75" x14ac:dyDescent="0.25">
      <c r="B2636" s="692"/>
      <c r="C2636" s="117" t="str">
        <f>IF(ISNUMBER(B2636),IFERROR(VLOOKUP(B2636,'נתוני רישום ומצבת'!B:J,3,0),""),"")</f>
        <v/>
      </c>
      <c r="D2636" s="693"/>
      <c r="E2636" s="697"/>
      <c r="F2636" s="695"/>
      <c r="G2636" s="696"/>
      <c r="K2636" s="22" t="str">
        <f t="shared" si="81"/>
        <v/>
      </c>
      <c r="M2636" s="534" t="str">
        <f t="shared" si="80"/>
        <v/>
      </c>
    </row>
    <row r="2637" spans="2:13" ht="15.75" x14ac:dyDescent="0.25">
      <c r="B2637" s="692"/>
      <c r="C2637" s="117" t="str">
        <f>IF(ISNUMBER(B2637),IFERROR(VLOOKUP(B2637,'נתוני רישום ומצבת'!B:J,3,0),""),"")</f>
        <v/>
      </c>
      <c r="D2637" s="693"/>
      <c r="E2637" s="697"/>
      <c r="F2637" s="695"/>
      <c r="G2637" s="696"/>
      <c r="K2637" s="22" t="str">
        <f t="shared" si="81"/>
        <v/>
      </c>
      <c r="M2637" s="534" t="str">
        <f t="shared" si="80"/>
        <v/>
      </c>
    </row>
    <row r="2638" spans="2:13" ht="15.75" x14ac:dyDescent="0.25">
      <c r="B2638" s="692"/>
      <c r="C2638" s="117" t="str">
        <f>IF(ISNUMBER(B2638),IFERROR(VLOOKUP(B2638,'נתוני רישום ומצבת'!B:J,3,0),""),"")</f>
        <v/>
      </c>
      <c r="D2638" s="693"/>
      <c r="E2638" s="697"/>
      <c r="F2638" s="695"/>
      <c r="G2638" s="696"/>
      <c r="K2638" s="22" t="str">
        <f t="shared" si="81"/>
        <v/>
      </c>
      <c r="M2638" s="534" t="str">
        <f t="shared" si="80"/>
        <v/>
      </c>
    </row>
    <row r="2639" spans="2:13" ht="15.75" x14ac:dyDescent="0.25">
      <c r="B2639" s="692"/>
      <c r="C2639" s="117" t="str">
        <f>IF(ISNUMBER(B2639),IFERROR(VLOOKUP(B2639,'נתוני רישום ומצבת'!B:J,3,0),""),"")</f>
        <v/>
      </c>
      <c r="D2639" s="693"/>
      <c r="E2639" s="697"/>
      <c r="F2639" s="695"/>
      <c r="G2639" s="696"/>
      <c r="K2639" s="22" t="str">
        <f t="shared" si="81"/>
        <v/>
      </c>
      <c r="M2639" s="534" t="str">
        <f t="shared" si="80"/>
        <v/>
      </c>
    </row>
    <row r="2640" spans="2:13" ht="15.75" x14ac:dyDescent="0.25">
      <c r="B2640" s="692"/>
      <c r="C2640" s="117" t="str">
        <f>IF(ISNUMBER(B2640),IFERROR(VLOOKUP(B2640,'נתוני רישום ומצבת'!B:J,3,0),""),"")</f>
        <v/>
      </c>
      <c r="D2640" s="693"/>
      <c r="E2640" s="697"/>
      <c r="F2640" s="695"/>
      <c r="G2640" s="696"/>
      <c r="K2640" s="22" t="str">
        <f t="shared" si="81"/>
        <v/>
      </c>
      <c r="M2640" s="534" t="str">
        <f t="shared" si="80"/>
        <v/>
      </c>
    </row>
    <row r="2641" spans="2:13" ht="15.75" x14ac:dyDescent="0.25">
      <c r="B2641" s="692"/>
      <c r="C2641" s="117" t="str">
        <f>IF(ISNUMBER(B2641),IFERROR(VLOOKUP(B2641,'נתוני רישום ומצבת'!B:J,3,0),""),"")</f>
        <v/>
      </c>
      <c r="D2641" s="693"/>
      <c r="E2641" s="697"/>
      <c r="F2641" s="695"/>
      <c r="G2641" s="696"/>
      <c r="K2641" s="22" t="str">
        <f t="shared" si="81"/>
        <v/>
      </c>
      <c r="M2641" s="534" t="str">
        <f t="shared" ref="M2641:M2704" si="82">TEXT(LEFT(D2641,2),0)</f>
        <v/>
      </c>
    </row>
    <row r="2642" spans="2:13" ht="15.75" x14ac:dyDescent="0.25">
      <c r="B2642" s="692"/>
      <c r="C2642" s="117" t="str">
        <f>IF(ISNUMBER(B2642),IFERROR(VLOOKUP(B2642,'נתוני רישום ומצבת'!B:J,3,0),""),"")</f>
        <v/>
      </c>
      <c r="D2642" s="693"/>
      <c r="E2642" s="697"/>
      <c r="F2642" s="695"/>
      <c r="G2642" s="696"/>
      <c r="K2642" s="22" t="str">
        <f t="shared" si="81"/>
        <v/>
      </c>
      <c r="M2642" s="534" t="str">
        <f t="shared" si="82"/>
        <v/>
      </c>
    </row>
    <row r="2643" spans="2:13" ht="15.75" x14ac:dyDescent="0.25">
      <c r="B2643" s="692"/>
      <c r="C2643" s="117" t="str">
        <f>IF(ISNUMBER(B2643),IFERROR(VLOOKUP(B2643,'נתוני רישום ומצבת'!B:J,3,0),""),"")</f>
        <v/>
      </c>
      <c r="D2643" s="693"/>
      <c r="E2643" s="697"/>
      <c r="F2643" s="695"/>
      <c r="G2643" s="696"/>
      <c r="K2643" s="22" t="str">
        <f t="shared" si="81"/>
        <v/>
      </c>
      <c r="M2643" s="534" t="str">
        <f t="shared" si="82"/>
        <v/>
      </c>
    </row>
    <row r="2644" spans="2:13" ht="15.75" x14ac:dyDescent="0.25">
      <c r="B2644" s="692"/>
      <c r="C2644" s="117" t="str">
        <f>IF(ISNUMBER(B2644),IFERROR(VLOOKUP(B2644,'נתוני רישום ומצבת'!B:J,3,0),""),"")</f>
        <v/>
      </c>
      <c r="D2644" s="693"/>
      <c r="E2644" s="697"/>
      <c r="F2644" s="695"/>
      <c r="G2644" s="696"/>
      <c r="K2644" s="22" t="str">
        <f t="shared" si="81"/>
        <v/>
      </c>
      <c r="M2644" s="534" t="str">
        <f t="shared" si="82"/>
        <v/>
      </c>
    </row>
    <row r="2645" spans="2:13" ht="15.75" x14ac:dyDescent="0.25">
      <c r="B2645" s="692"/>
      <c r="C2645" s="117" t="str">
        <f>IF(ISNUMBER(B2645),IFERROR(VLOOKUP(B2645,'נתוני רישום ומצבת'!B:J,3,0),""),"")</f>
        <v/>
      </c>
      <c r="D2645" s="693"/>
      <c r="E2645" s="697"/>
      <c r="F2645" s="695"/>
      <c r="G2645" s="696"/>
      <c r="K2645" s="22" t="str">
        <f t="shared" ref="K2645:K2708" si="83">IF(C2632&lt;5,IF(D2645=$F$8,-E2645," "),"")</f>
        <v/>
      </c>
      <c r="M2645" s="534" t="str">
        <f t="shared" si="82"/>
        <v/>
      </c>
    </row>
    <row r="2646" spans="2:13" ht="15.75" x14ac:dyDescent="0.25">
      <c r="B2646" s="692"/>
      <c r="C2646" s="117" t="str">
        <f>IF(ISNUMBER(B2646),IFERROR(VLOOKUP(B2646,'נתוני רישום ומצבת'!B:J,3,0),""),"")</f>
        <v/>
      </c>
      <c r="D2646" s="693"/>
      <c r="E2646" s="697"/>
      <c r="F2646" s="695"/>
      <c r="G2646" s="696"/>
      <c r="K2646" s="22" t="str">
        <f t="shared" si="83"/>
        <v/>
      </c>
      <c r="M2646" s="534" t="str">
        <f t="shared" si="82"/>
        <v/>
      </c>
    </row>
    <row r="2647" spans="2:13" ht="15.75" x14ac:dyDescent="0.25">
      <c r="B2647" s="692"/>
      <c r="C2647" s="117" t="str">
        <f>IF(ISNUMBER(B2647),IFERROR(VLOOKUP(B2647,'נתוני רישום ומצבת'!B:J,3,0),""),"")</f>
        <v/>
      </c>
      <c r="D2647" s="693"/>
      <c r="E2647" s="697"/>
      <c r="F2647" s="695"/>
      <c r="G2647" s="696"/>
      <c r="K2647" s="22" t="str">
        <f t="shared" si="83"/>
        <v/>
      </c>
      <c r="M2647" s="534" t="str">
        <f t="shared" si="82"/>
        <v/>
      </c>
    </row>
    <row r="2648" spans="2:13" ht="15.75" x14ac:dyDescent="0.25">
      <c r="B2648" s="692"/>
      <c r="C2648" s="117" t="str">
        <f>IF(ISNUMBER(B2648),IFERROR(VLOOKUP(B2648,'נתוני רישום ומצבת'!B:J,3,0),""),"")</f>
        <v/>
      </c>
      <c r="D2648" s="693"/>
      <c r="E2648" s="697"/>
      <c r="F2648" s="695"/>
      <c r="G2648" s="696"/>
      <c r="K2648" s="22" t="str">
        <f t="shared" si="83"/>
        <v/>
      </c>
      <c r="M2648" s="534" t="str">
        <f t="shared" si="82"/>
        <v/>
      </c>
    </row>
    <row r="2649" spans="2:13" ht="15.75" x14ac:dyDescent="0.25">
      <c r="B2649" s="692"/>
      <c r="C2649" s="117" t="str">
        <f>IF(ISNUMBER(B2649),IFERROR(VLOOKUP(B2649,'נתוני רישום ומצבת'!B:J,3,0),""),"")</f>
        <v/>
      </c>
      <c r="D2649" s="693"/>
      <c r="E2649" s="697"/>
      <c r="F2649" s="695"/>
      <c r="G2649" s="696"/>
      <c r="K2649" s="22" t="str">
        <f t="shared" si="83"/>
        <v/>
      </c>
      <c r="M2649" s="534" t="str">
        <f t="shared" si="82"/>
        <v/>
      </c>
    </row>
    <row r="2650" spans="2:13" ht="15.75" x14ac:dyDescent="0.25">
      <c r="B2650" s="692"/>
      <c r="C2650" s="117" t="str">
        <f>IF(ISNUMBER(B2650),IFERROR(VLOOKUP(B2650,'נתוני רישום ומצבת'!B:J,3,0),""),"")</f>
        <v/>
      </c>
      <c r="D2650" s="693"/>
      <c r="E2650" s="697"/>
      <c r="F2650" s="695"/>
      <c r="G2650" s="696"/>
      <c r="K2650" s="22" t="str">
        <f t="shared" si="83"/>
        <v/>
      </c>
      <c r="M2650" s="534" t="str">
        <f t="shared" si="82"/>
        <v/>
      </c>
    </row>
    <row r="2651" spans="2:13" ht="15.75" x14ac:dyDescent="0.25">
      <c r="B2651" s="692"/>
      <c r="C2651" s="117" t="str">
        <f>IF(ISNUMBER(B2651),IFERROR(VLOOKUP(B2651,'נתוני רישום ומצבת'!B:J,3,0),""),"")</f>
        <v/>
      </c>
      <c r="D2651" s="693"/>
      <c r="E2651" s="697"/>
      <c r="F2651" s="695"/>
      <c r="G2651" s="696"/>
      <c r="K2651" s="22" t="str">
        <f t="shared" si="83"/>
        <v/>
      </c>
      <c r="M2651" s="534" t="str">
        <f t="shared" si="82"/>
        <v/>
      </c>
    </row>
    <row r="2652" spans="2:13" ht="15.75" x14ac:dyDescent="0.25">
      <c r="B2652" s="692"/>
      <c r="C2652" s="117" t="str">
        <f>IF(ISNUMBER(B2652),IFERROR(VLOOKUP(B2652,'נתוני רישום ומצבת'!B:J,3,0),""),"")</f>
        <v/>
      </c>
      <c r="D2652" s="693"/>
      <c r="E2652" s="697"/>
      <c r="F2652" s="695"/>
      <c r="G2652" s="696"/>
      <c r="K2652" s="22" t="str">
        <f t="shared" si="83"/>
        <v/>
      </c>
      <c r="M2652" s="534" t="str">
        <f t="shared" si="82"/>
        <v/>
      </c>
    </row>
    <row r="2653" spans="2:13" ht="15.75" x14ac:dyDescent="0.25">
      <c r="B2653" s="692"/>
      <c r="C2653" s="117" t="str">
        <f>IF(ISNUMBER(B2653),IFERROR(VLOOKUP(B2653,'נתוני רישום ומצבת'!B:J,3,0),""),"")</f>
        <v/>
      </c>
      <c r="D2653" s="693"/>
      <c r="E2653" s="697"/>
      <c r="F2653" s="695"/>
      <c r="G2653" s="696"/>
      <c r="K2653" s="22" t="str">
        <f t="shared" si="83"/>
        <v/>
      </c>
      <c r="M2653" s="534" t="str">
        <f t="shared" si="82"/>
        <v/>
      </c>
    </row>
    <row r="2654" spans="2:13" ht="15.75" x14ac:dyDescent="0.25">
      <c r="B2654" s="692"/>
      <c r="C2654" s="117" t="str">
        <f>IF(ISNUMBER(B2654),IFERROR(VLOOKUP(B2654,'נתוני רישום ומצבת'!B:J,3,0),""),"")</f>
        <v/>
      </c>
      <c r="D2654" s="693"/>
      <c r="E2654" s="697"/>
      <c r="F2654" s="695"/>
      <c r="G2654" s="696"/>
      <c r="K2654" s="22" t="str">
        <f t="shared" si="83"/>
        <v/>
      </c>
      <c r="M2654" s="534" t="str">
        <f t="shared" si="82"/>
        <v/>
      </c>
    </row>
    <row r="2655" spans="2:13" ht="15.75" x14ac:dyDescent="0.25">
      <c r="B2655" s="692"/>
      <c r="C2655" s="117" t="str">
        <f>IF(ISNUMBER(B2655),IFERROR(VLOOKUP(B2655,'נתוני רישום ומצבת'!B:J,3,0),""),"")</f>
        <v/>
      </c>
      <c r="D2655" s="693"/>
      <c r="E2655" s="697"/>
      <c r="F2655" s="695"/>
      <c r="G2655" s="696"/>
      <c r="K2655" s="22" t="str">
        <f t="shared" si="83"/>
        <v/>
      </c>
      <c r="M2655" s="534" t="str">
        <f t="shared" si="82"/>
        <v/>
      </c>
    </row>
    <row r="2656" spans="2:13" ht="15.75" x14ac:dyDescent="0.25">
      <c r="B2656" s="692"/>
      <c r="C2656" s="117" t="str">
        <f>IF(ISNUMBER(B2656),IFERROR(VLOOKUP(B2656,'נתוני רישום ומצבת'!B:J,3,0),""),"")</f>
        <v/>
      </c>
      <c r="D2656" s="693"/>
      <c r="E2656" s="697"/>
      <c r="F2656" s="695"/>
      <c r="G2656" s="696"/>
      <c r="K2656" s="22" t="str">
        <f t="shared" si="83"/>
        <v/>
      </c>
      <c r="M2656" s="534" t="str">
        <f t="shared" si="82"/>
        <v/>
      </c>
    </row>
    <row r="2657" spans="2:13" ht="15.75" x14ac:dyDescent="0.25">
      <c r="B2657" s="692"/>
      <c r="C2657" s="117" t="str">
        <f>IF(ISNUMBER(B2657),IFERROR(VLOOKUP(B2657,'נתוני רישום ומצבת'!B:J,3,0),""),"")</f>
        <v/>
      </c>
      <c r="D2657" s="693"/>
      <c r="E2657" s="697"/>
      <c r="F2657" s="695"/>
      <c r="G2657" s="696"/>
      <c r="K2657" s="22" t="str">
        <f t="shared" si="83"/>
        <v/>
      </c>
      <c r="M2657" s="534" t="str">
        <f t="shared" si="82"/>
        <v/>
      </c>
    </row>
    <row r="2658" spans="2:13" ht="15.75" x14ac:dyDescent="0.25">
      <c r="B2658" s="692"/>
      <c r="C2658" s="117" t="str">
        <f>IF(ISNUMBER(B2658),IFERROR(VLOOKUP(B2658,'נתוני רישום ומצבת'!B:J,3,0),""),"")</f>
        <v/>
      </c>
      <c r="D2658" s="693"/>
      <c r="E2658" s="697"/>
      <c r="F2658" s="695"/>
      <c r="G2658" s="696"/>
      <c r="K2658" s="22" t="str">
        <f t="shared" si="83"/>
        <v/>
      </c>
      <c r="M2658" s="534" t="str">
        <f t="shared" si="82"/>
        <v/>
      </c>
    </row>
    <row r="2659" spans="2:13" ht="15.75" x14ac:dyDescent="0.25">
      <c r="B2659" s="692"/>
      <c r="C2659" s="117" t="str">
        <f>IF(ISNUMBER(B2659),IFERROR(VLOOKUP(B2659,'נתוני רישום ומצבת'!B:J,3,0),""),"")</f>
        <v/>
      </c>
      <c r="D2659" s="693"/>
      <c r="E2659" s="697"/>
      <c r="F2659" s="695"/>
      <c r="G2659" s="696"/>
      <c r="K2659" s="22" t="str">
        <f t="shared" si="83"/>
        <v/>
      </c>
      <c r="M2659" s="534" t="str">
        <f t="shared" si="82"/>
        <v/>
      </c>
    </row>
    <row r="2660" spans="2:13" ht="15.75" x14ac:dyDescent="0.25">
      <c r="B2660" s="692"/>
      <c r="C2660" s="117" t="str">
        <f>IF(ISNUMBER(B2660),IFERROR(VLOOKUP(B2660,'נתוני רישום ומצבת'!B:J,3,0),""),"")</f>
        <v/>
      </c>
      <c r="D2660" s="693"/>
      <c r="E2660" s="697"/>
      <c r="F2660" s="695"/>
      <c r="G2660" s="696"/>
      <c r="K2660" s="22" t="str">
        <f t="shared" si="83"/>
        <v/>
      </c>
      <c r="M2660" s="534" t="str">
        <f t="shared" si="82"/>
        <v/>
      </c>
    </row>
    <row r="2661" spans="2:13" ht="15.75" x14ac:dyDescent="0.25">
      <c r="B2661" s="692"/>
      <c r="C2661" s="117" t="str">
        <f>IF(ISNUMBER(B2661),IFERROR(VLOOKUP(B2661,'נתוני רישום ומצבת'!B:J,3,0),""),"")</f>
        <v/>
      </c>
      <c r="D2661" s="693"/>
      <c r="E2661" s="697"/>
      <c r="F2661" s="695"/>
      <c r="G2661" s="696"/>
      <c r="K2661" s="22" t="str">
        <f t="shared" si="83"/>
        <v/>
      </c>
      <c r="M2661" s="534" t="str">
        <f t="shared" si="82"/>
        <v/>
      </c>
    </row>
    <row r="2662" spans="2:13" ht="15.75" x14ac:dyDescent="0.25">
      <c r="B2662" s="692"/>
      <c r="C2662" s="117" t="str">
        <f>IF(ISNUMBER(B2662),IFERROR(VLOOKUP(B2662,'נתוני רישום ומצבת'!B:J,3,0),""),"")</f>
        <v/>
      </c>
      <c r="D2662" s="693"/>
      <c r="E2662" s="697"/>
      <c r="F2662" s="695"/>
      <c r="G2662" s="696"/>
      <c r="K2662" s="22" t="str">
        <f t="shared" si="83"/>
        <v/>
      </c>
      <c r="M2662" s="534" t="str">
        <f t="shared" si="82"/>
        <v/>
      </c>
    </row>
    <row r="2663" spans="2:13" ht="15.75" x14ac:dyDescent="0.25">
      <c r="B2663" s="692"/>
      <c r="C2663" s="117" t="str">
        <f>IF(ISNUMBER(B2663),IFERROR(VLOOKUP(B2663,'נתוני רישום ומצבת'!B:J,3,0),""),"")</f>
        <v/>
      </c>
      <c r="D2663" s="693"/>
      <c r="E2663" s="697"/>
      <c r="F2663" s="695"/>
      <c r="G2663" s="696"/>
      <c r="K2663" s="22" t="str">
        <f t="shared" si="83"/>
        <v/>
      </c>
      <c r="M2663" s="534" t="str">
        <f t="shared" si="82"/>
        <v/>
      </c>
    </row>
    <row r="2664" spans="2:13" ht="15.75" x14ac:dyDescent="0.25">
      <c r="B2664" s="692"/>
      <c r="C2664" s="117" t="str">
        <f>IF(ISNUMBER(B2664),IFERROR(VLOOKUP(B2664,'נתוני רישום ומצבת'!B:J,3,0),""),"")</f>
        <v/>
      </c>
      <c r="D2664" s="693"/>
      <c r="E2664" s="697"/>
      <c r="F2664" s="695"/>
      <c r="G2664" s="696"/>
      <c r="K2664" s="22" t="str">
        <f t="shared" si="83"/>
        <v/>
      </c>
      <c r="M2664" s="534" t="str">
        <f t="shared" si="82"/>
        <v/>
      </c>
    </row>
    <row r="2665" spans="2:13" ht="15.75" x14ac:dyDescent="0.25">
      <c r="B2665" s="692"/>
      <c r="C2665" s="117" t="str">
        <f>IF(ISNUMBER(B2665),IFERROR(VLOOKUP(B2665,'נתוני רישום ומצבת'!B:J,3,0),""),"")</f>
        <v/>
      </c>
      <c r="D2665" s="693"/>
      <c r="E2665" s="697"/>
      <c r="F2665" s="695"/>
      <c r="G2665" s="696"/>
      <c r="K2665" s="22" t="str">
        <f t="shared" si="83"/>
        <v/>
      </c>
      <c r="M2665" s="534" t="str">
        <f t="shared" si="82"/>
        <v/>
      </c>
    </row>
    <row r="2666" spans="2:13" ht="15.75" x14ac:dyDescent="0.25">
      <c r="B2666" s="692"/>
      <c r="C2666" s="117" t="str">
        <f>IF(ISNUMBER(B2666),IFERROR(VLOOKUP(B2666,'נתוני רישום ומצבת'!B:J,3,0),""),"")</f>
        <v/>
      </c>
      <c r="D2666" s="693"/>
      <c r="E2666" s="697"/>
      <c r="F2666" s="695"/>
      <c r="G2666" s="696"/>
      <c r="K2666" s="22" t="str">
        <f t="shared" si="83"/>
        <v/>
      </c>
      <c r="M2666" s="534" t="str">
        <f t="shared" si="82"/>
        <v/>
      </c>
    </row>
    <row r="2667" spans="2:13" ht="15.75" x14ac:dyDescent="0.25">
      <c r="B2667" s="692"/>
      <c r="C2667" s="117" t="str">
        <f>IF(ISNUMBER(B2667),IFERROR(VLOOKUP(B2667,'נתוני רישום ומצבת'!B:J,3,0),""),"")</f>
        <v/>
      </c>
      <c r="D2667" s="693"/>
      <c r="E2667" s="697"/>
      <c r="F2667" s="695"/>
      <c r="G2667" s="696"/>
      <c r="K2667" s="22" t="str">
        <f t="shared" si="83"/>
        <v/>
      </c>
      <c r="M2667" s="534" t="str">
        <f t="shared" si="82"/>
        <v/>
      </c>
    </row>
    <row r="2668" spans="2:13" ht="15.75" x14ac:dyDescent="0.25">
      <c r="B2668" s="692"/>
      <c r="C2668" s="117" t="str">
        <f>IF(ISNUMBER(B2668),IFERROR(VLOOKUP(B2668,'נתוני רישום ומצבת'!B:J,3,0),""),"")</f>
        <v/>
      </c>
      <c r="D2668" s="693"/>
      <c r="E2668" s="697"/>
      <c r="F2668" s="695"/>
      <c r="G2668" s="696"/>
      <c r="K2668" s="22" t="str">
        <f t="shared" si="83"/>
        <v/>
      </c>
      <c r="M2668" s="534" t="str">
        <f t="shared" si="82"/>
        <v/>
      </c>
    </row>
    <row r="2669" spans="2:13" ht="15.75" x14ac:dyDescent="0.25">
      <c r="B2669" s="692"/>
      <c r="C2669" s="117" t="str">
        <f>IF(ISNUMBER(B2669),IFERROR(VLOOKUP(B2669,'נתוני רישום ומצבת'!B:J,3,0),""),"")</f>
        <v/>
      </c>
      <c r="D2669" s="693"/>
      <c r="E2669" s="697"/>
      <c r="F2669" s="695"/>
      <c r="G2669" s="696"/>
      <c r="K2669" s="22" t="str">
        <f t="shared" si="83"/>
        <v/>
      </c>
      <c r="M2669" s="534" t="str">
        <f t="shared" si="82"/>
        <v/>
      </c>
    </row>
    <row r="2670" spans="2:13" ht="15.75" x14ac:dyDescent="0.25">
      <c r="B2670" s="692"/>
      <c r="C2670" s="117" t="str">
        <f>IF(ISNUMBER(B2670),IFERROR(VLOOKUP(B2670,'נתוני רישום ומצבת'!B:J,3,0),""),"")</f>
        <v/>
      </c>
      <c r="D2670" s="693"/>
      <c r="E2670" s="697"/>
      <c r="F2670" s="695"/>
      <c r="G2670" s="696"/>
      <c r="K2670" s="22" t="str">
        <f t="shared" si="83"/>
        <v/>
      </c>
      <c r="M2670" s="534" t="str">
        <f t="shared" si="82"/>
        <v/>
      </c>
    </row>
    <row r="2671" spans="2:13" ht="15.75" x14ac:dyDescent="0.25">
      <c r="B2671" s="692"/>
      <c r="C2671" s="117" t="str">
        <f>IF(ISNUMBER(B2671),IFERROR(VLOOKUP(B2671,'נתוני רישום ומצבת'!B:J,3,0),""),"")</f>
        <v/>
      </c>
      <c r="D2671" s="693"/>
      <c r="E2671" s="697"/>
      <c r="F2671" s="695"/>
      <c r="G2671" s="696"/>
      <c r="K2671" s="22" t="str">
        <f t="shared" si="83"/>
        <v/>
      </c>
      <c r="M2671" s="534" t="str">
        <f t="shared" si="82"/>
        <v/>
      </c>
    </row>
    <row r="2672" spans="2:13" ht="15.75" x14ac:dyDescent="0.25">
      <c r="B2672" s="692"/>
      <c r="C2672" s="117" t="str">
        <f>IF(ISNUMBER(B2672),IFERROR(VLOOKUP(B2672,'נתוני רישום ומצבת'!B:J,3,0),""),"")</f>
        <v/>
      </c>
      <c r="D2672" s="693"/>
      <c r="E2672" s="697"/>
      <c r="F2672" s="695"/>
      <c r="G2672" s="696"/>
      <c r="K2672" s="22" t="str">
        <f t="shared" si="83"/>
        <v/>
      </c>
      <c r="M2672" s="534" t="str">
        <f t="shared" si="82"/>
        <v/>
      </c>
    </row>
    <row r="2673" spans="2:13" ht="15.75" x14ac:dyDescent="0.25">
      <c r="B2673" s="692"/>
      <c r="C2673" s="117" t="str">
        <f>IF(ISNUMBER(B2673),IFERROR(VLOOKUP(B2673,'נתוני רישום ומצבת'!B:J,3,0),""),"")</f>
        <v/>
      </c>
      <c r="D2673" s="693"/>
      <c r="E2673" s="697"/>
      <c r="F2673" s="695"/>
      <c r="G2673" s="696"/>
      <c r="K2673" s="22" t="str">
        <f t="shared" si="83"/>
        <v/>
      </c>
      <c r="M2673" s="534" t="str">
        <f t="shared" si="82"/>
        <v/>
      </c>
    </row>
    <row r="2674" spans="2:13" ht="15.75" x14ac:dyDescent="0.25">
      <c r="B2674" s="692"/>
      <c r="C2674" s="117" t="str">
        <f>IF(ISNUMBER(B2674),IFERROR(VLOOKUP(B2674,'נתוני רישום ומצבת'!B:J,3,0),""),"")</f>
        <v/>
      </c>
      <c r="D2674" s="693"/>
      <c r="E2674" s="697"/>
      <c r="F2674" s="695"/>
      <c r="G2674" s="696"/>
      <c r="K2674" s="22" t="str">
        <f t="shared" si="83"/>
        <v/>
      </c>
      <c r="M2674" s="534" t="str">
        <f t="shared" si="82"/>
        <v/>
      </c>
    </row>
    <row r="2675" spans="2:13" ht="15.75" x14ac:dyDescent="0.25">
      <c r="B2675" s="692"/>
      <c r="C2675" s="117" t="str">
        <f>IF(ISNUMBER(B2675),IFERROR(VLOOKUP(B2675,'נתוני רישום ומצבת'!B:J,3,0),""),"")</f>
        <v/>
      </c>
      <c r="D2675" s="693"/>
      <c r="E2675" s="697"/>
      <c r="F2675" s="695"/>
      <c r="G2675" s="696"/>
      <c r="K2675" s="22" t="str">
        <f t="shared" si="83"/>
        <v/>
      </c>
      <c r="M2675" s="534" t="str">
        <f t="shared" si="82"/>
        <v/>
      </c>
    </row>
    <row r="2676" spans="2:13" ht="15.75" x14ac:dyDescent="0.25">
      <c r="B2676" s="692"/>
      <c r="C2676" s="117" t="str">
        <f>IF(ISNUMBER(B2676),IFERROR(VLOOKUP(B2676,'נתוני רישום ומצבת'!B:J,3,0),""),"")</f>
        <v/>
      </c>
      <c r="D2676" s="693"/>
      <c r="E2676" s="697"/>
      <c r="F2676" s="695"/>
      <c r="G2676" s="696"/>
      <c r="K2676" s="22" t="str">
        <f t="shared" si="83"/>
        <v/>
      </c>
      <c r="M2676" s="534" t="str">
        <f t="shared" si="82"/>
        <v/>
      </c>
    </row>
    <row r="2677" spans="2:13" ht="15.75" x14ac:dyDescent="0.25">
      <c r="B2677" s="692"/>
      <c r="C2677" s="117" t="str">
        <f>IF(ISNUMBER(B2677),IFERROR(VLOOKUP(B2677,'נתוני רישום ומצבת'!B:J,3,0),""),"")</f>
        <v/>
      </c>
      <c r="D2677" s="693"/>
      <c r="E2677" s="697"/>
      <c r="F2677" s="695"/>
      <c r="G2677" s="696"/>
      <c r="K2677" s="22" t="str">
        <f t="shared" si="83"/>
        <v/>
      </c>
      <c r="M2677" s="534" t="str">
        <f t="shared" si="82"/>
        <v/>
      </c>
    </row>
    <row r="2678" spans="2:13" ht="15.75" x14ac:dyDescent="0.25">
      <c r="B2678" s="692"/>
      <c r="C2678" s="117" t="str">
        <f>IF(ISNUMBER(B2678),IFERROR(VLOOKUP(B2678,'נתוני רישום ומצבת'!B:J,3,0),""),"")</f>
        <v/>
      </c>
      <c r="D2678" s="693"/>
      <c r="E2678" s="697"/>
      <c r="F2678" s="695"/>
      <c r="G2678" s="696"/>
      <c r="K2678" s="22" t="str">
        <f t="shared" si="83"/>
        <v/>
      </c>
      <c r="M2678" s="534" t="str">
        <f t="shared" si="82"/>
        <v/>
      </c>
    </row>
    <row r="2679" spans="2:13" ht="15.75" x14ac:dyDescent="0.25">
      <c r="B2679" s="692"/>
      <c r="C2679" s="117" t="str">
        <f>IF(ISNUMBER(B2679),IFERROR(VLOOKUP(B2679,'נתוני רישום ומצבת'!B:J,3,0),""),"")</f>
        <v/>
      </c>
      <c r="D2679" s="693"/>
      <c r="E2679" s="697"/>
      <c r="F2679" s="695"/>
      <c r="G2679" s="696"/>
      <c r="K2679" s="22" t="str">
        <f t="shared" si="83"/>
        <v/>
      </c>
      <c r="M2679" s="534" t="str">
        <f t="shared" si="82"/>
        <v/>
      </c>
    </row>
    <row r="2680" spans="2:13" ht="15.75" x14ac:dyDescent="0.25">
      <c r="B2680" s="692"/>
      <c r="C2680" s="117" t="str">
        <f>IF(ISNUMBER(B2680),IFERROR(VLOOKUP(B2680,'נתוני רישום ומצבת'!B:J,3,0),""),"")</f>
        <v/>
      </c>
      <c r="D2680" s="693"/>
      <c r="E2680" s="697"/>
      <c r="F2680" s="695"/>
      <c r="G2680" s="696"/>
      <c r="K2680" s="22" t="str">
        <f t="shared" si="83"/>
        <v/>
      </c>
      <c r="M2680" s="534" t="str">
        <f t="shared" si="82"/>
        <v/>
      </c>
    </row>
    <row r="2681" spans="2:13" ht="15.75" x14ac:dyDescent="0.25">
      <c r="B2681" s="692"/>
      <c r="C2681" s="117" t="str">
        <f>IF(ISNUMBER(B2681),IFERROR(VLOOKUP(B2681,'נתוני רישום ומצבת'!B:J,3,0),""),"")</f>
        <v/>
      </c>
      <c r="D2681" s="693"/>
      <c r="E2681" s="697"/>
      <c r="F2681" s="695"/>
      <c r="G2681" s="696"/>
      <c r="K2681" s="22" t="str">
        <f t="shared" si="83"/>
        <v/>
      </c>
      <c r="M2681" s="534" t="str">
        <f t="shared" si="82"/>
        <v/>
      </c>
    </row>
    <row r="2682" spans="2:13" ht="15.75" x14ac:dyDescent="0.25">
      <c r="B2682" s="692"/>
      <c r="C2682" s="117" t="str">
        <f>IF(ISNUMBER(B2682),IFERROR(VLOOKUP(B2682,'נתוני רישום ומצבת'!B:J,3,0),""),"")</f>
        <v/>
      </c>
      <c r="D2682" s="693"/>
      <c r="E2682" s="697"/>
      <c r="F2682" s="695"/>
      <c r="G2682" s="696"/>
      <c r="K2682" s="22" t="str">
        <f t="shared" si="83"/>
        <v/>
      </c>
      <c r="M2682" s="534" t="str">
        <f t="shared" si="82"/>
        <v/>
      </c>
    </row>
    <row r="2683" spans="2:13" ht="15.75" x14ac:dyDescent="0.25">
      <c r="B2683" s="692"/>
      <c r="C2683" s="117" t="str">
        <f>IF(ISNUMBER(B2683),IFERROR(VLOOKUP(B2683,'נתוני רישום ומצבת'!B:J,3,0),""),"")</f>
        <v/>
      </c>
      <c r="D2683" s="693"/>
      <c r="E2683" s="697"/>
      <c r="F2683" s="695"/>
      <c r="G2683" s="696"/>
      <c r="K2683" s="22" t="str">
        <f t="shared" si="83"/>
        <v/>
      </c>
      <c r="M2683" s="534" t="str">
        <f t="shared" si="82"/>
        <v/>
      </c>
    </row>
    <row r="2684" spans="2:13" ht="15.75" x14ac:dyDescent="0.25">
      <c r="B2684" s="692"/>
      <c r="C2684" s="117" t="str">
        <f>IF(ISNUMBER(B2684),IFERROR(VLOOKUP(B2684,'נתוני רישום ומצבת'!B:J,3,0),""),"")</f>
        <v/>
      </c>
      <c r="D2684" s="693"/>
      <c r="E2684" s="697"/>
      <c r="F2684" s="695"/>
      <c r="G2684" s="696"/>
      <c r="K2684" s="22" t="str">
        <f t="shared" si="83"/>
        <v/>
      </c>
      <c r="M2684" s="534" t="str">
        <f t="shared" si="82"/>
        <v/>
      </c>
    </row>
    <row r="2685" spans="2:13" ht="15.75" x14ac:dyDescent="0.25">
      <c r="B2685" s="692"/>
      <c r="C2685" s="117" t="str">
        <f>IF(ISNUMBER(B2685),IFERROR(VLOOKUP(B2685,'נתוני רישום ומצבת'!B:J,3,0),""),"")</f>
        <v/>
      </c>
      <c r="D2685" s="693"/>
      <c r="E2685" s="697"/>
      <c r="F2685" s="695"/>
      <c r="G2685" s="696"/>
      <c r="K2685" s="22" t="str">
        <f t="shared" si="83"/>
        <v/>
      </c>
      <c r="M2685" s="534" t="str">
        <f t="shared" si="82"/>
        <v/>
      </c>
    </row>
    <row r="2686" spans="2:13" ht="15.75" x14ac:dyDescent="0.25">
      <c r="B2686" s="692"/>
      <c r="C2686" s="117" t="str">
        <f>IF(ISNUMBER(B2686),IFERROR(VLOOKUP(B2686,'נתוני רישום ומצבת'!B:J,3,0),""),"")</f>
        <v/>
      </c>
      <c r="D2686" s="693"/>
      <c r="E2686" s="697"/>
      <c r="F2686" s="695"/>
      <c r="G2686" s="696"/>
      <c r="K2686" s="22" t="str">
        <f t="shared" si="83"/>
        <v/>
      </c>
      <c r="M2686" s="534" t="str">
        <f t="shared" si="82"/>
        <v/>
      </c>
    </row>
    <row r="2687" spans="2:13" ht="15.75" x14ac:dyDescent="0.25">
      <c r="B2687" s="692"/>
      <c r="C2687" s="117" t="str">
        <f>IF(ISNUMBER(B2687),IFERROR(VLOOKUP(B2687,'נתוני רישום ומצבת'!B:J,3,0),""),"")</f>
        <v/>
      </c>
      <c r="D2687" s="693"/>
      <c r="E2687" s="697"/>
      <c r="F2687" s="695"/>
      <c r="G2687" s="696"/>
      <c r="K2687" s="22" t="str">
        <f t="shared" si="83"/>
        <v/>
      </c>
      <c r="M2687" s="534" t="str">
        <f t="shared" si="82"/>
        <v/>
      </c>
    </row>
    <row r="2688" spans="2:13" ht="15.75" x14ac:dyDescent="0.25">
      <c r="B2688" s="692"/>
      <c r="C2688" s="117" t="str">
        <f>IF(ISNUMBER(B2688),IFERROR(VLOOKUP(B2688,'נתוני רישום ומצבת'!B:J,3,0),""),"")</f>
        <v/>
      </c>
      <c r="D2688" s="693"/>
      <c r="E2688" s="697"/>
      <c r="F2688" s="695"/>
      <c r="G2688" s="696"/>
      <c r="K2688" s="22" t="str">
        <f t="shared" si="83"/>
        <v/>
      </c>
      <c r="M2688" s="534" t="str">
        <f t="shared" si="82"/>
        <v/>
      </c>
    </row>
    <row r="2689" spans="2:13" ht="15.75" x14ac:dyDescent="0.25">
      <c r="B2689" s="692"/>
      <c r="C2689" s="117" t="str">
        <f>IF(ISNUMBER(B2689),IFERROR(VLOOKUP(B2689,'נתוני רישום ומצבת'!B:J,3,0),""),"")</f>
        <v/>
      </c>
      <c r="D2689" s="693"/>
      <c r="E2689" s="697"/>
      <c r="F2689" s="695"/>
      <c r="G2689" s="696"/>
      <c r="K2689" s="22" t="str">
        <f t="shared" si="83"/>
        <v/>
      </c>
      <c r="M2689" s="534" t="str">
        <f t="shared" si="82"/>
        <v/>
      </c>
    </row>
    <row r="2690" spans="2:13" ht="15.75" x14ac:dyDescent="0.25">
      <c r="B2690" s="692"/>
      <c r="C2690" s="117" t="str">
        <f>IF(ISNUMBER(B2690),IFERROR(VLOOKUP(B2690,'נתוני רישום ומצבת'!B:J,3,0),""),"")</f>
        <v/>
      </c>
      <c r="D2690" s="693"/>
      <c r="E2690" s="697"/>
      <c r="F2690" s="695"/>
      <c r="G2690" s="696"/>
      <c r="K2690" s="22" t="str">
        <f t="shared" si="83"/>
        <v/>
      </c>
      <c r="M2690" s="534" t="str">
        <f t="shared" si="82"/>
        <v/>
      </c>
    </row>
    <row r="2691" spans="2:13" ht="15.75" x14ac:dyDescent="0.25">
      <c r="B2691" s="692"/>
      <c r="C2691" s="117" t="str">
        <f>IF(ISNUMBER(B2691),IFERROR(VLOOKUP(B2691,'נתוני רישום ומצבת'!B:J,3,0),""),"")</f>
        <v/>
      </c>
      <c r="D2691" s="693"/>
      <c r="E2691" s="697"/>
      <c r="F2691" s="695"/>
      <c r="G2691" s="696"/>
      <c r="K2691" s="22" t="str">
        <f t="shared" si="83"/>
        <v/>
      </c>
      <c r="M2691" s="534" t="str">
        <f t="shared" si="82"/>
        <v/>
      </c>
    </row>
    <row r="2692" spans="2:13" ht="15.75" x14ac:dyDescent="0.25">
      <c r="B2692" s="692"/>
      <c r="C2692" s="117" t="str">
        <f>IF(ISNUMBER(B2692),IFERROR(VLOOKUP(B2692,'נתוני רישום ומצבת'!B:J,3,0),""),"")</f>
        <v/>
      </c>
      <c r="D2692" s="693"/>
      <c r="E2692" s="697"/>
      <c r="F2692" s="695"/>
      <c r="G2692" s="696"/>
      <c r="K2692" s="22" t="str">
        <f t="shared" si="83"/>
        <v/>
      </c>
      <c r="M2692" s="534" t="str">
        <f t="shared" si="82"/>
        <v/>
      </c>
    </row>
    <row r="2693" spans="2:13" ht="15.75" x14ac:dyDescent="0.25">
      <c r="B2693" s="692"/>
      <c r="C2693" s="117" t="str">
        <f>IF(ISNUMBER(B2693),IFERROR(VLOOKUP(B2693,'נתוני רישום ומצבת'!B:J,3,0),""),"")</f>
        <v/>
      </c>
      <c r="D2693" s="693"/>
      <c r="E2693" s="697"/>
      <c r="F2693" s="695"/>
      <c r="G2693" s="696"/>
      <c r="K2693" s="22" t="str">
        <f t="shared" si="83"/>
        <v/>
      </c>
      <c r="M2693" s="534" t="str">
        <f t="shared" si="82"/>
        <v/>
      </c>
    </row>
    <row r="2694" spans="2:13" ht="15.75" x14ac:dyDescent="0.25">
      <c r="B2694" s="692"/>
      <c r="C2694" s="117" t="str">
        <f>IF(ISNUMBER(B2694),IFERROR(VLOOKUP(B2694,'נתוני רישום ומצבת'!B:J,3,0),""),"")</f>
        <v/>
      </c>
      <c r="D2694" s="693"/>
      <c r="E2694" s="697"/>
      <c r="F2694" s="695"/>
      <c r="G2694" s="696"/>
      <c r="K2694" s="22" t="str">
        <f t="shared" si="83"/>
        <v/>
      </c>
      <c r="M2694" s="534" t="str">
        <f t="shared" si="82"/>
        <v/>
      </c>
    </row>
    <row r="2695" spans="2:13" ht="15.75" x14ac:dyDescent="0.25">
      <c r="B2695" s="692"/>
      <c r="C2695" s="117" t="str">
        <f>IF(ISNUMBER(B2695),IFERROR(VLOOKUP(B2695,'נתוני רישום ומצבת'!B:J,3,0),""),"")</f>
        <v/>
      </c>
      <c r="D2695" s="693"/>
      <c r="E2695" s="697"/>
      <c r="F2695" s="695"/>
      <c r="G2695" s="696"/>
      <c r="K2695" s="22" t="str">
        <f t="shared" si="83"/>
        <v/>
      </c>
      <c r="M2695" s="534" t="str">
        <f t="shared" si="82"/>
        <v/>
      </c>
    </row>
    <row r="2696" spans="2:13" ht="15.75" x14ac:dyDescent="0.25">
      <c r="B2696" s="692"/>
      <c r="C2696" s="117" t="str">
        <f>IF(ISNUMBER(B2696),IFERROR(VLOOKUP(B2696,'נתוני רישום ומצבת'!B:J,3,0),""),"")</f>
        <v/>
      </c>
      <c r="D2696" s="693"/>
      <c r="E2696" s="697"/>
      <c r="F2696" s="695"/>
      <c r="G2696" s="696"/>
      <c r="K2696" s="22" t="str">
        <f t="shared" si="83"/>
        <v/>
      </c>
      <c r="M2696" s="534" t="str">
        <f t="shared" si="82"/>
        <v/>
      </c>
    </row>
    <row r="2697" spans="2:13" ht="15.75" x14ac:dyDescent="0.25">
      <c r="B2697" s="692"/>
      <c r="C2697" s="117" t="str">
        <f>IF(ISNUMBER(B2697),IFERROR(VLOOKUP(B2697,'נתוני רישום ומצבת'!B:J,3,0),""),"")</f>
        <v/>
      </c>
      <c r="D2697" s="693"/>
      <c r="E2697" s="697"/>
      <c r="F2697" s="695"/>
      <c r="G2697" s="696"/>
      <c r="K2697" s="22" t="str">
        <f t="shared" si="83"/>
        <v/>
      </c>
      <c r="M2697" s="534" t="str">
        <f t="shared" si="82"/>
        <v/>
      </c>
    </row>
    <row r="2698" spans="2:13" ht="15.75" x14ac:dyDescent="0.25">
      <c r="B2698" s="692"/>
      <c r="C2698" s="117" t="str">
        <f>IF(ISNUMBER(B2698),IFERROR(VLOOKUP(B2698,'נתוני רישום ומצבת'!B:J,3,0),""),"")</f>
        <v/>
      </c>
      <c r="D2698" s="693"/>
      <c r="E2698" s="697"/>
      <c r="F2698" s="695"/>
      <c r="G2698" s="696"/>
      <c r="K2698" s="22" t="str">
        <f t="shared" si="83"/>
        <v/>
      </c>
      <c r="M2698" s="534" t="str">
        <f t="shared" si="82"/>
        <v/>
      </c>
    </row>
    <row r="2699" spans="2:13" ht="15.75" x14ac:dyDescent="0.25">
      <c r="B2699" s="692"/>
      <c r="C2699" s="117" t="str">
        <f>IF(ISNUMBER(B2699),IFERROR(VLOOKUP(B2699,'נתוני רישום ומצבת'!B:J,3,0),""),"")</f>
        <v/>
      </c>
      <c r="D2699" s="693"/>
      <c r="E2699" s="697"/>
      <c r="F2699" s="695"/>
      <c r="G2699" s="696"/>
      <c r="K2699" s="22" t="str">
        <f t="shared" si="83"/>
        <v/>
      </c>
      <c r="M2699" s="534" t="str">
        <f t="shared" si="82"/>
        <v/>
      </c>
    </row>
    <row r="2700" spans="2:13" ht="15.75" x14ac:dyDescent="0.25">
      <c r="B2700" s="692"/>
      <c r="C2700" s="117" t="str">
        <f>IF(ISNUMBER(B2700),IFERROR(VLOOKUP(B2700,'נתוני רישום ומצבת'!B:J,3,0),""),"")</f>
        <v/>
      </c>
      <c r="D2700" s="693"/>
      <c r="E2700" s="697"/>
      <c r="F2700" s="695"/>
      <c r="G2700" s="696"/>
      <c r="K2700" s="22" t="str">
        <f t="shared" si="83"/>
        <v/>
      </c>
      <c r="M2700" s="534" t="str">
        <f t="shared" si="82"/>
        <v/>
      </c>
    </row>
    <row r="2701" spans="2:13" ht="15.75" x14ac:dyDescent="0.25">
      <c r="B2701" s="692"/>
      <c r="C2701" s="117" t="str">
        <f>IF(ISNUMBER(B2701),IFERROR(VLOOKUP(B2701,'נתוני רישום ומצבת'!B:J,3,0),""),"")</f>
        <v/>
      </c>
      <c r="D2701" s="693"/>
      <c r="E2701" s="697"/>
      <c r="F2701" s="695"/>
      <c r="G2701" s="696"/>
      <c r="K2701" s="22" t="str">
        <f t="shared" si="83"/>
        <v/>
      </c>
      <c r="M2701" s="534" t="str">
        <f t="shared" si="82"/>
        <v/>
      </c>
    </row>
    <row r="2702" spans="2:13" ht="15.75" x14ac:dyDescent="0.25">
      <c r="B2702" s="692"/>
      <c r="C2702" s="117" t="str">
        <f>IF(ISNUMBER(B2702),IFERROR(VLOOKUP(B2702,'נתוני רישום ומצבת'!B:J,3,0),""),"")</f>
        <v/>
      </c>
      <c r="D2702" s="693"/>
      <c r="E2702" s="697"/>
      <c r="F2702" s="695"/>
      <c r="G2702" s="696"/>
      <c r="K2702" s="22" t="str">
        <f t="shared" si="83"/>
        <v/>
      </c>
      <c r="M2702" s="534" t="str">
        <f t="shared" si="82"/>
        <v/>
      </c>
    </row>
    <row r="2703" spans="2:13" ht="15.75" x14ac:dyDescent="0.25">
      <c r="B2703" s="692"/>
      <c r="C2703" s="117" t="str">
        <f>IF(ISNUMBER(B2703),IFERROR(VLOOKUP(B2703,'נתוני רישום ומצבת'!B:J,3,0),""),"")</f>
        <v/>
      </c>
      <c r="D2703" s="693"/>
      <c r="E2703" s="697"/>
      <c r="F2703" s="695"/>
      <c r="G2703" s="696"/>
      <c r="K2703" s="22" t="str">
        <f t="shared" si="83"/>
        <v/>
      </c>
      <c r="M2703" s="534" t="str">
        <f t="shared" si="82"/>
        <v/>
      </c>
    </row>
    <row r="2704" spans="2:13" ht="15.75" x14ac:dyDescent="0.25">
      <c r="B2704" s="692"/>
      <c r="C2704" s="117" t="str">
        <f>IF(ISNUMBER(B2704),IFERROR(VLOOKUP(B2704,'נתוני רישום ומצבת'!B:J,3,0),""),"")</f>
        <v/>
      </c>
      <c r="D2704" s="693"/>
      <c r="E2704" s="697"/>
      <c r="F2704" s="695"/>
      <c r="G2704" s="696"/>
      <c r="K2704" s="22" t="str">
        <f t="shared" si="83"/>
        <v/>
      </c>
      <c r="M2704" s="534" t="str">
        <f t="shared" si="82"/>
        <v/>
      </c>
    </row>
    <row r="2705" spans="2:13" ht="15.75" x14ac:dyDescent="0.25">
      <c r="B2705" s="692"/>
      <c r="C2705" s="117" t="str">
        <f>IF(ISNUMBER(B2705),IFERROR(VLOOKUP(B2705,'נתוני רישום ומצבת'!B:J,3,0),""),"")</f>
        <v/>
      </c>
      <c r="D2705" s="693"/>
      <c r="E2705" s="697"/>
      <c r="F2705" s="695"/>
      <c r="G2705" s="696"/>
      <c r="K2705" s="22" t="str">
        <f t="shared" si="83"/>
        <v/>
      </c>
      <c r="M2705" s="534" t="str">
        <f t="shared" ref="M2705:M2768" si="84">TEXT(LEFT(D2705,2),0)</f>
        <v/>
      </c>
    </row>
    <row r="2706" spans="2:13" ht="15.75" x14ac:dyDescent="0.25">
      <c r="B2706" s="692"/>
      <c r="C2706" s="117" t="str">
        <f>IF(ISNUMBER(B2706),IFERROR(VLOOKUP(B2706,'נתוני רישום ומצבת'!B:J,3,0),""),"")</f>
        <v/>
      </c>
      <c r="D2706" s="693"/>
      <c r="E2706" s="697"/>
      <c r="F2706" s="695"/>
      <c r="G2706" s="696"/>
      <c r="K2706" s="22" t="str">
        <f t="shared" si="83"/>
        <v/>
      </c>
      <c r="M2706" s="534" t="str">
        <f t="shared" si="84"/>
        <v/>
      </c>
    </row>
    <row r="2707" spans="2:13" ht="15.75" x14ac:dyDescent="0.25">
      <c r="B2707" s="692"/>
      <c r="C2707" s="117" t="str">
        <f>IF(ISNUMBER(B2707),IFERROR(VLOOKUP(B2707,'נתוני רישום ומצבת'!B:J,3,0),""),"")</f>
        <v/>
      </c>
      <c r="D2707" s="693"/>
      <c r="E2707" s="697"/>
      <c r="F2707" s="695"/>
      <c r="G2707" s="696"/>
      <c r="K2707" s="22" t="str">
        <f t="shared" si="83"/>
        <v/>
      </c>
      <c r="M2707" s="534" t="str">
        <f t="shared" si="84"/>
        <v/>
      </c>
    </row>
    <row r="2708" spans="2:13" ht="15.75" x14ac:dyDescent="0.25">
      <c r="B2708" s="692"/>
      <c r="C2708" s="117" t="str">
        <f>IF(ISNUMBER(B2708),IFERROR(VLOOKUP(B2708,'נתוני רישום ומצבת'!B:J,3,0),""),"")</f>
        <v/>
      </c>
      <c r="D2708" s="693"/>
      <c r="E2708" s="697"/>
      <c r="F2708" s="695"/>
      <c r="G2708" s="696"/>
      <c r="K2708" s="22" t="str">
        <f t="shared" si="83"/>
        <v/>
      </c>
      <c r="M2708" s="534" t="str">
        <f t="shared" si="84"/>
        <v/>
      </c>
    </row>
    <row r="2709" spans="2:13" ht="15.75" x14ac:dyDescent="0.25">
      <c r="B2709" s="692"/>
      <c r="C2709" s="117" t="str">
        <f>IF(ISNUMBER(B2709),IFERROR(VLOOKUP(B2709,'נתוני רישום ומצבת'!B:J,3,0),""),"")</f>
        <v/>
      </c>
      <c r="D2709" s="693"/>
      <c r="E2709" s="697"/>
      <c r="F2709" s="695"/>
      <c r="G2709" s="696"/>
      <c r="K2709" s="22" t="str">
        <f t="shared" ref="K2709:K2772" si="85">IF(C2696&lt;5,IF(D2709=$F$8,-E2709," "),"")</f>
        <v/>
      </c>
      <c r="M2709" s="534" t="str">
        <f t="shared" si="84"/>
        <v/>
      </c>
    </row>
    <row r="2710" spans="2:13" ht="15.75" x14ac:dyDescent="0.25">
      <c r="B2710" s="692"/>
      <c r="C2710" s="117" t="str">
        <f>IF(ISNUMBER(B2710),IFERROR(VLOOKUP(B2710,'נתוני רישום ומצבת'!B:J,3,0),""),"")</f>
        <v/>
      </c>
      <c r="D2710" s="693"/>
      <c r="E2710" s="697"/>
      <c r="F2710" s="695"/>
      <c r="G2710" s="696"/>
      <c r="K2710" s="22" t="str">
        <f t="shared" si="85"/>
        <v/>
      </c>
      <c r="M2710" s="534" t="str">
        <f t="shared" si="84"/>
        <v/>
      </c>
    </row>
    <row r="2711" spans="2:13" ht="15.75" x14ac:dyDescent="0.25">
      <c r="B2711" s="692"/>
      <c r="C2711" s="117" t="str">
        <f>IF(ISNUMBER(B2711),IFERROR(VLOOKUP(B2711,'נתוני רישום ומצבת'!B:J,3,0),""),"")</f>
        <v/>
      </c>
      <c r="D2711" s="693"/>
      <c r="E2711" s="697"/>
      <c r="F2711" s="695"/>
      <c r="G2711" s="696"/>
      <c r="K2711" s="22" t="str">
        <f t="shared" si="85"/>
        <v/>
      </c>
      <c r="M2711" s="534" t="str">
        <f t="shared" si="84"/>
        <v/>
      </c>
    </row>
    <row r="2712" spans="2:13" ht="15.75" x14ac:dyDescent="0.25">
      <c r="B2712" s="692"/>
      <c r="C2712" s="117" t="str">
        <f>IF(ISNUMBER(B2712),IFERROR(VLOOKUP(B2712,'נתוני רישום ומצבת'!B:J,3,0),""),"")</f>
        <v/>
      </c>
      <c r="D2712" s="693"/>
      <c r="E2712" s="697"/>
      <c r="F2712" s="695"/>
      <c r="G2712" s="696"/>
      <c r="K2712" s="22" t="str">
        <f t="shared" si="85"/>
        <v/>
      </c>
      <c r="M2712" s="534" t="str">
        <f t="shared" si="84"/>
        <v/>
      </c>
    </row>
    <row r="2713" spans="2:13" ht="15.75" x14ac:dyDescent="0.25">
      <c r="B2713" s="692"/>
      <c r="C2713" s="117" t="str">
        <f>IF(ISNUMBER(B2713),IFERROR(VLOOKUP(B2713,'נתוני רישום ומצבת'!B:J,3,0),""),"")</f>
        <v/>
      </c>
      <c r="D2713" s="693"/>
      <c r="E2713" s="697"/>
      <c r="F2713" s="695"/>
      <c r="G2713" s="696"/>
      <c r="K2713" s="22" t="str">
        <f t="shared" si="85"/>
        <v/>
      </c>
      <c r="M2713" s="534" t="str">
        <f t="shared" si="84"/>
        <v/>
      </c>
    </row>
    <row r="2714" spans="2:13" ht="15.75" x14ac:dyDescent="0.25">
      <c r="B2714" s="692"/>
      <c r="C2714" s="117" t="str">
        <f>IF(ISNUMBER(B2714),IFERROR(VLOOKUP(B2714,'נתוני רישום ומצבת'!B:J,3,0),""),"")</f>
        <v/>
      </c>
      <c r="D2714" s="693"/>
      <c r="E2714" s="697"/>
      <c r="F2714" s="695"/>
      <c r="G2714" s="696"/>
      <c r="K2714" s="22" t="str">
        <f t="shared" si="85"/>
        <v/>
      </c>
      <c r="M2714" s="534" t="str">
        <f t="shared" si="84"/>
        <v/>
      </c>
    </row>
    <row r="2715" spans="2:13" ht="15.75" x14ac:dyDescent="0.25">
      <c r="B2715" s="692"/>
      <c r="C2715" s="117" t="str">
        <f>IF(ISNUMBER(B2715),IFERROR(VLOOKUP(B2715,'נתוני רישום ומצבת'!B:J,3,0),""),"")</f>
        <v/>
      </c>
      <c r="D2715" s="693"/>
      <c r="E2715" s="697"/>
      <c r="F2715" s="695"/>
      <c r="G2715" s="696"/>
      <c r="K2715" s="22" t="str">
        <f t="shared" si="85"/>
        <v/>
      </c>
      <c r="M2715" s="534" t="str">
        <f t="shared" si="84"/>
        <v/>
      </c>
    </row>
    <row r="2716" spans="2:13" ht="15.75" x14ac:dyDescent="0.25">
      <c r="B2716" s="692"/>
      <c r="C2716" s="117" t="str">
        <f>IF(ISNUMBER(B2716),IFERROR(VLOOKUP(B2716,'נתוני רישום ומצבת'!B:J,3,0),""),"")</f>
        <v/>
      </c>
      <c r="D2716" s="693"/>
      <c r="E2716" s="697"/>
      <c r="F2716" s="695"/>
      <c r="G2716" s="696"/>
      <c r="K2716" s="22" t="str">
        <f t="shared" si="85"/>
        <v/>
      </c>
      <c r="M2716" s="534" t="str">
        <f t="shared" si="84"/>
        <v/>
      </c>
    </row>
    <row r="2717" spans="2:13" ht="15.75" x14ac:dyDescent="0.25">
      <c r="B2717" s="692"/>
      <c r="C2717" s="117" t="str">
        <f>IF(ISNUMBER(B2717),IFERROR(VLOOKUP(B2717,'נתוני רישום ומצבת'!B:J,3,0),""),"")</f>
        <v/>
      </c>
      <c r="D2717" s="693"/>
      <c r="E2717" s="697"/>
      <c r="F2717" s="695"/>
      <c r="G2717" s="696"/>
      <c r="K2717" s="22" t="str">
        <f t="shared" si="85"/>
        <v/>
      </c>
      <c r="M2717" s="534" t="str">
        <f t="shared" si="84"/>
        <v/>
      </c>
    </row>
    <row r="2718" spans="2:13" ht="15.75" x14ac:dyDescent="0.25">
      <c r="B2718" s="692"/>
      <c r="C2718" s="117" t="str">
        <f>IF(ISNUMBER(B2718),IFERROR(VLOOKUP(B2718,'נתוני רישום ומצבת'!B:J,3,0),""),"")</f>
        <v/>
      </c>
      <c r="D2718" s="693"/>
      <c r="E2718" s="697"/>
      <c r="F2718" s="695"/>
      <c r="G2718" s="696"/>
      <c r="K2718" s="22" t="str">
        <f t="shared" si="85"/>
        <v/>
      </c>
      <c r="M2718" s="534" t="str">
        <f t="shared" si="84"/>
        <v/>
      </c>
    </row>
    <row r="2719" spans="2:13" ht="15.75" x14ac:dyDescent="0.25">
      <c r="B2719" s="692"/>
      <c r="C2719" s="117" t="str">
        <f>IF(ISNUMBER(B2719),IFERROR(VLOOKUP(B2719,'נתוני רישום ומצבת'!B:J,3,0),""),"")</f>
        <v/>
      </c>
      <c r="D2719" s="693"/>
      <c r="E2719" s="697"/>
      <c r="F2719" s="695"/>
      <c r="G2719" s="696"/>
      <c r="K2719" s="22" t="str">
        <f t="shared" si="85"/>
        <v/>
      </c>
      <c r="M2719" s="534" t="str">
        <f t="shared" si="84"/>
        <v/>
      </c>
    </row>
    <row r="2720" spans="2:13" ht="15.75" x14ac:dyDescent="0.25">
      <c r="B2720" s="692"/>
      <c r="C2720" s="117" t="str">
        <f>IF(ISNUMBER(B2720),IFERROR(VLOOKUP(B2720,'נתוני רישום ומצבת'!B:J,3,0),""),"")</f>
        <v/>
      </c>
      <c r="D2720" s="693"/>
      <c r="E2720" s="697"/>
      <c r="F2720" s="695"/>
      <c r="G2720" s="696"/>
      <c r="K2720" s="22" t="str">
        <f t="shared" si="85"/>
        <v/>
      </c>
      <c r="M2720" s="534" t="str">
        <f t="shared" si="84"/>
        <v/>
      </c>
    </row>
    <row r="2721" spans="2:13" ht="15.75" x14ac:dyDescent="0.25">
      <c r="B2721" s="692"/>
      <c r="C2721" s="117" t="str">
        <f>IF(ISNUMBER(B2721),IFERROR(VLOOKUP(B2721,'נתוני רישום ומצבת'!B:J,3,0),""),"")</f>
        <v/>
      </c>
      <c r="D2721" s="693"/>
      <c r="E2721" s="697"/>
      <c r="F2721" s="695"/>
      <c r="G2721" s="696"/>
      <c r="K2721" s="22" t="str">
        <f t="shared" si="85"/>
        <v/>
      </c>
      <c r="M2721" s="534" t="str">
        <f t="shared" si="84"/>
        <v/>
      </c>
    </row>
    <row r="2722" spans="2:13" ht="15.75" x14ac:dyDescent="0.25">
      <c r="B2722" s="692"/>
      <c r="C2722" s="117" t="str">
        <f>IF(ISNUMBER(B2722),IFERROR(VLOOKUP(B2722,'נתוני רישום ומצבת'!B:J,3,0),""),"")</f>
        <v/>
      </c>
      <c r="D2722" s="693"/>
      <c r="E2722" s="697"/>
      <c r="F2722" s="695"/>
      <c r="G2722" s="696"/>
      <c r="K2722" s="22" t="str">
        <f t="shared" si="85"/>
        <v/>
      </c>
      <c r="M2722" s="534" t="str">
        <f t="shared" si="84"/>
        <v/>
      </c>
    </row>
    <row r="2723" spans="2:13" ht="15.75" x14ac:dyDescent="0.25">
      <c r="B2723" s="692"/>
      <c r="C2723" s="117" t="str">
        <f>IF(ISNUMBER(B2723),IFERROR(VLOOKUP(B2723,'נתוני רישום ומצבת'!B:J,3,0),""),"")</f>
        <v/>
      </c>
      <c r="D2723" s="693"/>
      <c r="E2723" s="697"/>
      <c r="F2723" s="695"/>
      <c r="G2723" s="696"/>
      <c r="K2723" s="22" t="str">
        <f t="shared" si="85"/>
        <v/>
      </c>
      <c r="M2723" s="534" t="str">
        <f t="shared" si="84"/>
        <v/>
      </c>
    </row>
    <row r="2724" spans="2:13" ht="15.75" x14ac:dyDescent="0.25">
      <c r="B2724" s="692"/>
      <c r="C2724" s="117" t="str">
        <f>IF(ISNUMBER(B2724),IFERROR(VLOOKUP(B2724,'נתוני רישום ומצבת'!B:J,3,0),""),"")</f>
        <v/>
      </c>
      <c r="D2724" s="693"/>
      <c r="E2724" s="697"/>
      <c r="F2724" s="695"/>
      <c r="G2724" s="696"/>
      <c r="K2724" s="22" t="str">
        <f t="shared" si="85"/>
        <v/>
      </c>
      <c r="M2724" s="534" t="str">
        <f t="shared" si="84"/>
        <v/>
      </c>
    </row>
    <row r="2725" spans="2:13" ht="15.75" x14ac:dyDescent="0.25">
      <c r="B2725" s="692"/>
      <c r="C2725" s="117" t="str">
        <f>IF(ISNUMBER(B2725),IFERROR(VLOOKUP(B2725,'נתוני רישום ומצבת'!B:J,3,0),""),"")</f>
        <v/>
      </c>
      <c r="D2725" s="693"/>
      <c r="E2725" s="697"/>
      <c r="F2725" s="695"/>
      <c r="G2725" s="696"/>
      <c r="K2725" s="22" t="str">
        <f t="shared" si="85"/>
        <v/>
      </c>
      <c r="M2725" s="534" t="str">
        <f t="shared" si="84"/>
        <v/>
      </c>
    </row>
    <row r="2726" spans="2:13" ht="15.75" x14ac:dyDescent="0.25">
      <c r="B2726" s="692"/>
      <c r="C2726" s="117" t="str">
        <f>IF(ISNUMBER(B2726),IFERROR(VLOOKUP(B2726,'נתוני רישום ומצבת'!B:J,3,0),""),"")</f>
        <v/>
      </c>
      <c r="D2726" s="693"/>
      <c r="E2726" s="697"/>
      <c r="F2726" s="695"/>
      <c r="G2726" s="696"/>
      <c r="K2726" s="22" t="str">
        <f t="shared" si="85"/>
        <v/>
      </c>
      <c r="M2726" s="534" t="str">
        <f t="shared" si="84"/>
        <v/>
      </c>
    </row>
    <row r="2727" spans="2:13" ht="15.75" x14ac:dyDescent="0.25">
      <c r="B2727" s="692"/>
      <c r="C2727" s="117" t="str">
        <f>IF(ISNUMBER(B2727),IFERROR(VLOOKUP(B2727,'נתוני רישום ומצבת'!B:J,3,0),""),"")</f>
        <v/>
      </c>
      <c r="D2727" s="693"/>
      <c r="E2727" s="697"/>
      <c r="F2727" s="695"/>
      <c r="G2727" s="696"/>
      <c r="K2727" s="22" t="str">
        <f t="shared" si="85"/>
        <v/>
      </c>
      <c r="M2727" s="534" t="str">
        <f t="shared" si="84"/>
        <v/>
      </c>
    </row>
    <row r="2728" spans="2:13" ht="15.75" x14ac:dyDescent="0.25">
      <c r="B2728" s="692"/>
      <c r="C2728" s="117" t="str">
        <f>IF(ISNUMBER(B2728),IFERROR(VLOOKUP(B2728,'נתוני רישום ומצבת'!B:J,3,0),""),"")</f>
        <v/>
      </c>
      <c r="D2728" s="693"/>
      <c r="E2728" s="697"/>
      <c r="F2728" s="695"/>
      <c r="G2728" s="696"/>
      <c r="K2728" s="22" t="str">
        <f t="shared" si="85"/>
        <v/>
      </c>
      <c r="M2728" s="534" t="str">
        <f t="shared" si="84"/>
        <v/>
      </c>
    </row>
    <row r="2729" spans="2:13" ht="15.75" x14ac:dyDescent="0.25">
      <c r="B2729" s="692"/>
      <c r="C2729" s="117" t="str">
        <f>IF(ISNUMBER(B2729),IFERROR(VLOOKUP(B2729,'נתוני רישום ומצבת'!B:J,3,0),""),"")</f>
        <v/>
      </c>
      <c r="D2729" s="693"/>
      <c r="E2729" s="697"/>
      <c r="F2729" s="695"/>
      <c r="G2729" s="696"/>
      <c r="K2729" s="22" t="str">
        <f t="shared" si="85"/>
        <v/>
      </c>
      <c r="M2729" s="534" t="str">
        <f t="shared" si="84"/>
        <v/>
      </c>
    </row>
    <row r="2730" spans="2:13" ht="15.75" x14ac:dyDescent="0.25">
      <c r="B2730" s="692"/>
      <c r="C2730" s="117" t="str">
        <f>IF(ISNUMBER(B2730),IFERROR(VLOOKUP(B2730,'נתוני רישום ומצבת'!B:J,3,0),""),"")</f>
        <v/>
      </c>
      <c r="D2730" s="693"/>
      <c r="E2730" s="697"/>
      <c r="F2730" s="695"/>
      <c r="G2730" s="696"/>
      <c r="K2730" s="22" t="str">
        <f t="shared" si="85"/>
        <v/>
      </c>
      <c r="M2730" s="534" t="str">
        <f t="shared" si="84"/>
        <v/>
      </c>
    </row>
    <row r="2731" spans="2:13" ht="15.75" x14ac:dyDescent="0.25">
      <c r="B2731" s="692"/>
      <c r="C2731" s="117" t="str">
        <f>IF(ISNUMBER(B2731),IFERROR(VLOOKUP(B2731,'נתוני רישום ומצבת'!B:J,3,0),""),"")</f>
        <v/>
      </c>
      <c r="D2731" s="693"/>
      <c r="E2731" s="697"/>
      <c r="F2731" s="695"/>
      <c r="G2731" s="696"/>
      <c r="K2731" s="22" t="str">
        <f t="shared" si="85"/>
        <v/>
      </c>
      <c r="M2731" s="534" t="str">
        <f t="shared" si="84"/>
        <v/>
      </c>
    </row>
    <row r="2732" spans="2:13" ht="15.75" x14ac:dyDescent="0.25">
      <c r="B2732" s="692"/>
      <c r="C2732" s="117" t="str">
        <f>IF(ISNUMBER(B2732),IFERROR(VLOOKUP(B2732,'נתוני רישום ומצבת'!B:J,3,0),""),"")</f>
        <v/>
      </c>
      <c r="D2732" s="693"/>
      <c r="E2732" s="697"/>
      <c r="F2732" s="695"/>
      <c r="G2732" s="696"/>
      <c r="K2732" s="22" t="str">
        <f t="shared" si="85"/>
        <v/>
      </c>
      <c r="M2732" s="534" t="str">
        <f t="shared" si="84"/>
        <v/>
      </c>
    </row>
    <row r="2733" spans="2:13" ht="15.75" x14ac:dyDescent="0.25">
      <c r="B2733" s="692"/>
      <c r="C2733" s="117" t="str">
        <f>IF(ISNUMBER(B2733),IFERROR(VLOOKUP(B2733,'נתוני רישום ומצבת'!B:J,3,0),""),"")</f>
        <v/>
      </c>
      <c r="D2733" s="693"/>
      <c r="E2733" s="697"/>
      <c r="F2733" s="695"/>
      <c r="G2733" s="696"/>
      <c r="K2733" s="22" t="str">
        <f t="shared" si="85"/>
        <v/>
      </c>
      <c r="M2733" s="534" t="str">
        <f t="shared" si="84"/>
        <v/>
      </c>
    </row>
    <row r="2734" spans="2:13" ht="15.75" x14ac:dyDescent="0.25">
      <c r="B2734" s="692"/>
      <c r="C2734" s="117" t="str">
        <f>IF(ISNUMBER(B2734),IFERROR(VLOOKUP(B2734,'נתוני רישום ומצבת'!B:J,3,0),""),"")</f>
        <v/>
      </c>
      <c r="D2734" s="693"/>
      <c r="E2734" s="697"/>
      <c r="F2734" s="695"/>
      <c r="G2734" s="696"/>
      <c r="K2734" s="22" t="str">
        <f t="shared" si="85"/>
        <v/>
      </c>
      <c r="M2734" s="534" t="str">
        <f t="shared" si="84"/>
        <v/>
      </c>
    </row>
    <row r="2735" spans="2:13" ht="15.75" x14ac:dyDescent="0.25">
      <c r="B2735" s="692"/>
      <c r="C2735" s="117" t="str">
        <f>IF(ISNUMBER(B2735),IFERROR(VLOOKUP(B2735,'נתוני רישום ומצבת'!B:J,3,0),""),"")</f>
        <v/>
      </c>
      <c r="D2735" s="693"/>
      <c r="E2735" s="697"/>
      <c r="F2735" s="695"/>
      <c r="G2735" s="696"/>
      <c r="K2735" s="22" t="str">
        <f t="shared" si="85"/>
        <v/>
      </c>
      <c r="M2735" s="534" t="str">
        <f t="shared" si="84"/>
        <v/>
      </c>
    </row>
    <row r="2736" spans="2:13" ht="15.75" x14ac:dyDescent="0.25">
      <c r="B2736" s="692"/>
      <c r="C2736" s="117" t="str">
        <f>IF(ISNUMBER(B2736),IFERROR(VLOOKUP(B2736,'נתוני רישום ומצבת'!B:J,3,0),""),"")</f>
        <v/>
      </c>
      <c r="D2736" s="693"/>
      <c r="E2736" s="697"/>
      <c r="F2736" s="695"/>
      <c r="G2736" s="696"/>
      <c r="K2736" s="22" t="str">
        <f t="shared" si="85"/>
        <v/>
      </c>
      <c r="M2736" s="534" t="str">
        <f t="shared" si="84"/>
        <v/>
      </c>
    </row>
    <row r="2737" spans="2:13" ht="15.75" x14ac:dyDescent="0.25">
      <c r="B2737" s="692"/>
      <c r="C2737" s="117" t="str">
        <f>IF(ISNUMBER(B2737),IFERROR(VLOOKUP(B2737,'נתוני רישום ומצבת'!B:J,3,0),""),"")</f>
        <v/>
      </c>
      <c r="D2737" s="693"/>
      <c r="E2737" s="697"/>
      <c r="F2737" s="695"/>
      <c r="G2737" s="696"/>
      <c r="K2737" s="22" t="str">
        <f t="shared" si="85"/>
        <v/>
      </c>
      <c r="M2737" s="534" t="str">
        <f t="shared" si="84"/>
        <v/>
      </c>
    </row>
    <row r="2738" spans="2:13" ht="15.75" x14ac:dyDescent="0.25">
      <c r="B2738" s="692"/>
      <c r="C2738" s="117" t="str">
        <f>IF(ISNUMBER(B2738),IFERROR(VLOOKUP(B2738,'נתוני רישום ומצבת'!B:J,3,0),""),"")</f>
        <v/>
      </c>
      <c r="D2738" s="693"/>
      <c r="E2738" s="697"/>
      <c r="F2738" s="695"/>
      <c r="G2738" s="696"/>
      <c r="K2738" s="22" t="str">
        <f t="shared" si="85"/>
        <v/>
      </c>
      <c r="M2738" s="534" t="str">
        <f t="shared" si="84"/>
        <v/>
      </c>
    </row>
    <row r="2739" spans="2:13" ht="15.75" x14ac:dyDescent="0.25">
      <c r="B2739" s="692"/>
      <c r="C2739" s="117" t="str">
        <f>IF(ISNUMBER(B2739),IFERROR(VLOOKUP(B2739,'נתוני רישום ומצבת'!B:J,3,0),""),"")</f>
        <v/>
      </c>
      <c r="D2739" s="693"/>
      <c r="E2739" s="697"/>
      <c r="F2739" s="695"/>
      <c r="G2739" s="696"/>
      <c r="K2739" s="22" t="str">
        <f t="shared" si="85"/>
        <v/>
      </c>
      <c r="M2739" s="534" t="str">
        <f t="shared" si="84"/>
        <v/>
      </c>
    </row>
    <row r="2740" spans="2:13" ht="15.75" x14ac:dyDescent="0.25">
      <c r="B2740" s="692"/>
      <c r="C2740" s="117" t="str">
        <f>IF(ISNUMBER(B2740),IFERROR(VLOOKUP(B2740,'נתוני רישום ומצבת'!B:J,3,0),""),"")</f>
        <v/>
      </c>
      <c r="D2740" s="693"/>
      <c r="E2740" s="697"/>
      <c r="F2740" s="695"/>
      <c r="G2740" s="696"/>
      <c r="K2740" s="22" t="str">
        <f t="shared" si="85"/>
        <v/>
      </c>
      <c r="M2740" s="534" t="str">
        <f t="shared" si="84"/>
        <v/>
      </c>
    </row>
    <row r="2741" spans="2:13" ht="15.75" x14ac:dyDescent="0.25">
      <c r="B2741" s="692"/>
      <c r="C2741" s="117" t="str">
        <f>IF(ISNUMBER(B2741),IFERROR(VLOOKUP(B2741,'נתוני רישום ומצבת'!B:J,3,0),""),"")</f>
        <v/>
      </c>
      <c r="D2741" s="693"/>
      <c r="E2741" s="697"/>
      <c r="F2741" s="695"/>
      <c r="G2741" s="696"/>
      <c r="K2741" s="22" t="str">
        <f t="shared" si="85"/>
        <v/>
      </c>
      <c r="M2741" s="534" t="str">
        <f t="shared" si="84"/>
        <v/>
      </c>
    </row>
    <row r="2742" spans="2:13" ht="15.75" x14ac:dyDescent="0.25">
      <c r="B2742" s="692"/>
      <c r="C2742" s="117" t="str">
        <f>IF(ISNUMBER(B2742),IFERROR(VLOOKUP(B2742,'נתוני רישום ומצבת'!B:J,3,0),""),"")</f>
        <v/>
      </c>
      <c r="D2742" s="693"/>
      <c r="E2742" s="697"/>
      <c r="F2742" s="695"/>
      <c r="G2742" s="696"/>
      <c r="K2742" s="22" t="str">
        <f t="shared" si="85"/>
        <v/>
      </c>
      <c r="M2742" s="534" t="str">
        <f t="shared" si="84"/>
        <v/>
      </c>
    </row>
    <row r="2743" spans="2:13" ht="15.75" x14ac:dyDescent="0.25">
      <c r="B2743" s="692"/>
      <c r="C2743" s="117" t="str">
        <f>IF(ISNUMBER(B2743),IFERROR(VLOOKUP(B2743,'נתוני רישום ומצבת'!B:J,3,0),""),"")</f>
        <v/>
      </c>
      <c r="D2743" s="693"/>
      <c r="E2743" s="697"/>
      <c r="F2743" s="695"/>
      <c r="G2743" s="696"/>
      <c r="K2743" s="22" t="str">
        <f t="shared" si="85"/>
        <v/>
      </c>
      <c r="M2743" s="534" t="str">
        <f t="shared" si="84"/>
        <v/>
      </c>
    </row>
    <row r="2744" spans="2:13" ht="15.75" x14ac:dyDescent="0.25">
      <c r="B2744" s="692"/>
      <c r="C2744" s="117" t="str">
        <f>IF(ISNUMBER(B2744),IFERROR(VLOOKUP(B2744,'נתוני רישום ומצבת'!B:J,3,0),""),"")</f>
        <v/>
      </c>
      <c r="D2744" s="693"/>
      <c r="E2744" s="697"/>
      <c r="F2744" s="695"/>
      <c r="G2744" s="696"/>
      <c r="K2744" s="22" t="str">
        <f t="shared" si="85"/>
        <v/>
      </c>
      <c r="M2744" s="534" t="str">
        <f t="shared" si="84"/>
        <v/>
      </c>
    </row>
    <row r="2745" spans="2:13" ht="15.75" x14ac:dyDescent="0.25">
      <c r="B2745" s="692"/>
      <c r="C2745" s="117" t="str">
        <f>IF(ISNUMBER(B2745),IFERROR(VLOOKUP(B2745,'נתוני רישום ומצבת'!B:J,3,0),""),"")</f>
        <v/>
      </c>
      <c r="D2745" s="693"/>
      <c r="E2745" s="697"/>
      <c r="F2745" s="695"/>
      <c r="G2745" s="696"/>
      <c r="K2745" s="22" t="str">
        <f t="shared" si="85"/>
        <v/>
      </c>
      <c r="M2745" s="534" t="str">
        <f t="shared" si="84"/>
        <v/>
      </c>
    </row>
    <row r="2746" spans="2:13" ht="15.75" x14ac:dyDescent="0.25">
      <c r="B2746" s="692"/>
      <c r="C2746" s="117" t="str">
        <f>IF(ISNUMBER(B2746),IFERROR(VLOOKUP(B2746,'נתוני רישום ומצבת'!B:J,3,0),""),"")</f>
        <v/>
      </c>
      <c r="D2746" s="693"/>
      <c r="E2746" s="697"/>
      <c r="F2746" s="695"/>
      <c r="G2746" s="696"/>
      <c r="K2746" s="22" t="str">
        <f t="shared" si="85"/>
        <v/>
      </c>
      <c r="M2746" s="534" t="str">
        <f t="shared" si="84"/>
        <v/>
      </c>
    </row>
    <row r="2747" spans="2:13" ht="15.75" x14ac:dyDescent="0.25">
      <c r="B2747" s="692"/>
      <c r="C2747" s="117" t="str">
        <f>IF(ISNUMBER(B2747),IFERROR(VLOOKUP(B2747,'נתוני רישום ומצבת'!B:J,3,0),""),"")</f>
        <v/>
      </c>
      <c r="D2747" s="693"/>
      <c r="E2747" s="697"/>
      <c r="F2747" s="695"/>
      <c r="G2747" s="696"/>
      <c r="K2747" s="22" t="str">
        <f t="shared" si="85"/>
        <v/>
      </c>
      <c r="M2747" s="534" t="str">
        <f t="shared" si="84"/>
        <v/>
      </c>
    </row>
    <row r="2748" spans="2:13" ht="15.75" x14ac:dyDescent="0.25">
      <c r="B2748" s="692"/>
      <c r="C2748" s="117" t="str">
        <f>IF(ISNUMBER(B2748),IFERROR(VLOOKUP(B2748,'נתוני רישום ומצבת'!B:J,3,0),""),"")</f>
        <v/>
      </c>
      <c r="D2748" s="693"/>
      <c r="E2748" s="697"/>
      <c r="F2748" s="695"/>
      <c r="G2748" s="696"/>
      <c r="K2748" s="22" t="str">
        <f t="shared" si="85"/>
        <v/>
      </c>
      <c r="M2748" s="534" t="str">
        <f t="shared" si="84"/>
        <v/>
      </c>
    </row>
    <row r="2749" spans="2:13" ht="15.75" x14ac:dyDescent="0.25">
      <c r="B2749" s="692"/>
      <c r="C2749" s="117" t="str">
        <f>IF(ISNUMBER(B2749),IFERROR(VLOOKUP(B2749,'נתוני רישום ומצבת'!B:J,3,0),""),"")</f>
        <v/>
      </c>
      <c r="D2749" s="693"/>
      <c r="E2749" s="697"/>
      <c r="F2749" s="695"/>
      <c r="G2749" s="696"/>
      <c r="K2749" s="22" t="str">
        <f t="shared" si="85"/>
        <v/>
      </c>
      <c r="M2749" s="534" t="str">
        <f t="shared" si="84"/>
        <v/>
      </c>
    </row>
    <row r="2750" spans="2:13" ht="15.75" x14ac:dyDescent="0.25">
      <c r="B2750" s="692"/>
      <c r="C2750" s="117" t="str">
        <f>IF(ISNUMBER(B2750),IFERROR(VLOOKUP(B2750,'נתוני רישום ומצבת'!B:J,3,0),""),"")</f>
        <v/>
      </c>
      <c r="D2750" s="693"/>
      <c r="E2750" s="697"/>
      <c r="F2750" s="695"/>
      <c r="G2750" s="696"/>
      <c r="K2750" s="22" t="str">
        <f t="shared" si="85"/>
        <v/>
      </c>
      <c r="M2750" s="534" t="str">
        <f t="shared" si="84"/>
        <v/>
      </c>
    </row>
    <row r="2751" spans="2:13" ht="15.75" x14ac:dyDescent="0.25">
      <c r="B2751" s="692"/>
      <c r="C2751" s="117" t="str">
        <f>IF(ISNUMBER(B2751),IFERROR(VLOOKUP(B2751,'נתוני רישום ומצבת'!B:J,3,0),""),"")</f>
        <v/>
      </c>
      <c r="D2751" s="693"/>
      <c r="E2751" s="697"/>
      <c r="F2751" s="695"/>
      <c r="G2751" s="696"/>
      <c r="K2751" s="22" t="str">
        <f t="shared" si="85"/>
        <v/>
      </c>
      <c r="M2751" s="534" t="str">
        <f t="shared" si="84"/>
        <v/>
      </c>
    </row>
    <row r="2752" spans="2:13" ht="15.75" x14ac:dyDescent="0.25">
      <c r="B2752" s="692"/>
      <c r="C2752" s="117" t="str">
        <f>IF(ISNUMBER(B2752),IFERROR(VLOOKUP(B2752,'נתוני רישום ומצבת'!B:J,3,0),""),"")</f>
        <v/>
      </c>
      <c r="D2752" s="693"/>
      <c r="E2752" s="697"/>
      <c r="F2752" s="695"/>
      <c r="G2752" s="696"/>
      <c r="K2752" s="22" t="str">
        <f t="shared" si="85"/>
        <v/>
      </c>
      <c r="M2752" s="534" t="str">
        <f t="shared" si="84"/>
        <v/>
      </c>
    </row>
    <row r="2753" spans="2:13" ht="15.75" x14ac:dyDescent="0.25">
      <c r="B2753" s="692"/>
      <c r="C2753" s="117" t="str">
        <f>IF(ISNUMBER(B2753),IFERROR(VLOOKUP(B2753,'נתוני רישום ומצבת'!B:J,3,0),""),"")</f>
        <v/>
      </c>
      <c r="D2753" s="693"/>
      <c r="E2753" s="697"/>
      <c r="F2753" s="695"/>
      <c r="G2753" s="696"/>
      <c r="K2753" s="22" t="str">
        <f t="shared" si="85"/>
        <v/>
      </c>
      <c r="M2753" s="534" t="str">
        <f t="shared" si="84"/>
        <v/>
      </c>
    </row>
    <row r="2754" spans="2:13" ht="15.75" x14ac:dyDescent="0.25">
      <c r="B2754" s="692"/>
      <c r="C2754" s="117" t="str">
        <f>IF(ISNUMBER(B2754),IFERROR(VLOOKUP(B2754,'נתוני רישום ומצבת'!B:J,3,0),""),"")</f>
        <v/>
      </c>
      <c r="D2754" s="693"/>
      <c r="E2754" s="697"/>
      <c r="F2754" s="695"/>
      <c r="G2754" s="696"/>
      <c r="K2754" s="22" t="str">
        <f t="shared" si="85"/>
        <v/>
      </c>
      <c r="M2754" s="534" t="str">
        <f t="shared" si="84"/>
        <v/>
      </c>
    </row>
    <row r="2755" spans="2:13" ht="15.75" x14ac:dyDescent="0.25">
      <c r="B2755" s="692"/>
      <c r="C2755" s="117" t="str">
        <f>IF(ISNUMBER(B2755),IFERROR(VLOOKUP(B2755,'נתוני רישום ומצבת'!B:J,3,0),""),"")</f>
        <v/>
      </c>
      <c r="D2755" s="693"/>
      <c r="E2755" s="697"/>
      <c r="F2755" s="695"/>
      <c r="G2755" s="696"/>
      <c r="K2755" s="22" t="str">
        <f t="shared" si="85"/>
        <v/>
      </c>
      <c r="M2755" s="534" t="str">
        <f t="shared" si="84"/>
        <v/>
      </c>
    </row>
    <row r="2756" spans="2:13" ht="15.75" x14ac:dyDescent="0.25">
      <c r="B2756" s="692"/>
      <c r="C2756" s="117" t="str">
        <f>IF(ISNUMBER(B2756),IFERROR(VLOOKUP(B2756,'נתוני רישום ומצבת'!B:J,3,0),""),"")</f>
        <v/>
      </c>
      <c r="D2756" s="693"/>
      <c r="E2756" s="697"/>
      <c r="F2756" s="695"/>
      <c r="G2756" s="696"/>
      <c r="K2756" s="22" t="str">
        <f t="shared" si="85"/>
        <v/>
      </c>
      <c r="M2756" s="534" t="str">
        <f t="shared" si="84"/>
        <v/>
      </c>
    </row>
    <row r="2757" spans="2:13" ht="15.75" x14ac:dyDescent="0.25">
      <c r="B2757" s="692"/>
      <c r="C2757" s="117" t="str">
        <f>IF(ISNUMBER(B2757),IFERROR(VLOOKUP(B2757,'נתוני רישום ומצבת'!B:J,3,0),""),"")</f>
        <v/>
      </c>
      <c r="D2757" s="693"/>
      <c r="E2757" s="697"/>
      <c r="F2757" s="695"/>
      <c r="G2757" s="696"/>
      <c r="K2757" s="22" t="str">
        <f t="shared" si="85"/>
        <v/>
      </c>
      <c r="M2757" s="534" t="str">
        <f t="shared" si="84"/>
        <v/>
      </c>
    </row>
    <row r="2758" spans="2:13" ht="15.75" x14ac:dyDescent="0.25">
      <c r="B2758" s="692"/>
      <c r="C2758" s="117" t="str">
        <f>IF(ISNUMBER(B2758),IFERROR(VLOOKUP(B2758,'נתוני רישום ומצבת'!B:J,3,0),""),"")</f>
        <v/>
      </c>
      <c r="D2758" s="693"/>
      <c r="E2758" s="697"/>
      <c r="F2758" s="695"/>
      <c r="G2758" s="696"/>
      <c r="K2758" s="22" t="str">
        <f t="shared" si="85"/>
        <v/>
      </c>
      <c r="M2758" s="534" t="str">
        <f t="shared" si="84"/>
        <v/>
      </c>
    </row>
    <row r="2759" spans="2:13" ht="15.75" x14ac:dyDescent="0.25">
      <c r="B2759" s="692"/>
      <c r="C2759" s="117" t="str">
        <f>IF(ISNUMBER(B2759),IFERROR(VLOOKUP(B2759,'נתוני רישום ומצבת'!B:J,3,0),""),"")</f>
        <v/>
      </c>
      <c r="D2759" s="693"/>
      <c r="E2759" s="697"/>
      <c r="F2759" s="695"/>
      <c r="G2759" s="696"/>
      <c r="K2759" s="22" t="str">
        <f t="shared" si="85"/>
        <v/>
      </c>
      <c r="M2759" s="534" t="str">
        <f t="shared" si="84"/>
        <v/>
      </c>
    </row>
    <row r="2760" spans="2:13" ht="15.75" x14ac:dyDescent="0.25">
      <c r="B2760" s="692"/>
      <c r="C2760" s="117" t="str">
        <f>IF(ISNUMBER(B2760),IFERROR(VLOOKUP(B2760,'נתוני רישום ומצבת'!B:J,3,0),""),"")</f>
        <v/>
      </c>
      <c r="D2760" s="693"/>
      <c r="E2760" s="697"/>
      <c r="F2760" s="695"/>
      <c r="G2760" s="696"/>
      <c r="K2760" s="22" t="str">
        <f t="shared" si="85"/>
        <v/>
      </c>
      <c r="M2760" s="534" t="str">
        <f t="shared" si="84"/>
        <v/>
      </c>
    </row>
    <row r="2761" spans="2:13" ht="15.75" x14ac:dyDescent="0.25">
      <c r="B2761" s="692"/>
      <c r="C2761" s="117" t="str">
        <f>IF(ISNUMBER(B2761),IFERROR(VLOOKUP(B2761,'נתוני רישום ומצבת'!B:J,3,0),""),"")</f>
        <v/>
      </c>
      <c r="D2761" s="693"/>
      <c r="E2761" s="697"/>
      <c r="F2761" s="695"/>
      <c r="G2761" s="696"/>
      <c r="K2761" s="22" t="str">
        <f t="shared" si="85"/>
        <v/>
      </c>
      <c r="M2761" s="534" t="str">
        <f t="shared" si="84"/>
        <v/>
      </c>
    </row>
    <row r="2762" spans="2:13" ht="15.75" x14ac:dyDescent="0.25">
      <c r="B2762" s="692"/>
      <c r="C2762" s="117" t="str">
        <f>IF(ISNUMBER(B2762),IFERROR(VLOOKUP(B2762,'נתוני רישום ומצבת'!B:J,3,0),""),"")</f>
        <v/>
      </c>
      <c r="D2762" s="693"/>
      <c r="E2762" s="697"/>
      <c r="F2762" s="695"/>
      <c r="G2762" s="696"/>
      <c r="K2762" s="22" t="str">
        <f t="shared" si="85"/>
        <v/>
      </c>
      <c r="M2762" s="534" t="str">
        <f t="shared" si="84"/>
        <v/>
      </c>
    </row>
    <row r="2763" spans="2:13" ht="15.75" x14ac:dyDescent="0.25">
      <c r="B2763" s="692"/>
      <c r="C2763" s="117" t="str">
        <f>IF(ISNUMBER(B2763),IFERROR(VLOOKUP(B2763,'נתוני רישום ומצבת'!B:J,3,0),""),"")</f>
        <v/>
      </c>
      <c r="D2763" s="693"/>
      <c r="E2763" s="697"/>
      <c r="F2763" s="695"/>
      <c r="G2763" s="696"/>
      <c r="K2763" s="22" t="str">
        <f t="shared" si="85"/>
        <v/>
      </c>
      <c r="M2763" s="534" t="str">
        <f t="shared" si="84"/>
        <v/>
      </c>
    </row>
    <row r="2764" spans="2:13" ht="15.75" x14ac:dyDescent="0.25">
      <c r="B2764" s="692"/>
      <c r="C2764" s="117" t="str">
        <f>IF(ISNUMBER(B2764),IFERROR(VLOOKUP(B2764,'נתוני רישום ומצבת'!B:J,3,0),""),"")</f>
        <v/>
      </c>
      <c r="D2764" s="693"/>
      <c r="E2764" s="697"/>
      <c r="F2764" s="695"/>
      <c r="G2764" s="696"/>
      <c r="K2764" s="22" t="str">
        <f t="shared" si="85"/>
        <v/>
      </c>
      <c r="M2764" s="534" t="str">
        <f t="shared" si="84"/>
        <v/>
      </c>
    </row>
    <row r="2765" spans="2:13" ht="15.75" x14ac:dyDescent="0.25">
      <c r="B2765" s="692"/>
      <c r="C2765" s="117" t="str">
        <f>IF(ISNUMBER(B2765),IFERROR(VLOOKUP(B2765,'נתוני רישום ומצבת'!B:J,3,0),""),"")</f>
        <v/>
      </c>
      <c r="D2765" s="693"/>
      <c r="E2765" s="697"/>
      <c r="F2765" s="695"/>
      <c r="G2765" s="696"/>
      <c r="K2765" s="22" t="str">
        <f t="shared" si="85"/>
        <v/>
      </c>
      <c r="M2765" s="534" t="str">
        <f t="shared" si="84"/>
        <v/>
      </c>
    </row>
    <row r="2766" spans="2:13" ht="15.75" x14ac:dyDescent="0.25">
      <c r="B2766" s="692"/>
      <c r="C2766" s="117" t="str">
        <f>IF(ISNUMBER(B2766),IFERROR(VLOOKUP(B2766,'נתוני רישום ומצבת'!B:J,3,0),""),"")</f>
        <v/>
      </c>
      <c r="D2766" s="693"/>
      <c r="E2766" s="697"/>
      <c r="F2766" s="695"/>
      <c r="G2766" s="696"/>
      <c r="K2766" s="22" t="str">
        <f t="shared" si="85"/>
        <v/>
      </c>
      <c r="M2766" s="534" t="str">
        <f t="shared" si="84"/>
        <v/>
      </c>
    </row>
    <row r="2767" spans="2:13" ht="15.75" x14ac:dyDescent="0.25">
      <c r="B2767" s="692"/>
      <c r="C2767" s="117" t="str">
        <f>IF(ISNUMBER(B2767),IFERROR(VLOOKUP(B2767,'נתוני רישום ומצבת'!B:J,3,0),""),"")</f>
        <v/>
      </c>
      <c r="D2767" s="693"/>
      <c r="E2767" s="697"/>
      <c r="F2767" s="695"/>
      <c r="G2767" s="696"/>
      <c r="K2767" s="22" t="str">
        <f t="shared" si="85"/>
        <v/>
      </c>
      <c r="M2767" s="534" t="str">
        <f t="shared" si="84"/>
        <v/>
      </c>
    </row>
    <row r="2768" spans="2:13" ht="15.75" x14ac:dyDescent="0.25">
      <c r="B2768" s="692"/>
      <c r="C2768" s="117" t="str">
        <f>IF(ISNUMBER(B2768),IFERROR(VLOOKUP(B2768,'נתוני רישום ומצבת'!B:J,3,0),""),"")</f>
        <v/>
      </c>
      <c r="D2768" s="693"/>
      <c r="E2768" s="697"/>
      <c r="F2768" s="695"/>
      <c r="G2768" s="696"/>
      <c r="K2768" s="22" t="str">
        <f t="shared" si="85"/>
        <v/>
      </c>
      <c r="M2768" s="534" t="str">
        <f t="shared" si="84"/>
        <v/>
      </c>
    </row>
    <row r="2769" spans="2:13" ht="15.75" x14ac:dyDescent="0.25">
      <c r="B2769" s="692"/>
      <c r="C2769" s="117" t="str">
        <f>IF(ISNUMBER(B2769),IFERROR(VLOOKUP(B2769,'נתוני רישום ומצבת'!B:J,3,0),""),"")</f>
        <v/>
      </c>
      <c r="D2769" s="693"/>
      <c r="E2769" s="697"/>
      <c r="F2769" s="695"/>
      <c r="G2769" s="696"/>
      <c r="K2769" s="22" t="str">
        <f t="shared" si="85"/>
        <v/>
      </c>
      <c r="M2769" s="534" t="str">
        <f t="shared" ref="M2769:M2832" si="86">TEXT(LEFT(D2769,2),0)</f>
        <v/>
      </c>
    </row>
    <row r="2770" spans="2:13" ht="15.75" x14ac:dyDescent="0.25">
      <c r="B2770" s="692"/>
      <c r="C2770" s="117" t="str">
        <f>IF(ISNUMBER(B2770),IFERROR(VLOOKUP(B2770,'נתוני רישום ומצבת'!B:J,3,0),""),"")</f>
        <v/>
      </c>
      <c r="D2770" s="693"/>
      <c r="E2770" s="697"/>
      <c r="F2770" s="695"/>
      <c r="G2770" s="696"/>
      <c r="K2770" s="22" t="str">
        <f t="shared" si="85"/>
        <v/>
      </c>
      <c r="M2770" s="534" t="str">
        <f t="shared" si="86"/>
        <v/>
      </c>
    </row>
    <row r="2771" spans="2:13" ht="15.75" x14ac:dyDescent="0.25">
      <c r="B2771" s="692"/>
      <c r="C2771" s="117" t="str">
        <f>IF(ISNUMBER(B2771),IFERROR(VLOOKUP(B2771,'נתוני רישום ומצבת'!B:J,3,0),""),"")</f>
        <v/>
      </c>
      <c r="D2771" s="693"/>
      <c r="E2771" s="697"/>
      <c r="F2771" s="695"/>
      <c r="G2771" s="696"/>
      <c r="K2771" s="22" t="str">
        <f t="shared" si="85"/>
        <v/>
      </c>
      <c r="M2771" s="534" t="str">
        <f t="shared" si="86"/>
        <v/>
      </c>
    </row>
    <row r="2772" spans="2:13" ht="15.75" x14ac:dyDescent="0.25">
      <c r="B2772" s="692"/>
      <c r="C2772" s="117" t="str">
        <f>IF(ISNUMBER(B2772),IFERROR(VLOOKUP(B2772,'נתוני רישום ומצבת'!B:J,3,0),""),"")</f>
        <v/>
      </c>
      <c r="D2772" s="693"/>
      <c r="E2772" s="697"/>
      <c r="F2772" s="695"/>
      <c r="G2772" s="696"/>
      <c r="K2772" s="22" t="str">
        <f t="shared" si="85"/>
        <v/>
      </c>
      <c r="M2772" s="534" t="str">
        <f t="shared" si="86"/>
        <v/>
      </c>
    </row>
    <row r="2773" spans="2:13" ht="15.75" x14ac:dyDescent="0.25">
      <c r="B2773" s="692"/>
      <c r="C2773" s="117" t="str">
        <f>IF(ISNUMBER(B2773),IFERROR(VLOOKUP(B2773,'נתוני רישום ומצבת'!B:J,3,0),""),"")</f>
        <v/>
      </c>
      <c r="D2773" s="693"/>
      <c r="E2773" s="697"/>
      <c r="F2773" s="695"/>
      <c r="G2773" s="696"/>
      <c r="K2773" s="22" t="str">
        <f t="shared" ref="K2773:K2836" si="87">IF(C2760&lt;5,IF(D2773=$F$8,-E2773," "),"")</f>
        <v/>
      </c>
      <c r="M2773" s="534" t="str">
        <f t="shared" si="86"/>
        <v/>
      </c>
    </row>
    <row r="2774" spans="2:13" ht="15.75" x14ac:dyDescent="0.25">
      <c r="B2774" s="692"/>
      <c r="C2774" s="117" t="str">
        <f>IF(ISNUMBER(B2774),IFERROR(VLOOKUP(B2774,'נתוני רישום ומצבת'!B:J,3,0),""),"")</f>
        <v/>
      </c>
      <c r="D2774" s="693"/>
      <c r="E2774" s="697"/>
      <c r="F2774" s="695"/>
      <c r="G2774" s="696"/>
      <c r="K2774" s="22" t="str">
        <f t="shared" si="87"/>
        <v/>
      </c>
      <c r="M2774" s="534" t="str">
        <f t="shared" si="86"/>
        <v/>
      </c>
    </row>
    <row r="2775" spans="2:13" ht="15.75" x14ac:dyDescent="0.25">
      <c r="B2775" s="692"/>
      <c r="C2775" s="117" t="str">
        <f>IF(ISNUMBER(B2775),IFERROR(VLOOKUP(B2775,'נתוני רישום ומצבת'!B:J,3,0),""),"")</f>
        <v/>
      </c>
      <c r="D2775" s="693"/>
      <c r="E2775" s="697"/>
      <c r="F2775" s="695"/>
      <c r="G2775" s="696"/>
      <c r="K2775" s="22" t="str">
        <f t="shared" si="87"/>
        <v/>
      </c>
      <c r="M2775" s="534" t="str">
        <f t="shared" si="86"/>
        <v/>
      </c>
    </row>
    <row r="2776" spans="2:13" ht="15.75" x14ac:dyDescent="0.25">
      <c r="B2776" s="692"/>
      <c r="C2776" s="117" t="str">
        <f>IF(ISNUMBER(B2776),IFERROR(VLOOKUP(B2776,'נתוני רישום ומצבת'!B:J,3,0),""),"")</f>
        <v/>
      </c>
      <c r="D2776" s="693"/>
      <c r="E2776" s="697"/>
      <c r="F2776" s="695"/>
      <c r="G2776" s="696"/>
      <c r="K2776" s="22" t="str">
        <f t="shared" si="87"/>
        <v/>
      </c>
      <c r="M2776" s="534" t="str">
        <f t="shared" si="86"/>
        <v/>
      </c>
    </row>
    <row r="2777" spans="2:13" ht="15.75" x14ac:dyDescent="0.25">
      <c r="B2777" s="692"/>
      <c r="C2777" s="117" t="str">
        <f>IF(ISNUMBER(B2777),IFERROR(VLOOKUP(B2777,'נתוני רישום ומצבת'!B:J,3,0),""),"")</f>
        <v/>
      </c>
      <c r="D2777" s="693"/>
      <c r="E2777" s="697"/>
      <c r="F2777" s="695"/>
      <c r="G2777" s="696"/>
      <c r="K2777" s="22" t="str">
        <f t="shared" si="87"/>
        <v/>
      </c>
      <c r="M2777" s="534" t="str">
        <f t="shared" si="86"/>
        <v/>
      </c>
    </row>
    <row r="2778" spans="2:13" ht="15.75" x14ac:dyDescent="0.25">
      <c r="B2778" s="692"/>
      <c r="C2778" s="117" t="str">
        <f>IF(ISNUMBER(B2778),IFERROR(VLOOKUP(B2778,'נתוני רישום ומצבת'!B:J,3,0),""),"")</f>
        <v/>
      </c>
      <c r="D2778" s="693"/>
      <c r="E2778" s="697"/>
      <c r="F2778" s="695"/>
      <c r="G2778" s="696"/>
      <c r="K2778" s="22" t="str">
        <f t="shared" si="87"/>
        <v/>
      </c>
      <c r="M2778" s="534" t="str">
        <f t="shared" si="86"/>
        <v/>
      </c>
    </row>
    <row r="2779" spans="2:13" ht="15.75" x14ac:dyDescent="0.25">
      <c r="B2779" s="692"/>
      <c r="C2779" s="117" t="str">
        <f>IF(ISNUMBER(B2779),IFERROR(VLOOKUP(B2779,'נתוני רישום ומצבת'!B:J,3,0),""),"")</f>
        <v/>
      </c>
      <c r="D2779" s="693"/>
      <c r="E2779" s="697"/>
      <c r="F2779" s="695"/>
      <c r="G2779" s="696"/>
      <c r="K2779" s="22" t="str">
        <f t="shared" si="87"/>
        <v/>
      </c>
      <c r="M2779" s="534" t="str">
        <f t="shared" si="86"/>
        <v/>
      </c>
    </row>
    <row r="2780" spans="2:13" ht="15.75" x14ac:dyDescent="0.25">
      <c r="B2780" s="692"/>
      <c r="C2780" s="117" t="str">
        <f>IF(ISNUMBER(B2780),IFERROR(VLOOKUP(B2780,'נתוני רישום ומצבת'!B:J,3,0),""),"")</f>
        <v/>
      </c>
      <c r="D2780" s="693"/>
      <c r="E2780" s="697"/>
      <c r="F2780" s="695"/>
      <c r="G2780" s="696"/>
      <c r="K2780" s="22" t="str">
        <f t="shared" si="87"/>
        <v/>
      </c>
      <c r="M2780" s="534" t="str">
        <f t="shared" si="86"/>
        <v/>
      </c>
    </row>
    <row r="2781" spans="2:13" ht="15.75" x14ac:dyDescent="0.25">
      <c r="B2781" s="692"/>
      <c r="C2781" s="117" t="str">
        <f>IF(ISNUMBER(B2781),IFERROR(VLOOKUP(B2781,'נתוני רישום ומצבת'!B:J,3,0),""),"")</f>
        <v/>
      </c>
      <c r="D2781" s="693"/>
      <c r="E2781" s="697"/>
      <c r="F2781" s="695"/>
      <c r="G2781" s="696"/>
      <c r="K2781" s="22" t="str">
        <f t="shared" si="87"/>
        <v/>
      </c>
      <c r="M2781" s="534" t="str">
        <f t="shared" si="86"/>
        <v/>
      </c>
    </row>
    <row r="2782" spans="2:13" ht="15.75" x14ac:dyDescent="0.25">
      <c r="B2782" s="692"/>
      <c r="C2782" s="117" t="str">
        <f>IF(ISNUMBER(B2782),IFERROR(VLOOKUP(B2782,'נתוני רישום ומצבת'!B:J,3,0),""),"")</f>
        <v/>
      </c>
      <c r="D2782" s="693"/>
      <c r="E2782" s="697"/>
      <c r="F2782" s="695"/>
      <c r="G2782" s="696"/>
      <c r="K2782" s="22" t="str">
        <f t="shared" si="87"/>
        <v/>
      </c>
      <c r="M2782" s="534" t="str">
        <f t="shared" si="86"/>
        <v/>
      </c>
    </row>
    <row r="2783" spans="2:13" ht="15.75" x14ac:dyDescent="0.25">
      <c r="B2783" s="692"/>
      <c r="C2783" s="117" t="str">
        <f>IF(ISNUMBER(B2783),IFERROR(VLOOKUP(B2783,'נתוני רישום ומצבת'!B:J,3,0),""),"")</f>
        <v/>
      </c>
      <c r="D2783" s="693"/>
      <c r="E2783" s="697"/>
      <c r="F2783" s="695"/>
      <c r="G2783" s="696"/>
      <c r="K2783" s="22" t="str">
        <f t="shared" si="87"/>
        <v/>
      </c>
      <c r="M2783" s="534" t="str">
        <f t="shared" si="86"/>
        <v/>
      </c>
    </row>
    <row r="2784" spans="2:13" ht="15.75" x14ac:dyDescent="0.25">
      <c r="B2784" s="692"/>
      <c r="C2784" s="117" t="str">
        <f>IF(ISNUMBER(B2784),IFERROR(VLOOKUP(B2784,'נתוני רישום ומצבת'!B:J,3,0),""),"")</f>
        <v/>
      </c>
      <c r="D2784" s="693"/>
      <c r="E2784" s="697"/>
      <c r="F2784" s="695"/>
      <c r="G2784" s="696"/>
      <c r="K2784" s="22" t="str">
        <f t="shared" si="87"/>
        <v/>
      </c>
      <c r="M2784" s="534" t="str">
        <f t="shared" si="86"/>
        <v/>
      </c>
    </row>
    <row r="2785" spans="2:13" ht="15.75" x14ac:dyDescent="0.25">
      <c r="B2785" s="692"/>
      <c r="C2785" s="117" t="str">
        <f>IF(ISNUMBER(B2785),IFERROR(VLOOKUP(B2785,'נתוני רישום ומצבת'!B:J,3,0),""),"")</f>
        <v/>
      </c>
      <c r="D2785" s="693"/>
      <c r="E2785" s="697"/>
      <c r="F2785" s="695"/>
      <c r="G2785" s="696"/>
      <c r="K2785" s="22" t="str">
        <f t="shared" si="87"/>
        <v/>
      </c>
      <c r="M2785" s="534" t="str">
        <f t="shared" si="86"/>
        <v/>
      </c>
    </row>
    <row r="2786" spans="2:13" ht="15.75" x14ac:dyDescent="0.25">
      <c r="B2786" s="692"/>
      <c r="C2786" s="117" t="str">
        <f>IF(ISNUMBER(B2786),IFERROR(VLOOKUP(B2786,'נתוני רישום ומצבת'!B:J,3,0),""),"")</f>
        <v/>
      </c>
      <c r="D2786" s="693"/>
      <c r="E2786" s="697"/>
      <c r="F2786" s="695"/>
      <c r="G2786" s="696"/>
      <c r="K2786" s="22" t="str">
        <f t="shared" si="87"/>
        <v/>
      </c>
      <c r="M2786" s="534" t="str">
        <f t="shared" si="86"/>
        <v/>
      </c>
    </row>
    <row r="2787" spans="2:13" ht="15.75" x14ac:dyDescent="0.25">
      <c r="B2787" s="692"/>
      <c r="C2787" s="117" t="str">
        <f>IF(ISNUMBER(B2787),IFERROR(VLOOKUP(B2787,'נתוני רישום ומצבת'!B:J,3,0),""),"")</f>
        <v/>
      </c>
      <c r="D2787" s="693"/>
      <c r="E2787" s="697"/>
      <c r="F2787" s="695"/>
      <c r="G2787" s="696"/>
      <c r="K2787" s="22" t="str">
        <f t="shared" si="87"/>
        <v/>
      </c>
      <c r="M2787" s="534" t="str">
        <f t="shared" si="86"/>
        <v/>
      </c>
    </row>
    <row r="2788" spans="2:13" ht="15.75" x14ac:dyDescent="0.25">
      <c r="B2788" s="692"/>
      <c r="C2788" s="117" t="str">
        <f>IF(ISNUMBER(B2788),IFERROR(VLOOKUP(B2788,'נתוני רישום ומצבת'!B:J,3,0),""),"")</f>
        <v/>
      </c>
      <c r="D2788" s="693"/>
      <c r="E2788" s="697"/>
      <c r="F2788" s="695"/>
      <c r="G2788" s="696"/>
      <c r="K2788" s="22" t="str">
        <f t="shared" si="87"/>
        <v/>
      </c>
      <c r="M2788" s="534" t="str">
        <f t="shared" si="86"/>
        <v/>
      </c>
    </row>
    <row r="2789" spans="2:13" ht="15.75" x14ac:dyDescent="0.25">
      <c r="B2789" s="692"/>
      <c r="C2789" s="117" t="str">
        <f>IF(ISNUMBER(B2789),IFERROR(VLOOKUP(B2789,'נתוני רישום ומצבת'!B:J,3,0),""),"")</f>
        <v/>
      </c>
      <c r="D2789" s="693"/>
      <c r="E2789" s="697"/>
      <c r="F2789" s="695"/>
      <c r="G2789" s="696"/>
      <c r="K2789" s="22" t="str">
        <f t="shared" si="87"/>
        <v/>
      </c>
      <c r="M2789" s="534" t="str">
        <f t="shared" si="86"/>
        <v/>
      </c>
    </row>
    <row r="2790" spans="2:13" ht="15.75" x14ac:dyDescent="0.25">
      <c r="B2790" s="692"/>
      <c r="C2790" s="117" t="str">
        <f>IF(ISNUMBER(B2790),IFERROR(VLOOKUP(B2790,'נתוני רישום ומצבת'!B:J,3,0),""),"")</f>
        <v/>
      </c>
      <c r="D2790" s="693"/>
      <c r="E2790" s="697"/>
      <c r="F2790" s="695"/>
      <c r="G2790" s="696"/>
      <c r="K2790" s="22" t="str">
        <f t="shared" si="87"/>
        <v/>
      </c>
      <c r="M2790" s="534" t="str">
        <f t="shared" si="86"/>
        <v/>
      </c>
    </row>
    <row r="2791" spans="2:13" ht="15.75" x14ac:dyDescent="0.25">
      <c r="B2791" s="692"/>
      <c r="C2791" s="117" t="str">
        <f>IF(ISNUMBER(B2791),IFERROR(VLOOKUP(B2791,'נתוני רישום ומצבת'!B:J,3,0),""),"")</f>
        <v/>
      </c>
      <c r="D2791" s="693"/>
      <c r="E2791" s="697"/>
      <c r="F2791" s="695"/>
      <c r="G2791" s="696"/>
      <c r="K2791" s="22" t="str">
        <f t="shared" si="87"/>
        <v/>
      </c>
      <c r="M2791" s="534" t="str">
        <f t="shared" si="86"/>
        <v/>
      </c>
    </row>
    <row r="2792" spans="2:13" ht="15.75" x14ac:dyDescent="0.25">
      <c r="B2792" s="692"/>
      <c r="C2792" s="117" t="str">
        <f>IF(ISNUMBER(B2792),IFERROR(VLOOKUP(B2792,'נתוני רישום ומצבת'!B:J,3,0),""),"")</f>
        <v/>
      </c>
      <c r="D2792" s="693"/>
      <c r="E2792" s="697"/>
      <c r="F2792" s="695"/>
      <c r="G2792" s="696"/>
      <c r="K2792" s="22" t="str">
        <f t="shared" si="87"/>
        <v/>
      </c>
      <c r="M2792" s="534" t="str">
        <f t="shared" si="86"/>
        <v/>
      </c>
    </row>
    <row r="2793" spans="2:13" ht="15.75" x14ac:dyDescent="0.25">
      <c r="B2793" s="692"/>
      <c r="C2793" s="117" t="str">
        <f>IF(ISNUMBER(B2793),IFERROR(VLOOKUP(B2793,'נתוני רישום ומצבת'!B:J,3,0),""),"")</f>
        <v/>
      </c>
      <c r="D2793" s="693"/>
      <c r="E2793" s="697"/>
      <c r="F2793" s="695"/>
      <c r="G2793" s="696"/>
      <c r="K2793" s="22" t="str">
        <f t="shared" si="87"/>
        <v/>
      </c>
      <c r="M2793" s="534" t="str">
        <f t="shared" si="86"/>
        <v/>
      </c>
    </row>
    <row r="2794" spans="2:13" ht="15.75" x14ac:dyDescent="0.25">
      <c r="B2794" s="692"/>
      <c r="C2794" s="117" t="str">
        <f>IF(ISNUMBER(B2794),IFERROR(VLOOKUP(B2794,'נתוני רישום ומצבת'!B:J,3,0),""),"")</f>
        <v/>
      </c>
      <c r="D2794" s="693"/>
      <c r="E2794" s="697"/>
      <c r="F2794" s="695"/>
      <c r="G2794" s="696"/>
      <c r="K2794" s="22" t="str">
        <f t="shared" si="87"/>
        <v/>
      </c>
      <c r="M2794" s="534" t="str">
        <f t="shared" si="86"/>
        <v/>
      </c>
    </row>
    <row r="2795" spans="2:13" ht="15.75" x14ac:dyDescent="0.25">
      <c r="B2795" s="692"/>
      <c r="C2795" s="117" t="str">
        <f>IF(ISNUMBER(B2795),IFERROR(VLOOKUP(B2795,'נתוני רישום ומצבת'!B:J,3,0),""),"")</f>
        <v/>
      </c>
      <c r="D2795" s="693"/>
      <c r="E2795" s="697"/>
      <c r="F2795" s="695"/>
      <c r="G2795" s="696"/>
      <c r="K2795" s="22" t="str">
        <f t="shared" si="87"/>
        <v/>
      </c>
      <c r="M2795" s="534" t="str">
        <f t="shared" si="86"/>
        <v/>
      </c>
    </row>
    <row r="2796" spans="2:13" ht="15.75" x14ac:dyDescent="0.25">
      <c r="B2796" s="692"/>
      <c r="C2796" s="117" t="str">
        <f>IF(ISNUMBER(B2796),IFERROR(VLOOKUP(B2796,'נתוני רישום ומצבת'!B:J,3,0),""),"")</f>
        <v/>
      </c>
      <c r="D2796" s="693"/>
      <c r="E2796" s="697"/>
      <c r="F2796" s="695"/>
      <c r="G2796" s="696"/>
      <c r="K2796" s="22" t="str">
        <f t="shared" si="87"/>
        <v/>
      </c>
      <c r="M2796" s="534" t="str">
        <f t="shared" si="86"/>
        <v/>
      </c>
    </row>
    <row r="2797" spans="2:13" ht="15.75" x14ac:dyDescent="0.25">
      <c r="B2797" s="692"/>
      <c r="C2797" s="117" t="str">
        <f>IF(ISNUMBER(B2797),IFERROR(VLOOKUP(B2797,'נתוני רישום ומצבת'!B:J,3,0),""),"")</f>
        <v/>
      </c>
      <c r="D2797" s="693"/>
      <c r="E2797" s="697"/>
      <c r="F2797" s="695"/>
      <c r="G2797" s="696"/>
      <c r="K2797" s="22" t="str">
        <f t="shared" si="87"/>
        <v/>
      </c>
      <c r="M2797" s="534" t="str">
        <f t="shared" si="86"/>
        <v/>
      </c>
    </row>
    <row r="2798" spans="2:13" ht="15.75" x14ac:dyDescent="0.25">
      <c r="B2798" s="692"/>
      <c r="C2798" s="117" t="str">
        <f>IF(ISNUMBER(B2798),IFERROR(VLOOKUP(B2798,'נתוני רישום ומצבת'!B:J,3,0),""),"")</f>
        <v/>
      </c>
      <c r="D2798" s="693"/>
      <c r="E2798" s="697"/>
      <c r="F2798" s="695"/>
      <c r="G2798" s="696"/>
      <c r="K2798" s="22" t="str">
        <f t="shared" si="87"/>
        <v/>
      </c>
      <c r="M2798" s="534" t="str">
        <f t="shared" si="86"/>
        <v/>
      </c>
    </row>
    <row r="2799" spans="2:13" ht="15.75" x14ac:dyDescent="0.25">
      <c r="B2799" s="692"/>
      <c r="C2799" s="117" t="str">
        <f>IF(ISNUMBER(B2799),IFERROR(VLOOKUP(B2799,'נתוני רישום ומצבת'!B:J,3,0),""),"")</f>
        <v/>
      </c>
      <c r="D2799" s="693"/>
      <c r="E2799" s="697"/>
      <c r="F2799" s="695"/>
      <c r="G2799" s="696"/>
      <c r="K2799" s="22" t="str">
        <f t="shared" si="87"/>
        <v/>
      </c>
      <c r="M2799" s="534" t="str">
        <f t="shared" si="86"/>
        <v/>
      </c>
    </row>
    <row r="2800" spans="2:13" ht="15.75" x14ac:dyDescent="0.25">
      <c r="B2800" s="692"/>
      <c r="C2800" s="117" t="str">
        <f>IF(ISNUMBER(B2800),IFERROR(VLOOKUP(B2800,'נתוני רישום ומצבת'!B:J,3,0),""),"")</f>
        <v/>
      </c>
      <c r="D2800" s="693"/>
      <c r="E2800" s="697"/>
      <c r="F2800" s="695"/>
      <c r="G2800" s="696"/>
      <c r="K2800" s="22" t="str">
        <f t="shared" si="87"/>
        <v/>
      </c>
      <c r="M2800" s="534" t="str">
        <f t="shared" si="86"/>
        <v/>
      </c>
    </row>
    <row r="2801" spans="2:13" ht="15.75" x14ac:dyDescent="0.25">
      <c r="B2801" s="692"/>
      <c r="C2801" s="117" t="str">
        <f>IF(ISNUMBER(B2801),IFERROR(VLOOKUP(B2801,'נתוני רישום ומצבת'!B:J,3,0),""),"")</f>
        <v/>
      </c>
      <c r="D2801" s="693"/>
      <c r="E2801" s="697"/>
      <c r="F2801" s="695"/>
      <c r="G2801" s="696"/>
      <c r="K2801" s="22" t="str">
        <f t="shared" si="87"/>
        <v/>
      </c>
      <c r="M2801" s="534" t="str">
        <f t="shared" si="86"/>
        <v/>
      </c>
    </row>
    <row r="2802" spans="2:13" ht="15.75" x14ac:dyDescent="0.25">
      <c r="B2802" s="692"/>
      <c r="C2802" s="117" t="str">
        <f>IF(ISNUMBER(B2802),IFERROR(VLOOKUP(B2802,'נתוני רישום ומצבת'!B:J,3,0),""),"")</f>
        <v/>
      </c>
      <c r="D2802" s="693"/>
      <c r="E2802" s="697"/>
      <c r="F2802" s="695"/>
      <c r="G2802" s="696"/>
      <c r="K2802" s="22" t="str">
        <f t="shared" si="87"/>
        <v/>
      </c>
      <c r="M2802" s="534" t="str">
        <f t="shared" si="86"/>
        <v/>
      </c>
    </row>
    <row r="2803" spans="2:13" ht="15.75" x14ac:dyDescent="0.25">
      <c r="B2803" s="692"/>
      <c r="C2803" s="117" t="str">
        <f>IF(ISNUMBER(B2803),IFERROR(VLOOKUP(B2803,'נתוני רישום ומצבת'!B:J,3,0),""),"")</f>
        <v/>
      </c>
      <c r="D2803" s="693"/>
      <c r="E2803" s="697"/>
      <c r="F2803" s="695"/>
      <c r="G2803" s="696"/>
      <c r="K2803" s="22" t="str">
        <f t="shared" si="87"/>
        <v/>
      </c>
      <c r="M2803" s="534" t="str">
        <f t="shared" si="86"/>
        <v/>
      </c>
    </row>
    <row r="2804" spans="2:13" ht="15.75" x14ac:dyDescent="0.25">
      <c r="B2804" s="692"/>
      <c r="C2804" s="117" t="str">
        <f>IF(ISNUMBER(B2804),IFERROR(VLOOKUP(B2804,'נתוני רישום ומצבת'!B:J,3,0),""),"")</f>
        <v/>
      </c>
      <c r="D2804" s="693"/>
      <c r="E2804" s="697"/>
      <c r="F2804" s="695"/>
      <c r="G2804" s="696"/>
      <c r="K2804" s="22" t="str">
        <f t="shared" si="87"/>
        <v/>
      </c>
      <c r="M2804" s="534" t="str">
        <f t="shared" si="86"/>
        <v/>
      </c>
    </row>
    <row r="2805" spans="2:13" ht="15.75" x14ac:dyDescent="0.25">
      <c r="B2805" s="692"/>
      <c r="C2805" s="117" t="str">
        <f>IF(ISNUMBER(B2805),IFERROR(VLOOKUP(B2805,'נתוני רישום ומצבת'!B:J,3,0),""),"")</f>
        <v/>
      </c>
      <c r="D2805" s="693"/>
      <c r="E2805" s="697"/>
      <c r="F2805" s="695"/>
      <c r="G2805" s="696"/>
      <c r="K2805" s="22" t="str">
        <f t="shared" si="87"/>
        <v/>
      </c>
      <c r="M2805" s="534" t="str">
        <f t="shared" si="86"/>
        <v/>
      </c>
    </row>
    <row r="2806" spans="2:13" ht="15.75" x14ac:dyDescent="0.25">
      <c r="B2806" s="692"/>
      <c r="C2806" s="117" t="str">
        <f>IF(ISNUMBER(B2806),IFERROR(VLOOKUP(B2806,'נתוני רישום ומצבת'!B:J,3,0),""),"")</f>
        <v/>
      </c>
      <c r="D2806" s="693"/>
      <c r="E2806" s="697"/>
      <c r="F2806" s="695"/>
      <c r="G2806" s="696"/>
      <c r="K2806" s="22" t="str">
        <f t="shared" si="87"/>
        <v/>
      </c>
      <c r="M2806" s="534" t="str">
        <f t="shared" si="86"/>
        <v/>
      </c>
    </row>
    <row r="2807" spans="2:13" ht="15.75" x14ac:dyDescent="0.25">
      <c r="B2807" s="692"/>
      <c r="C2807" s="117" t="str">
        <f>IF(ISNUMBER(B2807),IFERROR(VLOOKUP(B2807,'נתוני רישום ומצבת'!B:J,3,0),""),"")</f>
        <v/>
      </c>
      <c r="D2807" s="693"/>
      <c r="E2807" s="697"/>
      <c r="F2807" s="695"/>
      <c r="G2807" s="696"/>
      <c r="K2807" s="22" t="str">
        <f t="shared" si="87"/>
        <v/>
      </c>
      <c r="M2807" s="534" t="str">
        <f t="shared" si="86"/>
        <v/>
      </c>
    </row>
    <row r="2808" spans="2:13" ht="15.75" x14ac:dyDescent="0.25">
      <c r="B2808" s="692"/>
      <c r="C2808" s="117" t="str">
        <f>IF(ISNUMBER(B2808),IFERROR(VLOOKUP(B2808,'נתוני רישום ומצבת'!B:J,3,0),""),"")</f>
        <v/>
      </c>
      <c r="D2808" s="693"/>
      <c r="E2808" s="697"/>
      <c r="F2808" s="695"/>
      <c r="G2808" s="696"/>
      <c r="K2808" s="22" t="str">
        <f t="shared" si="87"/>
        <v/>
      </c>
      <c r="M2808" s="534" t="str">
        <f t="shared" si="86"/>
        <v/>
      </c>
    </row>
    <row r="2809" spans="2:13" ht="15.75" x14ac:dyDescent="0.25">
      <c r="B2809" s="692"/>
      <c r="C2809" s="117" t="str">
        <f>IF(ISNUMBER(B2809),IFERROR(VLOOKUP(B2809,'נתוני רישום ומצבת'!B:J,3,0),""),"")</f>
        <v/>
      </c>
      <c r="D2809" s="693"/>
      <c r="E2809" s="697"/>
      <c r="F2809" s="695"/>
      <c r="G2809" s="696"/>
      <c r="K2809" s="22" t="str">
        <f t="shared" si="87"/>
        <v/>
      </c>
      <c r="M2809" s="534" t="str">
        <f t="shared" si="86"/>
        <v/>
      </c>
    </row>
    <row r="2810" spans="2:13" ht="15.75" x14ac:dyDescent="0.25">
      <c r="B2810" s="692"/>
      <c r="C2810" s="117" t="str">
        <f>IF(ISNUMBER(B2810),IFERROR(VLOOKUP(B2810,'נתוני רישום ומצבת'!B:J,3,0),""),"")</f>
        <v/>
      </c>
      <c r="D2810" s="693"/>
      <c r="E2810" s="697"/>
      <c r="F2810" s="695"/>
      <c r="G2810" s="696"/>
      <c r="K2810" s="22" t="str">
        <f t="shared" si="87"/>
        <v/>
      </c>
      <c r="M2810" s="534" t="str">
        <f t="shared" si="86"/>
        <v/>
      </c>
    </row>
    <row r="2811" spans="2:13" ht="15.75" x14ac:dyDescent="0.25">
      <c r="B2811" s="692"/>
      <c r="C2811" s="117" t="str">
        <f>IF(ISNUMBER(B2811),IFERROR(VLOOKUP(B2811,'נתוני רישום ומצבת'!B:J,3,0),""),"")</f>
        <v/>
      </c>
      <c r="D2811" s="693"/>
      <c r="E2811" s="697"/>
      <c r="F2811" s="695"/>
      <c r="G2811" s="696"/>
      <c r="K2811" s="22" t="str">
        <f t="shared" si="87"/>
        <v/>
      </c>
      <c r="M2811" s="534" t="str">
        <f t="shared" si="86"/>
        <v/>
      </c>
    </row>
    <row r="2812" spans="2:13" ht="15.75" x14ac:dyDescent="0.25">
      <c r="B2812" s="692"/>
      <c r="C2812" s="117" t="str">
        <f>IF(ISNUMBER(B2812),IFERROR(VLOOKUP(B2812,'נתוני רישום ומצבת'!B:J,3,0),""),"")</f>
        <v/>
      </c>
      <c r="D2812" s="693"/>
      <c r="E2812" s="697"/>
      <c r="F2812" s="695"/>
      <c r="G2812" s="696"/>
      <c r="K2812" s="22" t="str">
        <f t="shared" si="87"/>
        <v/>
      </c>
      <c r="M2812" s="534" t="str">
        <f t="shared" si="86"/>
        <v/>
      </c>
    </row>
    <row r="2813" spans="2:13" ht="15.75" x14ac:dyDescent="0.25">
      <c r="B2813" s="692"/>
      <c r="C2813" s="117" t="str">
        <f>IF(ISNUMBER(B2813),IFERROR(VLOOKUP(B2813,'נתוני רישום ומצבת'!B:J,3,0),""),"")</f>
        <v/>
      </c>
      <c r="D2813" s="693"/>
      <c r="E2813" s="697"/>
      <c r="F2813" s="695"/>
      <c r="G2813" s="696"/>
      <c r="K2813" s="22" t="str">
        <f t="shared" si="87"/>
        <v/>
      </c>
      <c r="M2813" s="534" t="str">
        <f t="shared" si="86"/>
        <v/>
      </c>
    </row>
    <row r="2814" spans="2:13" ht="15.75" x14ac:dyDescent="0.25">
      <c r="B2814" s="692"/>
      <c r="C2814" s="117" t="str">
        <f>IF(ISNUMBER(B2814),IFERROR(VLOOKUP(B2814,'נתוני רישום ומצבת'!B:J,3,0),""),"")</f>
        <v/>
      </c>
      <c r="D2814" s="693"/>
      <c r="E2814" s="697"/>
      <c r="F2814" s="695"/>
      <c r="G2814" s="696"/>
      <c r="K2814" s="22" t="str">
        <f t="shared" si="87"/>
        <v/>
      </c>
      <c r="M2814" s="534" t="str">
        <f t="shared" si="86"/>
        <v/>
      </c>
    </row>
    <row r="2815" spans="2:13" ht="15.75" x14ac:dyDescent="0.25">
      <c r="B2815" s="692"/>
      <c r="C2815" s="117" t="str">
        <f>IF(ISNUMBER(B2815),IFERROR(VLOOKUP(B2815,'נתוני רישום ומצבת'!B:J,3,0),""),"")</f>
        <v/>
      </c>
      <c r="D2815" s="693"/>
      <c r="E2815" s="697"/>
      <c r="F2815" s="695"/>
      <c r="G2815" s="696"/>
      <c r="K2815" s="22" t="str">
        <f t="shared" si="87"/>
        <v/>
      </c>
      <c r="M2815" s="534" t="str">
        <f t="shared" si="86"/>
        <v/>
      </c>
    </row>
    <row r="2816" spans="2:13" ht="15.75" x14ac:dyDescent="0.25">
      <c r="B2816" s="692"/>
      <c r="C2816" s="117" t="str">
        <f>IF(ISNUMBER(B2816),IFERROR(VLOOKUP(B2816,'נתוני רישום ומצבת'!B:J,3,0),""),"")</f>
        <v/>
      </c>
      <c r="D2816" s="693"/>
      <c r="E2816" s="697"/>
      <c r="F2816" s="695"/>
      <c r="G2816" s="696"/>
      <c r="K2816" s="22" t="str">
        <f t="shared" si="87"/>
        <v/>
      </c>
      <c r="M2816" s="534" t="str">
        <f t="shared" si="86"/>
        <v/>
      </c>
    </row>
    <row r="2817" spans="2:13" ht="15.75" x14ac:dyDescent="0.25">
      <c r="B2817" s="692"/>
      <c r="C2817" s="117" t="str">
        <f>IF(ISNUMBER(B2817),IFERROR(VLOOKUP(B2817,'נתוני רישום ומצבת'!B:J,3,0),""),"")</f>
        <v/>
      </c>
      <c r="D2817" s="693"/>
      <c r="E2817" s="697"/>
      <c r="F2817" s="695"/>
      <c r="G2817" s="696"/>
      <c r="K2817" s="22" t="str">
        <f t="shared" si="87"/>
        <v/>
      </c>
      <c r="M2817" s="534" t="str">
        <f t="shared" si="86"/>
        <v/>
      </c>
    </row>
    <row r="2818" spans="2:13" ht="15.75" x14ac:dyDescent="0.25">
      <c r="B2818" s="692"/>
      <c r="C2818" s="117" t="str">
        <f>IF(ISNUMBER(B2818),IFERROR(VLOOKUP(B2818,'נתוני רישום ומצבת'!B:J,3,0),""),"")</f>
        <v/>
      </c>
      <c r="D2818" s="693"/>
      <c r="E2818" s="697"/>
      <c r="F2818" s="695"/>
      <c r="G2818" s="696"/>
      <c r="K2818" s="22" t="str">
        <f t="shared" si="87"/>
        <v/>
      </c>
      <c r="M2818" s="534" t="str">
        <f t="shared" si="86"/>
        <v/>
      </c>
    </row>
    <row r="2819" spans="2:13" ht="15.75" x14ac:dyDescent="0.25">
      <c r="B2819" s="692"/>
      <c r="C2819" s="117" t="str">
        <f>IF(ISNUMBER(B2819),IFERROR(VLOOKUP(B2819,'נתוני רישום ומצבת'!B:J,3,0),""),"")</f>
        <v/>
      </c>
      <c r="D2819" s="693"/>
      <c r="E2819" s="697"/>
      <c r="F2819" s="695"/>
      <c r="G2819" s="696"/>
      <c r="K2819" s="22" t="str">
        <f t="shared" si="87"/>
        <v/>
      </c>
      <c r="M2819" s="534" t="str">
        <f t="shared" si="86"/>
        <v/>
      </c>
    </row>
    <row r="2820" spans="2:13" ht="15.75" x14ac:dyDescent="0.25">
      <c r="B2820" s="692"/>
      <c r="C2820" s="117" t="str">
        <f>IF(ISNUMBER(B2820),IFERROR(VLOOKUP(B2820,'נתוני רישום ומצבת'!B:J,3,0),""),"")</f>
        <v/>
      </c>
      <c r="D2820" s="693"/>
      <c r="E2820" s="697"/>
      <c r="F2820" s="695"/>
      <c r="G2820" s="696"/>
      <c r="K2820" s="22" t="str">
        <f t="shared" si="87"/>
        <v/>
      </c>
      <c r="M2820" s="534" t="str">
        <f t="shared" si="86"/>
        <v/>
      </c>
    </row>
    <row r="2821" spans="2:13" ht="15.75" x14ac:dyDescent="0.25">
      <c r="B2821" s="692"/>
      <c r="C2821" s="117" t="str">
        <f>IF(ISNUMBER(B2821),IFERROR(VLOOKUP(B2821,'נתוני רישום ומצבת'!B:J,3,0),""),"")</f>
        <v/>
      </c>
      <c r="D2821" s="693"/>
      <c r="E2821" s="697"/>
      <c r="F2821" s="695"/>
      <c r="G2821" s="696"/>
      <c r="K2821" s="22" t="str">
        <f t="shared" si="87"/>
        <v/>
      </c>
      <c r="M2821" s="534" t="str">
        <f t="shared" si="86"/>
        <v/>
      </c>
    </row>
    <row r="2822" spans="2:13" ht="15.75" x14ac:dyDescent="0.25">
      <c r="B2822" s="692"/>
      <c r="C2822" s="117" t="str">
        <f>IF(ISNUMBER(B2822),IFERROR(VLOOKUP(B2822,'נתוני רישום ומצבת'!B:J,3,0),""),"")</f>
        <v/>
      </c>
      <c r="D2822" s="693"/>
      <c r="E2822" s="697"/>
      <c r="F2822" s="695"/>
      <c r="G2822" s="696"/>
      <c r="K2822" s="22" t="str">
        <f t="shared" si="87"/>
        <v/>
      </c>
      <c r="M2822" s="534" t="str">
        <f t="shared" si="86"/>
        <v/>
      </c>
    </row>
    <row r="2823" spans="2:13" ht="15.75" x14ac:dyDescent="0.25">
      <c r="B2823" s="692"/>
      <c r="C2823" s="117" t="str">
        <f>IF(ISNUMBER(B2823),IFERROR(VLOOKUP(B2823,'נתוני רישום ומצבת'!B:J,3,0),""),"")</f>
        <v/>
      </c>
      <c r="D2823" s="693"/>
      <c r="E2823" s="697"/>
      <c r="F2823" s="695"/>
      <c r="G2823" s="696"/>
      <c r="K2823" s="22" t="str">
        <f t="shared" si="87"/>
        <v/>
      </c>
      <c r="M2823" s="534" t="str">
        <f t="shared" si="86"/>
        <v/>
      </c>
    </row>
    <row r="2824" spans="2:13" ht="15.75" x14ac:dyDescent="0.25">
      <c r="B2824" s="692"/>
      <c r="C2824" s="117" t="str">
        <f>IF(ISNUMBER(B2824),IFERROR(VLOOKUP(B2824,'נתוני רישום ומצבת'!B:J,3,0),""),"")</f>
        <v/>
      </c>
      <c r="D2824" s="693"/>
      <c r="E2824" s="697"/>
      <c r="F2824" s="695"/>
      <c r="G2824" s="696"/>
      <c r="K2824" s="22" t="str">
        <f t="shared" si="87"/>
        <v/>
      </c>
      <c r="M2824" s="534" t="str">
        <f t="shared" si="86"/>
        <v/>
      </c>
    </row>
    <row r="2825" spans="2:13" ht="15.75" x14ac:dyDescent="0.25">
      <c r="B2825" s="692"/>
      <c r="C2825" s="117" t="str">
        <f>IF(ISNUMBER(B2825),IFERROR(VLOOKUP(B2825,'נתוני רישום ומצבת'!B:J,3,0),""),"")</f>
        <v/>
      </c>
      <c r="D2825" s="693"/>
      <c r="E2825" s="697"/>
      <c r="F2825" s="695"/>
      <c r="G2825" s="696"/>
      <c r="K2825" s="22" t="str">
        <f t="shared" si="87"/>
        <v/>
      </c>
      <c r="M2825" s="534" t="str">
        <f t="shared" si="86"/>
        <v/>
      </c>
    </row>
    <row r="2826" spans="2:13" ht="15.75" x14ac:dyDescent="0.25">
      <c r="B2826" s="692"/>
      <c r="C2826" s="117" t="str">
        <f>IF(ISNUMBER(B2826),IFERROR(VLOOKUP(B2826,'נתוני רישום ומצבת'!B:J,3,0),""),"")</f>
        <v/>
      </c>
      <c r="D2826" s="693"/>
      <c r="E2826" s="697"/>
      <c r="F2826" s="695"/>
      <c r="G2826" s="696"/>
      <c r="K2826" s="22" t="str">
        <f t="shared" si="87"/>
        <v/>
      </c>
      <c r="M2826" s="534" t="str">
        <f t="shared" si="86"/>
        <v/>
      </c>
    </row>
    <row r="2827" spans="2:13" ht="15.75" x14ac:dyDescent="0.25">
      <c r="B2827" s="692"/>
      <c r="C2827" s="117" t="str">
        <f>IF(ISNUMBER(B2827),IFERROR(VLOOKUP(B2827,'נתוני רישום ומצבת'!B:J,3,0),""),"")</f>
        <v/>
      </c>
      <c r="D2827" s="693"/>
      <c r="E2827" s="697"/>
      <c r="F2827" s="695"/>
      <c r="G2827" s="696"/>
      <c r="K2827" s="22" t="str">
        <f t="shared" si="87"/>
        <v/>
      </c>
      <c r="M2827" s="534" t="str">
        <f t="shared" si="86"/>
        <v/>
      </c>
    </row>
    <row r="2828" spans="2:13" ht="15.75" x14ac:dyDescent="0.25">
      <c r="B2828" s="692"/>
      <c r="C2828" s="117" t="str">
        <f>IF(ISNUMBER(B2828),IFERROR(VLOOKUP(B2828,'נתוני רישום ומצבת'!B:J,3,0),""),"")</f>
        <v/>
      </c>
      <c r="D2828" s="693"/>
      <c r="E2828" s="697"/>
      <c r="F2828" s="695"/>
      <c r="G2828" s="696"/>
      <c r="K2828" s="22" t="str">
        <f t="shared" si="87"/>
        <v/>
      </c>
      <c r="M2828" s="534" t="str">
        <f t="shared" si="86"/>
        <v/>
      </c>
    </row>
    <row r="2829" spans="2:13" ht="15.75" x14ac:dyDescent="0.25">
      <c r="B2829" s="692"/>
      <c r="C2829" s="117" t="str">
        <f>IF(ISNUMBER(B2829),IFERROR(VLOOKUP(B2829,'נתוני רישום ומצבת'!B:J,3,0),""),"")</f>
        <v/>
      </c>
      <c r="D2829" s="693"/>
      <c r="E2829" s="697"/>
      <c r="F2829" s="695"/>
      <c r="G2829" s="696"/>
      <c r="K2829" s="22" t="str">
        <f t="shared" si="87"/>
        <v/>
      </c>
      <c r="M2829" s="534" t="str">
        <f t="shared" si="86"/>
        <v/>
      </c>
    </row>
    <row r="2830" spans="2:13" ht="15.75" x14ac:dyDescent="0.25">
      <c r="B2830" s="692"/>
      <c r="C2830" s="117" t="str">
        <f>IF(ISNUMBER(B2830),IFERROR(VLOOKUP(B2830,'נתוני רישום ומצבת'!B:J,3,0),""),"")</f>
        <v/>
      </c>
      <c r="D2830" s="693"/>
      <c r="E2830" s="697"/>
      <c r="F2830" s="695"/>
      <c r="G2830" s="696"/>
      <c r="K2830" s="22" t="str">
        <f t="shared" si="87"/>
        <v/>
      </c>
      <c r="M2830" s="534" t="str">
        <f t="shared" si="86"/>
        <v/>
      </c>
    </row>
    <row r="2831" spans="2:13" ht="15.75" x14ac:dyDescent="0.25">
      <c r="B2831" s="692"/>
      <c r="C2831" s="117" t="str">
        <f>IF(ISNUMBER(B2831),IFERROR(VLOOKUP(B2831,'נתוני רישום ומצבת'!B:J,3,0),""),"")</f>
        <v/>
      </c>
      <c r="D2831" s="693"/>
      <c r="E2831" s="697"/>
      <c r="F2831" s="695"/>
      <c r="G2831" s="696"/>
      <c r="K2831" s="22" t="str">
        <f t="shared" si="87"/>
        <v/>
      </c>
      <c r="M2831" s="534" t="str">
        <f t="shared" si="86"/>
        <v/>
      </c>
    </row>
    <row r="2832" spans="2:13" ht="15.75" x14ac:dyDescent="0.25">
      <c r="B2832" s="692"/>
      <c r="C2832" s="117" t="str">
        <f>IF(ISNUMBER(B2832),IFERROR(VLOOKUP(B2832,'נתוני רישום ומצבת'!B:J,3,0),""),"")</f>
        <v/>
      </c>
      <c r="D2832" s="693"/>
      <c r="E2832" s="697"/>
      <c r="F2832" s="695"/>
      <c r="G2832" s="696"/>
      <c r="K2832" s="22" t="str">
        <f t="shared" si="87"/>
        <v/>
      </c>
      <c r="M2832" s="534" t="str">
        <f t="shared" si="86"/>
        <v/>
      </c>
    </row>
    <row r="2833" spans="2:13" ht="15.75" x14ac:dyDescent="0.25">
      <c r="B2833" s="692"/>
      <c r="C2833" s="117" t="str">
        <f>IF(ISNUMBER(B2833),IFERROR(VLOOKUP(B2833,'נתוני רישום ומצבת'!B:J,3,0),""),"")</f>
        <v/>
      </c>
      <c r="D2833" s="693"/>
      <c r="E2833" s="697"/>
      <c r="F2833" s="695"/>
      <c r="G2833" s="696"/>
      <c r="K2833" s="22" t="str">
        <f t="shared" si="87"/>
        <v/>
      </c>
      <c r="M2833" s="534" t="str">
        <f t="shared" ref="M2833:M2896" si="88">TEXT(LEFT(D2833,2),0)</f>
        <v/>
      </c>
    </row>
    <row r="2834" spans="2:13" ht="15.75" x14ac:dyDescent="0.25">
      <c r="B2834" s="692"/>
      <c r="C2834" s="117" t="str">
        <f>IF(ISNUMBER(B2834),IFERROR(VLOOKUP(B2834,'נתוני רישום ומצבת'!B:J,3,0),""),"")</f>
        <v/>
      </c>
      <c r="D2834" s="693"/>
      <c r="E2834" s="697"/>
      <c r="F2834" s="695"/>
      <c r="G2834" s="696"/>
      <c r="K2834" s="22" t="str">
        <f t="shared" si="87"/>
        <v/>
      </c>
      <c r="M2834" s="534" t="str">
        <f t="shared" si="88"/>
        <v/>
      </c>
    </row>
    <row r="2835" spans="2:13" ht="15.75" x14ac:dyDescent="0.25">
      <c r="B2835" s="692"/>
      <c r="C2835" s="117" t="str">
        <f>IF(ISNUMBER(B2835),IFERROR(VLOOKUP(B2835,'נתוני רישום ומצבת'!B:J,3,0),""),"")</f>
        <v/>
      </c>
      <c r="D2835" s="693"/>
      <c r="E2835" s="697"/>
      <c r="F2835" s="695"/>
      <c r="G2835" s="696"/>
      <c r="K2835" s="22" t="str">
        <f t="shared" si="87"/>
        <v/>
      </c>
      <c r="M2835" s="534" t="str">
        <f t="shared" si="88"/>
        <v/>
      </c>
    </row>
    <row r="2836" spans="2:13" ht="15.75" x14ac:dyDescent="0.25">
      <c r="B2836" s="692"/>
      <c r="C2836" s="117" t="str">
        <f>IF(ISNUMBER(B2836),IFERROR(VLOOKUP(B2836,'נתוני רישום ומצבת'!B:J,3,0),""),"")</f>
        <v/>
      </c>
      <c r="D2836" s="693"/>
      <c r="E2836" s="697"/>
      <c r="F2836" s="695"/>
      <c r="G2836" s="696"/>
      <c r="K2836" s="22" t="str">
        <f t="shared" si="87"/>
        <v/>
      </c>
      <c r="M2836" s="534" t="str">
        <f t="shared" si="88"/>
        <v/>
      </c>
    </row>
    <row r="2837" spans="2:13" ht="15.75" x14ac:dyDescent="0.25">
      <c r="B2837" s="692"/>
      <c r="C2837" s="117" t="str">
        <f>IF(ISNUMBER(B2837),IFERROR(VLOOKUP(B2837,'נתוני רישום ומצבת'!B:J,3,0),""),"")</f>
        <v/>
      </c>
      <c r="D2837" s="693"/>
      <c r="E2837" s="697"/>
      <c r="F2837" s="695"/>
      <c r="G2837" s="696"/>
      <c r="K2837" s="22" t="str">
        <f t="shared" ref="K2837:K2900" si="89">IF(C2824&lt;5,IF(D2837=$F$8,-E2837," "),"")</f>
        <v/>
      </c>
      <c r="M2837" s="534" t="str">
        <f t="shared" si="88"/>
        <v/>
      </c>
    </row>
    <row r="2838" spans="2:13" ht="15.75" x14ac:dyDescent="0.25">
      <c r="B2838" s="692"/>
      <c r="C2838" s="117" t="str">
        <f>IF(ISNUMBER(B2838),IFERROR(VLOOKUP(B2838,'נתוני רישום ומצבת'!B:J,3,0),""),"")</f>
        <v/>
      </c>
      <c r="D2838" s="693"/>
      <c r="E2838" s="697"/>
      <c r="F2838" s="695"/>
      <c r="G2838" s="696"/>
      <c r="K2838" s="22" t="str">
        <f t="shared" si="89"/>
        <v/>
      </c>
      <c r="M2838" s="534" t="str">
        <f t="shared" si="88"/>
        <v/>
      </c>
    </row>
    <row r="2839" spans="2:13" ht="15.75" x14ac:dyDescent="0.25">
      <c r="B2839" s="692"/>
      <c r="C2839" s="117" t="str">
        <f>IF(ISNUMBER(B2839),IFERROR(VLOOKUP(B2839,'נתוני רישום ומצבת'!B:J,3,0),""),"")</f>
        <v/>
      </c>
      <c r="D2839" s="693"/>
      <c r="E2839" s="697"/>
      <c r="F2839" s="695"/>
      <c r="G2839" s="696"/>
      <c r="K2839" s="22" t="str">
        <f t="shared" si="89"/>
        <v/>
      </c>
      <c r="M2839" s="534" t="str">
        <f t="shared" si="88"/>
        <v/>
      </c>
    </row>
    <row r="2840" spans="2:13" ht="15.75" x14ac:dyDescent="0.25">
      <c r="B2840" s="692"/>
      <c r="C2840" s="117" t="str">
        <f>IF(ISNUMBER(B2840),IFERROR(VLOOKUP(B2840,'נתוני רישום ומצבת'!B:J,3,0),""),"")</f>
        <v/>
      </c>
      <c r="D2840" s="693"/>
      <c r="E2840" s="697"/>
      <c r="F2840" s="695"/>
      <c r="G2840" s="696"/>
      <c r="K2840" s="22" t="str">
        <f t="shared" si="89"/>
        <v/>
      </c>
      <c r="M2840" s="534" t="str">
        <f t="shared" si="88"/>
        <v/>
      </c>
    </row>
    <row r="2841" spans="2:13" ht="15.75" x14ac:dyDescent="0.25">
      <c r="B2841" s="692"/>
      <c r="C2841" s="117" t="str">
        <f>IF(ISNUMBER(B2841),IFERROR(VLOOKUP(B2841,'נתוני רישום ומצבת'!B:J,3,0),""),"")</f>
        <v/>
      </c>
      <c r="D2841" s="693"/>
      <c r="E2841" s="697"/>
      <c r="F2841" s="695"/>
      <c r="G2841" s="696"/>
      <c r="K2841" s="22" t="str">
        <f t="shared" si="89"/>
        <v/>
      </c>
      <c r="M2841" s="534" t="str">
        <f t="shared" si="88"/>
        <v/>
      </c>
    </row>
    <row r="2842" spans="2:13" ht="15.75" x14ac:dyDescent="0.25">
      <c r="B2842" s="692"/>
      <c r="C2842" s="117" t="str">
        <f>IF(ISNUMBER(B2842),IFERROR(VLOOKUP(B2842,'נתוני רישום ומצבת'!B:J,3,0),""),"")</f>
        <v/>
      </c>
      <c r="D2842" s="693"/>
      <c r="E2842" s="697"/>
      <c r="F2842" s="695"/>
      <c r="G2842" s="696"/>
      <c r="K2842" s="22" t="str">
        <f t="shared" si="89"/>
        <v/>
      </c>
      <c r="M2842" s="534" t="str">
        <f t="shared" si="88"/>
        <v/>
      </c>
    </row>
    <row r="2843" spans="2:13" ht="15.75" x14ac:dyDescent="0.25">
      <c r="B2843" s="692"/>
      <c r="C2843" s="117" t="str">
        <f>IF(ISNUMBER(B2843),IFERROR(VLOOKUP(B2843,'נתוני רישום ומצבת'!B:J,3,0),""),"")</f>
        <v/>
      </c>
      <c r="D2843" s="693"/>
      <c r="E2843" s="697"/>
      <c r="F2843" s="695"/>
      <c r="G2843" s="696"/>
      <c r="K2843" s="22" t="str">
        <f t="shared" si="89"/>
        <v/>
      </c>
      <c r="M2843" s="534" t="str">
        <f t="shared" si="88"/>
        <v/>
      </c>
    </row>
    <row r="2844" spans="2:13" ht="15.75" x14ac:dyDescent="0.25">
      <c r="B2844" s="692"/>
      <c r="C2844" s="117" t="str">
        <f>IF(ISNUMBER(B2844),IFERROR(VLOOKUP(B2844,'נתוני רישום ומצבת'!B:J,3,0),""),"")</f>
        <v/>
      </c>
      <c r="D2844" s="693"/>
      <c r="E2844" s="697"/>
      <c r="F2844" s="695"/>
      <c r="G2844" s="696"/>
      <c r="K2844" s="22" t="str">
        <f t="shared" si="89"/>
        <v/>
      </c>
      <c r="M2844" s="534" t="str">
        <f t="shared" si="88"/>
        <v/>
      </c>
    </row>
    <row r="2845" spans="2:13" ht="15.75" x14ac:dyDescent="0.25">
      <c r="B2845" s="692"/>
      <c r="C2845" s="117" t="str">
        <f>IF(ISNUMBER(B2845),IFERROR(VLOOKUP(B2845,'נתוני רישום ומצבת'!B:J,3,0),""),"")</f>
        <v/>
      </c>
      <c r="D2845" s="693"/>
      <c r="E2845" s="697"/>
      <c r="F2845" s="695"/>
      <c r="G2845" s="696"/>
      <c r="K2845" s="22" t="str">
        <f t="shared" si="89"/>
        <v/>
      </c>
      <c r="M2845" s="534" t="str">
        <f t="shared" si="88"/>
        <v/>
      </c>
    </row>
    <row r="2846" spans="2:13" ht="15.75" x14ac:dyDescent="0.25">
      <c r="B2846" s="692"/>
      <c r="C2846" s="117" t="str">
        <f>IF(ISNUMBER(B2846),IFERROR(VLOOKUP(B2846,'נתוני רישום ומצבת'!B:J,3,0),""),"")</f>
        <v/>
      </c>
      <c r="D2846" s="693"/>
      <c r="E2846" s="697"/>
      <c r="F2846" s="695"/>
      <c r="G2846" s="696"/>
      <c r="K2846" s="22" t="str">
        <f t="shared" si="89"/>
        <v/>
      </c>
      <c r="M2846" s="534" t="str">
        <f t="shared" si="88"/>
        <v/>
      </c>
    </row>
    <row r="2847" spans="2:13" ht="15.75" x14ac:dyDescent="0.25">
      <c r="B2847" s="692"/>
      <c r="C2847" s="117" t="str">
        <f>IF(ISNUMBER(B2847),IFERROR(VLOOKUP(B2847,'נתוני רישום ומצבת'!B:J,3,0),""),"")</f>
        <v/>
      </c>
      <c r="D2847" s="693"/>
      <c r="E2847" s="697"/>
      <c r="F2847" s="695"/>
      <c r="G2847" s="696"/>
      <c r="K2847" s="22" t="str">
        <f t="shared" si="89"/>
        <v/>
      </c>
      <c r="M2847" s="534" t="str">
        <f t="shared" si="88"/>
        <v/>
      </c>
    </row>
    <row r="2848" spans="2:13" ht="15.75" x14ac:dyDescent="0.25">
      <c r="B2848" s="692"/>
      <c r="C2848" s="117" t="str">
        <f>IF(ISNUMBER(B2848),IFERROR(VLOOKUP(B2848,'נתוני רישום ומצבת'!B:J,3,0),""),"")</f>
        <v/>
      </c>
      <c r="D2848" s="693"/>
      <c r="E2848" s="697"/>
      <c r="F2848" s="695"/>
      <c r="G2848" s="696"/>
      <c r="K2848" s="22" t="str">
        <f t="shared" si="89"/>
        <v/>
      </c>
      <c r="M2848" s="534" t="str">
        <f t="shared" si="88"/>
        <v/>
      </c>
    </row>
    <row r="2849" spans="2:13" ht="15.75" x14ac:dyDescent="0.25">
      <c r="B2849" s="692"/>
      <c r="C2849" s="117" t="str">
        <f>IF(ISNUMBER(B2849),IFERROR(VLOOKUP(B2849,'נתוני רישום ומצבת'!B:J,3,0),""),"")</f>
        <v/>
      </c>
      <c r="D2849" s="693"/>
      <c r="E2849" s="697"/>
      <c r="F2849" s="695"/>
      <c r="G2849" s="696"/>
      <c r="K2849" s="22" t="str">
        <f t="shared" si="89"/>
        <v/>
      </c>
      <c r="M2849" s="534" t="str">
        <f t="shared" si="88"/>
        <v/>
      </c>
    </row>
    <row r="2850" spans="2:13" ht="15.75" x14ac:dyDescent="0.25">
      <c r="B2850" s="692"/>
      <c r="C2850" s="117" t="str">
        <f>IF(ISNUMBER(B2850),IFERROR(VLOOKUP(B2850,'נתוני רישום ומצבת'!B:J,3,0),""),"")</f>
        <v/>
      </c>
      <c r="D2850" s="693"/>
      <c r="E2850" s="697"/>
      <c r="F2850" s="695"/>
      <c r="G2850" s="696"/>
      <c r="K2850" s="22" t="str">
        <f t="shared" si="89"/>
        <v/>
      </c>
      <c r="M2850" s="534" t="str">
        <f t="shared" si="88"/>
        <v/>
      </c>
    </row>
    <row r="2851" spans="2:13" ht="15.75" x14ac:dyDescent="0.25">
      <c r="B2851" s="692"/>
      <c r="C2851" s="117" t="str">
        <f>IF(ISNUMBER(B2851),IFERROR(VLOOKUP(B2851,'נתוני רישום ומצבת'!B:J,3,0),""),"")</f>
        <v/>
      </c>
      <c r="D2851" s="693"/>
      <c r="E2851" s="697"/>
      <c r="F2851" s="695"/>
      <c r="G2851" s="696"/>
      <c r="K2851" s="22" t="str">
        <f t="shared" si="89"/>
        <v/>
      </c>
      <c r="M2851" s="534" t="str">
        <f t="shared" si="88"/>
        <v/>
      </c>
    </row>
    <row r="2852" spans="2:13" ht="15.75" x14ac:dyDescent="0.25">
      <c r="B2852" s="692"/>
      <c r="C2852" s="117" t="str">
        <f>IF(ISNUMBER(B2852),IFERROR(VLOOKUP(B2852,'נתוני רישום ומצבת'!B:J,3,0),""),"")</f>
        <v/>
      </c>
      <c r="D2852" s="693"/>
      <c r="E2852" s="697"/>
      <c r="F2852" s="695"/>
      <c r="G2852" s="696"/>
      <c r="K2852" s="22" t="str">
        <f t="shared" si="89"/>
        <v/>
      </c>
      <c r="M2852" s="534" t="str">
        <f t="shared" si="88"/>
        <v/>
      </c>
    </row>
    <row r="2853" spans="2:13" ht="15.75" x14ac:dyDescent="0.25">
      <c r="B2853" s="692"/>
      <c r="C2853" s="117" t="str">
        <f>IF(ISNUMBER(B2853),IFERROR(VLOOKUP(B2853,'נתוני רישום ומצבת'!B:J,3,0),""),"")</f>
        <v/>
      </c>
      <c r="D2853" s="693"/>
      <c r="E2853" s="697"/>
      <c r="F2853" s="695"/>
      <c r="G2853" s="696"/>
      <c r="K2853" s="22" t="str">
        <f t="shared" si="89"/>
        <v/>
      </c>
      <c r="M2853" s="534" t="str">
        <f t="shared" si="88"/>
        <v/>
      </c>
    </row>
    <row r="2854" spans="2:13" ht="15.75" x14ac:dyDescent="0.25">
      <c r="B2854" s="692"/>
      <c r="C2854" s="117" t="str">
        <f>IF(ISNUMBER(B2854),IFERROR(VLOOKUP(B2854,'נתוני רישום ומצבת'!B:J,3,0),""),"")</f>
        <v/>
      </c>
      <c r="D2854" s="693"/>
      <c r="E2854" s="697"/>
      <c r="F2854" s="695"/>
      <c r="G2854" s="696"/>
      <c r="K2854" s="22" t="str">
        <f t="shared" si="89"/>
        <v/>
      </c>
      <c r="M2854" s="534" t="str">
        <f t="shared" si="88"/>
        <v/>
      </c>
    </row>
    <row r="2855" spans="2:13" ht="15.75" x14ac:dyDescent="0.25">
      <c r="B2855" s="692"/>
      <c r="C2855" s="117" t="str">
        <f>IF(ISNUMBER(B2855),IFERROR(VLOOKUP(B2855,'נתוני רישום ומצבת'!B:J,3,0),""),"")</f>
        <v/>
      </c>
      <c r="D2855" s="693"/>
      <c r="E2855" s="697"/>
      <c r="F2855" s="695"/>
      <c r="G2855" s="696"/>
      <c r="K2855" s="22" t="str">
        <f t="shared" si="89"/>
        <v/>
      </c>
      <c r="M2855" s="534" t="str">
        <f t="shared" si="88"/>
        <v/>
      </c>
    </row>
    <row r="2856" spans="2:13" ht="15.75" x14ac:dyDescent="0.25">
      <c r="B2856" s="692"/>
      <c r="C2856" s="117" t="str">
        <f>IF(ISNUMBER(B2856),IFERROR(VLOOKUP(B2856,'נתוני רישום ומצבת'!B:J,3,0),""),"")</f>
        <v/>
      </c>
      <c r="D2856" s="693"/>
      <c r="E2856" s="697"/>
      <c r="F2856" s="695"/>
      <c r="G2856" s="696"/>
      <c r="K2856" s="22" t="str">
        <f t="shared" si="89"/>
        <v/>
      </c>
      <c r="M2856" s="534" t="str">
        <f t="shared" si="88"/>
        <v/>
      </c>
    </row>
    <row r="2857" spans="2:13" ht="15.75" x14ac:dyDescent="0.25">
      <c r="B2857" s="692"/>
      <c r="C2857" s="117" t="str">
        <f>IF(ISNUMBER(B2857),IFERROR(VLOOKUP(B2857,'נתוני רישום ומצבת'!B:J,3,0),""),"")</f>
        <v/>
      </c>
      <c r="D2857" s="693"/>
      <c r="E2857" s="697"/>
      <c r="F2857" s="695"/>
      <c r="G2857" s="696"/>
      <c r="K2857" s="22" t="str">
        <f t="shared" si="89"/>
        <v/>
      </c>
      <c r="M2857" s="534" t="str">
        <f t="shared" si="88"/>
        <v/>
      </c>
    </row>
    <row r="2858" spans="2:13" ht="15.75" x14ac:dyDescent="0.25">
      <c r="B2858" s="692"/>
      <c r="C2858" s="117" t="str">
        <f>IF(ISNUMBER(B2858),IFERROR(VLOOKUP(B2858,'נתוני רישום ומצבת'!B:J,3,0),""),"")</f>
        <v/>
      </c>
      <c r="D2858" s="693"/>
      <c r="E2858" s="697"/>
      <c r="F2858" s="695"/>
      <c r="G2858" s="696"/>
      <c r="K2858" s="22" t="str">
        <f t="shared" si="89"/>
        <v/>
      </c>
      <c r="M2858" s="534" t="str">
        <f t="shared" si="88"/>
        <v/>
      </c>
    </row>
    <row r="2859" spans="2:13" ht="15.75" x14ac:dyDescent="0.25">
      <c r="B2859" s="692"/>
      <c r="C2859" s="117" t="str">
        <f>IF(ISNUMBER(B2859),IFERROR(VLOOKUP(B2859,'נתוני רישום ומצבת'!B:J,3,0),""),"")</f>
        <v/>
      </c>
      <c r="D2859" s="693"/>
      <c r="E2859" s="697"/>
      <c r="F2859" s="695"/>
      <c r="G2859" s="696"/>
      <c r="K2859" s="22" t="str">
        <f t="shared" si="89"/>
        <v/>
      </c>
      <c r="M2859" s="534" t="str">
        <f t="shared" si="88"/>
        <v/>
      </c>
    </row>
    <row r="2860" spans="2:13" ht="15.75" x14ac:dyDescent="0.25">
      <c r="B2860" s="692"/>
      <c r="C2860" s="117" t="str">
        <f>IF(ISNUMBER(B2860),IFERROR(VLOOKUP(B2860,'נתוני רישום ומצבת'!B:J,3,0),""),"")</f>
        <v/>
      </c>
      <c r="D2860" s="693"/>
      <c r="E2860" s="697"/>
      <c r="F2860" s="695"/>
      <c r="G2860" s="696"/>
      <c r="K2860" s="22" t="str">
        <f t="shared" si="89"/>
        <v/>
      </c>
      <c r="M2860" s="534" t="str">
        <f t="shared" si="88"/>
        <v/>
      </c>
    </row>
    <row r="2861" spans="2:13" ht="15.75" x14ac:dyDescent="0.25">
      <c r="B2861" s="692"/>
      <c r="C2861" s="117" t="str">
        <f>IF(ISNUMBER(B2861),IFERROR(VLOOKUP(B2861,'נתוני רישום ומצבת'!B:J,3,0),""),"")</f>
        <v/>
      </c>
      <c r="D2861" s="693"/>
      <c r="E2861" s="697"/>
      <c r="F2861" s="695"/>
      <c r="G2861" s="696"/>
      <c r="K2861" s="22" t="str">
        <f t="shared" si="89"/>
        <v/>
      </c>
      <c r="M2861" s="534" t="str">
        <f t="shared" si="88"/>
        <v/>
      </c>
    </row>
    <row r="2862" spans="2:13" ht="15.75" x14ac:dyDescent="0.25">
      <c r="B2862" s="692"/>
      <c r="C2862" s="117" t="str">
        <f>IF(ISNUMBER(B2862),IFERROR(VLOOKUP(B2862,'נתוני רישום ומצבת'!B:J,3,0),""),"")</f>
        <v/>
      </c>
      <c r="D2862" s="693"/>
      <c r="E2862" s="697"/>
      <c r="F2862" s="695"/>
      <c r="G2862" s="696"/>
      <c r="K2862" s="22" t="str">
        <f t="shared" si="89"/>
        <v/>
      </c>
      <c r="M2862" s="534" t="str">
        <f t="shared" si="88"/>
        <v/>
      </c>
    </row>
    <row r="2863" spans="2:13" ht="15.75" x14ac:dyDescent="0.25">
      <c r="B2863" s="692"/>
      <c r="C2863" s="117" t="str">
        <f>IF(ISNUMBER(B2863),IFERROR(VLOOKUP(B2863,'נתוני רישום ומצבת'!B:J,3,0),""),"")</f>
        <v/>
      </c>
      <c r="D2863" s="693"/>
      <c r="E2863" s="697"/>
      <c r="F2863" s="695"/>
      <c r="G2863" s="696"/>
      <c r="K2863" s="22" t="str">
        <f t="shared" si="89"/>
        <v/>
      </c>
      <c r="M2863" s="534" t="str">
        <f t="shared" si="88"/>
        <v/>
      </c>
    </row>
    <row r="2864" spans="2:13" ht="15.75" x14ac:dyDescent="0.25">
      <c r="B2864" s="692"/>
      <c r="C2864" s="117" t="str">
        <f>IF(ISNUMBER(B2864),IFERROR(VLOOKUP(B2864,'נתוני רישום ומצבת'!B:J,3,0),""),"")</f>
        <v/>
      </c>
      <c r="D2864" s="693"/>
      <c r="E2864" s="697"/>
      <c r="F2864" s="695"/>
      <c r="G2864" s="696"/>
      <c r="K2864" s="22" t="str">
        <f t="shared" si="89"/>
        <v/>
      </c>
      <c r="M2864" s="534" t="str">
        <f t="shared" si="88"/>
        <v/>
      </c>
    </row>
    <row r="2865" spans="2:13" ht="15.75" x14ac:dyDescent="0.25">
      <c r="B2865" s="692"/>
      <c r="C2865" s="117" t="str">
        <f>IF(ISNUMBER(B2865),IFERROR(VLOOKUP(B2865,'נתוני רישום ומצבת'!B:J,3,0),""),"")</f>
        <v/>
      </c>
      <c r="D2865" s="693"/>
      <c r="E2865" s="697"/>
      <c r="F2865" s="695"/>
      <c r="G2865" s="696"/>
      <c r="K2865" s="22" t="str">
        <f t="shared" si="89"/>
        <v/>
      </c>
      <c r="M2865" s="534" t="str">
        <f t="shared" si="88"/>
        <v/>
      </c>
    </row>
    <row r="2866" spans="2:13" ht="15.75" x14ac:dyDescent="0.25">
      <c r="B2866" s="692"/>
      <c r="C2866" s="117" t="str">
        <f>IF(ISNUMBER(B2866),IFERROR(VLOOKUP(B2866,'נתוני רישום ומצבת'!B:J,3,0),""),"")</f>
        <v/>
      </c>
      <c r="D2866" s="693"/>
      <c r="E2866" s="697"/>
      <c r="F2866" s="695"/>
      <c r="G2866" s="696"/>
      <c r="K2866" s="22" t="str">
        <f t="shared" si="89"/>
        <v/>
      </c>
      <c r="M2866" s="534" t="str">
        <f t="shared" si="88"/>
        <v/>
      </c>
    </row>
    <row r="2867" spans="2:13" ht="15.75" x14ac:dyDescent="0.25">
      <c r="B2867" s="692"/>
      <c r="C2867" s="117" t="str">
        <f>IF(ISNUMBER(B2867),IFERROR(VLOOKUP(B2867,'נתוני רישום ומצבת'!B:J,3,0),""),"")</f>
        <v/>
      </c>
      <c r="D2867" s="693"/>
      <c r="E2867" s="697"/>
      <c r="F2867" s="695"/>
      <c r="G2867" s="696"/>
      <c r="K2867" s="22" t="str">
        <f t="shared" si="89"/>
        <v/>
      </c>
      <c r="M2867" s="534" t="str">
        <f t="shared" si="88"/>
        <v/>
      </c>
    </row>
    <row r="2868" spans="2:13" ht="15.75" x14ac:dyDescent="0.25">
      <c r="B2868" s="692"/>
      <c r="C2868" s="117" t="str">
        <f>IF(ISNUMBER(B2868),IFERROR(VLOOKUP(B2868,'נתוני רישום ומצבת'!B:J,3,0),""),"")</f>
        <v/>
      </c>
      <c r="D2868" s="693"/>
      <c r="E2868" s="697"/>
      <c r="F2868" s="695"/>
      <c r="G2868" s="696"/>
      <c r="K2868" s="22" t="str">
        <f t="shared" si="89"/>
        <v/>
      </c>
      <c r="M2868" s="534" t="str">
        <f t="shared" si="88"/>
        <v/>
      </c>
    </row>
    <row r="2869" spans="2:13" ht="15.75" x14ac:dyDescent="0.25">
      <c r="B2869" s="692"/>
      <c r="C2869" s="117" t="str">
        <f>IF(ISNUMBER(B2869),IFERROR(VLOOKUP(B2869,'נתוני רישום ומצבת'!B:J,3,0),""),"")</f>
        <v/>
      </c>
      <c r="D2869" s="693"/>
      <c r="E2869" s="697"/>
      <c r="F2869" s="695"/>
      <c r="G2869" s="696"/>
      <c r="K2869" s="22" t="str">
        <f t="shared" si="89"/>
        <v/>
      </c>
      <c r="M2869" s="534" t="str">
        <f t="shared" si="88"/>
        <v/>
      </c>
    </row>
    <row r="2870" spans="2:13" ht="15.75" x14ac:dyDescent="0.25">
      <c r="B2870" s="692"/>
      <c r="C2870" s="117" t="str">
        <f>IF(ISNUMBER(B2870),IFERROR(VLOOKUP(B2870,'נתוני רישום ומצבת'!B:J,3,0),""),"")</f>
        <v/>
      </c>
      <c r="D2870" s="693"/>
      <c r="E2870" s="697"/>
      <c r="F2870" s="695"/>
      <c r="G2870" s="696"/>
      <c r="K2870" s="22" t="str">
        <f t="shared" si="89"/>
        <v/>
      </c>
      <c r="M2870" s="534" t="str">
        <f t="shared" si="88"/>
        <v/>
      </c>
    </row>
    <row r="2871" spans="2:13" ht="15.75" x14ac:dyDescent="0.25">
      <c r="B2871" s="692"/>
      <c r="C2871" s="117" t="str">
        <f>IF(ISNUMBER(B2871),IFERROR(VLOOKUP(B2871,'נתוני רישום ומצבת'!B:J,3,0),""),"")</f>
        <v/>
      </c>
      <c r="D2871" s="693"/>
      <c r="E2871" s="697"/>
      <c r="F2871" s="695"/>
      <c r="G2871" s="696"/>
      <c r="K2871" s="22" t="str">
        <f t="shared" si="89"/>
        <v/>
      </c>
      <c r="M2871" s="534" t="str">
        <f t="shared" si="88"/>
        <v/>
      </c>
    </row>
    <row r="2872" spans="2:13" ht="15.75" x14ac:dyDescent="0.25">
      <c r="B2872" s="692"/>
      <c r="C2872" s="117" t="str">
        <f>IF(ISNUMBER(B2872),IFERROR(VLOOKUP(B2872,'נתוני רישום ומצבת'!B:J,3,0),""),"")</f>
        <v/>
      </c>
      <c r="D2872" s="693"/>
      <c r="E2872" s="697"/>
      <c r="F2872" s="695"/>
      <c r="G2872" s="696"/>
      <c r="K2872" s="22" t="str">
        <f t="shared" si="89"/>
        <v/>
      </c>
      <c r="M2872" s="534" t="str">
        <f t="shared" si="88"/>
        <v/>
      </c>
    </row>
    <row r="2873" spans="2:13" ht="15.75" x14ac:dyDescent="0.25">
      <c r="B2873" s="692"/>
      <c r="C2873" s="117" t="str">
        <f>IF(ISNUMBER(B2873),IFERROR(VLOOKUP(B2873,'נתוני רישום ומצבת'!B:J,3,0),""),"")</f>
        <v/>
      </c>
      <c r="D2873" s="693"/>
      <c r="E2873" s="697"/>
      <c r="F2873" s="695"/>
      <c r="G2873" s="696"/>
      <c r="K2873" s="22" t="str">
        <f t="shared" si="89"/>
        <v/>
      </c>
      <c r="M2873" s="534" t="str">
        <f t="shared" si="88"/>
        <v/>
      </c>
    </row>
    <row r="2874" spans="2:13" ht="15.75" x14ac:dyDescent="0.25">
      <c r="B2874" s="692"/>
      <c r="C2874" s="117" t="str">
        <f>IF(ISNUMBER(B2874),IFERROR(VLOOKUP(B2874,'נתוני רישום ומצבת'!B:J,3,0),""),"")</f>
        <v/>
      </c>
      <c r="D2874" s="693"/>
      <c r="E2874" s="697"/>
      <c r="F2874" s="695"/>
      <c r="G2874" s="696"/>
      <c r="K2874" s="22" t="str">
        <f t="shared" si="89"/>
        <v/>
      </c>
      <c r="M2874" s="534" t="str">
        <f t="shared" si="88"/>
        <v/>
      </c>
    </row>
    <row r="2875" spans="2:13" ht="15.75" x14ac:dyDescent="0.25">
      <c r="B2875" s="692"/>
      <c r="C2875" s="117" t="str">
        <f>IF(ISNUMBER(B2875),IFERROR(VLOOKUP(B2875,'נתוני רישום ומצבת'!B:J,3,0),""),"")</f>
        <v/>
      </c>
      <c r="D2875" s="693"/>
      <c r="E2875" s="697"/>
      <c r="F2875" s="695"/>
      <c r="G2875" s="696"/>
      <c r="K2875" s="22" t="str">
        <f t="shared" si="89"/>
        <v/>
      </c>
      <c r="M2875" s="534" t="str">
        <f t="shared" si="88"/>
        <v/>
      </c>
    </row>
    <row r="2876" spans="2:13" ht="15.75" x14ac:dyDescent="0.25">
      <c r="B2876" s="692"/>
      <c r="C2876" s="117" t="str">
        <f>IF(ISNUMBER(B2876),IFERROR(VLOOKUP(B2876,'נתוני רישום ומצבת'!B:J,3,0),""),"")</f>
        <v/>
      </c>
      <c r="D2876" s="693"/>
      <c r="E2876" s="697"/>
      <c r="F2876" s="695"/>
      <c r="G2876" s="696"/>
      <c r="K2876" s="22" t="str">
        <f t="shared" si="89"/>
        <v/>
      </c>
      <c r="M2876" s="534" t="str">
        <f t="shared" si="88"/>
        <v/>
      </c>
    </row>
    <row r="2877" spans="2:13" ht="15.75" x14ac:dyDescent="0.25">
      <c r="B2877" s="692"/>
      <c r="C2877" s="117" t="str">
        <f>IF(ISNUMBER(B2877),IFERROR(VLOOKUP(B2877,'נתוני רישום ומצבת'!B:J,3,0),""),"")</f>
        <v/>
      </c>
      <c r="D2877" s="693"/>
      <c r="E2877" s="697"/>
      <c r="F2877" s="695"/>
      <c r="G2877" s="696"/>
      <c r="K2877" s="22" t="str">
        <f t="shared" si="89"/>
        <v/>
      </c>
      <c r="M2877" s="534" t="str">
        <f t="shared" si="88"/>
        <v/>
      </c>
    </row>
    <row r="2878" spans="2:13" ht="15.75" x14ac:dyDescent="0.25">
      <c r="B2878" s="692"/>
      <c r="C2878" s="117" t="str">
        <f>IF(ISNUMBER(B2878),IFERROR(VLOOKUP(B2878,'נתוני רישום ומצבת'!B:J,3,0),""),"")</f>
        <v/>
      </c>
      <c r="D2878" s="693"/>
      <c r="E2878" s="697"/>
      <c r="F2878" s="695"/>
      <c r="G2878" s="696"/>
      <c r="K2878" s="22" t="str">
        <f t="shared" si="89"/>
        <v/>
      </c>
      <c r="M2878" s="534" t="str">
        <f t="shared" si="88"/>
        <v/>
      </c>
    </row>
    <row r="2879" spans="2:13" ht="15.75" x14ac:dyDescent="0.25">
      <c r="B2879" s="692"/>
      <c r="C2879" s="117" t="str">
        <f>IF(ISNUMBER(B2879),IFERROR(VLOOKUP(B2879,'נתוני רישום ומצבת'!B:J,3,0),""),"")</f>
        <v/>
      </c>
      <c r="D2879" s="693"/>
      <c r="E2879" s="697"/>
      <c r="F2879" s="695"/>
      <c r="G2879" s="696"/>
      <c r="K2879" s="22" t="str">
        <f t="shared" si="89"/>
        <v/>
      </c>
      <c r="M2879" s="534" t="str">
        <f t="shared" si="88"/>
        <v/>
      </c>
    </row>
    <row r="2880" spans="2:13" ht="15.75" x14ac:dyDescent="0.25">
      <c r="B2880" s="692"/>
      <c r="C2880" s="117" t="str">
        <f>IF(ISNUMBER(B2880),IFERROR(VLOOKUP(B2880,'נתוני רישום ומצבת'!B:J,3,0),""),"")</f>
        <v/>
      </c>
      <c r="D2880" s="693"/>
      <c r="E2880" s="697"/>
      <c r="F2880" s="695"/>
      <c r="G2880" s="696"/>
      <c r="K2880" s="22" t="str">
        <f t="shared" si="89"/>
        <v/>
      </c>
      <c r="M2880" s="534" t="str">
        <f t="shared" si="88"/>
        <v/>
      </c>
    </row>
    <row r="2881" spans="2:13" ht="15.75" x14ac:dyDescent="0.25">
      <c r="B2881" s="692"/>
      <c r="C2881" s="117" t="str">
        <f>IF(ISNUMBER(B2881),IFERROR(VLOOKUP(B2881,'נתוני רישום ומצבת'!B:J,3,0),""),"")</f>
        <v/>
      </c>
      <c r="D2881" s="693"/>
      <c r="E2881" s="697"/>
      <c r="F2881" s="695"/>
      <c r="G2881" s="696"/>
      <c r="K2881" s="22" t="str">
        <f t="shared" si="89"/>
        <v/>
      </c>
      <c r="M2881" s="534" t="str">
        <f t="shared" si="88"/>
        <v/>
      </c>
    </row>
    <row r="2882" spans="2:13" ht="15.75" x14ac:dyDescent="0.25">
      <c r="B2882" s="692"/>
      <c r="C2882" s="117" t="str">
        <f>IF(ISNUMBER(B2882),IFERROR(VLOOKUP(B2882,'נתוני רישום ומצבת'!B:J,3,0),""),"")</f>
        <v/>
      </c>
      <c r="D2882" s="693"/>
      <c r="E2882" s="697"/>
      <c r="F2882" s="695"/>
      <c r="G2882" s="696"/>
      <c r="K2882" s="22" t="str">
        <f t="shared" si="89"/>
        <v/>
      </c>
      <c r="M2882" s="534" t="str">
        <f t="shared" si="88"/>
        <v/>
      </c>
    </row>
    <row r="2883" spans="2:13" ht="15.75" x14ac:dyDescent="0.25">
      <c r="B2883" s="692"/>
      <c r="C2883" s="117" t="str">
        <f>IF(ISNUMBER(B2883),IFERROR(VLOOKUP(B2883,'נתוני רישום ומצבת'!B:J,3,0),""),"")</f>
        <v/>
      </c>
      <c r="D2883" s="693"/>
      <c r="E2883" s="697"/>
      <c r="F2883" s="695"/>
      <c r="G2883" s="696"/>
      <c r="K2883" s="22" t="str">
        <f t="shared" si="89"/>
        <v/>
      </c>
      <c r="M2883" s="534" t="str">
        <f t="shared" si="88"/>
        <v/>
      </c>
    </row>
    <row r="2884" spans="2:13" ht="15.75" x14ac:dyDescent="0.25">
      <c r="B2884" s="692"/>
      <c r="C2884" s="117" t="str">
        <f>IF(ISNUMBER(B2884),IFERROR(VLOOKUP(B2884,'נתוני רישום ומצבת'!B:J,3,0),""),"")</f>
        <v/>
      </c>
      <c r="D2884" s="693"/>
      <c r="E2884" s="697"/>
      <c r="F2884" s="695"/>
      <c r="G2884" s="696"/>
      <c r="K2884" s="22" t="str">
        <f t="shared" si="89"/>
        <v/>
      </c>
      <c r="M2884" s="534" t="str">
        <f t="shared" si="88"/>
        <v/>
      </c>
    </row>
    <row r="2885" spans="2:13" ht="15.75" x14ac:dyDescent="0.25">
      <c r="B2885" s="692"/>
      <c r="C2885" s="117" t="str">
        <f>IF(ISNUMBER(B2885),IFERROR(VLOOKUP(B2885,'נתוני רישום ומצבת'!B:J,3,0),""),"")</f>
        <v/>
      </c>
      <c r="D2885" s="693"/>
      <c r="E2885" s="697"/>
      <c r="F2885" s="695"/>
      <c r="G2885" s="696"/>
      <c r="K2885" s="22" t="str">
        <f t="shared" si="89"/>
        <v/>
      </c>
      <c r="M2885" s="534" t="str">
        <f t="shared" si="88"/>
        <v/>
      </c>
    </row>
    <row r="2886" spans="2:13" ht="15.75" x14ac:dyDescent="0.25">
      <c r="B2886" s="692"/>
      <c r="C2886" s="117" t="str">
        <f>IF(ISNUMBER(B2886),IFERROR(VLOOKUP(B2886,'נתוני רישום ומצבת'!B:J,3,0),""),"")</f>
        <v/>
      </c>
      <c r="D2886" s="693"/>
      <c r="E2886" s="697"/>
      <c r="F2886" s="695"/>
      <c r="G2886" s="696"/>
      <c r="K2886" s="22" t="str">
        <f t="shared" si="89"/>
        <v/>
      </c>
      <c r="M2886" s="534" t="str">
        <f t="shared" si="88"/>
        <v/>
      </c>
    </row>
    <row r="2887" spans="2:13" ht="15.75" x14ac:dyDescent="0.25">
      <c r="B2887" s="692"/>
      <c r="C2887" s="117" t="str">
        <f>IF(ISNUMBER(B2887),IFERROR(VLOOKUP(B2887,'נתוני רישום ומצבת'!B:J,3,0),""),"")</f>
        <v/>
      </c>
      <c r="D2887" s="693"/>
      <c r="E2887" s="697"/>
      <c r="F2887" s="695"/>
      <c r="G2887" s="696"/>
      <c r="K2887" s="22" t="str">
        <f t="shared" si="89"/>
        <v/>
      </c>
      <c r="M2887" s="534" t="str">
        <f t="shared" si="88"/>
        <v/>
      </c>
    </row>
    <row r="2888" spans="2:13" ht="15.75" x14ac:dyDescent="0.25">
      <c r="B2888" s="692"/>
      <c r="C2888" s="117" t="str">
        <f>IF(ISNUMBER(B2888),IFERROR(VLOOKUP(B2888,'נתוני רישום ומצבת'!B:J,3,0),""),"")</f>
        <v/>
      </c>
      <c r="D2888" s="693"/>
      <c r="E2888" s="697"/>
      <c r="F2888" s="695"/>
      <c r="G2888" s="696"/>
      <c r="K2888" s="22" t="str">
        <f t="shared" si="89"/>
        <v/>
      </c>
      <c r="M2888" s="534" t="str">
        <f t="shared" si="88"/>
        <v/>
      </c>
    </row>
    <row r="2889" spans="2:13" ht="15.75" x14ac:dyDescent="0.25">
      <c r="B2889" s="692"/>
      <c r="C2889" s="117" t="str">
        <f>IF(ISNUMBER(B2889),IFERROR(VLOOKUP(B2889,'נתוני רישום ומצבת'!B:J,3,0),""),"")</f>
        <v/>
      </c>
      <c r="D2889" s="693"/>
      <c r="E2889" s="697"/>
      <c r="F2889" s="695"/>
      <c r="G2889" s="696"/>
      <c r="K2889" s="22" t="str">
        <f t="shared" si="89"/>
        <v/>
      </c>
      <c r="M2889" s="534" t="str">
        <f t="shared" si="88"/>
        <v/>
      </c>
    </row>
    <row r="2890" spans="2:13" ht="15.75" x14ac:dyDescent="0.25">
      <c r="B2890" s="692"/>
      <c r="C2890" s="117" t="str">
        <f>IF(ISNUMBER(B2890),IFERROR(VLOOKUP(B2890,'נתוני רישום ומצבת'!B:J,3,0),""),"")</f>
        <v/>
      </c>
      <c r="D2890" s="693"/>
      <c r="E2890" s="697"/>
      <c r="F2890" s="695"/>
      <c r="G2890" s="696"/>
      <c r="K2890" s="22" t="str">
        <f t="shared" si="89"/>
        <v/>
      </c>
      <c r="M2890" s="534" t="str">
        <f t="shared" si="88"/>
        <v/>
      </c>
    </row>
    <row r="2891" spans="2:13" ht="15.75" x14ac:dyDescent="0.25">
      <c r="B2891" s="692"/>
      <c r="C2891" s="117" t="str">
        <f>IF(ISNUMBER(B2891),IFERROR(VLOOKUP(B2891,'נתוני רישום ומצבת'!B:J,3,0),""),"")</f>
        <v/>
      </c>
      <c r="D2891" s="693"/>
      <c r="E2891" s="697"/>
      <c r="F2891" s="695"/>
      <c r="G2891" s="696"/>
      <c r="K2891" s="22" t="str">
        <f t="shared" si="89"/>
        <v/>
      </c>
      <c r="M2891" s="534" t="str">
        <f t="shared" si="88"/>
        <v/>
      </c>
    </row>
    <row r="2892" spans="2:13" ht="15.75" x14ac:dyDescent="0.25">
      <c r="B2892" s="692"/>
      <c r="C2892" s="117" t="str">
        <f>IF(ISNUMBER(B2892),IFERROR(VLOOKUP(B2892,'נתוני רישום ומצבת'!B:J,3,0),""),"")</f>
        <v/>
      </c>
      <c r="D2892" s="693"/>
      <c r="E2892" s="697"/>
      <c r="F2892" s="695"/>
      <c r="G2892" s="696"/>
      <c r="K2892" s="22" t="str">
        <f t="shared" si="89"/>
        <v/>
      </c>
      <c r="M2892" s="534" t="str">
        <f t="shared" si="88"/>
        <v/>
      </c>
    </row>
    <row r="2893" spans="2:13" ht="15.75" x14ac:dyDescent="0.25">
      <c r="B2893" s="692"/>
      <c r="C2893" s="117" t="str">
        <f>IF(ISNUMBER(B2893),IFERROR(VLOOKUP(B2893,'נתוני רישום ומצבת'!B:J,3,0),""),"")</f>
        <v/>
      </c>
      <c r="D2893" s="693"/>
      <c r="E2893" s="697"/>
      <c r="F2893" s="695"/>
      <c r="G2893" s="696"/>
      <c r="K2893" s="22" t="str">
        <f t="shared" si="89"/>
        <v/>
      </c>
      <c r="M2893" s="534" t="str">
        <f t="shared" si="88"/>
        <v/>
      </c>
    </row>
    <row r="2894" spans="2:13" ht="15.75" x14ac:dyDescent="0.25">
      <c r="B2894" s="692"/>
      <c r="C2894" s="117" t="str">
        <f>IF(ISNUMBER(B2894),IFERROR(VLOOKUP(B2894,'נתוני רישום ומצבת'!B:J,3,0),""),"")</f>
        <v/>
      </c>
      <c r="D2894" s="693"/>
      <c r="E2894" s="697"/>
      <c r="F2894" s="695"/>
      <c r="G2894" s="696"/>
      <c r="K2894" s="22" t="str">
        <f t="shared" si="89"/>
        <v/>
      </c>
      <c r="M2894" s="534" t="str">
        <f t="shared" si="88"/>
        <v/>
      </c>
    </row>
    <row r="2895" spans="2:13" ht="15.75" x14ac:dyDescent="0.25">
      <c r="B2895" s="692"/>
      <c r="C2895" s="117" t="str">
        <f>IF(ISNUMBER(B2895),IFERROR(VLOOKUP(B2895,'נתוני רישום ומצבת'!B:J,3,0),""),"")</f>
        <v/>
      </c>
      <c r="D2895" s="693"/>
      <c r="E2895" s="697"/>
      <c r="F2895" s="695"/>
      <c r="G2895" s="696"/>
      <c r="K2895" s="22" t="str">
        <f t="shared" si="89"/>
        <v/>
      </c>
      <c r="M2895" s="534" t="str">
        <f t="shared" si="88"/>
        <v/>
      </c>
    </row>
    <row r="2896" spans="2:13" ht="15.75" x14ac:dyDescent="0.25">
      <c r="B2896" s="692"/>
      <c r="C2896" s="117" t="str">
        <f>IF(ISNUMBER(B2896),IFERROR(VLOOKUP(B2896,'נתוני רישום ומצבת'!B:J,3,0),""),"")</f>
        <v/>
      </c>
      <c r="D2896" s="693"/>
      <c r="E2896" s="697"/>
      <c r="F2896" s="695"/>
      <c r="G2896" s="696"/>
      <c r="K2896" s="22" t="str">
        <f t="shared" si="89"/>
        <v/>
      </c>
      <c r="M2896" s="534" t="str">
        <f t="shared" si="88"/>
        <v/>
      </c>
    </row>
    <row r="2897" spans="2:13" ht="15.75" x14ac:dyDescent="0.25">
      <c r="B2897" s="692"/>
      <c r="C2897" s="117" t="str">
        <f>IF(ISNUMBER(B2897),IFERROR(VLOOKUP(B2897,'נתוני רישום ומצבת'!B:J,3,0),""),"")</f>
        <v/>
      </c>
      <c r="D2897" s="693"/>
      <c r="E2897" s="697"/>
      <c r="F2897" s="695"/>
      <c r="G2897" s="696"/>
      <c r="K2897" s="22" t="str">
        <f t="shared" si="89"/>
        <v/>
      </c>
      <c r="M2897" s="534" t="str">
        <f t="shared" ref="M2897:M2960" si="90">TEXT(LEFT(D2897,2),0)</f>
        <v/>
      </c>
    </row>
    <row r="2898" spans="2:13" ht="15.75" x14ac:dyDescent="0.25">
      <c r="B2898" s="692"/>
      <c r="C2898" s="117" t="str">
        <f>IF(ISNUMBER(B2898),IFERROR(VLOOKUP(B2898,'נתוני רישום ומצבת'!B:J,3,0),""),"")</f>
        <v/>
      </c>
      <c r="D2898" s="693"/>
      <c r="E2898" s="697"/>
      <c r="F2898" s="695"/>
      <c r="G2898" s="696"/>
      <c r="K2898" s="22" t="str">
        <f t="shared" si="89"/>
        <v/>
      </c>
      <c r="M2898" s="534" t="str">
        <f t="shared" si="90"/>
        <v/>
      </c>
    </row>
    <row r="2899" spans="2:13" ht="15.75" x14ac:dyDescent="0.25">
      <c r="B2899" s="692"/>
      <c r="C2899" s="117" t="str">
        <f>IF(ISNUMBER(B2899),IFERROR(VLOOKUP(B2899,'נתוני רישום ומצבת'!B:J,3,0),""),"")</f>
        <v/>
      </c>
      <c r="D2899" s="693"/>
      <c r="E2899" s="697"/>
      <c r="F2899" s="695"/>
      <c r="G2899" s="696"/>
      <c r="K2899" s="22" t="str">
        <f t="shared" si="89"/>
        <v/>
      </c>
      <c r="M2899" s="534" t="str">
        <f t="shared" si="90"/>
        <v/>
      </c>
    </row>
    <row r="2900" spans="2:13" ht="15.75" x14ac:dyDescent="0.25">
      <c r="B2900" s="692"/>
      <c r="C2900" s="117" t="str">
        <f>IF(ISNUMBER(B2900),IFERROR(VLOOKUP(B2900,'נתוני רישום ומצבת'!B:J,3,0),""),"")</f>
        <v/>
      </c>
      <c r="D2900" s="693"/>
      <c r="E2900" s="697"/>
      <c r="F2900" s="695"/>
      <c r="G2900" s="696"/>
      <c r="K2900" s="22" t="str">
        <f t="shared" si="89"/>
        <v/>
      </c>
      <c r="M2900" s="534" t="str">
        <f t="shared" si="90"/>
        <v/>
      </c>
    </row>
    <row r="2901" spans="2:13" ht="15.75" x14ac:dyDescent="0.25">
      <c r="B2901" s="692"/>
      <c r="C2901" s="117" t="str">
        <f>IF(ISNUMBER(B2901),IFERROR(VLOOKUP(B2901,'נתוני רישום ומצבת'!B:J,3,0),""),"")</f>
        <v/>
      </c>
      <c r="D2901" s="693"/>
      <c r="E2901" s="697"/>
      <c r="F2901" s="695"/>
      <c r="G2901" s="696"/>
      <c r="K2901" s="22" t="str">
        <f t="shared" ref="K2901:K2964" si="91">IF(C2888&lt;5,IF(D2901=$F$8,-E2901," "),"")</f>
        <v/>
      </c>
      <c r="M2901" s="534" t="str">
        <f t="shared" si="90"/>
        <v/>
      </c>
    </row>
    <row r="2902" spans="2:13" ht="15.75" x14ac:dyDescent="0.25">
      <c r="B2902" s="692"/>
      <c r="C2902" s="117" t="str">
        <f>IF(ISNUMBER(B2902),IFERROR(VLOOKUP(B2902,'נתוני רישום ומצבת'!B:J,3,0),""),"")</f>
        <v/>
      </c>
      <c r="D2902" s="693"/>
      <c r="E2902" s="697"/>
      <c r="F2902" s="695"/>
      <c r="G2902" s="696"/>
      <c r="K2902" s="22" t="str">
        <f t="shared" si="91"/>
        <v/>
      </c>
      <c r="M2902" s="534" t="str">
        <f t="shared" si="90"/>
        <v/>
      </c>
    </row>
    <row r="2903" spans="2:13" ht="15.75" x14ac:dyDescent="0.25">
      <c r="B2903" s="692"/>
      <c r="C2903" s="117" t="str">
        <f>IF(ISNUMBER(B2903),IFERROR(VLOOKUP(B2903,'נתוני רישום ומצבת'!B:J,3,0),""),"")</f>
        <v/>
      </c>
      <c r="D2903" s="693"/>
      <c r="E2903" s="697"/>
      <c r="F2903" s="695"/>
      <c r="G2903" s="696"/>
      <c r="K2903" s="22" t="str">
        <f t="shared" si="91"/>
        <v/>
      </c>
      <c r="M2903" s="534" t="str">
        <f t="shared" si="90"/>
        <v/>
      </c>
    </row>
    <row r="2904" spans="2:13" ht="15.75" x14ac:dyDescent="0.25">
      <c r="B2904" s="692"/>
      <c r="C2904" s="117" t="str">
        <f>IF(ISNUMBER(B2904),IFERROR(VLOOKUP(B2904,'נתוני רישום ומצבת'!B:J,3,0),""),"")</f>
        <v/>
      </c>
      <c r="D2904" s="693"/>
      <c r="E2904" s="697"/>
      <c r="F2904" s="695"/>
      <c r="G2904" s="696"/>
      <c r="K2904" s="22" t="str">
        <f t="shared" si="91"/>
        <v/>
      </c>
      <c r="M2904" s="534" t="str">
        <f t="shared" si="90"/>
        <v/>
      </c>
    </row>
    <row r="2905" spans="2:13" ht="15.75" x14ac:dyDescent="0.25">
      <c r="B2905" s="692"/>
      <c r="C2905" s="117" t="str">
        <f>IF(ISNUMBER(B2905),IFERROR(VLOOKUP(B2905,'נתוני רישום ומצבת'!B:J,3,0),""),"")</f>
        <v/>
      </c>
      <c r="D2905" s="693"/>
      <c r="E2905" s="697"/>
      <c r="F2905" s="695"/>
      <c r="G2905" s="696"/>
      <c r="K2905" s="22" t="str">
        <f t="shared" si="91"/>
        <v/>
      </c>
      <c r="M2905" s="534" t="str">
        <f t="shared" si="90"/>
        <v/>
      </c>
    </row>
    <row r="2906" spans="2:13" ht="15.75" x14ac:dyDescent="0.25">
      <c r="B2906" s="692"/>
      <c r="C2906" s="117" t="str">
        <f>IF(ISNUMBER(B2906),IFERROR(VLOOKUP(B2906,'נתוני רישום ומצבת'!B:J,3,0),""),"")</f>
        <v/>
      </c>
      <c r="D2906" s="693"/>
      <c r="E2906" s="697"/>
      <c r="F2906" s="695"/>
      <c r="G2906" s="696"/>
      <c r="K2906" s="22" t="str">
        <f t="shared" si="91"/>
        <v/>
      </c>
      <c r="M2906" s="534" t="str">
        <f t="shared" si="90"/>
        <v/>
      </c>
    </row>
    <row r="2907" spans="2:13" ht="15.75" x14ac:dyDescent="0.25">
      <c r="B2907" s="692"/>
      <c r="C2907" s="117" t="str">
        <f>IF(ISNUMBER(B2907),IFERROR(VLOOKUP(B2907,'נתוני רישום ומצבת'!B:J,3,0),""),"")</f>
        <v/>
      </c>
      <c r="D2907" s="693"/>
      <c r="E2907" s="697"/>
      <c r="F2907" s="695"/>
      <c r="G2907" s="696"/>
      <c r="K2907" s="22" t="str">
        <f t="shared" si="91"/>
        <v/>
      </c>
      <c r="M2907" s="534" t="str">
        <f t="shared" si="90"/>
        <v/>
      </c>
    </row>
    <row r="2908" spans="2:13" ht="15.75" x14ac:dyDescent="0.25">
      <c r="B2908" s="692"/>
      <c r="C2908" s="117" t="str">
        <f>IF(ISNUMBER(B2908),IFERROR(VLOOKUP(B2908,'נתוני רישום ומצבת'!B:J,3,0),""),"")</f>
        <v/>
      </c>
      <c r="D2908" s="693"/>
      <c r="E2908" s="697"/>
      <c r="F2908" s="695"/>
      <c r="G2908" s="696"/>
      <c r="K2908" s="22" t="str">
        <f t="shared" si="91"/>
        <v/>
      </c>
      <c r="M2908" s="534" t="str">
        <f t="shared" si="90"/>
        <v/>
      </c>
    </row>
    <row r="2909" spans="2:13" ht="15.75" x14ac:dyDescent="0.25">
      <c r="B2909" s="692"/>
      <c r="C2909" s="117" t="str">
        <f>IF(ISNUMBER(B2909),IFERROR(VLOOKUP(B2909,'נתוני רישום ומצבת'!B:J,3,0),""),"")</f>
        <v/>
      </c>
      <c r="D2909" s="693"/>
      <c r="E2909" s="697"/>
      <c r="F2909" s="695"/>
      <c r="G2909" s="696"/>
      <c r="K2909" s="22" t="str">
        <f t="shared" si="91"/>
        <v/>
      </c>
      <c r="M2909" s="534" t="str">
        <f t="shared" si="90"/>
        <v/>
      </c>
    </row>
    <row r="2910" spans="2:13" ht="15.75" x14ac:dyDescent="0.25">
      <c r="B2910" s="692"/>
      <c r="C2910" s="117" t="str">
        <f>IF(ISNUMBER(B2910),IFERROR(VLOOKUP(B2910,'נתוני רישום ומצבת'!B:J,3,0),""),"")</f>
        <v/>
      </c>
      <c r="D2910" s="693"/>
      <c r="E2910" s="697"/>
      <c r="F2910" s="695"/>
      <c r="G2910" s="696"/>
      <c r="K2910" s="22" t="str">
        <f t="shared" si="91"/>
        <v/>
      </c>
      <c r="M2910" s="534" t="str">
        <f t="shared" si="90"/>
        <v/>
      </c>
    </row>
    <row r="2911" spans="2:13" ht="15.75" x14ac:dyDescent="0.25">
      <c r="B2911" s="692"/>
      <c r="C2911" s="117" t="str">
        <f>IF(ISNUMBER(B2911),IFERROR(VLOOKUP(B2911,'נתוני רישום ומצבת'!B:J,3,0),""),"")</f>
        <v/>
      </c>
      <c r="D2911" s="693"/>
      <c r="E2911" s="697"/>
      <c r="F2911" s="695"/>
      <c r="G2911" s="696"/>
      <c r="K2911" s="22" t="str">
        <f t="shared" si="91"/>
        <v/>
      </c>
      <c r="M2911" s="534" t="str">
        <f t="shared" si="90"/>
        <v/>
      </c>
    </row>
    <row r="2912" spans="2:13" ht="15.75" x14ac:dyDescent="0.25">
      <c r="B2912" s="692"/>
      <c r="C2912" s="117" t="str">
        <f>IF(ISNUMBER(B2912),IFERROR(VLOOKUP(B2912,'נתוני רישום ומצבת'!B:J,3,0),""),"")</f>
        <v/>
      </c>
      <c r="D2912" s="693"/>
      <c r="E2912" s="697"/>
      <c r="F2912" s="695"/>
      <c r="G2912" s="696"/>
      <c r="K2912" s="22" t="str">
        <f t="shared" si="91"/>
        <v/>
      </c>
      <c r="M2912" s="534" t="str">
        <f t="shared" si="90"/>
        <v/>
      </c>
    </row>
    <row r="2913" spans="2:13" ht="15.75" x14ac:dyDescent="0.25">
      <c r="B2913" s="692"/>
      <c r="C2913" s="117" t="str">
        <f>IF(ISNUMBER(B2913),IFERROR(VLOOKUP(B2913,'נתוני רישום ומצבת'!B:J,3,0),""),"")</f>
        <v/>
      </c>
      <c r="D2913" s="693"/>
      <c r="E2913" s="697"/>
      <c r="F2913" s="695"/>
      <c r="G2913" s="696"/>
      <c r="K2913" s="22" t="str">
        <f t="shared" si="91"/>
        <v/>
      </c>
      <c r="M2913" s="534" t="str">
        <f t="shared" si="90"/>
        <v/>
      </c>
    </row>
    <row r="2914" spans="2:13" ht="15.75" x14ac:dyDescent="0.25">
      <c r="B2914" s="692"/>
      <c r="C2914" s="117" t="str">
        <f>IF(ISNUMBER(B2914),IFERROR(VLOOKUP(B2914,'נתוני רישום ומצבת'!B:J,3,0),""),"")</f>
        <v/>
      </c>
      <c r="D2914" s="693"/>
      <c r="E2914" s="697"/>
      <c r="F2914" s="695"/>
      <c r="G2914" s="696"/>
      <c r="K2914" s="22" t="str">
        <f t="shared" si="91"/>
        <v/>
      </c>
      <c r="M2914" s="534" t="str">
        <f t="shared" si="90"/>
        <v/>
      </c>
    </row>
    <row r="2915" spans="2:13" ht="15.75" x14ac:dyDescent="0.25">
      <c r="B2915" s="692"/>
      <c r="C2915" s="117" t="str">
        <f>IF(ISNUMBER(B2915),IFERROR(VLOOKUP(B2915,'נתוני רישום ומצבת'!B:J,3,0),""),"")</f>
        <v/>
      </c>
      <c r="D2915" s="693"/>
      <c r="E2915" s="697"/>
      <c r="F2915" s="695"/>
      <c r="G2915" s="696"/>
      <c r="K2915" s="22" t="str">
        <f t="shared" si="91"/>
        <v/>
      </c>
      <c r="M2915" s="534" t="str">
        <f t="shared" si="90"/>
        <v/>
      </c>
    </row>
    <row r="2916" spans="2:13" ht="15.75" x14ac:dyDescent="0.25">
      <c r="B2916" s="692"/>
      <c r="C2916" s="117" t="str">
        <f>IF(ISNUMBER(B2916),IFERROR(VLOOKUP(B2916,'נתוני רישום ומצבת'!B:J,3,0),""),"")</f>
        <v/>
      </c>
      <c r="D2916" s="693"/>
      <c r="E2916" s="697"/>
      <c r="F2916" s="695"/>
      <c r="G2916" s="696"/>
      <c r="K2916" s="22" t="str">
        <f t="shared" si="91"/>
        <v/>
      </c>
      <c r="M2916" s="534" t="str">
        <f t="shared" si="90"/>
        <v/>
      </c>
    </row>
    <row r="2917" spans="2:13" ht="15.75" x14ac:dyDescent="0.25">
      <c r="B2917" s="692"/>
      <c r="C2917" s="117" t="str">
        <f>IF(ISNUMBER(B2917),IFERROR(VLOOKUP(B2917,'נתוני רישום ומצבת'!B:J,3,0),""),"")</f>
        <v/>
      </c>
      <c r="D2917" s="693"/>
      <c r="E2917" s="697"/>
      <c r="F2917" s="695"/>
      <c r="G2917" s="696"/>
      <c r="K2917" s="22" t="str">
        <f t="shared" si="91"/>
        <v/>
      </c>
      <c r="M2917" s="534" t="str">
        <f t="shared" si="90"/>
        <v/>
      </c>
    </row>
    <row r="2918" spans="2:13" ht="15.75" x14ac:dyDescent="0.25">
      <c r="B2918" s="692"/>
      <c r="C2918" s="117" t="str">
        <f>IF(ISNUMBER(B2918),IFERROR(VLOOKUP(B2918,'נתוני רישום ומצבת'!B:J,3,0),""),"")</f>
        <v/>
      </c>
      <c r="D2918" s="693"/>
      <c r="E2918" s="697"/>
      <c r="F2918" s="695"/>
      <c r="G2918" s="696"/>
      <c r="K2918" s="22" t="str">
        <f t="shared" si="91"/>
        <v/>
      </c>
      <c r="M2918" s="534" t="str">
        <f t="shared" si="90"/>
        <v/>
      </c>
    </row>
    <row r="2919" spans="2:13" ht="15.75" x14ac:dyDescent="0.25">
      <c r="B2919" s="692"/>
      <c r="C2919" s="117" t="str">
        <f>IF(ISNUMBER(B2919),IFERROR(VLOOKUP(B2919,'נתוני רישום ומצבת'!B:J,3,0),""),"")</f>
        <v/>
      </c>
      <c r="D2919" s="693"/>
      <c r="E2919" s="697"/>
      <c r="F2919" s="695"/>
      <c r="G2919" s="696"/>
      <c r="K2919" s="22" t="str">
        <f t="shared" si="91"/>
        <v/>
      </c>
      <c r="M2919" s="534" t="str">
        <f t="shared" si="90"/>
        <v/>
      </c>
    </row>
    <row r="2920" spans="2:13" ht="15.75" x14ac:dyDescent="0.25">
      <c r="B2920" s="692"/>
      <c r="C2920" s="117" t="str">
        <f>IF(ISNUMBER(B2920),IFERROR(VLOOKUP(B2920,'נתוני רישום ומצבת'!B:J,3,0),""),"")</f>
        <v/>
      </c>
      <c r="D2920" s="693"/>
      <c r="E2920" s="697"/>
      <c r="F2920" s="695"/>
      <c r="G2920" s="696"/>
      <c r="K2920" s="22" t="str">
        <f t="shared" si="91"/>
        <v/>
      </c>
      <c r="M2920" s="534" t="str">
        <f t="shared" si="90"/>
        <v/>
      </c>
    </row>
    <row r="2921" spans="2:13" ht="15.75" x14ac:dyDescent="0.25">
      <c r="B2921" s="692"/>
      <c r="C2921" s="117" t="str">
        <f>IF(ISNUMBER(B2921),IFERROR(VLOOKUP(B2921,'נתוני רישום ומצבת'!B:J,3,0),""),"")</f>
        <v/>
      </c>
      <c r="D2921" s="693"/>
      <c r="E2921" s="697"/>
      <c r="F2921" s="695"/>
      <c r="G2921" s="696"/>
      <c r="K2921" s="22" t="str">
        <f t="shared" si="91"/>
        <v/>
      </c>
      <c r="M2921" s="534" t="str">
        <f t="shared" si="90"/>
        <v/>
      </c>
    </row>
    <row r="2922" spans="2:13" ht="15.75" x14ac:dyDescent="0.25">
      <c r="B2922" s="692"/>
      <c r="C2922" s="117" t="str">
        <f>IF(ISNUMBER(B2922),IFERROR(VLOOKUP(B2922,'נתוני רישום ומצבת'!B:J,3,0),""),"")</f>
        <v/>
      </c>
      <c r="D2922" s="693"/>
      <c r="E2922" s="697"/>
      <c r="F2922" s="695"/>
      <c r="G2922" s="696"/>
      <c r="K2922" s="22" t="str">
        <f t="shared" si="91"/>
        <v/>
      </c>
      <c r="M2922" s="534" t="str">
        <f t="shared" si="90"/>
        <v/>
      </c>
    </row>
    <row r="2923" spans="2:13" ht="15.75" x14ac:dyDescent="0.25">
      <c r="B2923" s="692"/>
      <c r="C2923" s="117" t="str">
        <f>IF(ISNUMBER(B2923),IFERROR(VLOOKUP(B2923,'נתוני רישום ומצבת'!B:J,3,0),""),"")</f>
        <v/>
      </c>
      <c r="D2923" s="693"/>
      <c r="E2923" s="697"/>
      <c r="F2923" s="695"/>
      <c r="G2923" s="696"/>
      <c r="K2923" s="22" t="str">
        <f t="shared" si="91"/>
        <v/>
      </c>
      <c r="M2923" s="534" t="str">
        <f t="shared" si="90"/>
        <v/>
      </c>
    </row>
    <row r="2924" spans="2:13" ht="15.75" x14ac:dyDescent="0.25">
      <c r="B2924" s="692"/>
      <c r="C2924" s="117" t="str">
        <f>IF(ISNUMBER(B2924),IFERROR(VLOOKUP(B2924,'נתוני רישום ומצבת'!B:J,3,0),""),"")</f>
        <v/>
      </c>
      <c r="D2924" s="693"/>
      <c r="E2924" s="697"/>
      <c r="F2924" s="695"/>
      <c r="G2924" s="696"/>
      <c r="K2924" s="22" t="str">
        <f t="shared" si="91"/>
        <v/>
      </c>
      <c r="M2924" s="534" t="str">
        <f t="shared" si="90"/>
        <v/>
      </c>
    </row>
    <row r="2925" spans="2:13" ht="15.75" x14ac:dyDescent="0.25">
      <c r="B2925" s="692"/>
      <c r="C2925" s="117" t="str">
        <f>IF(ISNUMBER(B2925),IFERROR(VLOOKUP(B2925,'נתוני רישום ומצבת'!B:J,3,0),""),"")</f>
        <v/>
      </c>
      <c r="D2925" s="693"/>
      <c r="E2925" s="697"/>
      <c r="F2925" s="695"/>
      <c r="G2925" s="696"/>
      <c r="K2925" s="22" t="str">
        <f t="shared" si="91"/>
        <v/>
      </c>
      <c r="M2925" s="534" t="str">
        <f t="shared" si="90"/>
        <v/>
      </c>
    </row>
    <row r="2926" spans="2:13" ht="15.75" x14ac:dyDescent="0.25">
      <c r="B2926" s="692"/>
      <c r="C2926" s="117" t="str">
        <f>IF(ISNUMBER(B2926),IFERROR(VLOOKUP(B2926,'נתוני רישום ומצבת'!B:J,3,0),""),"")</f>
        <v/>
      </c>
      <c r="D2926" s="693"/>
      <c r="E2926" s="697"/>
      <c r="F2926" s="695"/>
      <c r="G2926" s="696"/>
      <c r="K2926" s="22" t="str">
        <f t="shared" si="91"/>
        <v/>
      </c>
      <c r="M2926" s="534" t="str">
        <f t="shared" si="90"/>
        <v/>
      </c>
    </row>
    <row r="2927" spans="2:13" ht="15.75" x14ac:dyDescent="0.25">
      <c r="B2927" s="692"/>
      <c r="C2927" s="117" t="str">
        <f>IF(ISNUMBER(B2927),IFERROR(VLOOKUP(B2927,'נתוני רישום ומצבת'!B:J,3,0),""),"")</f>
        <v/>
      </c>
      <c r="D2927" s="693"/>
      <c r="E2927" s="697"/>
      <c r="F2927" s="695"/>
      <c r="G2927" s="696"/>
      <c r="K2927" s="22" t="str">
        <f t="shared" si="91"/>
        <v/>
      </c>
      <c r="M2927" s="534" t="str">
        <f t="shared" si="90"/>
        <v/>
      </c>
    </row>
    <row r="2928" spans="2:13" ht="15.75" x14ac:dyDescent="0.25">
      <c r="B2928" s="692"/>
      <c r="C2928" s="117" t="str">
        <f>IF(ISNUMBER(B2928),IFERROR(VLOOKUP(B2928,'נתוני רישום ומצבת'!B:J,3,0),""),"")</f>
        <v/>
      </c>
      <c r="D2928" s="693"/>
      <c r="E2928" s="697"/>
      <c r="F2928" s="695"/>
      <c r="G2928" s="696"/>
      <c r="K2928" s="22" t="str">
        <f t="shared" si="91"/>
        <v/>
      </c>
      <c r="M2928" s="534" t="str">
        <f t="shared" si="90"/>
        <v/>
      </c>
    </row>
    <row r="2929" spans="2:13" ht="15.75" x14ac:dyDescent="0.25">
      <c r="B2929" s="692"/>
      <c r="C2929" s="117" t="str">
        <f>IF(ISNUMBER(B2929),IFERROR(VLOOKUP(B2929,'נתוני רישום ומצבת'!B:J,3,0),""),"")</f>
        <v/>
      </c>
      <c r="D2929" s="693"/>
      <c r="E2929" s="697"/>
      <c r="F2929" s="695"/>
      <c r="G2929" s="696"/>
      <c r="K2929" s="22" t="str">
        <f t="shared" si="91"/>
        <v/>
      </c>
      <c r="M2929" s="534" t="str">
        <f t="shared" si="90"/>
        <v/>
      </c>
    </row>
    <row r="2930" spans="2:13" ht="15.75" x14ac:dyDescent="0.25">
      <c r="B2930" s="692"/>
      <c r="C2930" s="117" t="str">
        <f>IF(ISNUMBER(B2930),IFERROR(VLOOKUP(B2930,'נתוני רישום ומצבת'!B:J,3,0),""),"")</f>
        <v/>
      </c>
      <c r="D2930" s="693"/>
      <c r="E2930" s="697"/>
      <c r="F2930" s="695"/>
      <c r="G2930" s="696"/>
      <c r="K2930" s="22" t="str">
        <f t="shared" si="91"/>
        <v/>
      </c>
      <c r="M2930" s="534" t="str">
        <f t="shared" si="90"/>
        <v/>
      </c>
    </row>
    <row r="2931" spans="2:13" ht="15.75" x14ac:dyDescent="0.25">
      <c r="B2931" s="692"/>
      <c r="C2931" s="117" t="str">
        <f>IF(ISNUMBER(B2931),IFERROR(VLOOKUP(B2931,'נתוני רישום ומצבת'!B:J,3,0),""),"")</f>
        <v/>
      </c>
      <c r="D2931" s="693"/>
      <c r="E2931" s="697"/>
      <c r="F2931" s="695"/>
      <c r="G2931" s="696"/>
      <c r="K2931" s="22" t="str">
        <f t="shared" si="91"/>
        <v/>
      </c>
      <c r="M2931" s="534" t="str">
        <f t="shared" si="90"/>
        <v/>
      </c>
    </row>
    <row r="2932" spans="2:13" ht="15.75" x14ac:dyDescent="0.25">
      <c r="B2932" s="692"/>
      <c r="C2932" s="117" t="str">
        <f>IF(ISNUMBER(B2932),IFERROR(VLOOKUP(B2932,'נתוני רישום ומצבת'!B:J,3,0),""),"")</f>
        <v/>
      </c>
      <c r="D2932" s="693"/>
      <c r="E2932" s="697"/>
      <c r="F2932" s="695"/>
      <c r="G2932" s="696"/>
      <c r="K2932" s="22" t="str">
        <f t="shared" si="91"/>
        <v/>
      </c>
      <c r="M2932" s="534" t="str">
        <f t="shared" si="90"/>
        <v/>
      </c>
    </row>
    <row r="2933" spans="2:13" ht="15.75" x14ac:dyDescent="0.25">
      <c r="B2933" s="692"/>
      <c r="C2933" s="117" t="str">
        <f>IF(ISNUMBER(B2933),IFERROR(VLOOKUP(B2933,'נתוני רישום ומצבת'!B:J,3,0),""),"")</f>
        <v/>
      </c>
      <c r="D2933" s="693"/>
      <c r="E2933" s="697"/>
      <c r="F2933" s="695"/>
      <c r="G2933" s="696"/>
      <c r="K2933" s="22" t="str">
        <f t="shared" si="91"/>
        <v/>
      </c>
      <c r="M2933" s="534" t="str">
        <f t="shared" si="90"/>
        <v/>
      </c>
    </row>
    <row r="2934" spans="2:13" ht="15.75" x14ac:dyDescent="0.25">
      <c r="B2934" s="692"/>
      <c r="C2934" s="117" t="str">
        <f>IF(ISNUMBER(B2934),IFERROR(VLOOKUP(B2934,'נתוני רישום ומצבת'!B:J,3,0),""),"")</f>
        <v/>
      </c>
      <c r="D2934" s="693"/>
      <c r="E2934" s="697"/>
      <c r="F2934" s="695"/>
      <c r="G2934" s="696"/>
      <c r="K2934" s="22" t="str">
        <f t="shared" si="91"/>
        <v/>
      </c>
      <c r="M2934" s="534" t="str">
        <f t="shared" si="90"/>
        <v/>
      </c>
    </row>
    <row r="2935" spans="2:13" ht="15.75" x14ac:dyDescent="0.25">
      <c r="B2935" s="692"/>
      <c r="C2935" s="117" t="str">
        <f>IF(ISNUMBER(B2935),IFERROR(VLOOKUP(B2935,'נתוני רישום ומצבת'!B:J,3,0),""),"")</f>
        <v/>
      </c>
      <c r="D2935" s="693"/>
      <c r="E2935" s="697"/>
      <c r="F2935" s="695"/>
      <c r="G2935" s="696"/>
      <c r="K2935" s="22" t="str">
        <f t="shared" si="91"/>
        <v/>
      </c>
      <c r="M2935" s="534" t="str">
        <f t="shared" si="90"/>
        <v/>
      </c>
    </row>
    <row r="2936" spans="2:13" ht="15.75" x14ac:dyDescent="0.25">
      <c r="B2936" s="692"/>
      <c r="C2936" s="117" t="str">
        <f>IF(ISNUMBER(B2936),IFERROR(VLOOKUP(B2936,'נתוני רישום ומצבת'!B:J,3,0),""),"")</f>
        <v/>
      </c>
      <c r="D2936" s="693"/>
      <c r="E2936" s="697"/>
      <c r="F2936" s="695"/>
      <c r="G2936" s="696"/>
      <c r="K2936" s="22" t="str">
        <f t="shared" si="91"/>
        <v/>
      </c>
      <c r="M2936" s="534" t="str">
        <f t="shared" si="90"/>
        <v/>
      </c>
    </row>
    <row r="2937" spans="2:13" ht="15.75" x14ac:dyDescent="0.25">
      <c r="B2937" s="692"/>
      <c r="C2937" s="117" t="str">
        <f>IF(ISNUMBER(B2937),IFERROR(VLOOKUP(B2937,'נתוני רישום ומצבת'!B:J,3,0),""),"")</f>
        <v/>
      </c>
      <c r="D2937" s="693"/>
      <c r="E2937" s="697"/>
      <c r="F2937" s="695"/>
      <c r="G2937" s="696"/>
      <c r="K2937" s="22" t="str">
        <f t="shared" si="91"/>
        <v/>
      </c>
      <c r="M2937" s="534" t="str">
        <f t="shared" si="90"/>
        <v/>
      </c>
    </row>
    <row r="2938" spans="2:13" ht="15.75" x14ac:dyDescent="0.25">
      <c r="B2938" s="692"/>
      <c r="C2938" s="117" t="str">
        <f>IF(ISNUMBER(B2938),IFERROR(VLOOKUP(B2938,'נתוני רישום ומצבת'!B:J,3,0),""),"")</f>
        <v/>
      </c>
      <c r="D2938" s="693"/>
      <c r="E2938" s="697"/>
      <c r="F2938" s="695"/>
      <c r="G2938" s="696"/>
      <c r="K2938" s="22" t="str">
        <f t="shared" si="91"/>
        <v/>
      </c>
      <c r="M2938" s="534" t="str">
        <f t="shared" si="90"/>
        <v/>
      </c>
    </row>
    <row r="2939" spans="2:13" ht="15.75" x14ac:dyDescent="0.25">
      <c r="B2939" s="692"/>
      <c r="C2939" s="117" t="str">
        <f>IF(ISNUMBER(B2939),IFERROR(VLOOKUP(B2939,'נתוני רישום ומצבת'!B:J,3,0),""),"")</f>
        <v/>
      </c>
      <c r="D2939" s="693"/>
      <c r="E2939" s="697"/>
      <c r="F2939" s="695"/>
      <c r="G2939" s="696"/>
      <c r="K2939" s="22" t="str">
        <f t="shared" si="91"/>
        <v/>
      </c>
      <c r="M2939" s="534" t="str">
        <f t="shared" si="90"/>
        <v/>
      </c>
    </row>
    <row r="2940" spans="2:13" ht="15.75" x14ac:dyDescent="0.25">
      <c r="B2940" s="692"/>
      <c r="C2940" s="117" t="str">
        <f>IF(ISNUMBER(B2940),IFERROR(VLOOKUP(B2940,'נתוני רישום ומצבת'!B:J,3,0),""),"")</f>
        <v/>
      </c>
      <c r="D2940" s="693"/>
      <c r="E2940" s="697"/>
      <c r="F2940" s="695"/>
      <c r="G2940" s="696"/>
      <c r="K2940" s="22" t="str">
        <f t="shared" si="91"/>
        <v/>
      </c>
      <c r="M2940" s="534" t="str">
        <f t="shared" si="90"/>
        <v/>
      </c>
    </row>
    <row r="2941" spans="2:13" ht="15.75" x14ac:dyDescent="0.25">
      <c r="B2941" s="692"/>
      <c r="C2941" s="117" t="str">
        <f>IF(ISNUMBER(B2941),IFERROR(VLOOKUP(B2941,'נתוני רישום ומצבת'!B:J,3,0),""),"")</f>
        <v/>
      </c>
      <c r="D2941" s="693"/>
      <c r="E2941" s="697"/>
      <c r="F2941" s="695"/>
      <c r="G2941" s="696"/>
      <c r="K2941" s="22" t="str">
        <f t="shared" si="91"/>
        <v/>
      </c>
      <c r="M2941" s="534" t="str">
        <f t="shared" si="90"/>
        <v/>
      </c>
    </row>
    <row r="2942" spans="2:13" ht="15.75" x14ac:dyDescent="0.25">
      <c r="B2942" s="692"/>
      <c r="C2942" s="117" t="str">
        <f>IF(ISNUMBER(B2942),IFERROR(VLOOKUP(B2942,'נתוני רישום ומצבת'!B:J,3,0),""),"")</f>
        <v/>
      </c>
      <c r="D2942" s="693"/>
      <c r="E2942" s="697"/>
      <c r="F2942" s="695"/>
      <c r="G2942" s="696"/>
      <c r="K2942" s="22" t="str">
        <f t="shared" si="91"/>
        <v/>
      </c>
      <c r="M2942" s="534" t="str">
        <f t="shared" si="90"/>
        <v/>
      </c>
    </row>
    <row r="2943" spans="2:13" ht="15.75" x14ac:dyDescent="0.25">
      <c r="B2943" s="692"/>
      <c r="C2943" s="117" t="str">
        <f>IF(ISNUMBER(B2943),IFERROR(VLOOKUP(B2943,'נתוני רישום ומצבת'!B:J,3,0),""),"")</f>
        <v/>
      </c>
      <c r="D2943" s="693"/>
      <c r="E2943" s="697"/>
      <c r="F2943" s="695"/>
      <c r="G2943" s="696"/>
      <c r="K2943" s="22" t="str">
        <f t="shared" si="91"/>
        <v/>
      </c>
      <c r="M2943" s="534" t="str">
        <f t="shared" si="90"/>
        <v/>
      </c>
    </row>
    <row r="2944" spans="2:13" ht="15.75" x14ac:dyDescent="0.25">
      <c r="B2944" s="692"/>
      <c r="C2944" s="117" t="str">
        <f>IF(ISNUMBER(B2944),IFERROR(VLOOKUP(B2944,'נתוני רישום ומצבת'!B:J,3,0),""),"")</f>
        <v/>
      </c>
      <c r="D2944" s="693"/>
      <c r="E2944" s="697"/>
      <c r="F2944" s="695"/>
      <c r="G2944" s="696"/>
      <c r="K2944" s="22" t="str">
        <f t="shared" si="91"/>
        <v/>
      </c>
      <c r="M2944" s="534" t="str">
        <f t="shared" si="90"/>
        <v/>
      </c>
    </row>
    <row r="2945" spans="2:13" ht="15.75" x14ac:dyDescent="0.25">
      <c r="B2945" s="692"/>
      <c r="C2945" s="117" t="str">
        <f>IF(ISNUMBER(B2945),IFERROR(VLOOKUP(B2945,'נתוני רישום ומצבת'!B:J,3,0),""),"")</f>
        <v/>
      </c>
      <c r="D2945" s="693"/>
      <c r="E2945" s="697"/>
      <c r="F2945" s="695"/>
      <c r="G2945" s="696"/>
      <c r="K2945" s="22" t="str">
        <f t="shared" si="91"/>
        <v/>
      </c>
      <c r="M2945" s="534" t="str">
        <f t="shared" si="90"/>
        <v/>
      </c>
    </row>
    <row r="2946" spans="2:13" ht="15.75" x14ac:dyDescent="0.25">
      <c r="B2946" s="692"/>
      <c r="C2946" s="117" t="str">
        <f>IF(ISNUMBER(B2946),IFERROR(VLOOKUP(B2946,'נתוני רישום ומצבת'!B:J,3,0),""),"")</f>
        <v/>
      </c>
      <c r="D2946" s="693"/>
      <c r="E2946" s="697"/>
      <c r="F2946" s="695"/>
      <c r="G2946" s="696"/>
      <c r="K2946" s="22" t="str">
        <f t="shared" si="91"/>
        <v/>
      </c>
      <c r="M2946" s="534" t="str">
        <f t="shared" si="90"/>
        <v/>
      </c>
    </row>
    <row r="2947" spans="2:13" ht="15.75" x14ac:dyDescent="0.25">
      <c r="B2947" s="692"/>
      <c r="C2947" s="117" t="str">
        <f>IF(ISNUMBER(B2947),IFERROR(VLOOKUP(B2947,'נתוני רישום ומצבת'!B:J,3,0),""),"")</f>
        <v/>
      </c>
      <c r="D2947" s="693"/>
      <c r="E2947" s="697"/>
      <c r="F2947" s="695"/>
      <c r="G2947" s="696"/>
      <c r="K2947" s="22" t="str">
        <f t="shared" si="91"/>
        <v/>
      </c>
      <c r="M2947" s="534" t="str">
        <f t="shared" si="90"/>
        <v/>
      </c>
    </row>
    <row r="2948" spans="2:13" ht="15.75" x14ac:dyDescent="0.25">
      <c r="B2948" s="692"/>
      <c r="C2948" s="117" t="str">
        <f>IF(ISNUMBER(B2948),IFERROR(VLOOKUP(B2948,'נתוני רישום ומצבת'!B:J,3,0),""),"")</f>
        <v/>
      </c>
      <c r="D2948" s="693"/>
      <c r="E2948" s="697"/>
      <c r="F2948" s="695"/>
      <c r="G2948" s="696"/>
      <c r="K2948" s="22" t="str">
        <f t="shared" si="91"/>
        <v/>
      </c>
      <c r="M2948" s="534" t="str">
        <f t="shared" si="90"/>
        <v/>
      </c>
    </row>
    <row r="2949" spans="2:13" ht="15.75" x14ac:dyDescent="0.25">
      <c r="B2949" s="692"/>
      <c r="C2949" s="117" t="str">
        <f>IF(ISNUMBER(B2949),IFERROR(VLOOKUP(B2949,'נתוני רישום ומצבת'!B:J,3,0),""),"")</f>
        <v/>
      </c>
      <c r="D2949" s="693"/>
      <c r="E2949" s="697"/>
      <c r="F2949" s="695"/>
      <c r="G2949" s="696"/>
      <c r="K2949" s="22" t="str">
        <f t="shared" si="91"/>
        <v/>
      </c>
      <c r="M2949" s="534" t="str">
        <f t="shared" si="90"/>
        <v/>
      </c>
    </row>
    <row r="2950" spans="2:13" ht="15.75" x14ac:dyDescent="0.25">
      <c r="B2950" s="692"/>
      <c r="C2950" s="117" t="str">
        <f>IF(ISNUMBER(B2950),IFERROR(VLOOKUP(B2950,'נתוני רישום ומצבת'!B:J,3,0),""),"")</f>
        <v/>
      </c>
      <c r="D2950" s="693"/>
      <c r="E2950" s="697"/>
      <c r="F2950" s="695"/>
      <c r="G2950" s="696"/>
      <c r="K2950" s="22" t="str">
        <f t="shared" si="91"/>
        <v/>
      </c>
      <c r="M2950" s="534" t="str">
        <f t="shared" si="90"/>
        <v/>
      </c>
    </row>
    <row r="2951" spans="2:13" ht="15.75" x14ac:dyDescent="0.25">
      <c r="B2951" s="692"/>
      <c r="C2951" s="117" t="str">
        <f>IF(ISNUMBER(B2951),IFERROR(VLOOKUP(B2951,'נתוני רישום ומצבת'!B:J,3,0),""),"")</f>
        <v/>
      </c>
      <c r="D2951" s="693"/>
      <c r="E2951" s="697"/>
      <c r="F2951" s="695"/>
      <c r="G2951" s="696"/>
      <c r="K2951" s="22" t="str">
        <f t="shared" si="91"/>
        <v/>
      </c>
      <c r="M2951" s="534" t="str">
        <f t="shared" si="90"/>
        <v/>
      </c>
    </row>
    <row r="2952" spans="2:13" ht="15.75" x14ac:dyDescent="0.25">
      <c r="B2952" s="692"/>
      <c r="C2952" s="117" t="str">
        <f>IF(ISNUMBER(B2952),IFERROR(VLOOKUP(B2952,'נתוני רישום ומצבת'!B:J,3,0),""),"")</f>
        <v/>
      </c>
      <c r="D2952" s="693"/>
      <c r="E2952" s="697"/>
      <c r="F2952" s="695"/>
      <c r="G2952" s="696"/>
      <c r="K2952" s="22" t="str">
        <f t="shared" si="91"/>
        <v/>
      </c>
      <c r="M2952" s="534" t="str">
        <f t="shared" si="90"/>
        <v/>
      </c>
    </row>
    <row r="2953" spans="2:13" ht="15.75" x14ac:dyDescent="0.25">
      <c r="B2953" s="692"/>
      <c r="C2953" s="117" t="str">
        <f>IF(ISNUMBER(B2953),IFERROR(VLOOKUP(B2953,'נתוני רישום ומצבת'!B:J,3,0),""),"")</f>
        <v/>
      </c>
      <c r="D2953" s="693"/>
      <c r="E2953" s="697"/>
      <c r="F2953" s="695"/>
      <c r="G2953" s="696"/>
      <c r="K2953" s="22" t="str">
        <f t="shared" si="91"/>
        <v/>
      </c>
      <c r="M2953" s="534" t="str">
        <f t="shared" si="90"/>
        <v/>
      </c>
    </row>
    <row r="2954" spans="2:13" ht="15.75" x14ac:dyDescent="0.25">
      <c r="B2954" s="692"/>
      <c r="C2954" s="117" t="str">
        <f>IF(ISNUMBER(B2954),IFERROR(VLOOKUP(B2954,'נתוני רישום ומצבת'!B:J,3,0),""),"")</f>
        <v/>
      </c>
      <c r="D2954" s="693"/>
      <c r="E2954" s="697"/>
      <c r="F2954" s="695"/>
      <c r="G2954" s="696"/>
      <c r="K2954" s="22" t="str">
        <f t="shared" si="91"/>
        <v/>
      </c>
      <c r="M2954" s="534" t="str">
        <f t="shared" si="90"/>
        <v/>
      </c>
    </row>
    <row r="2955" spans="2:13" ht="15.75" x14ac:dyDescent="0.25">
      <c r="B2955" s="692"/>
      <c r="C2955" s="117" t="str">
        <f>IF(ISNUMBER(B2955),IFERROR(VLOOKUP(B2955,'נתוני רישום ומצבת'!B:J,3,0),""),"")</f>
        <v/>
      </c>
      <c r="D2955" s="693"/>
      <c r="E2955" s="697"/>
      <c r="F2955" s="695"/>
      <c r="G2955" s="696"/>
      <c r="K2955" s="22" t="str">
        <f t="shared" si="91"/>
        <v/>
      </c>
      <c r="M2955" s="534" t="str">
        <f t="shared" si="90"/>
        <v/>
      </c>
    </row>
    <row r="2956" spans="2:13" ht="15.75" x14ac:dyDescent="0.25">
      <c r="B2956" s="692"/>
      <c r="C2956" s="117" t="str">
        <f>IF(ISNUMBER(B2956),IFERROR(VLOOKUP(B2956,'נתוני רישום ומצבת'!B:J,3,0),""),"")</f>
        <v/>
      </c>
      <c r="D2956" s="693"/>
      <c r="E2956" s="697"/>
      <c r="F2956" s="695"/>
      <c r="G2956" s="696"/>
      <c r="K2956" s="22" t="str">
        <f t="shared" si="91"/>
        <v/>
      </c>
      <c r="M2956" s="534" t="str">
        <f t="shared" si="90"/>
        <v/>
      </c>
    </row>
    <row r="2957" spans="2:13" ht="15.75" x14ac:dyDescent="0.25">
      <c r="B2957" s="692"/>
      <c r="C2957" s="117" t="str">
        <f>IF(ISNUMBER(B2957),IFERROR(VLOOKUP(B2957,'נתוני רישום ומצבת'!B:J,3,0),""),"")</f>
        <v/>
      </c>
      <c r="D2957" s="693"/>
      <c r="E2957" s="697"/>
      <c r="F2957" s="695"/>
      <c r="G2957" s="696"/>
      <c r="K2957" s="22" t="str">
        <f t="shared" si="91"/>
        <v/>
      </c>
      <c r="M2957" s="534" t="str">
        <f t="shared" si="90"/>
        <v/>
      </c>
    </row>
    <row r="2958" spans="2:13" ht="15.75" x14ac:dyDescent="0.25">
      <c r="B2958" s="692"/>
      <c r="C2958" s="117" t="str">
        <f>IF(ISNUMBER(B2958),IFERROR(VLOOKUP(B2958,'נתוני רישום ומצבת'!B:J,3,0),""),"")</f>
        <v/>
      </c>
      <c r="D2958" s="693"/>
      <c r="E2958" s="697"/>
      <c r="F2958" s="695"/>
      <c r="G2958" s="696"/>
      <c r="K2958" s="22" t="str">
        <f t="shared" si="91"/>
        <v/>
      </c>
      <c r="M2958" s="534" t="str">
        <f t="shared" si="90"/>
        <v/>
      </c>
    </row>
    <row r="2959" spans="2:13" ht="15.75" x14ac:dyDescent="0.25">
      <c r="B2959" s="692"/>
      <c r="C2959" s="117" t="str">
        <f>IF(ISNUMBER(B2959),IFERROR(VLOOKUP(B2959,'נתוני רישום ומצבת'!B:J,3,0),""),"")</f>
        <v/>
      </c>
      <c r="D2959" s="693"/>
      <c r="E2959" s="697"/>
      <c r="F2959" s="695"/>
      <c r="G2959" s="696"/>
      <c r="K2959" s="22" t="str">
        <f t="shared" si="91"/>
        <v/>
      </c>
      <c r="M2959" s="534" t="str">
        <f t="shared" si="90"/>
        <v/>
      </c>
    </row>
    <row r="2960" spans="2:13" ht="15.75" x14ac:dyDescent="0.25">
      <c r="B2960" s="692"/>
      <c r="C2960" s="117" t="str">
        <f>IF(ISNUMBER(B2960),IFERROR(VLOOKUP(B2960,'נתוני רישום ומצבת'!B:J,3,0),""),"")</f>
        <v/>
      </c>
      <c r="D2960" s="693"/>
      <c r="E2960" s="697"/>
      <c r="F2960" s="695"/>
      <c r="G2960" s="696"/>
      <c r="K2960" s="22" t="str">
        <f t="shared" si="91"/>
        <v/>
      </c>
      <c r="M2960" s="534" t="str">
        <f t="shared" si="90"/>
        <v/>
      </c>
    </row>
    <row r="2961" spans="2:13" ht="15.75" x14ac:dyDescent="0.25">
      <c r="B2961" s="692"/>
      <c r="C2961" s="117" t="str">
        <f>IF(ISNUMBER(B2961),IFERROR(VLOOKUP(B2961,'נתוני רישום ומצבת'!B:J,3,0),""),"")</f>
        <v/>
      </c>
      <c r="D2961" s="693"/>
      <c r="E2961" s="697"/>
      <c r="F2961" s="695"/>
      <c r="G2961" s="696"/>
      <c r="K2961" s="22" t="str">
        <f t="shared" si="91"/>
        <v/>
      </c>
      <c r="M2961" s="534" t="str">
        <f t="shared" ref="M2961:M3016" si="92">TEXT(LEFT(D2961,2),0)</f>
        <v/>
      </c>
    </row>
    <row r="2962" spans="2:13" ht="15.75" x14ac:dyDescent="0.25">
      <c r="B2962" s="692"/>
      <c r="C2962" s="117" t="str">
        <f>IF(ISNUMBER(B2962),IFERROR(VLOOKUP(B2962,'נתוני רישום ומצבת'!B:J,3,0),""),"")</f>
        <v/>
      </c>
      <c r="D2962" s="693"/>
      <c r="E2962" s="697"/>
      <c r="F2962" s="695"/>
      <c r="G2962" s="696"/>
      <c r="K2962" s="22" t="str">
        <f t="shared" si="91"/>
        <v/>
      </c>
      <c r="M2962" s="534" t="str">
        <f t="shared" si="92"/>
        <v/>
      </c>
    </row>
    <row r="2963" spans="2:13" ht="15.75" x14ac:dyDescent="0.25">
      <c r="B2963" s="692"/>
      <c r="C2963" s="117" t="str">
        <f>IF(ISNUMBER(B2963),IFERROR(VLOOKUP(B2963,'נתוני רישום ומצבת'!B:J,3,0),""),"")</f>
        <v/>
      </c>
      <c r="D2963" s="693"/>
      <c r="E2963" s="697"/>
      <c r="F2963" s="695"/>
      <c r="G2963" s="696"/>
      <c r="K2963" s="22" t="str">
        <f t="shared" si="91"/>
        <v/>
      </c>
      <c r="M2963" s="534" t="str">
        <f t="shared" si="92"/>
        <v/>
      </c>
    </row>
    <row r="2964" spans="2:13" ht="15.75" x14ac:dyDescent="0.25">
      <c r="B2964" s="692"/>
      <c r="C2964" s="117" t="str">
        <f>IF(ISNUMBER(B2964),IFERROR(VLOOKUP(B2964,'נתוני רישום ומצבת'!B:J,3,0),""),"")</f>
        <v/>
      </c>
      <c r="D2964" s="693"/>
      <c r="E2964" s="697"/>
      <c r="F2964" s="695"/>
      <c r="G2964" s="696"/>
      <c r="K2964" s="22" t="str">
        <f t="shared" si="91"/>
        <v/>
      </c>
      <c r="M2964" s="534" t="str">
        <f t="shared" si="92"/>
        <v/>
      </c>
    </row>
    <row r="2965" spans="2:13" ht="15.75" x14ac:dyDescent="0.25">
      <c r="B2965" s="692"/>
      <c r="C2965" s="117" t="str">
        <f>IF(ISNUMBER(B2965),IFERROR(VLOOKUP(B2965,'נתוני רישום ומצבת'!B:J,3,0),""),"")</f>
        <v/>
      </c>
      <c r="D2965" s="693"/>
      <c r="E2965" s="697"/>
      <c r="F2965" s="695"/>
      <c r="G2965" s="696"/>
      <c r="K2965" s="22" t="str">
        <f t="shared" ref="K2965:K3028" si="93">IF(C2952&lt;5,IF(D2965=$F$8,-E2965," "),"")</f>
        <v/>
      </c>
      <c r="M2965" s="534" t="str">
        <f t="shared" si="92"/>
        <v/>
      </c>
    </row>
    <row r="2966" spans="2:13" ht="15.75" x14ac:dyDescent="0.25">
      <c r="B2966" s="692"/>
      <c r="C2966" s="117" t="str">
        <f>IF(ISNUMBER(B2966),IFERROR(VLOOKUP(B2966,'נתוני רישום ומצבת'!B:J,3,0),""),"")</f>
        <v/>
      </c>
      <c r="D2966" s="693"/>
      <c r="E2966" s="697"/>
      <c r="F2966" s="695"/>
      <c r="G2966" s="696"/>
      <c r="K2966" s="22" t="str">
        <f t="shared" si="93"/>
        <v/>
      </c>
      <c r="M2966" s="534" t="str">
        <f t="shared" si="92"/>
        <v/>
      </c>
    </row>
    <row r="2967" spans="2:13" ht="15.75" x14ac:dyDescent="0.25">
      <c r="B2967" s="692"/>
      <c r="C2967" s="117" t="str">
        <f>IF(ISNUMBER(B2967),IFERROR(VLOOKUP(B2967,'נתוני רישום ומצבת'!B:J,3,0),""),"")</f>
        <v/>
      </c>
      <c r="D2967" s="693"/>
      <c r="E2967" s="697"/>
      <c r="F2967" s="695"/>
      <c r="G2967" s="696"/>
      <c r="K2967" s="22" t="str">
        <f t="shared" si="93"/>
        <v/>
      </c>
      <c r="M2967" s="534" t="str">
        <f t="shared" si="92"/>
        <v/>
      </c>
    </row>
    <row r="2968" spans="2:13" ht="15.75" x14ac:dyDescent="0.25">
      <c r="B2968" s="692"/>
      <c r="C2968" s="117" t="str">
        <f>IF(ISNUMBER(B2968),IFERROR(VLOOKUP(B2968,'נתוני רישום ומצבת'!B:J,3,0),""),"")</f>
        <v/>
      </c>
      <c r="D2968" s="693"/>
      <c r="E2968" s="697"/>
      <c r="F2968" s="695"/>
      <c r="G2968" s="696"/>
      <c r="K2968" s="22" t="str">
        <f t="shared" si="93"/>
        <v/>
      </c>
      <c r="M2968" s="534" t="str">
        <f t="shared" si="92"/>
        <v/>
      </c>
    </row>
    <row r="2969" spans="2:13" ht="15.75" x14ac:dyDescent="0.25">
      <c r="B2969" s="692"/>
      <c r="C2969" s="117" t="str">
        <f>IF(ISNUMBER(B2969),IFERROR(VLOOKUP(B2969,'נתוני רישום ומצבת'!B:J,3,0),""),"")</f>
        <v/>
      </c>
      <c r="D2969" s="693"/>
      <c r="E2969" s="697"/>
      <c r="F2969" s="695"/>
      <c r="G2969" s="696"/>
      <c r="K2969" s="22" t="str">
        <f t="shared" si="93"/>
        <v/>
      </c>
      <c r="M2969" s="534" t="str">
        <f t="shared" si="92"/>
        <v/>
      </c>
    </row>
    <row r="2970" spans="2:13" ht="15.75" x14ac:dyDescent="0.25">
      <c r="B2970" s="692"/>
      <c r="C2970" s="117" t="str">
        <f>IF(ISNUMBER(B2970),IFERROR(VLOOKUP(B2970,'נתוני רישום ומצבת'!B:J,3,0),""),"")</f>
        <v/>
      </c>
      <c r="D2970" s="693"/>
      <c r="E2970" s="697"/>
      <c r="F2970" s="695"/>
      <c r="G2970" s="696"/>
      <c r="K2970" s="22" t="str">
        <f t="shared" si="93"/>
        <v/>
      </c>
      <c r="M2970" s="534" t="str">
        <f t="shared" si="92"/>
        <v/>
      </c>
    </row>
    <row r="2971" spans="2:13" ht="15.75" x14ac:dyDescent="0.25">
      <c r="B2971" s="692"/>
      <c r="C2971" s="117" t="str">
        <f>IF(ISNUMBER(B2971),IFERROR(VLOOKUP(B2971,'נתוני רישום ומצבת'!B:J,3,0),""),"")</f>
        <v/>
      </c>
      <c r="D2971" s="693"/>
      <c r="E2971" s="697"/>
      <c r="F2971" s="695"/>
      <c r="G2971" s="696"/>
      <c r="K2971" s="22" t="str">
        <f t="shared" si="93"/>
        <v/>
      </c>
      <c r="M2971" s="534" t="str">
        <f t="shared" si="92"/>
        <v/>
      </c>
    </row>
    <row r="2972" spans="2:13" ht="15.75" x14ac:dyDescent="0.25">
      <c r="B2972" s="692"/>
      <c r="C2972" s="117" t="str">
        <f>IF(ISNUMBER(B2972),IFERROR(VLOOKUP(B2972,'נתוני רישום ומצבת'!B:J,3,0),""),"")</f>
        <v/>
      </c>
      <c r="D2972" s="693"/>
      <c r="E2972" s="697"/>
      <c r="F2972" s="695"/>
      <c r="G2972" s="696"/>
      <c r="K2972" s="22" t="str">
        <f t="shared" si="93"/>
        <v/>
      </c>
      <c r="M2972" s="534" t="str">
        <f t="shared" si="92"/>
        <v/>
      </c>
    </row>
    <row r="2973" spans="2:13" ht="15.75" x14ac:dyDescent="0.25">
      <c r="B2973" s="692"/>
      <c r="C2973" s="117" t="str">
        <f>IF(ISNUMBER(B2973),IFERROR(VLOOKUP(B2973,'נתוני רישום ומצבת'!B:J,3,0),""),"")</f>
        <v/>
      </c>
      <c r="D2973" s="693"/>
      <c r="E2973" s="697"/>
      <c r="F2973" s="695"/>
      <c r="G2973" s="696"/>
      <c r="K2973" s="22" t="str">
        <f t="shared" si="93"/>
        <v/>
      </c>
      <c r="M2973" s="534" t="str">
        <f t="shared" si="92"/>
        <v/>
      </c>
    </row>
    <row r="2974" spans="2:13" ht="15.75" x14ac:dyDescent="0.25">
      <c r="B2974" s="692"/>
      <c r="C2974" s="117" t="str">
        <f>IF(ISNUMBER(B2974),IFERROR(VLOOKUP(B2974,'נתוני רישום ומצבת'!B:J,3,0),""),"")</f>
        <v/>
      </c>
      <c r="D2974" s="693"/>
      <c r="E2974" s="697"/>
      <c r="F2974" s="695"/>
      <c r="G2974" s="696"/>
      <c r="K2974" s="22" t="str">
        <f t="shared" si="93"/>
        <v/>
      </c>
      <c r="M2974" s="534" t="str">
        <f t="shared" si="92"/>
        <v/>
      </c>
    </row>
    <row r="2975" spans="2:13" ht="15.75" x14ac:dyDescent="0.25">
      <c r="B2975" s="692"/>
      <c r="C2975" s="117" t="str">
        <f>IF(ISNUMBER(B2975),IFERROR(VLOOKUP(B2975,'נתוני רישום ומצבת'!B:J,3,0),""),"")</f>
        <v/>
      </c>
      <c r="D2975" s="693"/>
      <c r="E2975" s="697"/>
      <c r="F2975" s="695"/>
      <c r="G2975" s="696"/>
      <c r="K2975" s="22" t="str">
        <f t="shared" si="93"/>
        <v/>
      </c>
      <c r="M2975" s="534" t="str">
        <f t="shared" si="92"/>
        <v/>
      </c>
    </row>
    <row r="2976" spans="2:13" ht="15.75" x14ac:dyDescent="0.25">
      <c r="B2976" s="692"/>
      <c r="C2976" s="117" t="str">
        <f>IF(ISNUMBER(B2976),IFERROR(VLOOKUP(B2976,'נתוני רישום ומצבת'!B:J,3,0),""),"")</f>
        <v/>
      </c>
      <c r="D2976" s="693"/>
      <c r="E2976" s="697"/>
      <c r="F2976" s="695"/>
      <c r="G2976" s="696"/>
      <c r="K2976" s="22" t="str">
        <f t="shared" si="93"/>
        <v/>
      </c>
      <c r="M2976" s="534" t="str">
        <f t="shared" si="92"/>
        <v/>
      </c>
    </row>
    <row r="2977" spans="2:13" ht="15.75" x14ac:dyDescent="0.25">
      <c r="B2977" s="692"/>
      <c r="C2977" s="117" t="str">
        <f>IF(ISNUMBER(B2977),IFERROR(VLOOKUP(B2977,'נתוני רישום ומצבת'!B:J,3,0),""),"")</f>
        <v/>
      </c>
      <c r="D2977" s="693"/>
      <c r="E2977" s="697"/>
      <c r="F2977" s="695"/>
      <c r="G2977" s="696"/>
      <c r="K2977" s="22" t="str">
        <f t="shared" si="93"/>
        <v/>
      </c>
      <c r="M2977" s="534" t="str">
        <f t="shared" si="92"/>
        <v/>
      </c>
    </row>
    <row r="2978" spans="2:13" ht="15.75" x14ac:dyDescent="0.25">
      <c r="B2978" s="692"/>
      <c r="C2978" s="117" t="str">
        <f>IF(ISNUMBER(B2978),IFERROR(VLOOKUP(B2978,'נתוני רישום ומצבת'!B:J,3,0),""),"")</f>
        <v/>
      </c>
      <c r="D2978" s="693"/>
      <c r="E2978" s="697"/>
      <c r="F2978" s="695"/>
      <c r="G2978" s="696"/>
      <c r="K2978" s="22" t="str">
        <f t="shared" si="93"/>
        <v/>
      </c>
      <c r="M2978" s="534" t="str">
        <f t="shared" si="92"/>
        <v/>
      </c>
    </row>
    <row r="2979" spans="2:13" ht="15.75" x14ac:dyDescent="0.25">
      <c r="B2979" s="692"/>
      <c r="C2979" s="117" t="str">
        <f>IF(ISNUMBER(B2979),IFERROR(VLOOKUP(B2979,'נתוני רישום ומצבת'!B:J,3,0),""),"")</f>
        <v/>
      </c>
      <c r="D2979" s="693"/>
      <c r="E2979" s="697"/>
      <c r="F2979" s="695"/>
      <c r="G2979" s="696"/>
      <c r="K2979" s="22" t="str">
        <f t="shared" si="93"/>
        <v/>
      </c>
      <c r="M2979" s="534" t="str">
        <f t="shared" si="92"/>
        <v/>
      </c>
    </row>
    <row r="2980" spans="2:13" ht="15.75" x14ac:dyDescent="0.25">
      <c r="B2980" s="692"/>
      <c r="C2980" s="117" t="str">
        <f>IF(ISNUMBER(B2980),IFERROR(VLOOKUP(B2980,'נתוני רישום ומצבת'!B:J,3,0),""),"")</f>
        <v/>
      </c>
      <c r="D2980" s="693"/>
      <c r="E2980" s="697"/>
      <c r="F2980" s="695"/>
      <c r="G2980" s="696"/>
      <c r="K2980" s="22" t="str">
        <f t="shared" si="93"/>
        <v/>
      </c>
      <c r="M2980" s="534" t="str">
        <f t="shared" si="92"/>
        <v/>
      </c>
    </row>
    <row r="2981" spans="2:13" ht="15.75" x14ac:dyDescent="0.25">
      <c r="B2981" s="692"/>
      <c r="C2981" s="117" t="str">
        <f>IF(ISNUMBER(B2981),IFERROR(VLOOKUP(B2981,'נתוני רישום ומצבת'!B:J,3,0),""),"")</f>
        <v/>
      </c>
      <c r="D2981" s="693"/>
      <c r="E2981" s="697"/>
      <c r="F2981" s="695"/>
      <c r="G2981" s="696"/>
      <c r="K2981" s="22" t="str">
        <f t="shared" si="93"/>
        <v/>
      </c>
      <c r="M2981" s="534" t="str">
        <f t="shared" si="92"/>
        <v/>
      </c>
    </row>
    <row r="2982" spans="2:13" ht="15.75" x14ac:dyDescent="0.25">
      <c r="B2982" s="692"/>
      <c r="C2982" s="117" t="str">
        <f>IF(ISNUMBER(B2982),IFERROR(VLOOKUP(B2982,'נתוני רישום ומצבת'!B:J,3,0),""),"")</f>
        <v/>
      </c>
      <c r="D2982" s="693"/>
      <c r="E2982" s="697"/>
      <c r="F2982" s="695"/>
      <c r="G2982" s="696"/>
      <c r="K2982" s="22" t="str">
        <f t="shared" si="93"/>
        <v/>
      </c>
      <c r="M2982" s="534" t="str">
        <f t="shared" si="92"/>
        <v/>
      </c>
    </row>
    <row r="2983" spans="2:13" ht="15.75" x14ac:dyDescent="0.25">
      <c r="B2983" s="692"/>
      <c r="C2983" s="117" t="str">
        <f>IF(ISNUMBER(B2983),IFERROR(VLOOKUP(B2983,'נתוני רישום ומצבת'!B:J,3,0),""),"")</f>
        <v/>
      </c>
      <c r="D2983" s="693"/>
      <c r="E2983" s="697"/>
      <c r="F2983" s="695"/>
      <c r="G2983" s="696"/>
      <c r="K2983" s="22" t="str">
        <f t="shared" si="93"/>
        <v/>
      </c>
      <c r="M2983" s="534" t="str">
        <f t="shared" si="92"/>
        <v/>
      </c>
    </row>
    <row r="2984" spans="2:13" ht="15.75" x14ac:dyDescent="0.25">
      <c r="B2984" s="692"/>
      <c r="C2984" s="117" t="str">
        <f>IF(ISNUMBER(B2984),IFERROR(VLOOKUP(B2984,'נתוני רישום ומצבת'!B:J,3,0),""),"")</f>
        <v/>
      </c>
      <c r="D2984" s="693"/>
      <c r="E2984" s="697"/>
      <c r="F2984" s="695"/>
      <c r="G2984" s="696"/>
      <c r="K2984" s="22" t="str">
        <f t="shared" si="93"/>
        <v/>
      </c>
      <c r="M2984" s="534" t="str">
        <f t="shared" si="92"/>
        <v/>
      </c>
    </row>
    <row r="2985" spans="2:13" ht="15.75" x14ac:dyDescent="0.25">
      <c r="B2985" s="692"/>
      <c r="C2985" s="117" t="str">
        <f>IF(ISNUMBER(B2985),IFERROR(VLOOKUP(B2985,'נתוני רישום ומצבת'!B:J,3,0),""),"")</f>
        <v/>
      </c>
      <c r="D2985" s="693"/>
      <c r="E2985" s="697"/>
      <c r="F2985" s="695"/>
      <c r="G2985" s="696"/>
      <c r="K2985" s="22" t="str">
        <f t="shared" si="93"/>
        <v/>
      </c>
      <c r="M2985" s="534" t="str">
        <f t="shared" si="92"/>
        <v/>
      </c>
    </row>
    <row r="2986" spans="2:13" ht="15.75" x14ac:dyDescent="0.25">
      <c r="B2986" s="692"/>
      <c r="C2986" s="117" t="str">
        <f>IF(ISNUMBER(B2986),IFERROR(VLOOKUP(B2986,'נתוני רישום ומצבת'!B:J,3,0),""),"")</f>
        <v/>
      </c>
      <c r="D2986" s="693"/>
      <c r="E2986" s="697"/>
      <c r="F2986" s="695"/>
      <c r="G2986" s="696"/>
      <c r="K2986" s="22" t="str">
        <f t="shared" si="93"/>
        <v/>
      </c>
      <c r="M2986" s="534" t="str">
        <f t="shared" si="92"/>
        <v/>
      </c>
    </row>
    <row r="2987" spans="2:13" ht="15.75" x14ac:dyDescent="0.25">
      <c r="B2987" s="692"/>
      <c r="C2987" s="117" t="str">
        <f>IF(ISNUMBER(B2987),IFERROR(VLOOKUP(B2987,'נתוני רישום ומצבת'!B:J,3,0),""),"")</f>
        <v/>
      </c>
      <c r="D2987" s="693"/>
      <c r="E2987" s="697"/>
      <c r="F2987" s="695"/>
      <c r="G2987" s="696"/>
      <c r="K2987" s="22" t="str">
        <f t="shared" si="93"/>
        <v/>
      </c>
      <c r="M2987" s="534" t="str">
        <f t="shared" si="92"/>
        <v/>
      </c>
    </row>
    <row r="2988" spans="2:13" ht="15.75" x14ac:dyDescent="0.25">
      <c r="B2988" s="692"/>
      <c r="C2988" s="117" t="str">
        <f>IF(ISNUMBER(B2988),IFERROR(VLOOKUP(B2988,'נתוני רישום ומצבת'!B:J,3,0),""),"")</f>
        <v/>
      </c>
      <c r="D2988" s="693"/>
      <c r="E2988" s="697"/>
      <c r="F2988" s="695"/>
      <c r="G2988" s="696"/>
      <c r="K2988" s="22" t="str">
        <f t="shared" si="93"/>
        <v/>
      </c>
      <c r="M2988" s="534" t="str">
        <f t="shared" si="92"/>
        <v/>
      </c>
    </row>
    <row r="2989" spans="2:13" ht="15.75" x14ac:dyDescent="0.25">
      <c r="B2989" s="692"/>
      <c r="C2989" s="117" t="str">
        <f>IF(ISNUMBER(B2989),IFERROR(VLOOKUP(B2989,'נתוני רישום ומצבת'!B:J,3,0),""),"")</f>
        <v/>
      </c>
      <c r="D2989" s="693"/>
      <c r="E2989" s="697"/>
      <c r="F2989" s="695"/>
      <c r="G2989" s="696"/>
      <c r="K2989" s="22" t="str">
        <f t="shared" si="93"/>
        <v/>
      </c>
      <c r="M2989" s="534" t="str">
        <f t="shared" si="92"/>
        <v/>
      </c>
    </row>
    <row r="2990" spans="2:13" ht="15.75" x14ac:dyDescent="0.25">
      <c r="B2990" s="692"/>
      <c r="C2990" s="117" t="str">
        <f>IF(ISNUMBER(B2990),IFERROR(VLOOKUP(B2990,'נתוני רישום ומצבת'!B:J,3,0),""),"")</f>
        <v/>
      </c>
      <c r="D2990" s="693"/>
      <c r="E2990" s="697"/>
      <c r="F2990" s="695"/>
      <c r="G2990" s="696"/>
      <c r="K2990" s="22" t="str">
        <f t="shared" si="93"/>
        <v/>
      </c>
      <c r="M2990" s="534" t="str">
        <f t="shared" si="92"/>
        <v/>
      </c>
    </row>
    <row r="2991" spans="2:13" ht="15.75" x14ac:dyDescent="0.25">
      <c r="B2991" s="692"/>
      <c r="C2991" s="117" t="str">
        <f>IF(ISNUMBER(B2991),IFERROR(VLOOKUP(B2991,'נתוני רישום ומצבת'!B:J,3,0),""),"")</f>
        <v/>
      </c>
      <c r="D2991" s="693"/>
      <c r="E2991" s="697"/>
      <c r="F2991" s="695"/>
      <c r="G2991" s="696"/>
      <c r="K2991" s="22" t="str">
        <f t="shared" si="93"/>
        <v/>
      </c>
      <c r="M2991" s="534" t="str">
        <f t="shared" si="92"/>
        <v/>
      </c>
    </row>
    <row r="2992" spans="2:13" ht="15.75" x14ac:dyDescent="0.25">
      <c r="B2992" s="692"/>
      <c r="C2992" s="117" t="str">
        <f>IF(ISNUMBER(B2992),IFERROR(VLOOKUP(B2992,'נתוני רישום ומצבת'!B:J,3,0),""),"")</f>
        <v/>
      </c>
      <c r="D2992" s="693"/>
      <c r="E2992" s="697"/>
      <c r="F2992" s="695"/>
      <c r="G2992" s="696"/>
      <c r="K2992" s="22" t="str">
        <f t="shared" si="93"/>
        <v/>
      </c>
      <c r="M2992" s="534" t="str">
        <f t="shared" si="92"/>
        <v/>
      </c>
    </row>
    <row r="2993" spans="2:13" ht="15.75" x14ac:dyDescent="0.25">
      <c r="B2993" s="692"/>
      <c r="C2993" s="117" t="str">
        <f>IF(ISNUMBER(B2993),IFERROR(VLOOKUP(B2993,'נתוני רישום ומצבת'!B:J,3,0),""),"")</f>
        <v/>
      </c>
      <c r="D2993" s="693"/>
      <c r="E2993" s="697"/>
      <c r="F2993" s="695"/>
      <c r="G2993" s="696"/>
      <c r="K2993" s="22" t="str">
        <f t="shared" si="93"/>
        <v/>
      </c>
      <c r="M2993" s="534" t="str">
        <f t="shared" si="92"/>
        <v/>
      </c>
    </row>
    <row r="2994" spans="2:13" ht="15.75" x14ac:dyDescent="0.25">
      <c r="B2994" s="692"/>
      <c r="C2994" s="117" t="str">
        <f>IF(ISNUMBER(B2994),IFERROR(VLOOKUP(B2994,'נתוני רישום ומצבת'!B:J,3,0),""),"")</f>
        <v/>
      </c>
      <c r="D2994" s="693"/>
      <c r="E2994" s="697"/>
      <c r="F2994" s="695"/>
      <c r="G2994" s="696"/>
      <c r="K2994" s="22" t="str">
        <f t="shared" si="93"/>
        <v/>
      </c>
      <c r="M2994" s="534" t="str">
        <f t="shared" si="92"/>
        <v/>
      </c>
    </row>
    <row r="2995" spans="2:13" ht="15.75" x14ac:dyDescent="0.25">
      <c r="B2995" s="692"/>
      <c r="C2995" s="117" t="str">
        <f>IF(ISNUMBER(B2995),IFERROR(VLOOKUP(B2995,'נתוני רישום ומצבת'!B:J,3,0),""),"")</f>
        <v/>
      </c>
      <c r="D2995" s="693"/>
      <c r="E2995" s="697"/>
      <c r="F2995" s="695"/>
      <c r="G2995" s="696"/>
      <c r="K2995" s="22" t="str">
        <f t="shared" si="93"/>
        <v/>
      </c>
      <c r="M2995" s="534" t="str">
        <f t="shared" si="92"/>
        <v/>
      </c>
    </row>
    <row r="2996" spans="2:13" ht="15.75" x14ac:dyDescent="0.25">
      <c r="B2996" s="692"/>
      <c r="C2996" s="117" t="str">
        <f>IF(ISNUMBER(B2996),IFERROR(VLOOKUP(B2996,'נתוני רישום ומצבת'!B:J,3,0),""),"")</f>
        <v/>
      </c>
      <c r="D2996" s="693"/>
      <c r="E2996" s="697"/>
      <c r="F2996" s="695"/>
      <c r="G2996" s="696"/>
      <c r="K2996" s="22" t="str">
        <f t="shared" si="93"/>
        <v/>
      </c>
      <c r="M2996" s="534" t="str">
        <f t="shared" si="92"/>
        <v/>
      </c>
    </row>
    <row r="2997" spans="2:13" ht="15.75" x14ac:dyDescent="0.25">
      <c r="B2997" s="692"/>
      <c r="C2997" s="117" t="str">
        <f>IF(ISNUMBER(B2997),IFERROR(VLOOKUP(B2997,'נתוני רישום ומצבת'!B:J,3,0),""),"")</f>
        <v/>
      </c>
      <c r="D2997" s="693"/>
      <c r="E2997" s="697"/>
      <c r="F2997" s="695"/>
      <c r="G2997" s="696"/>
      <c r="K2997" s="22" t="str">
        <f t="shared" si="93"/>
        <v/>
      </c>
      <c r="M2997" s="534" t="str">
        <f t="shared" si="92"/>
        <v/>
      </c>
    </row>
    <row r="2998" spans="2:13" ht="15.75" x14ac:dyDescent="0.25">
      <c r="B2998" s="692"/>
      <c r="C2998" s="117" t="str">
        <f>IF(ISNUMBER(B2998),IFERROR(VLOOKUP(B2998,'נתוני רישום ומצבת'!B:J,3,0),""),"")</f>
        <v/>
      </c>
      <c r="D2998" s="693"/>
      <c r="E2998" s="697"/>
      <c r="F2998" s="695"/>
      <c r="G2998" s="696"/>
      <c r="K2998" s="22" t="str">
        <f t="shared" si="93"/>
        <v/>
      </c>
      <c r="M2998" s="534" t="str">
        <f t="shared" si="92"/>
        <v/>
      </c>
    </row>
    <row r="2999" spans="2:13" ht="15.75" x14ac:dyDescent="0.25">
      <c r="B2999" s="692"/>
      <c r="C2999" s="117" t="str">
        <f>IF(ISNUMBER(B2999),IFERROR(VLOOKUP(B2999,'נתוני רישום ומצבת'!B:J,3,0),""),"")</f>
        <v/>
      </c>
      <c r="D2999" s="693"/>
      <c r="E2999" s="697"/>
      <c r="F2999" s="695"/>
      <c r="G2999" s="696"/>
      <c r="K2999" s="22" t="str">
        <f t="shared" si="93"/>
        <v/>
      </c>
      <c r="M2999" s="534" t="str">
        <f t="shared" si="92"/>
        <v/>
      </c>
    </row>
    <row r="3000" spans="2:13" ht="15.75" x14ac:dyDescent="0.25">
      <c r="B3000" s="692"/>
      <c r="C3000" s="117" t="str">
        <f>IF(ISNUMBER(B3000),IFERROR(VLOOKUP(B3000,'נתוני רישום ומצבת'!B:J,3,0),""),"")</f>
        <v/>
      </c>
      <c r="D3000" s="693"/>
      <c r="E3000" s="697"/>
      <c r="F3000" s="695"/>
      <c r="G3000" s="696"/>
      <c r="K3000" s="22" t="str">
        <f t="shared" si="93"/>
        <v/>
      </c>
      <c r="M3000" s="534" t="str">
        <f t="shared" si="92"/>
        <v/>
      </c>
    </row>
    <row r="3001" spans="2:13" ht="15.75" x14ac:dyDescent="0.25">
      <c r="B3001" s="692"/>
      <c r="C3001" s="117" t="str">
        <f>IF(ISNUMBER(B3001),IFERROR(VLOOKUP(B3001,'נתוני רישום ומצבת'!B:J,3,0),""),"")</f>
        <v/>
      </c>
      <c r="D3001" s="693"/>
      <c r="E3001" s="697"/>
      <c r="F3001" s="695"/>
      <c r="G3001" s="696"/>
      <c r="K3001" s="22" t="str">
        <f t="shared" si="93"/>
        <v/>
      </c>
      <c r="M3001" s="534" t="str">
        <f t="shared" si="92"/>
        <v/>
      </c>
    </row>
    <row r="3002" spans="2:13" ht="15.75" x14ac:dyDescent="0.25">
      <c r="B3002" s="692"/>
      <c r="C3002" s="117" t="str">
        <f>IF(ISNUMBER(B3002),IFERROR(VLOOKUP(B3002,'נתוני רישום ומצבת'!B:J,3,0),""),"")</f>
        <v/>
      </c>
      <c r="D3002" s="693"/>
      <c r="E3002" s="697"/>
      <c r="F3002" s="695"/>
      <c r="G3002" s="696"/>
      <c r="K3002" s="22" t="str">
        <f t="shared" si="93"/>
        <v/>
      </c>
      <c r="M3002" s="534" t="str">
        <f t="shared" si="92"/>
        <v/>
      </c>
    </row>
    <row r="3003" spans="2:13" ht="15.75" x14ac:dyDescent="0.25">
      <c r="B3003" s="692"/>
      <c r="C3003" s="117" t="str">
        <f>IF(ISNUMBER(B3003),IFERROR(VLOOKUP(B3003,'נתוני רישום ומצבת'!B:J,3,0),""),"")</f>
        <v/>
      </c>
      <c r="D3003" s="693"/>
      <c r="E3003" s="697"/>
      <c r="F3003" s="695"/>
      <c r="G3003" s="696"/>
      <c r="K3003" s="22" t="str">
        <f t="shared" si="93"/>
        <v/>
      </c>
      <c r="M3003" s="534" t="str">
        <f t="shared" si="92"/>
        <v/>
      </c>
    </row>
    <row r="3004" spans="2:13" ht="15.75" x14ac:dyDescent="0.25">
      <c r="B3004" s="692"/>
      <c r="C3004" s="117" t="str">
        <f>IF(ISNUMBER(B3004),IFERROR(VLOOKUP(B3004,'נתוני רישום ומצבת'!B:J,3,0),""),"")</f>
        <v/>
      </c>
      <c r="D3004" s="693"/>
      <c r="E3004" s="697"/>
      <c r="F3004" s="695"/>
      <c r="G3004" s="696"/>
      <c r="K3004" s="22" t="str">
        <f t="shared" si="93"/>
        <v/>
      </c>
      <c r="M3004" s="534" t="str">
        <f t="shared" si="92"/>
        <v/>
      </c>
    </row>
    <row r="3005" spans="2:13" ht="15.75" x14ac:dyDescent="0.25">
      <c r="B3005" s="692"/>
      <c r="C3005" s="117" t="str">
        <f>IF(ISNUMBER(B3005),IFERROR(VLOOKUP(B3005,'נתוני רישום ומצבת'!B:J,3,0),""),"")</f>
        <v/>
      </c>
      <c r="D3005" s="693"/>
      <c r="E3005" s="697"/>
      <c r="F3005" s="695"/>
      <c r="G3005" s="696"/>
      <c r="K3005" s="22" t="str">
        <f t="shared" si="93"/>
        <v/>
      </c>
      <c r="M3005" s="534" t="str">
        <f t="shared" si="92"/>
        <v/>
      </c>
    </row>
    <row r="3006" spans="2:13" ht="15.75" x14ac:dyDescent="0.25">
      <c r="B3006" s="692"/>
      <c r="C3006" s="117" t="str">
        <f>IF(ISNUMBER(B3006),IFERROR(VLOOKUP(B3006,'נתוני רישום ומצבת'!B:J,3,0),""),"")</f>
        <v/>
      </c>
      <c r="D3006" s="693"/>
      <c r="E3006" s="697"/>
      <c r="F3006" s="695"/>
      <c r="G3006" s="696"/>
      <c r="K3006" s="22" t="str">
        <f t="shared" si="93"/>
        <v/>
      </c>
      <c r="M3006" s="534" t="str">
        <f t="shared" si="92"/>
        <v/>
      </c>
    </row>
    <row r="3007" spans="2:13" ht="15.75" x14ac:dyDescent="0.25">
      <c r="B3007" s="692"/>
      <c r="C3007" s="117" t="str">
        <f>IF(ISNUMBER(B3007),IFERROR(VLOOKUP(B3007,'נתוני רישום ומצבת'!B:J,3,0),""),"")</f>
        <v/>
      </c>
      <c r="D3007" s="693"/>
      <c r="E3007" s="697"/>
      <c r="F3007" s="695"/>
      <c r="G3007" s="696"/>
      <c r="K3007" s="22" t="str">
        <f t="shared" si="93"/>
        <v/>
      </c>
      <c r="M3007" s="534" t="str">
        <f t="shared" si="92"/>
        <v/>
      </c>
    </row>
    <row r="3008" spans="2:13" ht="15.75" x14ac:dyDescent="0.25">
      <c r="B3008" s="692"/>
      <c r="C3008" s="117" t="str">
        <f>IF(ISNUMBER(B3008),IFERROR(VLOOKUP(B3008,'נתוני רישום ומצבת'!B:J,3,0),""),"")</f>
        <v/>
      </c>
      <c r="D3008" s="693"/>
      <c r="E3008" s="697"/>
      <c r="F3008" s="695"/>
      <c r="G3008" s="696"/>
      <c r="K3008" s="22" t="str">
        <f t="shared" si="93"/>
        <v/>
      </c>
      <c r="M3008" s="534" t="str">
        <f t="shared" si="92"/>
        <v/>
      </c>
    </row>
    <row r="3009" spans="2:13" ht="15.75" x14ac:dyDescent="0.25">
      <c r="B3009" s="692"/>
      <c r="C3009" s="117" t="str">
        <f>IF(ISNUMBER(B3009),IFERROR(VLOOKUP(B3009,'נתוני רישום ומצבת'!B:J,3,0),""),"")</f>
        <v/>
      </c>
      <c r="D3009" s="693"/>
      <c r="E3009" s="697"/>
      <c r="F3009" s="695"/>
      <c r="G3009" s="696"/>
      <c r="K3009" s="22" t="str">
        <f t="shared" si="93"/>
        <v/>
      </c>
      <c r="M3009" s="534" t="str">
        <f t="shared" si="92"/>
        <v/>
      </c>
    </row>
    <row r="3010" spans="2:13" ht="15.75" x14ac:dyDescent="0.25">
      <c r="B3010" s="692"/>
      <c r="C3010" s="117" t="str">
        <f>IF(ISNUMBER(B3010),IFERROR(VLOOKUP(B3010,'נתוני רישום ומצבת'!B:J,3,0),""),"")</f>
        <v/>
      </c>
      <c r="D3010" s="693"/>
      <c r="E3010" s="697"/>
      <c r="F3010" s="695"/>
      <c r="G3010" s="696"/>
      <c r="K3010" s="22" t="str">
        <f t="shared" si="93"/>
        <v/>
      </c>
      <c r="M3010" s="534" t="str">
        <f t="shared" si="92"/>
        <v/>
      </c>
    </row>
    <row r="3011" spans="2:13" ht="15.75" x14ac:dyDescent="0.25">
      <c r="B3011" s="692"/>
      <c r="C3011" s="117" t="str">
        <f>IF(ISNUMBER(B3011),IFERROR(VLOOKUP(B3011,'נתוני רישום ומצבת'!B:J,3,0),""),"")</f>
        <v/>
      </c>
      <c r="D3011" s="693"/>
      <c r="E3011" s="697"/>
      <c r="F3011" s="695"/>
      <c r="G3011" s="696"/>
      <c r="K3011" s="22" t="str">
        <f t="shared" si="93"/>
        <v/>
      </c>
      <c r="M3011" s="534" t="str">
        <f t="shared" si="92"/>
        <v/>
      </c>
    </row>
    <row r="3012" spans="2:13" ht="15.75" x14ac:dyDescent="0.25">
      <c r="B3012" s="692"/>
      <c r="C3012" s="117" t="str">
        <f>IF(ISNUMBER(B3012),IFERROR(VLOOKUP(B3012,'נתוני רישום ומצבת'!B:J,3,0),""),"")</f>
        <v/>
      </c>
      <c r="D3012" s="693"/>
      <c r="E3012" s="697"/>
      <c r="F3012" s="695"/>
      <c r="G3012" s="696"/>
      <c r="K3012" s="22" t="str">
        <f t="shared" si="93"/>
        <v/>
      </c>
      <c r="M3012" s="534" t="str">
        <f t="shared" si="92"/>
        <v/>
      </c>
    </row>
    <row r="3013" spans="2:13" ht="15.75" x14ac:dyDescent="0.25">
      <c r="B3013" s="692"/>
      <c r="C3013" s="117" t="str">
        <f>IF(ISNUMBER(B3013),IFERROR(VLOOKUP(B3013,'נתוני רישום ומצבת'!B:J,3,0),""),"")</f>
        <v/>
      </c>
      <c r="D3013" s="693"/>
      <c r="E3013" s="697"/>
      <c r="F3013" s="695"/>
      <c r="G3013" s="696"/>
      <c r="K3013" s="22" t="str">
        <f t="shared" si="93"/>
        <v/>
      </c>
      <c r="M3013" s="534" t="str">
        <f t="shared" si="92"/>
        <v/>
      </c>
    </row>
    <row r="3014" spans="2:13" ht="15.75" x14ac:dyDescent="0.25">
      <c r="B3014" s="692"/>
      <c r="C3014" s="117" t="str">
        <f>IF(ISNUMBER(B3014),IFERROR(VLOOKUP(B3014,'נתוני רישום ומצבת'!B:J,3,0),""),"")</f>
        <v/>
      </c>
      <c r="D3014" s="693"/>
      <c r="E3014" s="697"/>
      <c r="F3014" s="695"/>
      <c r="G3014" s="696"/>
      <c r="K3014" s="22" t="str">
        <f t="shared" si="93"/>
        <v/>
      </c>
      <c r="M3014" s="534" t="str">
        <f t="shared" si="92"/>
        <v/>
      </c>
    </row>
    <row r="3015" spans="2:13" ht="15.75" x14ac:dyDescent="0.25">
      <c r="B3015" s="692"/>
      <c r="C3015" s="117" t="str">
        <f>IF(ISNUMBER(B3015),IFERROR(VLOOKUP(B3015,'נתוני רישום ומצבת'!B:J,3,0),""),"")</f>
        <v/>
      </c>
      <c r="D3015" s="693"/>
      <c r="E3015" s="697"/>
      <c r="F3015" s="695"/>
      <c r="G3015" s="696"/>
      <c r="K3015" s="22" t="str">
        <f t="shared" si="93"/>
        <v/>
      </c>
      <c r="M3015" s="534" t="str">
        <f t="shared" si="92"/>
        <v/>
      </c>
    </row>
    <row r="3016" spans="2:13" ht="15.75" x14ac:dyDescent="0.25">
      <c r="B3016" s="692"/>
      <c r="C3016" s="117" t="str">
        <f>IF(ISNUMBER(B3016),IFERROR(VLOOKUP(B3016,'נתוני רישום ומצבת'!B:J,3,0),""),"")</f>
        <v/>
      </c>
      <c r="D3016" s="693"/>
      <c r="E3016" s="697"/>
      <c r="F3016" s="695"/>
      <c r="G3016" s="696"/>
      <c r="K3016" s="22" t="str">
        <f t="shared" si="93"/>
        <v/>
      </c>
      <c r="M3016" s="534" t="str">
        <f t="shared" si="92"/>
        <v/>
      </c>
    </row>
    <row r="3017" spans="2:13" x14ac:dyDescent="0.25">
      <c r="B3017" s="234"/>
    </row>
    <row r="3018" spans="2:13" x14ac:dyDescent="0.25">
      <c r="B3018" s="234"/>
    </row>
  </sheetData>
  <sheetProtection algorithmName="SHA-512" hashValue="wsVP1w9POd/At+x6heoUMjs1knPWRc9psF1Ly+sXY5v0/cwurChmxhPg7lbbWjUGecl2LBqXEMDZUqTNwM08zg==" saltValue="gOOdeMXVS/qBsfNZ/0swcg==" spinCount="100000" sheet="1" objects="1" scenarios="1"/>
  <customSheetViews>
    <customSheetView guid="{BA0A6883-E808-4711-BE2E-E9E96FA9E885}">
      <selection activeCell="B6" sqref="B6"/>
      <pageMargins left="0.7" right="0.7" top="0.75" bottom="0.75" header="0.3" footer="0.3"/>
    </customSheetView>
    <customSheetView guid="{ACD441E8-3AD2-4F62-A341-3CB1D0C27992}">
      <selection activeCell="A504" sqref="A504:XFD504"/>
      <pageMargins left="0.7" right="0.7" top="0.75" bottom="0.75" header="0.3" footer="0.3"/>
    </customSheetView>
    <customSheetView guid="{4C449889-8AC9-4BD3-9CEA-74B4C2A98249}">
      <selection activeCell="E503" sqref="E503"/>
      <pageMargins left="0.7" right="0.7" top="0.75" bottom="0.75" header="0.3" footer="0.3"/>
    </customSheetView>
  </customSheetViews>
  <conditionalFormatting sqref="C12 D13 C15:C1048576 C1:C7">
    <cfRule type="cellIs" dxfId="161" priority="3" operator="equal">
      <formula>"המוסד לא דווח בגיליון מצבת והרשמה"</formula>
    </cfRule>
    <cfRule type="cellIs" dxfId="160" priority="4" operator="equal">
      <formula>"המוסד לא קיים"</formula>
    </cfRule>
  </conditionalFormatting>
  <dataValidations count="3">
    <dataValidation allowBlank="1" showInputMessage="1" showErrorMessage="1" promptTitle="ניהול ותפעול" prompt="אין צורך להציג את מספרי הסעיפים התקציביים בהם נרשמו ההוצאות" sqref="G8" xr:uid="{00000000-0002-0000-0700-000001000000}"/>
    <dataValidation type="list" allowBlank="1" showInputMessage="1" showErrorMessage="1" prompt="יש למלא סמל מקום פעילות כפי המופיע בגיליון מצבת והרשמה" sqref="B17:B3016" xr:uid="{A82B66D2-EB3C-4C4A-B699-0194B16F937A}">
      <formula1>פעילות</formula1>
    </dataValidation>
    <dataValidation allowBlank="1" showInputMessage="1" showErrorMessage="1" error="יש לבחור את סוג ההוצאה מתוך הרשימה הנפתחת!" sqref="D8:E8" xr:uid="{00000000-0002-0000-0700-000000000000}"/>
  </dataValidations>
  <hyperlinks>
    <hyperlink ref="A1" location="'תוכן העניינים'!A1" tooltip="הנחיות למילוי גיליון" display="תוכן העניינים" xr:uid="{E26C5350-346B-48FC-9F43-B069ACB45913}"/>
  </hyperlinks>
  <pageMargins left="0.7" right="0.7" top="0.75" bottom="0.75" header="0.3" footer="0.3"/>
  <pageSetup paperSize="9" scale="5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error="יש לבחור את סוג ההוצאה מתוך הרשימה הנפתחת!" xr:uid="{00000000-0002-0000-0700-000005000000}">
          <x14:formula1>
            <xm:f>'סיווג התפקידים והעלויות'!$C$16:$C$19</xm:f>
          </x14:formula1>
          <xm:sqref>D17:D3016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4">
    <tabColor rgb="FF00FFFF"/>
    <pageSetUpPr fitToPage="1"/>
  </sheetPr>
  <dimension ref="A1:M519"/>
  <sheetViews>
    <sheetView showGridLines="0" rightToLeft="1" workbookViewId="0">
      <selection activeCell="B11" sqref="B11"/>
    </sheetView>
  </sheetViews>
  <sheetFormatPr defaultColWidth="9.125" defaultRowHeight="15" x14ac:dyDescent="0.25"/>
  <cols>
    <col min="1" max="1" width="10.625" style="21" customWidth="1"/>
    <col min="2" max="2" width="25.375" style="21" customWidth="1"/>
    <col min="3" max="3" width="18.125" style="842" customWidth="1"/>
    <col min="4" max="4" width="18.625" style="21" customWidth="1"/>
    <col min="5" max="5" width="14.5" style="21" customWidth="1"/>
    <col min="6" max="6" width="19.125" style="21" customWidth="1"/>
    <col min="7" max="7" width="17.375" style="21" customWidth="1"/>
    <col min="8" max="8" width="15.125" style="21" customWidth="1"/>
    <col min="9" max="9" width="15" style="21" bestFit="1" customWidth="1"/>
    <col min="10" max="10" width="9.125" style="21"/>
    <col min="11" max="11" width="16.75" style="201" customWidth="1"/>
    <col min="12" max="12" width="11.375" style="201" customWidth="1"/>
    <col min="13" max="13" width="34.375" style="21" customWidth="1"/>
    <col min="14" max="16384" width="9.125" style="21"/>
  </cols>
  <sheetData>
    <row r="1" spans="1:13" ht="21" thickBot="1" x14ac:dyDescent="0.35">
      <c r="A1" s="802" t="s">
        <v>2851</v>
      </c>
      <c r="D1" s="512" t="str">
        <f>'גנים ובתי ספר- מבנה תקציב'!$E$1</f>
        <v>תכנית בתי הספר והגנים של החופש הגדול, קיץ תשפ"ו</v>
      </c>
      <c r="E1" s="181"/>
      <c r="F1" s="182"/>
      <c r="G1" s="182"/>
      <c r="H1" s="184"/>
      <c r="I1" s="184"/>
      <c r="J1" s="184"/>
      <c r="K1" s="200"/>
      <c r="L1" s="200"/>
      <c r="M1" s="182"/>
    </row>
    <row r="2" spans="1:13" ht="15.75" thickBot="1" x14ac:dyDescent="0.3"/>
    <row r="3" spans="1:13" ht="19.5" thickBot="1" x14ac:dyDescent="0.35">
      <c r="B3" s="202" t="s">
        <v>16</v>
      </c>
      <c r="C3" s="843">
        <f>'נתונים כלליים (1)'!$C$5</f>
        <v>0</v>
      </c>
      <c r="D3" s="17"/>
      <c r="E3" s="203"/>
      <c r="H3" s="17"/>
      <c r="I3" s="743" t="str">
        <f>IF(I4=""," ","שגיאות בגיליון:")</f>
        <v xml:space="preserve"> </v>
      </c>
      <c r="K3" s="17"/>
      <c r="L3" s="17"/>
    </row>
    <row r="4" spans="1:13" ht="19.5" customHeight="1" thickBot="1" x14ac:dyDescent="0.35">
      <c r="B4" s="204" t="s">
        <v>7</v>
      </c>
      <c r="C4" s="843" t="str">
        <f>'נתונים כלליים (1)'!C6</f>
        <v/>
      </c>
      <c r="E4" s="205" t="s">
        <v>2801</v>
      </c>
      <c r="F4" s="226"/>
      <c r="G4" s="206"/>
      <c r="H4" s="17"/>
      <c r="I4" s="743" t="str">
        <f>IF(C12&lt;B12,CONCATENATE("שימו לב, ישנם ",B12-C12," מוסדות אשר דווחו בדוח ביצוע ולא דווח עליהם הוצאות"),IF(B12&lt;C12,CONCATENATE("שימו לב, ישנם ",C12-B12," מוסדות אשר דווח עליהם הוצאות אולם לא דווחו בדוח ביצוע"),""))</f>
        <v/>
      </c>
      <c r="M4" s="17"/>
    </row>
    <row r="5" spans="1:13" ht="19.5" thickBot="1" x14ac:dyDescent="0.35">
      <c r="B5" s="204" t="s">
        <v>43</v>
      </c>
      <c r="C5" s="844">
        <f>'נתונים כלליים (1)'!$C$7</f>
        <v>0</v>
      </c>
      <c r="E5" s="207" t="s">
        <v>2816</v>
      </c>
      <c r="F5" s="227"/>
      <c r="G5" s="208"/>
      <c r="H5" s="17"/>
      <c r="M5" s="17"/>
    </row>
    <row r="6" spans="1:13" ht="18.75" x14ac:dyDescent="0.3">
      <c r="B6" s="187"/>
      <c r="C6" s="845"/>
      <c r="D6" s="209"/>
      <c r="E6" s="209"/>
      <c r="G6" s="17"/>
      <c r="H6" s="17"/>
      <c r="K6" s="210"/>
      <c r="L6" s="210"/>
      <c r="M6" s="17"/>
    </row>
    <row r="7" spans="1:13" ht="18.75" x14ac:dyDescent="0.3">
      <c r="B7" s="187"/>
      <c r="C7" s="845"/>
      <c r="D7" s="209"/>
      <c r="E7" s="209"/>
      <c r="G7" s="17"/>
      <c r="K7" s="210"/>
      <c r="L7" s="210"/>
      <c r="M7" s="17"/>
    </row>
    <row r="8" spans="1:13" s="190" customFormat="1" ht="23.25" x14ac:dyDescent="0.35">
      <c r="C8" s="846"/>
      <c r="E8" s="512" t="s">
        <v>41</v>
      </c>
      <c r="F8" s="211"/>
      <c r="G8" s="211"/>
      <c r="K8" s="201"/>
      <c r="L8" s="201"/>
    </row>
    <row r="9" spans="1:13" s="190" customFormat="1" ht="23.25" x14ac:dyDescent="0.35">
      <c r="C9" s="846"/>
      <c r="E9" s="512"/>
      <c r="F9" s="211"/>
      <c r="G9" s="211"/>
      <c r="K9" s="201"/>
      <c r="L9" s="201"/>
    </row>
    <row r="10" spans="1:13" s="190" customFormat="1" ht="18.75" x14ac:dyDescent="0.3">
      <c r="B10" s="229" t="s">
        <v>8</v>
      </c>
      <c r="C10" s="156"/>
      <c r="D10" s="166"/>
      <c r="E10" s="31"/>
      <c r="F10" s="22"/>
      <c r="G10" s="39"/>
      <c r="H10" s="22"/>
      <c r="I10" s="22"/>
      <c r="K10" s="201"/>
      <c r="L10" s="201"/>
    </row>
    <row r="11" spans="1:13" s="190" customFormat="1" ht="31.5" x14ac:dyDescent="0.25">
      <c r="B11" s="901" t="s">
        <v>2339</v>
      </c>
      <c r="C11" s="550" t="s">
        <v>2333</v>
      </c>
      <c r="D11" s="698" t="s">
        <v>2344</v>
      </c>
      <c r="E11" s="698" t="s">
        <v>2815</v>
      </c>
      <c r="F11" s="698" t="s">
        <v>132</v>
      </c>
      <c r="G11" s="216" t="s">
        <v>143</v>
      </c>
      <c r="H11" s="215" t="s">
        <v>148</v>
      </c>
      <c r="K11" s="201"/>
      <c r="L11" s="201"/>
    </row>
    <row r="12" spans="1:13" s="190" customFormat="1" x14ac:dyDescent="0.25">
      <c r="B12" s="552">
        <f>'דוח ביצוע (3)'!C13</f>
        <v>0</v>
      </c>
      <c r="C12" s="552" cm="1">
        <f t="array" ref="C12">SUM(IF(FREQUENCY(C18:$C$3015,C18:$C$3015)&gt;0,1))</f>
        <v>0</v>
      </c>
      <c r="D12" s="552">
        <f>SUM(D18:D517)</f>
        <v>0</v>
      </c>
      <c r="E12" s="552">
        <f t="shared" ref="E12:F12" si="0">SUM(E18:E517)</f>
        <v>0</v>
      </c>
      <c r="F12" s="552">
        <f t="shared" si="0"/>
        <v>0</v>
      </c>
      <c r="G12" s="552">
        <f>SUM(H18:H517)</f>
        <v>0</v>
      </c>
      <c r="H12" s="552">
        <f>SUM(I18:I517)</f>
        <v>0</v>
      </c>
      <c r="K12" s="201"/>
      <c r="L12" s="201"/>
    </row>
    <row r="13" spans="1:13" s="190" customFormat="1" x14ac:dyDescent="0.25">
      <c r="C13" s="232"/>
      <c r="D13" s="22"/>
      <c r="E13" s="22"/>
      <c r="F13" s="22"/>
      <c r="G13" s="22"/>
      <c r="H13" s="22"/>
      <c r="I13" s="22"/>
      <c r="K13" s="201"/>
      <c r="L13" s="201"/>
    </row>
    <row r="14" spans="1:13" s="190" customFormat="1" ht="23.25" x14ac:dyDescent="0.35">
      <c r="C14" s="846"/>
      <c r="E14" s="512"/>
      <c r="F14" s="211"/>
      <c r="G14" s="211"/>
      <c r="K14" s="201"/>
      <c r="L14" s="201"/>
    </row>
    <row r="15" spans="1:13" s="190" customFormat="1" ht="23.25" x14ac:dyDescent="0.35">
      <c r="B15" s="212"/>
      <c r="C15" s="847"/>
      <c r="E15" s="213"/>
      <c r="F15" s="212"/>
      <c r="G15" s="212"/>
      <c r="K15" s="201"/>
      <c r="L15" s="201"/>
      <c r="M15" s="212"/>
    </row>
    <row r="16" spans="1:13" ht="16.5" thickBot="1" x14ac:dyDescent="0.3">
      <c r="B16" s="49" t="s">
        <v>2336</v>
      </c>
      <c r="K16" s="193" t="s">
        <v>2335</v>
      </c>
    </row>
    <row r="17" spans="1:13" s="214" customFormat="1" ht="32.25" thickBot="1" x14ac:dyDescent="0.25">
      <c r="A17" s="278" t="s">
        <v>1</v>
      </c>
      <c r="B17" s="194" t="s">
        <v>2537</v>
      </c>
      <c r="C17" s="848" t="s">
        <v>149</v>
      </c>
      <c r="D17" s="216" t="s">
        <v>46</v>
      </c>
      <c r="E17" s="216" t="s">
        <v>132</v>
      </c>
      <c r="F17" s="216" t="s">
        <v>24</v>
      </c>
      <c r="G17" s="215" t="s">
        <v>4</v>
      </c>
      <c r="H17" s="216" t="s">
        <v>143</v>
      </c>
      <c r="I17" s="215" t="s">
        <v>148</v>
      </c>
      <c r="J17" s="217">
        <v>1</v>
      </c>
      <c r="K17" s="218" t="s">
        <v>2284</v>
      </c>
      <c r="L17" s="218" t="s">
        <v>2285</v>
      </c>
      <c r="M17" s="215" t="s">
        <v>2337</v>
      </c>
    </row>
    <row r="18" spans="1:13" ht="19.5" customHeight="1" x14ac:dyDescent="0.25">
      <c r="A18" s="280">
        <v>1</v>
      </c>
      <c r="B18" s="703" t="str">
        <f>IF(VLOOKUP(A18,'דוח ביצוע (3)'!A:G,2,0)="","",VLOOKUP('תשלומי הורים ומלגות להורים (5) '!A18,'דוח ביצוע (3)'!A:G,2,0))</f>
        <v/>
      </c>
      <c r="C18" s="849"/>
      <c r="D18" s="219">
        <f>SUMIFS('דוח הוצאות בפועל (4)'!$E$17:$E$3016,'דוח הוצאות בפועל (4)'!$B$17:$B$3016,'תשלומי הורים ומלגות להורים (5) '!B18,'דוח הוצאות בפועל (4)'!$D$17:$D$3016,"מלגות להורים")</f>
        <v>0</v>
      </c>
      <c r="E18" s="219">
        <f>C18-D18</f>
        <v>0</v>
      </c>
      <c r="F18" s="704"/>
      <c r="G18" s="705"/>
      <c r="H18" s="705"/>
      <c r="I18" s="705"/>
      <c r="K18" s="220">
        <f>IFERROR(VLOOKUP(B18,'דוח ביצוע (3)'!B:J,8,0),0)</f>
        <v>0</v>
      </c>
      <c r="L18" s="220">
        <f>IFERROR(C18/I18-$C$5,0)</f>
        <v>0</v>
      </c>
      <c r="M18" s="705"/>
    </row>
    <row r="19" spans="1:13" ht="19.5" customHeight="1" x14ac:dyDescent="0.25">
      <c r="A19" s="280">
        <v>2</v>
      </c>
      <c r="B19" s="703" t="str">
        <f>IF(VLOOKUP(A19,'דוח ביצוע (3)'!A:G,2,0)="","",VLOOKUP('תשלומי הורים ומלגות להורים (5) '!A19,'דוח ביצוע (3)'!A:G,2,0))</f>
        <v/>
      </c>
      <c r="C19" s="849"/>
      <c r="D19" s="219">
        <f>SUMIFS('דוח הוצאות בפועל (4)'!$E$17:$E$3016,'דוח הוצאות בפועל (4)'!$B$17:$B$3016,'תשלומי הורים ומלגות להורים (5) '!B19,'דוח הוצאות בפועל (4)'!$D$17:$D$3016,"מלגות להורים")</f>
        <v>0</v>
      </c>
      <c r="E19" s="219">
        <f t="shared" ref="E19:E82" si="1">C19-D19</f>
        <v>0</v>
      </c>
      <c r="F19" s="704"/>
      <c r="G19" s="705"/>
      <c r="H19" s="705"/>
      <c r="I19" s="705"/>
      <c r="K19" s="220">
        <f>IFERROR(VLOOKUP(B19,'דוח ביצוע (3)'!B:J,8,0),0)</f>
        <v>0</v>
      </c>
      <c r="L19" s="220">
        <f t="shared" ref="L19:L82" si="2">IFERROR(C19/I19-$C$5,0)</f>
        <v>0</v>
      </c>
      <c r="M19" s="705"/>
    </row>
    <row r="20" spans="1:13" ht="19.5" customHeight="1" x14ac:dyDescent="0.25">
      <c r="A20" s="280">
        <v>3</v>
      </c>
      <c r="B20" s="703" t="str">
        <f>IF(VLOOKUP(A20,'דוח ביצוע (3)'!A:G,2,0)="","",VLOOKUP('תשלומי הורים ומלגות להורים (5) '!A20,'דוח ביצוע (3)'!A:G,2,0))</f>
        <v/>
      </c>
      <c r="C20" s="849"/>
      <c r="D20" s="219">
        <f>SUMIFS('דוח הוצאות בפועל (4)'!$E$17:$E$3016,'דוח הוצאות בפועל (4)'!$B$17:$B$3016,'תשלומי הורים ומלגות להורים (5) '!B20,'דוח הוצאות בפועל (4)'!$D$17:$D$3016,"מלגות להורים")</f>
        <v>0</v>
      </c>
      <c r="E20" s="219">
        <f t="shared" si="1"/>
        <v>0</v>
      </c>
      <c r="F20" s="704"/>
      <c r="G20" s="705"/>
      <c r="H20" s="705"/>
      <c r="I20" s="705"/>
      <c r="K20" s="220">
        <f>IFERROR(VLOOKUP(B20,'דוח ביצוע (3)'!B:J,8,0),0)</f>
        <v>0</v>
      </c>
      <c r="L20" s="220">
        <f t="shared" si="2"/>
        <v>0</v>
      </c>
      <c r="M20" s="705"/>
    </row>
    <row r="21" spans="1:13" ht="19.5" customHeight="1" x14ac:dyDescent="0.25">
      <c r="A21" s="280">
        <v>4</v>
      </c>
      <c r="B21" s="703" t="str">
        <f>IF(VLOOKUP(A21,'דוח ביצוע (3)'!A:G,2,0)="","",VLOOKUP('תשלומי הורים ומלגות להורים (5) '!A21,'דוח ביצוע (3)'!A:G,2,0))</f>
        <v/>
      </c>
      <c r="C21" s="849"/>
      <c r="D21" s="219">
        <f>SUMIFS('דוח הוצאות בפועל (4)'!$E$17:$E$3016,'דוח הוצאות בפועל (4)'!$B$17:$B$3016,'תשלומי הורים ומלגות להורים (5) '!B21,'דוח הוצאות בפועל (4)'!$D$17:$D$3016,"מלגות להורים")</f>
        <v>0</v>
      </c>
      <c r="E21" s="219">
        <f t="shared" si="1"/>
        <v>0</v>
      </c>
      <c r="F21" s="704"/>
      <c r="G21" s="705"/>
      <c r="H21" s="705"/>
      <c r="I21" s="705"/>
      <c r="K21" s="220">
        <f>IFERROR(VLOOKUP(B21,'דוח ביצוע (3)'!B:J,8,0),0)</f>
        <v>0</v>
      </c>
      <c r="L21" s="220">
        <f t="shared" si="2"/>
        <v>0</v>
      </c>
      <c r="M21" s="705"/>
    </row>
    <row r="22" spans="1:13" ht="19.5" customHeight="1" x14ac:dyDescent="0.25">
      <c r="A22" s="280">
        <v>5</v>
      </c>
      <c r="B22" s="703" t="str">
        <f>IF(VLOOKUP(A22,'דוח ביצוע (3)'!A:G,2,0)="","",VLOOKUP('תשלומי הורים ומלגות להורים (5) '!A22,'דוח ביצוע (3)'!A:G,2,0))</f>
        <v/>
      </c>
      <c r="C22" s="849"/>
      <c r="D22" s="219">
        <f>SUMIFS('דוח הוצאות בפועל (4)'!$E$17:$E$3016,'דוח הוצאות בפועל (4)'!$B$17:$B$3016,'תשלומי הורים ומלגות להורים (5) '!B22,'דוח הוצאות בפועל (4)'!$D$17:$D$3016,"מלגות להורים")</f>
        <v>0</v>
      </c>
      <c r="E22" s="219">
        <f t="shared" si="1"/>
        <v>0</v>
      </c>
      <c r="F22" s="704"/>
      <c r="G22" s="705"/>
      <c r="H22" s="705"/>
      <c r="I22" s="705"/>
      <c r="K22" s="220">
        <f>IFERROR(VLOOKUP(B22,'דוח ביצוע (3)'!B:J,8,0),0)</f>
        <v>0</v>
      </c>
      <c r="L22" s="220">
        <f t="shared" si="2"/>
        <v>0</v>
      </c>
      <c r="M22" s="705"/>
    </row>
    <row r="23" spans="1:13" ht="19.5" customHeight="1" x14ac:dyDescent="0.25">
      <c r="A23" s="280">
        <v>6</v>
      </c>
      <c r="B23" s="703" t="str">
        <f>IF(VLOOKUP(A23,'דוח ביצוע (3)'!A:G,2,0)="","",VLOOKUP('תשלומי הורים ומלגות להורים (5) '!A23,'דוח ביצוע (3)'!A:G,2,0))</f>
        <v/>
      </c>
      <c r="C23" s="849"/>
      <c r="D23" s="219">
        <f>SUMIFS('דוח הוצאות בפועל (4)'!$E$17:$E$3016,'דוח הוצאות בפועל (4)'!$B$17:$B$3016,'תשלומי הורים ומלגות להורים (5) '!B23,'דוח הוצאות בפועל (4)'!$D$17:$D$3016,"מלגות להורים")</f>
        <v>0</v>
      </c>
      <c r="E23" s="219">
        <f t="shared" si="1"/>
        <v>0</v>
      </c>
      <c r="F23" s="704"/>
      <c r="G23" s="705"/>
      <c r="H23" s="705"/>
      <c r="I23" s="705"/>
      <c r="K23" s="220">
        <f>IFERROR(VLOOKUP(B23,'דוח ביצוע (3)'!B:J,8,0),0)</f>
        <v>0</v>
      </c>
      <c r="L23" s="220">
        <f t="shared" si="2"/>
        <v>0</v>
      </c>
      <c r="M23" s="705"/>
    </row>
    <row r="24" spans="1:13" ht="19.5" customHeight="1" x14ac:dyDescent="0.25">
      <c r="A24" s="280">
        <v>7</v>
      </c>
      <c r="B24" s="703" t="str">
        <f>IF(VLOOKUP(A24,'דוח ביצוע (3)'!A:G,2,0)="","",VLOOKUP('תשלומי הורים ומלגות להורים (5) '!A24,'דוח ביצוע (3)'!A:G,2,0))</f>
        <v/>
      </c>
      <c r="C24" s="849"/>
      <c r="D24" s="219">
        <f>SUMIFS('דוח הוצאות בפועל (4)'!$E$17:$E$3016,'דוח הוצאות בפועל (4)'!$B$17:$B$3016,'תשלומי הורים ומלגות להורים (5) '!B24,'דוח הוצאות בפועל (4)'!$D$17:$D$3016,"מלגות להורים")</f>
        <v>0</v>
      </c>
      <c r="E24" s="219">
        <f t="shared" si="1"/>
        <v>0</v>
      </c>
      <c r="F24" s="704"/>
      <c r="G24" s="705"/>
      <c r="H24" s="705"/>
      <c r="I24" s="705"/>
      <c r="K24" s="220">
        <f>IFERROR(VLOOKUP(B24,'דוח ביצוע (3)'!B:J,8,0),0)</f>
        <v>0</v>
      </c>
      <c r="L24" s="220">
        <f t="shared" si="2"/>
        <v>0</v>
      </c>
      <c r="M24" s="705"/>
    </row>
    <row r="25" spans="1:13" ht="19.5" customHeight="1" x14ac:dyDescent="0.25">
      <c r="A25" s="280">
        <v>8</v>
      </c>
      <c r="B25" s="703" t="str">
        <f>IF(VLOOKUP(A25,'דוח ביצוע (3)'!A:G,2,0)="","",VLOOKUP('תשלומי הורים ומלגות להורים (5) '!A25,'דוח ביצוע (3)'!A:G,2,0))</f>
        <v/>
      </c>
      <c r="C25" s="849"/>
      <c r="D25" s="219">
        <f>SUMIFS('דוח הוצאות בפועל (4)'!$E$17:$E$3016,'דוח הוצאות בפועל (4)'!$B$17:$B$3016,'תשלומי הורים ומלגות להורים (5) '!B25,'דוח הוצאות בפועל (4)'!$D$17:$D$3016,"מלגות להורים")</f>
        <v>0</v>
      </c>
      <c r="E25" s="219">
        <f t="shared" si="1"/>
        <v>0</v>
      </c>
      <c r="F25" s="704"/>
      <c r="G25" s="705"/>
      <c r="H25" s="705"/>
      <c r="I25" s="705"/>
      <c r="K25" s="220">
        <f>IFERROR(VLOOKUP(B25,'דוח ביצוע (3)'!B:J,8,0),0)</f>
        <v>0</v>
      </c>
      <c r="L25" s="220">
        <f t="shared" si="2"/>
        <v>0</v>
      </c>
      <c r="M25" s="705"/>
    </row>
    <row r="26" spans="1:13" ht="19.5" customHeight="1" x14ac:dyDescent="0.25">
      <c r="A26" s="280">
        <v>9</v>
      </c>
      <c r="B26" s="703" t="str">
        <f>IF(VLOOKUP(A26,'דוח ביצוע (3)'!A:G,2,0)="","",VLOOKUP('תשלומי הורים ומלגות להורים (5) '!A26,'דוח ביצוע (3)'!A:G,2,0))</f>
        <v/>
      </c>
      <c r="C26" s="849"/>
      <c r="D26" s="219">
        <f>SUMIFS('דוח הוצאות בפועל (4)'!$E$17:$E$3016,'דוח הוצאות בפועל (4)'!$B$17:$B$3016,'תשלומי הורים ומלגות להורים (5) '!B26,'דוח הוצאות בפועל (4)'!$D$17:$D$3016,"מלגות להורים")</f>
        <v>0</v>
      </c>
      <c r="E26" s="219">
        <f t="shared" si="1"/>
        <v>0</v>
      </c>
      <c r="F26" s="704"/>
      <c r="G26" s="705"/>
      <c r="H26" s="705"/>
      <c r="I26" s="705"/>
      <c r="K26" s="220">
        <f>IFERROR(VLOOKUP(B26,'דוח ביצוע (3)'!B:J,8,0),0)</f>
        <v>0</v>
      </c>
      <c r="L26" s="220">
        <f t="shared" si="2"/>
        <v>0</v>
      </c>
      <c r="M26" s="705"/>
    </row>
    <row r="27" spans="1:13" ht="19.5" customHeight="1" x14ac:dyDescent="0.25">
      <c r="A27" s="280">
        <v>10</v>
      </c>
      <c r="B27" s="703" t="str">
        <f>IF(VLOOKUP(A27,'דוח ביצוע (3)'!A:G,2,0)="","",VLOOKUP('תשלומי הורים ומלגות להורים (5) '!A27,'דוח ביצוע (3)'!A:G,2,0))</f>
        <v/>
      </c>
      <c r="C27" s="849"/>
      <c r="D27" s="219">
        <f>SUMIFS('דוח הוצאות בפועל (4)'!$E$17:$E$3016,'דוח הוצאות בפועל (4)'!$B$17:$B$3016,'תשלומי הורים ומלגות להורים (5) '!B27,'דוח הוצאות בפועל (4)'!$D$17:$D$3016,"מלגות להורים")</f>
        <v>0</v>
      </c>
      <c r="E27" s="219">
        <f t="shared" si="1"/>
        <v>0</v>
      </c>
      <c r="F27" s="704"/>
      <c r="G27" s="705"/>
      <c r="H27" s="705"/>
      <c r="I27" s="705"/>
      <c r="K27" s="220">
        <f>IFERROR(VLOOKUP(B27,'דוח ביצוע (3)'!B:J,8,0),0)</f>
        <v>0</v>
      </c>
      <c r="L27" s="220">
        <f t="shared" si="2"/>
        <v>0</v>
      </c>
      <c r="M27" s="705"/>
    </row>
    <row r="28" spans="1:13" ht="19.5" customHeight="1" x14ac:dyDescent="0.25">
      <c r="A28" s="280">
        <v>11</v>
      </c>
      <c r="B28" s="703" t="str">
        <f>IF(VLOOKUP(A28,'דוח ביצוע (3)'!A:G,2,0)="","",VLOOKUP('תשלומי הורים ומלגות להורים (5) '!A28,'דוח ביצוע (3)'!A:G,2,0))</f>
        <v/>
      </c>
      <c r="C28" s="849"/>
      <c r="D28" s="219">
        <f>SUMIFS('דוח הוצאות בפועל (4)'!$E$17:$E$3016,'דוח הוצאות בפועל (4)'!$B$17:$B$3016,'תשלומי הורים ומלגות להורים (5) '!B28,'דוח הוצאות בפועל (4)'!$D$17:$D$3016,"מלגות להורים")</f>
        <v>0</v>
      </c>
      <c r="E28" s="219">
        <f t="shared" si="1"/>
        <v>0</v>
      </c>
      <c r="F28" s="704"/>
      <c r="G28" s="705"/>
      <c r="H28" s="705"/>
      <c r="I28" s="705"/>
      <c r="K28" s="220">
        <f>IFERROR(VLOOKUP(B28,'דוח ביצוע (3)'!B:J,8,0),0)</f>
        <v>0</v>
      </c>
      <c r="L28" s="220">
        <f t="shared" si="2"/>
        <v>0</v>
      </c>
      <c r="M28" s="705"/>
    </row>
    <row r="29" spans="1:13" ht="19.5" customHeight="1" x14ac:dyDescent="0.25">
      <c r="A29" s="280">
        <v>12</v>
      </c>
      <c r="B29" s="703" t="str">
        <f>IF(VLOOKUP(A29,'דוח ביצוע (3)'!A:G,2,0)="","",VLOOKUP('תשלומי הורים ומלגות להורים (5) '!A29,'דוח ביצוע (3)'!A:G,2,0))</f>
        <v/>
      </c>
      <c r="C29" s="849"/>
      <c r="D29" s="219">
        <f>SUMIFS('דוח הוצאות בפועל (4)'!$E$17:$E$3016,'דוח הוצאות בפועל (4)'!$B$17:$B$3016,'תשלומי הורים ומלגות להורים (5) '!B29,'דוח הוצאות בפועל (4)'!$D$17:$D$3016,"מלגות להורים")</f>
        <v>0</v>
      </c>
      <c r="E29" s="219">
        <f t="shared" si="1"/>
        <v>0</v>
      </c>
      <c r="F29" s="704"/>
      <c r="G29" s="705"/>
      <c r="H29" s="705"/>
      <c r="I29" s="705"/>
      <c r="K29" s="220">
        <f>IFERROR(VLOOKUP(B29,'דוח ביצוע (3)'!B:J,8,0),0)</f>
        <v>0</v>
      </c>
      <c r="L29" s="220">
        <f t="shared" si="2"/>
        <v>0</v>
      </c>
      <c r="M29" s="705"/>
    </row>
    <row r="30" spans="1:13" ht="19.5" customHeight="1" x14ac:dyDescent="0.25">
      <c r="A30" s="280">
        <v>13</v>
      </c>
      <c r="B30" s="703" t="str">
        <f>IF(VLOOKUP(A30,'דוח ביצוע (3)'!A:G,2,0)="","",VLOOKUP('תשלומי הורים ומלגות להורים (5) '!A30,'דוח ביצוע (3)'!A:G,2,0))</f>
        <v/>
      </c>
      <c r="C30" s="849"/>
      <c r="D30" s="219">
        <f>SUMIFS('דוח הוצאות בפועל (4)'!$E$17:$E$3016,'דוח הוצאות בפועל (4)'!$B$17:$B$3016,'תשלומי הורים ומלגות להורים (5) '!B30,'דוח הוצאות בפועל (4)'!$D$17:$D$3016,"מלגות להורים")</f>
        <v>0</v>
      </c>
      <c r="E30" s="219">
        <f t="shared" si="1"/>
        <v>0</v>
      </c>
      <c r="F30" s="704"/>
      <c r="G30" s="705"/>
      <c r="H30" s="705"/>
      <c r="I30" s="705"/>
      <c r="K30" s="220">
        <f>IFERROR(VLOOKUP(B30,'דוח ביצוע (3)'!B:J,8,0),0)</f>
        <v>0</v>
      </c>
      <c r="L30" s="220">
        <f t="shared" si="2"/>
        <v>0</v>
      </c>
      <c r="M30" s="705"/>
    </row>
    <row r="31" spans="1:13" ht="19.5" customHeight="1" x14ac:dyDescent="0.25">
      <c r="A31" s="280">
        <v>14</v>
      </c>
      <c r="B31" s="703" t="str">
        <f>IF(VLOOKUP(A31,'דוח ביצוע (3)'!A:G,2,0)="","",VLOOKUP('תשלומי הורים ומלגות להורים (5) '!A31,'דוח ביצוע (3)'!A:G,2,0))</f>
        <v/>
      </c>
      <c r="C31" s="849"/>
      <c r="D31" s="219">
        <f>SUMIFS('דוח הוצאות בפועל (4)'!$E$17:$E$3016,'דוח הוצאות בפועל (4)'!$B$17:$B$3016,'תשלומי הורים ומלגות להורים (5) '!B31,'דוח הוצאות בפועל (4)'!$D$17:$D$3016,"מלגות להורים")</f>
        <v>0</v>
      </c>
      <c r="E31" s="219">
        <f t="shared" si="1"/>
        <v>0</v>
      </c>
      <c r="F31" s="704"/>
      <c r="G31" s="705"/>
      <c r="H31" s="705"/>
      <c r="I31" s="705"/>
      <c r="K31" s="220">
        <f>IFERROR(VLOOKUP(B31,'דוח ביצוע (3)'!B:J,8,0),0)</f>
        <v>0</v>
      </c>
      <c r="L31" s="220">
        <f t="shared" si="2"/>
        <v>0</v>
      </c>
      <c r="M31" s="705"/>
    </row>
    <row r="32" spans="1:13" ht="19.5" customHeight="1" x14ac:dyDescent="0.25">
      <c r="A32" s="280">
        <v>15</v>
      </c>
      <c r="B32" s="703" t="str">
        <f>IF(VLOOKUP(A32,'דוח ביצוע (3)'!A:G,2,0)="","",VLOOKUP('תשלומי הורים ומלגות להורים (5) '!A32,'דוח ביצוע (3)'!A:G,2,0))</f>
        <v/>
      </c>
      <c r="C32" s="849"/>
      <c r="D32" s="219">
        <f>SUMIFS('דוח הוצאות בפועל (4)'!$E$17:$E$3016,'דוח הוצאות בפועל (4)'!$B$17:$B$3016,'תשלומי הורים ומלגות להורים (5) '!B32,'דוח הוצאות בפועל (4)'!$D$17:$D$3016,"מלגות להורים")</f>
        <v>0</v>
      </c>
      <c r="E32" s="219">
        <f t="shared" si="1"/>
        <v>0</v>
      </c>
      <c r="F32" s="704"/>
      <c r="G32" s="705"/>
      <c r="H32" s="705"/>
      <c r="I32" s="705"/>
      <c r="K32" s="220">
        <f>IFERROR(VLOOKUP(B32,'דוח ביצוע (3)'!B:J,8,0),0)</f>
        <v>0</v>
      </c>
      <c r="L32" s="220">
        <f t="shared" si="2"/>
        <v>0</v>
      </c>
      <c r="M32" s="705"/>
    </row>
    <row r="33" spans="1:13" ht="19.5" customHeight="1" x14ac:dyDescent="0.25">
      <c r="A33" s="280">
        <v>16</v>
      </c>
      <c r="B33" s="703" t="str">
        <f>IF(VLOOKUP(A33,'דוח ביצוע (3)'!A:G,2,0)="","",VLOOKUP('תשלומי הורים ומלגות להורים (5) '!A33,'דוח ביצוע (3)'!A:G,2,0))</f>
        <v/>
      </c>
      <c r="C33" s="849"/>
      <c r="D33" s="219">
        <f>SUMIFS('דוח הוצאות בפועל (4)'!$E$17:$E$3016,'דוח הוצאות בפועל (4)'!$B$17:$B$3016,'תשלומי הורים ומלגות להורים (5) '!B33,'דוח הוצאות בפועל (4)'!$D$17:$D$3016,"מלגות להורים")</f>
        <v>0</v>
      </c>
      <c r="E33" s="219">
        <f t="shared" si="1"/>
        <v>0</v>
      </c>
      <c r="F33" s="704"/>
      <c r="G33" s="705"/>
      <c r="H33" s="705"/>
      <c r="I33" s="705"/>
      <c r="K33" s="220">
        <f>IFERROR(VLOOKUP(B33,'דוח ביצוע (3)'!B:J,8,0),0)</f>
        <v>0</v>
      </c>
      <c r="L33" s="220">
        <f t="shared" si="2"/>
        <v>0</v>
      </c>
      <c r="M33" s="705"/>
    </row>
    <row r="34" spans="1:13" ht="19.5" customHeight="1" x14ac:dyDescent="0.25">
      <c r="A34" s="280">
        <v>17</v>
      </c>
      <c r="B34" s="703" t="str">
        <f>IF(VLOOKUP(A34,'דוח ביצוע (3)'!A:G,2,0)="","",VLOOKUP('תשלומי הורים ומלגות להורים (5) '!A34,'דוח ביצוע (3)'!A:G,2,0))</f>
        <v/>
      </c>
      <c r="C34" s="849"/>
      <c r="D34" s="219">
        <f>SUMIFS('דוח הוצאות בפועל (4)'!$E$17:$E$3016,'דוח הוצאות בפועל (4)'!$B$17:$B$3016,'תשלומי הורים ומלגות להורים (5) '!B34,'דוח הוצאות בפועל (4)'!$D$17:$D$3016,"מלגות להורים")</f>
        <v>0</v>
      </c>
      <c r="E34" s="219">
        <f t="shared" si="1"/>
        <v>0</v>
      </c>
      <c r="F34" s="704"/>
      <c r="G34" s="705"/>
      <c r="H34" s="705"/>
      <c r="I34" s="705"/>
      <c r="K34" s="220">
        <f>IFERROR(VLOOKUP(B34,'דוח ביצוע (3)'!B:J,8,0),0)</f>
        <v>0</v>
      </c>
      <c r="L34" s="220">
        <f t="shared" si="2"/>
        <v>0</v>
      </c>
      <c r="M34" s="705"/>
    </row>
    <row r="35" spans="1:13" ht="19.5" customHeight="1" x14ac:dyDescent="0.25">
      <c r="A35" s="280">
        <v>18</v>
      </c>
      <c r="B35" s="703" t="str">
        <f>IF(VLOOKUP(A35,'דוח ביצוע (3)'!A:G,2,0)="","",VLOOKUP('תשלומי הורים ומלגות להורים (5) '!A35,'דוח ביצוע (3)'!A:G,2,0))</f>
        <v/>
      </c>
      <c r="C35" s="849"/>
      <c r="D35" s="219">
        <f>SUMIFS('דוח הוצאות בפועל (4)'!$E$17:$E$3016,'דוח הוצאות בפועל (4)'!$B$17:$B$3016,'תשלומי הורים ומלגות להורים (5) '!B35,'דוח הוצאות בפועל (4)'!$D$17:$D$3016,"מלגות להורים")</f>
        <v>0</v>
      </c>
      <c r="E35" s="219">
        <f t="shared" si="1"/>
        <v>0</v>
      </c>
      <c r="F35" s="704"/>
      <c r="G35" s="705"/>
      <c r="H35" s="705"/>
      <c r="I35" s="705"/>
      <c r="K35" s="220">
        <f>IFERROR(VLOOKUP(B35,'דוח ביצוע (3)'!B:J,8,0),0)</f>
        <v>0</v>
      </c>
      <c r="L35" s="220">
        <f t="shared" si="2"/>
        <v>0</v>
      </c>
      <c r="M35" s="705"/>
    </row>
    <row r="36" spans="1:13" ht="19.5" customHeight="1" x14ac:dyDescent="0.25">
      <c r="A36" s="280">
        <v>19</v>
      </c>
      <c r="B36" s="703" t="str">
        <f>IF(VLOOKUP(A36,'דוח ביצוע (3)'!A:G,2,0)="","",VLOOKUP('תשלומי הורים ומלגות להורים (5) '!A36,'דוח ביצוע (3)'!A:G,2,0))</f>
        <v/>
      </c>
      <c r="C36" s="849"/>
      <c r="D36" s="219">
        <f>SUMIFS('דוח הוצאות בפועל (4)'!$E$17:$E$3016,'דוח הוצאות בפועל (4)'!$B$17:$B$3016,'תשלומי הורים ומלגות להורים (5) '!B36,'דוח הוצאות בפועל (4)'!$D$17:$D$3016,"מלגות להורים")</f>
        <v>0</v>
      </c>
      <c r="E36" s="219">
        <f t="shared" si="1"/>
        <v>0</v>
      </c>
      <c r="F36" s="704"/>
      <c r="G36" s="705"/>
      <c r="H36" s="705"/>
      <c r="I36" s="705"/>
      <c r="K36" s="220">
        <f>IFERROR(VLOOKUP(B36,'דוח ביצוע (3)'!B:J,8,0),0)</f>
        <v>0</v>
      </c>
      <c r="L36" s="220">
        <f t="shared" si="2"/>
        <v>0</v>
      </c>
      <c r="M36" s="705"/>
    </row>
    <row r="37" spans="1:13" ht="19.5" customHeight="1" x14ac:dyDescent="0.25">
      <c r="A37" s="280">
        <v>20</v>
      </c>
      <c r="B37" s="703" t="str">
        <f>IF(VLOOKUP(A37,'דוח ביצוע (3)'!A:G,2,0)="","",VLOOKUP('תשלומי הורים ומלגות להורים (5) '!A37,'דוח ביצוע (3)'!A:G,2,0))</f>
        <v/>
      </c>
      <c r="C37" s="849"/>
      <c r="D37" s="219">
        <f>SUMIFS('דוח הוצאות בפועל (4)'!$E$17:$E$3016,'דוח הוצאות בפועל (4)'!$B$17:$B$3016,'תשלומי הורים ומלגות להורים (5) '!B37,'דוח הוצאות בפועל (4)'!$D$17:$D$3016,"מלגות להורים")</f>
        <v>0</v>
      </c>
      <c r="E37" s="219">
        <f t="shared" si="1"/>
        <v>0</v>
      </c>
      <c r="F37" s="704"/>
      <c r="G37" s="705"/>
      <c r="H37" s="705"/>
      <c r="I37" s="705"/>
      <c r="K37" s="220">
        <f>IFERROR(VLOOKUP(B37,'דוח ביצוע (3)'!B:J,8,0),0)</f>
        <v>0</v>
      </c>
      <c r="L37" s="220">
        <f t="shared" si="2"/>
        <v>0</v>
      </c>
      <c r="M37" s="705"/>
    </row>
    <row r="38" spans="1:13" ht="19.5" customHeight="1" x14ac:dyDescent="0.25">
      <c r="A38" s="280">
        <v>21</v>
      </c>
      <c r="B38" s="703" t="str">
        <f>IF(VLOOKUP(A38,'דוח ביצוע (3)'!A:G,2,0)="","",VLOOKUP('תשלומי הורים ומלגות להורים (5) '!A38,'דוח ביצוע (3)'!A:G,2,0))</f>
        <v/>
      </c>
      <c r="C38" s="849"/>
      <c r="D38" s="219">
        <f>SUMIFS('דוח הוצאות בפועל (4)'!$E$17:$E$3016,'דוח הוצאות בפועל (4)'!$B$17:$B$3016,'תשלומי הורים ומלגות להורים (5) '!B38,'דוח הוצאות בפועל (4)'!$D$17:$D$3016,"מלגות להורים")</f>
        <v>0</v>
      </c>
      <c r="E38" s="219">
        <f t="shared" si="1"/>
        <v>0</v>
      </c>
      <c r="F38" s="704"/>
      <c r="G38" s="705"/>
      <c r="H38" s="705"/>
      <c r="I38" s="705"/>
      <c r="K38" s="220">
        <f>IFERROR(VLOOKUP(B38,'דוח ביצוע (3)'!B:J,8,0),0)</f>
        <v>0</v>
      </c>
      <c r="L38" s="220">
        <f t="shared" si="2"/>
        <v>0</v>
      </c>
      <c r="M38" s="705"/>
    </row>
    <row r="39" spans="1:13" ht="19.5" customHeight="1" x14ac:dyDescent="0.25">
      <c r="A39" s="280">
        <v>22</v>
      </c>
      <c r="B39" s="703" t="str">
        <f>IF(VLOOKUP(A39,'דוח ביצוע (3)'!A:G,2,0)="","",VLOOKUP('תשלומי הורים ומלגות להורים (5) '!A39,'דוח ביצוע (3)'!A:G,2,0))</f>
        <v/>
      </c>
      <c r="C39" s="849"/>
      <c r="D39" s="219">
        <f>SUMIFS('דוח הוצאות בפועל (4)'!$E$17:$E$3016,'דוח הוצאות בפועל (4)'!$B$17:$B$3016,'תשלומי הורים ומלגות להורים (5) '!B39,'דוח הוצאות בפועל (4)'!$D$17:$D$3016,"מלגות להורים")</f>
        <v>0</v>
      </c>
      <c r="E39" s="219">
        <f t="shared" si="1"/>
        <v>0</v>
      </c>
      <c r="F39" s="704"/>
      <c r="G39" s="705"/>
      <c r="H39" s="705"/>
      <c r="I39" s="705"/>
      <c r="K39" s="220">
        <f>IFERROR(VLOOKUP(B39,'דוח ביצוע (3)'!B:J,8,0),0)</f>
        <v>0</v>
      </c>
      <c r="L39" s="220">
        <f t="shared" si="2"/>
        <v>0</v>
      </c>
      <c r="M39" s="705"/>
    </row>
    <row r="40" spans="1:13" ht="19.5" customHeight="1" x14ac:dyDescent="0.25">
      <c r="A40" s="280">
        <v>23</v>
      </c>
      <c r="B40" s="703" t="str">
        <f>IF(VLOOKUP(A40,'דוח ביצוע (3)'!A:G,2,0)="","",VLOOKUP('תשלומי הורים ומלגות להורים (5) '!A40,'דוח ביצוע (3)'!A:G,2,0))</f>
        <v/>
      </c>
      <c r="C40" s="849"/>
      <c r="D40" s="219">
        <f>SUMIFS('דוח הוצאות בפועל (4)'!$E$17:$E$3016,'דוח הוצאות בפועל (4)'!$B$17:$B$3016,'תשלומי הורים ומלגות להורים (5) '!B40,'דוח הוצאות בפועל (4)'!$D$17:$D$3016,"מלגות להורים")</f>
        <v>0</v>
      </c>
      <c r="E40" s="219">
        <f t="shared" si="1"/>
        <v>0</v>
      </c>
      <c r="F40" s="704"/>
      <c r="G40" s="705"/>
      <c r="H40" s="705"/>
      <c r="I40" s="705"/>
      <c r="K40" s="220">
        <f>IFERROR(VLOOKUP(B40,'דוח ביצוע (3)'!B:J,8,0),0)</f>
        <v>0</v>
      </c>
      <c r="L40" s="220">
        <f t="shared" si="2"/>
        <v>0</v>
      </c>
      <c r="M40" s="705"/>
    </row>
    <row r="41" spans="1:13" ht="19.5" customHeight="1" x14ac:dyDescent="0.25">
      <c r="A41" s="280">
        <v>24</v>
      </c>
      <c r="B41" s="703" t="str">
        <f>IF(VLOOKUP(A41,'דוח ביצוע (3)'!A:G,2,0)="","",VLOOKUP('תשלומי הורים ומלגות להורים (5) '!A41,'דוח ביצוע (3)'!A:G,2,0))</f>
        <v/>
      </c>
      <c r="C41" s="849"/>
      <c r="D41" s="219">
        <f>SUMIFS('דוח הוצאות בפועל (4)'!$E$17:$E$3016,'דוח הוצאות בפועל (4)'!$B$17:$B$3016,'תשלומי הורים ומלגות להורים (5) '!B41,'דוח הוצאות בפועל (4)'!$D$17:$D$3016,"מלגות להורים")</f>
        <v>0</v>
      </c>
      <c r="E41" s="219">
        <f t="shared" si="1"/>
        <v>0</v>
      </c>
      <c r="F41" s="704"/>
      <c r="G41" s="705"/>
      <c r="H41" s="705"/>
      <c r="I41" s="705"/>
      <c r="K41" s="220">
        <f>IFERROR(VLOOKUP(B41,'דוח ביצוע (3)'!B:J,8,0),0)</f>
        <v>0</v>
      </c>
      <c r="L41" s="220">
        <f t="shared" si="2"/>
        <v>0</v>
      </c>
      <c r="M41" s="705"/>
    </row>
    <row r="42" spans="1:13" ht="19.5" customHeight="1" x14ac:dyDescent="0.25">
      <c r="A42" s="280">
        <v>25</v>
      </c>
      <c r="B42" s="703" t="str">
        <f>IF(VLOOKUP(A42,'דוח ביצוע (3)'!A:G,2,0)="","",VLOOKUP('תשלומי הורים ומלגות להורים (5) '!A42,'דוח ביצוע (3)'!A:G,2,0))</f>
        <v/>
      </c>
      <c r="C42" s="849"/>
      <c r="D42" s="219">
        <f>SUMIFS('דוח הוצאות בפועל (4)'!$E$17:$E$3016,'דוח הוצאות בפועל (4)'!$B$17:$B$3016,'תשלומי הורים ומלגות להורים (5) '!B42,'דוח הוצאות בפועל (4)'!$D$17:$D$3016,"מלגות להורים")</f>
        <v>0</v>
      </c>
      <c r="E42" s="219">
        <f t="shared" si="1"/>
        <v>0</v>
      </c>
      <c r="F42" s="704"/>
      <c r="G42" s="705"/>
      <c r="H42" s="705"/>
      <c r="I42" s="705"/>
      <c r="K42" s="220">
        <f>IFERROR(VLOOKUP(B42,'דוח ביצוע (3)'!B:J,8,0),0)</f>
        <v>0</v>
      </c>
      <c r="L42" s="220">
        <f t="shared" si="2"/>
        <v>0</v>
      </c>
      <c r="M42" s="705"/>
    </row>
    <row r="43" spans="1:13" ht="19.5" customHeight="1" x14ac:dyDescent="0.25">
      <c r="A43" s="280">
        <v>26</v>
      </c>
      <c r="B43" s="703" t="str">
        <f>IF(VLOOKUP(A43,'דוח ביצוע (3)'!A:G,2,0)="","",VLOOKUP('תשלומי הורים ומלגות להורים (5) '!A43,'דוח ביצוע (3)'!A:G,2,0))</f>
        <v/>
      </c>
      <c r="C43" s="849"/>
      <c r="D43" s="219">
        <f>SUMIFS('דוח הוצאות בפועל (4)'!$E$17:$E$3016,'דוח הוצאות בפועל (4)'!$B$17:$B$3016,'תשלומי הורים ומלגות להורים (5) '!B43,'דוח הוצאות בפועל (4)'!$D$17:$D$3016,"מלגות להורים")</f>
        <v>0</v>
      </c>
      <c r="E43" s="219">
        <f t="shared" si="1"/>
        <v>0</v>
      </c>
      <c r="F43" s="704"/>
      <c r="G43" s="705"/>
      <c r="H43" s="705"/>
      <c r="I43" s="705"/>
      <c r="K43" s="220">
        <f>IFERROR(VLOOKUP(B43,'דוח ביצוע (3)'!B:J,8,0),0)</f>
        <v>0</v>
      </c>
      <c r="L43" s="220">
        <f t="shared" si="2"/>
        <v>0</v>
      </c>
      <c r="M43" s="705"/>
    </row>
    <row r="44" spans="1:13" ht="19.5" customHeight="1" x14ac:dyDescent="0.25">
      <c r="A44" s="280">
        <v>27</v>
      </c>
      <c r="B44" s="703" t="str">
        <f>IF(VLOOKUP(A44,'דוח ביצוע (3)'!A:G,2,0)="","",VLOOKUP('תשלומי הורים ומלגות להורים (5) '!A44,'דוח ביצוע (3)'!A:G,2,0))</f>
        <v/>
      </c>
      <c r="C44" s="849"/>
      <c r="D44" s="219">
        <f>SUMIFS('דוח הוצאות בפועל (4)'!$E$17:$E$3016,'דוח הוצאות בפועל (4)'!$B$17:$B$3016,'תשלומי הורים ומלגות להורים (5) '!B44,'דוח הוצאות בפועל (4)'!$D$17:$D$3016,"מלגות להורים")</f>
        <v>0</v>
      </c>
      <c r="E44" s="219">
        <f t="shared" si="1"/>
        <v>0</v>
      </c>
      <c r="F44" s="704"/>
      <c r="G44" s="705"/>
      <c r="H44" s="705"/>
      <c r="I44" s="705"/>
      <c r="K44" s="220">
        <f>IFERROR(VLOOKUP(B44,'דוח ביצוע (3)'!B:J,8,0),0)</f>
        <v>0</v>
      </c>
      <c r="L44" s="220">
        <f t="shared" si="2"/>
        <v>0</v>
      </c>
      <c r="M44" s="705"/>
    </row>
    <row r="45" spans="1:13" ht="19.5" customHeight="1" x14ac:dyDescent="0.25">
      <c r="A45" s="280">
        <v>28</v>
      </c>
      <c r="B45" s="703" t="str">
        <f>IF(VLOOKUP(A45,'דוח ביצוע (3)'!A:G,2,0)="","",VLOOKUP('תשלומי הורים ומלגות להורים (5) '!A45,'דוח ביצוע (3)'!A:G,2,0))</f>
        <v/>
      </c>
      <c r="C45" s="849"/>
      <c r="D45" s="219">
        <f>SUMIFS('דוח הוצאות בפועל (4)'!$E$17:$E$3016,'דוח הוצאות בפועל (4)'!$B$17:$B$3016,'תשלומי הורים ומלגות להורים (5) '!B45,'דוח הוצאות בפועל (4)'!$D$17:$D$3016,"מלגות להורים")</f>
        <v>0</v>
      </c>
      <c r="E45" s="219">
        <f t="shared" si="1"/>
        <v>0</v>
      </c>
      <c r="F45" s="704"/>
      <c r="G45" s="705"/>
      <c r="H45" s="705"/>
      <c r="I45" s="705"/>
      <c r="K45" s="220">
        <f>IFERROR(VLOOKUP(B45,'דוח ביצוע (3)'!B:J,8,0),0)</f>
        <v>0</v>
      </c>
      <c r="L45" s="220">
        <f t="shared" si="2"/>
        <v>0</v>
      </c>
      <c r="M45" s="705"/>
    </row>
    <row r="46" spans="1:13" ht="19.5" customHeight="1" x14ac:dyDescent="0.25">
      <c r="A46" s="280">
        <v>29</v>
      </c>
      <c r="B46" s="703" t="str">
        <f>IF(VLOOKUP(A46,'דוח ביצוע (3)'!A:G,2,0)="","",VLOOKUP('תשלומי הורים ומלגות להורים (5) '!A46,'דוח ביצוע (3)'!A:G,2,0))</f>
        <v/>
      </c>
      <c r="C46" s="849"/>
      <c r="D46" s="219">
        <f>SUMIFS('דוח הוצאות בפועל (4)'!$E$17:$E$3016,'דוח הוצאות בפועל (4)'!$B$17:$B$3016,'תשלומי הורים ומלגות להורים (5) '!B46,'דוח הוצאות בפועל (4)'!$D$17:$D$3016,"מלגות להורים")</f>
        <v>0</v>
      </c>
      <c r="E46" s="219">
        <f t="shared" si="1"/>
        <v>0</v>
      </c>
      <c r="F46" s="704"/>
      <c r="G46" s="705"/>
      <c r="H46" s="705"/>
      <c r="I46" s="705"/>
      <c r="K46" s="220">
        <f>IFERROR(VLOOKUP(B46,'דוח ביצוע (3)'!B:J,8,0),0)</f>
        <v>0</v>
      </c>
      <c r="L46" s="220">
        <f t="shared" si="2"/>
        <v>0</v>
      </c>
      <c r="M46" s="705"/>
    </row>
    <row r="47" spans="1:13" ht="19.5" customHeight="1" x14ac:dyDescent="0.25">
      <c r="A47" s="280">
        <v>30</v>
      </c>
      <c r="B47" s="703" t="str">
        <f>IF(VLOOKUP(A47,'דוח ביצוע (3)'!A:G,2,0)="","",VLOOKUP('תשלומי הורים ומלגות להורים (5) '!A47,'דוח ביצוע (3)'!A:G,2,0))</f>
        <v/>
      </c>
      <c r="C47" s="849"/>
      <c r="D47" s="219">
        <f>SUMIFS('דוח הוצאות בפועל (4)'!$E$17:$E$3016,'דוח הוצאות בפועל (4)'!$B$17:$B$3016,'תשלומי הורים ומלגות להורים (5) '!B47,'דוח הוצאות בפועל (4)'!$D$17:$D$3016,"מלגות להורים")</f>
        <v>0</v>
      </c>
      <c r="E47" s="219">
        <f t="shared" si="1"/>
        <v>0</v>
      </c>
      <c r="F47" s="704"/>
      <c r="G47" s="705"/>
      <c r="H47" s="705"/>
      <c r="I47" s="705"/>
      <c r="K47" s="220">
        <f>IFERROR(VLOOKUP(B47,'דוח ביצוע (3)'!B:J,8,0),0)</f>
        <v>0</v>
      </c>
      <c r="L47" s="220">
        <f t="shared" si="2"/>
        <v>0</v>
      </c>
      <c r="M47" s="705"/>
    </row>
    <row r="48" spans="1:13" ht="19.5" customHeight="1" x14ac:dyDescent="0.25">
      <c r="A48" s="280">
        <v>31</v>
      </c>
      <c r="B48" s="703" t="str">
        <f>IF(VLOOKUP(A48,'דוח ביצוע (3)'!A:G,2,0)="","",VLOOKUP('תשלומי הורים ומלגות להורים (5) '!A48,'דוח ביצוע (3)'!A:G,2,0))</f>
        <v/>
      </c>
      <c r="C48" s="849"/>
      <c r="D48" s="219">
        <f>SUMIFS('דוח הוצאות בפועל (4)'!$E$17:$E$3016,'דוח הוצאות בפועל (4)'!$B$17:$B$3016,'תשלומי הורים ומלגות להורים (5) '!B48,'דוח הוצאות בפועל (4)'!$D$17:$D$3016,"מלגות להורים")</f>
        <v>0</v>
      </c>
      <c r="E48" s="219">
        <f t="shared" si="1"/>
        <v>0</v>
      </c>
      <c r="F48" s="704"/>
      <c r="G48" s="705"/>
      <c r="H48" s="705"/>
      <c r="I48" s="705"/>
      <c r="K48" s="220">
        <f>IFERROR(VLOOKUP(B48,'דוח ביצוע (3)'!B:J,8,0),0)</f>
        <v>0</v>
      </c>
      <c r="L48" s="220">
        <f t="shared" si="2"/>
        <v>0</v>
      </c>
      <c r="M48" s="705"/>
    </row>
    <row r="49" spans="1:13" ht="19.5" customHeight="1" x14ac:dyDescent="0.25">
      <c r="A49" s="280">
        <v>32</v>
      </c>
      <c r="B49" s="703" t="str">
        <f>IF(VLOOKUP(A49,'דוח ביצוע (3)'!A:G,2,0)="","",VLOOKUP('תשלומי הורים ומלגות להורים (5) '!A49,'דוח ביצוע (3)'!A:G,2,0))</f>
        <v/>
      </c>
      <c r="C49" s="849"/>
      <c r="D49" s="219">
        <f>SUMIFS('דוח הוצאות בפועל (4)'!$E$17:$E$3016,'דוח הוצאות בפועל (4)'!$B$17:$B$3016,'תשלומי הורים ומלגות להורים (5) '!B49,'דוח הוצאות בפועל (4)'!$D$17:$D$3016,"מלגות להורים")</f>
        <v>0</v>
      </c>
      <c r="E49" s="219">
        <f t="shared" si="1"/>
        <v>0</v>
      </c>
      <c r="F49" s="704"/>
      <c r="G49" s="705"/>
      <c r="H49" s="705"/>
      <c r="I49" s="705"/>
      <c r="K49" s="220">
        <f>IFERROR(VLOOKUP(B49,'דוח ביצוע (3)'!B:J,8,0),0)</f>
        <v>0</v>
      </c>
      <c r="L49" s="220">
        <f t="shared" si="2"/>
        <v>0</v>
      </c>
      <c r="M49" s="705"/>
    </row>
    <row r="50" spans="1:13" ht="19.5" customHeight="1" x14ac:dyDescent="0.25">
      <c r="A50" s="280">
        <v>33</v>
      </c>
      <c r="B50" s="703" t="str">
        <f>IF(VLOOKUP(A50,'דוח ביצוע (3)'!A:G,2,0)="","",VLOOKUP('תשלומי הורים ומלגות להורים (5) '!A50,'דוח ביצוע (3)'!A:G,2,0))</f>
        <v/>
      </c>
      <c r="C50" s="849"/>
      <c r="D50" s="219">
        <f>SUMIFS('דוח הוצאות בפועל (4)'!$E$17:$E$3016,'דוח הוצאות בפועל (4)'!$B$17:$B$3016,'תשלומי הורים ומלגות להורים (5) '!B50,'דוח הוצאות בפועל (4)'!$D$17:$D$3016,"מלגות להורים")</f>
        <v>0</v>
      </c>
      <c r="E50" s="219">
        <f t="shared" si="1"/>
        <v>0</v>
      </c>
      <c r="F50" s="704"/>
      <c r="G50" s="705"/>
      <c r="H50" s="705"/>
      <c r="I50" s="705"/>
      <c r="K50" s="220">
        <f>IFERROR(VLOOKUP(B50,'דוח ביצוע (3)'!B:J,8,0),0)</f>
        <v>0</v>
      </c>
      <c r="L50" s="220">
        <f t="shared" si="2"/>
        <v>0</v>
      </c>
      <c r="M50" s="705"/>
    </row>
    <row r="51" spans="1:13" ht="19.5" customHeight="1" x14ac:dyDescent="0.25">
      <c r="A51" s="280">
        <v>34</v>
      </c>
      <c r="B51" s="703" t="str">
        <f>IF(VLOOKUP(A51,'דוח ביצוע (3)'!A:G,2,0)="","",VLOOKUP('תשלומי הורים ומלגות להורים (5) '!A51,'דוח ביצוע (3)'!A:G,2,0))</f>
        <v/>
      </c>
      <c r="C51" s="849"/>
      <c r="D51" s="219">
        <f>SUMIFS('דוח הוצאות בפועל (4)'!$E$17:$E$3016,'דוח הוצאות בפועל (4)'!$B$17:$B$3016,'תשלומי הורים ומלגות להורים (5) '!B51,'דוח הוצאות בפועל (4)'!$D$17:$D$3016,"מלגות להורים")</f>
        <v>0</v>
      </c>
      <c r="E51" s="219">
        <f t="shared" si="1"/>
        <v>0</v>
      </c>
      <c r="F51" s="704"/>
      <c r="G51" s="705"/>
      <c r="H51" s="705"/>
      <c r="I51" s="705"/>
      <c r="K51" s="220">
        <f>IFERROR(VLOOKUP(B51,'דוח ביצוע (3)'!B:J,8,0),0)</f>
        <v>0</v>
      </c>
      <c r="L51" s="220">
        <f t="shared" si="2"/>
        <v>0</v>
      </c>
      <c r="M51" s="705"/>
    </row>
    <row r="52" spans="1:13" ht="19.5" customHeight="1" x14ac:dyDescent="0.25">
      <c r="A52" s="280">
        <v>35</v>
      </c>
      <c r="B52" s="703" t="str">
        <f>IF(VLOOKUP(A52,'דוח ביצוע (3)'!A:G,2,0)="","",VLOOKUP('תשלומי הורים ומלגות להורים (5) '!A52,'דוח ביצוע (3)'!A:G,2,0))</f>
        <v/>
      </c>
      <c r="C52" s="849"/>
      <c r="D52" s="219">
        <f>SUMIFS('דוח הוצאות בפועל (4)'!$E$17:$E$3016,'דוח הוצאות בפועל (4)'!$B$17:$B$3016,'תשלומי הורים ומלגות להורים (5) '!B52,'דוח הוצאות בפועל (4)'!$D$17:$D$3016,"מלגות להורים")</f>
        <v>0</v>
      </c>
      <c r="E52" s="219">
        <f t="shared" si="1"/>
        <v>0</v>
      </c>
      <c r="F52" s="704"/>
      <c r="G52" s="705"/>
      <c r="H52" s="705"/>
      <c r="I52" s="705"/>
      <c r="K52" s="220">
        <f>IFERROR(VLOOKUP(B52,'דוח ביצוע (3)'!B:J,8,0),0)</f>
        <v>0</v>
      </c>
      <c r="L52" s="220">
        <f t="shared" si="2"/>
        <v>0</v>
      </c>
      <c r="M52" s="705"/>
    </row>
    <row r="53" spans="1:13" ht="19.5" customHeight="1" x14ac:dyDescent="0.25">
      <c r="A53" s="280">
        <v>36</v>
      </c>
      <c r="B53" s="703" t="str">
        <f>IF(VLOOKUP(A53,'דוח ביצוע (3)'!A:G,2,0)="","",VLOOKUP('תשלומי הורים ומלגות להורים (5) '!A53,'דוח ביצוע (3)'!A:G,2,0))</f>
        <v/>
      </c>
      <c r="C53" s="849"/>
      <c r="D53" s="219">
        <f>SUMIFS('דוח הוצאות בפועל (4)'!$E$17:$E$3016,'דוח הוצאות בפועל (4)'!$B$17:$B$3016,'תשלומי הורים ומלגות להורים (5) '!B53,'דוח הוצאות בפועל (4)'!$D$17:$D$3016,"מלגות להורים")</f>
        <v>0</v>
      </c>
      <c r="E53" s="219">
        <f t="shared" si="1"/>
        <v>0</v>
      </c>
      <c r="F53" s="704"/>
      <c r="G53" s="705"/>
      <c r="H53" s="705"/>
      <c r="I53" s="705"/>
      <c r="K53" s="220">
        <f>IFERROR(VLOOKUP(B53,'דוח ביצוע (3)'!B:J,8,0),0)</f>
        <v>0</v>
      </c>
      <c r="L53" s="220">
        <f t="shared" si="2"/>
        <v>0</v>
      </c>
      <c r="M53" s="705"/>
    </row>
    <row r="54" spans="1:13" ht="19.5" customHeight="1" x14ac:dyDescent="0.25">
      <c r="A54" s="280">
        <v>37</v>
      </c>
      <c r="B54" s="703" t="str">
        <f>IF(VLOOKUP(A54,'דוח ביצוע (3)'!A:G,2,0)="","",VLOOKUP('תשלומי הורים ומלגות להורים (5) '!A54,'דוח ביצוע (3)'!A:G,2,0))</f>
        <v/>
      </c>
      <c r="C54" s="849"/>
      <c r="D54" s="219">
        <f>SUMIFS('דוח הוצאות בפועל (4)'!$E$17:$E$3016,'דוח הוצאות בפועל (4)'!$B$17:$B$3016,'תשלומי הורים ומלגות להורים (5) '!B54,'דוח הוצאות בפועל (4)'!$D$17:$D$3016,"מלגות להורים")</f>
        <v>0</v>
      </c>
      <c r="E54" s="219">
        <f t="shared" si="1"/>
        <v>0</v>
      </c>
      <c r="F54" s="704"/>
      <c r="G54" s="705"/>
      <c r="H54" s="705"/>
      <c r="I54" s="705"/>
      <c r="K54" s="220">
        <f>IFERROR(VLOOKUP(B54,'דוח ביצוע (3)'!B:J,8,0),0)</f>
        <v>0</v>
      </c>
      <c r="L54" s="220">
        <f t="shared" si="2"/>
        <v>0</v>
      </c>
      <c r="M54" s="705"/>
    </row>
    <row r="55" spans="1:13" ht="19.5" customHeight="1" x14ac:dyDescent="0.25">
      <c r="A55" s="280">
        <v>38</v>
      </c>
      <c r="B55" s="703" t="str">
        <f>IF(VLOOKUP(A55,'דוח ביצוע (3)'!A:G,2,0)="","",VLOOKUP('תשלומי הורים ומלגות להורים (5) '!A55,'דוח ביצוע (3)'!A:G,2,0))</f>
        <v/>
      </c>
      <c r="C55" s="849"/>
      <c r="D55" s="219">
        <f>SUMIFS('דוח הוצאות בפועל (4)'!$E$17:$E$3016,'דוח הוצאות בפועל (4)'!$B$17:$B$3016,'תשלומי הורים ומלגות להורים (5) '!B55,'דוח הוצאות בפועל (4)'!$D$17:$D$3016,"מלגות להורים")</f>
        <v>0</v>
      </c>
      <c r="E55" s="219">
        <f t="shared" si="1"/>
        <v>0</v>
      </c>
      <c r="F55" s="704"/>
      <c r="G55" s="705"/>
      <c r="H55" s="705"/>
      <c r="I55" s="705"/>
      <c r="K55" s="220">
        <f>IFERROR(VLOOKUP(B55,'דוח ביצוע (3)'!B:J,8,0),0)</f>
        <v>0</v>
      </c>
      <c r="L55" s="220">
        <f t="shared" si="2"/>
        <v>0</v>
      </c>
      <c r="M55" s="705"/>
    </row>
    <row r="56" spans="1:13" ht="19.5" customHeight="1" x14ac:dyDescent="0.25">
      <c r="A56" s="280">
        <v>39</v>
      </c>
      <c r="B56" s="703" t="str">
        <f>IF(VLOOKUP(A56,'דוח ביצוע (3)'!A:G,2,0)="","",VLOOKUP('תשלומי הורים ומלגות להורים (5) '!A56,'דוח ביצוע (3)'!A:G,2,0))</f>
        <v/>
      </c>
      <c r="C56" s="849"/>
      <c r="D56" s="219">
        <f>SUMIFS('דוח הוצאות בפועל (4)'!$E$17:$E$3016,'דוח הוצאות בפועל (4)'!$B$17:$B$3016,'תשלומי הורים ומלגות להורים (5) '!B56,'דוח הוצאות בפועל (4)'!$D$17:$D$3016,"מלגות להורים")</f>
        <v>0</v>
      </c>
      <c r="E56" s="219">
        <f t="shared" si="1"/>
        <v>0</v>
      </c>
      <c r="F56" s="704"/>
      <c r="G56" s="705"/>
      <c r="H56" s="705"/>
      <c r="I56" s="705"/>
      <c r="K56" s="220">
        <f>IFERROR(VLOOKUP(B56,'דוח ביצוע (3)'!B:J,8,0),0)</f>
        <v>0</v>
      </c>
      <c r="L56" s="220">
        <f t="shared" si="2"/>
        <v>0</v>
      </c>
      <c r="M56" s="705"/>
    </row>
    <row r="57" spans="1:13" ht="19.5" customHeight="1" x14ac:dyDescent="0.25">
      <c r="A57" s="280">
        <v>40</v>
      </c>
      <c r="B57" s="703" t="str">
        <f>IF(VLOOKUP(A57,'דוח ביצוע (3)'!A:G,2,0)="","",VLOOKUP('תשלומי הורים ומלגות להורים (5) '!A57,'דוח ביצוע (3)'!A:G,2,0))</f>
        <v/>
      </c>
      <c r="C57" s="849"/>
      <c r="D57" s="219">
        <f>SUMIFS('דוח הוצאות בפועל (4)'!$E$17:$E$3016,'דוח הוצאות בפועל (4)'!$B$17:$B$3016,'תשלומי הורים ומלגות להורים (5) '!B57,'דוח הוצאות בפועל (4)'!$D$17:$D$3016,"מלגות להורים")</f>
        <v>0</v>
      </c>
      <c r="E57" s="219">
        <f t="shared" si="1"/>
        <v>0</v>
      </c>
      <c r="F57" s="704"/>
      <c r="G57" s="705"/>
      <c r="H57" s="705"/>
      <c r="I57" s="705"/>
      <c r="K57" s="220">
        <f>IFERROR(VLOOKUP(B57,'דוח ביצוע (3)'!B:J,8,0),0)</f>
        <v>0</v>
      </c>
      <c r="L57" s="220">
        <f t="shared" si="2"/>
        <v>0</v>
      </c>
      <c r="M57" s="705"/>
    </row>
    <row r="58" spans="1:13" ht="19.5" customHeight="1" x14ac:dyDescent="0.25">
      <c r="A58" s="280">
        <v>41</v>
      </c>
      <c r="B58" s="703" t="str">
        <f>IF(VLOOKUP(A58,'דוח ביצוע (3)'!A:G,2,0)="","",VLOOKUP('תשלומי הורים ומלגות להורים (5) '!A58,'דוח ביצוע (3)'!A:G,2,0))</f>
        <v/>
      </c>
      <c r="C58" s="849"/>
      <c r="D58" s="219">
        <f>SUMIFS('דוח הוצאות בפועל (4)'!$E$17:$E$3016,'דוח הוצאות בפועל (4)'!$B$17:$B$3016,'תשלומי הורים ומלגות להורים (5) '!B58,'דוח הוצאות בפועל (4)'!$D$17:$D$3016,"מלגות להורים")</f>
        <v>0</v>
      </c>
      <c r="E58" s="219">
        <f t="shared" si="1"/>
        <v>0</v>
      </c>
      <c r="F58" s="704"/>
      <c r="G58" s="705"/>
      <c r="H58" s="705"/>
      <c r="I58" s="705"/>
      <c r="K58" s="220">
        <f>IFERROR(VLOOKUP(B58,'דוח ביצוע (3)'!B:J,8,0),0)</f>
        <v>0</v>
      </c>
      <c r="L58" s="220">
        <f t="shared" si="2"/>
        <v>0</v>
      </c>
      <c r="M58" s="705"/>
    </row>
    <row r="59" spans="1:13" ht="19.5" customHeight="1" x14ac:dyDescent="0.25">
      <c r="A59" s="280">
        <v>42</v>
      </c>
      <c r="B59" s="703" t="str">
        <f>IF(VLOOKUP(A59,'דוח ביצוע (3)'!A:G,2,0)="","",VLOOKUP('תשלומי הורים ומלגות להורים (5) '!A59,'דוח ביצוע (3)'!A:G,2,0))</f>
        <v/>
      </c>
      <c r="C59" s="849"/>
      <c r="D59" s="219">
        <f>SUMIFS('דוח הוצאות בפועל (4)'!$E$17:$E$3016,'דוח הוצאות בפועל (4)'!$B$17:$B$3016,'תשלומי הורים ומלגות להורים (5) '!B59,'דוח הוצאות בפועל (4)'!$D$17:$D$3016,"מלגות להורים")</f>
        <v>0</v>
      </c>
      <c r="E59" s="219">
        <f t="shared" si="1"/>
        <v>0</v>
      </c>
      <c r="F59" s="704"/>
      <c r="G59" s="705"/>
      <c r="H59" s="705"/>
      <c r="I59" s="705"/>
      <c r="K59" s="220">
        <f>IFERROR(VLOOKUP(B59,'דוח ביצוע (3)'!B:J,8,0),0)</f>
        <v>0</v>
      </c>
      <c r="L59" s="220">
        <f t="shared" si="2"/>
        <v>0</v>
      </c>
      <c r="M59" s="705"/>
    </row>
    <row r="60" spans="1:13" ht="19.5" customHeight="1" x14ac:dyDescent="0.25">
      <c r="A60" s="280">
        <v>43</v>
      </c>
      <c r="B60" s="703" t="str">
        <f>IF(VLOOKUP(A60,'דוח ביצוע (3)'!A:G,2,0)="","",VLOOKUP('תשלומי הורים ומלגות להורים (5) '!A60,'דוח ביצוע (3)'!A:G,2,0))</f>
        <v/>
      </c>
      <c r="C60" s="849"/>
      <c r="D60" s="219">
        <f>SUMIFS('דוח הוצאות בפועל (4)'!$E$17:$E$3016,'דוח הוצאות בפועל (4)'!$B$17:$B$3016,'תשלומי הורים ומלגות להורים (5) '!B60,'דוח הוצאות בפועל (4)'!$D$17:$D$3016,"מלגות להורים")</f>
        <v>0</v>
      </c>
      <c r="E60" s="219">
        <f t="shared" si="1"/>
        <v>0</v>
      </c>
      <c r="F60" s="704"/>
      <c r="G60" s="705"/>
      <c r="H60" s="705"/>
      <c r="I60" s="705"/>
      <c r="K60" s="220">
        <f>IFERROR(VLOOKUP(B60,'דוח ביצוע (3)'!B:J,8,0),0)</f>
        <v>0</v>
      </c>
      <c r="L60" s="220">
        <f t="shared" si="2"/>
        <v>0</v>
      </c>
      <c r="M60" s="705"/>
    </row>
    <row r="61" spans="1:13" ht="19.5" customHeight="1" x14ac:dyDescent="0.25">
      <c r="A61" s="280">
        <v>44</v>
      </c>
      <c r="B61" s="703" t="str">
        <f>IF(VLOOKUP(A61,'דוח ביצוע (3)'!A:G,2,0)="","",VLOOKUP('תשלומי הורים ומלגות להורים (5) '!A61,'דוח ביצוע (3)'!A:G,2,0))</f>
        <v/>
      </c>
      <c r="C61" s="849"/>
      <c r="D61" s="219">
        <f>SUMIFS('דוח הוצאות בפועל (4)'!$E$17:$E$3016,'דוח הוצאות בפועל (4)'!$B$17:$B$3016,'תשלומי הורים ומלגות להורים (5) '!B61,'דוח הוצאות בפועל (4)'!$D$17:$D$3016,"מלגות להורים")</f>
        <v>0</v>
      </c>
      <c r="E61" s="219">
        <f t="shared" si="1"/>
        <v>0</v>
      </c>
      <c r="F61" s="704"/>
      <c r="G61" s="705"/>
      <c r="H61" s="705"/>
      <c r="I61" s="705"/>
      <c r="K61" s="220">
        <f>IFERROR(VLOOKUP(B61,'דוח ביצוע (3)'!B:J,8,0),0)</f>
        <v>0</v>
      </c>
      <c r="L61" s="220">
        <f t="shared" si="2"/>
        <v>0</v>
      </c>
      <c r="M61" s="705"/>
    </row>
    <row r="62" spans="1:13" ht="19.5" customHeight="1" x14ac:dyDescent="0.25">
      <c r="A62" s="280">
        <v>45</v>
      </c>
      <c r="B62" s="703" t="str">
        <f>IF(VLOOKUP(A62,'דוח ביצוע (3)'!A:G,2,0)="","",VLOOKUP('תשלומי הורים ומלגות להורים (5) '!A62,'דוח ביצוע (3)'!A:G,2,0))</f>
        <v/>
      </c>
      <c r="C62" s="849"/>
      <c r="D62" s="219">
        <f>SUMIFS('דוח הוצאות בפועל (4)'!$E$17:$E$3016,'דוח הוצאות בפועל (4)'!$B$17:$B$3016,'תשלומי הורים ומלגות להורים (5) '!B62,'דוח הוצאות בפועל (4)'!$D$17:$D$3016,"מלגות להורים")</f>
        <v>0</v>
      </c>
      <c r="E62" s="219">
        <f t="shared" si="1"/>
        <v>0</v>
      </c>
      <c r="F62" s="704"/>
      <c r="G62" s="705"/>
      <c r="H62" s="705"/>
      <c r="I62" s="705"/>
      <c r="K62" s="220">
        <f>IFERROR(VLOOKUP(B62,'דוח ביצוע (3)'!B:J,8,0),0)</f>
        <v>0</v>
      </c>
      <c r="L62" s="220">
        <f t="shared" si="2"/>
        <v>0</v>
      </c>
      <c r="M62" s="705"/>
    </row>
    <row r="63" spans="1:13" ht="19.5" customHeight="1" x14ac:dyDescent="0.25">
      <c r="A63" s="280">
        <v>46</v>
      </c>
      <c r="B63" s="703" t="str">
        <f>IF(VLOOKUP(A63,'דוח ביצוע (3)'!A:G,2,0)="","",VLOOKUP('תשלומי הורים ומלגות להורים (5) '!A63,'דוח ביצוע (3)'!A:G,2,0))</f>
        <v/>
      </c>
      <c r="C63" s="849"/>
      <c r="D63" s="219">
        <f>SUMIFS('דוח הוצאות בפועל (4)'!$E$17:$E$3016,'דוח הוצאות בפועל (4)'!$B$17:$B$3016,'תשלומי הורים ומלגות להורים (5) '!B63,'דוח הוצאות בפועל (4)'!$D$17:$D$3016,"מלגות להורים")</f>
        <v>0</v>
      </c>
      <c r="E63" s="219">
        <f t="shared" si="1"/>
        <v>0</v>
      </c>
      <c r="F63" s="704"/>
      <c r="G63" s="705"/>
      <c r="H63" s="705"/>
      <c r="I63" s="705"/>
      <c r="K63" s="220">
        <f>IFERROR(VLOOKUP(B63,'דוח ביצוע (3)'!B:J,8,0),0)</f>
        <v>0</v>
      </c>
      <c r="L63" s="220">
        <f t="shared" si="2"/>
        <v>0</v>
      </c>
      <c r="M63" s="705"/>
    </row>
    <row r="64" spans="1:13" ht="19.5" customHeight="1" x14ac:dyDescent="0.25">
      <c r="A64" s="280">
        <v>47</v>
      </c>
      <c r="B64" s="703" t="str">
        <f>IF(VLOOKUP(A64,'דוח ביצוע (3)'!A:G,2,0)="","",VLOOKUP('תשלומי הורים ומלגות להורים (5) '!A64,'דוח ביצוע (3)'!A:G,2,0))</f>
        <v/>
      </c>
      <c r="C64" s="849"/>
      <c r="D64" s="219">
        <f>SUMIFS('דוח הוצאות בפועל (4)'!$E$17:$E$3016,'דוח הוצאות בפועל (4)'!$B$17:$B$3016,'תשלומי הורים ומלגות להורים (5) '!B64,'דוח הוצאות בפועל (4)'!$D$17:$D$3016,"מלגות להורים")</f>
        <v>0</v>
      </c>
      <c r="E64" s="219">
        <f t="shared" si="1"/>
        <v>0</v>
      </c>
      <c r="F64" s="704"/>
      <c r="G64" s="705"/>
      <c r="H64" s="705"/>
      <c r="I64" s="705"/>
      <c r="K64" s="220">
        <f>IFERROR(VLOOKUP(B64,'דוח ביצוע (3)'!B:J,8,0),0)</f>
        <v>0</v>
      </c>
      <c r="L64" s="220">
        <f t="shared" si="2"/>
        <v>0</v>
      </c>
      <c r="M64" s="705"/>
    </row>
    <row r="65" spans="1:13" ht="19.5" customHeight="1" x14ac:dyDescent="0.25">
      <c r="A65" s="280">
        <v>48</v>
      </c>
      <c r="B65" s="703" t="str">
        <f>IF(VLOOKUP(A65,'דוח ביצוע (3)'!A:G,2,0)="","",VLOOKUP('תשלומי הורים ומלגות להורים (5) '!A65,'דוח ביצוע (3)'!A:G,2,0))</f>
        <v/>
      </c>
      <c r="C65" s="849"/>
      <c r="D65" s="219">
        <f>SUMIFS('דוח הוצאות בפועל (4)'!$E$17:$E$3016,'דוח הוצאות בפועל (4)'!$B$17:$B$3016,'תשלומי הורים ומלגות להורים (5) '!B65,'דוח הוצאות בפועל (4)'!$D$17:$D$3016,"מלגות להורים")</f>
        <v>0</v>
      </c>
      <c r="E65" s="219">
        <f t="shared" si="1"/>
        <v>0</v>
      </c>
      <c r="F65" s="704"/>
      <c r="G65" s="705"/>
      <c r="H65" s="705"/>
      <c r="I65" s="705"/>
      <c r="K65" s="220">
        <f>IFERROR(VLOOKUP(B65,'דוח ביצוע (3)'!B:J,8,0),0)</f>
        <v>0</v>
      </c>
      <c r="L65" s="220">
        <f t="shared" si="2"/>
        <v>0</v>
      </c>
      <c r="M65" s="705"/>
    </row>
    <row r="66" spans="1:13" ht="19.5" customHeight="1" x14ac:dyDescent="0.25">
      <c r="A66" s="280">
        <v>49</v>
      </c>
      <c r="B66" s="703" t="str">
        <f>IF(VLOOKUP(A66,'דוח ביצוע (3)'!A:G,2,0)="","",VLOOKUP('תשלומי הורים ומלגות להורים (5) '!A66,'דוח ביצוע (3)'!A:G,2,0))</f>
        <v/>
      </c>
      <c r="C66" s="849"/>
      <c r="D66" s="219">
        <f>SUMIFS('דוח הוצאות בפועל (4)'!$E$17:$E$3016,'דוח הוצאות בפועל (4)'!$B$17:$B$3016,'תשלומי הורים ומלגות להורים (5) '!B66,'דוח הוצאות בפועל (4)'!$D$17:$D$3016,"מלגות להורים")</f>
        <v>0</v>
      </c>
      <c r="E66" s="219">
        <f t="shared" si="1"/>
        <v>0</v>
      </c>
      <c r="F66" s="704"/>
      <c r="G66" s="705"/>
      <c r="H66" s="705"/>
      <c r="I66" s="705"/>
      <c r="K66" s="220">
        <f>IFERROR(VLOOKUP(B66,'דוח ביצוע (3)'!B:J,8,0),0)</f>
        <v>0</v>
      </c>
      <c r="L66" s="220">
        <f t="shared" si="2"/>
        <v>0</v>
      </c>
      <c r="M66" s="705"/>
    </row>
    <row r="67" spans="1:13" ht="19.5" customHeight="1" x14ac:dyDescent="0.25">
      <c r="A67" s="280">
        <v>50</v>
      </c>
      <c r="B67" s="703" t="str">
        <f>IF(VLOOKUP(A67,'דוח ביצוע (3)'!A:G,2,0)="","",VLOOKUP('תשלומי הורים ומלגות להורים (5) '!A67,'דוח ביצוע (3)'!A:G,2,0))</f>
        <v/>
      </c>
      <c r="C67" s="849"/>
      <c r="D67" s="219">
        <f>SUMIFS('דוח הוצאות בפועל (4)'!$E$17:$E$3016,'דוח הוצאות בפועל (4)'!$B$17:$B$3016,'תשלומי הורים ומלגות להורים (5) '!B67,'דוח הוצאות בפועל (4)'!$D$17:$D$3016,"מלגות להורים")</f>
        <v>0</v>
      </c>
      <c r="E67" s="219">
        <f t="shared" si="1"/>
        <v>0</v>
      </c>
      <c r="F67" s="704"/>
      <c r="G67" s="705"/>
      <c r="H67" s="705"/>
      <c r="I67" s="705"/>
      <c r="K67" s="220">
        <f>IFERROR(VLOOKUP(B67,'דוח ביצוע (3)'!B:J,8,0),0)</f>
        <v>0</v>
      </c>
      <c r="L67" s="220">
        <f t="shared" si="2"/>
        <v>0</v>
      </c>
      <c r="M67" s="705"/>
    </row>
    <row r="68" spans="1:13" ht="19.5" customHeight="1" x14ac:dyDescent="0.25">
      <c r="A68" s="280">
        <v>51</v>
      </c>
      <c r="B68" s="703" t="str">
        <f>IF(VLOOKUP(A68,'דוח ביצוע (3)'!A:G,2,0)="","",VLOOKUP('תשלומי הורים ומלגות להורים (5) '!A68,'דוח ביצוע (3)'!A:G,2,0))</f>
        <v/>
      </c>
      <c r="C68" s="849"/>
      <c r="D68" s="219">
        <f>SUMIFS('דוח הוצאות בפועל (4)'!$E$17:$E$3016,'דוח הוצאות בפועל (4)'!$B$17:$B$3016,'תשלומי הורים ומלגות להורים (5) '!B68,'דוח הוצאות בפועל (4)'!$D$17:$D$3016,"מלגות להורים")</f>
        <v>0</v>
      </c>
      <c r="E68" s="219">
        <f t="shared" si="1"/>
        <v>0</v>
      </c>
      <c r="F68" s="704"/>
      <c r="G68" s="705"/>
      <c r="H68" s="705"/>
      <c r="I68" s="705"/>
      <c r="K68" s="220">
        <f>IFERROR(VLOOKUP(B68,'דוח ביצוע (3)'!B:J,8,0),0)</f>
        <v>0</v>
      </c>
      <c r="L68" s="220">
        <f t="shared" si="2"/>
        <v>0</v>
      </c>
      <c r="M68" s="705"/>
    </row>
    <row r="69" spans="1:13" ht="19.5" customHeight="1" x14ac:dyDescent="0.25">
      <c r="A69" s="280">
        <v>52</v>
      </c>
      <c r="B69" s="703" t="str">
        <f>IF(VLOOKUP(A69,'דוח ביצוע (3)'!A:G,2,0)="","",VLOOKUP('תשלומי הורים ומלגות להורים (5) '!A69,'דוח ביצוע (3)'!A:G,2,0))</f>
        <v/>
      </c>
      <c r="C69" s="849"/>
      <c r="D69" s="219">
        <f>SUMIFS('דוח הוצאות בפועל (4)'!$E$17:$E$3016,'דוח הוצאות בפועל (4)'!$B$17:$B$3016,'תשלומי הורים ומלגות להורים (5) '!B69,'דוח הוצאות בפועל (4)'!$D$17:$D$3016,"מלגות להורים")</f>
        <v>0</v>
      </c>
      <c r="E69" s="219">
        <f t="shared" si="1"/>
        <v>0</v>
      </c>
      <c r="F69" s="704"/>
      <c r="G69" s="705"/>
      <c r="H69" s="705"/>
      <c r="I69" s="705"/>
      <c r="K69" s="220">
        <f>IFERROR(VLOOKUP(B69,'דוח ביצוע (3)'!B:J,8,0),0)</f>
        <v>0</v>
      </c>
      <c r="L69" s="220">
        <f t="shared" si="2"/>
        <v>0</v>
      </c>
      <c r="M69" s="705"/>
    </row>
    <row r="70" spans="1:13" ht="19.5" customHeight="1" x14ac:dyDescent="0.25">
      <c r="A70" s="280">
        <v>53</v>
      </c>
      <c r="B70" s="703" t="str">
        <f>IF(VLOOKUP(A70,'דוח ביצוע (3)'!A:G,2,0)="","",VLOOKUP('תשלומי הורים ומלגות להורים (5) '!A70,'דוח ביצוע (3)'!A:G,2,0))</f>
        <v/>
      </c>
      <c r="C70" s="849"/>
      <c r="D70" s="219">
        <f>SUMIFS('דוח הוצאות בפועל (4)'!$E$17:$E$3016,'דוח הוצאות בפועל (4)'!$B$17:$B$3016,'תשלומי הורים ומלגות להורים (5) '!B70,'דוח הוצאות בפועל (4)'!$D$17:$D$3016,"מלגות להורים")</f>
        <v>0</v>
      </c>
      <c r="E70" s="219">
        <f t="shared" si="1"/>
        <v>0</v>
      </c>
      <c r="F70" s="704"/>
      <c r="G70" s="705"/>
      <c r="H70" s="705"/>
      <c r="I70" s="705"/>
      <c r="K70" s="220">
        <f>IFERROR(VLOOKUP(B70,'דוח ביצוע (3)'!B:J,8,0),0)</f>
        <v>0</v>
      </c>
      <c r="L70" s="220">
        <f t="shared" si="2"/>
        <v>0</v>
      </c>
      <c r="M70" s="705"/>
    </row>
    <row r="71" spans="1:13" ht="19.5" customHeight="1" x14ac:dyDescent="0.25">
      <c r="A71" s="280">
        <v>54</v>
      </c>
      <c r="B71" s="703" t="str">
        <f>IF(VLOOKUP(A71,'דוח ביצוע (3)'!A:G,2,0)="","",VLOOKUP('תשלומי הורים ומלגות להורים (5) '!A71,'דוח ביצוע (3)'!A:G,2,0))</f>
        <v/>
      </c>
      <c r="C71" s="849"/>
      <c r="D71" s="219">
        <f>SUMIFS('דוח הוצאות בפועל (4)'!$E$17:$E$3016,'דוח הוצאות בפועל (4)'!$B$17:$B$3016,'תשלומי הורים ומלגות להורים (5) '!B71,'דוח הוצאות בפועל (4)'!$D$17:$D$3016,"מלגות להורים")</f>
        <v>0</v>
      </c>
      <c r="E71" s="219">
        <f t="shared" si="1"/>
        <v>0</v>
      </c>
      <c r="F71" s="704"/>
      <c r="G71" s="705"/>
      <c r="H71" s="705"/>
      <c r="I71" s="705"/>
      <c r="K71" s="220">
        <f>IFERROR(VLOOKUP(B71,'דוח ביצוע (3)'!B:J,8,0),0)</f>
        <v>0</v>
      </c>
      <c r="L71" s="220">
        <f t="shared" si="2"/>
        <v>0</v>
      </c>
      <c r="M71" s="705"/>
    </row>
    <row r="72" spans="1:13" ht="19.5" customHeight="1" x14ac:dyDescent="0.25">
      <c r="A72" s="280">
        <v>55</v>
      </c>
      <c r="B72" s="703" t="str">
        <f>IF(VLOOKUP(A72,'דוח ביצוע (3)'!A:G,2,0)="","",VLOOKUP('תשלומי הורים ומלגות להורים (5) '!A72,'דוח ביצוע (3)'!A:G,2,0))</f>
        <v/>
      </c>
      <c r="C72" s="849"/>
      <c r="D72" s="219">
        <f>SUMIFS('דוח הוצאות בפועל (4)'!$E$17:$E$3016,'דוח הוצאות בפועל (4)'!$B$17:$B$3016,'תשלומי הורים ומלגות להורים (5) '!B72,'דוח הוצאות בפועל (4)'!$D$17:$D$3016,"מלגות להורים")</f>
        <v>0</v>
      </c>
      <c r="E72" s="219">
        <f t="shared" si="1"/>
        <v>0</v>
      </c>
      <c r="F72" s="704"/>
      <c r="G72" s="705"/>
      <c r="H72" s="705"/>
      <c r="I72" s="705"/>
      <c r="K72" s="220">
        <f>IFERROR(VLOOKUP(B72,'דוח ביצוע (3)'!B:J,8,0),0)</f>
        <v>0</v>
      </c>
      <c r="L72" s="220">
        <f t="shared" si="2"/>
        <v>0</v>
      </c>
      <c r="M72" s="705"/>
    </row>
    <row r="73" spans="1:13" ht="19.5" customHeight="1" x14ac:dyDescent="0.25">
      <c r="A73" s="280">
        <v>56</v>
      </c>
      <c r="B73" s="703" t="str">
        <f>IF(VLOOKUP(A73,'דוח ביצוע (3)'!A:G,2,0)="","",VLOOKUP('תשלומי הורים ומלגות להורים (5) '!A73,'דוח ביצוע (3)'!A:G,2,0))</f>
        <v/>
      </c>
      <c r="C73" s="849"/>
      <c r="D73" s="219">
        <f>SUMIFS('דוח הוצאות בפועל (4)'!$E$17:$E$3016,'דוח הוצאות בפועל (4)'!$B$17:$B$3016,'תשלומי הורים ומלגות להורים (5) '!B73,'דוח הוצאות בפועל (4)'!$D$17:$D$3016,"מלגות להורים")</f>
        <v>0</v>
      </c>
      <c r="E73" s="219">
        <f t="shared" si="1"/>
        <v>0</v>
      </c>
      <c r="F73" s="704"/>
      <c r="G73" s="705"/>
      <c r="H73" s="705"/>
      <c r="I73" s="705"/>
      <c r="K73" s="220">
        <f>IFERROR(VLOOKUP(B73,'דוח ביצוע (3)'!B:J,8,0),0)</f>
        <v>0</v>
      </c>
      <c r="L73" s="220">
        <f t="shared" si="2"/>
        <v>0</v>
      </c>
      <c r="M73" s="705"/>
    </row>
    <row r="74" spans="1:13" ht="19.5" customHeight="1" x14ac:dyDescent="0.25">
      <c r="A74" s="280">
        <v>57</v>
      </c>
      <c r="B74" s="703" t="str">
        <f>IF(VLOOKUP(A74,'דוח ביצוע (3)'!A:G,2,0)="","",VLOOKUP('תשלומי הורים ומלגות להורים (5) '!A74,'דוח ביצוע (3)'!A:G,2,0))</f>
        <v/>
      </c>
      <c r="C74" s="849"/>
      <c r="D74" s="219">
        <f>SUMIFS('דוח הוצאות בפועל (4)'!$E$17:$E$3016,'דוח הוצאות בפועל (4)'!$B$17:$B$3016,'תשלומי הורים ומלגות להורים (5) '!B74,'דוח הוצאות בפועל (4)'!$D$17:$D$3016,"מלגות להורים")</f>
        <v>0</v>
      </c>
      <c r="E74" s="219">
        <f t="shared" si="1"/>
        <v>0</v>
      </c>
      <c r="F74" s="704"/>
      <c r="G74" s="705"/>
      <c r="H74" s="705"/>
      <c r="I74" s="705"/>
      <c r="K74" s="220">
        <f>IFERROR(VLOOKUP(B74,'דוח ביצוע (3)'!B:J,8,0),0)</f>
        <v>0</v>
      </c>
      <c r="L74" s="220">
        <f t="shared" si="2"/>
        <v>0</v>
      </c>
      <c r="M74" s="705"/>
    </row>
    <row r="75" spans="1:13" ht="19.5" customHeight="1" x14ac:dyDescent="0.25">
      <c r="A75" s="280">
        <v>58</v>
      </c>
      <c r="B75" s="703" t="str">
        <f>IF(VLOOKUP(A75,'דוח ביצוע (3)'!A:G,2,0)="","",VLOOKUP('תשלומי הורים ומלגות להורים (5) '!A75,'דוח ביצוע (3)'!A:G,2,0))</f>
        <v/>
      </c>
      <c r="C75" s="849"/>
      <c r="D75" s="219">
        <f>SUMIFS('דוח הוצאות בפועל (4)'!$E$17:$E$3016,'דוח הוצאות בפועל (4)'!$B$17:$B$3016,'תשלומי הורים ומלגות להורים (5) '!B75,'דוח הוצאות בפועל (4)'!$D$17:$D$3016,"מלגות להורים")</f>
        <v>0</v>
      </c>
      <c r="E75" s="219">
        <f t="shared" si="1"/>
        <v>0</v>
      </c>
      <c r="F75" s="704"/>
      <c r="G75" s="705"/>
      <c r="H75" s="705"/>
      <c r="I75" s="705"/>
      <c r="K75" s="220">
        <f>IFERROR(VLOOKUP(B75,'דוח ביצוע (3)'!B:J,8,0),0)</f>
        <v>0</v>
      </c>
      <c r="L75" s="220">
        <f t="shared" si="2"/>
        <v>0</v>
      </c>
      <c r="M75" s="705"/>
    </row>
    <row r="76" spans="1:13" ht="19.5" customHeight="1" x14ac:dyDescent="0.25">
      <c r="A76" s="280">
        <v>59</v>
      </c>
      <c r="B76" s="703" t="str">
        <f>IF(VLOOKUP(A76,'דוח ביצוע (3)'!A:G,2,0)="","",VLOOKUP('תשלומי הורים ומלגות להורים (5) '!A76,'דוח ביצוע (3)'!A:G,2,0))</f>
        <v/>
      </c>
      <c r="C76" s="849"/>
      <c r="D76" s="219">
        <f>SUMIFS('דוח הוצאות בפועל (4)'!$E$17:$E$3016,'דוח הוצאות בפועל (4)'!$B$17:$B$3016,'תשלומי הורים ומלגות להורים (5) '!B76,'דוח הוצאות בפועל (4)'!$D$17:$D$3016,"מלגות להורים")</f>
        <v>0</v>
      </c>
      <c r="E76" s="219">
        <f t="shared" si="1"/>
        <v>0</v>
      </c>
      <c r="F76" s="704"/>
      <c r="G76" s="705"/>
      <c r="H76" s="705"/>
      <c r="I76" s="705"/>
      <c r="K76" s="220">
        <f>IFERROR(VLOOKUP(B76,'דוח ביצוע (3)'!B:J,8,0),0)</f>
        <v>0</v>
      </c>
      <c r="L76" s="220">
        <f t="shared" si="2"/>
        <v>0</v>
      </c>
      <c r="M76" s="705"/>
    </row>
    <row r="77" spans="1:13" ht="19.5" customHeight="1" x14ac:dyDescent="0.25">
      <c r="A77" s="280">
        <v>60</v>
      </c>
      <c r="B77" s="703" t="str">
        <f>IF(VLOOKUP(A77,'דוח ביצוע (3)'!A:G,2,0)="","",VLOOKUP('תשלומי הורים ומלגות להורים (5) '!A77,'דוח ביצוע (3)'!A:G,2,0))</f>
        <v/>
      </c>
      <c r="C77" s="849"/>
      <c r="D77" s="219">
        <f>SUMIFS('דוח הוצאות בפועל (4)'!$E$17:$E$3016,'דוח הוצאות בפועל (4)'!$B$17:$B$3016,'תשלומי הורים ומלגות להורים (5) '!B77,'דוח הוצאות בפועל (4)'!$D$17:$D$3016,"מלגות להורים")</f>
        <v>0</v>
      </c>
      <c r="E77" s="219">
        <f t="shared" si="1"/>
        <v>0</v>
      </c>
      <c r="F77" s="704"/>
      <c r="G77" s="705"/>
      <c r="H77" s="705"/>
      <c r="I77" s="705"/>
      <c r="K77" s="220">
        <f>IFERROR(VLOOKUP(B77,'דוח ביצוע (3)'!B:J,8,0),0)</f>
        <v>0</v>
      </c>
      <c r="L77" s="220">
        <f t="shared" si="2"/>
        <v>0</v>
      </c>
      <c r="M77" s="705"/>
    </row>
    <row r="78" spans="1:13" ht="19.5" customHeight="1" x14ac:dyDescent="0.25">
      <c r="A78" s="280">
        <v>61</v>
      </c>
      <c r="B78" s="703" t="str">
        <f>IF(VLOOKUP(A78,'דוח ביצוע (3)'!A:G,2,0)="","",VLOOKUP('תשלומי הורים ומלגות להורים (5) '!A78,'דוח ביצוע (3)'!A:G,2,0))</f>
        <v/>
      </c>
      <c r="C78" s="849"/>
      <c r="D78" s="219">
        <f>SUMIFS('דוח הוצאות בפועל (4)'!$E$17:$E$3016,'דוח הוצאות בפועל (4)'!$B$17:$B$3016,'תשלומי הורים ומלגות להורים (5) '!B78,'דוח הוצאות בפועל (4)'!$D$17:$D$3016,"מלגות להורים")</f>
        <v>0</v>
      </c>
      <c r="E78" s="219">
        <f t="shared" si="1"/>
        <v>0</v>
      </c>
      <c r="F78" s="704"/>
      <c r="G78" s="705"/>
      <c r="H78" s="705"/>
      <c r="I78" s="705"/>
      <c r="K78" s="220">
        <f>IFERROR(VLOOKUP(B78,'דוח ביצוע (3)'!B:J,8,0),0)</f>
        <v>0</v>
      </c>
      <c r="L78" s="220">
        <f t="shared" si="2"/>
        <v>0</v>
      </c>
      <c r="M78" s="705"/>
    </row>
    <row r="79" spans="1:13" ht="19.5" customHeight="1" x14ac:dyDescent="0.25">
      <c r="A79" s="280">
        <v>62</v>
      </c>
      <c r="B79" s="703" t="str">
        <f>IF(VLOOKUP(A79,'דוח ביצוע (3)'!A:G,2,0)="","",VLOOKUP('תשלומי הורים ומלגות להורים (5) '!A79,'דוח ביצוע (3)'!A:G,2,0))</f>
        <v/>
      </c>
      <c r="C79" s="849"/>
      <c r="D79" s="219">
        <f>SUMIFS('דוח הוצאות בפועל (4)'!$E$17:$E$3016,'דוח הוצאות בפועל (4)'!$B$17:$B$3016,'תשלומי הורים ומלגות להורים (5) '!B79,'דוח הוצאות בפועל (4)'!$D$17:$D$3016,"מלגות להורים")</f>
        <v>0</v>
      </c>
      <c r="E79" s="219">
        <f t="shared" si="1"/>
        <v>0</v>
      </c>
      <c r="F79" s="704"/>
      <c r="G79" s="705"/>
      <c r="H79" s="705"/>
      <c r="I79" s="705"/>
      <c r="K79" s="220">
        <f>IFERROR(VLOOKUP(B79,'דוח ביצוע (3)'!B:J,8,0),0)</f>
        <v>0</v>
      </c>
      <c r="L79" s="220">
        <f t="shared" si="2"/>
        <v>0</v>
      </c>
      <c r="M79" s="705"/>
    </row>
    <row r="80" spans="1:13" ht="19.5" customHeight="1" x14ac:dyDescent="0.25">
      <c r="A80" s="280">
        <v>63</v>
      </c>
      <c r="B80" s="703" t="str">
        <f>IF(VLOOKUP(A80,'דוח ביצוע (3)'!A:G,2,0)="","",VLOOKUP('תשלומי הורים ומלגות להורים (5) '!A80,'דוח ביצוע (3)'!A:G,2,0))</f>
        <v/>
      </c>
      <c r="C80" s="849"/>
      <c r="D80" s="219">
        <f>SUMIFS('דוח הוצאות בפועל (4)'!$E$17:$E$3016,'דוח הוצאות בפועל (4)'!$B$17:$B$3016,'תשלומי הורים ומלגות להורים (5) '!B80,'דוח הוצאות בפועל (4)'!$D$17:$D$3016,"מלגות להורים")</f>
        <v>0</v>
      </c>
      <c r="E80" s="219">
        <f t="shared" si="1"/>
        <v>0</v>
      </c>
      <c r="F80" s="704"/>
      <c r="G80" s="705"/>
      <c r="H80" s="705"/>
      <c r="I80" s="705"/>
      <c r="K80" s="220">
        <f>IFERROR(VLOOKUP(B80,'דוח ביצוע (3)'!B:J,8,0),0)</f>
        <v>0</v>
      </c>
      <c r="L80" s="220">
        <f t="shared" si="2"/>
        <v>0</v>
      </c>
      <c r="M80" s="705"/>
    </row>
    <row r="81" spans="1:13" ht="19.5" customHeight="1" x14ac:dyDescent="0.25">
      <c r="A81" s="280">
        <v>64</v>
      </c>
      <c r="B81" s="703" t="str">
        <f>IF(VLOOKUP(A81,'דוח ביצוע (3)'!A:G,2,0)="","",VLOOKUP('תשלומי הורים ומלגות להורים (5) '!A81,'דוח ביצוע (3)'!A:G,2,0))</f>
        <v/>
      </c>
      <c r="C81" s="849"/>
      <c r="D81" s="219">
        <f>SUMIFS('דוח הוצאות בפועל (4)'!$E$17:$E$3016,'דוח הוצאות בפועל (4)'!$B$17:$B$3016,'תשלומי הורים ומלגות להורים (5) '!B81,'דוח הוצאות בפועל (4)'!$D$17:$D$3016,"מלגות להורים")</f>
        <v>0</v>
      </c>
      <c r="E81" s="219">
        <f t="shared" si="1"/>
        <v>0</v>
      </c>
      <c r="F81" s="704"/>
      <c r="G81" s="705"/>
      <c r="H81" s="705"/>
      <c r="I81" s="705"/>
      <c r="K81" s="220">
        <f>IFERROR(VLOOKUP(B81,'דוח ביצוע (3)'!B:J,8,0),0)</f>
        <v>0</v>
      </c>
      <c r="L81" s="220">
        <f t="shared" si="2"/>
        <v>0</v>
      </c>
      <c r="M81" s="705"/>
    </row>
    <row r="82" spans="1:13" ht="19.5" customHeight="1" x14ac:dyDescent="0.25">
      <c r="A82" s="280">
        <v>65</v>
      </c>
      <c r="B82" s="703" t="str">
        <f>IF(VLOOKUP(A82,'דוח ביצוע (3)'!A:G,2,0)="","",VLOOKUP('תשלומי הורים ומלגות להורים (5) '!A82,'דוח ביצוע (3)'!A:G,2,0))</f>
        <v/>
      </c>
      <c r="C82" s="849"/>
      <c r="D82" s="219">
        <f>SUMIFS('דוח הוצאות בפועל (4)'!$E$17:$E$3016,'דוח הוצאות בפועל (4)'!$B$17:$B$3016,'תשלומי הורים ומלגות להורים (5) '!B82,'דוח הוצאות בפועל (4)'!$D$17:$D$3016,"מלגות להורים")</f>
        <v>0</v>
      </c>
      <c r="E82" s="219">
        <f t="shared" si="1"/>
        <v>0</v>
      </c>
      <c r="F82" s="704"/>
      <c r="G82" s="705"/>
      <c r="H82" s="705"/>
      <c r="I82" s="705"/>
      <c r="K82" s="220">
        <f>IFERROR(VLOOKUP(B82,'דוח ביצוע (3)'!B:J,8,0),0)</f>
        <v>0</v>
      </c>
      <c r="L82" s="220">
        <f t="shared" si="2"/>
        <v>0</v>
      </c>
      <c r="M82" s="705"/>
    </row>
    <row r="83" spans="1:13" ht="19.5" customHeight="1" x14ac:dyDescent="0.25">
      <c r="A83" s="280">
        <v>66</v>
      </c>
      <c r="B83" s="703" t="str">
        <f>IF(VLOOKUP(A83,'דוח ביצוע (3)'!A:G,2,0)="","",VLOOKUP('תשלומי הורים ומלגות להורים (5) '!A83,'דוח ביצוע (3)'!A:G,2,0))</f>
        <v/>
      </c>
      <c r="C83" s="849"/>
      <c r="D83" s="219">
        <f>SUMIFS('דוח הוצאות בפועל (4)'!$E$17:$E$3016,'דוח הוצאות בפועל (4)'!$B$17:$B$3016,'תשלומי הורים ומלגות להורים (5) '!B83,'דוח הוצאות בפועל (4)'!$D$17:$D$3016,"מלגות להורים")</f>
        <v>0</v>
      </c>
      <c r="E83" s="219">
        <f t="shared" ref="E83:E146" si="3">C83-D83</f>
        <v>0</v>
      </c>
      <c r="F83" s="704"/>
      <c r="G83" s="705"/>
      <c r="H83" s="705"/>
      <c r="I83" s="705"/>
      <c r="K83" s="220">
        <f>IFERROR(VLOOKUP(B83,'דוח ביצוע (3)'!B:J,8,0),0)</f>
        <v>0</v>
      </c>
      <c r="L83" s="220">
        <f t="shared" ref="L83:L146" si="4">IFERROR(C83/I83-$C$5,0)</f>
        <v>0</v>
      </c>
      <c r="M83" s="705"/>
    </row>
    <row r="84" spans="1:13" ht="19.5" customHeight="1" x14ac:dyDescent="0.25">
      <c r="A84" s="280">
        <v>67</v>
      </c>
      <c r="B84" s="703" t="str">
        <f>IF(VLOOKUP(A84,'דוח ביצוע (3)'!A:G,2,0)="","",VLOOKUP('תשלומי הורים ומלגות להורים (5) '!A84,'דוח ביצוע (3)'!A:G,2,0))</f>
        <v/>
      </c>
      <c r="C84" s="849"/>
      <c r="D84" s="219">
        <f>SUMIFS('דוח הוצאות בפועל (4)'!$E$17:$E$3016,'דוח הוצאות בפועל (4)'!$B$17:$B$3016,'תשלומי הורים ומלגות להורים (5) '!B84,'דוח הוצאות בפועל (4)'!$D$17:$D$3016,"מלגות להורים")</f>
        <v>0</v>
      </c>
      <c r="E84" s="219">
        <f t="shared" si="3"/>
        <v>0</v>
      </c>
      <c r="F84" s="704"/>
      <c r="G84" s="705"/>
      <c r="H84" s="705"/>
      <c r="I84" s="705"/>
      <c r="K84" s="220">
        <f>IFERROR(VLOOKUP(B84,'דוח ביצוע (3)'!B:J,8,0),0)</f>
        <v>0</v>
      </c>
      <c r="L84" s="220">
        <f t="shared" si="4"/>
        <v>0</v>
      </c>
      <c r="M84" s="705"/>
    </row>
    <row r="85" spans="1:13" ht="19.5" customHeight="1" x14ac:dyDescent="0.25">
      <c r="A85" s="280">
        <v>68</v>
      </c>
      <c r="B85" s="703" t="str">
        <f>IF(VLOOKUP(A85,'דוח ביצוע (3)'!A:G,2,0)="","",VLOOKUP('תשלומי הורים ומלגות להורים (5) '!A85,'דוח ביצוע (3)'!A:G,2,0))</f>
        <v/>
      </c>
      <c r="C85" s="849"/>
      <c r="D85" s="219">
        <f>SUMIFS('דוח הוצאות בפועל (4)'!$E$17:$E$3016,'דוח הוצאות בפועל (4)'!$B$17:$B$3016,'תשלומי הורים ומלגות להורים (5) '!B85,'דוח הוצאות בפועל (4)'!$D$17:$D$3016,"מלגות להורים")</f>
        <v>0</v>
      </c>
      <c r="E85" s="219">
        <f t="shared" si="3"/>
        <v>0</v>
      </c>
      <c r="F85" s="704"/>
      <c r="G85" s="705"/>
      <c r="H85" s="705"/>
      <c r="I85" s="705"/>
      <c r="K85" s="220">
        <f>IFERROR(VLOOKUP(B85,'דוח ביצוע (3)'!B:J,8,0),0)</f>
        <v>0</v>
      </c>
      <c r="L85" s="220">
        <f t="shared" si="4"/>
        <v>0</v>
      </c>
      <c r="M85" s="705"/>
    </row>
    <row r="86" spans="1:13" ht="19.5" customHeight="1" x14ac:dyDescent="0.25">
      <c r="A86" s="280">
        <v>69</v>
      </c>
      <c r="B86" s="703" t="str">
        <f>IF(VLOOKUP(A86,'דוח ביצוע (3)'!A:G,2,0)="","",VLOOKUP('תשלומי הורים ומלגות להורים (5) '!A86,'דוח ביצוע (3)'!A:G,2,0))</f>
        <v/>
      </c>
      <c r="C86" s="849"/>
      <c r="D86" s="219">
        <f>SUMIFS('דוח הוצאות בפועל (4)'!$E$17:$E$3016,'דוח הוצאות בפועל (4)'!$B$17:$B$3016,'תשלומי הורים ומלגות להורים (5) '!B86,'דוח הוצאות בפועל (4)'!$D$17:$D$3016,"מלגות להורים")</f>
        <v>0</v>
      </c>
      <c r="E86" s="219">
        <f t="shared" si="3"/>
        <v>0</v>
      </c>
      <c r="F86" s="704"/>
      <c r="G86" s="705"/>
      <c r="H86" s="705"/>
      <c r="I86" s="705"/>
      <c r="K86" s="220">
        <f>IFERROR(VLOOKUP(B86,'דוח ביצוע (3)'!B:J,8,0),0)</f>
        <v>0</v>
      </c>
      <c r="L86" s="220">
        <f t="shared" si="4"/>
        <v>0</v>
      </c>
      <c r="M86" s="705"/>
    </row>
    <row r="87" spans="1:13" ht="19.5" customHeight="1" x14ac:dyDescent="0.25">
      <c r="A87" s="280">
        <v>70</v>
      </c>
      <c r="B87" s="703" t="str">
        <f>IF(VLOOKUP(A87,'דוח ביצוע (3)'!A:G,2,0)="","",VLOOKUP('תשלומי הורים ומלגות להורים (5) '!A87,'דוח ביצוע (3)'!A:G,2,0))</f>
        <v/>
      </c>
      <c r="C87" s="849"/>
      <c r="D87" s="219">
        <f>SUMIFS('דוח הוצאות בפועל (4)'!$E$17:$E$3016,'דוח הוצאות בפועל (4)'!$B$17:$B$3016,'תשלומי הורים ומלגות להורים (5) '!B87,'דוח הוצאות בפועל (4)'!$D$17:$D$3016,"מלגות להורים")</f>
        <v>0</v>
      </c>
      <c r="E87" s="219">
        <f t="shared" si="3"/>
        <v>0</v>
      </c>
      <c r="F87" s="704"/>
      <c r="G87" s="705"/>
      <c r="H87" s="705"/>
      <c r="I87" s="705"/>
      <c r="K87" s="220">
        <f>IFERROR(VLOOKUP(B87,'דוח ביצוע (3)'!B:J,8,0),0)</f>
        <v>0</v>
      </c>
      <c r="L87" s="220">
        <f t="shared" si="4"/>
        <v>0</v>
      </c>
      <c r="M87" s="705"/>
    </row>
    <row r="88" spans="1:13" ht="19.5" customHeight="1" x14ac:dyDescent="0.25">
      <c r="A88" s="280">
        <v>71</v>
      </c>
      <c r="B88" s="703" t="str">
        <f>IF(VLOOKUP(A88,'דוח ביצוע (3)'!A:G,2,0)="","",VLOOKUP('תשלומי הורים ומלגות להורים (5) '!A88,'דוח ביצוע (3)'!A:G,2,0))</f>
        <v/>
      </c>
      <c r="C88" s="849"/>
      <c r="D88" s="219">
        <f>SUMIFS('דוח הוצאות בפועל (4)'!$E$17:$E$3016,'דוח הוצאות בפועל (4)'!$B$17:$B$3016,'תשלומי הורים ומלגות להורים (5) '!B88,'דוח הוצאות בפועל (4)'!$D$17:$D$3016,"מלגות להורים")</f>
        <v>0</v>
      </c>
      <c r="E88" s="219">
        <f t="shared" si="3"/>
        <v>0</v>
      </c>
      <c r="F88" s="704"/>
      <c r="G88" s="705"/>
      <c r="H88" s="705"/>
      <c r="I88" s="705"/>
      <c r="K88" s="220">
        <f>IFERROR(VLOOKUP(B88,'דוח ביצוע (3)'!B:J,8,0),0)</f>
        <v>0</v>
      </c>
      <c r="L88" s="220">
        <f t="shared" si="4"/>
        <v>0</v>
      </c>
      <c r="M88" s="705"/>
    </row>
    <row r="89" spans="1:13" ht="19.5" customHeight="1" x14ac:dyDescent="0.25">
      <c r="A89" s="280">
        <v>72</v>
      </c>
      <c r="B89" s="703" t="str">
        <f>IF(VLOOKUP(A89,'דוח ביצוע (3)'!A:G,2,0)="","",VLOOKUP('תשלומי הורים ומלגות להורים (5) '!A89,'דוח ביצוע (3)'!A:G,2,0))</f>
        <v/>
      </c>
      <c r="C89" s="849"/>
      <c r="D89" s="219">
        <f>SUMIFS('דוח הוצאות בפועל (4)'!$E$17:$E$3016,'דוח הוצאות בפועל (4)'!$B$17:$B$3016,'תשלומי הורים ומלגות להורים (5) '!B89,'דוח הוצאות בפועל (4)'!$D$17:$D$3016,"מלגות להורים")</f>
        <v>0</v>
      </c>
      <c r="E89" s="219">
        <f t="shared" si="3"/>
        <v>0</v>
      </c>
      <c r="F89" s="704"/>
      <c r="G89" s="705"/>
      <c r="H89" s="705"/>
      <c r="I89" s="705"/>
      <c r="K89" s="220">
        <f>IFERROR(VLOOKUP(B89,'דוח ביצוע (3)'!B:J,8,0),0)</f>
        <v>0</v>
      </c>
      <c r="L89" s="220">
        <f t="shared" si="4"/>
        <v>0</v>
      </c>
      <c r="M89" s="705"/>
    </row>
    <row r="90" spans="1:13" ht="19.5" customHeight="1" x14ac:dyDescent="0.25">
      <c r="A90" s="280">
        <v>73</v>
      </c>
      <c r="B90" s="703" t="str">
        <f>IF(VLOOKUP(A90,'דוח ביצוע (3)'!A:G,2,0)="","",VLOOKUP('תשלומי הורים ומלגות להורים (5) '!A90,'דוח ביצוע (3)'!A:G,2,0))</f>
        <v/>
      </c>
      <c r="C90" s="849"/>
      <c r="D90" s="219">
        <f>SUMIFS('דוח הוצאות בפועל (4)'!$E$17:$E$3016,'דוח הוצאות בפועל (4)'!$B$17:$B$3016,'תשלומי הורים ומלגות להורים (5) '!B90,'דוח הוצאות בפועל (4)'!$D$17:$D$3016,"מלגות להורים")</f>
        <v>0</v>
      </c>
      <c r="E90" s="219">
        <f t="shared" si="3"/>
        <v>0</v>
      </c>
      <c r="F90" s="704"/>
      <c r="G90" s="705"/>
      <c r="H90" s="705"/>
      <c r="I90" s="705"/>
      <c r="K90" s="220">
        <f>IFERROR(VLOOKUP(B90,'דוח ביצוע (3)'!B:J,8,0),0)</f>
        <v>0</v>
      </c>
      <c r="L90" s="220">
        <f t="shared" si="4"/>
        <v>0</v>
      </c>
      <c r="M90" s="705"/>
    </row>
    <row r="91" spans="1:13" ht="19.5" customHeight="1" x14ac:dyDescent="0.25">
      <c r="A91" s="280">
        <v>74</v>
      </c>
      <c r="B91" s="703" t="str">
        <f>IF(VLOOKUP(A91,'דוח ביצוע (3)'!A:G,2,0)="","",VLOOKUP('תשלומי הורים ומלגות להורים (5) '!A91,'דוח ביצוע (3)'!A:G,2,0))</f>
        <v/>
      </c>
      <c r="C91" s="849"/>
      <c r="D91" s="219">
        <f>SUMIFS('דוח הוצאות בפועל (4)'!$E$17:$E$3016,'דוח הוצאות בפועל (4)'!$B$17:$B$3016,'תשלומי הורים ומלגות להורים (5) '!B91,'דוח הוצאות בפועל (4)'!$D$17:$D$3016,"מלגות להורים")</f>
        <v>0</v>
      </c>
      <c r="E91" s="219">
        <f t="shared" si="3"/>
        <v>0</v>
      </c>
      <c r="F91" s="704"/>
      <c r="G91" s="705"/>
      <c r="H91" s="705"/>
      <c r="I91" s="705"/>
      <c r="K91" s="220">
        <f>IFERROR(VLOOKUP(B91,'דוח ביצוע (3)'!B:J,8,0),0)</f>
        <v>0</v>
      </c>
      <c r="L91" s="220">
        <f t="shared" si="4"/>
        <v>0</v>
      </c>
      <c r="M91" s="705"/>
    </row>
    <row r="92" spans="1:13" ht="19.5" customHeight="1" x14ac:dyDescent="0.25">
      <c r="A92" s="280">
        <v>75</v>
      </c>
      <c r="B92" s="703" t="str">
        <f>IF(VLOOKUP(A92,'דוח ביצוע (3)'!A:G,2,0)="","",VLOOKUP('תשלומי הורים ומלגות להורים (5) '!A92,'דוח ביצוע (3)'!A:G,2,0))</f>
        <v/>
      </c>
      <c r="C92" s="849"/>
      <c r="D92" s="219">
        <f>SUMIFS('דוח הוצאות בפועל (4)'!$E$17:$E$3016,'דוח הוצאות בפועל (4)'!$B$17:$B$3016,'תשלומי הורים ומלגות להורים (5) '!B92,'דוח הוצאות בפועל (4)'!$D$17:$D$3016,"מלגות להורים")</f>
        <v>0</v>
      </c>
      <c r="E92" s="219">
        <f t="shared" si="3"/>
        <v>0</v>
      </c>
      <c r="F92" s="704"/>
      <c r="G92" s="705"/>
      <c r="H92" s="705"/>
      <c r="I92" s="705"/>
      <c r="K92" s="220">
        <f>IFERROR(VLOOKUP(B92,'דוח ביצוע (3)'!B:J,8,0),0)</f>
        <v>0</v>
      </c>
      <c r="L92" s="220">
        <f t="shared" si="4"/>
        <v>0</v>
      </c>
      <c r="M92" s="705"/>
    </row>
    <row r="93" spans="1:13" ht="19.5" customHeight="1" x14ac:dyDescent="0.25">
      <c r="A93" s="280">
        <v>76</v>
      </c>
      <c r="B93" s="703" t="str">
        <f>IF(VLOOKUP(A93,'דוח ביצוע (3)'!A:G,2,0)="","",VLOOKUP('תשלומי הורים ומלגות להורים (5) '!A93,'דוח ביצוע (3)'!A:G,2,0))</f>
        <v/>
      </c>
      <c r="C93" s="849"/>
      <c r="D93" s="219">
        <f>SUMIFS('דוח הוצאות בפועל (4)'!$E$17:$E$3016,'דוח הוצאות בפועל (4)'!$B$17:$B$3016,'תשלומי הורים ומלגות להורים (5) '!B93,'דוח הוצאות בפועל (4)'!$D$17:$D$3016,"מלגות להורים")</f>
        <v>0</v>
      </c>
      <c r="E93" s="219">
        <f t="shared" si="3"/>
        <v>0</v>
      </c>
      <c r="F93" s="704"/>
      <c r="G93" s="705"/>
      <c r="H93" s="705"/>
      <c r="I93" s="705"/>
      <c r="K93" s="220">
        <f>IFERROR(VLOOKUP(B93,'דוח ביצוע (3)'!B:J,8,0),0)</f>
        <v>0</v>
      </c>
      <c r="L93" s="220">
        <f t="shared" si="4"/>
        <v>0</v>
      </c>
      <c r="M93" s="705"/>
    </row>
    <row r="94" spans="1:13" ht="19.5" customHeight="1" x14ac:dyDescent="0.25">
      <c r="A94" s="280">
        <v>77</v>
      </c>
      <c r="B94" s="703" t="str">
        <f>IF(VLOOKUP(A94,'דוח ביצוע (3)'!A:G,2,0)="","",VLOOKUP('תשלומי הורים ומלגות להורים (5) '!A94,'דוח ביצוע (3)'!A:G,2,0))</f>
        <v/>
      </c>
      <c r="C94" s="849"/>
      <c r="D94" s="219">
        <f>SUMIFS('דוח הוצאות בפועל (4)'!$E$17:$E$3016,'דוח הוצאות בפועל (4)'!$B$17:$B$3016,'תשלומי הורים ומלגות להורים (5) '!B94,'דוח הוצאות בפועל (4)'!$D$17:$D$3016,"מלגות להורים")</f>
        <v>0</v>
      </c>
      <c r="E94" s="219">
        <f t="shared" si="3"/>
        <v>0</v>
      </c>
      <c r="F94" s="704"/>
      <c r="G94" s="705"/>
      <c r="H94" s="705"/>
      <c r="I94" s="705"/>
      <c r="K94" s="220">
        <f>IFERROR(VLOOKUP(B94,'דוח ביצוע (3)'!B:J,8,0),0)</f>
        <v>0</v>
      </c>
      <c r="L94" s="220">
        <f t="shared" si="4"/>
        <v>0</v>
      </c>
      <c r="M94" s="705"/>
    </row>
    <row r="95" spans="1:13" ht="19.5" customHeight="1" x14ac:dyDescent="0.25">
      <c r="A95" s="280">
        <v>78</v>
      </c>
      <c r="B95" s="703" t="str">
        <f>IF(VLOOKUP(A95,'דוח ביצוע (3)'!A:G,2,0)="","",VLOOKUP('תשלומי הורים ומלגות להורים (5) '!A95,'דוח ביצוע (3)'!A:G,2,0))</f>
        <v/>
      </c>
      <c r="C95" s="849"/>
      <c r="D95" s="219">
        <f>SUMIFS('דוח הוצאות בפועל (4)'!$E$17:$E$3016,'דוח הוצאות בפועל (4)'!$B$17:$B$3016,'תשלומי הורים ומלגות להורים (5) '!B95,'דוח הוצאות בפועל (4)'!$D$17:$D$3016,"מלגות להורים")</f>
        <v>0</v>
      </c>
      <c r="E95" s="219">
        <f t="shared" si="3"/>
        <v>0</v>
      </c>
      <c r="F95" s="704"/>
      <c r="G95" s="705"/>
      <c r="H95" s="705"/>
      <c r="I95" s="705"/>
      <c r="K95" s="220">
        <f>IFERROR(VLOOKUP(B95,'דוח ביצוע (3)'!B:J,8,0),0)</f>
        <v>0</v>
      </c>
      <c r="L95" s="220">
        <f t="shared" si="4"/>
        <v>0</v>
      </c>
      <c r="M95" s="705"/>
    </row>
    <row r="96" spans="1:13" ht="19.5" customHeight="1" x14ac:dyDescent="0.25">
      <c r="A96" s="280">
        <v>79</v>
      </c>
      <c r="B96" s="703" t="str">
        <f>IF(VLOOKUP(A96,'דוח ביצוע (3)'!A:G,2,0)="","",VLOOKUP('תשלומי הורים ומלגות להורים (5) '!A96,'דוח ביצוע (3)'!A:G,2,0))</f>
        <v/>
      </c>
      <c r="C96" s="849"/>
      <c r="D96" s="219">
        <f>SUMIFS('דוח הוצאות בפועל (4)'!$E$17:$E$3016,'דוח הוצאות בפועל (4)'!$B$17:$B$3016,'תשלומי הורים ומלגות להורים (5) '!B96,'דוח הוצאות בפועל (4)'!$D$17:$D$3016,"מלגות להורים")</f>
        <v>0</v>
      </c>
      <c r="E96" s="219">
        <f t="shared" si="3"/>
        <v>0</v>
      </c>
      <c r="F96" s="704"/>
      <c r="G96" s="705"/>
      <c r="H96" s="705"/>
      <c r="I96" s="705"/>
      <c r="K96" s="220">
        <f>IFERROR(VLOOKUP(B96,'דוח ביצוע (3)'!B:J,8,0),0)</f>
        <v>0</v>
      </c>
      <c r="L96" s="220">
        <f t="shared" si="4"/>
        <v>0</v>
      </c>
      <c r="M96" s="705"/>
    </row>
    <row r="97" spans="1:13" ht="19.5" customHeight="1" x14ac:dyDescent="0.25">
      <c r="A97" s="280">
        <v>80</v>
      </c>
      <c r="B97" s="703" t="str">
        <f>IF(VLOOKUP(A97,'דוח ביצוע (3)'!A:G,2,0)="","",VLOOKUP('תשלומי הורים ומלגות להורים (5) '!A97,'דוח ביצוע (3)'!A:G,2,0))</f>
        <v/>
      </c>
      <c r="C97" s="849"/>
      <c r="D97" s="219">
        <f>SUMIFS('דוח הוצאות בפועל (4)'!$E$17:$E$3016,'דוח הוצאות בפועל (4)'!$B$17:$B$3016,'תשלומי הורים ומלגות להורים (5) '!B97,'דוח הוצאות בפועל (4)'!$D$17:$D$3016,"מלגות להורים")</f>
        <v>0</v>
      </c>
      <c r="E97" s="219">
        <f t="shared" si="3"/>
        <v>0</v>
      </c>
      <c r="F97" s="704"/>
      <c r="G97" s="705"/>
      <c r="H97" s="705"/>
      <c r="I97" s="705"/>
      <c r="K97" s="220">
        <f>IFERROR(VLOOKUP(B97,'דוח ביצוע (3)'!B:J,8,0),0)</f>
        <v>0</v>
      </c>
      <c r="L97" s="220">
        <f t="shared" si="4"/>
        <v>0</v>
      </c>
      <c r="M97" s="705"/>
    </row>
    <row r="98" spans="1:13" ht="19.5" customHeight="1" x14ac:dyDescent="0.25">
      <c r="A98" s="280">
        <v>81</v>
      </c>
      <c r="B98" s="703" t="str">
        <f>IF(VLOOKUP(A98,'דוח ביצוע (3)'!A:G,2,0)="","",VLOOKUP('תשלומי הורים ומלגות להורים (5) '!A98,'דוח ביצוע (3)'!A:G,2,0))</f>
        <v/>
      </c>
      <c r="C98" s="849"/>
      <c r="D98" s="219">
        <f>SUMIFS('דוח הוצאות בפועל (4)'!$E$17:$E$3016,'דוח הוצאות בפועל (4)'!$B$17:$B$3016,'תשלומי הורים ומלגות להורים (5) '!B98,'דוח הוצאות בפועל (4)'!$D$17:$D$3016,"מלגות להורים")</f>
        <v>0</v>
      </c>
      <c r="E98" s="219">
        <f t="shared" si="3"/>
        <v>0</v>
      </c>
      <c r="F98" s="704"/>
      <c r="G98" s="705"/>
      <c r="H98" s="705"/>
      <c r="I98" s="705"/>
      <c r="K98" s="220">
        <f>IFERROR(VLOOKUP(B98,'דוח ביצוע (3)'!B:J,8,0),0)</f>
        <v>0</v>
      </c>
      <c r="L98" s="220">
        <f t="shared" si="4"/>
        <v>0</v>
      </c>
      <c r="M98" s="705"/>
    </row>
    <row r="99" spans="1:13" ht="19.5" customHeight="1" x14ac:dyDescent="0.25">
      <c r="A99" s="280">
        <v>82</v>
      </c>
      <c r="B99" s="703" t="str">
        <f>IF(VLOOKUP(A99,'דוח ביצוע (3)'!A:G,2,0)="","",VLOOKUP('תשלומי הורים ומלגות להורים (5) '!A99,'דוח ביצוע (3)'!A:G,2,0))</f>
        <v/>
      </c>
      <c r="C99" s="849"/>
      <c r="D99" s="219">
        <f>SUMIFS('דוח הוצאות בפועל (4)'!$E$17:$E$3016,'דוח הוצאות בפועל (4)'!$B$17:$B$3016,'תשלומי הורים ומלגות להורים (5) '!B99,'דוח הוצאות בפועל (4)'!$D$17:$D$3016,"מלגות להורים")</f>
        <v>0</v>
      </c>
      <c r="E99" s="219">
        <f t="shared" si="3"/>
        <v>0</v>
      </c>
      <c r="F99" s="704"/>
      <c r="G99" s="705"/>
      <c r="H99" s="705"/>
      <c r="I99" s="705"/>
      <c r="K99" s="220">
        <f>IFERROR(VLOOKUP(B99,'דוח ביצוע (3)'!B:J,8,0),0)</f>
        <v>0</v>
      </c>
      <c r="L99" s="220">
        <f t="shared" si="4"/>
        <v>0</v>
      </c>
      <c r="M99" s="705"/>
    </row>
    <row r="100" spans="1:13" ht="19.5" customHeight="1" x14ac:dyDescent="0.25">
      <c r="A100" s="280">
        <v>83</v>
      </c>
      <c r="B100" s="703" t="str">
        <f>IF(VLOOKUP(A100,'דוח ביצוע (3)'!A:G,2,0)="","",VLOOKUP('תשלומי הורים ומלגות להורים (5) '!A100,'דוח ביצוע (3)'!A:G,2,0))</f>
        <v/>
      </c>
      <c r="C100" s="849"/>
      <c r="D100" s="219">
        <f>SUMIFS('דוח הוצאות בפועל (4)'!$E$17:$E$3016,'דוח הוצאות בפועל (4)'!$B$17:$B$3016,'תשלומי הורים ומלגות להורים (5) '!B100,'דוח הוצאות בפועל (4)'!$D$17:$D$3016,"מלגות להורים")</f>
        <v>0</v>
      </c>
      <c r="E100" s="219">
        <f t="shared" si="3"/>
        <v>0</v>
      </c>
      <c r="F100" s="704"/>
      <c r="G100" s="705"/>
      <c r="H100" s="705"/>
      <c r="I100" s="705"/>
      <c r="K100" s="220">
        <f>IFERROR(VLOOKUP(B100,'דוח ביצוע (3)'!B:J,8,0),0)</f>
        <v>0</v>
      </c>
      <c r="L100" s="220">
        <f t="shared" si="4"/>
        <v>0</v>
      </c>
      <c r="M100" s="705"/>
    </row>
    <row r="101" spans="1:13" ht="19.5" customHeight="1" x14ac:dyDescent="0.25">
      <c r="A101" s="280">
        <v>84</v>
      </c>
      <c r="B101" s="703" t="str">
        <f>IF(VLOOKUP(A101,'דוח ביצוע (3)'!A:G,2,0)="","",VLOOKUP('תשלומי הורים ומלגות להורים (5) '!A101,'דוח ביצוע (3)'!A:G,2,0))</f>
        <v/>
      </c>
      <c r="C101" s="849"/>
      <c r="D101" s="219">
        <f>SUMIFS('דוח הוצאות בפועל (4)'!$E$17:$E$3016,'דוח הוצאות בפועל (4)'!$B$17:$B$3016,'תשלומי הורים ומלגות להורים (5) '!B101,'דוח הוצאות בפועל (4)'!$D$17:$D$3016,"מלגות להורים")</f>
        <v>0</v>
      </c>
      <c r="E101" s="219">
        <f t="shared" si="3"/>
        <v>0</v>
      </c>
      <c r="F101" s="704"/>
      <c r="G101" s="705"/>
      <c r="H101" s="705"/>
      <c r="I101" s="705"/>
      <c r="K101" s="220">
        <f>IFERROR(VLOOKUP(B101,'דוח ביצוע (3)'!B:J,8,0),0)</f>
        <v>0</v>
      </c>
      <c r="L101" s="220">
        <f t="shared" si="4"/>
        <v>0</v>
      </c>
      <c r="M101" s="705"/>
    </row>
    <row r="102" spans="1:13" ht="19.5" customHeight="1" x14ac:dyDescent="0.25">
      <c r="A102" s="280">
        <v>85</v>
      </c>
      <c r="B102" s="703" t="str">
        <f>IF(VLOOKUP(A102,'דוח ביצוע (3)'!A:G,2,0)="","",VLOOKUP('תשלומי הורים ומלגות להורים (5) '!A102,'דוח ביצוע (3)'!A:G,2,0))</f>
        <v/>
      </c>
      <c r="C102" s="849"/>
      <c r="D102" s="219">
        <f>SUMIFS('דוח הוצאות בפועל (4)'!$E$17:$E$3016,'דוח הוצאות בפועל (4)'!$B$17:$B$3016,'תשלומי הורים ומלגות להורים (5) '!B102,'דוח הוצאות בפועל (4)'!$D$17:$D$3016,"מלגות להורים")</f>
        <v>0</v>
      </c>
      <c r="E102" s="219">
        <f t="shared" si="3"/>
        <v>0</v>
      </c>
      <c r="F102" s="704"/>
      <c r="G102" s="705"/>
      <c r="H102" s="705"/>
      <c r="I102" s="705"/>
      <c r="K102" s="220">
        <f>IFERROR(VLOOKUP(B102,'דוח ביצוע (3)'!B:J,8,0),0)</f>
        <v>0</v>
      </c>
      <c r="L102" s="220">
        <f t="shared" si="4"/>
        <v>0</v>
      </c>
      <c r="M102" s="705"/>
    </row>
    <row r="103" spans="1:13" ht="19.5" customHeight="1" x14ac:dyDescent="0.25">
      <c r="A103" s="280">
        <v>86</v>
      </c>
      <c r="B103" s="703" t="str">
        <f>IF(VLOOKUP(A103,'דוח ביצוע (3)'!A:G,2,0)="","",VLOOKUP('תשלומי הורים ומלגות להורים (5) '!A103,'דוח ביצוע (3)'!A:G,2,0))</f>
        <v/>
      </c>
      <c r="C103" s="849"/>
      <c r="D103" s="219">
        <f>SUMIFS('דוח הוצאות בפועל (4)'!$E$17:$E$3016,'דוח הוצאות בפועל (4)'!$B$17:$B$3016,'תשלומי הורים ומלגות להורים (5) '!B103,'דוח הוצאות בפועל (4)'!$D$17:$D$3016,"מלגות להורים")</f>
        <v>0</v>
      </c>
      <c r="E103" s="219">
        <f t="shared" si="3"/>
        <v>0</v>
      </c>
      <c r="F103" s="704"/>
      <c r="G103" s="705"/>
      <c r="H103" s="705"/>
      <c r="I103" s="705"/>
      <c r="K103" s="220">
        <f>IFERROR(VLOOKUP(B103,'דוח ביצוע (3)'!B:J,8,0),0)</f>
        <v>0</v>
      </c>
      <c r="L103" s="220">
        <f t="shared" si="4"/>
        <v>0</v>
      </c>
      <c r="M103" s="705"/>
    </row>
    <row r="104" spans="1:13" ht="19.5" customHeight="1" x14ac:dyDescent="0.25">
      <c r="A104" s="280">
        <v>87</v>
      </c>
      <c r="B104" s="703" t="str">
        <f>IF(VLOOKUP(A104,'דוח ביצוע (3)'!A:G,2,0)="","",VLOOKUP('תשלומי הורים ומלגות להורים (5) '!A104,'דוח ביצוע (3)'!A:G,2,0))</f>
        <v/>
      </c>
      <c r="C104" s="849"/>
      <c r="D104" s="219">
        <f>SUMIFS('דוח הוצאות בפועל (4)'!$E$17:$E$3016,'דוח הוצאות בפועל (4)'!$B$17:$B$3016,'תשלומי הורים ומלגות להורים (5) '!B104,'דוח הוצאות בפועל (4)'!$D$17:$D$3016,"מלגות להורים")</f>
        <v>0</v>
      </c>
      <c r="E104" s="219">
        <f t="shared" si="3"/>
        <v>0</v>
      </c>
      <c r="F104" s="704"/>
      <c r="G104" s="705"/>
      <c r="H104" s="705"/>
      <c r="I104" s="705"/>
      <c r="K104" s="220">
        <f>IFERROR(VLOOKUP(B104,'דוח ביצוע (3)'!B:J,8,0),0)</f>
        <v>0</v>
      </c>
      <c r="L104" s="220">
        <f t="shared" si="4"/>
        <v>0</v>
      </c>
      <c r="M104" s="705"/>
    </row>
    <row r="105" spans="1:13" ht="19.5" customHeight="1" x14ac:dyDescent="0.25">
      <c r="A105" s="280">
        <v>88</v>
      </c>
      <c r="B105" s="703" t="str">
        <f>IF(VLOOKUP(A105,'דוח ביצוע (3)'!A:G,2,0)="","",VLOOKUP('תשלומי הורים ומלגות להורים (5) '!A105,'דוח ביצוע (3)'!A:G,2,0))</f>
        <v/>
      </c>
      <c r="C105" s="849"/>
      <c r="D105" s="219">
        <f>SUMIFS('דוח הוצאות בפועל (4)'!$E$17:$E$3016,'דוח הוצאות בפועל (4)'!$B$17:$B$3016,'תשלומי הורים ומלגות להורים (5) '!B105,'דוח הוצאות בפועל (4)'!$D$17:$D$3016,"מלגות להורים")</f>
        <v>0</v>
      </c>
      <c r="E105" s="219">
        <f t="shared" si="3"/>
        <v>0</v>
      </c>
      <c r="F105" s="704"/>
      <c r="G105" s="705"/>
      <c r="H105" s="705"/>
      <c r="I105" s="705"/>
      <c r="K105" s="220">
        <f>IFERROR(VLOOKUP(B105,'דוח ביצוע (3)'!B:J,8,0),0)</f>
        <v>0</v>
      </c>
      <c r="L105" s="220">
        <f t="shared" si="4"/>
        <v>0</v>
      </c>
      <c r="M105" s="705"/>
    </row>
    <row r="106" spans="1:13" ht="19.5" customHeight="1" x14ac:dyDescent="0.25">
      <c r="A106" s="280">
        <v>89</v>
      </c>
      <c r="B106" s="703" t="str">
        <f>IF(VLOOKUP(A106,'דוח ביצוע (3)'!A:G,2,0)="","",VLOOKUP('תשלומי הורים ומלגות להורים (5) '!A106,'דוח ביצוע (3)'!A:G,2,0))</f>
        <v/>
      </c>
      <c r="C106" s="849"/>
      <c r="D106" s="219">
        <f>SUMIFS('דוח הוצאות בפועל (4)'!$E$17:$E$3016,'דוח הוצאות בפועל (4)'!$B$17:$B$3016,'תשלומי הורים ומלגות להורים (5) '!B106,'דוח הוצאות בפועל (4)'!$D$17:$D$3016,"מלגות להורים")</f>
        <v>0</v>
      </c>
      <c r="E106" s="219">
        <f t="shared" si="3"/>
        <v>0</v>
      </c>
      <c r="F106" s="704"/>
      <c r="G106" s="705"/>
      <c r="H106" s="705"/>
      <c r="I106" s="705"/>
      <c r="K106" s="220">
        <f>IFERROR(VLOOKUP(B106,'דוח ביצוע (3)'!B:J,8,0),0)</f>
        <v>0</v>
      </c>
      <c r="L106" s="220">
        <f t="shared" si="4"/>
        <v>0</v>
      </c>
      <c r="M106" s="705"/>
    </row>
    <row r="107" spans="1:13" ht="19.5" customHeight="1" x14ac:dyDescent="0.25">
      <c r="A107" s="280">
        <v>90</v>
      </c>
      <c r="B107" s="703" t="str">
        <f>IF(VLOOKUP(A107,'דוח ביצוע (3)'!A:G,2,0)="","",VLOOKUP('תשלומי הורים ומלגות להורים (5) '!A107,'דוח ביצוע (3)'!A:G,2,0))</f>
        <v/>
      </c>
      <c r="C107" s="849"/>
      <c r="D107" s="219">
        <f>SUMIFS('דוח הוצאות בפועל (4)'!$E$17:$E$3016,'דוח הוצאות בפועל (4)'!$B$17:$B$3016,'תשלומי הורים ומלגות להורים (5) '!B107,'דוח הוצאות בפועל (4)'!$D$17:$D$3016,"מלגות להורים")</f>
        <v>0</v>
      </c>
      <c r="E107" s="219">
        <f t="shared" si="3"/>
        <v>0</v>
      </c>
      <c r="F107" s="704"/>
      <c r="G107" s="705"/>
      <c r="H107" s="705"/>
      <c r="I107" s="705"/>
      <c r="K107" s="220">
        <f>IFERROR(VLOOKUP(B107,'דוח ביצוע (3)'!B:J,8,0),0)</f>
        <v>0</v>
      </c>
      <c r="L107" s="220">
        <f t="shared" si="4"/>
        <v>0</v>
      </c>
      <c r="M107" s="705"/>
    </row>
    <row r="108" spans="1:13" ht="19.5" customHeight="1" x14ac:dyDescent="0.25">
      <c r="A108" s="280">
        <v>91</v>
      </c>
      <c r="B108" s="703" t="str">
        <f>IF(VLOOKUP(A108,'דוח ביצוע (3)'!A:G,2,0)="","",VLOOKUP('תשלומי הורים ומלגות להורים (5) '!A108,'דוח ביצוע (3)'!A:G,2,0))</f>
        <v/>
      </c>
      <c r="C108" s="849"/>
      <c r="D108" s="219">
        <f>SUMIFS('דוח הוצאות בפועל (4)'!$E$17:$E$3016,'דוח הוצאות בפועל (4)'!$B$17:$B$3016,'תשלומי הורים ומלגות להורים (5) '!B108,'דוח הוצאות בפועל (4)'!$D$17:$D$3016,"מלגות להורים")</f>
        <v>0</v>
      </c>
      <c r="E108" s="219">
        <f t="shared" si="3"/>
        <v>0</v>
      </c>
      <c r="F108" s="704"/>
      <c r="G108" s="705"/>
      <c r="H108" s="705"/>
      <c r="I108" s="705"/>
      <c r="K108" s="220">
        <f>IFERROR(VLOOKUP(B108,'דוח ביצוע (3)'!B:J,8,0),0)</f>
        <v>0</v>
      </c>
      <c r="L108" s="220">
        <f t="shared" si="4"/>
        <v>0</v>
      </c>
      <c r="M108" s="705"/>
    </row>
    <row r="109" spans="1:13" ht="19.5" customHeight="1" x14ac:dyDescent="0.25">
      <c r="A109" s="280">
        <v>92</v>
      </c>
      <c r="B109" s="703" t="str">
        <f>IF(VLOOKUP(A109,'דוח ביצוע (3)'!A:G,2,0)="","",VLOOKUP('תשלומי הורים ומלגות להורים (5) '!A109,'דוח ביצוע (3)'!A:G,2,0))</f>
        <v/>
      </c>
      <c r="C109" s="849"/>
      <c r="D109" s="219">
        <f>SUMIFS('דוח הוצאות בפועל (4)'!$E$17:$E$3016,'דוח הוצאות בפועל (4)'!$B$17:$B$3016,'תשלומי הורים ומלגות להורים (5) '!B109,'דוח הוצאות בפועל (4)'!$D$17:$D$3016,"מלגות להורים")</f>
        <v>0</v>
      </c>
      <c r="E109" s="219">
        <f t="shared" si="3"/>
        <v>0</v>
      </c>
      <c r="F109" s="704"/>
      <c r="G109" s="705"/>
      <c r="H109" s="705"/>
      <c r="I109" s="705"/>
      <c r="K109" s="220">
        <f>IFERROR(VLOOKUP(B109,'דוח ביצוע (3)'!B:J,8,0),0)</f>
        <v>0</v>
      </c>
      <c r="L109" s="220">
        <f t="shared" si="4"/>
        <v>0</v>
      </c>
      <c r="M109" s="705"/>
    </row>
    <row r="110" spans="1:13" ht="19.5" customHeight="1" x14ac:dyDescent="0.25">
      <c r="A110" s="280">
        <v>93</v>
      </c>
      <c r="B110" s="703" t="str">
        <f>IF(VLOOKUP(A110,'דוח ביצוע (3)'!A:G,2,0)="","",VLOOKUP('תשלומי הורים ומלגות להורים (5) '!A110,'דוח ביצוע (3)'!A:G,2,0))</f>
        <v/>
      </c>
      <c r="C110" s="849"/>
      <c r="D110" s="219">
        <f>SUMIFS('דוח הוצאות בפועל (4)'!$E$17:$E$3016,'דוח הוצאות בפועל (4)'!$B$17:$B$3016,'תשלומי הורים ומלגות להורים (5) '!B110,'דוח הוצאות בפועל (4)'!$D$17:$D$3016,"מלגות להורים")</f>
        <v>0</v>
      </c>
      <c r="E110" s="219">
        <f t="shared" si="3"/>
        <v>0</v>
      </c>
      <c r="F110" s="704"/>
      <c r="G110" s="705"/>
      <c r="H110" s="705"/>
      <c r="I110" s="705"/>
      <c r="K110" s="220">
        <f>IFERROR(VLOOKUP(B110,'דוח ביצוע (3)'!B:J,8,0),0)</f>
        <v>0</v>
      </c>
      <c r="L110" s="220">
        <f t="shared" si="4"/>
        <v>0</v>
      </c>
      <c r="M110" s="705"/>
    </row>
    <row r="111" spans="1:13" ht="19.5" customHeight="1" x14ac:dyDescent="0.25">
      <c r="A111" s="280">
        <v>94</v>
      </c>
      <c r="B111" s="703" t="str">
        <f>IF(VLOOKUP(A111,'דוח ביצוע (3)'!A:G,2,0)="","",VLOOKUP('תשלומי הורים ומלגות להורים (5) '!A111,'דוח ביצוע (3)'!A:G,2,0))</f>
        <v/>
      </c>
      <c r="C111" s="849"/>
      <c r="D111" s="219">
        <f>SUMIFS('דוח הוצאות בפועל (4)'!$E$17:$E$3016,'דוח הוצאות בפועל (4)'!$B$17:$B$3016,'תשלומי הורים ומלגות להורים (5) '!B111,'דוח הוצאות בפועל (4)'!$D$17:$D$3016,"מלגות להורים")</f>
        <v>0</v>
      </c>
      <c r="E111" s="219">
        <f t="shared" si="3"/>
        <v>0</v>
      </c>
      <c r="F111" s="704"/>
      <c r="G111" s="705"/>
      <c r="H111" s="705"/>
      <c r="I111" s="705"/>
      <c r="K111" s="220">
        <f>IFERROR(VLOOKUP(B111,'דוח ביצוע (3)'!B:J,8,0),0)</f>
        <v>0</v>
      </c>
      <c r="L111" s="220">
        <f t="shared" si="4"/>
        <v>0</v>
      </c>
      <c r="M111" s="705"/>
    </row>
    <row r="112" spans="1:13" ht="19.5" customHeight="1" x14ac:dyDescent="0.25">
      <c r="A112" s="280">
        <v>95</v>
      </c>
      <c r="B112" s="703" t="str">
        <f>IF(VLOOKUP(A112,'דוח ביצוע (3)'!A:G,2,0)="","",VLOOKUP('תשלומי הורים ומלגות להורים (5) '!A112,'דוח ביצוע (3)'!A:G,2,0))</f>
        <v/>
      </c>
      <c r="C112" s="849"/>
      <c r="D112" s="219">
        <f>SUMIFS('דוח הוצאות בפועל (4)'!$E$17:$E$3016,'דוח הוצאות בפועל (4)'!$B$17:$B$3016,'תשלומי הורים ומלגות להורים (5) '!B112,'דוח הוצאות בפועל (4)'!$D$17:$D$3016,"מלגות להורים")</f>
        <v>0</v>
      </c>
      <c r="E112" s="219">
        <f t="shared" si="3"/>
        <v>0</v>
      </c>
      <c r="F112" s="704"/>
      <c r="G112" s="705"/>
      <c r="H112" s="705"/>
      <c r="I112" s="705"/>
      <c r="K112" s="220">
        <f>IFERROR(VLOOKUP(B112,'דוח ביצוע (3)'!B:J,8,0),0)</f>
        <v>0</v>
      </c>
      <c r="L112" s="220">
        <f t="shared" si="4"/>
        <v>0</v>
      </c>
      <c r="M112" s="705"/>
    </row>
    <row r="113" spans="1:13" ht="19.5" customHeight="1" x14ac:dyDescent="0.25">
      <c r="A113" s="280">
        <v>96</v>
      </c>
      <c r="B113" s="703" t="str">
        <f>IF(VLOOKUP(A113,'דוח ביצוע (3)'!A:G,2,0)="","",VLOOKUP('תשלומי הורים ומלגות להורים (5) '!A113,'דוח ביצוע (3)'!A:G,2,0))</f>
        <v/>
      </c>
      <c r="C113" s="849"/>
      <c r="D113" s="219">
        <f>SUMIFS('דוח הוצאות בפועל (4)'!$E$17:$E$3016,'דוח הוצאות בפועל (4)'!$B$17:$B$3016,'תשלומי הורים ומלגות להורים (5) '!B113,'דוח הוצאות בפועל (4)'!$D$17:$D$3016,"מלגות להורים")</f>
        <v>0</v>
      </c>
      <c r="E113" s="219">
        <f t="shared" si="3"/>
        <v>0</v>
      </c>
      <c r="F113" s="704"/>
      <c r="G113" s="705"/>
      <c r="H113" s="705"/>
      <c r="I113" s="705"/>
      <c r="K113" s="220">
        <f>IFERROR(VLOOKUP(B113,'דוח ביצוע (3)'!B:J,8,0),0)</f>
        <v>0</v>
      </c>
      <c r="L113" s="220">
        <f t="shared" si="4"/>
        <v>0</v>
      </c>
      <c r="M113" s="705"/>
    </row>
    <row r="114" spans="1:13" ht="19.5" customHeight="1" x14ac:dyDescent="0.25">
      <c r="A114" s="280">
        <v>97</v>
      </c>
      <c r="B114" s="703" t="str">
        <f>IF(VLOOKUP(A114,'דוח ביצוע (3)'!A:G,2,0)="","",VLOOKUP('תשלומי הורים ומלגות להורים (5) '!A114,'דוח ביצוע (3)'!A:G,2,0))</f>
        <v/>
      </c>
      <c r="C114" s="849"/>
      <c r="D114" s="219">
        <f>SUMIFS('דוח הוצאות בפועל (4)'!$E$17:$E$3016,'דוח הוצאות בפועל (4)'!$B$17:$B$3016,'תשלומי הורים ומלגות להורים (5) '!B114,'דוח הוצאות בפועל (4)'!$D$17:$D$3016,"מלגות להורים")</f>
        <v>0</v>
      </c>
      <c r="E114" s="219">
        <f t="shared" si="3"/>
        <v>0</v>
      </c>
      <c r="F114" s="704"/>
      <c r="G114" s="705"/>
      <c r="H114" s="705"/>
      <c r="I114" s="705"/>
      <c r="K114" s="220">
        <f>IFERROR(VLOOKUP(B114,'דוח ביצוע (3)'!B:J,8,0),0)</f>
        <v>0</v>
      </c>
      <c r="L114" s="220">
        <f t="shared" si="4"/>
        <v>0</v>
      </c>
      <c r="M114" s="705"/>
    </row>
    <row r="115" spans="1:13" ht="19.5" customHeight="1" x14ac:dyDescent="0.25">
      <c r="A115" s="280">
        <v>98</v>
      </c>
      <c r="B115" s="703" t="str">
        <f>IF(VLOOKUP(A115,'דוח ביצוע (3)'!A:G,2,0)="","",VLOOKUP('תשלומי הורים ומלגות להורים (5) '!A115,'דוח ביצוע (3)'!A:G,2,0))</f>
        <v/>
      </c>
      <c r="C115" s="849"/>
      <c r="D115" s="219">
        <f>SUMIFS('דוח הוצאות בפועל (4)'!$E$17:$E$3016,'דוח הוצאות בפועל (4)'!$B$17:$B$3016,'תשלומי הורים ומלגות להורים (5) '!B115,'דוח הוצאות בפועל (4)'!$D$17:$D$3016,"מלגות להורים")</f>
        <v>0</v>
      </c>
      <c r="E115" s="219">
        <f t="shared" si="3"/>
        <v>0</v>
      </c>
      <c r="F115" s="704"/>
      <c r="G115" s="705"/>
      <c r="H115" s="705"/>
      <c r="I115" s="705"/>
      <c r="K115" s="220">
        <f>IFERROR(VLOOKUP(B115,'דוח ביצוע (3)'!B:J,8,0),0)</f>
        <v>0</v>
      </c>
      <c r="L115" s="220">
        <f t="shared" si="4"/>
        <v>0</v>
      </c>
      <c r="M115" s="705"/>
    </row>
    <row r="116" spans="1:13" ht="19.5" customHeight="1" x14ac:dyDescent="0.25">
      <c r="A116" s="280">
        <v>99</v>
      </c>
      <c r="B116" s="703" t="str">
        <f>IF(VLOOKUP(A116,'דוח ביצוע (3)'!A:G,2,0)="","",VLOOKUP('תשלומי הורים ומלגות להורים (5) '!A116,'דוח ביצוע (3)'!A:G,2,0))</f>
        <v/>
      </c>
      <c r="C116" s="849"/>
      <c r="D116" s="219">
        <f>SUMIFS('דוח הוצאות בפועל (4)'!$E$17:$E$3016,'דוח הוצאות בפועל (4)'!$B$17:$B$3016,'תשלומי הורים ומלגות להורים (5) '!B116,'דוח הוצאות בפועל (4)'!$D$17:$D$3016,"מלגות להורים")</f>
        <v>0</v>
      </c>
      <c r="E116" s="219">
        <f t="shared" si="3"/>
        <v>0</v>
      </c>
      <c r="F116" s="704"/>
      <c r="G116" s="705"/>
      <c r="H116" s="705"/>
      <c r="I116" s="705"/>
      <c r="K116" s="220">
        <f>IFERROR(VLOOKUP(B116,'דוח ביצוע (3)'!B:J,8,0),0)</f>
        <v>0</v>
      </c>
      <c r="L116" s="220">
        <f t="shared" si="4"/>
        <v>0</v>
      </c>
      <c r="M116" s="705"/>
    </row>
    <row r="117" spans="1:13" ht="19.5" customHeight="1" x14ac:dyDescent="0.25">
      <c r="A117" s="280">
        <v>100</v>
      </c>
      <c r="B117" s="703" t="str">
        <f>IF(VLOOKUP(A117,'דוח ביצוע (3)'!A:G,2,0)="","",VLOOKUP('תשלומי הורים ומלגות להורים (5) '!A117,'דוח ביצוע (3)'!A:G,2,0))</f>
        <v/>
      </c>
      <c r="C117" s="849"/>
      <c r="D117" s="219">
        <f>SUMIFS('דוח הוצאות בפועל (4)'!$E$17:$E$3016,'דוח הוצאות בפועל (4)'!$B$17:$B$3016,'תשלומי הורים ומלגות להורים (5) '!B117,'דוח הוצאות בפועל (4)'!$D$17:$D$3016,"מלגות להורים")</f>
        <v>0</v>
      </c>
      <c r="E117" s="219">
        <f t="shared" si="3"/>
        <v>0</v>
      </c>
      <c r="F117" s="704"/>
      <c r="G117" s="705"/>
      <c r="H117" s="705"/>
      <c r="I117" s="705"/>
      <c r="K117" s="220">
        <f>IFERROR(VLOOKUP(B117,'דוח ביצוע (3)'!B:J,8,0),0)</f>
        <v>0</v>
      </c>
      <c r="L117" s="220">
        <f t="shared" si="4"/>
        <v>0</v>
      </c>
      <c r="M117" s="705"/>
    </row>
    <row r="118" spans="1:13" ht="19.5" customHeight="1" x14ac:dyDescent="0.25">
      <c r="A118" s="280">
        <v>101</v>
      </c>
      <c r="B118" s="703" t="str">
        <f>IF(VLOOKUP(A118,'דוח ביצוע (3)'!A:G,2,0)="","",VLOOKUP('תשלומי הורים ומלגות להורים (5) '!A118,'דוח ביצוע (3)'!A:G,2,0))</f>
        <v/>
      </c>
      <c r="C118" s="849"/>
      <c r="D118" s="219">
        <f>SUMIFS('דוח הוצאות בפועל (4)'!$E$17:$E$3016,'דוח הוצאות בפועל (4)'!$B$17:$B$3016,'תשלומי הורים ומלגות להורים (5) '!B118,'דוח הוצאות בפועל (4)'!$D$17:$D$3016,"מלגות להורים")</f>
        <v>0</v>
      </c>
      <c r="E118" s="219">
        <f t="shared" si="3"/>
        <v>0</v>
      </c>
      <c r="F118" s="704"/>
      <c r="G118" s="705"/>
      <c r="H118" s="705"/>
      <c r="I118" s="705"/>
      <c r="K118" s="220">
        <f>IFERROR(VLOOKUP(B118,'דוח ביצוע (3)'!B:J,8,0),0)</f>
        <v>0</v>
      </c>
      <c r="L118" s="220">
        <f t="shared" si="4"/>
        <v>0</v>
      </c>
      <c r="M118" s="705"/>
    </row>
    <row r="119" spans="1:13" ht="19.5" customHeight="1" x14ac:dyDescent="0.25">
      <c r="A119" s="280">
        <v>102</v>
      </c>
      <c r="B119" s="703" t="str">
        <f>IF(VLOOKUP(A119,'דוח ביצוע (3)'!A:G,2,0)="","",VLOOKUP('תשלומי הורים ומלגות להורים (5) '!A119,'דוח ביצוע (3)'!A:G,2,0))</f>
        <v/>
      </c>
      <c r="C119" s="849"/>
      <c r="D119" s="219">
        <f>SUMIFS('דוח הוצאות בפועל (4)'!$E$17:$E$3016,'דוח הוצאות בפועל (4)'!$B$17:$B$3016,'תשלומי הורים ומלגות להורים (5) '!B119,'דוח הוצאות בפועל (4)'!$D$17:$D$3016,"מלגות להורים")</f>
        <v>0</v>
      </c>
      <c r="E119" s="219">
        <f t="shared" si="3"/>
        <v>0</v>
      </c>
      <c r="F119" s="704"/>
      <c r="G119" s="705"/>
      <c r="H119" s="705"/>
      <c r="I119" s="705"/>
      <c r="K119" s="220">
        <f>IFERROR(VLOOKUP(B119,'דוח ביצוע (3)'!B:J,8,0),0)</f>
        <v>0</v>
      </c>
      <c r="L119" s="220">
        <f t="shared" si="4"/>
        <v>0</v>
      </c>
      <c r="M119" s="705"/>
    </row>
    <row r="120" spans="1:13" ht="19.5" customHeight="1" x14ac:dyDescent="0.25">
      <c r="A120" s="280">
        <v>103</v>
      </c>
      <c r="B120" s="703" t="str">
        <f>IF(VLOOKUP(A120,'דוח ביצוע (3)'!A:G,2,0)="","",VLOOKUP('תשלומי הורים ומלגות להורים (5) '!A120,'דוח ביצוע (3)'!A:G,2,0))</f>
        <v/>
      </c>
      <c r="C120" s="849"/>
      <c r="D120" s="219">
        <f>SUMIFS('דוח הוצאות בפועל (4)'!$E$17:$E$3016,'דוח הוצאות בפועל (4)'!$B$17:$B$3016,'תשלומי הורים ומלגות להורים (5) '!B120,'דוח הוצאות בפועל (4)'!$D$17:$D$3016,"מלגות להורים")</f>
        <v>0</v>
      </c>
      <c r="E120" s="219">
        <f t="shared" si="3"/>
        <v>0</v>
      </c>
      <c r="F120" s="704"/>
      <c r="G120" s="705"/>
      <c r="H120" s="705"/>
      <c r="I120" s="705"/>
      <c r="K120" s="220">
        <f>IFERROR(VLOOKUP(B120,'דוח ביצוע (3)'!B:J,8,0),0)</f>
        <v>0</v>
      </c>
      <c r="L120" s="220">
        <f t="shared" si="4"/>
        <v>0</v>
      </c>
      <c r="M120" s="705"/>
    </row>
    <row r="121" spans="1:13" ht="19.5" customHeight="1" x14ac:dyDescent="0.25">
      <c r="A121" s="280">
        <v>104</v>
      </c>
      <c r="B121" s="703" t="str">
        <f>IF(VLOOKUP(A121,'דוח ביצוע (3)'!A:G,2,0)="","",VLOOKUP('תשלומי הורים ומלגות להורים (5) '!A121,'דוח ביצוע (3)'!A:G,2,0))</f>
        <v/>
      </c>
      <c r="C121" s="849"/>
      <c r="D121" s="219">
        <f>SUMIFS('דוח הוצאות בפועל (4)'!$E$17:$E$3016,'דוח הוצאות בפועל (4)'!$B$17:$B$3016,'תשלומי הורים ומלגות להורים (5) '!B121,'דוח הוצאות בפועל (4)'!$D$17:$D$3016,"מלגות להורים")</f>
        <v>0</v>
      </c>
      <c r="E121" s="219">
        <f t="shared" si="3"/>
        <v>0</v>
      </c>
      <c r="F121" s="704"/>
      <c r="G121" s="705"/>
      <c r="H121" s="705"/>
      <c r="I121" s="705"/>
      <c r="K121" s="220">
        <f>IFERROR(VLOOKUP(B121,'דוח ביצוע (3)'!B:J,8,0),0)</f>
        <v>0</v>
      </c>
      <c r="L121" s="220">
        <f t="shared" si="4"/>
        <v>0</v>
      </c>
      <c r="M121" s="705"/>
    </row>
    <row r="122" spans="1:13" ht="19.5" customHeight="1" x14ac:dyDescent="0.25">
      <c r="A122" s="280">
        <v>105</v>
      </c>
      <c r="B122" s="703" t="str">
        <f>IF(VLOOKUP(A122,'דוח ביצוע (3)'!A:G,2,0)="","",VLOOKUP('תשלומי הורים ומלגות להורים (5) '!A122,'דוח ביצוע (3)'!A:G,2,0))</f>
        <v/>
      </c>
      <c r="C122" s="849"/>
      <c r="D122" s="219">
        <f>SUMIFS('דוח הוצאות בפועל (4)'!$E$17:$E$3016,'דוח הוצאות בפועל (4)'!$B$17:$B$3016,'תשלומי הורים ומלגות להורים (5) '!B122,'דוח הוצאות בפועל (4)'!$D$17:$D$3016,"מלגות להורים")</f>
        <v>0</v>
      </c>
      <c r="E122" s="219">
        <f t="shared" si="3"/>
        <v>0</v>
      </c>
      <c r="F122" s="704"/>
      <c r="G122" s="705"/>
      <c r="H122" s="705"/>
      <c r="I122" s="705"/>
      <c r="K122" s="220">
        <f>IFERROR(VLOOKUP(B122,'דוח ביצוע (3)'!B:J,8,0),0)</f>
        <v>0</v>
      </c>
      <c r="L122" s="220">
        <f t="shared" si="4"/>
        <v>0</v>
      </c>
      <c r="M122" s="705"/>
    </row>
    <row r="123" spans="1:13" ht="19.5" customHeight="1" x14ac:dyDescent="0.25">
      <c r="A123" s="280">
        <v>106</v>
      </c>
      <c r="B123" s="703" t="str">
        <f>IF(VLOOKUP(A123,'דוח ביצוע (3)'!A:G,2,0)="","",VLOOKUP('תשלומי הורים ומלגות להורים (5) '!A123,'דוח ביצוע (3)'!A:G,2,0))</f>
        <v/>
      </c>
      <c r="C123" s="849"/>
      <c r="D123" s="219">
        <f>SUMIFS('דוח הוצאות בפועל (4)'!$E$17:$E$3016,'דוח הוצאות בפועל (4)'!$B$17:$B$3016,'תשלומי הורים ומלגות להורים (5) '!B123,'דוח הוצאות בפועל (4)'!$D$17:$D$3016,"מלגות להורים")</f>
        <v>0</v>
      </c>
      <c r="E123" s="219">
        <f t="shared" si="3"/>
        <v>0</v>
      </c>
      <c r="F123" s="704"/>
      <c r="G123" s="705"/>
      <c r="H123" s="705"/>
      <c r="I123" s="705"/>
      <c r="K123" s="220">
        <f>IFERROR(VLOOKUP(B123,'דוח ביצוע (3)'!B:J,8,0),0)</f>
        <v>0</v>
      </c>
      <c r="L123" s="220">
        <f t="shared" si="4"/>
        <v>0</v>
      </c>
      <c r="M123" s="705"/>
    </row>
    <row r="124" spans="1:13" ht="19.5" customHeight="1" x14ac:dyDescent="0.25">
      <c r="A124" s="280">
        <v>107</v>
      </c>
      <c r="B124" s="703" t="str">
        <f>IF(VLOOKUP(A124,'דוח ביצוע (3)'!A:G,2,0)="","",VLOOKUP('תשלומי הורים ומלגות להורים (5) '!A124,'דוח ביצוע (3)'!A:G,2,0))</f>
        <v/>
      </c>
      <c r="C124" s="849"/>
      <c r="D124" s="219">
        <f>SUMIFS('דוח הוצאות בפועל (4)'!$E$17:$E$3016,'דוח הוצאות בפועל (4)'!$B$17:$B$3016,'תשלומי הורים ומלגות להורים (5) '!B124,'דוח הוצאות בפועל (4)'!$D$17:$D$3016,"מלגות להורים")</f>
        <v>0</v>
      </c>
      <c r="E124" s="219">
        <f t="shared" si="3"/>
        <v>0</v>
      </c>
      <c r="F124" s="704"/>
      <c r="G124" s="705"/>
      <c r="H124" s="705"/>
      <c r="I124" s="705"/>
      <c r="K124" s="220">
        <f>IFERROR(VLOOKUP(B124,'דוח ביצוע (3)'!B:J,8,0),0)</f>
        <v>0</v>
      </c>
      <c r="L124" s="220">
        <f t="shared" si="4"/>
        <v>0</v>
      </c>
      <c r="M124" s="705"/>
    </row>
    <row r="125" spans="1:13" ht="19.5" customHeight="1" x14ac:dyDescent="0.25">
      <c r="A125" s="280">
        <v>108</v>
      </c>
      <c r="B125" s="703" t="str">
        <f>IF(VLOOKUP(A125,'דוח ביצוע (3)'!A:G,2,0)="","",VLOOKUP('תשלומי הורים ומלגות להורים (5) '!A125,'דוח ביצוע (3)'!A:G,2,0))</f>
        <v/>
      </c>
      <c r="C125" s="849"/>
      <c r="D125" s="219">
        <f>SUMIFS('דוח הוצאות בפועל (4)'!$E$17:$E$3016,'דוח הוצאות בפועל (4)'!$B$17:$B$3016,'תשלומי הורים ומלגות להורים (5) '!B125,'דוח הוצאות בפועל (4)'!$D$17:$D$3016,"מלגות להורים")</f>
        <v>0</v>
      </c>
      <c r="E125" s="219">
        <f t="shared" si="3"/>
        <v>0</v>
      </c>
      <c r="F125" s="704"/>
      <c r="G125" s="705"/>
      <c r="H125" s="705"/>
      <c r="I125" s="705"/>
      <c r="K125" s="220">
        <f>IFERROR(VLOOKUP(B125,'דוח ביצוע (3)'!B:J,8,0),0)</f>
        <v>0</v>
      </c>
      <c r="L125" s="220">
        <f t="shared" si="4"/>
        <v>0</v>
      </c>
      <c r="M125" s="705"/>
    </row>
    <row r="126" spans="1:13" ht="19.5" customHeight="1" x14ac:dyDescent="0.25">
      <c r="A126" s="280">
        <v>109</v>
      </c>
      <c r="B126" s="703" t="str">
        <f>IF(VLOOKUP(A126,'דוח ביצוע (3)'!A:G,2,0)="","",VLOOKUP('תשלומי הורים ומלגות להורים (5) '!A126,'דוח ביצוע (3)'!A:G,2,0))</f>
        <v/>
      </c>
      <c r="C126" s="849"/>
      <c r="D126" s="219">
        <f>SUMIFS('דוח הוצאות בפועל (4)'!$E$17:$E$3016,'דוח הוצאות בפועל (4)'!$B$17:$B$3016,'תשלומי הורים ומלגות להורים (5) '!B126,'דוח הוצאות בפועל (4)'!$D$17:$D$3016,"מלגות להורים")</f>
        <v>0</v>
      </c>
      <c r="E126" s="219">
        <f t="shared" si="3"/>
        <v>0</v>
      </c>
      <c r="F126" s="704"/>
      <c r="G126" s="705"/>
      <c r="H126" s="705"/>
      <c r="I126" s="705"/>
      <c r="K126" s="220">
        <f>IFERROR(VLOOKUP(B126,'דוח ביצוע (3)'!B:J,8,0),0)</f>
        <v>0</v>
      </c>
      <c r="L126" s="220">
        <f t="shared" si="4"/>
        <v>0</v>
      </c>
      <c r="M126" s="705"/>
    </row>
    <row r="127" spans="1:13" ht="19.5" customHeight="1" x14ac:dyDescent="0.25">
      <c r="A127" s="280">
        <v>110</v>
      </c>
      <c r="B127" s="703" t="str">
        <f>IF(VLOOKUP(A127,'דוח ביצוע (3)'!A:G,2,0)="","",VLOOKUP('תשלומי הורים ומלגות להורים (5) '!A127,'דוח ביצוע (3)'!A:G,2,0))</f>
        <v/>
      </c>
      <c r="C127" s="849"/>
      <c r="D127" s="219">
        <f>SUMIFS('דוח הוצאות בפועל (4)'!$E$17:$E$3016,'דוח הוצאות בפועל (4)'!$B$17:$B$3016,'תשלומי הורים ומלגות להורים (5) '!B127,'דוח הוצאות בפועל (4)'!$D$17:$D$3016,"מלגות להורים")</f>
        <v>0</v>
      </c>
      <c r="E127" s="219">
        <f t="shared" si="3"/>
        <v>0</v>
      </c>
      <c r="F127" s="704"/>
      <c r="G127" s="705"/>
      <c r="H127" s="705"/>
      <c r="I127" s="705"/>
      <c r="K127" s="220">
        <f>IFERROR(VLOOKUP(B127,'דוח ביצוע (3)'!B:J,8,0),0)</f>
        <v>0</v>
      </c>
      <c r="L127" s="220">
        <f t="shared" si="4"/>
        <v>0</v>
      </c>
      <c r="M127" s="705"/>
    </row>
    <row r="128" spans="1:13" ht="19.5" customHeight="1" x14ac:dyDescent="0.25">
      <c r="A128" s="280">
        <v>111</v>
      </c>
      <c r="B128" s="703" t="str">
        <f>IF(VLOOKUP(A128,'דוח ביצוע (3)'!A:G,2,0)="","",VLOOKUP('תשלומי הורים ומלגות להורים (5) '!A128,'דוח ביצוע (3)'!A:G,2,0))</f>
        <v/>
      </c>
      <c r="C128" s="849"/>
      <c r="D128" s="219">
        <f>SUMIFS('דוח הוצאות בפועל (4)'!$E$17:$E$3016,'דוח הוצאות בפועל (4)'!$B$17:$B$3016,'תשלומי הורים ומלגות להורים (5) '!B128,'דוח הוצאות בפועל (4)'!$D$17:$D$3016,"מלגות להורים")</f>
        <v>0</v>
      </c>
      <c r="E128" s="219">
        <f t="shared" si="3"/>
        <v>0</v>
      </c>
      <c r="F128" s="704"/>
      <c r="G128" s="705"/>
      <c r="H128" s="705"/>
      <c r="I128" s="705"/>
      <c r="K128" s="220">
        <f>IFERROR(VLOOKUP(B128,'דוח ביצוע (3)'!B:J,8,0),0)</f>
        <v>0</v>
      </c>
      <c r="L128" s="220">
        <f t="shared" si="4"/>
        <v>0</v>
      </c>
      <c r="M128" s="705"/>
    </row>
    <row r="129" spans="1:13" ht="19.5" customHeight="1" x14ac:dyDescent="0.25">
      <c r="A129" s="280">
        <v>112</v>
      </c>
      <c r="B129" s="703" t="str">
        <f>IF(VLOOKUP(A129,'דוח ביצוע (3)'!A:G,2,0)="","",VLOOKUP('תשלומי הורים ומלגות להורים (5) '!A129,'דוח ביצוע (3)'!A:G,2,0))</f>
        <v/>
      </c>
      <c r="C129" s="849"/>
      <c r="D129" s="219">
        <f>SUMIFS('דוח הוצאות בפועל (4)'!$E$17:$E$3016,'דוח הוצאות בפועל (4)'!$B$17:$B$3016,'תשלומי הורים ומלגות להורים (5) '!B129,'דוח הוצאות בפועל (4)'!$D$17:$D$3016,"מלגות להורים")</f>
        <v>0</v>
      </c>
      <c r="E129" s="219">
        <f t="shared" si="3"/>
        <v>0</v>
      </c>
      <c r="F129" s="704"/>
      <c r="G129" s="705"/>
      <c r="H129" s="705"/>
      <c r="I129" s="705"/>
      <c r="K129" s="220">
        <f>IFERROR(VLOOKUP(B129,'דוח ביצוע (3)'!B:J,8,0),0)</f>
        <v>0</v>
      </c>
      <c r="L129" s="220">
        <f t="shared" si="4"/>
        <v>0</v>
      </c>
      <c r="M129" s="705"/>
    </row>
    <row r="130" spans="1:13" ht="19.5" customHeight="1" x14ac:dyDescent="0.25">
      <c r="A130" s="280">
        <v>113</v>
      </c>
      <c r="B130" s="703" t="str">
        <f>IF(VLOOKUP(A130,'דוח ביצוע (3)'!A:G,2,0)="","",VLOOKUP('תשלומי הורים ומלגות להורים (5) '!A130,'דוח ביצוע (3)'!A:G,2,0))</f>
        <v/>
      </c>
      <c r="C130" s="849"/>
      <c r="D130" s="219">
        <f>SUMIFS('דוח הוצאות בפועל (4)'!$E$17:$E$3016,'דוח הוצאות בפועל (4)'!$B$17:$B$3016,'תשלומי הורים ומלגות להורים (5) '!B130,'דוח הוצאות בפועל (4)'!$D$17:$D$3016,"מלגות להורים")</f>
        <v>0</v>
      </c>
      <c r="E130" s="219">
        <f t="shared" si="3"/>
        <v>0</v>
      </c>
      <c r="F130" s="704"/>
      <c r="G130" s="705"/>
      <c r="H130" s="705"/>
      <c r="I130" s="705"/>
      <c r="K130" s="220">
        <f>IFERROR(VLOOKUP(B130,'דוח ביצוע (3)'!B:J,8,0),0)</f>
        <v>0</v>
      </c>
      <c r="L130" s="220">
        <f t="shared" si="4"/>
        <v>0</v>
      </c>
      <c r="M130" s="705"/>
    </row>
    <row r="131" spans="1:13" ht="19.5" customHeight="1" x14ac:dyDescent="0.25">
      <c r="A131" s="280">
        <v>114</v>
      </c>
      <c r="B131" s="703" t="str">
        <f>IF(VLOOKUP(A131,'דוח ביצוע (3)'!A:G,2,0)="","",VLOOKUP('תשלומי הורים ומלגות להורים (5) '!A131,'דוח ביצוע (3)'!A:G,2,0))</f>
        <v/>
      </c>
      <c r="C131" s="849"/>
      <c r="D131" s="219">
        <f>SUMIFS('דוח הוצאות בפועל (4)'!$E$17:$E$3016,'דוח הוצאות בפועל (4)'!$B$17:$B$3016,'תשלומי הורים ומלגות להורים (5) '!B131,'דוח הוצאות בפועל (4)'!$D$17:$D$3016,"מלגות להורים")</f>
        <v>0</v>
      </c>
      <c r="E131" s="219">
        <f t="shared" si="3"/>
        <v>0</v>
      </c>
      <c r="F131" s="704"/>
      <c r="G131" s="705"/>
      <c r="H131" s="705"/>
      <c r="I131" s="705"/>
      <c r="K131" s="220">
        <f>IFERROR(VLOOKUP(B131,'דוח ביצוע (3)'!B:J,8,0),0)</f>
        <v>0</v>
      </c>
      <c r="L131" s="220">
        <f t="shared" si="4"/>
        <v>0</v>
      </c>
      <c r="M131" s="705"/>
    </row>
    <row r="132" spans="1:13" ht="19.5" customHeight="1" x14ac:dyDescent="0.25">
      <c r="A132" s="280">
        <v>115</v>
      </c>
      <c r="B132" s="703" t="str">
        <f>IF(VLOOKUP(A132,'דוח ביצוע (3)'!A:G,2,0)="","",VLOOKUP('תשלומי הורים ומלגות להורים (5) '!A132,'דוח ביצוע (3)'!A:G,2,0))</f>
        <v/>
      </c>
      <c r="C132" s="849"/>
      <c r="D132" s="219">
        <f>SUMIFS('דוח הוצאות בפועל (4)'!$E$17:$E$3016,'דוח הוצאות בפועל (4)'!$B$17:$B$3016,'תשלומי הורים ומלגות להורים (5) '!B132,'דוח הוצאות בפועל (4)'!$D$17:$D$3016,"מלגות להורים")</f>
        <v>0</v>
      </c>
      <c r="E132" s="219">
        <f t="shared" si="3"/>
        <v>0</v>
      </c>
      <c r="F132" s="704"/>
      <c r="G132" s="705"/>
      <c r="H132" s="705"/>
      <c r="I132" s="705"/>
      <c r="K132" s="220">
        <f>IFERROR(VLOOKUP(B132,'דוח ביצוע (3)'!B:J,8,0),0)</f>
        <v>0</v>
      </c>
      <c r="L132" s="220">
        <f t="shared" si="4"/>
        <v>0</v>
      </c>
      <c r="M132" s="705"/>
    </row>
    <row r="133" spans="1:13" ht="19.5" customHeight="1" x14ac:dyDescent="0.25">
      <c r="A133" s="280">
        <v>116</v>
      </c>
      <c r="B133" s="703" t="str">
        <f>IF(VLOOKUP(A133,'דוח ביצוע (3)'!A:G,2,0)="","",VLOOKUP('תשלומי הורים ומלגות להורים (5) '!A133,'דוח ביצוע (3)'!A:G,2,0))</f>
        <v/>
      </c>
      <c r="C133" s="849"/>
      <c r="D133" s="219">
        <f>SUMIFS('דוח הוצאות בפועל (4)'!$E$17:$E$3016,'דוח הוצאות בפועל (4)'!$B$17:$B$3016,'תשלומי הורים ומלגות להורים (5) '!B133,'דוח הוצאות בפועל (4)'!$D$17:$D$3016,"מלגות להורים")</f>
        <v>0</v>
      </c>
      <c r="E133" s="219">
        <f t="shared" si="3"/>
        <v>0</v>
      </c>
      <c r="F133" s="704"/>
      <c r="G133" s="705"/>
      <c r="H133" s="705"/>
      <c r="I133" s="705"/>
      <c r="K133" s="220">
        <f>IFERROR(VLOOKUP(B133,'דוח ביצוע (3)'!B:J,8,0),0)</f>
        <v>0</v>
      </c>
      <c r="L133" s="220">
        <f t="shared" si="4"/>
        <v>0</v>
      </c>
      <c r="M133" s="705"/>
    </row>
    <row r="134" spans="1:13" ht="19.5" customHeight="1" x14ac:dyDescent="0.25">
      <c r="A134" s="280">
        <v>117</v>
      </c>
      <c r="B134" s="703" t="str">
        <f>IF(VLOOKUP(A134,'דוח ביצוע (3)'!A:G,2,0)="","",VLOOKUP('תשלומי הורים ומלגות להורים (5) '!A134,'דוח ביצוע (3)'!A:G,2,0))</f>
        <v/>
      </c>
      <c r="C134" s="849"/>
      <c r="D134" s="219">
        <f>SUMIFS('דוח הוצאות בפועל (4)'!$E$17:$E$3016,'דוח הוצאות בפועל (4)'!$B$17:$B$3016,'תשלומי הורים ומלגות להורים (5) '!B134,'דוח הוצאות בפועל (4)'!$D$17:$D$3016,"מלגות להורים")</f>
        <v>0</v>
      </c>
      <c r="E134" s="219">
        <f t="shared" si="3"/>
        <v>0</v>
      </c>
      <c r="F134" s="704"/>
      <c r="G134" s="705"/>
      <c r="H134" s="705"/>
      <c r="I134" s="705"/>
      <c r="K134" s="220">
        <f>IFERROR(VLOOKUP(B134,'דוח ביצוע (3)'!B:J,8,0),0)</f>
        <v>0</v>
      </c>
      <c r="L134" s="220">
        <f t="shared" si="4"/>
        <v>0</v>
      </c>
      <c r="M134" s="705"/>
    </row>
    <row r="135" spans="1:13" ht="19.5" customHeight="1" x14ac:dyDescent="0.25">
      <c r="A135" s="280">
        <v>118</v>
      </c>
      <c r="B135" s="703" t="str">
        <f>IF(VLOOKUP(A135,'דוח ביצוע (3)'!A:G,2,0)="","",VLOOKUP('תשלומי הורים ומלגות להורים (5) '!A135,'דוח ביצוע (3)'!A:G,2,0))</f>
        <v/>
      </c>
      <c r="C135" s="849"/>
      <c r="D135" s="219">
        <f>SUMIFS('דוח הוצאות בפועל (4)'!$E$17:$E$3016,'דוח הוצאות בפועל (4)'!$B$17:$B$3016,'תשלומי הורים ומלגות להורים (5) '!B135,'דוח הוצאות בפועל (4)'!$D$17:$D$3016,"מלגות להורים")</f>
        <v>0</v>
      </c>
      <c r="E135" s="219">
        <f t="shared" si="3"/>
        <v>0</v>
      </c>
      <c r="F135" s="704"/>
      <c r="G135" s="705"/>
      <c r="H135" s="705"/>
      <c r="I135" s="705"/>
      <c r="K135" s="220">
        <f>IFERROR(VLOOKUP(B135,'דוח ביצוע (3)'!B:J,8,0),0)</f>
        <v>0</v>
      </c>
      <c r="L135" s="220">
        <f t="shared" si="4"/>
        <v>0</v>
      </c>
      <c r="M135" s="705"/>
    </row>
    <row r="136" spans="1:13" ht="19.5" customHeight="1" x14ac:dyDescent="0.25">
      <c r="A136" s="280">
        <v>119</v>
      </c>
      <c r="B136" s="703" t="str">
        <f>IF(VLOOKUP(A136,'דוח ביצוע (3)'!A:G,2,0)="","",VLOOKUP('תשלומי הורים ומלגות להורים (5) '!A136,'דוח ביצוע (3)'!A:G,2,0))</f>
        <v/>
      </c>
      <c r="C136" s="849"/>
      <c r="D136" s="219">
        <f>SUMIFS('דוח הוצאות בפועל (4)'!$E$17:$E$3016,'דוח הוצאות בפועל (4)'!$B$17:$B$3016,'תשלומי הורים ומלגות להורים (5) '!B136,'דוח הוצאות בפועל (4)'!$D$17:$D$3016,"מלגות להורים")</f>
        <v>0</v>
      </c>
      <c r="E136" s="219">
        <f t="shared" si="3"/>
        <v>0</v>
      </c>
      <c r="F136" s="704"/>
      <c r="G136" s="705"/>
      <c r="H136" s="705"/>
      <c r="I136" s="705"/>
      <c r="K136" s="220">
        <f>IFERROR(VLOOKUP(B136,'דוח ביצוע (3)'!B:J,8,0),0)</f>
        <v>0</v>
      </c>
      <c r="L136" s="220">
        <f t="shared" si="4"/>
        <v>0</v>
      </c>
      <c r="M136" s="705"/>
    </row>
    <row r="137" spans="1:13" ht="19.5" customHeight="1" x14ac:dyDescent="0.25">
      <c r="A137" s="280">
        <v>120</v>
      </c>
      <c r="B137" s="703" t="str">
        <f>IF(VLOOKUP(A137,'דוח ביצוע (3)'!A:G,2,0)="","",VLOOKUP('תשלומי הורים ומלגות להורים (5) '!A137,'דוח ביצוע (3)'!A:G,2,0))</f>
        <v/>
      </c>
      <c r="C137" s="849"/>
      <c r="D137" s="219">
        <f>SUMIFS('דוח הוצאות בפועל (4)'!$E$17:$E$3016,'דוח הוצאות בפועל (4)'!$B$17:$B$3016,'תשלומי הורים ומלגות להורים (5) '!B137,'דוח הוצאות בפועל (4)'!$D$17:$D$3016,"מלגות להורים")</f>
        <v>0</v>
      </c>
      <c r="E137" s="219">
        <f t="shared" si="3"/>
        <v>0</v>
      </c>
      <c r="F137" s="704"/>
      <c r="G137" s="705"/>
      <c r="H137" s="705"/>
      <c r="I137" s="705"/>
      <c r="K137" s="220">
        <f>IFERROR(VLOOKUP(B137,'דוח ביצוע (3)'!B:J,8,0),0)</f>
        <v>0</v>
      </c>
      <c r="L137" s="220">
        <f t="shared" si="4"/>
        <v>0</v>
      </c>
      <c r="M137" s="705"/>
    </row>
    <row r="138" spans="1:13" ht="19.5" customHeight="1" x14ac:dyDescent="0.25">
      <c r="A138" s="280">
        <v>121</v>
      </c>
      <c r="B138" s="703" t="str">
        <f>IF(VLOOKUP(A138,'דוח ביצוע (3)'!A:G,2,0)="","",VLOOKUP('תשלומי הורים ומלגות להורים (5) '!A138,'דוח ביצוע (3)'!A:G,2,0))</f>
        <v/>
      </c>
      <c r="C138" s="849"/>
      <c r="D138" s="219">
        <f>SUMIFS('דוח הוצאות בפועל (4)'!$E$17:$E$3016,'דוח הוצאות בפועל (4)'!$B$17:$B$3016,'תשלומי הורים ומלגות להורים (5) '!B138,'דוח הוצאות בפועל (4)'!$D$17:$D$3016,"מלגות להורים")</f>
        <v>0</v>
      </c>
      <c r="E138" s="219">
        <f t="shared" si="3"/>
        <v>0</v>
      </c>
      <c r="F138" s="704"/>
      <c r="G138" s="705"/>
      <c r="H138" s="705"/>
      <c r="I138" s="705"/>
      <c r="K138" s="220">
        <f>IFERROR(VLOOKUP(B138,'דוח ביצוע (3)'!B:J,8,0),0)</f>
        <v>0</v>
      </c>
      <c r="L138" s="220">
        <f t="shared" si="4"/>
        <v>0</v>
      </c>
      <c r="M138" s="705"/>
    </row>
    <row r="139" spans="1:13" ht="19.5" customHeight="1" x14ac:dyDescent="0.25">
      <c r="A139" s="280">
        <v>122</v>
      </c>
      <c r="B139" s="703" t="str">
        <f>IF(VLOOKUP(A139,'דוח ביצוע (3)'!A:G,2,0)="","",VLOOKUP('תשלומי הורים ומלגות להורים (5) '!A139,'דוח ביצוע (3)'!A:G,2,0))</f>
        <v/>
      </c>
      <c r="C139" s="849"/>
      <c r="D139" s="219">
        <f>SUMIFS('דוח הוצאות בפועל (4)'!$E$17:$E$3016,'דוח הוצאות בפועל (4)'!$B$17:$B$3016,'תשלומי הורים ומלגות להורים (5) '!B139,'דוח הוצאות בפועל (4)'!$D$17:$D$3016,"מלגות להורים")</f>
        <v>0</v>
      </c>
      <c r="E139" s="219">
        <f t="shared" si="3"/>
        <v>0</v>
      </c>
      <c r="F139" s="704"/>
      <c r="G139" s="705"/>
      <c r="H139" s="705"/>
      <c r="I139" s="705"/>
      <c r="K139" s="220">
        <f>IFERROR(VLOOKUP(B139,'דוח ביצוע (3)'!B:J,8,0),0)</f>
        <v>0</v>
      </c>
      <c r="L139" s="220">
        <f t="shared" si="4"/>
        <v>0</v>
      </c>
      <c r="M139" s="705"/>
    </row>
    <row r="140" spans="1:13" ht="19.5" customHeight="1" x14ac:dyDescent="0.25">
      <c r="A140" s="280">
        <v>123</v>
      </c>
      <c r="B140" s="703" t="str">
        <f>IF(VLOOKUP(A140,'דוח ביצוע (3)'!A:G,2,0)="","",VLOOKUP('תשלומי הורים ומלגות להורים (5) '!A140,'דוח ביצוע (3)'!A:G,2,0))</f>
        <v/>
      </c>
      <c r="C140" s="849"/>
      <c r="D140" s="219">
        <f>SUMIFS('דוח הוצאות בפועל (4)'!$E$17:$E$3016,'דוח הוצאות בפועל (4)'!$B$17:$B$3016,'תשלומי הורים ומלגות להורים (5) '!B140,'דוח הוצאות בפועל (4)'!$D$17:$D$3016,"מלגות להורים")</f>
        <v>0</v>
      </c>
      <c r="E140" s="219">
        <f t="shared" si="3"/>
        <v>0</v>
      </c>
      <c r="F140" s="704"/>
      <c r="G140" s="705"/>
      <c r="H140" s="705"/>
      <c r="I140" s="705"/>
      <c r="K140" s="220">
        <f>IFERROR(VLOOKUP(B140,'דוח ביצוע (3)'!B:J,8,0),0)</f>
        <v>0</v>
      </c>
      <c r="L140" s="220">
        <f t="shared" si="4"/>
        <v>0</v>
      </c>
      <c r="M140" s="705"/>
    </row>
    <row r="141" spans="1:13" ht="19.5" customHeight="1" x14ac:dyDescent="0.25">
      <c r="A141" s="280">
        <v>124</v>
      </c>
      <c r="B141" s="703" t="str">
        <f>IF(VLOOKUP(A141,'דוח ביצוע (3)'!A:G,2,0)="","",VLOOKUP('תשלומי הורים ומלגות להורים (5) '!A141,'דוח ביצוע (3)'!A:G,2,0))</f>
        <v/>
      </c>
      <c r="C141" s="849"/>
      <c r="D141" s="219">
        <f>SUMIFS('דוח הוצאות בפועל (4)'!$E$17:$E$3016,'דוח הוצאות בפועל (4)'!$B$17:$B$3016,'תשלומי הורים ומלגות להורים (5) '!B141,'דוח הוצאות בפועל (4)'!$D$17:$D$3016,"מלגות להורים")</f>
        <v>0</v>
      </c>
      <c r="E141" s="219">
        <f t="shared" si="3"/>
        <v>0</v>
      </c>
      <c r="F141" s="704"/>
      <c r="G141" s="705"/>
      <c r="H141" s="705"/>
      <c r="I141" s="705"/>
      <c r="K141" s="220">
        <f>IFERROR(VLOOKUP(B141,'דוח ביצוע (3)'!B:J,8,0),0)</f>
        <v>0</v>
      </c>
      <c r="L141" s="220">
        <f t="shared" si="4"/>
        <v>0</v>
      </c>
      <c r="M141" s="705"/>
    </row>
    <row r="142" spans="1:13" ht="19.5" customHeight="1" x14ac:dyDescent="0.25">
      <c r="A142" s="280">
        <v>125</v>
      </c>
      <c r="B142" s="703" t="str">
        <f>IF(VLOOKUP(A142,'דוח ביצוע (3)'!A:G,2,0)="","",VLOOKUP('תשלומי הורים ומלגות להורים (5) '!A142,'דוח ביצוע (3)'!A:G,2,0))</f>
        <v/>
      </c>
      <c r="C142" s="849"/>
      <c r="D142" s="219">
        <f>SUMIFS('דוח הוצאות בפועל (4)'!$E$17:$E$3016,'דוח הוצאות בפועל (4)'!$B$17:$B$3016,'תשלומי הורים ומלגות להורים (5) '!B142,'דוח הוצאות בפועל (4)'!$D$17:$D$3016,"מלגות להורים")</f>
        <v>0</v>
      </c>
      <c r="E142" s="219">
        <f t="shared" si="3"/>
        <v>0</v>
      </c>
      <c r="F142" s="704"/>
      <c r="G142" s="705"/>
      <c r="H142" s="705"/>
      <c r="I142" s="705"/>
      <c r="K142" s="220">
        <f>IFERROR(VLOOKUP(B142,'דוח ביצוע (3)'!B:J,8,0),0)</f>
        <v>0</v>
      </c>
      <c r="L142" s="220">
        <f t="shared" si="4"/>
        <v>0</v>
      </c>
      <c r="M142" s="705"/>
    </row>
    <row r="143" spans="1:13" ht="19.5" customHeight="1" x14ac:dyDescent="0.25">
      <c r="A143" s="280">
        <v>126</v>
      </c>
      <c r="B143" s="703" t="str">
        <f>IF(VLOOKUP(A143,'דוח ביצוע (3)'!A:G,2,0)="","",VLOOKUP('תשלומי הורים ומלגות להורים (5) '!A143,'דוח ביצוע (3)'!A:G,2,0))</f>
        <v/>
      </c>
      <c r="C143" s="849"/>
      <c r="D143" s="219">
        <f>SUMIFS('דוח הוצאות בפועל (4)'!$E$17:$E$3016,'דוח הוצאות בפועל (4)'!$B$17:$B$3016,'תשלומי הורים ומלגות להורים (5) '!B143,'דוח הוצאות בפועל (4)'!$D$17:$D$3016,"מלגות להורים")</f>
        <v>0</v>
      </c>
      <c r="E143" s="219">
        <f t="shared" si="3"/>
        <v>0</v>
      </c>
      <c r="F143" s="704"/>
      <c r="G143" s="705"/>
      <c r="H143" s="705"/>
      <c r="I143" s="705"/>
      <c r="K143" s="220">
        <f>IFERROR(VLOOKUP(B143,'דוח ביצוע (3)'!B:J,8,0),0)</f>
        <v>0</v>
      </c>
      <c r="L143" s="220">
        <f t="shared" si="4"/>
        <v>0</v>
      </c>
      <c r="M143" s="705"/>
    </row>
    <row r="144" spans="1:13" ht="19.5" customHeight="1" x14ac:dyDescent="0.25">
      <c r="A144" s="280">
        <v>127</v>
      </c>
      <c r="B144" s="703" t="str">
        <f>IF(VLOOKUP(A144,'דוח ביצוע (3)'!A:G,2,0)="","",VLOOKUP('תשלומי הורים ומלגות להורים (5) '!A144,'דוח ביצוע (3)'!A:G,2,0))</f>
        <v/>
      </c>
      <c r="C144" s="849"/>
      <c r="D144" s="219">
        <f>SUMIFS('דוח הוצאות בפועל (4)'!$E$17:$E$3016,'דוח הוצאות בפועל (4)'!$B$17:$B$3016,'תשלומי הורים ומלגות להורים (5) '!B144,'דוח הוצאות בפועל (4)'!$D$17:$D$3016,"מלגות להורים")</f>
        <v>0</v>
      </c>
      <c r="E144" s="219">
        <f t="shared" si="3"/>
        <v>0</v>
      </c>
      <c r="F144" s="704"/>
      <c r="G144" s="705"/>
      <c r="H144" s="705"/>
      <c r="I144" s="705"/>
      <c r="K144" s="220">
        <f>IFERROR(VLOOKUP(B144,'דוח ביצוע (3)'!B:J,8,0),0)</f>
        <v>0</v>
      </c>
      <c r="L144" s="220">
        <f t="shared" si="4"/>
        <v>0</v>
      </c>
      <c r="M144" s="705"/>
    </row>
    <row r="145" spans="1:13" ht="19.5" customHeight="1" x14ac:dyDescent="0.25">
      <c r="A145" s="280">
        <v>128</v>
      </c>
      <c r="B145" s="703" t="str">
        <f>IF(VLOOKUP(A145,'דוח ביצוע (3)'!A:G,2,0)="","",VLOOKUP('תשלומי הורים ומלגות להורים (5) '!A145,'דוח ביצוע (3)'!A:G,2,0))</f>
        <v/>
      </c>
      <c r="C145" s="849"/>
      <c r="D145" s="219">
        <f>SUMIFS('דוח הוצאות בפועל (4)'!$E$17:$E$3016,'דוח הוצאות בפועל (4)'!$B$17:$B$3016,'תשלומי הורים ומלגות להורים (5) '!B145,'דוח הוצאות בפועל (4)'!$D$17:$D$3016,"מלגות להורים")</f>
        <v>0</v>
      </c>
      <c r="E145" s="219">
        <f t="shared" si="3"/>
        <v>0</v>
      </c>
      <c r="F145" s="704"/>
      <c r="G145" s="705"/>
      <c r="H145" s="705"/>
      <c r="I145" s="705"/>
      <c r="K145" s="220">
        <f>IFERROR(VLOOKUP(B145,'דוח ביצוע (3)'!B:J,8,0),0)</f>
        <v>0</v>
      </c>
      <c r="L145" s="220">
        <f t="shared" si="4"/>
        <v>0</v>
      </c>
      <c r="M145" s="705"/>
    </row>
    <row r="146" spans="1:13" ht="19.5" customHeight="1" x14ac:dyDescent="0.25">
      <c r="A146" s="280">
        <v>129</v>
      </c>
      <c r="B146" s="703" t="str">
        <f>IF(VLOOKUP(A146,'דוח ביצוע (3)'!A:G,2,0)="","",VLOOKUP('תשלומי הורים ומלגות להורים (5) '!A146,'דוח ביצוע (3)'!A:G,2,0))</f>
        <v/>
      </c>
      <c r="C146" s="849"/>
      <c r="D146" s="219">
        <f>SUMIFS('דוח הוצאות בפועל (4)'!$E$17:$E$3016,'דוח הוצאות בפועל (4)'!$B$17:$B$3016,'תשלומי הורים ומלגות להורים (5) '!B146,'דוח הוצאות בפועל (4)'!$D$17:$D$3016,"מלגות להורים")</f>
        <v>0</v>
      </c>
      <c r="E146" s="219">
        <f t="shared" si="3"/>
        <v>0</v>
      </c>
      <c r="F146" s="704"/>
      <c r="G146" s="705"/>
      <c r="H146" s="705"/>
      <c r="I146" s="705"/>
      <c r="K146" s="220">
        <f>IFERROR(VLOOKUP(B146,'דוח ביצוע (3)'!B:J,8,0),0)</f>
        <v>0</v>
      </c>
      <c r="L146" s="220">
        <f t="shared" si="4"/>
        <v>0</v>
      </c>
      <c r="M146" s="705"/>
    </row>
    <row r="147" spans="1:13" ht="19.5" customHeight="1" x14ac:dyDescent="0.25">
      <c r="A147" s="280">
        <v>130</v>
      </c>
      <c r="B147" s="703" t="str">
        <f>IF(VLOOKUP(A147,'דוח ביצוע (3)'!A:G,2,0)="","",VLOOKUP('תשלומי הורים ומלגות להורים (5) '!A147,'דוח ביצוע (3)'!A:G,2,0))</f>
        <v/>
      </c>
      <c r="C147" s="849"/>
      <c r="D147" s="219">
        <f>SUMIFS('דוח הוצאות בפועל (4)'!$E$17:$E$3016,'דוח הוצאות בפועל (4)'!$B$17:$B$3016,'תשלומי הורים ומלגות להורים (5) '!B147,'דוח הוצאות בפועל (4)'!$D$17:$D$3016,"מלגות להורים")</f>
        <v>0</v>
      </c>
      <c r="E147" s="219">
        <f t="shared" ref="E147:E210" si="5">C147-D147</f>
        <v>0</v>
      </c>
      <c r="F147" s="704"/>
      <c r="G147" s="705"/>
      <c r="H147" s="705"/>
      <c r="I147" s="705"/>
      <c r="K147" s="220">
        <f>IFERROR(VLOOKUP(B147,'דוח ביצוע (3)'!B:J,8,0),0)</f>
        <v>0</v>
      </c>
      <c r="L147" s="220">
        <f t="shared" ref="L147:L210" si="6">IFERROR(C147/I147-$C$5,0)</f>
        <v>0</v>
      </c>
      <c r="M147" s="705"/>
    </row>
    <row r="148" spans="1:13" ht="19.5" customHeight="1" x14ac:dyDescent="0.25">
      <c r="A148" s="280">
        <v>131</v>
      </c>
      <c r="B148" s="703" t="str">
        <f>IF(VLOOKUP(A148,'דוח ביצוע (3)'!A:G,2,0)="","",VLOOKUP('תשלומי הורים ומלגות להורים (5) '!A148,'דוח ביצוע (3)'!A:G,2,0))</f>
        <v/>
      </c>
      <c r="C148" s="849"/>
      <c r="D148" s="219">
        <f>SUMIFS('דוח הוצאות בפועל (4)'!$E$17:$E$3016,'דוח הוצאות בפועל (4)'!$B$17:$B$3016,'תשלומי הורים ומלגות להורים (5) '!B148,'דוח הוצאות בפועל (4)'!$D$17:$D$3016,"מלגות להורים")</f>
        <v>0</v>
      </c>
      <c r="E148" s="219">
        <f t="shared" si="5"/>
        <v>0</v>
      </c>
      <c r="F148" s="704"/>
      <c r="G148" s="705"/>
      <c r="H148" s="705"/>
      <c r="I148" s="705"/>
      <c r="K148" s="220">
        <f>IFERROR(VLOOKUP(B148,'דוח ביצוע (3)'!B:J,8,0),0)</f>
        <v>0</v>
      </c>
      <c r="L148" s="220">
        <f t="shared" si="6"/>
        <v>0</v>
      </c>
      <c r="M148" s="705"/>
    </row>
    <row r="149" spans="1:13" ht="19.5" customHeight="1" x14ac:dyDescent="0.25">
      <c r="A149" s="280">
        <v>132</v>
      </c>
      <c r="B149" s="703" t="str">
        <f>IF(VLOOKUP(A149,'דוח ביצוע (3)'!A:G,2,0)="","",VLOOKUP('תשלומי הורים ומלגות להורים (5) '!A149,'דוח ביצוע (3)'!A:G,2,0))</f>
        <v/>
      </c>
      <c r="C149" s="849"/>
      <c r="D149" s="219">
        <f>SUMIFS('דוח הוצאות בפועל (4)'!$E$17:$E$3016,'דוח הוצאות בפועל (4)'!$B$17:$B$3016,'תשלומי הורים ומלגות להורים (5) '!B149,'דוח הוצאות בפועל (4)'!$D$17:$D$3016,"מלגות להורים")</f>
        <v>0</v>
      </c>
      <c r="E149" s="219">
        <f t="shared" si="5"/>
        <v>0</v>
      </c>
      <c r="F149" s="704"/>
      <c r="G149" s="705"/>
      <c r="H149" s="705"/>
      <c r="I149" s="705"/>
      <c r="K149" s="220">
        <f>IFERROR(VLOOKUP(B149,'דוח ביצוע (3)'!B:J,8,0),0)</f>
        <v>0</v>
      </c>
      <c r="L149" s="220">
        <f t="shared" si="6"/>
        <v>0</v>
      </c>
      <c r="M149" s="705"/>
    </row>
    <row r="150" spans="1:13" ht="19.5" customHeight="1" x14ac:dyDescent="0.25">
      <c r="A150" s="280">
        <v>133</v>
      </c>
      <c r="B150" s="703" t="str">
        <f>IF(VLOOKUP(A150,'דוח ביצוע (3)'!A:G,2,0)="","",VLOOKUP('תשלומי הורים ומלגות להורים (5) '!A150,'דוח ביצוע (3)'!A:G,2,0))</f>
        <v/>
      </c>
      <c r="C150" s="849"/>
      <c r="D150" s="219">
        <f>SUMIFS('דוח הוצאות בפועל (4)'!$E$17:$E$3016,'דוח הוצאות בפועל (4)'!$B$17:$B$3016,'תשלומי הורים ומלגות להורים (5) '!B150,'דוח הוצאות בפועל (4)'!$D$17:$D$3016,"מלגות להורים")</f>
        <v>0</v>
      </c>
      <c r="E150" s="219">
        <f t="shared" si="5"/>
        <v>0</v>
      </c>
      <c r="F150" s="704"/>
      <c r="G150" s="705"/>
      <c r="H150" s="705"/>
      <c r="I150" s="705"/>
      <c r="K150" s="220">
        <f>IFERROR(VLOOKUP(B150,'דוח ביצוע (3)'!B:J,8,0),0)</f>
        <v>0</v>
      </c>
      <c r="L150" s="220">
        <f t="shared" si="6"/>
        <v>0</v>
      </c>
      <c r="M150" s="705"/>
    </row>
    <row r="151" spans="1:13" ht="19.5" customHeight="1" x14ac:dyDescent="0.25">
      <c r="A151" s="280">
        <v>134</v>
      </c>
      <c r="B151" s="703" t="str">
        <f>IF(VLOOKUP(A151,'דוח ביצוע (3)'!A:G,2,0)="","",VLOOKUP('תשלומי הורים ומלגות להורים (5) '!A151,'דוח ביצוע (3)'!A:G,2,0))</f>
        <v/>
      </c>
      <c r="C151" s="849"/>
      <c r="D151" s="219">
        <f>SUMIFS('דוח הוצאות בפועל (4)'!$E$17:$E$3016,'דוח הוצאות בפועל (4)'!$B$17:$B$3016,'תשלומי הורים ומלגות להורים (5) '!B151,'דוח הוצאות בפועל (4)'!$D$17:$D$3016,"מלגות להורים")</f>
        <v>0</v>
      </c>
      <c r="E151" s="219">
        <f t="shared" si="5"/>
        <v>0</v>
      </c>
      <c r="F151" s="704"/>
      <c r="G151" s="705"/>
      <c r="H151" s="705"/>
      <c r="I151" s="705"/>
      <c r="K151" s="220">
        <f>IFERROR(VLOOKUP(B151,'דוח ביצוע (3)'!B:J,8,0),0)</f>
        <v>0</v>
      </c>
      <c r="L151" s="220">
        <f t="shared" si="6"/>
        <v>0</v>
      </c>
      <c r="M151" s="705"/>
    </row>
    <row r="152" spans="1:13" ht="19.5" customHeight="1" x14ac:dyDescent="0.25">
      <c r="A152" s="280">
        <v>135</v>
      </c>
      <c r="B152" s="703" t="str">
        <f>IF(VLOOKUP(A152,'דוח ביצוע (3)'!A:G,2,0)="","",VLOOKUP('תשלומי הורים ומלגות להורים (5) '!A152,'דוח ביצוע (3)'!A:G,2,0))</f>
        <v/>
      </c>
      <c r="C152" s="849"/>
      <c r="D152" s="219">
        <f>SUMIFS('דוח הוצאות בפועל (4)'!$E$17:$E$3016,'דוח הוצאות בפועל (4)'!$B$17:$B$3016,'תשלומי הורים ומלגות להורים (5) '!B152,'דוח הוצאות בפועל (4)'!$D$17:$D$3016,"מלגות להורים")</f>
        <v>0</v>
      </c>
      <c r="E152" s="219">
        <f t="shared" si="5"/>
        <v>0</v>
      </c>
      <c r="F152" s="704"/>
      <c r="G152" s="705"/>
      <c r="H152" s="705"/>
      <c r="I152" s="705"/>
      <c r="K152" s="220">
        <f>IFERROR(VLOOKUP(B152,'דוח ביצוע (3)'!B:J,8,0),0)</f>
        <v>0</v>
      </c>
      <c r="L152" s="220">
        <f t="shared" si="6"/>
        <v>0</v>
      </c>
      <c r="M152" s="705"/>
    </row>
    <row r="153" spans="1:13" ht="19.5" customHeight="1" x14ac:dyDescent="0.25">
      <c r="A153" s="280">
        <v>136</v>
      </c>
      <c r="B153" s="703" t="str">
        <f>IF(VLOOKUP(A153,'דוח ביצוע (3)'!A:G,2,0)="","",VLOOKUP('תשלומי הורים ומלגות להורים (5) '!A153,'דוח ביצוע (3)'!A:G,2,0))</f>
        <v/>
      </c>
      <c r="C153" s="849"/>
      <c r="D153" s="219">
        <f>SUMIFS('דוח הוצאות בפועל (4)'!$E$17:$E$3016,'דוח הוצאות בפועל (4)'!$B$17:$B$3016,'תשלומי הורים ומלגות להורים (5) '!B153,'דוח הוצאות בפועל (4)'!$D$17:$D$3016,"מלגות להורים")</f>
        <v>0</v>
      </c>
      <c r="E153" s="219">
        <f t="shared" si="5"/>
        <v>0</v>
      </c>
      <c r="F153" s="704"/>
      <c r="G153" s="705"/>
      <c r="H153" s="705"/>
      <c r="I153" s="705"/>
      <c r="K153" s="220">
        <f>IFERROR(VLOOKUP(B153,'דוח ביצוע (3)'!B:J,8,0),0)</f>
        <v>0</v>
      </c>
      <c r="L153" s="220">
        <f t="shared" si="6"/>
        <v>0</v>
      </c>
      <c r="M153" s="705"/>
    </row>
    <row r="154" spans="1:13" ht="19.5" customHeight="1" x14ac:dyDescent="0.25">
      <c r="A154" s="280">
        <v>137</v>
      </c>
      <c r="B154" s="703" t="str">
        <f>IF(VLOOKUP(A154,'דוח ביצוע (3)'!A:G,2,0)="","",VLOOKUP('תשלומי הורים ומלגות להורים (5) '!A154,'דוח ביצוע (3)'!A:G,2,0))</f>
        <v/>
      </c>
      <c r="C154" s="849"/>
      <c r="D154" s="219">
        <f>SUMIFS('דוח הוצאות בפועל (4)'!$E$17:$E$3016,'דוח הוצאות בפועל (4)'!$B$17:$B$3016,'תשלומי הורים ומלגות להורים (5) '!B154,'דוח הוצאות בפועל (4)'!$D$17:$D$3016,"מלגות להורים")</f>
        <v>0</v>
      </c>
      <c r="E154" s="219">
        <f t="shared" si="5"/>
        <v>0</v>
      </c>
      <c r="F154" s="704"/>
      <c r="G154" s="705"/>
      <c r="H154" s="705"/>
      <c r="I154" s="705"/>
      <c r="K154" s="220">
        <f>IFERROR(VLOOKUP(B154,'דוח ביצוע (3)'!B:J,8,0),0)</f>
        <v>0</v>
      </c>
      <c r="L154" s="220">
        <f t="shared" si="6"/>
        <v>0</v>
      </c>
      <c r="M154" s="705"/>
    </row>
    <row r="155" spans="1:13" ht="19.5" customHeight="1" x14ac:dyDescent="0.25">
      <c r="A155" s="280">
        <v>138</v>
      </c>
      <c r="B155" s="703" t="str">
        <f>IF(VLOOKUP(A155,'דוח ביצוע (3)'!A:G,2,0)="","",VLOOKUP('תשלומי הורים ומלגות להורים (5) '!A155,'דוח ביצוע (3)'!A:G,2,0))</f>
        <v/>
      </c>
      <c r="C155" s="849"/>
      <c r="D155" s="219">
        <f>SUMIFS('דוח הוצאות בפועל (4)'!$E$17:$E$3016,'דוח הוצאות בפועל (4)'!$B$17:$B$3016,'תשלומי הורים ומלגות להורים (5) '!B155,'דוח הוצאות בפועל (4)'!$D$17:$D$3016,"מלגות להורים")</f>
        <v>0</v>
      </c>
      <c r="E155" s="219">
        <f t="shared" si="5"/>
        <v>0</v>
      </c>
      <c r="F155" s="704"/>
      <c r="G155" s="705"/>
      <c r="H155" s="705"/>
      <c r="I155" s="705"/>
      <c r="K155" s="220">
        <f>IFERROR(VLOOKUP(B155,'דוח ביצוע (3)'!B:J,8,0),0)</f>
        <v>0</v>
      </c>
      <c r="L155" s="220">
        <f t="shared" si="6"/>
        <v>0</v>
      </c>
      <c r="M155" s="705"/>
    </row>
    <row r="156" spans="1:13" ht="19.5" customHeight="1" x14ac:dyDescent="0.25">
      <c r="A156" s="280">
        <v>139</v>
      </c>
      <c r="B156" s="703" t="str">
        <f>IF(VLOOKUP(A156,'דוח ביצוע (3)'!A:G,2,0)="","",VLOOKUP('תשלומי הורים ומלגות להורים (5) '!A156,'דוח ביצוע (3)'!A:G,2,0))</f>
        <v/>
      </c>
      <c r="C156" s="849"/>
      <c r="D156" s="219">
        <f>SUMIFS('דוח הוצאות בפועל (4)'!$E$17:$E$3016,'דוח הוצאות בפועל (4)'!$B$17:$B$3016,'תשלומי הורים ומלגות להורים (5) '!B156,'דוח הוצאות בפועל (4)'!$D$17:$D$3016,"מלגות להורים")</f>
        <v>0</v>
      </c>
      <c r="E156" s="219">
        <f t="shared" si="5"/>
        <v>0</v>
      </c>
      <c r="F156" s="704"/>
      <c r="G156" s="705"/>
      <c r="H156" s="705"/>
      <c r="I156" s="705"/>
      <c r="K156" s="220">
        <f>IFERROR(VLOOKUP(B156,'דוח ביצוע (3)'!B:J,8,0),0)</f>
        <v>0</v>
      </c>
      <c r="L156" s="220">
        <f t="shared" si="6"/>
        <v>0</v>
      </c>
      <c r="M156" s="705"/>
    </row>
    <row r="157" spans="1:13" ht="19.5" customHeight="1" x14ac:dyDescent="0.25">
      <c r="A157" s="280">
        <v>140</v>
      </c>
      <c r="B157" s="703" t="str">
        <f>IF(VLOOKUP(A157,'דוח ביצוע (3)'!A:G,2,0)="","",VLOOKUP('תשלומי הורים ומלגות להורים (5) '!A157,'דוח ביצוע (3)'!A:G,2,0))</f>
        <v/>
      </c>
      <c r="C157" s="849"/>
      <c r="D157" s="219">
        <f>SUMIFS('דוח הוצאות בפועל (4)'!$E$17:$E$3016,'דוח הוצאות בפועל (4)'!$B$17:$B$3016,'תשלומי הורים ומלגות להורים (5) '!B157,'דוח הוצאות בפועל (4)'!$D$17:$D$3016,"מלגות להורים")</f>
        <v>0</v>
      </c>
      <c r="E157" s="219">
        <f t="shared" si="5"/>
        <v>0</v>
      </c>
      <c r="F157" s="704"/>
      <c r="G157" s="705"/>
      <c r="H157" s="705"/>
      <c r="I157" s="705"/>
      <c r="K157" s="220">
        <f>IFERROR(VLOOKUP(B157,'דוח ביצוע (3)'!B:J,8,0),0)</f>
        <v>0</v>
      </c>
      <c r="L157" s="220">
        <f t="shared" si="6"/>
        <v>0</v>
      </c>
      <c r="M157" s="705"/>
    </row>
    <row r="158" spans="1:13" ht="19.5" customHeight="1" x14ac:dyDescent="0.25">
      <c r="A158" s="280">
        <v>141</v>
      </c>
      <c r="B158" s="703" t="str">
        <f>IF(VLOOKUP(A158,'דוח ביצוע (3)'!A:G,2,0)="","",VLOOKUP('תשלומי הורים ומלגות להורים (5) '!A158,'דוח ביצוע (3)'!A:G,2,0))</f>
        <v/>
      </c>
      <c r="C158" s="849"/>
      <c r="D158" s="219">
        <f>SUMIFS('דוח הוצאות בפועל (4)'!$E$17:$E$3016,'דוח הוצאות בפועל (4)'!$B$17:$B$3016,'תשלומי הורים ומלגות להורים (5) '!B158,'דוח הוצאות בפועל (4)'!$D$17:$D$3016,"מלגות להורים")</f>
        <v>0</v>
      </c>
      <c r="E158" s="219">
        <f t="shared" si="5"/>
        <v>0</v>
      </c>
      <c r="F158" s="704"/>
      <c r="G158" s="705"/>
      <c r="H158" s="705"/>
      <c r="I158" s="705"/>
      <c r="K158" s="220">
        <f>IFERROR(VLOOKUP(B158,'דוח ביצוע (3)'!B:J,8,0),0)</f>
        <v>0</v>
      </c>
      <c r="L158" s="220">
        <f t="shared" si="6"/>
        <v>0</v>
      </c>
      <c r="M158" s="705"/>
    </row>
    <row r="159" spans="1:13" ht="19.5" customHeight="1" x14ac:dyDescent="0.25">
      <c r="A159" s="280">
        <v>142</v>
      </c>
      <c r="B159" s="703" t="str">
        <f>IF(VLOOKUP(A159,'דוח ביצוע (3)'!A:G,2,0)="","",VLOOKUP('תשלומי הורים ומלגות להורים (5) '!A159,'דוח ביצוע (3)'!A:G,2,0))</f>
        <v/>
      </c>
      <c r="C159" s="849"/>
      <c r="D159" s="219">
        <f>SUMIFS('דוח הוצאות בפועל (4)'!$E$17:$E$3016,'דוח הוצאות בפועל (4)'!$B$17:$B$3016,'תשלומי הורים ומלגות להורים (5) '!B159,'דוח הוצאות בפועל (4)'!$D$17:$D$3016,"מלגות להורים")</f>
        <v>0</v>
      </c>
      <c r="E159" s="219">
        <f t="shared" si="5"/>
        <v>0</v>
      </c>
      <c r="F159" s="704"/>
      <c r="G159" s="705"/>
      <c r="H159" s="705"/>
      <c r="I159" s="705"/>
      <c r="K159" s="220">
        <f>IFERROR(VLOOKUP(B159,'דוח ביצוע (3)'!B:J,8,0),0)</f>
        <v>0</v>
      </c>
      <c r="L159" s="220">
        <f t="shared" si="6"/>
        <v>0</v>
      </c>
      <c r="M159" s="705"/>
    </row>
    <row r="160" spans="1:13" ht="19.5" customHeight="1" x14ac:dyDescent="0.25">
      <c r="A160" s="280">
        <v>143</v>
      </c>
      <c r="B160" s="703" t="str">
        <f>IF(VLOOKUP(A160,'דוח ביצוע (3)'!A:G,2,0)="","",VLOOKUP('תשלומי הורים ומלגות להורים (5) '!A160,'דוח ביצוע (3)'!A:G,2,0))</f>
        <v/>
      </c>
      <c r="C160" s="849"/>
      <c r="D160" s="219">
        <f>SUMIFS('דוח הוצאות בפועל (4)'!$E$17:$E$3016,'דוח הוצאות בפועל (4)'!$B$17:$B$3016,'תשלומי הורים ומלגות להורים (5) '!B160,'דוח הוצאות בפועל (4)'!$D$17:$D$3016,"מלגות להורים")</f>
        <v>0</v>
      </c>
      <c r="E160" s="219">
        <f t="shared" si="5"/>
        <v>0</v>
      </c>
      <c r="F160" s="704"/>
      <c r="G160" s="705"/>
      <c r="H160" s="705"/>
      <c r="I160" s="705"/>
      <c r="K160" s="220">
        <f>IFERROR(VLOOKUP(B160,'דוח ביצוע (3)'!B:J,8,0),0)</f>
        <v>0</v>
      </c>
      <c r="L160" s="220">
        <f t="shared" si="6"/>
        <v>0</v>
      </c>
      <c r="M160" s="705"/>
    </row>
    <row r="161" spans="1:13" ht="19.5" customHeight="1" x14ac:dyDescent="0.25">
      <c r="A161" s="280">
        <v>144</v>
      </c>
      <c r="B161" s="703" t="str">
        <f>IF(VLOOKUP(A161,'דוח ביצוע (3)'!A:G,2,0)="","",VLOOKUP('תשלומי הורים ומלגות להורים (5) '!A161,'דוח ביצוע (3)'!A:G,2,0))</f>
        <v/>
      </c>
      <c r="C161" s="849"/>
      <c r="D161" s="219">
        <f>SUMIFS('דוח הוצאות בפועל (4)'!$E$17:$E$3016,'דוח הוצאות בפועל (4)'!$B$17:$B$3016,'תשלומי הורים ומלגות להורים (5) '!B161,'דוח הוצאות בפועל (4)'!$D$17:$D$3016,"מלגות להורים")</f>
        <v>0</v>
      </c>
      <c r="E161" s="219">
        <f t="shared" si="5"/>
        <v>0</v>
      </c>
      <c r="F161" s="704"/>
      <c r="G161" s="705"/>
      <c r="H161" s="705"/>
      <c r="I161" s="705"/>
      <c r="K161" s="220">
        <f>IFERROR(VLOOKUP(B161,'דוח ביצוע (3)'!B:J,8,0),0)</f>
        <v>0</v>
      </c>
      <c r="L161" s="220">
        <f t="shared" si="6"/>
        <v>0</v>
      </c>
      <c r="M161" s="705"/>
    </row>
    <row r="162" spans="1:13" ht="19.5" customHeight="1" x14ac:dyDescent="0.25">
      <c r="A162" s="280">
        <v>145</v>
      </c>
      <c r="B162" s="703" t="str">
        <f>IF(VLOOKUP(A162,'דוח ביצוע (3)'!A:G,2,0)="","",VLOOKUP('תשלומי הורים ומלגות להורים (5) '!A162,'דוח ביצוע (3)'!A:G,2,0))</f>
        <v/>
      </c>
      <c r="C162" s="849"/>
      <c r="D162" s="219">
        <f>SUMIFS('דוח הוצאות בפועל (4)'!$E$17:$E$3016,'דוח הוצאות בפועל (4)'!$B$17:$B$3016,'תשלומי הורים ומלגות להורים (5) '!B162,'דוח הוצאות בפועל (4)'!$D$17:$D$3016,"מלגות להורים")</f>
        <v>0</v>
      </c>
      <c r="E162" s="219">
        <f t="shared" si="5"/>
        <v>0</v>
      </c>
      <c r="F162" s="704"/>
      <c r="G162" s="705"/>
      <c r="H162" s="705"/>
      <c r="I162" s="705"/>
      <c r="K162" s="220">
        <f>IFERROR(VLOOKUP(B162,'דוח ביצוע (3)'!B:J,8,0),0)</f>
        <v>0</v>
      </c>
      <c r="L162" s="220">
        <f t="shared" si="6"/>
        <v>0</v>
      </c>
      <c r="M162" s="705"/>
    </row>
    <row r="163" spans="1:13" ht="19.5" customHeight="1" x14ac:dyDescent="0.25">
      <c r="A163" s="280">
        <v>146</v>
      </c>
      <c r="B163" s="703" t="str">
        <f>IF(VLOOKUP(A163,'דוח ביצוע (3)'!A:G,2,0)="","",VLOOKUP('תשלומי הורים ומלגות להורים (5) '!A163,'דוח ביצוע (3)'!A:G,2,0))</f>
        <v/>
      </c>
      <c r="C163" s="849"/>
      <c r="D163" s="219">
        <f>SUMIFS('דוח הוצאות בפועל (4)'!$E$17:$E$3016,'דוח הוצאות בפועל (4)'!$B$17:$B$3016,'תשלומי הורים ומלגות להורים (5) '!B163,'דוח הוצאות בפועל (4)'!$D$17:$D$3016,"מלגות להורים")</f>
        <v>0</v>
      </c>
      <c r="E163" s="219">
        <f t="shared" si="5"/>
        <v>0</v>
      </c>
      <c r="F163" s="704"/>
      <c r="G163" s="705"/>
      <c r="H163" s="705"/>
      <c r="I163" s="705"/>
      <c r="K163" s="220">
        <f>IFERROR(VLOOKUP(B163,'דוח ביצוע (3)'!B:J,8,0),0)</f>
        <v>0</v>
      </c>
      <c r="L163" s="220">
        <f t="shared" si="6"/>
        <v>0</v>
      </c>
      <c r="M163" s="705"/>
    </row>
    <row r="164" spans="1:13" ht="19.5" customHeight="1" x14ac:dyDescent="0.25">
      <c r="A164" s="280">
        <v>147</v>
      </c>
      <c r="B164" s="703" t="str">
        <f>IF(VLOOKUP(A164,'דוח ביצוע (3)'!A:G,2,0)="","",VLOOKUP('תשלומי הורים ומלגות להורים (5) '!A164,'דוח ביצוע (3)'!A:G,2,0))</f>
        <v/>
      </c>
      <c r="C164" s="849"/>
      <c r="D164" s="219">
        <f>SUMIFS('דוח הוצאות בפועל (4)'!$E$17:$E$3016,'דוח הוצאות בפועל (4)'!$B$17:$B$3016,'תשלומי הורים ומלגות להורים (5) '!B164,'דוח הוצאות בפועל (4)'!$D$17:$D$3016,"מלגות להורים")</f>
        <v>0</v>
      </c>
      <c r="E164" s="219">
        <f t="shared" si="5"/>
        <v>0</v>
      </c>
      <c r="F164" s="704"/>
      <c r="G164" s="705"/>
      <c r="H164" s="705"/>
      <c r="I164" s="705"/>
      <c r="K164" s="220">
        <f>IFERROR(VLOOKUP(B164,'דוח ביצוע (3)'!B:J,8,0),0)</f>
        <v>0</v>
      </c>
      <c r="L164" s="220">
        <f t="shared" si="6"/>
        <v>0</v>
      </c>
      <c r="M164" s="705"/>
    </row>
    <row r="165" spans="1:13" ht="19.5" customHeight="1" x14ac:dyDescent="0.25">
      <c r="A165" s="280">
        <v>148</v>
      </c>
      <c r="B165" s="703" t="str">
        <f>IF(VLOOKUP(A165,'דוח ביצוע (3)'!A:G,2,0)="","",VLOOKUP('תשלומי הורים ומלגות להורים (5) '!A165,'דוח ביצוע (3)'!A:G,2,0))</f>
        <v/>
      </c>
      <c r="C165" s="849"/>
      <c r="D165" s="219">
        <f>SUMIFS('דוח הוצאות בפועל (4)'!$E$17:$E$3016,'דוח הוצאות בפועל (4)'!$B$17:$B$3016,'תשלומי הורים ומלגות להורים (5) '!B165,'דוח הוצאות בפועל (4)'!$D$17:$D$3016,"מלגות להורים")</f>
        <v>0</v>
      </c>
      <c r="E165" s="219">
        <f t="shared" si="5"/>
        <v>0</v>
      </c>
      <c r="F165" s="704"/>
      <c r="G165" s="705"/>
      <c r="H165" s="705"/>
      <c r="I165" s="705"/>
      <c r="K165" s="220">
        <f>IFERROR(VLOOKUP(B165,'דוח ביצוע (3)'!B:J,8,0),0)</f>
        <v>0</v>
      </c>
      <c r="L165" s="220">
        <f t="shared" si="6"/>
        <v>0</v>
      </c>
      <c r="M165" s="705"/>
    </row>
    <row r="166" spans="1:13" ht="19.5" customHeight="1" x14ac:dyDescent="0.25">
      <c r="A166" s="280">
        <v>149</v>
      </c>
      <c r="B166" s="703" t="str">
        <f>IF(VLOOKUP(A166,'דוח ביצוע (3)'!A:G,2,0)="","",VLOOKUP('תשלומי הורים ומלגות להורים (5) '!A166,'דוח ביצוע (3)'!A:G,2,0))</f>
        <v/>
      </c>
      <c r="C166" s="849"/>
      <c r="D166" s="219">
        <f>SUMIFS('דוח הוצאות בפועל (4)'!$E$17:$E$3016,'דוח הוצאות בפועל (4)'!$B$17:$B$3016,'תשלומי הורים ומלגות להורים (5) '!B166,'דוח הוצאות בפועל (4)'!$D$17:$D$3016,"מלגות להורים")</f>
        <v>0</v>
      </c>
      <c r="E166" s="219">
        <f t="shared" si="5"/>
        <v>0</v>
      </c>
      <c r="F166" s="704"/>
      <c r="G166" s="705"/>
      <c r="H166" s="705"/>
      <c r="I166" s="705"/>
      <c r="K166" s="220">
        <f>IFERROR(VLOOKUP(B166,'דוח ביצוע (3)'!B:J,8,0),0)</f>
        <v>0</v>
      </c>
      <c r="L166" s="220">
        <f t="shared" si="6"/>
        <v>0</v>
      </c>
      <c r="M166" s="705"/>
    </row>
    <row r="167" spans="1:13" ht="19.5" customHeight="1" x14ac:dyDescent="0.25">
      <c r="A167" s="280">
        <v>150</v>
      </c>
      <c r="B167" s="703" t="str">
        <f>IF(VLOOKUP(A167,'דוח ביצוע (3)'!A:G,2,0)="","",VLOOKUP('תשלומי הורים ומלגות להורים (5) '!A167,'דוח ביצוע (3)'!A:G,2,0))</f>
        <v/>
      </c>
      <c r="C167" s="849"/>
      <c r="D167" s="219">
        <f>SUMIFS('דוח הוצאות בפועל (4)'!$E$17:$E$3016,'דוח הוצאות בפועל (4)'!$B$17:$B$3016,'תשלומי הורים ומלגות להורים (5) '!B167,'דוח הוצאות בפועל (4)'!$D$17:$D$3016,"מלגות להורים")</f>
        <v>0</v>
      </c>
      <c r="E167" s="219">
        <f t="shared" si="5"/>
        <v>0</v>
      </c>
      <c r="F167" s="704"/>
      <c r="G167" s="705"/>
      <c r="H167" s="705"/>
      <c r="I167" s="705"/>
      <c r="K167" s="220">
        <f>IFERROR(VLOOKUP(B167,'דוח ביצוע (3)'!B:J,8,0),0)</f>
        <v>0</v>
      </c>
      <c r="L167" s="220">
        <f t="shared" si="6"/>
        <v>0</v>
      </c>
      <c r="M167" s="705"/>
    </row>
    <row r="168" spans="1:13" ht="19.5" customHeight="1" x14ac:dyDescent="0.25">
      <c r="A168" s="280">
        <v>151</v>
      </c>
      <c r="B168" s="703" t="str">
        <f>IF(VLOOKUP(A168,'דוח ביצוע (3)'!A:G,2,0)="","",VLOOKUP('תשלומי הורים ומלגות להורים (5) '!A168,'דוח ביצוע (3)'!A:G,2,0))</f>
        <v/>
      </c>
      <c r="C168" s="849"/>
      <c r="D168" s="219">
        <f>SUMIFS('דוח הוצאות בפועל (4)'!$E$17:$E$3016,'דוח הוצאות בפועל (4)'!$B$17:$B$3016,'תשלומי הורים ומלגות להורים (5) '!B168,'דוח הוצאות בפועל (4)'!$D$17:$D$3016,"מלגות להורים")</f>
        <v>0</v>
      </c>
      <c r="E168" s="219">
        <f t="shared" si="5"/>
        <v>0</v>
      </c>
      <c r="F168" s="704"/>
      <c r="G168" s="705"/>
      <c r="H168" s="705"/>
      <c r="I168" s="705"/>
      <c r="K168" s="220">
        <f>IFERROR(VLOOKUP(B168,'דוח ביצוע (3)'!B:J,8,0),0)</f>
        <v>0</v>
      </c>
      <c r="L168" s="220">
        <f t="shared" si="6"/>
        <v>0</v>
      </c>
      <c r="M168" s="705"/>
    </row>
    <row r="169" spans="1:13" ht="19.5" customHeight="1" x14ac:dyDescent="0.25">
      <c r="A169" s="280">
        <v>152</v>
      </c>
      <c r="B169" s="703" t="str">
        <f>IF(VLOOKUP(A169,'דוח ביצוע (3)'!A:G,2,0)="","",VLOOKUP('תשלומי הורים ומלגות להורים (5) '!A169,'דוח ביצוע (3)'!A:G,2,0))</f>
        <v/>
      </c>
      <c r="C169" s="849"/>
      <c r="D169" s="219">
        <f>SUMIFS('דוח הוצאות בפועל (4)'!$E$17:$E$3016,'דוח הוצאות בפועל (4)'!$B$17:$B$3016,'תשלומי הורים ומלגות להורים (5) '!B169,'דוח הוצאות בפועל (4)'!$D$17:$D$3016,"מלגות להורים")</f>
        <v>0</v>
      </c>
      <c r="E169" s="219">
        <f t="shared" si="5"/>
        <v>0</v>
      </c>
      <c r="F169" s="704"/>
      <c r="G169" s="705"/>
      <c r="H169" s="705"/>
      <c r="I169" s="705"/>
      <c r="K169" s="220">
        <f>IFERROR(VLOOKUP(B169,'דוח ביצוע (3)'!B:J,8,0),0)</f>
        <v>0</v>
      </c>
      <c r="L169" s="220">
        <f t="shared" si="6"/>
        <v>0</v>
      </c>
      <c r="M169" s="705"/>
    </row>
    <row r="170" spans="1:13" ht="19.5" customHeight="1" x14ac:dyDescent="0.25">
      <c r="A170" s="280">
        <v>153</v>
      </c>
      <c r="B170" s="703" t="str">
        <f>IF(VLOOKUP(A170,'דוח ביצוע (3)'!A:G,2,0)="","",VLOOKUP('תשלומי הורים ומלגות להורים (5) '!A170,'דוח ביצוע (3)'!A:G,2,0))</f>
        <v/>
      </c>
      <c r="C170" s="849"/>
      <c r="D170" s="219">
        <f>SUMIFS('דוח הוצאות בפועל (4)'!$E$17:$E$3016,'דוח הוצאות בפועל (4)'!$B$17:$B$3016,'תשלומי הורים ומלגות להורים (5) '!B170,'דוח הוצאות בפועל (4)'!$D$17:$D$3016,"מלגות להורים")</f>
        <v>0</v>
      </c>
      <c r="E170" s="219">
        <f t="shared" si="5"/>
        <v>0</v>
      </c>
      <c r="F170" s="704"/>
      <c r="G170" s="705"/>
      <c r="H170" s="705"/>
      <c r="I170" s="705"/>
      <c r="K170" s="220">
        <f>IFERROR(VLOOKUP(B170,'דוח ביצוע (3)'!B:J,8,0),0)</f>
        <v>0</v>
      </c>
      <c r="L170" s="220">
        <f t="shared" si="6"/>
        <v>0</v>
      </c>
      <c r="M170" s="705"/>
    </row>
    <row r="171" spans="1:13" ht="19.5" customHeight="1" x14ac:dyDescent="0.25">
      <c r="A171" s="280">
        <v>154</v>
      </c>
      <c r="B171" s="703" t="str">
        <f>IF(VLOOKUP(A171,'דוח ביצוע (3)'!A:G,2,0)="","",VLOOKUP('תשלומי הורים ומלגות להורים (5) '!A171,'דוח ביצוע (3)'!A:G,2,0))</f>
        <v/>
      </c>
      <c r="C171" s="849"/>
      <c r="D171" s="219">
        <f>SUMIFS('דוח הוצאות בפועל (4)'!$E$17:$E$3016,'דוח הוצאות בפועל (4)'!$B$17:$B$3016,'תשלומי הורים ומלגות להורים (5) '!B171,'דוח הוצאות בפועל (4)'!$D$17:$D$3016,"מלגות להורים")</f>
        <v>0</v>
      </c>
      <c r="E171" s="219">
        <f t="shared" si="5"/>
        <v>0</v>
      </c>
      <c r="F171" s="704"/>
      <c r="G171" s="705"/>
      <c r="H171" s="705"/>
      <c r="I171" s="705"/>
      <c r="K171" s="220">
        <f>IFERROR(VLOOKUP(B171,'דוח ביצוע (3)'!B:J,8,0),0)</f>
        <v>0</v>
      </c>
      <c r="L171" s="220">
        <f t="shared" si="6"/>
        <v>0</v>
      </c>
      <c r="M171" s="705"/>
    </row>
    <row r="172" spans="1:13" ht="19.5" customHeight="1" x14ac:dyDescent="0.25">
      <c r="A172" s="280">
        <v>155</v>
      </c>
      <c r="B172" s="703" t="str">
        <f>IF(VLOOKUP(A172,'דוח ביצוע (3)'!A:G,2,0)="","",VLOOKUP('תשלומי הורים ומלגות להורים (5) '!A172,'דוח ביצוע (3)'!A:G,2,0))</f>
        <v/>
      </c>
      <c r="C172" s="849"/>
      <c r="D172" s="219">
        <f>SUMIFS('דוח הוצאות בפועל (4)'!$E$17:$E$3016,'דוח הוצאות בפועל (4)'!$B$17:$B$3016,'תשלומי הורים ומלגות להורים (5) '!B172,'דוח הוצאות בפועל (4)'!$D$17:$D$3016,"מלגות להורים")</f>
        <v>0</v>
      </c>
      <c r="E172" s="219">
        <f t="shared" si="5"/>
        <v>0</v>
      </c>
      <c r="F172" s="704"/>
      <c r="G172" s="705"/>
      <c r="H172" s="705"/>
      <c r="I172" s="705"/>
      <c r="K172" s="220">
        <f>IFERROR(VLOOKUP(B172,'דוח ביצוע (3)'!B:J,8,0),0)</f>
        <v>0</v>
      </c>
      <c r="L172" s="220">
        <f t="shared" si="6"/>
        <v>0</v>
      </c>
      <c r="M172" s="705"/>
    </row>
    <row r="173" spans="1:13" ht="19.5" customHeight="1" x14ac:dyDescent="0.25">
      <c r="A173" s="280">
        <v>156</v>
      </c>
      <c r="B173" s="703" t="str">
        <f>IF(VLOOKUP(A173,'דוח ביצוע (3)'!A:G,2,0)="","",VLOOKUP('תשלומי הורים ומלגות להורים (5) '!A173,'דוח ביצוע (3)'!A:G,2,0))</f>
        <v/>
      </c>
      <c r="C173" s="849"/>
      <c r="D173" s="219">
        <f>SUMIFS('דוח הוצאות בפועל (4)'!$E$17:$E$3016,'דוח הוצאות בפועל (4)'!$B$17:$B$3016,'תשלומי הורים ומלגות להורים (5) '!B173,'דוח הוצאות בפועל (4)'!$D$17:$D$3016,"מלגות להורים")</f>
        <v>0</v>
      </c>
      <c r="E173" s="219">
        <f t="shared" si="5"/>
        <v>0</v>
      </c>
      <c r="F173" s="704"/>
      <c r="G173" s="705"/>
      <c r="H173" s="705"/>
      <c r="I173" s="705"/>
      <c r="K173" s="220">
        <f>IFERROR(VLOOKUP(B173,'דוח ביצוע (3)'!B:J,8,0),0)</f>
        <v>0</v>
      </c>
      <c r="L173" s="220">
        <f t="shared" si="6"/>
        <v>0</v>
      </c>
      <c r="M173" s="705"/>
    </row>
    <row r="174" spans="1:13" ht="19.5" customHeight="1" x14ac:dyDescent="0.25">
      <c r="A174" s="280">
        <v>157</v>
      </c>
      <c r="B174" s="703" t="str">
        <f>IF(VLOOKUP(A174,'דוח ביצוע (3)'!A:G,2,0)="","",VLOOKUP('תשלומי הורים ומלגות להורים (5) '!A174,'דוח ביצוע (3)'!A:G,2,0))</f>
        <v/>
      </c>
      <c r="C174" s="849"/>
      <c r="D174" s="219">
        <f>SUMIFS('דוח הוצאות בפועל (4)'!$E$17:$E$3016,'דוח הוצאות בפועל (4)'!$B$17:$B$3016,'תשלומי הורים ומלגות להורים (5) '!B174,'דוח הוצאות בפועל (4)'!$D$17:$D$3016,"מלגות להורים")</f>
        <v>0</v>
      </c>
      <c r="E174" s="219">
        <f t="shared" si="5"/>
        <v>0</v>
      </c>
      <c r="F174" s="704"/>
      <c r="G174" s="705"/>
      <c r="H174" s="705"/>
      <c r="I174" s="705"/>
      <c r="K174" s="220">
        <f>IFERROR(VLOOKUP(B174,'דוח ביצוע (3)'!B:J,8,0),0)</f>
        <v>0</v>
      </c>
      <c r="L174" s="220">
        <f t="shared" si="6"/>
        <v>0</v>
      </c>
      <c r="M174" s="705"/>
    </row>
    <row r="175" spans="1:13" ht="19.5" customHeight="1" x14ac:dyDescent="0.25">
      <c r="A175" s="280">
        <v>158</v>
      </c>
      <c r="B175" s="703" t="str">
        <f>IF(VLOOKUP(A175,'דוח ביצוע (3)'!A:G,2,0)="","",VLOOKUP('תשלומי הורים ומלגות להורים (5) '!A175,'דוח ביצוע (3)'!A:G,2,0))</f>
        <v/>
      </c>
      <c r="C175" s="849"/>
      <c r="D175" s="219">
        <f>SUMIFS('דוח הוצאות בפועל (4)'!$E$17:$E$3016,'דוח הוצאות בפועל (4)'!$B$17:$B$3016,'תשלומי הורים ומלגות להורים (5) '!B175,'דוח הוצאות בפועל (4)'!$D$17:$D$3016,"מלגות להורים")</f>
        <v>0</v>
      </c>
      <c r="E175" s="219">
        <f t="shared" si="5"/>
        <v>0</v>
      </c>
      <c r="F175" s="704"/>
      <c r="G175" s="705"/>
      <c r="H175" s="705"/>
      <c r="I175" s="705"/>
      <c r="K175" s="220">
        <f>IFERROR(VLOOKUP(B175,'דוח ביצוע (3)'!B:J,8,0),0)</f>
        <v>0</v>
      </c>
      <c r="L175" s="220">
        <f t="shared" si="6"/>
        <v>0</v>
      </c>
      <c r="M175" s="705"/>
    </row>
    <row r="176" spans="1:13" ht="19.5" customHeight="1" x14ac:dyDescent="0.25">
      <c r="A176" s="280">
        <v>159</v>
      </c>
      <c r="B176" s="703" t="str">
        <f>IF(VLOOKUP(A176,'דוח ביצוע (3)'!A:G,2,0)="","",VLOOKUP('תשלומי הורים ומלגות להורים (5) '!A176,'דוח ביצוע (3)'!A:G,2,0))</f>
        <v/>
      </c>
      <c r="C176" s="849"/>
      <c r="D176" s="219">
        <f>SUMIFS('דוח הוצאות בפועל (4)'!$E$17:$E$3016,'דוח הוצאות בפועל (4)'!$B$17:$B$3016,'תשלומי הורים ומלגות להורים (5) '!B176,'דוח הוצאות בפועל (4)'!$D$17:$D$3016,"מלגות להורים")</f>
        <v>0</v>
      </c>
      <c r="E176" s="219">
        <f t="shared" si="5"/>
        <v>0</v>
      </c>
      <c r="F176" s="704"/>
      <c r="G176" s="705"/>
      <c r="H176" s="705"/>
      <c r="I176" s="705"/>
      <c r="K176" s="220">
        <f>IFERROR(VLOOKUP(B176,'דוח ביצוע (3)'!B:J,8,0),0)</f>
        <v>0</v>
      </c>
      <c r="L176" s="220">
        <f t="shared" si="6"/>
        <v>0</v>
      </c>
      <c r="M176" s="705"/>
    </row>
    <row r="177" spans="1:13" ht="19.5" customHeight="1" x14ac:dyDescent="0.25">
      <c r="A177" s="280">
        <v>160</v>
      </c>
      <c r="B177" s="703" t="str">
        <f>IF(VLOOKUP(A177,'דוח ביצוע (3)'!A:G,2,0)="","",VLOOKUP('תשלומי הורים ומלגות להורים (5) '!A177,'דוח ביצוע (3)'!A:G,2,0))</f>
        <v/>
      </c>
      <c r="C177" s="849"/>
      <c r="D177" s="219">
        <f>SUMIFS('דוח הוצאות בפועל (4)'!$E$17:$E$3016,'דוח הוצאות בפועל (4)'!$B$17:$B$3016,'תשלומי הורים ומלגות להורים (5) '!B177,'דוח הוצאות בפועל (4)'!$D$17:$D$3016,"מלגות להורים")</f>
        <v>0</v>
      </c>
      <c r="E177" s="219">
        <f t="shared" si="5"/>
        <v>0</v>
      </c>
      <c r="F177" s="704"/>
      <c r="G177" s="705"/>
      <c r="H177" s="705"/>
      <c r="I177" s="705"/>
      <c r="K177" s="220">
        <f>IFERROR(VLOOKUP(B177,'דוח ביצוע (3)'!B:J,8,0),0)</f>
        <v>0</v>
      </c>
      <c r="L177" s="220">
        <f t="shared" si="6"/>
        <v>0</v>
      </c>
      <c r="M177" s="705"/>
    </row>
    <row r="178" spans="1:13" ht="19.5" customHeight="1" x14ac:dyDescent="0.25">
      <c r="A178" s="280">
        <v>161</v>
      </c>
      <c r="B178" s="703" t="str">
        <f>IF(VLOOKUP(A178,'דוח ביצוע (3)'!A:G,2,0)="","",VLOOKUP('תשלומי הורים ומלגות להורים (5) '!A178,'דוח ביצוע (3)'!A:G,2,0))</f>
        <v/>
      </c>
      <c r="C178" s="849"/>
      <c r="D178" s="219">
        <f>SUMIFS('דוח הוצאות בפועל (4)'!$E$17:$E$3016,'דוח הוצאות בפועל (4)'!$B$17:$B$3016,'תשלומי הורים ומלגות להורים (5) '!B178,'דוח הוצאות בפועל (4)'!$D$17:$D$3016,"מלגות להורים")</f>
        <v>0</v>
      </c>
      <c r="E178" s="219">
        <f t="shared" si="5"/>
        <v>0</v>
      </c>
      <c r="F178" s="704"/>
      <c r="G178" s="705"/>
      <c r="H178" s="705"/>
      <c r="I178" s="705"/>
      <c r="K178" s="220">
        <f>IFERROR(VLOOKUP(B178,'דוח ביצוע (3)'!B:J,8,0),0)</f>
        <v>0</v>
      </c>
      <c r="L178" s="220">
        <f t="shared" si="6"/>
        <v>0</v>
      </c>
      <c r="M178" s="705"/>
    </row>
    <row r="179" spans="1:13" ht="19.5" customHeight="1" x14ac:dyDescent="0.25">
      <c r="A179" s="280">
        <v>162</v>
      </c>
      <c r="B179" s="703" t="str">
        <f>IF(VLOOKUP(A179,'דוח ביצוע (3)'!A:G,2,0)="","",VLOOKUP('תשלומי הורים ומלגות להורים (5) '!A179,'דוח ביצוע (3)'!A:G,2,0))</f>
        <v/>
      </c>
      <c r="C179" s="849"/>
      <c r="D179" s="219">
        <f>SUMIFS('דוח הוצאות בפועל (4)'!$E$17:$E$3016,'דוח הוצאות בפועל (4)'!$B$17:$B$3016,'תשלומי הורים ומלגות להורים (5) '!B179,'דוח הוצאות בפועל (4)'!$D$17:$D$3016,"מלגות להורים")</f>
        <v>0</v>
      </c>
      <c r="E179" s="219">
        <f t="shared" si="5"/>
        <v>0</v>
      </c>
      <c r="F179" s="704"/>
      <c r="G179" s="705"/>
      <c r="H179" s="705"/>
      <c r="I179" s="705"/>
      <c r="K179" s="220">
        <f>IFERROR(VLOOKUP(B179,'דוח ביצוע (3)'!B:J,8,0),0)</f>
        <v>0</v>
      </c>
      <c r="L179" s="220">
        <f t="shared" si="6"/>
        <v>0</v>
      </c>
      <c r="M179" s="705"/>
    </row>
    <row r="180" spans="1:13" ht="19.5" customHeight="1" x14ac:dyDescent="0.25">
      <c r="A180" s="280">
        <v>163</v>
      </c>
      <c r="B180" s="703" t="str">
        <f>IF(VLOOKUP(A180,'דוח ביצוע (3)'!A:G,2,0)="","",VLOOKUP('תשלומי הורים ומלגות להורים (5) '!A180,'דוח ביצוע (3)'!A:G,2,0))</f>
        <v/>
      </c>
      <c r="C180" s="849"/>
      <c r="D180" s="219">
        <f>SUMIFS('דוח הוצאות בפועל (4)'!$E$17:$E$3016,'דוח הוצאות בפועל (4)'!$B$17:$B$3016,'תשלומי הורים ומלגות להורים (5) '!B180,'דוח הוצאות בפועל (4)'!$D$17:$D$3016,"מלגות להורים")</f>
        <v>0</v>
      </c>
      <c r="E180" s="219">
        <f t="shared" si="5"/>
        <v>0</v>
      </c>
      <c r="F180" s="704"/>
      <c r="G180" s="705"/>
      <c r="H180" s="705"/>
      <c r="I180" s="705"/>
      <c r="K180" s="220">
        <f>IFERROR(VLOOKUP(B180,'דוח ביצוע (3)'!B:J,8,0),0)</f>
        <v>0</v>
      </c>
      <c r="L180" s="220">
        <f t="shared" si="6"/>
        <v>0</v>
      </c>
      <c r="M180" s="705"/>
    </row>
    <row r="181" spans="1:13" ht="19.5" customHeight="1" x14ac:dyDescent="0.25">
      <c r="A181" s="280">
        <v>164</v>
      </c>
      <c r="B181" s="703" t="str">
        <f>IF(VLOOKUP(A181,'דוח ביצוע (3)'!A:G,2,0)="","",VLOOKUP('תשלומי הורים ומלגות להורים (5) '!A181,'דוח ביצוע (3)'!A:G,2,0))</f>
        <v/>
      </c>
      <c r="C181" s="849"/>
      <c r="D181" s="219">
        <f>SUMIFS('דוח הוצאות בפועל (4)'!$E$17:$E$3016,'דוח הוצאות בפועל (4)'!$B$17:$B$3016,'תשלומי הורים ומלגות להורים (5) '!B181,'דוח הוצאות בפועל (4)'!$D$17:$D$3016,"מלגות להורים")</f>
        <v>0</v>
      </c>
      <c r="E181" s="219">
        <f t="shared" si="5"/>
        <v>0</v>
      </c>
      <c r="F181" s="704"/>
      <c r="G181" s="705"/>
      <c r="H181" s="705"/>
      <c r="I181" s="705"/>
      <c r="K181" s="220">
        <f>IFERROR(VLOOKUP(B181,'דוח ביצוע (3)'!B:J,8,0),0)</f>
        <v>0</v>
      </c>
      <c r="L181" s="220">
        <f t="shared" si="6"/>
        <v>0</v>
      </c>
      <c r="M181" s="705"/>
    </row>
    <row r="182" spans="1:13" ht="19.5" customHeight="1" x14ac:dyDescent="0.25">
      <c r="A182" s="280">
        <v>165</v>
      </c>
      <c r="B182" s="703" t="str">
        <f>IF(VLOOKUP(A182,'דוח ביצוע (3)'!A:G,2,0)="","",VLOOKUP('תשלומי הורים ומלגות להורים (5) '!A182,'דוח ביצוע (3)'!A:G,2,0))</f>
        <v/>
      </c>
      <c r="C182" s="849"/>
      <c r="D182" s="219">
        <f>SUMIFS('דוח הוצאות בפועל (4)'!$E$17:$E$3016,'דוח הוצאות בפועל (4)'!$B$17:$B$3016,'תשלומי הורים ומלגות להורים (5) '!B182,'דוח הוצאות בפועל (4)'!$D$17:$D$3016,"מלגות להורים")</f>
        <v>0</v>
      </c>
      <c r="E182" s="219">
        <f t="shared" si="5"/>
        <v>0</v>
      </c>
      <c r="F182" s="704"/>
      <c r="G182" s="705"/>
      <c r="H182" s="705"/>
      <c r="I182" s="705"/>
      <c r="K182" s="220">
        <f>IFERROR(VLOOKUP(B182,'דוח ביצוע (3)'!B:J,8,0),0)</f>
        <v>0</v>
      </c>
      <c r="L182" s="220">
        <f t="shared" si="6"/>
        <v>0</v>
      </c>
      <c r="M182" s="705"/>
    </row>
    <row r="183" spans="1:13" ht="19.5" customHeight="1" x14ac:dyDescent="0.25">
      <c r="A183" s="280">
        <v>166</v>
      </c>
      <c r="B183" s="703" t="str">
        <f>IF(VLOOKUP(A183,'דוח ביצוע (3)'!A:G,2,0)="","",VLOOKUP('תשלומי הורים ומלגות להורים (5) '!A183,'דוח ביצוע (3)'!A:G,2,0))</f>
        <v/>
      </c>
      <c r="C183" s="849"/>
      <c r="D183" s="219">
        <f>SUMIFS('דוח הוצאות בפועל (4)'!$E$17:$E$3016,'דוח הוצאות בפועל (4)'!$B$17:$B$3016,'תשלומי הורים ומלגות להורים (5) '!B183,'דוח הוצאות בפועל (4)'!$D$17:$D$3016,"מלגות להורים")</f>
        <v>0</v>
      </c>
      <c r="E183" s="219">
        <f t="shared" si="5"/>
        <v>0</v>
      </c>
      <c r="F183" s="704"/>
      <c r="G183" s="705"/>
      <c r="H183" s="705"/>
      <c r="I183" s="705"/>
      <c r="K183" s="220">
        <f>IFERROR(VLOOKUP(B183,'דוח ביצוע (3)'!B:J,8,0),0)</f>
        <v>0</v>
      </c>
      <c r="L183" s="220">
        <f t="shared" si="6"/>
        <v>0</v>
      </c>
      <c r="M183" s="705"/>
    </row>
    <row r="184" spans="1:13" ht="19.5" customHeight="1" x14ac:dyDescent="0.25">
      <c r="A184" s="280">
        <v>167</v>
      </c>
      <c r="B184" s="703" t="str">
        <f>IF(VLOOKUP(A184,'דוח ביצוע (3)'!A:G,2,0)="","",VLOOKUP('תשלומי הורים ומלגות להורים (5) '!A184,'דוח ביצוע (3)'!A:G,2,0))</f>
        <v/>
      </c>
      <c r="C184" s="849"/>
      <c r="D184" s="219">
        <f>SUMIFS('דוח הוצאות בפועל (4)'!$E$17:$E$3016,'דוח הוצאות בפועל (4)'!$B$17:$B$3016,'תשלומי הורים ומלגות להורים (5) '!B184,'דוח הוצאות בפועל (4)'!$D$17:$D$3016,"מלגות להורים")</f>
        <v>0</v>
      </c>
      <c r="E184" s="219">
        <f t="shared" si="5"/>
        <v>0</v>
      </c>
      <c r="F184" s="704"/>
      <c r="G184" s="705"/>
      <c r="H184" s="705"/>
      <c r="I184" s="705"/>
      <c r="K184" s="220">
        <f>IFERROR(VLOOKUP(B184,'דוח ביצוע (3)'!B:J,8,0),0)</f>
        <v>0</v>
      </c>
      <c r="L184" s="220">
        <f t="shared" si="6"/>
        <v>0</v>
      </c>
      <c r="M184" s="705"/>
    </row>
    <row r="185" spans="1:13" ht="19.5" customHeight="1" x14ac:dyDescent="0.25">
      <c r="A185" s="280">
        <v>168</v>
      </c>
      <c r="B185" s="703" t="str">
        <f>IF(VLOOKUP(A185,'דוח ביצוע (3)'!A:G,2,0)="","",VLOOKUP('תשלומי הורים ומלגות להורים (5) '!A185,'דוח ביצוע (3)'!A:G,2,0))</f>
        <v/>
      </c>
      <c r="C185" s="849"/>
      <c r="D185" s="219">
        <f>SUMIFS('דוח הוצאות בפועל (4)'!$E$17:$E$3016,'דוח הוצאות בפועל (4)'!$B$17:$B$3016,'תשלומי הורים ומלגות להורים (5) '!B185,'דוח הוצאות בפועל (4)'!$D$17:$D$3016,"מלגות להורים")</f>
        <v>0</v>
      </c>
      <c r="E185" s="219">
        <f t="shared" si="5"/>
        <v>0</v>
      </c>
      <c r="F185" s="704"/>
      <c r="G185" s="705"/>
      <c r="H185" s="705"/>
      <c r="I185" s="705"/>
      <c r="K185" s="220">
        <f>IFERROR(VLOOKUP(B185,'דוח ביצוע (3)'!B:J,8,0),0)</f>
        <v>0</v>
      </c>
      <c r="L185" s="220">
        <f t="shared" si="6"/>
        <v>0</v>
      </c>
      <c r="M185" s="705"/>
    </row>
    <row r="186" spans="1:13" ht="19.5" customHeight="1" x14ac:dyDescent="0.25">
      <c r="A186" s="280">
        <v>169</v>
      </c>
      <c r="B186" s="703" t="str">
        <f>IF(VLOOKUP(A186,'דוח ביצוע (3)'!A:G,2,0)="","",VLOOKUP('תשלומי הורים ומלגות להורים (5) '!A186,'דוח ביצוע (3)'!A:G,2,0))</f>
        <v/>
      </c>
      <c r="C186" s="849"/>
      <c r="D186" s="219">
        <f>SUMIFS('דוח הוצאות בפועל (4)'!$E$17:$E$3016,'דוח הוצאות בפועל (4)'!$B$17:$B$3016,'תשלומי הורים ומלגות להורים (5) '!B186,'דוח הוצאות בפועל (4)'!$D$17:$D$3016,"מלגות להורים")</f>
        <v>0</v>
      </c>
      <c r="E186" s="219">
        <f t="shared" si="5"/>
        <v>0</v>
      </c>
      <c r="F186" s="704"/>
      <c r="G186" s="705"/>
      <c r="H186" s="705"/>
      <c r="I186" s="705"/>
      <c r="K186" s="220">
        <f>IFERROR(VLOOKUP(B186,'דוח ביצוע (3)'!B:J,8,0),0)</f>
        <v>0</v>
      </c>
      <c r="L186" s="220">
        <f t="shared" si="6"/>
        <v>0</v>
      </c>
      <c r="M186" s="705"/>
    </row>
    <row r="187" spans="1:13" ht="19.5" customHeight="1" x14ac:dyDescent="0.25">
      <c r="A187" s="280">
        <v>170</v>
      </c>
      <c r="B187" s="703" t="str">
        <f>IF(VLOOKUP(A187,'דוח ביצוע (3)'!A:G,2,0)="","",VLOOKUP('תשלומי הורים ומלגות להורים (5) '!A187,'דוח ביצוע (3)'!A:G,2,0))</f>
        <v/>
      </c>
      <c r="C187" s="849"/>
      <c r="D187" s="219">
        <f>SUMIFS('דוח הוצאות בפועל (4)'!$E$17:$E$3016,'דוח הוצאות בפועל (4)'!$B$17:$B$3016,'תשלומי הורים ומלגות להורים (5) '!B187,'דוח הוצאות בפועל (4)'!$D$17:$D$3016,"מלגות להורים")</f>
        <v>0</v>
      </c>
      <c r="E187" s="219">
        <f t="shared" si="5"/>
        <v>0</v>
      </c>
      <c r="F187" s="704"/>
      <c r="G187" s="705"/>
      <c r="H187" s="705"/>
      <c r="I187" s="705"/>
      <c r="K187" s="220">
        <f>IFERROR(VLOOKUP(B187,'דוח ביצוע (3)'!B:J,8,0),0)</f>
        <v>0</v>
      </c>
      <c r="L187" s="220">
        <f t="shared" si="6"/>
        <v>0</v>
      </c>
      <c r="M187" s="705"/>
    </row>
    <row r="188" spans="1:13" ht="19.5" customHeight="1" x14ac:dyDescent="0.25">
      <c r="A188" s="280">
        <v>171</v>
      </c>
      <c r="B188" s="703" t="str">
        <f>IF(VLOOKUP(A188,'דוח ביצוע (3)'!A:G,2,0)="","",VLOOKUP('תשלומי הורים ומלגות להורים (5) '!A188,'דוח ביצוע (3)'!A:G,2,0))</f>
        <v/>
      </c>
      <c r="C188" s="849"/>
      <c r="D188" s="219">
        <f>SUMIFS('דוח הוצאות בפועל (4)'!$E$17:$E$3016,'דוח הוצאות בפועל (4)'!$B$17:$B$3016,'תשלומי הורים ומלגות להורים (5) '!B188,'דוח הוצאות בפועל (4)'!$D$17:$D$3016,"מלגות להורים")</f>
        <v>0</v>
      </c>
      <c r="E188" s="219">
        <f t="shared" si="5"/>
        <v>0</v>
      </c>
      <c r="F188" s="704"/>
      <c r="G188" s="705"/>
      <c r="H188" s="705"/>
      <c r="I188" s="705"/>
      <c r="K188" s="220">
        <f>IFERROR(VLOOKUP(B188,'דוח ביצוע (3)'!B:J,8,0),0)</f>
        <v>0</v>
      </c>
      <c r="L188" s="220">
        <f t="shared" si="6"/>
        <v>0</v>
      </c>
      <c r="M188" s="705"/>
    </row>
    <row r="189" spans="1:13" ht="19.5" customHeight="1" x14ac:dyDescent="0.25">
      <c r="A189" s="280">
        <v>172</v>
      </c>
      <c r="B189" s="703" t="str">
        <f>IF(VLOOKUP(A189,'דוח ביצוע (3)'!A:G,2,0)="","",VLOOKUP('תשלומי הורים ומלגות להורים (5) '!A189,'דוח ביצוע (3)'!A:G,2,0))</f>
        <v/>
      </c>
      <c r="C189" s="849"/>
      <c r="D189" s="219">
        <f>SUMIFS('דוח הוצאות בפועל (4)'!$E$17:$E$3016,'דוח הוצאות בפועל (4)'!$B$17:$B$3016,'תשלומי הורים ומלגות להורים (5) '!B189,'דוח הוצאות בפועל (4)'!$D$17:$D$3016,"מלגות להורים")</f>
        <v>0</v>
      </c>
      <c r="E189" s="219">
        <f t="shared" si="5"/>
        <v>0</v>
      </c>
      <c r="F189" s="704"/>
      <c r="G189" s="705"/>
      <c r="H189" s="705"/>
      <c r="I189" s="705"/>
      <c r="K189" s="220">
        <f>IFERROR(VLOOKUP(B189,'דוח ביצוע (3)'!B:J,8,0),0)</f>
        <v>0</v>
      </c>
      <c r="L189" s="220">
        <f t="shared" si="6"/>
        <v>0</v>
      </c>
      <c r="M189" s="705"/>
    </row>
    <row r="190" spans="1:13" ht="19.5" customHeight="1" x14ac:dyDescent="0.25">
      <c r="A190" s="280">
        <v>173</v>
      </c>
      <c r="B190" s="703" t="str">
        <f>IF(VLOOKUP(A190,'דוח ביצוע (3)'!A:G,2,0)="","",VLOOKUP('תשלומי הורים ומלגות להורים (5) '!A190,'דוח ביצוע (3)'!A:G,2,0))</f>
        <v/>
      </c>
      <c r="C190" s="849"/>
      <c r="D190" s="219">
        <f>SUMIFS('דוח הוצאות בפועל (4)'!$E$17:$E$3016,'דוח הוצאות בפועל (4)'!$B$17:$B$3016,'תשלומי הורים ומלגות להורים (5) '!B190,'דוח הוצאות בפועל (4)'!$D$17:$D$3016,"מלגות להורים")</f>
        <v>0</v>
      </c>
      <c r="E190" s="219">
        <f t="shared" si="5"/>
        <v>0</v>
      </c>
      <c r="F190" s="704"/>
      <c r="G190" s="705"/>
      <c r="H190" s="705"/>
      <c r="I190" s="705"/>
      <c r="K190" s="220">
        <f>IFERROR(VLOOKUP(B190,'דוח ביצוע (3)'!B:J,8,0),0)</f>
        <v>0</v>
      </c>
      <c r="L190" s="220">
        <f t="shared" si="6"/>
        <v>0</v>
      </c>
      <c r="M190" s="705"/>
    </row>
    <row r="191" spans="1:13" ht="19.5" customHeight="1" x14ac:dyDescent="0.25">
      <c r="A191" s="280">
        <v>174</v>
      </c>
      <c r="B191" s="703" t="str">
        <f>IF(VLOOKUP(A191,'דוח ביצוע (3)'!A:G,2,0)="","",VLOOKUP('תשלומי הורים ומלגות להורים (5) '!A191,'דוח ביצוע (3)'!A:G,2,0))</f>
        <v/>
      </c>
      <c r="C191" s="849"/>
      <c r="D191" s="219">
        <f>SUMIFS('דוח הוצאות בפועל (4)'!$E$17:$E$3016,'דוח הוצאות בפועל (4)'!$B$17:$B$3016,'תשלומי הורים ומלגות להורים (5) '!B191,'דוח הוצאות בפועל (4)'!$D$17:$D$3016,"מלגות להורים")</f>
        <v>0</v>
      </c>
      <c r="E191" s="219">
        <f t="shared" si="5"/>
        <v>0</v>
      </c>
      <c r="F191" s="704"/>
      <c r="G191" s="705"/>
      <c r="H191" s="705"/>
      <c r="I191" s="705"/>
      <c r="K191" s="220">
        <f>IFERROR(VLOOKUP(B191,'דוח ביצוע (3)'!B:J,8,0),0)</f>
        <v>0</v>
      </c>
      <c r="L191" s="220">
        <f t="shared" si="6"/>
        <v>0</v>
      </c>
      <c r="M191" s="705"/>
    </row>
    <row r="192" spans="1:13" ht="19.5" customHeight="1" x14ac:dyDescent="0.25">
      <c r="A192" s="280">
        <v>175</v>
      </c>
      <c r="B192" s="703" t="str">
        <f>IF(VLOOKUP(A192,'דוח ביצוע (3)'!A:G,2,0)="","",VLOOKUP('תשלומי הורים ומלגות להורים (5) '!A192,'דוח ביצוע (3)'!A:G,2,0))</f>
        <v/>
      </c>
      <c r="C192" s="849"/>
      <c r="D192" s="219">
        <f>SUMIFS('דוח הוצאות בפועל (4)'!$E$17:$E$3016,'דוח הוצאות בפועל (4)'!$B$17:$B$3016,'תשלומי הורים ומלגות להורים (5) '!B192,'דוח הוצאות בפועל (4)'!$D$17:$D$3016,"מלגות להורים")</f>
        <v>0</v>
      </c>
      <c r="E192" s="219">
        <f t="shared" si="5"/>
        <v>0</v>
      </c>
      <c r="F192" s="704"/>
      <c r="G192" s="705"/>
      <c r="H192" s="705"/>
      <c r="I192" s="705"/>
      <c r="K192" s="220">
        <f>IFERROR(VLOOKUP(B192,'דוח ביצוע (3)'!B:J,8,0),0)</f>
        <v>0</v>
      </c>
      <c r="L192" s="220">
        <f t="shared" si="6"/>
        <v>0</v>
      </c>
      <c r="M192" s="705"/>
    </row>
    <row r="193" spans="1:13" ht="19.5" customHeight="1" x14ac:dyDescent="0.25">
      <c r="A193" s="280">
        <v>176</v>
      </c>
      <c r="B193" s="703" t="str">
        <f>IF(VLOOKUP(A193,'דוח ביצוע (3)'!A:G,2,0)="","",VLOOKUP('תשלומי הורים ומלגות להורים (5) '!A193,'דוח ביצוע (3)'!A:G,2,0))</f>
        <v/>
      </c>
      <c r="C193" s="849"/>
      <c r="D193" s="219">
        <f>SUMIFS('דוח הוצאות בפועל (4)'!$E$17:$E$3016,'דוח הוצאות בפועל (4)'!$B$17:$B$3016,'תשלומי הורים ומלגות להורים (5) '!B193,'דוח הוצאות בפועל (4)'!$D$17:$D$3016,"מלגות להורים")</f>
        <v>0</v>
      </c>
      <c r="E193" s="219">
        <f t="shared" si="5"/>
        <v>0</v>
      </c>
      <c r="F193" s="704"/>
      <c r="G193" s="705"/>
      <c r="H193" s="705"/>
      <c r="I193" s="705"/>
      <c r="K193" s="220">
        <f>IFERROR(VLOOKUP(B193,'דוח ביצוע (3)'!B:J,8,0),0)</f>
        <v>0</v>
      </c>
      <c r="L193" s="220">
        <f t="shared" si="6"/>
        <v>0</v>
      </c>
      <c r="M193" s="705"/>
    </row>
    <row r="194" spans="1:13" ht="19.5" customHeight="1" x14ac:dyDescent="0.25">
      <c r="A194" s="280">
        <v>177</v>
      </c>
      <c r="B194" s="703" t="str">
        <f>IF(VLOOKUP(A194,'דוח ביצוע (3)'!A:G,2,0)="","",VLOOKUP('תשלומי הורים ומלגות להורים (5) '!A194,'דוח ביצוע (3)'!A:G,2,0))</f>
        <v/>
      </c>
      <c r="C194" s="849"/>
      <c r="D194" s="219">
        <f>SUMIFS('דוח הוצאות בפועל (4)'!$E$17:$E$3016,'דוח הוצאות בפועל (4)'!$B$17:$B$3016,'תשלומי הורים ומלגות להורים (5) '!B194,'דוח הוצאות בפועל (4)'!$D$17:$D$3016,"מלגות להורים")</f>
        <v>0</v>
      </c>
      <c r="E194" s="219">
        <f t="shared" si="5"/>
        <v>0</v>
      </c>
      <c r="F194" s="704"/>
      <c r="G194" s="705"/>
      <c r="H194" s="705"/>
      <c r="I194" s="705"/>
      <c r="K194" s="220">
        <f>IFERROR(VLOOKUP(B194,'דוח ביצוע (3)'!B:J,8,0),0)</f>
        <v>0</v>
      </c>
      <c r="L194" s="220">
        <f t="shared" si="6"/>
        <v>0</v>
      </c>
      <c r="M194" s="705"/>
    </row>
    <row r="195" spans="1:13" ht="19.5" customHeight="1" x14ac:dyDescent="0.25">
      <c r="A195" s="280">
        <v>178</v>
      </c>
      <c r="B195" s="703" t="str">
        <f>IF(VLOOKUP(A195,'דוח ביצוע (3)'!A:G,2,0)="","",VLOOKUP('תשלומי הורים ומלגות להורים (5) '!A195,'דוח ביצוע (3)'!A:G,2,0))</f>
        <v/>
      </c>
      <c r="C195" s="849"/>
      <c r="D195" s="219">
        <f>SUMIFS('דוח הוצאות בפועל (4)'!$E$17:$E$3016,'דוח הוצאות בפועל (4)'!$B$17:$B$3016,'תשלומי הורים ומלגות להורים (5) '!B195,'דוח הוצאות בפועל (4)'!$D$17:$D$3016,"מלגות להורים")</f>
        <v>0</v>
      </c>
      <c r="E195" s="219">
        <f t="shared" si="5"/>
        <v>0</v>
      </c>
      <c r="F195" s="704"/>
      <c r="G195" s="705"/>
      <c r="H195" s="705"/>
      <c r="I195" s="705"/>
      <c r="K195" s="220">
        <f>IFERROR(VLOOKUP(B195,'דוח ביצוע (3)'!B:J,8,0),0)</f>
        <v>0</v>
      </c>
      <c r="L195" s="220">
        <f t="shared" si="6"/>
        <v>0</v>
      </c>
      <c r="M195" s="705"/>
    </row>
    <row r="196" spans="1:13" ht="19.5" customHeight="1" x14ac:dyDescent="0.25">
      <c r="A196" s="280">
        <v>179</v>
      </c>
      <c r="B196" s="703" t="str">
        <f>IF(VLOOKUP(A196,'דוח ביצוע (3)'!A:G,2,0)="","",VLOOKUP('תשלומי הורים ומלגות להורים (5) '!A196,'דוח ביצוע (3)'!A:G,2,0))</f>
        <v/>
      </c>
      <c r="C196" s="849"/>
      <c r="D196" s="219">
        <f>SUMIFS('דוח הוצאות בפועל (4)'!$E$17:$E$3016,'דוח הוצאות בפועל (4)'!$B$17:$B$3016,'תשלומי הורים ומלגות להורים (5) '!B196,'דוח הוצאות בפועל (4)'!$D$17:$D$3016,"מלגות להורים")</f>
        <v>0</v>
      </c>
      <c r="E196" s="219">
        <f t="shared" si="5"/>
        <v>0</v>
      </c>
      <c r="F196" s="704"/>
      <c r="G196" s="705"/>
      <c r="H196" s="705"/>
      <c r="I196" s="705"/>
      <c r="K196" s="220">
        <f>IFERROR(VLOOKUP(B196,'דוח ביצוע (3)'!B:J,8,0),0)</f>
        <v>0</v>
      </c>
      <c r="L196" s="220">
        <f t="shared" si="6"/>
        <v>0</v>
      </c>
      <c r="M196" s="705"/>
    </row>
    <row r="197" spans="1:13" ht="19.5" customHeight="1" x14ac:dyDescent="0.25">
      <c r="A197" s="280">
        <v>180</v>
      </c>
      <c r="B197" s="703" t="str">
        <f>IF(VLOOKUP(A197,'דוח ביצוע (3)'!A:G,2,0)="","",VLOOKUP('תשלומי הורים ומלגות להורים (5) '!A197,'דוח ביצוע (3)'!A:G,2,0))</f>
        <v/>
      </c>
      <c r="C197" s="849"/>
      <c r="D197" s="219">
        <f>SUMIFS('דוח הוצאות בפועל (4)'!$E$17:$E$3016,'דוח הוצאות בפועל (4)'!$B$17:$B$3016,'תשלומי הורים ומלגות להורים (5) '!B197,'דוח הוצאות בפועל (4)'!$D$17:$D$3016,"מלגות להורים")</f>
        <v>0</v>
      </c>
      <c r="E197" s="219">
        <f t="shared" si="5"/>
        <v>0</v>
      </c>
      <c r="F197" s="704"/>
      <c r="G197" s="705"/>
      <c r="H197" s="705"/>
      <c r="I197" s="705"/>
      <c r="K197" s="220">
        <f>IFERROR(VLOOKUP(B197,'דוח ביצוע (3)'!B:J,8,0),0)</f>
        <v>0</v>
      </c>
      <c r="L197" s="220">
        <f t="shared" si="6"/>
        <v>0</v>
      </c>
      <c r="M197" s="705"/>
    </row>
    <row r="198" spans="1:13" ht="19.5" customHeight="1" x14ac:dyDescent="0.25">
      <c r="A198" s="280">
        <v>181</v>
      </c>
      <c r="B198" s="703" t="str">
        <f>IF(VLOOKUP(A198,'דוח ביצוע (3)'!A:G,2,0)="","",VLOOKUP('תשלומי הורים ומלגות להורים (5) '!A198,'דוח ביצוע (3)'!A:G,2,0))</f>
        <v/>
      </c>
      <c r="C198" s="849"/>
      <c r="D198" s="219">
        <f>SUMIFS('דוח הוצאות בפועל (4)'!$E$17:$E$3016,'דוח הוצאות בפועל (4)'!$B$17:$B$3016,'תשלומי הורים ומלגות להורים (5) '!B198,'דוח הוצאות בפועל (4)'!$D$17:$D$3016,"מלגות להורים")</f>
        <v>0</v>
      </c>
      <c r="E198" s="219">
        <f t="shared" si="5"/>
        <v>0</v>
      </c>
      <c r="F198" s="704"/>
      <c r="G198" s="705"/>
      <c r="H198" s="705"/>
      <c r="I198" s="705"/>
      <c r="K198" s="220">
        <f>IFERROR(VLOOKUP(B198,'דוח ביצוע (3)'!B:J,8,0),0)</f>
        <v>0</v>
      </c>
      <c r="L198" s="220">
        <f t="shared" si="6"/>
        <v>0</v>
      </c>
      <c r="M198" s="705"/>
    </row>
    <row r="199" spans="1:13" ht="19.5" customHeight="1" x14ac:dyDescent="0.25">
      <c r="A199" s="280">
        <v>182</v>
      </c>
      <c r="B199" s="703" t="str">
        <f>IF(VLOOKUP(A199,'דוח ביצוע (3)'!A:G,2,0)="","",VLOOKUP('תשלומי הורים ומלגות להורים (5) '!A199,'דוח ביצוע (3)'!A:G,2,0))</f>
        <v/>
      </c>
      <c r="C199" s="849"/>
      <c r="D199" s="219">
        <f>SUMIFS('דוח הוצאות בפועל (4)'!$E$17:$E$3016,'דוח הוצאות בפועל (4)'!$B$17:$B$3016,'תשלומי הורים ומלגות להורים (5) '!B199,'דוח הוצאות בפועל (4)'!$D$17:$D$3016,"מלגות להורים")</f>
        <v>0</v>
      </c>
      <c r="E199" s="219">
        <f t="shared" si="5"/>
        <v>0</v>
      </c>
      <c r="F199" s="704"/>
      <c r="G199" s="705"/>
      <c r="H199" s="705"/>
      <c r="I199" s="705"/>
      <c r="K199" s="220">
        <f>IFERROR(VLOOKUP(B199,'דוח ביצוע (3)'!B:J,8,0),0)</f>
        <v>0</v>
      </c>
      <c r="L199" s="220">
        <f t="shared" si="6"/>
        <v>0</v>
      </c>
      <c r="M199" s="705"/>
    </row>
    <row r="200" spans="1:13" ht="19.5" customHeight="1" x14ac:dyDescent="0.25">
      <c r="A200" s="280">
        <v>183</v>
      </c>
      <c r="B200" s="703" t="str">
        <f>IF(VLOOKUP(A200,'דוח ביצוע (3)'!A:G,2,0)="","",VLOOKUP('תשלומי הורים ומלגות להורים (5) '!A200,'דוח ביצוע (3)'!A:G,2,0))</f>
        <v/>
      </c>
      <c r="C200" s="849"/>
      <c r="D200" s="219">
        <f>SUMIFS('דוח הוצאות בפועל (4)'!$E$17:$E$3016,'דוח הוצאות בפועל (4)'!$B$17:$B$3016,'תשלומי הורים ומלגות להורים (5) '!B200,'דוח הוצאות בפועל (4)'!$D$17:$D$3016,"מלגות להורים")</f>
        <v>0</v>
      </c>
      <c r="E200" s="219">
        <f t="shared" si="5"/>
        <v>0</v>
      </c>
      <c r="F200" s="704"/>
      <c r="G200" s="705"/>
      <c r="H200" s="705"/>
      <c r="I200" s="705"/>
      <c r="K200" s="220">
        <f>IFERROR(VLOOKUP(B200,'דוח ביצוע (3)'!B:J,8,0),0)</f>
        <v>0</v>
      </c>
      <c r="L200" s="220">
        <f t="shared" si="6"/>
        <v>0</v>
      </c>
      <c r="M200" s="705"/>
    </row>
    <row r="201" spans="1:13" ht="19.5" customHeight="1" x14ac:dyDescent="0.25">
      <c r="A201" s="280">
        <v>184</v>
      </c>
      <c r="B201" s="703" t="str">
        <f>IF(VLOOKUP(A201,'דוח ביצוע (3)'!A:G,2,0)="","",VLOOKUP('תשלומי הורים ומלגות להורים (5) '!A201,'דוח ביצוע (3)'!A:G,2,0))</f>
        <v/>
      </c>
      <c r="C201" s="849"/>
      <c r="D201" s="219">
        <f>SUMIFS('דוח הוצאות בפועל (4)'!$E$17:$E$3016,'דוח הוצאות בפועל (4)'!$B$17:$B$3016,'תשלומי הורים ומלגות להורים (5) '!B201,'דוח הוצאות בפועל (4)'!$D$17:$D$3016,"מלגות להורים")</f>
        <v>0</v>
      </c>
      <c r="E201" s="219">
        <f t="shared" si="5"/>
        <v>0</v>
      </c>
      <c r="F201" s="704"/>
      <c r="G201" s="705"/>
      <c r="H201" s="705"/>
      <c r="I201" s="705"/>
      <c r="K201" s="220">
        <f>IFERROR(VLOOKUP(B201,'דוח ביצוע (3)'!B:J,8,0),0)</f>
        <v>0</v>
      </c>
      <c r="L201" s="220">
        <f t="shared" si="6"/>
        <v>0</v>
      </c>
      <c r="M201" s="705"/>
    </row>
    <row r="202" spans="1:13" ht="19.5" customHeight="1" x14ac:dyDescent="0.25">
      <c r="A202" s="280">
        <v>185</v>
      </c>
      <c r="B202" s="703" t="str">
        <f>IF(VLOOKUP(A202,'דוח ביצוע (3)'!A:G,2,0)="","",VLOOKUP('תשלומי הורים ומלגות להורים (5) '!A202,'דוח ביצוע (3)'!A:G,2,0))</f>
        <v/>
      </c>
      <c r="C202" s="849"/>
      <c r="D202" s="219">
        <f>SUMIFS('דוח הוצאות בפועל (4)'!$E$17:$E$3016,'דוח הוצאות בפועל (4)'!$B$17:$B$3016,'תשלומי הורים ומלגות להורים (5) '!B202,'דוח הוצאות בפועל (4)'!$D$17:$D$3016,"מלגות להורים")</f>
        <v>0</v>
      </c>
      <c r="E202" s="219">
        <f t="shared" si="5"/>
        <v>0</v>
      </c>
      <c r="F202" s="704"/>
      <c r="G202" s="705"/>
      <c r="H202" s="705"/>
      <c r="I202" s="705"/>
      <c r="K202" s="220">
        <f>IFERROR(VLOOKUP(B202,'דוח ביצוע (3)'!B:J,8,0),0)</f>
        <v>0</v>
      </c>
      <c r="L202" s="220">
        <f t="shared" si="6"/>
        <v>0</v>
      </c>
      <c r="M202" s="705"/>
    </row>
    <row r="203" spans="1:13" ht="19.5" customHeight="1" x14ac:dyDescent="0.25">
      <c r="A203" s="280">
        <v>186</v>
      </c>
      <c r="B203" s="703" t="str">
        <f>IF(VLOOKUP(A203,'דוח ביצוע (3)'!A:G,2,0)="","",VLOOKUP('תשלומי הורים ומלגות להורים (5) '!A203,'דוח ביצוע (3)'!A:G,2,0))</f>
        <v/>
      </c>
      <c r="C203" s="849"/>
      <c r="D203" s="219">
        <f>SUMIFS('דוח הוצאות בפועל (4)'!$E$17:$E$3016,'דוח הוצאות בפועל (4)'!$B$17:$B$3016,'תשלומי הורים ומלגות להורים (5) '!B203,'דוח הוצאות בפועל (4)'!$D$17:$D$3016,"מלגות להורים")</f>
        <v>0</v>
      </c>
      <c r="E203" s="219">
        <f t="shared" si="5"/>
        <v>0</v>
      </c>
      <c r="F203" s="704"/>
      <c r="G203" s="705"/>
      <c r="H203" s="705"/>
      <c r="I203" s="705"/>
      <c r="K203" s="220">
        <f>IFERROR(VLOOKUP(B203,'דוח ביצוע (3)'!B:J,8,0),0)</f>
        <v>0</v>
      </c>
      <c r="L203" s="220">
        <f t="shared" si="6"/>
        <v>0</v>
      </c>
      <c r="M203" s="705"/>
    </row>
    <row r="204" spans="1:13" ht="19.5" customHeight="1" x14ac:dyDescent="0.25">
      <c r="A204" s="280">
        <v>187</v>
      </c>
      <c r="B204" s="703" t="str">
        <f>IF(VLOOKUP(A204,'דוח ביצוע (3)'!A:G,2,0)="","",VLOOKUP('תשלומי הורים ומלגות להורים (5) '!A204,'דוח ביצוע (3)'!A:G,2,0))</f>
        <v/>
      </c>
      <c r="C204" s="849"/>
      <c r="D204" s="219">
        <f>SUMIFS('דוח הוצאות בפועל (4)'!$E$17:$E$3016,'דוח הוצאות בפועל (4)'!$B$17:$B$3016,'תשלומי הורים ומלגות להורים (5) '!B204,'דוח הוצאות בפועל (4)'!$D$17:$D$3016,"מלגות להורים")</f>
        <v>0</v>
      </c>
      <c r="E204" s="219">
        <f t="shared" si="5"/>
        <v>0</v>
      </c>
      <c r="F204" s="704"/>
      <c r="G204" s="705"/>
      <c r="H204" s="705"/>
      <c r="I204" s="705"/>
      <c r="K204" s="220">
        <f>IFERROR(VLOOKUP(B204,'דוח ביצוע (3)'!B:J,8,0),0)</f>
        <v>0</v>
      </c>
      <c r="L204" s="220">
        <f t="shared" si="6"/>
        <v>0</v>
      </c>
      <c r="M204" s="705"/>
    </row>
    <row r="205" spans="1:13" ht="19.5" customHeight="1" x14ac:dyDescent="0.25">
      <c r="A205" s="280">
        <v>188</v>
      </c>
      <c r="B205" s="703" t="str">
        <f>IF(VLOOKUP(A205,'דוח ביצוע (3)'!A:G,2,0)="","",VLOOKUP('תשלומי הורים ומלגות להורים (5) '!A205,'דוח ביצוע (3)'!A:G,2,0))</f>
        <v/>
      </c>
      <c r="C205" s="849"/>
      <c r="D205" s="219">
        <f>SUMIFS('דוח הוצאות בפועל (4)'!$E$17:$E$3016,'דוח הוצאות בפועל (4)'!$B$17:$B$3016,'תשלומי הורים ומלגות להורים (5) '!B205,'דוח הוצאות בפועל (4)'!$D$17:$D$3016,"מלגות להורים")</f>
        <v>0</v>
      </c>
      <c r="E205" s="219">
        <f t="shared" si="5"/>
        <v>0</v>
      </c>
      <c r="F205" s="704"/>
      <c r="G205" s="705"/>
      <c r="H205" s="705"/>
      <c r="I205" s="705"/>
      <c r="K205" s="220">
        <f>IFERROR(VLOOKUP(B205,'דוח ביצוע (3)'!B:J,8,0),0)</f>
        <v>0</v>
      </c>
      <c r="L205" s="220">
        <f t="shared" si="6"/>
        <v>0</v>
      </c>
      <c r="M205" s="705"/>
    </row>
    <row r="206" spans="1:13" ht="19.5" customHeight="1" x14ac:dyDescent="0.25">
      <c r="A206" s="280">
        <v>189</v>
      </c>
      <c r="B206" s="703" t="str">
        <f>IF(VLOOKUP(A206,'דוח ביצוע (3)'!A:G,2,0)="","",VLOOKUP('תשלומי הורים ומלגות להורים (5) '!A206,'דוח ביצוע (3)'!A:G,2,0))</f>
        <v/>
      </c>
      <c r="C206" s="849"/>
      <c r="D206" s="219">
        <f>SUMIFS('דוח הוצאות בפועל (4)'!$E$17:$E$3016,'דוח הוצאות בפועל (4)'!$B$17:$B$3016,'תשלומי הורים ומלגות להורים (5) '!B206,'דוח הוצאות בפועל (4)'!$D$17:$D$3016,"מלגות להורים")</f>
        <v>0</v>
      </c>
      <c r="E206" s="219">
        <f t="shared" si="5"/>
        <v>0</v>
      </c>
      <c r="F206" s="704"/>
      <c r="G206" s="705"/>
      <c r="H206" s="705"/>
      <c r="I206" s="705"/>
      <c r="K206" s="220">
        <f>IFERROR(VLOOKUP(B206,'דוח ביצוע (3)'!B:J,8,0),0)</f>
        <v>0</v>
      </c>
      <c r="L206" s="220">
        <f t="shared" si="6"/>
        <v>0</v>
      </c>
      <c r="M206" s="705"/>
    </row>
    <row r="207" spans="1:13" ht="19.5" customHeight="1" x14ac:dyDescent="0.25">
      <c r="A207" s="280">
        <v>190</v>
      </c>
      <c r="B207" s="703" t="str">
        <f>IF(VLOOKUP(A207,'דוח ביצוע (3)'!A:G,2,0)="","",VLOOKUP('תשלומי הורים ומלגות להורים (5) '!A207,'דוח ביצוע (3)'!A:G,2,0))</f>
        <v/>
      </c>
      <c r="C207" s="849"/>
      <c r="D207" s="219">
        <f>SUMIFS('דוח הוצאות בפועל (4)'!$E$17:$E$3016,'דוח הוצאות בפועל (4)'!$B$17:$B$3016,'תשלומי הורים ומלגות להורים (5) '!B207,'דוח הוצאות בפועל (4)'!$D$17:$D$3016,"מלגות להורים")</f>
        <v>0</v>
      </c>
      <c r="E207" s="219">
        <f t="shared" si="5"/>
        <v>0</v>
      </c>
      <c r="F207" s="704"/>
      <c r="G207" s="705"/>
      <c r="H207" s="705"/>
      <c r="I207" s="705"/>
      <c r="K207" s="220">
        <f>IFERROR(VLOOKUP(B207,'דוח ביצוע (3)'!B:J,8,0),0)</f>
        <v>0</v>
      </c>
      <c r="L207" s="220">
        <f t="shared" si="6"/>
        <v>0</v>
      </c>
      <c r="M207" s="705"/>
    </row>
    <row r="208" spans="1:13" ht="19.5" customHeight="1" x14ac:dyDescent="0.25">
      <c r="A208" s="280">
        <v>191</v>
      </c>
      <c r="B208" s="703" t="str">
        <f>IF(VLOOKUP(A208,'דוח ביצוע (3)'!A:G,2,0)="","",VLOOKUP('תשלומי הורים ומלגות להורים (5) '!A208,'דוח ביצוע (3)'!A:G,2,0))</f>
        <v/>
      </c>
      <c r="C208" s="849"/>
      <c r="D208" s="219">
        <f>SUMIFS('דוח הוצאות בפועל (4)'!$E$17:$E$3016,'דוח הוצאות בפועל (4)'!$B$17:$B$3016,'תשלומי הורים ומלגות להורים (5) '!B208,'דוח הוצאות בפועל (4)'!$D$17:$D$3016,"מלגות להורים")</f>
        <v>0</v>
      </c>
      <c r="E208" s="219">
        <f t="shared" si="5"/>
        <v>0</v>
      </c>
      <c r="F208" s="704"/>
      <c r="G208" s="705"/>
      <c r="H208" s="705"/>
      <c r="I208" s="705"/>
      <c r="K208" s="220">
        <f>IFERROR(VLOOKUP(B208,'דוח ביצוע (3)'!B:J,8,0),0)</f>
        <v>0</v>
      </c>
      <c r="L208" s="220">
        <f t="shared" si="6"/>
        <v>0</v>
      </c>
      <c r="M208" s="705"/>
    </row>
    <row r="209" spans="1:13" ht="19.5" customHeight="1" x14ac:dyDescent="0.25">
      <c r="A209" s="280">
        <v>192</v>
      </c>
      <c r="B209" s="703" t="str">
        <f>IF(VLOOKUP(A209,'דוח ביצוע (3)'!A:G,2,0)="","",VLOOKUP('תשלומי הורים ומלגות להורים (5) '!A209,'דוח ביצוע (3)'!A:G,2,0))</f>
        <v/>
      </c>
      <c r="C209" s="849"/>
      <c r="D209" s="219">
        <f>SUMIFS('דוח הוצאות בפועל (4)'!$E$17:$E$3016,'דוח הוצאות בפועל (4)'!$B$17:$B$3016,'תשלומי הורים ומלגות להורים (5) '!B209,'דוח הוצאות בפועל (4)'!$D$17:$D$3016,"מלגות להורים")</f>
        <v>0</v>
      </c>
      <c r="E209" s="219">
        <f t="shared" si="5"/>
        <v>0</v>
      </c>
      <c r="F209" s="704"/>
      <c r="G209" s="705"/>
      <c r="H209" s="705"/>
      <c r="I209" s="705"/>
      <c r="K209" s="220">
        <f>IFERROR(VLOOKUP(B209,'דוח ביצוע (3)'!B:J,8,0),0)</f>
        <v>0</v>
      </c>
      <c r="L209" s="220">
        <f t="shared" si="6"/>
        <v>0</v>
      </c>
      <c r="M209" s="705"/>
    </row>
    <row r="210" spans="1:13" ht="19.5" customHeight="1" x14ac:dyDescent="0.25">
      <c r="A210" s="280">
        <v>193</v>
      </c>
      <c r="B210" s="703" t="str">
        <f>IF(VLOOKUP(A210,'דוח ביצוע (3)'!A:G,2,0)="","",VLOOKUP('תשלומי הורים ומלגות להורים (5) '!A210,'דוח ביצוע (3)'!A:G,2,0))</f>
        <v/>
      </c>
      <c r="C210" s="849"/>
      <c r="D210" s="219">
        <f>SUMIFS('דוח הוצאות בפועל (4)'!$E$17:$E$3016,'דוח הוצאות בפועל (4)'!$B$17:$B$3016,'תשלומי הורים ומלגות להורים (5) '!B210,'דוח הוצאות בפועל (4)'!$D$17:$D$3016,"מלגות להורים")</f>
        <v>0</v>
      </c>
      <c r="E210" s="219">
        <f t="shared" si="5"/>
        <v>0</v>
      </c>
      <c r="F210" s="704"/>
      <c r="G210" s="705"/>
      <c r="H210" s="705"/>
      <c r="I210" s="705"/>
      <c r="K210" s="220">
        <f>IFERROR(VLOOKUP(B210,'דוח ביצוע (3)'!B:J,8,0),0)</f>
        <v>0</v>
      </c>
      <c r="L210" s="220">
        <f t="shared" si="6"/>
        <v>0</v>
      </c>
      <c r="M210" s="705"/>
    </row>
    <row r="211" spans="1:13" ht="19.5" customHeight="1" x14ac:dyDescent="0.25">
      <c r="A211" s="280">
        <v>194</v>
      </c>
      <c r="B211" s="703" t="str">
        <f>IF(VLOOKUP(A211,'דוח ביצוע (3)'!A:G,2,0)="","",VLOOKUP('תשלומי הורים ומלגות להורים (5) '!A211,'דוח ביצוע (3)'!A:G,2,0))</f>
        <v/>
      </c>
      <c r="C211" s="849"/>
      <c r="D211" s="219">
        <f>SUMIFS('דוח הוצאות בפועל (4)'!$E$17:$E$3016,'דוח הוצאות בפועל (4)'!$B$17:$B$3016,'תשלומי הורים ומלגות להורים (5) '!B211,'דוח הוצאות בפועל (4)'!$D$17:$D$3016,"מלגות להורים")</f>
        <v>0</v>
      </c>
      <c r="E211" s="219">
        <f t="shared" ref="E211:E274" si="7">C211-D211</f>
        <v>0</v>
      </c>
      <c r="F211" s="704"/>
      <c r="G211" s="705"/>
      <c r="H211" s="705"/>
      <c r="I211" s="705"/>
      <c r="K211" s="220">
        <f>IFERROR(VLOOKUP(B211,'דוח ביצוע (3)'!B:J,8,0),0)</f>
        <v>0</v>
      </c>
      <c r="L211" s="220">
        <f t="shared" ref="L211:L274" si="8">IFERROR(C211/I211-$C$5,0)</f>
        <v>0</v>
      </c>
      <c r="M211" s="705"/>
    </row>
    <row r="212" spans="1:13" ht="19.5" customHeight="1" x14ac:dyDescent="0.25">
      <c r="A212" s="280">
        <v>195</v>
      </c>
      <c r="B212" s="703" t="str">
        <f>IF(VLOOKUP(A212,'דוח ביצוע (3)'!A:G,2,0)="","",VLOOKUP('תשלומי הורים ומלגות להורים (5) '!A212,'דוח ביצוע (3)'!A:G,2,0))</f>
        <v/>
      </c>
      <c r="C212" s="849"/>
      <c r="D212" s="219">
        <f>SUMIFS('דוח הוצאות בפועל (4)'!$E$17:$E$3016,'דוח הוצאות בפועל (4)'!$B$17:$B$3016,'תשלומי הורים ומלגות להורים (5) '!B212,'דוח הוצאות בפועל (4)'!$D$17:$D$3016,"מלגות להורים")</f>
        <v>0</v>
      </c>
      <c r="E212" s="219">
        <f t="shared" si="7"/>
        <v>0</v>
      </c>
      <c r="F212" s="704"/>
      <c r="G212" s="705"/>
      <c r="H212" s="705"/>
      <c r="I212" s="705"/>
      <c r="K212" s="220">
        <f>IFERROR(VLOOKUP(B212,'דוח ביצוע (3)'!B:J,8,0),0)</f>
        <v>0</v>
      </c>
      <c r="L212" s="220">
        <f t="shared" si="8"/>
        <v>0</v>
      </c>
      <c r="M212" s="705"/>
    </row>
    <row r="213" spans="1:13" ht="19.5" customHeight="1" x14ac:dyDescent="0.25">
      <c r="A213" s="280">
        <v>196</v>
      </c>
      <c r="B213" s="703" t="str">
        <f>IF(VLOOKUP(A213,'דוח ביצוע (3)'!A:G,2,0)="","",VLOOKUP('תשלומי הורים ומלגות להורים (5) '!A213,'דוח ביצוע (3)'!A:G,2,0))</f>
        <v/>
      </c>
      <c r="C213" s="849"/>
      <c r="D213" s="219">
        <f>SUMIFS('דוח הוצאות בפועל (4)'!$E$17:$E$3016,'דוח הוצאות בפועל (4)'!$B$17:$B$3016,'תשלומי הורים ומלגות להורים (5) '!B213,'דוח הוצאות בפועל (4)'!$D$17:$D$3016,"מלגות להורים")</f>
        <v>0</v>
      </c>
      <c r="E213" s="219">
        <f t="shared" si="7"/>
        <v>0</v>
      </c>
      <c r="F213" s="704"/>
      <c r="G213" s="705"/>
      <c r="H213" s="705"/>
      <c r="I213" s="705"/>
      <c r="K213" s="220">
        <f>IFERROR(VLOOKUP(B213,'דוח ביצוע (3)'!B:J,8,0),0)</f>
        <v>0</v>
      </c>
      <c r="L213" s="220">
        <f t="shared" si="8"/>
        <v>0</v>
      </c>
      <c r="M213" s="705"/>
    </row>
    <row r="214" spans="1:13" ht="19.5" customHeight="1" x14ac:dyDescent="0.25">
      <c r="A214" s="280">
        <v>197</v>
      </c>
      <c r="B214" s="703" t="str">
        <f>IF(VLOOKUP(A214,'דוח ביצוע (3)'!A:G,2,0)="","",VLOOKUP('תשלומי הורים ומלגות להורים (5) '!A214,'דוח ביצוע (3)'!A:G,2,0))</f>
        <v/>
      </c>
      <c r="C214" s="849"/>
      <c r="D214" s="219">
        <f>SUMIFS('דוח הוצאות בפועל (4)'!$E$17:$E$3016,'דוח הוצאות בפועל (4)'!$B$17:$B$3016,'תשלומי הורים ומלגות להורים (5) '!B214,'דוח הוצאות בפועל (4)'!$D$17:$D$3016,"מלגות להורים")</f>
        <v>0</v>
      </c>
      <c r="E214" s="219">
        <f t="shared" si="7"/>
        <v>0</v>
      </c>
      <c r="F214" s="704"/>
      <c r="G214" s="705"/>
      <c r="H214" s="705"/>
      <c r="I214" s="705"/>
      <c r="K214" s="220">
        <f>IFERROR(VLOOKUP(B214,'דוח ביצוע (3)'!B:J,8,0),0)</f>
        <v>0</v>
      </c>
      <c r="L214" s="220">
        <f t="shared" si="8"/>
        <v>0</v>
      </c>
      <c r="M214" s="705"/>
    </row>
    <row r="215" spans="1:13" ht="19.5" customHeight="1" x14ac:dyDescent="0.25">
      <c r="A215" s="280">
        <v>198</v>
      </c>
      <c r="B215" s="703" t="str">
        <f>IF(VLOOKUP(A215,'דוח ביצוע (3)'!A:G,2,0)="","",VLOOKUP('תשלומי הורים ומלגות להורים (5) '!A215,'דוח ביצוע (3)'!A:G,2,0))</f>
        <v/>
      </c>
      <c r="C215" s="849"/>
      <c r="D215" s="219">
        <f>SUMIFS('דוח הוצאות בפועל (4)'!$E$17:$E$3016,'דוח הוצאות בפועל (4)'!$B$17:$B$3016,'תשלומי הורים ומלגות להורים (5) '!B215,'דוח הוצאות בפועל (4)'!$D$17:$D$3016,"מלגות להורים")</f>
        <v>0</v>
      </c>
      <c r="E215" s="219">
        <f t="shared" si="7"/>
        <v>0</v>
      </c>
      <c r="F215" s="704"/>
      <c r="G215" s="705"/>
      <c r="H215" s="705"/>
      <c r="I215" s="705"/>
      <c r="K215" s="220">
        <f>IFERROR(VLOOKUP(B215,'דוח ביצוע (3)'!B:J,8,0),0)</f>
        <v>0</v>
      </c>
      <c r="L215" s="220">
        <f t="shared" si="8"/>
        <v>0</v>
      </c>
      <c r="M215" s="705"/>
    </row>
    <row r="216" spans="1:13" ht="19.5" customHeight="1" x14ac:dyDescent="0.25">
      <c r="A216" s="280">
        <v>199</v>
      </c>
      <c r="B216" s="703" t="str">
        <f>IF(VLOOKUP(A216,'דוח ביצוע (3)'!A:G,2,0)="","",VLOOKUP('תשלומי הורים ומלגות להורים (5) '!A216,'דוח ביצוע (3)'!A:G,2,0))</f>
        <v/>
      </c>
      <c r="C216" s="849"/>
      <c r="D216" s="219">
        <f>SUMIFS('דוח הוצאות בפועל (4)'!$E$17:$E$3016,'דוח הוצאות בפועל (4)'!$B$17:$B$3016,'תשלומי הורים ומלגות להורים (5) '!B216,'דוח הוצאות בפועל (4)'!$D$17:$D$3016,"מלגות להורים")</f>
        <v>0</v>
      </c>
      <c r="E216" s="219">
        <f t="shared" si="7"/>
        <v>0</v>
      </c>
      <c r="F216" s="704"/>
      <c r="G216" s="705"/>
      <c r="H216" s="705"/>
      <c r="I216" s="705"/>
      <c r="K216" s="220">
        <f>IFERROR(VLOOKUP(B216,'דוח ביצוע (3)'!B:J,8,0),0)</f>
        <v>0</v>
      </c>
      <c r="L216" s="220">
        <f t="shared" si="8"/>
        <v>0</v>
      </c>
      <c r="M216" s="705"/>
    </row>
    <row r="217" spans="1:13" ht="19.5" customHeight="1" x14ac:dyDescent="0.25">
      <c r="A217" s="280">
        <v>200</v>
      </c>
      <c r="B217" s="703" t="str">
        <f>IF(VLOOKUP(A217,'דוח ביצוע (3)'!A:G,2,0)="","",VLOOKUP('תשלומי הורים ומלגות להורים (5) '!A217,'דוח ביצוע (3)'!A:G,2,0))</f>
        <v/>
      </c>
      <c r="C217" s="849"/>
      <c r="D217" s="219">
        <f>SUMIFS('דוח הוצאות בפועל (4)'!$E$17:$E$3016,'דוח הוצאות בפועל (4)'!$B$17:$B$3016,'תשלומי הורים ומלגות להורים (5) '!B217,'דוח הוצאות בפועל (4)'!$D$17:$D$3016,"מלגות להורים")</f>
        <v>0</v>
      </c>
      <c r="E217" s="219">
        <f t="shared" si="7"/>
        <v>0</v>
      </c>
      <c r="F217" s="704"/>
      <c r="G217" s="705"/>
      <c r="H217" s="705"/>
      <c r="I217" s="705"/>
      <c r="K217" s="220">
        <f>IFERROR(VLOOKUP(B217,'דוח ביצוע (3)'!B:J,8,0),0)</f>
        <v>0</v>
      </c>
      <c r="L217" s="220">
        <f t="shared" si="8"/>
        <v>0</v>
      </c>
      <c r="M217" s="705"/>
    </row>
    <row r="218" spans="1:13" ht="19.5" customHeight="1" x14ac:dyDescent="0.25">
      <c r="A218" s="280">
        <v>201</v>
      </c>
      <c r="B218" s="703" t="str">
        <f>IF(VLOOKUP(A218,'דוח ביצוע (3)'!A:G,2,0)="","",VLOOKUP('תשלומי הורים ומלגות להורים (5) '!A218,'דוח ביצוע (3)'!A:G,2,0))</f>
        <v/>
      </c>
      <c r="C218" s="849"/>
      <c r="D218" s="219">
        <f>SUMIFS('דוח הוצאות בפועל (4)'!$E$17:$E$3016,'דוח הוצאות בפועל (4)'!$B$17:$B$3016,'תשלומי הורים ומלגות להורים (5) '!B218,'דוח הוצאות בפועל (4)'!$D$17:$D$3016,"מלגות להורים")</f>
        <v>0</v>
      </c>
      <c r="E218" s="219">
        <f t="shared" si="7"/>
        <v>0</v>
      </c>
      <c r="F218" s="704"/>
      <c r="G218" s="705"/>
      <c r="H218" s="705"/>
      <c r="I218" s="705"/>
      <c r="K218" s="220">
        <f>IFERROR(VLOOKUP(B218,'דוח ביצוע (3)'!B:J,8,0),0)</f>
        <v>0</v>
      </c>
      <c r="L218" s="220">
        <f t="shared" si="8"/>
        <v>0</v>
      </c>
      <c r="M218" s="705"/>
    </row>
    <row r="219" spans="1:13" ht="19.5" customHeight="1" x14ac:dyDescent="0.25">
      <c r="A219" s="280">
        <v>202</v>
      </c>
      <c r="B219" s="703" t="str">
        <f>IF(VLOOKUP(A219,'דוח ביצוע (3)'!A:G,2,0)="","",VLOOKUP('תשלומי הורים ומלגות להורים (5) '!A219,'דוח ביצוע (3)'!A:G,2,0))</f>
        <v/>
      </c>
      <c r="C219" s="849"/>
      <c r="D219" s="219">
        <f>SUMIFS('דוח הוצאות בפועל (4)'!$E$17:$E$3016,'דוח הוצאות בפועל (4)'!$B$17:$B$3016,'תשלומי הורים ומלגות להורים (5) '!B219,'דוח הוצאות בפועל (4)'!$D$17:$D$3016,"מלגות להורים")</f>
        <v>0</v>
      </c>
      <c r="E219" s="219">
        <f t="shared" si="7"/>
        <v>0</v>
      </c>
      <c r="F219" s="704"/>
      <c r="G219" s="705"/>
      <c r="H219" s="705"/>
      <c r="I219" s="705"/>
      <c r="K219" s="220">
        <f>IFERROR(VLOOKUP(B219,'דוח ביצוע (3)'!B:J,8,0),0)</f>
        <v>0</v>
      </c>
      <c r="L219" s="220">
        <f t="shared" si="8"/>
        <v>0</v>
      </c>
      <c r="M219" s="705"/>
    </row>
    <row r="220" spans="1:13" ht="19.5" customHeight="1" x14ac:dyDescent="0.25">
      <c r="A220" s="280">
        <v>203</v>
      </c>
      <c r="B220" s="703" t="str">
        <f>IF(VLOOKUP(A220,'דוח ביצוע (3)'!A:G,2,0)="","",VLOOKUP('תשלומי הורים ומלגות להורים (5) '!A220,'דוח ביצוע (3)'!A:G,2,0))</f>
        <v/>
      </c>
      <c r="C220" s="849"/>
      <c r="D220" s="219">
        <f>SUMIFS('דוח הוצאות בפועל (4)'!$E$17:$E$3016,'דוח הוצאות בפועל (4)'!$B$17:$B$3016,'תשלומי הורים ומלגות להורים (5) '!B220,'דוח הוצאות בפועל (4)'!$D$17:$D$3016,"מלגות להורים")</f>
        <v>0</v>
      </c>
      <c r="E220" s="219">
        <f t="shared" si="7"/>
        <v>0</v>
      </c>
      <c r="F220" s="704"/>
      <c r="G220" s="705"/>
      <c r="H220" s="705"/>
      <c r="I220" s="705"/>
      <c r="K220" s="220">
        <f>IFERROR(VLOOKUP(B220,'דוח ביצוע (3)'!B:J,8,0),0)</f>
        <v>0</v>
      </c>
      <c r="L220" s="220">
        <f t="shared" si="8"/>
        <v>0</v>
      </c>
      <c r="M220" s="705"/>
    </row>
    <row r="221" spans="1:13" ht="19.5" customHeight="1" x14ac:dyDescent="0.25">
      <c r="A221" s="280">
        <v>204</v>
      </c>
      <c r="B221" s="703" t="str">
        <f>IF(VLOOKUP(A221,'דוח ביצוע (3)'!A:G,2,0)="","",VLOOKUP('תשלומי הורים ומלגות להורים (5) '!A221,'דוח ביצוע (3)'!A:G,2,0))</f>
        <v/>
      </c>
      <c r="C221" s="849"/>
      <c r="D221" s="219">
        <f>SUMIFS('דוח הוצאות בפועל (4)'!$E$17:$E$3016,'דוח הוצאות בפועל (4)'!$B$17:$B$3016,'תשלומי הורים ומלגות להורים (5) '!B221,'דוח הוצאות בפועל (4)'!$D$17:$D$3016,"מלגות להורים")</f>
        <v>0</v>
      </c>
      <c r="E221" s="219">
        <f t="shared" si="7"/>
        <v>0</v>
      </c>
      <c r="F221" s="704"/>
      <c r="G221" s="705"/>
      <c r="H221" s="705"/>
      <c r="I221" s="705"/>
      <c r="K221" s="220">
        <f>IFERROR(VLOOKUP(B221,'דוח ביצוע (3)'!B:J,8,0),0)</f>
        <v>0</v>
      </c>
      <c r="L221" s="220">
        <f t="shared" si="8"/>
        <v>0</v>
      </c>
      <c r="M221" s="705"/>
    </row>
    <row r="222" spans="1:13" ht="19.5" customHeight="1" x14ac:dyDescent="0.25">
      <c r="A222" s="280">
        <v>205</v>
      </c>
      <c r="B222" s="703" t="str">
        <f>IF(VLOOKUP(A222,'דוח ביצוע (3)'!A:G,2,0)="","",VLOOKUP('תשלומי הורים ומלגות להורים (5) '!A222,'דוח ביצוע (3)'!A:G,2,0))</f>
        <v/>
      </c>
      <c r="C222" s="849"/>
      <c r="D222" s="219">
        <f>SUMIFS('דוח הוצאות בפועל (4)'!$E$17:$E$3016,'דוח הוצאות בפועל (4)'!$B$17:$B$3016,'תשלומי הורים ומלגות להורים (5) '!B222,'דוח הוצאות בפועל (4)'!$D$17:$D$3016,"מלגות להורים")</f>
        <v>0</v>
      </c>
      <c r="E222" s="219">
        <f t="shared" si="7"/>
        <v>0</v>
      </c>
      <c r="F222" s="704"/>
      <c r="G222" s="705"/>
      <c r="H222" s="705"/>
      <c r="I222" s="705"/>
      <c r="K222" s="220">
        <f>IFERROR(VLOOKUP(B222,'דוח ביצוע (3)'!B:J,8,0),0)</f>
        <v>0</v>
      </c>
      <c r="L222" s="220">
        <f t="shared" si="8"/>
        <v>0</v>
      </c>
      <c r="M222" s="705"/>
    </row>
    <row r="223" spans="1:13" ht="19.5" customHeight="1" x14ac:dyDescent="0.25">
      <c r="A223" s="280">
        <v>206</v>
      </c>
      <c r="B223" s="703" t="str">
        <f>IF(VLOOKUP(A223,'דוח ביצוע (3)'!A:G,2,0)="","",VLOOKUP('תשלומי הורים ומלגות להורים (5) '!A223,'דוח ביצוע (3)'!A:G,2,0))</f>
        <v/>
      </c>
      <c r="C223" s="849"/>
      <c r="D223" s="219">
        <f>SUMIFS('דוח הוצאות בפועל (4)'!$E$17:$E$3016,'דוח הוצאות בפועל (4)'!$B$17:$B$3016,'תשלומי הורים ומלגות להורים (5) '!B223,'דוח הוצאות בפועל (4)'!$D$17:$D$3016,"מלגות להורים")</f>
        <v>0</v>
      </c>
      <c r="E223" s="219">
        <f t="shared" si="7"/>
        <v>0</v>
      </c>
      <c r="F223" s="704"/>
      <c r="G223" s="705"/>
      <c r="H223" s="705"/>
      <c r="I223" s="705"/>
      <c r="K223" s="220">
        <f>IFERROR(VLOOKUP(B223,'דוח ביצוע (3)'!B:J,8,0),0)</f>
        <v>0</v>
      </c>
      <c r="L223" s="220">
        <f t="shared" si="8"/>
        <v>0</v>
      </c>
      <c r="M223" s="705"/>
    </row>
    <row r="224" spans="1:13" ht="19.5" customHeight="1" x14ac:dyDescent="0.25">
      <c r="A224" s="280">
        <v>207</v>
      </c>
      <c r="B224" s="703" t="str">
        <f>IF(VLOOKUP(A224,'דוח ביצוע (3)'!A:G,2,0)="","",VLOOKUP('תשלומי הורים ומלגות להורים (5) '!A224,'דוח ביצוע (3)'!A:G,2,0))</f>
        <v/>
      </c>
      <c r="C224" s="849"/>
      <c r="D224" s="219">
        <f>SUMIFS('דוח הוצאות בפועל (4)'!$E$17:$E$3016,'דוח הוצאות בפועל (4)'!$B$17:$B$3016,'תשלומי הורים ומלגות להורים (5) '!B224,'דוח הוצאות בפועל (4)'!$D$17:$D$3016,"מלגות להורים")</f>
        <v>0</v>
      </c>
      <c r="E224" s="219">
        <f t="shared" si="7"/>
        <v>0</v>
      </c>
      <c r="F224" s="704"/>
      <c r="G224" s="705"/>
      <c r="H224" s="705"/>
      <c r="I224" s="705"/>
      <c r="K224" s="220">
        <f>IFERROR(VLOOKUP(B224,'דוח ביצוע (3)'!B:J,8,0),0)</f>
        <v>0</v>
      </c>
      <c r="L224" s="220">
        <f t="shared" si="8"/>
        <v>0</v>
      </c>
      <c r="M224" s="705"/>
    </row>
    <row r="225" spans="1:13" ht="19.5" customHeight="1" x14ac:dyDescent="0.25">
      <c r="A225" s="280">
        <v>208</v>
      </c>
      <c r="B225" s="703" t="str">
        <f>IF(VLOOKUP(A225,'דוח ביצוע (3)'!A:G,2,0)="","",VLOOKUP('תשלומי הורים ומלגות להורים (5) '!A225,'דוח ביצוע (3)'!A:G,2,0))</f>
        <v/>
      </c>
      <c r="C225" s="849"/>
      <c r="D225" s="219">
        <f>SUMIFS('דוח הוצאות בפועל (4)'!$E$17:$E$3016,'דוח הוצאות בפועל (4)'!$B$17:$B$3016,'תשלומי הורים ומלגות להורים (5) '!B225,'דוח הוצאות בפועל (4)'!$D$17:$D$3016,"מלגות להורים")</f>
        <v>0</v>
      </c>
      <c r="E225" s="219">
        <f t="shared" si="7"/>
        <v>0</v>
      </c>
      <c r="F225" s="704"/>
      <c r="G225" s="705"/>
      <c r="H225" s="705"/>
      <c r="I225" s="705"/>
      <c r="K225" s="220">
        <f>IFERROR(VLOOKUP(B225,'דוח ביצוע (3)'!B:J,8,0),0)</f>
        <v>0</v>
      </c>
      <c r="L225" s="220">
        <f t="shared" si="8"/>
        <v>0</v>
      </c>
      <c r="M225" s="705"/>
    </row>
    <row r="226" spans="1:13" ht="19.5" customHeight="1" x14ac:dyDescent="0.25">
      <c r="A226" s="280">
        <v>209</v>
      </c>
      <c r="B226" s="703" t="str">
        <f>IF(VLOOKUP(A226,'דוח ביצוע (3)'!A:G,2,0)="","",VLOOKUP('תשלומי הורים ומלגות להורים (5) '!A226,'דוח ביצוע (3)'!A:G,2,0))</f>
        <v/>
      </c>
      <c r="C226" s="849"/>
      <c r="D226" s="219">
        <f>SUMIFS('דוח הוצאות בפועל (4)'!$E$17:$E$3016,'דוח הוצאות בפועל (4)'!$B$17:$B$3016,'תשלומי הורים ומלגות להורים (5) '!B226,'דוח הוצאות בפועל (4)'!$D$17:$D$3016,"מלגות להורים")</f>
        <v>0</v>
      </c>
      <c r="E226" s="219">
        <f t="shared" si="7"/>
        <v>0</v>
      </c>
      <c r="F226" s="704"/>
      <c r="G226" s="705"/>
      <c r="H226" s="705"/>
      <c r="I226" s="705"/>
      <c r="K226" s="220">
        <f>IFERROR(VLOOKUP(B226,'דוח ביצוע (3)'!B:J,8,0),0)</f>
        <v>0</v>
      </c>
      <c r="L226" s="220">
        <f t="shared" si="8"/>
        <v>0</v>
      </c>
      <c r="M226" s="705"/>
    </row>
    <row r="227" spans="1:13" ht="19.5" customHeight="1" x14ac:dyDescent="0.25">
      <c r="A227" s="280">
        <v>210</v>
      </c>
      <c r="B227" s="703" t="str">
        <f>IF(VLOOKUP(A227,'דוח ביצוע (3)'!A:G,2,0)="","",VLOOKUP('תשלומי הורים ומלגות להורים (5) '!A227,'דוח ביצוע (3)'!A:G,2,0))</f>
        <v/>
      </c>
      <c r="C227" s="849"/>
      <c r="D227" s="219">
        <f>SUMIFS('דוח הוצאות בפועל (4)'!$E$17:$E$3016,'דוח הוצאות בפועל (4)'!$B$17:$B$3016,'תשלומי הורים ומלגות להורים (5) '!B227,'דוח הוצאות בפועל (4)'!$D$17:$D$3016,"מלגות להורים")</f>
        <v>0</v>
      </c>
      <c r="E227" s="219">
        <f t="shared" si="7"/>
        <v>0</v>
      </c>
      <c r="F227" s="704"/>
      <c r="G227" s="705"/>
      <c r="H227" s="705"/>
      <c r="I227" s="705"/>
      <c r="K227" s="220">
        <f>IFERROR(VLOOKUP(B227,'דוח ביצוע (3)'!B:J,8,0),0)</f>
        <v>0</v>
      </c>
      <c r="L227" s="220">
        <f t="shared" si="8"/>
        <v>0</v>
      </c>
      <c r="M227" s="705"/>
    </row>
    <row r="228" spans="1:13" ht="19.5" customHeight="1" x14ac:dyDescent="0.25">
      <c r="A228" s="280">
        <v>211</v>
      </c>
      <c r="B228" s="703" t="str">
        <f>IF(VLOOKUP(A228,'דוח ביצוע (3)'!A:G,2,0)="","",VLOOKUP('תשלומי הורים ומלגות להורים (5) '!A228,'דוח ביצוע (3)'!A:G,2,0))</f>
        <v/>
      </c>
      <c r="C228" s="849"/>
      <c r="D228" s="219">
        <f>SUMIFS('דוח הוצאות בפועל (4)'!$E$17:$E$3016,'דוח הוצאות בפועל (4)'!$B$17:$B$3016,'תשלומי הורים ומלגות להורים (5) '!B228,'דוח הוצאות בפועל (4)'!$D$17:$D$3016,"מלגות להורים")</f>
        <v>0</v>
      </c>
      <c r="E228" s="219">
        <f t="shared" si="7"/>
        <v>0</v>
      </c>
      <c r="F228" s="704"/>
      <c r="G228" s="705"/>
      <c r="H228" s="705"/>
      <c r="I228" s="705"/>
      <c r="K228" s="220">
        <f>IFERROR(VLOOKUP(B228,'דוח ביצוע (3)'!B:J,8,0),0)</f>
        <v>0</v>
      </c>
      <c r="L228" s="220">
        <f t="shared" si="8"/>
        <v>0</v>
      </c>
      <c r="M228" s="705"/>
    </row>
    <row r="229" spans="1:13" ht="19.5" customHeight="1" x14ac:dyDescent="0.25">
      <c r="A229" s="280">
        <v>212</v>
      </c>
      <c r="B229" s="703" t="str">
        <f>IF(VLOOKUP(A229,'דוח ביצוע (3)'!A:G,2,0)="","",VLOOKUP('תשלומי הורים ומלגות להורים (5) '!A229,'דוח ביצוע (3)'!A:G,2,0))</f>
        <v/>
      </c>
      <c r="C229" s="849"/>
      <c r="D229" s="219">
        <f>SUMIFS('דוח הוצאות בפועל (4)'!$E$17:$E$3016,'דוח הוצאות בפועל (4)'!$B$17:$B$3016,'תשלומי הורים ומלגות להורים (5) '!B229,'דוח הוצאות בפועל (4)'!$D$17:$D$3016,"מלגות להורים")</f>
        <v>0</v>
      </c>
      <c r="E229" s="219">
        <f t="shared" si="7"/>
        <v>0</v>
      </c>
      <c r="F229" s="704"/>
      <c r="G229" s="705"/>
      <c r="H229" s="705"/>
      <c r="I229" s="705"/>
      <c r="K229" s="220">
        <f>IFERROR(VLOOKUP(B229,'דוח ביצוע (3)'!B:J,8,0),0)</f>
        <v>0</v>
      </c>
      <c r="L229" s="220">
        <f t="shared" si="8"/>
        <v>0</v>
      </c>
      <c r="M229" s="705"/>
    </row>
    <row r="230" spans="1:13" ht="19.5" customHeight="1" x14ac:dyDescent="0.25">
      <c r="A230" s="280">
        <v>213</v>
      </c>
      <c r="B230" s="703" t="str">
        <f>IF(VLOOKUP(A230,'דוח ביצוע (3)'!A:G,2,0)="","",VLOOKUP('תשלומי הורים ומלגות להורים (5) '!A230,'דוח ביצוע (3)'!A:G,2,0))</f>
        <v/>
      </c>
      <c r="C230" s="849"/>
      <c r="D230" s="219">
        <f>SUMIFS('דוח הוצאות בפועל (4)'!$E$17:$E$3016,'דוח הוצאות בפועל (4)'!$B$17:$B$3016,'תשלומי הורים ומלגות להורים (5) '!B230,'דוח הוצאות בפועל (4)'!$D$17:$D$3016,"מלגות להורים")</f>
        <v>0</v>
      </c>
      <c r="E230" s="219">
        <f t="shared" si="7"/>
        <v>0</v>
      </c>
      <c r="F230" s="704"/>
      <c r="G230" s="705"/>
      <c r="H230" s="705"/>
      <c r="I230" s="705"/>
      <c r="K230" s="220">
        <f>IFERROR(VLOOKUP(B230,'דוח ביצוע (3)'!B:J,8,0),0)</f>
        <v>0</v>
      </c>
      <c r="L230" s="220">
        <f t="shared" si="8"/>
        <v>0</v>
      </c>
      <c r="M230" s="705"/>
    </row>
    <row r="231" spans="1:13" ht="19.5" customHeight="1" x14ac:dyDescent="0.25">
      <c r="A231" s="280">
        <v>214</v>
      </c>
      <c r="B231" s="703" t="str">
        <f>IF(VLOOKUP(A231,'דוח ביצוע (3)'!A:G,2,0)="","",VLOOKUP('תשלומי הורים ומלגות להורים (5) '!A231,'דוח ביצוע (3)'!A:G,2,0))</f>
        <v/>
      </c>
      <c r="C231" s="849"/>
      <c r="D231" s="219">
        <f>SUMIFS('דוח הוצאות בפועל (4)'!$E$17:$E$3016,'דוח הוצאות בפועל (4)'!$B$17:$B$3016,'תשלומי הורים ומלגות להורים (5) '!B231,'דוח הוצאות בפועל (4)'!$D$17:$D$3016,"מלגות להורים")</f>
        <v>0</v>
      </c>
      <c r="E231" s="219">
        <f t="shared" si="7"/>
        <v>0</v>
      </c>
      <c r="F231" s="704"/>
      <c r="G231" s="705"/>
      <c r="H231" s="705"/>
      <c r="I231" s="705"/>
      <c r="K231" s="220">
        <f>IFERROR(VLOOKUP(B231,'דוח ביצוע (3)'!B:J,8,0),0)</f>
        <v>0</v>
      </c>
      <c r="L231" s="220">
        <f t="shared" si="8"/>
        <v>0</v>
      </c>
      <c r="M231" s="705"/>
    </row>
    <row r="232" spans="1:13" ht="19.5" customHeight="1" x14ac:dyDescent="0.25">
      <c r="A232" s="280">
        <v>215</v>
      </c>
      <c r="B232" s="703" t="str">
        <f>IF(VLOOKUP(A232,'דוח ביצוע (3)'!A:G,2,0)="","",VLOOKUP('תשלומי הורים ומלגות להורים (5) '!A232,'דוח ביצוע (3)'!A:G,2,0))</f>
        <v/>
      </c>
      <c r="C232" s="849"/>
      <c r="D232" s="219">
        <f>SUMIFS('דוח הוצאות בפועל (4)'!$E$17:$E$3016,'דוח הוצאות בפועל (4)'!$B$17:$B$3016,'תשלומי הורים ומלגות להורים (5) '!B232,'דוח הוצאות בפועל (4)'!$D$17:$D$3016,"מלגות להורים")</f>
        <v>0</v>
      </c>
      <c r="E232" s="219">
        <f t="shared" si="7"/>
        <v>0</v>
      </c>
      <c r="F232" s="704"/>
      <c r="G232" s="705"/>
      <c r="H232" s="705"/>
      <c r="I232" s="705"/>
      <c r="K232" s="220">
        <f>IFERROR(VLOOKUP(B232,'דוח ביצוע (3)'!B:J,8,0),0)</f>
        <v>0</v>
      </c>
      <c r="L232" s="220">
        <f t="shared" si="8"/>
        <v>0</v>
      </c>
      <c r="M232" s="705"/>
    </row>
    <row r="233" spans="1:13" ht="19.5" customHeight="1" x14ac:dyDescent="0.25">
      <c r="A233" s="280">
        <v>216</v>
      </c>
      <c r="B233" s="703" t="str">
        <f>IF(VLOOKUP(A233,'דוח ביצוע (3)'!A:G,2,0)="","",VLOOKUP('תשלומי הורים ומלגות להורים (5) '!A233,'דוח ביצוע (3)'!A:G,2,0))</f>
        <v/>
      </c>
      <c r="C233" s="849"/>
      <c r="D233" s="219">
        <f>SUMIFS('דוח הוצאות בפועל (4)'!$E$17:$E$3016,'דוח הוצאות בפועל (4)'!$B$17:$B$3016,'תשלומי הורים ומלגות להורים (5) '!B233,'דוח הוצאות בפועל (4)'!$D$17:$D$3016,"מלגות להורים")</f>
        <v>0</v>
      </c>
      <c r="E233" s="219">
        <f t="shared" si="7"/>
        <v>0</v>
      </c>
      <c r="F233" s="704"/>
      <c r="G233" s="705"/>
      <c r="H233" s="705"/>
      <c r="I233" s="705"/>
      <c r="K233" s="220">
        <f>IFERROR(VLOOKUP(B233,'דוח ביצוע (3)'!B:J,8,0),0)</f>
        <v>0</v>
      </c>
      <c r="L233" s="220">
        <f t="shared" si="8"/>
        <v>0</v>
      </c>
      <c r="M233" s="705"/>
    </row>
    <row r="234" spans="1:13" ht="19.5" customHeight="1" x14ac:dyDescent="0.25">
      <c r="A234" s="280">
        <v>217</v>
      </c>
      <c r="B234" s="703" t="str">
        <f>IF(VLOOKUP(A234,'דוח ביצוע (3)'!A:G,2,0)="","",VLOOKUP('תשלומי הורים ומלגות להורים (5) '!A234,'דוח ביצוע (3)'!A:G,2,0))</f>
        <v/>
      </c>
      <c r="C234" s="849"/>
      <c r="D234" s="219">
        <f>SUMIFS('דוח הוצאות בפועל (4)'!$E$17:$E$3016,'דוח הוצאות בפועל (4)'!$B$17:$B$3016,'תשלומי הורים ומלגות להורים (5) '!B234,'דוח הוצאות בפועל (4)'!$D$17:$D$3016,"מלגות להורים")</f>
        <v>0</v>
      </c>
      <c r="E234" s="219">
        <f t="shared" si="7"/>
        <v>0</v>
      </c>
      <c r="F234" s="704"/>
      <c r="G234" s="705"/>
      <c r="H234" s="705"/>
      <c r="I234" s="705"/>
      <c r="K234" s="220">
        <f>IFERROR(VLOOKUP(B234,'דוח ביצוע (3)'!B:J,8,0),0)</f>
        <v>0</v>
      </c>
      <c r="L234" s="220">
        <f t="shared" si="8"/>
        <v>0</v>
      </c>
      <c r="M234" s="705"/>
    </row>
    <row r="235" spans="1:13" ht="19.5" customHeight="1" x14ac:dyDescent="0.25">
      <c r="A235" s="280">
        <v>218</v>
      </c>
      <c r="B235" s="703" t="str">
        <f>IF(VLOOKUP(A235,'דוח ביצוע (3)'!A:G,2,0)="","",VLOOKUP('תשלומי הורים ומלגות להורים (5) '!A235,'דוח ביצוע (3)'!A:G,2,0))</f>
        <v/>
      </c>
      <c r="C235" s="849"/>
      <c r="D235" s="219">
        <f>SUMIFS('דוח הוצאות בפועל (4)'!$E$17:$E$3016,'דוח הוצאות בפועל (4)'!$B$17:$B$3016,'תשלומי הורים ומלגות להורים (5) '!B235,'דוח הוצאות בפועל (4)'!$D$17:$D$3016,"מלגות להורים")</f>
        <v>0</v>
      </c>
      <c r="E235" s="219">
        <f t="shared" si="7"/>
        <v>0</v>
      </c>
      <c r="F235" s="704"/>
      <c r="G235" s="705"/>
      <c r="H235" s="705"/>
      <c r="I235" s="705"/>
      <c r="K235" s="220">
        <f>IFERROR(VLOOKUP(B235,'דוח ביצוע (3)'!B:J,8,0),0)</f>
        <v>0</v>
      </c>
      <c r="L235" s="220">
        <f t="shared" si="8"/>
        <v>0</v>
      </c>
      <c r="M235" s="705"/>
    </row>
    <row r="236" spans="1:13" ht="19.5" customHeight="1" x14ac:dyDescent="0.25">
      <c r="A236" s="280">
        <v>219</v>
      </c>
      <c r="B236" s="703" t="str">
        <f>IF(VLOOKUP(A236,'דוח ביצוע (3)'!A:G,2,0)="","",VLOOKUP('תשלומי הורים ומלגות להורים (5) '!A236,'דוח ביצוע (3)'!A:G,2,0))</f>
        <v/>
      </c>
      <c r="C236" s="849"/>
      <c r="D236" s="219">
        <f>SUMIFS('דוח הוצאות בפועל (4)'!$E$17:$E$3016,'דוח הוצאות בפועל (4)'!$B$17:$B$3016,'תשלומי הורים ומלגות להורים (5) '!B236,'דוח הוצאות בפועל (4)'!$D$17:$D$3016,"מלגות להורים")</f>
        <v>0</v>
      </c>
      <c r="E236" s="219">
        <f t="shared" si="7"/>
        <v>0</v>
      </c>
      <c r="F236" s="704"/>
      <c r="G236" s="705"/>
      <c r="H236" s="705"/>
      <c r="I236" s="705"/>
      <c r="K236" s="220">
        <f>IFERROR(VLOOKUP(B236,'דוח ביצוע (3)'!B:J,8,0),0)</f>
        <v>0</v>
      </c>
      <c r="L236" s="220">
        <f t="shared" si="8"/>
        <v>0</v>
      </c>
      <c r="M236" s="705"/>
    </row>
    <row r="237" spans="1:13" ht="19.5" customHeight="1" x14ac:dyDescent="0.25">
      <c r="A237" s="280">
        <v>220</v>
      </c>
      <c r="B237" s="703" t="str">
        <f>IF(VLOOKUP(A237,'דוח ביצוע (3)'!A:G,2,0)="","",VLOOKUP('תשלומי הורים ומלגות להורים (5) '!A237,'דוח ביצוע (3)'!A:G,2,0))</f>
        <v/>
      </c>
      <c r="C237" s="849"/>
      <c r="D237" s="219">
        <f>SUMIFS('דוח הוצאות בפועל (4)'!$E$17:$E$3016,'דוח הוצאות בפועל (4)'!$B$17:$B$3016,'תשלומי הורים ומלגות להורים (5) '!B237,'דוח הוצאות בפועל (4)'!$D$17:$D$3016,"מלגות להורים")</f>
        <v>0</v>
      </c>
      <c r="E237" s="219">
        <f t="shared" si="7"/>
        <v>0</v>
      </c>
      <c r="F237" s="704"/>
      <c r="G237" s="705"/>
      <c r="H237" s="705"/>
      <c r="I237" s="705"/>
      <c r="K237" s="220">
        <f>IFERROR(VLOOKUP(B237,'דוח ביצוע (3)'!B:J,8,0),0)</f>
        <v>0</v>
      </c>
      <c r="L237" s="220">
        <f t="shared" si="8"/>
        <v>0</v>
      </c>
      <c r="M237" s="705"/>
    </row>
    <row r="238" spans="1:13" ht="19.5" customHeight="1" x14ac:dyDescent="0.25">
      <c r="A238" s="280">
        <v>221</v>
      </c>
      <c r="B238" s="703" t="str">
        <f>IF(VLOOKUP(A238,'דוח ביצוע (3)'!A:G,2,0)="","",VLOOKUP('תשלומי הורים ומלגות להורים (5) '!A238,'דוח ביצוע (3)'!A:G,2,0))</f>
        <v/>
      </c>
      <c r="C238" s="849"/>
      <c r="D238" s="219">
        <f>SUMIFS('דוח הוצאות בפועל (4)'!$E$17:$E$3016,'דוח הוצאות בפועל (4)'!$B$17:$B$3016,'תשלומי הורים ומלגות להורים (5) '!B238,'דוח הוצאות בפועל (4)'!$D$17:$D$3016,"מלגות להורים")</f>
        <v>0</v>
      </c>
      <c r="E238" s="219">
        <f t="shared" si="7"/>
        <v>0</v>
      </c>
      <c r="F238" s="704"/>
      <c r="G238" s="705"/>
      <c r="H238" s="705"/>
      <c r="I238" s="705"/>
      <c r="K238" s="220">
        <f>IFERROR(VLOOKUP(B238,'דוח ביצוע (3)'!B:J,8,0),0)</f>
        <v>0</v>
      </c>
      <c r="L238" s="220">
        <f t="shared" si="8"/>
        <v>0</v>
      </c>
      <c r="M238" s="705"/>
    </row>
    <row r="239" spans="1:13" ht="19.5" customHeight="1" x14ac:dyDescent="0.25">
      <c r="A239" s="280">
        <v>222</v>
      </c>
      <c r="B239" s="703" t="str">
        <f>IF(VLOOKUP(A239,'דוח ביצוע (3)'!A:G,2,0)="","",VLOOKUP('תשלומי הורים ומלגות להורים (5) '!A239,'דוח ביצוע (3)'!A:G,2,0))</f>
        <v/>
      </c>
      <c r="C239" s="849"/>
      <c r="D239" s="219">
        <f>SUMIFS('דוח הוצאות בפועל (4)'!$E$17:$E$3016,'דוח הוצאות בפועל (4)'!$B$17:$B$3016,'תשלומי הורים ומלגות להורים (5) '!B239,'דוח הוצאות בפועל (4)'!$D$17:$D$3016,"מלגות להורים")</f>
        <v>0</v>
      </c>
      <c r="E239" s="219">
        <f t="shared" si="7"/>
        <v>0</v>
      </c>
      <c r="F239" s="704"/>
      <c r="G239" s="705"/>
      <c r="H239" s="705"/>
      <c r="I239" s="705"/>
      <c r="K239" s="220">
        <f>IFERROR(VLOOKUP(B239,'דוח ביצוע (3)'!B:J,8,0),0)</f>
        <v>0</v>
      </c>
      <c r="L239" s="220">
        <f t="shared" si="8"/>
        <v>0</v>
      </c>
      <c r="M239" s="705"/>
    </row>
    <row r="240" spans="1:13" ht="19.5" customHeight="1" x14ac:dyDescent="0.25">
      <c r="A240" s="280">
        <v>223</v>
      </c>
      <c r="B240" s="703" t="str">
        <f>IF(VLOOKUP(A240,'דוח ביצוע (3)'!A:G,2,0)="","",VLOOKUP('תשלומי הורים ומלגות להורים (5) '!A240,'דוח ביצוע (3)'!A:G,2,0))</f>
        <v/>
      </c>
      <c r="C240" s="849"/>
      <c r="D240" s="219">
        <f>SUMIFS('דוח הוצאות בפועל (4)'!$E$17:$E$3016,'דוח הוצאות בפועל (4)'!$B$17:$B$3016,'תשלומי הורים ומלגות להורים (5) '!B240,'דוח הוצאות בפועל (4)'!$D$17:$D$3016,"מלגות להורים")</f>
        <v>0</v>
      </c>
      <c r="E240" s="219">
        <f t="shared" si="7"/>
        <v>0</v>
      </c>
      <c r="F240" s="704"/>
      <c r="G240" s="705"/>
      <c r="H240" s="705"/>
      <c r="I240" s="705"/>
      <c r="K240" s="220">
        <f>IFERROR(VLOOKUP(B240,'דוח ביצוע (3)'!B:J,8,0),0)</f>
        <v>0</v>
      </c>
      <c r="L240" s="220">
        <f t="shared" si="8"/>
        <v>0</v>
      </c>
      <c r="M240" s="705"/>
    </row>
    <row r="241" spans="1:13" ht="19.5" customHeight="1" x14ac:dyDescent="0.25">
      <c r="A241" s="280">
        <v>224</v>
      </c>
      <c r="B241" s="703" t="str">
        <f>IF(VLOOKUP(A241,'דוח ביצוע (3)'!A:G,2,0)="","",VLOOKUP('תשלומי הורים ומלגות להורים (5) '!A241,'דוח ביצוע (3)'!A:G,2,0))</f>
        <v/>
      </c>
      <c r="C241" s="849"/>
      <c r="D241" s="219">
        <f>SUMIFS('דוח הוצאות בפועל (4)'!$E$17:$E$3016,'דוח הוצאות בפועל (4)'!$B$17:$B$3016,'תשלומי הורים ומלגות להורים (5) '!B241,'דוח הוצאות בפועל (4)'!$D$17:$D$3016,"מלגות להורים")</f>
        <v>0</v>
      </c>
      <c r="E241" s="219">
        <f t="shared" si="7"/>
        <v>0</v>
      </c>
      <c r="F241" s="704"/>
      <c r="G241" s="705"/>
      <c r="H241" s="705"/>
      <c r="I241" s="705"/>
      <c r="K241" s="220">
        <f>IFERROR(VLOOKUP(B241,'דוח ביצוע (3)'!B:J,8,0),0)</f>
        <v>0</v>
      </c>
      <c r="L241" s="220">
        <f t="shared" si="8"/>
        <v>0</v>
      </c>
      <c r="M241" s="705"/>
    </row>
    <row r="242" spans="1:13" ht="19.5" customHeight="1" x14ac:dyDescent="0.25">
      <c r="A242" s="280">
        <v>225</v>
      </c>
      <c r="B242" s="703" t="str">
        <f>IF(VLOOKUP(A242,'דוח ביצוע (3)'!A:G,2,0)="","",VLOOKUP('תשלומי הורים ומלגות להורים (5) '!A242,'דוח ביצוע (3)'!A:G,2,0))</f>
        <v/>
      </c>
      <c r="C242" s="849"/>
      <c r="D242" s="219">
        <f>SUMIFS('דוח הוצאות בפועל (4)'!$E$17:$E$3016,'דוח הוצאות בפועל (4)'!$B$17:$B$3016,'תשלומי הורים ומלגות להורים (5) '!B242,'דוח הוצאות בפועל (4)'!$D$17:$D$3016,"מלגות להורים")</f>
        <v>0</v>
      </c>
      <c r="E242" s="219">
        <f t="shared" si="7"/>
        <v>0</v>
      </c>
      <c r="F242" s="704"/>
      <c r="G242" s="705"/>
      <c r="H242" s="705"/>
      <c r="I242" s="705"/>
      <c r="K242" s="220">
        <f>IFERROR(VLOOKUP(B242,'דוח ביצוע (3)'!B:J,8,0),0)</f>
        <v>0</v>
      </c>
      <c r="L242" s="220">
        <f t="shared" si="8"/>
        <v>0</v>
      </c>
      <c r="M242" s="705"/>
    </row>
    <row r="243" spans="1:13" ht="19.5" customHeight="1" x14ac:dyDescent="0.25">
      <c r="A243" s="280">
        <v>226</v>
      </c>
      <c r="B243" s="703" t="str">
        <f>IF(VLOOKUP(A243,'דוח ביצוע (3)'!A:G,2,0)="","",VLOOKUP('תשלומי הורים ומלגות להורים (5) '!A243,'דוח ביצוע (3)'!A:G,2,0))</f>
        <v/>
      </c>
      <c r="C243" s="849"/>
      <c r="D243" s="219">
        <f>SUMIFS('דוח הוצאות בפועל (4)'!$E$17:$E$3016,'דוח הוצאות בפועל (4)'!$B$17:$B$3016,'תשלומי הורים ומלגות להורים (5) '!B243,'דוח הוצאות בפועל (4)'!$D$17:$D$3016,"מלגות להורים")</f>
        <v>0</v>
      </c>
      <c r="E243" s="219">
        <f t="shared" si="7"/>
        <v>0</v>
      </c>
      <c r="F243" s="704"/>
      <c r="G243" s="705"/>
      <c r="H243" s="705"/>
      <c r="I243" s="705"/>
      <c r="K243" s="220">
        <f>IFERROR(VLOOKUP(B243,'דוח ביצוע (3)'!B:J,8,0),0)</f>
        <v>0</v>
      </c>
      <c r="L243" s="220">
        <f t="shared" si="8"/>
        <v>0</v>
      </c>
      <c r="M243" s="705"/>
    </row>
    <row r="244" spans="1:13" ht="19.5" customHeight="1" x14ac:dyDescent="0.25">
      <c r="A244" s="280">
        <v>227</v>
      </c>
      <c r="B244" s="703" t="str">
        <f>IF(VLOOKUP(A244,'דוח ביצוע (3)'!A:G,2,0)="","",VLOOKUP('תשלומי הורים ומלגות להורים (5) '!A244,'דוח ביצוע (3)'!A:G,2,0))</f>
        <v/>
      </c>
      <c r="C244" s="849"/>
      <c r="D244" s="219">
        <f>SUMIFS('דוח הוצאות בפועל (4)'!$E$17:$E$3016,'דוח הוצאות בפועל (4)'!$B$17:$B$3016,'תשלומי הורים ומלגות להורים (5) '!B244,'דוח הוצאות בפועל (4)'!$D$17:$D$3016,"מלגות להורים")</f>
        <v>0</v>
      </c>
      <c r="E244" s="219">
        <f t="shared" si="7"/>
        <v>0</v>
      </c>
      <c r="F244" s="704"/>
      <c r="G244" s="705"/>
      <c r="H244" s="705"/>
      <c r="I244" s="705"/>
      <c r="K244" s="220">
        <f>IFERROR(VLOOKUP(B244,'דוח ביצוע (3)'!B:J,8,0),0)</f>
        <v>0</v>
      </c>
      <c r="L244" s="220">
        <f t="shared" si="8"/>
        <v>0</v>
      </c>
      <c r="M244" s="705"/>
    </row>
    <row r="245" spans="1:13" ht="19.5" customHeight="1" x14ac:dyDescent="0.25">
      <c r="A245" s="280">
        <v>228</v>
      </c>
      <c r="B245" s="703" t="str">
        <f>IF(VLOOKUP(A245,'דוח ביצוע (3)'!A:G,2,0)="","",VLOOKUP('תשלומי הורים ומלגות להורים (5) '!A245,'דוח ביצוע (3)'!A:G,2,0))</f>
        <v/>
      </c>
      <c r="C245" s="849"/>
      <c r="D245" s="219">
        <f>SUMIFS('דוח הוצאות בפועל (4)'!$E$17:$E$3016,'דוח הוצאות בפועל (4)'!$B$17:$B$3016,'תשלומי הורים ומלגות להורים (5) '!B245,'דוח הוצאות בפועל (4)'!$D$17:$D$3016,"מלגות להורים")</f>
        <v>0</v>
      </c>
      <c r="E245" s="219">
        <f t="shared" si="7"/>
        <v>0</v>
      </c>
      <c r="F245" s="704"/>
      <c r="G245" s="705"/>
      <c r="H245" s="705"/>
      <c r="I245" s="705"/>
      <c r="K245" s="220">
        <f>IFERROR(VLOOKUP(B245,'דוח ביצוע (3)'!B:J,8,0),0)</f>
        <v>0</v>
      </c>
      <c r="L245" s="220">
        <f t="shared" si="8"/>
        <v>0</v>
      </c>
      <c r="M245" s="705"/>
    </row>
    <row r="246" spans="1:13" ht="19.5" customHeight="1" x14ac:dyDescent="0.25">
      <c r="A246" s="280">
        <v>229</v>
      </c>
      <c r="B246" s="703" t="str">
        <f>IF(VLOOKUP(A246,'דוח ביצוע (3)'!A:G,2,0)="","",VLOOKUP('תשלומי הורים ומלגות להורים (5) '!A246,'דוח ביצוע (3)'!A:G,2,0))</f>
        <v/>
      </c>
      <c r="C246" s="849"/>
      <c r="D246" s="219">
        <f>SUMIFS('דוח הוצאות בפועל (4)'!$E$17:$E$3016,'דוח הוצאות בפועל (4)'!$B$17:$B$3016,'תשלומי הורים ומלגות להורים (5) '!B246,'דוח הוצאות בפועל (4)'!$D$17:$D$3016,"מלגות להורים")</f>
        <v>0</v>
      </c>
      <c r="E246" s="219">
        <f t="shared" si="7"/>
        <v>0</v>
      </c>
      <c r="F246" s="704"/>
      <c r="G246" s="705"/>
      <c r="H246" s="705"/>
      <c r="I246" s="705"/>
      <c r="K246" s="220">
        <f>IFERROR(VLOOKUP(B246,'דוח ביצוע (3)'!B:J,8,0),0)</f>
        <v>0</v>
      </c>
      <c r="L246" s="220">
        <f t="shared" si="8"/>
        <v>0</v>
      </c>
      <c r="M246" s="705"/>
    </row>
    <row r="247" spans="1:13" ht="19.5" customHeight="1" x14ac:dyDescent="0.25">
      <c r="A247" s="280">
        <v>230</v>
      </c>
      <c r="B247" s="703" t="str">
        <f>IF(VLOOKUP(A247,'דוח ביצוע (3)'!A:G,2,0)="","",VLOOKUP('תשלומי הורים ומלגות להורים (5) '!A247,'דוח ביצוע (3)'!A:G,2,0))</f>
        <v/>
      </c>
      <c r="C247" s="849"/>
      <c r="D247" s="219">
        <f>SUMIFS('דוח הוצאות בפועל (4)'!$E$17:$E$3016,'דוח הוצאות בפועל (4)'!$B$17:$B$3016,'תשלומי הורים ומלגות להורים (5) '!B247,'דוח הוצאות בפועל (4)'!$D$17:$D$3016,"מלגות להורים")</f>
        <v>0</v>
      </c>
      <c r="E247" s="219">
        <f t="shared" si="7"/>
        <v>0</v>
      </c>
      <c r="F247" s="704"/>
      <c r="G247" s="705"/>
      <c r="H247" s="705"/>
      <c r="I247" s="705"/>
      <c r="K247" s="220">
        <f>IFERROR(VLOOKUP(B247,'דוח ביצוע (3)'!B:J,8,0),0)</f>
        <v>0</v>
      </c>
      <c r="L247" s="220">
        <f t="shared" si="8"/>
        <v>0</v>
      </c>
      <c r="M247" s="705"/>
    </row>
    <row r="248" spans="1:13" ht="19.5" customHeight="1" x14ac:dyDescent="0.25">
      <c r="A248" s="280">
        <v>231</v>
      </c>
      <c r="B248" s="703" t="str">
        <f>IF(VLOOKUP(A248,'דוח ביצוע (3)'!A:G,2,0)="","",VLOOKUP('תשלומי הורים ומלגות להורים (5) '!A248,'דוח ביצוע (3)'!A:G,2,0))</f>
        <v/>
      </c>
      <c r="C248" s="849"/>
      <c r="D248" s="219">
        <f>SUMIFS('דוח הוצאות בפועל (4)'!$E$17:$E$3016,'דוח הוצאות בפועל (4)'!$B$17:$B$3016,'תשלומי הורים ומלגות להורים (5) '!B248,'דוח הוצאות בפועל (4)'!$D$17:$D$3016,"מלגות להורים")</f>
        <v>0</v>
      </c>
      <c r="E248" s="219">
        <f t="shared" si="7"/>
        <v>0</v>
      </c>
      <c r="F248" s="704"/>
      <c r="G248" s="705"/>
      <c r="H248" s="705"/>
      <c r="I248" s="705"/>
      <c r="K248" s="220">
        <f>IFERROR(VLOOKUP(B248,'דוח ביצוע (3)'!B:J,8,0),0)</f>
        <v>0</v>
      </c>
      <c r="L248" s="220">
        <f t="shared" si="8"/>
        <v>0</v>
      </c>
      <c r="M248" s="705"/>
    </row>
    <row r="249" spans="1:13" ht="19.5" customHeight="1" x14ac:dyDescent="0.25">
      <c r="A249" s="280">
        <v>232</v>
      </c>
      <c r="B249" s="703" t="str">
        <f>IF(VLOOKUP(A249,'דוח ביצוע (3)'!A:G,2,0)="","",VLOOKUP('תשלומי הורים ומלגות להורים (5) '!A249,'דוח ביצוע (3)'!A:G,2,0))</f>
        <v/>
      </c>
      <c r="C249" s="849"/>
      <c r="D249" s="219">
        <f>SUMIFS('דוח הוצאות בפועל (4)'!$E$17:$E$3016,'דוח הוצאות בפועל (4)'!$B$17:$B$3016,'תשלומי הורים ומלגות להורים (5) '!B249,'דוח הוצאות בפועל (4)'!$D$17:$D$3016,"מלגות להורים")</f>
        <v>0</v>
      </c>
      <c r="E249" s="219">
        <f t="shared" si="7"/>
        <v>0</v>
      </c>
      <c r="F249" s="704"/>
      <c r="G249" s="705"/>
      <c r="H249" s="705"/>
      <c r="I249" s="705"/>
      <c r="K249" s="220">
        <f>IFERROR(VLOOKUP(B249,'דוח ביצוע (3)'!B:J,8,0),0)</f>
        <v>0</v>
      </c>
      <c r="L249" s="220">
        <f t="shared" si="8"/>
        <v>0</v>
      </c>
      <c r="M249" s="705"/>
    </row>
    <row r="250" spans="1:13" ht="19.5" customHeight="1" x14ac:dyDescent="0.25">
      <c r="A250" s="280">
        <v>233</v>
      </c>
      <c r="B250" s="703" t="str">
        <f>IF(VLOOKUP(A250,'דוח ביצוע (3)'!A:G,2,0)="","",VLOOKUP('תשלומי הורים ומלגות להורים (5) '!A250,'דוח ביצוע (3)'!A:G,2,0))</f>
        <v/>
      </c>
      <c r="C250" s="849"/>
      <c r="D250" s="219">
        <f>SUMIFS('דוח הוצאות בפועל (4)'!$E$17:$E$3016,'דוח הוצאות בפועל (4)'!$B$17:$B$3016,'תשלומי הורים ומלגות להורים (5) '!B250,'דוח הוצאות בפועל (4)'!$D$17:$D$3016,"מלגות להורים")</f>
        <v>0</v>
      </c>
      <c r="E250" s="219">
        <f t="shared" si="7"/>
        <v>0</v>
      </c>
      <c r="F250" s="704"/>
      <c r="G250" s="705"/>
      <c r="H250" s="705"/>
      <c r="I250" s="705"/>
      <c r="K250" s="220">
        <f>IFERROR(VLOOKUP(B250,'דוח ביצוע (3)'!B:J,8,0),0)</f>
        <v>0</v>
      </c>
      <c r="L250" s="220">
        <f t="shared" si="8"/>
        <v>0</v>
      </c>
      <c r="M250" s="705"/>
    </row>
    <row r="251" spans="1:13" ht="19.5" customHeight="1" x14ac:dyDescent="0.25">
      <c r="A251" s="280">
        <v>234</v>
      </c>
      <c r="B251" s="703" t="str">
        <f>IF(VLOOKUP(A251,'דוח ביצוע (3)'!A:G,2,0)="","",VLOOKUP('תשלומי הורים ומלגות להורים (5) '!A251,'דוח ביצוע (3)'!A:G,2,0))</f>
        <v/>
      </c>
      <c r="C251" s="849"/>
      <c r="D251" s="219">
        <f>SUMIFS('דוח הוצאות בפועל (4)'!$E$17:$E$3016,'דוח הוצאות בפועל (4)'!$B$17:$B$3016,'תשלומי הורים ומלגות להורים (5) '!B251,'דוח הוצאות בפועל (4)'!$D$17:$D$3016,"מלגות להורים")</f>
        <v>0</v>
      </c>
      <c r="E251" s="219">
        <f t="shared" si="7"/>
        <v>0</v>
      </c>
      <c r="F251" s="704"/>
      <c r="G251" s="705"/>
      <c r="H251" s="705"/>
      <c r="I251" s="705"/>
      <c r="K251" s="220">
        <f>IFERROR(VLOOKUP(B251,'דוח ביצוע (3)'!B:J,8,0),0)</f>
        <v>0</v>
      </c>
      <c r="L251" s="220">
        <f t="shared" si="8"/>
        <v>0</v>
      </c>
      <c r="M251" s="705"/>
    </row>
    <row r="252" spans="1:13" ht="19.5" customHeight="1" x14ac:dyDescent="0.25">
      <c r="A252" s="280">
        <v>235</v>
      </c>
      <c r="B252" s="703" t="str">
        <f>IF(VLOOKUP(A252,'דוח ביצוע (3)'!A:G,2,0)="","",VLOOKUP('תשלומי הורים ומלגות להורים (5) '!A252,'דוח ביצוע (3)'!A:G,2,0))</f>
        <v/>
      </c>
      <c r="C252" s="849"/>
      <c r="D252" s="219">
        <f>SUMIFS('דוח הוצאות בפועל (4)'!$E$17:$E$3016,'דוח הוצאות בפועל (4)'!$B$17:$B$3016,'תשלומי הורים ומלגות להורים (5) '!B252,'דוח הוצאות בפועל (4)'!$D$17:$D$3016,"מלגות להורים")</f>
        <v>0</v>
      </c>
      <c r="E252" s="219">
        <f t="shared" si="7"/>
        <v>0</v>
      </c>
      <c r="F252" s="704"/>
      <c r="G252" s="705"/>
      <c r="H252" s="705"/>
      <c r="I252" s="705"/>
      <c r="K252" s="220">
        <f>IFERROR(VLOOKUP(B252,'דוח ביצוע (3)'!B:J,8,0),0)</f>
        <v>0</v>
      </c>
      <c r="L252" s="220">
        <f t="shared" si="8"/>
        <v>0</v>
      </c>
      <c r="M252" s="705"/>
    </row>
    <row r="253" spans="1:13" ht="19.5" customHeight="1" x14ac:dyDescent="0.25">
      <c r="A253" s="280">
        <v>236</v>
      </c>
      <c r="B253" s="703" t="str">
        <f>IF(VLOOKUP(A253,'דוח ביצוע (3)'!A:G,2,0)="","",VLOOKUP('תשלומי הורים ומלגות להורים (5) '!A253,'דוח ביצוע (3)'!A:G,2,0))</f>
        <v/>
      </c>
      <c r="C253" s="849"/>
      <c r="D253" s="219">
        <f>SUMIFS('דוח הוצאות בפועל (4)'!$E$17:$E$3016,'דוח הוצאות בפועל (4)'!$B$17:$B$3016,'תשלומי הורים ומלגות להורים (5) '!B253,'דוח הוצאות בפועל (4)'!$D$17:$D$3016,"מלגות להורים")</f>
        <v>0</v>
      </c>
      <c r="E253" s="219">
        <f t="shared" si="7"/>
        <v>0</v>
      </c>
      <c r="F253" s="704"/>
      <c r="G253" s="705"/>
      <c r="H253" s="705"/>
      <c r="I253" s="705"/>
      <c r="K253" s="220">
        <f>IFERROR(VLOOKUP(B253,'דוח ביצוע (3)'!B:J,8,0),0)</f>
        <v>0</v>
      </c>
      <c r="L253" s="220">
        <f t="shared" si="8"/>
        <v>0</v>
      </c>
      <c r="M253" s="705"/>
    </row>
    <row r="254" spans="1:13" ht="19.5" customHeight="1" x14ac:dyDescent="0.25">
      <c r="A254" s="280">
        <v>237</v>
      </c>
      <c r="B254" s="703" t="str">
        <f>IF(VLOOKUP(A254,'דוח ביצוע (3)'!A:G,2,0)="","",VLOOKUP('תשלומי הורים ומלגות להורים (5) '!A254,'דוח ביצוע (3)'!A:G,2,0))</f>
        <v/>
      </c>
      <c r="C254" s="849"/>
      <c r="D254" s="219">
        <f>SUMIFS('דוח הוצאות בפועל (4)'!$E$17:$E$3016,'דוח הוצאות בפועל (4)'!$B$17:$B$3016,'תשלומי הורים ומלגות להורים (5) '!B254,'דוח הוצאות בפועל (4)'!$D$17:$D$3016,"מלגות להורים")</f>
        <v>0</v>
      </c>
      <c r="E254" s="219">
        <f t="shared" si="7"/>
        <v>0</v>
      </c>
      <c r="F254" s="704"/>
      <c r="G254" s="705"/>
      <c r="H254" s="705"/>
      <c r="I254" s="705"/>
      <c r="K254" s="220">
        <f>IFERROR(VLOOKUP(B254,'דוח ביצוע (3)'!B:J,8,0),0)</f>
        <v>0</v>
      </c>
      <c r="L254" s="220">
        <f t="shared" si="8"/>
        <v>0</v>
      </c>
      <c r="M254" s="705"/>
    </row>
    <row r="255" spans="1:13" ht="19.5" customHeight="1" x14ac:dyDescent="0.25">
      <c r="A255" s="280">
        <v>238</v>
      </c>
      <c r="B255" s="703" t="str">
        <f>IF(VLOOKUP(A255,'דוח ביצוע (3)'!A:G,2,0)="","",VLOOKUP('תשלומי הורים ומלגות להורים (5) '!A255,'דוח ביצוע (3)'!A:G,2,0))</f>
        <v/>
      </c>
      <c r="C255" s="849"/>
      <c r="D255" s="219">
        <f>SUMIFS('דוח הוצאות בפועל (4)'!$E$17:$E$3016,'דוח הוצאות בפועל (4)'!$B$17:$B$3016,'תשלומי הורים ומלגות להורים (5) '!B255,'דוח הוצאות בפועל (4)'!$D$17:$D$3016,"מלגות להורים")</f>
        <v>0</v>
      </c>
      <c r="E255" s="219">
        <f t="shared" si="7"/>
        <v>0</v>
      </c>
      <c r="F255" s="704"/>
      <c r="G255" s="705"/>
      <c r="H255" s="705"/>
      <c r="I255" s="705"/>
      <c r="K255" s="220">
        <f>IFERROR(VLOOKUP(B255,'דוח ביצוע (3)'!B:J,8,0),0)</f>
        <v>0</v>
      </c>
      <c r="L255" s="220">
        <f t="shared" si="8"/>
        <v>0</v>
      </c>
      <c r="M255" s="705"/>
    </row>
    <row r="256" spans="1:13" ht="19.5" customHeight="1" x14ac:dyDescent="0.25">
      <c r="A256" s="280">
        <v>239</v>
      </c>
      <c r="B256" s="703" t="str">
        <f>IF(VLOOKUP(A256,'דוח ביצוע (3)'!A:G,2,0)="","",VLOOKUP('תשלומי הורים ומלגות להורים (5) '!A256,'דוח ביצוע (3)'!A:G,2,0))</f>
        <v/>
      </c>
      <c r="C256" s="849"/>
      <c r="D256" s="219">
        <f>SUMIFS('דוח הוצאות בפועל (4)'!$E$17:$E$3016,'דוח הוצאות בפועל (4)'!$B$17:$B$3016,'תשלומי הורים ומלגות להורים (5) '!B256,'דוח הוצאות בפועל (4)'!$D$17:$D$3016,"מלגות להורים")</f>
        <v>0</v>
      </c>
      <c r="E256" s="219">
        <f t="shared" si="7"/>
        <v>0</v>
      </c>
      <c r="F256" s="704"/>
      <c r="G256" s="705"/>
      <c r="H256" s="705"/>
      <c r="I256" s="705"/>
      <c r="K256" s="220">
        <f>IFERROR(VLOOKUP(B256,'דוח ביצוע (3)'!B:J,8,0),0)</f>
        <v>0</v>
      </c>
      <c r="L256" s="220">
        <f t="shared" si="8"/>
        <v>0</v>
      </c>
      <c r="M256" s="705"/>
    </row>
    <row r="257" spans="1:13" ht="19.5" customHeight="1" x14ac:dyDescent="0.25">
      <c r="A257" s="280">
        <v>240</v>
      </c>
      <c r="B257" s="703" t="str">
        <f>IF(VLOOKUP(A257,'דוח ביצוע (3)'!A:G,2,0)="","",VLOOKUP('תשלומי הורים ומלגות להורים (5) '!A257,'דוח ביצוע (3)'!A:G,2,0))</f>
        <v/>
      </c>
      <c r="C257" s="849"/>
      <c r="D257" s="219">
        <f>SUMIFS('דוח הוצאות בפועל (4)'!$E$17:$E$3016,'דוח הוצאות בפועל (4)'!$B$17:$B$3016,'תשלומי הורים ומלגות להורים (5) '!B257,'דוח הוצאות בפועל (4)'!$D$17:$D$3016,"מלגות להורים")</f>
        <v>0</v>
      </c>
      <c r="E257" s="219">
        <f t="shared" si="7"/>
        <v>0</v>
      </c>
      <c r="F257" s="704"/>
      <c r="G257" s="705"/>
      <c r="H257" s="705"/>
      <c r="I257" s="705"/>
      <c r="K257" s="220">
        <f>IFERROR(VLOOKUP(B257,'דוח ביצוע (3)'!B:J,8,0),0)</f>
        <v>0</v>
      </c>
      <c r="L257" s="220">
        <f t="shared" si="8"/>
        <v>0</v>
      </c>
      <c r="M257" s="705"/>
    </row>
    <row r="258" spans="1:13" ht="19.5" customHeight="1" x14ac:dyDescent="0.25">
      <c r="A258" s="280">
        <v>241</v>
      </c>
      <c r="B258" s="703" t="str">
        <f>IF(VLOOKUP(A258,'דוח ביצוע (3)'!A:G,2,0)="","",VLOOKUP('תשלומי הורים ומלגות להורים (5) '!A258,'דוח ביצוע (3)'!A:G,2,0))</f>
        <v/>
      </c>
      <c r="C258" s="849"/>
      <c r="D258" s="219">
        <f>SUMIFS('דוח הוצאות בפועל (4)'!$E$17:$E$3016,'דוח הוצאות בפועל (4)'!$B$17:$B$3016,'תשלומי הורים ומלגות להורים (5) '!B258,'דוח הוצאות בפועל (4)'!$D$17:$D$3016,"מלגות להורים")</f>
        <v>0</v>
      </c>
      <c r="E258" s="219">
        <f t="shared" si="7"/>
        <v>0</v>
      </c>
      <c r="F258" s="704"/>
      <c r="G258" s="705"/>
      <c r="H258" s="705"/>
      <c r="I258" s="705"/>
      <c r="K258" s="220">
        <f>IFERROR(VLOOKUP(B258,'דוח ביצוע (3)'!B:J,8,0),0)</f>
        <v>0</v>
      </c>
      <c r="L258" s="220">
        <f t="shared" si="8"/>
        <v>0</v>
      </c>
      <c r="M258" s="705"/>
    </row>
    <row r="259" spans="1:13" ht="19.5" customHeight="1" x14ac:dyDescent="0.25">
      <c r="A259" s="280">
        <v>242</v>
      </c>
      <c r="B259" s="703" t="str">
        <f>IF(VLOOKUP(A259,'דוח ביצוע (3)'!A:G,2,0)="","",VLOOKUP('תשלומי הורים ומלגות להורים (5) '!A259,'דוח ביצוע (3)'!A:G,2,0))</f>
        <v/>
      </c>
      <c r="C259" s="849"/>
      <c r="D259" s="219">
        <f>SUMIFS('דוח הוצאות בפועל (4)'!$E$17:$E$3016,'דוח הוצאות בפועל (4)'!$B$17:$B$3016,'תשלומי הורים ומלגות להורים (5) '!B259,'דוח הוצאות בפועל (4)'!$D$17:$D$3016,"מלגות להורים")</f>
        <v>0</v>
      </c>
      <c r="E259" s="219">
        <f t="shared" si="7"/>
        <v>0</v>
      </c>
      <c r="F259" s="704"/>
      <c r="G259" s="705"/>
      <c r="H259" s="705"/>
      <c r="I259" s="705"/>
      <c r="K259" s="220">
        <f>IFERROR(VLOOKUP(B259,'דוח ביצוע (3)'!B:J,8,0),0)</f>
        <v>0</v>
      </c>
      <c r="L259" s="220">
        <f t="shared" si="8"/>
        <v>0</v>
      </c>
      <c r="M259" s="705"/>
    </row>
    <row r="260" spans="1:13" ht="19.5" customHeight="1" x14ac:dyDescent="0.25">
      <c r="A260" s="280">
        <v>243</v>
      </c>
      <c r="B260" s="703" t="str">
        <f>IF(VLOOKUP(A260,'דוח ביצוע (3)'!A:G,2,0)="","",VLOOKUP('תשלומי הורים ומלגות להורים (5) '!A260,'דוח ביצוע (3)'!A:G,2,0))</f>
        <v/>
      </c>
      <c r="C260" s="849"/>
      <c r="D260" s="219">
        <f>SUMIFS('דוח הוצאות בפועל (4)'!$E$17:$E$3016,'דוח הוצאות בפועל (4)'!$B$17:$B$3016,'תשלומי הורים ומלגות להורים (5) '!B260,'דוח הוצאות בפועל (4)'!$D$17:$D$3016,"מלגות להורים")</f>
        <v>0</v>
      </c>
      <c r="E260" s="219">
        <f t="shared" si="7"/>
        <v>0</v>
      </c>
      <c r="F260" s="704"/>
      <c r="G260" s="705"/>
      <c r="H260" s="705"/>
      <c r="I260" s="705"/>
      <c r="K260" s="220">
        <f>IFERROR(VLOOKUP(B260,'דוח ביצוע (3)'!B:J,8,0),0)</f>
        <v>0</v>
      </c>
      <c r="L260" s="220">
        <f t="shared" si="8"/>
        <v>0</v>
      </c>
      <c r="M260" s="705"/>
    </row>
    <row r="261" spans="1:13" ht="19.5" customHeight="1" x14ac:dyDescent="0.25">
      <c r="A261" s="280">
        <v>244</v>
      </c>
      <c r="B261" s="703" t="str">
        <f>IF(VLOOKUP(A261,'דוח ביצוע (3)'!A:G,2,0)="","",VLOOKUP('תשלומי הורים ומלגות להורים (5) '!A261,'דוח ביצוע (3)'!A:G,2,0))</f>
        <v/>
      </c>
      <c r="C261" s="849"/>
      <c r="D261" s="219">
        <f>SUMIFS('דוח הוצאות בפועל (4)'!$E$17:$E$3016,'דוח הוצאות בפועל (4)'!$B$17:$B$3016,'תשלומי הורים ומלגות להורים (5) '!B261,'דוח הוצאות בפועל (4)'!$D$17:$D$3016,"מלגות להורים")</f>
        <v>0</v>
      </c>
      <c r="E261" s="219">
        <f t="shared" si="7"/>
        <v>0</v>
      </c>
      <c r="F261" s="704"/>
      <c r="G261" s="705"/>
      <c r="H261" s="705"/>
      <c r="I261" s="705"/>
      <c r="K261" s="220">
        <f>IFERROR(VLOOKUP(B261,'דוח ביצוע (3)'!B:J,8,0),0)</f>
        <v>0</v>
      </c>
      <c r="L261" s="220">
        <f t="shared" si="8"/>
        <v>0</v>
      </c>
      <c r="M261" s="705"/>
    </row>
    <row r="262" spans="1:13" ht="19.5" customHeight="1" x14ac:dyDescent="0.25">
      <c r="A262" s="280">
        <v>245</v>
      </c>
      <c r="B262" s="703" t="str">
        <f>IF(VLOOKUP(A262,'דוח ביצוע (3)'!A:G,2,0)="","",VLOOKUP('תשלומי הורים ומלגות להורים (5) '!A262,'דוח ביצוע (3)'!A:G,2,0))</f>
        <v/>
      </c>
      <c r="C262" s="849"/>
      <c r="D262" s="219">
        <f>SUMIFS('דוח הוצאות בפועל (4)'!$E$17:$E$3016,'דוח הוצאות בפועל (4)'!$B$17:$B$3016,'תשלומי הורים ומלגות להורים (5) '!B262,'דוח הוצאות בפועל (4)'!$D$17:$D$3016,"מלגות להורים")</f>
        <v>0</v>
      </c>
      <c r="E262" s="219">
        <f t="shared" si="7"/>
        <v>0</v>
      </c>
      <c r="F262" s="704"/>
      <c r="G262" s="705"/>
      <c r="H262" s="705"/>
      <c r="I262" s="705"/>
      <c r="K262" s="220">
        <f>IFERROR(VLOOKUP(B262,'דוח ביצוע (3)'!B:J,8,0),0)</f>
        <v>0</v>
      </c>
      <c r="L262" s="220">
        <f t="shared" si="8"/>
        <v>0</v>
      </c>
      <c r="M262" s="705"/>
    </row>
    <row r="263" spans="1:13" ht="19.5" customHeight="1" x14ac:dyDescent="0.25">
      <c r="A263" s="280">
        <v>246</v>
      </c>
      <c r="B263" s="703" t="str">
        <f>IF(VLOOKUP(A263,'דוח ביצוע (3)'!A:G,2,0)="","",VLOOKUP('תשלומי הורים ומלגות להורים (5) '!A263,'דוח ביצוע (3)'!A:G,2,0))</f>
        <v/>
      </c>
      <c r="C263" s="849"/>
      <c r="D263" s="219">
        <f>SUMIFS('דוח הוצאות בפועל (4)'!$E$17:$E$3016,'דוח הוצאות בפועל (4)'!$B$17:$B$3016,'תשלומי הורים ומלגות להורים (5) '!B263,'דוח הוצאות בפועל (4)'!$D$17:$D$3016,"מלגות להורים")</f>
        <v>0</v>
      </c>
      <c r="E263" s="219">
        <f t="shared" si="7"/>
        <v>0</v>
      </c>
      <c r="F263" s="704"/>
      <c r="G263" s="705"/>
      <c r="H263" s="705"/>
      <c r="I263" s="705"/>
      <c r="K263" s="220">
        <f>IFERROR(VLOOKUP(B263,'דוח ביצוע (3)'!B:J,8,0),0)</f>
        <v>0</v>
      </c>
      <c r="L263" s="220">
        <f t="shared" si="8"/>
        <v>0</v>
      </c>
      <c r="M263" s="705"/>
    </row>
    <row r="264" spans="1:13" ht="19.5" customHeight="1" x14ac:dyDescent="0.25">
      <c r="A264" s="280">
        <v>247</v>
      </c>
      <c r="B264" s="703" t="str">
        <f>IF(VLOOKUP(A264,'דוח ביצוע (3)'!A:G,2,0)="","",VLOOKUP('תשלומי הורים ומלגות להורים (5) '!A264,'דוח ביצוע (3)'!A:G,2,0))</f>
        <v/>
      </c>
      <c r="C264" s="849"/>
      <c r="D264" s="219">
        <f>SUMIFS('דוח הוצאות בפועל (4)'!$E$17:$E$3016,'דוח הוצאות בפועל (4)'!$B$17:$B$3016,'תשלומי הורים ומלגות להורים (5) '!B264,'דוח הוצאות בפועל (4)'!$D$17:$D$3016,"מלגות להורים")</f>
        <v>0</v>
      </c>
      <c r="E264" s="219">
        <f t="shared" si="7"/>
        <v>0</v>
      </c>
      <c r="F264" s="704"/>
      <c r="G264" s="705"/>
      <c r="H264" s="705"/>
      <c r="I264" s="705"/>
      <c r="K264" s="220">
        <f>IFERROR(VLOOKUP(B264,'דוח ביצוע (3)'!B:J,8,0),0)</f>
        <v>0</v>
      </c>
      <c r="L264" s="220">
        <f t="shared" si="8"/>
        <v>0</v>
      </c>
      <c r="M264" s="705"/>
    </row>
    <row r="265" spans="1:13" ht="19.5" customHeight="1" x14ac:dyDescent="0.25">
      <c r="A265" s="280">
        <v>248</v>
      </c>
      <c r="B265" s="703" t="str">
        <f>IF(VLOOKUP(A265,'דוח ביצוע (3)'!A:G,2,0)="","",VLOOKUP('תשלומי הורים ומלגות להורים (5) '!A265,'דוח ביצוע (3)'!A:G,2,0))</f>
        <v/>
      </c>
      <c r="C265" s="849"/>
      <c r="D265" s="219">
        <f>SUMIFS('דוח הוצאות בפועל (4)'!$E$17:$E$3016,'דוח הוצאות בפועל (4)'!$B$17:$B$3016,'תשלומי הורים ומלגות להורים (5) '!B265,'דוח הוצאות בפועל (4)'!$D$17:$D$3016,"מלגות להורים")</f>
        <v>0</v>
      </c>
      <c r="E265" s="219">
        <f t="shared" si="7"/>
        <v>0</v>
      </c>
      <c r="F265" s="704"/>
      <c r="G265" s="705"/>
      <c r="H265" s="705"/>
      <c r="I265" s="705"/>
      <c r="K265" s="220">
        <f>IFERROR(VLOOKUP(B265,'דוח ביצוע (3)'!B:J,8,0),0)</f>
        <v>0</v>
      </c>
      <c r="L265" s="220">
        <f t="shared" si="8"/>
        <v>0</v>
      </c>
      <c r="M265" s="705"/>
    </row>
    <row r="266" spans="1:13" ht="19.5" customHeight="1" x14ac:dyDescent="0.25">
      <c r="A266" s="280">
        <v>249</v>
      </c>
      <c r="B266" s="703" t="str">
        <f>IF(VLOOKUP(A266,'דוח ביצוע (3)'!A:G,2,0)="","",VLOOKUP('תשלומי הורים ומלגות להורים (5) '!A266,'דוח ביצוע (3)'!A:G,2,0))</f>
        <v/>
      </c>
      <c r="C266" s="849"/>
      <c r="D266" s="219">
        <f>SUMIFS('דוח הוצאות בפועל (4)'!$E$17:$E$3016,'דוח הוצאות בפועל (4)'!$B$17:$B$3016,'תשלומי הורים ומלגות להורים (5) '!B266,'דוח הוצאות בפועל (4)'!$D$17:$D$3016,"מלגות להורים")</f>
        <v>0</v>
      </c>
      <c r="E266" s="219">
        <f t="shared" si="7"/>
        <v>0</v>
      </c>
      <c r="F266" s="704"/>
      <c r="G266" s="705"/>
      <c r="H266" s="705"/>
      <c r="I266" s="705"/>
      <c r="K266" s="220">
        <f>IFERROR(VLOOKUP(B266,'דוח ביצוע (3)'!B:J,8,0),0)</f>
        <v>0</v>
      </c>
      <c r="L266" s="220">
        <f t="shared" si="8"/>
        <v>0</v>
      </c>
      <c r="M266" s="705"/>
    </row>
    <row r="267" spans="1:13" ht="19.5" customHeight="1" x14ac:dyDescent="0.25">
      <c r="A267" s="280">
        <v>250</v>
      </c>
      <c r="B267" s="703" t="str">
        <f>IF(VLOOKUP(A267,'דוח ביצוע (3)'!A:G,2,0)="","",VLOOKUP('תשלומי הורים ומלגות להורים (5) '!A267,'דוח ביצוע (3)'!A:G,2,0))</f>
        <v/>
      </c>
      <c r="C267" s="849"/>
      <c r="D267" s="219">
        <f>SUMIFS('דוח הוצאות בפועל (4)'!$E$17:$E$3016,'דוח הוצאות בפועל (4)'!$B$17:$B$3016,'תשלומי הורים ומלגות להורים (5) '!B267,'דוח הוצאות בפועל (4)'!$D$17:$D$3016,"מלגות להורים")</f>
        <v>0</v>
      </c>
      <c r="E267" s="219">
        <f t="shared" si="7"/>
        <v>0</v>
      </c>
      <c r="F267" s="704"/>
      <c r="G267" s="705"/>
      <c r="H267" s="705"/>
      <c r="I267" s="705"/>
      <c r="K267" s="220">
        <f>IFERROR(VLOOKUP(B267,'דוח ביצוע (3)'!B:J,8,0),0)</f>
        <v>0</v>
      </c>
      <c r="L267" s="220">
        <f t="shared" si="8"/>
        <v>0</v>
      </c>
      <c r="M267" s="705"/>
    </row>
    <row r="268" spans="1:13" ht="19.5" customHeight="1" x14ac:dyDescent="0.25">
      <c r="A268" s="280">
        <v>251</v>
      </c>
      <c r="B268" s="703" t="str">
        <f>IF(VLOOKUP(A268,'דוח ביצוע (3)'!A:G,2,0)="","",VLOOKUP('תשלומי הורים ומלגות להורים (5) '!A268,'דוח ביצוע (3)'!A:G,2,0))</f>
        <v/>
      </c>
      <c r="C268" s="849"/>
      <c r="D268" s="219">
        <f>SUMIFS('דוח הוצאות בפועל (4)'!$E$17:$E$3016,'דוח הוצאות בפועל (4)'!$B$17:$B$3016,'תשלומי הורים ומלגות להורים (5) '!B268,'דוח הוצאות בפועל (4)'!$D$17:$D$3016,"מלגות להורים")</f>
        <v>0</v>
      </c>
      <c r="E268" s="219">
        <f t="shared" si="7"/>
        <v>0</v>
      </c>
      <c r="F268" s="704"/>
      <c r="G268" s="705"/>
      <c r="H268" s="705"/>
      <c r="I268" s="705"/>
      <c r="K268" s="220">
        <f>IFERROR(VLOOKUP(B268,'דוח ביצוע (3)'!B:J,8,0),0)</f>
        <v>0</v>
      </c>
      <c r="L268" s="220">
        <f t="shared" si="8"/>
        <v>0</v>
      </c>
      <c r="M268" s="705"/>
    </row>
    <row r="269" spans="1:13" ht="19.5" customHeight="1" x14ac:dyDescent="0.25">
      <c r="A269" s="280">
        <v>252</v>
      </c>
      <c r="B269" s="703" t="str">
        <f>IF(VLOOKUP(A269,'דוח ביצוע (3)'!A:G,2,0)="","",VLOOKUP('תשלומי הורים ומלגות להורים (5) '!A269,'דוח ביצוע (3)'!A:G,2,0))</f>
        <v/>
      </c>
      <c r="C269" s="849"/>
      <c r="D269" s="219">
        <f>SUMIFS('דוח הוצאות בפועל (4)'!$E$17:$E$3016,'דוח הוצאות בפועל (4)'!$B$17:$B$3016,'תשלומי הורים ומלגות להורים (5) '!B269,'דוח הוצאות בפועל (4)'!$D$17:$D$3016,"מלגות להורים")</f>
        <v>0</v>
      </c>
      <c r="E269" s="219">
        <f t="shared" si="7"/>
        <v>0</v>
      </c>
      <c r="F269" s="704"/>
      <c r="G269" s="705"/>
      <c r="H269" s="705"/>
      <c r="I269" s="705"/>
      <c r="K269" s="220">
        <f>IFERROR(VLOOKUP(B269,'דוח ביצוע (3)'!B:J,8,0),0)</f>
        <v>0</v>
      </c>
      <c r="L269" s="220">
        <f t="shared" si="8"/>
        <v>0</v>
      </c>
      <c r="M269" s="705"/>
    </row>
    <row r="270" spans="1:13" ht="19.5" customHeight="1" x14ac:dyDescent="0.25">
      <c r="A270" s="280">
        <v>253</v>
      </c>
      <c r="B270" s="703" t="str">
        <f>IF(VLOOKUP(A270,'דוח ביצוע (3)'!A:G,2,0)="","",VLOOKUP('תשלומי הורים ומלגות להורים (5) '!A270,'דוח ביצוע (3)'!A:G,2,0))</f>
        <v/>
      </c>
      <c r="C270" s="849"/>
      <c r="D270" s="219">
        <f>SUMIFS('דוח הוצאות בפועל (4)'!$E$17:$E$3016,'דוח הוצאות בפועל (4)'!$B$17:$B$3016,'תשלומי הורים ומלגות להורים (5) '!B270,'דוח הוצאות בפועל (4)'!$D$17:$D$3016,"מלגות להורים")</f>
        <v>0</v>
      </c>
      <c r="E270" s="219">
        <f t="shared" si="7"/>
        <v>0</v>
      </c>
      <c r="F270" s="704"/>
      <c r="G270" s="705"/>
      <c r="H270" s="705"/>
      <c r="I270" s="705"/>
      <c r="K270" s="220">
        <f>IFERROR(VLOOKUP(B270,'דוח ביצוע (3)'!B:J,8,0),0)</f>
        <v>0</v>
      </c>
      <c r="L270" s="220">
        <f t="shared" si="8"/>
        <v>0</v>
      </c>
      <c r="M270" s="705"/>
    </row>
    <row r="271" spans="1:13" ht="19.5" customHeight="1" x14ac:dyDescent="0.25">
      <c r="A271" s="280">
        <v>254</v>
      </c>
      <c r="B271" s="703" t="str">
        <f>IF(VLOOKUP(A271,'דוח ביצוע (3)'!A:G,2,0)="","",VLOOKUP('תשלומי הורים ומלגות להורים (5) '!A271,'דוח ביצוע (3)'!A:G,2,0))</f>
        <v/>
      </c>
      <c r="C271" s="849"/>
      <c r="D271" s="219">
        <f>SUMIFS('דוח הוצאות בפועל (4)'!$E$17:$E$3016,'דוח הוצאות בפועל (4)'!$B$17:$B$3016,'תשלומי הורים ומלגות להורים (5) '!B271,'דוח הוצאות בפועל (4)'!$D$17:$D$3016,"מלגות להורים")</f>
        <v>0</v>
      </c>
      <c r="E271" s="219">
        <f t="shared" si="7"/>
        <v>0</v>
      </c>
      <c r="F271" s="704"/>
      <c r="G271" s="705"/>
      <c r="H271" s="705"/>
      <c r="I271" s="705"/>
      <c r="K271" s="220">
        <f>IFERROR(VLOOKUP(B271,'דוח ביצוע (3)'!B:J,8,0),0)</f>
        <v>0</v>
      </c>
      <c r="L271" s="220">
        <f t="shared" si="8"/>
        <v>0</v>
      </c>
      <c r="M271" s="705"/>
    </row>
    <row r="272" spans="1:13" ht="19.5" customHeight="1" x14ac:dyDescent="0.25">
      <c r="A272" s="280">
        <v>255</v>
      </c>
      <c r="B272" s="703" t="str">
        <f>IF(VLOOKUP(A272,'דוח ביצוע (3)'!A:G,2,0)="","",VLOOKUP('תשלומי הורים ומלגות להורים (5) '!A272,'דוח ביצוע (3)'!A:G,2,0))</f>
        <v/>
      </c>
      <c r="C272" s="849"/>
      <c r="D272" s="219">
        <f>SUMIFS('דוח הוצאות בפועל (4)'!$E$17:$E$3016,'דוח הוצאות בפועל (4)'!$B$17:$B$3016,'תשלומי הורים ומלגות להורים (5) '!B272,'דוח הוצאות בפועל (4)'!$D$17:$D$3016,"מלגות להורים")</f>
        <v>0</v>
      </c>
      <c r="E272" s="219">
        <f t="shared" si="7"/>
        <v>0</v>
      </c>
      <c r="F272" s="704"/>
      <c r="G272" s="705"/>
      <c r="H272" s="705"/>
      <c r="I272" s="705"/>
      <c r="K272" s="220">
        <f>IFERROR(VLOOKUP(B272,'דוח ביצוע (3)'!B:J,8,0),0)</f>
        <v>0</v>
      </c>
      <c r="L272" s="220">
        <f t="shared" si="8"/>
        <v>0</v>
      </c>
      <c r="M272" s="705"/>
    </row>
    <row r="273" spans="1:13" ht="19.5" customHeight="1" x14ac:dyDescent="0.25">
      <c r="A273" s="280">
        <v>256</v>
      </c>
      <c r="B273" s="703" t="str">
        <f>IF(VLOOKUP(A273,'דוח ביצוע (3)'!A:G,2,0)="","",VLOOKUP('תשלומי הורים ומלגות להורים (5) '!A273,'דוח ביצוע (3)'!A:G,2,0))</f>
        <v/>
      </c>
      <c r="C273" s="849"/>
      <c r="D273" s="219">
        <f>SUMIFS('דוח הוצאות בפועל (4)'!$E$17:$E$3016,'דוח הוצאות בפועל (4)'!$B$17:$B$3016,'תשלומי הורים ומלגות להורים (5) '!B273,'דוח הוצאות בפועל (4)'!$D$17:$D$3016,"מלגות להורים")</f>
        <v>0</v>
      </c>
      <c r="E273" s="219">
        <f t="shared" si="7"/>
        <v>0</v>
      </c>
      <c r="F273" s="704"/>
      <c r="G273" s="705"/>
      <c r="H273" s="705"/>
      <c r="I273" s="705"/>
      <c r="K273" s="220">
        <f>IFERROR(VLOOKUP(B273,'דוח ביצוע (3)'!B:J,8,0),0)</f>
        <v>0</v>
      </c>
      <c r="L273" s="220">
        <f t="shared" si="8"/>
        <v>0</v>
      </c>
      <c r="M273" s="705"/>
    </row>
    <row r="274" spans="1:13" ht="19.5" customHeight="1" x14ac:dyDescent="0.25">
      <c r="A274" s="280">
        <v>257</v>
      </c>
      <c r="B274" s="703" t="str">
        <f>IF(VLOOKUP(A274,'דוח ביצוע (3)'!A:G,2,0)="","",VLOOKUP('תשלומי הורים ומלגות להורים (5) '!A274,'דוח ביצוע (3)'!A:G,2,0))</f>
        <v/>
      </c>
      <c r="C274" s="849"/>
      <c r="D274" s="219">
        <f>SUMIFS('דוח הוצאות בפועל (4)'!$E$17:$E$3016,'דוח הוצאות בפועל (4)'!$B$17:$B$3016,'תשלומי הורים ומלגות להורים (5) '!B274,'דוח הוצאות בפועל (4)'!$D$17:$D$3016,"מלגות להורים")</f>
        <v>0</v>
      </c>
      <c r="E274" s="219">
        <f t="shared" si="7"/>
        <v>0</v>
      </c>
      <c r="F274" s="704"/>
      <c r="G274" s="705"/>
      <c r="H274" s="705"/>
      <c r="I274" s="705"/>
      <c r="K274" s="220">
        <f>IFERROR(VLOOKUP(B274,'דוח ביצוע (3)'!B:J,8,0),0)</f>
        <v>0</v>
      </c>
      <c r="L274" s="220">
        <f t="shared" si="8"/>
        <v>0</v>
      </c>
      <c r="M274" s="705"/>
    </row>
    <row r="275" spans="1:13" ht="19.5" customHeight="1" x14ac:dyDescent="0.25">
      <c r="A275" s="280">
        <v>258</v>
      </c>
      <c r="B275" s="703" t="str">
        <f>IF(VLOOKUP(A275,'דוח ביצוע (3)'!A:G,2,0)="","",VLOOKUP('תשלומי הורים ומלגות להורים (5) '!A275,'דוח ביצוע (3)'!A:G,2,0))</f>
        <v/>
      </c>
      <c r="C275" s="849"/>
      <c r="D275" s="219">
        <f>SUMIFS('דוח הוצאות בפועל (4)'!$E$17:$E$3016,'דוח הוצאות בפועל (4)'!$B$17:$B$3016,'תשלומי הורים ומלגות להורים (5) '!B275,'דוח הוצאות בפועל (4)'!$D$17:$D$3016,"מלגות להורים")</f>
        <v>0</v>
      </c>
      <c r="E275" s="219">
        <f t="shared" ref="E275:E338" si="9">C275-D275</f>
        <v>0</v>
      </c>
      <c r="F275" s="704"/>
      <c r="G275" s="705"/>
      <c r="H275" s="705"/>
      <c r="I275" s="705"/>
      <c r="K275" s="220">
        <f>IFERROR(VLOOKUP(B275,'דוח ביצוע (3)'!B:J,8,0),0)</f>
        <v>0</v>
      </c>
      <c r="L275" s="220">
        <f t="shared" ref="L275:L338" si="10">IFERROR(C275/I275-$C$5,0)</f>
        <v>0</v>
      </c>
      <c r="M275" s="705"/>
    </row>
    <row r="276" spans="1:13" ht="19.5" customHeight="1" x14ac:dyDescent="0.25">
      <c r="A276" s="280">
        <v>259</v>
      </c>
      <c r="B276" s="703" t="str">
        <f>IF(VLOOKUP(A276,'דוח ביצוע (3)'!A:G,2,0)="","",VLOOKUP('תשלומי הורים ומלגות להורים (5) '!A276,'דוח ביצוע (3)'!A:G,2,0))</f>
        <v/>
      </c>
      <c r="C276" s="849"/>
      <c r="D276" s="219">
        <f>SUMIFS('דוח הוצאות בפועל (4)'!$E$17:$E$3016,'דוח הוצאות בפועל (4)'!$B$17:$B$3016,'תשלומי הורים ומלגות להורים (5) '!B276,'דוח הוצאות בפועל (4)'!$D$17:$D$3016,"מלגות להורים")</f>
        <v>0</v>
      </c>
      <c r="E276" s="219">
        <f t="shared" si="9"/>
        <v>0</v>
      </c>
      <c r="F276" s="704"/>
      <c r="G276" s="705"/>
      <c r="H276" s="705"/>
      <c r="I276" s="705"/>
      <c r="K276" s="220">
        <f>IFERROR(VLOOKUP(B276,'דוח ביצוע (3)'!B:J,8,0),0)</f>
        <v>0</v>
      </c>
      <c r="L276" s="220">
        <f t="shared" si="10"/>
        <v>0</v>
      </c>
      <c r="M276" s="705"/>
    </row>
    <row r="277" spans="1:13" ht="19.5" customHeight="1" x14ac:dyDescent="0.25">
      <c r="A277" s="280">
        <v>260</v>
      </c>
      <c r="B277" s="703" t="str">
        <f>IF(VLOOKUP(A277,'דוח ביצוע (3)'!A:G,2,0)="","",VLOOKUP('תשלומי הורים ומלגות להורים (5) '!A277,'דוח ביצוע (3)'!A:G,2,0))</f>
        <v/>
      </c>
      <c r="C277" s="849"/>
      <c r="D277" s="219">
        <f>SUMIFS('דוח הוצאות בפועל (4)'!$E$17:$E$3016,'דוח הוצאות בפועל (4)'!$B$17:$B$3016,'תשלומי הורים ומלגות להורים (5) '!B277,'דוח הוצאות בפועל (4)'!$D$17:$D$3016,"מלגות להורים")</f>
        <v>0</v>
      </c>
      <c r="E277" s="219">
        <f t="shared" si="9"/>
        <v>0</v>
      </c>
      <c r="F277" s="704"/>
      <c r="G277" s="705"/>
      <c r="H277" s="705"/>
      <c r="I277" s="705"/>
      <c r="K277" s="220">
        <f>IFERROR(VLOOKUP(B277,'דוח ביצוע (3)'!B:J,8,0),0)</f>
        <v>0</v>
      </c>
      <c r="L277" s="220">
        <f t="shared" si="10"/>
        <v>0</v>
      </c>
      <c r="M277" s="705"/>
    </row>
    <row r="278" spans="1:13" ht="19.5" customHeight="1" x14ac:dyDescent="0.25">
      <c r="A278" s="280">
        <v>261</v>
      </c>
      <c r="B278" s="703" t="str">
        <f>IF(VLOOKUP(A278,'דוח ביצוע (3)'!A:G,2,0)="","",VLOOKUP('תשלומי הורים ומלגות להורים (5) '!A278,'דוח ביצוע (3)'!A:G,2,0))</f>
        <v/>
      </c>
      <c r="C278" s="849"/>
      <c r="D278" s="219">
        <f>SUMIFS('דוח הוצאות בפועל (4)'!$E$17:$E$3016,'דוח הוצאות בפועל (4)'!$B$17:$B$3016,'תשלומי הורים ומלגות להורים (5) '!B278,'דוח הוצאות בפועל (4)'!$D$17:$D$3016,"מלגות להורים")</f>
        <v>0</v>
      </c>
      <c r="E278" s="219">
        <f t="shared" si="9"/>
        <v>0</v>
      </c>
      <c r="F278" s="704"/>
      <c r="G278" s="705"/>
      <c r="H278" s="705"/>
      <c r="I278" s="705"/>
      <c r="K278" s="220">
        <f>IFERROR(VLOOKUP(B278,'דוח ביצוע (3)'!B:J,8,0),0)</f>
        <v>0</v>
      </c>
      <c r="L278" s="220">
        <f t="shared" si="10"/>
        <v>0</v>
      </c>
      <c r="M278" s="705"/>
    </row>
    <row r="279" spans="1:13" ht="19.5" customHeight="1" x14ac:dyDescent="0.25">
      <c r="A279" s="280">
        <v>262</v>
      </c>
      <c r="B279" s="703" t="str">
        <f>IF(VLOOKUP(A279,'דוח ביצוע (3)'!A:G,2,0)="","",VLOOKUP('תשלומי הורים ומלגות להורים (5) '!A279,'דוח ביצוע (3)'!A:G,2,0))</f>
        <v/>
      </c>
      <c r="C279" s="849"/>
      <c r="D279" s="219">
        <f>SUMIFS('דוח הוצאות בפועל (4)'!$E$17:$E$3016,'דוח הוצאות בפועל (4)'!$B$17:$B$3016,'תשלומי הורים ומלגות להורים (5) '!B279,'דוח הוצאות בפועל (4)'!$D$17:$D$3016,"מלגות להורים")</f>
        <v>0</v>
      </c>
      <c r="E279" s="219">
        <f t="shared" si="9"/>
        <v>0</v>
      </c>
      <c r="F279" s="704"/>
      <c r="G279" s="705"/>
      <c r="H279" s="705"/>
      <c r="I279" s="705"/>
      <c r="K279" s="220">
        <f>IFERROR(VLOOKUP(B279,'דוח ביצוע (3)'!B:J,8,0),0)</f>
        <v>0</v>
      </c>
      <c r="L279" s="220">
        <f t="shared" si="10"/>
        <v>0</v>
      </c>
      <c r="M279" s="705"/>
    </row>
    <row r="280" spans="1:13" ht="19.5" customHeight="1" x14ac:dyDescent="0.25">
      <c r="A280" s="280">
        <v>263</v>
      </c>
      <c r="B280" s="703" t="str">
        <f>IF(VLOOKUP(A280,'דוח ביצוע (3)'!A:G,2,0)="","",VLOOKUP('תשלומי הורים ומלגות להורים (5) '!A280,'דוח ביצוע (3)'!A:G,2,0))</f>
        <v/>
      </c>
      <c r="C280" s="849"/>
      <c r="D280" s="219">
        <f>SUMIFS('דוח הוצאות בפועל (4)'!$E$17:$E$3016,'דוח הוצאות בפועל (4)'!$B$17:$B$3016,'תשלומי הורים ומלגות להורים (5) '!B280,'דוח הוצאות בפועל (4)'!$D$17:$D$3016,"מלגות להורים")</f>
        <v>0</v>
      </c>
      <c r="E280" s="219">
        <f t="shared" si="9"/>
        <v>0</v>
      </c>
      <c r="F280" s="704"/>
      <c r="G280" s="705"/>
      <c r="H280" s="705"/>
      <c r="I280" s="705"/>
      <c r="K280" s="220">
        <f>IFERROR(VLOOKUP(B280,'דוח ביצוע (3)'!B:J,8,0),0)</f>
        <v>0</v>
      </c>
      <c r="L280" s="220">
        <f t="shared" si="10"/>
        <v>0</v>
      </c>
      <c r="M280" s="705"/>
    </row>
    <row r="281" spans="1:13" ht="19.5" customHeight="1" x14ac:dyDescent="0.25">
      <c r="A281" s="280">
        <v>264</v>
      </c>
      <c r="B281" s="703" t="str">
        <f>IF(VLOOKUP(A281,'דוח ביצוע (3)'!A:G,2,0)="","",VLOOKUP('תשלומי הורים ומלגות להורים (5) '!A281,'דוח ביצוע (3)'!A:G,2,0))</f>
        <v/>
      </c>
      <c r="C281" s="849"/>
      <c r="D281" s="219">
        <f>SUMIFS('דוח הוצאות בפועל (4)'!$E$17:$E$3016,'דוח הוצאות בפועל (4)'!$B$17:$B$3016,'תשלומי הורים ומלגות להורים (5) '!B281,'דוח הוצאות בפועל (4)'!$D$17:$D$3016,"מלגות להורים")</f>
        <v>0</v>
      </c>
      <c r="E281" s="219">
        <f t="shared" si="9"/>
        <v>0</v>
      </c>
      <c r="F281" s="704"/>
      <c r="G281" s="705"/>
      <c r="H281" s="705"/>
      <c r="I281" s="705"/>
      <c r="K281" s="220">
        <f>IFERROR(VLOOKUP(B281,'דוח ביצוע (3)'!B:J,8,0),0)</f>
        <v>0</v>
      </c>
      <c r="L281" s="220">
        <f t="shared" si="10"/>
        <v>0</v>
      </c>
      <c r="M281" s="705"/>
    </row>
    <row r="282" spans="1:13" ht="19.5" customHeight="1" x14ac:dyDescent="0.25">
      <c r="A282" s="280">
        <v>265</v>
      </c>
      <c r="B282" s="703" t="str">
        <f>IF(VLOOKUP(A282,'דוח ביצוע (3)'!A:G,2,0)="","",VLOOKUP('תשלומי הורים ומלגות להורים (5) '!A282,'דוח ביצוע (3)'!A:G,2,0))</f>
        <v/>
      </c>
      <c r="C282" s="849"/>
      <c r="D282" s="219">
        <f>SUMIFS('דוח הוצאות בפועל (4)'!$E$17:$E$3016,'דוח הוצאות בפועל (4)'!$B$17:$B$3016,'תשלומי הורים ומלגות להורים (5) '!B282,'דוח הוצאות בפועל (4)'!$D$17:$D$3016,"מלגות להורים")</f>
        <v>0</v>
      </c>
      <c r="E282" s="219">
        <f t="shared" si="9"/>
        <v>0</v>
      </c>
      <c r="F282" s="704"/>
      <c r="G282" s="705"/>
      <c r="H282" s="705"/>
      <c r="I282" s="705"/>
      <c r="K282" s="220">
        <f>IFERROR(VLOOKUP(B282,'דוח ביצוע (3)'!B:J,8,0),0)</f>
        <v>0</v>
      </c>
      <c r="L282" s="220">
        <f t="shared" si="10"/>
        <v>0</v>
      </c>
      <c r="M282" s="705"/>
    </row>
    <row r="283" spans="1:13" ht="19.5" customHeight="1" x14ac:dyDescent="0.25">
      <c r="A283" s="280">
        <v>266</v>
      </c>
      <c r="B283" s="703" t="str">
        <f>IF(VLOOKUP(A283,'דוח ביצוע (3)'!A:G,2,0)="","",VLOOKUP('תשלומי הורים ומלגות להורים (5) '!A283,'דוח ביצוע (3)'!A:G,2,0))</f>
        <v/>
      </c>
      <c r="C283" s="849"/>
      <c r="D283" s="219">
        <f>SUMIFS('דוח הוצאות בפועל (4)'!$E$17:$E$3016,'דוח הוצאות בפועל (4)'!$B$17:$B$3016,'תשלומי הורים ומלגות להורים (5) '!B283,'דוח הוצאות בפועל (4)'!$D$17:$D$3016,"מלגות להורים")</f>
        <v>0</v>
      </c>
      <c r="E283" s="219">
        <f t="shared" si="9"/>
        <v>0</v>
      </c>
      <c r="F283" s="704"/>
      <c r="G283" s="705"/>
      <c r="H283" s="705"/>
      <c r="I283" s="705"/>
      <c r="K283" s="220">
        <f>IFERROR(VLOOKUP(B283,'דוח ביצוע (3)'!B:J,8,0),0)</f>
        <v>0</v>
      </c>
      <c r="L283" s="220">
        <f t="shared" si="10"/>
        <v>0</v>
      </c>
      <c r="M283" s="705"/>
    </row>
    <row r="284" spans="1:13" ht="19.5" customHeight="1" x14ac:dyDescent="0.25">
      <c r="A284" s="280">
        <v>267</v>
      </c>
      <c r="B284" s="703" t="str">
        <f>IF(VLOOKUP(A284,'דוח ביצוע (3)'!A:G,2,0)="","",VLOOKUP('תשלומי הורים ומלגות להורים (5) '!A284,'דוח ביצוע (3)'!A:G,2,0))</f>
        <v/>
      </c>
      <c r="C284" s="849"/>
      <c r="D284" s="219">
        <f>SUMIFS('דוח הוצאות בפועל (4)'!$E$17:$E$3016,'דוח הוצאות בפועל (4)'!$B$17:$B$3016,'תשלומי הורים ומלגות להורים (5) '!B284,'דוח הוצאות בפועל (4)'!$D$17:$D$3016,"מלגות להורים")</f>
        <v>0</v>
      </c>
      <c r="E284" s="219">
        <f t="shared" si="9"/>
        <v>0</v>
      </c>
      <c r="F284" s="704"/>
      <c r="G284" s="705"/>
      <c r="H284" s="705"/>
      <c r="I284" s="705"/>
      <c r="K284" s="220">
        <f>IFERROR(VLOOKUP(B284,'דוח ביצוע (3)'!B:J,8,0),0)</f>
        <v>0</v>
      </c>
      <c r="L284" s="220">
        <f t="shared" si="10"/>
        <v>0</v>
      </c>
      <c r="M284" s="705"/>
    </row>
    <row r="285" spans="1:13" ht="19.5" customHeight="1" x14ac:dyDescent="0.25">
      <c r="A285" s="280">
        <v>268</v>
      </c>
      <c r="B285" s="703" t="str">
        <f>IF(VLOOKUP(A285,'דוח ביצוע (3)'!A:G,2,0)="","",VLOOKUP('תשלומי הורים ומלגות להורים (5) '!A285,'דוח ביצוע (3)'!A:G,2,0))</f>
        <v/>
      </c>
      <c r="C285" s="849"/>
      <c r="D285" s="219">
        <f>SUMIFS('דוח הוצאות בפועל (4)'!$E$17:$E$3016,'דוח הוצאות בפועל (4)'!$B$17:$B$3016,'תשלומי הורים ומלגות להורים (5) '!B285,'דוח הוצאות בפועל (4)'!$D$17:$D$3016,"מלגות להורים")</f>
        <v>0</v>
      </c>
      <c r="E285" s="219">
        <f t="shared" si="9"/>
        <v>0</v>
      </c>
      <c r="F285" s="704"/>
      <c r="G285" s="705"/>
      <c r="H285" s="705"/>
      <c r="I285" s="705"/>
      <c r="K285" s="220">
        <f>IFERROR(VLOOKUP(B285,'דוח ביצוע (3)'!B:J,8,0),0)</f>
        <v>0</v>
      </c>
      <c r="L285" s="220">
        <f t="shared" si="10"/>
        <v>0</v>
      </c>
      <c r="M285" s="705"/>
    </row>
    <row r="286" spans="1:13" ht="19.5" customHeight="1" x14ac:dyDescent="0.25">
      <c r="A286" s="280">
        <v>269</v>
      </c>
      <c r="B286" s="703" t="str">
        <f>IF(VLOOKUP(A286,'דוח ביצוע (3)'!A:G,2,0)="","",VLOOKUP('תשלומי הורים ומלגות להורים (5) '!A286,'דוח ביצוע (3)'!A:G,2,0))</f>
        <v/>
      </c>
      <c r="C286" s="849"/>
      <c r="D286" s="219">
        <f>SUMIFS('דוח הוצאות בפועל (4)'!$E$17:$E$3016,'דוח הוצאות בפועל (4)'!$B$17:$B$3016,'תשלומי הורים ומלגות להורים (5) '!B286,'דוח הוצאות בפועל (4)'!$D$17:$D$3016,"מלגות להורים")</f>
        <v>0</v>
      </c>
      <c r="E286" s="219">
        <f t="shared" si="9"/>
        <v>0</v>
      </c>
      <c r="F286" s="704"/>
      <c r="G286" s="705"/>
      <c r="H286" s="705"/>
      <c r="I286" s="705"/>
      <c r="K286" s="220">
        <f>IFERROR(VLOOKUP(B286,'דוח ביצוע (3)'!B:J,8,0),0)</f>
        <v>0</v>
      </c>
      <c r="L286" s="220">
        <f t="shared" si="10"/>
        <v>0</v>
      </c>
      <c r="M286" s="705"/>
    </row>
    <row r="287" spans="1:13" ht="19.5" customHeight="1" x14ac:dyDescent="0.25">
      <c r="A287" s="280">
        <v>270</v>
      </c>
      <c r="B287" s="703" t="str">
        <f>IF(VLOOKUP(A287,'דוח ביצוע (3)'!A:G,2,0)="","",VLOOKUP('תשלומי הורים ומלגות להורים (5) '!A287,'דוח ביצוע (3)'!A:G,2,0))</f>
        <v/>
      </c>
      <c r="C287" s="849"/>
      <c r="D287" s="219">
        <f>SUMIFS('דוח הוצאות בפועל (4)'!$E$17:$E$3016,'דוח הוצאות בפועל (4)'!$B$17:$B$3016,'תשלומי הורים ומלגות להורים (5) '!B287,'דוח הוצאות בפועל (4)'!$D$17:$D$3016,"מלגות להורים")</f>
        <v>0</v>
      </c>
      <c r="E287" s="219">
        <f t="shared" si="9"/>
        <v>0</v>
      </c>
      <c r="F287" s="704"/>
      <c r="G287" s="705"/>
      <c r="H287" s="705"/>
      <c r="I287" s="705"/>
      <c r="K287" s="220">
        <f>IFERROR(VLOOKUP(B287,'דוח ביצוע (3)'!B:J,8,0),0)</f>
        <v>0</v>
      </c>
      <c r="L287" s="220">
        <f t="shared" si="10"/>
        <v>0</v>
      </c>
      <c r="M287" s="705"/>
    </row>
    <row r="288" spans="1:13" ht="19.5" customHeight="1" x14ac:dyDescent="0.25">
      <c r="A288" s="280">
        <v>271</v>
      </c>
      <c r="B288" s="703" t="str">
        <f>IF(VLOOKUP(A288,'דוח ביצוע (3)'!A:G,2,0)="","",VLOOKUP('תשלומי הורים ומלגות להורים (5) '!A288,'דוח ביצוע (3)'!A:G,2,0))</f>
        <v/>
      </c>
      <c r="C288" s="849"/>
      <c r="D288" s="219">
        <f>SUMIFS('דוח הוצאות בפועל (4)'!$E$17:$E$3016,'דוח הוצאות בפועל (4)'!$B$17:$B$3016,'תשלומי הורים ומלגות להורים (5) '!B288,'דוח הוצאות בפועל (4)'!$D$17:$D$3016,"מלגות להורים")</f>
        <v>0</v>
      </c>
      <c r="E288" s="219">
        <f t="shared" si="9"/>
        <v>0</v>
      </c>
      <c r="F288" s="704"/>
      <c r="G288" s="705"/>
      <c r="H288" s="705"/>
      <c r="I288" s="705"/>
      <c r="K288" s="220">
        <f>IFERROR(VLOOKUP(B288,'דוח ביצוע (3)'!B:J,8,0),0)</f>
        <v>0</v>
      </c>
      <c r="L288" s="220">
        <f t="shared" si="10"/>
        <v>0</v>
      </c>
      <c r="M288" s="705"/>
    </row>
    <row r="289" spans="1:13" ht="19.5" customHeight="1" x14ac:dyDescent="0.25">
      <c r="A289" s="280">
        <v>272</v>
      </c>
      <c r="B289" s="703" t="str">
        <f>IF(VLOOKUP(A289,'דוח ביצוע (3)'!A:G,2,0)="","",VLOOKUP('תשלומי הורים ומלגות להורים (5) '!A289,'דוח ביצוע (3)'!A:G,2,0))</f>
        <v/>
      </c>
      <c r="C289" s="849"/>
      <c r="D289" s="219">
        <f>SUMIFS('דוח הוצאות בפועל (4)'!$E$17:$E$3016,'דוח הוצאות בפועל (4)'!$B$17:$B$3016,'תשלומי הורים ומלגות להורים (5) '!B289,'דוח הוצאות בפועל (4)'!$D$17:$D$3016,"מלגות להורים")</f>
        <v>0</v>
      </c>
      <c r="E289" s="219">
        <f t="shared" si="9"/>
        <v>0</v>
      </c>
      <c r="F289" s="704"/>
      <c r="G289" s="705"/>
      <c r="H289" s="705"/>
      <c r="I289" s="705"/>
      <c r="K289" s="220">
        <f>IFERROR(VLOOKUP(B289,'דוח ביצוע (3)'!B:J,8,0),0)</f>
        <v>0</v>
      </c>
      <c r="L289" s="220">
        <f t="shared" si="10"/>
        <v>0</v>
      </c>
      <c r="M289" s="705"/>
    </row>
    <row r="290" spans="1:13" ht="19.5" customHeight="1" x14ac:dyDescent="0.25">
      <c r="A290" s="280">
        <v>273</v>
      </c>
      <c r="B290" s="703" t="str">
        <f>IF(VLOOKUP(A290,'דוח ביצוע (3)'!A:G,2,0)="","",VLOOKUP('תשלומי הורים ומלגות להורים (5) '!A290,'דוח ביצוע (3)'!A:G,2,0))</f>
        <v/>
      </c>
      <c r="C290" s="849"/>
      <c r="D290" s="219">
        <f>SUMIFS('דוח הוצאות בפועל (4)'!$E$17:$E$3016,'דוח הוצאות בפועל (4)'!$B$17:$B$3016,'תשלומי הורים ומלגות להורים (5) '!B290,'דוח הוצאות בפועל (4)'!$D$17:$D$3016,"מלגות להורים")</f>
        <v>0</v>
      </c>
      <c r="E290" s="219">
        <f t="shared" si="9"/>
        <v>0</v>
      </c>
      <c r="F290" s="704"/>
      <c r="G290" s="705"/>
      <c r="H290" s="705"/>
      <c r="I290" s="705"/>
      <c r="K290" s="220">
        <f>IFERROR(VLOOKUP(B290,'דוח ביצוע (3)'!B:J,8,0),0)</f>
        <v>0</v>
      </c>
      <c r="L290" s="220">
        <f t="shared" si="10"/>
        <v>0</v>
      </c>
      <c r="M290" s="705"/>
    </row>
    <row r="291" spans="1:13" ht="19.5" customHeight="1" x14ac:dyDescent="0.25">
      <c r="A291" s="280">
        <v>274</v>
      </c>
      <c r="B291" s="703" t="str">
        <f>IF(VLOOKUP(A291,'דוח ביצוע (3)'!A:G,2,0)="","",VLOOKUP('תשלומי הורים ומלגות להורים (5) '!A291,'דוח ביצוע (3)'!A:G,2,0))</f>
        <v/>
      </c>
      <c r="C291" s="849"/>
      <c r="D291" s="219">
        <f>SUMIFS('דוח הוצאות בפועל (4)'!$E$17:$E$3016,'דוח הוצאות בפועל (4)'!$B$17:$B$3016,'תשלומי הורים ומלגות להורים (5) '!B291,'דוח הוצאות בפועל (4)'!$D$17:$D$3016,"מלגות להורים")</f>
        <v>0</v>
      </c>
      <c r="E291" s="219">
        <f t="shared" si="9"/>
        <v>0</v>
      </c>
      <c r="F291" s="704"/>
      <c r="G291" s="705"/>
      <c r="H291" s="705"/>
      <c r="I291" s="705"/>
      <c r="K291" s="220">
        <f>IFERROR(VLOOKUP(B291,'דוח ביצוע (3)'!B:J,8,0),0)</f>
        <v>0</v>
      </c>
      <c r="L291" s="220">
        <f t="shared" si="10"/>
        <v>0</v>
      </c>
      <c r="M291" s="705"/>
    </row>
    <row r="292" spans="1:13" ht="19.5" customHeight="1" x14ac:dyDescent="0.25">
      <c r="A292" s="280">
        <v>275</v>
      </c>
      <c r="B292" s="703" t="str">
        <f>IF(VLOOKUP(A292,'דוח ביצוע (3)'!A:G,2,0)="","",VLOOKUP('תשלומי הורים ומלגות להורים (5) '!A292,'דוח ביצוע (3)'!A:G,2,0))</f>
        <v/>
      </c>
      <c r="C292" s="849"/>
      <c r="D292" s="219">
        <f>SUMIFS('דוח הוצאות בפועל (4)'!$E$17:$E$3016,'דוח הוצאות בפועל (4)'!$B$17:$B$3016,'תשלומי הורים ומלגות להורים (5) '!B292,'דוח הוצאות בפועל (4)'!$D$17:$D$3016,"מלגות להורים")</f>
        <v>0</v>
      </c>
      <c r="E292" s="219">
        <f t="shared" si="9"/>
        <v>0</v>
      </c>
      <c r="F292" s="704"/>
      <c r="G292" s="705"/>
      <c r="H292" s="705"/>
      <c r="I292" s="705"/>
      <c r="K292" s="220">
        <f>IFERROR(VLOOKUP(B292,'דוח ביצוע (3)'!B:J,8,0),0)</f>
        <v>0</v>
      </c>
      <c r="L292" s="220">
        <f t="shared" si="10"/>
        <v>0</v>
      </c>
      <c r="M292" s="705"/>
    </row>
    <row r="293" spans="1:13" ht="19.5" customHeight="1" x14ac:dyDescent="0.25">
      <c r="A293" s="280">
        <v>276</v>
      </c>
      <c r="B293" s="703" t="str">
        <f>IF(VLOOKUP(A293,'דוח ביצוע (3)'!A:G,2,0)="","",VLOOKUP('תשלומי הורים ומלגות להורים (5) '!A293,'דוח ביצוע (3)'!A:G,2,0))</f>
        <v/>
      </c>
      <c r="C293" s="849"/>
      <c r="D293" s="219">
        <f>SUMIFS('דוח הוצאות בפועל (4)'!$E$17:$E$3016,'דוח הוצאות בפועל (4)'!$B$17:$B$3016,'תשלומי הורים ומלגות להורים (5) '!B293,'דוח הוצאות בפועל (4)'!$D$17:$D$3016,"מלגות להורים")</f>
        <v>0</v>
      </c>
      <c r="E293" s="219">
        <f t="shared" si="9"/>
        <v>0</v>
      </c>
      <c r="F293" s="704"/>
      <c r="G293" s="705"/>
      <c r="H293" s="705"/>
      <c r="I293" s="705"/>
      <c r="K293" s="220">
        <f>IFERROR(VLOOKUP(B293,'דוח ביצוע (3)'!B:J,8,0),0)</f>
        <v>0</v>
      </c>
      <c r="L293" s="220">
        <f t="shared" si="10"/>
        <v>0</v>
      </c>
      <c r="M293" s="705"/>
    </row>
    <row r="294" spans="1:13" ht="19.5" customHeight="1" x14ac:dyDescent="0.25">
      <c r="A294" s="280">
        <v>277</v>
      </c>
      <c r="B294" s="703" t="str">
        <f>IF(VLOOKUP(A294,'דוח ביצוע (3)'!A:G,2,0)="","",VLOOKUP('תשלומי הורים ומלגות להורים (5) '!A294,'דוח ביצוע (3)'!A:G,2,0))</f>
        <v/>
      </c>
      <c r="C294" s="849"/>
      <c r="D294" s="219">
        <f>SUMIFS('דוח הוצאות בפועל (4)'!$E$17:$E$3016,'דוח הוצאות בפועל (4)'!$B$17:$B$3016,'תשלומי הורים ומלגות להורים (5) '!B294,'דוח הוצאות בפועל (4)'!$D$17:$D$3016,"מלגות להורים")</f>
        <v>0</v>
      </c>
      <c r="E294" s="219">
        <f t="shared" si="9"/>
        <v>0</v>
      </c>
      <c r="F294" s="704"/>
      <c r="G294" s="705"/>
      <c r="H294" s="705"/>
      <c r="I294" s="705"/>
      <c r="K294" s="220">
        <f>IFERROR(VLOOKUP(B294,'דוח ביצוע (3)'!B:J,8,0),0)</f>
        <v>0</v>
      </c>
      <c r="L294" s="220">
        <f t="shared" si="10"/>
        <v>0</v>
      </c>
      <c r="M294" s="705"/>
    </row>
    <row r="295" spans="1:13" ht="19.5" customHeight="1" x14ac:dyDescent="0.25">
      <c r="A295" s="280">
        <v>278</v>
      </c>
      <c r="B295" s="703" t="str">
        <f>IF(VLOOKUP(A295,'דוח ביצוע (3)'!A:G,2,0)="","",VLOOKUP('תשלומי הורים ומלגות להורים (5) '!A295,'דוח ביצוע (3)'!A:G,2,0))</f>
        <v/>
      </c>
      <c r="C295" s="849"/>
      <c r="D295" s="219">
        <f>SUMIFS('דוח הוצאות בפועל (4)'!$E$17:$E$3016,'דוח הוצאות בפועל (4)'!$B$17:$B$3016,'תשלומי הורים ומלגות להורים (5) '!B295,'דוח הוצאות בפועל (4)'!$D$17:$D$3016,"מלגות להורים")</f>
        <v>0</v>
      </c>
      <c r="E295" s="219">
        <f t="shared" si="9"/>
        <v>0</v>
      </c>
      <c r="F295" s="704"/>
      <c r="G295" s="705"/>
      <c r="H295" s="705"/>
      <c r="I295" s="705"/>
      <c r="K295" s="220">
        <f>IFERROR(VLOOKUP(B295,'דוח ביצוע (3)'!B:J,8,0),0)</f>
        <v>0</v>
      </c>
      <c r="L295" s="220">
        <f t="shared" si="10"/>
        <v>0</v>
      </c>
      <c r="M295" s="705"/>
    </row>
    <row r="296" spans="1:13" ht="19.5" customHeight="1" x14ac:dyDescent="0.25">
      <c r="A296" s="280">
        <v>279</v>
      </c>
      <c r="B296" s="703" t="str">
        <f>IF(VLOOKUP(A296,'דוח ביצוע (3)'!A:G,2,0)="","",VLOOKUP('תשלומי הורים ומלגות להורים (5) '!A296,'דוח ביצוע (3)'!A:G,2,0))</f>
        <v/>
      </c>
      <c r="C296" s="849"/>
      <c r="D296" s="219">
        <f>SUMIFS('דוח הוצאות בפועל (4)'!$E$17:$E$3016,'דוח הוצאות בפועל (4)'!$B$17:$B$3016,'תשלומי הורים ומלגות להורים (5) '!B296,'דוח הוצאות בפועל (4)'!$D$17:$D$3016,"מלגות להורים")</f>
        <v>0</v>
      </c>
      <c r="E296" s="219">
        <f t="shared" si="9"/>
        <v>0</v>
      </c>
      <c r="F296" s="704"/>
      <c r="G296" s="705"/>
      <c r="H296" s="705"/>
      <c r="I296" s="705"/>
      <c r="K296" s="220">
        <f>IFERROR(VLOOKUP(B296,'דוח ביצוע (3)'!B:J,8,0),0)</f>
        <v>0</v>
      </c>
      <c r="L296" s="220">
        <f t="shared" si="10"/>
        <v>0</v>
      </c>
      <c r="M296" s="705"/>
    </row>
    <row r="297" spans="1:13" ht="19.5" customHeight="1" x14ac:dyDescent="0.25">
      <c r="A297" s="280">
        <v>280</v>
      </c>
      <c r="B297" s="703" t="str">
        <f>IF(VLOOKUP(A297,'דוח ביצוע (3)'!A:G,2,0)="","",VLOOKUP('תשלומי הורים ומלגות להורים (5) '!A297,'דוח ביצוע (3)'!A:G,2,0))</f>
        <v/>
      </c>
      <c r="C297" s="849"/>
      <c r="D297" s="219">
        <f>SUMIFS('דוח הוצאות בפועל (4)'!$E$17:$E$3016,'דוח הוצאות בפועל (4)'!$B$17:$B$3016,'תשלומי הורים ומלגות להורים (5) '!B297,'דוח הוצאות בפועל (4)'!$D$17:$D$3016,"מלגות להורים")</f>
        <v>0</v>
      </c>
      <c r="E297" s="219">
        <f t="shared" si="9"/>
        <v>0</v>
      </c>
      <c r="F297" s="704"/>
      <c r="G297" s="705"/>
      <c r="H297" s="705"/>
      <c r="I297" s="705"/>
      <c r="K297" s="220">
        <f>IFERROR(VLOOKUP(B297,'דוח ביצוע (3)'!B:J,8,0),0)</f>
        <v>0</v>
      </c>
      <c r="L297" s="220">
        <f t="shared" si="10"/>
        <v>0</v>
      </c>
      <c r="M297" s="705"/>
    </row>
    <row r="298" spans="1:13" ht="19.5" customHeight="1" x14ac:dyDescent="0.25">
      <c r="A298" s="280">
        <v>281</v>
      </c>
      <c r="B298" s="703" t="str">
        <f>IF(VLOOKUP(A298,'דוח ביצוע (3)'!A:G,2,0)="","",VLOOKUP('תשלומי הורים ומלגות להורים (5) '!A298,'דוח ביצוע (3)'!A:G,2,0))</f>
        <v/>
      </c>
      <c r="C298" s="849"/>
      <c r="D298" s="219">
        <f>SUMIFS('דוח הוצאות בפועל (4)'!$E$17:$E$3016,'דוח הוצאות בפועל (4)'!$B$17:$B$3016,'תשלומי הורים ומלגות להורים (5) '!B298,'דוח הוצאות בפועל (4)'!$D$17:$D$3016,"מלגות להורים")</f>
        <v>0</v>
      </c>
      <c r="E298" s="219">
        <f t="shared" si="9"/>
        <v>0</v>
      </c>
      <c r="F298" s="704"/>
      <c r="G298" s="705"/>
      <c r="H298" s="705"/>
      <c r="I298" s="705"/>
      <c r="K298" s="220">
        <f>IFERROR(VLOOKUP(B298,'דוח ביצוע (3)'!B:J,8,0),0)</f>
        <v>0</v>
      </c>
      <c r="L298" s="220">
        <f t="shared" si="10"/>
        <v>0</v>
      </c>
      <c r="M298" s="705"/>
    </row>
    <row r="299" spans="1:13" ht="19.5" customHeight="1" x14ac:dyDescent="0.25">
      <c r="A299" s="280">
        <v>282</v>
      </c>
      <c r="B299" s="703" t="str">
        <f>IF(VLOOKUP(A299,'דוח ביצוע (3)'!A:G,2,0)="","",VLOOKUP('תשלומי הורים ומלגות להורים (5) '!A299,'דוח ביצוע (3)'!A:G,2,0))</f>
        <v/>
      </c>
      <c r="C299" s="849"/>
      <c r="D299" s="219">
        <f>SUMIFS('דוח הוצאות בפועל (4)'!$E$17:$E$3016,'דוח הוצאות בפועל (4)'!$B$17:$B$3016,'תשלומי הורים ומלגות להורים (5) '!B299,'דוח הוצאות בפועל (4)'!$D$17:$D$3016,"מלגות להורים")</f>
        <v>0</v>
      </c>
      <c r="E299" s="219">
        <f t="shared" si="9"/>
        <v>0</v>
      </c>
      <c r="F299" s="704"/>
      <c r="G299" s="705"/>
      <c r="H299" s="705"/>
      <c r="I299" s="705"/>
      <c r="K299" s="220">
        <f>IFERROR(VLOOKUP(B299,'דוח ביצוע (3)'!B:J,8,0),0)</f>
        <v>0</v>
      </c>
      <c r="L299" s="220">
        <f t="shared" si="10"/>
        <v>0</v>
      </c>
      <c r="M299" s="705"/>
    </row>
    <row r="300" spans="1:13" ht="19.5" customHeight="1" x14ac:dyDescent="0.25">
      <c r="A300" s="280">
        <v>283</v>
      </c>
      <c r="B300" s="703" t="str">
        <f>IF(VLOOKUP(A300,'דוח ביצוע (3)'!A:G,2,0)="","",VLOOKUP('תשלומי הורים ומלגות להורים (5) '!A300,'דוח ביצוע (3)'!A:G,2,0))</f>
        <v/>
      </c>
      <c r="C300" s="849"/>
      <c r="D300" s="219">
        <f>SUMIFS('דוח הוצאות בפועל (4)'!$E$17:$E$3016,'דוח הוצאות בפועל (4)'!$B$17:$B$3016,'תשלומי הורים ומלגות להורים (5) '!B300,'דוח הוצאות בפועל (4)'!$D$17:$D$3016,"מלגות להורים")</f>
        <v>0</v>
      </c>
      <c r="E300" s="219">
        <f t="shared" si="9"/>
        <v>0</v>
      </c>
      <c r="F300" s="704"/>
      <c r="G300" s="705"/>
      <c r="H300" s="705"/>
      <c r="I300" s="705"/>
      <c r="K300" s="220">
        <f>IFERROR(VLOOKUP(B300,'דוח ביצוע (3)'!B:J,8,0),0)</f>
        <v>0</v>
      </c>
      <c r="L300" s="220">
        <f t="shared" si="10"/>
        <v>0</v>
      </c>
      <c r="M300" s="705"/>
    </row>
    <row r="301" spans="1:13" ht="19.5" customHeight="1" x14ac:dyDescent="0.25">
      <c r="A301" s="280">
        <v>284</v>
      </c>
      <c r="B301" s="703" t="str">
        <f>IF(VLOOKUP(A301,'דוח ביצוע (3)'!A:G,2,0)="","",VLOOKUP('תשלומי הורים ומלגות להורים (5) '!A301,'דוח ביצוע (3)'!A:G,2,0))</f>
        <v/>
      </c>
      <c r="C301" s="849"/>
      <c r="D301" s="219">
        <f>SUMIFS('דוח הוצאות בפועל (4)'!$E$17:$E$3016,'דוח הוצאות בפועל (4)'!$B$17:$B$3016,'תשלומי הורים ומלגות להורים (5) '!B301,'דוח הוצאות בפועל (4)'!$D$17:$D$3016,"מלגות להורים")</f>
        <v>0</v>
      </c>
      <c r="E301" s="219">
        <f t="shared" si="9"/>
        <v>0</v>
      </c>
      <c r="F301" s="704"/>
      <c r="G301" s="705"/>
      <c r="H301" s="705"/>
      <c r="I301" s="705"/>
      <c r="K301" s="220">
        <f>IFERROR(VLOOKUP(B301,'דוח ביצוע (3)'!B:J,8,0),0)</f>
        <v>0</v>
      </c>
      <c r="L301" s="220">
        <f t="shared" si="10"/>
        <v>0</v>
      </c>
      <c r="M301" s="705"/>
    </row>
    <row r="302" spans="1:13" ht="19.5" customHeight="1" x14ac:dyDescent="0.25">
      <c r="A302" s="280">
        <v>285</v>
      </c>
      <c r="B302" s="703" t="str">
        <f>IF(VLOOKUP(A302,'דוח ביצוע (3)'!A:G,2,0)="","",VLOOKUP('תשלומי הורים ומלגות להורים (5) '!A302,'דוח ביצוע (3)'!A:G,2,0))</f>
        <v/>
      </c>
      <c r="C302" s="849"/>
      <c r="D302" s="219">
        <f>SUMIFS('דוח הוצאות בפועל (4)'!$E$17:$E$3016,'דוח הוצאות בפועל (4)'!$B$17:$B$3016,'תשלומי הורים ומלגות להורים (5) '!B302,'דוח הוצאות בפועל (4)'!$D$17:$D$3016,"מלגות להורים")</f>
        <v>0</v>
      </c>
      <c r="E302" s="219">
        <f t="shared" si="9"/>
        <v>0</v>
      </c>
      <c r="F302" s="704"/>
      <c r="G302" s="705"/>
      <c r="H302" s="705"/>
      <c r="I302" s="705"/>
      <c r="K302" s="220">
        <f>IFERROR(VLOOKUP(B302,'דוח ביצוע (3)'!B:J,8,0),0)</f>
        <v>0</v>
      </c>
      <c r="L302" s="220">
        <f t="shared" si="10"/>
        <v>0</v>
      </c>
      <c r="M302" s="705"/>
    </row>
    <row r="303" spans="1:13" ht="19.5" customHeight="1" x14ac:dyDescent="0.25">
      <c r="A303" s="280">
        <v>286</v>
      </c>
      <c r="B303" s="703" t="str">
        <f>IF(VLOOKUP(A303,'דוח ביצוע (3)'!A:G,2,0)="","",VLOOKUP('תשלומי הורים ומלגות להורים (5) '!A303,'דוח ביצוע (3)'!A:G,2,0))</f>
        <v/>
      </c>
      <c r="C303" s="849"/>
      <c r="D303" s="219">
        <f>SUMIFS('דוח הוצאות בפועל (4)'!$E$17:$E$3016,'דוח הוצאות בפועל (4)'!$B$17:$B$3016,'תשלומי הורים ומלגות להורים (5) '!B303,'דוח הוצאות בפועל (4)'!$D$17:$D$3016,"מלגות להורים")</f>
        <v>0</v>
      </c>
      <c r="E303" s="219">
        <f t="shared" si="9"/>
        <v>0</v>
      </c>
      <c r="F303" s="704"/>
      <c r="G303" s="705"/>
      <c r="H303" s="705"/>
      <c r="I303" s="705"/>
      <c r="K303" s="220">
        <f>IFERROR(VLOOKUP(B303,'דוח ביצוע (3)'!B:J,8,0),0)</f>
        <v>0</v>
      </c>
      <c r="L303" s="220">
        <f t="shared" si="10"/>
        <v>0</v>
      </c>
      <c r="M303" s="705"/>
    </row>
    <row r="304" spans="1:13" ht="19.5" customHeight="1" x14ac:dyDescent="0.25">
      <c r="A304" s="280">
        <v>287</v>
      </c>
      <c r="B304" s="703" t="str">
        <f>IF(VLOOKUP(A304,'דוח ביצוע (3)'!A:G,2,0)="","",VLOOKUP('תשלומי הורים ומלגות להורים (5) '!A304,'דוח ביצוע (3)'!A:G,2,0))</f>
        <v/>
      </c>
      <c r="C304" s="849"/>
      <c r="D304" s="219">
        <f>SUMIFS('דוח הוצאות בפועל (4)'!$E$17:$E$3016,'דוח הוצאות בפועל (4)'!$B$17:$B$3016,'תשלומי הורים ומלגות להורים (5) '!B304,'דוח הוצאות בפועל (4)'!$D$17:$D$3016,"מלגות להורים")</f>
        <v>0</v>
      </c>
      <c r="E304" s="219">
        <f t="shared" si="9"/>
        <v>0</v>
      </c>
      <c r="F304" s="704"/>
      <c r="G304" s="705"/>
      <c r="H304" s="705"/>
      <c r="I304" s="705"/>
      <c r="K304" s="220">
        <f>IFERROR(VLOOKUP(B304,'דוח ביצוע (3)'!B:J,8,0),0)</f>
        <v>0</v>
      </c>
      <c r="L304" s="220">
        <f t="shared" si="10"/>
        <v>0</v>
      </c>
      <c r="M304" s="705"/>
    </row>
    <row r="305" spans="1:13" ht="19.5" customHeight="1" x14ac:dyDescent="0.25">
      <c r="A305" s="280">
        <v>288</v>
      </c>
      <c r="B305" s="703" t="str">
        <f>IF(VLOOKUP(A305,'דוח ביצוע (3)'!A:G,2,0)="","",VLOOKUP('תשלומי הורים ומלגות להורים (5) '!A305,'דוח ביצוע (3)'!A:G,2,0))</f>
        <v/>
      </c>
      <c r="C305" s="849"/>
      <c r="D305" s="219">
        <f>SUMIFS('דוח הוצאות בפועל (4)'!$E$17:$E$3016,'דוח הוצאות בפועל (4)'!$B$17:$B$3016,'תשלומי הורים ומלגות להורים (5) '!B305,'דוח הוצאות בפועל (4)'!$D$17:$D$3016,"מלגות להורים")</f>
        <v>0</v>
      </c>
      <c r="E305" s="219">
        <f t="shared" si="9"/>
        <v>0</v>
      </c>
      <c r="F305" s="704"/>
      <c r="G305" s="705"/>
      <c r="H305" s="705"/>
      <c r="I305" s="705"/>
      <c r="K305" s="220">
        <f>IFERROR(VLOOKUP(B305,'דוח ביצוע (3)'!B:J,8,0),0)</f>
        <v>0</v>
      </c>
      <c r="L305" s="220">
        <f t="shared" si="10"/>
        <v>0</v>
      </c>
      <c r="M305" s="705"/>
    </row>
    <row r="306" spans="1:13" ht="19.5" customHeight="1" x14ac:dyDescent="0.25">
      <c r="A306" s="280">
        <v>289</v>
      </c>
      <c r="B306" s="703" t="str">
        <f>IF(VLOOKUP(A306,'דוח ביצוע (3)'!A:G,2,0)="","",VLOOKUP('תשלומי הורים ומלגות להורים (5) '!A306,'דוח ביצוע (3)'!A:G,2,0))</f>
        <v/>
      </c>
      <c r="C306" s="849"/>
      <c r="D306" s="219">
        <f>SUMIFS('דוח הוצאות בפועל (4)'!$E$17:$E$3016,'דוח הוצאות בפועל (4)'!$B$17:$B$3016,'תשלומי הורים ומלגות להורים (5) '!B306,'דוח הוצאות בפועל (4)'!$D$17:$D$3016,"מלגות להורים")</f>
        <v>0</v>
      </c>
      <c r="E306" s="219">
        <f t="shared" si="9"/>
        <v>0</v>
      </c>
      <c r="F306" s="704"/>
      <c r="G306" s="705"/>
      <c r="H306" s="705"/>
      <c r="I306" s="705"/>
      <c r="K306" s="220">
        <f>IFERROR(VLOOKUP(B306,'דוח ביצוע (3)'!B:J,8,0),0)</f>
        <v>0</v>
      </c>
      <c r="L306" s="220">
        <f t="shared" si="10"/>
        <v>0</v>
      </c>
      <c r="M306" s="705"/>
    </row>
    <row r="307" spans="1:13" ht="19.5" customHeight="1" x14ac:dyDescent="0.25">
      <c r="A307" s="280">
        <v>290</v>
      </c>
      <c r="B307" s="703" t="str">
        <f>IF(VLOOKUP(A307,'דוח ביצוע (3)'!A:G,2,0)="","",VLOOKUP('תשלומי הורים ומלגות להורים (5) '!A307,'דוח ביצוע (3)'!A:G,2,0))</f>
        <v/>
      </c>
      <c r="C307" s="849"/>
      <c r="D307" s="219">
        <f>SUMIFS('דוח הוצאות בפועל (4)'!$E$17:$E$3016,'דוח הוצאות בפועל (4)'!$B$17:$B$3016,'תשלומי הורים ומלגות להורים (5) '!B307,'דוח הוצאות בפועל (4)'!$D$17:$D$3016,"מלגות להורים")</f>
        <v>0</v>
      </c>
      <c r="E307" s="219">
        <f t="shared" si="9"/>
        <v>0</v>
      </c>
      <c r="F307" s="704"/>
      <c r="G307" s="705"/>
      <c r="H307" s="705"/>
      <c r="I307" s="705"/>
      <c r="K307" s="220">
        <f>IFERROR(VLOOKUP(B307,'דוח ביצוע (3)'!B:J,8,0),0)</f>
        <v>0</v>
      </c>
      <c r="L307" s="220">
        <f t="shared" si="10"/>
        <v>0</v>
      </c>
      <c r="M307" s="705"/>
    </row>
    <row r="308" spans="1:13" ht="19.5" customHeight="1" x14ac:dyDescent="0.25">
      <c r="A308" s="280">
        <v>291</v>
      </c>
      <c r="B308" s="703" t="str">
        <f>IF(VLOOKUP(A308,'דוח ביצוע (3)'!A:G,2,0)="","",VLOOKUP('תשלומי הורים ומלגות להורים (5) '!A308,'דוח ביצוע (3)'!A:G,2,0))</f>
        <v/>
      </c>
      <c r="C308" s="849"/>
      <c r="D308" s="219">
        <f>SUMIFS('דוח הוצאות בפועל (4)'!$E$17:$E$3016,'דוח הוצאות בפועל (4)'!$B$17:$B$3016,'תשלומי הורים ומלגות להורים (5) '!B308,'דוח הוצאות בפועל (4)'!$D$17:$D$3016,"מלגות להורים")</f>
        <v>0</v>
      </c>
      <c r="E308" s="219">
        <f t="shared" si="9"/>
        <v>0</v>
      </c>
      <c r="F308" s="704"/>
      <c r="G308" s="705"/>
      <c r="H308" s="705"/>
      <c r="I308" s="705"/>
      <c r="K308" s="220">
        <f>IFERROR(VLOOKUP(B308,'דוח ביצוע (3)'!B:J,8,0),0)</f>
        <v>0</v>
      </c>
      <c r="L308" s="220">
        <f t="shared" si="10"/>
        <v>0</v>
      </c>
      <c r="M308" s="705"/>
    </row>
    <row r="309" spans="1:13" ht="19.5" customHeight="1" x14ac:dyDescent="0.25">
      <c r="A309" s="280">
        <v>292</v>
      </c>
      <c r="B309" s="703" t="str">
        <f>IF(VLOOKUP(A309,'דוח ביצוע (3)'!A:G,2,0)="","",VLOOKUP('תשלומי הורים ומלגות להורים (5) '!A309,'דוח ביצוע (3)'!A:G,2,0))</f>
        <v/>
      </c>
      <c r="C309" s="849"/>
      <c r="D309" s="219">
        <f>SUMIFS('דוח הוצאות בפועל (4)'!$E$17:$E$3016,'דוח הוצאות בפועל (4)'!$B$17:$B$3016,'תשלומי הורים ומלגות להורים (5) '!B309,'דוח הוצאות בפועל (4)'!$D$17:$D$3016,"מלגות להורים")</f>
        <v>0</v>
      </c>
      <c r="E309" s="219">
        <f t="shared" si="9"/>
        <v>0</v>
      </c>
      <c r="F309" s="704"/>
      <c r="G309" s="705"/>
      <c r="H309" s="705"/>
      <c r="I309" s="705"/>
      <c r="K309" s="220">
        <f>IFERROR(VLOOKUP(B309,'דוח ביצוע (3)'!B:J,8,0),0)</f>
        <v>0</v>
      </c>
      <c r="L309" s="220">
        <f t="shared" si="10"/>
        <v>0</v>
      </c>
      <c r="M309" s="705"/>
    </row>
    <row r="310" spans="1:13" ht="19.5" customHeight="1" x14ac:dyDescent="0.25">
      <c r="A310" s="280">
        <v>293</v>
      </c>
      <c r="B310" s="703" t="str">
        <f>IF(VLOOKUP(A310,'דוח ביצוע (3)'!A:G,2,0)="","",VLOOKUP('תשלומי הורים ומלגות להורים (5) '!A310,'דוח ביצוע (3)'!A:G,2,0))</f>
        <v/>
      </c>
      <c r="C310" s="849"/>
      <c r="D310" s="219">
        <f>SUMIFS('דוח הוצאות בפועל (4)'!$E$17:$E$3016,'דוח הוצאות בפועל (4)'!$B$17:$B$3016,'תשלומי הורים ומלגות להורים (5) '!B310,'דוח הוצאות בפועל (4)'!$D$17:$D$3016,"מלגות להורים")</f>
        <v>0</v>
      </c>
      <c r="E310" s="219">
        <f t="shared" si="9"/>
        <v>0</v>
      </c>
      <c r="F310" s="704"/>
      <c r="G310" s="705"/>
      <c r="H310" s="705"/>
      <c r="I310" s="705"/>
      <c r="K310" s="220">
        <f>IFERROR(VLOOKUP(B310,'דוח ביצוע (3)'!B:J,8,0),0)</f>
        <v>0</v>
      </c>
      <c r="L310" s="220">
        <f t="shared" si="10"/>
        <v>0</v>
      </c>
      <c r="M310" s="705"/>
    </row>
    <row r="311" spans="1:13" ht="19.5" customHeight="1" x14ac:dyDescent="0.25">
      <c r="A311" s="280">
        <v>294</v>
      </c>
      <c r="B311" s="703" t="str">
        <f>IF(VLOOKUP(A311,'דוח ביצוע (3)'!A:G,2,0)="","",VLOOKUP('תשלומי הורים ומלגות להורים (5) '!A311,'דוח ביצוע (3)'!A:G,2,0))</f>
        <v/>
      </c>
      <c r="C311" s="849"/>
      <c r="D311" s="219">
        <f>SUMIFS('דוח הוצאות בפועל (4)'!$E$17:$E$3016,'דוח הוצאות בפועל (4)'!$B$17:$B$3016,'תשלומי הורים ומלגות להורים (5) '!B311,'דוח הוצאות בפועל (4)'!$D$17:$D$3016,"מלגות להורים")</f>
        <v>0</v>
      </c>
      <c r="E311" s="219">
        <f t="shared" si="9"/>
        <v>0</v>
      </c>
      <c r="F311" s="704"/>
      <c r="G311" s="705"/>
      <c r="H311" s="705"/>
      <c r="I311" s="705"/>
      <c r="K311" s="220">
        <f>IFERROR(VLOOKUP(B311,'דוח ביצוע (3)'!B:J,8,0),0)</f>
        <v>0</v>
      </c>
      <c r="L311" s="220">
        <f t="shared" si="10"/>
        <v>0</v>
      </c>
      <c r="M311" s="705"/>
    </row>
    <row r="312" spans="1:13" ht="19.5" customHeight="1" x14ac:dyDescent="0.25">
      <c r="A312" s="280">
        <v>295</v>
      </c>
      <c r="B312" s="703" t="str">
        <f>IF(VLOOKUP(A312,'דוח ביצוע (3)'!A:G,2,0)="","",VLOOKUP('תשלומי הורים ומלגות להורים (5) '!A312,'דוח ביצוע (3)'!A:G,2,0))</f>
        <v/>
      </c>
      <c r="C312" s="849"/>
      <c r="D312" s="219">
        <f>SUMIFS('דוח הוצאות בפועל (4)'!$E$17:$E$3016,'דוח הוצאות בפועל (4)'!$B$17:$B$3016,'תשלומי הורים ומלגות להורים (5) '!B312,'דוח הוצאות בפועל (4)'!$D$17:$D$3016,"מלגות להורים")</f>
        <v>0</v>
      </c>
      <c r="E312" s="219">
        <f t="shared" si="9"/>
        <v>0</v>
      </c>
      <c r="F312" s="704"/>
      <c r="G312" s="705"/>
      <c r="H312" s="705"/>
      <c r="I312" s="705"/>
      <c r="K312" s="220">
        <f>IFERROR(VLOOKUP(B312,'דוח ביצוע (3)'!B:J,8,0),0)</f>
        <v>0</v>
      </c>
      <c r="L312" s="220">
        <f t="shared" si="10"/>
        <v>0</v>
      </c>
      <c r="M312" s="705"/>
    </row>
    <row r="313" spans="1:13" ht="19.5" customHeight="1" x14ac:dyDescent="0.25">
      <c r="A313" s="280">
        <v>296</v>
      </c>
      <c r="B313" s="703" t="str">
        <f>IF(VLOOKUP(A313,'דוח ביצוע (3)'!A:G,2,0)="","",VLOOKUP('תשלומי הורים ומלגות להורים (5) '!A313,'דוח ביצוע (3)'!A:G,2,0))</f>
        <v/>
      </c>
      <c r="C313" s="849"/>
      <c r="D313" s="219">
        <f>SUMIFS('דוח הוצאות בפועל (4)'!$E$17:$E$3016,'דוח הוצאות בפועל (4)'!$B$17:$B$3016,'תשלומי הורים ומלגות להורים (5) '!B313,'דוח הוצאות בפועל (4)'!$D$17:$D$3016,"מלגות להורים")</f>
        <v>0</v>
      </c>
      <c r="E313" s="219">
        <f t="shared" si="9"/>
        <v>0</v>
      </c>
      <c r="F313" s="704"/>
      <c r="G313" s="705"/>
      <c r="H313" s="705"/>
      <c r="I313" s="705"/>
      <c r="K313" s="220">
        <f>IFERROR(VLOOKUP(B313,'דוח ביצוע (3)'!B:J,8,0),0)</f>
        <v>0</v>
      </c>
      <c r="L313" s="220">
        <f t="shared" si="10"/>
        <v>0</v>
      </c>
      <c r="M313" s="705"/>
    </row>
    <row r="314" spans="1:13" ht="19.5" customHeight="1" x14ac:dyDescent="0.25">
      <c r="A314" s="280">
        <v>297</v>
      </c>
      <c r="B314" s="703" t="str">
        <f>IF(VLOOKUP(A314,'דוח ביצוע (3)'!A:G,2,0)="","",VLOOKUP('תשלומי הורים ומלגות להורים (5) '!A314,'דוח ביצוע (3)'!A:G,2,0))</f>
        <v/>
      </c>
      <c r="C314" s="849"/>
      <c r="D314" s="219">
        <f>SUMIFS('דוח הוצאות בפועל (4)'!$E$17:$E$3016,'דוח הוצאות בפועל (4)'!$B$17:$B$3016,'תשלומי הורים ומלגות להורים (5) '!B314,'דוח הוצאות בפועל (4)'!$D$17:$D$3016,"מלגות להורים")</f>
        <v>0</v>
      </c>
      <c r="E314" s="219">
        <f t="shared" si="9"/>
        <v>0</v>
      </c>
      <c r="F314" s="704"/>
      <c r="G314" s="705"/>
      <c r="H314" s="705"/>
      <c r="I314" s="705"/>
      <c r="K314" s="220">
        <f>IFERROR(VLOOKUP(B314,'דוח ביצוע (3)'!B:J,8,0),0)</f>
        <v>0</v>
      </c>
      <c r="L314" s="220">
        <f t="shared" si="10"/>
        <v>0</v>
      </c>
      <c r="M314" s="705"/>
    </row>
    <row r="315" spans="1:13" ht="19.5" customHeight="1" x14ac:dyDescent="0.25">
      <c r="A315" s="280">
        <v>298</v>
      </c>
      <c r="B315" s="703" t="str">
        <f>IF(VLOOKUP(A315,'דוח ביצוע (3)'!A:G,2,0)="","",VLOOKUP('תשלומי הורים ומלגות להורים (5) '!A315,'דוח ביצוע (3)'!A:G,2,0))</f>
        <v/>
      </c>
      <c r="C315" s="849"/>
      <c r="D315" s="219">
        <f>SUMIFS('דוח הוצאות בפועל (4)'!$E$17:$E$3016,'דוח הוצאות בפועל (4)'!$B$17:$B$3016,'תשלומי הורים ומלגות להורים (5) '!B315,'דוח הוצאות בפועל (4)'!$D$17:$D$3016,"מלגות להורים")</f>
        <v>0</v>
      </c>
      <c r="E315" s="219">
        <f t="shared" si="9"/>
        <v>0</v>
      </c>
      <c r="F315" s="704"/>
      <c r="G315" s="705"/>
      <c r="H315" s="705"/>
      <c r="I315" s="705"/>
      <c r="K315" s="220">
        <f>IFERROR(VLOOKUP(B315,'דוח ביצוע (3)'!B:J,8,0),0)</f>
        <v>0</v>
      </c>
      <c r="L315" s="220">
        <f t="shared" si="10"/>
        <v>0</v>
      </c>
      <c r="M315" s="705"/>
    </row>
    <row r="316" spans="1:13" ht="19.5" customHeight="1" x14ac:dyDescent="0.25">
      <c r="A316" s="280">
        <v>299</v>
      </c>
      <c r="B316" s="703" t="str">
        <f>IF(VLOOKUP(A316,'דוח ביצוע (3)'!A:G,2,0)="","",VLOOKUP('תשלומי הורים ומלגות להורים (5) '!A316,'דוח ביצוע (3)'!A:G,2,0))</f>
        <v/>
      </c>
      <c r="C316" s="849"/>
      <c r="D316" s="219">
        <f>SUMIFS('דוח הוצאות בפועל (4)'!$E$17:$E$3016,'דוח הוצאות בפועל (4)'!$B$17:$B$3016,'תשלומי הורים ומלגות להורים (5) '!B316,'דוח הוצאות בפועל (4)'!$D$17:$D$3016,"מלגות להורים")</f>
        <v>0</v>
      </c>
      <c r="E316" s="219">
        <f t="shared" si="9"/>
        <v>0</v>
      </c>
      <c r="F316" s="704"/>
      <c r="G316" s="705"/>
      <c r="H316" s="705"/>
      <c r="I316" s="705"/>
      <c r="K316" s="220">
        <f>IFERROR(VLOOKUP(B316,'דוח ביצוע (3)'!B:J,8,0),0)</f>
        <v>0</v>
      </c>
      <c r="L316" s="220">
        <f t="shared" si="10"/>
        <v>0</v>
      </c>
      <c r="M316" s="705"/>
    </row>
    <row r="317" spans="1:13" ht="19.5" customHeight="1" x14ac:dyDescent="0.25">
      <c r="A317" s="280">
        <v>300</v>
      </c>
      <c r="B317" s="703" t="str">
        <f>IF(VLOOKUP(A317,'דוח ביצוע (3)'!A:G,2,0)="","",VLOOKUP('תשלומי הורים ומלגות להורים (5) '!A317,'דוח ביצוע (3)'!A:G,2,0))</f>
        <v/>
      </c>
      <c r="C317" s="849"/>
      <c r="D317" s="219">
        <f>SUMIFS('דוח הוצאות בפועל (4)'!$E$17:$E$3016,'דוח הוצאות בפועל (4)'!$B$17:$B$3016,'תשלומי הורים ומלגות להורים (5) '!B317,'דוח הוצאות בפועל (4)'!$D$17:$D$3016,"מלגות להורים")</f>
        <v>0</v>
      </c>
      <c r="E317" s="219">
        <f t="shared" si="9"/>
        <v>0</v>
      </c>
      <c r="F317" s="704"/>
      <c r="G317" s="705"/>
      <c r="H317" s="705"/>
      <c r="I317" s="705"/>
      <c r="K317" s="220">
        <f>IFERROR(VLOOKUP(B317,'דוח ביצוע (3)'!B:J,8,0),0)</f>
        <v>0</v>
      </c>
      <c r="L317" s="220">
        <f t="shared" si="10"/>
        <v>0</v>
      </c>
      <c r="M317" s="705"/>
    </row>
    <row r="318" spans="1:13" ht="19.5" customHeight="1" x14ac:dyDescent="0.25">
      <c r="A318" s="280">
        <v>301</v>
      </c>
      <c r="B318" s="703" t="str">
        <f>IF(VLOOKUP(A318,'דוח ביצוע (3)'!A:G,2,0)="","",VLOOKUP('תשלומי הורים ומלגות להורים (5) '!A318,'דוח ביצוע (3)'!A:G,2,0))</f>
        <v/>
      </c>
      <c r="C318" s="849"/>
      <c r="D318" s="219">
        <f>SUMIFS('דוח הוצאות בפועל (4)'!$E$17:$E$3016,'דוח הוצאות בפועל (4)'!$B$17:$B$3016,'תשלומי הורים ומלגות להורים (5) '!B318,'דוח הוצאות בפועל (4)'!$D$17:$D$3016,"מלגות להורים")</f>
        <v>0</v>
      </c>
      <c r="E318" s="219">
        <f t="shared" si="9"/>
        <v>0</v>
      </c>
      <c r="F318" s="704"/>
      <c r="G318" s="705"/>
      <c r="H318" s="705"/>
      <c r="I318" s="705"/>
      <c r="K318" s="220">
        <f>IFERROR(VLOOKUP(B318,'דוח ביצוע (3)'!B:J,8,0),0)</f>
        <v>0</v>
      </c>
      <c r="L318" s="220">
        <f t="shared" si="10"/>
        <v>0</v>
      </c>
      <c r="M318" s="705"/>
    </row>
    <row r="319" spans="1:13" ht="19.5" customHeight="1" x14ac:dyDescent="0.25">
      <c r="A319" s="280">
        <v>302</v>
      </c>
      <c r="B319" s="703" t="str">
        <f>IF(VLOOKUP(A319,'דוח ביצוע (3)'!A:G,2,0)="","",VLOOKUP('תשלומי הורים ומלגות להורים (5) '!A319,'דוח ביצוע (3)'!A:G,2,0))</f>
        <v/>
      </c>
      <c r="C319" s="849"/>
      <c r="D319" s="219">
        <f>SUMIFS('דוח הוצאות בפועל (4)'!$E$17:$E$3016,'דוח הוצאות בפועל (4)'!$B$17:$B$3016,'תשלומי הורים ומלגות להורים (5) '!B319,'דוח הוצאות בפועל (4)'!$D$17:$D$3016,"מלגות להורים")</f>
        <v>0</v>
      </c>
      <c r="E319" s="219">
        <f t="shared" si="9"/>
        <v>0</v>
      </c>
      <c r="F319" s="704"/>
      <c r="G319" s="705"/>
      <c r="H319" s="705"/>
      <c r="I319" s="705"/>
      <c r="K319" s="220">
        <f>IFERROR(VLOOKUP(B319,'דוח ביצוע (3)'!B:J,8,0),0)</f>
        <v>0</v>
      </c>
      <c r="L319" s="220">
        <f t="shared" si="10"/>
        <v>0</v>
      </c>
      <c r="M319" s="705"/>
    </row>
    <row r="320" spans="1:13" ht="19.5" customHeight="1" x14ac:dyDescent="0.25">
      <c r="A320" s="280">
        <v>303</v>
      </c>
      <c r="B320" s="703" t="str">
        <f>IF(VLOOKUP(A320,'דוח ביצוע (3)'!A:G,2,0)="","",VLOOKUP('תשלומי הורים ומלגות להורים (5) '!A320,'דוח ביצוע (3)'!A:G,2,0))</f>
        <v/>
      </c>
      <c r="C320" s="849"/>
      <c r="D320" s="219">
        <f>SUMIFS('דוח הוצאות בפועל (4)'!$E$17:$E$3016,'דוח הוצאות בפועל (4)'!$B$17:$B$3016,'תשלומי הורים ומלגות להורים (5) '!B320,'דוח הוצאות בפועל (4)'!$D$17:$D$3016,"מלגות להורים")</f>
        <v>0</v>
      </c>
      <c r="E320" s="219">
        <f t="shared" si="9"/>
        <v>0</v>
      </c>
      <c r="F320" s="704"/>
      <c r="G320" s="705"/>
      <c r="H320" s="705"/>
      <c r="I320" s="705"/>
      <c r="K320" s="220">
        <f>IFERROR(VLOOKUP(B320,'דוח ביצוע (3)'!B:J,8,0),0)</f>
        <v>0</v>
      </c>
      <c r="L320" s="220">
        <f t="shared" si="10"/>
        <v>0</v>
      </c>
      <c r="M320" s="705"/>
    </row>
    <row r="321" spans="1:13" ht="19.5" customHeight="1" x14ac:dyDescent="0.25">
      <c r="A321" s="280">
        <v>304</v>
      </c>
      <c r="B321" s="703" t="str">
        <f>IF(VLOOKUP(A321,'דוח ביצוע (3)'!A:G,2,0)="","",VLOOKUP('תשלומי הורים ומלגות להורים (5) '!A321,'דוח ביצוע (3)'!A:G,2,0))</f>
        <v/>
      </c>
      <c r="C321" s="849"/>
      <c r="D321" s="219">
        <f>SUMIFS('דוח הוצאות בפועל (4)'!$E$17:$E$3016,'דוח הוצאות בפועל (4)'!$B$17:$B$3016,'תשלומי הורים ומלגות להורים (5) '!B321,'דוח הוצאות בפועל (4)'!$D$17:$D$3016,"מלגות להורים")</f>
        <v>0</v>
      </c>
      <c r="E321" s="219">
        <f t="shared" si="9"/>
        <v>0</v>
      </c>
      <c r="F321" s="704"/>
      <c r="G321" s="705"/>
      <c r="H321" s="705"/>
      <c r="I321" s="705"/>
      <c r="K321" s="220">
        <f>IFERROR(VLOOKUP(B321,'דוח ביצוע (3)'!B:J,8,0),0)</f>
        <v>0</v>
      </c>
      <c r="L321" s="220">
        <f t="shared" si="10"/>
        <v>0</v>
      </c>
      <c r="M321" s="705"/>
    </row>
    <row r="322" spans="1:13" ht="19.5" customHeight="1" x14ac:dyDescent="0.25">
      <c r="A322" s="280">
        <v>305</v>
      </c>
      <c r="B322" s="703" t="str">
        <f>IF(VLOOKUP(A322,'דוח ביצוע (3)'!A:G,2,0)="","",VLOOKUP('תשלומי הורים ומלגות להורים (5) '!A322,'דוח ביצוע (3)'!A:G,2,0))</f>
        <v/>
      </c>
      <c r="C322" s="849"/>
      <c r="D322" s="219">
        <f>SUMIFS('דוח הוצאות בפועל (4)'!$E$17:$E$3016,'דוח הוצאות בפועל (4)'!$B$17:$B$3016,'תשלומי הורים ומלגות להורים (5) '!B322,'דוח הוצאות בפועל (4)'!$D$17:$D$3016,"מלגות להורים")</f>
        <v>0</v>
      </c>
      <c r="E322" s="219">
        <f t="shared" si="9"/>
        <v>0</v>
      </c>
      <c r="F322" s="704"/>
      <c r="G322" s="705"/>
      <c r="H322" s="705"/>
      <c r="I322" s="705"/>
      <c r="K322" s="220">
        <f>IFERROR(VLOOKUP(B322,'דוח ביצוע (3)'!B:J,8,0),0)</f>
        <v>0</v>
      </c>
      <c r="L322" s="220">
        <f t="shared" si="10"/>
        <v>0</v>
      </c>
      <c r="M322" s="705"/>
    </row>
    <row r="323" spans="1:13" ht="19.5" customHeight="1" x14ac:dyDescent="0.25">
      <c r="A323" s="280">
        <v>306</v>
      </c>
      <c r="B323" s="703" t="str">
        <f>IF(VLOOKUP(A323,'דוח ביצוע (3)'!A:G,2,0)="","",VLOOKUP('תשלומי הורים ומלגות להורים (5) '!A323,'דוח ביצוע (3)'!A:G,2,0))</f>
        <v/>
      </c>
      <c r="C323" s="849"/>
      <c r="D323" s="219">
        <f>SUMIFS('דוח הוצאות בפועל (4)'!$E$17:$E$3016,'דוח הוצאות בפועל (4)'!$B$17:$B$3016,'תשלומי הורים ומלגות להורים (5) '!B323,'דוח הוצאות בפועל (4)'!$D$17:$D$3016,"מלגות להורים")</f>
        <v>0</v>
      </c>
      <c r="E323" s="219">
        <f t="shared" si="9"/>
        <v>0</v>
      </c>
      <c r="F323" s="704"/>
      <c r="G323" s="705"/>
      <c r="H323" s="705"/>
      <c r="I323" s="705"/>
      <c r="K323" s="220">
        <f>IFERROR(VLOOKUP(B323,'דוח ביצוע (3)'!B:J,8,0),0)</f>
        <v>0</v>
      </c>
      <c r="L323" s="220">
        <f t="shared" si="10"/>
        <v>0</v>
      </c>
      <c r="M323" s="705"/>
    </row>
    <row r="324" spans="1:13" ht="19.5" customHeight="1" x14ac:dyDescent="0.25">
      <c r="A324" s="280">
        <v>307</v>
      </c>
      <c r="B324" s="703" t="str">
        <f>IF(VLOOKUP(A324,'דוח ביצוע (3)'!A:G,2,0)="","",VLOOKUP('תשלומי הורים ומלגות להורים (5) '!A324,'דוח ביצוע (3)'!A:G,2,0))</f>
        <v/>
      </c>
      <c r="C324" s="849"/>
      <c r="D324" s="219">
        <f>SUMIFS('דוח הוצאות בפועל (4)'!$E$17:$E$3016,'דוח הוצאות בפועל (4)'!$B$17:$B$3016,'תשלומי הורים ומלגות להורים (5) '!B324,'דוח הוצאות בפועל (4)'!$D$17:$D$3016,"מלגות להורים")</f>
        <v>0</v>
      </c>
      <c r="E324" s="219">
        <f t="shared" si="9"/>
        <v>0</v>
      </c>
      <c r="F324" s="704"/>
      <c r="G324" s="705"/>
      <c r="H324" s="705"/>
      <c r="I324" s="705"/>
      <c r="K324" s="220">
        <f>IFERROR(VLOOKUP(B324,'דוח ביצוע (3)'!B:J,8,0),0)</f>
        <v>0</v>
      </c>
      <c r="L324" s="220">
        <f t="shared" si="10"/>
        <v>0</v>
      </c>
      <c r="M324" s="705"/>
    </row>
    <row r="325" spans="1:13" ht="19.5" customHeight="1" x14ac:dyDescent="0.25">
      <c r="A325" s="280">
        <v>308</v>
      </c>
      <c r="B325" s="703" t="str">
        <f>IF(VLOOKUP(A325,'דוח ביצוע (3)'!A:G,2,0)="","",VLOOKUP('תשלומי הורים ומלגות להורים (5) '!A325,'דוח ביצוע (3)'!A:G,2,0))</f>
        <v/>
      </c>
      <c r="C325" s="849"/>
      <c r="D325" s="219">
        <f>SUMIFS('דוח הוצאות בפועל (4)'!$E$17:$E$3016,'דוח הוצאות בפועל (4)'!$B$17:$B$3016,'תשלומי הורים ומלגות להורים (5) '!B325,'דוח הוצאות בפועל (4)'!$D$17:$D$3016,"מלגות להורים")</f>
        <v>0</v>
      </c>
      <c r="E325" s="219">
        <f t="shared" si="9"/>
        <v>0</v>
      </c>
      <c r="F325" s="704"/>
      <c r="G325" s="705"/>
      <c r="H325" s="705"/>
      <c r="I325" s="705"/>
      <c r="K325" s="220">
        <f>IFERROR(VLOOKUP(B325,'דוח ביצוע (3)'!B:J,8,0),0)</f>
        <v>0</v>
      </c>
      <c r="L325" s="220">
        <f t="shared" si="10"/>
        <v>0</v>
      </c>
      <c r="M325" s="705"/>
    </row>
    <row r="326" spans="1:13" ht="19.5" customHeight="1" x14ac:dyDescent="0.25">
      <c r="A326" s="280">
        <v>309</v>
      </c>
      <c r="B326" s="703" t="str">
        <f>IF(VLOOKUP(A326,'דוח ביצוע (3)'!A:G,2,0)="","",VLOOKUP('תשלומי הורים ומלגות להורים (5) '!A326,'דוח ביצוע (3)'!A:G,2,0))</f>
        <v/>
      </c>
      <c r="C326" s="849"/>
      <c r="D326" s="219">
        <f>SUMIFS('דוח הוצאות בפועל (4)'!$E$17:$E$3016,'דוח הוצאות בפועל (4)'!$B$17:$B$3016,'תשלומי הורים ומלגות להורים (5) '!B326,'דוח הוצאות בפועל (4)'!$D$17:$D$3016,"מלגות להורים")</f>
        <v>0</v>
      </c>
      <c r="E326" s="219">
        <f t="shared" si="9"/>
        <v>0</v>
      </c>
      <c r="F326" s="704"/>
      <c r="G326" s="705"/>
      <c r="H326" s="705"/>
      <c r="I326" s="705"/>
      <c r="K326" s="220">
        <f>IFERROR(VLOOKUP(B326,'דוח ביצוע (3)'!B:J,8,0),0)</f>
        <v>0</v>
      </c>
      <c r="L326" s="220">
        <f t="shared" si="10"/>
        <v>0</v>
      </c>
      <c r="M326" s="705"/>
    </row>
    <row r="327" spans="1:13" ht="19.5" customHeight="1" x14ac:dyDescent="0.25">
      <c r="A327" s="280">
        <v>310</v>
      </c>
      <c r="B327" s="703" t="str">
        <f>IF(VLOOKUP(A327,'דוח ביצוע (3)'!A:G,2,0)="","",VLOOKUP('תשלומי הורים ומלגות להורים (5) '!A327,'דוח ביצוע (3)'!A:G,2,0))</f>
        <v/>
      </c>
      <c r="C327" s="849"/>
      <c r="D327" s="219">
        <f>SUMIFS('דוח הוצאות בפועל (4)'!$E$17:$E$3016,'דוח הוצאות בפועל (4)'!$B$17:$B$3016,'תשלומי הורים ומלגות להורים (5) '!B327,'דוח הוצאות בפועל (4)'!$D$17:$D$3016,"מלגות להורים")</f>
        <v>0</v>
      </c>
      <c r="E327" s="219">
        <f t="shared" si="9"/>
        <v>0</v>
      </c>
      <c r="F327" s="704"/>
      <c r="G327" s="705"/>
      <c r="H327" s="705"/>
      <c r="I327" s="705"/>
      <c r="K327" s="220">
        <f>IFERROR(VLOOKUP(B327,'דוח ביצוע (3)'!B:J,8,0),0)</f>
        <v>0</v>
      </c>
      <c r="L327" s="220">
        <f t="shared" si="10"/>
        <v>0</v>
      </c>
      <c r="M327" s="705"/>
    </row>
    <row r="328" spans="1:13" ht="19.5" customHeight="1" x14ac:dyDescent="0.25">
      <c r="A328" s="280">
        <v>311</v>
      </c>
      <c r="B328" s="703" t="str">
        <f>IF(VLOOKUP(A328,'דוח ביצוע (3)'!A:G,2,0)="","",VLOOKUP('תשלומי הורים ומלגות להורים (5) '!A328,'דוח ביצוע (3)'!A:G,2,0))</f>
        <v/>
      </c>
      <c r="C328" s="849"/>
      <c r="D328" s="219">
        <f>SUMIFS('דוח הוצאות בפועל (4)'!$E$17:$E$3016,'דוח הוצאות בפועל (4)'!$B$17:$B$3016,'תשלומי הורים ומלגות להורים (5) '!B328,'דוח הוצאות בפועל (4)'!$D$17:$D$3016,"מלגות להורים")</f>
        <v>0</v>
      </c>
      <c r="E328" s="219">
        <f t="shared" si="9"/>
        <v>0</v>
      </c>
      <c r="F328" s="704"/>
      <c r="G328" s="705"/>
      <c r="H328" s="705"/>
      <c r="I328" s="705"/>
      <c r="K328" s="220">
        <f>IFERROR(VLOOKUP(B328,'דוח ביצוע (3)'!B:J,8,0),0)</f>
        <v>0</v>
      </c>
      <c r="L328" s="220">
        <f t="shared" si="10"/>
        <v>0</v>
      </c>
      <c r="M328" s="705"/>
    </row>
    <row r="329" spans="1:13" ht="19.5" customHeight="1" x14ac:dyDescent="0.25">
      <c r="A329" s="280">
        <v>312</v>
      </c>
      <c r="B329" s="703" t="str">
        <f>IF(VLOOKUP(A329,'דוח ביצוע (3)'!A:G,2,0)="","",VLOOKUP('תשלומי הורים ומלגות להורים (5) '!A329,'דוח ביצוע (3)'!A:G,2,0))</f>
        <v/>
      </c>
      <c r="C329" s="849"/>
      <c r="D329" s="219">
        <f>SUMIFS('דוח הוצאות בפועל (4)'!$E$17:$E$3016,'דוח הוצאות בפועל (4)'!$B$17:$B$3016,'תשלומי הורים ומלגות להורים (5) '!B329,'דוח הוצאות בפועל (4)'!$D$17:$D$3016,"מלגות להורים")</f>
        <v>0</v>
      </c>
      <c r="E329" s="219">
        <f t="shared" si="9"/>
        <v>0</v>
      </c>
      <c r="F329" s="704"/>
      <c r="G329" s="705"/>
      <c r="H329" s="705"/>
      <c r="I329" s="705"/>
      <c r="K329" s="220">
        <f>IFERROR(VLOOKUP(B329,'דוח ביצוע (3)'!B:J,8,0),0)</f>
        <v>0</v>
      </c>
      <c r="L329" s="220">
        <f t="shared" si="10"/>
        <v>0</v>
      </c>
      <c r="M329" s="705"/>
    </row>
    <row r="330" spans="1:13" ht="19.5" customHeight="1" x14ac:dyDescent="0.25">
      <c r="A330" s="280">
        <v>313</v>
      </c>
      <c r="B330" s="703" t="str">
        <f>IF(VLOOKUP(A330,'דוח ביצוע (3)'!A:G,2,0)="","",VLOOKUP('תשלומי הורים ומלגות להורים (5) '!A330,'דוח ביצוע (3)'!A:G,2,0))</f>
        <v/>
      </c>
      <c r="C330" s="849"/>
      <c r="D330" s="219">
        <f>SUMIFS('דוח הוצאות בפועל (4)'!$E$17:$E$3016,'דוח הוצאות בפועל (4)'!$B$17:$B$3016,'תשלומי הורים ומלגות להורים (5) '!B330,'דוח הוצאות בפועל (4)'!$D$17:$D$3016,"מלגות להורים")</f>
        <v>0</v>
      </c>
      <c r="E330" s="219">
        <f t="shared" si="9"/>
        <v>0</v>
      </c>
      <c r="F330" s="704"/>
      <c r="G330" s="705"/>
      <c r="H330" s="705"/>
      <c r="I330" s="705"/>
      <c r="K330" s="220">
        <f>IFERROR(VLOOKUP(B330,'דוח ביצוע (3)'!B:J,8,0),0)</f>
        <v>0</v>
      </c>
      <c r="L330" s="220">
        <f t="shared" si="10"/>
        <v>0</v>
      </c>
      <c r="M330" s="705"/>
    </row>
    <row r="331" spans="1:13" ht="19.5" customHeight="1" x14ac:dyDescent="0.25">
      <c r="A331" s="280">
        <v>314</v>
      </c>
      <c r="B331" s="703" t="str">
        <f>IF(VLOOKUP(A331,'דוח ביצוע (3)'!A:G,2,0)="","",VLOOKUP('תשלומי הורים ומלגות להורים (5) '!A331,'דוח ביצוע (3)'!A:G,2,0))</f>
        <v/>
      </c>
      <c r="C331" s="849"/>
      <c r="D331" s="219">
        <f>SUMIFS('דוח הוצאות בפועל (4)'!$E$17:$E$3016,'דוח הוצאות בפועל (4)'!$B$17:$B$3016,'תשלומי הורים ומלגות להורים (5) '!B331,'דוח הוצאות בפועל (4)'!$D$17:$D$3016,"מלגות להורים")</f>
        <v>0</v>
      </c>
      <c r="E331" s="219">
        <f t="shared" si="9"/>
        <v>0</v>
      </c>
      <c r="F331" s="704"/>
      <c r="G331" s="705"/>
      <c r="H331" s="705"/>
      <c r="I331" s="705"/>
      <c r="K331" s="220">
        <f>IFERROR(VLOOKUP(B331,'דוח ביצוע (3)'!B:J,8,0),0)</f>
        <v>0</v>
      </c>
      <c r="L331" s="220">
        <f t="shared" si="10"/>
        <v>0</v>
      </c>
      <c r="M331" s="705"/>
    </row>
    <row r="332" spans="1:13" ht="19.5" customHeight="1" x14ac:dyDescent="0.25">
      <c r="A332" s="280">
        <v>315</v>
      </c>
      <c r="B332" s="703" t="str">
        <f>IF(VLOOKUP(A332,'דוח ביצוע (3)'!A:G,2,0)="","",VLOOKUP('תשלומי הורים ומלגות להורים (5) '!A332,'דוח ביצוע (3)'!A:G,2,0))</f>
        <v/>
      </c>
      <c r="C332" s="849"/>
      <c r="D332" s="219">
        <f>SUMIFS('דוח הוצאות בפועל (4)'!$E$17:$E$3016,'דוח הוצאות בפועל (4)'!$B$17:$B$3016,'תשלומי הורים ומלגות להורים (5) '!B332,'דוח הוצאות בפועל (4)'!$D$17:$D$3016,"מלגות להורים")</f>
        <v>0</v>
      </c>
      <c r="E332" s="219">
        <f t="shared" si="9"/>
        <v>0</v>
      </c>
      <c r="F332" s="704"/>
      <c r="G332" s="705"/>
      <c r="H332" s="705"/>
      <c r="I332" s="705"/>
      <c r="K332" s="220">
        <f>IFERROR(VLOOKUP(B332,'דוח ביצוע (3)'!B:J,8,0),0)</f>
        <v>0</v>
      </c>
      <c r="L332" s="220">
        <f t="shared" si="10"/>
        <v>0</v>
      </c>
      <c r="M332" s="705"/>
    </row>
    <row r="333" spans="1:13" ht="19.5" customHeight="1" x14ac:dyDescent="0.25">
      <c r="A333" s="280">
        <v>316</v>
      </c>
      <c r="B333" s="703" t="str">
        <f>IF(VLOOKUP(A333,'דוח ביצוע (3)'!A:G,2,0)="","",VLOOKUP('תשלומי הורים ומלגות להורים (5) '!A333,'דוח ביצוע (3)'!A:G,2,0))</f>
        <v/>
      </c>
      <c r="C333" s="849"/>
      <c r="D333" s="219">
        <f>SUMIFS('דוח הוצאות בפועל (4)'!$E$17:$E$3016,'דוח הוצאות בפועל (4)'!$B$17:$B$3016,'תשלומי הורים ומלגות להורים (5) '!B333,'דוח הוצאות בפועל (4)'!$D$17:$D$3016,"מלגות להורים")</f>
        <v>0</v>
      </c>
      <c r="E333" s="219">
        <f t="shared" si="9"/>
        <v>0</v>
      </c>
      <c r="F333" s="704"/>
      <c r="G333" s="705"/>
      <c r="H333" s="705"/>
      <c r="I333" s="705"/>
      <c r="K333" s="220">
        <f>IFERROR(VLOOKUP(B333,'דוח ביצוע (3)'!B:J,8,0),0)</f>
        <v>0</v>
      </c>
      <c r="L333" s="220">
        <f t="shared" si="10"/>
        <v>0</v>
      </c>
      <c r="M333" s="705"/>
    </row>
    <row r="334" spans="1:13" ht="19.5" customHeight="1" x14ac:dyDescent="0.25">
      <c r="A334" s="280">
        <v>317</v>
      </c>
      <c r="B334" s="703" t="str">
        <f>IF(VLOOKUP(A334,'דוח ביצוע (3)'!A:G,2,0)="","",VLOOKUP('תשלומי הורים ומלגות להורים (5) '!A334,'דוח ביצוע (3)'!A:G,2,0))</f>
        <v/>
      </c>
      <c r="C334" s="849"/>
      <c r="D334" s="219">
        <f>SUMIFS('דוח הוצאות בפועל (4)'!$E$17:$E$3016,'דוח הוצאות בפועל (4)'!$B$17:$B$3016,'תשלומי הורים ומלגות להורים (5) '!B334,'דוח הוצאות בפועל (4)'!$D$17:$D$3016,"מלגות להורים")</f>
        <v>0</v>
      </c>
      <c r="E334" s="219">
        <f t="shared" si="9"/>
        <v>0</v>
      </c>
      <c r="F334" s="704"/>
      <c r="G334" s="705"/>
      <c r="H334" s="705"/>
      <c r="I334" s="705"/>
      <c r="K334" s="220">
        <f>IFERROR(VLOOKUP(B334,'דוח ביצוע (3)'!B:J,8,0),0)</f>
        <v>0</v>
      </c>
      <c r="L334" s="220">
        <f t="shared" si="10"/>
        <v>0</v>
      </c>
      <c r="M334" s="705"/>
    </row>
    <row r="335" spans="1:13" ht="19.5" customHeight="1" x14ac:dyDescent="0.25">
      <c r="A335" s="280">
        <v>318</v>
      </c>
      <c r="B335" s="703" t="str">
        <f>IF(VLOOKUP(A335,'דוח ביצוע (3)'!A:G,2,0)="","",VLOOKUP('תשלומי הורים ומלגות להורים (5) '!A335,'דוח ביצוע (3)'!A:G,2,0))</f>
        <v/>
      </c>
      <c r="C335" s="849"/>
      <c r="D335" s="219">
        <f>SUMIFS('דוח הוצאות בפועל (4)'!$E$17:$E$3016,'דוח הוצאות בפועל (4)'!$B$17:$B$3016,'תשלומי הורים ומלגות להורים (5) '!B335,'דוח הוצאות בפועל (4)'!$D$17:$D$3016,"מלגות להורים")</f>
        <v>0</v>
      </c>
      <c r="E335" s="219">
        <f t="shared" si="9"/>
        <v>0</v>
      </c>
      <c r="F335" s="704"/>
      <c r="G335" s="705"/>
      <c r="H335" s="705"/>
      <c r="I335" s="705"/>
      <c r="K335" s="220">
        <f>IFERROR(VLOOKUP(B335,'דוח ביצוע (3)'!B:J,8,0),0)</f>
        <v>0</v>
      </c>
      <c r="L335" s="220">
        <f t="shared" si="10"/>
        <v>0</v>
      </c>
      <c r="M335" s="705"/>
    </row>
    <row r="336" spans="1:13" ht="19.5" customHeight="1" x14ac:dyDescent="0.25">
      <c r="A336" s="280">
        <v>319</v>
      </c>
      <c r="B336" s="703" t="str">
        <f>IF(VLOOKUP(A336,'דוח ביצוע (3)'!A:G,2,0)="","",VLOOKUP('תשלומי הורים ומלגות להורים (5) '!A336,'דוח ביצוע (3)'!A:G,2,0))</f>
        <v/>
      </c>
      <c r="C336" s="849"/>
      <c r="D336" s="219">
        <f>SUMIFS('דוח הוצאות בפועל (4)'!$E$17:$E$3016,'דוח הוצאות בפועל (4)'!$B$17:$B$3016,'תשלומי הורים ומלגות להורים (5) '!B336,'דוח הוצאות בפועל (4)'!$D$17:$D$3016,"מלגות להורים")</f>
        <v>0</v>
      </c>
      <c r="E336" s="219">
        <f t="shared" si="9"/>
        <v>0</v>
      </c>
      <c r="F336" s="704"/>
      <c r="G336" s="705"/>
      <c r="H336" s="705"/>
      <c r="I336" s="705"/>
      <c r="K336" s="220">
        <f>IFERROR(VLOOKUP(B336,'דוח ביצוע (3)'!B:J,8,0),0)</f>
        <v>0</v>
      </c>
      <c r="L336" s="220">
        <f t="shared" si="10"/>
        <v>0</v>
      </c>
      <c r="M336" s="705"/>
    </row>
    <row r="337" spans="1:13" ht="19.5" customHeight="1" x14ac:dyDescent="0.25">
      <c r="A337" s="280">
        <v>320</v>
      </c>
      <c r="B337" s="703" t="str">
        <f>IF(VLOOKUP(A337,'דוח ביצוע (3)'!A:G,2,0)="","",VLOOKUP('תשלומי הורים ומלגות להורים (5) '!A337,'דוח ביצוע (3)'!A:G,2,0))</f>
        <v/>
      </c>
      <c r="C337" s="849"/>
      <c r="D337" s="219">
        <f>SUMIFS('דוח הוצאות בפועל (4)'!$E$17:$E$3016,'דוח הוצאות בפועל (4)'!$B$17:$B$3016,'תשלומי הורים ומלגות להורים (5) '!B337,'דוח הוצאות בפועל (4)'!$D$17:$D$3016,"מלגות להורים")</f>
        <v>0</v>
      </c>
      <c r="E337" s="219">
        <f t="shared" si="9"/>
        <v>0</v>
      </c>
      <c r="F337" s="704"/>
      <c r="G337" s="705"/>
      <c r="H337" s="705"/>
      <c r="I337" s="705"/>
      <c r="K337" s="220">
        <f>IFERROR(VLOOKUP(B337,'דוח ביצוע (3)'!B:J,8,0),0)</f>
        <v>0</v>
      </c>
      <c r="L337" s="220">
        <f t="shared" si="10"/>
        <v>0</v>
      </c>
      <c r="M337" s="705"/>
    </row>
    <row r="338" spans="1:13" ht="19.5" customHeight="1" x14ac:dyDescent="0.25">
      <c r="A338" s="280">
        <v>321</v>
      </c>
      <c r="B338" s="703" t="str">
        <f>IF(VLOOKUP(A338,'דוח ביצוע (3)'!A:G,2,0)="","",VLOOKUP('תשלומי הורים ומלגות להורים (5) '!A338,'דוח ביצוע (3)'!A:G,2,0))</f>
        <v/>
      </c>
      <c r="C338" s="849"/>
      <c r="D338" s="219">
        <f>SUMIFS('דוח הוצאות בפועל (4)'!$E$17:$E$3016,'דוח הוצאות בפועל (4)'!$B$17:$B$3016,'תשלומי הורים ומלגות להורים (5) '!B338,'דוח הוצאות בפועל (4)'!$D$17:$D$3016,"מלגות להורים")</f>
        <v>0</v>
      </c>
      <c r="E338" s="219">
        <f t="shared" si="9"/>
        <v>0</v>
      </c>
      <c r="F338" s="704"/>
      <c r="G338" s="705"/>
      <c r="H338" s="705"/>
      <c r="I338" s="705"/>
      <c r="K338" s="220">
        <f>IFERROR(VLOOKUP(B338,'דוח ביצוע (3)'!B:J,8,0),0)</f>
        <v>0</v>
      </c>
      <c r="L338" s="220">
        <f t="shared" si="10"/>
        <v>0</v>
      </c>
      <c r="M338" s="705"/>
    </row>
    <row r="339" spans="1:13" ht="19.5" customHeight="1" x14ac:dyDescent="0.25">
      <c r="A339" s="280">
        <v>322</v>
      </c>
      <c r="B339" s="703" t="str">
        <f>IF(VLOOKUP(A339,'דוח ביצוע (3)'!A:G,2,0)="","",VLOOKUP('תשלומי הורים ומלגות להורים (5) '!A339,'דוח ביצוע (3)'!A:G,2,0))</f>
        <v/>
      </c>
      <c r="C339" s="849"/>
      <c r="D339" s="219">
        <f>SUMIFS('דוח הוצאות בפועל (4)'!$E$17:$E$3016,'דוח הוצאות בפועל (4)'!$B$17:$B$3016,'תשלומי הורים ומלגות להורים (5) '!B339,'דוח הוצאות בפועל (4)'!$D$17:$D$3016,"מלגות להורים")</f>
        <v>0</v>
      </c>
      <c r="E339" s="219">
        <f t="shared" ref="E339:E402" si="11">C339-D339</f>
        <v>0</v>
      </c>
      <c r="F339" s="704"/>
      <c r="G339" s="705"/>
      <c r="H339" s="705"/>
      <c r="I339" s="705"/>
      <c r="K339" s="220">
        <f>IFERROR(VLOOKUP(B339,'דוח ביצוע (3)'!B:J,8,0),0)</f>
        <v>0</v>
      </c>
      <c r="L339" s="220">
        <f t="shared" ref="L339:L402" si="12">IFERROR(C339/I339-$C$5,0)</f>
        <v>0</v>
      </c>
      <c r="M339" s="705"/>
    </row>
    <row r="340" spans="1:13" ht="19.5" customHeight="1" x14ac:dyDescent="0.25">
      <c r="A340" s="280">
        <v>323</v>
      </c>
      <c r="B340" s="703" t="str">
        <f>IF(VLOOKUP(A340,'דוח ביצוע (3)'!A:G,2,0)="","",VLOOKUP('תשלומי הורים ומלגות להורים (5) '!A340,'דוח ביצוע (3)'!A:G,2,0))</f>
        <v/>
      </c>
      <c r="C340" s="849"/>
      <c r="D340" s="219">
        <f>SUMIFS('דוח הוצאות בפועל (4)'!$E$17:$E$3016,'דוח הוצאות בפועל (4)'!$B$17:$B$3016,'תשלומי הורים ומלגות להורים (5) '!B340,'דוח הוצאות בפועל (4)'!$D$17:$D$3016,"מלגות להורים")</f>
        <v>0</v>
      </c>
      <c r="E340" s="219">
        <f t="shared" si="11"/>
        <v>0</v>
      </c>
      <c r="F340" s="704"/>
      <c r="G340" s="705"/>
      <c r="H340" s="705"/>
      <c r="I340" s="705"/>
      <c r="K340" s="220">
        <f>IFERROR(VLOOKUP(B340,'דוח ביצוע (3)'!B:J,8,0),0)</f>
        <v>0</v>
      </c>
      <c r="L340" s="220">
        <f t="shared" si="12"/>
        <v>0</v>
      </c>
      <c r="M340" s="705"/>
    </row>
    <row r="341" spans="1:13" ht="19.5" customHeight="1" x14ac:dyDescent="0.25">
      <c r="A341" s="280">
        <v>324</v>
      </c>
      <c r="B341" s="703" t="str">
        <f>IF(VLOOKUP(A341,'דוח ביצוע (3)'!A:G,2,0)="","",VLOOKUP('תשלומי הורים ומלגות להורים (5) '!A341,'דוח ביצוע (3)'!A:G,2,0))</f>
        <v/>
      </c>
      <c r="C341" s="849"/>
      <c r="D341" s="219">
        <f>SUMIFS('דוח הוצאות בפועל (4)'!$E$17:$E$3016,'דוח הוצאות בפועל (4)'!$B$17:$B$3016,'תשלומי הורים ומלגות להורים (5) '!B341,'דוח הוצאות בפועל (4)'!$D$17:$D$3016,"מלגות להורים")</f>
        <v>0</v>
      </c>
      <c r="E341" s="219">
        <f t="shared" si="11"/>
        <v>0</v>
      </c>
      <c r="F341" s="704"/>
      <c r="G341" s="705"/>
      <c r="H341" s="705"/>
      <c r="I341" s="705"/>
      <c r="K341" s="220">
        <f>IFERROR(VLOOKUP(B341,'דוח ביצוע (3)'!B:J,8,0),0)</f>
        <v>0</v>
      </c>
      <c r="L341" s="220">
        <f t="shared" si="12"/>
        <v>0</v>
      </c>
      <c r="M341" s="705"/>
    </row>
    <row r="342" spans="1:13" ht="19.5" customHeight="1" x14ac:dyDescent="0.25">
      <c r="A342" s="280">
        <v>325</v>
      </c>
      <c r="B342" s="703" t="str">
        <f>IF(VLOOKUP(A342,'דוח ביצוע (3)'!A:G,2,0)="","",VLOOKUP('תשלומי הורים ומלגות להורים (5) '!A342,'דוח ביצוע (3)'!A:G,2,0))</f>
        <v/>
      </c>
      <c r="C342" s="849"/>
      <c r="D342" s="219">
        <f>SUMIFS('דוח הוצאות בפועל (4)'!$E$17:$E$3016,'דוח הוצאות בפועל (4)'!$B$17:$B$3016,'תשלומי הורים ומלגות להורים (5) '!B342,'דוח הוצאות בפועל (4)'!$D$17:$D$3016,"מלגות להורים")</f>
        <v>0</v>
      </c>
      <c r="E342" s="219">
        <f t="shared" si="11"/>
        <v>0</v>
      </c>
      <c r="F342" s="704"/>
      <c r="G342" s="705"/>
      <c r="H342" s="705"/>
      <c r="I342" s="705"/>
      <c r="K342" s="220">
        <f>IFERROR(VLOOKUP(B342,'דוח ביצוע (3)'!B:J,8,0),0)</f>
        <v>0</v>
      </c>
      <c r="L342" s="220">
        <f t="shared" si="12"/>
        <v>0</v>
      </c>
      <c r="M342" s="705"/>
    </row>
    <row r="343" spans="1:13" ht="19.5" customHeight="1" x14ac:dyDescent="0.25">
      <c r="A343" s="280">
        <v>326</v>
      </c>
      <c r="B343" s="703" t="str">
        <f>IF(VLOOKUP(A343,'דוח ביצוע (3)'!A:G,2,0)="","",VLOOKUP('תשלומי הורים ומלגות להורים (5) '!A343,'דוח ביצוע (3)'!A:G,2,0))</f>
        <v/>
      </c>
      <c r="C343" s="849"/>
      <c r="D343" s="219">
        <f>SUMIFS('דוח הוצאות בפועל (4)'!$E$17:$E$3016,'דוח הוצאות בפועל (4)'!$B$17:$B$3016,'תשלומי הורים ומלגות להורים (5) '!B343,'דוח הוצאות בפועל (4)'!$D$17:$D$3016,"מלגות להורים")</f>
        <v>0</v>
      </c>
      <c r="E343" s="219">
        <f t="shared" si="11"/>
        <v>0</v>
      </c>
      <c r="F343" s="704"/>
      <c r="G343" s="705"/>
      <c r="H343" s="705"/>
      <c r="I343" s="705"/>
      <c r="K343" s="220">
        <f>IFERROR(VLOOKUP(B343,'דוח ביצוע (3)'!B:J,8,0),0)</f>
        <v>0</v>
      </c>
      <c r="L343" s="220">
        <f t="shared" si="12"/>
        <v>0</v>
      </c>
      <c r="M343" s="705"/>
    </row>
    <row r="344" spans="1:13" ht="19.5" customHeight="1" x14ac:dyDescent="0.25">
      <c r="A344" s="280">
        <v>327</v>
      </c>
      <c r="B344" s="703" t="str">
        <f>IF(VLOOKUP(A344,'דוח ביצוע (3)'!A:G,2,0)="","",VLOOKUP('תשלומי הורים ומלגות להורים (5) '!A344,'דוח ביצוע (3)'!A:G,2,0))</f>
        <v/>
      </c>
      <c r="C344" s="849"/>
      <c r="D344" s="219">
        <f>SUMIFS('דוח הוצאות בפועל (4)'!$E$17:$E$3016,'דוח הוצאות בפועל (4)'!$B$17:$B$3016,'תשלומי הורים ומלגות להורים (5) '!B344,'דוח הוצאות בפועל (4)'!$D$17:$D$3016,"מלגות להורים")</f>
        <v>0</v>
      </c>
      <c r="E344" s="219">
        <f t="shared" si="11"/>
        <v>0</v>
      </c>
      <c r="F344" s="704"/>
      <c r="G344" s="705"/>
      <c r="H344" s="705"/>
      <c r="I344" s="705"/>
      <c r="K344" s="220">
        <f>IFERROR(VLOOKUP(B344,'דוח ביצוע (3)'!B:J,8,0),0)</f>
        <v>0</v>
      </c>
      <c r="L344" s="220">
        <f t="shared" si="12"/>
        <v>0</v>
      </c>
      <c r="M344" s="705"/>
    </row>
    <row r="345" spans="1:13" ht="19.5" customHeight="1" x14ac:dyDescent="0.25">
      <c r="A345" s="280">
        <v>328</v>
      </c>
      <c r="B345" s="703" t="str">
        <f>IF(VLOOKUP(A345,'דוח ביצוע (3)'!A:G,2,0)="","",VLOOKUP('תשלומי הורים ומלגות להורים (5) '!A345,'דוח ביצוע (3)'!A:G,2,0))</f>
        <v/>
      </c>
      <c r="C345" s="849"/>
      <c r="D345" s="219">
        <f>SUMIFS('דוח הוצאות בפועל (4)'!$E$17:$E$3016,'דוח הוצאות בפועל (4)'!$B$17:$B$3016,'תשלומי הורים ומלגות להורים (5) '!B345,'דוח הוצאות בפועל (4)'!$D$17:$D$3016,"מלגות להורים")</f>
        <v>0</v>
      </c>
      <c r="E345" s="219">
        <f t="shared" si="11"/>
        <v>0</v>
      </c>
      <c r="F345" s="704"/>
      <c r="G345" s="705"/>
      <c r="H345" s="705"/>
      <c r="I345" s="705"/>
      <c r="K345" s="220">
        <f>IFERROR(VLOOKUP(B345,'דוח ביצוע (3)'!B:J,8,0),0)</f>
        <v>0</v>
      </c>
      <c r="L345" s="220">
        <f t="shared" si="12"/>
        <v>0</v>
      </c>
      <c r="M345" s="705"/>
    </row>
    <row r="346" spans="1:13" ht="19.5" customHeight="1" x14ac:dyDescent="0.25">
      <c r="A346" s="280">
        <v>329</v>
      </c>
      <c r="B346" s="703" t="str">
        <f>IF(VLOOKUP(A346,'דוח ביצוע (3)'!A:G,2,0)="","",VLOOKUP('תשלומי הורים ומלגות להורים (5) '!A346,'דוח ביצוע (3)'!A:G,2,0))</f>
        <v/>
      </c>
      <c r="C346" s="849"/>
      <c r="D346" s="219">
        <f>SUMIFS('דוח הוצאות בפועל (4)'!$E$17:$E$3016,'דוח הוצאות בפועל (4)'!$B$17:$B$3016,'תשלומי הורים ומלגות להורים (5) '!B346,'דוח הוצאות בפועל (4)'!$D$17:$D$3016,"מלגות להורים")</f>
        <v>0</v>
      </c>
      <c r="E346" s="219">
        <f t="shared" si="11"/>
        <v>0</v>
      </c>
      <c r="F346" s="704"/>
      <c r="G346" s="705"/>
      <c r="H346" s="705"/>
      <c r="I346" s="705"/>
      <c r="K346" s="220">
        <f>IFERROR(VLOOKUP(B346,'דוח ביצוע (3)'!B:J,8,0),0)</f>
        <v>0</v>
      </c>
      <c r="L346" s="220">
        <f t="shared" si="12"/>
        <v>0</v>
      </c>
      <c r="M346" s="705"/>
    </row>
    <row r="347" spans="1:13" ht="19.5" customHeight="1" x14ac:dyDescent="0.25">
      <c r="A347" s="280">
        <v>330</v>
      </c>
      <c r="B347" s="703" t="str">
        <f>IF(VLOOKUP(A347,'דוח ביצוע (3)'!A:G,2,0)="","",VLOOKUP('תשלומי הורים ומלגות להורים (5) '!A347,'דוח ביצוע (3)'!A:G,2,0))</f>
        <v/>
      </c>
      <c r="C347" s="849"/>
      <c r="D347" s="219">
        <f>SUMIFS('דוח הוצאות בפועל (4)'!$E$17:$E$3016,'דוח הוצאות בפועל (4)'!$B$17:$B$3016,'תשלומי הורים ומלגות להורים (5) '!B347,'דוח הוצאות בפועל (4)'!$D$17:$D$3016,"מלגות להורים")</f>
        <v>0</v>
      </c>
      <c r="E347" s="219">
        <f t="shared" si="11"/>
        <v>0</v>
      </c>
      <c r="F347" s="704"/>
      <c r="G347" s="705"/>
      <c r="H347" s="705"/>
      <c r="I347" s="705"/>
      <c r="K347" s="220">
        <f>IFERROR(VLOOKUP(B347,'דוח ביצוע (3)'!B:J,8,0),0)</f>
        <v>0</v>
      </c>
      <c r="L347" s="220">
        <f t="shared" si="12"/>
        <v>0</v>
      </c>
      <c r="M347" s="705"/>
    </row>
    <row r="348" spans="1:13" ht="19.5" customHeight="1" x14ac:dyDescent="0.25">
      <c r="A348" s="280">
        <v>331</v>
      </c>
      <c r="B348" s="703" t="str">
        <f>IF(VLOOKUP(A348,'דוח ביצוע (3)'!A:G,2,0)="","",VLOOKUP('תשלומי הורים ומלגות להורים (5) '!A348,'דוח ביצוע (3)'!A:G,2,0))</f>
        <v/>
      </c>
      <c r="C348" s="849"/>
      <c r="D348" s="219">
        <f>SUMIFS('דוח הוצאות בפועל (4)'!$E$17:$E$3016,'דוח הוצאות בפועל (4)'!$B$17:$B$3016,'תשלומי הורים ומלגות להורים (5) '!B348,'דוח הוצאות בפועל (4)'!$D$17:$D$3016,"מלגות להורים")</f>
        <v>0</v>
      </c>
      <c r="E348" s="219">
        <f t="shared" si="11"/>
        <v>0</v>
      </c>
      <c r="F348" s="704"/>
      <c r="G348" s="705"/>
      <c r="H348" s="705"/>
      <c r="I348" s="705"/>
      <c r="K348" s="220">
        <f>IFERROR(VLOOKUP(B348,'דוח ביצוע (3)'!B:J,8,0),0)</f>
        <v>0</v>
      </c>
      <c r="L348" s="220">
        <f t="shared" si="12"/>
        <v>0</v>
      </c>
      <c r="M348" s="705"/>
    </row>
    <row r="349" spans="1:13" ht="19.5" customHeight="1" x14ac:dyDescent="0.25">
      <c r="A349" s="280">
        <v>332</v>
      </c>
      <c r="B349" s="703" t="str">
        <f>IF(VLOOKUP(A349,'דוח ביצוע (3)'!A:G,2,0)="","",VLOOKUP('תשלומי הורים ומלגות להורים (5) '!A349,'דוח ביצוע (3)'!A:G,2,0))</f>
        <v/>
      </c>
      <c r="C349" s="849"/>
      <c r="D349" s="219">
        <f>SUMIFS('דוח הוצאות בפועל (4)'!$E$17:$E$3016,'דוח הוצאות בפועל (4)'!$B$17:$B$3016,'תשלומי הורים ומלגות להורים (5) '!B349,'דוח הוצאות בפועל (4)'!$D$17:$D$3016,"מלגות להורים")</f>
        <v>0</v>
      </c>
      <c r="E349" s="219">
        <f t="shared" si="11"/>
        <v>0</v>
      </c>
      <c r="F349" s="704"/>
      <c r="G349" s="705"/>
      <c r="H349" s="705"/>
      <c r="I349" s="705"/>
      <c r="K349" s="220">
        <f>IFERROR(VLOOKUP(B349,'דוח ביצוע (3)'!B:J,8,0),0)</f>
        <v>0</v>
      </c>
      <c r="L349" s="220">
        <f t="shared" si="12"/>
        <v>0</v>
      </c>
      <c r="M349" s="705"/>
    </row>
    <row r="350" spans="1:13" ht="19.5" customHeight="1" x14ac:dyDescent="0.25">
      <c r="A350" s="280">
        <v>333</v>
      </c>
      <c r="B350" s="703" t="str">
        <f>IF(VLOOKUP(A350,'דוח ביצוע (3)'!A:G,2,0)="","",VLOOKUP('תשלומי הורים ומלגות להורים (5) '!A350,'דוח ביצוע (3)'!A:G,2,0))</f>
        <v/>
      </c>
      <c r="C350" s="849"/>
      <c r="D350" s="219">
        <f>SUMIFS('דוח הוצאות בפועל (4)'!$E$17:$E$3016,'דוח הוצאות בפועל (4)'!$B$17:$B$3016,'תשלומי הורים ומלגות להורים (5) '!B350,'דוח הוצאות בפועל (4)'!$D$17:$D$3016,"מלגות להורים")</f>
        <v>0</v>
      </c>
      <c r="E350" s="219">
        <f t="shared" si="11"/>
        <v>0</v>
      </c>
      <c r="F350" s="704"/>
      <c r="G350" s="705"/>
      <c r="H350" s="705"/>
      <c r="I350" s="705"/>
      <c r="K350" s="220">
        <f>IFERROR(VLOOKUP(B350,'דוח ביצוע (3)'!B:J,8,0),0)</f>
        <v>0</v>
      </c>
      <c r="L350" s="220">
        <f t="shared" si="12"/>
        <v>0</v>
      </c>
      <c r="M350" s="705"/>
    </row>
    <row r="351" spans="1:13" ht="19.5" customHeight="1" x14ac:dyDescent="0.25">
      <c r="A351" s="280">
        <v>334</v>
      </c>
      <c r="B351" s="703" t="str">
        <f>IF(VLOOKUP(A351,'דוח ביצוע (3)'!A:G,2,0)="","",VLOOKUP('תשלומי הורים ומלגות להורים (5) '!A351,'דוח ביצוע (3)'!A:G,2,0))</f>
        <v/>
      </c>
      <c r="C351" s="849"/>
      <c r="D351" s="219">
        <f>SUMIFS('דוח הוצאות בפועל (4)'!$E$17:$E$3016,'דוח הוצאות בפועל (4)'!$B$17:$B$3016,'תשלומי הורים ומלגות להורים (5) '!B351,'דוח הוצאות בפועל (4)'!$D$17:$D$3016,"מלגות להורים")</f>
        <v>0</v>
      </c>
      <c r="E351" s="219">
        <f t="shared" si="11"/>
        <v>0</v>
      </c>
      <c r="F351" s="704"/>
      <c r="G351" s="705"/>
      <c r="H351" s="705"/>
      <c r="I351" s="705"/>
      <c r="K351" s="220">
        <f>IFERROR(VLOOKUP(B351,'דוח ביצוע (3)'!B:J,8,0),0)</f>
        <v>0</v>
      </c>
      <c r="L351" s="220">
        <f t="shared" si="12"/>
        <v>0</v>
      </c>
      <c r="M351" s="705"/>
    </row>
    <row r="352" spans="1:13" ht="19.5" customHeight="1" x14ac:dyDescent="0.25">
      <c r="A352" s="280">
        <v>335</v>
      </c>
      <c r="B352" s="703" t="str">
        <f>IF(VLOOKUP(A352,'דוח ביצוע (3)'!A:G,2,0)="","",VLOOKUP('תשלומי הורים ומלגות להורים (5) '!A352,'דוח ביצוע (3)'!A:G,2,0))</f>
        <v/>
      </c>
      <c r="C352" s="849"/>
      <c r="D352" s="219">
        <f>SUMIFS('דוח הוצאות בפועל (4)'!$E$17:$E$3016,'דוח הוצאות בפועל (4)'!$B$17:$B$3016,'תשלומי הורים ומלגות להורים (5) '!B352,'דוח הוצאות בפועל (4)'!$D$17:$D$3016,"מלגות להורים")</f>
        <v>0</v>
      </c>
      <c r="E352" s="219">
        <f t="shared" si="11"/>
        <v>0</v>
      </c>
      <c r="F352" s="704"/>
      <c r="G352" s="705"/>
      <c r="H352" s="705"/>
      <c r="I352" s="705"/>
      <c r="K352" s="220">
        <f>IFERROR(VLOOKUP(B352,'דוח ביצוע (3)'!B:J,8,0),0)</f>
        <v>0</v>
      </c>
      <c r="L352" s="220">
        <f t="shared" si="12"/>
        <v>0</v>
      </c>
      <c r="M352" s="705"/>
    </row>
    <row r="353" spans="1:13" ht="19.5" customHeight="1" x14ac:dyDescent="0.25">
      <c r="A353" s="280">
        <v>336</v>
      </c>
      <c r="B353" s="703" t="str">
        <f>IF(VLOOKUP(A353,'דוח ביצוע (3)'!A:G,2,0)="","",VLOOKUP('תשלומי הורים ומלגות להורים (5) '!A353,'דוח ביצוע (3)'!A:G,2,0))</f>
        <v/>
      </c>
      <c r="C353" s="849"/>
      <c r="D353" s="219">
        <f>SUMIFS('דוח הוצאות בפועל (4)'!$E$17:$E$3016,'דוח הוצאות בפועל (4)'!$B$17:$B$3016,'תשלומי הורים ומלגות להורים (5) '!B353,'דוח הוצאות בפועל (4)'!$D$17:$D$3016,"מלגות להורים")</f>
        <v>0</v>
      </c>
      <c r="E353" s="219">
        <f t="shared" si="11"/>
        <v>0</v>
      </c>
      <c r="F353" s="704"/>
      <c r="G353" s="705"/>
      <c r="H353" s="705"/>
      <c r="I353" s="705"/>
      <c r="K353" s="220">
        <f>IFERROR(VLOOKUP(B353,'דוח ביצוע (3)'!B:J,8,0),0)</f>
        <v>0</v>
      </c>
      <c r="L353" s="220">
        <f t="shared" si="12"/>
        <v>0</v>
      </c>
      <c r="M353" s="705"/>
    </row>
    <row r="354" spans="1:13" ht="19.5" customHeight="1" x14ac:dyDescent="0.25">
      <c r="A354" s="280">
        <v>337</v>
      </c>
      <c r="B354" s="703" t="str">
        <f>IF(VLOOKUP(A354,'דוח ביצוע (3)'!A:G,2,0)="","",VLOOKUP('תשלומי הורים ומלגות להורים (5) '!A354,'דוח ביצוע (3)'!A:G,2,0))</f>
        <v/>
      </c>
      <c r="C354" s="849"/>
      <c r="D354" s="219">
        <f>SUMIFS('דוח הוצאות בפועל (4)'!$E$17:$E$3016,'דוח הוצאות בפועל (4)'!$B$17:$B$3016,'תשלומי הורים ומלגות להורים (5) '!B354,'דוח הוצאות בפועל (4)'!$D$17:$D$3016,"מלגות להורים")</f>
        <v>0</v>
      </c>
      <c r="E354" s="219">
        <f t="shared" si="11"/>
        <v>0</v>
      </c>
      <c r="F354" s="704"/>
      <c r="G354" s="705"/>
      <c r="H354" s="705"/>
      <c r="I354" s="705"/>
      <c r="K354" s="220">
        <f>IFERROR(VLOOKUP(B354,'דוח ביצוע (3)'!B:J,8,0),0)</f>
        <v>0</v>
      </c>
      <c r="L354" s="220">
        <f t="shared" si="12"/>
        <v>0</v>
      </c>
      <c r="M354" s="705"/>
    </row>
    <row r="355" spans="1:13" ht="19.5" customHeight="1" x14ac:dyDescent="0.25">
      <c r="A355" s="280">
        <v>338</v>
      </c>
      <c r="B355" s="703" t="str">
        <f>IF(VLOOKUP(A355,'דוח ביצוע (3)'!A:G,2,0)="","",VLOOKUP('תשלומי הורים ומלגות להורים (5) '!A355,'דוח ביצוע (3)'!A:G,2,0))</f>
        <v/>
      </c>
      <c r="C355" s="849"/>
      <c r="D355" s="219">
        <f>SUMIFS('דוח הוצאות בפועל (4)'!$E$17:$E$3016,'דוח הוצאות בפועל (4)'!$B$17:$B$3016,'תשלומי הורים ומלגות להורים (5) '!B355,'דוח הוצאות בפועל (4)'!$D$17:$D$3016,"מלגות להורים")</f>
        <v>0</v>
      </c>
      <c r="E355" s="219">
        <f t="shared" si="11"/>
        <v>0</v>
      </c>
      <c r="F355" s="704"/>
      <c r="G355" s="705"/>
      <c r="H355" s="705"/>
      <c r="I355" s="705"/>
      <c r="K355" s="220">
        <f>IFERROR(VLOOKUP(B355,'דוח ביצוע (3)'!B:J,8,0),0)</f>
        <v>0</v>
      </c>
      <c r="L355" s="220">
        <f t="shared" si="12"/>
        <v>0</v>
      </c>
      <c r="M355" s="705"/>
    </row>
    <row r="356" spans="1:13" ht="19.5" customHeight="1" x14ac:dyDescent="0.25">
      <c r="A356" s="280">
        <v>339</v>
      </c>
      <c r="B356" s="703" t="str">
        <f>IF(VLOOKUP(A356,'דוח ביצוע (3)'!A:G,2,0)="","",VLOOKUP('תשלומי הורים ומלגות להורים (5) '!A356,'דוח ביצוע (3)'!A:G,2,0))</f>
        <v/>
      </c>
      <c r="C356" s="849"/>
      <c r="D356" s="219">
        <f>SUMIFS('דוח הוצאות בפועל (4)'!$E$17:$E$3016,'דוח הוצאות בפועל (4)'!$B$17:$B$3016,'תשלומי הורים ומלגות להורים (5) '!B356,'דוח הוצאות בפועל (4)'!$D$17:$D$3016,"מלגות להורים")</f>
        <v>0</v>
      </c>
      <c r="E356" s="219">
        <f t="shared" si="11"/>
        <v>0</v>
      </c>
      <c r="F356" s="704"/>
      <c r="G356" s="705"/>
      <c r="H356" s="705"/>
      <c r="I356" s="705"/>
      <c r="K356" s="220">
        <f>IFERROR(VLOOKUP(B356,'דוח ביצוע (3)'!B:J,8,0),0)</f>
        <v>0</v>
      </c>
      <c r="L356" s="220">
        <f t="shared" si="12"/>
        <v>0</v>
      </c>
      <c r="M356" s="705"/>
    </row>
    <row r="357" spans="1:13" ht="19.5" customHeight="1" x14ac:dyDescent="0.25">
      <c r="A357" s="280">
        <v>340</v>
      </c>
      <c r="B357" s="703" t="str">
        <f>IF(VLOOKUP(A357,'דוח ביצוע (3)'!A:G,2,0)="","",VLOOKUP('תשלומי הורים ומלגות להורים (5) '!A357,'דוח ביצוע (3)'!A:G,2,0))</f>
        <v/>
      </c>
      <c r="C357" s="849"/>
      <c r="D357" s="219">
        <f>SUMIFS('דוח הוצאות בפועל (4)'!$E$17:$E$3016,'דוח הוצאות בפועל (4)'!$B$17:$B$3016,'תשלומי הורים ומלגות להורים (5) '!B357,'דוח הוצאות בפועל (4)'!$D$17:$D$3016,"מלגות להורים")</f>
        <v>0</v>
      </c>
      <c r="E357" s="219">
        <f t="shared" si="11"/>
        <v>0</v>
      </c>
      <c r="F357" s="704"/>
      <c r="G357" s="705"/>
      <c r="H357" s="705"/>
      <c r="I357" s="705"/>
      <c r="K357" s="220">
        <f>IFERROR(VLOOKUP(B357,'דוח ביצוע (3)'!B:J,8,0),0)</f>
        <v>0</v>
      </c>
      <c r="L357" s="220">
        <f t="shared" si="12"/>
        <v>0</v>
      </c>
      <c r="M357" s="705"/>
    </row>
    <row r="358" spans="1:13" ht="19.5" customHeight="1" x14ac:dyDescent="0.25">
      <c r="A358" s="280">
        <v>341</v>
      </c>
      <c r="B358" s="703" t="str">
        <f>IF(VLOOKUP(A358,'דוח ביצוע (3)'!A:G,2,0)="","",VLOOKUP('תשלומי הורים ומלגות להורים (5) '!A358,'דוח ביצוע (3)'!A:G,2,0))</f>
        <v/>
      </c>
      <c r="C358" s="849"/>
      <c r="D358" s="219">
        <f>SUMIFS('דוח הוצאות בפועל (4)'!$E$17:$E$3016,'דוח הוצאות בפועל (4)'!$B$17:$B$3016,'תשלומי הורים ומלגות להורים (5) '!B358,'דוח הוצאות בפועל (4)'!$D$17:$D$3016,"מלגות להורים")</f>
        <v>0</v>
      </c>
      <c r="E358" s="219">
        <f t="shared" si="11"/>
        <v>0</v>
      </c>
      <c r="F358" s="704"/>
      <c r="G358" s="705"/>
      <c r="H358" s="705"/>
      <c r="I358" s="705"/>
      <c r="K358" s="220">
        <f>IFERROR(VLOOKUP(B358,'דוח ביצוע (3)'!B:J,8,0),0)</f>
        <v>0</v>
      </c>
      <c r="L358" s="220">
        <f t="shared" si="12"/>
        <v>0</v>
      </c>
      <c r="M358" s="705"/>
    </row>
    <row r="359" spans="1:13" ht="19.5" customHeight="1" x14ac:dyDescent="0.25">
      <c r="A359" s="280">
        <v>342</v>
      </c>
      <c r="B359" s="703" t="str">
        <f>IF(VLOOKUP(A359,'דוח ביצוע (3)'!A:G,2,0)="","",VLOOKUP('תשלומי הורים ומלגות להורים (5) '!A359,'דוח ביצוע (3)'!A:G,2,0))</f>
        <v/>
      </c>
      <c r="C359" s="849"/>
      <c r="D359" s="219">
        <f>SUMIFS('דוח הוצאות בפועל (4)'!$E$17:$E$3016,'דוח הוצאות בפועל (4)'!$B$17:$B$3016,'תשלומי הורים ומלגות להורים (5) '!B359,'דוח הוצאות בפועל (4)'!$D$17:$D$3016,"מלגות להורים")</f>
        <v>0</v>
      </c>
      <c r="E359" s="219">
        <f t="shared" si="11"/>
        <v>0</v>
      </c>
      <c r="F359" s="704"/>
      <c r="G359" s="705"/>
      <c r="H359" s="705"/>
      <c r="I359" s="705"/>
      <c r="K359" s="220">
        <f>IFERROR(VLOOKUP(B359,'דוח ביצוע (3)'!B:J,8,0),0)</f>
        <v>0</v>
      </c>
      <c r="L359" s="220">
        <f t="shared" si="12"/>
        <v>0</v>
      </c>
      <c r="M359" s="705"/>
    </row>
    <row r="360" spans="1:13" ht="19.5" customHeight="1" x14ac:dyDescent="0.25">
      <c r="A360" s="280">
        <v>343</v>
      </c>
      <c r="B360" s="703" t="str">
        <f>IF(VLOOKUP(A360,'דוח ביצוע (3)'!A:G,2,0)="","",VLOOKUP('תשלומי הורים ומלגות להורים (5) '!A360,'דוח ביצוע (3)'!A:G,2,0))</f>
        <v/>
      </c>
      <c r="C360" s="849"/>
      <c r="D360" s="219">
        <f>SUMIFS('דוח הוצאות בפועל (4)'!$E$17:$E$3016,'דוח הוצאות בפועל (4)'!$B$17:$B$3016,'תשלומי הורים ומלגות להורים (5) '!B360,'דוח הוצאות בפועל (4)'!$D$17:$D$3016,"מלגות להורים")</f>
        <v>0</v>
      </c>
      <c r="E360" s="219">
        <f t="shared" si="11"/>
        <v>0</v>
      </c>
      <c r="F360" s="704"/>
      <c r="G360" s="705"/>
      <c r="H360" s="705"/>
      <c r="I360" s="705"/>
      <c r="K360" s="220">
        <f>IFERROR(VLOOKUP(B360,'דוח ביצוע (3)'!B:J,8,0),0)</f>
        <v>0</v>
      </c>
      <c r="L360" s="220">
        <f t="shared" si="12"/>
        <v>0</v>
      </c>
      <c r="M360" s="705"/>
    </row>
    <row r="361" spans="1:13" ht="19.5" customHeight="1" x14ac:dyDescent="0.25">
      <c r="A361" s="280">
        <v>344</v>
      </c>
      <c r="B361" s="703" t="str">
        <f>IF(VLOOKUP(A361,'דוח ביצוע (3)'!A:G,2,0)="","",VLOOKUP('תשלומי הורים ומלגות להורים (5) '!A361,'דוח ביצוע (3)'!A:G,2,0))</f>
        <v/>
      </c>
      <c r="C361" s="849"/>
      <c r="D361" s="219">
        <f>SUMIFS('דוח הוצאות בפועל (4)'!$E$17:$E$3016,'דוח הוצאות בפועל (4)'!$B$17:$B$3016,'תשלומי הורים ומלגות להורים (5) '!B361,'דוח הוצאות בפועל (4)'!$D$17:$D$3016,"מלגות להורים")</f>
        <v>0</v>
      </c>
      <c r="E361" s="219">
        <f t="shared" si="11"/>
        <v>0</v>
      </c>
      <c r="F361" s="704"/>
      <c r="G361" s="705"/>
      <c r="H361" s="705"/>
      <c r="I361" s="705"/>
      <c r="K361" s="220">
        <f>IFERROR(VLOOKUP(B361,'דוח ביצוע (3)'!B:J,8,0),0)</f>
        <v>0</v>
      </c>
      <c r="L361" s="220">
        <f t="shared" si="12"/>
        <v>0</v>
      </c>
      <c r="M361" s="705"/>
    </row>
    <row r="362" spans="1:13" ht="19.5" customHeight="1" x14ac:dyDescent="0.25">
      <c r="A362" s="280">
        <v>345</v>
      </c>
      <c r="B362" s="703" t="str">
        <f>IF(VLOOKUP(A362,'דוח ביצוע (3)'!A:G,2,0)="","",VLOOKUP('תשלומי הורים ומלגות להורים (5) '!A362,'דוח ביצוע (3)'!A:G,2,0))</f>
        <v/>
      </c>
      <c r="C362" s="849"/>
      <c r="D362" s="219">
        <f>SUMIFS('דוח הוצאות בפועל (4)'!$E$17:$E$3016,'דוח הוצאות בפועל (4)'!$B$17:$B$3016,'תשלומי הורים ומלגות להורים (5) '!B362,'דוח הוצאות בפועל (4)'!$D$17:$D$3016,"מלגות להורים")</f>
        <v>0</v>
      </c>
      <c r="E362" s="219">
        <f t="shared" si="11"/>
        <v>0</v>
      </c>
      <c r="F362" s="704"/>
      <c r="G362" s="705"/>
      <c r="H362" s="705"/>
      <c r="I362" s="705"/>
      <c r="K362" s="220">
        <f>IFERROR(VLOOKUP(B362,'דוח ביצוע (3)'!B:J,8,0),0)</f>
        <v>0</v>
      </c>
      <c r="L362" s="220">
        <f t="shared" si="12"/>
        <v>0</v>
      </c>
      <c r="M362" s="705"/>
    </row>
    <row r="363" spans="1:13" ht="19.5" customHeight="1" x14ac:dyDescent="0.25">
      <c r="A363" s="280">
        <v>346</v>
      </c>
      <c r="B363" s="703" t="str">
        <f>IF(VLOOKUP(A363,'דוח ביצוע (3)'!A:G,2,0)="","",VLOOKUP('תשלומי הורים ומלגות להורים (5) '!A363,'דוח ביצוע (3)'!A:G,2,0))</f>
        <v/>
      </c>
      <c r="C363" s="849"/>
      <c r="D363" s="219">
        <f>SUMIFS('דוח הוצאות בפועל (4)'!$E$17:$E$3016,'דוח הוצאות בפועל (4)'!$B$17:$B$3016,'תשלומי הורים ומלגות להורים (5) '!B363,'דוח הוצאות בפועל (4)'!$D$17:$D$3016,"מלגות להורים")</f>
        <v>0</v>
      </c>
      <c r="E363" s="219">
        <f t="shared" si="11"/>
        <v>0</v>
      </c>
      <c r="F363" s="704"/>
      <c r="G363" s="705"/>
      <c r="H363" s="705"/>
      <c r="I363" s="705"/>
      <c r="K363" s="220">
        <f>IFERROR(VLOOKUP(B363,'דוח ביצוע (3)'!B:J,8,0),0)</f>
        <v>0</v>
      </c>
      <c r="L363" s="220">
        <f t="shared" si="12"/>
        <v>0</v>
      </c>
      <c r="M363" s="705"/>
    </row>
    <row r="364" spans="1:13" ht="19.5" customHeight="1" x14ac:dyDescent="0.25">
      <c r="A364" s="280">
        <v>347</v>
      </c>
      <c r="B364" s="703" t="str">
        <f>IF(VLOOKUP(A364,'דוח ביצוע (3)'!A:G,2,0)="","",VLOOKUP('תשלומי הורים ומלגות להורים (5) '!A364,'דוח ביצוע (3)'!A:G,2,0))</f>
        <v/>
      </c>
      <c r="C364" s="849"/>
      <c r="D364" s="219">
        <f>SUMIFS('דוח הוצאות בפועל (4)'!$E$17:$E$3016,'דוח הוצאות בפועל (4)'!$B$17:$B$3016,'תשלומי הורים ומלגות להורים (5) '!B364,'דוח הוצאות בפועל (4)'!$D$17:$D$3016,"מלגות להורים")</f>
        <v>0</v>
      </c>
      <c r="E364" s="219">
        <f t="shared" si="11"/>
        <v>0</v>
      </c>
      <c r="F364" s="704"/>
      <c r="G364" s="705"/>
      <c r="H364" s="705"/>
      <c r="I364" s="705"/>
      <c r="K364" s="220">
        <f>IFERROR(VLOOKUP(B364,'דוח ביצוע (3)'!B:J,8,0),0)</f>
        <v>0</v>
      </c>
      <c r="L364" s="220">
        <f t="shared" si="12"/>
        <v>0</v>
      </c>
      <c r="M364" s="705"/>
    </row>
    <row r="365" spans="1:13" ht="19.5" customHeight="1" x14ac:dyDescent="0.25">
      <c r="A365" s="280">
        <v>348</v>
      </c>
      <c r="B365" s="703" t="str">
        <f>IF(VLOOKUP(A365,'דוח ביצוע (3)'!A:G,2,0)="","",VLOOKUP('תשלומי הורים ומלגות להורים (5) '!A365,'דוח ביצוע (3)'!A:G,2,0))</f>
        <v/>
      </c>
      <c r="C365" s="849"/>
      <c r="D365" s="219">
        <f>SUMIFS('דוח הוצאות בפועל (4)'!$E$17:$E$3016,'דוח הוצאות בפועל (4)'!$B$17:$B$3016,'תשלומי הורים ומלגות להורים (5) '!B365,'דוח הוצאות בפועל (4)'!$D$17:$D$3016,"מלגות להורים")</f>
        <v>0</v>
      </c>
      <c r="E365" s="219">
        <f t="shared" si="11"/>
        <v>0</v>
      </c>
      <c r="F365" s="704"/>
      <c r="G365" s="705"/>
      <c r="H365" s="705"/>
      <c r="I365" s="705"/>
      <c r="K365" s="220">
        <f>IFERROR(VLOOKUP(B365,'דוח ביצוע (3)'!B:J,8,0),0)</f>
        <v>0</v>
      </c>
      <c r="L365" s="220">
        <f t="shared" si="12"/>
        <v>0</v>
      </c>
      <c r="M365" s="705"/>
    </row>
    <row r="366" spans="1:13" ht="19.5" customHeight="1" x14ac:dyDescent="0.25">
      <c r="A366" s="280">
        <v>349</v>
      </c>
      <c r="B366" s="703" t="str">
        <f>IF(VLOOKUP(A366,'דוח ביצוע (3)'!A:G,2,0)="","",VLOOKUP('תשלומי הורים ומלגות להורים (5) '!A366,'דוח ביצוע (3)'!A:G,2,0))</f>
        <v/>
      </c>
      <c r="C366" s="849"/>
      <c r="D366" s="219">
        <f>SUMIFS('דוח הוצאות בפועל (4)'!$E$17:$E$3016,'דוח הוצאות בפועל (4)'!$B$17:$B$3016,'תשלומי הורים ומלגות להורים (5) '!B366,'דוח הוצאות בפועל (4)'!$D$17:$D$3016,"מלגות להורים")</f>
        <v>0</v>
      </c>
      <c r="E366" s="219">
        <f t="shared" si="11"/>
        <v>0</v>
      </c>
      <c r="F366" s="704"/>
      <c r="G366" s="705"/>
      <c r="H366" s="705"/>
      <c r="I366" s="705"/>
      <c r="K366" s="220">
        <f>IFERROR(VLOOKUP(B366,'דוח ביצוע (3)'!B:J,8,0),0)</f>
        <v>0</v>
      </c>
      <c r="L366" s="220">
        <f t="shared" si="12"/>
        <v>0</v>
      </c>
      <c r="M366" s="705"/>
    </row>
    <row r="367" spans="1:13" ht="19.5" customHeight="1" x14ac:dyDescent="0.25">
      <c r="A367" s="280">
        <v>350</v>
      </c>
      <c r="B367" s="703" t="str">
        <f>IF(VLOOKUP(A367,'דוח ביצוע (3)'!A:G,2,0)="","",VLOOKUP('תשלומי הורים ומלגות להורים (5) '!A367,'דוח ביצוע (3)'!A:G,2,0))</f>
        <v/>
      </c>
      <c r="C367" s="849"/>
      <c r="D367" s="219">
        <f>SUMIFS('דוח הוצאות בפועל (4)'!$E$17:$E$3016,'דוח הוצאות בפועל (4)'!$B$17:$B$3016,'תשלומי הורים ומלגות להורים (5) '!B367,'דוח הוצאות בפועל (4)'!$D$17:$D$3016,"מלגות להורים")</f>
        <v>0</v>
      </c>
      <c r="E367" s="219">
        <f t="shared" si="11"/>
        <v>0</v>
      </c>
      <c r="F367" s="704"/>
      <c r="G367" s="705"/>
      <c r="H367" s="705"/>
      <c r="I367" s="705"/>
      <c r="K367" s="220">
        <f>IFERROR(VLOOKUP(B367,'דוח ביצוע (3)'!B:J,8,0),0)</f>
        <v>0</v>
      </c>
      <c r="L367" s="220">
        <f t="shared" si="12"/>
        <v>0</v>
      </c>
      <c r="M367" s="705"/>
    </row>
    <row r="368" spans="1:13" ht="19.5" customHeight="1" x14ac:dyDescent="0.25">
      <c r="A368" s="280">
        <v>351</v>
      </c>
      <c r="B368" s="703" t="str">
        <f>IF(VLOOKUP(A368,'דוח ביצוע (3)'!A:G,2,0)="","",VLOOKUP('תשלומי הורים ומלגות להורים (5) '!A368,'דוח ביצוע (3)'!A:G,2,0))</f>
        <v/>
      </c>
      <c r="C368" s="849"/>
      <c r="D368" s="219">
        <f>SUMIFS('דוח הוצאות בפועל (4)'!$E$17:$E$3016,'דוח הוצאות בפועל (4)'!$B$17:$B$3016,'תשלומי הורים ומלגות להורים (5) '!B368,'דוח הוצאות בפועל (4)'!$D$17:$D$3016,"מלגות להורים")</f>
        <v>0</v>
      </c>
      <c r="E368" s="219">
        <f t="shared" si="11"/>
        <v>0</v>
      </c>
      <c r="F368" s="704"/>
      <c r="G368" s="705"/>
      <c r="H368" s="705"/>
      <c r="I368" s="705"/>
      <c r="K368" s="220">
        <f>IFERROR(VLOOKUP(B368,'דוח ביצוע (3)'!B:J,8,0),0)</f>
        <v>0</v>
      </c>
      <c r="L368" s="220">
        <f t="shared" si="12"/>
        <v>0</v>
      </c>
      <c r="M368" s="705"/>
    </row>
    <row r="369" spans="1:13" ht="19.5" customHeight="1" x14ac:dyDescent="0.25">
      <c r="A369" s="280">
        <v>352</v>
      </c>
      <c r="B369" s="703" t="str">
        <f>IF(VLOOKUP(A369,'דוח ביצוע (3)'!A:G,2,0)="","",VLOOKUP('תשלומי הורים ומלגות להורים (5) '!A369,'דוח ביצוע (3)'!A:G,2,0))</f>
        <v/>
      </c>
      <c r="C369" s="849"/>
      <c r="D369" s="219">
        <f>SUMIFS('דוח הוצאות בפועל (4)'!$E$17:$E$3016,'דוח הוצאות בפועל (4)'!$B$17:$B$3016,'תשלומי הורים ומלגות להורים (5) '!B369,'דוח הוצאות בפועל (4)'!$D$17:$D$3016,"מלגות להורים")</f>
        <v>0</v>
      </c>
      <c r="E369" s="219">
        <f t="shared" si="11"/>
        <v>0</v>
      </c>
      <c r="F369" s="704"/>
      <c r="G369" s="705"/>
      <c r="H369" s="705"/>
      <c r="I369" s="705"/>
      <c r="K369" s="220">
        <f>IFERROR(VLOOKUP(B369,'דוח ביצוע (3)'!B:J,8,0),0)</f>
        <v>0</v>
      </c>
      <c r="L369" s="220">
        <f t="shared" si="12"/>
        <v>0</v>
      </c>
      <c r="M369" s="705"/>
    </row>
    <row r="370" spans="1:13" ht="19.5" customHeight="1" x14ac:dyDescent="0.25">
      <c r="A370" s="280">
        <v>353</v>
      </c>
      <c r="B370" s="703" t="str">
        <f>IF(VLOOKUP(A370,'דוח ביצוע (3)'!A:G,2,0)="","",VLOOKUP('תשלומי הורים ומלגות להורים (5) '!A370,'דוח ביצוע (3)'!A:G,2,0))</f>
        <v/>
      </c>
      <c r="C370" s="849"/>
      <c r="D370" s="219">
        <f>SUMIFS('דוח הוצאות בפועל (4)'!$E$17:$E$3016,'דוח הוצאות בפועל (4)'!$B$17:$B$3016,'תשלומי הורים ומלגות להורים (5) '!B370,'דוח הוצאות בפועל (4)'!$D$17:$D$3016,"מלגות להורים")</f>
        <v>0</v>
      </c>
      <c r="E370" s="219">
        <f t="shared" si="11"/>
        <v>0</v>
      </c>
      <c r="F370" s="704"/>
      <c r="G370" s="705"/>
      <c r="H370" s="705"/>
      <c r="I370" s="705"/>
      <c r="K370" s="220">
        <f>IFERROR(VLOOKUP(B370,'דוח ביצוע (3)'!B:J,8,0),0)</f>
        <v>0</v>
      </c>
      <c r="L370" s="220">
        <f t="shared" si="12"/>
        <v>0</v>
      </c>
      <c r="M370" s="705"/>
    </row>
    <row r="371" spans="1:13" ht="19.5" customHeight="1" x14ac:dyDescent="0.25">
      <c r="A371" s="280">
        <v>354</v>
      </c>
      <c r="B371" s="703" t="str">
        <f>IF(VLOOKUP(A371,'דוח ביצוע (3)'!A:G,2,0)="","",VLOOKUP('תשלומי הורים ומלגות להורים (5) '!A371,'דוח ביצוע (3)'!A:G,2,0))</f>
        <v/>
      </c>
      <c r="C371" s="849"/>
      <c r="D371" s="219">
        <f>SUMIFS('דוח הוצאות בפועל (4)'!$E$17:$E$3016,'דוח הוצאות בפועל (4)'!$B$17:$B$3016,'תשלומי הורים ומלגות להורים (5) '!B371,'דוח הוצאות בפועל (4)'!$D$17:$D$3016,"מלגות להורים")</f>
        <v>0</v>
      </c>
      <c r="E371" s="219">
        <f t="shared" si="11"/>
        <v>0</v>
      </c>
      <c r="F371" s="704"/>
      <c r="G371" s="705"/>
      <c r="H371" s="705"/>
      <c r="I371" s="705"/>
      <c r="K371" s="220">
        <f>IFERROR(VLOOKUP(B371,'דוח ביצוע (3)'!B:J,8,0),0)</f>
        <v>0</v>
      </c>
      <c r="L371" s="220">
        <f t="shared" si="12"/>
        <v>0</v>
      </c>
      <c r="M371" s="705"/>
    </row>
    <row r="372" spans="1:13" ht="19.5" customHeight="1" x14ac:dyDescent="0.25">
      <c r="A372" s="280">
        <v>355</v>
      </c>
      <c r="B372" s="703" t="str">
        <f>IF(VLOOKUP(A372,'דוח ביצוע (3)'!A:G,2,0)="","",VLOOKUP('תשלומי הורים ומלגות להורים (5) '!A372,'דוח ביצוע (3)'!A:G,2,0))</f>
        <v/>
      </c>
      <c r="C372" s="849"/>
      <c r="D372" s="219">
        <f>SUMIFS('דוח הוצאות בפועל (4)'!$E$17:$E$3016,'דוח הוצאות בפועל (4)'!$B$17:$B$3016,'תשלומי הורים ומלגות להורים (5) '!B372,'דוח הוצאות בפועל (4)'!$D$17:$D$3016,"מלגות להורים")</f>
        <v>0</v>
      </c>
      <c r="E372" s="219">
        <f t="shared" si="11"/>
        <v>0</v>
      </c>
      <c r="F372" s="704"/>
      <c r="G372" s="705"/>
      <c r="H372" s="705"/>
      <c r="I372" s="705"/>
      <c r="K372" s="220">
        <f>IFERROR(VLOOKUP(B372,'דוח ביצוע (3)'!B:J,8,0),0)</f>
        <v>0</v>
      </c>
      <c r="L372" s="220">
        <f t="shared" si="12"/>
        <v>0</v>
      </c>
      <c r="M372" s="705"/>
    </row>
    <row r="373" spans="1:13" ht="19.5" customHeight="1" x14ac:dyDescent="0.25">
      <c r="A373" s="280">
        <v>356</v>
      </c>
      <c r="B373" s="703" t="str">
        <f>IF(VLOOKUP(A373,'דוח ביצוע (3)'!A:G,2,0)="","",VLOOKUP('תשלומי הורים ומלגות להורים (5) '!A373,'דוח ביצוע (3)'!A:G,2,0))</f>
        <v/>
      </c>
      <c r="C373" s="849"/>
      <c r="D373" s="219">
        <f>SUMIFS('דוח הוצאות בפועל (4)'!$E$17:$E$3016,'דוח הוצאות בפועל (4)'!$B$17:$B$3016,'תשלומי הורים ומלגות להורים (5) '!B373,'דוח הוצאות בפועל (4)'!$D$17:$D$3016,"מלגות להורים")</f>
        <v>0</v>
      </c>
      <c r="E373" s="219">
        <f t="shared" si="11"/>
        <v>0</v>
      </c>
      <c r="F373" s="704"/>
      <c r="G373" s="705"/>
      <c r="H373" s="705"/>
      <c r="I373" s="705"/>
      <c r="K373" s="220">
        <f>IFERROR(VLOOKUP(B373,'דוח ביצוע (3)'!B:J,8,0),0)</f>
        <v>0</v>
      </c>
      <c r="L373" s="220">
        <f t="shared" si="12"/>
        <v>0</v>
      </c>
      <c r="M373" s="705"/>
    </row>
    <row r="374" spans="1:13" ht="19.5" customHeight="1" x14ac:dyDescent="0.25">
      <c r="A374" s="280">
        <v>357</v>
      </c>
      <c r="B374" s="703" t="str">
        <f>IF(VLOOKUP(A374,'דוח ביצוע (3)'!A:G,2,0)="","",VLOOKUP('תשלומי הורים ומלגות להורים (5) '!A374,'דוח ביצוע (3)'!A:G,2,0))</f>
        <v/>
      </c>
      <c r="C374" s="849"/>
      <c r="D374" s="219">
        <f>SUMIFS('דוח הוצאות בפועל (4)'!$E$17:$E$3016,'דוח הוצאות בפועל (4)'!$B$17:$B$3016,'תשלומי הורים ומלגות להורים (5) '!B374,'דוח הוצאות בפועל (4)'!$D$17:$D$3016,"מלגות להורים")</f>
        <v>0</v>
      </c>
      <c r="E374" s="219">
        <f t="shared" si="11"/>
        <v>0</v>
      </c>
      <c r="F374" s="704"/>
      <c r="G374" s="705"/>
      <c r="H374" s="705"/>
      <c r="I374" s="705"/>
      <c r="K374" s="220">
        <f>IFERROR(VLOOKUP(B374,'דוח ביצוע (3)'!B:J,8,0),0)</f>
        <v>0</v>
      </c>
      <c r="L374" s="220">
        <f t="shared" si="12"/>
        <v>0</v>
      </c>
      <c r="M374" s="705"/>
    </row>
    <row r="375" spans="1:13" ht="19.5" customHeight="1" x14ac:dyDescent="0.25">
      <c r="A375" s="280">
        <v>358</v>
      </c>
      <c r="B375" s="703" t="str">
        <f>IF(VLOOKUP(A375,'דוח ביצוע (3)'!A:G,2,0)="","",VLOOKUP('תשלומי הורים ומלגות להורים (5) '!A375,'דוח ביצוע (3)'!A:G,2,0))</f>
        <v/>
      </c>
      <c r="C375" s="849"/>
      <c r="D375" s="219">
        <f>SUMIFS('דוח הוצאות בפועל (4)'!$E$17:$E$3016,'דוח הוצאות בפועל (4)'!$B$17:$B$3016,'תשלומי הורים ומלגות להורים (5) '!B375,'דוח הוצאות בפועל (4)'!$D$17:$D$3016,"מלגות להורים")</f>
        <v>0</v>
      </c>
      <c r="E375" s="219">
        <f t="shared" si="11"/>
        <v>0</v>
      </c>
      <c r="F375" s="704"/>
      <c r="G375" s="705"/>
      <c r="H375" s="705"/>
      <c r="I375" s="705"/>
      <c r="K375" s="220">
        <f>IFERROR(VLOOKUP(B375,'דוח ביצוע (3)'!B:J,8,0),0)</f>
        <v>0</v>
      </c>
      <c r="L375" s="220">
        <f t="shared" si="12"/>
        <v>0</v>
      </c>
      <c r="M375" s="705"/>
    </row>
    <row r="376" spans="1:13" ht="19.5" customHeight="1" x14ac:dyDescent="0.25">
      <c r="A376" s="280">
        <v>359</v>
      </c>
      <c r="B376" s="703" t="str">
        <f>IF(VLOOKUP(A376,'דוח ביצוע (3)'!A:G,2,0)="","",VLOOKUP('תשלומי הורים ומלגות להורים (5) '!A376,'דוח ביצוע (3)'!A:G,2,0))</f>
        <v/>
      </c>
      <c r="C376" s="849"/>
      <c r="D376" s="219">
        <f>SUMIFS('דוח הוצאות בפועל (4)'!$E$17:$E$3016,'דוח הוצאות בפועל (4)'!$B$17:$B$3016,'תשלומי הורים ומלגות להורים (5) '!B376,'דוח הוצאות בפועל (4)'!$D$17:$D$3016,"מלגות להורים")</f>
        <v>0</v>
      </c>
      <c r="E376" s="219">
        <f t="shared" si="11"/>
        <v>0</v>
      </c>
      <c r="F376" s="704"/>
      <c r="G376" s="705"/>
      <c r="H376" s="705"/>
      <c r="I376" s="705"/>
      <c r="K376" s="220">
        <f>IFERROR(VLOOKUP(B376,'דוח ביצוע (3)'!B:J,8,0),0)</f>
        <v>0</v>
      </c>
      <c r="L376" s="220">
        <f t="shared" si="12"/>
        <v>0</v>
      </c>
      <c r="M376" s="705"/>
    </row>
    <row r="377" spans="1:13" ht="19.5" customHeight="1" x14ac:dyDescent="0.25">
      <c r="A377" s="280">
        <v>360</v>
      </c>
      <c r="B377" s="703" t="str">
        <f>IF(VLOOKUP(A377,'דוח ביצוע (3)'!A:G,2,0)="","",VLOOKUP('תשלומי הורים ומלגות להורים (5) '!A377,'דוח ביצוע (3)'!A:G,2,0))</f>
        <v/>
      </c>
      <c r="C377" s="849"/>
      <c r="D377" s="219">
        <f>SUMIFS('דוח הוצאות בפועל (4)'!$E$17:$E$3016,'דוח הוצאות בפועל (4)'!$B$17:$B$3016,'תשלומי הורים ומלגות להורים (5) '!B377,'דוח הוצאות בפועל (4)'!$D$17:$D$3016,"מלגות להורים")</f>
        <v>0</v>
      </c>
      <c r="E377" s="219">
        <f t="shared" si="11"/>
        <v>0</v>
      </c>
      <c r="F377" s="704"/>
      <c r="G377" s="705"/>
      <c r="H377" s="705"/>
      <c r="I377" s="705"/>
      <c r="K377" s="220">
        <f>IFERROR(VLOOKUP(B377,'דוח ביצוע (3)'!B:J,8,0),0)</f>
        <v>0</v>
      </c>
      <c r="L377" s="220">
        <f t="shared" si="12"/>
        <v>0</v>
      </c>
      <c r="M377" s="705"/>
    </row>
    <row r="378" spans="1:13" ht="19.5" customHeight="1" x14ac:dyDescent="0.25">
      <c r="A378" s="280">
        <v>361</v>
      </c>
      <c r="B378" s="703" t="str">
        <f>IF(VLOOKUP(A378,'דוח ביצוע (3)'!A:G,2,0)="","",VLOOKUP('תשלומי הורים ומלגות להורים (5) '!A378,'דוח ביצוע (3)'!A:G,2,0))</f>
        <v/>
      </c>
      <c r="C378" s="849"/>
      <c r="D378" s="219">
        <f>SUMIFS('דוח הוצאות בפועל (4)'!$E$17:$E$3016,'דוח הוצאות בפועל (4)'!$B$17:$B$3016,'תשלומי הורים ומלגות להורים (5) '!B378,'דוח הוצאות בפועל (4)'!$D$17:$D$3016,"מלגות להורים")</f>
        <v>0</v>
      </c>
      <c r="E378" s="219">
        <f t="shared" si="11"/>
        <v>0</v>
      </c>
      <c r="F378" s="704"/>
      <c r="G378" s="705"/>
      <c r="H378" s="705"/>
      <c r="I378" s="705"/>
      <c r="K378" s="220">
        <f>IFERROR(VLOOKUP(B378,'דוח ביצוע (3)'!B:J,8,0),0)</f>
        <v>0</v>
      </c>
      <c r="L378" s="220">
        <f t="shared" si="12"/>
        <v>0</v>
      </c>
      <c r="M378" s="705"/>
    </row>
    <row r="379" spans="1:13" ht="19.5" customHeight="1" x14ac:dyDescent="0.25">
      <c r="A379" s="280">
        <v>362</v>
      </c>
      <c r="B379" s="703" t="str">
        <f>IF(VLOOKUP(A379,'דוח ביצוע (3)'!A:G,2,0)="","",VLOOKUP('תשלומי הורים ומלגות להורים (5) '!A379,'דוח ביצוע (3)'!A:G,2,0))</f>
        <v/>
      </c>
      <c r="C379" s="849"/>
      <c r="D379" s="219">
        <f>SUMIFS('דוח הוצאות בפועל (4)'!$E$17:$E$3016,'דוח הוצאות בפועל (4)'!$B$17:$B$3016,'תשלומי הורים ומלגות להורים (5) '!B379,'דוח הוצאות בפועל (4)'!$D$17:$D$3016,"מלגות להורים")</f>
        <v>0</v>
      </c>
      <c r="E379" s="219">
        <f t="shared" si="11"/>
        <v>0</v>
      </c>
      <c r="F379" s="704"/>
      <c r="G379" s="705"/>
      <c r="H379" s="705"/>
      <c r="I379" s="705"/>
      <c r="K379" s="220">
        <f>IFERROR(VLOOKUP(B379,'דוח ביצוע (3)'!B:J,8,0),0)</f>
        <v>0</v>
      </c>
      <c r="L379" s="220">
        <f t="shared" si="12"/>
        <v>0</v>
      </c>
      <c r="M379" s="705"/>
    </row>
    <row r="380" spans="1:13" ht="19.5" customHeight="1" x14ac:dyDescent="0.25">
      <c r="A380" s="280">
        <v>363</v>
      </c>
      <c r="B380" s="703" t="str">
        <f>IF(VLOOKUP(A380,'דוח ביצוע (3)'!A:G,2,0)="","",VLOOKUP('תשלומי הורים ומלגות להורים (5) '!A380,'דוח ביצוע (3)'!A:G,2,0))</f>
        <v/>
      </c>
      <c r="C380" s="849"/>
      <c r="D380" s="219">
        <f>SUMIFS('דוח הוצאות בפועל (4)'!$E$17:$E$3016,'דוח הוצאות בפועל (4)'!$B$17:$B$3016,'תשלומי הורים ומלגות להורים (5) '!B380,'דוח הוצאות בפועל (4)'!$D$17:$D$3016,"מלגות להורים")</f>
        <v>0</v>
      </c>
      <c r="E380" s="219">
        <f t="shared" si="11"/>
        <v>0</v>
      </c>
      <c r="F380" s="704"/>
      <c r="G380" s="705"/>
      <c r="H380" s="705"/>
      <c r="I380" s="705"/>
      <c r="K380" s="220">
        <f>IFERROR(VLOOKUP(B380,'דוח ביצוע (3)'!B:J,8,0),0)</f>
        <v>0</v>
      </c>
      <c r="L380" s="220">
        <f t="shared" si="12"/>
        <v>0</v>
      </c>
      <c r="M380" s="705"/>
    </row>
    <row r="381" spans="1:13" ht="19.5" customHeight="1" x14ac:dyDescent="0.25">
      <c r="A381" s="280">
        <v>364</v>
      </c>
      <c r="B381" s="703" t="str">
        <f>IF(VLOOKUP(A381,'דוח ביצוע (3)'!A:G,2,0)="","",VLOOKUP('תשלומי הורים ומלגות להורים (5) '!A381,'דוח ביצוע (3)'!A:G,2,0))</f>
        <v/>
      </c>
      <c r="C381" s="849"/>
      <c r="D381" s="219">
        <f>SUMIFS('דוח הוצאות בפועל (4)'!$E$17:$E$3016,'דוח הוצאות בפועל (4)'!$B$17:$B$3016,'תשלומי הורים ומלגות להורים (5) '!B381,'דוח הוצאות בפועל (4)'!$D$17:$D$3016,"מלגות להורים")</f>
        <v>0</v>
      </c>
      <c r="E381" s="219">
        <f t="shared" si="11"/>
        <v>0</v>
      </c>
      <c r="F381" s="704"/>
      <c r="G381" s="705"/>
      <c r="H381" s="705"/>
      <c r="I381" s="705"/>
      <c r="K381" s="220">
        <f>IFERROR(VLOOKUP(B381,'דוח ביצוע (3)'!B:J,8,0),0)</f>
        <v>0</v>
      </c>
      <c r="L381" s="220">
        <f t="shared" si="12"/>
        <v>0</v>
      </c>
      <c r="M381" s="705"/>
    </row>
    <row r="382" spans="1:13" ht="19.5" customHeight="1" x14ac:dyDescent="0.25">
      <c r="A382" s="280">
        <v>365</v>
      </c>
      <c r="B382" s="703" t="str">
        <f>IF(VLOOKUP(A382,'דוח ביצוע (3)'!A:G,2,0)="","",VLOOKUP('תשלומי הורים ומלגות להורים (5) '!A382,'דוח ביצוע (3)'!A:G,2,0))</f>
        <v/>
      </c>
      <c r="C382" s="849"/>
      <c r="D382" s="219">
        <f>SUMIFS('דוח הוצאות בפועל (4)'!$E$17:$E$3016,'דוח הוצאות בפועל (4)'!$B$17:$B$3016,'תשלומי הורים ומלגות להורים (5) '!B382,'דוח הוצאות בפועל (4)'!$D$17:$D$3016,"מלגות להורים")</f>
        <v>0</v>
      </c>
      <c r="E382" s="219">
        <f t="shared" si="11"/>
        <v>0</v>
      </c>
      <c r="F382" s="704"/>
      <c r="G382" s="705"/>
      <c r="H382" s="705"/>
      <c r="I382" s="705"/>
      <c r="K382" s="220">
        <f>IFERROR(VLOOKUP(B382,'דוח ביצוע (3)'!B:J,8,0),0)</f>
        <v>0</v>
      </c>
      <c r="L382" s="220">
        <f t="shared" si="12"/>
        <v>0</v>
      </c>
      <c r="M382" s="705"/>
    </row>
    <row r="383" spans="1:13" ht="19.5" customHeight="1" x14ac:dyDescent="0.25">
      <c r="A383" s="280">
        <v>366</v>
      </c>
      <c r="B383" s="703" t="str">
        <f>IF(VLOOKUP(A383,'דוח ביצוע (3)'!A:G,2,0)="","",VLOOKUP('תשלומי הורים ומלגות להורים (5) '!A383,'דוח ביצוע (3)'!A:G,2,0))</f>
        <v/>
      </c>
      <c r="C383" s="849"/>
      <c r="D383" s="219">
        <f>SUMIFS('דוח הוצאות בפועל (4)'!$E$17:$E$3016,'דוח הוצאות בפועל (4)'!$B$17:$B$3016,'תשלומי הורים ומלגות להורים (5) '!B383,'דוח הוצאות בפועל (4)'!$D$17:$D$3016,"מלגות להורים")</f>
        <v>0</v>
      </c>
      <c r="E383" s="219">
        <f t="shared" si="11"/>
        <v>0</v>
      </c>
      <c r="F383" s="704"/>
      <c r="G383" s="705"/>
      <c r="H383" s="705"/>
      <c r="I383" s="705"/>
      <c r="K383" s="220">
        <f>IFERROR(VLOOKUP(B383,'דוח ביצוע (3)'!B:J,8,0),0)</f>
        <v>0</v>
      </c>
      <c r="L383" s="220">
        <f t="shared" si="12"/>
        <v>0</v>
      </c>
      <c r="M383" s="705"/>
    </row>
    <row r="384" spans="1:13" ht="19.5" customHeight="1" x14ac:dyDescent="0.25">
      <c r="A384" s="280">
        <v>367</v>
      </c>
      <c r="B384" s="703" t="str">
        <f>IF(VLOOKUP(A384,'דוח ביצוע (3)'!A:G,2,0)="","",VLOOKUP('תשלומי הורים ומלגות להורים (5) '!A384,'דוח ביצוע (3)'!A:G,2,0))</f>
        <v/>
      </c>
      <c r="C384" s="849"/>
      <c r="D384" s="219">
        <f>SUMIFS('דוח הוצאות בפועל (4)'!$E$17:$E$3016,'דוח הוצאות בפועל (4)'!$B$17:$B$3016,'תשלומי הורים ומלגות להורים (5) '!B384,'דוח הוצאות בפועל (4)'!$D$17:$D$3016,"מלגות להורים")</f>
        <v>0</v>
      </c>
      <c r="E384" s="219">
        <f t="shared" si="11"/>
        <v>0</v>
      </c>
      <c r="F384" s="704"/>
      <c r="G384" s="705"/>
      <c r="H384" s="705"/>
      <c r="I384" s="705"/>
      <c r="K384" s="220">
        <f>IFERROR(VLOOKUP(B384,'דוח ביצוע (3)'!B:J,8,0),0)</f>
        <v>0</v>
      </c>
      <c r="L384" s="220">
        <f t="shared" si="12"/>
        <v>0</v>
      </c>
      <c r="M384" s="705"/>
    </row>
    <row r="385" spans="1:13" ht="19.5" customHeight="1" x14ac:dyDescent="0.25">
      <c r="A385" s="280">
        <v>368</v>
      </c>
      <c r="B385" s="703" t="str">
        <f>IF(VLOOKUP(A385,'דוח ביצוע (3)'!A:G,2,0)="","",VLOOKUP('תשלומי הורים ומלגות להורים (5) '!A385,'דוח ביצוע (3)'!A:G,2,0))</f>
        <v/>
      </c>
      <c r="C385" s="849"/>
      <c r="D385" s="219">
        <f>SUMIFS('דוח הוצאות בפועל (4)'!$E$17:$E$3016,'דוח הוצאות בפועל (4)'!$B$17:$B$3016,'תשלומי הורים ומלגות להורים (5) '!B385,'דוח הוצאות בפועל (4)'!$D$17:$D$3016,"מלגות להורים")</f>
        <v>0</v>
      </c>
      <c r="E385" s="219">
        <f t="shared" si="11"/>
        <v>0</v>
      </c>
      <c r="F385" s="704"/>
      <c r="G385" s="705"/>
      <c r="H385" s="705"/>
      <c r="I385" s="705"/>
      <c r="K385" s="220">
        <f>IFERROR(VLOOKUP(B385,'דוח ביצוע (3)'!B:J,8,0),0)</f>
        <v>0</v>
      </c>
      <c r="L385" s="220">
        <f t="shared" si="12"/>
        <v>0</v>
      </c>
      <c r="M385" s="705"/>
    </row>
    <row r="386" spans="1:13" ht="19.5" customHeight="1" x14ac:dyDescent="0.25">
      <c r="A386" s="280">
        <v>369</v>
      </c>
      <c r="B386" s="703" t="str">
        <f>IF(VLOOKUP(A386,'דוח ביצוע (3)'!A:G,2,0)="","",VLOOKUP('תשלומי הורים ומלגות להורים (5) '!A386,'דוח ביצוע (3)'!A:G,2,0))</f>
        <v/>
      </c>
      <c r="C386" s="849"/>
      <c r="D386" s="219">
        <f>SUMIFS('דוח הוצאות בפועל (4)'!$E$17:$E$3016,'דוח הוצאות בפועל (4)'!$B$17:$B$3016,'תשלומי הורים ומלגות להורים (5) '!B386,'דוח הוצאות בפועל (4)'!$D$17:$D$3016,"מלגות להורים")</f>
        <v>0</v>
      </c>
      <c r="E386" s="219">
        <f t="shared" si="11"/>
        <v>0</v>
      </c>
      <c r="F386" s="704"/>
      <c r="G386" s="705"/>
      <c r="H386" s="705"/>
      <c r="I386" s="705"/>
      <c r="K386" s="220">
        <f>IFERROR(VLOOKUP(B386,'דוח ביצוע (3)'!B:J,8,0),0)</f>
        <v>0</v>
      </c>
      <c r="L386" s="220">
        <f t="shared" si="12"/>
        <v>0</v>
      </c>
      <c r="M386" s="705"/>
    </row>
    <row r="387" spans="1:13" ht="19.5" customHeight="1" x14ac:dyDescent="0.25">
      <c r="A387" s="280">
        <v>370</v>
      </c>
      <c r="B387" s="703" t="str">
        <f>IF(VLOOKUP(A387,'דוח ביצוע (3)'!A:G,2,0)="","",VLOOKUP('תשלומי הורים ומלגות להורים (5) '!A387,'דוח ביצוע (3)'!A:G,2,0))</f>
        <v/>
      </c>
      <c r="C387" s="849"/>
      <c r="D387" s="219">
        <f>SUMIFS('דוח הוצאות בפועל (4)'!$E$17:$E$3016,'דוח הוצאות בפועל (4)'!$B$17:$B$3016,'תשלומי הורים ומלגות להורים (5) '!B387,'דוח הוצאות בפועל (4)'!$D$17:$D$3016,"מלגות להורים")</f>
        <v>0</v>
      </c>
      <c r="E387" s="219">
        <f t="shared" si="11"/>
        <v>0</v>
      </c>
      <c r="F387" s="704"/>
      <c r="G387" s="705"/>
      <c r="H387" s="705"/>
      <c r="I387" s="705"/>
      <c r="K387" s="220">
        <f>IFERROR(VLOOKUP(B387,'דוח ביצוע (3)'!B:J,8,0),0)</f>
        <v>0</v>
      </c>
      <c r="L387" s="220">
        <f t="shared" si="12"/>
        <v>0</v>
      </c>
      <c r="M387" s="705"/>
    </row>
    <row r="388" spans="1:13" ht="19.5" customHeight="1" x14ac:dyDescent="0.25">
      <c r="A388" s="280">
        <v>371</v>
      </c>
      <c r="B388" s="703" t="str">
        <f>IF(VLOOKUP(A388,'דוח ביצוע (3)'!A:G,2,0)="","",VLOOKUP('תשלומי הורים ומלגות להורים (5) '!A388,'דוח ביצוע (3)'!A:G,2,0))</f>
        <v/>
      </c>
      <c r="C388" s="849"/>
      <c r="D388" s="219">
        <f>SUMIFS('דוח הוצאות בפועל (4)'!$E$17:$E$3016,'דוח הוצאות בפועל (4)'!$B$17:$B$3016,'תשלומי הורים ומלגות להורים (5) '!B388,'דוח הוצאות בפועל (4)'!$D$17:$D$3016,"מלגות להורים")</f>
        <v>0</v>
      </c>
      <c r="E388" s="219">
        <f t="shared" si="11"/>
        <v>0</v>
      </c>
      <c r="F388" s="704"/>
      <c r="G388" s="705"/>
      <c r="H388" s="705"/>
      <c r="I388" s="705"/>
      <c r="K388" s="220">
        <f>IFERROR(VLOOKUP(B388,'דוח ביצוע (3)'!B:J,8,0),0)</f>
        <v>0</v>
      </c>
      <c r="L388" s="220">
        <f t="shared" si="12"/>
        <v>0</v>
      </c>
      <c r="M388" s="705"/>
    </row>
    <row r="389" spans="1:13" ht="19.5" customHeight="1" x14ac:dyDescent="0.25">
      <c r="A389" s="280">
        <v>372</v>
      </c>
      <c r="B389" s="703" t="str">
        <f>IF(VLOOKUP(A389,'דוח ביצוע (3)'!A:G,2,0)="","",VLOOKUP('תשלומי הורים ומלגות להורים (5) '!A389,'דוח ביצוע (3)'!A:G,2,0))</f>
        <v/>
      </c>
      <c r="C389" s="849"/>
      <c r="D389" s="219">
        <f>SUMIFS('דוח הוצאות בפועל (4)'!$E$17:$E$3016,'דוח הוצאות בפועל (4)'!$B$17:$B$3016,'תשלומי הורים ומלגות להורים (5) '!B389,'דוח הוצאות בפועל (4)'!$D$17:$D$3016,"מלגות להורים")</f>
        <v>0</v>
      </c>
      <c r="E389" s="219">
        <f t="shared" si="11"/>
        <v>0</v>
      </c>
      <c r="F389" s="704"/>
      <c r="G389" s="705"/>
      <c r="H389" s="705"/>
      <c r="I389" s="705"/>
      <c r="K389" s="220">
        <f>IFERROR(VLOOKUP(B389,'דוח ביצוע (3)'!B:J,8,0),0)</f>
        <v>0</v>
      </c>
      <c r="L389" s="220">
        <f t="shared" si="12"/>
        <v>0</v>
      </c>
      <c r="M389" s="705"/>
    </row>
    <row r="390" spans="1:13" ht="19.5" customHeight="1" x14ac:dyDescent="0.25">
      <c r="A390" s="280">
        <v>373</v>
      </c>
      <c r="B390" s="703" t="str">
        <f>IF(VLOOKUP(A390,'דוח ביצוע (3)'!A:G,2,0)="","",VLOOKUP('תשלומי הורים ומלגות להורים (5) '!A390,'דוח ביצוע (3)'!A:G,2,0))</f>
        <v/>
      </c>
      <c r="C390" s="849"/>
      <c r="D390" s="219">
        <f>SUMIFS('דוח הוצאות בפועל (4)'!$E$17:$E$3016,'דוח הוצאות בפועל (4)'!$B$17:$B$3016,'תשלומי הורים ומלגות להורים (5) '!B390,'דוח הוצאות בפועל (4)'!$D$17:$D$3016,"מלגות להורים")</f>
        <v>0</v>
      </c>
      <c r="E390" s="219">
        <f t="shared" si="11"/>
        <v>0</v>
      </c>
      <c r="F390" s="704"/>
      <c r="G390" s="705"/>
      <c r="H390" s="705"/>
      <c r="I390" s="705"/>
      <c r="K390" s="220">
        <f>IFERROR(VLOOKUP(B390,'דוח ביצוע (3)'!B:J,8,0),0)</f>
        <v>0</v>
      </c>
      <c r="L390" s="220">
        <f t="shared" si="12"/>
        <v>0</v>
      </c>
      <c r="M390" s="705"/>
    </row>
    <row r="391" spans="1:13" ht="19.5" customHeight="1" x14ac:dyDescent="0.25">
      <c r="A391" s="280">
        <v>374</v>
      </c>
      <c r="B391" s="703" t="str">
        <f>IF(VLOOKUP(A391,'דוח ביצוע (3)'!A:G,2,0)="","",VLOOKUP('תשלומי הורים ומלגות להורים (5) '!A391,'דוח ביצוע (3)'!A:G,2,0))</f>
        <v/>
      </c>
      <c r="C391" s="849"/>
      <c r="D391" s="219">
        <f>SUMIFS('דוח הוצאות בפועל (4)'!$E$17:$E$3016,'דוח הוצאות בפועל (4)'!$B$17:$B$3016,'תשלומי הורים ומלגות להורים (5) '!B391,'דוח הוצאות בפועל (4)'!$D$17:$D$3016,"מלגות להורים")</f>
        <v>0</v>
      </c>
      <c r="E391" s="219">
        <f t="shared" si="11"/>
        <v>0</v>
      </c>
      <c r="F391" s="704"/>
      <c r="G391" s="705"/>
      <c r="H391" s="705"/>
      <c r="I391" s="705"/>
      <c r="K391" s="220">
        <f>IFERROR(VLOOKUP(B391,'דוח ביצוע (3)'!B:J,8,0),0)</f>
        <v>0</v>
      </c>
      <c r="L391" s="220">
        <f t="shared" si="12"/>
        <v>0</v>
      </c>
      <c r="M391" s="705"/>
    </row>
    <row r="392" spans="1:13" ht="19.5" customHeight="1" x14ac:dyDescent="0.25">
      <c r="A392" s="280">
        <v>375</v>
      </c>
      <c r="B392" s="703" t="str">
        <f>IF(VLOOKUP(A392,'דוח ביצוע (3)'!A:G,2,0)="","",VLOOKUP('תשלומי הורים ומלגות להורים (5) '!A392,'דוח ביצוע (3)'!A:G,2,0))</f>
        <v/>
      </c>
      <c r="C392" s="849"/>
      <c r="D392" s="219">
        <f>SUMIFS('דוח הוצאות בפועל (4)'!$E$17:$E$3016,'דוח הוצאות בפועל (4)'!$B$17:$B$3016,'תשלומי הורים ומלגות להורים (5) '!B392,'דוח הוצאות בפועל (4)'!$D$17:$D$3016,"מלגות להורים")</f>
        <v>0</v>
      </c>
      <c r="E392" s="219">
        <f t="shared" si="11"/>
        <v>0</v>
      </c>
      <c r="F392" s="704"/>
      <c r="G392" s="705"/>
      <c r="H392" s="705"/>
      <c r="I392" s="705"/>
      <c r="K392" s="220">
        <f>IFERROR(VLOOKUP(B392,'דוח ביצוע (3)'!B:J,8,0),0)</f>
        <v>0</v>
      </c>
      <c r="L392" s="220">
        <f t="shared" si="12"/>
        <v>0</v>
      </c>
      <c r="M392" s="705"/>
    </row>
    <row r="393" spans="1:13" ht="19.5" customHeight="1" x14ac:dyDescent="0.25">
      <c r="A393" s="280">
        <v>376</v>
      </c>
      <c r="B393" s="703" t="str">
        <f>IF(VLOOKUP(A393,'דוח ביצוע (3)'!A:G,2,0)="","",VLOOKUP('תשלומי הורים ומלגות להורים (5) '!A393,'דוח ביצוע (3)'!A:G,2,0))</f>
        <v/>
      </c>
      <c r="C393" s="849"/>
      <c r="D393" s="219">
        <f>SUMIFS('דוח הוצאות בפועל (4)'!$E$17:$E$3016,'דוח הוצאות בפועל (4)'!$B$17:$B$3016,'תשלומי הורים ומלגות להורים (5) '!B393,'דוח הוצאות בפועל (4)'!$D$17:$D$3016,"מלגות להורים")</f>
        <v>0</v>
      </c>
      <c r="E393" s="219">
        <f t="shared" si="11"/>
        <v>0</v>
      </c>
      <c r="F393" s="704"/>
      <c r="G393" s="705"/>
      <c r="H393" s="705"/>
      <c r="I393" s="705"/>
      <c r="K393" s="220">
        <f>IFERROR(VLOOKUP(B393,'דוח ביצוע (3)'!B:J,8,0),0)</f>
        <v>0</v>
      </c>
      <c r="L393" s="220">
        <f t="shared" si="12"/>
        <v>0</v>
      </c>
      <c r="M393" s="705"/>
    </row>
    <row r="394" spans="1:13" ht="19.5" customHeight="1" x14ac:dyDescent="0.25">
      <c r="A394" s="280">
        <v>377</v>
      </c>
      <c r="B394" s="703" t="str">
        <f>IF(VLOOKUP(A394,'דוח ביצוע (3)'!A:G,2,0)="","",VLOOKUP('תשלומי הורים ומלגות להורים (5) '!A394,'דוח ביצוע (3)'!A:G,2,0))</f>
        <v/>
      </c>
      <c r="C394" s="849"/>
      <c r="D394" s="219">
        <f>SUMIFS('דוח הוצאות בפועל (4)'!$E$17:$E$3016,'דוח הוצאות בפועל (4)'!$B$17:$B$3016,'תשלומי הורים ומלגות להורים (5) '!B394,'דוח הוצאות בפועל (4)'!$D$17:$D$3016,"מלגות להורים")</f>
        <v>0</v>
      </c>
      <c r="E394" s="219">
        <f t="shared" si="11"/>
        <v>0</v>
      </c>
      <c r="F394" s="704"/>
      <c r="G394" s="705"/>
      <c r="H394" s="705"/>
      <c r="I394" s="705"/>
      <c r="K394" s="220">
        <f>IFERROR(VLOOKUP(B394,'דוח ביצוע (3)'!B:J,8,0),0)</f>
        <v>0</v>
      </c>
      <c r="L394" s="220">
        <f t="shared" si="12"/>
        <v>0</v>
      </c>
      <c r="M394" s="705"/>
    </row>
    <row r="395" spans="1:13" ht="19.5" customHeight="1" x14ac:dyDescent="0.25">
      <c r="A395" s="280">
        <v>378</v>
      </c>
      <c r="B395" s="703" t="str">
        <f>IF(VLOOKUP(A395,'דוח ביצוע (3)'!A:G,2,0)="","",VLOOKUP('תשלומי הורים ומלגות להורים (5) '!A395,'דוח ביצוע (3)'!A:G,2,0))</f>
        <v/>
      </c>
      <c r="C395" s="849"/>
      <c r="D395" s="219">
        <f>SUMIFS('דוח הוצאות בפועל (4)'!$E$17:$E$3016,'דוח הוצאות בפועל (4)'!$B$17:$B$3016,'תשלומי הורים ומלגות להורים (5) '!B395,'דוח הוצאות בפועל (4)'!$D$17:$D$3016,"מלגות להורים")</f>
        <v>0</v>
      </c>
      <c r="E395" s="219">
        <f t="shared" si="11"/>
        <v>0</v>
      </c>
      <c r="F395" s="704"/>
      <c r="G395" s="705"/>
      <c r="H395" s="705"/>
      <c r="I395" s="705"/>
      <c r="K395" s="220">
        <f>IFERROR(VLOOKUP(B395,'דוח ביצוע (3)'!B:J,8,0),0)</f>
        <v>0</v>
      </c>
      <c r="L395" s="220">
        <f t="shared" si="12"/>
        <v>0</v>
      </c>
      <c r="M395" s="705"/>
    </row>
    <row r="396" spans="1:13" ht="19.5" customHeight="1" x14ac:dyDescent="0.25">
      <c r="A396" s="280">
        <v>379</v>
      </c>
      <c r="B396" s="703" t="str">
        <f>IF(VLOOKUP(A396,'דוח ביצוע (3)'!A:G,2,0)="","",VLOOKUP('תשלומי הורים ומלגות להורים (5) '!A396,'דוח ביצוע (3)'!A:G,2,0))</f>
        <v/>
      </c>
      <c r="C396" s="849"/>
      <c r="D396" s="219">
        <f>SUMIFS('דוח הוצאות בפועל (4)'!$E$17:$E$3016,'דוח הוצאות בפועל (4)'!$B$17:$B$3016,'תשלומי הורים ומלגות להורים (5) '!B396,'דוח הוצאות בפועל (4)'!$D$17:$D$3016,"מלגות להורים")</f>
        <v>0</v>
      </c>
      <c r="E396" s="219">
        <f t="shared" si="11"/>
        <v>0</v>
      </c>
      <c r="F396" s="704"/>
      <c r="G396" s="705"/>
      <c r="H396" s="705"/>
      <c r="I396" s="705"/>
      <c r="K396" s="220">
        <f>IFERROR(VLOOKUP(B396,'דוח ביצוע (3)'!B:J,8,0),0)</f>
        <v>0</v>
      </c>
      <c r="L396" s="220">
        <f t="shared" si="12"/>
        <v>0</v>
      </c>
      <c r="M396" s="705"/>
    </row>
    <row r="397" spans="1:13" ht="19.5" customHeight="1" x14ac:dyDescent="0.25">
      <c r="A397" s="280">
        <v>380</v>
      </c>
      <c r="B397" s="703" t="str">
        <f>IF(VLOOKUP(A397,'דוח ביצוע (3)'!A:G,2,0)="","",VLOOKUP('תשלומי הורים ומלגות להורים (5) '!A397,'דוח ביצוע (3)'!A:G,2,0))</f>
        <v/>
      </c>
      <c r="C397" s="849"/>
      <c r="D397" s="219">
        <f>SUMIFS('דוח הוצאות בפועל (4)'!$E$17:$E$3016,'דוח הוצאות בפועל (4)'!$B$17:$B$3016,'תשלומי הורים ומלגות להורים (5) '!B397,'דוח הוצאות בפועל (4)'!$D$17:$D$3016,"מלגות להורים")</f>
        <v>0</v>
      </c>
      <c r="E397" s="219">
        <f t="shared" si="11"/>
        <v>0</v>
      </c>
      <c r="F397" s="704"/>
      <c r="G397" s="705"/>
      <c r="H397" s="705"/>
      <c r="I397" s="705"/>
      <c r="K397" s="220">
        <f>IFERROR(VLOOKUP(B397,'דוח ביצוע (3)'!B:J,8,0),0)</f>
        <v>0</v>
      </c>
      <c r="L397" s="220">
        <f t="shared" si="12"/>
        <v>0</v>
      </c>
      <c r="M397" s="705"/>
    </row>
    <row r="398" spans="1:13" ht="19.5" customHeight="1" x14ac:dyDescent="0.25">
      <c r="A398" s="280">
        <v>381</v>
      </c>
      <c r="B398" s="703" t="str">
        <f>IF(VLOOKUP(A398,'דוח ביצוע (3)'!A:G,2,0)="","",VLOOKUP('תשלומי הורים ומלגות להורים (5) '!A398,'דוח ביצוע (3)'!A:G,2,0))</f>
        <v/>
      </c>
      <c r="C398" s="849"/>
      <c r="D398" s="219">
        <f>SUMIFS('דוח הוצאות בפועל (4)'!$E$17:$E$3016,'דוח הוצאות בפועל (4)'!$B$17:$B$3016,'תשלומי הורים ומלגות להורים (5) '!B398,'דוח הוצאות בפועל (4)'!$D$17:$D$3016,"מלגות להורים")</f>
        <v>0</v>
      </c>
      <c r="E398" s="219">
        <f t="shared" si="11"/>
        <v>0</v>
      </c>
      <c r="F398" s="704"/>
      <c r="G398" s="705"/>
      <c r="H398" s="705"/>
      <c r="I398" s="705"/>
      <c r="K398" s="220">
        <f>IFERROR(VLOOKUP(B398,'דוח ביצוע (3)'!B:J,8,0),0)</f>
        <v>0</v>
      </c>
      <c r="L398" s="220">
        <f t="shared" si="12"/>
        <v>0</v>
      </c>
      <c r="M398" s="705"/>
    </row>
    <row r="399" spans="1:13" ht="19.5" customHeight="1" x14ac:dyDescent="0.25">
      <c r="A399" s="280">
        <v>382</v>
      </c>
      <c r="B399" s="703" t="str">
        <f>IF(VLOOKUP(A399,'דוח ביצוע (3)'!A:G,2,0)="","",VLOOKUP('תשלומי הורים ומלגות להורים (5) '!A399,'דוח ביצוע (3)'!A:G,2,0))</f>
        <v/>
      </c>
      <c r="C399" s="849"/>
      <c r="D399" s="219">
        <f>SUMIFS('דוח הוצאות בפועל (4)'!$E$17:$E$3016,'דוח הוצאות בפועל (4)'!$B$17:$B$3016,'תשלומי הורים ומלגות להורים (5) '!B399,'דוח הוצאות בפועל (4)'!$D$17:$D$3016,"מלגות להורים")</f>
        <v>0</v>
      </c>
      <c r="E399" s="219">
        <f t="shared" si="11"/>
        <v>0</v>
      </c>
      <c r="F399" s="704"/>
      <c r="G399" s="705"/>
      <c r="H399" s="705"/>
      <c r="I399" s="705"/>
      <c r="K399" s="220">
        <f>IFERROR(VLOOKUP(B399,'דוח ביצוע (3)'!B:J,8,0),0)</f>
        <v>0</v>
      </c>
      <c r="L399" s="220">
        <f t="shared" si="12"/>
        <v>0</v>
      </c>
      <c r="M399" s="705"/>
    </row>
    <row r="400" spans="1:13" ht="19.5" customHeight="1" x14ac:dyDescent="0.25">
      <c r="A400" s="280">
        <v>383</v>
      </c>
      <c r="B400" s="703" t="str">
        <f>IF(VLOOKUP(A400,'דוח ביצוע (3)'!A:G,2,0)="","",VLOOKUP('תשלומי הורים ומלגות להורים (5) '!A400,'דוח ביצוע (3)'!A:G,2,0))</f>
        <v/>
      </c>
      <c r="C400" s="849"/>
      <c r="D400" s="219">
        <f>SUMIFS('דוח הוצאות בפועל (4)'!$E$17:$E$3016,'דוח הוצאות בפועל (4)'!$B$17:$B$3016,'תשלומי הורים ומלגות להורים (5) '!B400,'דוח הוצאות בפועל (4)'!$D$17:$D$3016,"מלגות להורים")</f>
        <v>0</v>
      </c>
      <c r="E400" s="219">
        <f t="shared" si="11"/>
        <v>0</v>
      </c>
      <c r="F400" s="704"/>
      <c r="G400" s="705"/>
      <c r="H400" s="705"/>
      <c r="I400" s="705"/>
      <c r="K400" s="220">
        <f>IFERROR(VLOOKUP(B400,'דוח ביצוע (3)'!B:J,8,0),0)</f>
        <v>0</v>
      </c>
      <c r="L400" s="220">
        <f t="shared" si="12"/>
        <v>0</v>
      </c>
      <c r="M400" s="705"/>
    </row>
    <row r="401" spans="1:13" ht="19.5" customHeight="1" x14ac:dyDescent="0.25">
      <c r="A401" s="280">
        <v>384</v>
      </c>
      <c r="B401" s="703" t="str">
        <f>IF(VLOOKUP(A401,'דוח ביצוע (3)'!A:G,2,0)="","",VLOOKUP('תשלומי הורים ומלגות להורים (5) '!A401,'דוח ביצוע (3)'!A:G,2,0))</f>
        <v/>
      </c>
      <c r="C401" s="849"/>
      <c r="D401" s="219">
        <f>SUMIFS('דוח הוצאות בפועל (4)'!$E$17:$E$3016,'דוח הוצאות בפועל (4)'!$B$17:$B$3016,'תשלומי הורים ומלגות להורים (5) '!B401,'דוח הוצאות בפועל (4)'!$D$17:$D$3016,"מלגות להורים")</f>
        <v>0</v>
      </c>
      <c r="E401" s="219">
        <f t="shared" si="11"/>
        <v>0</v>
      </c>
      <c r="F401" s="704"/>
      <c r="G401" s="705"/>
      <c r="H401" s="705"/>
      <c r="I401" s="705"/>
      <c r="K401" s="220">
        <f>IFERROR(VLOOKUP(B401,'דוח ביצוע (3)'!B:J,8,0),0)</f>
        <v>0</v>
      </c>
      <c r="L401" s="220">
        <f t="shared" si="12"/>
        <v>0</v>
      </c>
      <c r="M401" s="705"/>
    </row>
    <row r="402" spans="1:13" ht="19.5" customHeight="1" x14ac:dyDescent="0.25">
      <c r="A402" s="280">
        <v>385</v>
      </c>
      <c r="B402" s="703" t="str">
        <f>IF(VLOOKUP(A402,'דוח ביצוע (3)'!A:G,2,0)="","",VLOOKUP('תשלומי הורים ומלגות להורים (5) '!A402,'דוח ביצוע (3)'!A:G,2,0))</f>
        <v/>
      </c>
      <c r="C402" s="849"/>
      <c r="D402" s="219">
        <f>SUMIFS('דוח הוצאות בפועל (4)'!$E$17:$E$3016,'דוח הוצאות בפועל (4)'!$B$17:$B$3016,'תשלומי הורים ומלגות להורים (5) '!B402,'דוח הוצאות בפועל (4)'!$D$17:$D$3016,"מלגות להורים")</f>
        <v>0</v>
      </c>
      <c r="E402" s="219">
        <f t="shared" si="11"/>
        <v>0</v>
      </c>
      <c r="F402" s="704"/>
      <c r="G402" s="705"/>
      <c r="H402" s="705"/>
      <c r="I402" s="705"/>
      <c r="K402" s="220">
        <f>IFERROR(VLOOKUP(B402,'דוח ביצוע (3)'!B:J,8,0),0)</f>
        <v>0</v>
      </c>
      <c r="L402" s="220">
        <f t="shared" si="12"/>
        <v>0</v>
      </c>
      <c r="M402" s="705"/>
    </row>
    <row r="403" spans="1:13" ht="19.5" customHeight="1" x14ac:dyDescent="0.25">
      <c r="A403" s="280">
        <v>386</v>
      </c>
      <c r="B403" s="703" t="str">
        <f>IF(VLOOKUP(A403,'דוח ביצוע (3)'!A:G,2,0)="","",VLOOKUP('תשלומי הורים ומלגות להורים (5) '!A403,'דוח ביצוע (3)'!A:G,2,0))</f>
        <v/>
      </c>
      <c r="C403" s="849"/>
      <c r="D403" s="219">
        <f>SUMIFS('דוח הוצאות בפועל (4)'!$E$17:$E$3016,'דוח הוצאות בפועל (4)'!$B$17:$B$3016,'תשלומי הורים ומלגות להורים (5) '!B403,'דוח הוצאות בפועל (4)'!$D$17:$D$3016,"מלגות להורים")</f>
        <v>0</v>
      </c>
      <c r="E403" s="219">
        <f t="shared" ref="E403:E466" si="13">C403-D403</f>
        <v>0</v>
      </c>
      <c r="F403" s="704"/>
      <c r="G403" s="705"/>
      <c r="H403" s="705"/>
      <c r="I403" s="705"/>
      <c r="K403" s="220">
        <f>IFERROR(VLOOKUP(B403,'דוח ביצוע (3)'!B:J,8,0),0)</f>
        <v>0</v>
      </c>
      <c r="L403" s="220">
        <f t="shared" ref="L403:L466" si="14">IFERROR(C403/I403-$C$5,0)</f>
        <v>0</v>
      </c>
      <c r="M403" s="705"/>
    </row>
    <row r="404" spans="1:13" ht="19.5" customHeight="1" x14ac:dyDescent="0.25">
      <c r="A404" s="280">
        <v>387</v>
      </c>
      <c r="B404" s="703" t="str">
        <f>IF(VLOOKUP(A404,'דוח ביצוע (3)'!A:G,2,0)="","",VLOOKUP('תשלומי הורים ומלגות להורים (5) '!A404,'דוח ביצוע (3)'!A:G,2,0))</f>
        <v/>
      </c>
      <c r="C404" s="849"/>
      <c r="D404" s="219">
        <f>SUMIFS('דוח הוצאות בפועל (4)'!$E$17:$E$3016,'דוח הוצאות בפועל (4)'!$B$17:$B$3016,'תשלומי הורים ומלגות להורים (5) '!B404,'דוח הוצאות בפועל (4)'!$D$17:$D$3016,"מלגות להורים")</f>
        <v>0</v>
      </c>
      <c r="E404" s="219">
        <f t="shared" si="13"/>
        <v>0</v>
      </c>
      <c r="F404" s="704"/>
      <c r="G404" s="705"/>
      <c r="H404" s="705"/>
      <c r="I404" s="705"/>
      <c r="K404" s="220">
        <f>IFERROR(VLOOKUP(B404,'דוח ביצוע (3)'!B:J,8,0),0)</f>
        <v>0</v>
      </c>
      <c r="L404" s="220">
        <f t="shared" si="14"/>
        <v>0</v>
      </c>
      <c r="M404" s="705"/>
    </row>
    <row r="405" spans="1:13" ht="19.5" customHeight="1" x14ac:dyDescent="0.25">
      <c r="A405" s="280">
        <v>388</v>
      </c>
      <c r="B405" s="703" t="str">
        <f>IF(VLOOKUP(A405,'דוח ביצוע (3)'!A:G,2,0)="","",VLOOKUP('תשלומי הורים ומלגות להורים (5) '!A405,'דוח ביצוע (3)'!A:G,2,0))</f>
        <v/>
      </c>
      <c r="C405" s="849"/>
      <c r="D405" s="219">
        <f>SUMIFS('דוח הוצאות בפועל (4)'!$E$17:$E$3016,'דוח הוצאות בפועל (4)'!$B$17:$B$3016,'תשלומי הורים ומלגות להורים (5) '!B405,'דוח הוצאות בפועל (4)'!$D$17:$D$3016,"מלגות להורים")</f>
        <v>0</v>
      </c>
      <c r="E405" s="219">
        <f t="shared" si="13"/>
        <v>0</v>
      </c>
      <c r="F405" s="704"/>
      <c r="G405" s="705"/>
      <c r="H405" s="705"/>
      <c r="I405" s="705"/>
      <c r="K405" s="220">
        <f>IFERROR(VLOOKUP(B405,'דוח ביצוע (3)'!B:J,8,0),0)</f>
        <v>0</v>
      </c>
      <c r="L405" s="220">
        <f t="shared" si="14"/>
        <v>0</v>
      </c>
      <c r="M405" s="705"/>
    </row>
    <row r="406" spans="1:13" ht="19.5" customHeight="1" x14ac:dyDescent="0.25">
      <c r="A406" s="280">
        <v>389</v>
      </c>
      <c r="B406" s="703" t="str">
        <f>IF(VLOOKUP(A406,'דוח ביצוע (3)'!A:G,2,0)="","",VLOOKUP('תשלומי הורים ומלגות להורים (5) '!A406,'דוח ביצוע (3)'!A:G,2,0))</f>
        <v/>
      </c>
      <c r="C406" s="849"/>
      <c r="D406" s="219">
        <f>SUMIFS('דוח הוצאות בפועל (4)'!$E$17:$E$3016,'דוח הוצאות בפועל (4)'!$B$17:$B$3016,'תשלומי הורים ומלגות להורים (5) '!B406,'דוח הוצאות בפועל (4)'!$D$17:$D$3016,"מלגות להורים")</f>
        <v>0</v>
      </c>
      <c r="E406" s="219">
        <f t="shared" si="13"/>
        <v>0</v>
      </c>
      <c r="F406" s="704"/>
      <c r="G406" s="705"/>
      <c r="H406" s="705"/>
      <c r="I406" s="705"/>
      <c r="K406" s="220">
        <f>IFERROR(VLOOKUP(B406,'דוח ביצוע (3)'!B:J,8,0),0)</f>
        <v>0</v>
      </c>
      <c r="L406" s="220">
        <f t="shared" si="14"/>
        <v>0</v>
      </c>
      <c r="M406" s="705"/>
    </row>
    <row r="407" spans="1:13" ht="19.5" customHeight="1" x14ac:dyDescent="0.25">
      <c r="A407" s="280">
        <v>390</v>
      </c>
      <c r="B407" s="703" t="str">
        <f>IF(VLOOKUP(A407,'דוח ביצוע (3)'!A:G,2,0)="","",VLOOKUP('תשלומי הורים ומלגות להורים (5) '!A407,'דוח ביצוע (3)'!A:G,2,0))</f>
        <v/>
      </c>
      <c r="C407" s="849"/>
      <c r="D407" s="219">
        <f>SUMIFS('דוח הוצאות בפועל (4)'!$E$17:$E$3016,'דוח הוצאות בפועל (4)'!$B$17:$B$3016,'תשלומי הורים ומלגות להורים (5) '!B407,'דוח הוצאות בפועל (4)'!$D$17:$D$3016,"מלגות להורים")</f>
        <v>0</v>
      </c>
      <c r="E407" s="219">
        <f t="shared" si="13"/>
        <v>0</v>
      </c>
      <c r="F407" s="704"/>
      <c r="G407" s="705"/>
      <c r="H407" s="705"/>
      <c r="I407" s="705"/>
      <c r="K407" s="220">
        <f>IFERROR(VLOOKUP(B407,'דוח ביצוע (3)'!B:J,8,0),0)</f>
        <v>0</v>
      </c>
      <c r="L407" s="220">
        <f t="shared" si="14"/>
        <v>0</v>
      </c>
      <c r="M407" s="705"/>
    </row>
    <row r="408" spans="1:13" ht="19.5" customHeight="1" x14ac:dyDescent="0.25">
      <c r="A408" s="280">
        <v>391</v>
      </c>
      <c r="B408" s="703" t="str">
        <f>IF(VLOOKUP(A408,'דוח ביצוע (3)'!A:G,2,0)="","",VLOOKUP('תשלומי הורים ומלגות להורים (5) '!A408,'דוח ביצוע (3)'!A:G,2,0))</f>
        <v/>
      </c>
      <c r="C408" s="849"/>
      <c r="D408" s="219">
        <f>SUMIFS('דוח הוצאות בפועל (4)'!$E$17:$E$3016,'דוח הוצאות בפועל (4)'!$B$17:$B$3016,'תשלומי הורים ומלגות להורים (5) '!B408,'דוח הוצאות בפועל (4)'!$D$17:$D$3016,"מלגות להורים")</f>
        <v>0</v>
      </c>
      <c r="E408" s="219">
        <f t="shared" si="13"/>
        <v>0</v>
      </c>
      <c r="F408" s="704"/>
      <c r="G408" s="705"/>
      <c r="H408" s="705"/>
      <c r="I408" s="705"/>
      <c r="K408" s="220">
        <f>IFERROR(VLOOKUP(B408,'דוח ביצוע (3)'!B:J,8,0),0)</f>
        <v>0</v>
      </c>
      <c r="L408" s="220">
        <f t="shared" si="14"/>
        <v>0</v>
      </c>
      <c r="M408" s="705"/>
    </row>
    <row r="409" spans="1:13" ht="19.5" customHeight="1" x14ac:dyDescent="0.25">
      <c r="A409" s="280">
        <v>392</v>
      </c>
      <c r="B409" s="703" t="str">
        <f>IF(VLOOKUP(A409,'דוח ביצוע (3)'!A:G,2,0)="","",VLOOKUP('תשלומי הורים ומלגות להורים (5) '!A409,'דוח ביצוע (3)'!A:G,2,0))</f>
        <v/>
      </c>
      <c r="C409" s="849"/>
      <c r="D409" s="219">
        <f>SUMIFS('דוח הוצאות בפועל (4)'!$E$17:$E$3016,'דוח הוצאות בפועל (4)'!$B$17:$B$3016,'תשלומי הורים ומלגות להורים (5) '!B409,'דוח הוצאות בפועל (4)'!$D$17:$D$3016,"מלגות להורים")</f>
        <v>0</v>
      </c>
      <c r="E409" s="219">
        <f t="shared" si="13"/>
        <v>0</v>
      </c>
      <c r="F409" s="704"/>
      <c r="G409" s="705"/>
      <c r="H409" s="705"/>
      <c r="I409" s="705"/>
      <c r="K409" s="220">
        <f>IFERROR(VLOOKUP(B409,'דוח ביצוע (3)'!B:J,8,0),0)</f>
        <v>0</v>
      </c>
      <c r="L409" s="220">
        <f t="shared" si="14"/>
        <v>0</v>
      </c>
      <c r="M409" s="705"/>
    </row>
    <row r="410" spans="1:13" ht="19.5" customHeight="1" x14ac:dyDescent="0.25">
      <c r="A410" s="280">
        <v>393</v>
      </c>
      <c r="B410" s="703" t="str">
        <f>IF(VLOOKUP(A410,'דוח ביצוע (3)'!A:G,2,0)="","",VLOOKUP('תשלומי הורים ומלגות להורים (5) '!A410,'דוח ביצוע (3)'!A:G,2,0))</f>
        <v/>
      </c>
      <c r="C410" s="849"/>
      <c r="D410" s="219">
        <f>SUMIFS('דוח הוצאות בפועל (4)'!$E$17:$E$3016,'דוח הוצאות בפועל (4)'!$B$17:$B$3016,'תשלומי הורים ומלגות להורים (5) '!B410,'דוח הוצאות בפועל (4)'!$D$17:$D$3016,"מלגות להורים")</f>
        <v>0</v>
      </c>
      <c r="E410" s="219">
        <f t="shared" si="13"/>
        <v>0</v>
      </c>
      <c r="F410" s="704"/>
      <c r="G410" s="705"/>
      <c r="H410" s="705"/>
      <c r="I410" s="705"/>
      <c r="K410" s="220">
        <f>IFERROR(VLOOKUP(B410,'דוח ביצוע (3)'!B:J,8,0),0)</f>
        <v>0</v>
      </c>
      <c r="L410" s="220">
        <f t="shared" si="14"/>
        <v>0</v>
      </c>
      <c r="M410" s="705"/>
    </row>
    <row r="411" spans="1:13" ht="19.5" customHeight="1" x14ac:dyDescent="0.25">
      <c r="A411" s="280">
        <v>394</v>
      </c>
      <c r="B411" s="703" t="str">
        <f>IF(VLOOKUP(A411,'דוח ביצוע (3)'!A:G,2,0)="","",VLOOKUP('תשלומי הורים ומלגות להורים (5) '!A411,'דוח ביצוע (3)'!A:G,2,0))</f>
        <v/>
      </c>
      <c r="C411" s="849"/>
      <c r="D411" s="219">
        <f>SUMIFS('דוח הוצאות בפועל (4)'!$E$17:$E$3016,'דוח הוצאות בפועל (4)'!$B$17:$B$3016,'תשלומי הורים ומלגות להורים (5) '!B411,'דוח הוצאות בפועל (4)'!$D$17:$D$3016,"מלגות להורים")</f>
        <v>0</v>
      </c>
      <c r="E411" s="219">
        <f t="shared" si="13"/>
        <v>0</v>
      </c>
      <c r="F411" s="704"/>
      <c r="G411" s="705"/>
      <c r="H411" s="705"/>
      <c r="I411" s="705"/>
      <c r="K411" s="220">
        <f>IFERROR(VLOOKUP(B411,'דוח ביצוע (3)'!B:J,8,0),0)</f>
        <v>0</v>
      </c>
      <c r="L411" s="220">
        <f t="shared" si="14"/>
        <v>0</v>
      </c>
      <c r="M411" s="705"/>
    </row>
    <row r="412" spans="1:13" ht="19.5" customHeight="1" x14ac:dyDescent="0.25">
      <c r="A412" s="280">
        <v>395</v>
      </c>
      <c r="B412" s="703" t="str">
        <f>IF(VLOOKUP(A412,'דוח ביצוע (3)'!A:G,2,0)="","",VLOOKUP('תשלומי הורים ומלגות להורים (5) '!A412,'דוח ביצוע (3)'!A:G,2,0))</f>
        <v/>
      </c>
      <c r="C412" s="849"/>
      <c r="D412" s="219">
        <f>SUMIFS('דוח הוצאות בפועל (4)'!$E$17:$E$3016,'דוח הוצאות בפועל (4)'!$B$17:$B$3016,'תשלומי הורים ומלגות להורים (5) '!B412,'דוח הוצאות בפועל (4)'!$D$17:$D$3016,"מלגות להורים")</f>
        <v>0</v>
      </c>
      <c r="E412" s="219">
        <f t="shared" si="13"/>
        <v>0</v>
      </c>
      <c r="F412" s="704"/>
      <c r="G412" s="705"/>
      <c r="H412" s="705"/>
      <c r="I412" s="705"/>
      <c r="K412" s="220">
        <f>IFERROR(VLOOKUP(B412,'דוח ביצוע (3)'!B:J,8,0),0)</f>
        <v>0</v>
      </c>
      <c r="L412" s="220">
        <f t="shared" si="14"/>
        <v>0</v>
      </c>
      <c r="M412" s="705"/>
    </row>
    <row r="413" spans="1:13" ht="19.5" customHeight="1" x14ac:dyDescent="0.25">
      <c r="A413" s="280">
        <v>396</v>
      </c>
      <c r="B413" s="703" t="str">
        <f>IF(VLOOKUP(A413,'דוח ביצוע (3)'!A:G,2,0)="","",VLOOKUP('תשלומי הורים ומלגות להורים (5) '!A413,'דוח ביצוע (3)'!A:G,2,0))</f>
        <v/>
      </c>
      <c r="C413" s="849"/>
      <c r="D413" s="219">
        <f>SUMIFS('דוח הוצאות בפועל (4)'!$E$17:$E$3016,'דוח הוצאות בפועל (4)'!$B$17:$B$3016,'תשלומי הורים ומלגות להורים (5) '!B413,'דוח הוצאות בפועל (4)'!$D$17:$D$3016,"מלגות להורים")</f>
        <v>0</v>
      </c>
      <c r="E413" s="219">
        <f t="shared" si="13"/>
        <v>0</v>
      </c>
      <c r="F413" s="704"/>
      <c r="G413" s="705"/>
      <c r="H413" s="705"/>
      <c r="I413" s="705"/>
      <c r="K413" s="220">
        <f>IFERROR(VLOOKUP(B413,'דוח ביצוע (3)'!B:J,8,0),0)</f>
        <v>0</v>
      </c>
      <c r="L413" s="220">
        <f t="shared" si="14"/>
        <v>0</v>
      </c>
      <c r="M413" s="705"/>
    </row>
    <row r="414" spans="1:13" ht="19.5" customHeight="1" x14ac:dyDescent="0.25">
      <c r="A414" s="280">
        <v>397</v>
      </c>
      <c r="B414" s="703" t="str">
        <f>IF(VLOOKUP(A414,'דוח ביצוע (3)'!A:G,2,0)="","",VLOOKUP('תשלומי הורים ומלגות להורים (5) '!A414,'דוח ביצוע (3)'!A:G,2,0))</f>
        <v/>
      </c>
      <c r="C414" s="849"/>
      <c r="D414" s="219">
        <f>SUMIFS('דוח הוצאות בפועל (4)'!$E$17:$E$3016,'דוח הוצאות בפועל (4)'!$B$17:$B$3016,'תשלומי הורים ומלגות להורים (5) '!B414,'דוח הוצאות בפועל (4)'!$D$17:$D$3016,"מלגות להורים")</f>
        <v>0</v>
      </c>
      <c r="E414" s="219">
        <f t="shared" si="13"/>
        <v>0</v>
      </c>
      <c r="F414" s="704"/>
      <c r="G414" s="705"/>
      <c r="H414" s="705"/>
      <c r="I414" s="705"/>
      <c r="K414" s="220">
        <f>IFERROR(VLOOKUP(B414,'דוח ביצוע (3)'!B:J,8,0),0)</f>
        <v>0</v>
      </c>
      <c r="L414" s="220">
        <f t="shared" si="14"/>
        <v>0</v>
      </c>
      <c r="M414" s="705"/>
    </row>
    <row r="415" spans="1:13" ht="19.5" customHeight="1" x14ac:dyDescent="0.25">
      <c r="A415" s="280">
        <v>398</v>
      </c>
      <c r="B415" s="703" t="str">
        <f>IF(VLOOKUP(A415,'דוח ביצוע (3)'!A:G,2,0)="","",VLOOKUP('תשלומי הורים ומלגות להורים (5) '!A415,'דוח ביצוע (3)'!A:G,2,0))</f>
        <v/>
      </c>
      <c r="C415" s="849"/>
      <c r="D415" s="219">
        <f>SUMIFS('דוח הוצאות בפועל (4)'!$E$17:$E$3016,'דוח הוצאות בפועל (4)'!$B$17:$B$3016,'תשלומי הורים ומלגות להורים (5) '!B415,'דוח הוצאות בפועל (4)'!$D$17:$D$3016,"מלגות להורים")</f>
        <v>0</v>
      </c>
      <c r="E415" s="219">
        <f t="shared" si="13"/>
        <v>0</v>
      </c>
      <c r="F415" s="704"/>
      <c r="G415" s="705"/>
      <c r="H415" s="705"/>
      <c r="I415" s="705"/>
      <c r="K415" s="220">
        <f>IFERROR(VLOOKUP(B415,'דוח ביצוע (3)'!B:J,8,0),0)</f>
        <v>0</v>
      </c>
      <c r="L415" s="220">
        <f t="shared" si="14"/>
        <v>0</v>
      </c>
      <c r="M415" s="705"/>
    </row>
    <row r="416" spans="1:13" ht="19.5" customHeight="1" x14ac:dyDescent="0.25">
      <c r="A416" s="280">
        <v>399</v>
      </c>
      <c r="B416" s="703" t="str">
        <f>IF(VLOOKUP(A416,'דוח ביצוע (3)'!A:G,2,0)="","",VLOOKUP('תשלומי הורים ומלגות להורים (5) '!A416,'דוח ביצוע (3)'!A:G,2,0))</f>
        <v/>
      </c>
      <c r="C416" s="849"/>
      <c r="D416" s="219">
        <f>SUMIFS('דוח הוצאות בפועל (4)'!$E$17:$E$3016,'דוח הוצאות בפועל (4)'!$B$17:$B$3016,'תשלומי הורים ומלגות להורים (5) '!B416,'דוח הוצאות בפועל (4)'!$D$17:$D$3016,"מלגות להורים")</f>
        <v>0</v>
      </c>
      <c r="E416" s="219">
        <f t="shared" si="13"/>
        <v>0</v>
      </c>
      <c r="F416" s="704"/>
      <c r="G416" s="705"/>
      <c r="H416" s="705"/>
      <c r="I416" s="705"/>
      <c r="K416" s="220">
        <f>IFERROR(VLOOKUP(B416,'דוח ביצוע (3)'!B:J,8,0),0)</f>
        <v>0</v>
      </c>
      <c r="L416" s="220">
        <f t="shared" si="14"/>
        <v>0</v>
      </c>
      <c r="M416" s="705"/>
    </row>
    <row r="417" spans="1:13" ht="19.5" customHeight="1" x14ac:dyDescent="0.25">
      <c r="A417" s="280">
        <v>400</v>
      </c>
      <c r="B417" s="703" t="str">
        <f>IF(VLOOKUP(A417,'דוח ביצוע (3)'!A:G,2,0)="","",VLOOKUP('תשלומי הורים ומלגות להורים (5) '!A417,'דוח ביצוע (3)'!A:G,2,0))</f>
        <v/>
      </c>
      <c r="C417" s="849"/>
      <c r="D417" s="219">
        <f>SUMIFS('דוח הוצאות בפועל (4)'!$E$17:$E$3016,'דוח הוצאות בפועל (4)'!$B$17:$B$3016,'תשלומי הורים ומלגות להורים (5) '!B417,'דוח הוצאות בפועל (4)'!$D$17:$D$3016,"מלגות להורים")</f>
        <v>0</v>
      </c>
      <c r="E417" s="219">
        <f t="shared" si="13"/>
        <v>0</v>
      </c>
      <c r="F417" s="704"/>
      <c r="G417" s="705"/>
      <c r="H417" s="705"/>
      <c r="I417" s="705"/>
      <c r="K417" s="220">
        <f>IFERROR(VLOOKUP(B417,'דוח ביצוע (3)'!B:J,8,0),0)</f>
        <v>0</v>
      </c>
      <c r="L417" s="220">
        <f t="shared" si="14"/>
        <v>0</v>
      </c>
      <c r="M417" s="705"/>
    </row>
    <row r="418" spans="1:13" ht="19.5" customHeight="1" x14ac:dyDescent="0.25">
      <c r="A418" s="280">
        <v>401</v>
      </c>
      <c r="B418" s="703" t="str">
        <f>IF(VLOOKUP(A418,'דוח ביצוע (3)'!A:G,2,0)="","",VLOOKUP('תשלומי הורים ומלגות להורים (5) '!A418,'דוח ביצוע (3)'!A:G,2,0))</f>
        <v/>
      </c>
      <c r="C418" s="849"/>
      <c r="D418" s="219">
        <f>SUMIFS('דוח הוצאות בפועל (4)'!$E$17:$E$3016,'דוח הוצאות בפועל (4)'!$B$17:$B$3016,'תשלומי הורים ומלגות להורים (5) '!B418,'דוח הוצאות בפועל (4)'!$D$17:$D$3016,"מלגות להורים")</f>
        <v>0</v>
      </c>
      <c r="E418" s="219">
        <f t="shared" si="13"/>
        <v>0</v>
      </c>
      <c r="F418" s="704"/>
      <c r="G418" s="705"/>
      <c r="H418" s="705"/>
      <c r="I418" s="705"/>
      <c r="K418" s="220">
        <f>IFERROR(VLOOKUP(B418,'דוח ביצוע (3)'!B:J,8,0),0)</f>
        <v>0</v>
      </c>
      <c r="L418" s="220">
        <f t="shared" si="14"/>
        <v>0</v>
      </c>
      <c r="M418" s="705"/>
    </row>
    <row r="419" spans="1:13" ht="19.5" customHeight="1" x14ac:dyDescent="0.25">
      <c r="A419" s="280">
        <v>402</v>
      </c>
      <c r="B419" s="703" t="str">
        <f>IF(VLOOKUP(A419,'דוח ביצוע (3)'!A:G,2,0)="","",VLOOKUP('תשלומי הורים ומלגות להורים (5) '!A419,'דוח ביצוע (3)'!A:G,2,0))</f>
        <v/>
      </c>
      <c r="C419" s="849"/>
      <c r="D419" s="219">
        <f>SUMIFS('דוח הוצאות בפועל (4)'!$E$17:$E$3016,'דוח הוצאות בפועל (4)'!$B$17:$B$3016,'תשלומי הורים ומלגות להורים (5) '!B419,'דוח הוצאות בפועל (4)'!$D$17:$D$3016,"מלגות להורים")</f>
        <v>0</v>
      </c>
      <c r="E419" s="219">
        <f t="shared" si="13"/>
        <v>0</v>
      </c>
      <c r="F419" s="704"/>
      <c r="G419" s="705"/>
      <c r="H419" s="705"/>
      <c r="I419" s="705"/>
      <c r="K419" s="220">
        <f>IFERROR(VLOOKUP(B419,'דוח ביצוע (3)'!B:J,8,0),0)</f>
        <v>0</v>
      </c>
      <c r="L419" s="220">
        <f t="shared" si="14"/>
        <v>0</v>
      </c>
      <c r="M419" s="705"/>
    </row>
    <row r="420" spans="1:13" ht="19.5" customHeight="1" x14ac:dyDescent="0.25">
      <c r="A420" s="280">
        <v>403</v>
      </c>
      <c r="B420" s="703" t="str">
        <f>IF(VLOOKUP(A420,'דוח ביצוע (3)'!A:G,2,0)="","",VLOOKUP('תשלומי הורים ומלגות להורים (5) '!A420,'דוח ביצוע (3)'!A:G,2,0))</f>
        <v/>
      </c>
      <c r="C420" s="849"/>
      <c r="D420" s="219">
        <f>SUMIFS('דוח הוצאות בפועל (4)'!$E$17:$E$3016,'דוח הוצאות בפועל (4)'!$B$17:$B$3016,'תשלומי הורים ומלגות להורים (5) '!B420,'דוח הוצאות בפועל (4)'!$D$17:$D$3016,"מלגות להורים")</f>
        <v>0</v>
      </c>
      <c r="E420" s="219">
        <f t="shared" si="13"/>
        <v>0</v>
      </c>
      <c r="F420" s="704"/>
      <c r="G420" s="705"/>
      <c r="H420" s="705"/>
      <c r="I420" s="705"/>
      <c r="K420" s="220">
        <f>IFERROR(VLOOKUP(B420,'דוח ביצוע (3)'!B:J,8,0),0)</f>
        <v>0</v>
      </c>
      <c r="L420" s="220">
        <f t="shared" si="14"/>
        <v>0</v>
      </c>
      <c r="M420" s="705"/>
    </row>
    <row r="421" spans="1:13" ht="19.5" customHeight="1" x14ac:dyDescent="0.25">
      <c r="A421" s="280">
        <v>404</v>
      </c>
      <c r="B421" s="703" t="str">
        <f>IF(VLOOKUP(A421,'דוח ביצוע (3)'!A:G,2,0)="","",VLOOKUP('תשלומי הורים ומלגות להורים (5) '!A421,'דוח ביצוע (3)'!A:G,2,0))</f>
        <v/>
      </c>
      <c r="C421" s="849"/>
      <c r="D421" s="219">
        <f>SUMIFS('דוח הוצאות בפועל (4)'!$E$17:$E$3016,'דוח הוצאות בפועל (4)'!$B$17:$B$3016,'תשלומי הורים ומלגות להורים (5) '!B421,'דוח הוצאות בפועל (4)'!$D$17:$D$3016,"מלגות להורים")</f>
        <v>0</v>
      </c>
      <c r="E421" s="219">
        <f t="shared" si="13"/>
        <v>0</v>
      </c>
      <c r="F421" s="704"/>
      <c r="G421" s="705"/>
      <c r="H421" s="705"/>
      <c r="I421" s="705"/>
      <c r="K421" s="220">
        <f>IFERROR(VLOOKUP(B421,'דוח ביצוע (3)'!B:J,8,0),0)</f>
        <v>0</v>
      </c>
      <c r="L421" s="220">
        <f t="shared" si="14"/>
        <v>0</v>
      </c>
      <c r="M421" s="705"/>
    </row>
    <row r="422" spans="1:13" ht="19.5" customHeight="1" x14ac:dyDescent="0.25">
      <c r="A422" s="280">
        <v>405</v>
      </c>
      <c r="B422" s="703" t="str">
        <f>IF(VLOOKUP(A422,'דוח ביצוע (3)'!A:G,2,0)="","",VLOOKUP('תשלומי הורים ומלגות להורים (5) '!A422,'דוח ביצוע (3)'!A:G,2,0))</f>
        <v/>
      </c>
      <c r="C422" s="849"/>
      <c r="D422" s="219">
        <f>SUMIFS('דוח הוצאות בפועל (4)'!$E$17:$E$3016,'דוח הוצאות בפועל (4)'!$B$17:$B$3016,'תשלומי הורים ומלגות להורים (5) '!B422,'דוח הוצאות בפועל (4)'!$D$17:$D$3016,"מלגות להורים")</f>
        <v>0</v>
      </c>
      <c r="E422" s="219">
        <f t="shared" si="13"/>
        <v>0</v>
      </c>
      <c r="F422" s="704"/>
      <c r="G422" s="705"/>
      <c r="H422" s="705"/>
      <c r="I422" s="705"/>
      <c r="K422" s="220">
        <f>IFERROR(VLOOKUP(B422,'דוח ביצוע (3)'!B:J,8,0),0)</f>
        <v>0</v>
      </c>
      <c r="L422" s="220">
        <f t="shared" si="14"/>
        <v>0</v>
      </c>
      <c r="M422" s="705"/>
    </row>
    <row r="423" spans="1:13" ht="19.5" customHeight="1" x14ac:dyDescent="0.25">
      <c r="A423" s="280">
        <v>406</v>
      </c>
      <c r="B423" s="703" t="str">
        <f>IF(VLOOKUP(A423,'דוח ביצוע (3)'!A:G,2,0)="","",VLOOKUP('תשלומי הורים ומלגות להורים (5) '!A423,'דוח ביצוע (3)'!A:G,2,0))</f>
        <v/>
      </c>
      <c r="C423" s="849"/>
      <c r="D423" s="219">
        <f>SUMIFS('דוח הוצאות בפועל (4)'!$E$17:$E$3016,'דוח הוצאות בפועל (4)'!$B$17:$B$3016,'תשלומי הורים ומלגות להורים (5) '!B423,'דוח הוצאות בפועל (4)'!$D$17:$D$3016,"מלגות להורים")</f>
        <v>0</v>
      </c>
      <c r="E423" s="219">
        <f t="shared" si="13"/>
        <v>0</v>
      </c>
      <c r="F423" s="704"/>
      <c r="G423" s="705"/>
      <c r="H423" s="705"/>
      <c r="I423" s="705"/>
      <c r="K423" s="220">
        <f>IFERROR(VLOOKUP(B423,'דוח ביצוע (3)'!B:J,8,0),0)</f>
        <v>0</v>
      </c>
      <c r="L423" s="220">
        <f t="shared" si="14"/>
        <v>0</v>
      </c>
      <c r="M423" s="705"/>
    </row>
    <row r="424" spans="1:13" ht="19.5" customHeight="1" x14ac:dyDescent="0.25">
      <c r="A424" s="280">
        <v>407</v>
      </c>
      <c r="B424" s="703" t="str">
        <f>IF(VLOOKUP(A424,'דוח ביצוע (3)'!A:G,2,0)="","",VLOOKUP('תשלומי הורים ומלגות להורים (5) '!A424,'דוח ביצוע (3)'!A:G,2,0))</f>
        <v/>
      </c>
      <c r="C424" s="849"/>
      <c r="D424" s="219">
        <f>SUMIFS('דוח הוצאות בפועל (4)'!$E$17:$E$3016,'דוח הוצאות בפועל (4)'!$B$17:$B$3016,'תשלומי הורים ומלגות להורים (5) '!B424,'דוח הוצאות בפועל (4)'!$D$17:$D$3016,"מלגות להורים")</f>
        <v>0</v>
      </c>
      <c r="E424" s="219">
        <f t="shared" si="13"/>
        <v>0</v>
      </c>
      <c r="F424" s="704"/>
      <c r="G424" s="705"/>
      <c r="H424" s="705"/>
      <c r="I424" s="705"/>
      <c r="K424" s="220">
        <f>IFERROR(VLOOKUP(B424,'דוח ביצוע (3)'!B:J,8,0),0)</f>
        <v>0</v>
      </c>
      <c r="L424" s="220">
        <f t="shared" si="14"/>
        <v>0</v>
      </c>
      <c r="M424" s="705"/>
    </row>
    <row r="425" spans="1:13" ht="19.5" customHeight="1" x14ac:dyDescent="0.25">
      <c r="A425" s="280">
        <v>408</v>
      </c>
      <c r="B425" s="703" t="str">
        <f>IF(VLOOKUP(A425,'דוח ביצוע (3)'!A:G,2,0)="","",VLOOKUP('תשלומי הורים ומלגות להורים (5) '!A425,'דוח ביצוע (3)'!A:G,2,0))</f>
        <v/>
      </c>
      <c r="C425" s="849"/>
      <c r="D425" s="219">
        <f>SUMIFS('דוח הוצאות בפועל (4)'!$E$17:$E$3016,'דוח הוצאות בפועל (4)'!$B$17:$B$3016,'תשלומי הורים ומלגות להורים (5) '!B425,'דוח הוצאות בפועל (4)'!$D$17:$D$3016,"מלגות להורים")</f>
        <v>0</v>
      </c>
      <c r="E425" s="219">
        <f t="shared" si="13"/>
        <v>0</v>
      </c>
      <c r="F425" s="704"/>
      <c r="G425" s="705"/>
      <c r="H425" s="705"/>
      <c r="I425" s="705"/>
      <c r="K425" s="220">
        <f>IFERROR(VLOOKUP(B425,'דוח ביצוע (3)'!B:J,8,0),0)</f>
        <v>0</v>
      </c>
      <c r="L425" s="220">
        <f t="shared" si="14"/>
        <v>0</v>
      </c>
      <c r="M425" s="705"/>
    </row>
    <row r="426" spans="1:13" ht="19.5" customHeight="1" x14ac:dyDescent="0.25">
      <c r="A426" s="280">
        <v>409</v>
      </c>
      <c r="B426" s="703" t="str">
        <f>IF(VLOOKUP(A426,'דוח ביצוע (3)'!A:G,2,0)="","",VLOOKUP('תשלומי הורים ומלגות להורים (5) '!A426,'דוח ביצוע (3)'!A:G,2,0))</f>
        <v/>
      </c>
      <c r="C426" s="849"/>
      <c r="D426" s="219">
        <f>SUMIFS('דוח הוצאות בפועל (4)'!$E$17:$E$3016,'דוח הוצאות בפועל (4)'!$B$17:$B$3016,'תשלומי הורים ומלגות להורים (5) '!B426,'דוח הוצאות בפועל (4)'!$D$17:$D$3016,"מלגות להורים")</f>
        <v>0</v>
      </c>
      <c r="E426" s="219">
        <f t="shared" si="13"/>
        <v>0</v>
      </c>
      <c r="F426" s="704"/>
      <c r="G426" s="705"/>
      <c r="H426" s="705"/>
      <c r="I426" s="705"/>
      <c r="K426" s="220">
        <f>IFERROR(VLOOKUP(B426,'דוח ביצוע (3)'!B:J,8,0),0)</f>
        <v>0</v>
      </c>
      <c r="L426" s="220">
        <f t="shared" si="14"/>
        <v>0</v>
      </c>
      <c r="M426" s="705"/>
    </row>
    <row r="427" spans="1:13" ht="19.5" customHeight="1" x14ac:dyDescent="0.25">
      <c r="A427" s="280">
        <v>410</v>
      </c>
      <c r="B427" s="703" t="str">
        <f>IF(VLOOKUP(A427,'דוח ביצוע (3)'!A:G,2,0)="","",VLOOKUP('תשלומי הורים ומלגות להורים (5) '!A427,'דוח ביצוע (3)'!A:G,2,0))</f>
        <v/>
      </c>
      <c r="C427" s="849"/>
      <c r="D427" s="219">
        <f>SUMIFS('דוח הוצאות בפועל (4)'!$E$17:$E$3016,'דוח הוצאות בפועל (4)'!$B$17:$B$3016,'תשלומי הורים ומלגות להורים (5) '!B427,'דוח הוצאות בפועל (4)'!$D$17:$D$3016,"מלגות להורים")</f>
        <v>0</v>
      </c>
      <c r="E427" s="219">
        <f t="shared" si="13"/>
        <v>0</v>
      </c>
      <c r="F427" s="704"/>
      <c r="G427" s="705"/>
      <c r="H427" s="705"/>
      <c r="I427" s="705"/>
      <c r="K427" s="220">
        <f>IFERROR(VLOOKUP(B427,'דוח ביצוע (3)'!B:J,8,0),0)</f>
        <v>0</v>
      </c>
      <c r="L427" s="220">
        <f t="shared" si="14"/>
        <v>0</v>
      </c>
      <c r="M427" s="705"/>
    </row>
    <row r="428" spans="1:13" ht="19.5" customHeight="1" x14ac:dyDescent="0.25">
      <c r="A428" s="280">
        <v>411</v>
      </c>
      <c r="B428" s="703" t="str">
        <f>IF(VLOOKUP(A428,'דוח ביצוע (3)'!A:G,2,0)="","",VLOOKUP('תשלומי הורים ומלגות להורים (5) '!A428,'דוח ביצוע (3)'!A:G,2,0))</f>
        <v/>
      </c>
      <c r="C428" s="849"/>
      <c r="D428" s="219">
        <f>SUMIFS('דוח הוצאות בפועל (4)'!$E$17:$E$3016,'דוח הוצאות בפועל (4)'!$B$17:$B$3016,'תשלומי הורים ומלגות להורים (5) '!B428,'דוח הוצאות בפועל (4)'!$D$17:$D$3016,"מלגות להורים")</f>
        <v>0</v>
      </c>
      <c r="E428" s="219">
        <f t="shared" si="13"/>
        <v>0</v>
      </c>
      <c r="F428" s="704"/>
      <c r="G428" s="705"/>
      <c r="H428" s="705"/>
      <c r="I428" s="705"/>
      <c r="K428" s="220">
        <f>IFERROR(VLOOKUP(B428,'דוח ביצוע (3)'!B:J,8,0),0)</f>
        <v>0</v>
      </c>
      <c r="L428" s="220">
        <f t="shared" si="14"/>
        <v>0</v>
      </c>
      <c r="M428" s="705"/>
    </row>
    <row r="429" spans="1:13" ht="19.5" customHeight="1" x14ac:dyDescent="0.25">
      <c r="A429" s="280">
        <v>412</v>
      </c>
      <c r="B429" s="703" t="str">
        <f>IF(VLOOKUP(A429,'דוח ביצוע (3)'!A:G,2,0)="","",VLOOKUP('תשלומי הורים ומלגות להורים (5) '!A429,'דוח ביצוע (3)'!A:G,2,0))</f>
        <v/>
      </c>
      <c r="C429" s="849"/>
      <c r="D429" s="219">
        <f>SUMIFS('דוח הוצאות בפועל (4)'!$E$17:$E$3016,'דוח הוצאות בפועל (4)'!$B$17:$B$3016,'תשלומי הורים ומלגות להורים (5) '!B429,'דוח הוצאות בפועל (4)'!$D$17:$D$3016,"מלגות להורים")</f>
        <v>0</v>
      </c>
      <c r="E429" s="219">
        <f t="shared" si="13"/>
        <v>0</v>
      </c>
      <c r="F429" s="704"/>
      <c r="G429" s="705"/>
      <c r="H429" s="705"/>
      <c r="I429" s="705"/>
      <c r="K429" s="220">
        <f>IFERROR(VLOOKUP(B429,'דוח ביצוע (3)'!B:J,8,0),0)</f>
        <v>0</v>
      </c>
      <c r="L429" s="220">
        <f t="shared" si="14"/>
        <v>0</v>
      </c>
      <c r="M429" s="705"/>
    </row>
    <row r="430" spans="1:13" ht="19.5" customHeight="1" x14ac:dyDescent="0.25">
      <c r="A430" s="280">
        <v>413</v>
      </c>
      <c r="B430" s="703" t="str">
        <f>IF(VLOOKUP(A430,'דוח ביצוע (3)'!A:G,2,0)="","",VLOOKUP('תשלומי הורים ומלגות להורים (5) '!A430,'דוח ביצוע (3)'!A:G,2,0))</f>
        <v/>
      </c>
      <c r="C430" s="849"/>
      <c r="D430" s="219">
        <f>SUMIFS('דוח הוצאות בפועל (4)'!$E$17:$E$3016,'דוח הוצאות בפועל (4)'!$B$17:$B$3016,'תשלומי הורים ומלגות להורים (5) '!B430,'דוח הוצאות בפועל (4)'!$D$17:$D$3016,"מלגות להורים")</f>
        <v>0</v>
      </c>
      <c r="E430" s="219">
        <f t="shared" si="13"/>
        <v>0</v>
      </c>
      <c r="F430" s="704"/>
      <c r="G430" s="705"/>
      <c r="H430" s="705"/>
      <c r="I430" s="705"/>
      <c r="K430" s="220">
        <f>IFERROR(VLOOKUP(B430,'דוח ביצוע (3)'!B:J,8,0),0)</f>
        <v>0</v>
      </c>
      <c r="L430" s="220">
        <f t="shared" si="14"/>
        <v>0</v>
      </c>
      <c r="M430" s="705"/>
    </row>
    <row r="431" spans="1:13" ht="19.5" customHeight="1" x14ac:dyDescent="0.25">
      <c r="A431" s="280">
        <v>414</v>
      </c>
      <c r="B431" s="703" t="str">
        <f>IF(VLOOKUP(A431,'דוח ביצוע (3)'!A:G,2,0)="","",VLOOKUP('תשלומי הורים ומלגות להורים (5) '!A431,'דוח ביצוע (3)'!A:G,2,0))</f>
        <v/>
      </c>
      <c r="C431" s="849"/>
      <c r="D431" s="219">
        <f>SUMIFS('דוח הוצאות בפועל (4)'!$E$17:$E$3016,'דוח הוצאות בפועל (4)'!$B$17:$B$3016,'תשלומי הורים ומלגות להורים (5) '!B431,'דוח הוצאות בפועל (4)'!$D$17:$D$3016,"מלגות להורים")</f>
        <v>0</v>
      </c>
      <c r="E431" s="219">
        <f t="shared" si="13"/>
        <v>0</v>
      </c>
      <c r="F431" s="704"/>
      <c r="G431" s="705"/>
      <c r="H431" s="705"/>
      <c r="I431" s="705"/>
      <c r="K431" s="220">
        <f>IFERROR(VLOOKUP(B431,'דוח ביצוע (3)'!B:J,8,0),0)</f>
        <v>0</v>
      </c>
      <c r="L431" s="220">
        <f t="shared" si="14"/>
        <v>0</v>
      </c>
      <c r="M431" s="705"/>
    </row>
    <row r="432" spans="1:13" ht="19.5" customHeight="1" x14ac:dyDescent="0.25">
      <c r="A432" s="280">
        <v>415</v>
      </c>
      <c r="B432" s="703" t="str">
        <f>IF(VLOOKUP(A432,'דוח ביצוע (3)'!A:G,2,0)="","",VLOOKUP('תשלומי הורים ומלגות להורים (5) '!A432,'דוח ביצוע (3)'!A:G,2,0))</f>
        <v/>
      </c>
      <c r="C432" s="849"/>
      <c r="D432" s="219">
        <f>SUMIFS('דוח הוצאות בפועל (4)'!$E$17:$E$3016,'דוח הוצאות בפועל (4)'!$B$17:$B$3016,'תשלומי הורים ומלגות להורים (5) '!B432,'דוח הוצאות בפועל (4)'!$D$17:$D$3016,"מלגות להורים")</f>
        <v>0</v>
      </c>
      <c r="E432" s="219">
        <f t="shared" si="13"/>
        <v>0</v>
      </c>
      <c r="F432" s="704"/>
      <c r="G432" s="705"/>
      <c r="H432" s="705"/>
      <c r="I432" s="705"/>
      <c r="K432" s="220">
        <f>IFERROR(VLOOKUP(B432,'דוח ביצוע (3)'!B:J,8,0),0)</f>
        <v>0</v>
      </c>
      <c r="L432" s="220">
        <f t="shared" si="14"/>
        <v>0</v>
      </c>
      <c r="M432" s="705"/>
    </row>
    <row r="433" spans="1:13" ht="19.5" customHeight="1" x14ac:dyDescent="0.25">
      <c r="A433" s="280">
        <v>416</v>
      </c>
      <c r="B433" s="703" t="str">
        <f>IF(VLOOKUP(A433,'דוח ביצוע (3)'!A:G,2,0)="","",VLOOKUP('תשלומי הורים ומלגות להורים (5) '!A433,'דוח ביצוע (3)'!A:G,2,0))</f>
        <v/>
      </c>
      <c r="C433" s="849"/>
      <c r="D433" s="219">
        <f>SUMIFS('דוח הוצאות בפועל (4)'!$E$17:$E$3016,'דוח הוצאות בפועל (4)'!$B$17:$B$3016,'תשלומי הורים ומלגות להורים (5) '!B433,'דוח הוצאות בפועל (4)'!$D$17:$D$3016,"מלגות להורים")</f>
        <v>0</v>
      </c>
      <c r="E433" s="219">
        <f t="shared" si="13"/>
        <v>0</v>
      </c>
      <c r="F433" s="704"/>
      <c r="G433" s="705"/>
      <c r="H433" s="705"/>
      <c r="I433" s="705"/>
      <c r="K433" s="220">
        <f>IFERROR(VLOOKUP(B433,'דוח ביצוע (3)'!B:J,8,0),0)</f>
        <v>0</v>
      </c>
      <c r="L433" s="220">
        <f t="shared" si="14"/>
        <v>0</v>
      </c>
      <c r="M433" s="705"/>
    </row>
    <row r="434" spans="1:13" ht="19.5" customHeight="1" x14ac:dyDescent="0.25">
      <c r="A434" s="280">
        <v>417</v>
      </c>
      <c r="B434" s="703" t="str">
        <f>IF(VLOOKUP(A434,'דוח ביצוע (3)'!A:G,2,0)="","",VLOOKUP('תשלומי הורים ומלגות להורים (5) '!A434,'דוח ביצוע (3)'!A:G,2,0))</f>
        <v/>
      </c>
      <c r="C434" s="849"/>
      <c r="D434" s="219">
        <f>SUMIFS('דוח הוצאות בפועל (4)'!$E$17:$E$3016,'דוח הוצאות בפועל (4)'!$B$17:$B$3016,'תשלומי הורים ומלגות להורים (5) '!B434,'דוח הוצאות בפועל (4)'!$D$17:$D$3016,"מלגות להורים")</f>
        <v>0</v>
      </c>
      <c r="E434" s="219">
        <f t="shared" si="13"/>
        <v>0</v>
      </c>
      <c r="F434" s="704"/>
      <c r="G434" s="705"/>
      <c r="H434" s="705"/>
      <c r="I434" s="705"/>
      <c r="K434" s="220">
        <f>IFERROR(VLOOKUP(B434,'דוח ביצוע (3)'!B:J,8,0),0)</f>
        <v>0</v>
      </c>
      <c r="L434" s="220">
        <f t="shared" si="14"/>
        <v>0</v>
      </c>
      <c r="M434" s="705"/>
    </row>
    <row r="435" spans="1:13" ht="19.5" customHeight="1" x14ac:dyDescent="0.25">
      <c r="A435" s="280">
        <v>418</v>
      </c>
      <c r="B435" s="703" t="str">
        <f>IF(VLOOKUP(A435,'דוח ביצוע (3)'!A:G,2,0)="","",VLOOKUP('תשלומי הורים ומלגות להורים (5) '!A435,'דוח ביצוע (3)'!A:G,2,0))</f>
        <v/>
      </c>
      <c r="C435" s="849"/>
      <c r="D435" s="219">
        <f>SUMIFS('דוח הוצאות בפועל (4)'!$E$17:$E$3016,'דוח הוצאות בפועל (4)'!$B$17:$B$3016,'תשלומי הורים ומלגות להורים (5) '!B435,'דוח הוצאות בפועל (4)'!$D$17:$D$3016,"מלגות להורים")</f>
        <v>0</v>
      </c>
      <c r="E435" s="219">
        <f t="shared" si="13"/>
        <v>0</v>
      </c>
      <c r="F435" s="704"/>
      <c r="G435" s="705"/>
      <c r="H435" s="705"/>
      <c r="I435" s="705"/>
      <c r="K435" s="220">
        <f>IFERROR(VLOOKUP(B435,'דוח ביצוע (3)'!B:J,8,0),0)</f>
        <v>0</v>
      </c>
      <c r="L435" s="220">
        <f t="shared" si="14"/>
        <v>0</v>
      </c>
      <c r="M435" s="705"/>
    </row>
    <row r="436" spans="1:13" ht="19.5" customHeight="1" x14ac:dyDescent="0.25">
      <c r="A436" s="280">
        <v>419</v>
      </c>
      <c r="B436" s="703" t="str">
        <f>IF(VLOOKUP(A436,'דוח ביצוע (3)'!A:G,2,0)="","",VLOOKUP('תשלומי הורים ומלגות להורים (5) '!A436,'דוח ביצוע (3)'!A:G,2,0))</f>
        <v/>
      </c>
      <c r="C436" s="849"/>
      <c r="D436" s="219">
        <f>SUMIFS('דוח הוצאות בפועל (4)'!$E$17:$E$3016,'דוח הוצאות בפועל (4)'!$B$17:$B$3016,'תשלומי הורים ומלגות להורים (5) '!B436,'דוח הוצאות בפועל (4)'!$D$17:$D$3016,"מלגות להורים")</f>
        <v>0</v>
      </c>
      <c r="E436" s="219">
        <f t="shared" si="13"/>
        <v>0</v>
      </c>
      <c r="F436" s="704"/>
      <c r="G436" s="705"/>
      <c r="H436" s="705"/>
      <c r="I436" s="705"/>
      <c r="K436" s="220">
        <f>IFERROR(VLOOKUP(B436,'דוח ביצוע (3)'!B:J,8,0),0)</f>
        <v>0</v>
      </c>
      <c r="L436" s="220">
        <f t="shared" si="14"/>
        <v>0</v>
      </c>
      <c r="M436" s="705"/>
    </row>
    <row r="437" spans="1:13" ht="19.5" customHeight="1" x14ac:dyDescent="0.25">
      <c r="A437" s="280">
        <v>420</v>
      </c>
      <c r="B437" s="703" t="str">
        <f>IF(VLOOKUP(A437,'דוח ביצוע (3)'!A:G,2,0)="","",VLOOKUP('תשלומי הורים ומלגות להורים (5) '!A437,'דוח ביצוע (3)'!A:G,2,0))</f>
        <v/>
      </c>
      <c r="C437" s="849"/>
      <c r="D437" s="219">
        <f>SUMIFS('דוח הוצאות בפועל (4)'!$E$17:$E$3016,'דוח הוצאות בפועל (4)'!$B$17:$B$3016,'תשלומי הורים ומלגות להורים (5) '!B437,'דוח הוצאות בפועל (4)'!$D$17:$D$3016,"מלגות להורים")</f>
        <v>0</v>
      </c>
      <c r="E437" s="219">
        <f t="shared" si="13"/>
        <v>0</v>
      </c>
      <c r="F437" s="704"/>
      <c r="G437" s="705"/>
      <c r="H437" s="705"/>
      <c r="I437" s="705"/>
      <c r="K437" s="220">
        <f>IFERROR(VLOOKUP(B437,'דוח ביצוע (3)'!B:J,8,0),0)</f>
        <v>0</v>
      </c>
      <c r="L437" s="220">
        <f t="shared" si="14"/>
        <v>0</v>
      </c>
      <c r="M437" s="705"/>
    </row>
    <row r="438" spans="1:13" ht="19.5" customHeight="1" x14ac:dyDescent="0.25">
      <c r="A438" s="280">
        <v>421</v>
      </c>
      <c r="B438" s="703" t="str">
        <f>IF(VLOOKUP(A438,'דוח ביצוע (3)'!A:G,2,0)="","",VLOOKUP('תשלומי הורים ומלגות להורים (5) '!A438,'דוח ביצוע (3)'!A:G,2,0))</f>
        <v/>
      </c>
      <c r="C438" s="849"/>
      <c r="D438" s="219">
        <f>SUMIFS('דוח הוצאות בפועל (4)'!$E$17:$E$3016,'דוח הוצאות בפועל (4)'!$B$17:$B$3016,'תשלומי הורים ומלגות להורים (5) '!B438,'דוח הוצאות בפועל (4)'!$D$17:$D$3016,"מלגות להורים")</f>
        <v>0</v>
      </c>
      <c r="E438" s="219">
        <f t="shared" si="13"/>
        <v>0</v>
      </c>
      <c r="F438" s="704"/>
      <c r="G438" s="705"/>
      <c r="H438" s="705"/>
      <c r="I438" s="705"/>
      <c r="K438" s="220">
        <f>IFERROR(VLOOKUP(B438,'דוח ביצוע (3)'!B:J,8,0),0)</f>
        <v>0</v>
      </c>
      <c r="L438" s="220">
        <f t="shared" si="14"/>
        <v>0</v>
      </c>
      <c r="M438" s="705"/>
    </row>
    <row r="439" spans="1:13" ht="19.5" customHeight="1" x14ac:dyDescent="0.25">
      <c r="A439" s="280">
        <v>422</v>
      </c>
      <c r="B439" s="703" t="str">
        <f>IF(VLOOKUP(A439,'דוח ביצוע (3)'!A:G,2,0)="","",VLOOKUP('תשלומי הורים ומלגות להורים (5) '!A439,'דוח ביצוע (3)'!A:G,2,0))</f>
        <v/>
      </c>
      <c r="C439" s="849"/>
      <c r="D439" s="219">
        <f>SUMIFS('דוח הוצאות בפועל (4)'!$E$17:$E$3016,'דוח הוצאות בפועל (4)'!$B$17:$B$3016,'תשלומי הורים ומלגות להורים (5) '!B439,'דוח הוצאות בפועל (4)'!$D$17:$D$3016,"מלגות להורים")</f>
        <v>0</v>
      </c>
      <c r="E439" s="219">
        <f t="shared" si="13"/>
        <v>0</v>
      </c>
      <c r="F439" s="704"/>
      <c r="G439" s="705"/>
      <c r="H439" s="705"/>
      <c r="I439" s="705"/>
      <c r="K439" s="220">
        <f>IFERROR(VLOOKUP(B439,'דוח ביצוע (3)'!B:J,8,0),0)</f>
        <v>0</v>
      </c>
      <c r="L439" s="220">
        <f t="shared" si="14"/>
        <v>0</v>
      </c>
      <c r="M439" s="705"/>
    </row>
    <row r="440" spans="1:13" ht="19.5" customHeight="1" x14ac:dyDescent="0.25">
      <c r="A440" s="280">
        <v>423</v>
      </c>
      <c r="B440" s="703" t="str">
        <f>IF(VLOOKUP(A440,'דוח ביצוע (3)'!A:G,2,0)="","",VLOOKUP('תשלומי הורים ומלגות להורים (5) '!A440,'דוח ביצוע (3)'!A:G,2,0))</f>
        <v/>
      </c>
      <c r="C440" s="849"/>
      <c r="D440" s="219">
        <f>SUMIFS('דוח הוצאות בפועל (4)'!$E$17:$E$3016,'דוח הוצאות בפועל (4)'!$B$17:$B$3016,'תשלומי הורים ומלגות להורים (5) '!B440,'דוח הוצאות בפועל (4)'!$D$17:$D$3016,"מלגות להורים")</f>
        <v>0</v>
      </c>
      <c r="E440" s="219">
        <f t="shared" si="13"/>
        <v>0</v>
      </c>
      <c r="F440" s="704"/>
      <c r="G440" s="705"/>
      <c r="H440" s="705"/>
      <c r="I440" s="705"/>
      <c r="K440" s="220">
        <f>IFERROR(VLOOKUP(B440,'דוח ביצוע (3)'!B:J,8,0),0)</f>
        <v>0</v>
      </c>
      <c r="L440" s="220">
        <f t="shared" si="14"/>
        <v>0</v>
      </c>
      <c r="M440" s="705"/>
    </row>
    <row r="441" spans="1:13" ht="19.5" customHeight="1" x14ac:dyDescent="0.25">
      <c r="A441" s="280">
        <v>424</v>
      </c>
      <c r="B441" s="703" t="str">
        <f>IF(VLOOKUP(A441,'דוח ביצוע (3)'!A:G,2,0)="","",VLOOKUP('תשלומי הורים ומלגות להורים (5) '!A441,'דוח ביצוע (3)'!A:G,2,0))</f>
        <v/>
      </c>
      <c r="C441" s="849"/>
      <c r="D441" s="219">
        <f>SUMIFS('דוח הוצאות בפועל (4)'!$E$17:$E$3016,'דוח הוצאות בפועל (4)'!$B$17:$B$3016,'תשלומי הורים ומלגות להורים (5) '!B441,'דוח הוצאות בפועל (4)'!$D$17:$D$3016,"מלגות להורים")</f>
        <v>0</v>
      </c>
      <c r="E441" s="219">
        <f t="shared" si="13"/>
        <v>0</v>
      </c>
      <c r="F441" s="704"/>
      <c r="G441" s="705"/>
      <c r="H441" s="705"/>
      <c r="I441" s="705"/>
      <c r="K441" s="220">
        <f>IFERROR(VLOOKUP(B441,'דוח ביצוע (3)'!B:J,8,0),0)</f>
        <v>0</v>
      </c>
      <c r="L441" s="220">
        <f t="shared" si="14"/>
        <v>0</v>
      </c>
      <c r="M441" s="705"/>
    </row>
    <row r="442" spans="1:13" ht="19.5" customHeight="1" x14ac:dyDescent="0.25">
      <c r="A442" s="280">
        <v>425</v>
      </c>
      <c r="B442" s="703" t="str">
        <f>IF(VLOOKUP(A442,'דוח ביצוע (3)'!A:G,2,0)="","",VLOOKUP('תשלומי הורים ומלגות להורים (5) '!A442,'דוח ביצוע (3)'!A:G,2,0))</f>
        <v/>
      </c>
      <c r="C442" s="849"/>
      <c r="D442" s="219">
        <f>SUMIFS('דוח הוצאות בפועל (4)'!$E$17:$E$3016,'דוח הוצאות בפועל (4)'!$B$17:$B$3016,'תשלומי הורים ומלגות להורים (5) '!B442,'דוח הוצאות בפועל (4)'!$D$17:$D$3016,"מלגות להורים")</f>
        <v>0</v>
      </c>
      <c r="E442" s="219">
        <f t="shared" si="13"/>
        <v>0</v>
      </c>
      <c r="F442" s="704"/>
      <c r="G442" s="705"/>
      <c r="H442" s="705"/>
      <c r="I442" s="705"/>
      <c r="K442" s="220">
        <f>IFERROR(VLOOKUP(B442,'דוח ביצוע (3)'!B:J,8,0),0)</f>
        <v>0</v>
      </c>
      <c r="L442" s="220">
        <f t="shared" si="14"/>
        <v>0</v>
      </c>
      <c r="M442" s="705"/>
    </row>
    <row r="443" spans="1:13" ht="19.5" customHeight="1" x14ac:dyDescent="0.25">
      <c r="A443" s="280">
        <v>426</v>
      </c>
      <c r="B443" s="703" t="str">
        <f>IF(VLOOKUP(A443,'דוח ביצוע (3)'!A:G,2,0)="","",VLOOKUP('תשלומי הורים ומלגות להורים (5) '!A443,'דוח ביצוע (3)'!A:G,2,0))</f>
        <v/>
      </c>
      <c r="C443" s="849"/>
      <c r="D443" s="219">
        <f>SUMIFS('דוח הוצאות בפועל (4)'!$E$17:$E$3016,'דוח הוצאות בפועל (4)'!$B$17:$B$3016,'תשלומי הורים ומלגות להורים (5) '!B443,'דוח הוצאות בפועל (4)'!$D$17:$D$3016,"מלגות להורים")</f>
        <v>0</v>
      </c>
      <c r="E443" s="219">
        <f t="shared" si="13"/>
        <v>0</v>
      </c>
      <c r="F443" s="704"/>
      <c r="G443" s="705"/>
      <c r="H443" s="705"/>
      <c r="I443" s="705"/>
      <c r="K443" s="220">
        <f>IFERROR(VLOOKUP(B443,'דוח ביצוע (3)'!B:J,8,0),0)</f>
        <v>0</v>
      </c>
      <c r="L443" s="220">
        <f t="shared" si="14"/>
        <v>0</v>
      </c>
      <c r="M443" s="705"/>
    </row>
    <row r="444" spans="1:13" ht="19.5" customHeight="1" x14ac:dyDescent="0.25">
      <c r="A444" s="280">
        <v>427</v>
      </c>
      <c r="B444" s="703" t="str">
        <f>IF(VLOOKUP(A444,'דוח ביצוע (3)'!A:G,2,0)="","",VLOOKUP('תשלומי הורים ומלגות להורים (5) '!A444,'דוח ביצוע (3)'!A:G,2,0))</f>
        <v/>
      </c>
      <c r="C444" s="849"/>
      <c r="D444" s="219">
        <f>SUMIFS('דוח הוצאות בפועל (4)'!$E$17:$E$3016,'דוח הוצאות בפועל (4)'!$B$17:$B$3016,'תשלומי הורים ומלגות להורים (5) '!B444,'דוח הוצאות בפועל (4)'!$D$17:$D$3016,"מלגות להורים")</f>
        <v>0</v>
      </c>
      <c r="E444" s="219">
        <f t="shared" si="13"/>
        <v>0</v>
      </c>
      <c r="F444" s="704"/>
      <c r="G444" s="705"/>
      <c r="H444" s="705"/>
      <c r="I444" s="705"/>
      <c r="K444" s="220">
        <f>IFERROR(VLOOKUP(B444,'דוח ביצוע (3)'!B:J,8,0),0)</f>
        <v>0</v>
      </c>
      <c r="L444" s="220">
        <f t="shared" si="14"/>
        <v>0</v>
      </c>
      <c r="M444" s="705"/>
    </row>
    <row r="445" spans="1:13" ht="19.5" customHeight="1" x14ac:dyDescent="0.25">
      <c r="A445" s="280">
        <v>428</v>
      </c>
      <c r="B445" s="703" t="str">
        <f>IF(VLOOKUP(A445,'דוח ביצוע (3)'!A:G,2,0)="","",VLOOKUP('תשלומי הורים ומלגות להורים (5) '!A445,'דוח ביצוע (3)'!A:G,2,0))</f>
        <v/>
      </c>
      <c r="C445" s="849"/>
      <c r="D445" s="219">
        <f>SUMIFS('דוח הוצאות בפועל (4)'!$E$17:$E$3016,'דוח הוצאות בפועל (4)'!$B$17:$B$3016,'תשלומי הורים ומלגות להורים (5) '!B445,'דוח הוצאות בפועל (4)'!$D$17:$D$3016,"מלגות להורים")</f>
        <v>0</v>
      </c>
      <c r="E445" s="219">
        <f t="shared" si="13"/>
        <v>0</v>
      </c>
      <c r="F445" s="704"/>
      <c r="G445" s="705"/>
      <c r="H445" s="705"/>
      <c r="I445" s="705"/>
      <c r="K445" s="220">
        <f>IFERROR(VLOOKUP(B445,'דוח ביצוע (3)'!B:J,8,0),0)</f>
        <v>0</v>
      </c>
      <c r="L445" s="220">
        <f t="shared" si="14"/>
        <v>0</v>
      </c>
      <c r="M445" s="705"/>
    </row>
    <row r="446" spans="1:13" ht="19.5" customHeight="1" x14ac:dyDescent="0.25">
      <c r="A446" s="280">
        <v>429</v>
      </c>
      <c r="B446" s="703" t="str">
        <f>IF(VLOOKUP(A446,'דוח ביצוע (3)'!A:G,2,0)="","",VLOOKUP('תשלומי הורים ומלגות להורים (5) '!A446,'דוח ביצוע (3)'!A:G,2,0))</f>
        <v/>
      </c>
      <c r="C446" s="849"/>
      <c r="D446" s="219">
        <f>SUMIFS('דוח הוצאות בפועל (4)'!$E$17:$E$3016,'דוח הוצאות בפועל (4)'!$B$17:$B$3016,'תשלומי הורים ומלגות להורים (5) '!B446,'דוח הוצאות בפועל (4)'!$D$17:$D$3016,"מלגות להורים")</f>
        <v>0</v>
      </c>
      <c r="E446" s="219">
        <f t="shared" si="13"/>
        <v>0</v>
      </c>
      <c r="F446" s="704"/>
      <c r="G446" s="705"/>
      <c r="H446" s="705"/>
      <c r="I446" s="705"/>
      <c r="K446" s="220">
        <f>IFERROR(VLOOKUP(B446,'דוח ביצוע (3)'!B:J,8,0),0)</f>
        <v>0</v>
      </c>
      <c r="L446" s="220">
        <f t="shared" si="14"/>
        <v>0</v>
      </c>
      <c r="M446" s="705"/>
    </row>
    <row r="447" spans="1:13" ht="19.5" customHeight="1" x14ac:dyDescent="0.25">
      <c r="A447" s="280">
        <v>430</v>
      </c>
      <c r="B447" s="703" t="str">
        <f>IF(VLOOKUP(A447,'דוח ביצוע (3)'!A:G,2,0)="","",VLOOKUP('תשלומי הורים ומלגות להורים (5) '!A447,'דוח ביצוע (3)'!A:G,2,0))</f>
        <v/>
      </c>
      <c r="C447" s="849"/>
      <c r="D447" s="219">
        <f>SUMIFS('דוח הוצאות בפועל (4)'!$E$17:$E$3016,'דוח הוצאות בפועל (4)'!$B$17:$B$3016,'תשלומי הורים ומלגות להורים (5) '!B447,'דוח הוצאות בפועל (4)'!$D$17:$D$3016,"מלגות להורים")</f>
        <v>0</v>
      </c>
      <c r="E447" s="219">
        <f t="shared" si="13"/>
        <v>0</v>
      </c>
      <c r="F447" s="704"/>
      <c r="G447" s="705"/>
      <c r="H447" s="705"/>
      <c r="I447" s="705"/>
      <c r="K447" s="220">
        <f>IFERROR(VLOOKUP(B447,'דוח ביצוע (3)'!B:J,8,0),0)</f>
        <v>0</v>
      </c>
      <c r="L447" s="220">
        <f t="shared" si="14"/>
        <v>0</v>
      </c>
      <c r="M447" s="705"/>
    </row>
    <row r="448" spans="1:13" ht="19.5" customHeight="1" x14ac:dyDescent="0.25">
      <c r="A448" s="280">
        <v>431</v>
      </c>
      <c r="B448" s="703" t="str">
        <f>IF(VLOOKUP(A448,'דוח ביצוע (3)'!A:G,2,0)="","",VLOOKUP('תשלומי הורים ומלגות להורים (5) '!A448,'דוח ביצוע (3)'!A:G,2,0))</f>
        <v/>
      </c>
      <c r="C448" s="849"/>
      <c r="D448" s="219">
        <f>SUMIFS('דוח הוצאות בפועל (4)'!$E$17:$E$3016,'דוח הוצאות בפועל (4)'!$B$17:$B$3016,'תשלומי הורים ומלגות להורים (5) '!B448,'דוח הוצאות בפועל (4)'!$D$17:$D$3016,"מלגות להורים")</f>
        <v>0</v>
      </c>
      <c r="E448" s="219">
        <f t="shared" si="13"/>
        <v>0</v>
      </c>
      <c r="F448" s="704"/>
      <c r="G448" s="705"/>
      <c r="H448" s="705"/>
      <c r="I448" s="705"/>
      <c r="K448" s="220">
        <f>IFERROR(VLOOKUP(B448,'דוח ביצוע (3)'!B:J,8,0),0)</f>
        <v>0</v>
      </c>
      <c r="L448" s="220">
        <f t="shared" si="14"/>
        <v>0</v>
      </c>
      <c r="M448" s="705"/>
    </row>
    <row r="449" spans="1:13" ht="19.5" customHeight="1" x14ac:dyDescent="0.25">
      <c r="A449" s="280">
        <v>432</v>
      </c>
      <c r="B449" s="703" t="str">
        <f>IF(VLOOKUP(A449,'דוח ביצוע (3)'!A:G,2,0)="","",VLOOKUP('תשלומי הורים ומלגות להורים (5) '!A449,'דוח ביצוע (3)'!A:G,2,0))</f>
        <v/>
      </c>
      <c r="C449" s="849"/>
      <c r="D449" s="219">
        <f>SUMIFS('דוח הוצאות בפועל (4)'!$E$17:$E$3016,'דוח הוצאות בפועל (4)'!$B$17:$B$3016,'תשלומי הורים ומלגות להורים (5) '!B449,'דוח הוצאות בפועל (4)'!$D$17:$D$3016,"מלגות להורים")</f>
        <v>0</v>
      </c>
      <c r="E449" s="219">
        <f t="shared" si="13"/>
        <v>0</v>
      </c>
      <c r="F449" s="704"/>
      <c r="G449" s="705"/>
      <c r="H449" s="705"/>
      <c r="I449" s="705"/>
      <c r="K449" s="220">
        <f>IFERROR(VLOOKUP(B449,'דוח ביצוע (3)'!B:J,8,0),0)</f>
        <v>0</v>
      </c>
      <c r="L449" s="220">
        <f t="shared" si="14"/>
        <v>0</v>
      </c>
      <c r="M449" s="705"/>
    </row>
    <row r="450" spans="1:13" ht="19.5" customHeight="1" x14ac:dyDescent="0.25">
      <c r="A450" s="280">
        <v>433</v>
      </c>
      <c r="B450" s="703" t="str">
        <f>IF(VLOOKUP(A450,'דוח ביצוע (3)'!A:G,2,0)="","",VLOOKUP('תשלומי הורים ומלגות להורים (5) '!A450,'דוח ביצוע (3)'!A:G,2,0))</f>
        <v/>
      </c>
      <c r="C450" s="849"/>
      <c r="D450" s="219">
        <f>SUMIFS('דוח הוצאות בפועל (4)'!$E$17:$E$3016,'דוח הוצאות בפועל (4)'!$B$17:$B$3016,'תשלומי הורים ומלגות להורים (5) '!B450,'דוח הוצאות בפועל (4)'!$D$17:$D$3016,"מלגות להורים")</f>
        <v>0</v>
      </c>
      <c r="E450" s="219">
        <f t="shared" si="13"/>
        <v>0</v>
      </c>
      <c r="F450" s="704"/>
      <c r="G450" s="705"/>
      <c r="H450" s="705"/>
      <c r="I450" s="705"/>
      <c r="K450" s="220">
        <f>IFERROR(VLOOKUP(B450,'דוח ביצוע (3)'!B:J,8,0),0)</f>
        <v>0</v>
      </c>
      <c r="L450" s="220">
        <f t="shared" si="14"/>
        <v>0</v>
      </c>
      <c r="M450" s="705"/>
    </row>
    <row r="451" spans="1:13" ht="19.5" customHeight="1" x14ac:dyDescent="0.25">
      <c r="A451" s="280">
        <v>434</v>
      </c>
      <c r="B451" s="703" t="str">
        <f>IF(VLOOKUP(A451,'דוח ביצוע (3)'!A:G,2,0)="","",VLOOKUP('תשלומי הורים ומלגות להורים (5) '!A451,'דוח ביצוע (3)'!A:G,2,0))</f>
        <v/>
      </c>
      <c r="C451" s="849"/>
      <c r="D451" s="219">
        <f>SUMIFS('דוח הוצאות בפועל (4)'!$E$17:$E$3016,'דוח הוצאות בפועל (4)'!$B$17:$B$3016,'תשלומי הורים ומלגות להורים (5) '!B451,'דוח הוצאות בפועל (4)'!$D$17:$D$3016,"מלגות להורים")</f>
        <v>0</v>
      </c>
      <c r="E451" s="219">
        <f t="shared" si="13"/>
        <v>0</v>
      </c>
      <c r="F451" s="704"/>
      <c r="G451" s="705"/>
      <c r="H451" s="705"/>
      <c r="I451" s="705"/>
      <c r="K451" s="220">
        <f>IFERROR(VLOOKUP(B451,'דוח ביצוע (3)'!B:J,8,0),0)</f>
        <v>0</v>
      </c>
      <c r="L451" s="220">
        <f t="shared" si="14"/>
        <v>0</v>
      </c>
      <c r="M451" s="705"/>
    </row>
    <row r="452" spans="1:13" ht="19.5" customHeight="1" x14ac:dyDescent="0.25">
      <c r="A452" s="280">
        <v>435</v>
      </c>
      <c r="B452" s="703" t="str">
        <f>IF(VLOOKUP(A452,'דוח ביצוע (3)'!A:G,2,0)="","",VLOOKUP('תשלומי הורים ומלגות להורים (5) '!A452,'דוח ביצוע (3)'!A:G,2,0))</f>
        <v/>
      </c>
      <c r="C452" s="849"/>
      <c r="D452" s="219">
        <f>SUMIFS('דוח הוצאות בפועל (4)'!$E$17:$E$3016,'דוח הוצאות בפועל (4)'!$B$17:$B$3016,'תשלומי הורים ומלגות להורים (5) '!B452,'דוח הוצאות בפועל (4)'!$D$17:$D$3016,"מלגות להורים")</f>
        <v>0</v>
      </c>
      <c r="E452" s="219">
        <f t="shared" si="13"/>
        <v>0</v>
      </c>
      <c r="F452" s="704"/>
      <c r="G452" s="705"/>
      <c r="H452" s="705"/>
      <c r="I452" s="705"/>
      <c r="K452" s="220">
        <f>IFERROR(VLOOKUP(B452,'דוח ביצוע (3)'!B:J,8,0),0)</f>
        <v>0</v>
      </c>
      <c r="L452" s="220">
        <f t="shared" si="14"/>
        <v>0</v>
      </c>
      <c r="M452" s="705"/>
    </row>
    <row r="453" spans="1:13" ht="19.5" customHeight="1" x14ac:dyDescent="0.25">
      <c r="A453" s="280">
        <v>436</v>
      </c>
      <c r="B453" s="703" t="str">
        <f>IF(VLOOKUP(A453,'דוח ביצוע (3)'!A:G,2,0)="","",VLOOKUP('תשלומי הורים ומלגות להורים (5) '!A453,'דוח ביצוע (3)'!A:G,2,0))</f>
        <v/>
      </c>
      <c r="C453" s="849"/>
      <c r="D453" s="219">
        <f>SUMIFS('דוח הוצאות בפועל (4)'!$E$17:$E$3016,'דוח הוצאות בפועל (4)'!$B$17:$B$3016,'תשלומי הורים ומלגות להורים (5) '!B453,'דוח הוצאות בפועל (4)'!$D$17:$D$3016,"מלגות להורים")</f>
        <v>0</v>
      </c>
      <c r="E453" s="219">
        <f t="shared" si="13"/>
        <v>0</v>
      </c>
      <c r="F453" s="704"/>
      <c r="G453" s="705"/>
      <c r="H453" s="705"/>
      <c r="I453" s="705"/>
      <c r="K453" s="220">
        <f>IFERROR(VLOOKUP(B453,'דוח ביצוע (3)'!B:J,8,0),0)</f>
        <v>0</v>
      </c>
      <c r="L453" s="220">
        <f t="shared" si="14"/>
        <v>0</v>
      </c>
      <c r="M453" s="705"/>
    </row>
    <row r="454" spans="1:13" ht="19.5" customHeight="1" x14ac:dyDescent="0.25">
      <c r="A454" s="280">
        <v>437</v>
      </c>
      <c r="B454" s="703" t="str">
        <f>IF(VLOOKUP(A454,'דוח ביצוע (3)'!A:G,2,0)="","",VLOOKUP('תשלומי הורים ומלגות להורים (5) '!A454,'דוח ביצוע (3)'!A:G,2,0))</f>
        <v/>
      </c>
      <c r="C454" s="849"/>
      <c r="D454" s="219">
        <f>SUMIFS('דוח הוצאות בפועל (4)'!$E$17:$E$3016,'דוח הוצאות בפועל (4)'!$B$17:$B$3016,'תשלומי הורים ומלגות להורים (5) '!B454,'דוח הוצאות בפועל (4)'!$D$17:$D$3016,"מלגות להורים")</f>
        <v>0</v>
      </c>
      <c r="E454" s="219">
        <f t="shared" si="13"/>
        <v>0</v>
      </c>
      <c r="F454" s="704"/>
      <c r="G454" s="705"/>
      <c r="H454" s="705"/>
      <c r="I454" s="705"/>
      <c r="K454" s="220">
        <f>IFERROR(VLOOKUP(B454,'דוח ביצוע (3)'!B:J,8,0),0)</f>
        <v>0</v>
      </c>
      <c r="L454" s="220">
        <f t="shared" si="14"/>
        <v>0</v>
      </c>
      <c r="M454" s="705"/>
    </row>
    <row r="455" spans="1:13" ht="19.5" customHeight="1" x14ac:dyDescent="0.25">
      <c r="A455" s="280">
        <v>438</v>
      </c>
      <c r="B455" s="703" t="str">
        <f>IF(VLOOKUP(A455,'דוח ביצוע (3)'!A:G,2,0)="","",VLOOKUP('תשלומי הורים ומלגות להורים (5) '!A455,'דוח ביצוע (3)'!A:G,2,0))</f>
        <v/>
      </c>
      <c r="C455" s="849"/>
      <c r="D455" s="219">
        <f>SUMIFS('דוח הוצאות בפועל (4)'!$E$17:$E$3016,'דוח הוצאות בפועל (4)'!$B$17:$B$3016,'תשלומי הורים ומלגות להורים (5) '!B455,'דוח הוצאות בפועל (4)'!$D$17:$D$3016,"מלגות להורים")</f>
        <v>0</v>
      </c>
      <c r="E455" s="219">
        <f t="shared" si="13"/>
        <v>0</v>
      </c>
      <c r="F455" s="704"/>
      <c r="G455" s="705"/>
      <c r="H455" s="705"/>
      <c r="I455" s="705"/>
      <c r="K455" s="220">
        <f>IFERROR(VLOOKUP(B455,'דוח ביצוע (3)'!B:J,8,0),0)</f>
        <v>0</v>
      </c>
      <c r="L455" s="220">
        <f t="shared" si="14"/>
        <v>0</v>
      </c>
      <c r="M455" s="705"/>
    </row>
    <row r="456" spans="1:13" ht="19.5" customHeight="1" x14ac:dyDescent="0.25">
      <c r="A456" s="280">
        <v>439</v>
      </c>
      <c r="B456" s="703" t="str">
        <f>IF(VLOOKUP(A456,'דוח ביצוע (3)'!A:G,2,0)="","",VLOOKUP('תשלומי הורים ומלגות להורים (5) '!A456,'דוח ביצוע (3)'!A:G,2,0))</f>
        <v/>
      </c>
      <c r="C456" s="849"/>
      <c r="D456" s="219">
        <f>SUMIFS('דוח הוצאות בפועל (4)'!$E$17:$E$3016,'דוח הוצאות בפועל (4)'!$B$17:$B$3016,'תשלומי הורים ומלגות להורים (5) '!B456,'דוח הוצאות בפועל (4)'!$D$17:$D$3016,"מלגות להורים")</f>
        <v>0</v>
      </c>
      <c r="E456" s="219">
        <f t="shared" si="13"/>
        <v>0</v>
      </c>
      <c r="F456" s="704"/>
      <c r="G456" s="705"/>
      <c r="H456" s="705"/>
      <c r="I456" s="705"/>
      <c r="K456" s="220">
        <f>IFERROR(VLOOKUP(B456,'דוח ביצוע (3)'!B:J,8,0),0)</f>
        <v>0</v>
      </c>
      <c r="L456" s="220">
        <f t="shared" si="14"/>
        <v>0</v>
      </c>
      <c r="M456" s="705"/>
    </row>
    <row r="457" spans="1:13" ht="19.5" customHeight="1" x14ac:dyDescent="0.25">
      <c r="A457" s="280">
        <v>440</v>
      </c>
      <c r="B457" s="703" t="str">
        <f>IF(VLOOKUP(A457,'דוח ביצוע (3)'!A:G,2,0)="","",VLOOKUP('תשלומי הורים ומלגות להורים (5) '!A457,'דוח ביצוע (3)'!A:G,2,0))</f>
        <v/>
      </c>
      <c r="C457" s="849"/>
      <c r="D457" s="219">
        <f>SUMIFS('דוח הוצאות בפועל (4)'!$E$17:$E$3016,'דוח הוצאות בפועל (4)'!$B$17:$B$3016,'תשלומי הורים ומלגות להורים (5) '!B457,'דוח הוצאות בפועל (4)'!$D$17:$D$3016,"מלגות להורים")</f>
        <v>0</v>
      </c>
      <c r="E457" s="219">
        <f t="shared" si="13"/>
        <v>0</v>
      </c>
      <c r="F457" s="704"/>
      <c r="G457" s="705"/>
      <c r="H457" s="705"/>
      <c r="I457" s="705"/>
      <c r="K457" s="220">
        <f>IFERROR(VLOOKUP(B457,'דוח ביצוע (3)'!B:J,8,0),0)</f>
        <v>0</v>
      </c>
      <c r="L457" s="220">
        <f t="shared" si="14"/>
        <v>0</v>
      </c>
      <c r="M457" s="705"/>
    </row>
    <row r="458" spans="1:13" ht="19.5" customHeight="1" x14ac:dyDescent="0.25">
      <c r="A458" s="280">
        <v>441</v>
      </c>
      <c r="B458" s="703" t="str">
        <f>IF(VLOOKUP(A458,'דוח ביצוע (3)'!A:G,2,0)="","",VLOOKUP('תשלומי הורים ומלגות להורים (5) '!A458,'דוח ביצוע (3)'!A:G,2,0))</f>
        <v/>
      </c>
      <c r="C458" s="849"/>
      <c r="D458" s="219">
        <f>SUMIFS('דוח הוצאות בפועל (4)'!$E$17:$E$3016,'דוח הוצאות בפועל (4)'!$B$17:$B$3016,'תשלומי הורים ומלגות להורים (5) '!B458,'דוח הוצאות בפועל (4)'!$D$17:$D$3016,"מלגות להורים")</f>
        <v>0</v>
      </c>
      <c r="E458" s="219">
        <f t="shared" si="13"/>
        <v>0</v>
      </c>
      <c r="F458" s="704"/>
      <c r="G458" s="705"/>
      <c r="H458" s="705"/>
      <c r="I458" s="705"/>
      <c r="K458" s="220">
        <f>IFERROR(VLOOKUP(B458,'דוח ביצוע (3)'!B:J,8,0),0)</f>
        <v>0</v>
      </c>
      <c r="L458" s="220">
        <f t="shared" si="14"/>
        <v>0</v>
      </c>
      <c r="M458" s="705"/>
    </row>
    <row r="459" spans="1:13" ht="19.5" customHeight="1" x14ac:dyDescent="0.25">
      <c r="A459" s="280">
        <v>442</v>
      </c>
      <c r="B459" s="703" t="str">
        <f>IF(VLOOKUP(A459,'דוח ביצוע (3)'!A:G,2,0)="","",VLOOKUP('תשלומי הורים ומלגות להורים (5) '!A459,'דוח ביצוע (3)'!A:G,2,0))</f>
        <v/>
      </c>
      <c r="C459" s="849"/>
      <c r="D459" s="219">
        <f>SUMIFS('דוח הוצאות בפועל (4)'!$E$17:$E$3016,'דוח הוצאות בפועל (4)'!$B$17:$B$3016,'תשלומי הורים ומלגות להורים (5) '!B459,'דוח הוצאות בפועל (4)'!$D$17:$D$3016,"מלגות להורים")</f>
        <v>0</v>
      </c>
      <c r="E459" s="219">
        <f t="shared" si="13"/>
        <v>0</v>
      </c>
      <c r="F459" s="704"/>
      <c r="G459" s="705"/>
      <c r="H459" s="705"/>
      <c r="I459" s="705"/>
      <c r="K459" s="220">
        <f>IFERROR(VLOOKUP(B459,'דוח ביצוע (3)'!B:J,8,0),0)</f>
        <v>0</v>
      </c>
      <c r="L459" s="220">
        <f t="shared" si="14"/>
        <v>0</v>
      </c>
      <c r="M459" s="705"/>
    </row>
    <row r="460" spans="1:13" ht="19.5" customHeight="1" x14ac:dyDescent="0.25">
      <c r="A460" s="280">
        <v>443</v>
      </c>
      <c r="B460" s="703" t="str">
        <f>IF(VLOOKUP(A460,'דוח ביצוע (3)'!A:G,2,0)="","",VLOOKUP('תשלומי הורים ומלגות להורים (5) '!A460,'דוח ביצוע (3)'!A:G,2,0))</f>
        <v/>
      </c>
      <c r="C460" s="849"/>
      <c r="D460" s="219">
        <f>SUMIFS('דוח הוצאות בפועל (4)'!$E$17:$E$3016,'דוח הוצאות בפועל (4)'!$B$17:$B$3016,'תשלומי הורים ומלגות להורים (5) '!B460,'דוח הוצאות בפועל (4)'!$D$17:$D$3016,"מלגות להורים")</f>
        <v>0</v>
      </c>
      <c r="E460" s="219">
        <f t="shared" si="13"/>
        <v>0</v>
      </c>
      <c r="F460" s="704"/>
      <c r="G460" s="705"/>
      <c r="H460" s="705"/>
      <c r="I460" s="705"/>
      <c r="K460" s="220">
        <f>IFERROR(VLOOKUP(B460,'דוח ביצוע (3)'!B:J,8,0),0)</f>
        <v>0</v>
      </c>
      <c r="L460" s="220">
        <f t="shared" si="14"/>
        <v>0</v>
      </c>
      <c r="M460" s="705"/>
    </row>
    <row r="461" spans="1:13" ht="19.5" customHeight="1" x14ac:dyDescent="0.25">
      <c r="A461" s="280">
        <v>444</v>
      </c>
      <c r="B461" s="703" t="str">
        <f>IF(VLOOKUP(A461,'דוח ביצוע (3)'!A:G,2,0)="","",VLOOKUP('תשלומי הורים ומלגות להורים (5) '!A461,'דוח ביצוע (3)'!A:G,2,0))</f>
        <v/>
      </c>
      <c r="C461" s="849"/>
      <c r="D461" s="219">
        <f>SUMIFS('דוח הוצאות בפועל (4)'!$E$17:$E$3016,'דוח הוצאות בפועל (4)'!$B$17:$B$3016,'תשלומי הורים ומלגות להורים (5) '!B461,'דוח הוצאות בפועל (4)'!$D$17:$D$3016,"מלגות להורים")</f>
        <v>0</v>
      </c>
      <c r="E461" s="219">
        <f t="shared" si="13"/>
        <v>0</v>
      </c>
      <c r="F461" s="704"/>
      <c r="G461" s="705"/>
      <c r="H461" s="705"/>
      <c r="I461" s="705"/>
      <c r="K461" s="220">
        <f>IFERROR(VLOOKUP(B461,'דוח ביצוע (3)'!B:J,8,0),0)</f>
        <v>0</v>
      </c>
      <c r="L461" s="220">
        <f t="shared" si="14"/>
        <v>0</v>
      </c>
      <c r="M461" s="705"/>
    </row>
    <row r="462" spans="1:13" ht="19.5" customHeight="1" x14ac:dyDescent="0.25">
      <c r="A462" s="280">
        <v>445</v>
      </c>
      <c r="B462" s="703" t="str">
        <f>IF(VLOOKUP(A462,'דוח ביצוע (3)'!A:G,2,0)="","",VLOOKUP('תשלומי הורים ומלגות להורים (5) '!A462,'דוח ביצוע (3)'!A:G,2,0))</f>
        <v/>
      </c>
      <c r="C462" s="849"/>
      <c r="D462" s="219">
        <f>SUMIFS('דוח הוצאות בפועל (4)'!$E$17:$E$3016,'דוח הוצאות בפועל (4)'!$B$17:$B$3016,'תשלומי הורים ומלגות להורים (5) '!B462,'דוח הוצאות בפועל (4)'!$D$17:$D$3016,"מלגות להורים")</f>
        <v>0</v>
      </c>
      <c r="E462" s="219">
        <f t="shared" si="13"/>
        <v>0</v>
      </c>
      <c r="F462" s="704"/>
      <c r="G462" s="705"/>
      <c r="H462" s="705"/>
      <c r="I462" s="705"/>
      <c r="K462" s="220">
        <f>IFERROR(VLOOKUP(B462,'דוח ביצוע (3)'!B:J,8,0),0)</f>
        <v>0</v>
      </c>
      <c r="L462" s="220">
        <f t="shared" si="14"/>
        <v>0</v>
      </c>
      <c r="M462" s="705"/>
    </row>
    <row r="463" spans="1:13" ht="19.5" customHeight="1" x14ac:dyDescent="0.25">
      <c r="A463" s="280">
        <v>446</v>
      </c>
      <c r="B463" s="703" t="str">
        <f>IF(VLOOKUP(A463,'דוח ביצוע (3)'!A:G,2,0)="","",VLOOKUP('תשלומי הורים ומלגות להורים (5) '!A463,'דוח ביצוע (3)'!A:G,2,0))</f>
        <v/>
      </c>
      <c r="C463" s="849"/>
      <c r="D463" s="219">
        <f>SUMIFS('דוח הוצאות בפועל (4)'!$E$17:$E$3016,'דוח הוצאות בפועל (4)'!$B$17:$B$3016,'תשלומי הורים ומלגות להורים (5) '!B463,'דוח הוצאות בפועל (4)'!$D$17:$D$3016,"מלגות להורים")</f>
        <v>0</v>
      </c>
      <c r="E463" s="219">
        <f t="shared" si="13"/>
        <v>0</v>
      </c>
      <c r="F463" s="704"/>
      <c r="G463" s="705"/>
      <c r="H463" s="705"/>
      <c r="I463" s="705"/>
      <c r="K463" s="220">
        <f>IFERROR(VLOOKUP(B463,'דוח ביצוע (3)'!B:J,8,0),0)</f>
        <v>0</v>
      </c>
      <c r="L463" s="220">
        <f t="shared" si="14"/>
        <v>0</v>
      </c>
      <c r="M463" s="705"/>
    </row>
    <row r="464" spans="1:13" ht="19.5" customHeight="1" x14ac:dyDescent="0.25">
      <c r="A464" s="280">
        <v>447</v>
      </c>
      <c r="B464" s="703" t="str">
        <f>IF(VLOOKUP(A464,'דוח ביצוע (3)'!A:G,2,0)="","",VLOOKUP('תשלומי הורים ומלגות להורים (5) '!A464,'דוח ביצוע (3)'!A:G,2,0))</f>
        <v/>
      </c>
      <c r="C464" s="849"/>
      <c r="D464" s="219">
        <f>SUMIFS('דוח הוצאות בפועל (4)'!$E$17:$E$3016,'דוח הוצאות בפועל (4)'!$B$17:$B$3016,'תשלומי הורים ומלגות להורים (5) '!B464,'דוח הוצאות בפועל (4)'!$D$17:$D$3016,"מלגות להורים")</f>
        <v>0</v>
      </c>
      <c r="E464" s="219">
        <f t="shared" si="13"/>
        <v>0</v>
      </c>
      <c r="F464" s="704"/>
      <c r="G464" s="705"/>
      <c r="H464" s="705"/>
      <c r="I464" s="705"/>
      <c r="K464" s="220">
        <f>IFERROR(VLOOKUP(B464,'דוח ביצוע (3)'!B:J,8,0),0)</f>
        <v>0</v>
      </c>
      <c r="L464" s="220">
        <f t="shared" si="14"/>
        <v>0</v>
      </c>
      <c r="M464" s="705"/>
    </row>
    <row r="465" spans="1:13" ht="19.5" customHeight="1" x14ac:dyDescent="0.25">
      <c r="A465" s="280">
        <v>448</v>
      </c>
      <c r="B465" s="703" t="str">
        <f>IF(VLOOKUP(A465,'דוח ביצוע (3)'!A:G,2,0)="","",VLOOKUP('תשלומי הורים ומלגות להורים (5) '!A465,'דוח ביצוע (3)'!A:G,2,0))</f>
        <v/>
      </c>
      <c r="C465" s="849"/>
      <c r="D465" s="219">
        <f>SUMIFS('דוח הוצאות בפועל (4)'!$E$17:$E$3016,'דוח הוצאות בפועל (4)'!$B$17:$B$3016,'תשלומי הורים ומלגות להורים (5) '!B465,'דוח הוצאות בפועל (4)'!$D$17:$D$3016,"מלגות להורים")</f>
        <v>0</v>
      </c>
      <c r="E465" s="219">
        <f t="shared" si="13"/>
        <v>0</v>
      </c>
      <c r="F465" s="704"/>
      <c r="G465" s="705"/>
      <c r="H465" s="705"/>
      <c r="I465" s="705"/>
      <c r="K465" s="220">
        <f>IFERROR(VLOOKUP(B465,'דוח ביצוע (3)'!B:J,8,0),0)</f>
        <v>0</v>
      </c>
      <c r="L465" s="220">
        <f t="shared" si="14"/>
        <v>0</v>
      </c>
      <c r="M465" s="705"/>
    </row>
    <row r="466" spans="1:13" ht="19.5" customHeight="1" x14ac:dyDescent="0.25">
      <c r="A466" s="280">
        <v>449</v>
      </c>
      <c r="B466" s="703" t="str">
        <f>IF(VLOOKUP(A466,'דוח ביצוע (3)'!A:G,2,0)="","",VLOOKUP('תשלומי הורים ומלגות להורים (5) '!A466,'דוח ביצוע (3)'!A:G,2,0))</f>
        <v/>
      </c>
      <c r="C466" s="849"/>
      <c r="D466" s="219">
        <f>SUMIFS('דוח הוצאות בפועל (4)'!$E$17:$E$3016,'דוח הוצאות בפועל (4)'!$B$17:$B$3016,'תשלומי הורים ומלגות להורים (5) '!B466,'דוח הוצאות בפועל (4)'!$D$17:$D$3016,"מלגות להורים")</f>
        <v>0</v>
      </c>
      <c r="E466" s="219">
        <f t="shared" si="13"/>
        <v>0</v>
      </c>
      <c r="F466" s="704"/>
      <c r="G466" s="705"/>
      <c r="H466" s="705"/>
      <c r="I466" s="705"/>
      <c r="K466" s="220">
        <f>IFERROR(VLOOKUP(B466,'דוח ביצוע (3)'!B:J,8,0),0)</f>
        <v>0</v>
      </c>
      <c r="L466" s="220">
        <f t="shared" si="14"/>
        <v>0</v>
      </c>
      <c r="M466" s="705"/>
    </row>
    <row r="467" spans="1:13" ht="19.5" customHeight="1" x14ac:dyDescent="0.25">
      <c r="A467" s="280">
        <v>450</v>
      </c>
      <c r="B467" s="703" t="str">
        <f>IF(VLOOKUP(A467,'דוח ביצוע (3)'!A:G,2,0)="","",VLOOKUP('תשלומי הורים ומלגות להורים (5) '!A467,'דוח ביצוע (3)'!A:G,2,0))</f>
        <v/>
      </c>
      <c r="C467" s="849"/>
      <c r="D467" s="219">
        <f>SUMIFS('דוח הוצאות בפועל (4)'!$E$17:$E$3016,'דוח הוצאות בפועל (4)'!$B$17:$B$3016,'תשלומי הורים ומלגות להורים (5) '!B467,'דוח הוצאות בפועל (4)'!$D$17:$D$3016,"מלגות להורים")</f>
        <v>0</v>
      </c>
      <c r="E467" s="219">
        <f t="shared" ref="E467:E517" si="15">C467-D467</f>
        <v>0</v>
      </c>
      <c r="F467" s="704"/>
      <c r="G467" s="705"/>
      <c r="H467" s="705"/>
      <c r="I467" s="705"/>
      <c r="K467" s="220">
        <f>IFERROR(VLOOKUP(B467,'דוח ביצוע (3)'!B:J,8,0),0)</f>
        <v>0</v>
      </c>
      <c r="L467" s="220">
        <f t="shared" ref="L467:L517" si="16">IFERROR(C467/I467-$C$5,0)</f>
        <v>0</v>
      </c>
      <c r="M467" s="705"/>
    </row>
    <row r="468" spans="1:13" ht="19.5" customHeight="1" x14ac:dyDescent="0.25">
      <c r="A468" s="280">
        <v>451</v>
      </c>
      <c r="B468" s="703" t="str">
        <f>IF(VLOOKUP(A468,'דוח ביצוע (3)'!A:G,2,0)="","",VLOOKUP('תשלומי הורים ומלגות להורים (5) '!A468,'דוח ביצוע (3)'!A:G,2,0))</f>
        <v/>
      </c>
      <c r="C468" s="849"/>
      <c r="D468" s="219">
        <f>SUMIFS('דוח הוצאות בפועל (4)'!$E$17:$E$3016,'דוח הוצאות בפועל (4)'!$B$17:$B$3016,'תשלומי הורים ומלגות להורים (5) '!B468,'דוח הוצאות בפועל (4)'!$D$17:$D$3016,"מלגות להורים")</f>
        <v>0</v>
      </c>
      <c r="E468" s="219">
        <f t="shared" si="15"/>
        <v>0</v>
      </c>
      <c r="F468" s="704"/>
      <c r="G468" s="705"/>
      <c r="H468" s="705"/>
      <c r="I468" s="705"/>
      <c r="K468" s="220">
        <f>IFERROR(VLOOKUP(B468,'דוח ביצוע (3)'!B:J,8,0),0)</f>
        <v>0</v>
      </c>
      <c r="L468" s="220">
        <f t="shared" si="16"/>
        <v>0</v>
      </c>
      <c r="M468" s="705"/>
    </row>
    <row r="469" spans="1:13" ht="19.5" customHeight="1" x14ac:dyDescent="0.25">
      <c r="A469" s="280">
        <v>452</v>
      </c>
      <c r="B469" s="703" t="str">
        <f>IF(VLOOKUP(A469,'דוח ביצוע (3)'!A:G,2,0)="","",VLOOKUP('תשלומי הורים ומלגות להורים (5) '!A469,'דוח ביצוע (3)'!A:G,2,0))</f>
        <v/>
      </c>
      <c r="C469" s="849"/>
      <c r="D469" s="219">
        <f>SUMIFS('דוח הוצאות בפועל (4)'!$E$17:$E$3016,'דוח הוצאות בפועל (4)'!$B$17:$B$3016,'תשלומי הורים ומלגות להורים (5) '!B469,'דוח הוצאות בפועל (4)'!$D$17:$D$3016,"מלגות להורים")</f>
        <v>0</v>
      </c>
      <c r="E469" s="219">
        <f t="shared" si="15"/>
        <v>0</v>
      </c>
      <c r="F469" s="704"/>
      <c r="G469" s="705"/>
      <c r="H469" s="705"/>
      <c r="I469" s="705"/>
      <c r="K469" s="220">
        <f>IFERROR(VLOOKUP(B469,'דוח ביצוע (3)'!B:J,8,0),0)</f>
        <v>0</v>
      </c>
      <c r="L469" s="220">
        <f t="shared" si="16"/>
        <v>0</v>
      </c>
      <c r="M469" s="705"/>
    </row>
    <row r="470" spans="1:13" ht="19.5" customHeight="1" x14ac:dyDescent="0.25">
      <c r="A470" s="280">
        <v>453</v>
      </c>
      <c r="B470" s="703" t="str">
        <f>IF(VLOOKUP(A470,'דוח ביצוע (3)'!A:G,2,0)="","",VLOOKUP('תשלומי הורים ומלגות להורים (5) '!A470,'דוח ביצוע (3)'!A:G,2,0))</f>
        <v/>
      </c>
      <c r="C470" s="849"/>
      <c r="D470" s="219">
        <f>SUMIFS('דוח הוצאות בפועל (4)'!$E$17:$E$3016,'דוח הוצאות בפועל (4)'!$B$17:$B$3016,'תשלומי הורים ומלגות להורים (5) '!B470,'דוח הוצאות בפועל (4)'!$D$17:$D$3016,"מלגות להורים")</f>
        <v>0</v>
      </c>
      <c r="E470" s="219">
        <f t="shared" si="15"/>
        <v>0</v>
      </c>
      <c r="F470" s="704"/>
      <c r="G470" s="705"/>
      <c r="H470" s="705"/>
      <c r="I470" s="705"/>
      <c r="K470" s="220">
        <f>IFERROR(VLOOKUP(B470,'דוח ביצוע (3)'!B:J,8,0),0)</f>
        <v>0</v>
      </c>
      <c r="L470" s="220">
        <f t="shared" si="16"/>
        <v>0</v>
      </c>
      <c r="M470" s="705"/>
    </row>
    <row r="471" spans="1:13" ht="19.5" customHeight="1" x14ac:dyDescent="0.25">
      <c r="A471" s="280">
        <v>454</v>
      </c>
      <c r="B471" s="703" t="str">
        <f>IF(VLOOKUP(A471,'דוח ביצוע (3)'!A:G,2,0)="","",VLOOKUP('תשלומי הורים ומלגות להורים (5) '!A471,'דוח ביצוע (3)'!A:G,2,0))</f>
        <v/>
      </c>
      <c r="C471" s="849"/>
      <c r="D471" s="219">
        <f>SUMIFS('דוח הוצאות בפועל (4)'!$E$17:$E$3016,'דוח הוצאות בפועל (4)'!$B$17:$B$3016,'תשלומי הורים ומלגות להורים (5) '!B471,'דוח הוצאות בפועל (4)'!$D$17:$D$3016,"מלגות להורים")</f>
        <v>0</v>
      </c>
      <c r="E471" s="219">
        <f t="shared" si="15"/>
        <v>0</v>
      </c>
      <c r="F471" s="704"/>
      <c r="G471" s="705"/>
      <c r="H471" s="705"/>
      <c r="I471" s="705"/>
      <c r="K471" s="220">
        <f>IFERROR(VLOOKUP(B471,'דוח ביצוע (3)'!B:J,8,0),0)</f>
        <v>0</v>
      </c>
      <c r="L471" s="220">
        <f t="shared" si="16"/>
        <v>0</v>
      </c>
      <c r="M471" s="705"/>
    </row>
    <row r="472" spans="1:13" ht="19.5" customHeight="1" x14ac:dyDescent="0.25">
      <c r="A472" s="280">
        <v>455</v>
      </c>
      <c r="B472" s="703" t="str">
        <f>IF(VLOOKUP(A472,'דוח ביצוע (3)'!A:G,2,0)="","",VLOOKUP('תשלומי הורים ומלגות להורים (5) '!A472,'דוח ביצוע (3)'!A:G,2,0))</f>
        <v/>
      </c>
      <c r="C472" s="849"/>
      <c r="D472" s="219">
        <f>SUMIFS('דוח הוצאות בפועל (4)'!$E$17:$E$3016,'דוח הוצאות בפועל (4)'!$B$17:$B$3016,'תשלומי הורים ומלגות להורים (5) '!B472,'דוח הוצאות בפועל (4)'!$D$17:$D$3016,"מלגות להורים")</f>
        <v>0</v>
      </c>
      <c r="E472" s="219">
        <f t="shared" si="15"/>
        <v>0</v>
      </c>
      <c r="F472" s="704"/>
      <c r="G472" s="705"/>
      <c r="H472" s="705"/>
      <c r="I472" s="705"/>
      <c r="K472" s="220">
        <f>IFERROR(VLOOKUP(B472,'דוח ביצוע (3)'!B:J,8,0),0)</f>
        <v>0</v>
      </c>
      <c r="L472" s="220">
        <f t="shared" si="16"/>
        <v>0</v>
      </c>
      <c r="M472" s="705"/>
    </row>
    <row r="473" spans="1:13" ht="19.5" customHeight="1" x14ac:dyDescent="0.25">
      <c r="A473" s="280">
        <v>456</v>
      </c>
      <c r="B473" s="703" t="str">
        <f>IF(VLOOKUP(A473,'דוח ביצוע (3)'!A:G,2,0)="","",VLOOKUP('תשלומי הורים ומלגות להורים (5) '!A473,'דוח ביצוע (3)'!A:G,2,0))</f>
        <v/>
      </c>
      <c r="C473" s="849"/>
      <c r="D473" s="219">
        <f>SUMIFS('דוח הוצאות בפועל (4)'!$E$17:$E$3016,'דוח הוצאות בפועל (4)'!$B$17:$B$3016,'תשלומי הורים ומלגות להורים (5) '!B473,'דוח הוצאות בפועל (4)'!$D$17:$D$3016,"מלגות להורים")</f>
        <v>0</v>
      </c>
      <c r="E473" s="219">
        <f t="shared" si="15"/>
        <v>0</v>
      </c>
      <c r="F473" s="704"/>
      <c r="G473" s="705"/>
      <c r="H473" s="705"/>
      <c r="I473" s="705"/>
      <c r="K473" s="220">
        <f>IFERROR(VLOOKUP(B473,'דוח ביצוע (3)'!B:J,8,0),0)</f>
        <v>0</v>
      </c>
      <c r="L473" s="220">
        <f t="shared" si="16"/>
        <v>0</v>
      </c>
      <c r="M473" s="705"/>
    </row>
    <row r="474" spans="1:13" ht="19.5" customHeight="1" x14ac:dyDescent="0.25">
      <c r="A474" s="280">
        <v>457</v>
      </c>
      <c r="B474" s="703" t="str">
        <f>IF(VLOOKUP(A474,'דוח ביצוע (3)'!A:G,2,0)="","",VLOOKUP('תשלומי הורים ומלגות להורים (5) '!A474,'דוח ביצוע (3)'!A:G,2,0))</f>
        <v/>
      </c>
      <c r="C474" s="849"/>
      <c r="D474" s="219">
        <f>SUMIFS('דוח הוצאות בפועל (4)'!$E$17:$E$3016,'דוח הוצאות בפועל (4)'!$B$17:$B$3016,'תשלומי הורים ומלגות להורים (5) '!B474,'דוח הוצאות בפועל (4)'!$D$17:$D$3016,"מלגות להורים")</f>
        <v>0</v>
      </c>
      <c r="E474" s="219">
        <f t="shared" si="15"/>
        <v>0</v>
      </c>
      <c r="F474" s="704"/>
      <c r="G474" s="705"/>
      <c r="H474" s="705"/>
      <c r="I474" s="705"/>
      <c r="K474" s="220">
        <f>IFERROR(VLOOKUP(B474,'דוח ביצוע (3)'!B:J,8,0),0)</f>
        <v>0</v>
      </c>
      <c r="L474" s="220">
        <f t="shared" si="16"/>
        <v>0</v>
      </c>
      <c r="M474" s="705"/>
    </row>
    <row r="475" spans="1:13" ht="19.5" customHeight="1" x14ac:dyDescent="0.25">
      <c r="A475" s="280">
        <v>458</v>
      </c>
      <c r="B475" s="703" t="str">
        <f>IF(VLOOKUP(A475,'דוח ביצוע (3)'!A:G,2,0)="","",VLOOKUP('תשלומי הורים ומלגות להורים (5) '!A475,'דוח ביצוע (3)'!A:G,2,0))</f>
        <v/>
      </c>
      <c r="C475" s="849"/>
      <c r="D475" s="219">
        <f>SUMIFS('דוח הוצאות בפועל (4)'!$E$17:$E$3016,'דוח הוצאות בפועל (4)'!$B$17:$B$3016,'תשלומי הורים ומלגות להורים (5) '!B475,'דוח הוצאות בפועל (4)'!$D$17:$D$3016,"מלגות להורים")</f>
        <v>0</v>
      </c>
      <c r="E475" s="219">
        <f t="shared" si="15"/>
        <v>0</v>
      </c>
      <c r="F475" s="704"/>
      <c r="G475" s="705"/>
      <c r="H475" s="705"/>
      <c r="I475" s="705"/>
      <c r="K475" s="220">
        <f>IFERROR(VLOOKUP(B475,'דוח ביצוע (3)'!B:J,8,0),0)</f>
        <v>0</v>
      </c>
      <c r="L475" s="220">
        <f t="shared" si="16"/>
        <v>0</v>
      </c>
      <c r="M475" s="705"/>
    </row>
    <row r="476" spans="1:13" ht="19.5" customHeight="1" x14ac:dyDescent="0.25">
      <c r="A476" s="280">
        <v>459</v>
      </c>
      <c r="B476" s="703" t="str">
        <f>IF(VLOOKUP(A476,'דוח ביצוע (3)'!A:G,2,0)="","",VLOOKUP('תשלומי הורים ומלגות להורים (5) '!A476,'דוח ביצוע (3)'!A:G,2,0))</f>
        <v/>
      </c>
      <c r="C476" s="849"/>
      <c r="D476" s="219">
        <f>SUMIFS('דוח הוצאות בפועל (4)'!$E$17:$E$3016,'דוח הוצאות בפועל (4)'!$B$17:$B$3016,'תשלומי הורים ומלגות להורים (5) '!B476,'דוח הוצאות בפועל (4)'!$D$17:$D$3016,"מלגות להורים")</f>
        <v>0</v>
      </c>
      <c r="E476" s="219">
        <f t="shared" si="15"/>
        <v>0</v>
      </c>
      <c r="F476" s="704"/>
      <c r="G476" s="705"/>
      <c r="H476" s="705"/>
      <c r="I476" s="705"/>
      <c r="K476" s="220">
        <f>IFERROR(VLOOKUP(B476,'דוח ביצוע (3)'!B:J,8,0),0)</f>
        <v>0</v>
      </c>
      <c r="L476" s="220">
        <f t="shared" si="16"/>
        <v>0</v>
      </c>
      <c r="M476" s="705"/>
    </row>
    <row r="477" spans="1:13" ht="19.5" customHeight="1" x14ac:dyDescent="0.25">
      <c r="A477" s="280">
        <v>460</v>
      </c>
      <c r="B477" s="703" t="str">
        <f>IF(VLOOKUP(A477,'דוח ביצוע (3)'!A:G,2,0)="","",VLOOKUP('תשלומי הורים ומלגות להורים (5) '!A477,'דוח ביצוע (3)'!A:G,2,0))</f>
        <v/>
      </c>
      <c r="C477" s="849"/>
      <c r="D477" s="219">
        <f>SUMIFS('דוח הוצאות בפועל (4)'!$E$17:$E$3016,'דוח הוצאות בפועל (4)'!$B$17:$B$3016,'תשלומי הורים ומלגות להורים (5) '!B477,'דוח הוצאות בפועל (4)'!$D$17:$D$3016,"מלגות להורים")</f>
        <v>0</v>
      </c>
      <c r="E477" s="219">
        <f t="shared" si="15"/>
        <v>0</v>
      </c>
      <c r="F477" s="704"/>
      <c r="G477" s="705"/>
      <c r="H477" s="705"/>
      <c r="I477" s="705"/>
      <c r="K477" s="220">
        <f>IFERROR(VLOOKUP(B477,'דוח ביצוע (3)'!B:J,8,0),0)</f>
        <v>0</v>
      </c>
      <c r="L477" s="220">
        <f t="shared" si="16"/>
        <v>0</v>
      </c>
      <c r="M477" s="705"/>
    </row>
    <row r="478" spans="1:13" ht="19.5" customHeight="1" x14ac:dyDescent="0.25">
      <c r="A478" s="280">
        <v>461</v>
      </c>
      <c r="B478" s="703" t="str">
        <f>IF(VLOOKUP(A478,'דוח ביצוע (3)'!A:G,2,0)="","",VLOOKUP('תשלומי הורים ומלגות להורים (5) '!A478,'דוח ביצוע (3)'!A:G,2,0))</f>
        <v/>
      </c>
      <c r="C478" s="849"/>
      <c r="D478" s="219">
        <f>SUMIFS('דוח הוצאות בפועל (4)'!$E$17:$E$3016,'דוח הוצאות בפועל (4)'!$B$17:$B$3016,'תשלומי הורים ומלגות להורים (5) '!B478,'דוח הוצאות בפועל (4)'!$D$17:$D$3016,"מלגות להורים")</f>
        <v>0</v>
      </c>
      <c r="E478" s="219">
        <f t="shared" si="15"/>
        <v>0</v>
      </c>
      <c r="F478" s="704"/>
      <c r="G478" s="705"/>
      <c r="H478" s="705"/>
      <c r="I478" s="705"/>
      <c r="K478" s="220">
        <f>IFERROR(VLOOKUP(B478,'דוח ביצוע (3)'!B:J,8,0),0)</f>
        <v>0</v>
      </c>
      <c r="L478" s="220">
        <f t="shared" si="16"/>
        <v>0</v>
      </c>
      <c r="M478" s="705"/>
    </row>
    <row r="479" spans="1:13" ht="19.5" customHeight="1" x14ac:dyDescent="0.25">
      <c r="A479" s="280">
        <v>462</v>
      </c>
      <c r="B479" s="703" t="str">
        <f>IF(VLOOKUP(A479,'דוח ביצוע (3)'!A:G,2,0)="","",VLOOKUP('תשלומי הורים ומלגות להורים (5) '!A479,'דוח ביצוע (3)'!A:G,2,0))</f>
        <v/>
      </c>
      <c r="C479" s="849"/>
      <c r="D479" s="219">
        <f>SUMIFS('דוח הוצאות בפועל (4)'!$E$17:$E$3016,'דוח הוצאות בפועל (4)'!$B$17:$B$3016,'תשלומי הורים ומלגות להורים (5) '!B479,'דוח הוצאות בפועל (4)'!$D$17:$D$3016,"מלגות להורים")</f>
        <v>0</v>
      </c>
      <c r="E479" s="219">
        <f t="shared" si="15"/>
        <v>0</v>
      </c>
      <c r="F479" s="704"/>
      <c r="G479" s="705"/>
      <c r="H479" s="705"/>
      <c r="I479" s="705"/>
      <c r="K479" s="220">
        <f>IFERROR(VLOOKUP(B479,'דוח ביצוע (3)'!B:J,8,0),0)</f>
        <v>0</v>
      </c>
      <c r="L479" s="220">
        <f t="shared" si="16"/>
        <v>0</v>
      </c>
      <c r="M479" s="705"/>
    </row>
    <row r="480" spans="1:13" ht="19.5" customHeight="1" x14ac:dyDescent="0.25">
      <c r="A480" s="280">
        <v>463</v>
      </c>
      <c r="B480" s="703" t="str">
        <f>IF(VLOOKUP(A480,'דוח ביצוע (3)'!A:G,2,0)="","",VLOOKUP('תשלומי הורים ומלגות להורים (5) '!A480,'דוח ביצוע (3)'!A:G,2,0))</f>
        <v/>
      </c>
      <c r="C480" s="849"/>
      <c r="D480" s="219">
        <f>SUMIFS('דוח הוצאות בפועל (4)'!$E$17:$E$3016,'דוח הוצאות בפועל (4)'!$B$17:$B$3016,'תשלומי הורים ומלגות להורים (5) '!B480,'דוח הוצאות בפועל (4)'!$D$17:$D$3016,"מלגות להורים")</f>
        <v>0</v>
      </c>
      <c r="E480" s="219">
        <f t="shared" si="15"/>
        <v>0</v>
      </c>
      <c r="F480" s="704"/>
      <c r="G480" s="705"/>
      <c r="H480" s="705"/>
      <c r="I480" s="705"/>
      <c r="K480" s="220">
        <f>IFERROR(VLOOKUP(B480,'דוח ביצוע (3)'!B:J,8,0),0)</f>
        <v>0</v>
      </c>
      <c r="L480" s="220">
        <f t="shared" si="16"/>
        <v>0</v>
      </c>
      <c r="M480" s="705"/>
    </row>
    <row r="481" spans="1:13" ht="19.5" customHeight="1" x14ac:dyDescent="0.25">
      <c r="A481" s="280">
        <v>464</v>
      </c>
      <c r="B481" s="703" t="str">
        <f>IF(VLOOKUP(A481,'דוח ביצוע (3)'!A:G,2,0)="","",VLOOKUP('תשלומי הורים ומלגות להורים (5) '!A481,'דוח ביצוע (3)'!A:G,2,0))</f>
        <v/>
      </c>
      <c r="C481" s="849"/>
      <c r="D481" s="219">
        <f>SUMIFS('דוח הוצאות בפועל (4)'!$E$17:$E$3016,'דוח הוצאות בפועל (4)'!$B$17:$B$3016,'תשלומי הורים ומלגות להורים (5) '!B481,'דוח הוצאות בפועל (4)'!$D$17:$D$3016,"מלגות להורים")</f>
        <v>0</v>
      </c>
      <c r="E481" s="219">
        <f t="shared" si="15"/>
        <v>0</v>
      </c>
      <c r="F481" s="704"/>
      <c r="G481" s="705"/>
      <c r="H481" s="705"/>
      <c r="I481" s="705"/>
      <c r="K481" s="220">
        <f>IFERROR(VLOOKUP(B481,'דוח ביצוע (3)'!B:J,8,0),0)</f>
        <v>0</v>
      </c>
      <c r="L481" s="220">
        <f t="shared" si="16"/>
        <v>0</v>
      </c>
      <c r="M481" s="705"/>
    </row>
    <row r="482" spans="1:13" ht="19.5" customHeight="1" x14ac:dyDescent="0.25">
      <c r="A482" s="280">
        <v>465</v>
      </c>
      <c r="B482" s="703" t="str">
        <f>IF(VLOOKUP(A482,'דוח ביצוע (3)'!A:G,2,0)="","",VLOOKUP('תשלומי הורים ומלגות להורים (5) '!A482,'דוח ביצוע (3)'!A:G,2,0))</f>
        <v/>
      </c>
      <c r="C482" s="849"/>
      <c r="D482" s="219">
        <f>SUMIFS('דוח הוצאות בפועל (4)'!$E$17:$E$3016,'דוח הוצאות בפועל (4)'!$B$17:$B$3016,'תשלומי הורים ומלגות להורים (5) '!B482,'דוח הוצאות בפועל (4)'!$D$17:$D$3016,"מלגות להורים")</f>
        <v>0</v>
      </c>
      <c r="E482" s="219">
        <f t="shared" si="15"/>
        <v>0</v>
      </c>
      <c r="F482" s="704"/>
      <c r="G482" s="705"/>
      <c r="H482" s="705"/>
      <c r="I482" s="705"/>
      <c r="K482" s="220">
        <f>IFERROR(VLOOKUP(B482,'דוח ביצוע (3)'!B:J,8,0),0)</f>
        <v>0</v>
      </c>
      <c r="L482" s="220">
        <f t="shared" si="16"/>
        <v>0</v>
      </c>
      <c r="M482" s="705"/>
    </row>
    <row r="483" spans="1:13" ht="19.5" customHeight="1" x14ac:dyDescent="0.25">
      <c r="A483" s="280">
        <v>466</v>
      </c>
      <c r="B483" s="703" t="str">
        <f>IF(VLOOKUP(A483,'דוח ביצוע (3)'!A:G,2,0)="","",VLOOKUP('תשלומי הורים ומלגות להורים (5) '!A483,'דוח ביצוע (3)'!A:G,2,0))</f>
        <v/>
      </c>
      <c r="C483" s="849"/>
      <c r="D483" s="219">
        <f>SUMIFS('דוח הוצאות בפועל (4)'!$E$17:$E$3016,'דוח הוצאות בפועל (4)'!$B$17:$B$3016,'תשלומי הורים ומלגות להורים (5) '!B483,'דוח הוצאות בפועל (4)'!$D$17:$D$3016,"מלגות להורים")</f>
        <v>0</v>
      </c>
      <c r="E483" s="219">
        <f t="shared" si="15"/>
        <v>0</v>
      </c>
      <c r="F483" s="704"/>
      <c r="G483" s="705"/>
      <c r="H483" s="705"/>
      <c r="I483" s="705"/>
      <c r="K483" s="220">
        <f>IFERROR(VLOOKUP(B483,'דוח ביצוע (3)'!B:J,8,0),0)</f>
        <v>0</v>
      </c>
      <c r="L483" s="220">
        <f t="shared" si="16"/>
        <v>0</v>
      </c>
      <c r="M483" s="705"/>
    </row>
    <row r="484" spans="1:13" ht="19.5" customHeight="1" x14ac:dyDescent="0.25">
      <c r="A484" s="280">
        <v>467</v>
      </c>
      <c r="B484" s="703" t="str">
        <f>IF(VLOOKUP(A484,'דוח ביצוע (3)'!A:G,2,0)="","",VLOOKUP('תשלומי הורים ומלגות להורים (5) '!A484,'דוח ביצוע (3)'!A:G,2,0))</f>
        <v/>
      </c>
      <c r="C484" s="849"/>
      <c r="D484" s="219">
        <f>SUMIFS('דוח הוצאות בפועל (4)'!$E$17:$E$3016,'דוח הוצאות בפועל (4)'!$B$17:$B$3016,'תשלומי הורים ומלגות להורים (5) '!B484,'דוח הוצאות בפועל (4)'!$D$17:$D$3016,"מלגות להורים")</f>
        <v>0</v>
      </c>
      <c r="E484" s="219">
        <f t="shared" si="15"/>
        <v>0</v>
      </c>
      <c r="F484" s="704"/>
      <c r="G484" s="705"/>
      <c r="H484" s="705"/>
      <c r="I484" s="705"/>
      <c r="K484" s="220">
        <f>IFERROR(VLOOKUP(B484,'דוח ביצוע (3)'!B:J,8,0),0)</f>
        <v>0</v>
      </c>
      <c r="L484" s="220">
        <f t="shared" si="16"/>
        <v>0</v>
      </c>
      <c r="M484" s="705"/>
    </row>
    <row r="485" spans="1:13" ht="19.5" customHeight="1" x14ac:dyDescent="0.25">
      <c r="A485" s="280">
        <v>468</v>
      </c>
      <c r="B485" s="703" t="str">
        <f>IF(VLOOKUP(A485,'דוח ביצוע (3)'!A:G,2,0)="","",VLOOKUP('תשלומי הורים ומלגות להורים (5) '!A485,'דוח ביצוע (3)'!A:G,2,0))</f>
        <v/>
      </c>
      <c r="C485" s="849"/>
      <c r="D485" s="219">
        <f>SUMIFS('דוח הוצאות בפועל (4)'!$E$17:$E$3016,'דוח הוצאות בפועל (4)'!$B$17:$B$3016,'תשלומי הורים ומלגות להורים (5) '!B485,'דוח הוצאות בפועל (4)'!$D$17:$D$3016,"מלגות להורים")</f>
        <v>0</v>
      </c>
      <c r="E485" s="219">
        <f t="shared" si="15"/>
        <v>0</v>
      </c>
      <c r="F485" s="704"/>
      <c r="G485" s="705"/>
      <c r="H485" s="705"/>
      <c r="I485" s="705"/>
      <c r="K485" s="220">
        <f>IFERROR(VLOOKUP(B485,'דוח ביצוע (3)'!B:J,8,0),0)</f>
        <v>0</v>
      </c>
      <c r="L485" s="220">
        <f t="shared" si="16"/>
        <v>0</v>
      </c>
      <c r="M485" s="705"/>
    </row>
    <row r="486" spans="1:13" ht="19.5" customHeight="1" x14ac:dyDescent="0.25">
      <c r="A486" s="280">
        <v>469</v>
      </c>
      <c r="B486" s="703" t="str">
        <f>IF(VLOOKUP(A486,'דוח ביצוע (3)'!A:G,2,0)="","",VLOOKUP('תשלומי הורים ומלגות להורים (5) '!A486,'דוח ביצוע (3)'!A:G,2,0))</f>
        <v/>
      </c>
      <c r="C486" s="849"/>
      <c r="D486" s="219">
        <f>SUMIFS('דוח הוצאות בפועל (4)'!$E$17:$E$3016,'דוח הוצאות בפועל (4)'!$B$17:$B$3016,'תשלומי הורים ומלגות להורים (5) '!B486,'דוח הוצאות בפועל (4)'!$D$17:$D$3016,"מלגות להורים")</f>
        <v>0</v>
      </c>
      <c r="E486" s="219">
        <f t="shared" si="15"/>
        <v>0</v>
      </c>
      <c r="F486" s="704"/>
      <c r="G486" s="705"/>
      <c r="H486" s="705"/>
      <c r="I486" s="705"/>
      <c r="K486" s="220">
        <f>IFERROR(VLOOKUP(B486,'דוח ביצוע (3)'!B:J,8,0),0)</f>
        <v>0</v>
      </c>
      <c r="L486" s="220">
        <f t="shared" si="16"/>
        <v>0</v>
      </c>
      <c r="M486" s="705"/>
    </row>
    <row r="487" spans="1:13" ht="19.5" customHeight="1" x14ac:dyDescent="0.25">
      <c r="A487" s="280">
        <v>470</v>
      </c>
      <c r="B487" s="703" t="str">
        <f>IF(VLOOKUP(A487,'דוח ביצוע (3)'!A:G,2,0)="","",VLOOKUP('תשלומי הורים ומלגות להורים (5) '!A487,'דוח ביצוע (3)'!A:G,2,0))</f>
        <v/>
      </c>
      <c r="C487" s="849"/>
      <c r="D487" s="219">
        <f>SUMIFS('דוח הוצאות בפועל (4)'!$E$17:$E$3016,'דוח הוצאות בפועל (4)'!$B$17:$B$3016,'תשלומי הורים ומלגות להורים (5) '!B487,'דוח הוצאות בפועל (4)'!$D$17:$D$3016,"מלגות להורים")</f>
        <v>0</v>
      </c>
      <c r="E487" s="219">
        <f t="shared" si="15"/>
        <v>0</v>
      </c>
      <c r="F487" s="704"/>
      <c r="G487" s="705"/>
      <c r="H487" s="705"/>
      <c r="I487" s="705"/>
      <c r="K487" s="220">
        <f>IFERROR(VLOOKUP(B487,'דוח ביצוע (3)'!B:J,8,0),0)</f>
        <v>0</v>
      </c>
      <c r="L487" s="220">
        <f t="shared" si="16"/>
        <v>0</v>
      </c>
      <c r="M487" s="705"/>
    </row>
    <row r="488" spans="1:13" ht="19.5" customHeight="1" x14ac:dyDescent="0.25">
      <c r="A488" s="280">
        <v>471</v>
      </c>
      <c r="B488" s="703" t="str">
        <f>IF(VLOOKUP(A488,'דוח ביצוע (3)'!A:G,2,0)="","",VLOOKUP('תשלומי הורים ומלגות להורים (5) '!A488,'דוח ביצוע (3)'!A:G,2,0))</f>
        <v/>
      </c>
      <c r="C488" s="849"/>
      <c r="D488" s="219">
        <f>SUMIFS('דוח הוצאות בפועל (4)'!$E$17:$E$3016,'דוח הוצאות בפועל (4)'!$B$17:$B$3016,'תשלומי הורים ומלגות להורים (5) '!B488,'דוח הוצאות בפועל (4)'!$D$17:$D$3016,"מלגות להורים")</f>
        <v>0</v>
      </c>
      <c r="E488" s="219">
        <f t="shared" si="15"/>
        <v>0</v>
      </c>
      <c r="F488" s="704"/>
      <c r="G488" s="705"/>
      <c r="H488" s="705"/>
      <c r="I488" s="705"/>
      <c r="K488" s="220">
        <f>IFERROR(VLOOKUP(B488,'דוח ביצוע (3)'!B:J,8,0),0)</f>
        <v>0</v>
      </c>
      <c r="L488" s="220">
        <f t="shared" si="16"/>
        <v>0</v>
      </c>
      <c r="M488" s="705"/>
    </row>
    <row r="489" spans="1:13" ht="19.5" customHeight="1" x14ac:dyDescent="0.25">
      <c r="A489" s="280">
        <v>472</v>
      </c>
      <c r="B489" s="703" t="str">
        <f>IF(VLOOKUP(A489,'דוח ביצוע (3)'!A:G,2,0)="","",VLOOKUP('תשלומי הורים ומלגות להורים (5) '!A489,'דוח ביצוע (3)'!A:G,2,0))</f>
        <v/>
      </c>
      <c r="C489" s="849"/>
      <c r="D489" s="219">
        <f>SUMIFS('דוח הוצאות בפועל (4)'!$E$17:$E$3016,'דוח הוצאות בפועל (4)'!$B$17:$B$3016,'תשלומי הורים ומלגות להורים (5) '!B489,'דוח הוצאות בפועל (4)'!$D$17:$D$3016,"מלגות להורים")</f>
        <v>0</v>
      </c>
      <c r="E489" s="219">
        <f t="shared" si="15"/>
        <v>0</v>
      </c>
      <c r="F489" s="704"/>
      <c r="G489" s="705"/>
      <c r="H489" s="705"/>
      <c r="I489" s="705"/>
      <c r="K489" s="220">
        <f>IFERROR(VLOOKUP(B489,'דוח ביצוע (3)'!B:J,8,0),0)</f>
        <v>0</v>
      </c>
      <c r="L489" s="220">
        <f t="shared" si="16"/>
        <v>0</v>
      </c>
      <c r="M489" s="705"/>
    </row>
    <row r="490" spans="1:13" ht="19.5" customHeight="1" x14ac:dyDescent="0.25">
      <c r="A490" s="280">
        <v>473</v>
      </c>
      <c r="B490" s="703" t="str">
        <f>IF(VLOOKUP(A490,'דוח ביצוע (3)'!A:G,2,0)="","",VLOOKUP('תשלומי הורים ומלגות להורים (5) '!A490,'דוח ביצוע (3)'!A:G,2,0))</f>
        <v/>
      </c>
      <c r="C490" s="849"/>
      <c r="D490" s="219">
        <f>SUMIFS('דוח הוצאות בפועל (4)'!$E$17:$E$3016,'דוח הוצאות בפועל (4)'!$B$17:$B$3016,'תשלומי הורים ומלגות להורים (5) '!B490,'דוח הוצאות בפועל (4)'!$D$17:$D$3016,"מלגות להורים")</f>
        <v>0</v>
      </c>
      <c r="E490" s="219">
        <f t="shared" si="15"/>
        <v>0</v>
      </c>
      <c r="F490" s="704"/>
      <c r="G490" s="705"/>
      <c r="H490" s="705"/>
      <c r="I490" s="705"/>
      <c r="K490" s="220">
        <f>IFERROR(VLOOKUP(B490,'דוח ביצוע (3)'!B:J,8,0),0)</f>
        <v>0</v>
      </c>
      <c r="L490" s="220">
        <f t="shared" si="16"/>
        <v>0</v>
      </c>
      <c r="M490" s="705"/>
    </row>
    <row r="491" spans="1:13" ht="19.5" customHeight="1" x14ac:dyDescent="0.25">
      <c r="A491" s="280">
        <v>474</v>
      </c>
      <c r="B491" s="703" t="str">
        <f>IF(VLOOKUP(A491,'דוח ביצוע (3)'!A:G,2,0)="","",VLOOKUP('תשלומי הורים ומלגות להורים (5) '!A491,'דוח ביצוע (3)'!A:G,2,0))</f>
        <v/>
      </c>
      <c r="C491" s="849"/>
      <c r="D491" s="219">
        <f>SUMIFS('דוח הוצאות בפועל (4)'!$E$17:$E$3016,'דוח הוצאות בפועל (4)'!$B$17:$B$3016,'תשלומי הורים ומלגות להורים (5) '!B491,'דוח הוצאות בפועל (4)'!$D$17:$D$3016,"מלגות להורים")</f>
        <v>0</v>
      </c>
      <c r="E491" s="219">
        <f t="shared" si="15"/>
        <v>0</v>
      </c>
      <c r="F491" s="704"/>
      <c r="G491" s="705"/>
      <c r="H491" s="705"/>
      <c r="I491" s="705"/>
      <c r="K491" s="220">
        <f>IFERROR(VLOOKUP(B491,'דוח ביצוע (3)'!B:J,8,0),0)</f>
        <v>0</v>
      </c>
      <c r="L491" s="220">
        <f t="shared" si="16"/>
        <v>0</v>
      </c>
      <c r="M491" s="705"/>
    </row>
    <row r="492" spans="1:13" ht="19.5" customHeight="1" x14ac:dyDescent="0.25">
      <c r="A492" s="280">
        <v>475</v>
      </c>
      <c r="B492" s="703" t="str">
        <f>IF(VLOOKUP(A492,'דוח ביצוע (3)'!A:G,2,0)="","",VLOOKUP('תשלומי הורים ומלגות להורים (5) '!A492,'דוח ביצוע (3)'!A:G,2,0))</f>
        <v/>
      </c>
      <c r="C492" s="849"/>
      <c r="D492" s="219">
        <f>SUMIFS('דוח הוצאות בפועל (4)'!$E$17:$E$3016,'דוח הוצאות בפועל (4)'!$B$17:$B$3016,'תשלומי הורים ומלגות להורים (5) '!B492,'דוח הוצאות בפועל (4)'!$D$17:$D$3016,"מלגות להורים")</f>
        <v>0</v>
      </c>
      <c r="E492" s="219">
        <f t="shared" si="15"/>
        <v>0</v>
      </c>
      <c r="F492" s="704"/>
      <c r="G492" s="705"/>
      <c r="H492" s="705"/>
      <c r="I492" s="705"/>
      <c r="K492" s="220">
        <f>IFERROR(VLOOKUP(B492,'דוח ביצוע (3)'!B:J,8,0),0)</f>
        <v>0</v>
      </c>
      <c r="L492" s="220">
        <f t="shared" si="16"/>
        <v>0</v>
      </c>
      <c r="M492" s="705"/>
    </row>
    <row r="493" spans="1:13" ht="19.5" customHeight="1" x14ac:dyDescent="0.25">
      <c r="A493" s="280">
        <v>476</v>
      </c>
      <c r="B493" s="703" t="str">
        <f>IF(VLOOKUP(A493,'דוח ביצוע (3)'!A:G,2,0)="","",VLOOKUP('תשלומי הורים ומלגות להורים (5) '!A493,'דוח ביצוע (3)'!A:G,2,0))</f>
        <v/>
      </c>
      <c r="C493" s="849"/>
      <c r="D493" s="219">
        <f>SUMIFS('דוח הוצאות בפועל (4)'!$E$17:$E$3016,'דוח הוצאות בפועל (4)'!$B$17:$B$3016,'תשלומי הורים ומלגות להורים (5) '!B493,'דוח הוצאות בפועל (4)'!$D$17:$D$3016,"מלגות להורים")</f>
        <v>0</v>
      </c>
      <c r="E493" s="219">
        <f t="shared" si="15"/>
        <v>0</v>
      </c>
      <c r="F493" s="704"/>
      <c r="G493" s="705"/>
      <c r="H493" s="705"/>
      <c r="I493" s="705"/>
      <c r="K493" s="220">
        <f>IFERROR(VLOOKUP(B493,'דוח ביצוע (3)'!B:J,8,0),0)</f>
        <v>0</v>
      </c>
      <c r="L493" s="220">
        <f t="shared" si="16"/>
        <v>0</v>
      </c>
      <c r="M493" s="705"/>
    </row>
    <row r="494" spans="1:13" ht="19.5" customHeight="1" x14ac:dyDescent="0.25">
      <c r="A494" s="280">
        <v>477</v>
      </c>
      <c r="B494" s="703" t="str">
        <f>IF(VLOOKUP(A494,'דוח ביצוע (3)'!A:G,2,0)="","",VLOOKUP('תשלומי הורים ומלגות להורים (5) '!A494,'דוח ביצוע (3)'!A:G,2,0))</f>
        <v/>
      </c>
      <c r="C494" s="849"/>
      <c r="D494" s="219">
        <f>SUMIFS('דוח הוצאות בפועל (4)'!$E$17:$E$3016,'דוח הוצאות בפועל (4)'!$B$17:$B$3016,'תשלומי הורים ומלגות להורים (5) '!B494,'דוח הוצאות בפועל (4)'!$D$17:$D$3016,"מלגות להורים")</f>
        <v>0</v>
      </c>
      <c r="E494" s="219">
        <f t="shared" si="15"/>
        <v>0</v>
      </c>
      <c r="F494" s="704"/>
      <c r="G494" s="705"/>
      <c r="H494" s="705"/>
      <c r="I494" s="705"/>
      <c r="K494" s="220">
        <f>IFERROR(VLOOKUP(B494,'דוח ביצוע (3)'!B:J,8,0),0)</f>
        <v>0</v>
      </c>
      <c r="L494" s="220">
        <f t="shared" si="16"/>
        <v>0</v>
      </c>
      <c r="M494" s="705"/>
    </row>
    <row r="495" spans="1:13" ht="19.5" customHeight="1" x14ac:dyDescent="0.25">
      <c r="A495" s="280">
        <v>478</v>
      </c>
      <c r="B495" s="703" t="str">
        <f>IF(VLOOKUP(A495,'דוח ביצוע (3)'!A:G,2,0)="","",VLOOKUP('תשלומי הורים ומלגות להורים (5) '!A495,'דוח ביצוע (3)'!A:G,2,0))</f>
        <v/>
      </c>
      <c r="C495" s="849"/>
      <c r="D495" s="219">
        <f>SUMIFS('דוח הוצאות בפועל (4)'!$E$17:$E$3016,'דוח הוצאות בפועל (4)'!$B$17:$B$3016,'תשלומי הורים ומלגות להורים (5) '!B495,'דוח הוצאות בפועל (4)'!$D$17:$D$3016,"מלגות להורים")</f>
        <v>0</v>
      </c>
      <c r="E495" s="219">
        <f t="shared" si="15"/>
        <v>0</v>
      </c>
      <c r="F495" s="704"/>
      <c r="G495" s="705"/>
      <c r="H495" s="705"/>
      <c r="I495" s="705"/>
      <c r="K495" s="220">
        <f>IFERROR(VLOOKUP(B495,'דוח ביצוע (3)'!B:J,8,0),0)</f>
        <v>0</v>
      </c>
      <c r="L495" s="220">
        <f t="shared" si="16"/>
        <v>0</v>
      </c>
      <c r="M495" s="705"/>
    </row>
    <row r="496" spans="1:13" ht="19.5" customHeight="1" x14ac:dyDescent="0.25">
      <c r="A496" s="280">
        <v>479</v>
      </c>
      <c r="B496" s="703" t="str">
        <f>IF(VLOOKUP(A496,'דוח ביצוע (3)'!A:G,2,0)="","",VLOOKUP('תשלומי הורים ומלגות להורים (5) '!A496,'דוח ביצוע (3)'!A:G,2,0))</f>
        <v/>
      </c>
      <c r="C496" s="849"/>
      <c r="D496" s="219">
        <f>SUMIFS('דוח הוצאות בפועל (4)'!$E$17:$E$3016,'דוח הוצאות בפועל (4)'!$B$17:$B$3016,'תשלומי הורים ומלגות להורים (5) '!B496,'דוח הוצאות בפועל (4)'!$D$17:$D$3016,"מלגות להורים")</f>
        <v>0</v>
      </c>
      <c r="E496" s="219">
        <f t="shared" si="15"/>
        <v>0</v>
      </c>
      <c r="F496" s="704"/>
      <c r="G496" s="705"/>
      <c r="H496" s="705"/>
      <c r="I496" s="705"/>
      <c r="K496" s="220">
        <f>IFERROR(VLOOKUP(B496,'דוח ביצוע (3)'!B:J,8,0),0)</f>
        <v>0</v>
      </c>
      <c r="L496" s="220">
        <f t="shared" si="16"/>
        <v>0</v>
      </c>
      <c r="M496" s="705"/>
    </row>
    <row r="497" spans="1:13" ht="19.5" customHeight="1" x14ac:dyDescent="0.25">
      <c r="A497" s="280">
        <v>480</v>
      </c>
      <c r="B497" s="703" t="str">
        <f>IF(VLOOKUP(A497,'דוח ביצוע (3)'!A:G,2,0)="","",VLOOKUP('תשלומי הורים ומלגות להורים (5) '!A497,'דוח ביצוע (3)'!A:G,2,0))</f>
        <v/>
      </c>
      <c r="C497" s="849"/>
      <c r="D497" s="219">
        <f>SUMIFS('דוח הוצאות בפועל (4)'!$E$17:$E$3016,'דוח הוצאות בפועל (4)'!$B$17:$B$3016,'תשלומי הורים ומלגות להורים (5) '!B497,'דוח הוצאות בפועל (4)'!$D$17:$D$3016,"מלגות להורים")</f>
        <v>0</v>
      </c>
      <c r="E497" s="219">
        <f t="shared" si="15"/>
        <v>0</v>
      </c>
      <c r="F497" s="704"/>
      <c r="G497" s="705"/>
      <c r="H497" s="705"/>
      <c r="I497" s="705"/>
      <c r="K497" s="220">
        <f>IFERROR(VLOOKUP(B497,'דוח ביצוע (3)'!B:J,8,0),0)</f>
        <v>0</v>
      </c>
      <c r="L497" s="220">
        <f t="shared" si="16"/>
        <v>0</v>
      </c>
      <c r="M497" s="705"/>
    </row>
    <row r="498" spans="1:13" ht="19.5" customHeight="1" x14ac:dyDescent="0.25">
      <c r="A498" s="280">
        <v>481</v>
      </c>
      <c r="B498" s="703" t="str">
        <f>IF(VLOOKUP(A498,'דוח ביצוע (3)'!A:G,2,0)="","",VLOOKUP('תשלומי הורים ומלגות להורים (5) '!A498,'דוח ביצוע (3)'!A:G,2,0))</f>
        <v/>
      </c>
      <c r="C498" s="849"/>
      <c r="D498" s="219">
        <f>SUMIFS('דוח הוצאות בפועל (4)'!$E$17:$E$3016,'דוח הוצאות בפועל (4)'!$B$17:$B$3016,'תשלומי הורים ומלגות להורים (5) '!B498,'דוח הוצאות בפועל (4)'!$D$17:$D$3016,"מלגות להורים")</f>
        <v>0</v>
      </c>
      <c r="E498" s="219">
        <f t="shared" si="15"/>
        <v>0</v>
      </c>
      <c r="F498" s="704"/>
      <c r="G498" s="705"/>
      <c r="H498" s="705"/>
      <c r="I498" s="705"/>
      <c r="K498" s="220">
        <f>IFERROR(VLOOKUP(B498,'דוח ביצוע (3)'!B:J,8,0),0)</f>
        <v>0</v>
      </c>
      <c r="L498" s="220">
        <f t="shared" si="16"/>
        <v>0</v>
      </c>
      <c r="M498" s="705"/>
    </row>
    <row r="499" spans="1:13" ht="19.5" customHeight="1" x14ac:dyDescent="0.25">
      <c r="A499" s="280">
        <v>482</v>
      </c>
      <c r="B499" s="703" t="str">
        <f>IF(VLOOKUP(A499,'דוח ביצוע (3)'!A:G,2,0)="","",VLOOKUP('תשלומי הורים ומלגות להורים (5) '!A499,'דוח ביצוע (3)'!A:G,2,0))</f>
        <v/>
      </c>
      <c r="C499" s="849"/>
      <c r="D499" s="219">
        <f>SUMIFS('דוח הוצאות בפועל (4)'!$E$17:$E$3016,'דוח הוצאות בפועל (4)'!$B$17:$B$3016,'תשלומי הורים ומלגות להורים (5) '!B499,'דוח הוצאות בפועל (4)'!$D$17:$D$3016,"מלגות להורים")</f>
        <v>0</v>
      </c>
      <c r="E499" s="219">
        <f t="shared" si="15"/>
        <v>0</v>
      </c>
      <c r="F499" s="704"/>
      <c r="G499" s="705"/>
      <c r="H499" s="705"/>
      <c r="I499" s="705"/>
      <c r="K499" s="220">
        <f>IFERROR(VLOOKUP(B499,'דוח ביצוע (3)'!B:J,8,0),0)</f>
        <v>0</v>
      </c>
      <c r="L499" s="220">
        <f t="shared" si="16"/>
        <v>0</v>
      </c>
      <c r="M499" s="705"/>
    </row>
    <row r="500" spans="1:13" ht="19.5" customHeight="1" x14ac:dyDescent="0.25">
      <c r="A500" s="280">
        <v>483</v>
      </c>
      <c r="B500" s="703" t="str">
        <f>IF(VLOOKUP(A500,'דוח ביצוע (3)'!A:G,2,0)="","",VLOOKUP('תשלומי הורים ומלגות להורים (5) '!A500,'דוח ביצוע (3)'!A:G,2,0))</f>
        <v/>
      </c>
      <c r="C500" s="849"/>
      <c r="D500" s="219">
        <f>SUMIFS('דוח הוצאות בפועל (4)'!$E$17:$E$3016,'דוח הוצאות בפועל (4)'!$B$17:$B$3016,'תשלומי הורים ומלגות להורים (5) '!B500,'דוח הוצאות בפועל (4)'!$D$17:$D$3016,"מלגות להורים")</f>
        <v>0</v>
      </c>
      <c r="E500" s="219">
        <f t="shared" si="15"/>
        <v>0</v>
      </c>
      <c r="F500" s="704"/>
      <c r="G500" s="705"/>
      <c r="H500" s="705"/>
      <c r="I500" s="705"/>
      <c r="K500" s="220">
        <f>IFERROR(VLOOKUP(B500,'דוח ביצוע (3)'!B:J,8,0),0)</f>
        <v>0</v>
      </c>
      <c r="L500" s="220">
        <f t="shared" si="16"/>
        <v>0</v>
      </c>
      <c r="M500" s="705"/>
    </row>
    <row r="501" spans="1:13" ht="19.5" customHeight="1" x14ac:dyDescent="0.25">
      <c r="A501" s="280">
        <v>484</v>
      </c>
      <c r="B501" s="703" t="str">
        <f>IF(VLOOKUP(A501,'דוח ביצוע (3)'!A:G,2,0)="","",VLOOKUP('תשלומי הורים ומלגות להורים (5) '!A501,'דוח ביצוע (3)'!A:G,2,0))</f>
        <v/>
      </c>
      <c r="C501" s="849"/>
      <c r="D501" s="219">
        <f>SUMIFS('דוח הוצאות בפועל (4)'!$E$17:$E$3016,'דוח הוצאות בפועל (4)'!$B$17:$B$3016,'תשלומי הורים ומלגות להורים (5) '!B501,'דוח הוצאות בפועל (4)'!$D$17:$D$3016,"מלגות להורים")</f>
        <v>0</v>
      </c>
      <c r="E501" s="219">
        <f t="shared" si="15"/>
        <v>0</v>
      </c>
      <c r="F501" s="704"/>
      <c r="G501" s="705"/>
      <c r="H501" s="705"/>
      <c r="I501" s="705"/>
      <c r="K501" s="220">
        <f>IFERROR(VLOOKUP(B501,'דוח ביצוע (3)'!B:J,8,0),0)</f>
        <v>0</v>
      </c>
      <c r="L501" s="220">
        <f t="shared" si="16"/>
        <v>0</v>
      </c>
      <c r="M501" s="705"/>
    </row>
    <row r="502" spans="1:13" ht="19.5" customHeight="1" x14ac:dyDescent="0.25">
      <c r="A502" s="280">
        <v>485</v>
      </c>
      <c r="B502" s="703" t="str">
        <f>IF(VLOOKUP(A502,'דוח ביצוע (3)'!A:G,2,0)="","",VLOOKUP('תשלומי הורים ומלגות להורים (5) '!A502,'דוח ביצוע (3)'!A:G,2,0))</f>
        <v/>
      </c>
      <c r="C502" s="849"/>
      <c r="D502" s="219">
        <f>SUMIFS('דוח הוצאות בפועל (4)'!$E$17:$E$3016,'דוח הוצאות בפועל (4)'!$B$17:$B$3016,'תשלומי הורים ומלגות להורים (5) '!B502,'דוח הוצאות בפועל (4)'!$D$17:$D$3016,"מלגות להורים")</f>
        <v>0</v>
      </c>
      <c r="E502" s="219">
        <f t="shared" si="15"/>
        <v>0</v>
      </c>
      <c r="F502" s="704"/>
      <c r="G502" s="705"/>
      <c r="H502" s="705"/>
      <c r="I502" s="705"/>
      <c r="K502" s="220">
        <f>IFERROR(VLOOKUP(B502,'דוח ביצוע (3)'!B:J,8,0),0)</f>
        <v>0</v>
      </c>
      <c r="L502" s="220">
        <f t="shared" si="16"/>
        <v>0</v>
      </c>
      <c r="M502" s="705"/>
    </row>
    <row r="503" spans="1:13" ht="19.5" customHeight="1" x14ac:dyDescent="0.25">
      <c r="A503" s="280">
        <v>486</v>
      </c>
      <c r="B503" s="703" t="str">
        <f>IF(VLOOKUP(A503,'דוח ביצוע (3)'!A:G,2,0)="","",VLOOKUP('תשלומי הורים ומלגות להורים (5) '!A503,'דוח ביצוע (3)'!A:G,2,0))</f>
        <v/>
      </c>
      <c r="C503" s="849"/>
      <c r="D503" s="219">
        <f>SUMIFS('דוח הוצאות בפועל (4)'!$E$17:$E$3016,'דוח הוצאות בפועל (4)'!$B$17:$B$3016,'תשלומי הורים ומלגות להורים (5) '!B503,'דוח הוצאות בפועל (4)'!$D$17:$D$3016,"מלגות להורים")</f>
        <v>0</v>
      </c>
      <c r="E503" s="219">
        <f t="shared" si="15"/>
        <v>0</v>
      </c>
      <c r="F503" s="704"/>
      <c r="G503" s="705"/>
      <c r="H503" s="705"/>
      <c r="I503" s="705"/>
      <c r="K503" s="220">
        <f>IFERROR(VLOOKUP(B503,'דוח ביצוע (3)'!B:J,8,0),0)</f>
        <v>0</v>
      </c>
      <c r="L503" s="220">
        <f t="shared" si="16"/>
        <v>0</v>
      </c>
      <c r="M503" s="705"/>
    </row>
    <row r="504" spans="1:13" ht="19.5" customHeight="1" x14ac:dyDescent="0.25">
      <c r="A504" s="280">
        <v>487</v>
      </c>
      <c r="B504" s="703" t="str">
        <f>IF(VLOOKUP(A504,'דוח ביצוע (3)'!A:G,2,0)="","",VLOOKUP('תשלומי הורים ומלגות להורים (5) '!A504,'דוח ביצוע (3)'!A:G,2,0))</f>
        <v/>
      </c>
      <c r="C504" s="849"/>
      <c r="D504" s="219">
        <f>SUMIFS('דוח הוצאות בפועל (4)'!$E$17:$E$3016,'דוח הוצאות בפועל (4)'!$B$17:$B$3016,'תשלומי הורים ומלגות להורים (5) '!B504,'דוח הוצאות בפועל (4)'!$D$17:$D$3016,"מלגות להורים")</f>
        <v>0</v>
      </c>
      <c r="E504" s="219">
        <f t="shared" si="15"/>
        <v>0</v>
      </c>
      <c r="F504" s="704"/>
      <c r="G504" s="705"/>
      <c r="H504" s="705"/>
      <c r="I504" s="705"/>
      <c r="K504" s="220">
        <f>IFERROR(VLOOKUP(B504,'דוח ביצוע (3)'!B:J,8,0),0)</f>
        <v>0</v>
      </c>
      <c r="L504" s="220">
        <f t="shared" si="16"/>
        <v>0</v>
      </c>
      <c r="M504" s="705"/>
    </row>
    <row r="505" spans="1:13" ht="19.5" customHeight="1" x14ac:dyDescent="0.25">
      <c r="A505" s="280">
        <v>488</v>
      </c>
      <c r="B505" s="703" t="str">
        <f>IF(VLOOKUP(A505,'דוח ביצוע (3)'!A:G,2,0)="","",VLOOKUP('תשלומי הורים ומלגות להורים (5) '!A505,'דוח ביצוע (3)'!A:G,2,0))</f>
        <v/>
      </c>
      <c r="C505" s="849"/>
      <c r="D505" s="219">
        <f>SUMIFS('דוח הוצאות בפועל (4)'!$E$17:$E$3016,'דוח הוצאות בפועל (4)'!$B$17:$B$3016,'תשלומי הורים ומלגות להורים (5) '!B505,'דוח הוצאות בפועל (4)'!$D$17:$D$3016,"מלגות להורים")</f>
        <v>0</v>
      </c>
      <c r="E505" s="219">
        <f t="shared" si="15"/>
        <v>0</v>
      </c>
      <c r="F505" s="704"/>
      <c r="G505" s="705"/>
      <c r="H505" s="705"/>
      <c r="I505" s="705"/>
      <c r="K505" s="220">
        <f>IFERROR(VLOOKUP(B505,'דוח ביצוע (3)'!B:J,8,0),0)</f>
        <v>0</v>
      </c>
      <c r="L505" s="220">
        <f t="shared" si="16"/>
        <v>0</v>
      </c>
      <c r="M505" s="705"/>
    </row>
    <row r="506" spans="1:13" ht="19.5" customHeight="1" x14ac:dyDescent="0.25">
      <c r="A506" s="280">
        <v>489</v>
      </c>
      <c r="B506" s="703" t="str">
        <f>IF(VLOOKUP(A506,'דוח ביצוע (3)'!A:G,2,0)="","",VLOOKUP('תשלומי הורים ומלגות להורים (5) '!A506,'דוח ביצוע (3)'!A:G,2,0))</f>
        <v/>
      </c>
      <c r="C506" s="849"/>
      <c r="D506" s="219">
        <f>SUMIFS('דוח הוצאות בפועל (4)'!$E$17:$E$3016,'דוח הוצאות בפועל (4)'!$B$17:$B$3016,'תשלומי הורים ומלגות להורים (5) '!B506,'דוח הוצאות בפועל (4)'!$D$17:$D$3016,"מלגות להורים")</f>
        <v>0</v>
      </c>
      <c r="E506" s="219">
        <f t="shared" si="15"/>
        <v>0</v>
      </c>
      <c r="F506" s="704"/>
      <c r="G506" s="705"/>
      <c r="H506" s="705"/>
      <c r="I506" s="705"/>
      <c r="K506" s="220">
        <f>IFERROR(VLOOKUP(B506,'דוח ביצוע (3)'!B:J,8,0),0)</f>
        <v>0</v>
      </c>
      <c r="L506" s="220">
        <f t="shared" si="16"/>
        <v>0</v>
      </c>
      <c r="M506" s="705"/>
    </row>
    <row r="507" spans="1:13" ht="19.5" customHeight="1" x14ac:dyDescent="0.25">
      <c r="A507" s="280">
        <v>490</v>
      </c>
      <c r="B507" s="703" t="str">
        <f>IF(VLOOKUP(A507,'דוח ביצוע (3)'!A:G,2,0)="","",VLOOKUP('תשלומי הורים ומלגות להורים (5) '!A507,'דוח ביצוע (3)'!A:G,2,0))</f>
        <v/>
      </c>
      <c r="C507" s="849"/>
      <c r="D507" s="219">
        <f>SUMIFS('דוח הוצאות בפועל (4)'!$E$17:$E$3016,'דוח הוצאות בפועל (4)'!$B$17:$B$3016,'תשלומי הורים ומלגות להורים (5) '!B507,'דוח הוצאות בפועל (4)'!$D$17:$D$3016,"מלגות להורים")</f>
        <v>0</v>
      </c>
      <c r="E507" s="219">
        <f t="shared" si="15"/>
        <v>0</v>
      </c>
      <c r="F507" s="704"/>
      <c r="G507" s="705"/>
      <c r="H507" s="705"/>
      <c r="I507" s="705"/>
      <c r="K507" s="220">
        <f>IFERROR(VLOOKUP(B507,'דוח ביצוע (3)'!B:J,8,0),0)</f>
        <v>0</v>
      </c>
      <c r="L507" s="220">
        <f t="shared" si="16"/>
        <v>0</v>
      </c>
      <c r="M507" s="705"/>
    </row>
    <row r="508" spans="1:13" ht="19.5" customHeight="1" x14ac:dyDescent="0.25">
      <c r="A508" s="280">
        <v>491</v>
      </c>
      <c r="B508" s="703" t="str">
        <f>IF(VLOOKUP(A508,'דוח ביצוע (3)'!A:G,2,0)="","",VLOOKUP('תשלומי הורים ומלגות להורים (5) '!A508,'דוח ביצוע (3)'!A:G,2,0))</f>
        <v/>
      </c>
      <c r="C508" s="849"/>
      <c r="D508" s="219">
        <f>SUMIFS('דוח הוצאות בפועל (4)'!$E$17:$E$3016,'דוח הוצאות בפועל (4)'!$B$17:$B$3016,'תשלומי הורים ומלגות להורים (5) '!B508,'דוח הוצאות בפועל (4)'!$D$17:$D$3016,"מלגות להורים")</f>
        <v>0</v>
      </c>
      <c r="E508" s="219">
        <f t="shared" si="15"/>
        <v>0</v>
      </c>
      <c r="F508" s="704"/>
      <c r="G508" s="705"/>
      <c r="H508" s="705"/>
      <c r="I508" s="705"/>
      <c r="K508" s="220">
        <f>IFERROR(VLOOKUP(B508,'דוח ביצוע (3)'!B:J,8,0),0)</f>
        <v>0</v>
      </c>
      <c r="L508" s="220">
        <f t="shared" si="16"/>
        <v>0</v>
      </c>
      <c r="M508" s="705"/>
    </row>
    <row r="509" spans="1:13" ht="19.5" customHeight="1" x14ac:dyDescent="0.25">
      <c r="A509" s="280">
        <v>492</v>
      </c>
      <c r="B509" s="703" t="str">
        <f>IF(VLOOKUP(A509,'דוח ביצוע (3)'!A:G,2,0)="","",VLOOKUP('תשלומי הורים ומלגות להורים (5) '!A509,'דוח ביצוע (3)'!A:G,2,0))</f>
        <v/>
      </c>
      <c r="C509" s="849"/>
      <c r="D509" s="219">
        <f>SUMIFS('דוח הוצאות בפועל (4)'!$E$17:$E$3016,'דוח הוצאות בפועל (4)'!$B$17:$B$3016,'תשלומי הורים ומלגות להורים (5) '!B509,'דוח הוצאות בפועל (4)'!$D$17:$D$3016,"מלגות להורים")</f>
        <v>0</v>
      </c>
      <c r="E509" s="219">
        <f t="shared" si="15"/>
        <v>0</v>
      </c>
      <c r="F509" s="704"/>
      <c r="G509" s="705"/>
      <c r="H509" s="705"/>
      <c r="I509" s="705"/>
      <c r="K509" s="220">
        <f>IFERROR(VLOOKUP(B509,'דוח ביצוע (3)'!B:J,8,0),0)</f>
        <v>0</v>
      </c>
      <c r="L509" s="220">
        <f t="shared" si="16"/>
        <v>0</v>
      </c>
      <c r="M509" s="705"/>
    </row>
    <row r="510" spans="1:13" ht="19.5" customHeight="1" x14ac:dyDescent="0.25">
      <c r="A510" s="280">
        <v>493</v>
      </c>
      <c r="B510" s="703" t="str">
        <f>IF(VLOOKUP(A510,'דוח ביצוע (3)'!A:G,2,0)="","",VLOOKUP('תשלומי הורים ומלגות להורים (5) '!A510,'דוח ביצוע (3)'!A:G,2,0))</f>
        <v/>
      </c>
      <c r="C510" s="849"/>
      <c r="D510" s="219">
        <f>SUMIFS('דוח הוצאות בפועל (4)'!$E$17:$E$3016,'דוח הוצאות בפועל (4)'!$B$17:$B$3016,'תשלומי הורים ומלגות להורים (5) '!B510,'דוח הוצאות בפועל (4)'!$D$17:$D$3016,"מלגות להורים")</f>
        <v>0</v>
      </c>
      <c r="E510" s="219">
        <f t="shared" si="15"/>
        <v>0</v>
      </c>
      <c r="F510" s="704"/>
      <c r="G510" s="705"/>
      <c r="H510" s="705"/>
      <c r="I510" s="705"/>
      <c r="K510" s="220">
        <f>IFERROR(VLOOKUP(B510,'דוח ביצוע (3)'!B:J,8,0),0)</f>
        <v>0</v>
      </c>
      <c r="L510" s="220">
        <f t="shared" si="16"/>
        <v>0</v>
      </c>
      <c r="M510" s="705"/>
    </row>
    <row r="511" spans="1:13" ht="19.5" customHeight="1" x14ac:dyDescent="0.25">
      <c r="A511" s="280">
        <v>494</v>
      </c>
      <c r="B511" s="703" t="str">
        <f>IF(VLOOKUP(A511,'דוח ביצוע (3)'!A:G,2,0)="","",VLOOKUP('תשלומי הורים ומלגות להורים (5) '!A511,'דוח ביצוע (3)'!A:G,2,0))</f>
        <v/>
      </c>
      <c r="C511" s="849"/>
      <c r="D511" s="219">
        <f>SUMIFS('דוח הוצאות בפועל (4)'!$E$17:$E$3016,'דוח הוצאות בפועל (4)'!$B$17:$B$3016,'תשלומי הורים ומלגות להורים (5) '!B511,'דוח הוצאות בפועל (4)'!$D$17:$D$3016,"מלגות להורים")</f>
        <v>0</v>
      </c>
      <c r="E511" s="219">
        <f t="shared" si="15"/>
        <v>0</v>
      </c>
      <c r="F511" s="704"/>
      <c r="G511" s="705"/>
      <c r="H511" s="705"/>
      <c r="I511" s="705"/>
      <c r="K511" s="220">
        <f>IFERROR(VLOOKUP(B511,'דוח ביצוע (3)'!B:J,8,0),0)</f>
        <v>0</v>
      </c>
      <c r="L511" s="220">
        <f t="shared" si="16"/>
        <v>0</v>
      </c>
      <c r="M511" s="705"/>
    </row>
    <row r="512" spans="1:13" ht="19.5" customHeight="1" x14ac:dyDescent="0.25">
      <c r="A512" s="280">
        <v>495</v>
      </c>
      <c r="B512" s="703" t="str">
        <f>IF(VLOOKUP(A512,'דוח ביצוע (3)'!A:G,2,0)="","",VLOOKUP('תשלומי הורים ומלגות להורים (5) '!A512,'דוח ביצוע (3)'!A:G,2,0))</f>
        <v/>
      </c>
      <c r="C512" s="849"/>
      <c r="D512" s="219">
        <f>SUMIFS('דוח הוצאות בפועל (4)'!$E$17:$E$3016,'דוח הוצאות בפועל (4)'!$B$17:$B$3016,'תשלומי הורים ומלגות להורים (5) '!B512,'דוח הוצאות בפועל (4)'!$D$17:$D$3016,"מלגות להורים")</f>
        <v>0</v>
      </c>
      <c r="E512" s="219">
        <f t="shared" si="15"/>
        <v>0</v>
      </c>
      <c r="F512" s="704"/>
      <c r="G512" s="705"/>
      <c r="H512" s="705"/>
      <c r="I512" s="705"/>
      <c r="K512" s="220">
        <f>IFERROR(VLOOKUP(B512,'דוח ביצוע (3)'!B:J,8,0),0)</f>
        <v>0</v>
      </c>
      <c r="L512" s="220">
        <f t="shared" si="16"/>
        <v>0</v>
      </c>
      <c r="M512" s="705"/>
    </row>
    <row r="513" spans="1:13" ht="19.5" customHeight="1" x14ac:dyDescent="0.25">
      <c r="A513" s="280">
        <v>496</v>
      </c>
      <c r="B513" s="703" t="str">
        <f>IF(VLOOKUP(A513,'דוח ביצוע (3)'!A:G,2,0)="","",VLOOKUP('תשלומי הורים ומלגות להורים (5) '!A513,'דוח ביצוע (3)'!A:G,2,0))</f>
        <v/>
      </c>
      <c r="C513" s="849"/>
      <c r="D513" s="219">
        <f>SUMIFS('דוח הוצאות בפועל (4)'!$E$17:$E$3016,'דוח הוצאות בפועל (4)'!$B$17:$B$3016,'תשלומי הורים ומלגות להורים (5) '!B513,'דוח הוצאות בפועל (4)'!$D$17:$D$3016,"מלגות להורים")</f>
        <v>0</v>
      </c>
      <c r="E513" s="219">
        <f t="shared" si="15"/>
        <v>0</v>
      </c>
      <c r="F513" s="704"/>
      <c r="G513" s="705"/>
      <c r="H513" s="705"/>
      <c r="I513" s="705"/>
      <c r="K513" s="220">
        <f>IFERROR(VLOOKUP(B513,'דוח ביצוע (3)'!B:J,8,0),0)</f>
        <v>0</v>
      </c>
      <c r="L513" s="220">
        <f t="shared" si="16"/>
        <v>0</v>
      </c>
      <c r="M513" s="705"/>
    </row>
    <row r="514" spans="1:13" ht="19.5" customHeight="1" x14ac:dyDescent="0.25">
      <c r="A514" s="280">
        <v>497</v>
      </c>
      <c r="B514" s="703" t="str">
        <f>IF(VLOOKUP(A514,'דוח ביצוע (3)'!A:G,2,0)="","",VLOOKUP('תשלומי הורים ומלגות להורים (5) '!A514,'דוח ביצוע (3)'!A:G,2,0))</f>
        <v/>
      </c>
      <c r="C514" s="849"/>
      <c r="D514" s="219">
        <f>SUMIFS('דוח הוצאות בפועל (4)'!$E$17:$E$3016,'דוח הוצאות בפועל (4)'!$B$17:$B$3016,'תשלומי הורים ומלגות להורים (5) '!B514,'דוח הוצאות בפועל (4)'!$D$17:$D$3016,"מלגות להורים")</f>
        <v>0</v>
      </c>
      <c r="E514" s="219">
        <f t="shared" si="15"/>
        <v>0</v>
      </c>
      <c r="F514" s="704"/>
      <c r="G514" s="705"/>
      <c r="H514" s="705"/>
      <c r="I514" s="705"/>
      <c r="K514" s="220">
        <f>IFERROR(VLOOKUP(B514,'דוח ביצוע (3)'!B:J,8,0),0)</f>
        <v>0</v>
      </c>
      <c r="L514" s="220">
        <f t="shared" si="16"/>
        <v>0</v>
      </c>
      <c r="M514" s="705"/>
    </row>
    <row r="515" spans="1:13" ht="19.5" customHeight="1" x14ac:dyDescent="0.25">
      <c r="A515" s="280">
        <v>498</v>
      </c>
      <c r="B515" s="703" t="str">
        <f>IF(VLOOKUP(A515,'דוח ביצוע (3)'!A:G,2,0)="","",VLOOKUP('תשלומי הורים ומלגות להורים (5) '!A515,'דוח ביצוע (3)'!A:G,2,0))</f>
        <v/>
      </c>
      <c r="C515" s="849"/>
      <c r="D515" s="219">
        <f>SUMIFS('דוח הוצאות בפועל (4)'!$E$17:$E$3016,'דוח הוצאות בפועל (4)'!$B$17:$B$3016,'תשלומי הורים ומלגות להורים (5) '!B515,'דוח הוצאות בפועל (4)'!$D$17:$D$3016,"מלגות להורים")</f>
        <v>0</v>
      </c>
      <c r="E515" s="219">
        <f t="shared" si="15"/>
        <v>0</v>
      </c>
      <c r="F515" s="704"/>
      <c r="G515" s="705"/>
      <c r="H515" s="705"/>
      <c r="I515" s="705"/>
      <c r="K515" s="220">
        <f>IFERROR(VLOOKUP(B515,'דוח ביצוע (3)'!B:J,8,0),0)</f>
        <v>0</v>
      </c>
      <c r="L515" s="220">
        <f t="shared" si="16"/>
        <v>0</v>
      </c>
      <c r="M515" s="705"/>
    </row>
    <row r="516" spans="1:13" ht="19.5" customHeight="1" x14ac:dyDescent="0.25">
      <c r="A516" s="280">
        <v>499</v>
      </c>
      <c r="B516" s="703" t="str">
        <f>IF(VLOOKUP(A516,'דוח ביצוע (3)'!A:G,2,0)="","",VLOOKUP('תשלומי הורים ומלגות להורים (5) '!A516,'דוח ביצוע (3)'!A:G,2,0))</f>
        <v/>
      </c>
      <c r="C516" s="849"/>
      <c r="D516" s="219">
        <f>SUMIFS('דוח הוצאות בפועל (4)'!$E$17:$E$3016,'דוח הוצאות בפועל (4)'!$B$17:$B$3016,'תשלומי הורים ומלגות להורים (5) '!B516,'דוח הוצאות בפועל (4)'!$D$17:$D$3016,"מלגות להורים")</f>
        <v>0</v>
      </c>
      <c r="E516" s="219">
        <f t="shared" si="15"/>
        <v>0</v>
      </c>
      <c r="F516" s="704"/>
      <c r="G516" s="705"/>
      <c r="H516" s="705"/>
      <c r="I516" s="705"/>
      <c r="K516" s="220">
        <f>IFERROR(VLOOKUP(B516,'דוח ביצוע (3)'!B:J,8,0),0)</f>
        <v>0</v>
      </c>
      <c r="L516" s="220">
        <f t="shared" si="16"/>
        <v>0</v>
      </c>
      <c r="M516" s="705"/>
    </row>
    <row r="517" spans="1:13" ht="19.5" customHeight="1" x14ac:dyDescent="0.25">
      <c r="A517" s="280">
        <v>500</v>
      </c>
      <c r="B517" s="703" t="str">
        <f>IF(VLOOKUP(A517,'דוח ביצוע (3)'!A:G,2,0)="","",VLOOKUP('תשלומי הורים ומלגות להורים (5) '!A517,'דוח ביצוע (3)'!A:G,2,0))</f>
        <v/>
      </c>
      <c r="C517" s="850"/>
      <c r="D517" s="219">
        <f>SUMIFS('דוח הוצאות בפועל (4)'!$E$17:$E$3016,'דוח הוצאות בפועל (4)'!$B$17:$B$3016,'תשלומי הורים ומלגות להורים (5) '!B517,'דוח הוצאות בפועל (4)'!$D$17:$D$3016,"מלגות להורים")</f>
        <v>0</v>
      </c>
      <c r="E517" s="219">
        <f t="shared" si="15"/>
        <v>0</v>
      </c>
      <c r="F517" s="706"/>
      <c r="G517" s="707"/>
      <c r="H517" s="707"/>
      <c r="I517" s="707"/>
      <c r="K517" s="220">
        <f>IFERROR(VLOOKUP(B517,'דוח ביצוע (3)'!B:J,8,0),0)</f>
        <v>0</v>
      </c>
      <c r="L517" s="220">
        <f t="shared" si="16"/>
        <v>0</v>
      </c>
      <c r="M517" s="705"/>
    </row>
    <row r="518" spans="1:13" ht="15.75" x14ac:dyDescent="0.25">
      <c r="B518" s="221"/>
      <c r="C518" s="851"/>
      <c r="D518" s="17"/>
      <c r="E518" s="17"/>
      <c r="F518" s="30"/>
      <c r="G518" s="30"/>
      <c r="K518" s="17"/>
      <c r="L518" s="17"/>
      <c r="M518" s="30"/>
    </row>
    <row r="519" spans="1:13" x14ac:dyDescent="0.25">
      <c r="D519" s="222"/>
      <c r="E519" s="222"/>
      <c r="K519" s="223"/>
      <c r="L519" s="223"/>
    </row>
  </sheetData>
  <sheetProtection algorithmName="SHA-512" hashValue="TwRR6fBDjVI10J7p/gqQtTw24OHZDwHzGafxcwjXKdBeLsXrxKPjmzZYN+JWrV3VOeLdMJo8qETgBPc2L0jJWA==" saltValue="PlPi4+fMo6JEsdWOexA19g==" spinCount="100000" sheet="1" objects="1" scenarios="1"/>
  <customSheetViews>
    <customSheetView guid="{BA0A6883-E808-4711-BE2E-E9E96FA9E885}" showPageBreaks="1" fitToPage="1" printArea="1">
      <selection activeCell="E12" sqref="E12"/>
      <pageMargins left="0.70866141732283472" right="0.70866141732283472" top="0.74803149606299213" bottom="0.74803149606299213" header="0.31496062992125984" footer="0.31496062992125984"/>
      <pageSetup paperSize="9" scale="81" orientation="landscape" r:id="rId1"/>
      <headerFooter>
        <oddHeader>&amp;L&amp;12&amp;U&amp;A</oddHeader>
        <oddFooter>&amp;C&amp;14- 1 -</oddFooter>
      </headerFooter>
    </customSheetView>
    <customSheetView guid="{ACD441E8-3AD2-4F62-A341-3CB1D0C27992}" fitToPage="1">
      <selection activeCell="B5" sqref="B5"/>
      <pageMargins left="0.70866141732283472" right="0.70866141732283472" top="0.74803149606299213" bottom="0.74803149606299213" header="0.31496062992125984" footer="0.31496062992125984"/>
      <pageSetup paperSize="9" scale="92" orientation="landscape" r:id="rId2"/>
      <headerFooter>
        <oddHeader>&amp;L&amp;12&amp;U&amp;A</oddHeader>
        <oddFooter>&amp;C&amp;14- 1 -</oddFooter>
      </headerFooter>
    </customSheetView>
    <customSheetView guid="{4C449889-8AC9-4BD3-9CEA-74B4C2A98249}" showPageBreaks="1" fitToPage="1" printArea="1">
      <selection activeCell="D23" sqref="D23"/>
      <pageMargins left="0.70866141732283472" right="0.70866141732283472" top="0.74803149606299213" bottom="0.74803149606299213" header="0.31496062992125984" footer="0.31496062992125984"/>
      <pageSetup paperSize="9" scale="81" orientation="landscape" r:id="rId3"/>
      <headerFooter>
        <oddHeader>&amp;L&amp;12&amp;U&amp;A</oddHeader>
        <oddFooter>&amp;C&amp;14- 1 -</oddFooter>
      </headerFooter>
    </customSheetView>
  </customSheetViews>
  <conditionalFormatting sqref="C10">
    <cfRule type="cellIs" dxfId="159" priority="1" operator="equal">
      <formula>"המוסד לא דווח בגיליון מצבת והרשמה"</formula>
    </cfRule>
    <cfRule type="cellIs" dxfId="158" priority="2" operator="equal">
      <formula>"המוסד לא קיים"</formula>
    </cfRule>
  </conditionalFormatting>
  <dataValidations disablePrompts="1" count="1">
    <dataValidation allowBlank="1" showInputMessage="1" showErrorMessage="1" error="יש לבחור את סוג ההוצאה מתוך הרשימה הנפתחת!" sqref="D11:F11" xr:uid="{6C0681B9-E793-4DD1-B622-EC652434705C}"/>
  </dataValidations>
  <hyperlinks>
    <hyperlink ref="A1" location="'תוכן העניינים'!A1" tooltip="הנחיות למילוי גיליון" display="תוכן העניינים" xr:uid="{7533AED6-2683-4694-8EE4-FB5F0A6F709B}"/>
  </hyperlinks>
  <pageMargins left="0.70866141732283472" right="0.70866141732283472" top="0.74803149606299213" bottom="0.74803149606299213" header="0.31496062992125984" footer="0.31496062992125984"/>
  <pageSetup paperSize="9" scale="10" orientation="landscape" r:id="rId4"/>
  <headerFooter>
    <oddHeader>&amp;L&amp;12&amp;U&amp;A</oddHeader>
    <oddFooter>&amp;C&amp;14- 1 -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7">
    <tabColor rgb="FF00FFFF"/>
  </sheetPr>
  <dimension ref="B1:AF3023"/>
  <sheetViews>
    <sheetView showGridLines="0" rightToLeft="1" topLeftCell="B8" workbookViewId="0">
      <selection activeCell="G22" sqref="G22"/>
    </sheetView>
  </sheetViews>
  <sheetFormatPr defaultColWidth="8.625" defaultRowHeight="15.75" x14ac:dyDescent="0.25"/>
  <cols>
    <col min="1" max="1" width="4.75" style="20" customWidth="1"/>
    <col min="2" max="2" width="12.375" style="20" customWidth="1"/>
    <col min="3" max="3" width="19.75" style="20" customWidth="1"/>
    <col min="4" max="4" width="15.25" style="20" customWidth="1"/>
    <col min="5" max="5" width="13.875" style="20" customWidth="1"/>
    <col min="6" max="6" width="16.5" style="20" customWidth="1"/>
    <col min="7" max="7" width="12.625" style="20" customWidth="1"/>
    <col min="8" max="8" width="21.125" style="20" customWidth="1"/>
    <col min="9" max="9" width="33.75" style="20" customWidth="1"/>
    <col min="10" max="10" width="7.125" style="20" customWidth="1"/>
    <col min="11" max="11" width="8.625" style="20"/>
    <col min="12" max="12" width="6.625" style="20" customWidth="1"/>
    <col min="13" max="13" width="12" style="20" customWidth="1"/>
    <col min="14" max="14" width="8.75" style="369" hidden="1" customWidth="1"/>
    <col min="15" max="15" width="19.75" style="183" bestFit="1" customWidth="1"/>
    <col min="16" max="16" width="7.5" style="20" customWidth="1"/>
    <col min="17" max="17" width="7.125" style="20" hidden="1" customWidth="1"/>
    <col min="18" max="18" width="9.875" style="20" customWidth="1"/>
    <col min="19" max="19" width="15.75" style="20" customWidth="1"/>
    <col min="20" max="20" width="13.5" style="20" customWidth="1"/>
    <col min="21" max="21" width="10.75" style="20" customWidth="1"/>
    <col min="22" max="22" width="28.25" style="20" customWidth="1"/>
    <col min="23" max="23" width="30.625" style="20" customWidth="1"/>
    <col min="24" max="24" width="8.625" style="370" hidden="1" customWidth="1"/>
    <col min="25" max="25" width="8.625" style="371" hidden="1" customWidth="1"/>
    <col min="26" max="26" width="6.75" style="370" hidden="1" customWidth="1"/>
    <col min="27" max="27" width="8.625" style="370" hidden="1" customWidth="1"/>
    <col min="28" max="28" width="12.625" style="370" hidden="1" customWidth="1"/>
    <col min="29" max="29" width="14.125" style="370" hidden="1" customWidth="1"/>
    <col min="30" max="32" width="17.5" style="370" hidden="1" customWidth="1"/>
    <col min="33" max="16384" width="8.625" style="20"/>
  </cols>
  <sheetData>
    <row r="1" spans="2:32" ht="21" thickBot="1" x14ac:dyDescent="0.35">
      <c r="B1" s="802" t="s">
        <v>2851</v>
      </c>
      <c r="C1" s="21"/>
      <c r="D1" s="512" t="str">
        <f>'גנים ובתי ספר- מבנה תקציב'!$E$1</f>
        <v>תכנית בתי הספר והגנים של החופש הגדול, קיץ תשפ"ו</v>
      </c>
      <c r="E1" s="182"/>
      <c r="F1" s="182"/>
      <c r="N1" s="369" t="s">
        <v>2525</v>
      </c>
      <c r="X1" s="370" t="s">
        <v>2525</v>
      </c>
      <c r="Y1" s="371" t="s">
        <v>2525</v>
      </c>
      <c r="Z1" s="370" t="s">
        <v>2525</v>
      </c>
      <c r="AA1" s="370" t="s">
        <v>2525</v>
      </c>
      <c r="AB1" s="370" t="s">
        <v>2525</v>
      </c>
      <c r="AC1" s="370" t="s">
        <v>2525</v>
      </c>
      <c r="AD1" s="370" t="s">
        <v>2525</v>
      </c>
      <c r="AE1" s="370" t="s">
        <v>2525</v>
      </c>
    </row>
    <row r="2" spans="2:32" ht="19.5" customHeight="1" thickBot="1" x14ac:dyDescent="0.3">
      <c r="B2" s="21"/>
      <c r="C2" s="21"/>
      <c r="D2" s="21"/>
      <c r="E2" s="21"/>
      <c r="F2" s="21"/>
    </row>
    <row r="3" spans="2:32" ht="16.5" thickBot="1" x14ac:dyDescent="0.3">
      <c r="B3" s="21"/>
      <c r="C3" s="49" t="s">
        <v>16</v>
      </c>
      <c r="D3" s="185">
        <f>'נתונים כלליים (1)'!C5</f>
        <v>0</v>
      </c>
      <c r="E3" s="17"/>
      <c r="F3" s="21"/>
    </row>
    <row r="4" spans="2:32" ht="16.5" thickBot="1" x14ac:dyDescent="0.3">
      <c r="B4" s="21"/>
      <c r="C4" s="61" t="s">
        <v>7</v>
      </c>
      <c r="D4" s="186" t="str">
        <f>'נתונים כלליים (1)'!C6</f>
        <v/>
      </c>
      <c r="E4" s="21"/>
      <c r="F4" s="21"/>
    </row>
    <row r="5" spans="2:32" ht="18.75" x14ac:dyDescent="0.3">
      <c r="B5" s="21"/>
      <c r="C5" s="17"/>
      <c r="D5" s="17"/>
      <c r="E5" s="21"/>
      <c r="F5" s="21"/>
      <c r="H5" s="743" t="str">
        <f>IF(AND(H6="",H7="")," ","שגיאות בגיליון:")</f>
        <v xml:space="preserve"> </v>
      </c>
    </row>
    <row r="6" spans="2:32" ht="18.75" customHeight="1" x14ac:dyDescent="0.3">
      <c r="B6" s="21"/>
      <c r="C6" s="187"/>
      <c r="E6" s="21"/>
      <c r="F6" s="21"/>
      <c r="H6" s="743" t="str">
        <f>IF($C$11&lt;$B$11,CONCATENATE("שימו לב, ישנם ",$B$11-C11," מוסדות אשר דווחו בדוח ביצוע ולא דווח עליהם הוצאות"),IF($B$11&lt;$C$11,CONCATENATE("שימו לב, ישנם ",$C$11-$B$11," מוסדות אשר דווח עליהם הוצאות אולם לא דווחו בדוח ביצוע"),""))</f>
        <v/>
      </c>
    </row>
    <row r="7" spans="2:32" ht="19.5" customHeight="1" x14ac:dyDescent="0.3">
      <c r="B7" s="190"/>
      <c r="D7" s="184" t="s">
        <v>117</v>
      </c>
      <c r="E7" s="184"/>
      <c r="F7" s="184"/>
      <c r="H7" s="743" t="str">
        <f>' איוש משרות (8)'!K6</f>
        <v/>
      </c>
      <c r="I7" s="231"/>
      <c r="P7" s="193" t="s">
        <v>2287</v>
      </c>
    </row>
    <row r="8" spans="2:32" ht="19.5" customHeight="1" x14ac:dyDescent="0.3">
      <c r="B8" s="190"/>
      <c r="D8" s="184"/>
      <c r="E8" s="184"/>
      <c r="F8" s="184"/>
      <c r="H8" s="231"/>
      <c r="I8" s="231"/>
      <c r="P8" s="193"/>
    </row>
    <row r="9" spans="2:32" ht="19.5" customHeight="1" thickBot="1" x14ac:dyDescent="0.35">
      <c r="B9" s="229" t="s">
        <v>8</v>
      </c>
      <c r="C9" s="22"/>
      <c r="D9" s="166"/>
      <c r="E9" s="31"/>
      <c r="F9" s="22"/>
      <c r="H9" s="39"/>
      <c r="I9" s="22"/>
      <c r="P9" s="193"/>
    </row>
    <row r="10" spans="2:32" ht="40.15" customHeight="1" x14ac:dyDescent="0.25">
      <c r="B10" s="698" t="s">
        <v>2339</v>
      </c>
      <c r="C10" s="698" t="s">
        <v>2818</v>
      </c>
      <c r="D10" s="698" t="s">
        <v>2817</v>
      </c>
      <c r="E10" s="698" t="s">
        <v>2792</v>
      </c>
      <c r="F10" s="804" t="s">
        <v>2873</v>
      </c>
      <c r="H10" s="188" t="s">
        <v>2302</v>
      </c>
      <c r="I10" s="189"/>
      <c r="P10" s="193"/>
    </row>
    <row r="11" spans="2:32" ht="19.5" customHeight="1" thickBot="1" x14ac:dyDescent="0.3">
      <c r="B11" s="552">
        <f>'דוח ביצוע (3)'!C13</f>
        <v>0</v>
      </c>
      <c r="C11" s="552" cm="1">
        <f t="array" ref="C11">SUM(IF(FREQUENCY($B15:B$3016,$B158:B$3016)&gt;0,1))</f>
        <v>0</v>
      </c>
      <c r="D11" s="552">
        <f>COUNT(D15:D5000)</f>
        <v>0</v>
      </c>
      <c r="E11" s="552">
        <f>SUM(M15:M5000)</f>
        <v>0</v>
      </c>
      <c r="F11" s="552">
        <f>M15</f>
        <v>0</v>
      </c>
      <c r="H11" s="191" t="s">
        <v>2303</v>
      </c>
      <c r="I11" s="192"/>
      <c r="P11" s="193"/>
    </row>
    <row r="12" spans="2:32" ht="19.5" customHeight="1" x14ac:dyDescent="0.25">
      <c r="B12" s="190"/>
      <c r="D12" s="232"/>
      <c r="E12" s="22"/>
      <c r="F12" s="22"/>
      <c r="G12" s="22"/>
      <c r="H12" s="22"/>
      <c r="I12" s="22"/>
      <c r="P12" s="193"/>
    </row>
    <row r="13" spans="2:32" ht="19.5" customHeight="1" x14ac:dyDescent="0.25">
      <c r="B13" s="190"/>
      <c r="C13" s="231"/>
      <c r="D13" s="232"/>
      <c r="E13" s="22"/>
      <c r="F13" s="22"/>
      <c r="G13" s="22"/>
      <c r="H13" s="22"/>
      <c r="I13" s="22"/>
      <c r="P13" s="193"/>
    </row>
    <row r="14" spans="2:32" ht="63" x14ac:dyDescent="0.25">
      <c r="B14" s="194" t="s">
        <v>2537</v>
      </c>
      <c r="C14" s="194" t="s">
        <v>98</v>
      </c>
      <c r="D14" s="194" t="s">
        <v>99</v>
      </c>
      <c r="E14" s="194" t="s">
        <v>100</v>
      </c>
      <c r="F14" s="194" t="s">
        <v>101</v>
      </c>
      <c r="G14" s="194" t="s">
        <v>102</v>
      </c>
      <c r="H14" s="194" t="s">
        <v>103</v>
      </c>
      <c r="I14" s="194" t="s">
        <v>104</v>
      </c>
      <c r="J14" s="194" t="s">
        <v>2367</v>
      </c>
      <c r="K14" s="194" t="s">
        <v>2368</v>
      </c>
      <c r="L14" s="194" t="s">
        <v>105</v>
      </c>
      <c r="M14" s="194" t="s">
        <v>106</v>
      </c>
      <c r="O14" s="195">
        <v>1</v>
      </c>
      <c r="P14" s="194" t="s">
        <v>2275</v>
      </c>
      <c r="Q14" s="194" t="s">
        <v>2271</v>
      </c>
      <c r="R14" s="194" t="s">
        <v>2276</v>
      </c>
      <c r="S14" s="194" t="s">
        <v>2685</v>
      </c>
      <c r="T14" s="194" t="s">
        <v>2277</v>
      </c>
      <c r="U14" s="194" t="s">
        <v>2278</v>
      </c>
      <c r="V14" s="194" t="s">
        <v>2286</v>
      </c>
      <c r="W14" s="196">
        <v>1</v>
      </c>
      <c r="X14" s="372" t="s">
        <v>2273</v>
      </c>
      <c r="Y14" s="373" t="s">
        <v>2272</v>
      </c>
      <c r="Z14" s="372" t="s">
        <v>2274</v>
      </c>
      <c r="AA14" s="372" t="s">
        <v>2270</v>
      </c>
      <c r="AB14" s="523" t="s">
        <v>2682</v>
      </c>
      <c r="AC14" s="523" t="s">
        <v>2683</v>
      </c>
      <c r="AD14" s="524" t="s">
        <v>2684</v>
      </c>
      <c r="AE14" s="524" t="s">
        <v>2688</v>
      </c>
      <c r="AF14" s="524" t="s">
        <v>2689</v>
      </c>
    </row>
    <row r="15" spans="2:32" x14ac:dyDescent="0.25">
      <c r="B15" s="852"/>
      <c r="C15" s="853"/>
      <c r="D15" s="852"/>
      <c r="E15" s="854"/>
      <c r="F15" s="854"/>
      <c r="G15" s="854"/>
      <c r="H15" s="1035" t="s">
        <v>2872</v>
      </c>
      <c r="I15" s="1035" t="s">
        <v>2872</v>
      </c>
      <c r="J15" s="854"/>
      <c r="K15" s="855"/>
      <c r="L15" s="854"/>
      <c r="M15" s="198">
        <f>IF(AND(L15&gt;0,K15&gt;0),K15*L15,0)</f>
        <v>0</v>
      </c>
      <c r="O15" s="183" t="str">
        <f t="shared" ref="O15:O78" si="0">IF(ISNUMBER(M15&gt;0),IF(ISBLANK(B15),"יש להזין סמל מוסד בעמודה B",""),"")</f>
        <v/>
      </c>
      <c r="P15" s="199" t="str">
        <f t="shared" ref="P15:P78" si="1">IF(B15="","",IF(AA15=FALSE,"לא תקין","תקין"))</f>
        <v/>
      </c>
      <c r="Q15" s="199" t="str">
        <f>IF(B15="","",IFERROR(IF('עלויות כח אדם (6)'!J15&gt;=VLOOKUP(I15,'סיווג התפקידים והעלויות'!$B$23:$C$32,2,0),"תקין","לא תקין"),""))</f>
        <v/>
      </c>
      <c r="R15" s="199" t="str">
        <f t="shared" ref="R15:R78" si="2">IF(B15="","",IF(OR(Y15&lt;100%,Y15&gt;140%),"לא תקין","תקין"))</f>
        <v/>
      </c>
      <c r="S15" s="199" t="str">
        <f t="shared" ref="S15:S78" si="3">IF(B15="","",IFERROR(IF(J15&gt;120,"לא תקין","תקין"),""))</f>
        <v/>
      </c>
      <c r="T15" s="199" t="str">
        <f>IF(B15="","",IF(H15="","יש להזין איש צוות",IF(OR(H15="מורה",H15="גננת",H15="רכז גן",H15="רכזת גן",H15="סייעת",H15="מדצית",H15="מדצ",H15="מדריך",H15="מדריכה",H15="תוספת כח אדם"),IF(L15&lt;=90,"תקין","לא תקין"),IF(OR(H15="רכז בית ספר",H15="רכזת תכנית בבית הספר",H15="רכזת בית ספר"),IF(L15&lt;=137,"תקין","לא תקין"),IF(OR(H15="סגנית רכזת מעל 150",H15="סגן רכז"),IF(L15&lt;=93,"תקין","לא תקין"),"לא תקין")))))</f>
        <v/>
      </c>
      <c r="U15" s="199" t="str">
        <f t="shared" ref="U15:U78" si="4">IF(B15="","",IF(Z15&gt;1,IF(SUMIF(D:D,D15,L:L)&gt;90,"לא תקין","תקין"),"תקין"))</f>
        <v/>
      </c>
      <c r="V15" s="989"/>
      <c r="X15" s="374" t="str">
        <f t="shared" ref="X15:X78" si="5">IF(B15="","",IF(OR(R15="לא תקין",S15="לא תקין",T15="לא תקין",,U15="לא תקין"),"לא תקין","תקין"))</f>
        <v/>
      </c>
      <c r="Y15" s="375" t="str">
        <f t="shared" ref="Y15:Y78" si="6">IFERROR(IF(B15="","",K15/J15),"")</f>
        <v/>
      </c>
      <c r="Z15" s="374" t="str">
        <f t="shared" ref="Z15:Z78" si="7">IF(B15="","",COUNTIF(D:D,D15))</f>
        <v/>
      </c>
      <c r="AA15" s="374" t="b">
        <f t="shared" ref="AA15:AA78" si="8">MOD(MID(REPT(0,9-LEN(D15))&amp;D15,1,1)+MID("0246813579",MID(REPT(0,9-LEN(D15))&amp;D15,2,1)+1,1)+MID(REPT(0,9-LEN(D15))&amp;D15,3,1)+MID("0246813579",MID(REPT(0,9-LEN(D15))&amp;D15,4,1)+1,1)+MID(REPT(0,9-LEN(D15))&amp;D15,5,1)+MID("0246813579",MID(REPT(0,9-LEN(D15))&amp;D15,6,1)+1,1)+MID(REPT(0,9-LEN(D15))&amp;D15,7,1)+MID("0246813579",MID(REPT(0,9-LEN(D15))&amp;D15,8,1)+1,1)+MID(REPT(0,9-LEN(D15))&amp;D15,9,1),10)=0</f>
        <v>1</v>
      </c>
      <c r="AB15" s="374">
        <f>COUNTIFS(B:B,B15,H:H,'סיווג התפקידים והעלויות'!$C$2)</f>
        <v>0</v>
      </c>
      <c r="AC15" s="374">
        <f>COUNTIFS(B:B,B15,H:H,'סיווג התפקידים והעלויות'!$D$2)</f>
        <v>0</v>
      </c>
      <c r="AD15" s="374" t="str">
        <f>IF(OR(AND(H15='סיווג התפקידים והעלויות'!$A$2,I15='סיווג התפקידים והעלויות'!$A$3),'עלויות כח אדם (6)'!H15='סיווג התפקידים והעלויות'!$C$2,'עלויות כח אדם (6)'!H15='סיווג התפקידים והעלויות'!$D$2),IF('עלויות כח אדם (6)'!J15&lt;75,"לא תקין","תקין"),"")</f>
        <v/>
      </c>
      <c r="AE15" s="374" t="str">
        <f t="shared" ref="AE15:AE78" si="9">IF(B15&lt;&gt;"",B15&amp;H15,"")</f>
        <v/>
      </c>
      <c r="AF15" s="532">
        <f t="shared" ref="AF15:AF78" si="10">M15</f>
        <v>0</v>
      </c>
    </row>
    <row r="16" spans="2:32" x14ac:dyDescent="0.25">
      <c r="B16" s="695"/>
      <c r="C16" s="197" t="str">
        <f>IF(B16&lt;&gt;"",IFERROR(VLOOKUP(B:B,'מצבת והרשמה (2)'!$C$20:$N$520,2,0)," ")," ")</f>
        <v xml:space="preserve"> </v>
      </c>
      <c r="D16" s="695"/>
      <c r="E16" s="696"/>
      <c r="F16" s="696"/>
      <c r="G16" s="696"/>
      <c r="H16" s="696"/>
      <c r="I16" s="1050" t="str">
        <f t="shared" ref="I16:I43" si="11">SUBSTITUTE(IFERROR(IF(H16="מדצ","מדצ/ית",IF(H16="סגנית רכזת מעל 150","סגנ/ית רכז/ת&gt;150",IF(H16="רכזת תכנית בבית הספר","רכז/ת תכנית בבית הספר"))),""),"FALSE","")</f>
        <v/>
      </c>
      <c r="J16" s="696"/>
      <c r="K16" s="697"/>
      <c r="L16" s="696"/>
      <c r="M16" s="198">
        <f t="shared" ref="M16:M17" si="12">IF(AND(L16&gt;0,K16&gt;0),K16*L16,0)</f>
        <v>0</v>
      </c>
      <c r="N16" s="369" t="str">
        <f t="shared" ref="N16:N78" si="13">TEXT(LEFT(H16,2),0)</f>
        <v/>
      </c>
      <c r="O16" s="183" t="str">
        <f t="shared" si="0"/>
        <v/>
      </c>
      <c r="P16" s="199" t="str">
        <f t="shared" si="1"/>
        <v/>
      </c>
      <c r="Q16" s="199" t="str">
        <f>IF(B16="","",IFERROR(IF('עלויות כח אדם (6)'!J16&gt;=VLOOKUP(I16,'סיווג התפקידים והעלויות'!$B$23:$C$32,2,0),"תקין","לא תקין"),""))</f>
        <v/>
      </c>
      <c r="R16" s="199" t="str">
        <f t="shared" si="2"/>
        <v/>
      </c>
      <c r="S16" s="199" t="str">
        <f t="shared" si="3"/>
        <v/>
      </c>
      <c r="T16" s="199" t="str">
        <f t="shared" ref="T16:T79" si="14">IF(B16="","",IF(H16="","יש להזין איש צוות",IF(OR(H16="מורה",H16="גננת",H16="רכז גן",H16="רכזת גן",H16="סייעת",H16="מדצית",H16="מדצ",H16="מדריך",H16="מדריכה",H16="תוספת כח אדם"),IF(L16&lt;=90,"תקין","לא תקין"),IF(OR(H16="רכז בית ספר",H16="רכזת תכנית בבית הספר",H16="רכזת בית ספר"),IF(L16&lt;=137,"תקין","לא תקין"),IF(OR(H16="סגנית רכזת מעל 150",H16="סגן רכז"),IF(L16&lt;=93,"תקין","לא תקין"),"לא תקין")))))</f>
        <v/>
      </c>
      <c r="U16" s="199" t="str">
        <f t="shared" si="4"/>
        <v/>
      </c>
      <c r="V16" s="989"/>
      <c r="X16" s="374" t="str">
        <f t="shared" si="5"/>
        <v/>
      </c>
      <c r="Y16" s="375" t="str">
        <f t="shared" si="6"/>
        <v/>
      </c>
      <c r="Z16" s="374" t="str">
        <f t="shared" si="7"/>
        <v/>
      </c>
      <c r="AA16" s="374" t="b">
        <f t="shared" si="8"/>
        <v>1</v>
      </c>
      <c r="AB16" s="374">
        <f>COUNTIFS(B:B,B16,H:H,'סיווג התפקידים והעלויות'!$C$2)</f>
        <v>0</v>
      </c>
      <c r="AC16" s="374">
        <f>COUNTIFS(B:B,B16,H:H,'סיווג התפקידים והעלויות'!$D$2)</f>
        <v>0</v>
      </c>
      <c r="AD16" s="374" t="str">
        <f>IF(OR(AND(H16='סיווג התפקידים והעלויות'!$A$2,I16='סיווג התפקידים והעלויות'!$A$3),'עלויות כח אדם (6)'!H16='סיווג התפקידים והעלויות'!$C$2,'עלויות כח אדם (6)'!H16='סיווג התפקידים והעלויות'!$D$2),IF('עלויות כח אדם (6)'!J16&lt;75,"לא תקין","תקין"),"")</f>
        <v/>
      </c>
      <c r="AE16" s="374" t="str">
        <f t="shared" si="9"/>
        <v/>
      </c>
      <c r="AF16" s="532">
        <f t="shared" si="10"/>
        <v>0</v>
      </c>
    </row>
    <row r="17" spans="2:32" x14ac:dyDescent="0.25">
      <c r="B17" s="695"/>
      <c r="C17" s="197" t="str">
        <f>IF(B17&lt;&gt;"",IFERROR(VLOOKUP(B:B,'מצבת והרשמה (2)'!$C$20:$N$520,2,0)," ")," ")</f>
        <v xml:space="preserve"> </v>
      </c>
      <c r="D17" s="695"/>
      <c r="E17" s="696"/>
      <c r="F17" s="696"/>
      <c r="G17" s="696"/>
      <c r="H17" s="696"/>
      <c r="I17" s="1050"/>
      <c r="J17" s="696"/>
      <c r="K17" s="697"/>
      <c r="L17" s="696"/>
      <c r="M17" s="198">
        <f t="shared" si="12"/>
        <v>0</v>
      </c>
      <c r="N17" s="369" t="str">
        <f t="shared" si="13"/>
        <v/>
      </c>
      <c r="O17" s="183" t="str">
        <f t="shared" si="0"/>
        <v/>
      </c>
      <c r="P17" s="199" t="str">
        <f t="shared" si="1"/>
        <v/>
      </c>
      <c r="Q17" s="199" t="str">
        <f>IF(B17="","",IFERROR(IF('עלויות כח אדם (6)'!J17&gt;=VLOOKUP(I17,'סיווג התפקידים והעלויות'!$B$23:$C$32,2,0),"תקין","לא תקין"),""))</f>
        <v/>
      </c>
      <c r="R17" s="199" t="str">
        <f t="shared" si="2"/>
        <v/>
      </c>
      <c r="S17" s="199" t="str">
        <f t="shared" si="3"/>
        <v/>
      </c>
      <c r="T17" s="199" t="str">
        <f t="shared" si="14"/>
        <v/>
      </c>
      <c r="U17" s="199" t="str">
        <f t="shared" si="4"/>
        <v/>
      </c>
      <c r="V17" s="989"/>
      <c r="X17" s="374" t="str">
        <f t="shared" si="5"/>
        <v/>
      </c>
      <c r="Y17" s="375" t="str">
        <f t="shared" si="6"/>
        <v/>
      </c>
      <c r="Z17" s="374" t="str">
        <f t="shared" si="7"/>
        <v/>
      </c>
      <c r="AA17" s="374" t="b">
        <f t="shared" si="8"/>
        <v>1</v>
      </c>
      <c r="AB17" s="374">
        <f>COUNTIFS(B:B,B17,H:H,'סיווג התפקידים והעלויות'!$C$2)</f>
        <v>0</v>
      </c>
      <c r="AC17" s="374">
        <f>COUNTIFS(B:B,B17,H:H,'סיווג התפקידים והעלויות'!$D$2)</f>
        <v>0</v>
      </c>
      <c r="AD17" s="374" t="str">
        <f>IF(OR(AND(H17='סיווג התפקידים והעלויות'!$A$2,I17='סיווג התפקידים והעלויות'!$A$3),'עלויות כח אדם (6)'!H17='סיווג התפקידים והעלויות'!$C$2,'עלויות כח אדם (6)'!H17='סיווג התפקידים והעלויות'!$D$2),IF('עלויות כח אדם (6)'!J17&lt;75,"לא תקין","תקין"),"")</f>
        <v/>
      </c>
      <c r="AE17" s="374" t="str">
        <f t="shared" si="9"/>
        <v/>
      </c>
      <c r="AF17" s="532">
        <f t="shared" si="10"/>
        <v>0</v>
      </c>
    </row>
    <row r="18" spans="2:32" x14ac:dyDescent="0.25">
      <c r="B18" s="695"/>
      <c r="C18" s="197" t="str">
        <f>IF(B18&lt;&gt;"",IFERROR(VLOOKUP(B:B,'מצבת והרשמה (2)'!$C$20:$N$520,2,0)," ")," ")</f>
        <v xml:space="preserve"> </v>
      </c>
      <c r="D18" s="695"/>
      <c r="E18" s="696"/>
      <c r="F18" s="696"/>
      <c r="G18" s="696"/>
      <c r="H18" s="696"/>
      <c r="I18" s="1050"/>
      <c r="J18" s="696"/>
      <c r="K18" s="697"/>
      <c r="L18" s="696"/>
      <c r="M18" s="198" t="str">
        <f t="shared" ref="M18:M78" si="15">IF(AND(L18&gt;0,K18&gt;0),K18*L18,"")</f>
        <v/>
      </c>
      <c r="N18" s="369" t="str">
        <f t="shared" si="13"/>
        <v/>
      </c>
      <c r="O18" s="183" t="str">
        <f t="shared" si="0"/>
        <v/>
      </c>
      <c r="P18" s="199" t="str">
        <f t="shared" si="1"/>
        <v/>
      </c>
      <c r="Q18" s="199" t="str">
        <f>IF(B18="","",IFERROR(IF('עלויות כח אדם (6)'!J18&gt;=VLOOKUP(I18,'סיווג התפקידים והעלויות'!$B$23:$C$32,2,0),"תקין","לא תקין"),""))</f>
        <v/>
      </c>
      <c r="R18" s="199" t="str">
        <f t="shared" si="2"/>
        <v/>
      </c>
      <c r="S18" s="199" t="str">
        <f t="shared" si="3"/>
        <v/>
      </c>
      <c r="T18" s="199" t="str">
        <f t="shared" si="14"/>
        <v/>
      </c>
      <c r="U18" s="199" t="str">
        <f t="shared" si="4"/>
        <v/>
      </c>
      <c r="V18" s="989"/>
      <c r="X18" s="374" t="str">
        <f t="shared" si="5"/>
        <v/>
      </c>
      <c r="Y18" s="375" t="str">
        <f t="shared" si="6"/>
        <v/>
      </c>
      <c r="Z18" s="374" t="str">
        <f t="shared" si="7"/>
        <v/>
      </c>
      <c r="AA18" s="374" t="b">
        <f t="shared" si="8"/>
        <v>1</v>
      </c>
      <c r="AB18" s="374">
        <f>COUNTIFS(B:B,B18,H:H,'סיווג התפקידים והעלויות'!$C$2)</f>
        <v>0</v>
      </c>
      <c r="AC18" s="374">
        <f>COUNTIFS(B:B,B18,H:H,'סיווג התפקידים והעלויות'!$D$2)</f>
        <v>0</v>
      </c>
      <c r="AD18" s="374" t="str">
        <f>IF(OR(AND(H18='סיווג התפקידים והעלויות'!$A$2,I18='סיווג התפקידים והעלויות'!$A$3),'עלויות כח אדם (6)'!H18='סיווג התפקידים והעלויות'!$C$2,'עלויות כח אדם (6)'!H18='סיווג התפקידים והעלויות'!$D$2),IF('עלויות כח אדם (6)'!J18&lt;75,"לא תקין","תקין"),"")</f>
        <v/>
      </c>
      <c r="AE18" s="374" t="str">
        <f t="shared" si="9"/>
        <v/>
      </c>
      <c r="AF18" s="532" t="str">
        <f t="shared" si="10"/>
        <v/>
      </c>
    </row>
    <row r="19" spans="2:32" x14ac:dyDescent="0.25">
      <c r="B19" s="695"/>
      <c r="C19" s="197" t="str">
        <f>IF(B19&lt;&gt;"",IFERROR(VLOOKUP(B:B,'מצבת והרשמה (2)'!$C$20:$N$520,2,0)," ")," ")</f>
        <v xml:space="preserve"> </v>
      </c>
      <c r="D19" s="695"/>
      <c r="E19" s="696"/>
      <c r="F19" s="696"/>
      <c r="G19" s="696"/>
      <c r="H19" s="696"/>
      <c r="I19" s="1050" t="str">
        <f t="shared" si="11"/>
        <v/>
      </c>
      <c r="J19" s="696"/>
      <c r="K19" s="697"/>
      <c r="L19" s="696"/>
      <c r="M19" s="198" t="str">
        <f t="shared" si="15"/>
        <v/>
      </c>
      <c r="N19" s="369" t="str">
        <f t="shared" si="13"/>
        <v/>
      </c>
      <c r="O19" s="183" t="str">
        <f t="shared" si="0"/>
        <v/>
      </c>
      <c r="P19" s="199" t="str">
        <f t="shared" si="1"/>
        <v/>
      </c>
      <c r="Q19" s="199" t="str">
        <f>IF(B19="","",IFERROR(IF('עלויות כח אדם (6)'!J19&gt;=VLOOKUP(I19,'סיווג התפקידים והעלויות'!$B$23:$C$32,2,0),"תקין","לא תקין"),""))</f>
        <v/>
      </c>
      <c r="R19" s="199" t="str">
        <f t="shared" si="2"/>
        <v/>
      </c>
      <c r="S19" s="199" t="str">
        <f t="shared" si="3"/>
        <v/>
      </c>
      <c r="T19" s="199" t="str">
        <f t="shared" si="14"/>
        <v/>
      </c>
      <c r="U19" s="199" t="str">
        <f t="shared" si="4"/>
        <v/>
      </c>
      <c r="V19" s="989"/>
      <c r="X19" s="374" t="str">
        <f t="shared" si="5"/>
        <v/>
      </c>
      <c r="Y19" s="375" t="str">
        <f t="shared" si="6"/>
        <v/>
      </c>
      <c r="Z19" s="374" t="str">
        <f t="shared" si="7"/>
        <v/>
      </c>
      <c r="AA19" s="374" t="b">
        <f t="shared" si="8"/>
        <v>1</v>
      </c>
      <c r="AB19" s="374">
        <f>COUNTIFS(B:B,B19,H:H,'סיווג התפקידים והעלויות'!$C$2)</f>
        <v>0</v>
      </c>
      <c r="AC19" s="374">
        <f>COUNTIFS(B:B,B19,H:H,'סיווג התפקידים והעלויות'!$D$2)</f>
        <v>0</v>
      </c>
      <c r="AD19" s="374" t="str">
        <f>IF(OR(AND(H19='סיווג התפקידים והעלויות'!$A$2,I19='סיווג התפקידים והעלויות'!$A$3),'עלויות כח אדם (6)'!H19='סיווג התפקידים והעלויות'!$C$2,'עלויות כח אדם (6)'!H19='סיווג התפקידים והעלויות'!$D$2),IF('עלויות כח אדם (6)'!J19&lt;75,"לא תקין","תקין"),"")</f>
        <v/>
      </c>
      <c r="AE19" s="374" t="str">
        <f t="shared" si="9"/>
        <v/>
      </c>
      <c r="AF19" s="532" t="str">
        <f t="shared" si="10"/>
        <v/>
      </c>
    </row>
    <row r="20" spans="2:32" x14ac:dyDescent="0.25">
      <c r="B20" s="695"/>
      <c r="C20" s="197" t="str">
        <f>IF(B20&lt;&gt;"",IFERROR(VLOOKUP(B:B,'מצבת והרשמה (2)'!$C$20:$N$520,2,0)," ")," ")</f>
        <v xml:space="preserve"> </v>
      </c>
      <c r="D20" s="695"/>
      <c r="E20" s="696"/>
      <c r="F20" s="696"/>
      <c r="G20" s="696"/>
      <c r="H20" s="696"/>
      <c r="I20" s="1050" t="str">
        <f t="shared" si="11"/>
        <v/>
      </c>
      <c r="J20" s="696"/>
      <c r="K20" s="697"/>
      <c r="L20" s="696"/>
      <c r="M20" s="198" t="str">
        <f t="shared" si="15"/>
        <v/>
      </c>
      <c r="N20" s="369" t="str">
        <f t="shared" si="13"/>
        <v/>
      </c>
      <c r="O20" s="183" t="str">
        <f t="shared" si="0"/>
        <v/>
      </c>
      <c r="P20" s="199" t="str">
        <f t="shared" si="1"/>
        <v/>
      </c>
      <c r="Q20" s="199" t="str">
        <f>IF(B20="","",IFERROR(IF('עלויות כח אדם (6)'!J20&gt;=VLOOKUP(I20,'סיווג התפקידים והעלויות'!$B$23:$C$32,2,0),"תקין","לא תקין"),""))</f>
        <v/>
      </c>
      <c r="R20" s="199" t="str">
        <f t="shared" si="2"/>
        <v/>
      </c>
      <c r="S20" s="199" t="str">
        <f t="shared" si="3"/>
        <v/>
      </c>
      <c r="T20" s="199" t="str">
        <f t="shared" si="14"/>
        <v/>
      </c>
      <c r="U20" s="199" t="str">
        <f t="shared" si="4"/>
        <v/>
      </c>
      <c r="V20" s="989"/>
      <c r="X20" s="374" t="str">
        <f t="shared" si="5"/>
        <v/>
      </c>
      <c r="Y20" s="375" t="str">
        <f t="shared" si="6"/>
        <v/>
      </c>
      <c r="Z20" s="374" t="str">
        <f t="shared" si="7"/>
        <v/>
      </c>
      <c r="AA20" s="374" t="b">
        <f t="shared" si="8"/>
        <v>1</v>
      </c>
      <c r="AB20" s="374">
        <f>COUNTIFS(B:B,B20,H:H,'סיווג התפקידים והעלויות'!$C$2)</f>
        <v>0</v>
      </c>
      <c r="AC20" s="374">
        <f>COUNTIFS(B:B,B20,H:H,'סיווג התפקידים והעלויות'!$D$2)</f>
        <v>0</v>
      </c>
      <c r="AD20" s="374" t="str">
        <f>IF(OR(AND(H20='סיווג התפקידים והעלויות'!$A$2,I20='סיווג התפקידים והעלויות'!$A$3),'עלויות כח אדם (6)'!H20='סיווג התפקידים והעלויות'!$C$2,'עלויות כח אדם (6)'!H20='סיווג התפקידים והעלויות'!$D$2),IF('עלויות כח אדם (6)'!J20&lt;75,"לא תקין","תקין"),"")</f>
        <v/>
      </c>
      <c r="AE20" s="374" t="str">
        <f t="shared" si="9"/>
        <v/>
      </c>
      <c r="AF20" s="532" t="str">
        <f t="shared" si="10"/>
        <v/>
      </c>
    </row>
    <row r="21" spans="2:32" x14ac:dyDescent="0.25">
      <c r="B21" s="695"/>
      <c r="C21" s="197" t="str">
        <f>IF(B21&lt;&gt;"",IFERROR(VLOOKUP(B:B,'מצבת והרשמה (2)'!$C$20:$N$520,2,0)," ")," ")</f>
        <v xml:space="preserve"> </v>
      </c>
      <c r="D21" s="695"/>
      <c r="E21" s="696"/>
      <c r="F21" s="696"/>
      <c r="G21" s="696"/>
      <c r="H21" s="696"/>
      <c r="I21" s="1050" t="str">
        <f t="shared" si="11"/>
        <v/>
      </c>
      <c r="J21" s="696"/>
      <c r="K21" s="697"/>
      <c r="L21" s="696"/>
      <c r="M21" s="198" t="str">
        <f t="shared" si="15"/>
        <v/>
      </c>
      <c r="N21" s="369" t="str">
        <f t="shared" si="13"/>
        <v/>
      </c>
      <c r="O21" s="183" t="str">
        <f t="shared" si="0"/>
        <v/>
      </c>
      <c r="P21" s="199" t="str">
        <f t="shared" si="1"/>
        <v/>
      </c>
      <c r="Q21" s="199" t="str">
        <f>IF(B21="","",IFERROR(IF('עלויות כח אדם (6)'!J21&gt;=VLOOKUP(I21,'סיווג התפקידים והעלויות'!$B$23:$C$32,2,0),"תקין","לא תקין"),""))</f>
        <v/>
      </c>
      <c r="R21" s="199" t="str">
        <f t="shared" si="2"/>
        <v/>
      </c>
      <c r="S21" s="199" t="str">
        <f t="shared" si="3"/>
        <v/>
      </c>
      <c r="T21" s="199" t="str">
        <f t="shared" si="14"/>
        <v/>
      </c>
      <c r="U21" s="199" t="str">
        <f t="shared" si="4"/>
        <v/>
      </c>
      <c r="V21" s="989"/>
      <c r="X21" s="374" t="str">
        <f t="shared" si="5"/>
        <v/>
      </c>
      <c r="Y21" s="375" t="str">
        <f t="shared" si="6"/>
        <v/>
      </c>
      <c r="Z21" s="374" t="str">
        <f t="shared" si="7"/>
        <v/>
      </c>
      <c r="AA21" s="374" t="b">
        <f t="shared" si="8"/>
        <v>1</v>
      </c>
      <c r="AB21" s="374">
        <f>COUNTIFS(B:B,B21,H:H,'סיווג התפקידים והעלויות'!$C$2)</f>
        <v>0</v>
      </c>
      <c r="AC21" s="374">
        <f>COUNTIFS(B:B,B21,H:H,'סיווג התפקידים והעלויות'!$D$2)</f>
        <v>0</v>
      </c>
      <c r="AD21" s="374" t="str">
        <f>IF(OR(AND(H21='סיווג התפקידים והעלויות'!$A$2,I21='סיווג התפקידים והעלויות'!$A$3),'עלויות כח אדם (6)'!H21='סיווג התפקידים והעלויות'!$C$2,'עלויות כח אדם (6)'!H21='סיווג התפקידים והעלויות'!$D$2),IF('עלויות כח אדם (6)'!J21&lt;75,"לא תקין","תקין"),"")</f>
        <v/>
      </c>
      <c r="AE21" s="374" t="str">
        <f t="shared" si="9"/>
        <v/>
      </c>
      <c r="AF21" s="532" t="str">
        <f t="shared" si="10"/>
        <v/>
      </c>
    </row>
    <row r="22" spans="2:32" x14ac:dyDescent="0.25">
      <c r="B22" s="695"/>
      <c r="C22" s="197" t="str">
        <f>IF(B22&lt;&gt;"",IFERROR(VLOOKUP(B:B,'מצבת והרשמה (2)'!$C$20:$N$520,2,0)," ")," ")</f>
        <v xml:space="preserve"> </v>
      </c>
      <c r="D22" s="695"/>
      <c r="E22" s="696"/>
      <c r="F22" s="696"/>
      <c r="G22" s="696"/>
      <c r="H22" s="696"/>
      <c r="I22" s="1050" t="str">
        <f t="shared" si="11"/>
        <v/>
      </c>
      <c r="J22" s="696"/>
      <c r="K22" s="697"/>
      <c r="L22" s="696"/>
      <c r="M22" s="198" t="str">
        <f t="shared" si="15"/>
        <v/>
      </c>
      <c r="N22" s="369" t="str">
        <f t="shared" si="13"/>
        <v/>
      </c>
      <c r="O22" s="183" t="str">
        <f t="shared" si="0"/>
        <v/>
      </c>
      <c r="P22" s="199" t="str">
        <f t="shared" si="1"/>
        <v/>
      </c>
      <c r="Q22" s="199" t="str">
        <f>IF(B22="","",IFERROR(IF('עלויות כח אדם (6)'!J22&gt;=VLOOKUP(I22,'סיווג התפקידים והעלויות'!$B$23:$C$32,2,0),"תקין","לא תקין"),""))</f>
        <v/>
      </c>
      <c r="R22" s="199" t="str">
        <f t="shared" si="2"/>
        <v/>
      </c>
      <c r="S22" s="199" t="str">
        <f t="shared" si="3"/>
        <v/>
      </c>
      <c r="T22" s="199" t="str">
        <f t="shared" si="14"/>
        <v/>
      </c>
      <c r="U22" s="199" t="str">
        <f t="shared" si="4"/>
        <v/>
      </c>
      <c r="V22" s="989"/>
      <c r="X22" s="374" t="str">
        <f t="shared" si="5"/>
        <v/>
      </c>
      <c r="Y22" s="375" t="str">
        <f t="shared" si="6"/>
        <v/>
      </c>
      <c r="Z22" s="374" t="str">
        <f t="shared" si="7"/>
        <v/>
      </c>
      <c r="AA22" s="374" t="b">
        <f t="shared" si="8"/>
        <v>1</v>
      </c>
      <c r="AB22" s="374">
        <f>COUNTIFS(B:B,B22,H:H,'סיווג התפקידים והעלויות'!$C$2)</f>
        <v>0</v>
      </c>
      <c r="AC22" s="374">
        <f>COUNTIFS(B:B,B22,H:H,'סיווג התפקידים והעלויות'!$D$2)</f>
        <v>0</v>
      </c>
      <c r="AD22" s="374" t="str">
        <f>IF(OR(AND(H22='סיווג התפקידים והעלויות'!$A$2,I22='סיווג התפקידים והעלויות'!$A$3),'עלויות כח אדם (6)'!H22='סיווג התפקידים והעלויות'!$C$2,'עלויות כח אדם (6)'!H22='סיווג התפקידים והעלויות'!$D$2),IF('עלויות כח אדם (6)'!J22&lt;75,"לא תקין","תקין"),"")</f>
        <v/>
      </c>
      <c r="AE22" s="374" t="str">
        <f t="shared" si="9"/>
        <v/>
      </c>
      <c r="AF22" s="532" t="str">
        <f t="shared" si="10"/>
        <v/>
      </c>
    </row>
    <row r="23" spans="2:32" x14ac:dyDescent="0.25">
      <c r="B23" s="695"/>
      <c r="C23" s="197" t="str">
        <f>IF(B23&lt;&gt;"",IFERROR(VLOOKUP(B:B,'מצבת והרשמה (2)'!$C$20:$N$520,2,0)," ")," ")</f>
        <v xml:space="preserve"> </v>
      </c>
      <c r="D23" s="695"/>
      <c r="E23" s="696"/>
      <c r="F23" s="696"/>
      <c r="G23" s="696"/>
      <c r="H23" s="696"/>
      <c r="I23" s="1050" t="str">
        <f t="shared" si="11"/>
        <v/>
      </c>
      <c r="J23" s="696"/>
      <c r="K23" s="697"/>
      <c r="L23" s="696"/>
      <c r="M23" s="198" t="str">
        <f t="shared" si="15"/>
        <v/>
      </c>
      <c r="N23" s="369" t="str">
        <f t="shared" si="13"/>
        <v/>
      </c>
      <c r="O23" s="183" t="str">
        <f t="shared" si="0"/>
        <v/>
      </c>
      <c r="P23" s="199" t="str">
        <f t="shared" si="1"/>
        <v/>
      </c>
      <c r="Q23" s="199" t="str">
        <f>IF(B23="","",IFERROR(IF('עלויות כח אדם (6)'!J23&gt;=VLOOKUP(I23,'סיווג התפקידים והעלויות'!$B$23:$C$32,2,0),"תקין","לא תקין"),""))</f>
        <v/>
      </c>
      <c r="R23" s="199" t="str">
        <f t="shared" si="2"/>
        <v/>
      </c>
      <c r="S23" s="199" t="str">
        <f t="shared" si="3"/>
        <v/>
      </c>
      <c r="T23" s="199" t="str">
        <f t="shared" si="14"/>
        <v/>
      </c>
      <c r="U23" s="199" t="str">
        <f t="shared" si="4"/>
        <v/>
      </c>
      <c r="V23" s="989"/>
      <c r="X23" s="374" t="str">
        <f t="shared" si="5"/>
        <v/>
      </c>
      <c r="Y23" s="375" t="str">
        <f t="shared" si="6"/>
        <v/>
      </c>
      <c r="Z23" s="374" t="str">
        <f t="shared" si="7"/>
        <v/>
      </c>
      <c r="AA23" s="374" t="b">
        <f t="shared" si="8"/>
        <v>1</v>
      </c>
      <c r="AB23" s="374">
        <f>COUNTIFS(B:B,B23,H:H,'סיווג התפקידים והעלויות'!$C$2)</f>
        <v>0</v>
      </c>
      <c r="AC23" s="374">
        <f>COUNTIFS(B:B,B23,H:H,'סיווג התפקידים והעלויות'!$D$2)</f>
        <v>0</v>
      </c>
      <c r="AD23" s="374" t="str">
        <f>IF(OR(AND(H23='סיווג התפקידים והעלויות'!$A$2,I23='סיווג התפקידים והעלויות'!$A$3),'עלויות כח אדם (6)'!H23='סיווג התפקידים והעלויות'!$C$2,'עלויות כח אדם (6)'!H23='סיווג התפקידים והעלויות'!$D$2),IF('עלויות כח אדם (6)'!J23&lt;75,"לא תקין","תקין"),"")</f>
        <v/>
      </c>
      <c r="AE23" s="374" t="str">
        <f t="shared" si="9"/>
        <v/>
      </c>
      <c r="AF23" s="532" t="str">
        <f t="shared" si="10"/>
        <v/>
      </c>
    </row>
    <row r="24" spans="2:32" x14ac:dyDescent="0.25">
      <c r="B24" s="695"/>
      <c r="C24" s="197" t="str">
        <f>IF(B24&lt;&gt;"",IFERROR(VLOOKUP(B:B,'מצבת והרשמה (2)'!$C$20:$N$520,2,0)," ")," ")</f>
        <v xml:space="preserve"> </v>
      </c>
      <c r="D24" s="695"/>
      <c r="E24" s="696"/>
      <c r="F24" s="696"/>
      <c r="G24" s="696"/>
      <c r="H24" s="696"/>
      <c r="I24" s="1050" t="str">
        <f t="shared" si="11"/>
        <v/>
      </c>
      <c r="J24" s="696"/>
      <c r="K24" s="697"/>
      <c r="L24" s="696"/>
      <c r="M24" s="198" t="str">
        <f t="shared" si="15"/>
        <v/>
      </c>
      <c r="N24" s="369" t="str">
        <f t="shared" si="13"/>
        <v/>
      </c>
      <c r="O24" s="183" t="str">
        <f t="shared" si="0"/>
        <v/>
      </c>
      <c r="P24" s="199" t="str">
        <f t="shared" si="1"/>
        <v/>
      </c>
      <c r="Q24" s="199" t="str">
        <f>IF(B24="","",IFERROR(IF('עלויות כח אדם (6)'!J24&gt;=VLOOKUP(I24,'סיווג התפקידים והעלויות'!$B$23:$C$32,2,0),"תקין","לא תקין"),""))</f>
        <v/>
      </c>
      <c r="R24" s="199" t="str">
        <f t="shared" si="2"/>
        <v/>
      </c>
      <c r="S24" s="199" t="str">
        <f t="shared" si="3"/>
        <v/>
      </c>
      <c r="T24" s="199" t="str">
        <f t="shared" si="14"/>
        <v/>
      </c>
      <c r="U24" s="199" t="str">
        <f t="shared" si="4"/>
        <v/>
      </c>
      <c r="V24" s="989"/>
      <c r="X24" s="374" t="str">
        <f t="shared" si="5"/>
        <v/>
      </c>
      <c r="Y24" s="375" t="str">
        <f t="shared" si="6"/>
        <v/>
      </c>
      <c r="Z24" s="374" t="str">
        <f t="shared" si="7"/>
        <v/>
      </c>
      <c r="AA24" s="374" t="b">
        <f t="shared" si="8"/>
        <v>1</v>
      </c>
      <c r="AB24" s="374">
        <f>COUNTIFS(B:B,B24,H:H,'סיווג התפקידים והעלויות'!$C$2)</f>
        <v>0</v>
      </c>
      <c r="AC24" s="374">
        <f>COUNTIFS(B:B,B24,H:H,'סיווג התפקידים והעלויות'!$D$2)</f>
        <v>0</v>
      </c>
      <c r="AD24" s="374" t="str">
        <f>IF(OR(AND(H24='סיווג התפקידים והעלויות'!$A$2,I24='סיווג התפקידים והעלויות'!$A$3),'עלויות כח אדם (6)'!H24='סיווג התפקידים והעלויות'!$C$2,'עלויות כח אדם (6)'!H24='סיווג התפקידים והעלויות'!$D$2),IF('עלויות כח אדם (6)'!J24&lt;75,"לא תקין","תקין"),"")</f>
        <v/>
      </c>
      <c r="AE24" s="374" t="str">
        <f t="shared" si="9"/>
        <v/>
      </c>
      <c r="AF24" s="532" t="str">
        <f t="shared" si="10"/>
        <v/>
      </c>
    </row>
    <row r="25" spans="2:32" x14ac:dyDescent="0.25">
      <c r="B25" s="695"/>
      <c r="C25" s="197" t="str">
        <f>IF(B25&lt;&gt;"",IFERROR(VLOOKUP(B:B,'מצבת והרשמה (2)'!$C$20:$N$520,2,0)," ")," ")</f>
        <v xml:space="preserve"> </v>
      </c>
      <c r="D25" s="695"/>
      <c r="E25" s="696"/>
      <c r="F25" s="696"/>
      <c r="G25" s="696"/>
      <c r="H25" s="696"/>
      <c r="I25" s="1050" t="str">
        <f t="shared" si="11"/>
        <v/>
      </c>
      <c r="J25" s="696"/>
      <c r="K25" s="697"/>
      <c r="L25" s="696"/>
      <c r="M25" s="198" t="str">
        <f t="shared" si="15"/>
        <v/>
      </c>
      <c r="N25" s="369" t="str">
        <f t="shared" si="13"/>
        <v/>
      </c>
      <c r="O25" s="183" t="str">
        <f t="shared" si="0"/>
        <v/>
      </c>
      <c r="P25" s="199" t="str">
        <f t="shared" si="1"/>
        <v/>
      </c>
      <c r="Q25" s="199" t="str">
        <f>IF(B25="","",IFERROR(IF('עלויות כח אדם (6)'!J25&gt;=VLOOKUP(I25,'סיווג התפקידים והעלויות'!$B$23:$C$32,2,0),"תקין","לא תקין"),""))</f>
        <v/>
      </c>
      <c r="R25" s="199" t="str">
        <f t="shared" si="2"/>
        <v/>
      </c>
      <c r="S25" s="199" t="str">
        <f t="shared" si="3"/>
        <v/>
      </c>
      <c r="T25" s="199" t="str">
        <f t="shared" si="14"/>
        <v/>
      </c>
      <c r="U25" s="199" t="str">
        <f t="shared" si="4"/>
        <v/>
      </c>
      <c r="V25" s="989"/>
      <c r="X25" s="374" t="str">
        <f t="shared" si="5"/>
        <v/>
      </c>
      <c r="Y25" s="375" t="str">
        <f t="shared" si="6"/>
        <v/>
      </c>
      <c r="Z25" s="374" t="str">
        <f t="shared" si="7"/>
        <v/>
      </c>
      <c r="AA25" s="374" t="b">
        <f t="shared" si="8"/>
        <v>1</v>
      </c>
      <c r="AB25" s="374">
        <f>COUNTIFS(B:B,B25,H:H,'סיווג התפקידים והעלויות'!$C$2)</f>
        <v>0</v>
      </c>
      <c r="AC25" s="374">
        <f>COUNTIFS(B:B,B25,H:H,'סיווג התפקידים והעלויות'!$D$2)</f>
        <v>0</v>
      </c>
      <c r="AD25" s="374" t="str">
        <f>IF(OR(AND(H25='סיווג התפקידים והעלויות'!$A$2,I25='סיווג התפקידים והעלויות'!$A$3),'עלויות כח אדם (6)'!H25='סיווג התפקידים והעלויות'!$C$2,'עלויות כח אדם (6)'!H25='סיווג התפקידים והעלויות'!$D$2),IF('עלויות כח אדם (6)'!J25&lt;75,"לא תקין","תקין"),"")</f>
        <v/>
      </c>
      <c r="AE25" s="374" t="str">
        <f t="shared" si="9"/>
        <v/>
      </c>
      <c r="AF25" s="532" t="str">
        <f t="shared" si="10"/>
        <v/>
      </c>
    </row>
    <row r="26" spans="2:32" x14ac:dyDescent="0.25">
      <c r="B26" s="708"/>
      <c r="C26" s="197" t="str">
        <f>IF(B26&lt;&gt;"",IFERROR(VLOOKUP(B:B,'מצבת והרשמה (2)'!$C$20:$N$520,2,0)," ")," ")</f>
        <v xml:space="preserve"> </v>
      </c>
      <c r="D26" s="695"/>
      <c r="E26" s="696"/>
      <c r="F26" s="696"/>
      <c r="G26" s="696"/>
      <c r="H26" s="696"/>
      <c r="I26" s="1050" t="str">
        <f t="shared" si="11"/>
        <v/>
      </c>
      <c r="J26" s="696"/>
      <c r="K26" s="697"/>
      <c r="L26" s="696"/>
      <c r="M26" s="198" t="str">
        <f t="shared" si="15"/>
        <v/>
      </c>
      <c r="N26" s="369" t="str">
        <f t="shared" si="13"/>
        <v/>
      </c>
      <c r="O26" s="183" t="str">
        <f t="shared" si="0"/>
        <v/>
      </c>
      <c r="P26" s="199" t="str">
        <f t="shared" si="1"/>
        <v/>
      </c>
      <c r="Q26" s="199" t="str">
        <f>IF(B26="","",IFERROR(IF('עלויות כח אדם (6)'!J26&gt;=VLOOKUP(I26,'סיווג התפקידים והעלויות'!$B$23:$C$32,2,0),"תקין","לא תקין"),""))</f>
        <v/>
      </c>
      <c r="R26" s="199" t="str">
        <f t="shared" si="2"/>
        <v/>
      </c>
      <c r="S26" s="199" t="str">
        <f t="shared" si="3"/>
        <v/>
      </c>
      <c r="T26" s="199" t="str">
        <f t="shared" si="14"/>
        <v/>
      </c>
      <c r="U26" s="199" t="str">
        <f t="shared" si="4"/>
        <v/>
      </c>
      <c r="V26" s="989"/>
      <c r="X26" s="374" t="str">
        <f t="shared" si="5"/>
        <v/>
      </c>
      <c r="Y26" s="375" t="str">
        <f t="shared" si="6"/>
        <v/>
      </c>
      <c r="Z26" s="374" t="str">
        <f t="shared" si="7"/>
        <v/>
      </c>
      <c r="AA26" s="374" t="b">
        <f t="shared" si="8"/>
        <v>1</v>
      </c>
      <c r="AB26" s="374">
        <f>COUNTIFS(B:B,B26,H:H,'סיווג התפקידים והעלויות'!$C$2)</f>
        <v>0</v>
      </c>
      <c r="AC26" s="374">
        <f>COUNTIFS(B:B,B26,H:H,'סיווג התפקידים והעלויות'!$D$2)</f>
        <v>0</v>
      </c>
      <c r="AD26" s="374" t="str">
        <f>IF(OR(AND(H26='סיווג התפקידים והעלויות'!$A$2,I26='סיווג התפקידים והעלויות'!$A$3),'עלויות כח אדם (6)'!H26='סיווג התפקידים והעלויות'!$C$2,'עלויות כח אדם (6)'!H26='סיווג התפקידים והעלויות'!$D$2),IF('עלויות כח אדם (6)'!J26&lt;75,"לא תקין","תקין"),"")</f>
        <v/>
      </c>
      <c r="AE26" s="374" t="str">
        <f t="shared" si="9"/>
        <v/>
      </c>
      <c r="AF26" s="532" t="str">
        <f t="shared" si="10"/>
        <v/>
      </c>
    </row>
    <row r="27" spans="2:32" x14ac:dyDescent="0.25">
      <c r="B27" s="708"/>
      <c r="C27" s="197" t="str">
        <f>IF(B27&lt;&gt;"",IFERROR(VLOOKUP(B:B,'מצבת והרשמה (2)'!$C$20:$N$520,2,0)," ")," ")</f>
        <v xml:space="preserve"> </v>
      </c>
      <c r="D27" s="695"/>
      <c r="E27" s="696"/>
      <c r="F27" s="696"/>
      <c r="G27" s="696"/>
      <c r="H27" s="696"/>
      <c r="I27" s="1050" t="str">
        <f t="shared" si="11"/>
        <v/>
      </c>
      <c r="J27" s="696"/>
      <c r="K27" s="697"/>
      <c r="L27" s="696"/>
      <c r="M27" s="198" t="str">
        <f t="shared" si="15"/>
        <v/>
      </c>
      <c r="N27" s="369" t="str">
        <f t="shared" si="13"/>
        <v/>
      </c>
      <c r="O27" s="183" t="str">
        <f t="shared" si="0"/>
        <v/>
      </c>
      <c r="P27" s="199" t="str">
        <f t="shared" si="1"/>
        <v/>
      </c>
      <c r="Q27" s="199" t="str">
        <f>IF(B27="","",IFERROR(IF('עלויות כח אדם (6)'!J27&gt;=VLOOKUP(I27,'סיווג התפקידים והעלויות'!$B$23:$C$32,2,0),"תקין","לא תקין"),""))</f>
        <v/>
      </c>
      <c r="R27" s="199" t="str">
        <f t="shared" si="2"/>
        <v/>
      </c>
      <c r="S27" s="199" t="str">
        <f t="shared" si="3"/>
        <v/>
      </c>
      <c r="T27" s="199" t="str">
        <f t="shared" si="14"/>
        <v/>
      </c>
      <c r="U27" s="199" t="str">
        <f t="shared" si="4"/>
        <v/>
      </c>
      <c r="V27" s="989"/>
      <c r="X27" s="374" t="str">
        <f t="shared" si="5"/>
        <v/>
      </c>
      <c r="Y27" s="375" t="str">
        <f t="shared" si="6"/>
        <v/>
      </c>
      <c r="Z27" s="374" t="str">
        <f t="shared" si="7"/>
        <v/>
      </c>
      <c r="AA27" s="374" t="b">
        <f t="shared" si="8"/>
        <v>1</v>
      </c>
      <c r="AB27" s="374">
        <f>COUNTIFS(B:B,B27,H:H,'סיווג התפקידים והעלויות'!$C$2)</f>
        <v>0</v>
      </c>
      <c r="AC27" s="374">
        <f>COUNTIFS(B:B,B27,H:H,'סיווג התפקידים והעלויות'!$D$2)</f>
        <v>0</v>
      </c>
      <c r="AD27" s="374" t="str">
        <f>IF(OR(AND(H27='סיווג התפקידים והעלויות'!$A$2,I27='סיווג התפקידים והעלויות'!$A$3),'עלויות כח אדם (6)'!H27='סיווג התפקידים והעלויות'!$C$2,'עלויות כח אדם (6)'!H27='סיווג התפקידים והעלויות'!$D$2),IF('עלויות כח אדם (6)'!J27&lt;75,"לא תקין","תקין"),"")</f>
        <v/>
      </c>
      <c r="AE27" s="374" t="str">
        <f t="shared" si="9"/>
        <v/>
      </c>
      <c r="AF27" s="532" t="str">
        <f t="shared" si="10"/>
        <v/>
      </c>
    </row>
    <row r="28" spans="2:32" x14ac:dyDescent="0.25">
      <c r="B28" s="708"/>
      <c r="C28" s="197" t="str">
        <f>IF(B28&lt;&gt;"",IFERROR(VLOOKUP(B:B,'מצבת והרשמה (2)'!$C$20:$N$520,2,0)," ")," ")</f>
        <v xml:space="preserve"> </v>
      </c>
      <c r="D28" s="695"/>
      <c r="E28" s="696"/>
      <c r="F28" s="696"/>
      <c r="G28" s="696"/>
      <c r="H28" s="696"/>
      <c r="I28" s="1050" t="str">
        <f t="shared" si="11"/>
        <v/>
      </c>
      <c r="J28" s="696"/>
      <c r="K28" s="697"/>
      <c r="L28" s="696"/>
      <c r="M28" s="198" t="str">
        <f t="shared" si="15"/>
        <v/>
      </c>
      <c r="N28" s="369" t="str">
        <f t="shared" si="13"/>
        <v/>
      </c>
      <c r="O28" s="183" t="str">
        <f t="shared" si="0"/>
        <v/>
      </c>
      <c r="P28" s="199" t="str">
        <f t="shared" si="1"/>
        <v/>
      </c>
      <c r="Q28" s="199" t="str">
        <f>IF(B28="","",IFERROR(IF('עלויות כח אדם (6)'!J28&gt;=VLOOKUP(I28,'סיווג התפקידים והעלויות'!$B$23:$C$32,2,0),"תקין","לא תקין"),""))</f>
        <v/>
      </c>
      <c r="R28" s="199" t="str">
        <f t="shared" si="2"/>
        <v/>
      </c>
      <c r="S28" s="199" t="str">
        <f t="shared" si="3"/>
        <v/>
      </c>
      <c r="T28" s="199" t="str">
        <f t="shared" si="14"/>
        <v/>
      </c>
      <c r="U28" s="199" t="str">
        <f t="shared" si="4"/>
        <v/>
      </c>
      <c r="V28" s="989"/>
      <c r="X28" s="374" t="str">
        <f t="shared" si="5"/>
        <v/>
      </c>
      <c r="Y28" s="375" t="str">
        <f t="shared" si="6"/>
        <v/>
      </c>
      <c r="Z28" s="374" t="str">
        <f t="shared" si="7"/>
        <v/>
      </c>
      <c r="AA28" s="374" t="b">
        <f t="shared" si="8"/>
        <v>1</v>
      </c>
      <c r="AB28" s="374">
        <f>COUNTIFS(B:B,B28,H:H,'סיווג התפקידים והעלויות'!$C$2)</f>
        <v>0</v>
      </c>
      <c r="AC28" s="374">
        <f>COUNTIFS(B:B,B28,H:H,'סיווג התפקידים והעלויות'!$D$2)</f>
        <v>0</v>
      </c>
      <c r="AD28" s="374" t="str">
        <f>IF(OR(AND(H28='סיווג התפקידים והעלויות'!$A$2,I28='סיווג התפקידים והעלויות'!$A$3),'עלויות כח אדם (6)'!H28='סיווג התפקידים והעלויות'!$C$2,'עלויות כח אדם (6)'!H28='סיווג התפקידים והעלויות'!$D$2),IF('עלויות כח אדם (6)'!J28&lt;75,"לא תקין","תקין"),"")</f>
        <v/>
      </c>
      <c r="AE28" s="374" t="str">
        <f t="shared" si="9"/>
        <v/>
      </c>
      <c r="AF28" s="532" t="str">
        <f t="shared" si="10"/>
        <v/>
      </c>
    </row>
    <row r="29" spans="2:32" x14ac:dyDescent="0.25">
      <c r="B29" s="708"/>
      <c r="C29" s="197" t="str">
        <f>IF(B29&lt;&gt;"",IFERROR(VLOOKUP(B:B,'מצבת והרשמה (2)'!$C$20:$N$520,2,0)," ")," ")</f>
        <v xml:space="preserve"> </v>
      </c>
      <c r="D29" s="695"/>
      <c r="E29" s="696"/>
      <c r="F29" s="696"/>
      <c r="G29" s="696"/>
      <c r="H29" s="696"/>
      <c r="I29" s="1050" t="str">
        <f t="shared" si="11"/>
        <v/>
      </c>
      <c r="J29" s="696"/>
      <c r="K29" s="697"/>
      <c r="L29" s="696"/>
      <c r="M29" s="198" t="str">
        <f t="shared" si="15"/>
        <v/>
      </c>
      <c r="N29" s="369" t="str">
        <f t="shared" si="13"/>
        <v/>
      </c>
      <c r="O29" s="183" t="str">
        <f t="shared" si="0"/>
        <v/>
      </c>
      <c r="P29" s="199" t="str">
        <f t="shared" si="1"/>
        <v/>
      </c>
      <c r="Q29" s="199" t="str">
        <f>IF(B29="","",IFERROR(IF('עלויות כח אדם (6)'!J29&gt;=VLOOKUP(I29,'סיווג התפקידים והעלויות'!$B$23:$C$32,2,0),"תקין","לא תקין"),""))</f>
        <v/>
      </c>
      <c r="R29" s="199" t="str">
        <f t="shared" si="2"/>
        <v/>
      </c>
      <c r="S29" s="199" t="str">
        <f t="shared" si="3"/>
        <v/>
      </c>
      <c r="T29" s="199" t="str">
        <f t="shared" si="14"/>
        <v/>
      </c>
      <c r="U29" s="199" t="str">
        <f t="shared" si="4"/>
        <v/>
      </c>
      <c r="V29" s="989"/>
      <c r="X29" s="374" t="str">
        <f t="shared" si="5"/>
        <v/>
      </c>
      <c r="Y29" s="375" t="str">
        <f t="shared" si="6"/>
        <v/>
      </c>
      <c r="Z29" s="374" t="str">
        <f t="shared" si="7"/>
        <v/>
      </c>
      <c r="AA29" s="374" t="b">
        <f t="shared" si="8"/>
        <v>1</v>
      </c>
      <c r="AB29" s="374">
        <f>COUNTIFS(B:B,B29,H:H,'סיווג התפקידים והעלויות'!$C$2)</f>
        <v>0</v>
      </c>
      <c r="AC29" s="374">
        <f>COUNTIFS(B:B,B29,H:H,'סיווג התפקידים והעלויות'!$D$2)</f>
        <v>0</v>
      </c>
      <c r="AD29" s="374" t="str">
        <f>IF(OR(AND(H29='סיווג התפקידים והעלויות'!$A$2,I29='סיווג התפקידים והעלויות'!$A$3),'עלויות כח אדם (6)'!H29='סיווג התפקידים והעלויות'!$C$2,'עלויות כח אדם (6)'!H29='סיווג התפקידים והעלויות'!$D$2),IF('עלויות כח אדם (6)'!J29&lt;75,"לא תקין","תקין"),"")</f>
        <v/>
      </c>
      <c r="AE29" s="374" t="str">
        <f t="shared" si="9"/>
        <v/>
      </c>
      <c r="AF29" s="532" t="str">
        <f t="shared" si="10"/>
        <v/>
      </c>
    </row>
    <row r="30" spans="2:32" x14ac:dyDescent="0.25">
      <c r="B30" s="695"/>
      <c r="C30" s="197" t="str">
        <f>IF(B30&lt;&gt;"",IFERROR(VLOOKUP(B:B,'מצבת והרשמה (2)'!$C$20:$N$520,2,0)," ")," ")</f>
        <v xml:space="preserve"> </v>
      </c>
      <c r="D30" s="695"/>
      <c r="E30" s="696"/>
      <c r="F30" s="696"/>
      <c r="G30" s="696"/>
      <c r="H30" s="696"/>
      <c r="I30" s="1050" t="str">
        <f t="shared" si="11"/>
        <v/>
      </c>
      <c r="J30" s="696"/>
      <c r="K30" s="697"/>
      <c r="L30" s="696"/>
      <c r="M30" s="198" t="str">
        <f t="shared" si="15"/>
        <v/>
      </c>
      <c r="N30" s="369" t="str">
        <f t="shared" si="13"/>
        <v/>
      </c>
      <c r="O30" s="183" t="str">
        <f t="shared" si="0"/>
        <v/>
      </c>
      <c r="P30" s="199" t="str">
        <f t="shared" si="1"/>
        <v/>
      </c>
      <c r="Q30" s="199" t="str">
        <f>IF(B30="","",IFERROR(IF('עלויות כח אדם (6)'!J30&gt;=VLOOKUP(I30,'סיווג התפקידים והעלויות'!$B$23:$C$32,2,0),"תקין","לא תקין"),""))</f>
        <v/>
      </c>
      <c r="R30" s="199" t="str">
        <f t="shared" si="2"/>
        <v/>
      </c>
      <c r="S30" s="199" t="str">
        <f t="shared" si="3"/>
        <v/>
      </c>
      <c r="T30" s="199" t="str">
        <f t="shared" si="14"/>
        <v/>
      </c>
      <c r="U30" s="199" t="str">
        <f t="shared" si="4"/>
        <v/>
      </c>
      <c r="V30" s="989"/>
      <c r="X30" s="374" t="str">
        <f t="shared" si="5"/>
        <v/>
      </c>
      <c r="Y30" s="375" t="str">
        <f t="shared" si="6"/>
        <v/>
      </c>
      <c r="Z30" s="374" t="str">
        <f t="shared" si="7"/>
        <v/>
      </c>
      <c r="AA30" s="374" t="b">
        <f t="shared" si="8"/>
        <v>1</v>
      </c>
      <c r="AB30" s="374">
        <f>COUNTIFS(B:B,B30,H:H,'סיווג התפקידים והעלויות'!$C$2)</f>
        <v>0</v>
      </c>
      <c r="AC30" s="374">
        <f>COUNTIFS(B:B,B30,H:H,'סיווג התפקידים והעלויות'!$D$2)</f>
        <v>0</v>
      </c>
      <c r="AD30" s="374" t="str">
        <f>IF(OR(AND(H30='סיווג התפקידים והעלויות'!$A$2,I30='סיווג התפקידים והעלויות'!$A$3),'עלויות כח אדם (6)'!H30='סיווג התפקידים והעלויות'!$C$2,'עלויות כח אדם (6)'!H30='סיווג התפקידים והעלויות'!$D$2),IF('עלויות כח אדם (6)'!J30&lt;75,"לא תקין","תקין"),"")</f>
        <v/>
      </c>
      <c r="AE30" s="374" t="str">
        <f t="shared" si="9"/>
        <v/>
      </c>
      <c r="AF30" s="532" t="str">
        <f t="shared" si="10"/>
        <v/>
      </c>
    </row>
    <row r="31" spans="2:32" x14ac:dyDescent="0.25">
      <c r="B31" s="708"/>
      <c r="C31" s="197" t="str">
        <f>IF(B31&lt;&gt;"",IFERROR(VLOOKUP(B:B,'מצבת והרשמה (2)'!$C$20:$N$520,2,0)," ")," ")</f>
        <v xml:space="preserve"> </v>
      </c>
      <c r="D31" s="695"/>
      <c r="E31" s="696"/>
      <c r="F31" s="696"/>
      <c r="G31" s="696"/>
      <c r="H31" s="696"/>
      <c r="I31" s="1050" t="str">
        <f t="shared" si="11"/>
        <v/>
      </c>
      <c r="J31" s="696"/>
      <c r="K31" s="697"/>
      <c r="L31" s="696"/>
      <c r="M31" s="198" t="str">
        <f t="shared" si="15"/>
        <v/>
      </c>
      <c r="N31" s="369" t="str">
        <f t="shared" si="13"/>
        <v/>
      </c>
      <c r="O31" s="183" t="str">
        <f t="shared" si="0"/>
        <v/>
      </c>
      <c r="P31" s="199" t="str">
        <f t="shared" si="1"/>
        <v/>
      </c>
      <c r="Q31" s="199" t="str">
        <f>IF(B31="","",IFERROR(IF('עלויות כח אדם (6)'!J31&gt;=VLOOKUP(I31,'סיווג התפקידים והעלויות'!$B$23:$C$32,2,0),"תקין","לא תקין"),""))</f>
        <v/>
      </c>
      <c r="R31" s="199" t="str">
        <f t="shared" si="2"/>
        <v/>
      </c>
      <c r="S31" s="199" t="str">
        <f t="shared" si="3"/>
        <v/>
      </c>
      <c r="T31" s="199" t="str">
        <f t="shared" si="14"/>
        <v/>
      </c>
      <c r="U31" s="199" t="str">
        <f t="shared" si="4"/>
        <v/>
      </c>
      <c r="V31" s="989"/>
      <c r="X31" s="374" t="str">
        <f t="shared" si="5"/>
        <v/>
      </c>
      <c r="Y31" s="375" t="str">
        <f t="shared" si="6"/>
        <v/>
      </c>
      <c r="Z31" s="374" t="str">
        <f t="shared" si="7"/>
        <v/>
      </c>
      <c r="AA31" s="374" t="b">
        <f t="shared" si="8"/>
        <v>1</v>
      </c>
      <c r="AB31" s="374">
        <f>COUNTIFS(B:B,B31,H:H,'סיווג התפקידים והעלויות'!$C$2)</f>
        <v>0</v>
      </c>
      <c r="AC31" s="374">
        <f>COUNTIFS(B:B,B31,H:H,'סיווג התפקידים והעלויות'!$D$2)</f>
        <v>0</v>
      </c>
      <c r="AD31" s="374" t="str">
        <f>IF(OR(AND(H31='סיווג התפקידים והעלויות'!$A$2,I31='סיווג התפקידים והעלויות'!$A$3),'עלויות כח אדם (6)'!H31='סיווג התפקידים והעלויות'!$C$2,'עלויות כח אדם (6)'!H31='סיווג התפקידים והעלויות'!$D$2),IF('עלויות כח אדם (6)'!J31&lt;75,"לא תקין","תקין"),"")</f>
        <v/>
      </c>
      <c r="AE31" s="374" t="str">
        <f t="shared" si="9"/>
        <v/>
      </c>
      <c r="AF31" s="532" t="str">
        <f t="shared" si="10"/>
        <v/>
      </c>
    </row>
    <row r="32" spans="2:32" x14ac:dyDescent="0.25">
      <c r="B32" s="695"/>
      <c r="C32" s="197" t="str">
        <f>IF(B32&lt;&gt;"",IFERROR(VLOOKUP(B:B,'מצבת והרשמה (2)'!$C$20:$N$520,2,0)," ")," ")</f>
        <v xml:space="preserve"> </v>
      </c>
      <c r="D32" s="695"/>
      <c r="E32" s="696"/>
      <c r="F32" s="696"/>
      <c r="G32" s="696"/>
      <c r="H32" s="696"/>
      <c r="I32" s="1050" t="str">
        <f t="shared" si="11"/>
        <v/>
      </c>
      <c r="J32" s="696"/>
      <c r="K32" s="697"/>
      <c r="L32" s="696"/>
      <c r="M32" s="198" t="str">
        <f t="shared" si="15"/>
        <v/>
      </c>
      <c r="N32" s="369" t="str">
        <f t="shared" si="13"/>
        <v/>
      </c>
      <c r="O32" s="183" t="str">
        <f t="shared" si="0"/>
        <v/>
      </c>
      <c r="P32" s="199" t="str">
        <f t="shared" si="1"/>
        <v/>
      </c>
      <c r="Q32" s="199" t="str">
        <f>IF(B32="","",IFERROR(IF('עלויות כח אדם (6)'!J32&gt;=VLOOKUP(I32,'סיווג התפקידים והעלויות'!$B$23:$C$32,2,0),"תקין","לא תקין"),""))</f>
        <v/>
      </c>
      <c r="R32" s="199" t="str">
        <f t="shared" si="2"/>
        <v/>
      </c>
      <c r="S32" s="199" t="str">
        <f t="shared" si="3"/>
        <v/>
      </c>
      <c r="T32" s="199" t="str">
        <f t="shared" si="14"/>
        <v/>
      </c>
      <c r="U32" s="199" t="str">
        <f t="shared" si="4"/>
        <v/>
      </c>
      <c r="V32" s="989"/>
      <c r="X32" s="374" t="str">
        <f t="shared" si="5"/>
        <v/>
      </c>
      <c r="Y32" s="375" t="str">
        <f t="shared" si="6"/>
        <v/>
      </c>
      <c r="Z32" s="374" t="str">
        <f t="shared" si="7"/>
        <v/>
      </c>
      <c r="AA32" s="374" t="b">
        <f t="shared" si="8"/>
        <v>1</v>
      </c>
      <c r="AB32" s="374">
        <f>COUNTIFS(B:B,B32,H:H,'סיווג התפקידים והעלויות'!$C$2)</f>
        <v>0</v>
      </c>
      <c r="AC32" s="374">
        <f>COUNTIFS(B:B,B32,H:H,'סיווג התפקידים והעלויות'!$D$2)</f>
        <v>0</v>
      </c>
      <c r="AD32" s="374" t="str">
        <f>IF(OR(AND(H32='סיווג התפקידים והעלויות'!$A$2,I32='סיווג התפקידים והעלויות'!$A$3),'עלויות כח אדם (6)'!H32='סיווג התפקידים והעלויות'!$C$2,'עלויות כח אדם (6)'!H32='סיווג התפקידים והעלויות'!$D$2),IF('עלויות כח אדם (6)'!J32&lt;75,"לא תקין","תקין"),"")</f>
        <v/>
      </c>
      <c r="AE32" s="374" t="str">
        <f t="shared" si="9"/>
        <v/>
      </c>
      <c r="AF32" s="532" t="str">
        <f t="shared" si="10"/>
        <v/>
      </c>
    </row>
    <row r="33" spans="2:32" x14ac:dyDescent="0.25">
      <c r="B33" s="695"/>
      <c r="C33" s="197" t="str">
        <f>IF(B33&lt;&gt;"",IFERROR(VLOOKUP(B:B,'מצבת והרשמה (2)'!$C$20:$N$520,2,0)," ")," ")</f>
        <v xml:space="preserve"> </v>
      </c>
      <c r="D33" s="695"/>
      <c r="E33" s="696"/>
      <c r="F33" s="696"/>
      <c r="G33" s="696"/>
      <c r="H33" s="696"/>
      <c r="I33" s="1050" t="str">
        <f t="shared" si="11"/>
        <v/>
      </c>
      <c r="J33" s="696"/>
      <c r="K33" s="697"/>
      <c r="L33" s="696"/>
      <c r="M33" s="198" t="str">
        <f t="shared" si="15"/>
        <v/>
      </c>
      <c r="N33" s="369" t="str">
        <f t="shared" si="13"/>
        <v/>
      </c>
      <c r="O33" s="183" t="str">
        <f t="shared" si="0"/>
        <v/>
      </c>
      <c r="P33" s="199" t="str">
        <f t="shared" si="1"/>
        <v/>
      </c>
      <c r="Q33" s="199" t="str">
        <f>IF(B33="","",IFERROR(IF('עלויות כח אדם (6)'!J33&gt;=VLOOKUP(I33,'סיווג התפקידים והעלויות'!$B$23:$C$32,2,0),"תקין","לא תקין"),""))</f>
        <v/>
      </c>
      <c r="R33" s="199" t="str">
        <f t="shared" si="2"/>
        <v/>
      </c>
      <c r="S33" s="199" t="str">
        <f t="shared" si="3"/>
        <v/>
      </c>
      <c r="T33" s="199" t="str">
        <f t="shared" si="14"/>
        <v/>
      </c>
      <c r="U33" s="199" t="str">
        <f t="shared" si="4"/>
        <v/>
      </c>
      <c r="V33" s="989"/>
      <c r="X33" s="374" t="str">
        <f t="shared" si="5"/>
        <v/>
      </c>
      <c r="Y33" s="375" t="str">
        <f t="shared" si="6"/>
        <v/>
      </c>
      <c r="Z33" s="374" t="str">
        <f t="shared" si="7"/>
        <v/>
      </c>
      <c r="AA33" s="374" t="b">
        <f t="shared" si="8"/>
        <v>1</v>
      </c>
      <c r="AB33" s="374">
        <f>COUNTIFS(B:B,B33,H:H,'סיווג התפקידים והעלויות'!$C$2)</f>
        <v>0</v>
      </c>
      <c r="AC33" s="374">
        <f>COUNTIFS(B:B,B33,H:H,'סיווג התפקידים והעלויות'!$D$2)</f>
        <v>0</v>
      </c>
      <c r="AD33" s="374" t="str">
        <f>IF(OR(AND(H33='סיווג התפקידים והעלויות'!$A$2,I33='סיווג התפקידים והעלויות'!$A$3),'עלויות כח אדם (6)'!H33='סיווג התפקידים והעלויות'!$C$2,'עלויות כח אדם (6)'!H33='סיווג התפקידים והעלויות'!$D$2),IF('עלויות כח אדם (6)'!J33&lt;75,"לא תקין","תקין"),"")</f>
        <v/>
      </c>
      <c r="AE33" s="374" t="str">
        <f t="shared" si="9"/>
        <v/>
      </c>
      <c r="AF33" s="532" t="str">
        <f t="shared" si="10"/>
        <v/>
      </c>
    </row>
    <row r="34" spans="2:32" x14ac:dyDescent="0.25">
      <c r="B34" s="695"/>
      <c r="C34" s="197" t="str">
        <f>IF(B34&lt;&gt;"",IFERROR(VLOOKUP(B:B,'מצבת והרשמה (2)'!$C$20:$N$520,2,0)," ")," ")</f>
        <v xml:space="preserve"> </v>
      </c>
      <c r="D34" s="695"/>
      <c r="E34" s="696"/>
      <c r="F34" s="696"/>
      <c r="G34" s="696"/>
      <c r="H34" s="696"/>
      <c r="I34" s="1050" t="str">
        <f t="shared" si="11"/>
        <v/>
      </c>
      <c r="J34" s="696"/>
      <c r="K34" s="697"/>
      <c r="L34" s="696"/>
      <c r="M34" s="198" t="str">
        <f t="shared" si="15"/>
        <v/>
      </c>
      <c r="N34" s="369" t="str">
        <f t="shared" si="13"/>
        <v/>
      </c>
      <c r="O34" s="183" t="str">
        <f t="shared" si="0"/>
        <v/>
      </c>
      <c r="P34" s="199" t="str">
        <f t="shared" si="1"/>
        <v/>
      </c>
      <c r="Q34" s="199" t="str">
        <f>IF(B34="","",IFERROR(IF('עלויות כח אדם (6)'!J34&gt;=VLOOKUP(I34,'סיווג התפקידים והעלויות'!$B$23:$C$32,2,0),"תקין","לא תקין"),""))</f>
        <v/>
      </c>
      <c r="R34" s="199" t="str">
        <f t="shared" si="2"/>
        <v/>
      </c>
      <c r="S34" s="199" t="str">
        <f t="shared" si="3"/>
        <v/>
      </c>
      <c r="T34" s="199" t="str">
        <f t="shared" si="14"/>
        <v/>
      </c>
      <c r="U34" s="199" t="str">
        <f t="shared" si="4"/>
        <v/>
      </c>
      <c r="V34" s="989"/>
      <c r="X34" s="374" t="str">
        <f t="shared" si="5"/>
        <v/>
      </c>
      <c r="Y34" s="375" t="str">
        <f t="shared" si="6"/>
        <v/>
      </c>
      <c r="Z34" s="374" t="str">
        <f t="shared" si="7"/>
        <v/>
      </c>
      <c r="AA34" s="374" t="b">
        <f t="shared" si="8"/>
        <v>1</v>
      </c>
      <c r="AB34" s="374">
        <f>COUNTIFS(B:B,B34,H:H,'סיווג התפקידים והעלויות'!$C$2)</f>
        <v>0</v>
      </c>
      <c r="AC34" s="374">
        <f>COUNTIFS(B:B,B34,H:H,'סיווג התפקידים והעלויות'!$D$2)</f>
        <v>0</v>
      </c>
      <c r="AD34" s="374" t="str">
        <f>IF(OR(AND(H34='סיווג התפקידים והעלויות'!$A$2,I34='סיווג התפקידים והעלויות'!$A$3),'עלויות כח אדם (6)'!H34='סיווג התפקידים והעלויות'!$C$2,'עלויות כח אדם (6)'!H34='סיווג התפקידים והעלויות'!$D$2),IF('עלויות כח אדם (6)'!J34&lt;75,"לא תקין","תקין"),"")</f>
        <v/>
      </c>
      <c r="AE34" s="374" t="str">
        <f t="shared" si="9"/>
        <v/>
      </c>
      <c r="AF34" s="532" t="str">
        <f t="shared" si="10"/>
        <v/>
      </c>
    </row>
    <row r="35" spans="2:32" x14ac:dyDescent="0.25">
      <c r="B35" s="695"/>
      <c r="C35" s="197" t="str">
        <f>IF(B35&lt;&gt;"",IFERROR(VLOOKUP(B:B,'מצבת והרשמה (2)'!$C$20:$N$520,2,0)," ")," ")</f>
        <v xml:space="preserve"> </v>
      </c>
      <c r="D35" s="695"/>
      <c r="E35" s="696"/>
      <c r="F35" s="696"/>
      <c r="G35" s="696"/>
      <c r="H35" s="696"/>
      <c r="I35" s="1050" t="str">
        <f t="shared" si="11"/>
        <v/>
      </c>
      <c r="J35" s="696"/>
      <c r="K35" s="697"/>
      <c r="L35" s="696"/>
      <c r="M35" s="198" t="str">
        <f t="shared" si="15"/>
        <v/>
      </c>
      <c r="N35" s="369" t="str">
        <f t="shared" si="13"/>
        <v/>
      </c>
      <c r="O35" s="183" t="str">
        <f t="shared" si="0"/>
        <v/>
      </c>
      <c r="P35" s="199" t="str">
        <f t="shared" si="1"/>
        <v/>
      </c>
      <c r="Q35" s="199" t="str">
        <f>IF(B35="","",IFERROR(IF('עלויות כח אדם (6)'!J35&gt;=VLOOKUP(I35,'סיווג התפקידים והעלויות'!$B$23:$C$32,2,0),"תקין","לא תקין"),""))</f>
        <v/>
      </c>
      <c r="R35" s="199" t="str">
        <f t="shared" si="2"/>
        <v/>
      </c>
      <c r="S35" s="199" t="str">
        <f t="shared" si="3"/>
        <v/>
      </c>
      <c r="T35" s="199" t="str">
        <f t="shared" si="14"/>
        <v/>
      </c>
      <c r="U35" s="199" t="str">
        <f t="shared" si="4"/>
        <v/>
      </c>
      <c r="V35" s="989"/>
      <c r="X35" s="374" t="str">
        <f t="shared" si="5"/>
        <v/>
      </c>
      <c r="Y35" s="375" t="str">
        <f t="shared" si="6"/>
        <v/>
      </c>
      <c r="Z35" s="374" t="str">
        <f t="shared" si="7"/>
        <v/>
      </c>
      <c r="AA35" s="374" t="b">
        <f t="shared" si="8"/>
        <v>1</v>
      </c>
      <c r="AB35" s="374">
        <f>COUNTIFS(B:B,B35,H:H,'סיווג התפקידים והעלויות'!$C$2)</f>
        <v>0</v>
      </c>
      <c r="AC35" s="374">
        <f>COUNTIFS(B:B,B35,H:H,'סיווג התפקידים והעלויות'!$D$2)</f>
        <v>0</v>
      </c>
      <c r="AD35" s="374" t="str">
        <f>IF(OR(AND(H35='סיווג התפקידים והעלויות'!$A$2,I35='סיווג התפקידים והעלויות'!$A$3),'עלויות כח אדם (6)'!H35='סיווג התפקידים והעלויות'!$C$2,'עלויות כח אדם (6)'!H35='סיווג התפקידים והעלויות'!$D$2),IF('עלויות כח אדם (6)'!J35&lt;75,"לא תקין","תקין"),"")</f>
        <v/>
      </c>
      <c r="AE35" s="374" t="str">
        <f t="shared" si="9"/>
        <v/>
      </c>
      <c r="AF35" s="532" t="str">
        <f t="shared" si="10"/>
        <v/>
      </c>
    </row>
    <row r="36" spans="2:32" x14ac:dyDescent="0.25">
      <c r="B36" s="695"/>
      <c r="C36" s="197" t="str">
        <f>IF(B36&lt;&gt;"",IFERROR(VLOOKUP(B:B,'מצבת והרשמה (2)'!$C$20:$N$520,2,0)," ")," ")</f>
        <v xml:space="preserve"> </v>
      </c>
      <c r="D36" s="695"/>
      <c r="E36" s="696"/>
      <c r="F36" s="696"/>
      <c r="G36" s="696"/>
      <c r="H36" s="696"/>
      <c r="I36" s="1050" t="str">
        <f t="shared" si="11"/>
        <v/>
      </c>
      <c r="J36" s="696"/>
      <c r="K36" s="697"/>
      <c r="L36" s="696"/>
      <c r="M36" s="198" t="str">
        <f t="shared" si="15"/>
        <v/>
      </c>
      <c r="N36" s="369" t="str">
        <f t="shared" si="13"/>
        <v/>
      </c>
      <c r="O36" s="183" t="str">
        <f t="shared" si="0"/>
        <v/>
      </c>
      <c r="P36" s="199" t="str">
        <f t="shared" si="1"/>
        <v/>
      </c>
      <c r="Q36" s="199" t="str">
        <f>IF(B36="","",IFERROR(IF('עלויות כח אדם (6)'!J36&gt;=VLOOKUP(I36,'סיווג התפקידים והעלויות'!$B$23:$C$32,2,0),"תקין","לא תקין"),""))</f>
        <v/>
      </c>
      <c r="R36" s="199" t="str">
        <f t="shared" si="2"/>
        <v/>
      </c>
      <c r="S36" s="199" t="str">
        <f t="shared" si="3"/>
        <v/>
      </c>
      <c r="T36" s="199" t="str">
        <f t="shared" si="14"/>
        <v/>
      </c>
      <c r="U36" s="199" t="str">
        <f t="shared" si="4"/>
        <v/>
      </c>
      <c r="V36" s="989"/>
      <c r="X36" s="374" t="str">
        <f t="shared" si="5"/>
        <v/>
      </c>
      <c r="Y36" s="375" t="str">
        <f t="shared" si="6"/>
        <v/>
      </c>
      <c r="Z36" s="374" t="str">
        <f t="shared" si="7"/>
        <v/>
      </c>
      <c r="AA36" s="374" t="b">
        <f t="shared" si="8"/>
        <v>1</v>
      </c>
      <c r="AB36" s="374">
        <f>COUNTIFS(B:B,B36,H:H,'סיווג התפקידים והעלויות'!$C$2)</f>
        <v>0</v>
      </c>
      <c r="AC36" s="374">
        <f>COUNTIFS(B:B,B36,H:H,'סיווג התפקידים והעלויות'!$D$2)</f>
        <v>0</v>
      </c>
      <c r="AD36" s="374" t="str">
        <f>IF(OR(AND(H36='סיווג התפקידים והעלויות'!$A$2,I36='סיווג התפקידים והעלויות'!$A$3),'עלויות כח אדם (6)'!H36='סיווג התפקידים והעלויות'!$C$2,'עלויות כח אדם (6)'!H36='סיווג התפקידים והעלויות'!$D$2),IF('עלויות כח אדם (6)'!J36&lt;75,"לא תקין","תקין"),"")</f>
        <v/>
      </c>
      <c r="AE36" s="374" t="str">
        <f t="shared" si="9"/>
        <v/>
      </c>
      <c r="AF36" s="532" t="str">
        <f t="shared" si="10"/>
        <v/>
      </c>
    </row>
    <row r="37" spans="2:32" x14ac:dyDescent="0.25">
      <c r="B37" s="695"/>
      <c r="C37" s="197" t="str">
        <f>IF(B37&lt;&gt;"",IFERROR(VLOOKUP(B:B,'מצבת והרשמה (2)'!$C$20:$N$520,2,0)," ")," ")</f>
        <v xml:space="preserve"> </v>
      </c>
      <c r="D37" s="695"/>
      <c r="E37" s="696"/>
      <c r="F37" s="696"/>
      <c r="G37" s="696"/>
      <c r="H37" s="696"/>
      <c r="I37" s="1050" t="str">
        <f t="shared" si="11"/>
        <v/>
      </c>
      <c r="J37" s="696"/>
      <c r="K37" s="697"/>
      <c r="L37" s="696"/>
      <c r="M37" s="198" t="str">
        <f t="shared" si="15"/>
        <v/>
      </c>
      <c r="N37" s="369" t="str">
        <f t="shared" si="13"/>
        <v/>
      </c>
      <c r="O37" s="183" t="str">
        <f t="shared" si="0"/>
        <v/>
      </c>
      <c r="P37" s="199" t="str">
        <f t="shared" si="1"/>
        <v/>
      </c>
      <c r="Q37" s="199" t="str">
        <f>IF(B37="","",IFERROR(IF('עלויות כח אדם (6)'!J37&gt;=VLOOKUP(I37,'סיווג התפקידים והעלויות'!$B$23:$C$32,2,0),"תקין","לא תקין"),""))</f>
        <v/>
      </c>
      <c r="R37" s="199" t="str">
        <f t="shared" si="2"/>
        <v/>
      </c>
      <c r="S37" s="199" t="str">
        <f t="shared" si="3"/>
        <v/>
      </c>
      <c r="T37" s="199" t="str">
        <f t="shared" si="14"/>
        <v/>
      </c>
      <c r="U37" s="199" t="str">
        <f t="shared" si="4"/>
        <v/>
      </c>
      <c r="V37" s="989"/>
      <c r="X37" s="374" t="str">
        <f t="shared" si="5"/>
        <v/>
      </c>
      <c r="Y37" s="375" t="str">
        <f t="shared" si="6"/>
        <v/>
      </c>
      <c r="Z37" s="374" t="str">
        <f t="shared" si="7"/>
        <v/>
      </c>
      <c r="AA37" s="374" t="b">
        <f t="shared" si="8"/>
        <v>1</v>
      </c>
      <c r="AB37" s="374">
        <f>COUNTIFS(B:B,B37,H:H,'סיווג התפקידים והעלויות'!$C$2)</f>
        <v>0</v>
      </c>
      <c r="AC37" s="374">
        <f>COUNTIFS(B:B,B37,H:H,'סיווג התפקידים והעלויות'!$D$2)</f>
        <v>0</v>
      </c>
      <c r="AD37" s="374" t="str">
        <f>IF(OR(AND(H37='סיווג התפקידים והעלויות'!$A$2,I37='סיווג התפקידים והעלויות'!$A$3),'עלויות כח אדם (6)'!H37='סיווג התפקידים והעלויות'!$C$2,'עלויות כח אדם (6)'!H37='סיווג התפקידים והעלויות'!$D$2),IF('עלויות כח אדם (6)'!J37&lt;75,"לא תקין","תקין"),"")</f>
        <v/>
      </c>
      <c r="AE37" s="374" t="str">
        <f t="shared" si="9"/>
        <v/>
      </c>
      <c r="AF37" s="532" t="str">
        <f t="shared" si="10"/>
        <v/>
      </c>
    </row>
    <row r="38" spans="2:32" x14ac:dyDescent="0.25">
      <c r="B38" s="695"/>
      <c r="C38" s="197" t="str">
        <f>IF(B38&lt;&gt;"",IFERROR(VLOOKUP(B:B,'מצבת והרשמה (2)'!$C$20:$N$520,2,0)," ")," ")</f>
        <v xml:space="preserve"> </v>
      </c>
      <c r="D38" s="695"/>
      <c r="E38" s="696"/>
      <c r="F38" s="696"/>
      <c r="G38" s="696"/>
      <c r="H38" s="696"/>
      <c r="I38" s="1050" t="str">
        <f t="shared" si="11"/>
        <v/>
      </c>
      <c r="J38" s="696"/>
      <c r="K38" s="697"/>
      <c r="L38" s="696"/>
      <c r="M38" s="198" t="str">
        <f t="shared" si="15"/>
        <v/>
      </c>
      <c r="N38" s="369" t="str">
        <f t="shared" si="13"/>
        <v/>
      </c>
      <c r="O38" s="183" t="str">
        <f t="shared" si="0"/>
        <v/>
      </c>
      <c r="P38" s="199" t="str">
        <f t="shared" si="1"/>
        <v/>
      </c>
      <c r="Q38" s="199" t="str">
        <f>IF(B38="","",IFERROR(IF('עלויות כח אדם (6)'!J38&gt;=VLOOKUP(I38,'סיווג התפקידים והעלויות'!$B$23:$C$32,2,0),"תקין","לא תקין"),""))</f>
        <v/>
      </c>
      <c r="R38" s="199" t="str">
        <f t="shared" si="2"/>
        <v/>
      </c>
      <c r="S38" s="199" t="str">
        <f t="shared" si="3"/>
        <v/>
      </c>
      <c r="T38" s="199" t="str">
        <f t="shared" si="14"/>
        <v/>
      </c>
      <c r="U38" s="199" t="str">
        <f t="shared" si="4"/>
        <v/>
      </c>
      <c r="V38" s="989"/>
      <c r="X38" s="374" t="str">
        <f t="shared" si="5"/>
        <v/>
      </c>
      <c r="Y38" s="375" t="str">
        <f t="shared" si="6"/>
        <v/>
      </c>
      <c r="Z38" s="374" t="str">
        <f t="shared" si="7"/>
        <v/>
      </c>
      <c r="AA38" s="374" t="b">
        <f t="shared" si="8"/>
        <v>1</v>
      </c>
      <c r="AB38" s="374">
        <f>COUNTIFS(B:B,B38,H:H,'סיווג התפקידים והעלויות'!$C$2)</f>
        <v>0</v>
      </c>
      <c r="AC38" s="374">
        <f>COUNTIFS(B:B,B38,H:H,'סיווג התפקידים והעלויות'!$D$2)</f>
        <v>0</v>
      </c>
      <c r="AD38" s="374" t="str">
        <f>IF(OR(AND(H38='סיווג התפקידים והעלויות'!$A$2,I38='סיווג התפקידים והעלויות'!$A$3),'עלויות כח אדם (6)'!H38='סיווג התפקידים והעלויות'!$C$2,'עלויות כח אדם (6)'!H38='סיווג התפקידים והעלויות'!$D$2),IF('עלויות כח אדם (6)'!J38&lt;75,"לא תקין","תקין"),"")</f>
        <v/>
      </c>
      <c r="AE38" s="374" t="str">
        <f t="shared" si="9"/>
        <v/>
      </c>
      <c r="AF38" s="532" t="str">
        <f t="shared" si="10"/>
        <v/>
      </c>
    </row>
    <row r="39" spans="2:32" x14ac:dyDescent="0.25">
      <c r="B39" s="695"/>
      <c r="C39" s="197" t="str">
        <f>IF(B39&lt;&gt;"",IFERROR(VLOOKUP(B:B,'מצבת והרשמה (2)'!$C$20:$N$520,2,0)," ")," ")</f>
        <v xml:space="preserve"> </v>
      </c>
      <c r="D39" s="695"/>
      <c r="E39" s="696"/>
      <c r="F39" s="696"/>
      <c r="G39" s="696"/>
      <c r="H39" s="696"/>
      <c r="I39" s="1050" t="str">
        <f t="shared" si="11"/>
        <v/>
      </c>
      <c r="J39" s="696"/>
      <c r="K39" s="697"/>
      <c r="L39" s="696"/>
      <c r="M39" s="198" t="str">
        <f t="shared" si="15"/>
        <v/>
      </c>
      <c r="N39" s="369" t="str">
        <f t="shared" si="13"/>
        <v/>
      </c>
      <c r="O39" s="183" t="str">
        <f t="shared" si="0"/>
        <v/>
      </c>
      <c r="P39" s="199" t="str">
        <f t="shared" si="1"/>
        <v/>
      </c>
      <c r="Q39" s="199" t="str">
        <f>IF(B39="","",IFERROR(IF('עלויות כח אדם (6)'!J39&gt;=VLOOKUP(I39,'סיווג התפקידים והעלויות'!$B$23:$C$32,2,0),"תקין","לא תקין"),""))</f>
        <v/>
      </c>
      <c r="R39" s="199" t="str">
        <f t="shared" si="2"/>
        <v/>
      </c>
      <c r="S39" s="199" t="str">
        <f t="shared" si="3"/>
        <v/>
      </c>
      <c r="T39" s="199" t="str">
        <f t="shared" si="14"/>
        <v/>
      </c>
      <c r="U39" s="199" t="str">
        <f t="shared" si="4"/>
        <v/>
      </c>
      <c r="V39" s="989"/>
      <c r="X39" s="374" t="str">
        <f t="shared" si="5"/>
        <v/>
      </c>
      <c r="Y39" s="375" t="str">
        <f t="shared" si="6"/>
        <v/>
      </c>
      <c r="Z39" s="374" t="str">
        <f t="shared" si="7"/>
        <v/>
      </c>
      <c r="AA39" s="374" t="b">
        <f t="shared" si="8"/>
        <v>1</v>
      </c>
      <c r="AB39" s="374">
        <f>COUNTIFS(B:B,B39,H:H,'סיווג התפקידים והעלויות'!$C$2)</f>
        <v>0</v>
      </c>
      <c r="AC39" s="374">
        <f>COUNTIFS(B:B,B39,H:H,'סיווג התפקידים והעלויות'!$D$2)</f>
        <v>0</v>
      </c>
      <c r="AD39" s="374" t="str">
        <f>IF(OR(AND(H39='סיווג התפקידים והעלויות'!$A$2,I39='סיווג התפקידים והעלויות'!$A$3),'עלויות כח אדם (6)'!H39='סיווג התפקידים והעלויות'!$C$2,'עלויות כח אדם (6)'!H39='סיווג התפקידים והעלויות'!$D$2),IF('עלויות כח אדם (6)'!J39&lt;75,"לא תקין","תקין"),"")</f>
        <v/>
      </c>
      <c r="AE39" s="374" t="str">
        <f t="shared" si="9"/>
        <v/>
      </c>
      <c r="AF39" s="532" t="str">
        <f t="shared" si="10"/>
        <v/>
      </c>
    </row>
    <row r="40" spans="2:32" x14ac:dyDescent="0.25">
      <c r="B40" s="695"/>
      <c r="C40" s="197" t="str">
        <f>IF(B40&lt;&gt;"",IFERROR(VLOOKUP(B:B,'מצבת והרשמה (2)'!$C$20:$N$520,2,0)," ")," ")</f>
        <v xml:space="preserve"> </v>
      </c>
      <c r="D40" s="695"/>
      <c r="E40" s="696"/>
      <c r="F40" s="696"/>
      <c r="G40" s="696"/>
      <c r="H40" s="696"/>
      <c r="I40" s="1050" t="str">
        <f t="shared" si="11"/>
        <v/>
      </c>
      <c r="J40" s="696"/>
      <c r="K40" s="697"/>
      <c r="L40" s="696"/>
      <c r="M40" s="198" t="str">
        <f t="shared" si="15"/>
        <v/>
      </c>
      <c r="N40" s="369" t="str">
        <f t="shared" si="13"/>
        <v/>
      </c>
      <c r="O40" s="183" t="str">
        <f t="shared" si="0"/>
        <v/>
      </c>
      <c r="P40" s="199" t="str">
        <f t="shared" si="1"/>
        <v/>
      </c>
      <c r="Q40" s="199" t="str">
        <f>IF(B40="","",IFERROR(IF('עלויות כח אדם (6)'!J40&gt;=VLOOKUP(I40,'סיווג התפקידים והעלויות'!$B$23:$C$32,2,0),"תקין","לא תקין"),""))</f>
        <v/>
      </c>
      <c r="R40" s="199" t="str">
        <f t="shared" si="2"/>
        <v/>
      </c>
      <c r="S40" s="199" t="str">
        <f t="shared" si="3"/>
        <v/>
      </c>
      <c r="T40" s="199" t="str">
        <f t="shared" si="14"/>
        <v/>
      </c>
      <c r="U40" s="199" t="str">
        <f t="shared" si="4"/>
        <v/>
      </c>
      <c r="V40" s="989"/>
      <c r="X40" s="374" t="str">
        <f t="shared" si="5"/>
        <v/>
      </c>
      <c r="Y40" s="375" t="str">
        <f t="shared" si="6"/>
        <v/>
      </c>
      <c r="Z40" s="374" t="str">
        <f t="shared" si="7"/>
        <v/>
      </c>
      <c r="AA40" s="374" t="b">
        <f t="shared" si="8"/>
        <v>1</v>
      </c>
      <c r="AB40" s="374">
        <f>COUNTIFS(B:B,B40,H:H,'סיווג התפקידים והעלויות'!$C$2)</f>
        <v>0</v>
      </c>
      <c r="AC40" s="374">
        <f>COUNTIFS(B:B,B40,H:H,'סיווג התפקידים והעלויות'!$D$2)</f>
        <v>0</v>
      </c>
      <c r="AD40" s="374" t="str">
        <f>IF(OR(AND(H40='סיווג התפקידים והעלויות'!$A$2,I40='סיווג התפקידים והעלויות'!$A$3),'עלויות כח אדם (6)'!H40='סיווג התפקידים והעלויות'!$C$2,'עלויות כח אדם (6)'!H40='סיווג התפקידים והעלויות'!$D$2),IF('עלויות כח אדם (6)'!J40&lt;75,"לא תקין","תקין"),"")</f>
        <v/>
      </c>
      <c r="AE40" s="374" t="str">
        <f t="shared" si="9"/>
        <v/>
      </c>
      <c r="AF40" s="532" t="str">
        <f t="shared" si="10"/>
        <v/>
      </c>
    </row>
    <row r="41" spans="2:32" x14ac:dyDescent="0.25">
      <c r="B41" s="695"/>
      <c r="C41" s="197" t="str">
        <f>IF(B41&lt;&gt;"",IFERROR(VLOOKUP(B:B,'מצבת והרשמה (2)'!$C$20:$N$520,2,0)," ")," ")</f>
        <v xml:space="preserve"> </v>
      </c>
      <c r="D41" s="695"/>
      <c r="E41" s="696"/>
      <c r="F41" s="696"/>
      <c r="G41" s="696"/>
      <c r="H41" s="696"/>
      <c r="I41" s="1050" t="str">
        <f t="shared" si="11"/>
        <v/>
      </c>
      <c r="J41" s="696"/>
      <c r="K41" s="697"/>
      <c r="L41" s="696"/>
      <c r="M41" s="198" t="str">
        <f t="shared" si="15"/>
        <v/>
      </c>
      <c r="N41" s="369" t="str">
        <f t="shared" si="13"/>
        <v/>
      </c>
      <c r="O41" s="183" t="str">
        <f t="shared" si="0"/>
        <v/>
      </c>
      <c r="P41" s="199" t="str">
        <f t="shared" si="1"/>
        <v/>
      </c>
      <c r="Q41" s="199" t="str">
        <f>IF(B41="","",IFERROR(IF('עלויות כח אדם (6)'!J41&gt;=VLOOKUP(I41,'סיווג התפקידים והעלויות'!$B$23:$C$32,2,0),"תקין","לא תקין"),""))</f>
        <v/>
      </c>
      <c r="R41" s="199" t="str">
        <f t="shared" si="2"/>
        <v/>
      </c>
      <c r="S41" s="199" t="str">
        <f t="shared" si="3"/>
        <v/>
      </c>
      <c r="T41" s="199" t="str">
        <f t="shared" si="14"/>
        <v/>
      </c>
      <c r="U41" s="199" t="str">
        <f t="shared" si="4"/>
        <v/>
      </c>
      <c r="V41" s="989"/>
      <c r="X41" s="374" t="str">
        <f t="shared" si="5"/>
        <v/>
      </c>
      <c r="Y41" s="375" t="str">
        <f t="shared" si="6"/>
        <v/>
      </c>
      <c r="Z41" s="374" t="str">
        <f t="shared" si="7"/>
        <v/>
      </c>
      <c r="AA41" s="374" t="b">
        <f t="shared" si="8"/>
        <v>1</v>
      </c>
      <c r="AB41" s="374">
        <f>COUNTIFS(B:B,B41,H:H,'סיווג התפקידים והעלויות'!$C$2)</f>
        <v>0</v>
      </c>
      <c r="AC41" s="374">
        <f>COUNTIFS(B:B,B41,H:H,'סיווג התפקידים והעלויות'!$D$2)</f>
        <v>0</v>
      </c>
      <c r="AD41" s="374" t="str">
        <f>IF(OR(AND(H41='סיווג התפקידים והעלויות'!$A$2,I41='סיווג התפקידים והעלויות'!$A$3),'עלויות כח אדם (6)'!H41='סיווג התפקידים והעלויות'!$C$2,'עלויות כח אדם (6)'!H41='סיווג התפקידים והעלויות'!$D$2),IF('עלויות כח אדם (6)'!J41&lt;75,"לא תקין","תקין"),"")</f>
        <v/>
      </c>
      <c r="AE41" s="374" t="str">
        <f t="shared" si="9"/>
        <v/>
      </c>
      <c r="AF41" s="532" t="str">
        <f t="shared" si="10"/>
        <v/>
      </c>
    </row>
    <row r="42" spans="2:32" x14ac:dyDescent="0.25">
      <c r="B42" s="695"/>
      <c r="C42" s="197" t="str">
        <f>IF(B42&lt;&gt;"",IFERROR(VLOOKUP(B:B,'מצבת והרשמה (2)'!$C$20:$N$520,2,0)," ")," ")</f>
        <v xml:space="preserve"> </v>
      </c>
      <c r="D42" s="695"/>
      <c r="E42" s="696"/>
      <c r="F42" s="696"/>
      <c r="G42" s="696"/>
      <c r="H42" s="696"/>
      <c r="I42" s="1050" t="str">
        <f t="shared" si="11"/>
        <v/>
      </c>
      <c r="J42" s="696"/>
      <c r="K42" s="697"/>
      <c r="L42" s="696"/>
      <c r="M42" s="198" t="str">
        <f t="shared" si="15"/>
        <v/>
      </c>
      <c r="N42" s="369" t="str">
        <f t="shared" si="13"/>
        <v/>
      </c>
      <c r="O42" s="183" t="str">
        <f t="shared" si="0"/>
        <v/>
      </c>
      <c r="P42" s="199" t="str">
        <f t="shared" si="1"/>
        <v/>
      </c>
      <c r="Q42" s="199" t="str">
        <f>IF(B42="","",IFERROR(IF('עלויות כח אדם (6)'!J42&gt;=VLOOKUP(I42,'סיווג התפקידים והעלויות'!$B$23:$C$32,2,0),"תקין","לא תקין"),""))</f>
        <v/>
      </c>
      <c r="R42" s="199" t="str">
        <f t="shared" si="2"/>
        <v/>
      </c>
      <c r="S42" s="199" t="str">
        <f t="shared" si="3"/>
        <v/>
      </c>
      <c r="T42" s="199" t="str">
        <f t="shared" si="14"/>
        <v/>
      </c>
      <c r="U42" s="199" t="str">
        <f t="shared" si="4"/>
        <v/>
      </c>
      <c r="V42" s="989"/>
      <c r="X42" s="374" t="str">
        <f t="shared" si="5"/>
        <v/>
      </c>
      <c r="Y42" s="375" t="str">
        <f t="shared" si="6"/>
        <v/>
      </c>
      <c r="Z42" s="374" t="str">
        <f t="shared" si="7"/>
        <v/>
      </c>
      <c r="AA42" s="374" t="b">
        <f t="shared" si="8"/>
        <v>1</v>
      </c>
      <c r="AB42" s="374">
        <f>COUNTIFS(B:B,B42,H:H,'סיווג התפקידים והעלויות'!$C$2)</f>
        <v>0</v>
      </c>
      <c r="AC42" s="374">
        <f>COUNTIFS(B:B,B42,H:H,'סיווג התפקידים והעלויות'!$D$2)</f>
        <v>0</v>
      </c>
      <c r="AD42" s="374" t="str">
        <f>IF(OR(AND(H42='סיווג התפקידים והעלויות'!$A$2,I42='סיווג התפקידים והעלויות'!$A$3),'עלויות כח אדם (6)'!H42='סיווג התפקידים והעלויות'!$C$2,'עלויות כח אדם (6)'!H42='סיווג התפקידים והעלויות'!$D$2),IF('עלויות כח אדם (6)'!J42&lt;75,"לא תקין","תקין"),"")</f>
        <v/>
      </c>
      <c r="AE42" s="374" t="str">
        <f t="shared" si="9"/>
        <v/>
      </c>
      <c r="AF42" s="532" t="str">
        <f t="shared" si="10"/>
        <v/>
      </c>
    </row>
    <row r="43" spans="2:32" x14ac:dyDescent="0.25">
      <c r="B43" s="695"/>
      <c r="C43" s="197" t="str">
        <f>IF(B43&lt;&gt;"",IFERROR(VLOOKUP(B:B,'מצבת והרשמה (2)'!$C$20:$N$520,2,0)," ")," ")</f>
        <v xml:space="preserve"> </v>
      </c>
      <c r="D43" s="695"/>
      <c r="E43" s="696"/>
      <c r="F43" s="696"/>
      <c r="G43" s="696"/>
      <c r="H43" s="696"/>
      <c r="I43" s="1050" t="str">
        <f t="shared" si="11"/>
        <v/>
      </c>
      <c r="J43" s="696"/>
      <c r="K43" s="697"/>
      <c r="L43" s="696"/>
      <c r="M43" s="198" t="str">
        <f t="shared" si="15"/>
        <v/>
      </c>
      <c r="N43" s="369" t="str">
        <f t="shared" si="13"/>
        <v/>
      </c>
      <c r="O43" s="183" t="str">
        <f t="shared" si="0"/>
        <v/>
      </c>
      <c r="P43" s="199" t="str">
        <f t="shared" si="1"/>
        <v/>
      </c>
      <c r="Q43" s="199" t="str">
        <f>IF(B43="","",IFERROR(IF('עלויות כח אדם (6)'!J43&gt;=VLOOKUP(I43,'סיווג התפקידים והעלויות'!$B$23:$C$32,2,0),"תקין","לא תקין"),""))</f>
        <v/>
      </c>
      <c r="R43" s="199" t="str">
        <f t="shared" si="2"/>
        <v/>
      </c>
      <c r="S43" s="199" t="str">
        <f t="shared" si="3"/>
        <v/>
      </c>
      <c r="T43" s="199" t="str">
        <f t="shared" si="14"/>
        <v/>
      </c>
      <c r="U43" s="199" t="str">
        <f t="shared" si="4"/>
        <v/>
      </c>
      <c r="V43" s="989"/>
      <c r="X43" s="374" t="str">
        <f t="shared" si="5"/>
        <v/>
      </c>
      <c r="Y43" s="375" t="str">
        <f t="shared" si="6"/>
        <v/>
      </c>
      <c r="Z43" s="374" t="str">
        <f t="shared" si="7"/>
        <v/>
      </c>
      <c r="AA43" s="374" t="b">
        <f t="shared" si="8"/>
        <v>1</v>
      </c>
      <c r="AB43" s="374">
        <f>COUNTIFS(B:B,B43,H:H,'סיווג התפקידים והעלויות'!$C$2)</f>
        <v>0</v>
      </c>
      <c r="AC43" s="374">
        <f>COUNTIFS(B:B,B43,H:H,'סיווג התפקידים והעלויות'!$D$2)</f>
        <v>0</v>
      </c>
      <c r="AD43" s="374" t="str">
        <f>IF(OR(AND(H43='סיווג התפקידים והעלויות'!$A$2,I43='סיווג התפקידים והעלויות'!$A$3),'עלויות כח אדם (6)'!H43='סיווג התפקידים והעלויות'!$C$2,'עלויות כח אדם (6)'!H43='סיווג התפקידים והעלויות'!$D$2),IF('עלויות כח אדם (6)'!J43&lt;75,"לא תקין","תקין"),"")</f>
        <v/>
      </c>
      <c r="AE43" s="374" t="str">
        <f t="shared" si="9"/>
        <v/>
      </c>
      <c r="AF43" s="532" t="str">
        <f t="shared" si="10"/>
        <v/>
      </c>
    </row>
    <row r="44" spans="2:32" x14ac:dyDescent="0.25">
      <c r="B44" s="695"/>
      <c r="C44" s="197" t="str">
        <f>IF(B44&lt;&gt;"",IFERROR(VLOOKUP(B:B,'מצבת והרשמה (2)'!$C$20:$N$520,2,0)," ")," ")</f>
        <v xml:space="preserve"> </v>
      </c>
      <c r="D44" s="695"/>
      <c r="E44" s="696"/>
      <c r="F44" s="696"/>
      <c r="G44" s="696"/>
      <c r="H44" s="696"/>
      <c r="I44" s="1050" t="str">
        <f t="shared" ref="I44:I78" si="16">SUBSTITUTE(IFERROR(IF(H44="מדצ","מדצ/ית",IF(H44="סגנית רכזת מעל 150","סגנ/ית רכז/ת&gt;150",IF(H44="רכזת תכנית בבית הספר","רכז/ת תכנית בבית הספר"))),""),"FALSE","")</f>
        <v/>
      </c>
      <c r="J44" s="696"/>
      <c r="K44" s="697"/>
      <c r="L44" s="696"/>
      <c r="M44" s="198" t="str">
        <f t="shared" si="15"/>
        <v/>
      </c>
      <c r="N44" s="369" t="str">
        <f t="shared" si="13"/>
        <v/>
      </c>
      <c r="O44" s="183" t="str">
        <f t="shared" si="0"/>
        <v/>
      </c>
      <c r="P44" s="199" t="str">
        <f t="shared" si="1"/>
        <v/>
      </c>
      <c r="Q44" s="199" t="str">
        <f>IF(B44="","",IFERROR(IF('עלויות כח אדם (6)'!J44&gt;=VLOOKUP(I44,'סיווג התפקידים והעלויות'!$B$23:$C$32,2,0),"תקין","לא תקין"),""))</f>
        <v/>
      </c>
      <c r="R44" s="199" t="str">
        <f t="shared" si="2"/>
        <v/>
      </c>
      <c r="S44" s="199" t="str">
        <f t="shared" si="3"/>
        <v/>
      </c>
      <c r="T44" s="199" t="str">
        <f t="shared" si="14"/>
        <v/>
      </c>
      <c r="U44" s="199" t="str">
        <f t="shared" si="4"/>
        <v/>
      </c>
      <c r="V44" s="989"/>
      <c r="X44" s="374" t="str">
        <f t="shared" si="5"/>
        <v/>
      </c>
      <c r="Y44" s="375" t="str">
        <f t="shared" si="6"/>
        <v/>
      </c>
      <c r="Z44" s="374" t="str">
        <f t="shared" si="7"/>
        <v/>
      </c>
      <c r="AA44" s="374" t="b">
        <f t="shared" si="8"/>
        <v>1</v>
      </c>
      <c r="AB44" s="374">
        <f>COUNTIFS(B:B,B44,H:H,'סיווג התפקידים והעלויות'!$C$2)</f>
        <v>0</v>
      </c>
      <c r="AC44" s="374">
        <f>COUNTIFS(B:B,B44,H:H,'סיווג התפקידים והעלויות'!$D$2)</f>
        <v>0</v>
      </c>
      <c r="AD44" s="374" t="str">
        <f>IF(OR(AND(H44='סיווג התפקידים והעלויות'!$A$2,I44='סיווג התפקידים והעלויות'!$A$3),'עלויות כח אדם (6)'!H44='סיווג התפקידים והעלויות'!$C$2,'עלויות כח אדם (6)'!H44='סיווג התפקידים והעלויות'!$D$2),IF('עלויות כח אדם (6)'!J44&lt;75,"לא תקין","תקין"),"")</f>
        <v/>
      </c>
      <c r="AE44" s="374" t="str">
        <f t="shared" si="9"/>
        <v/>
      </c>
      <c r="AF44" s="532" t="str">
        <f t="shared" si="10"/>
        <v/>
      </c>
    </row>
    <row r="45" spans="2:32" x14ac:dyDescent="0.25">
      <c r="B45" s="695"/>
      <c r="C45" s="197" t="str">
        <f>IF(B45&lt;&gt;"",IFERROR(VLOOKUP(B:B,'מצבת והרשמה (2)'!$C$20:$N$520,2,0)," ")," ")</f>
        <v xml:space="preserve"> </v>
      </c>
      <c r="D45" s="695"/>
      <c r="E45" s="696"/>
      <c r="F45" s="696"/>
      <c r="G45" s="696"/>
      <c r="H45" s="696"/>
      <c r="I45" s="1050" t="str">
        <f t="shared" si="16"/>
        <v/>
      </c>
      <c r="J45" s="696"/>
      <c r="K45" s="697"/>
      <c r="L45" s="696"/>
      <c r="M45" s="198" t="str">
        <f t="shared" si="15"/>
        <v/>
      </c>
      <c r="N45" s="369" t="str">
        <f t="shared" si="13"/>
        <v/>
      </c>
      <c r="O45" s="183" t="str">
        <f t="shared" si="0"/>
        <v/>
      </c>
      <c r="P45" s="199" t="str">
        <f t="shared" si="1"/>
        <v/>
      </c>
      <c r="Q45" s="199" t="str">
        <f>IF(B45="","",IFERROR(IF('עלויות כח אדם (6)'!J45&gt;=VLOOKUP(I45,'סיווג התפקידים והעלויות'!$B$23:$C$32,2,0),"תקין","לא תקין"),""))</f>
        <v/>
      </c>
      <c r="R45" s="199" t="str">
        <f t="shared" si="2"/>
        <v/>
      </c>
      <c r="S45" s="199" t="str">
        <f t="shared" si="3"/>
        <v/>
      </c>
      <c r="T45" s="199" t="str">
        <f t="shared" si="14"/>
        <v/>
      </c>
      <c r="U45" s="199" t="str">
        <f t="shared" si="4"/>
        <v/>
      </c>
      <c r="V45" s="989"/>
      <c r="X45" s="374" t="str">
        <f t="shared" si="5"/>
        <v/>
      </c>
      <c r="Y45" s="375" t="str">
        <f t="shared" si="6"/>
        <v/>
      </c>
      <c r="Z45" s="374" t="str">
        <f t="shared" si="7"/>
        <v/>
      </c>
      <c r="AA45" s="374" t="b">
        <f t="shared" si="8"/>
        <v>1</v>
      </c>
      <c r="AB45" s="374">
        <f>COUNTIFS(B:B,B45,H:H,'סיווג התפקידים והעלויות'!$C$2)</f>
        <v>0</v>
      </c>
      <c r="AC45" s="374">
        <f>COUNTIFS(B:B,B45,H:H,'סיווג התפקידים והעלויות'!$D$2)</f>
        <v>0</v>
      </c>
      <c r="AD45" s="374" t="str">
        <f>IF(OR(AND(H45='סיווג התפקידים והעלויות'!$A$2,I45='סיווג התפקידים והעלויות'!$A$3),'עלויות כח אדם (6)'!H45='סיווג התפקידים והעלויות'!$C$2,'עלויות כח אדם (6)'!H45='סיווג התפקידים והעלויות'!$D$2),IF('עלויות כח אדם (6)'!J45&lt;75,"לא תקין","תקין"),"")</f>
        <v/>
      </c>
      <c r="AE45" s="374" t="str">
        <f t="shared" si="9"/>
        <v/>
      </c>
      <c r="AF45" s="532" t="str">
        <f t="shared" si="10"/>
        <v/>
      </c>
    </row>
    <row r="46" spans="2:32" x14ac:dyDescent="0.25">
      <c r="B46" s="695"/>
      <c r="C46" s="197" t="str">
        <f>IF(B46&lt;&gt;"",IFERROR(VLOOKUP(B:B,'מצבת והרשמה (2)'!$C$20:$N$520,2,0)," ")," ")</f>
        <v xml:space="preserve"> </v>
      </c>
      <c r="D46" s="695"/>
      <c r="E46" s="696"/>
      <c r="F46" s="696"/>
      <c r="G46" s="696"/>
      <c r="H46" s="696"/>
      <c r="I46" s="1050" t="str">
        <f t="shared" si="16"/>
        <v/>
      </c>
      <c r="J46" s="696"/>
      <c r="K46" s="697"/>
      <c r="L46" s="696"/>
      <c r="M46" s="198" t="str">
        <f t="shared" si="15"/>
        <v/>
      </c>
      <c r="N46" s="369" t="str">
        <f t="shared" si="13"/>
        <v/>
      </c>
      <c r="O46" s="183" t="str">
        <f t="shared" si="0"/>
        <v/>
      </c>
      <c r="P46" s="199" t="str">
        <f t="shared" si="1"/>
        <v/>
      </c>
      <c r="Q46" s="199" t="str">
        <f>IF(B46="","",IFERROR(IF('עלויות כח אדם (6)'!J46&gt;=VLOOKUP(I46,'סיווג התפקידים והעלויות'!$B$23:$C$32,2,0),"תקין","לא תקין"),""))</f>
        <v/>
      </c>
      <c r="R46" s="199" t="str">
        <f t="shared" si="2"/>
        <v/>
      </c>
      <c r="S46" s="199" t="str">
        <f t="shared" si="3"/>
        <v/>
      </c>
      <c r="T46" s="199" t="str">
        <f t="shared" si="14"/>
        <v/>
      </c>
      <c r="U46" s="199" t="str">
        <f t="shared" si="4"/>
        <v/>
      </c>
      <c r="V46" s="989"/>
      <c r="X46" s="374" t="str">
        <f t="shared" si="5"/>
        <v/>
      </c>
      <c r="Y46" s="375" t="str">
        <f t="shared" si="6"/>
        <v/>
      </c>
      <c r="Z46" s="374" t="str">
        <f t="shared" si="7"/>
        <v/>
      </c>
      <c r="AA46" s="374" t="b">
        <f t="shared" si="8"/>
        <v>1</v>
      </c>
      <c r="AB46" s="374">
        <f>COUNTIFS(B:B,B46,H:H,'סיווג התפקידים והעלויות'!$C$2)</f>
        <v>0</v>
      </c>
      <c r="AC46" s="374">
        <f>COUNTIFS(B:B,B46,H:H,'סיווג התפקידים והעלויות'!$D$2)</f>
        <v>0</v>
      </c>
      <c r="AD46" s="374" t="str">
        <f>IF(OR(AND(H46='סיווג התפקידים והעלויות'!$A$2,I46='סיווג התפקידים והעלויות'!$A$3),'עלויות כח אדם (6)'!H46='סיווג התפקידים והעלויות'!$C$2,'עלויות כח אדם (6)'!H46='סיווג התפקידים והעלויות'!$D$2),IF('עלויות כח אדם (6)'!J46&lt;75,"לא תקין","תקין"),"")</f>
        <v/>
      </c>
      <c r="AE46" s="374" t="str">
        <f t="shared" si="9"/>
        <v/>
      </c>
      <c r="AF46" s="532" t="str">
        <f t="shared" si="10"/>
        <v/>
      </c>
    </row>
    <row r="47" spans="2:32" x14ac:dyDescent="0.25">
      <c r="B47" s="695"/>
      <c r="C47" s="197" t="str">
        <f>IF(B47&lt;&gt;"",IFERROR(VLOOKUP(B:B,'מצבת והרשמה (2)'!$C$20:$N$520,2,0)," ")," ")</f>
        <v xml:space="preserve"> </v>
      </c>
      <c r="D47" s="695"/>
      <c r="E47" s="696"/>
      <c r="F47" s="696"/>
      <c r="G47" s="696"/>
      <c r="H47" s="696"/>
      <c r="I47" s="1050" t="str">
        <f t="shared" si="16"/>
        <v/>
      </c>
      <c r="J47" s="696"/>
      <c r="K47" s="697"/>
      <c r="L47" s="696"/>
      <c r="M47" s="198" t="str">
        <f t="shared" si="15"/>
        <v/>
      </c>
      <c r="N47" s="369" t="str">
        <f t="shared" si="13"/>
        <v/>
      </c>
      <c r="O47" s="183" t="str">
        <f t="shared" si="0"/>
        <v/>
      </c>
      <c r="P47" s="199" t="str">
        <f t="shared" si="1"/>
        <v/>
      </c>
      <c r="Q47" s="199" t="str">
        <f>IF(B47="","",IFERROR(IF('עלויות כח אדם (6)'!J47&gt;=VLOOKUP(I47,'סיווג התפקידים והעלויות'!$B$23:$C$32,2,0),"תקין","לא תקין"),""))</f>
        <v/>
      </c>
      <c r="R47" s="199" t="str">
        <f t="shared" si="2"/>
        <v/>
      </c>
      <c r="S47" s="199" t="str">
        <f t="shared" si="3"/>
        <v/>
      </c>
      <c r="T47" s="199" t="str">
        <f t="shared" si="14"/>
        <v/>
      </c>
      <c r="U47" s="199" t="str">
        <f t="shared" si="4"/>
        <v/>
      </c>
      <c r="V47" s="989"/>
      <c r="X47" s="374" t="str">
        <f t="shared" si="5"/>
        <v/>
      </c>
      <c r="Y47" s="375" t="str">
        <f t="shared" si="6"/>
        <v/>
      </c>
      <c r="Z47" s="374" t="str">
        <f t="shared" si="7"/>
        <v/>
      </c>
      <c r="AA47" s="374" t="b">
        <f t="shared" si="8"/>
        <v>1</v>
      </c>
      <c r="AB47" s="374">
        <f>COUNTIFS(B:B,B47,H:H,'סיווג התפקידים והעלויות'!$C$2)</f>
        <v>0</v>
      </c>
      <c r="AC47" s="374">
        <f>COUNTIFS(B:B,B47,H:H,'סיווג התפקידים והעלויות'!$D$2)</f>
        <v>0</v>
      </c>
      <c r="AD47" s="374" t="str">
        <f>IF(OR(AND(H47='סיווג התפקידים והעלויות'!$A$2,I47='סיווג התפקידים והעלויות'!$A$3),'עלויות כח אדם (6)'!H47='סיווג התפקידים והעלויות'!$C$2,'עלויות כח אדם (6)'!H47='סיווג התפקידים והעלויות'!$D$2),IF('עלויות כח אדם (6)'!J47&lt;75,"לא תקין","תקין"),"")</f>
        <v/>
      </c>
      <c r="AE47" s="374" t="str">
        <f t="shared" si="9"/>
        <v/>
      </c>
      <c r="AF47" s="532" t="str">
        <f t="shared" si="10"/>
        <v/>
      </c>
    </row>
    <row r="48" spans="2:32" x14ac:dyDescent="0.25">
      <c r="B48" s="695"/>
      <c r="C48" s="197" t="str">
        <f>IF(B48&lt;&gt;"",IFERROR(VLOOKUP(B:B,'מצבת והרשמה (2)'!$C$20:$N$520,2,0)," ")," ")</f>
        <v xml:space="preserve"> </v>
      </c>
      <c r="D48" s="695"/>
      <c r="E48" s="696"/>
      <c r="F48" s="696"/>
      <c r="G48" s="696"/>
      <c r="H48" s="696"/>
      <c r="I48" s="1050" t="str">
        <f t="shared" si="16"/>
        <v/>
      </c>
      <c r="J48" s="696"/>
      <c r="K48" s="697"/>
      <c r="L48" s="696"/>
      <c r="M48" s="198" t="str">
        <f t="shared" si="15"/>
        <v/>
      </c>
      <c r="N48" s="369" t="str">
        <f t="shared" si="13"/>
        <v/>
      </c>
      <c r="O48" s="183" t="str">
        <f t="shared" si="0"/>
        <v/>
      </c>
      <c r="P48" s="199" t="str">
        <f t="shared" si="1"/>
        <v/>
      </c>
      <c r="Q48" s="199" t="str">
        <f>IF(B48="","",IFERROR(IF('עלויות כח אדם (6)'!J48&gt;=VLOOKUP(I48,'סיווג התפקידים והעלויות'!$B$23:$C$32,2,0),"תקין","לא תקין"),""))</f>
        <v/>
      </c>
      <c r="R48" s="199" t="str">
        <f t="shared" si="2"/>
        <v/>
      </c>
      <c r="S48" s="199" t="str">
        <f t="shared" si="3"/>
        <v/>
      </c>
      <c r="T48" s="199" t="str">
        <f t="shared" si="14"/>
        <v/>
      </c>
      <c r="U48" s="199" t="str">
        <f t="shared" si="4"/>
        <v/>
      </c>
      <c r="V48" s="989"/>
      <c r="X48" s="374" t="str">
        <f t="shared" si="5"/>
        <v/>
      </c>
      <c r="Y48" s="375" t="str">
        <f t="shared" si="6"/>
        <v/>
      </c>
      <c r="Z48" s="374" t="str">
        <f t="shared" si="7"/>
        <v/>
      </c>
      <c r="AA48" s="374" t="b">
        <f t="shared" si="8"/>
        <v>1</v>
      </c>
      <c r="AB48" s="374">
        <f>COUNTIFS(B:B,B48,H:H,'סיווג התפקידים והעלויות'!$C$2)</f>
        <v>0</v>
      </c>
      <c r="AC48" s="374">
        <f>COUNTIFS(B:B,B48,H:H,'סיווג התפקידים והעלויות'!$D$2)</f>
        <v>0</v>
      </c>
      <c r="AD48" s="374" t="str">
        <f>IF(OR(AND(H48='סיווג התפקידים והעלויות'!$A$2,I48='סיווג התפקידים והעלויות'!$A$3),'עלויות כח אדם (6)'!H48='סיווג התפקידים והעלויות'!$C$2,'עלויות כח אדם (6)'!H48='סיווג התפקידים והעלויות'!$D$2),IF('עלויות כח אדם (6)'!J48&lt;75,"לא תקין","תקין"),"")</f>
        <v/>
      </c>
      <c r="AE48" s="374" t="str">
        <f t="shared" si="9"/>
        <v/>
      </c>
      <c r="AF48" s="532" t="str">
        <f t="shared" si="10"/>
        <v/>
      </c>
    </row>
    <row r="49" spans="2:32" x14ac:dyDescent="0.25">
      <c r="B49" s="695"/>
      <c r="C49" s="197" t="str">
        <f>IF(B49&lt;&gt;"",IFERROR(VLOOKUP(B:B,'מצבת והרשמה (2)'!$C$20:$N$520,2,0)," ")," ")</f>
        <v xml:space="preserve"> </v>
      </c>
      <c r="D49" s="695"/>
      <c r="E49" s="696"/>
      <c r="F49" s="696"/>
      <c r="G49" s="696"/>
      <c r="H49" s="696"/>
      <c r="I49" s="1050" t="str">
        <f t="shared" si="16"/>
        <v/>
      </c>
      <c r="J49" s="696"/>
      <c r="K49" s="697"/>
      <c r="L49" s="696"/>
      <c r="M49" s="198" t="str">
        <f t="shared" si="15"/>
        <v/>
      </c>
      <c r="N49" s="369" t="str">
        <f t="shared" si="13"/>
        <v/>
      </c>
      <c r="O49" s="183" t="str">
        <f t="shared" si="0"/>
        <v/>
      </c>
      <c r="P49" s="199" t="str">
        <f t="shared" si="1"/>
        <v/>
      </c>
      <c r="Q49" s="199" t="str">
        <f>IF(B49="","",IFERROR(IF('עלויות כח אדם (6)'!J49&gt;=VLOOKUP(I49,'סיווג התפקידים והעלויות'!$B$23:$C$32,2,0),"תקין","לא תקין"),""))</f>
        <v/>
      </c>
      <c r="R49" s="199" t="str">
        <f t="shared" si="2"/>
        <v/>
      </c>
      <c r="S49" s="199" t="str">
        <f t="shared" si="3"/>
        <v/>
      </c>
      <c r="T49" s="199" t="str">
        <f t="shared" si="14"/>
        <v/>
      </c>
      <c r="U49" s="199" t="str">
        <f t="shared" si="4"/>
        <v/>
      </c>
      <c r="V49" s="989"/>
      <c r="X49" s="374" t="str">
        <f t="shared" si="5"/>
        <v/>
      </c>
      <c r="Y49" s="375" t="str">
        <f t="shared" si="6"/>
        <v/>
      </c>
      <c r="Z49" s="374" t="str">
        <f t="shared" si="7"/>
        <v/>
      </c>
      <c r="AA49" s="374" t="b">
        <f t="shared" si="8"/>
        <v>1</v>
      </c>
      <c r="AB49" s="374">
        <f>COUNTIFS(B:B,B49,H:H,'סיווג התפקידים והעלויות'!$C$2)</f>
        <v>0</v>
      </c>
      <c r="AC49" s="374">
        <f>COUNTIFS(B:B,B49,H:H,'סיווג התפקידים והעלויות'!$D$2)</f>
        <v>0</v>
      </c>
      <c r="AD49" s="374" t="str">
        <f>IF(OR(AND(H49='סיווג התפקידים והעלויות'!$A$2,I49='סיווג התפקידים והעלויות'!$A$3),'עלויות כח אדם (6)'!H49='סיווג התפקידים והעלויות'!$C$2,'עלויות כח אדם (6)'!H49='סיווג התפקידים והעלויות'!$D$2),IF('עלויות כח אדם (6)'!J49&lt;75,"לא תקין","תקין"),"")</f>
        <v/>
      </c>
      <c r="AE49" s="374" t="str">
        <f t="shared" si="9"/>
        <v/>
      </c>
      <c r="AF49" s="532" t="str">
        <f t="shared" si="10"/>
        <v/>
      </c>
    </row>
    <row r="50" spans="2:32" x14ac:dyDescent="0.25">
      <c r="B50" s="695"/>
      <c r="C50" s="197" t="str">
        <f>IF(B50&lt;&gt;"",IFERROR(VLOOKUP(B:B,'מצבת והרשמה (2)'!$C$20:$N$520,2,0)," ")," ")</f>
        <v xml:space="preserve"> </v>
      </c>
      <c r="D50" s="695"/>
      <c r="E50" s="696"/>
      <c r="F50" s="696"/>
      <c r="G50" s="696"/>
      <c r="H50" s="696"/>
      <c r="I50" s="1050" t="str">
        <f t="shared" si="16"/>
        <v/>
      </c>
      <c r="J50" s="696"/>
      <c r="K50" s="697"/>
      <c r="L50" s="696"/>
      <c r="M50" s="198" t="str">
        <f t="shared" si="15"/>
        <v/>
      </c>
      <c r="N50" s="369" t="str">
        <f t="shared" si="13"/>
        <v/>
      </c>
      <c r="O50" s="183" t="str">
        <f t="shared" si="0"/>
        <v/>
      </c>
      <c r="P50" s="199" t="str">
        <f t="shared" si="1"/>
        <v/>
      </c>
      <c r="Q50" s="199" t="str">
        <f>IF(B50="","",IFERROR(IF('עלויות כח אדם (6)'!J50&gt;=VLOOKUP(I50,'סיווג התפקידים והעלויות'!$B$23:$C$32,2,0),"תקין","לא תקין"),""))</f>
        <v/>
      </c>
      <c r="R50" s="199" t="str">
        <f t="shared" si="2"/>
        <v/>
      </c>
      <c r="S50" s="199" t="str">
        <f t="shared" si="3"/>
        <v/>
      </c>
      <c r="T50" s="199" t="str">
        <f t="shared" si="14"/>
        <v/>
      </c>
      <c r="U50" s="199" t="str">
        <f t="shared" si="4"/>
        <v/>
      </c>
      <c r="V50" s="989"/>
      <c r="X50" s="374" t="str">
        <f t="shared" si="5"/>
        <v/>
      </c>
      <c r="Y50" s="375" t="str">
        <f t="shared" si="6"/>
        <v/>
      </c>
      <c r="Z50" s="374" t="str">
        <f t="shared" si="7"/>
        <v/>
      </c>
      <c r="AA50" s="374" t="b">
        <f t="shared" si="8"/>
        <v>1</v>
      </c>
      <c r="AB50" s="374">
        <f>COUNTIFS(B:B,B50,H:H,'סיווג התפקידים והעלויות'!$C$2)</f>
        <v>0</v>
      </c>
      <c r="AC50" s="374">
        <f>COUNTIFS(B:B,B50,H:H,'סיווג התפקידים והעלויות'!$D$2)</f>
        <v>0</v>
      </c>
      <c r="AD50" s="374" t="str">
        <f>IF(OR(AND(H50='סיווג התפקידים והעלויות'!$A$2,I50='סיווג התפקידים והעלויות'!$A$3),'עלויות כח אדם (6)'!H50='סיווג התפקידים והעלויות'!$C$2,'עלויות כח אדם (6)'!H50='סיווג התפקידים והעלויות'!$D$2),IF('עלויות כח אדם (6)'!J50&lt;75,"לא תקין","תקין"),"")</f>
        <v/>
      </c>
      <c r="AE50" s="374" t="str">
        <f t="shared" si="9"/>
        <v/>
      </c>
      <c r="AF50" s="532" t="str">
        <f t="shared" si="10"/>
        <v/>
      </c>
    </row>
    <row r="51" spans="2:32" x14ac:dyDescent="0.25">
      <c r="B51" s="695"/>
      <c r="C51" s="197" t="str">
        <f>IF(B51&lt;&gt;"",IFERROR(VLOOKUP(B:B,'מצבת והרשמה (2)'!$C$20:$N$520,2,0)," ")," ")</f>
        <v xml:space="preserve"> </v>
      </c>
      <c r="D51" s="695"/>
      <c r="E51" s="696"/>
      <c r="F51" s="696"/>
      <c r="G51" s="696"/>
      <c r="H51" s="696"/>
      <c r="I51" s="1050" t="str">
        <f t="shared" si="16"/>
        <v/>
      </c>
      <c r="J51" s="696"/>
      <c r="K51" s="697"/>
      <c r="L51" s="696"/>
      <c r="M51" s="198" t="str">
        <f t="shared" si="15"/>
        <v/>
      </c>
      <c r="N51" s="369" t="str">
        <f t="shared" si="13"/>
        <v/>
      </c>
      <c r="O51" s="183" t="str">
        <f t="shared" si="0"/>
        <v/>
      </c>
      <c r="P51" s="199" t="str">
        <f t="shared" si="1"/>
        <v/>
      </c>
      <c r="Q51" s="199" t="str">
        <f>IF(B51="","",IFERROR(IF('עלויות כח אדם (6)'!J51&gt;=VLOOKUP(I51,'סיווג התפקידים והעלויות'!$B$23:$C$32,2,0),"תקין","לא תקין"),""))</f>
        <v/>
      </c>
      <c r="R51" s="199" t="str">
        <f t="shared" si="2"/>
        <v/>
      </c>
      <c r="S51" s="199" t="str">
        <f t="shared" si="3"/>
        <v/>
      </c>
      <c r="T51" s="199" t="str">
        <f t="shared" si="14"/>
        <v/>
      </c>
      <c r="U51" s="199" t="str">
        <f t="shared" si="4"/>
        <v/>
      </c>
      <c r="V51" s="989"/>
      <c r="X51" s="374" t="str">
        <f t="shared" si="5"/>
        <v/>
      </c>
      <c r="Y51" s="375" t="str">
        <f t="shared" si="6"/>
        <v/>
      </c>
      <c r="Z51" s="374" t="str">
        <f t="shared" si="7"/>
        <v/>
      </c>
      <c r="AA51" s="374" t="b">
        <f t="shared" si="8"/>
        <v>1</v>
      </c>
      <c r="AB51" s="374">
        <f>COUNTIFS(B:B,B51,H:H,'סיווג התפקידים והעלויות'!$C$2)</f>
        <v>0</v>
      </c>
      <c r="AC51" s="374">
        <f>COUNTIFS(B:B,B51,H:H,'סיווג התפקידים והעלויות'!$D$2)</f>
        <v>0</v>
      </c>
      <c r="AD51" s="374" t="str">
        <f>IF(OR(AND(H51='סיווג התפקידים והעלויות'!$A$2,I51='סיווג התפקידים והעלויות'!$A$3),'עלויות כח אדם (6)'!H51='סיווג התפקידים והעלויות'!$C$2,'עלויות כח אדם (6)'!H51='סיווג התפקידים והעלויות'!$D$2),IF('עלויות כח אדם (6)'!J51&lt;75,"לא תקין","תקין"),"")</f>
        <v/>
      </c>
      <c r="AE51" s="374" t="str">
        <f t="shared" si="9"/>
        <v/>
      </c>
      <c r="AF51" s="532" t="str">
        <f t="shared" si="10"/>
        <v/>
      </c>
    </row>
    <row r="52" spans="2:32" x14ac:dyDescent="0.25">
      <c r="B52" s="695"/>
      <c r="C52" s="197" t="str">
        <f>IF(B52&lt;&gt;"",IFERROR(VLOOKUP(B:B,'מצבת והרשמה (2)'!$C$20:$N$520,2,0)," ")," ")</f>
        <v xml:space="preserve"> </v>
      </c>
      <c r="D52" s="695"/>
      <c r="E52" s="696"/>
      <c r="F52" s="696"/>
      <c r="G52" s="696"/>
      <c r="H52" s="696"/>
      <c r="I52" s="1050" t="str">
        <f t="shared" si="16"/>
        <v/>
      </c>
      <c r="J52" s="696"/>
      <c r="K52" s="697"/>
      <c r="L52" s="696"/>
      <c r="M52" s="198" t="str">
        <f t="shared" si="15"/>
        <v/>
      </c>
      <c r="N52" s="369" t="str">
        <f t="shared" si="13"/>
        <v/>
      </c>
      <c r="O52" s="183" t="str">
        <f t="shared" si="0"/>
        <v/>
      </c>
      <c r="P52" s="199" t="str">
        <f t="shared" si="1"/>
        <v/>
      </c>
      <c r="Q52" s="199" t="str">
        <f>IF(B52="","",IFERROR(IF('עלויות כח אדם (6)'!J52&gt;=VLOOKUP(I52,'סיווג התפקידים והעלויות'!$B$23:$C$32,2,0),"תקין","לא תקין"),""))</f>
        <v/>
      </c>
      <c r="R52" s="199" t="str">
        <f t="shared" si="2"/>
        <v/>
      </c>
      <c r="S52" s="199" t="str">
        <f t="shared" si="3"/>
        <v/>
      </c>
      <c r="T52" s="199" t="str">
        <f t="shared" si="14"/>
        <v/>
      </c>
      <c r="U52" s="199" t="str">
        <f t="shared" si="4"/>
        <v/>
      </c>
      <c r="V52" s="989"/>
      <c r="X52" s="374" t="str">
        <f t="shared" si="5"/>
        <v/>
      </c>
      <c r="Y52" s="375" t="str">
        <f t="shared" si="6"/>
        <v/>
      </c>
      <c r="Z52" s="374" t="str">
        <f t="shared" si="7"/>
        <v/>
      </c>
      <c r="AA52" s="374" t="b">
        <f t="shared" si="8"/>
        <v>1</v>
      </c>
      <c r="AB52" s="374">
        <f>COUNTIFS(B:B,B52,H:H,'סיווג התפקידים והעלויות'!$C$2)</f>
        <v>0</v>
      </c>
      <c r="AC52" s="374">
        <f>COUNTIFS(B:B,B52,H:H,'סיווג התפקידים והעלויות'!$D$2)</f>
        <v>0</v>
      </c>
      <c r="AD52" s="374" t="str">
        <f>IF(OR(AND(H52='סיווג התפקידים והעלויות'!$A$2,I52='סיווג התפקידים והעלויות'!$A$3),'עלויות כח אדם (6)'!H52='סיווג התפקידים והעלויות'!$C$2,'עלויות כח אדם (6)'!H52='סיווג התפקידים והעלויות'!$D$2),IF('עלויות כח אדם (6)'!J52&lt;75,"לא תקין","תקין"),"")</f>
        <v/>
      </c>
      <c r="AE52" s="374" t="str">
        <f t="shared" si="9"/>
        <v/>
      </c>
      <c r="AF52" s="532" t="str">
        <f t="shared" si="10"/>
        <v/>
      </c>
    </row>
    <row r="53" spans="2:32" x14ac:dyDescent="0.25">
      <c r="B53" s="695"/>
      <c r="C53" s="197" t="str">
        <f>IF(B53&lt;&gt;"",IFERROR(VLOOKUP(B:B,'מצבת והרשמה (2)'!$C$20:$N$520,2,0)," ")," ")</f>
        <v xml:space="preserve"> </v>
      </c>
      <c r="D53" s="695"/>
      <c r="E53" s="696"/>
      <c r="F53" s="696"/>
      <c r="G53" s="696"/>
      <c r="H53" s="696"/>
      <c r="I53" s="1050" t="str">
        <f t="shared" si="16"/>
        <v/>
      </c>
      <c r="J53" s="696"/>
      <c r="K53" s="697"/>
      <c r="L53" s="696"/>
      <c r="M53" s="198" t="str">
        <f t="shared" si="15"/>
        <v/>
      </c>
      <c r="N53" s="369" t="str">
        <f t="shared" si="13"/>
        <v/>
      </c>
      <c r="O53" s="183" t="str">
        <f t="shared" si="0"/>
        <v/>
      </c>
      <c r="P53" s="199" t="str">
        <f t="shared" si="1"/>
        <v/>
      </c>
      <c r="Q53" s="199" t="str">
        <f>IF(B53="","",IFERROR(IF('עלויות כח אדם (6)'!J53&gt;=VLOOKUP(I53,'סיווג התפקידים והעלויות'!$B$23:$C$32,2,0),"תקין","לא תקין"),""))</f>
        <v/>
      </c>
      <c r="R53" s="199" t="str">
        <f t="shared" si="2"/>
        <v/>
      </c>
      <c r="S53" s="199" t="str">
        <f t="shared" si="3"/>
        <v/>
      </c>
      <c r="T53" s="199" t="str">
        <f t="shared" si="14"/>
        <v/>
      </c>
      <c r="U53" s="199" t="str">
        <f t="shared" si="4"/>
        <v/>
      </c>
      <c r="V53" s="989"/>
      <c r="X53" s="374" t="str">
        <f t="shared" si="5"/>
        <v/>
      </c>
      <c r="Y53" s="375" t="str">
        <f t="shared" si="6"/>
        <v/>
      </c>
      <c r="Z53" s="374" t="str">
        <f t="shared" si="7"/>
        <v/>
      </c>
      <c r="AA53" s="374" t="b">
        <f t="shared" si="8"/>
        <v>1</v>
      </c>
      <c r="AB53" s="374">
        <f>COUNTIFS(B:B,B53,H:H,'סיווג התפקידים והעלויות'!$C$2)</f>
        <v>0</v>
      </c>
      <c r="AC53" s="374">
        <f>COUNTIFS(B:B,B53,H:H,'סיווג התפקידים והעלויות'!$D$2)</f>
        <v>0</v>
      </c>
      <c r="AD53" s="374" t="str">
        <f>IF(OR(AND(H53='סיווג התפקידים והעלויות'!$A$2,I53='סיווג התפקידים והעלויות'!$A$3),'עלויות כח אדם (6)'!H53='סיווג התפקידים והעלויות'!$C$2,'עלויות כח אדם (6)'!H53='סיווג התפקידים והעלויות'!$D$2),IF('עלויות כח אדם (6)'!J53&lt;75,"לא תקין","תקין"),"")</f>
        <v/>
      </c>
      <c r="AE53" s="374" t="str">
        <f t="shared" si="9"/>
        <v/>
      </c>
      <c r="AF53" s="532" t="str">
        <f t="shared" si="10"/>
        <v/>
      </c>
    </row>
    <row r="54" spans="2:32" x14ac:dyDescent="0.25">
      <c r="B54" s="695"/>
      <c r="C54" s="197" t="str">
        <f>IF(B54&lt;&gt;"",IFERROR(VLOOKUP(B:B,'מצבת והרשמה (2)'!$C$20:$N$520,2,0)," ")," ")</f>
        <v xml:space="preserve"> </v>
      </c>
      <c r="D54" s="695"/>
      <c r="E54" s="696"/>
      <c r="F54" s="696"/>
      <c r="G54" s="696"/>
      <c r="H54" s="696"/>
      <c r="I54" s="1050" t="str">
        <f t="shared" si="16"/>
        <v/>
      </c>
      <c r="J54" s="696"/>
      <c r="K54" s="697"/>
      <c r="L54" s="696"/>
      <c r="M54" s="198" t="str">
        <f t="shared" si="15"/>
        <v/>
      </c>
      <c r="N54" s="369" t="str">
        <f t="shared" si="13"/>
        <v/>
      </c>
      <c r="O54" s="183" t="str">
        <f t="shared" si="0"/>
        <v/>
      </c>
      <c r="P54" s="199" t="str">
        <f t="shared" si="1"/>
        <v/>
      </c>
      <c r="Q54" s="199" t="str">
        <f>IF(B54="","",IFERROR(IF('עלויות כח אדם (6)'!J54&gt;=VLOOKUP(I54,'סיווג התפקידים והעלויות'!$B$23:$C$32,2,0),"תקין","לא תקין"),""))</f>
        <v/>
      </c>
      <c r="R54" s="199" t="str">
        <f t="shared" si="2"/>
        <v/>
      </c>
      <c r="S54" s="199" t="str">
        <f t="shared" si="3"/>
        <v/>
      </c>
      <c r="T54" s="199" t="str">
        <f t="shared" si="14"/>
        <v/>
      </c>
      <c r="U54" s="199" t="str">
        <f t="shared" si="4"/>
        <v/>
      </c>
      <c r="V54" s="989"/>
      <c r="X54" s="374" t="str">
        <f t="shared" si="5"/>
        <v/>
      </c>
      <c r="Y54" s="375" t="str">
        <f t="shared" si="6"/>
        <v/>
      </c>
      <c r="Z54" s="374" t="str">
        <f t="shared" si="7"/>
        <v/>
      </c>
      <c r="AA54" s="374" t="b">
        <f t="shared" si="8"/>
        <v>1</v>
      </c>
      <c r="AB54" s="374">
        <f>COUNTIFS(B:B,B54,H:H,'סיווג התפקידים והעלויות'!$C$2)</f>
        <v>0</v>
      </c>
      <c r="AC54" s="374">
        <f>COUNTIFS(B:B,B54,H:H,'סיווג התפקידים והעלויות'!$D$2)</f>
        <v>0</v>
      </c>
      <c r="AD54" s="374" t="str">
        <f>IF(OR(AND(H54='סיווג התפקידים והעלויות'!$A$2,I54='סיווג התפקידים והעלויות'!$A$3),'עלויות כח אדם (6)'!H54='סיווג התפקידים והעלויות'!$C$2,'עלויות כח אדם (6)'!H54='סיווג התפקידים והעלויות'!$D$2),IF('עלויות כח אדם (6)'!J54&lt;75,"לא תקין","תקין"),"")</f>
        <v/>
      </c>
      <c r="AE54" s="374" t="str">
        <f t="shared" si="9"/>
        <v/>
      </c>
      <c r="AF54" s="532" t="str">
        <f t="shared" si="10"/>
        <v/>
      </c>
    </row>
    <row r="55" spans="2:32" x14ac:dyDescent="0.25">
      <c r="B55" s="695"/>
      <c r="C55" s="197" t="str">
        <f>IF(B55&lt;&gt;"",IFERROR(VLOOKUP(B:B,'מצבת והרשמה (2)'!$C$20:$N$520,2,0)," ")," ")</f>
        <v xml:space="preserve"> </v>
      </c>
      <c r="D55" s="695"/>
      <c r="E55" s="696"/>
      <c r="F55" s="696"/>
      <c r="G55" s="696"/>
      <c r="H55" s="696"/>
      <c r="I55" s="1050" t="str">
        <f t="shared" si="16"/>
        <v/>
      </c>
      <c r="J55" s="696"/>
      <c r="K55" s="697"/>
      <c r="L55" s="696"/>
      <c r="M55" s="198" t="str">
        <f t="shared" si="15"/>
        <v/>
      </c>
      <c r="N55" s="369" t="str">
        <f t="shared" si="13"/>
        <v/>
      </c>
      <c r="O55" s="183" t="str">
        <f t="shared" si="0"/>
        <v/>
      </c>
      <c r="P55" s="199" t="str">
        <f t="shared" si="1"/>
        <v/>
      </c>
      <c r="Q55" s="199" t="str">
        <f>IF(B55="","",IFERROR(IF('עלויות כח אדם (6)'!J55&gt;=VLOOKUP(I55,'סיווג התפקידים והעלויות'!$B$23:$C$32,2,0),"תקין","לא תקין"),""))</f>
        <v/>
      </c>
      <c r="R55" s="199" t="str">
        <f t="shared" si="2"/>
        <v/>
      </c>
      <c r="S55" s="199" t="str">
        <f t="shared" si="3"/>
        <v/>
      </c>
      <c r="T55" s="199" t="str">
        <f t="shared" si="14"/>
        <v/>
      </c>
      <c r="U55" s="199" t="str">
        <f t="shared" si="4"/>
        <v/>
      </c>
      <c r="V55" s="989"/>
      <c r="X55" s="374" t="str">
        <f t="shared" si="5"/>
        <v/>
      </c>
      <c r="Y55" s="375" t="str">
        <f t="shared" si="6"/>
        <v/>
      </c>
      <c r="Z55" s="374" t="str">
        <f t="shared" si="7"/>
        <v/>
      </c>
      <c r="AA55" s="374" t="b">
        <f t="shared" si="8"/>
        <v>1</v>
      </c>
      <c r="AB55" s="374">
        <f>COUNTIFS(B:B,B55,H:H,'סיווג התפקידים והעלויות'!$C$2)</f>
        <v>0</v>
      </c>
      <c r="AC55" s="374">
        <f>COUNTIFS(B:B,B55,H:H,'סיווג התפקידים והעלויות'!$D$2)</f>
        <v>0</v>
      </c>
      <c r="AD55" s="374" t="str">
        <f>IF(OR(AND(H55='סיווג התפקידים והעלויות'!$A$2,I55='סיווג התפקידים והעלויות'!$A$3),'עלויות כח אדם (6)'!H55='סיווג התפקידים והעלויות'!$C$2,'עלויות כח אדם (6)'!H55='סיווג התפקידים והעלויות'!$D$2),IF('עלויות כח אדם (6)'!J55&lt;75,"לא תקין","תקין"),"")</f>
        <v/>
      </c>
      <c r="AE55" s="374" t="str">
        <f t="shared" si="9"/>
        <v/>
      </c>
      <c r="AF55" s="532" t="str">
        <f t="shared" si="10"/>
        <v/>
      </c>
    </row>
    <row r="56" spans="2:32" x14ac:dyDescent="0.25">
      <c r="B56" s="695"/>
      <c r="C56" s="197" t="str">
        <f>IF(B56&lt;&gt;"",IFERROR(VLOOKUP(B:B,'מצבת והרשמה (2)'!$C$20:$N$520,2,0)," ")," ")</f>
        <v xml:space="preserve"> </v>
      </c>
      <c r="D56" s="695"/>
      <c r="E56" s="696"/>
      <c r="F56" s="696"/>
      <c r="G56" s="696"/>
      <c r="H56" s="696"/>
      <c r="I56" s="1050" t="str">
        <f t="shared" si="16"/>
        <v/>
      </c>
      <c r="J56" s="696"/>
      <c r="K56" s="697"/>
      <c r="L56" s="696"/>
      <c r="M56" s="198" t="str">
        <f t="shared" si="15"/>
        <v/>
      </c>
      <c r="N56" s="369" t="str">
        <f t="shared" si="13"/>
        <v/>
      </c>
      <c r="O56" s="183" t="str">
        <f t="shared" si="0"/>
        <v/>
      </c>
      <c r="P56" s="199" t="str">
        <f t="shared" si="1"/>
        <v/>
      </c>
      <c r="Q56" s="199" t="str">
        <f>IF(B56="","",IFERROR(IF('עלויות כח אדם (6)'!J56&gt;=VLOOKUP(I56,'סיווג התפקידים והעלויות'!$B$23:$C$32,2,0),"תקין","לא תקין"),""))</f>
        <v/>
      </c>
      <c r="R56" s="199" t="str">
        <f t="shared" si="2"/>
        <v/>
      </c>
      <c r="S56" s="199" t="str">
        <f t="shared" si="3"/>
        <v/>
      </c>
      <c r="T56" s="199" t="str">
        <f t="shared" si="14"/>
        <v/>
      </c>
      <c r="U56" s="199" t="str">
        <f t="shared" si="4"/>
        <v/>
      </c>
      <c r="V56" s="989"/>
      <c r="X56" s="374" t="str">
        <f t="shared" si="5"/>
        <v/>
      </c>
      <c r="Y56" s="375" t="str">
        <f t="shared" si="6"/>
        <v/>
      </c>
      <c r="Z56" s="374" t="str">
        <f t="shared" si="7"/>
        <v/>
      </c>
      <c r="AA56" s="374" t="b">
        <f t="shared" si="8"/>
        <v>1</v>
      </c>
      <c r="AB56" s="374">
        <f>COUNTIFS(B:B,B56,H:H,'סיווג התפקידים והעלויות'!$C$2)</f>
        <v>0</v>
      </c>
      <c r="AC56" s="374">
        <f>COUNTIFS(B:B,B56,H:H,'סיווג התפקידים והעלויות'!$D$2)</f>
        <v>0</v>
      </c>
      <c r="AD56" s="374" t="str">
        <f>IF(OR(AND(H56='סיווג התפקידים והעלויות'!$A$2,I56='סיווג התפקידים והעלויות'!$A$3),'עלויות כח אדם (6)'!H56='סיווג התפקידים והעלויות'!$C$2,'עלויות כח אדם (6)'!H56='סיווג התפקידים והעלויות'!$D$2),IF('עלויות כח אדם (6)'!J56&lt;75,"לא תקין","תקין"),"")</f>
        <v/>
      </c>
      <c r="AE56" s="374" t="str">
        <f t="shared" si="9"/>
        <v/>
      </c>
      <c r="AF56" s="532" t="str">
        <f t="shared" si="10"/>
        <v/>
      </c>
    </row>
    <row r="57" spans="2:32" x14ac:dyDescent="0.25">
      <c r="B57" s="695"/>
      <c r="C57" s="197" t="str">
        <f>IF(B57&lt;&gt;"",IFERROR(VLOOKUP(B:B,'מצבת והרשמה (2)'!$C$20:$N$520,2,0)," ")," ")</f>
        <v xml:space="preserve"> </v>
      </c>
      <c r="D57" s="695"/>
      <c r="E57" s="696"/>
      <c r="F57" s="696"/>
      <c r="G57" s="696"/>
      <c r="H57" s="696"/>
      <c r="I57" s="1050" t="str">
        <f t="shared" si="16"/>
        <v/>
      </c>
      <c r="J57" s="696"/>
      <c r="K57" s="697"/>
      <c r="L57" s="696"/>
      <c r="M57" s="198" t="str">
        <f t="shared" si="15"/>
        <v/>
      </c>
      <c r="N57" s="369" t="str">
        <f t="shared" si="13"/>
        <v/>
      </c>
      <c r="O57" s="183" t="str">
        <f t="shared" si="0"/>
        <v/>
      </c>
      <c r="P57" s="199" t="str">
        <f t="shared" si="1"/>
        <v/>
      </c>
      <c r="Q57" s="199" t="str">
        <f>IF(B57="","",IFERROR(IF('עלויות כח אדם (6)'!J57&gt;=VLOOKUP(I57,'סיווג התפקידים והעלויות'!$B$23:$C$32,2,0),"תקין","לא תקין"),""))</f>
        <v/>
      </c>
      <c r="R57" s="199" t="str">
        <f t="shared" si="2"/>
        <v/>
      </c>
      <c r="S57" s="199" t="str">
        <f t="shared" si="3"/>
        <v/>
      </c>
      <c r="T57" s="199" t="str">
        <f t="shared" si="14"/>
        <v/>
      </c>
      <c r="U57" s="199" t="str">
        <f t="shared" si="4"/>
        <v/>
      </c>
      <c r="V57" s="989"/>
      <c r="X57" s="374" t="str">
        <f t="shared" si="5"/>
        <v/>
      </c>
      <c r="Y57" s="375" t="str">
        <f t="shared" si="6"/>
        <v/>
      </c>
      <c r="Z57" s="374" t="str">
        <f t="shared" si="7"/>
        <v/>
      </c>
      <c r="AA57" s="374" t="b">
        <f t="shared" si="8"/>
        <v>1</v>
      </c>
      <c r="AB57" s="374">
        <f>COUNTIFS(B:B,B57,H:H,'סיווג התפקידים והעלויות'!$C$2)</f>
        <v>0</v>
      </c>
      <c r="AC57" s="374">
        <f>COUNTIFS(B:B,B57,H:H,'סיווג התפקידים והעלויות'!$D$2)</f>
        <v>0</v>
      </c>
      <c r="AD57" s="374" t="str">
        <f>IF(OR(AND(H57='סיווג התפקידים והעלויות'!$A$2,I57='סיווג התפקידים והעלויות'!$A$3),'עלויות כח אדם (6)'!H57='סיווג התפקידים והעלויות'!$C$2,'עלויות כח אדם (6)'!H57='סיווג התפקידים והעלויות'!$D$2),IF('עלויות כח אדם (6)'!J57&lt;75,"לא תקין","תקין"),"")</f>
        <v/>
      </c>
      <c r="AE57" s="374" t="str">
        <f t="shared" si="9"/>
        <v/>
      </c>
      <c r="AF57" s="532" t="str">
        <f t="shared" si="10"/>
        <v/>
      </c>
    </row>
    <row r="58" spans="2:32" x14ac:dyDescent="0.25">
      <c r="B58" s="695"/>
      <c r="C58" s="197" t="str">
        <f>IF(B58&lt;&gt;"",IFERROR(VLOOKUP(B:B,'מצבת והרשמה (2)'!$C$20:$N$520,2,0)," ")," ")</f>
        <v xml:space="preserve"> </v>
      </c>
      <c r="D58" s="695"/>
      <c r="E58" s="696"/>
      <c r="F58" s="696"/>
      <c r="G58" s="696"/>
      <c r="H58" s="696"/>
      <c r="I58" s="1050" t="str">
        <f t="shared" si="16"/>
        <v/>
      </c>
      <c r="J58" s="696"/>
      <c r="K58" s="697"/>
      <c r="L58" s="696"/>
      <c r="M58" s="198" t="str">
        <f t="shared" si="15"/>
        <v/>
      </c>
      <c r="N58" s="369" t="str">
        <f t="shared" si="13"/>
        <v/>
      </c>
      <c r="O58" s="183" t="str">
        <f t="shared" si="0"/>
        <v/>
      </c>
      <c r="P58" s="199" t="str">
        <f t="shared" si="1"/>
        <v/>
      </c>
      <c r="Q58" s="199" t="str">
        <f>IF(B58="","",IFERROR(IF('עלויות כח אדם (6)'!J58&gt;=VLOOKUP(I58,'סיווג התפקידים והעלויות'!$B$23:$C$32,2,0),"תקין","לא תקין"),""))</f>
        <v/>
      </c>
      <c r="R58" s="199" t="str">
        <f t="shared" si="2"/>
        <v/>
      </c>
      <c r="S58" s="199" t="str">
        <f t="shared" si="3"/>
        <v/>
      </c>
      <c r="T58" s="199" t="str">
        <f t="shared" si="14"/>
        <v/>
      </c>
      <c r="U58" s="199" t="str">
        <f t="shared" si="4"/>
        <v/>
      </c>
      <c r="V58" s="989"/>
      <c r="X58" s="374" t="str">
        <f t="shared" si="5"/>
        <v/>
      </c>
      <c r="Y58" s="375" t="str">
        <f t="shared" si="6"/>
        <v/>
      </c>
      <c r="Z58" s="374" t="str">
        <f t="shared" si="7"/>
        <v/>
      </c>
      <c r="AA58" s="374" t="b">
        <f t="shared" si="8"/>
        <v>1</v>
      </c>
      <c r="AB58" s="374">
        <f>COUNTIFS(B:B,B58,H:H,'סיווג התפקידים והעלויות'!$C$2)</f>
        <v>0</v>
      </c>
      <c r="AC58" s="374">
        <f>COUNTIFS(B:B,B58,H:H,'סיווג התפקידים והעלויות'!$D$2)</f>
        <v>0</v>
      </c>
      <c r="AD58" s="374" t="str">
        <f>IF(OR(AND(H58='סיווג התפקידים והעלויות'!$A$2,I58='סיווג התפקידים והעלויות'!$A$3),'עלויות כח אדם (6)'!H58='סיווג התפקידים והעלויות'!$C$2,'עלויות כח אדם (6)'!H58='סיווג התפקידים והעלויות'!$D$2),IF('עלויות כח אדם (6)'!J58&lt;75,"לא תקין","תקין"),"")</f>
        <v/>
      </c>
      <c r="AE58" s="374" t="str">
        <f t="shared" si="9"/>
        <v/>
      </c>
      <c r="AF58" s="532" t="str">
        <f t="shared" si="10"/>
        <v/>
      </c>
    </row>
    <row r="59" spans="2:32" x14ac:dyDescent="0.25">
      <c r="B59" s="695"/>
      <c r="C59" s="197" t="str">
        <f>IF(B59&lt;&gt;"",IFERROR(VLOOKUP(B:B,'מצבת והרשמה (2)'!$C$20:$N$520,2,0)," ")," ")</f>
        <v xml:space="preserve"> </v>
      </c>
      <c r="D59" s="695"/>
      <c r="E59" s="696"/>
      <c r="F59" s="696"/>
      <c r="G59" s="696"/>
      <c r="H59" s="696"/>
      <c r="I59" s="1050" t="str">
        <f t="shared" si="16"/>
        <v/>
      </c>
      <c r="J59" s="696"/>
      <c r="K59" s="697"/>
      <c r="L59" s="696"/>
      <c r="M59" s="198" t="str">
        <f t="shared" si="15"/>
        <v/>
      </c>
      <c r="N59" s="369" t="str">
        <f t="shared" si="13"/>
        <v/>
      </c>
      <c r="O59" s="183" t="str">
        <f t="shared" si="0"/>
        <v/>
      </c>
      <c r="P59" s="199" t="str">
        <f t="shared" si="1"/>
        <v/>
      </c>
      <c r="Q59" s="199" t="str">
        <f>IF(B59="","",IFERROR(IF('עלויות כח אדם (6)'!J59&gt;=VLOOKUP(I59,'סיווג התפקידים והעלויות'!$B$23:$C$32,2,0),"תקין","לא תקין"),""))</f>
        <v/>
      </c>
      <c r="R59" s="199" t="str">
        <f t="shared" si="2"/>
        <v/>
      </c>
      <c r="S59" s="199" t="str">
        <f t="shared" si="3"/>
        <v/>
      </c>
      <c r="T59" s="199" t="str">
        <f t="shared" si="14"/>
        <v/>
      </c>
      <c r="U59" s="199" t="str">
        <f t="shared" si="4"/>
        <v/>
      </c>
      <c r="V59" s="989"/>
      <c r="X59" s="374" t="str">
        <f t="shared" si="5"/>
        <v/>
      </c>
      <c r="Y59" s="375" t="str">
        <f t="shared" si="6"/>
        <v/>
      </c>
      <c r="Z59" s="374" t="str">
        <f t="shared" si="7"/>
        <v/>
      </c>
      <c r="AA59" s="374" t="b">
        <f t="shared" si="8"/>
        <v>1</v>
      </c>
      <c r="AB59" s="374">
        <f>COUNTIFS(B:B,B59,H:H,'סיווג התפקידים והעלויות'!$C$2)</f>
        <v>0</v>
      </c>
      <c r="AC59" s="374">
        <f>COUNTIFS(B:B,B59,H:H,'סיווג התפקידים והעלויות'!$D$2)</f>
        <v>0</v>
      </c>
      <c r="AD59" s="374" t="str">
        <f>IF(OR(AND(H59='סיווג התפקידים והעלויות'!$A$2,I59='סיווג התפקידים והעלויות'!$A$3),'עלויות כח אדם (6)'!H59='סיווג התפקידים והעלויות'!$C$2,'עלויות כח אדם (6)'!H59='סיווג התפקידים והעלויות'!$D$2),IF('עלויות כח אדם (6)'!J59&lt;75,"לא תקין","תקין"),"")</f>
        <v/>
      </c>
      <c r="AE59" s="374" t="str">
        <f t="shared" si="9"/>
        <v/>
      </c>
      <c r="AF59" s="532" t="str">
        <f t="shared" si="10"/>
        <v/>
      </c>
    </row>
    <row r="60" spans="2:32" x14ac:dyDescent="0.25">
      <c r="B60" s="695"/>
      <c r="C60" s="197" t="str">
        <f>IF(B60&lt;&gt;"",IFERROR(VLOOKUP(B:B,'מצבת והרשמה (2)'!$C$20:$N$520,2,0)," ")," ")</f>
        <v xml:space="preserve"> </v>
      </c>
      <c r="D60" s="695"/>
      <c r="E60" s="696"/>
      <c r="F60" s="696"/>
      <c r="G60" s="696"/>
      <c r="H60" s="696"/>
      <c r="I60" s="1050" t="str">
        <f t="shared" si="16"/>
        <v/>
      </c>
      <c r="J60" s="696"/>
      <c r="K60" s="697"/>
      <c r="L60" s="696"/>
      <c r="M60" s="198" t="str">
        <f t="shared" si="15"/>
        <v/>
      </c>
      <c r="N60" s="369" t="str">
        <f t="shared" si="13"/>
        <v/>
      </c>
      <c r="O60" s="183" t="str">
        <f t="shared" si="0"/>
        <v/>
      </c>
      <c r="P60" s="199" t="str">
        <f t="shared" si="1"/>
        <v/>
      </c>
      <c r="Q60" s="199" t="str">
        <f>IF(B60="","",IFERROR(IF('עלויות כח אדם (6)'!J60&gt;=VLOOKUP(I60,'סיווג התפקידים והעלויות'!$B$23:$C$32,2,0),"תקין","לא תקין"),""))</f>
        <v/>
      </c>
      <c r="R60" s="199" t="str">
        <f t="shared" si="2"/>
        <v/>
      </c>
      <c r="S60" s="199" t="str">
        <f t="shared" si="3"/>
        <v/>
      </c>
      <c r="T60" s="199" t="str">
        <f t="shared" si="14"/>
        <v/>
      </c>
      <c r="U60" s="199" t="str">
        <f t="shared" si="4"/>
        <v/>
      </c>
      <c r="V60" s="989"/>
      <c r="X60" s="374" t="str">
        <f t="shared" si="5"/>
        <v/>
      </c>
      <c r="Y60" s="375" t="str">
        <f t="shared" si="6"/>
        <v/>
      </c>
      <c r="Z60" s="374" t="str">
        <f t="shared" si="7"/>
        <v/>
      </c>
      <c r="AA60" s="374" t="b">
        <f t="shared" si="8"/>
        <v>1</v>
      </c>
      <c r="AB60" s="374">
        <f>COUNTIFS(B:B,B60,H:H,'סיווג התפקידים והעלויות'!$C$2)</f>
        <v>0</v>
      </c>
      <c r="AC60" s="374">
        <f>COUNTIFS(B:B,B60,H:H,'סיווג התפקידים והעלויות'!$D$2)</f>
        <v>0</v>
      </c>
      <c r="AD60" s="374" t="str">
        <f>IF(OR(AND(H60='סיווג התפקידים והעלויות'!$A$2,I60='סיווג התפקידים והעלויות'!$A$3),'עלויות כח אדם (6)'!H60='סיווג התפקידים והעלויות'!$C$2,'עלויות כח אדם (6)'!H60='סיווג התפקידים והעלויות'!$D$2),IF('עלויות כח אדם (6)'!J60&lt;75,"לא תקין","תקין"),"")</f>
        <v/>
      </c>
      <c r="AE60" s="374" t="str">
        <f t="shared" si="9"/>
        <v/>
      </c>
      <c r="AF60" s="532" t="str">
        <f t="shared" si="10"/>
        <v/>
      </c>
    </row>
    <row r="61" spans="2:32" x14ac:dyDescent="0.25">
      <c r="B61" s="695"/>
      <c r="C61" s="197" t="str">
        <f>IF(B61&lt;&gt;"",IFERROR(VLOOKUP(B:B,'מצבת והרשמה (2)'!$C$20:$N$520,2,0)," ")," ")</f>
        <v xml:space="preserve"> </v>
      </c>
      <c r="D61" s="695"/>
      <c r="E61" s="696"/>
      <c r="F61" s="696"/>
      <c r="G61" s="696"/>
      <c r="H61" s="696"/>
      <c r="I61" s="1050" t="str">
        <f t="shared" si="16"/>
        <v/>
      </c>
      <c r="J61" s="696"/>
      <c r="K61" s="697"/>
      <c r="L61" s="696"/>
      <c r="M61" s="198" t="str">
        <f t="shared" si="15"/>
        <v/>
      </c>
      <c r="N61" s="369" t="str">
        <f t="shared" si="13"/>
        <v/>
      </c>
      <c r="O61" s="183" t="str">
        <f t="shared" si="0"/>
        <v/>
      </c>
      <c r="P61" s="199" t="str">
        <f t="shared" si="1"/>
        <v/>
      </c>
      <c r="Q61" s="199" t="str">
        <f>IF(B61="","",IFERROR(IF('עלויות כח אדם (6)'!J61&gt;=VLOOKUP(I61,'סיווג התפקידים והעלויות'!$B$23:$C$32,2,0),"תקין","לא תקין"),""))</f>
        <v/>
      </c>
      <c r="R61" s="199" t="str">
        <f t="shared" si="2"/>
        <v/>
      </c>
      <c r="S61" s="199" t="str">
        <f t="shared" si="3"/>
        <v/>
      </c>
      <c r="T61" s="199" t="str">
        <f t="shared" si="14"/>
        <v/>
      </c>
      <c r="U61" s="199" t="str">
        <f t="shared" si="4"/>
        <v/>
      </c>
      <c r="V61" s="989"/>
      <c r="X61" s="374" t="str">
        <f t="shared" si="5"/>
        <v/>
      </c>
      <c r="Y61" s="375" t="str">
        <f t="shared" si="6"/>
        <v/>
      </c>
      <c r="Z61" s="374" t="str">
        <f t="shared" si="7"/>
        <v/>
      </c>
      <c r="AA61" s="374" t="b">
        <f t="shared" si="8"/>
        <v>1</v>
      </c>
      <c r="AB61" s="374">
        <f>COUNTIFS(B:B,B61,H:H,'סיווג התפקידים והעלויות'!$C$2)</f>
        <v>0</v>
      </c>
      <c r="AC61" s="374">
        <f>COUNTIFS(B:B,B61,H:H,'סיווג התפקידים והעלויות'!$D$2)</f>
        <v>0</v>
      </c>
      <c r="AD61" s="374" t="str">
        <f>IF(OR(AND(H61='סיווג התפקידים והעלויות'!$A$2,I61='סיווג התפקידים והעלויות'!$A$3),'עלויות כח אדם (6)'!H61='סיווג התפקידים והעלויות'!$C$2,'עלויות כח אדם (6)'!H61='סיווג התפקידים והעלויות'!$D$2),IF('עלויות כח אדם (6)'!J61&lt;75,"לא תקין","תקין"),"")</f>
        <v/>
      </c>
      <c r="AE61" s="374" t="str">
        <f t="shared" si="9"/>
        <v/>
      </c>
      <c r="AF61" s="532" t="str">
        <f t="shared" si="10"/>
        <v/>
      </c>
    </row>
    <row r="62" spans="2:32" x14ac:dyDescent="0.25">
      <c r="B62" s="695"/>
      <c r="C62" s="197" t="str">
        <f>IF(B62&lt;&gt;"",IFERROR(VLOOKUP(B:B,'מצבת והרשמה (2)'!$C$20:$N$520,2,0)," ")," ")</f>
        <v xml:space="preserve"> </v>
      </c>
      <c r="D62" s="695"/>
      <c r="E62" s="696"/>
      <c r="F62" s="696"/>
      <c r="G62" s="696"/>
      <c r="H62" s="696"/>
      <c r="I62" s="1050" t="str">
        <f t="shared" si="16"/>
        <v/>
      </c>
      <c r="J62" s="696"/>
      <c r="K62" s="697"/>
      <c r="L62" s="696"/>
      <c r="M62" s="198" t="str">
        <f t="shared" si="15"/>
        <v/>
      </c>
      <c r="N62" s="369" t="str">
        <f t="shared" si="13"/>
        <v/>
      </c>
      <c r="O62" s="183" t="str">
        <f t="shared" si="0"/>
        <v/>
      </c>
      <c r="P62" s="199" t="str">
        <f t="shared" si="1"/>
        <v/>
      </c>
      <c r="Q62" s="199" t="str">
        <f>IF(B62="","",IFERROR(IF('עלויות כח אדם (6)'!J62&gt;=VLOOKUP(I62,'סיווג התפקידים והעלויות'!$B$23:$C$32,2,0),"תקין","לא תקין"),""))</f>
        <v/>
      </c>
      <c r="R62" s="199" t="str">
        <f t="shared" si="2"/>
        <v/>
      </c>
      <c r="S62" s="199" t="str">
        <f t="shared" si="3"/>
        <v/>
      </c>
      <c r="T62" s="199" t="str">
        <f t="shared" si="14"/>
        <v/>
      </c>
      <c r="U62" s="199" t="str">
        <f t="shared" si="4"/>
        <v/>
      </c>
      <c r="V62" s="989"/>
      <c r="X62" s="374" t="str">
        <f t="shared" si="5"/>
        <v/>
      </c>
      <c r="Y62" s="375" t="str">
        <f t="shared" si="6"/>
        <v/>
      </c>
      <c r="Z62" s="374" t="str">
        <f t="shared" si="7"/>
        <v/>
      </c>
      <c r="AA62" s="374" t="b">
        <f t="shared" si="8"/>
        <v>1</v>
      </c>
      <c r="AB62" s="374">
        <f>COUNTIFS(B:B,B62,H:H,'סיווג התפקידים והעלויות'!$C$2)</f>
        <v>0</v>
      </c>
      <c r="AC62" s="374">
        <f>COUNTIFS(B:B,B62,H:H,'סיווג התפקידים והעלויות'!$D$2)</f>
        <v>0</v>
      </c>
      <c r="AD62" s="374" t="str">
        <f>IF(OR(AND(H62='סיווג התפקידים והעלויות'!$A$2,I62='סיווג התפקידים והעלויות'!$A$3),'עלויות כח אדם (6)'!H62='סיווג התפקידים והעלויות'!$C$2,'עלויות כח אדם (6)'!H62='סיווג התפקידים והעלויות'!$D$2),IF('עלויות כח אדם (6)'!J62&lt;75,"לא תקין","תקין"),"")</f>
        <v/>
      </c>
      <c r="AE62" s="374" t="str">
        <f t="shared" si="9"/>
        <v/>
      </c>
      <c r="AF62" s="532" t="str">
        <f t="shared" si="10"/>
        <v/>
      </c>
    </row>
    <row r="63" spans="2:32" x14ac:dyDescent="0.25">
      <c r="B63" s="695"/>
      <c r="C63" s="197" t="str">
        <f>IF(B63&lt;&gt;"",IFERROR(VLOOKUP(B:B,'מצבת והרשמה (2)'!$C$20:$N$520,2,0)," ")," ")</f>
        <v xml:space="preserve"> </v>
      </c>
      <c r="D63" s="695"/>
      <c r="E63" s="696"/>
      <c r="F63" s="696"/>
      <c r="G63" s="696"/>
      <c r="H63" s="696"/>
      <c r="I63" s="1050" t="str">
        <f t="shared" si="16"/>
        <v/>
      </c>
      <c r="J63" s="696"/>
      <c r="K63" s="697"/>
      <c r="L63" s="696"/>
      <c r="M63" s="198" t="str">
        <f t="shared" si="15"/>
        <v/>
      </c>
      <c r="N63" s="369" t="str">
        <f t="shared" si="13"/>
        <v/>
      </c>
      <c r="O63" s="183" t="str">
        <f t="shared" si="0"/>
        <v/>
      </c>
      <c r="P63" s="199" t="str">
        <f t="shared" si="1"/>
        <v/>
      </c>
      <c r="Q63" s="199" t="str">
        <f>IF(B63="","",IFERROR(IF('עלויות כח אדם (6)'!J63&gt;=VLOOKUP(I63,'סיווג התפקידים והעלויות'!$B$23:$C$32,2,0),"תקין","לא תקין"),""))</f>
        <v/>
      </c>
      <c r="R63" s="199" t="str">
        <f t="shared" si="2"/>
        <v/>
      </c>
      <c r="S63" s="199" t="str">
        <f t="shared" si="3"/>
        <v/>
      </c>
      <c r="T63" s="199" t="str">
        <f t="shared" si="14"/>
        <v/>
      </c>
      <c r="U63" s="199" t="str">
        <f t="shared" si="4"/>
        <v/>
      </c>
      <c r="V63" s="989"/>
      <c r="X63" s="374" t="str">
        <f t="shared" si="5"/>
        <v/>
      </c>
      <c r="Y63" s="375" t="str">
        <f t="shared" si="6"/>
        <v/>
      </c>
      <c r="Z63" s="374" t="str">
        <f t="shared" si="7"/>
        <v/>
      </c>
      <c r="AA63" s="374" t="b">
        <f t="shared" si="8"/>
        <v>1</v>
      </c>
      <c r="AB63" s="374">
        <f>COUNTIFS(B:B,B63,H:H,'סיווג התפקידים והעלויות'!$C$2)</f>
        <v>0</v>
      </c>
      <c r="AC63" s="374">
        <f>COUNTIFS(B:B,B63,H:H,'סיווג התפקידים והעלויות'!$D$2)</f>
        <v>0</v>
      </c>
      <c r="AD63" s="374" t="str">
        <f>IF(OR(AND(H63='סיווג התפקידים והעלויות'!$A$2,I63='סיווג התפקידים והעלויות'!$A$3),'עלויות כח אדם (6)'!H63='סיווג התפקידים והעלויות'!$C$2,'עלויות כח אדם (6)'!H63='סיווג התפקידים והעלויות'!$D$2),IF('עלויות כח אדם (6)'!J63&lt;75,"לא תקין","תקין"),"")</f>
        <v/>
      </c>
      <c r="AE63" s="374" t="str">
        <f t="shared" si="9"/>
        <v/>
      </c>
      <c r="AF63" s="532" t="str">
        <f t="shared" si="10"/>
        <v/>
      </c>
    </row>
    <row r="64" spans="2:32" x14ac:dyDescent="0.25">
      <c r="B64" s="695"/>
      <c r="C64" s="197" t="str">
        <f>IF(B64&lt;&gt;"",IFERROR(VLOOKUP(B:B,'מצבת והרשמה (2)'!$C$20:$N$520,2,0)," ")," ")</f>
        <v xml:space="preserve"> </v>
      </c>
      <c r="D64" s="695"/>
      <c r="E64" s="696"/>
      <c r="F64" s="696"/>
      <c r="G64" s="696"/>
      <c r="H64" s="696"/>
      <c r="I64" s="1050" t="str">
        <f t="shared" si="16"/>
        <v/>
      </c>
      <c r="J64" s="696"/>
      <c r="K64" s="697"/>
      <c r="L64" s="696"/>
      <c r="M64" s="198" t="str">
        <f t="shared" si="15"/>
        <v/>
      </c>
      <c r="N64" s="369" t="str">
        <f t="shared" si="13"/>
        <v/>
      </c>
      <c r="O64" s="183" t="str">
        <f t="shared" si="0"/>
        <v/>
      </c>
      <c r="P64" s="199" t="str">
        <f t="shared" si="1"/>
        <v/>
      </c>
      <c r="Q64" s="199" t="str">
        <f>IF(B64="","",IFERROR(IF('עלויות כח אדם (6)'!J64&gt;=VLOOKUP(I64,'סיווג התפקידים והעלויות'!$B$23:$C$32,2,0),"תקין","לא תקין"),""))</f>
        <v/>
      </c>
      <c r="R64" s="199" t="str">
        <f t="shared" si="2"/>
        <v/>
      </c>
      <c r="S64" s="199" t="str">
        <f t="shared" si="3"/>
        <v/>
      </c>
      <c r="T64" s="199" t="str">
        <f t="shared" si="14"/>
        <v/>
      </c>
      <c r="U64" s="199" t="str">
        <f t="shared" si="4"/>
        <v/>
      </c>
      <c r="V64" s="989"/>
      <c r="X64" s="374" t="str">
        <f t="shared" si="5"/>
        <v/>
      </c>
      <c r="Y64" s="375" t="str">
        <f t="shared" si="6"/>
        <v/>
      </c>
      <c r="Z64" s="374" t="str">
        <f t="shared" si="7"/>
        <v/>
      </c>
      <c r="AA64" s="374" t="b">
        <f t="shared" si="8"/>
        <v>1</v>
      </c>
      <c r="AB64" s="374">
        <f>COUNTIFS(B:B,B64,H:H,'סיווג התפקידים והעלויות'!$C$2)</f>
        <v>0</v>
      </c>
      <c r="AC64" s="374">
        <f>COUNTIFS(B:B,B64,H:H,'סיווג התפקידים והעלויות'!$D$2)</f>
        <v>0</v>
      </c>
      <c r="AD64" s="374" t="str">
        <f>IF(OR(AND(H64='סיווג התפקידים והעלויות'!$A$2,I64='סיווג התפקידים והעלויות'!$A$3),'עלויות כח אדם (6)'!H64='סיווג התפקידים והעלויות'!$C$2,'עלויות כח אדם (6)'!H64='סיווג התפקידים והעלויות'!$D$2),IF('עלויות כח אדם (6)'!J64&lt;75,"לא תקין","תקין"),"")</f>
        <v/>
      </c>
      <c r="AE64" s="374" t="str">
        <f t="shared" si="9"/>
        <v/>
      </c>
      <c r="AF64" s="532" t="str">
        <f t="shared" si="10"/>
        <v/>
      </c>
    </row>
    <row r="65" spans="2:32" x14ac:dyDescent="0.25">
      <c r="B65" s="695"/>
      <c r="C65" s="197" t="str">
        <f>IF(B65&lt;&gt;"",IFERROR(VLOOKUP(B:B,'מצבת והרשמה (2)'!$C$20:$N$520,2,0)," ")," ")</f>
        <v xml:space="preserve"> </v>
      </c>
      <c r="D65" s="695"/>
      <c r="E65" s="696"/>
      <c r="F65" s="696"/>
      <c r="G65" s="696"/>
      <c r="H65" s="696"/>
      <c r="I65" s="1050" t="str">
        <f t="shared" si="16"/>
        <v/>
      </c>
      <c r="J65" s="696"/>
      <c r="K65" s="697"/>
      <c r="L65" s="696"/>
      <c r="M65" s="198" t="str">
        <f t="shared" si="15"/>
        <v/>
      </c>
      <c r="N65" s="369" t="str">
        <f t="shared" si="13"/>
        <v/>
      </c>
      <c r="O65" s="183" t="str">
        <f t="shared" si="0"/>
        <v/>
      </c>
      <c r="P65" s="199" t="str">
        <f t="shared" si="1"/>
        <v/>
      </c>
      <c r="Q65" s="199" t="str">
        <f>IF(B65="","",IFERROR(IF('עלויות כח אדם (6)'!J65&gt;=VLOOKUP(I65,'סיווג התפקידים והעלויות'!$B$23:$C$32,2,0),"תקין","לא תקין"),""))</f>
        <v/>
      </c>
      <c r="R65" s="199" t="str">
        <f t="shared" si="2"/>
        <v/>
      </c>
      <c r="S65" s="199" t="str">
        <f t="shared" si="3"/>
        <v/>
      </c>
      <c r="T65" s="199" t="str">
        <f t="shared" si="14"/>
        <v/>
      </c>
      <c r="U65" s="199" t="str">
        <f t="shared" si="4"/>
        <v/>
      </c>
      <c r="V65" s="989"/>
      <c r="X65" s="374" t="str">
        <f t="shared" si="5"/>
        <v/>
      </c>
      <c r="Y65" s="375" t="str">
        <f t="shared" si="6"/>
        <v/>
      </c>
      <c r="Z65" s="374" t="str">
        <f t="shared" si="7"/>
        <v/>
      </c>
      <c r="AA65" s="374" t="b">
        <f t="shared" si="8"/>
        <v>1</v>
      </c>
      <c r="AB65" s="374">
        <f>COUNTIFS(B:B,B65,H:H,'סיווג התפקידים והעלויות'!$C$2)</f>
        <v>0</v>
      </c>
      <c r="AC65" s="374">
        <f>COUNTIFS(B:B,B65,H:H,'סיווג התפקידים והעלויות'!$D$2)</f>
        <v>0</v>
      </c>
      <c r="AD65" s="374" t="str">
        <f>IF(OR(AND(H65='סיווג התפקידים והעלויות'!$A$2,I65='סיווג התפקידים והעלויות'!$A$3),'עלויות כח אדם (6)'!H65='סיווג התפקידים והעלויות'!$C$2,'עלויות כח אדם (6)'!H65='סיווג התפקידים והעלויות'!$D$2),IF('עלויות כח אדם (6)'!J65&lt;75,"לא תקין","תקין"),"")</f>
        <v/>
      </c>
      <c r="AE65" s="374" t="str">
        <f t="shared" si="9"/>
        <v/>
      </c>
      <c r="AF65" s="532" t="str">
        <f t="shared" si="10"/>
        <v/>
      </c>
    </row>
    <row r="66" spans="2:32" x14ac:dyDescent="0.25">
      <c r="B66" s="695"/>
      <c r="C66" s="197" t="str">
        <f>IF(B66&lt;&gt;"",IFERROR(VLOOKUP(B:B,'מצבת והרשמה (2)'!$C$20:$N$520,2,0)," ")," ")</f>
        <v xml:space="preserve"> </v>
      </c>
      <c r="D66" s="695"/>
      <c r="E66" s="696"/>
      <c r="F66" s="696"/>
      <c r="G66" s="696"/>
      <c r="H66" s="696"/>
      <c r="I66" s="1050" t="str">
        <f t="shared" si="16"/>
        <v/>
      </c>
      <c r="J66" s="696"/>
      <c r="K66" s="697"/>
      <c r="L66" s="696"/>
      <c r="M66" s="198" t="str">
        <f t="shared" si="15"/>
        <v/>
      </c>
      <c r="N66" s="369" t="str">
        <f t="shared" si="13"/>
        <v/>
      </c>
      <c r="O66" s="183" t="str">
        <f t="shared" si="0"/>
        <v/>
      </c>
      <c r="P66" s="199" t="str">
        <f t="shared" si="1"/>
        <v/>
      </c>
      <c r="Q66" s="199" t="str">
        <f>IF(B66="","",IFERROR(IF('עלויות כח אדם (6)'!J66&gt;=VLOOKUP(I66,'סיווג התפקידים והעלויות'!$B$23:$C$32,2,0),"תקין","לא תקין"),""))</f>
        <v/>
      </c>
      <c r="R66" s="199" t="str">
        <f t="shared" si="2"/>
        <v/>
      </c>
      <c r="S66" s="199" t="str">
        <f t="shared" si="3"/>
        <v/>
      </c>
      <c r="T66" s="199" t="str">
        <f t="shared" si="14"/>
        <v/>
      </c>
      <c r="U66" s="199" t="str">
        <f t="shared" si="4"/>
        <v/>
      </c>
      <c r="V66" s="989"/>
      <c r="X66" s="374" t="str">
        <f t="shared" si="5"/>
        <v/>
      </c>
      <c r="Y66" s="375" t="str">
        <f t="shared" si="6"/>
        <v/>
      </c>
      <c r="Z66" s="374" t="str">
        <f t="shared" si="7"/>
        <v/>
      </c>
      <c r="AA66" s="374" t="b">
        <f t="shared" si="8"/>
        <v>1</v>
      </c>
      <c r="AB66" s="374">
        <f>COUNTIFS(B:B,B66,H:H,'סיווג התפקידים והעלויות'!$C$2)</f>
        <v>0</v>
      </c>
      <c r="AC66" s="374">
        <f>COUNTIFS(B:B,B66,H:H,'סיווג התפקידים והעלויות'!$D$2)</f>
        <v>0</v>
      </c>
      <c r="AD66" s="374" t="str">
        <f>IF(OR(AND(H66='סיווג התפקידים והעלויות'!$A$2,I66='סיווג התפקידים והעלויות'!$A$3),'עלויות כח אדם (6)'!H66='סיווג התפקידים והעלויות'!$C$2,'עלויות כח אדם (6)'!H66='סיווג התפקידים והעלויות'!$D$2),IF('עלויות כח אדם (6)'!J66&lt;75,"לא תקין","תקין"),"")</f>
        <v/>
      </c>
      <c r="AE66" s="374" t="str">
        <f t="shared" si="9"/>
        <v/>
      </c>
      <c r="AF66" s="532" t="str">
        <f t="shared" si="10"/>
        <v/>
      </c>
    </row>
    <row r="67" spans="2:32" x14ac:dyDescent="0.25">
      <c r="B67" s="695"/>
      <c r="C67" s="197" t="str">
        <f>IF(B67&lt;&gt;"",IFERROR(VLOOKUP(B:B,'מצבת והרשמה (2)'!$C$20:$N$520,2,0)," ")," ")</f>
        <v xml:space="preserve"> </v>
      </c>
      <c r="D67" s="695"/>
      <c r="E67" s="696"/>
      <c r="F67" s="696"/>
      <c r="G67" s="696"/>
      <c r="H67" s="696"/>
      <c r="I67" s="1050" t="str">
        <f t="shared" si="16"/>
        <v/>
      </c>
      <c r="J67" s="696"/>
      <c r="K67" s="697"/>
      <c r="L67" s="696"/>
      <c r="M67" s="198" t="str">
        <f t="shared" si="15"/>
        <v/>
      </c>
      <c r="N67" s="369" t="str">
        <f t="shared" si="13"/>
        <v/>
      </c>
      <c r="O67" s="183" t="str">
        <f t="shared" si="0"/>
        <v/>
      </c>
      <c r="P67" s="199" t="str">
        <f t="shared" si="1"/>
        <v/>
      </c>
      <c r="Q67" s="199" t="str">
        <f>IF(B67="","",IFERROR(IF('עלויות כח אדם (6)'!J67&gt;=VLOOKUP(I67,'סיווג התפקידים והעלויות'!$B$23:$C$32,2,0),"תקין","לא תקין"),""))</f>
        <v/>
      </c>
      <c r="R67" s="199" t="str">
        <f t="shared" si="2"/>
        <v/>
      </c>
      <c r="S67" s="199" t="str">
        <f t="shared" si="3"/>
        <v/>
      </c>
      <c r="T67" s="199" t="str">
        <f t="shared" si="14"/>
        <v/>
      </c>
      <c r="U67" s="199" t="str">
        <f t="shared" si="4"/>
        <v/>
      </c>
      <c r="V67" s="989"/>
      <c r="X67" s="374" t="str">
        <f t="shared" si="5"/>
        <v/>
      </c>
      <c r="Y67" s="375" t="str">
        <f t="shared" si="6"/>
        <v/>
      </c>
      <c r="Z67" s="374" t="str">
        <f t="shared" si="7"/>
        <v/>
      </c>
      <c r="AA67" s="374" t="b">
        <f t="shared" si="8"/>
        <v>1</v>
      </c>
      <c r="AB67" s="374">
        <f>COUNTIFS(B:B,B67,H:H,'סיווג התפקידים והעלויות'!$C$2)</f>
        <v>0</v>
      </c>
      <c r="AC67" s="374">
        <f>COUNTIFS(B:B,B67,H:H,'סיווג התפקידים והעלויות'!$D$2)</f>
        <v>0</v>
      </c>
      <c r="AD67" s="374" t="str">
        <f>IF(OR(AND(H67='סיווג התפקידים והעלויות'!$A$2,I67='סיווג התפקידים והעלויות'!$A$3),'עלויות כח אדם (6)'!H67='סיווג התפקידים והעלויות'!$C$2,'עלויות כח אדם (6)'!H67='סיווג התפקידים והעלויות'!$D$2),IF('עלויות כח אדם (6)'!J67&lt;75,"לא תקין","תקין"),"")</f>
        <v/>
      </c>
      <c r="AE67" s="374" t="str">
        <f t="shared" si="9"/>
        <v/>
      </c>
      <c r="AF67" s="532" t="str">
        <f t="shared" si="10"/>
        <v/>
      </c>
    </row>
    <row r="68" spans="2:32" x14ac:dyDescent="0.25">
      <c r="B68" s="695"/>
      <c r="C68" s="197" t="str">
        <f>IF(B68&lt;&gt;"",IFERROR(VLOOKUP(B:B,'מצבת והרשמה (2)'!$C$20:$N$520,2,0)," ")," ")</f>
        <v xml:space="preserve"> </v>
      </c>
      <c r="D68" s="695"/>
      <c r="E68" s="696"/>
      <c r="F68" s="696"/>
      <c r="G68" s="696"/>
      <c r="H68" s="696"/>
      <c r="I68" s="1050" t="str">
        <f t="shared" si="16"/>
        <v/>
      </c>
      <c r="J68" s="696"/>
      <c r="K68" s="697"/>
      <c r="L68" s="696"/>
      <c r="M68" s="198" t="str">
        <f t="shared" si="15"/>
        <v/>
      </c>
      <c r="N68" s="369" t="str">
        <f t="shared" si="13"/>
        <v/>
      </c>
      <c r="O68" s="183" t="str">
        <f t="shared" si="0"/>
        <v/>
      </c>
      <c r="P68" s="199" t="str">
        <f t="shared" si="1"/>
        <v/>
      </c>
      <c r="Q68" s="199" t="str">
        <f>IF(B68="","",IFERROR(IF('עלויות כח אדם (6)'!J68&gt;=VLOOKUP(I68,'סיווג התפקידים והעלויות'!$B$23:$C$32,2,0),"תקין","לא תקין"),""))</f>
        <v/>
      </c>
      <c r="R68" s="199" t="str">
        <f t="shared" si="2"/>
        <v/>
      </c>
      <c r="S68" s="199" t="str">
        <f t="shared" si="3"/>
        <v/>
      </c>
      <c r="T68" s="199" t="str">
        <f t="shared" si="14"/>
        <v/>
      </c>
      <c r="U68" s="199" t="str">
        <f t="shared" si="4"/>
        <v/>
      </c>
      <c r="V68" s="989"/>
      <c r="X68" s="374" t="str">
        <f t="shared" si="5"/>
        <v/>
      </c>
      <c r="Y68" s="375" t="str">
        <f t="shared" si="6"/>
        <v/>
      </c>
      <c r="Z68" s="374" t="str">
        <f t="shared" si="7"/>
        <v/>
      </c>
      <c r="AA68" s="374" t="b">
        <f t="shared" si="8"/>
        <v>1</v>
      </c>
      <c r="AB68" s="374">
        <f>COUNTIFS(B:B,B68,H:H,'סיווג התפקידים והעלויות'!$C$2)</f>
        <v>0</v>
      </c>
      <c r="AC68" s="374">
        <f>COUNTIFS(B:B,B68,H:H,'סיווג התפקידים והעלויות'!$D$2)</f>
        <v>0</v>
      </c>
      <c r="AD68" s="374" t="str">
        <f>IF(OR(AND(H68='סיווג התפקידים והעלויות'!$A$2,I68='סיווג התפקידים והעלויות'!$A$3),'עלויות כח אדם (6)'!H68='סיווג התפקידים והעלויות'!$C$2,'עלויות כח אדם (6)'!H68='סיווג התפקידים והעלויות'!$D$2),IF('עלויות כח אדם (6)'!J68&lt;75,"לא תקין","תקין"),"")</f>
        <v/>
      </c>
      <c r="AE68" s="374" t="str">
        <f t="shared" si="9"/>
        <v/>
      </c>
      <c r="AF68" s="532" t="str">
        <f t="shared" si="10"/>
        <v/>
      </c>
    </row>
    <row r="69" spans="2:32" x14ac:dyDescent="0.25">
      <c r="B69" s="695"/>
      <c r="C69" s="197" t="str">
        <f>IF(B69&lt;&gt;"",IFERROR(VLOOKUP(B:B,'מצבת והרשמה (2)'!$C$20:$N$520,2,0)," ")," ")</f>
        <v xml:space="preserve"> </v>
      </c>
      <c r="D69" s="695"/>
      <c r="E69" s="696"/>
      <c r="F69" s="696"/>
      <c r="G69" s="696"/>
      <c r="H69" s="696"/>
      <c r="I69" s="1050" t="str">
        <f t="shared" si="16"/>
        <v/>
      </c>
      <c r="J69" s="696"/>
      <c r="K69" s="697"/>
      <c r="L69" s="696"/>
      <c r="M69" s="198" t="str">
        <f t="shared" si="15"/>
        <v/>
      </c>
      <c r="N69" s="369" t="str">
        <f t="shared" si="13"/>
        <v/>
      </c>
      <c r="O69" s="183" t="str">
        <f t="shared" si="0"/>
        <v/>
      </c>
      <c r="P69" s="199" t="str">
        <f t="shared" si="1"/>
        <v/>
      </c>
      <c r="Q69" s="199" t="str">
        <f>IF(B69="","",IFERROR(IF('עלויות כח אדם (6)'!J69&gt;=VLOOKUP(I69,'סיווג התפקידים והעלויות'!$B$23:$C$32,2,0),"תקין","לא תקין"),""))</f>
        <v/>
      </c>
      <c r="R69" s="199" t="str">
        <f t="shared" si="2"/>
        <v/>
      </c>
      <c r="S69" s="199" t="str">
        <f t="shared" si="3"/>
        <v/>
      </c>
      <c r="T69" s="199" t="str">
        <f t="shared" si="14"/>
        <v/>
      </c>
      <c r="U69" s="199" t="str">
        <f t="shared" si="4"/>
        <v/>
      </c>
      <c r="V69" s="989"/>
      <c r="X69" s="374" t="str">
        <f t="shared" si="5"/>
        <v/>
      </c>
      <c r="Y69" s="375" t="str">
        <f t="shared" si="6"/>
        <v/>
      </c>
      <c r="Z69" s="374" t="str">
        <f t="shared" si="7"/>
        <v/>
      </c>
      <c r="AA69" s="374" t="b">
        <f t="shared" si="8"/>
        <v>1</v>
      </c>
      <c r="AB69" s="374">
        <f>COUNTIFS(B:B,B69,H:H,'סיווג התפקידים והעלויות'!$C$2)</f>
        <v>0</v>
      </c>
      <c r="AC69" s="374">
        <f>COUNTIFS(B:B,B69,H:H,'סיווג התפקידים והעלויות'!$D$2)</f>
        <v>0</v>
      </c>
      <c r="AD69" s="374" t="str">
        <f>IF(OR(AND(H69='סיווג התפקידים והעלויות'!$A$2,I69='סיווג התפקידים והעלויות'!$A$3),'עלויות כח אדם (6)'!H69='סיווג התפקידים והעלויות'!$C$2,'עלויות כח אדם (6)'!H69='סיווג התפקידים והעלויות'!$D$2),IF('עלויות כח אדם (6)'!J69&lt;75,"לא תקין","תקין"),"")</f>
        <v/>
      </c>
      <c r="AE69" s="374" t="str">
        <f t="shared" si="9"/>
        <v/>
      </c>
      <c r="AF69" s="532" t="str">
        <f t="shared" si="10"/>
        <v/>
      </c>
    </row>
    <row r="70" spans="2:32" x14ac:dyDescent="0.25">
      <c r="B70" s="695"/>
      <c r="C70" s="197" t="str">
        <f>IF(B70&lt;&gt;"",IFERROR(VLOOKUP(B:B,'מצבת והרשמה (2)'!$C$20:$N$520,2,0)," ")," ")</f>
        <v xml:space="preserve"> </v>
      </c>
      <c r="D70" s="695"/>
      <c r="E70" s="696"/>
      <c r="F70" s="696"/>
      <c r="G70" s="696"/>
      <c r="H70" s="696"/>
      <c r="I70" s="1050" t="str">
        <f t="shared" si="16"/>
        <v/>
      </c>
      <c r="J70" s="696"/>
      <c r="K70" s="697"/>
      <c r="L70" s="696"/>
      <c r="M70" s="198" t="str">
        <f t="shared" si="15"/>
        <v/>
      </c>
      <c r="N70" s="369" t="str">
        <f t="shared" si="13"/>
        <v/>
      </c>
      <c r="O70" s="183" t="str">
        <f t="shared" si="0"/>
        <v/>
      </c>
      <c r="P70" s="199" t="str">
        <f t="shared" si="1"/>
        <v/>
      </c>
      <c r="Q70" s="199" t="str">
        <f>IF(B70="","",IFERROR(IF('עלויות כח אדם (6)'!J70&gt;=VLOOKUP(I70,'סיווג התפקידים והעלויות'!$B$23:$C$32,2,0),"תקין","לא תקין"),""))</f>
        <v/>
      </c>
      <c r="R70" s="199" t="str">
        <f t="shared" si="2"/>
        <v/>
      </c>
      <c r="S70" s="199" t="str">
        <f t="shared" si="3"/>
        <v/>
      </c>
      <c r="T70" s="199" t="str">
        <f t="shared" si="14"/>
        <v/>
      </c>
      <c r="U70" s="199" t="str">
        <f t="shared" si="4"/>
        <v/>
      </c>
      <c r="V70" s="989"/>
      <c r="X70" s="374" t="str">
        <f t="shared" si="5"/>
        <v/>
      </c>
      <c r="Y70" s="375" t="str">
        <f t="shared" si="6"/>
        <v/>
      </c>
      <c r="Z70" s="374" t="str">
        <f t="shared" si="7"/>
        <v/>
      </c>
      <c r="AA70" s="374" t="b">
        <f t="shared" si="8"/>
        <v>1</v>
      </c>
      <c r="AB70" s="374">
        <f>COUNTIFS(B:B,B70,H:H,'סיווג התפקידים והעלויות'!$C$2)</f>
        <v>0</v>
      </c>
      <c r="AC70" s="374">
        <f>COUNTIFS(B:B,B70,H:H,'סיווג התפקידים והעלויות'!$D$2)</f>
        <v>0</v>
      </c>
      <c r="AD70" s="374" t="str">
        <f>IF(OR(AND(H70='סיווג התפקידים והעלויות'!$A$2,I70='סיווג התפקידים והעלויות'!$A$3),'עלויות כח אדם (6)'!H70='סיווג התפקידים והעלויות'!$C$2,'עלויות כח אדם (6)'!H70='סיווג התפקידים והעלויות'!$D$2),IF('עלויות כח אדם (6)'!J70&lt;75,"לא תקין","תקין"),"")</f>
        <v/>
      </c>
      <c r="AE70" s="374" t="str">
        <f t="shared" si="9"/>
        <v/>
      </c>
      <c r="AF70" s="532" t="str">
        <f t="shared" si="10"/>
        <v/>
      </c>
    </row>
    <row r="71" spans="2:32" x14ac:dyDescent="0.25">
      <c r="B71" s="695"/>
      <c r="C71" s="197" t="str">
        <f>IF(B71&lt;&gt;"",IFERROR(VLOOKUP(B:B,'מצבת והרשמה (2)'!$C$20:$N$520,2,0)," ")," ")</f>
        <v xml:space="preserve"> </v>
      </c>
      <c r="D71" s="695"/>
      <c r="E71" s="696"/>
      <c r="F71" s="696"/>
      <c r="G71" s="696"/>
      <c r="H71" s="696"/>
      <c r="I71" s="1050" t="str">
        <f t="shared" si="16"/>
        <v/>
      </c>
      <c r="J71" s="696"/>
      <c r="K71" s="697"/>
      <c r="L71" s="696"/>
      <c r="M71" s="198" t="str">
        <f t="shared" si="15"/>
        <v/>
      </c>
      <c r="N71" s="369" t="str">
        <f t="shared" si="13"/>
        <v/>
      </c>
      <c r="O71" s="183" t="str">
        <f t="shared" si="0"/>
        <v/>
      </c>
      <c r="P71" s="199" t="str">
        <f t="shared" si="1"/>
        <v/>
      </c>
      <c r="Q71" s="199" t="str">
        <f>IF(B71="","",IFERROR(IF('עלויות כח אדם (6)'!J71&gt;=VLOOKUP(I71,'סיווג התפקידים והעלויות'!$B$23:$C$32,2,0),"תקין","לא תקין"),""))</f>
        <v/>
      </c>
      <c r="R71" s="199" t="str">
        <f t="shared" si="2"/>
        <v/>
      </c>
      <c r="S71" s="199" t="str">
        <f t="shared" si="3"/>
        <v/>
      </c>
      <c r="T71" s="199" t="str">
        <f t="shared" si="14"/>
        <v/>
      </c>
      <c r="U71" s="199" t="str">
        <f t="shared" si="4"/>
        <v/>
      </c>
      <c r="V71" s="989"/>
      <c r="X71" s="374" t="str">
        <f t="shared" si="5"/>
        <v/>
      </c>
      <c r="Y71" s="375" t="str">
        <f t="shared" si="6"/>
        <v/>
      </c>
      <c r="Z71" s="374" t="str">
        <f t="shared" si="7"/>
        <v/>
      </c>
      <c r="AA71" s="374" t="b">
        <f t="shared" si="8"/>
        <v>1</v>
      </c>
      <c r="AB71" s="374">
        <f>COUNTIFS(B:B,B71,H:H,'סיווג התפקידים והעלויות'!$C$2)</f>
        <v>0</v>
      </c>
      <c r="AC71" s="374">
        <f>COUNTIFS(B:B,B71,H:H,'סיווג התפקידים והעלויות'!$D$2)</f>
        <v>0</v>
      </c>
      <c r="AD71" s="374" t="str">
        <f>IF(OR(AND(H71='סיווג התפקידים והעלויות'!$A$2,I71='סיווג התפקידים והעלויות'!$A$3),'עלויות כח אדם (6)'!H71='סיווג התפקידים והעלויות'!$C$2,'עלויות כח אדם (6)'!H71='סיווג התפקידים והעלויות'!$D$2),IF('עלויות כח אדם (6)'!J71&lt;75,"לא תקין","תקין"),"")</f>
        <v/>
      </c>
      <c r="AE71" s="374" t="str">
        <f t="shared" si="9"/>
        <v/>
      </c>
      <c r="AF71" s="532" t="str">
        <f t="shared" si="10"/>
        <v/>
      </c>
    </row>
    <row r="72" spans="2:32" x14ac:dyDescent="0.25">
      <c r="B72" s="695"/>
      <c r="C72" s="197" t="str">
        <f>IF(B72&lt;&gt;"",IFERROR(VLOOKUP(B:B,'מצבת והרשמה (2)'!$C$20:$N$520,2,0)," ")," ")</f>
        <v xml:space="preserve"> </v>
      </c>
      <c r="D72" s="695"/>
      <c r="E72" s="696"/>
      <c r="F72" s="696"/>
      <c r="G72" s="696"/>
      <c r="H72" s="696"/>
      <c r="I72" s="1050" t="str">
        <f t="shared" si="16"/>
        <v/>
      </c>
      <c r="J72" s="696"/>
      <c r="K72" s="697"/>
      <c r="L72" s="696"/>
      <c r="M72" s="198" t="str">
        <f t="shared" si="15"/>
        <v/>
      </c>
      <c r="N72" s="369" t="str">
        <f t="shared" si="13"/>
        <v/>
      </c>
      <c r="O72" s="183" t="str">
        <f t="shared" si="0"/>
        <v/>
      </c>
      <c r="P72" s="199" t="str">
        <f t="shared" si="1"/>
        <v/>
      </c>
      <c r="Q72" s="199" t="str">
        <f>IF(B72="","",IFERROR(IF('עלויות כח אדם (6)'!J72&gt;=VLOOKUP(I72,'סיווג התפקידים והעלויות'!$B$23:$C$32,2,0),"תקין","לא תקין"),""))</f>
        <v/>
      </c>
      <c r="R72" s="199" t="str">
        <f t="shared" si="2"/>
        <v/>
      </c>
      <c r="S72" s="199" t="str">
        <f t="shared" si="3"/>
        <v/>
      </c>
      <c r="T72" s="199" t="str">
        <f t="shared" si="14"/>
        <v/>
      </c>
      <c r="U72" s="199" t="str">
        <f t="shared" si="4"/>
        <v/>
      </c>
      <c r="V72" s="989"/>
      <c r="X72" s="374" t="str">
        <f t="shared" si="5"/>
        <v/>
      </c>
      <c r="Y72" s="375" t="str">
        <f t="shared" si="6"/>
        <v/>
      </c>
      <c r="Z72" s="374" t="str">
        <f t="shared" si="7"/>
        <v/>
      </c>
      <c r="AA72" s="374" t="b">
        <f t="shared" si="8"/>
        <v>1</v>
      </c>
      <c r="AB72" s="374">
        <f>COUNTIFS(B:B,B72,H:H,'סיווג התפקידים והעלויות'!$C$2)</f>
        <v>0</v>
      </c>
      <c r="AC72" s="374">
        <f>COUNTIFS(B:B,B72,H:H,'סיווג התפקידים והעלויות'!$D$2)</f>
        <v>0</v>
      </c>
      <c r="AD72" s="374" t="str">
        <f>IF(OR(AND(H72='סיווג התפקידים והעלויות'!$A$2,I72='סיווג התפקידים והעלויות'!$A$3),'עלויות כח אדם (6)'!H72='סיווג התפקידים והעלויות'!$C$2,'עלויות כח אדם (6)'!H72='סיווג התפקידים והעלויות'!$D$2),IF('עלויות כח אדם (6)'!J72&lt;75,"לא תקין","תקין"),"")</f>
        <v/>
      </c>
      <c r="AE72" s="374" t="str">
        <f t="shared" si="9"/>
        <v/>
      </c>
      <c r="AF72" s="532" t="str">
        <f t="shared" si="10"/>
        <v/>
      </c>
    </row>
    <row r="73" spans="2:32" x14ac:dyDescent="0.25">
      <c r="B73" s="695"/>
      <c r="C73" s="197" t="str">
        <f>IF(B73&lt;&gt;"",IFERROR(VLOOKUP(B:B,'מצבת והרשמה (2)'!$C$20:$N$520,2,0)," ")," ")</f>
        <v xml:space="preserve"> </v>
      </c>
      <c r="D73" s="695"/>
      <c r="E73" s="696"/>
      <c r="F73" s="696"/>
      <c r="G73" s="696"/>
      <c r="H73" s="696"/>
      <c r="I73" s="1050" t="str">
        <f t="shared" si="16"/>
        <v/>
      </c>
      <c r="J73" s="696"/>
      <c r="K73" s="697"/>
      <c r="L73" s="696"/>
      <c r="M73" s="198" t="str">
        <f t="shared" si="15"/>
        <v/>
      </c>
      <c r="N73" s="369" t="str">
        <f t="shared" si="13"/>
        <v/>
      </c>
      <c r="O73" s="183" t="str">
        <f t="shared" si="0"/>
        <v/>
      </c>
      <c r="P73" s="199" t="str">
        <f t="shared" si="1"/>
        <v/>
      </c>
      <c r="Q73" s="199" t="str">
        <f>IF(B73="","",IFERROR(IF('עלויות כח אדם (6)'!J73&gt;=VLOOKUP(I73,'סיווג התפקידים והעלויות'!$B$23:$C$32,2,0),"תקין","לא תקין"),""))</f>
        <v/>
      </c>
      <c r="R73" s="199" t="str">
        <f t="shared" si="2"/>
        <v/>
      </c>
      <c r="S73" s="199" t="str">
        <f t="shared" si="3"/>
        <v/>
      </c>
      <c r="T73" s="199" t="str">
        <f t="shared" si="14"/>
        <v/>
      </c>
      <c r="U73" s="199" t="str">
        <f t="shared" si="4"/>
        <v/>
      </c>
      <c r="V73" s="989"/>
      <c r="X73" s="374" t="str">
        <f t="shared" si="5"/>
        <v/>
      </c>
      <c r="Y73" s="375" t="str">
        <f t="shared" si="6"/>
        <v/>
      </c>
      <c r="Z73" s="374" t="str">
        <f t="shared" si="7"/>
        <v/>
      </c>
      <c r="AA73" s="374" t="b">
        <f t="shared" si="8"/>
        <v>1</v>
      </c>
      <c r="AB73" s="374">
        <f>COUNTIFS(B:B,B73,H:H,'סיווג התפקידים והעלויות'!$C$2)</f>
        <v>0</v>
      </c>
      <c r="AC73" s="374">
        <f>COUNTIFS(B:B,B73,H:H,'סיווג התפקידים והעלויות'!$D$2)</f>
        <v>0</v>
      </c>
      <c r="AD73" s="374" t="str">
        <f>IF(OR(AND(H73='סיווג התפקידים והעלויות'!$A$2,I73='סיווג התפקידים והעלויות'!$A$3),'עלויות כח אדם (6)'!H73='סיווג התפקידים והעלויות'!$C$2,'עלויות כח אדם (6)'!H73='סיווג התפקידים והעלויות'!$D$2),IF('עלויות כח אדם (6)'!J73&lt;75,"לא תקין","תקין"),"")</f>
        <v/>
      </c>
      <c r="AE73" s="374" t="str">
        <f t="shared" si="9"/>
        <v/>
      </c>
      <c r="AF73" s="532" t="str">
        <f t="shared" si="10"/>
        <v/>
      </c>
    </row>
    <row r="74" spans="2:32" x14ac:dyDescent="0.25">
      <c r="B74" s="695"/>
      <c r="C74" s="197" t="str">
        <f>IF(B74&lt;&gt;"",IFERROR(VLOOKUP(B:B,'מצבת והרשמה (2)'!$C$20:$N$520,2,0)," ")," ")</f>
        <v xml:space="preserve"> </v>
      </c>
      <c r="D74" s="695"/>
      <c r="E74" s="696"/>
      <c r="F74" s="696"/>
      <c r="G74" s="696"/>
      <c r="H74" s="696"/>
      <c r="I74" s="1050" t="str">
        <f t="shared" si="16"/>
        <v/>
      </c>
      <c r="J74" s="696"/>
      <c r="K74" s="697"/>
      <c r="L74" s="696"/>
      <c r="M74" s="198" t="str">
        <f t="shared" si="15"/>
        <v/>
      </c>
      <c r="N74" s="369" t="str">
        <f t="shared" si="13"/>
        <v/>
      </c>
      <c r="O74" s="183" t="str">
        <f t="shared" si="0"/>
        <v/>
      </c>
      <c r="P74" s="199" t="str">
        <f t="shared" si="1"/>
        <v/>
      </c>
      <c r="Q74" s="199" t="str">
        <f>IF(B74="","",IFERROR(IF('עלויות כח אדם (6)'!J74&gt;=VLOOKUP(I74,'סיווג התפקידים והעלויות'!$B$23:$C$32,2,0),"תקין","לא תקין"),""))</f>
        <v/>
      </c>
      <c r="R74" s="199" t="str">
        <f t="shared" si="2"/>
        <v/>
      </c>
      <c r="S74" s="199" t="str">
        <f t="shared" si="3"/>
        <v/>
      </c>
      <c r="T74" s="199" t="str">
        <f t="shared" si="14"/>
        <v/>
      </c>
      <c r="U74" s="199" t="str">
        <f t="shared" si="4"/>
        <v/>
      </c>
      <c r="V74" s="989"/>
      <c r="X74" s="374" t="str">
        <f t="shared" si="5"/>
        <v/>
      </c>
      <c r="Y74" s="375" t="str">
        <f t="shared" si="6"/>
        <v/>
      </c>
      <c r="Z74" s="374" t="str">
        <f t="shared" si="7"/>
        <v/>
      </c>
      <c r="AA74" s="374" t="b">
        <f t="shared" si="8"/>
        <v>1</v>
      </c>
      <c r="AB74" s="374">
        <f>COUNTIFS(B:B,B74,H:H,'סיווג התפקידים והעלויות'!$C$2)</f>
        <v>0</v>
      </c>
      <c r="AC74" s="374">
        <f>COUNTIFS(B:B,B74,H:H,'סיווג התפקידים והעלויות'!$D$2)</f>
        <v>0</v>
      </c>
      <c r="AD74" s="374" t="str">
        <f>IF(OR(AND(H74='סיווג התפקידים והעלויות'!$A$2,I74='סיווג התפקידים והעלויות'!$A$3),'עלויות כח אדם (6)'!H74='סיווג התפקידים והעלויות'!$C$2,'עלויות כח אדם (6)'!H74='סיווג התפקידים והעלויות'!$D$2),IF('עלויות כח אדם (6)'!J74&lt;75,"לא תקין","תקין"),"")</f>
        <v/>
      </c>
      <c r="AE74" s="374" t="str">
        <f t="shared" si="9"/>
        <v/>
      </c>
      <c r="AF74" s="532" t="str">
        <f t="shared" si="10"/>
        <v/>
      </c>
    </row>
    <row r="75" spans="2:32" x14ac:dyDescent="0.25">
      <c r="B75" s="695"/>
      <c r="C75" s="197" t="str">
        <f>IF(B75&lt;&gt;"",IFERROR(VLOOKUP(B:B,'מצבת והרשמה (2)'!$C$20:$N$520,2,0)," ")," ")</f>
        <v xml:space="preserve"> </v>
      </c>
      <c r="D75" s="695"/>
      <c r="E75" s="696"/>
      <c r="F75" s="696"/>
      <c r="G75" s="696"/>
      <c r="H75" s="696"/>
      <c r="I75" s="1050" t="str">
        <f t="shared" si="16"/>
        <v/>
      </c>
      <c r="J75" s="696"/>
      <c r="K75" s="697"/>
      <c r="L75" s="696"/>
      <c r="M75" s="198" t="str">
        <f t="shared" si="15"/>
        <v/>
      </c>
      <c r="N75" s="369" t="str">
        <f t="shared" si="13"/>
        <v/>
      </c>
      <c r="O75" s="183" t="str">
        <f t="shared" si="0"/>
        <v/>
      </c>
      <c r="P75" s="199" t="str">
        <f t="shared" si="1"/>
        <v/>
      </c>
      <c r="Q75" s="199" t="str">
        <f>IF(B75="","",IFERROR(IF('עלויות כח אדם (6)'!J75&gt;=VLOOKUP(I75,'סיווג התפקידים והעלויות'!$B$23:$C$32,2,0),"תקין","לא תקין"),""))</f>
        <v/>
      </c>
      <c r="R75" s="199" t="str">
        <f t="shared" si="2"/>
        <v/>
      </c>
      <c r="S75" s="199" t="str">
        <f t="shared" si="3"/>
        <v/>
      </c>
      <c r="T75" s="199" t="str">
        <f t="shared" si="14"/>
        <v/>
      </c>
      <c r="U75" s="199" t="str">
        <f t="shared" si="4"/>
        <v/>
      </c>
      <c r="V75" s="989"/>
      <c r="X75" s="374" t="str">
        <f t="shared" si="5"/>
        <v/>
      </c>
      <c r="Y75" s="375" t="str">
        <f t="shared" si="6"/>
        <v/>
      </c>
      <c r="Z75" s="374" t="str">
        <f t="shared" si="7"/>
        <v/>
      </c>
      <c r="AA75" s="374" t="b">
        <f t="shared" si="8"/>
        <v>1</v>
      </c>
      <c r="AB75" s="374">
        <f>COUNTIFS(B:B,B75,H:H,'סיווג התפקידים והעלויות'!$C$2)</f>
        <v>0</v>
      </c>
      <c r="AC75" s="374">
        <f>COUNTIFS(B:B,B75,H:H,'סיווג התפקידים והעלויות'!$D$2)</f>
        <v>0</v>
      </c>
      <c r="AD75" s="374" t="str">
        <f>IF(OR(AND(H75='סיווג התפקידים והעלויות'!$A$2,I75='סיווג התפקידים והעלויות'!$A$3),'עלויות כח אדם (6)'!H75='סיווג התפקידים והעלויות'!$C$2,'עלויות כח אדם (6)'!H75='סיווג התפקידים והעלויות'!$D$2),IF('עלויות כח אדם (6)'!J75&lt;75,"לא תקין","תקין"),"")</f>
        <v/>
      </c>
      <c r="AE75" s="374" t="str">
        <f t="shared" si="9"/>
        <v/>
      </c>
      <c r="AF75" s="532" t="str">
        <f t="shared" si="10"/>
        <v/>
      </c>
    </row>
    <row r="76" spans="2:32" x14ac:dyDescent="0.25">
      <c r="B76" s="695"/>
      <c r="C76" s="197" t="str">
        <f>IF(B76&lt;&gt;"",IFERROR(VLOOKUP(B:B,'מצבת והרשמה (2)'!$C$20:$N$520,2,0)," ")," ")</f>
        <v xml:space="preserve"> </v>
      </c>
      <c r="D76" s="695"/>
      <c r="E76" s="696"/>
      <c r="F76" s="696"/>
      <c r="G76" s="696"/>
      <c r="H76" s="696"/>
      <c r="I76" s="1050" t="str">
        <f t="shared" si="16"/>
        <v/>
      </c>
      <c r="J76" s="696"/>
      <c r="K76" s="697"/>
      <c r="L76" s="696"/>
      <c r="M76" s="198" t="str">
        <f t="shared" si="15"/>
        <v/>
      </c>
      <c r="N76" s="369" t="str">
        <f t="shared" si="13"/>
        <v/>
      </c>
      <c r="O76" s="183" t="str">
        <f t="shared" si="0"/>
        <v/>
      </c>
      <c r="P76" s="199" t="str">
        <f t="shared" si="1"/>
        <v/>
      </c>
      <c r="Q76" s="199" t="str">
        <f>IF(B76="","",IFERROR(IF('עלויות כח אדם (6)'!J76&gt;=VLOOKUP(I76,'סיווג התפקידים והעלויות'!$B$23:$C$32,2,0),"תקין","לא תקין"),""))</f>
        <v/>
      </c>
      <c r="R76" s="199" t="str">
        <f t="shared" si="2"/>
        <v/>
      </c>
      <c r="S76" s="199" t="str">
        <f t="shared" si="3"/>
        <v/>
      </c>
      <c r="T76" s="199" t="str">
        <f t="shared" si="14"/>
        <v/>
      </c>
      <c r="U76" s="199" t="str">
        <f t="shared" si="4"/>
        <v/>
      </c>
      <c r="V76" s="989"/>
      <c r="X76" s="374" t="str">
        <f t="shared" si="5"/>
        <v/>
      </c>
      <c r="Y76" s="375" t="str">
        <f t="shared" si="6"/>
        <v/>
      </c>
      <c r="Z76" s="374" t="str">
        <f t="shared" si="7"/>
        <v/>
      </c>
      <c r="AA76" s="374" t="b">
        <f t="shared" si="8"/>
        <v>1</v>
      </c>
      <c r="AB76" s="374">
        <f>COUNTIFS(B:B,B76,H:H,'סיווג התפקידים והעלויות'!$C$2)</f>
        <v>0</v>
      </c>
      <c r="AC76" s="374">
        <f>COUNTIFS(B:B,B76,H:H,'סיווג התפקידים והעלויות'!$D$2)</f>
        <v>0</v>
      </c>
      <c r="AD76" s="374" t="str">
        <f>IF(OR(AND(H76='סיווג התפקידים והעלויות'!$A$2,I76='סיווג התפקידים והעלויות'!$A$3),'עלויות כח אדם (6)'!H76='סיווג התפקידים והעלויות'!$C$2,'עלויות כח אדם (6)'!H76='סיווג התפקידים והעלויות'!$D$2),IF('עלויות כח אדם (6)'!J76&lt;75,"לא תקין","תקין"),"")</f>
        <v/>
      </c>
      <c r="AE76" s="374" t="str">
        <f t="shared" si="9"/>
        <v/>
      </c>
      <c r="AF76" s="532" t="str">
        <f t="shared" si="10"/>
        <v/>
      </c>
    </row>
    <row r="77" spans="2:32" x14ac:dyDescent="0.25">
      <c r="B77" s="695"/>
      <c r="C77" s="197" t="str">
        <f>IF(B77&lt;&gt;"",IFERROR(VLOOKUP(B:B,'מצבת והרשמה (2)'!$C$20:$N$520,2,0)," ")," ")</f>
        <v xml:space="preserve"> </v>
      </c>
      <c r="D77" s="695"/>
      <c r="E77" s="696"/>
      <c r="F77" s="696"/>
      <c r="G77" s="696"/>
      <c r="H77" s="696"/>
      <c r="I77" s="1050" t="str">
        <f t="shared" si="16"/>
        <v/>
      </c>
      <c r="J77" s="696"/>
      <c r="K77" s="697"/>
      <c r="L77" s="696"/>
      <c r="M77" s="198" t="str">
        <f t="shared" si="15"/>
        <v/>
      </c>
      <c r="N77" s="369" t="str">
        <f t="shared" si="13"/>
        <v/>
      </c>
      <c r="O77" s="183" t="str">
        <f t="shared" si="0"/>
        <v/>
      </c>
      <c r="P77" s="199" t="str">
        <f t="shared" si="1"/>
        <v/>
      </c>
      <c r="Q77" s="199" t="str">
        <f>IF(B77="","",IFERROR(IF('עלויות כח אדם (6)'!J77&gt;=VLOOKUP(I77,'סיווג התפקידים והעלויות'!$B$23:$C$32,2,0),"תקין","לא תקין"),""))</f>
        <v/>
      </c>
      <c r="R77" s="199" t="str">
        <f t="shared" si="2"/>
        <v/>
      </c>
      <c r="S77" s="199" t="str">
        <f t="shared" si="3"/>
        <v/>
      </c>
      <c r="T77" s="199" t="str">
        <f t="shared" si="14"/>
        <v/>
      </c>
      <c r="U77" s="199" t="str">
        <f t="shared" si="4"/>
        <v/>
      </c>
      <c r="V77" s="989"/>
      <c r="X77" s="374" t="str">
        <f t="shared" si="5"/>
        <v/>
      </c>
      <c r="Y77" s="375" t="str">
        <f t="shared" si="6"/>
        <v/>
      </c>
      <c r="Z77" s="374" t="str">
        <f t="shared" si="7"/>
        <v/>
      </c>
      <c r="AA77" s="374" t="b">
        <f t="shared" si="8"/>
        <v>1</v>
      </c>
      <c r="AB77" s="374">
        <f>COUNTIFS(B:B,B77,H:H,'סיווג התפקידים והעלויות'!$C$2)</f>
        <v>0</v>
      </c>
      <c r="AC77" s="374">
        <f>COUNTIFS(B:B,B77,H:H,'סיווג התפקידים והעלויות'!$D$2)</f>
        <v>0</v>
      </c>
      <c r="AD77" s="374" t="str">
        <f>IF(OR(AND(H77='סיווג התפקידים והעלויות'!$A$2,I77='סיווג התפקידים והעלויות'!$A$3),'עלויות כח אדם (6)'!H77='סיווג התפקידים והעלויות'!$C$2,'עלויות כח אדם (6)'!H77='סיווג התפקידים והעלויות'!$D$2),IF('עלויות כח אדם (6)'!J77&lt;75,"לא תקין","תקין"),"")</f>
        <v/>
      </c>
      <c r="AE77" s="374" t="str">
        <f t="shared" si="9"/>
        <v/>
      </c>
      <c r="AF77" s="532" t="str">
        <f t="shared" si="10"/>
        <v/>
      </c>
    </row>
    <row r="78" spans="2:32" x14ac:dyDescent="0.25">
      <c r="B78" s="695"/>
      <c r="C78" s="197" t="str">
        <f>IF(B78&lt;&gt;"",IFERROR(VLOOKUP(B:B,'מצבת והרשמה (2)'!$C$20:$N$520,2,0)," ")," ")</f>
        <v xml:space="preserve"> </v>
      </c>
      <c r="D78" s="695"/>
      <c r="E78" s="696"/>
      <c r="F78" s="696"/>
      <c r="G78" s="696"/>
      <c r="H78" s="696"/>
      <c r="I78" s="1050" t="str">
        <f t="shared" si="16"/>
        <v/>
      </c>
      <c r="J78" s="696"/>
      <c r="K78" s="697"/>
      <c r="L78" s="696"/>
      <c r="M78" s="198" t="str">
        <f t="shared" si="15"/>
        <v/>
      </c>
      <c r="N78" s="369" t="str">
        <f t="shared" si="13"/>
        <v/>
      </c>
      <c r="O78" s="183" t="str">
        <f t="shared" si="0"/>
        <v/>
      </c>
      <c r="P78" s="199" t="str">
        <f t="shared" si="1"/>
        <v/>
      </c>
      <c r="Q78" s="199" t="str">
        <f>IF(B78="","",IFERROR(IF('עלויות כח אדם (6)'!J78&gt;=VLOOKUP(I78,'סיווג התפקידים והעלויות'!$B$23:$C$32,2,0),"תקין","לא תקין"),""))</f>
        <v/>
      </c>
      <c r="R78" s="199" t="str">
        <f t="shared" si="2"/>
        <v/>
      </c>
      <c r="S78" s="199" t="str">
        <f t="shared" si="3"/>
        <v/>
      </c>
      <c r="T78" s="199" t="str">
        <f t="shared" si="14"/>
        <v/>
      </c>
      <c r="U78" s="199" t="str">
        <f t="shared" si="4"/>
        <v/>
      </c>
      <c r="V78" s="989"/>
      <c r="X78" s="374" t="str">
        <f t="shared" si="5"/>
        <v/>
      </c>
      <c r="Y78" s="375" t="str">
        <f t="shared" si="6"/>
        <v/>
      </c>
      <c r="Z78" s="374" t="str">
        <f t="shared" si="7"/>
        <v/>
      </c>
      <c r="AA78" s="374" t="b">
        <f t="shared" si="8"/>
        <v>1</v>
      </c>
      <c r="AB78" s="374">
        <f>COUNTIFS(B:B,B78,H:H,'סיווג התפקידים והעלויות'!$C$2)</f>
        <v>0</v>
      </c>
      <c r="AC78" s="374">
        <f>COUNTIFS(B:B,B78,H:H,'סיווג התפקידים והעלויות'!$D$2)</f>
        <v>0</v>
      </c>
      <c r="AD78" s="374" t="str">
        <f>IF(OR(AND(H78='סיווג התפקידים והעלויות'!$A$2,I78='סיווג התפקידים והעלויות'!$A$3),'עלויות כח אדם (6)'!H78='סיווג התפקידים והעלויות'!$C$2,'עלויות כח אדם (6)'!H78='סיווג התפקידים והעלויות'!$D$2),IF('עלויות כח אדם (6)'!J78&lt;75,"לא תקין","תקין"),"")</f>
        <v/>
      </c>
      <c r="AE78" s="374" t="str">
        <f t="shared" si="9"/>
        <v/>
      </c>
      <c r="AF78" s="532" t="str">
        <f t="shared" si="10"/>
        <v/>
      </c>
    </row>
    <row r="79" spans="2:32" x14ac:dyDescent="0.25">
      <c r="B79" s="695"/>
      <c r="C79" s="197" t="str">
        <f>IF(B79&lt;&gt;"",IFERROR(VLOOKUP(B:B,'מצבת והרשמה (2)'!$C$20:$N$520,2,0)," ")," ")</f>
        <v xml:space="preserve"> </v>
      </c>
      <c r="D79" s="695"/>
      <c r="E79" s="696"/>
      <c r="F79" s="696"/>
      <c r="G79" s="696"/>
      <c r="H79" s="696"/>
      <c r="I79" s="1050" t="str">
        <f t="shared" ref="I79:I142" si="17">SUBSTITUTE(IFERROR(IF(H79="מדצ","מדצ/ית",IF(H79="סגנית רכזת מעל 150","סגנ/ית רכז/ת&gt;150",IF(H79="רכזת תכנית בבית הספר","רכז/ת תכנית בבית הספר"))),""),"FALSE","")</f>
        <v/>
      </c>
      <c r="J79" s="696"/>
      <c r="K79" s="697"/>
      <c r="L79" s="696"/>
      <c r="M79" s="198" t="str">
        <f t="shared" ref="M79:M142" si="18">IF(AND(L79&gt;0,K79&gt;0),K79*L79,"")</f>
        <v/>
      </c>
      <c r="N79" s="369" t="str">
        <f t="shared" ref="N79:N142" si="19">TEXT(LEFT(H79,2),0)</f>
        <v/>
      </c>
      <c r="O79" s="183" t="str">
        <f t="shared" ref="O79:O142" si="20">IF(ISNUMBER(M79&gt;0),IF(ISBLANK(B79),"יש להזין סמל מוסד בעמודה B",""),"")</f>
        <v/>
      </c>
      <c r="P79" s="199" t="str">
        <f t="shared" ref="P79:P142" si="21">IF(B79="","",IF(AA79=FALSE,"לא תקין","תקין"))</f>
        <v/>
      </c>
      <c r="Q79" s="199" t="str">
        <f>IF(B79="","",IFERROR(IF('עלויות כח אדם (6)'!J79&gt;=VLOOKUP(I79,'סיווג התפקידים והעלויות'!$B$23:$C$32,2,0),"תקין","לא תקין"),""))</f>
        <v/>
      </c>
      <c r="R79" s="199" t="str">
        <f t="shared" ref="R79:R142" si="22">IF(B79="","",IF(OR(Y79&lt;100%,Y79&gt;140%),"לא תקין","תקין"))</f>
        <v/>
      </c>
      <c r="S79" s="199" t="str">
        <f t="shared" ref="S79:S142" si="23">IF(B79="","",IFERROR(IF(J79&gt;120,"לא תקין","תקין"),""))</f>
        <v/>
      </c>
      <c r="T79" s="199" t="str">
        <f t="shared" si="14"/>
        <v/>
      </c>
      <c r="U79" s="199" t="str">
        <f t="shared" ref="U79:U142" si="24">IF(B79="","",IF(Z79&gt;1,IF(SUMIF(D:D,D79,L:L)&gt;90,"לא תקין","תקין"),"תקין"))</f>
        <v/>
      </c>
      <c r="V79" s="989"/>
      <c r="X79" s="374" t="str">
        <f t="shared" ref="X79:X142" si="25">IF(B79="","",IF(OR(R79="לא תקין",S79="לא תקין",T79="לא תקין",,U79="לא תקין"),"לא תקין","תקין"))</f>
        <v/>
      </c>
      <c r="Y79" s="375" t="str">
        <f t="shared" ref="Y79:Y142" si="26">IFERROR(IF(B79="","",K79/J79),"")</f>
        <v/>
      </c>
      <c r="Z79" s="374" t="str">
        <f t="shared" ref="Z79:Z142" si="27">IF(B79="","",COUNTIF(D:D,D79))</f>
        <v/>
      </c>
      <c r="AA79" s="374" t="b">
        <f t="shared" ref="AA79:AA142" si="28">MOD(MID(REPT(0,9-LEN(D79))&amp;D79,1,1)+MID("0246813579",MID(REPT(0,9-LEN(D79))&amp;D79,2,1)+1,1)+MID(REPT(0,9-LEN(D79))&amp;D79,3,1)+MID("0246813579",MID(REPT(0,9-LEN(D79))&amp;D79,4,1)+1,1)+MID(REPT(0,9-LEN(D79))&amp;D79,5,1)+MID("0246813579",MID(REPT(0,9-LEN(D79))&amp;D79,6,1)+1,1)+MID(REPT(0,9-LEN(D79))&amp;D79,7,1)+MID("0246813579",MID(REPT(0,9-LEN(D79))&amp;D79,8,1)+1,1)+MID(REPT(0,9-LEN(D79))&amp;D79,9,1),10)=0</f>
        <v>1</v>
      </c>
      <c r="AB79" s="374">
        <f>COUNTIFS(B:B,B79,H:H,'סיווג התפקידים והעלויות'!$C$2)</f>
        <v>0</v>
      </c>
      <c r="AC79" s="374">
        <f>COUNTIFS(B:B,B79,H:H,'סיווג התפקידים והעלויות'!$D$2)</f>
        <v>0</v>
      </c>
      <c r="AD79" s="374" t="str">
        <f>IF(OR(AND(H79='סיווג התפקידים והעלויות'!$A$2,I79='סיווג התפקידים והעלויות'!$A$3),'עלויות כח אדם (6)'!H79='סיווג התפקידים והעלויות'!$C$2,'עלויות כח אדם (6)'!H79='סיווג התפקידים והעלויות'!$D$2),IF('עלויות כח אדם (6)'!J79&lt;75,"לא תקין","תקין"),"")</f>
        <v/>
      </c>
      <c r="AE79" s="374" t="str">
        <f t="shared" ref="AE79:AE142" si="29">IF(B79&lt;&gt;"",B79&amp;H79,"")</f>
        <v/>
      </c>
      <c r="AF79" s="532" t="str">
        <f t="shared" ref="AF79:AF142" si="30">M79</f>
        <v/>
      </c>
    </row>
    <row r="80" spans="2:32" x14ac:dyDescent="0.25">
      <c r="B80" s="695"/>
      <c r="C80" s="197" t="str">
        <f>IF(B80&lt;&gt;"",IFERROR(VLOOKUP(B:B,'מצבת והרשמה (2)'!$C$20:$N$520,2,0)," ")," ")</f>
        <v xml:space="preserve"> </v>
      </c>
      <c r="D80" s="695"/>
      <c r="E80" s="696"/>
      <c r="F80" s="696"/>
      <c r="G80" s="696"/>
      <c r="H80" s="696"/>
      <c r="I80" s="1050" t="str">
        <f t="shared" si="17"/>
        <v/>
      </c>
      <c r="J80" s="696"/>
      <c r="K80" s="697"/>
      <c r="L80" s="696"/>
      <c r="M80" s="198" t="str">
        <f t="shared" si="18"/>
        <v/>
      </c>
      <c r="N80" s="369" t="str">
        <f t="shared" si="19"/>
        <v/>
      </c>
      <c r="O80" s="183" t="str">
        <f t="shared" si="20"/>
        <v/>
      </c>
      <c r="P80" s="199" t="str">
        <f t="shared" si="21"/>
        <v/>
      </c>
      <c r="Q80" s="199" t="str">
        <f>IF(B80="","",IFERROR(IF('עלויות כח אדם (6)'!J80&gt;=VLOOKUP(I80,'סיווג התפקידים והעלויות'!$B$23:$C$32,2,0),"תקין","לא תקין"),""))</f>
        <v/>
      </c>
      <c r="R80" s="199" t="str">
        <f t="shared" si="22"/>
        <v/>
      </c>
      <c r="S80" s="199" t="str">
        <f t="shared" si="23"/>
        <v/>
      </c>
      <c r="T80" s="199" t="str">
        <f t="shared" ref="T80:T143" si="31">IF(B80="","",IF(H80="","יש להזין איש צוות",IF(OR(H80="מורה",H80="גננת",H80="רכז גן",H80="רכזת גן",H80="סייעת",H80="מדצית",H80="מדצ",H80="מדריך",H80="מדריכה",H80="תוספת כח אדם"),IF(L80&lt;=90,"תקין","לא תקין"),IF(OR(H80="רכז בית ספר",H80="רכזת תכנית בבית הספר",H80="רכזת בית ספר"),IF(L80&lt;=137,"תקין","לא תקין"),IF(OR(H80="סגנית רכזת מעל 150",H80="סגן רכז"),IF(L80&lt;=93,"תקין","לא תקין"),"לא תקין")))))</f>
        <v/>
      </c>
      <c r="U80" s="199" t="str">
        <f t="shared" si="24"/>
        <v/>
      </c>
      <c r="V80" s="989"/>
      <c r="X80" s="374" t="str">
        <f t="shared" si="25"/>
        <v/>
      </c>
      <c r="Y80" s="375" t="str">
        <f t="shared" si="26"/>
        <v/>
      </c>
      <c r="Z80" s="374" t="str">
        <f t="shared" si="27"/>
        <v/>
      </c>
      <c r="AA80" s="374" t="b">
        <f t="shared" si="28"/>
        <v>1</v>
      </c>
      <c r="AB80" s="374">
        <f>COUNTIFS(B:B,B80,H:H,'סיווג התפקידים והעלויות'!$C$2)</f>
        <v>0</v>
      </c>
      <c r="AC80" s="374">
        <f>COUNTIFS(B:B,B80,H:H,'סיווג התפקידים והעלויות'!$D$2)</f>
        <v>0</v>
      </c>
      <c r="AD80" s="374" t="str">
        <f>IF(OR(AND(H80='סיווג התפקידים והעלויות'!$A$2,I80='סיווג התפקידים והעלויות'!$A$3),'עלויות כח אדם (6)'!H80='סיווג התפקידים והעלויות'!$C$2,'עלויות כח אדם (6)'!H80='סיווג התפקידים והעלויות'!$D$2),IF('עלויות כח אדם (6)'!J80&lt;75,"לא תקין","תקין"),"")</f>
        <v/>
      </c>
      <c r="AE80" s="374" t="str">
        <f t="shared" si="29"/>
        <v/>
      </c>
      <c r="AF80" s="532" t="str">
        <f t="shared" si="30"/>
        <v/>
      </c>
    </row>
    <row r="81" spans="2:32" x14ac:dyDescent="0.25">
      <c r="B81" s="695"/>
      <c r="C81" s="197" t="str">
        <f>IF(B81&lt;&gt;"",IFERROR(VLOOKUP(B:B,'מצבת והרשמה (2)'!$C$20:$N$520,2,0)," ")," ")</f>
        <v xml:space="preserve"> </v>
      </c>
      <c r="D81" s="695"/>
      <c r="E81" s="696"/>
      <c r="F81" s="696"/>
      <c r="G81" s="696"/>
      <c r="H81" s="696"/>
      <c r="I81" s="1050" t="str">
        <f t="shared" si="17"/>
        <v/>
      </c>
      <c r="J81" s="696"/>
      <c r="K81" s="697"/>
      <c r="L81" s="696"/>
      <c r="M81" s="198" t="str">
        <f t="shared" si="18"/>
        <v/>
      </c>
      <c r="N81" s="369" t="str">
        <f t="shared" si="19"/>
        <v/>
      </c>
      <c r="O81" s="183" t="str">
        <f t="shared" si="20"/>
        <v/>
      </c>
      <c r="P81" s="199" t="str">
        <f t="shared" si="21"/>
        <v/>
      </c>
      <c r="Q81" s="199" t="str">
        <f>IF(B81="","",IFERROR(IF('עלויות כח אדם (6)'!J81&gt;=VLOOKUP(I81,'סיווג התפקידים והעלויות'!$B$23:$C$32,2,0),"תקין","לא תקין"),""))</f>
        <v/>
      </c>
      <c r="R81" s="199" t="str">
        <f t="shared" si="22"/>
        <v/>
      </c>
      <c r="S81" s="199" t="str">
        <f t="shared" si="23"/>
        <v/>
      </c>
      <c r="T81" s="199" t="str">
        <f t="shared" si="31"/>
        <v/>
      </c>
      <c r="U81" s="199" t="str">
        <f t="shared" si="24"/>
        <v/>
      </c>
      <c r="V81" s="989"/>
      <c r="X81" s="374" t="str">
        <f t="shared" si="25"/>
        <v/>
      </c>
      <c r="Y81" s="375" t="str">
        <f t="shared" si="26"/>
        <v/>
      </c>
      <c r="Z81" s="374" t="str">
        <f t="shared" si="27"/>
        <v/>
      </c>
      <c r="AA81" s="374" t="b">
        <f t="shared" si="28"/>
        <v>1</v>
      </c>
      <c r="AB81" s="374">
        <f>COUNTIFS(B:B,B81,H:H,'סיווג התפקידים והעלויות'!$C$2)</f>
        <v>0</v>
      </c>
      <c r="AC81" s="374">
        <f>COUNTIFS(B:B,B81,H:H,'סיווג התפקידים והעלויות'!$D$2)</f>
        <v>0</v>
      </c>
      <c r="AD81" s="374" t="str">
        <f>IF(OR(AND(H81='סיווג התפקידים והעלויות'!$A$2,I81='סיווג התפקידים והעלויות'!$A$3),'עלויות כח אדם (6)'!H81='סיווג התפקידים והעלויות'!$C$2,'עלויות כח אדם (6)'!H81='סיווג התפקידים והעלויות'!$D$2),IF('עלויות כח אדם (6)'!J81&lt;75,"לא תקין","תקין"),"")</f>
        <v/>
      </c>
      <c r="AE81" s="374" t="str">
        <f t="shared" si="29"/>
        <v/>
      </c>
      <c r="AF81" s="532" t="str">
        <f t="shared" si="30"/>
        <v/>
      </c>
    </row>
    <row r="82" spans="2:32" x14ac:dyDescent="0.25">
      <c r="B82" s="695"/>
      <c r="C82" s="197" t="str">
        <f>IF(B82&lt;&gt;"",IFERROR(VLOOKUP(B:B,'מצבת והרשמה (2)'!$C$20:$N$520,2,0)," ")," ")</f>
        <v xml:space="preserve"> </v>
      </c>
      <c r="D82" s="695"/>
      <c r="E82" s="696"/>
      <c r="F82" s="696"/>
      <c r="G82" s="696"/>
      <c r="H82" s="696"/>
      <c r="I82" s="1050" t="str">
        <f t="shared" si="17"/>
        <v/>
      </c>
      <c r="J82" s="696"/>
      <c r="K82" s="697"/>
      <c r="L82" s="696"/>
      <c r="M82" s="198" t="str">
        <f t="shared" si="18"/>
        <v/>
      </c>
      <c r="N82" s="369" t="str">
        <f t="shared" si="19"/>
        <v/>
      </c>
      <c r="O82" s="183" t="str">
        <f t="shared" si="20"/>
        <v/>
      </c>
      <c r="P82" s="199" t="str">
        <f t="shared" si="21"/>
        <v/>
      </c>
      <c r="Q82" s="199" t="str">
        <f>IF(B82="","",IFERROR(IF('עלויות כח אדם (6)'!J82&gt;=VLOOKUP(I82,'סיווג התפקידים והעלויות'!$B$23:$C$32,2,0),"תקין","לא תקין"),""))</f>
        <v/>
      </c>
      <c r="R82" s="199" t="str">
        <f t="shared" si="22"/>
        <v/>
      </c>
      <c r="S82" s="199" t="str">
        <f t="shared" si="23"/>
        <v/>
      </c>
      <c r="T82" s="199" t="str">
        <f t="shared" si="31"/>
        <v/>
      </c>
      <c r="U82" s="199" t="str">
        <f t="shared" si="24"/>
        <v/>
      </c>
      <c r="V82" s="989"/>
      <c r="X82" s="374" t="str">
        <f t="shared" si="25"/>
        <v/>
      </c>
      <c r="Y82" s="375" t="str">
        <f t="shared" si="26"/>
        <v/>
      </c>
      <c r="Z82" s="374" t="str">
        <f t="shared" si="27"/>
        <v/>
      </c>
      <c r="AA82" s="374" t="b">
        <f t="shared" si="28"/>
        <v>1</v>
      </c>
      <c r="AB82" s="374">
        <f>COUNTIFS(B:B,B82,H:H,'סיווג התפקידים והעלויות'!$C$2)</f>
        <v>0</v>
      </c>
      <c r="AC82" s="374">
        <f>COUNTIFS(B:B,B82,H:H,'סיווג התפקידים והעלויות'!$D$2)</f>
        <v>0</v>
      </c>
      <c r="AD82" s="374" t="str">
        <f>IF(OR(AND(H82='סיווג התפקידים והעלויות'!$A$2,I82='סיווג התפקידים והעלויות'!$A$3),'עלויות כח אדם (6)'!H82='סיווג התפקידים והעלויות'!$C$2,'עלויות כח אדם (6)'!H82='סיווג התפקידים והעלויות'!$D$2),IF('עלויות כח אדם (6)'!J82&lt;75,"לא תקין","תקין"),"")</f>
        <v/>
      </c>
      <c r="AE82" s="374" t="str">
        <f t="shared" si="29"/>
        <v/>
      </c>
      <c r="AF82" s="532" t="str">
        <f t="shared" si="30"/>
        <v/>
      </c>
    </row>
    <row r="83" spans="2:32" x14ac:dyDescent="0.25">
      <c r="B83" s="695"/>
      <c r="C83" s="197" t="str">
        <f>IF(B83&lt;&gt;"",IFERROR(VLOOKUP(B:B,'מצבת והרשמה (2)'!$C$20:$N$520,2,0)," ")," ")</f>
        <v xml:space="preserve"> </v>
      </c>
      <c r="D83" s="695"/>
      <c r="E83" s="696"/>
      <c r="F83" s="696"/>
      <c r="G83" s="696"/>
      <c r="H83" s="696"/>
      <c r="I83" s="1050" t="str">
        <f t="shared" si="17"/>
        <v/>
      </c>
      <c r="J83" s="696"/>
      <c r="K83" s="697"/>
      <c r="L83" s="696"/>
      <c r="M83" s="198" t="str">
        <f t="shared" si="18"/>
        <v/>
      </c>
      <c r="N83" s="369" t="str">
        <f t="shared" si="19"/>
        <v/>
      </c>
      <c r="O83" s="183" t="str">
        <f t="shared" si="20"/>
        <v/>
      </c>
      <c r="P83" s="199" t="str">
        <f t="shared" si="21"/>
        <v/>
      </c>
      <c r="Q83" s="199" t="str">
        <f>IF(B83="","",IFERROR(IF('עלויות כח אדם (6)'!J83&gt;=VLOOKUP(I83,'סיווג התפקידים והעלויות'!$B$23:$C$32,2,0),"תקין","לא תקין"),""))</f>
        <v/>
      </c>
      <c r="R83" s="199" t="str">
        <f t="shared" si="22"/>
        <v/>
      </c>
      <c r="S83" s="199" t="str">
        <f t="shared" si="23"/>
        <v/>
      </c>
      <c r="T83" s="199" t="str">
        <f t="shared" si="31"/>
        <v/>
      </c>
      <c r="U83" s="199" t="str">
        <f t="shared" si="24"/>
        <v/>
      </c>
      <c r="V83" s="989"/>
      <c r="X83" s="374" t="str">
        <f t="shared" si="25"/>
        <v/>
      </c>
      <c r="Y83" s="375" t="str">
        <f t="shared" si="26"/>
        <v/>
      </c>
      <c r="Z83" s="374" t="str">
        <f t="shared" si="27"/>
        <v/>
      </c>
      <c r="AA83" s="374" t="b">
        <f t="shared" si="28"/>
        <v>1</v>
      </c>
      <c r="AB83" s="374">
        <f>COUNTIFS(B:B,B83,H:H,'סיווג התפקידים והעלויות'!$C$2)</f>
        <v>0</v>
      </c>
      <c r="AC83" s="374">
        <f>COUNTIFS(B:B,B83,H:H,'סיווג התפקידים והעלויות'!$D$2)</f>
        <v>0</v>
      </c>
      <c r="AD83" s="374" t="str">
        <f>IF(OR(AND(H83='סיווג התפקידים והעלויות'!$A$2,I83='סיווג התפקידים והעלויות'!$A$3),'עלויות כח אדם (6)'!H83='סיווג התפקידים והעלויות'!$C$2,'עלויות כח אדם (6)'!H83='סיווג התפקידים והעלויות'!$D$2),IF('עלויות כח אדם (6)'!J83&lt;75,"לא תקין","תקין"),"")</f>
        <v/>
      </c>
      <c r="AE83" s="374" t="str">
        <f t="shared" si="29"/>
        <v/>
      </c>
      <c r="AF83" s="532" t="str">
        <f t="shared" si="30"/>
        <v/>
      </c>
    </row>
    <row r="84" spans="2:32" x14ac:dyDescent="0.25">
      <c r="B84" s="695"/>
      <c r="C84" s="197" t="str">
        <f>IF(B84&lt;&gt;"",IFERROR(VLOOKUP(B:B,'מצבת והרשמה (2)'!$C$20:$N$520,2,0)," ")," ")</f>
        <v xml:space="preserve"> </v>
      </c>
      <c r="D84" s="695"/>
      <c r="E84" s="696"/>
      <c r="F84" s="696"/>
      <c r="G84" s="696"/>
      <c r="H84" s="696"/>
      <c r="I84" s="1050" t="str">
        <f t="shared" si="17"/>
        <v/>
      </c>
      <c r="J84" s="696"/>
      <c r="K84" s="697"/>
      <c r="L84" s="696"/>
      <c r="M84" s="198" t="str">
        <f t="shared" si="18"/>
        <v/>
      </c>
      <c r="N84" s="369" t="str">
        <f t="shared" si="19"/>
        <v/>
      </c>
      <c r="O84" s="183" t="str">
        <f t="shared" si="20"/>
        <v/>
      </c>
      <c r="P84" s="199" t="str">
        <f t="shared" si="21"/>
        <v/>
      </c>
      <c r="Q84" s="199" t="str">
        <f>IF(B84="","",IFERROR(IF('עלויות כח אדם (6)'!J84&gt;=VLOOKUP(I84,'סיווג התפקידים והעלויות'!$B$23:$C$32,2,0),"תקין","לא תקין"),""))</f>
        <v/>
      </c>
      <c r="R84" s="199" t="str">
        <f t="shared" si="22"/>
        <v/>
      </c>
      <c r="S84" s="199" t="str">
        <f t="shared" si="23"/>
        <v/>
      </c>
      <c r="T84" s="199" t="str">
        <f t="shared" si="31"/>
        <v/>
      </c>
      <c r="U84" s="199" t="str">
        <f t="shared" si="24"/>
        <v/>
      </c>
      <c r="V84" s="989"/>
      <c r="X84" s="374" t="str">
        <f t="shared" si="25"/>
        <v/>
      </c>
      <c r="Y84" s="375" t="str">
        <f t="shared" si="26"/>
        <v/>
      </c>
      <c r="Z84" s="374" t="str">
        <f t="shared" si="27"/>
        <v/>
      </c>
      <c r="AA84" s="374" t="b">
        <f t="shared" si="28"/>
        <v>1</v>
      </c>
      <c r="AB84" s="374">
        <f>COUNTIFS(B:B,B84,H:H,'סיווג התפקידים והעלויות'!$C$2)</f>
        <v>0</v>
      </c>
      <c r="AC84" s="374">
        <f>COUNTIFS(B:B,B84,H:H,'סיווג התפקידים והעלויות'!$D$2)</f>
        <v>0</v>
      </c>
      <c r="AD84" s="374" t="str">
        <f>IF(OR(AND(H84='סיווג התפקידים והעלויות'!$A$2,I84='סיווג התפקידים והעלויות'!$A$3),'עלויות כח אדם (6)'!H84='סיווג התפקידים והעלויות'!$C$2,'עלויות כח אדם (6)'!H84='סיווג התפקידים והעלויות'!$D$2),IF('עלויות כח אדם (6)'!J84&lt;75,"לא תקין","תקין"),"")</f>
        <v/>
      </c>
      <c r="AE84" s="374" t="str">
        <f t="shared" si="29"/>
        <v/>
      </c>
      <c r="AF84" s="532" t="str">
        <f t="shared" si="30"/>
        <v/>
      </c>
    </row>
    <row r="85" spans="2:32" x14ac:dyDescent="0.25">
      <c r="B85" s="695"/>
      <c r="C85" s="197" t="str">
        <f>IF(B85&lt;&gt;"",IFERROR(VLOOKUP(B:B,'מצבת והרשמה (2)'!$C$20:$N$520,2,0)," ")," ")</f>
        <v xml:space="preserve"> </v>
      </c>
      <c r="D85" s="695"/>
      <c r="E85" s="696"/>
      <c r="F85" s="696"/>
      <c r="G85" s="696"/>
      <c r="H85" s="696"/>
      <c r="I85" s="1050" t="str">
        <f t="shared" si="17"/>
        <v/>
      </c>
      <c r="J85" s="696"/>
      <c r="K85" s="697"/>
      <c r="L85" s="696"/>
      <c r="M85" s="198" t="str">
        <f t="shared" si="18"/>
        <v/>
      </c>
      <c r="N85" s="369" t="str">
        <f t="shared" si="19"/>
        <v/>
      </c>
      <c r="O85" s="183" t="str">
        <f t="shared" si="20"/>
        <v/>
      </c>
      <c r="P85" s="199" t="str">
        <f t="shared" si="21"/>
        <v/>
      </c>
      <c r="Q85" s="199" t="str">
        <f>IF(B85="","",IFERROR(IF('עלויות כח אדם (6)'!J85&gt;=VLOOKUP(I85,'סיווג התפקידים והעלויות'!$B$23:$C$32,2,0),"תקין","לא תקין"),""))</f>
        <v/>
      </c>
      <c r="R85" s="199" t="str">
        <f t="shared" si="22"/>
        <v/>
      </c>
      <c r="S85" s="199" t="str">
        <f t="shared" si="23"/>
        <v/>
      </c>
      <c r="T85" s="199" t="str">
        <f t="shared" si="31"/>
        <v/>
      </c>
      <c r="U85" s="199" t="str">
        <f t="shared" si="24"/>
        <v/>
      </c>
      <c r="V85" s="989"/>
      <c r="X85" s="374" t="str">
        <f t="shared" si="25"/>
        <v/>
      </c>
      <c r="Y85" s="375" t="str">
        <f t="shared" si="26"/>
        <v/>
      </c>
      <c r="Z85" s="374" t="str">
        <f t="shared" si="27"/>
        <v/>
      </c>
      <c r="AA85" s="374" t="b">
        <f t="shared" si="28"/>
        <v>1</v>
      </c>
      <c r="AB85" s="374">
        <f>COUNTIFS(B:B,B85,H:H,'סיווג התפקידים והעלויות'!$C$2)</f>
        <v>0</v>
      </c>
      <c r="AC85" s="374">
        <f>COUNTIFS(B:B,B85,H:H,'סיווג התפקידים והעלויות'!$D$2)</f>
        <v>0</v>
      </c>
      <c r="AD85" s="374" t="str">
        <f>IF(OR(AND(H85='סיווג התפקידים והעלויות'!$A$2,I85='סיווג התפקידים והעלויות'!$A$3),'עלויות כח אדם (6)'!H85='סיווג התפקידים והעלויות'!$C$2,'עלויות כח אדם (6)'!H85='סיווג התפקידים והעלויות'!$D$2),IF('עלויות כח אדם (6)'!J85&lt;75,"לא תקין","תקין"),"")</f>
        <v/>
      </c>
      <c r="AE85" s="374" t="str">
        <f t="shared" si="29"/>
        <v/>
      </c>
      <c r="AF85" s="532" t="str">
        <f t="shared" si="30"/>
        <v/>
      </c>
    </row>
    <row r="86" spans="2:32" x14ac:dyDescent="0.25">
      <c r="B86" s="695"/>
      <c r="C86" s="197" t="str">
        <f>IF(B86&lt;&gt;"",IFERROR(VLOOKUP(B:B,'מצבת והרשמה (2)'!$C$20:$N$520,2,0)," ")," ")</f>
        <v xml:space="preserve"> </v>
      </c>
      <c r="D86" s="695"/>
      <c r="E86" s="696"/>
      <c r="F86" s="696"/>
      <c r="G86" s="696"/>
      <c r="H86" s="696"/>
      <c r="I86" s="1050" t="str">
        <f t="shared" si="17"/>
        <v/>
      </c>
      <c r="J86" s="696"/>
      <c r="K86" s="697"/>
      <c r="L86" s="696"/>
      <c r="M86" s="198" t="str">
        <f t="shared" si="18"/>
        <v/>
      </c>
      <c r="N86" s="369" t="str">
        <f t="shared" si="19"/>
        <v/>
      </c>
      <c r="O86" s="183" t="str">
        <f t="shared" si="20"/>
        <v/>
      </c>
      <c r="P86" s="199" t="str">
        <f t="shared" si="21"/>
        <v/>
      </c>
      <c r="Q86" s="199" t="str">
        <f>IF(B86="","",IFERROR(IF('עלויות כח אדם (6)'!J86&gt;=VLOOKUP(I86,'סיווג התפקידים והעלויות'!$B$23:$C$32,2,0),"תקין","לא תקין"),""))</f>
        <v/>
      </c>
      <c r="R86" s="199" t="str">
        <f t="shared" si="22"/>
        <v/>
      </c>
      <c r="S86" s="199" t="str">
        <f t="shared" si="23"/>
        <v/>
      </c>
      <c r="T86" s="199" t="str">
        <f t="shared" si="31"/>
        <v/>
      </c>
      <c r="U86" s="199" t="str">
        <f t="shared" si="24"/>
        <v/>
      </c>
      <c r="V86" s="989"/>
      <c r="X86" s="374" t="str">
        <f t="shared" si="25"/>
        <v/>
      </c>
      <c r="Y86" s="375" t="str">
        <f t="shared" si="26"/>
        <v/>
      </c>
      <c r="Z86" s="374" t="str">
        <f t="shared" si="27"/>
        <v/>
      </c>
      <c r="AA86" s="374" t="b">
        <f t="shared" si="28"/>
        <v>1</v>
      </c>
      <c r="AB86" s="374">
        <f>COUNTIFS(B:B,B86,H:H,'סיווג התפקידים והעלויות'!$C$2)</f>
        <v>0</v>
      </c>
      <c r="AC86" s="374">
        <f>COUNTIFS(B:B,B86,H:H,'סיווג התפקידים והעלויות'!$D$2)</f>
        <v>0</v>
      </c>
      <c r="AD86" s="374" t="str">
        <f>IF(OR(AND(H86='סיווג התפקידים והעלויות'!$A$2,I86='סיווג התפקידים והעלויות'!$A$3),'עלויות כח אדם (6)'!H86='סיווג התפקידים והעלויות'!$C$2,'עלויות כח אדם (6)'!H86='סיווג התפקידים והעלויות'!$D$2),IF('עלויות כח אדם (6)'!J86&lt;75,"לא תקין","תקין"),"")</f>
        <v/>
      </c>
      <c r="AE86" s="374" t="str">
        <f t="shared" si="29"/>
        <v/>
      </c>
      <c r="AF86" s="532" t="str">
        <f t="shared" si="30"/>
        <v/>
      </c>
    </row>
    <row r="87" spans="2:32" x14ac:dyDescent="0.25">
      <c r="B87" s="695"/>
      <c r="C87" s="197" t="str">
        <f>IF(B87&lt;&gt;"",IFERROR(VLOOKUP(B:B,'מצבת והרשמה (2)'!$C$20:$N$520,2,0)," ")," ")</f>
        <v xml:space="preserve"> </v>
      </c>
      <c r="D87" s="695"/>
      <c r="E87" s="696"/>
      <c r="F87" s="696"/>
      <c r="G87" s="696"/>
      <c r="H87" s="696"/>
      <c r="I87" s="1050" t="str">
        <f t="shared" si="17"/>
        <v/>
      </c>
      <c r="J87" s="696"/>
      <c r="K87" s="697"/>
      <c r="L87" s="696"/>
      <c r="M87" s="198" t="str">
        <f t="shared" si="18"/>
        <v/>
      </c>
      <c r="N87" s="369" t="str">
        <f t="shared" si="19"/>
        <v/>
      </c>
      <c r="O87" s="183" t="str">
        <f t="shared" si="20"/>
        <v/>
      </c>
      <c r="P87" s="199" t="str">
        <f t="shared" si="21"/>
        <v/>
      </c>
      <c r="Q87" s="199" t="str">
        <f>IF(B87="","",IFERROR(IF('עלויות כח אדם (6)'!J87&gt;=VLOOKUP(I87,'סיווג התפקידים והעלויות'!$B$23:$C$32,2,0),"תקין","לא תקין"),""))</f>
        <v/>
      </c>
      <c r="R87" s="199" t="str">
        <f t="shared" si="22"/>
        <v/>
      </c>
      <c r="S87" s="199" t="str">
        <f t="shared" si="23"/>
        <v/>
      </c>
      <c r="T87" s="199" t="str">
        <f t="shared" si="31"/>
        <v/>
      </c>
      <c r="U87" s="199" t="str">
        <f t="shared" si="24"/>
        <v/>
      </c>
      <c r="V87" s="989"/>
      <c r="X87" s="374" t="str">
        <f t="shared" si="25"/>
        <v/>
      </c>
      <c r="Y87" s="375" t="str">
        <f t="shared" si="26"/>
        <v/>
      </c>
      <c r="Z87" s="374" t="str">
        <f t="shared" si="27"/>
        <v/>
      </c>
      <c r="AA87" s="374" t="b">
        <f t="shared" si="28"/>
        <v>1</v>
      </c>
      <c r="AB87" s="374">
        <f>COUNTIFS(B:B,B87,H:H,'סיווג התפקידים והעלויות'!$C$2)</f>
        <v>0</v>
      </c>
      <c r="AC87" s="374">
        <f>COUNTIFS(B:B,B87,H:H,'סיווג התפקידים והעלויות'!$D$2)</f>
        <v>0</v>
      </c>
      <c r="AD87" s="374" t="str">
        <f>IF(OR(AND(H87='סיווג התפקידים והעלויות'!$A$2,I87='סיווג התפקידים והעלויות'!$A$3),'עלויות כח אדם (6)'!H87='סיווג התפקידים והעלויות'!$C$2,'עלויות כח אדם (6)'!H87='סיווג התפקידים והעלויות'!$D$2),IF('עלויות כח אדם (6)'!J87&lt;75,"לא תקין","תקין"),"")</f>
        <v/>
      </c>
      <c r="AE87" s="374" t="str">
        <f t="shared" si="29"/>
        <v/>
      </c>
      <c r="AF87" s="532" t="str">
        <f t="shared" si="30"/>
        <v/>
      </c>
    </row>
    <row r="88" spans="2:32" x14ac:dyDescent="0.25">
      <c r="B88" s="695"/>
      <c r="C88" s="197" t="str">
        <f>IF(B88&lt;&gt;"",IFERROR(VLOOKUP(B:B,'מצבת והרשמה (2)'!$C$20:$N$520,2,0)," ")," ")</f>
        <v xml:space="preserve"> </v>
      </c>
      <c r="D88" s="695"/>
      <c r="E88" s="696"/>
      <c r="F88" s="696"/>
      <c r="G88" s="696"/>
      <c r="H88" s="696"/>
      <c r="I88" s="1050" t="str">
        <f t="shared" si="17"/>
        <v/>
      </c>
      <c r="J88" s="696"/>
      <c r="K88" s="697"/>
      <c r="L88" s="696"/>
      <c r="M88" s="198" t="str">
        <f t="shared" si="18"/>
        <v/>
      </c>
      <c r="N88" s="369" t="str">
        <f t="shared" si="19"/>
        <v/>
      </c>
      <c r="O88" s="183" t="str">
        <f t="shared" si="20"/>
        <v/>
      </c>
      <c r="P88" s="199" t="str">
        <f t="shared" si="21"/>
        <v/>
      </c>
      <c r="Q88" s="199" t="str">
        <f>IF(B88="","",IFERROR(IF('עלויות כח אדם (6)'!J88&gt;=VLOOKUP(I88,'סיווג התפקידים והעלויות'!$B$23:$C$32,2,0),"תקין","לא תקין"),""))</f>
        <v/>
      </c>
      <c r="R88" s="199" t="str">
        <f t="shared" si="22"/>
        <v/>
      </c>
      <c r="S88" s="199" t="str">
        <f t="shared" si="23"/>
        <v/>
      </c>
      <c r="T88" s="199" t="str">
        <f t="shared" si="31"/>
        <v/>
      </c>
      <c r="U88" s="199" t="str">
        <f t="shared" si="24"/>
        <v/>
      </c>
      <c r="V88" s="989"/>
      <c r="X88" s="374" t="str">
        <f t="shared" si="25"/>
        <v/>
      </c>
      <c r="Y88" s="375" t="str">
        <f t="shared" si="26"/>
        <v/>
      </c>
      <c r="Z88" s="374" t="str">
        <f t="shared" si="27"/>
        <v/>
      </c>
      <c r="AA88" s="374" t="b">
        <f t="shared" si="28"/>
        <v>1</v>
      </c>
      <c r="AB88" s="374">
        <f>COUNTIFS(B:B,B88,H:H,'סיווג התפקידים והעלויות'!$C$2)</f>
        <v>0</v>
      </c>
      <c r="AC88" s="374">
        <f>COUNTIFS(B:B,B88,H:H,'סיווג התפקידים והעלויות'!$D$2)</f>
        <v>0</v>
      </c>
      <c r="AD88" s="374" t="str">
        <f>IF(OR(AND(H88='סיווג התפקידים והעלויות'!$A$2,I88='סיווג התפקידים והעלויות'!$A$3),'עלויות כח אדם (6)'!H88='סיווג התפקידים והעלויות'!$C$2,'עלויות כח אדם (6)'!H88='סיווג התפקידים והעלויות'!$D$2),IF('עלויות כח אדם (6)'!J88&lt;75,"לא תקין","תקין"),"")</f>
        <v/>
      </c>
      <c r="AE88" s="374" t="str">
        <f t="shared" si="29"/>
        <v/>
      </c>
      <c r="AF88" s="532" t="str">
        <f t="shared" si="30"/>
        <v/>
      </c>
    </row>
    <row r="89" spans="2:32" x14ac:dyDescent="0.25">
      <c r="B89" s="695"/>
      <c r="C89" s="197" t="str">
        <f>IF(B89&lt;&gt;"",IFERROR(VLOOKUP(B:B,'מצבת והרשמה (2)'!$C$20:$N$520,2,0)," ")," ")</f>
        <v xml:space="preserve"> </v>
      </c>
      <c r="D89" s="695"/>
      <c r="E89" s="696"/>
      <c r="F89" s="696"/>
      <c r="G89" s="696"/>
      <c r="H89" s="696"/>
      <c r="I89" s="1050" t="str">
        <f t="shared" si="17"/>
        <v/>
      </c>
      <c r="J89" s="696"/>
      <c r="K89" s="697"/>
      <c r="L89" s="696"/>
      <c r="M89" s="198" t="str">
        <f t="shared" si="18"/>
        <v/>
      </c>
      <c r="N89" s="369" t="str">
        <f t="shared" si="19"/>
        <v/>
      </c>
      <c r="O89" s="183" t="str">
        <f t="shared" si="20"/>
        <v/>
      </c>
      <c r="P89" s="199" t="str">
        <f t="shared" si="21"/>
        <v/>
      </c>
      <c r="Q89" s="199" t="str">
        <f>IF(B89="","",IFERROR(IF('עלויות כח אדם (6)'!J89&gt;=VLOOKUP(I89,'סיווג התפקידים והעלויות'!$B$23:$C$32,2,0),"תקין","לא תקין"),""))</f>
        <v/>
      </c>
      <c r="R89" s="199" t="str">
        <f t="shared" si="22"/>
        <v/>
      </c>
      <c r="S89" s="199" t="str">
        <f t="shared" si="23"/>
        <v/>
      </c>
      <c r="T89" s="199" t="str">
        <f t="shared" si="31"/>
        <v/>
      </c>
      <c r="U89" s="199" t="str">
        <f t="shared" si="24"/>
        <v/>
      </c>
      <c r="V89" s="989"/>
      <c r="X89" s="374" t="str">
        <f t="shared" si="25"/>
        <v/>
      </c>
      <c r="Y89" s="375" t="str">
        <f t="shared" si="26"/>
        <v/>
      </c>
      <c r="Z89" s="374" t="str">
        <f t="shared" si="27"/>
        <v/>
      </c>
      <c r="AA89" s="374" t="b">
        <f t="shared" si="28"/>
        <v>1</v>
      </c>
      <c r="AB89" s="374">
        <f>COUNTIFS(B:B,B89,H:H,'סיווג התפקידים והעלויות'!$C$2)</f>
        <v>0</v>
      </c>
      <c r="AC89" s="374">
        <f>COUNTIFS(B:B,B89,H:H,'סיווג התפקידים והעלויות'!$D$2)</f>
        <v>0</v>
      </c>
      <c r="AD89" s="374" t="str">
        <f>IF(OR(AND(H89='סיווג התפקידים והעלויות'!$A$2,I89='סיווג התפקידים והעלויות'!$A$3),'עלויות כח אדם (6)'!H89='סיווג התפקידים והעלויות'!$C$2,'עלויות כח אדם (6)'!H89='סיווג התפקידים והעלויות'!$D$2),IF('עלויות כח אדם (6)'!J89&lt;75,"לא תקין","תקין"),"")</f>
        <v/>
      </c>
      <c r="AE89" s="374" t="str">
        <f t="shared" si="29"/>
        <v/>
      </c>
      <c r="AF89" s="532" t="str">
        <f t="shared" si="30"/>
        <v/>
      </c>
    </row>
    <row r="90" spans="2:32" x14ac:dyDescent="0.25">
      <c r="B90" s="695"/>
      <c r="C90" s="197" t="str">
        <f>IF(B90&lt;&gt;"",IFERROR(VLOOKUP(B:B,'מצבת והרשמה (2)'!$C$20:$N$520,2,0)," ")," ")</f>
        <v xml:space="preserve"> </v>
      </c>
      <c r="D90" s="695"/>
      <c r="E90" s="696"/>
      <c r="F90" s="696"/>
      <c r="G90" s="696"/>
      <c r="H90" s="696"/>
      <c r="I90" s="1050" t="str">
        <f t="shared" si="17"/>
        <v/>
      </c>
      <c r="J90" s="696"/>
      <c r="K90" s="697"/>
      <c r="L90" s="696"/>
      <c r="M90" s="198" t="str">
        <f t="shared" si="18"/>
        <v/>
      </c>
      <c r="N90" s="369" t="str">
        <f t="shared" si="19"/>
        <v/>
      </c>
      <c r="O90" s="183" t="str">
        <f t="shared" si="20"/>
        <v/>
      </c>
      <c r="P90" s="199" t="str">
        <f t="shared" si="21"/>
        <v/>
      </c>
      <c r="Q90" s="199" t="str">
        <f>IF(B90="","",IFERROR(IF('עלויות כח אדם (6)'!J90&gt;=VLOOKUP(I90,'סיווג התפקידים והעלויות'!$B$23:$C$32,2,0),"תקין","לא תקין"),""))</f>
        <v/>
      </c>
      <c r="R90" s="199" t="str">
        <f t="shared" si="22"/>
        <v/>
      </c>
      <c r="S90" s="199" t="str">
        <f t="shared" si="23"/>
        <v/>
      </c>
      <c r="T90" s="199" t="str">
        <f t="shared" si="31"/>
        <v/>
      </c>
      <c r="U90" s="199" t="str">
        <f t="shared" si="24"/>
        <v/>
      </c>
      <c r="V90" s="989"/>
      <c r="X90" s="374" t="str">
        <f t="shared" si="25"/>
        <v/>
      </c>
      <c r="Y90" s="375" t="str">
        <f t="shared" si="26"/>
        <v/>
      </c>
      <c r="Z90" s="374" t="str">
        <f t="shared" si="27"/>
        <v/>
      </c>
      <c r="AA90" s="374" t="b">
        <f t="shared" si="28"/>
        <v>1</v>
      </c>
      <c r="AB90" s="374">
        <f>COUNTIFS(B:B,B90,H:H,'סיווג התפקידים והעלויות'!$C$2)</f>
        <v>0</v>
      </c>
      <c r="AC90" s="374">
        <f>COUNTIFS(B:B,B90,H:H,'סיווג התפקידים והעלויות'!$D$2)</f>
        <v>0</v>
      </c>
      <c r="AD90" s="374" t="str">
        <f>IF(OR(AND(H90='סיווג התפקידים והעלויות'!$A$2,I90='סיווג התפקידים והעלויות'!$A$3),'עלויות כח אדם (6)'!H90='סיווג התפקידים והעלויות'!$C$2,'עלויות כח אדם (6)'!H90='סיווג התפקידים והעלויות'!$D$2),IF('עלויות כח אדם (6)'!J90&lt;75,"לא תקין","תקין"),"")</f>
        <v/>
      </c>
      <c r="AE90" s="374" t="str">
        <f t="shared" si="29"/>
        <v/>
      </c>
      <c r="AF90" s="532" t="str">
        <f t="shared" si="30"/>
        <v/>
      </c>
    </row>
    <row r="91" spans="2:32" x14ac:dyDescent="0.25">
      <c r="B91" s="695"/>
      <c r="C91" s="197" t="str">
        <f>IF(B91&lt;&gt;"",IFERROR(VLOOKUP(B:B,'מצבת והרשמה (2)'!$C$20:$N$520,2,0)," ")," ")</f>
        <v xml:space="preserve"> </v>
      </c>
      <c r="D91" s="695"/>
      <c r="E91" s="696"/>
      <c r="F91" s="696"/>
      <c r="G91" s="696"/>
      <c r="H91" s="696"/>
      <c r="I91" s="1050" t="str">
        <f t="shared" si="17"/>
        <v/>
      </c>
      <c r="J91" s="696"/>
      <c r="K91" s="697"/>
      <c r="L91" s="696"/>
      <c r="M91" s="198" t="str">
        <f t="shared" si="18"/>
        <v/>
      </c>
      <c r="N91" s="369" t="str">
        <f t="shared" si="19"/>
        <v/>
      </c>
      <c r="O91" s="183" t="str">
        <f t="shared" si="20"/>
        <v/>
      </c>
      <c r="P91" s="199" t="str">
        <f t="shared" si="21"/>
        <v/>
      </c>
      <c r="Q91" s="199" t="str">
        <f>IF(B91="","",IFERROR(IF('עלויות כח אדם (6)'!J91&gt;=VLOOKUP(I91,'סיווג התפקידים והעלויות'!$B$23:$C$32,2,0),"תקין","לא תקין"),""))</f>
        <v/>
      </c>
      <c r="R91" s="199" t="str">
        <f t="shared" si="22"/>
        <v/>
      </c>
      <c r="S91" s="199" t="str">
        <f t="shared" si="23"/>
        <v/>
      </c>
      <c r="T91" s="199" t="str">
        <f t="shared" si="31"/>
        <v/>
      </c>
      <c r="U91" s="199" t="str">
        <f t="shared" si="24"/>
        <v/>
      </c>
      <c r="V91" s="989"/>
      <c r="X91" s="374" t="str">
        <f t="shared" si="25"/>
        <v/>
      </c>
      <c r="Y91" s="375" t="str">
        <f t="shared" si="26"/>
        <v/>
      </c>
      <c r="Z91" s="374" t="str">
        <f t="shared" si="27"/>
        <v/>
      </c>
      <c r="AA91" s="374" t="b">
        <f t="shared" si="28"/>
        <v>1</v>
      </c>
      <c r="AB91" s="374">
        <f>COUNTIFS(B:B,B91,H:H,'סיווג התפקידים והעלויות'!$C$2)</f>
        <v>0</v>
      </c>
      <c r="AC91" s="374">
        <f>COUNTIFS(B:B,B91,H:H,'סיווג התפקידים והעלויות'!$D$2)</f>
        <v>0</v>
      </c>
      <c r="AD91" s="374" t="str">
        <f>IF(OR(AND(H91='סיווג התפקידים והעלויות'!$A$2,I91='סיווג התפקידים והעלויות'!$A$3),'עלויות כח אדם (6)'!H91='סיווג התפקידים והעלויות'!$C$2,'עלויות כח אדם (6)'!H91='סיווג התפקידים והעלויות'!$D$2),IF('עלויות כח אדם (6)'!J91&lt;75,"לא תקין","תקין"),"")</f>
        <v/>
      </c>
      <c r="AE91" s="374" t="str">
        <f t="shared" si="29"/>
        <v/>
      </c>
      <c r="AF91" s="532" t="str">
        <f t="shared" si="30"/>
        <v/>
      </c>
    </row>
    <row r="92" spans="2:32" x14ac:dyDescent="0.25">
      <c r="B92" s="695"/>
      <c r="C92" s="197" t="str">
        <f>IF(B92&lt;&gt;"",IFERROR(VLOOKUP(B:B,'מצבת והרשמה (2)'!$C$20:$N$520,2,0)," ")," ")</f>
        <v xml:space="preserve"> </v>
      </c>
      <c r="D92" s="695"/>
      <c r="E92" s="696"/>
      <c r="F92" s="696"/>
      <c r="G92" s="696"/>
      <c r="H92" s="696"/>
      <c r="I92" s="1050" t="str">
        <f t="shared" si="17"/>
        <v/>
      </c>
      <c r="J92" s="696"/>
      <c r="K92" s="697"/>
      <c r="L92" s="696"/>
      <c r="M92" s="198" t="str">
        <f t="shared" si="18"/>
        <v/>
      </c>
      <c r="N92" s="369" t="str">
        <f t="shared" si="19"/>
        <v/>
      </c>
      <c r="O92" s="183" t="str">
        <f t="shared" si="20"/>
        <v/>
      </c>
      <c r="P92" s="199" t="str">
        <f t="shared" si="21"/>
        <v/>
      </c>
      <c r="Q92" s="199" t="str">
        <f>IF(B92="","",IFERROR(IF('עלויות כח אדם (6)'!J92&gt;=VLOOKUP(I92,'סיווג התפקידים והעלויות'!$B$23:$C$32,2,0),"תקין","לא תקין"),""))</f>
        <v/>
      </c>
      <c r="R92" s="199" t="str">
        <f t="shared" si="22"/>
        <v/>
      </c>
      <c r="S92" s="199" t="str">
        <f t="shared" si="23"/>
        <v/>
      </c>
      <c r="T92" s="199" t="str">
        <f t="shared" si="31"/>
        <v/>
      </c>
      <c r="U92" s="199" t="str">
        <f t="shared" si="24"/>
        <v/>
      </c>
      <c r="V92" s="989"/>
      <c r="X92" s="374" t="str">
        <f t="shared" si="25"/>
        <v/>
      </c>
      <c r="Y92" s="375" t="str">
        <f t="shared" si="26"/>
        <v/>
      </c>
      <c r="Z92" s="374" t="str">
        <f t="shared" si="27"/>
        <v/>
      </c>
      <c r="AA92" s="374" t="b">
        <f t="shared" si="28"/>
        <v>1</v>
      </c>
      <c r="AB92" s="374">
        <f>COUNTIFS(B:B,B92,H:H,'סיווג התפקידים והעלויות'!$C$2)</f>
        <v>0</v>
      </c>
      <c r="AC92" s="374">
        <f>COUNTIFS(B:B,B92,H:H,'סיווג התפקידים והעלויות'!$D$2)</f>
        <v>0</v>
      </c>
      <c r="AD92" s="374" t="str">
        <f>IF(OR(AND(H92='סיווג התפקידים והעלויות'!$A$2,I92='סיווג התפקידים והעלויות'!$A$3),'עלויות כח אדם (6)'!H92='סיווג התפקידים והעלויות'!$C$2,'עלויות כח אדם (6)'!H92='סיווג התפקידים והעלויות'!$D$2),IF('עלויות כח אדם (6)'!J92&lt;75,"לא תקין","תקין"),"")</f>
        <v/>
      </c>
      <c r="AE92" s="374" t="str">
        <f t="shared" si="29"/>
        <v/>
      </c>
      <c r="AF92" s="532" t="str">
        <f t="shared" si="30"/>
        <v/>
      </c>
    </row>
    <row r="93" spans="2:32" x14ac:dyDescent="0.25">
      <c r="B93" s="695"/>
      <c r="C93" s="197" t="str">
        <f>IF(B93&lt;&gt;"",IFERROR(VLOOKUP(B:B,'מצבת והרשמה (2)'!$C$20:$N$520,2,0)," ")," ")</f>
        <v xml:space="preserve"> </v>
      </c>
      <c r="D93" s="695"/>
      <c r="E93" s="696"/>
      <c r="F93" s="696"/>
      <c r="G93" s="696"/>
      <c r="H93" s="696"/>
      <c r="I93" s="1050" t="str">
        <f t="shared" si="17"/>
        <v/>
      </c>
      <c r="J93" s="696"/>
      <c r="K93" s="697"/>
      <c r="L93" s="696"/>
      <c r="M93" s="198" t="str">
        <f t="shared" si="18"/>
        <v/>
      </c>
      <c r="N93" s="369" t="str">
        <f t="shared" si="19"/>
        <v/>
      </c>
      <c r="O93" s="183" t="str">
        <f t="shared" si="20"/>
        <v/>
      </c>
      <c r="P93" s="199" t="str">
        <f t="shared" si="21"/>
        <v/>
      </c>
      <c r="Q93" s="199" t="str">
        <f>IF(B93="","",IFERROR(IF('עלויות כח אדם (6)'!J93&gt;=VLOOKUP(I93,'סיווג התפקידים והעלויות'!$B$23:$C$32,2,0),"תקין","לא תקין"),""))</f>
        <v/>
      </c>
      <c r="R93" s="199" t="str">
        <f t="shared" si="22"/>
        <v/>
      </c>
      <c r="S93" s="199" t="str">
        <f t="shared" si="23"/>
        <v/>
      </c>
      <c r="T93" s="199" t="str">
        <f t="shared" si="31"/>
        <v/>
      </c>
      <c r="U93" s="199" t="str">
        <f t="shared" si="24"/>
        <v/>
      </c>
      <c r="V93" s="989"/>
      <c r="X93" s="374" t="str">
        <f t="shared" si="25"/>
        <v/>
      </c>
      <c r="Y93" s="375" t="str">
        <f t="shared" si="26"/>
        <v/>
      </c>
      <c r="Z93" s="374" t="str">
        <f t="shared" si="27"/>
        <v/>
      </c>
      <c r="AA93" s="374" t="b">
        <f t="shared" si="28"/>
        <v>1</v>
      </c>
      <c r="AB93" s="374">
        <f>COUNTIFS(B:B,B93,H:H,'סיווג התפקידים והעלויות'!$C$2)</f>
        <v>0</v>
      </c>
      <c r="AC93" s="374">
        <f>COUNTIFS(B:B,B93,H:H,'סיווג התפקידים והעלויות'!$D$2)</f>
        <v>0</v>
      </c>
      <c r="AD93" s="374" t="str">
        <f>IF(OR(AND(H93='סיווג התפקידים והעלויות'!$A$2,I93='סיווג התפקידים והעלויות'!$A$3),'עלויות כח אדם (6)'!H93='סיווג התפקידים והעלויות'!$C$2,'עלויות כח אדם (6)'!H93='סיווג התפקידים והעלויות'!$D$2),IF('עלויות כח אדם (6)'!J93&lt;75,"לא תקין","תקין"),"")</f>
        <v/>
      </c>
      <c r="AE93" s="374" t="str">
        <f t="shared" si="29"/>
        <v/>
      </c>
      <c r="AF93" s="532" t="str">
        <f t="shared" si="30"/>
        <v/>
      </c>
    </row>
    <row r="94" spans="2:32" x14ac:dyDescent="0.25">
      <c r="B94" s="695"/>
      <c r="C94" s="197" t="str">
        <f>IF(B94&lt;&gt;"",IFERROR(VLOOKUP(B:B,'מצבת והרשמה (2)'!$C$20:$N$520,2,0)," ")," ")</f>
        <v xml:space="preserve"> </v>
      </c>
      <c r="D94" s="695"/>
      <c r="E94" s="696"/>
      <c r="F94" s="696"/>
      <c r="G94" s="696"/>
      <c r="H94" s="696"/>
      <c r="I94" s="1050" t="str">
        <f t="shared" si="17"/>
        <v/>
      </c>
      <c r="J94" s="696"/>
      <c r="K94" s="697"/>
      <c r="L94" s="696"/>
      <c r="M94" s="198" t="str">
        <f t="shared" si="18"/>
        <v/>
      </c>
      <c r="N94" s="369" t="str">
        <f t="shared" si="19"/>
        <v/>
      </c>
      <c r="O94" s="183" t="str">
        <f t="shared" si="20"/>
        <v/>
      </c>
      <c r="P94" s="199" t="str">
        <f t="shared" si="21"/>
        <v/>
      </c>
      <c r="Q94" s="199" t="str">
        <f>IF(B94="","",IFERROR(IF('עלויות כח אדם (6)'!J94&gt;=VLOOKUP(I94,'סיווג התפקידים והעלויות'!$B$23:$C$32,2,0),"תקין","לא תקין"),""))</f>
        <v/>
      </c>
      <c r="R94" s="199" t="str">
        <f t="shared" si="22"/>
        <v/>
      </c>
      <c r="S94" s="199" t="str">
        <f t="shared" si="23"/>
        <v/>
      </c>
      <c r="T94" s="199" t="str">
        <f t="shared" si="31"/>
        <v/>
      </c>
      <c r="U94" s="199" t="str">
        <f t="shared" si="24"/>
        <v/>
      </c>
      <c r="V94" s="989"/>
      <c r="X94" s="374" t="str">
        <f t="shared" si="25"/>
        <v/>
      </c>
      <c r="Y94" s="375" t="str">
        <f t="shared" si="26"/>
        <v/>
      </c>
      <c r="Z94" s="374" t="str">
        <f t="shared" si="27"/>
        <v/>
      </c>
      <c r="AA94" s="374" t="b">
        <f t="shared" si="28"/>
        <v>1</v>
      </c>
      <c r="AB94" s="374">
        <f>COUNTIFS(B:B,B94,H:H,'סיווג התפקידים והעלויות'!$C$2)</f>
        <v>0</v>
      </c>
      <c r="AC94" s="374">
        <f>COUNTIFS(B:B,B94,H:H,'סיווג התפקידים והעלויות'!$D$2)</f>
        <v>0</v>
      </c>
      <c r="AD94" s="374" t="str">
        <f>IF(OR(AND(H94='סיווג התפקידים והעלויות'!$A$2,I94='סיווג התפקידים והעלויות'!$A$3),'עלויות כח אדם (6)'!H94='סיווג התפקידים והעלויות'!$C$2,'עלויות כח אדם (6)'!H94='סיווג התפקידים והעלויות'!$D$2),IF('עלויות כח אדם (6)'!J94&lt;75,"לא תקין","תקין"),"")</f>
        <v/>
      </c>
      <c r="AE94" s="374" t="str">
        <f t="shared" si="29"/>
        <v/>
      </c>
      <c r="AF94" s="532" t="str">
        <f t="shared" si="30"/>
        <v/>
      </c>
    </row>
    <row r="95" spans="2:32" x14ac:dyDescent="0.25">
      <c r="B95" s="695"/>
      <c r="C95" s="197" t="str">
        <f>IF(B95&lt;&gt;"",IFERROR(VLOOKUP(B:B,'מצבת והרשמה (2)'!$C$20:$N$520,2,0)," ")," ")</f>
        <v xml:space="preserve"> </v>
      </c>
      <c r="D95" s="695"/>
      <c r="E95" s="696"/>
      <c r="F95" s="696"/>
      <c r="G95" s="696"/>
      <c r="H95" s="696"/>
      <c r="I95" s="1050" t="str">
        <f t="shared" si="17"/>
        <v/>
      </c>
      <c r="J95" s="696"/>
      <c r="K95" s="697"/>
      <c r="L95" s="696"/>
      <c r="M95" s="198" t="str">
        <f t="shared" si="18"/>
        <v/>
      </c>
      <c r="N95" s="369" t="str">
        <f t="shared" si="19"/>
        <v/>
      </c>
      <c r="O95" s="183" t="str">
        <f t="shared" si="20"/>
        <v/>
      </c>
      <c r="P95" s="199" t="str">
        <f t="shared" si="21"/>
        <v/>
      </c>
      <c r="Q95" s="199" t="str">
        <f>IF(B95="","",IFERROR(IF('עלויות כח אדם (6)'!J95&gt;=VLOOKUP(I95,'סיווג התפקידים והעלויות'!$B$23:$C$32,2,0),"תקין","לא תקין"),""))</f>
        <v/>
      </c>
      <c r="R95" s="199" t="str">
        <f t="shared" si="22"/>
        <v/>
      </c>
      <c r="S95" s="199" t="str">
        <f t="shared" si="23"/>
        <v/>
      </c>
      <c r="T95" s="199" t="str">
        <f t="shared" si="31"/>
        <v/>
      </c>
      <c r="U95" s="199" t="str">
        <f t="shared" si="24"/>
        <v/>
      </c>
      <c r="V95" s="989"/>
      <c r="X95" s="374" t="str">
        <f t="shared" si="25"/>
        <v/>
      </c>
      <c r="Y95" s="375" t="str">
        <f t="shared" si="26"/>
        <v/>
      </c>
      <c r="Z95" s="374" t="str">
        <f t="shared" si="27"/>
        <v/>
      </c>
      <c r="AA95" s="374" t="b">
        <f t="shared" si="28"/>
        <v>1</v>
      </c>
      <c r="AB95" s="374">
        <f>COUNTIFS(B:B,B95,H:H,'סיווג התפקידים והעלויות'!$C$2)</f>
        <v>0</v>
      </c>
      <c r="AC95" s="374">
        <f>COUNTIFS(B:B,B95,H:H,'סיווג התפקידים והעלויות'!$D$2)</f>
        <v>0</v>
      </c>
      <c r="AD95" s="374" t="str">
        <f>IF(OR(AND(H95='סיווג התפקידים והעלויות'!$A$2,I95='סיווג התפקידים והעלויות'!$A$3),'עלויות כח אדם (6)'!H95='סיווג התפקידים והעלויות'!$C$2,'עלויות כח אדם (6)'!H95='סיווג התפקידים והעלויות'!$D$2),IF('עלויות כח אדם (6)'!J95&lt;75,"לא תקין","תקין"),"")</f>
        <v/>
      </c>
      <c r="AE95" s="374" t="str">
        <f t="shared" si="29"/>
        <v/>
      </c>
      <c r="AF95" s="532" t="str">
        <f t="shared" si="30"/>
        <v/>
      </c>
    </row>
    <row r="96" spans="2:32" x14ac:dyDescent="0.25">
      <c r="B96" s="695"/>
      <c r="C96" s="197" t="str">
        <f>IF(B96&lt;&gt;"",IFERROR(VLOOKUP(B:B,'מצבת והרשמה (2)'!$C$20:$N$520,2,0)," ")," ")</f>
        <v xml:space="preserve"> </v>
      </c>
      <c r="D96" s="695"/>
      <c r="E96" s="696"/>
      <c r="F96" s="696"/>
      <c r="G96" s="696"/>
      <c r="H96" s="696"/>
      <c r="I96" s="1050" t="str">
        <f t="shared" si="17"/>
        <v/>
      </c>
      <c r="J96" s="696"/>
      <c r="K96" s="697"/>
      <c r="L96" s="696"/>
      <c r="M96" s="198" t="str">
        <f t="shared" si="18"/>
        <v/>
      </c>
      <c r="N96" s="369" t="str">
        <f t="shared" si="19"/>
        <v/>
      </c>
      <c r="O96" s="183" t="str">
        <f t="shared" si="20"/>
        <v/>
      </c>
      <c r="P96" s="199" t="str">
        <f t="shared" si="21"/>
        <v/>
      </c>
      <c r="Q96" s="199" t="str">
        <f>IF(B96="","",IFERROR(IF('עלויות כח אדם (6)'!J96&gt;=VLOOKUP(I96,'סיווג התפקידים והעלויות'!$B$23:$C$32,2,0),"תקין","לא תקין"),""))</f>
        <v/>
      </c>
      <c r="R96" s="199" t="str">
        <f t="shared" si="22"/>
        <v/>
      </c>
      <c r="S96" s="199" t="str">
        <f t="shared" si="23"/>
        <v/>
      </c>
      <c r="T96" s="199" t="str">
        <f t="shared" si="31"/>
        <v/>
      </c>
      <c r="U96" s="199" t="str">
        <f t="shared" si="24"/>
        <v/>
      </c>
      <c r="V96" s="989"/>
      <c r="X96" s="374" t="str">
        <f t="shared" si="25"/>
        <v/>
      </c>
      <c r="Y96" s="375" t="str">
        <f t="shared" si="26"/>
        <v/>
      </c>
      <c r="Z96" s="374" t="str">
        <f t="shared" si="27"/>
        <v/>
      </c>
      <c r="AA96" s="374" t="b">
        <f t="shared" si="28"/>
        <v>1</v>
      </c>
      <c r="AB96" s="374">
        <f>COUNTIFS(B:B,B96,H:H,'סיווג התפקידים והעלויות'!$C$2)</f>
        <v>0</v>
      </c>
      <c r="AC96" s="374">
        <f>COUNTIFS(B:B,B96,H:H,'סיווג התפקידים והעלויות'!$D$2)</f>
        <v>0</v>
      </c>
      <c r="AD96" s="374" t="str">
        <f>IF(OR(AND(H96='סיווג התפקידים והעלויות'!$A$2,I96='סיווג התפקידים והעלויות'!$A$3),'עלויות כח אדם (6)'!H96='סיווג התפקידים והעלויות'!$C$2,'עלויות כח אדם (6)'!H96='סיווג התפקידים והעלויות'!$D$2),IF('עלויות כח אדם (6)'!J96&lt;75,"לא תקין","תקין"),"")</f>
        <v/>
      </c>
      <c r="AE96" s="374" t="str">
        <f t="shared" si="29"/>
        <v/>
      </c>
      <c r="AF96" s="532" t="str">
        <f t="shared" si="30"/>
        <v/>
      </c>
    </row>
    <row r="97" spans="2:32" x14ac:dyDescent="0.25">
      <c r="B97" s="695"/>
      <c r="C97" s="197" t="str">
        <f>IF(B97&lt;&gt;"",IFERROR(VLOOKUP(B:B,'מצבת והרשמה (2)'!$C$20:$N$520,2,0)," ")," ")</f>
        <v xml:space="preserve"> </v>
      </c>
      <c r="D97" s="695"/>
      <c r="E97" s="696"/>
      <c r="F97" s="696"/>
      <c r="G97" s="696"/>
      <c r="H97" s="696"/>
      <c r="I97" s="1050" t="str">
        <f t="shared" si="17"/>
        <v/>
      </c>
      <c r="J97" s="696"/>
      <c r="K97" s="697"/>
      <c r="L97" s="696"/>
      <c r="M97" s="198" t="str">
        <f t="shared" si="18"/>
        <v/>
      </c>
      <c r="N97" s="369" t="str">
        <f t="shared" si="19"/>
        <v/>
      </c>
      <c r="O97" s="183" t="str">
        <f t="shared" si="20"/>
        <v/>
      </c>
      <c r="P97" s="199" t="str">
        <f t="shared" si="21"/>
        <v/>
      </c>
      <c r="Q97" s="199" t="str">
        <f>IF(B97="","",IFERROR(IF('עלויות כח אדם (6)'!J97&gt;=VLOOKUP(I97,'סיווג התפקידים והעלויות'!$B$23:$C$32,2,0),"תקין","לא תקין"),""))</f>
        <v/>
      </c>
      <c r="R97" s="199" t="str">
        <f t="shared" si="22"/>
        <v/>
      </c>
      <c r="S97" s="199" t="str">
        <f t="shared" si="23"/>
        <v/>
      </c>
      <c r="T97" s="199" t="str">
        <f t="shared" si="31"/>
        <v/>
      </c>
      <c r="U97" s="199" t="str">
        <f t="shared" si="24"/>
        <v/>
      </c>
      <c r="V97" s="989"/>
      <c r="X97" s="374" t="str">
        <f t="shared" si="25"/>
        <v/>
      </c>
      <c r="Y97" s="375" t="str">
        <f t="shared" si="26"/>
        <v/>
      </c>
      <c r="Z97" s="374" t="str">
        <f t="shared" si="27"/>
        <v/>
      </c>
      <c r="AA97" s="374" t="b">
        <f t="shared" si="28"/>
        <v>1</v>
      </c>
      <c r="AB97" s="374">
        <f>COUNTIFS(B:B,B97,H:H,'סיווג התפקידים והעלויות'!$C$2)</f>
        <v>0</v>
      </c>
      <c r="AC97" s="374">
        <f>COUNTIFS(B:B,B97,H:H,'סיווג התפקידים והעלויות'!$D$2)</f>
        <v>0</v>
      </c>
      <c r="AD97" s="374" t="str">
        <f>IF(OR(AND(H97='סיווג התפקידים והעלויות'!$A$2,I97='סיווג התפקידים והעלויות'!$A$3),'עלויות כח אדם (6)'!H97='סיווג התפקידים והעלויות'!$C$2,'עלויות כח אדם (6)'!H97='סיווג התפקידים והעלויות'!$D$2),IF('עלויות כח אדם (6)'!J97&lt;75,"לא תקין","תקין"),"")</f>
        <v/>
      </c>
      <c r="AE97" s="374" t="str">
        <f t="shared" si="29"/>
        <v/>
      </c>
      <c r="AF97" s="532" t="str">
        <f t="shared" si="30"/>
        <v/>
      </c>
    </row>
    <row r="98" spans="2:32" x14ac:dyDescent="0.25">
      <c r="B98" s="695"/>
      <c r="C98" s="197" t="str">
        <f>IF(B98&lt;&gt;"",IFERROR(VLOOKUP(B:B,'מצבת והרשמה (2)'!$C$20:$N$520,2,0)," ")," ")</f>
        <v xml:space="preserve"> </v>
      </c>
      <c r="D98" s="695"/>
      <c r="E98" s="696"/>
      <c r="F98" s="696"/>
      <c r="G98" s="696"/>
      <c r="H98" s="696"/>
      <c r="I98" s="1050" t="str">
        <f t="shared" si="17"/>
        <v/>
      </c>
      <c r="J98" s="696"/>
      <c r="K98" s="697"/>
      <c r="L98" s="696"/>
      <c r="M98" s="198" t="str">
        <f t="shared" si="18"/>
        <v/>
      </c>
      <c r="N98" s="369" t="str">
        <f t="shared" si="19"/>
        <v/>
      </c>
      <c r="O98" s="183" t="str">
        <f t="shared" si="20"/>
        <v/>
      </c>
      <c r="P98" s="199" t="str">
        <f t="shared" si="21"/>
        <v/>
      </c>
      <c r="Q98" s="199" t="str">
        <f>IF(B98="","",IFERROR(IF('עלויות כח אדם (6)'!J98&gt;=VLOOKUP(I98,'סיווג התפקידים והעלויות'!$B$23:$C$32,2,0),"תקין","לא תקין"),""))</f>
        <v/>
      </c>
      <c r="R98" s="199" t="str">
        <f t="shared" si="22"/>
        <v/>
      </c>
      <c r="S98" s="199" t="str">
        <f t="shared" si="23"/>
        <v/>
      </c>
      <c r="T98" s="199" t="str">
        <f t="shared" si="31"/>
        <v/>
      </c>
      <c r="U98" s="199" t="str">
        <f t="shared" si="24"/>
        <v/>
      </c>
      <c r="V98" s="989"/>
      <c r="X98" s="374" t="str">
        <f t="shared" si="25"/>
        <v/>
      </c>
      <c r="Y98" s="375" t="str">
        <f t="shared" si="26"/>
        <v/>
      </c>
      <c r="Z98" s="374" t="str">
        <f t="shared" si="27"/>
        <v/>
      </c>
      <c r="AA98" s="374" t="b">
        <f t="shared" si="28"/>
        <v>1</v>
      </c>
      <c r="AB98" s="374">
        <f>COUNTIFS(B:B,B98,H:H,'סיווג התפקידים והעלויות'!$C$2)</f>
        <v>0</v>
      </c>
      <c r="AC98" s="374">
        <f>COUNTIFS(B:B,B98,H:H,'סיווג התפקידים והעלויות'!$D$2)</f>
        <v>0</v>
      </c>
      <c r="AD98" s="374" t="str">
        <f>IF(OR(AND(H98='סיווג התפקידים והעלויות'!$A$2,I98='סיווג התפקידים והעלויות'!$A$3),'עלויות כח אדם (6)'!H98='סיווג התפקידים והעלויות'!$C$2,'עלויות כח אדם (6)'!H98='סיווג התפקידים והעלויות'!$D$2),IF('עלויות כח אדם (6)'!J98&lt;75,"לא תקין","תקין"),"")</f>
        <v/>
      </c>
      <c r="AE98" s="374" t="str">
        <f t="shared" si="29"/>
        <v/>
      </c>
      <c r="AF98" s="532" t="str">
        <f t="shared" si="30"/>
        <v/>
      </c>
    </row>
    <row r="99" spans="2:32" x14ac:dyDescent="0.25">
      <c r="B99" s="695"/>
      <c r="C99" s="197" t="str">
        <f>IF(B99&lt;&gt;"",IFERROR(VLOOKUP(B:B,'מצבת והרשמה (2)'!$C$20:$N$520,2,0)," ")," ")</f>
        <v xml:space="preserve"> </v>
      </c>
      <c r="D99" s="695"/>
      <c r="E99" s="696"/>
      <c r="F99" s="696"/>
      <c r="G99" s="696"/>
      <c r="H99" s="696"/>
      <c r="I99" s="1050" t="str">
        <f t="shared" si="17"/>
        <v/>
      </c>
      <c r="J99" s="696"/>
      <c r="K99" s="697"/>
      <c r="L99" s="696"/>
      <c r="M99" s="198" t="str">
        <f t="shared" si="18"/>
        <v/>
      </c>
      <c r="N99" s="369" t="str">
        <f t="shared" si="19"/>
        <v/>
      </c>
      <c r="O99" s="183" t="str">
        <f t="shared" si="20"/>
        <v/>
      </c>
      <c r="P99" s="199" t="str">
        <f t="shared" si="21"/>
        <v/>
      </c>
      <c r="Q99" s="199" t="str">
        <f>IF(B99="","",IFERROR(IF('עלויות כח אדם (6)'!J99&gt;=VLOOKUP(I99,'סיווג התפקידים והעלויות'!$B$23:$C$32,2,0),"תקין","לא תקין"),""))</f>
        <v/>
      </c>
      <c r="R99" s="199" t="str">
        <f t="shared" si="22"/>
        <v/>
      </c>
      <c r="S99" s="199" t="str">
        <f t="shared" si="23"/>
        <v/>
      </c>
      <c r="T99" s="199" t="str">
        <f t="shared" si="31"/>
        <v/>
      </c>
      <c r="U99" s="199" t="str">
        <f t="shared" si="24"/>
        <v/>
      </c>
      <c r="V99" s="989"/>
      <c r="X99" s="374" t="str">
        <f t="shared" si="25"/>
        <v/>
      </c>
      <c r="Y99" s="375" t="str">
        <f t="shared" si="26"/>
        <v/>
      </c>
      <c r="Z99" s="374" t="str">
        <f t="shared" si="27"/>
        <v/>
      </c>
      <c r="AA99" s="374" t="b">
        <f t="shared" si="28"/>
        <v>1</v>
      </c>
      <c r="AB99" s="374">
        <f>COUNTIFS(B:B,B99,H:H,'סיווג התפקידים והעלויות'!$C$2)</f>
        <v>0</v>
      </c>
      <c r="AC99" s="374">
        <f>COUNTIFS(B:B,B99,H:H,'סיווג התפקידים והעלויות'!$D$2)</f>
        <v>0</v>
      </c>
      <c r="AD99" s="374" t="str">
        <f>IF(OR(AND(H99='סיווג התפקידים והעלויות'!$A$2,I99='סיווג התפקידים והעלויות'!$A$3),'עלויות כח אדם (6)'!H99='סיווג התפקידים והעלויות'!$C$2,'עלויות כח אדם (6)'!H99='סיווג התפקידים והעלויות'!$D$2),IF('עלויות כח אדם (6)'!J99&lt;75,"לא תקין","תקין"),"")</f>
        <v/>
      </c>
      <c r="AE99" s="374" t="str">
        <f t="shared" si="29"/>
        <v/>
      </c>
      <c r="AF99" s="532" t="str">
        <f t="shared" si="30"/>
        <v/>
      </c>
    </row>
    <row r="100" spans="2:32" x14ac:dyDescent="0.25">
      <c r="B100" s="695"/>
      <c r="C100" s="197" t="str">
        <f>IF(B100&lt;&gt;"",IFERROR(VLOOKUP(B:B,'מצבת והרשמה (2)'!$C$20:$N$520,2,0)," ")," ")</f>
        <v xml:space="preserve"> </v>
      </c>
      <c r="D100" s="695"/>
      <c r="E100" s="696"/>
      <c r="F100" s="696"/>
      <c r="G100" s="696"/>
      <c r="H100" s="696"/>
      <c r="I100" s="1050" t="str">
        <f t="shared" si="17"/>
        <v/>
      </c>
      <c r="J100" s="696"/>
      <c r="K100" s="697"/>
      <c r="L100" s="696"/>
      <c r="M100" s="198" t="str">
        <f t="shared" si="18"/>
        <v/>
      </c>
      <c r="N100" s="369" t="str">
        <f t="shared" si="19"/>
        <v/>
      </c>
      <c r="O100" s="183" t="str">
        <f t="shared" si="20"/>
        <v/>
      </c>
      <c r="P100" s="199" t="str">
        <f t="shared" si="21"/>
        <v/>
      </c>
      <c r="Q100" s="199" t="str">
        <f>IF(B100="","",IFERROR(IF('עלויות כח אדם (6)'!J100&gt;=VLOOKUP(I100,'סיווג התפקידים והעלויות'!$B$23:$C$32,2,0),"תקין","לא תקין"),""))</f>
        <v/>
      </c>
      <c r="R100" s="199" t="str">
        <f t="shared" si="22"/>
        <v/>
      </c>
      <c r="S100" s="199" t="str">
        <f t="shared" si="23"/>
        <v/>
      </c>
      <c r="T100" s="199" t="str">
        <f t="shared" si="31"/>
        <v/>
      </c>
      <c r="U100" s="199" t="str">
        <f t="shared" si="24"/>
        <v/>
      </c>
      <c r="V100" s="989"/>
      <c r="X100" s="374" t="str">
        <f t="shared" si="25"/>
        <v/>
      </c>
      <c r="Y100" s="375" t="str">
        <f t="shared" si="26"/>
        <v/>
      </c>
      <c r="Z100" s="374" t="str">
        <f t="shared" si="27"/>
        <v/>
      </c>
      <c r="AA100" s="374" t="b">
        <f t="shared" si="28"/>
        <v>1</v>
      </c>
      <c r="AB100" s="374">
        <f>COUNTIFS(B:B,B100,H:H,'סיווג התפקידים והעלויות'!$C$2)</f>
        <v>0</v>
      </c>
      <c r="AC100" s="374">
        <f>COUNTIFS(B:B,B100,H:H,'סיווג התפקידים והעלויות'!$D$2)</f>
        <v>0</v>
      </c>
      <c r="AD100" s="374" t="str">
        <f>IF(OR(AND(H100='סיווג התפקידים והעלויות'!$A$2,I100='סיווג התפקידים והעלויות'!$A$3),'עלויות כח אדם (6)'!H100='סיווג התפקידים והעלויות'!$C$2,'עלויות כח אדם (6)'!H100='סיווג התפקידים והעלויות'!$D$2),IF('עלויות כח אדם (6)'!J100&lt;75,"לא תקין","תקין"),"")</f>
        <v/>
      </c>
      <c r="AE100" s="374" t="str">
        <f t="shared" si="29"/>
        <v/>
      </c>
      <c r="AF100" s="532" t="str">
        <f t="shared" si="30"/>
        <v/>
      </c>
    </row>
    <row r="101" spans="2:32" x14ac:dyDescent="0.25">
      <c r="B101" s="695"/>
      <c r="C101" s="197" t="str">
        <f>IF(B101&lt;&gt;"",IFERROR(VLOOKUP(B:B,'מצבת והרשמה (2)'!$C$20:$N$520,2,0)," ")," ")</f>
        <v xml:space="preserve"> </v>
      </c>
      <c r="D101" s="695"/>
      <c r="E101" s="696"/>
      <c r="F101" s="696"/>
      <c r="G101" s="696"/>
      <c r="H101" s="696"/>
      <c r="I101" s="1050" t="str">
        <f t="shared" si="17"/>
        <v/>
      </c>
      <c r="J101" s="696"/>
      <c r="K101" s="697"/>
      <c r="L101" s="696"/>
      <c r="M101" s="198" t="str">
        <f t="shared" si="18"/>
        <v/>
      </c>
      <c r="N101" s="369" t="str">
        <f t="shared" si="19"/>
        <v/>
      </c>
      <c r="O101" s="183" t="str">
        <f t="shared" si="20"/>
        <v/>
      </c>
      <c r="P101" s="199" t="str">
        <f t="shared" si="21"/>
        <v/>
      </c>
      <c r="Q101" s="199" t="str">
        <f>IF(B101="","",IFERROR(IF('עלויות כח אדם (6)'!J101&gt;=VLOOKUP(I101,'סיווג התפקידים והעלויות'!$B$23:$C$32,2,0),"תקין","לא תקין"),""))</f>
        <v/>
      </c>
      <c r="R101" s="199" t="str">
        <f t="shared" si="22"/>
        <v/>
      </c>
      <c r="S101" s="199" t="str">
        <f t="shared" si="23"/>
        <v/>
      </c>
      <c r="T101" s="199" t="str">
        <f t="shared" si="31"/>
        <v/>
      </c>
      <c r="U101" s="199" t="str">
        <f t="shared" si="24"/>
        <v/>
      </c>
      <c r="V101" s="989"/>
      <c r="X101" s="374" t="str">
        <f t="shared" si="25"/>
        <v/>
      </c>
      <c r="Y101" s="375" t="str">
        <f t="shared" si="26"/>
        <v/>
      </c>
      <c r="Z101" s="374" t="str">
        <f t="shared" si="27"/>
        <v/>
      </c>
      <c r="AA101" s="374" t="b">
        <f t="shared" si="28"/>
        <v>1</v>
      </c>
      <c r="AB101" s="374">
        <f>COUNTIFS(B:B,B101,H:H,'סיווג התפקידים והעלויות'!$C$2)</f>
        <v>0</v>
      </c>
      <c r="AC101" s="374">
        <f>COUNTIFS(B:B,B101,H:H,'סיווג התפקידים והעלויות'!$D$2)</f>
        <v>0</v>
      </c>
      <c r="AD101" s="374" t="str">
        <f>IF(OR(AND(H101='סיווג התפקידים והעלויות'!$A$2,I101='סיווג התפקידים והעלויות'!$A$3),'עלויות כח אדם (6)'!H101='סיווג התפקידים והעלויות'!$C$2,'עלויות כח אדם (6)'!H101='סיווג התפקידים והעלויות'!$D$2),IF('עלויות כח אדם (6)'!J101&lt;75,"לא תקין","תקין"),"")</f>
        <v/>
      </c>
      <c r="AE101" s="374" t="str">
        <f t="shared" si="29"/>
        <v/>
      </c>
      <c r="AF101" s="532" t="str">
        <f t="shared" si="30"/>
        <v/>
      </c>
    </row>
    <row r="102" spans="2:32" x14ac:dyDescent="0.25">
      <c r="B102" s="695"/>
      <c r="C102" s="197" t="str">
        <f>IF(B102&lt;&gt;"",IFERROR(VLOOKUP(B:B,'מצבת והרשמה (2)'!$C$20:$N$520,2,0)," ")," ")</f>
        <v xml:space="preserve"> </v>
      </c>
      <c r="D102" s="695"/>
      <c r="E102" s="696"/>
      <c r="F102" s="696"/>
      <c r="G102" s="696"/>
      <c r="H102" s="696"/>
      <c r="I102" s="1050" t="str">
        <f t="shared" si="17"/>
        <v/>
      </c>
      <c r="J102" s="696"/>
      <c r="K102" s="697"/>
      <c r="L102" s="696"/>
      <c r="M102" s="198" t="str">
        <f t="shared" si="18"/>
        <v/>
      </c>
      <c r="N102" s="369" t="str">
        <f t="shared" si="19"/>
        <v/>
      </c>
      <c r="O102" s="183" t="str">
        <f t="shared" si="20"/>
        <v/>
      </c>
      <c r="P102" s="199" t="str">
        <f t="shared" si="21"/>
        <v/>
      </c>
      <c r="Q102" s="199" t="str">
        <f>IF(B102="","",IFERROR(IF('עלויות כח אדם (6)'!J102&gt;=VLOOKUP(I102,'סיווג התפקידים והעלויות'!$B$23:$C$32,2,0),"תקין","לא תקין"),""))</f>
        <v/>
      </c>
      <c r="R102" s="199" t="str">
        <f t="shared" si="22"/>
        <v/>
      </c>
      <c r="S102" s="199" t="str">
        <f t="shared" si="23"/>
        <v/>
      </c>
      <c r="T102" s="199" t="str">
        <f t="shared" si="31"/>
        <v/>
      </c>
      <c r="U102" s="199" t="str">
        <f t="shared" si="24"/>
        <v/>
      </c>
      <c r="V102" s="989"/>
      <c r="X102" s="374" t="str">
        <f t="shared" si="25"/>
        <v/>
      </c>
      <c r="Y102" s="375" t="str">
        <f t="shared" si="26"/>
        <v/>
      </c>
      <c r="Z102" s="374" t="str">
        <f t="shared" si="27"/>
        <v/>
      </c>
      <c r="AA102" s="374" t="b">
        <f t="shared" si="28"/>
        <v>1</v>
      </c>
      <c r="AB102" s="374">
        <f>COUNTIFS(B:B,B102,H:H,'סיווג התפקידים והעלויות'!$C$2)</f>
        <v>0</v>
      </c>
      <c r="AC102" s="374">
        <f>COUNTIFS(B:B,B102,H:H,'סיווג התפקידים והעלויות'!$D$2)</f>
        <v>0</v>
      </c>
      <c r="AD102" s="374" t="str">
        <f>IF(OR(AND(H102='סיווג התפקידים והעלויות'!$A$2,I102='סיווג התפקידים והעלויות'!$A$3),'עלויות כח אדם (6)'!H102='סיווג התפקידים והעלויות'!$C$2,'עלויות כח אדם (6)'!H102='סיווג התפקידים והעלויות'!$D$2),IF('עלויות כח אדם (6)'!J102&lt;75,"לא תקין","תקין"),"")</f>
        <v/>
      </c>
      <c r="AE102" s="374" t="str">
        <f t="shared" si="29"/>
        <v/>
      </c>
      <c r="AF102" s="532" t="str">
        <f t="shared" si="30"/>
        <v/>
      </c>
    </row>
    <row r="103" spans="2:32" x14ac:dyDescent="0.25">
      <c r="B103" s="695"/>
      <c r="C103" s="197" t="str">
        <f>IF(B103&lt;&gt;"",IFERROR(VLOOKUP(B:B,'מצבת והרשמה (2)'!$C$20:$N$520,2,0)," ")," ")</f>
        <v xml:space="preserve"> </v>
      </c>
      <c r="D103" s="695"/>
      <c r="E103" s="696"/>
      <c r="F103" s="696"/>
      <c r="G103" s="696"/>
      <c r="H103" s="696"/>
      <c r="I103" s="1050" t="str">
        <f t="shared" si="17"/>
        <v/>
      </c>
      <c r="J103" s="696"/>
      <c r="K103" s="697"/>
      <c r="L103" s="696"/>
      <c r="M103" s="198" t="str">
        <f t="shared" si="18"/>
        <v/>
      </c>
      <c r="N103" s="369" t="str">
        <f t="shared" si="19"/>
        <v/>
      </c>
      <c r="O103" s="183" t="str">
        <f t="shared" si="20"/>
        <v/>
      </c>
      <c r="P103" s="199" t="str">
        <f t="shared" si="21"/>
        <v/>
      </c>
      <c r="Q103" s="199" t="str">
        <f>IF(B103="","",IFERROR(IF('עלויות כח אדם (6)'!J103&gt;=VLOOKUP(I103,'סיווג התפקידים והעלויות'!$B$23:$C$32,2,0),"תקין","לא תקין"),""))</f>
        <v/>
      </c>
      <c r="R103" s="199" t="str">
        <f t="shared" si="22"/>
        <v/>
      </c>
      <c r="S103" s="199" t="str">
        <f t="shared" si="23"/>
        <v/>
      </c>
      <c r="T103" s="199" t="str">
        <f t="shared" si="31"/>
        <v/>
      </c>
      <c r="U103" s="199" t="str">
        <f t="shared" si="24"/>
        <v/>
      </c>
      <c r="V103" s="989"/>
      <c r="X103" s="374" t="str">
        <f t="shared" si="25"/>
        <v/>
      </c>
      <c r="Y103" s="375" t="str">
        <f t="shared" si="26"/>
        <v/>
      </c>
      <c r="Z103" s="374" t="str">
        <f t="shared" si="27"/>
        <v/>
      </c>
      <c r="AA103" s="374" t="b">
        <f t="shared" si="28"/>
        <v>1</v>
      </c>
      <c r="AB103" s="374">
        <f>COUNTIFS(B:B,B103,H:H,'סיווג התפקידים והעלויות'!$C$2)</f>
        <v>0</v>
      </c>
      <c r="AC103" s="374">
        <f>COUNTIFS(B:B,B103,H:H,'סיווג התפקידים והעלויות'!$D$2)</f>
        <v>0</v>
      </c>
      <c r="AD103" s="374" t="str">
        <f>IF(OR(AND(H103='סיווג התפקידים והעלויות'!$A$2,I103='סיווג התפקידים והעלויות'!$A$3),'עלויות כח אדם (6)'!H103='סיווג התפקידים והעלויות'!$C$2,'עלויות כח אדם (6)'!H103='סיווג התפקידים והעלויות'!$D$2),IF('עלויות כח אדם (6)'!J103&lt;75,"לא תקין","תקין"),"")</f>
        <v/>
      </c>
      <c r="AE103" s="374" t="str">
        <f t="shared" si="29"/>
        <v/>
      </c>
      <c r="AF103" s="532" t="str">
        <f t="shared" si="30"/>
        <v/>
      </c>
    </row>
    <row r="104" spans="2:32" x14ac:dyDescent="0.25">
      <c r="B104" s="695"/>
      <c r="C104" s="197" t="str">
        <f>IF(B104&lt;&gt;"",IFERROR(VLOOKUP(B:B,'מצבת והרשמה (2)'!$C$20:$N$520,2,0)," ")," ")</f>
        <v xml:space="preserve"> </v>
      </c>
      <c r="D104" s="695"/>
      <c r="E104" s="696"/>
      <c r="F104" s="696"/>
      <c r="G104" s="696"/>
      <c r="H104" s="696"/>
      <c r="I104" s="1050" t="str">
        <f t="shared" si="17"/>
        <v/>
      </c>
      <c r="J104" s="696"/>
      <c r="K104" s="697"/>
      <c r="L104" s="696"/>
      <c r="M104" s="198" t="str">
        <f t="shared" si="18"/>
        <v/>
      </c>
      <c r="N104" s="369" t="str">
        <f t="shared" si="19"/>
        <v/>
      </c>
      <c r="O104" s="183" t="str">
        <f t="shared" si="20"/>
        <v/>
      </c>
      <c r="P104" s="199" t="str">
        <f t="shared" si="21"/>
        <v/>
      </c>
      <c r="Q104" s="199" t="str">
        <f>IF(B104="","",IFERROR(IF('עלויות כח אדם (6)'!J104&gt;=VLOOKUP(I104,'סיווג התפקידים והעלויות'!$B$23:$C$32,2,0),"תקין","לא תקין"),""))</f>
        <v/>
      </c>
      <c r="R104" s="199" t="str">
        <f t="shared" si="22"/>
        <v/>
      </c>
      <c r="S104" s="199" t="str">
        <f t="shared" si="23"/>
        <v/>
      </c>
      <c r="T104" s="199" t="str">
        <f t="shared" si="31"/>
        <v/>
      </c>
      <c r="U104" s="199" t="str">
        <f t="shared" si="24"/>
        <v/>
      </c>
      <c r="V104" s="989"/>
      <c r="X104" s="374" t="str">
        <f t="shared" si="25"/>
        <v/>
      </c>
      <c r="Y104" s="375" t="str">
        <f t="shared" si="26"/>
        <v/>
      </c>
      <c r="Z104" s="374" t="str">
        <f t="shared" si="27"/>
        <v/>
      </c>
      <c r="AA104" s="374" t="b">
        <f t="shared" si="28"/>
        <v>1</v>
      </c>
      <c r="AB104" s="374">
        <f>COUNTIFS(B:B,B104,H:H,'סיווג התפקידים והעלויות'!$C$2)</f>
        <v>0</v>
      </c>
      <c r="AC104" s="374">
        <f>COUNTIFS(B:B,B104,H:H,'סיווג התפקידים והעלויות'!$D$2)</f>
        <v>0</v>
      </c>
      <c r="AD104" s="374" t="str">
        <f>IF(OR(AND(H104='סיווג התפקידים והעלויות'!$A$2,I104='סיווג התפקידים והעלויות'!$A$3),'עלויות כח אדם (6)'!H104='סיווג התפקידים והעלויות'!$C$2,'עלויות כח אדם (6)'!H104='סיווג התפקידים והעלויות'!$D$2),IF('עלויות כח אדם (6)'!J104&lt;75,"לא תקין","תקין"),"")</f>
        <v/>
      </c>
      <c r="AE104" s="374" t="str">
        <f t="shared" si="29"/>
        <v/>
      </c>
      <c r="AF104" s="532" t="str">
        <f t="shared" si="30"/>
        <v/>
      </c>
    </row>
    <row r="105" spans="2:32" x14ac:dyDescent="0.25">
      <c r="B105" s="695"/>
      <c r="C105" s="197" t="str">
        <f>IF(B105&lt;&gt;"",IFERROR(VLOOKUP(B:B,'מצבת והרשמה (2)'!$C$20:$N$520,2,0)," ")," ")</f>
        <v xml:space="preserve"> </v>
      </c>
      <c r="D105" s="695"/>
      <c r="E105" s="696"/>
      <c r="F105" s="696"/>
      <c r="G105" s="696"/>
      <c r="H105" s="696"/>
      <c r="I105" s="1050" t="str">
        <f t="shared" si="17"/>
        <v/>
      </c>
      <c r="J105" s="696"/>
      <c r="K105" s="697"/>
      <c r="L105" s="696"/>
      <c r="M105" s="198" t="str">
        <f t="shared" si="18"/>
        <v/>
      </c>
      <c r="N105" s="369" t="str">
        <f t="shared" si="19"/>
        <v/>
      </c>
      <c r="O105" s="183" t="str">
        <f t="shared" si="20"/>
        <v/>
      </c>
      <c r="P105" s="199" t="str">
        <f t="shared" si="21"/>
        <v/>
      </c>
      <c r="Q105" s="199" t="str">
        <f>IF(B105="","",IFERROR(IF('עלויות כח אדם (6)'!J105&gt;=VLOOKUP(I105,'סיווג התפקידים והעלויות'!$B$23:$C$32,2,0),"תקין","לא תקין"),""))</f>
        <v/>
      </c>
      <c r="R105" s="199" t="str">
        <f t="shared" si="22"/>
        <v/>
      </c>
      <c r="S105" s="199" t="str">
        <f t="shared" si="23"/>
        <v/>
      </c>
      <c r="T105" s="199" t="str">
        <f t="shared" si="31"/>
        <v/>
      </c>
      <c r="U105" s="199" t="str">
        <f t="shared" si="24"/>
        <v/>
      </c>
      <c r="V105" s="989"/>
      <c r="X105" s="374" t="str">
        <f t="shared" si="25"/>
        <v/>
      </c>
      <c r="Y105" s="375" t="str">
        <f t="shared" si="26"/>
        <v/>
      </c>
      <c r="Z105" s="374" t="str">
        <f t="shared" si="27"/>
        <v/>
      </c>
      <c r="AA105" s="374" t="b">
        <f t="shared" si="28"/>
        <v>1</v>
      </c>
      <c r="AB105" s="374">
        <f>COUNTIFS(B:B,B105,H:H,'סיווג התפקידים והעלויות'!$C$2)</f>
        <v>0</v>
      </c>
      <c r="AC105" s="374">
        <f>COUNTIFS(B:B,B105,H:H,'סיווג התפקידים והעלויות'!$D$2)</f>
        <v>0</v>
      </c>
      <c r="AD105" s="374" t="str">
        <f>IF(OR(AND(H105='סיווג התפקידים והעלויות'!$A$2,I105='סיווג התפקידים והעלויות'!$A$3),'עלויות כח אדם (6)'!H105='סיווג התפקידים והעלויות'!$C$2,'עלויות כח אדם (6)'!H105='סיווג התפקידים והעלויות'!$D$2),IF('עלויות כח אדם (6)'!J105&lt;75,"לא תקין","תקין"),"")</f>
        <v/>
      </c>
      <c r="AE105" s="374" t="str">
        <f t="shared" si="29"/>
        <v/>
      </c>
      <c r="AF105" s="532" t="str">
        <f t="shared" si="30"/>
        <v/>
      </c>
    </row>
    <row r="106" spans="2:32" x14ac:dyDescent="0.25">
      <c r="B106" s="695"/>
      <c r="C106" s="197" t="str">
        <f>IF(B106&lt;&gt;"",IFERROR(VLOOKUP(B:B,'מצבת והרשמה (2)'!$C$20:$N$520,2,0)," ")," ")</f>
        <v xml:space="preserve"> </v>
      </c>
      <c r="D106" s="695"/>
      <c r="E106" s="696"/>
      <c r="F106" s="696"/>
      <c r="G106" s="696"/>
      <c r="H106" s="696"/>
      <c r="I106" s="1050" t="str">
        <f t="shared" si="17"/>
        <v/>
      </c>
      <c r="J106" s="696"/>
      <c r="K106" s="697"/>
      <c r="L106" s="696"/>
      <c r="M106" s="198" t="str">
        <f t="shared" si="18"/>
        <v/>
      </c>
      <c r="N106" s="369" t="str">
        <f t="shared" si="19"/>
        <v/>
      </c>
      <c r="O106" s="183" t="str">
        <f t="shared" si="20"/>
        <v/>
      </c>
      <c r="P106" s="199" t="str">
        <f t="shared" si="21"/>
        <v/>
      </c>
      <c r="Q106" s="199" t="str">
        <f>IF(B106="","",IFERROR(IF('עלויות כח אדם (6)'!J106&gt;=VLOOKUP(I106,'סיווג התפקידים והעלויות'!$B$23:$C$32,2,0),"תקין","לא תקין"),""))</f>
        <v/>
      </c>
      <c r="R106" s="199" t="str">
        <f t="shared" si="22"/>
        <v/>
      </c>
      <c r="S106" s="199" t="str">
        <f t="shared" si="23"/>
        <v/>
      </c>
      <c r="T106" s="199" t="str">
        <f t="shared" si="31"/>
        <v/>
      </c>
      <c r="U106" s="199" t="str">
        <f t="shared" si="24"/>
        <v/>
      </c>
      <c r="V106" s="989"/>
      <c r="X106" s="374" t="str">
        <f t="shared" si="25"/>
        <v/>
      </c>
      <c r="Y106" s="375" t="str">
        <f t="shared" si="26"/>
        <v/>
      </c>
      <c r="Z106" s="374" t="str">
        <f t="shared" si="27"/>
        <v/>
      </c>
      <c r="AA106" s="374" t="b">
        <f t="shared" si="28"/>
        <v>1</v>
      </c>
      <c r="AB106" s="374">
        <f>COUNTIFS(B:B,B106,H:H,'סיווג התפקידים והעלויות'!$C$2)</f>
        <v>0</v>
      </c>
      <c r="AC106" s="374">
        <f>COUNTIFS(B:B,B106,H:H,'סיווג התפקידים והעלויות'!$D$2)</f>
        <v>0</v>
      </c>
      <c r="AD106" s="374" t="str">
        <f>IF(OR(AND(H106='סיווג התפקידים והעלויות'!$A$2,I106='סיווג התפקידים והעלויות'!$A$3),'עלויות כח אדם (6)'!H106='סיווג התפקידים והעלויות'!$C$2,'עלויות כח אדם (6)'!H106='סיווג התפקידים והעלויות'!$D$2),IF('עלויות כח אדם (6)'!J106&lt;75,"לא תקין","תקין"),"")</f>
        <v/>
      </c>
      <c r="AE106" s="374" t="str">
        <f t="shared" si="29"/>
        <v/>
      </c>
      <c r="AF106" s="532" t="str">
        <f t="shared" si="30"/>
        <v/>
      </c>
    </row>
    <row r="107" spans="2:32" x14ac:dyDescent="0.25">
      <c r="B107" s="695"/>
      <c r="C107" s="197" t="str">
        <f>IF(B107&lt;&gt;"",IFERROR(VLOOKUP(B:B,'מצבת והרשמה (2)'!$C$20:$N$520,2,0)," ")," ")</f>
        <v xml:space="preserve"> </v>
      </c>
      <c r="D107" s="695"/>
      <c r="E107" s="696"/>
      <c r="F107" s="696"/>
      <c r="G107" s="696"/>
      <c r="H107" s="696"/>
      <c r="I107" s="1050" t="str">
        <f t="shared" si="17"/>
        <v/>
      </c>
      <c r="J107" s="696"/>
      <c r="K107" s="697"/>
      <c r="L107" s="696"/>
      <c r="M107" s="198" t="str">
        <f t="shared" si="18"/>
        <v/>
      </c>
      <c r="N107" s="369" t="str">
        <f t="shared" si="19"/>
        <v/>
      </c>
      <c r="O107" s="183" t="str">
        <f t="shared" si="20"/>
        <v/>
      </c>
      <c r="P107" s="199" t="str">
        <f t="shared" si="21"/>
        <v/>
      </c>
      <c r="Q107" s="199" t="str">
        <f>IF(B107="","",IFERROR(IF('עלויות כח אדם (6)'!J107&gt;=VLOOKUP(I107,'סיווג התפקידים והעלויות'!$B$23:$C$32,2,0),"תקין","לא תקין"),""))</f>
        <v/>
      </c>
      <c r="R107" s="199" t="str">
        <f t="shared" si="22"/>
        <v/>
      </c>
      <c r="S107" s="199" t="str">
        <f t="shared" si="23"/>
        <v/>
      </c>
      <c r="T107" s="199" t="str">
        <f t="shared" si="31"/>
        <v/>
      </c>
      <c r="U107" s="199" t="str">
        <f t="shared" si="24"/>
        <v/>
      </c>
      <c r="V107" s="989"/>
      <c r="X107" s="374" t="str">
        <f t="shared" si="25"/>
        <v/>
      </c>
      <c r="Y107" s="375" t="str">
        <f t="shared" si="26"/>
        <v/>
      </c>
      <c r="Z107" s="374" t="str">
        <f t="shared" si="27"/>
        <v/>
      </c>
      <c r="AA107" s="374" t="b">
        <f t="shared" si="28"/>
        <v>1</v>
      </c>
      <c r="AB107" s="374">
        <f>COUNTIFS(B:B,B107,H:H,'סיווג התפקידים והעלויות'!$C$2)</f>
        <v>0</v>
      </c>
      <c r="AC107" s="374">
        <f>COUNTIFS(B:B,B107,H:H,'סיווג התפקידים והעלויות'!$D$2)</f>
        <v>0</v>
      </c>
      <c r="AD107" s="374" t="str">
        <f>IF(OR(AND(H107='סיווג התפקידים והעלויות'!$A$2,I107='סיווג התפקידים והעלויות'!$A$3),'עלויות כח אדם (6)'!H107='סיווג התפקידים והעלויות'!$C$2,'עלויות כח אדם (6)'!H107='סיווג התפקידים והעלויות'!$D$2),IF('עלויות כח אדם (6)'!J107&lt;75,"לא תקין","תקין"),"")</f>
        <v/>
      </c>
      <c r="AE107" s="374" t="str">
        <f t="shared" si="29"/>
        <v/>
      </c>
      <c r="AF107" s="532" t="str">
        <f t="shared" si="30"/>
        <v/>
      </c>
    </row>
    <row r="108" spans="2:32" x14ac:dyDescent="0.25">
      <c r="B108" s="695"/>
      <c r="C108" s="197" t="str">
        <f>IF(B108&lt;&gt;"",IFERROR(VLOOKUP(B:B,'מצבת והרשמה (2)'!$C$20:$N$520,2,0)," ")," ")</f>
        <v xml:space="preserve"> </v>
      </c>
      <c r="D108" s="695"/>
      <c r="E108" s="696"/>
      <c r="F108" s="696"/>
      <c r="G108" s="696"/>
      <c r="H108" s="696"/>
      <c r="I108" s="1050" t="str">
        <f t="shared" si="17"/>
        <v/>
      </c>
      <c r="J108" s="696"/>
      <c r="K108" s="697"/>
      <c r="L108" s="696"/>
      <c r="M108" s="198" t="str">
        <f t="shared" si="18"/>
        <v/>
      </c>
      <c r="N108" s="369" t="str">
        <f t="shared" si="19"/>
        <v/>
      </c>
      <c r="O108" s="183" t="str">
        <f t="shared" si="20"/>
        <v/>
      </c>
      <c r="P108" s="199" t="str">
        <f t="shared" si="21"/>
        <v/>
      </c>
      <c r="Q108" s="199" t="str">
        <f>IF(B108="","",IFERROR(IF('עלויות כח אדם (6)'!J108&gt;=VLOOKUP(I108,'סיווג התפקידים והעלויות'!$B$23:$C$32,2,0),"תקין","לא תקין"),""))</f>
        <v/>
      </c>
      <c r="R108" s="199" t="str">
        <f t="shared" si="22"/>
        <v/>
      </c>
      <c r="S108" s="199" t="str">
        <f t="shared" si="23"/>
        <v/>
      </c>
      <c r="T108" s="199" t="str">
        <f t="shared" si="31"/>
        <v/>
      </c>
      <c r="U108" s="199" t="str">
        <f t="shared" si="24"/>
        <v/>
      </c>
      <c r="V108" s="989"/>
      <c r="X108" s="374" t="str">
        <f t="shared" si="25"/>
        <v/>
      </c>
      <c r="Y108" s="375" t="str">
        <f t="shared" si="26"/>
        <v/>
      </c>
      <c r="Z108" s="374" t="str">
        <f t="shared" si="27"/>
        <v/>
      </c>
      <c r="AA108" s="374" t="b">
        <f t="shared" si="28"/>
        <v>1</v>
      </c>
      <c r="AB108" s="374">
        <f>COUNTIFS(B:B,B108,H:H,'סיווג התפקידים והעלויות'!$C$2)</f>
        <v>0</v>
      </c>
      <c r="AC108" s="374">
        <f>COUNTIFS(B:B,B108,H:H,'סיווג התפקידים והעלויות'!$D$2)</f>
        <v>0</v>
      </c>
      <c r="AD108" s="374" t="str">
        <f>IF(OR(AND(H108='סיווג התפקידים והעלויות'!$A$2,I108='סיווג התפקידים והעלויות'!$A$3),'עלויות כח אדם (6)'!H108='סיווג התפקידים והעלויות'!$C$2,'עלויות כח אדם (6)'!H108='סיווג התפקידים והעלויות'!$D$2),IF('עלויות כח אדם (6)'!J108&lt;75,"לא תקין","תקין"),"")</f>
        <v/>
      </c>
      <c r="AE108" s="374" t="str">
        <f t="shared" si="29"/>
        <v/>
      </c>
      <c r="AF108" s="532" t="str">
        <f t="shared" si="30"/>
        <v/>
      </c>
    </row>
    <row r="109" spans="2:32" x14ac:dyDescent="0.25">
      <c r="B109" s="695"/>
      <c r="C109" s="197" t="str">
        <f>IF(B109&lt;&gt;"",IFERROR(VLOOKUP(B:B,'מצבת והרשמה (2)'!$C$20:$N$520,2,0)," ")," ")</f>
        <v xml:space="preserve"> </v>
      </c>
      <c r="D109" s="695"/>
      <c r="E109" s="696"/>
      <c r="F109" s="696"/>
      <c r="G109" s="696"/>
      <c r="H109" s="696"/>
      <c r="I109" s="1050" t="str">
        <f t="shared" si="17"/>
        <v/>
      </c>
      <c r="J109" s="696"/>
      <c r="K109" s="697"/>
      <c r="L109" s="696"/>
      <c r="M109" s="198" t="str">
        <f t="shared" si="18"/>
        <v/>
      </c>
      <c r="N109" s="369" t="str">
        <f t="shared" si="19"/>
        <v/>
      </c>
      <c r="O109" s="183" t="str">
        <f t="shared" si="20"/>
        <v/>
      </c>
      <c r="P109" s="199" t="str">
        <f t="shared" si="21"/>
        <v/>
      </c>
      <c r="Q109" s="199" t="str">
        <f>IF(B109="","",IFERROR(IF('עלויות כח אדם (6)'!J109&gt;=VLOOKUP(I109,'סיווג התפקידים והעלויות'!$B$23:$C$32,2,0),"תקין","לא תקין"),""))</f>
        <v/>
      </c>
      <c r="R109" s="199" t="str">
        <f t="shared" si="22"/>
        <v/>
      </c>
      <c r="S109" s="199" t="str">
        <f t="shared" si="23"/>
        <v/>
      </c>
      <c r="T109" s="199" t="str">
        <f t="shared" si="31"/>
        <v/>
      </c>
      <c r="U109" s="199" t="str">
        <f t="shared" si="24"/>
        <v/>
      </c>
      <c r="V109" s="989"/>
      <c r="X109" s="374" t="str">
        <f t="shared" si="25"/>
        <v/>
      </c>
      <c r="Y109" s="375" t="str">
        <f t="shared" si="26"/>
        <v/>
      </c>
      <c r="Z109" s="374" t="str">
        <f t="shared" si="27"/>
        <v/>
      </c>
      <c r="AA109" s="374" t="b">
        <f t="shared" si="28"/>
        <v>1</v>
      </c>
      <c r="AB109" s="374">
        <f>COUNTIFS(B:B,B109,H:H,'סיווג התפקידים והעלויות'!$C$2)</f>
        <v>0</v>
      </c>
      <c r="AC109" s="374">
        <f>COUNTIFS(B:B,B109,H:H,'סיווג התפקידים והעלויות'!$D$2)</f>
        <v>0</v>
      </c>
      <c r="AD109" s="374" t="str">
        <f>IF(OR(AND(H109='סיווג התפקידים והעלויות'!$A$2,I109='סיווג התפקידים והעלויות'!$A$3),'עלויות כח אדם (6)'!H109='סיווג התפקידים והעלויות'!$C$2,'עלויות כח אדם (6)'!H109='סיווג התפקידים והעלויות'!$D$2),IF('עלויות כח אדם (6)'!J109&lt;75,"לא תקין","תקין"),"")</f>
        <v/>
      </c>
      <c r="AE109" s="374" t="str">
        <f t="shared" si="29"/>
        <v/>
      </c>
      <c r="AF109" s="532" t="str">
        <f t="shared" si="30"/>
        <v/>
      </c>
    </row>
    <row r="110" spans="2:32" x14ac:dyDescent="0.25">
      <c r="B110" s="695"/>
      <c r="C110" s="197" t="str">
        <f>IF(B110&lt;&gt;"",IFERROR(VLOOKUP(B:B,'מצבת והרשמה (2)'!$C$20:$N$520,2,0)," ")," ")</f>
        <v xml:space="preserve"> </v>
      </c>
      <c r="D110" s="695"/>
      <c r="E110" s="696"/>
      <c r="F110" s="696"/>
      <c r="G110" s="696"/>
      <c r="H110" s="696"/>
      <c r="I110" s="1050" t="str">
        <f t="shared" si="17"/>
        <v/>
      </c>
      <c r="J110" s="696"/>
      <c r="K110" s="697"/>
      <c r="L110" s="696"/>
      <c r="M110" s="198" t="str">
        <f t="shared" si="18"/>
        <v/>
      </c>
      <c r="N110" s="369" t="str">
        <f t="shared" si="19"/>
        <v/>
      </c>
      <c r="O110" s="183" t="str">
        <f t="shared" si="20"/>
        <v/>
      </c>
      <c r="P110" s="199" t="str">
        <f t="shared" si="21"/>
        <v/>
      </c>
      <c r="Q110" s="199" t="str">
        <f>IF(B110="","",IFERROR(IF('עלויות כח אדם (6)'!J110&gt;=VLOOKUP(I110,'סיווג התפקידים והעלויות'!$B$23:$C$32,2,0),"תקין","לא תקין"),""))</f>
        <v/>
      </c>
      <c r="R110" s="199" t="str">
        <f t="shared" si="22"/>
        <v/>
      </c>
      <c r="S110" s="199" t="str">
        <f t="shared" si="23"/>
        <v/>
      </c>
      <c r="T110" s="199" t="str">
        <f t="shared" si="31"/>
        <v/>
      </c>
      <c r="U110" s="199" t="str">
        <f t="shared" si="24"/>
        <v/>
      </c>
      <c r="V110" s="989"/>
      <c r="X110" s="374" t="str">
        <f t="shared" si="25"/>
        <v/>
      </c>
      <c r="Y110" s="375" t="str">
        <f t="shared" si="26"/>
        <v/>
      </c>
      <c r="Z110" s="374" t="str">
        <f t="shared" si="27"/>
        <v/>
      </c>
      <c r="AA110" s="374" t="b">
        <f t="shared" si="28"/>
        <v>1</v>
      </c>
      <c r="AB110" s="374">
        <f>COUNTIFS(B:B,B110,H:H,'סיווג התפקידים והעלויות'!$C$2)</f>
        <v>0</v>
      </c>
      <c r="AC110" s="374">
        <f>COUNTIFS(B:B,B110,H:H,'סיווג התפקידים והעלויות'!$D$2)</f>
        <v>0</v>
      </c>
      <c r="AD110" s="374" t="str">
        <f>IF(OR(AND(H110='סיווג התפקידים והעלויות'!$A$2,I110='סיווג התפקידים והעלויות'!$A$3),'עלויות כח אדם (6)'!H110='סיווג התפקידים והעלויות'!$C$2,'עלויות כח אדם (6)'!H110='סיווג התפקידים והעלויות'!$D$2),IF('עלויות כח אדם (6)'!J110&lt;75,"לא תקין","תקין"),"")</f>
        <v/>
      </c>
      <c r="AE110" s="374" t="str">
        <f t="shared" si="29"/>
        <v/>
      </c>
      <c r="AF110" s="532" t="str">
        <f t="shared" si="30"/>
        <v/>
      </c>
    </row>
    <row r="111" spans="2:32" x14ac:dyDescent="0.25">
      <c r="B111" s="695"/>
      <c r="C111" s="197" t="str">
        <f>IF(B111&lt;&gt;"",IFERROR(VLOOKUP(B:B,'מצבת והרשמה (2)'!$C$20:$N$520,2,0)," ")," ")</f>
        <v xml:space="preserve"> </v>
      </c>
      <c r="D111" s="695"/>
      <c r="E111" s="696"/>
      <c r="F111" s="696"/>
      <c r="G111" s="696"/>
      <c r="H111" s="696"/>
      <c r="I111" s="1050" t="str">
        <f t="shared" si="17"/>
        <v/>
      </c>
      <c r="J111" s="696"/>
      <c r="K111" s="697"/>
      <c r="L111" s="696"/>
      <c r="M111" s="198" t="str">
        <f t="shared" si="18"/>
        <v/>
      </c>
      <c r="N111" s="369" t="str">
        <f t="shared" si="19"/>
        <v/>
      </c>
      <c r="O111" s="183" t="str">
        <f t="shared" si="20"/>
        <v/>
      </c>
      <c r="P111" s="199" t="str">
        <f t="shared" si="21"/>
        <v/>
      </c>
      <c r="Q111" s="199" t="str">
        <f>IF(B111="","",IFERROR(IF('עלויות כח אדם (6)'!J111&gt;=VLOOKUP(I111,'סיווג התפקידים והעלויות'!$B$23:$C$32,2,0),"תקין","לא תקין"),""))</f>
        <v/>
      </c>
      <c r="R111" s="199" t="str">
        <f t="shared" si="22"/>
        <v/>
      </c>
      <c r="S111" s="199" t="str">
        <f t="shared" si="23"/>
        <v/>
      </c>
      <c r="T111" s="199" t="str">
        <f t="shared" si="31"/>
        <v/>
      </c>
      <c r="U111" s="199" t="str">
        <f t="shared" si="24"/>
        <v/>
      </c>
      <c r="V111" s="989"/>
      <c r="X111" s="374" t="str">
        <f t="shared" si="25"/>
        <v/>
      </c>
      <c r="Y111" s="375" t="str">
        <f t="shared" si="26"/>
        <v/>
      </c>
      <c r="Z111" s="374" t="str">
        <f t="shared" si="27"/>
        <v/>
      </c>
      <c r="AA111" s="374" t="b">
        <f t="shared" si="28"/>
        <v>1</v>
      </c>
      <c r="AB111" s="374">
        <f>COUNTIFS(B:B,B111,H:H,'סיווג התפקידים והעלויות'!$C$2)</f>
        <v>0</v>
      </c>
      <c r="AC111" s="374">
        <f>COUNTIFS(B:B,B111,H:H,'סיווג התפקידים והעלויות'!$D$2)</f>
        <v>0</v>
      </c>
      <c r="AD111" s="374" t="str">
        <f>IF(OR(AND(H111='סיווג התפקידים והעלויות'!$A$2,I111='סיווג התפקידים והעלויות'!$A$3),'עלויות כח אדם (6)'!H111='סיווג התפקידים והעלויות'!$C$2,'עלויות כח אדם (6)'!H111='סיווג התפקידים והעלויות'!$D$2),IF('עלויות כח אדם (6)'!J111&lt;75,"לא תקין","תקין"),"")</f>
        <v/>
      </c>
      <c r="AE111" s="374" t="str">
        <f t="shared" si="29"/>
        <v/>
      </c>
      <c r="AF111" s="532" t="str">
        <f t="shared" si="30"/>
        <v/>
      </c>
    </row>
    <row r="112" spans="2:32" x14ac:dyDescent="0.25">
      <c r="B112" s="695"/>
      <c r="C112" s="197" t="str">
        <f>IF(B112&lt;&gt;"",IFERROR(VLOOKUP(B:B,'מצבת והרשמה (2)'!$C$20:$N$520,2,0)," ")," ")</f>
        <v xml:space="preserve"> </v>
      </c>
      <c r="D112" s="695"/>
      <c r="E112" s="696"/>
      <c r="F112" s="696"/>
      <c r="G112" s="696"/>
      <c r="H112" s="696"/>
      <c r="I112" s="1050" t="str">
        <f t="shared" si="17"/>
        <v/>
      </c>
      <c r="J112" s="696"/>
      <c r="K112" s="697"/>
      <c r="L112" s="696"/>
      <c r="M112" s="198" t="str">
        <f t="shared" si="18"/>
        <v/>
      </c>
      <c r="N112" s="369" t="str">
        <f t="shared" si="19"/>
        <v/>
      </c>
      <c r="O112" s="183" t="str">
        <f t="shared" si="20"/>
        <v/>
      </c>
      <c r="P112" s="199" t="str">
        <f t="shared" si="21"/>
        <v/>
      </c>
      <c r="Q112" s="199" t="str">
        <f>IF(B112="","",IFERROR(IF('עלויות כח אדם (6)'!J112&gt;=VLOOKUP(I112,'סיווג התפקידים והעלויות'!$B$23:$C$32,2,0),"תקין","לא תקין"),""))</f>
        <v/>
      </c>
      <c r="R112" s="199" t="str">
        <f t="shared" si="22"/>
        <v/>
      </c>
      <c r="S112" s="199" t="str">
        <f t="shared" si="23"/>
        <v/>
      </c>
      <c r="T112" s="199" t="str">
        <f t="shared" si="31"/>
        <v/>
      </c>
      <c r="U112" s="199" t="str">
        <f t="shared" si="24"/>
        <v/>
      </c>
      <c r="V112" s="989"/>
      <c r="X112" s="374" t="str">
        <f t="shared" si="25"/>
        <v/>
      </c>
      <c r="Y112" s="375" t="str">
        <f t="shared" si="26"/>
        <v/>
      </c>
      <c r="Z112" s="374" t="str">
        <f t="shared" si="27"/>
        <v/>
      </c>
      <c r="AA112" s="374" t="b">
        <f t="shared" si="28"/>
        <v>1</v>
      </c>
      <c r="AB112" s="374">
        <f>COUNTIFS(B:B,B112,H:H,'סיווג התפקידים והעלויות'!$C$2)</f>
        <v>0</v>
      </c>
      <c r="AC112" s="374">
        <f>COUNTIFS(B:B,B112,H:H,'סיווג התפקידים והעלויות'!$D$2)</f>
        <v>0</v>
      </c>
      <c r="AD112" s="374" t="str">
        <f>IF(OR(AND(H112='סיווג התפקידים והעלויות'!$A$2,I112='סיווג התפקידים והעלויות'!$A$3),'עלויות כח אדם (6)'!H112='סיווג התפקידים והעלויות'!$C$2,'עלויות כח אדם (6)'!H112='סיווג התפקידים והעלויות'!$D$2),IF('עלויות כח אדם (6)'!J112&lt;75,"לא תקין","תקין"),"")</f>
        <v/>
      </c>
      <c r="AE112" s="374" t="str">
        <f t="shared" si="29"/>
        <v/>
      </c>
      <c r="AF112" s="532" t="str">
        <f t="shared" si="30"/>
        <v/>
      </c>
    </row>
    <row r="113" spans="2:32" x14ac:dyDescent="0.25">
      <c r="B113" s="695"/>
      <c r="C113" s="197" t="str">
        <f>IF(B113&lt;&gt;"",IFERROR(VLOOKUP(B:B,'מצבת והרשמה (2)'!$C$20:$N$520,2,0)," ")," ")</f>
        <v xml:space="preserve"> </v>
      </c>
      <c r="D113" s="695"/>
      <c r="E113" s="696"/>
      <c r="F113" s="696"/>
      <c r="G113" s="696"/>
      <c r="H113" s="696"/>
      <c r="I113" s="1050" t="str">
        <f t="shared" si="17"/>
        <v/>
      </c>
      <c r="J113" s="696"/>
      <c r="K113" s="697"/>
      <c r="L113" s="696"/>
      <c r="M113" s="198" t="str">
        <f t="shared" si="18"/>
        <v/>
      </c>
      <c r="N113" s="369" t="str">
        <f t="shared" si="19"/>
        <v/>
      </c>
      <c r="O113" s="183" t="str">
        <f t="shared" si="20"/>
        <v/>
      </c>
      <c r="P113" s="199" t="str">
        <f t="shared" si="21"/>
        <v/>
      </c>
      <c r="Q113" s="199" t="str">
        <f>IF(B113="","",IFERROR(IF('עלויות כח אדם (6)'!J113&gt;=VLOOKUP(I113,'סיווג התפקידים והעלויות'!$B$23:$C$32,2,0),"תקין","לא תקין"),""))</f>
        <v/>
      </c>
      <c r="R113" s="199" t="str">
        <f t="shared" si="22"/>
        <v/>
      </c>
      <c r="S113" s="199" t="str">
        <f t="shared" si="23"/>
        <v/>
      </c>
      <c r="T113" s="199" t="str">
        <f t="shared" si="31"/>
        <v/>
      </c>
      <c r="U113" s="199" t="str">
        <f t="shared" si="24"/>
        <v/>
      </c>
      <c r="V113" s="989"/>
      <c r="X113" s="374" t="str">
        <f t="shared" si="25"/>
        <v/>
      </c>
      <c r="Y113" s="375" t="str">
        <f t="shared" si="26"/>
        <v/>
      </c>
      <c r="Z113" s="374" t="str">
        <f t="shared" si="27"/>
        <v/>
      </c>
      <c r="AA113" s="374" t="b">
        <f t="shared" si="28"/>
        <v>1</v>
      </c>
      <c r="AB113" s="374">
        <f>COUNTIFS(B:B,B113,H:H,'סיווג התפקידים והעלויות'!$C$2)</f>
        <v>0</v>
      </c>
      <c r="AC113" s="374">
        <f>COUNTIFS(B:B,B113,H:H,'סיווג התפקידים והעלויות'!$D$2)</f>
        <v>0</v>
      </c>
      <c r="AD113" s="374" t="str">
        <f>IF(OR(AND(H113='סיווג התפקידים והעלויות'!$A$2,I113='סיווג התפקידים והעלויות'!$A$3),'עלויות כח אדם (6)'!H113='סיווג התפקידים והעלויות'!$C$2,'עלויות כח אדם (6)'!H113='סיווג התפקידים והעלויות'!$D$2),IF('עלויות כח אדם (6)'!J113&lt;75,"לא תקין","תקין"),"")</f>
        <v/>
      </c>
      <c r="AE113" s="374" t="str">
        <f t="shared" si="29"/>
        <v/>
      </c>
      <c r="AF113" s="532" t="str">
        <f t="shared" si="30"/>
        <v/>
      </c>
    </row>
    <row r="114" spans="2:32" x14ac:dyDescent="0.25">
      <c r="B114" s="695"/>
      <c r="C114" s="197" t="str">
        <f>IF(B114&lt;&gt;"",IFERROR(VLOOKUP(B:B,'מצבת והרשמה (2)'!$C$20:$N$520,2,0)," ")," ")</f>
        <v xml:space="preserve"> </v>
      </c>
      <c r="D114" s="695"/>
      <c r="E114" s="696"/>
      <c r="F114" s="696"/>
      <c r="G114" s="696"/>
      <c r="H114" s="696"/>
      <c r="I114" s="1050" t="str">
        <f t="shared" si="17"/>
        <v/>
      </c>
      <c r="J114" s="696"/>
      <c r="K114" s="697"/>
      <c r="L114" s="696"/>
      <c r="M114" s="198" t="str">
        <f t="shared" si="18"/>
        <v/>
      </c>
      <c r="N114" s="369" t="str">
        <f t="shared" si="19"/>
        <v/>
      </c>
      <c r="O114" s="183" t="str">
        <f t="shared" si="20"/>
        <v/>
      </c>
      <c r="P114" s="199" t="str">
        <f t="shared" si="21"/>
        <v/>
      </c>
      <c r="Q114" s="199" t="str">
        <f>IF(B114="","",IFERROR(IF('עלויות כח אדם (6)'!J114&gt;=VLOOKUP(I114,'סיווג התפקידים והעלויות'!$B$23:$C$32,2,0),"תקין","לא תקין"),""))</f>
        <v/>
      </c>
      <c r="R114" s="199" t="str">
        <f t="shared" si="22"/>
        <v/>
      </c>
      <c r="S114" s="199" t="str">
        <f t="shared" si="23"/>
        <v/>
      </c>
      <c r="T114" s="199" t="str">
        <f t="shared" si="31"/>
        <v/>
      </c>
      <c r="U114" s="199" t="str">
        <f t="shared" si="24"/>
        <v/>
      </c>
      <c r="V114" s="989"/>
      <c r="X114" s="374" t="str">
        <f t="shared" si="25"/>
        <v/>
      </c>
      <c r="Y114" s="375" t="str">
        <f t="shared" si="26"/>
        <v/>
      </c>
      <c r="Z114" s="374" t="str">
        <f t="shared" si="27"/>
        <v/>
      </c>
      <c r="AA114" s="374" t="b">
        <f t="shared" si="28"/>
        <v>1</v>
      </c>
      <c r="AB114" s="374">
        <f>COUNTIFS(B:B,B114,H:H,'סיווג התפקידים והעלויות'!$C$2)</f>
        <v>0</v>
      </c>
      <c r="AC114" s="374">
        <f>COUNTIFS(B:B,B114,H:H,'סיווג התפקידים והעלויות'!$D$2)</f>
        <v>0</v>
      </c>
      <c r="AD114" s="374" t="str">
        <f>IF(OR(AND(H114='סיווג התפקידים והעלויות'!$A$2,I114='סיווג התפקידים והעלויות'!$A$3),'עלויות כח אדם (6)'!H114='סיווג התפקידים והעלויות'!$C$2,'עלויות כח אדם (6)'!H114='סיווג התפקידים והעלויות'!$D$2),IF('עלויות כח אדם (6)'!J114&lt;75,"לא תקין","תקין"),"")</f>
        <v/>
      </c>
      <c r="AE114" s="374" t="str">
        <f t="shared" si="29"/>
        <v/>
      </c>
      <c r="AF114" s="532" t="str">
        <f t="shared" si="30"/>
        <v/>
      </c>
    </row>
    <row r="115" spans="2:32" x14ac:dyDescent="0.25">
      <c r="B115" s="695"/>
      <c r="C115" s="197" t="str">
        <f>IF(B115&lt;&gt;"",IFERROR(VLOOKUP(B:B,'מצבת והרשמה (2)'!$C$20:$N$520,2,0)," ")," ")</f>
        <v xml:space="preserve"> </v>
      </c>
      <c r="D115" s="695"/>
      <c r="E115" s="696"/>
      <c r="F115" s="696"/>
      <c r="G115" s="696"/>
      <c r="H115" s="696"/>
      <c r="I115" s="1050" t="str">
        <f t="shared" si="17"/>
        <v/>
      </c>
      <c r="J115" s="696"/>
      <c r="K115" s="697"/>
      <c r="L115" s="696"/>
      <c r="M115" s="198" t="str">
        <f t="shared" si="18"/>
        <v/>
      </c>
      <c r="N115" s="369" t="str">
        <f t="shared" si="19"/>
        <v/>
      </c>
      <c r="O115" s="183" t="str">
        <f t="shared" si="20"/>
        <v/>
      </c>
      <c r="P115" s="199" t="str">
        <f t="shared" si="21"/>
        <v/>
      </c>
      <c r="Q115" s="199" t="str">
        <f>IF(B115="","",IFERROR(IF('עלויות כח אדם (6)'!J115&gt;=VLOOKUP(I115,'סיווג התפקידים והעלויות'!$B$23:$C$32,2,0),"תקין","לא תקין"),""))</f>
        <v/>
      </c>
      <c r="R115" s="199" t="str">
        <f t="shared" si="22"/>
        <v/>
      </c>
      <c r="S115" s="199" t="str">
        <f t="shared" si="23"/>
        <v/>
      </c>
      <c r="T115" s="199" t="str">
        <f t="shared" si="31"/>
        <v/>
      </c>
      <c r="U115" s="199" t="str">
        <f t="shared" si="24"/>
        <v/>
      </c>
      <c r="V115" s="989"/>
      <c r="X115" s="374" t="str">
        <f t="shared" si="25"/>
        <v/>
      </c>
      <c r="Y115" s="375" t="str">
        <f t="shared" si="26"/>
        <v/>
      </c>
      <c r="Z115" s="374" t="str">
        <f t="shared" si="27"/>
        <v/>
      </c>
      <c r="AA115" s="374" t="b">
        <f t="shared" si="28"/>
        <v>1</v>
      </c>
      <c r="AB115" s="374">
        <f>COUNTIFS(B:B,B115,H:H,'סיווג התפקידים והעלויות'!$C$2)</f>
        <v>0</v>
      </c>
      <c r="AC115" s="374">
        <f>COUNTIFS(B:B,B115,H:H,'סיווג התפקידים והעלויות'!$D$2)</f>
        <v>0</v>
      </c>
      <c r="AD115" s="374" t="str">
        <f>IF(OR(AND(H115='סיווג התפקידים והעלויות'!$A$2,I115='סיווג התפקידים והעלויות'!$A$3),'עלויות כח אדם (6)'!H115='סיווג התפקידים והעלויות'!$C$2,'עלויות כח אדם (6)'!H115='סיווג התפקידים והעלויות'!$D$2),IF('עלויות כח אדם (6)'!J115&lt;75,"לא תקין","תקין"),"")</f>
        <v/>
      </c>
      <c r="AE115" s="374" t="str">
        <f t="shared" si="29"/>
        <v/>
      </c>
      <c r="AF115" s="532" t="str">
        <f t="shared" si="30"/>
        <v/>
      </c>
    </row>
    <row r="116" spans="2:32" x14ac:dyDescent="0.25">
      <c r="B116" s="695"/>
      <c r="C116" s="197" t="str">
        <f>IF(B116&lt;&gt;"",IFERROR(VLOOKUP(B:B,'מצבת והרשמה (2)'!$C$20:$N$520,2,0)," ")," ")</f>
        <v xml:space="preserve"> </v>
      </c>
      <c r="D116" s="695"/>
      <c r="E116" s="696"/>
      <c r="F116" s="696"/>
      <c r="G116" s="696"/>
      <c r="H116" s="696"/>
      <c r="I116" s="1050" t="str">
        <f t="shared" si="17"/>
        <v/>
      </c>
      <c r="J116" s="696"/>
      <c r="K116" s="697"/>
      <c r="L116" s="696"/>
      <c r="M116" s="198" t="str">
        <f t="shared" si="18"/>
        <v/>
      </c>
      <c r="N116" s="369" t="str">
        <f t="shared" si="19"/>
        <v/>
      </c>
      <c r="O116" s="183" t="str">
        <f t="shared" si="20"/>
        <v/>
      </c>
      <c r="P116" s="199" t="str">
        <f t="shared" si="21"/>
        <v/>
      </c>
      <c r="Q116" s="199" t="str">
        <f>IF(B116="","",IFERROR(IF('עלויות כח אדם (6)'!J116&gt;=VLOOKUP(I116,'סיווג התפקידים והעלויות'!$B$23:$C$32,2,0),"תקין","לא תקין"),""))</f>
        <v/>
      </c>
      <c r="R116" s="199" t="str">
        <f t="shared" si="22"/>
        <v/>
      </c>
      <c r="S116" s="199" t="str">
        <f t="shared" si="23"/>
        <v/>
      </c>
      <c r="T116" s="199" t="str">
        <f t="shared" si="31"/>
        <v/>
      </c>
      <c r="U116" s="199" t="str">
        <f t="shared" si="24"/>
        <v/>
      </c>
      <c r="V116" s="989"/>
      <c r="X116" s="374" t="str">
        <f t="shared" si="25"/>
        <v/>
      </c>
      <c r="Y116" s="375" t="str">
        <f t="shared" si="26"/>
        <v/>
      </c>
      <c r="Z116" s="374" t="str">
        <f t="shared" si="27"/>
        <v/>
      </c>
      <c r="AA116" s="374" t="b">
        <f t="shared" si="28"/>
        <v>1</v>
      </c>
      <c r="AB116" s="374">
        <f>COUNTIFS(B:B,B116,H:H,'סיווג התפקידים והעלויות'!$C$2)</f>
        <v>0</v>
      </c>
      <c r="AC116" s="374">
        <f>COUNTIFS(B:B,B116,H:H,'סיווג התפקידים והעלויות'!$D$2)</f>
        <v>0</v>
      </c>
      <c r="AD116" s="374" t="str">
        <f>IF(OR(AND(H116='סיווג התפקידים והעלויות'!$A$2,I116='סיווג התפקידים והעלויות'!$A$3),'עלויות כח אדם (6)'!H116='סיווג התפקידים והעלויות'!$C$2,'עלויות כח אדם (6)'!H116='סיווג התפקידים והעלויות'!$D$2),IF('עלויות כח אדם (6)'!J116&lt;75,"לא תקין","תקין"),"")</f>
        <v/>
      </c>
      <c r="AE116" s="374" t="str">
        <f t="shared" si="29"/>
        <v/>
      </c>
      <c r="AF116" s="532" t="str">
        <f t="shared" si="30"/>
        <v/>
      </c>
    </row>
    <row r="117" spans="2:32" x14ac:dyDescent="0.25">
      <c r="B117" s="695"/>
      <c r="C117" s="197" t="str">
        <f>IF(B117&lt;&gt;"",IFERROR(VLOOKUP(B:B,'מצבת והרשמה (2)'!$C$20:$N$520,2,0)," ")," ")</f>
        <v xml:space="preserve"> </v>
      </c>
      <c r="D117" s="695"/>
      <c r="E117" s="696"/>
      <c r="F117" s="696"/>
      <c r="G117" s="696"/>
      <c r="H117" s="696"/>
      <c r="I117" s="1050" t="str">
        <f t="shared" si="17"/>
        <v/>
      </c>
      <c r="J117" s="696"/>
      <c r="K117" s="697"/>
      <c r="L117" s="696"/>
      <c r="M117" s="198" t="str">
        <f t="shared" si="18"/>
        <v/>
      </c>
      <c r="N117" s="369" t="str">
        <f t="shared" si="19"/>
        <v/>
      </c>
      <c r="O117" s="183" t="str">
        <f t="shared" si="20"/>
        <v/>
      </c>
      <c r="P117" s="199" t="str">
        <f t="shared" si="21"/>
        <v/>
      </c>
      <c r="Q117" s="199" t="str">
        <f>IF(B117="","",IFERROR(IF('עלויות כח אדם (6)'!J117&gt;=VLOOKUP(I117,'סיווג התפקידים והעלויות'!$B$23:$C$32,2,0),"תקין","לא תקין"),""))</f>
        <v/>
      </c>
      <c r="R117" s="199" t="str">
        <f t="shared" si="22"/>
        <v/>
      </c>
      <c r="S117" s="199" t="str">
        <f t="shared" si="23"/>
        <v/>
      </c>
      <c r="T117" s="199" t="str">
        <f t="shared" si="31"/>
        <v/>
      </c>
      <c r="U117" s="199" t="str">
        <f t="shared" si="24"/>
        <v/>
      </c>
      <c r="V117" s="989"/>
      <c r="X117" s="374" t="str">
        <f t="shared" si="25"/>
        <v/>
      </c>
      <c r="Y117" s="375" t="str">
        <f t="shared" si="26"/>
        <v/>
      </c>
      <c r="Z117" s="374" t="str">
        <f t="shared" si="27"/>
        <v/>
      </c>
      <c r="AA117" s="374" t="b">
        <f t="shared" si="28"/>
        <v>1</v>
      </c>
      <c r="AB117" s="374">
        <f>COUNTIFS(B:B,B117,H:H,'סיווג התפקידים והעלויות'!$C$2)</f>
        <v>0</v>
      </c>
      <c r="AC117" s="374">
        <f>COUNTIFS(B:B,B117,H:H,'סיווג התפקידים והעלויות'!$D$2)</f>
        <v>0</v>
      </c>
      <c r="AD117" s="374" t="str">
        <f>IF(OR(AND(H117='סיווג התפקידים והעלויות'!$A$2,I117='סיווג התפקידים והעלויות'!$A$3),'עלויות כח אדם (6)'!H117='סיווג התפקידים והעלויות'!$C$2,'עלויות כח אדם (6)'!H117='סיווג התפקידים והעלויות'!$D$2),IF('עלויות כח אדם (6)'!J117&lt;75,"לא תקין","תקין"),"")</f>
        <v/>
      </c>
      <c r="AE117" s="374" t="str">
        <f t="shared" si="29"/>
        <v/>
      </c>
      <c r="AF117" s="532" t="str">
        <f t="shared" si="30"/>
        <v/>
      </c>
    </row>
    <row r="118" spans="2:32" x14ac:dyDescent="0.25">
      <c r="B118" s="695"/>
      <c r="C118" s="197" t="str">
        <f>IF(B118&lt;&gt;"",IFERROR(VLOOKUP(B:B,'מצבת והרשמה (2)'!$C$20:$N$520,2,0)," ")," ")</f>
        <v xml:space="preserve"> </v>
      </c>
      <c r="D118" s="695"/>
      <c r="E118" s="696"/>
      <c r="F118" s="696"/>
      <c r="G118" s="696"/>
      <c r="H118" s="696"/>
      <c r="I118" s="1050" t="str">
        <f t="shared" si="17"/>
        <v/>
      </c>
      <c r="J118" s="696"/>
      <c r="K118" s="697"/>
      <c r="L118" s="696"/>
      <c r="M118" s="198" t="str">
        <f t="shared" si="18"/>
        <v/>
      </c>
      <c r="N118" s="369" t="str">
        <f t="shared" si="19"/>
        <v/>
      </c>
      <c r="O118" s="183" t="str">
        <f t="shared" si="20"/>
        <v/>
      </c>
      <c r="P118" s="199" t="str">
        <f t="shared" si="21"/>
        <v/>
      </c>
      <c r="Q118" s="199" t="str">
        <f>IF(B118="","",IFERROR(IF('עלויות כח אדם (6)'!J118&gt;=VLOOKUP(I118,'סיווג התפקידים והעלויות'!$B$23:$C$32,2,0),"תקין","לא תקין"),""))</f>
        <v/>
      </c>
      <c r="R118" s="199" t="str">
        <f t="shared" si="22"/>
        <v/>
      </c>
      <c r="S118" s="199" t="str">
        <f t="shared" si="23"/>
        <v/>
      </c>
      <c r="T118" s="199" t="str">
        <f t="shared" si="31"/>
        <v/>
      </c>
      <c r="U118" s="199" t="str">
        <f t="shared" si="24"/>
        <v/>
      </c>
      <c r="V118" s="989"/>
      <c r="X118" s="374" t="str">
        <f t="shared" si="25"/>
        <v/>
      </c>
      <c r="Y118" s="375" t="str">
        <f t="shared" si="26"/>
        <v/>
      </c>
      <c r="Z118" s="374" t="str">
        <f t="shared" si="27"/>
        <v/>
      </c>
      <c r="AA118" s="374" t="b">
        <f t="shared" si="28"/>
        <v>1</v>
      </c>
      <c r="AB118" s="374">
        <f>COUNTIFS(B:B,B118,H:H,'סיווג התפקידים והעלויות'!$C$2)</f>
        <v>0</v>
      </c>
      <c r="AC118" s="374">
        <f>COUNTIFS(B:B,B118,H:H,'סיווג התפקידים והעלויות'!$D$2)</f>
        <v>0</v>
      </c>
      <c r="AD118" s="374" t="str">
        <f>IF(OR(AND(H118='סיווג התפקידים והעלויות'!$A$2,I118='סיווג התפקידים והעלויות'!$A$3),'עלויות כח אדם (6)'!H118='סיווג התפקידים והעלויות'!$C$2,'עלויות כח אדם (6)'!H118='סיווג התפקידים והעלויות'!$D$2),IF('עלויות כח אדם (6)'!J118&lt;75,"לא תקין","תקין"),"")</f>
        <v/>
      </c>
      <c r="AE118" s="374" t="str">
        <f t="shared" si="29"/>
        <v/>
      </c>
      <c r="AF118" s="532" t="str">
        <f t="shared" si="30"/>
        <v/>
      </c>
    </row>
    <row r="119" spans="2:32" x14ac:dyDescent="0.25">
      <c r="B119" s="695"/>
      <c r="C119" s="197" t="str">
        <f>IF(B119&lt;&gt;"",IFERROR(VLOOKUP(B:B,'מצבת והרשמה (2)'!$C$20:$N$520,2,0)," ")," ")</f>
        <v xml:space="preserve"> </v>
      </c>
      <c r="D119" s="695"/>
      <c r="E119" s="696"/>
      <c r="F119" s="696"/>
      <c r="G119" s="696"/>
      <c r="H119" s="696"/>
      <c r="I119" s="1050" t="str">
        <f t="shared" si="17"/>
        <v/>
      </c>
      <c r="J119" s="696"/>
      <c r="K119" s="697"/>
      <c r="L119" s="696"/>
      <c r="M119" s="198" t="str">
        <f t="shared" si="18"/>
        <v/>
      </c>
      <c r="N119" s="369" t="str">
        <f t="shared" si="19"/>
        <v/>
      </c>
      <c r="O119" s="183" t="str">
        <f t="shared" si="20"/>
        <v/>
      </c>
      <c r="P119" s="199" t="str">
        <f t="shared" si="21"/>
        <v/>
      </c>
      <c r="Q119" s="199" t="str">
        <f>IF(B119="","",IFERROR(IF('עלויות כח אדם (6)'!J119&gt;=VLOOKUP(I119,'סיווג התפקידים והעלויות'!$B$23:$C$32,2,0),"תקין","לא תקין"),""))</f>
        <v/>
      </c>
      <c r="R119" s="199" t="str">
        <f t="shared" si="22"/>
        <v/>
      </c>
      <c r="S119" s="199" t="str">
        <f t="shared" si="23"/>
        <v/>
      </c>
      <c r="T119" s="199" t="str">
        <f t="shared" si="31"/>
        <v/>
      </c>
      <c r="U119" s="199" t="str">
        <f t="shared" si="24"/>
        <v/>
      </c>
      <c r="V119" s="989"/>
      <c r="X119" s="374" t="str">
        <f t="shared" si="25"/>
        <v/>
      </c>
      <c r="Y119" s="375" t="str">
        <f t="shared" si="26"/>
        <v/>
      </c>
      <c r="Z119" s="374" t="str">
        <f t="shared" si="27"/>
        <v/>
      </c>
      <c r="AA119" s="374" t="b">
        <f t="shared" si="28"/>
        <v>1</v>
      </c>
      <c r="AB119" s="374">
        <f>COUNTIFS(B:B,B119,H:H,'סיווג התפקידים והעלויות'!$C$2)</f>
        <v>0</v>
      </c>
      <c r="AC119" s="374">
        <f>COUNTIFS(B:B,B119,H:H,'סיווג התפקידים והעלויות'!$D$2)</f>
        <v>0</v>
      </c>
      <c r="AD119" s="374" t="str">
        <f>IF(OR(AND(H119='סיווג התפקידים והעלויות'!$A$2,I119='סיווג התפקידים והעלויות'!$A$3),'עלויות כח אדם (6)'!H119='סיווג התפקידים והעלויות'!$C$2,'עלויות כח אדם (6)'!H119='סיווג התפקידים והעלויות'!$D$2),IF('עלויות כח אדם (6)'!J119&lt;75,"לא תקין","תקין"),"")</f>
        <v/>
      </c>
      <c r="AE119" s="374" t="str">
        <f t="shared" si="29"/>
        <v/>
      </c>
      <c r="AF119" s="532" t="str">
        <f t="shared" si="30"/>
        <v/>
      </c>
    </row>
    <row r="120" spans="2:32" x14ac:dyDescent="0.25">
      <c r="B120" s="695"/>
      <c r="C120" s="197" t="str">
        <f>IF(B120&lt;&gt;"",IFERROR(VLOOKUP(B:B,'מצבת והרשמה (2)'!$C$20:$N$520,2,0)," ")," ")</f>
        <v xml:space="preserve"> </v>
      </c>
      <c r="D120" s="695"/>
      <c r="E120" s="696"/>
      <c r="F120" s="696"/>
      <c r="G120" s="696"/>
      <c r="H120" s="696"/>
      <c r="I120" s="1050" t="str">
        <f t="shared" si="17"/>
        <v/>
      </c>
      <c r="J120" s="696"/>
      <c r="K120" s="697"/>
      <c r="L120" s="696"/>
      <c r="M120" s="198" t="str">
        <f t="shared" si="18"/>
        <v/>
      </c>
      <c r="N120" s="369" t="str">
        <f t="shared" si="19"/>
        <v/>
      </c>
      <c r="O120" s="183" t="str">
        <f t="shared" si="20"/>
        <v/>
      </c>
      <c r="P120" s="199" t="str">
        <f t="shared" si="21"/>
        <v/>
      </c>
      <c r="Q120" s="199" t="str">
        <f>IF(B120="","",IFERROR(IF('עלויות כח אדם (6)'!J120&gt;=VLOOKUP(I120,'סיווג התפקידים והעלויות'!$B$23:$C$32,2,0),"תקין","לא תקין"),""))</f>
        <v/>
      </c>
      <c r="R120" s="199" t="str">
        <f t="shared" si="22"/>
        <v/>
      </c>
      <c r="S120" s="199" t="str">
        <f t="shared" si="23"/>
        <v/>
      </c>
      <c r="T120" s="199" t="str">
        <f t="shared" si="31"/>
        <v/>
      </c>
      <c r="U120" s="199" t="str">
        <f t="shared" si="24"/>
        <v/>
      </c>
      <c r="V120" s="989"/>
      <c r="X120" s="374" t="str">
        <f t="shared" si="25"/>
        <v/>
      </c>
      <c r="Y120" s="375" t="str">
        <f t="shared" si="26"/>
        <v/>
      </c>
      <c r="Z120" s="374" t="str">
        <f t="shared" si="27"/>
        <v/>
      </c>
      <c r="AA120" s="374" t="b">
        <f t="shared" si="28"/>
        <v>1</v>
      </c>
      <c r="AB120" s="374">
        <f>COUNTIFS(B:B,B120,H:H,'סיווג התפקידים והעלויות'!$C$2)</f>
        <v>0</v>
      </c>
      <c r="AC120" s="374">
        <f>COUNTIFS(B:B,B120,H:H,'סיווג התפקידים והעלויות'!$D$2)</f>
        <v>0</v>
      </c>
      <c r="AD120" s="374" t="str">
        <f>IF(OR(AND(H120='סיווג התפקידים והעלויות'!$A$2,I120='סיווג התפקידים והעלויות'!$A$3),'עלויות כח אדם (6)'!H120='סיווג התפקידים והעלויות'!$C$2,'עלויות כח אדם (6)'!H120='סיווג התפקידים והעלויות'!$D$2),IF('עלויות כח אדם (6)'!J120&lt;75,"לא תקין","תקין"),"")</f>
        <v/>
      </c>
      <c r="AE120" s="374" t="str">
        <f t="shared" si="29"/>
        <v/>
      </c>
      <c r="AF120" s="532" t="str">
        <f t="shared" si="30"/>
        <v/>
      </c>
    </row>
    <row r="121" spans="2:32" x14ac:dyDescent="0.25">
      <c r="B121" s="695"/>
      <c r="C121" s="197" t="str">
        <f>IF(B121&lt;&gt;"",IFERROR(VLOOKUP(B:B,'מצבת והרשמה (2)'!$C$20:$N$520,2,0)," ")," ")</f>
        <v xml:space="preserve"> </v>
      </c>
      <c r="D121" s="695"/>
      <c r="E121" s="696"/>
      <c r="F121" s="696"/>
      <c r="G121" s="696"/>
      <c r="H121" s="696"/>
      <c r="I121" s="1050" t="str">
        <f t="shared" si="17"/>
        <v/>
      </c>
      <c r="J121" s="696"/>
      <c r="K121" s="697"/>
      <c r="L121" s="696"/>
      <c r="M121" s="198" t="str">
        <f t="shared" si="18"/>
        <v/>
      </c>
      <c r="N121" s="369" t="str">
        <f t="shared" si="19"/>
        <v/>
      </c>
      <c r="O121" s="183" t="str">
        <f t="shared" si="20"/>
        <v/>
      </c>
      <c r="P121" s="199" t="str">
        <f t="shared" si="21"/>
        <v/>
      </c>
      <c r="Q121" s="199" t="str">
        <f>IF(B121="","",IFERROR(IF('עלויות כח אדם (6)'!J121&gt;=VLOOKUP(I121,'סיווג התפקידים והעלויות'!$B$23:$C$32,2,0),"תקין","לא תקין"),""))</f>
        <v/>
      </c>
      <c r="R121" s="199" t="str">
        <f t="shared" si="22"/>
        <v/>
      </c>
      <c r="S121" s="199" t="str">
        <f t="shared" si="23"/>
        <v/>
      </c>
      <c r="T121" s="199" t="str">
        <f t="shared" si="31"/>
        <v/>
      </c>
      <c r="U121" s="199" t="str">
        <f t="shared" si="24"/>
        <v/>
      </c>
      <c r="V121" s="989"/>
      <c r="X121" s="374" t="str">
        <f t="shared" si="25"/>
        <v/>
      </c>
      <c r="Y121" s="375" t="str">
        <f t="shared" si="26"/>
        <v/>
      </c>
      <c r="Z121" s="374" t="str">
        <f t="shared" si="27"/>
        <v/>
      </c>
      <c r="AA121" s="374" t="b">
        <f t="shared" si="28"/>
        <v>1</v>
      </c>
      <c r="AB121" s="374">
        <f>COUNTIFS(B:B,B121,H:H,'סיווג התפקידים והעלויות'!$C$2)</f>
        <v>0</v>
      </c>
      <c r="AC121" s="374">
        <f>COUNTIFS(B:B,B121,H:H,'סיווג התפקידים והעלויות'!$D$2)</f>
        <v>0</v>
      </c>
      <c r="AD121" s="374" t="str">
        <f>IF(OR(AND(H121='סיווג התפקידים והעלויות'!$A$2,I121='סיווג התפקידים והעלויות'!$A$3),'עלויות כח אדם (6)'!H121='סיווג התפקידים והעלויות'!$C$2,'עלויות כח אדם (6)'!H121='סיווג התפקידים והעלויות'!$D$2),IF('עלויות כח אדם (6)'!J121&lt;75,"לא תקין","תקין"),"")</f>
        <v/>
      </c>
      <c r="AE121" s="374" t="str">
        <f t="shared" si="29"/>
        <v/>
      </c>
      <c r="AF121" s="532" t="str">
        <f t="shared" si="30"/>
        <v/>
      </c>
    </row>
    <row r="122" spans="2:32" x14ac:dyDescent="0.25">
      <c r="B122" s="695"/>
      <c r="C122" s="197" t="str">
        <f>IF(B122&lt;&gt;"",IFERROR(VLOOKUP(B:B,'מצבת והרשמה (2)'!$C$20:$N$520,2,0)," ")," ")</f>
        <v xml:space="preserve"> </v>
      </c>
      <c r="D122" s="695"/>
      <c r="E122" s="696"/>
      <c r="F122" s="696"/>
      <c r="G122" s="696"/>
      <c r="H122" s="696"/>
      <c r="I122" s="1050" t="str">
        <f t="shared" si="17"/>
        <v/>
      </c>
      <c r="J122" s="696"/>
      <c r="K122" s="697"/>
      <c r="L122" s="696"/>
      <c r="M122" s="198" t="str">
        <f t="shared" si="18"/>
        <v/>
      </c>
      <c r="N122" s="369" t="str">
        <f t="shared" si="19"/>
        <v/>
      </c>
      <c r="O122" s="183" t="str">
        <f t="shared" si="20"/>
        <v/>
      </c>
      <c r="P122" s="199" t="str">
        <f t="shared" si="21"/>
        <v/>
      </c>
      <c r="Q122" s="199" t="str">
        <f>IF(B122="","",IFERROR(IF('עלויות כח אדם (6)'!J122&gt;=VLOOKUP(I122,'סיווג התפקידים והעלויות'!$B$23:$C$32,2,0),"תקין","לא תקין"),""))</f>
        <v/>
      </c>
      <c r="R122" s="199" t="str">
        <f t="shared" si="22"/>
        <v/>
      </c>
      <c r="S122" s="199" t="str">
        <f t="shared" si="23"/>
        <v/>
      </c>
      <c r="T122" s="199" t="str">
        <f t="shared" si="31"/>
        <v/>
      </c>
      <c r="U122" s="199" t="str">
        <f t="shared" si="24"/>
        <v/>
      </c>
      <c r="V122" s="989"/>
      <c r="X122" s="374" t="str">
        <f t="shared" si="25"/>
        <v/>
      </c>
      <c r="Y122" s="375" t="str">
        <f t="shared" si="26"/>
        <v/>
      </c>
      <c r="Z122" s="374" t="str">
        <f t="shared" si="27"/>
        <v/>
      </c>
      <c r="AA122" s="374" t="b">
        <f t="shared" si="28"/>
        <v>1</v>
      </c>
      <c r="AB122" s="374">
        <f>COUNTIFS(B:B,B122,H:H,'סיווג התפקידים והעלויות'!$C$2)</f>
        <v>0</v>
      </c>
      <c r="AC122" s="374">
        <f>COUNTIFS(B:B,B122,H:H,'סיווג התפקידים והעלויות'!$D$2)</f>
        <v>0</v>
      </c>
      <c r="AD122" s="374" t="str">
        <f>IF(OR(AND(H122='סיווג התפקידים והעלויות'!$A$2,I122='סיווג התפקידים והעלויות'!$A$3),'עלויות כח אדם (6)'!H122='סיווג התפקידים והעלויות'!$C$2,'עלויות כח אדם (6)'!H122='סיווג התפקידים והעלויות'!$D$2),IF('עלויות כח אדם (6)'!J122&lt;75,"לא תקין","תקין"),"")</f>
        <v/>
      </c>
      <c r="AE122" s="374" t="str">
        <f t="shared" si="29"/>
        <v/>
      </c>
      <c r="AF122" s="532" t="str">
        <f t="shared" si="30"/>
        <v/>
      </c>
    </row>
    <row r="123" spans="2:32" x14ac:dyDescent="0.25">
      <c r="B123" s="695"/>
      <c r="C123" s="197" t="str">
        <f>IF(B123&lt;&gt;"",IFERROR(VLOOKUP(B:B,'מצבת והרשמה (2)'!$C$20:$N$520,2,0)," ")," ")</f>
        <v xml:space="preserve"> </v>
      </c>
      <c r="D123" s="695"/>
      <c r="E123" s="696"/>
      <c r="F123" s="696"/>
      <c r="G123" s="696"/>
      <c r="H123" s="696"/>
      <c r="I123" s="1050" t="str">
        <f t="shared" si="17"/>
        <v/>
      </c>
      <c r="J123" s="696"/>
      <c r="K123" s="697"/>
      <c r="L123" s="696"/>
      <c r="M123" s="198" t="str">
        <f t="shared" si="18"/>
        <v/>
      </c>
      <c r="N123" s="369" t="str">
        <f t="shared" si="19"/>
        <v/>
      </c>
      <c r="O123" s="183" t="str">
        <f t="shared" si="20"/>
        <v/>
      </c>
      <c r="P123" s="199" t="str">
        <f t="shared" si="21"/>
        <v/>
      </c>
      <c r="Q123" s="199" t="str">
        <f>IF(B123="","",IFERROR(IF('עלויות כח אדם (6)'!J123&gt;=VLOOKUP(I123,'סיווג התפקידים והעלויות'!$B$23:$C$32,2,0),"תקין","לא תקין"),""))</f>
        <v/>
      </c>
      <c r="R123" s="199" t="str">
        <f t="shared" si="22"/>
        <v/>
      </c>
      <c r="S123" s="199" t="str">
        <f t="shared" si="23"/>
        <v/>
      </c>
      <c r="T123" s="199" t="str">
        <f t="shared" si="31"/>
        <v/>
      </c>
      <c r="U123" s="199" t="str">
        <f t="shared" si="24"/>
        <v/>
      </c>
      <c r="V123" s="989"/>
      <c r="X123" s="374" t="str">
        <f t="shared" si="25"/>
        <v/>
      </c>
      <c r="Y123" s="375" t="str">
        <f t="shared" si="26"/>
        <v/>
      </c>
      <c r="Z123" s="374" t="str">
        <f t="shared" si="27"/>
        <v/>
      </c>
      <c r="AA123" s="374" t="b">
        <f t="shared" si="28"/>
        <v>1</v>
      </c>
      <c r="AB123" s="374">
        <f>COUNTIFS(B:B,B123,H:H,'סיווג התפקידים והעלויות'!$C$2)</f>
        <v>0</v>
      </c>
      <c r="AC123" s="374">
        <f>COUNTIFS(B:B,B123,H:H,'סיווג התפקידים והעלויות'!$D$2)</f>
        <v>0</v>
      </c>
      <c r="AD123" s="374" t="str">
        <f>IF(OR(AND(H123='סיווג התפקידים והעלויות'!$A$2,I123='סיווג התפקידים והעלויות'!$A$3),'עלויות כח אדם (6)'!H123='סיווג התפקידים והעלויות'!$C$2,'עלויות כח אדם (6)'!H123='סיווג התפקידים והעלויות'!$D$2),IF('עלויות כח אדם (6)'!J123&lt;75,"לא תקין","תקין"),"")</f>
        <v/>
      </c>
      <c r="AE123" s="374" t="str">
        <f t="shared" si="29"/>
        <v/>
      </c>
      <c r="AF123" s="532" t="str">
        <f t="shared" si="30"/>
        <v/>
      </c>
    </row>
    <row r="124" spans="2:32" x14ac:dyDescent="0.25">
      <c r="B124" s="695"/>
      <c r="C124" s="197" t="str">
        <f>IF(B124&lt;&gt;"",IFERROR(VLOOKUP(B:B,'מצבת והרשמה (2)'!$C$20:$N$520,2,0)," ")," ")</f>
        <v xml:space="preserve"> </v>
      </c>
      <c r="D124" s="695"/>
      <c r="E124" s="696"/>
      <c r="F124" s="696"/>
      <c r="G124" s="696"/>
      <c r="H124" s="696"/>
      <c r="I124" s="1050" t="str">
        <f t="shared" si="17"/>
        <v/>
      </c>
      <c r="J124" s="696"/>
      <c r="K124" s="697"/>
      <c r="L124" s="696"/>
      <c r="M124" s="198" t="str">
        <f t="shared" si="18"/>
        <v/>
      </c>
      <c r="N124" s="369" t="str">
        <f t="shared" si="19"/>
        <v/>
      </c>
      <c r="O124" s="183" t="str">
        <f t="shared" si="20"/>
        <v/>
      </c>
      <c r="P124" s="199" t="str">
        <f t="shared" si="21"/>
        <v/>
      </c>
      <c r="Q124" s="199" t="str">
        <f>IF(B124="","",IFERROR(IF('עלויות כח אדם (6)'!J124&gt;=VLOOKUP(I124,'סיווג התפקידים והעלויות'!$B$23:$C$32,2,0),"תקין","לא תקין"),""))</f>
        <v/>
      </c>
      <c r="R124" s="199" t="str">
        <f t="shared" si="22"/>
        <v/>
      </c>
      <c r="S124" s="199" t="str">
        <f t="shared" si="23"/>
        <v/>
      </c>
      <c r="T124" s="199" t="str">
        <f t="shared" si="31"/>
        <v/>
      </c>
      <c r="U124" s="199" t="str">
        <f t="shared" si="24"/>
        <v/>
      </c>
      <c r="V124" s="989"/>
      <c r="X124" s="374" t="str">
        <f t="shared" si="25"/>
        <v/>
      </c>
      <c r="Y124" s="375" t="str">
        <f t="shared" si="26"/>
        <v/>
      </c>
      <c r="Z124" s="374" t="str">
        <f t="shared" si="27"/>
        <v/>
      </c>
      <c r="AA124" s="374" t="b">
        <f t="shared" si="28"/>
        <v>1</v>
      </c>
      <c r="AB124" s="374">
        <f>COUNTIFS(B:B,B124,H:H,'סיווג התפקידים והעלויות'!$C$2)</f>
        <v>0</v>
      </c>
      <c r="AC124" s="374">
        <f>COUNTIFS(B:B,B124,H:H,'סיווג התפקידים והעלויות'!$D$2)</f>
        <v>0</v>
      </c>
      <c r="AD124" s="374" t="str">
        <f>IF(OR(AND(H124='סיווג התפקידים והעלויות'!$A$2,I124='סיווג התפקידים והעלויות'!$A$3),'עלויות כח אדם (6)'!H124='סיווג התפקידים והעלויות'!$C$2,'עלויות כח אדם (6)'!H124='סיווג התפקידים והעלויות'!$D$2),IF('עלויות כח אדם (6)'!J124&lt;75,"לא תקין","תקין"),"")</f>
        <v/>
      </c>
      <c r="AE124" s="374" t="str">
        <f t="shared" si="29"/>
        <v/>
      </c>
      <c r="AF124" s="532" t="str">
        <f t="shared" si="30"/>
        <v/>
      </c>
    </row>
    <row r="125" spans="2:32" x14ac:dyDescent="0.25">
      <c r="B125" s="695"/>
      <c r="C125" s="197" t="str">
        <f>IF(B125&lt;&gt;"",IFERROR(VLOOKUP(B:B,'מצבת והרשמה (2)'!$C$20:$N$520,2,0)," ")," ")</f>
        <v xml:space="preserve"> </v>
      </c>
      <c r="D125" s="695"/>
      <c r="E125" s="696"/>
      <c r="F125" s="696"/>
      <c r="G125" s="696"/>
      <c r="H125" s="696"/>
      <c r="I125" s="1050" t="str">
        <f t="shared" si="17"/>
        <v/>
      </c>
      <c r="J125" s="696"/>
      <c r="K125" s="697"/>
      <c r="L125" s="696"/>
      <c r="M125" s="198" t="str">
        <f t="shared" si="18"/>
        <v/>
      </c>
      <c r="N125" s="369" t="str">
        <f t="shared" si="19"/>
        <v/>
      </c>
      <c r="O125" s="183" t="str">
        <f t="shared" si="20"/>
        <v/>
      </c>
      <c r="P125" s="199" t="str">
        <f t="shared" si="21"/>
        <v/>
      </c>
      <c r="Q125" s="199" t="str">
        <f>IF(B125="","",IFERROR(IF('עלויות כח אדם (6)'!J125&gt;=VLOOKUP(I125,'סיווג התפקידים והעלויות'!$B$23:$C$32,2,0),"תקין","לא תקין"),""))</f>
        <v/>
      </c>
      <c r="R125" s="199" t="str">
        <f t="shared" si="22"/>
        <v/>
      </c>
      <c r="S125" s="199" t="str">
        <f t="shared" si="23"/>
        <v/>
      </c>
      <c r="T125" s="199" t="str">
        <f t="shared" si="31"/>
        <v/>
      </c>
      <c r="U125" s="199" t="str">
        <f t="shared" si="24"/>
        <v/>
      </c>
      <c r="V125" s="989"/>
      <c r="X125" s="374" t="str">
        <f t="shared" si="25"/>
        <v/>
      </c>
      <c r="Y125" s="375" t="str">
        <f t="shared" si="26"/>
        <v/>
      </c>
      <c r="Z125" s="374" t="str">
        <f t="shared" si="27"/>
        <v/>
      </c>
      <c r="AA125" s="374" t="b">
        <f t="shared" si="28"/>
        <v>1</v>
      </c>
      <c r="AB125" s="374">
        <f>COUNTIFS(B:B,B125,H:H,'סיווג התפקידים והעלויות'!$C$2)</f>
        <v>0</v>
      </c>
      <c r="AC125" s="374">
        <f>COUNTIFS(B:B,B125,H:H,'סיווג התפקידים והעלויות'!$D$2)</f>
        <v>0</v>
      </c>
      <c r="AD125" s="374" t="str">
        <f>IF(OR(AND(H125='סיווג התפקידים והעלויות'!$A$2,I125='סיווג התפקידים והעלויות'!$A$3),'עלויות כח אדם (6)'!H125='סיווג התפקידים והעלויות'!$C$2,'עלויות כח אדם (6)'!H125='סיווג התפקידים והעלויות'!$D$2),IF('עלויות כח אדם (6)'!J125&lt;75,"לא תקין","תקין"),"")</f>
        <v/>
      </c>
      <c r="AE125" s="374" t="str">
        <f t="shared" si="29"/>
        <v/>
      </c>
      <c r="AF125" s="532" t="str">
        <f t="shared" si="30"/>
        <v/>
      </c>
    </row>
    <row r="126" spans="2:32" x14ac:dyDescent="0.25">
      <c r="B126" s="695"/>
      <c r="C126" s="197" t="str">
        <f>IF(B126&lt;&gt;"",IFERROR(VLOOKUP(B:B,'מצבת והרשמה (2)'!$C$20:$N$520,2,0)," ")," ")</f>
        <v xml:space="preserve"> </v>
      </c>
      <c r="D126" s="695"/>
      <c r="E126" s="696"/>
      <c r="F126" s="696"/>
      <c r="G126" s="696"/>
      <c r="H126" s="696"/>
      <c r="I126" s="1050" t="str">
        <f t="shared" si="17"/>
        <v/>
      </c>
      <c r="J126" s="696"/>
      <c r="K126" s="697"/>
      <c r="L126" s="696"/>
      <c r="M126" s="198" t="str">
        <f t="shared" si="18"/>
        <v/>
      </c>
      <c r="N126" s="369" t="str">
        <f t="shared" si="19"/>
        <v/>
      </c>
      <c r="O126" s="183" t="str">
        <f t="shared" si="20"/>
        <v/>
      </c>
      <c r="P126" s="199" t="str">
        <f t="shared" si="21"/>
        <v/>
      </c>
      <c r="Q126" s="199" t="str">
        <f>IF(B126="","",IFERROR(IF('עלויות כח אדם (6)'!J126&gt;=VLOOKUP(I126,'סיווג התפקידים והעלויות'!$B$23:$C$32,2,0),"תקין","לא תקין"),""))</f>
        <v/>
      </c>
      <c r="R126" s="199" t="str">
        <f t="shared" si="22"/>
        <v/>
      </c>
      <c r="S126" s="199" t="str">
        <f t="shared" si="23"/>
        <v/>
      </c>
      <c r="T126" s="199" t="str">
        <f t="shared" si="31"/>
        <v/>
      </c>
      <c r="U126" s="199" t="str">
        <f t="shared" si="24"/>
        <v/>
      </c>
      <c r="V126" s="989"/>
      <c r="X126" s="374" t="str">
        <f t="shared" si="25"/>
        <v/>
      </c>
      <c r="Y126" s="375" t="str">
        <f t="shared" si="26"/>
        <v/>
      </c>
      <c r="Z126" s="374" t="str">
        <f t="shared" si="27"/>
        <v/>
      </c>
      <c r="AA126" s="374" t="b">
        <f t="shared" si="28"/>
        <v>1</v>
      </c>
      <c r="AB126" s="374">
        <f>COUNTIFS(B:B,B126,H:H,'סיווג התפקידים והעלויות'!$C$2)</f>
        <v>0</v>
      </c>
      <c r="AC126" s="374">
        <f>COUNTIFS(B:B,B126,H:H,'סיווג התפקידים והעלויות'!$D$2)</f>
        <v>0</v>
      </c>
      <c r="AD126" s="374" t="str">
        <f>IF(OR(AND(H126='סיווג התפקידים והעלויות'!$A$2,I126='סיווג התפקידים והעלויות'!$A$3),'עלויות כח אדם (6)'!H126='סיווג התפקידים והעלויות'!$C$2,'עלויות כח אדם (6)'!H126='סיווג התפקידים והעלויות'!$D$2),IF('עלויות כח אדם (6)'!J126&lt;75,"לא תקין","תקין"),"")</f>
        <v/>
      </c>
      <c r="AE126" s="374" t="str">
        <f t="shared" si="29"/>
        <v/>
      </c>
      <c r="AF126" s="532" t="str">
        <f t="shared" si="30"/>
        <v/>
      </c>
    </row>
    <row r="127" spans="2:32" x14ac:dyDescent="0.25">
      <c r="B127" s="695"/>
      <c r="C127" s="197" t="str">
        <f>IF(B127&lt;&gt;"",IFERROR(VLOOKUP(B:B,'מצבת והרשמה (2)'!$C$20:$N$520,2,0)," ")," ")</f>
        <v xml:space="preserve"> </v>
      </c>
      <c r="D127" s="695"/>
      <c r="E127" s="696"/>
      <c r="F127" s="696"/>
      <c r="G127" s="696"/>
      <c r="H127" s="696"/>
      <c r="I127" s="1050" t="str">
        <f t="shared" si="17"/>
        <v/>
      </c>
      <c r="J127" s="696"/>
      <c r="K127" s="697"/>
      <c r="L127" s="696"/>
      <c r="M127" s="198" t="str">
        <f t="shared" si="18"/>
        <v/>
      </c>
      <c r="N127" s="369" t="str">
        <f t="shared" si="19"/>
        <v/>
      </c>
      <c r="O127" s="183" t="str">
        <f t="shared" si="20"/>
        <v/>
      </c>
      <c r="P127" s="199" t="str">
        <f t="shared" si="21"/>
        <v/>
      </c>
      <c r="Q127" s="199" t="str">
        <f>IF(B127="","",IFERROR(IF('עלויות כח אדם (6)'!J127&gt;=VLOOKUP(I127,'סיווג התפקידים והעלויות'!$B$23:$C$32,2,0),"תקין","לא תקין"),""))</f>
        <v/>
      </c>
      <c r="R127" s="199" t="str">
        <f t="shared" si="22"/>
        <v/>
      </c>
      <c r="S127" s="199" t="str">
        <f t="shared" si="23"/>
        <v/>
      </c>
      <c r="T127" s="199" t="str">
        <f t="shared" si="31"/>
        <v/>
      </c>
      <c r="U127" s="199" t="str">
        <f t="shared" si="24"/>
        <v/>
      </c>
      <c r="V127" s="989"/>
      <c r="X127" s="374" t="str">
        <f t="shared" si="25"/>
        <v/>
      </c>
      <c r="Y127" s="375" t="str">
        <f t="shared" si="26"/>
        <v/>
      </c>
      <c r="Z127" s="374" t="str">
        <f t="shared" si="27"/>
        <v/>
      </c>
      <c r="AA127" s="374" t="b">
        <f t="shared" si="28"/>
        <v>1</v>
      </c>
      <c r="AB127" s="374">
        <f>COUNTIFS(B:B,B127,H:H,'סיווג התפקידים והעלויות'!$C$2)</f>
        <v>0</v>
      </c>
      <c r="AC127" s="374">
        <f>COUNTIFS(B:B,B127,H:H,'סיווג התפקידים והעלויות'!$D$2)</f>
        <v>0</v>
      </c>
      <c r="AD127" s="374" t="str">
        <f>IF(OR(AND(H127='סיווג התפקידים והעלויות'!$A$2,I127='סיווג התפקידים והעלויות'!$A$3),'עלויות כח אדם (6)'!H127='סיווג התפקידים והעלויות'!$C$2,'עלויות כח אדם (6)'!H127='סיווג התפקידים והעלויות'!$D$2),IF('עלויות כח אדם (6)'!J127&lt;75,"לא תקין","תקין"),"")</f>
        <v/>
      </c>
      <c r="AE127" s="374" t="str">
        <f t="shared" si="29"/>
        <v/>
      </c>
      <c r="AF127" s="532" t="str">
        <f t="shared" si="30"/>
        <v/>
      </c>
    </row>
    <row r="128" spans="2:32" x14ac:dyDescent="0.25">
      <c r="B128" s="695"/>
      <c r="C128" s="197" t="str">
        <f>IF(B128&lt;&gt;"",IFERROR(VLOOKUP(B:B,'מצבת והרשמה (2)'!$C$20:$N$520,2,0)," ")," ")</f>
        <v xml:space="preserve"> </v>
      </c>
      <c r="D128" s="695"/>
      <c r="E128" s="696"/>
      <c r="F128" s="696"/>
      <c r="G128" s="696"/>
      <c r="H128" s="696"/>
      <c r="I128" s="1050" t="str">
        <f t="shared" si="17"/>
        <v/>
      </c>
      <c r="J128" s="696"/>
      <c r="K128" s="697"/>
      <c r="L128" s="696"/>
      <c r="M128" s="198" t="str">
        <f t="shared" si="18"/>
        <v/>
      </c>
      <c r="N128" s="369" t="str">
        <f t="shared" si="19"/>
        <v/>
      </c>
      <c r="O128" s="183" t="str">
        <f t="shared" si="20"/>
        <v/>
      </c>
      <c r="P128" s="199" t="str">
        <f t="shared" si="21"/>
        <v/>
      </c>
      <c r="Q128" s="199" t="str">
        <f>IF(B128="","",IFERROR(IF('עלויות כח אדם (6)'!J128&gt;=VLOOKUP(I128,'סיווג התפקידים והעלויות'!$B$23:$C$32,2,0),"תקין","לא תקין"),""))</f>
        <v/>
      </c>
      <c r="R128" s="199" t="str">
        <f t="shared" si="22"/>
        <v/>
      </c>
      <c r="S128" s="199" t="str">
        <f t="shared" si="23"/>
        <v/>
      </c>
      <c r="T128" s="199" t="str">
        <f t="shared" si="31"/>
        <v/>
      </c>
      <c r="U128" s="199" t="str">
        <f t="shared" si="24"/>
        <v/>
      </c>
      <c r="V128" s="989"/>
      <c r="X128" s="374" t="str">
        <f t="shared" si="25"/>
        <v/>
      </c>
      <c r="Y128" s="375" t="str">
        <f t="shared" si="26"/>
        <v/>
      </c>
      <c r="Z128" s="374" t="str">
        <f t="shared" si="27"/>
        <v/>
      </c>
      <c r="AA128" s="374" t="b">
        <f t="shared" si="28"/>
        <v>1</v>
      </c>
      <c r="AB128" s="374">
        <f>COUNTIFS(B:B,B128,H:H,'סיווג התפקידים והעלויות'!$C$2)</f>
        <v>0</v>
      </c>
      <c r="AC128" s="374">
        <f>COUNTIFS(B:B,B128,H:H,'סיווג התפקידים והעלויות'!$D$2)</f>
        <v>0</v>
      </c>
      <c r="AD128" s="374" t="str">
        <f>IF(OR(AND(H128='סיווג התפקידים והעלויות'!$A$2,I128='סיווג התפקידים והעלויות'!$A$3),'עלויות כח אדם (6)'!H128='סיווג התפקידים והעלויות'!$C$2,'עלויות כח אדם (6)'!H128='סיווג התפקידים והעלויות'!$D$2),IF('עלויות כח אדם (6)'!J128&lt;75,"לא תקין","תקין"),"")</f>
        <v/>
      </c>
      <c r="AE128" s="374" t="str">
        <f t="shared" si="29"/>
        <v/>
      </c>
      <c r="AF128" s="532" t="str">
        <f t="shared" si="30"/>
        <v/>
      </c>
    </row>
    <row r="129" spans="2:32" x14ac:dyDescent="0.25">
      <c r="B129" s="695"/>
      <c r="C129" s="197" t="str">
        <f>IF(B129&lt;&gt;"",IFERROR(VLOOKUP(B:B,'מצבת והרשמה (2)'!$C$20:$N$520,2,0)," ")," ")</f>
        <v xml:space="preserve"> </v>
      </c>
      <c r="D129" s="695"/>
      <c r="E129" s="696"/>
      <c r="F129" s="696"/>
      <c r="G129" s="696"/>
      <c r="H129" s="696"/>
      <c r="I129" s="1050" t="str">
        <f t="shared" si="17"/>
        <v/>
      </c>
      <c r="J129" s="696"/>
      <c r="K129" s="697"/>
      <c r="L129" s="696"/>
      <c r="M129" s="198" t="str">
        <f t="shared" si="18"/>
        <v/>
      </c>
      <c r="N129" s="369" t="str">
        <f t="shared" si="19"/>
        <v/>
      </c>
      <c r="O129" s="183" t="str">
        <f t="shared" si="20"/>
        <v/>
      </c>
      <c r="P129" s="199" t="str">
        <f t="shared" si="21"/>
        <v/>
      </c>
      <c r="Q129" s="199" t="str">
        <f>IF(B129="","",IFERROR(IF('עלויות כח אדם (6)'!J129&gt;=VLOOKUP(I129,'סיווג התפקידים והעלויות'!$B$23:$C$32,2,0),"תקין","לא תקין"),""))</f>
        <v/>
      </c>
      <c r="R129" s="199" t="str">
        <f t="shared" si="22"/>
        <v/>
      </c>
      <c r="S129" s="199" t="str">
        <f t="shared" si="23"/>
        <v/>
      </c>
      <c r="T129" s="199" t="str">
        <f t="shared" si="31"/>
        <v/>
      </c>
      <c r="U129" s="199" t="str">
        <f t="shared" si="24"/>
        <v/>
      </c>
      <c r="V129" s="989"/>
      <c r="X129" s="374" t="str">
        <f t="shared" si="25"/>
        <v/>
      </c>
      <c r="Y129" s="375" t="str">
        <f t="shared" si="26"/>
        <v/>
      </c>
      <c r="Z129" s="374" t="str">
        <f t="shared" si="27"/>
        <v/>
      </c>
      <c r="AA129" s="374" t="b">
        <f t="shared" si="28"/>
        <v>1</v>
      </c>
      <c r="AB129" s="374">
        <f>COUNTIFS(B:B,B129,H:H,'סיווג התפקידים והעלויות'!$C$2)</f>
        <v>0</v>
      </c>
      <c r="AC129" s="374">
        <f>COUNTIFS(B:B,B129,H:H,'סיווג התפקידים והעלויות'!$D$2)</f>
        <v>0</v>
      </c>
      <c r="AD129" s="374" t="str">
        <f>IF(OR(AND(H129='סיווג התפקידים והעלויות'!$A$2,I129='סיווג התפקידים והעלויות'!$A$3),'עלויות כח אדם (6)'!H129='סיווג התפקידים והעלויות'!$C$2,'עלויות כח אדם (6)'!H129='סיווג התפקידים והעלויות'!$D$2),IF('עלויות כח אדם (6)'!J129&lt;75,"לא תקין","תקין"),"")</f>
        <v/>
      </c>
      <c r="AE129" s="374" t="str">
        <f t="shared" si="29"/>
        <v/>
      </c>
      <c r="AF129" s="532" t="str">
        <f t="shared" si="30"/>
        <v/>
      </c>
    </row>
    <row r="130" spans="2:32" x14ac:dyDescent="0.25">
      <c r="B130" s="695"/>
      <c r="C130" s="197" t="str">
        <f>IF(B130&lt;&gt;"",IFERROR(VLOOKUP(B:B,'מצבת והרשמה (2)'!$C$20:$N$520,2,0)," ")," ")</f>
        <v xml:space="preserve"> </v>
      </c>
      <c r="D130" s="695"/>
      <c r="E130" s="696"/>
      <c r="F130" s="696"/>
      <c r="G130" s="696"/>
      <c r="H130" s="696"/>
      <c r="I130" s="1050" t="str">
        <f t="shared" si="17"/>
        <v/>
      </c>
      <c r="J130" s="696"/>
      <c r="K130" s="697"/>
      <c r="L130" s="696"/>
      <c r="M130" s="198" t="str">
        <f t="shared" si="18"/>
        <v/>
      </c>
      <c r="N130" s="369" t="str">
        <f t="shared" si="19"/>
        <v/>
      </c>
      <c r="O130" s="183" t="str">
        <f t="shared" si="20"/>
        <v/>
      </c>
      <c r="P130" s="199" t="str">
        <f t="shared" si="21"/>
        <v/>
      </c>
      <c r="Q130" s="199" t="str">
        <f>IF(B130="","",IFERROR(IF('עלויות כח אדם (6)'!J130&gt;=VLOOKUP(I130,'סיווג התפקידים והעלויות'!$B$23:$C$32,2,0),"תקין","לא תקין"),""))</f>
        <v/>
      </c>
      <c r="R130" s="199" t="str">
        <f t="shared" si="22"/>
        <v/>
      </c>
      <c r="S130" s="199" t="str">
        <f t="shared" si="23"/>
        <v/>
      </c>
      <c r="T130" s="199" t="str">
        <f t="shared" si="31"/>
        <v/>
      </c>
      <c r="U130" s="199" t="str">
        <f t="shared" si="24"/>
        <v/>
      </c>
      <c r="V130" s="989"/>
      <c r="X130" s="374" t="str">
        <f t="shared" si="25"/>
        <v/>
      </c>
      <c r="Y130" s="375" t="str">
        <f t="shared" si="26"/>
        <v/>
      </c>
      <c r="Z130" s="374" t="str">
        <f t="shared" si="27"/>
        <v/>
      </c>
      <c r="AA130" s="374" t="b">
        <f t="shared" si="28"/>
        <v>1</v>
      </c>
      <c r="AB130" s="374">
        <f>COUNTIFS(B:B,B130,H:H,'סיווג התפקידים והעלויות'!$C$2)</f>
        <v>0</v>
      </c>
      <c r="AC130" s="374">
        <f>COUNTIFS(B:B,B130,H:H,'סיווג התפקידים והעלויות'!$D$2)</f>
        <v>0</v>
      </c>
      <c r="AD130" s="374" t="str">
        <f>IF(OR(AND(H130='סיווג התפקידים והעלויות'!$A$2,I130='סיווג התפקידים והעלויות'!$A$3),'עלויות כח אדם (6)'!H130='סיווג התפקידים והעלויות'!$C$2,'עלויות כח אדם (6)'!H130='סיווג התפקידים והעלויות'!$D$2),IF('עלויות כח אדם (6)'!J130&lt;75,"לא תקין","תקין"),"")</f>
        <v/>
      </c>
      <c r="AE130" s="374" t="str">
        <f t="shared" si="29"/>
        <v/>
      </c>
      <c r="AF130" s="532" t="str">
        <f t="shared" si="30"/>
        <v/>
      </c>
    </row>
    <row r="131" spans="2:32" x14ac:dyDescent="0.25">
      <c r="B131" s="695"/>
      <c r="C131" s="197" t="str">
        <f>IF(B131&lt;&gt;"",IFERROR(VLOOKUP(B:B,'מצבת והרשמה (2)'!$C$20:$N$520,2,0)," ")," ")</f>
        <v xml:space="preserve"> </v>
      </c>
      <c r="D131" s="695"/>
      <c r="E131" s="696"/>
      <c r="F131" s="696"/>
      <c r="G131" s="696"/>
      <c r="H131" s="696"/>
      <c r="I131" s="1050" t="str">
        <f t="shared" si="17"/>
        <v/>
      </c>
      <c r="J131" s="696"/>
      <c r="K131" s="697"/>
      <c r="L131" s="696"/>
      <c r="M131" s="198" t="str">
        <f t="shared" si="18"/>
        <v/>
      </c>
      <c r="N131" s="369" t="str">
        <f t="shared" si="19"/>
        <v/>
      </c>
      <c r="O131" s="183" t="str">
        <f t="shared" si="20"/>
        <v/>
      </c>
      <c r="P131" s="199" t="str">
        <f t="shared" si="21"/>
        <v/>
      </c>
      <c r="Q131" s="199" t="str">
        <f>IF(B131="","",IFERROR(IF('עלויות כח אדם (6)'!J131&gt;=VLOOKUP(I131,'סיווג התפקידים והעלויות'!$B$23:$C$32,2,0),"תקין","לא תקין"),""))</f>
        <v/>
      </c>
      <c r="R131" s="199" t="str">
        <f t="shared" si="22"/>
        <v/>
      </c>
      <c r="S131" s="199" t="str">
        <f t="shared" si="23"/>
        <v/>
      </c>
      <c r="T131" s="199" t="str">
        <f t="shared" si="31"/>
        <v/>
      </c>
      <c r="U131" s="199" t="str">
        <f t="shared" si="24"/>
        <v/>
      </c>
      <c r="V131" s="989"/>
      <c r="X131" s="374" t="str">
        <f t="shared" si="25"/>
        <v/>
      </c>
      <c r="Y131" s="375" t="str">
        <f t="shared" si="26"/>
        <v/>
      </c>
      <c r="Z131" s="374" t="str">
        <f t="shared" si="27"/>
        <v/>
      </c>
      <c r="AA131" s="374" t="b">
        <f t="shared" si="28"/>
        <v>1</v>
      </c>
      <c r="AB131" s="374">
        <f>COUNTIFS(B:B,B131,H:H,'סיווג התפקידים והעלויות'!$C$2)</f>
        <v>0</v>
      </c>
      <c r="AC131" s="374">
        <f>COUNTIFS(B:B,B131,H:H,'סיווג התפקידים והעלויות'!$D$2)</f>
        <v>0</v>
      </c>
      <c r="AD131" s="374" t="str">
        <f>IF(OR(AND(H131='סיווג התפקידים והעלויות'!$A$2,I131='סיווג התפקידים והעלויות'!$A$3),'עלויות כח אדם (6)'!H131='סיווג התפקידים והעלויות'!$C$2,'עלויות כח אדם (6)'!H131='סיווג התפקידים והעלויות'!$D$2),IF('עלויות כח אדם (6)'!J131&lt;75,"לא תקין","תקין"),"")</f>
        <v/>
      </c>
      <c r="AE131" s="374" t="str">
        <f t="shared" si="29"/>
        <v/>
      </c>
      <c r="AF131" s="532" t="str">
        <f t="shared" si="30"/>
        <v/>
      </c>
    </row>
    <row r="132" spans="2:32" x14ac:dyDescent="0.25">
      <c r="B132" s="695"/>
      <c r="C132" s="197" t="str">
        <f>IF(B132&lt;&gt;"",IFERROR(VLOOKUP(B:B,'מצבת והרשמה (2)'!$C$20:$N$520,2,0)," ")," ")</f>
        <v xml:space="preserve"> </v>
      </c>
      <c r="D132" s="695"/>
      <c r="E132" s="696"/>
      <c r="F132" s="696"/>
      <c r="G132" s="696"/>
      <c r="H132" s="696"/>
      <c r="I132" s="1050" t="str">
        <f t="shared" si="17"/>
        <v/>
      </c>
      <c r="J132" s="696"/>
      <c r="K132" s="697"/>
      <c r="L132" s="696"/>
      <c r="M132" s="198" t="str">
        <f t="shared" si="18"/>
        <v/>
      </c>
      <c r="N132" s="369" t="str">
        <f t="shared" si="19"/>
        <v/>
      </c>
      <c r="O132" s="183" t="str">
        <f t="shared" si="20"/>
        <v/>
      </c>
      <c r="P132" s="199" t="str">
        <f t="shared" si="21"/>
        <v/>
      </c>
      <c r="Q132" s="199" t="str">
        <f>IF(B132="","",IFERROR(IF('עלויות כח אדם (6)'!J132&gt;=VLOOKUP(I132,'סיווג התפקידים והעלויות'!$B$23:$C$32,2,0),"תקין","לא תקין"),""))</f>
        <v/>
      </c>
      <c r="R132" s="199" t="str">
        <f t="shared" si="22"/>
        <v/>
      </c>
      <c r="S132" s="199" t="str">
        <f t="shared" si="23"/>
        <v/>
      </c>
      <c r="T132" s="199" t="str">
        <f t="shared" si="31"/>
        <v/>
      </c>
      <c r="U132" s="199" t="str">
        <f t="shared" si="24"/>
        <v/>
      </c>
      <c r="V132" s="989"/>
      <c r="X132" s="374" t="str">
        <f t="shared" si="25"/>
        <v/>
      </c>
      <c r="Y132" s="375" t="str">
        <f t="shared" si="26"/>
        <v/>
      </c>
      <c r="Z132" s="374" t="str">
        <f t="shared" si="27"/>
        <v/>
      </c>
      <c r="AA132" s="374" t="b">
        <f t="shared" si="28"/>
        <v>1</v>
      </c>
      <c r="AB132" s="374">
        <f>COUNTIFS(B:B,B132,H:H,'סיווג התפקידים והעלויות'!$C$2)</f>
        <v>0</v>
      </c>
      <c r="AC132" s="374">
        <f>COUNTIFS(B:B,B132,H:H,'סיווג התפקידים והעלויות'!$D$2)</f>
        <v>0</v>
      </c>
      <c r="AD132" s="374" t="str">
        <f>IF(OR(AND(H132='סיווג התפקידים והעלויות'!$A$2,I132='סיווג התפקידים והעלויות'!$A$3),'עלויות כח אדם (6)'!H132='סיווג התפקידים והעלויות'!$C$2,'עלויות כח אדם (6)'!H132='סיווג התפקידים והעלויות'!$D$2),IF('עלויות כח אדם (6)'!J132&lt;75,"לא תקין","תקין"),"")</f>
        <v/>
      </c>
      <c r="AE132" s="374" t="str">
        <f t="shared" si="29"/>
        <v/>
      </c>
      <c r="AF132" s="532" t="str">
        <f t="shared" si="30"/>
        <v/>
      </c>
    </row>
    <row r="133" spans="2:32" x14ac:dyDescent="0.25">
      <c r="B133" s="695"/>
      <c r="C133" s="197" t="str">
        <f>IF(B133&lt;&gt;"",IFERROR(VLOOKUP(B:B,'מצבת והרשמה (2)'!$C$20:$N$520,2,0)," ")," ")</f>
        <v xml:space="preserve"> </v>
      </c>
      <c r="D133" s="695"/>
      <c r="E133" s="696"/>
      <c r="F133" s="696"/>
      <c r="G133" s="696"/>
      <c r="H133" s="696"/>
      <c r="I133" s="1050" t="str">
        <f t="shared" si="17"/>
        <v/>
      </c>
      <c r="J133" s="696"/>
      <c r="K133" s="697"/>
      <c r="L133" s="696"/>
      <c r="M133" s="198" t="str">
        <f t="shared" si="18"/>
        <v/>
      </c>
      <c r="N133" s="369" t="str">
        <f t="shared" si="19"/>
        <v/>
      </c>
      <c r="O133" s="183" t="str">
        <f t="shared" si="20"/>
        <v/>
      </c>
      <c r="P133" s="199" t="str">
        <f t="shared" si="21"/>
        <v/>
      </c>
      <c r="Q133" s="199" t="str">
        <f>IF(B133="","",IFERROR(IF('עלויות כח אדם (6)'!J133&gt;=VLOOKUP(I133,'סיווג התפקידים והעלויות'!$B$23:$C$32,2,0),"תקין","לא תקין"),""))</f>
        <v/>
      </c>
      <c r="R133" s="199" t="str">
        <f t="shared" si="22"/>
        <v/>
      </c>
      <c r="S133" s="199" t="str">
        <f t="shared" si="23"/>
        <v/>
      </c>
      <c r="T133" s="199" t="str">
        <f t="shared" si="31"/>
        <v/>
      </c>
      <c r="U133" s="199" t="str">
        <f t="shared" si="24"/>
        <v/>
      </c>
      <c r="V133" s="989"/>
      <c r="X133" s="374" t="str">
        <f t="shared" si="25"/>
        <v/>
      </c>
      <c r="Y133" s="375" t="str">
        <f t="shared" si="26"/>
        <v/>
      </c>
      <c r="Z133" s="374" t="str">
        <f t="shared" si="27"/>
        <v/>
      </c>
      <c r="AA133" s="374" t="b">
        <f t="shared" si="28"/>
        <v>1</v>
      </c>
      <c r="AB133" s="374">
        <f>COUNTIFS(B:B,B133,H:H,'סיווג התפקידים והעלויות'!$C$2)</f>
        <v>0</v>
      </c>
      <c r="AC133" s="374">
        <f>COUNTIFS(B:B,B133,H:H,'סיווג התפקידים והעלויות'!$D$2)</f>
        <v>0</v>
      </c>
      <c r="AD133" s="374" t="str">
        <f>IF(OR(AND(H133='סיווג התפקידים והעלויות'!$A$2,I133='סיווג התפקידים והעלויות'!$A$3),'עלויות כח אדם (6)'!H133='סיווג התפקידים והעלויות'!$C$2,'עלויות כח אדם (6)'!H133='סיווג התפקידים והעלויות'!$D$2),IF('עלויות כח אדם (6)'!J133&lt;75,"לא תקין","תקין"),"")</f>
        <v/>
      </c>
      <c r="AE133" s="374" t="str">
        <f t="shared" si="29"/>
        <v/>
      </c>
      <c r="AF133" s="532" t="str">
        <f t="shared" si="30"/>
        <v/>
      </c>
    </row>
    <row r="134" spans="2:32" x14ac:dyDescent="0.25">
      <c r="B134" s="695"/>
      <c r="C134" s="197" t="str">
        <f>IF(B134&lt;&gt;"",IFERROR(VLOOKUP(B:B,'מצבת והרשמה (2)'!$C$20:$N$520,2,0)," ")," ")</f>
        <v xml:space="preserve"> </v>
      </c>
      <c r="D134" s="695"/>
      <c r="E134" s="696"/>
      <c r="F134" s="696"/>
      <c r="G134" s="696"/>
      <c r="H134" s="696"/>
      <c r="I134" s="1050" t="str">
        <f t="shared" si="17"/>
        <v/>
      </c>
      <c r="J134" s="696"/>
      <c r="K134" s="697"/>
      <c r="L134" s="696"/>
      <c r="M134" s="198" t="str">
        <f t="shared" si="18"/>
        <v/>
      </c>
      <c r="N134" s="369" t="str">
        <f t="shared" si="19"/>
        <v/>
      </c>
      <c r="O134" s="183" t="str">
        <f t="shared" si="20"/>
        <v/>
      </c>
      <c r="P134" s="199" t="str">
        <f t="shared" si="21"/>
        <v/>
      </c>
      <c r="Q134" s="199" t="str">
        <f>IF(B134="","",IFERROR(IF('עלויות כח אדם (6)'!J134&gt;=VLOOKUP(I134,'סיווג התפקידים והעלויות'!$B$23:$C$32,2,0),"תקין","לא תקין"),""))</f>
        <v/>
      </c>
      <c r="R134" s="199" t="str">
        <f t="shared" si="22"/>
        <v/>
      </c>
      <c r="S134" s="199" t="str">
        <f t="shared" si="23"/>
        <v/>
      </c>
      <c r="T134" s="199" t="str">
        <f t="shared" si="31"/>
        <v/>
      </c>
      <c r="U134" s="199" t="str">
        <f t="shared" si="24"/>
        <v/>
      </c>
      <c r="V134" s="989"/>
      <c r="X134" s="374" t="str">
        <f t="shared" si="25"/>
        <v/>
      </c>
      <c r="Y134" s="375" t="str">
        <f t="shared" si="26"/>
        <v/>
      </c>
      <c r="Z134" s="374" t="str">
        <f t="shared" si="27"/>
        <v/>
      </c>
      <c r="AA134" s="374" t="b">
        <f t="shared" si="28"/>
        <v>1</v>
      </c>
      <c r="AB134" s="374">
        <f>COUNTIFS(B:B,B134,H:H,'סיווג התפקידים והעלויות'!$C$2)</f>
        <v>0</v>
      </c>
      <c r="AC134" s="374">
        <f>COUNTIFS(B:B,B134,H:H,'סיווג התפקידים והעלויות'!$D$2)</f>
        <v>0</v>
      </c>
      <c r="AD134" s="374" t="str">
        <f>IF(OR(AND(H134='סיווג התפקידים והעלויות'!$A$2,I134='סיווג התפקידים והעלויות'!$A$3),'עלויות כח אדם (6)'!H134='סיווג התפקידים והעלויות'!$C$2,'עלויות כח אדם (6)'!H134='סיווג התפקידים והעלויות'!$D$2),IF('עלויות כח אדם (6)'!J134&lt;75,"לא תקין","תקין"),"")</f>
        <v/>
      </c>
      <c r="AE134" s="374" t="str">
        <f t="shared" si="29"/>
        <v/>
      </c>
      <c r="AF134" s="532" t="str">
        <f t="shared" si="30"/>
        <v/>
      </c>
    </row>
    <row r="135" spans="2:32" x14ac:dyDescent="0.25">
      <c r="B135" s="695"/>
      <c r="C135" s="197" t="str">
        <f>IF(B135&lt;&gt;"",IFERROR(VLOOKUP(B:B,'מצבת והרשמה (2)'!$C$20:$N$520,2,0)," ")," ")</f>
        <v xml:space="preserve"> </v>
      </c>
      <c r="D135" s="695"/>
      <c r="E135" s="696"/>
      <c r="F135" s="696"/>
      <c r="G135" s="696"/>
      <c r="H135" s="696"/>
      <c r="I135" s="1050" t="str">
        <f t="shared" si="17"/>
        <v/>
      </c>
      <c r="J135" s="696"/>
      <c r="K135" s="697"/>
      <c r="L135" s="696"/>
      <c r="M135" s="198" t="str">
        <f t="shared" si="18"/>
        <v/>
      </c>
      <c r="N135" s="369" t="str">
        <f t="shared" si="19"/>
        <v/>
      </c>
      <c r="O135" s="183" t="str">
        <f t="shared" si="20"/>
        <v/>
      </c>
      <c r="P135" s="199" t="str">
        <f t="shared" si="21"/>
        <v/>
      </c>
      <c r="Q135" s="199" t="str">
        <f>IF(B135="","",IFERROR(IF('עלויות כח אדם (6)'!J135&gt;=VLOOKUP(I135,'סיווג התפקידים והעלויות'!$B$23:$C$32,2,0),"תקין","לא תקין"),""))</f>
        <v/>
      </c>
      <c r="R135" s="199" t="str">
        <f t="shared" si="22"/>
        <v/>
      </c>
      <c r="S135" s="199" t="str">
        <f t="shared" si="23"/>
        <v/>
      </c>
      <c r="T135" s="199" t="str">
        <f t="shared" si="31"/>
        <v/>
      </c>
      <c r="U135" s="199" t="str">
        <f t="shared" si="24"/>
        <v/>
      </c>
      <c r="V135" s="989"/>
      <c r="X135" s="374" t="str">
        <f t="shared" si="25"/>
        <v/>
      </c>
      <c r="Y135" s="375" t="str">
        <f t="shared" si="26"/>
        <v/>
      </c>
      <c r="Z135" s="374" t="str">
        <f t="shared" si="27"/>
        <v/>
      </c>
      <c r="AA135" s="374" t="b">
        <f t="shared" si="28"/>
        <v>1</v>
      </c>
      <c r="AB135" s="374">
        <f>COUNTIFS(B:B,B135,H:H,'סיווג התפקידים והעלויות'!$C$2)</f>
        <v>0</v>
      </c>
      <c r="AC135" s="374">
        <f>COUNTIFS(B:B,B135,H:H,'סיווג התפקידים והעלויות'!$D$2)</f>
        <v>0</v>
      </c>
      <c r="AD135" s="374" t="str">
        <f>IF(OR(AND(H135='סיווג התפקידים והעלויות'!$A$2,I135='סיווג התפקידים והעלויות'!$A$3),'עלויות כח אדם (6)'!H135='סיווג התפקידים והעלויות'!$C$2,'עלויות כח אדם (6)'!H135='סיווג התפקידים והעלויות'!$D$2),IF('עלויות כח אדם (6)'!J135&lt;75,"לא תקין","תקין"),"")</f>
        <v/>
      </c>
      <c r="AE135" s="374" t="str">
        <f t="shared" si="29"/>
        <v/>
      </c>
      <c r="AF135" s="532" t="str">
        <f t="shared" si="30"/>
        <v/>
      </c>
    </row>
    <row r="136" spans="2:32" x14ac:dyDescent="0.25">
      <c r="B136" s="695"/>
      <c r="C136" s="197" t="str">
        <f>IF(B136&lt;&gt;"",IFERROR(VLOOKUP(B:B,'מצבת והרשמה (2)'!$C$20:$N$520,2,0)," ")," ")</f>
        <v xml:space="preserve"> </v>
      </c>
      <c r="D136" s="695"/>
      <c r="E136" s="696"/>
      <c r="F136" s="696"/>
      <c r="G136" s="696"/>
      <c r="H136" s="696"/>
      <c r="I136" s="1050" t="str">
        <f t="shared" si="17"/>
        <v/>
      </c>
      <c r="J136" s="696"/>
      <c r="K136" s="697"/>
      <c r="L136" s="696"/>
      <c r="M136" s="198" t="str">
        <f t="shared" si="18"/>
        <v/>
      </c>
      <c r="N136" s="369" t="str">
        <f t="shared" si="19"/>
        <v/>
      </c>
      <c r="O136" s="183" t="str">
        <f t="shared" si="20"/>
        <v/>
      </c>
      <c r="P136" s="199" t="str">
        <f t="shared" si="21"/>
        <v/>
      </c>
      <c r="Q136" s="199" t="str">
        <f>IF(B136="","",IFERROR(IF('עלויות כח אדם (6)'!J136&gt;=VLOOKUP(I136,'סיווג התפקידים והעלויות'!$B$23:$C$32,2,0),"תקין","לא תקין"),""))</f>
        <v/>
      </c>
      <c r="R136" s="199" t="str">
        <f t="shared" si="22"/>
        <v/>
      </c>
      <c r="S136" s="199" t="str">
        <f t="shared" si="23"/>
        <v/>
      </c>
      <c r="T136" s="199" t="str">
        <f t="shared" si="31"/>
        <v/>
      </c>
      <c r="U136" s="199" t="str">
        <f t="shared" si="24"/>
        <v/>
      </c>
      <c r="V136" s="989"/>
      <c r="X136" s="374" t="str">
        <f t="shared" si="25"/>
        <v/>
      </c>
      <c r="Y136" s="375" t="str">
        <f t="shared" si="26"/>
        <v/>
      </c>
      <c r="Z136" s="374" t="str">
        <f t="shared" si="27"/>
        <v/>
      </c>
      <c r="AA136" s="374" t="b">
        <f t="shared" si="28"/>
        <v>1</v>
      </c>
      <c r="AB136" s="374">
        <f>COUNTIFS(B:B,B136,H:H,'סיווג התפקידים והעלויות'!$C$2)</f>
        <v>0</v>
      </c>
      <c r="AC136" s="374">
        <f>COUNTIFS(B:B,B136,H:H,'סיווג התפקידים והעלויות'!$D$2)</f>
        <v>0</v>
      </c>
      <c r="AD136" s="374" t="str">
        <f>IF(OR(AND(H136='סיווג התפקידים והעלויות'!$A$2,I136='סיווג התפקידים והעלויות'!$A$3),'עלויות כח אדם (6)'!H136='סיווג התפקידים והעלויות'!$C$2,'עלויות כח אדם (6)'!H136='סיווג התפקידים והעלויות'!$D$2),IF('עלויות כח אדם (6)'!J136&lt;75,"לא תקין","תקין"),"")</f>
        <v/>
      </c>
      <c r="AE136" s="374" t="str">
        <f t="shared" si="29"/>
        <v/>
      </c>
      <c r="AF136" s="532" t="str">
        <f t="shared" si="30"/>
        <v/>
      </c>
    </row>
    <row r="137" spans="2:32" x14ac:dyDescent="0.25">
      <c r="B137" s="695"/>
      <c r="C137" s="197" t="str">
        <f>IF(B137&lt;&gt;"",IFERROR(VLOOKUP(B:B,'מצבת והרשמה (2)'!$C$20:$N$520,2,0)," ")," ")</f>
        <v xml:space="preserve"> </v>
      </c>
      <c r="D137" s="695"/>
      <c r="E137" s="696"/>
      <c r="F137" s="696"/>
      <c r="G137" s="696"/>
      <c r="H137" s="696"/>
      <c r="I137" s="1050" t="str">
        <f t="shared" si="17"/>
        <v/>
      </c>
      <c r="J137" s="696"/>
      <c r="K137" s="697"/>
      <c r="L137" s="696"/>
      <c r="M137" s="198" t="str">
        <f t="shared" si="18"/>
        <v/>
      </c>
      <c r="N137" s="369" t="str">
        <f t="shared" si="19"/>
        <v/>
      </c>
      <c r="O137" s="183" t="str">
        <f t="shared" si="20"/>
        <v/>
      </c>
      <c r="P137" s="199" t="str">
        <f t="shared" si="21"/>
        <v/>
      </c>
      <c r="Q137" s="199" t="str">
        <f>IF(B137="","",IFERROR(IF('עלויות כח אדם (6)'!J137&gt;=VLOOKUP(I137,'סיווג התפקידים והעלויות'!$B$23:$C$32,2,0),"תקין","לא תקין"),""))</f>
        <v/>
      </c>
      <c r="R137" s="199" t="str">
        <f t="shared" si="22"/>
        <v/>
      </c>
      <c r="S137" s="199" t="str">
        <f t="shared" si="23"/>
        <v/>
      </c>
      <c r="T137" s="199" t="str">
        <f t="shared" si="31"/>
        <v/>
      </c>
      <c r="U137" s="199" t="str">
        <f t="shared" si="24"/>
        <v/>
      </c>
      <c r="V137" s="989"/>
      <c r="X137" s="374" t="str">
        <f t="shared" si="25"/>
        <v/>
      </c>
      <c r="Y137" s="375" t="str">
        <f t="shared" si="26"/>
        <v/>
      </c>
      <c r="Z137" s="374" t="str">
        <f t="shared" si="27"/>
        <v/>
      </c>
      <c r="AA137" s="374" t="b">
        <f t="shared" si="28"/>
        <v>1</v>
      </c>
      <c r="AB137" s="374">
        <f>COUNTIFS(B:B,B137,H:H,'סיווג התפקידים והעלויות'!$C$2)</f>
        <v>0</v>
      </c>
      <c r="AC137" s="374">
        <f>COUNTIFS(B:B,B137,H:H,'סיווג התפקידים והעלויות'!$D$2)</f>
        <v>0</v>
      </c>
      <c r="AD137" s="374" t="str">
        <f>IF(OR(AND(H137='סיווג התפקידים והעלויות'!$A$2,I137='סיווג התפקידים והעלויות'!$A$3),'עלויות כח אדם (6)'!H137='סיווג התפקידים והעלויות'!$C$2,'עלויות כח אדם (6)'!H137='סיווג התפקידים והעלויות'!$D$2),IF('עלויות כח אדם (6)'!J137&lt;75,"לא תקין","תקין"),"")</f>
        <v/>
      </c>
      <c r="AE137" s="374" t="str">
        <f t="shared" si="29"/>
        <v/>
      </c>
      <c r="AF137" s="532" t="str">
        <f t="shared" si="30"/>
        <v/>
      </c>
    </row>
    <row r="138" spans="2:32" x14ac:dyDescent="0.25">
      <c r="B138" s="695"/>
      <c r="C138" s="197" t="str">
        <f>IF(B138&lt;&gt;"",IFERROR(VLOOKUP(B:B,'מצבת והרשמה (2)'!$C$20:$N$520,2,0)," ")," ")</f>
        <v xml:space="preserve"> </v>
      </c>
      <c r="D138" s="695"/>
      <c r="E138" s="696"/>
      <c r="F138" s="696"/>
      <c r="G138" s="696"/>
      <c r="H138" s="696"/>
      <c r="I138" s="1050" t="str">
        <f t="shared" si="17"/>
        <v/>
      </c>
      <c r="J138" s="696"/>
      <c r="K138" s="697"/>
      <c r="L138" s="696"/>
      <c r="M138" s="198" t="str">
        <f t="shared" si="18"/>
        <v/>
      </c>
      <c r="N138" s="369" t="str">
        <f t="shared" si="19"/>
        <v/>
      </c>
      <c r="O138" s="183" t="str">
        <f t="shared" si="20"/>
        <v/>
      </c>
      <c r="P138" s="199" t="str">
        <f t="shared" si="21"/>
        <v/>
      </c>
      <c r="Q138" s="199" t="str">
        <f>IF(B138="","",IFERROR(IF('עלויות כח אדם (6)'!J138&gt;=VLOOKUP(I138,'סיווג התפקידים והעלויות'!$B$23:$C$32,2,0),"תקין","לא תקין"),""))</f>
        <v/>
      </c>
      <c r="R138" s="199" t="str">
        <f t="shared" si="22"/>
        <v/>
      </c>
      <c r="S138" s="199" t="str">
        <f t="shared" si="23"/>
        <v/>
      </c>
      <c r="T138" s="199" t="str">
        <f t="shared" si="31"/>
        <v/>
      </c>
      <c r="U138" s="199" t="str">
        <f t="shared" si="24"/>
        <v/>
      </c>
      <c r="V138" s="989"/>
      <c r="X138" s="374" t="str">
        <f t="shared" si="25"/>
        <v/>
      </c>
      <c r="Y138" s="375" t="str">
        <f t="shared" si="26"/>
        <v/>
      </c>
      <c r="Z138" s="374" t="str">
        <f t="shared" si="27"/>
        <v/>
      </c>
      <c r="AA138" s="374" t="b">
        <f t="shared" si="28"/>
        <v>1</v>
      </c>
      <c r="AB138" s="374">
        <f>COUNTIFS(B:B,B138,H:H,'סיווג התפקידים והעלויות'!$C$2)</f>
        <v>0</v>
      </c>
      <c r="AC138" s="374">
        <f>COUNTIFS(B:B,B138,H:H,'סיווג התפקידים והעלויות'!$D$2)</f>
        <v>0</v>
      </c>
      <c r="AD138" s="374" t="str">
        <f>IF(OR(AND(H138='סיווג התפקידים והעלויות'!$A$2,I138='סיווג התפקידים והעלויות'!$A$3),'עלויות כח אדם (6)'!H138='סיווג התפקידים והעלויות'!$C$2,'עלויות כח אדם (6)'!H138='סיווג התפקידים והעלויות'!$D$2),IF('עלויות כח אדם (6)'!J138&lt;75,"לא תקין","תקין"),"")</f>
        <v/>
      </c>
      <c r="AE138" s="374" t="str">
        <f t="shared" si="29"/>
        <v/>
      </c>
      <c r="AF138" s="532" t="str">
        <f t="shared" si="30"/>
        <v/>
      </c>
    </row>
    <row r="139" spans="2:32" x14ac:dyDescent="0.25">
      <c r="B139" s="695"/>
      <c r="C139" s="197" t="str">
        <f>IF(B139&lt;&gt;"",IFERROR(VLOOKUP(B:B,'מצבת והרשמה (2)'!$C$20:$N$520,2,0)," ")," ")</f>
        <v xml:space="preserve"> </v>
      </c>
      <c r="D139" s="695"/>
      <c r="E139" s="696"/>
      <c r="F139" s="696"/>
      <c r="G139" s="696"/>
      <c r="H139" s="696"/>
      <c r="I139" s="1050" t="str">
        <f t="shared" si="17"/>
        <v/>
      </c>
      <c r="J139" s="696"/>
      <c r="K139" s="697"/>
      <c r="L139" s="696"/>
      <c r="M139" s="198" t="str">
        <f t="shared" si="18"/>
        <v/>
      </c>
      <c r="N139" s="369" t="str">
        <f t="shared" si="19"/>
        <v/>
      </c>
      <c r="O139" s="183" t="str">
        <f t="shared" si="20"/>
        <v/>
      </c>
      <c r="P139" s="199" t="str">
        <f t="shared" si="21"/>
        <v/>
      </c>
      <c r="Q139" s="199" t="str">
        <f>IF(B139="","",IFERROR(IF('עלויות כח אדם (6)'!J139&gt;=VLOOKUP(I139,'סיווג התפקידים והעלויות'!$B$23:$C$32,2,0),"תקין","לא תקין"),""))</f>
        <v/>
      </c>
      <c r="R139" s="199" t="str">
        <f t="shared" si="22"/>
        <v/>
      </c>
      <c r="S139" s="199" t="str">
        <f t="shared" si="23"/>
        <v/>
      </c>
      <c r="T139" s="199" t="str">
        <f t="shared" si="31"/>
        <v/>
      </c>
      <c r="U139" s="199" t="str">
        <f t="shared" si="24"/>
        <v/>
      </c>
      <c r="V139" s="989"/>
      <c r="X139" s="374" t="str">
        <f t="shared" si="25"/>
        <v/>
      </c>
      <c r="Y139" s="375" t="str">
        <f t="shared" si="26"/>
        <v/>
      </c>
      <c r="Z139" s="374" t="str">
        <f t="shared" si="27"/>
        <v/>
      </c>
      <c r="AA139" s="374" t="b">
        <f t="shared" si="28"/>
        <v>1</v>
      </c>
      <c r="AB139" s="374">
        <f>COUNTIFS(B:B,B139,H:H,'סיווג התפקידים והעלויות'!$C$2)</f>
        <v>0</v>
      </c>
      <c r="AC139" s="374">
        <f>COUNTIFS(B:B,B139,H:H,'סיווג התפקידים והעלויות'!$D$2)</f>
        <v>0</v>
      </c>
      <c r="AD139" s="374" t="str">
        <f>IF(OR(AND(H139='סיווג התפקידים והעלויות'!$A$2,I139='סיווג התפקידים והעלויות'!$A$3),'עלויות כח אדם (6)'!H139='סיווג התפקידים והעלויות'!$C$2,'עלויות כח אדם (6)'!H139='סיווג התפקידים והעלויות'!$D$2),IF('עלויות כח אדם (6)'!J139&lt;75,"לא תקין","תקין"),"")</f>
        <v/>
      </c>
      <c r="AE139" s="374" t="str">
        <f t="shared" si="29"/>
        <v/>
      </c>
      <c r="AF139" s="532" t="str">
        <f t="shared" si="30"/>
        <v/>
      </c>
    </row>
    <row r="140" spans="2:32" x14ac:dyDescent="0.25">
      <c r="B140" s="695"/>
      <c r="C140" s="197" t="str">
        <f>IF(B140&lt;&gt;"",IFERROR(VLOOKUP(B:B,'מצבת והרשמה (2)'!$C$20:$N$520,2,0)," ")," ")</f>
        <v xml:space="preserve"> </v>
      </c>
      <c r="D140" s="695"/>
      <c r="E140" s="696"/>
      <c r="F140" s="696"/>
      <c r="G140" s="696"/>
      <c r="H140" s="696"/>
      <c r="I140" s="1050" t="str">
        <f t="shared" si="17"/>
        <v/>
      </c>
      <c r="J140" s="696"/>
      <c r="K140" s="697"/>
      <c r="L140" s="696"/>
      <c r="M140" s="198" t="str">
        <f t="shared" si="18"/>
        <v/>
      </c>
      <c r="N140" s="369" t="str">
        <f t="shared" si="19"/>
        <v/>
      </c>
      <c r="O140" s="183" t="str">
        <f t="shared" si="20"/>
        <v/>
      </c>
      <c r="P140" s="199" t="str">
        <f t="shared" si="21"/>
        <v/>
      </c>
      <c r="Q140" s="199" t="str">
        <f>IF(B140="","",IFERROR(IF('עלויות כח אדם (6)'!J140&gt;=VLOOKUP(I140,'סיווג התפקידים והעלויות'!$B$23:$C$32,2,0),"תקין","לא תקין"),""))</f>
        <v/>
      </c>
      <c r="R140" s="199" t="str">
        <f t="shared" si="22"/>
        <v/>
      </c>
      <c r="S140" s="199" t="str">
        <f t="shared" si="23"/>
        <v/>
      </c>
      <c r="T140" s="199" t="str">
        <f t="shared" si="31"/>
        <v/>
      </c>
      <c r="U140" s="199" t="str">
        <f t="shared" si="24"/>
        <v/>
      </c>
      <c r="V140" s="989"/>
      <c r="X140" s="374" t="str">
        <f t="shared" si="25"/>
        <v/>
      </c>
      <c r="Y140" s="375" t="str">
        <f t="shared" si="26"/>
        <v/>
      </c>
      <c r="Z140" s="374" t="str">
        <f t="shared" si="27"/>
        <v/>
      </c>
      <c r="AA140" s="374" t="b">
        <f t="shared" si="28"/>
        <v>1</v>
      </c>
      <c r="AB140" s="374">
        <f>COUNTIFS(B:B,B140,H:H,'סיווג התפקידים והעלויות'!$C$2)</f>
        <v>0</v>
      </c>
      <c r="AC140" s="374">
        <f>COUNTIFS(B:B,B140,H:H,'סיווג התפקידים והעלויות'!$D$2)</f>
        <v>0</v>
      </c>
      <c r="AD140" s="374" t="str">
        <f>IF(OR(AND(H140='סיווג התפקידים והעלויות'!$A$2,I140='סיווג התפקידים והעלויות'!$A$3),'עלויות כח אדם (6)'!H140='סיווג התפקידים והעלויות'!$C$2,'עלויות כח אדם (6)'!H140='סיווג התפקידים והעלויות'!$D$2),IF('עלויות כח אדם (6)'!J140&lt;75,"לא תקין","תקין"),"")</f>
        <v/>
      </c>
      <c r="AE140" s="374" t="str">
        <f t="shared" si="29"/>
        <v/>
      </c>
      <c r="AF140" s="532" t="str">
        <f t="shared" si="30"/>
        <v/>
      </c>
    </row>
    <row r="141" spans="2:32" x14ac:dyDescent="0.25">
      <c r="B141" s="695"/>
      <c r="C141" s="197" t="str">
        <f>IF(B141&lt;&gt;"",IFERROR(VLOOKUP(B:B,'מצבת והרשמה (2)'!$C$20:$N$520,2,0)," ")," ")</f>
        <v xml:space="preserve"> </v>
      </c>
      <c r="D141" s="695"/>
      <c r="E141" s="696"/>
      <c r="F141" s="696"/>
      <c r="G141" s="696"/>
      <c r="H141" s="696"/>
      <c r="I141" s="1050" t="str">
        <f t="shared" si="17"/>
        <v/>
      </c>
      <c r="J141" s="696"/>
      <c r="K141" s="697"/>
      <c r="L141" s="696"/>
      <c r="M141" s="198" t="str">
        <f t="shared" si="18"/>
        <v/>
      </c>
      <c r="N141" s="369" t="str">
        <f t="shared" si="19"/>
        <v/>
      </c>
      <c r="O141" s="183" t="str">
        <f t="shared" si="20"/>
        <v/>
      </c>
      <c r="P141" s="199" t="str">
        <f t="shared" si="21"/>
        <v/>
      </c>
      <c r="Q141" s="199" t="str">
        <f>IF(B141="","",IFERROR(IF('עלויות כח אדם (6)'!J141&gt;=VLOOKUP(I141,'סיווג התפקידים והעלויות'!$B$23:$C$32,2,0),"תקין","לא תקין"),""))</f>
        <v/>
      </c>
      <c r="R141" s="199" t="str">
        <f t="shared" si="22"/>
        <v/>
      </c>
      <c r="S141" s="199" t="str">
        <f t="shared" si="23"/>
        <v/>
      </c>
      <c r="T141" s="199" t="str">
        <f t="shared" si="31"/>
        <v/>
      </c>
      <c r="U141" s="199" t="str">
        <f t="shared" si="24"/>
        <v/>
      </c>
      <c r="V141" s="989"/>
      <c r="X141" s="374" t="str">
        <f t="shared" si="25"/>
        <v/>
      </c>
      <c r="Y141" s="375" t="str">
        <f t="shared" si="26"/>
        <v/>
      </c>
      <c r="Z141" s="374" t="str">
        <f t="shared" si="27"/>
        <v/>
      </c>
      <c r="AA141" s="374" t="b">
        <f t="shared" si="28"/>
        <v>1</v>
      </c>
      <c r="AB141" s="374">
        <f>COUNTIFS(B:B,B141,H:H,'סיווג התפקידים והעלויות'!$C$2)</f>
        <v>0</v>
      </c>
      <c r="AC141" s="374">
        <f>COUNTIFS(B:B,B141,H:H,'סיווג התפקידים והעלויות'!$D$2)</f>
        <v>0</v>
      </c>
      <c r="AD141" s="374" t="str">
        <f>IF(OR(AND(H141='סיווג התפקידים והעלויות'!$A$2,I141='סיווג התפקידים והעלויות'!$A$3),'עלויות כח אדם (6)'!H141='סיווג התפקידים והעלויות'!$C$2,'עלויות כח אדם (6)'!H141='סיווג התפקידים והעלויות'!$D$2),IF('עלויות כח אדם (6)'!J141&lt;75,"לא תקין","תקין"),"")</f>
        <v/>
      </c>
      <c r="AE141" s="374" t="str">
        <f t="shared" si="29"/>
        <v/>
      </c>
      <c r="AF141" s="532" t="str">
        <f t="shared" si="30"/>
        <v/>
      </c>
    </row>
    <row r="142" spans="2:32" x14ac:dyDescent="0.25">
      <c r="B142" s="695"/>
      <c r="C142" s="197" t="str">
        <f>IF(B142&lt;&gt;"",IFERROR(VLOOKUP(B:B,'מצבת והרשמה (2)'!$C$20:$N$520,2,0)," ")," ")</f>
        <v xml:space="preserve"> </v>
      </c>
      <c r="D142" s="695"/>
      <c r="E142" s="696"/>
      <c r="F142" s="696"/>
      <c r="G142" s="696"/>
      <c r="H142" s="696"/>
      <c r="I142" s="1050" t="str">
        <f t="shared" si="17"/>
        <v/>
      </c>
      <c r="J142" s="696"/>
      <c r="K142" s="697"/>
      <c r="L142" s="696"/>
      <c r="M142" s="198" t="str">
        <f t="shared" si="18"/>
        <v/>
      </c>
      <c r="N142" s="369" t="str">
        <f t="shared" si="19"/>
        <v/>
      </c>
      <c r="O142" s="183" t="str">
        <f t="shared" si="20"/>
        <v/>
      </c>
      <c r="P142" s="199" t="str">
        <f t="shared" si="21"/>
        <v/>
      </c>
      <c r="Q142" s="199" t="str">
        <f>IF(B142="","",IFERROR(IF('עלויות כח אדם (6)'!J142&gt;=VLOOKUP(I142,'סיווג התפקידים והעלויות'!$B$23:$C$32,2,0),"תקין","לא תקין"),""))</f>
        <v/>
      </c>
      <c r="R142" s="199" t="str">
        <f t="shared" si="22"/>
        <v/>
      </c>
      <c r="S142" s="199" t="str">
        <f t="shared" si="23"/>
        <v/>
      </c>
      <c r="T142" s="199" t="str">
        <f t="shared" si="31"/>
        <v/>
      </c>
      <c r="U142" s="199" t="str">
        <f t="shared" si="24"/>
        <v/>
      </c>
      <c r="V142" s="989"/>
      <c r="X142" s="374" t="str">
        <f t="shared" si="25"/>
        <v/>
      </c>
      <c r="Y142" s="375" t="str">
        <f t="shared" si="26"/>
        <v/>
      </c>
      <c r="Z142" s="374" t="str">
        <f t="shared" si="27"/>
        <v/>
      </c>
      <c r="AA142" s="374" t="b">
        <f t="shared" si="28"/>
        <v>1</v>
      </c>
      <c r="AB142" s="374">
        <f>COUNTIFS(B:B,B142,H:H,'סיווג התפקידים והעלויות'!$C$2)</f>
        <v>0</v>
      </c>
      <c r="AC142" s="374">
        <f>COUNTIFS(B:B,B142,H:H,'סיווג התפקידים והעלויות'!$D$2)</f>
        <v>0</v>
      </c>
      <c r="AD142" s="374" t="str">
        <f>IF(OR(AND(H142='סיווג התפקידים והעלויות'!$A$2,I142='סיווג התפקידים והעלויות'!$A$3),'עלויות כח אדם (6)'!H142='סיווג התפקידים והעלויות'!$C$2,'עלויות כח אדם (6)'!H142='סיווג התפקידים והעלויות'!$D$2),IF('עלויות כח אדם (6)'!J142&lt;75,"לא תקין","תקין"),"")</f>
        <v/>
      </c>
      <c r="AE142" s="374" t="str">
        <f t="shared" si="29"/>
        <v/>
      </c>
      <c r="AF142" s="532" t="str">
        <f t="shared" si="30"/>
        <v/>
      </c>
    </row>
    <row r="143" spans="2:32" x14ac:dyDescent="0.25">
      <c r="B143" s="695"/>
      <c r="C143" s="197" t="str">
        <f>IF(B143&lt;&gt;"",IFERROR(VLOOKUP(B:B,'מצבת והרשמה (2)'!$C$20:$N$520,2,0)," ")," ")</f>
        <v xml:space="preserve"> </v>
      </c>
      <c r="D143" s="695"/>
      <c r="E143" s="696"/>
      <c r="F143" s="696"/>
      <c r="G143" s="696"/>
      <c r="H143" s="696"/>
      <c r="I143" s="1050" t="str">
        <f t="shared" ref="I143:I206" si="32">SUBSTITUTE(IFERROR(IF(H143="מדצ","מדצ/ית",IF(H143="סגנית רכזת מעל 150","סגנ/ית רכז/ת&gt;150",IF(H143="רכזת תכנית בבית הספר","רכז/ת תכנית בבית הספר"))),""),"FALSE","")</f>
        <v/>
      </c>
      <c r="J143" s="696"/>
      <c r="K143" s="697"/>
      <c r="L143" s="696"/>
      <c r="M143" s="198" t="str">
        <f t="shared" ref="M143:M206" si="33">IF(AND(L143&gt;0,K143&gt;0),K143*L143,"")</f>
        <v/>
      </c>
      <c r="N143" s="369" t="str">
        <f t="shared" ref="N143:N206" si="34">TEXT(LEFT(H143,2),0)</f>
        <v/>
      </c>
      <c r="O143" s="183" t="str">
        <f t="shared" ref="O143:O206" si="35">IF(ISNUMBER(M143&gt;0),IF(ISBLANK(B143),"יש להזין סמל מוסד בעמודה B",""),"")</f>
        <v/>
      </c>
      <c r="P143" s="199" t="str">
        <f t="shared" ref="P143:P206" si="36">IF(B143="","",IF(AA143=FALSE,"לא תקין","תקין"))</f>
        <v/>
      </c>
      <c r="Q143" s="199" t="str">
        <f>IF(B143="","",IFERROR(IF('עלויות כח אדם (6)'!J143&gt;=VLOOKUP(I143,'סיווג התפקידים והעלויות'!$B$23:$C$32,2,0),"תקין","לא תקין"),""))</f>
        <v/>
      </c>
      <c r="R143" s="199" t="str">
        <f t="shared" ref="R143:R206" si="37">IF(B143="","",IF(OR(Y143&lt;100%,Y143&gt;140%),"לא תקין","תקין"))</f>
        <v/>
      </c>
      <c r="S143" s="199" t="str">
        <f t="shared" ref="S143:S206" si="38">IF(B143="","",IFERROR(IF(J143&gt;120,"לא תקין","תקין"),""))</f>
        <v/>
      </c>
      <c r="T143" s="199" t="str">
        <f t="shared" si="31"/>
        <v/>
      </c>
      <c r="U143" s="199" t="str">
        <f t="shared" ref="U143:U206" si="39">IF(B143="","",IF(Z143&gt;1,IF(SUMIF(D:D,D143,L:L)&gt;90,"לא תקין","תקין"),"תקין"))</f>
        <v/>
      </c>
      <c r="V143" s="989"/>
      <c r="X143" s="374" t="str">
        <f t="shared" ref="X143:X206" si="40">IF(B143="","",IF(OR(R143="לא תקין",S143="לא תקין",T143="לא תקין",,U143="לא תקין"),"לא תקין","תקין"))</f>
        <v/>
      </c>
      <c r="Y143" s="375" t="str">
        <f t="shared" ref="Y143:Y206" si="41">IFERROR(IF(B143="","",K143/J143),"")</f>
        <v/>
      </c>
      <c r="Z143" s="374" t="str">
        <f t="shared" ref="Z143:Z206" si="42">IF(B143="","",COUNTIF(D:D,D143))</f>
        <v/>
      </c>
      <c r="AA143" s="374" t="b">
        <f t="shared" ref="AA143:AA206" si="43">MOD(MID(REPT(0,9-LEN(D143))&amp;D143,1,1)+MID("0246813579",MID(REPT(0,9-LEN(D143))&amp;D143,2,1)+1,1)+MID(REPT(0,9-LEN(D143))&amp;D143,3,1)+MID("0246813579",MID(REPT(0,9-LEN(D143))&amp;D143,4,1)+1,1)+MID(REPT(0,9-LEN(D143))&amp;D143,5,1)+MID("0246813579",MID(REPT(0,9-LEN(D143))&amp;D143,6,1)+1,1)+MID(REPT(0,9-LEN(D143))&amp;D143,7,1)+MID("0246813579",MID(REPT(0,9-LEN(D143))&amp;D143,8,1)+1,1)+MID(REPT(0,9-LEN(D143))&amp;D143,9,1),10)=0</f>
        <v>1</v>
      </c>
      <c r="AB143" s="374">
        <f>COUNTIFS(B:B,B143,H:H,'סיווג התפקידים והעלויות'!$C$2)</f>
        <v>0</v>
      </c>
      <c r="AC143" s="374">
        <f>COUNTIFS(B:B,B143,H:H,'סיווג התפקידים והעלויות'!$D$2)</f>
        <v>0</v>
      </c>
      <c r="AD143" s="374" t="str">
        <f>IF(OR(AND(H143='סיווג התפקידים והעלויות'!$A$2,I143='סיווג התפקידים והעלויות'!$A$3),'עלויות כח אדם (6)'!H143='סיווג התפקידים והעלויות'!$C$2,'עלויות כח אדם (6)'!H143='סיווג התפקידים והעלויות'!$D$2),IF('עלויות כח אדם (6)'!J143&lt;75,"לא תקין","תקין"),"")</f>
        <v/>
      </c>
      <c r="AE143" s="374" t="str">
        <f t="shared" ref="AE143:AE206" si="44">IF(B143&lt;&gt;"",B143&amp;H143,"")</f>
        <v/>
      </c>
      <c r="AF143" s="532" t="str">
        <f t="shared" ref="AF143:AF206" si="45">M143</f>
        <v/>
      </c>
    </row>
    <row r="144" spans="2:32" x14ac:dyDescent="0.25">
      <c r="B144" s="695"/>
      <c r="C144" s="197" t="str">
        <f>IF(B144&lt;&gt;"",IFERROR(VLOOKUP(B:B,'מצבת והרשמה (2)'!$C$20:$N$520,2,0)," ")," ")</f>
        <v xml:space="preserve"> </v>
      </c>
      <c r="D144" s="695"/>
      <c r="E144" s="696"/>
      <c r="F144" s="696"/>
      <c r="G144" s="696"/>
      <c r="H144" s="696"/>
      <c r="I144" s="1050" t="str">
        <f t="shared" si="32"/>
        <v/>
      </c>
      <c r="J144" s="696"/>
      <c r="K144" s="697"/>
      <c r="L144" s="696"/>
      <c r="M144" s="198" t="str">
        <f t="shared" si="33"/>
        <v/>
      </c>
      <c r="N144" s="369" t="str">
        <f t="shared" si="34"/>
        <v/>
      </c>
      <c r="O144" s="183" t="str">
        <f t="shared" si="35"/>
        <v/>
      </c>
      <c r="P144" s="199" t="str">
        <f t="shared" si="36"/>
        <v/>
      </c>
      <c r="Q144" s="199" t="str">
        <f>IF(B144="","",IFERROR(IF('עלויות כח אדם (6)'!J144&gt;=VLOOKUP(I144,'סיווג התפקידים והעלויות'!$B$23:$C$32,2,0),"תקין","לא תקין"),""))</f>
        <v/>
      </c>
      <c r="R144" s="199" t="str">
        <f t="shared" si="37"/>
        <v/>
      </c>
      <c r="S144" s="199" t="str">
        <f t="shared" si="38"/>
        <v/>
      </c>
      <c r="T144" s="199" t="str">
        <f t="shared" ref="T144:T207" si="46">IF(B144="","",IF(H144="","יש להזין איש צוות",IF(OR(H144="מורה",H144="גננת",H144="רכז גן",H144="רכזת גן",H144="סייעת",H144="מדצית",H144="מדצ",H144="מדריך",H144="מדריכה",H144="תוספת כח אדם"),IF(L144&lt;=90,"תקין","לא תקין"),IF(OR(H144="רכז בית ספר",H144="רכזת תכנית בבית הספר",H144="רכזת בית ספר"),IF(L144&lt;=137,"תקין","לא תקין"),IF(OR(H144="סגנית רכזת מעל 150",H144="סגן רכז"),IF(L144&lt;=93,"תקין","לא תקין"),"לא תקין")))))</f>
        <v/>
      </c>
      <c r="U144" s="199" t="str">
        <f t="shared" si="39"/>
        <v/>
      </c>
      <c r="V144" s="989"/>
      <c r="X144" s="374" t="str">
        <f t="shared" si="40"/>
        <v/>
      </c>
      <c r="Y144" s="375" t="str">
        <f t="shared" si="41"/>
        <v/>
      </c>
      <c r="Z144" s="374" t="str">
        <f t="shared" si="42"/>
        <v/>
      </c>
      <c r="AA144" s="374" t="b">
        <f t="shared" si="43"/>
        <v>1</v>
      </c>
      <c r="AB144" s="374">
        <f>COUNTIFS(B:B,B144,H:H,'סיווג התפקידים והעלויות'!$C$2)</f>
        <v>0</v>
      </c>
      <c r="AC144" s="374">
        <f>COUNTIFS(B:B,B144,H:H,'סיווג התפקידים והעלויות'!$D$2)</f>
        <v>0</v>
      </c>
      <c r="AD144" s="374" t="str">
        <f>IF(OR(AND(H144='סיווג התפקידים והעלויות'!$A$2,I144='סיווג התפקידים והעלויות'!$A$3),'עלויות כח אדם (6)'!H144='סיווג התפקידים והעלויות'!$C$2,'עלויות כח אדם (6)'!H144='סיווג התפקידים והעלויות'!$D$2),IF('עלויות כח אדם (6)'!J144&lt;75,"לא תקין","תקין"),"")</f>
        <v/>
      </c>
      <c r="AE144" s="374" t="str">
        <f t="shared" si="44"/>
        <v/>
      </c>
      <c r="AF144" s="532" t="str">
        <f t="shared" si="45"/>
        <v/>
      </c>
    </row>
    <row r="145" spans="2:32" x14ac:dyDescent="0.25">
      <c r="B145" s="695"/>
      <c r="C145" s="197" t="str">
        <f>IF(B145&lt;&gt;"",IFERROR(VLOOKUP(B:B,'מצבת והרשמה (2)'!$C$20:$N$520,2,0)," ")," ")</f>
        <v xml:space="preserve"> </v>
      </c>
      <c r="D145" s="695"/>
      <c r="E145" s="696"/>
      <c r="F145" s="696"/>
      <c r="G145" s="696"/>
      <c r="H145" s="696"/>
      <c r="I145" s="1050" t="str">
        <f t="shared" si="32"/>
        <v/>
      </c>
      <c r="J145" s="696"/>
      <c r="K145" s="697"/>
      <c r="L145" s="696"/>
      <c r="M145" s="198" t="str">
        <f t="shared" si="33"/>
        <v/>
      </c>
      <c r="N145" s="369" t="str">
        <f t="shared" si="34"/>
        <v/>
      </c>
      <c r="O145" s="183" t="str">
        <f t="shared" si="35"/>
        <v/>
      </c>
      <c r="P145" s="199" t="str">
        <f t="shared" si="36"/>
        <v/>
      </c>
      <c r="Q145" s="199" t="str">
        <f>IF(B145="","",IFERROR(IF('עלויות כח אדם (6)'!J145&gt;=VLOOKUP(I145,'סיווג התפקידים והעלויות'!$B$23:$C$32,2,0),"תקין","לא תקין"),""))</f>
        <v/>
      </c>
      <c r="R145" s="199" t="str">
        <f t="shared" si="37"/>
        <v/>
      </c>
      <c r="S145" s="199" t="str">
        <f t="shared" si="38"/>
        <v/>
      </c>
      <c r="T145" s="199" t="str">
        <f t="shared" si="46"/>
        <v/>
      </c>
      <c r="U145" s="199" t="str">
        <f t="shared" si="39"/>
        <v/>
      </c>
      <c r="V145" s="989"/>
      <c r="X145" s="374" t="str">
        <f t="shared" si="40"/>
        <v/>
      </c>
      <c r="Y145" s="375" t="str">
        <f t="shared" si="41"/>
        <v/>
      </c>
      <c r="Z145" s="374" t="str">
        <f t="shared" si="42"/>
        <v/>
      </c>
      <c r="AA145" s="374" t="b">
        <f t="shared" si="43"/>
        <v>1</v>
      </c>
      <c r="AB145" s="374">
        <f>COUNTIFS(B:B,B145,H:H,'סיווג התפקידים והעלויות'!$C$2)</f>
        <v>0</v>
      </c>
      <c r="AC145" s="374">
        <f>COUNTIFS(B:B,B145,H:H,'סיווג התפקידים והעלויות'!$D$2)</f>
        <v>0</v>
      </c>
      <c r="AD145" s="374" t="str">
        <f>IF(OR(AND(H145='סיווג התפקידים והעלויות'!$A$2,I145='סיווג התפקידים והעלויות'!$A$3),'עלויות כח אדם (6)'!H145='סיווג התפקידים והעלויות'!$C$2,'עלויות כח אדם (6)'!H145='סיווג התפקידים והעלויות'!$D$2),IF('עלויות כח אדם (6)'!J145&lt;75,"לא תקין","תקין"),"")</f>
        <v/>
      </c>
      <c r="AE145" s="374" t="str">
        <f t="shared" si="44"/>
        <v/>
      </c>
      <c r="AF145" s="532" t="str">
        <f t="shared" si="45"/>
        <v/>
      </c>
    </row>
    <row r="146" spans="2:32" x14ac:dyDescent="0.25">
      <c r="B146" s="695"/>
      <c r="C146" s="197" t="str">
        <f>IF(B146&lt;&gt;"",IFERROR(VLOOKUP(B:B,'מצבת והרשמה (2)'!$C$20:$N$520,2,0)," ")," ")</f>
        <v xml:space="preserve"> </v>
      </c>
      <c r="D146" s="695"/>
      <c r="E146" s="696"/>
      <c r="F146" s="696"/>
      <c r="G146" s="696"/>
      <c r="H146" s="696"/>
      <c r="I146" s="1050" t="str">
        <f t="shared" si="32"/>
        <v/>
      </c>
      <c r="J146" s="696"/>
      <c r="K146" s="697"/>
      <c r="L146" s="696"/>
      <c r="M146" s="198" t="str">
        <f t="shared" si="33"/>
        <v/>
      </c>
      <c r="N146" s="369" t="str">
        <f t="shared" si="34"/>
        <v/>
      </c>
      <c r="O146" s="183" t="str">
        <f t="shared" si="35"/>
        <v/>
      </c>
      <c r="P146" s="199" t="str">
        <f t="shared" si="36"/>
        <v/>
      </c>
      <c r="Q146" s="199" t="str">
        <f>IF(B146="","",IFERROR(IF('עלויות כח אדם (6)'!J146&gt;=VLOOKUP(I146,'סיווג התפקידים והעלויות'!$B$23:$C$32,2,0),"תקין","לא תקין"),""))</f>
        <v/>
      </c>
      <c r="R146" s="199" t="str">
        <f t="shared" si="37"/>
        <v/>
      </c>
      <c r="S146" s="199" t="str">
        <f t="shared" si="38"/>
        <v/>
      </c>
      <c r="T146" s="199" t="str">
        <f t="shared" si="46"/>
        <v/>
      </c>
      <c r="U146" s="199" t="str">
        <f t="shared" si="39"/>
        <v/>
      </c>
      <c r="V146" s="989"/>
      <c r="X146" s="374" t="str">
        <f t="shared" si="40"/>
        <v/>
      </c>
      <c r="Y146" s="375" t="str">
        <f t="shared" si="41"/>
        <v/>
      </c>
      <c r="Z146" s="374" t="str">
        <f t="shared" si="42"/>
        <v/>
      </c>
      <c r="AA146" s="374" t="b">
        <f t="shared" si="43"/>
        <v>1</v>
      </c>
      <c r="AB146" s="374">
        <f>COUNTIFS(B:B,B146,H:H,'סיווג התפקידים והעלויות'!$C$2)</f>
        <v>0</v>
      </c>
      <c r="AC146" s="374">
        <f>COUNTIFS(B:B,B146,H:H,'סיווג התפקידים והעלויות'!$D$2)</f>
        <v>0</v>
      </c>
      <c r="AD146" s="374" t="str">
        <f>IF(OR(AND(H146='סיווג התפקידים והעלויות'!$A$2,I146='סיווג התפקידים והעלויות'!$A$3),'עלויות כח אדם (6)'!H146='סיווג התפקידים והעלויות'!$C$2,'עלויות כח אדם (6)'!H146='סיווג התפקידים והעלויות'!$D$2),IF('עלויות כח אדם (6)'!J146&lt;75,"לא תקין","תקין"),"")</f>
        <v/>
      </c>
      <c r="AE146" s="374" t="str">
        <f t="shared" si="44"/>
        <v/>
      </c>
      <c r="AF146" s="532" t="str">
        <f t="shared" si="45"/>
        <v/>
      </c>
    </row>
    <row r="147" spans="2:32" x14ac:dyDescent="0.25">
      <c r="B147" s="695"/>
      <c r="C147" s="197" t="str">
        <f>IF(B147&lt;&gt;"",IFERROR(VLOOKUP(B:B,'מצבת והרשמה (2)'!$C$20:$N$520,2,0)," ")," ")</f>
        <v xml:space="preserve"> </v>
      </c>
      <c r="D147" s="695"/>
      <c r="E147" s="696"/>
      <c r="F147" s="696"/>
      <c r="G147" s="696"/>
      <c r="H147" s="696"/>
      <c r="I147" s="1050" t="str">
        <f t="shared" si="32"/>
        <v/>
      </c>
      <c r="J147" s="696"/>
      <c r="K147" s="697"/>
      <c r="L147" s="696"/>
      <c r="M147" s="198" t="str">
        <f t="shared" si="33"/>
        <v/>
      </c>
      <c r="N147" s="369" t="str">
        <f t="shared" si="34"/>
        <v/>
      </c>
      <c r="O147" s="183" t="str">
        <f t="shared" si="35"/>
        <v/>
      </c>
      <c r="P147" s="199" t="str">
        <f t="shared" si="36"/>
        <v/>
      </c>
      <c r="Q147" s="199" t="str">
        <f>IF(B147="","",IFERROR(IF('עלויות כח אדם (6)'!J147&gt;=VLOOKUP(I147,'סיווג התפקידים והעלויות'!$B$23:$C$32,2,0),"תקין","לא תקין"),""))</f>
        <v/>
      </c>
      <c r="R147" s="199" t="str">
        <f t="shared" si="37"/>
        <v/>
      </c>
      <c r="S147" s="199" t="str">
        <f t="shared" si="38"/>
        <v/>
      </c>
      <c r="T147" s="199" t="str">
        <f t="shared" si="46"/>
        <v/>
      </c>
      <c r="U147" s="199" t="str">
        <f t="shared" si="39"/>
        <v/>
      </c>
      <c r="V147" s="989"/>
      <c r="X147" s="374" t="str">
        <f t="shared" si="40"/>
        <v/>
      </c>
      <c r="Y147" s="375" t="str">
        <f t="shared" si="41"/>
        <v/>
      </c>
      <c r="Z147" s="374" t="str">
        <f t="shared" si="42"/>
        <v/>
      </c>
      <c r="AA147" s="374" t="b">
        <f t="shared" si="43"/>
        <v>1</v>
      </c>
      <c r="AB147" s="374">
        <f>COUNTIFS(B:B,B147,H:H,'סיווג התפקידים והעלויות'!$C$2)</f>
        <v>0</v>
      </c>
      <c r="AC147" s="374">
        <f>COUNTIFS(B:B,B147,H:H,'סיווג התפקידים והעלויות'!$D$2)</f>
        <v>0</v>
      </c>
      <c r="AD147" s="374" t="str">
        <f>IF(OR(AND(H147='סיווג התפקידים והעלויות'!$A$2,I147='סיווג התפקידים והעלויות'!$A$3),'עלויות כח אדם (6)'!H147='סיווג התפקידים והעלויות'!$C$2,'עלויות כח אדם (6)'!H147='סיווג התפקידים והעלויות'!$D$2),IF('עלויות כח אדם (6)'!J147&lt;75,"לא תקין","תקין"),"")</f>
        <v/>
      </c>
      <c r="AE147" s="374" t="str">
        <f t="shared" si="44"/>
        <v/>
      </c>
      <c r="AF147" s="532" t="str">
        <f t="shared" si="45"/>
        <v/>
      </c>
    </row>
    <row r="148" spans="2:32" x14ac:dyDescent="0.25">
      <c r="B148" s="695"/>
      <c r="C148" s="197" t="str">
        <f>IF(B148&lt;&gt;"",IFERROR(VLOOKUP(B:B,'מצבת והרשמה (2)'!$C$20:$N$520,2,0)," ")," ")</f>
        <v xml:space="preserve"> </v>
      </c>
      <c r="D148" s="695"/>
      <c r="E148" s="696"/>
      <c r="F148" s="696"/>
      <c r="G148" s="696"/>
      <c r="H148" s="696"/>
      <c r="I148" s="1050" t="str">
        <f t="shared" si="32"/>
        <v/>
      </c>
      <c r="J148" s="696"/>
      <c r="K148" s="697"/>
      <c r="L148" s="696"/>
      <c r="M148" s="198" t="str">
        <f t="shared" si="33"/>
        <v/>
      </c>
      <c r="N148" s="369" t="str">
        <f t="shared" si="34"/>
        <v/>
      </c>
      <c r="O148" s="183" t="str">
        <f t="shared" si="35"/>
        <v/>
      </c>
      <c r="P148" s="199" t="str">
        <f t="shared" si="36"/>
        <v/>
      </c>
      <c r="Q148" s="199" t="str">
        <f>IF(B148="","",IFERROR(IF('עלויות כח אדם (6)'!J148&gt;=VLOOKUP(I148,'סיווג התפקידים והעלויות'!$B$23:$C$32,2,0),"תקין","לא תקין"),""))</f>
        <v/>
      </c>
      <c r="R148" s="199" t="str">
        <f t="shared" si="37"/>
        <v/>
      </c>
      <c r="S148" s="199" t="str">
        <f t="shared" si="38"/>
        <v/>
      </c>
      <c r="T148" s="199" t="str">
        <f t="shared" si="46"/>
        <v/>
      </c>
      <c r="U148" s="199" t="str">
        <f t="shared" si="39"/>
        <v/>
      </c>
      <c r="V148" s="989"/>
      <c r="X148" s="374" t="str">
        <f t="shared" si="40"/>
        <v/>
      </c>
      <c r="Y148" s="375" t="str">
        <f t="shared" si="41"/>
        <v/>
      </c>
      <c r="Z148" s="374" t="str">
        <f t="shared" si="42"/>
        <v/>
      </c>
      <c r="AA148" s="374" t="b">
        <f t="shared" si="43"/>
        <v>1</v>
      </c>
      <c r="AB148" s="374">
        <f>COUNTIFS(B:B,B148,H:H,'סיווג התפקידים והעלויות'!$C$2)</f>
        <v>0</v>
      </c>
      <c r="AC148" s="374">
        <f>COUNTIFS(B:B,B148,H:H,'סיווג התפקידים והעלויות'!$D$2)</f>
        <v>0</v>
      </c>
      <c r="AD148" s="374" t="str">
        <f>IF(OR(AND(H148='סיווג התפקידים והעלויות'!$A$2,I148='סיווג התפקידים והעלויות'!$A$3),'עלויות כח אדם (6)'!H148='סיווג התפקידים והעלויות'!$C$2,'עלויות כח אדם (6)'!H148='סיווג התפקידים והעלויות'!$D$2),IF('עלויות כח אדם (6)'!J148&lt;75,"לא תקין","תקין"),"")</f>
        <v/>
      </c>
      <c r="AE148" s="374" t="str">
        <f t="shared" si="44"/>
        <v/>
      </c>
      <c r="AF148" s="532" t="str">
        <f t="shared" si="45"/>
        <v/>
      </c>
    </row>
    <row r="149" spans="2:32" x14ac:dyDescent="0.25">
      <c r="B149" s="695"/>
      <c r="C149" s="197" t="str">
        <f>IF(B149&lt;&gt;"",IFERROR(VLOOKUP(B:B,'מצבת והרשמה (2)'!$C$20:$N$520,2,0)," ")," ")</f>
        <v xml:space="preserve"> </v>
      </c>
      <c r="D149" s="695"/>
      <c r="E149" s="696"/>
      <c r="F149" s="696"/>
      <c r="G149" s="696"/>
      <c r="H149" s="696"/>
      <c r="I149" s="1050" t="str">
        <f t="shared" si="32"/>
        <v/>
      </c>
      <c r="J149" s="696"/>
      <c r="K149" s="697"/>
      <c r="L149" s="696"/>
      <c r="M149" s="198" t="str">
        <f t="shared" si="33"/>
        <v/>
      </c>
      <c r="N149" s="369" t="str">
        <f t="shared" si="34"/>
        <v/>
      </c>
      <c r="O149" s="183" t="str">
        <f t="shared" si="35"/>
        <v/>
      </c>
      <c r="P149" s="199" t="str">
        <f t="shared" si="36"/>
        <v/>
      </c>
      <c r="Q149" s="199" t="str">
        <f>IF(B149="","",IFERROR(IF('עלויות כח אדם (6)'!J149&gt;=VLOOKUP(I149,'סיווג התפקידים והעלויות'!$B$23:$C$32,2,0),"תקין","לא תקין"),""))</f>
        <v/>
      </c>
      <c r="R149" s="199" t="str">
        <f t="shared" si="37"/>
        <v/>
      </c>
      <c r="S149" s="199" t="str">
        <f t="shared" si="38"/>
        <v/>
      </c>
      <c r="T149" s="199" t="str">
        <f t="shared" si="46"/>
        <v/>
      </c>
      <c r="U149" s="199" t="str">
        <f t="shared" si="39"/>
        <v/>
      </c>
      <c r="V149" s="989"/>
      <c r="X149" s="374" t="str">
        <f t="shared" si="40"/>
        <v/>
      </c>
      <c r="Y149" s="375" t="str">
        <f t="shared" si="41"/>
        <v/>
      </c>
      <c r="Z149" s="374" t="str">
        <f t="shared" si="42"/>
        <v/>
      </c>
      <c r="AA149" s="374" t="b">
        <f t="shared" si="43"/>
        <v>1</v>
      </c>
      <c r="AB149" s="374">
        <f>COUNTIFS(B:B,B149,H:H,'סיווג התפקידים והעלויות'!$C$2)</f>
        <v>0</v>
      </c>
      <c r="AC149" s="374">
        <f>COUNTIFS(B:B,B149,H:H,'סיווג התפקידים והעלויות'!$D$2)</f>
        <v>0</v>
      </c>
      <c r="AD149" s="374" t="str">
        <f>IF(OR(AND(H149='סיווג התפקידים והעלויות'!$A$2,I149='סיווג התפקידים והעלויות'!$A$3),'עלויות כח אדם (6)'!H149='סיווג התפקידים והעלויות'!$C$2,'עלויות כח אדם (6)'!H149='סיווג התפקידים והעלויות'!$D$2),IF('עלויות כח אדם (6)'!J149&lt;75,"לא תקין","תקין"),"")</f>
        <v/>
      </c>
      <c r="AE149" s="374" t="str">
        <f t="shared" si="44"/>
        <v/>
      </c>
      <c r="AF149" s="532" t="str">
        <f t="shared" si="45"/>
        <v/>
      </c>
    </row>
    <row r="150" spans="2:32" x14ac:dyDescent="0.25">
      <c r="B150" s="695"/>
      <c r="C150" s="197" t="str">
        <f>IF(B150&lt;&gt;"",IFERROR(VLOOKUP(B:B,'מצבת והרשמה (2)'!$C$20:$N$520,2,0)," ")," ")</f>
        <v xml:space="preserve"> </v>
      </c>
      <c r="D150" s="695"/>
      <c r="E150" s="696"/>
      <c r="F150" s="696"/>
      <c r="G150" s="696"/>
      <c r="H150" s="696"/>
      <c r="I150" s="1050" t="str">
        <f t="shared" si="32"/>
        <v/>
      </c>
      <c r="J150" s="696"/>
      <c r="K150" s="697"/>
      <c r="L150" s="696"/>
      <c r="M150" s="198" t="str">
        <f t="shared" si="33"/>
        <v/>
      </c>
      <c r="N150" s="369" t="str">
        <f t="shared" si="34"/>
        <v/>
      </c>
      <c r="O150" s="183" t="str">
        <f t="shared" si="35"/>
        <v/>
      </c>
      <c r="P150" s="199" t="str">
        <f t="shared" si="36"/>
        <v/>
      </c>
      <c r="Q150" s="199" t="str">
        <f>IF(B150="","",IFERROR(IF('עלויות כח אדם (6)'!J150&gt;=VLOOKUP(I150,'סיווג התפקידים והעלויות'!$B$23:$C$32,2,0),"תקין","לא תקין"),""))</f>
        <v/>
      </c>
      <c r="R150" s="199" t="str">
        <f t="shared" si="37"/>
        <v/>
      </c>
      <c r="S150" s="199" t="str">
        <f t="shared" si="38"/>
        <v/>
      </c>
      <c r="T150" s="199" t="str">
        <f t="shared" si="46"/>
        <v/>
      </c>
      <c r="U150" s="199" t="str">
        <f t="shared" si="39"/>
        <v/>
      </c>
      <c r="V150" s="989"/>
      <c r="X150" s="374" t="str">
        <f t="shared" si="40"/>
        <v/>
      </c>
      <c r="Y150" s="375" t="str">
        <f t="shared" si="41"/>
        <v/>
      </c>
      <c r="Z150" s="374" t="str">
        <f t="shared" si="42"/>
        <v/>
      </c>
      <c r="AA150" s="374" t="b">
        <f t="shared" si="43"/>
        <v>1</v>
      </c>
      <c r="AB150" s="374">
        <f>COUNTIFS(B:B,B150,H:H,'סיווג התפקידים והעלויות'!$C$2)</f>
        <v>0</v>
      </c>
      <c r="AC150" s="374">
        <f>COUNTIFS(B:B,B150,H:H,'סיווג התפקידים והעלויות'!$D$2)</f>
        <v>0</v>
      </c>
      <c r="AD150" s="374" t="str">
        <f>IF(OR(AND(H150='סיווג התפקידים והעלויות'!$A$2,I150='סיווג התפקידים והעלויות'!$A$3),'עלויות כח אדם (6)'!H150='סיווג התפקידים והעלויות'!$C$2,'עלויות כח אדם (6)'!H150='סיווג התפקידים והעלויות'!$D$2),IF('עלויות כח אדם (6)'!J150&lt;75,"לא תקין","תקין"),"")</f>
        <v/>
      </c>
      <c r="AE150" s="374" t="str">
        <f t="shared" si="44"/>
        <v/>
      </c>
      <c r="AF150" s="532" t="str">
        <f t="shared" si="45"/>
        <v/>
      </c>
    </row>
    <row r="151" spans="2:32" x14ac:dyDescent="0.25">
      <c r="B151" s="695"/>
      <c r="C151" s="197" t="str">
        <f>IF(B151&lt;&gt;"",IFERROR(VLOOKUP(B:B,'מצבת והרשמה (2)'!$C$20:$N$520,2,0)," ")," ")</f>
        <v xml:space="preserve"> </v>
      </c>
      <c r="D151" s="695"/>
      <c r="E151" s="696"/>
      <c r="F151" s="696"/>
      <c r="G151" s="696"/>
      <c r="H151" s="696"/>
      <c r="I151" s="1050" t="str">
        <f t="shared" si="32"/>
        <v/>
      </c>
      <c r="J151" s="696"/>
      <c r="K151" s="697"/>
      <c r="L151" s="696"/>
      <c r="M151" s="198" t="str">
        <f t="shared" si="33"/>
        <v/>
      </c>
      <c r="N151" s="369" t="str">
        <f t="shared" si="34"/>
        <v/>
      </c>
      <c r="O151" s="183" t="str">
        <f t="shared" si="35"/>
        <v/>
      </c>
      <c r="P151" s="199" t="str">
        <f t="shared" si="36"/>
        <v/>
      </c>
      <c r="Q151" s="199" t="str">
        <f>IF(B151="","",IFERROR(IF('עלויות כח אדם (6)'!J151&gt;=VLOOKUP(I151,'סיווג התפקידים והעלויות'!$B$23:$C$32,2,0),"תקין","לא תקין"),""))</f>
        <v/>
      </c>
      <c r="R151" s="199" t="str">
        <f t="shared" si="37"/>
        <v/>
      </c>
      <c r="S151" s="199" t="str">
        <f t="shared" si="38"/>
        <v/>
      </c>
      <c r="T151" s="199" t="str">
        <f t="shared" si="46"/>
        <v/>
      </c>
      <c r="U151" s="199" t="str">
        <f t="shared" si="39"/>
        <v/>
      </c>
      <c r="V151" s="989"/>
      <c r="X151" s="374" t="str">
        <f t="shared" si="40"/>
        <v/>
      </c>
      <c r="Y151" s="375" t="str">
        <f t="shared" si="41"/>
        <v/>
      </c>
      <c r="Z151" s="374" t="str">
        <f t="shared" si="42"/>
        <v/>
      </c>
      <c r="AA151" s="374" t="b">
        <f t="shared" si="43"/>
        <v>1</v>
      </c>
      <c r="AB151" s="374">
        <f>COUNTIFS(B:B,B151,H:H,'סיווג התפקידים והעלויות'!$C$2)</f>
        <v>0</v>
      </c>
      <c r="AC151" s="374">
        <f>COUNTIFS(B:B,B151,H:H,'סיווג התפקידים והעלויות'!$D$2)</f>
        <v>0</v>
      </c>
      <c r="AD151" s="374" t="str">
        <f>IF(OR(AND(H151='סיווג התפקידים והעלויות'!$A$2,I151='סיווג התפקידים והעלויות'!$A$3),'עלויות כח אדם (6)'!H151='סיווג התפקידים והעלויות'!$C$2,'עלויות כח אדם (6)'!H151='סיווג התפקידים והעלויות'!$D$2),IF('עלויות כח אדם (6)'!J151&lt;75,"לא תקין","תקין"),"")</f>
        <v/>
      </c>
      <c r="AE151" s="374" t="str">
        <f t="shared" si="44"/>
        <v/>
      </c>
      <c r="AF151" s="532" t="str">
        <f t="shared" si="45"/>
        <v/>
      </c>
    </row>
    <row r="152" spans="2:32" x14ac:dyDescent="0.25">
      <c r="B152" s="695"/>
      <c r="C152" s="197" t="str">
        <f>IF(B152&lt;&gt;"",IFERROR(VLOOKUP(B:B,'מצבת והרשמה (2)'!$C$20:$N$520,2,0)," ")," ")</f>
        <v xml:space="preserve"> </v>
      </c>
      <c r="D152" s="695"/>
      <c r="E152" s="696"/>
      <c r="F152" s="696"/>
      <c r="G152" s="696"/>
      <c r="H152" s="696"/>
      <c r="I152" s="1050" t="str">
        <f t="shared" si="32"/>
        <v/>
      </c>
      <c r="J152" s="696"/>
      <c r="K152" s="697"/>
      <c r="L152" s="696"/>
      <c r="M152" s="198" t="str">
        <f t="shared" si="33"/>
        <v/>
      </c>
      <c r="N152" s="369" t="str">
        <f t="shared" si="34"/>
        <v/>
      </c>
      <c r="O152" s="183" t="str">
        <f t="shared" si="35"/>
        <v/>
      </c>
      <c r="P152" s="199" t="str">
        <f t="shared" si="36"/>
        <v/>
      </c>
      <c r="Q152" s="199" t="str">
        <f>IF(B152="","",IFERROR(IF('עלויות כח אדם (6)'!J152&gt;=VLOOKUP(I152,'סיווג התפקידים והעלויות'!$B$23:$C$32,2,0),"תקין","לא תקין"),""))</f>
        <v/>
      </c>
      <c r="R152" s="199" t="str">
        <f t="shared" si="37"/>
        <v/>
      </c>
      <c r="S152" s="199" t="str">
        <f t="shared" si="38"/>
        <v/>
      </c>
      <c r="T152" s="199" t="str">
        <f t="shared" si="46"/>
        <v/>
      </c>
      <c r="U152" s="199" t="str">
        <f t="shared" si="39"/>
        <v/>
      </c>
      <c r="V152" s="989"/>
      <c r="X152" s="374" t="str">
        <f t="shared" si="40"/>
        <v/>
      </c>
      <c r="Y152" s="375" t="str">
        <f t="shared" si="41"/>
        <v/>
      </c>
      <c r="Z152" s="374" t="str">
        <f t="shared" si="42"/>
        <v/>
      </c>
      <c r="AA152" s="374" t="b">
        <f t="shared" si="43"/>
        <v>1</v>
      </c>
      <c r="AB152" s="374">
        <f>COUNTIFS(B:B,B152,H:H,'סיווג התפקידים והעלויות'!$C$2)</f>
        <v>0</v>
      </c>
      <c r="AC152" s="374">
        <f>COUNTIFS(B:B,B152,H:H,'סיווג התפקידים והעלויות'!$D$2)</f>
        <v>0</v>
      </c>
      <c r="AD152" s="374" t="str">
        <f>IF(OR(AND(H152='סיווג התפקידים והעלויות'!$A$2,I152='סיווג התפקידים והעלויות'!$A$3),'עלויות כח אדם (6)'!H152='סיווג התפקידים והעלויות'!$C$2,'עלויות כח אדם (6)'!H152='סיווג התפקידים והעלויות'!$D$2),IF('עלויות כח אדם (6)'!J152&lt;75,"לא תקין","תקין"),"")</f>
        <v/>
      </c>
      <c r="AE152" s="374" t="str">
        <f t="shared" si="44"/>
        <v/>
      </c>
      <c r="AF152" s="532" t="str">
        <f t="shared" si="45"/>
        <v/>
      </c>
    </row>
    <row r="153" spans="2:32" x14ac:dyDescent="0.25">
      <c r="B153" s="695"/>
      <c r="C153" s="197" t="str">
        <f>IF(B153&lt;&gt;"",IFERROR(VLOOKUP(B:B,'מצבת והרשמה (2)'!$C$20:$N$520,2,0)," ")," ")</f>
        <v xml:space="preserve"> </v>
      </c>
      <c r="D153" s="695"/>
      <c r="E153" s="696"/>
      <c r="F153" s="696"/>
      <c r="G153" s="696"/>
      <c r="H153" s="696"/>
      <c r="I153" s="1050" t="str">
        <f t="shared" si="32"/>
        <v/>
      </c>
      <c r="J153" s="696"/>
      <c r="K153" s="697"/>
      <c r="L153" s="696"/>
      <c r="M153" s="198" t="str">
        <f t="shared" si="33"/>
        <v/>
      </c>
      <c r="N153" s="369" t="str">
        <f t="shared" si="34"/>
        <v/>
      </c>
      <c r="O153" s="183" t="str">
        <f t="shared" si="35"/>
        <v/>
      </c>
      <c r="P153" s="199" t="str">
        <f t="shared" si="36"/>
        <v/>
      </c>
      <c r="Q153" s="199" t="str">
        <f>IF(B153="","",IFERROR(IF('עלויות כח אדם (6)'!J153&gt;=VLOOKUP(I153,'סיווג התפקידים והעלויות'!$B$23:$C$32,2,0),"תקין","לא תקין"),""))</f>
        <v/>
      </c>
      <c r="R153" s="199" t="str">
        <f t="shared" si="37"/>
        <v/>
      </c>
      <c r="S153" s="199" t="str">
        <f t="shared" si="38"/>
        <v/>
      </c>
      <c r="T153" s="199" t="str">
        <f t="shared" si="46"/>
        <v/>
      </c>
      <c r="U153" s="199" t="str">
        <f t="shared" si="39"/>
        <v/>
      </c>
      <c r="V153" s="989"/>
      <c r="X153" s="374" t="str">
        <f t="shared" si="40"/>
        <v/>
      </c>
      <c r="Y153" s="375" t="str">
        <f t="shared" si="41"/>
        <v/>
      </c>
      <c r="Z153" s="374" t="str">
        <f t="shared" si="42"/>
        <v/>
      </c>
      <c r="AA153" s="374" t="b">
        <f t="shared" si="43"/>
        <v>1</v>
      </c>
      <c r="AB153" s="374">
        <f>COUNTIFS(B:B,B153,H:H,'סיווג התפקידים והעלויות'!$C$2)</f>
        <v>0</v>
      </c>
      <c r="AC153" s="374">
        <f>COUNTIFS(B:B,B153,H:H,'סיווג התפקידים והעלויות'!$D$2)</f>
        <v>0</v>
      </c>
      <c r="AD153" s="374" t="str">
        <f>IF(OR(AND(H153='סיווג התפקידים והעלויות'!$A$2,I153='סיווג התפקידים והעלויות'!$A$3),'עלויות כח אדם (6)'!H153='סיווג התפקידים והעלויות'!$C$2,'עלויות כח אדם (6)'!H153='סיווג התפקידים והעלויות'!$D$2),IF('עלויות כח אדם (6)'!J153&lt;75,"לא תקין","תקין"),"")</f>
        <v/>
      </c>
      <c r="AE153" s="374" t="str">
        <f t="shared" si="44"/>
        <v/>
      </c>
      <c r="AF153" s="532" t="str">
        <f t="shared" si="45"/>
        <v/>
      </c>
    </row>
    <row r="154" spans="2:32" x14ac:dyDescent="0.25">
      <c r="B154" s="695"/>
      <c r="C154" s="197" t="str">
        <f>IF(B154&lt;&gt;"",IFERROR(VLOOKUP(B:B,'מצבת והרשמה (2)'!$C$20:$N$520,2,0)," ")," ")</f>
        <v xml:space="preserve"> </v>
      </c>
      <c r="D154" s="695"/>
      <c r="E154" s="696"/>
      <c r="F154" s="696"/>
      <c r="G154" s="696"/>
      <c r="H154" s="696"/>
      <c r="I154" s="1050" t="str">
        <f t="shared" si="32"/>
        <v/>
      </c>
      <c r="J154" s="696"/>
      <c r="K154" s="697"/>
      <c r="L154" s="696"/>
      <c r="M154" s="198" t="str">
        <f t="shared" si="33"/>
        <v/>
      </c>
      <c r="N154" s="369" t="str">
        <f t="shared" si="34"/>
        <v/>
      </c>
      <c r="O154" s="183" t="str">
        <f t="shared" si="35"/>
        <v/>
      </c>
      <c r="P154" s="199" t="str">
        <f t="shared" si="36"/>
        <v/>
      </c>
      <c r="Q154" s="199" t="str">
        <f>IF(B154="","",IFERROR(IF('עלויות כח אדם (6)'!J154&gt;=VLOOKUP(I154,'סיווג התפקידים והעלויות'!$B$23:$C$32,2,0),"תקין","לא תקין"),""))</f>
        <v/>
      </c>
      <c r="R154" s="199" t="str">
        <f t="shared" si="37"/>
        <v/>
      </c>
      <c r="S154" s="199" t="str">
        <f t="shared" si="38"/>
        <v/>
      </c>
      <c r="T154" s="199" t="str">
        <f t="shared" si="46"/>
        <v/>
      </c>
      <c r="U154" s="199" t="str">
        <f t="shared" si="39"/>
        <v/>
      </c>
      <c r="V154" s="989"/>
      <c r="X154" s="374" t="str">
        <f t="shared" si="40"/>
        <v/>
      </c>
      <c r="Y154" s="375" t="str">
        <f t="shared" si="41"/>
        <v/>
      </c>
      <c r="Z154" s="374" t="str">
        <f t="shared" si="42"/>
        <v/>
      </c>
      <c r="AA154" s="374" t="b">
        <f t="shared" si="43"/>
        <v>1</v>
      </c>
      <c r="AB154" s="374">
        <f>COUNTIFS(B:B,B154,H:H,'סיווג התפקידים והעלויות'!$C$2)</f>
        <v>0</v>
      </c>
      <c r="AC154" s="374">
        <f>COUNTIFS(B:B,B154,H:H,'סיווג התפקידים והעלויות'!$D$2)</f>
        <v>0</v>
      </c>
      <c r="AD154" s="374" t="str">
        <f>IF(OR(AND(H154='סיווג התפקידים והעלויות'!$A$2,I154='סיווג התפקידים והעלויות'!$A$3),'עלויות כח אדם (6)'!H154='סיווג התפקידים והעלויות'!$C$2,'עלויות כח אדם (6)'!H154='סיווג התפקידים והעלויות'!$D$2),IF('עלויות כח אדם (6)'!J154&lt;75,"לא תקין","תקין"),"")</f>
        <v/>
      </c>
      <c r="AE154" s="374" t="str">
        <f t="shared" si="44"/>
        <v/>
      </c>
      <c r="AF154" s="532" t="str">
        <f t="shared" si="45"/>
        <v/>
      </c>
    </row>
    <row r="155" spans="2:32" x14ac:dyDescent="0.25">
      <c r="B155" s="695"/>
      <c r="C155" s="197" t="str">
        <f>IF(B155&lt;&gt;"",IFERROR(VLOOKUP(B:B,'מצבת והרשמה (2)'!$C$20:$N$520,2,0)," ")," ")</f>
        <v xml:space="preserve"> </v>
      </c>
      <c r="D155" s="695"/>
      <c r="E155" s="696"/>
      <c r="F155" s="696"/>
      <c r="G155" s="696"/>
      <c r="H155" s="696"/>
      <c r="I155" s="1050" t="str">
        <f t="shared" si="32"/>
        <v/>
      </c>
      <c r="J155" s="696"/>
      <c r="K155" s="697"/>
      <c r="L155" s="696"/>
      <c r="M155" s="198" t="str">
        <f t="shared" si="33"/>
        <v/>
      </c>
      <c r="N155" s="369" t="str">
        <f t="shared" si="34"/>
        <v/>
      </c>
      <c r="O155" s="183" t="str">
        <f t="shared" si="35"/>
        <v/>
      </c>
      <c r="P155" s="199" t="str">
        <f t="shared" si="36"/>
        <v/>
      </c>
      <c r="Q155" s="199" t="str">
        <f>IF(B155="","",IFERROR(IF('עלויות כח אדם (6)'!J155&gt;=VLOOKUP(I155,'סיווג התפקידים והעלויות'!$B$23:$C$32,2,0),"תקין","לא תקין"),""))</f>
        <v/>
      </c>
      <c r="R155" s="199" t="str">
        <f t="shared" si="37"/>
        <v/>
      </c>
      <c r="S155" s="199" t="str">
        <f t="shared" si="38"/>
        <v/>
      </c>
      <c r="T155" s="199" t="str">
        <f t="shared" si="46"/>
        <v/>
      </c>
      <c r="U155" s="199" t="str">
        <f t="shared" si="39"/>
        <v/>
      </c>
      <c r="V155" s="989"/>
      <c r="X155" s="374" t="str">
        <f t="shared" si="40"/>
        <v/>
      </c>
      <c r="Y155" s="375" t="str">
        <f t="shared" si="41"/>
        <v/>
      </c>
      <c r="Z155" s="374" t="str">
        <f t="shared" si="42"/>
        <v/>
      </c>
      <c r="AA155" s="374" t="b">
        <f t="shared" si="43"/>
        <v>1</v>
      </c>
      <c r="AB155" s="374">
        <f>COUNTIFS(B:B,B155,H:H,'סיווג התפקידים והעלויות'!$C$2)</f>
        <v>0</v>
      </c>
      <c r="AC155" s="374">
        <f>COUNTIFS(B:B,B155,H:H,'סיווג התפקידים והעלויות'!$D$2)</f>
        <v>0</v>
      </c>
      <c r="AD155" s="374" t="str">
        <f>IF(OR(AND(H155='סיווג התפקידים והעלויות'!$A$2,I155='סיווג התפקידים והעלויות'!$A$3),'עלויות כח אדם (6)'!H155='סיווג התפקידים והעלויות'!$C$2,'עלויות כח אדם (6)'!H155='סיווג התפקידים והעלויות'!$D$2),IF('עלויות כח אדם (6)'!J155&lt;75,"לא תקין","תקין"),"")</f>
        <v/>
      </c>
      <c r="AE155" s="374" t="str">
        <f t="shared" si="44"/>
        <v/>
      </c>
      <c r="AF155" s="532" t="str">
        <f t="shared" si="45"/>
        <v/>
      </c>
    </row>
    <row r="156" spans="2:32" x14ac:dyDescent="0.25">
      <c r="B156" s="695"/>
      <c r="C156" s="197" t="str">
        <f>IF(B156&lt;&gt;"",IFERROR(VLOOKUP(B:B,'מצבת והרשמה (2)'!$C$20:$N$520,2,0)," ")," ")</f>
        <v xml:space="preserve"> </v>
      </c>
      <c r="D156" s="695"/>
      <c r="E156" s="696"/>
      <c r="F156" s="696"/>
      <c r="G156" s="696"/>
      <c r="H156" s="696"/>
      <c r="I156" s="1050" t="str">
        <f t="shared" si="32"/>
        <v/>
      </c>
      <c r="J156" s="696"/>
      <c r="K156" s="697"/>
      <c r="L156" s="696"/>
      <c r="M156" s="198" t="str">
        <f t="shared" si="33"/>
        <v/>
      </c>
      <c r="N156" s="369" t="str">
        <f t="shared" si="34"/>
        <v/>
      </c>
      <c r="O156" s="183" t="str">
        <f t="shared" si="35"/>
        <v/>
      </c>
      <c r="P156" s="199" t="str">
        <f t="shared" si="36"/>
        <v/>
      </c>
      <c r="Q156" s="199" t="str">
        <f>IF(B156="","",IFERROR(IF('עלויות כח אדם (6)'!J156&gt;=VLOOKUP(I156,'סיווג התפקידים והעלויות'!$B$23:$C$32,2,0),"תקין","לא תקין"),""))</f>
        <v/>
      </c>
      <c r="R156" s="199" t="str">
        <f t="shared" si="37"/>
        <v/>
      </c>
      <c r="S156" s="199" t="str">
        <f t="shared" si="38"/>
        <v/>
      </c>
      <c r="T156" s="199" t="str">
        <f t="shared" si="46"/>
        <v/>
      </c>
      <c r="U156" s="199" t="str">
        <f t="shared" si="39"/>
        <v/>
      </c>
      <c r="V156" s="989"/>
      <c r="X156" s="374" t="str">
        <f t="shared" si="40"/>
        <v/>
      </c>
      <c r="Y156" s="375" t="str">
        <f t="shared" si="41"/>
        <v/>
      </c>
      <c r="Z156" s="374" t="str">
        <f t="shared" si="42"/>
        <v/>
      </c>
      <c r="AA156" s="374" t="b">
        <f t="shared" si="43"/>
        <v>1</v>
      </c>
      <c r="AB156" s="374">
        <f>COUNTIFS(B:B,B156,H:H,'סיווג התפקידים והעלויות'!$C$2)</f>
        <v>0</v>
      </c>
      <c r="AC156" s="374">
        <f>COUNTIFS(B:B,B156,H:H,'סיווג התפקידים והעלויות'!$D$2)</f>
        <v>0</v>
      </c>
      <c r="AD156" s="374" t="str">
        <f>IF(OR(AND(H156='סיווג התפקידים והעלויות'!$A$2,I156='סיווג התפקידים והעלויות'!$A$3),'עלויות כח אדם (6)'!H156='סיווג התפקידים והעלויות'!$C$2,'עלויות כח אדם (6)'!H156='סיווג התפקידים והעלויות'!$D$2),IF('עלויות כח אדם (6)'!J156&lt;75,"לא תקין","תקין"),"")</f>
        <v/>
      </c>
      <c r="AE156" s="374" t="str">
        <f t="shared" si="44"/>
        <v/>
      </c>
      <c r="AF156" s="532" t="str">
        <f t="shared" si="45"/>
        <v/>
      </c>
    </row>
    <row r="157" spans="2:32" x14ac:dyDescent="0.25">
      <c r="B157" s="695"/>
      <c r="C157" s="197" t="str">
        <f>IF(B157&lt;&gt;"",IFERROR(VLOOKUP(B:B,'מצבת והרשמה (2)'!$C$20:$N$520,2,0)," ")," ")</f>
        <v xml:space="preserve"> </v>
      </c>
      <c r="D157" s="695"/>
      <c r="E157" s="696"/>
      <c r="F157" s="696"/>
      <c r="G157" s="696"/>
      <c r="H157" s="696"/>
      <c r="I157" s="1050" t="str">
        <f t="shared" si="32"/>
        <v/>
      </c>
      <c r="J157" s="696"/>
      <c r="K157" s="697"/>
      <c r="L157" s="696"/>
      <c r="M157" s="198" t="str">
        <f t="shared" si="33"/>
        <v/>
      </c>
      <c r="N157" s="369" t="str">
        <f t="shared" si="34"/>
        <v/>
      </c>
      <c r="O157" s="183" t="str">
        <f t="shared" si="35"/>
        <v/>
      </c>
      <c r="P157" s="199" t="str">
        <f t="shared" si="36"/>
        <v/>
      </c>
      <c r="Q157" s="199" t="str">
        <f>IF(B157="","",IFERROR(IF('עלויות כח אדם (6)'!J157&gt;=VLOOKUP(I157,'סיווג התפקידים והעלויות'!$B$23:$C$32,2,0),"תקין","לא תקין"),""))</f>
        <v/>
      </c>
      <c r="R157" s="199" t="str">
        <f t="shared" si="37"/>
        <v/>
      </c>
      <c r="S157" s="199" t="str">
        <f t="shared" si="38"/>
        <v/>
      </c>
      <c r="T157" s="199" t="str">
        <f t="shared" si="46"/>
        <v/>
      </c>
      <c r="U157" s="199" t="str">
        <f t="shared" si="39"/>
        <v/>
      </c>
      <c r="V157" s="989"/>
      <c r="X157" s="374" t="str">
        <f t="shared" si="40"/>
        <v/>
      </c>
      <c r="Y157" s="375" t="str">
        <f t="shared" si="41"/>
        <v/>
      </c>
      <c r="Z157" s="374" t="str">
        <f t="shared" si="42"/>
        <v/>
      </c>
      <c r="AA157" s="374" t="b">
        <f t="shared" si="43"/>
        <v>1</v>
      </c>
      <c r="AB157" s="374">
        <f>COUNTIFS(B:B,B157,H:H,'סיווג התפקידים והעלויות'!$C$2)</f>
        <v>0</v>
      </c>
      <c r="AC157" s="374">
        <f>COUNTIFS(B:B,B157,H:H,'סיווג התפקידים והעלויות'!$D$2)</f>
        <v>0</v>
      </c>
      <c r="AD157" s="374" t="str">
        <f>IF(OR(AND(H157='סיווג התפקידים והעלויות'!$A$2,I157='סיווג התפקידים והעלויות'!$A$3),'עלויות כח אדם (6)'!H157='סיווג התפקידים והעלויות'!$C$2,'עלויות כח אדם (6)'!H157='סיווג התפקידים והעלויות'!$D$2),IF('עלויות כח אדם (6)'!J157&lt;75,"לא תקין","תקין"),"")</f>
        <v/>
      </c>
      <c r="AE157" s="374" t="str">
        <f t="shared" si="44"/>
        <v/>
      </c>
      <c r="AF157" s="532" t="str">
        <f t="shared" si="45"/>
        <v/>
      </c>
    </row>
    <row r="158" spans="2:32" x14ac:dyDescent="0.25">
      <c r="B158" s="695"/>
      <c r="C158" s="197" t="str">
        <f>IF(B158&lt;&gt;"",IFERROR(VLOOKUP(B:B,'מצבת והרשמה (2)'!$C$20:$N$520,2,0)," ")," ")</f>
        <v xml:space="preserve"> </v>
      </c>
      <c r="D158" s="695"/>
      <c r="E158" s="696"/>
      <c r="F158" s="696"/>
      <c r="G158" s="696"/>
      <c r="H158" s="696"/>
      <c r="I158" s="1050" t="str">
        <f t="shared" si="32"/>
        <v/>
      </c>
      <c r="J158" s="696"/>
      <c r="K158" s="697"/>
      <c r="L158" s="696"/>
      <c r="M158" s="198" t="str">
        <f t="shared" si="33"/>
        <v/>
      </c>
      <c r="N158" s="369" t="str">
        <f t="shared" si="34"/>
        <v/>
      </c>
      <c r="O158" s="183" t="str">
        <f t="shared" si="35"/>
        <v/>
      </c>
      <c r="P158" s="199" t="str">
        <f t="shared" si="36"/>
        <v/>
      </c>
      <c r="Q158" s="199" t="str">
        <f>IF(B158="","",IFERROR(IF('עלויות כח אדם (6)'!J158&gt;=VLOOKUP(I158,'סיווג התפקידים והעלויות'!$B$23:$C$32,2,0),"תקין","לא תקין"),""))</f>
        <v/>
      </c>
      <c r="R158" s="199" t="str">
        <f t="shared" si="37"/>
        <v/>
      </c>
      <c r="S158" s="199" t="str">
        <f t="shared" si="38"/>
        <v/>
      </c>
      <c r="T158" s="199" t="str">
        <f t="shared" si="46"/>
        <v/>
      </c>
      <c r="U158" s="199" t="str">
        <f t="shared" si="39"/>
        <v/>
      </c>
      <c r="V158" s="989"/>
      <c r="X158" s="374" t="str">
        <f t="shared" si="40"/>
        <v/>
      </c>
      <c r="Y158" s="375" t="str">
        <f t="shared" si="41"/>
        <v/>
      </c>
      <c r="Z158" s="374" t="str">
        <f t="shared" si="42"/>
        <v/>
      </c>
      <c r="AA158" s="374" t="b">
        <f t="shared" si="43"/>
        <v>1</v>
      </c>
      <c r="AB158" s="374">
        <f>COUNTIFS(B:B,B158,H:H,'סיווג התפקידים והעלויות'!$C$2)</f>
        <v>0</v>
      </c>
      <c r="AC158" s="374">
        <f>COUNTIFS(B:B,B158,H:H,'סיווג התפקידים והעלויות'!$D$2)</f>
        <v>0</v>
      </c>
      <c r="AD158" s="374" t="str">
        <f>IF(OR(AND(H158='סיווג התפקידים והעלויות'!$A$2,I158='סיווג התפקידים והעלויות'!$A$3),'עלויות כח אדם (6)'!H158='סיווג התפקידים והעלויות'!$C$2,'עלויות כח אדם (6)'!H158='סיווג התפקידים והעלויות'!$D$2),IF('עלויות כח אדם (6)'!J158&lt;75,"לא תקין","תקין"),"")</f>
        <v/>
      </c>
      <c r="AE158" s="374" t="str">
        <f t="shared" si="44"/>
        <v/>
      </c>
      <c r="AF158" s="532" t="str">
        <f t="shared" si="45"/>
        <v/>
      </c>
    </row>
    <row r="159" spans="2:32" x14ac:dyDescent="0.25">
      <c r="B159" s="695"/>
      <c r="C159" s="197" t="str">
        <f>IF(B159&lt;&gt;"",IFERROR(VLOOKUP(B:B,'מצבת והרשמה (2)'!$C$20:$N$520,2,0)," ")," ")</f>
        <v xml:space="preserve"> </v>
      </c>
      <c r="D159" s="695"/>
      <c r="E159" s="696"/>
      <c r="F159" s="696"/>
      <c r="G159" s="696"/>
      <c r="H159" s="696"/>
      <c r="I159" s="1050" t="str">
        <f t="shared" si="32"/>
        <v/>
      </c>
      <c r="J159" s="696"/>
      <c r="K159" s="697"/>
      <c r="L159" s="696"/>
      <c r="M159" s="198" t="str">
        <f t="shared" si="33"/>
        <v/>
      </c>
      <c r="N159" s="369" t="str">
        <f t="shared" si="34"/>
        <v/>
      </c>
      <c r="O159" s="183" t="str">
        <f t="shared" si="35"/>
        <v/>
      </c>
      <c r="P159" s="199" t="str">
        <f t="shared" si="36"/>
        <v/>
      </c>
      <c r="Q159" s="199" t="str">
        <f>IF(B159="","",IFERROR(IF('עלויות כח אדם (6)'!J159&gt;=VLOOKUP(I159,'סיווג התפקידים והעלויות'!$B$23:$C$32,2,0),"תקין","לא תקין"),""))</f>
        <v/>
      </c>
      <c r="R159" s="199" t="str">
        <f t="shared" si="37"/>
        <v/>
      </c>
      <c r="S159" s="199" t="str">
        <f t="shared" si="38"/>
        <v/>
      </c>
      <c r="T159" s="199" t="str">
        <f t="shared" si="46"/>
        <v/>
      </c>
      <c r="U159" s="199" t="str">
        <f t="shared" si="39"/>
        <v/>
      </c>
      <c r="V159" s="989"/>
      <c r="X159" s="374" t="str">
        <f t="shared" si="40"/>
        <v/>
      </c>
      <c r="Y159" s="375" t="str">
        <f t="shared" si="41"/>
        <v/>
      </c>
      <c r="Z159" s="374" t="str">
        <f t="shared" si="42"/>
        <v/>
      </c>
      <c r="AA159" s="374" t="b">
        <f t="shared" si="43"/>
        <v>1</v>
      </c>
      <c r="AB159" s="374">
        <f>COUNTIFS(B:B,B159,H:H,'סיווג התפקידים והעלויות'!$C$2)</f>
        <v>0</v>
      </c>
      <c r="AC159" s="374">
        <f>COUNTIFS(B:B,B159,H:H,'סיווג התפקידים והעלויות'!$D$2)</f>
        <v>0</v>
      </c>
      <c r="AD159" s="374" t="str">
        <f>IF(OR(AND(H159='סיווג התפקידים והעלויות'!$A$2,I159='סיווג התפקידים והעלויות'!$A$3),'עלויות כח אדם (6)'!H159='סיווג התפקידים והעלויות'!$C$2,'עלויות כח אדם (6)'!H159='סיווג התפקידים והעלויות'!$D$2),IF('עלויות כח אדם (6)'!J159&lt;75,"לא תקין","תקין"),"")</f>
        <v/>
      </c>
      <c r="AE159" s="374" t="str">
        <f t="shared" si="44"/>
        <v/>
      </c>
      <c r="AF159" s="532" t="str">
        <f t="shared" si="45"/>
        <v/>
      </c>
    </row>
    <row r="160" spans="2:32" x14ac:dyDescent="0.25">
      <c r="B160" s="695"/>
      <c r="C160" s="197" t="str">
        <f>IF(B160&lt;&gt;"",IFERROR(VLOOKUP(B:B,'מצבת והרשמה (2)'!$C$20:$N$520,2,0)," ")," ")</f>
        <v xml:space="preserve"> </v>
      </c>
      <c r="D160" s="695"/>
      <c r="E160" s="696"/>
      <c r="F160" s="696"/>
      <c r="G160" s="696"/>
      <c r="H160" s="696"/>
      <c r="I160" s="1050" t="str">
        <f t="shared" si="32"/>
        <v/>
      </c>
      <c r="J160" s="696"/>
      <c r="K160" s="697"/>
      <c r="L160" s="696"/>
      <c r="M160" s="198" t="str">
        <f t="shared" si="33"/>
        <v/>
      </c>
      <c r="N160" s="369" t="str">
        <f t="shared" si="34"/>
        <v/>
      </c>
      <c r="O160" s="183" t="str">
        <f t="shared" si="35"/>
        <v/>
      </c>
      <c r="P160" s="199" t="str">
        <f t="shared" si="36"/>
        <v/>
      </c>
      <c r="Q160" s="199" t="str">
        <f>IF(B160="","",IFERROR(IF('עלויות כח אדם (6)'!J160&gt;=VLOOKUP(I160,'סיווג התפקידים והעלויות'!$B$23:$C$32,2,0),"תקין","לא תקין"),""))</f>
        <v/>
      </c>
      <c r="R160" s="199" t="str">
        <f t="shared" si="37"/>
        <v/>
      </c>
      <c r="S160" s="199" t="str">
        <f t="shared" si="38"/>
        <v/>
      </c>
      <c r="T160" s="199" t="str">
        <f t="shared" si="46"/>
        <v/>
      </c>
      <c r="U160" s="199" t="str">
        <f t="shared" si="39"/>
        <v/>
      </c>
      <c r="V160" s="989"/>
      <c r="X160" s="374" t="str">
        <f t="shared" si="40"/>
        <v/>
      </c>
      <c r="Y160" s="375" t="str">
        <f t="shared" si="41"/>
        <v/>
      </c>
      <c r="Z160" s="374" t="str">
        <f t="shared" si="42"/>
        <v/>
      </c>
      <c r="AA160" s="374" t="b">
        <f t="shared" si="43"/>
        <v>1</v>
      </c>
      <c r="AB160" s="374">
        <f>COUNTIFS(B:B,B160,H:H,'סיווג התפקידים והעלויות'!$C$2)</f>
        <v>0</v>
      </c>
      <c r="AC160" s="374">
        <f>COUNTIFS(B:B,B160,H:H,'סיווג התפקידים והעלויות'!$D$2)</f>
        <v>0</v>
      </c>
      <c r="AD160" s="374" t="str">
        <f>IF(OR(AND(H160='סיווג התפקידים והעלויות'!$A$2,I160='סיווג התפקידים והעלויות'!$A$3),'עלויות כח אדם (6)'!H160='סיווג התפקידים והעלויות'!$C$2,'עלויות כח אדם (6)'!H160='סיווג התפקידים והעלויות'!$D$2),IF('עלויות כח אדם (6)'!J160&lt;75,"לא תקין","תקין"),"")</f>
        <v/>
      </c>
      <c r="AE160" s="374" t="str">
        <f t="shared" si="44"/>
        <v/>
      </c>
      <c r="AF160" s="532" t="str">
        <f t="shared" si="45"/>
        <v/>
      </c>
    </row>
    <row r="161" spans="2:32" x14ac:dyDescent="0.25">
      <c r="B161" s="695"/>
      <c r="C161" s="197" t="str">
        <f>IF(B161&lt;&gt;"",IFERROR(VLOOKUP(B:B,'מצבת והרשמה (2)'!$C$20:$N$520,2,0)," ")," ")</f>
        <v xml:space="preserve"> </v>
      </c>
      <c r="D161" s="695"/>
      <c r="E161" s="696"/>
      <c r="F161" s="696"/>
      <c r="G161" s="696"/>
      <c r="H161" s="696"/>
      <c r="I161" s="1050" t="str">
        <f t="shared" si="32"/>
        <v/>
      </c>
      <c r="J161" s="696"/>
      <c r="K161" s="697"/>
      <c r="L161" s="696"/>
      <c r="M161" s="198" t="str">
        <f t="shared" si="33"/>
        <v/>
      </c>
      <c r="N161" s="369" t="str">
        <f t="shared" si="34"/>
        <v/>
      </c>
      <c r="O161" s="183" t="str">
        <f t="shared" si="35"/>
        <v/>
      </c>
      <c r="P161" s="199" t="str">
        <f t="shared" si="36"/>
        <v/>
      </c>
      <c r="Q161" s="199" t="str">
        <f>IF(B161="","",IFERROR(IF('עלויות כח אדם (6)'!J161&gt;=VLOOKUP(I161,'סיווג התפקידים והעלויות'!$B$23:$C$32,2,0),"תקין","לא תקין"),""))</f>
        <v/>
      </c>
      <c r="R161" s="199" t="str">
        <f t="shared" si="37"/>
        <v/>
      </c>
      <c r="S161" s="199" t="str">
        <f t="shared" si="38"/>
        <v/>
      </c>
      <c r="T161" s="199" t="str">
        <f t="shared" si="46"/>
        <v/>
      </c>
      <c r="U161" s="199" t="str">
        <f t="shared" si="39"/>
        <v/>
      </c>
      <c r="V161" s="989"/>
      <c r="X161" s="374" t="str">
        <f t="shared" si="40"/>
        <v/>
      </c>
      <c r="Y161" s="375" t="str">
        <f t="shared" si="41"/>
        <v/>
      </c>
      <c r="Z161" s="374" t="str">
        <f t="shared" si="42"/>
        <v/>
      </c>
      <c r="AA161" s="374" t="b">
        <f t="shared" si="43"/>
        <v>1</v>
      </c>
      <c r="AB161" s="374">
        <f>COUNTIFS(B:B,B161,H:H,'סיווג התפקידים והעלויות'!$C$2)</f>
        <v>0</v>
      </c>
      <c r="AC161" s="374">
        <f>COUNTIFS(B:B,B161,H:H,'סיווג התפקידים והעלויות'!$D$2)</f>
        <v>0</v>
      </c>
      <c r="AD161" s="374" t="str">
        <f>IF(OR(AND(H161='סיווג התפקידים והעלויות'!$A$2,I161='סיווג התפקידים והעלויות'!$A$3),'עלויות כח אדם (6)'!H161='סיווג התפקידים והעלויות'!$C$2,'עלויות כח אדם (6)'!H161='סיווג התפקידים והעלויות'!$D$2),IF('עלויות כח אדם (6)'!J161&lt;75,"לא תקין","תקין"),"")</f>
        <v/>
      </c>
      <c r="AE161" s="374" t="str">
        <f t="shared" si="44"/>
        <v/>
      </c>
      <c r="AF161" s="532" t="str">
        <f t="shared" si="45"/>
        <v/>
      </c>
    </row>
    <row r="162" spans="2:32" x14ac:dyDescent="0.25">
      <c r="B162" s="695"/>
      <c r="C162" s="197" t="str">
        <f>IF(B162&lt;&gt;"",IFERROR(VLOOKUP(B:B,'מצבת והרשמה (2)'!$C$20:$N$520,2,0)," ")," ")</f>
        <v xml:space="preserve"> </v>
      </c>
      <c r="D162" s="695"/>
      <c r="E162" s="696"/>
      <c r="F162" s="696"/>
      <c r="G162" s="696"/>
      <c r="H162" s="696"/>
      <c r="I162" s="1050" t="str">
        <f t="shared" si="32"/>
        <v/>
      </c>
      <c r="J162" s="696"/>
      <c r="K162" s="697"/>
      <c r="L162" s="696"/>
      <c r="M162" s="198" t="str">
        <f t="shared" si="33"/>
        <v/>
      </c>
      <c r="N162" s="369" t="str">
        <f t="shared" si="34"/>
        <v/>
      </c>
      <c r="O162" s="183" t="str">
        <f t="shared" si="35"/>
        <v/>
      </c>
      <c r="P162" s="199" t="str">
        <f t="shared" si="36"/>
        <v/>
      </c>
      <c r="Q162" s="199" t="str">
        <f>IF(B162="","",IFERROR(IF('עלויות כח אדם (6)'!J162&gt;=VLOOKUP(I162,'סיווג התפקידים והעלויות'!$B$23:$C$32,2,0),"תקין","לא תקין"),""))</f>
        <v/>
      </c>
      <c r="R162" s="199" t="str">
        <f t="shared" si="37"/>
        <v/>
      </c>
      <c r="S162" s="199" t="str">
        <f t="shared" si="38"/>
        <v/>
      </c>
      <c r="T162" s="199" t="str">
        <f t="shared" si="46"/>
        <v/>
      </c>
      <c r="U162" s="199" t="str">
        <f t="shared" si="39"/>
        <v/>
      </c>
      <c r="V162" s="989"/>
      <c r="X162" s="374" t="str">
        <f t="shared" si="40"/>
        <v/>
      </c>
      <c r="Y162" s="375" t="str">
        <f t="shared" si="41"/>
        <v/>
      </c>
      <c r="Z162" s="374" t="str">
        <f t="shared" si="42"/>
        <v/>
      </c>
      <c r="AA162" s="374" t="b">
        <f t="shared" si="43"/>
        <v>1</v>
      </c>
      <c r="AB162" s="374">
        <f>COUNTIFS(B:B,B162,H:H,'סיווג התפקידים והעלויות'!$C$2)</f>
        <v>0</v>
      </c>
      <c r="AC162" s="374">
        <f>COUNTIFS(B:B,B162,H:H,'סיווג התפקידים והעלויות'!$D$2)</f>
        <v>0</v>
      </c>
      <c r="AD162" s="374" t="str">
        <f>IF(OR(AND(H162='סיווג התפקידים והעלויות'!$A$2,I162='סיווג התפקידים והעלויות'!$A$3),'עלויות כח אדם (6)'!H162='סיווג התפקידים והעלויות'!$C$2,'עלויות כח אדם (6)'!H162='סיווג התפקידים והעלויות'!$D$2),IF('עלויות כח אדם (6)'!J162&lt;75,"לא תקין","תקין"),"")</f>
        <v/>
      </c>
      <c r="AE162" s="374" t="str">
        <f t="shared" si="44"/>
        <v/>
      </c>
      <c r="AF162" s="532" t="str">
        <f t="shared" si="45"/>
        <v/>
      </c>
    </row>
    <row r="163" spans="2:32" x14ac:dyDescent="0.25">
      <c r="B163" s="695"/>
      <c r="C163" s="197" t="str">
        <f>IF(B163&lt;&gt;"",IFERROR(VLOOKUP(B:B,'מצבת והרשמה (2)'!$C$20:$N$520,2,0)," ")," ")</f>
        <v xml:space="preserve"> </v>
      </c>
      <c r="D163" s="695"/>
      <c r="E163" s="696"/>
      <c r="F163" s="696"/>
      <c r="G163" s="696"/>
      <c r="H163" s="696"/>
      <c r="I163" s="1050" t="str">
        <f t="shared" si="32"/>
        <v/>
      </c>
      <c r="J163" s="696"/>
      <c r="K163" s="697"/>
      <c r="L163" s="696"/>
      <c r="M163" s="198" t="str">
        <f t="shared" si="33"/>
        <v/>
      </c>
      <c r="N163" s="369" t="str">
        <f t="shared" si="34"/>
        <v/>
      </c>
      <c r="O163" s="183" t="str">
        <f t="shared" si="35"/>
        <v/>
      </c>
      <c r="P163" s="199" t="str">
        <f t="shared" si="36"/>
        <v/>
      </c>
      <c r="Q163" s="199" t="str">
        <f>IF(B163="","",IFERROR(IF('עלויות כח אדם (6)'!J163&gt;=VLOOKUP(I163,'סיווג התפקידים והעלויות'!$B$23:$C$32,2,0),"תקין","לא תקין"),""))</f>
        <v/>
      </c>
      <c r="R163" s="199" t="str">
        <f t="shared" si="37"/>
        <v/>
      </c>
      <c r="S163" s="199" t="str">
        <f t="shared" si="38"/>
        <v/>
      </c>
      <c r="T163" s="199" t="str">
        <f t="shared" si="46"/>
        <v/>
      </c>
      <c r="U163" s="199" t="str">
        <f t="shared" si="39"/>
        <v/>
      </c>
      <c r="V163" s="989"/>
      <c r="X163" s="374" t="str">
        <f t="shared" si="40"/>
        <v/>
      </c>
      <c r="Y163" s="375" t="str">
        <f t="shared" si="41"/>
        <v/>
      </c>
      <c r="Z163" s="374" t="str">
        <f t="shared" si="42"/>
        <v/>
      </c>
      <c r="AA163" s="374" t="b">
        <f t="shared" si="43"/>
        <v>1</v>
      </c>
      <c r="AB163" s="374">
        <f>COUNTIFS(B:B,B163,H:H,'סיווג התפקידים והעלויות'!$C$2)</f>
        <v>0</v>
      </c>
      <c r="AC163" s="374">
        <f>COUNTIFS(B:B,B163,H:H,'סיווג התפקידים והעלויות'!$D$2)</f>
        <v>0</v>
      </c>
      <c r="AD163" s="374" t="str">
        <f>IF(OR(AND(H163='סיווג התפקידים והעלויות'!$A$2,I163='סיווג התפקידים והעלויות'!$A$3),'עלויות כח אדם (6)'!H163='סיווג התפקידים והעלויות'!$C$2,'עלויות כח אדם (6)'!H163='סיווג התפקידים והעלויות'!$D$2),IF('עלויות כח אדם (6)'!J163&lt;75,"לא תקין","תקין"),"")</f>
        <v/>
      </c>
      <c r="AE163" s="374" t="str">
        <f t="shared" si="44"/>
        <v/>
      </c>
      <c r="AF163" s="532" t="str">
        <f t="shared" si="45"/>
        <v/>
      </c>
    </row>
    <row r="164" spans="2:32" x14ac:dyDescent="0.25">
      <c r="B164" s="695"/>
      <c r="C164" s="197" t="str">
        <f>IF(B164&lt;&gt;"",IFERROR(VLOOKUP(B:B,'מצבת והרשמה (2)'!$C$20:$N$520,2,0)," ")," ")</f>
        <v xml:space="preserve"> </v>
      </c>
      <c r="D164" s="695"/>
      <c r="E164" s="696"/>
      <c r="F164" s="696"/>
      <c r="G164" s="696"/>
      <c r="H164" s="696"/>
      <c r="I164" s="1050" t="str">
        <f t="shared" si="32"/>
        <v/>
      </c>
      <c r="J164" s="696"/>
      <c r="K164" s="697"/>
      <c r="L164" s="696"/>
      <c r="M164" s="198" t="str">
        <f t="shared" si="33"/>
        <v/>
      </c>
      <c r="N164" s="369" t="str">
        <f t="shared" si="34"/>
        <v/>
      </c>
      <c r="O164" s="183" t="str">
        <f t="shared" si="35"/>
        <v/>
      </c>
      <c r="P164" s="199" t="str">
        <f t="shared" si="36"/>
        <v/>
      </c>
      <c r="Q164" s="199" t="str">
        <f>IF(B164="","",IFERROR(IF('עלויות כח אדם (6)'!J164&gt;=VLOOKUP(I164,'סיווג התפקידים והעלויות'!$B$23:$C$32,2,0),"תקין","לא תקין"),""))</f>
        <v/>
      </c>
      <c r="R164" s="199" t="str">
        <f t="shared" si="37"/>
        <v/>
      </c>
      <c r="S164" s="199" t="str">
        <f t="shared" si="38"/>
        <v/>
      </c>
      <c r="T164" s="199" t="str">
        <f t="shared" si="46"/>
        <v/>
      </c>
      <c r="U164" s="199" t="str">
        <f t="shared" si="39"/>
        <v/>
      </c>
      <c r="V164" s="989"/>
      <c r="X164" s="374" t="str">
        <f t="shared" si="40"/>
        <v/>
      </c>
      <c r="Y164" s="375" t="str">
        <f t="shared" si="41"/>
        <v/>
      </c>
      <c r="Z164" s="374" t="str">
        <f t="shared" si="42"/>
        <v/>
      </c>
      <c r="AA164" s="374" t="b">
        <f t="shared" si="43"/>
        <v>1</v>
      </c>
      <c r="AB164" s="374">
        <f>COUNTIFS(B:B,B164,H:H,'סיווג התפקידים והעלויות'!$C$2)</f>
        <v>0</v>
      </c>
      <c r="AC164" s="374">
        <f>COUNTIFS(B:B,B164,H:H,'סיווג התפקידים והעלויות'!$D$2)</f>
        <v>0</v>
      </c>
      <c r="AD164" s="374" t="str">
        <f>IF(OR(AND(H164='סיווג התפקידים והעלויות'!$A$2,I164='סיווג התפקידים והעלויות'!$A$3),'עלויות כח אדם (6)'!H164='סיווג התפקידים והעלויות'!$C$2,'עלויות כח אדם (6)'!H164='סיווג התפקידים והעלויות'!$D$2),IF('עלויות כח אדם (6)'!J164&lt;75,"לא תקין","תקין"),"")</f>
        <v/>
      </c>
      <c r="AE164" s="374" t="str">
        <f t="shared" si="44"/>
        <v/>
      </c>
      <c r="AF164" s="532" t="str">
        <f t="shared" si="45"/>
        <v/>
      </c>
    </row>
    <row r="165" spans="2:32" x14ac:dyDescent="0.25">
      <c r="B165" s="695"/>
      <c r="C165" s="197" t="str">
        <f>IF(B165&lt;&gt;"",IFERROR(VLOOKUP(B:B,'מצבת והרשמה (2)'!$C$20:$N$520,2,0)," ")," ")</f>
        <v xml:space="preserve"> </v>
      </c>
      <c r="D165" s="695"/>
      <c r="E165" s="696"/>
      <c r="F165" s="696"/>
      <c r="G165" s="696"/>
      <c r="H165" s="696"/>
      <c r="I165" s="1050" t="str">
        <f t="shared" si="32"/>
        <v/>
      </c>
      <c r="J165" s="696"/>
      <c r="K165" s="697"/>
      <c r="L165" s="696"/>
      <c r="M165" s="198" t="str">
        <f t="shared" si="33"/>
        <v/>
      </c>
      <c r="N165" s="369" t="str">
        <f t="shared" si="34"/>
        <v/>
      </c>
      <c r="O165" s="183" t="str">
        <f t="shared" si="35"/>
        <v/>
      </c>
      <c r="P165" s="199" t="str">
        <f t="shared" si="36"/>
        <v/>
      </c>
      <c r="Q165" s="199" t="str">
        <f>IF(B165="","",IFERROR(IF('עלויות כח אדם (6)'!J165&gt;=VLOOKUP(I165,'סיווג התפקידים והעלויות'!$B$23:$C$32,2,0),"תקין","לא תקין"),""))</f>
        <v/>
      </c>
      <c r="R165" s="199" t="str">
        <f t="shared" si="37"/>
        <v/>
      </c>
      <c r="S165" s="199" t="str">
        <f t="shared" si="38"/>
        <v/>
      </c>
      <c r="T165" s="199" t="str">
        <f t="shared" si="46"/>
        <v/>
      </c>
      <c r="U165" s="199" t="str">
        <f t="shared" si="39"/>
        <v/>
      </c>
      <c r="V165" s="989"/>
      <c r="X165" s="374" t="str">
        <f t="shared" si="40"/>
        <v/>
      </c>
      <c r="Y165" s="375" t="str">
        <f t="shared" si="41"/>
        <v/>
      </c>
      <c r="Z165" s="374" t="str">
        <f t="shared" si="42"/>
        <v/>
      </c>
      <c r="AA165" s="374" t="b">
        <f t="shared" si="43"/>
        <v>1</v>
      </c>
      <c r="AB165" s="374">
        <f>COUNTIFS(B:B,B165,H:H,'סיווג התפקידים והעלויות'!$C$2)</f>
        <v>0</v>
      </c>
      <c r="AC165" s="374">
        <f>COUNTIFS(B:B,B165,H:H,'סיווג התפקידים והעלויות'!$D$2)</f>
        <v>0</v>
      </c>
      <c r="AD165" s="374" t="str">
        <f>IF(OR(AND(H165='סיווג התפקידים והעלויות'!$A$2,I165='סיווג התפקידים והעלויות'!$A$3),'עלויות כח אדם (6)'!H165='סיווג התפקידים והעלויות'!$C$2,'עלויות כח אדם (6)'!H165='סיווג התפקידים והעלויות'!$D$2),IF('עלויות כח אדם (6)'!J165&lt;75,"לא תקין","תקין"),"")</f>
        <v/>
      </c>
      <c r="AE165" s="374" t="str">
        <f t="shared" si="44"/>
        <v/>
      </c>
      <c r="AF165" s="532" t="str">
        <f t="shared" si="45"/>
        <v/>
      </c>
    </row>
    <row r="166" spans="2:32" x14ac:dyDescent="0.25">
      <c r="B166" s="695"/>
      <c r="C166" s="197" t="str">
        <f>IF(B166&lt;&gt;"",IFERROR(VLOOKUP(B:B,'מצבת והרשמה (2)'!$C$20:$N$520,2,0)," ")," ")</f>
        <v xml:space="preserve"> </v>
      </c>
      <c r="D166" s="695"/>
      <c r="E166" s="696"/>
      <c r="F166" s="696"/>
      <c r="G166" s="696"/>
      <c r="H166" s="696"/>
      <c r="I166" s="1050" t="str">
        <f t="shared" si="32"/>
        <v/>
      </c>
      <c r="J166" s="696"/>
      <c r="K166" s="697"/>
      <c r="L166" s="696"/>
      <c r="M166" s="198" t="str">
        <f t="shared" si="33"/>
        <v/>
      </c>
      <c r="N166" s="369" t="str">
        <f t="shared" si="34"/>
        <v/>
      </c>
      <c r="O166" s="183" t="str">
        <f t="shared" si="35"/>
        <v/>
      </c>
      <c r="P166" s="199" t="str">
        <f t="shared" si="36"/>
        <v/>
      </c>
      <c r="Q166" s="199" t="str">
        <f>IF(B166="","",IFERROR(IF('עלויות כח אדם (6)'!J166&gt;=VLOOKUP(I166,'סיווג התפקידים והעלויות'!$B$23:$C$32,2,0),"תקין","לא תקין"),""))</f>
        <v/>
      </c>
      <c r="R166" s="199" t="str">
        <f t="shared" si="37"/>
        <v/>
      </c>
      <c r="S166" s="199" t="str">
        <f t="shared" si="38"/>
        <v/>
      </c>
      <c r="T166" s="199" t="str">
        <f t="shared" si="46"/>
        <v/>
      </c>
      <c r="U166" s="199" t="str">
        <f t="shared" si="39"/>
        <v/>
      </c>
      <c r="V166" s="989"/>
      <c r="X166" s="374" t="str">
        <f t="shared" si="40"/>
        <v/>
      </c>
      <c r="Y166" s="375" t="str">
        <f t="shared" si="41"/>
        <v/>
      </c>
      <c r="Z166" s="374" t="str">
        <f t="shared" si="42"/>
        <v/>
      </c>
      <c r="AA166" s="374" t="b">
        <f t="shared" si="43"/>
        <v>1</v>
      </c>
      <c r="AB166" s="374">
        <f>COUNTIFS(B:B,B166,H:H,'סיווג התפקידים והעלויות'!$C$2)</f>
        <v>0</v>
      </c>
      <c r="AC166" s="374">
        <f>COUNTIFS(B:B,B166,H:H,'סיווג התפקידים והעלויות'!$D$2)</f>
        <v>0</v>
      </c>
      <c r="AD166" s="374" t="str">
        <f>IF(OR(AND(H166='סיווג התפקידים והעלויות'!$A$2,I166='סיווג התפקידים והעלויות'!$A$3),'עלויות כח אדם (6)'!H166='סיווג התפקידים והעלויות'!$C$2,'עלויות כח אדם (6)'!H166='סיווג התפקידים והעלויות'!$D$2),IF('עלויות כח אדם (6)'!J166&lt;75,"לא תקין","תקין"),"")</f>
        <v/>
      </c>
      <c r="AE166" s="374" t="str">
        <f t="shared" si="44"/>
        <v/>
      </c>
      <c r="AF166" s="532" t="str">
        <f t="shared" si="45"/>
        <v/>
      </c>
    </row>
    <row r="167" spans="2:32" x14ac:dyDescent="0.25">
      <c r="B167" s="695"/>
      <c r="C167" s="197" t="str">
        <f>IF(B167&lt;&gt;"",IFERROR(VLOOKUP(B:B,'מצבת והרשמה (2)'!$C$20:$N$520,2,0)," ")," ")</f>
        <v xml:space="preserve"> </v>
      </c>
      <c r="D167" s="695"/>
      <c r="E167" s="696"/>
      <c r="F167" s="696"/>
      <c r="G167" s="696"/>
      <c r="H167" s="696"/>
      <c r="I167" s="1050" t="str">
        <f t="shared" si="32"/>
        <v/>
      </c>
      <c r="J167" s="696"/>
      <c r="K167" s="697"/>
      <c r="L167" s="696"/>
      <c r="M167" s="198" t="str">
        <f t="shared" si="33"/>
        <v/>
      </c>
      <c r="N167" s="369" t="str">
        <f t="shared" si="34"/>
        <v/>
      </c>
      <c r="O167" s="183" t="str">
        <f t="shared" si="35"/>
        <v/>
      </c>
      <c r="P167" s="199" t="str">
        <f t="shared" si="36"/>
        <v/>
      </c>
      <c r="Q167" s="199" t="str">
        <f>IF(B167="","",IFERROR(IF('עלויות כח אדם (6)'!J167&gt;=VLOOKUP(I167,'סיווג התפקידים והעלויות'!$B$23:$C$32,2,0),"תקין","לא תקין"),""))</f>
        <v/>
      </c>
      <c r="R167" s="199" t="str">
        <f t="shared" si="37"/>
        <v/>
      </c>
      <c r="S167" s="199" t="str">
        <f t="shared" si="38"/>
        <v/>
      </c>
      <c r="T167" s="199" t="str">
        <f t="shared" si="46"/>
        <v/>
      </c>
      <c r="U167" s="199" t="str">
        <f t="shared" si="39"/>
        <v/>
      </c>
      <c r="V167" s="989"/>
      <c r="X167" s="374" t="str">
        <f t="shared" si="40"/>
        <v/>
      </c>
      <c r="Y167" s="375" t="str">
        <f t="shared" si="41"/>
        <v/>
      </c>
      <c r="Z167" s="374" t="str">
        <f t="shared" si="42"/>
        <v/>
      </c>
      <c r="AA167" s="374" t="b">
        <f t="shared" si="43"/>
        <v>1</v>
      </c>
      <c r="AB167" s="374">
        <f>COUNTIFS(B:B,B167,H:H,'סיווג התפקידים והעלויות'!$C$2)</f>
        <v>0</v>
      </c>
      <c r="AC167" s="374">
        <f>COUNTIFS(B:B,B167,H:H,'סיווג התפקידים והעלויות'!$D$2)</f>
        <v>0</v>
      </c>
      <c r="AD167" s="374" t="str">
        <f>IF(OR(AND(H167='סיווג התפקידים והעלויות'!$A$2,I167='סיווג התפקידים והעלויות'!$A$3),'עלויות כח אדם (6)'!H167='סיווג התפקידים והעלויות'!$C$2,'עלויות כח אדם (6)'!H167='סיווג התפקידים והעלויות'!$D$2),IF('עלויות כח אדם (6)'!J167&lt;75,"לא תקין","תקין"),"")</f>
        <v/>
      </c>
      <c r="AE167" s="374" t="str">
        <f t="shared" si="44"/>
        <v/>
      </c>
      <c r="AF167" s="532" t="str">
        <f t="shared" si="45"/>
        <v/>
      </c>
    </row>
    <row r="168" spans="2:32" x14ac:dyDescent="0.25">
      <c r="B168" s="695"/>
      <c r="C168" s="197" t="str">
        <f>IF(B168&lt;&gt;"",IFERROR(VLOOKUP(B:B,'מצבת והרשמה (2)'!$C$20:$N$520,2,0)," ")," ")</f>
        <v xml:space="preserve"> </v>
      </c>
      <c r="D168" s="695"/>
      <c r="E168" s="696"/>
      <c r="F168" s="696"/>
      <c r="G168" s="696"/>
      <c r="H168" s="696"/>
      <c r="I168" s="1050" t="str">
        <f t="shared" si="32"/>
        <v/>
      </c>
      <c r="J168" s="696"/>
      <c r="K168" s="697"/>
      <c r="L168" s="696"/>
      <c r="M168" s="198" t="str">
        <f t="shared" si="33"/>
        <v/>
      </c>
      <c r="N168" s="369" t="str">
        <f t="shared" si="34"/>
        <v/>
      </c>
      <c r="O168" s="183" t="str">
        <f t="shared" si="35"/>
        <v/>
      </c>
      <c r="P168" s="199" t="str">
        <f t="shared" si="36"/>
        <v/>
      </c>
      <c r="Q168" s="199" t="str">
        <f>IF(B168="","",IFERROR(IF('עלויות כח אדם (6)'!J168&gt;=VLOOKUP(I168,'סיווג התפקידים והעלויות'!$B$23:$C$32,2,0),"תקין","לא תקין"),""))</f>
        <v/>
      </c>
      <c r="R168" s="199" t="str">
        <f t="shared" si="37"/>
        <v/>
      </c>
      <c r="S168" s="199" t="str">
        <f t="shared" si="38"/>
        <v/>
      </c>
      <c r="T168" s="199" t="str">
        <f t="shared" si="46"/>
        <v/>
      </c>
      <c r="U168" s="199" t="str">
        <f t="shared" si="39"/>
        <v/>
      </c>
      <c r="V168" s="989"/>
      <c r="X168" s="374" t="str">
        <f t="shared" si="40"/>
        <v/>
      </c>
      <c r="Y168" s="375" t="str">
        <f t="shared" si="41"/>
        <v/>
      </c>
      <c r="Z168" s="374" t="str">
        <f t="shared" si="42"/>
        <v/>
      </c>
      <c r="AA168" s="374" t="b">
        <f t="shared" si="43"/>
        <v>1</v>
      </c>
      <c r="AB168" s="374">
        <f>COUNTIFS(B:B,B168,H:H,'סיווג התפקידים והעלויות'!$C$2)</f>
        <v>0</v>
      </c>
      <c r="AC168" s="374">
        <f>COUNTIFS(B:B,B168,H:H,'סיווג התפקידים והעלויות'!$D$2)</f>
        <v>0</v>
      </c>
      <c r="AD168" s="374" t="str">
        <f>IF(OR(AND(H168='סיווג התפקידים והעלויות'!$A$2,I168='סיווג התפקידים והעלויות'!$A$3),'עלויות כח אדם (6)'!H168='סיווג התפקידים והעלויות'!$C$2,'עלויות כח אדם (6)'!H168='סיווג התפקידים והעלויות'!$D$2),IF('עלויות כח אדם (6)'!J168&lt;75,"לא תקין","תקין"),"")</f>
        <v/>
      </c>
      <c r="AE168" s="374" t="str">
        <f t="shared" si="44"/>
        <v/>
      </c>
      <c r="AF168" s="532" t="str">
        <f t="shared" si="45"/>
        <v/>
      </c>
    </row>
    <row r="169" spans="2:32" x14ac:dyDescent="0.25">
      <c r="B169" s="695"/>
      <c r="C169" s="197" t="str">
        <f>IF(B169&lt;&gt;"",IFERROR(VLOOKUP(B:B,'מצבת והרשמה (2)'!$C$20:$N$520,2,0)," ")," ")</f>
        <v xml:space="preserve"> </v>
      </c>
      <c r="D169" s="695"/>
      <c r="E169" s="696"/>
      <c r="F169" s="696"/>
      <c r="G169" s="696"/>
      <c r="H169" s="696"/>
      <c r="I169" s="1050" t="str">
        <f t="shared" si="32"/>
        <v/>
      </c>
      <c r="J169" s="696"/>
      <c r="K169" s="697"/>
      <c r="L169" s="696"/>
      <c r="M169" s="198" t="str">
        <f t="shared" si="33"/>
        <v/>
      </c>
      <c r="N169" s="369" t="str">
        <f t="shared" si="34"/>
        <v/>
      </c>
      <c r="O169" s="183" t="str">
        <f t="shared" si="35"/>
        <v/>
      </c>
      <c r="P169" s="199" t="str">
        <f t="shared" si="36"/>
        <v/>
      </c>
      <c r="Q169" s="199" t="str">
        <f>IF(B169="","",IFERROR(IF('עלויות כח אדם (6)'!J169&gt;=VLOOKUP(I169,'סיווג התפקידים והעלויות'!$B$23:$C$32,2,0),"תקין","לא תקין"),""))</f>
        <v/>
      </c>
      <c r="R169" s="199" t="str">
        <f t="shared" si="37"/>
        <v/>
      </c>
      <c r="S169" s="199" t="str">
        <f t="shared" si="38"/>
        <v/>
      </c>
      <c r="T169" s="199" t="str">
        <f t="shared" si="46"/>
        <v/>
      </c>
      <c r="U169" s="199" t="str">
        <f t="shared" si="39"/>
        <v/>
      </c>
      <c r="V169" s="989"/>
      <c r="X169" s="374" t="str">
        <f t="shared" si="40"/>
        <v/>
      </c>
      <c r="Y169" s="375" t="str">
        <f t="shared" si="41"/>
        <v/>
      </c>
      <c r="Z169" s="374" t="str">
        <f t="shared" si="42"/>
        <v/>
      </c>
      <c r="AA169" s="374" t="b">
        <f t="shared" si="43"/>
        <v>1</v>
      </c>
      <c r="AB169" s="374">
        <f>COUNTIFS(B:B,B169,H:H,'סיווג התפקידים והעלויות'!$C$2)</f>
        <v>0</v>
      </c>
      <c r="AC169" s="374">
        <f>COUNTIFS(B:B,B169,H:H,'סיווג התפקידים והעלויות'!$D$2)</f>
        <v>0</v>
      </c>
      <c r="AD169" s="374" t="str">
        <f>IF(OR(AND(H169='סיווג התפקידים והעלויות'!$A$2,I169='סיווג התפקידים והעלויות'!$A$3),'עלויות כח אדם (6)'!H169='סיווג התפקידים והעלויות'!$C$2,'עלויות כח אדם (6)'!H169='סיווג התפקידים והעלויות'!$D$2),IF('עלויות כח אדם (6)'!J169&lt;75,"לא תקין","תקין"),"")</f>
        <v/>
      </c>
      <c r="AE169" s="374" t="str">
        <f t="shared" si="44"/>
        <v/>
      </c>
      <c r="AF169" s="532" t="str">
        <f t="shared" si="45"/>
        <v/>
      </c>
    </row>
    <row r="170" spans="2:32" x14ac:dyDescent="0.25">
      <c r="B170" s="695"/>
      <c r="C170" s="197" t="str">
        <f>IF(B170&lt;&gt;"",IFERROR(VLOOKUP(B:B,'מצבת והרשמה (2)'!$C$20:$N$520,2,0)," ")," ")</f>
        <v xml:space="preserve"> </v>
      </c>
      <c r="D170" s="695"/>
      <c r="E170" s="696"/>
      <c r="F170" s="696"/>
      <c r="G170" s="696"/>
      <c r="H170" s="696"/>
      <c r="I170" s="1050" t="str">
        <f t="shared" si="32"/>
        <v/>
      </c>
      <c r="J170" s="696"/>
      <c r="K170" s="697"/>
      <c r="L170" s="696"/>
      <c r="M170" s="198" t="str">
        <f t="shared" si="33"/>
        <v/>
      </c>
      <c r="N170" s="369" t="str">
        <f t="shared" si="34"/>
        <v/>
      </c>
      <c r="O170" s="183" t="str">
        <f t="shared" si="35"/>
        <v/>
      </c>
      <c r="P170" s="199" t="str">
        <f t="shared" si="36"/>
        <v/>
      </c>
      <c r="Q170" s="199" t="str">
        <f>IF(B170="","",IFERROR(IF('עלויות כח אדם (6)'!J170&gt;=VLOOKUP(I170,'סיווג התפקידים והעלויות'!$B$23:$C$32,2,0),"תקין","לא תקין"),""))</f>
        <v/>
      </c>
      <c r="R170" s="199" t="str">
        <f t="shared" si="37"/>
        <v/>
      </c>
      <c r="S170" s="199" t="str">
        <f t="shared" si="38"/>
        <v/>
      </c>
      <c r="T170" s="199" t="str">
        <f t="shared" si="46"/>
        <v/>
      </c>
      <c r="U170" s="199" t="str">
        <f t="shared" si="39"/>
        <v/>
      </c>
      <c r="V170" s="989"/>
      <c r="X170" s="374" t="str">
        <f t="shared" si="40"/>
        <v/>
      </c>
      <c r="Y170" s="375" t="str">
        <f t="shared" si="41"/>
        <v/>
      </c>
      <c r="Z170" s="374" t="str">
        <f t="shared" si="42"/>
        <v/>
      </c>
      <c r="AA170" s="374" t="b">
        <f t="shared" si="43"/>
        <v>1</v>
      </c>
      <c r="AB170" s="374">
        <f>COUNTIFS(B:B,B170,H:H,'סיווג התפקידים והעלויות'!$C$2)</f>
        <v>0</v>
      </c>
      <c r="AC170" s="374">
        <f>COUNTIFS(B:B,B170,H:H,'סיווג התפקידים והעלויות'!$D$2)</f>
        <v>0</v>
      </c>
      <c r="AD170" s="374" t="str">
        <f>IF(OR(AND(H170='סיווג התפקידים והעלויות'!$A$2,I170='סיווג התפקידים והעלויות'!$A$3),'עלויות כח אדם (6)'!H170='סיווג התפקידים והעלויות'!$C$2,'עלויות כח אדם (6)'!H170='סיווג התפקידים והעלויות'!$D$2),IF('עלויות כח אדם (6)'!J170&lt;75,"לא תקין","תקין"),"")</f>
        <v/>
      </c>
      <c r="AE170" s="374" t="str">
        <f t="shared" si="44"/>
        <v/>
      </c>
      <c r="AF170" s="532" t="str">
        <f t="shared" si="45"/>
        <v/>
      </c>
    </row>
    <row r="171" spans="2:32" x14ac:dyDescent="0.25">
      <c r="B171" s="695"/>
      <c r="C171" s="197" t="str">
        <f>IF(B171&lt;&gt;"",IFERROR(VLOOKUP(B:B,'מצבת והרשמה (2)'!$C$20:$N$520,2,0)," ")," ")</f>
        <v xml:space="preserve"> </v>
      </c>
      <c r="D171" s="695"/>
      <c r="E171" s="696"/>
      <c r="F171" s="696"/>
      <c r="G171" s="696"/>
      <c r="H171" s="696"/>
      <c r="I171" s="1050" t="str">
        <f t="shared" si="32"/>
        <v/>
      </c>
      <c r="J171" s="696"/>
      <c r="K171" s="697"/>
      <c r="L171" s="696"/>
      <c r="M171" s="198" t="str">
        <f t="shared" si="33"/>
        <v/>
      </c>
      <c r="N171" s="369" t="str">
        <f t="shared" si="34"/>
        <v/>
      </c>
      <c r="O171" s="183" t="str">
        <f t="shared" si="35"/>
        <v/>
      </c>
      <c r="P171" s="199" t="str">
        <f t="shared" si="36"/>
        <v/>
      </c>
      <c r="Q171" s="199" t="str">
        <f>IF(B171="","",IFERROR(IF('עלויות כח אדם (6)'!J171&gt;=VLOOKUP(I171,'סיווג התפקידים והעלויות'!$B$23:$C$32,2,0),"תקין","לא תקין"),""))</f>
        <v/>
      </c>
      <c r="R171" s="199" t="str">
        <f t="shared" si="37"/>
        <v/>
      </c>
      <c r="S171" s="199" t="str">
        <f t="shared" si="38"/>
        <v/>
      </c>
      <c r="T171" s="199" t="str">
        <f t="shared" si="46"/>
        <v/>
      </c>
      <c r="U171" s="199" t="str">
        <f t="shared" si="39"/>
        <v/>
      </c>
      <c r="V171" s="989"/>
      <c r="X171" s="374" t="str">
        <f t="shared" si="40"/>
        <v/>
      </c>
      <c r="Y171" s="375" t="str">
        <f t="shared" si="41"/>
        <v/>
      </c>
      <c r="Z171" s="374" t="str">
        <f t="shared" si="42"/>
        <v/>
      </c>
      <c r="AA171" s="374" t="b">
        <f t="shared" si="43"/>
        <v>1</v>
      </c>
      <c r="AB171" s="374">
        <f>COUNTIFS(B:B,B171,H:H,'סיווג התפקידים והעלויות'!$C$2)</f>
        <v>0</v>
      </c>
      <c r="AC171" s="374">
        <f>COUNTIFS(B:B,B171,H:H,'סיווג התפקידים והעלויות'!$D$2)</f>
        <v>0</v>
      </c>
      <c r="AD171" s="374" t="str">
        <f>IF(OR(AND(H171='סיווג התפקידים והעלויות'!$A$2,I171='סיווג התפקידים והעלויות'!$A$3),'עלויות כח אדם (6)'!H171='סיווג התפקידים והעלויות'!$C$2,'עלויות כח אדם (6)'!H171='סיווג התפקידים והעלויות'!$D$2),IF('עלויות כח אדם (6)'!J171&lt;75,"לא תקין","תקין"),"")</f>
        <v/>
      </c>
      <c r="AE171" s="374" t="str">
        <f t="shared" si="44"/>
        <v/>
      </c>
      <c r="AF171" s="532" t="str">
        <f t="shared" si="45"/>
        <v/>
      </c>
    </row>
    <row r="172" spans="2:32" x14ac:dyDescent="0.25">
      <c r="B172" s="695"/>
      <c r="C172" s="197" t="str">
        <f>IF(B172&lt;&gt;"",IFERROR(VLOOKUP(B:B,'מצבת והרשמה (2)'!$C$20:$N$520,2,0)," ")," ")</f>
        <v xml:space="preserve"> </v>
      </c>
      <c r="D172" s="695"/>
      <c r="E172" s="696"/>
      <c r="F172" s="696"/>
      <c r="G172" s="696"/>
      <c r="H172" s="696"/>
      <c r="I172" s="1050" t="str">
        <f t="shared" si="32"/>
        <v/>
      </c>
      <c r="J172" s="696"/>
      <c r="K172" s="697"/>
      <c r="L172" s="696"/>
      <c r="M172" s="198" t="str">
        <f t="shared" si="33"/>
        <v/>
      </c>
      <c r="N172" s="369" t="str">
        <f t="shared" si="34"/>
        <v/>
      </c>
      <c r="O172" s="183" t="str">
        <f t="shared" si="35"/>
        <v/>
      </c>
      <c r="P172" s="199" t="str">
        <f t="shared" si="36"/>
        <v/>
      </c>
      <c r="Q172" s="199" t="str">
        <f>IF(B172="","",IFERROR(IF('עלויות כח אדם (6)'!J172&gt;=VLOOKUP(I172,'סיווג התפקידים והעלויות'!$B$23:$C$32,2,0),"תקין","לא תקין"),""))</f>
        <v/>
      </c>
      <c r="R172" s="199" t="str">
        <f t="shared" si="37"/>
        <v/>
      </c>
      <c r="S172" s="199" t="str">
        <f t="shared" si="38"/>
        <v/>
      </c>
      <c r="T172" s="199" t="str">
        <f t="shared" si="46"/>
        <v/>
      </c>
      <c r="U172" s="199" t="str">
        <f t="shared" si="39"/>
        <v/>
      </c>
      <c r="V172" s="989"/>
      <c r="X172" s="374" t="str">
        <f t="shared" si="40"/>
        <v/>
      </c>
      <c r="Y172" s="375" t="str">
        <f t="shared" si="41"/>
        <v/>
      </c>
      <c r="Z172" s="374" t="str">
        <f t="shared" si="42"/>
        <v/>
      </c>
      <c r="AA172" s="374" t="b">
        <f t="shared" si="43"/>
        <v>1</v>
      </c>
      <c r="AB172" s="374">
        <f>COUNTIFS(B:B,B172,H:H,'סיווג התפקידים והעלויות'!$C$2)</f>
        <v>0</v>
      </c>
      <c r="AC172" s="374">
        <f>COUNTIFS(B:B,B172,H:H,'סיווג התפקידים והעלויות'!$D$2)</f>
        <v>0</v>
      </c>
      <c r="AD172" s="374" t="str">
        <f>IF(OR(AND(H172='סיווג התפקידים והעלויות'!$A$2,I172='סיווג התפקידים והעלויות'!$A$3),'עלויות כח אדם (6)'!H172='סיווג התפקידים והעלויות'!$C$2,'עלויות כח אדם (6)'!H172='סיווג התפקידים והעלויות'!$D$2),IF('עלויות כח אדם (6)'!J172&lt;75,"לא תקין","תקין"),"")</f>
        <v/>
      </c>
      <c r="AE172" s="374" t="str">
        <f t="shared" si="44"/>
        <v/>
      </c>
      <c r="AF172" s="532" t="str">
        <f t="shared" si="45"/>
        <v/>
      </c>
    </row>
    <row r="173" spans="2:32" x14ac:dyDescent="0.25">
      <c r="B173" s="695"/>
      <c r="C173" s="197" t="str">
        <f>IF(B173&lt;&gt;"",IFERROR(VLOOKUP(B:B,'מצבת והרשמה (2)'!$C$20:$N$520,2,0)," ")," ")</f>
        <v xml:space="preserve"> </v>
      </c>
      <c r="D173" s="695"/>
      <c r="E173" s="696"/>
      <c r="F173" s="696"/>
      <c r="G173" s="696"/>
      <c r="H173" s="696"/>
      <c r="I173" s="1050" t="str">
        <f t="shared" si="32"/>
        <v/>
      </c>
      <c r="J173" s="696"/>
      <c r="K173" s="697"/>
      <c r="L173" s="696"/>
      <c r="M173" s="198" t="str">
        <f t="shared" si="33"/>
        <v/>
      </c>
      <c r="N173" s="369" t="str">
        <f t="shared" si="34"/>
        <v/>
      </c>
      <c r="O173" s="183" t="str">
        <f t="shared" si="35"/>
        <v/>
      </c>
      <c r="P173" s="199" t="str">
        <f t="shared" si="36"/>
        <v/>
      </c>
      <c r="Q173" s="199" t="str">
        <f>IF(B173="","",IFERROR(IF('עלויות כח אדם (6)'!J173&gt;=VLOOKUP(I173,'סיווג התפקידים והעלויות'!$B$23:$C$32,2,0),"תקין","לא תקין"),""))</f>
        <v/>
      </c>
      <c r="R173" s="199" t="str">
        <f t="shared" si="37"/>
        <v/>
      </c>
      <c r="S173" s="199" t="str">
        <f t="shared" si="38"/>
        <v/>
      </c>
      <c r="T173" s="199" t="str">
        <f t="shared" si="46"/>
        <v/>
      </c>
      <c r="U173" s="199" t="str">
        <f t="shared" si="39"/>
        <v/>
      </c>
      <c r="V173" s="989"/>
      <c r="X173" s="374" t="str">
        <f t="shared" si="40"/>
        <v/>
      </c>
      <c r="Y173" s="375" t="str">
        <f t="shared" si="41"/>
        <v/>
      </c>
      <c r="Z173" s="374" t="str">
        <f t="shared" si="42"/>
        <v/>
      </c>
      <c r="AA173" s="374" t="b">
        <f t="shared" si="43"/>
        <v>1</v>
      </c>
      <c r="AB173" s="374">
        <f>COUNTIFS(B:B,B173,H:H,'סיווג התפקידים והעלויות'!$C$2)</f>
        <v>0</v>
      </c>
      <c r="AC173" s="374">
        <f>COUNTIFS(B:B,B173,H:H,'סיווג התפקידים והעלויות'!$D$2)</f>
        <v>0</v>
      </c>
      <c r="AD173" s="374" t="str">
        <f>IF(OR(AND(H173='סיווג התפקידים והעלויות'!$A$2,I173='סיווג התפקידים והעלויות'!$A$3),'עלויות כח אדם (6)'!H173='סיווג התפקידים והעלויות'!$C$2,'עלויות כח אדם (6)'!H173='סיווג התפקידים והעלויות'!$D$2),IF('עלויות כח אדם (6)'!J173&lt;75,"לא תקין","תקין"),"")</f>
        <v/>
      </c>
      <c r="AE173" s="374" t="str">
        <f t="shared" si="44"/>
        <v/>
      </c>
      <c r="AF173" s="532" t="str">
        <f t="shared" si="45"/>
        <v/>
      </c>
    </row>
    <row r="174" spans="2:32" x14ac:dyDescent="0.25">
      <c r="B174" s="695"/>
      <c r="C174" s="197" t="str">
        <f>IF(B174&lt;&gt;"",IFERROR(VLOOKUP(B:B,'מצבת והרשמה (2)'!$C$20:$N$520,2,0)," ")," ")</f>
        <v xml:space="preserve"> </v>
      </c>
      <c r="D174" s="695"/>
      <c r="E174" s="696"/>
      <c r="F174" s="696"/>
      <c r="G174" s="696"/>
      <c r="H174" s="696"/>
      <c r="I174" s="1050" t="str">
        <f t="shared" si="32"/>
        <v/>
      </c>
      <c r="J174" s="696"/>
      <c r="K174" s="697"/>
      <c r="L174" s="696"/>
      <c r="M174" s="198" t="str">
        <f t="shared" si="33"/>
        <v/>
      </c>
      <c r="N174" s="369" t="str">
        <f t="shared" si="34"/>
        <v/>
      </c>
      <c r="O174" s="183" t="str">
        <f t="shared" si="35"/>
        <v/>
      </c>
      <c r="P174" s="199" t="str">
        <f t="shared" si="36"/>
        <v/>
      </c>
      <c r="Q174" s="199" t="str">
        <f>IF(B174="","",IFERROR(IF('עלויות כח אדם (6)'!J174&gt;=VLOOKUP(I174,'סיווג התפקידים והעלויות'!$B$23:$C$32,2,0),"תקין","לא תקין"),""))</f>
        <v/>
      </c>
      <c r="R174" s="199" t="str">
        <f t="shared" si="37"/>
        <v/>
      </c>
      <c r="S174" s="199" t="str">
        <f t="shared" si="38"/>
        <v/>
      </c>
      <c r="T174" s="199" t="str">
        <f t="shared" si="46"/>
        <v/>
      </c>
      <c r="U174" s="199" t="str">
        <f t="shared" si="39"/>
        <v/>
      </c>
      <c r="V174" s="989"/>
      <c r="X174" s="374" t="str">
        <f t="shared" si="40"/>
        <v/>
      </c>
      <c r="Y174" s="375" t="str">
        <f t="shared" si="41"/>
        <v/>
      </c>
      <c r="Z174" s="374" t="str">
        <f t="shared" si="42"/>
        <v/>
      </c>
      <c r="AA174" s="374" t="b">
        <f t="shared" si="43"/>
        <v>1</v>
      </c>
      <c r="AB174" s="374">
        <f>COUNTIFS(B:B,B174,H:H,'סיווג התפקידים והעלויות'!$C$2)</f>
        <v>0</v>
      </c>
      <c r="AC174" s="374">
        <f>COUNTIFS(B:B,B174,H:H,'סיווג התפקידים והעלויות'!$D$2)</f>
        <v>0</v>
      </c>
      <c r="AD174" s="374" t="str">
        <f>IF(OR(AND(H174='סיווג התפקידים והעלויות'!$A$2,I174='סיווג התפקידים והעלויות'!$A$3),'עלויות כח אדם (6)'!H174='סיווג התפקידים והעלויות'!$C$2,'עלויות כח אדם (6)'!H174='סיווג התפקידים והעלויות'!$D$2),IF('עלויות כח אדם (6)'!J174&lt;75,"לא תקין","תקין"),"")</f>
        <v/>
      </c>
      <c r="AE174" s="374" t="str">
        <f t="shared" si="44"/>
        <v/>
      </c>
      <c r="AF174" s="532" t="str">
        <f t="shared" si="45"/>
        <v/>
      </c>
    </row>
    <row r="175" spans="2:32" x14ac:dyDescent="0.25">
      <c r="B175" s="695"/>
      <c r="C175" s="197" t="str">
        <f>IF(B175&lt;&gt;"",IFERROR(VLOOKUP(B:B,'מצבת והרשמה (2)'!$C$20:$N$520,2,0)," ")," ")</f>
        <v xml:space="preserve"> </v>
      </c>
      <c r="D175" s="695"/>
      <c r="E175" s="696"/>
      <c r="F175" s="696"/>
      <c r="G175" s="696"/>
      <c r="H175" s="696"/>
      <c r="I175" s="1050" t="str">
        <f t="shared" si="32"/>
        <v/>
      </c>
      <c r="J175" s="696"/>
      <c r="K175" s="697"/>
      <c r="L175" s="696"/>
      <c r="M175" s="198" t="str">
        <f t="shared" si="33"/>
        <v/>
      </c>
      <c r="N175" s="369" t="str">
        <f t="shared" si="34"/>
        <v/>
      </c>
      <c r="O175" s="183" t="str">
        <f t="shared" si="35"/>
        <v/>
      </c>
      <c r="P175" s="199" t="str">
        <f t="shared" si="36"/>
        <v/>
      </c>
      <c r="Q175" s="199" t="str">
        <f>IF(B175="","",IFERROR(IF('עלויות כח אדם (6)'!J175&gt;=VLOOKUP(I175,'סיווג התפקידים והעלויות'!$B$23:$C$32,2,0),"תקין","לא תקין"),""))</f>
        <v/>
      </c>
      <c r="R175" s="199" t="str">
        <f t="shared" si="37"/>
        <v/>
      </c>
      <c r="S175" s="199" t="str">
        <f t="shared" si="38"/>
        <v/>
      </c>
      <c r="T175" s="199" t="str">
        <f t="shared" si="46"/>
        <v/>
      </c>
      <c r="U175" s="199" t="str">
        <f t="shared" si="39"/>
        <v/>
      </c>
      <c r="V175" s="989"/>
      <c r="X175" s="374" t="str">
        <f t="shared" si="40"/>
        <v/>
      </c>
      <c r="Y175" s="375" t="str">
        <f t="shared" si="41"/>
        <v/>
      </c>
      <c r="Z175" s="374" t="str">
        <f t="shared" si="42"/>
        <v/>
      </c>
      <c r="AA175" s="374" t="b">
        <f t="shared" si="43"/>
        <v>1</v>
      </c>
      <c r="AB175" s="374">
        <f>COUNTIFS(B:B,B175,H:H,'סיווג התפקידים והעלויות'!$C$2)</f>
        <v>0</v>
      </c>
      <c r="AC175" s="374">
        <f>COUNTIFS(B:B,B175,H:H,'סיווג התפקידים והעלויות'!$D$2)</f>
        <v>0</v>
      </c>
      <c r="AD175" s="374" t="str">
        <f>IF(OR(AND(H175='סיווג התפקידים והעלויות'!$A$2,I175='סיווג התפקידים והעלויות'!$A$3),'עלויות כח אדם (6)'!H175='סיווג התפקידים והעלויות'!$C$2,'עלויות כח אדם (6)'!H175='סיווג התפקידים והעלויות'!$D$2),IF('עלויות כח אדם (6)'!J175&lt;75,"לא תקין","תקין"),"")</f>
        <v/>
      </c>
      <c r="AE175" s="374" t="str">
        <f t="shared" si="44"/>
        <v/>
      </c>
      <c r="AF175" s="532" t="str">
        <f t="shared" si="45"/>
        <v/>
      </c>
    </row>
    <row r="176" spans="2:32" x14ac:dyDescent="0.25">
      <c r="B176" s="695"/>
      <c r="C176" s="197" t="str">
        <f>IF(B176&lt;&gt;"",IFERROR(VLOOKUP(B:B,'מצבת והרשמה (2)'!$C$20:$N$520,2,0)," ")," ")</f>
        <v xml:space="preserve"> </v>
      </c>
      <c r="D176" s="695"/>
      <c r="E176" s="696"/>
      <c r="F176" s="696"/>
      <c r="G176" s="696"/>
      <c r="H176" s="696"/>
      <c r="I176" s="1050" t="str">
        <f t="shared" si="32"/>
        <v/>
      </c>
      <c r="J176" s="696"/>
      <c r="K176" s="697"/>
      <c r="L176" s="696"/>
      <c r="M176" s="198" t="str">
        <f t="shared" si="33"/>
        <v/>
      </c>
      <c r="N176" s="369" t="str">
        <f t="shared" si="34"/>
        <v/>
      </c>
      <c r="O176" s="183" t="str">
        <f t="shared" si="35"/>
        <v/>
      </c>
      <c r="P176" s="199" t="str">
        <f t="shared" si="36"/>
        <v/>
      </c>
      <c r="Q176" s="199" t="str">
        <f>IF(B176="","",IFERROR(IF('עלויות כח אדם (6)'!J176&gt;=VLOOKUP(I176,'סיווג התפקידים והעלויות'!$B$23:$C$32,2,0),"תקין","לא תקין"),""))</f>
        <v/>
      </c>
      <c r="R176" s="199" t="str">
        <f t="shared" si="37"/>
        <v/>
      </c>
      <c r="S176" s="199" t="str">
        <f t="shared" si="38"/>
        <v/>
      </c>
      <c r="T176" s="199" t="str">
        <f t="shared" si="46"/>
        <v/>
      </c>
      <c r="U176" s="199" t="str">
        <f t="shared" si="39"/>
        <v/>
      </c>
      <c r="V176" s="989"/>
      <c r="X176" s="374" t="str">
        <f t="shared" si="40"/>
        <v/>
      </c>
      <c r="Y176" s="375" t="str">
        <f t="shared" si="41"/>
        <v/>
      </c>
      <c r="Z176" s="374" t="str">
        <f t="shared" si="42"/>
        <v/>
      </c>
      <c r="AA176" s="374" t="b">
        <f t="shared" si="43"/>
        <v>1</v>
      </c>
      <c r="AB176" s="374">
        <f>COUNTIFS(B:B,B176,H:H,'סיווג התפקידים והעלויות'!$C$2)</f>
        <v>0</v>
      </c>
      <c r="AC176" s="374">
        <f>COUNTIFS(B:B,B176,H:H,'סיווג התפקידים והעלויות'!$D$2)</f>
        <v>0</v>
      </c>
      <c r="AD176" s="374" t="str">
        <f>IF(OR(AND(H176='סיווג התפקידים והעלויות'!$A$2,I176='סיווג התפקידים והעלויות'!$A$3),'עלויות כח אדם (6)'!H176='סיווג התפקידים והעלויות'!$C$2,'עלויות כח אדם (6)'!H176='סיווג התפקידים והעלויות'!$D$2),IF('עלויות כח אדם (6)'!J176&lt;75,"לא תקין","תקין"),"")</f>
        <v/>
      </c>
      <c r="AE176" s="374" t="str">
        <f t="shared" si="44"/>
        <v/>
      </c>
      <c r="AF176" s="532" t="str">
        <f t="shared" si="45"/>
        <v/>
      </c>
    </row>
    <row r="177" spans="2:32" x14ac:dyDescent="0.25">
      <c r="B177" s="695"/>
      <c r="C177" s="197" t="str">
        <f>IF(B177&lt;&gt;"",IFERROR(VLOOKUP(B:B,'מצבת והרשמה (2)'!$C$20:$N$520,2,0)," ")," ")</f>
        <v xml:space="preserve"> </v>
      </c>
      <c r="D177" s="695"/>
      <c r="E177" s="696"/>
      <c r="F177" s="696"/>
      <c r="G177" s="696"/>
      <c r="H177" s="696"/>
      <c r="I177" s="1050" t="str">
        <f t="shared" si="32"/>
        <v/>
      </c>
      <c r="J177" s="696"/>
      <c r="K177" s="697"/>
      <c r="L177" s="696"/>
      <c r="M177" s="198" t="str">
        <f t="shared" si="33"/>
        <v/>
      </c>
      <c r="N177" s="369" t="str">
        <f t="shared" si="34"/>
        <v/>
      </c>
      <c r="O177" s="183" t="str">
        <f t="shared" si="35"/>
        <v/>
      </c>
      <c r="P177" s="199" t="str">
        <f t="shared" si="36"/>
        <v/>
      </c>
      <c r="Q177" s="199" t="str">
        <f>IF(B177="","",IFERROR(IF('עלויות כח אדם (6)'!J177&gt;=VLOOKUP(I177,'סיווג התפקידים והעלויות'!$B$23:$C$32,2,0),"תקין","לא תקין"),""))</f>
        <v/>
      </c>
      <c r="R177" s="199" t="str">
        <f t="shared" si="37"/>
        <v/>
      </c>
      <c r="S177" s="199" t="str">
        <f t="shared" si="38"/>
        <v/>
      </c>
      <c r="T177" s="199" t="str">
        <f t="shared" si="46"/>
        <v/>
      </c>
      <c r="U177" s="199" t="str">
        <f t="shared" si="39"/>
        <v/>
      </c>
      <c r="V177" s="989"/>
      <c r="X177" s="374" t="str">
        <f t="shared" si="40"/>
        <v/>
      </c>
      <c r="Y177" s="375" t="str">
        <f t="shared" si="41"/>
        <v/>
      </c>
      <c r="Z177" s="374" t="str">
        <f t="shared" si="42"/>
        <v/>
      </c>
      <c r="AA177" s="374" t="b">
        <f t="shared" si="43"/>
        <v>1</v>
      </c>
      <c r="AB177" s="374">
        <f>COUNTIFS(B:B,B177,H:H,'סיווג התפקידים והעלויות'!$C$2)</f>
        <v>0</v>
      </c>
      <c r="AC177" s="374">
        <f>COUNTIFS(B:B,B177,H:H,'סיווג התפקידים והעלויות'!$D$2)</f>
        <v>0</v>
      </c>
      <c r="AD177" s="374" t="str">
        <f>IF(OR(AND(H177='סיווג התפקידים והעלויות'!$A$2,I177='סיווג התפקידים והעלויות'!$A$3),'עלויות כח אדם (6)'!H177='סיווג התפקידים והעלויות'!$C$2,'עלויות כח אדם (6)'!H177='סיווג התפקידים והעלויות'!$D$2),IF('עלויות כח אדם (6)'!J177&lt;75,"לא תקין","תקין"),"")</f>
        <v/>
      </c>
      <c r="AE177" s="374" t="str">
        <f t="shared" si="44"/>
        <v/>
      </c>
      <c r="AF177" s="532" t="str">
        <f t="shared" si="45"/>
        <v/>
      </c>
    </row>
    <row r="178" spans="2:32" x14ac:dyDescent="0.25">
      <c r="B178" s="695"/>
      <c r="C178" s="197" t="str">
        <f>IF(B178&lt;&gt;"",IFERROR(VLOOKUP(B:B,'מצבת והרשמה (2)'!$C$20:$N$520,2,0)," ")," ")</f>
        <v xml:space="preserve"> </v>
      </c>
      <c r="D178" s="695"/>
      <c r="E178" s="696"/>
      <c r="F178" s="696"/>
      <c r="G178" s="696"/>
      <c r="H178" s="696"/>
      <c r="I178" s="1050" t="str">
        <f t="shared" si="32"/>
        <v/>
      </c>
      <c r="J178" s="696"/>
      <c r="K178" s="697"/>
      <c r="L178" s="696"/>
      <c r="M178" s="198" t="str">
        <f t="shared" si="33"/>
        <v/>
      </c>
      <c r="N178" s="369" t="str">
        <f t="shared" si="34"/>
        <v/>
      </c>
      <c r="O178" s="183" t="str">
        <f t="shared" si="35"/>
        <v/>
      </c>
      <c r="P178" s="199" t="str">
        <f t="shared" si="36"/>
        <v/>
      </c>
      <c r="Q178" s="199" t="str">
        <f>IF(B178="","",IFERROR(IF('עלויות כח אדם (6)'!J178&gt;=VLOOKUP(I178,'סיווג התפקידים והעלויות'!$B$23:$C$32,2,0),"תקין","לא תקין"),""))</f>
        <v/>
      </c>
      <c r="R178" s="199" t="str">
        <f t="shared" si="37"/>
        <v/>
      </c>
      <c r="S178" s="199" t="str">
        <f t="shared" si="38"/>
        <v/>
      </c>
      <c r="T178" s="199" t="str">
        <f t="shared" si="46"/>
        <v/>
      </c>
      <c r="U178" s="199" t="str">
        <f t="shared" si="39"/>
        <v/>
      </c>
      <c r="V178" s="989"/>
      <c r="X178" s="374" t="str">
        <f t="shared" si="40"/>
        <v/>
      </c>
      <c r="Y178" s="375" t="str">
        <f t="shared" si="41"/>
        <v/>
      </c>
      <c r="Z178" s="374" t="str">
        <f t="shared" si="42"/>
        <v/>
      </c>
      <c r="AA178" s="374" t="b">
        <f t="shared" si="43"/>
        <v>1</v>
      </c>
      <c r="AB178" s="374">
        <f>COUNTIFS(B:B,B178,H:H,'סיווג התפקידים והעלויות'!$C$2)</f>
        <v>0</v>
      </c>
      <c r="AC178" s="374">
        <f>COUNTIFS(B:B,B178,H:H,'סיווג התפקידים והעלויות'!$D$2)</f>
        <v>0</v>
      </c>
      <c r="AD178" s="374" t="str">
        <f>IF(OR(AND(H178='סיווג התפקידים והעלויות'!$A$2,I178='סיווג התפקידים והעלויות'!$A$3),'עלויות כח אדם (6)'!H178='סיווג התפקידים והעלויות'!$C$2,'עלויות כח אדם (6)'!H178='סיווג התפקידים והעלויות'!$D$2),IF('עלויות כח אדם (6)'!J178&lt;75,"לא תקין","תקין"),"")</f>
        <v/>
      </c>
      <c r="AE178" s="374" t="str">
        <f t="shared" si="44"/>
        <v/>
      </c>
      <c r="AF178" s="532" t="str">
        <f t="shared" si="45"/>
        <v/>
      </c>
    </row>
    <row r="179" spans="2:32" x14ac:dyDescent="0.25">
      <c r="B179" s="695"/>
      <c r="C179" s="197" t="str">
        <f>IF(B179&lt;&gt;"",IFERROR(VLOOKUP(B:B,'מצבת והרשמה (2)'!$C$20:$N$520,2,0)," ")," ")</f>
        <v xml:space="preserve"> </v>
      </c>
      <c r="D179" s="695"/>
      <c r="E179" s="696"/>
      <c r="F179" s="696"/>
      <c r="G179" s="696"/>
      <c r="H179" s="696"/>
      <c r="I179" s="1050" t="str">
        <f t="shared" si="32"/>
        <v/>
      </c>
      <c r="J179" s="696"/>
      <c r="K179" s="697"/>
      <c r="L179" s="696"/>
      <c r="M179" s="198" t="str">
        <f t="shared" si="33"/>
        <v/>
      </c>
      <c r="N179" s="369" t="str">
        <f t="shared" si="34"/>
        <v/>
      </c>
      <c r="O179" s="183" t="str">
        <f t="shared" si="35"/>
        <v/>
      </c>
      <c r="P179" s="199" t="str">
        <f t="shared" si="36"/>
        <v/>
      </c>
      <c r="Q179" s="199" t="str">
        <f>IF(B179="","",IFERROR(IF('עלויות כח אדם (6)'!J179&gt;=VLOOKUP(I179,'סיווג התפקידים והעלויות'!$B$23:$C$32,2,0),"תקין","לא תקין"),""))</f>
        <v/>
      </c>
      <c r="R179" s="199" t="str">
        <f t="shared" si="37"/>
        <v/>
      </c>
      <c r="S179" s="199" t="str">
        <f t="shared" si="38"/>
        <v/>
      </c>
      <c r="T179" s="199" t="str">
        <f t="shared" si="46"/>
        <v/>
      </c>
      <c r="U179" s="199" t="str">
        <f t="shared" si="39"/>
        <v/>
      </c>
      <c r="V179" s="989"/>
      <c r="X179" s="374" t="str">
        <f t="shared" si="40"/>
        <v/>
      </c>
      <c r="Y179" s="375" t="str">
        <f t="shared" si="41"/>
        <v/>
      </c>
      <c r="Z179" s="374" t="str">
        <f t="shared" si="42"/>
        <v/>
      </c>
      <c r="AA179" s="374" t="b">
        <f t="shared" si="43"/>
        <v>1</v>
      </c>
      <c r="AB179" s="374">
        <f>COUNTIFS(B:B,B179,H:H,'סיווג התפקידים והעלויות'!$C$2)</f>
        <v>0</v>
      </c>
      <c r="AC179" s="374">
        <f>COUNTIFS(B:B,B179,H:H,'סיווג התפקידים והעלויות'!$D$2)</f>
        <v>0</v>
      </c>
      <c r="AD179" s="374" t="str">
        <f>IF(OR(AND(H179='סיווג התפקידים והעלויות'!$A$2,I179='סיווג התפקידים והעלויות'!$A$3),'עלויות כח אדם (6)'!H179='סיווג התפקידים והעלויות'!$C$2,'עלויות כח אדם (6)'!H179='סיווג התפקידים והעלויות'!$D$2),IF('עלויות כח אדם (6)'!J179&lt;75,"לא תקין","תקין"),"")</f>
        <v/>
      </c>
      <c r="AE179" s="374" t="str">
        <f t="shared" si="44"/>
        <v/>
      </c>
      <c r="AF179" s="532" t="str">
        <f t="shared" si="45"/>
        <v/>
      </c>
    </row>
    <row r="180" spans="2:32" x14ac:dyDescent="0.25">
      <c r="B180" s="695"/>
      <c r="C180" s="197" t="str">
        <f>IF(B180&lt;&gt;"",IFERROR(VLOOKUP(B:B,'מצבת והרשמה (2)'!$C$20:$N$520,2,0)," ")," ")</f>
        <v xml:space="preserve"> </v>
      </c>
      <c r="D180" s="695"/>
      <c r="E180" s="696"/>
      <c r="F180" s="696"/>
      <c r="G180" s="696"/>
      <c r="H180" s="696"/>
      <c r="I180" s="1050" t="str">
        <f t="shared" si="32"/>
        <v/>
      </c>
      <c r="J180" s="696"/>
      <c r="K180" s="697"/>
      <c r="L180" s="696"/>
      <c r="M180" s="198" t="str">
        <f t="shared" si="33"/>
        <v/>
      </c>
      <c r="N180" s="369" t="str">
        <f t="shared" si="34"/>
        <v/>
      </c>
      <c r="O180" s="183" t="str">
        <f t="shared" si="35"/>
        <v/>
      </c>
      <c r="P180" s="199" t="str">
        <f t="shared" si="36"/>
        <v/>
      </c>
      <c r="Q180" s="199" t="str">
        <f>IF(B180="","",IFERROR(IF('עלויות כח אדם (6)'!J180&gt;=VLOOKUP(I180,'סיווג התפקידים והעלויות'!$B$23:$C$32,2,0),"תקין","לא תקין"),""))</f>
        <v/>
      </c>
      <c r="R180" s="199" t="str">
        <f t="shared" si="37"/>
        <v/>
      </c>
      <c r="S180" s="199" t="str">
        <f t="shared" si="38"/>
        <v/>
      </c>
      <c r="T180" s="199" t="str">
        <f t="shared" si="46"/>
        <v/>
      </c>
      <c r="U180" s="199" t="str">
        <f t="shared" si="39"/>
        <v/>
      </c>
      <c r="V180" s="989"/>
      <c r="X180" s="374" t="str">
        <f t="shared" si="40"/>
        <v/>
      </c>
      <c r="Y180" s="375" t="str">
        <f t="shared" si="41"/>
        <v/>
      </c>
      <c r="Z180" s="374" t="str">
        <f t="shared" si="42"/>
        <v/>
      </c>
      <c r="AA180" s="374" t="b">
        <f t="shared" si="43"/>
        <v>1</v>
      </c>
      <c r="AB180" s="374">
        <f>COUNTIFS(B:B,B180,H:H,'סיווג התפקידים והעלויות'!$C$2)</f>
        <v>0</v>
      </c>
      <c r="AC180" s="374">
        <f>COUNTIFS(B:B,B180,H:H,'סיווג התפקידים והעלויות'!$D$2)</f>
        <v>0</v>
      </c>
      <c r="AD180" s="374" t="str">
        <f>IF(OR(AND(H180='סיווג התפקידים והעלויות'!$A$2,I180='סיווג התפקידים והעלויות'!$A$3),'עלויות כח אדם (6)'!H180='סיווג התפקידים והעלויות'!$C$2,'עלויות כח אדם (6)'!H180='סיווג התפקידים והעלויות'!$D$2),IF('עלויות כח אדם (6)'!J180&lt;75,"לא תקין","תקין"),"")</f>
        <v/>
      </c>
      <c r="AE180" s="374" t="str">
        <f t="shared" si="44"/>
        <v/>
      </c>
      <c r="AF180" s="532" t="str">
        <f t="shared" si="45"/>
        <v/>
      </c>
    </row>
    <row r="181" spans="2:32" x14ac:dyDescent="0.25">
      <c r="B181" s="695"/>
      <c r="C181" s="197" t="str">
        <f>IF(B181&lt;&gt;"",IFERROR(VLOOKUP(B:B,'מצבת והרשמה (2)'!$C$20:$N$520,2,0)," ")," ")</f>
        <v xml:space="preserve"> </v>
      </c>
      <c r="D181" s="695"/>
      <c r="E181" s="696"/>
      <c r="F181" s="696"/>
      <c r="G181" s="696"/>
      <c r="H181" s="696"/>
      <c r="I181" s="1050" t="str">
        <f t="shared" si="32"/>
        <v/>
      </c>
      <c r="J181" s="696"/>
      <c r="K181" s="697"/>
      <c r="L181" s="696"/>
      <c r="M181" s="198" t="str">
        <f t="shared" si="33"/>
        <v/>
      </c>
      <c r="N181" s="369" t="str">
        <f t="shared" si="34"/>
        <v/>
      </c>
      <c r="O181" s="183" t="str">
        <f t="shared" si="35"/>
        <v/>
      </c>
      <c r="P181" s="199" t="str">
        <f t="shared" si="36"/>
        <v/>
      </c>
      <c r="Q181" s="199" t="str">
        <f>IF(B181="","",IFERROR(IF('עלויות כח אדם (6)'!J181&gt;=VLOOKUP(I181,'סיווג התפקידים והעלויות'!$B$23:$C$32,2,0),"תקין","לא תקין"),""))</f>
        <v/>
      </c>
      <c r="R181" s="199" t="str">
        <f t="shared" si="37"/>
        <v/>
      </c>
      <c r="S181" s="199" t="str">
        <f t="shared" si="38"/>
        <v/>
      </c>
      <c r="T181" s="199" t="str">
        <f t="shared" si="46"/>
        <v/>
      </c>
      <c r="U181" s="199" t="str">
        <f t="shared" si="39"/>
        <v/>
      </c>
      <c r="V181" s="989"/>
      <c r="X181" s="374" t="str">
        <f t="shared" si="40"/>
        <v/>
      </c>
      <c r="Y181" s="375" t="str">
        <f t="shared" si="41"/>
        <v/>
      </c>
      <c r="Z181" s="374" t="str">
        <f t="shared" si="42"/>
        <v/>
      </c>
      <c r="AA181" s="374" t="b">
        <f t="shared" si="43"/>
        <v>1</v>
      </c>
      <c r="AB181" s="374">
        <f>COUNTIFS(B:B,B181,H:H,'סיווג התפקידים והעלויות'!$C$2)</f>
        <v>0</v>
      </c>
      <c r="AC181" s="374">
        <f>COUNTIFS(B:B,B181,H:H,'סיווג התפקידים והעלויות'!$D$2)</f>
        <v>0</v>
      </c>
      <c r="AD181" s="374" t="str">
        <f>IF(OR(AND(H181='סיווג התפקידים והעלויות'!$A$2,I181='סיווג התפקידים והעלויות'!$A$3),'עלויות כח אדם (6)'!H181='סיווג התפקידים והעלויות'!$C$2,'עלויות כח אדם (6)'!H181='סיווג התפקידים והעלויות'!$D$2),IF('עלויות כח אדם (6)'!J181&lt;75,"לא תקין","תקין"),"")</f>
        <v/>
      </c>
      <c r="AE181" s="374" t="str">
        <f t="shared" si="44"/>
        <v/>
      </c>
      <c r="AF181" s="532" t="str">
        <f t="shared" si="45"/>
        <v/>
      </c>
    </row>
    <row r="182" spans="2:32" x14ac:dyDescent="0.25">
      <c r="B182" s="695"/>
      <c r="C182" s="197" t="str">
        <f>IF(B182&lt;&gt;"",IFERROR(VLOOKUP(B:B,'מצבת והרשמה (2)'!$C$20:$N$520,2,0)," ")," ")</f>
        <v xml:space="preserve"> </v>
      </c>
      <c r="D182" s="695"/>
      <c r="E182" s="696"/>
      <c r="F182" s="696"/>
      <c r="G182" s="696"/>
      <c r="H182" s="696"/>
      <c r="I182" s="1050" t="str">
        <f t="shared" si="32"/>
        <v/>
      </c>
      <c r="J182" s="696"/>
      <c r="K182" s="697"/>
      <c r="L182" s="696"/>
      <c r="M182" s="198" t="str">
        <f t="shared" si="33"/>
        <v/>
      </c>
      <c r="N182" s="369" t="str">
        <f t="shared" si="34"/>
        <v/>
      </c>
      <c r="O182" s="183" t="str">
        <f t="shared" si="35"/>
        <v/>
      </c>
      <c r="P182" s="199" t="str">
        <f t="shared" si="36"/>
        <v/>
      </c>
      <c r="Q182" s="199" t="str">
        <f>IF(B182="","",IFERROR(IF('עלויות כח אדם (6)'!J182&gt;=VLOOKUP(I182,'סיווג התפקידים והעלויות'!$B$23:$C$32,2,0),"תקין","לא תקין"),""))</f>
        <v/>
      </c>
      <c r="R182" s="199" t="str">
        <f t="shared" si="37"/>
        <v/>
      </c>
      <c r="S182" s="199" t="str">
        <f t="shared" si="38"/>
        <v/>
      </c>
      <c r="T182" s="199" t="str">
        <f t="shared" si="46"/>
        <v/>
      </c>
      <c r="U182" s="199" t="str">
        <f t="shared" si="39"/>
        <v/>
      </c>
      <c r="V182" s="989"/>
      <c r="X182" s="374" t="str">
        <f t="shared" si="40"/>
        <v/>
      </c>
      <c r="Y182" s="375" t="str">
        <f t="shared" si="41"/>
        <v/>
      </c>
      <c r="Z182" s="374" t="str">
        <f t="shared" si="42"/>
        <v/>
      </c>
      <c r="AA182" s="374" t="b">
        <f t="shared" si="43"/>
        <v>1</v>
      </c>
      <c r="AB182" s="374">
        <f>COUNTIFS(B:B,B182,H:H,'סיווג התפקידים והעלויות'!$C$2)</f>
        <v>0</v>
      </c>
      <c r="AC182" s="374">
        <f>COUNTIFS(B:B,B182,H:H,'סיווג התפקידים והעלויות'!$D$2)</f>
        <v>0</v>
      </c>
      <c r="AD182" s="374" t="str">
        <f>IF(OR(AND(H182='סיווג התפקידים והעלויות'!$A$2,I182='סיווג התפקידים והעלויות'!$A$3),'עלויות כח אדם (6)'!H182='סיווג התפקידים והעלויות'!$C$2,'עלויות כח אדם (6)'!H182='סיווג התפקידים והעלויות'!$D$2),IF('עלויות כח אדם (6)'!J182&lt;75,"לא תקין","תקין"),"")</f>
        <v/>
      </c>
      <c r="AE182" s="374" t="str">
        <f t="shared" si="44"/>
        <v/>
      </c>
      <c r="AF182" s="532" t="str">
        <f t="shared" si="45"/>
        <v/>
      </c>
    </row>
    <row r="183" spans="2:32" x14ac:dyDescent="0.25">
      <c r="B183" s="695"/>
      <c r="C183" s="197" t="str">
        <f>IF(B183&lt;&gt;"",IFERROR(VLOOKUP(B:B,'מצבת והרשמה (2)'!$C$20:$N$520,2,0)," ")," ")</f>
        <v xml:space="preserve"> </v>
      </c>
      <c r="D183" s="695"/>
      <c r="E183" s="696"/>
      <c r="F183" s="696"/>
      <c r="G183" s="696"/>
      <c r="H183" s="696"/>
      <c r="I183" s="1050" t="str">
        <f t="shared" si="32"/>
        <v/>
      </c>
      <c r="J183" s="696"/>
      <c r="K183" s="697"/>
      <c r="L183" s="696"/>
      <c r="M183" s="198" t="str">
        <f t="shared" si="33"/>
        <v/>
      </c>
      <c r="N183" s="369" t="str">
        <f t="shared" si="34"/>
        <v/>
      </c>
      <c r="O183" s="183" t="str">
        <f t="shared" si="35"/>
        <v/>
      </c>
      <c r="P183" s="199" t="str">
        <f t="shared" si="36"/>
        <v/>
      </c>
      <c r="Q183" s="199" t="str">
        <f>IF(B183="","",IFERROR(IF('עלויות כח אדם (6)'!J183&gt;=VLOOKUP(I183,'סיווג התפקידים והעלויות'!$B$23:$C$32,2,0),"תקין","לא תקין"),""))</f>
        <v/>
      </c>
      <c r="R183" s="199" t="str">
        <f t="shared" si="37"/>
        <v/>
      </c>
      <c r="S183" s="199" t="str">
        <f t="shared" si="38"/>
        <v/>
      </c>
      <c r="T183" s="199" t="str">
        <f t="shared" si="46"/>
        <v/>
      </c>
      <c r="U183" s="199" t="str">
        <f t="shared" si="39"/>
        <v/>
      </c>
      <c r="V183" s="989"/>
      <c r="X183" s="374" t="str">
        <f t="shared" si="40"/>
        <v/>
      </c>
      <c r="Y183" s="375" t="str">
        <f t="shared" si="41"/>
        <v/>
      </c>
      <c r="Z183" s="374" t="str">
        <f t="shared" si="42"/>
        <v/>
      </c>
      <c r="AA183" s="374" t="b">
        <f t="shared" si="43"/>
        <v>1</v>
      </c>
      <c r="AB183" s="374">
        <f>COUNTIFS(B:B,B183,H:H,'סיווג התפקידים והעלויות'!$C$2)</f>
        <v>0</v>
      </c>
      <c r="AC183" s="374">
        <f>COUNTIFS(B:B,B183,H:H,'סיווג התפקידים והעלויות'!$D$2)</f>
        <v>0</v>
      </c>
      <c r="AD183" s="374" t="str">
        <f>IF(OR(AND(H183='סיווג התפקידים והעלויות'!$A$2,I183='סיווג התפקידים והעלויות'!$A$3),'עלויות כח אדם (6)'!H183='סיווג התפקידים והעלויות'!$C$2,'עלויות כח אדם (6)'!H183='סיווג התפקידים והעלויות'!$D$2),IF('עלויות כח אדם (6)'!J183&lt;75,"לא תקין","תקין"),"")</f>
        <v/>
      </c>
      <c r="AE183" s="374" t="str">
        <f t="shared" si="44"/>
        <v/>
      </c>
      <c r="AF183" s="532" t="str">
        <f t="shared" si="45"/>
        <v/>
      </c>
    </row>
    <row r="184" spans="2:32" x14ac:dyDescent="0.25">
      <c r="B184" s="695"/>
      <c r="C184" s="197" t="str">
        <f>IF(B184&lt;&gt;"",IFERROR(VLOOKUP(B:B,'מצבת והרשמה (2)'!$C$20:$N$520,2,0)," ")," ")</f>
        <v xml:space="preserve"> </v>
      </c>
      <c r="D184" s="695"/>
      <c r="E184" s="696"/>
      <c r="F184" s="696"/>
      <c r="G184" s="696"/>
      <c r="H184" s="696"/>
      <c r="I184" s="1050" t="str">
        <f t="shared" si="32"/>
        <v/>
      </c>
      <c r="J184" s="696"/>
      <c r="K184" s="697"/>
      <c r="L184" s="696"/>
      <c r="M184" s="198" t="str">
        <f t="shared" si="33"/>
        <v/>
      </c>
      <c r="N184" s="369" t="str">
        <f t="shared" si="34"/>
        <v/>
      </c>
      <c r="O184" s="183" t="str">
        <f t="shared" si="35"/>
        <v/>
      </c>
      <c r="P184" s="199" t="str">
        <f t="shared" si="36"/>
        <v/>
      </c>
      <c r="Q184" s="199" t="str">
        <f>IF(B184="","",IFERROR(IF('עלויות כח אדם (6)'!J184&gt;=VLOOKUP(I184,'סיווג התפקידים והעלויות'!$B$23:$C$32,2,0),"תקין","לא תקין"),""))</f>
        <v/>
      </c>
      <c r="R184" s="199" t="str">
        <f t="shared" si="37"/>
        <v/>
      </c>
      <c r="S184" s="199" t="str">
        <f t="shared" si="38"/>
        <v/>
      </c>
      <c r="T184" s="199" t="str">
        <f t="shared" si="46"/>
        <v/>
      </c>
      <c r="U184" s="199" t="str">
        <f t="shared" si="39"/>
        <v/>
      </c>
      <c r="V184" s="989"/>
      <c r="X184" s="374" t="str">
        <f t="shared" si="40"/>
        <v/>
      </c>
      <c r="Y184" s="375" t="str">
        <f t="shared" si="41"/>
        <v/>
      </c>
      <c r="Z184" s="374" t="str">
        <f t="shared" si="42"/>
        <v/>
      </c>
      <c r="AA184" s="374" t="b">
        <f t="shared" si="43"/>
        <v>1</v>
      </c>
      <c r="AB184" s="374">
        <f>COUNTIFS(B:B,B184,H:H,'סיווג התפקידים והעלויות'!$C$2)</f>
        <v>0</v>
      </c>
      <c r="AC184" s="374">
        <f>COUNTIFS(B:B,B184,H:H,'סיווג התפקידים והעלויות'!$D$2)</f>
        <v>0</v>
      </c>
      <c r="AD184" s="374" t="str">
        <f>IF(OR(AND(H184='סיווג התפקידים והעלויות'!$A$2,I184='סיווג התפקידים והעלויות'!$A$3),'עלויות כח אדם (6)'!H184='סיווג התפקידים והעלויות'!$C$2,'עלויות כח אדם (6)'!H184='סיווג התפקידים והעלויות'!$D$2),IF('עלויות כח אדם (6)'!J184&lt;75,"לא תקין","תקין"),"")</f>
        <v/>
      </c>
      <c r="AE184" s="374" t="str">
        <f t="shared" si="44"/>
        <v/>
      </c>
      <c r="AF184" s="532" t="str">
        <f t="shared" si="45"/>
        <v/>
      </c>
    </row>
    <row r="185" spans="2:32" x14ac:dyDescent="0.25">
      <c r="B185" s="695"/>
      <c r="C185" s="197" t="str">
        <f>IF(B185&lt;&gt;"",IFERROR(VLOOKUP(B:B,'מצבת והרשמה (2)'!$C$20:$N$520,2,0)," ")," ")</f>
        <v xml:space="preserve"> </v>
      </c>
      <c r="D185" s="695"/>
      <c r="E185" s="696"/>
      <c r="F185" s="696"/>
      <c r="G185" s="696"/>
      <c r="H185" s="696"/>
      <c r="I185" s="1050" t="str">
        <f t="shared" si="32"/>
        <v/>
      </c>
      <c r="J185" s="696"/>
      <c r="K185" s="697"/>
      <c r="L185" s="696"/>
      <c r="M185" s="198" t="str">
        <f t="shared" si="33"/>
        <v/>
      </c>
      <c r="N185" s="369" t="str">
        <f t="shared" si="34"/>
        <v/>
      </c>
      <c r="O185" s="183" t="str">
        <f t="shared" si="35"/>
        <v/>
      </c>
      <c r="P185" s="199" t="str">
        <f t="shared" si="36"/>
        <v/>
      </c>
      <c r="Q185" s="199" t="str">
        <f>IF(B185="","",IFERROR(IF('עלויות כח אדם (6)'!J185&gt;=VLOOKUP(I185,'סיווג התפקידים והעלויות'!$B$23:$C$32,2,0),"תקין","לא תקין"),""))</f>
        <v/>
      </c>
      <c r="R185" s="199" t="str">
        <f t="shared" si="37"/>
        <v/>
      </c>
      <c r="S185" s="199" t="str">
        <f t="shared" si="38"/>
        <v/>
      </c>
      <c r="T185" s="199" t="str">
        <f t="shared" si="46"/>
        <v/>
      </c>
      <c r="U185" s="199" t="str">
        <f t="shared" si="39"/>
        <v/>
      </c>
      <c r="V185" s="989"/>
      <c r="X185" s="374" t="str">
        <f t="shared" si="40"/>
        <v/>
      </c>
      <c r="Y185" s="375" t="str">
        <f t="shared" si="41"/>
        <v/>
      </c>
      <c r="Z185" s="374" t="str">
        <f t="shared" si="42"/>
        <v/>
      </c>
      <c r="AA185" s="374" t="b">
        <f t="shared" si="43"/>
        <v>1</v>
      </c>
      <c r="AB185" s="374">
        <f>COUNTIFS(B:B,B185,H:H,'סיווג התפקידים והעלויות'!$C$2)</f>
        <v>0</v>
      </c>
      <c r="AC185" s="374">
        <f>COUNTIFS(B:B,B185,H:H,'סיווג התפקידים והעלויות'!$D$2)</f>
        <v>0</v>
      </c>
      <c r="AD185" s="374" t="str">
        <f>IF(OR(AND(H185='סיווג התפקידים והעלויות'!$A$2,I185='סיווג התפקידים והעלויות'!$A$3),'עלויות כח אדם (6)'!H185='סיווג התפקידים והעלויות'!$C$2,'עלויות כח אדם (6)'!H185='סיווג התפקידים והעלויות'!$D$2),IF('עלויות כח אדם (6)'!J185&lt;75,"לא תקין","תקין"),"")</f>
        <v/>
      </c>
      <c r="AE185" s="374" t="str">
        <f t="shared" si="44"/>
        <v/>
      </c>
      <c r="AF185" s="532" t="str">
        <f t="shared" si="45"/>
        <v/>
      </c>
    </row>
    <row r="186" spans="2:32" x14ac:dyDescent="0.25">
      <c r="B186" s="695"/>
      <c r="C186" s="197" t="str">
        <f>IF(B186&lt;&gt;"",IFERROR(VLOOKUP(B:B,'מצבת והרשמה (2)'!$C$20:$N$520,2,0)," ")," ")</f>
        <v xml:space="preserve"> </v>
      </c>
      <c r="D186" s="695"/>
      <c r="E186" s="696"/>
      <c r="F186" s="696"/>
      <c r="G186" s="696"/>
      <c r="H186" s="696"/>
      <c r="I186" s="1050" t="str">
        <f t="shared" si="32"/>
        <v/>
      </c>
      <c r="J186" s="696"/>
      <c r="K186" s="697"/>
      <c r="L186" s="696"/>
      <c r="M186" s="198" t="str">
        <f t="shared" si="33"/>
        <v/>
      </c>
      <c r="N186" s="369" t="str">
        <f t="shared" si="34"/>
        <v/>
      </c>
      <c r="O186" s="183" t="str">
        <f t="shared" si="35"/>
        <v/>
      </c>
      <c r="P186" s="199" t="str">
        <f t="shared" si="36"/>
        <v/>
      </c>
      <c r="Q186" s="199" t="str">
        <f>IF(B186="","",IFERROR(IF('עלויות כח אדם (6)'!J186&gt;=VLOOKUP(I186,'סיווג התפקידים והעלויות'!$B$23:$C$32,2,0),"תקין","לא תקין"),""))</f>
        <v/>
      </c>
      <c r="R186" s="199" t="str">
        <f t="shared" si="37"/>
        <v/>
      </c>
      <c r="S186" s="199" t="str">
        <f t="shared" si="38"/>
        <v/>
      </c>
      <c r="T186" s="199" t="str">
        <f t="shared" si="46"/>
        <v/>
      </c>
      <c r="U186" s="199" t="str">
        <f t="shared" si="39"/>
        <v/>
      </c>
      <c r="V186" s="989"/>
      <c r="X186" s="374" t="str">
        <f t="shared" si="40"/>
        <v/>
      </c>
      <c r="Y186" s="375" t="str">
        <f t="shared" si="41"/>
        <v/>
      </c>
      <c r="Z186" s="374" t="str">
        <f t="shared" si="42"/>
        <v/>
      </c>
      <c r="AA186" s="374" t="b">
        <f t="shared" si="43"/>
        <v>1</v>
      </c>
      <c r="AB186" s="374">
        <f>COUNTIFS(B:B,B186,H:H,'סיווג התפקידים והעלויות'!$C$2)</f>
        <v>0</v>
      </c>
      <c r="AC186" s="374">
        <f>COUNTIFS(B:B,B186,H:H,'סיווג התפקידים והעלויות'!$D$2)</f>
        <v>0</v>
      </c>
      <c r="AD186" s="374" t="str">
        <f>IF(OR(AND(H186='סיווג התפקידים והעלויות'!$A$2,I186='סיווג התפקידים והעלויות'!$A$3),'עלויות כח אדם (6)'!H186='סיווג התפקידים והעלויות'!$C$2,'עלויות כח אדם (6)'!H186='סיווג התפקידים והעלויות'!$D$2),IF('עלויות כח אדם (6)'!J186&lt;75,"לא תקין","תקין"),"")</f>
        <v/>
      </c>
      <c r="AE186" s="374" t="str">
        <f t="shared" si="44"/>
        <v/>
      </c>
      <c r="AF186" s="532" t="str">
        <f t="shared" si="45"/>
        <v/>
      </c>
    </row>
    <row r="187" spans="2:32" x14ac:dyDescent="0.25">
      <c r="B187" s="695"/>
      <c r="C187" s="197" t="str">
        <f>IF(B187&lt;&gt;"",IFERROR(VLOOKUP(B:B,'מצבת והרשמה (2)'!$C$20:$N$520,2,0)," ")," ")</f>
        <v xml:space="preserve"> </v>
      </c>
      <c r="D187" s="695"/>
      <c r="E187" s="696"/>
      <c r="F187" s="696"/>
      <c r="G187" s="696"/>
      <c r="H187" s="696"/>
      <c r="I187" s="1050" t="str">
        <f t="shared" si="32"/>
        <v/>
      </c>
      <c r="J187" s="696"/>
      <c r="K187" s="697"/>
      <c r="L187" s="696"/>
      <c r="M187" s="198" t="str">
        <f t="shared" si="33"/>
        <v/>
      </c>
      <c r="N187" s="369" t="str">
        <f t="shared" si="34"/>
        <v/>
      </c>
      <c r="O187" s="183" t="str">
        <f t="shared" si="35"/>
        <v/>
      </c>
      <c r="P187" s="199" t="str">
        <f t="shared" si="36"/>
        <v/>
      </c>
      <c r="Q187" s="199" t="str">
        <f>IF(B187="","",IFERROR(IF('עלויות כח אדם (6)'!J187&gt;=VLOOKUP(I187,'סיווג התפקידים והעלויות'!$B$23:$C$32,2,0),"תקין","לא תקין"),""))</f>
        <v/>
      </c>
      <c r="R187" s="199" t="str">
        <f t="shared" si="37"/>
        <v/>
      </c>
      <c r="S187" s="199" t="str">
        <f t="shared" si="38"/>
        <v/>
      </c>
      <c r="T187" s="199" t="str">
        <f t="shared" si="46"/>
        <v/>
      </c>
      <c r="U187" s="199" t="str">
        <f t="shared" si="39"/>
        <v/>
      </c>
      <c r="V187" s="989"/>
      <c r="X187" s="374" t="str">
        <f t="shared" si="40"/>
        <v/>
      </c>
      <c r="Y187" s="375" t="str">
        <f t="shared" si="41"/>
        <v/>
      </c>
      <c r="Z187" s="374" t="str">
        <f t="shared" si="42"/>
        <v/>
      </c>
      <c r="AA187" s="374" t="b">
        <f t="shared" si="43"/>
        <v>1</v>
      </c>
      <c r="AB187" s="374">
        <f>COUNTIFS(B:B,B187,H:H,'סיווג התפקידים והעלויות'!$C$2)</f>
        <v>0</v>
      </c>
      <c r="AC187" s="374">
        <f>COUNTIFS(B:B,B187,H:H,'סיווג התפקידים והעלויות'!$D$2)</f>
        <v>0</v>
      </c>
      <c r="AD187" s="374" t="str">
        <f>IF(OR(AND(H187='סיווג התפקידים והעלויות'!$A$2,I187='סיווג התפקידים והעלויות'!$A$3),'עלויות כח אדם (6)'!H187='סיווג התפקידים והעלויות'!$C$2,'עלויות כח אדם (6)'!H187='סיווג התפקידים והעלויות'!$D$2),IF('עלויות כח אדם (6)'!J187&lt;75,"לא תקין","תקין"),"")</f>
        <v/>
      </c>
      <c r="AE187" s="374" t="str">
        <f t="shared" si="44"/>
        <v/>
      </c>
      <c r="AF187" s="532" t="str">
        <f t="shared" si="45"/>
        <v/>
      </c>
    </row>
    <row r="188" spans="2:32" x14ac:dyDescent="0.25">
      <c r="B188" s="695"/>
      <c r="C188" s="197" t="str">
        <f>IF(B188&lt;&gt;"",IFERROR(VLOOKUP(B:B,'מצבת והרשמה (2)'!$C$20:$N$520,2,0)," ")," ")</f>
        <v xml:space="preserve"> </v>
      </c>
      <c r="D188" s="695"/>
      <c r="E188" s="696"/>
      <c r="F188" s="696"/>
      <c r="G188" s="696"/>
      <c r="H188" s="696"/>
      <c r="I188" s="1050" t="str">
        <f t="shared" si="32"/>
        <v/>
      </c>
      <c r="J188" s="696"/>
      <c r="K188" s="697"/>
      <c r="L188" s="696"/>
      <c r="M188" s="198" t="str">
        <f t="shared" si="33"/>
        <v/>
      </c>
      <c r="N188" s="369" t="str">
        <f t="shared" si="34"/>
        <v/>
      </c>
      <c r="O188" s="183" t="str">
        <f t="shared" si="35"/>
        <v/>
      </c>
      <c r="P188" s="199" t="str">
        <f t="shared" si="36"/>
        <v/>
      </c>
      <c r="Q188" s="199" t="str">
        <f>IF(B188="","",IFERROR(IF('עלויות כח אדם (6)'!J188&gt;=VLOOKUP(I188,'סיווג התפקידים והעלויות'!$B$23:$C$32,2,0),"תקין","לא תקין"),""))</f>
        <v/>
      </c>
      <c r="R188" s="199" t="str">
        <f t="shared" si="37"/>
        <v/>
      </c>
      <c r="S188" s="199" t="str">
        <f t="shared" si="38"/>
        <v/>
      </c>
      <c r="T188" s="199" t="str">
        <f t="shared" si="46"/>
        <v/>
      </c>
      <c r="U188" s="199" t="str">
        <f t="shared" si="39"/>
        <v/>
      </c>
      <c r="V188" s="989"/>
      <c r="X188" s="374" t="str">
        <f t="shared" si="40"/>
        <v/>
      </c>
      <c r="Y188" s="375" t="str">
        <f t="shared" si="41"/>
        <v/>
      </c>
      <c r="Z188" s="374" t="str">
        <f t="shared" si="42"/>
        <v/>
      </c>
      <c r="AA188" s="374" t="b">
        <f t="shared" si="43"/>
        <v>1</v>
      </c>
      <c r="AB188" s="374">
        <f>COUNTIFS(B:B,B188,H:H,'סיווג התפקידים והעלויות'!$C$2)</f>
        <v>0</v>
      </c>
      <c r="AC188" s="374">
        <f>COUNTIFS(B:B,B188,H:H,'סיווג התפקידים והעלויות'!$D$2)</f>
        <v>0</v>
      </c>
      <c r="AD188" s="374" t="str">
        <f>IF(OR(AND(H188='סיווג התפקידים והעלויות'!$A$2,I188='סיווג התפקידים והעלויות'!$A$3),'עלויות כח אדם (6)'!H188='סיווג התפקידים והעלויות'!$C$2,'עלויות כח אדם (6)'!H188='סיווג התפקידים והעלויות'!$D$2),IF('עלויות כח אדם (6)'!J188&lt;75,"לא תקין","תקין"),"")</f>
        <v/>
      </c>
      <c r="AE188" s="374" t="str">
        <f t="shared" si="44"/>
        <v/>
      </c>
      <c r="AF188" s="532" t="str">
        <f t="shared" si="45"/>
        <v/>
      </c>
    </row>
    <row r="189" spans="2:32" x14ac:dyDescent="0.25">
      <c r="B189" s="695"/>
      <c r="C189" s="197" t="str">
        <f>IF(B189&lt;&gt;"",IFERROR(VLOOKUP(B:B,'מצבת והרשמה (2)'!$C$20:$N$520,2,0)," ")," ")</f>
        <v xml:space="preserve"> </v>
      </c>
      <c r="D189" s="695"/>
      <c r="E189" s="696"/>
      <c r="F189" s="696"/>
      <c r="G189" s="696"/>
      <c r="H189" s="696"/>
      <c r="I189" s="1050" t="str">
        <f t="shared" si="32"/>
        <v/>
      </c>
      <c r="J189" s="696"/>
      <c r="K189" s="697"/>
      <c r="L189" s="696"/>
      <c r="M189" s="198" t="str">
        <f t="shared" si="33"/>
        <v/>
      </c>
      <c r="N189" s="369" t="str">
        <f t="shared" si="34"/>
        <v/>
      </c>
      <c r="O189" s="183" t="str">
        <f t="shared" si="35"/>
        <v/>
      </c>
      <c r="P189" s="199" t="str">
        <f t="shared" si="36"/>
        <v/>
      </c>
      <c r="Q189" s="199" t="str">
        <f>IF(B189="","",IFERROR(IF('עלויות כח אדם (6)'!J189&gt;=VLOOKUP(I189,'סיווג התפקידים והעלויות'!$B$23:$C$32,2,0),"תקין","לא תקין"),""))</f>
        <v/>
      </c>
      <c r="R189" s="199" t="str">
        <f t="shared" si="37"/>
        <v/>
      </c>
      <c r="S189" s="199" t="str">
        <f t="shared" si="38"/>
        <v/>
      </c>
      <c r="T189" s="199" t="str">
        <f t="shared" si="46"/>
        <v/>
      </c>
      <c r="U189" s="199" t="str">
        <f t="shared" si="39"/>
        <v/>
      </c>
      <c r="V189" s="989"/>
      <c r="X189" s="374" t="str">
        <f t="shared" si="40"/>
        <v/>
      </c>
      <c r="Y189" s="375" t="str">
        <f t="shared" si="41"/>
        <v/>
      </c>
      <c r="Z189" s="374" t="str">
        <f t="shared" si="42"/>
        <v/>
      </c>
      <c r="AA189" s="374" t="b">
        <f t="shared" si="43"/>
        <v>1</v>
      </c>
      <c r="AB189" s="374">
        <f>COUNTIFS(B:B,B189,H:H,'סיווג התפקידים והעלויות'!$C$2)</f>
        <v>0</v>
      </c>
      <c r="AC189" s="374">
        <f>COUNTIFS(B:B,B189,H:H,'סיווג התפקידים והעלויות'!$D$2)</f>
        <v>0</v>
      </c>
      <c r="AD189" s="374" t="str">
        <f>IF(OR(AND(H189='סיווג התפקידים והעלויות'!$A$2,I189='סיווג התפקידים והעלויות'!$A$3),'עלויות כח אדם (6)'!H189='סיווג התפקידים והעלויות'!$C$2,'עלויות כח אדם (6)'!H189='סיווג התפקידים והעלויות'!$D$2),IF('עלויות כח אדם (6)'!J189&lt;75,"לא תקין","תקין"),"")</f>
        <v/>
      </c>
      <c r="AE189" s="374" t="str">
        <f t="shared" si="44"/>
        <v/>
      </c>
      <c r="AF189" s="532" t="str">
        <f t="shared" si="45"/>
        <v/>
      </c>
    </row>
    <row r="190" spans="2:32" x14ac:dyDescent="0.25">
      <c r="B190" s="695"/>
      <c r="C190" s="197" t="str">
        <f>IF(B190&lt;&gt;"",IFERROR(VLOOKUP(B:B,'מצבת והרשמה (2)'!$C$20:$N$520,2,0)," ")," ")</f>
        <v xml:space="preserve"> </v>
      </c>
      <c r="D190" s="695"/>
      <c r="E190" s="696"/>
      <c r="F190" s="696"/>
      <c r="G190" s="696"/>
      <c r="H190" s="696"/>
      <c r="I190" s="1050" t="str">
        <f t="shared" si="32"/>
        <v/>
      </c>
      <c r="J190" s="696"/>
      <c r="K190" s="697"/>
      <c r="L190" s="696"/>
      <c r="M190" s="198" t="str">
        <f t="shared" si="33"/>
        <v/>
      </c>
      <c r="N190" s="369" t="str">
        <f t="shared" si="34"/>
        <v/>
      </c>
      <c r="O190" s="183" t="str">
        <f t="shared" si="35"/>
        <v/>
      </c>
      <c r="P190" s="199" t="str">
        <f t="shared" si="36"/>
        <v/>
      </c>
      <c r="Q190" s="199" t="str">
        <f>IF(B190="","",IFERROR(IF('עלויות כח אדם (6)'!J190&gt;=VLOOKUP(I190,'סיווג התפקידים והעלויות'!$B$23:$C$32,2,0),"תקין","לא תקין"),""))</f>
        <v/>
      </c>
      <c r="R190" s="199" t="str">
        <f t="shared" si="37"/>
        <v/>
      </c>
      <c r="S190" s="199" t="str">
        <f t="shared" si="38"/>
        <v/>
      </c>
      <c r="T190" s="199" t="str">
        <f t="shared" si="46"/>
        <v/>
      </c>
      <c r="U190" s="199" t="str">
        <f t="shared" si="39"/>
        <v/>
      </c>
      <c r="V190" s="989"/>
      <c r="X190" s="374" t="str">
        <f t="shared" si="40"/>
        <v/>
      </c>
      <c r="Y190" s="375" t="str">
        <f t="shared" si="41"/>
        <v/>
      </c>
      <c r="Z190" s="374" t="str">
        <f t="shared" si="42"/>
        <v/>
      </c>
      <c r="AA190" s="374" t="b">
        <f t="shared" si="43"/>
        <v>1</v>
      </c>
      <c r="AB190" s="374">
        <f>COUNTIFS(B:B,B190,H:H,'סיווג התפקידים והעלויות'!$C$2)</f>
        <v>0</v>
      </c>
      <c r="AC190" s="374">
        <f>COUNTIFS(B:B,B190,H:H,'סיווג התפקידים והעלויות'!$D$2)</f>
        <v>0</v>
      </c>
      <c r="AD190" s="374" t="str">
        <f>IF(OR(AND(H190='סיווג התפקידים והעלויות'!$A$2,I190='סיווג התפקידים והעלויות'!$A$3),'עלויות כח אדם (6)'!H190='סיווג התפקידים והעלויות'!$C$2,'עלויות כח אדם (6)'!H190='סיווג התפקידים והעלויות'!$D$2),IF('עלויות כח אדם (6)'!J190&lt;75,"לא תקין","תקין"),"")</f>
        <v/>
      </c>
      <c r="AE190" s="374" t="str">
        <f t="shared" si="44"/>
        <v/>
      </c>
      <c r="AF190" s="532" t="str">
        <f t="shared" si="45"/>
        <v/>
      </c>
    </row>
    <row r="191" spans="2:32" x14ac:dyDescent="0.25">
      <c r="B191" s="695"/>
      <c r="C191" s="197" t="str">
        <f>IF(B191&lt;&gt;"",IFERROR(VLOOKUP(B:B,'מצבת והרשמה (2)'!$C$20:$N$520,2,0)," ")," ")</f>
        <v xml:space="preserve"> </v>
      </c>
      <c r="D191" s="695"/>
      <c r="E191" s="696"/>
      <c r="F191" s="696"/>
      <c r="G191" s="696"/>
      <c r="H191" s="696"/>
      <c r="I191" s="1050" t="str">
        <f t="shared" si="32"/>
        <v/>
      </c>
      <c r="J191" s="696"/>
      <c r="K191" s="697"/>
      <c r="L191" s="696"/>
      <c r="M191" s="198" t="str">
        <f t="shared" si="33"/>
        <v/>
      </c>
      <c r="N191" s="369" t="str">
        <f t="shared" si="34"/>
        <v/>
      </c>
      <c r="O191" s="183" t="str">
        <f t="shared" si="35"/>
        <v/>
      </c>
      <c r="P191" s="199" t="str">
        <f t="shared" si="36"/>
        <v/>
      </c>
      <c r="Q191" s="199" t="str">
        <f>IF(B191="","",IFERROR(IF('עלויות כח אדם (6)'!J191&gt;=VLOOKUP(I191,'סיווג התפקידים והעלויות'!$B$23:$C$32,2,0),"תקין","לא תקין"),""))</f>
        <v/>
      </c>
      <c r="R191" s="199" t="str">
        <f t="shared" si="37"/>
        <v/>
      </c>
      <c r="S191" s="199" t="str">
        <f t="shared" si="38"/>
        <v/>
      </c>
      <c r="T191" s="199" t="str">
        <f t="shared" si="46"/>
        <v/>
      </c>
      <c r="U191" s="199" t="str">
        <f t="shared" si="39"/>
        <v/>
      </c>
      <c r="V191" s="989"/>
      <c r="X191" s="374" t="str">
        <f t="shared" si="40"/>
        <v/>
      </c>
      <c r="Y191" s="375" t="str">
        <f t="shared" si="41"/>
        <v/>
      </c>
      <c r="Z191" s="374" t="str">
        <f t="shared" si="42"/>
        <v/>
      </c>
      <c r="AA191" s="374" t="b">
        <f t="shared" si="43"/>
        <v>1</v>
      </c>
      <c r="AB191" s="374">
        <f>COUNTIFS(B:B,B191,H:H,'סיווג התפקידים והעלויות'!$C$2)</f>
        <v>0</v>
      </c>
      <c r="AC191" s="374">
        <f>COUNTIFS(B:B,B191,H:H,'סיווג התפקידים והעלויות'!$D$2)</f>
        <v>0</v>
      </c>
      <c r="AD191" s="374" t="str">
        <f>IF(OR(AND(H191='סיווג התפקידים והעלויות'!$A$2,I191='סיווג התפקידים והעלויות'!$A$3),'עלויות כח אדם (6)'!H191='סיווג התפקידים והעלויות'!$C$2,'עלויות כח אדם (6)'!H191='סיווג התפקידים והעלויות'!$D$2),IF('עלויות כח אדם (6)'!J191&lt;75,"לא תקין","תקין"),"")</f>
        <v/>
      </c>
      <c r="AE191" s="374" t="str">
        <f t="shared" si="44"/>
        <v/>
      </c>
      <c r="AF191" s="532" t="str">
        <f t="shared" si="45"/>
        <v/>
      </c>
    </row>
    <row r="192" spans="2:32" x14ac:dyDescent="0.25">
      <c r="B192" s="695"/>
      <c r="C192" s="197" t="str">
        <f>IF(B192&lt;&gt;"",IFERROR(VLOOKUP(B:B,'מצבת והרשמה (2)'!$C$20:$N$520,2,0)," ")," ")</f>
        <v xml:space="preserve"> </v>
      </c>
      <c r="D192" s="695"/>
      <c r="E192" s="696"/>
      <c r="F192" s="696"/>
      <c r="G192" s="696"/>
      <c r="H192" s="696"/>
      <c r="I192" s="1050" t="str">
        <f t="shared" si="32"/>
        <v/>
      </c>
      <c r="J192" s="696"/>
      <c r="K192" s="697"/>
      <c r="L192" s="696"/>
      <c r="M192" s="198" t="str">
        <f t="shared" si="33"/>
        <v/>
      </c>
      <c r="N192" s="369" t="str">
        <f t="shared" si="34"/>
        <v/>
      </c>
      <c r="O192" s="183" t="str">
        <f t="shared" si="35"/>
        <v/>
      </c>
      <c r="P192" s="199" t="str">
        <f t="shared" si="36"/>
        <v/>
      </c>
      <c r="Q192" s="199" t="str">
        <f>IF(B192="","",IFERROR(IF('עלויות כח אדם (6)'!J192&gt;=VLOOKUP(I192,'סיווג התפקידים והעלויות'!$B$23:$C$32,2,0),"תקין","לא תקין"),""))</f>
        <v/>
      </c>
      <c r="R192" s="199" t="str">
        <f t="shared" si="37"/>
        <v/>
      </c>
      <c r="S192" s="199" t="str">
        <f t="shared" si="38"/>
        <v/>
      </c>
      <c r="T192" s="199" t="str">
        <f t="shared" si="46"/>
        <v/>
      </c>
      <c r="U192" s="199" t="str">
        <f t="shared" si="39"/>
        <v/>
      </c>
      <c r="V192" s="989"/>
      <c r="X192" s="374" t="str">
        <f t="shared" si="40"/>
        <v/>
      </c>
      <c r="Y192" s="375" t="str">
        <f t="shared" si="41"/>
        <v/>
      </c>
      <c r="Z192" s="374" t="str">
        <f t="shared" si="42"/>
        <v/>
      </c>
      <c r="AA192" s="374" t="b">
        <f t="shared" si="43"/>
        <v>1</v>
      </c>
      <c r="AB192" s="374">
        <f>COUNTIFS(B:B,B192,H:H,'סיווג התפקידים והעלויות'!$C$2)</f>
        <v>0</v>
      </c>
      <c r="AC192" s="374">
        <f>COUNTIFS(B:B,B192,H:H,'סיווג התפקידים והעלויות'!$D$2)</f>
        <v>0</v>
      </c>
      <c r="AD192" s="374" t="str">
        <f>IF(OR(AND(H192='סיווג התפקידים והעלויות'!$A$2,I192='סיווג התפקידים והעלויות'!$A$3),'עלויות כח אדם (6)'!H192='סיווג התפקידים והעלויות'!$C$2,'עלויות כח אדם (6)'!H192='סיווג התפקידים והעלויות'!$D$2),IF('עלויות כח אדם (6)'!J192&lt;75,"לא תקין","תקין"),"")</f>
        <v/>
      </c>
      <c r="AE192" s="374" t="str">
        <f t="shared" si="44"/>
        <v/>
      </c>
      <c r="AF192" s="532" t="str">
        <f t="shared" si="45"/>
        <v/>
      </c>
    </row>
    <row r="193" spans="2:32" x14ac:dyDescent="0.25">
      <c r="B193" s="695"/>
      <c r="C193" s="197" t="str">
        <f>IF(B193&lt;&gt;"",IFERROR(VLOOKUP(B:B,'מצבת והרשמה (2)'!$C$20:$N$520,2,0)," ")," ")</f>
        <v xml:space="preserve"> </v>
      </c>
      <c r="D193" s="695"/>
      <c r="E193" s="696"/>
      <c r="F193" s="696"/>
      <c r="G193" s="696"/>
      <c r="H193" s="696"/>
      <c r="I193" s="1050" t="str">
        <f t="shared" si="32"/>
        <v/>
      </c>
      <c r="J193" s="696"/>
      <c r="K193" s="697"/>
      <c r="L193" s="696"/>
      <c r="M193" s="198" t="str">
        <f t="shared" si="33"/>
        <v/>
      </c>
      <c r="N193" s="369" t="str">
        <f t="shared" si="34"/>
        <v/>
      </c>
      <c r="O193" s="183" t="str">
        <f t="shared" si="35"/>
        <v/>
      </c>
      <c r="P193" s="199" t="str">
        <f t="shared" si="36"/>
        <v/>
      </c>
      <c r="Q193" s="199" t="str">
        <f>IF(B193="","",IFERROR(IF('עלויות כח אדם (6)'!J193&gt;=VLOOKUP(I193,'סיווג התפקידים והעלויות'!$B$23:$C$32,2,0),"תקין","לא תקין"),""))</f>
        <v/>
      </c>
      <c r="R193" s="199" t="str">
        <f t="shared" si="37"/>
        <v/>
      </c>
      <c r="S193" s="199" t="str">
        <f t="shared" si="38"/>
        <v/>
      </c>
      <c r="T193" s="199" t="str">
        <f t="shared" si="46"/>
        <v/>
      </c>
      <c r="U193" s="199" t="str">
        <f t="shared" si="39"/>
        <v/>
      </c>
      <c r="V193" s="989"/>
      <c r="X193" s="374" t="str">
        <f t="shared" si="40"/>
        <v/>
      </c>
      <c r="Y193" s="375" t="str">
        <f t="shared" si="41"/>
        <v/>
      </c>
      <c r="Z193" s="374" t="str">
        <f t="shared" si="42"/>
        <v/>
      </c>
      <c r="AA193" s="374" t="b">
        <f t="shared" si="43"/>
        <v>1</v>
      </c>
      <c r="AB193" s="374">
        <f>COUNTIFS(B:B,B193,H:H,'סיווג התפקידים והעלויות'!$C$2)</f>
        <v>0</v>
      </c>
      <c r="AC193" s="374">
        <f>COUNTIFS(B:B,B193,H:H,'סיווג התפקידים והעלויות'!$D$2)</f>
        <v>0</v>
      </c>
      <c r="AD193" s="374" t="str">
        <f>IF(OR(AND(H193='סיווג התפקידים והעלויות'!$A$2,I193='סיווג התפקידים והעלויות'!$A$3),'עלויות כח אדם (6)'!H193='סיווג התפקידים והעלויות'!$C$2,'עלויות כח אדם (6)'!H193='סיווג התפקידים והעלויות'!$D$2),IF('עלויות כח אדם (6)'!J193&lt;75,"לא תקין","תקין"),"")</f>
        <v/>
      </c>
      <c r="AE193" s="374" t="str">
        <f t="shared" si="44"/>
        <v/>
      </c>
      <c r="AF193" s="532" t="str">
        <f t="shared" si="45"/>
        <v/>
      </c>
    </row>
    <row r="194" spans="2:32" x14ac:dyDescent="0.25">
      <c r="B194" s="695"/>
      <c r="C194" s="197" t="str">
        <f>IF(B194&lt;&gt;"",IFERROR(VLOOKUP(B:B,'מצבת והרשמה (2)'!$C$20:$N$520,2,0)," ")," ")</f>
        <v xml:space="preserve"> </v>
      </c>
      <c r="D194" s="695"/>
      <c r="E194" s="696"/>
      <c r="F194" s="696"/>
      <c r="G194" s="696"/>
      <c r="H194" s="696"/>
      <c r="I194" s="1050" t="str">
        <f t="shared" si="32"/>
        <v/>
      </c>
      <c r="J194" s="696"/>
      <c r="K194" s="697"/>
      <c r="L194" s="696"/>
      <c r="M194" s="198" t="str">
        <f t="shared" si="33"/>
        <v/>
      </c>
      <c r="N194" s="369" t="str">
        <f t="shared" si="34"/>
        <v/>
      </c>
      <c r="O194" s="183" t="str">
        <f t="shared" si="35"/>
        <v/>
      </c>
      <c r="P194" s="199" t="str">
        <f t="shared" si="36"/>
        <v/>
      </c>
      <c r="Q194" s="199" t="str">
        <f>IF(B194="","",IFERROR(IF('עלויות כח אדם (6)'!J194&gt;=VLOOKUP(I194,'סיווג התפקידים והעלויות'!$B$23:$C$32,2,0),"תקין","לא תקין"),""))</f>
        <v/>
      </c>
      <c r="R194" s="199" t="str">
        <f t="shared" si="37"/>
        <v/>
      </c>
      <c r="S194" s="199" t="str">
        <f t="shared" si="38"/>
        <v/>
      </c>
      <c r="T194" s="199" t="str">
        <f t="shared" si="46"/>
        <v/>
      </c>
      <c r="U194" s="199" t="str">
        <f t="shared" si="39"/>
        <v/>
      </c>
      <c r="V194" s="989"/>
      <c r="X194" s="374" t="str">
        <f t="shared" si="40"/>
        <v/>
      </c>
      <c r="Y194" s="375" t="str">
        <f t="shared" si="41"/>
        <v/>
      </c>
      <c r="Z194" s="374" t="str">
        <f t="shared" si="42"/>
        <v/>
      </c>
      <c r="AA194" s="374" t="b">
        <f t="shared" si="43"/>
        <v>1</v>
      </c>
      <c r="AB194" s="374">
        <f>COUNTIFS(B:B,B194,H:H,'סיווג התפקידים והעלויות'!$C$2)</f>
        <v>0</v>
      </c>
      <c r="AC194" s="374">
        <f>COUNTIFS(B:B,B194,H:H,'סיווג התפקידים והעלויות'!$D$2)</f>
        <v>0</v>
      </c>
      <c r="AD194" s="374" t="str">
        <f>IF(OR(AND(H194='סיווג התפקידים והעלויות'!$A$2,I194='סיווג התפקידים והעלויות'!$A$3),'עלויות כח אדם (6)'!H194='סיווג התפקידים והעלויות'!$C$2,'עלויות כח אדם (6)'!H194='סיווג התפקידים והעלויות'!$D$2),IF('עלויות כח אדם (6)'!J194&lt;75,"לא תקין","תקין"),"")</f>
        <v/>
      </c>
      <c r="AE194" s="374" t="str">
        <f t="shared" si="44"/>
        <v/>
      </c>
      <c r="AF194" s="532" t="str">
        <f t="shared" si="45"/>
        <v/>
      </c>
    </row>
    <row r="195" spans="2:32" x14ac:dyDescent="0.25">
      <c r="B195" s="695"/>
      <c r="C195" s="197" t="str">
        <f>IF(B195&lt;&gt;"",IFERROR(VLOOKUP(B:B,'מצבת והרשמה (2)'!$C$20:$N$520,2,0)," ")," ")</f>
        <v xml:space="preserve"> </v>
      </c>
      <c r="D195" s="695"/>
      <c r="E195" s="696"/>
      <c r="F195" s="696"/>
      <c r="G195" s="696"/>
      <c r="H195" s="696"/>
      <c r="I195" s="1050" t="str">
        <f t="shared" si="32"/>
        <v/>
      </c>
      <c r="J195" s="696"/>
      <c r="K195" s="697"/>
      <c r="L195" s="696"/>
      <c r="M195" s="198" t="str">
        <f t="shared" si="33"/>
        <v/>
      </c>
      <c r="N195" s="369" t="str">
        <f t="shared" si="34"/>
        <v/>
      </c>
      <c r="O195" s="183" t="str">
        <f t="shared" si="35"/>
        <v/>
      </c>
      <c r="P195" s="199" t="str">
        <f t="shared" si="36"/>
        <v/>
      </c>
      <c r="Q195" s="199" t="str">
        <f>IF(B195="","",IFERROR(IF('עלויות כח אדם (6)'!J195&gt;=VLOOKUP(I195,'סיווג התפקידים והעלויות'!$B$23:$C$32,2,0),"תקין","לא תקין"),""))</f>
        <v/>
      </c>
      <c r="R195" s="199" t="str">
        <f t="shared" si="37"/>
        <v/>
      </c>
      <c r="S195" s="199" t="str">
        <f t="shared" si="38"/>
        <v/>
      </c>
      <c r="T195" s="199" t="str">
        <f t="shared" si="46"/>
        <v/>
      </c>
      <c r="U195" s="199" t="str">
        <f t="shared" si="39"/>
        <v/>
      </c>
      <c r="V195" s="989"/>
      <c r="X195" s="374" t="str">
        <f t="shared" si="40"/>
        <v/>
      </c>
      <c r="Y195" s="375" t="str">
        <f t="shared" si="41"/>
        <v/>
      </c>
      <c r="Z195" s="374" t="str">
        <f t="shared" si="42"/>
        <v/>
      </c>
      <c r="AA195" s="374" t="b">
        <f t="shared" si="43"/>
        <v>1</v>
      </c>
      <c r="AB195" s="374">
        <f>COUNTIFS(B:B,B195,H:H,'סיווג התפקידים והעלויות'!$C$2)</f>
        <v>0</v>
      </c>
      <c r="AC195" s="374">
        <f>COUNTIFS(B:B,B195,H:H,'סיווג התפקידים והעלויות'!$D$2)</f>
        <v>0</v>
      </c>
      <c r="AD195" s="374" t="str">
        <f>IF(OR(AND(H195='סיווג התפקידים והעלויות'!$A$2,I195='סיווג התפקידים והעלויות'!$A$3),'עלויות כח אדם (6)'!H195='סיווג התפקידים והעלויות'!$C$2,'עלויות כח אדם (6)'!H195='סיווג התפקידים והעלויות'!$D$2),IF('עלויות כח אדם (6)'!J195&lt;75,"לא תקין","תקין"),"")</f>
        <v/>
      </c>
      <c r="AE195" s="374" t="str">
        <f t="shared" si="44"/>
        <v/>
      </c>
      <c r="AF195" s="532" t="str">
        <f t="shared" si="45"/>
        <v/>
      </c>
    </row>
    <row r="196" spans="2:32" x14ac:dyDescent="0.25">
      <c r="B196" s="695"/>
      <c r="C196" s="197" t="str">
        <f>IF(B196&lt;&gt;"",IFERROR(VLOOKUP(B:B,'מצבת והרשמה (2)'!$C$20:$N$520,2,0)," ")," ")</f>
        <v xml:space="preserve"> </v>
      </c>
      <c r="D196" s="695"/>
      <c r="E196" s="696"/>
      <c r="F196" s="696"/>
      <c r="G196" s="696"/>
      <c r="H196" s="696"/>
      <c r="I196" s="1050" t="str">
        <f t="shared" si="32"/>
        <v/>
      </c>
      <c r="J196" s="696"/>
      <c r="K196" s="697"/>
      <c r="L196" s="696"/>
      <c r="M196" s="198" t="str">
        <f t="shared" si="33"/>
        <v/>
      </c>
      <c r="N196" s="369" t="str">
        <f t="shared" si="34"/>
        <v/>
      </c>
      <c r="O196" s="183" t="str">
        <f t="shared" si="35"/>
        <v/>
      </c>
      <c r="P196" s="199" t="str">
        <f t="shared" si="36"/>
        <v/>
      </c>
      <c r="Q196" s="199" t="str">
        <f>IF(B196="","",IFERROR(IF('עלויות כח אדם (6)'!J196&gt;=VLOOKUP(I196,'סיווג התפקידים והעלויות'!$B$23:$C$32,2,0),"תקין","לא תקין"),""))</f>
        <v/>
      </c>
      <c r="R196" s="199" t="str">
        <f t="shared" si="37"/>
        <v/>
      </c>
      <c r="S196" s="199" t="str">
        <f t="shared" si="38"/>
        <v/>
      </c>
      <c r="T196" s="199" t="str">
        <f t="shared" si="46"/>
        <v/>
      </c>
      <c r="U196" s="199" t="str">
        <f t="shared" si="39"/>
        <v/>
      </c>
      <c r="V196" s="989"/>
      <c r="X196" s="374" t="str">
        <f t="shared" si="40"/>
        <v/>
      </c>
      <c r="Y196" s="375" t="str">
        <f t="shared" si="41"/>
        <v/>
      </c>
      <c r="Z196" s="374" t="str">
        <f t="shared" si="42"/>
        <v/>
      </c>
      <c r="AA196" s="374" t="b">
        <f t="shared" si="43"/>
        <v>1</v>
      </c>
      <c r="AB196" s="374">
        <f>COUNTIFS(B:B,B196,H:H,'סיווג התפקידים והעלויות'!$C$2)</f>
        <v>0</v>
      </c>
      <c r="AC196" s="374">
        <f>COUNTIFS(B:B,B196,H:H,'סיווג התפקידים והעלויות'!$D$2)</f>
        <v>0</v>
      </c>
      <c r="AD196" s="374" t="str">
        <f>IF(OR(AND(H196='סיווג התפקידים והעלויות'!$A$2,I196='סיווג התפקידים והעלויות'!$A$3),'עלויות כח אדם (6)'!H196='סיווג התפקידים והעלויות'!$C$2,'עלויות כח אדם (6)'!H196='סיווג התפקידים והעלויות'!$D$2),IF('עלויות כח אדם (6)'!J196&lt;75,"לא תקין","תקין"),"")</f>
        <v/>
      </c>
      <c r="AE196" s="374" t="str">
        <f t="shared" si="44"/>
        <v/>
      </c>
      <c r="AF196" s="532" t="str">
        <f t="shared" si="45"/>
        <v/>
      </c>
    </row>
    <row r="197" spans="2:32" x14ac:dyDescent="0.25">
      <c r="B197" s="695"/>
      <c r="C197" s="197" t="str">
        <f>IF(B197&lt;&gt;"",IFERROR(VLOOKUP(B:B,'מצבת והרשמה (2)'!$C$20:$N$520,2,0)," ")," ")</f>
        <v xml:space="preserve"> </v>
      </c>
      <c r="D197" s="695"/>
      <c r="E197" s="696"/>
      <c r="F197" s="696"/>
      <c r="G197" s="696"/>
      <c r="H197" s="696"/>
      <c r="I197" s="1050" t="str">
        <f t="shared" si="32"/>
        <v/>
      </c>
      <c r="J197" s="696"/>
      <c r="K197" s="697"/>
      <c r="L197" s="696"/>
      <c r="M197" s="198" t="str">
        <f t="shared" si="33"/>
        <v/>
      </c>
      <c r="N197" s="369" t="str">
        <f t="shared" si="34"/>
        <v/>
      </c>
      <c r="O197" s="183" t="str">
        <f t="shared" si="35"/>
        <v/>
      </c>
      <c r="P197" s="199" t="str">
        <f t="shared" si="36"/>
        <v/>
      </c>
      <c r="Q197" s="199" t="str">
        <f>IF(B197="","",IFERROR(IF('עלויות כח אדם (6)'!J197&gt;=VLOOKUP(I197,'סיווג התפקידים והעלויות'!$B$23:$C$32,2,0),"תקין","לא תקין"),""))</f>
        <v/>
      </c>
      <c r="R197" s="199" t="str">
        <f t="shared" si="37"/>
        <v/>
      </c>
      <c r="S197" s="199" t="str">
        <f t="shared" si="38"/>
        <v/>
      </c>
      <c r="T197" s="199" t="str">
        <f t="shared" si="46"/>
        <v/>
      </c>
      <c r="U197" s="199" t="str">
        <f t="shared" si="39"/>
        <v/>
      </c>
      <c r="V197" s="989"/>
      <c r="X197" s="374" t="str">
        <f t="shared" si="40"/>
        <v/>
      </c>
      <c r="Y197" s="375" t="str">
        <f t="shared" si="41"/>
        <v/>
      </c>
      <c r="Z197" s="374" t="str">
        <f t="shared" si="42"/>
        <v/>
      </c>
      <c r="AA197" s="374" t="b">
        <f t="shared" si="43"/>
        <v>1</v>
      </c>
      <c r="AB197" s="374">
        <f>COUNTIFS(B:B,B197,H:H,'סיווג התפקידים והעלויות'!$C$2)</f>
        <v>0</v>
      </c>
      <c r="AC197" s="374">
        <f>COUNTIFS(B:B,B197,H:H,'סיווג התפקידים והעלויות'!$D$2)</f>
        <v>0</v>
      </c>
      <c r="AD197" s="374" t="str">
        <f>IF(OR(AND(H197='סיווג התפקידים והעלויות'!$A$2,I197='סיווג התפקידים והעלויות'!$A$3),'עלויות כח אדם (6)'!H197='סיווג התפקידים והעלויות'!$C$2,'עלויות כח אדם (6)'!H197='סיווג התפקידים והעלויות'!$D$2),IF('עלויות כח אדם (6)'!J197&lt;75,"לא תקין","תקין"),"")</f>
        <v/>
      </c>
      <c r="AE197" s="374" t="str">
        <f t="shared" si="44"/>
        <v/>
      </c>
      <c r="AF197" s="532" t="str">
        <f t="shared" si="45"/>
        <v/>
      </c>
    </row>
    <row r="198" spans="2:32" x14ac:dyDescent="0.25">
      <c r="B198" s="695"/>
      <c r="C198" s="197" t="str">
        <f>IF(B198&lt;&gt;"",IFERROR(VLOOKUP(B:B,'מצבת והרשמה (2)'!$C$20:$N$520,2,0)," ")," ")</f>
        <v xml:space="preserve"> </v>
      </c>
      <c r="D198" s="695"/>
      <c r="E198" s="696"/>
      <c r="F198" s="696"/>
      <c r="G198" s="696"/>
      <c r="H198" s="696"/>
      <c r="I198" s="1050" t="str">
        <f t="shared" si="32"/>
        <v/>
      </c>
      <c r="J198" s="696"/>
      <c r="K198" s="697"/>
      <c r="L198" s="696"/>
      <c r="M198" s="198" t="str">
        <f t="shared" si="33"/>
        <v/>
      </c>
      <c r="N198" s="369" t="str">
        <f t="shared" si="34"/>
        <v/>
      </c>
      <c r="O198" s="183" t="str">
        <f t="shared" si="35"/>
        <v/>
      </c>
      <c r="P198" s="199" t="str">
        <f t="shared" si="36"/>
        <v/>
      </c>
      <c r="Q198" s="199" t="str">
        <f>IF(B198="","",IFERROR(IF('עלויות כח אדם (6)'!J198&gt;=VLOOKUP(I198,'סיווג התפקידים והעלויות'!$B$23:$C$32,2,0),"תקין","לא תקין"),""))</f>
        <v/>
      </c>
      <c r="R198" s="199" t="str">
        <f t="shared" si="37"/>
        <v/>
      </c>
      <c r="S198" s="199" t="str">
        <f t="shared" si="38"/>
        <v/>
      </c>
      <c r="T198" s="199" t="str">
        <f t="shared" si="46"/>
        <v/>
      </c>
      <c r="U198" s="199" t="str">
        <f t="shared" si="39"/>
        <v/>
      </c>
      <c r="V198" s="989"/>
      <c r="X198" s="374" t="str">
        <f t="shared" si="40"/>
        <v/>
      </c>
      <c r="Y198" s="375" t="str">
        <f t="shared" si="41"/>
        <v/>
      </c>
      <c r="Z198" s="374" t="str">
        <f t="shared" si="42"/>
        <v/>
      </c>
      <c r="AA198" s="374" t="b">
        <f t="shared" si="43"/>
        <v>1</v>
      </c>
      <c r="AB198" s="374">
        <f>COUNTIFS(B:B,B198,H:H,'סיווג התפקידים והעלויות'!$C$2)</f>
        <v>0</v>
      </c>
      <c r="AC198" s="374">
        <f>COUNTIFS(B:B,B198,H:H,'סיווג התפקידים והעלויות'!$D$2)</f>
        <v>0</v>
      </c>
      <c r="AD198" s="374" t="str">
        <f>IF(OR(AND(H198='סיווג התפקידים והעלויות'!$A$2,I198='סיווג התפקידים והעלויות'!$A$3),'עלויות כח אדם (6)'!H198='סיווג התפקידים והעלויות'!$C$2,'עלויות כח אדם (6)'!H198='סיווג התפקידים והעלויות'!$D$2),IF('עלויות כח אדם (6)'!J198&lt;75,"לא תקין","תקין"),"")</f>
        <v/>
      </c>
      <c r="AE198" s="374" t="str">
        <f t="shared" si="44"/>
        <v/>
      </c>
      <c r="AF198" s="532" t="str">
        <f t="shared" si="45"/>
        <v/>
      </c>
    </row>
    <row r="199" spans="2:32" x14ac:dyDescent="0.25">
      <c r="B199" s="695"/>
      <c r="C199" s="197" t="str">
        <f>IF(B199&lt;&gt;"",IFERROR(VLOOKUP(B:B,'מצבת והרשמה (2)'!$C$20:$N$520,2,0)," ")," ")</f>
        <v xml:space="preserve"> </v>
      </c>
      <c r="D199" s="695"/>
      <c r="E199" s="696"/>
      <c r="F199" s="696"/>
      <c r="G199" s="696"/>
      <c r="H199" s="696"/>
      <c r="I199" s="1050" t="str">
        <f t="shared" si="32"/>
        <v/>
      </c>
      <c r="J199" s="696"/>
      <c r="K199" s="697"/>
      <c r="L199" s="696"/>
      <c r="M199" s="198" t="str">
        <f t="shared" si="33"/>
        <v/>
      </c>
      <c r="N199" s="369" t="str">
        <f t="shared" si="34"/>
        <v/>
      </c>
      <c r="O199" s="183" t="str">
        <f t="shared" si="35"/>
        <v/>
      </c>
      <c r="P199" s="199" t="str">
        <f t="shared" si="36"/>
        <v/>
      </c>
      <c r="Q199" s="199" t="str">
        <f>IF(B199="","",IFERROR(IF('עלויות כח אדם (6)'!J199&gt;=VLOOKUP(I199,'סיווג התפקידים והעלויות'!$B$23:$C$32,2,0),"תקין","לא תקין"),""))</f>
        <v/>
      </c>
      <c r="R199" s="199" t="str">
        <f t="shared" si="37"/>
        <v/>
      </c>
      <c r="S199" s="199" t="str">
        <f t="shared" si="38"/>
        <v/>
      </c>
      <c r="T199" s="199" t="str">
        <f t="shared" si="46"/>
        <v/>
      </c>
      <c r="U199" s="199" t="str">
        <f t="shared" si="39"/>
        <v/>
      </c>
      <c r="V199" s="989"/>
      <c r="X199" s="374" t="str">
        <f t="shared" si="40"/>
        <v/>
      </c>
      <c r="Y199" s="375" t="str">
        <f t="shared" si="41"/>
        <v/>
      </c>
      <c r="Z199" s="374" t="str">
        <f t="shared" si="42"/>
        <v/>
      </c>
      <c r="AA199" s="374" t="b">
        <f t="shared" si="43"/>
        <v>1</v>
      </c>
      <c r="AB199" s="374">
        <f>COUNTIFS(B:B,B199,H:H,'סיווג התפקידים והעלויות'!$C$2)</f>
        <v>0</v>
      </c>
      <c r="AC199" s="374">
        <f>COUNTIFS(B:B,B199,H:H,'סיווג התפקידים והעלויות'!$D$2)</f>
        <v>0</v>
      </c>
      <c r="AD199" s="374" t="str">
        <f>IF(OR(AND(H199='סיווג התפקידים והעלויות'!$A$2,I199='סיווג התפקידים והעלויות'!$A$3),'עלויות כח אדם (6)'!H199='סיווג התפקידים והעלויות'!$C$2,'עלויות כח אדם (6)'!H199='סיווג התפקידים והעלויות'!$D$2),IF('עלויות כח אדם (6)'!J199&lt;75,"לא תקין","תקין"),"")</f>
        <v/>
      </c>
      <c r="AE199" s="374" t="str">
        <f t="shared" si="44"/>
        <v/>
      </c>
      <c r="AF199" s="532" t="str">
        <f t="shared" si="45"/>
        <v/>
      </c>
    </row>
    <row r="200" spans="2:32" x14ac:dyDescent="0.25">
      <c r="B200" s="695"/>
      <c r="C200" s="197" t="str">
        <f>IF(B200&lt;&gt;"",IFERROR(VLOOKUP(B:B,'מצבת והרשמה (2)'!$C$20:$N$520,2,0)," ")," ")</f>
        <v xml:space="preserve"> </v>
      </c>
      <c r="D200" s="695"/>
      <c r="E200" s="696"/>
      <c r="F200" s="696"/>
      <c r="G200" s="696"/>
      <c r="H200" s="696"/>
      <c r="I200" s="1050" t="str">
        <f t="shared" si="32"/>
        <v/>
      </c>
      <c r="J200" s="696"/>
      <c r="K200" s="697"/>
      <c r="L200" s="696"/>
      <c r="M200" s="198" t="str">
        <f t="shared" si="33"/>
        <v/>
      </c>
      <c r="N200" s="369" t="str">
        <f t="shared" si="34"/>
        <v/>
      </c>
      <c r="O200" s="183" t="str">
        <f t="shared" si="35"/>
        <v/>
      </c>
      <c r="P200" s="199" t="str">
        <f t="shared" si="36"/>
        <v/>
      </c>
      <c r="Q200" s="199" t="str">
        <f>IF(B200="","",IFERROR(IF('עלויות כח אדם (6)'!J200&gt;=VLOOKUP(I200,'סיווג התפקידים והעלויות'!$B$23:$C$32,2,0),"תקין","לא תקין"),""))</f>
        <v/>
      </c>
      <c r="R200" s="199" t="str">
        <f t="shared" si="37"/>
        <v/>
      </c>
      <c r="S200" s="199" t="str">
        <f t="shared" si="38"/>
        <v/>
      </c>
      <c r="T200" s="199" t="str">
        <f t="shared" si="46"/>
        <v/>
      </c>
      <c r="U200" s="199" t="str">
        <f t="shared" si="39"/>
        <v/>
      </c>
      <c r="V200" s="989"/>
      <c r="X200" s="374" t="str">
        <f t="shared" si="40"/>
        <v/>
      </c>
      <c r="Y200" s="375" t="str">
        <f t="shared" si="41"/>
        <v/>
      </c>
      <c r="Z200" s="374" t="str">
        <f t="shared" si="42"/>
        <v/>
      </c>
      <c r="AA200" s="374" t="b">
        <f t="shared" si="43"/>
        <v>1</v>
      </c>
      <c r="AB200" s="374">
        <f>COUNTIFS(B:B,B200,H:H,'סיווג התפקידים והעלויות'!$C$2)</f>
        <v>0</v>
      </c>
      <c r="AC200" s="374">
        <f>COUNTIFS(B:B,B200,H:H,'סיווג התפקידים והעלויות'!$D$2)</f>
        <v>0</v>
      </c>
      <c r="AD200" s="374" t="str">
        <f>IF(OR(AND(H200='סיווג התפקידים והעלויות'!$A$2,I200='סיווג התפקידים והעלויות'!$A$3),'עלויות כח אדם (6)'!H200='סיווג התפקידים והעלויות'!$C$2,'עלויות כח אדם (6)'!H200='סיווג התפקידים והעלויות'!$D$2),IF('עלויות כח אדם (6)'!J200&lt;75,"לא תקין","תקין"),"")</f>
        <v/>
      </c>
      <c r="AE200" s="374" t="str">
        <f t="shared" si="44"/>
        <v/>
      </c>
      <c r="AF200" s="532" t="str">
        <f t="shared" si="45"/>
        <v/>
      </c>
    </row>
    <row r="201" spans="2:32" x14ac:dyDescent="0.25">
      <c r="B201" s="695"/>
      <c r="C201" s="197" t="str">
        <f>IF(B201&lt;&gt;"",IFERROR(VLOOKUP(B:B,'מצבת והרשמה (2)'!$C$20:$N$520,2,0)," ")," ")</f>
        <v xml:space="preserve"> </v>
      </c>
      <c r="D201" s="695"/>
      <c r="E201" s="696"/>
      <c r="F201" s="696"/>
      <c r="G201" s="696"/>
      <c r="H201" s="696"/>
      <c r="I201" s="1050" t="str">
        <f t="shared" si="32"/>
        <v/>
      </c>
      <c r="J201" s="696"/>
      <c r="K201" s="697"/>
      <c r="L201" s="696"/>
      <c r="M201" s="198" t="str">
        <f t="shared" si="33"/>
        <v/>
      </c>
      <c r="N201" s="369" t="str">
        <f t="shared" si="34"/>
        <v/>
      </c>
      <c r="O201" s="183" t="str">
        <f t="shared" si="35"/>
        <v/>
      </c>
      <c r="P201" s="199" t="str">
        <f t="shared" si="36"/>
        <v/>
      </c>
      <c r="Q201" s="199" t="str">
        <f>IF(B201="","",IFERROR(IF('עלויות כח אדם (6)'!J201&gt;=VLOOKUP(I201,'סיווג התפקידים והעלויות'!$B$23:$C$32,2,0),"תקין","לא תקין"),""))</f>
        <v/>
      </c>
      <c r="R201" s="199" t="str">
        <f t="shared" si="37"/>
        <v/>
      </c>
      <c r="S201" s="199" t="str">
        <f t="shared" si="38"/>
        <v/>
      </c>
      <c r="T201" s="199" t="str">
        <f t="shared" si="46"/>
        <v/>
      </c>
      <c r="U201" s="199" t="str">
        <f t="shared" si="39"/>
        <v/>
      </c>
      <c r="V201" s="989"/>
      <c r="X201" s="374" t="str">
        <f t="shared" si="40"/>
        <v/>
      </c>
      <c r="Y201" s="375" t="str">
        <f t="shared" si="41"/>
        <v/>
      </c>
      <c r="Z201" s="374" t="str">
        <f t="shared" si="42"/>
        <v/>
      </c>
      <c r="AA201" s="374" t="b">
        <f t="shared" si="43"/>
        <v>1</v>
      </c>
      <c r="AB201" s="374">
        <f>COUNTIFS(B:B,B201,H:H,'סיווג התפקידים והעלויות'!$C$2)</f>
        <v>0</v>
      </c>
      <c r="AC201" s="374">
        <f>COUNTIFS(B:B,B201,H:H,'סיווג התפקידים והעלויות'!$D$2)</f>
        <v>0</v>
      </c>
      <c r="AD201" s="374" t="str">
        <f>IF(OR(AND(H201='סיווג התפקידים והעלויות'!$A$2,I201='סיווג התפקידים והעלויות'!$A$3),'עלויות כח אדם (6)'!H201='סיווג התפקידים והעלויות'!$C$2,'עלויות כח אדם (6)'!H201='סיווג התפקידים והעלויות'!$D$2),IF('עלויות כח אדם (6)'!J201&lt;75,"לא תקין","תקין"),"")</f>
        <v/>
      </c>
      <c r="AE201" s="374" t="str">
        <f t="shared" si="44"/>
        <v/>
      </c>
      <c r="AF201" s="532" t="str">
        <f t="shared" si="45"/>
        <v/>
      </c>
    </row>
    <row r="202" spans="2:32" x14ac:dyDescent="0.25">
      <c r="B202" s="695"/>
      <c r="C202" s="197" t="str">
        <f>IF(B202&lt;&gt;"",IFERROR(VLOOKUP(B:B,'מצבת והרשמה (2)'!$C$20:$N$520,2,0)," ")," ")</f>
        <v xml:space="preserve"> </v>
      </c>
      <c r="D202" s="695"/>
      <c r="E202" s="696"/>
      <c r="F202" s="696"/>
      <c r="G202" s="696"/>
      <c r="H202" s="696"/>
      <c r="I202" s="1050" t="str">
        <f t="shared" si="32"/>
        <v/>
      </c>
      <c r="J202" s="696"/>
      <c r="K202" s="697"/>
      <c r="L202" s="696"/>
      <c r="M202" s="198" t="str">
        <f t="shared" si="33"/>
        <v/>
      </c>
      <c r="N202" s="369" t="str">
        <f t="shared" si="34"/>
        <v/>
      </c>
      <c r="O202" s="183" t="str">
        <f t="shared" si="35"/>
        <v/>
      </c>
      <c r="P202" s="199" t="str">
        <f t="shared" si="36"/>
        <v/>
      </c>
      <c r="Q202" s="199" t="str">
        <f>IF(B202="","",IFERROR(IF('עלויות כח אדם (6)'!J202&gt;=VLOOKUP(I202,'סיווג התפקידים והעלויות'!$B$23:$C$32,2,0),"תקין","לא תקין"),""))</f>
        <v/>
      </c>
      <c r="R202" s="199" t="str">
        <f t="shared" si="37"/>
        <v/>
      </c>
      <c r="S202" s="199" t="str">
        <f t="shared" si="38"/>
        <v/>
      </c>
      <c r="T202" s="199" t="str">
        <f t="shared" si="46"/>
        <v/>
      </c>
      <c r="U202" s="199" t="str">
        <f t="shared" si="39"/>
        <v/>
      </c>
      <c r="V202" s="989"/>
      <c r="X202" s="374" t="str">
        <f t="shared" si="40"/>
        <v/>
      </c>
      <c r="Y202" s="375" t="str">
        <f t="shared" si="41"/>
        <v/>
      </c>
      <c r="Z202" s="374" t="str">
        <f t="shared" si="42"/>
        <v/>
      </c>
      <c r="AA202" s="374" t="b">
        <f t="shared" si="43"/>
        <v>1</v>
      </c>
      <c r="AB202" s="374">
        <f>COUNTIFS(B:B,B202,H:H,'סיווג התפקידים והעלויות'!$C$2)</f>
        <v>0</v>
      </c>
      <c r="AC202" s="374">
        <f>COUNTIFS(B:B,B202,H:H,'סיווג התפקידים והעלויות'!$D$2)</f>
        <v>0</v>
      </c>
      <c r="AD202" s="374" t="str">
        <f>IF(OR(AND(H202='סיווג התפקידים והעלויות'!$A$2,I202='סיווג התפקידים והעלויות'!$A$3),'עלויות כח אדם (6)'!H202='סיווג התפקידים והעלויות'!$C$2,'עלויות כח אדם (6)'!H202='סיווג התפקידים והעלויות'!$D$2),IF('עלויות כח אדם (6)'!J202&lt;75,"לא תקין","תקין"),"")</f>
        <v/>
      </c>
      <c r="AE202" s="374" t="str">
        <f t="shared" si="44"/>
        <v/>
      </c>
      <c r="AF202" s="532" t="str">
        <f t="shared" si="45"/>
        <v/>
      </c>
    </row>
    <row r="203" spans="2:32" x14ac:dyDescent="0.25">
      <c r="B203" s="695"/>
      <c r="C203" s="197" t="str">
        <f>IF(B203&lt;&gt;"",IFERROR(VLOOKUP(B:B,'מצבת והרשמה (2)'!$C$20:$N$520,2,0)," ")," ")</f>
        <v xml:space="preserve"> </v>
      </c>
      <c r="D203" s="695"/>
      <c r="E203" s="696"/>
      <c r="F203" s="696"/>
      <c r="G203" s="696"/>
      <c r="H203" s="696"/>
      <c r="I203" s="1050" t="str">
        <f t="shared" si="32"/>
        <v/>
      </c>
      <c r="J203" s="696"/>
      <c r="K203" s="697"/>
      <c r="L203" s="696"/>
      <c r="M203" s="198" t="str">
        <f t="shared" si="33"/>
        <v/>
      </c>
      <c r="N203" s="369" t="str">
        <f t="shared" si="34"/>
        <v/>
      </c>
      <c r="O203" s="183" t="str">
        <f t="shared" si="35"/>
        <v/>
      </c>
      <c r="P203" s="199" t="str">
        <f t="shared" si="36"/>
        <v/>
      </c>
      <c r="Q203" s="199" t="str">
        <f>IF(B203="","",IFERROR(IF('עלויות כח אדם (6)'!J203&gt;=VLOOKUP(I203,'סיווג התפקידים והעלויות'!$B$23:$C$32,2,0),"תקין","לא תקין"),""))</f>
        <v/>
      </c>
      <c r="R203" s="199" t="str">
        <f t="shared" si="37"/>
        <v/>
      </c>
      <c r="S203" s="199" t="str">
        <f t="shared" si="38"/>
        <v/>
      </c>
      <c r="T203" s="199" t="str">
        <f t="shared" si="46"/>
        <v/>
      </c>
      <c r="U203" s="199" t="str">
        <f t="shared" si="39"/>
        <v/>
      </c>
      <c r="V203" s="989"/>
      <c r="X203" s="374" t="str">
        <f t="shared" si="40"/>
        <v/>
      </c>
      <c r="Y203" s="375" t="str">
        <f t="shared" si="41"/>
        <v/>
      </c>
      <c r="Z203" s="374" t="str">
        <f t="shared" si="42"/>
        <v/>
      </c>
      <c r="AA203" s="374" t="b">
        <f t="shared" si="43"/>
        <v>1</v>
      </c>
      <c r="AB203" s="374">
        <f>COUNTIFS(B:B,B203,H:H,'סיווג התפקידים והעלויות'!$C$2)</f>
        <v>0</v>
      </c>
      <c r="AC203" s="374">
        <f>COUNTIFS(B:B,B203,H:H,'סיווג התפקידים והעלויות'!$D$2)</f>
        <v>0</v>
      </c>
      <c r="AD203" s="374" t="str">
        <f>IF(OR(AND(H203='סיווג התפקידים והעלויות'!$A$2,I203='סיווג התפקידים והעלויות'!$A$3),'עלויות כח אדם (6)'!H203='סיווג התפקידים והעלויות'!$C$2,'עלויות כח אדם (6)'!H203='סיווג התפקידים והעלויות'!$D$2),IF('עלויות כח אדם (6)'!J203&lt;75,"לא תקין","תקין"),"")</f>
        <v/>
      </c>
      <c r="AE203" s="374" t="str">
        <f t="shared" si="44"/>
        <v/>
      </c>
      <c r="AF203" s="532" t="str">
        <f t="shared" si="45"/>
        <v/>
      </c>
    </row>
    <row r="204" spans="2:32" x14ac:dyDescent="0.25">
      <c r="B204" s="695"/>
      <c r="C204" s="197" t="str">
        <f>IF(B204&lt;&gt;"",IFERROR(VLOOKUP(B:B,'מצבת והרשמה (2)'!$C$20:$N$520,2,0)," ")," ")</f>
        <v xml:space="preserve"> </v>
      </c>
      <c r="D204" s="695"/>
      <c r="E204" s="696"/>
      <c r="F204" s="696"/>
      <c r="G204" s="696"/>
      <c r="H204" s="696"/>
      <c r="I204" s="1050" t="str">
        <f t="shared" si="32"/>
        <v/>
      </c>
      <c r="J204" s="696"/>
      <c r="K204" s="697"/>
      <c r="L204" s="696"/>
      <c r="M204" s="198" t="str">
        <f t="shared" si="33"/>
        <v/>
      </c>
      <c r="N204" s="369" t="str">
        <f t="shared" si="34"/>
        <v/>
      </c>
      <c r="O204" s="183" t="str">
        <f t="shared" si="35"/>
        <v/>
      </c>
      <c r="P204" s="199" t="str">
        <f t="shared" si="36"/>
        <v/>
      </c>
      <c r="Q204" s="199" t="str">
        <f>IF(B204="","",IFERROR(IF('עלויות כח אדם (6)'!J204&gt;=VLOOKUP(I204,'סיווג התפקידים והעלויות'!$B$23:$C$32,2,0),"תקין","לא תקין"),""))</f>
        <v/>
      </c>
      <c r="R204" s="199" t="str">
        <f t="shared" si="37"/>
        <v/>
      </c>
      <c r="S204" s="199" t="str">
        <f t="shared" si="38"/>
        <v/>
      </c>
      <c r="T204" s="199" t="str">
        <f t="shared" si="46"/>
        <v/>
      </c>
      <c r="U204" s="199" t="str">
        <f t="shared" si="39"/>
        <v/>
      </c>
      <c r="V204" s="989"/>
      <c r="X204" s="374" t="str">
        <f t="shared" si="40"/>
        <v/>
      </c>
      <c r="Y204" s="375" t="str">
        <f t="shared" si="41"/>
        <v/>
      </c>
      <c r="Z204" s="374" t="str">
        <f t="shared" si="42"/>
        <v/>
      </c>
      <c r="AA204" s="374" t="b">
        <f t="shared" si="43"/>
        <v>1</v>
      </c>
      <c r="AB204" s="374">
        <f>COUNTIFS(B:B,B204,H:H,'סיווג התפקידים והעלויות'!$C$2)</f>
        <v>0</v>
      </c>
      <c r="AC204" s="374">
        <f>COUNTIFS(B:B,B204,H:H,'סיווג התפקידים והעלויות'!$D$2)</f>
        <v>0</v>
      </c>
      <c r="AD204" s="374" t="str">
        <f>IF(OR(AND(H204='סיווג התפקידים והעלויות'!$A$2,I204='סיווג התפקידים והעלויות'!$A$3),'עלויות כח אדם (6)'!H204='סיווג התפקידים והעלויות'!$C$2,'עלויות כח אדם (6)'!H204='סיווג התפקידים והעלויות'!$D$2),IF('עלויות כח אדם (6)'!J204&lt;75,"לא תקין","תקין"),"")</f>
        <v/>
      </c>
      <c r="AE204" s="374" t="str">
        <f t="shared" si="44"/>
        <v/>
      </c>
      <c r="AF204" s="532" t="str">
        <f t="shared" si="45"/>
        <v/>
      </c>
    </row>
    <row r="205" spans="2:32" x14ac:dyDescent="0.25">
      <c r="B205" s="695"/>
      <c r="C205" s="197" t="str">
        <f>IF(B205&lt;&gt;"",IFERROR(VLOOKUP(B:B,'מצבת והרשמה (2)'!$C$20:$N$520,2,0)," ")," ")</f>
        <v xml:space="preserve"> </v>
      </c>
      <c r="D205" s="695"/>
      <c r="E205" s="696"/>
      <c r="F205" s="696"/>
      <c r="G205" s="696"/>
      <c r="H205" s="696"/>
      <c r="I205" s="1050" t="str">
        <f t="shared" si="32"/>
        <v/>
      </c>
      <c r="J205" s="696"/>
      <c r="K205" s="697"/>
      <c r="L205" s="696"/>
      <c r="M205" s="198" t="str">
        <f t="shared" si="33"/>
        <v/>
      </c>
      <c r="N205" s="369" t="str">
        <f t="shared" si="34"/>
        <v/>
      </c>
      <c r="O205" s="183" t="str">
        <f t="shared" si="35"/>
        <v/>
      </c>
      <c r="P205" s="199" t="str">
        <f t="shared" si="36"/>
        <v/>
      </c>
      <c r="Q205" s="199" t="str">
        <f>IF(B205="","",IFERROR(IF('עלויות כח אדם (6)'!J205&gt;=VLOOKUP(I205,'סיווג התפקידים והעלויות'!$B$23:$C$32,2,0),"תקין","לא תקין"),""))</f>
        <v/>
      </c>
      <c r="R205" s="199" t="str">
        <f t="shared" si="37"/>
        <v/>
      </c>
      <c r="S205" s="199" t="str">
        <f t="shared" si="38"/>
        <v/>
      </c>
      <c r="T205" s="199" t="str">
        <f t="shared" si="46"/>
        <v/>
      </c>
      <c r="U205" s="199" t="str">
        <f t="shared" si="39"/>
        <v/>
      </c>
      <c r="V205" s="989"/>
      <c r="X205" s="374" t="str">
        <f t="shared" si="40"/>
        <v/>
      </c>
      <c r="Y205" s="375" t="str">
        <f t="shared" si="41"/>
        <v/>
      </c>
      <c r="Z205" s="374" t="str">
        <f t="shared" si="42"/>
        <v/>
      </c>
      <c r="AA205" s="374" t="b">
        <f t="shared" si="43"/>
        <v>1</v>
      </c>
      <c r="AB205" s="374">
        <f>COUNTIFS(B:B,B205,H:H,'סיווג התפקידים והעלויות'!$C$2)</f>
        <v>0</v>
      </c>
      <c r="AC205" s="374">
        <f>COUNTIFS(B:B,B205,H:H,'סיווג התפקידים והעלויות'!$D$2)</f>
        <v>0</v>
      </c>
      <c r="AD205" s="374" t="str">
        <f>IF(OR(AND(H205='סיווג התפקידים והעלויות'!$A$2,I205='סיווג התפקידים והעלויות'!$A$3),'עלויות כח אדם (6)'!H205='סיווג התפקידים והעלויות'!$C$2,'עלויות כח אדם (6)'!H205='סיווג התפקידים והעלויות'!$D$2),IF('עלויות כח אדם (6)'!J205&lt;75,"לא תקין","תקין"),"")</f>
        <v/>
      </c>
      <c r="AE205" s="374" t="str">
        <f t="shared" si="44"/>
        <v/>
      </c>
      <c r="AF205" s="532" t="str">
        <f t="shared" si="45"/>
        <v/>
      </c>
    </row>
    <row r="206" spans="2:32" x14ac:dyDescent="0.25">
      <c r="B206" s="695"/>
      <c r="C206" s="197" t="str">
        <f>IF(B206&lt;&gt;"",IFERROR(VLOOKUP(B:B,'מצבת והרשמה (2)'!$C$20:$N$520,2,0)," ")," ")</f>
        <v xml:space="preserve"> </v>
      </c>
      <c r="D206" s="695"/>
      <c r="E206" s="696"/>
      <c r="F206" s="696"/>
      <c r="G206" s="696"/>
      <c r="H206" s="696"/>
      <c r="I206" s="1050" t="str">
        <f t="shared" si="32"/>
        <v/>
      </c>
      <c r="J206" s="696"/>
      <c r="K206" s="697"/>
      <c r="L206" s="696"/>
      <c r="M206" s="198" t="str">
        <f t="shared" si="33"/>
        <v/>
      </c>
      <c r="N206" s="369" t="str">
        <f t="shared" si="34"/>
        <v/>
      </c>
      <c r="O206" s="183" t="str">
        <f t="shared" si="35"/>
        <v/>
      </c>
      <c r="P206" s="199" t="str">
        <f t="shared" si="36"/>
        <v/>
      </c>
      <c r="Q206" s="199" t="str">
        <f>IF(B206="","",IFERROR(IF('עלויות כח אדם (6)'!J206&gt;=VLOOKUP(I206,'סיווג התפקידים והעלויות'!$B$23:$C$32,2,0),"תקין","לא תקין"),""))</f>
        <v/>
      </c>
      <c r="R206" s="199" t="str">
        <f t="shared" si="37"/>
        <v/>
      </c>
      <c r="S206" s="199" t="str">
        <f t="shared" si="38"/>
        <v/>
      </c>
      <c r="T206" s="199" t="str">
        <f t="shared" si="46"/>
        <v/>
      </c>
      <c r="U206" s="199" t="str">
        <f t="shared" si="39"/>
        <v/>
      </c>
      <c r="V206" s="989"/>
      <c r="X206" s="374" t="str">
        <f t="shared" si="40"/>
        <v/>
      </c>
      <c r="Y206" s="375" t="str">
        <f t="shared" si="41"/>
        <v/>
      </c>
      <c r="Z206" s="374" t="str">
        <f t="shared" si="42"/>
        <v/>
      </c>
      <c r="AA206" s="374" t="b">
        <f t="shared" si="43"/>
        <v>1</v>
      </c>
      <c r="AB206" s="374">
        <f>COUNTIFS(B:B,B206,H:H,'סיווג התפקידים והעלויות'!$C$2)</f>
        <v>0</v>
      </c>
      <c r="AC206" s="374">
        <f>COUNTIFS(B:B,B206,H:H,'סיווג התפקידים והעלויות'!$D$2)</f>
        <v>0</v>
      </c>
      <c r="AD206" s="374" t="str">
        <f>IF(OR(AND(H206='סיווג התפקידים והעלויות'!$A$2,I206='סיווג התפקידים והעלויות'!$A$3),'עלויות כח אדם (6)'!H206='סיווג התפקידים והעלויות'!$C$2,'עלויות כח אדם (6)'!H206='סיווג התפקידים והעלויות'!$D$2),IF('עלויות כח אדם (6)'!J206&lt;75,"לא תקין","תקין"),"")</f>
        <v/>
      </c>
      <c r="AE206" s="374" t="str">
        <f t="shared" si="44"/>
        <v/>
      </c>
      <c r="AF206" s="532" t="str">
        <f t="shared" si="45"/>
        <v/>
      </c>
    </row>
    <row r="207" spans="2:32" x14ac:dyDescent="0.25">
      <c r="B207" s="695"/>
      <c r="C207" s="197" t="str">
        <f>IF(B207&lt;&gt;"",IFERROR(VLOOKUP(B:B,'מצבת והרשמה (2)'!$C$20:$N$520,2,0)," ")," ")</f>
        <v xml:space="preserve"> </v>
      </c>
      <c r="D207" s="695"/>
      <c r="E207" s="696"/>
      <c r="F207" s="696"/>
      <c r="G207" s="696"/>
      <c r="H207" s="696"/>
      <c r="I207" s="1050" t="str">
        <f t="shared" ref="I207:I270" si="47">SUBSTITUTE(IFERROR(IF(H207="מדצ","מדצ/ית",IF(H207="סגנית רכזת מעל 150","סגנ/ית רכז/ת&gt;150",IF(H207="רכזת תכנית בבית הספר","רכז/ת תכנית בבית הספר"))),""),"FALSE","")</f>
        <v/>
      </c>
      <c r="J207" s="696"/>
      <c r="K207" s="697"/>
      <c r="L207" s="696"/>
      <c r="M207" s="198" t="str">
        <f t="shared" ref="M207:M270" si="48">IF(AND(L207&gt;0,K207&gt;0),K207*L207,"")</f>
        <v/>
      </c>
      <c r="N207" s="369" t="str">
        <f t="shared" ref="N207:N270" si="49">TEXT(LEFT(H207,2),0)</f>
        <v/>
      </c>
      <c r="O207" s="183" t="str">
        <f t="shared" ref="O207:O270" si="50">IF(ISNUMBER(M207&gt;0),IF(ISBLANK(B207),"יש להזין סמל מוסד בעמודה B",""),"")</f>
        <v/>
      </c>
      <c r="P207" s="199" t="str">
        <f t="shared" ref="P207:P270" si="51">IF(B207="","",IF(AA207=FALSE,"לא תקין","תקין"))</f>
        <v/>
      </c>
      <c r="Q207" s="199" t="str">
        <f>IF(B207="","",IFERROR(IF('עלויות כח אדם (6)'!J207&gt;=VLOOKUP(I207,'סיווג התפקידים והעלויות'!$B$23:$C$32,2,0),"תקין","לא תקין"),""))</f>
        <v/>
      </c>
      <c r="R207" s="199" t="str">
        <f t="shared" ref="R207:R270" si="52">IF(B207="","",IF(OR(Y207&lt;100%,Y207&gt;140%),"לא תקין","תקין"))</f>
        <v/>
      </c>
      <c r="S207" s="199" t="str">
        <f t="shared" ref="S207:S270" si="53">IF(B207="","",IFERROR(IF(J207&gt;120,"לא תקין","תקין"),""))</f>
        <v/>
      </c>
      <c r="T207" s="199" t="str">
        <f t="shared" si="46"/>
        <v/>
      </c>
      <c r="U207" s="199" t="str">
        <f t="shared" ref="U207:U270" si="54">IF(B207="","",IF(Z207&gt;1,IF(SUMIF(D:D,D207,L:L)&gt;90,"לא תקין","תקין"),"תקין"))</f>
        <v/>
      </c>
      <c r="V207" s="989"/>
      <c r="X207" s="374" t="str">
        <f t="shared" ref="X207:X270" si="55">IF(B207="","",IF(OR(R207="לא תקין",S207="לא תקין",T207="לא תקין",,U207="לא תקין"),"לא תקין","תקין"))</f>
        <v/>
      </c>
      <c r="Y207" s="375" t="str">
        <f t="shared" ref="Y207:Y270" si="56">IFERROR(IF(B207="","",K207/J207),"")</f>
        <v/>
      </c>
      <c r="Z207" s="374" t="str">
        <f t="shared" ref="Z207:Z270" si="57">IF(B207="","",COUNTIF(D:D,D207))</f>
        <v/>
      </c>
      <c r="AA207" s="374" t="b">
        <f t="shared" ref="AA207:AA270" si="58">MOD(MID(REPT(0,9-LEN(D207))&amp;D207,1,1)+MID("0246813579",MID(REPT(0,9-LEN(D207))&amp;D207,2,1)+1,1)+MID(REPT(0,9-LEN(D207))&amp;D207,3,1)+MID("0246813579",MID(REPT(0,9-LEN(D207))&amp;D207,4,1)+1,1)+MID(REPT(0,9-LEN(D207))&amp;D207,5,1)+MID("0246813579",MID(REPT(0,9-LEN(D207))&amp;D207,6,1)+1,1)+MID(REPT(0,9-LEN(D207))&amp;D207,7,1)+MID("0246813579",MID(REPT(0,9-LEN(D207))&amp;D207,8,1)+1,1)+MID(REPT(0,9-LEN(D207))&amp;D207,9,1),10)=0</f>
        <v>1</v>
      </c>
      <c r="AB207" s="374">
        <f>COUNTIFS(B:B,B207,H:H,'סיווג התפקידים והעלויות'!$C$2)</f>
        <v>0</v>
      </c>
      <c r="AC207" s="374">
        <f>COUNTIFS(B:B,B207,H:H,'סיווג התפקידים והעלויות'!$D$2)</f>
        <v>0</v>
      </c>
      <c r="AD207" s="374" t="str">
        <f>IF(OR(AND(H207='סיווג התפקידים והעלויות'!$A$2,I207='סיווג התפקידים והעלויות'!$A$3),'עלויות כח אדם (6)'!H207='סיווג התפקידים והעלויות'!$C$2,'עלויות כח אדם (6)'!H207='סיווג התפקידים והעלויות'!$D$2),IF('עלויות כח אדם (6)'!J207&lt;75,"לא תקין","תקין"),"")</f>
        <v/>
      </c>
      <c r="AE207" s="374" t="str">
        <f t="shared" ref="AE207:AE270" si="59">IF(B207&lt;&gt;"",B207&amp;H207,"")</f>
        <v/>
      </c>
      <c r="AF207" s="532" t="str">
        <f t="shared" ref="AF207:AF270" si="60">M207</f>
        <v/>
      </c>
    </row>
    <row r="208" spans="2:32" x14ac:dyDescent="0.25">
      <c r="B208" s="695"/>
      <c r="C208" s="197" t="str">
        <f>IF(B208&lt;&gt;"",IFERROR(VLOOKUP(B:B,'מצבת והרשמה (2)'!$C$20:$N$520,2,0)," ")," ")</f>
        <v xml:space="preserve"> </v>
      </c>
      <c r="D208" s="695"/>
      <c r="E208" s="696"/>
      <c r="F208" s="696"/>
      <c r="G208" s="696"/>
      <c r="H208" s="696"/>
      <c r="I208" s="1050" t="str">
        <f t="shared" si="47"/>
        <v/>
      </c>
      <c r="J208" s="696"/>
      <c r="K208" s="697"/>
      <c r="L208" s="696"/>
      <c r="M208" s="198" t="str">
        <f t="shared" si="48"/>
        <v/>
      </c>
      <c r="N208" s="369" t="str">
        <f t="shared" si="49"/>
        <v/>
      </c>
      <c r="O208" s="183" t="str">
        <f t="shared" si="50"/>
        <v/>
      </c>
      <c r="P208" s="199" t="str">
        <f t="shared" si="51"/>
        <v/>
      </c>
      <c r="Q208" s="199" t="str">
        <f>IF(B208="","",IFERROR(IF('עלויות כח אדם (6)'!J208&gt;=VLOOKUP(I208,'סיווג התפקידים והעלויות'!$B$23:$C$32,2,0),"תקין","לא תקין"),""))</f>
        <v/>
      </c>
      <c r="R208" s="199" t="str">
        <f t="shared" si="52"/>
        <v/>
      </c>
      <c r="S208" s="199" t="str">
        <f t="shared" si="53"/>
        <v/>
      </c>
      <c r="T208" s="199" t="str">
        <f t="shared" ref="T208:T271" si="61">IF(B208="","",IF(H208="","יש להזין איש צוות",IF(OR(H208="מורה",H208="גננת",H208="רכז גן",H208="רכזת גן",H208="סייעת",H208="מדצית",H208="מדצ",H208="מדריך",H208="מדריכה",H208="תוספת כח אדם"),IF(L208&lt;=90,"תקין","לא תקין"),IF(OR(H208="רכז בית ספר",H208="רכזת תכנית בבית הספר",H208="רכזת בית ספר"),IF(L208&lt;=137,"תקין","לא תקין"),IF(OR(H208="סגנית רכזת מעל 150",H208="סגן רכז"),IF(L208&lt;=93,"תקין","לא תקין"),"לא תקין")))))</f>
        <v/>
      </c>
      <c r="U208" s="199" t="str">
        <f t="shared" si="54"/>
        <v/>
      </c>
      <c r="V208" s="989"/>
      <c r="X208" s="374" t="str">
        <f t="shared" si="55"/>
        <v/>
      </c>
      <c r="Y208" s="375" t="str">
        <f t="shared" si="56"/>
        <v/>
      </c>
      <c r="Z208" s="374" t="str">
        <f t="shared" si="57"/>
        <v/>
      </c>
      <c r="AA208" s="374" t="b">
        <f t="shared" si="58"/>
        <v>1</v>
      </c>
      <c r="AB208" s="374">
        <f>COUNTIFS(B:B,B208,H:H,'סיווג התפקידים והעלויות'!$C$2)</f>
        <v>0</v>
      </c>
      <c r="AC208" s="374">
        <f>COUNTIFS(B:B,B208,H:H,'סיווג התפקידים והעלויות'!$D$2)</f>
        <v>0</v>
      </c>
      <c r="AD208" s="374" t="str">
        <f>IF(OR(AND(H208='סיווג התפקידים והעלויות'!$A$2,I208='סיווג התפקידים והעלויות'!$A$3),'עלויות כח אדם (6)'!H208='סיווג התפקידים והעלויות'!$C$2,'עלויות כח אדם (6)'!H208='סיווג התפקידים והעלויות'!$D$2),IF('עלויות כח אדם (6)'!J208&lt;75,"לא תקין","תקין"),"")</f>
        <v/>
      </c>
      <c r="AE208" s="374" t="str">
        <f t="shared" si="59"/>
        <v/>
      </c>
      <c r="AF208" s="532" t="str">
        <f t="shared" si="60"/>
        <v/>
      </c>
    </row>
    <row r="209" spans="2:32" x14ac:dyDescent="0.25">
      <c r="B209" s="695"/>
      <c r="C209" s="197" t="str">
        <f>IF(B209&lt;&gt;"",IFERROR(VLOOKUP(B:B,'מצבת והרשמה (2)'!$C$20:$N$520,2,0)," ")," ")</f>
        <v xml:space="preserve"> </v>
      </c>
      <c r="D209" s="695"/>
      <c r="E209" s="696"/>
      <c r="F209" s="696"/>
      <c r="G209" s="696"/>
      <c r="H209" s="696"/>
      <c r="I209" s="1050" t="str">
        <f t="shared" si="47"/>
        <v/>
      </c>
      <c r="J209" s="696"/>
      <c r="K209" s="697"/>
      <c r="L209" s="696"/>
      <c r="M209" s="198" t="str">
        <f t="shared" si="48"/>
        <v/>
      </c>
      <c r="N209" s="369" t="str">
        <f t="shared" si="49"/>
        <v/>
      </c>
      <c r="O209" s="183" t="str">
        <f t="shared" si="50"/>
        <v/>
      </c>
      <c r="P209" s="199" t="str">
        <f t="shared" si="51"/>
        <v/>
      </c>
      <c r="Q209" s="199" t="str">
        <f>IF(B209="","",IFERROR(IF('עלויות כח אדם (6)'!J209&gt;=VLOOKUP(I209,'סיווג התפקידים והעלויות'!$B$23:$C$32,2,0),"תקין","לא תקין"),""))</f>
        <v/>
      </c>
      <c r="R209" s="199" t="str">
        <f t="shared" si="52"/>
        <v/>
      </c>
      <c r="S209" s="199" t="str">
        <f t="shared" si="53"/>
        <v/>
      </c>
      <c r="T209" s="199" t="str">
        <f t="shared" si="61"/>
        <v/>
      </c>
      <c r="U209" s="199" t="str">
        <f t="shared" si="54"/>
        <v/>
      </c>
      <c r="V209" s="989"/>
      <c r="X209" s="374" t="str">
        <f t="shared" si="55"/>
        <v/>
      </c>
      <c r="Y209" s="375" t="str">
        <f t="shared" si="56"/>
        <v/>
      </c>
      <c r="Z209" s="374" t="str">
        <f t="shared" si="57"/>
        <v/>
      </c>
      <c r="AA209" s="374" t="b">
        <f t="shared" si="58"/>
        <v>1</v>
      </c>
      <c r="AB209" s="374">
        <f>COUNTIFS(B:B,B209,H:H,'סיווג התפקידים והעלויות'!$C$2)</f>
        <v>0</v>
      </c>
      <c r="AC209" s="374">
        <f>COUNTIFS(B:B,B209,H:H,'סיווג התפקידים והעלויות'!$D$2)</f>
        <v>0</v>
      </c>
      <c r="AD209" s="374" t="str">
        <f>IF(OR(AND(H209='סיווג התפקידים והעלויות'!$A$2,I209='סיווג התפקידים והעלויות'!$A$3),'עלויות כח אדם (6)'!H209='סיווג התפקידים והעלויות'!$C$2,'עלויות כח אדם (6)'!H209='סיווג התפקידים והעלויות'!$D$2),IF('עלויות כח אדם (6)'!J209&lt;75,"לא תקין","תקין"),"")</f>
        <v/>
      </c>
      <c r="AE209" s="374" t="str">
        <f t="shared" si="59"/>
        <v/>
      </c>
      <c r="AF209" s="532" t="str">
        <f t="shared" si="60"/>
        <v/>
      </c>
    </row>
    <row r="210" spans="2:32" x14ac:dyDescent="0.25">
      <c r="B210" s="695"/>
      <c r="C210" s="197" t="str">
        <f>IF(B210&lt;&gt;"",IFERROR(VLOOKUP(B:B,'מצבת והרשמה (2)'!$C$20:$N$520,2,0)," ")," ")</f>
        <v xml:space="preserve"> </v>
      </c>
      <c r="D210" s="695"/>
      <c r="E210" s="696"/>
      <c r="F210" s="696"/>
      <c r="G210" s="696"/>
      <c r="H210" s="696"/>
      <c r="I210" s="1050" t="str">
        <f t="shared" si="47"/>
        <v/>
      </c>
      <c r="J210" s="696"/>
      <c r="K210" s="697"/>
      <c r="L210" s="696"/>
      <c r="M210" s="198" t="str">
        <f t="shared" si="48"/>
        <v/>
      </c>
      <c r="N210" s="369" t="str">
        <f t="shared" si="49"/>
        <v/>
      </c>
      <c r="O210" s="183" t="str">
        <f t="shared" si="50"/>
        <v/>
      </c>
      <c r="P210" s="199" t="str">
        <f t="shared" si="51"/>
        <v/>
      </c>
      <c r="Q210" s="199" t="str">
        <f>IF(B210="","",IFERROR(IF('עלויות כח אדם (6)'!J210&gt;=VLOOKUP(I210,'סיווג התפקידים והעלויות'!$B$23:$C$32,2,0),"תקין","לא תקין"),""))</f>
        <v/>
      </c>
      <c r="R210" s="199" t="str">
        <f t="shared" si="52"/>
        <v/>
      </c>
      <c r="S210" s="199" t="str">
        <f t="shared" si="53"/>
        <v/>
      </c>
      <c r="T210" s="199" t="str">
        <f t="shared" si="61"/>
        <v/>
      </c>
      <c r="U210" s="199" t="str">
        <f t="shared" si="54"/>
        <v/>
      </c>
      <c r="V210" s="989"/>
      <c r="X210" s="374" t="str">
        <f t="shared" si="55"/>
        <v/>
      </c>
      <c r="Y210" s="375" t="str">
        <f t="shared" si="56"/>
        <v/>
      </c>
      <c r="Z210" s="374" t="str">
        <f t="shared" si="57"/>
        <v/>
      </c>
      <c r="AA210" s="374" t="b">
        <f t="shared" si="58"/>
        <v>1</v>
      </c>
      <c r="AB210" s="374">
        <f>COUNTIFS(B:B,B210,H:H,'סיווג התפקידים והעלויות'!$C$2)</f>
        <v>0</v>
      </c>
      <c r="AC210" s="374">
        <f>COUNTIFS(B:B,B210,H:H,'סיווג התפקידים והעלויות'!$D$2)</f>
        <v>0</v>
      </c>
      <c r="AD210" s="374" t="str">
        <f>IF(OR(AND(H210='סיווג התפקידים והעלויות'!$A$2,I210='סיווג התפקידים והעלויות'!$A$3),'עלויות כח אדם (6)'!H210='סיווג התפקידים והעלויות'!$C$2,'עלויות כח אדם (6)'!H210='סיווג התפקידים והעלויות'!$D$2),IF('עלויות כח אדם (6)'!J210&lt;75,"לא תקין","תקין"),"")</f>
        <v/>
      </c>
      <c r="AE210" s="374" t="str">
        <f t="shared" si="59"/>
        <v/>
      </c>
      <c r="AF210" s="532" t="str">
        <f t="shared" si="60"/>
        <v/>
      </c>
    </row>
    <row r="211" spans="2:32" x14ac:dyDescent="0.25">
      <c r="B211" s="695"/>
      <c r="C211" s="197" t="str">
        <f>IF(B211&lt;&gt;"",IFERROR(VLOOKUP(B:B,'מצבת והרשמה (2)'!$C$20:$N$520,2,0)," ")," ")</f>
        <v xml:space="preserve"> </v>
      </c>
      <c r="D211" s="695"/>
      <c r="E211" s="696"/>
      <c r="F211" s="696"/>
      <c r="G211" s="696"/>
      <c r="H211" s="696"/>
      <c r="I211" s="1050" t="str">
        <f t="shared" si="47"/>
        <v/>
      </c>
      <c r="J211" s="696"/>
      <c r="K211" s="697"/>
      <c r="L211" s="696"/>
      <c r="M211" s="198" t="str">
        <f t="shared" si="48"/>
        <v/>
      </c>
      <c r="N211" s="369" t="str">
        <f t="shared" si="49"/>
        <v/>
      </c>
      <c r="O211" s="183" t="str">
        <f t="shared" si="50"/>
        <v/>
      </c>
      <c r="P211" s="199" t="str">
        <f t="shared" si="51"/>
        <v/>
      </c>
      <c r="Q211" s="199" t="str">
        <f>IF(B211="","",IFERROR(IF('עלויות כח אדם (6)'!J211&gt;=VLOOKUP(I211,'סיווג התפקידים והעלויות'!$B$23:$C$32,2,0),"תקין","לא תקין"),""))</f>
        <v/>
      </c>
      <c r="R211" s="199" t="str">
        <f t="shared" si="52"/>
        <v/>
      </c>
      <c r="S211" s="199" t="str">
        <f t="shared" si="53"/>
        <v/>
      </c>
      <c r="T211" s="199" t="str">
        <f t="shared" si="61"/>
        <v/>
      </c>
      <c r="U211" s="199" t="str">
        <f t="shared" si="54"/>
        <v/>
      </c>
      <c r="V211" s="989"/>
      <c r="X211" s="374" t="str">
        <f t="shared" si="55"/>
        <v/>
      </c>
      <c r="Y211" s="375" t="str">
        <f t="shared" si="56"/>
        <v/>
      </c>
      <c r="Z211" s="374" t="str">
        <f t="shared" si="57"/>
        <v/>
      </c>
      <c r="AA211" s="374" t="b">
        <f t="shared" si="58"/>
        <v>1</v>
      </c>
      <c r="AB211" s="374">
        <f>COUNTIFS(B:B,B211,H:H,'סיווג התפקידים והעלויות'!$C$2)</f>
        <v>0</v>
      </c>
      <c r="AC211" s="374">
        <f>COUNTIFS(B:B,B211,H:H,'סיווג התפקידים והעלויות'!$D$2)</f>
        <v>0</v>
      </c>
      <c r="AD211" s="374" t="str">
        <f>IF(OR(AND(H211='סיווג התפקידים והעלויות'!$A$2,I211='סיווג התפקידים והעלויות'!$A$3),'עלויות כח אדם (6)'!H211='סיווג התפקידים והעלויות'!$C$2,'עלויות כח אדם (6)'!H211='סיווג התפקידים והעלויות'!$D$2),IF('עלויות כח אדם (6)'!J211&lt;75,"לא תקין","תקין"),"")</f>
        <v/>
      </c>
      <c r="AE211" s="374" t="str">
        <f t="shared" si="59"/>
        <v/>
      </c>
      <c r="AF211" s="532" t="str">
        <f t="shared" si="60"/>
        <v/>
      </c>
    </row>
    <row r="212" spans="2:32" x14ac:dyDescent="0.25">
      <c r="B212" s="695"/>
      <c r="C212" s="197" t="str">
        <f>IF(B212&lt;&gt;"",IFERROR(VLOOKUP(B:B,'מצבת והרשמה (2)'!$C$20:$N$520,2,0)," ")," ")</f>
        <v xml:space="preserve"> </v>
      </c>
      <c r="D212" s="695"/>
      <c r="E212" s="696"/>
      <c r="F212" s="696"/>
      <c r="G212" s="696"/>
      <c r="H212" s="696"/>
      <c r="I212" s="1050" t="str">
        <f t="shared" si="47"/>
        <v/>
      </c>
      <c r="J212" s="696"/>
      <c r="K212" s="697"/>
      <c r="L212" s="696"/>
      <c r="M212" s="198" t="str">
        <f t="shared" si="48"/>
        <v/>
      </c>
      <c r="N212" s="369" t="str">
        <f t="shared" si="49"/>
        <v/>
      </c>
      <c r="O212" s="183" t="str">
        <f t="shared" si="50"/>
        <v/>
      </c>
      <c r="P212" s="199" t="str">
        <f t="shared" si="51"/>
        <v/>
      </c>
      <c r="Q212" s="199" t="str">
        <f>IF(B212="","",IFERROR(IF('עלויות כח אדם (6)'!J212&gt;=VLOOKUP(I212,'סיווג התפקידים והעלויות'!$B$23:$C$32,2,0),"תקין","לא תקין"),""))</f>
        <v/>
      </c>
      <c r="R212" s="199" t="str">
        <f t="shared" si="52"/>
        <v/>
      </c>
      <c r="S212" s="199" t="str">
        <f t="shared" si="53"/>
        <v/>
      </c>
      <c r="T212" s="199" t="str">
        <f t="shared" si="61"/>
        <v/>
      </c>
      <c r="U212" s="199" t="str">
        <f t="shared" si="54"/>
        <v/>
      </c>
      <c r="V212" s="989"/>
      <c r="X212" s="374" t="str">
        <f t="shared" si="55"/>
        <v/>
      </c>
      <c r="Y212" s="375" t="str">
        <f t="shared" si="56"/>
        <v/>
      </c>
      <c r="Z212" s="374" t="str">
        <f t="shared" si="57"/>
        <v/>
      </c>
      <c r="AA212" s="374" t="b">
        <f t="shared" si="58"/>
        <v>1</v>
      </c>
      <c r="AB212" s="374">
        <f>COUNTIFS(B:B,B212,H:H,'סיווג התפקידים והעלויות'!$C$2)</f>
        <v>0</v>
      </c>
      <c r="AC212" s="374">
        <f>COUNTIFS(B:B,B212,H:H,'סיווג התפקידים והעלויות'!$D$2)</f>
        <v>0</v>
      </c>
      <c r="AD212" s="374" t="str">
        <f>IF(OR(AND(H212='סיווג התפקידים והעלויות'!$A$2,I212='סיווג התפקידים והעלויות'!$A$3),'עלויות כח אדם (6)'!H212='סיווג התפקידים והעלויות'!$C$2,'עלויות כח אדם (6)'!H212='סיווג התפקידים והעלויות'!$D$2),IF('עלויות כח אדם (6)'!J212&lt;75,"לא תקין","תקין"),"")</f>
        <v/>
      </c>
      <c r="AE212" s="374" t="str">
        <f t="shared" si="59"/>
        <v/>
      </c>
      <c r="AF212" s="532" t="str">
        <f t="shared" si="60"/>
        <v/>
      </c>
    </row>
    <row r="213" spans="2:32" x14ac:dyDescent="0.25">
      <c r="B213" s="695"/>
      <c r="C213" s="197" t="str">
        <f>IF(B213&lt;&gt;"",IFERROR(VLOOKUP(B:B,'מצבת והרשמה (2)'!$C$20:$N$520,2,0)," ")," ")</f>
        <v xml:space="preserve"> </v>
      </c>
      <c r="D213" s="695"/>
      <c r="E213" s="696"/>
      <c r="F213" s="696"/>
      <c r="G213" s="696"/>
      <c r="H213" s="696"/>
      <c r="I213" s="1050" t="str">
        <f t="shared" si="47"/>
        <v/>
      </c>
      <c r="J213" s="696"/>
      <c r="K213" s="697"/>
      <c r="L213" s="696"/>
      <c r="M213" s="198" t="str">
        <f t="shared" si="48"/>
        <v/>
      </c>
      <c r="N213" s="369" t="str">
        <f t="shared" si="49"/>
        <v/>
      </c>
      <c r="O213" s="183" t="str">
        <f t="shared" si="50"/>
        <v/>
      </c>
      <c r="P213" s="199" t="str">
        <f t="shared" si="51"/>
        <v/>
      </c>
      <c r="Q213" s="199" t="str">
        <f>IF(B213="","",IFERROR(IF('עלויות כח אדם (6)'!J213&gt;=VLOOKUP(I213,'סיווג התפקידים והעלויות'!$B$23:$C$32,2,0),"תקין","לא תקין"),""))</f>
        <v/>
      </c>
      <c r="R213" s="199" t="str">
        <f t="shared" si="52"/>
        <v/>
      </c>
      <c r="S213" s="199" t="str">
        <f t="shared" si="53"/>
        <v/>
      </c>
      <c r="T213" s="199" t="str">
        <f t="shared" si="61"/>
        <v/>
      </c>
      <c r="U213" s="199" t="str">
        <f t="shared" si="54"/>
        <v/>
      </c>
      <c r="V213" s="989"/>
      <c r="X213" s="374" t="str">
        <f t="shared" si="55"/>
        <v/>
      </c>
      <c r="Y213" s="375" t="str">
        <f t="shared" si="56"/>
        <v/>
      </c>
      <c r="Z213" s="374" t="str">
        <f t="shared" si="57"/>
        <v/>
      </c>
      <c r="AA213" s="374" t="b">
        <f t="shared" si="58"/>
        <v>1</v>
      </c>
      <c r="AB213" s="374">
        <f>COUNTIFS(B:B,B213,H:H,'סיווג התפקידים והעלויות'!$C$2)</f>
        <v>0</v>
      </c>
      <c r="AC213" s="374">
        <f>COUNTIFS(B:B,B213,H:H,'סיווג התפקידים והעלויות'!$D$2)</f>
        <v>0</v>
      </c>
      <c r="AD213" s="374" t="str">
        <f>IF(OR(AND(H213='סיווג התפקידים והעלויות'!$A$2,I213='סיווג התפקידים והעלויות'!$A$3),'עלויות כח אדם (6)'!H213='סיווג התפקידים והעלויות'!$C$2,'עלויות כח אדם (6)'!H213='סיווג התפקידים והעלויות'!$D$2),IF('עלויות כח אדם (6)'!J213&lt;75,"לא תקין","תקין"),"")</f>
        <v/>
      </c>
      <c r="AE213" s="374" t="str">
        <f t="shared" si="59"/>
        <v/>
      </c>
      <c r="AF213" s="532" t="str">
        <f t="shared" si="60"/>
        <v/>
      </c>
    </row>
    <row r="214" spans="2:32" x14ac:dyDescent="0.25">
      <c r="B214" s="695"/>
      <c r="C214" s="197" t="str">
        <f>IF(B214&lt;&gt;"",IFERROR(VLOOKUP(B:B,'מצבת והרשמה (2)'!$C$20:$N$520,2,0)," ")," ")</f>
        <v xml:space="preserve"> </v>
      </c>
      <c r="D214" s="695"/>
      <c r="E214" s="696"/>
      <c r="F214" s="696"/>
      <c r="G214" s="696"/>
      <c r="H214" s="696"/>
      <c r="I214" s="1050" t="str">
        <f t="shared" si="47"/>
        <v/>
      </c>
      <c r="J214" s="696"/>
      <c r="K214" s="697"/>
      <c r="L214" s="696"/>
      <c r="M214" s="198" t="str">
        <f t="shared" si="48"/>
        <v/>
      </c>
      <c r="N214" s="369" t="str">
        <f t="shared" si="49"/>
        <v/>
      </c>
      <c r="O214" s="183" t="str">
        <f t="shared" si="50"/>
        <v/>
      </c>
      <c r="P214" s="199" t="str">
        <f t="shared" si="51"/>
        <v/>
      </c>
      <c r="Q214" s="199" t="str">
        <f>IF(B214="","",IFERROR(IF('עלויות כח אדם (6)'!J214&gt;=VLOOKUP(I214,'סיווג התפקידים והעלויות'!$B$23:$C$32,2,0),"תקין","לא תקין"),""))</f>
        <v/>
      </c>
      <c r="R214" s="199" t="str">
        <f t="shared" si="52"/>
        <v/>
      </c>
      <c r="S214" s="199" t="str">
        <f t="shared" si="53"/>
        <v/>
      </c>
      <c r="T214" s="199" t="str">
        <f t="shared" si="61"/>
        <v/>
      </c>
      <c r="U214" s="199" t="str">
        <f t="shared" si="54"/>
        <v/>
      </c>
      <c r="V214" s="989"/>
      <c r="X214" s="374" t="str">
        <f t="shared" si="55"/>
        <v/>
      </c>
      <c r="Y214" s="375" t="str">
        <f t="shared" si="56"/>
        <v/>
      </c>
      <c r="Z214" s="374" t="str">
        <f t="shared" si="57"/>
        <v/>
      </c>
      <c r="AA214" s="374" t="b">
        <f t="shared" si="58"/>
        <v>1</v>
      </c>
      <c r="AB214" s="374">
        <f>COUNTIFS(B:B,B214,H:H,'סיווג התפקידים והעלויות'!$C$2)</f>
        <v>0</v>
      </c>
      <c r="AC214" s="374">
        <f>COUNTIFS(B:B,B214,H:H,'סיווג התפקידים והעלויות'!$D$2)</f>
        <v>0</v>
      </c>
      <c r="AD214" s="374" t="str">
        <f>IF(OR(AND(H214='סיווג התפקידים והעלויות'!$A$2,I214='סיווג התפקידים והעלויות'!$A$3),'עלויות כח אדם (6)'!H214='סיווג התפקידים והעלויות'!$C$2,'עלויות כח אדם (6)'!H214='סיווג התפקידים והעלויות'!$D$2),IF('עלויות כח אדם (6)'!J214&lt;75,"לא תקין","תקין"),"")</f>
        <v/>
      </c>
      <c r="AE214" s="374" t="str">
        <f t="shared" si="59"/>
        <v/>
      </c>
      <c r="AF214" s="532" t="str">
        <f t="shared" si="60"/>
        <v/>
      </c>
    </row>
    <row r="215" spans="2:32" x14ac:dyDescent="0.25">
      <c r="B215" s="695"/>
      <c r="C215" s="197" t="str">
        <f>IF(B215&lt;&gt;"",IFERROR(VLOOKUP(B:B,'מצבת והרשמה (2)'!$C$20:$N$520,2,0)," ")," ")</f>
        <v xml:space="preserve"> </v>
      </c>
      <c r="D215" s="695"/>
      <c r="E215" s="696"/>
      <c r="F215" s="696"/>
      <c r="G215" s="696"/>
      <c r="H215" s="696"/>
      <c r="I215" s="1050" t="str">
        <f t="shared" si="47"/>
        <v/>
      </c>
      <c r="J215" s="696"/>
      <c r="K215" s="697"/>
      <c r="L215" s="696"/>
      <c r="M215" s="198" t="str">
        <f t="shared" si="48"/>
        <v/>
      </c>
      <c r="N215" s="369" t="str">
        <f t="shared" si="49"/>
        <v/>
      </c>
      <c r="O215" s="183" t="str">
        <f t="shared" si="50"/>
        <v/>
      </c>
      <c r="P215" s="199" t="str">
        <f t="shared" si="51"/>
        <v/>
      </c>
      <c r="Q215" s="199" t="str">
        <f>IF(B215="","",IFERROR(IF('עלויות כח אדם (6)'!J215&gt;=VLOOKUP(I215,'סיווג התפקידים והעלויות'!$B$23:$C$32,2,0),"תקין","לא תקין"),""))</f>
        <v/>
      </c>
      <c r="R215" s="199" t="str">
        <f t="shared" si="52"/>
        <v/>
      </c>
      <c r="S215" s="199" t="str">
        <f t="shared" si="53"/>
        <v/>
      </c>
      <c r="T215" s="199" t="str">
        <f t="shared" si="61"/>
        <v/>
      </c>
      <c r="U215" s="199" t="str">
        <f t="shared" si="54"/>
        <v/>
      </c>
      <c r="V215" s="989"/>
      <c r="X215" s="374" t="str">
        <f t="shared" si="55"/>
        <v/>
      </c>
      <c r="Y215" s="375" t="str">
        <f t="shared" si="56"/>
        <v/>
      </c>
      <c r="Z215" s="374" t="str">
        <f t="shared" si="57"/>
        <v/>
      </c>
      <c r="AA215" s="374" t="b">
        <f t="shared" si="58"/>
        <v>1</v>
      </c>
      <c r="AB215" s="374">
        <f>COUNTIFS(B:B,B215,H:H,'סיווג התפקידים והעלויות'!$C$2)</f>
        <v>0</v>
      </c>
      <c r="AC215" s="374">
        <f>COUNTIFS(B:B,B215,H:H,'סיווג התפקידים והעלויות'!$D$2)</f>
        <v>0</v>
      </c>
      <c r="AD215" s="374" t="str">
        <f>IF(OR(AND(H215='סיווג התפקידים והעלויות'!$A$2,I215='סיווג התפקידים והעלויות'!$A$3),'עלויות כח אדם (6)'!H215='סיווג התפקידים והעלויות'!$C$2,'עלויות כח אדם (6)'!H215='סיווג התפקידים והעלויות'!$D$2),IF('עלויות כח אדם (6)'!J215&lt;75,"לא תקין","תקין"),"")</f>
        <v/>
      </c>
      <c r="AE215" s="374" t="str">
        <f t="shared" si="59"/>
        <v/>
      </c>
      <c r="AF215" s="532" t="str">
        <f t="shared" si="60"/>
        <v/>
      </c>
    </row>
    <row r="216" spans="2:32" x14ac:dyDescent="0.25">
      <c r="B216" s="695"/>
      <c r="C216" s="197" t="str">
        <f>IF(B216&lt;&gt;"",IFERROR(VLOOKUP(B:B,'מצבת והרשמה (2)'!$C$20:$N$520,2,0)," ")," ")</f>
        <v xml:space="preserve"> </v>
      </c>
      <c r="D216" s="695"/>
      <c r="E216" s="696"/>
      <c r="F216" s="696"/>
      <c r="G216" s="696"/>
      <c r="H216" s="696"/>
      <c r="I216" s="1050" t="str">
        <f t="shared" si="47"/>
        <v/>
      </c>
      <c r="J216" s="696"/>
      <c r="K216" s="697"/>
      <c r="L216" s="696"/>
      <c r="M216" s="198" t="str">
        <f t="shared" si="48"/>
        <v/>
      </c>
      <c r="N216" s="369" t="str">
        <f t="shared" si="49"/>
        <v/>
      </c>
      <c r="O216" s="183" t="str">
        <f t="shared" si="50"/>
        <v/>
      </c>
      <c r="P216" s="199" t="str">
        <f t="shared" si="51"/>
        <v/>
      </c>
      <c r="Q216" s="199" t="str">
        <f>IF(B216="","",IFERROR(IF('עלויות כח אדם (6)'!J216&gt;=VLOOKUP(I216,'סיווג התפקידים והעלויות'!$B$23:$C$32,2,0),"תקין","לא תקין"),""))</f>
        <v/>
      </c>
      <c r="R216" s="199" t="str">
        <f t="shared" si="52"/>
        <v/>
      </c>
      <c r="S216" s="199" t="str">
        <f t="shared" si="53"/>
        <v/>
      </c>
      <c r="T216" s="199" t="str">
        <f t="shared" si="61"/>
        <v/>
      </c>
      <c r="U216" s="199" t="str">
        <f t="shared" si="54"/>
        <v/>
      </c>
      <c r="V216" s="989"/>
      <c r="X216" s="374" t="str">
        <f t="shared" si="55"/>
        <v/>
      </c>
      <c r="Y216" s="375" t="str">
        <f t="shared" si="56"/>
        <v/>
      </c>
      <c r="Z216" s="374" t="str">
        <f t="shared" si="57"/>
        <v/>
      </c>
      <c r="AA216" s="374" t="b">
        <f t="shared" si="58"/>
        <v>1</v>
      </c>
      <c r="AB216" s="374">
        <f>COUNTIFS(B:B,B216,H:H,'סיווג התפקידים והעלויות'!$C$2)</f>
        <v>0</v>
      </c>
      <c r="AC216" s="374">
        <f>COUNTIFS(B:B,B216,H:H,'סיווג התפקידים והעלויות'!$D$2)</f>
        <v>0</v>
      </c>
      <c r="AD216" s="374" t="str">
        <f>IF(OR(AND(H216='סיווג התפקידים והעלויות'!$A$2,I216='סיווג התפקידים והעלויות'!$A$3),'עלויות כח אדם (6)'!H216='סיווג התפקידים והעלויות'!$C$2,'עלויות כח אדם (6)'!H216='סיווג התפקידים והעלויות'!$D$2),IF('עלויות כח אדם (6)'!J216&lt;75,"לא תקין","תקין"),"")</f>
        <v/>
      </c>
      <c r="AE216" s="374" t="str">
        <f t="shared" si="59"/>
        <v/>
      </c>
      <c r="AF216" s="532" t="str">
        <f t="shared" si="60"/>
        <v/>
      </c>
    </row>
    <row r="217" spans="2:32" x14ac:dyDescent="0.25">
      <c r="B217" s="695"/>
      <c r="C217" s="197" t="str">
        <f>IF(B217&lt;&gt;"",IFERROR(VLOOKUP(B:B,'מצבת והרשמה (2)'!$C$20:$N$520,2,0)," ")," ")</f>
        <v xml:space="preserve"> </v>
      </c>
      <c r="D217" s="695"/>
      <c r="E217" s="696"/>
      <c r="F217" s="696"/>
      <c r="G217" s="696"/>
      <c r="H217" s="696"/>
      <c r="I217" s="1050" t="str">
        <f t="shared" si="47"/>
        <v/>
      </c>
      <c r="J217" s="696"/>
      <c r="K217" s="697"/>
      <c r="L217" s="696"/>
      <c r="M217" s="198" t="str">
        <f t="shared" si="48"/>
        <v/>
      </c>
      <c r="N217" s="369" t="str">
        <f t="shared" si="49"/>
        <v/>
      </c>
      <c r="O217" s="183" t="str">
        <f t="shared" si="50"/>
        <v/>
      </c>
      <c r="P217" s="199" t="str">
        <f t="shared" si="51"/>
        <v/>
      </c>
      <c r="Q217" s="199" t="str">
        <f>IF(B217="","",IFERROR(IF('עלויות כח אדם (6)'!J217&gt;=VLOOKUP(I217,'סיווג התפקידים והעלויות'!$B$23:$C$32,2,0),"תקין","לא תקין"),""))</f>
        <v/>
      </c>
      <c r="R217" s="199" t="str">
        <f t="shared" si="52"/>
        <v/>
      </c>
      <c r="S217" s="199" t="str">
        <f t="shared" si="53"/>
        <v/>
      </c>
      <c r="T217" s="199" t="str">
        <f t="shared" si="61"/>
        <v/>
      </c>
      <c r="U217" s="199" t="str">
        <f t="shared" si="54"/>
        <v/>
      </c>
      <c r="V217" s="989"/>
      <c r="X217" s="374" t="str">
        <f t="shared" si="55"/>
        <v/>
      </c>
      <c r="Y217" s="375" t="str">
        <f t="shared" si="56"/>
        <v/>
      </c>
      <c r="Z217" s="374" t="str">
        <f t="shared" si="57"/>
        <v/>
      </c>
      <c r="AA217" s="374" t="b">
        <f t="shared" si="58"/>
        <v>1</v>
      </c>
      <c r="AB217" s="374">
        <f>COUNTIFS(B:B,B217,H:H,'סיווג התפקידים והעלויות'!$C$2)</f>
        <v>0</v>
      </c>
      <c r="AC217" s="374">
        <f>COUNTIFS(B:B,B217,H:H,'סיווג התפקידים והעלויות'!$D$2)</f>
        <v>0</v>
      </c>
      <c r="AD217" s="374" t="str">
        <f>IF(OR(AND(H217='סיווג התפקידים והעלויות'!$A$2,I217='סיווג התפקידים והעלויות'!$A$3),'עלויות כח אדם (6)'!H217='סיווג התפקידים והעלויות'!$C$2,'עלויות כח אדם (6)'!H217='סיווג התפקידים והעלויות'!$D$2),IF('עלויות כח אדם (6)'!J217&lt;75,"לא תקין","תקין"),"")</f>
        <v/>
      </c>
      <c r="AE217" s="374" t="str">
        <f t="shared" si="59"/>
        <v/>
      </c>
      <c r="AF217" s="532" t="str">
        <f t="shared" si="60"/>
        <v/>
      </c>
    </row>
    <row r="218" spans="2:32" x14ac:dyDescent="0.25">
      <c r="B218" s="695"/>
      <c r="C218" s="197" t="str">
        <f>IF(B218&lt;&gt;"",IFERROR(VLOOKUP(B:B,'מצבת והרשמה (2)'!$C$20:$N$520,2,0)," ")," ")</f>
        <v xml:space="preserve"> </v>
      </c>
      <c r="D218" s="695"/>
      <c r="E218" s="696"/>
      <c r="F218" s="696"/>
      <c r="G218" s="696"/>
      <c r="H218" s="696"/>
      <c r="I218" s="1050" t="str">
        <f t="shared" si="47"/>
        <v/>
      </c>
      <c r="J218" s="696"/>
      <c r="K218" s="697"/>
      <c r="L218" s="696"/>
      <c r="M218" s="198" t="str">
        <f t="shared" si="48"/>
        <v/>
      </c>
      <c r="N218" s="369" t="str">
        <f t="shared" si="49"/>
        <v/>
      </c>
      <c r="O218" s="183" t="str">
        <f t="shared" si="50"/>
        <v/>
      </c>
      <c r="P218" s="199" t="str">
        <f t="shared" si="51"/>
        <v/>
      </c>
      <c r="Q218" s="199" t="str">
        <f>IF(B218="","",IFERROR(IF('עלויות כח אדם (6)'!J218&gt;=VLOOKUP(I218,'סיווג התפקידים והעלויות'!$B$23:$C$32,2,0),"תקין","לא תקין"),""))</f>
        <v/>
      </c>
      <c r="R218" s="199" t="str">
        <f t="shared" si="52"/>
        <v/>
      </c>
      <c r="S218" s="199" t="str">
        <f t="shared" si="53"/>
        <v/>
      </c>
      <c r="T218" s="199" t="str">
        <f t="shared" si="61"/>
        <v/>
      </c>
      <c r="U218" s="199" t="str">
        <f t="shared" si="54"/>
        <v/>
      </c>
      <c r="V218" s="989"/>
      <c r="X218" s="374" t="str">
        <f t="shared" si="55"/>
        <v/>
      </c>
      <c r="Y218" s="375" t="str">
        <f t="shared" si="56"/>
        <v/>
      </c>
      <c r="Z218" s="374" t="str">
        <f t="shared" si="57"/>
        <v/>
      </c>
      <c r="AA218" s="374" t="b">
        <f t="shared" si="58"/>
        <v>1</v>
      </c>
      <c r="AB218" s="374">
        <f>COUNTIFS(B:B,B218,H:H,'סיווג התפקידים והעלויות'!$C$2)</f>
        <v>0</v>
      </c>
      <c r="AC218" s="374">
        <f>COUNTIFS(B:B,B218,H:H,'סיווג התפקידים והעלויות'!$D$2)</f>
        <v>0</v>
      </c>
      <c r="AD218" s="374" t="str">
        <f>IF(OR(AND(H218='סיווג התפקידים והעלויות'!$A$2,I218='סיווג התפקידים והעלויות'!$A$3),'עלויות כח אדם (6)'!H218='סיווג התפקידים והעלויות'!$C$2,'עלויות כח אדם (6)'!H218='סיווג התפקידים והעלויות'!$D$2),IF('עלויות כח אדם (6)'!J218&lt;75,"לא תקין","תקין"),"")</f>
        <v/>
      </c>
      <c r="AE218" s="374" t="str">
        <f t="shared" si="59"/>
        <v/>
      </c>
      <c r="AF218" s="532" t="str">
        <f t="shared" si="60"/>
        <v/>
      </c>
    </row>
    <row r="219" spans="2:32" x14ac:dyDescent="0.25">
      <c r="B219" s="695"/>
      <c r="C219" s="197" t="str">
        <f>IF(B219&lt;&gt;"",IFERROR(VLOOKUP(B:B,'מצבת והרשמה (2)'!$C$20:$N$520,2,0)," ")," ")</f>
        <v xml:space="preserve"> </v>
      </c>
      <c r="D219" s="695"/>
      <c r="E219" s="696"/>
      <c r="F219" s="696"/>
      <c r="G219" s="696"/>
      <c r="H219" s="696"/>
      <c r="I219" s="1050" t="str">
        <f t="shared" si="47"/>
        <v/>
      </c>
      <c r="J219" s="696"/>
      <c r="K219" s="697"/>
      <c r="L219" s="696"/>
      <c r="M219" s="198" t="str">
        <f t="shared" si="48"/>
        <v/>
      </c>
      <c r="N219" s="369" t="str">
        <f t="shared" si="49"/>
        <v/>
      </c>
      <c r="O219" s="183" t="str">
        <f t="shared" si="50"/>
        <v/>
      </c>
      <c r="P219" s="199" t="str">
        <f t="shared" si="51"/>
        <v/>
      </c>
      <c r="Q219" s="199" t="str">
        <f>IF(B219="","",IFERROR(IF('עלויות כח אדם (6)'!J219&gt;=VLOOKUP(I219,'סיווג התפקידים והעלויות'!$B$23:$C$32,2,0),"תקין","לא תקין"),""))</f>
        <v/>
      </c>
      <c r="R219" s="199" t="str">
        <f t="shared" si="52"/>
        <v/>
      </c>
      <c r="S219" s="199" t="str">
        <f t="shared" si="53"/>
        <v/>
      </c>
      <c r="T219" s="199" t="str">
        <f t="shared" si="61"/>
        <v/>
      </c>
      <c r="U219" s="199" t="str">
        <f t="shared" si="54"/>
        <v/>
      </c>
      <c r="V219" s="989"/>
      <c r="X219" s="374" t="str">
        <f t="shared" si="55"/>
        <v/>
      </c>
      <c r="Y219" s="375" t="str">
        <f t="shared" si="56"/>
        <v/>
      </c>
      <c r="Z219" s="374" t="str">
        <f t="shared" si="57"/>
        <v/>
      </c>
      <c r="AA219" s="374" t="b">
        <f t="shared" si="58"/>
        <v>1</v>
      </c>
      <c r="AB219" s="374">
        <f>COUNTIFS(B:B,B219,H:H,'סיווג התפקידים והעלויות'!$C$2)</f>
        <v>0</v>
      </c>
      <c r="AC219" s="374">
        <f>COUNTIFS(B:B,B219,H:H,'סיווג התפקידים והעלויות'!$D$2)</f>
        <v>0</v>
      </c>
      <c r="AD219" s="374" t="str">
        <f>IF(OR(AND(H219='סיווג התפקידים והעלויות'!$A$2,I219='סיווג התפקידים והעלויות'!$A$3),'עלויות כח אדם (6)'!H219='סיווג התפקידים והעלויות'!$C$2,'עלויות כח אדם (6)'!H219='סיווג התפקידים והעלויות'!$D$2),IF('עלויות כח אדם (6)'!J219&lt;75,"לא תקין","תקין"),"")</f>
        <v/>
      </c>
      <c r="AE219" s="374" t="str">
        <f t="shared" si="59"/>
        <v/>
      </c>
      <c r="AF219" s="532" t="str">
        <f t="shared" si="60"/>
        <v/>
      </c>
    </row>
    <row r="220" spans="2:32" x14ac:dyDescent="0.25">
      <c r="B220" s="695"/>
      <c r="C220" s="197" t="str">
        <f>IF(B220&lt;&gt;"",IFERROR(VLOOKUP(B:B,'מצבת והרשמה (2)'!$C$20:$N$520,2,0)," ")," ")</f>
        <v xml:space="preserve"> </v>
      </c>
      <c r="D220" s="695"/>
      <c r="E220" s="696"/>
      <c r="F220" s="696"/>
      <c r="G220" s="696"/>
      <c r="H220" s="696"/>
      <c r="I220" s="1050" t="str">
        <f t="shared" si="47"/>
        <v/>
      </c>
      <c r="J220" s="696"/>
      <c r="K220" s="697"/>
      <c r="L220" s="696"/>
      <c r="M220" s="198" t="str">
        <f t="shared" si="48"/>
        <v/>
      </c>
      <c r="N220" s="369" t="str">
        <f t="shared" si="49"/>
        <v/>
      </c>
      <c r="O220" s="183" t="str">
        <f t="shared" si="50"/>
        <v/>
      </c>
      <c r="P220" s="199" t="str">
        <f t="shared" si="51"/>
        <v/>
      </c>
      <c r="Q220" s="199" t="str">
        <f>IF(B220="","",IFERROR(IF('עלויות כח אדם (6)'!J220&gt;=VLOOKUP(I220,'סיווג התפקידים והעלויות'!$B$23:$C$32,2,0),"תקין","לא תקין"),""))</f>
        <v/>
      </c>
      <c r="R220" s="199" t="str">
        <f t="shared" si="52"/>
        <v/>
      </c>
      <c r="S220" s="199" t="str">
        <f t="shared" si="53"/>
        <v/>
      </c>
      <c r="T220" s="199" t="str">
        <f t="shared" si="61"/>
        <v/>
      </c>
      <c r="U220" s="199" t="str">
        <f t="shared" si="54"/>
        <v/>
      </c>
      <c r="V220" s="989"/>
      <c r="X220" s="374" t="str">
        <f t="shared" si="55"/>
        <v/>
      </c>
      <c r="Y220" s="375" t="str">
        <f t="shared" si="56"/>
        <v/>
      </c>
      <c r="Z220" s="374" t="str">
        <f t="shared" si="57"/>
        <v/>
      </c>
      <c r="AA220" s="374" t="b">
        <f t="shared" si="58"/>
        <v>1</v>
      </c>
      <c r="AB220" s="374">
        <f>COUNTIFS(B:B,B220,H:H,'סיווג התפקידים והעלויות'!$C$2)</f>
        <v>0</v>
      </c>
      <c r="AC220" s="374">
        <f>COUNTIFS(B:B,B220,H:H,'סיווג התפקידים והעלויות'!$D$2)</f>
        <v>0</v>
      </c>
      <c r="AD220" s="374" t="str">
        <f>IF(OR(AND(H220='סיווג התפקידים והעלויות'!$A$2,I220='סיווג התפקידים והעלויות'!$A$3),'עלויות כח אדם (6)'!H220='סיווג התפקידים והעלויות'!$C$2,'עלויות כח אדם (6)'!H220='סיווג התפקידים והעלויות'!$D$2),IF('עלויות כח אדם (6)'!J220&lt;75,"לא תקין","תקין"),"")</f>
        <v/>
      </c>
      <c r="AE220" s="374" t="str">
        <f t="shared" si="59"/>
        <v/>
      </c>
      <c r="AF220" s="532" t="str">
        <f t="shared" si="60"/>
        <v/>
      </c>
    </row>
    <row r="221" spans="2:32" x14ac:dyDescent="0.25">
      <c r="B221" s="695"/>
      <c r="C221" s="197" t="str">
        <f>IF(B221&lt;&gt;"",IFERROR(VLOOKUP(B:B,'מצבת והרשמה (2)'!$C$20:$N$520,2,0)," ")," ")</f>
        <v xml:space="preserve"> </v>
      </c>
      <c r="D221" s="695"/>
      <c r="E221" s="696"/>
      <c r="F221" s="696"/>
      <c r="G221" s="696"/>
      <c r="H221" s="696"/>
      <c r="I221" s="1050" t="str">
        <f t="shared" si="47"/>
        <v/>
      </c>
      <c r="J221" s="696"/>
      <c r="K221" s="697"/>
      <c r="L221" s="696"/>
      <c r="M221" s="198" t="str">
        <f t="shared" si="48"/>
        <v/>
      </c>
      <c r="N221" s="369" t="str">
        <f t="shared" si="49"/>
        <v/>
      </c>
      <c r="O221" s="183" t="str">
        <f t="shared" si="50"/>
        <v/>
      </c>
      <c r="P221" s="199" t="str">
        <f t="shared" si="51"/>
        <v/>
      </c>
      <c r="Q221" s="199" t="str">
        <f>IF(B221="","",IFERROR(IF('עלויות כח אדם (6)'!J221&gt;=VLOOKUP(I221,'סיווג התפקידים והעלויות'!$B$23:$C$32,2,0),"תקין","לא תקין"),""))</f>
        <v/>
      </c>
      <c r="R221" s="199" t="str">
        <f t="shared" si="52"/>
        <v/>
      </c>
      <c r="S221" s="199" t="str">
        <f t="shared" si="53"/>
        <v/>
      </c>
      <c r="T221" s="199" t="str">
        <f t="shared" si="61"/>
        <v/>
      </c>
      <c r="U221" s="199" t="str">
        <f t="shared" si="54"/>
        <v/>
      </c>
      <c r="V221" s="989"/>
      <c r="X221" s="374" t="str">
        <f t="shared" si="55"/>
        <v/>
      </c>
      <c r="Y221" s="375" t="str">
        <f t="shared" si="56"/>
        <v/>
      </c>
      <c r="Z221" s="374" t="str">
        <f t="shared" si="57"/>
        <v/>
      </c>
      <c r="AA221" s="374" t="b">
        <f t="shared" si="58"/>
        <v>1</v>
      </c>
      <c r="AB221" s="374">
        <f>COUNTIFS(B:B,B221,H:H,'סיווג התפקידים והעלויות'!$C$2)</f>
        <v>0</v>
      </c>
      <c r="AC221" s="374">
        <f>COUNTIFS(B:B,B221,H:H,'סיווג התפקידים והעלויות'!$D$2)</f>
        <v>0</v>
      </c>
      <c r="AD221" s="374" t="str">
        <f>IF(OR(AND(H221='סיווג התפקידים והעלויות'!$A$2,I221='סיווג התפקידים והעלויות'!$A$3),'עלויות כח אדם (6)'!H221='סיווג התפקידים והעלויות'!$C$2,'עלויות כח אדם (6)'!H221='סיווג התפקידים והעלויות'!$D$2),IF('עלויות כח אדם (6)'!J221&lt;75,"לא תקין","תקין"),"")</f>
        <v/>
      </c>
      <c r="AE221" s="374" t="str">
        <f t="shared" si="59"/>
        <v/>
      </c>
      <c r="AF221" s="532" t="str">
        <f t="shared" si="60"/>
        <v/>
      </c>
    </row>
    <row r="222" spans="2:32" x14ac:dyDescent="0.25">
      <c r="B222" s="695"/>
      <c r="C222" s="197" t="str">
        <f>IF(B222&lt;&gt;"",IFERROR(VLOOKUP(B:B,'מצבת והרשמה (2)'!$C$20:$N$520,2,0)," ")," ")</f>
        <v xml:space="preserve"> </v>
      </c>
      <c r="D222" s="695"/>
      <c r="E222" s="696"/>
      <c r="F222" s="696"/>
      <c r="G222" s="696"/>
      <c r="H222" s="696"/>
      <c r="I222" s="1050" t="str">
        <f t="shared" si="47"/>
        <v/>
      </c>
      <c r="J222" s="696"/>
      <c r="K222" s="697"/>
      <c r="L222" s="696"/>
      <c r="M222" s="198" t="str">
        <f t="shared" si="48"/>
        <v/>
      </c>
      <c r="N222" s="369" t="str">
        <f t="shared" si="49"/>
        <v/>
      </c>
      <c r="O222" s="183" t="str">
        <f t="shared" si="50"/>
        <v/>
      </c>
      <c r="P222" s="199" t="str">
        <f t="shared" si="51"/>
        <v/>
      </c>
      <c r="Q222" s="199" t="str">
        <f>IF(B222="","",IFERROR(IF('עלויות כח אדם (6)'!J222&gt;=VLOOKUP(I222,'סיווג התפקידים והעלויות'!$B$23:$C$32,2,0),"תקין","לא תקין"),""))</f>
        <v/>
      </c>
      <c r="R222" s="199" t="str">
        <f t="shared" si="52"/>
        <v/>
      </c>
      <c r="S222" s="199" t="str">
        <f t="shared" si="53"/>
        <v/>
      </c>
      <c r="T222" s="199" t="str">
        <f t="shared" si="61"/>
        <v/>
      </c>
      <c r="U222" s="199" t="str">
        <f t="shared" si="54"/>
        <v/>
      </c>
      <c r="V222" s="989"/>
      <c r="X222" s="374" t="str">
        <f t="shared" si="55"/>
        <v/>
      </c>
      <c r="Y222" s="375" t="str">
        <f t="shared" si="56"/>
        <v/>
      </c>
      <c r="Z222" s="374" t="str">
        <f t="shared" si="57"/>
        <v/>
      </c>
      <c r="AA222" s="374" t="b">
        <f t="shared" si="58"/>
        <v>1</v>
      </c>
      <c r="AB222" s="374">
        <f>COUNTIFS(B:B,B222,H:H,'סיווג התפקידים והעלויות'!$C$2)</f>
        <v>0</v>
      </c>
      <c r="AC222" s="374">
        <f>COUNTIFS(B:B,B222,H:H,'סיווג התפקידים והעלויות'!$D$2)</f>
        <v>0</v>
      </c>
      <c r="AD222" s="374" t="str">
        <f>IF(OR(AND(H222='סיווג התפקידים והעלויות'!$A$2,I222='סיווג התפקידים והעלויות'!$A$3),'עלויות כח אדם (6)'!H222='סיווג התפקידים והעלויות'!$C$2,'עלויות כח אדם (6)'!H222='סיווג התפקידים והעלויות'!$D$2),IF('עלויות כח אדם (6)'!J222&lt;75,"לא תקין","תקין"),"")</f>
        <v/>
      </c>
      <c r="AE222" s="374" t="str">
        <f t="shared" si="59"/>
        <v/>
      </c>
      <c r="AF222" s="532" t="str">
        <f t="shared" si="60"/>
        <v/>
      </c>
    </row>
    <row r="223" spans="2:32" x14ac:dyDescent="0.25">
      <c r="B223" s="695"/>
      <c r="C223" s="197" t="str">
        <f>IF(B223&lt;&gt;"",IFERROR(VLOOKUP(B:B,'מצבת והרשמה (2)'!$C$20:$N$520,2,0)," ")," ")</f>
        <v xml:space="preserve"> </v>
      </c>
      <c r="D223" s="695"/>
      <c r="E223" s="696"/>
      <c r="F223" s="696"/>
      <c r="G223" s="696"/>
      <c r="H223" s="696"/>
      <c r="I223" s="1050" t="str">
        <f t="shared" si="47"/>
        <v/>
      </c>
      <c r="J223" s="696"/>
      <c r="K223" s="697"/>
      <c r="L223" s="696"/>
      <c r="M223" s="198" t="str">
        <f t="shared" si="48"/>
        <v/>
      </c>
      <c r="N223" s="369" t="str">
        <f t="shared" si="49"/>
        <v/>
      </c>
      <c r="O223" s="183" t="str">
        <f t="shared" si="50"/>
        <v/>
      </c>
      <c r="P223" s="199" t="str">
        <f t="shared" si="51"/>
        <v/>
      </c>
      <c r="Q223" s="199" t="str">
        <f>IF(B223="","",IFERROR(IF('עלויות כח אדם (6)'!J223&gt;=VLOOKUP(I223,'סיווג התפקידים והעלויות'!$B$23:$C$32,2,0),"תקין","לא תקין"),""))</f>
        <v/>
      </c>
      <c r="R223" s="199" t="str">
        <f t="shared" si="52"/>
        <v/>
      </c>
      <c r="S223" s="199" t="str">
        <f t="shared" si="53"/>
        <v/>
      </c>
      <c r="T223" s="199" t="str">
        <f t="shared" si="61"/>
        <v/>
      </c>
      <c r="U223" s="199" t="str">
        <f t="shared" si="54"/>
        <v/>
      </c>
      <c r="V223" s="989"/>
      <c r="X223" s="374" t="str">
        <f t="shared" si="55"/>
        <v/>
      </c>
      <c r="Y223" s="375" t="str">
        <f t="shared" si="56"/>
        <v/>
      </c>
      <c r="Z223" s="374" t="str">
        <f t="shared" si="57"/>
        <v/>
      </c>
      <c r="AA223" s="374" t="b">
        <f t="shared" si="58"/>
        <v>1</v>
      </c>
      <c r="AB223" s="374">
        <f>COUNTIFS(B:B,B223,H:H,'סיווג התפקידים והעלויות'!$C$2)</f>
        <v>0</v>
      </c>
      <c r="AC223" s="374">
        <f>COUNTIFS(B:B,B223,H:H,'סיווג התפקידים והעלויות'!$D$2)</f>
        <v>0</v>
      </c>
      <c r="AD223" s="374" t="str">
        <f>IF(OR(AND(H223='סיווג התפקידים והעלויות'!$A$2,I223='סיווג התפקידים והעלויות'!$A$3),'עלויות כח אדם (6)'!H223='סיווג התפקידים והעלויות'!$C$2,'עלויות כח אדם (6)'!H223='סיווג התפקידים והעלויות'!$D$2),IF('עלויות כח אדם (6)'!J223&lt;75,"לא תקין","תקין"),"")</f>
        <v/>
      </c>
      <c r="AE223" s="374" t="str">
        <f t="shared" si="59"/>
        <v/>
      </c>
      <c r="AF223" s="532" t="str">
        <f t="shared" si="60"/>
        <v/>
      </c>
    </row>
    <row r="224" spans="2:32" x14ac:dyDescent="0.25">
      <c r="B224" s="695"/>
      <c r="C224" s="197" t="str">
        <f>IF(B224&lt;&gt;"",IFERROR(VLOOKUP(B:B,'מצבת והרשמה (2)'!$C$20:$N$520,2,0)," ")," ")</f>
        <v xml:space="preserve"> </v>
      </c>
      <c r="D224" s="695"/>
      <c r="E224" s="696"/>
      <c r="F224" s="696"/>
      <c r="G224" s="696"/>
      <c r="H224" s="696"/>
      <c r="I224" s="1050" t="str">
        <f t="shared" si="47"/>
        <v/>
      </c>
      <c r="J224" s="696"/>
      <c r="K224" s="697"/>
      <c r="L224" s="696"/>
      <c r="M224" s="198" t="str">
        <f t="shared" si="48"/>
        <v/>
      </c>
      <c r="N224" s="369" t="str">
        <f t="shared" si="49"/>
        <v/>
      </c>
      <c r="O224" s="183" t="str">
        <f t="shared" si="50"/>
        <v/>
      </c>
      <c r="P224" s="199" t="str">
        <f t="shared" si="51"/>
        <v/>
      </c>
      <c r="Q224" s="199" t="str">
        <f>IF(B224="","",IFERROR(IF('עלויות כח אדם (6)'!J224&gt;=VLOOKUP(I224,'סיווג התפקידים והעלויות'!$B$23:$C$32,2,0),"תקין","לא תקין"),""))</f>
        <v/>
      </c>
      <c r="R224" s="199" t="str">
        <f t="shared" si="52"/>
        <v/>
      </c>
      <c r="S224" s="199" t="str">
        <f t="shared" si="53"/>
        <v/>
      </c>
      <c r="T224" s="199" t="str">
        <f t="shared" si="61"/>
        <v/>
      </c>
      <c r="U224" s="199" t="str">
        <f t="shared" si="54"/>
        <v/>
      </c>
      <c r="V224" s="989"/>
      <c r="X224" s="374" t="str">
        <f t="shared" si="55"/>
        <v/>
      </c>
      <c r="Y224" s="375" t="str">
        <f t="shared" si="56"/>
        <v/>
      </c>
      <c r="Z224" s="374" t="str">
        <f t="shared" si="57"/>
        <v/>
      </c>
      <c r="AA224" s="374" t="b">
        <f t="shared" si="58"/>
        <v>1</v>
      </c>
      <c r="AB224" s="374">
        <f>COUNTIFS(B:B,B224,H:H,'סיווג התפקידים והעלויות'!$C$2)</f>
        <v>0</v>
      </c>
      <c r="AC224" s="374">
        <f>COUNTIFS(B:B,B224,H:H,'סיווג התפקידים והעלויות'!$D$2)</f>
        <v>0</v>
      </c>
      <c r="AD224" s="374" t="str">
        <f>IF(OR(AND(H224='סיווג התפקידים והעלויות'!$A$2,I224='סיווג התפקידים והעלויות'!$A$3),'עלויות כח אדם (6)'!H224='סיווג התפקידים והעלויות'!$C$2,'עלויות כח אדם (6)'!H224='סיווג התפקידים והעלויות'!$D$2),IF('עלויות כח אדם (6)'!J224&lt;75,"לא תקין","תקין"),"")</f>
        <v/>
      </c>
      <c r="AE224" s="374" t="str">
        <f t="shared" si="59"/>
        <v/>
      </c>
      <c r="AF224" s="532" t="str">
        <f t="shared" si="60"/>
        <v/>
      </c>
    </row>
    <row r="225" spans="2:32" x14ac:dyDescent="0.25">
      <c r="B225" s="695"/>
      <c r="C225" s="197" t="str">
        <f>IF(B225&lt;&gt;"",IFERROR(VLOOKUP(B:B,'מצבת והרשמה (2)'!$C$20:$N$520,2,0)," ")," ")</f>
        <v xml:space="preserve"> </v>
      </c>
      <c r="D225" s="695"/>
      <c r="E225" s="696"/>
      <c r="F225" s="696"/>
      <c r="G225" s="696"/>
      <c r="H225" s="696"/>
      <c r="I225" s="1050" t="str">
        <f t="shared" si="47"/>
        <v/>
      </c>
      <c r="J225" s="696"/>
      <c r="K225" s="697"/>
      <c r="L225" s="696"/>
      <c r="M225" s="198" t="str">
        <f t="shared" si="48"/>
        <v/>
      </c>
      <c r="N225" s="369" t="str">
        <f t="shared" si="49"/>
        <v/>
      </c>
      <c r="O225" s="183" t="str">
        <f t="shared" si="50"/>
        <v/>
      </c>
      <c r="P225" s="199" t="str">
        <f t="shared" si="51"/>
        <v/>
      </c>
      <c r="Q225" s="199" t="str">
        <f>IF(B225="","",IFERROR(IF('עלויות כח אדם (6)'!J225&gt;=VLOOKUP(I225,'סיווג התפקידים והעלויות'!$B$23:$C$32,2,0),"תקין","לא תקין"),""))</f>
        <v/>
      </c>
      <c r="R225" s="199" t="str">
        <f t="shared" si="52"/>
        <v/>
      </c>
      <c r="S225" s="199" t="str">
        <f t="shared" si="53"/>
        <v/>
      </c>
      <c r="T225" s="199" t="str">
        <f t="shared" si="61"/>
        <v/>
      </c>
      <c r="U225" s="199" t="str">
        <f t="shared" si="54"/>
        <v/>
      </c>
      <c r="V225" s="989"/>
      <c r="X225" s="374" t="str">
        <f t="shared" si="55"/>
        <v/>
      </c>
      <c r="Y225" s="375" t="str">
        <f t="shared" si="56"/>
        <v/>
      </c>
      <c r="Z225" s="374" t="str">
        <f t="shared" si="57"/>
        <v/>
      </c>
      <c r="AA225" s="374" t="b">
        <f t="shared" si="58"/>
        <v>1</v>
      </c>
      <c r="AB225" s="374">
        <f>COUNTIFS(B:B,B225,H:H,'סיווג התפקידים והעלויות'!$C$2)</f>
        <v>0</v>
      </c>
      <c r="AC225" s="374">
        <f>COUNTIFS(B:B,B225,H:H,'סיווג התפקידים והעלויות'!$D$2)</f>
        <v>0</v>
      </c>
      <c r="AD225" s="374" t="str">
        <f>IF(OR(AND(H225='סיווג התפקידים והעלויות'!$A$2,I225='סיווג התפקידים והעלויות'!$A$3),'עלויות כח אדם (6)'!H225='סיווג התפקידים והעלויות'!$C$2,'עלויות כח אדם (6)'!H225='סיווג התפקידים והעלויות'!$D$2),IF('עלויות כח אדם (6)'!J225&lt;75,"לא תקין","תקין"),"")</f>
        <v/>
      </c>
      <c r="AE225" s="374" t="str">
        <f t="shared" si="59"/>
        <v/>
      </c>
      <c r="AF225" s="532" t="str">
        <f t="shared" si="60"/>
        <v/>
      </c>
    </row>
    <row r="226" spans="2:32" x14ac:dyDescent="0.25">
      <c r="B226" s="695"/>
      <c r="C226" s="197" t="str">
        <f>IF(B226&lt;&gt;"",IFERROR(VLOOKUP(B:B,'מצבת והרשמה (2)'!$C$20:$N$520,2,0)," ")," ")</f>
        <v xml:space="preserve"> </v>
      </c>
      <c r="D226" s="695"/>
      <c r="E226" s="696"/>
      <c r="F226" s="696"/>
      <c r="G226" s="696"/>
      <c r="H226" s="696"/>
      <c r="I226" s="1050" t="str">
        <f t="shared" si="47"/>
        <v/>
      </c>
      <c r="J226" s="696"/>
      <c r="K226" s="697"/>
      <c r="L226" s="696"/>
      <c r="M226" s="198" t="str">
        <f t="shared" si="48"/>
        <v/>
      </c>
      <c r="N226" s="369" t="str">
        <f t="shared" si="49"/>
        <v/>
      </c>
      <c r="O226" s="183" t="str">
        <f t="shared" si="50"/>
        <v/>
      </c>
      <c r="P226" s="199" t="str">
        <f t="shared" si="51"/>
        <v/>
      </c>
      <c r="Q226" s="199" t="str">
        <f>IF(B226="","",IFERROR(IF('עלויות כח אדם (6)'!J226&gt;=VLOOKUP(I226,'סיווג התפקידים והעלויות'!$B$23:$C$32,2,0),"תקין","לא תקין"),""))</f>
        <v/>
      </c>
      <c r="R226" s="199" t="str">
        <f t="shared" si="52"/>
        <v/>
      </c>
      <c r="S226" s="199" t="str">
        <f t="shared" si="53"/>
        <v/>
      </c>
      <c r="T226" s="199" t="str">
        <f t="shared" si="61"/>
        <v/>
      </c>
      <c r="U226" s="199" t="str">
        <f t="shared" si="54"/>
        <v/>
      </c>
      <c r="V226" s="989"/>
      <c r="X226" s="374" t="str">
        <f t="shared" si="55"/>
        <v/>
      </c>
      <c r="Y226" s="375" t="str">
        <f t="shared" si="56"/>
        <v/>
      </c>
      <c r="Z226" s="374" t="str">
        <f t="shared" si="57"/>
        <v/>
      </c>
      <c r="AA226" s="374" t="b">
        <f t="shared" si="58"/>
        <v>1</v>
      </c>
      <c r="AB226" s="374">
        <f>COUNTIFS(B:B,B226,H:H,'סיווג התפקידים והעלויות'!$C$2)</f>
        <v>0</v>
      </c>
      <c r="AC226" s="374">
        <f>COUNTIFS(B:B,B226,H:H,'סיווג התפקידים והעלויות'!$D$2)</f>
        <v>0</v>
      </c>
      <c r="AD226" s="374" t="str">
        <f>IF(OR(AND(H226='סיווג התפקידים והעלויות'!$A$2,I226='סיווג התפקידים והעלויות'!$A$3),'עלויות כח אדם (6)'!H226='סיווג התפקידים והעלויות'!$C$2,'עלויות כח אדם (6)'!H226='סיווג התפקידים והעלויות'!$D$2),IF('עלויות כח אדם (6)'!J226&lt;75,"לא תקין","תקין"),"")</f>
        <v/>
      </c>
      <c r="AE226" s="374" t="str">
        <f t="shared" si="59"/>
        <v/>
      </c>
      <c r="AF226" s="532" t="str">
        <f t="shared" si="60"/>
        <v/>
      </c>
    </row>
    <row r="227" spans="2:32" x14ac:dyDescent="0.25">
      <c r="B227" s="695"/>
      <c r="C227" s="197" t="str">
        <f>IF(B227&lt;&gt;"",IFERROR(VLOOKUP(B:B,'מצבת והרשמה (2)'!$C$20:$N$520,2,0)," ")," ")</f>
        <v xml:space="preserve"> </v>
      </c>
      <c r="D227" s="695"/>
      <c r="E227" s="696"/>
      <c r="F227" s="696"/>
      <c r="G227" s="696"/>
      <c r="H227" s="696"/>
      <c r="I227" s="1050" t="str">
        <f t="shared" si="47"/>
        <v/>
      </c>
      <c r="J227" s="696"/>
      <c r="K227" s="697"/>
      <c r="L227" s="696"/>
      <c r="M227" s="198" t="str">
        <f t="shared" si="48"/>
        <v/>
      </c>
      <c r="N227" s="369" t="str">
        <f t="shared" si="49"/>
        <v/>
      </c>
      <c r="O227" s="183" t="str">
        <f t="shared" si="50"/>
        <v/>
      </c>
      <c r="P227" s="199" t="str">
        <f t="shared" si="51"/>
        <v/>
      </c>
      <c r="Q227" s="199" t="str">
        <f>IF(B227="","",IFERROR(IF('עלויות כח אדם (6)'!J227&gt;=VLOOKUP(I227,'סיווג התפקידים והעלויות'!$B$23:$C$32,2,0),"תקין","לא תקין"),""))</f>
        <v/>
      </c>
      <c r="R227" s="199" t="str">
        <f t="shared" si="52"/>
        <v/>
      </c>
      <c r="S227" s="199" t="str">
        <f t="shared" si="53"/>
        <v/>
      </c>
      <c r="T227" s="199" t="str">
        <f t="shared" si="61"/>
        <v/>
      </c>
      <c r="U227" s="199" t="str">
        <f t="shared" si="54"/>
        <v/>
      </c>
      <c r="V227" s="989"/>
      <c r="X227" s="374" t="str">
        <f t="shared" si="55"/>
        <v/>
      </c>
      <c r="Y227" s="375" t="str">
        <f t="shared" si="56"/>
        <v/>
      </c>
      <c r="Z227" s="374" t="str">
        <f t="shared" si="57"/>
        <v/>
      </c>
      <c r="AA227" s="374" t="b">
        <f t="shared" si="58"/>
        <v>1</v>
      </c>
      <c r="AB227" s="374">
        <f>COUNTIFS(B:B,B227,H:H,'סיווג התפקידים והעלויות'!$C$2)</f>
        <v>0</v>
      </c>
      <c r="AC227" s="374">
        <f>COUNTIFS(B:B,B227,H:H,'סיווג התפקידים והעלויות'!$D$2)</f>
        <v>0</v>
      </c>
      <c r="AD227" s="374" t="str">
        <f>IF(OR(AND(H227='סיווג התפקידים והעלויות'!$A$2,I227='סיווג התפקידים והעלויות'!$A$3),'עלויות כח אדם (6)'!H227='סיווג התפקידים והעלויות'!$C$2,'עלויות כח אדם (6)'!H227='סיווג התפקידים והעלויות'!$D$2),IF('עלויות כח אדם (6)'!J227&lt;75,"לא תקין","תקין"),"")</f>
        <v/>
      </c>
      <c r="AE227" s="374" t="str">
        <f t="shared" si="59"/>
        <v/>
      </c>
      <c r="AF227" s="532" t="str">
        <f t="shared" si="60"/>
        <v/>
      </c>
    </row>
    <row r="228" spans="2:32" x14ac:dyDescent="0.25">
      <c r="B228" s="695"/>
      <c r="C228" s="197" t="str">
        <f>IF(B228&lt;&gt;"",IFERROR(VLOOKUP(B:B,'מצבת והרשמה (2)'!$C$20:$N$520,2,0)," ")," ")</f>
        <v xml:space="preserve"> </v>
      </c>
      <c r="D228" s="695"/>
      <c r="E228" s="696"/>
      <c r="F228" s="696"/>
      <c r="G228" s="696"/>
      <c r="H228" s="696"/>
      <c r="I228" s="1050" t="str">
        <f t="shared" si="47"/>
        <v/>
      </c>
      <c r="J228" s="696"/>
      <c r="K228" s="697"/>
      <c r="L228" s="696"/>
      <c r="M228" s="198" t="str">
        <f t="shared" si="48"/>
        <v/>
      </c>
      <c r="N228" s="369" t="str">
        <f t="shared" si="49"/>
        <v/>
      </c>
      <c r="O228" s="183" t="str">
        <f t="shared" si="50"/>
        <v/>
      </c>
      <c r="P228" s="199" t="str">
        <f t="shared" si="51"/>
        <v/>
      </c>
      <c r="Q228" s="199" t="str">
        <f>IF(B228="","",IFERROR(IF('עלויות כח אדם (6)'!J228&gt;=VLOOKUP(I228,'סיווג התפקידים והעלויות'!$B$23:$C$32,2,0),"תקין","לא תקין"),""))</f>
        <v/>
      </c>
      <c r="R228" s="199" t="str">
        <f t="shared" si="52"/>
        <v/>
      </c>
      <c r="S228" s="199" t="str">
        <f t="shared" si="53"/>
        <v/>
      </c>
      <c r="T228" s="199" t="str">
        <f t="shared" si="61"/>
        <v/>
      </c>
      <c r="U228" s="199" t="str">
        <f t="shared" si="54"/>
        <v/>
      </c>
      <c r="V228" s="989"/>
      <c r="X228" s="374" t="str">
        <f t="shared" si="55"/>
        <v/>
      </c>
      <c r="Y228" s="375" t="str">
        <f t="shared" si="56"/>
        <v/>
      </c>
      <c r="Z228" s="374" t="str">
        <f t="shared" si="57"/>
        <v/>
      </c>
      <c r="AA228" s="374" t="b">
        <f t="shared" si="58"/>
        <v>1</v>
      </c>
      <c r="AB228" s="374">
        <f>COUNTIFS(B:B,B228,H:H,'סיווג התפקידים והעלויות'!$C$2)</f>
        <v>0</v>
      </c>
      <c r="AC228" s="374">
        <f>COUNTIFS(B:B,B228,H:H,'סיווג התפקידים והעלויות'!$D$2)</f>
        <v>0</v>
      </c>
      <c r="AD228" s="374" t="str">
        <f>IF(OR(AND(H228='סיווג התפקידים והעלויות'!$A$2,I228='סיווג התפקידים והעלויות'!$A$3),'עלויות כח אדם (6)'!H228='סיווג התפקידים והעלויות'!$C$2,'עלויות כח אדם (6)'!H228='סיווג התפקידים והעלויות'!$D$2),IF('עלויות כח אדם (6)'!J228&lt;75,"לא תקין","תקין"),"")</f>
        <v/>
      </c>
      <c r="AE228" s="374" t="str">
        <f t="shared" si="59"/>
        <v/>
      </c>
      <c r="AF228" s="532" t="str">
        <f t="shared" si="60"/>
        <v/>
      </c>
    </row>
    <row r="229" spans="2:32" x14ac:dyDescent="0.25">
      <c r="B229" s="695"/>
      <c r="C229" s="197" t="str">
        <f>IF(B229&lt;&gt;"",IFERROR(VLOOKUP(B:B,'מצבת והרשמה (2)'!$C$20:$N$520,2,0)," ")," ")</f>
        <v xml:space="preserve"> </v>
      </c>
      <c r="D229" s="695"/>
      <c r="E229" s="696"/>
      <c r="F229" s="696"/>
      <c r="G229" s="696"/>
      <c r="H229" s="696"/>
      <c r="I229" s="1050" t="str">
        <f t="shared" si="47"/>
        <v/>
      </c>
      <c r="J229" s="696"/>
      <c r="K229" s="697"/>
      <c r="L229" s="696"/>
      <c r="M229" s="198" t="str">
        <f t="shared" si="48"/>
        <v/>
      </c>
      <c r="N229" s="369" t="str">
        <f t="shared" si="49"/>
        <v/>
      </c>
      <c r="O229" s="183" t="str">
        <f t="shared" si="50"/>
        <v/>
      </c>
      <c r="P229" s="199" t="str">
        <f t="shared" si="51"/>
        <v/>
      </c>
      <c r="Q229" s="199" t="str">
        <f>IF(B229="","",IFERROR(IF('עלויות כח אדם (6)'!J229&gt;=VLOOKUP(I229,'סיווג התפקידים והעלויות'!$B$23:$C$32,2,0),"תקין","לא תקין"),""))</f>
        <v/>
      </c>
      <c r="R229" s="199" t="str">
        <f t="shared" si="52"/>
        <v/>
      </c>
      <c r="S229" s="199" t="str">
        <f t="shared" si="53"/>
        <v/>
      </c>
      <c r="T229" s="199" t="str">
        <f t="shared" si="61"/>
        <v/>
      </c>
      <c r="U229" s="199" t="str">
        <f t="shared" si="54"/>
        <v/>
      </c>
      <c r="V229" s="989"/>
      <c r="X229" s="374" t="str">
        <f t="shared" si="55"/>
        <v/>
      </c>
      <c r="Y229" s="375" t="str">
        <f t="shared" si="56"/>
        <v/>
      </c>
      <c r="Z229" s="374" t="str">
        <f t="shared" si="57"/>
        <v/>
      </c>
      <c r="AA229" s="374" t="b">
        <f t="shared" si="58"/>
        <v>1</v>
      </c>
      <c r="AB229" s="374">
        <f>COUNTIFS(B:B,B229,H:H,'סיווג התפקידים והעלויות'!$C$2)</f>
        <v>0</v>
      </c>
      <c r="AC229" s="374">
        <f>COUNTIFS(B:B,B229,H:H,'סיווג התפקידים והעלויות'!$D$2)</f>
        <v>0</v>
      </c>
      <c r="AD229" s="374" t="str">
        <f>IF(OR(AND(H229='סיווג התפקידים והעלויות'!$A$2,I229='סיווג התפקידים והעלויות'!$A$3),'עלויות כח אדם (6)'!H229='סיווג התפקידים והעלויות'!$C$2,'עלויות כח אדם (6)'!H229='סיווג התפקידים והעלויות'!$D$2),IF('עלויות כח אדם (6)'!J229&lt;75,"לא תקין","תקין"),"")</f>
        <v/>
      </c>
      <c r="AE229" s="374" t="str">
        <f t="shared" si="59"/>
        <v/>
      </c>
      <c r="AF229" s="532" t="str">
        <f t="shared" si="60"/>
        <v/>
      </c>
    </row>
    <row r="230" spans="2:32" x14ac:dyDescent="0.25">
      <c r="B230" s="695"/>
      <c r="C230" s="197" t="str">
        <f>IF(B230&lt;&gt;"",IFERROR(VLOOKUP(B:B,'מצבת והרשמה (2)'!$C$20:$N$520,2,0)," ")," ")</f>
        <v xml:space="preserve"> </v>
      </c>
      <c r="D230" s="695"/>
      <c r="E230" s="696"/>
      <c r="F230" s="696"/>
      <c r="G230" s="696"/>
      <c r="H230" s="696"/>
      <c r="I230" s="1050" t="str">
        <f t="shared" si="47"/>
        <v/>
      </c>
      <c r="J230" s="696"/>
      <c r="K230" s="697"/>
      <c r="L230" s="696"/>
      <c r="M230" s="198" t="str">
        <f t="shared" si="48"/>
        <v/>
      </c>
      <c r="N230" s="369" t="str">
        <f t="shared" si="49"/>
        <v/>
      </c>
      <c r="O230" s="183" t="str">
        <f t="shared" si="50"/>
        <v/>
      </c>
      <c r="P230" s="199" t="str">
        <f t="shared" si="51"/>
        <v/>
      </c>
      <c r="Q230" s="199" t="str">
        <f>IF(B230="","",IFERROR(IF('עלויות כח אדם (6)'!J230&gt;=VLOOKUP(I230,'סיווג התפקידים והעלויות'!$B$23:$C$32,2,0),"תקין","לא תקין"),""))</f>
        <v/>
      </c>
      <c r="R230" s="199" t="str">
        <f t="shared" si="52"/>
        <v/>
      </c>
      <c r="S230" s="199" t="str">
        <f t="shared" si="53"/>
        <v/>
      </c>
      <c r="T230" s="199" t="str">
        <f t="shared" si="61"/>
        <v/>
      </c>
      <c r="U230" s="199" t="str">
        <f t="shared" si="54"/>
        <v/>
      </c>
      <c r="V230" s="989"/>
      <c r="X230" s="374" t="str">
        <f t="shared" si="55"/>
        <v/>
      </c>
      <c r="Y230" s="375" t="str">
        <f t="shared" si="56"/>
        <v/>
      </c>
      <c r="Z230" s="374" t="str">
        <f t="shared" si="57"/>
        <v/>
      </c>
      <c r="AA230" s="374" t="b">
        <f t="shared" si="58"/>
        <v>1</v>
      </c>
      <c r="AB230" s="374">
        <f>COUNTIFS(B:B,B230,H:H,'סיווג התפקידים והעלויות'!$C$2)</f>
        <v>0</v>
      </c>
      <c r="AC230" s="374">
        <f>COUNTIFS(B:B,B230,H:H,'סיווג התפקידים והעלויות'!$D$2)</f>
        <v>0</v>
      </c>
      <c r="AD230" s="374" t="str">
        <f>IF(OR(AND(H230='סיווג התפקידים והעלויות'!$A$2,I230='סיווג התפקידים והעלויות'!$A$3),'עלויות כח אדם (6)'!H230='סיווג התפקידים והעלויות'!$C$2,'עלויות כח אדם (6)'!H230='סיווג התפקידים והעלויות'!$D$2),IF('עלויות כח אדם (6)'!J230&lt;75,"לא תקין","תקין"),"")</f>
        <v/>
      </c>
      <c r="AE230" s="374" t="str">
        <f t="shared" si="59"/>
        <v/>
      </c>
      <c r="AF230" s="532" t="str">
        <f t="shared" si="60"/>
        <v/>
      </c>
    </row>
    <row r="231" spans="2:32" x14ac:dyDescent="0.25">
      <c r="B231" s="695"/>
      <c r="C231" s="197" t="str">
        <f>IF(B231&lt;&gt;"",IFERROR(VLOOKUP(B:B,'מצבת והרשמה (2)'!$C$20:$N$520,2,0)," ")," ")</f>
        <v xml:space="preserve"> </v>
      </c>
      <c r="D231" s="695"/>
      <c r="E231" s="696"/>
      <c r="F231" s="696"/>
      <c r="G231" s="696"/>
      <c r="H231" s="696"/>
      <c r="I231" s="1050" t="str">
        <f t="shared" si="47"/>
        <v/>
      </c>
      <c r="J231" s="696"/>
      <c r="K231" s="697"/>
      <c r="L231" s="696"/>
      <c r="M231" s="198" t="str">
        <f t="shared" si="48"/>
        <v/>
      </c>
      <c r="N231" s="369" t="str">
        <f t="shared" si="49"/>
        <v/>
      </c>
      <c r="O231" s="183" t="str">
        <f t="shared" si="50"/>
        <v/>
      </c>
      <c r="P231" s="199" t="str">
        <f t="shared" si="51"/>
        <v/>
      </c>
      <c r="Q231" s="199" t="str">
        <f>IF(B231="","",IFERROR(IF('עלויות כח אדם (6)'!J231&gt;=VLOOKUP(I231,'סיווג התפקידים והעלויות'!$B$23:$C$32,2,0),"תקין","לא תקין"),""))</f>
        <v/>
      </c>
      <c r="R231" s="199" t="str">
        <f t="shared" si="52"/>
        <v/>
      </c>
      <c r="S231" s="199" t="str">
        <f t="shared" si="53"/>
        <v/>
      </c>
      <c r="T231" s="199" t="str">
        <f t="shared" si="61"/>
        <v/>
      </c>
      <c r="U231" s="199" t="str">
        <f t="shared" si="54"/>
        <v/>
      </c>
      <c r="V231" s="989"/>
      <c r="X231" s="374" t="str">
        <f t="shared" si="55"/>
        <v/>
      </c>
      <c r="Y231" s="375" t="str">
        <f t="shared" si="56"/>
        <v/>
      </c>
      <c r="Z231" s="374" t="str">
        <f t="shared" si="57"/>
        <v/>
      </c>
      <c r="AA231" s="374" t="b">
        <f t="shared" si="58"/>
        <v>1</v>
      </c>
      <c r="AB231" s="374">
        <f>COUNTIFS(B:B,B231,H:H,'סיווג התפקידים והעלויות'!$C$2)</f>
        <v>0</v>
      </c>
      <c r="AC231" s="374">
        <f>COUNTIFS(B:B,B231,H:H,'סיווג התפקידים והעלויות'!$D$2)</f>
        <v>0</v>
      </c>
      <c r="AD231" s="374" t="str">
        <f>IF(OR(AND(H231='סיווג התפקידים והעלויות'!$A$2,I231='סיווג התפקידים והעלויות'!$A$3),'עלויות כח אדם (6)'!H231='סיווג התפקידים והעלויות'!$C$2,'עלויות כח אדם (6)'!H231='סיווג התפקידים והעלויות'!$D$2),IF('עלויות כח אדם (6)'!J231&lt;75,"לא תקין","תקין"),"")</f>
        <v/>
      </c>
      <c r="AE231" s="374" t="str">
        <f t="shared" si="59"/>
        <v/>
      </c>
      <c r="AF231" s="532" t="str">
        <f t="shared" si="60"/>
        <v/>
      </c>
    </row>
    <row r="232" spans="2:32" x14ac:dyDescent="0.25">
      <c r="B232" s="695"/>
      <c r="C232" s="197" t="str">
        <f>IF(B232&lt;&gt;"",IFERROR(VLOOKUP(B:B,'מצבת והרשמה (2)'!$C$20:$N$520,2,0)," ")," ")</f>
        <v xml:space="preserve"> </v>
      </c>
      <c r="D232" s="695"/>
      <c r="E232" s="696"/>
      <c r="F232" s="696"/>
      <c r="G232" s="696"/>
      <c r="H232" s="696"/>
      <c r="I232" s="1050" t="str">
        <f t="shared" si="47"/>
        <v/>
      </c>
      <c r="J232" s="696"/>
      <c r="K232" s="697"/>
      <c r="L232" s="696"/>
      <c r="M232" s="198" t="str">
        <f t="shared" si="48"/>
        <v/>
      </c>
      <c r="N232" s="369" t="str">
        <f t="shared" si="49"/>
        <v/>
      </c>
      <c r="O232" s="183" t="str">
        <f t="shared" si="50"/>
        <v/>
      </c>
      <c r="P232" s="199" t="str">
        <f t="shared" si="51"/>
        <v/>
      </c>
      <c r="Q232" s="199" t="str">
        <f>IF(B232="","",IFERROR(IF('עלויות כח אדם (6)'!J232&gt;=VLOOKUP(I232,'סיווג התפקידים והעלויות'!$B$23:$C$32,2,0),"תקין","לא תקין"),""))</f>
        <v/>
      </c>
      <c r="R232" s="199" t="str">
        <f t="shared" si="52"/>
        <v/>
      </c>
      <c r="S232" s="199" t="str">
        <f t="shared" si="53"/>
        <v/>
      </c>
      <c r="T232" s="199" t="str">
        <f t="shared" si="61"/>
        <v/>
      </c>
      <c r="U232" s="199" t="str">
        <f t="shared" si="54"/>
        <v/>
      </c>
      <c r="V232" s="989"/>
      <c r="X232" s="374" t="str">
        <f t="shared" si="55"/>
        <v/>
      </c>
      <c r="Y232" s="375" t="str">
        <f t="shared" si="56"/>
        <v/>
      </c>
      <c r="Z232" s="374" t="str">
        <f t="shared" si="57"/>
        <v/>
      </c>
      <c r="AA232" s="374" t="b">
        <f t="shared" si="58"/>
        <v>1</v>
      </c>
      <c r="AB232" s="374">
        <f>COUNTIFS(B:B,B232,H:H,'סיווג התפקידים והעלויות'!$C$2)</f>
        <v>0</v>
      </c>
      <c r="AC232" s="374">
        <f>COUNTIFS(B:B,B232,H:H,'סיווג התפקידים והעלויות'!$D$2)</f>
        <v>0</v>
      </c>
      <c r="AD232" s="374" t="str">
        <f>IF(OR(AND(H232='סיווג התפקידים והעלויות'!$A$2,I232='סיווג התפקידים והעלויות'!$A$3),'עלויות כח אדם (6)'!H232='סיווג התפקידים והעלויות'!$C$2,'עלויות כח אדם (6)'!H232='סיווג התפקידים והעלויות'!$D$2),IF('עלויות כח אדם (6)'!J232&lt;75,"לא תקין","תקין"),"")</f>
        <v/>
      </c>
      <c r="AE232" s="374" t="str">
        <f t="shared" si="59"/>
        <v/>
      </c>
      <c r="AF232" s="532" t="str">
        <f t="shared" si="60"/>
        <v/>
      </c>
    </row>
    <row r="233" spans="2:32" x14ac:dyDescent="0.25">
      <c r="B233" s="695"/>
      <c r="C233" s="197" t="str">
        <f>IF(B233&lt;&gt;"",IFERROR(VLOOKUP(B:B,'מצבת והרשמה (2)'!$C$20:$N$520,2,0)," ")," ")</f>
        <v xml:space="preserve"> </v>
      </c>
      <c r="D233" s="695"/>
      <c r="E233" s="696"/>
      <c r="F233" s="696"/>
      <c r="G233" s="696"/>
      <c r="H233" s="696"/>
      <c r="I233" s="1050" t="str">
        <f t="shared" si="47"/>
        <v/>
      </c>
      <c r="J233" s="696"/>
      <c r="K233" s="697"/>
      <c r="L233" s="696"/>
      <c r="M233" s="198" t="str">
        <f t="shared" si="48"/>
        <v/>
      </c>
      <c r="N233" s="369" t="str">
        <f t="shared" si="49"/>
        <v/>
      </c>
      <c r="O233" s="183" t="str">
        <f t="shared" si="50"/>
        <v/>
      </c>
      <c r="P233" s="199" t="str">
        <f t="shared" si="51"/>
        <v/>
      </c>
      <c r="Q233" s="199" t="str">
        <f>IF(B233="","",IFERROR(IF('עלויות כח אדם (6)'!J233&gt;=VLOOKUP(I233,'סיווג התפקידים והעלויות'!$B$23:$C$32,2,0),"תקין","לא תקין"),""))</f>
        <v/>
      </c>
      <c r="R233" s="199" t="str">
        <f t="shared" si="52"/>
        <v/>
      </c>
      <c r="S233" s="199" t="str">
        <f t="shared" si="53"/>
        <v/>
      </c>
      <c r="T233" s="199" t="str">
        <f t="shared" si="61"/>
        <v/>
      </c>
      <c r="U233" s="199" t="str">
        <f t="shared" si="54"/>
        <v/>
      </c>
      <c r="V233" s="989"/>
      <c r="X233" s="374" t="str">
        <f t="shared" si="55"/>
        <v/>
      </c>
      <c r="Y233" s="375" t="str">
        <f t="shared" si="56"/>
        <v/>
      </c>
      <c r="Z233" s="374" t="str">
        <f t="shared" si="57"/>
        <v/>
      </c>
      <c r="AA233" s="374" t="b">
        <f t="shared" si="58"/>
        <v>1</v>
      </c>
      <c r="AB233" s="374">
        <f>COUNTIFS(B:B,B233,H:H,'סיווג התפקידים והעלויות'!$C$2)</f>
        <v>0</v>
      </c>
      <c r="AC233" s="374">
        <f>COUNTIFS(B:B,B233,H:H,'סיווג התפקידים והעלויות'!$D$2)</f>
        <v>0</v>
      </c>
      <c r="AD233" s="374" t="str">
        <f>IF(OR(AND(H233='סיווג התפקידים והעלויות'!$A$2,I233='סיווג התפקידים והעלויות'!$A$3),'עלויות כח אדם (6)'!H233='סיווג התפקידים והעלויות'!$C$2,'עלויות כח אדם (6)'!H233='סיווג התפקידים והעלויות'!$D$2),IF('עלויות כח אדם (6)'!J233&lt;75,"לא תקין","תקין"),"")</f>
        <v/>
      </c>
      <c r="AE233" s="374" t="str">
        <f t="shared" si="59"/>
        <v/>
      </c>
      <c r="AF233" s="532" t="str">
        <f t="shared" si="60"/>
        <v/>
      </c>
    </row>
    <row r="234" spans="2:32" x14ac:dyDescent="0.25">
      <c r="B234" s="695"/>
      <c r="C234" s="197" t="str">
        <f>IF(B234&lt;&gt;"",IFERROR(VLOOKUP(B:B,'מצבת והרשמה (2)'!$C$20:$N$520,2,0)," ")," ")</f>
        <v xml:space="preserve"> </v>
      </c>
      <c r="D234" s="695"/>
      <c r="E234" s="696"/>
      <c r="F234" s="696"/>
      <c r="G234" s="696"/>
      <c r="H234" s="696"/>
      <c r="I234" s="1050" t="str">
        <f t="shared" si="47"/>
        <v/>
      </c>
      <c r="J234" s="696"/>
      <c r="K234" s="697"/>
      <c r="L234" s="696"/>
      <c r="M234" s="198" t="str">
        <f t="shared" si="48"/>
        <v/>
      </c>
      <c r="N234" s="369" t="str">
        <f t="shared" si="49"/>
        <v/>
      </c>
      <c r="O234" s="183" t="str">
        <f t="shared" si="50"/>
        <v/>
      </c>
      <c r="P234" s="199" t="str">
        <f t="shared" si="51"/>
        <v/>
      </c>
      <c r="Q234" s="199" t="str">
        <f>IF(B234="","",IFERROR(IF('עלויות כח אדם (6)'!J234&gt;=VLOOKUP(I234,'סיווג התפקידים והעלויות'!$B$23:$C$32,2,0),"תקין","לא תקין"),""))</f>
        <v/>
      </c>
      <c r="R234" s="199" t="str">
        <f t="shared" si="52"/>
        <v/>
      </c>
      <c r="S234" s="199" t="str">
        <f t="shared" si="53"/>
        <v/>
      </c>
      <c r="T234" s="199" t="str">
        <f t="shared" si="61"/>
        <v/>
      </c>
      <c r="U234" s="199" t="str">
        <f t="shared" si="54"/>
        <v/>
      </c>
      <c r="V234" s="989"/>
      <c r="X234" s="374" t="str">
        <f t="shared" si="55"/>
        <v/>
      </c>
      <c r="Y234" s="375" t="str">
        <f t="shared" si="56"/>
        <v/>
      </c>
      <c r="Z234" s="374" t="str">
        <f t="shared" si="57"/>
        <v/>
      </c>
      <c r="AA234" s="374" t="b">
        <f t="shared" si="58"/>
        <v>1</v>
      </c>
      <c r="AB234" s="374">
        <f>COUNTIFS(B:B,B234,H:H,'סיווג התפקידים והעלויות'!$C$2)</f>
        <v>0</v>
      </c>
      <c r="AC234" s="374">
        <f>COUNTIFS(B:B,B234,H:H,'סיווג התפקידים והעלויות'!$D$2)</f>
        <v>0</v>
      </c>
      <c r="AD234" s="374" t="str">
        <f>IF(OR(AND(H234='סיווג התפקידים והעלויות'!$A$2,I234='סיווג התפקידים והעלויות'!$A$3),'עלויות כח אדם (6)'!H234='סיווג התפקידים והעלויות'!$C$2,'עלויות כח אדם (6)'!H234='סיווג התפקידים והעלויות'!$D$2),IF('עלויות כח אדם (6)'!J234&lt;75,"לא תקין","תקין"),"")</f>
        <v/>
      </c>
      <c r="AE234" s="374" t="str">
        <f t="shared" si="59"/>
        <v/>
      </c>
      <c r="AF234" s="532" t="str">
        <f t="shared" si="60"/>
        <v/>
      </c>
    </row>
    <row r="235" spans="2:32" x14ac:dyDescent="0.25">
      <c r="B235" s="695"/>
      <c r="C235" s="197" t="str">
        <f>IF(B235&lt;&gt;"",IFERROR(VLOOKUP(B:B,'מצבת והרשמה (2)'!$C$20:$N$520,2,0)," ")," ")</f>
        <v xml:space="preserve"> </v>
      </c>
      <c r="D235" s="695"/>
      <c r="E235" s="696"/>
      <c r="F235" s="696"/>
      <c r="G235" s="696"/>
      <c r="H235" s="696"/>
      <c r="I235" s="1050" t="str">
        <f t="shared" si="47"/>
        <v/>
      </c>
      <c r="J235" s="696"/>
      <c r="K235" s="697"/>
      <c r="L235" s="696"/>
      <c r="M235" s="198" t="str">
        <f t="shared" si="48"/>
        <v/>
      </c>
      <c r="N235" s="369" t="str">
        <f t="shared" si="49"/>
        <v/>
      </c>
      <c r="O235" s="183" t="str">
        <f t="shared" si="50"/>
        <v/>
      </c>
      <c r="P235" s="199" t="str">
        <f t="shared" si="51"/>
        <v/>
      </c>
      <c r="Q235" s="199" t="str">
        <f>IF(B235="","",IFERROR(IF('עלויות כח אדם (6)'!J235&gt;=VLOOKUP(I235,'סיווג התפקידים והעלויות'!$B$23:$C$32,2,0),"תקין","לא תקין"),""))</f>
        <v/>
      </c>
      <c r="R235" s="199" t="str">
        <f t="shared" si="52"/>
        <v/>
      </c>
      <c r="S235" s="199" t="str">
        <f t="shared" si="53"/>
        <v/>
      </c>
      <c r="T235" s="199" t="str">
        <f t="shared" si="61"/>
        <v/>
      </c>
      <c r="U235" s="199" t="str">
        <f t="shared" si="54"/>
        <v/>
      </c>
      <c r="V235" s="989"/>
      <c r="X235" s="374" t="str">
        <f t="shared" si="55"/>
        <v/>
      </c>
      <c r="Y235" s="375" t="str">
        <f t="shared" si="56"/>
        <v/>
      </c>
      <c r="Z235" s="374" t="str">
        <f t="shared" si="57"/>
        <v/>
      </c>
      <c r="AA235" s="374" t="b">
        <f t="shared" si="58"/>
        <v>1</v>
      </c>
      <c r="AB235" s="374">
        <f>COUNTIFS(B:B,B235,H:H,'סיווג התפקידים והעלויות'!$C$2)</f>
        <v>0</v>
      </c>
      <c r="AC235" s="374">
        <f>COUNTIFS(B:B,B235,H:H,'סיווג התפקידים והעלויות'!$D$2)</f>
        <v>0</v>
      </c>
      <c r="AD235" s="374" t="str">
        <f>IF(OR(AND(H235='סיווג התפקידים והעלויות'!$A$2,I235='סיווג התפקידים והעלויות'!$A$3),'עלויות כח אדם (6)'!H235='סיווג התפקידים והעלויות'!$C$2,'עלויות כח אדם (6)'!H235='סיווג התפקידים והעלויות'!$D$2),IF('עלויות כח אדם (6)'!J235&lt;75,"לא תקין","תקין"),"")</f>
        <v/>
      </c>
      <c r="AE235" s="374" t="str">
        <f t="shared" si="59"/>
        <v/>
      </c>
      <c r="AF235" s="532" t="str">
        <f t="shared" si="60"/>
        <v/>
      </c>
    </row>
    <row r="236" spans="2:32" x14ac:dyDescent="0.25">
      <c r="B236" s="695"/>
      <c r="C236" s="197" t="str">
        <f>IF(B236&lt;&gt;"",IFERROR(VLOOKUP(B:B,'מצבת והרשמה (2)'!$C$20:$N$520,2,0)," ")," ")</f>
        <v xml:space="preserve"> </v>
      </c>
      <c r="D236" s="695"/>
      <c r="E236" s="696"/>
      <c r="F236" s="696"/>
      <c r="G236" s="696"/>
      <c r="H236" s="696"/>
      <c r="I236" s="1050" t="str">
        <f t="shared" si="47"/>
        <v/>
      </c>
      <c r="J236" s="696"/>
      <c r="K236" s="697"/>
      <c r="L236" s="696"/>
      <c r="M236" s="198" t="str">
        <f t="shared" si="48"/>
        <v/>
      </c>
      <c r="N236" s="369" t="str">
        <f t="shared" si="49"/>
        <v/>
      </c>
      <c r="O236" s="183" t="str">
        <f t="shared" si="50"/>
        <v/>
      </c>
      <c r="P236" s="199" t="str">
        <f t="shared" si="51"/>
        <v/>
      </c>
      <c r="Q236" s="199" t="str">
        <f>IF(B236="","",IFERROR(IF('עלויות כח אדם (6)'!J236&gt;=VLOOKUP(I236,'סיווג התפקידים והעלויות'!$B$23:$C$32,2,0),"תקין","לא תקין"),""))</f>
        <v/>
      </c>
      <c r="R236" s="199" t="str">
        <f t="shared" si="52"/>
        <v/>
      </c>
      <c r="S236" s="199" t="str">
        <f t="shared" si="53"/>
        <v/>
      </c>
      <c r="T236" s="199" t="str">
        <f t="shared" si="61"/>
        <v/>
      </c>
      <c r="U236" s="199" t="str">
        <f t="shared" si="54"/>
        <v/>
      </c>
      <c r="V236" s="989"/>
      <c r="X236" s="374" t="str">
        <f t="shared" si="55"/>
        <v/>
      </c>
      <c r="Y236" s="375" t="str">
        <f t="shared" si="56"/>
        <v/>
      </c>
      <c r="Z236" s="374" t="str">
        <f t="shared" si="57"/>
        <v/>
      </c>
      <c r="AA236" s="374" t="b">
        <f t="shared" si="58"/>
        <v>1</v>
      </c>
      <c r="AB236" s="374">
        <f>COUNTIFS(B:B,B236,H:H,'סיווג התפקידים והעלויות'!$C$2)</f>
        <v>0</v>
      </c>
      <c r="AC236" s="374">
        <f>COUNTIFS(B:B,B236,H:H,'סיווג התפקידים והעלויות'!$D$2)</f>
        <v>0</v>
      </c>
      <c r="AD236" s="374" t="str">
        <f>IF(OR(AND(H236='סיווג התפקידים והעלויות'!$A$2,I236='סיווג התפקידים והעלויות'!$A$3),'עלויות כח אדם (6)'!H236='סיווג התפקידים והעלויות'!$C$2,'עלויות כח אדם (6)'!H236='סיווג התפקידים והעלויות'!$D$2),IF('עלויות כח אדם (6)'!J236&lt;75,"לא תקין","תקין"),"")</f>
        <v/>
      </c>
      <c r="AE236" s="374" t="str">
        <f t="shared" si="59"/>
        <v/>
      </c>
      <c r="AF236" s="532" t="str">
        <f t="shared" si="60"/>
        <v/>
      </c>
    </row>
    <row r="237" spans="2:32" x14ac:dyDescent="0.25">
      <c r="B237" s="695"/>
      <c r="C237" s="197" t="str">
        <f>IF(B237&lt;&gt;"",IFERROR(VLOOKUP(B:B,'מצבת והרשמה (2)'!$C$20:$N$520,2,0)," ")," ")</f>
        <v xml:space="preserve"> </v>
      </c>
      <c r="D237" s="695"/>
      <c r="E237" s="696"/>
      <c r="F237" s="696"/>
      <c r="G237" s="696"/>
      <c r="H237" s="696"/>
      <c r="I237" s="1050" t="str">
        <f t="shared" si="47"/>
        <v/>
      </c>
      <c r="J237" s="696"/>
      <c r="K237" s="697"/>
      <c r="L237" s="696"/>
      <c r="M237" s="198" t="str">
        <f t="shared" si="48"/>
        <v/>
      </c>
      <c r="N237" s="369" t="str">
        <f t="shared" si="49"/>
        <v/>
      </c>
      <c r="O237" s="183" t="str">
        <f t="shared" si="50"/>
        <v/>
      </c>
      <c r="P237" s="199" t="str">
        <f t="shared" si="51"/>
        <v/>
      </c>
      <c r="Q237" s="199" t="str">
        <f>IF(B237="","",IFERROR(IF('עלויות כח אדם (6)'!J237&gt;=VLOOKUP(I237,'סיווג התפקידים והעלויות'!$B$23:$C$32,2,0),"תקין","לא תקין"),""))</f>
        <v/>
      </c>
      <c r="R237" s="199" t="str">
        <f t="shared" si="52"/>
        <v/>
      </c>
      <c r="S237" s="199" t="str">
        <f t="shared" si="53"/>
        <v/>
      </c>
      <c r="T237" s="199" t="str">
        <f t="shared" si="61"/>
        <v/>
      </c>
      <c r="U237" s="199" t="str">
        <f t="shared" si="54"/>
        <v/>
      </c>
      <c r="V237" s="989"/>
      <c r="X237" s="374" t="str">
        <f t="shared" si="55"/>
        <v/>
      </c>
      <c r="Y237" s="375" t="str">
        <f t="shared" si="56"/>
        <v/>
      </c>
      <c r="Z237" s="374" t="str">
        <f t="shared" si="57"/>
        <v/>
      </c>
      <c r="AA237" s="374" t="b">
        <f t="shared" si="58"/>
        <v>1</v>
      </c>
      <c r="AB237" s="374">
        <f>COUNTIFS(B:B,B237,H:H,'סיווג התפקידים והעלויות'!$C$2)</f>
        <v>0</v>
      </c>
      <c r="AC237" s="374">
        <f>COUNTIFS(B:B,B237,H:H,'סיווג התפקידים והעלויות'!$D$2)</f>
        <v>0</v>
      </c>
      <c r="AD237" s="374" t="str">
        <f>IF(OR(AND(H237='סיווג התפקידים והעלויות'!$A$2,I237='סיווג התפקידים והעלויות'!$A$3),'עלויות כח אדם (6)'!H237='סיווג התפקידים והעלויות'!$C$2,'עלויות כח אדם (6)'!H237='סיווג התפקידים והעלויות'!$D$2),IF('עלויות כח אדם (6)'!J237&lt;75,"לא תקין","תקין"),"")</f>
        <v/>
      </c>
      <c r="AE237" s="374" t="str">
        <f t="shared" si="59"/>
        <v/>
      </c>
      <c r="AF237" s="532" t="str">
        <f t="shared" si="60"/>
        <v/>
      </c>
    </row>
    <row r="238" spans="2:32" x14ac:dyDescent="0.25">
      <c r="B238" s="695"/>
      <c r="C238" s="197" t="str">
        <f>IF(B238&lt;&gt;"",IFERROR(VLOOKUP(B:B,'מצבת והרשמה (2)'!$C$20:$N$520,2,0)," ")," ")</f>
        <v xml:space="preserve"> </v>
      </c>
      <c r="D238" s="695"/>
      <c r="E238" s="696"/>
      <c r="F238" s="696"/>
      <c r="G238" s="696"/>
      <c r="H238" s="696"/>
      <c r="I238" s="1050" t="str">
        <f t="shared" si="47"/>
        <v/>
      </c>
      <c r="J238" s="696"/>
      <c r="K238" s="697"/>
      <c r="L238" s="696"/>
      <c r="M238" s="198" t="str">
        <f t="shared" si="48"/>
        <v/>
      </c>
      <c r="N238" s="369" t="str">
        <f t="shared" si="49"/>
        <v/>
      </c>
      <c r="O238" s="183" t="str">
        <f t="shared" si="50"/>
        <v/>
      </c>
      <c r="P238" s="199" t="str">
        <f t="shared" si="51"/>
        <v/>
      </c>
      <c r="Q238" s="199" t="str">
        <f>IF(B238="","",IFERROR(IF('עלויות כח אדם (6)'!J238&gt;=VLOOKUP(I238,'סיווג התפקידים והעלויות'!$B$23:$C$32,2,0),"תקין","לא תקין"),""))</f>
        <v/>
      </c>
      <c r="R238" s="199" t="str">
        <f t="shared" si="52"/>
        <v/>
      </c>
      <c r="S238" s="199" t="str">
        <f t="shared" si="53"/>
        <v/>
      </c>
      <c r="T238" s="199" t="str">
        <f t="shared" si="61"/>
        <v/>
      </c>
      <c r="U238" s="199" t="str">
        <f t="shared" si="54"/>
        <v/>
      </c>
      <c r="V238" s="989"/>
      <c r="X238" s="374" t="str">
        <f t="shared" si="55"/>
        <v/>
      </c>
      <c r="Y238" s="375" t="str">
        <f t="shared" si="56"/>
        <v/>
      </c>
      <c r="Z238" s="374" t="str">
        <f t="shared" si="57"/>
        <v/>
      </c>
      <c r="AA238" s="374" t="b">
        <f t="shared" si="58"/>
        <v>1</v>
      </c>
      <c r="AB238" s="374">
        <f>COUNTIFS(B:B,B238,H:H,'סיווג התפקידים והעלויות'!$C$2)</f>
        <v>0</v>
      </c>
      <c r="AC238" s="374">
        <f>COUNTIFS(B:B,B238,H:H,'סיווג התפקידים והעלויות'!$D$2)</f>
        <v>0</v>
      </c>
      <c r="AD238" s="374" t="str">
        <f>IF(OR(AND(H238='סיווג התפקידים והעלויות'!$A$2,I238='סיווג התפקידים והעלויות'!$A$3),'עלויות כח אדם (6)'!H238='סיווג התפקידים והעלויות'!$C$2,'עלויות כח אדם (6)'!H238='סיווג התפקידים והעלויות'!$D$2),IF('עלויות כח אדם (6)'!J238&lt;75,"לא תקין","תקין"),"")</f>
        <v/>
      </c>
      <c r="AE238" s="374" t="str">
        <f t="shared" si="59"/>
        <v/>
      </c>
      <c r="AF238" s="532" t="str">
        <f t="shared" si="60"/>
        <v/>
      </c>
    </row>
    <row r="239" spans="2:32" x14ac:dyDescent="0.25">
      <c r="B239" s="695"/>
      <c r="C239" s="197" t="str">
        <f>IF(B239&lt;&gt;"",IFERROR(VLOOKUP(B:B,'מצבת והרשמה (2)'!$C$20:$N$520,2,0)," ")," ")</f>
        <v xml:space="preserve"> </v>
      </c>
      <c r="D239" s="695"/>
      <c r="E239" s="696"/>
      <c r="F239" s="696"/>
      <c r="G239" s="696"/>
      <c r="H239" s="696"/>
      <c r="I239" s="1050" t="str">
        <f t="shared" si="47"/>
        <v/>
      </c>
      <c r="J239" s="696"/>
      <c r="K239" s="697"/>
      <c r="L239" s="696"/>
      <c r="M239" s="198" t="str">
        <f t="shared" si="48"/>
        <v/>
      </c>
      <c r="N239" s="369" t="str">
        <f t="shared" si="49"/>
        <v/>
      </c>
      <c r="O239" s="183" t="str">
        <f t="shared" si="50"/>
        <v/>
      </c>
      <c r="P239" s="199" t="str">
        <f t="shared" si="51"/>
        <v/>
      </c>
      <c r="Q239" s="199" t="str">
        <f>IF(B239="","",IFERROR(IF('עלויות כח אדם (6)'!J239&gt;=VLOOKUP(I239,'סיווג התפקידים והעלויות'!$B$23:$C$32,2,0),"תקין","לא תקין"),""))</f>
        <v/>
      </c>
      <c r="R239" s="199" t="str">
        <f t="shared" si="52"/>
        <v/>
      </c>
      <c r="S239" s="199" t="str">
        <f t="shared" si="53"/>
        <v/>
      </c>
      <c r="T239" s="199" t="str">
        <f t="shared" si="61"/>
        <v/>
      </c>
      <c r="U239" s="199" t="str">
        <f t="shared" si="54"/>
        <v/>
      </c>
      <c r="V239" s="989"/>
      <c r="X239" s="374" t="str">
        <f t="shared" si="55"/>
        <v/>
      </c>
      <c r="Y239" s="375" t="str">
        <f t="shared" si="56"/>
        <v/>
      </c>
      <c r="Z239" s="374" t="str">
        <f t="shared" si="57"/>
        <v/>
      </c>
      <c r="AA239" s="374" t="b">
        <f t="shared" si="58"/>
        <v>1</v>
      </c>
      <c r="AB239" s="374">
        <f>COUNTIFS(B:B,B239,H:H,'סיווג התפקידים והעלויות'!$C$2)</f>
        <v>0</v>
      </c>
      <c r="AC239" s="374">
        <f>COUNTIFS(B:B,B239,H:H,'סיווג התפקידים והעלויות'!$D$2)</f>
        <v>0</v>
      </c>
      <c r="AD239" s="374" t="str">
        <f>IF(OR(AND(H239='סיווג התפקידים והעלויות'!$A$2,I239='סיווג התפקידים והעלויות'!$A$3),'עלויות כח אדם (6)'!H239='סיווג התפקידים והעלויות'!$C$2,'עלויות כח אדם (6)'!H239='סיווג התפקידים והעלויות'!$D$2),IF('עלויות כח אדם (6)'!J239&lt;75,"לא תקין","תקין"),"")</f>
        <v/>
      </c>
      <c r="AE239" s="374" t="str">
        <f t="shared" si="59"/>
        <v/>
      </c>
      <c r="AF239" s="532" t="str">
        <f t="shared" si="60"/>
        <v/>
      </c>
    </row>
    <row r="240" spans="2:32" x14ac:dyDescent="0.25">
      <c r="B240" s="695"/>
      <c r="C240" s="197" t="str">
        <f>IF(B240&lt;&gt;"",IFERROR(VLOOKUP(B:B,'מצבת והרשמה (2)'!$C$20:$N$520,2,0)," ")," ")</f>
        <v xml:space="preserve"> </v>
      </c>
      <c r="D240" s="695"/>
      <c r="E240" s="696"/>
      <c r="F240" s="696"/>
      <c r="G240" s="696"/>
      <c r="H240" s="696"/>
      <c r="I240" s="1050" t="str">
        <f t="shared" si="47"/>
        <v/>
      </c>
      <c r="J240" s="696"/>
      <c r="K240" s="697"/>
      <c r="L240" s="696"/>
      <c r="M240" s="198" t="str">
        <f t="shared" si="48"/>
        <v/>
      </c>
      <c r="N240" s="369" t="str">
        <f t="shared" si="49"/>
        <v/>
      </c>
      <c r="O240" s="183" t="str">
        <f t="shared" si="50"/>
        <v/>
      </c>
      <c r="P240" s="199" t="str">
        <f t="shared" si="51"/>
        <v/>
      </c>
      <c r="Q240" s="199" t="str">
        <f>IF(B240="","",IFERROR(IF('עלויות כח אדם (6)'!J240&gt;=VLOOKUP(I240,'סיווג התפקידים והעלויות'!$B$23:$C$32,2,0),"תקין","לא תקין"),""))</f>
        <v/>
      </c>
      <c r="R240" s="199" t="str">
        <f t="shared" si="52"/>
        <v/>
      </c>
      <c r="S240" s="199" t="str">
        <f t="shared" si="53"/>
        <v/>
      </c>
      <c r="T240" s="199" t="str">
        <f t="shared" si="61"/>
        <v/>
      </c>
      <c r="U240" s="199" t="str">
        <f t="shared" si="54"/>
        <v/>
      </c>
      <c r="V240" s="989"/>
      <c r="X240" s="374" t="str">
        <f t="shared" si="55"/>
        <v/>
      </c>
      <c r="Y240" s="375" t="str">
        <f t="shared" si="56"/>
        <v/>
      </c>
      <c r="Z240" s="374" t="str">
        <f t="shared" si="57"/>
        <v/>
      </c>
      <c r="AA240" s="374" t="b">
        <f t="shared" si="58"/>
        <v>1</v>
      </c>
      <c r="AB240" s="374">
        <f>COUNTIFS(B:B,B240,H:H,'סיווג התפקידים והעלויות'!$C$2)</f>
        <v>0</v>
      </c>
      <c r="AC240" s="374">
        <f>COUNTIFS(B:B,B240,H:H,'סיווג התפקידים והעלויות'!$D$2)</f>
        <v>0</v>
      </c>
      <c r="AD240" s="374" t="str">
        <f>IF(OR(AND(H240='סיווג התפקידים והעלויות'!$A$2,I240='סיווג התפקידים והעלויות'!$A$3),'עלויות כח אדם (6)'!H240='סיווג התפקידים והעלויות'!$C$2,'עלויות כח אדם (6)'!H240='סיווג התפקידים והעלויות'!$D$2),IF('עלויות כח אדם (6)'!J240&lt;75,"לא תקין","תקין"),"")</f>
        <v/>
      </c>
      <c r="AE240" s="374" t="str">
        <f t="shared" si="59"/>
        <v/>
      </c>
      <c r="AF240" s="532" t="str">
        <f t="shared" si="60"/>
        <v/>
      </c>
    </row>
    <row r="241" spans="2:32" x14ac:dyDescent="0.25">
      <c r="B241" s="695"/>
      <c r="C241" s="197" t="str">
        <f>IF(B241&lt;&gt;"",IFERROR(VLOOKUP(B:B,'מצבת והרשמה (2)'!$C$20:$N$520,2,0)," ")," ")</f>
        <v xml:space="preserve"> </v>
      </c>
      <c r="D241" s="695"/>
      <c r="E241" s="696"/>
      <c r="F241" s="696"/>
      <c r="G241" s="696"/>
      <c r="H241" s="696"/>
      <c r="I241" s="1050" t="str">
        <f t="shared" si="47"/>
        <v/>
      </c>
      <c r="J241" s="696"/>
      <c r="K241" s="697"/>
      <c r="L241" s="696"/>
      <c r="M241" s="198" t="str">
        <f t="shared" si="48"/>
        <v/>
      </c>
      <c r="N241" s="369" t="str">
        <f t="shared" si="49"/>
        <v/>
      </c>
      <c r="O241" s="183" t="str">
        <f t="shared" si="50"/>
        <v/>
      </c>
      <c r="P241" s="199" t="str">
        <f t="shared" si="51"/>
        <v/>
      </c>
      <c r="Q241" s="199" t="str">
        <f>IF(B241="","",IFERROR(IF('עלויות כח אדם (6)'!J241&gt;=VLOOKUP(I241,'סיווג התפקידים והעלויות'!$B$23:$C$32,2,0),"תקין","לא תקין"),""))</f>
        <v/>
      </c>
      <c r="R241" s="199" t="str">
        <f t="shared" si="52"/>
        <v/>
      </c>
      <c r="S241" s="199" t="str">
        <f t="shared" si="53"/>
        <v/>
      </c>
      <c r="T241" s="199" t="str">
        <f t="shared" si="61"/>
        <v/>
      </c>
      <c r="U241" s="199" t="str">
        <f t="shared" si="54"/>
        <v/>
      </c>
      <c r="V241" s="989"/>
      <c r="X241" s="374" t="str">
        <f t="shared" si="55"/>
        <v/>
      </c>
      <c r="Y241" s="375" t="str">
        <f t="shared" si="56"/>
        <v/>
      </c>
      <c r="Z241" s="374" t="str">
        <f t="shared" si="57"/>
        <v/>
      </c>
      <c r="AA241" s="374" t="b">
        <f t="shared" si="58"/>
        <v>1</v>
      </c>
      <c r="AB241" s="374">
        <f>COUNTIFS(B:B,B241,H:H,'סיווג התפקידים והעלויות'!$C$2)</f>
        <v>0</v>
      </c>
      <c r="AC241" s="374">
        <f>COUNTIFS(B:B,B241,H:H,'סיווג התפקידים והעלויות'!$D$2)</f>
        <v>0</v>
      </c>
      <c r="AD241" s="374" t="str">
        <f>IF(OR(AND(H241='סיווג התפקידים והעלויות'!$A$2,I241='סיווג התפקידים והעלויות'!$A$3),'עלויות כח אדם (6)'!H241='סיווג התפקידים והעלויות'!$C$2,'עלויות כח אדם (6)'!H241='סיווג התפקידים והעלויות'!$D$2),IF('עלויות כח אדם (6)'!J241&lt;75,"לא תקין","תקין"),"")</f>
        <v/>
      </c>
      <c r="AE241" s="374" t="str">
        <f t="shared" si="59"/>
        <v/>
      </c>
      <c r="AF241" s="532" t="str">
        <f t="shared" si="60"/>
        <v/>
      </c>
    </row>
    <row r="242" spans="2:32" x14ac:dyDescent="0.25">
      <c r="B242" s="695"/>
      <c r="C242" s="197" t="str">
        <f>IF(B242&lt;&gt;"",IFERROR(VLOOKUP(B:B,'מצבת והרשמה (2)'!$C$20:$N$520,2,0)," ")," ")</f>
        <v xml:space="preserve"> </v>
      </c>
      <c r="D242" s="695"/>
      <c r="E242" s="696"/>
      <c r="F242" s="696"/>
      <c r="G242" s="696"/>
      <c r="H242" s="696"/>
      <c r="I242" s="1050" t="str">
        <f t="shared" si="47"/>
        <v/>
      </c>
      <c r="J242" s="696"/>
      <c r="K242" s="697"/>
      <c r="L242" s="696"/>
      <c r="M242" s="198" t="str">
        <f t="shared" si="48"/>
        <v/>
      </c>
      <c r="N242" s="369" t="str">
        <f t="shared" si="49"/>
        <v/>
      </c>
      <c r="O242" s="183" t="str">
        <f t="shared" si="50"/>
        <v/>
      </c>
      <c r="P242" s="199" t="str">
        <f t="shared" si="51"/>
        <v/>
      </c>
      <c r="Q242" s="199" t="str">
        <f>IF(B242="","",IFERROR(IF('עלויות כח אדם (6)'!J242&gt;=VLOOKUP(I242,'סיווג התפקידים והעלויות'!$B$23:$C$32,2,0),"תקין","לא תקין"),""))</f>
        <v/>
      </c>
      <c r="R242" s="199" t="str">
        <f t="shared" si="52"/>
        <v/>
      </c>
      <c r="S242" s="199" t="str">
        <f t="shared" si="53"/>
        <v/>
      </c>
      <c r="T242" s="199" t="str">
        <f t="shared" si="61"/>
        <v/>
      </c>
      <c r="U242" s="199" t="str">
        <f t="shared" si="54"/>
        <v/>
      </c>
      <c r="V242" s="989"/>
      <c r="X242" s="374" t="str">
        <f t="shared" si="55"/>
        <v/>
      </c>
      <c r="Y242" s="375" t="str">
        <f t="shared" si="56"/>
        <v/>
      </c>
      <c r="Z242" s="374" t="str">
        <f t="shared" si="57"/>
        <v/>
      </c>
      <c r="AA242" s="374" t="b">
        <f t="shared" si="58"/>
        <v>1</v>
      </c>
      <c r="AB242" s="374">
        <f>COUNTIFS(B:B,B242,H:H,'סיווג התפקידים והעלויות'!$C$2)</f>
        <v>0</v>
      </c>
      <c r="AC242" s="374">
        <f>COUNTIFS(B:B,B242,H:H,'סיווג התפקידים והעלויות'!$D$2)</f>
        <v>0</v>
      </c>
      <c r="AD242" s="374" t="str">
        <f>IF(OR(AND(H242='סיווג התפקידים והעלויות'!$A$2,I242='סיווג התפקידים והעלויות'!$A$3),'עלויות כח אדם (6)'!H242='סיווג התפקידים והעלויות'!$C$2,'עלויות כח אדם (6)'!H242='סיווג התפקידים והעלויות'!$D$2),IF('עלויות כח אדם (6)'!J242&lt;75,"לא תקין","תקין"),"")</f>
        <v/>
      </c>
      <c r="AE242" s="374" t="str">
        <f t="shared" si="59"/>
        <v/>
      </c>
      <c r="AF242" s="532" t="str">
        <f t="shared" si="60"/>
        <v/>
      </c>
    </row>
    <row r="243" spans="2:32" x14ac:dyDescent="0.25">
      <c r="B243" s="695"/>
      <c r="C243" s="197" t="str">
        <f>IF(B243&lt;&gt;"",IFERROR(VLOOKUP(B:B,'מצבת והרשמה (2)'!$C$20:$N$520,2,0)," ")," ")</f>
        <v xml:space="preserve"> </v>
      </c>
      <c r="D243" s="695"/>
      <c r="E243" s="696"/>
      <c r="F243" s="696"/>
      <c r="G243" s="696"/>
      <c r="H243" s="696"/>
      <c r="I243" s="1050" t="str">
        <f t="shared" si="47"/>
        <v/>
      </c>
      <c r="J243" s="696"/>
      <c r="K243" s="697"/>
      <c r="L243" s="696"/>
      <c r="M243" s="198" t="str">
        <f t="shared" si="48"/>
        <v/>
      </c>
      <c r="N243" s="369" t="str">
        <f t="shared" si="49"/>
        <v/>
      </c>
      <c r="O243" s="183" t="str">
        <f t="shared" si="50"/>
        <v/>
      </c>
      <c r="P243" s="199" t="str">
        <f t="shared" si="51"/>
        <v/>
      </c>
      <c r="Q243" s="199" t="str">
        <f>IF(B243="","",IFERROR(IF('עלויות כח אדם (6)'!J243&gt;=VLOOKUP(I243,'סיווג התפקידים והעלויות'!$B$23:$C$32,2,0),"תקין","לא תקין"),""))</f>
        <v/>
      </c>
      <c r="R243" s="199" t="str">
        <f t="shared" si="52"/>
        <v/>
      </c>
      <c r="S243" s="199" t="str">
        <f t="shared" si="53"/>
        <v/>
      </c>
      <c r="T243" s="199" t="str">
        <f t="shared" si="61"/>
        <v/>
      </c>
      <c r="U243" s="199" t="str">
        <f t="shared" si="54"/>
        <v/>
      </c>
      <c r="V243" s="989"/>
      <c r="X243" s="374" t="str">
        <f t="shared" si="55"/>
        <v/>
      </c>
      <c r="Y243" s="375" t="str">
        <f t="shared" si="56"/>
        <v/>
      </c>
      <c r="Z243" s="374" t="str">
        <f t="shared" si="57"/>
        <v/>
      </c>
      <c r="AA243" s="374" t="b">
        <f t="shared" si="58"/>
        <v>1</v>
      </c>
      <c r="AB243" s="374">
        <f>COUNTIFS(B:B,B243,H:H,'סיווג התפקידים והעלויות'!$C$2)</f>
        <v>0</v>
      </c>
      <c r="AC243" s="374">
        <f>COUNTIFS(B:B,B243,H:H,'סיווג התפקידים והעלויות'!$D$2)</f>
        <v>0</v>
      </c>
      <c r="AD243" s="374" t="str">
        <f>IF(OR(AND(H243='סיווג התפקידים והעלויות'!$A$2,I243='סיווג התפקידים והעלויות'!$A$3),'עלויות כח אדם (6)'!H243='סיווג התפקידים והעלויות'!$C$2,'עלויות כח אדם (6)'!H243='סיווג התפקידים והעלויות'!$D$2),IF('עלויות כח אדם (6)'!J243&lt;75,"לא תקין","תקין"),"")</f>
        <v/>
      </c>
      <c r="AE243" s="374" t="str">
        <f t="shared" si="59"/>
        <v/>
      </c>
      <c r="AF243" s="532" t="str">
        <f t="shared" si="60"/>
        <v/>
      </c>
    </row>
    <row r="244" spans="2:32" x14ac:dyDescent="0.25">
      <c r="B244" s="695"/>
      <c r="C244" s="197" t="str">
        <f>IF(B244&lt;&gt;"",IFERROR(VLOOKUP(B:B,'מצבת והרשמה (2)'!$C$20:$N$520,2,0)," ")," ")</f>
        <v xml:space="preserve"> </v>
      </c>
      <c r="D244" s="695"/>
      <c r="E244" s="696"/>
      <c r="F244" s="696"/>
      <c r="G244" s="696"/>
      <c r="H244" s="696"/>
      <c r="I244" s="1050" t="str">
        <f t="shared" si="47"/>
        <v/>
      </c>
      <c r="J244" s="696"/>
      <c r="K244" s="697"/>
      <c r="L244" s="696"/>
      <c r="M244" s="198" t="str">
        <f t="shared" si="48"/>
        <v/>
      </c>
      <c r="N244" s="369" t="str">
        <f t="shared" si="49"/>
        <v/>
      </c>
      <c r="O244" s="183" t="str">
        <f t="shared" si="50"/>
        <v/>
      </c>
      <c r="P244" s="199" t="str">
        <f t="shared" si="51"/>
        <v/>
      </c>
      <c r="Q244" s="199" t="str">
        <f>IF(B244="","",IFERROR(IF('עלויות כח אדם (6)'!J244&gt;=VLOOKUP(I244,'סיווג התפקידים והעלויות'!$B$23:$C$32,2,0),"תקין","לא תקין"),""))</f>
        <v/>
      </c>
      <c r="R244" s="199" t="str">
        <f t="shared" si="52"/>
        <v/>
      </c>
      <c r="S244" s="199" t="str">
        <f t="shared" si="53"/>
        <v/>
      </c>
      <c r="T244" s="199" t="str">
        <f t="shared" si="61"/>
        <v/>
      </c>
      <c r="U244" s="199" t="str">
        <f t="shared" si="54"/>
        <v/>
      </c>
      <c r="V244" s="989"/>
      <c r="X244" s="374" t="str">
        <f t="shared" si="55"/>
        <v/>
      </c>
      <c r="Y244" s="375" t="str">
        <f t="shared" si="56"/>
        <v/>
      </c>
      <c r="Z244" s="374" t="str">
        <f t="shared" si="57"/>
        <v/>
      </c>
      <c r="AA244" s="374" t="b">
        <f t="shared" si="58"/>
        <v>1</v>
      </c>
      <c r="AB244" s="374">
        <f>COUNTIFS(B:B,B244,H:H,'סיווג התפקידים והעלויות'!$C$2)</f>
        <v>0</v>
      </c>
      <c r="AC244" s="374">
        <f>COUNTIFS(B:B,B244,H:H,'סיווג התפקידים והעלויות'!$D$2)</f>
        <v>0</v>
      </c>
      <c r="AD244" s="374" t="str">
        <f>IF(OR(AND(H244='סיווג התפקידים והעלויות'!$A$2,I244='סיווג התפקידים והעלויות'!$A$3),'עלויות כח אדם (6)'!H244='סיווג התפקידים והעלויות'!$C$2,'עלויות כח אדם (6)'!H244='סיווג התפקידים והעלויות'!$D$2),IF('עלויות כח אדם (6)'!J244&lt;75,"לא תקין","תקין"),"")</f>
        <v/>
      </c>
      <c r="AE244" s="374" t="str">
        <f t="shared" si="59"/>
        <v/>
      </c>
      <c r="AF244" s="532" t="str">
        <f t="shared" si="60"/>
        <v/>
      </c>
    </row>
    <row r="245" spans="2:32" x14ac:dyDescent="0.25">
      <c r="B245" s="695"/>
      <c r="C245" s="197" t="str">
        <f>IF(B245&lt;&gt;"",IFERROR(VLOOKUP(B:B,'מצבת והרשמה (2)'!$C$20:$N$520,2,0)," ")," ")</f>
        <v xml:space="preserve"> </v>
      </c>
      <c r="D245" s="695"/>
      <c r="E245" s="696"/>
      <c r="F245" s="696"/>
      <c r="G245" s="696"/>
      <c r="H245" s="696"/>
      <c r="I245" s="1050" t="str">
        <f t="shared" si="47"/>
        <v/>
      </c>
      <c r="J245" s="696"/>
      <c r="K245" s="697"/>
      <c r="L245" s="696"/>
      <c r="M245" s="198" t="str">
        <f t="shared" si="48"/>
        <v/>
      </c>
      <c r="N245" s="369" t="str">
        <f t="shared" si="49"/>
        <v/>
      </c>
      <c r="O245" s="183" t="str">
        <f t="shared" si="50"/>
        <v/>
      </c>
      <c r="P245" s="199" t="str">
        <f t="shared" si="51"/>
        <v/>
      </c>
      <c r="Q245" s="199" t="str">
        <f>IF(B245="","",IFERROR(IF('עלויות כח אדם (6)'!J245&gt;=VLOOKUP(I245,'סיווג התפקידים והעלויות'!$B$23:$C$32,2,0),"תקין","לא תקין"),""))</f>
        <v/>
      </c>
      <c r="R245" s="199" t="str">
        <f t="shared" si="52"/>
        <v/>
      </c>
      <c r="S245" s="199" t="str">
        <f t="shared" si="53"/>
        <v/>
      </c>
      <c r="T245" s="199" t="str">
        <f t="shared" si="61"/>
        <v/>
      </c>
      <c r="U245" s="199" t="str">
        <f t="shared" si="54"/>
        <v/>
      </c>
      <c r="V245" s="989"/>
      <c r="X245" s="374" t="str">
        <f t="shared" si="55"/>
        <v/>
      </c>
      <c r="Y245" s="375" t="str">
        <f t="shared" si="56"/>
        <v/>
      </c>
      <c r="Z245" s="374" t="str">
        <f t="shared" si="57"/>
        <v/>
      </c>
      <c r="AA245" s="374" t="b">
        <f t="shared" si="58"/>
        <v>1</v>
      </c>
      <c r="AB245" s="374">
        <f>COUNTIFS(B:B,B245,H:H,'סיווג התפקידים והעלויות'!$C$2)</f>
        <v>0</v>
      </c>
      <c r="AC245" s="374">
        <f>COUNTIFS(B:B,B245,H:H,'סיווג התפקידים והעלויות'!$D$2)</f>
        <v>0</v>
      </c>
      <c r="AD245" s="374" t="str">
        <f>IF(OR(AND(H245='סיווג התפקידים והעלויות'!$A$2,I245='סיווג התפקידים והעלויות'!$A$3),'עלויות כח אדם (6)'!H245='סיווג התפקידים והעלויות'!$C$2,'עלויות כח אדם (6)'!H245='סיווג התפקידים והעלויות'!$D$2),IF('עלויות כח אדם (6)'!J245&lt;75,"לא תקין","תקין"),"")</f>
        <v/>
      </c>
      <c r="AE245" s="374" t="str">
        <f t="shared" si="59"/>
        <v/>
      </c>
      <c r="AF245" s="532" t="str">
        <f t="shared" si="60"/>
        <v/>
      </c>
    </row>
    <row r="246" spans="2:32" x14ac:dyDescent="0.25">
      <c r="B246" s="695"/>
      <c r="C246" s="197" t="str">
        <f>IF(B246&lt;&gt;"",IFERROR(VLOOKUP(B:B,'מצבת והרשמה (2)'!$C$20:$N$520,2,0)," ")," ")</f>
        <v xml:space="preserve"> </v>
      </c>
      <c r="D246" s="695"/>
      <c r="E246" s="696"/>
      <c r="F246" s="696"/>
      <c r="G246" s="696"/>
      <c r="H246" s="696"/>
      <c r="I246" s="1050" t="str">
        <f t="shared" si="47"/>
        <v/>
      </c>
      <c r="J246" s="696"/>
      <c r="K246" s="697"/>
      <c r="L246" s="696"/>
      <c r="M246" s="198" t="str">
        <f t="shared" si="48"/>
        <v/>
      </c>
      <c r="N246" s="369" t="str">
        <f t="shared" si="49"/>
        <v/>
      </c>
      <c r="O246" s="183" t="str">
        <f t="shared" si="50"/>
        <v/>
      </c>
      <c r="P246" s="199" t="str">
        <f t="shared" si="51"/>
        <v/>
      </c>
      <c r="Q246" s="199" t="str">
        <f>IF(B246="","",IFERROR(IF('עלויות כח אדם (6)'!J246&gt;=VLOOKUP(I246,'סיווג התפקידים והעלויות'!$B$23:$C$32,2,0),"תקין","לא תקין"),""))</f>
        <v/>
      </c>
      <c r="R246" s="199" t="str">
        <f t="shared" si="52"/>
        <v/>
      </c>
      <c r="S246" s="199" t="str">
        <f t="shared" si="53"/>
        <v/>
      </c>
      <c r="T246" s="199" t="str">
        <f t="shared" si="61"/>
        <v/>
      </c>
      <c r="U246" s="199" t="str">
        <f t="shared" si="54"/>
        <v/>
      </c>
      <c r="V246" s="989"/>
      <c r="X246" s="374" t="str">
        <f t="shared" si="55"/>
        <v/>
      </c>
      <c r="Y246" s="375" t="str">
        <f t="shared" si="56"/>
        <v/>
      </c>
      <c r="Z246" s="374" t="str">
        <f t="shared" si="57"/>
        <v/>
      </c>
      <c r="AA246" s="374" t="b">
        <f t="shared" si="58"/>
        <v>1</v>
      </c>
      <c r="AB246" s="374">
        <f>COUNTIFS(B:B,B246,H:H,'סיווג התפקידים והעלויות'!$C$2)</f>
        <v>0</v>
      </c>
      <c r="AC246" s="374">
        <f>COUNTIFS(B:B,B246,H:H,'סיווג התפקידים והעלויות'!$D$2)</f>
        <v>0</v>
      </c>
      <c r="AD246" s="374" t="str">
        <f>IF(OR(AND(H246='סיווג התפקידים והעלויות'!$A$2,I246='סיווג התפקידים והעלויות'!$A$3),'עלויות כח אדם (6)'!H246='סיווג התפקידים והעלויות'!$C$2,'עלויות כח אדם (6)'!H246='סיווג התפקידים והעלויות'!$D$2),IF('עלויות כח אדם (6)'!J246&lt;75,"לא תקין","תקין"),"")</f>
        <v/>
      </c>
      <c r="AE246" s="374" t="str">
        <f t="shared" si="59"/>
        <v/>
      </c>
      <c r="AF246" s="532" t="str">
        <f t="shared" si="60"/>
        <v/>
      </c>
    </row>
    <row r="247" spans="2:32" x14ac:dyDescent="0.25">
      <c r="B247" s="695"/>
      <c r="C247" s="197" t="str">
        <f>IF(B247&lt;&gt;"",IFERROR(VLOOKUP(B:B,'מצבת והרשמה (2)'!$C$20:$N$520,2,0)," ")," ")</f>
        <v xml:space="preserve"> </v>
      </c>
      <c r="D247" s="695"/>
      <c r="E247" s="696"/>
      <c r="F247" s="696"/>
      <c r="G247" s="696"/>
      <c r="H247" s="696"/>
      <c r="I247" s="1050" t="str">
        <f t="shared" si="47"/>
        <v/>
      </c>
      <c r="J247" s="696"/>
      <c r="K247" s="697"/>
      <c r="L247" s="696"/>
      <c r="M247" s="198" t="str">
        <f t="shared" si="48"/>
        <v/>
      </c>
      <c r="N247" s="369" t="str">
        <f t="shared" si="49"/>
        <v/>
      </c>
      <c r="O247" s="183" t="str">
        <f t="shared" si="50"/>
        <v/>
      </c>
      <c r="P247" s="199" t="str">
        <f t="shared" si="51"/>
        <v/>
      </c>
      <c r="Q247" s="199" t="str">
        <f>IF(B247="","",IFERROR(IF('עלויות כח אדם (6)'!J247&gt;=VLOOKUP(I247,'סיווג התפקידים והעלויות'!$B$23:$C$32,2,0),"תקין","לא תקין"),""))</f>
        <v/>
      </c>
      <c r="R247" s="199" t="str">
        <f t="shared" si="52"/>
        <v/>
      </c>
      <c r="S247" s="199" t="str">
        <f t="shared" si="53"/>
        <v/>
      </c>
      <c r="T247" s="199" t="str">
        <f t="shared" si="61"/>
        <v/>
      </c>
      <c r="U247" s="199" t="str">
        <f t="shared" si="54"/>
        <v/>
      </c>
      <c r="V247" s="989"/>
      <c r="X247" s="374" t="str">
        <f t="shared" si="55"/>
        <v/>
      </c>
      <c r="Y247" s="375" t="str">
        <f t="shared" si="56"/>
        <v/>
      </c>
      <c r="Z247" s="374" t="str">
        <f t="shared" si="57"/>
        <v/>
      </c>
      <c r="AA247" s="374" t="b">
        <f t="shared" si="58"/>
        <v>1</v>
      </c>
      <c r="AB247" s="374">
        <f>COUNTIFS(B:B,B247,H:H,'סיווג התפקידים והעלויות'!$C$2)</f>
        <v>0</v>
      </c>
      <c r="AC247" s="374">
        <f>COUNTIFS(B:B,B247,H:H,'סיווג התפקידים והעלויות'!$D$2)</f>
        <v>0</v>
      </c>
      <c r="AD247" s="374" t="str">
        <f>IF(OR(AND(H247='סיווג התפקידים והעלויות'!$A$2,I247='סיווג התפקידים והעלויות'!$A$3),'עלויות כח אדם (6)'!H247='סיווג התפקידים והעלויות'!$C$2,'עלויות כח אדם (6)'!H247='סיווג התפקידים והעלויות'!$D$2),IF('עלויות כח אדם (6)'!J247&lt;75,"לא תקין","תקין"),"")</f>
        <v/>
      </c>
      <c r="AE247" s="374" t="str">
        <f t="shared" si="59"/>
        <v/>
      </c>
      <c r="AF247" s="532" t="str">
        <f t="shared" si="60"/>
        <v/>
      </c>
    </row>
    <row r="248" spans="2:32" x14ac:dyDescent="0.25">
      <c r="B248" s="695"/>
      <c r="C248" s="197" t="str">
        <f>IF(B248&lt;&gt;"",IFERROR(VLOOKUP(B:B,'מצבת והרשמה (2)'!$C$20:$N$520,2,0)," ")," ")</f>
        <v xml:space="preserve"> </v>
      </c>
      <c r="D248" s="695"/>
      <c r="E248" s="696"/>
      <c r="F248" s="696"/>
      <c r="G248" s="696"/>
      <c r="H248" s="696"/>
      <c r="I248" s="1050" t="str">
        <f t="shared" si="47"/>
        <v/>
      </c>
      <c r="J248" s="696"/>
      <c r="K248" s="697"/>
      <c r="L248" s="696"/>
      <c r="M248" s="198" t="str">
        <f t="shared" si="48"/>
        <v/>
      </c>
      <c r="N248" s="369" t="str">
        <f t="shared" si="49"/>
        <v/>
      </c>
      <c r="O248" s="183" t="str">
        <f t="shared" si="50"/>
        <v/>
      </c>
      <c r="P248" s="199" t="str">
        <f t="shared" si="51"/>
        <v/>
      </c>
      <c r="Q248" s="199" t="str">
        <f>IF(B248="","",IFERROR(IF('עלויות כח אדם (6)'!J248&gt;=VLOOKUP(I248,'סיווג התפקידים והעלויות'!$B$23:$C$32,2,0),"תקין","לא תקין"),""))</f>
        <v/>
      </c>
      <c r="R248" s="199" t="str">
        <f t="shared" si="52"/>
        <v/>
      </c>
      <c r="S248" s="199" t="str">
        <f t="shared" si="53"/>
        <v/>
      </c>
      <c r="T248" s="199" t="str">
        <f t="shared" si="61"/>
        <v/>
      </c>
      <c r="U248" s="199" t="str">
        <f t="shared" si="54"/>
        <v/>
      </c>
      <c r="V248" s="989"/>
      <c r="X248" s="374" t="str">
        <f t="shared" si="55"/>
        <v/>
      </c>
      <c r="Y248" s="375" t="str">
        <f t="shared" si="56"/>
        <v/>
      </c>
      <c r="Z248" s="374" t="str">
        <f t="shared" si="57"/>
        <v/>
      </c>
      <c r="AA248" s="374" t="b">
        <f t="shared" si="58"/>
        <v>1</v>
      </c>
      <c r="AB248" s="374">
        <f>COUNTIFS(B:B,B248,H:H,'סיווג התפקידים והעלויות'!$C$2)</f>
        <v>0</v>
      </c>
      <c r="AC248" s="374">
        <f>COUNTIFS(B:B,B248,H:H,'סיווג התפקידים והעלויות'!$D$2)</f>
        <v>0</v>
      </c>
      <c r="AD248" s="374" t="str">
        <f>IF(OR(AND(H248='סיווג התפקידים והעלויות'!$A$2,I248='סיווג התפקידים והעלויות'!$A$3),'עלויות כח אדם (6)'!H248='סיווג התפקידים והעלויות'!$C$2,'עלויות כח אדם (6)'!H248='סיווג התפקידים והעלויות'!$D$2),IF('עלויות כח אדם (6)'!J248&lt;75,"לא תקין","תקין"),"")</f>
        <v/>
      </c>
      <c r="AE248" s="374" t="str">
        <f t="shared" si="59"/>
        <v/>
      </c>
      <c r="AF248" s="532" t="str">
        <f t="shared" si="60"/>
        <v/>
      </c>
    </row>
    <row r="249" spans="2:32" x14ac:dyDescent="0.25">
      <c r="B249" s="695"/>
      <c r="C249" s="197" t="str">
        <f>IF(B249&lt;&gt;"",IFERROR(VLOOKUP(B:B,'מצבת והרשמה (2)'!$C$20:$N$520,2,0)," ")," ")</f>
        <v xml:space="preserve"> </v>
      </c>
      <c r="D249" s="695"/>
      <c r="E249" s="696"/>
      <c r="F249" s="696"/>
      <c r="G249" s="696"/>
      <c r="H249" s="696"/>
      <c r="I249" s="1050" t="str">
        <f t="shared" si="47"/>
        <v/>
      </c>
      <c r="J249" s="696"/>
      <c r="K249" s="697"/>
      <c r="L249" s="696"/>
      <c r="M249" s="198" t="str">
        <f t="shared" si="48"/>
        <v/>
      </c>
      <c r="N249" s="369" t="str">
        <f t="shared" si="49"/>
        <v/>
      </c>
      <c r="O249" s="183" t="str">
        <f t="shared" si="50"/>
        <v/>
      </c>
      <c r="P249" s="199" t="str">
        <f t="shared" si="51"/>
        <v/>
      </c>
      <c r="Q249" s="199" t="str">
        <f>IF(B249="","",IFERROR(IF('עלויות כח אדם (6)'!J249&gt;=VLOOKUP(I249,'סיווג התפקידים והעלויות'!$B$23:$C$32,2,0),"תקין","לא תקין"),""))</f>
        <v/>
      </c>
      <c r="R249" s="199" t="str">
        <f t="shared" si="52"/>
        <v/>
      </c>
      <c r="S249" s="199" t="str">
        <f t="shared" si="53"/>
        <v/>
      </c>
      <c r="T249" s="199" t="str">
        <f t="shared" si="61"/>
        <v/>
      </c>
      <c r="U249" s="199" t="str">
        <f t="shared" si="54"/>
        <v/>
      </c>
      <c r="V249" s="989"/>
      <c r="X249" s="374" t="str">
        <f t="shared" si="55"/>
        <v/>
      </c>
      <c r="Y249" s="375" t="str">
        <f t="shared" si="56"/>
        <v/>
      </c>
      <c r="Z249" s="374" t="str">
        <f t="shared" si="57"/>
        <v/>
      </c>
      <c r="AA249" s="374" t="b">
        <f t="shared" si="58"/>
        <v>1</v>
      </c>
      <c r="AB249" s="374">
        <f>COUNTIFS(B:B,B249,H:H,'סיווג התפקידים והעלויות'!$C$2)</f>
        <v>0</v>
      </c>
      <c r="AC249" s="374">
        <f>COUNTIFS(B:B,B249,H:H,'סיווג התפקידים והעלויות'!$D$2)</f>
        <v>0</v>
      </c>
      <c r="AD249" s="374" t="str">
        <f>IF(OR(AND(H249='סיווג התפקידים והעלויות'!$A$2,I249='סיווג התפקידים והעלויות'!$A$3),'עלויות כח אדם (6)'!H249='סיווג התפקידים והעלויות'!$C$2,'עלויות כח אדם (6)'!H249='סיווג התפקידים והעלויות'!$D$2),IF('עלויות כח אדם (6)'!J249&lt;75,"לא תקין","תקין"),"")</f>
        <v/>
      </c>
      <c r="AE249" s="374" t="str">
        <f t="shared" si="59"/>
        <v/>
      </c>
      <c r="AF249" s="532" t="str">
        <f t="shared" si="60"/>
        <v/>
      </c>
    </row>
    <row r="250" spans="2:32" x14ac:dyDescent="0.25">
      <c r="B250" s="695"/>
      <c r="C250" s="197" t="str">
        <f>IF(B250&lt;&gt;"",IFERROR(VLOOKUP(B:B,'מצבת והרשמה (2)'!$C$20:$N$520,2,0)," ")," ")</f>
        <v xml:space="preserve"> </v>
      </c>
      <c r="D250" s="695"/>
      <c r="E250" s="696"/>
      <c r="F250" s="696"/>
      <c r="G250" s="696"/>
      <c r="H250" s="696"/>
      <c r="I250" s="1050" t="str">
        <f t="shared" si="47"/>
        <v/>
      </c>
      <c r="J250" s="696"/>
      <c r="K250" s="697"/>
      <c r="L250" s="696"/>
      <c r="M250" s="198" t="str">
        <f t="shared" si="48"/>
        <v/>
      </c>
      <c r="N250" s="369" t="str">
        <f t="shared" si="49"/>
        <v/>
      </c>
      <c r="O250" s="183" t="str">
        <f t="shared" si="50"/>
        <v/>
      </c>
      <c r="P250" s="199" t="str">
        <f t="shared" si="51"/>
        <v/>
      </c>
      <c r="Q250" s="199" t="str">
        <f>IF(B250="","",IFERROR(IF('עלויות כח אדם (6)'!J250&gt;=VLOOKUP(I250,'סיווג התפקידים והעלויות'!$B$23:$C$32,2,0),"תקין","לא תקין"),""))</f>
        <v/>
      </c>
      <c r="R250" s="199" t="str">
        <f t="shared" si="52"/>
        <v/>
      </c>
      <c r="S250" s="199" t="str">
        <f t="shared" si="53"/>
        <v/>
      </c>
      <c r="T250" s="199" t="str">
        <f t="shared" si="61"/>
        <v/>
      </c>
      <c r="U250" s="199" t="str">
        <f t="shared" si="54"/>
        <v/>
      </c>
      <c r="V250" s="989"/>
      <c r="X250" s="374" t="str">
        <f t="shared" si="55"/>
        <v/>
      </c>
      <c r="Y250" s="375" t="str">
        <f t="shared" si="56"/>
        <v/>
      </c>
      <c r="Z250" s="374" t="str">
        <f t="shared" si="57"/>
        <v/>
      </c>
      <c r="AA250" s="374" t="b">
        <f t="shared" si="58"/>
        <v>1</v>
      </c>
      <c r="AB250" s="374">
        <f>COUNTIFS(B:B,B250,H:H,'סיווג התפקידים והעלויות'!$C$2)</f>
        <v>0</v>
      </c>
      <c r="AC250" s="374">
        <f>COUNTIFS(B:B,B250,H:H,'סיווג התפקידים והעלויות'!$D$2)</f>
        <v>0</v>
      </c>
      <c r="AD250" s="374" t="str">
        <f>IF(OR(AND(H250='סיווג התפקידים והעלויות'!$A$2,I250='סיווג התפקידים והעלויות'!$A$3),'עלויות כח אדם (6)'!H250='סיווג התפקידים והעלויות'!$C$2,'עלויות כח אדם (6)'!H250='סיווג התפקידים והעלויות'!$D$2),IF('עלויות כח אדם (6)'!J250&lt;75,"לא תקין","תקין"),"")</f>
        <v/>
      </c>
      <c r="AE250" s="374" t="str">
        <f t="shared" si="59"/>
        <v/>
      </c>
      <c r="AF250" s="532" t="str">
        <f t="shared" si="60"/>
        <v/>
      </c>
    </row>
    <row r="251" spans="2:32" x14ac:dyDescent="0.25">
      <c r="B251" s="695"/>
      <c r="C251" s="197" t="str">
        <f>IF(B251&lt;&gt;"",IFERROR(VLOOKUP(B:B,'מצבת והרשמה (2)'!$C$20:$N$520,2,0)," ")," ")</f>
        <v xml:space="preserve"> </v>
      </c>
      <c r="D251" s="695"/>
      <c r="E251" s="696"/>
      <c r="F251" s="696"/>
      <c r="G251" s="696"/>
      <c r="H251" s="696"/>
      <c r="I251" s="1050" t="str">
        <f t="shared" si="47"/>
        <v/>
      </c>
      <c r="J251" s="696"/>
      <c r="K251" s="697"/>
      <c r="L251" s="696"/>
      <c r="M251" s="198" t="str">
        <f t="shared" si="48"/>
        <v/>
      </c>
      <c r="N251" s="369" t="str">
        <f t="shared" si="49"/>
        <v/>
      </c>
      <c r="O251" s="183" t="str">
        <f t="shared" si="50"/>
        <v/>
      </c>
      <c r="P251" s="199" t="str">
        <f t="shared" si="51"/>
        <v/>
      </c>
      <c r="Q251" s="199" t="str">
        <f>IF(B251="","",IFERROR(IF('עלויות כח אדם (6)'!J251&gt;=VLOOKUP(I251,'סיווג התפקידים והעלויות'!$B$23:$C$32,2,0),"תקין","לא תקין"),""))</f>
        <v/>
      </c>
      <c r="R251" s="199" t="str">
        <f t="shared" si="52"/>
        <v/>
      </c>
      <c r="S251" s="199" t="str">
        <f t="shared" si="53"/>
        <v/>
      </c>
      <c r="T251" s="199" t="str">
        <f t="shared" si="61"/>
        <v/>
      </c>
      <c r="U251" s="199" t="str">
        <f t="shared" si="54"/>
        <v/>
      </c>
      <c r="V251" s="989"/>
      <c r="X251" s="374" t="str">
        <f t="shared" si="55"/>
        <v/>
      </c>
      <c r="Y251" s="375" t="str">
        <f t="shared" si="56"/>
        <v/>
      </c>
      <c r="Z251" s="374" t="str">
        <f t="shared" si="57"/>
        <v/>
      </c>
      <c r="AA251" s="374" t="b">
        <f t="shared" si="58"/>
        <v>1</v>
      </c>
      <c r="AB251" s="374">
        <f>COUNTIFS(B:B,B251,H:H,'סיווג התפקידים והעלויות'!$C$2)</f>
        <v>0</v>
      </c>
      <c r="AC251" s="374">
        <f>COUNTIFS(B:B,B251,H:H,'סיווג התפקידים והעלויות'!$D$2)</f>
        <v>0</v>
      </c>
      <c r="AD251" s="374" t="str">
        <f>IF(OR(AND(H251='סיווג התפקידים והעלויות'!$A$2,I251='סיווג התפקידים והעלויות'!$A$3),'עלויות כח אדם (6)'!H251='סיווג התפקידים והעלויות'!$C$2,'עלויות כח אדם (6)'!H251='סיווג התפקידים והעלויות'!$D$2),IF('עלויות כח אדם (6)'!J251&lt;75,"לא תקין","תקין"),"")</f>
        <v/>
      </c>
      <c r="AE251" s="374" t="str">
        <f t="shared" si="59"/>
        <v/>
      </c>
      <c r="AF251" s="532" t="str">
        <f t="shared" si="60"/>
        <v/>
      </c>
    </row>
    <row r="252" spans="2:32" x14ac:dyDescent="0.25">
      <c r="B252" s="695"/>
      <c r="C252" s="197" t="str">
        <f>IF(B252&lt;&gt;"",IFERROR(VLOOKUP(B:B,'מצבת והרשמה (2)'!$C$20:$N$520,2,0)," ")," ")</f>
        <v xml:space="preserve"> </v>
      </c>
      <c r="D252" s="695"/>
      <c r="E252" s="696"/>
      <c r="F252" s="696"/>
      <c r="G252" s="696"/>
      <c r="H252" s="696"/>
      <c r="I252" s="1050" t="str">
        <f t="shared" si="47"/>
        <v/>
      </c>
      <c r="J252" s="696"/>
      <c r="K252" s="697"/>
      <c r="L252" s="696"/>
      <c r="M252" s="198" t="str">
        <f t="shared" si="48"/>
        <v/>
      </c>
      <c r="N252" s="369" t="str">
        <f t="shared" si="49"/>
        <v/>
      </c>
      <c r="O252" s="183" t="str">
        <f t="shared" si="50"/>
        <v/>
      </c>
      <c r="P252" s="199" t="str">
        <f t="shared" si="51"/>
        <v/>
      </c>
      <c r="Q252" s="199" t="str">
        <f>IF(B252="","",IFERROR(IF('עלויות כח אדם (6)'!J252&gt;=VLOOKUP(I252,'סיווג התפקידים והעלויות'!$B$23:$C$32,2,0),"תקין","לא תקין"),""))</f>
        <v/>
      </c>
      <c r="R252" s="199" t="str">
        <f t="shared" si="52"/>
        <v/>
      </c>
      <c r="S252" s="199" t="str">
        <f t="shared" si="53"/>
        <v/>
      </c>
      <c r="T252" s="199" t="str">
        <f t="shared" si="61"/>
        <v/>
      </c>
      <c r="U252" s="199" t="str">
        <f t="shared" si="54"/>
        <v/>
      </c>
      <c r="V252" s="989"/>
      <c r="X252" s="374" t="str">
        <f t="shared" si="55"/>
        <v/>
      </c>
      <c r="Y252" s="375" t="str">
        <f t="shared" si="56"/>
        <v/>
      </c>
      <c r="Z252" s="374" t="str">
        <f t="shared" si="57"/>
        <v/>
      </c>
      <c r="AA252" s="374" t="b">
        <f t="shared" si="58"/>
        <v>1</v>
      </c>
      <c r="AB252" s="374">
        <f>COUNTIFS(B:B,B252,H:H,'סיווג התפקידים והעלויות'!$C$2)</f>
        <v>0</v>
      </c>
      <c r="AC252" s="374">
        <f>COUNTIFS(B:B,B252,H:H,'סיווג התפקידים והעלויות'!$D$2)</f>
        <v>0</v>
      </c>
      <c r="AD252" s="374" t="str">
        <f>IF(OR(AND(H252='סיווג התפקידים והעלויות'!$A$2,I252='סיווג התפקידים והעלויות'!$A$3),'עלויות כח אדם (6)'!H252='סיווג התפקידים והעלויות'!$C$2,'עלויות כח אדם (6)'!H252='סיווג התפקידים והעלויות'!$D$2),IF('עלויות כח אדם (6)'!J252&lt;75,"לא תקין","תקין"),"")</f>
        <v/>
      </c>
      <c r="AE252" s="374" t="str">
        <f t="shared" si="59"/>
        <v/>
      </c>
      <c r="AF252" s="532" t="str">
        <f t="shared" si="60"/>
        <v/>
      </c>
    </row>
    <row r="253" spans="2:32" x14ac:dyDescent="0.25">
      <c r="B253" s="695"/>
      <c r="C253" s="197" t="str">
        <f>IF(B253&lt;&gt;"",IFERROR(VLOOKUP(B:B,'מצבת והרשמה (2)'!$C$20:$N$520,2,0)," ")," ")</f>
        <v xml:space="preserve"> </v>
      </c>
      <c r="D253" s="695"/>
      <c r="E253" s="696"/>
      <c r="F253" s="696"/>
      <c r="G253" s="696"/>
      <c r="H253" s="696"/>
      <c r="I253" s="1050" t="str">
        <f t="shared" si="47"/>
        <v/>
      </c>
      <c r="J253" s="696"/>
      <c r="K253" s="697"/>
      <c r="L253" s="696"/>
      <c r="M253" s="198" t="str">
        <f t="shared" si="48"/>
        <v/>
      </c>
      <c r="N253" s="369" t="str">
        <f t="shared" si="49"/>
        <v/>
      </c>
      <c r="O253" s="183" t="str">
        <f t="shared" si="50"/>
        <v/>
      </c>
      <c r="P253" s="199" t="str">
        <f t="shared" si="51"/>
        <v/>
      </c>
      <c r="Q253" s="199" t="str">
        <f>IF(B253="","",IFERROR(IF('עלויות כח אדם (6)'!J253&gt;=VLOOKUP(I253,'סיווג התפקידים והעלויות'!$B$23:$C$32,2,0),"תקין","לא תקין"),""))</f>
        <v/>
      </c>
      <c r="R253" s="199" t="str">
        <f t="shared" si="52"/>
        <v/>
      </c>
      <c r="S253" s="199" t="str">
        <f t="shared" si="53"/>
        <v/>
      </c>
      <c r="T253" s="199" t="str">
        <f t="shared" si="61"/>
        <v/>
      </c>
      <c r="U253" s="199" t="str">
        <f t="shared" si="54"/>
        <v/>
      </c>
      <c r="V253" s="989"/>
      <c r="X253" s="374" t="str">
        <f t="shared" si="55"/>
        <v/>
      </c>
      <c r="Y253" s="375" t="str">
        <f t="shared" si="56"/>
        <v/>
      </c>
      <c r="Z253" s="374" t="str">
        <f t="shared" si="57"/>
        <v/>
      </c>
      <c r="AA253" s="374" t="b">
        <f t="shared" si="58"/>
        <v>1</v>
      </c>
      <c r="AB253" s="374">
        <f>COUNTIFS(B:B,B253,H:H,'סיווג התפקידים והעלויות'!$C$2)</f>
        <v>0</v>
      </c>
      <c r="AC253" s="374">
        <f>COUNTIFS(B:B,B253,H:H,'סיווג התפקידים והעלויות'!$D$2)</f>
        <v>0</v>
      </c>
      <c r="AD253" s="374" t="str">
        <f>IF(OR(AND(H253='סיווג התפקידים והעלויות'!$A$2,I253='סיווג התפקידים והעלויות'!$A$3),'עלויות כח אדם (6)'!H253='סיווג התפקידים והעלויות'!$C$2,'עלויות כח אדם (6)'!H253='סיווג התפקידים והעלויות'!$D$2),IF('עלויות כח אדם (6)'!J253&lt;75,"לא תקין","תקין"),"")</f>
        <v/>
      </c>
      <c r="AE253" s="374" t="str">
        <f t="shared" si="59"/>
        <v/>
      </c>
      <c r="AF253" s="532" t="str">
        <f t="shared" si="60"/>
        <v/>
      </c>
    </row>
    <row r="254" spans="2:32" x14ac:dyDescent="0.25">
      <c r="B254" s="695"/>
      <c r="C254" s="197" t="str">
        <f>IF(B254&lt;&gt;"",IFERROR(VLOOKUP(B:B,'מצבת והרשמה (2)'!$C$20:$N$520,2,0)," ")," ")</f>
        <v xml:space="preserve"> </v>
      </c>
      <c r="D254" s="695"/>
      <c r="E254" s="696"/>
      <c r="F254" s="696"/>
      <c r="G254" s="696"/>
      <c r="H254" s="696"/>
      <c r="I254" s="1050" t="str">
        <f t="shared" si="47"/>
        <v/>
      </c>
      <c r="J254" s="696"/>
      <c r="K254" s="697"/>
      <c r="L254" s="696"/>
      <c r="M254" s="198" t="str">
        <f t="shared" si="48"/>
        <v/>
      </c>
      <c r="N254" s="369" t="str">
        <f t="shared" si="49"/>
        <v/>
      </c>
      <c r="O254" s="183" t="str">
        <f t="shared" si="50"/>
        <v/>
      </c>
      <c r="P254" s="199" t="str">
        <f t="shared" si="51"/>
        <v/>
      </c>
      <c r="Q254" s="199" t="str">
        <f>IF(B254="","",IFERROR(IF('עלויות כח אדם (6)'!J254&gt;=VLOOKUP(I254,'סיווג התפקידים והעלויות'!$B$23:$C$32,2,0),"תקין","לא תקין"),""))</f>
        <v/>
      </c>
      <c r="R254" s="199" t="str">
        <f t="shared" si="52"/>
        <v/>
      </c>
      <c r="S254" s="199" t="str">
        <f t="shared" si="53"/>
        <v/>
      </c>
      <c r="T254" s="199" t="str">
        <f t="shared" si="61"/>
        <v/>
      </c>
      <c r="U254" s="199" t="str">
        <f t="shared" si="54"/>
        <v/>
      </c>
      <c r="V254" s="989"/>
      <c r="X254" s="374" t="str">
        <f t="shared" si="55"/>
        <v/>
      </c>
      <c r="Y254" s="375" t="str">
        <f t="shared" si="56"/>
        <v/>
      </c>
      <c r="Z254" s="374" t="str">
        <f t="shared" si="57"/>
        <v/>
      </c>
      <c r="AA254" s="374" t="b">
        <f t="shared" si="58"/>
        <v>1</v>
      </c>
      <c r="AB254" s="374">
        <f>COUNTIFS(B:B,B254,H:H,'סיווג התפקידים והעלויות'!$C$2)</f>
        <v>0</v>
      </c>
      <c r="AC254" s="374">
        <f>COUNTIFS(B:B,B254,H:H,'סיווג התפקידים והעלויות'!$D$2)</f>
        <v>0</v>
      </c>
      <c r="AD254" s="374" t="str">
        <f>IF(OR(AND(H254='סיווג התפקידים והעלויות'!$A$2,I254='סיווג התפקידים והעלויות'!$A$3),'עלויות כח אדם (6)'!H254='סיווג התפקידים והעלויות'!$C$2,'עלויות כח אדם (6)'!H254='סיווג התפקידים והעלויות'!$D$2),IF('עלויות כח אדם (6)'!J254&lt;75,"לא תקין","תקין"),"")</f>
        <v/>
      </c>
      <c r="AE254" s="374" t="str">
        <f t="shared" si="59"/>
        <v/>
      </c>
      <c r="AF254" s="532" t="str">
        <f t="shared" si="60"/>
        <v/>
      </c>
    </row>
    <row r="255" spans="2:32" x14ac:dyDescent="0.25">
      <c r="B255" s="695"/>
      <c r="C255" s="197" t="str">
        <f>IF(B255&lt;&gt;"",IFERROR(VLOOKUP(B:B,'מצבת והרשמה (2)'!$C$20:$N$520,2,0)," ")," ")</f>
        <v xml:space="preserve"> </v>
      </c>
      <c r="D255" s="695"/>
      <c r="E255" s="696"/>
      <c r="F255" s="696"/>
      <c r="G255" s="696"/>
      <c r="H255" s="696"/>
      <c r="I255" s="1050" t="str">
        <f t="shared" si="47"/>
        <v/>
      </c>
      <c r="J255" s="696"/>
      <c r="K255" s="697"/>
      <c r="L255" s="696"/>
      <c r="M255" s="198" t="str">
        <f t="shared" si="48"/>
        <v/>
      </c>
      <c r="N255" s="369" t="str">
        <f t="shared" si="49"/>
        <v/>
      </c>
      <c r="O255" s="183" t="str">
        <f t="shared" si="50"/>
        <v/>
      </c>
      <c r="P255" s="199" t="str">
        <f t="shared" si="51"/>
        <v/>
      </c>
      <c r="Q255" s="199" t="str">
        <f>IF(B255="","",IFERROR(IF('עלויות כח אדם (6)'!J255&gt;=VLOOKUP(I255,'סיווג התפקידים והעלויות'!$B$23:$C$32,2,0),"תקין","לא תקין"),""))</f>
        <v/>
      </c>
      <c r="R255" s="199" t="str">
        <f t="shared" si="52"/>
        <v/>
      </c>
      <c r="S255" s="199" t="str">
        <f t="shared" si="53"/>
        <v/>
      </c>
      <c r="T255" s="199" t="str">
        <f t="shared" si="61"/>
        <v/>
      </c>
      <c r="U255" s="199" t="str">
        <f t="shared" si="54"/>
        <v/>
      </c>
      <c r="V255" s="989"/>
      <c r="X255" s="374" t="str">
        <f t="shared" si="55"/>
        <v/>
      </c>
      <c r="Y255" s="375" t="str">
        <f t="shared" si="56"/>
        <v/>
      </c>
      <c r="Z255" s="374" t="str">
        <f t="shared" si="57"/>
        <v/>
      </c>
      <c r="AA255" s="374" t="b">
        <f t="shared" si="58"/>
        <v>1</v>
      </c>
      <c r="AB255" s="374">
        <f>COUNTIFS(B:B,B255,H:H,'סיווג התפקידים והעלויות'!$C$2)</f>
        <v>0</v>
      </c>
      <c r="AC255" s="374">
        <f>COUNTIFS(B:B,B255,H:H,'סיווג התפקידים והעלויות'!$D$2)</f>
        <v>0</v>
      </c>
      <c r="AD255" s="374" t="str">
        <f>IF(OR(AND(H255='סיווג התפקידים והעלויות'!$A$2,I255='סיווג התפקידים והעלויות'!$A$3),'עלויות כח אדם (6)'!H255='סיווג התפקידים והעלויות'!$C$2,'עלויות כח אדם (6)'!H255='סיווג התפקידים והעלויות'!$D$2),IF('עלויות כח אדם (6)'!J255&lt;75,"לא תקין","תקין"),"")</f>
        <v/>
      </c>
      <c r="AE255" s="374" t="str">
        <f t="shared" si="59"/>
        <v/>
      </c>
      <c r="AF255" s="532" t="str">
        <f t="shared" si="60"/>
        <v/>
      </c>
    </row>
    <row r="256" spans="2:32" x14ac:dyDescent="0.25">
      <c r="B256" s="695"/>
      <c r="C256" s="197" t="str">
        <f>IF(B256&lt;&gt;"",IFERROR(VLOOKUP(B:B,'מצבת והרשמה (2)'!$C$20:$N$520,2,0)," ")," ")</f>
        <v xml:space="preserve"> </v>
      </c>
      <c r="D256" s="695"/>
      <c r="E256" s="696"/>
      <c r="F256" s="696"/>
      <c r="G256" s="696"/>
      <c r="H256" s="696"/>
      <c r="I256" s="1050" t="str">
        <f t="shared" si="47"/>
        <v/>
      </c>
      <c r="J256" s="696"/>
      <c r="K256" s="697"/>
      <c r="L256" s="696"/>
      <c r="M256" s="198" t="str">
        <f t="shared" si="48"/>
        <v/>
      </c>
      <c r="N256" s="369" t="str">
        <f t="shared" si="49"/>
        <v/>
      </c>
      <c r="O256" s="183" t="str">
        <f t="shared" si="50"/>
        <v/>
      </c>
      <c r="P256" s="199" t="str">
        <f t="shared" si="51"/>
        <v/>
      </c>
      <c r="Q256" s="199" t="str">
        <f>IF(B256="","",IFERROR(IF('עלויות כח אדם (6)'!J256&gt;=VLOOKUP(I256,'סיווג התפקידים והעלויות'!$B$23:$C$32,2,0),"תקין","לא תקין"),""))</f>
        <v/>
      </c>
      <c r="R256" s="199" t="str">
        <f t="shared" si="52"/>
        <v/>
      </c>
      <c r="S256" s="199" t="str">
        <f t="shared" si="53"/>
        <v/>
      </c>
      <c r="T256" s="199" t="str">
        <f t="shared" si="61"/>
        <v/>
      </c>
      <c r="U256" s="199" t="str">
        <f t="shared" si="54"/>
        <v/>
      </c>
      <c r="V256" s="989"/>
      <c r="X256" s="374" t="str">
        <f t="shared" si="55"/>
        <v/>
      </c>
      <c r="Y256" s="375" t="str">
        <f t="shared" si="56"/>
        <v/>
      </c>
      <c r="Z256" s="374" t="str">
        <f t="shared" si="57"/>
        <v/>
      </c>
      <c r="AA256" s="374" t="b">
        <f t="shared" si="58"/>
        <v>1</v>
      </c>
      <c r="AB256" s="374">
        <f>COUNTIFS(B:B,B256,H:H,'סיווג התפקידים והעלויות'!$C$2)</f>
        <v>0</v>
      </c>
      <c r="AC256" s="374">
        <f>COUNTIFS(B:B,B256,H:H,'סיווג התפקידים והעלויות'!$D$2)</f>
        <v>0</v>
      </c>
      <c r="AD256" s="374" t="str">
        <f>IF(OR(AND(H256='סיווג התפקידים והעלויות'!$A$2,I256='סיווג התפקידים והעלויות'!$A$3),'עלויות כח אדם (6)'!H256='סיווג התפקידים והעלויות'!$C$2,'עלויות כח אדם (6)'!H256='סיווג התפקידים והעלויות'!$D$2),IF('עלויות כח אדם (6)'!J256&lt;75,"לא תקין","תקין"),"")</f>
        <v/>
      </c>
      <c r="AE256" s="374" t="str">
        <f t="shared" si="59"/>
        <v/>
      </c>
      <c r="AF256" s="532" t="str">
        <f t="shared" si="60"/>
        <v/>
      </c>
    </row>
    <row r="257" spans="2:32" x14ac:dyDescent="0.25">
      <c r="B257" s="695"/>
      <c r="C257" s="197" t="str">
        <f>IF(B257&lt;&gt;"",IFERROR(VLOOKUP(B:B,'מצבת והרשמה (2)'!$C$20:$N$520,2,0)," ")," ")</f>
        <v xml:space="preserve"> </v>
      </c>
      <c r="D257" s="695"/>
      <c r="E257" s="696"/>
      <c r="F257" s="696"/>
      <c r="G257" s="696"/>
      <c r="H257" s="696"/>
      <c r="I257" s="1050" t="str">
        <f t="shared" si="47"/>
        <v/>
      </c>
      <c r="J257" s="696"/>
      <c r="K257" s="697"/>
      <c r="L257" s="696"/>
      <c r="M257" s="198" t="str">
        <f t="shared" si="48"/>
        <v/>
      </c>
      <c r="N257" s="369" t="str">
        <f t="shared" si="49"/>
        <v/>
      </c>
      <c r="O257" s="183" t="str">
        <f t="shared" si="50"/>
        <v/>
      </c>
      <c r="P257" s="199" t="str">
        <f t="shared" si="51"/>
        <v/>
      </c>
      <c r="Q257" s="199" t="str">
        <f>IF(B257="","",IFERROR(IF('עלויות כח אדם (6)'!J257&gt;=VLOOKUP(I257,'סיווג התפקידים והעלויות'!$B$23:$C$32,2,0),"תקין","לא תקין"),""))</f>
        <v/>
      </c>
      <c r="R257" s="199" t="str">
        <f t="shared" si="52"/>
        <v/>
      </c>
      <c r="S257" s="199" t="str">
        <f t="shared" si="53"/>
        <v/>
      </c>
      <c r="T257" s="199" t="str">
        <f t="shared" si="61"/>
        <v/>
      </c>
      <c r="U257" s="199" t="str">
        <f t="shared" si="54"/>
        <v/>
      </c>
      <c r="V257" s="989"/>
      <c r="X257" s="374" t="str">
        <f t="shared" si="55"/>
        <v/>
      </c>
      <c r="Y257" s="375" t="str">
        <f t="shared" si="56"/>
        <v/>
      </c>
      <c r="Z257" s="374" t="str">
        <f t="shared" si="57"/>
        <v/>
      </c>
      <c r="AA257" s="374" t="b">
        <f t="shared" si="58"/>
        <v>1</v>
      </c>
      <c r="AB257" s="374">
        <f>COUNTIFS(B:B,B257,H:H,'סיווג התפקידים והעלויות'!$C$2)</f>
        <v>0</v>
      </c>
      <c r="AC257" s="374">
        <f>COUNTIFS(B:B,B257,H:H,'סיווג התפקידים והעלויות'!$D$2)</f>
        <v>0</v>
      </c>
      <c r="AD257" s="374" t="str">
        <f>IF(OR(AND(H257='סיווג התפקידים והעלויות'!$A$2,I257='סיווג התפקידים והעלויות'!$A$3),'עלויות כח אדם (6)'!H257='סיווג התפקידים והעלויות'!$C$2,'עלויות כח אדם (6)'!H257='סיווג התפקידים והעלויות'!$D$2),IF('עלויות כח אדם (6)'!J257&lt;75,"לא תקין","תקין"),"")</f>
        <v/>
      </c>
      <c r="AE257" s="374" t="str">
        <f t="shared" si="59"/>
        <v/>
      </c>
      <c r="AF257" s="532" t="str">
        <f t="shared" si="60"/>
        <v/>
      </c>
    </row>
    <row r="258" spans="2:32" x14ac:dyDescent="0.25">
      <c r="B258" s="695"/>
      <c r="C258" s="197" t="str">
        <f>IF(B258&lt;&gt;"",IFERROR(VLOOKUP(B:B,'מצבת והרשמה (2)'!$C$20:$N$520,2,0)," ")," ")</f>
        <v xml:space="preserve"> </v>
      </c>
      <c r="D258" s="695"/>
      <c r="E258" s="696"/>
      <c r="F258" s="696"/>
      <c r="G258" s="696"/>
      <c r="H258" s="696"/>
      <c r="I258" s="1050" t="str">
        <f t="shared" si="47"/>
        <v/>
      </c>
      <c r="J258" s="696"/>
      <c r="K258" s="697"/>
      <c r="L258" s="696"/>
      <c r="M258" s="198" t="str">
        <f t="shared" si="48"/>
        <v/>
      </c>
      <c r="N258" s="369" t="str">
        <f t="shared" si="49"/>
        <v/>
      </c>
      <c r="O258" s="183" t="str">
        <f t="shared" si="50"/>
        <v/>
      </c>
      <c r="P258" s="199" t="str">
        <f t="shared" si="51"/>
        <v/>
      </c>
      <c r="Q258" s="199" t="str">
        <f>IF(B258="","",IFERROR(IF('עלויות כח אדם (6)'!J258&gt;=VLOOKUP(I258,'סיווג התפקידים והעלויות'!$B$23:$C$32,2,0),"תקין","לא תקין"),""))</f>
        <v/>
      </c>
      <c r="R258" s="199" t="str">
        <f t="shared" si="52"/>
        <v/>
      </c>
      <c r="S258" s="199" t="str">
        <f t="shared" si="53"/>
        <v/>
      </c>
      <c r="T258" s="199" t="str">
        <f t="shared" si="61"/>
        <v/>
      </c>
      <c r="U258" s="199" t="str">
        <f t="shared" si="54"/>
        <v/>
      </c>
      <c r="V258" s="989"/>
      <c r="X258" s="374" t="str">
        <f t="shared" si="55"/>
        <v/>
      </c>
      <c r="Y258" s="375" t="str">
        <f t="shared" si="56"/>
        <v/>
      </c>
      <c r="Z258" s="374" t="str">
        <f t="shared" si="57"/>
        <v/>
      </c>
      <c r="AA258" s="374" t="b">
        <f t="shared" si="58"/>
        <v>1</v>
      </c>
      <c r="AB258" s="374">
        <f>COUNTIFS(B:B,B258,H:H,'סיווג התפקידים והעלויות'!$C$2)</f>
        <v>0</v>
      </c>
      <c r="AC258" s="374">
        <f>COUNTIFS(B:B,B258,H:H,'סיווג התפקידים והעלויות'!$D$2)</f>
        <v>0</v>
      </c>
      <c r="AD258" s="374" t="str">
        <f>IF(OR(AND(H258='סיווג התפקידים והעלויות'!$A$2,I258='סיווג התפקידים והעלויות'!$A$3),'עלויות כח אדם (6)'!H258='סיווג התפקידים והעלויות'!$C$2,'עלויות כח אדם (6)'!H258='סיווג התפקידים והעלויות'!$D$2),IF('עלויות כח אדם (6)'!J258&lt;75,"לא תקין","תקין"),"")</f>
        <v/>
      </c>
      <c r="AE258" s="374" t="str">
        <f t="shared" si="59"/>
        <v/>
      </c>
      <c r="AF258" s="532" t="str">
        <f t="shared" si="60"/>
        <v/>
      </c>
    </row>
    <row r="259" spans="2:32" x14ac:dyDescent="0.25">
      <c r="B259" s="695"/>
      <c r="C259" s="197" t="str">
        <f>IF(B259&lt;&gt;"",IFERROR(VLOOKUP(B:B,'מצבת והרשמה (2)'!$C$20:$N$520,2,0)," ")," ")</f>
        <v xml:space="preserve"> </v>
      </c>
      <c r="D259" s="695"/>
      <c r="E259" s="696"/>
      <c r="F259" s="696"/>
      <c r="G259" s="696"/>
      <c r="H259" s="696"/>
      <c r="I259" s="1050" t="str">
        <f t="shared" si="47"/>
        <v/>
      </c>
      <c r="J259" s="696"/>
      <c r="K259" s="697"/>
      <c r="L259" s="696"/>
      <c r="M259" s="198" t="str">
        <f t="shared" si="48"/>
        <v/>
      </c>
      <c r="N259" s="369" t="str">
        <f t="shared" si="49"/>
        <v/>
      </c>
      <c r="O259" s="183" t="str">
        <f t="shared" si="50"/>
        <v/>
      </c>
      <c r="P259" s="199" t="str">
        <f t="shared" si="51"/>
        <v/>
      </c>
      <c r="Q259" s="199" t="str">
        <f>IF(B259="","",IFERROR(IF('עלויות כח אדם (6)'!J259&gt;=VLOOKUP(I259,'סיווג התפקידים והעלויות'!$B$23:$C$32,2,0),"תקין","לא תקין"),""))</f>
        <v/>
      </c>
      <c r="R259" s="199" t="str">
        <f t="shared" si="52"/>
        <v/>
      </c>
      <c r="S259" s="199" t="str">
        <f t="shared" si="53"/>
        <v/>
      </c>
      <c r="T259" s="199" t="str">
        <f t="shared" si="61"/>
        <v/>
      </c>
      <c r="U259" s="199" t="str">
        <f t="shared" si="54"/>
        <v/>
      </c>
      <c r="V259" s="989"/>
      <c r="X259" s="374" t="str">
        <f t="shared" si="55"/>
        <v/>
      </c>
      <c r="Y259" s="375" t="str">
        <f t="shared" si="56"/>
        <v/>
      </c>
      <c r="Z259" s="374" t="str">
        <f t="shared" si="57"/>
        <v/>
      </c>
      <c r="AA259" s="374" t="b">
        <f t="shared" si="58"/>
        <v>1</v>
      </c>
      <c r="AB259" s="374">
        <f>COUNTIFS(B:B,B259,H:H,'סיווג התפקידים והעלויות'!$C$2)</f>
        <v>0</v>
      </c>
      <c r="AC259" s="374">
        <f>COUNTIFS(B:B,B259,H:H,'סיווג התפקידים והעלויות'!$D$2)</f>
        <v>0</v>
      </c>
      <c r="AD259" s="374" t="str">
        <f>IF(OR(AND(H259='סיווג התפקידים והעלויות'!$A$2,I259='סיווג התפקידים והעלויות'!$A$3),'עלויות כח אדם (6)'!H259='סיווג התפקידים והעלויות'!$C$2,'עלויות כח אדם (6)'!H259='סיווג התפקידים והעלויות'!$D$2),IF('עלויות כח אדם (6)'!J259&lt;75,"לא תקין","תקין"),"")</f>
        <v/>
      </c>
      <c r="AE259" s="374" t="str">
        <f t="shared" si="59"/>
        <v/>
      </c>
      <c r="AF259" s="532" t="str">
        <f t="shared" si="60"/>
        <v/>
      </c>
    </row>
    <row r="260" spans="2:32" x14ac:dyDescent="0.25">
      <c r="B260" s="695"/>
      <c r="C260" s="197" t="str">
        <f>IF(B260&lt;&gt;"",IFERROR(VLOOKUP(B:B,'מצבת והרשמה (2)'!$C$20:$N$520,2,0)," ")," ")</f>
        <v xml:space="preserve"> </v>
      </c>
      <c r="D260" s="695"/>
      <c r="E260" s="696"/>
      <c r="F260" s="696"/>
      <c r="G260" s="696"/>
      <c r="H260" s="696"/>
      <c r="I260" s="1050" t="str">
        <f t="shared" si="47"/>
        <v/>
      </c>
      <c r="J260" s="696"/>
      <c r="K260" s="697"/>
      <c r="L260" s="696"/>
      <c r="M260" s="198" t="str">
        <f t="shared" si="48"/>
        <v/>
      </c>
      <c r="N260" s="369" t="str">
        <f t="shared" si="49"/>
        <v/>
      </c>
      <c r="O260" s="183" t="str">
        <f t="shared" si="50"/>
        <v/>
      </c>
      <c r="P260" s="199" t="str">
        <f t="shared" si="51"/>
        <v/>
      </c>
      <c r="Q260" s="199" t="str">
        <f>IF(B260="","",IFERROR(IF('עלויות כח אדם (6)'!J260&gt;=VLOOKUP(I260,'סיווג התפקידים והעלויות'!$B$23:$C$32,2,0),"תקין","לא תקין"),""))</f>
        <v/>
      </c>
      <c r="R260" s="199" t="str">
        <f t="shared" si="52"/>
        <v/>
      </c>
      <c r="S260" s="199" t="str">
        <f t="shared" si="53"/>
        <v/>
      </c>
      <c r="T260" s="199" t="str">
        <f t="shared" si="61"/>
        <v/>
      </c>
      <c r="U260" s="199" t="str">
        <f t="shared" si="54"/>
        <v/>
      </c>
      <c r="V260" s="989"/>
      <c r="X260" s="374" t="str">
        <f t="shared" si="55"/>
        <v/>
      </c>
      <c r="Y260" s="375" t="str">
        <f t="shared" si="56"/>
        <v/>
      </c>
      <c r="Z260" s="374" t="str">
        <f t="shared" si="57"/>
        <v/>
      </c>
      <c r="AA260" s="374" t="b">
        <f t="shared" si="58"/>
        <v>1</v>
      </c>
      <c r="AB260" s="374">
        <f>COUNTIFS(B:B,B260,H:H,'סיווג התפקידים והעלויות'!$C$2)</f>
        <v>0</v>
      </c>
      <c r="AC260" s="374">
        <f>COUNTIFS(B:B,B260,H:H,'סיווג התפקידים והעלויות'!$D$2)</f>
        <v>0</v>
      </c>
      <c r="AD260" s="374" t="str">
        <f>IF(OR(AND(H260='סיווג התפקידים והעלויות'!$A$2,I260='סיווג התפקידים והעלויות'!$A$3),'עלויות כח אדם (6)'!H260='סיווג התפקידים והעלויות'!$C$2,'עלויות כח אדם (6)'!H260='סיווג התפקידים והעלויות'!$D$2),IF('עלויות כח אדם (6)'!J260&lt;75,"לא תקין","תקין"),"")</f>
        <v/>
      </c>
      <c r="AE260" s="374" t="str">
        <f t="shared" si="59"/>
        <v/>
      </c>
      <c r="AF260" s="532" t="str">
        <f t="shared" si="60"/>
        <v/>
      </c>
    </row>
    <row r="261" spans="2:32" x14ac:dyDescent="0.25">
      <c r="B261" s="695"/>
      <c r="C261" s="197" t="str">
        <f>IF(B261&lt;&gt;"",IFERROR(VLOOKUP(B:B,'מצבת והרשמה (2)'!$C$20:$N$520,2,0)," ")," ")</f>
        <v xml:space="preserve"> </v>
      </c>
      <c r="D261" s="695"/>
      <c r="E261" s="696"/>
      <c r="F261" s="696"/>
      <c r="G261" s="696"/>
      <c r="H261" s="696"/>
      <c r="I261" s="1050" t="str">
        <f t="shared" si="47"/>
        <v/>
      </c>
      <c r="J261" s="696"/>
      <c r="K261" s="697"/>
      <c r="L261" s="696"/>
      <c r="M261" s="198" t="str">
        <f t="shared" si="48"/>
        <v/>
      </c>
      <c r="N261" s="369" t="str">
        <f t="shared" si="49"/>
        <v/>
      </c>
      <c r="O261" s="183" t="str">
        <f t="shared" si="50"/>
        <v/>
      </c>
      <c r="P261" s="199" t="str">
        <f t="shared" si="51"/>
        <v/>
      </c>
      <c r="Q261" s="199" t="str">
        <f>IF(B261="","",IFERROR(IF('עלויות כח אדם (6)'!J261&gt;=VLOOKUP(I261,'סיווג התפקידים והעלויות'!$B$23:$C$32,2,0),"תקין","לא תקין"),""))</f>
        <v/>
      </c>
      <c r="R261" s="199" t="str">
        <f t="shared" si="52"/>
        <v/>
      </c>
      <c r="S261" s="199" t="str">
        <f t="shared" si="53"/>
        <v/>
      </c>
      <c r="T261" s="199" t="str">
        <f t="shared" si="61"/>
        <v/>
      </c>
      <c r="U261" s="199" t="str">
        <f t="shared" si="54"/>
        <v/>
      </c>
      <c r="V261" s="989"/>
      <c r="X261" s="374" t="str">
        <f t="shared" si="55"/>
        <v/>
      </c>
      <c r="Y261" s="375" t="str">
        <f t="shared" si="56"/>
        <v/>
      </c>
      <c r="Z261" s="374" t="str">
        <f t="shared" si="57"/>
        <v/>
      </c>
      <c r="AA261" s="374" t="b">
        <f t="shared" si="58"/>
        <v>1</v>
      </c>
      <c r="AB261" s="374">
        <f>COUNTIFS(B:B,B261,H:H,'סיווג התפקידים והעלויות'!$C$2)</f>
        <v>0</v>
      </c>
      <c r="AC261" s="374">
        <f>COUNTIFS(B:B,B261,H:H,'סיווג התפקידים והעלויות'!$D$2)</f>
        <v>0</v>
      </c>
      <c r="AD261" s="374" t="str">
        <f>IF(OR(AND(H261='סיווג התפקידים והעלויות'!$A$2,I261='סיווג התפקידים והעלויות'!$A$3),'עלויות כח אדם (6)'!H261='סיווג התפקידים והעלויות'!$C$2,'עלויות כח אדם (6)'!H261='סיווג התפקידים והעלויות'!$D$2),IF('עלויות כח אדם (6)'!J261&lt;75,"לא תקין","תקין"),"")</f>
        <v/>
      </c>
      <c r="AE261" s="374" t="str">
        <f t="shared" si="59"/>
        <v/>
      </c>
      <c r="AF261" s="532" t="str">
        <f t="shared" si="60"/>
        <v/>
      </c>
    </row>
    <row r="262" spans="2:32" x14ac:dyDescent="0.25">
      <c r="B262" s="695"/>
      <c r="C262" s="197" t="str">
        <f>IF(B262&lt;&gt;"",IFERROR(VLOOKUP(B:B,'מצבת והרשמה (2)'!$C$20:$N$520,2,0)," ")," ")</f>
        <v xml:space="preserve"> </v>
      </c>
      <c r="D262" s="695"/>
      <c r="E262" s="696"/>
      <c r="F262" s="696"/>
      <c r="G262" s="696"/>
      <c r="H262" s="696"/>
      <c r="I262" s="1050" t="str">
        <f t="shared" si="47"/>
        <v/>
      </c>
      <c r="J262" s="696"/>
      <c r="K262" s="697"/>
      <c r="L262" s="696"/>
      <c r="M262" s="198" t="str">
        <f t="shared" si="48"/>
        <v/>
      </c>
      <c r="N262" s="369" t="str">
        <f t="shared" si="49"/>
        <v/>
      </c>
      <c r="O262" s="183" t="str">
        <f t="shared" si="50"/>
        <v/>
      </c>
      <c r="P262" s="199" t="str">
        <f t="shared" si="51"/>
        <v/>
      </c>
      <c r="Q262" s="199" t="str">
        <f>IF(B262="","",IFERROR(IF('עלויות כח אדם (6)'!J262&gt;=VLOOKUP(I262,'סיווג התפקידים והעלויות'!$B$23:$C$32,2,0),"תקין","לא תקין"),""))</f>
        <v/>
      </c>
      <c r="R262" s="199" t="str">
        <f t="shared" si="52"/>
        <v/>
      </c>
      <c r="S262" s="199" t="str">
        <f t="shared" si="53"/>
        <v/>
      </c>
      <c r="T262" s="199" t="str">
        <f t="shared" si="61"/>
        <v/>
      </c>
      <c r="U262" s="199" t="str">
        <f t="shared" si="54"/>
        <v/>
      </c>
      <c r="V262" s="989"/>
      <c r="X262" s="374" t="str">
        <f t="shared" si="55"/>
        <v/>
      </c>
      <c r="Y262" s="375" t="str">
        <f t="shared" si="56"/>
        <v/>
      </c>
      <c r="Z262" s="374" t="str">
        <f t="shared" si="57"/>
        <v/>
      </c>
      <c r="AA262" s="374" t="b">
        <f t="shared" si="58"/>
        <v>1</v>
      </c>
      <c r="AB262" s="374">
        <f>COUNTIFS(B:B,B262,H:H,'סיווג התפקידים והעלויות'!$C$2)</f>
        <v>0</v>
      </c>
      <c r="AC262" s="374">
        <f>COUNTIFS(B:B,B262,H:H,'סיווג התפקידים והעלויות'!$D$2)</f>
        <v>0</v>
      </c>
      <c r="AD262" s="374" t="str">
        <f>IF(OR(AND(H262='סיווג התפקידים והעלויות'!$A$2,I262='סיווג התפקידים והעלויות'!$A$3),'עלויות כח אדם (6)'!H262='סיווג התפקידים והעלויות'!$C$2,'עלויות כח אדם (6)'!H262='סיווג התפקידים והעלויות'!$D$2),IF('עלויות כח אדם (6)'!J262&lt;75,"לא תקין","תקין"),"")</f>
        <v/>
      </c>
      <c r="AE262" s="374" t="str">
        <f t="shared" si="59"/>
        <v/>
      </c>
      <c r="AF262" s="532" t="str">
        <f t="shared" si="60"/>
        <v/>
      </c>
    </row>
    <row r="263" spans="2:32" x14ac:dyDescent="0.25">
      <c r="B263" s="695"/>
      <c r="C263" s="197" t="str">
        <f>IF(B263&lt;&gt;"",IFERROR(VLOOKUP(B:B,'מצבת והרשמה (2)'!$C$20:$N$520,2,0)," ")," ")</f>
        <v xml:space="preserve"> </v>
      </c>
      <c r="D263" s="695"/>
      <c r="E263" s="696"/>
      <c r="F263" s="696"/>
      <c r="G263" s="696"/>
      <c r="H263" s="696"/>
      <c r="I263" s="1050" t="str">
        <f t="shared" si="47"/>
        <v/>
      </c>
      <c r="J263" s="696"/>
      <c r="K263" s="697"/>
      <c r="L263" s="696"/>
      <c r="M263" s="198" t="str">
        <f t="shared" si="48"/>
        <v/>
      </c>
      <c r="N263" s="369" t="str">
        <f t="shared" si="49"/>
        <v/>
      </c>
      <c r="O263" s="183" t="str">
        <f t="shared" si="50"/>
        <v/>
      </c>
      <c r="P263" s="199" t="str">
        <f t="shared" si="51"/>
        <v/>
      </c>
      <c r="Q263" s="199" t="str">
        <f>IF(B263="","",IFERROR(IF('עלויות כח אדם (6)'!J263&gt;=VLOOKUP(I263,'סיווג התפקידים והעלויות'!$B$23:$C$32,2,0),"תקין","לא תקין"),""))</f>
        <v/>
      </c>
      <c r="R263" s="199" t="str">
        <f t="shared" si="52"/>
        <v/>
      </c>
      <c r="S263" s="199" t="str">
        <f t="shared" si="53"/>
        <v/>
      </c>
      <c r="T263" s="199" t="str">
        <f t="shared" si="61"/>
        <v/>
      </c>
      <c r="U263" s="199" t="str">
        <f t="shared" si="54"/>
        <v/>
      </c>
      <c r="V263" s="989"/>
      <c r="X263" s="374" t="str">
        <f t="shared" si="55"/>
        <v/>
      </c>
      <c r="Y263" s="375" t="str">
        <f t="shared" si="56"/>
        <v/>
      </c>
      <c r="Z263" s="374" t="str">
        <f t="shared" si="57"/>
        <v/>
      </c>
      <c r="AA263" s="374" t="b">
        <f t="shared" si="58"/>
        <v>1</v>
      </c>
      <c r="AB263" s="374">
        <f>COUNTIFS(B:B,B263,H:H,'סיווג התפקידים והעלויות'!$C$2)</f>
        <v>0</v>
      </c>
      <c r="AC263" s="374">
        <f>COUNTIFS(B:B,B263,H:H,'סיווג התפקידים והעלויות'!$D$2)</f>
        <v>0</v>
      </c>
      <c r="AD263" s="374" t="str">
        <f>IF(OR(AND(H263='סיווג התפקידים והעלויות'!$A$2,I263='סיווג התפקידים והעלויות'!$A$3),'עלויות כח אדם (6)'!H263='סיווג התפקידים והעלויות'!$C$2,'עלויות כח אדם (6)'!H263='סיווג התפקידים והעלויות'!$D$2),IF('עלויות כח אדם (6)'!J263&lt;75,"לא תקין","תקין"),"")</f>
        <v/>
      </c>
      <c r="AE263" s="374" t="str">
        <f t="shared" si="59"/>
        <v/>
      </c>
      <c r="AF263" s="532" t="str">
        <f t="shared" si="60"/>
        <v/>
      </c>
    </row>
    <row r="264" spans="2:32" x14ac:dyDescent="0.25">
      <c r="B264" s="695"/>
      <c r="C264" s="197" t="str">
        <f>IF(B264&lt;&gt;"",IFERROR(VLOOKUP(B:B,'מצבת והרשמה (2)'!$C$20:$N$520,2,0)," ")," ")</f>
        <v xml:space="preserve"> </v>
      </c>
      <c r="D264" s="695"/>
      <c r="E264" s="696"/>
      <c r="F264" s="696"/>
      <c r="G264" s="696"/>
      <c r="H264" s="696"/>
      <c r="I264" s="1050" t="str">
        <f t="shared" si="47"/>
        <v/>
      </c>
      <c r="J264" s="696"/>
      <c r="K264" s="697"/>
      <c r="L264" s="696"/>
      <c r="M264" s="198" t="str">
        <f t="shared" si="48"/>
        <v/>
      </c>
      <c r="N264" s="369" t="str">
        <f t="shared" si="49"/>
        <v/>
      </c>
      <c r="O264" s="183" t="str">
        <f t="shared" si="50"/>
        <v/>
      </c>
      <c r="P264" s="199" t="str">
        <f t="shared" si="51"/>
        <v/>
      </c>
      <c r="Q264" s="199" t="str">
        <f>IF(B264="","",IFERROR(IF('עלויות כח אדם (6)'!J264&gt;=VLOOKUP(I264,'סיווג התפקידים והעלויות'!$B$23:$C$32,2,0),"תקין","לא תקין"),""))</f>
        <v/>
      </c>
      <c r="R264" s="199" t="str">
        <f t="shared" si="52"/>
        <v/>
      </c>
      <c r="S264" s="199" t="str">
        <f t="shared" si="53"/>
        <v/>
      </c>
      <c r="T264" s="199" t="str">
        <f t="shared" si="61"/>
        <v/>
      </c>
      <c r="U264" s="199" t="str">
        <f t="shared" si="54"/>
        <v/>
      </c>
      <c r="V264" s="989"/>
      <c r="X264" s="374" t="str">
        <f t="shared" si="55"/>
        <v/>
      </c>
      <c r="Y264" s="375" t="str">
        <f t="shared" si="56"/>
        <v/>
      </c>
      <c r="Z264" s="374" t="str">
        <f t="shared" si="57"/>
        <v/>
      </c>
      <c r="AA264" s="374" t="b">
        <f t="shared" si="58"/>
        <v>1</v>
      </c>
      <c r="AB264" s="374">
        <f>COUNTIFS(B:B,B264,H:H,'סיווג התפקידים והעלויות'!$C$2)</f>
        <v>0</v>
      </c>
      <c r="AC264" s="374">
        <f>COUNTIFS(B:B,B264,H:H,'סיווג התפקידים והעלויות'!$D$2)</f>
        <v>0</v>
      </c>
      <c r="AD264" s="374" t="str">
        <f>IF(OR(AND(H264='סיווג התפקידים והעלויות'!$A$2,I264='סיווג התפקידים והעלויות'!$A$3),'עלויות כח אדם (6)'!H264='סיווג התפקידים והעלויות'!$C$2,'עלויות כח אדם (6)'!H264='סיווג התפקידים והעלויות'!$D$2),IF('עלויות כח אדם (6)'!J264&lt;75,"לא תקין","תקין"),"")</f>
        <v/>
      </c>
      <c r="AE264" s="374" t="str">
        <f t="shared" si="59"/>
        <v/>
      </c>
      <c r="AF264" s="532" t="str">
        <f t="shared" si="60"/>
        <v/>
      </c>
    </row>
    <row r="265" spans="2:32" x14ac:dyDescent="0.25">
      <c r="B265" s="695"/>
      <c r="C265" s="197" t="str">
        <f>IF(B265&lt;&gt;"",IFERROR(VLOOKUP(B:B,'מצבת והרשמה (2)'!$C$20:$N$520,2,0)," ")," ")</f>
        <v xml:space="preserve"> </v>
      </c>
      <c r="D265" s="695"/>
      <c r="E265" s="696"/>
      <c r="F265" s="696"/>
      <c r="G265" s="696"/>
      <c r="H265" s="696"/>
      <c r="I265" s="1050" t="str">
        <f t="shared" si="47"/>
        <v/>
      </c>
      <c r="J265" s="696"/>
      <c r="K265" s="697"/>
      <c r="L265" s="696"/>
      <c r="M265" s="198" t="str">
        <f t="shared" si="48"/>
        <v/>
      </c>
      <c r="N265" s="369" t="str">
        <f t="shared" si="49"/>
        <v/>
      </c>
      <c r="O265" s="183" t="str">
        <f t="shared" si="50"/>
        <v/>
      </c>
      <c r="P265" s="199" t="str">
        <f t="shared" si="51"/>
        <v/>
      </c>
      <c r="Q265" s="199" t="str">
        <f>IF(B265="","",IFERROR(IF('עלויות כח אדם (6)'!J265&gt;=VLOOKUP(I265,'סיווג התפקידים והעלויות'!$B$23:$C$32,2,0),"תקין","לא תקין"),""))</f>
        <v/>
      </c>
      <c r="R265" s="199" t="str">
        <f t="shared" si="52"/>
        <v/>
      </c>
      <c r="S265" s="199" t="str">
        <f t="shared" si="53"/>
        <v/>
      </c>
      <c r="T265" s="199" t="str">
        <f t="shared" si="61"/>
        <v/>
      </c>
      <c r="U265" s="199" t="str">
        <f t="shared" si="54"/>
        <v/>
      </c>
      <c r="V265" s="989"/>
      <c r="X265" s="374" t="str">
        <f t="shared" si="55"/>
        <v/>
      </c>
      <c r="Y265" s="375" t="str">
        <f t="shared" si="56"/>
        <v/>
      </c>
      <c r="Z265" s="374" t="str">
        <f t="shared" si="57"/>
        <v/>
      </c>
      <c r="AA265" s="374" t="b">
        <f t="shared" si="58"/>
        <v>1</v>
      </c>
      <c r="AB265" s="374">
        <f>COUNTIFS(B:B,B265,H:H,'סיווג התפקידים והעלויות'!$C$2)</f>
        <v>0</v>
      </c>
      <c r="AC265" s="374">
        <f>COUNTIFS(B:B,B265,H:H,'סיווג התפקידים והעלויות'!$D$2)</f>
        <v>0</v>
      </c>
      <c r="AD265" s="374" t="str">
        <f>IF(OR(AND(H265='סיווג התפקידים והעלויות'!$A$2,I265='סיווג התפקידים והעלויות'!$A$3),'עלויות כח אדם (6)'!H265='סיווג התפקידים והעלויות'!$C$2,'עלויות כח אדם (6)'!H265='סיווג התפקידים והעלויות'!$D$2),IF('עלויות כח אדם (6)'!J265&lt;75,"לא תקין","תקין"),"")</f>
        <v/>
      </c>
      <c r="AE265" s="374" t="str">
        <f t="shared" si="59"/>
        <v/>
      </c>
      <c r="AF265" s="532" t="str">
        <f t="shared" si="60"/>
        <v/>
      </c>
    </row>
    <row r="266" spans="2:32" x14ac:dyDescent="0.25">
      <c r="B266" s="695"/>
      <c r="C266" s="197" t="str">
        <f>IF(B266&lt;&gt;"",IFERROR(VLOOKUP(B:B,'מצבת והרשמה (2)'!$C$20:$N$520,2,0)," ")," ")</f>
        <v xml:space="preserve"> </v>
      </c>
      <c r="D266" s="695"/>
      <c r="E266" s="696"/>
      <c r="F266" s="696"/>
      <c r="G266" s="696"/>
      <c r="H266" s="696"/>
      <c r="I266" s="1050" t="str">
        <f t="shared" si="47"/>
        <v/>
      </c>
      <c r="J266" s="696"/>
      <c r="K266" s="697"/>
      <c r="L266" s="696"/>
      <c r="M266" s="198" t="str">
        <f t="shared" si="48"/>
        <v/>
      </c>
      <c r="N266" s="369" t="str">
        <f t="shared" si="49"/>
        <v/>
      </c>
      <c r="O266" s="183" t="str">
        <f t="shared" si="50"/>
        <v/>
      </c>
      <c r="P266" s="199" t="str">
        <f t="shared" si="51"/>
        <v/>
      </c>
      <c r="Q266" s="199" t="str">
        <f>IF(B266="","",IFERROR(IF('עלויות כח אדם (6)'!J266&gt;=VLOOKUP(I266,'סיווג התפקידים והעלויות'!$B$23:$C$32,2,0),"תקין","לא תקין"),""))</f>
        <v/>
      </c>
      <c r="R266" s="199" t="str">
        <f t="shared" si="52"/>
        <v/>
      </c>
      <c r="S266" s="199" t="str">
        <f t="shared" si="53"/>
        <v/>
      </c>
      <c r="T266" s="199" t="str">
        <f t="shared" si="61"/>
        <v/>
      </c>
      <c r="U266" s="199" t="str">
        <f t="shared" si="54"/>
        <v/>
      </c>
      <c r="V266" s="989"/>
      <c r="X266" s="374" t="str">
        <f t="shared" si="55"/>
        <v/>
      </c>
      <c r="Y266" s="375" t="str">
        <f t="shared" si="56"/>
        <v/>
      </c>
      <c r="Z266" s="374" t="str">
        <f t="shared" si="57"/>
        <v/>
      </c>
      <c r="AA266" s="374" t="b">
        <f t="shared" si="58"/>
        <v>1</v>
      </c>
      <c r="AB266" s="374">
        <f>COUNTIFS(B:B,B266,H:H,'סיווג התפקידים והעלויות'!$C$2)</f>
        <v>0</v>
      </c>
      <c r="AC266" s="374">
        <f>COUNTIFS(B:B,B266,H:H,'סיווג התפקידים והעלויות'!$D$2)</f>
        <v>0</v>
      </c>
      <c r="AD266" s="374" t="str">
        <f>IF(OR(AND(H266='סיווג התפקידים והעלויות'!$A$2,I266='סיווג התפקידים והעלויות'!$A$3),'עלויות כח אדם (6)'!H266='סיווג התפקידים והעלויות'!$C$2,'עלויות כח אדם (6)'!H266='סיווג התפקידים והעלויות'!$D$2),IF('עלויות כח אדם (6)'!J266&lt;75,"לא תקין","תקין"),"")</f>
        <v/>
      </c>
      <c r="AE266" s="374" t="str">
        <f t="shared" si="59"/>
        <v/>
      </c>
      <c r="AF266" s="532" t="str">
        <f t="shared" si="60"/>
        <v/>
      </c>
    </row>
    <row r="267" spans="2:32" x14ac:dyDescent="0.25">
      <c r="B267" s="695"/>
      <c r="C267" s="197" t="str">
        <f>IF(B267&lt;&gt;"",IFERROR(VLOOKUP(B:B,'מצבת והרשמה (2)'!$C$20:$N$520,2,0)," ")," ")</f>
        <v xml:space="preserve"> </v>
      </c>
      <c r="D267" s="695"/>
      <c r="E267" s="696"/>
      <c r="F267" s="696"/>
      <c r="G267" s="696"/>
      <c r="H267" s="696"/>
      <c r="I267" s="1050" t="str">
        <f t="shared" si="47"/>
        <v/>
      </c>
      <c r="J267" s="696"/>
      <c r="K267" s="697"/>
      <c r="L267" s="696"/>
      <c r="M267" s="198" t="str">
        <f t="shared" si="48"/>
        <v/>
      </c>
      <c r="N267" s="369" t="str">
        <f t="shared" si="49"/>
        <v/>
      </c>
      <c r="O267" s="183" t="str">
        <f t="shared" si="50"/>
        <v/>
      </c>
      <c r="P267" s="199" t="str">
        <f t="shared" si="51"/>
        <v/>
      </c>
      <c r="Q267" s="199" t="str">
        <f>IF(B267="","",IFERROR(IF('עלויות כח אדם (6)'!J267&gt;=VLOOKUP(I267,'סיווג התפקידים והעלויות'!$B$23:$C$32,2,0),"תקין","לא תקין"),""))</f>
        <v/>
      </c>
      <c r="R267" s="199" t="str">
        <f t="shared" si="52"/>
        <v/>
      </c>
      <c r="S267" s="199" t="str">
        <f t="shared" si="53"/>
        <v/>
      </c>
      <c r="T267" s="199" t="str">
        <f t="shared" si="61"/>
        <v/>
      </c>
      <c r="U267" s="199" t="str">
        <f t="shared" si="54"/>
        <v/>
      </c>
      <c r="V267" s="989"/>
      <c r="X267" s="374" t="str">
        <f t="shared" si="55"/>
        <v/>
      </c>
      <c r="Y267" s="375" t="str">
        <f t="shared" si="56"/>
        <v/>
      </c>
      <c r="Z267" s="374" t="str">
        <f t="shared" si="57"/>
        <v/>
      </c>
      <c r="AA267" s="374" t="b">
        <f t="shared" si="58"/>
        <v>1</v>
      </c>
      <c r="AB267" s="374">
        <f>COUNTIFS(B:B,B267,H:H,'סיווג התפקידים והעלויות'!$C$2)</f>
        <v>0</v>
      </c>
      <c r="AC267" s="374">
        <f>COUNTIFS(B:B,B267,H:H,'סיווג התפקידים והעלויות'!$D$2)</f>
        <v>0</v>
      </c>
      <c r="AD267" s="374" t="str">
        <f>IF(OR(AND(H267='סיווג התפקידים והעלויות'!$A$2,I267='סיווג התפקידים והעלויות'!$A$3),'עלויות כח אדם (6)'!H267='סיווג התפקידים והעלויות'!$C$2,'עלויות כח אדם (6)'!H267='סיווג התפקידים והעלויות'!$D$2),IF('עלויות כח אדם (6)'!J267&lt;75,"לא תקין","תקין"),"")</f>
        <v/>
      </c>
      <c r="AE267" s="374" t="str">
        <f t="shared" si="59"/>
        <v/>
      </c>
      <c r="AF267" s="532" t="str">
        <f t="shared" si="60"/>
        <v/>
      </c>
    </row>
    <row r="268" spans="2:32" x14ac:dyDescent="0.25">
      <c r="B268" s="695"/>
      <c r="C268" s="197" t="str">
        <f>IF(B268&lt;&gt;"",IFERROR(VLOOKUP(B:B,'מצבת והרשמה (2)'!$C$20:$N$520,2,0)," ")," ")</f>
        <v xml:space="preserve"> </v>
      </c>
      <c r="D268" s="695"/>
      <c r="E268" s="696"/>
      <c r="F268" s="696"/>
      <c r="G268" s="696"/>
      <c r="H268" s="696"/>
      <c r="I268" s="1050" t="str">
        <f t="shared" si="47"/>
        <v/>
      </c>
      <c r="J268" s="696"/>
      <c r="K268" s="697"/>
      <c r="L268" s="696"/>
      <c r="M268" s="198" t="str">
        <f t="shared" si="48"/>
        <v/>
      </c>
      <c r="N268" s="369" t="str">
        <f t="shared" si="49"/>
        <v/>
      </c>
      <c r="O268" s="183" t="str">
        <f t="shared" si="50"/>
        <v/>
      </c>
      <c r="P268" s="199" t="str">
        <f t="shared" si="51"/>
        <v/>
      </c>
      <c r="Q268" s="199" t="str">
        <f>IF(B268="","",IFERROR(IF('עלויות כח אדם (6)'!J268&gt;=VLOOKUP(I268,'סיווג התפקידים והעלויות'!$B$23:$C$32,2,0),"תקין","לא תקין"),""))</f>
        <v/>
      </c>
      <c r="R268" s="199" t="str">
        <f t="shared" si="52"/>
        <v/>
      </c>
      <c r="S268" s="199" t="str">
        <f t="shared" si="53"/>
        <v/>
      </c>
      <c r="T268" s="199" t="str">
        <f t="shared" si="61"/>
        <v/>
      </c>
      <c r="U268" s="199" t="str">
        <f t="shared" si="54"/>
        <v/>
      </c>
      <c r="V268" s="989"/>
      <c r="X268" s="374" t="str">
        <f t="shared" si="55"/>
        <v/>
      </c>
      <c r="Y268" s="375" t="str">
        <f t="shared" si="56"/>
        <v/>
      </c>
      <c r="Z268" s="374" t="str">
        <f t="shared" si="57"/>
        <v/>
      </c>
      <c r="AA268" s="374" t="b">
        <f t="shared" si="58"/>
        <v>1</v>
      </c>
      <c r="AB268" s="374">
        <f>COUNTIFS(B:B,B268,H:H,'סיווג התפקידים והעלויות'!$C$2)</f>
        <v>0</v>
      </c>
      <c r="AC268" s="374">
        <f>COUNTIFS(B:B,B268,H:H,'סיווג התפקידים והעלויות'!$D$2)</f>
        <v>0</v>
      </c>
      <c r="AD268" s="374" t="str">
        <f>IF(OR(AND(H268='סיווג התפקידים והעלויות'!$A$2,I268='סיווג התפקידים והעלויות'!$A$3),'עלויות כח אדם (6)'!H268='סיווג התפקידים והעלויות'!$C$2,'עלויות כח אדם (6)'!H268='סיווג התפקידים והעלויות'!$D$2),IF('עלויות כח אדם (6)'!J268&lt;75,"לא תקין","תקין"),"")</f>
        <v/>
      </c>
      <c r="AE268" s="374" t="str">
        <f t="shared" si="59"/>
        <v/>
      </c>
      <c r="AF268" s="532" t="str">
        <f t="shared" si="60"/>
        <v/>
      </c>
    </row>
    <row r="269" spans="2:32" x14ac:dyDescent="0.25">
      <c r="B269" s="695"/>
      <c r="C269" s="197" t="str">
        <f>IF(B269&lt;&gt;"",IFERROR(VLOOKUP(B:B,'מצבת והרשמה (2)'!$C$20:$N$520,2,0)," ")," ")</f>
        <v xml:space="preserve"> </v>
      </c>
      <c r="D269" s="695"/>
      <c r="E269" s="696"/>
      <c r="F269" s="696"/>
      <c r="G269" s="696"/>
      <c r="H269" s="696"/>
      <c r="I269" s="1050" t="str">
        <f t="shared" si="47"/>
        <v/>
      </c>
      <c r="J269" s="696"/>
      <c r="K269" s="697"/>
      <c r="L269" s="696"/>
      <c r="M269" s="198" t="str">
        <f t="shared" si="48"/>
        <v/>
      </c>
      <c r="N269" s="369" t="str">
        <f t="shared" si="49"/>
        <v/>
      </c>
      <c r="O269" s="183" t="str">
        <f t="shared" si="50"/>
        <v/>
      </c>
      <c r="P269" s="199" t="str">
        <f t="shared" si="51"/>
        <v/>
      </c>
      <c r="Q269" s="199" t="str">
        <f>IF(B269="","",IFERROR(IF('עלויות כח אדם (6)'!J269&gt;=VLOOKUP(I269,'סיווג התפקידים והעלויות'!$B$23:$C$32,2,0),"תקין","לא תקין"),""))</f>
        <v/>
      </c>
      <c r="R269" s="199" t="str">
        <f t="shared" si="52"/>
        <v/>
      </c>
      <c r="S269" s="199" t="str">
        <f t="shared" si="53"/>
        <v/>
      </c>
      <c r="T269" s="199" t="str">
        <f t="shared" si="61"/>
        <v/>
      </c>
      <c r="U269" s="199" t="str">
        <f t="shared" si="54"/>
        <v/>
      </c>
      <c r="V269" s="989"/>
      <c r="X269" s="374" t="str">
        <f t="shared" si="55"/>
        <v/>
      </c>
      <c r="Y269" s="375" t="str">
        <f t="shared" si="56"/>
        <v/>
      </c>
      <c r="Z269" s="374" t="str">
        <f t="shared" si="57"/>
        <v/>
      </c>
      <c r="AA269" s="374" t="b">
        <f t="shared" si="58"/>
        <v>1</v>
      </c>
      <c r="AB269" s="374">
        <f>COUNTIFS(B:B,B269,H:H,'סיווג התפקידים והעלויות'!$C$2)</f>
        <v>0</v>
      </c>
      <c r="AC269" s="374">
        <f>COUNTIFS(B:B,B269,H:H,'סיווג התפקידים והעלויות'!$D$2)</f>
        <v>0</v>
      </c>
      <c r="AD269" s="374" t="str">
        <f>IF(OR(AND(H269='סיווג התפקידים והעלויות'!$A$2,I269='סיווג התפקידים והעלויות'!$A$3),'עלויות כח אדם (6)'!H269='סיווג התפקידים והעלויות'!$C$2,'עלויות כח אדם (6)'!H269='סיווג התפקידים והעלויות'!$D$2),IF('עלויות כח אדם (6)'!J269&lt;75,"לא תקין","תקין"),"")</f>
        <v/>
      </c>
      <c r="AE269" s="374" t="str">
        <f t="shared" si="59"/>
        <v/>
      </c>
      <c r="AF269" s="532" t="str">
        <f t="shared" si="60"/>
        <v/>
      </c>
    </row>
    <row r="270" spans="2:32" x14ac:dyDescent="0.25">
      <c r="B270" s="695"/>
      <c r="C270" s="197" t="str">
        <f>IF(B270&lt;&gt;"",IFERROR(VLOOKUP(B:B,'מצבת והרשמה (2)'!$C$20:$N$520,2,0)," ")," ")</f>
        <v xml:space="preserve"> </v>
      </c>
      <c r="D270" s="695"/>
      <c r="E270" s="696"/>
      <c r="F270" s="696"/>
      <c r="G270" s="696"/>
      <c r="H270" s="696"/>
      <c r="I270" s="1050" t="str">
        <f t="shared" si="47"/>
        <v/>
      </c>
      <c r="J270" s="696"/>
      <c r="K270" s="697"/>
      <c r="L270" s="696"/>
      <c r="M270" s="198" t="str">
        <f t="shared" si="48"/>
        <v/>
      </c>
      <c r="N270" s="369" t="str">
        <f t="shared" si="49"/>
        <v/>
      </c>
      <c r="O270" s="183" t="str">
        <f t="shared" si="50"/>
        <v/>
      </c>
      <c r="P270" s="199" t="str">
        <f t="shared" si="51"/>
        <v/>
      </c>
      <c r="Q270" s="199" t="str">
        <f>IF(B270="","",IFERROR(IF('עלויות כח אדם (6)'!J270&gt;=VLOOKUP(I270,'סיווג התפקידים והעלויות'!$B$23:$C$32,2,0),"תקין","לא תקין"),""))</f>
        <v/>
      </c>
      <c r="R270" s="199" t="str">
        <f t="shared" si="52"/>
        <v/>
      </c>
      <c r="S270" s="199" t="str">
        <f t="shared" si="53"/>
        <v/>
      </c>
      <c r="T270" s="199" t="str">
        <f t="shared" si="61"/>
        <v/>
      </c>
      <c r="U270" s="199" t="str">
        <f t="shared" si="54"/>
        <v/>
      </c>
      <c r="V270" s="989"/>
      <c r="X270" s="374" t="str">
        <f t="shared" si="55"/>
        <v/>
      </c>
      <c r="Y270" s="375" t="str">
        <f t="shared" si="56"/>
        <v/>
      </c>
      <c r="Z270" s="374" t="str">
        <f t="shared" si="57"/>
        <v/>
      </c>
      <c r="AA270" s="374" t="b">
        <f t="shared" si="58"/>
        <v>1</v>
      </c>
      <c r="AB270" s="374">
        <f>COUNTIFS(B:B,B270,H:H,'סיווג התפקידים והעלויות'!$C$2)</f>
        <v>0</v>
      </c>
      <c r="AC270" s="374">
        <f>COUNTIFS(B:B,B270,H:H,'סיווג התפקידים והעלויות'!$D$2)</f>
        <v>0</v>
      </c>
      <c r="AD270" s="374" t="str">
        <f>IF(OR(AND(H270='סיווג התפקידים והעלויות'!$A$2,I270='סיווג התפקידים והעלויות'!$A$3),'עלויות כח אדם (6)'!H270='סיווג התפקידים והעלויות'!$C$2,'עלויות כח אדם (6)'!H270='סיווג התפקידים והעלויות'!$D$2),IF('עלויות כח אדם (6)'!J270&lt;75,"לא תקין","תקין"),"")</f>
        <v/>
      </c>
      <c r="AE270" s="374" t="str">
        <f t="shared" si="59"/>
        <v/>
      </c>
      <c r="AF270" s="532" t="str">
        <f t="shared" si="60"/>
        <v/>
      </c>
    </row>
    <row r="271" spans="2:32" x14ac:dyDescent="0.25">
      <c r="B271" s="695"/>
      <c r="C271" s="197" t="str">
        <f>IF(B271&lt;&gt;"",IFERROR(VLOOKUP(B:B,'מצבת והרשמה (2)'!$C$20:$N$520,2,0)," ")," ")</f>
        <v xml:space="preserve"> </v>
      </c>
      <c r="D271" s="695"/>
      <c r="E271" s="696"/>
      <c r="F271" s="696"/>
      <c r="G271" s="696"/>
      <c r="H271" s="696"/>
      <c r="I271" s="1050" t="str">
        <f t="shared" ref="I271:I334" si="62">SUBSTITUTE(IFERROR(IF(H271="מדצ","מדצ/ית",IF(H271="סגנית רכזת מעל 150","סגנ/ית רכז/ת&gt;150",IF(H271="רכזת תכנית בבית הספר","רכז/ת תכנית בבית הספר"))),""),"FALSE","")</f>
        <v/>
      </c>
      <c r="J271" s="696"/>
      <c r="K271" s="697"/>
      <c r="L271" s="696"/>
      <c r="M271" s="198" t="str">
        <f t="shared" ref="M271:M334" si="63">IF(AND(L271&gt;0,K271&gt;0),K271*L271,"")</f>
        <v/>
      </c>
      <c r="N271" s="369" t="str">
        <f t="shared" ref="N271:N334" si="64">TEXT(LEFT(H271,2),0)</f>
        <v/>
      </c>
      <c r="O271" s="183" t="str">
        <f t="shared" ref="O271:O334" si="65">IF(ISNUMBER(M271&gt;0),IF(ISBLANK(B271),"יש להזין סמל מוסד בעמודה B",""),"")</f>
        <v/>
      </c>
      <c r="P271" s="199" t="str">
        <f t="shared" ref="P271:P334" si="66">IF(B271="","",IF(AA271=FALSE,"לא תקין","תקין"))</f>
        <v/>
      </c>
      <c r="Q271" s="199" t="str">
        <f>IF(B271="","",IFERROR(IF('עלויות כח אדם (6)'!J271&gt;=VLOOKUP(I271,'סיווג התפקידים והעלויות'!$B$23:$C$32,2,0),"תקין","לא תקין"),""))</f>
        <v/>
      </c>
      <c r="R271" s="199" t="str">
        <f t="shared" ref="R271:R334" si="67">IF(B271="","",IF(OR(Y271&lt;100%,Y271&gt;140%),"לא תקין","תקין"))</f>
        <v/>
      </c>
      <c r="S271" s="199" t="str">
        <f t="shared" ref="S271:S334" si="68">IF(B271="","",IFERROR(IF(J271&gt;120,"לא תקין","תקין"),""))</f>
        <v/>
      </c>
      <c r="T271" s="199" t="str">
        <f t="shared" si="61"/>
        <v/>
      </c>
      <c r="U271" s="199" t="str">
        <f t="shared" ref="U271:U334" si="69">IF(B271="","",IF(Z271&gt;1,IF(SUMIF(D:D,D271,L:L)&gt;90,"לא תקין","תקין"),"תקין"))</f>
        <v/>
      </c>
      <c r="V271" s="989"/>
      <c r="X271" s="374" t="str">
        <f t="shared" ref="X271:X334" si="70">IF(B271="","",IF(OR(R271="לא תקין",S271="לא תקין",T271="לא תקין",,U271="לא תקין"),"לא תקין","תקין"))</f>
        <v/>
      </c>
      <c r="Y271" s="375" t="str">
        <f t="shared" ref="Y271:Y334" si="71">IFERROR(IF(B271="","",K271/J271),"")</f>
        <v/>
      </c>
      <c r="Z271" s="374" t="str">
        <f t="shared" ref="Z271:Z334" si="72">IF(B271="","",COUNTIF(D:D,D271))</f>
        <v/>
      </c>
      <c r="AA271" s="374" t="b">
        <f t="shared" ref="AA271:AA334" si="73">MOD(MID(REPT(0,9-LEN(D271))&amp;D271,1,1)+MID("0246813579",MID(REPT(0,9-LEN(D271))&amp;D271,2,1)+1,1)+MID(REPT(0,9-LEN(D271))&amp;D271,3,1)+MID("0246813579",MID(REPT(0,9-LEN(D271))&amp;D271,4,1)+1,1)+MID(REPT(0,9-LEN(D271))&amp;D271,5,1)+MID("0246813579",MID(REPT(0,9-LEN(D271))&amp;D271,6,1)+1,1)+MID(REPT(0,9-LEN(D271))&amp;D271,7,1)+MID("0246813579",MID(REPT(0,9-LEN(D271))&amp;D271,8,1)+1,1)+MID(REPT(0,9-LEN(D271))&amp;D271,9,1),10)=0</f>
        <v>1</v>
      </c>
      <c r="AB271" s="374">
        <f>COUNTIFS(B:B,B271,H:H,'סיווג התפקידים והעלויות'!$C$2)</f>
        <v>0</v>
      </c>
      <c r="AC271" s="374">
        <f>COUNTIFS(B:B,B271,H:H,'סיווג התפקידים והעלויות'!$D$2)</f>
        <v>0</v>
      </c>
      <c r="AD271" s="374" t="str">
        <f>IF(OR(AND(H271='סיווג התפקידים והעלויות'!$A$2,I271='סיווג התפקידים והעלויות'!$A$3),'עלויות כח אדם (6)'!H271='סיווג התפקידים והעלויות'!$C$2,'עלויות כח אדם (6)'!H271='סיווג התפקידים והעלויות'!$D$2),IF('עלויות כח אדם (6)'!J271&lt;75,"לא תקין","תקין"),"")</f>
        <v/>
      </c>
      <c r="AE271" s="374" t="str">
        <f t="shared" ref="AE271:AE334" si="74">IF(B271&lt;&gt;"",B271&amp;H271,"")</f>
        <v/>
      </c>
      <c r="AF271" s="532" t="str">
        <f t="shared" ref="AF271:AF334" si="75">M271</f>
        <v/>
      </c>
    </row>
    <row r="272" spans="2:32" x14ac:dyDescent="0.25">
      <c r="B272" s="695"/>
      <c r="C272" s="197" t="str">
        <f>IF(B272&lt;&gt;"",IFERROR(VLOOKUP(B:B,'מצבת והרשמה (2)'!$C$20:$N$520,2,0)," ")," ")</f>
        <v xml:space="preserve"> </v>
      </c>
      <c r="D272" s="695"/>
      <c r="E272" s="696"/>
      <c r="F272" s="696"/>
      <c r="G272" s="696"/>
      <c r="H272" s="696"/>
      <c r="I272" s="1050" t="str">
        <f t="shared" si="62"/>
        <v/>
      </c>
      <c r="J272" s="696"/>
      <c r="K272" s="697"/>
      <c r="L272" s="696"/>
      <c r="M272" s="198" t="str">
        <f t="shared" si="63"/>
        <v/>
      </c>
      <c r="N272" s="369" t="str">
        <f t="shared" si="64"/>
        <v/>
      </c>
      <c r="O272" s="183" t="str">
        <f t="shared" si="65"/>
        <v/>
      </c>
      <c r="P272" s="199" t="str">
        <f t="shared" si="66"/>
        <v/>
      </c>
      <c r="Q272" s="199" t="str">
        <f>IF(B272="","",IFERROR(IF('עלויות כח אדם (6)'!J272&gt;=VLOOKUP(I272,'סיווג התפקידים והעלויות'!$B$23:$C$32,2,0),"תקין","לא תקין"),""))</f>
        <v/>
      </c>
      <c r="R272" s="199" t="str">
        <f t="shared" si="67"/>
        <v/>
      </c>
      <c r="S272" s="199" t="str">
        <f t="shared" si="68"/>
        <v/>
      </c>
      <c r="T272" s="199" t="str">
        <f t="shared" ref="T272:T335" si="76">IF(B272="","",IF(H272="","יש להזין איש צוות",IF(OR(H272="מורה",H272="גננת",H272="רכז גן",H272="רכזת גן",H272="סייעת",H272="מדצית",H272="מדצ",H272="מדריך",H272="מדריכה",H272="תוספת כח אדם"),IF(L272&lt;=90,"תקין","לא תקין"),IF(OR(H272="רכז בית ספר",H272="רכזת תכנית בבית הספר",H272="רכזת בית ספר"),IF(L272&lt;=137,"תקין","לא תקין"),IF(OR(H272="סגנית רכזת מעל 150",H272="סגן רכז"),IF(L272&lt;=93,"תקין","לא תקין"),"לא תקין")))))</f>
        <v/>
      </c>
      <c r="U272" s="199" t="str">
        <f t="shared" si="69"/>
        <v/>
      </c>
      <c r="V272" s="989"/>
      <c r="X272" s="374" t="str">
        <f t="shared" si="70"/>
        <v/>
      </c>
      <c r="Y272" s="375" t="str">
        <f t="shared" si="71"/>
        <v/>
      </c>
      <c r="Z272" s="374" t="str">
        <f t="shared" si="72"/>
        <v/>
      </c>
      <c r="AA272" s="374" t="b">
        <f t="shared" si="73"/>
        <v>1</v>
      </c>
      <c r="AB272" s="374">
        <f>COUNTIFS(B:B,B272,H:H,'סיווג התפקידים והעלויות'!$C$2)</f>
        <v>0</v>
      </c>
      <c r="AC272" s="374">
        <f>COUNTIFS(B:B,B272,H:H,'סיווג התפקידים והעלויות'!$D$2)</f>
        <v>0</v>
      </c>
      <c r="AD272" s="374" t="str">
        <f>IF(OR(AND(H272='סיווג התפקידים והעלויות'!$A$2,I272='סיווג התפקידים והעלויות'!$A$3),'עלויות כח אדם (6)'!H272='סיווג התפקידים והעלויות'!$C$2,'עלויות כח אדם (6)'!H272='סיווג התפקידים והעלויות'!$D$2),IF('עלויות כח אדם (6)'!J272&lt;75,"לא תקין","תקין"),"")</f>
        <v/>
      </c>
      <c r="AE272" s="374" t="str">
        <f t="shared" si="74"/>
        <v/>
      </c>
      <c r="AF272" s="532" t="str">
        <f t="shared" si="75"/>
        <v/>
      </c>
    </row>
    <row r="273" spans="2:32" x14ac:dyDescent="0.25">
      <c r="B273" s="695"/>
      <c r="C273" s="197" t="str">
        <f>IF(B273&lt;&gt;"",IFERROR(VLOOKUP(B:B,'מצבת והרשמה (2)'!$C$20:$N$520,2,0)," ")," ")</f>
        <v xml:space="preserve"> </v>
      </c>
      <c r="D273" s="695"/>
      <c r="E273" s="696"/>
      <c r="F273" s="696"/>
      <c r="G273" s="696"/>
      <c r="H273" s="696"/>
      <c r="I273" s="1050" t="str">
        <f t="shared" si="62"/>
        <v/>
      </c>
      <c r="J273" s="696"/>
      <c r="K273" s="697"/>
      <c r="L273" s="696"/>
      <c r="M273" s="198" t="str">
        <f t="shared" si="63"/>
        <v/>
      </c>
      <c r="N273" s="369" t="str">
        <f t="shared" si="64"/>
        <v/>
      </c>
      <c r="O273" s="183" t="str">
        <f t="shared" si="65"/>
        <v/>
      </c>
      <c r="P273" s="199" t="str">
        <f t="shared" si="66"/>
        <v/>
      </c>
      <c r="Q273" s="199" t="str">
        <f>IF(B273="","",IFERROR(IF('עלויות כח אדם (6)'!J273&gt;=VLOOKUP(I273,'סיווג התפקידים והעלויות'!$B$23:$C$32,2,0),"תקין","לא תקין"),""))</f>
        <v/>
      </c>
      <c r="R273" s="199" t="str">
        <f t="shared" si="67"/>
        <v/>
      </c>
      <c r="S273" s="199" t="str">
        <f t="shared" si="68"/>
        <v/>
      </c>
      <c r="T273" s="199" t="str">
        <f t="shared" si="76"/>
        <v/>
      </c>
      <c r="U273" s="199" t="str">
        <f t="shared" si="69"/>
        <v/>
      </c>
      <c r="V273" s="989"/>
      <c r="X273" s="374" t="str">
        <f t="shared" si="70"/>
        <v/>
      </c>
      <c r="Y273" s="375" t="str">
        <f t="shared" si="71"/>
        <v/>
      </c>
      <c r="Z273" s="374" t="str">
        <f t="shared" si="72"/>
        <v/>
      </c>
      <c r="AA273" s="374" t="b">
        <f t="shared" si="73"/>
        <v>1</v>
      </c>
      <c r="AB273" s="374">
        <f>COUNTIFS(B:B,B273,H:H,'סיווג התפקידים והעלויות'!$C$2)</f>
        <v>0</v>
      </c>
      <c r="AC273" s="374">
        <f>COUNTIFS(B:B,B273,H:H,'סיווג התפקידים והעלויות'!$D$2)</f>
        <v>0</v>
      </c>
      <c r="AD273" s="374" t="str">
        <f>IF(OR(AND(H273='סיווג התפקידים והעלויות'!$A$2,I273='סיווג התפקידים והעלויות'!$A$3),'עלויות כח אדם (6)'!H273='סיווג התפקידים והעלויות'!$C$2,'עלויות כח אדם (6)'!H273='סיווג התפקידים והעלויות'!$D$2),IF('עלויות כח אדם (6)'!J273&lt;75,"לא תקין","תקין"),"")</f>
        <v/>
      </c>
      <c r="AE273" s="374" t="str">
        <f t="shared" si="74"/>
        <v/>
      </c>
      <c r="AF273" s="532" t="str">
        <f t="shared" si="75"/>
        <v/>
      </c>
    </row>
    <row r="274" spans="2:32" x14ac:dyDescent="0.25">
      <c r="B274" s="695"/>
      <c r="C274" s="197" t="str">
        <f>IF(B274&lt;&gt;"",IFERROR(VLOOKUP(B:B,'מצבת והרשמה (2)'!$C$20:$N$520,2,0)," ")," ")</f>
        <v xml:space="preserve"> </v>
      </c>
      <c r="D274" s="695"/>
      <c r="E274" s="696"/>
      <c r="F274" s="696"/>
      <c r="G274" s="696"/>
      <c r="H274" s="696"/>
      <c r="I274" s="1050" t="str">
        <f t="shared" si="62"/>
        <v/>
      </c>
      <c r="J274" s="696"/>
      <c r="K274" s="697"/>
      <c r="L274" s="696"/>
      <c r="M274" s="198" t="str">
        <f t="shared" si="63"/>
        <v/>
      </c>
      <c r="N274" s="369" t="str">
        <f t="shared" si="64"/>
        <v/>
      </c>
      <c r="O274" s="183" t="str">
        <f t="shared" si="65"/>
        <v/>
      </c>
      <c r="P274" s="199" t="str">
        <f t="shared" si="66"/>
        <v/>
      </c>
      <c r="Q274" s="199" t="str">
        <f>IF(B274="","",IFERROR(IF('עלויות כח אדם (6)'!J274&gt;=VLOOKUP(I274,'סיווג התפקידים והעלויות'!$B$23:$C$32,2,0),"תקין","לא תקין"),""))</f>
        <v/>
      </c>
      <c r="R274" s="199" t="str">
        <f t="shared" si="67"/>
        <v/>
      </c>
      <c r="S274" s="199" t="str">
        <f t="shared" si="68"/>
        <v/>
      </c>
      <c r="T274" s="199" t="str">
        <f t="shared" si="76"/>
        <v/>
      </c>
      <c r="U274" s="199" t="str">
        <f t="shared" si="69"/>
        <v/>
      </c>
      <c r="V274" s="989"/>
      <c r="X274" s="374" t="str">
        <f t="shared" si="70"/>
        <v/>
      </c>
      <c r="Y274" s="375" t="str">
        <f t="shared" si="71"/>
        <v/>
      </c>
      <c r="Z274" s="374" t="str">
        <f t="shared" si="72"/>
        <v/>
      </c>
      <c r="AA274" s="374" t="b">
        <f t="shared" si="73"/>
        <v>1</v>
      </c>
      <c r="AB274" s="374">
        <f>COUNTIFS(B:B,B274,H:H,'סיווג התפקידים והעלויות'!$C$2)</f>
        <v>0</v>
      </c>
      <c r="AC274" s="374">
        <f>COUNTIFS(B:B,B274,H:H,'סיווג התפקידים והעלויות'!$D$2)</f>
        <v>0</v>
      </c>
      <c r="AD274" s="374" t="str">
        <f>IF(OR(AND(H274='סיווג התפקידים והעלויות'!$A$2,I274='סיווג התפקידים והעלויות'!$A$3),'עלויות כח אדם (6)'!H274='סיווג התפקידים והעלויות'!$C$2,'עלויות כח אדם (6)'!H274='סיווג התפקידים והעלויות'!$D$2),IF('עלויות כח אדם (6)'!J274&lt;75,"לא תקין","תקין"),"")</f>
        <v/>
      </c>
      <c r="AE274" s="374" t="str">
        <f t="shared" si="74"/>
        <v/>
      </c>
      <c r="AF274" s="532" t="str">
        <f t="shared" si="75"/>
        <v/>
      </c>
    </row>
    <row r="275" spans="2:32" x14ac:dyDescent="0.25">
      <c r="B275" s="695"/>
      <c r="C275" s="197" t="str">
        <f>IF(B275&lt;&gt;"",IFERROR(VLOOKUP(B:B,'מצבת והרשמה (2)'!$C$20:$N$520,2,0)," ")," ")</f>
        <v xml:space="preserve"> </v>
      </c>
      <c r="D275" s="695"/>
      <c r="E275" s="696"/>
      <c r="F275" s="696"/>
      <c r="G275" s="696"/>
      <c r="H275" s="696"/>
      <c r="I275" s="1050" t="str">
        <f t="shared" si="62"/>
        <v/>
      </c>
      <c r="J275" s="696"/>
      <c r="K275" s="697"/>
      <c r="L275" s="696"/>
      <c r="M275" s="198" t="str">
        <f t="shared" si="63"/>
        <v/>
      </c>
      <c r="N275" s="369" t="str">
        <f t="shared" si="64"/>
        <v/>
      </c>
      <c r="O275" s="183" t="str">
        <f t="shared" si="65"/>
        <v/>
      </c>
      <c r="P275" s="199" t="str">
        <f t="shared" si="66"/>
        <v/>
      </c>
      <c r="Q275" s="199" t="str">
        <f>IF(B275="","",IFERROR(IF('עלויות כח אדם (6)'!J275&gt;=VLOOKUP(I275,'סיווג התפקידים והעלויות'!$B$23:$C$32,2,0),"תקין","לא תקין"),""))</f>
        <v/>
      </c>
      <c r="R275" s="199" t="str">
        <f t="shared" si="67"/>
        <v/>
      </c>
      <c r="S275" s="199" t="str">
        <f t="shared" si="68"/>
        <v/>
      </c>
      <c r="T275" s="199" t="str">
        <f t="shared" si="76"/>
        <v/>
      </c>
      <c r="U275" s="199" t="str">
        <f t="shared" si="69"/>
        <v/>
      </c>
      <c r="V275" s="989"/>
      <c r="X275" s="374" t="str">
        <f t="shared" si="70"/>
        <v/>
      </c>
      <c r="Y275" s="375" t="str">
        <f t="shared" si="71"/>
        <v/>
      </c>
      <c r="Z275" s="374" t="str">
        <f t="shared" si="72"/>
        <v/>
      </c>
      <c r="AA275" s="374" t="b">
        <f t="shared" si="73"/>
        <v>1</v>
      </c>
      <c r="AB275" s="374">
        <f>COUNTIFS(B:B,B275,H:H,'סיווג התפקידים והעלויות'!$C$2)</f>
        <v>0</v>
      </c>
      <c r="AC275" s="374">
        <f>COUNTIFS(B:B,B275,H:H,'סיווג התפקידים והעלויות'!$D$2)</f>
        <v>0</v>
      </c>
      <c r="AD275" s="374" t="str">
        <f>IF(OR(AND(H275='סיווג התפקידים והעלויות'!$A$2,I275='סיווג התפקידים והעלויות'!$A$3),'עלויות כח אדם (6)'!H275='סיווג התפקידים והעלויות'!$C$2,'עלויות כח אדם (6)'!H275='סיווג התפקידים והעלויות'!$D$2),IF('עלויות כח אדם (6)'!J275&lt;75,"לא תקין","תקין"),"")</f>
        <v/>
      </c>
      <c r="AE275" s="374" t="str">
        <f t="shared" si="74"/>
        <v/>
      </c>
      <c r="AF275" s="532" t="str">
        <f t="shared" si="75"/>
        <v/>
      </c>
    </row>
    <row r="276" spans="2:32" x14ac:dyDescent="0.25">
      <c r="B276" s="695"/>
      <c r="C276" s="197" t="str">
        <f>IF(B276&lt;&gt;"",IFERROR(VLOOKUP(B:B,'מצבת והרשמה (2)'!$C$20:$N$520,2,0)," ")," ")</f>
        <v xml:space="preserve"> </v>
      </c>
      <c r="D276" s="695"/>
      <c r="E276" s="696"/>
      <c r="F276" s="696"/>
      <c r="G276" s="696"/>
      <c r="H276" s="696"/>
      <c r="I276" s="1050" t="str">
        <f t="shared" si="62"/>
        <v/>
      </c>
      <c r="J276" s="696"/>
      <c r="K276" s="697"/>
      <c r="L276" s="696"/>
      <c r="M276" s="198" t="str">
        <f t="shared" si="63"/>
        <v/>
      </c>
      <c r="N276" s="369" t="str">
        <f t="shared" si="64"/>
        <v/>
      </c>
      <c r="O276" s="183" t="str">
        <f t="shared" si="65"/>
        <v/>
      </c>
      <c r="P276" s="199" t="str">
        <f t="shared" si="66"/>
        <v/>
      </c>
      <c r="Q276" s="199" t="str">
        <f>IF(B276="","",IFERROR(IF('עלויות כח אדם (6)'!J276&gt;=VLOOKUP(I276,'סיווג התפקידים והעלויות'!$B$23:$C$32,2,0),"תקין","לא תקין"),""))</f>
        <v/>
      </c>
      <c r="R276" s="199" t="str">
        <f t="shared" si="67"/>
        <v/>
      </c>
      <c r="S276" s="199" t="str">
        <f t="shared" si="68"/>
        <v/>
      </c>
      <c r="T276" s="199" t="str">
        <f t="shared" si="76"/>
        <v/>
      </c>
      <c r="U276" s="199" t="str">
        <f t="shared" si="69"/>
        <v/>
      </c>
      <c r="V276" s="989"/>
      <c r="X276" s="374" t="str">
        <f t="shared" si="70"/>
        <v/>
      </c>
      <c r="Y276" s="375" t="str">
        <f t="shared" si="71"/>
        <v/>
      </c>
      <c r="Z276" s="374" t="str">
        <f t="shared" si="72"/>
        <v/>
      </c>
      <c r="AA276" s="374" t="b">
        <f t="shared" si="73"/>
        <v>1</v>
      </c>
      <c r="AB276" s="374">
        <f>COUNTIFS(B:B,B276,H:H,'סיווג התפקידים והעלויות'!$C$2)</f>
        <v>0</v>
      </c>
      <c r="AC276" s="374">
        <f>COUNTIFS(B:B,B276,H:H,'סיווג התפקידים והעלויות'!$D$2)</f>
        <v>0</v>
      </c>
      <c r="AD276" s="374" t="str">
        <f>IF(OR(AND(H276='סיווג התפקידים והעלויות'!$A$2,I276='סיווג התפקידים והעלויות'!$A$3),'עלויות כח אדם (6)'!H276='סיווג התפקידים והעלויות'!$C$2,'עלויות כח אדם (6)'!H276='סיווג התפקידים והעלויות'!$D$2),IF('עלויות כח אדם (6)'!J276&lt;75,"לא תקין","תקין"),"")</f>
        <v/>
      </c>
      <c r="AE276" s="374" t="str">
        <f t="shared" si="74"/>
        <v/>
      </c>
      <c r="AF276" s="532" t="str">
        <f t="shared" si="75"/>
        <v/>
      </c>
    </row>
    <row r="277" spans="2:32" x14ac:dyDescent="0.25">
      <c r="B277" s="695"/>
      <c r="C277" s="197" t="str">
        <f>IF(B277&lt;&gt;"",IFERROR(VLOOKUP(B:B,'מצבת והרשמה (2)'!$C$20:$N$520,2,0)," ")," ")</f>
        <v xml:space="preserve"> </v>
      </c>
      <c r="D277" s="695"/>
      <c r="E277" s="696"/>
      <c r="F277" s="696"/>
      <c r="G277" s="696"/>
      <c r="H277" s="696"/>
      <c r="I277" s="1050" t="str">
        <f t="shared" si="62"/>
        <v/>
      </c>
      <c r="J277" s="696"/>
      <c r="K277" s="697"/>
      <c r="L277" s="696"/>
      <c r="M277" s="198" t="str">
        <f t="shared" si="63"/>
        <v/>
      </c>
      <c r="N277" s="369" t="str">
        <f t="shared" si="64"/>
        <v/>
      </c>
      <c r="O277" s="183" t="str">
        <f t="shared" si="65"/>
        <v/>
      </c>
      <c r="P277" s="199" t="str">
        <f t="shared" si="66"/>
        <v/>
      </c>
      <c r="Q277" s="199" t="str">
        <f>IF(B277="","",IFERROR(IF('עלויות כח אדם (6)'!J277&gt;=VLOOKUP(I277,'סיווג התפקידים והעלויות'!$B$23:$C$32,2,0),"תקין","לא תקין"),""))</f>
        <v/>
      </c>
      <c r="R277" s="199" t="str">
        <f t="shared" si="67"/>
        <v/>
      </c>
      <c r="S277" s="199" t="str">
        <f t="shared" si="68"/>
        <v/>
      </c>
      <c r="T277" s="199" t="str">
        <f t="shared" si="76"/>
        <v/>
      </c>
      <c r="U277" s="199" t="str">
        <f t="shared" si="69"/>
        <v/>
      </c>
      <c r="V277" s="989"/>
      <c r="X277" s="374" t="str">
        <f t="shared" si="70"/>
        <v/>
      </c>
      <c r="Y277" s="375" t="str">
        <f t="shared" si="71"/>
        <v/>
      </c>
      <c r="Z277" s="374" t="str">
        <f t="shared" si="72"/>
        <v/>
      </c>
      <c r="AA277" s="374" t="b">
        <f t="shared" si="73"/>
        <v>1</v>
      </c>
      <c r="AB277" s="374">
        <f>COUNTIFS(B:B,B277,H:H,'סיווג התפקידים והעלויות'!$C$2)</f>
        <v>0</v>
      </c>
      <c r="AC277" s="374">
        <f>COUNTIFS(B:B,B277,H:H,'סיווג התפקידים והעלויות'!$D$2)</f>
        <v>0</v>
      </c>
      <c r="AD277" s="374" t="str">
        <f>IF(OR(AND(H277='סיווג התפקידים והעלויות'!$A$2,I277='סיווג התפקידים והעלויות'!$A$3),'עלויות כח אדם (6)'!H277='סיווג התפקידים והעלויות'!$C$2,'עלויות כח אדם (6)'!H277='סיווג התפקידים והעלויות'!$D$2),IF('עלויות כח אדם (6)'!J277&lt;75,"לא תקין","תקין"),"")</f>
        <v/>
      </c>
      <c r="AE277" s="374" t="str">
        <f t="shared" si="74"/>
        <v/>
      </c>
      <c r="AF277" s="532" t="str">
        <f t="shared" si="75"/>
        <v/>
      </c>
    </row>
    <row r="278" spans="2:32" x14ac:dyDescent="0.25">
      <c r="B278" s="695"/>
      <c r="C278" s="197" t="str">
        <f>IF(B278&lt;&gt;"",IFERROR(VLOOKUP(B:B,'מצבת והרשמה (2)'!$C$20:$N$520,2,0)," ")," ")</f>
        <v xml:space="preserve"> </v>
      </c>
      <c r="D278" s="695"/>
      <c r="E278" s="696"/>
      <c r="F278" s="696"/>
      <c r="G278" s="696"/>
      <c r="H278" s="696"/>
      <c r="I278" s="1050" t="str">
        <f t="shared" si="62"/>
        <v/>
      </c>
      <c r="J278" s="696"/>
      <c r="K278" s="697"/>
      <c r="L278" s="696"/>
      <c r="M278" s="198" t="str">
        <f t="shared" si="63"/>
        <v/>
      </c>
      <c r="N278" s="369" t="str">
        <f t="shared" si="64"/>
        <v/>
      </c>
      <c r="O278" s="183" t="str">
        <f t="shared" si="65"/>
        <v/>
      </c>
      <c r="P278" s="199" t="str">
        <f t="shared" si="66"/>
        <v/>
      </c>
      <c r="Q278" s="199" t="str">
        <f>IF(B278="","",IFERROR(IF('עלויות כח אדם (6)'!J278&gt;=VLOOKUP(I278,'סיווג התפקידים והעלויות'!$B$23:$C$32,2,0),"תקין","לא תקין"),""))</f>
        <v/>
      </c>
      <c r="R278" s="199" t="str">
        <f t="shared" si="67"/>
        <v/>
      </c>
      <c r="S278" s="199" t="str">
        <f t="shared" si="68"/>
        <v/>
      </c>
      <c r="T278" s="199" t="str">
        <f t="shared" si="76"/>
        <v/>
      </c>
      <c r="U278" s="199" t="str">
        <f t="shared" si="69"/>
        <v/>
      </c>
      <c r="V278" s="989"/>
      <c r="X278" s="374" t="str">
        <f t="shared" si="70"/>
        <v/>
      </c>
      <c r="Y278" s="375" t="str">
        <f t="shared" si="71"/>
        <v/>
      </c>
      <c r="Z278" s="374" t="str">
        <f t="shared" si="72"/>
        <v/>
      </c>
      <c r="AA278" s="374" t="b">
        <f t="shared" si="73"/>
        <v>1</v>
      </c>
      <c r="AB278" s="374">
        <f>COUNTIFS(B:B,B278,H:H,'סיווג התפקידים והעלויות'!$C$2)</f>
        <v>0</v>
      </c>
      <c r="AC278" s="374">
        <f>COUNTIFS(B:B,B278,H:H,'סיווג התפקידים והעלויות'!$D$2)</f>
        <v>0</v>
      </c>
      <c r="AD278" s="374" t="str">
        <f>IF(OR(AND(H278='סיווג התפקידים והעלויות'!$A$2,I278='סיווג התפקידים והעלויות'!$A$3),'עלויות כח אדם (6)'!H278='סיווג התפקידים והעלויות'!$C$2,'עלויות כח אדם (6)'!H278='סיווג התפקידים והעלויות'!$D$2),IF('עלויות כח אדם (6)'!J278&lt;75,"לא תקין","תקין"),"")</f>
        <v/>
      </c>
      <c r="AE278" s="374" t="str">
        <f t="shared" si="74"/>
        <v/>
      </c>
      <c r="AF278" s="532" t="str">
        <f t="shared" si="75"/>
        <v/>
      </c>
    </row>
    <row r="279" spans="2:32" x14ac:dyDescent="0.25">
      <c r="B279" s="695"/>
      <c r="C279" s="197" t="str">
        <f>IF(B279&lt;&gt;"",IFERROR(VLOOKUP(B:B,'מצבת והרשמה (2)'!$C$20:$N$520,2,0)," ")," ")</f>
        <v xml:space="preserve"> </v>
      </c>
      <c r="D279" s="695"/>
      <c r="E279" s="696"/>
      <c r="F279" s="696"/>
      <c r="G279" s="696"/>
      <c r="H279" s="696"/>
      <c r="I279" s="1050" t="str">
        <f t="shared" si="62"/>
        <v/>
      </c>
      <c r="J279" s="696"/>
      <c r="K279" s="697"/>
      <c r="L279" s="696"/>
      <c r="M279" s="198" t="str">
        <f t="shared" si="63"/>
        <v/>
      </c>
      <c r="N279" s="369" t="str">
        <f t="shared" si="64"/>
        <v/>
      </c>
      <c r="O279" s="183" t="str">
        <f t="shared" si="65"/>
        <v/>
      </c>
      <c r="P279" s="199" t="str">
        <f t="shared" si="66"/>
        <v/>
      </c>
      <c r="Q279" s="199" t="str">
        <f>IF(B279="","",IFERROR(IF('עלויות כח אדם (6)'!J279&gt;=VLOOKUP(I279,'סיווג התפקידים והעלויות'!$B$23:$C$32,2,0),"תקין","לא תקין"),""))</f>
        <v/>
      </c>
      <c r="R279" s="199" t="str">
        <f t="shared" si="67"/>
        <v/>
      </c>
      <c r="S279" s="199" t="str">
        <f t="shared" si="68"/>
        <v/>
      </c>
      <c r="T279" s="199" t="str">
        <f t="shared" si="76"/>
        <v/>
      </c>
      <c r="U279" s="199" t="str">
        <f t="shared" si="69"/>
        <v/>
      </c>
      <c r="V279" s="989"/>
      <c r="X279" s="374" t="str">
        <f t="shared" si="70"/>
        <v/>
      </c>
      <c r="Y279" s="375" t="str">
        <f t="shared" si="71"/>
        <v/>
      </c>
      <c r="Z279" s="374" t="str">
        <f t="shared" si="72"/>
        <v/>
      </c>
      <c r="AA279" s="374" t="b">
        <f t="shared" si="73"/>
        <v>1</v>
      </c>
      <c r="AB279" s="374">
        <f>COUNTIFS(B:B,B279,H:H,'סיווג התפקידים והעלויות'!$C$2)</f>
        <v>0</v>
      </c>
      <c r="AC279" s="374">
        <f>COUNTIFS(B:B,B279,H:H,'סיווג התפקידים והעלויות'!$D$2)</f>
        <v>0</v>
      </c>
      <c r="AD279" s="374" t="str">
        <f>IF(OR(AND(H279='סיווג התפקידים והעלויות'!$A$2,I279='סיווג התפקידים והעלויות'!$A$3),'עלויות כח אדם (6)'!H279='סיווג התפקידים והעלויות'!$C$2,'עלויות כח אדם (6)'!H279='סיווג התפקידים והעלויות'!$D$2),IF('עלויות כח אדם (6)'!J279&lt;75,"לא תקין","תקין"),"")</f>
        <v/>
      </c>
      <c r="AE279" s="374" t="str">
        <f t="shared" si="74"/>
        <v/>
      </c>
      <c r="AF279" s="532" t="str">
        <f t="shared" si="75"/>
        <v/>
      </c>
    </row>
    <row r="280" spans="2:32" x14ac:dyDescent="0.25">
      <c r="B280" s="695"/>
      <c r="C280" s="197" t="str">
        <f>IF(B280&lt;&gt;"",IFERROR(VLOOKUP(B:B,'מצבת והרשמה (2)'!$C$20:$N$520,2,0)," ")," ")</f>
        <v xml:space="preserve"> </v>
      </c>
      <c r="D280" s="695"/>
      <c r="E280" s="696"/>
      <c r="F280" s="696"/>
      <c r="G280" s="696"/>
      <c r="H280" s="696"/>
      <c r="I280" s="1050" t="str">
        <f t="shared" si="62"/>
        <v/>
      </c>
      <c r="J280" s="696"/>
      <c r="K280" s="697"/>
      <c r="L280" s="696"/>
      <c r="M280" s="198" t="str">
        <f t="shared" si="63"/>
        <v/>
      </c>
      <c r="N280" s="369" t="str">
        <f t="shared" si="64"/>
        <v/>
      </c>
      <c r="O280" s="183" t="str">
        <f t="shared" si="65"/>
        <v/>
      </c>
      <c r="P280" s="199" t="str">
        <f t="shared" si="66"/>
        <v/>
      </c>
      <c r="Q280" s="199" t="str">
        <f>IF(B280="","",IFERROR(IF('עלויות כח אדם (6)'!J280&gt;=VLOOKUP(I280,'סיווג התפקידים והעלויות'!$B$23:$C$32,2,0),"תקין","לא תקין"),""))</f>
        <v/>
      </c>
      <c r="R280" s="199" t="str">
        <f t="shared" si="67"/>
        <v/>
      </c>
      <c r="S280" s="199" t="str">
        <f t="shared" si="68"/>
        <v/>
      </c>
      <c r="T280" s="199" t="str">
        <f t="shared" si="76"/>
        <v/>
      </c>
      <c r="U280" s="199" t="str">
        <f t="shared" si="69"/>
        <v/>
      </c>
      <c r="V280" s="989"/>
      <c r="X280" s="374" t="str">
        <f t="shared" si="70"/>
        <v/>
      </c>
      <c r="Y280" s="375" t="str">
        <f t="shared" si="71"/>
        <v/>
      </c>
      <c r="Z280" s="374" t="str">
        <f t="shared" si="72"/>
        <v/>
      </c>
      <c r="AA280" s="374" t="b">
        <f t="shared" si="73"/>
        <v>1</v>
      </c>
      <c r="AB280" s="374">
        <f>COUNTIFS(B:B,B280,H:H,'סיווג התפקידים והעלויות'!$C$2)</f>
        <v>0</v>
      </c>
      <c r="AC280" s="374">
        <f>COUNTIFS(B:B,B280,H:H,'סיווג התפקידים והעלויות'!$D$2)</f>
        <v>0</v>
      </c>
      <c r="AD280" s="374" t="str">
        <f>IF(OR(AND(H280='סיווג התפקידים והעלויות'!$A$2,I280='סיווג התפקידים והעלויות'!$A$3),'עלויות כח אדם (6)'!H280='סיווג התפקידים והעלויות'!$C$2,'עלויות כח אדם (6)'!H280='סיווג התפקידים והעלויות'!$D$2),IF('עלויות כח אדם (6)'!J280&lt;75,"לא תקין","תקין"),"")</f>
        <v/>
      </c>
      <c r="AE280" s="374" t="str">
        <f t="shared" si="74"/>
        <v/>
      </c>
      <c r="AF280" s="532" t="str">
        <f t="shared" si="75"/>
        <v/>
      </c>
    </row>
    <row r="281" spans="2:32" x14ac:dyDescent="0.25">
      <c r="B281" s="695"/>
      <c r="C281" s="197" t="str">
        <f>IF(B281&lt;&gt;"",IFERROR(VLOOKUP(B:B,'מצבת והרשמה (2)'!$C$20:$N$520,2,0)," ")," ")</f>
        <v xml:space="preserve"> </v>
      </c>
      <c r="D281" s="695"/>
      <c r="E281" s="696"/>
      <c r="F281" s="696"/>
      <c r="G281" s="696"/>
      <c r="H281" s="696"/>
      <c r="I281" s="1050" t="str">
        <f t="shared" si="62"/>
        <v/>
      </c>
      <c r="J281" s="696"/>
      <c r="K281" s="697"/>
      <c r="L281" s="696"/>
      <c r="M281" s="198" t="str">
        <f t="shared" si="63"/>
        <v/>
      </c>
      <c r="N281" s="369" t="str">
        <f t="shared" si="64"/>
        <v/>
      </c>
      <c r="O281" s="183" t="str">
        <f t="shared" si="65"/>
        <v/>
      </c>
      <c r="P281" s="199" t="str">
        <f t="shared" si="66"/>
        <v/>
      </c>
      <c r="Q281" s="199" t="str">
        <f>IF(B281="","",IFERROR(IF('עלויות כח אדם (6)'!J281&gt;=VLOOKUP(I281,'סיווג התפקידים והעלויות'!$B$23:$C$32,2,0),"תקין","לא תקין"),""))</f>
        <v/>
      </c>
      <c r="R281" s="199" t="str">
        <f t="shared" si="67"/>
        <v/>
      </c>
      <c r="S281" s="199" t="str">
        <f t="shared" si="68"/>
        <v/>
      </c>
      <c r="T281" s="199" t="str">
        <f t="shared" si="76"/>
        <v/>
      </c>
      <c r="U281" s="199" t="str">
        <f t="shared" si="69"/>
        <v/>
      </c>
      <c r="V281" s="989"/>
      <c r="X281" s="374" t="str">
        <f t="shared" si="70"/>
        <v/>
      </c>
      <c r="Y281" s="375" t="str">
        <f t="shared" si="71"/>
        <v/>
      </c>
      <c r="Z281" s="374" t="str">
        <f t="shared" si="72"/>
        <v/>
      </c>
      <c r="AA281" s="374" t="b">
        <f t="shared" si="73"/>
        <v>1</v>
      </c>
      <c r="AB281" s="374">
        <f>COUNTIFS(B:B,B281,H:H,'סיווג התפקידים והעלויות'!$C$2)</f>
        <v>0</v>
      </c>
      <c r="AC281" s="374">
        <f>COUNTIFS(B:B,B281,H:H,'סיווג התפקידים והעלויות'!$D$2)</f>
        <v>0</v>
      </c>
      <c r="AD281" s="374" t="str">
        <f>IF(OR(AND(H281='סיווג התפקידים והעלויות'!$A$2,I281='סיווג התפקידים והעלויות'!$A$3),'עלויות כח אדם (6)'!H281='סיווג התפקידים והעלויות'!$C$2,'עלויות כח אדם (6)'!H281='סיווג התפקידים והעלויות'!$D$2),IF('עלויות כח אדם (6)'!J281&lt;75,"לא תקין","תקין"),"")</f>
        <v/>
      </c>
      <c r="AE281" s="374" t="str">
        <f t="shared" si="74"/>
        <v/>
      </c>
      <c r="AF281" s="532" t="str">
        <f t="shared" si="75"/>
        <v/>
      </c>
    </row>
    <row r="282" spans="2:32" x14ac:dyDescent="0.25">
      <c r="B282" s="695"/>
      <c r="C282" s="197" t="str">
        <f>IF(B282&lt;&gt;"",IFERROR(VLOOKUP(B:B,'מצבת והרשמה (2)'!$C$20:$N$520,2,0)," ")," ")</f>
        <v xml:space="preserve"> </v>
      </c>
      <c r="D282" s="695"/>
      <c r="E282" s="696"/>
      <c r="F282" s="696"/>
      <c r="G282" s="696"/>
      <c r="H282" s="696"/>
      <c r="I282" s="1050" t="str">
        <f t="shared" si="62"/>
        <v/>
      </c>
      <c r="J282" s="696"/>
      <c r="K282" s="697"/>
      <c r="L282" s="696"/>
      <c r="M282" s="198" t="str">
        <f t="shared" si="63"/>
        <v/>
      </c>
      <c r="N282" s="369" t="str">
        <f t="shared" si="64"/>
        <v/>
      </c>
      <c r="O282" s="183" t="str">
        <f t="shared" si="65"/>
        <v/>
      </c>
      <c r="P282" s="199" t="str">
        <f t="shared" si="66"/>
        <v/>
      </c>
      <c r="Q282" s="199" t="str">
        <f>IF(B282="","",IFERROR(IF('עלויות כח אדם (6)'!J282&gt;=VLOOKUP(I282,'סיווג התפקידים והעלויות'!$B$23:$C$32,2,0),"תקין","לא תקין"),""))</f>
        <v/>
      </c>
      <c r="R282" s="199" t="str">
        <f t="shared" si="67"/>
        <v/>
      </c>
      <c r="S282" s="199" t="str">
        <f t="shared" si="68"/>
        <v/>
      </c>
      <c r="T282" s="199" t="str">
        <f t="shared" si="76"/>
        <v/>
      </c>
      <c r="U282" s="199" t="str">
        <f t="shared" si="69"/>
        <v/>
      </c>
      <c r="V282" s="989"/>
      <c r="X282" s="374" t="str">
        <f t="shared" si="70"/>
        <v/>
      </c>
      <c r="Y282" s="375" t="str">
        <f t="shared" si="71"/>
        <v/>
      </c>
      <c r="Z282" s="374" t="str">
        <f t="shared" si="72"/>
        <v/>
      </c>
      <c r="AA282" s="374" t="b">
        <f t="shared" si="73"/>
        <v>1</v>
      </c>
      <c r="AB282" s="374">
        <f>COUNTIFS(B:B,B282,H:H,'סיווג התפקידים והעלויות'!$C$2)</f>
        <v>0</v>
      </c>
      <c r="AC282" s="374">
        <f>COUNTIFS(B:B,B282,H:H,'סיווג התפקידים והעלויות'!$D$2)</f>
        <v>0</v>
      </c>
      <c r="AD282" s="374" t="str">
        <f>IF(OR(AND(H282='סיווג התפקידים והעלויות'!$A$2,I282='סיווג התפקידים והעלויות'!$A$3),'עלויות כח אדם (6)'!H282='סיווג התפקידים והעלויות'!$C$2,'עלויות כח אדם (6)'!H282='סיווג התפקידים והעלויות'!$D$2),IF('עלויות כח אדם (6)'!J282&lt;75,"לא תקין","תקין"),"")</f>
        <v/>
      </c>
      <c r="AE282" s="374" t="str">
        <f t="shared" si="74"/>
        <v/>
      </c>
      <c r="AF282" s="532" t="str">
        <f t="shared" si="75"/>
        <v/>
      </c>
    </row>
    <row r="283" spans="2:32" x14ac:dyDescent="0.25">
      <c r="B283" s="695"/>
      <c r="C283" s="197" t="str">
        <f>IF(B283&lt;&gt;"",IFERROR(VLOOKUP(B:B,'מצבת והרשמה (2)'!$C$20:$N$520,2,0)," ")," ")</f>
        <v xml:space="preserve"> </v>
      </c>
      <c r="D283" s="695"/>
      <c r="E283" s="696"/>
      <c r="F283" s="696"/>
      <c r="G283" s="696"/>
      <c r="H283" s="696"/>
      <c r="I283" s="1050" t="str">
        <f t="shared" si="62"/>
        <v/>
      </c>
      <c r="J283" s="696"/>
      <c r="K283" s="697"/>
      <c r="L283" s="696"/>
      <c r="M283" s="198" t="str">
        <f t="shared" si="63"/>
        <v/>
      </c>
      <c r="N283" s="369" t="str">
        <f t="shared" si="64"/>
        <v/>
      </c>
      <c r="O283" s="183" t="str">
        <f t="shared" si="65"/>
        <v/>
      </c>
      <c r="P283" s="199" t="str">
        <f t="shared" si="66"/>
        <v/>
      </c>
      <c r="Q283" s="199" t="str">
        <f>IF(B283="","",IFERROR(IF('עלויות כח אדם (6)'!J283&gt;=VLOOKUP(I283,'סיווג התפקידים והעלויות'!$B$23:$C$32,2,0),"תקין","לא תקין"),""))</f>
        <v/>
      </c>
      <c r="R283" s="199" t="str">
        <f t="shared" si="67"/>
        <v/>
      </c>
      <c r="S283" s="199" t="str">
        <f t="shared" si="68"/>
        <v/>
      </c>
      <c r="T283" s="199" t="str">
        <f t="shared" si="76"/>
        <v/>
      </c>
      <c r="U283" s="199" t="str">
        <f t="shared" si="69"/>
        <v/>
      </c>
      <c r="V283" s="989"/>
      <c r="X283" s="374" t="str">
        <f t="shared" si="70"/>
        <v/>
      </c>
      <c r="Y283" s="375" t="str">
        <f t="shared" si="71"/>
        <v/>
      </c>
      <c r="Z283" s="374" t="str">
        <f t="shared" si="72"/>
        <v/>
      </c>
      <c r="AA283" s="374" t="b">
        <f t="shared" si="73"/>
        <v>1</v>
      </c>
      <c r="AB283" s="374">
        <f>COUNTIFS(B:B,B283,H:H,'סיווג התפקידים והעלויות'!$C$2)</f>
        <v>0</v>
      </c>
      <c r="AC283" s="374">
        <f>COUNTIFS(B:B,B283,H:H,'סיווג התפקידים והעלויות'!$D$2)</f>
        <v>0</v>
      </c>
      <c r="AD283" s="374" t="str">
        <f>IF(OR(AND(H283='סיווג התפקידים והעלויות'!$A$2,I283='סיווג התפקידים והעלויות'!$A$3),'עלויות כח אדם (6)'!H283='סיווג התפקידים והעלויות'!$C$2,'עלויות כח אדם (6)'!H283='סיווג התפקידים והעלויות'!$D$2),IF('עלויות כח אדם (6)'!J283&lt;75,"לא תקין","תקין"),"")</f>
        <v/>
      </c>
      <c r="AE283" s="374" t="str">
        <f t="shared" si="74"/>
        <v/>
      </c>
      <c r="AF283" s="532" t="str">
        <f t="shared" si="75"/>
        <v/>
      </c>
    </row>
    <row r="284" spans="2:32" x14ac:dyDescent="0.25">
      <c r="B284" s="695"/>
      <c r="C284" s="197" t="str">
        <f>IF(B284&lt;&gt;"",IFERROR(VLOOKUP(B:B,'מצבת והרשמה (2)'!$C$20:$N$520,2,0)," ")," ")</f>
        <v xml:space="preserve"> </v>
      </c>
      <c r="D284" s="695"/>
      <c r="E284" s="696"/>
      <c r="F284" s="696"/>
      <c r="G284" s="696"/>
      <c r="H284" s="696"/>
      <c r="I284" s="1050" t="str">
        <f t="shared" si="62"/>
        <v/>
      </c>
      <c r="J284" s="696"/>
      <c r="K284" s="697"/>
      <c r="L284" s="696"/>
      <c r="M284" s="198" t="str">
        <f t="shared" si="63"/>
        <v/>
      </c>
      <c r="N284" s="369" t="str">
        <f t="shared" si="64"/>
        <v/>
      </c>
      <c r="O284" s="183" t="str">
        <f t="shared" si="65"/>
        <v/>
      </c>
      <c r="P284" s="199" t="str">
        <f t="shared" si="66"/>
        <v/>
      </c>
      <c r="Q284" s="199" t="str">
        <f>IF(B284="","",IFERROR(IF('עלויות כח אדם (6)'!J284&gt;=VLOOKUP(I284,'סיווג התפקידים והעלויות'!$B$23:$C$32,2,0),"תקין","לא תקין"),""))</f>
        <v/>
      </c>
      <c r="R284" s="199" t="str">
        <f t="shared" si="67"/>
        <v/>
      </c>
      <c r="S284" s="199" t="str">
        <f t="shared" si="68"/>
        <v/>
      </c>
      <c r="T284" s="199" t="str">
        <f t="shared" si="76"/>
        <v/>
      </c>
      <c r="U284" s="199" t="str">
        <f t="shared" si="69"/>
        <v/>
      </c>
      <c r="V284" s="989"/>
      <c r="X284" s="374" t="str">
        <f t="shared" si="70"/>
        <v/>
      </c>
      <c r="Y284" s="375" t="str">
        <f t="shared" si="71"/>
        <v/>
      </c>
      <c r="Z284" s="374" t="str">
        <f t="shared" si="72"/>
        <v/>
      </c>
      <c r="AA284" s="374" t="b">
        <f t="shared" si="73"/>
        <v>1</v>
      </c>
      <c r="AB284" s="374">
        <f>COUNTIFS(B:B,B284,H:H,'סיווג התפקידים והעלויות'!$C$2)</f>
        <v>0</v>
      </c>
      <c r="AC284" s="374">
        <f>COUNTIFS(B:B,B284,H:H,'סיווג התפקידים והעלויות'!$D$2)</f>
        <v>0</v>
      </c>
      <c r="AD284" s="374" t="str">
        <f>IF(OR(AND(H284='סיווג התפקידים והעלויות'!$A$2,I284='סיווג התפקידים והעלויות'!$A$3),'עלויות כח אדם (6)'!H284='סיווג התפקידים והעלויות'!$C$2,'עלויות כח אדם (6)'!H284='סיווג התפקידים והעלויות'!$D$2),IF('עלויות כח אדם (6)'!J284&lt;75,"לא תקין","תקין"),"")</f>
        <v/>
      </c>
      <c r="AE284" s="374" t="str">
        <f t="shared" si="74"/>
        <v/>
      </c>
      <c r="AF284" s="532" t="str">
        <f t="shared" si="75"/>
        <v/>
      </c>
    </row>
    <row r="285" spans="2:32" x14ac:dyDescent="0.25">
      <c r="B285" s="695"/>
      <c r="C285" s="197" t="str">
        <f>IF(B285&lt;&gt;"",IFERROR(VLOOKUP(B:B,'מצבת והרשמה (2)'!$C$20:$N$520,2,0)," ")," ")</f>
        <v xml:space="preserve"> </v>
      </c>
      <c r="D285" s="695"/>
      <c r="E285" s="696"/>
      <c r="F285" s="696"/>
      <c r="G285" s="696"/>
      <c r="H285" s="696"/>
      <c r="I285" s="1050" t="str">
        <f t="shared" si="62"/>
        <v/>
      </c>
      <c r="J285" s="696"/>
      <c r="K285" s="697"/>
      <c r="L285" s="696"/>
      <c r="M285" s="198" t="str">
        <f t="shared" si="63"/>
        <v/>
      </c>
      <c r="N285" s="369" t="str">
        <f t="shared" si="64"/>
        <v/>
      </c>
      <c r="O285" s="183" t="str">
        <f t="shared" si="65"/>
        <v/>
      </c>
      <c r="P285" s="199" t="str">
        <f t="shared" si="66"/>
        <v/>
      </c>
      <c r="Q285" s="199" t="str">
        <f>IF(B285="","",IFERROR(IF('עלויות כח אדם (6)'!J285&gt;=VLOOKUP(I285,'סיווג התפקידים והעלויות'!$B$23:$C$32,2,0),"תקין","לא תקין"),""))</f>
        <v/>
      </c>
      <c r="R285" s="199" t="str">
        <f t="shared" si="67"/>
        <v/>
      </c>
      <c r="S285" s="199" t="str">
        <f t="shared" si="68"/>
        <v/>
      </c>
      <c r="T285" s="199" t="str">
        <f t="shared" si="76"/>
        <v/>
      </c>
      <c r="U285" s="199" t="str">
        <f t="shared" si="69"/>
        <v/>
      </c>
      <c r="V285" s="989"/>
      <c r="X285" s="374" t="str">
        <f t="shared" si="70"/>
        <v/>
      </c>
      <c r="Y285" s="375" t="str">
        <f t="shared" si="71"/>
        <v/>
      </c>
      <c r="Z285" s="374" t="str">
        <f t="shared" si="72"/>
        <v/>
      </c>
      <c r="AA285" s="374" t="b">
        <f t="shared" si="73"/>
        <v>1</v>
      </c>
      <c r="AB285" s="374">
        <f>COUNTIFS(B:B,B285,H:H,'סיווג התפקידים והעלויות'!$C$2)</f>
        <v>0</v>
      </c>
      <c r="AC285" s="374">
        <f>COUNTIFS(B:B,B285,H:H,'סיווג התפקידים והעלויות'!$D$2)</f>
        <v>0</v>
      </c>
      <c r="AD285" s="374" t="str">
        <f>IF(OR(AND(H285='סיווג התפקידים והעלויות'!$A$2,I285='סיווג התפקידים והעלויות'!$A$3),'עלויות כח אדם (6)'!H285='סיווג התפקידים והעלויות'!$C$2,'עלויות כח אדם (6)'!H285='סיווג התפקידים והעלויות'!$D$2),IF('עלויות כח אדם (6)'!J285&lt;75,"לא תקין","תקין"),"")</f>
        <v/>
      </c>
      <c r="AE285" s="374" t="str">
        <f t="shared" si="74"/>
        <v/>
      </c>
      <c r="AF285" s="532" t="str">
        <f t="shared" si="75"/>
        <v/>
      </c>
    </row>
    <row r="286" spans="2:32" x14ac:dyDescent="0.25">
      <c r="B286" s="695"/>
      <c r="C286" s="197" t="str">
        <f>IF(B286&lt;&gt;"",IFERROR(VLOOKUP(B:B,'מצבת והרשמה (2)'!$C$20:$N$520,2,0)," ")," ")</f>
        <v xml:space="preserve"> </v>
      </c>
      <c r="D286" s="695"/>
      <c r="E286" s="696"/>
      <c r="F286" s="696"/>
      <c r="G286" s="696"/>
      <c r="H286" s="696"/>
      <c r="I286" s="1050" t="str">
        <f t="shared" si="62"/>
        <v/>
      </c>
      <c r="J286" s="696"/>
      <c r="K286" s="697"/>
      <c r="L286" s="696"/>
      <c r="M286" s="198" t="str">
        <f t="shared" si="63"/>
        <v/>
      </c>
      <c r="N286" s="369" t="str">
        <f t="shared" si="64"/>
        <v/>
      </c>
      <c r="O286" s="183" t="str">
        <f t="shared" si="65"/>
        <v/>
      </c>
      <c r="P286" s="199" t="str">
        <f t="shared" si="66"/>
        <v/>
      </c>
      <c r="Q286" s="199" t="str">
        <f>IF(B286="","",IFERROR(IF('עלויות כח אדם (6)'!J286&gt;=VLOOKUP(I286,'סיווג התפקידים והעלויות'!$B$23:$C$32,2,0),"תקין","לא תקין"),""))</f>
        <v/>
      </c>
      <c r="R286" s="199" t="str">
        <f t="shared" si="67"/>
        <v/>
      </c>
      <c r="S286" s="199" t="str">
        <f t="shared" si="68"/>
        <v/>
      </c>
      <c r="T286" s="199" t="str">
        <f t="shared" si="76"/>
        <v/>
      </c>
      <c r="U286" s="199" t="str">
        <f t="shared" si="69"/>
        <v/>
      </c>
      <c r="V286" s="989"/>
      <c r="X286" s="374" t="str">
        <f t="shared" si="70"/>
        <v/>
      </c>
      <c r="Y286" s="375" t="str">
        <f t="shared" si="71"/>
        <v/>
      </c>
      <c r="Z286" s="374" t="str">
        <f t="shared" si="72"/>
        <v/>
      </c>
      <c r="AA286" s="374" t="b">
        <f t="shared" si="73"/>
        <v>1</v>
      </c>
      <c r="AB286" s="374">
        <f>COUNTIFS(B:B,B286,H:H,'סיווג התפקידים והעלויות'!$C$2)</f>
        <v>0</v>
      </c>
      <c r="AC286" s="374">
        <f>COUNTIFS(B:B,B286,H:H,'סיווג התפקידים והעלויות'!$D$2)</f>
        <v>0</v>
      </c>
      <c r="AD286" s="374" t="str">
        <f>IF(OR(AND(H286='סיווג התפקידים והעלויות'!$A$2,I286='סיווג התפקידים והעלויות'!$A$3),'עלויות כח אדם (6)'!H286='סיווג התפקידים והעלויות'!$C$2,'עלויות כח אדם (6)'!H286='סיווג התפקידים והעלויות'!$D$2),IF('עלויות כח אדם (6)'!J286&lt;75,"לא תקין","תקין"),"")</f>
        <v/>
      </c>
      <c r="AE286" s="374" t="str">
        <f t="shared" si="74"/>
        <v/>
      </c>
      <c r="AF286" s="532" t="str">
        <f t="shared" si="75"/>
        <v/>
      </c>
    </row>
    <row r="287" spans="2:32" x14ac:dyDescent="0.25">
      <c r="B287" s="695"/>
      <c r="C287" s="197" t="str">
        <f>IF(B287&lt;&gt;"",IFERROR(VLOOKUP(B:B,'מצבת והרשמה (2)'!$C$20:$N$520,2,0)," ")," ")</f>
        <v xml:space="preserve"> </v>
      </c>
      <c r="D287" s="695"/>
      <c r="E287" s="696"/>
      <c r="F287" s="696"/>
      <c r="G287" s="696"/>
      <c r="H287" s="696"/>
      <c r="I287" s="1050" t="str">
        <f t="shared" si="62"/>
        <v/>
      </c>
      <c r="J287" s="696"/>
      <c r="K287" s="697"/>
      <c r="L287" s="696"/>
      <c r="M287" s="198" t="str">
        <f t="shared" si="63"/>
        <v/>
      </c>
      <c r="N287" s="369" t="str">
        <f t="shared" si="64"/>
        <v/>
      </c>
      <c r="O287" s="183" t="str">
        <f t="shared" si="65"/>
        <v/>
      </c>
      <c r="P287" s="199" t="str">
        <f t="shared" si="66"/>
        <v/>
      </c>
      <c r="Q287" s="199" t="str">
        <f>IF(B287="","",IFERROR(IF('עלויות כח אדם (6)'!J287&gt;=VLOOKUP(I287,'סיווג התפקידים והעלויות'!$B$23:$C$32,2,0),"תקין","לא תקין"),""))</f>
        <v/>
      </c>
      <c r="R287" s="199" t="str">
        <f t="shared" si="67"/>
        <v/>
      </c>
      <c r="S287" s="199" t="str">
        <f t="shared" si="68"/>
        <v/>
      </c>
      <c r="T287" s="199" t="str">
        <f t="shared" si="76"/>
        <v/>
      </c>
      <c r="U287" s="199" t="str">
        <f t="shared" si="69"/>
        <v/>
      </c>
      <c r="V287" s="989"/>
      <c r="X287" s="374" t="str">
        <f t="shared" si="70"/>
        <v/>
      </c>
      <c r="Y287" s="375" t="str">
        <f t="shared" si="71"/>
        <v/>
      </c>
      <c r="Z287" s="374" t="str">
        <f t="shared" si="72"/>
        <v/>
      </c>
      <c r="AA287" s="374" t="b">
        <f t="shared" si="73"/>
        <v>1</v>
      </c>
      <c r="AB287" s="374">
        <f>COUNTIFS(B:B,B287,H:H,'סיווג התפקידים והעלויות'!$C$2)</f>
        <v>0</v>
      </c>
      <c r="AC287" s="374">
        <f>COUNTIFS(B:B,B287,H:H,'סיווג התפקידים והעלויות'!$D$2)</f>
        <v>0</v>
      </c>
      <c r="AD287" s="374" t="str">
        <f>IF(OR(AND(H287='סיווג התפקידים והעלויות'!$A$2,I287='סיווג התפקידים והעלויות'!$A$3),'עלויות כח אדם (6)'!H287='סיווג התפקידים והעלויות'!$C$2,'עלויות כח אדם (6)'!H287='סיווג התפקידים והעלויות'!$D$2),IF('עלויות כח אדם (6)'!J287&lt;75,"לא תקין","תקין"),"")</f>
        <v/>
      </c>
      <c r="AE287" s="374" t="str">
        <f t="shared" si="74"/>
        <v/>
      </c>
      <c r="AF287" s="532" t="str">
        <f t="shared" si="75"/>
        <v/>
      </c>
    </row>
    <row r="288" spans="2:32" x14ac:dyDescent="0.25">
      <c r="B288" s="695"/>
      <c r="C288" s="197" t="str">
        <f>IF(B288&lt;&gt;"",IFERROR(VLOOKUP(B:B,'מצבת והרשמה (2)'!$C$20:$N$520,2,0)," ")," ")</f>
        <v xml:space="preserve"> </v>
      </c>
      <c r="D288" s="695"/>
      <c r="E288" s="696"/>
      <c r="F288" s="696"/>
      <c r="G288" s="696"/>
      <c r="H288" s="696"/>
      <c r="I288" s="1050" t="str">
        <f t="shared" si="62"/>
        <v/>
      </c>
      <c r="J288" s="696"/>
      <c r="K288" s="697"/>
      <c r="L288" s="696"/>
      <c r="M288" s="198" t="str">
        <f t="shared" si="63"/>
        <v/>
      </c>
      <c r="N288" s="369" t="str">
        <f t="shared" si="64"/>
        <v/>
      </c>
      <c r="O288" s="183" t="str">
        <f t="shared" si="65"/>
        <v/>
      </c>
      <c r="P288" s="199" t="str">
        <f t="shared" si="66"/>
        <v/>
      </c>
      <c r="Q288" s="199" t="str">
        <f>IF(B288="","",IFERROR(IF('עלויות כח אדם (6)'!J288&gt;=VLOOKUP(I288,'סיווג התפקידים והעלויות'!$B$23:$C$32,2,0),"תקין","לא תקין"),""))</f>
        <v/>
      </c>
      <c r="R288" s="199" t="str">
        <f t="shared" si="67"/>
        <v/>
      </c>
      <c r="S288" s="199" t="str">
        <f t="shared" si="68"/>
        <v/>
      </c>
      <c r="T288" s="199" t="str">
        <f t="shared" si="76"/>
        <v/>
      </c>
      <c r="U288" s="199" t="str">
        <f t="shared" si="69"/>
        <v/>
      </c>
      <c r="V288" s="989"/>
      <c r="X288" s="374" t="str">
        <f t="shared" si="70"/>
        <v/>
      </c>
      <c r="Y288" s="375" t="str">
        <f t="shared" si="71"/>
        <v/>
      </c>
      <c r="Z288" s="374" t="str">
        <f t="shared" si="72"/>
        <v/>
      </c>
      <c r="AA288" s="374" t="b">
        <f t="shared" si="73"/>
        <v>1</v>
      </c>
      <c r="AB288" s="374">
        <f>COUNTIFS(B:B,B288,H:H,'סיווג התפקידים והעלויות'!$C$2)</f>
        <v>0</v>
      </c>
      <c r="AC288" s="374">
        <f>COUNTIFS(B:B,B288,H:H,'סיווג התפקידים והעלויות'!$D$2)</f>
        <v>0</v>
      </c>
      <c r="AD288" s="374" t="str">
        <f>IF(OR(AND(H288='סיווג התפקידים והעלויות'!$A$2,I288='סיווג התפקידים והעלויות'!$A$3),'עלויות כח אדם (6)'!H288='סיווג התפקידים והעלויות'!$C$2,'עלויות כח אדם (6)'!H288='סיווג התפקידים והעלויות'!$D$2),IF('עלויות כח אדם (6)'!J288&lt;75,"לא תקין","תקין"),"")</f>
        <v/>
      </c>
      <c r="AE288" s="374" t="str">
        <f t="shared" si="74"/>
        <v/>
      </c>
      <c r="AF288" s="532" t="str">
        <f t="shared" si="75"/>
        <v/>
      </c>
    </row>
    <row r="289" spans="2:32" x14ac:dyDescent="0.25">
      <c r="B289" s="695"/>
      <c r="C289" s="197" t="str">
        <f>IF(B289&lt;&gt;"",IFERROR(VLOOKUP(B:B,'מצבת והרשמה (2)'!$C$20:$N$520,2,0)," ")," ")</f>
        <v xml:space="preserve"> </v>
      </c>
      <c r="D289" s="695"/>
      <c r="E289" s="696"/>
      <c r="F289" s="696"/>
      <c r="G289" s="696"/>
      <c r="H289" s="696"/>
      <c r="I289" s="1050" t="str">
        <f t="shared" si="62"/>
        <v/>
      </c>
      <c r="J289" s="696"/>
      <c r="K289" s="697"/>
      <c r="L289" s="696"/>
      <c r="M289" s="198" t="str">
        <f t="shared" si="63"/>
        <v/>
      </c>
      <c r="N289" s="369" t="str">
        <f t="shared" si="64"/>
        <v/>
      </c>
      <c r="O289" s="183" t="str">
        <f t="shared" si="65"/>
        <v/>
      </c>
      <c r="P289" s="199" t="str">
        <f t="shared" si="66"/>
        <v/>
      </c>
      <c r="Q289" s="199" t="str">
        <f>IF(B289="","",IFERROR(IF('עלויות כח אדם (6)'!J289&gt;=VLOOKUP(I289,'סיווג התפקידים והעלויות'!$B$23:$C$32,2,0),"תקין","לא תקין"),""))</f>
        <v/>
      </c>
      <c r="R289" s="199" t="str">
        <f t="shared" si="67"/>
        <v/>
      </c>
      <c r="S289" s="199" t="str">
        <f t="shared" si="68"/>
        <v/>
      </c>
      <c r="T289" s="199" t="str">
        <f t="shared" si="76"/>
        <v/>
      </c>
      <c r="U289" s="199" t="str">
        <f t="shared" si="69"/>
        <v/>
      </c>
      <c r="V289" s="989"/>
      <c r="X289" s="374" t="str">
        <f t="shared" si="70"/>
        <v/>
      </c>
      <c r="Y289" s="375" t="str">
        <f t="shared" si="71"/>
        <v/>
      </c>
      <c r="Z289" s="374" t="str">
        <f t="shared" si="72"/>
        <v/>
      </c>
      <c r="AA289" s="374" t="b">
        <f t="shared" si="73"/>
        <v>1</v>
      </c>
      <c r="AB289" s="374">
        <f>COUNTIFS(B:B,B289,H:H,'סיווג התפקידים והעלויות'!$C$2)</f>
        <v>0</v>
      </c>
      <c r="AC289" s="374">
        <f>COUNTIFS(B:B,B289,H:H,'סיווג התפקידים והעלויות'!$D$2)</f>
        <v>0</v>
      </c>
      <c r="AD289" s="374" t="str">
        <f>IF(OR(AND(H289='סיווג התפקידים והעלויות'!$A$2,I289='סיווג התפקידים והעלויות'!$A$3),'עלויות כח אדם (6)'!H289='סיווג התפקידים והעלויות'!$C$2,'עלויות כח אדם (6)'!H289='סיווג התפקידים והעלויות'!$D$2),IF('עלויות כח אדם (6)'!J289&lt;75,"לא תקין","תקין"),"")</f>
        <v/>
      </c>
      <c r="AE289" s="374" t="str">
        <f t="shared" si="74"/>
        <v/>
      </c>
      <c r="AF289" s="532" t="str">
        <f t="shared" si="75"/>
        <v/>
      </c>
    </row>
    <row r="290" spans="2:32" x14ac:dyDescent="0.25">
      <c r="B290" s="695"/>
      <c r="C290" s="197" t="str">
        <f>IF(B290&lt;&gt;"",IFERROR(VLOOKUP(B:B,'מצבת והרשמה (2)'!$C$20:$N$520,2,0)," ")," ")</f>
        <v xml:space="preserve"> </v>
      </c>
      <c r="D290" s="695"/>
      <c r="E290" s="696"/>
      <c r="F290" s="696"/>
      <c r="G290" s="696"/>
      <c r="H290" s="696"/>
      <c r="I290" s="1050" t="str">
        <f t="shared" si="62"/>
        <v/>
      </c>
      <c r="J290" s="696"/>
      <c r="K290" s="697"/>
      <c r="L290" s="696"/>
      <c r="M290" s="198" t="str">
        <f t="shared" si="63"/>
        <v/>
      </c>
      <c r="N290" s="369" t="str">
        <f t="shared" si="64"/>
        <v/>
      </c>
      <c r="O290" s="183" t="str">
        <f t="shared" si="65"/>
        <v/>
      </c>
      <c r="P290" s="199" t="str">
        <f t="shared" si="66"/>
        <v/>
      </c>
      <c r="Q290" s="199" t="str">
        <f>IF(B290="","",IFERROR(IF('עלויות כח אדם (6)'!J290&gt;=VLOOKUP(I290,'סיווג התפקידים והעלויות'!$B$23:$C$32,2,0),"תקין","לא תקין"),""))</f>
        <v/>
      </c>
      <c r="R290" s="199" t="str">
        <f t="shared" si="67"/>
        <v/>
      </c>
      <c r="S290" s="199" t="str">
        <f t="shared" si="68"/>
        <v/>
      </c>
      <c r="T290" s="199" t="str">
        <f t="shared" si="76"/>
        <v/>
      </c>
      <c r="U290" s="199" t="str">
        <f t="shared" si="69"/>
        <v/>
      </c>
      <c r="V290" s="989"/>
      <c r="X290" s="374" t="str">
        <f t="shared" si="70"/>
        <v/>
      </c>
      <c r="Y290" s="375" t="str">
        <f t="shared" si="71"/>
        <v/>
      </c>
      <c r="Z290" s="374" t="str">
        <f t="shared" si="72"/>
        <v/>
      </c>
      <c r="AA290" s="374" t="b">
        <f t="shared" si="73"/>
        <v>1</v>
      </c>
      <c r="AB290" s="374">
        <f>COUNTIFS(B:B,B290,H:H,'סיווג התפקידים והעלויות'!$C$2)</f>
        <v>0</v>
      </c>
      <c r="AC290" s="374">
        <f>COUNTIFS(B:B,B290,H:H,'סיווג התפקידים והעלויות'!$D$2)</f>
        <v>0</v>
      </c>
      <c r="AD290" s="374" t="str">
        <f>IF(OR(AND(H290='סיווג התפקידים והעלויות'!$A$2,I290='סיווג התפקידים והעלויות'!$A$3),'עלויות כח אדם (6)'!H290='סיווג התפקידים והעלויות'!$C$2,'עלויות כח אדם (6)'!H290='סיווג התפקידים והעלויות'!$D$2),IF('עלויות כח אדם (6)'!J290&lt;75,"לא תקין","תקין"),"")</f>
        <v/>
      </c>
      <c r="AE290" s="374" t="str">
        <f t="shared" si="74"/>
        <v/>
      </c>
      <c r="AF290" s="532" t="str">
        <f t="shared" si="75"/>
        <v/>
      </c>
    </row>
    <row r="291" spans="2:32" x14ac:dyDescent="0.25">
      <c r="B291" s="695"/>
      <c r="C291" s="197" t="str">
        <f>IF(B291&lt;&gt;"",IFERROR(VLOOKUP(B:B,'מצבת והרשמה (2)'!$C$20:$N$520,2,0)," ")," ")</f>
        <v xml:space="preserve"> </v>
      </c>
      <c r="D291" s="695"/>
      <c r="E291" s="696"/>
      <c r="F291" s="696"/>
      <c r="G291" s="696"/>
      <c r="H291" s="696"/>
      <c r="I291" s="1050" t="str">
        <f t="shared" si="62"/>
        <v/>
      </c>
      <c r="J291" s="696"/>
      <c r="K291" s="697"/>
      <c r="L291" s="696"/>
      <c r="M291" s="198" t="str">
        <f t="shared" si="63"/>
        <v/>
      </c>
      <c r="N291" s="369" t="str">
        <f t="shared" si="64"/>
        <v/>
      </c>
      <c r="O291" s="183" t="str">
        <f t="shared" si="65"/>
        <v/>
      </c>
      <c r="P291" s="199" t="str">
        <f t="shared" si="66"/>
        <v/>
      </c>
      <c r="Q291" s="199" t="str">
        <f>IF(B291="","",IFERROR(IF('עלויות כח אדם (6)'!J291&gt;=VLOOKUP(I291,'סיווג התפקידים והעלויות'!$B$23:$C$32,2,0),"תקין","לא תקין"),""))</f>
        <v/>
      </c>
      <c r="R291" s="199" t="str">
        <f t="shared" si="67"/>
        <v/>
      </c>
      <c r="S291" s="199" t="str">
        <f t="shared" si="68"/>
        <v/>
      </c>
      <c r="T291" s="199" t="str">
        <f t="shared" si="76"/>
        <v/>
      </c>
      <c r="U291" s="199" t="str">
        <f t="shared" si="69"/>
        <v/>
      </c>
      <c r="V291" s="989"/>
      <c r="X291" s="374" t="str">
        <f t="shared" si="70"/>
        <v/>
      </c>
      <c r="Y291" s="375" t="str">
        <f t="shared" si="71"/>
        <v/>
      </c>
      <c r="Z291" s="374" t="str">
        <f t="shared" si="72"/>
        <v/>
      </c>
      <c r="AA291" s="374" t="b">
        <f t="shared" si="73"/>
        <v>1</v>
      </c>
      <c r="AB291" s="374">
        <f>COUNTIFS(B:B,B291,H:H,'סיווג התפקידים והעלויות'!$C$2)</f>
        <v>0</v>
      </c>
      <c r="AC291" s="374">
        <f>COUNTIFS(B:B,B291,H:H,'סיווג התפקידים והעלויות'!$D$2)</f>
        <v>0</v>
      </c>
      <c r="AD291" s="374" t="str">
        <f>IF(OR(AND(H291='סיווג התפקידים והעלויות'!$A$2,I291='סיווג התפקידים והעלויות'!$A$3),'עלויות כח אדם (6)'!H291='סיווג התפקידים והעלויות'!$C$2,'עלויות כח אדם (6)'!H291='סיווג התפקידים והעלויות'!$D$2),IF('עלויות כח אדם (6)'!J291&lt;75,"לא תקין","תקין"),"")</f>
        <v/>
      </c>
      <c r="AE291" s="374" t="str">
        <f t="shared" si="74"/>
        <v/>
      </c>
      <c r="AF291" s="532" t="str">
        <f t="shared" si="75"/>
        <v/>
      </c>
    </row>
    <row r="292" spans="2:32" x14ac:dyDescent="0.25">
      <c r="B292" s="695"/>
      <c r="C292" s="197" t="str">
        <f>IF(B292&lt;&gt;"",IFERROR(VLOOKUP(B:B,'מצבת והרשמה (2)'!$C$20:$N$520,2,0)," ")," ")</f>
        <v xml:space="preserve"> </v>
      </c>
      <c r="D292" s="695"/>
      <c r="E292" s="696"/>
      <c r="F292" s="696"/>
      <c r="G292" s="696"/>
      <c r="H292" s="696"/>
      <c r="I292" s="1050" t="str">
        <f t="shared" si="62"/>
        <v/>
      </c>
      <c r="J292" s="696"/>
      <c r="K292" s="697"/>
      <c r="L292" s="696"/>
      <c r="M292" s="198" t="str">
        <f t="shared" si="63"/>
        <v/>
      </c>
      <c r="N292" s="369" t="str">
        <f t="shared" si="64"/>
        <v/>
      </c>
      <c r="O292" s="183" t="str">
        <f t="shared" si="65"/>
        <v/>
      </c>
      <c r="P292" s="199" t="str">
        <f t="shared" si="66"/>
        <v/>
      </c>
      <c r="Q292" s="199" t="str">
        <f>IF(B292="","",IFERROR(IF('עלויות כח אדם (6)'!J292&gt;=VLOOKUP(I292,'סיווג התפקידים והעלויות'!$B$23:$C$32,2,0),"תקין","לא תקין"),""))</f>
        <v/>
      </c>
      <c r="R292" s="199" t="str">
        <f t="shared" si="67"/>
        <v/>
      </c>
      <c r="S292" s="199" t="str">
        <f t="shared" si="68"/>
        <v/>
      </c>
      <c r="T292" s="199" t="str">
        <f t="shared" si="76"/>
        <v/>
      </c>
      <c r="U292" s="199" t="str">
        <f t="shared" si="69"/>
        <v/>
      </c>
      <c r="V292" s="989"/>
      <c r="X292" s="374" t="str">
        <f t="shared" si="70"/>
        <v/>
      </c>
      <c r="Y292" s="375" t="str">
        <f t="shared" si="71"/>
        <v/>
      </c>
      <c r="Z292" s="374" t="str">
        <f t="shared" si="72"/>
        <v/>
      </c>
      <c r="AA292" s="374" t="b">
        <f t="shared" si="73"/>
        <v>1</v>
      </c>
      <c r="AB292" s="374">
        <f>COUNTIFS(B:B,B292,H:H,'סיווג התפקידים והעלויות'!$C$2)</f>
        <v>0</v>
      </c>
      <c r="AC292" s="374">
        <f>COUNTIFS(B:B,B292,H:H,'סיווג התפקידים והעלויות'!$D$2)</f>
        <v>0</v>
      </c>
      <c r="AD292" s="374" t="str">
        <f>IF(OR(AND(H292='סיווג התפקידים והעלויות'!$A$2,I292='סיווג התפקידים והעלויות'!$A$3),'עלויות כח אדם (6)'!H292='סיווג התפקידים והעלויות'!$C$2,'עלויות כח אדם (6)'!H292='סיווג התפקידים והעלויות'!$D$2),IF('עלויות כח אדם (6)'!J292&lt;75,"לא תקין","תקין"),"")</f>
        <v/>
      </c>
      <c r="AE292" s="374" t="str">
        <f t="shared" si="74"/>
        <v/>
      </c>
      <c r="AF292" s="532" t="str">
        <f t="shared" si="75"/>
        <v/>
      </c>
    </row>
    <row r="293" spans="2:32" x14ac:dyDescent="0.25">
      <c r="B293" s="695"/>
      <c r="C293" s="197" t="str">
        <f>IF(B293&lt;&gt;"",IFERROR(VLOOKUP(B:B,'מצבת והרשמה (2)'!$C$20:$N$520,2,0)," ")," ")</f>
        <v xml:space="preserve"> </v>
      </c>
      <c r="D293" s="695"/>
      <c r="E293" s="696"/>
      <c r="F293" s="696"/>
      <c r="G293" s="696"/>
      <c r="H293" s="696"/>
      <c r="I293" s="1050" t="str">
        <f t="shared" si="62"/>
        <v/>
      </c>
      <c r="J293" s="696"/>
      <c r="K293" s="697"/>
      <c r="L293" s="696"/>
      <c r="M293" s="198" t="str">
        <f t="shared" si="63"/>
        <v/>
      </c>
      <c r="N293" s="369" t="str">
        <f t="shared" si="64"/>
        <v/>
      </c>
      <c r="O293" s="183" t="str">
        <f t="shared" si="65"/>
        <v/>
      </c>
      <c r="P293" s="199" t="str">
        <f t="shared" si="66"/>
        <v/>
      </c>
      <c r="Q293" s="199" t="str">
        <f>IF(B293="","",IFERROR(IF('עלויות כח אדם (6)'!J293&gt;=VLOOKUP(I293,'סיווג התפקידים והעלויות'!$B$23:$C$32,2,0),"תקין","לא תקין"),""))</f>
        <v/>
      </c>
      <c r="R293" s="199" t="str">
        <f t="shared" si="67"/>
        <v/>
      </c>
      <c r="S293" s="199" t="str">
        <f t="shared" si="68"/>
        <v/>
      </c>
      <c r="T293" s="199" t="str">
        <f t="shared" si="76"/>
        <v/>
      </c>
      <c r="U293" s="199" t="str">
        <f t="shared" si="69"/>
        <v/>
      </c>
      <c r="V293" s="989"/>
      <c r="X293" s="374" t="str">
        <f t="shared" si="70"/>
        <v/>
      </c>
      <c r="Y293" s="375" t="str">
        <f t="shared" si="71"/>
        <v/>
      </c>
      <c r="Z293" s="374" t="str">
        <f t="shared" si="72"/>
        <v/>
      </c>
      <c r="AA293" s="374" t="b">
        <f t="shared" si="73"/>
        <v>1</v>
      </c>
      <c r="AB293" s="374">
        <f>COUNTIFS(B:B,B293,H:H,'סיווג התפקידים והעלויות'!$C$2)</f>
        <v>0</v>
      </c>
      <c r="AC293" s="374">
        <f>COUNTIFS(B:B,B293,H:H,'סיווג התפקידים והעלויות'!$D$2)</f>
        <v>0</v>
      </c>
      <c r="AD293" s="374" t="str">
        <f>IF(OR(AND(H293='סיווג התפקידים והעלויות'!$A$2,I293='סיווג התפקידים והעלויות'!$A$3),'עלויות כח אדם (6)'!H293='סיווג התפקידים והעלויות'!$C$2,'עלויות כח אדם (6)'!H293='סיווג התפקידים והעלויות'!$D$2),IF('עלויות כח אדם (6)'!J293&lt;75,"לא תקין","תקין"),"")</f>
        <v/>
      </c>
      <c r="AE293" s="374" t="str">
        <f t="shared" si="74"/>
        <v/>
      </c>
      <c r="AF293" s="532" t="str">
        <f t="shared" si="75"/>
        <v/>
      </c>
    </row>
    <row r="294" spans="2:32" x14ac:dyDescent="0.25">
      <c r="B294" s="695"/>
      <c r="C294" s="197" t="str">
        <f>IF(B294&lt;&gt;"",IFERROR(VLOOKUP(B:B,'מצבת והרשמה (2)'!$C$20:$N$520,2,0)," ")," ")</f>
        <v xml:space="preserve"> </v>
      </c>
      <c r="D294" s="695"/>
      <c r="E294" s="696"/>
      <c r="F294" s="696"/>
      <c r="G294" s="696"/>
      <c r="H294" s="696"/>
      <c r="I294" s="1050" t="str">
        <f t="shared" si="62"/>
        <v/>
      </c>
      <c r="J294" s="696"/>
      <c r="K294" s="697"/>
      <c r="L294" s="696"/>
      <c r="M294" s="198" t="str">
        <f t="shared" si="63"/>
        <v/>
      </c>
      <c r="N294" s="369" t="str">
        <f t="shared" si="64"/>
        <v/>
      </c>
      <c r="O294" s="183" t="str">
        <f t="shared" si="65"/>
        <v/>
      </c>
      <c r="P294" s="199" t="str">
        <f t="shared" si="66"/>
        <v/>
      </c>
      <c r="Q294" s="199" t="str">
        <f>IF(B294="","",IFERROR(IF('עלויות כח אדם (6)'!J294&gt;=VLOOKUP(I294,'סיווג התפקידים והעלויות'!$B$23:$C$32,2,0),"תקין","לא תקין"),""))</f>
        <v/>
      </c>
      <c r="R294" s="199" t="str">
        <f t="shared" si="67"/>
        <v/>
      </c>
      <c r="S294" s="199" t="str">
        <f t="shared" si="68"/>
        <v/>
      </c>
      <c r="T294" s="199" t="str">
        <f t="shared" si="76"/>
        <v/>
      </c>
      <c r="U294" s="199" t="str">
        <f t="shared" si="69"/>
        <v/>
      </c>
      <c r="V294" s="989"/>
      <c r="X294" s="374" t="str">
        <f t="shared" si="70"/>
        <v/>
      </c>
      <c r="Y294" s="375" t="str">
        <f t="shared" si="71"/>
        <v/>
      </c>
      <c r="Z294" s="374" t="str">
        <f t="shared" si="72"/>
        <v/>
      </c>
      <c r="AA294" s="374" t="b">
        <f t="shared" si="73"/>
        <v>1</v>
      </c>
      <c r="AB294" s="374">
        <f>COUNTIFS(B:B,B294,H:H,'סיווג התפקידים והעלויות'!$C$2)</f>
        <v>0</v>
      </c>
      <c r="AC294" s="374">
        <f>COUNTIFS(B:B,B294,H:H,'סיווג התפקידים והעלויות'!$D$2)</f>
        <v>0</v>
      </c>
      <c r="AD294" s="374" t="str">
        <f>IF(OR(AND(H294='סיווג התפקידים והעלויות'!$A$2,I294='סיווג התפקידים והעלויות'!$A$3),'עלויות כח אדם (6)'!H294='סיווג התפקידים והעלויות'!$C$2,'עלויות כח אדם (6)'!H294='סיווג התפקידים והעלויות'!$D$2),IF('עלויות כח אדם (6)'!J294&lt;75,"לא תקין","תקין"),"")</f>
        <v/>
      </c>
      <c r="AE294" s="374" t="str">
        <f t="shared" si="74"/>
        <v/>
      </c>
      <c r="AF294" s="532" t="str">
        <f t="shared" si="75"/>
        <v/>
      </c>
    </row>
    <row r="295" spans="2:32" x14ac:dyDescent="0.25">
      <c r="B295" s="695"/>
      <c r="C295" s="197" t="str">
        <f>IF(B295&lt;&gt;"",IFERROR(VLOOKUP(B:B,'מצבת והרשמה (2)'!$C$20:$N$520,2,0)," ")," ")</f>
        <v xml:space="preserve"> </v>
      </c>
      <c r="D295" s="695"/>
      <c r="E295" s="696"/>
      <c r="F295" s="696"/>
      <c r="G295" s="696"/>
      <c r="H295" s="696"/>
      <c r="I295" s="1050" t="str">
        <f t="shared" si="62"/>
        <v/>
      </c>
      <c r="J295" s="696"/>
      <c r="K295" s="697"/>
      <c r="L295" s="696"/>
      <c r="M295" s="198" t="str">
        <f t="shared" si="63"/>
        <v/>
      </c>
      <c r="N295" s="369" t="str">
        <f t="shared" si="64"/>
        <v/>
      </c>
      <c r="O295" s="183" t="str">
        <f t="shared" si="65"/>
        <v/>
      </c>
      <c r="P295" s="199" t="str">
        <f t="shared" si="66"/>
        <v/>
      </c>
      <c r="Q295" s="199" t="str">
        <f>IF(B295="","",IFERROR(IF('עלויות כח אדם (6)'!J295&gt;=VLOOKUP(I295,'סיווג התפקידים והעלויות'!$B$23:$C$32,2,0),"תקין","לא תקין"),""))</f>
        <v/>
      </c>
      <c r="R295" s="199" t="str">
        <f t="shared" si="67"/>
        <v/>
      </c>
      <c r="S295" s="199" t="str">
        <f t="shared" si="68"/>
        <v/>
      </c>
      <c r="T295" s="199" t="str">
        <f t="shared" si="76"/>
        <v/>
      </c>
      <c r="U295" s="199" t="str">
        <f t="shared" si="69"/>
        <v/>
      </c>
      <c r="V295" s="989"/>
      <c r="X295" s="374" t="str">
        <f t="shared" si="70"/>
        <v/>
      </c>
      <c r="Y295" s="375" t="str">
        <f t="shared" si="71"/>
        <v/>
      </c>
      <c r="Z295" s="374" t="str">
        <f t="shared" si="72"/>
        <v/>
      </c>
      <c r="AA295" s="374" t="b">
        <f t="shared" si="73"/>
        <v>1</v>
      </c>
      <c r="AB295" s="374">
        <f>COUNTIFS(B:B,B295,H:H,'סיווג התפקידים והעלויות'!$C$2)</f>
        <v>0</v>
      </c>
      <c r="AC295" s="374">
        <f>COUNTIFS(B:B,B295,H:H,'סיווג התפקידים והעלויות'!$D$2)</f>
        <v>0</v>
      </c>
      <c r="AD295" s="374" t="str">
        <f>IF(OR(AND(H295='סיווג התפקידים והעלויות'!$A$2,I295='סיווג התפקידים והעלויות'!$A$3),'עלויות כח אדם (6)'!H295='סיווג התפקידים והעלויות'!$C$2,'עלויות כח אדם (6)'!H295='סיווג התפקידים והעלויות'!$D$2),IF('עלויות כח אדם (6)'!J295&lt;75,"לא תקין","תקין"),"")</f>
        <v/>
      </c>
      <c r="AE295" s="374" t="str">
        <f t="shared" si="74"/>
        <v/>
      </c>
      <c r="AF295" s="532" t="str">
        <f t="shared" si="75"/>
        <v/>
      </c>
    </row>
    <row r="296" spans="2:32" x14ac:dyDescent="0.25">
      <c r="B296" s="695"/>
      <c r="C296" s="197" t="str">
        <f>IF(B296&lt;&gt;"",IFERROR(VLOOKUP(B:B,'מצבת והרשמה (2)'!$C$20:$N$520,2,0)," ")," ")</f>
        <v xml:space="preserve"> </v>
      </c>
      <c r="D296" s="695"/>
      <c r="E296" s="696"/>
      <c r="F296" s="696"/>
      <c r="G296" s="696"/>
      <c r="H296" s="696"/>
      <c r="I296" s="1050" t="str">
        <f t="shared" si="62"/>
        <v/>
      </c>
      <c r="J296" s="696"/>
      <c r="K296" s="697"/>
      <c r="L296" s="696"/>
      <c r="M296" s="198" t="str">
        <f t="shared" si="63"/>
        <v/>
      </c>
      <c r="N296" s="369" t="str">
        <f t="shared" si="64"/>
        <v/>
      </c>
      <c r="O296" s="183" t="str">
        <f t="shared" si="65"/>
        <v/>
      </c>
      <c r="P296" s="199" t="str">
        <f t="shared" si="66"/>
        <v/>
      </c>
      <c r="Q296" s="199" t="str">
        <f>IF(B296="","",IFERROR(IF('עלויות כח אדם (6)'!J296&gt;=VLOOKUP(I296,'סיווג התפקידים והעלויות'!$B$23:$C$32,2,0),"תקין","לא תקין"),""))</f>
        <v/>
      </c>
      <c r="R296" s="199" t="str">
        <f t="shared" si="67"/>
        <v/>
      </c>
      <c r="S296" s="199" t="str">
        <f t="shared" si="68"/>
        <v/>
      </c>
      <c r="T296" s="199" t="str">
        <f t="shared" si="76"/>
        <v/>
      </c>
      <c r="U296" s="199" t="str">
        <f t="shared" si="69"/>
        <v/>
      </c>
      <c r="V296" s="989"/>
      <c r="X296" s="374" t="str">
        <f t="shared" si="70"/>
        <v/>
      </c>
      <c r="Y296" s="375" t="str">
        <f t="shared" si="71"/>
        <v/>
      </c>
      <c r="Z296" s="374" t="str">
        <f t="shared" si="72"/>
        <v/>
      </c>
      <c r="AA296" s="374" t="b">
        <f t="shared" si="73"/>
        <v>1</v>
      </c>
      <c r="AB296" s="374">
        <f>COUNTIFS(B:B,B296,H:H,'סיווג התפקידים והעלויות'!$C$2)</f>
        <v>0</v>
      </c>
      <c r="AC296" s="374">
        <f>COUNTIFS(B:B,B296,H:H,'סיווג התפקידים והעלויות'!$D$2)</f>
        <v>0</v>
      </c>
      <c r="AD296" s="374" t="str">
        <f>IF(OR(AND(H296='סיווג התפקידים והעלויות'!$A$2,I296='סיווג התפקידים והעלויות'!$A$3),'עלויות כח אדם (6)'!H296='סיווג התפקידים והעלויות'!$C$2,'עלויות כח אדם (6)'!H296='סיווג התפקידים והעלויות'!$D$2),IF('עלויות כח אדם (6)'!J296&lt;75,"לא תקין","תקין"),"")</f>
        <v/>
      </c>
      <c r="AE296" s="374" t="str">
        <f t="shared" si="74"/>
        <v/>
      </c>
      <c r="AF296" s="532" t="str">
        <f t="shared" si="75"/>
        <v/>
      </c>
    </row>
    <row r="297" spans="2:32" x14ac:dyDescent="0.25">
      <c r="B297" s="695"/>
      <c r="C297" s="197" t="str">
        <f>IF(B297&lt;&gt;"",IFERROR(VLOOKUP(B:B,'מצבת והרשמה (2)'!$C$20:$N$520,2,0)," ")," ")</f>
        <v xml:space="preserve"> </v>
      </c>
      <c r="D297" s="695"/>
      <c r="E297" s="696"/>
      <c r="F297" s="696"/>
      <c r="G297" s="696"/>
      <c r="H297" s="696"/>
      <c r="I297" s="1050" t="str">
        <f t="shared" si="62"/>
        <v/>
      </c>
      <c r="J297" s="696"/>
      <c r="K297" s="697"/>
      <c r="L297" s="696"/>
      <c r="M297" s="198" t="str">
        <f t="shared" si="63"/>
        <v/>
      </c>
      <c r="N297" s="369" t="str">
        <f t="shared" si="64"/>
        <v/>
      </c>
      <c r="O297" s="183" t="str">
        <f t="shared" si="65"/>
        <v/>
      </c>
      <c r="P297" s="199" t="str">
        <f t="shared" si="66"/>
        <v/>
      </c>
      <c r="Q297" s="199" t="str">
        <f>IF(B297="","",IFERROR(IF('עלויות כח אדם (6)'!J297&gt;=VLOOKUP(I297,'סיווג התפקידים והעלויות'!$B$23:$C$32,2,0),"תקין","לא תקין"),""))</f>
        <v/>
      </c>
      <c r="R297" s="199" t="str">
        <f t="shared" si="67"/>
        <v/>
      </c>
      <c r="S297" s="199" t="str">
        <f t="shared" si="68"/>
        <v/>
      </c>
      <c r="T297" s="199" t="str">
        <f t="shared" si="76"/>
        <v/>
      </c>
      <c r="U297" s="199" t="str">
        <f t="shared" si="69"/>
        <v/>
      </c>
      <c r="V297" s="989"/>
      <c r="X297" s="374" t="str">
        <f t="shared" si="70"/>
        <v/>
      </c>
      <c r="Y297" s="375" t="str">
        <f t="shared" si="71"/>
        <v/>
      </c>
      <c r="Z297" s="374" t="str">
        <f t="shared" si="72"/>
        <v/>
      </c>
      <c r="AA297" s="374" t="b">
        <f t="shared" si="73"/>
        <v>1</v>
      </c>
      <c r="AB297" s="374">
        <f>COUNTIFS(B:B,B297,H:H,'סיווג התפקידים והעלויות'!$C$2)</f>
        <v>0</v>
      </c>
      <c r="AC297" s="374">
        <f>COUNTIFS(B:B,B297,H:H,'סיווג התפקידים והעלויות'!$D$2)</f>
        <v>0</v>
      </c>
      <c r="AD297" s="374" t="str">
        <f>IF(OR(AND(H297='סיווג התפקידים והעלויות'!$A$2,I297='סיווג התפקידים והעלויות'!$A$3),'עלויות כח אדם (6)'!H297='סיווג התפקידים והעלויות'!$C$2,'עלויות כח אדם (6)'!H297='סיווג התפקידים והעלויות'!$D$2),IF('עלויות כח אדם (6)'!J297&lt;75,"לא תקין","תקין"),"")</f>
        <v/>
      </c>
      <c r="AE297" s="374" t="str">
        <f t="shared" si="74"/>
        <v/>
      </c>
      <c r="AF297" s="532" t="str">
        <f t="shared" si="75"/>
        <v/>
      </c>
    </row>
    <row r="298" spans="2:32" x14ac:dyDescent="0.25">
      <c r="B298" s="695"/>
      <c r="C298" s="197" t="str">
        <f>IF(B298&lt;&gt;"",IFERROR(VLOOKUP(B:B,'מצבת והרשמה (2)'!$C$20:$N$520,2,0)," ")," ")</f>
        <v xml:space="preserve"> </v>
      </c>
      <c r="D298" s="695"/>
      <c r="E298" s="696"/>
      <c r="F298" s="696"/>
      <c r="G298" s="696"/>
      <c r="H298" s="696"/>
      <c r="I298" s="1050" t="str">
        <f t="shared" si="62"/>
        <v/>
      </c>
      <c r="J298" s="696"/>
      <c r="K298" s="697"/>
      <c r="L298" s="696"/>
      <c r="M298" s="198" t="str">
        <f t="shared" si="63"/>
        <v/>
      </c>
      <c r="N298" s="369" t="str">
        <f t="shared" si="64"/>
        <v/>
      </c>
      <c r="O298" s="183" t="str">
        <f t="shared" si="65"/>
        <v/>
      </c>
      <c r="P298" s="199" t="str">
        <f t="shared" si="66"/>
        <v/>
      </c>
      <c r="Q298" s="199" t="str">
        <f>IF(B298="","",IFERROR(IF('עלויות כח אדם (6)'!J298&gt;=VLOOKUP(I298,'סיווג התפקידים והעלויות'!$B$23:$C$32,2,0),"תקין","לא תקין"),""))</f>
        <v/>
      </c>
      <c r="R298" s="199" t="str">
        <f t="shared" si="67"/>
        <v/>
      </c>
      <c r="S298" s="199" t="str">
        <f t="shared" si="68"/>
        <v/>
      </c>
      <c r="T298" s="199" t="str">
        <f t="shared" si="76"/>
        <v/>
      </c>
      <c r="U298" s="199" t="str">
        <f t="shared" si="69"/>
        <v/>
      </c>
      <c r="V298" s="989"/>
      <c r="X298" s="374" t="str">
        <f t="shared" si="70"/>
        <v/>
      </c>
      <c r="Y298" s="375" t="str">
        <f t="shared" si="71"/>
        <v/>
      </c>
      <c r="Z298" s="374" t="str">
        <f t="shared" si="72"/>
        <v/>
      </c>
      <c r="AA298" s="374" t="b">
        <f t="shared" si="73"/>
        <v>1</v>
      </c>
      <c r="AB298" s="374">
        <f>COUNTIFS(B:B,B298,H:H,'סיווג התפקידים והעלויות'!$C$2)</f>
        <v>0</v>
      </c>
      <c r="AC298" s="374">
        <f>COUNTIFS(B:B,B298,H:H,'סיווג התפקידים והעלויות'!$D$2)</f>
        <v>0</v>
      </c>
      <c r="AD298" s="374" t="str">
        <f>IF(OR(AND(H298='סיווג התפקידים והעלויות'!$A$2,I298='סיווג התפקידים והעלויות'!$A$3),'עלויות כח אדם (6)'!H298='סיווג התפקידים והעלויות'!$C$2,'עלויות כח אדם (6)'!H298='סיווג התפקידים והעלויות'!$D$2),IF('עלויות כח אדם (6)'!J298&lt;75,"לא תקין","תקין"),"")</f>
        <v/>
      </c>
      <c r="AE298" s="374" t="str">
        <f t="shared" si="74"/>
        <v/>
      </c>
      <c r="AF298" s="532" t="str">
        <f t="shared" si="75"/>
        <v/>
      </c>
    </row>
    <row r="299" spans="2:32" x14ac:dyDescent="0.25">
      <c r="B299" s="695"/>
      <c r="C299" s="197" t="str">
        <f>IF(B299&lt;&gt;"",IFERROR(VLOOKUP(B:B,'מצבת והרשמה (2)'!$C$20:$N$520,2,0)," ")," ")</f>
        <v xml:space="preserve"> </v>
      </c>
      <c r="D299" s="695"/>
      <c r="E299" s="696"/>
      <c r="F299" s="696"/>
      <c r="G299" s="696"/>
      <c r="H299" s="696"/>
      <c r="I299" s="1050" t="str">
        <f t="shared" si="62"/>
        <v/>
      </c>
      <c r="J299" s="696"/>
      <c r="K299" s="697"/>
      <c r="L299" s="696"/>
      <c r="M299" s="198" t="str">
        <f t="shared" si="63"/>
        <v/>
      </c>
      <c r="N299" s="369" t="str">
        <f t="shared" si="64"/>
        <v/>
      </c>
      <c r="O299" s="183" t="str">
        <f t="shared" si="65"/>
        <v/>
      </c>
      <c r="P299" s="199" t="str">
        <f t="shared" si="66"/>
        <v/>
      </c>
      <c r="Q299" s="199" t="str">
        <f>IF(B299="","",IFERROR(IF('עלויות כח אדם (6)'!J299&gt;=VLOOKUP(I299,'סיווג התפקידים והעלויות'!$B$23:$C$32,2,0),"תקין","לא תקין"),""))</f>
        <v/>
      </c>
      <c r="R299" s="199" t="str">
        <f t="shared" si="67"/>
        <v/>
      </c>
      <c r="S299" s="199" t="str">
        <f t="shared" si="68"/>
        <v/>
      </c>
      <c r="T299" s="199" t="str">
        <f t="shared" si="76"/>
        <v/>
      </c>
      <c r="U299" s="199" t="str">
        <f t="shared" si="69"/>
        <v/>
      </c>
      <c r="V299" s="989"/>
      <c r="X299" s="374" t="str">
        <f t="shared" si="70"/>
        <v/>
      </c>
      <c r="Y299" s="375" t="str">
        <f t="shared" si="71"/>
        <v/>
      </c>
      <c r="Z299" s="374" t="str">
        <f t="shared" si="72"/>
        <v/>
      </c>
      <c r="AA299" s="374" t="b">
        <f t="shared" si="73"/>
        <v>1</v>
      </c>
      <c r="AB299" s="374">
        <f>COUNTIFS(B:B,B299,H:H,'סיווג התפקידים והעלויות'!$C$2)</f>
        <v>0</v>
      </c>
      <c r="AC299" s="374">
        <f>COUNTIFS(B:B,B299,H:H,'סיווג התפקידים והעלויות'!$D$2)</f>
        <v>0</v>
      </c>
      <c r="AD299" s="374" t="str">
        <f>IF(OR(AND(H299='סיווג התפקידים והעלויות'!$A$2,I299='סיווג התפקידים והעלויות'!$A$3),'עלויות כח אדם (6)'!H299='סיווג התפקידים והעלויות'!$C$2,'עלויות כח אדם (6)'!H299='סיווג התפקידים והעלויות'!$D$2),IF('עלויות כח אדם (6)'!J299&lt;75,"לא תקין","תקין"),"")</f>
        <v/>
      </c>
      <c r="AE299" s="374" t="str">
        <f t="shared" si="74"/>
        <v/>
      </c>
      <c r="AF299" s="532" t="str">
        <f t="shared" si="75"/>
        <v/>
      </c>
    </row>
    <row r="300" spans="2:32" x14ac:dyDescent="0.25">
      <c r="B300" s="695"/>
      <c r="C300" s="197" t="str">
        <f>IF(B300&lt;&gt;"",IFERROR(VLOOKUP(B:B,'מצבת והרשמה (2)'!$C$20:$N$520,2,0)," ")," ")</f>
        <v xml:space="preserve"> </v>
      </c>
      <c r="D300" s="695"/>
      <c r="E300" s="696"/>
      <c r="F300" s="696"/>
      <c r="G300" s="696"/>
      <c r="H300" s="696"/>
      <c r="I300" s="1050" t="str">
        <f t="shared" si="62"/>
        <v/>
      </c>
      <c r="J300" s="696"/>
      <c r="K300" s="697"/>
      <c r="L300" s="696"/>
      <c r="M300" s="198" t="str">
        <f t="shared" si="63"/>
        <v/>
      </c>
      <c r="N300" s="369" t="str">
        <f t="shared" si="64"/>
        <v/>
      </c>
      <c r="O300" s="183" t="str">
        <f t="shared" si="65"/>
        <v/>
      </c>
      <c r="P300" s="199" t="str">
        <f t="shared" si="66"/>
        <v/>
      </c>
      <c r="Q300" s="199" t="str">
        <f>IF(B300="","",IFERROR(IF('עלויות כח אדם (6)'!J300&gt;=VLOOKUP(I300,'סיווג התפקידים והעלויות'!$B$23:$C$32,2,0),"תקין","לא תקין"),""))</f>
        <v/>
      </c>
      <c r="R300" s="199" t="str">
        <f t="shared" si="67"/>
        <v/>
      </c>
      <c r="S300" s="199" t="str">
        <f t="shared" si="68"/>
        <v/>
      </c>
      <c r="T300" s="199" t="str">
        <f t="shared" si="76"/>
        <v/>
      </c>
      <c r="U300" s="199" t="str">
        <f t="shared" si="69"/>
        <v/>
      </c>
      <c r="V300" s="989"/>
      <c r="X300" s="374" t="str">
        <f t="shared" si="70"/>
        <v/>
      </c>
      <c r="Y300" s="375" t="str">
        <f t="shared" si="71"/>
        <v/>
      </c>
      <c r="Z300" s="374" t="str">
        <f t="shared" si="72"/>
        <v/>
      </c>
      <c r="AA300" s="374" t="b">
        <f t="shared" si="73"/>
        <v>1</v>
      </c>
      <c r="AB300" s="374">
        <f>COUNTIFS(B:B,B300,H:H,'סיווג התפקידים והעלויות'!$C$2)</f>
        <v>0</v>
      </c>
      <c r="AC300" s="374">
        <f>COUNTIFS(B:B,B300,H:H,'סיווג התפקידים והעלויות'!$D$2)</f>
        <v>0</v>
      </c>
      <c r="AD300" s="374" t="str">
        <f>IF(OR(AND(H300='סיווג התפקידים והעלויות'!$A$2,I300='סיווג התפקידים והעלויות'!$A$3),'עלויות כח אדם (6)'!H300='סיווג התפקידים והעלויות'!$C$2,'עלויות כח אדם (6)'!H300='סיווג התפקידים והעלויות'!$D$2),IF('עלויות כח אדם (6)'!J300&lt;75,"לא תקין","תקין"),"")</f>
        <v/>
      </c>
      <c r="AE300" s="374" t="str">
        <f t="shared" si="74"/>
        <v/>
      </c>
      <c r="AF300" s="532" t="str">
        <f t="shared" si="75"/>
        <v/>
      </c>
    </row>
    <row r="301" spans="2:32" x14ac:dyDescent="0.25">
      <c r="B301" s="695"/>
      <c r="C301" s="197" t="str">
        <f>IF(B301&lt;&gt;"",IFERROR(VLOOKUP(B:B,'מצבת והרשמה (2)'!$C$20:$N$520,2,0)," ")," ")</f>
        <v xml:space="preserve"> </v>
      </c>
      <c r="D301" s="695"/>
      <c r="E301" s="696"/>
      <c r="F301" s="696"/>
      <c r="G301" s="696"/>
      <c r="H301" s="696"/>
      <c r="I301" s="1050" t="str">
        <f t="shared" si="62"/>
        <v/>
      </c>
      <c r="J301" s="696"/>
      <c r="K301" s="697"/>
      <c r="L301" s="696"/>
      <c r="M301" s="198" t="str">
        <f t="shared" si="63"/>
        <v/>
      </c>
      <c r="N301" s="369" t="str">
        <f t="shared" si="64"/>
        <v/>
      </c>
      <c r="O301" s="183" t="str">
        <f t="shared" si="65"/>
        <v/>
      </c>
      <c r="P301" s="199" t="str">
        <f t="shared" si="66"/>
        <v/>
      </c>
      <c r="Q301" s="199" t="str">
        <f>IF(B301="","",IFERROR(IF('עלויות כח אדם (6)'!J301&gt;=VLOOKUP(I301,'סיווג התפקידים והעלויות'!$B$23:$C$32,2,0),"תקין","לא תקין"),""))</f>
        <v/>
      </c>
      <c r="R301" s="199" t="str">
        <f t="shared" si="67"/>
        <v/>
      </c>
      <c r="S301" s="199" t="str">
        <f t="shared" si="68"/>
        <v/>
      </c>
      <c r="T301" s="199" t="str">
        <f t="shared" si="76"/>
        <v/>
      </c>
      <c r="U301" s="199" t="str">
        <f t="shared" si="69"/>
        <v/>
      </c>
      <c r="V301" s="989"/>
      <c r="X301" s="374" t="str">
        <f t="shared" si="70"/>
        <v/>
      </c>
      <c r="Y301" s="375" t="str">
        <f t="shared" si="71"/>
        <v/>
      </c>
      <c r="Z301" s="374" t="str">
        <f t="shared" si="72"/>
        <v/>
      </c>
      <c r="AA301" s="374" t="b">
        <f t="shared" si="73"/>
        <v>1</v>
      </c>
      <c r="AB301" s="374">
        <f>COUNTIFS(B:B,B301,H:H,'סיווג התפקידים והעלויות'!$C$2)</f>
        <v>0</v>
      </c>
      <c r="AC301" s="374">
        <f>COUNTIFS(B:B,B301,H:H,'סיווג התפקידים והעלויות'!$D$2)</f>
        <v>0</v>
      </c>
      <c r="AD301" s="374" t="str">
        <f>IF(OR(AND(H301='סיווג התפקידים והעלויות'!$A$2,I301='סיווג התפקידים והעלויות'!$A$3),'עלויות כח אדם (6)'!H301='סיווג התפקידים והעלויות'!$C$2,'עלויות כח אדם (6)'!H301='סיווג התפקידים והעלויות'!$D$2),IF('עלויות כח אדם (6)'!J301&lt;75,"לא תקין","תקין"),"")</f>
        <v/>
      </c>
      <c r="AE301" s="374" t="str">
        <f t="shared" si="74"/>
        <v/>
      </c>
      <c r="AF301" s="532" t="str">
        <f t="shared" si="75"/>
        <v/>
      </c>
    </row>
    <row r="302" spans="2:32" x14ac:dyDescent="0.25">
      <c r="B302" s="695"/>
      <c r="C302" s="197" t="str">
        <f>IF(B302&lt;&gt;"",IFERROR(VLOOKUP(B:B,'מצבת והרשמה (2)'!$C$20:$N$520,2,0)," ")," ")</f>
        <v xml:space="preserve"> </v>
      </c>
      <c r="D302" s="695"/>
      <c r="E302" s="696"/>
      <c r="F302" s="696"/>
      <c r="G302" s="696"/>
      <c r="H302" s="696"/>
      <c r="I302" s="1050" t="str">
        <f t="shared" si="62"/>
        <v/>
      </c>
      <c r="J302" s="696"/>
      <c r="K302" s="697"/>
      <c r="L302" s="696"/>
      <c r="M302" s="198" t="str">
        <f t="shared" si="63"/>
        <v/>
      </c>
      <c r="N302" s="369" t="str">
        <f t="shared" si="64"/>
        <v/>
      </c>
      <c r="O302" s="183" t="str">
        <f t="shared" si="65"/>
        <v/>
      </c>
      <c r="P302" s="199" t="str">
        <f t="shared" si="66"/>
        <v/>
      </c>
      <c r="Q302" s="199" t="str">
        <f>IF(B302="","",IFERROR(IF('עלויות כח אדם (6)'!J302&gt;=VLOOKUP(I302,'סיווג התפקידים והעלויות'!$B$23:$C$32,2,0),"תקין","לא תקין"),""))</f>
        <v/>
      </c>
      <c r="R302" s="199" t="str">
        <f t="shared" si="67"/>
        <v/>
      </c>
      <c r="S302" s="199" t="str">
        <f t="shared" si="68"/>
        <v/>
      </c>
      <c r="T302" s="199" t="str">
        <f t="shared" si="76"/>
        <v/>
      </c>
      <c r="U302" s="199" t="str">
        <f t="shared" si="69"/>
        <v/>
      </c>
      <c r="V302" s="989"/>
      <c r="X302" s="374" t="str">
        <f t="shared" si="70"/>
        <v/>
      </c>
      <c r="Y302" s="375" t="str">
        <f t="shared" si="71"/>
        <v/>
      </c>
      <c r="Z302" s="374" t="str">
        <f t="shared" si="72"/>
        <v/>
      </c>
      <c r="AA302" s="374" t="b">
        <f t="shared" si="73"/>
        <v>1</v>
      </c>
      <c r="AB302" s="374">
        <f>COUNTIFS(B:B,B302,H:H,'סיווג התפקידים והעלויות'!$C$2)</f>
        <v>0</v>
      </c>
      <c r="AC302" s="374">
        <f>COUNTIFS(B:B,B302,H:H,'סיווג התפקידים והעלויות'!$D$2)</f>
        <v>0</v>
      </c>
      <c r="AD302" s="374" t="str">
        <f>IF(OR(AND(H302='סיווג התפקידים והעלויות'!$A$2,I302='סיווג התפקידים והעלויות'!$A$3),'עלויות כח אדם (6)'!H302='סיווג התפקידים והעלויות'!$C$2,'עלויות כח אדם (6)'!H302='סיווג התפקידים והעלויות'!$D$2),IF('עלויות כח אדם (6)'!J302&lt;75,"לא תקין","תקין"),"")</f>
        <v/>
      </c>
      <c r="AE302" s="374" t="str">
        <f t="shared" si="74"/>
        <v/>
      </c>
      <c r="AF302" s="532" t="str">
        <f t="shared" si="75"/>
        <v/>
      </c>
    </row>
    <row r="303" spans="2:32" x14ac:dyDescent="0.25">
      <c r="B303" s="695"/>
      <c r="C303" s="197" t="str">
        <f>IF(B303&lt;&gt;"",IFERROR(VLOOKUP(B:B,'מצבת והרשמה (2)'!$C$20:$N$520,2,0)," ")," ")</f>
        <v xml:space="preserve"> </v>
      </c>
      <c r="D303" s="695"/>
      <c r="E303" s="696"/>
      <c r="F303" s="696"/>
      <c r="G303" s="696"/>
      <c r="H303" s="696"/>
      <c r="I303" s="1050" t="str">
        <f t="shared" si="62"/>
        <v/>
      </c>
      <c r="J303" s="696"/>
      <c r="K303" s="697"/>
      <c r="L303" s="696"/>
      <c r="M303" s="198" t="str">
        <f t="shared" si="63"/>
        <v/>
      </c>
      <c r="N303" s="369" t="str">
        <f t="shared" si="64"/>
        <v/>
      </c>
      <c r="O303" s="183" t="str">
        <f t="shared" si="65"/>
        <v/>
      </c>
      <c r="P303" s="199" t="str">
        <f t="shared" si="66"/>
        <v/>
      </c>
      <c r="Q303" s="199" t="str">
        <f>IF(B303="","",IFERROR(IF('עלויות כח אדם (6)'!J303&gt;=VLOOKUP(I303,'סיווג התפקידים והעלויות'!$B$23:$C$32,2,0),"תקין","לא תקין"),""))</f>
        <v/>
      </c>
      <c r="R303" s="199" t="str">
        <f t="shared" si="67"/>
        <v/>
      </c>
      <c r="S303" s="199" t="str">
        <f t="shared" si="68"/>
        <v/>
      </c>
      <c r="T303" s="199" t="str">
        <f t="shared" si="76"/>
        <v/>
      </c>
      <c r="U303" s="199" t="str">
        <f t="shared" si="69"/>
        <v/>
      </c>
      <c r="V303" s="989"/>
      <c r="X303" s="374" t="str">
        <f t="shared" si="70"/>
        <v/>
      </c>
      <c r="Y303" s="375" t="str">
        <f t="shared" si="71"/>
        <v/>
      </c>
      <c r="Z303" s="374" t="str">
        <f t="shared" si="72"/>
        <v/>
      </c>
      <c r="AA303" s="374" t="b">
        <f t="shared" si="73"/>
        <v>1</v>
      </c>
      <c r="AB303" s="374">
        <f>COUNTIFS(B:B,B303,H:H,'סיווג התפקידים והעלויות'!$C$2)</f>
        <v>0</v>
      </c>
      <c r="AC303" s="374">
        <f>COUNTIFS(B:B,B303,H:H,'סיווג התפקידים והעלויות'!$D$2)</f>
        <v>0</v>
      </c>
      <c r="AD303" s="374" t="str">
        <f>IF(OR(AND(H303='סיווג התפקידים והעלויות'!$A$2,I303='סיווג התפקידים והעלויות'!$A$3),'עלויות כח אדם (6)'!H303='סיווג התפקידים והעלויות'!$C$2,'עלויות כח אדם (6)'!H303='סיווג התפקידים והעלויות'!$D$2),IF('עלויות כח אדם (6)'!J303&lt;75,"לא תקין","תקין"),"")</f>
        <v/>
      </c>
      <c r="AE303" s="374" t="str">
        <f t="shared" si="74"/>
        <v/>
      </c>
      <c r="AF303" s="532" t="str">
        <f t="shared" si="75"/>
        <v/>
      </c>
    </row>
    <row r="304" spans="2:32" x14ac:dyDescent="0.25">
      <c r="B304" s="695"/>
      <c r="C304" s="197" t="str">
        <f>IF(B304&lt;&gt;"",IFERROR(VLOOKUP(B:B,'מצבת והרשמה (2)'!$C$20:$N$520,2,0)," ")," ")</f>
        <v xml:space="preserve"> </v>
      </c>
      <c r="D304" s="695"/>
      <c r="E304" s="696"/>
      <c r="F304" s="696"/>
      <c r="G304" s="696"/>
      <c r="H304" s="696"/>
      <c r="I304" s="1050" t="str">
        <f t="shared" si="62"/>
        <v/>
      </c>
      <c r="J304" s="696"/>
      <c r="K304" s="697"/>
      <c r="L304" s="696"/>
      <c r="M304" s="198" t="str">
        <f t="shared" si="63"/>
        <v/>
      </c>
      <c r="N304" s="369" t="str">
        <f t="shared" si="64"/>
        <v/>
      </c>
      <c r="O304" s="183" t="str">
        <f t="shared" si="65"/>
        <v/>
      </c>
      <c r="P304" s="199" t="str">
        <f t="shared" si="66"/>
        <v/>
      </c>
      <c r="Q304" s="199" t="str">
        <f>IF(B304="","",IFERROR(IF('עלויות כח אדם (6)'!J304&gt;=VLOOKUP(I304,'סיווג התפקידים והעלויות'!$B$23:$C$32,2,0),"תקין","לא תקין"),""))</f>
        <v/>
      </c>
      <c r="R304" s="199" t="str">
        <f t="shared" si="67"/>
        <v/>
      </c>
      <c r="S304" s="199" t="str">
        <f t="shared" si="68"/>
        <v/>
      </c>
      <c r="T304" s="199" t="str">
        <f t="shared" si="76"/>
        <v/>
      </c>
      <c r="U304" s="199" t="str">
        <f t="shared" si="69"/>
        <v/>
      </c>
      <c r="V304" s="989"/>
      <c r="X304" s="374" t="str">
        <f t="shared" si="70"/>
        <v/>
      </c>
      <c r="Y304" s="375" t="str">
        <f t="shared" si="71"/>
        <v/>
      </c>
      <c r="Z304" s="374" t="str">
        <f t="shared" si="72"/>
        <v/>
      </c>
      <c r="AA304" s="374" t="b">
        <f t="shared" si="73"/>
        <v>1</v>
      </c>
      <c r="AB304" s="374">
        <f>COUNTIFS(B:B,B304,H:H,'סיווג התפקידים והעלויות'!$C$2)</f>
        <v>0</v>
      </c>
      <c r="AC304" s="374">
        <f>COUNTIFS(B:B,B304,H:H,'סיווג התפקידים והעלויות'!$D$2)</f>
        <v>0</v>
      </c>
      <c r="AD304" s="374" t="str">
        <f>IF(OR(AND(H304='סיווג התפקידים והעלויות'!$A$2,I304='סיווג התפקידים והעלויות'!$A$3),'עלויות כח אדם (6)'!H304='סיווג התפקידים והעלויות'!$C$2,'עלויות כח אדם (6)'!H304='סיווג התפקידים והעלויות'!$D$2),IF('עלויות כח אדם (6)'!J304&lt;75,"לא תקין","תקין"),"")</f>
        <v/>
      </c>
      <c r="AE304" s="374" t="str">
        <f t="shared" si="74"/>
        <v/>
      </c>
      <c r="AF304" s="532" t="str">
        <f t="shared" si="75"/>
        <v/>
      </c>
    </row>
    <row r="305" spans="2:32" x14ac:dyDescent="0.25">
      <c r="B305" s="695"/>
      <c r="C305" s="197" t="str">
        <f>IF(B305&lt;&gt;"",IFERROR(VLOOKUP(B:B,'מצבת והרשמה (2)'!$C$20:$N$520,2,0)," ")," ")</f>
        <v xml:space="preserve"> </v>
      </c>
      <c r="D305" s="695"/>
      <c r="E305" s="696"/>
      <c r="F305" s="696"/>
      <c r="G305" s="696"/>
      <c r="H305" s="696"/>
      <c r="I305" s="1050" t="str">
        <f t="shared" si="62"/>
        <v/>
      </c>
      <c r="J305" s="696"/>
      <c r="K305" s="697"/>
      <c r="L305" s="696"/>
      <c r="M305" s="198" t="str">
        <f t="shared" si="63"/>
        <v/>
      </c>
      <c r="N305" s="369" t="str">
        <f t="shared" si="64"/>
        <v/>
      </c>
      <c r="O305" s="183" t="str">
        <f t="shared" si="65"/>
        <v/>
      </c>
      <c r="P305" s="199" t="str">
        <f t="shared" si="66"/>
        <v/>
      </c>
      <c r="Q305" s="199" t="str">
        <f>IF(B305="","",IFERROR(IF('עלויות כח אדם (6)'!J305&gt;=VLOOKUP(I305,'סיווג התפקידים והעלויות'!$B$23:$C$32,2,0),"תקין","לא תקין"),""))</f>
        <v/>
      </c>
      <c r="R305" s="199" t="str">
        <f t="shared" si="67"/>
        <v/>
      </c>
      <c r="S305" s="199" t="str">
        <f t="shared" si="68"/>
        <v/>
      </c>
      <c r="T305" s="199" t="str">
        <f t="shared" si="76"/>
        <v/>
      </c>
      <c r="U305" s="199" t="str">
        <f t="shared" si="69"/>
        <v/>
      </c>
      <c r="V305" s="989"/>
      <c r="X305" s="374" t="str">
        <f t="shared" si="70"/>
        <v/>
      </c>
      <c r="Y305" s="375" t="str">
        <f t="shared" si="71"/>
        <v/>
      </c>
      <c r="Z305" s="374" t="str">
        <f t="shared" si="72"/>
        <v/>
      </c>
      <c r="AA305" s="374" t="b">
        <f t="shared" si="73"/>
        <v>1</v>
      </c>
      <c r="AB305" s="374">
        <f>COUNTIFS(B:B,B305,H:H,'סיווג התפקידים והעלויות'!$C$2)</f>
        <v>0</v>
      </c>
      <c r="AC305" s="374">
        <f>COUNTIFS(B:B,B305,H:H,'סיווג התפקידים והעלויות'!$D$2)</f>
        <v>0</v>
      </c>
      <c r="AD305" s="374" t="str">
        <f>IF(OR(AND(H305='סיווג התפקידים והעלויות'!$A$2,I305='סיווג התפקידים והעלויות'!$A$3),'עלויות כח אדם (6)'!H305='סיווג התפקידים והעלויות'!$C$2,'עלויות כח אדם (6)'!H305='סיווג התפקידים והעלויות'!$D$2),IF('עלויות כח אדם (6)'!J305&lt;75,"לא תקין","תקין"),"")</f>
        <v/>
      </c>
      <c r="AE305" s="374" t="str">
        <f t="shared" si="74"/>
        <v/>
      </c>
      <c r="AF305" s="532" t="str">
        <f t="shared" si="75"/>
        <v/>
      </c>
    </row>
    <row r="306" spans="2:32" x14ac:dyDescent="0.25">
      <c r="B306" s="695"/>
      <c r="C306" s="197" t="str">
        <f>IF(B306&lt;&gt;"",IFERROR(VLOOKUP(B:B,'מצבת והרשמה (2)'!$C$20:$N$520,2,0)," ")," ")</f>
        <v xml:space="preserve"> </v>
      </c>
      <c r="D306" s="695"/>
      <c r="E306" s="696"/>
      <c r="F306" s="696"/>
      <c r="G306" s="696"/>
      <c r="H306" s="696"/>
      <c r="I306" s="1050" t="str">
        <f t="shared" si="62"/>
        <v/>
      </c>
      <c r="J306" s="696"/>
      <c r="K306" s="697"/>
      <c r="L306" s="696"/>
      <c r="M306" s="198" t="str">
        <f t="shared" si="63"/>
        <v/>
      </c>
      <c r="N306" s="369" t="str">
        <f t="shared" si="64"/>
        <v/>
      </c>
      <c r="O306" s="183" t="str">
        <f t="shared" si="65"/>
        <v/>
      </c>
      <c r="P306" s="199" t="str">
        <f t="shared" si="66"/>
        <v/>
      </c>
      <c r="Q306" s="199" t="str">
        <f>IF(B306="","",IFERROR(IF('עלויות כח אדם (6)'!J306&gt;=VLOOKUP(I306,'סיווג התפקידים והעלויות'!$B$23:$C$32,2,0),"תקין","לא תקין"),""))</f>
        <v/>
      </c>
      <c r="R306" s="199" t="str">
        <f t="shared" si="67"/>
        <v/>
      </c>
      <c r="S306" s="199" t="str">
        <f t="shared" si="68"/>
        <v/>
      </c>
      <c r="T306" s="199" t="str">
        <f t="shared" si="76"/>
        <v/>
      </c>
      <c r="U306" s="199" t="str">
        <f t="shared" si="69"/>
        <v/>
      </c>
      <c r="V306" s="989"/>
      <c r="X306" s="374" t="str">
        <f t="shared" si="70"/>
        <v/>
      </c>
      <c r="Y306" s="375" t="str">
        <f t="shared" si="71"/>
        <v/>
      </c>
      <c r="Z306" s="374" t="str">
        <f t="shared" si="72"/>
        <v/>
      </c>
      <c r="AA306" s="374" t="b">
        <f t="shared" si="73"/>
        <v>1</v>
      </c>
      <c r="AB306" s="374">
        <f>COUNTIFS(B:B,B306,H:H,'סיווג התפקידים והעלויות'!$C$2)</f>
        <v>0</v>
      </c>
      <c r="AC306" s="374">
        <f>COUNTIFS(B:B,B306,H:H,'סיווג התפקידים והעלויות'!$D$2)</f>
        <v>0</v>
      </c>
      <c r="AD306" s="374" t="str">
        <f>IF(OR(AND(H306='סיווג התפקידים והעלויות'!$A$2,I306='סיווג התפקידים והעלויות'!$A$3),'עלויות כח אדם (6)'!H306='סיווג התפקידים והעלויות'!$C$2,'עלויות כח אדם (6)'!H306='סיווג התפקידים והעלויות'!$D$2),IF('עלויות כח אדם (6)'!J306&lt;75,"לא תקין","תקין"),"")</f>
        <v/>
      </c>
      <c r="AE306" s="374" t="str">
        <f t="shared" si="74"/>
        <v/>
      </c>
      <c r="AF306" s="532" t="str">
        <f t="shared" si="75"/>
        <v/>
      </c>
    </row>
    <row r="307" spans="2:32" x14ac:dyDescent="0.25">
      <c r="B307" s="695"/>
      <c r="C307" s="197" t="str">
        <f>IF(B307&lt;&gt;"",IFERROR(VLOOKUP(B:B,'מצבת והרשמה (2)'!$C$20:$N$520,2,0)," ")," ")</f>
        <v xml:space="preserve"> </v>
      </c>
      <c r="D307" s="695"/>
      <c r="E307" s="696"/>
      <c r="F307" s="696"/>
      <c r="G307" s="696"/>
      <c r="H307" s="696"/>
      <c r="I307" s="1050" t="str">
        <f t="shared" si="62"/>
        <v/>
      </c>
      <c r="J307" s="696"/>
      <c r="K307" s="697"/>
      <c r="L307" s="696"/>
      <c r="M307" s="198" t="str">
        <f t="shared" si="63"/>
        <v/>
      </c>
      <c r="N307" s="369" t="str">
        <f t="shared" si="64"/>
        <v/>
      </c>
      <c r="O307" s="183" t="str">
        <f t="shared" si="65"/>
        <v/>
      </c>
      <c r="P307" s="199" t="str">
        <f t="shared" si="66"/>
        <v/>
      </c>
      <c r="Q307" s="199" t="str">
        <f>IF(B307="","",IFERROR(IF('עלויות כח אדם (6)'!J307&gt;=VLOOKUP(I307,'סיווג התפקידים והעלויות'!$B$23:$C$32,2,0),"תקין","לא תקין"),""))</f>
        <v/>
      </c>
      <c r="R307" s="199" t="str">
        <f t="shared" si="67"/>
        <v/>
      </c>
      <c r="S307" s="199" t="str">
        <f t="shared" si="68"/>
        <v/>
      </c>
      <c r="T307" s="199" t="str">
        <f t="shared" si="76"/>
        <v/>
      </c>
      <c r="U307" s="199" t="str">
        <f t="shared" si="69"/>
        <v/>
      </c>
      <c r="V307" s="989"/>
      <c r="X307" s="374" t="str">
        <f t="shared" si="70"/>
        <v/>
      </c>
      <c r="Y307" s="375" t="str">
        <f t="shared" si="71"/>
        <v/>
      </c>
      <c r="Z307" s="374" t="str">
        <f t="shared" si="72"/>
        <v/>
      </c>
      <c r="AA307" s="374" t="b">
        <f t="shared" si="73"/>
        <v>1</v>
      </c>
      <c r="AB307" s="374">
        <f>COUNTIFS(B:B,B307,H:H,'סיווג התפקידים והעלויות'!$C$2)</f>
        <v>0</v>
      </c>
      <c r="AC307" s="374">
        <f>COUNTIFS(B:B,B307,H:H,'סיווג התפקידים והעלויות'!$D$2)</f>
        <v>0</v>
      </c>
      <c r="AD307" s="374" t="str">
        <f>IF(OR(AND(H307='סיווג התפקידים והעלויות'!$A$2,I307='סיווג התפקידים והעלויות'!$A$3),'עלויות כח אדם (6)'!H307='סיווג התפקידים והעלויות'!$C$2,'עלויות כח אדם (6)'!H307='סיווג התפקידים והעלויות'!$D$2),IF('עלויות כח אדם (6)'!J307&lt;75,"לא תקין","תקין"),"")</f>
        <v/>
      </c>
      <c r="AE307" s="374" t="str">
        <f t="shared" si="74"/>
        <v/>
      </c>
      <c r="AF307" s="532" t="str">
        <f t="shared" si="75"/>
        <v/>
      </c>
    </row>
    <row r="308" spans="2:32" x14ac:dyDescent="0.25">
      <c r="B308" s="695"/>
      <c r="C308" s="197" t="str">
        <f>IF(B308&lt;&gt;"",IFERROR(VLOOKUP(B:B,'מצבת והרשמה (2)'!$C$20:$N$520,2,0)," ")," ")</f>
        <v xml:space="preserve"> </v>
      </c>
      <c r="D308" s="695"/>
      <c r="E308" s="696"/>
      <c r="F308" s="696"/>
      <c r="G308" s="696"/>
      <c r="H308" s="696"/>
      <c r="I308" s="1050" t="str">
        <f t="shared" si="62"/>
        <v/>
      </c>
      <c r="J308" s="696"/>
      <c r="K308" s="697"/>
      <c r="L308" s="696"/>
      <c r="M308" s="198" t="str">
        <f t="shared" si="63"/>
        <v/>
      </c>
      <c r="N308" s="369" t="str">
        <f t="shared" si="64"/>
        <v/>
      </c>
      <c r="O308" s="183" t="str">
        <f t="shared" si="65"/>
        <v/>
      </c>
      <c r="P308" s="199" t="str">
        <f t="shared" si="66"/>
        <v/>
      </c>
      <c r="Q308" s="199" t="str">
        <f>IF(B308="","",IFERROR(IF('עלויות כח אדם (6)'!J308&gt;=VLOOKUP(I308,'סיווג התפקידים והעלויות'!$B$23:$C$32,2,0),"תקין","לא תקין"),""))</f>
        <v/>
      </c>
      <c r="R308" s="199" t="str">
        <f t="shared" si="67"/>
        <v/>
      </c>
      <c r="S308" s="199" t="str">
        <f t="shared" si="68"/>
        <v/>
      </c>
      <c r="T308" s="199" t="str">
        <f t="shared" si="76"/>
        <v/>
      </c>
      <c r="U308" s="199" t="str">
        <f t="shared" si="69"/>
        <v/>
      </c>
      <c r="V308" s="989"/>
      <c r="X308" s="374" t="str">
        <f t="shared" si="70"/>
        <v/>
      </c>
      <c r="Y308" s="375" t="str">
        <f t="shared" si="71"/>
        <v/>
      </c>
      <c r="Z308" s="374" t="str">
        <f t="shared" si="72"/>
        <v/>
      </c>
      <c r="AA308" s="374" t="b">
        <f t="shared" si="73"/>
        <v>1</v>
      </c>
      <c r="AB308" s="374">
        <f>COUNTIFS(B:B,B308,H:H,'סיווג התפקידים והעלויות'!$C$2)</f>
        <v>0</v>
      </c>
      <c r="AC308" s="374">
        <f>COUNTIFS(B:B,B308,H:H,'סיווג התפקידים והעלויות'!$D$2)</f>
        <v>0</v>
      </c>
      <c r="AD308" s="374" t="str">
        <f>IF(OR(AND(H308='סיווג התפקידים והעלויות'!$A$2,I308='סיווג התפקידים והעלויות'!$A$3),'עלויות כח אדם (6)'!H308='סיווג התפקידים והעלויות'!$C$2,'עלויות כח אדם (6)'!H308='סיווג התפקידים והעלויות'!$D$2),IF('עלויות כח אדם (6)'!J308&lt;75,"לא תקין","תקין"),"")</f>
        <v/>
      </c>
      <c r="AE308" s="374" t="str">
        <f t="shared" si="74"/>
        <v/>
      </c>
      <c r="AF308" s="532" t="str">
        <f t="shared" si="75"/>
        <v/>
      </c>
    </row>
    <row r="309" spans="2:32" x14ac:dyDescent="0.25">
      <c r="B309" s="695"/>
      <c r="C309" s="197" t="str">
        <f>IF(B309&lt;&gt;"",IFERROR(VLOOKUP(B:B,'מצבת והרשמה (2)'!$C$20:$N$520,2,0)," ")," ")</f>
        <v xml:space="preserve"> </v>
      </c>
      <c r="D309" s="695"/>
      <c r="E309" s="696"/>
      <c r="F309" s="696"/>
      <c r="G309" s="696"/>
      <c r="H309" s="696"/>
      <c r="I309" s="1050" t="str">
        <f t="shared" si="62"/>
        <v/>
      </c>
      <c r="J309" s="696"/>
      <c r="K309" s="697"/>
      <c r="L309" s="696"/>
      <c r="M309" s="198" t="str">
        <f t="shared" si="63"/>
        <v/>
      </c>
      <c r="N309" s="369" t="str">
        <f t="shared" si="64"/>
        <v/>
      </c>
      <c r="O309" s="183" t="str">
        <f t="shared" si="65"/>
        <v/>
      </c>
      <c r="P309" s="199" t="str">
        <f t="shared" si="66"/>
        <v/>
      </c>
      <c r="Q309" s="199" t="str">
        <f>IF(B309="","",IFERROR(IF('עלויות כח אדם (6)'!J309&gt;=VLOOKUP(I309,'סיווג התפקידים והעלויות'!$B$23:$C$32,2,0),"תקין","לא תקין"),""))</f>
        <v/>
      </c>
      <c r="R309" s="199" t="str">
        <f t="shared" si="67"/>
        <v/>
      </c>
      <c r="S309" s="199" t="str">
        <f t="shared" si="68"/>
        <v/>
      </c>
      <c r="T309" s="199" t="str">
        <f t="shared" si="76"/>
        <v/>
      </c>
      <c r="U309" s="199" t="str">
        <f t="shared" si="69"/>
        <v/>
      </c>
      <c r="V309" s="989"/>
      <c r="X309" s="374" t="str">
        <f t="shared" si="70"/>
        <v/>
      </c>
      <c r="Y309" s="375" t="str">
        <f t="shared" si="71"/>
        <v/>
      </c>
      <c r="Z309" s="374" t="str">
        <f t="shared" si="72"/>
        <v/>
      </c>
      <c r="AA309" s="374" t="b">
        <f t="shared" si="73"/>
        <v>1</v>
      </c>
      <c r="AB309" s="374">
        <f>COUNTIFS(B:B,B309,H:H,'סיווג התפקידים והעלויות'!$C$2)</f>
        <v>0</v>
      </c>
      <c r="AC309" s="374">
        <f>COUNTIFS(B:B,B309,H:H,'סיווג התפקידים והעלויות'!$D$2)</f>
        <v>0</v>
      </c>
      <c r="AD309" s="374" t="str">
        <f>IF(OR(AND(H309='סיווג התפקידים והעלויות'!$A$2,I309='סיווג התפקידים והעלויות'!$A$3),'עלויות כח אדם (6)'!H309='סיווג התפקידים והעלויות'!$C$2,'עלויות כח אדם (6)'!H309='סיווג התפקידים והעלויות'!$D$2),IF('עלויות כח אדם (6)'!J309&lt;75,"לא תקין","תקין"),"")</f>
        <v/>
      </c>
      <c r="AE309" s="374" t="str">
        <f t="shared" si="74"/>
        <v/>
      </c>
      <c r="AF309" s="532" t="str">
        <f t="shared" si="75"/>
        <v/>
      </c>
    </row>
    <row r="310" spans="2:32" x14ac:dyDescent="0.25">
      <c r="B310" s="695"/>
      <c r="C310" s="197" t="str">
        <f>IF(B310&lt;&gt;"",IFERROR(VLOOKUP(B:B,'מצבת והרשמה (2)'!$C$20:$N$520,2,0)," ")," ")</f>
        <v xml:space="preserve"> </v>
      </c>
      <c r="D310" s="695"/>
      <c r="E310" s="696"/>
      <c r="F310" s="696"/>
      <c r="G310" s="696"/>
      <c r="H310" s="696"/>
      <c r="I310" s="1050" t="str">
        <f t="shared" si="62"/>
        <v/>
      </c>
      <c r="J310" s="696"/>
      <c r="K310" s="697"/>
      <c r="L310" s="696"/>
      <c r="M310" s="198" t="str">
        <f t="shared" si="63"/>
        <v/>
      </c>
      <c r="N310" s="369" t="str">
        <f t="shared" si="64"/>
        <v/>
      </c>
      <c r="O310" s="183" t="str">
        <f t="shared" si="65"/>
        <v/>
      </c>
      <c r="P310" s="199" t="str">
        <f t="shared" si="66"/>
        <v/>
      </c>
      <c r="Q310" s="199" t="str">
        <f>IF(B310="","",IFERROR(IF('עלויות כח אדם (6)'!J310&gt;=VLOOKUP(I310,'סיווג התפקידים והעלויות'!$B$23:$C$32,2,0),"תקין","לא תקין"),""))</f>
        <v/>
      </c>
      <c r="R310" s="199" t="str">
        <f t="shared" si="67"/>
        <v/>
      </c>
      <c r="S310" s="199" t="str">
        <f t="shared" si="68"/>
        <v/>
      </c>
      <c r="T310" s="199" t="str">
        <f t="shared" si="76"/>
        <v/>
      </c>
      <c r="U310" s="199" t="str">
        <f t="shared" si="69"/>
        <v/>
      </c>
      <c r="V310" s="989"/>
      <c r="X310" s="374" t="str">
        <f t="shared" si="70"/>
        <v/>
      </c>
      <c r="Y310" s="375" t="str">
        <f t="shared" si="71"/>
        <v/>
      </c>
      <c r="Z310" s="374" t="str">
        <f t="shared" si="72"/>
        <v/>
      </c>
      <c r="AA310" s="374" t="b">
        <f t="shared" si="73"/>
        <v>1</v>
      </c>
      <c r="AB310" s="374">
        <f>COUNTIFS(B:B,B310,H:H,'סיווג התפקידים והעלויות'!$C$2)</f>
        <v>0</v>
      </c>
      <c r="AC310" s="374">
        <f>COUNTIFS(B:B,B310,H:H,'סיווג התפקידים והעלויות'!$D$2)</f>
        <v>0</v>
      </c>
      <c r="AD310" s="374" t="str">
        <f>IF(OR(AND(H310='סיווג התפקידים והעלויות'!$A$2,I310='סיווג התפקידים והעלויות'!$A$3),'עלויות כח אדם (6)'!H310='סיווג התפקידים והעלויות'!$C$2,'עלויות כח אדם (6)'!H310='סיווג התפקידים והעלויות'!$D$2),IF('עלויות כח אדם (6)'!J310&lt;75,"לא תקין","תקין"),"")</f>
        <v/>
      </c>
      <c r="AE310" s="374" t="str">
        <f t="shared" si="74"/>
        <v/>
      </c>
      <c r="AF310" s="532" t="str">
        <f t="shared" si="75"/>
        <v/>
      </c>
    </row>
    <row r="311" spans="2:32" x14ac:dyDescent="0.25">
      <c r="B311" s="695"/>
      <c r="C311" s="197" t="str">
        <f>IF(B311&lt;&gt;"",IFERROR(VLOOKUP(B:B,'מצבת והרשמה (2)'!$C$20:$N$520,2,0)," ")," ")</f>
        <v xml:space="preserve"> </v>
      </c>
      <c r="D311" s="695"/>
      <c r="E311" s="696"/>
      <c r="F311" s="696"/>
      <c r="G311" s="696"/>
      <c r="H311" s="696"/>
      <c r="I311" s="1050" t="str">
        <f t="shared" si="62"/>
        <v/>
      </c>
      <c r="J311" s="696"/>
      <c r="K311" s="697"/>
      <c r="L311" s="696"/>
      <c r="M311" s="198" t="str">
        <f t="shared" si="63"/>
        <v/>
      </c>
      <c r="N311" s="369" t="str">
        <f t="shared" si="64"/>
        <v/>
      </c>
      <c r="O311" s="183" t="str">
        <f t="shared" si="65"/>
        <v/>
      </c>
      <c r="P311" s="199" t="str">
        <f t="shared" si="66"/>
        <v/>
      </c>
      <c r="Q311" s="199" t="str">
        <f>IF(B311="","",IFERROR(IF('עלויות כח אדם (6)'!J311&gt;=VLOOKUP(I311,'סיווג התפקידים והעלויות'!$B$23:$C$32,2,0),"תקין","לא תקין"),""))</f>
        <v/>
      </c>
      <c r="R311" s="199" t="str">
        <f t="shared" si="67"/>
        <v/>
      </c>
      <c r="S311" s="199" t="str">
        <f t="shared" si="68"/>
        <v/>
      </c>
      <c r="T311" s="199" t="str">
        <f t="shared" si="76"/>
        <v/>
      </c>
      <c r="U311" s="199" t="str">
        <f t="shared" si="69"/>
        <v/>
      </c>
      <c r="V311" s="989"/>
      <c r="X311" s="374" t="str">
        <f t="shared" si="70"/>
        <v/>
      </c>
      <c r="Y311" s="375" t="str">
        <f t="shared" si="71"/>
        <v/>
      </c>
      <c r="Z311" s="374" t="str">
        <f t="shared" si="72"/>
        <v/>
      </c>
      <c r="AA311" s="374" t="b">
        <f t="shared" si="73"/>
        <v>1</v>
      </c>
      <c r="AB311" s="374">
        <f>COUNTIFS(B:B,B311,H:H,'סיווג התפקידים והעלויות'!$C$2)</f>
        <v>0</v>
      </c>
      <c r="AC311" s="374">
        <f>COUNTIFS(B:B,B311,H:H,'סיווג התפקידים והעלויות'!$D$2)</f>
        <v>0</v>
      </c>
      <c r="AD311" s="374" t="str">
        <f>IF(OR(AND(H311='סיווג התפקידים והעלויות'!$A$2,I311='סיווג התפקידים והעלויות'!$A$3),'עלויות כח אדם (6)'!H311='סיווג התפקידים והעלויות'!$C$2,'עלויות כח אדם (6)'!H311='סיווג התפקידים והעלויות'!$D$2),IF('עלויות כח אדם (6)'!J311&lt;75,"לא תקין","תקין"),"")</f>
        <v/>
      </c>
      <c r="AE311" s="374" t="str">
        <f t="shared" si="74"/>
        <v/>
      </c>
      <c r="AF311" s="532" t="str">
        <f t="shared" si="75"/>
        <v/>
      </c>
    </row>
    <row r="312" spans="2:32" x14ac:dyDescent="0.25">
      <c r="B312" s="695"/>
      <c r="C312" s="197" t="str">
        <f>IF(B312&lt;&gt;"",IFERROR(VLOOKUP(B:B,'מצבת והרשמה (2)'!$C$20:$N$520,2,0)," ")," ")</f>
        <v xml:space="preserve"> </v>
      </c>
      <c r="D312" s="695"/>
      <c r="E312" s="696"/>
      <c r="F312" s="696"/>
      <c r="G312" s="696"/>
      <c r="H312" s="696"/>
      <c r="I312" s="1050" t="str">
        <f t="shared" si="62"/>
        <v/>
      </c>
      <c r="J312" s="696"/>
      <c r="K312" s="697"/>
      <c r="L312" s="696"/>
      <c r="M312" s="198" t="str">
        <f t="shared" si="63"/>
        <v/>
      </c>
      <c r="N312" s="369" t="str">
        <f t="shared" si="64"/>
        <v/>
      </c>
      <c r="O312" s="183" t="str">
        <f t="shared" si="65"/>
        <v/>
      </c>
      <c r="P312" s="199" t="str">
        <f t="shared" si="66"/>
        <v/>
      </c>
      <c r="Q312" s="199" t="str">
        <f>IF(B312="","",IFERROR(IF('עלויות כח אדם (6)'!J312&gt;=VLOOKUP(I312,'סיווג התפקידים והעלויות'!$B$23:$C$32,2,0),"תקין","לא תקין"),""))</f>
        <v/>
      </c>
      <c r="R312" s="199" t="str">
        <f t="shared" si="67"/>
        <v/>
      </c>
      <c r="S312" s="199" t="str">
        <f t="shared" si="68"/>
        <v/>
      </c>
      <c r="T312" s="199" t="str">
        <f t="shared" si="76"/>
        <v/>
      </c>
      <c r="U312" s="199" t="str">
        <f t="shared" si="69"/>
        <v/>
      </c>
      <c r="V312" s="989"/>
      <c r="X312" s="374" t="str">
        <f t="shared" si="70"/>
        <v/>
      </c>
      <c r="Y312" s="375" t="str">
        <f t="shared" si="71"/>
        <v/>
      </c>
      <c r="Z312" s="374" t="str">
        <f t="shared" si="72"/>
        <v/>
      </c>
      <c r="AA312" s="374" t="b">
        <f t="shared" si="73"/>
        <v>1</v>
      </c>
      <c r="AB312" s="374">
        <f>COUNTIFS(B:B,B312,H:H,'סיווג התפקידים והעלויות'!$C$2)</f>
        <v>0</v>
      </c>
      <c r="AC312" s="374">
        <f>COUNTIFS(B:B,B312,H:H,'סיווג התפקידים והעלויות'!$D$2)</f>
        <v>0</v>
      </c>
      <c r="AD312" s="374" t="str">
        <f>IF(OR(AND(H312='סיווג התפקידים והעלויות'!$A$2,I312='סיווג התפקידים והעלויות'!$A$3),'עלויות כח אדם (6)'!H312='סיווג התפקידים והעלויות'!$C$2,'עלויות כח אדם (6)'!H312='סיווג התפקידים והעלויות'!$D$2),IF('עלויות כח אדם (6)'!J312&lt;75,"לא תקין","תקין"),"")</f>
        <v/>
      </c>
      <c r="AE312" s="374" t="str">
        <f t="shared" si="74"/>
        <v/>
      </c>
      <c r="AF312" s="532" t="str">
        <f t="shared" si="75"/>
        <v/>
      </c>
    </row>
    <row r="313" spans="2:32" x14ac:dyDescent="0.25">
      <c r="B313" s="695"/>
      <c r="C313" s="197" t="str">
        <f>IF(B313&lt;&gt;"",IFERROR(VLOOKUP(B:B,'מצבת והרשמה (2)'!$C$20:$N$520,2,0)," ")," ")</f>
        <v xml:space="preserve"> </v>
      </c>
      <c r="D313" s="695"/>
      <c r="E313" s="696"/>
      <c r="F313" s="696"/>
      <c r="G313" s="696"/>
      <c r="H313" s="696"/>
      <c r="I313" s="1050" t="str">
        <f t="shared" si="62"/>
        <v/>
      </c>
      <c r="J313" s="696"/>
      <c r="K313" s="697"/>
      <c r="L313" s="696"/>
      <c r="M313" s="198" t="str">
        <f t="shared" si="63"/>
        <v/>
      </c>
      <c r="N313" s="369" t="str">
        <f t="shared" si="64"/>
        <v/>
      </c>
      <c r="O313" s="183" t="str">
        <f t="shared" si="65"/>
        <v/>
      </c>
      <c r="P313" s="199" t="str">
        <f t="shared" si="66"/>
        <v/>
      </c>
      <c r="Q313" s="199" t="str">
        <f>IF(B313="","",IFERROR(IF('עלויות כח אדם (6)'!J313&gt;=VLOOKUP(I313,'סיווג התפקידים והעלויות'!$B$23:$C$32,2,0),"תקין","לא תקין"),""))</f>
        <v/>
      </c>
      <c r="R313" s="199" t="str">
        <f t="shared" si="67"/>
        <v/>
      </c>
      <c r="S313" s="199" t="str">
        <f t="shared" si="68"/>
        <v/>
      </c>
      <c r="T313" s="199" t="str">
        <f t="shared" si="76"/>
        <v/>
      </c>
      <c r="U313" s="199" t="str">
        <f t="shared" si="69"/>
        <v/>
      </c>
      <c r="V313" s="989"/>
      <c r="X313" s="374" t="str">
        <f t="shared" si="70"/>
        <v/>
      </c>
      <c r="Y313" s="375" t="str">
        <f t="shared" si="71"/>
        <v/>
      </c>
      <c r="Z313" s="374" t="str">
        <f t="shared" si="72"/>
        <v/>
      </c>
      <c r="AA313" s="374" t="b">
        <f t="shared" si="73"/>
        <v>1</v>
      </c>
      <c r="AB313" s="374">
        <f>COUNTIFS(B:B,B313,H:H,'סיווג התפקידים והעלויות'!$C$2)</f>
        <v>0</v>
      </c>
      <c r="AC313" s="374">
        <f>COUNTIFS(B:B,B313,H:H,'סיווג התפקידים והעלויות'!$D$2)</f>
        <v>0</v>
      </c>
      <c r="AD313" s="374" t="str">
        <f>IF(OR(AND(H313='סיווג התפקידים והעלויות'!$A$2,I313='סיווג התפקידים והעלויות'!$A$3),'עלויות כח אדם (6)'!H313='סיווג התפקידים והעלויות'!$C$2,'עלויות כח אדם (6)'!H313='סיווג התפקידים והעלויות'!$D$2),IF('עלויות כח אדם (6)'!J313&lt;75,"לא תקין","תקין"),"")</f>
        <v/>
      </c>
      <c r="AE313" s="374" t="str">
        <f t="shared" si="74"/>
        <v/>
      </c>
      <c r="AF313" s="532" t="str">
        <f t="shared" si="75"/>
        <v/>
      </c>
    </row>
    <row r="314" spans="2:32" x14ac:dyDescent="0.25">
      <c r="B314" s="695"/>
      <c r="C314" s="197" t="str">
        <f>IF(B314&lt;&gt;"",IFERROR(VLOOKUP(B:B,'מצבת והרשמה (2)'!$C$20:$N$520,2,0)," ")," ")</f>
        <v xml:space="preserve"> </v>
      </c>
      <c r="D314" s="695"/>
      <c r="E314" s="696"/>
      <c r="F314" s="696"/>
      <c r="G314" s="696"/>
      <c r="H314" s="696"/>
      <c r="I314" s="1050" t="str">
        <f t="shared" si="62"/>
        <v/>
      </c>
      <c r="J314" s="696"/>
      <c r="K314" s="697"/>
      <c r="L314" s="696"/>
      <c r="M314" s="198" t="str">
        <f t="shared" si="63"/>
        <v/>
      </c>
      <c r="N314" s="369" t="str">
        <f t="shared" si="64"/>
        <v/>
      </c>
      <c r="O314" s="183" t="str">
        <f t="shared" si="65"/>
        <v/>
      </c>
      <c r="P314" s="199" t="str">
        <f t="shared" si="66"/>
        <v/>
      </c>
      <c r="Q314" s="199" t="str">
        <f>IF(B314="","",IFERROR(IF('עלויות כח אדם (6)'!J314&gt;=VLOOKUP(I314,'סיווג התפקידים והעלויות'!$B$23:$C$32,2,0),"תקין","לא תקין"),""))</f>
        <v/>
      </c>
      <c r="R314" s="199" t="str">
        <f t="shared" si="67"/>
        <v/>
      </c>
      <c r="S314" s="199" t="str">
        <f t="shared" si="68"/>
        <v/>
      </c>
      <c r="T314" s="199" t="str">
        <f t="shared" si="76"/>
        <v/>
      </c>
      <c r="U314" s="199" t="str">
        <f t="shared" si="69"/>
        <v/>
      </c>
      <c r="V314" s="989"/>
      <c r="X314" s="374" t="str">
        <f t="shared" si="70"/>
        <v/>
      </c>
      <c r="Y314" s="375" t="str">
        <f t="shared" si="71"/>
        <v/>
      </c>
      <c r="Z314" s="374" t="str">
        <f t="shared" si="72"/>
        <v/>
      </c>
      <c r="AA314" s="374" t="b">
        <f t="shared" si="73"/>
        <v>1</v>
      </c>
      <c r="AB314" s="374">
        <f>COUNTIFS(B:B,B314,H:H,'סיווג התפקידים והעלויות'!$C$2)</f>
        <v>0</v>
      </c>
      <c r="AC314" s="374">
        <f>COUNTIFS(B:B,B314,H:H,'סיווג התפקידים והעלויות'!$D$2)</f>
        <v>0</v>
      </c>
      <c r="AD314" s="374" t="str">
        <f>IF(OR(AND(H314='סיווג התפקידים והעלויות'!$A$2,I314='סיווג התפקידים והעלויות'!$A$3),'עלויות כח אדם (6)'!H314='סיווג התפקידים והעלויות'!$C$2,'עלויות כח אדם (6)'!H314='סיווג התפקידים והעלויות'!$D$2),IF('עלויות כח אדם (6)'!J314&lt;75,"לא תקין","תקין"),"")</f>
        <v/>
      </c>
      <c r="AE314" s="374" t="str">
        <f t="shared" si="74"/>
        <v/>
      </c>
      <c r="AF314" s="532" t="str">
        <f t="shared" si="75"/>
        <v/>
      </c>
    </row>
    <row r="315" spans="2:32" x14ac:dyDescent="0.25">
      <c r="B315" s="695"/>
      <c r="C315" s="197" t="str">
        <f>IF(B315&lt;&gt;"",IFERROR(VLOOKUP(B:B,'מצבת והרשמה (2)'!$C$20:$N$520,2,0)," ")," ")</f>
        <v xml:space="preserve"> </v>
      </c>
      <c r="D315" s="695"/>
      <c r="E315" s="696"/>
      <c r="F315" s="696"/>
      <c r="G315" s="696"/>
      <c r="H315" s="696"/>
      <c r="I315" s="1050" t="str">
        <f t="shared" si="62"/>
        <v/>
      </c>
      <c r="J315" s="696"/>
      <c r="K315" s="697"/>
      <c r="L315" s="696"/>
      <c r="M315" s="198" t="str">
        <f t="shared" si="63"/>
        <v/>
      </c>
      <c r="N315" s="369" t="str">
        <f t="shared" si="64"/>
        <v/>
      </c>
      <c r="O315" s="183" t="str">
        <f t="shared" si="65"/>
        <v/>
      </c>
      <c r="P315" s="199" t="str">
        <f t="shared" si="66"/>
        <v/>
      </c>
      <c r="Q315" s="199" t="str">
        <f>IF(B315="","",IFERROR(IF('עלויות כח אדם (6)'!J315&gt;=VLOOKUP(I315,'סיווג התפקידים והעלויות'!$B$23:$C$32,2,0),"תקין","לא תקין"),""))</f>
        <v/>
      </c>
      <c r="R315" s="199" t="str">
        <f t="shared" si="67"/>
        <v/>
      </c>
      <c r="S315" s="199" t="str">
        <f t="shared" si="68"/>
        <v/>
      </c>
      <c r="T315" s="199" t="str">
        <f t="shared" si="76"/>
        <v/>
      </c>
      <c r="U315" s="199" t="str">
        <f t="shared" si="69"/>
        <v/>
      </c>
      <c r="V315" s="989"/>
      <c r="X315" s="374" t="str">
        <f t="shared" si="70"/>
        <v/>
      </c>
      <c r="Y315" s="375" t="str">
        <f t="shared" si="71"/>
        <v/>
      </c>
      <c r="Z315" s="374" t="str">
        <f t="shared" si="72"/>
        <v/>
      </c>
      <c r="AA315" s="374" t="b">
        <f t="shared" si="73"/>
        <v>1</v>
      </c>
      <c r="AB315" s="374">
        <f>COUNTIFS(B:B,B315,H:H,'סיווג התפקידים והעלויות'!$C$2)</f>
        <v>0</v>
      </c>
      <c r="AC315" s="374">
        <f>COUNTIFS(B:B,B315,H:H,'סיווג התפקידים והעלויות'!$D$2)</f>
        <v>0</v>
      </c>
      <c r="AD315" s="374" t="str">
        <f>IF(OR(AND(H315='סיווג התפקידים והעלויות'!$A$2,I315='סיווג התפקידים והעלויות'!$A$3),'עלויות כח אדם (6)'!H315='סיווג התפקידים והעלויות'!$C$2,'עלויות כח אדם (6)'!H315='סיווג התפקידים והעלויות'!$D$2),IF('עלויות כח אדם (6)'!J315&lt;75,"לא תקין","תקין"),"")</f>
        <v/>
      </c>
      <c r="AE315" s="374" t="str">
        <f t="shared" si="74"/>
        <v/>
      </c>
      <c r="AF315" s="532" t="str">
        <f t="shared" si="75"/>
        <v/>
      </c>
    </row>
    <row r="316" spans="2:32" x14ac:dyDescent="0.25">
      <c r="B316" s="695"/>
      <c r="C316" s="197" t="str">
        <f>IF(B316&lt;&gt;"",IFERROR(VLOOKUP(B:B,'מצבת והרשמה (2)'!$C$20:$N$520,2,0)," ")," ")</f>
        <v xml:space="preserve"> </v>
      </c>
      <c r="D316" s="695"/>
      <c r="E316" s="696"/>
      <c r="F316" s="696"/>
      <c r="G316" s="696"/>
      <c r="H316" s="696"/>
      <c r="I316" s="1050" t="str">
        <f t="shared" si="62"/>
        <v/>
      </c>
      <c r="J316" s="696"/>
      <c r="K316" s="697"/>
      <c r="L316" s="696"/>
      <c r="M316" s="198" t="str">
        <f t="shared" si="63"/>
        <v/>
      </c>
      <c r="N316" s="369" t="str">
        <f t="shared" si="64"/>
        <v/>
      </c>
      <c r="O316" s="183" t="str">
        <f t="shared" si="65"/>
        <v/>
      </c>
      <c r="P316" s="199" t="str">
        <f t="shared" si="66"/>
        <v/>
      </c>
      <c r="Q316" s="199" t="str">
        <f>IF(B316="","",IFERROR(IF('עלויות כח אדם (6)'!J316&gt;=VLOOKUP(I316,'סיווג התפקידים והעלויות'!$B$23:$C$32,2,0),"תקין","לא תקין"),""))</f>
        <v/>
      </c>
      <c r="R316" s="199" t="str">
        <f t="shared" si="67"/>
        <v/>
      </c>
      <c r="S316" s="199" t="str">
        <f t="shared" si="68"/>
        <v/>
      </c>
      <c r="T316" s="199" t="str">
        <f t="shared" si="76"/>
        <v/>
      </c>
      <c r="U316" s="199" t="str">
        <f t="shared" si="69"/>
        <v/>
      </c>
      <c r="V316" s="989"/>
      <c r="X316" s="374" t="str">
        <f t="shared" si="70"/>
        <v/>
      </c>
      <c r="Y316" s="375" t="str">
        <f t="shared" si="71"/>
        <v/>
      </c>
      <c r="Z316" s="374" t="str">
        <f t="shared" si="72"/>
        <v/>
      </c>
      <c r="AA316" s="374" t="b">
        <f t="shared" si="73"/>
        <v>1</v>
      </c>
      <c r="AB316" s="374">
        <f>COUNTIFS(B:B,B316,H:H,'סיווג התפקידים והעלויות'!$C$2)</f>
        <v>0</v>
      </c>
      <c r="AC316" s="374">
        <f>COUNTIFS(B:B,B316,H:H,'סיווג התפקידים והעלויות'!$D$2)</f>
        <v>0</v>
      </c>
      <c r="AD316" s="374" t="str">
        <f>IF(OR(AND(H316='סיווג התפקידים והעלויות'!$A$2,I316='סיווג התפקידים והעלויות'!$A$3),'עלויות כח אדם (6)'!H316='סיווג התפקידים והעלויות'!$C$2,'עלויות כח אדם (6)'!H316='סיווג התפקידים והעלויות'!$D$2),IF('עלויות כח אדם (6)'!J316&lt;75,"לא תקין","תקין"),"")</f>
        <v/>
      </c>
      <c r="AE316" s="374" t="str">
        <f t="shared" si="74"/>
        <v/>
      </c>
      <c r="AF316" s="532" t="str">
        <f t="shared" si="75"/>
        <v/>
      </c>
    </row>
    <row r="317" spans="2:32" x14ac:dyDescent="0.25">
      <c r="B317" s="695"/>
      <c r="C317" s="197" t="str">
        <f>IF(B317&lt;&gt;"",IFERROR(VLOOKUP(B:B,'מצבת והרשמה (2)'!$C$20:$N$520,2,0)," ")," ")</f>
        <v xml:space="preserve"> </v>
      </c>
      <c r="D317" s="695"/>
      <c r="E317" s="696"/>
      <c r="F317" s="696"/>
      <c r="G317" s="696"/>
      <c r="H317" s="696"/>
      <c r="I317" s="1050" t="str">
        <f t="shared" si="62"/>
        <v/>
      </c>
      <c r="J317" s="696"/>
      <c r="K317" s="697"/>
      <c r="L317" s="696"/>
      <c r="M317" s="198" t="str">
        <f t="shared" si="63"/>
        <v/>
      </c>
      <c r="N317" s="369" t="str">
        <f t="shared" si="64"/>
        <v/>
      </c>
      <c r="O317" s="183" t="str">
        <f t="shared" si="65"/>
        <v/>
      </c>
      <c r="P317" s="199" t="str">
        <f t="shared" si="66"/>
        <v/>
      </c>
      <c r="Q317" s="199" t="str">
        <f>IF(B317="","",IFERROR(IF('עלויות כח אדם (6)'!J317&gt;=VLOOKUP(I317,'סיווג התפקידים והעלויות'!$B$23:$C$32,2,0),"תקין","לא תקין"),""))</f>
        <v/>
      </c>
      <c r="R317" s="199" t="str">
        <f t="shared" si="67"/>
        <v/>
      </c>
      <c r="S317" s="199" t="str">
        <f t="shared" si="68"/>
        <v/>
      </c>
      <c r="T317" s="199" t="str">
        <f t="shared" si="76"/>
        <v/>
      </c>
      <c r="U317" s="199" t="str">
        <f t="shared" si="69"/>
        <v/>
      </c>
      <c r="V317" s="989"/>
      <c r="X317" s="374" t="str">
        <f t="shared" si="70"/>
        <v/>
      </c>
      <c r="Y317" s="375" t="str">
        <f t="shared" si="71"/>
        <v/>
      </c>
      <c r="Z317" s="374" t="str">
        <f t="shared" si="72"/>
        <v/>
      </c>
      <c r="AA317" s="374" t="b">
        <f t="shared" si="73"/>
        <v>1</v>
      </c>
      <c r="AB317" s="374">
        <f>COUNTIFS(B:B,B317,H:H,'סיווג התפקידים והעלויות'!$C$2)</f>
        <v>0</v>
      </c>
      <c r="AC317" s="374">
        <f>COUNTIFS(B:B,B317,H:H,'סיווג התפקידים והעלויות'!$D$2)</f>
        <v>0</v>
      </c>
      <c r="AD317" s="374" t="str">
        <f>IF(OR(AND(H317='סיווג התפקידים והעלויות'!$A$2,I317='סיווג התפקידים והעלויות'!$A$3),'עלויות כח אדם (6)'!H317='סיווג התפקידים והעלויות'!$C$2,'עלויות כח אדם (6)'!H317='סיווג התפקידים והעלויות'!$D$2),IF('עלויות כח אדם (6)'!J317&lt;75,"לא תקין","תקין"),"")</f>
        <v/>
      </c>
      <c r="AE317" s="374" t="str">
        <f t="shared" si="74"/>
        <v/>
      </c>
      <c r="AF317" s="532" t="str">
        <f t="shared" si="75"/>
        <v/>
      </c>
    </row>
    <row r="318" spans="2:32" x14ac:dyDescent="0.25">
      <c r="B318" s="695"/>
      <c r="C318" s="197" t="str">
        <f>IF(B318&lt;&gt;"",IFERROR(VLOOKUP(B:B,'מצבת והרשמה (2)'!$C$20:$N$520,2,0)," ")," ")</f>
        <v xml:space="preserve"> </v>
      </c>
      <c r="D318" s="695"/>
      <c r="E318" s="696"/>
      <c r="F318" s="696"/>
      <c r="G318" s="696"/>
      <c r="H318" s="696"/>
      <c r="I318" s="1050" t="str">
        <f t="shared" si="62"/>
        <v/>
      </c>
      <c r="J318" s="696"/>
      <c r="K318" s="697"/>
      <c r="L318" s="696"/>
      <c r="M318" s="198" t="str">
        <f t="shared" si="63"/>
        <v/>
      </c>
      <c r="N318" s="369" t="str">
        <f t="shared" si="64"/>
        <v/>
      </c>
      <c r="O318" s="183" t="str">
        <f t="shared" si="65"/>
        <v/>
      </c>
      <c r="P318" s="199" t="str">
        <f t="shared" si="66"/>
        <v/>
      </c>
      <c r="Q318" s="199" t="str">
        <f>IF(B318="","",IFERROR(IF('עלויות כח אדם (6)'!J318&gt;=VLOOKUP(I318,'סיווג התפקידים והעלויות'!$B$23:$C$32,2,0),"תקין","לא תקין"),""))</f>
        <v/>
      </c>
      <c r="R318" s="199" t="str">
        <f t="shared" si="67"/>
        <v/>
      </c>
      <c r="S318" s="199" t="str">
        <f t="shared" si="68"/>
        <v/>
      </c>
      <c r="T318" s="199" t="str">
        <f t="shared" si="76"/>
        <v/>
      </c>
      <c r="U318" s="199" t="str">
        <f t="shared" si="69"/>
        <v/>
      </c>
      <c r="V318" s="989"/>
      <c r="X318" s="374" t="str">
        <f t="shared" si="70"/>
        <v/>
      </c>
      <c r="Y318" s="375" t="str">
        <f t="shared" si="71"/>
        <v/>
      </c>
      <c r="Z318" s="374" t="str">
        <f t="shared" si="72"/>
        <v/>
      </c>
      <c r="AA318" s="374" t="b">
        <f t="shared" si="73"/>
        <v>1</v>
      </c>
      <c r="AB318" s="374">
        <f>COUNTIFS(B:B,B318,H:H,'סיווג התפקידים והעלויות'!$C$2)</f>
        <v>0</v>
      </c>
      <c r="AC318" s="374">
        <f>COUNTIFS(B:B,B318,H:H,'סיווג התפקידים והעלויות'!$D$2)</f>
        <v>0</v>
      </c>
      <c r="AD318" s="374" t="str">
        <f>IF(OR(AND(H318='סיווג התפקידים והעלויות'!$A$2,I318='סיווג התפקידים והעלויות'!$A$3),'עלויות כח אדם (6)'!H318='סיווג התפקידים והעלויות'!$C$2,'עלויות כח אדם (6)'!H318='סיווג התפקידים והעלויות'!$D$2),IF('עלויות כח אדם (6)'!J318&lt;75,"לא תקין","תקין"),"")</f>
        <v/>
      </c>
      <c r="AE318" s="374" t="str">
        <f t="shared" si="74"/>
        <v/>
      </c>
      <c r="AF318" s="532" t="str">
        <f t="shared" si="75"/>
        <v/>
      </c>
    </row>
    <row r="319" spans="2:32" x14ac:dyDescent="0.25">
      <c r="B319" s="695"/>
      <c r="C319" s="197" t="str">
        <f>IF(B319&lt;&gt;"",IFERROR(VLOOKUP(B:B,'מצבת והרשמה (2)'!$C$20:$N$520,2,0)," ")," ")</f>
        <v xml:space="preserve"> </v>
      </c>
      <c r="D319" s="695"/>
      <c r="E319" s="696"/>
      <c r="F319" s="696"/>
      <c r="G319" s="696"/>
      <c r="H319" s="696"/>
      <c r="I319" s="1050" t="str">
        <f t="shared" si="62"/>
        <v/>
      </c>
      <c r="J319" s="696"/>
      <c r="K319" s="697"/>
      <c r="L319" s="696"/>
      <c r="M319" s="198" t="str">
        <f t="shared" si="63"/>
        <v/>
      </c>
      <c r="N319" s="369" t="str">
        <f t="shared" si="64"/>
        <v/>
      </c>
      <c r="O319" s="183" t="str">
        <f t="shared" si="65"/>
        <v/>
      </c>
      <c r="P319" s="199" t="str">
        <f t="shared" si="66"/>
        <v/>
      </c>
      <c r="Q319" s="199" t="str">
        <f>IF(B319="","",IFERROR(IF('עלויות כח אדם (6)'!J319&gt;=VLOOKUP(I319,'סיווג התפקידים והעלויות'!$B$23:$C$32,2,0),"תקין","לא תקין"),""))</f>
        <v/>
      </c>
      <c r="R319" s="199" t="str">
        <f t="shared" si="67"/>
        <v/>
      </c>
      <c r="S319" s="199" t="str">
        <f t="shared" si="68"/>
        <v/>
      </c>
      <c r="T319" s="199" t="str">
        <f t="shared" si="76"/>
        <v/>
      </c>
      <c r="U319" s="199" t="str">
        <f t="shared" si="69"/>
        <v/>
      </c>
      <c r="V319" s="989"/>
      <c r="X319" s="374" t="str">
        <f t="shared" si="70"/>
        <v/>
      </c>
      <c r="Y319" s="375" t="str">
        <f t="shared" si="71"/>
        <v/>
      </c>
      <c r="Z319" s="374" t="str">
        <f t="shared" si="72"/>
        <v/>
      </c>
      <c r="AA319" s="374" t="b">
        <f t="shared" si="73"/>
        <v>1</v>
      </c>
      <c r="AB319" s="374">
        <f>COUNTIFS(B:B,B319,H:H,'סיווג התפקידים והעלויות'!$C$2)</f>
        <v>0</v>
      </c>
      <c r="AC319" s="374">
        <f>COUNTIFS(B:B,B319,H:H,'סיווג התפקידים והעלויות'!$D$2)</f>
        <v>0</v>
      </c>
      <c r="AD319" s="374" t="str">
        <f>IF(OR(AND(H319='סיווג התפקידים והעלויות'!$A$2,I319='סיווג התפקידים והעלויות'!$A$3),'עלויות כח אדם (6)'!H319='סיווג התפקידים והעלויות'!$C$2,'עלויות כח אדם (6)'!H319='סיווג התפקידים והעלויות'!$D$2),IF('עלויות כח אדם (6)'!J319&lt;75,"לא תקין","תקין"),"")</f>
        <v/>
      </c>
      <c r="AE319" s="374" t="str">
        <f t="shared" si="74"/>
        <v/>
      </c>
      <c r="AF319" s="532" t="str">
        <f t="shared" si="75"/>
        <v/>
      </c>
    </row>
    <row r="320" spans="2:32" x14ac:dyDescent="0.25">
      <c r="B320" s="695"/>
      <c r="C320" s="197" t="str">
        <f>IF(B320&lt;&gt;"",IFERROR(VLOOKUP(B:B,'מצבת והרשמה (2)'!$C$20:$N$520,2,0)," ")," ")</f>
        <v xml:space="preserve"> </v>
      </c>
      <c r="D320" s="695"/>
      <c r="E320" s="696"/>
      <c r="F320" s="696"/>
      <c r="G320" s="696"/>
      <c r="H320" s="696"/>
      <c r="I320" s="1050" t="str">
        <f t="shared" si="62"/>
        <v/>
      </c>
      <c r="J320" s="696"/>
      <c r="K320" s="697"/>
      <c r="L320" s="696"/>
      <c r="M320" s="198" t="str">
        <f t="shared" si="63"/>
        <v/>
      </c>
      <c r="N320" s="369" t="str">
        <f t="shared" si="64"/>
        <v/>
      </c>
      <c r="O320" s="183" t="str">
        <f t="shared" si="65"/>
        <v/>
      </c>
      <c r="P320" s="199" t="str">
        <f t="shared" si="66"/>
        <v/>
      </c>
      <c r="Q320" s="199" t="str">
        <f>IF(B320="","",IFERROR(IF('עלויות כח אדם (6)'!J320&gt;=VLOOKUP(I320,'סיווג התפקידים והעלויות'!$B$23:$C$32,2,0),"תקין","לא תקין"),""))</f>
        <v/>
      </c>
      <c r="R320" s="199" t="str">
        <f t="shared" si="67"/>
        <v/>
      </c>
      <c r="S320" s="199" t="str">
        <f t="shared" si="68"/>
        <v/>
      </c>
      <c r="T320" s="199" t="str">
        <f t="shared" si="76"/>
        <v/>
      </c>
      <c r="U320" s="199" t="str">
        <f t="shared" si="69"/>
        <v/>
      </c>
      <c r="V320" s="989"/>
      <c r="X320" s="374" t="str">
        <f t="shared" si="70"/>
        <v/>
      </c>
      <c r="Y320" s="375" t="str">
        <f t="shared" si="71"/>
        <v/>
      </c>
      <c r="Z320" s="374" t="str">
        <f t="shared" si="72"/>
        <v/>
      </c>
      <c r="AA320" s="374" t="b">
        <f t="shared" si="73"/>
        <v>1</v>
      </c>
      <c r="AB320" s="374">
        <f>COUNTIFS(B:B,B320,H:H,'סיווג התפקידים והעלויות'!$C$2)</f>
        <v>0</v>
      </c>
      <c r="AC320" s="374">
        <f>COUNTIFS(B:B,B320,H:H,'סיווג התפקידים והעלויות'!$D$2)</f>
        <v>0</v>
      </c>
      <c r="AD320" s="374" t="str">
        <f>IF(OR(AND(H320='סיווג התפקידים והעלויות'!$A$2,I320='סיווג התפקידים והעלויות'!$A$3),'עלויות כח אדם (6)'!H320='סיווג התפקידים והעלויות'!$C$2,'עלויות כח אדם (6)'!H320='סיווג התפקידים והעלויות'!$D$2),IF('עלויות כח אדם (6)'!J320&lt;75,"לא תקין","תקין"),"")</f>
        <v/>
      </c>
      <c r="AE320" s="374" t="str">
        <f t="shared" si="74"/>
        <v/>
      </c>
      <c r="AF320" s="532" t="str">
        <f t="shared" si="75"/>
        <v/>
      </c>
    </row>
    <row r="321" spans="2:32" x14ac:dyDescent="0.25">
      <c r="B321" s="695"/>
      <c r="C321" s="197" t="str">
        <f>IF(B321&lt;&gt;"",IFERROR(VLOOKUP(B:B,'מצבת והרשמה (2)'!$C$20:$N$520,2,0)," ")," ")</f>
        <v xml:space="preserve"> </v>
      </c>
      <c r="D321" s="695"/>
      <c r="E321" s="696"/>
      <c r="F321" s="696"/>
      <c r="G321" s="696"/>
      <c r="H321" s="696"/>
      <c r="I321" s="1050" t="str">
        <f t="shared" si="62"/>
        <v/>
      </c>
      <c r="J321" s="696"/>
      <c r="K321" s="697"/>
      <c r="L321" s="696"/>
      <c r="M321" s="198" t="str">
        <f t="shared" si="63"/>
        <v/>
      </c>
      <c r="N321" s="369" t="str">
        <f t="shared" si="64"/>
        <v/>
      </c>
      <c r="O321" s="183" t="str">
        <f t="shared" si="65"/>
        <v/>
      </c>
      <c r="P321" s="199" t="str">
        <f t="shared" si="66"/>
        <v/>
      </c>
      <c r="Q321" s="199" t="str">
        <f>IF(B321="","",IFERROR(IF('עלויות כח אדם (6)'!J321&gt;=VLOOKUP(I321,'סיווג התפקידים והעלויות'!$B$23:$C$32,2,0),"תקין","לא תקין"),""))</f>
        <v/>
      </c>
      <c r="R321" s="199" t="str">
        <f t="shared" si="67"/>
        <v/>
      </c>
      <c r="S321" s="199" t="str">
        <f t="shared" si="68"/>
        <v/>
      </c>
      <c r="T321" s="199" t="str">
        <f t="shared" si="76"/>
        <v/>
      </c>
      <c r="U321" s="199" t="str">
        <f t="shared" si="69"/>
        <v/>
      </c>
      <c r="V321" s="989"/>
      <c r="X321" s="374" t="str">
        <f t="shared" si="70"/>
        <v/>
      </c>
      <c r="Y321" s="375" t="str">
        <f t="shared" si="71"/>
        <v/>
      </c>
      <c r="Z321" s="374" t="str">
        <f t="shared" si="72"/>
        <v/>
      </c>
      <c r="AA321" s="374" t="b">
        <f t="shared" si="73"/>
        <v>1</v>
      </c>
      <c r="AB321" s="374">
        <f>COUNTIFS(B:B,B321,H:H,'סיווג התפקידים והעלויות'!$C$2)</f>
        <v>0</v>
      </c>
      <c r="AC321" s="374">
        <f>COUNTIFS(B:B,B321,H:H,'סיווג התפקידים והעלויות'!$D$2)</f>
        <v>0</v>
      </c>
      <c r="AD321" s="374" t="str">
        <f>IF(OR(AND(H321='סיווג התפקידים והעלויות'!$A$2,I321='סיווג התפקידים והעלויות'!$A$3),'עלויות כח אדם (6)'!H321='סיווג התפקידים והעלויות'!$C$2,'עלויות כח אדם (6)'!H321='סיווג התפקידים והעלויות'!$D$2),IF('עלויות כח אדם (6)'!J321&lt;75,"לא תקין","תקין"),"")</f>
        <v/>
      </c>
      <c r="AE321" s="374" t="str">
        <f t="shared" si="74"/>
        <v/>
      </c>
      <c r="AF321" s="532" t="str">
        <f t="shared" si="75"/>
        <v/>
      </c>
    </row>
    <row r="322" spans="2:32" x14ac:dyDescent="0.25">
      <c r="B322" s="695"/>
      <c r="C322" s="197" t="str">
        <f>IF(B322&lt;&gt;"",IFERROR(VLOOKUP(B:B,'מצבת והרשמה (2)'!$C$20:$N$520,2,0)," ")," ")</f>
        <v xml:space="preserve"> </v>
      </c>
      <c r="D322" s="695"/>
      <c r="E322" s="696"/>
      <c r="F322" s="696"/>
      <c r="G322" s="696"/>
      <c r="H322" s="696"/>
      <c r="I322" s="1050" t="str">
        <f t="shared" si="62"/>
        <v/>
      </c>
      <c r="J322" s="696"/>
      <c r="K322" s="697"/>
      <c r="L322" s="696"/>
      <c r="M322" s="198" t="str">
        <f t="shared" si="63"/>
        <v/>
      </c>
      <c r="N322" s="369" t="str">
        <f t="shared" si="64"/>
        <v/>
      </c>
      <c r="O322" s="183" t="str">
        <f t="shared" si="65"/>
        <v/>
      </c>
      <c r="P322" s="199" t="str">
        <f t="shared" si="66"/>
        <v/>
      </c>
      <c r="Q322" s="199" t="str">
        <f>IF(B322="","",IFERROR(IF('עלויות כח אדם (6)'!J322&gt;=VLOOKUP(I322,'סיווג התפקידים והעלויות'!$B$23:$C$32,2,0),"תקין","לא תקין"),""))</f>
        <v/>
      </c>
      <c r="R322" s="199" t="str">
        <f t="shared" si="67"/>
        <v/>
      </c>
      <c r="S322" s="199" t="str">
        <f t="shared" si="68"/>
        <v/>
      </c>
      <c r="T322" s="199" t="str">
        <f t="shared" si="76"/>
        <v/>
      </c>
      <c r="U322" s="199" t="str">
        <f t="shared" si="69"/>
        <v/>
      </c>
      <c r="V322" s="989"/>
      <c r="X322" s="374" t="str">
        <f t="shared" si="70"/>
        <v/>
      </c>
      <c r="Y322" s="375" t="str">
        <f t="shared" si="71"/>
        <v/>
      </c>
      <c r="Z322" s="374" t="str">
        <f t="shared" si="72"/>
        <v/>
      </c>
      <c r="AA322" s="374" t="b">
        <f t="shared" si="73"/>
        <v>1</v>
      </c>
      <c r="AB322" s="374">
        <f>COUNTIFS(B:B,B322,H:H,'סיווג התפקידים והעלויות'!$C$2)</f>
        <v>0</v>
      </c>
      <c r="AC322" s="374">
        <f>COUNTIFS(B:B,B322,H:H,'סיווג התפקידים והעלויות'!$D$2)</f>
        <v>0</v>
      </c>
      <c r="AD322" s="374" t="str">
        <f>IF(OR(AND(H322='סיווג התפקידים והעלויות'!$A$2,I322='סיווג התפקידים והעלויות'!$A$3),'עלויות כח אדם (6)'!H322='סיווג התפקידים והעלויות'!$C$2,'עלויות כח אדם (6)'!H322='סיווג התפקידים והעלויות'!$D$2),IF('עלויות כח אדם (6)'!J322&lt;75,"לא תקין","תקין"),"")</f>
        <v/>
      </c>
      <c r="AE322" s="374" t="str">
        <f t="shared" si="74"/>
        <v/>
      </c>
      <c r="AF322" s="532" t="str">
        <f t="shared" si="75"/>
        <v/>
      </c>
    </row>
    <row r="323" spans="2:32" x14ac:dyDescent="0.25">
      <c r="B323" s="695"/>
      <c r="C323" s="197" t="str">
        <f>IF(B323&lt;&gt;"",IFERROR(VLOOKUP(B:B,'מצבת והרשמה (2)'!$C$20:$N$520,2,0)," ")," ")</f>
        <v xml:space="preserve"> </v>
      </c>
      <c r="D323" s="695"/>
      <c r="E323" s="696"/>
      <c r="F323" s="696"/>
      <c r="G323" s="696"/>
      <c r="H323" s="696"/>
      <c r="I323" s="1050" t="str">
        <f t="shared" si="62"/>
        <v/>
      </c>
      <c r="J323" s="696"/>
      <c r="K323" s="697"/>
      <c r="L323" s="696"/>
      <c r="M323" s="198" t="str">
        <f t="shared" si="63"/>
        <v/>
      </c>
      <c r="N323" s="369" t="str">
        <f t="shared" si="64"/>
        <v/>
      </c>
      <c r="O323" s="183" t="str">
        <f t="shared" si="65"/>
        <v/>
      </c>
      <c r="P323" s="199" t="str">
        <f t="shared" si="66"/>
        <v/>
      </c>
      <c r="Q323" s="199" t="str">
        <f>IF(B323="","",IFERROR(IF('עלויות כח אדם (6)'!J323&gt;=VLOOKUP(I323,'סיווג התפקידים והעלויות'!$B$23:$C$32,2,0),"תקין","לא תקין"),""))</f>
        <v/>
      </c>
      <c r="R323" s="199" t="str">
        <f t="shared" si="67"/>
        <v/>
      </c>
      <c r="S323" s="199" t="str">
        <f t="shared" si="68"/>
        <v/>
      </c>
      <c r="T323" s="199" t="str">
        <f t="shared" si="76"/>
        <v/>
      </c>
      <c r="U323" s="199" t="str">
        <f t="shared" si="69"/>
        <v/>
      </c>
      <c r="V323" s="989"/>
      <c r="X323" s="374" t="str">
        <f t="shared" si="70"/>
        <v/>
      </c>
      <c r="Y323" s="375" t="str">
        <f t="shared" si="71"/>
        <v/>
      </c>
      <c r="Z323" s="374" t="str">
        <f t="shared" si="72"/>
        <v/>
      </c>
      <c r="AA323" s="374" t="b">
        <f t="shared" si="73"/>
        <v>1</v>
      </c>
      <c r="AB323" s="374">
        <f>COUNTIFS(B:B,B323,H:H,'סיווג התפקידים והעלויות'!$C$2)</f>
        <v>0</v>
      </c>
      <c r="AC323" s="374">
        <f>COUNTIFS(B:B,B323,H:H,'סיווג התפקידים והעלויות'!$D$2)</f>
        <v>0</v>
      </c>
      <c r="AD323" s="374" t="str">
        <f>IF(OR(AND(H323='סיווג התפקידים והעלויות'!$A$2,I323='סיווג התפקידים והעלויות'!$A$3),'עלויות כח אדם (6)'!H323='סיווג התפקידים והעלויות'!$C$2,'עלויות כח אדם (6)'!H323='סיווג התפקידים והעלויות'!$D$2),IF('עלויות כח אדם (6)'!J323&lt;75,"לא תקין","תקין"),"")</f>
        <v/>
      </c>
      <c r="AE323" s="374" t="str">
        <f t="shared" si="74"/>
        <v/>
      </c>
      <c r="AF323" s="532" t="str">
        <f t="shared" si="75"/>
        <v/>
      </c>
    </row>
    <row r="324" spans="2:32" x14ac:dyDescent="0.25">
      <c r="B324" s="695"/>
      <c r="C324" s="197" t="str">
        <f>IF(B324&lt;&gt;"",IFERROR(VLOOKUP(B:B,'מצבת והרשמה (2)'!$C$20:$N$520,2,0)," ")," ")</f>
        <v xml:space="preserve"> </v>
      </c>
      <c r="D324" s="695"/>
      <c r="E324" s="696"/>
      <c r="F324" s="696"/>
      <c r="G324" s="696"/>
      <c r="H324" s="696"/>
      <c r="I324" s="1050" t="str">
        <f t="shared" si="62"/>
        <v/>
      </c>
      <c r="J324" s="696"/>
      <c r="K324" s="697"/>
      <c r="L324" s="696"/>
      <c r="M324" s="198" t="str">
        <f t="shared" si="63"/>
        <v/>
      </c>
      <c r="N324" s="369" t="str">
        <f t="shared" si="64"/>
        <v/>
      </c>
      <c r="O324" s="183" t="str">
        <f t="shared" si="65"/>
        <v/>
      </c>
      <c r="P324" s="199" t="str">
        <f t="shared" si="66"/>
        <v/>
      </c>
      <c r="Q324" s="199" t="str">
        <f>IF(B324="","",IFERROR(IF('עלויות כח אדם (6)'!J324&gt;=VLOOKUP(I324,'סיווג התפקידים והעלויות'!$B$23:$C$32,2,0),"תקין","לא תקין"),""))</f>
        <v/>
      </c>
      <c r="R324" s="199" t="str">
        <f t="shared" si="67"/>
        <v/>
      </c>
      <c r="S324" s="199" t="str">
        <f t="shared" si="68"/>
        <v/>
      </c>
      <c r="T324" s="199" t="str">
        <f t="shared" si="76"/>
        <v/>
      </c>
      <c r="U324" s="199" t="str">
        <f t="shared" si="69"/>
        <v/>
      </c>
      <c r="V324" s="989"/>
      <c r="X324" s="374" t="str">
        <f t="shared" si="70"/>
        <v/>
      </c>
      <c r="Y324" s="375" t="str">
        <f t="shared" si="71"/>
        <v/>
      </c>
      <c r="Z324" s="374" t="str">
        <f t="shared" si="72"/>
        <v/>
      </c>
      <c r="AA324" s="374" t="b">
        <f t="shared" si="73"/>
        <v>1</v>
      </c>
      <c r="AB324" s="374">
        <f>COUNTIFS(B:B,B324,H:H,'סיווג התפקידים והעלויות'!$C$2)</f>
        <v>0</v>
      </c>
      <c r="AC324" s="374">
        <f>COUNTIFS(B:B,B324,H:H,'סיווג התפקידים והעלויות'!$D$2)</f>
        <v>0</v>
      </c>
      <c r="AD324" s="374" t="str">
        <f>IF(OR(AND(H324='סיווג התפקידים והעלויות'!$A$2,I324='סיווג התפקידים והעלויות'!$A$3),'עלויות כח אדם (6)'!H324='סיווג התפקידים והעלויות'!$C$2,'עלויות כח אדם (6)'!H324='סיווג התפקידים והעלויות'!$D$2),IF('עלויות כח אדם (6)'!J324&lt;75,"לא תקין","תקין"),"")</f>
        <v/>
      </c>
      <c r="AE324" s="374" t="str">
        <f t="shared" si="74"/>
        <v/>
      </c>
      <c r="AF324" s="532" t="str">
        <f t="shared" si="75"/>
        <v/>
      </c>
    </row>
    <row r="325" spans="2:32" x14ac:dyDescent="0.25">
      <c r="B325" s="695"/>
      <c r="C325" s="197" t="str">
        <f>IF(B325&lt;&gt;"",IFERROR(VLOOKUP(B:B,'מצבת והרשמה (2)'!$C$20:$N$520,2,0)," ")," ")</f>
        <v xml:space="preserve"> </v>
      </c>
      <c r="D325" s="695"/>
      <c r="E325" s="696"/>
      <c r="F325" s="696"/>
      <c r="G325" s="696"/>
      <c r="H325" s="696"/>
      <c r="I325" s="1050" t="str">
        <f t="shared" si="62"/>
        <v/>
      </c>
      <c r="J325" s="696"/>
      <c r="K325" s="697"/>
      <c r="L325" s="696"/>
      <c r="M325" s="198" t="str">
        <f t="shared" si="63"/>
        <v/>
      </c>
      <c r="N325" s="369" t="str">
        <f t="shared" si="64"/>
        <v/>
      </c>
      <c r="O325" s="183" t="str">
        <f t="shared" si="65"/>
        <v/>
      </c>
      <c r="P325" s="199" t="str">
        <f t="shared" si="66"/>
        <v/>
      </c>
      <c r="Q325" s="199" t="str">
        <f>IF(B325="","",IFERROR(IF('עלויות כח אדם (6)'!J325&gt;=VLOOKUP(I325,'סיווג התפקידים והעלויות'!$B$23:$C$32,2,0),"תקין","לא תקין"),""))</f>
        <v/>
      </c>
      <c r="R325" s="199" t="str">
        <f t="shared" si="67"/>
        <v/>
      </c>
      <c r="S325" s="199" t="str">
        <f t="shared" si="68"/>
        <v/>
      </c>
      <c r="T325" s="199" t="str">
        <f t="shared" si="76"/>
        <v/>
      </c>
      <c r="U325" s="199" t="str">
        <f t="shared" si="69"/>
        <v/>
      </c>
      <c r="V325" s="989"/>
      <c r="X325" s="374" t="str">
        <f t="shared" si="70"/>
        <v/>
      </c>
      <c r="Y325" s="375" t="str">
        <f t="shared" si="71"/>
        <v/>
      </c>
      <c r="Z325" s="374" t="str">
        <f t="shared" si="72"/>
        <v/>
      </c>
      <c r="AA325" s="374" t="b">
        <f t="shared" si="73"/>
        <v>1</v>
      </c>
      <c r="AB325" s="374">
        <f>COUNTIFS(B:B,B325,H:H,'סיווג התפקידים והעלויות'!$C$2)</f>
        <v>0</v>
      </c>
      <c r="AC325" s="374">
        <f>COUNTIFS(B:B,B325,H:H,'סיווג התפקידים והעלויות'!$D$2)</f>
        <v>0</v>
      </c>
      <c r="AD325" s="374" t="str">
        <f>IF(OR(AND(H325='סיווג התפקידים והעלויות'!$A$2,I325='סיווג התפקידים והעלויות'!$A$3),'עלויות כח אדם (6)'!H325='סיווג התפקידים והעלויות'!$C$2,'עלויות כח אדם (6)'!H325='סיווג התפקידים והעלויות'!$D$2),IF('עלויות כח אדם (6)'!J325&lt;75,"לא תקין","תקין"),"")</f>
        <v/>
      </c>
      <c r="AE325" s="374" t="str">
        <f t="shared" si="74"/>
        <v/>
      </c>
      <c r="AF325" s="532" t="str">
        <f t="shared" si="75"/>
        <v/>
      </c>
    </row>
    <row r="326" spans="2:32" x14ac:dyDescent="0.25">
      <c r="B326" s="695"/>
      <c r="C326" s="197" t="str">
        <f>IF(B326&lt;&gt;"",IFERROR(VLOOKUP(B:B,'מצבת והרשמה (2)'!$C$20:$N$520,2,0)," ")," ")</f>
        <v xml:space="preserve"> </v>
      </c>
      <c r="D326" s="695"/>
      <c r="E326" s="696"/>
      <c r="F326" s="696"/>
      <c r="G326" s="696"/>
      <c r="H326" s="696"/>
      <c r="I326" s="1050" t="str">
        <f t="shared" si="62"/>
        <v/>
      </c>
      <c r="J326" s="696"/>
      <c r="K326" s="697"/>
      <c r="L326" s="696"/>
      <c r="M326" s="198" t="str">
        <f t="shared" si="63"/>
        <v/>
      </c>
      <c r="N326" s="369" t="str">
        <f t="shared" si="64"/>
        <v/>
      </c>
      <c r="O326" s="183" t="str">
        <f t="shared" si="65"/>
        <v/>
      </c>
      <c r="P326" s="199" t="str">
        <f t="shared" si="66"/>
        <v/>
      </c>
      <c r="Q326" s="199" t="str">
        <f>IF(B326="","",IFERROR(IF('עלויות כח אדם (6)'!J326&gt;=VLOOKUP(I326,'סיווג התפקידים והעלויות'!$B$23:$C$32,2,0),"תקין","לא תקין"),""))</f>
        <v/>
      </c>
      <c r="R326" s="199" t="str">
        <f t="shared" si="67"/>
        <v/>
      </c>
      <c r="S326" s="199" t="str">
        <f t="shared" si="68"/>
        <v/>
      </c>
      <c r="T326" s="199" t="str">
        <f t="shared" si="76"/>
        <v/>
      </c>
      <c r="U326" s="199" t="str">
        <f t="shared" si="69"/>
        <v/>
      </c>
      <c r="V326" s="989"/>
      <c r="X326" s="374" t="str">
        <f t="shared" si="70"/>
        <v/>
      </c>
      <c r="Y326" s="375" t="str">
        <f t="shared" si="71"/>
        <v/>
      </c>
      <c r="Z326" s="374" t="str">
        <f t="shared" si="72"/>
        <v/>
      </c>
      <c r="AA326" s="374" t="b">
        <f t="shared" si="73"/>
        <v>1</v>
      </c>
      <c r="AB326" s="374">
        <f>COUNTIFS(B:B,B326,H:H,'סיווג התפקידים והעלויות'!$C$2)</f>
        <v>0</v>
      </c>
      <c r="AC326" s="374">
        <f>COUNTIFS(B:B,B326,H:H,'סיווג התפקידים והעלויות'!$D$2)</f>
        <v>0</v>
      </c>
      <c r="AD326" s="374" t="str">
        <f>IF(OR(AND(H326='סיווג התפקידים והעלויות'!$A$2,I326='סיווג התפקידים והעלויות'!$A$3),'עלויות כח אדם (6)'!H326='סיווג התפקידים והעלויות'!$C$2,'עלויות כח אדם (6)'!H326='סיווג התפקידים והעלויות'!$D$2),IF('עלויות כח אדם (6)'!J326&lt;75,"לא תקין","תקין"),"")</f>
        <v/>
      </c>
      <c r="AE326" s="374" t="str">
        <f t="shared" si="74"/>
        <v/>
      </c>
      <c r="AF326" s="532" t="str">
        <f t="shared" si="75"/>
        <v/>
      </c>
    </row>
    <row r="327" spans="2:32" x14ac:dyDescent="0.25">
      <c r="B327" s="695"/>
      <c r="C327" s="197" t="str">
        <f>IF(B327&lt;&gt;"",IFERROR(VLOOKUP(B:B,'מצבת והרשמה (2)'!$C$20:$N$520,2,0)," ")," ")</f>
        <v xml:space="preserve"> </v>
      </c>
      <c r="D327" s="695"/>
      <c r="E327" s="696"/>
      <c r="F327" s="696"/>
      <c r="G327" s="696"/>
      <c r="H327" s="696"/>
      <c r="I327" s="1050" t="str">
        <f t="shared" si="62"/>
        <v/>
      </c>
      <c r="J327" s="696"/>
      <c r="K327" s="697"/>
      <c r="L327" s="696"/>
      <c r="M327" s="198" t="str">
        <f t="shared" si="63"/>
        <v/>
      </c>
      <c r="N327" s="369" t="str">
        <f t="shared" si="64"/>
        <v/>
      </c>
      <c r="O327" s="183" t="str">
        <f t="shared" si="65"/>
        <v/>
      </c>
      <c r="P327" s="199" t="str">
        <f t="shared" si="66"/>
        <v/>
      </c>
      <c r="Q327" s="199" t="str">
        <f>IF(B327="","",IFERROR(IF('עלויות כח אדם (6)'!J327&gt;=VLOOKUP(I327,'סיווג התפקידים והעלויות'!$B$23:$C$32,2,0),"תקין","לא תקין"),""))</f>
        <v/>
      </c>
      <c r="R327" s="199" t="str">
        <f t="shared" si="67"/>
        <v/>
      </c>
      <c r="S327" s="199" t="str">
        <f t="shared" si="68"/>
        <v/>
      </c>
      <c r="T327" s="199" t="str">
        <f t="shared" si="76"/>
        <v/>
      </c>
      <c r="U327" s="199" t="str">
        <f t="shared" si="69"/>
        <v/>
      </c>
      <c r="V327" s="989"/>
      <c r="X327" s="374" t="str">
        <f t="shared" si="70"/>
        <v/>
      </c>
      <c r="Y327" s="375" t="str">
        <f t="shared" si="71"/>
        <v/>
      </c>
      <c r="Z327" s="374" t="str">
        <f t="shared" si="72"/>
        <v/>
      </c>
      <c r="AA327" s="374" t="b">
        <f t="shared" si="73"/>
        <v>1</v>
      </c>
      <c r="AB327" s="374">
        <f>COUNTIFS(B:B,B327,H:H,'סיווג התפקידים והעלויות'!$C$2)</f>
        <v>0</v>
      </c>
      <c r="AC327" s="374">
        <f>COUNTIFS(B:B,B327,H:H,'סיווג התפקידים והעלויות'!$D$2)</f>
        <v>0</v>
      </c>
      <c r="AD327" s="374" t="str">
        <f>IF(OR(AND(H327='סיווג התפקידים והעלויות'!$A$2,I327='סיווג התפקידים והעלויות'!$A$3),'עלויות כח אדם (6)'!H327='סיווג התפקידים והעלויות'!$C$2,'עלויות כח אדם (6)'!H327='סיווג התפקידים והעלויות'!$D$2),IF('עלויות כח אדם (6)'!J327&lt;75,"לא תקין","תקין"),"")</f>
        <v/>
      </c>
      <c r="AE327" s="374" t="str">
        <f t="shared" si="74"/>
        <v/>
      </c>
      <c r="AF327" s="532" t="str">
        <f t="shared" si="75"/>
        <v/>
      </c>
    </row>
    <row r="328" spans="2:32" x14ac:dyDescent="0.25">
      <c r="B328" s="695"/>
      <c r="C328" s="197" t="str">
        <f>IF(B328&lt;&gt;"",IFERROR(VLOOKUP(B:B,'מצבת והרשמה (2)'!$C$20:$N$520,2,0)," ")," ")</f>
        <v xml:space="preserve"> </v>
      </c>
      <c r="D328" s="695"/>
      <c r="E328" s="696"/>
      <c r="F328" s="696"/>
      <c r="G328" s="696"/>
      <c r="H328" s="696"/>
      <c r="I328" s="1050" t="str">
        <f t="shared" si="62"/>
        <v/>
      </c>
      <c r="J328" s="696"/>
      <c r="K328" s="697"/>
      <c r="L328" s="696"/>
      <c r="M328" s="198" t="str">
        <f t="shared" si="63"/>
        <v/>
      </c>
      <c r="N328" s="369" t="str">
        <f t="shared" si="64"/>
        <v/>
      </c>
      <c r="O328" s="183" t="str">
        <f t="shared" si="65"/>
        <v/>
      </c>
      <c r="P328" s="199" t="str">
        <f t="shared" si="66"/>
        <v/>
      </c>
      <c r="Q328" s="199" t="str">
        <f>IF(B328="","",IFERROR(IF('עלויות כח אדם (6)'!J328&gt;=VLOOKUP(I328,'סיווג התפקידים והעלויות'!$B$23:$C$32,2,0),"תקין","לא תקין"),""))</f>
        <v/>
      </c>
      <c r="R328" s="199" t="str">
        <f t="shared" si="67"/>
        <v/>
      </c>
      <c r="S328" s="199" t="str">
        <f t="shared" si="68"/>
        <v/>
      </c>
      <c r="T328" s="199" t="str">
        <f t="shared" si="76"/>
        <v/>
      </c>
      <c r="U328" s="199" t="str">
        <f t="shared" si="69"/>
        <v/>
      </c>
      <c r="V328" s="989"/>
      <c r="X328" s="374" t="str">
        <f t="shared" si="70"/>
        <v/>
      </c>
      <c r="Y328" s="375" t="str">
        <f t="shared" si="71"/>
        <v/>
      </c>
      <c r="Z328" s="374" t="str">
        <f t="shared" si="72"/>
        <v/>
      </c>
      <c r="AA328" s="374" t="b">
        <f t="shared" si="73"/>
        <v>1</v>
      </c>
      <c r="AB328" s="374">
        <f>COUNTIFS(B:B,B328,H:H,'סיווג התפקידים והעלויות'!$C$2)</f>
        <v>0</v>
      </c>
      <c r="AC328" s="374">
        <f>COUNTIFS(B:B,B328,H:H,'סיווג התפקידים והעלויות'!$D$2)</f>
        <v>0</v>
      </c>
      <c r="AD328" s="374" t="str">
        <f>IF(OR(AND(H328='סיווג התפקידים והעלויות'!$A$2,I328='סיווג התפקידים והעלויות'!$A$3),'עלויות כח אדם (6)'!H328='סיווג התפקידים והעלויות'!$C$2,'עלויות כח אדם (6)'!H328='סיווג התפקידים והעלויות'!$D$2),IF('עלויות כח אדם (6)'!J328&lt;75,"לא תקין","תקין"),"")</f>
        <v/>
      </c>
      <c r="AE328" s="374" t="str">
        <f t="shared" si="74"/>
        <v/>
      </c>
      <c r="AF328" s="532" t="str">
        <f t="shared" si="75"/>
        <v/>
      </c>
    </row>
    <row r="329" spans="2:32" x14ac:dyDescent="0.25">
      <c r="B329" s="695"/>
      <c r="C329" s="197" t="str">
        <f>IF(B329&lt;&gt;"",IFERROR(VLOOKUP(B:B,'מצבת והרשמה (2)'!$C$20:$N$520,2,0)," ")," ")</f>
        <v xml:space="preserve"> </v>
      </c>
      <c r="D329" s="695"/>
      <c r="E329" s="696"/>
      <c r="F329" s="696"/>
      <c r="G329" s="696"/>
      <c r="H329" s="696"/>
      <c r="I329" s="1050" t="str">
        <f t="shared" si="62"/>
        <v/>
      </c>
      <c r="J329" s="696"/>
      <c r="K329" s="697"/>
      <c r="L329" s="696"/>
      <c r="M329" s="198" t="str">
        <f t="shared" si="63"/>
        <v/>
      </c>
      <c r="N329" s="369" t="str">
        <f t="shared" si="64"/>
        <v/>
      </c>
      <c r="O329" s="183" t="str">
        <f t="shared" si="65"/>
        <v/>
      </c>
      <c r="P329" s="199" t="str">
        <f t="shared" si="66"/>
        <v/>
      </c>
      <c r="Q329" s="199" t="str">
        <f>IF(B329="","",IFERROR(IF('עלויות כח אדם (6)'!J329&gt;=VLOOKUP(I329,'סיווג התפקידים והעלויות'!$B$23:$C$32,2,0),"תקין","לא תקין"),""))</f>
        <v/>
      </c>
      <c r="R329" s="199" t="str">
        <f t="shared" si="67"/>
        <v/>
      </c>
      <c r="S329" s="199" t="str">
        <f t="shared" si="68"/>
        <v/>
      </c>
      <c r="T329" s="199" t="str">
        <f t="shared" si="76"/>
        <v/>
      </c>
      <c r="U329" s="199" t="str">
        <f t="shared" si="69"/>
        <v/>
      </c>
      <c r="V329" s="989"/>
      <c r="X329" s="374" t="str">
        <f t="shared" si="70"/>
        <v/>
      </c>
      <c r="Y329" s="375" t="str">
        <f t="shared" si="71"/>
        <v/>
      </c>
      <c r="Z329" s="374" t="str">
        <f t="shared" si="72"/>
        <v/>
      </c>
      <c r="AA329" s="374" t="b">
        <f t="shared" si="73"/>
        <v>1</v>
      </c>
      <c r="AB329" s="374">
        <f>COUNTIFS(B:B,B329,H:H,'סיווג התפקידים והעלויות'!$C$2)</f>
        <v>0</v>
      </c>
      <c r="AC329" s="374">
        <f>COUNTIFS(B:B,B329,H:H,'סיווג התפקידים והעלויות'!$D$2)</f>
        <v>0</v>
      </c>
      <c r="AD329" s="374" t="str">
        <f>IF(OR(AND(H329='סיווג התפקידים והעלויות'!$A$2,I329='סיווג התפקידים והעלויות'!$A$3),'עלויות כח אדם (6)'!H329='סיווג התפקידים והעלויות'!$C$2,'עלויות כח אדם (6)'!H329='סיווג התפקידים והעלויות'!$D$2),IF('עלויות כח אדם (6)'!J329&lt;75,"לא תקין","תקין"),"")</f>
        <v/>
      </c>
      <c r="AE329" s="374" t="str">
        <f t="shared" si="74"/>
        <v/>
      </c>
      <c r="AF329" s="532" t="str">
        <f t="shared" si="75"/>
        <v/>
      </c>
    </row>
    <row r="330" spans="2:32" x14ac:dyDescent="0.25">
      <c r="B330" s="695"/>
      <c r="C330" s="197" t="str">
        <f>IF(B330&lt;&gt;"",IFERROR(VLOOKUP(B:B,'מצבת והרשמה (2)'!$C$20:$N$520,2,0)," ")," ")</f>
        <v xml:space="preserve"> </v>
      </c>
      <c r="D330" s="695"/>
      <c r="E330" s="696"/>
      <c r="F330" s="696"/>
      <c r="G330" s="696"/>
      <c r="H330" s="696"/>
      <c r="I330" s="1050" t="str">
        <f t="shared" si="62"/>
        <v/>
      </c>
      <c r="J330" s="696"/>
      <c r="K330" s="697"/>
      <c r="L330" s="696"/>
      <c r="M330" s="198" t="str">
        <f t="shared" si="63"/>
        <v/>
      </c>
      <c r="N330" s="369" t="str">
        <f t="shared" si="64"/>
        <v/>
      </c>
      <c r="O330" s="183" t="str">
        <f t="shared" si="65"/>
        <v/>
      </c>
      <c r="P330" s="199" t="str">
        <f t="shared" si="66"/>
        <v/>
      </c>
      <c r="Q330" s="199" t="str">
        <f>IF(B330="","",IFERROR(IF('עלויות כח אדם (6)'!J330&gt;=VLOOKUP(I330,'סיווג התפקידים והעלויות'!$B$23:$C$32,2,0),"תקין","לא תקין"),""))</f>
        <v/>
      </c>
      <c r="R330" s="199" t="str">
        <f t="shared" si="67"/>
        <v/>
      </c>
      <c r="S330" s="199" t="str">
        <f t="shared" si="68"/>
        <v/>
      </c>
      <c r="T330" s="199" t="str">
        <f t="shared" si="76"/>
        <v/>
      </c>
      <c r="U330" s="199" t="str">
        <f t="shared" si="69"/>
        <v/>
      </c>
      <c r="V330" s="989"/>
      <c r="X330" s="374" t="str">
        <f t="shared" si="70"/>
        <v/>
      </c>
      <c r="Y330" s="375" t="str">
        <f t="shared" si="71"/>
        <v/>
      </c>
      <c r="Z330" s="374" t="str">
        <f t="shared" si="72"/>
        <v/>
      </c>
      <c r="AA330" s="374" t="b">
        <f t="shared" si="73"/>
        <v>1</v>
      </c>
      <c r="AB330" s="374">
        <f>COUNTIFS(B:B,B330,H:H,'סיווג התפקידים והעלויות'!$C$2)</f>
        <v>0</v>
      </c>
      <c r="AC330" s="374">
        <f>COUNTIFS(B:B,B330,H:H,'סיווג התפקידים והעלויות'!$D$2)</f>
        <v>0</v>
      </c>
      <c r="AD330" s="374" t="str">
        <f>IF(OR(AND(H330='סיווג התפקידים והעלויות'!$A$2,I330='סיווג התפקידים והעלויות'!$A$3),'עלויות כח אדם (6)'!H330='סיווג התפקידים והעלויות'!$C$2,'עלויות כח אדם (6)'!H330='סיווג התפקידים והעלויות'!$D$2),IF('עלויות כח אדם (6)'!J330&lt;75,"לא תקין","תקין"),"")</f>
        <v/>
      </c>
      <c r="AE330" s="374" t="str">
        <f t="shared" si="74"/>
        <v/>
      </c>
      <c r="AF330" s="532" t="str">
        <f t="shared" si="75"/>
        <v/>
      </c>
    </row>
    <row r="331" spans="2:32" x14ac:dyDescent="0.25">
      <c r="B331" s="695"/>
      <c r="C331" s="197" t="str">
        <f>IF(B331&lt;&gt;"",IFERROR(VLOOKUP(B:B,'מצבת והרשמה (2)'!$C$20:$N$520,2,0)," ")," ")</f>
        <v xml:space="preserve"> </v>
      </c>
      <c r="D331" s="695"/>
      <c r="E331" s="696"/>
      <c r="F331" s="696"/>
      <c r="G331" s="696"/>
      <c r="H331" s="696"/>
      <c r="I331" s="1050" t="str">
        <f t="shared" si="62"/>
        <v/>
      </c>
      <c r="J331" s="696"/>
      <c r="K331" s="697"/>
      <c r="L331" s="696"/>
      <c r="M331" s="198" t="str">
        <f t="shared" si="63"/>
        <v/>
      </c>
      <c r="N331" s="369" t="str">
        <f t="shared" si="64"/>
        <v/>
      </c>
      <c r="O331" s="183" t="str">
        <f t="shared" si="65"/>
        <v/>
      </c>
      <c r="P331" s="199" t="str">
        <f t="shared" si="66"/>
        <v/>
      </c>
      <c r="Q331" s="199" t="str">
        <f>IF(B331="","",IFERROR(IF('עלויות כח אדם (6)'!J331&gt;=VLOOKUP(I331,'סיווג התפקידים והעלויות'!$B$23:$C$32,2,0),"תקין","לא תקין"),""))</f>
        <v/>
      </c>
      <c r="R331" s="199" t="str">
        <f t="shared" si="67"/>
        <v/>
      </c>
      <c r="S331" s="199" t="str">
        <f t="shared" si="68"/>
        <v/>
      </c>
      <c r="T331" s="199" t="str">
        <f t="shared" si="76"/>
        <v/>
      </c>
      <c r="U331" s="199" t="str">
        <f t="shared" si="69"/>
        <v/>
      </c>
      <c r="V331" s="989"/>
      <c r="X331" s="374" t="str">
        <f t="shared" si="70"/>
        <v/>
      </c>
      <c r="Y331" s="375" t="str">
        <f t="shared" si="71"/>
        <v/>
      </c>
      <c r="Z331" s="374" t="str">
        <f t="shared" si="72"/>
        <v/>
      </c>
      <c r="AA331" s="374" t="b">
        <f t="shared" si="73"/>
        <v>1</v>
      </c>
      <c r="AB331" s="374">
        <f>COUNTIFS(B:B,B331,H:H,'סיווג התפקידים והעלויות'!$C$2)</f>
        <v>0</v>
      </c>
      <c r="AC331" s="374">
        <f>COUNTIFS(B:B,B331,H:H,'סיווג התפקידים והעלויות'!$D$2)</f>
        <v>0</v>
      </c>
      <c r="AD331" s="374" t="str">
        <f>IF(OR(AND(H331='סיווג התפקידים והעלויות'!$A$2,I331='סיווג התפקידים והעלויות'!$A$3),'עלויות כח אדם (6)'!H331='סיווג התפקידים והעלויות'!$C$2,'עלויות כח אדם (6)'!H331='סיווג התפקידים והעלויות'!$D$2),IF('עלויות כח אדם (6)'!J331&lt;75,"לא תקין","תקין"),"")</f>
        <v/>
      </c>
      <c r="AE331" s="374" t="str">
        <f t="shared" si="74"/>
        <v/>
      </c>
      <c r="AF331" s="532" t="str">
        <f t="shared" si="75"/>
        <v/>
      </c>
    </row>
    <row r="332" spans="2:32" x14ac:dyDescent="0.25">
      <c r="B332" s="695"/>
      <c r="C332" s="197" t="str">
        <f>IF(B332&lt;&gt;"",IFERROR(VLOOKUP(B:B,'מצבת והרשמה (2)'!$C$20:$N$520,2,0)," ")," ")</f>
        <v xml:space="preserve"> </v>
      </c>
      <c r="D332" s="695"/>
      <c r="E332" s="696"/>
      <c r="F332" s="696"/>
      <c r="G332" s="696"/>
      <c r="H332" s="696"/>
      <c r="I332" s="1050" t="str">
        <f t="shared" si="62"/>
        <v/>
      </c>
      <c r="J332" s="696"/>
      <c r="K332" s="697"/>
      <c r="L332" s="696"/>
      <c r="M332" s="198" t="str">
        <f t="shared" si="63"/>
        <v/>
      </c>
      <c r="N332" s="369" t="str">
        <f t="shared" si="64"/>
        <v/>
      </c>
      <c r="O332" s="183" t="str">
        <f t="shared" si="65"/>
        <v/>
      </c>
      <c r="P332" s="199" t="str">
        <f t="shared" si="66"/>
        <v/>
      </c>
      <c r="Q332" s="199" t="str">
        <f>IF(B332="","",IFERROR(IF('עלויות כח אדם (6)'!J332&gt;=VLOOKUP(I332,'סיווג התפקידים והעלויות'!$B$23:$C$32,2,0),"תקין","לא תקין"),""))</f>
        <v/>
      </c>
      <c r="R332" s="199" t="str">
        <f t="shared" si="67"/>
        <v/>
      </c>
      <c r="S332" s="199" t="str">
        <f t="shared" si="68"/>
        <v/>
      </c>
      <c r="T332" s="199" t="str">
        <f t="shared" si="76"/>
        <v/>
      </c>
      <c r="U332" s="199" t="str">
        <f t="shared" si="69"/>
        <v/>
      </c>
      <c r="V332" s="989"/>
      <c r="X332" s="374" t="str">
        <f t="shared" si="70"/>
        <v/>
      </c>
      <c r="Y332" s="375" t="str">
        <f t="shared" si="71"/>
        <v/>
      </c>
      <c r="Z332" s="374" t="str">
        <f t="shared" si="72"/>
        <v/>
      </c>
      <c r="AA332" s="374" t="b">
        <f t="shared" si="73"/>
        <v>1</v>
      </c>
      <c r="AB332" s="374">
        <f>COUNTIFS(B:B,B332,H:H,'סיווג התפקידים והעלויות'!$C$2)</f>
        <v>0</v>
      </c>
      <c r="AC332" s="374">
        <f>COUNTIFS(B:B,B332,H:H,'סיווג התפקידים והעלויות'!$D$2)</f>
        <v>0</v>
      </c>
      <c r="AD332" s="374" t="str">
        <f>IF(OR(AND(H332='סיווג התפקידים והעלויות'!$A$2,I332='סיווג התפקידים והעלויות'!$A$3),'עלויות כח אדם (6)'!H332='סיווג התפקידים והעלויות'!$C$2,'עלויות כח אדם (6)'!H332='סיווג התפקידים והעלויות'!$D$2),IF('עלויות כח אדם (6)'!J332&lt;75,"לא תקין","תקין"),"")</f>
        <v/>
      </c>
      <c r="AE332" s="374" t="str">
        <f t="shared" si="74"/>
        <v/>
      </c>
      <c r="AF332" s="532" t="str">
        <f t="shared" si="75"/>
        <v/>
      </c>
    </row>
    <row r="333" spans="2:32" x14ac:dyDescent="0.25">
      <c r="B333" s="695"/>
      <c r="C333" s="197" t="str">
        <f>IF(B333&lt;&gt;"",IFERROR(VLOOKUP(B:B,'מצבת והרשמה (2)'!$C$20:$N$520,2,0)," ")," ")</f>
        <v xml:space="preserve"> </v>
      </c>
      <c r="D333" s="695"/>
      <c r="E333" s="696"/>
      <c r="F333" s="696"/>
      <c r="G333" s="696"/>
      <c r="H333" s="696"/>
      <c r="I333" s="1050" t="str">
        <f t="shared" si="62"/>
        <v/>
      </c>
      <c r="J333" s="696"/>
      <c r="K333" s="697"/>
      <c r="L333" s="696"/>
      <c r="M333" s="198" t="str">
        <f t="shared" si="63"/>
        <v/>
      </c>
      <c r="N333" s="369" t="str">
        <f t="shared" si="64"/>
        <v/>
      </c>
      <c r="O333" s="183" t="str">
        <f t="shared" si="65"/>
        <v/>
      </c>
      <c r="P333" s="199" t="str">
        <f t="shared" si="66"/>
        <v/>
      </c>
      <c r="Q333" s="199" t="str">
        <f>IF(B333="","",IFERROR(IF('עלויות כח אדם (6)'!J333&gt;=VLOOKUP(I333,'סיווג התפקידים והעלויות'!$B$23:$C$32,2,0),"תקין","לא תקין"),""))</f>
        <v/>
      </c>
      <c r="R333" s="199" t="str">
        <f t="shared" si="67"/>
        <v/>
      </c>
      <c r="S333" s="199" t="str">
        <f t="shared" si="68"/>
        <v/>
      </c>
      <c r="T333" s="199" t="str">
        <f t="shared" si="76"/>
        <v/>
      </c>
      <c r="U333" s="199" t="str">
        <f t="shared" si="69"/>
        <v/>
      </c>
      <c r="V333" s="989"/>
      <c r="X333" s="374" t="str">
        <f t="shared" si="70"/>
        <v/>
      </c>
      <c r="Y333" s="375" t="str">
        <f t="shared" si="71"/>
        <v/>
      </c>
      <c r="Z333" s="374" t="str">
        <f t="shared" si="72"/>
        <v/>
      </c>
      <c r="AA333" s="374" t="b">
        <f t="shared" si="73"/>
        <v>1</v>
      </c>
      <c r="AB333" s="374">
        <f>COUNTIFS(B:B,B333,H:H,'סיווג התפקידים והעלויות'!$C$2)</f>
        <v>0</v>
      </c>
      <c r="AC333" s="374">
        <f>COUNTIFS(B:B,B333,H:H,'סיווג התפקידים והעלויות'!$D$2)</f>
        <v>0</v>
      </c>
      <c r="AD333" s="374" t="str">
        <f>IF(OR(AND(H333='סיווג התפקידים והעלויות'!$A$2,I333='סיווג התפקידים והעלויות'!$A$3),'עלויות כח אדם (6)'!H333='סיווג התפקידים והעלויות'!$C$2,'עלויות כח אדם (6)'!H333='סיווג התפקידים והעלויות'!$D$2),IF('עלויות כח אדם (6)'!J333&lt;75,"לא תקין","תקין"),"")</f>
        <v/>
      </c>
      <c r="AE333" s="374" t="str">
        <f t="shared" si="74"/>
        <v/>
      </c>
      <c r="AF333" s="532" t="str">
        <f t="shared" si="75"/>
        <v/>
      </c>
    </row>
    <row r="334" spans="2:32" x14ac:dyDescent="0.25">
      <c r="B334" s="695"/>
      <c r="C334" s="197" t="str">
        <f>IF(B334&lt;&gt;"",IFERROR(VLOOKUP(B:B,'מצבת והרשמה (2)'!$C$20:$N$520,2,0)," ")," ")</f>
        <v xml:space="preserve"> </v>
      </c>
      <c r="D334" s="695"/>
      <c r="E334" s="696"/>
      <c r="F334" s="696"/>
      <c r="G334" s="696"/>
      <c r="H334" s="696"/>
      <c r="I334" s="1050" t="str">
        <f t="shared" si="62"/>
        <v/>
      </c>
      <c r="J334" s="696"/>
      <c r="K334" s="697"/>
      <c r="L334" s="696"/>
      <c r="M334" s="198" t="str">
        <f t="shared" si="63"/>
        <v/>
      </c>
      <c r="N334" s="369" t="str">
        <f t="shared" si="64"/>
        <v/>
      </c>
      <c r="O334" s="183" t="str">
        <f t="shared" si="65"/>
        <v/>
      </c>
      <c r="P334" s="199" t="str">
        <f t="shared" si="66"/>
        <v/>
      </c>
      <c r="Q334" s="199" t="str">
        <f>IF(B334="","",IFERROR(IF('עלויות כח אדם (6)'!J334&gt;=VLOOKUP(I334,'סיווג התפקידים והעלויות'!$B$23:$C$32,2,0),"תקין","לא תקין"),""))</f>
        <v/>
      </c>
      <c r="R334" s="199" t="str">
        <f t="shared" si="67"/>
        <v/>
      </c>
      <c r="S334" s="199" t="str">
        <f t="shared" si="68"/>
        <v/>
      </c>
      <c r="T334" s="199" t="str">
        <f t="shared" si="76"/>
        <v/>
      </c>
      <c r="U334" s="199" t="str">
        <f t="shared" si="69"/>
        <v/>
      </c>
      <c r="V334" s="989"/>
      <c r="X334" s="374" t="str">
        <f t="shared" si="70"/>
        <v/>
      </c>
      <c r="Y334" s="375" t="str">
        <f t="shared" si="71"/>
        <v/>
      </c>
      <c r="Z334" s="374" t="str">
        <f t="shared" si="72"/>
        <v/>
      </c>
      <c r="AA334" s="374" t="b">
        <f t="shared" si="73"/>
        <v>1</v>
      </c>
      <c r="AB334" s="374">
        <f>COUNTIFS(B:B,B334,H:H,'סיווג התפקידים והעלויות'!$C$2)</f>
        <v>0</v>
      </c>
      <c r="AC334" s="374">
        <f>COUNTIFS(B:B,B334,H:H,'סיווג התפקידים והעלויות'!$D$2)</f>
        <v>0</v>
      </c>
      <c r="AD334" s="374" t="str">
        <f>IF(OR(AND(H334='סיווג התפקידים והעלויות'!$A$2,I334='סיווג התפקידים והעלויות'!$A$3),'עלויות כח אדם (6)'!H334='סיווג התפקידים והעלויות'!$C$2,'עלויות כח אדם (6)'!H334='סיווג התפקידים והעלויות'!$D$2),IF('עלויות כח אדם (6)'!J334&lt;75,"לא תקין","תקין"),"")</f>
        <v/>
      </c>
      <c r="AE334" s="374" t="str">
        <f t="shared" si="74"/>
        <v/>
      </c>
      <c r="AF334" s="532" t="str">
        <f t="shared" si="75"/>
        <v/>
      </c>
    </row>
    <row r="335" spans="2:32" x14ac:dyDescent="0.25">
      <c r="B335" s="695"/>
      <c r="C335" s="197" t="str">
        <f>IF(B335&lt;&gt;"",IFERROR(VLOOKUP(B:B,'מצבת והרשמה (2)'!$C$20:$N$520,2,0)," ")," ")</f>
        <v xml:space="preserve"> </v>
      </c>
      <c r="D335" s="695"/>
      <c r="E335" s="696"/>
      <c r="F335" s="696"/>
      <c r="G335" s="696"/>
      <c r="H335" s="696"/>
      <c r="I335" s="1050" t="str">
        <f t="shared" ref="I335:I398" si="77">SUBSTITUTE(IFERROR(IF(H335="מדצ","מדצ/ית",IF(H335="סגנית רכזת מעל 150","סגנ/ית רכז/ת&gt;150",IF(H335="רכזת תכנית בבית הספר","רכז/ת תכנית בבית הספר"))),""),"FALSE","")</f>
        <v/>
      </c>
      <c r="J335" s="696"/>
      <c r="K335" s="697"/>
      <c r="L335" s="696"/>
      <c r="M335" s="198" t="str">
        <f t="shared" ref="M335:M398" si="78">IF(AND(L335&gt;0,K335&gt;0),K335*L335,"")</f>
        <v/>
      </c>
      <c r="N335" s="369" t="str">
        <f t="shared" ref="N335:N398" si="79">TEXT(LEFT(H335,2),0)</f>
        <v/>
      </c>
      <c r="O335" s="183" t="str">
        <f t="shared" ref="O335:O398" si="80">IF(ISNUMBER(M335&gt;0),IF(ISBLANK(B335),"יש להזין סמל מוסד בעמודה B",""),"")</f>
        <v/>
      </c>
      <c r="P335" s="199" t="str">
        <f t="shared" ref="P335:P398" si="81">IF(B335="","",IF(AA335=FALSE,"לא תקין","תקין"))</f>
        <v/>
      </c>
      <c r="Q335" s="199" t="str">
        <f>IF(B335="","",IFERROR(IF('עלויות כח אדם (6)'!J335&gt;=VLOOKUP(I335,'סיווג התפקידים והעלויות'!$B$23:$C$32,2,0),"תקין","לא תקין"),""))</f>
        <v/>
      </c>
      <c r="R335" s="199" t="str">
        <f t="shared" ref="R335:R398" si="82">IF(B335="","",IF(OR(Y335&lt;100%,Y335&gt;140%),"לא תקין","תקין"))</f>
        <v/>
      </c>
      <c r="S335" s="199" t="str">
        <f t="shared" ref="S335:S398" si="83">IF(B335="","",IFERROR(IF(J335&gt;120,"לא תקין","תקין"),""))</f>
        <v/>
      </c>
      <c r="T335" s="199" t="str">
        <f t="shared" si="76"/>
        <v/>
      </c>
      <c r="U335" s="199" t="str">
        <f t="shared" ref="U335:U398" si="84">IF(B335="","",IF(Z335&gt;1,IF(SUMIF(D:D,D335,L:L)&gt;90,"לא תקין","תקין"),"תקין"))</f>
        <v/>
      </c>
      <c r="V335" s="989"/>
      <c r="X335" s="374" t="str">
        <f t="shared" ref="X335:X398" si="85">IF(B335="","",IF(OR(R335="לא תקין",S335="לא תקין",T335="לא תקין",,U335="לא תקין"),"לא תקין","תקין"))</f>
        <v/>
      </c>
      <c r="Y335" s="375" t="str">
        <f t="shared" ref="Y335:Y398" si="86">IFERROR(IF(B335="","",K335/J335),"")</f>
        <v/>
      </c>
      <c r="Z335" s="374" t="str">
        <f t="shared" ref="Z335:Z398" si="87">IF(B335="","",COUNTIF(D:D,D335))</f>
        <v/>
      </c>
      <c r="AA335" s="374" t="b">
        <f t="shared" ref="AA335:AA398" si="88">MOD(MID(REPT(0,9-LEN(D335))&amp;D335,1,1)+MID("0246813579",MID(REPT(0,9-LEN(D335))&amp;D335,2,1)+1,1)+MID(REPT(0,9-LEN(D335))&amp;D335,3,1)+MID("0246813579",MID(REPT(0,9-LEN(D335))&amp;D335,4,1)+1,1)+MID(REPT(0,9-LEN(D335))&amp;D335,5,1)+MID("0246813579",MID(REPT(0,9-LEN(D335))&amp;D335,6,1)+1,1)+MID(REPT(0,9-LEN(D335))&amp;D335,7,1)+MID("0246813579",MID(REPT(0,9-LEN(D335))&amp;D335,8,1)+1,1)+MID(REPT(0,9-LEN(D335))&amp;D335,9,1),10)=0</f>
        <v>1</v>
      </c>
      <c r="AB335" s="374">
        <f>COUNTIFS(B:B,B335,H:H,'סיווג התפקידים והעלויות'!$C$2)</f>
        <v>0</v>
      </c>
      <c r="AC335" s="374">
        <f>COUNTIFS(B:B,B335,H:H,'סיווג התפקידים והעלויות'!$D$2)</f>
        <v>0</v>
      </c>
      <c r="AD335" s="374" t="str">
        <f>IF(OR(AND(H335='סיווג התפקידים והעלויות'!$A$2,I335='סיווג התפקידים והעלויות'!$A$3),'עלויות כח אדם (6)'!H335='סיווג התפקידים והעלויות'!$C$2,'עלויות כח אדם (6)'!H335='סיווג התפקידים והעלויות'!$D$2),IF('עלויות כח אדם (6)'!J335&lt;75,"לא תקין","תקין"),"")</f>
        <v/>
      </c>
      <c r="AE335" s="374" t="str">
        <f t="shared" ref="AE335:AE398" si="89">IF(B335&lt;&gt;"",B335&amp;H335,"")</f>
        <v/>
      </c>
      <c r="AF335" s="532" t="str">
        <f t="shared" ref="AF335:AF398" si="90">M335</f>
        <v/>
      </c>
    </row>
    <row r="336" spans="2:32" x14ac:dyDescent="0.25">
      <c r="B336" s="695"/>
      <c r="C336" s="197" t="str">
        <f>IF(B336&lt;&gt;"",IFERROR(VLOOKUP(B:B,'מצבת והרשמה (2)'!$C$20:$N$520,2,0)," ")," ")</f>
        <v xml:space="preserve"> </v>
      </c>
      <c r="D336" s="695"/>
      <c r="E336" s="696"/>
      <c r="F336" s="696"/>
      <c r="G336" s="696"/>
      <c r="H336" s="696"/>
      <c r="I336" s="1050" t="str">
        <f t="shared" si="77"/>
        <v/>
      </c>
      <c r="J336" s="696"/>
      <c r="K336" s="697"/>
      <c r="L336" s="696"/>
      <c r="M336" s="198" t="str">
        <f t="shared" si="78"/>
        <v/>
      </c>
      <c r="N336" s="369" t="str">
        <f t="shared" si="79"/>
        <v/>
      </c>
      <c r="O336" s="183" t="str">
        <f t="shared" si="80"/>
        <v/>
      </c>
      <c r="P336" s="199" t="str">
        <f t="shared" si="81"/>
        <v/>
      </c>
      <c r="Q336" s="199" t="str">
        <f>IF(B336="","",IFERROR(IF('עלויות כח אדם (6)'!J336&gt;=VLOOKUP(I336,'סיווג התפקידים והעלויות'!$B$23:$C$32,2,0),"תקין","לא תקין"),""))</f>
        <v/>
      </c>
      <c r="R336" s="199" t="str">
        <f t="shared" si="82"/>
        <v/>
      </c>
      <c r="S336" s="199" t="str">
        <f t="shared" si="83"/>
        <v/>
      </c>
      <c r="T336" s="199" t="str">
        <f t="shared" ref="T336:T399" si="91">IF(B336="","",IF(H336="","יש להזין איש צוות",IF(OR(H336="מורה",H336="גננת",H336="רכז גן",H336="רכזת גן",H336="סייעת",H336="מדצית",H336="מדצ",H336="מדריך",H336="מדריכה",H336="תוספת כח אדם"),IF(L336&lt;=90,"תקין","לא תקין"),IF(OR(H336="רכז בית ספר",H336="רכזת תכנית בבית הספר",H336="רכזת בית ספר"),IF(L336&lt;=137,"תקין","לא תקין"),IF(OR(H336="סגנית רכזת מעל 150",H336="סגן רכז"),IF(L336&lt;=93,"תקין","לא תקין"),"לא תקין")))))</f>
        <v/>
      </c>
      <c r="U336" s="199" t="str">
        <f t="shared" si="84"/>
        <v/>
      </c>
      <c r="V336" s="989"/>
      <c r="X336" s="374" t="str">
        <f t="shared" si="85"/>
        <v/>
      </c>
      <c r="Y336" s="375" t="str">
        <f t="shared" si="86"/>
        <v/>
      </c>
      <c r="Z336" s="374" t="str">
        <f t="shared" si="87"/>
        <v/>
      </c>
      <c r="AA336" s="374" t="b">
        <f t="shared" si="88"/>
        <v>1</v>
      </c>
      <c r="AB336" s="374">
        <f>COUNTIFS(B:B,B336,H:H,'סיווג התפקידים והעלויות'!$C$2)</f>
        <v>0</v>
      </c>
      <c r="AC336" s="374">
        <f>COUNTIFS(B:B,B336,H:H,'סיווג התפקידים והעלויות'!$D$2)</f>
        <v>0</v>
      </c>
      <c r="AD336" s="374" t="str">
        <f>IF(OR(AND(H336='סיווג התפקידים והעלויות'!$A$2,I336='סיווג התפקידים והעלויות'!$A$3),'עלויות כח אדם (6)'!H336='סיווג התפקידים והעלויות'!$C$2,'עלויות כח אדם (6)'!H336='סיווג התפקידים והעלויות'!$D$2),IF('עלויות כח אדם (6)'!J336&lt;75,"לא תקין","תקין"),"")</f>
        <v/>
      </c>
      <c r="AE336" s="374" t="str">
        <f t="shared" si="89"/>
        <v/>
      </c>
      <c r="AF336" s="532" t="str">
        <f t="shared" si="90"/>
        <v/>
      </c>
    </row>
    <row r="337" spans="2:32" x14ac:dyDescent="0.25">
      <c r="B337" s="695"/>
      <c r="C337" s="197" t="str">
        <f>IF(B337&lt;&gt;"",IFERROR(VLOOKUP(B:B,'מצבת והרשמה (2)'!$C$20:$N$520,2,0)," ")," ")</f>
        <v xml:space="preserve"> </v>
      </c>
      <c r="D337" s="695"/>
      <c r="E337" s="696"/>
      <c r="F337" s="696"/>
      <c r="G337" s="696"/>
      <c r="H337" s="696"/>
      <c r="I337" s="1050" t="str">
        <f t="shared" si="77"/>
        <v/>
      </c>
      <c r="J337" s="696"/>
      <c r="K337" s="697"/>
      <c r="L337" s="696"/>
      <c r="M337" s="198" t="str">
        <f t="shared" si="78"/>
        <v/>
      </c>
      <c r="N337" s="369" t="str">
        <f t="shared" si="79"/>
        <v/>
      </c>
      <c r="O337" s="183" t="str">
        <f t="shared" si="80"/>
        <v/>
      </c>
      <c r="P337" s="199" t="str">
        <f t="shared" si="81"/>
        <v/>
      </c>
      <c r="Q337" s="199" t="str">
        <f>IF(B337="","",IFERROR(IF('עלויות כח אדם (6)'!J337&gt;=VLOOKUP(I337,'סיווג התפקידים והעלויות'!$B$23:$C$32,2,0),"תקין","לא תקין"),""))</f>
        <v/>
      </c>
      <c r="R337" s="199" t="str">
        <f t="shared" si="82"/>
        <v/>
      </c>
      <c r="S337" s="199" t="str">
        <f t="shared" si="83"/>
        <v/>
      </c>
      <c r="T337" s="199" t="str">
        <f t="shared" si="91"/>
        <v/>
      </c>
      <c r="U337" s="199" t="str">
        <f t="shared" si="84"/>
        <v/>
      </c>
      <c r="V337" s="989"/>
      <c r="X337" s="374" t="str">
        <f t="shared" si="85"/>
        <v/>
      </c>
      <c r="Y337" s="375" t="str">
        <f t="shared" si="86"/>
        <v/>
      </c>
      <c r="Z337" s="374" t="str">
        <f t="shared" si="87"/>
        <v/>
      </c>
      <c r="AA337" s="374" t="b">
        <f t="shared" si="88"/>
        <v>1</v>
      </c>
      <c r="AB337" s="374">
        <f>COUNTIFS(B:B,B337,H:H,'סיווג התפקידים והעלויות'!$C$2)</f>
        <v>0</v>
      </c>
      <c r="AC337" s="374">
        <f>COUNTIFS(B:B,B337,H:H,'סיווג התפקידים והעלויות'!$D$2)</f>
        <v>0</v>
      </c>
      <c r="AD337" s="374" t="str">
        <f>IF(OR(AND(H337='סיווג התפקידים והעלויות'!$A$2,I337='סיווג התפקידים והעלויות'!$A$3),'עלויות כח אדם (6)'!H337='סיווג התפקידים והעלויות'!$C$2,'עלויות כח אדם (6)'!H337='סיווג התפקידים והעלויות'!$D$2),IF('עלויות כח אדם (6)'!J337&lt;75,"לא תקין","תקין"),"")</f>
        <v/>
      </c>
      <c r="AE337" s="374" t="str">
        <f t="shared" si="89"/>
        <v/>
      </c>
      <c r="AF337" s="532" t="str">
        <f t="shared" si="90"/>
        <v/>
      </c>
    </row>
    <row r="338" spans="2:32" x14ac:dyDescent="0.25">
      <c r="B338" s="695"/>
      <c r="C338" s="197" t="str">
        <f>IF(B338&lt;&gt;"",IFERROR(VLOOKUP(B:B,'מצבת והרשמה (2)'!$C$20:$N$520,2,0)," ")," ")</f>
        <v xml:space="preserve"> </v>
      </c>
      <c r="D338" s="695"/>
      <c r="E338" s="696"/>
      <c r="F338" s="696"/>
      <c r="G338" s="696"/>
      <c r="H338" s="696"/>
      <c r="I338" s="1050" t="str">
        <f t="shared" si="77"/>
        <v/>
      </c>
      <c r="J338" s="696"/>
      <c r="K338" s="697"/>
      <c r="L338" s="696"/>
      <c r="M338" s="198" t="str">
        <f t="shared" si="78"/>
        <v/>
      </c>
      <c r="N338" s="369" t="str">
        <f t="shared" si="79"/>
        <v/>
      </c>
      <c r="O338" s="183" t="str">
        <f t="shared" si="80"/>
        <v/>
      </c>
      <c r="P338" s="199" t="str">
        <f t="shared" si="81"/>
        <v/>
      </c>
      <c r="Q338" s="199" t="str">
        <f>IF(B338="","",IFERROR(IF('עלויות כח אדם (6)'!J338&gt;=VLOOKUP(I338,'סיווג התפקידים והעלויות'!$B$23:$C$32,2,0),"תקין","לא תקין"),""))</f>
        <v/>
      </c>
      <c r="R338" s="199" t="str">
        <f t="shared" si="82"/>
        <v/>
      </c>
      <c r="S338" s="199" t="str">
        <f t="shared" si="83"/>
        <v/>
      </c>
      <c r="T338" s="199" t="str">
        <f t="shared" si="91"/>
        <v/>
      </c>
      <c r="U338" s="199" t="str">
        <f t="shared" si="84"/>
        <v/>
      </c>
      <c r="V338" s="989"/>
      <c r="X338" s="374" t="str">
        <f t="shared" si="85"/>
        <v/>
      </c>
      <c r="Y338" s="375" t="str">
        <f t="shared" si="86"/>
        <v/>
      </c>
      <c r="Z338" s="374" t="str">
        <f t="shared" si="87"/>
        <v/>
      </c>
      <c r="AA338" s="374" t="b">
        <f t="shared" si="88"/>
        <v>1</v>
      </c>
      <c r="AB338" s="374">
        <f>COUNTIFS(B:B,B338,H:H,'סיווג התפקידים והעלויות'!$C$2)</f>
        <v>0</v>
      </c>
      <c r="AC338" s="374">
        <f>COUNTIFS(B:B,B338,H:H,'סיווג התפקידים והעלויות'!$D$2)</f>
        <v>0</v>
      </c>
      <c r="AD338" s="374" t="str">
        <f>IF(OR(AND(H338='סיווג התפקידים והעלויות'!$A$2,I338='סיווג התפקידים והעלויות'!$A$3),'עלויות כח אדם (6)'!H338='סיווג התפקידים והעלויות'!$C$2,'עלויות כח אדם (6)'!H338='סיווג התפקידים והעלויות'!$D$2),IF('עלויות כח אדם (6)'!J338&lt;75,"לא תקין","תקין"),"")</f>
        <v/>
      </c>
      <c r="AE338" s="374" t="str">
        <f t="shared" si="89"/>
        <v/>
      </c>
      <c r="AF338" s="532" t="str">
        <f t="shared" si="90"/>
        <v/>
      </c>
    </row>
    <row r="339" spans="2:32" x14ac:dyDescent="0.25">
      <c r="B339" s="695"/>
      <c r="C339" s="197" t="str">
        <f>IF(B339&lt;&gt;"",IFERROR(VLOOKUP(B:B,'מצבת והרשמה (2)'!$C$20:$N$520,2,0)," ")," ")</f>
        <v xml:space="preserve"> </v>
      </c>
      <c r="D339" s="695"/>
      <c r="E339" s="696"/>
      <c r="F339" s="696"/>
      <c r="G339" s="696"/>
      <c r="H339" s="696"/>
      <c r="I339" s="1050" t="str">
        <f t="shared" si="77"/>
        <v/>
      </c>
      <c r="J339" s="696"/>
      <c r="K339" s="697"/>
      <c r="L339" s="696"/>
      <c r="M339" s="198" t="str">
        <f t="shared" si="78"/>
        <v/>
      </c>
      <c r="N339" s="369" t="str">
        <f t="shared" si="79"/>
        <v/>
      </c>
      <c r="O339" s="183" t="str">
        <f t="shared" si="80"/>
        <v/>
      </c>
      <c r="P339" s="199" t="str">
        <f t="shared" si="81"/>
        <v/>
      </c>
      <c r="Q339" s="199" t="str">
        <f>IF(B339="","",IFERROR(IF('עלויות כח אדם (6)'!J339&gt;=VLOOKUP(I339,'סיווג התפקידים והעלויות'!$B$23:$C$32,2,0),"תקין","לא תקין"),""))</f>
        <v/>
      </c>
      <c r="R339" s="199" t="str">
        <f t="shared" si="82"/>
        <v/>
      </c>
      <c r="S339" s="199" t="str">
        <f t="shared" si="83"/>
        <v/>
      </c>
      <c r="T339" s="199" t="str">
        <f t="shared" si="91"/>
        <v/>
      </c>
      <c r="U339" s="199" t="str">
        <f t="shared" si="84"/>
        <v/>
      </c>
      <c r="V339" s="989"/>
      <c r="X339" s="374" t="str">
        <f t="shared" si="85"/>
        <v/>
      </c>
      <c r="Y339" s="375" t="str">
        <f t="shared" si="86"/>
        <v/>
      </c>
      <c r="Z339" s="374" t="str">
        <f t="shared" si="87"/>
        <v/>
      </c>
      <c r="AA339" s="374" t="b">
        <f t="shared" si="88"/>
        <v>1</v>
      </c>
      <c r="AB339" s="374">
        <f>COUNTIFS(B:B,B339,H:H,'סיווג התפקידים והעלויות'!$C$2)</f>
        <v>0</v>
      </c>
      <c r="AC339" s="374">
        <f>COUNTIFS(B:B,B339,H:H,'סיווג התפקידים והעלויות'!$D$2)</f>
        <v>0</v>
      </c>
      <c r="AD339" s="374" t="str">
        <f>IF(OR(AND(H339='סיווג התפקידים והעלויות'!$A$2,I339='סיווג התפקידים והעלויות'!$A$3),'עלויות כח אדם (6)'!H339='סיווג התפקידים והעלויות'!$C$2,'עלויות כח אדם (6)'!H339='סיווג התפקידים והעלויות'!$D$2),IF('עלויות כח אדם (6)'!J339&lt;75,"לא תקין","תקין"),"")</f>
        <v/>
      </c>
      <c r="AE339" s="374" t="str">
        <f t="shared" si="89"/>
        <v/>
      </c>
      <c r="AF339" s="532" t="str">
        <f t="shared" si="90"/>
        <v/>
      </c>
    </row>
    <row r="340" spans="2:32" x14ac:dyDescent="0.25">
      <c r="B340" s="695"/>
      <c r="C340" s="197" t="str">
        <f>IF(B340&lt;&gt;"",IFERROR(VLOOKUP(B:B,'מצבת והרשמה (2)'!$C$20:$N$520,2,0)," ")," ")</f>
        <v xml:space="preserve"> </v>
      </c>
      <c r="D340" s="695"/>
      <c r="E340" s="696"/>
      <c r="F340" s="696"/>
      <c r="G340" s="696"/>
      <c r="H340" s="696"/>
      <c r="I340" s="1050" t="str">
        <f t="shared" si="77"/>
        <v/>
      </c>
      <c r="J340" s="696"/>
      <c r="K340" s="697"/>
      <c r="L340" s="696"/>
      <c r="M340" s="198" t="str">
        <f t="shared" si="78"/>
        <v/>
      </c>
      <c r="N340" s="369" t="str">
        <f t="shared" si="79"/>
        <v/>
      </c>
      <c r="O340" s="183" t="str">
        <f t="shared" si="80"/>
        <v/>
      </c>
      <c r="P340" s="199" t="str">
        <f t="shared" si="81"/>
        <v/>
      </c>
      <c r="Q340" s="199" t="str">
        <f>IF(B340="","",IFERROR(IF('עלויות כח אדם (6)'!J340&gt;=VLOOKUP(I340,'סיווג התפקידים והעלויות'!$B$23:$C$32,2,0),"תקין","לא תקין"),""))</f>
        <v/>
      </c>
      <c r="R340" s="199" t="str">
        <f t="shared" si="82"/>
        <v/>
      </c>
      <c r="S340" s="199" t="str">
        <f t="shared" si="83"/>
        <v/>
      </c>
      <c r="T340" s="199" t="str">
        <f t="shared" si="91"/>
        <v/>
      </c>
      <c r="U340" s="199" t="str">
        <f t="shared" si="84"/>
        <v/>
      </c>
      <c r="V340" s="989"/>
      <c r="X340" s="374" t="str">
        <f t="shared" si="85"/>
        <v/>
      </c>
      <c r="Y340" s="375" t="str">
        <f t="shared" si="86"/>
        <v/>
      </c>
      <c r="Z340" s="374" t="str">
        <f t="shared" si="87"/>
        <v/>
      </c>
      <c r="AA340" s="374" t="b">
        <f t="shared" si="88"/>
        <v>1</v>
      </c>
      <c r="AB340" s="374">
        <f>COUNTIFS(B:B,B340,H:H,'סיווג התפקידים והעלויות'!$C$2)</f>
        <v>0</v>
      </c>
      <c r="AC340" s="374">
        <f>COUNTIFS(B:B,B340,H:H,'סיווג התפקידים והעלויות'!$D$2)</f>
        <v>0</v>
      </c>
      <c r="AD340" s="374" t="str">
        <f>IF(OR(AND(H340='סיווג התפקידים והעלויות'!$A$2,I340='סיווג התפקידים והעלויות'!$A$3),'עלויות כח אדם (6)'!H340='סיווג התפקידים והעלויות'!$C$2,'עלויות כח אדם (6)'!H340='סיווג התפקידים והעלויות'!$D$2),IF('עלויות כח אדם (6)'!J340&lt;75,"לא תקין","תקין"),"")</f>
        <v/>
      </c>
      <c r="AE340" s="374" t="str">
        <f t="shared" si="89"/>
        <v/>
      </c>
      <c r="AF340" s="532" t="str">
        <f t="shared" si="90"/>
        <v/>
      </c>
    </row>
    <row r="341" spans="2:32" x14ac:dyDescent="0.25">
      <c r="B341" s="695"/>
      <c r="C341" s="197" t="str">
        <f>IF(B341&lt;&gt;"",IFERROR(VLOOKUP(B:B,'מצבת והרשמה (2)'!$C$20:$N$520,2,0)," ")," ")</f>
        <v xml:space="preserve"> </v>
      </c>
      <c r="D341" s="695"/>
      <c r="E341" s="696"/>
      <c r="F341" s="696"/>
      <c r="G341" s="696"/>
      <c r="H341" s="696"/>
      <c r="I341" s="1050" t="str">
        <f t="shared" si="77"/>
        <v/>
      </c>
      <c r="J341" s="696"/>
      <c r="K341" s="697"/>
      <c r="L341" s="696"/>
      <c r="M341" s="198" t="str">
        <f t="shared" si="78"/>
        <v/>
      </c>
      <c r="N341" s="369" t="str">
        <f t="shared" si="79"/>
        <v/>
      </c>
      <c r="O341" s="183" t="str">
        <f t="shared" si="80"/>
        <v/>
      </c>
      <c r="P341" s="199" t="str">
        <f t="shared" si="81"/>
        <v/>
      </c>
      <c r="Q341" s="199" t="str">
        <f>IF(B341="","",IFERROR(IF('עלויות כח אדם (6)'!J341&gt;=VLOOKUP(I341,'סיווג התפקידים והעלויות'!$B$23:$C$32,2,0),"תקין","לא תקין"),""))</f>
        <v/>
      </c>
      <c r="R341" s="199" t="str">
        <f t="shared" si="82"/>
        <v/>
      </c>
      <c r="S341" s="199" t="str">
        <f t="shared" si="83"/>
        <v/>
      </c>
      <c r="T341" s="199" t="str">
        <f t="shared" si="91"/>
        <v/>
      </c>
      <c r="U341" s="199" t="str">
        <f t="shared" si="84"/>
        <v/>
      </c>
      <c r="V341" s="989"/>
      <c r="X341" s="374" t="str">
        <f t="shared" si="85"/>
        <v/>
      </c>
      <c r="Y341" s="375" t="str">
        <f t="shared" si="86"/>
        <v/>
      </c>
      <c r="Z341" s="374" t="str">
        <f t="shared" si="87"/>
        <v/>
      </c>
      <c r="AA341" s="374" t="b">
        <f t="shared" si="88"/>
        <v>1</v>
      </c>
      <c r="AB341" s="374">
        <f>COUNTIFS(B:B,B341,H:H,'סיווג התפקידים והעלויות'!$C$2)</f>
        <v>0</v>
      </c>
      <c r="AC341" s="374">
        <f>COUNTIFS(B:B,B341,H:H,'סיווג התפקידים והעלויות'!$D$2)</f>
        <v>0</v>
      </c>
      <c r="AD341" s="374" t="str">
        <f>IF(OR(AND(H341='סיווג התפקידים והעלויות'!$A$2,I341='סיווג התפקידים והעלויות'!$A$3),'עלויות כח אדם (6)'!H341='סיווג התפקידים והעלויות'!$C$2,'עלויות כח אדם (6)'!H341='סיווג התפקידים והעלויות'!$D$2),IF('עלויות כח אדם (6)'!J341&lt;75,"לא תקין","תקין"),"")</f>
        <v/>
      </c>
      <c r="AE341" s="374" t="str">
        <f t="shared" si="89"/>
        <v/>
      </c>
      <c r="AF341" s="532" t="str">
        <f t="shared" si="90"/>
        <v/>
      </c>
    </row>
    <row r="342" spans="2:32" x14ac:dyDescent="0.25">
      <c r="B342" s="695"/>
      <c r="C342" s="197" t="str">
        <f>IF(B342&lt;&gt;"",IFERROR(VLOOKUP(B:B,'מצבת והרשמה (2)'!$C$20:$N$520,2,0)," ")," ")</f>
        <v xml:space="preserve"> </v>
      </c>
      <c r="D342" s="695"/>
      <c r="E342" s="696"/>
      <c r="F342" s="696"/>
      <c r="G342" s="696"/>
      <c r="H342" s="696"/>
      <c r="I342" s="1050" t="str">
        <f t="shared" si="77"/>
        <v/>
      </c>
      <c r="J342" s="696"/>
      <c r="K342" s="697"/>
      <c r="L342" s="696"/>
      <c r="M342" s="198" t="str">
        <f t="shared" si="78"/>
        <v/>
      </c>
      <c r="N342" s="369" t="str">
        <f t="shared" si="79"/>
        <v/>
      </c>
      <c r="O342" s="183" t="str">
        <f t="shared" si="80"/>
        <v/>
      </c>
      <c r="P342" s="199" t="str">
        <f t="shared" si="81"/>
        <v/>
      </c>
      <c r="Q342" s="199" t="str">
        <f>IF(B342="","",IFERROR(IF('עלויות כח אדם (6)'!J342&gt;=VLOOKUP(I342,'סיווג התפקידים והעלויות'!$B$23:$C$32,2,0),"תקין","לא תקין"),""))</f>
        <v/>
      </c>
      <c r="R342" s="199" t="str">
        <f t="shared" si="82"/>
        <v/>
      </c>
      <c r="S342" s="199" t="str">
        <f t="shared" si="83"/>
        <v/>
      </c>
      <c r="T342" s="199" t="str">
        <f t="shared" si="91"/>
        <v/>
      </c>
      <c r="U342" s="199" t="str">
        <f t="shared" si="84"/>
        <v/>
      </c>
      <c r="V342" s="989"/>
      <c r="X342" s="374" t="str">
        <f t="shared" si="85"/>
        <v/>
      </c>
      <c r="Y342" s="375" t="str">
        <f t="shared" si="86"/>
        <v/>
      </c>
      <c r="Z342" s="374" t="str">
        <f t="shared" si="87"/>
        <v/>
      </c>
      <c r="AA342" s="374" t="b">
        <f t="shared" si="88"/>
        <v>1</v>
      </c>
      <c r="AB342" s="374">
        <f>COUNTIFS(B:B,B342,H:H,'סיווג התפקידים והעלויות'!$C$2)</f>
        <v>0</v>
      </c>
      <c r="AC342" s="374">
        <f>COUNTIFS(B:B,B342,H:H,'סיווג התפקידים והעלויות'!$D$2)</f>
        <v>0</v>
      </c>
      <c r="AD342" s="374" t="str">
        <f>IF(OR(AND(H342='סיווג התפקידים והעלויות'!$A$2,I342='סיווג התפקידים והעלויות'!$A$3),'עלויות כח אדם (6)'!H342='סיווג התפקידים והעלויות'!$C$2,'עלויות כח אדם (6)'!H342='סיווג התפקידים והעלויות'!$D$2),IF('עלויות כח אדם (6)'!J342&lt;75,"לא תקין","תקין"),"")</f>
        <v/>
      </c>
      <c r="AE342" s="374" t="str">
        <f t="shared" si="89"/>
        <v/>
      </c>
      <c r="AF342" s="532" t="str">
        <f t="shared" si="90"/>
        <v/>
      </c>
    </row>
    <row r="343" spans="2:32" x14ac:dyDescent="0.25">
      <c r="B343" s="695"/>
      <c r="C343" s="197" t="str">
        <f>IF(B343&lt;&gt;"",IFERROR(VLOOKUP(B:B,'מצבת והרשמה (2)'!$C$20:$N$520,2,0)," ")," ")</f>
        <v xml:space="preserve"> </v>
      </c>
      <c r="D343" s="695"/>
      <c r="E343" s="696"/>
      <c r="F343" s="696"/>
      <c r="G343" s="696"/>
      <c r="H343" s="696"/>
      <c r="I343" s="1050" t="str">
        <f t="shared" si="77"/>
        <v/>
      </c>
      <c r="J343" s="696"/>
      <c r="K343" s="697"/>
      <c r="L343" s="696"/>
      <c r="M343" s="198" t="str">
        <f t="shared" si="78"/>
        <v/>
      </c>
      <c r="N343" s="369" t="str">
        <f t="shared" si="79"/>
        <v/>
      </c>
      <c r="O343" s="183" t="str">
        <f t="shared" si="80"/>
        <v/>
      </c>
      <c r="P343" s="199" t="str">
        <f t="shared" si="81"/>
        <v/>
      </c>
      <c r="Q343" s="199" t="str">
        <f>IF(B343="","",IFERROR(IF('עלויות כח אדם (6)'!J343&gt;=VLOOKUP(I343,'סיווג התפקידים והעלויות'!$B$23:$C$32,2,0),"תקין","לא תקין"),""))</f>
        <v/>
      </c>
      <c r="R343" s="199" t="str">
        <f t="shared" si="82"/>
        <v/>
      </c>
      <c r="S343" s="199" t="str">
        <f t="shared" si="83"/>
        <v/>
      </c>
      <c r="T343" s="199" t="str">
        <f t="shared" si="91"/>
        <v/>
      </c>
      <c r="U343" s="199" t="str">
        <f t="shared" si="84"/>
        <v/>
      </c>
      <c r="V343" s="989"/>
      <c r="X343" s="374" t="str">
        <f t="shared" si="85"/>
        <v/>
      </c>
      <c r="Y343" s="375" t="str">
        <f t="shared" si="86"/>
        <v/>
      </c>
      <c r="Z343" s="374" t="str">
        <f t="shared" si="87"/>
        <v/>
      </c>
      <c r="AA343" s="374" t="b">
        <f t="shared" si="88"/>
        <v>1</v>
      </c>
      <c r="AB343" s="374">
        <f>COUNTIFS(B:B,B343,H:H,'סיווג התפקידים והעלויות'!$C$2)</f>
        <v>0</v>
      </c>
      <c r="AC343" s="374">
        <f>COUNTIFS(B:B,B343,H:H,'סיווג התפקידים והעלויות'!$D$2)</f>
        <v>0</v>
      </c>
      <c r="AD343" s="374" t="str">
        <f>IF(OR(AND(H343='סיווג התפקידים והעלויות'!$A$2,I343='סיווג התפקידים והעלויות'!$A$3),'עלויות כח אדם (6)'!H343='סיווג התפקידים והעלויות'!$C$2,'עלויות כח אדם (6)'!H343='סיווג התפקידים והעלויות'!$D$2),IF('עלויות כח אדם (6)'!J343&lt;75,"לא תקין","תקין"),"")</f>
        <v/>
      </c>
      <c r="AE343" s="374" t="str">
        <f t="shared" si="89"/>
        <v/>
      </c>
      <c r="AF343" s="532" t="str">
        <f t="shared" si="90"/>
        <v/>
      </c>
    </row>
    <row r="344" spans="2:32" x14ac:dyDescent="0.25">
      <c r="B344" s="695"/>
      <c r="C344" s="197" t="str">
        <f>IF(B344&lt;&gt;"",IFERROR(VLOOKUP(B:B,'מצבת והרשמה (2)'!$C$20:$N$520,2,0)," ")," ")</f>
        <v xml:space="preserve"> </v>
      </c>
      <c r="D344" s="695"/>
      <c r="E344" s="696"/>
      <c r="F344" s="696"/>
      <c r="G344" s="696"/>
      <c r="H344" s="696"/>
      <c r="I344" s="1050" t="str">
        <f t="shared" si="77"/>
        <v/>
      </c>
      <c r="J344" s="696"/>
      <c r="K344" s="697"/>
      <c r="L344" s="696"/>
      <c r="M344" s="198" t="str">
        <f t="shared" si="78"/>
        <v/>
      </c>
      <c r="N344" s="369" t="str">
        <f t="shared" si="79"/>
        <v/>
      </c>
      <c r="O344" s="183" t="str">
        <f t="shared" si="80"/>
        <v/>
      </c>
      <c r="P344" s="199" t="str">
        <f t="shared" si="81"/>
        <v/>
      </c>
      <c r="Q344" s="199" t="str">
        <f>IF(B344="","",IFERROR(IF('עלויות כח אדם (6)'!J344&gt;=VLOOKUP(I344,'סיווג התפקידים והעלויות'!$B$23:$C$32,2,0),"תקין","לא תקין"),""))</f>
        <v/>
      </c>
      <c r="R344" s="199" t="str">
        <f t="shared" si="82"/>
        <v/>
      </c>
      <c r="S344" s="199" t="str">
        <f t="shared" si="83"/>
        <v/>
      </c>
      <c r="T344" s="199" t="str">
        <f t="shared" si="91"/>
        <v/>
      </c>
      <c r="U344" s="199" t="str">
        <f t="shared" si="84"/>
        <v/>
      </c>
      <c r="V344" s="989"/>
      <c r="X344" s="374" t="str">
        <f t="shared" si="85"/>
        <v/>
      </c>
      <c r="Y344" s="375" t="str">
        <f t="shared" si="86"/>
        <v/>
      </c>
      <c r="Z344" s="374" t="str">
        <f t="shared" si="87"/>
        <v/>
      </c>
      <c r="AA344" s="374" t="b">
        <f t="shared" si="88"/>
        <v>1</v>
      </c>
      <c r="AB344" s="374">
        <f>COUNTIFS(B:B,B344,H:H,'סיווג התפקידים והעלויות'!$C$2)</f>
        <v>0</v>
      </c>
      <c r="AC344" s="374">
        <f>COUNTIFS(B:B,B344,H:H,'סיווג התפקידים והעלויות'!$D$2)</f>
        <v>0</v>
      </c>
      <c r="AD344" s="374" t="str">
        <f>IF(OR(AND(H344='סיווג התפקידים והעלויות'!$A$2,I344='סיווג התפקידים והעלויות'!$A$3),'עלויות כח אדם (6)'!H344='סיווג התפקידים והעלויות'!$C$2,'עלויות כח אדם (6)'!H344='סיווג התפקידים והעלויות'!$D$2),IF('עלויות כח אדם (6)'!J344&lt;75,"לא תקין","תקין"),"")</f>
        <v/>
      </c>
      <c r="AE344" s="374" t="str">
        <f t="shared" si="89"/>
        <v/>
      </c>
      <c r="AF344" s="532" t="str">
        <f t="shared" si="90"/>
        <v/>
      </c>
    </row>
    <row r="345" spans="2:32" x14ac:dyDescent="0.25">
      <c r="B345" s="695"/>
      <c r="C345" s="197" t="str">
        <f>IF(B345&lt;&gt;"",IFERROR(VLOOKUP(B:B,'מצבת והרשמה (2)'!$C$20:$N$520,2,0)," ")," ")</f>
        <v xml:space="preserve"> </v>
      </c>
      <c r="D345" s="695"/>
      <c r="E345" s="696"/>
      <c r="F345" s="696"/>
      <c r="G345" s="696"/>
      <c r="H345" s="696"/>
      <c r="I345" s="1050" t="str">
        <f t="shared" si="77"/>
        <v/>
      </c>
      <c r="J345" s="696"/>
      <c r="K345" s="697"/>
      <c r="L345" s="696"/>
      <c r="M345" s="198" t="str">
        <f t="shared" si="78"/>
        <v/>
      </c>
      <c r="N345" s="369" t="str">
        <f t="shared" si="79"/>
        <v/>
      </c>
      <c r="O345" s="183" t="str">
        <f t="shared" si="80"/>
        <v/>
      </c>
      <c r="P345" s="199" t="str">
        <f t="shared" si="81"/>
        <v/>
      </c>
      <c r="Q345" s="199" t="str">
        <f>IF(B345="","",IFERROR(IF('עלויות כח אדם (6)'!J345&gt;=VLOOKUP(I345,'סיווג התפקידים והעלויות'!$B$23:$C$32,2,0),"תקין","לא תקין"),""))</f>
        <v/>
      </c>
      <c r="R345" s="199" t="str">
        <f t="shared" si="82"/>
        <v/>
      </c>
      <c r="S345" s="199" t="str">
        <f t="shared" si="83"/>
        <v/>
      </c>
      <c r="T345" s="199" t="str">
        <f t="shared" si="91"/>
        <v/>
      </c>
      <c r="U345" s="199" t="str">
        <f t="shared" si="84"/>
        <v/>
      </c>
      <c r="V345" s="989"/>
      <c r="X345" s="374" t="str">
        <f t="shared" si="85"/>
        <v/>
      </c>
      <c r="Y345" s="375" t="str">
        <f t="shared" si="86"/>
        <v/>
      </c>
      <c r="Z345" s="374" t="str">
        <f t="shared" si="87"/>
        <v/>
      </c>
      <c r="AA345" s="374" t="b">
        <f t="shared" si="88"/>
        <v>1</v>
      </c>
      <c r="AB345" s="374">
        <f>COUNTIFS(B:B,B345,H:H,'סיווג התפקידים והעלויות'!$C$2)</f>
        <v>0</v>
      </c>
      <c r="AC345" s="374">
        <f>COUNTIFS(B:B,B345,H:H,'סיווג התפקידים והעלויות'!$D$2)</f>
        <v>0</v>
      </c>
      <c r="AD345" s="374" t="str">
        <f>IF(OR(AND(H345='סיווג התפקידים והעלויות'!$A$2,I345='סיווג התפקידים והעלויות'!$A$3),'עלויות כח אדם (6)'!H345='סיווג התפקידים והעלויות'!$C$2,'עלויות כח אדם (6)'!H345='סיווג התפקידים והעלויות'!$D$2),IF('עלויות כח אדם (6)'!J345&lt;75,"לא תקין","תקין"),"")</f>
        <v/>
      </c>
      <c r="AE345" s="374" t="str">
        <f t="shared" si="89"/>
        <v/>
      </c>
      <c r="AF345" s="532" t="str">
        <f t="shared" si="90"/>
        <v/>
      </c>
    </row>
    <row r="346" spans="2:32" x14ac:dyDescent="0.25">
      <c r="B346" s="695"/>
      <c r="C346" s="197" t="str">
        <f>IF(B346&lt;&gt;"",IFERROR(VLOOKUP(B:B,'מצבת והרשמה (2)'!$C$20:$N$520,2,0)," ")," ")</f>
        <v xml:space="preserve"> </v>
      </c>
      <c r="D346" s="695"/>
      <c r="E346" s="696"/>
      <c r="F346" s="696"/>
      <c r="G346" s="696"/>
      <c r="H346" s="696"/>
      <c r="I346" s="1050" t="str">
        <f t="shared" si="77"/>
        <v/>
      </c>
      <c r="J346" s="696"/>
      <c r="K346" s="697"/>
      <c r="L346" s="696"/>
      <c r="M346" s="198" t="str">
        <f t="shared" si="78"/>
        <v/>
      </c>
      <c r="N346" s="369" t="str">
        <f t="shared" si="79"/>
        <v/>
      </c>
      <c r="O346" s="183" t="str">
        <f t="shared" si="80"/>
        <v/>
      </c>
      <c r="P346" s="199" t="str">
        <f t="shared" si="81"/>
        <v/>
      </c>
      <c r="Q346" s="199" t="str">
        <f>IF(B346="","",IFERROR(IF('עלויות כח אדם (6)'!J346&gt;=VLOOKUP(I346,'סיווג התפקידים והעלויות'!$B$23:$C$32,2,0),"תקין","לא תקין"),""))</f>
        <v/>
      </c>
      <c r="R346" s="199" t="str">
        <f t="shared" si="82"/>
        <v/>
      </c>
      <c r="S346" s="199" t="str">
        <f t="shared" si="83"/>
        <v/>
      </c>
      <c r="T346" s="199" t="str">
        <f t="shared" si="91"/>
        <v/>
      </c>
      <c r="U346" s="199" t="str">
        <f t="shared" si="84"/>
        <v/>
      </c>
      <c r="V346" s="989"/>
      <c r="X346" s="374" t="str">
        <f t="shared" si="85"/>
        <v/>
      </c>
      <c r="Y346" s="375" t="str">
        <f t="shared" si="86"/>
        <v/>
      </c>
      <c r="Z346" s="374" t="str">
        <f t="shared" si="87"/>
        <v/>
      </c>
      <c r="AA346" s="374" t="b">
        <f t="shared" si="88"/>
        <v>1</v>
      </c>
      <c r="AB346" s="374">
        <f>COUNTIFS(B:B,B346,H:H,'סיווג התפקידים והעלויות'!$C$2)</f>
        <v>0</v>
      </c>
      <c r="AC346" s="374">
        <f>COUNTIFS(B:B,B346,H:H,'סיווג התפקידים והעלויות'!$D$2)</f>
        <v>0</v>
      </c>
      <c r="AD346" s="374" t="str">
        <f>IF(OR(AND(H346='סיווג התפקידים והעלויות'!$A$2,I346='סיווג התפקידים והעלויות'!$A$3),'עלויות כח אדם (6)'!H346='סיווג התפקידים והעלויות'!$C$2,'עלויות כח אדם (6)'!H346='סיווג התפקידים והעלויות'!$D$2),IF('עלויות כח אדם (6)'!J346&lt;75,"לא תקין","תקין"),"")</f>
        <v/>
      </c>
      <c r="AE346" s="374" t="str">
        <f t="shared" si="89"/>
        <v/>
      </c>
      <c r="AF346" s="532" t="str">
        <f t="shared" si="90"/>
        <v/>
      </c>
    </row>
    <row r="347" spans="2:32" x14ac:dyDescent="0.25">
      <c r="B347" s="695"/>
      <c r="C347" s="197" t="str">
        <f>IF(B347&lt;&gt;"",IFERROR(VLOOKUP(B:B,'מצבת והרשמה (2)'!$C$20:$N$520,2,0)," ")," ")</f>
        <v xml:space="preserve"> </v>
      </c>
      <c r="D347" s="695"/>
      <c r="E347" s="696"/>
      <c r="F347" s="696"/>
      <c r="G347" s="696"/>
      <c r="H347" s="696"/>
      <c r="I347" s="1050" t="str">
        <f t="shared" si="77"/>
        <v/>
      </c>
      <c r="J347" s="696"/>
      <c r="K347" s="697"/>
      <c r="L347" s="696"/>
      <c r="M347" s="198" t="str">
        <f t="shared" si="78"/>
        <v/>
      </c>
      <c r="N347" s="369" t="str">
        <f t="shared" si="79"/>
        <v/>
      </c>
      <c r="O347" s="183" t="str">
        <f t="shared" si="80"/>
        <v/>
      </c>
      <c r="P347" s="199" t="str">
        <f t="shared" si="81"/>
        <v/>
      </c>
      <c r="Q347" s="199" t="str">
        <f>IF(B347="","",IFERROR(IF('עלויות כח אדם (6)'!J347&gt;=VLOOKUP(I347,'סיווג התפקידים והעלויות'!$B$23:$C$32,2,0),"תקין","לא תקין"),""))</f>
        <v/>
      </c>
      <c r="R347" s="199" t="str">
        <f t="shared" si="82"/>
        <v/>
      </c>
      <c r="S347" s="199" t="str">
        <f t="shared" si="83"/>
        <v/>
      </c>
      <c r="T347" s="199" t="str">
        <f t="shared" si="91"/>
        <v/>
      </c>
      <c r="U347" s="199" t="str">
        <f t="shared" si="84"/>
        <v/>
      </c>
      <c r="V347" s="989"/>
      <c r="X347" s="374" t="str">
        <f t="shared" si="85"/>
        <v/>
      </c>
      <c r="Y347" s="375" t="str">
        <f t="shared" si="86"/>
        <v/>
      </c>
      <c r="Z347" s="374" t="str">
        <f t="shared" si="87"/>
        <v/>
      </c>
      <c r="AA347" s="374" t="b">
        <f t="shared" si="88"/>
        <v>1</v>
      </c>
      <c r="AB347" s="374">
        <f>COUNTIFS(B:B,B347,H:H,'סיווג התפקידים והעלויות'!$C$2)</f>
        <v>0</v>
      </c>
      <c r="AC347" s="374">
        <f>COUNTIFS(B:B,B347,H:H,'סיווג התפקידים והעלויות'!$D$2)</f>
        <v>0</v>
      </c>
      <c r="AD347" s="374" t="str">
        <f>IF(OR(AND(H347='סיווג התפקידים והעלויות'!$A$2,I347='סיווג התפקידים והעלויות'!$A$3),'עלויות כח אדם (6)'!H347='סיווג התפקידים והעלויות'!$C$2,'עלויות כח אדם (6)'!H347='סיווג התפקידים והעלויות'!$D$2),IF('עלויות כח אדם (6)'!J347&lt;75,"לא תקין","תקין"),"")</f>
        <v/>
      </c>
      <c r="AE347" s="374" t="str">
        <f t="shared" si="89"/>
        <v/>
      </c>
      <c r="AF347" s="532" t="str">
        <f t="shared" si="90"/>
        <v/>
      </c>
    </row>
    <row r="348" spans="2:32" x14ac:dyDescent="0.25">
      <c r="B348" s="695"/>
      <c r="C348" s="197" t="str">
        <f>IF(B348&lt;&gt;"",IFERROR(VLOOKUP(B:B,'מצבת והרשמה (2)'!$C$20:$N$520,2,0)," ")," ")</f>
        <v xml:space="preserve"> </v>
      </c>
      <c r="D348" s="695"/>
      <c r="E348" s="696"/>
      <c r="F348" s="696"/>
      <c r="G348" s="696"/>
      <c r="H348" s="696"/>
      <c r="I348" s="1050" t="str">
        <f t="shared" si="77"/>
        <v/>
      </c>
      <c r="J348" s="696"/>
      <c r="K348" s="697"/>
      <c r="L348" s="696"/>
      <c r="M348" s="198" t="str">
        <f t="shared" si="78"/>
        <v/>
      </c>
      <c r="N348" s="369" t="str">
        <f t="shared" si="79"/>
        <v/>
      </c>
      <c r="O348" s="183" t="str">
        <f t="shared" si="80"/>
        <v/>
      </c>
      <c r="P348" s="199" t="str">
        <f t="shared" si="81"/>
        <v/>
      </c>
      <c r="Q348" s="199" t="str">
        <f>IF(B348="","",IFERROR(IF('עלויות כח אדם (6)'!J348&gt;=VLOOKUP(I348,'סיווג התפקידים והעלויות'!$B$23:$C$32,2,0),"תקין","לא תקין"),""))</f>
        <v/>
      </c>
      <c r="R348" s="199" t="str">
        <f t="shared" si="82"/>
        <v/>
      </c>
      <c r="S348" s="199" t="str">
        <f t="shared" si="83"/>
        <v/>
      </c>
      <c r="T348" s="199" t="str">
        <f t="shared" si="91"/>
        <v/>
      </c>
      <c r="U348" s="199" t="str">
        <f t="shared" si="84"/>
        <v/>
      </c>
      <c r="V348" s="989"/>
      <c r="X348" s="374" t="str">
        <f t="shared" si="85"/>
        <v/>
      </c>
      <c r="Y348" s="375" t="str">
        <f t="shared" si="86"/>
        <v/>
      </c>
      <c r="Z348" s="374" t="str">
        <f t="shared" si="87"/>
        <v/>
      </c>
      <c r="AA348" s="374" t="b">
        <f t="shared" si="88"/>
        <v>1</v>
      </c>
      <c r="AB348" s="374">
        <f>COUNTIFS(B:B,B348,H:H,'סיווג התפקידים והעלויות'!$C$2)</f>
        <v>0</v>
      </c>
      <c r="AC348" s="374">
        <f>COUNTIFS(B:B,B348,H:H,'סיווג התפקידים והעלויות'!$D$2)</f>
        <v>0</v>
      </c>
      <c r="AD348" s="374" t="str">
        <f>IF(OR(AND(H348='סיווג התפקידים והעלויות'!$A$2,I348='סיווג התפקידים והעלויות'!$A$3),'עלויות כח אדם (6)'!H348='סיווג התפקידים והעלויות'!$C$2,'עלויות כח אדם (6)'!H348='סיווג התפקידים והעלויות'!$D$2),IF('עלויות כח אדם (6)'!J348&lt;75,"לא תקין","תקין"),"")</f>
        <v/>
      </c>
      <c r="AE348" s="374" t="str">
        <f t="shared" si="89"/>
        <v/>
      </c>
      <c r="AF348" s="532" t="str">
        <f t="shared" si="90"/>
        <v/>
      </c>
    </row>
    <row r="349" spans="2:32" x14ac:dyDescent="0.25">
      <c r="B349" s="695"/>
      <c r="C349" s="197" t="str">
        <f>IF(B349&lt;&gt;"",IFERROR(VLOOKUP(B:B,'מצבת והרשמה (2)'!$C$20:$N$520,2,0)," ")," ")</f>
        <v xml:space="preserve"> </v>
      </c>
      <c r="D349" s="695"/>
      <c r="E349" s="696"/>
      <c r="F349" s="696"/>
      <c r="G349" s="696"/>
      <c r="H349" s="696"/>
      <c r="I349" s="1050" t="str">
        <f t="shared" si="77"/>
        <v/>
      </c>
      <c r="J349" s="696"/>
      <c r="K349" s="697"/>
      <c r="L349" s="696"/>
      <c r="M349" s="198" t="str">
        <f t="shared" si="78"/>
        <v/>
      </c>
      <c r="N349" s="369" t="str">
        <f t="shared" si="79"/>
        <v/>
      </c>
      <c r="O349" s="183" t="str">
        <f t="shared" si="80"/>
        <v/>
      </c>
      <c r="P349" s="199" t="str">
        <f t="shared" si="81"/>
        <v/>
      </c>
      <c r="Q349" s="199" t="str">
        <f>IF(B349="","",IFERROR(IF('עלויות כח אדם (6)'!J349&gt;=VLOOKUP(I349,'סיווג התפקידים והעלויות'!$B$23:$C$32,2,0),"תקין","לא תקין"),""))</f>
        <v/>
      </c>
      <c r="R349" s="199" t="str">
        <f t="shared" si="82"/>
        <v/>
      </c>
      <c r="S349" s="199" t="str">
        <f t="shared" si="83"/>
        <v/>
      </c>
      <c r="T349" s="199" t="str">
        <f t="shared" si="91"/>
        <v/>
      </c>
      <c r="U349" s="199" t="str">
        <f t="shared" si="84"/>
        <v/>
      </c>
      <c r="V349" s="989"/>
      <c r="X349" s="374" t="str">
        <f t="shared" si="85"/>
        <v/>
      </c>
      <c r="Y349" s="375" t="str">
        <f t="shared" si="86"/>
        <v/>
      </c>
      <c r="Z349" s="374" t="str">
        <f t="shared" si="87"/>
        <v/>
      </c>
      <c r="AA349" s="374" t="b">
        <f t="shared" si="88"/>
        <v>1</v>
      </c>
      <c r="AB349" s="374">
        <f>COUNTIFS(B:B,B349,H:H,'סיווג התפקידים והעלויות'!$C$2)</f>
        <v>0</v>
      </c>
      <c r="AC349" s="374">
        <f>COUNTIFS(B:B,B349,H:H,'סיווג התפקידים והעלויות'!$D$2)</f>
        <v>0</v>
      </c>
      <c r="AD349" s="374" t="str">
        <f>IF(OR(AND(H349='סיווג התפקידים והעלויות'!$A$2,I349='סיווג התפקידים והעלויות'!$A$3),'עלויות כח אדם (6)'!H349='סיווג התפקידים והעלויות'!$C$2,'עלויות כח אדם (6)'!H349='סיווג התפקידים והעלויות'!$D$2),IF('עלויות כח אדם (6)'!J349&lt;75,"לא תקין","תקין"),"")</f>
        <v/>
      </c>
      <c r="AE349" s="374" t="str">
        <f t="shared" si="89"/>
        <v/>
      </c>
      <c r="AF349" s="532" t="str">
        <f t="shared" si="90"/>
        <v/>
      </c>
    </row>
    <row r="350" spans="2:32" x14ac:dyDescent="0.25">
      <c r="B350" s="695"/>
      <c r="C350" s="197" t="str">
        <f>IF(B350&lt;&gt;"",IFERROR(VLOOKUP(B:B,'מצבת והרשמה (2)'!$C$20:$N$520,2,0)," ")," ")</f>
        <v xml:space="preserve"> </v>
      </c>
      <c r="D350" s="695"/>
      <c r="E350" s="696"/>
      <c r="F350" s="696"/>
      <c r="G350" s="696"/>
      <c r="H350" s="696"/>
      <c r="I350" s="1050" t="str">
        <f t="shared" si="77"/>
        <v/>
      </c>
      <c r="J350" s="696"/>
      <c r="K350" s="697"/>
      <c r="L350" s="696"/>
      <c r="M350" s="198" t="str">
        <f t="shared" si="78"/>
        <v/>
      </c>
      <c r="N350" s="369" t="str">
        <f t="shared" si="79"/>
        <v/>
      </c>
      <c r="O350" s="183" t="str">
        <f t="shared" si="80"/>
        <v/>
      </c>
      <c r="P350" s="199" t="str">
        <f t="shared" si="81"/>
        <v/>
      </c>
      <c r="Q350" s="199" t="str">
        <f>IF(B350="","",IFERROR(IF('עלויות כח אדם (6)'!J350&gt;=VLOOKUP(I350,'סיווג התפקידים והעלויות'!$B$23:$C$32,2,0),"תקין","לא תקין"),""))</f>
        <v/>
      </c>
      <c r="R350" s="199" t="str">
        <f t="shared" si="82"/>
        <v/>
      </c>
      <c r="S350" s="199" t="str">
        <f t="shared" si="83"/>
        <v/>
      </c>
      <c r="T350" s="199" t="str">
        <f t="shared" si="91"/>
        <v/>
      </c>
      <c r="U350" s="199" t="str">
        <f t="shared" si="84"/>
        <v/>
      </c>
      <c r="V350" s="989"/>
      <c r="X350" s="374" t="str">
        <f t="shared" si="85"/>
        <v/>
      </c>
      <c r="Y350" s="375" t="str">
        <f t="shared" si="86"/>
        <v/>
      </c>
      <c r="Z350" s="374" t="str">
        <f t="shared" si="87"/>
        <v/>
      </c>
      <c r="AA350" s="374" t="b">
        <f t="shared" si="88"/>
        <v>1</v>
      </c>
      <c r="AB350" s="374">
        <f>COUNTIFS(B:B,B350,H:H,'סיווג התפקידים והעלויות'!$C$2)</f>
        <v>0</v>
      </c>
      <c r="AC350" s="374">
        <f>COUNTIFS(B:B,B350,H:H,'סיווג התפקידים והעלויות'!$D$2)</f>
        <v>0</v>
      </c>
      <c r="AD350" s="374" t="str">
        <f>IF(OR(AND(H350='סיווג התפקידים והעלויות'!$A$2,I350='סיווג התפקידים והעלויות'!$A$3),'עלויות כח אדם (6)'!H350='סיווג התפקידים והעלויות'!$C$2,'עלויות כח אדם (6)'!H350='סיווג התפקידים והעלויות'!$D$2),IF('עלויות כח אדם (6)'!J350&lt;75,"לא תקין","תקין"),"")</f>
        <v/>
      </c>
      <c r="AE350" s="374" t="str">
        <f t="shared" si="89"/>
        <v/>
      </c>
      <c r="AF350" s="532" t="str">
        <f t="shared" si="90"/>
        <v/>
      </c>
    </row>
    <row r="351" spans="2:32" x14ac:dyDescent="0.25">
      <c r="B351" s="695"/>
      <c r="C351" s="197" t="str">
        <f>IF(B351&lt;&gt;"",IFERROR(VLOOKUP(B:B,'מצבת והרשמה (2)'!$C$20:$N$520,2,0)," ")," ")</f>
        <v xml:space="preserve"> </v>
      </c>
      <c r="D351" s="695"/>
      <c r="E351" s="696"/>
      <c r="F351" s="696"/>
      <c r="G351" s="696"/>
      <c r="H351" s="696"/>
      <c r="I351" s="1050" t="str">
        <f t="shared" si="77"/>
        <v/>
      </c>
      <c r="J351" s="696"/>
      <c r="K351" s="697"/>
      <c r="L351" s="696"/>
      <c r="M351" s="198" t="str">
        <f t="shared" si="78"/>
        <v/>
      </c>
      <c r="N351" s="369" t="str">
        <f t="shared" si="79"/>
        <v/>
      </c>
      <c r="O351" s="183" t="str">
        <f t="shared" si="80"/>
        <v/>
      </c>
      <c r="P351" s="199" t="str">
        <f t="shared" si="81"/>
        <v/>
      </c>
      <c r="Q351" s="199" t="str">
        <f>IF(B351="","",IFERROR(IF('עלויות כח אדם (6)'!J351&gt;=VLOOKUP(I351,'סיווג התפקידים והעלויות'!$B$23:$C$32,2,0),"תקין","לא תקין"),""))</f>
        <v/>
      </c>
      <c r="R351" s="199" t="str">
        <f t="shared" si="82"/>
        <v/>
      </c>
      <c r="S351" s="199" t="str">
        <f t="shared" si="83"/>
        <v/>
      </c>
      <c r="T351" s="199" t="str">
        <f t="shared" si="91"/>
        <v/>
      </c>
      <c r="U351" s="199" t="str">
        <f t="shared" si="84"/>
        <v/>
      </c>
      <c r="V351" s="989"/>
      <c r="X351" s="374" t="str">
        <f t="shared" si="85"/>
        <v/>
      </c>
      <c r="Y351" s="375" t="str">
        <f t="shared" si="86"/>
        <v/>
      </c>
      <c r="Z351" s="374" t="str">
        <f t="shared" si="87"/>
        <v/>
      </c>
      <c r="AA351" s="374" t="b">
        <f t="shared" si="88"/>
        <v>1</v>
      </c>
      <c r="AB351" s="374">
        <f>COUNTIFS(B:B,B351,H:H,'סיווג התפקידים והעלויות'!$C$2)</f>
        <v>0</v>
      </c>
      <c r="AC351" s="374">
        <f>COUNTIFS(B:B,B351,H:H,'סיווג התפקידים והעלויות'!$D$2)</f>
        <v>0</v>
      </c>
      <c r="AD351" s="374" t="str">
        <f>IF(OR(AND(H351='סיווג התפקידים והעלויות'!$A$2,I351='סיווג התפקידים והעלויות'!$A$3),'עלויות כח אדם (6)'!H351='סיווג התפקידים והעלויות'!$C$2,'עלויות כח אדם (6)'!H351='סיווג התפקידים והעלויות'!$D$2),IF('עלויות כח אדם (6)'!J351&lt;75,"לא תקין","תקין"),"")</f>
        <v/>
      </c>
      <c r="AE351" s="374" t="str">
        <f t="shared" si="89"/>
        <v/>
      </c>
      <c r="AF351" s="532" t="str">
        <f t="shared" si="90"/>
        <v/>
      </c>
    </row>
    <row r="352" spans="2:32" x14ac:dyDescent="0.25">
      <c r="B352" s="695"/>
      <c r="C352" s="197" t="str">
        <f>IF(B352&lt;&gt;"",IFERROR(VLOOKUP(B:B,'מצבת והרשמה (2)'!$C$20:$N$520,2,0)," ")," ")</f>
        <v xml:space="preserve"> </v>
      </c>
      <c r="D352" s="695"/>
      <c r="E352" s="696"/>
      <c r="F352" s="696"/>
      <c r="G352" s="696"/>
      <c r="H352" s="696"/>
      <c r="I352" s="1050" t="str">
        <f t="shared" si="77"/>
        <v/>
      </c>
      <c r="J352" s="696"/>
      <c r="K352" s="697"/>
      <c r="L352" s="696"/>
      <c r="M352" s="198" t="str">
        <f t="shared" si="78"/>
        <v/>
      </c>
      <c r="N352" s="369" t="str">
        <f t="shared" si="79"/>
        <v/>
      </c>
      <c r="O352" s="183" t="str">
        <f t="shared" si="80"/>
        <v/>
      </c>
      <c r="P352" s="199" t="str">
        <f t="shared" si="81"/>
        <v/>
      </c>
      <c r="Q352" s="199" t="str">
        <f>IF(B352="","",IFERROR(IF('עלויות כח אדם (6)'!J352&gt;=VLOOKUP(I352,'סיווג התפקידים והעלויות'!$B$23:$C$32,2,0),"תקין","לא תקין"),""))</f>
        <v/>
      </c>
      <c r="R352" s="199" t="str">
        <f t="shared" si="82"/>
        <v/>
      </c>
      <c r="S352" s="199" t="str">
        <f t="shared" si="83"/>
        <v/>
      </c>
      <c r="T352" s="199" t="str">
        <f t="shared" si="91"/>
        <v/>
      </c>
      <c r="U352" s="199" t="str">
        <f t="shared" si="84"/>
        <v/>
      </c>
      <c r="V352" s="989"/>
      <c r="X352" s="374" t="str">
        <f t="shared" si="85"/>
        <v/>
      </c>
      <c r="Y352" s="375" t="str">
        <f t="shared" si="86"/>
        <v/>
      </c>
      <c r="Z352" s="374" t="str">
        <f t="shared" si="87"/>
        <v/>
      </c>
      <c r="AA352" s="374" t="b">
        <f t="shared" si="88"/>
        <v>1</v>
      </c>
      <c r="AB352" s="374">
        <f>COUNTIFS(B:B,B352,H:H,'סיווג התפקידים והעלויות'!$C$2)</f>
        <v>0</v>
      </c>
      <c r="AC352" s="374">
        <f>COUNTIFS(B:B,B352,H:H,'סיווג התפקידים והעלויות'!$D$2)</f>
        <v>0</v>
      </c>
      <c r="AD352" s="374" t="str">
        <f>IF(OR(AND(H352='סיווג התפקידים והעלויות'!$A$2,I352='סיווג התפקידים והעלויות'!$A$3),'עלויות כח אדם (6)'!H352='סיווג התפקידים והעלויות'!$C$2,'עלויות כח אדם (6)'!H352='סיווג התפקידים והעלויות'!$D$2),IF('עלויות כח אדם (6)'!J352&lt;75,"לא תקין","תקין"),"")</f>
        <v/>
      </c>
      <c r="AE352" s="374" t="str">
        <f t="shared" si="89"/>
        <v/>
      </c>
      <c r="AF352" s="532" t="str">
        <f t="shared" si="90"/>
        <v/>
      </c>
    </row>
    <row r="353" spans="2:32" x14ac:dyDescent="0.25">
      <c r="B353" s="695"/>
      <c r="C353" s="197" t="str">
        <f>IF(B353&lt;&gt;"",IFERROR(VLOOKUP(B:B,'מצבת והרשמה (2)'!$C$20:$N$520,2,0)," ")," ")</f>
        <v xml:space="preserve"> </v>
      </c>
      <c r="D353" s="695"/>
      <c r="E353" s="696"/>
      <c r="F353" s="696"/>
      <c r="G353" s="696"/>
      <c r="H353" s="696"/>
      <c r="I353" s="1050" t="str">
        <f t="shared" si="77"/>
        <v/>
      </c>
      <c r="J353" s="696"/>
      <c r="K353" s="697"/>
      <c r="L353" s="696"/>
      <c r="M353" s="198" t="str">
        <f t="shared" si="78"/>
        <v/>
      </c>
      <c r="N353" s="369" t="str">
        <f t="shared" si="79"/>
        <v/>
      </c>
      <c r="O353" s="183" t="str">
        <f t="shared" si="80"/>
        <v/>
      </c>
      <c r="P353" s="199" t="str">
        <f t="shared" si="81"/>
        <v/>
      </c>
      <c r="Q353" s="199" t="str">
        <f>IF(B353="","",IFERROR(IF('עלויות כח אדם (6)'!J353&gt;=VLOOKUP(I353,'סיווג התפקידים והעלויות'!$B$23:$C$32,2,0),"תקין","לא תקין"),""))</f>
        <v/>
      </c>
      <c r="R353" s="199" t="str">
        <f t="shared" si="82"/>
        <v/>
      </c>
      <c r="S353" s="199" t="str">
        <f t="shared" si="83"/>
        <v/>
      </c>
      <c r="T353" s="199" t="str">
        <f t="shared" si="91"/>
        <v/>
      </c>
      <c r="U353" s="199" t="str">
        <f t="shared" si="84"/>
        <v/>
      </c>
      <c r="V353" s="989"/>
      <c r="X353" s="374" t="str">
        <f t="shared" si="85"/>
        <v/>
      </c>
      <c r="Y353" s="375" t="str">
        <f t="shared" si="86"/>
        <v/>
      </c>
      <c r="Z353" s="374" t="str">
        <f t="shared" si="87"/>
        <v/>
      </c>
      <c r="AA353" s="374" t="b">
        <f t="shared" si="88"/>
        <v>1</v>
      </c>
      <c r="AB353" s="374">
        <f>COUNTIFS(B:B,B353,H:H,'סיווג התפקידים והעלויות'!$C$2)</f>
        <v>0</v>
      </c>
      <c r="AC353" s="374">
        <f>COUNTIFS(B:B,B353,H:H,'סיווג התפקידים והעלויות'!$D$2)</f>
        <v>0</v>
      </c>
      <c r="AD353" s="374" t="str">
        <f>IF(OR(AND(H353='סיווג התפקידים והעלויות'!$A$2,I353='סיווג התפקידים והעלויות'!$A$3),'עלויות כח אדם (6)'!H353='סיווג התפקידים והעלויות'!$C$2,'עלויות כח אדם (6)'!H353='סיווג התפקידים והעלויות'!$D$2),IF('עלויות כח אדם (6)'!J353&lt;75,"לא תקין","תקין"),"")</f>
        <v/>
      </c>
      <c r="AE353" s="374" t="str">
        <f t="shared" si="89"/>
        <v/>
      </c>
      <c r="AF353" s="532" t="str">
        <f t="shared" si="90"/>
        <v/>
      </c>
    </row>
    <row r="354" spans="2:32" x14ac:dyDescent="0.25">
      <c r="B354" s="695"/>
      <c r="C354" s="197" t="str">
        <f>IF(B354&lt;&gt;"",IFERROR(VLOOKUP(B:B,'מצבת והרשמה (2)'!$C$20:$N$520,2,0)," ")," ")</f>
        <v xml:space="preserve"> </v>
      </c>
      <c r="D354" s="695"/>
      <c r="E354" s="696"/>
      <c r="F354" s="696"/>
      <c r="G354" s="696"/>
      <c r="H354" s="696"/>
      <c r="I354" s="1050" t="str">
        <f t="shared" si="77"/>
        <v/>
      </c>
      <c r="J354" s="696"/>
      <c r="K354" s="697"/>
      <c r="L354" s="696"/>
      <c r="M354" s="198" t="str">
        <f t="shared" si="78"/>
        <v/>
      </c>
      <c r="N354" s="369" t="str">
        <f t="shared" si="79"/>
        <v/>
      </c>
      <c r="O354" s="183" t="str">
        <f t="shared" si="80"/>
        <v/>
      </c>
      <c r="P354" s="199" t="str">
        <f t="shared" si="81"/>
        <v/>
      </c>
      <c r="Q354" s="199" t="str">
        <f>IF(B354="","",IFERROR(IF('עלויות כח אדם (6)'!J354&gt;=VLOOKUP(I354,'סיווג התפקידים והעלויות'!$B$23:$C$32,2,0),"תקין","לא תקין"),""))</f>
        <v/>
      </c>
      <c r="R354" s="199" t="str">
        <f t="shared" si="82"/>
        <v/>
      </c>
      <c r="S354" s="199" t="str">
        <f t="shared" si="83"/>
        <v/>
      </c>
      <c r="T354" s="199" t="str">
        <f t="shared" si="91"/>
        <v/>
      </c>
      <c r="U354" s="199" t="str">
        <f t="shared" si="84"/>
        <v/>
      </c>
      <c r="V354" s="989"/>
      <c r="X354" s="374" t="str">
        <f t="shared" si="85"/>
        <v/>
      </c>
      <c r="Y354" s="375" t="str">
        <f t="shared" si="86"/>
        <v/>
      </c>
      <c r="Z354" s="374" t="str">
        <f t="shared" si="87"/>
        <v/>
      </c>
      <c r="AA354" s="374" t="b">
        <f t="shared" si="88"/>
        <v>1</v>
      </c>
      <c r="AB354" s="374">
        <f>COUNTIFS(B:B,B354,H:H,'סיווג התפקידים והעלויות'!$C$2)</f>
        <v>0</v>
      </c>
      <c r="AC354" s="374">
        <f>COUNTIFS(B:B,B354,H:H,'סיווג התפקידים והעלויות'!$D$2)</f>
        <v>0</v>
      </c>
      <c r="AD354" s="374" t="str">
        <f>IF(OR(AND(H354='סיווג התפקידים והעלויות'!$A$2,I354='סיווג התפקידים והעלויות'!$A$3),'עלויות כח אדם (6)'!H354='סיווג התפקידים והעלויות'!$C$2,'עלויות כח אדם (6)'!H354='סיווג התפקידים והעלויות'!$D$2),IF('עלויות כח אדם (6)'!J354&lt;75,"לא תקין","תקין"),"")</f>
        <v/>
      </c>
      <c r="AE354" s="374" t="str">
        <f t="shared" si="89"/>
        <v/>
      </c>
      <c r="AF354" s="532" t="str">
        <f t="shared" si="90"/>
        <v/>
      </c>
    </row>
    <row r="355" spans="2:32" x14ac:dyDescent="0.25">
      <c r="B355" s="695"/>
      <c r="C355" s="197" t="str">
        <f>IF(B355&lt;&gt;"",IFERROR(VLOOKUP(B:B,'מצבת והרשמה (2)'!$C$20:$N$520,2,0)," ")," ")</f>
        <v xml:space="preserve"> </v>
      </c>
      <c r="D355" s="695"/>
      <c r="E355" s="696"/>
      <c r="F355" s="696"/>
      <c r="G355" s="696"/>
      <c r="H355" s="696"/>
      <c r="I355" s="1050" t="str">
        <f t="shared" si="77"/>
        <v/>
      </c>
      <c r="J355" s="696"/>
      <c r="K355" s="697"/>
      <c r="L355" s="696"/>
      <c r="M355" s="198" t="str">
        <f t="shared" si="78"/>
        <v/>
      </c>
      <c r="N355" s="369" t="str">
        <f t="shared" si="79"/>
        <v/>
      </c>
      <c r="O355" s="183" t="str">
        <f t="shared" si="80"/>
        <v/>
      </c>
      <c r="P355" s="199" t="str">
        <f t="shared" si="81"/>
        <v/>
      </c>
      <c r="Q355" s="199" t="str">
        <f>IF(B355="","",IFERROR(IF('עלויות כח אדם (6)'!J355&gt;=VLOOKUP(I355,'סיווג התפקידים והעלויות'!$B$23:$C$32,2,0),"תקין","לא תקין"),""))</f>
        <v/>
      </c>
      <c r="R355" s="199" t="str">
        <f t="shared" si="82"/>
        <v/>
      </c>
      <c r="S355" s="199" t="str">
        <f t="shared" si="83"/>
        <v/>
      </c>
      <c r="T355" s="199" t="str">
        <f t="shared" si="91"/>
        <v/>
      </c>
      <c r="U355" s="199" t="str">
        <f t="shared" si="84"/>
        <v/>
      </c>
      <c r="V355" s="989"/>
      <c r="X355" s="374" t="str">
        <f t="shared" si="85"/>
        <v/>
      </c>
      <c r="Y355" s="375" t="str">
        <f t="shared" si="86"/>
        <v/>
      </c>
      <c r="Z355" s="374" t="str">
        <f t="shared" si="87"/>
        <v/>
      </c>
      <c r="AA355" s="374" t="b">
        <f t="shared" si="88"/>
        <v>1</v>
      </c>
      <c r="AB355" s="374">
        <f>COUNTIFS(B:B,B355,H:H,'סיווג התפקידים והעלויות'!$C$2)</f>
        <v>0</v>
      </c>
      <c r="AC355" s="374">
        <f>COUNTIFS(B:B,B355,H:H,'סיווג התפקידים והעלויות'!$D$2)</f>
        <v>0</v>
      </c>
      <c r="AD355" s="374" t="str">
        <f>IF(OR(AND(H355='סיווג התפקידים והעלויות'!$A$2,I355='סיווג התפקידים והעלויות'!$A$3),'עלויות כח אדם (6)'!H355='סיווג התפקידים והעלויות'!$C$2,'עלויות כח אדם (6)'!H355='סיווג התפקידים והעלויות'!$D$2),IF('עלויות כח אדם (6)'!J355&lt;75,"לא תקין","תקין"),"")</f>
        <v/>
      </c>
      <c r="AE355" s="374" t="str">
        <f t="shared" si="89"/>
        <v/>
      </c>
      <c r="AF355" s="532" t="str">
        <f t="shared" si="90"/>
        <v/>
      </c>
    </row>
    <row r="356" spans="2:32" x14ac:dyDescent="0.25">
      <c r="B356" s="695"/>
      <c r="C356" s="197" t="str">
        <f>IF(B356&lt;&gt;"",IFERROR(VLOOKUP(B:B,'מצבת והרשמה (2)'!$C$20:$N$520,2,0)," ")," ")</f>
        <v xml:space="preserve"> </v>
      </c>
      <c r="D356" s="695"/>
      <c r="E356" s="696"/>
      <c r="F356" s="696"/>
      <c r="G356" s="696"/>
      <c r="H356" s="696"/>
      <c r="I356" s="1050" t="str">
        <f t="shared" si="77"/>
        <v/>
      </c>
      <c r="J356" s="696"/>
      <c r="K356" s="697"/>
      <c r="L356" s="696"/>
      <c r="M356" s="198" t="str">
        <f t="shared" si="78"/>
        <v/>
      </c>
      <c r="N356" s="369" t="str">
        <f t="shared" si="79"/>
        <v/>
      </c>
      <c r="O356" s="183" t="str">
        <f t="shared" si="80"/>
        <v/>
      </c>
      <c r="P356" s="199" t="str">
        <f t="shared" si="81"/>
        <v/>
      </c>
      <c r="Q356" s="199" t="str">
        <f>IF(B356="","",IFERROR(IF('עלויות כח אדם (6)'!J356&gt;=VLOOKUP(I356,'סיווג התפקידים והעלויות'!$B$23:$C$32,2,0),"תקין","לא תקין"),""))</f>
        <v/>
      </c>
      <c r="R356" s="199" t="str">
        <f t="shared" si="82"/>
        <v/>
      </c>
      <c r="S356" s="199" t="str">
        <f t="shared" si="83"/>
        <v/>
      </c>
      <c r="T356" s="199" t="str">
        <f t="shared" si="91"/>
        <v/>
      </c>
      <c r="U356" s="199" t="str">
        <f t="shared" si="84"/>
        <v/>
      </c>
      <c r="V356" s="989"/>
      <c r="X356" s="374" t="str">
        <f t="shared" si="85"/>
        <v/>
      </c>
      <c r="Y356" s="375" t="str">
        <f t="shared" si="86"/>
        <v/>
      </c>
      <c r="Z356" s="374" t="str">
        <f t="shared" si="87"/>
        <v/>
      </c>
      <c r="AA356" s="374" t="b">
        <f t="shared" si="88"/>
        <v>1</v>
      </c>
      <c r="AB356" s="374">
        <f>COUNTIFS(B:B,B356,H:H,'סיווג התפקידים והעלויות'!$C$2)</f>
        <v>0</v>
      </c>
      <c r="AC356" s="374">
        <f>COUNTIFS(B:B,B356,H:H,'סיווג התפקידים והעלויות'!$D$2)</f>
        <v>0</v>
      </c>
      <c r="AD356" s="374" t="str">
        <f>IF(OR(AND(H356='סיווג התפקידים והעלויות'!$A$2,I356='סיווג התפקידים והעלויות'!$A$3),'עלויות כח אדם (6)'!H356='סיווג התפקידים והעלויות'!$C$2,'עלויות כח אדם (6)'!H356='סיווג התפקידים והעלויות'!$D$2),IF('עלויות כח אדם (6)'!J356&lt;75,"לא תקין","תקין"),"")</f>
        <v/>
      </c>
      <c r="AE356" s="374" t="str">
        <f t="shared" si="89"/>
        <v/>
      </c>
      <c r="AF356" s="532" t="str">
        <f t="shared" si="90"/>
        <v/>
      </c>
    </row>
    <row r="357" spans="2:32" x14ac:dyDescent="0.25">
      <c r="B357" s="695"/>
      <c r="C357" s="197" t="str">
        <f>IF(B357&lt;&gt;"",IFERROR(VLOOKUP(B:B,'מצבת והרשמה (2)'!$C$20:$N$520,2,0)," ")," ")</f>
        <v xml:space="preserve"> </v>
      </c>
      <c r="D357" s="695"/>
      <c r="E357" s="696"/>
      <c r="F357" s="696"/>
      <c r="G357" s="696"/>
      <c r="H357" s="696"/>
      <c r="I357" s="1050" t="str">
        <f t="shared" si="77"/>
        <v/>
      </c>
      <c r="J357" s="696"/>
      <c r="K357" s="697"/>
      <c r="L357" s="696"/>
      <c r="M357" s="198" t="str">
        <f t="shared" si="78"/>
        <v/>
      </c>
      <c r="N357" s="369" t="str">
        <f t="shared" si="79"/>
        <v/>
      </c>
      <c r="O357" s="183" t="str">
        <f t="shared" si="80"/>
        <v/>
      </c>
      <c r="P357" s="199" t="str">
        <f t="shared" si="81"/>
        <v/>
      </c>
      <c r="Q357" s="199" t="str">
        <f>IF(B357="","",IFERROR(IF('עלויות כח אדם (6)'!J357&gt;=VLOOKUP(I357,'סיווג התפקידים והעלויות'!$B$23:$C$32,2,0),"תקין","לא תקין"),""))</f>
        <v/>
      </c>
      <c r="R357" s="199" t="str">
        <f t="shared" si="82"/>
        <v/>
      </c>
      <c r="S357" s="199" t="str">
        <f t="shared" si="83"/>
        <v/>
      </c>
      <c r="T357" s="199" t="str">
        <f t="shared" si="91"/>
        <v/>
      </c>
      <c r="U357" s="199" t="str">
        <f t="shared" si="84"/>
        <v/>
      </c>
      <c r="V357" s="989"/>
      <c r="X357" s="374" t="str">
        <f t="shared" si="85"/>
        <v/>
      </c>
      <c r="Y357" s="375" t="str">
        <f t="shared" si="86"/>
        <v/>
      </c>
      <c r="Z357" s="374" t="str">
        <f t="shared" si="87"/>
        <v/>
      </c>
      <c r="AA357" s="374" t="b">
        <f t="shared" si="88"/>
        <v>1</v>
      </c>
      <c r="AB357" s="374">
        <f>COUNTIFS(B:B,B357,H:H,'סיווג התפקידים והעלויות'!$C$2)</f>
        <v>0</v>
      </c>
      <c r="AC357" s="374">
        <f>COUNTIFS(B:B,B357,H:H,'סיווג התפקידים והעלויות'!$D$2)</f>
        <v>0</v>
      </c>
      <c r="AD357" s="374" t="str">
        <f>IF(OR(AND(H357='סיווג התפקידים והעלויות'!$A$2,I357='סיווג התפקידים והעלויות'!$A$3),'עלויות כח אדם (6)'!H357='סיווג התפקידים והעלויות'!$C$2,'עלויות כח אדם (6)'!H357='סיווג התפקידים והעלויות'!$D$2),IF('עלויות כח אדם (6)'!J357&lt;75,"לא תקין","תקין"),"")</f>
        <v/>
      </c>
      <c r="AE357" s="374" t="str">
        <f t="shared" si="89"/>
        <v/>
      </c>
      <c r="AF357" s="532" t="str">
        <f t="shared" si="90"/>
        <v/>
      </c>
    </row>
    <row r="358" spans="2:32" x14ac:dyDescent="0.25">
      <c r="B358" s="695"/>
      <c r="C358" s="197" t="str">
        <f>IF(B358&lt;&gt;"",IFERROR(VLOOKUP(B:B,'מצבת והרשמה (2)'!$C$20:$N$520,2,0)," ")," ")</f>
        <v xml:space="preserve"> </v>
      </c>
      <c r="D358" s="695"/>
      <c r="E358" s="696"/>
      <c r="F358" s="696"/>
      <c r="G358" s="696"/>
      <c r="H358" s="696"/>
      <c r="I358" s="1050" t="str">
        <f t="shared" si="77"/>
        <v/>
      </c>
      <c r="J358" s="696"/>
      <c r="K358" s="697"/>
      <c r="L358" s="696"/>
      <c r="M358" s="198" t="str">
        <f t="shared" si="78"/>
        <v/>
      </c>
      <c r="N358" s="369" t="str">
        <f t="shared" si="79"/>
        <v/>
      </c>
      <c r="O358" s="183" t="str">
        <f t="shared" si="80"/>
        <v/>
      </c>
      <c r="P358" s="199" t="str">
        <f t="shared" si="81"/>
        <v/>
      </c>
      <c r="Q358" s="199" t="str">
        <f>IF(B358="","",IFERROR(IF('עלויות כח אדם (6)'!J358&gt;=VLOOKUP(I358,'סיווג התפקידים והעלויות'!$B$23:$C$32,2,0),"תקין","לא תקין"),""))</f>
        <v/>
      </c>
      <c r="R358" s="199" t="str">
        <f t="shared" si="82"/>
        <v/>
      </c>
      <c r="S358" s="199" t="str">
        <f t="shared" si="83"/>
        <v/>
      </c>
      <c r="T358" s="199" t="str">
        <f t="shared" si="91"/>
        <v/>
      </c>
      <c r="U358" s="199" t="str">
        <f t="shared" si="84"/>
        <v/>
      </c>
      <c r="V358" s="989"/>
      <c r="X358" s="374" t="str">
        <f t="shared" si="85"/>
        <v/>
      </c>
      <c r="Y358" s="375" t="str">
        <f t="shared" si="86"/>
        <v/>
      </c>
      <c r="Z358" s="374" t="str">
        <f t="shared" si="87"/>
        <v/>
      </c>
      <c r="AA358" s="374" t="b">
        <f t="shared" si="88"/>
        <v>1</v>
      </c>
      <c r="AB358" s="374">
        <f>COUNTIFS(B:B,B358,H:H,'סיווג התפקידים והעלויות'!$C$2)</f>
        <v>0</v>
      </c>
      <c r="AC358" s="374">
        <f>COUNTIFS(B:B,B358,H:H,'סיווג התפקידים והעלויות'!$D$2)</f>
        <v>0</v>
      </c>
      <c r="AD358" s="374" t="str">
        <f>IF(OR(AND(H358='סיווג התפקידים והעלויות'!$A$2,I358='סיווג התפקידים והעלויות'!$A$3),'עלויות כח אדם (6)'!H358='סיווג התפקידים והעלויות'!$C$2,'עלויות כח אדם (6)'!H358='סיווג התפקידים והעלויות'!$D$2),IF('עלויות כח אדם (6)'!J358&lt;75,"לא תקין","תקין"),"")</f>
        <v/>
      </c>
      <c r="AE358" s="374" t="str">
        <f t="shared" si="89"/>
        <v/>
      </c>
      <c r="AF358" s="532" t="str">
        <f t="shared" si="90"/>
        <v/>
      </c>
    </row>
    <row r="359" spans="2:32" x14ac:dyDescent="0.25">
      <c r="B359" s="695"/>
      <c r="C359" s="197" t="str">
        <f>IF(B359&lt;&gt;"",IFERROR(VLOOKUP(B:B,'מצבת והרשמה (2)'!$C$20:$N$520,2,0)," ")," ")</f>
        <v xml:space="preserve"> </v>
      </c>
      <c r="D359" s="695"/>
      <c r="E359" s="696"/>
      <c r="F359" s="696"/>
      <c r="G359" s="696"/>
      <c r="H359" s="696"/>
      <c r="I359" s="1050" t="str">
        <f t="shared" si="77"/>
        <v/>
      </c>
      <c r="J359" s="696"/>
      <c r="K359" s="697"/>
      <c r="L359" s="696"/>
      <c r="M359" s="198" t="str">
        <f t="shared" si="78"/>
        <v/>
      </c>
      <c r="N359" s="369" t="str">
        <f t="shared" si="79"/>
        <v/>
      </c>
      <c r="O359" s="183" t="str">
        <f t="shared" si="80"/>
        <v/>
      </c>
      <c r="P359" s="199" t="str">
        <f t="shared" si="81"/>
        <v/>
      </c>
      <c r="Q359" s="199" t="str">
        <f>IF(B359="","",IFERROR(IF('עלויות כח אדם (6)'!J359&gt;=VLOOKUP(I359,'סיווג התפקידים והעלויות'!$B$23:$C$32,2,0),"תקין","לא תקין"),""))</f>
        <v/>
      </c>
      <c r="R359" s="199" t="str">
        <f t="shared" si="82"/>
        <v/>
      </c>
      <c r="S359" s="199" t="str">
        <f t="shared" si="83"/>
        <v/>
      </c>
      <c r="T359" s="199" t="str">
        <f t="shared" si="91"/>
        <v/>
      </c>
      <c r="U359" s="199" t="str">
        <f t="shared" si="84"/>
        <v/>
      </c>
      <c r="V359" s="989"/>
      <c r="X359" s="374" t="str">
        <f t="shared" si="85"/>
        <v/>
      </c>
      <c r="Y359" s="375" t="str">
        <f t="shared" si="86"/>
        <v/>
      </c>
      <c r="Z359" s="374" t="str">
        <f t="shared" si="87"/>
        <v/>
      </c>
      <c r="AA359" s="374" t="b">
        <f t="shared" si="88"/>
        <v>1</v>
      </c>
      <c r="AB359" s="374">
        <f>COUNTIFS(B:B,B359,H:H,'סיווג התפקידים והעלויות'!$C$2)</f>
        <v>0</v>
      </c>
      <c r="AC359" s="374">
        <f>COUNTIFS(B:B,B359,H:H,'סיווג התפקידים והעלויות'!$D$2)</f>
        <v>0</v>
      </c>
      <c r="AD359" s="374" t="str">
        <f>IF(OR(AND(H359='סיווג התפקידים והעלויות'!$A$2,I359='סיווג התפקידים והעלויות'!$A$3),'עלויות כח אדם (6)'!H359='סיווג התפקידים והעלויות'!$C$2,'עלויות כח אדם (6)'!H359='סיווג התפקידים והעלויות'!$D$2),IF('עלויות כח אדם (6)'!J359&lt;75,"לא תקין","תקין"),"")</f>
        <v/>
      </c>
      <c r="AE359" s="374" t="str">
        <f t="shared" si="89"/>
        <v/>
      </c>
      <c r="AF359" s="532" t="str">
        <f t="shared" si="90"/>
        <v/>
      </c>
    </row>
    <row r="360" spans="2:32" x14ac:dyDescent="0.25">
      <c r="B360" s="695"/>
      <c r="C360" s="197" t="str">
        <f>IF(B360&lt;&gt;"",IFERROR(VLOOKUP(B:B,'מצבת והרשמה (2)'!$C$20:$N$520,2,0)," ")," ")</f>
        <v xml:space="preserve"> </v>
      </c>
      <c r="D360" s="695"/>
      <c r="E360" s="696"/>
      <c r="F360" s="696"/>
      <c r="G360" s="696"/>
      <c r="H360" s="696"/>
      <c r="I360" s="1050" t="str">
        <f t="shared" si="77"/>
        <v/>
      </c>
      <c r="J360" s="696"/>
      <c r="K360" s="697"/>
      <c r="L360" s="696"/>
      <c r="M360" s="198" t="str">
        <f t="shared" si="78"/>
        <v/>
      </c>
      <c r="N360" s="369" t="str">
        <f t="shared" si="79"/>
        <v/>
      </c>
      <c r="O360" s="183" t="str">
        <f t="shared" si="80"/>
        <v/>
      </c>
      <c r="P360" s="199" t="str">
        <f t="shared" si="81"/>
        <v/>
      </c>
      <c r="Q360" s="199" t="str">
        <f>IF(B360="","",IFERROR(IF('עלויות כח אדם (6)'!J360&gt;=VLOOKUP(I360,'סיווג התפקידים והעלויות'!$B$23:$C$32,2,0),"תקין","לא תקין"),""))</f>
        <v/>
      </c>
      <c r="R360" s="199" t="str">
        <f t="shared" si="82"/>
        <v/>
      </c>
      <c r="S360" s="199" t="str">
        <f t="shared" si="83"/>
        <v/>
      </c>
      <c r="T360" s="199" t="str">
        <f t="shared" si="91"/>
        <v/>
      </c>
      <c r="U360" s="199" t="str">
        <f t="shared" si="84"/>
        <v/>
      </c>
      <c r="V360" s="989"/>
      <c r="X360" s="374" t="str">
        <f t="shared" si="85"/>
        <v/>
      </c>
      <c r="Y360" s="375" t="str">
        <f t="shared" si="86"/>
        <v/>
      </c>
      <c r="Z360" s="374" t="str">
        <f t="shared" si="87"/>
        <v/>
      </c>
      <c r="AA360" s="374" t="b">
        <f t="shared" si="88"/>
        <v>1</v>
      </c>
      <c r="AB360" s="374">
        <f>COUNTIFS(B:B,B360,H:H,'סיווג התפקידים והעלויות'!$C$2)</f>
        <v>0</v>
      </c>
      <c r="AC360" s="374">
        <f>COUNTIFS(B:B,B360,H:H,'סיווג התפקידים והעלויות'!$D$2)</f>
        <v>0</v>
      </c>
      <c r="AD360" s="374" t="str">
        <f>IF(OR(AND(H360='סיווג התפקידים והעלויות'!$A$2,I360='סיווג התפקידים והעלויות'!$A$3),'עלויות כח אדם (6)'!H360='סיווג התפקידים והעלויות'!$C$2,'עלויות כח אדם (6)'!H360='סיווג התפקידים והעלויות'!$D$2),IF('עלויות כח אדם (6)'!J360&lt;75,"לא תקין","תקין"),"")</f>
        <v/>
      </c>
      <c r="AE360" s="374" t="str">
        <f t="shared" si="89"/>
        <v/>
      </c>
      <c r="AF360" s="532" t="str">
        <f t="shared" si="90"/>
        <v/>
      </c>
    </row>
    <row r="361" spans="2:32" x14ac:dyDescent="0.25">
      <c r="B361" s="695"/>
      <c r="C361" s="197" t="str">
        <f>IF(B361&lt;&gt;"",IFERROR(VLOOKUP(B:B,'מצבת והרשמה (2)'!$C$20:$N$520,2,0)," ")," ")</f>
        <v xml:space="preserve"> </v>
      </c>
      <c r="D361" s="695"/>
      <c r="E361" s="696"/>
      <c r="F361" s="696"/>
      <c r="G361" s="696"/>
      <c r="H361" s="696"/>
      <c r="I361" s="1050" t="str">
        <f t="shared" si="77"/>
        <v/>
      </c>
      <c r="J361" s="696"/>
      <c r="K361" s="697"/>
      <c r="L361" s="696"/>
      <c r="M361" s="198" t="str">
        <f t="shared" si="78"/>
        <v/>
      </c>
      <c r="N361" s="369" t="str">
        <f t="shared" si="79"/>
        <v/>
      </c>
      <c r="O361" s="183" t="str">
        <f t="shared" si="80"/>
        <v/>
      </c>
      <c r="P361" s="199" t="str">
        <f t="shared" si="81"/>
        <v/>
      </c>
      <c r="Q361" s="199" t="str">
        <f>IF(B361="","",IFERROR(IF('עלויות כח אדם (6)'!J361&gt;=VLOOKUP(I361,'סיווג התפקידים והעלויות'!$B$23:$C$32,2,0),"תקין","לא תקין"),""))</f>
        <v/>
      </c>
      <c r="R361" s="199" t="str">
        <f t="shared" si="82"/>
        <v/>
      </c>
      <c r="S361" s="199" t="str">
        <f t="shared" si="83"/>
        <v/>
      </c>
      <c r="T361" s="199" t="str">
        <f t="shared" si="91"/>
        <v/>
      </c>
      <c r="U361" s="199" t="str">
        <f t="shared" si="84"/>
        <v/>
      </c>
      <c r="V361" s="989"/>
      <c r="X361" s="374" t="str">
        <f t="shared" si="85"/>
        <v/>
      </c>
      <c r="Y361" s="375" t="str">
        <f t="shared" si="86"/>
        <v/>
      </c>
      <c r="Z361" s="374" t="str">
        <f t="shared" si="87"/>
        <v/>
      </c>
      <c r="AA361" s="374" t="b">
        <f t="shared" si="88"/>
        <v>1</v>
      </c>
      <c r="AB361" s="374">
        <f>COUNTIFS(B:B,B361,H:H,'סיווג התפקידים והעלויות'!$C$2)</f>
        <v>0</v>
      </c>
      <c r="AC361" s="374">
        <f>COUNTIFS(B:B,B361,H:H,'סיווג התפקידים והעלויות'!$D$2)</f>
        <v>0</v>
      </c>
      <c r="AD361" s="374" t="str">
        <f>IF(OR(AND(H361='סיווג התפקידים והעלויות'!$A$2,I361='סיווג התפקידים והעלויות'!$A$3),'עלויות כח אדם (6)'!H361='סיווג התפקידים והעלויות'!$C$2,'עלויות כח אדם (6)'!H361='סיווג התפקידים והעלויות'!$D$2),IF('עלויות כח אדם (6)'!J361&lt;75,"לא תקין","תקין"),"")</f>
        <v/>
      </c>
      <c r="AE361" s="374" t="str">
        <f t="shared" si="89"/>
        <v/>
      </c>
      <c r="AF361" s="532" t="str">
        <f t="shared" si="90"/>
        <v/>
      </c>
    </row>
    <row r="362" spans="2:32" x14ac:dyDescent="0.25">
      <c r="B362" s="695"/>
      <c r="C362" s="197" t="str">
        <f>IF(B362&lt;&gt;"",IFERROR(VLOOKUP(B:B,'מצבת והרשמה (2)'!$C$20:$N$520,2,0)," ")," ")</f>
        <v xml:space="preserve"> </v>
      </c>
      <c r="D362" s="695"/>
      <c r="E362" s="696"/>
      <c r="F362" s="696"/>
      <c r="G362" s="696"/>
      <c r="H362" s="696"/>
      <c r="I362" s="1050" t="str">
        <f t="shared" si="77"/>
        <v/>
      </c>
      <c r="J362" s="696"/>
      <c r="K362" s="697"/>
      <c r="L362" s="696"/>
      <c r="M362" s="198" t="str">
        <f t="shared" si="78"/>
        <v/>
      </c>
      <c r="N362" s="369" t="str">
        <f t="shared" si="79"/>
        <v/>
      </c>
      <c r="O362" s="183" t="str">
        <f t="shared" si="80"/>
        <v/>
      </c>
      <c r="P362" s="199" t="str">
        <f t="shared" si="81"/>
        <v/>
      </c>
      <c r="Q362" s="199" t="str">
        <f>IF(B362="","",IFERROR(IF('עלויות כח אדם (6)'!J362&gt;=VLOOKUP(I362,'סיווג התפקידים והעלויות'!$B$23:$C$32,2,0),"תקין","לא תקין"),""))</f>
        <v/>
      </c>
      <c r="R362" s="199" t="str">
        <f t="shared" si="82"/>
        <v/>
      </c>
      <c r="S362" s="199" t="str">
        <f t="shared" si="83"/>
        <v/>
      </c>
      <c r="T362" s="199" t="str">
        <f t="shared" si="91"/>
        <v/>
      </c>
      <c r="U362" s="199" t="str">
        <f t="shared" si="84"/>
        <v/>
      </c>
      <c r="V362" s="989"/>
      <c r="X362" s="374" t="str">
        <f t="shared" si="85"/>
        <v/>
      </c>
      <c r="Y362" s="375" t="str">
        <f t="shared" si="86"/>
        <v/>
      </c>
      <c r="Z362" s="374" t="str">
        <f t="shared" si="87"/>
        <v/>
      </c>
      <c r="AA362" s="374" t="b">
        <f t="shared" si="88"/>
        <v>1</v>
      </c>
      <c r="AB362" s="374">
        <f>COUNTIFS(B:B,B362,H:H,'סיווג התפקידים והעלויות'!$C$2)</f>
        <v>0</v>
      </c>
      <c r="AC362" s="374">
        <f>COUNTIFS(B:B,B362,H:H,'סיווג התפקידים והעלויות'!$D$2)</f>
        <v>0</v>
      </c>
      <c r="AD362" s="374" t="str">
        <f>IF(OR(AND(H362='סיווג התפקידים והעלויות'!$A$2,I362='סיווג התפקידים והעלויות'!$A$3),'עלויות כח אדם (6)'!H362='סיווג התפקידים והעלויות'!$C$2,'עלויות כח אדם (6)'!H362='סיווג התפקידים והעלויות'!$D$2),IF('עלויות כח אדם (6)'!J362&lt;75,"לא תקין","תקין"),"")</f>
        <v/>
      </c>
      <c r="AE362" s="374" t="str">
        <f t="shared" si="89"/>
        <v/>
      </c>
      <c r="AF362" s="532" t="str">
        <f t="shared" si="90"/>
        <v/>
      </c>
    </row>
    <row r="363" spans="2:32" x14ac:dyDescent="0.25">
      <c r="B363" s="695"/>
      <c r="C363" s="197" t="str">
        <f>IF(B363&lt;&gt;"",IFERROR(VLOOKUP(B:B,'מצבת והרשמה (2)'!$C$20:$N$520,2,0)," ")," ")</f>
        <v xml:space="preserve"> </v>
      </c>
      <c r="D363" s="695"/>
      <c r="E363" s="696"/>
      <c r="F363" s="696"/>
      <c r="G363" s="696"/>
      <c r="H363" s="696"/>
      <c r="I363" s="1050" t="str">
        <f t="shared" si="77"/>
        <v/>
      </c>
      <c r="J363" s="696"/>
      <c r="K363" s="697"/>
      <c r="L363" s="696"/>
      <c r="M363" s="198" t="str">
        <f t="shared" si="78"/>
        <v/>
      </c>
      <c r="N363" s="369" t="str">
        <f t="shared" si="79"/>
        <v/>
      </c>
      <c r="O363" s="183" t="str">
        <f t="shared" si="80"/>
        <v/>
      </c>
      <c r="P363" s="199" t="str">
        <f t="shared" si="81"/>
        <v/>
      </c>
      <c r="Q363" s="199" t="str">
        <f>IF(B363="","",IFERROR(IF('עלויות כח אדם (6)'!J363&gt;=VLOOKUP(I363,'סיווג התפקידים והעלויות'!$B$23:$C$32,2,0),"תקין","לא תקין"),""))</f>
        <v/>
      </c>
      <c r="R363" s="199" t="str">
        <f t="shared" si="82"/>
        <v/>
      </c>
      <c r="S363" s="199" t="str">
        <f t="shared" si="83"/>
        <v/>
      </c>
      <c r="T363" s="199" t="str">
        <f t="shared" si="91"/>
        <v/>
      </c>
      <c r="U363" s="199" t="str">
        <f t="shared" si="84"/>
        <v/>
      </c>
      <c r="V363" s="989"/>
      <c r="X363" s="374" t="str">
        <f t="shared" si="85"/>
        <v/>
      </c>
      <c r="Y363" s="375" t="str">
        <f t="shared" si="86"/>
        <v/>
      </c>
      <c r="Z363" s="374" t="str">
        <f t="shared" si="87"/>
        <v/>
      </c>
      <c r="AA363" s="374" t="b">
        <f t="shared" si="88"/>
        <v>1</v>
      </c>
      <c r="AB363" s="374">
        <f>COUNTIFS(B:B,B363,H:H,'סיווג התפקידים והעלויות'!$C$2)</f>
        <v>0</v>
      </c>
      <c r="AC363" s="374">
        <f>COUNTIFS(B:B,B363,H:H,'סיווג התפקידים והעלויות'!$D$2)</f>
        <v>0</v>
      </c>
      <c r="AD363" s="374" t="str">
        <f>IF(OR(AND(H363='סיווג התפקידים והעלויות'!$A$2,I363='סיווג התפקידים והעלויות'!$A$3),'עלויות כח אדם (6)'!H363='סיווג התפקידים והעלויות'!$C$2,'עלויות כח אדם (6)'!H363='סיווג התפקידים והעלויות'!$D$2),IF('עלויות כח אדם (6)'!J363&lt;75,"לא תקין","תקין"),"")</f>
        <v/>
      </c>
      <c r="AE363" s="374" t="str">
        <f t="shared" si="89"/>
        <v/>
      </c>
      <c r="AF363" s="532" t="str">
        <f t="shared" si="90"/>
        <v/>
      </c>
    </row>
    <row r="364" spans="2:32" x14ac:dyDescent="0.25">
      <c r="B364" s="695"/>
      <c r="C364" s="197" t="str">
        <f>IF(B364&lt;&gt;"",IFERROR(VLOOKUP(B:B,'מצבת והרשמה (2)'!$C$20:$N$520,2,0)," ")," ")</f>
        <v xml:space="preserve"> </v>
      </c>
      <c r="D364" s="695"/>
      <c r="E364" s="696"/>
      <c r="F364" s="696"/>
      <c r="G364" s="696"/>
      <c r="H364" s="696"/>
      <c r="I364" s="1050" t="str">
        <f t="shared" si="77"/>
        <v/>
      </c>
      <c r="J364" s="696"/>
      <c r="K364" s="697"/>
      <c r="L364" s="696"/>
      <c r="M364" s="198" t="str">
        <f t="shared" si="78"/>
        <v/>
      </c>
      <c r="N364" s="369" t="str">
        <f t="shared" si="79"/>
        <v/>
      </c>
      <c r="O364" s="183" t="str">
        <f t="shared" si="80"/>
        <v/>
      </c>
      <c r="P364" s="199" t="str">
        <f t="shared" si="81"/>
        <v/>
      </c>
      <c r="Q364" s="199" t="str">
        <f>IF(B364="","",IFERROR(IF('עלויות כח אדם (6)'!J364&gt;=VLOOKUP(I364,'סיווג התפקידים והעלויות'!$B$23:$C$32,2,0),"תקין","לא תקין"),""))</f>
        <v/>
      </c>
      <c r="R364" s="199" t="str">
        <f t="shared" si="82"/>
        <v/>
      </c>
      <c r="S364" s="199" t="str">
        <f t="shared" si="83"/>
        <v/>
      </c>
      <c r="T364" s="199" t="str">
        <f t="shared" si="91"/>
        <v/>
      </c>
      <c r="U364" s="199" t="str">
        <f t="shared" si="84"/>
        <v/>
      </c>
      <c r="V364" s="989"/>
      <c r="X364" s="374" t="str">
        <f t="shared" si="85"/>
        <v/>
      </c>
      <c r="Y364" s="375" t="str">
        <f t="shared" si="86"/>
        <v/>
      </c>
      <c r="Z364" s="374" t="str">
        <f t="shared" si="87"/>
        <v/>
      </c>
      <c r="AA364" s="374" t="b">
        <f t="shared" si="88"/>
        <v>1</v>
      </c>
      <c r="AB364" s="374">
        <f>COUNTIFS(B:B,B364,H:H,'סיווג התפקידים והעלויות'!$C$2)</f>
        <v>0</v>
      </c>
      <c r="AC364" s="374">
        <f>COUNTIFS(B:B,B364,H:H,'סיווג התפקידים והעלויות'!$D$2)</f>
        <v>0</v>
      </c>
      <c r="AD364" s="374" t="str">
        <f>IF(OR(AND(H364='סיווג התפקידים והעלויות'!$A$2,I364='סיווג התפקידים והעלויות'!$A$3),'עלויות כח אדם (6)'!H364='סיווג התפקידים והעלויות'!$C$2,'עלויות כח אדם (6)'!H364='סיווג התפקידים והעלויות'!$D$2),IF('עלויות כח אדם (6)'!J364&lt;75,"לא תקין","תקין"),"")</f>
        <v/>
      </c>
      <c r="AE364" s="374" t="str">
        <f t="shared" si="89"/>
        <v/>
      </c>
      <c r="AF364" s="532" t="str">
        <f t="shared" si="90"/>
        <v/>
      </c>
    </row>
    <row r="365" spans="2:32" x14ac:dyDescent="0.25">
      <c r="B365" s="695"/>
      <c r="C365" s="197" t="str">
        <f>IF(B365&lt;&gt;"",IFERROR(VLOOKUP(B:B,'מצבת והרשמה (2)'!$C$20:$N$520,2,0)," ")," ")</f>
        <v xml:space="preserve"> </v>
      </c>
      <c r="D365" s="695"/>
      <c r="E365" s="696"/>
      <c r="F365" s="696"/>
      <c r="G365" s="696"/>
      <c r="H365" s="696"/>
      <c r="I365" s="1050" t="str">
        <f t="shared" si="77"/>
        <v/>
      </c>
      <c r="J365" s="696"/>
      <c r="K365" s="697"/>
      <c r="L365" s="696"/>
      <c r="M365" s="198" t="str">
        <f t="shared" si="78"/>
        <v/>
      </c>
      <c r="N365" s="369" t="str">
        <f t="shared" si="79"/>
        <v/>
      </c>
      <c r="O365" s="183" t="str">
        <f t="shared" si="80"/>
        <v/>
      </c>
      <c r="P365" s="199" t="str">
        <f t="shared" si="81"/>
        <v/>
      </c>
      <c r="Q365" s="199" t="str">
        <f>IF(B365="","",IFERROR(IF('עלויות כח אדם (6)'!J365&gt;=VLOOKUP(I365,'סיווג התפקידים והעלויות'!$B$23:$C$32,2,0),"תקין","לא תקין"),""))</f>
        <v/>
      </c>
      <c r="R365" s="199" t="str">
        <f t="shared" si="82"/>
        <v/>
      </c>
      <c r="S365" s="199" t="str">
        <f t="shared" si="83"/>
        <v/>
      </c>
      <c r="T365" s="199" t="str">
        <f t="shared" si="91"/>
        <v/>
      </c>
      <c r="U365" s="199" t="str">
        <f t="shared" si="84"/>
        <v/>
      </c>
      <c r="V365" s="989"/>
      <c r="X365" s="374" t="str">
        <f t="shared" si="85"/>
        <v/>
      </c>
      <c r="Y365" s="375" t="str">
        <f t="shared" si="86"/>
        <v/>
      </c>
      <c r="Z365" s="374" t="str">
        <f t="shared" si="87"/>
        <v/>
      </c>
      <c r="AA365" s="374" t="b">
        <f t="shared" si="88"/>
        <v>1</v>
      </c>
      <c r="AB365" s="374">
        <f>COUNTIFS(B:B,B365,H:H,'סיווג התפקידים והעלויות'!$C$2)</f>
        <v>0</v>
      </c>
      <c r="AC365" s="374">
        <f>COUNTIFS(B:B,B365,H:H,'סיווג התפקידים והעלויות'!$D$2)</f>
        <v>0</v>
      </c>
      <c r="AD365" s="374" t="str">
        <f>IF(OR(AND(H365='סיווג התפקידים והעלויות'!$A$2,I365='סיווג התפקידים והעלויות'!$A$3),'עלויות כח אדם (6)'!H365='סיווג התפקידים והעלויות'!$C$2,'עלויות כח אדם (6)'!H365='סיווג התפקידים והעלויות'!$D$2),IF('עלויות כח אדם (6)'!J365&lt;75,"לא תקין","תקין"),"")</f>
        <v/>
      </c>
      <c r="AE365" s="374" t="str">
        <f t="shared" si="89"/>
        <v/>
      </c>
      <c r="AF365" s="532" t="str">
        <f t="shared" si="90"/>
        <v/>
      </c>
    </row>
    <row r="366" spans="2:32" x14ac:dyDescent="0.25">
      <c r="B366" s="695"/>
      <c r="C366" s="197" t="str">
        <f>IF(B366&lt;&gt;"",IFERROR(VLOOKUP(B:B,'מצבת והרשמה (2)'!$C$20:$N$520,2,0)," ")," ")</f>
        <v xml:space="preserve"> </v>
      </c>
      <c r="D366" s="695"/>
      <c r="E366" s="696"/>
      <c r="F366" s="696"/>
      <c r="G366" s="696"/>
      <c r="H366" s="696"/>
      <c r="I366" s="1050" t="str">
        <f t="shared" si="77"/>
        <v/>
      </c>
      <c r="J366" s="696"/>
      <c r="K366" s="697"/>
      <c r="L366" s="696"/>
      <c r="M366" s="198" t="str">
        <f t="shared" si="78"/>
        <v/>
      </c>
      <c r="N366" s="369" t="str">
        <f t="shared" si="79"/>
        <v/>
      </c>
      <c r="O366" s="183" t="str">
        <f t="shared" si="80"/>
        <v/>
      </c>
      <c r="P366" s="199" t="str">
        <f t="shared" si="81"/>
        <v/>
      </c>
      <c r="Q366" s="199" t="str">
        <f>IF(B366="","",IFERROR(IF('עלויות כח אדם (6)'!J366&gt;=VLOOKUP(I366,'סיווג התפקידים והעלויות'!$B$23:$C$32,2,0),"תקין","לא תקין"),""))</f>
        <v/>
      </c>
      <c r="R366" s="199" t="str">
        <f t="shared" si="82"/>
        <v/>
      </c>
      <c r="S366" s="199" t="str">
        <f t="shared" si="83"/>
        <v/>
      </c>
      <c r="T366" s="199" t="str">
        <f t="shared" si="91"/>
        <v/>
      </c>
      <c r="U366" s="199" t="str">
        <f t="shared" si="84"/>
        <v/>
      </c>
      <c r="V366" s="989"/>
      <c r="X366" s="374" t="str">
        <f t="shared" si="85"/>
        <v/>
      </c>
      <c r="Y366" s="375" t="str">
        <f t="shared" si="86"/>
        <v/>
      </c>
      <c r="Z366" s="374" t="str">
        <f t="shared" si="87"/>
        <v/>
      </c>
      <c r="AA366" s="374" t="b">
        <f t="shared" si="88"/>
        <v>1</v>
      </c>
      <c r="AB366" s="374">
        <f>COUNTIFS(B:B,B366,H:H,'סיווג התפקידים והעלויות'!$C$2)</f>
        <v>0</v>
      </c>
      <c r="AC366" s="374">
        <f>COUNTIFS(B:B,B366,H:H,'סיווג התפקידים והעלויות'!$D$2)</f>
        <v>0</v>
      </c>
      <c r="AD366" s="374" t="str">
        <f>IF(OR(AND(H366='סיווג התפקידים והעלויות'!$A$2,I366='סיווג התפקידים והעלויות'!$A$3),'עלויות כח אדם (6)'!H366='סיווג התפקידים והעלויות'!$C$2,'עלויות כח אדם (6)'!H366='סיווג התפקידים והעלויות'!$D$2),IF('עלויות כח אדם (6)'!J366&lt;75,"לא תקין","תקין"),"")</f>
        <v/>
      </c>
      <c r="AE366" s="374" t="str">
        <f t="shared" si="89"/>
        <v/>
      </c>
      <c r="AF366" s="532" t="str">
        <f t="shared" si="90"/>
        <v/>
      </c>
    </row>
    <row r="367" spans="2:32" x14ac:dyDescent="0.25">
      <c r="B367" s="695"/>
      <c r="C367" s="197" t="str">
        <f>IF(B367&lt;&gt;"",IFERROR(VLOOKUP(B:B,'מצבת והרשמה (2)'!$C$20:$N$520,2,0)," ")," ")</f>
        <v xml:space="preserve"> </v>
      </c>
      <c r="D367" s="695"/>
      <c r="E367" s="696"/>
      <c r="F367" s="696"/>
      <c r="G367" s="696"/>
      <c r="H367" s="696"/>
      <c r="I367" s="1050" t="str">
        <f t="shared" si="77"/>
        <v/>
      </c>
      <c r="J367" s="696"/>
      <c r="K367" s="697"/>
      <c r="L367" s="696"/>
      <c r="M367" s="198" t="str">
        <f t="shared" si="78"/>
        <v/>
      </c>
      <c r="N367" s="369" t="str">
        <f t="shared" si="79"/>
        <v/>
      </c>
      <c r="O367" s="183" t="str">
        <f t="shared" si="80"/>
        <v/>
      </c>
      <c r="P367" s="199" t="str">
        <f t="shared" si="81"/>
        <v/>
      </c>
      <c r="Q367" s="199" t="str">
        <f>IF(B367="","",IFERROR(IF('עלויות כח אדם (6)'!J367&gt;=VLOOKUP(I367,'סיווג התפקידים והעלויות'!$B$23:$C$32,2,0),"תקין","לא תקין"),""))</f>
        <v/>
      </c>
      <c r="R367" s="199" t="str">
        <f t="shared" si="82"/>
        <v/>
      </c>
      <c r="S367" s="199" t="str">
        <f t="shared" si="83"/>
        <v/>
      </c>
      <c r="T367" s="199" t="str">
        <f t="shared" si="91"/>
        <v/>
      </c>
      <c r="U367" s="199" t="str">
        <f t="shared" si="84"/>
        <v/>
      </c>
      <c r="V367" s="989"/>
      <c r="X367" s="374" t="str">
        <f t="shared" si="85"/>
        <v/>
      </c>
      <c r="Y367" s="375" t="str">
        <f t="shared" si="86"/>
        <v/>
      </c>
      <c r="Z367" s="374" t="str">
        <f t="shared" si="87"/>
        <v/>
      </c>
      <c r="AA367" s="374" t="b">
        <f t="shared" si="88"/>
        <v>1</v>
      </c>
      <c r="AB367" s="374">
        <f>COUNTIFS(B:B,B367,H:H,'סיווג התפקידים והעלויות'!$C$2)</f>
        <v>0</v>
      </c>
      <c r="AC367" s="374">
        <f>COUNTIFS(B:B,B367,H:H,'סיווג התפקידים והעלויות'!$D$2)</f>
        <v>0</v>
      </c>
      <c r="AD367" s="374" t="str">
        <f>IF(OR(AND(H367='סיווג התפקידים והעלויות'!$A$2,I367='סיווג התפקידים והעלויות'!$A$3),'עלויות כח אדם (6)'!H367='סיווג התפקידים והעלויות'!$C$2,'עלויות כח אדם (6)'!H367='סיווג התפקידים והעלויות'!$D$2),IF('עלויות כח אדם (6)'!J367&lt;75,"לא תקין","תקין"),"")</f>
        <v/>
      </c>
      <c r="AE367" s="374" t="str">
        <f t="shared" si="89"/>
        <v/>
      </c>
      <c r="AF367" s="532" t="str">
        <f t="shared" si="90"/>
        <v/>
      </c>
    </row>
    <row r="368" spans="2:32" x14ac:dyDescent="0.25">
      <c r="B368" s="695"/>
      <c r="C368" s="197" t="str">
        <f>IF(B368&lt;&gt;"",IFERROR(VLOOKUP(B:B,'מצבת והרשמה (2)'!$C$20:$N$520,2,0)," ")," ")</f>
        <v xml:space="preserve"> </v>
      </c>
      <c r="D368" s="695"/>
      <c r="E368" s="696"/>
      <c r="F368" s="696"/>
      <c r="G368" s="696"/>
      <c r="H368" s="696"/>
      <c r="I368" s="1050" t="str">
        <f t="shared" si="77"/>
        <v/>
      </c>
      <c r="J368" s="696"/>
      <c r="K368" s="697"/>
      <c r="L368" s="696"/>
      <c r="M368" s="198" t="str">
        <f t="shared" si="78"/>
        <v/>
      </c>
      <c r="N368" s="369" t="str">
        <f t="shared" si="79"/>
        <v/>
      </c>
      <c r="O368" s="183" t="str">
        <f t="shared" si="80"/>
        <v/>
      </c>
      <c r="P368" s="199" t="str">
        <f t="shared" si="81"/>
        <v/>
      </c>
      <c r="Q368" s="199" t="str">
        <f>IF(B368="","",IFERROR(IF('עלויות כח אדם (6)'!J368&gt;=VLOOKUP(I368,'סיווג התפקידים והעלויות'!$B$23:$C$32,2,0),"תקין","לא תקין"),""))</f>
        <v/>
      </c>
      <c r="R368" s="199" t="str">
        <f t="shared" si="82"/>
        <v/>
      </c>
      <c r="S368" s="199" t="str">
        <f t="shared" si="83"/>
        <v/>
      </c>
      <c r="T368" s="199" t="str">
        <f t="shared" si="91"/>
        <v/>
      </c>
      <c r="U368" s="199" t="str">
        <f t="shared" si="84"/>
        <v/>
      </c>
      <c r="V368" s="989"/>
      <c r="X368" s="374" t="str">
        <f t="shared" si="85"/>
        <v/>
      </c>
      <c r="Y368" s="375" t="str">
        <f t="shared" si="86"/>
        <v/>
      </c>
      <c r="Z368" s="374" t="str">
        <f t="shared" si="87"/>
        <v/>
      </c>
      <c r="AA368" s="374" t="b">
        <f t="shared" si="88"/>
        <v>1</v>
      </c>
      <c r="AB368" s="374">
        <f>COUNTIFS(B:B,B368,H:H,'סיווג התפקידים והעלויות'!$C$2)</f>
        <v>0</v>
      </c>
      <c r="AC368" s="374">
        <f>COUNTIFS(B:B,B368,H:H,'סיווג התפקידים והעלויות'!$D$2)</f>
        <v>0</v>
      </c>
      <c r="AD368" s="374" t="str">
        <f>IF(OR(AND(H368='סיווג התפקידים והעלויות'!$A$2,I368='סיווג התפקידים והעלויות'!$A$3),'עלויות כח אדם (6)'!H368='סיווג התפקידים והעלויות'!$C$2,'עלויות כח אדם (6)'!H368='סיווג התפקידים והעלויות'!$D$2),IF('עלויות כח אדם (6)'!J368&lt;75,"לא תקין","תקין"),"")</f>
        <v/>
      </c>
      <c r="AE368" s="374" t="str">
        <f t="shared" si="89"/>
        <v/>
      </c>
      <c r="AF368" s="532" t="str">
        <f t="shared" si="90"/>
        <v/>
      </c>
    </row>
    <row r="369" spans="2:32" x14ac:dyDescent="0.25">
      <c r="B369" s="695"/>
      <c r="C369" s="197" t="str">
        <f>IF(B369&lt;&gt;"",IFERROR(VLOOKUP(B:B,'מצבת והרשמה (2)'!$C$20:$N$520,2,0)," ")," ")</f>
        <v xml:space="preserve"> </v>
      </c>
      <c r="D369" s="695"/>
      <c r="E369" s="696"/>
      <c r="F369" s="696"/>
      <c r="G369" s="696"/>
      <c r="H369" s="696"/>
      <c r="I369" s="1050" t="str">
        <f t="shared" si="77"/>
        <v/>
      </c>
      <c r="J369" s="696"/>
      <c r="K369" s="697"/>
      <c r="L369" s="696"/>
      <c r="M369" s="198" t="str">
        <f t="shared" si="78"/>
        <v/>
      </c>
      <c r="N369" s="369" t="str">
        <f t="shared" si="79"/>
        <v/>
      </c>
      <c r="O369" s="183" t="str">
        <f t="shared" si="80"/>
        <v/>
      </c>
      <c r="P369" s="199" t="str">
        <f t="shared" si="81"/>
        <v/>
      </c>
      <c r="Q369" s="199" t="str">
        <f>IF(B369="","",IFERROR(IF('עלויות כח אדם (6)'!J369&gt;=VLOOKUP(I369,'סיווג התפקידים והעלויות'!$B$23:$C$32,2,0),"תקין","לא תקין"),""))</f>
        <v/>
      </c>
      <c r="R369" s="199" t="str">
        <f t="shared" si="82"/>
        <v/>
      </c>
      <c r="S369" s="199" t="str">
        <f t="shared" si="83"/>
        <v/>
      </c>
      <c r="T369" s="199" t="str">
        <f t="shared" si="91"/>
        <v/>
      </c>
      <c r="U369" s="199" t="str">
        <f t="shared" si="84"/>
        <v/>
      </c>
      <c r="V369" s="989"/>
      <c r="X369" s="374" t="str">
        <f t="shared" si="85"/>
        <v/>
      </c>
      <c r="Y369" s="375" t="str">
        <f t="shared" si="86"/>
        <v/>
      </c>
      <c r="Z369" s="374" t="str">
        <f t="shared" si="87"/>
        <v/>
      </c>
      <c r="AA369" s="374" t="b">
        <f t="shared" si="88"/>
        <v>1</v>
      </c>
      <c r="AB369" s="374">
        <f>COUNTIFS(B:B,B369,H:H,'סיווג התפקידים והעלויות'!$C$2)</f>
        <v>0</v>
      </c>
      <c r="AC369" s="374">
        <f>COUNTIFS(B:B,B369,H:H,'סיווג התפקידים והעלויות'!$D$2)</f>
        <v>0</v>
      </c>
      <c r="AD369" s="374" t="str">
        <f>IF(OR(AND(H369='סיווג התפקידים והעלויות'!$A$2,I369='סיווג התפקידים והעלויות'!$A$3),'עלויות כח אדם (6)'!H369='סיווג התפקידים והעלויות'!$C$2,'עלויות כח אדם (6)'!H369='סיווג התפקידים והעלויות'!$D$2),IF('עלויות כח אדם (6)'!J369&lt;75,"לא תקין","תקין"),"")</f>
        <v/>
      </c>
      <c r="AE369" s="374" t="str">
        <f t="shared" si="89"/>
        <v/>
      </c>
      <c r="AF369" s="532" t="str">
        <f t="shared" si="90"/>
        <v/>
      </c>
    </row>
    <row r="370" spans="2:32" x14ac:dyDescent="0.25">
      <c r="B370" s="695"/>
      <c r="C370" s="197" t="str">
        <f>IF(B370&lt;&gt;"",IFERROR(VLOOKUP(B:B,'מצבת והרשמה (2)'!$C$20:$N$520,2,0)," ")," ")</f>
        <v xml:space="preserve"> </v>
      </c>
      <c r="D370" s="695"/>
      <c r="E370" s="696"/>
      <c r="F370" s="696"/>
      <c r="G370" s="696"/>
      <c r="H370" s="696"/>
      <c r="I370" s="1050" t="str">
        <f t="shared" si="77"/>
        <v/>
      </c>
      <c r="J370" s="696"/>
      <c r="K370" s="697"/>
      <c r="L370" s="696"/>
      <c r="M370" s="198" t="str">
        <f t="shared" si="78"/>
        <v/>
      </c>
      <c r="N370" s="369" t="str">
        <f t="shared" si="79"/>
        <v/>
      </c>
      <c r="O370" s="183" t="str">
        <f t="shared" si="80"/>
        <v/>
      </c>
      <c r="P370" s="199" t="str">
        <f t="shared" si="81"/>
        <v/>
      </c>
      <c r="Q370" s="199" t="str">
        <f>IF(B370="","",IFERROR(IF('עלויות כח אדם (6)'!J370&gt;=VLOOKUP(I370,'סיווג התפקידים והעלויות'!$B$23:$C$32,2,0),"תקין","לא תקין"),""))</f>
        <v/>
      </c>
      <c r="R370" s="199" t="str">
        <f t="shared" si="82"/>
        <v/>
      </c>
      <c r="S370" s="199" t="str">
        <f t="shared" si="83"/>
        <v/>
      </c>
      <c r="T370" s="199" t="str">
        <f t="shared" si="91"/>
        <v/>
      </c>
      <c r="U370" s="199" t="str">
        <f t="shared" si="84"/>
        <v/>
      </c>
      <c r="V370" s="989"/>
      <c r="X370" s="374" t="str">
        <f t="shared" si="85"/>
        <v/>
      </c>
      <c r="Y370" s="375" t="str">
        <f t="shared" si="86"/>
        <v/>
      </c>
      <c r="Z370" s="374" t="str">
        <f t="shared" si="87"/>
        <v/>
      </c>
      <c r="AA370" s="374" t="b">
        <f t="shared" si="88"/>
        <v>1</v>
      </c>
      <c r="AB370" s="374">
        <f>COUNTIFS(B:B,B370,H:H,'סיווג התפקידים והעלויות'!$C$2)</f>
        <v>0</v>
      </c>
      <c r="AC370" s="374">
        <f>COUNTIFS(B:B,B370,H:H,'סיווג התפקידים והעלויות'!$D$2)</f>
        <v>0</v>
      </c>
      <c r="AD370" s="374" t="str">
        <f>IF(OR(AND(H370='סיווג התפקידים והעלויות'!$A$2,I370='סיווג התפקידים והעלויות'!$A$3),'עלויות כח אדם (6)'!H370='סיווג התפקידים והעלויות'!$C$2,'עלויות כח אדם (6)'!H370='סיווג התפקידים והעלויות'!$D$2),IF('עלויות כח אדם (6)'!J370&lt;75,"לא תקין","תקין"),"")</f>
        <v/>
      </c>
      <c r="AE370" s="374" t="str">
        <f t="shared" si="89"/>
        <v/>
      </c>
      <c r="AF370" s="532" t="str">
        <f t="shared" si="90"/>
        <v/>
      </c>
    </row>
    <row r="371" spans="2:32" x14ac:dyDescent="0.25">
      <c r="B371" s="695"/>
      <c r="C371" s="197" t="str">
        <f>IF(B371&lt;&gt;"",IFERROR(VLOOKUP(B:B,'מצבת והרשמה (2)'!$C$20:$N$520,2,0)," ")," ")</f>
        <v xml:space="preserve"> </v>
      </c>
      <c r="D371" s="695"/>
      <c r="E371" s="696"/>
      <c r="F371" s="696"/>
      <c r="G371" s="696"/>
      <c r="H371" s="696"/>
      <c r="I371" s="1050" t="str">
        <f t="shared" si="77"/>
        <v/>
      </c>
      <c r="J371" s="696"/>
      <c r="K371" s="697"/>
      <c r="L371" s="696"/>
      <c r="M371" s="198" t="str">
        <f t="shared" si="78"/>
        <v/>
      </c>
      <c r="N371" s="369" t="str">
        <f t="shared" si="79"/>
        <v/>
      </c>
      <c r="O371" s="183" t="str">
        <f t="shared" si="80"/>
        <v/>
      </c>
      <c r="P371" s="199" t="str">
        <f t="shared" si="81"/>
        <v/>
      </c>
      <c r="Q371" s="199" t="str">
        <f>IF(B371="","",IFERROR(IF('עלויות כח אדם (6)'!J371&gt;=VLOOKUP(I371,'סיווג התפקידים והעלויות'!$B$23:$C$32,2,0),"תקין","לא תקין"),""))</f>
        <v/>
      </c>
      <c r="R371" s="199" t="str">
        <f t="shared" si="82"/>
        <v/>
      </c>
      <c r="S371" s="199" t="str">
        <f t="shared" si="83"/>
        <v/>
      </c>
      <c r="T371" s="199" t="str">
        <f t="shared" si="91"/>
        <v/>
      </c>
      <c r="U371" s="199" t="str">
        <f t="shared" si="84"/>
        <v/>
      </c>
      <c r="V371" s="989"/>
      <c r="X371" s="374" t="str">
        <f t="shared" si="85"/>
        <v/>
      </c>
      <c r="Y371" s="375" t="str">
        <f t="shared" si="86"/>
        <v/>
      </c>
      <c r="Z371" s="374" t="str">
        <f t="shared" si="87"/>
        <v/>
      </c>
      <c r="AA371" s="374" t="b">
        <f t="shared" si="88"/>
        <v>1</v>
      </c>
      <c r="AB371" s="374">
        <f>COUNTIFS(B:B,B371,H:H,'סיווג התפקידים והעלויות'!$C$2)</f>
        <v>0</v>
      </c>
      <c r="AC371" s="374">
        <f>COUNTIFS(B:B,B371,H:H,'סיווג התפקידים והעלויות'!$D$2)</f>
        <v>0</v>
      </c>
      <c r="AD371" s="374" t="str">
        <f>IF(OR(AND(H371='סיווג התפקידים והעלויות'!$A$2,I371='סיווג התפקידים והעלויות'!$A$3),'עלויות כח אדם (6)'!H371='סיווג התפקידים והעלויות'!$C$2,'עלויות כח אדם (6)'!H371='סיווג התפקידים והעלויות'!$D$2),IF('עלויות כח אדם (6)'!J371&lt;75,"לא תקין","תקין"),"")</f>
        <v/>
      </c>
      <c r="AE371" s="374" t="str">
        <f t="shared" si="89"/>
        <v/>
      </c>
      <c r="AF371" s="532" t="str">
        <f t="shared" si="90"/>
        <v/>
      </c>
    </row>
    <row r="372" spans="2:32" x14ac:dyDescent="0.25">
      <c r="B372" s="695"/>
      <c r="C372" s="197" t="str">
        <f>IF(B372&lt;&gt;"",IFERROR(VLOOKUP(B:B,'מצבת והרשמה (2)'!$C$20:$N$520,2,0)," ")," ")</f>
        <v xml:space="preserve"> </v>
      </c>
      <c r="D372" s="695"/>
      <c r="E372" s="696"/>
      <c r="F372" s="696"/>
      <c r="G372" s="696"/>
      <c r="H372" s="696"/>
      <c r="I372" s="1050" t="str">
        <f t="shared" si="77"/>
        <v/>
      </c>
      <c r="J372" s="696"/>
      <c r="K372" s="697"/>
      <c r="L372" s="696"/>
      <c r="M372" s="198" t="str">
        <f t="shared" si="78"/>
        <v/>
      </c>
      <c r="N372" s="369" t="str">
        <f t="shared" si="79"/>
        <v/>
      </c>
      <c r="O372" s="183" t="str">
        <f t="shared" si="80"/>
        <v/>
      </c>
      <c r="P372" s="199" t="str">
        <f t="shared" si="81"/>
        <v/>
      </c>
      <c r="Q372" s="199" t="str">
        <f>IF(B372="","",IFERROR(IF('עלויות כח אדם (6)'!J372&gt;=VLOOKUP(I372,'סיווג התפקידים והעלויות'!$B$23:$C$32,2,0),"תקין","לא תקין"),""))</f>
        <v/>
      </c>
      <c r="R372" s="199" t="str">
        <f t="shared" si="82"/>
        <v/>
      </c>
      <c r="S372" s="199" t="str">
        <f t="shared" si="83"/>
        <v/>
      </c>
      <c r="T372" s="199" t="str">
        <f t="shared" si="91"/>
        <v/>
      </c>
      <c r="U372" s="199" t="str">
        <f t="shared" si="84"/>
        <v/>
      </c>
      <c r="V372" s="989"/>
      <c r="X372" s="374" t="str">
        <f t="shared" si="85"/>
        <v/>
      </c>
      <c r="Y372" s="375" t="str">
        <f t="shared" si="86"/>
        <v/>
      </c>
      <c r="Z372" s="374" t="str">
        <f t="shared" si="87"/>
        <v/>
      </c>
      <c r="AA372" s="374" t="b">
        <f t="shared" si="88"/>
        <v>1</v>
      </c>
      <c r="AB372" s="374">
        <f>COUNTIFS(B:B,B372,H:H,'סיווג התפקידים והעלויות'!$C$2)</f>
        <v>0</v>
      </c>
      <c r="AC372" s="374">
        <f>COUNTIFS(B:B,B372,H:H,'סיווג התפקידים והעלויות'!$D$2)</f>
        <v>0</v>
      </c>
      <c r="AD372" s="374" t="str">
        <f>IF(OR(AND(H372='סיווג התפקידים והעלויות'!$A$2,I372='סיווג התפקידים והעלויות'!$A$3),'עלויות כח אדם (6)'!H372='סיווג התפקידים והעלויות'!$C$2,'עלויות כח אדם (6)'!H372='סיווג התפקידים והעלויות'!$D$2),IF('עלויות כח אדם (6)'!J372&lt;75,"לא תקין","תקין"),"")</f>
        <v/>
      </c>
      <c r="AE372" s="374" t="str">
        <f t="shared" si="89"/>
        <v/>
      </c>
      <c r="AF372" s="532" t="str">
        <f t="shared" si="90"/>
        <v/>
      </c>
    </row>
    <row r="373" spans="2:32" x14ac:dyDescent="0.25">
      <c r="B373" s="695"/>
      <c r="C373" s="197" t="str">
        <f>IF(B373&lt;&gt;"",IFERROR(VLOOKUP(B:B,'מצבת והרשמה (2)'!$C$20:$N$520,2,0)," ")," ")</f>
        <v xml:space="preserve"> </v>
      </c>
      <c r="D373" s="695"/>
      <c r="E373" s="696"/>
      <c r="F373" s="696"/>
      <c r="G373" s="696"/>
      <c r="H373" s="696"/>
      <c r="I373" s="1050" t="str">
        <f t="shared" si="77"/>
        <v/>
      </c>
      <c r="J373" s="696"/>
      <c r="K373" s="697"/>
      <c r="L373" s="696"/>
      <c r="M373" s="198" t="str">
        <f t="shared" si="78"/>
        <v/>
      </c>
      <c r="N373" s="369" t="str">
        <f t="shared" si="79"/>
        <v/>
      </c>
      <c r="O373" s="183" t="str">
        <f t="shared" si="80"/>
        <v/>
      </c>
      <c r="P373" s="199" t="str">
        <f t="shared" si="81"/>
        <v/>
      </c>
      <c r="Q373" s="199" t="str">
        <f>IF(B373="","",IFERROR(IF('עלויות כח אדם (6)'!J373&gt;=VLOOKUP(I373,'סיווג התפקידים והעלויות'!$B$23:$C$32,2,0),"תקין","לא תקין"),""))</f>
        <v/>
      </c>
      <c r="R373" s="199" t="str">
        <f t="shared" si="82"/>
        <v/>
      </c>
      <c r="S373" s="199" t="str">
        <f t="shared" si="83"/>
        <v/>
      </c>
      <c r="T373" s="199" t="str">
        <f t="shared" si="91"/>
        <v/>
      </c>
      <c r="U373" s="199" t="str">
        <f t="shared" si="84"/>
        <v/>
      </c>
      <c r="V373" s="989"/>
      <c r="X373" s="374" t="str">
        <f t="shared" si="85"/>
        <v/>
      </c>
      <c r="Y373" s="375" t="str">
        <f t="shared" si="86"/>
        <v/>
      </c>
      <c r="Z373" s="374" t="str">
        <f t="shared" si="87"/>
        <v/>
      </c>
      <c r="AA373" s="374" t="b">
        <f t="shared" si="88"/>
        <v>1</v>
      </c>
      <c r="AB373" s="374">
        <f>COUNTIFS(B:B,B373,H:H,'סיווג התפקידים והעלויות'!$C$2)</f>
        <v>0</v>
      </c>
      <c r="AC373" s="374">
        <f>COUNTIFS(B:B,B373,H:H,'סיווג התפקידים והעלויות'!$D$2)</f>
        <v>0</v>
      </c>
      <c r="AD373" s="374" t="str">
        <f>IF(OR(AND(H373='סיווג התפקידים והעלויות'!$A$2,I373='סיווג התפקידים והעלויות'!$A$3),'עלויות כח אדם (6)'!H373='סיווג התפקידים והעלויות'!$C$2,'עלויות כח אדם (6)'!H373='סיווג התפקידים והעלויות'!$D$2),IF('עלויות כח אדם (6)'!J373&lt;75,"לא תקין","תקין"),"")</f>
        <v/>
      </c>
      <c r="AE373" s="374" t="str">
        <f t="shared" si="89"/>
        <v/>
      </c>
      <c r="AF373" s="532" t="str">
        <f t="shared" si="90"/>
        <v/>
      </c>
    </row>
    <row r="374" spans="2:32" x14ac:dyDescent="0.25">
      <c r="B374" s="695"/>
      <c r="C374" s="197" t="str">
        <f>IF(B374&lt;&gt;"",IFERROR(VLOOKUP(B:B,'מצבת והרשמה (2)'!$C$20:$N$520,2,0)," ")," ")</f>
        <v xml:space="preserve"> </v>
      </c>
      <c r="D374" s="695"/>
      <c r="E374" s="696"/>
      <c r="F374" s="696"/>
      <c r="G374" s="696"/>
      <c r="H374" s="696"/>
      <c r="I374" s="1050" t="str">
        <f t="shared" si="77"/>
        <v/>
      </c>
      <c r="J374" s="696"/>
      <c r="K374" s="697"/>
      <c r="L374" s="696"/>
      <c r="M374" s="198" t="str">
        <f t="shared" si="78"/>
        <v/>
      </c>
      <c r="N374" s="369" t="str">
        <f t="shared" si="79"/>
        <v/>
      </c>
      <c r="O374" s="183" t="str">
        <f t="shared" si="80"/>
        <v/>
      </c>
      <c r="P374" s="199" t="str">
        <f t="shared" si="81"/>
        <v/>
      </c>
      <c r="Q374" s="199" t="str">
        <f>IF(B374="","",IFERROR(IF('עלויות כח אדם (6)'!J374&gt;=VLOOKUP(I374,'סיווג התפקידים והעלויות'!$B$23:$C$32,2,0),"תקין","לא תקין"),""))</f>
        <v/>
      </c>
      <c r="R374" s="199" t="str">
        <f t="shared" si="82"/>
        <v/>
      </c>
      <c r="S374" s="199" t="str">
        <f t="shared" si="83"/>
        <v/>
      </c>
      <c r="T374" s="199" t="str">
        <f t="shared" si="91"/>
        <v/>
      </c>
      <c r="U374" s="199" t="str">
        <f t="shared" si="84"/>
        <v/>
      </c>
      <c r="V374" s="989"/>
      <c r="X374" s="374" t="str">
        <f t="shared" si="85"/>
        <v/>
      </c>
      <c r="Y374" s="375" t="str">
        <f t="shared" si="86"/>
        <v/>
      </c>
      <c r="Z374" s="374" t="str">
        <f t="shared" si="87"/>
        <v/>
      </c>
      <c r="AA374" s="374" t="b">
        <f t="shared" si="88"/>
        <v>1</v>
      </c>
      <c r="AB374" s="374">
        <f>COUNTIFS(B:B,B374,H:H,'סיווג התפקידים והעלויות'!$C$2)</f>
        <v>0</v>
      </c>
      <c r="AC374" s="374">
        <f>COUNTIFS(B:B,B374,H:H,'סיווג התפקידים והעלויות'!$D$2)</f>
        <v>0</v>
      </c>
      <c r="AD374" s="374" t="str">
        <f>IF(OR(AND(H374='סיווג התפקידים והעלויות'!$A$2,I374='סיווג התפקידים והעלויות'!$A$3),'עלויות כח אדם (6)'!H374='סיווג התפקידים והעלויות'!$C$2,'עלויות כח אדם (6)'!H374='סיווג התפקידים והעלויות'!$D$2),IF('עלויות כח אדם (6)'!J374&lt;75,"לא תקין","תקין"),"")</f>
        <v/>
      </c>
      <c r="AE374" s="374" t="str">
        <f t="shared" si="89"/>
        <v/>
      </c>
      <c r="AF374" s="532" t="str">
        <f t="shared" si="90"/>
        <v/>
      </c>
    </row>
    <row r="375" spans="2:32" x14ac:dyDescent="0.25">
      <c r="B375" s="695"/>
      <c r="C375" s="197" t="str">
        <f>IF(B375&lt;&gt;"",IFERROR(VLOOKUP(B:B,'מצבת והרשמה (2)'!$C$20:$N$520,2,0)," ")," ")</f>
        <v xml:space="preserve"> </v>
      </c>
      <c r="D375" s="695"/>
      <c r="E375" s="696"/>
      <c r="F375" s="696"/>
      <c r="G375" s="696"/>
      <c r="H375" s="696"/>
      <c r="I375" s="1050" t="str">
        <f t="shared" si="77"/>
        <v/>
      </c>
      <c r="J375" s="696"/>
      <c r="K375" s="697"/>
      <c r="L375" s="696"/>
      <c r="M375" s="198" t="str">
        <f t="shared" si="78"/>
        <v/>
      </c>
      <c r="N375" s="369" t="str">
        <f t="shared" si="79"/>
        <v/>
      </c>
      <c r="O375" s="183" t="str">
        <f t="shared" si="80"/>
        <v/>
      </c>
      <c r="P375" s="199" t="str">
        <f t="shared" si="81"/>
        <v/>
      </c>
      <c r="Q375" s="199" t="str">
        <f>IF(B375="","",IFERROR(IF('עלויות כח אדם (6)'!J375&gt;=VLOOKUP(I375,'סיווג התפקידים והעלויות'!$B$23:$C$32,2,0),"תקין","לא תקין"),""))</f>
        <v/>
      </c>
      <c r="R375" s="199" t="str">
        <f t="shared" si="82"/>
        <v/>
      </c>
      <c r="S375" s="199" t="str">
        <f t="shared" si="83"/>
        <v/>
      </c>
      <c r="T375" s="199" t="str">
        <f t="shared" si="91"/>
        <v/>
      </c>
      <c r="U375" s="199" t="str">
        <f t="shared" si="84"/>
        <v/>
      </c>
      <c r="V375" s="989"/>
      <c r="X375" s="374" t="str">
        <f t="shared" si="85"/>
        <v/>
      </c>
      <c r="Y375" s="375" t="str">
        <f t="shared" si="86"/>
        <v/>
      </c>
      <c r="Z375" s="374" t="str">
        <f t="shared" si="87"/>
        <v/>
      </c>
      <c r="AA375" s="374" t="b">
        <f t="shared" si="88"/>
        <v>1</v>
      </c>
      <c r="AB375" s="374">
        <f>COUNTIFS(B:B,B375,H:H,'סיווג התפקידים והעלויות'!$C$2)</f>
        <v>0</v>
      </c>
      <c r="AC375" s="374">
        <f>COUNTIFS(B:B,B375,H:H,'סיווג התפקידים והעלויות'!$D$2)</f>
        <v>0</v>
      </c>
      <c r="AD375" s="374" t="str">
        <f>IF(OR(AND(H375='סיווג התפקידים והעלויות'!$A$2,I375='סיווג התפקידים והעלויות'!$A$3),'עלויות כח אדם (6)'!H375='סיווג התפקידים והעלויות'!$C$2,'עלויות כח אדם (6)'!H375='סיווג התפקידים והעלויות'!$D$2),IF('עלויות כח אדם (6)'!J375&lt;75,"לא תקין","תקין"),"")</f>
        <v/>
      </c>
      <c r="AE375" s="374" t="str">
        <f t="shared" si="89"/>
        <v/>
      </c>
      <c r="AF375" s="532" t="str">
        <f t="shared" si="90"/>
        <v/>
      </c>
    </row>
    <row r="376" spans="2:32" x14ac:dyDescent="0.25">
      <c r="B376" s="695"/>
      <c r="C376" s="197" t="str">
        <f>IF(B376&lt;&gt;"",IFERROR(VLOOKUP(B:B,'מצבת והרשמה (2)'!$C$20:$N$520,2,0)," ")," ")</f>
        <v xml:space="preserve"> </v>
      </c>
      <c r="D376" s="695"/>
      <c r="E376" s="696"/>
      <c r="F376" s="696"/>
      <c r="G376" s="696"/>
      <c r="H376" s="696"/>
      <c r="I376" s="1050" t="str">
        <f t="shared" si="77"/>
        <v/>
      </c>
      <c r="J376" s="696"/>
      <c r="K376" s="697"/>
      <c r="L376" s="696"/>
      <c r="M376" s="198" t="str">
        <f t="shared" si="78"/>
        <v/>
      </c>
      <c r="N376" s="369" t="str">
        <f t="shared" si="79"/>
        <v/>
      </c>
      <c r="O376" s="183" t="str">
        <f t="shared" si="80"/>
        <v/>
      </c>
      <c r="P376" s="199" t="str">
        <f t="shared" si="81"/>
        <v/>
      </c>
      <c r="Q376" s="199" t="str">
        <f>IF(B376="","",IFERROR(IF('עלויות כח אדם (6)'!J376&gt;=VLOOKUP(I376,'סיווג התפקידים והעלויות'!$B$23:$C$32,2,0),"תקין","לא תקין"),""))</f>
        <v/>
      </c>
      <c r="R376" s="199" t="str">
        <f t="shared" si="82"/>
        <v/>
      </c>
      <c r="S376" s="199" t="str">
        <f t="shared" si="83"/>
        <v/>
      </c>
      <c r="T376" s="199" t="str">
        <f t="shared" si="91"/>
        <v/>
      </c>
      <c r="U376" s="199" t="str">
        <f t="shared" si="84"/>
        <v/>
      </c>
      <c r="V376" s="989"/>
      <c r="X376" s="374" t="str">
        <f t="shared" si="85"/>
        <v/>
      </c>
      <c r="Y376" s="375" t="str">
        <f t="shared" si="86"/>
        <v/>
      </c>
      <c r="Z376" s="374" t="str">
        <f t="shared" si="87"/>
        <v/>
      </c>
      <c r="AA376" s="374" t="b">
        <f t="shared" si="88"/>
        <v>1</v>
      </c>
      <c r="AB376" s="374">
        <f>COUNTIFS(B:B,B376,H:H,'סיווג התפקידים והעלויות'!$C$2)</f>
        <v>0</v>
      </c>
      <c r="AC376" s="374">
        <f>COUNTIFS(B:B,B376,H:H,'סיווג התפקידים והעלויות'!$D$2)</f>
        <v>0</v>
      </c>
      <c r="AD376" s="374" t="str">
        <f>IF(OR(AND(H376='סיווג התפקידים והעלויות'!$A$2,I376='סיווג התפקידים והעלויות'!$A$3),'עלויות כח אדם (6)'!H376='סיווג התפקידים והעלויות'!$C$2,'עלויות כח אדם (6)'!H376='סיווג התפקידים והעלויות'!$D$2),IF('עלויות כח אדם (6)'!J376&lt;75,"לא תקין","תקין"),"")</f>
        <v/>
      </c>
      <c r="AE376" s="374" t="str">
        <f t="shared" si="89"/>
        <v/>
      </c>
      <c r="AF376" s="532" t="str">
        <f t="shared" si="90"/>
        <v/>
      </c>
    </row>
    <row r="377" spans="2:32" x14ac:dyDescent="0.25">
      <c r="B377" s="695"/>
      <c r="C377" s="197" t="str">
        <f>IF(B377&lt;&gt;"",IFERROR(VLOOKUP(B:B,'מצבת והרשמה (2)'!$C$20:$N$520,2,0)," ")," ")</f>
        <v xml:space="preserve"> </v>
      </c>
      <c r="D377" s="695"/>
      <c r="E377" s="696"/>
      <c r="F377" s="696"/>
      <c r="G377" s="696"/>
      <c r="H377" s="696"/>
      <c r="I377" s="1050" t="str">
        <f t="shared" si="77"/>
        <v/>
      </c>
      <c r="J377" s="696"/>
      <c r="K377" s="697"/>
      <c r="L377" s="696"/>
      <c r="M377" s="198" t="str">
        <f t="shared" si="78"/>
        <v/>
      </c>
      <c r="N377" s="369" t="str">
        <f t="shared" si="79"/>
        <v/>
      </c>
      <c r="O377" s="183" t="str">
        <f t="shared" si="80"/>
        <v/>
      </c>
      <c r="P377" s="199" t="str">
        <f t="shared" si="81"/>
        <v/>
      </c>
      <c r="Q377" s="199" t="str">
        <f>IF(B377="","",IFERROR(IF('עלויות כח אדם (6)'!J377&gt;=VLOOKUP(I377,'סיווג התפקידים והעלויות'!$B$23:$C$32,2,0),"תקין","לא תקין"),""))</f>
        <v/>
      </c>
      <c r="R377" s="199" t="str">
        <f t="shared" si="82"/>
        <v/>
      </c>
      <c r="S377" s="199" t="str">
        <f t="shared" si="83"/>
        <v/>
      </c>
      <c r="T377" s="199" t="str">
        <f t="shared" si="91"/>
        <v/>
      </c>
      <c r="U377" s="199" t="str">
        <f t="shared" si="84"/>
        <v/>
      </c>
      <c r="V377" s="989"/>
      <c r="X377" s="374" t="str">
        <f t="shared" si="85"/>
        <v/>
      </c>
      <c r="Y377" s="375" t="str">
        <f t="shared" si="86"/>
        <v/>
      </c>
      <c r="Z377" s="374" t="str">
        <f t="shared" si="87"/>
        <v/>
      </c>
      <c r="AA377" s="374" t="b">
        <f t="shared" si="88"/>
        <v>1</v>
      </c>
      <c r="AB377" s="374">
        <f>COUNTIFS(B:B,B377,H:H,'סיווג התפקידים והעלויות'!$C$2)</f>
        <v>0</v>
      </c>
      <c r="AC377" s="374">
        <f>COUNTIFS(B:B,B377,H:H,'סיווג התפקידים והעלויות'!$D$2)</f>
        <v>0</v>
      </c>
      <c r="AD377" s="374" t="str">
        <f>IF(OR(AND(H377='סיווג התפקידים והעלויות'!$A$2,I377='סיווג התפקידים והעלויות'!$A$3),'עלויות כח אדם (6)'!H377='סיווג התפקידים והעלויות'!$C$2,'עלויות כח אדם (6)'!H377='סיווג התפקידים והעלויות'!$D$2),IF('עלויות כח אדם (6)'!J377&lt;75,"לא תקין","תקין"),"")</f>
        <v/>
      </c>
      <c r="AE377" s="374" t="str">
        <f t="shared" si="89"/>
        <v/>
      </c>
      <c r="AF377" s="532" t="str">
        <f t="shared" si="90"/>
        <v/>
      </c>
    </row>
    <row r="378" spans="2:32" x14ac:dyDescent="0.25">
      <c r="B378" s="695"/>
      <c r="C378" s="197" t="str">
        <f>IF(B378&lt;&gt;"",IFERROR(VLOOKUP(B:B,'מצבת והרשמה (2)'!$C$20:$N$520,2,0)," ")," ")</f>
        <v xml:space="preserve"> </v>
      </c>
      <c r="D378" s="695"/>
      <c r="E378" s="696"/>
      <c r="F378" s="696"/>
      <c r="G378" s="696"/>
      <c r="H378" s="696"/>
      <c r="I378" s="1050" t="str">
        <f t="shared" si="77"/>
        <v/>
      </c>
      <c r="J378" s="696"/>
      <c r="K378" s="697"/>
      <c r="L378" s="696"/>
      <c r="M378" s="198" t="str">
        <f t="shared" si="78"/>
        <v/>
      </c>
      <c r="N378" s="369" t="str">
        <f t="shared" si="79"/>
        <v/>
      </c>
      <c r="O378" s="183" t="str">
        <f t="shared" si="80"/>
        <v/>
      </c>
      <c r="P378" s="199" t="str">
        <f t="shared" si="81"/>
        <v/>
      </c>
      <c r="Q378" s="199" t="str">
        <f>IF(B378="","",IFERROR(IF('עלויות כח אדם (6)'!J378&gt;=VLOOKUP(I378,'סיווג התפקידים והעלויות'!$B$23:$C$32,2,0),"תקין","לא תקין"),""))</f>
        <v/>
      </c>
      <c r="R378" s="199" t="str">
        <f t="shared" si="82"/>
        <v/>
      </c>
      <c r="S378" s="199" t="str">
        <f t="shared" si="83"/>
        <v/>
      </c>
      <c r="T378" s="199" t="str">
        <f t="shared" si="91"/>
        <v/>
      </c>
      <c r="U378" s="199" t="str">
        <f t="shared" si="84"/>
        <v/>
      </c>
      <c r="V378" s="989"/>
      <c r="X378" s="374" t="str">
        <f t="shared" si="85"/>
        <v/>
      </c>
      <c r="Y378" s="375" t="str">
        <f t="shared" si="86"/>
        <v/>
      </c>
      <c r="Z378" s="374" t="str">
        <f t="shared" si="87"/>
        <v/>
      </c>
      <c r="AA378" s="374" t="b">
        <f t="shared" si="88"/>
        <v>1</v>
      </c>
      <c r="AB378" s="374">
        <f>COUNTIFS(B:B,B378,H:H,'סיווג התפקידים והעלויות'!$C$2)</f>
        <v>0</v>
      </c>
      <c r="AC378" s="374">
        <f>COUNTIFS(B:B,B378,H:H,'סיווג התפקידים והעלויות'!$D$2)</f>
        <v>0</v>
      </c>
      <c r="AD378" s="374" t="str">
        <f>IF(OR(AND(H378='סיווג התפקידים והעלויות'!$A$2,I378='סיווג התפקידים והעלויות'!$A$3),'עלויות כח אדם (6)'!H378='סיווג התפקידים והעלויות'!$C$2,'עלויות כח אדם (6)'!H378='סיווג התפקידים והעלויות'!$D$2),IF('עלויות כח אדם (6)'!J378&lt;75,"לא תקין","תקין"),"")</f>
        <v/>
      </c>
      <c r="AE378" s="374" t="str">
        <f t="shared" si="89"/>
        <v/>
      </c>
      <c r="AF378" s="532" t="str">
        <f t="shared" si="90"/>
        <v/>
      </c>
    </row>
    <row r="379" spans="2:32" x14ac:dyDescent="0.25">
      <c r="B379" s="695"/>
      <c r="C379" s="197" t="str">
        <f>IF(B379&lt;&gt;"",IFERROR(VLOOKUP(B:B,'מצבת והרשמה (2)'!$C$20:$N$520,2,0)," ")," ")</f>
        <v xml:space="preserve"> </v>
      </c>
      <c r="D379" s="695"/>
      <c r="E379" s="696"/>
      <c r="F379" s="696"/>
      <c r="G379" s="696"/>
      <c r="H379" s="696"/>
      <c r="I379" s="1050" t="str">
        <f t="shared" si="77"/>
        <v/>
      </c>
      <c r="J379" s="696"/>
      <c r="K379" s="697"/>
      <c r="L379" s="696"/>
      <c r="M379" s="198" t="str">
        <f t="shared" si="78"/>
        <v/>
      </c>
      <c r="N379" s="369" t="str">
        <f t="shared" si="79"/>
        <v/>
      </c>
      <c r="O379" s="183" t="str">
        <f t="shared" si="80"/>
        <v/>
      </c>
      <c r="P379" s="199" t="str">
        <f t="shared" si="81"/>
        <v/>
      </c>
      <c r="Q379" s="199" t="str">
        <f>IF(B379="","",IFERROR(IF('עלויות כח אדם (6)'!J379&gt;=VLOOKUP(I379,'סיווג התפקידים והעלויות'!$B$23:$C$32,2,0),"תקין","לא תקין"),""))</f>
        <v/>
      </c>
      <c r="R379" s="199" t="str">
        <f t="shared" si="82"/>
        <v/>
      </c>
      <c r="S379" s="199" t="str">
        <f t="shared" si="83"/>
        <v/>
      </c>
      <c r="T379" s="199" t="str">
        <f t="shared" si="91"/>
        <v/>
      </c>
      <c r="U379" s="199" t="str">
        <f t="shared" si="84"/>
        <v/>
      </c>
      <c r="V379" s="989"/>
      <c r="X379" s="374" t="str">
        <f t="shared" si="85"/>
        <v/>
      </c>
      <c r="Y379" s="375" t="str">
        <f t="shared" si="86"/>
        <v/>
      </c>
      <c r="Z379" s="374" t="str">
        <f t="shared" si="87"/>
        <v/>
      </c>
      <c r="AA379" s="374" t="b">
        <f t="shared" si="88"/>
        <v>1</v>
      </c>
      <c r="AB379" s="374">
        <f>COUNTIFS(B:B,B379,H:H,'סיווג התפקידים והעלויות'!$C$2)</f>
        <v>0</v>
      </c>
      <c r="AC379" s="374">
        <f>COUNTIFS(B:B,B379,H:H,'סיווג התפקידים והעלויות'!$D$2)</f>
        <v>0</v>
      </c>
      <c r="AD379" s="374" t="str">
        <f>IF(OR(AND(H379='סיווג התפקידים והעלויות'!$A$2,I379='סיווג התפקידים והעלויות'!$A$3),'עלויות כח אדם (6)'!H379='סיווג התפקידים והעלויות'!$C$2,'עלויות כח אדם (6)'!H379='סיווג התפקידים והעלויות'!$D$2),IF('עלויות כח אדם (6)'!J379&lt;75,"לא תקין","תקין"),"")</f>
        <v/>
      </c>
      <c r="AE379" s="374" t="str">
        <f t="shared" si="89"/>
        <v/>
      </c>
      <c r="AF379" s="532" t="str">
        <f t="shared" si="90"/>
        <v/>
      </c>
    </row>
    <row r="380" spans="2:32" x14ac:dyDescent="0.25">
      <c r="B380" s="695"/>
      <c r="C380" s="197" t="str">
        <f>IF(B380&lt;&gt;"",IFERROR(VLOOKUP(B:B,'מצבת והרשמה (2)'!$C$20:$N$520,2,0)," ")," ")</f>
        <v xml:space="preserve"> </v>
      </c>
      <c r="D380" s="695"/>
      <c r="E380" s="696"/>
      <c r="F380" s="696"/>
      <c r="G380" s="696"/>
      <c r="H380" s="696"/>
      <c r="I380" s="1050" t="str">
        <f t="shared" si="77"/>
        <v/>
      </c>
      <c r="J380" s="696"/>
      <c r="K380" s="697"/>
      <c r="L380" s="696"/>
      <c r="M380" s="198" t="str">
        <f t="shared" si="78"/>
        <v/>
      </c>
      <c r="N380" s="369" t="str">
        <f t="shared" si="79"/>
        <v/>
      </c>
      <c r="O380" s="183" t="str">
        <f t="shared" si="80"/>
        <v/>
      </c>
      <c r="P380" s="199" t="str">
        <f t="shared" si="81"/>
        <v/>
      </c>
      <c r="Q380" s="199" t="str">
        <f>IF(B380="","",IFERROR(IF('עלויות כח אדם (6)'!J380&gt;=VLOOKUP(I380,'סיווג התפקידים והעלויות'!$B$23:$C$32,2,0),"תקין","לא תקין"),""))</f>
        <v/>
      </c>
      <c r="R380" s="199" t="str">
        <f t="shared" si="82"/>
        <v/>
      </c>
      <c r="S380" s="199" t="str">
        <f t="shared" si="83"/>
        <v/>
      </c>
      <c r="T380" s="199" t="str">
        <f t="shared" si="91"/>
        <v/>
      </c>
      <c r="U380" s="199" t="str">
        <f t="shared" si="84"/>
        <v/>
      </c>
      <c r="V380" s="989"/>
      <c r="X380" s="374" t="str">
        <f t="shared" si="85"/>
        <v/>
      </c>
      <c r="Y380" s="375" t="str">
        <f t="shared" si="86"/>
        <v/>
      </c>
      <c r="Z380" s="374" t="str">
        <f t="shared" si="87"/>
        <v/>
      </c>
      <c r="AA380" s="374" t="b">
        <f t="shared" si="88"/>
        <v>1</v>
      </c>
      <c r="AB380" s="374">
        <f>COUNTIFS(B:B,B380,H:H,'סיווג התפקידים והעלויות'!$C$2)</f>
        <v>0</v>
      </c>
      <c r="AC380" s="374">
        <f>COUNTIFS(B:B,B380,H:H,'סיווג התפקידים והעלויות'!$D$2)</f>
        <v>0</v>
      </c>
      <c r="AD380" s="374" t="str">
        <f>IF(OR(AND(H380='סיווג התפקידים והעלויות'!$A$2,I380='סיווג התפקידים והעלויות'!$A$3),'עלויות כח אדם (6)'!H380='סיווג התפקידים והעלויות'!$C$2,'עלויות כח אדם (6)'!H380='סיווג התפקידים והעלויות'!$D$2),IF('עלויות כח אדם (6)'!J380&lt;75,"לא תקין","תקין"),"")</f>
        <v/>
      </c>
      <c r="AE380" s="374" t="str">
        <f t="shared" si="89"/>
        <v/>
      </c>
      <c r="AF380" s="532" t="str">
        <f t="shared" si="90"/>
        <v/>
      </c>
    </row>
    <row r="381" spans="2:32" x14ac:dyDescent="0.25">
      <c r="B381" s="695"/>
      <c r="C381" s="197" t="str">
        <f>IF(B381&lt;&gt;"",IFERROR(VLOOKUP(B:B,'מצבת והרשמה (2)'!$C$20:$N$520,2,0)," ")," ")</f>
        <v xml:space="preserve"> </v>
      </c>
      <c r="D381" s="695"/>
      <c r="E381" s="696"/>
      <c r="F381" s="696"/>
      <c r="G381" s="696"/>
      <c r="H381" s="696"/>
      <c r="I381" s="1050" t="str">
        <f t="shared" si="77"/>
        <v/>
      </c>
      <c r="J381" s="696"/>
      <c r="K381" s="697"/>
      <c r="L381" s="696"/>
      <c r="M381" s="198" t="str">
        <f t="shared" si="78"/>
        <v/>
      </c>
      <c r="N381" s="369" t="str">
        <f t="shared" si="79"/>
        <v/>
      </c>
      <c r="O381" s="183" t="str">
        <f t="shared" si="80"/>
        <v/>
      </c>
      <c r="P381" s="199" t="str">
        <f t="shared" si="81"/>
        <v/>
      </c>
      <c r="Q381" s="199" t="str">
        <f>IF(B381="","",IFERROR(IF('עלויות כח אדם (6)'!J381&gt;=VLOOKUP(I381,'סיווג התפקידים והעלויות'!$B$23:$C$32,2,0),"תקין","לא תקין"),""))</f>
        <v/>
      </c>
      <c r="R381" s="199" t="str">
        <f t="shared" si="82"/>
        <v/>
      </c>
      <c r="S381" s="199" t="str">
        <f t="shared" si="83"/>
        <v/>
      </c>
      <c r="T381" s="199" t="str">
        <f t="shared" si="91"/>
        <v/>
      </c>
      <c r="U381" s="199" t="str">
        <f t="shared" si="84"/>
        <v/>
      </c>
      <c r="V381" s="989"/>
      <c r="X381" s="374" t="str">
        <f t="shared" si="85"/>
        <v/>
      </c>
      <c r="Y381" s="375" t="str">
        <f t="shared" si="86"/>
        <v/>
      </c>
      <c r="Z381" s="374" t="str">
        <f t="shared" si="87"/>
        <v/>
      </c>
      <c r="AA381" s="374" t="b">
        <f t="shared" si="88"/>
        <v>1</v>
      </c>
      <c r="AB381" s="374">
        <f>COUNTIFS(B:B,B381,H:H,'סיווג התפקידים והעלויות'!$C$2)</f>
        <v>0</v>
      </c>
      <c r="AC381" s="374">
        <f>COUNTIFS(B:B,B381,H:H,'סיווג התפקידים והעלויות'!$D$2)</f>
        <v>0</v>
      </c>
      <c r="AD381" s="374" t="str">
        <f>IF(OR(AND(H381='סיווג התפקידים והעלויות'!$A$2,I381='סיווג התפקידים והעלויות'!$A$3),'עלויות כח אדם (6)'!H381='סיווג התפקידים והעלויות'!$C$2,'עלויות כח אדם (6)'!H381='סיווג התפקידים והעלויות'!$D$2),IF('עלויות כח אדם (6)'!J381&lt;75,"לא תקין","תקין"),"")</f>
        <v/>
      </c>
      <c r="AE381" s="374" t="str">
        <f t="shared" si="89"/>
        <v/>
      </c>
      <c r="AF381" s="532" t="str">
        <f t="shared" si="90"/>
        <v/>
      </c>
    </row>
    <row r="382" spans="2:32" x14ac:dyDescent="0.25">
      <c r="B382" s="695"/>
      <c r="C382" s="197" t="str">
        <f>IF(B382&lt;&gt;"",IFERROR(VLOOKUP(B:B,'מצבת והרשמה (2)'!$C$20:$N$520,2,0)," ")," ")</f>
        <v xml:space="preserve"> </v>
      </c>
      <c r="D382" s="695"/>
      <c r="E382" s="696"/>
      <c r="F382" s="696"/>
      <c r="G382" s="696"/>
      <c r="H382" s="696"/>
      <c r="I382" s="1050" t="str">
        <f t="shared" si="77"/>
        <v/>
      </c>
      <c r="J382" s="696"/>
      <c r="K382" s="697"/>
      <c r="L382" s="696"/>
      <c r="M382" s="198" t="str">
        <f t="shared" si="78"/>
        <v/>
      </c>
      <c r="N382" s="369" t="str">
        <f t="shared" si="79"/>
        <v/>
      </c>
      <c r="O382" s="183" t="str">
        <f t="shared" si="80"/>
        <v/>
      </c>
      <c r="P382" s="199" t="str">
        <f t="shared" si="81"/>
        <v/>
      </c>
      <c r="Q382" s="199" t="str">
        <f>IF(B382="","",IFERROR(IF('עלויות כח אדם (6)'!J382&gt;=VLOOKUP(I382,'סיווג התפקידים והעלויות'!$B$23:$C$32,2,0),"תקין","לא תקין"),""))</f>
        <v/>
      </c>
      <c r="R382" s="199" t="str">
        <f t="shared" si="82"/>
        <v/>
      </c>
      <c r="S382" s="199" t="str">
        <f t="shared" si="83"/>
        <v/>
      </c>
      <c r="T382" s="199" t="str">
        <f t="shared" si="91"/>
        <v/>
      </c>
      <c r="U382" s="199" t="str">
        <f t="shared" si="84"/>
        <v/>
      </c>
      <c r="V382" s="989"/>
      <c r="X382" s="374" t="str">
        <f t="shared" si="85"/>
        <v/>
      </c>
      <c r="Y382" s="375" t="str">
        <f t="shared" si="86"/>
        <v/>
      </c>
      <c r="Z382" s="374" t="str">
        <f t="shared" si="87"/>
        <v/>
      </c>
      <c r="AA382" s="374" t="b">
        <f t="shared" si="88"/>
        <v>1</v>
      </c>
      <c r="AB382" s="374">
        <f>COUNTIFS(B:B,B382,H:H,'סיווג התפקידים והעלויות'!$C$2)</f>
        <v>0</v>
      </c>
      <c r="AC382" s="374">
        <f>COUNTIFS(B:B,B382,H:H,'סיווג התפקידים והעלויות'!$D$2)</f>
        <v>0</v>
      </c>
      <c r="AD382" s="374" t="str">
        <f>IF(OR(AND(H382='סיווג התפקידים והעלויות'!$A$2,I382='סיווג התפקידים והעלויות'!$A$3),'עלויות כח אדם (6)'!H382='סיווג התפקידים והעלויות'!$C$2,'עלויות כח אדם (6)'!H382='סיווג התפקידים והעלויות'!$D$2),IF('עלויות כח אדם (6)'!J382&lt;75,"לא תקין","תקין"),"")</f>
        <v/>
      </c>
      <c r="AE382" s="374" t="str">
        <f t="shared" si="89"/>
        <v/>
      </c>
      <c r="AF382" s="532" t="str">
        <f t="shared" si="90"/>
        <v/>
      </c>
    </row>
    <row r="383" spans="2:32" x14ac:dyDescent="0.25">
      <c r="B383" s="695"/>
      <c r="C383" s="197" t="str">
        <f>IF(B383&lt;&gt;"",IFERROR(VLOOKUP(B:B,'מצבת והרשמה (2)'!$C$20:$N$520,2,0)," ")," ")</f>
        <v xml:space="preserve"> </v>
      </c>
      <c r="D383" s="695"/>
      <c r="E383" s="696"/>
      <c r="F383" s="696"/>
      <c r="G383" s="696"/>
      <c r="H383" s="696"/>
      <c r="I383" s="1050" t="str">
        <f t="shared" si="77"/>
        <v/>
      </c>
      <c r="J383" s="696"/>
      <c r="K383" s="697"/>
      <c r="L383" s="696"/>
      <c r="M383" s="198" t="str">
        <f t="shared" si="78"/>
        <v/>
      </c>
      <c r="N383" s="369" t="str">
        <f t="shared" si="79"/>
        <v/>
      </c>
      <c r="O383" s="183" t="str">
        <f t="shared" si="80"/>
        <v/>
      </c>
      <c r="P383" s="199" t="str">
        <f t="shared" si="81"/>
        <v/>
      </c>
      <c r="Q383" s="199" t="str">
        <f>IF(B383="","",IFERROR(IF('עלויות כח אדם (6)'!J383&gt;=VLOOKUP(I383,'סיווג התפקידים והעלויות'!$B$23:$C$32,2,0),"תקין","לא תקין"),""))</f>
        <v/>
      </c>
      <c r="R383" s="199" t="str">
        <f t="shared" si="82"/>
        <v/>
      </c>
      <c r="S383" s="199" t="str">
        <f t="shared" si="83"/>
        <v/>
      </c>
      <c r="T383" s="199" t="str">
        <f t="shared" si="91"/>
        <v/>
      </c>
      <c r="U383" s="199" t="str">
        <f t="shared" si="84"/>
        <v/>
      </c>
      <c r="V383" s="989"/>
      <c r="X383" s="374" t="str">
        <f t="shared" si="85"/>
        <v/>
      </c>
      <c r="Y383" s="375" t="str">
        <f t="shared" si="86"/>
        <v/>
      </c>
      <c r="Z383" s="374" t="str">
        <f t="shared" si="87"/>
        <v/>
      </c>
      <c r="AA383" s="374" t="b">
        <f t="shared" si="88"/>
        <v>1</v>
      </c>
      <c r="AB383" s="374">
        <f>COUNTIFS(B:B,B383,H:H,'סיווג התפקידים והעלויות'!$C$2)</f>
        <v>0</v>
      </c>
      <c r="AC383" s="374">
        <f>COUNTIFS(B:B,B383,H:H,'סיווג התפקידים והעלויות'!$D$2)</f>
        <v>0</v>
      </c>
      <c r="AD383" s="374" t="str">
        <f>IF(OR(AND(H383='סיווג התפקידים והעלויות'!$A$2,I383='סיווג התפקידים והעלויות'!$A$3),'עלויות כח אדם (6)'!H383='סיווג התפקידים והעלויות'!$C$2,'עלויות כח אדם (6)'!H383='סיווג התפקידים והעלויות'!$D$2),IF('עלויות כח אדם (6)'!J383&lt;75,"לא תקין","תקין"),"")</f>
        <v/>
      </c>
      <c r="AE383" s="374" t="str">
        <f t="shared" si="89"/>
        <v/>
      </c>
      <c r="AF383" s="532" t="str">
        <f t="shared" si="90"/>
        <v/>
      </c>
    </row>
    <row r="384" spans="2:32" x14ac:dyDescent="0.25">
      <c r="B384" s="695"/>
      <c r="C384" s="197" t="str">
        <f>IF(B384&lt;&gt;"",IFERROR(VLOOKUP(B:B,'מצבת והרשמה (2)'!$C$20:$N$520,2,0)," ")," ")</f>
        <v xml:space="preserve"> </v>
      </c>
      <c r="D384" s="695"/>
      <c r="E384" s="696"/>
      <c r="F384" s="696"/>
      <c r="G384" s="696"/>
      <c r="H384" s="696"/>
      <c r="I384" s="1050" t="str">
        <f t="shared" si="77"/>
        <v/>
      </c>
      <c r="J384" s="696"/>
      <c r="K384" s="697"/>
      <c r="L384" s="696"/>
      <c r="M384" s="198" t="str">
        <f t="shared" si="78"/>
        <v/>
      </c>
      <c r="N384" s="369" t="str">
        <f t="shared" si="79"/>
        <v/>
      </c>
      <c r="O384" s="183" t="str">
        <f t="shared" si="80"/>
        <v/>
      </c>
      <c r="P384" s="199" t="str">
        <f t="shared" si="81"/>
        <v/>
      </c>
      <c r="Q384" s="199" t="str">
        <f>IF(B384="","",IFERROR(IF('עלויות כח אדם (6)'!J384&gt;=VLOOKUP(I384,'סיווג התפקידים והעלויות'!$B$23:$C$32,2,0),"תקין","לא תקין"),""))</f>
        <v/>
      </c>
      <c r="R384" s="199" t="str">
        <f t="shared" si="82"/>
        <v/>
      </c>
      <c r="S384" s="199" t="str">
        <f t="shared" si="83"/>
        <v/>
      </c>
      <c r="T384" s="199" t="str">
        <f t="shared" si="91"/>
        <v/>
      </c>
      <c r="U384" s="199" t="str">
        <f t="shared" si="84"/>
        <v/>
      </c>
      <c r="V384" s="989"/>
      <c r="X384" s="374" t="str">
        <f t="shared" si="85"/>
        <v/>
      </c>
      <c r="Y384" s="375" t="str">
        <f t="shared" si="86"/>
        <v/>
      </c>
      <c r="Z384" s="374" t="str">
        <f t="shared" si="87"/>
        <v/>
      </c>
      <c r="AA384" s="374" t="b">
        <f t="shared" si="88"/>
        <v>1</v>
      </c>
      <c r="AB384" s="374">
        <f>COUNTIFS(B:B,B384,H:H,'סיווג התפקידים והעלויות'!$C$2)</f>
        <v>0</v>
      </c>
      <c r="AC384" s="374">
        <f>COUNTIFS(B:B,B384,H:H,'סיווג התפקידים והעלויות'!$D$2)</f>
        <v>0</v>
      </c>
      <c r="AD384" s="374" t="str">
        <f>IF(OR(AND(H384='סיווג התפקידים והעלויות'!$A$2,I384='סיווג התפקידים והעלויות'!$A$3),'עלויות כח אדם (6)'!H384='סיווג התפקידים והעלויות'!$C$2,'עלויות כח אדם (6)'!H384='סיווג התפקידים והעלויות'!$D$2),IF('עלויות כח אדם (6)'!J384&lt;75,"לא תקין","תקין"),"")</f>
        <v/>
      </c>
      <c r="AE384" s="374" t="str">
        <f t="shared" si="89"/>
        <v/>
      </c>
      <c r="AF384" s="532" t="str">
        <f t="shared" si="90"/>
        <v/>
      </c>
    </row>
    <row r="385" spans="2:32" x14ac:dyDescent="0.25">
      <c r="B385" s="695"/>
      <c r="C385" s="197" t="str">
        <f>IF(B385&lt;&gt;"",IFERROR(VLOOKUP(B:B,'מצבת והרשמה (2)'!$C$20:$N$520,2,0)," ")," ")</f>
        <v xml:space="preserve"> </v>
      </c>
      <c r="D385" s="695"/>
      <c r="E385" s="696"/>
      <c r="F385" s="696"/>
      <c r="G385" s="696"/>
      <c r="H385" s="696"/>
      <c r="I385" s="1050" t="str">
        <f t="shared" si="77"/>
        <v/>
      </c>
      <c r="J385" s="696"/>
      <c r="K385" s="697"/>
      <c r="L385" s="696"/>
      <c r="M385" s="198" t="str">
        <f t="shared" si="78"/>
        <v/>
      </c>
      <c r="N385" s="369" t="str">
        <f t="shared" si="79"/>
        <v/>
      </c>
      <c r="O385" s="183" t="str">
        <f t="shared" si="80"/>
        <v/>
      </c>
      <c r="P385" s="199" t="str">
        <f t="shared" si="81"/>
        <v/>
      </c>
      <c r="Q385" s="199" t="str">
        <f>IF(B385="","",IFERROR(IF('עלויות כח אדם (6)'!J385&gt;=VLOOKUP(I385,'סיווג התפקידים והעלויות'!$B$23:$C$32,2,0),"תקין","לא תקין"),""))</f>
        <v/>
      </c>
      <c r="R385" s="199" t="str">
        <f t="shared" si="82"/>
        <v/>
      </c>
      <c r="S385" s="199" t="str">
        <f t="shared" si="83"/>
        <v/>
      </c>
      <c r="T385" s="199" t="str">
        <f t="shared" si="91"/>
        <v/>
      </c>
      <c r="U385" s="199" t="str">
        <f t="shared" si="84"/>
        <v/>
      </c>
      <c r="V385" s="989"/>
      <c r="X385" s="374" t="str">
        <f t="shared" si="85"/>
        <v/>
      </c>
      <c r="Y385" s="375" t="str">
        <f t="shared" si="86"/>
        <v/>
      </c>
      <c r="Z385" s="374" t="str">
        <f t="shared" si="87"/>
        <v/>
      </c>
      <c r="AA385" s="374" t="b">
        <f t="shared" si="88"/>
        <v>1</v>
      </c>
      <c r="AB385" s="374">
        <f>COUNTIFS(B:B,B385,H:H,'סיווג התפקידים והעלויות'!$C$2)</f>
        <v>0</v>
      </c>
      <c r="AC385" s="374">
        <f>COUNTIFS(B:B,B385,H:H,'סיווג התפקידים והעלויות'!$D$2)</f>
        <v>0</v>
      </c>
      <c r="AD385" s="374" t="str">
        <f>IF(OR(AND(H385='סיווג התפקידים והעלויות'!$A$2,I385='סיווג התפקידים והעלויות'!$A$3),'עלויות כח אדם (6)'!H385='סיווג התפקידים והעלויות'!$C$2,'עלויות כח אדם (6)'!H385='סיווג התפקידים והעלויות'!$D$2),IF('עלויות כח אדם (6)'!J385&lt;75,"לא תקין","תקין"),"")</f>
        <v/>
      </c>
      <c r="AE385" s="374" t="str">
        <f t="shared" si="89"/>
        <v/>
      </c>
      <c r="AF385" s="532" t="str">
        <f t="shared" si="90"/>
        <v/>
      </c>
    </row>
    <row r="386" spans="2:32" x14ac:dyDescent="0.25">
      <c r="B386" s="695"/>
      <c r="C386" s="197" t="str">
        <f>IF(B386&lt;&gt;"",IFERROR(VLOOKUP(B:B,'מצבת והרשמה (2)'!$C$20:$N$520,2,0)," ")," ")</f>
        <v xml:space="preserve"> </v>
      </c>
      <c r="D386" s="695"/>
      <c r="E386" s="696"/>
      <c r="F386" s="696"/>
      <c r="G386" s="696"/>
      <c r="H386" s="696"/>
      <c r="I386" s="1050" t="str">
        <f t="shared" si="77"/>
        <v/>
      </c>
      <c r="J386" s="696"/>
      <c r="K386" s="697"/>
      <c r="L386" s="696"/>
      <c r="M386" s="198" t="str">
        <f t="shared" si="78"/>
        <v/>
      </c>
      <c r="N386" s="369" t="str">
        <f t="shared" si="79"/>
        <v/>
      </c>
      <c r="O386" s="183" t="str">
        <f t="shared" si="80"/>
        <v/>
      </c>
      <c r="P386" s="199" t="str">
        <f t="shared" si="81"/>
        <v/>
      </c>
      <c r="Q386" s="199" t="str">
        <f>IF(B386="","",IFERROR(IF('עלויות כח אדם (6)'!J386&gt;=VLOOKUP(I386,'סיווג התפקידים והעלויות'!$B$23:$C$32,2,0),"תקין","לא תקין"),""))</f>
        <v/>
      </c>
      <c r="R386" s="199" t="str">
        <f t="shared" si="82"/>
        <v/>
      </c>
      <c r="S386" s="199" t="str">
        <f t="shared" si="83"/>
        <v/>
      </c>
      <c r="T386" s="199" t="str">
        <f t="shared" si="91"/>
        <v/>
      </c>
      <c r="U386" s="199" t="str">
        <f t="shared" si="84"/>
        <v/>
      </c>
      <c r="V386" s="989"/>
      <c r="X386" s="374" t="str">
        <f t="shared" si="85"/>
        <v/>
      </c>
      <c r="Y386" s="375" t="str">
        <f t="shared" si="86"/>
        <v/>
      </c>
      <c r="Z386" s="374" t="str">
        <f t="shared" si="87"/>
        <v/>
      </c>
      <c r="AA386" s="374" t="b">
        <f t="shared" si="88"/>
        <v>1</v>
      </c>
      <c r="AB386" s="374">
        <f>COUNTIFS(B:B,B386,H:H,'סיווג התפקידים והעלויות'!$C$2)</f>
        <v>0</v>
      </c>
      <c r="AC386" s="374">
        <f>COUNTIFS(B:B,B386,H:H,'סיווג התפקידים והעלויות'!$D$2)</f>
        <v>0</v>
      </c>
      <c r="AD386" s="374" t="str">
        <f>IF(OR(AND(H386='סיווג התפקידים והעלויות'!$A$2,I386='סיווג התפקידים והעלויות'!$A$3),'עלויות כח אדם (6)'!H386='סיווג התפקידים והעלויות'!$C$2,'עלויות כח אדם (6)'!H386='סיווג התפקידים והעלויות'!$D$2),IF('עלויות כח אדם (6)'!J386&lt;75,"לא תקין","תקין"),"")</f>
        <v/>
      </c>
      <c r="AE386" s="374" t="str">
        <f t="shared" si="89"/>
        <v/>
      </c>
      <c r="AF386" s="532" t="str">
        <f t="shared" si="90"/>
        <v/>
      </c>
    </row>
    <row r="387" spans="2:32" x14ac:dyDescent="0.25">
      <c r="B387" s="695"/>
      <c r="C387" s="197" t="str">
        <f>IF(B387&lt;&gt;"",IFERROR(VLOOKUP(B:B,'מצבת והרשמה (2)'!$C$20:$N$520,2,0)," ")," ")</f>
        <v xml:space="preserve"> </v>
      </c>
      <c r="D387" s="695"/>
      <c r="E387" s="696"/>
      <c r="F387" s="696"/>
      <c r="G387" s="696"/>
      <c r="H387" s="696"/>
      <c r="I387" s="1050" t="str">
        <f t="shared" si="77"/>
        <v/>
      </c>
      <c r="J387" s="696"/>
      <c r="K387" s="697"/>
      <c r="L387" s="696"/>
      <c r="M387" s="198" t="str">
        <f t="shared" si="78"/>
        <v/>
      </c>
      <c r="N387" s="369" t="str">
        <f t="shared" si="79"/>
        <v/>
      </c>
      <c r="O387" s="183" t="str">
        <f t="shared" si="80"/>
        <v/>
      </c>
      <c r="P387" s="199" t="str">
        <f t="shared" si="81"/>
        <v/>
      </c>
      <c r="Q387" s="199" t="str">
        <f>IF(B387="","",IFERROR(IF('עלויות כח אדם (6)'!J387&gt;=VLOOKUP(I387,'סיווג התפקידים והעלויות'!$B$23:$C$32,2,0),"תקין","לא תקין"),""))</f>
        <v/>
      </c>
      <c r="R387" s="199" t="str">
        <f t="shared" si="82"/>
        <v/>
      </c>
      <c r="S387" s="199" t="str">
        <f t="shared" si="83"/>
        <v/>
      </c>
      <c r="T387" s="199" t="str">
        <f t="shared" si="91"/>
        <v/>
      </c>
      <c r="U387" s="199" t="str">
        <f t="shared" si="84"/>
        <v/>
      </c>
      <c r="V387" s="989"/>
      <c r="X387" s="374" t="str">
        <f t="shared" si="85"/>
        <v/>
      </c>
      <c r="Y387" s="375" t="str">
        <f t="shared" si="86"/>
        <v/>
      </c>
      <c r="Z387" s="374" t="str">
        <f t="shared" si="87"/>
        <v/>
      </c>
      <c r="AA387" s="374" t="b">
        <f t="shared" si="88"/>
        <v>1</v>
      </c>
      <c r="AB387" s="374">
        <f>COUNTIFS(B:B,B387,H:H,'סיווג התפקידים והעלויות'!$C$2)</f>
        <v>0</v>
      </c>
      <c r="AC387" s="374">
        <f>COUNTIFS(B:B,B387,H:H,'סיווג התפקידים והעלויות'!$D$2)</f>
        <v>0</v>
      </c>
      <c r="AD387" s="374" t="str">
        <f>IF(OR(AND(H387='סיווג התפקידים והעלויות'!$A$2,I387='סיווג התפקידים והעלויות'!$A$3),'עלויות כח אדם (6)'!H387='סיווג התפקידים והעלויות'!$C$2,'עלויות כח אדם (6)'!H387='סיווג התפקידים והעלויות'!$D$2),IF('עלויות כח אדם (6)'!J387&lt;75,"לא תקין","תקין"),"")</f>
        <v/>
      </c>
      <c r="AE387" s="374" t="str">
        <f t="shared" si="89"/>
        <v/>
      </c>
      <c r="AF387" s="532" t="str">
        <f t="shared" si="90"/>
        <v/>
      </c>
    </row>
    <row r="388" spans="2:32" x14ac:dyDescent="0.25">
      <c r="B388" s="695"/>
      <c r="C388" s="197" t="str">
        <f>IF(B388&lt;&gt;"",IFERROR(VLOOKUP(B:B,'מצבת והרשמה (2)'!$C$20:$N$520,2,0)," ")," ")</f>
        <v xml:space="preserve"> </v>
      </c>
      <c r="D388" s="695"/>
      <c r="E388" s="696"/>
      <c r="F388" s="696"/>
      <c r="G388" s="696"/>
      <c r="H388" s="696"/>
      <c r="I388" s="1050" t="str">
        <f t="shared" si="77"/>
        <v/>
      </c>
      <c r="J388" s="696"/>
      <c r="K388" s="697"/>
      <c r="L388" s="696"/>
      <c r="M388" s="198" t="str">
        <f t="shared" si="78"/>
        <v/>
      </c>
      <c r="N388" s="369" t="str">
        <f t="shared" si="79"/>
        <v/>
      </c>
      <c r="O388" s="183" t="str">
        <f t="shared" si="80"/>
        <v/>
      </c>
      <c r="P388" s="199" t="str">
        <f t="shared" si="81"/>
        <v/>
      </c>
      <c r="Q388" s="199" t="str">
        <f>IF(B388="","",IFERROR(IF('עלויות כח אדם (6)'!J388&gt;=VLOOKUP(I388,'סיווג התפקידים והעלויות'!$B$23:$C$32,2,0),"תקין","לא תקין"),""))</f>
        <v/>
      </c>
      <c r="R388" s="199" t="str">
        <f t="shared" si="82"/>
        <v/>
      </c>
      <c r="S388" s="199" t="str">
        <f t="shared" si="83"/>
        <v/>
      </c>
      <c r="T388" s="199" t="str">
        <f t="shared" si="91"/>
        <v/>
      </c>
      <c r="U388" s="199" t="str">
        <f t="shared" si="84"/>
        <v/>
      </c>
      <c r="V388" s="989"/>
      <c r="X388" s="374" t="str">
        <f t="shared" si="85"/>
        <v/>
      </c>
      <c r="Y388" s="375" t="str">
        <f t="shared" si="86"/>
        <v/>
      </c>
      <c r="Z388" s="374" t="str">
        <f t="shared" si="87"/>
        <v/>
      </c>
      <c r="AA388" s="374" t="b">
        <f t="shared" si="88"/>
        <v>1</v>
      </c>
      <c r="AB388" s="374">
        <f>COUNTIFS(B:B,B388,H:H,'סיווג התפקידים והעלויות'!$C$2)</f>
        <v>0</v>
      </c>
      <c r="AC388" s="374">
        <f>COUNTIFS(B:B,B388,H:H,'סיווג התפקידים והעלויות'!$D$2)</f>
        <v>0</v>
      </c>
      <c r="AD388" s="374" t="str">
        <f>IF(OR(AND(H388='סיווג התפקידים והעלויות'!$A$2,I388='סיווג התפקידים והעלויות'!$A$3),'עלויות כח אדם (6)'!H388='סיווג התפקידים והעלויות'!$C$2,'עלויות כח אדם (6)'!H388='סיווג התפקידים והעלויות'!$D$2),IF('עלויות כח אדם (6)'!J388&lt;75,"לא תקין","תקין"),"")</f>
        <v/>
      </c>
      <c r="AE388" s="374" t="str">
        <f t="shared" si="89"/>
        <v/>
      </c>
      <c r="AF388" s="532" t="str">
        <f t="shared" si="90"/>
        <v/>
      </c>
    </row>
    <row r="389" spans="2:32" x14ac:dyDescent="0.25">
      <c r="B389" s="695"/>
      <c r="C389" s="197" t="str">
        <f>IF(B389&lt;&gt;"",IFERROR(VLOOKUP(B:B,'מצבת והרשמה (2)'!$C$20:$N$520,2,0)," ")," ")</f>
        <v xml:space="preserve"> </v>
      </c>
      <c r="D389" s="695"/>
      <c r="E389" s="696"/>
      <c r="F389" s="696"/>
      <c r="G389" s="696"/>
      <c r="H389" s="696"/>
      <c r="I389" s="1050" t="str">
        <f t="shared" si="77"/>
        <v/>
      </c>
      <c r="J389" s="696"/>
      <c r="K389" s="697"/>
      <c r="L389" s="696"/>
      <c r="M389" s="198" t="str">
        <f t="shared" si="78"/>
        <v/>
      </c>
      <c r="N389" s="369" t="str">
        <f t="shared" si="79"/>
        <v/>
      </c>
      <c r="O389" s="183" t="str">
        <f t="shared" si="80"/>
        <v/>
      </c>
      <c r="P389" s="199" t="str">
        <f t="shared" si="81"/>
        <v/>
      </c>
      <c r="Q389" s="199" t="str">
        <f>IF(B389="","",IFERROR(IF('עלויות כח אדם (6)'!J389&gt;=VLOOKUP(I389,'סיווג התפקידים והעלויות'!$B$23:$C$32,2,0),"תקין","לא תקין"),""))</f>
        <v/>
      </c>
      <c r="R389" s="199" t="str">
        <f t="shared" si="82"/>
        <v/>
      </c>
      <c r="S389" s="199" t="str">
        <f t="shared" si="83"/>
        <v/>
      </c>
      <c r="T389" s="199" t="str">
        <f t="shared" si="91"/>
        <v/>
      </c>
      <c r="U389" s="199" t="str">
        <f t="shared" si="84"/>
        <v/>
      </c>
      <c r="V389" s="989"/>
      <c r="X389" s="374" t="str">
        <f t="shared" si="85"/>
        <v/>
      </c>
      <c r="Y389" s="375" t="str">
        <f t="shared" si="86"/>
        <v/>
      </c>
      <c r="Z389" s="374" t="str">
        <f t="shared" si="87"/>
        <v/>
      </c>
      <c r="AA389" s="374" t="b">
        <f t="shared" si="88"/>
        <v>1</v>
      </c>
      <c r="AB389" s="374">
        <f>COUNTIFS(B:B,B389,H:H,'סיווג התפקידים והעלויות'!$C$2)</f>
        <v>0</v>
      </c>
      <c r="AC389" s="374">
        <f>COUNTIFS(B:B,B389,H:H,'סיווג התפקידים והעלויות'!$D$2)</f>
        <v>0</v>
      </c>
      <c r="AD389" s="374" t="str">
        <f>IF(OR(AND(H389='סיווג התפקידים והעלויות'!$A$2,I389='סיווג התפקידים והעלויות'!$A$3),'עלויות כח אדם (6)'!H389='סיווג התפקידים והעלויות'!$C$2,'עלויות כח אדם (6)'!H389='סיווג התפקידים והעלויות'!$D$2),IF('עלויות כח אדם (6)'!J389&lt;75,"לא תקין","תקין"),"")</f>
        <v/>
      </c>
      <c r="AE389" s="374" t="str">
        <f t="shared" si="89"/>
        <v/>
      </c>
      <c r="AF389" s="532" t="str">
        <f t="shared" si="90"/>
        <v/>
      </c>
    </row>
    <row r="390" spans="2:32" x14ac:dyDescent="0.25">
      <c r="B390" s="695"/>
      <c r="C390" s="197" t="str">
        <f>IF(B390&lt;&gt;"",IFERROR(VLOOKUP(B:B,'מצבת והרשמה (2)'!$C$20:$N$520,2,0)," ")," ")</f>
        <v xml:space="preserve"> </v>
      </c>
      <c r="D390" s="695"/>
      <c r="E390" s="696"/>
      <c r="F390" s="696"/>
      <c r="G390" s="696"/>
      <c r="H390" s="696"/>
      <c r="I390" s="1050" t="str">
        <f t="shared" si="77"/>
        <v/>
      </c>
      <c r="J390" s="696"/>
      <c r="K390" s="697"/>
      <c r="L390" s="696"/>
      <c r="M390" s="198" t="str">
        <f t="shared" si="78"/>
        <v/>
      </c>
      <c r="N390" s="369" t="str">
        <f t="shared" si="79"/>
        <v/>
      </c>
      <c r="O390" s="183" t="str">
        <f t="shared" si="80"/>
        <v/>
      </c>
      <c r="P390" s="199" t="str">
        <f t="shared" si="81"/>
        <v/>
      </c>
      <c r="Q390" s="199" t="str">
        <f>IF(B390="","",IFERROR(IF('עלויות כח אדם (6)'!J390&gt;=VLOOKUP(I390,'סיווג התפקידים והעלויות'!$B$23:$C$32,2,0),"תקין","לא תקין"),""))</f>
        <v/>
      </c>
      <c r="R390" s="199" t="str">
        <f t="shared" si="82"/>
        <v/>
      </c>
      <c r="S390" s="199" t="str">
        <f t="shared" si="83"/>
        <v/>
      </c>
      <c r="T390" s="199" t="str">
        <f t="shared" si="91"/>
        <v/>
      </c>
      <c r="U390" s="199" t="str">
        <f t="shared" si="84"/>
        <v/>
      </c>
      <c r="V390" s="989"/>
      <c r="X390" s="374" t="str">
        <f t="shared" si="85"/>
        <v/>
      </c>
      <c r="Y390" s="375" t="str">
        <f t="shared" si="86"/>
        <v/>
      </c>
      <c r="Z390" s="374" t="str">
        <f t="shared" si="87"/>
        <v/>
      </c>
      <c r="AA390" s="374" t="b">
        <f t="shared" si="88"/>
        <v>1</v>
      </c>
      <c r="AB390" s="374">
        <f>COUNTIFS(B:B,B390,H:H,'סיווג התפקידים והעלויות'!$C$2)</f>
        <v>0</v>
      </c>
      <c r="AC390" s="374">
        <f>COUNTIFS(B:B,B390,H:H,'סיווג התפקידים והעלויות'!$D$2)</f>
        <v>0</v>
      </c>
      <c r="AD390" s="374" t="str">
        <f>IF(OR(AND(H390='סיווג התפקידים והעלויות'!$A$2,I390='סיווג התפקידים והעלויות'!$A$3),'עלויות כח אדם (6)'!H390='סיווג התפקידים והעלויות'!$C$2,'עלויות כח אדם (6)'!H390='סיווג התפקידים והעלויות'!$D$2),IF('עלויות כח אדם (6)'!J390&lt;75,"לא תקין","תקין"),"")</f>
        <v/>
      </c>
      <c r="AE390" s="374" t="str">
        <f t="shared" si="89"/>
        <v/>
      </c>
      <c r="AF390" s="532" t="str">
        <f t="shared" si="90"/>
        <v/>
      </c>
    </row>
    <row r="391" spans="2:32" x14ac:dyDescent="0.25">
      <c r="B391" s="695"/>
      <c r="C391" s="197" t="str">
        <f>IF(B391&lt;&gt;"",IFERROR(VLOOKUP(B:B,'מצבת והרשמה (2)'!$C$20:$N$520,2,0)," ")," ")</f>
        <v xml:space="preserve"> </v>
      </c>
      <c r="D391" s="695"/>
      <c r="E391" s="696"/>
      <c r="F391" s="696"/>
      <c r="G391" s="696"/>
      <c r="H391" s="696"/>
      <c r="I391" s="1050" t="str">
        <f t="shared" si="77"/>
        <v/>
      </c>
      <c r="J391" s="696"/>
      <c r="K391" s="697"/>
      <c r="L391" s="696"/>
      <c r="M391" s="198" t="str">
        <f t="shared" si="78"/>
        <v/>
      </c>
      <c r="N391" s="369" t="str">
        <f t="shared" si="79"/>
        <v/>
      </c>
      <c r="O391" s="183" t="str">
        <f t="shared" si="80"/>
        <v/>
      </c>
      <c r="P391" s="199" t="str">
        <f t="shared" si="81"/>
        <v/>
      </c>
      <c r="Q391" s="199" t="str">
        <f>IF(B391="","",IFERROR(IF('עלויות כח אדם (6)'!J391&gt;=VLOOKUP(I391,'סיווג התפקידים והעלויות'!$B$23:$C$32,2,0),"תקין","לא תקין"),""))</f>
        <v/>
      </c>
      <c r="R391" s="199" t="str">
        <f t="shared" si="82"/>
        <v/>
      </c>
      <c r="S391" s="199" t="str">
        <f t="shared" si="83"/>
        <v/>
      </c>
      <c r="T391" s="199" t="str">
        <f t="shared" si="91"/>
        <v/>
      </c>
      <c r="U391" s="199" t="str">
        <f t="shared" si="84"/>
        <v/>
      </c>
      <c r="V391" s="989"/>
      <c r="X391" s="374" t="str">
        <f t="shared" si="85"/>
        <v/>
      </c>
      <c r="Y391" s="375" t="str">
        <f t="shared" si="86"/>
        <v/>
      </c>
      <c r="Z391" s="374" t="str">
        <f t="shared" si="87"/>
        <v/>
      </c>
      <c r="AA391" s="374" t="b">
        <f t="shared" si="88"/>
        <v>1</v>
      </c>
      <c r="AB391" s="374">
        <f>COUNTIFS(B:B,B391,H:H,'סיווג התפקידים והעלויות'!$C$2)</f>
        <v>0</v>
      </c>
      <c r="AC391" s="374">
        <f>COUNTIFS(B:B,B391,H:H,'סיווג התפקידים והעלויות'!$D$2)</f>
        <v>0</v>
      </c>
      <c r="AD391" s="374" t="str">
        <f>IF(OR(AND(H391='סיווג התפקידים והעלויות'!$A$2,I391='סיווג התפקידים והעלויות'!$A$3),'עלויות כח אדם (6)'!H391='סיווג התפקידים והעלויות'!$C$2,'עלויות כח אדם (6)'!H391='סיווג התפקידים והעלויות'!$D$2),IF('עלויות כח אדם (6)'!J391&lt;75,"לא תקין","תקין"),"")</f>
        <v/>
      </c>
      <c r="AE391" s="374" t="str">
        <f t="shared" si="89"/>
        <v/>
      </c>
      <c r="AF391" s="532" t="str">
        <f t="shared" si="90"/>
        <v/>
      </c>
    </row>
    <row r="392" spans="2:32" x14ac:dyDescent="0.25">
      <c r="B392" s="695"/>
      <c r="C392" s="197" t="str">
        <f>IF(B392&lt;&gt;"",IFERROR(VLOOKUP(B:B,'מצבת והרשמה (2)'!$C$20:$N$520,2,0)," ")," ")</f>
        <v xml:space="preserve"> </v>
      </c>
      <c r="D392" s="695"/>
      <c r="E392" s="696"/>
      <c r="F392" s="696"/>
      <c r="G392" s="696"/>
      <c r="H392" s="696"/>
      <c r="I392" s="1050" t="str">
        <f t="shared" si="77"/>
        <v/>
      </c>
      <c r="J392" s="696"/>
      <c r="K392" s="697"/>
      <c r="L392" s="696"/>
      <c r="M392" s="198" t="str">
        <f t="shared" si="78"/>
        <v/>
      </c>
      <c r="N392" s="369" t="str">
        <f t="shared" si="79"/>
        <v/>
      </c>
      <c r="O392" s="183" t="str">
        <f t="shared" si="80"/>
        <v/>
      </c>
      <c r="P392" s="199" t="str">
        <f t="shared" si="81"/>
        <v/>
      </c>
      <c r="Q392" s="199" t="str">
        <f>IF(B392="","",IFERROR(IF('עלויות כח אדם (6)'!J392&gt;=VLOOKUP(I392,'סיווג התפקידים והעלויות'!$B$23:$C$32,2,0),"תקין","לא תקין"),""))</f>
        <v/>
      </c>
      <c r="R392" s="199" t="str">
        <f t="shared" si="82"/>
        <v/>
      </c>
      <c r="S392" s="199" t="str">
        <f t="shared" si="83"/>
        <v/>
      </c>
      <c r="T392" s="199" t="str">
        <f t="shared" si="91"/>
        <v/>
      </c>
      <c r="U392" s="199" t="str">
        <f t="shared" si="84"/>
        <v/>
      </c>
      <c r="V392" s="989"/>
      <c r="X392" s="374" t="str">
        <f t="shared" si="85"/>
        <v/>
      </c>
      <c r="Y392" s="375" t="str">
        <f t="shared" si="86"/>
        <v/>
      </c>
      <c r="Z392" s="374" t="str">
        <f t="shared" si="87"/>
        <v/>
      </c>
      <c r="AA392" s="374" t="b">
        <f t="shared" si="88"/>
        <v>1</v>
      </c>
      <c r="AB392" s="374">
        <f>COUNTIFS(B:B,B392,H:H,'סיווג התפקידים והעלויות'!$C$2)</f>
        <v>0</v>
      </c>
      <c r="AC392" s="374">
        <f>COUNTIFS(B:B,B392,H:H,'סיווג התפקידים והעלויות'!$D$2)</f>
        <v>0</v>
      </c>
      <c r="AD392" s="374" t="str">
        <f>IF(OR(AND(H392='סיווג התפקידים והעלויות'!$A$2,I392='סיווג התפקידים והעלויות'!$A$3),'עלויות כח אדם (6)'!H392='סיווג התפקידים והעלויות'!$C$2,'עלויות כח אדם (6)'!H392='סיווג התפקידים והעלויות'!$D$2),IF('עלויות כח אדם (6)'!J392&lt;75,"לא תקין","תקין"),"")</f>
        <v/>
      </c>
      <c r="AE392" s="374" t="str">
        <f t="shared" si="89"/>
        <v/>
      </c>
      <c r="AF392" s="532" t="str">
        <f t="shared" si="90"/>
        <v/>
      </c>
    </row>
    <row r="393" spans="2:32" x14ac:dyDescent="0.25">
      <c r="B393" s="695"/>
      <c r="C393" s="197" t="str">
        <f>IF(B393&lt;&gt;"",IFERROR(VLOOKUP(B:B,'מצבת והרשמה (2)'!$C$20:$N$520,2,0)," ")," ")</f>
        <v xml:space="preserve"> </v>
      </c>
      <c r="D393" s="695"/>
      <c r="E393" s="696"/>
      <c r="F393" s="696"/>
      <c r="G393" s="696"/>
      <c r="H393" s="696"/>
      <c r="I393" s="1050" t="str">
        <f t="shared" si="77"/>
        <v/>
      </c>
      <c r="J393" s="696"/>
      <c r="K393" s="697"/>
      <c r="L393" s="696"/>
      <c r="M393" s="198" t="str">
        <f t="shared" si="78"/>
        <v/>
      </c>
      <c r="N393" s="369" t="str">
        <f t="shared" si="79"/>
        <v/>
      </c>
      <c r="O393" s="183" t="str">
        <f t="shared" si="80"/>
        <v/>
      </c>
      <c r="P393" s="199" t="str">
        <f t="shared" si="81"/>
        <v/>
      </c>
      <c r="Q393" s="199" t="str">
        <f>IF(B393="","",IFERROR(IF('עלויות כח אדם (6)'!J393&gt;=VLOOKUP(I393,'סיווג התפקידים והעלויות'!$B$23:$C$32,2,0),"תקין","לא תקין"),""))</f>
        <v/>
      </c>
      <c r="R393" s="199" t="str">
        <f t="shared" si="82"/>
        <v/>
      </c>
      <c r="S393" s="199" t="str">
        <f t="shared" si="83"/>
        <v/>
      </c>
      <c r="T393" s="199" t="str">
        <f t="shared" si="91"/>
        <v/>
      </c>
      <c r="U393" s="199" t="str">
        <f t="shared" si="84"/>
        <v/>
      </c>
      <c r="V393" s="989"/>
      <c r="X393" s="374" t="str">
        <f t="shared" si="85"/>
        <v/>
      </c>
      <c r="Y393" s="375" t="str">
        <f t="shared" si="86"/>
        <v/>
      </c>
      <c r="Z393" s="374" t="str">
        <f t="shared" si="87"/>
        <v/>
      </c>
      <c r="AA393" s="374" t="b">
        <f t="shared" si="88"/>
        <v>1</v>
      </c>
      <c r="AB393" s="374">
        <f>COUNTIFS(B:B,B393,H:H,'סיווג התפקידים והעלויות'!$C$2)</f>
        <v>0</v>
      </c>
      <c r="AC393" s="374">
        <f>COUNTIFS(B:B,B393,H:H,'סיווג התפקידים והעלויות'!$D$2)</f>
        <v>0</v>
      </c>
      <c r="AD393" s="374" t="str">
        <f>IF(OR(AND(H393='סיווג התפקידים והעלויות'!$A$2,I393='סיווג התפקידים והעלויות'!$A$3),'עלויות כח אדם (6)'!H393='סיווג התפקידים והעלויות'!$C$2,'עלויות כח אדם (6)'!H393='סיווג התפקידים והעלויות'!$D$2),IF('עלויות כח אדם (6)'!J393&lt;75,"לא תקין","תקין"),"")</f>
        <v/>
      </c>
      <c r="AE393" s="374" t="str">
        <f t="shared" si="89"/>
        <v/>
      </c>
      <c r="AF393" s="532" t="str">
        <f t="shared" si="90"/>
        <v/>
      </c>
    </row>
    <row r="394" spans="2:32" x14ac:dyDescent="0.25">
      <c r="B394" s="695"/>
      <c r="C394" s="197" t="str">
        <f>IF(B394&lt;&gt;"",IFERROR(VLOOKUP(B:B,'מצבת והרשמה (2)'!$C$20:$N$520,2,0)," ")," ")</f>
        <v xml:space="preserve"> </v>
      </c>
      <c r="D394" s="695"/>
      <c r="E394" s="696"/>
      <c r="F394" s="696"/>
      <c r="G394" s="696"/>
      <c r="H394" s="696"/>
      <c r="I394" s="1050" t="str">
        <f t="shared" si="77"/>
        <v/>
      </c>
      <c r="J394" s="696"/>
      <c r="K394" s="697"/>
      <c r="L394" s="696"/>
      <c r="M394" s="198" t="str">
        <f t="shared" si="78"/>
        <v/>
      </c>
      <c r="N394" s="369" t="str">
        <f t="shared" si="79"/>
        <v/>
      </c>
      <c r="O394" s="183" t="str">
        <f t="shared" si="80"/>
        <v/>
      </c>
      <c r="P394" s="199" t="str">
        <f t="shared" si="81"/>
        <v/>
      </c>
      <c r="Q394" s="199" t="str">
        <f>IF(B394="","",IFERROR(IF('עלויות כח אדם (6)'!J394&gt;=VLOOKUP(I394,'סיווג התפקידים והעלויות'!$B$23:$C$32,2,0),"תקין","לא תקין"),""))</f>
        <v/>
      </c>
      <c r="R394" s="199" t="str">
        <f t="shared" si="82"/>
        <v/>
      </c>
      <c r="S394" s="199" t="str">
        <f t="shared" si="83"/>
        <v/>
      </c>
      <c r="T394" s="199" t="str">
        <f t="shared" si="91"/>
        <v/>
      </c>
      <c r="U394" s="199" t="str">
        <f t="shared" si="84"/>
        <v/>
      </c>
      <c r="V394" s="989"/>
      <c r="X394" s="374" t="str">
        <f t="shared" si="85"/>
        <v/>
      </c>
      <c r="Y394" s="375" t="str">
        <f t="shared" si="86"/>
        <v/>
      </c>
      <c r="Z394" s="374" t="str">
        <f t="shared" si="87"/>
        <v/>
      </c>
      <c r="AA394" s="374" t="b">
        <f t="shared" si="88"/>
        <v>1</v>
      </c>
      <c r="AB394" s="374">
        <f>COUNTIFS(B:B,B394,H:H,'סיווג התפקידים והעלויות'!$C$2)</f>
        <v>0</v>
      </c>
      <c r="AC394" s="374">
        <f>COUNTIFS(B:B,B394,H:H,'סיווג התפקידים והעלויות'!$D$2)</f>
        <v>0</v>
      </c>
      <c r="AD394" s="374" t="str">
        <f>IF(OR(AND(H394='סיווג התפקידים והעלויות'!$A$2,I394='סיווג התפקידים והעלויות'!$A$3),'עלויות כח אדם (6)'!H394='סיווג התפקידים והעלויות'!$C$2,'עלויות כח אדם (6)'!H394='סיווג התפקידים והעלויות'!$D$2),IF('עלויות כח אדם (6)'!J394&lt;75,"לא תקין","תקין"),"")</f>
        <v/>
      </c>
      <c r="AE394" s="374" t="str">
        <f t="shared" si="89"/>
        <v/>
      </c>
      <c r="AF394" s="532" t="str">
        <f t="shared" si="90"/>
        <v/>
      </c>
    </row>
    <row r="395" spans="2:32" x14ac:dyDescent="0.25">
      <c r="B395" s="695"/>
      <c r="C395" s="197" t="str">
        <f>IF(B395&lt;&gt;"",IFERROR(VLOOKUP(B:B,'מצבת והרשמה (2)'!$C$20:$N$520,2,0)," ")," ")</f>
        <v xml:space="preserve"> </v>
      </c>
      <c r="D395" s="695"/>
      <c r="E395" s="696"/>
      <c r="F395" s="696"/>
      <c r="G395" s="696"/>
      <c r="H395" s="696"/>
      <c r="I395" s="1050" t="str">
        <f t="shared" si="77"/>
        <v/>
      </c>
      <c r="J395" s="696"/>
      <c r="K395" s="697"/>
      <c r="L395" s="696"/>
      <c r="M395" s="198" t="str">
        <f t="shared" si="78"/>
        <v/>
      </c>
      <c r="N395" s="369" t="str">
        <f t="shared" si="79"/>
        <v/>
      </c>
      <c r="O395" s="183" t="str">
        <f t="shared" si="80"/>
        <v/>
      </c>
      <c r="P395" s="199" t="str">
        <f t="shared" si="81"/>
        <v/>
      </c>
      <c r="Q395" s="199" t="str">
        <f>IF(B395="","",IFERROR(IF('עלויות כח אדם (6)'!J395&gt;=VLOOKUP(I395,'סיווג התפקידים והעלויות'!$B$23:$C$32,2,0),"תקין","לא תקין"),""))</f>
        <v/>
      </c>
      <c r="R395" s="199" t="str">
        <f t="shared" si="82"/>
        <v/>
      </c>
      <c r="S395" s="199" t="str">
        <f t="shared" si="83"/>
        <v/>
      </c>
      <c r="T395" s="199" t="str">
        <f t="shared" si="91"/>
        <v/>
      </c>
      <c r="U395" s="199" t="str">
        <f t="shared" si="84"/>
        <v/>
      </c>
      <c r="V395" s="989"/>
      <c r="X395" s="374" t="str">
        <f t="shared" si="85"/>
        <v/>
      </c>
      <c r="Y395" s="375" t="str">
        <f t="shared" si="86"/>
        <v/>
      </c>
      <c r="Z395" s="374" t="str">
        <f t="shared" si="87"/>
        <v/>
      </c>
      <c r="AA395" s="374" t="b">
        <f t="shared" si="88"/>
        <v>1</v>
      </c>
      <c r="AB395" s="374">
        <f>COUNTIFS(B:B,B395,H:H,'סיווג התפקידים והעלויות'!$C$2)</f>
        <v>0</v>
      </c>
      <c r="AC395" s="374">
        <f>COUNTIFS(B:B,B395,H:H,'סיווג התפקידים והעלויות'!$D$2)</f>
        <v>0</v>
      </c>
      <c r="AD395" s="374" t="str">
        <f>IF(OR(AND(H395='סיווג התפקידים והעלויות'!$A$2,I395='סיווג התפקידים והעלויות'!$A$3),'עלויות כח אדם (6)'!H395='סיווג התפקידים והעלויות'!$C$2,'עלויות כח אדם (6)'!H395='סיווג התפקידים והעלויות'!$D$2),IF('עלויות כח אדם (6)'!J395&lt;75,"לא תקין","תקין"),"")</f>
        <v/>
      </c>
      <c r="AE395" s="374" t="str">
        <f t="shared" si="89"/>
        <v/>
      </c>
      <c r="AF395" s="532" t="str">
        <f t="shared" si="90"/>
        <v/>
      </c>
    </row>
    <row r="396" spans="2:32" x14ac:dyDescent="0.25">
      <c r="B396" s="695"/>
      <c r="C396" s="197" t="str">
        <f>IF(B396&lt;&gt;"",IFERROR(VLOOKUP(B:B,'מצבת והרשמה (2)'!$C$20:$N$520,2,0)," ")," ")</f>
        <v xml:space="preserve"> </v>
      </c>
      <c r="D396" s="695"/>
      <c r="E396" s="696"/>
      <c r="F396" s="696"/>
      <c r="G396" s="696"/>
      <c r="H396" s="696"/>
      <c r="I396" s="1050" t="str">
        <f t="shared" si="77"/>
        <v/>
      </c>
      <c r="J396" s="696"/>
      <c r="K396" s="697"/>
      <c r="L396" s="696"/>
      <c r="M396" s="198" t="str">
        <f t="shared" si="78"/>
        <v/>
      </c>
      <c r="N396" s="369" t="str">
        <f t="shared" si="79"/>
        <v/>
      </c>
      <c r="O396" s="183" t="str">
        <f t="shared" si="80"/>
        <v/>
      </c>
      <c r="P396" s="199" t="str">
        <f t="shared" si="81"/>
        <v/>
      </c>
      <c r="Q396" s="199" t="str">
        <f>IF(B396="","",IFERROR(IF('עלויות כח אדם (6)'!J396&gt;=VLOOKUP(I396,'סיווג התפקידים והעלויות'!$B$23:$C$32,2,0),"תקין","לא תקין"),""))</f>
        <v/>
      </c>
      <c r="R396" s="199" t="str">
        <f t="shared" si="82"/>
        <v/>
      </c>
      <c r="S396" s="199" t="str">
        <f t="shared" si="83"/>
        <v/>
      </c>
      <c r="T396" s="199" t="str">
        <f t="shared" si="91"/>
        <v/>
      </c>
      <c r="U396" s="199" t="str">
        <f t="shared" si="84"/>
        <v/>
      </c>
      <c r="V396" s="989"/>
      <c r="X396" s="374" t="str">
        <f t="shared" si="85"/>
        <v/>
      </c>
      <c r="Y396" s="375" t="str">
        <f t="shared" si="86"/>
        <v/>
      </c>
      <c r="Z396" s="374" t="str">
        <f t="shared" si="87"/>
        <v/>
      </c>
      <c r="AA396" s="374" t="b">
        <f t="shared" si="88"/>
        <v>1</v>
      </c>
      <c r="AB396" s="374">
        <f>COUNTIFS(B:B,B396,H:H,'סיווג התפקידים והעלויות'!$C$2)</f>
        <v>0</v>
      </c>
      <c r="AC396" s="374">
        <f>COUNTIFS(B:B,B396,H:H,'סיווג התפקידים והעלויות'!$D$2)</f>
        <v>0</v>
      </c>
      <c r="AD396" s="374" t="str">
        <f>IF(OR(AND(H396='סיווג התפקידים והעלויות'!$A$2,I396='סיווג התפקידים והעלויות'!$A$3),'עלויות כח אדם (6)'!H396='סיווג התפקידים והעלויות'!$C$2,'עלויות כח אדם (6)'!H396='סיווג התפקידים והעלויות'!$D$2),IF('עלויות כח אדם (6)'!J396&lt;75,"לא תקין","תקין"),"")</f>
        <v/>
      </c>
      <c r="AE396" s="374" t="str">
        <f t="shared" si="89"/>
        <v/>
      </c>
      <c r="AF396" s="532" t="str">
        <f t="shared" si="90"/>
        <v/>
      </c>
    </row>
    <row r="397" spans="2:32" x14ac:dyDescent="0.25">
      <c r="B397" s="695"/>
      <c r="C397" s="197" t="str">
        <f>IF(B397&lt;&gt;"",IFERROR(VLOOKUP(B:B,'מצבת והרשמה (2)'!$C$20:$N$520,2,0)," ")," ")</f>
        <v xml:space="preserve"> </v>
      </c>
      <c r="D397" s="695"/>
      <c r="E397" s="696"/>
      <c r="F397" s="696"/>
      <c r="G397" s="696"/>
      <c r="H397" s="696"/>
      <c r="I397" s="1050" t="str">
        <f t="shared" si="77"/>
        <v/>
      </c>
      <c r="J397" s="696"/>
      <c r="K397" s="697"/>
      <c r="L397" s="696"/>
      <c r="M397" s="198" t="str">
        <f t="shared" si="78"/>
        <v/>
      </c>
      <c r="N397" s="369" t="str">
        <f t="shared" si="79"/>
        <v/>
      </c>
      <c r="O397" s="183" t="str">
        <f t="shared" si="80"/>
        <v/>
      </c>
      <c r="P397" s="199" t="str">
        <f t="shared" si="81"/>
        <v/>
      </c>
      <c r="Q397" s="199" t="str">
        <f>IF(B397="","",IFERROR(IF('עלויות כח אדם (6)'!J397&gt;=VLOOKUP(I397,'סיווג התפקידים והעלויות'!$B$23:$C$32,2,0),"תקין","לא תקין"),""))</f>
        <v/>
      </c>
      <c r="R397" s="199" t="str">
        <f t="shared" si="82"/>
        <v/>
      </c>
      <c r="S397" s="199" t="str">
        <f t="shared" si="83"/>
        <v/>
      </c>
      <c r="T397" s="199" t="str">
        <f t="shared" si="91"/>
        <v/>
      </c>
      <c r="U397" s="199" t="str">
        <f t="shared" si="84"/>
        <v/>
      </c>
      <c r="V397" s="989"/>
      <c r="X397" s="374" t="str">
        <f t="shared" si="85"/>
        <v/>
      </c>
      <c r="Y397" s="375" t="str">
        <f t="shared" si="86"/>
        <v/>
      </c>
      <c r="Z397" s="374" t="str">
        <f t="shared" si="87"/>
        <v/>
      </c>
      <c r="AA397" s="374" t="b">
        <f t="shared" si="88"/>
        <v>1</v>
      </c>
      <c r="AB397" s="374">
        <f>COUNTIFS(B:B,B397,H:H,'סיווג התפקידים והעלויות'!$C$2)</f>
        <v>0</v>
      </c>
      <c r="AC397" s="374">
        <f>COUNTIFS(B:B,B397,H:H,'סיווג התפקידים והעלויות'!$D$2)</f>
        <v>0</v>
      </c>
      <c r="AD397" s="374" t="str">
        <f>IF(OR(AND(H397='סיווג התפקידים והעלויות'!$A$2,I397='סיווג התפקידים והעלויות'!$A$3),'עלויות כח אדם (6)'!H397='סיווג התפקידים והעלויות'!$C$2,'עלויות כח אדם (6)'!H397='סיווג התפקידים והעלויות'!$D$2),IF('עלויות כח אדם (6)'!J397&lt;75,"לא תקין","תקין"),"")</f>
        <v/>
      </c>
      <c r="AE397" s="374" t="str">
        <f t="shared" si="89"/>
        <v/>
      </c>
      <c r="AF397" s="532" t="str">
        <f t="shared" si="90"/>
        <v/>
      </c>
    </row>
    <row r="398" spans="2:32" x14ac:dyDescent="0.25">
      <c r="B398" s="695"/>
      <c r="C398" s="197" t="str">
        <f>IF(B398&lt;&gt;"",IFERROR(VLOOKUP(B:B,'מצבת והרשמה (2)'!$C$20:$N$520,2,0)," ")," ")</f>
        <v xml:space="preserve"> </v>
      </c>
      <c r="D398" s="695"/>
      <c r="E398" s="696"/>
      <c r="F398" s="696"/>
      <c r="G398" s="696"/>
      <c r="H398" s="696"/>
      <c r="I398" s="1050" t="str">
        <f t="shared" si="77"/>
        <v/>
      </c>
      <c r="J398" s="696"/>
      <c r="K398" s="697"/>
      <c r="L398" s="696"/>
      <c r="M398" s="198" t="str">
        <f t="shared" si="78"/>
        <v/>
      </c>
      <c r="N398" s="369" t="str">
        <f t="shared" si="79"/>
        <v/>
      </c>
      <c r="O398" s="183" t="str">
        <f t="shared" si="80"/>
        <v/>
      </c>
      <c r="P398" s="199" t="str">
        <f t="shared" si="81"/>
        <v/>
      </c>
      <c r="Q398" s="199" t="str">
        <f>IF(B398="","",IFERROR(IF('עלויות כח אדם (6)'!J398&gt;=VLOOKUP(I398,'סיווג התפקידים והעלויות'!$B$23:$C$32,2,0),"תקין","לא תקין"),""))</f>
        <v/>
      </c>
      <c r="R398" s="199" t="str">
        <f t="shared" si="82"/>
        <v/>
      </c>
      <c r="S398" s="199" t="str">
        <f t="shared" si="83"/>
        <v/>
      </c>
      <c r="T398" s="199" t="str">
        <f t="shared" si="91"/>
        <v/>
      </c>
      <c r="U398" s="199" t="str">
        <f t="shared" si="84"/>
        <v/>
      </c>
      <c r="V398" s="989"/>
      <c r="X398" s="374" t="str">
        <f t="shared" si="85"/>
        <v/>
      </c>
      <c r="Y398" s="375" t="str">
        <f t="shared" si="86"/>
        <v/>
      </c>
      <c r="Z398" s="374" t="str">
        <f t="shared" si="87"/>
        <v/>
      </c>
      <c r="AA398" s="374" t="b">
        <f t="shared" si="88"/>
        <v>1</v>
      </c>
      <c r="AB398" s="374">
        <f>COUNTIFS(B:B,B398,H:H,'סיווג התפקידים והעלויות'!$C$2)</f>
        <v>0</v>
      </c>
      <c r="AC398" s="374">
        <f>COUNTIFS(B:B,B398,H:H,'סיווג התפקידים והעלויות'!$D$2)</f>
        <v>0</v>
      </c>
      <c r="AD398" s="374" t="str">
        <f>IF(OR(AND(H398='סיווג התפקידים והעלויות'!$A$2,I398='סיווג התפקידים והעלויות'!$A$3),'עלויות כח אדם (6)'!H398='סיווג התפקידים והעלויות'!$C$2,'עלויות כח אדם (6)'!H398='סיווג התפקידים והעלויות'!$D$2),IF('עלויות כח אדם (6)'!J398&lt;75,"לא תקין","תקין"),"")</f>
        <v/>
      </c>
      <c r="AE398" s="374" t="str">
        <f t="shared" si="89"/>
        <v/>
      </c>
      <c r="AF398" s="532" t="str">
        <f t="shared" si="90"/>
        <v/>
      </c>
    </row>
    <row r="399" spans="2:32" x14ac:dyDescent="0.25">
      <c r="B399" s="695"/>
      <c r="C399" s="197" t="str">
        <f>IF(B399&lt;&gt;"",IFERROR(VLOOKUP(B:B,'מצבת והרשמה (2)'!$C$20:$N$520,2,0)," ")," ")</f>
        <v xml:space="preserve"> </v>
      </c>
      <c r="D399" s="695"/>
      <c r="E399" s="696"/>
      <c r="F399" s="696"/>
      <c r="G399" s="696"/>
      <c r="H399" s="696"/>
      <c r="I399" s="1050" t="str">
        <f t="shared" ref="I399:I462" si="92">SUBSTITUTE(IFERROR(IF(H399="מדצ","מדצ/ית",IF(H399="סגנית רכזת מעל 150","סגנ/ית רכז/ת&gt;150",IF(H399="רכזת תכנית בבית הספר","רכז/ת תכנית בבית הספר"))),""),"FALSE","")</f>
        <v/>
      </c>
      <c r="J399" s="696"/>
      <c r="K399" s="697"/>
      <c r="L399" s="696"/>
      <c r="M399" s="198" t="str">
        <f t="shared" ref="M399:M462" si="93">IF(AND(L399&gt;0,K399&gt;0),K399*L399,"")</f>
        <v/>
      </c>
      <c r="N399" s="369" t="str">
        <f t="shared" ref="N399:N462" si="94">TEXT(LEFT(H399,2),0)</f>
        <v/>
      </c>
      <c r="O399" s="183" t="str">
        <f t="shared" ref="O399:O462" si="95">IF(ISNUMBER(M399&gt;0),IF(ISBLANK(B399),"יש להזין סמל מוסד בעמודה B",""),"")</f>
        <v/>
      </c>
      <c r="P399" s="199" t="str">
        <f t="shared" ref="P399:P462" si="96">IF(B399="","",IF(AA399=FALSE,"לא תקין","תקין"))</f>
        <v/>
      </c>
      <c r="Q399" s="199" t="str">
        <f>IF(B399="","",IFERROR(IF('עלויות כח אדם (6)'!J399&gt;=VLOOKUP(I399,'סיווג התפקידים והעלויות'!$B$23:$C$32,2,0),"תקין","לא תקין"),""))</f>
        <v/>
      </c>
      <c r="R399" s="199" t="str">
        <f t="shared" ref="R399:R462" si="97">IF(B399="","",IF(OR(Y399&lt;100%,Y399&gt;140%),"לא תקין","תקין"))</f>
        <v/>
      </c>
      <c r="S399" s="199" t="str">
        <f t="shared" ref="S399:S462" si="98">IF(B399="","",IFERROR(IF(J399&gt;120,"לא תקין","תקין"),""))</f>
        <v/>
      </c>
      <c r="T399" s="199" t="str">
        <f t="shared" si="91"/>
        <v/>
      </c>
      <c r="U399" s="199" t="str">
        <f t="shared" ref="U399:U462" si="99">IF(B399="","",IF(Z399&gt;1,IF(SUMIF(D:D,D399,L:L)&gt;90,"לא תקין","תקין"),"תקין"))</f>
        <v/>
      </c>
      <c r="V399" s="989"/>
      <c r="X399" s="374" t="str">
        <f t="shared" ref="X399:X462" si="100">IF(B399="","",IF(OR(R399="לא תקין",S399="לא תקין",T399="לא תקין",,U399="לא תקין"),"לא תקין","תקין"))</f>
        <v/>
      </c>
      <c r="Y399" s="375" t="str">
        <f t="shared" ref="Y399:Y462" si="101">IFERROR(IF(B399="","",K399/J399),"")</f>
        <v/>
      </c>
      <c r="Z399" s="374" t="str">
        <f t="shared" ref="Z399:Z462" si="102">IF(B399="","",COUNTIF(D:D,D399))</f>
        <v/>
      </c>
      <c r="AA399" s="374" t="b">
        <f t="shared" ref="AA399:AA462" si="103">MOD(MID(REPT(0,9-LEN(D399))&amp;D399,1,1)+MID("0246813579",MID(REPT(0,9-LEN(D399))&amp;D399,2,1)+1,1)+MID(REPT(0,9-LEN(D399))&amp;D399,3,1)+MID("0246813579",MID(REPT(0,9-LEN(D399))&amp;D399,4,1)+1,1)+MID(REPT(0,9-LEN(D399))&amp;D399,5,1)+MID("0246813579",MID(REPT(0,9-LEN(D399))&amp;D399,6,1)+1,1)+MID(REPT(0,9-LEN(D399))&amp;D399,7,1)+MID("0246813579",MID(REPT(0,9-LEN(D399))&amp;D399,8,1)+1,1)+MID(REPT(0,9-LEN(D399))&amp;D399,9,1),10)=0</f>
        <v>1</v>
      </c>
      <c r="AB399" s="374">
        <f>COUNTIFS(B:B,B399,H:H,'סיווג התפקידים והעלויות'!$C$2)</f>
        <v>0</v>
      </c>
      <c r="AC399" s="374">
        <f>COUNTIFS(B:B,B399,H:H,'סיווג התפקידים והעלויות'!$D$2)</f>
        <v>0</v>
      </c>
      <c r="AD399" s="374" t="str">
        <f>IF(OR(AND(H399='סיווג התפקידים והעלויות'!$A$2,I399='סיווג התפקידים והעלויות'!$A$3),'עלויות כח אדם (6)'!H399='סיווג התפקידים והעלויות'!$C$2,'עלויות כח אדם (6)'!H399='סיווג התפקידים והעלויות'!$D$2),IF('עלויות כח אדם (6)'!J399&lt;75,"לא תקין","תקין"),"")</f>
        <v/>
      </c>
      <c r="AE399" s="374" t="str">
        <f t="shared" ref="AE399:AE462" si="104">IF(B399&lt;&gt;"",B399&amp;H399,"")</f>
        <v/>
      </c>
      <c r="AF399" s="532" t="str">
        <f t="shared" ref="AF399:AF462" si="105">M399</f>
        <v/>
      </c>
    </row>
    <row r="400" spans="2:32" x14ac:dyDescent="0.25">
      <c r="B400" s="695"/>
      <c r="C400" s="197" t="str">
        <f>IF(B400&lt;&gt;"",IFERROR(VLOOKUP(B:B,'מצבת והרשמה (2)'!$C$20:$N$520,2,0)," ")," ")</f>
        <v xml:space="preserve"> </v>
      </c>
      <c r="D400" s="695"/>
      <c r="E400" s="696"/>
      <c r="F400" s="696"/>
      <c r="G400" s="696"/>
      <c r="H400" s="696"/>
      <c r="I400" s="1050" t="str">
        <f t="shared" si="92"/>
        <v/>
      </c>
      <c r="J400" s="696"/>
      <c r="K400" s="697"/>
      <c r="L400" s="696"/>
      <c r="M400" s="198" t="str">
        <f t="shared" si="93"/>
        <v/>
      </c>
      <c r="N400" s="369" t="str">
        <f t="shared" si="94"/>
        <v/>
      </c>
      <c r="O400" s="183" t="str">
        <f t="shared" si="95"/>
        <v/>
      </c>
      <c r="P400" s="199" t="str">
        <f t="shared" si="96"/>
        <v/>
      </c>
      <c r="Q400" s="199" t="str">
        <f>IF(B400="","",IFERROR(IF('עלויות כח אדם (6)'!J400&gt;=VLOOKUP(I400,'סיווג התפקידים והעלויות'!$B$23:$C$32,2,0),"תקין","לא תקין"),""))</f>
        <v/>
      </c>
      <c r="R400" s="199" t="str">
        <f t="shared" si="97"/>
        <v/>
      </c>
      <c r="S400" s="199" t="str">
        <f t="shared" si="98"/>
        <v/>
      </c>
      <c r="T400" s="199" t="str">
        <f t="shared" ref="T400:T463" si="106">IF(B400="","",IF(H400="","יש להזין איש צוות",IF(OR(H400="מורה",H400="גננת",H400="רכז גן",H400="רכזת גן",H400="סייעת",H400="מדצית",H400="מדצ",H400="מדריך",H400="מדריכה",H400="תוספת כח אדם"),IF(L400&lt;=90,"תקין","לא תקין"),IF(OR(H400="רכז בית ספר",H400="רכזת תכנית בבית הספר",H400="רכזת בית ספר"),IF(L400&lt;=137,"תקין","לא תקין"),IF(OR(H400="סגנית רכזת מעל 150",H400="סגן רכז"),IF(L400&lt;=93,"תקין","לא תקין"),"לא תקין")))))</f>
        <v/>
      </c>
      <c r="U400" s="199" t="str">
        <f t="shared" si="99"/>
        <v/>
      </c>
      <c r="V400" s="989"/>
      <c r="X400" s="374" t="str">
        <f t="shared" si="100"/>
        <v/>
      </c>
      <c r="Y400" s="375" t="str">
        <f t="shared" si="101"/>
        <v/>
      </c>
      <c r="Z400" s="374" t="str">
        <f t="shared" si="102"/>
        <v/>
      </c>
      <c r="AA400" s="374" t="b">
        <f t="shared" si="103"/>
        <v>1</v>
      </c>
      <c r="AB400" s="374">
        <f>COUNTIFS(B:B,B400,H:H,'סיווג התפקידים והעלויות'!$C$2)</f>
        <v>0</v>
      </c>
      <c r="AC400" s="374">
        <f>COUNTIFS(B:B,B400,H:H,'סיווג התפקידים והעלויות'!$D$2)</f>
        <v>0</v>
      </c>
      <c r="AD400" s="374" t="str">
        <f>IF(OR(AND(H400='סיווג התפקידים והעלויות'!$A$2,I400='סיווג התפקידים והעלויות'!$A$3),'עלויות כח אדם (6)'!H400='סיווג התפקידים והעלויות'!$C$2,'עלויות כח אדם (6)'!H400='סיווג התפקידים והעלויות'!$D$2),IF('עלויות כח אדם (6)'!J400&lt;75,"לא תקין","תקין"),"")</f>
        <v/>
      </c>
      <c r="AE400" s="374" t="str">
        <f t="shared" si="104"/>
        <v/>
      </c>
      <c r="AF400" s="532" t="str">
        <f t="shared" si="105"/>
        <v/>
      </c>
    </row>
    <row r="401" spans="2:32" x14ac:dyDescent="0.25">
      <c r="B401" s="695"/>
      <c r="C401" s="197" t="str">
        <f>IF(B401&lt;&gt;"",IFERROR(VLOOKUP(B:B,'מצבת והרשמה (2)'!$C$20:$N$520,2,0)," ")," ")</f>
        <v xml:space="preserve"> </v>
      </c>
      <c r="D401" s="695"/>
      <c r="E401" s="696"/>
      <c r="F401" s="696"/>
      <c r="G401" s="696"/>
      <c r="H401" s="696"/>
      <c r="I401" s="1050" t="str">
        <f t="shared" si="92"/>
        <v/>
      </c>
      <c r="J401" s="696"/>
      <c r="K401" s="697"/>
      <c r="L401" s="696"/>
      <c r="M401" s="198" t="str">
        <f t="shared" si="93"/>
        <v/>
      </c>
      <c r="N401" s="369" t="str">
        <f t="shared" si="94"/>
        <v/>
      </c>
      <c r="O401" s="183" t="str">
        <f t="shared" si="95"/>
        <v/>
      </c>
      <c r="P401" s="199" t="str">
        <f t="shared" si="96"/>
        <v/>
      </c>
      <c r="Q401" s="199" t="str">
        <f>IF(B401="","",IFERROR(IF('עלויות כח אדם (6)'!J401&gt;=VLOOKUP(I401,'סיווג התפקידים והעלויות'!$B$23:$C$32,2,0),"תקין","לא תקין"),""))</f>
        <v/>
      </c>
      <c r="R401" s="199" t="str">
        <f t="shared" si="97"/>
        <v/>
      </c>
      <c r="S401" s="199" t="str">
        <f t="shared" si="98"/>
        <v/>
      </c>
      <c r="T401" s="199" t="str">
        <f t="shared" si="106"/>
        <v/>
      </c>
      <c r="U401" s="199" t="str">
        <f t="shared" si="99"/>
        <v/>
      </c>
      <c r="V401" s="989"/>
      <c r="X401" s="374" t="str">
        <f t="shared" si="100"/>
        <v/>
      </c>
      <c r="Y401" s="375" t="str">
        <f t="shared" si="101"/>
        <v/>
      </c>
      <c r="Z401" s="374" t="str">
        <f t="shared" si="102"/>
        <v/>
      </c>
      <c r="AA401" s="374" t="b">
        <f t="shared" si="103"/>
        <v>1</v>
      </c>
      <c r="AB401" s="374">
        <f>COUNTIFS(B:B,B401,H:H,'סיווג התפקידים והעלויות'!$C$2)</f>
        <v>0</v>
      </c>
      <c r="AC401" s="374">
        <f>COUNTIFS(B:B,B401,H:H,'סיווג התפקידים והעלויות'!$D$2)</f>
        <v>0</v>
      </c>
      <c r="AD401" s="374" t="str">
        <f>IF(OR(AND(H401='סיווג התפקידים והעלויות'!$A$2,I401='סיווג התפקידים והעלויות'!$A$3),'עלויות כח אדם (6)'!H401='סיווג התפקידים והעלויות'!$C$2,'עלויות כח אדם (6)'!H401='סיווג התפקידים והעלויות'!$D$2),IF('עלויות כח אדם (6)'!J401&lt;75,"לא תקין","תקין"),"")</f>
        <v/>
      </c>
      <c r="AE401" s="374" t="str">
        <f t="shared" si="104"/>
        <v/>
      </c>
      <c r="AF401" s="532" t="str">
        <f t="shared" si="105"/>
        <v/>
      </c>
    </row>
    <row r="402" spans="2:32" x14ac:dyDescent="0.25">
      <c r="B402" s="695"/>
      <c r="C402" s="197" t="str">
        <f>IF(B402&lt;&gt;"",IFERROR(VLOOKUP(B:B,'מצבת והרשמה (2)'!$C$20:$N$520,2,0)," ")," ")</f>
        <v xml:space="preserve"> </v>
      </c>
      <c r="D402" s="695"/>
      <c r="E402" s="696"/>
      <c r="F402" s="696"/>
      <c r="G402" s="696"/>
      <c r="H402" s="696"/>
      <c r="I402" s="1050" t="str">
        <f t="shared" si="92"/>
        <v/>
      </c>
      <c r="J402" s="696"/>
      <c r="K402" s="697"/>
      <c r="L402" s="696"/>
      <c r="M402" s="198" t="str">
        <f t="shared" si="93"/>
        <v/>
      </c>
      <c r="N402" s="369" t="str">
        <f t="shared" si="94"/>
        <v/>
      </c>
      <c r="O402" s="183" t="str">
        <f t="shared" si="95"/>
        <v/>
      </c>
      <c r="P402" s="199" t="str">
        <f t="shared" si="96"/>
        <v/>
      </c>
      <c r="Q402" s="199" t="str">
        <f>IF(B402="","",IFERROR(IF('עלויות כח אדם (6)'!J402&gt;=VLOOKUP(I402,'סיווג התפקידים והעלויות'!$B$23:$C$32,2,0),"תקין","לא תקין"),""))</f>
        <v/>
      </c>
      <c r="R402" s="199" t="str">
        <f t="shared" si="97"/>
        <v/>
      </c>
      <c r="S402" s="199" t="str">
        <f t="shared" si="98"/>
        <v/>
      </c>
      <c r="T402" s="199" t="str">
        <f t="shared" si="106"/>
        <v/>
      </c>
      <c r="U402" s="199" t="str">
        <f t="shared" si="99"/>
        <v/>
      </c>
      <c r="V402" s="989"/>
      <c r="X402" s="374" t="str">
        <f t="shared" si="100"/>
        <v/>
      </c>
      <c r="Y402" s="375" t="str">
        <f t="shared" si="101"/>
        <v/>
      </c>
      <c r="Z402" s="374" t="str">
        <f t="shared" si="102"/>
        <v/>
      </c>
      <c r="AA402" s="374" t="b">
        <f t="shared" si="103"/>
        <v>1</v>
      </c>
      <c r="AB402" s="374">
        <f>COUNTIFS(B:B,B402,H:H,'סיווג התפקידים והעלויות'!$C$2)</f>
        <v>0</v>
      </c>
      <c r="AC402" s="374">
        <f>COUNTIFS(B:B,B402,H:H,'סיווג התפקידים והעלויות'!$D$2)</f>
        <v>0</v>
      </c>
      <c r="AD402" s="374" t="str">
        <f>IF(OR(AND(H402='סיווג התפקידים והעלויות'!$A$2,I402='סיווג התפקידים והעלויות'!$A$3),'עלויות כח אדם (6)'!H402='סיווג התפקידים והעלויות'!$C$2,'עלויות כח אדם (6)'!H402='סיווג התפקידים והעלויות'!$D$2),IF('עלויות כח אדם (6)'!J402&lt;75,"לא תקין","תקין"),"")</f>
        <v/>
      </c>
      <c r="AE402" s="374" t="str">
        <f t="shared" si="104"/>
        <v/>
      </c>
      <c r="AF402" s="532" t="str">
        <f t="shared" si="105"/>
        <v/>
      </c>
    </row>
    <row r="403" spans="2:32" x14ac:dyDescent="0.25">
      <c r="B403" s="695"/>
      <c r="C403" s="197" t="str">
        <f>IF(B403&lt;&gt;"",IFERROR(VLOOKUP(B:B,'מצבת והרשמה (2)'!$C$20:$N$520,2,0)," ")," ")</f>
        <v xml:space="preserve"> </v>
      </c>
      <c r="D403" s="695"/>
      <c r="E403" s="696"/>
      <c r="F403" s="696"/>
      <c r="G403" s="696"/>
      <c r="H403" s="696"/>
      <c r="I403" s="1050" t="str">
        <f t="shared" si="92"/>
        <v/>
      </c>
      <c r="J403" s="696"/>
      <c r="K403" s="697"/>
      <c r="L403" s="696"/>
      <c r="M403" s="198" t="str">
        <f t="shared" si="93"/>
        <v/>
      </c>
      <c r="N403" s="369" t="str">
        <f t="shared" si="94"/>
        <v/>
      </c>
      <c r="O403" s="183" t="str">
        <f t="shared" si="95"/>
        <v/>
      </c>
      <c r="P403" s="199" t="str">
        <f t="shared" si="96"/>
        <v/>
      </c>
      <c r="Q403" s="199" t="str">
        <f>IF(B403="","",IFERROR(IF('עלויות כח אדם (6)'!J403&gt;=VLOOKUP(I403,'סיווג התפקידים והעלויות'!$B$23:$C$32,2,0),"תקין","לא תקין"),""))</f>
        <v/>
      </c>
      <c r="R403" s="199" t="str">
        <f t="shared" si="97"/>
        <v/>
      </c>
      <c r="S403" s="199" t="str">
        <f t="shared" si="98"/>
        <v/>
      </c>
      <c r="T403" s="199" t="str">
        <f t="shared" si="106"/>
        <v/>
      </c>
      <c r="U403" s="199" t="str">
        <f t="shared" si="99"/>
        <v/>
      </c>
      <c r="V403" s="989"/>
      <c r="X403" s="374" t="str">
        <f t="shared" si="100"/>
        <v/>
      </c>
      <c r="Y403" s="375" t="str">
        <f t="shared" si="101"/>
        <v/>
      </c>
      <c r="Z403" s="374" t="str">
        <f t="shared" si="102"/>
        <v/>
      </c>
      <c r="AA403" s="374" t="b">
        <f t="shared" si="103"/>
        <v>1</v>
      </c>
      <c r="AB403" s="374">
        <f>COUNTIFS(B:B,B403,H:H,'סיווג התפקידים והעלויות'!$C$2)</f>
        <v>0</v>
      </c>
      <c r="AC403" s="374">
        <f>COUNTIFS(B:B,B403,H:H,'סיווג התפקידים והעלויות'!$D$2)</f>
        <v>0</v>
      </c>
      <c r="AD403" s="374" t="str">
        <f>IF(OR(AND(H403='סיווג התפקידים והעלויות'!$A$2,I403='סיווג התפקידים והעלויות'!$A$3),'עלויות כח אדם (6)'!H403='סיווג התפקידים והעלויות'!$C$2,'עלויות כח אדם (6)'!H403='סיווג התפקידים והעלויות'!$D$2),IF('עלויות כח אדם (6)'!J403&lt;75,"לא תקין","תקין"),"")</f>
        <v/>
      </c>
      <c r="AE403" s="374" t="str">
        <f t="shared" si="104"/>
        <v/>
      </c>
      <c r="AF403" s="532" t="str">
        <f t="shared" si="105"/>
        <v/>
      </c>
    </row>
    <row r="404" spans="2:32" x14ac:dyDescent="0.25">
      <c r="B404" s="695"/>
      <c r="C404" s="197" t="str">
        <f>IF(B404&lt;&gt;"",IFERROR(VLOOKUP(B:B,'מצבת והרשמה (2)'!$C$20:$N$520,2,0)," ")," ")</f>
        <v xml:space="preserve"> </v>
      </c>
      <c r="D404" s="695"/>
      <c r="E404" s="696"/>
      <c r="F404" s="696"/>
      <c r="G404" s="696"/>
      <c r="H404" s="696"/>
      <c r="I404" s="1050" t="str">
        <f t="shared" si="92"/>
        <v/>
      </c>
      <c r="J404" s="696"/>
      <c r="K404" s="697"/>
      <c r="L404" s="696"/>
      <c r="M404" s="198" t="str">
        <f t="shared" si="93"/>
        <v/>
      </c>
      <c r="N404" s="369" t="str">
        <f t="shared" si="94"/>
        <v/>
      </c>
      <c r="O404" s="183" t="str">
        <f t="shared" si="95"/>
        <v/>
      </c>
      <c r="P404" s="199" t="str">
        <f t="shared" si="96"/>
        <v/>
      </c>
      <c r="Q404" s="199" t="str">
        <f>IF(B404="","",IFERROR(IF('עלויות כח אדם (6)'!J404&gt;=VLOOKUP(I404,'סיווג התפקידים והעלויות'!$B$23:$C$32,2,0),"תקין","לא תקין"),""))</f>
        <v/>
      </c>
      <c r="R404" s="199" t="str">
        <f t="shared" si="97"/>
        <v/>
      </c>
      <c r="S404" s="199" t="str">
        <f t="shared" si="98"/>
        <v/>
      </c>
      <c r="T404" s="199" t="str">
        <f t="shared" si="106"/>
        <v/>
      </c>
      <c r="U404" s="199" t="str">
        <f t="shared" si="99"/>
        <v/>
      </c>
      <c r="V404" s="989"/>
      <c r="X404" s="374" t="str">
        <f t="shared" si="100"/>
        <v/>
      </c>
      <c r="Y404" s="375" t="str">
        <f t="shared" si="101"/>
        <v/>
      </c>
      <c r="Z404" s="374" t="str">
        <f t="shared" si="102"/>
        <v/>
      </c>
      <c r="AA404" s="374" t="b">
        <f t="shared" si="103"/>
        <v>1</v>
      </c>
      <c r="AB404" s="374">
        <f>COUNTIFS(B:B,B404,H:H,'סיווג התפקידים והעלויות'!$C$2)</f>
        <v>0</v>
      </c>
      <c r="AC404" s="374">
        <f>COUNTIFS(B:B,B404,H:H,'סיווג התפקידים והעלויות'!$D$2)</f>
        <v>0</v>
      </c>
      <c r="AD404" s="374" t="str">
        <f>IF(OR(AND(H404='סיווג התפקידים והעלויות'!$A$2,I404='סיווג התפקידים והעלויות'!$A$3),'עלויות כח אדם (6)'!H404='סיווג התפקידים והעלויות'!$C$2,'עלויות כח אדם (6)'!H404='סיווג התפקידים והעלויות'!$D$2),IF('עלויות כח אדם (6)'!J404&lt;75,"לא תקין","תקין"),"")</f>
        <v/>
      </c>
      <c r="AE404" s="374" t="str">
        <f t="shared" si="104"/>
        <v/>
      </c>
      <c r="AF404" s="532" t="str">
        <f t="shared" si="105"/>
        <v/>
      </c>
    </row>
    <row r="405" spans="2:32" x14ac:dyDescent="0.25">
      <c r="B405" s="695"/>
      <c r="C405" s="197" t="str">
        <f>IF(B405&lt;&gt;"",IFERROR(VLOOKUP(B:B,'מצבת והרשמה (2)'!$C$20:$N$520,2,0)," ")," ")</f>
        <v xml:space="preserve"> </v>
      </c>
      <c r="D405" s="695"/>
      <c r="E405" s="696"/>
      <c r="F405" s="696"/>
      <c r="G405" s="696"/>
      <c r="H405" s="696"/>
      <c r="I405" s="1050" t="str">
        <f t="shared" si="92"/>
        <v/>
      </c>
      <c r="J405" s="696"/>
      <c r="K405" s="697"/>
      <c r="L405" s="696"/>
      <c r="M405" s="198" t="str">
        <f t="shared" si="93"/>
        <v/>
      </c>
      <c r="N405" s="369" t="str">
        <f t="shared" si="94"/>
        <v/>
      </c>
      <c r="O405" s="183" t="str">
        <f t="shared" si="95"/>
        <v/>
      </c>
      <c r="P405" s="199" t="str">
        <f t="shared" si="96"/>
        <v/>
      </c>
      <c r="Q405" s="199" t="str">
        <f>IF(B405="","",IFERROR(IF('עלויות כח אדם (6)'!J405&gt;=VLOOKUP(I405,'סיווג התפקידים והעלויות'!$B$23:$C$32,2,0),"תקין","לא תקין"),""))</f>
        <v/>
      </c>
      <c r="R405" s="199" t="str">
        <f t="shared" si="97"/>
        <v/>
      </c>
      <c r="S405" s="199" t="str">
        <f t="shared" si="98"/>
        <v/>
      </c>
      <c r="T405" s="199" t="str">
        <f t="shared" si="106"/>
        <v/>
      </c>
      <c r="U405" s="199" t="str">
        <f t="shared" si="99"/>
        <v/>
      </c>
      <c r="V405" s="989"/>
      <c r="X405" s="374" t="str">
        <f t="shared" si="100"/>
        <v/>
      </c>
      <c r="Y405" s="375" t="str">
        <f t="shared" si="101"/>
        <v/>
      </c>
      <c r="Z405" s="374" t="str">
        <f t="shared" si="102"/>
        <v/>
      </c>
      <c r="AA405" s="374" t="b">
        <f t="shared" si="103"/>
        <v>1</v>
      </c>
      <c r="AB405" s="374">
        <f>COUNTIFS(B:B,B405,H:H,'סיווג התפקידים והעלויות'!$C$2)</f>
        <v>0</v>
      </c>
      <c r="AC405" s="374">
        <f>COUNTIFS(B:B,B405,H:H,'סיווג התפקידים והעלויות'!$D$2)</f>
        <v>0</v>
      </c>
      <c r="AD405" s="374" t="str">
        <f>IF(OR(AND(H405='סיווג התפקידים והעלויות'!$A$2,I405='סיווג התפקידים והעלויות'!$A$3),'עלויות כח אדם (6)'!H405='סיווג התפקידים והעלויות'!$C$2,'עלויות כח אדם (6)'!H405='סיווג התפקידים והעלויות'!$D$2),IF('עלויות כח אדם (6)'!J405&lt;75,"לא תקין","תקין"),"")</f>
        <v/>
      </c>
      <c r="AE405" s="374" t="str">
        <f t="shared" si="104"/>
        <v/>
      </c>
      <c r="AF405" s="532" t="str">
        <f t="shared" si="105"/>
        <v/>
      </c>
    </row>
    <row r="406" spans="2:32" x14ac:dyDescent="0.25">
      <c r="B406" s="695"/>
      <c r="C406" s="197" t="str">
        <f>IF(B406&lt;&gt;"",IFERROR(VLOOKUP(B:B,'מצבת והרשמה (2)'!$C$20:$N$520,2,0)," ")," ")</f>
        <v xml:space="preserve"> </v>
      </c>
      <c r="D406" s="695"/>
      <c r="E406" s="696"/>
      <c r="F406" s="696"/>
      <c r="G406" s="696"/>
      <c r="H406" s="696"/>
      <c r="I406" s="1050" t="str">
        <f t="shared" si="92"/>
        <v/>
      </c>
      <c r="J406" s="696"/>
      <c r="K406" s="697"/>
      <c r="L406" s="696"/>
      <c r="M406" s="198" t="str">
        <f t="shared" si="93"/>
        <v/>
      </c>
      <c r="N406" s="369" t="str">
        <f t="shared" si="94"/>
        <v/>
      </c>
      <c r="O406" s="183" t="str">
        <f t="shared" si="95"/>
        <v/>
      </c>
      <c r="P406" s="199" t="str">
        <f t="shared" si="96"/>
        <v/>
      </c>
      <c r="Q406" s="199" t="str">
        <f>IF(B406="","",IFERROR(IF('עלויות כח אדם (6)'!J406&gt;=VLOOKUP(I406,'סיווג התפקידים והעלויות'!$B$23:$C$32,2,0),"תקין","לא תקין"),""))</f>
        <v/>
      </c>
      <c r="R406" s="199" t="str">
        <f t="shared" si="97"/>
        <v/>
      </c>
      <c r="S406" s="199" t="str">
        <f t="shared" si="98"/>
        <v/>
      </c>
      <c r="T406" s="199" t="str">
        <f t="shared" si="106"/>
        <v/>
      </c>
      <c r="U406" s="199" t="str">
        <f t="shared" si="99"/>
        <v/>
      </c>
      <c r="V406" s="989"/>
      <c r="X406" s="374" t="str">
        <f t="shared" si="100"/>
        <v/>
      </c>
      <c r="Y406" s="375" t="str">
        <f t="shared" si="101"/>
        <v/>
      </c>
      <c r="Z406" s="374" t="str">
        <f t="shared" si="102"/>
        <v/>
      </c>
      <c r="AA406" s="374" t="b">
        <f t="shared" si="103"/>
        <v>1</v>
      </c>
      <c r="AB406" s="374">
        <f>COUNTIFS(B:B,B406,H:H,'סיווג התפקידים והעלויות'!$C$2)</f>
        <v>0</v>
      </c>
      <c r="AC406" s="374">
        <f>COUNTIFS(B:B,B406,H:H,'סיווג התפקידים והעלויות'!$D$2)</f>
        <v>0</v>
      </c>
      <c r="AD406" s="374" t="str">
        <f>IF(OR(AND(H406='סיווג התפקידים והעלויות'!$A$2,I406='סיווג התפקידים והעלויות'!$A$3),'עלויות כח אדם (6)'!H406='סיווג התפקידים והעלויות'!$C$2,'עלויות כח אדם (6)'!H406='סיווג התפקידים והעלויות'!$D$2),IF('עלויות כח אדם (6)'!J406&lt;75,"לא תקין","תקין"),"")</f>
        <v/>
      </c>
      <c r="AE406" s="374" t="str">
        <f t="shared" si="104"/>
        <v/>
      </c>
      <c r="AF406" s="532" t="str">
        <f t="shared" si="105"/>
        <v/>
      </c>
    </row>
    <row r="407" spans="2:32" x14ac:dyDescent="0.25">
      <c r="B407" s="695"/>
      <c r="C407" s="197" t="str">
        <f>IF(B407&lt;&gt;"",IFERROR(VLOOKUP(B:B,'מצבת והרשמה (2)'!$C$20:$N$520,2,0)," ")," ")</f>
        <v xml:space="preserve"> </v>
      </c>
      <c r="D407" s="695"/>
      <c r="E407" s="696"/>
      <c r="F407" s="696"/>
      <c r="G407" s="696"/>
      <c r="H407" s="696"/>
      <c r="I407" s="1050" t="str">
        <f t="shared" si="92"/>
        <v/>
      </c>
      <c r="J407" s="696"/>
      <c r="K407" s="697"/>
      <c r="L407" s="696"/>
      <c r="M407" s="198" t="str">
        <f t="shared" si="93"/>
        <v/>
      </c>
      <c r="N407" s="369" t="str">
        <f t="shared" si="94"/>
        <v/>
      </c>
      <c r="O407" s="183" t="str">
        <f t="shared" si="95"/>
        <v/>
      </c>
      <c r="P407" s="199" t="str">
        <f t="shared" si="96"/>
        <v/>
      </c>
      <c r="Q407" s="199" t="str">
        <f>IF(B407="","",IFERROR(IF('עלויות כח אדם (6)'!J407&gt;=VLOOKUP(I407,'סיווג התפקידים והעלויות'!$B$23:$C$32,2,0),"תקין","לא תקין"),""))</f>
        <v/>
      </c>
      <c r="R407" s="199" t="str">
        <f t="shared" si="97"/>
        <v/>
      </c>
      <c r="S407" s="199" t="str">
        <f t="shared" si="98"/>
        <v/>
      </c>
      <c r="T407" s="199" t="str">
        <f t="shared" si="106"/>
        <v/>
      </c>
      <c r="U407" s="199" t="str">
        <f t="shared" si="99"/>
        <v/>
      </c>
      <c r="V407" s="989"/>
      <c r="X407" s="374" t="str">
        <f t="shared" si="100"/>
        <v/>
      </c>
      <c r="Y407" s="375" t="str">
        <f t="shared" si="101"/>
        <v/>
      </c>
      <c r="Z407" s="374" t="str">
        <f t="shared" si="102"/>
        <v/>
      </c>
      <c r="AA407" s="374" t="b">
        <f t="shared" si="103"/>
        <v>1</v>
      </c>
      <c r="AB407" s="374">
        <f>COUNTIFS(B:B,B407,H:H,'סיווג התפקידים והעלויות'!$C$2)</f>
        <v>0</v>
      </c>
      <c r="AC407" s="374">
        <f>COUNTIFS(B:B,B407,H:H,'סיווג התפקידים והעלויות'!$D$2)</f>
        <v>0</v>
      </c>
      <c r="AD407" s="374" t="str">
        <f>IF(OR(AND(H407='סיווג התפקידים והעלויות'!$A$2,I407='סיווג התפקידים והעלויות'!$A$3),'עלויות כח אדם (6)'!H407='סיווג התפקידים והעלויות'!$C$2,'עלויות כח אדם (6)'!H407='סיווג התפקידים והעלויות'!$D$2),IF('עלויות כח אדם (6)'!J407&lt;75,"לא תקין","תקין"),"")</f>
        <v/>
      </c>
      <c r="AE407" s="374" t="str">
        <f t="shared" si="104"/>
        <v/>
      </c>
      <c r="AF407" s="532" t="str">
        <f t="shared" si="105"/>
        <v/>
      </c>
    </row>
    <row r="408" spans="2:32" x14ac:dyDescent="0.25">
      <c r="B408" s="695"/>
      <c r="C408" s="197" t="str">
        <f>IF(B408&lt;&gt;"",IFERROR(VLOOKUP(B:B,'מצבת והרשמה (2)'!$C$20:$N$520,2,0)," ")," ")</f>
        <v xml:space="preserve"> </v>
      </c>
      <c r="D408" s="695"/>
      <c r="E408" s="696"/>
      <c r="F408" s="696"/>
      <c r="G408" s="696"/>
      <c r="H408" s="696"/>
      <c r="I408" s="1050" t="str">
        <f t="shared" si="92"/>
        <v/>
      </c>
      <c r="J408" s="696"/>
      <c r="K408" s="697"/>
      <c r="L408" s="696"/>
      <c r="M408" s="198" t="str">
        <f t="shared" si="93"/>
        <v/>
      </c>
      <c r="N408" s="369" t="str">
        <f t="shared" si="94"/>
        <v/>
      </c>
      <c r="O408" s="183" t="str">
        <f t="shared" si="95"/>
        <v/>
      </c>
      <c r="P408" s="199" t="str">
        <f t="shared" si="96"/>
        <v/>
      </c>
      <c r="Q408" s="199" t="str">
        <f>IF(B408="","",IFERROR(IF('עלויות כח אדם (6)'!J408&gt;=VLOOKUP(I408,'סיווג התפקידים והעלויות'!$B$23:$C$32,2,0),"תקין","לא תקין"),""))</f>
        <v/>
      </c>
      <c r="R408" s="199" t="str">
        <f t="shared" si="97"/>
        <v/>
      </c>
      <c r="S408" s="199" t="str">
        <f t="shared" si="98"/>
        <v/>
      </c>
      <c r="T408" s="199" t="str">
        <f t="shared" si="106"/>
        <v/>
      </c>
      <c r="U408" s="199" t="str">
        <f t="shared" si="99"/>
        <v/>
      </c>
      <c r="V408" s="989"/>
      <c r="X408" s="374" t="str">
        <f t="shared" si="100"/>
        <v/>
      </c>
      <c r="Y408" s="375" t="str">
        <f t="shared" si="101"/>
        <v/>
      </c>
      <c r="Z408" s="374" t="str">
        <f t="shared" si="102"/>
        <v/>
      </c>
      <c r="AA408" s="374" t="b">
        <f t="shared" si="103"/>
        <v>1</v>
      </c>
      <c r="AB408" s="374">
        <f>COUNTIFS(B:B,B408,H:H,'סיווג התפקידים והעלויות'!$C$2)</f>
        <v>0</v>
      </c>
      <c r="AC408" s="374">
        <f>COUNTIFS(B:B,B408,H:H,'סיווג התפקידים והעלויות'!$D$2)</f>
        <v>0</v>
      </c>
      <c r="AD408" s="374" t="str">
        <f>IF(OR(AND(H408='סיווג התפקידים והעלויות'!$A$2,I408='סיווג התפקידים והעלויות'!$A$3),'עלויות כח אדם (6)'!H408='סיווג התפקידים והעלויות'!$C$2,'עלויות כח אדם (6)'!H408='סיווג התפקידים והעלויות'!$D$2),IF('עלויות כח אדם (6)'!J408&lt;75,"לא תקין","תקין"),"")</f>
        <v/>
      </c>
      <c r="AE408" s="374" t="str">
        <f t="shared" si="104"/>
        <v/>
      </c>
      <c r="AF408" s="532" t="str">
        <f t="shared" si="105"/>
        <v/>
      </c>
    </row>
    <row r="409" spans="2:32" x14ac:dyDescent="0.25">
      <c r="B409" s="695"/>
      <c r="C409" s="197" t="str">
        <f>IF(B409&lt;&gt;"",IFERROR(VLOOKUP(B:B,'מצבת והרשמה (2)'!$C$20:$N$520,2,0)," ")," ")</f>
        <v xml:space="preserve"> </v>
      </c>
      <c r="D409" s="695"/>
      <c r="E409" s="696"/>
      <c r="F409" s="696"/>
      <c r="G409" s="696"/>
      <c r="H409" s="696"/>
      <c r="I409" s="1050" t="str">
        <f t="shared" si="92"/>
        <v/>
      </c>
      <c r="J409" s="696"/>
      <c r="K409" s="697"/>
      <c r="L409" s="696"/>
      <c r="M409" s="198" t="str">
        <f t="shared" si="93"/>
        <v/>
      </c>
      <c r="N409" s="369" t="str">
        <f t="shared" si="94"/>
        <v/>
      </c>
      <c r="O409" s="183" t="str">
        <f t="shared" si="95"/>
        <v/>
      </c>
      <c r="P409" s="199" t="str">
        <f t="shared" si="96"/>
        <v/>
      </c>
      <c r="Q409" s="199" t="str">
        <f>IF(B409="","",IFERROR(IF('עלויות כח אדם (6)'!J409&gt;=VLOOKUP(I409,'סיווג התפקידים והעלויות'!$B$23:$C$32,2,0),"תקין","לא תקין"),""))</f>
        <v/>
      </c>
      <c r="R409" s="199" t="str">
        <f t="shared" si="97"/>
        <v/>
      </c>
      <c r="S409" s="199" t="str">
        <f t="shared" si="98"/>
        <v/>
      </c>
      <c r="T409" s="199" t="str">
        <f t="shared" si="106"/>
        <v/>
      </c>
      <c r="U409" s="199" t="str">
        <f t="shared" si="99"/>
        <v/>
      </c>
      <c r="V409" s="989"/>
      <c r="X409" s="374" t="str">
        <f t="shared" si="100"/>
        <v/>
      </c>
      <c r="Y409" s="375" t="str">
        <f t="shared" si="101"/>
        <v/>
      </c>
      <c r="Z409" s="374" t="str">
        <f t="shared" si="102"/>
        <v/>
      </c>
      <c r="AA409" s="374" t="b">
        <f t="shared" si="103"/>
        <v>1</v>
      </c>
      <c r="AB409" s="374">
        <f>COUNTIFS(B:B,B409,H:H,'סיווג התפקידים והעלויות'!$C$2)</f>
        <v>0</v>
      </c>
      <c r="AC409" s="374">
        <f>COUNTIFS(B:B,B409,H:H,'סיווג התפקידים והעלויות'!$D$2)</f>
        <v>0</v>
      </c>
      <c r="AD409" s="374" t="str">
        <f>IF(OR(AND(H409='סיווג התפקידים והעלויות'!$A$2,I409='סיווג התפקידים והעלויות'!$A$3),'עלויות כח אדם (6)'!H409='סיווג התפקידים והעלויות'!$C$2,'עלויות כח אדם (6)'!H409='סיווג התפקידים והעלויות'!$D$2),IF('עלויות כח אדם (6)'!J409&lt;75,"לא תקין","תקין"),"")</f>
        <v/>
      </c>
      <c r="AE409" s="374" t="str">
        <f t="shared" si="104"/>
        <v/>
      </c>
      <c r="AF409" s="532" t="str">
        <f t="shared" si="105"/>
        <v/>
      </c>
    </row>
    <row r="410" spans="2:32" x14ac:dyDescent="0.25">
      <c r="B410" s="695"/>
      <c r="C410" s="197" t="str">
        <f>IF(B410&lt;&gt;"",IFERROR(VLOOKUP(B:B,'מצבת והרשמה (2)'!$C$20:$N$520,2,0)," ")," ")</f>
        <v xml:space="preserve"> </v>
      </c>
      <c r="D410" s="695"/>
      <c r="E410" s="696"/>
      <c r="F410" s="696"/>
      <c r="G410" s="696"/>
      <c r="H410" s="696"/>
      <c r="I410" s="1050" t="str">
        <f t="shared" si="92"/>
        <v/>
      </c>
      <c r="J410" s="696"/>
      <c r="K410" s="697"/>
      <c r="L410" s="696"/>
      <c r="M410" s="198" t="str">
        <f t="shared" si="93"/>
        <v/>
      </c>
      <c r="N410" s="369" t="str">
        <f t="shared" si="94"/>
        <v/>
      </c>
      <c r="O410" s="183" t="str">
        <f t="shared" si="95"/>
        <v/>
      </c>
      <c r="P410" s="199" t="str">
        <f t="shared" si="96"/>
        <v/>
      </c>
      <c r="Q410" s="199" t="str">
        <f>IF(B410="","",IFERROR(IF('עלויות כח אדם (6)'!J410&gt;=VLOOKUP(I410,'סיווג התפקידים והעלויות'!$B$23:$C$32,2,0),"תקין","לא תקין"),""))</f>
        <v/>
      </c>
      <c r="R410" s="199" t="str">
        <f t="shared" si="97"/>
        <v/>
      </c>
      <c r="S410" s="199" t="str">
        <f t="shared" si="98"/>
        <v/>
      </c>
      <c r="T410" s="199" t="str">
        <f t="shared" si="106"/>
        <v/>
      </c>
      <c r="U410" s="199" t="str">
        <f t="shared" si="99"/>
        <v/>
      </c>
      <c r="V410" s="989"/>
      <c r="X410" s="374" t="str">
        <f t="shared" si="100"/>
        <v/>
      </c>
      <c r="Y410" s="375" t="str">
        <f t="shared" si="101"/>
        <v/>
      </c>
      <c r="Z410" s="374" t="str">
        <f t="shared" si="102"/>
        <v/>
      </c>
      <c r="AA410" s="374" t="b">
        <f t="shared" si="103"/>
        <v>1</v>
      </c>
      <c r="AB410" s="374">
        <f>COUNTIFS(B:B,B410,H:H,'סיווג התפקידים והעלויות'!$C$2)</f>
        <v>0</v>
      </c>
      <c r="AC410" s="374">
        <f>COUNTIFS(B:B,B410,H:H,'סיווג התפקידים והעלויות'!$D$2)</f>
        <v>0</v>
      </c>
      <c r="AD410" s="374" t="str">
        <f>IF(OR(AND(H410='סיווג התפקידים והעלויות'!$A$2,I410='סיווג התפקידים והעלויות'!$A$3),'עלויות כח אדם (6)'!H410='סיווג התפקידים והעלויות'!$C$2,'עלויות כח אדם (6)'!H410='סיווג התפקידים והעלויות'!$D$2),IF('עלויות כח אדם (6)'!J410&lt;75,"לא תקין","תקין"),"")</f>
        <v/>
      </c>
      <c r="AE410" s="374" t="str">
        <f t="shared" si="104"/>
        <v/>
      </c>
      <c r="AF410" s="532" t="str">
        <f t="shared" si="105"/>
        <v/>
      </c>
    </row>
    <row r="411" spans="2:32" x14ac:dyDescent="0.25">
      <c r="B411" s="695"/>
      <c r="C411" s="197" t="str">
        <f>IF(B411&lt;&gt;"",IFERROR(VLOOKUP(B:B,'מצבת והרשמה (2)'!$C$20:$N$520,2,0)," ")," ")</f>
        <v xml:space="preserve"> </v>
      </c>
      <c r="D411" s="695"/>
      <c r="E411" s="696"/>
      <c r="F411" s="696"/>
      <c r="G411" s="696"/>
      <c r="H411" s="696"/>
      <c r="I411" s="1050" t="str">
        <f t="shared" si="92"/>
        <v/>
      </c>
      <c r="J411" s="696"/>
      <c r="K411" s="697"/>
      <c r="L411" s="696"/>
      <c r="M411" s="198" t="str">
        <f t="shared" si="93"/>
        <v/>
      </c>
      <c r="N411" s="369" t="str">
        <f t="shared" si="94"/>
        <v/>
      </c>
      <c r="O411" s="183" t="str">
        <f t="shared" si="95"/>
        <v/>
      </c>
      <c r="P411" s="199" t="str">
        <f t="shared" si="96"/>
        <v/>
      </c>
      <c r="Q411" s="199" t="str">
        <f>IF(B411="","",IFERROR(IF('עלויות כח אדם (6)'!J411&gt;=VLOOKUP(I411,'סיווג התפקידים והעלויות'!$B$23:$C$32,2,0),"תקין","לא תקין"),""))</f>
        <v/>
      </c>
      <c r="R411" s="199" t="str">
        <f t="shared" si="97"/>
        <v/>
      </c>
      <c r="S411" s="199" t="str">
        <f t="shared" si="98"/>
        <v/>
      </c>
      <c r="T411" s="199" t="str">
        <f t="shared" si="106"/>
        <v/>
      </c>
      <c r="U411" s="199" t="str">
        <f t="shared" si="99"/>
        <v/>
      </c>
      <c r="V411" s="989"/>
      <c r="X411" s="374" t="str">
        <f t="shared" si="100"/>
        <v/>
      </c>
      <c r="Y411" s="375" t="str">
        <f t="shared" si="101"/>
        <v/>
      </c>
      <c r="Z411" s="374" t="str">
        <f t="shared" si="102"/>
        <v/>
      </c>
      <c r="AA411" s="374" t="b">
        <f t="shared" si="103"/>
        <v>1</v>
      </c>
      <c r="AB411" s="374">
        <f>COUNTIFS(B:B,B411,H:H,'סיווג התפקידים והעלויות'!$C$2)</f>
        <v>0</v>
      </c>
      <c r="AC411" s="374">
        <f>COUNTIFS(B:B,B411,H:H,'סיווג התפקידים והעלויות'!$D$2)</f>
        <v>0</v>
      </c>
      <c r="AD411" s="374" t="str">
        <f>IF(OR(AND(H411='סיווג התפקידים והעלויות'!$A$2,I411='סיווג התפקידים והעלויות'!$A$3),'עלויות כח אדם (6)'!H411='סיווג התפקידים והעלויות'!$C$2,'עלויות כח אדם (6)'!H411='סיווג התפקידים והעלויות'!$D$2),IF('עלויות כח אדם (6)'!J411&lt;75,"לא תקין","תקין"),"")</f>
        <v/>
      </c>
      <c r="AE411" s="374" t="str">
        <f t="shared" si="104"/>
        <v/>
      </c>
      <c r="AF411" s="532" t="str">
        <f t="shared" si="105"/>
        <v/>
      </c>
    </row>
    <row r="412" spans="2:32" x14ac:dyDescent="0.25">
      <c r="B412" s="695"/>
      <c r="C412" s="197" t="str">
        <f>IF(B412&lt;&gt;"",IFERROR(VLOOKUP(B:B,'מצבת והרשמה (2)'!$C$20:$N$520,2,0)," ")," ")</f>
        <v xml:space="preserve"> </v>
      </c>
      <c r="D412" s="695"/>
      <c r="E412" s="696"/>
      <c r="F412" s="696"/>
      <c r="G412" s="696"/>
      <c r="H412" s="696"/>
      <c r="I412" s="1050" t="str">
        <f t="shared" si="92"/>
        <v/>
      </c>
      <c r="J412" s="696"/>
      <c r="K412" s="697"/>
      <c r="L412" s="696"/>
      <c r="M412" s="198" t="str">
        <f t="shared" si="93"/>
        <v/>
      </c>
      <c r="N412" s="369" t="str">
        <f t="shared" si="94"/>
        <v/>
      </c>
      <c r="O412" s="183" t="str">
        <f t="shared" si="95"/>
        <v/>
      </c>
      <c r="P412" s="199" t="str">
        <f t="shared" si="96"/>
        <v/>
      </c>
      <c r="Q412" s="199" t="str">
        <f>IF(B412="","",IFERROR(IF('עלויות כח אדם (6)'!J412&gt;=VLOOKUP(I412,'סיווג התפקידים והעלויות'!$B$23:$C$32,2,0),"תקין","לא תקין"),""))</f>
        <v/>
      </c>
      <c r="R412" s="199" t="str">
        <f t="shared" si="97"/>
        <v/>
      </c>
      <c r="S412" s="199" t="str">
        <f t="shared" si="98"/>
        <v/>
      </c>
      <c r="T412" s="199" t="str">
        <f t="shared" si="106"/>
        <v/>
      </c>
      <c r="U412" s="199" t="str">
        <f t="shared" si="99"/>
        <v/>
      </c>
      <c r="V412" s="989"/>
      <c r="X412" s="374" t="str">
        <f t="shared" si="100"/>
        <v/>
      </c>
      <c r="Y412" s="375" t="str">
        <f t="shared" si="101"/>
        <v/>
      </c>
      <c r="Z412" s="374" t="str">
        <f t="shared" si="102"/>
        <v/>
      </c>
      <c r="AA412" s="374" t="b">
        <f t="shared" si="103"/>
        <v>1</v>
      </c>
      <c r="AB412" s="374">
        <f>COUNTIFS(B:B,B412,H:H,'סיווג התפקידים והעלויות'!$C$2)</f>
        <v>0</v>
      </c>
      <c r="AC412" s="374">
        <f>COUNTIFS(B:B,B412,H:H,'סיווג התפקידים והעלויות'!$D$2)</f>
        <v>0</v>
      </c>
      <c r="AD412" s="374" t="str">
        <f>IF(OR(AND(H412='סיווג התפקידים והעלויות'!$A$2,I412='סיווג התפקידים והעלויות'!$A$3),'עלויות כח אדם (6)'!H412='סיווג התפקידים והעלויות'!$C$2,'עלויות כח אדם (6)'!H412='סיווג התפקידים והעלויות'!$D$2),IF('עלויות כח אדם (6)'!J412&lt;75,"לא תקין","תקין"),"")</f>
        <v/>
      </c>
      <c r="AE412" s="374" t="str">
        <f t="shared" si="104"/>
        <v/>
      </c>
      <c r="AF412" s="532" t="str">
        <f t="shared" si="105"/>
        <v/>
      </c>
    </row>
    <row r="413" spans="2:32" x14ac:dyDescent="0.25">
      <c r="B413" s="695"/>
      <c r="C413" s="197" t="str">
        <f>IF(B413&lt;&gt;"",IFERROR(VLOOKUP(B:B,'מצבת והרשמה (2)'!$C$20:$N$520,2,0)," ")," ")</f>
        <v xml:space="preserve"> </v>
      </c>
      <c r="D413" s="695"/>
      <c r="E413" s="696"/>
      <c r="F413" s="696"/>
      <c r="G413" s="696"/>
      <c r="H413" s="696"/>
      <c r="I413" s="1050" t="str">
        <f t="shared" si="92"/>
        <v/>
      </c>
      <c r="J413" s="696"/>
      <c r="K413" s="697"/>
      <c r="L413" s="696"/>
      <c r="M413" s="198" t="str">
        <f t="shared" si="93"/>
        <v/>
      </c>
      <c r="N413" s="369" t="str">
        <f t="shared" si="94"/>
        <v/>
      </c>
      <c r="O413" s="183" t="str">
        <f t="shared" si="95"/>
        <v/>
      </c>
      <c r="P413" s="199" t="str">
        <f t="shared" si="96"/>
        <v/>
      </c>
      <c r="Q413" s="199" t="str">
        <f>IF(B413="","",IFERROR(IF('עלויות כח אדם (6)'!J413&gt;=VLOOKUP(I413,'סיווג התפקידים והעלויות'!$B$23:$C$32,2,0),"תקין","לא תקין"),""))</f>
        <v/>
      </c>
      <c r="R413" s="199" t="str">
        <f t="shared" si="97"/>
        <v/>
      </c>
      <c r="S413" s="199" t="str">
        <f t="shared" si="98"/>
        <v/>
      </c>
      <c r="T413" s="199" t="str">
        <f t="shared" si="106"/>
        <v/>
      </c>
      <c r="U413" s="199" t="str">
        <f t="shared" si="99"/>
        <v/>
      </c>
      <c r="V413" s="989"/>
      <c r="X413" s="374" t="str">
        <f t="shared" si="100"/>
        <v/>
      </c>
      <c r="Y413" s="375" t="str">
        <f t="shared" si="101"/>
        <v/>
      </c>
      <c r="Z413" s="374" t="str">
        <f t="shared" si="102"/>
        <v/>
      </c>
      <c r="AA413" s="374" t="b">
        <f t="shared" si="103"/>
        <v>1</v>
      </c>
      <c r="AB413" s="374">
        <f>COUNTIFS(B:B,B413,H:H,'סיווג התפקידים והעלויות'!$C$2)</f>
        <v>0</v>
      </c>
      <c r="AC413" s="374">
        <f>COUNTIFS(B:B,B413,H:H,'סיווג התפקידים והעלויות'!$D$2)</f>
        <v>0</v>
      </c>
      <c r="AD413" s="374" t="str">
        <f>IF(OR(AND(H413='סיווג התפקידים והעלויות'!$A$2,I413='סיווג התפקידים והעלויות'!$A$3),'עלויות כח אדם (6)'!H413='סיווג התפקידים והעלויות'!$C$2,'עלויות כח אדם (6)'!H413='סיווג התפקידים והעלויות'!$D$2),IF('עלויות כח אדם (6)'!J413&lt;75,"לא תקין","תקין"),"")</f>
        <v/>
      </c>
      <c r="AE413" s="374" t="str">
        <f t="shared" si="104"/>
        <v/>
      </c>
      <c r="AF413" s="532" t="str">
        <f t="shared" si="105"/>
        <v/>
      </c>
    </row>
    <row r="414" spans="2:32" x14ac:dyDescent="0.25">
      <c r="B414" s="695"/>
      <c r="C414" s="197" t="str">
        <f>IF(B414&lt;&gt;"",IFERROR(VLOOKUP(B:B,'מצבת והרשמה (2)'!$C$20:$N$520,2,0)," ")," ")</f>
        <v xml:space="preserve"> </v>
      </c>
      <c r="D414" s="695"/>
      <c r="E414" s="696"/>
      <c r="F414" s="696"/>
      <c r="G414" s="696"/>
      <c r="H414" s="696"/>
      <c r="I414" s="1050" t="str">
        <f t="shared" si="92"/>
        <v/>
      </c>
      <c r="J414" s="696"/>
      <c r="K414" s="697"/>
      <c r="L414" s="696"/>
      <c r="M414" s="198" t="str">
        <f t="shared" si="93"/>
        <v/>
      </c>
      <c r="N414" s="369" t="str">
        <f t="shared" si="94"/>
        <v/>
      </c>
      <c r="O414" s="183" t="str">
        <f t="shared" si="95"/>
        <v/>
      </c>
      <c r="P414" s="199" t="str">
        <f t="shared" si="96"/>
        <v/>
      </c>
      <c r="Q414" s="199" t="str">
        <f>IF(B414="","",IFERROR(IF('עלויות כח אדם (6)'!J414&gt;=VLOOKUP(I414,'סיווג התפקידים והעלויות'!$B$23:$C$32,2,0),"תקין","לא תקין"),""))</f>
        <v/>
      </c>
      <c r="R414" s="199" t="str">
        <f t="shared" si="97"/>
        <v/>
      </c>
      <c r="S414" s="199" t="str">
        <f t="shared" si="98"/>
        <v/>
      </c>
      <c r="T414" s="199" t="str">
        <f t="shared" si="106"/>
        <v/>
      </c>
      <c r="U414" s="199" t="str">
        <f t="shared" si="99"/>
        <v/>
      </c>
      <c r="V414" s="989"/>
      <c r="X414" s="374" t="str">
        <f t="shared" si="100"/>
        <v/>
      </c>
      <c r="Y414" s="375" t="str">
        <f t="shared" si="101"/>
        <v/>
      </c>
      <c r="Z414" s="374" t="str">
        <f t="shared" si="102"/>
        <v/>
      </c>
      <c r="AA414" s="374" t="b">
        <f t="shared" si="103"/>
        <v>1</v>
      </c>
      <c r="AB414" s="374">
        <f>COUNTIFS(B:B,B414,H:H,'סיווג התפקידים והעלויות'!$C$2)</f>
        <v>0</v>
      </c>
      <c r="AC414" s="374">
        <f>COUNTIFS(B:B,B414,H:H,'סיווג התפקידים והעלויות'!$D$2)</f>
        <v>0</v>
      </c>
      <c r="AD414" s="374" t="str">
        <f>IF(OR(AND(H414='סיווג התפקידים והעלויות'!$A$2,I414='סיווג התפקידים והעלויות'!$A$3),'עלויות כח אדם (6)'!H414='סיווג התפקידים והעלויות'!$C$2,'עלויות כח אדם (6)'!H414='סיווג התפקידים והעלויות'!$D$2),IF('עלויות כח אדם (6)'!J414&lt;75,"לא תקין","תקין"),"")</f>
        <v/>
      </c>
      <c r="AE414" s="374" t="str">
        <f t="shared" si="104"/>
        <v/>
      </c>
      <c r="AF414" s="532" t="str">
        <f t="shared" si="105"/>
        <v/>
      </c>
    </row>
    <row r="415" spans="2:32" x14ac:dyDescent="0.25">
      <c r="B415" s="695"/>
      <c r="C415" s="197" t="str">
        <f>IF(B415&lt;&gt;"",IFERROR(VLOOKUP(B:B,'מצבת והרשמה (2)'!$C$20:$N$520,2,0)," ")," ")</f>
        <v xml:space="preserve"> </v>
      </c>
      <c r="D415" s="695"/>
      <c r="E415" s="696"/>
      <c r="F415" s="696"/>
      <c r="G415" s="696"/>
      <c r="H415" s="696"/>
      <c r="I415" s="1050" t="str">
        <f t="shared" si="92"/>
        <v/>
      </c>
      <c r="J415" s="696"/>
      <c r="K415" s="697"/>
      <c r="L415" s="696"/>
      <c r="M415" s="198" t="str">
        <f t="shared" si="93"/>
        <v/>
      </c>
      <c r="N415" s="369" t="str">
        <f t="shared" si="94"/>
        <v/>
      </c>
      <c r="O415" s="183" t="str">
        <f t="shared" si="95"/>
        <v/>
      </c>
      <c r="P415" s="199" t="str">
        <f t="shared" si="96"/>
        <v/>
      </c>
      <c r="Q415" s="199" t="str">
        <f>IF(B415="","",IFERROR(IF('עלויות כח אדם (6)'!J415&gt;=VLOOKUP(I415,'סיווג התפקידים והעלויות'!$B$23:$C$32,2,0),"תקין","לא תקין"),""))</f>
        <v/>
      </c>
      <c r="R415" s="199" t="str">
        <f t="shared" si="97"/>
        <v/>
      </c>
      <c r="S415" s="199" t="str">
        <f t="shared" si="98"/>
        <v/>
      </c>
      <c r="T415" s="199" t="str">
        <f t="shared" si="106"/>
        <v/>
      </c>
      <c r="U415" s="199" t="str">
        <f t="shared" si="99"/>
        <v/>
      </c>
      <c r="V415" s="989"/>
      <c r="X415" s="374" t="str">
        <f t="shared" si="100"/>
        <v/>
      </c>
      <c r="Y415" s="375" t="str">
        <f t="shared" si="101"/>
        <v/>
      </c>
      <c r="Z415" s="374" t="str">
        <f t="shared" si="102"/>
        <v/>
      </c>
      <c r="AA415" s="374" t="b">
        <f t="shared" si="103"/>
        <v>1</v>
      </c>
      <c r="AB415" s="374">
        <f>COUNTIFS(B:B,B415,H:H,'סיווג התפקידים והעלויות'!$C$2)</f>
        <v>0</v>
      </c>
      <c r="AC415" s="374">
        <f>COUNTIFS(B:B,B415,H:H,'סיווג התפקידים והעלויות'!$D$2)</f>
        <v>0</v>
      </c>
      <c r="AD415" s="374" t="str">
        <f>IF(OR(AND(H415='סיווג התפקידים והעלויות'!$A$2,I415='סיווג התפקידים והעלויות'!$A$3),'עלויות כח אדם (6)'!H415='סיווג התפקידים והעלויות'!$C$2,'עלויות כח אדם (6)'!H415='סיווג התפקידים והעלויות'!$D$2),IF('עלויות כח אדם (6)'!J415&lt;75,"לא תקין","תקין"),"")</f>
        <v/>
      </c>
      <c r="AE415" s="374" t="str">
        <f t="shared" si="104"/>
        <v/>
      </c>
      <c r="AF415" s="532" t="str">
        <f t="shared" si="105"/>
        <v/>
      </c>
    </row>
    <row r="416" spans="2:32" x14ac:dyDescent="0.25">
      <c r="B416" s="695"/>
      <c r="C416" s="197" t="str">
        <f>IF(B416&lt;&gt;"",IFERROR(VLOOKUP(B:B,'מצבת והרשמה (2)'!$C$20:$N$520,2,0)," ")," ")</f>
        <v xml:space="preserve"> </v>
      </c>
      <c r="D416" s="695"/>
      <c r="E416" s="696"/>
      <c r="F416" s="696"/>
      <c r="G416" s="696"/>
      <c r="H416" s="696"/>
      <c r="I416" s="1050" t="str">
        <f t="shared" si="92"/>
        <v/>
      </c>
      <c r="J416" s="696"/>
      <c r="K416" s="697"/>
      <c r="L416" s="696"/>
      <c r="M416" s="198" t="str">
        <f t="shared" si="93"/>
        <v/>
      </c>
      <c r="N416" s="369" t="str">
        <f t="shared" si="94"/>
        <v/>
      </c>
      <c r="O416" s="183" t="str">
        <f t="shared" si="95"/>
        <v/>
      </c>
      <c r="P416" s="199" t="str">
        <f t="shared" si="96"/>
        <v/>
      </c>
      <c r="Q416" s="199" t="str">
        <f>IF(B416="","",IFERROR(IF('עלויות כח אדם (6)'!J416&gt;=VLOOKUP(I416,'סיווג התפקידים והעלויות'!$B$23:$C$32,2,0),"תקין","לא תקין"),""))</f>
        <v/>
      </c>
      <c r="R416" s="199" t="str">
        <f t="shared" si="97"/>
        <v/>
      </c>
      <c r="S416" s="199" t="str">
        <f t="shared" si="98"/>
        <v/>
      </c>
      <c r="T416" s="199" t="str">
        <f t="shared" si="106"/>
        <v/>
      </c>
      <c r="U416" s="199" t="str">
        <f t="shared" si="99"/>
        <v/>
      </c>
      <c r="V416" s="989"/>
      <c r="X416" s="374" t="str">
        <f t="shared" si="100"/>
        <v/>
      </c>
      <c r="Y416" s="375" t="str">
        <f t="shared" si="101"/>
        <v/>
      </c>
      <c r="Z416" s="374" t="str">
        <f t="shared" si="102"/>
        <v/>
      </c>
      <c r="AA416" s="374" t="b">
        <f t="shared" si="103"/>
        <v>1</v>
      </c>
      <c r="AB416" s="374">
        <f>COUNTIFS(B:B,B416,H:H,'סיווג התפקידים והעלויות'!$C$2)</f>
        <v>0</v>
      </c>
      <c r="AC416" s="374">
        <f>COUNTIFS(B:B,B416,H:H,'סיווג התפקידים והעלויות'!$D$2)</f>
        <v>0</v>
      </c>
      <c r="AD416" s="374" t="str">
        <f>IF(OR(AND(H416='סיווג התפקידים והעלויות'!$A$2,I416='סיווג התפקידים והעלויות'!$A$3),'עלויות כח אדם (6)'!H416='סיווג התפקידים והעלויות'!$C$2,'עלויות כח אדם (6)'!H416='סיווג התפקידים והעלויות'!$D$2),IF('עלויות כח אדם (6)'!J416&lt;75,"לא תקין","תקין"),"")</f>
        <v/>
      </c>
      <c r="AE416" s="374" t="str">
        <f t="shared" si="104"/>
        <v/>
      </c>
      <c r="AF416" s="532" t="str">
        <f t="shared" si="105"/>
        <v/>
      </c>
    </row>
    <row r="417" spans="2:32" x14ac:dyDescent="0.25">
      <c r="B417" s="695"/>
      <c r="C417" s="197" t="str">
        <f>IF(B417&lt;&gt;"",IFERROR(VLOOKUP(B:B,'מצבת והרשמה (2)'!$C$20:$N$520,2,0)," ")," ")</f>
        <v xml:space="preserve"> </v>
      </c>
      <c r="D417" s="695"/>
      <c r="E417" s="696"/>
      <c r="F417" s="696"/>
      <c r="G417" s="696"/>
      <c r="H417" s="696"/>
      <c r="I417" s="1050" t="str">
        <f t="shared" si="92"/>
        <v/>
      </c>
      <c r="J417" s="696"/>
      <c r="K417" s="697"/>
      <c r="L417" s="696"/>
      <c r="M417" s="198" t="str">
        <f t="shared" si="93"/>
        <v/>
      </c>
      <c r="N417" s="369" t="str">
        <f t="shared" si="94"/>
        <v/>
      </c>
      <c r="O417" s="183" t="str">
        <f t="shared" si="95"/>
        <v/>
      </c>
      <c r="P417" s="199" t="str">
        <f t="shared" si="96"/>
        <v/>
      </c>
      <c r="Q417" s="199" t="str">
        <f>IF(B417="","",IFERROR(IF('עלויות כח אדם (6)'!J417&gt;=VLOOKUP(I417,'סיווג התפקידים והעלויות'!$B$23:$C$32,2,0),"תקין","לא תקין"),""))</f>
        <v/>
      </c>
      <c r="R417" s="199" t="str">
        <f t="shared" si="97"/>
        <v/>
      </c>
      <c r="S417" s="199" t="str">
        <f t="shared" si="98"/>
        <v/>
      </c>
      <c r="T417" s="199" t="str">
        <f t="shared" si="106"/>
        <v/>
      </c>
      <c r="U417" s="199" t="str">
        <f t="shared" si="99"/>
        <v/>
      </c>
      <c r="V417" s="989"/>
      <c r="X417" s="374" t="str">
        <f t="shared" si="100"/>
        <v/>
      </c>
      <c r="Y417" s="375" t="str">
        <f t="shared" si="101"/>
        <v/>
      </c>
      <c r="Z417" s="374" t="str">
        <f t="shared" si="102"/>
        <v/>
      </c>
      <c r="AA417" s="374" t="b">
        <f t="shared" si="103"/>
        <v>1</v>
      </c>
      <c r="AB417" s="374">
        <f>COUNTIFS(B:B,B417,H:H,'סיווג התפקידים והעלויות'!$C$2)</f>
        <v>0</v>
      </c>
      <c r="AC417" s="374">
        <f>COUNTIFS(B:B,B417,H:H,'סיווג התפקידים והעלויות'!$D$2)</f>
        <v>0</v>
      </c>
      <c r="AD417" s="374" t="str">
        <f>IF(OR(AND(H417='סיווג התפקידים והעלויות'!$A$2,I417='סיווג התפקידים והעלויות'!$A$3),'עלויות כח אדם (6)'!H417='סיווג התפקידים והעלויות'!$C$2,'עלויות כח אדם (6)'!H417='סיווג התפקידים והעלויות'!$D$2),IF('עלויות כח אדם (6)'!J417&lt;75,"לא תקין","תקין"),"")</f>
        <v/>
      </c>
      <c r="AE417" s="374" t="str">
        <f t="shared" si="104"/>
        <v/>
      </c>
      <c r="AF417" s="532" t="str">
        <f t="shared" si="105"/>
        <v/>
      </c>
    </row>
    <row r="418" spans="2:32" x14ac:dyDescent="0.25">
      <c r="B418" s="695"/>
      <c r="C418" s="197" t="str">
        <f>IF(B418&lt;&gt;"",IFERROR(VLOOKUP(B:B,'מצבת והרשמה (2)'!$C$20:$N$520,2,0)," ")," ")</f>
        <v xml:space="preserve"> </v>
      </c>
      <c r="D418" s="695"/>
      <c r="E418" s="696"/>
      <c r="F418" s="696"/>
      <c r="G418" s="696"/>
      <c r="H418" s="696"/>
      <c r="I418" s="1050" t="str">
        <f t="shared" si="92"/>
        <v/>
      </c>
      <c r="J418" s="696"/>
      <c r="K418" s="697"/>
      <c r="L418" s="696"/>
      <c r="M418" s="198" t="str">
        <f t="shared" si="93"/>
        <v/>
      </c>
      <c r="N418" s="369" t="str">
        <f t="shared" si="94"/>
        <v/>
      </c>
      <c r="O418" s="183" t="str">
        <f t="shared" si="95"/>
        <v/>
      </c>
      <c r="P418" s="199" t="str">
        <f t="shared" si="96"/>
        <v/>
      </c>
      <c r="Q418" s="199" t="str">
        <f>IF(B418="","",IFERROR(IF('עלויות כח אדם (6)'!J418&gt;=VLOOKUP(I418,'סיווג התפקידים והעלויות'!$B$23:$C$32,2,0),"תקין","לא תקין"),""))</f>
        <v/>
      </c>
      <c r="R418" s="199" t="str">
        <f t="shared" si="97"/>
        <v/>
      </c>
      <c r="S418" s="199" t="str">
        <f t="shared" si="98"/>
        <v/>
      </c>
      <c r="T418" s="199" t="str">
        <f t="shared" si="106"/>
        <v/>
      </c>
      <c r="U418" s="199" t="str">
        <f t="shared" si="99"/>
        <v/>
      </c>
      <c r="V418" s="989"/>
      <c r="X418" s="374" t="str">
        <f t="shared" si="100"/>
        <v/>
      </c>
      <c r="Y418" s="375" t="str">
        <f t="shared" si="101"/>
        <v/>
      </c>
      <c r="Z418" s="374" t="str">
        <f t="shared" si="102"/>
        <v/>
      </c>
      <c r="AA418" s="374" t="b">
        <f t="shared" si="103"/>
        <v>1</v>
      </c>
      <c r="AB418" s="374">
        <f>COUNTIFS(B:B,B418,H:H,'סיווג התפקידים והעלויות'!$C$2)</f>
        <v>0</v>
      </c>
      <c r="AC418" s="374">
        <f>COUNTIFS(B:B,B418,H:H,'סיווג התפקידים והעלויות'!$D$2)</f>
        <v>0</v>
      </c>
      <c r="AD418" s="374" t="str">
        <f>IF(OR(AND(H418='סיווג התפקידים והעלויות'!$A$2,I418='סיווג התפקידים והעלויות'!$A$3),'עלויות כח אדם (6)'!H418='סיווג התפקידים והעלויות'!$C$2,'עלויות כח אדם (6)'!H418='סיווג התפקידים והעלויות'!$D$2),IF('עלויות כח אדם (6)'!J418&lt;75,"לא תקין","תקין"),"")</f>
        <v/>
      </c>
      <c r="AE418" s="374" t="str">
        <f t="shared" si="104"/>
        <v/>
      </c>
      <c r="AF418" s="532" t="str">
        <f t="shared" si="105"/>
        <v/>
      </c>
    </row>
    <row r="419" spans="2:32" x14ac:dyDescent="0.25">
      <c r="B419" s="695"/>
      <c r="C419" s="197" t="str">
        <f>IF(B419&lt;&gt;"",IFERROR(VLOOKUP(B:B,'מצבת והרשמה (2)'!$C$20:$N$520,2,0)," ")," ")</f>
        <v xml:space="preserve"> </v>
      </c>
      <c r="D419" s="695"/>
      <c r="E419" s="696"/>
      <c r="F419" s="696"/>
      <c r="G419" s="696"/>
      <c r="H419" s="696"/>
      <c r="I419" s="1050" t="str">
        <f t="shared" si="92"/>
        <v/>
      </c>
      <c r="J419" s="696"/>
      <c r="K419" s="697"/>
      <c r="L419" s="696"/>
      <c r="M419" s="198" t="str">
        <f t="shared" si="93"/>
        <v/>
      </c>
      <c r="N419" s="369" t="str">
        <f t="shared" si="94"/>
        <v/>
      </c>
      <c r="O419" s="183" t="str">
        <f t="shared" si="95"/>
        <v/>
      </c>
      <c r="P419" s="199" t="str">
        <f t="shared" si="96"/>
        <v/>
      </c>
      <c r="Q419" s="199" t="str">
        <f>IF(B419="","",IFERROR(IF('עלויות כח אדם (6)'!J419&gt;=VLOOKUP(I419,'סיווג התפקידים והעלויות'!$B$23:$C$32,2,0),"תקין","לא תקין"),""))</f>
        <v/>
      </c>
      <c r="R419" s="199" t="str">
        <f t="shared" si="97"/>
        <v/>
      </c>
      <c r="S419" s="199" t="str">
        <f t="shared" si="98"/>
        <v/>
      </c>
      <c r="T419" s="199" t="str">
        <f t="shared" si="106"/>
        <v/>
      </c>
      <c r="U419" s="199" t="str">
        <f t="shared" si="99"/>
        <v/>
      </c>
      <c r="V419" s="989"/>
      <c r="X419" s="374" t="str">
        <f t="shared" si="100"/>
        <v/>
      </c>
      <c r="Y419" s="375" t="str">
        <f t="shared" si="101"/>
        <v/>
      </c>
      <c r="Z419" s="374" t="str">
        <f t="shared" si="102"/>
        <v/>
      </c>
      <c r="AA419" s="374" t="b">
        <f t="shared" si="103"/>
        <v>1</v>
      </c>
      <c r="AB419" s="374">
        <f>COUNTIFS(B:B,B419,H:H,'סיווג התפקידים והעלויות'!$C$2)</f>
        <v>0</v>
      </c>
      <c r="AC419" s="374">
        <f>COUNTIFS(B:B,B419,H:H,'סיווג התפקידים והעלויות'!$D$2)</f>
        <v>0</v>
      </c>
      <c r="AD419" s="374" t="str">
        <f>IF(OR(AND(H419='סיווג התפקידים והעלויות'!$A$2,I419='סיווג התפקידים והעלויות'!$A$3),'עלויות כח אדם (6)'!H419='סיווג התפקידים והעלויות'!$C$2,'עלויות כח אדם (6)'!H419='סיווג התפקידים והעלויות'!$D$2),IF('עלויות כח אדם (6)'!J419&lt;75,"לא תקין","תקין"),"")</f>
        <v/>
      </c>
      <c r="AE419" s="374" t="str">
        <f t="shared" si="104"/>
        <v/>
      </c>
      <c r="AF419" s="532" t="str">
        <f t="shared" si="105"/>
        <v/>
      </c>
    </row>
    <row r="420" spans="2:32" x14ac:dyDescent="0.25">
      <c r="B420" s="695"/>
      <c r="C420" s="197" t="str">
        <f>IF(B420&lt;&gt;"",IFERROR(VLOOKUP(B:B,'מצבת והרשמה (2)'!$C$20:$N$520,2,0)," ")," ")</f>
        <v xml:space="preserve"> </v>
      </c>
      <c r="D420" s="695"/>
      <c r="E420" s="696"/>
      <c r="F420" s="696"/>
      <c r="G420" s="696"/>
      <c r="H420" s="696"/>
      <c r="I420" s="1050" t="str">
        <f t="shared" si="92"/>
        <v/>
      </c>
      <c r="J420" s="696"/>
      <c r="K420" s="697"/>
      <c r="L420" s="696"/>
      <c r="M420" s="198" t="str">
        <f t="shared" si="93"/>
        <v/>
      </c>
      <c r="N420" s="369" t="str">
        <f t="shared" si="94"/>
        <v/>
      </c>
      <c r="O420" s="183" t="str">
        <f t="shared" si="95"/>
        <v/>
      </c>
      <c r="P420" s="199" t="str">
        <f t="shared" si="96"/>
        <v/>
      </c>
      <c r="Q420" s="199" t="str">
        <f>IF(B420="","",IFERROR(IF('עלויות כח אדם (6)'!J420&gt;=VLOOKUP(I420,'סיווג התפקידים והעלויות'!$B$23:$C$32,2,0),"תקין","לא תקין"),""))</f>
        <v/>
      </c>
      <c r="R420" s="199" t="str">
        <f t="shared" si="97"/>
        <v/>
      </c>
      <c r="S420" s="199" t="str">
        <f t="shared" si="98"/>
        <v/>
      </c>
      <c r="T420" s="199" t="str">
        <f t="shared" si="106"/>
        <v/>
      </c>
      <c r="U420" s="199" t="str">
        <f t="shared" si="99"/>
        <v/>
      </c>
      <c r="V420" s="989"/>
      <c r="X420" s="374" t="str">
        <f t="shared" si="100"/>
        <v/>
      </c>
      <c r="Y420" s="375" t="str">
        <f t="shared" si="101"/>
        <v/>
      </c>
      <c r="Z420" s="374" t="str">
        <f t="shared" si="102"/>
        <v/>
      </c>
      <c r="AA420" s="374" t="b">
        <f t="shared" si="103"/>
        <v>1</v>
      </c>
      <c r="AB420" s="374">
        <f>COUNTIFS(B:B,B420,H:H,'סיווג התפקידים והעלויות'!$C$2)</f>
        <v>0</v>
      </c>
      <c r="AC420" s="374">
        <f>COUNTIFS(B:B,B420,H:H,'סיווג התפקידים והעלויות'!$D$2)</f>
        <v>0</v>
      </c>
      <c r="AD420" s="374" t="str">
        <f>IF(OR(AND(H420='סיווג התפקידים והעלויות'!$A$2,I420='סיווג התפקידים והעלויות'!$A$3),'עלויות כח אדם (6)'!H420='סיווג התפקידים והעלויות'!$C$2,'עלויות כח אדם (6)'!H420='סיווג התפקידים והעלויות'!$D$2),IF('עלויות כח אדם (6)'!J420&lt;75,"לא תקין","תקין"),"")</f>
        <v/>
      </c>
      <c r="AE420" s="374" t="str">
        <f t="shared" si="104"/>
        <v/>
      </c>
      <c r="AF420" s="532" t="str">
        <f t="shared" si="105"/>
        <v/>
      </c>
    </row>
    <row r="421" spans="2:32" x14ac:dyDescent="0.25">
      <c r="B421" s="695"/>
      <c r="C421" s="197" t="str">
        <f>IF(B421&lt;&gt;"",IFERROR(VLOOKUP(B:B,'מצבת והרשמה (2)'!$C$20:$N$520,2,0)," ")," ")</f>
        <v xml:space="preserve"> </v>
      </c>
      <c r="D421" s="695"/>
      <c r="E421" s="696"/>
      <c r="F421" s="696"/>
      <c r="G421" s="696"/>
      <c r="H421" s="696"/>
      <c r="I421" s="1050" t="str">
        <f t="shared" si="92"/>
        <v/>
      </c>
      <c r="J421" s="696"/>
      <c r="K421" s="697"/>
      <c r="L421" s="696"/>
      <c r="M421" s="198" t="str">
        <f t="shared" si="93"/>
        <v/>
      </c>
      <c r="N421" s="369" t="str">
        <f t="shared" si="94"/>
        <v/>
      </c>
      <c r="O421" s="183" t="str">
        <f t="shared" si="95"/>
        <v/>
      </c>
      <c r="P421" s="199" t="str">
        <f t="shared" si="96"/>
        <v/>
      </c>
      <c r="Q421" s="199" t="str">
        <f>IF(B421="","",IFERROR(IF('עלויות כח אדם (6)'!J421&gt;=VLOOKUP(I421,'סיווג התפקידים והעלויות'!$B$23:$C$32,2,0),"תקין","לא תקין"),""))</f>
        <v/>
      </c>
      <c r="R421" s="199" t="str">
        <f t="shared" si="97"/>
        <v/>
      </c>
      <c r="S421" s="199" t="str">
        <f t="shared" si="98"/>
        <v/>
      </c>
      <c r="T421" s="199" t="str">
        <f t="shared" si="106"/>
        <v/>
      </c>
      <c r="U421" s="199" t="str">
        <f t="shared" si="99"/>
        <v/>
      </c>
      <c r="V421" s="989"/>
      <c r="X421" s="374" t="str">
        <f t="shared" si="100"/>
        <v/>
      </c>
      <c r="Y421" s="375" t="str">
        <f t="shared" si="101"/>
        <v/>
      </c>
      <c r="Z421" s="374" t="str">
        <f t="shared" si="102"/>
        <v/>
      </c>
      <c r="AA421" s="374" t="b">
        <f t="shared" si="103"/>
        <v>1</v>
      </c>
      <c r="AB421" s="374">
        <f>COUNTIFS(B:B,B421,H:H,'סיווג התפקידים והעלויות'!$C$2)</f>
        <v>0</v>
      </c>
      <c r="AC421" s="374">
        <f>COUNTIFS(B:B,B421,H:H,'סיווג התפקידים והעלויות'!$D$2)</f>
        <v>0</v>
      </c>
      <c r="AD421" s="374" t="str">
        <f>IF(OR(AND(H421='סיווג התפקידים והעלויות'!$A$2,I421='סיווג התפקידים והעלויות'!$A$3),'עלויות כח אדם (6)'!H421='סיווג התפקידים והעלויות'!$C$2,'עלויות כח אדם (6)'!H421='סיווג התפקידים והעלויות'!$D$2),IF('עלויות כח אדם (6)'!J421&lt;75,"לא תקין","תקין"),"")</f>
        <v/>
      </c>
      <c r="AE421" s="374" t="str">
        <f t="shared" si="104"/>
        <v/>
      </c>
      <c r="AF421" s="532" t="str">
        <f t="shared" si="105"/>
        <v/>
      </c>
    </row>
    <row r="422" spans="2:32" x14ac:dyDescent="0.25">
      <c r="B422" s="695"/>
      <c r="C422" s="197" t="str">
        <f>IF(B422&lt;&gt;"",IFERROR(VLOOKUP(B:B,'מצבת והרשמה (2)'!$C$20:$N$520,2,0)," ")," ")</f>
        <v xml:space="preserve"> </v>
      </c>
      <c r="D422" s="695"/>
      <c r="E422" s="696"/>
      <c r="F422" s="696"/>
      <c r="G422" s="696"/>
      <c r="H422" s="696"/>
      <c r="I422" s="1050" t="str">
        <f t="shared" si="92"/>
        <v/>
      </c>
      <c r="J422" s="696"/>
      <c r="K422" s="697"/>
      <c r="L422" s="696"/>
      <c r="M422" s="198" t="str">
        <f t="shared" si="93"/>
        <v/>
      </c>
      <c r="N422" s="369" t="str">
        <f t="shared" si="94"/>
        <v/>
      </c>
      <c r="O422" s="183" t="str">
        <f t="shared" si="95"/>
        <v/>
      </c>
      <c r="P422" s="199" t="str">
        <f t="shared" si="96"/>
        <v/>
      </c>
      <c r="Q422" s="199" t="str">
        <f>IF(B422="","",IFERROR(IF('עלויות כח אדם (6)'!J422&gt;=VLOOKUP(I422,'סיווג התפקידים והעלויות'!$B$23:$C$32,2,0),"תקין","לא תקין"),""))</f>
        <v/>
      </c>
      <c r="R422" s="199" t="str">
        <f t="shared" si="97"/>
        <v/>
      </c>
      <c r="S422" s="199" t="str">
        <f t="shared" si="98"/>
        <v/>
      </c>
      <c r="T422" s="199" t="str">
        <f t="shared" si="106"/>
        <v/>
      </c>
      <c r="U422" s="199" t="str">
        <f t="shared" si="99"/>
        <v/>
      </c>
      <c r="V422" s="989"/>
      <c r="X422" s="374" t="str">
        <f t="shared" si="100"/>
        <v/>
      </c>
      <c r="Y422" s="375" t="str">
        <f t="shared" si="101"/>
        <v/>
      </c>
      <c r="Z422" s="374" t="str">
        <f t="shared" si="102"/>
        <v/>
      </c>
      <c r="AA422" s="374" t="b">
        <f t="shared" si="103"/>
        <v>1</v>
      </c>
      <c r="AB422" s="374">
        <f>COUNTIFS(B:B,B422,H:H,'סיווג התפקידים והעלויות'!$C$2)</f>
        <v>0</v>
      </c>
      <c r="AC422" s="374">
        <f>COUNTIFS(B:B,B422,H:H,'סיווג התפקידים והעלויות'!$D$2)</f>
        <v>0</v>
      </c>
      <c r="AD422" s="374" t="str">
        <f>IF(OR(AND(H422='סיווג התפקידים והעלויות'!$A$2,I422='סיווג התפקידים והעלויות'!$A$3),'עלויות כח אדם (6)'!H422='סיווג התפקידים והעלויות'!$C$2,'עלויות כח אדם (6)'!H422='סיווג התפקידים והעלויות'!$D$2),IF('עלויות כח אדם (6)'!J422&lt;75,"לא תקין","תקין"),"")</f>
        <v/>
      </c>
      <c r="AE422" s="374" t="str">
        <f t="shared" si="104"/>
        <v/>
      </c>
      <c r="AF422" s="532" t="str">
        <f t="shared" si="105"/>
        <v/>
      </c>
    </row>
    <row r="423" spans="2:32" x14ac:dyDescent="0.25">
      <c r="B423" s="695"/>
      <c r="C423" s="197" t="str">
        <f>IF(B423&lt;&gt;"",IFERROR(VLOOKUP(B:B,'מצבת והרשמה (2)'!$C$20:$N$520,2,0)," ")," ")</f>
        <v xml:space="preserve"> </v>
      </c>
      <c r="D423" s="695"/>
      <c r="E423" s="696"/>
      <c r="F423" s="696"/>
      <c r="G423" s="696"/>
      <c r="H423" s="696"/>
      <c r="I423" s="1050" t="str">
        <f t="shared" si="92"/>
        <v/>
      </c>
      <c r="J423" s="696"/>
      <c r="K423" s="697"/>
      <c r="L423" s="696"/>
      <c r="M423" s="198" t="str">
        <f t="shared" si="93"/>
        <v/>
      </c>
      <c r="N423" s="369" t="str">
        <f t="shared" si="94"/>
        <v/>
      </c>
      <c r="O423" s="183" t="str">
        <f t="shared" si="95"/>
        <v/>
      </c>
      <c r="P423" s="199" t="str">
        <f t="shared" si="96"/>
        <v/>
      </c>
      <c r="Q423" s="199" t="str">
        <f>IF(B423="","",IFERROR(IF('עלויות כח אדם (6)'!J423&gt;=VLOOKUP(I423,'סיווג התפקידים והעלויות'!$B$23:$C$32,2,0),"תקין","לא תקין"),""))</f>
        <v/>
      </c>
      <c r="R423" s="199" t="str">
        <f t="shared" si="97"/>
        <v/>
      </c>
      <c r="S423" s="199" t="str">
        <f t="shared" si="98"/>
        <v/>
      </c>
      <c r="T423" s="199" t="str">
        <f t="shared" si="106"/>
        <v/>
      </c>
      <c r="U423" s="199" t="str">
        <f t="shared" si="99"/>
        <v/>
      </c>
      <c r="V423" s="989"/>
      <c r="X423" s="374" t="str">
        <f t="shared" si="100"/>
        <v/>
      </c>
      <c r="Y423" s="375" t="str">
        <f t="shared" si="101"/>
        <v/>
      </c>
      <c r="Z423" s="374" t="str">
        <f t="shared" si="102"/>
        <v/>
      </c>
      <c r="AA423" s="374" t="b">
        <f t="shared" si="103"/>
        <v>1</v>
      </c>
      <c r="AB423" s="374">
        <f>COUNTIFS(B:B,B423,H:H,'סיווג התפקידים והעלויות'!$C$2)</f>
        <v>0</v>
      </c>
      <c r="AC423" s="374">
        <f>COUNTIFS(B:B,B423,H:H,'סיווג התפקידים והעלויות'!$D$2)</f>
        <v>0</v>
      </c>
      <c r="AD423" s="374" t="str">
        <f>IF(OR(AND(H423='סיווג התפקידים והעלויות'!$A$2,I423='סיווג התפקידים והעלויות'!$A$3),'עלויות כח אדם (6)'!H423='סיווג התפקידים והעלויות'!$C$2,'עלויות כח אדם (6)'!H423='סיווג התפקידים והעלויות'!$D$2),IF('עלויות כח אדם (6)'!J423&lt;75,"לא תקין","תקין"),"")</f>
        <v/>
      </c>
      <c r="AE423" s="374" t="str">
        <f t="shared" si="104"/>
        <v/>
      </c>
      <c r="AF423" s="532" t="str">
        <f t="shared" si="105"/>
        <v/>
      </c>
    </row>
    <row r="424" spans="2:32" x14ac:dyDescent="0.25">
      <c r="B424" s="695"/>
      <c r="C424" s="197" t="str">
        <f>IF(B424&lt;&gt;"",IFERROR(VLOOKUP(B:B,'מצבת והרשמה (2)'!$C$20:$N$520,2,0)," ")," ")</f>
        <v xml:space="preserve"> </v>
      </c>
      <c r="D424" s="695"/>
      <c r="E424" s="696"/>
      <c r="F424" s="696"/>
      <c r="G424" s="696"/>
      <c r="H424" s="696"/>
      <c r="I424" s="1050" t="str">
        <f t="shared" si="92"/>
        <v/>
      </c>
      <c r="J424" s="696"/>
      <c r="K424" s="697"/>
      <c r="L424" s="696"/>
      <c r="M424" s="198" t="str">
        <f t="shared" si="93"/>
        <v/>
      </c>
      <c r="N424" s="369" t="str">
        <f t="shared" si="94"/>
        <v/>
      </c>
      <c r="O424" s="183" t="str">
        <f t="shared" si="95"/>
        <v/>
      </c>
      <c r="P424" s="199" t="str">
        <f t="shared" si="96"/>
        <v/>
      </c>
      <c r="Q424" s="199" t="str">
        <f>IF(B424="","",IFERROR(IF('עלויות כח אדם (6)'!J424&gt;=VLOOKUP(I424,'סיווג התפקידים והעלויות'!$B$23:$C$32,2,0),"תקין","לא תקין"),""))</f>
        <v/>
      </c>
      <c r="R424" s="199" t="str">
        <f t="shared" si="97"/>
        <v/>
      </c>
      <c r="S424" s="199" t="str">
        <f t="shared" si="98"/>
        <v/>
      </c>
      <c r="T424" s="199" t="str">
        <f t="shared" si="106"/>
        <v/>
      </c>
      <c r="U424" s="199" t="str">
        <f t="shared" si="99"/>
        <v/>
      </c>
      <c r="V424" s="989"/>
      <c r="X424" s="374" t="str">
        <f t="shared" si="100"/>
        <v/>
      </c>
      <c r="Y424" s="375" t="str">
        <f t="shared" si="101"/>
        <v/>
      </c>
      <c r="Z424" s="374" t="str">
        <f t="shared" si="102"/>
        <v/>
      </c>
      <c r="AA424" s="374" t="b">
        <f t="shared" si="103"/>
        <v>1</v>
      </c>
      <c r="AB424" s="374">
        <f>COUNTIFS(B:B,B424,H:H,'סיווג התפקידים והעלויות'!$C$2)</f>
        <v>0</v>
      </c>
      <c r="AC424" s="374">
        <f>COUNTIFS(B:B,B424,H:H,'סיווג התפקידים והעלויות'!$D$2)</f>
        <v>0</v>
      </c>
      <c r="AD424" s="374" t="str">
        <f>IF(OR(AND(H424='סיווג התפקידים והעלויות'!$A$2,I424='סיווג התפקידים והעלויות'!$A$3),'עלויות כח אדם (6)'!H424='סיווג התפקידים והעלויות'!$C$2,'עלויות כח אדם (6)'!H424='סיווג התפקידים והעלויות'!$D$2),IF('עלויות כח אדם (6)'!J424&lt;75,"לא תקין","תקין"),"")</f>
        <v/>
      </c>
      <c r="AE424" s="374" t="str">
        <f t="shared" si="104"/>
        <v/>
      </c>
      <c r="AF424" s="532" t="str">
        <f t="shared" si="105"/>
        <v/>
      </c>
    </row>
    <row r="425" spans="2:32" x14ac:dyDescent="0.25">
      <c r="B425" s="695"/>
      <c r="C425" s="197" t="str">
        <f>IF(B425&lt;&gt;"",IFERROR(VLOOKUP(B:B,'מצבת והרשמה (2)'!$C$20:$N$520,2,0)," ")," ")</f>
        <v xml:space="preserve"> </v>
      </c>
      <c r="D425" s="695"/>
      <c r="E425" s="696"/>
      <c r="F425" s="696"/>
      <c r="G425" s="696"/>
      <c r="H425" s="696"/>
      <c r="I425" s="1050" t="str">
        <f t="shared" si="92"/>
        <v/>
      </c>
      <c r="J425" s="696"/>
      <c r="K425" s="697"/>
      <c r="L425" s="696"/>
      <c r="M425" s="198" t="str">
        <f t="shared" si="93"/>
        <v/>
      </c>
      <c r="N425" s="369" t="str">
        <f t="shared" si="94"/>
        <v/>
      </c>
      <c r="O425" s="183" t="str">
        <f t="shared" si="95"/>
        <v/>
      </c>
      <c r="P425" s="199" t="str">
        <f t="shared" si="96"/>
        <v/>
      </c>
      <c r="Q425" s="199" t="str">
        <f>IF(B425="","",IFERROR(IF('עלויות כח אדם (6)'!J425&gt;=VLOOKUP(I425,'סיווג התפקידים והעלויות'!$B$23:$C$32,2,0),"תקין","לא תקין"),""))</f>
        <v/>
      </c>
      <c r="R425" s="199" t="str">
        <f t="shared" si="97"/>
        <v/>
      </c>
      <c r="S425" s="199" t="str">
        <f t="shared" si="98"/>
        <v/>
      </c>
      <c r="T425" s="199" t="str">
        <f t="shared" si="106"/>
        <v/>
      </c>
      <c r="U425" s="199" t="str">
        <f t="shared" si="99"/>
        <v/>
      </c>
      <c r="V425" s="989"/>
      <c r="X425" s="374" t="str">
        <f t="shared" si="100"/>
        <v/>
      </c>
      <c r="Y425" s="375" t="str">
        <f t="shared" si="101"/>
        <v/>
      </c>
      <c r="Z425" s="374" t="str">
        <f t="shared" si="102"/>
        <v/>
      </c>
      <c r="AA425" s="374" t="b">
        <f t="shared" si="103"/>
        <v>1</v>
      </c>
      <c r="AB425" s="374">
        <f>COUNTIFS(B:B,B425,H:H,'סיווג התפקידים והעלויות'!$C$2)</f>
        <v>0</v>
      </c>
      <c r="AC425" s="374">
        <f>COUNTIFS(B:B,B425,H:H,'סיווג התפקידים והעלויות'!$D$2)</f>
        <v>0</v>
      </c>
      <c r="AD425" s="374" t="str">
        <f>IF(OR(AND(H425='סיווג התפקידים והעלויות'!$A$2,I425='סיווג התפקידים והעלויות'!$A$3),'עלויות כח אדם (6)'!H425='סיווג התפקידים והעלויות'!$C$2,'עלויות כח אדם (6)'!H425='סיווג התפקידים והעלויות'!$D$2),IF('עלויות כח אדם (6)'!J425&lt;75,"לא תקין","תקין"),"")</f>
        <v/>
      </c>
      <c r="AE425" s="374" t="str">
        <f t="shared" si="104"/>
        <v/>
      </c>
      <c r="AF425" s="532" t="str">
        <f t="shared" si="105"/>
        <v/>
      </c>
    </row>
    <row r="426" spans="2:32" x14ac:dyDescent="0.25">
      <c r="B426" s="695"/>
      <c r="C426" s="197" t="str">
        <f>IF(B426&lt;&gt;"",IFERROR(VLOOKUP(B:B,'מצבת והרשמה (2)'!$C$20:$N$520,2,0)," ")," ")</f>
        <v xml:space="preserve"> </v>
      </c>
      <c r="D426" s="695"/>
      <c r="E426" s="696"/>
      <c r="F426" s="696"/>
      <c r="G426" s="696"/>
      <c r="H426" s="696"/>
      <c r="I426" s="1050" t="str">
        <f t="shared" si="92"/>
        <v/>
      </c>
      <c r="J426" s="696"/>
      <c r="K426" s="697"/>
      <c r="L426" s="696"/>
      <c r="M426" s="198" t="str">
        <f t="shared" si="93"/>
        <v/>
      </c>
      <c r="N426" s="369" t="str">
        <f t="shared" si="94"/>
        <v/>
      </c>
      <c r="O426" s="183" t="str">
        <f t="shared" si="95"/>
        <v/>
      </c>
      <c r="P426" s="199" t="str">
        <f t="shared" si="96"/>
        <v/>
      </c>
      <c r="Q426" s="199" t="str">
        <f>IF(B426="","",IFERROR(IF('עלויות כח אדם (6)'!J426&gt;=VLOOKUP(I426,'סיווג התפקידים והעלויות'!$B$23:$C$32,2,0),"תקין","לא תקין"),""))</f>
        <v/>
      </c>
      <c r="R426" s="199" t="str">
        <f t="shared" si="97"/>
        <v/>
      </c>
      <c r="S426" s="199" t="str">
        <f t="shared" si="98"/>
        <v/>
      </c>
      <c r="T426" s="199" t="str">
        <f t="shared" si="106"/>
        <v/>
      </c>
      <c r="U426" s="199" t="str">
        <f t="shared" si="99"/>
        <v/>
      </c>
      <c r="V426" s="989"/>
      <c r="X426" s="374" t="str">
        <f t="shared" si="100"/>
        <v/>
      </c>
      <c r="Y426" s="375" t="str">
        <f t="shared" si="101"/>
        <v/>
      </c>
      <c r="Z426" s="374" t="str">
        <f t="shared" si="102"/>
        <v/>
      </c>
      <c r="AA426" s="374" t="b">
        <f t="shared" si="103"/>
        <v>1</v>
      </c>
      <c r="AB426" s="374">
        <f>COUNTIFS(B:B,B426,H:H,'סיווג התפקידים והעלויות'!$C$2)</f>
        <v>0</v>
      </c>
      <c r="AC426" s="374">
        <f>COUNTIFS(B:B,B426,H:H,'סיווג התפקידים והעלויות'!$D$2)</f>
        <v>0</v>
      </c>
      <c r="AD426" s="374" t="str">
        <f>IF(OR(AND(H426='סיווג התפקידים והעלויות'!$A$2,I426='סיווג התפקידים והעלויות'!$A$3),'עלויות כח אדם (6)'!H426='סיווג התפקידים והעלויות'!$C$2,'עלויות כח אדם (6)'!H426='סיווג התפקידים והעלויות'!$D$2),IF('עלויות כח אדם (6)'!J426&lt;75,"לא תקין","תקין"),"")</f>
        <v/>
      </c>
      <c r="AE426" s="374" t="str">
        <f t="shared" si="104"/>
        <v/>
      </c>
      <c r="AF426" s="532" t="str">
        <f t="shared" si="105"/>
        <v/>
      </c>
    </row>
    <row r="427" spans="2:32" x14ac:dyDescent="0.25">
      <c r="B427" s="695"/>
      <c r="C427" s="197" t="str">
        <f>IF(B427&lt;&gt;"",IFERROR(VLOOKUP(B:B,'מצבת והרשמה (2)'!$C$20:$N$520,2,0)," ")," ")</f>
        <v xml:space="preserve"> </v>
      </c>
      <c r="D427" s="695"/>
      <c r="E427" s="696"/>
      <c r="F427" s="696"/>
      <c r="G427" s="696"/>
      <c r="H427" s="696"/>
      <c r="I427" s="1050" t="str">
        <f t="shared" si="92"/>
        <v/>
      </c>
      <c r="J427" s="696"/>
      <c r="K427" s="697"/>
      <c r="L427" s="696"/>
      <c r="M427" s="198" t="str">
        <f t="shared" si="93"/>
        <v/>
      </c>
      <c r="N427" s="369" t="str">
        <f t="shared" si="94"/>
        <v/>
      </c>
      <c r="O427" s="183" t="str">
        <f t="shared" si="95"/>
        <v/>
      </c>
      <c r="P427" s="199" t="str">
        <f t="shared" si="96"/>
        <v/>
      </c>
      <c r="Q427" s="199" t="str">
        <f>IF(B427="","",IFERROR(IF('עלויות כח אדם (6)'!J427&gt;=VLOOKUP(I427,'סיווג התפקידים והעלויות'!$B$23:$C$32,2,0),"תקין","לא תקין"),""))</f>
        <v/>
      </c>
      <c r="R427" s="199" t="str">
        <f t="shared" si="97"/>
        <v/>
      </c>
      <c r="S427" s="199" t="str">
        <f t="shared" si="98"/>
        <v/>
      </c>
      <c r="T427" s="199" t="str">
        <f t="shared" si="106"/>
        <v/>
      </c>
      <c r="U427" s="199" t="str">
        <f t="shared" si="99"/>
        <v/>
      </c>
      <c r="V427" s="989"/>
      <c r="X427" s="374" t="str">
        <f t="shared" si="100"/>
        <v/>
      </c>
      <c r="Y427" s="375" t="str">
        <f t="shared" si="101"/>
        <v/>
      </c>
      <c r="Z427" s="374" t="str">
        <f t="shared" si="102"/>
        <v/>
      </c>
      <c r="AA427" s="374" t="b">
        <f t="shared" si="103"/>
        <v>1</v>
      </c>
      <c r="AB427" s="374">
        <f>COUNTIFS(B:B,B427,H:H,'סיווג התפקידים והעלויות'!$C$2)</f>
        <v>0</v>
      </c>
      <c r="AC427" s="374">
        <f>COUNTIFS(B:B,B427,H:H,'סיווג התפקידים והעלויות'!$D$2)</f>
        <v>0</v>
      </c>
      <c r="AD427" s="374" t="str">
        <f>IF(OR(AND(H427='סיווג התפקידים והעלויות'!$A$2,I427='סיווג התפקידים והעלויות'!$A$3),'עלויות כח אדם (6)'!H427='סיווג התפקידים והעלויות'!$C$2,'עלויות כח אדם (6)'!H427='סיווג התפקידים והעלויות'!$D$2),IF('עלויות כח אדם (6)'!J427&lt;75,"לא תקין","תקין"),"")</f>
        <v/>
      </c>
      <c r="AE427" s="374" t="str">
        <f t="shared" si="104"/>
        <v/>
      </c>
      <c r="AF427" s="532" t="str">
        <f t="shared" si="105"/>
        <v/>
      </c>
    </row>
    <row r="428" spans="2:32" x14ac:dyDescent="0.25">
      <c r="B428" s="695"/>
      <c r="C428" s="197" t="str">
        <f>IF(B428&lt;&gt;"",IFERROR(VLOOKUP(B:B,'מצבת והרשמה (2)'!$C$20:$N$520,2,0)," ")," ")</f>
        <v xml:space="preserve"> </v>
      </c>
      <c r="D428" s="695"/>
      <c r="E428" s="696"/>
      <c r="F428" s="696"/>
      <c r="G428" s="696"/>
      <c r="H428" s="696"/>
      <c r="I428" s="1050" t="str">
        <f t="shared" si="92"/>
        <v/>
      </c>
      <c r="J428" s="696"/>
      <c r="K428" s="697"/>
      <c r="L428" s="696"/>
      <c r="M428" s="198" t="str">
        <f t="shared" si="93"/>
        <v/>
      </c>
      <c r="N428" s="369" t="str">
        <f t="shared" si="94"/>
        <v/>
      </c>
      <c r="O428" s="183" t="str">
        <f t="shared" si="95"/>
        <v/>
      </c>
      <c r="P428" s="199" t="str">
        <f t="shared" si="96"/>
        <v/>
      </c>
      <c r="Q428" s="199" t="str">
        <f>IF(B428="","",IFERROR(IF('עלויות כח אדם (6)'!J428&gt;=VLOOKUP(I428,'סיווג התפקידים והעלויות'!$B$23:$C$32,2,0),"תקין","לא תקין"),""))</f>
        <v/>
      </c>
      <c r="R428" s="199" t="str">
        <f t="shared" si="97"/>
        <v/>
      </c>
      <c r="S428" s="199" t="str">
        <f t="shared" si="98"/>
        <v/>
      </c>
      <c r="T428" s="199" t="str">
        <f t="shared" si="106"/>
        <v/>
      </c>
      <c r="U428" s="199" t="str">
        <f t="shared" si="99"/>
        <v/>
      </c>
      <c r="V428" s="989"/>
      <c r="X428" s="374" t="str">
        <f t="shared" si="100"/>
        <v/>
      </c>
      <c r="Y428" s="375" t="str">
        <f t="shared" si="101"/>
        <v/>
      </c>
      <c r="Z428" s="374" t="str">
        <f t="shared" si="102"/>
        <v/>
      </c>
      <c r="AA428" s="374" t="b">
        <f t="shared" si="103"/>
        <v>1</v>
      </c>
      <c r="AB428" s="374">
        <f>COUNTIFS(B:B,B428,H:H,'סיווג התפקידים והעלויות'!$C$2)</f>
        <v>0</v>
      </c>
      <c r="AC428" s="374">
        <f>COUNTIFS(B:B,B428,H:H,'סיווג התפקידים והעלויות'!$D$2)</f>
        <v>0</v>
      </c>
      <c r="AD428" s="374" t="str">
        <f>IF(OR(AND(H428='סיווג התפקידים והעלויות'!$A$2,I428='סיווג התפקידים והעלויות'!$A$3),'עלויות כח אדם (6)'!H428='סיווג התפקידים והעלויות'!$C$2,'עלויות כח אדם (6)'!H428='סיווג התפקידים והעלויות'!$D$2),IF('עלויות כח אדם (6)'!J428&lt;75,"לא תקין","תקין"),"")</f>
        <v/>
      </c>
      <c r="AE428" s="374" t="str">
        <f t="shared" si="104"/>
        <v/>
      </c>
      <c r="AF428" s="532" t="str">
        <f t="shared" si="105"/>
        <v/>
      </c>
    </row>
    <row r="429" spans="2:32" x14ac:dyDescent="0.25">
      <c r="B429" s="695"/>
      <c r="C429" s="197" t="str">
        <f>IF(B429&lt;&gt;"",IFERROR(VLOOKUP(B:B,'מצבת והרשמה (2)'!$C$20:$N$520,2,0)," ")," ")</f>
        <v xml:space="preserve"> </v>
      </c>
      <c r="D429" s="695"/>
      <c r="E429" s="696"/>
      <c r="F429" s="696"/>
      <c r="G429" s="696"/>
      <c r="H429" s="696"/>
      <c r="I429" s="1050" t="str">
        <f t="shared" si="92"/>
        <v/>
      </c>
      <c r="J429" s="696"/>
      <c r="K429" s="697"/>
      <c r="L429" s="696"/>
      <c r="M429" s="198" t="str">
        <f t="shared" si="93"/>
        <v/>
      </c>
      <c r="N429" s="369" t="str">
        <f t="shared" si="94"/>
        <v/>
      </c>
      <c r="O429" s="183" t="str">
        <f t="shared" si="95"/>
        <v/>
      </c>
      <c r="P429" s="199" t="str">
        <f t="shared" si="96"/>
        <v/>
      </c>
      <c r="Q429" s="199" t="str">
        <f>IF(B429="","",IFERROR(IF('עלויות כח אדם (6)'!J429&gt;=VLOOKUP(I429,'סיווג התפקידים והעלויות'!$B$23:$C$32,2,0),"תקין","לא תקין"),""))</f>
        <v/>
      </c>
      <c r="R429" s="199" t="str">
        <f t="shared" si="97"/>
        <v/>
      </c>
      <c r="S429" s="199" t="str">
        <f t="shared" si="98"/>
        <v/>
      </c>
      <c r="T429" s="199" t="str">
        <f t="shared" si="106"/>
        <v/>
      </c>
      <c r="U429" s="199" t="str">
        <f t="shared" si="99"/>
        <v/>
      </c>
      <c r="V429" s="989"/>
      <c r="X429" s="374" t="str">
        <f t="shared" si="100"/>
        <v/>
      </c>
      <c r="Y429" s="375" t="str">
        <f t="shared" si="101"/>
        <v/>
      </c>
      <c r="Z429" s="374" t="str">
        <f t="shared" si="102"/>
        <v/>
      </c>
      <c r="AA429" s="374" t="b">
        <f t="shared" si="103"/>
        <v>1</v>
      </c>
      <c r="AB429" s="374">
        <f>COUNTIFS(B:B,B429,H:H,'סיווג התפקידים והעלויות'!$C$2)</f>
        <v>0</v>
      </c>
      <c r="AC429" s="374">
        <f>COUNTIFS(B:B,B429,H:H,'סיווג התפקידים והעלויות'!$D$2)</f>
        <v>0</v>
      </c>
      <c r="AD429" s="374" t="str">
        <f>IF(OR(AND(H429='סיווג התפקידים והעלויות'!$A$2,I429='סיווג התפקידים והעלויות'!$A$3),'עלויות כח אדם (6)'!H429='סיווג התפקידים והעלויות'!$C$2,'עלויות כח אדם (6)'!H429='סיווג התפקידים והעלויות'!$D$2),IF('עלויות כח אדם (6)'!J429&lt;75,"לא תקין","תקין"),"")</f>
        <v/>
      </c>
      <c r="AE429" s="374" t="str">
        <f t="shared" si="104"/>
        <v/>
      </c>
      <c r="AF429" s="532" t="str">
        <f t="shared" si="105"/>
        <v/>
      </c>
    </row>
    <row r="430" spans="2:32" x14ac:dyDescent="0.25">
      <c r="B430" s="695"/>
      <c r="C430" s="197" t="str">
        <f>IF(B430&lt;&gt;"",IFERROR(VLOOKUP(B:B,'מצבת והרשמה (2)'!$C$20:$N$520,2,0)," ")," ")</f>
        <v xml:space="preserve"> </v>
      </c>
      <c r="D430" s="695"/>
      <c r="E430" s="696"/>
      <c r="F430" s="696"/>
      <c r="G430" s="696"/>
      <c r="H430" s="696"/>
      <c r="I430" s="1050" t="str">
        <f t="shared" si="92"/>
        <v/>
      </c>
      <c r="J430" s="696"/>
      <c r="K430" s="697"/>
      <c r="L430" s="696"/>
      <c r="M430" s="198" t="str">
        <f t="shared" si="93"/>
        <v/>
      </c>
      <c r="N430" s="369" t="str">
        <f t="shared" si="94"/>
        <v/>
      </c>
      <c r="O430" s="183" t="str">
        <f t="shared" si="95"/>
        <v/>
      </c>
      <c r="P430" s="199" t="str">
        <f t="shared" si="96"/>
        <v/>
      </c>
      <c r="Q430" s="199" t="str">
        <f>IF(B430="","",IFERROR(IF('עלויות כח אדם (6)'!J430&gt;=VLOOKUP(I430,'סיווג התפקידים והעלויות'!$B$23:$C$32,2,0),"תקין","לא תקין"),""))</f>
        <v/>
      </c>
      <c r="R430" s="199" t="str">
        <f t="shared" si="97"/>
        <v/>
      </c>
      <c r="S430" s="199" t="str">
        <f t="shared" si="98"/>
        <v/>
      </c>
      <c r="T430" s="199" t="str">
        <f t="shared" si="106"/>
        <v/>
      </c>
      <c r="U430" s="199" t="str">
        <f t="shared" si="99"/>
        <v/>
      </c>
      <c r="V430" s="989"/>
      <c r="X430" s="374" t="str">
        <f t="shared" si="100"/>
        <v/>
      </c>
      <c r="Y430" s="375" t="str">
        <f t="shared" si="101"/>
        <v/>
      </c>
      <c r="Z430" s="374" t="str">
        <f t="shared" si="102"/>
        <v/>
      </c>
      <c r="AA430" s="374" t="b">
        <f t="shared" si="103"/>
        <v>1</v>
      </c>
      <c r="AB430" s="374">
        <f>COUNTIFS(B:B,B430,H:H,'סיווג התפקידים והעלויות'!$C$2)</f>
        <v>0</v>
      </c>
      <c r="AC430" s="374">
        <f>COUNTIFS(B:B,B430,H:H,'סיווג התפקידים והעלויות'!$D$2)</f>
        <v>0</v>
      </c>
      <c r="AD430" s="374" t="str">
        <f>IF(OR(AND(H430='סיווג התפקידים והעלויות'!$A$2,I430='סיווג התפקידים והעלויות'!$A$3),'עלויות כח אדם (6)'!H430='סיווג התפקידים והעלויות'!$C$2,'עלויות כח אדם (6)'!H430='סיווג התפקידים והעלויות'!$D$2),IF('עלויות כח אדם (6)'!J430&lt;75,"לא תקין","תקין"),"")</f>
        <v/>
      </c>
      <c r="AE430" s="374" t="str">
        <f t="shared" si="104"/>
        <v/>
      </c>
      <c r="AF430" s="532" t="str">
        <f t="shared" si="105"/>
        <v/>
      </c>
    </row>
    <row r="431" spans="2:32" x14ac:dyDescent="0.25">
      <c r="B431" s="695"/>
      <c r="C431" s="197" t="str">
        <f>IF(B431&lt;&gt;"",IFERROR(VLOOKUP(B:B,'מצבת והרשמה (2)'!$C$20:$N$520,2,0)," ")," ")</f>
        <v xml:space="preserve"> </v>
      </c>
      <c r="D431" s="695"/>
      <c r="E431" s="696"/>
      <c r="F431" s="696"/>
      <c r="G431" s="696"/>
      <c r="H431" s="696"/>
      <c r="I431" s="1050" t="str">
        <f t="shared" si="92"/>
        <v/>
      </c>
      <c r="J431" s="696"/>
      <c r="K431" s="697"/>
      <c r="L431" s="696"/>
      <c r="M431" s="198" t="str">
        <f t="shared" si="93"/>
        <v/>
      </c>
      <c r="N431" s="369" t="str">
        <f t="shared" si="94"/>
        <v/>
      </c>
      <c r="O431" s="183" t="str">
        <f t="shared" si="95"/>
        <v/>
      </c>
      <c r="P431" s="199" t="str">
        <f t="shared" si="96"/>
        <v/>
      </c>
      <c r="Q431" s="199" t="str">
        <f>IF(B431="","",IFERROR(IF('עלויות כח אדם (6)'!J431&gt;=VLOOKUP(I431,'סיווג התפקידים והעלויות'!$B$23:$C$32,2,0),"תקין","לא תקין"),""))</f>
        <v/>
      </c>
      <c r="R431" s="199" t="str">
        <f t="shared" si="97"/>
        <v/>
      </c>
      <c r="S431" s="199" t="str">
        <f t="shared" si="98"/>
        <v/>
      </c>
      <c r="T431" s="199" t="str">
        <f t="shared" si="106"/>
        <v/>
      </c>
      <c r="U431" s="199" t="str">
        <f t="shared" si="99"/>
        <v/>
      </c>
      <c r="V431" s="989"/>
      <c r="X431" s="374" t="str">
        <f t="shared" si="100"/>
        <v/>
      </c>
      <c r="Y431" s="375" t="str">
        <f t="shared" si="101"/>
        <v/>
      </c>
      <c r="Z431" s="374" t="str">
        <f t="shared" si="102"/>
        <v/>
      </c>
      <c r="AA431" s="374" t="b">
        <f t="shared" si="103"/>
        <v>1</v>
      </c>
      <c r="AB431" s="374">
        <f>COUNTIFS(B:B,B431,H:H,'סיווג התפקידים והעלויות'!$C$2)</f>
        <v>0</v>
      </c>
      <c r="AC431" s="374">
        <f>COUNTIFS(B:B,B431,H:H,'סיווג התפקידים והעלויות'!$D$2)</f>
        <v>0</v>
      </c>
      <c r="AD431" s="374" t="str">
        <f>IF(OR(AND(H431='סיווג התפקידים והעלויות'!$A$2,I431='סיווג התפקידים והעלויות'!$A$3),'עלויות כח אדם (6)'!H431='סיווג התפקידים והעלויות'!$C$2,'עלויות כח אדם (6)'!H431='סיווג התפקידים והעלויות'!$D$2),IF('עלויות כח אדם (6)'!J431&lt;75,"לא תקין","תקין"),"")</f>
        <v/>
      </c>
      <c r="AE431" s="374" t="str">
        <f t="shared" si="104"/>
        <v/>
      </c>
      <c r="AF431" s="532" t="str">
        <f t="shared" si="105"/>
        <v/>
      </c>
    </row>
    <row r="432" spans="2:32" x14ac:dyDescent="0.25">
      <c r="B432" s="695"/>
      <c r="C432" s="197" t="str">
        <f>IF(B432&lt;&gt;"",IFERROR(VLOOKUP(B:B,'מצבת והרשמה (2)'!$C$20:$N$520,2,0)," ")," ")</f>
        <v xml:space="preserve"> </v>
      </c>
      <c r="D432" s="695"/>
      <c r="E432" s="696"/>
      <c r="F432" s="696"/>
      <c r="G432" s="696"/>
      <c r="H432" s="696"/>
      <c r="I432" s="1050" t="str">
        <f t="shared" si="92"/>
        <v/>
      </c>
      <c r="J432" s="696"/>
      <c r="K432" s="697"/>
      <c r="L432" s="696"/>
      <c r="M432" s="198" t="str">
        <f t="shared" si="93"/>
        <v/>
      </c>
      <c r="N432" s="369" t="str">
        <f t="shared" si="94"/>
        <v/>
      </c>
      <c r="O432" s="183" t="str">
        <f t="shared" si="95"/>
        <v/>
      </c>
      <c r="P432" s="199" t="str">
        <f t="shared" si="96"/>
        <v/>
      </c>
      <c r="Q432" s="199" t="str">
        <f>IF(B432="","",IFERROR(IF('עלויות כח אדם (6)'!J432&gt;=VLOOKUP(I432,'סיווג התפקידים והעלויות'!$B$23:$C$32,2,0),"תקין","לא תקין"),""))</f>
        <v/>
      </c>
      <c r="R432" s="199" t="str">
        <f t="shared" si="97"/>
        <v/>
      </c>
      <c r="S432" s="199" t="str">
        <f t="shared" si="98"/>
        <v/>
      </c>
      <c r="T432" s="199" t="str">
        <f t="shared" si="106"/>
        <v/>
      </c>
      <c r="U432" s="199" t="str">
        <f t="shared" si="99"/>
        <v/>
      </c>
      <c r="V432" s="989"/>
      <c r="X432" s="374" t="str">
        <f t="shared" si="100"/>
        <v/>
      </c>
      <c r="Y432" s="375" t="str">
        <f t="shared" si="101"/>
        <v/>
      </c>
      <c r="Z432" s="374" t="str">
        <f t="shared" si="102"/>
        <v/>
      </c>
      <c r="AA432" s="374" t="b">
        <f t="shared" si="103"/>
        <v>1</v>
      </c>
      <c r="AB432" s="374">
        <f>COUNTIFS(B:B,B432,H:H,'סיווג התפקידים והעלויות'!$C$2)</f>
        <v>0</v>
      </c>
      <c r="AC432" s="374">
        <f>COUNTIFS(B:B,B432,H:H,'סיווג התפקידים והעלויות'!$D$2)</f>
        <v>0</v>
      </c>
      <c r="AD432" s="374" t="str">
        <f>IF(OR(AND(H432='סיווג התפקידים והעלויות'!$A$2,I432='סיווג התפקידים והעלויות'!$A$3),'עלויות כח אדם (6)'!H432='סיווג התפקידים והעלויות'!$C$2,'עלויות כח אדם (6)'!H432='סיווג התפקידים והעלויות'!$D$2),IF('עלויות כח אדם (6)'!J432&lt;75,"לא תקין","תקין"),"")</f>
        <v/>
      </c>
      <c r="AE432" s="374" t="str">
        <f t="shared" si="104"/>
        <v/>
      </c>
      <c r="AF432" s="532" t="str">
        <f t="shared" si="105"/>
        <v/>
      </c>
    </row>
    <row r="433" spans="2:32" x14ac:dyDescent="0.25">
      <c r="B433" s="695"/>
      <c r="C433" s="197" t="str">
        <f>IF(B433&lt;&gt;"",IFERROR(VLOOKUP(B:B,'מצבת והרשמה (2)'!$C$20:$N$520,2,0)," ")," ")</f>
        <v xml:space="preserve"> </v>
      </c>
      <c r="D433" s="695"/>
      <c r="E433" s="696"/>
      <c r="F433" s="696"/>
      <c r="G433" s="696"/>
      <c r="H433" s="696"/>
      <c r="I433" s="1050" t="str">
        <f t="shared" si="92"/>
        <v/>
      </c>
      <c r="J433" s="696"/>
      <c r="K433" s="697"/>
      <c r="L433" s="696"/>
      <c r="M433" s="198" t="str">
        <f t="shared" si="93"/>
        <v/>
      </c>
      <c r="N433" s="369" t="str">
        <f t="shared" si="94"/>
        <v/>
      </c>
      <c r="O433" s="183" t="str">
        <f t="shared" si="95"/>
        <v/>
      </c>
      <c r="P433" s="199" t="str">
        <f t="shared" si="96"/>
        <v/>
      </c>
      <c r="Q433" s="199" t="str">
        <f>IF(B433="","",IFERROR(IF('עלויות כח אדם (6)'!J433&gt;=VLOOKUP(I433,'סיווג התפקידים והעלויות'!$B$23:$C$32,2,0),"תקין","לא תקין"),""))</f>
        <v/>
      </c>
      <c r="R433" s="199" t="str">
        <f t="shared" si="97"/>
        <v/>
      </c>
      <c r="S433" s="199" t="str">
        <f t="shared" si="98"/>
        <v/>
      </c>
      <c r="T433" s="199" t="str">
        <f t="shared" si="106"/>
        <v/>
      </c>
      <c r="U433" s="199" t="str">
        <f t="shared" si="99"/>
        <v/>
      </c>
      <c r="V433" s="989"/>
      <c r="X433" s="374" t="str">
        <f t="shared" si="100"/>
        <v/>
      </c>
      <c r="Y433" s="375" t="str">
        <f t="shared" si="101"/>
        <v/>
      </c>
      <c r="Z433" s="374" t="str">
        <f t="shared" si="102"/>
        <v/>
      </c>
      <c r="AA433" s="374" t="b">
        <f t="shared" si="103"/>
        <v>1</v>
      </c>
      <c r="AB433" s="374">
        <f>COUNTIFS(B:B,B433,H:H,'סיווג התפקידים והעלויות'!$C$2)</f>
        <v>0</v>
      </c>
      <c r="AC433" s="374">
        <f>COUNTIFS(B:B,B433,H:H,'סיווג התפקידים והעלויות'!$D$2)</f>
        <v>0</v>
      </c>
      <c r="AD433" s="374" t="str">
        <f>IF(OR(AND(H433='סיווג התפקידים והעלויות'!$A$2,I433='סיווג התפקידים והעלויות'!$A$3),'עלויות כח אדם (6)'!H433='סיווג התפקידים והעלויות'!$C$2,'עלויות כח אדם (6)'!H433='סיווג התפקידים והעלויות'!$D$2),IF('עלויות כח אדם (6)'!J433&lt;75,"לא תקין","תקין"),"")</f>
        <v/>
      </c>
      <c r="AE433" s="374" t="str">
        <f t="shared" si="104"/>
        <v/>
      </c>
      <c r="AF433" s="532" t="str">
        <f t="shared" si="105"/>
        <v/>
      </c>
    </row>
    <row r="434" spans="2:32" x14ac:dyDescent="0.25">
      <c r="B434" s="695"/>
      <c r="C434" s="197" t="str">
        <f>IF(B434&lt;&gt;"",IFERROR(VLOOKUP(B:B,'מצבת והרשמה (2)'!$C$20:$N$520,2,0)," ")," ")</f>
        <v xml:space="preserve"> </v>
      </c>
      <c r="D434" s="695"/>
      <c r="E434" s="696"/>
      <c r="F434" s="696"/>
      <c r="G434" s="696"/>
      <c r="H434" s="696"/>
      <c r="I434" s="1050" t="str">
        <f t="shared" si="92"/>
        <v/>
      </c>
      <c r="J434" s="696"/>
      <c r="K434" s="697"/>
      <c r="L434" s="696"/>
      <c r="M434" s="198" t="str">
        <f t="shared" si="93"/>
        <v/>
      </c>
      <c r="N434" s="369" t="str">
        <f t="shared" si="94"/>
        <v/>
      </c>
      <c r="O434" s="183" t="str">
        <f t="shared" si="95"/>
        <v/>
      </c>
      <c r="P434" s="199" t="str">
        <f t="shared" si="96"/>
        <v/>
      </c>
      <c r="Q434" s="199" t="str">
        <f>IF(B434="","",IFERROR(IF('עלויות כח אדם (6)'!J434&gt;=VLOOKUP(I434,'סיווג התפקידים והעלויות'!$B$23:$C$32,2,0),"תקין","לא תקין"),""))</f>
        <v/>
      </c>
      <c r="R434" s="199" t="str">
        <f t="shared" si="97"/>
        <v/>
      </c>
      <c r="S434" s="199" t="str">
        <f t="shared" si="98"/>
        <v/>
      </c>
      <c r="T434" s="199" t="str">
        <f t="shared" si="106"/>
        <v/>
      </c>
      <c r="U434" s="199" t="str">
        <f t="shared" si="99"/>
        <v/>
      </c>
      <c r="V434" s="989"/>
      <c r="X434" s="374" t="str">
        <f t="shared" si="100"/>
        <v/>
      </c>
      <c r="Y434" s="375" t="str">
        <f t="shared" si="101"/>
        <v/>
      </c>
      <c r="Z434" s="374" t="str">
        <f t="shared" si="102"/>
        <v/>
      </c>
      <c r="AA434" s="374" t="b">
        <f t="shared" si="103"/>
        <v>1</v>
      </c>
      <c r="AB434" s="374">
        <f>COUNTIFS(B:B,B434,H:H,'סיווג התפקידים והעלויות'!$C$2)</f>
        <v>0</v>
      </c>
      <c r="AC434" s="374">
        <f>COUNTIFS(B:B,B434,H:H,'סיווג התפקידים והעלויות'!$D$2)</f>
        <v>0</v>
      </c>
      <c r="AD434" s="374" t="str">
        <f>IF(OR(AND(H434='סיווג התפקידים והעלויות'!$A$2,I434='סיווג התפקידים והעלויות'!$A$3),'עלויות כח אדם (6)'!H434='סיווג התפקידים והעלויות'!$C$2,'עלויות כח אדם (6)'!H434='סיווג התפקידים והעלויות'!$D$2),IF('עלויות כח אדם (6)'!J434&lt;75,"לא תקין","תקין"),"")</f>
        <v/>
      </c>
      <c r="AE434" s="374" t="str">
        <f t="shared" si="104"/>
        <v/>
      </c>
      <c r="AF434" s="532" t="str">
        <f t="shared" si="105"/>
        <v/>
      </c>
    </row>
    <row r="435" spans="2:32" x14ac:dyDescent="0.25">
      <c r="B435" s="695"/>
      <c r="C435" s="197" t="str">
        <f>IF(B435&lt;&gt;"",IFERROR(VLOOKUP(B:B,'מצבת והרשמה (2)'!$C$20:$N$520,2,0)," ")," ")</f>
        <v xml:space="preserve"> </v>
      </c>
      <c r="D435" s="695"/>
      <c r="E435" s="696"/>
      <c r="F435" s="696"/>
      <c r="G435" s="696"/>
      <c r="H435" s="696"/>
      <c r="I435" s="1050" t="str">
        <f t="shared" si="92"/>
        <v/>
      </c>
      <c r="J435" s="696"/>
      <c r="K435" s="697"/>
      <c r="L435" s="696"/>
      <c r="M435" s="198" t="str">
        <f t="shared" si="93"/>
        <v/>
      </c>
      <c r="N435" s="369" t="str">
        <f t="shared" si="94"/>
        <v/>
      </c>
      <c r="O435" s="183" t="str">
        <f t="shared" si="95"/>
        <v/>
      </c>
      <c r="P435" s="199" t="str">
        <f t="shared" si="96"/>
        <v/>
      </c>
      <c r="Q435" s="199" t="str">
        <f>IF(B435="","",IFERROR(IF('עלויות כח אדם (6)'!J435&gt;=VLOOKUP(I435,'סיווג התפקידים והעלויות'!$B$23:$C$32,2,0),"תקין","לא תקין"),""))</f>
        <v/>
      </c>
      <c r="R435" s="199" t="str">
        <f t="shared" si="97"/>
        <v/>
      </c>
      <c r="S435" s="199" t="str">
        <f t="shared" si="98"/>
        <v/>
      </c>
      <c r="T435" s="199" t="str">
        <f t="shared" si="106"/>
        <v/>
      </c>
      <c r="U435" s="199" t="str">
        <f t="shared" si="99"/>
        <v/>
      </c>
      <c r="V435" s="989"/>
      <c r="X435" s="374" t="str">
        <f t="shared" si="100"/>
        <v/>
      </c>
      <c r="Y435" s="375" t="str">
        <f t="shared" si="101"/>
        <v/>
      </c>
      <c r="Z435" s="374" t="str">
        <f t="shared" si="102"/>
        <v/>
      </c>
      <c r="AA435" s="374" t="b">
        <f t="shared" si="103"/>
        <v>1</v>
      </c>
      <c r="AB435" s="374">
        <f>COUNTIFS(B:B,B435,H:H,'סיווג התפקידים והעלויות'!$C$2)</f>
        <v>0</v>
      </c>
      <c r="AC435" s="374">
        <f>COUNTIFS(B:B,B435,H:H,'סיווג התפקידים והעלויות'!$D$2)</f>
        <v>0</v>
      </c>
      <c r="AD435" s="374" t="str">
        <f>IF(OR(AND(H435='סיווג התפקידים והעלויות'!$A$2,I435='סיווג התפקידים והעלויות'!$A$3),'עלויות כח אדם (6)'!H435='סיווג התפקידים והעלויות'!$C$2,'עלויות כח אדם (6)'!H435='סיווג התפקידים והעלויות'!$D$2),IF('עלויות כח אדם (6)'!J435&lt;75,"לא תקין","תקין"),"")</f>
        <v/>
      </c>
      <c r="AE435" s="374" t="str">
        <f t="shared" si="104"/>
        <v/>
      </c>
      <c r="AF435" s="532" t="str">
        <f t="shared" si="105"/>
        <v/>
      </c>
    </row>
    <row r="436" spans="2:32" x14ac:dyDescent="0.25">
      <c r="B436" s="695"/>
      <c r="C436" s="197" t="str">
        <f>IF(B436&lt;&gt;"",IFERROR(VLOOKUP(B:B,'מצבת והרשמה (2)'!$C$20:$N$520,2,0)," ")," ")</f>
        <v xml:space="preserve"> </v>
      </c>
      <c r="D436" s="695"/>
      <c r="E436" s="696"/>
      <c r="F436" s="696"/>
      <c r="G436" s="696"/>
      <c r="H436" s="696"/>
      <c r="I436" s="1050" t="str">
        <f t="shared" si="92"/>
        <v/>
      </c>
      <c r="J436" s="696"/>
      <c r="K436" s="697"/>
      <c r="L436" s="696"/>
      <c r="M436" s="198" t="str">
        <f t="shared" si="93"/>
        <v/>
      </c>
      <c r="N436" s="369" t="str">
        <f t="shared" si="94"/>
        <v/>
      </c>
      <c r="O436" s="183" t="str">
        <f t="shared" si="95"/>
        <v/>
      </c>
      <c r="P436" s="199" t="str">
        <f t="shared" si="96"/>
        <v/>
      </c>
      <c r="Q436" s="199" t="str">
        <f>IF(B436="","",IFERROR(IF('עלויות כח אדם (6)'!J436&gt;=VLOOKUP(I436,'סיווג התפקידים והעלויות'!$B$23:$C$32,2,0),"תקין","לא תקין"),""))</f>
        <v/>
      </c>
      <c r="R436" s="199" t="str">
        <f t="shared" si="97"/>
        <v/>
      </c>
      <c r="S436" s="199" t="str">
        <f t="shared" si="98"/>
        <v/>
      </c>
      <c r="T436" s="199" t="str">
        <f t="shared" si="106"/>
        <v/>
      </c>
      <c r="U436" s="199" t="str">
        <f t="shared" si="99"/>
        <v/>
      </c>
      <c r="V436" s="989"/>
      <c r="X436" s="374" t="str">
        <f t="shared" si="100"/>
        <v/>
      </c>
      <c r="Y436" s="375" t="str">
        <f t="shared" si="101"/>
        <v/>
      </c>
      <c r="Z436" s="374" t="str">
        <f t="shared" si="102"/>
        <v/>
      </c>
      <c r="AA436" s="374" t="b">
        <f t="shared" si="103"/>
        <v>1</v>
      </c>
      <c r="AB436" s="374">
        <f>COUNTIFS(B:B,B436,H:H,'סיווג התפקידים והעלויות'!$C$2)</f>
        <v>0</v>
      </c>
      <c r="AC436" s="374">
        <f>COUNTIFS(B:B,B436,H:H,'סיווג התפקידים והעלויות'!$D$2)</f>
        <v>0</v>
      </c>
      <c r="AD436" s="374" t="str">
        <f>IF(OR(AND(H436='סיווג התפקידים והעלויות'!$A$2,I436='סיווג התפקידים והעלויות'!$A$3),'עלויות כח אדם (6)'!H436='סיווג התפקידים והעלויות'!$C$2,'עלויות כח אדם (6)'!H436='סיווג התפקידים והעלויות'!$D$2),IF('עלויות כח אדם (6)'!J436&lt;75,"לא תקין","תקין"),"")</f>
        <v/>
      </c>
      <c r="AE436" s="374" t="str">
        <f t="shared" si="104"/>
        <v/>
      </c>
      <c r="AF436" s="532" t="str">
        <f t="shared" si="105"/>
        <v/>
      </c>
    </row>
    <row r="437" spans="2:32" x14ac:dyDescent="0.25">
      <c r="B437" s="695"/>
      <c r="C437" s="197" t="str">
        <f>IF(B437&lt;&gt;"",IFERROR(VLOOKUP(B:B,'מצבת והרשמה (2)'!$C$20:$N$520,2,0)," ")," ")</f>
        <v xml:space="preserve"> </v>
      </c>
      <c r="D437" s="695"/>
      <c r="E437" s="696"/>
      <c r="F437" s="696"/>
      <c r="G437" s="696"/>
      <c r="H437" s="696"/>
      <c r="I437" s="1050" t="str">
        <f t="shared" si="92"/>
        <v/>
      </c>
      <c r="J437" s="696"/>
      <c r="K437" s="697"/>
      <c r="L437" s="696"/>
      <c r="M437" s="198" t="str">
        <f t="shared" si="93"/>
        <v/>
      </c>
      <c r="N437" s="369" t="str">
        <f t="shared" si="94"/>
        <v/>
      </c>
      <c r="O437" s="183" t="str">
        <f t="shared" si="95"/>
        <v/>
      </c>
      <c r="P437" s="199" t="str">
        <f t="shared" si="96"/>
        <v/>
      </c>
      <c r="Q437" s="199" t="str">
        <f>IF(B437="","",IFERROR(IF('עלויות כח אדם (6)'!J437&gt;=VLOOKUP(I437,'סיווג התפקידים והעלויות'!$B$23:$C$32,2,0),"תקין","לא תקין"),""))</f>
        <v/>
      </c>
      <c r="R437" s="199" t="str">
        <f t="shared" si="97"/>
        <v/>
      </c>
      <c r="S437" s="199" t="str">
        <f t="shared" si="98"/>
        <v/>
      </c>
      <c r="T437" s="199" t="str">
        <f t="shared" si="106"/>
        <v/>
      </c>
      <c r="U437" s="199" t="str">
        <f t="shared" si="99"/>
        <v/>
      </c>
      <c r="V437" s="989"/>
      <c r="X437" s="374" t="str">
        <f t="shared" si="100"/>
        <v/>
      </c>
      <c r="Y437" s="375" t="str">
        <f t="shared" si="101"/>
        <v/>
      </c>
      <c r="Z437" s="374" t="str">
        <f t="shared" si="102"/>
        <v/>
      </c>
      <c r="AA437" s="374" t="b">
        <f t="shared" si="103"/>
        <v>1</v>
      </c>
      <c r="AB437" s="374">
        <f>COUNTIFS(B:B,B437,H:H,'סיווג התפקידים והעלויות'!$C$2)</f>
        <v>0</v>
      </c>
      <c r="AC437" s="374">
        <f>COUNTIFS(B:B,B437,H:H,'סיווג התפקידים והעלויות'!$D$2)</f>
        <v>0</v>
      </c>
      <c r="AD437" s="374" t="str">
        <f>IF(OR(AND(H437='סיווג התפקידים והעלויות'!$A$2,I437='סיווג התפקידים והעלויות'!$A$3),'עלויות כח אדם (6)'!H437='סיווג התפקידים והעלויות'!$C$2,'עלויות כח אדם (6)'!H437='סיווג התפקידים והעלויות'!$D$2),IF('עלויות כח אדם (6)'!J437&lt;75,"לא תקין","תקין"),"")</f>
        <v/>
      </c>
      <c r="AE437" s="374" t="str">
        <f t="shared" si="104"/>
        <v/>
      </c>
      <c r="AF437" s="532" t="str">
        <f t="shared" si="105"/>
        <v/>
      </c>
    </row>
    <row r="438" spans="2:32" x14ac:dyDescent="0.25">
      <c r="B438" s="695"/>
      <c r="C438" s="197" t="str">
        <f>IF(B438&lt;&gt;"",IFERROR(VLOOKUP(B:B,'מצבת והרשמה (2)'!$C$20:$N$520,2,0)," ")," ")</f>
        <v xml:space="preserve"> </v>
      </c>
      <c r="D438" s="695"/>
      <c r="E438" s="696"/>
      <c r="F438" s="696"/>
      <c r="G438" s="696"/>
      <c r="H438" s="696"/>
      <c r="I438" s="1050" t="str">
        <f t="shared" si="92"/>
        <v/>
      </c>
      <c r="J438" s="696"/>
      <c r="K438" s="697"/>
      <c r="L438" s="696"/>
      <c r="M438" s="198" t="str">
        <f t="shared" si="93"/>
        <v/>
      </c>
      <c r="N438" s="369" t="str">
        <f t="shared" si="94"/>
        <v/>
      </c>
      <c r="O438" s="183" t="str">
        <f t="shared" si="95"/>
        <v/>
      </c>
      <c r="P438" s="199" t="str">
        <f t="shared" si="96"/>
        <v/>
      </c>
      <c r="Q438" s="199" t="str">
        <f>IF(B438="","",IFERROR(IF('עלויות כח אדם (6)'!J438&gt;=VLOOKUP(I438,'סיווג התפקידים והעלויות'!$B$23:$C$32,2,0),"תקין","לא תקין"),""))</f>
        <v/>
      </c>
      <c r="R438" s="199" t="str">
        <f t="shared" si="97"/>
        <v/>
      </c>
      <c r="S438" s="199" t="str">
        <f t="shared" si="98"/>
        <v/>
      </c>
      <c r="T438" s="199" t="str">
        <f t="shared" si="106"/>
        <v/>
      </c>
      <c r="U438" s="199" t="str">
        <f t="shared" si="99"/>
        <v/>
      </c>
      <c r="V438" s="989"/>
      <c r="X438" s="374" t="str">
        <f t="shared" si="100"/>
        <v/>
      </c>
      <c r="Y438" s="375" t="str">
        <f t="shared" si="101"/>
        <v/>
      </c>
      <c r="Z438" s="374" t="str">
        <f t="shared" si="102"/>
        <v/>
      </c>
      <c r="AA438" s="374" t="b">
        <f t="shared" si="103"/>
        <v>1</v>
      </c>
      <c r="AB438" s="374">
        <f>COUNTIFS(B:B,B438,H:H,'סיווג התפקידים והעלויות'!$C$2)</f>
        <v>0</v>
      </c>
      <c r="AC438" s="374">
        <f>COUNTIFS(B:B,B438,H:H,'סיווג התפקידים והעלויות'!$D$2)</f>
        <v>0</v>
      </c>
      <c r="AD438" s="374" t="str">
        <f>IF(OR(AND(H438='סיווג התפקידים והעלויות'!$A$2,I438='סיווג התפקידים והעלויות'!$A$3),'עלויות כח אדם (6)'!H438='סיווג התפקידים והעלויות'!$C$2,'עלויות כח אדם (6)'!H438='סיווג התפקידים והעלויות'!$D$2),IF('עלויות כח אדם (6)'!J438&lt;75,"לא תקין","תקין"),"")</f>
        <v/>
      </c>
      <c r="AE438" s="374" t="str">
        <f t="shared" si="104"/>
        <v/>
      </c>
      <c r="AF438" s="532" t="str">
        <f t="shared" si="105"/>
        <v/>
      </c>
    </row>
    <row r="439" spans="2:32" x14ac:dyDescent="0.25">
      <c r="B439" s="695"/>
      <c r="C439" s="197" t="str">
        <f>IF(B439&lt;&gt;"",IFERROR(VLOOKUP(B:B,'מצבת והרשמה (2)'!$C$20:$N$520,2,0)," ")," ")</f>
        <v xml:space="preserve"> </v>
      </c>
      <c r="D439" s="695"/>
      <c r="E439" s="696"/>
      <c r="F439" s="696"/>
      <c r="G439" s="696"/>
      <c r="H439" s="696"/>
      <c r="I439" s="1050" t="str">
        <f t="shared" si="92"/>
        <v/>
      </c>
      <c r="J439" s="696"/>
      <c r="K439" s="697"/>
      <c r="L439" s="696"/>
      <c r="M439" s="198" t="str">
        <f t="shared" si="93"/>
        <v/>
      </c>
      <c r="N439" s="369" t="str">
        <f t="shared" si="94"/>
        <v/>
      </c>
      <c r="O439" s="183" t="str">
        <f t="shared" si="95"/>
        <v/>
      </c>
      <c r="P439" s="199" t="str">
        <f t="shared" si="96"/>
        <v/>
      </c>
      <c r="Q439" s="199" t="str">
        <f>IF(B439="","",IFERROR(IF('עלויות כח אדם (6)'!J439&gt;=VLOOKUP(I439,'סיווג התפקידים והעלויות'!$B$23:$C$32,2,0),"תקין","לא תקין"),""))</f>
        <v/>
      </c>
      <c r="R439" s="199" t="str">
        <f t="shared" si="97"/>
        <v/>
      </c>
      <c r="S439" s="199" t="str">
        <f t="shared" si="98"/>
        <v/>
      </c>
      <c r="T439" s="199" t="str">
        <f t="shared" si="106"/>
        <v/>
      </c>
      <c r="U439" s="199" t="str">
        <f t="shared" si="99"/>
        <v/>
      </c>
      <c r="V439" s="989"/>
      <c r="X439" s="374" t="str">
        <f t="shared" si="100"/>
        <v/>
      </c>
      <c r="Y439" s="375" t="str">
        <f t="shared" si="101"/>
        <v/>
      </c>
      <c r="Z439" s="374" t="str">
        <f t="shared" si="102"/>
        <v/>
      </c>
      <c r="AA439" s="374" t="b">
        <f t="shared" si="103"/>
        <v>1</v>
      </c>
      <c r="AB439" s="374">
        <f>COUNTIFS(B:B,B439,H:H,'סיווג התפקידים והעלויות'!$C$2)</f>
        <v>0</v>
      </c>
      <c r="AC439" s="374">
        <f>COUNTIFS(B:B,B439,H:H,'סיווג התפקידים והעלויות'!$D$2)</f>
        <v>0</v>
      </c>
      <c r="AD439" s="374" t="str">
        <f>IF(OR(AND(H439='סיווג התפקידים והעלויות'!$A$2,I439='סיווג התפקידים והעלויות'!$A$3),'עלויות כח אדם (6)'!H439='סיווג התפקידים והעלויות'!$C$2,'עלויות כח אדם (6)'!H439='סיווג התפקידים והעלויות'!$D$2),IF('עלויות כח אדם (6)'!J439&lt;75,"לא תקין","תקין"),"")</f>
        <v/>
      </c>
      <c r="AE439" s="374" t="str">
        <f t="shared" si="104"/>
        <v/>
      </c>
      <c r="AF439" s="532" t="str">
        <f t="shared" si="105"/>
        <v/>
      </c>
    </row>
    <row r="440" spans="2:32" x14ac:dyDescent="0.25">
      <c r="B440" s="695"/>
      <c r="C440" s="197" t="str">
        <f>IF(B440&lt;&gt;"",IFERROR(VLOOKUP(B:B,'מצבת והרשמה (2)'!$C$20:$N$520,2,0)," ")," ")</f>
        <v xml:space="preserve"> </v>
      </c>
      <c r="D440" s="695"/>
      <c r="E440" s="696"/>
      <c r="F440" s="696"/>
      <c r="G440" s="696"/>
      <c r="H440" s="696"/>
      <c r="I440" s="1050" t="str">
        <f t="shared" si="92"/>
        <v/>
      </c>
      <c r="J440" s="696"/>
      <c r="K440" s="697"/>
      <c r="L440" s="696"/>
      <c r="M440" s="198" t="str">
        <f t="shared" si="93"/>
        <v/>
      </c>
      <c r="N440" s="369" t="str">
        <f t="shared" si="94"/>
        <v/>
      </c>
      <c r="O440" s="183" t="str">
        <f t="shared" si="95"/>
        <v/>
      </c>
      <c r="P440" s="199" t="str">
        <f t="shared" si="96"/>
        <v/>
      </c>
      <c r="Q440" s="199" t="str">
        <f>IF(B440="","",IFERROR(IF('עלויות כח אדם (6)'!J440&gt;=VLOOKUP(I440,'סיווג התפקידים והעלויות'!$B$23:$C$32,2,0),"תקין","לא תקין"),""))</f>
        <v/>
      </c>
      <c r="R440" s="199" t="str">
        <f t="shared" si="97"/>
        <v/>
      </c>
      <c r="S440" s="199" t="str">
        <f t="shared" si="98"/>
        <v/>
      </c>
      <c r="T440" s="199" t="str">
        <f t="shared" si="106"/>
        <v/>
      </c>
      <c r="U440" s="199" t="str">
        <f t="shared" si="99"/>
        <v/>
      </c>
      <c r="V440" s="989"/>
      <c r="X440" s="374" t="str">
        <f t="shared" si="100"/>
        <v/>
      </c>
      <c r="Y440" s="375" t="str">
        <f t="shared" si="101"/>
        <v/>
      </c>
      <c r="Z440" s="374" t="str">
        <f t="shared" si="102"/>
        <v/>
      </c>
      <c r="AA440" s="374" t="b">
        <f t="shared" si="103"/>
        <v>1</v>
      </c>
      <c r="AB440" s="374">
        <f>COUNTIFS(B:B,B440,H:H,'סיווג התפקידים והעלויות'!$C$2)</f>
        <v>0</v>
      </c>
      <c r="AC440" s="374">
        <f>COUNTIFS(B:B,B440,H:H,'סיווג התפקידים והעלויות'!$D$2)</f>
        <v>0</v>
      </c>
      <c r="AD440" s="374" t="str">
        <f>IF(OR(AND(H440='סיווג התפקידים והעלויות'!$A$2,I440='סיווג התפקידים והעלויות'!$A$3),'עלויות כח אדם (6)'!H440='סיווג התפקידים והעלויות'!$C$2,'עלויות כח אדם (6)'!H440='סיווג התפקידים והעלויות'!$D$2),IF('עלויות כח אדם (6)'!J440&lt;75,"לא תקין","תקין"),"")</f>
        <v/>
      </c>
      <c r="AE440" s="374" t="str">
        <f t="shared" si="104"/>
        <v/>
      </c>
      <c r="AF440" s="532" t="str">
        <f t="shared" si="105"/>
        <v/>
      </c>
    </row>
    <row r="441" spans="2:32" x14ac:dyDescent="0.25">
      <c r="B441" s="695"/>
      <c r="C441" s="197" t="str">
        <f>IF(B441&lt;&gt;"",IFERROR(VLOOKUP(B:B,'מצבת והרשמה (2)'!$C$20:$N$520,2,0)," ")," ")</f>
        <v xml:space="preserve"> </v>
      </c>
      <c r="D441" s="695"/>
      <c r="E441" s="696"/>
      <c r="F441" s="696"/>
      <c r="G441" s="696"/>
      <c r="H441" s="696"/>
      <c r="I441" s="1050" t="str">
        <f t="shared" si="92"/>
        <v/>
      </c>
      <c r="J441" s="696"/>
      <c r="K441" s="697"/>
      <c r="L441" s="696"/>
      <c r="M441" s="198" t="str">
        <f t="shared" si="93"/>
        <v/>
      </c>
      <c r="N441" s="369" t="str">
        <f t="shared" si="94"/>
        <v/>
      </c>
      <c r="O441" s="183" t="str">
        <f t="shared" si="95"/>
        <v/>
      </c>
      <c r="P441" s="199" t="str">
        <f t="shared" si="96"/>
        <v/>
      </c>
      <c r="Q441" s="199" t="str">
        <f>IF(B441="","",IFERROR(IF('עלויות כח אדם (6)'!J441&gt;=VLOOKUP(I441,'סיווג התפקידים והעלויות'!$B$23:$C$32,2,0),"תקין","לא תקין"),""))</f>
        <v/>
      </c>
      <c r="R441" s="199" t="str">
        <f t="shared" si="97"/>
        <v/>
      </c>
      <c r="S441" s="199" t="str">
        <f t="shared" si="98"/>
        <v/>
      </c>
      <c r="T441" s="199" t="str">
        <f t="shared" si="106"/>
        <v/>
      </c>
      <c r="U441" s="199" t="str">
        <f t="shared" si="99"/>
        <v/>
      </c>
      <c r="V441" s="989"/>
      <c r="X441" s="374" t="str">
        <f t="shared" si="100"/>
        <v/>
      </c>
      <c r="Y441" s="375" t="str">
        <f t="shared" si="101"/>
        <v/>
      </c>
      <c r="Z441" s="374" t="str">
        <f t="shared" si="102"/>
        <v/>
      </c>
      <c r="AA441" s="374" t="b">
        <f t="shared" si="103"/>
        <v>1</v>
      </c>
      <c r="AB441" s="374">
        <f>COUNTIFS(B:B,B441,H:H,'סיווג התפקידים והעלויות'!$C$2)</f>
        <v>0</v>
      </c>
      <c r="AC441" s="374">
        <f>COUNTIFS(B:B,B441,H:H,'סיווג התפקידים והעלויות'!$D$2)</f>
        <v>0</v>
      </c>
      <c r="AD441" s="374" t="str">
        <f>IF(OR(AND(H441='סיווג התפקידים והעלויות'!$A$2,I441='סיווג התפקידים והעלויות'!$A$3),'עלויות כח אדם (6)'!H441='סיווג התפקידים והעלויות'!$C$2,'עלויות כח אדם (6)'!H441='סיווג התפקידים והעלויות'!$D$2),IF('עלויות כח אדם (6)'!J441&lt;75,"לא תקין","תקין"),"")</f>
        <v/>
      </c>
      <c r="AE441" s="374" t="str">
        <f t="shared" si="104"/>
        <v/>
      </c>
      <c r="AF441" s="532" t="str">
        <f t="shared" si="105"/>
        <v/>
      </c>
    </row>
    <row r="442" spans="2:32" x14ac:dyDescent="0.25">
      <c r="B442" s="695"/>
      <c r="C442" s="197" t="str">
        <f>IF(B442&lt;&gt;"",IFERROR(VLOOKUP(B:B,'מצבת והרשמה (2)'!$C$20:$N$520,2,0)," ")," ")</f>
        <v xml:space="preserve"> </v>
      </c>
      <c r="D442" s="695"/>
      <c r="E442" s="696"/>
      <c r="F442" s="696"/>
      <c r="G442" s="696"/>
      <c r="H442" s="696"/>
      <c r="I442" s="1050" t="str">
        <f t="shared" si="92"/>
        <v/>
      </c>
      <c r="J442" s="696"/>
      <c r="K442" s="697"/>
      <c r="L442" s="696"/>
      <c r="M442" s="198" t="str">
        <f t="shared" si="93"/>
        <v/>
      </c>
      <c r="N442" s="369" t="str">
        <f t="shared" si="94"/>
        <v/>
      </c>
      <c r="O442" s="183" t="str">
        <f t="shared" si="95"/>
        <v/>
      </c>
      <c r="P442" s="199" t="str">
        <f t="shared" si="96"/>
        <v/>
      </c>
      <c r="Q442" s="199" t="str">
        <f>IF(B442="","",IFERROR(IF('עלויות כח אדם (6)'!J442&gt;=VLOOKUP(I442,'סיווג התפקידים והעלויות'!$B$23:$C$32,2,0),"תקין","לא תקין"),""))</f>
        <v/>
      </c>
      <c r="R442" s="199" t="str">
        <f t="shared" si="97"/>
        <v/>
      </c>
      <c r="S442" s="199" t="str">
        <f t="shared" si="98"/>
        <v/>
      </c>
      <c r="T442" s="199" t="str">
        <f t="shared" si="106"/>
        <v/>
      </c>
      <c r="U442" s="199" t="str">
        <f t="shared" si="99"/>
        <v/>
      </c>
      <c r="V442" s="989"/>
      <c r="X442" s="374" t="str">
        <f t="shared" si="100"/>
        <v/>
      </c>
      <c r="Y442" s="375" t="str">
        <f t="shared" si="101"/>
        <v/>
      </c>
      <c r="Z442" s="374" t="str">
        <f t="shared" si="102"/>
        <v/>
      </c>
      <c r="AA442" s="374" t="b">
        <f t="shared" si="103"/>
        <v>1</v>
      </c>
      <c r="AB442" s="374">
        <f>COUNTIFS(B:B,B442,H:H,'סיווג התפקידים והעלויות'!$C$2)</f>
        <v>0</v>
      </c>
      <c r="AC442" s="374">
        <f>COUNTIFS(B:B,B442,H:H,'סיווג התפקידים והעלויות'!$D$2)</f>
        <v>0</v>
      </c>
      <c r="AD442" s="374" t="str">
        <f>IF(OR(AND(H442='סיווג התפקידים והעלויות'!$A$2,I442='סיווג התפקידים והעלויות'!$A$3),'עלויות כח אדם (6)'!H442='סיווג התפקידים והעלויות'!$C$2,'עלויות כח אדם (6)'!H442='סיווג התפקידים והעלויות'!$D$2),IF('עלויות כח אדם (6)'!J442&lt;75,"לא תקין","תקין"),"")</f>
        <v/>
      </c>
      <c r="AE442" s="374" t="str">
        <f t="shared" si="104"/>
        <v/>
      </c>
      <c r="AF442" s="532" t="str">
        <f t="shared" si="105"/>
        <v/>
      </c>
    </row>
    <row r="443" spans="2:32" x14ac:dyDescent="0.25">
      <c r="B443" s="695"/>
      <c r="C443" s="197" t="str">
        <f>IF(B443&lt;&gt;"",IFERROR(VLOOKUP(B:B,'מצבת והרשמה (2)'!$C$20:$N$520,2,0)," ")," ")</f>
        <v xml:space="preserve"> </v>
      </c>
      <c r="D443" s="695"/>
      <c r="E443" s="696"/>
      <c r="F443" s="696"/>
      <c r="G443" s="696"/>
      <c r="H443" s="696"/>
      <c r="I443" s="1050" t="str">
        <f t="shared" si="92"/>
        <v/>
      </c>
      <c r="J443" s="696"/>
      <c r="K443" s="697"/>
      <c r="L443" s="696"/>
      <c r="M443" s="198" t="str">
        <f t="shared" si="93"/>
        <v/>
      </c>
      <c r="N443" s="369" t="str">
        <f t="shared" si="94"/>
        <v/>
      </c>
      <c r="O443" s="183" t="str">
        <f t="shared" si="95"/>
        <v/>
      </c>
      <c r="P443" s="199" t="str">
        <f t="shared" si="96"/>
        <v/>
      </c>
      <c r="Q443" s="199" t="str">
        <f>IF(B443="","",IFERROR(IF('עלויות כח אדם (6)'!J443&gt;=VLOOKUP(I443,'סיווג התפקידים והעלויות'!$B$23:$C$32,2,0),"תקין","לא תקין"),""))</f>
        <v/>
      </c>
      <c r="R443" s="199" t="str">
        <f t="shared" si="97"/>
        <v/>
      </c>
      <c r="S443" s="199" t="str">
        <f t="shared" si="98"/>
        <v/>
      </c>
      <c r="T443" s="199" t="str">
        <f t="shared" si="106"/>
        <v/>
      </c>
      <c r="U443" s="199" t="str">
        <f t="shared" si="99"/>
        <v/>
      </c>
      <c r="V443" s="989"/>
      <c r="X443" s="374" t="str">
        <f t="shared" si="100"/>
        <v/>
      </c>
      <c r="Y443" s="375" t="str">
        <f t="shared" si="101"/>
        <v/>
      </c>
      <c r="Z443" s="374" t="str">
        <f t="shared" si="102"/>
        <v/>
      </c>
      <c r="AA443" s="374" t="b">
        <f t="shared" si="103"/>
        <v>1</v>
      </c>
      <c r="AB443" s="374">
        <f>COUNTIFS(B:B,B443,H:H,'סיווג התפקידים והעלויות'!$C$2)</f>
        <v>0</v>
      </c>
      <c r="AC443" s="374">
        <f>COUNTIFS(B:B,B443,H:H,'סיווג התפקידים והעלויות'!$D$2)</f>
        <v>0</v>
      </c>
      <c r="AD443" s="374" t="str">
        <f>IF(OR(AND(H443='סיווג התפקידים והעלויות'!$A$2,I443='סיווג התפקידים והעלויות'!$A$3),'עלויות כח אדם (6)'!H443='סיווג התפקידים והעלויות'!$C$2,'עלויות כח אדם (6)'!H443='סיווג התפקידים והעלויות'!$D$2),IF('עלויות כח אדם (6)'!J443&lt;75,"לא תקין","תקין"),"")</f>
        <v/>
      </c>
      <c r="AE443" s="374" t="str">
        <f t="shared" si="104"/>
        <v/>
      </c>
      <c r="AF443" s="532" t="str">
        <f t="shared" si="105"/>
        <v/>
      </c>
    </row>
    <row r="444" spans="2:32" x14ac:dyDescent="0.25">
      <c r="B444" s="695"/>
      <c r="C444" s="197" t="str">
        <f>IF(B444&lt;&gt;"",IFERROR(VLOOKUP(B:B,'מצבת והרשמה (2)'!$C$20:$N$520,2,0)," ")," ")</f>
        <v xml:space="preserve"> </v>
      </c>
      <c r="D444" s="695"/>
      <c r="E444" s="696"/>
      <c r="F444" s="696"/>
      <c r="G444" s="696"/>
      <c r="H444" s="696"/>
      <c r="I444" s="1050" t="str">
        <f t="shared" si="92"/>
        <v/>
      </c>
      <c r="J444" s="696"/>
      <c r="K444" s="697"/>
      <c r="L444" s="696"/>
      <c r="M444" s="198" t="str">
        <f t="shared" si="93"/>
        <v/>
      </c>
      <c r="N444" s="369" t="str">
        <f t="shared" si="94"/>
        <v/>
      </c>
      <c r="O444" s="183" t="str">
        <f t="shared" si="95"/>
        <v/>
      </c>
      <c r="P444" s="199" t="str">
        <f t="shared" si="96"/>
        <v/>
      </c>
      <c r="Q444" s="199" t="str">
        <f>IF(B444="","",IFERROR(IF('עלויות כח אדם (6)'!J444&gt;=VLOOKUP(I444,'סיווג התפקידים והעלויות'!$B$23:$C$32,2,0),"תקין","לא תקין"),""))</f>
        <v/>
      </c>
      <c r="R444" s="199" t="str">
        <f t="shared" si="97"/>
        <v/>
      </c>
      <c r="S444" s="199" t="str">
        <f t="shared" si="98"/>
        <v/>
      </c>
      <c r="T444" s="199" t="str">
        <f t="shared" si="106"/>
        <v/>
      </c>
      <c r="U444" s="199" t="str">
        <f t="shared" si="99"/>
        <v/>
      </c>
      <c r="V444" s="989"/>
      <c r="X444" s="374" t="str">
        <f t="shared" si="100"/>
        <v/>
      </c>
      <c r="Y444" s="375" t="str">
        <f t="shared" si="101"/>
        <v/>
      </c>
      <c r="Z444" s="374" t="str">
        <f t="shared" si="102"/>
        <v/>
      </c>
      <c r="AA444" s="374" t="b">
        <f t="shared" si="103"/>
        <v>1</v>
      </c>
      <c r="AB444" s="374">
        <f>COUNTIFS(B:B,B444,H:H,'סיווג התפקידים והעלויות'!$C$2)</f>
        <v>0</v>
      </c>
      <c r="AC444" s="374">
        <f>COUNTIFS(B:B,B444,H:H,'סיווג התפקידים והעלויות'!$D$2)</f>
        <v>0</v>
      </c>
      <c r="AD444" s="374" t="str">
        <f>IF(OR(AND(H444='סיווג התפקידים והעלויות'!$A$2,I444='סיווג התפקידים והעלויות'!$A$3),'עלויות כח אדם (6)'!H444='סיווג התפקידים והעלויות'!$C$2,'עלויות כח אדם (6)'!H444='סיווג התפקידים והעלויות'!$D$2),IF('עלויות כח אדם (6)'!J444&lt;75,"לא תקין","תקין"),"")</f>
        <v/>
      </c>
      <c r="AE444" s="374" t="str">
        <f t="shared" si="104"/>
        <v/>
      </c>
      <c r="AF444" s="532" t="str">
        <f t="shared" si="105"/>
        <v/>
      </c>
    </row>
    <row r="445" spans="2:32" x14ac:dyDescent="0.25">
      <c r="B445" s="695"/>
      <c r="C445" s="197" t="str">
        <f>IF(B445&lt;&gt;"",IFERROR(VLOOKUP(B:B,'מצבת והרשמה (2)'!$C$20:$N$520,2,0)," ")," ")</f>
        <v xml:space="preserve"> </v>
      </c>
      <c r="D445" s="695"/>
      <c r="E445" s="696"/>
      <c r="F445" s="696"/>
      <c r="G445" s="696"/>
      <c r="H445" s="696"/>
      <c r="I445" s="1050" t="str">
        <f t="shared" si="92"/>
        <v/>
      </c>
      <c r="J445" s="696"/>
      <c r="K445" s="697"/>
      <c r="L445" s="696"/>
      <c r="M445" s="198" t="str">
        <f t="shared" si="93"/>
        <v/>
      </c>
      <c r="N445" s="369" t="str">
        <f t="shared" si="94"/>
        <v/>
      </c>
      <c r="O445" s="183" t="str">
        <f t="shared" si="95"/>
        <v/>
      </c>
      <c r="P445" s="199" t="str">
        <f t="shared" si="96"/>
        <v/>
      </c>
      <c r="Q445" s="199" t="str">
        <f>IF(B445="","",IFERROR(IF('עלויות כח אדם (6)'!J445&gt;=VLOOKUP(I445,'סיווג התפקידים והעלויות'!$B$23:$C$32,2,0),"תקין","לא תקין"),""))</f>
        <v/>
      </c>
      <c r="R445" s="199" t="str">
        <f t="shared" si="97"/>
        <v/>
      </c>
      <c r="S445" s="199" t="str">
        <f t="shared" si="98"/>
        <v/>
      </c>
      <c r="T445" s="199" t="str">
        <f t="shared" si="106"/>
        <v/>
      </c>
      <c r="U445" s="199" t="str">
        <f t="shared" si="99"/>
        <v/>
      </c>
      <c r="V445" s="989"/>
      <c r="X445" s="374" t="str">
        <f t="shared" si="100"/>
        <v/>
      </c>
      <c r="Y445" s="375" t="str">
        <f t="shared" si="101"/>
        <v/>
      </c>
      <c r="Z445" s="374" t="str">
        <f t="shared" si="102"/>
        <v/>
      </c>
      <c r="AA445" s="374" t="b">
        <f t="shared" si="103"/>
        <v>1</v>
      </c>
      <c r="AB445" s="374">
        <f>COUNTIFS(B:B,B445,H:H,'סיווג התפקידים והעלויות'!$C$2)</f>
        <v>0</v>
      </c>
      <c r="AC445" s="374">
        <f>COUNTIFS(B:B,B445,H:H,'סיווג התפקידים והעלויות'!$D$2)</f>
        <v>0</v>
      </c>
      <c r="AD445" s="374" t="str">
        <f>IF(OR(AND(H445='סיווג התפקידים והעלויות'!$A$2,I445='סיווג התפקידים והעלויות'!$A$3),'עלויות כח אדם (6)'!H445='סיווג התפקידים והעלויות'!$C$2,'עלויות כח אדם (6)'!H445='סיווג התפקידים והעלויות'!$D$2),IF('עלויות כח אדם (6)'!J445&lt;75,"לא תקין","תקין"),"")</f>
        <v/>
      </c>
      <c r="AE445" s="374" t="str">
        <f t="shared" si="104"/>
        <v/>
      </c>
      <c r="AF445" s="532" t="str">
        <f t="shared" si="105"/>
        <v/>
      </c>
    </row>
    <row r="446" spans="2:32" x14ac:dyDescent="0.25">
      <c r="B446" s="695"/>
      <c r="C446" s="197" t="str">
        <f>IF(B446&lt;&gt;"",IFERROR(VLOOKUP(B:B,'מצבת והרשמה (2)'!$C$20:$N$520,2,0)," ")," ")</f>
        <v xml:space="preserve"> </v>
      </c>
      <c r="D446" s="695"/>
      <c r="E446" s="696"/>
      <c r="F446" s="696"/>
      <c r="G446" s="696"/>
      <c r="H446" s="696"/>
      <c r="I446" s="1050" t="str">
        <f t="shared" si="92"/>
        <v/>
      </c>
      <c r="J446" s="696"/>
      <c r="K446" s="697"/>
      <c r="L446" s="696"/>
      <c r="M446" s="198" t="str">
        <f t="shared" si="93"/>
        <v/>
      </c>
      <c r="N446" s="369" t="str">
        <f t="shared" si="94"/>
        <v/>
      </c>
      <c r="O446" s="183" t="str">
        <f t="shared" si="95"/>
        <v/>
      </c>
      <c r="P446" s="199" t="str">
        <f t="shared" si="96"/>
        <v/>
      </c>
      <c r="Q446" s="199" t="str">
        <f>IF(B446="","",IFERROR(IF('עלויות כח אדם (6)'!J446&gt;=VLOOKUP(I446,'סיווג התפקידים והעלויות'!$B$23:$C$32,2,0),"תקין","לא תקין"),""))</f>
        <v/>
      </c>
      <c r="R446" s="199" t="str">
        <f t="shared" si="97"/>
        <v/>
      </c>
      <c r="S446" s="199" t="str">
        <f t="shared" si="98"/>
        <v/>
      </c>
      <c r="T446" s="199" t="str">
        <f t="shared" si="106"/>
        <v/>
      </c>
      <c r="U446" s="199" t="str">
        <f t="shared" si="99"/>
        <v/>
      </c>
      <c r="V446" s="989"/>
      <c r="X446" s="374" t="str">
        <f t="shared" si="100"/>
        <v/>
      </c>
      <c r="Y446" s="375" t="str">
        <f t="shared" si="101"/>
        <v/>
      </c>
      <c r="Z446" s="374" t="str">
        <f t="shared" si="102"/>
        <v/>
      </c>
      <c r="AA446" s="374" t="b">
        <f t="shared" si="103"/>
        <v>1</v>
      </c>
      <c r="AB446" s="374">
        <f>COUNTIFS(B:B,B446,H:H,'סיווג התפקידים והעלויות'!$C$2)</f>
        <v>0</v>
      </c>
      <c r="AC446" s="374">
        <f>COUNTIFS(B:B,B446,H:H,'סיווג התפקידים והעלויות'!$D$2)</f>
        <v>0</v>
      </c>
      <c r="AD446" s="374" t="str">
        <f>IF(OR(AND(H446='סיווג התפקידים והעלויות'!$A$2,I446='סיווג התפקידים והעלויות'!$A$3),'עלויות כח אדם (6)'!H446='סיווג התפקידים והעלויות'!$C$2,'עלויות כח אדם (6)'!H446='סיווג התפקידים והעלויות'!$D$2),IF('עלויות כח אדם (6)'!J446&lt;75,"לא תקין","תקין"),"")</f>
        <v/>
      </c>
      <c r="AE446" s="374" t="str">
        <f t="shared" si="104"/>
        <v/>
      </c>
      <c r="AF446" s="532" t="str">
        <f t="shared" si="105"/>
        <v/>
      </c>
    </row>
    <row r="447" spans="2:32" x14ac:dyDescent="0.25">
      <c r="B447" s="695"/>
      <c r="C447" s="197" t="str">
        <f>IF(B447&lt;&gt;"",IFERROR(VLOOKUP(B:B,'מצבת והרשמה (2)'!$C$20:$N$520,2,0)," ")," ")</f>
        <v xml:space="preserve"> </v>
      </c>
      <c r="D447" s="695"/>
      <c r="E447" s="696"/>
      <c r="F447" s="696"/>
      <c r="G447" s="696"/>
      <c r="H447" s="696"/>
      <c r="I447" s="1050" t="str">
        <f t="shared" si="92"/>
        <v/>
      </c>
      <c r="J447" s="696"/>
      <c r="K447" s="697"/>
      <c r="L447" s="696"/>
      <c r="M447" s="198" t="str">
        <f t="shared" si="93"/>
        <v/>
      </c>
      <c r="N447" s="369" t="str">
        <f t="shared" si="94"/>
        <v/>
      </c>
      <c r="O447" s="183" t="str">
        <f t="shared" si="95"/>
        <v/>
      </c>
      <c r="P447" s="199" t="str">
        <f t="shared" si="96"/>
        <v/>
      </c>
      <c r="Q447" s="199" t="str">
        <f>IF(B447="","",IFERROR(IF('עלויות כח אדם (6)'!J447&gt;=VLOOKUP(I447,'סיווג התפקידים והעלויות'!$B$23:$C$32,2,0),"תקין","לא תקין"),""))</f>
        <v/>
      </c>
      <c r="R447" s="199" t="str">
        <f t="shared" si="97"/>
        <v/>
      </c>
      <c r="S447" s="199" t="str">
        <f t="shared" si="98"/>
        <v/>
      </c>
      <c r="T447" s="199" t="str">
        <f t="shared" si="106"/>
        <v/>
      </c>
      <c r="U447" s="199" t="str">
        <f t="shared" si="99"/>
        <v/>
      </c>
      <c r="V447" s="989"/>
      <c r="X447" s="374" t="str">
        <f t="shared" si="100"/>
        <v/>
      </c>
      <c r="Y447" s="375" t="str">
        <f t="shared" si="101"/>
        <v/>
      </c>
      <c r="Z447" s="374" t="str">
        <f t="shared" si="102"/>
        <v/>
      </c>
      <c r="AA447" s="374" t="b">
        <f t="shared" si="103"/>
        <v>1</v>
      </c>
      <c r="AB447" s="374">
        <f>COUNTIFS(B:B,B447,H:H,'סיווג התפקידים והעלויות'!$C$2)</f>
        <v>0</v>
      </c>
      <c r="AC447" s="374">
        <f>COUNTIFS(B:B,B447,H:H,'סיווג התפקידים והעלויות'!$D$2)</f>
        <v>0</v>
      </c>
      <c r="AD447" s="374" t="str">
        <f>IF(OR(AND(H447='סיווג התפקידים והעלויות'!$A$2,I447='סיווג התפקידים והעלויות'!$A$3),'עלויות כח אדם (6)'!H447='סיווג התפקידים והעלויות'!$C$2,'עלויות כח אדם (6)'!H447='סיווג התפקידים והעלויות'!$D$2),IF('עלויות כח אדם (6)'!J447&lt;75,"לא תקין","תקין"),"")</f>
        <v/>
      </c>
      <c r="AE447" s="374" t="str">
        <f t="shared" si="104"/>
        <v/>
      </c>
      <c r="AF447" s="532" t="str">
        <f t="shared" si="105"/>
        <v/>
      </c>
    </row>
    <row r="448" spans="2:32" x14ac:dyDescent="0.25">
      <c r="B448" s="695"/>
      <c r="C448" s="197" t="str">
        <f>IF(B448&lt;&gt;"",IFERROR(VLOOKUP(B:B,'מצבת והרשמה (2)'!$C$20:$N$520,2,0)," ")," ")</f>
        <v xml:space="preserve"> </v>
      </c>
      <c r="D448" s="695"/>
      <c r="E448" s="696"/>
      <c r="F448" s="696"/>
      <c r="G448" s="696"/>
      <c r="H448" s="696"/>
      <c r="I448" s="1050" t="str">
        <f t="shared" si="92"/>
        <v/>
      </c>
      <c r="J448" s="696"/>
      <c r="K448" s="697"/>
      <c r="L448" s="696"/>
      <c r="M448" s="198" t="str">
        <f t="shared" si="93"/>
        <v/>
      </c>
      <c r="N448" s="369" t="str">
        <f t="shared" si="94"/>
        <v/>
      </c>
      <c r="O448" s="183" t="str">
        <f t="shared" si="95"/>
        <v/>
      </c>
      <c r="P448" s="199" t="str">
        <f t="shared" si="96"/>
        <v/>
      </c>
      <c r="Q448" s="199" t="str">
        <f>IF(B448="","",IFERROR(IF('עלויות כח אדם (6)'!J448&gt;=VLOOKUP(I448,'סיווג התפקידים והעלויות'!$B$23:$C$32,2,0),"תקין","לא תקין"),""))</f>
        <v/>
      </c>
      <c r="R448" s="199" t="str">
        <f t="shared" si="97"/>
        <v/>
      </c>
      <c r="S448" s="199" t="str">
        <f t="shared" si="98"/>
        <v/>
      </c>
      <c r="T448" s="199" t="str">
        <f t="shared" si="106"/>
        <v/>
      </c>
      <c r="U448" s="199" t="str">
        <f t="shared" si="99"/>
        <v/>
      </c>
      <c r="V448" s="989"/>
      <c r="X448" s="374" t="str">
        <f t="shared" si="100"/>
        <v/>
      </c>
      <c r="Y448" s="375" t="str">
        <f t="shared" si="101"/>
        <v/>
      </c>
      <c r="Z448" s="374" t="str">
        <f t="shared" si="102"/>
        <v/>
      </c>
      <c r="AA448" s="374" t="b">
        <f t="shared" si="103"/>
        <v>1</v>
      </c>
      <c r="AB448" s="374">
        <f>COUNTIFS(B:B,B448,H:H,'סיווג התפקידים והעלויות'!$C$2)</f>
        <v>0</v>
      </c>
      <c r="AC448" s="374">
        <f>COUNTIFS(B:B,B448,H:H,'סיווג התפקידים והעלויות'!$D$2)</f>
        <v>0</v>
      </c>
      <c r="AD448" s="374" t="str">
        <f>IF(OR(AND(H448='סיווג התפקידים והעלויות'!$A$2,I448='סיווג התפקידים והעלויות'!$A$3),'עלויות כח אדם (6)'!H448='סיווג התפקידים והעלויות'!$C$2,'עלויות כח אדם (6)'!H448='סיווג התפקידים והעלויות'!$D$2),IF('עלויות כח אדם (6)'!J448&lt;75,"לא תקין","תקין"),"")</f>
        <v/>
      </c>
      <c r="AE448" s="374" t="str">
        <f t="shared" si="104"/>
        <v/>
      </c>
      <c r="AF448" s="532" t="str">
        <f t="shared" si="105"/>
        <v/>
      </c>
    </row>
    <row r="449" spans="2:32" x14ac:dyDescent="0.25">
      <c r="B449" s="695"/>
      <c r="C449" s="197" t="str">
        <f>IF(B449&lt;&gt;"",IFERROR(VLOOKUP(B:B,'מצבת והרשמה (2)'!$C$20:$N$520,2,0)," ")," ")</f>
        <v xml:space="preserve"> </v>
      </c>
      <c r="D449" s="695"/>
      <c r="E449" s="696"/>
      <c r="F449" s="696"/>
      <c r="G449" s="696"/>
      <c r="H449" s="696"/>
      <c r="I449" s="1050" t="str">
        <f t="shared" si="92"/>
        <v/>
      </c>
      <c r="J449" s="696"/>
      <c r="K449" s="697"/>
      <c r="L449" s="696"/>
      <c r="M449" s="198" t="str">
        <f t="shared" si="93"/>
        <v/>
      </c>
      <c r="N449" s="369" t="str">
        <f t="shared" si="94"/>
        <v/>
      </c>
      <c r="O449" s="183" t="str">
        <f t="shared" si="95"/>
        <v/>
      </c>
      <c r="P449" s="199" t="str">
        <f t="shared" si="96"/>
        <v/>
      </c>
      <c r="Q449" s="199" t="str">
        <f>IF(B449="","",IFERROR(IF('עלויות כח אדם (6)'!J449&gt;=VLOOKUP(I449,'סיווג התפקידים והעלויות'!$B$23:$C$32,2,0),"תקין","לא תקין"),""))</f>
        <v/>
      </c>
      <c r="R449" s="199" t="str">
        <f t="shared" si="97"/>
        <v/>
      </c>
      <c r="S449" s="199" t="str">
        <f t="shared" si="98"/>
        <v/>
      </c>
      <c r="T449" s="199" t="str">
        <f t="shared" si="106"/>
        <v/>
      </c>
      <c r="U449" s="199" t="str">
        <f t="shared" si="99"/>
        <v/>
      </c>
      <c r="V449" s="989"/>
      <c r="X449" s="374" t="str">
        <f t="shared" si="100"/>
        <v/>
      </c>
      <c r="Y449" s="375" t="str">
        <f t="shared" si="101"/>
        <v/>
      </c>
      <c r="Z449" s="374" t="str">
        <f t="shared" si="102"/>
        <v/>
      </c>
      <c r="AA449" s="374" t="b">
        <f t="shared" si="103"/>
        <v>1</v>
      </c>
      <c r="AB449" s="374">
        <f>COUNTIFS(B:B,B449,H:H,'סיווג התפקידים והעלויות'!$C$2)</f>
        <v>0</v>
      </c>
      <c r="AC449" s="374">
        <f>COUNTIFS(B:B,B449,H:H,'סיווג התפקידים והעלויות'!$D$2)</f>
        <v>0</v>
      </c>
      <c r="AD449" s="374" t="str">
        <f>IF(OR(AND(H449='סיווג התפקידים והעלויות'!$A$2,I449='סיווג התפקידים והעלויות'!$A$3),'עלויות כח אדם (6)'!H449='סיווג התפקידים והעלויות'!$C$2,'עלויות כח אדם (6)'!H449='סיווג התפקידים והעלויות'!$D$2),IF('עלויות כח אדם (6)'!J449&lt;75,"לא תקין","תקין"),"")</f>
        <v/>
      </c>
      <c r="AE449" s="374" t="str">
        <f t="shared" si="104"/>
        <v/>
      </c>
      <c r="AF449" s="532" t="str">
        <f t="shared" si="105"/>
        <v/>
      </c>
    </row>
    <row r="450" spans="2:32" x14ac:dyDescent="0.25">
      <c r="B450" s="695"/>
      <c r="C450" s="197" t="str">
        <f>IF(B450&lt;&gt;"",IFERROR(VLOOKUP(B:B,'מצבת והרשמה (2)'!$C$20:$N$520,2,0)," ")," ")</f>
        <v xml:space="preserve"> </v>
      </c>
      <c r="D450" s="695"/>
      <c r="E450" s="696"/>
      <c r="F450" s="696"/>
      <c r="G450" s="696"/>
      <c r="H450" s="696"/>
      <c r="I450" s="1050" t="str">
        <f t="shared" si="92"/>
        <v/>
      </c>
      <c r="J450" s="696"/>
      <c r="K450" s="697"/>
      <c r="L450" s="696"/>
      <c r="M450" s="198" t="str">
        <f t="shared" si="93"/>
        <v/>
      </c>
      <c r="N450" s="369" t="str">
        <f t="shared" si="94"/>
        <v/>
      </c>
      <c r="O450" s="183" t="str">
        <f t="shared" si="95"/>
        <v/>
      </c>
      <c r="P450" s="199" t="str">
        <f t="shared" si="96"/>
        <v/>
      </c>
      <c r="Q450" s="199" t="str">
        <f>IF(B450="","",IFERROR(IF('עלויות כח אדם (6)'!J450&gt;=VLOOKUP(I450,'סיווג התפקידים והעלויות'!$B$23:$C$32,2,0),"תקין","לא תקין"),""))</f>
        <v/>
      </c>
      <c r="R450" s="199" t="str">
        <f t="shared" si="97"/>
        <v/>
      </c>
      <c r="S450" s="199" t="str">
        <f t="shared" si="98"/>
        <v/>
      </c>
      <c r="T450" s="199" t="str">
        <f t="shared" si="106"/>
        <v/>
      </c>
      <c r="U450" s="199" t="str">
        <f t="shared" si="99"/>
        <v/>
      </c>
      <c r="V450" s="989"/>
      <c r="X450" s="374" t="str">
        <f t="shared" si="100"/>
        <v/>
      </c>
      <c r="Y450" s="375" t="str">
        <f t="shared" si="101"/>
        <v/>
      </c>
      <c r="Z450" s="374" t="str">
        <f t="shared" si="102"/>
        <v/>
      </c>
      <c r="AA450" s="374" t="b">
        <f t="shared" si="103"/>
        <v>1</v>
      </c>
      <c r="AB450" s="374">
        <f>COUNTIFS(B:B,B450,H:H,'סיווג התפקידים והעלויות'!$C$2)</f>
        <v>0</v>
      </c>
      <c r="AC450" s="374">
        <f>COUNTIFS(B:B,B450,H:H,'סיווג התפקידים והעלויות'!$D$2)</f>
        <v>0</v>
      </c>
      <c r="AD450" s="374" t="str">
        <f>IF(OR(AND(H450='סיווג התפקידים והעלויות'!$A$2,I450='סיווג התפקידים והעלויות'!$A$3),'עלויות כח אדם (6)'!H450='סיווג התפקידים והעלויות'!$C$2,'עלויות כח אדם (6)'!H450='סיווג התפקידים והעלויות'!$D$2),IF('עלויות כח אדם (6)'!J450&lt;75,"לא תקין","תקין"),"")</f>
        <v/>
      </c>
      <c r="AE450" s="374" t="str">
        <f t="shared" si="104"/>
        <v/>
      </c>
      <c r="AF450" s="532" t="str">
        <f t="shared" si="105"/>
        <v/>
      </c>
    </row>
    <row r="451" spans="2:32" x14ac:dyDescent="0.25">
      <c r="B451" s="695"/>
      <c r="C451" s="197" t="str">
        <f>IF(B451&lt;&gt;"",IFERROR(VLOOKUP(B:B,'מצבת והרשמה (2)'!$C$20:$N$520,2,0)," ")," ")</f>
        <v xml:space="preserve"> </v>
      </c>
      <c r="D451" s="695"/>
      <c r="E451" s="696"/>
      <c r="F451" s="696"/>
      <c r="G451" s="696"/>
      <c r="H451" s="696"/>
      <c r="I451" s="1050" t="str">
        <f t="shared" si="92"/>
        <v/>
      </c>
      <c r="J451" s="696"/>
      <c r="K451" s="697"/>
      <c r="L451" s="696"/>
      <c r="M451" s="198" t="str">
        <f t="shared" si="93"/>
        <v/>
      </c>
      <c r="N451" s="369" t="str">
        <f t="shared" si="94"/>
        <v/>
      </c>
      <c r="O451" s="183" t="str">
        <f t="shared" si="95"/>
        <v/>
      </c>
      <c r="P451" s="199" t="str">
        <f t="shared" si="96"/>
        <v/>
      </c>
      <c r="Q451" s="199" t="str">
        <f>IF(B451="","",IFERROR(IF('עלויות כח אדם (6)'!J451&gt;=VLOOKUP(I451,'סיווג התפקידים והעלויות'!$B$23:$C$32,2,0),"תקין","לא תקין"),""))</f>
        <v/>
      </c>
      <c r="R451" s="199" t="str">
        <f t="shared" si="97"/>
        <v/>
      </c>
      <c r="S451" s="199" t="str">
        <f t="shared" si="98"/>
        <v/>
      </c>
      <c r="T451" s="199" t="str">
        <f t="shared" si="106"/>
        <v/>
      </c>
      <c r="U451" s="199" t="str">
        <f t="shared" si="99"/>
        <v/>
      </c>
      <c r="V451" s="989"/>
      <c r="X451" s="374" t="str">
        <f t="shared" si="100"/>
        <v/>
      </c>
      <c r="Y451" s="375" t="str">
        <f t="shared" si="101"/>
        <v/>
      </c>
      <c r="Z451" s="374" t="str">
        <f t="shared" si="102"/>
        <v/>
      </c>
      <c r="AA451" s="374" t="b">
        <f t="shared" si="103"/>
        <v>1</v>
      </c>
      <c r="AB451" s="374">
        <f>COUNTIFS(B:B,B451,H:H,'סיווג התפקידים והעלויות'!$C$2)</f>
        <v>0</v>
      </c>
      <c r="AC451" s="374">
        <f>COUNTIFS(B:B,B451,H:H,'סיווג התפקידים והעלויות'!$D$2)</f>
        <v>0</v>
      </c>
      <c r="AD451" s="374" t="str">
        <f>IF(OR(AND(H451='סיווג התפקידים והעלויות'!$A$2,I451='סיווג התפקידים והעלויות'!$A$3),'עלויות כח אדם (6)'!H451='סיווג התפקידים והעלויות'!$C$2,'עלויות כח אדם (6)'!H451='סיווג התפקידים והעלויות'!$D$2),IF('עלויות כח אדם (6)'!J451&lt;75,"לא תקין","תקין"),"")</f>
        <v/>
      </c>
      <c r="AE451" s="374" t="str">
        <f t="shared" si="104"/>
        <v/>
      </c>
      <c r="AF451" s="532" t="str">
        <f t="shared" si="105"/>
        <v/>
      </c>
    </row>
    <row r="452" spans="2:32" x14ac:dyDescent="0.25">
      <c r="B452" s="695"/>
      <c r="C452" s="197" t="str">
        <f>IF(B452&lt;&gt;"",IFERROR(VLOOKUP(B:B,'מצבת והרשמה (2)'!$C$20:$N$520,2,0)," ")," ")</f>
        <v xml:space="preserve"> </v>
      </c>
      <c r="D452" s="695"/>
      <c r="E452" s="696"/>
      <c r="F452" s="696"/>
      <c r="G452" s="696"/>
      <c r="H452" s="696"/>
      <c r="I452" s="1050" t="str">
        <f t="shared" si="92"/>
        <v/>
      </c>
      <c r="J452" s="696"/>
      <c r="K452" s="697"/>
      <c r="L452" s="696"/>
      <c r="M452" s="198" t="str">
        <f t="shared" si="93"/>
        <v/>
      </c>
      <c r="N452" s="369" t="str">
        <f t="shared" si="94"/>
        <v/>
      </c>
      <c r="O452" s="183" t="str">
        <f t="shared" si="95"/>
        <v/>
      </c>
      <c r="P452" s="199" t="str">
        <f t="shared" si="96"/>
        <v/>
      </c>
      <c r="Q452" s="199" t="str">
        <f>IF(B452="","",IFERROR(IF('עלויות כח אדם (6)'!J452&gt;=VLOOKUP(I452,'סיווג התפקידים והעלויות'!$B$23:$C$32,2,0),"תקין","לא תקין"),""))</f>
        <v/>
      </c>
      <c r="R452" s="199" t="str">
        <f t="shared" si="97"/>
        <v/>
      </c>
      <c r="S452" s="199" t="str">
        <f t="shared" si="98"/>
        <v/>
      </c>
      <c r="T452" s="199" t="str">
        <f t="shared" si="106"/>
        <v/>
      </c>
      <c r="U452" s="199" t="str">
        <f t="shared" si="99"/>
        <v/>
      </c>
      <c r="V452" s="989"/>
      <c r="X452" s="374" t="str">
        <f t="shared" si="100"/>
        <v/>
      </c>
      <c r="Y452" s="375" t="str">
        <f t="shared" si="101"/>
        <v/>
      </c>
      <c r="Z452" s="374" t="str">
        <f t="shared" si="102"/>
        <v/>
      </c>
      <c r="AA452" s="374" t="b">
        <f t="shared" si="103"/>
        <v>1</v>
      </c>
      <c r="AB452" s="374">
        <f>COUNTIFS(B:B,B452,H:H,'סיווג התפקידים והעלויות'!$C$2)</f>
        <v>0</v>
      </c>
      <c r="AC452" s="374">
        <f>COUNTIFS(B:B,B452,H:H,'סיווג התפקידים והעלויות'!$D$2)</f>
        <v>0</v>
      </c>
      <c r="AD452" s="374" t="str">
        <f>IF(OR(AND(H452='סיווג התפקידים והעלויות'!$A$2,I452='סיווג התפקידים והעלויות'!$A$3),'עלויות כח אדם (6)'!H452='סיווג התפקידים והעלויות'!$C$2,'עלויות כח אדם (6)'!H452='סיווג התפקידים והעלויות'!$D$2),IF('עלויות כח אדם (6)'!J452&lt;75,"לא תקין","תקין"),"")</f>
        <v/>
      </c>
      <c r="AE452" s="374" t="str">
        <f t="shared" si="104"/>
        <v/>
      </c>
      <c r="AF452" s="532" t="str">
        <f t="shared" si="105"/>
        <v/>
      </c>
    </row>
    <row r="453" spans="2:32" x14ac:dyDescent="0.25">
      <c r="B453" s="695"/>
      <c r="C453" s="197" t="str">
        <f>IF(B453&lt;&gt;"",IFERROR(VLOOKUP(B:B,'מצבת והרשמה (2)'!$C$20:$N$520,2,0)," ")," ")</f>
        <v xml:space="preserve"> </v>
      </c>
      <c r="D453" s="695"/>
      <c r="E453" s="696"/>
      <c r="F453" s="696"/>
      <c r="G453" s="696"/>
      <c r="H453" s="696"/>
      <c r="I453" s="1050" t="str">
        <f t="shared" si="92"/>
        <v/>
      </c>
      <c r="J453" s="696"/>
      <c r="K453" s="697"/>
      <c r="L453" s="696"/>
      <c r="M453" s="198" t="str">
        <f t="shared" si="93"/>
        <v/>
      </c>
      <c r="N453" s="369" t="str">
        <f t="shared" si="94"/>
        <v/>
      </c>
      <c r="O453" s="183" t="str">
        <f t="shared" si="95"/>
        <v/>
      </c>
      <c r="P453" s="199" t="str">
        <f t="shared" si="96"/>
        <v/>
      </c>
      <c r="Q453" s="199" t="str">
        <f>IF(B453="","",IFERROR(IF('עלויות כח אדם (6)'!J453&gt;=VLOOKUP(I453,'סיווג התפקידים והעלויות'!$B$23:$C$32,2,0),"תקין","לא תקין"),""))</f>
        <v/>
      </c>
      <c r="R453" s="199" t="str">
        <f t="shared" si="97"/>
        <v/>
      </c>
      <c r="S453" s="199" t="str">
        <f t="shared" si="98"/>
        <v/>
      </c>
      <c r="T453" s="199" t="str">
        <f t="shared" si="106"/>
        <v/>
      </c>
      <c r="U453" s="199" t="str">
        <f t="shared" si="99"/>
        <v/>
      </c>
      <c r="V453" s="989"/>
      <c r="X453" s="374" t="str">
        <f t="shared" si="100"/>
        <v/>
      </c>
      <c r="Y453" s="375" t="str">
        <f t="shared" si="101"/>
        <v/>
      </c>
      <c r="Z453" s="374" t="str">
        <f t="shared" si="102"/>
        <v/>
      </c>
      <c r="AA453" s="374" t="b">
        <f t="shared" si="103"/>
        <v>1</v>
      </c>
      <c r="AB453" s="374">
        <f>COUNTIFS(B:B,B453,H:H,'סיווג התפקידים והעלויות'!$C$2)</f>
        <v>0</v>
      </c>
      <c r="AC453" s="374">
        <f>COUNTIFS(B:B,B453,H:H,'סיווג התפקידים והעלויות'!$D$2)</f>
        <v>0</v>
      </c>
      <c r="AD453" s="374" t="str">
        <f>IF(OR(AND(H453='סיווג התפקידים והעלויות'!$A$2,I453='סיווג התפקידים והעלויות'!$A$3),'עלויות כח אדם (6)'!H453='סיווג התפקידים והעלויות'!$C$2,'עלויות כח אדם (6)'!H453='סיווג התפקידים והעלויות'!$D$2),IF('עלויות כח אדם (6)'!J453&lt;75,"לא תקין","תקין"),"")</f>
        <v/>
      </c>
      <c r="AE453" s="374" t="str">
        <f t="shared" si="104"/>
        <v/>
      </c>
      <c r="AF453" s="532" t="str">
        <f t="shared" si="105"/>
        <v/>
      </c>
    </row>
    <row r="454" spans="2:32" x14ac:dyDescent="0.25">
      <c r="B454" s="695"/>
      <c r="C454" s="197" t="str">
        <f>IF(B454&lt;&gt;"",IFERROR(VLOOKUP(B:B,'מצבת והרשמה (2)'!$C$20:$N$520,2,0)," ")," ")</f>
        <v xml:space="preserve"> </v>
      </c>
      <c r="D454" s="695"/>
      <c r="E454" s="696"/>
      <c r="F454" s="696"/>
      <c r="G454" s="696"/>
      <c r="H454" s="696"/>
      <c r="I454" s="1050" t="str">
        <f t="shared" si="92"/>
        <v/>
      </c>
      <c r="J454" s="696"/>
      <c r="K454" s="697"/>
      <c r="L454" s="696"/>
      <c r="M454" s="198" t="str">
        <f t="shared" si="93"/>
        <v/>
      </c>
      <c r="N454" s="369" t="str">
        <f t="shared" si="94"/>
        <v/>
      </c>
      <c r="O454" s="183" t="str">
        <f t="shared" si="95"/>
        <v/>
      </c>
      <c r="P454" s="199" t="str">
        <f t="shared" si="96"/>
        <v/>
      </c>
      <c r="Q454" s="199" t="str">
        <f>IF(B454="","",IFERROR(IF('עלויות כח אדם (6)'!J454&gt;=VLOOKUP(I454,'סיווג התפקידים והעלויות'!$B$23:$C$32,2,0),"תקין","לא תקין"),""))</f>
        <v/>
      </c>
      <c r="R454" s="199" t="str">
        <f t="shared" si="97"/>
        <v/>
      </c>
      <c r="S454" s="199" t="str">
        <f t="shared" si="98"/>
        <v/>
      </c>
      <c r="T454" s="199" t="str">
        <f t="shared" si="106"/>
        <v/>
      </c>
      <c r="U454" s="199" t="str">
        <f t="shared" si="99"/>
        <v/>
      </c>
      <c r="V454" s="989"/>
      <c r="X454" s="374" t="str">
        <f t="shared" si="100"/>
        <v/>
      </c>
      <c r="Y454" s="375" t="str">
        <f t="shared" si="101"/>
        <v/>
      </c>
      <c r="Z454" s="374" t="str">
        <f t="shared" si="102"/>
        <v/>
      </c>
      <c r="AA454" s="374" t="b">
        <f t="shared" si="103"/>
        <v>1</v>
      </c>
      <c r="AB454" s="374">
        <f>COUNTIFS(B:B,B454,H:H,'סיווג התפקידים והעלויות'!$C$2)</f>
        <v>0</v>
      </c>
      <c r="AC454" s="374">
        <f>COUNTIFS(B:B,B454,H:H,'סיווג התפקידים והעלויות'!$D$2)</f>
        <v>0</v>
      </c>
      <c r="AD454" s="374" t="str">
        <f>IF(OR(AND(H454='סיווג התפקידים והעלויות'!$A$2,I454='סיווג התפקידים והעלויות'!$A$3),'עלויות כח אדם (6)'!H454='סיווג התפקידים והעלויות'!$C$2,'עלויות כח אדם (6)'!H454='סיווג התפקידים והעלויות'!$D$2),IF('עלויות כח אדם (6)'!J454&lt;75,"לא תקין","תקין"),"")</f>
        <v/>
      </c>
      <c r="AE454" s="374" t="str">
        <f t="shared" si="104"/>
        <v/>
      </c>
      <c r="AF454" s="532" t="str">
        <f t="shared" si="105"/>
        <v/>
      </c>
    </row>
    <row r="455" spans="2:32" x14ac:dyDescent="0.25">
      <c r="B455" s="695"/>
      <c r="C455" s="197" t="str">
        <f>IF(B455&lt;&gt;"",IFERROR(VLOOKUP(B:B,'מצבת והרשמה (2)'!$C$20:$N$520,2,0)," ")," ")</f>
        <v xml:space="preserve"> </v>
      </c>
      <c r="D455" s="695"/>
      <c r="E455" s="696"/>
      <c r="F455" s="696"/>
      <c r="G455" s="696"/>
      <c r="H455" s="696"/>
      <c r="I455" s="1050" t="str">
        <f t="shared" si="92"/>
        <v/>
      </c>
      <c r="J455" s="696"/>
      <c r="K455" s="697"/>
      <c r="L455" s="696"/>
      <c r="M455" s="198" t="str">
        <f t="shared" si="93"/>
        <v/>
      </c>
      <c r="N455" s="369" t="str">
        <f t="shared" si="94"/>
        <v/>
      </c>
      <c r="O455" s="183" t="str">
        <f t="shared" si="95"/>
        <v/>
      </c>
      <c r="P455" s="199" t="str">
        <f t="shared" si="96"/>
        <v/>
      </c>
      <c r="Q455" s="199" t="str">
        <f>IF(B455="","",IFERROR(IF('עלויות כח אדם (6)'!J455&gt;=VLOOKUP(I455,'סיווג התפקידים והעלויות'!$B$23:$C$32,2,0),"תקין","לא תקין"),""))</f>
        <v/>
      </c>
      <c r="R455" s="199" t="str">
        <f t="shared" si="97"/>
        <v/>
      </c>
      <c r="S455" s="199" t="str">
        <f t="shared" si="98"/>
        <v/>
      </c>
      <c r="T455" s="199" t="str">
        <f t="shared" si="106"/>
        <v/>
      </c>
      <c r="U455" s="199" t="str">
        <f t="shared" si="99"/>
        <v/>
      </c>
      <c r="V455" s="989"/>
      <c r="X455" s="374" t="str">
        <f t="shared" si="100"/>
        <v/>
      </c>
      <c r="Y455" s="375" t="str">
        <f t="shared" si="101"/>
        <v/>
      </c>
      <c r="Z455" s="374" t="str">
        <f t="shared" si="102"/>
        <v/>
      </c>
      <c r="AA455" s="374" t="b">
        <f t="shared" si="103"/>
        <v>1</v>
      </c>
      <c r="AB455" s="374">
        <f>COUNTIFS(B:B,B455,H:H,'סיווג התפקידים והעלויות'!$C$2)</f>
        <v>0</v>
      </c>
      <c r="AC455" s="374">
        <f>COUNTIFS(B:B,B455,H:H,'סיווג התפקידים והעלויות'!$D$2)</f>
        <v>0</v>
      </c>
      <c r="AD455" s="374" t="str">
        <f>IF(OR(AND(H455='סיווג התפקידים והעלויות'!$A$2,I455='סיווג התפקידים והעלויות'!$A$3),'עלויות כח אדם (6)'!H455='סיווג התפקידים והעלויות'!$C$2,'עלויות כח אדם (6)'!H455='סיווג התפקידים והעלויות'!$D$2),IF('עלויות כח אדם (6)'!J455&lt;75,"לא תקין","תקין"),"")</f>
        <v/>
      </c>
      <c r="AE455" s="374" t="str">
        <f t="shared" si="104"/>
        <v/>
      </c>
      <c r="AF455" s="532" t="str">
        <f t="shared" si="105"/>
        <v/>
      </c>
    </row>
    <row r="456" spans="2:32" x14ac:dyDescent="0.25">
      <c r="B456" s="695"/>
      <c r="C456" s="197" t="str">
        <f>IF(B456&lt;&gt;"",IFERROR(VLOOKUP(B:B,'מצבת והרשמה (2)'!$C$20:$N$520,2,0)," ")," ")</f>
        <v xml:space="preserve"> </v>
      </c>
      <c r="D456" s="695"/>
      <c r="E456" s="696"/>
      <c r="F456" s="696"/>
      <c r="G456" s="696"/>
      <c r="H456" s="696"/>
      <c r="I456" s="1050" t="str">
        <f t="shared" si="92"/>
        <v/>
      </c>
      <c r="J456" s="696"/>
      <c r="K456" s="697"/>
      <c r="L456" s="696"/>
      <c r="M456" s="198" t="str">
        <f t="shared" si="93"/>
        <v/>
      </c>
      <c r="N456" s="369" t="str">
        <f t="shared" si="94"/>
        <v/>
      </c>
      <c r="O456" s="183" t="str">
        <f t="shared" si="95"/>
        <v/>
      </c>
      <c r="P456" s="199" t="str">
        <f t="shared" si="96"/>
        <v/>
      </c>
      <c r="Q456" s="199" t="str">
        <f>IF(B456="","",IFERROR(IF('עלויות כח אדם (6)'!J456&gt;=VLOOKUP(I456,'סיווג התפקידים והעלויות'!$B$23:$C$32,2,0),"תקין","לא תקין"),""))</f>
        <v/>
      </c>
      <c r="R456" s="199" t="str">
        <f t="shared" si="97"/>
        <v/>
      </c>
      <c r="S456" s="199" t="str">
        <f t="shared" si="98"/>
        <v/>
      </c>
      <c r="T456" s="199" t="str">
        <f t="shared" si="106"/>
        <v/>
      </c>
      <c r="U456" s="199" t="str">
        <f t="shared" si="99"/>
        <v/>
      </c>
      <c r="V456" s="989"/>
      <c r="X456" s="374" t="str">
        <f t="shared" si="100"/>
        <v/>
      </c>
      <c r="Y456" s="375" t="str">
        <f t="shared" si="101"/>
        <v/>
      </c>
      <c r="Z456" s="374" t="str">
        <f t="shared" si="102"/>
        <v/>
      </c>
      <c r="AA456" s="374" t="b">
        <f t="shared" si="103"/>
        <v>1</v>
      </c>
      <c r="AB456" s="374">
        <f>COUNTIFS(B:B,B456,H:H,'סיווג התפקידים והעלויות'!$C$2)</f>
        <v>0</v>
      </c>
      <c r="AC456" s="374">
        <f>COUNTIFS(B:B,B456,H:H,'סיווג התפקידים והעלויות'!$D$2)</f>
        <v>0</v>
      </c>
      <c r="AD456" s="374" t="str">
        <f>IF(OR(AND(H456='סיווג התפקידים והעלויות'!$A$2,I456='סיווג התפקידים והעלויות'!$A$3),'עלויות כח אדם (6)'!H456='סיווג התפקידים והעלויות'!$C$2,'עלויות כח אדם (6)'!H456='סיווג התפקידים והעלויות'!$D$2),IF('עלויות כח אדם (6)'!J456&lt;75,"לא תקין","תקין"),"")</f>
        <v/>
      </c>
      <c r="AE456" s="374" t="str">
        <f t="shared" si="104"/>
        <v/>
      </c>
      <c r="AF456" s="532" t="str">
        <f t="shared" si="105"/>
        <v/>
      </c>
    </row>
    <row r="457" spans="2:32" x14ac:dyDescent="0.25">
      <c r="B457" s="695"/>
      <c r="C457" s="197" t="str">
        <f>IF(B457&lt;&gt;"",IFERROR(VLOOKUP(B:B,'מצבת והרשמה (2)'!$C$20:$N$520,2,0)," ")," ")</f>
        <v xml:space="preserve"> </v>
      </c>
      <c r="D457" s="695"/>
      <c r="E457" s="696"/>
      <c r="F457" s="696"/>
      <c r="G457" s="696"/>
      <c r="H457" s="696"/>
      <c r="I457" s="1050" t="str">
        <f t="shared" si="92"/>
        <v/>
      </c>
      <c r="J457" s="696"/>
      <c r="K457" s="697"/>
      <c r="L457" s="696"/>
      <c r="M457" s="198" t="str">
        <f t="shared" si="93"/>
        <v/>
      </c>
      <c r="N457" s="369" t="str">
        <f t="shared" si="94"/>
        <v/>
      </c>
      <c r="O457" s="183" t="str">
        <f t="shared" si="95"/>
        <v/>
      </c>
      <c r="P457" s="199" t="str">
        <f t="shared" si="96"/>
        <v/>
      </c>
      <c r="Q457" s="199" t="str">
        <f>IF(B457="","",IFERROR(IF('עלויות כח אדם (6)'!J457&gt;=VLOOKUP(I457,'סיווג התפקידים והעלויות'!$B$23:$C$32,2,0),"תקין","לא תקין"),""))</f>
        <v/>
      </c>
      <c r="R457" s="199" t="str">
        <f t="shared" si="97"/>
        <v/>
      </c>
      <c r="S457" s="199" t="str">
        <f t="shared" si="98"/>
        <v/>
      </c>
      <c r="T457" s="199" t="str">
        <f t="shared" si="106"/>
        <v/>
      </c>
      <c r="U457" s="199" t="str">
        <f t="shared" si="99"/>
        <v/>
      </c>
      <c r="V457" s="989"/>
      <c r="X457" s="374" t="str">
        <f t="shared" si="100"/>
        <v/>
      </c>
      <c r="Y457" s="375" t="str">
        <f t="shared" si="101"/>
        <v/>
      </c>
      <c r="Z457" s="374" t="str">
        <f t="shared" si="102"/>
        <v/>
      </c>
      <c r="AA457" s="374" t="b">
        <f t="shared" si="103"/>
        <v>1</v>
      </c>
      <c r="AB457" s="374">
        <f>COUNTIFS(B:B,B457,H:H,'סיווג התפקידים והעלויות'!$C$2)</f>
        <v>0</v>
      </c>
      <c r="AC457" s="374">
        <f>COUNTIFS(B:B,B457,H:H,'סיווג התפקידים והעלויות'!$D$2)</f>
        <v>0</v>
      </c>
      <c r="AD457" s="374" t="str">
        <f>IF(OR(AND(H457='סיווג התפקידים והעלויות'!$A$2,I457='סיווג התפקידים והעלויות'!$A$3),'עלויות כח אדם (6)'!H457='סיווג התפקידים והעלויות'!$C$2,'עלויות כח אדם (6)'!H457='סיווג התפקידים והעלויות'!$D$2),IF('עלויות כח אדם (6)'!J457&lt;75,"לא תקין","תקין"),"")</f>
        <v/>
      </c>
      <c r="AE457" s="374" t="str">
        <f t="shared" si="104"/>
        <v/>
      </c>
      <c r="AF457" s="532" t="str">
        <f t="shared" si="105"/>
        <v/>
      </c>
    </row>
    <row r="458" spans="2:32" x14ac:dyDescent="0.25">
      <c r="B458" s="695"/>
      <c r="C458" s="197" t="str">
        <f>IF(B458&lt;&gt;"",IFERROR(VLOOKUP(B:B,'מצבת והרשמה (2)'!$C$20:$N$520,2,0)," ")," ")</f>
        <v xml:space="preserve"> </v>
      </c>
      <c r="D458" s="695"/>
      <c r="E458" s="696"/>
      <c r="F458" s="696"/>
      <c r="G458" s="696"/>
      <c r="H458" s="696"/>
      <c r="I458" s="1050" t="str">
        <f t="shared" si="92"/>
        <v/>
      </c>
      <c r="J458" s="696"/>
      <c r="K458" s="697"/>
      <c r="L458" s="696"/>
      <c r="M458" s="198" t="str">
        <f t="shared" si="93"/>
        <v/>
      </c>
      <c r="N458" s="369" t="str">
        <f t="shared" si="94"/>
        <v/>
      </c>
      <c r="O458" s="183" t="str">
        <f t="shared" si="95"/>
        <v/>
      </c>
      <c r="P458" s="199" t="str">
        <f t="shared" si="96"/>
        <v/>
      </c>
      <c r="Q458" s="199" t="str">
        <f>IF(B458="","",IFERROR(IF('עלויות כח אדם (6)'!J458&gt;=VLOOKUP(I458,'סיווג התפקידים והעלויות'!$B$23:$C$32,2,0),"תקין","לא תקין"),""))</f>
        <v/>
      </c>
      <c r="R458" s="199" t="str">
        <f t="shared" si="97"/>
        <v/>
      </c>
      <c r="S458" s="199" t="str">
        <f t="shared" si="98"/>
        <v/>
      </c>
      <c r="T458" s="199" t="str">
        <f t="shared" si="106"/>
        <v/>
      </c>
      <c r="U458" s="199" t="str">
        <f t="shared" si="99"/>
        <v/>
      </c>
      <c r="V458" s="989"/>
      <c r="X458" s="374" t="str">
        <f t="shared" si="100"/>
        <v/>
      </c>
      <c r="Y458" s="375" t="str">
        <f t="shared" si="101"/>
        <v/>
      </c>
      <c r="Z458" s="374" t="str">
        <f t="shared" si="102"/>
        <v/>
      </c>
      <c r="AA458" s="374" t="b">
        <f t="shared" si="103"/>
        <v>1</v>
      </c>
      <c r="AB458" s="374">
        <f>COUNTIFS(B:B,B458,H:H,'סיווג התפקידים והעלויות'!$C$2)</f>
        <v>0</v>
      </c>
      <c r="AC458" s="374">
        <f>COUNTIFS(B:B,B458,H:H,'סיווג התפקידים והעלויות'!$D$2)</f>
        <v>0</v>
      </c>
      <c r="AD458" s="374" t="str">
        <f>IF(OR(AND(H458='סיווג התפקידים והעלויות'!$A$2,I458='סיווג התפקידים והעלויות'!$A$3),'עלויות כח אדם (6)'!H458='סיווג התפקידים והעלויות'!$C$2,'עלויות כח אדם (6)'!H458='סיווג התפקידים והעלויות'!$D$2),IF('עלויות כח אדם (6)'!J458&lt;75,"לא תקין","תקין"),"")</f>
        <v/>
      </c>
      <c r="AE458" s="374" t="str">
        <f t="shared" si="104"/>
        <v/>
      </c>
      <c r="AF458" s="532" t="str">
        <f t="shared" si="105"/>
        <v/>
      </c>
    </row>
    <row r="459" spans="2:32" x14ac:dyDescent="0.25">
      <c r="B459" s="695"/>
      <c r="C459" s="197" t="str">
        <f>IF(B459&lt;&gt;"",IFERROR(VLOOKUP(B:B,'מצבת והרשמה (2)'!$C$20:$N$520,2,0)," ")," ")</f>
        <v xml:space="preserve"> </v>
      </c>
      <c r="D459" s="695"/>
      <c r="E459" s="696"/>
      <c r="F459" s="696"/>
      <c r="G459" s="696"/>
      <c r="H459" s="696"/>
      <c r="I459" s="1050" t="str">
        <f t="shared" si="92"/>
        <v/>
      </c>
      <c r="J459" s="696"/>
      <c r="K459" s="697"/>
      <c r="L459" s="696"/>
      <c r="M459" s="198" t="str">
        <f t="shared" si="93"/>
        <v/>
      </c>
      <c r="N459" s="369" t="str">
        <f t="shared" si="94"/>
        <v/>
      </c>
      <c r="O459" s="183" t="str">
        <f t="shared" si="95"/>
        <v/>
      </c>
      <c r="P459" s="199" t="str">
        <f t="shared" si="96"/>
        <v/>
      </c>
      <c r="Q459" s="199" t="str">
        <f>IF(B459="","",IFERROR(IF('עלויות כח אדם (6)'!J459&gt;=VLOOKUP(I459,'סיווג התפקידים והעלויות'!$B$23:$C$32,2,0),"תקין","לא תקין"),""))</f>
        <v/>
      </c>
      <c r="R459" s="199" t="str">
        <f t="shared" si="97"/>
        <v/>
      </c>
      <c r="S459" s="199" t="str">
        <f t="shared" si="98"/>
        <v/>
      </c>
      <c r="T459" s="199" t="str">
        <f t="shared" si="106"/>
        <v/>
      </c>
      <c r="U459" s="199" t="str">
        <f t="shared" si="99"/>
        <v/>
      </c>
      <c r="V459" s="989"/>
      <c r="X459" s="374" t="str">
        <f t="shared" si="100"/>
        <v/>
      </c>
      <c r="Y459" s="375" t="str">
        <f t="shared" si="101"/>
        <v/>
      </c>
      <c r="Z459" s="374" t="str">
        <f t="shared" si="102"/>
        <v/>
      </c>
      <c r="AA459" s="374" t="b">
        <f t="shared" si="103"/>
        <v>1</v>
      </c>
      <c r="AB459" s="374">
        <f>COUNTIFS(B:B,B459,H:H,'סיווג התפקידים והעלויות'!$C$2)</f>
        <v>0</v>
      </c>
      <c r="AC459" s="374">
        <f>COUNTIFS(B:B,B459,H:H,'סיווג התפקידים והעלויות'!$D$2)</f>
        <v>0</v>
      </c>
      <c r="AD459" s="374" t="str">
        <f>IF(OR(AND(H459='סיווג התפקידים והעלויות'!$A$2,I459='סיווג התפקידים והעלויות'!$A$3),'עלויות כח אדם (6)'!H459='סיווג התפקידים והעלויות'!$C$2,'עלויות כח אדם (6)'!H459='סיווג התפקידים והעלויות'!$D$2),IF('עלויות כח אדם (6)'!J459&lt;75,"לא תקין","תקין"),"")</f>
        <v/>
      </c>
      <c r="AE459" s="374" t="str">
        <f t="shared" si="104"/>
        <v/>
      </c>
      <c r="AF459" s="532" t="str">
        <f t="shared" si="105"/>
        <v/>
      </c>
    </row>
    <row r="460" spans="2:32" x14ac:dyDescent="0.25">
      <c r="B460" s="695"/>
      <c r="C460" s="197" t="str">
        <f>IF(B460&lt;&gt;"",IFERROR(VLOOKUP(B:B,'מצבת והרשמה (2)'!$C$20:$N$520,2,0)," ")," ")</f>
        <v xml:space="preserve"> </v>
      </c>
      <c r="D460" s="695"/>
      <c r="E460" s="696"/>
      <c r="F460" s="696"/>
      <c r="G460" s="696"/>
      <c r="H460" s="696"/>
      <c r="I460" s="1050" t="str">
        <f t="shared" si="92"/>
        <v/>
      </c>
      <c r="J460" s="696"/>
      <c r="K460" s="697"/>
      <c r="L460" s="696"/>
      <c r="M460" s="198" t="str">
        <f t="shared" si="93"/>
        <v/>
      </c>
      <c r="N460" s="369" t="str">
        <f t="shared" si="94"/>
        <v/>
      </c>
      <c r="O460" s="183" t="str">
        <f t="shared" si="95"/>
        <v/>
      </c>
      <c r="P460" s="199" t="str">
        <f t="shared" si="96"/>
        <v/>
      </c>
      <c r="Q460" s="199" t="str">
        <f>IF(B460="","",IFERROR(IF('עלויות כח אדם (6)'!J460&gt;=VLOOKUP(I460,'סיווג התפקידים והעלויות'!$B$23:$C$32,2,0),"תקין","לא תקין"),""))</f>
        <v/>
      </c>
      <c r="R460" s="199" t="str">
        <f t="shared" si="97"/>
        <v/>
      </c>
      <c r="S460" s="199" t="str">
        <f t="shared" si="98"/>
        <v/>
      </c>
      <c r="T460" s="199" t="str">
        <f t="shared" si="106"/>
        <v/>
      </c>
      <c r="U460" s="199" t="str">
        <f t="shared" si="99"/>
        <v/>
      </c>
      <c r="V460" s="989"/>
      <c r="X460" s="374" t="str">
        <f t="shared" si="100"/>
        <v/>
      </c>
      <c r="Y460" s="375" t="str">
        <f t="shared" si="101"/>
        <v/>
      </c>
      <c r="Z460" s="374" t="str">
        <f t="shared" si="102"/>
        <v/>
      </c>
      <c r="AA460" s="374" t="b">
        <f t="shared" si="103"/>
        <v>1</v>
      </c>
      <c r="AB460" s="374">
        <f>COUNTIFS(B:B,B460,H:H,'סיווג התפקידים והעלויות'!$C$2)</f>
        <v>0</v>
      </c>
      <c r="AC460" s="374">
        <f>COUNTIFS(B:B,B460,H:H,'סיווג התפקידים והעלויות'!$D$2)</f>
        <v>0</v>
      </c>
      <c r="AD460" s="374" t="str">
        <f>IF(OR(AND(H460='סיווג התפקידים והעלויות'!$A$2,I460='סיווג התפקידים והעלויות'!$A$3),'עלויות כח אדם (6)'!H460='סיווג התפקידים והעלויות'!$C$2,'עלויות כח אדם (6)'!H460='סיווג התפקידים והעלויות'!$D$2),IF('עלויות כח אדם (6)'!J460&lt;75,"לא תקין","תקין"),"")</f>
        <v/>
      </c>
      <c r="AE460" s="374" t="str">
        <f t="shared" si="104"/>
        <v/>
      </c>
      <c r="AF460" s="532" t="str">
        <f t="shared" si="105"/>
        <v/>
      </c>
    </row>
    <row r="461" spans="2:32" x14ac:dyDescent="0.25">
      <c r="B461" s="695"/>
      <c r="C461" s="197" t="str">
        <f>IF(B461&lt;&gt;"",IFERROR(VLOOKUP(B:B,'מצבת והרשמה (2)'!$C$20:$N$520,2,0)," ")," ")</f>
        <v xml:space="preserve"> </v>
      </c>
      <c r="D461" s="695"/>
      <c r="E461" s="696"/>
      <c r="F461" s="696"/>
      <c r="G461" s="696"/>
      <c r="H461" s="696"/>
      <c r="I461" s="1050" t="str">
        <f t="shared" si="92"/>
        <v/>
      </c>
      <c r="J461" s="696"/>
      <c r="K461" s="697"/>
      <c r="L461" s="696"/>
      <c r="M461" s="198" t="str">
        <f t="shared" si="93"/>
        <v/>
      </c>
      <c r="N461" s="369" t="str">
        <f t="shared" si="94"/>
        <v/>
      </c>
      <c r="O461" s="183" t="str">
        <f t="shared" si="95"/>
        <v/>
      </c>
      <c r="P461" s="199" t="str">
        <f t="shared" si="96"/>
        <v/>
      </c>
      <c r="Q461" s="199" t="str">
        <f>IF(B461="","",IFERROR(IF('עלויות כח אדם (6)'!J461&gt;=VLOOKUP(I461,'סיווג התפקידים והעלויות'!$B$23:$C$32,2,0),"תקין","לא תקין"),""))</f>
        <v/>
      </c>
      <c r="R461" s="199" t="str">
        <f t="shared" si="97"/>
        <v/>
      </c>
      <c r="S461" s="199" t="str">
        <f t="shared" si="98"/>
        <v/>
      </c>
      <c r="T461" s="199" t="str">
        <f t="shared" si="106"/>
        <v/>
      </c>
      <c r="U461" s="199" t="str">
        <f t="shared" si="99"/>
        <v/>
      </c>
      <c r="V461" s="989"/>
      <c r="X461" s="374" t="str">
        <f t="shared" si="100"/>
        <v/>
      </c>
      <c r="Y461" s="375" t="str">
        <f t="shared" si="101"/>
        <v/>
      </c>
      <c r="Z461" s="374" t="str">
        <f t="shared" si="102"/>
        <v/>
      </c>
      <c r="AA461" s="374" t="b">
        <f t="shared" si="103"/>
        <v>1</v>
      </c>
      <c r="AB461" s="374">
        <f>COUNTIFS(B:B,B461,H:H,'סיווג התפקידים והעלויות'!$C$2)</f>
        <v>0</v>
      </c>
      <c r="AC461" s="374">
        <f>COUNTIFS(B:B,B461,H:H,'סיווג התפקידים והעלויות'!$D$2)</f>
        <v>0</v>
      </c>
      <c r="AD461" s="374" t="str">
        <f>IF(OR(AND(H461='סיווג התפקידים והעלויות'!$A$2,I461='סיווג התפקידים והעלויות'!$A$3),'עלויות כח אדם (6)'!H461='סיווג התפקידים והעלויות'!$C$2,'עלויות כח אדם (6)'!H461='סיווג התפקידים והעלויות'!$D$2),IF('עלויות כח אדם (6)'!J461&lt;75,"לא תקין","תקין"),"")</f>
        <v/>
      </c>
      <c r="AE461" s="374" t="str">
        <f t="shared" si="104"/>
        <v/>
      </c>
      <c r="AF461" s="532" t="str">
        <f t="shared" si="105"/>
        <v/>
      </c>
    </row>
    <row r="462" spans="2:32" x14ac:dyDescent="0.25">
      <c r="B462" s="695"/>
      <c r="C462" s="197" t="str">
        <f>IF(B462&lt;&gt;"",IFERROR(VLOOKUP(B:B,'מצבת והרשמה (2)'!$C$20:$N$520,2,0)," ")," ")</f>
        <v xml:space="preserve"> </v>
      </c>
      <c r="D462" s="695"/>
      <c r="E462" s="696"/>
      <c r="F462" s="696"/>
      <c r="G462" s="696"/>
      <c r="H462" s="696"/>
      <c r="I462" s="1050" t="str">
        <f t="shared" si="92"/>
        <v/>
      </c>
      <c r="J462" s="696"/>
      <c r="K462" s="697"/>
      <c r="L462" s="696"/>
      <c r="M462" s="198" t="str">
        <f t="shared" si="93"/>
        <v/>
      </c>
      <c r="N462" s="369" t="str">
        <f t="shared" si="94"/>
        <v/>
      </c>
      <c r="O462" s="183" t="str">
        <f t="shared" si="95"/>
        <v/>
      </c>
      <c r="P462" s="199" t="str">
        <f t="shared" si="96"/>
        <v/>
      </c>
      <c r="Q462" s="199" t="str">
        <f>IF(B462="","",IFERROR(IF('עלויות כח אדם (6)'!J462&gt;=VLOOKUP(I462,'סיווג התפקידים והעלויות'!$B$23:$C$32,2,0),"תקין","לא תקין"),""))</f>
        <v/>
      </c>
      <c r="R462" s="199" t="str">
        <f t="shared" si="97"/>
        <v/>
      </c>
      <c r="S462" s="199" t="str">
        <f t="shared" si="98"/>
        <v/>
      </c>
      <c r="T462" s="199" t="str">
        <f t="shared" si="106"/>
        <v/>
      </c>
      <c r="U462" s="199" t="str">
        <f t="shared" si="99"/>
        <v/>
      </c>
      <c r="V462" s="989"/>
      <c r="X462" s="374" t="str">
        <f t="shared" si="100"/>
        <v/>
      </c>
      <c r="Y462" s="375" t="str">
        <f t="shared" si="101"/>
        <v/>
      </c>
      <c r="Z462" s="374" t="str">
        <f t="shared" si="102"/>
        <v/>
      </c>
      <c r="AA462" s="374" t="b">
        <f t="shared" si="103"/>
        <v>1</v>
      </c>
      <c r="AB462" s="374">
        <f>COUNTIFS(B:B,B462,H:H,'סיווג התפקידים והעלויות'!$C$2)</f>
        <v>0</v>
      </c>
      <c r="AC462" s="374">
        <f>COUNTIFS(B:B,B462,H:H,'סיווג התפקידים והעלויות'!$D$2)</f>
        <v>0</v>
      </c>
      <c r="AD462" s="374" t="str">
        <f>IF(OR(AND(H462='סיווג התפקידים והעלויות'!$A$2,I462='סיווג התפקידים והעלויות'!$A$3),'עלויות כח אדם (6)'!H462='סיווג התפקידים והעלויות'!$C$2,'עלויות כח אדם (6)'!H462='סיווג התפקידים והעלויות'!$D$2),IF('עלויות כח אדם (6)'!J462&lt;75,"לא תקין","תקין"),"")</f>
        <v/>
      </c>
      <c r="AE462" s="374" t="str">
        <f t="shared" si="104"/>
        <v/>
      </c>
      <c r="AF462" s="532" t="str">
        <f t="shared" si="105"/>
        <v/>
      </c>
    </row>
    <row r="463" spans="2:32" x14ac:dyDescent="0.25">
      <c r="B463" s="695"/>
      <c r="C463" s="197" t="str">
        <f>IF(B463&lt;&gt;"",IFERROR(VLOOKUP(B:B,'מצבת והרשמה (2)'!$C$20:$N$520,2,0)," ")," ")</f>
        <v xml:space="preserve"> </v>
      </c>
      <c r="D463" s="695"/>
      <c r="E463" s="696"/>
      <c r="F463" s="696"/>
      <c r="G463" s="696"/>
      <c r="H463" s="696"/>
      <c r="I463" s="1050" t="str">
        <f t="shared" ref="I463:I526" si="107">SUBSTITUTE(IFERROR(IF(H463="מדצ","מדצ/ית",IF(H463="סגנית רכזת מעל 150","סגנ/ית רכז/ת&gt;150",IF(H463="רכזת תכנית בבית הספר","רכז/ת תכנית בבית הספר"))),""),"FALSE","")</f>
        <v/>
      </c>
      <c r="J463" s="696"/>
      <c r="K463" s="697"/>
      <c r="L463" s="696"/>
      <c r="M463" s="198" t="str">
        <f t="shared" ref="M463:M526" si="108">IF(AND(L463&gt;0,K463&gt;0),K463*L463,"")</f>
        <v/>
      </c>
      <c r="N463" s="369" t="str">
        <f t="shared" ref="N463:N526" si="109">TEXT(LEFT(H463,2),0)</f>
        <v/>
      </c>
      <c r="O463" s="183" t="str">
        <f t="shared" ref="O463:O526" si="110">IF(ISNUMBER(M463&gt;0),IF(ISBLANK(B463),"יש להזין סמל מוסד בעמודה B",""),"")</f>
        <v/>
      </c>
      <c r="P463" s="199" t="str">
        <f t="shared" ref="P463:P526" si="111">IF(B463="","",IF(AA463=FALSE,"לא תקין","תקין"))</f>
        <v/>
      </c>
      <c r="Q463" s="199" t="str">
        <f>IF(B463="","",IFERROR(IF('עלויות כח אדם (6)'!J463&gt;=VLOOKUP(I463,'סיווג התפקידים והעלויות'!$B$23:$C$32,2,0),"תקין","לא תקין"),""))</f>
        <v/>
      </c>
      <c r="R463" s="199" t="str">
        <f t="shared" ref="R463:R526" si="112">IF(B463="","",IF(OR(Y463&lt;100%,Y463&gt;140%),"לא תקין","תקין"))</f>
        <v/>
      </c>
      <c r="S463" s="199" t="str">
        <f t="shared" ref="S463:S526" si="113">IF(B463="","",IFERROR(IF(J463&gt;120,"לא תקין","תקין"),""))</f>
        <v/>
      </c>
      <c r="T463" s="199" t="str">
        <f t="shared" si="106"/>
        <v/>
      </c>
      <c r="U463" s="199" t="str">
        <f t="shared" ref="U463:U526" si="114">IF(B463="","",IF(Z463&gt;1,IF(SUMIF(D:D,D463,L:L)&gt;90,"לא תקין","תקין"),"תקין"))</f>
        <v/>
      </c>
      <c r="V463" s="989"/>
      <c r="X463" s="374" t="str">
        <f t="shared" ref="X463:X526" si="115">IF(B463="","",IF(OR(R463="לא תקין",S463="לא תקין",T463="לא תקין",,U463="לא תקין"),"לא תקין","תקין"))</f>
        <v/>
      </c>
      <c r="Y463" s="375" t="str">
        <f t="shared" ref="Y463:Y526" si="116">IFERROR(IF(B463="","",K463/J463),"")</f>
        <v/>
      </c>
      <c r="Z463" s="374" t="str">
        <f t="shared" ref="Z463:Z526" si="117">IF(B463="","",COUNTIF(D:D,D463))</f>
        <v/>
      </c>
      <c r="AA463" s="374" t="b">
        <f t="shared" ref="AA463:AA526" si="118">MOD(MID(REPT(0,9-LEN(D463))&amp;D463,1,1)+MID("0246813579",MID(REPT(0,9-LEN(D463))&amp;D463,2,1)+1,1)+MID(REPT(0,9-LEN(D463))&amp;D463,3,1)+MID("0246813579",MID(REPT(0,9-LEN(D463))&amp;D463,4,1)+1,1)+MID(REPT(0,9-LEN(D463))&amp;D463,5,1)+MID("0246813579",MID(REPT(0,9-LEN(D463))&amp;D463,6,1)+1,1)+MID(REPT(0,9-LEN(D463))&amp;D463,7,1)+MID("0246813579",MID(REPT(0,9-LEN(D463))&amp;D463,8,1)+1,1)+MID(REPT(0,9-LEN(D463))&amp;D463,9,1),10)=0</f>
        <v>1</v>
      </c>
      <c r="AB463" s="374">
        <f>COUNTIFS(B:B,B463,H:H,'סיווג התפקידים והעלויות'!$C$2)</f>
        <v>0</v>
      </c>
      <c r="AC463" s="374">
        <f>COUNTIFS(B:B,B463,H:H,'סיווג התפקידים והעלויות'!$D$2)</f>
        <v>0</v>
      </c>
      <c r="AD463" s="374" t="str">
        <f>IF(OR(AND(H463='סיווג התפקידים והעלויות'!$A$2,I463='סיווג התפקידים והעלויות'!$A$3),'עלויות כח אדם (6)'!H463='סיווג התפקידים והעלויות'!$C$2,'עלויות כח אדם (6)'!H463='סיווג התפקידים והעלויות'!$D$2),IF('עלויות כח אדם (6)'!J463&lt;75,"לא תקין","תקין"),"")</f>
        <v/>
      </c>
      <c r="AE463" s="374" t="str">
        <f t="shared" ref="AE463:AE526" si="119">IF(B463&lt;&gt;"",B463&amp;H463,"")</f>
        <v/>
      </c>
      <c r="AF463" s="532" t="str">
        <f t="shared" ref="AF463:AF526" si="120">M463</f>
        <v/>
      </c>
    </row>
    <row r="464" spans="2:32" x14ac:dyDescent="0.25">
      <c r="B464" s="695"/>
      <c r="C464" s="197" t="str">
        <f>IF(B464&lt;&gt;"",IFERROR(VLOOKUP(B:B,'מצבת והרשמה (2)'!$C$20:$N$520,2,0)," ")," ")</f>
        <v xml:space="preserve"> </v>
      </c>
      <c r="D464" s="695"/>
      <c r="E464" s="696"/>
      <c r="F464" s="696"/>
      <c r="G464" s="696"/>
      <c r="H464" s="696"/>
      <c r="I464" s="1050" t="str">
        <f t="shared" si="107"/>
        <v/>
      </c>
      <c r="J464" s="696"/>
      <c r="K464" s="697"/>
      <c r="L464" s="696"/>
      <c r="M464" s="198" t="str">
        <f t="shared" si="108"/>
        <v/>
      </c>
      <c r="N464" s="369" t="str">
        <f t="shared" si="109"/>
        <v/>
      </c>
      <c r="O464" s="183" t="str">
        <f t="shared" si="110"/>
        <v/>
      </c>
      <c r="P464" s="199" t="str">
        <f t="shared" si="111"/>
        <v/>
      </c>
      <c r="Q464" s="199" t="str">
        <f>IF(B464="","",IFERROR(IF('עלויות כח אדם (6)'!J464&gt;=VLOOKUP(I464,'סיווג התפקידים והעלויות'!$B$23:$C$32,2,0),"תקין","לא תקין"),""))</f>
        <v/>
      </c>
      <c r="R464" s="199" t="str">
        <f t="shared" si="112"/>
        <v/>
      </c>
      <c r="S464" s="199" t="str">
        <f t="shared" si="113"/>
        <v/>
      </c>
      <c r="T464" s="199" t="str">
        <f t="shared" ref="T464:T527" si="121">IF(B464="","",IF(H464="","יש להזין איש צוות",IF(OR(H464="מורה",H464="גננת",H464="רכז גן",H464="רכזת גן",H464="סייעת",H464="מדצית",H464="מדצ",H464="מדריך",H464="מדריכה",H464="תוספת כח אדם"),IF(L464&lt;=90,"תקין","לא תקין"),IF(OR(H464="רכז בית ספר",H464="רכזת תכנית בבית הספר",H464="רכזת בית ספר"),IF(L464&lt;=137,"תקין","לא תקין"),IF(OR(H464="סגנית רכזת מעל 150",H464="סגן רכז"),IF(L464&lt;=93,"תקין","לא תקין"),"לא תקין")))))</f>
        <v/>
      </c>
      <c r="U464" s="199" t="str">
        <f t="shared" si="114"/>
        <v/>
      </c>
      <c r="V464" s="989"/>
      <c r="X464" s="374" t="str">
        <f t="shared" si="115"/>
        <v/>
      </c>
      <c r="Y464" s="375" t="str">
        <f t="shared" si="116"/>
        <v/>
      </c>
      <c r="Z464" s="374" t="str">
        <f t="shared" si="117"/>
        <v/>
      </c>
      <c r="AA464" s="374" t="b">
        <f t="shared" si="118"/>
        <v>1</v>
      </c>
      <c r="AB464" s="374">
        <f>COUNTIFS(B:B,B464,H:H,'סיווג התפקידים והעלויות'!$C$2)</f>
        <v>0</v>
      </c>
      <c r="AC464" s="374">
        <f>COUNTIFS(B:B,B464,H:H,'סיווג התפקידים והעלויות'!$D$2)</f>
        <v>0</v>
      </c>
      <c r="AD464" s="374" t="str">
        <f>IF(OR(AND(H464='סיווג התפקידים והעלויות'!$A$2,I464='סיווג התפקידים והעלויות'!$A$3),'עלויות כח אדם (6)'!H464='סיווג התפקידים והעלויות'!$C$2,'עלויות כח אדם (6)'!H464='סיווג התפקידים והעלויות'!$D$2),IF('עלויות כח אדם (6)'!J464&lt;75,"לא תקין","תקין"),"")</f>
        <v/>
      </c>
      <c r="AE464" s="374" t="str">
        <f t="shared" si="119"/>
        <v/>
      </c>
      <c r="AF464" s="532" t="str">
        <f t="shared" si="120"/>
        <v/>
      </c>
    </row>
    <row r="465" spans="2:32" x14ac:dyDescent="0.25">
      <c r="B465" s="695"/>
      <c r="C465" s="197" t="str">
        <f>IF(B465&lt;&gt;"",IFERROR(VLOOKUP(B:B,'מצבת והרשמה (2)'!$C$20:$N$520,2,0)," ")," ")</f>
        <v xml:space="preserve"> </v>
      </c>
      <c r="D465" s="695"/>
      <c r="E465" s="696"/>
      <c r="F465" s="696"/>
      <c r="G465" s="696"/>
      <c r="H465" s="696"/>
      <c r="I465" s="1050" t="str">
        <f t="shared" si="107"/>
        <v/>
      </c>
      <c r="J465" s="696"/>
      <c r="K465" s="697"/>
      <c r="L465" s="696"/>
      <c r="M465" s="198" t="str">
        <f t="shared" si="108"/>
        <v/>
      </c>
      <c r="N465" s="369" t="str">
        <f t="shared" si="109"/>
        <v/>
      </c>
      <c r="O465" s="183" t="str">
        <f t="shared" si="110"/>
        <v/>
      </c>
      <c r="P465" s="199" t="str">
        <f t="shared" si="111"/>
        <v/>
      </c>
      <c r="Q465" s="199" t="str">
        <f>IF(B465="","",IFERROR(IF('עלויות כח אדם (6)'!J465&gt;=VLOOKUP(I465,'סיווג התפקידים והעלויות'!$B$23:$C$32,2,0),"תקין","לא תקין"),""))</f>
        <v/>
      </c>
      <c r="R465" s="199" t="str">
        <f t="shared" si="112"/>
        <v/>
      </c>
      <c r="S465" s="199" t="str">
        <f t="shared" si="113"/>
        <v/>
      </c>
      <c r="T465" s="199" t="str">
        <f t="shared" si="121"/>
        <v/>
      </c>
      <c r="U465" s="199" t="str">
        <f t="shared" si="114"/>
        <v/>
      </c>
      <c r="V465" s="989"/>
      <c r="X465" s="374" t="str">
        <f t="shared" si="115"/>
        <v/>
      </c>
      <c r="Y465" s="375" t="str">
        <f t="shared" si="116"/>
        <v/>
      </c>
      <c r="Z465" s="374" t="str">
        <f t="shared" si="117"/>
        <v/>
      </c>
      <c r="AA465" s="374" t="b">
        <f t="shared" si="118"/>
        <v>1</v>
      </c>
      <c r="AB465" s="374">
        <f>COUNTIFS(B:B,B465,H:H,'סיווג התפקידים והעלויות'!$C$2)</f>
        <v>0</v>
      </c>
      <c r="AC465" s="374">
        <f>COUNTIFS(B:B,B465,H:H,'סיווג התפקידים והעלויות'!$D$2)</f>
        <v>0</v>
      </c>
      <c r="AD465" s="374" t="str">
        <f>IF(OR(AND(H465='סיווג התפקידים והעלויות'!$A$2,I465='סיווג התפקידים והעלויות'!$A$3),'עלויות כח אדם (6)'!H465='סיווג התפקידים והעלויות'!$C$2,'עלויות כח אדם (6)'!H465='סיווג התפקידים והעלויות'!$D$2),IF('עלויות כח אדם (6)'!J465&lt;75,"לא תקין","תקין"),"")</f>
        <v/>
      </c>
      <c r="AE465" s="374" t="str">
        <f t="shared" si="119"/>
        <v/>
      </c>
      <c r="AF465" s="532" t="str">
        <f t="shared" si="120"/>
        <v/>
      </c>
    </row>
    <row r="466" spans="2:32" x14ac:dyDescent="0.25">
      <c r="B466" s="695"/>
      <c r="C466" s="197" t="str">
        <f>IF(B466&lt;&gt;"",IFERROR(VLOOKUP(B:B,'מצבת והרשמה (2)'!$C$20:$N$520,2,0)," ")," ")</f>
        <v xml:space="preserve"> </v>
      </c>
      <c r="D466" s="695"/>
      <c r="E466" s="696"/>
      <c r="F466" s="696"/>
      <c r="G466" s="696"/>
      <c r="H466" s="696"/>
      <c r="I466" s="1050" t="str">
        <f t="shared" si="107"/>
        <v/>
      </c>
      <c r="J466" s="696"/>
      <c r="K466" s="697"/>
      <c r="L466" s="696"/>
      <c r="M466" s="198" t="str">
        <f t="shared" si="108"/>
        <v/>
      </c>
      <c r="N466" s="369" t="str">
        <f t="shared" si="109"/>
        <v/>
      </c>
      <c r="O466" s="183" t="str">
        <f t="shared" si="110"/>
        <v/>
      </c>
      <c r="P466" s="199" t="str">
        <f t="shared" si="111"/>
        <v/>
      </c>
      <c r="Q466" s="199" t="str">
        <f>IF(B466="","",IFERROR(IF('עלויות כח אדם (6)'!J466&gt;=VLOOKUP(I466,'סיווג התפקידים והעלויות'!$B$23:$C$32,2,0),"תקין","לא תקין"),""))</f>
        <v/>
      </c>
      <c r="R466" s="199" t="str">
        <f t="shared" si="112"/>
        <v/>
      </c>
      <c r="S466" s="199" t="str">
        <f t="shared" si="113"/>
        <v/>
      </c>
      <c r="T466" s="199" t="str">
        <f t="shared" si="121"/>
        <v/>
      </c>
      <c r="U466" s="199" t="str">
        <f t="shared" si="114"/>
        <v/>
      </c>
      <c r="V466" s="989"/>
      <c r="X466" s="374" t="str">
        <f t="shared" si="115"/>
        <v/>
      </c>
      <c r="Y466" s="375" t="str">
        <f t="shared" si="116"/>
        <v/>
      </c>
      <c r="Z466" s="374" t="str">
        <f t="shared" si="117"/>
        <v/>
      </c>
      <c r="AA466" s="374" t="b">
        <f t="shared" si="118"/>
        <v>1</v>
      </c>
      <c r="AB466" s="374">
        <f>COUNTIFS(B:B,B466,H:H,'סיווג התפקידים והעלויות'!$C$2)</f>
        <v>0</v>
      </c>
      <c r="AC466" s="374">
        <f>COUNTIFS(B:B,B466,H:H,'סיווג התפקידים והעלויות'!$D$2)</f>
        <v>0</v>
      </c>
      <c r="AD466" s="374" t="str">
        <f>IF(OR(AND(H466='סיווג התפקידים והעלויות'!$A$2,I466='סיווג התפקידים והעלויות'!$A$3),'עלויות כח אדם (6)'!H466='סיווג התפקידים והעלויות'!$C$2,'עלויות כח אדם (6)'!H466='סיווג התפקידים והעלויות'!$D$2),IF('עלויות כח אדם (6)'!J466&lt;75,"לא תקין","תקין"),"")</f>
        <v/>
      </c>
      <c r="AE466" s="374" t="str">
        <f t="shared" si="119"/>
        <v/>
      </c>
      <c r="AF466" s="532" t="str">
        <f t="shared" si="120"/>
        <v/>
      </c>
    </row>
    <row r="467" spans="2:32" x14ac:dyDescent="0.25">
      <c r="B467" s="695"/>
      <c r="C467" s="197" t="str">
        <f>IF(B467&lt;&gt;"",IFERROR(VLOOKUP(B:B,'מצבת והרשמה (2)'!$C$20:$N$520,2,0)," ")," ")</f>
        <v xml:space="preserve"> </v>
      </c>
      <c r="D467" s="695"/>
      <c r="E467" s="696"/>
      <c r="F467" s="696"/>
      <c r="G467" s="696"/>
      <c r="H467" s="696"/>
      <c r="I467" s="1050" t="str">
        <f t="shared" si="107"/>
        <v/>
      </c>
      <c r="J467" s="696"/>
      <c r="K467" s="697"/>
      <c r="L467" s="696"/>
      <c r="M467" s="198" t="str">
        <f t="shared" si="108"/>
        <v/>
      </c>
      <c r="N467" s="369" t="str">
        <f t="shared" si="109"/>
        <v/>
      </c>
      <c r="O467" s="183" t="str">
        <f t="shared" si="110"/>
        <v/>
      </c>
      <c r="P467" s="199" t="str">
        <f t="shared" si="111"/>
        <v/>
      </c>
      <c r="Q467" s="199" t="str">
        <f>IF(B467="","",IFERROR(IF('עלויות כח אדם (6)'!J467&gt;=VLOOKUP(I467,'סיווג התפקידים והעלויות'!$B$23:$C$32,2,0),"תקין","לא תקין"),""))</f>
        <v/>
      </c>
      <c r="R467" s="199" t="str">
        <f t="shared" si="112"/>
        <v/>
      </c>
      <c r="S467" s="199" t="str">
        <f t="shared" si="113"/>
        <v/>
      </c>
      <c r="T467" s="199" t="str">
        <f t="shared" si="121"/>
        <v/>
      </c>
      <c r="U467" s="199" t="str">
        <f t="shared" si="114"/>
        <v/>
      </c>
      <c r="V467" s="989"/>
      <c r="X467" s="374" t="str">
        <f t="shared" si="115"/>
        <v/>
      </c>
      <c r="Y467" s="375" t="str">
        <f t="shared" si="116"/>
        <v/>
      </c>
      <c r="Z467" s="374" t="str">
        <f t="shared" si="117"/>
        <v/>
      </c>
      <c r="AA467" s="374" t="b">
        <f t="shared" si="118"/>
        <v>1</v>
      </c>
      <c r="AB467" s="374">
        <f>COUNTIFS(B:B,B467,H:H,'סיווג התפקידים והעלויות'!$C$2)</f>
        <v>0</v>
      </c>
      <c r="AC467" s="374">
        <f>COUNTIFS(B:B,B467,H:H,'סיווג התפקידים והעלויות'!$D$2)</f>
        <v>0</v>
      </c>
      <c r="AD467" s="374" t="str">
        <f>IF(OR(AND(H467='סיווג התפקידים והעלויות'!$A$2,I467='סיווג התפקידים והעלויות'!$A$3),'עלויות כח אדם (6)'!H467='סיווג התפקידים והעלויות'!$C$2,'עלויות כח אדם (6)'!H467='סיווג התפקידים והעלויות'!$D$2),IF('עלויות כח אדם (6)'!J467&lt;75,"לא תקין","תקין"),"")</f>
        <v/>
      </c>
      <c r="AE467" s="374" t="str">
        <f t="shared" si="119"/>
        <v/>
      </c>
      <c r="AF467" s="532" t="str">
        <f t="shared" si="120"/>
        <v/>
      </c>
    </row>
    <row r="468" spans="2:32" x14ac:dyDescent="0.25">
      <c r="B468" s="695"/>
      <c r="C468" s="197" t="str">
        <f>IF(B468&lt;&gt;"",IFERROR(VLOOKUP(B:B,'מצבת והרשמה (2)'!$C$20:$N$520,2,0)," ")," ")</f>
        <v xml:space="preserve"> </v>
      </c>
      <c r="D468" s="695"/>
      <c r="E468" s="696"/>
      <c r="F468" s="696"/>
      <c r="G468" s="696"/>
      <c r="H468" s="696"/>
      <c r="I468" s="1050" t="str">
        <f t="shared" si="107"/>
        <v/>
      </c>
      <c r="J468" s="696"/>
      <c r="K468" s="697"/>
      <c r="L468" s="696"/>
      <c r="M468" s="198" t="str">
        <f t="shared" si="108"/>
        <v/>
      </c>
      <c r="N468" s="369" t="str">
        <f t="shared" si="109"/>
        <v/>
      </c>
      <c r="O468" s="183" t="str">
        <f t="shared" si="110"/>
        <v/>
      </c>
      <c r="P468" s="199" t="str">
        <f t="shared" si="111"/>
        <v/>
      </c>
      <c r="Q468" s="199" t="str">
        <f>IF(B468="","",IFERROR(IF('עלויות כח אדם (6)'!J468&gt;=VLOOKUP(I468,'סיווג התפקידים והעלויות'!$B$23:$C$32,2,0),"תקין","לא תקין"),""))</f>
        <v/>
      </c>
      <c r="R468" s="199" t="str">
        <f t="shared" si="112"/>
        <v/>
      </c>
      <c r="S468" s="199" t="str">
        <f t="shared" si="113"/>
        <v/>
      </c>
      <c r="T468" s="199" t="str">
        <f t="shared" si="121"/>
        <v/>
      </c>
      <c r="U468" s="199" t="str">
        <f t="shared" si="114"/>
        <v/>
      </c>
      <c r="V468" s="989"/>
      <c r="X468" s="374" t="str">
        <f t="shared" si="115"/>
        <v/>
      </c>
      <c r="Y468" s="375" t="str">
        <f t="shared" si="116"/>
        <v/>
      </c>
      <c r="Z468" s="374" t="str">
        <f t="shared" si="117"/>
        <v/>
      </c>
      <c r="AA468" s="374" t="b">
        <f t="shared" si="118"/>
        <v>1</v>
      </c>
      <c r="AB468" s="374">
        <f>COUNTIFS(B:B,B468,H:H,'סיווג התפקידים והעלויות'!$C$2)</f>
        <v>0</v>
      </c>
      <c r="AC468" s="374">
        <f>COUNTIFS(B:B,B468,H:H,'סיווג התפקידים והעלויות'!$D$2)</f>
        <v>0</v>
      </c>
      <c r="AD468" s="374" t="str">
        <f>IF(OR(AND(H468='סיווג התפקידים והעלויות'!$A$2,I468='סיווג התפקידים והעלויות'!$A$3),'עלויות כח אדם (6)'!H468='סיווג התפקידים והעלויות'!$C$2,'עלויות כח אדם (6)'!H468='סיווג התפקידים והעלויות'!$D$2),IF('עלויות כח אדם (6)'!J468&lt;75,"לא תקין","תקין"),"")</f>
        <v/>
      </c>
      <c r="AE468" s="374" t="str">
        <f t="shared" si="119"/>
        <v/>
      </c>
      <c r="AF468" s="532" t="str">
        <f t="shared" si="120"/>
        <v/>
      </c>
    </row>
    <row r="469" spans="2:32" x14ac:dyDescent="0.25">
      <c r="B469" s="695"/>
      <c r="C469" s="197" t="str">
        <f>IF(B469&lt;&gt;"",IFERROR(VLOOKUP(B:B,'מצבת והרשמה (2)'!$C$20:$N$520,2,0)," ")," ")</f>
        <v xml:space="preserve"> </v>
      </c>
      <c r="D469" s="695"/>
      <c r="E469" s="696"/>
      <c r="F469" s="696"/>
      <c r="G469" s="696"/>
      <c r="H469" s="696"/>
      <c r="I469" s="1050" t="str">
        <f t="shared" si="107"/>
        <v/>
      </c>
      <c r="J469" s="696"/>
      <c r="K469" s="697"/>
      <c r="L469" s="696"/>
      <c r="M469" s="198" t="str">
        <f t="shared" si="108"/>
        <v/>
      </c>
      <c r="N469" s="369" t="str">
        <f t="shared" si="109"/>
        <v/>
      </c>
      <c r="O469" s="183" t="str">
        <f t="shared" si="110"/>
        <v/>
      </c>
      <c r="P469" s="199" t="str">
        <f t="shared" si="111"/>
        <v/>
      </c>
      <c r="Q469" s="199" t="str">
        <f>IF(B469="","",IFERROR(IF('עלויות כח אדם (6)'!J469&gt;=VLOOKUP(I469,'סיווג התפקידים והעלויות'!$B$23:$C$32,2,0),"תקין","לא תקין"),""))</f>
        <v/>
      </c>
      <c r="R469" s="199" t="str">
        <f t="shared" si="112"/>
        <v/>
      </c>
      <c r="S469" s="199" t="str">
        <f t="shared" si="113"/>
        <v/>
      </c>
      <c r="T469" s="199" t="str">
        <f t="shared" si="121"/>
        <v/>
      </c>
      <c r="U469" s="199" t="str">
        <f t="shared" si="114"/>
        <v/>
      </c>
      <c r="V469" s="989"/>
      <c r="X469" s="374" t="str">
        <f t="shared" si="115"/>
        <v/>
      </c>
      <c r="Y469" s="375" t="str">
        <f t="shared" si="116"/>
        <v/>
      </c>
      <c r="Z469" s="374" t="str">
        <f t="shared" si="117"/>
        <v/>
      </c>
      <c r="AA469" s="374" t="b">
        <f t="shared" si="118"/>
        <v>1</v>
      </c>
      <c r="AB469" s="374">
        <f>COUNTIFS(B:B,B469,H:H,'סיווג התפקידים והעלויות'!$C$2)</f>
        <v>0</v>
      </c>
      <c r="AC469" s="374">
        <f>COUNTIFS(B:B,B469,H:H,'סיווג התפקידים והעלויות'!$D$2)</f>
        <v>0</v>
      </c>
      <c r="AD469" s="374" t="str">
        <f>IF(OR(AND(H469='סיווג התפקידים והעלויות'!$A$2,I469='סיווג התפקידים והעלויות'!$A$3),'עלויות כח אדם (6)'!H469='סיווג התפקידים והעלויות'!$C$2,'עלויות כח אדם (6)'!H469='סיווג התפקידים והעלויות'!$D$2),IF('עלויות כח אדם (6)'!J469&lt;75,"לא תקין","תקין"),"")</f>
        <v/>
      </c>
      <c r="AE469" s="374" t="str">
        <f t="shared" si="119"/>
        <v/>
      </c>
      <c r="AF469" s="532" t="str">
        <f t="shared" si="120"/>
        <v/>
      </c>
    </row>
    <row r="470" spans="2:32" x14ac:dyDescent="0.25">
      <c r="B470" s="695"/>
      <c r="C470" s="197" t="str">
        <f>IF(B470&lt;&gt;"",IFERROR(VLOOKUP(B:B,'מצבת והרשמה (2)'!$C$20:$N$520,2,0)," ")," ")</f>
        <v xml:space="preserve"> </v>
      </c>
      <c r="D470" s="695"/>
      <c r="E470" s="696"/>
      <c r="F470" s="696"/>
      <c r="G470" s="696"/>
      <c r="H470" s="696"/>
      <c r="I470" s="1050" t="str">
        <f t="shared" si="107"/>
        <v/>
      </c>
      <c r="J470" s="696"/>
      <c r="K470" s="697"/>
      <c r="L470" s="696"/>
      <c r="M470" s="198" t="str">
        <f t="shared" si="108"/>
        <v/>
      </c>
      <c r="N470" s="369" t="str">
        <f t="shared" si="109"/>
        <v/>
      </c>
      <c r="O470" s="183" t="str">
        <f t="shared" si="110"/>
        <v/>
      </c>
      <c r="P470" s="199" t="str">
        <f t="shared" si="111"/>
        <v/>
      </c>
      <c r="Q470" s="199" t="str">
        <f>IF(B470="","",IFERROR(IF('עלויות כח אדם (6)'!J470&gt;=VLOOKUP(I470,'סיווג התפקידים והעלויות'!$B$23:$C$32,2,0),"תקין","לא תקין"),""))</f>
        <v/>
      </c>
      <c r="R470" s="199" t="str">
        <f t="shared" si="112"/>
        <v/>
      </c>
      <c r="S470" s="199" t="str">
        <f t="shared" si="113"/>
        <v/>
      </c>
      <c r="T470" s="199" t="str">
        <f t="shared" si="121"/>
        <v/>
      </c>
      <c r="U470" s="199" t="str">
        <f t="shared" si="114"/>
        <v/>
      </c>
      <c r="V470" s="989"/>
      <c r="X470" s="374" t="str">
        <f t="shared" si="115"/>
        <v/>
      </c>
      <c r="Y470" s="375" t="str">
        <f t="shared" si="116"/>
        <v/>
      </c>
      <c r="Z470" s="374" t="str">
        <f t="shared" si="117"/>
        <v/>
      </c>
      <c r="AA470" s="374" t="b">
        <f t="shared" si="118"/>
        <v>1</v>
      </c>
      <c r="AB470" s="374">
        <f>COUNTIFS(B:B,B470,H:H,'סיווג התפקידים והעלויות'!$C$2)</f>
        <v>0</v>
      </c>
      <c r="AC470" s="374">
        <f>COUNTIFS(B:B,B470,H:H,'סיווג התפקידים והעלויות'!$D$2)</f>
        <v>0</v>
      </c>
      <c r="AD470" s="374" t="str">
        <f>IF(OR(AND(H470='סיווג התפקידים והעלויות'!$A$2,I470='סיווג התפקידים והעלויות'!$A$3),'עלויות כח אדם (6)'!H470='סיווג התפקידים והעלויות'!$C$2,'עלויות כח אדם (6)'!H470='סיווג התפקידים והעלויות'!$D$2),IF('עלויות כח אדם (6)'!J470&lt;75,"לא תקין","תקין"),"")</f>
        <v/>
      </c>
      <c r="AE470" s="374" t="str">
        <f t="shared" si="119"/>
        <v/>
      </c>
      <c r="AF470" s="532" t="str">
        <f t="shared" si="120"/>
        <v/>
      </c>
    </row>
    <row r="471" spans="2:32" x14ac:dyDescent="0.25">
      <c r="B471" s="695"/>
      <c r="C471" s="197" t="str">
        <f>IF(B471&lt;&gt;"",IFERROR(VLOOKUP(B:B,'מצבת והרשמה (2)'!$C$20:$N$520,2,0)," ")," ")</f>
        <v xml:space="preserve"> </v>
      </c>
      <c r="D471" s="695"/>
      <c r="E471" s="696"/>
      <c r="F471" s="696"/>
      <c r="G471" s="696"/>
      <c r="H471" s="696"/>
      <c r="I471" s="1050" t="str">
        <f t="shared" si="107"/>
        <v/>
      </c>
      <c r="J471" s="696"/>
      <c r="K471" s="697"/>
      <c r="L471" s="696"/>
      <c r="M471" s="198" t="str">
        <f t="shared" si="108"/>
        <v/>
      </c>
      <c r="N471" s="369" t="str">
        <f t="shared" si="109"/>
        <v/>
      </c>
      <c r="O471" s="183" t="str">
        <f t="shared" si="110"/>
        <v/>
      </c>
      <c r="P471" s="199" t="str">
        <f t="shared" si="111"/>
        <v/>
      </c>
      <c r="Q471" s="199" t="str">
        <f>IF(B471="","",IFERROR(IF('עלויות כח אדם (6)'!J471&gt;=VLOOKUP(I471,'סיווג התפקידים והעלויות'!$B$23:$C$32,2,0),"תקין","לא תקין"),""))</f>
        <v/>
      </c>
      <c r="R471" s="199" t="str">
        <f t="shared" si="112"/>
        <v/>
      </c>
      <c r="S471" s="199" t="str">
        <f t="shared" si="113"/>
        <v/>
      </c>
      <c r="T471" s="199" t="str">
        <f t="shared" si="121"/>
        <v/>
      </c>
      <c r="U471" s="199" t="str">
        <f t="shared" si="114"/>
        <v/>
      </c>
      <c r="V471" s="989"/>
      <c r="X471" s="374" t="str">
        <f t="shared" si="115"/>
        <v/>
      </c>
      <c r="Y471" s="375" t="str">
        <f t="shared" si="116"/>
        <v/>
      </c>
      <c r="Z471" s="374" t="str">
        <f t="shared" si="117"/>
        <v/>
      </c>
      <c r="AA471" s="374" t="b">
        <f t="shared" si="118"/>
        <v>1</v>
      </c>
      <c r="AB471" s="374">
        <f>COUNTIFS(B:B,B471,H:H,'סיווג התפקידים והעלויות'!$C$2)</f>
        <v>0</v>
      </c>
      <c r="AC471" s="374">
        <f>COUNTIFS(B:B,B471,H:H,'סיווג התפקידים והעלויות'!$D$2)</f>
        <v>0</v>
      </c>
      <c r="AD471" s="374" t="str">
        <f>IF(OR(AND(H471='סיווג התפקידים והעלויות'!$A$2,I471='סיווג התפקידים והעלויות'!$A$3),'עלויות כח אדם (6)'!H471='סיווג התפקידים והעלויות'!$C$2,'עלויות כח אדם (6)'!H471='סיווג התפקידים והעלויות'!$D$2),IF('עלויות כח אדם (6)'!J471&lt;75,"לא תקין","תקין"),"")</f>
        <v/>
      </c>
      <c r="AE471" s="374" t="str">
        <f t="shared" si="119"/>
        <v/>
      </c>
      <c r="AF471" s="532" t="str">
        <f t="shared" si="120"/>
        <v/>
      </c>
    </row>
    <row r="472" spans="2:32" x14ac:dyDescent="0.25">
      <c r="B472" s="695"/>
      <c r="C472" s="197" t="str">
        <f>IF(B472&lt;&gt;"",IFERROR(VLOOKUP(B:B,'מצבת והרשמה (2)'!$C$20:$N$520,2,0)," ")," ")</f>
        <v xml:space="preserve"> </v>
      </c>
      <c r="D472" s="695"/>
      <c r="E472" s="696"/>
      <c r="F472" s="696"/>
      <c r="G472" s="696"/>
      <c r="H472" s="696"/>
      <c r="I472" s="1050" t="str">
        <f t="shared" si="107"/>
        <v/>
      </c>
      <c r="J472" s="696"/>
      <c r="K472" s="697"/>
      <c r="L472" s="696"/>
      <c r="M472" s="198" t="str">
        <f t="shared" si="108"/>
        <v/>
      </c>
      <c r="N472" s="369" t="str">
        <f t="shared" si="109"/>
        <v/>
      </c>
      <c r="O472" s="183" t="str">
        <f t="shared" si="110"/>
        <v/>
      </c>
      <c r="P472" s="199" t="str">
        <f t="shared" si="111"/>
        <v/>
      </c>
      <c r="Q472" s="199" t="str">
        <f>IF(B472="","",IFERROR(IF('עלויות כח אדם (6)'!J472&gt;=VLOOKUP(I472,'סיווג התפקידים והעלויות'!$B$23:$C$32,2,0),"תקין","לא תקין"),""))</f>
        <v/>
      </c>
      <c r="R472" s="199" t="str">
        <f t="shared" si="112"/>
        <v/>
      </c>
      <c r="S472" s="199" t="str">
        <f t="shared" si="113"/>
        <v/>
      </c>
      <c r="T472" s="199" t="str">
        <f t="shared" si="121"/>
        <v/>
      </c>
      <c r="U472" s="199" t="str">
        <f t="shared" si="114"/>
        <v/>
      </c>
      <c r="V472" s="989"/>
      <c r="X472" s="374" t="str">
        <f t="shared" si="115"/>
        <v/>
      </c>
      <c r="Y472" s="375" t="str">
        <f t="shared" si="116"/>
        <v/>
      </c>
      <c r="Z472" s="374" t="str">
        <f t="shared" si="117"/>
        <v/>
      </c>
      <c r="AA472" s="374" t="b">
        <f t="shared" si="118"/>
        <v>1</v>
      </c>
      <c r="AB472" s="374">
        <f>COUNTIFS(B:B,B472,H:H,'סיווג התפקידים והעלויות'!$C$2)</f>
        <v>0</v>
      </c>
      <c r="AC472" s="374">
        <f>COUNTIFS(B:B,B472,H:H,'סיווג התפקידים והעלויות'!$D$2)</f>
        <v>0</v>
      </c>
      <c r="AD472" s="374" t="str">
        <f>IF(OR(AND(H472='סיווג התפקידים והעלויות'!$A$2,I472='סיווג התפקידים והעלויות'!$A$3),'עלויות כח אדם (6)'!H472='סיווג התפקידים והעלויות'!$C$2,'עלויות כח אדם (6)'!H472='סיווג התפקידים והעלויות'!$D$2),IF('עלויות כח אדם (6)'!J472&lt;75,"לא תקין","תקין"),"")</f>
        <v/>
      </c>
      <c r="AE472" s="374" t="str">
        <f t="shared" si="119"/>
        <v/>
      </c>
      <c r="AF472" s="532" t="str">
        <f t="shared" si="120"/>
        <v/>
      </c>
    </row>
    <row r="473" spans="2:32" x14ac:dyDescent="0.25">
      <c r="B473" s="695"/>
      <c r="C473" s="197" t="str">
        <f>IF(B473&lt;&gt;"",IFERROR(VLOOKUP(B:B,'מצבת והרשמה (2)'!$C$20:$N$520,2,0)," ")," ")</f>
        <v xml:space="preserve"> </v>
      </c>
      <c r="D473" s="695"/>
      <c r="E473" s="696"/>
      <c r="F473" s="696"/>
      <c r="G473" s="696"/>
      <c r="H473" s="696"/>
      <c r="I473" s="1050" t="str">
        <f t="shared" si="107"/>
        <v/>
      </c>
      <c r="J473" s="696"/>
      <c r="K473" s="697"/>
      <c r="L473" s="696"/>
      <c r="M473" s="198" t="str">
        <f t="shared" si="108"/>
        <v/>
      </c>
      <c r="N473" s="369" t="str">
        <f t="shared" si="109"/>
        <v/>
      </c>
      <c r="O473" s="183" t="str">
        <f t="shared" si="110"/>
        <v/>
      </c>
      <c r="P473" s="199" t="str">
        <f t="shared" si="111"/>
        <v/>
      </c>
      <c r="Q473" s="199" t="str">
        <f>IF(B473="","",IFERROR(IF('עלויות כח אדם (6)'!J473&gt;=VLOOKUP(I473,'סיווג התפקידים והעלויות'!$B$23:$C$32,2,0),"תקין","לא תקין"),""))</f>
        <v/>
      </c>
      <c r="R473" s="199" t="str">
        <f t="shared" si="112"/>
        <v/>
      </c>
      <c r="S473" s="199" t="str">
        <f t="shared" si="113"/>
        <v/>
      </c>
      <c r="T473" s="199" t="str">
        <f t="shared" si="121"/>
        <v/>
      </c>
      <c r="U473" s="199" t="str">
        <f t="shared" si="114"/>
        <v/>
      </c>
      <c r="V473" s="989"/>
      <c r="X473" s="374" t="str">
        <f t="shared" si="115"/>
        <v/>
      </c>
      <c r="Y473" s="375" t="str">
        <f t="shared" si="116"/>
        <v/>
      </c>
      <c r="Z473" s="374" t="str">
        <f t="shared" si="117"/>
        <v/>
      </c>
      <c r="AA473" s="374" t="b">
        <f t="shared" si="118"/>
        <v>1</v>
      </c>
      <c r="AB473" s="374">
        <f>COUNTIFS(B:B,B473,H:H,'סיווג התפקידים והעלויות'!$C$2)</f>
        <v>0</v>
      </c>
      <c r="AC473" s="374">
        <f>COUNTIFS(B:B,B473,H:H,'סיווג התפקידים והעלויות'!$D$2)</f>
        <v>0</v>
      </c>
      <c r="AD473" s="374" t="str">
        <f>IF(OR(AND(H473='סיווג התפקידים והעלויות'!$A$2,I473='סיווג התפקידים והעלויות'!$A$3),'עלויות כח אדם (6)'!H473='סיווג התפקידים והעלויות'!$C$2,'עלויות כח אדם (6)'!H473='סיווג התפקידים והעלויות'!$D$2),IF('עלויות כח אדם (6)'!J473&lt;75,"לא תקין","תקין"),"")</f>
        <v/>
      </c>
      <c r="AE473" s="374" t="str">
        <f t="shared" si="119"/>
        <v/>
      </c>
      <c r="AF473" s="532" t="str">
        <f t="shared" si="120"/>
        <v/>
      </c>
    </row>
    <row r="474" spans="2:32" x14ac:dyDescent="0.25">
      <c r="B474" s="695"/>
      <c r="C474" s="197" t="str">
        <f>IF(B474&lt;&gt;"",IFERROR(VLOOKUP(B:B,'מצבת והרשמה (2)'!$C$20:$N$520,2,0)," ")," ")</f>
        <v xml:space="preserve"> </v>
      </c>
      <c r="D474" s="695"/>
      <c r="E474" s="696"/>
      <c r="F474" s="696"/>
      <c r="G474" s="696"/>
      <c r="H474" s="696"/>
      <c r="I474" s="1050" t="str">
        <f t="shared" si="107"/>
        <v/>
      </c>
      <c r="J474" s="696"/>
      <c r="K474" s="697"/>
      <c r="L474" s="696"/>
      <c r="M474" s="198" t="str">
        <f t="shared" si="108"/>
        <v/>
      </c>
      <c r="N474" s="369" t="str">
        <f t="shared" si="109"/>
        <v/>
      </c>
      <c r="O474" s="183" t="str">
        <f t="shared" si="110"/>
        <v/>
      </c>
      <c r="P474" s="199" t="str">
        <f t="shared" si="111"/>
        <v/>
      </c>
      <c r="Q474" s="199" t="str">
        <f>IF(B474="","",IFERROR(IF('עלויות כח אדם (6)'!J474&gt;=VLOOKUP(I474,'סיווג התפקידים והעלויות'!$B$23:$C$32,2,0),"תקין","לא תקין"),""))</f>
        <v/>
      </c>
      <c r="R474" s="199" t="str">
        <f t="shared" si="112"/>
        <v/>
      </c>
      <c r="S474" s="199" t="str">
        <f t="shared" si="113"/>
        <v/>
      </c>
      <c r="T474" s="199" t="str">
        <f t="shared" si="121"/>
        <v/>
      </c>
      <c r="U474" s="199" t="str">
        <f t="shared" si="114"/>
        <v/>
      </c>
      <c r="V474" s="989"/>
      <c r="X474" s="374" t="str">
        <f t="shared" si="115"/>
        <v/>
      </c>
      <c r="Y474" s="375" t="str">
        <f t="shared" si="116"/>
        <v/>
      </c>
      <c r="Z474" s="374" t="str">
        <f t="shared" si="117"/>
        <v/>
      </c>
      <c r="AA474" s="374" t="b">
        <f t="shared" si="118"/>
        <v>1</v>
      </c>
      <c r="AB474" s="374">
        <f>COUNTIFS(B:B,B474,H:H,'סיווג התפקידים והעלויות'!$C$2)</f>
        <v>0</v>
      </c>
      <c r="AC474" s="374">
        <f>COUNTIFS(B:B,B474,H:H,'סיווג התפקידים והעלויות'!$D$2)</f>
        <v>0</v>
      </c>
      <c r="AD474" s="374" t="str">
        <f>IF(OR(AND(H474='סיווג התפקידים והעלויות'!$A$2,I474='סיווג התפקידים והעלויות'!$A$3),'עלויות כח אדם (6)'!H474='סיווג התפקידים והעלויות'!$C$2,'עלויות כח אדם (6)'!H474='סיווג התפקידים והעלויות'!$D$2),IF('עלויות כח אדם (6)'!J474&lt;75,"לא תקין","תקין"),"")</f>
        <v/>
      </c>
      <c r="AE474" s="374" t="str">
        <f t="shared" si="119"/>
        <v/>
      </c>
      <c r="AF474" s="532" t="str">
        <f t="shared" si="120"/>
        <v/>
      </c>
    </row>
    <row r="475" spans="2:32" x14ac:dyDescent="0.25">
      <c r="B475" s="695"/>
      <c r="C475" s="197" t="str">
        <f>IF(B475&lt;&gt;"",IFERROR(VLOOKUP(B:B,'מצבת והרשמה (2)'!$C$20:$N$520,2,0)," ")," ")</f>
        <v xml:space="preserve"> </v>
      </c>
      <c r="D475" s="695"/>
      <c r="E475" s="696"/>
      <c r="F475" s="696"/>
      <c r="G475" s="696"/>
      <c r="H475" s="696"/>
      <c r="I475" s="1050" t="str">
        <f t="shared" si="107"/>
        <v/>
      </c>
      <c r="J475" s="696"/>
      <c r="K475" s="697"/>
      <c r="L475" s="696"/>
      <c r="M475" s="198" t="str">
        <f t="shared" si="108"/>
        <v/>
      </c>
      <c r="N475" s="369" t="str">
        <f t="shared" si="109"/>
        <v/>
      </c>
      <c r="O475" s="183" t="str">
        <f t="shared" si="110"/>
        <v/>
      </c>
      <c r="P475" s="199" t="str">
        <f t="shared" si="111"/>
        <v/>
      </c>
      <c r="Q475" s="199" t="str">
        <f>IF(B475="","",IFERROR(IF('עלויות כח אדם (6)'!J475&gt;=VLOOKUP(I475,'סיווג התפקידים והעלויות'!$B$23:$C$32,2,0),"תקין","לא תקין"),""))</f>
        <v/>
      </c>
      <c r="R475" s="199" t="str">
        <f t="shared" si="112"/>
        <v/>
      </c>
      <c r="S475" s="199" t="str">
        <f t="shared" si="113"/>
        <v/>
      </c>
      <c r="T475" s="199" t="str">
        <f t="shared" si="121"/>
        <v/>
      </c>
      <c r="U475" s="199" t="str">
        <f t="shared" si="114"/>
        <v/>
      </c>
      <c r="V475" s="989"/>
      <c r="X475" s="374" t="str">
        <f t="shared" si="115"/>
        <v/>
      </c>
      <c r="Y475" s="375" t="str">
        <f t="shared" si="116"/>
        <v/>
      </c>
      <c r="Z475" s="374" t="str">
        <f t="shared" si="117"/>
        <v/>
      </c>
      <c r="AA475" s="374" t="b">
        <f t="shared" si="118"/>
        <v>1</v>
      </c>
      <c r="AB475" s="374">
        <f>COUNTIFS(B:B,B475,H:H,'סיווג התפקידים והעלויות'!$C$2)</f>
        <v>0</v>
      </c>
      <c r="AC475" s="374">
        <f>COUNTIFS(B:B,B475,H:H,'סיווג התפקידים והעלויות'!$D$2)</f>
        <v>0</v>
      </c>
      <c r="AD475" s="374" t="str">
        <f>IF(OR(AND(H475='סיווג התפקידים והעלויות'!$A$2,I475='סיווג התפקידים והעלויות'!$A$3),'עלויות כח אדם (6)'!H475='סיווג התפקידים והעלויות'!$C$2,'עלויות כח אדם (6)'!H475='סיווג התפקידים והעלויות'!$D$2),IF('עלויות כח אדם (6)'!J475&lt;75,"לא תקין","תקין"),"")</f>
        <v/>
      </c>
      <c r="AE475" s="374" t="str">
        <f t="shared" si="119"/>
        <v/>
      </c>
      <c r="AF475" s="532" t="str">
        <f t="shared" si="120"/>
        <v/>
      </c>
    </row>
    <row r="476" spans="2:32" x14ac:dyDescent="0.25">
      <c r="B476" s="695"/>
      <c r="C476" s="197" t="str">
        <f>IF(B476&lt;&gt;"",IFERROR(VLOOKUP(B:B,'מצבת והרשמה (2)'!$C$20:$N$520,2,0)," ")," ")</f>
        <v xml:space="preserve"> </v>
      </c>
      <c r="D476" s="695"/>
      <c r="E476" s="696"/>
      <c r="F476" s="696"/>
      <c r="G476" s="696"/>
      <c r="H476" s="696"/>
      <c r="I476" s="1050" t="str">
        <f t="shared" si="107"/>
        <v/>
      </c>
      <c r="J476" s="696"/>
      <c r="K476" s="697"/>
      <c r="L476" s="696"/>
      <c r="M476" s="198" t="str">
        <f t="shared" si="108"/>
        <v/>
      </c>
      <c r="N476" s="369" t="str">
        <f t="shared" si="109"/>
        <v/>
      </c>
      <c r="O476" s="183" t="str">
        <f t="shared" si="110"/>
        <v/>
      </c>
      <c r="P476" s="199" t="str">
        <f t="shared" si="111"/>
        <v/>
      </c>
      <c r="Q476" s="199" t="str">
        <f>IF(B476="","",IFERROR(IF('עלויות כח אדם (6)'!J476&gt;=VLOOKUP(I476,'סיווג התפקידים והעלויות'!$B$23:$C$32,2,0),"תקין","לא תקין"),""))</f>
        <v/>
      </c>
      <c r="R476" s="199" t="str">
        <f t="shared" si="112"/>
        <v/>
      </c>
      <c r="S476" s="199" t="str">
        <f t="shared" si="113"/>
        <v/>
      </c>
      <c r="T476" s="199" t="str">
        <f t="shared" si="121"/>
        <v/>
      </c>
      <c r="U476" s="199" t="str">
        <f t="shared" si="114"/>
        <v/>
      </c>
      <c r="V476" s="989"/>
      <c r="X476" s="374" t="str">
        <f t="shared" si="115"/>
        <v/>
      </c>
      <c r="Y476" s="375" t="str">
        <f t="shared" si="116"/>
        <v/>
      </c>
      <c r="Z476" s="374" t="str">
        <f t="shared" si="117"/>
        <v/>
      </c>
      <c r="AA476" s="374" t="b">
        <f t="shared" si="118"/>
        <v>1</v>
      </c>
      <c r="AB476" s="374">
        <f>COUNTIFS(B:B,B476,H:H,'סיווג התפקידים והעלויות'!$C$2)</f>
        <v>0</v>
      </c>
      <c r="AC476" s="374">
        <f>COUNTIFS(B:B,B476,H:H,'סיווג התפקידים והעלויות'!$D$2)</f>
        <v>0</v>
      </c>
      <c r="AD476" s="374" t="str">
        <f>IF(OR(AND(H476='סיווג התפקידים והעלויות'!$A$2,I476='סיווג התפקידים והעלויות'!$A$3),'עלויות כח אדם (6)'!H476='סיווג התפקידים והעלויות'!$C$2,'עלויות כח אדם (6)'!H476='סיווג התפקידים והעלויות'!$D$2),IF('עלויות כח אדם (6)'!J476&lt;75,"לא תקין","תקין"),"")</f>
        <v/>
      </c>
      <c r="AE476" s="374" t="str">
        <f t="shared" si="119"/>
        <v/>
      </c>
      <c r="AF476" s="532" t="str">
        <f t="shared" si="120"/>
        <v/>
      </c>
    </row>
    <row r="477" spans="2:32" x14ac:dyDescent="0.25">
      <c r="B477" s="695"/>
      <c r="C477" s="197" t="str">
        <f>IF(B477&lt;&gt;"",IFERROR(VLOOKUP(B:B,'מצבת והרשמה (2)'!$C$20:$N$520,2,0)," ")," ")</f>
        <v xml:space="preserve"> </v>
      </c>
      <c r="D477" s="695"/>
      <c r="E477" s="696"/>
      <c r="F477" s="696"/>
      <c r="G477" s="696"/>
      <c r="H477" s="696"/>
      <c r="I477" s="1050" t="str">
        <f t="shared" si="107"/>
        <v/>
      </c>
      <c r="J477" s="696"/>
      <c r="K477" s="697"/>
      <c r="L477" s="696"/>
      <c r="M477" s="198" t="str">
        <f t="shared" si="108"/>
        <v/>
      </c>
      <c r="N477" s="369" t="str">
        <f t="shared" si="109"/>
        <v/>
      </c>
      <c r="O477" s="183" t="str">
        <f t="shared" si="110"/>
        <v/>
      </c>
      <c r="P477" s="199" t="str">
        <f t="shared" si="111"/>
        <v/>
      </c>
      <c r="Q477" s="199" t="str">
        <f>IF(B477="","",IFERROR(IF('עלויות כח אדם (6)'!J477&gt;=VLOOKUP(I477,'סיווג התפקידים והעלויות'!$B$23:$C$32,2,0),"תקין","לא תקין"),""))</f>
        <v/>
      </c>
      <c r="R477" s="199" t="str">
        <f t="shared" si="112"/>
        <v/>
      </c>
      <c r="S477" s="199" t="str">
        <f t="shared" si="113"/>
        <v/>
      </c>
      <c r="T477" s="199" t="str">
        <f t="shared" si="121"/>
        <v/>
      </c>
      <c r="U477" s="199" t="str">
        <f t="shared" si="114"/>
        <v/>
      </c>
      <c r="V477" s="989"/>
      <c r="X477" s="374" t="str">
        <f t="shared" si="115"/>
        <v/>
      </c>
      <c r="Y477" s="375" t="str">
        <f t="shared" si="116"/>
        <v/>
      </c>
      <c r="Z477" s="374" t="str">
        <f t="shared" si="117"/>
        <v/>
      </c>
      <c r="AA477" s="374" t="b">
        <f t="shared" si="118"/>
        <v>1</v>
      </c>
      <c r="AB477" s="374">
        <f>COUNTIFS(B:B,B477,H:H,'סיווג התפקידים והעלויות'!$C$2)</f>
        <v>0</v>
      </c>
      <c r="AC477" s="374">
        <f>COUNTIFS(B:B,B477,H:H,'סיווג התפקידים והעלויות'!$D$2)</f>
        <v>0</v>
      </c>
      <c r="AD477" s="374" t="str">
        <f>IF(OR(AND(H477='סיווג התפקידים והעלויות'!$A$2,I477='סיווג התפקידים והעלויות'!$A$3),'עלויות כח אדם (6)'!H477='סיווג התפקידים והעלויות'!$C$2,'עלויות כח אדם (6)'!H477='סיווג התפקידים והעלויות'!$D$2),IF('עלויות כח אדם (6)'!J477&lt;75,"לא תקין","תקין"),"")</f>
        <v/>
      </c>
      <c r="AE477" s="374" t="str">
        <f t="shared" si="119"/>
        <v/>
      </c>
      <c r="AF477" s="532" t="str">
        <f t="shared" si="120"/>
        <v/>
      </c>
    </row>
    <row r="478" spans="2:32" x14ac:dyDescent="0.25">
      <c r="B478" s="695"/>
      <c r="C478" s="197" t="str">
        <f>IF(B478&lt;&gt;"",IFERROR(VLOOKUP(B:B,'מצבת והרשמה (2)'!$C$20:$N$520,2,0)," ")," ")</f>
        <v xml:space="preserve"> </v>
      </c>
      <c r="D478" s="695"/>
      <c r="E478" s="696"/>
      <c r="F478" s="696"/>
      <c r="G478" s="696"/>
      <c r="H478" s="696"/>
      <c r="I478" s="1050" t="str">
        <f t="shared" si="107"/>
        <v/>
      </c>
      <c r="J478" s="696"/>
      <c r="K478" s="697"/>
      <c r="L478" s="696"/>
      <c r="M478" s="198" t="str">
        <f t="shared" si="108"/>
        <v/>
      </c>
      <c r="N478" s="369" t="str">
        <f t="shared" si="109"/>
        <v/>
      </c>
      <c r="O478" s="183" t="str">
        <f t="shared" si="110"/>
        <v/>
      </c>
      <c r="P478" s="199" t="str">
        <f t="shared" si="111"/>
        <v/>
      </c>
      <c r="Q478" s="199" t="str">
        <f>IF(B478="","",IFERROR(IF('עלויות כח אדם (6)'!J478&gt;=VLOOKUP(I478,'סיווג התפקידים והעלויות'!$B$23:$C$32,2,0),"תקין","לא תקין"),""))</f>
        <v/>
      </c>
      <c r="R478" s="199" t="str">
        <f t="shared" si="112"/>
        <v/>
      </c>
      <c r="S478" s="199" t="str">
        <f t="shared" si="113"/>
        <v/>
      </c>
      <c r="T478" s="199" t="str">
        <f t="shared" si="121"/>
        <v/>
      </c>
      <c r="U478" s="199" t="str">
        <f t="shared" si="114"/>
        <v/>
      </c>
      <c r="V478" s="989"/>
      <c r="X478" s="374" t="str">
        <f t="shared" si="115"/>
        <v/>
      </c>
      <c r="Y478" s="375" t="str">
        <f t="shared" si="116"/>
        <v/>
      </c>
      <c r="Z478" s="374" t="str">
        <f t="shared" si="117"/>
        <v/>
      </c>
      <c r="AA478" s="374" t="b">
        <f t="shared" si="118"/>
        <v>1</v>
      </c>
      <c r="AB478" s="374">
        <f>COUNTIFS(B:B,B478,H:H,'סיווג התפקידים והעלויות'!$C$2)</f>
        <v>0</v>
      </c>
      <c r="AC478" s="374">
        <f>COUNTIFS(B:B,B478,H:H,'סיווג התפקידים והעלויות'!$D$2)</f>
        <v>0</v>
      </c>
      <c r="AD478" s="374" t="str">
        <f>IF(OR(AND(H478='סיווג התפקידים והעלויות'!$A$2,I478='סיווג התפקידים והעלויות'!$A$3),'עלויות כח אדם (6)'!H478='סיווג התפקידים והעלויות'!$C$2,'עלויות כח אדם (6)'!H478='סיווג התפקידים והעלויות'!$D$2),IF('עלויות כח אדם (6)'!J478&lt;75,"לא תקין","תקין"),"")</f>
        <v/>
      </c>
      <c r="AE478" s="374" t="str">
        <f t="shared" si="119"/>
        <v/>
      </c>
      <c r="AF478" s="532" t="str">
        <f t="shared" si="120"/>
        <v/>
      </c>
    </row>
    <row r="479" spans="2:32" x14ac:dyDescent="0.25">
      <c r="B479" s="695"/>
      <c r="C479" s="197" t="str">
        <f>IF(B479&lt;&gt;"",IFERROR(VLOOKUP(B:B,'מצבת והרשמה (2)'!$C$20:$N$520,2,0)," ")," ")</f>
        <v xml:space="preserve"> </v>
      </c>
      <c r="D479" s="695"/>
      <c r="E479" s="696"/>
      <c r="F479" s="696"/>
      <c r="G479" s="696"/>
      <c r="H479" s="696"/>
      <c r="I479" s="1050" t="str">
        <f t="shared" si="107"/>
        <v/>
      </c>
      <c r="J479" s="696"/>
      <c r="K479" s="697"/>
      <c r="L479" s="696"/>
      <c r="M479" s="198" t="str">
        <f t="shared" si="108"/>
        <v/>
      </c>
      <c r="N479" s="369" t="str">
        <f t="shared" si="109"/>
        <v/>
      </c>
      <c r="O479" s="183" t="str">
        <f t="shared" si="110"/>
        <v/>
      </c>
      <c r="P479" s="199" t="str">
        <f t="shared" si="111"/>
        <v/>
      </c>
      <c r="Q479" s="199" t="str">
        <f>IF(B479="","",IFERROR(IF('עלויות כח אדם (6)'!J479&gt;=VLOOKUP(I479,'סיווג התפקידים והעלויות'!$B$23:$C$32,2,0),"תקין","לא תקין"),""))</f>
        <v/>
      </c>
      <c r="R479" s="199" t="str">
        <f t="shared" si="112"/>
        <v/>
      </c>
      <c r="S479" s="199" t="str">
        <f t="shared" si="113"/>
        <v/>
      </c>
      <c r="T479" s="199" t="str">
        <f t="shared" si="121"/>
        <v/>
      </c>
      <c r="U479" s="199" t="str">
        <f t="shared" si="114"/>
        <v/>
      </c>
      <c r="V479" s="989"/>
      <c r="X479" s="374" t="str">
        <f t="shared" si="115"/>
        <v/>
      </c>
      <c r="Y479" s="375" t="str">
        <f t="shared" si="116"/>
        <v/>
      </c>
      <c r="Z479" s="374" t="str">
        <f t="shared" si="117"/>
        <v/>
      </c>
      <c r="AA479" s="374" t="b">
        <f t="shared" si="118"/>
        <v>1</v>
      </c>
      <c r="AB479" s="374">
        <f>COUNTIFS(B:B,B479,H:H,'סיווג התפקידים והעלויות'!$C$2)</f>
        <v>0</v>
      </c>
      <c r="AC479" s="374">
        <f>COUNTIFS(B:B,B479,H:H,'סיווג התפקידים והעלויות'!$D$2)</f>
        <v>0</v>
      </c>
      <c r="AD479" s="374" t="str">
        <f>IF(OR(AND(H479='סיווג התפקידים והעלויות'!$A$2,I479='סיווג התפקידים והעלויות'!$A$3),'עלויות כח אדם (6)'!H479='סיווג התפקידים והעלויות'!$C$2,'עלויות כח אדם (6)'!H479='סיווג התפקידים והעלויות'!$D$2),IF('עלויות כח אדם (6)'!J479&lt;75,"לא תקין","תקין"),"")</f>
        <v/>
      </c>
      <c r="AE479" s="374" t="str">
        <f t="shared" si="119"/>
        <v/>
      </c>
      <c r="AF479" s="532" t="str">
        <f t="shared" si="120"/>
        <v/>
      </c>
    </row>
    <row r="480" spans="2:32" x14ac:dyDescent="0.25">
      <c r="B480" s="695"/>
      <c r="C480" s="197" t="str">
        <f>IF(B480&lt;&gt;"",IFERROR(VLOOKUP(B:B,'מצבת והרשמה (2)'!$C$20:$N$520,2,0)," ")," ")</f>
        <v xml:space="preserve"> </v>
      </c>
      <c r="D480" s="695"/>
      <c r="E480" s="696"/>
      <c r="F480" s="696"/>
      <c r="G480" s="696"/>
      <c r="H480" s="696"/>
      <c r="I480" s="1050" t="str">
        <f t="shared" si="107"/>
        <v/>
      </c>
      <c r="J480" s="696"/>
      <c r="K480" s="697"/>
      <c r="L480" s="696"/>
      <c r="M480" s="198" t="str">
        <f t="shared" si="108"/>
        <v/>
      </c>
      <c r="N480" s="369" t="str">
        <f t="shared" si="109"/>
        <v/>
      </c>
      <c r="O480" s="183" t="str">
        <f t="shared" si="110"/>
        <v/>
      </c>
      <c r="P480" s="199" t="str">
        <f t="shared" si="111"/>
        <v/>
      </c>
      <c r="Q480" s="199" t="str">
        <f>IF(B480="","",IFERROR(IF('עלויות כח אדם (6)'!J480&gt;=VLOOKUP(I480,'סיווג התפקידים והעלויות'!$B$23:$C$32,2,0),"תקין","לא תקין"),""))</f>
        <v/>
      </c>
      <c r="R480" s="199" t="str">
        <f t="shared" si="112"/>
        <v/>
      </c>
      <c r="S480" s="199" t="str">
        <f t="shared" si="113"/>
        <v/>
      </c>
      <c r="T480" s="199" t="str">
        <f t="shared" si="121"/>
        <v/>
      </c>
      <c r="U480" s="199" t="str">
        <f t="shared" si="114"/>
        <v/>
      </c>
      <c r="V480" s="989"/>
      <c r="X480" s="374" t="str">
        <f t="shared" si="115"/>
        <v/>
      </c>
      <c r="Y480" s="375" t="str">
        <f t="shared" si="116"/>
        <v/>
      </c>
      <c r="Z480" s="374" t="str">
        <f t="shared" si="117"/>
        <v/>
      </c>
      <c r="AA480" s="374" t="b">
        <f t="shared" si="118"/>
        <v>1</v>
      </c>
      <c r="AB480" s="374">
        <f>COUNTIFS(B:B,B480,H:H,'סיווג התפקידים והעלויות'!$C$2)</f>
        <v>0</v>
      </c>
      <c r="AC480" s="374">
        <f>COUNTIFS(B:B,B480,H:H,'סיווג התפקידים והעלויות'!$D$2)</f>
        <v>0</v>
      </c>
      <c r="AD480" s="374" t="str">
        <f>IF(OR(AND(H480='סיווג התפקידים והעלויות'!$A$2,I480='סיווג התפקידים והעלויות'!$A$3),'עלויות כח אדם (6)'!H480='סיווג התפקידים והעלויות'!$C$2,'עלויות כח אדם (6)'!H480='סיווג התפקידים והעלויות'!$D$2),IF('עלויות כח אדם (6)'!J480&lt;75,"לא תקין","תקין"),"")</f>
        <v/>
      </c>
      <c r="AE480" s="374" t="str">
        <f t="shared" si="119"/>
        <v/>
      </c>
      <c r="AF480" s="532" t="str">
        <f t="shared" si="120"/>
        <v/>
      </c>
    </row>
    <row r="481" spans="2:32" x14ac:dyDescent="0.25">
      <c r="B481" s="695"/>
      <c r="C481" s="197" t="str">
        <f>IF(B481&lt;&gt;"",IFERROR(VLOOKUP(B:B,'מצבת והרשמה (2)'!$C$20:$N$520,2,0)," ")," ")</f>
        <v xml:space="preserve"> </v>
      </c>
      <c r="D481" s="695"/>
      <c r="E481" s="696"/>
      <c r="F481" s="696"/>
      <c r="G481" s="696"/>
      <c r="H481" s="696"/>
      <c r="I481" s="1050" t="str">
        <f t="shared" si="107"/>
        <v/>
      </c>
      <c r="J481" s="696"/>
      <c r="K481" s="697"/>
      <c r="L481" s="696"/>
      <c r="M481" s="198" t="str">
        <f t="shared" si="108"/>
        <v/>
      </c>
      <c r="N481" s="369" t="str">
        <f t="shared" si="109"/>
        <v/>
      </c>
      <c r="O481" s="183" t="str">
        <f t="shared" si="110"/>
        <v/>
      </c>
      <c r="P481" s="199" t="str">
        <f t="shared" si="111"/>
        <v/>
      </c>
      <c r="Q481" s="199" t="str">
        <f>IF(B481="","",IFERROR(IF('עלויות כח אדם (6)'!J481&gt;=VLOOKUP(I481,'סיווג התפקידים והעלויות'!$B$23:$C$32,2,0),"תקין","לא תקין"),""))</f>
        <v/>
      </c>
      <c r="R481" s="199" t="str">
        <f t="shared" si="112"/>
        <v/>
      </c>
      <c r="S481" s="199" t="str">
        <f t="shared" si="113"/>
        <v/>
      </c>
      <c r="T481" s="199" t="str">
        <f t="shared" si="121"/>
        <v/>
      </c>
      <c r="U481" s="199" t="str">
        <f t="shared" si="114"/>
        <v/>
      </c>
      <c r="V481" s="989"/>
      <c r="X481" s="374" t="str">
        <f t="shared" si="115"/>
        <v/>
      </c>
      <c r="Y481" s="375" t="str">
        <f t="shared" si="116"/>
        <v/>
      </c>
      <c r="Z481" s="374" t="str">
        <f t="shared" si="117"/>
        <v/>
      </c>
      <c r="AA481" s="374" t="b">
        <f t="shared" si="118"/>
        <v>1</v>
      </c>
      <c r="AB481" s="374">
        <f>COUNTIFS(B:B,B481,H:H,'סיווג התפקידים והעלויות'!$C$2)</f>
        <v>0</v>
      </c>
      <c r="AC481" s="374">
        <f>COUNTIFS(B:B,B481,H:H,'סיווג התפקידים והעלויות'!$D$2)</f>
        <v>0</v>
      </c>
      <c r="AD481" s="374" t="str">
        <f>IF(OR(AND(H481='סיווג התפקידים והעלויות'!$A$2,I481='סיווג התפקידים והעלויות'!$A$3),'עלויות כח אדם (6)'!H481='סיווג התפקידים והעלויות'!$C$2,'עלויות כח אדם (6)'!H481='סיווג התפקידים והעלויות'!$D$2),IF('עלויות כח אדם (6)'!J481&lt;75,"לא תקין","תקין"),"")</f>
        <v/>
      </c>
      <c r="AE481" s="374" t="str">
        <f t="shared" si="119"/>
        <v/>
      </c>
      <c r="AF481" s="532" t="str">
        <f t="shared" si="120"/>
        <v/>
      </c>
    </row>
    <row r="482" spans="2:32" x14ac:dyDescent="0.25">
      <c r="B482" s="695"/>
      <c r="C482" s="197" t="str">
        <f>IF(B482&lt;&gt;"",IFERROR(VLOOKUP(B:B,'מצבת והרשמה (2)'!$C$20:$N$520,2,0)," ")," ")</f>
        <v xml:space="preserve"> </v>
      </c>
      <c r="D482" s="695"/>
      <c r="E482" s="696"/>
      <c r="F482" s="696"/>
      <c r="G482" s="696"/>
      <c r="H482" s="696"/>
      <c r="I482" s="1050" t="str">
        <f t="shared" si="107"/>
        <v/>
      </c>
      <c r="J482" s="696"/>
      <c r="K482" s="697"/>
      <c r="L482" s="696"/>
      <c r="M482" s="198" t="str">
        <f t="shared" si="108"/>
        <v/>
      </c>
      <c r="N482" s="369" t="str">
        <f t="shared" si="109"/>
        <v/>
      </c>
      <c r="O482" s="183" t="str">
        <f t="shared" si="110"/>
        <v/>
      </c>
      <c r="P482" s="199" t="str">
        <f t="shared" si="111"/>
        <v/>
      </c>
      <c r="Q482" s="199" t="str">
        <f>IF(B482="","",IFERROR(IF('עלויות כח אדם (6)'!J482&gt;=VLOOKUP(I482,'סיווג התפקידים והעלויות'!$B$23:$C$32,2,0),"תקין","לא תקין"),""))</f>
        <v/>
      </c>
      <c r="R482" s="199" t="str">
        <f t="shared" si="112"/>
        <v/>
      </c>
      <c r="S482" s="199" t="str">
        <f t="shared" si="113"/>
        <v/>
      </c>
      <c r="T482" s="199" t="str">
        <f t="shared" si="121"/>
        <v/>
      </c>
      <c r="U482" s="199" t="str">
        <f t="shared" si="114"/>
        <v/>
      </c>
      <c r="V482" s="989"/>
      <c r="X482" s="374" t="str">
        <f t="shared" si="115"/>
        <v/>
      </c>
      <c r="Y482" s="375" t="str">
        <f t="shared" si="116"/>
        <v/>
      </c>
      <c r="Z482" s="374" t="str">
        <f t="shared" si="117"/>
        <v/>
      </c>
      <c r="AA482" s="374" t="b">
        <f t="shared" si="118"/>
        <v>1</v>
      </c>
      <c r="AB482" s="374">
        <f>COUNTIFS(B:B,B482,H:H,'סיווג התפקידים והעלויות'!$C$2)</f>
        <v>0</v>
      </c>
      <c r="AC482" s="374">
        <f>COUNTIFS(B:B,B482,H:H,'סיווג התפקידים והעלויות'!$D$2)</f>
        <v>0</v>
      </c>
      <c r="AD482" s="374" t="str">
        <f>IF(OR(AND(H482='סיווג התפקידים והעלויות'!$A$2,I482='סיווג התפקידים והעלויות'!$A$3),'עלויות כח אדם (6)'!H482='סיווג התפקידים והעלויות'!$C$2,'עלויות כח אדם (6)'!H482='סיווג התפקידים והעלויות'!$D$2),IF('עלויות כח אדם (6)'!J482&lt;75,"לא תקין","תקין"),"")</f>
        <v/>
      </c>
      <c r="AE482" s="374" t="str">
        <f t="shared" si="119"/>
        <v/>
      </c>
      <c r="AF482" s="532" t="str">
        <f t="shared" si="120"/>
        <v/>
      </c>
    </row>
    <row r="483" spans="2:32" x14ac:dyDescent="0.25">
      <c r="B483" s="695"/>
      <c r="C483" s="197" t="str">
        <f>IF(B483&lt;&gt;"",IFERROR(VLOOKUP(B:B,'מצבת והרשמה (2)'!$C$20:$N$520,2,0)," ")," ")</f>
        <v xml:space="preserve"> </v>
      </c>
      <c r="D483" s="695"/>
      <c r="E483" s="696"/>
      <c r="F483" s="696"/>
      <c r="G483" s="696"/>
      <c r="H483" s="696"/>
      <c r="I483" s="1050" t="str">
        <f t="shared" si="107"/>
        <v/>
      </c>
      <c r="J483" s="696"/>
      <c r="K483" s="697"/>
      <c r="L483" s="696"/>
      <c r="M483" s="198" t="str">
        <f t="shared" si="108"/>
        <v/>
      </c>
      <c r="N483" s="369" t="str">
        <f t="shared" si="109"/>
        <v/>
      </c>
      <c r="O483" s="183" t="str">
        <f t="shared" si="110"/>
        <v/>
      </c>
      <c r="P483" s="199" t="str">
        <f t="shared" si="111"/>
        <v/>
      </c>
      <c r="Q483" s="199" t="str">
        <f>IF(B483="","",IFERROR(IF('עלויות כח אדם (6)'!J483&gt;=VLOOKUP(I483,'סיווג התפקידים והעלויות'!$B$23:$C$32,2,0),"תקין","לא תקין"),""))</f>
        <v/>
      </c>
      <c r="R483" s="199" t="str">
        <f t="shared" si="112"/>
        <v/>
      </c>
      <c r="S483" s="199" t="str">
        <f t="shared" si="113"/>
        <v/>
      </c>
      <c r="T483" s="199" t="str">
        <f t="shared" si="121"/>
        <v/>
      </c>
      <c r="U483" s="199" t="str">
        <f t="shared" si="114"/>
        <v/>
      </c>
      <c r="V483" s="989"/>
      <c r="X483" s="374" t="str">
        <f t="shared" si="115"/>
        <v/>
      </c>
      <c r="Y483" s="375" t="str">
        <f t="shared" si="116"/>
        <v/>
      </c>
      <c r="Z483" s="374" t="str">
        <f t="shared" si="117"/>
        <v/>
      </c>
      <c r="AA483" s="374" t="b">
        <f t="shared" si="118"/>
        <v>1</v>
      </c>
      <c r="AB483" s="374">
        <f>COUNTIFS(B:B,B483,H:H,'סיווג התפקידים והעלויות'!$C$2)</f>
        <v>0</v>
      </c>
      <c r="AC483" s="374">
        <f>COUNTIFS(B:B,B483,H:H,'סיווג התפקידים והעלויות'!$D$2)</f>
        <v>0</v>
      </c>
      <c r="AD483" s="374" t="str">
        <f>IF(OR(AND(H483='סיווג התפקידים והעלויות'!$A$2,I483='סיווג התפקידים והעלויות'!$A$3),'עלויות כח אדם (6)'!H483='סיווג התפקידים והעלויות'!$C$2,'עלויות כח אדם (6)'!H483='סיווג התפקידים והעלויות'!$D$2),IF('עלויות כח אדם (6)'!J483&lt;75,"לא תקין","תקין"),"")</f>
        <v/>
      </c>
      <c r="AE483" s="374" t="str">
        <f t="shared" si="119"/>
        <v/>
      </c>
      <c r="AF483" s="532" t="str">
        <f t="shared" si="120"/>
        <v/>
      </c>
    </row>
    <row r="484" spans="2:32" x14ac:dyDescent="0.25">
      <c r="B484" s="695"/>
      <c r="C484" s="197" t="str">
        <f>IF(B484&lt;&gt;"",IFERROR(VLOOKUP(B:B,'מצבת והרשמה (2)'!$C$20:$N$520,2,0)," ")," ")</f>
        <v xml:space="preserve"> </v>
      </c>
      <c r="D484" s="695"/>
      <c r="E484" s="696"/>
      <c r="F484" s="696"/>
      <c r="G484" s="696"/>
      <c r="H484" s="696"/>
      <c r="I484" s="1050" t="str">
        <f t="shared" si="107"/>
        <v/>
      </c>
      <c r="J484" s="696"/>
      <c r="K484" s="697"/>
      <c r="L484" s="696"/>
      <c r="M484" s="198" t="str">
        <f t="shared" si="108"/>
        <v/>
      </c>
      <c r="N484" s="369" t="str">
        <f t="shared" si="109"/>
        <v/>
      </c>
      <c r="O484" s="183" t="str">
        <f t="shared" si="110"/>
        <v/>
      </c>
      <c r="P484" s="199" t="str">
        <f t="shared" si="111"/>
        <v/>
      </c>
      <c r="Q484" s="199" t="str">
        <f>IF(B484="","",IFERROR(IF('עלויות כח אדם (6)'!J484&gt;=VLOOKUP(I484,'סיווג התפקידים והעלויות'!$B$23:$C$32,2,0),"תקין","לא תקין"),""))</f>
        <v/>
      </c>
      <c r="R484" s="199" t="str">
        <f t="shared" si="112"/>
        <v/>
      </c>
      <c r="S484" s="199" t="str">
        <f t="shared" si="113"/>
        <v/>
      </c>
      <c r="T484" s="199" t="str">
        <f t="shared" si="121"/>
        <v/>
      </c>
      <c r="U484" s="199" t="str">
        <f t="shared" si="114"/>
        <v/>
      </c>
      <c r="V484" s="989"/>
      <c r="X484" s="374" t="str">
        <f t="shared" si="115"/>
        <v/>
      </c>
      <c r="Y484" s="375" t="str">
        <f t="shared" si="116"/>
        <v/>
      </c>
      <c r="Z484" s="374" t="str">
        <f t="shared" si="117"/>
        <v/>
      </c>
      <c r="AA484" s="374" t="b">
        <f t="shared" si="118"/>
        <v>1</v>
      </c>
      <c r="AB484" s="374">
        <f>COUNTIFS(B:B,B484,H:H,'סיווג התפקידים והעלויות'!$C$2)</f>
        <v>0</v>
      </c>
      <c r="AC484" s="374">
        <f>COUNTIFS(B:B,B484,H:H,'סיווג התפקידים והעלויות'!$D$2)</f>
        <v>0</v>
      </c>
      <c r="AD484" s="374" t="str">
        <f>IF(OR(AND(H484='סיווג התפקידים והעלויות'!$A$2,I484='סיווג התפקידים והעלויות'!$A$3),'עלויות כח אדם (6)'!H484='סיווג התפקידים והעלויות'!$C$2,'עלויות כח אדם (6)'!H484='סיווג התפקידים והעלויות'!$D$2),IF('עלויות כח אדם (6)'!J484&lt;75,"לא תקין","תקין"),"")</f>
        <v/>
      </c>
      <c r="AE484" s="374" t="str">
        <f t="shared" si="119"/>
        <v/>
      </c>
      <c r="AF484" s="532" t="str">
        <f t="shared" si="120"/>
        <v/>
      </c>
    </row>
    <row r="485" spans="2:32" x14ac:dyDescent="0.25">
      <c r="B485" s="695"/>
      <c r="C485" s="197" t="str">
        <f>IF(B485&lt;&gt;"",IFERROR(VLOOKUP(B:B,'מצבת והרשמה (2)'!$C$20:$N$520,2,0)," ")," ")</f>
        <v xml:space="preserve"> </v>
      </c>
      <c r="D485" s="695"/>
      <c r="E485" s="696"/>
      <c r="F485" s="696"/>
      <c r="G485" s="696"/>
      <c r="H485" s="696"/>
      <c r="I485" s="1050" t="str">
        <f t="shared" si="107"/>
        <v/>
      </c>
      <c r="J485" s="696"/>
      <c r="K485" s="697"/>
      <c r="L485" s="696"/>
      <c r="M485" s="198" t="str">
        <f t="shared" si="108"/>
        <v/>
      </c>
      <c r="N485" s="369" t="str">
        <f t="shared" si="109"/>
        <v/>
      </c>
      <c r="O485" s="183" t="str">
        <f t="shared" si="110"/>
        <v/>
      </c>
      <c r="P485" s="199" t="str">
        <f t="shared" si="111"/>
        <v/>
      </c>
      <c r="Q485" s="199" t="str">
        <f>IF(B485="","",IFERROR(IF('עלויות כח אדם (6)'!J485&gt;=VLOOKUP(I485,'סיווג התפקידים והעלויות'!$B$23:$C$32,2,0),"תקין","לא תקין"),""))</f>
        <v/>
      </c>
      <c r="R485" s="199" t="str">
        <f t="shared" si="112"/>
        <v/>
      </c>
      <c r="S485" s="199" t="str">
        <f t="shared" si="113"/>
        <v/>
      </c>
      <c r="T485" s="199" t="str">
        <f t="shared" si="121"/>
        <v/>
      </c>
      <c r="U485" s="199" t="str">
        <f t="shared" si="114"/>
        <v/>
      </c>
      <c r="V485" s="989"/>
      <c r="X485" s="374" t="str">
        <f t="shared" si="115"/>
        <v/>
      </c>
      <c r="Y485" s="375" t="str">
        <f t="shared" si="116"/>
        <v/>
      </c>
      <c r="Z485" s="374" t="str">
        <f t="shared" si="117"/>
        <v/>
      </c>
      <c r="AA485" s="374" t="b">
        <f t="shared" si="118"/>
        <v>1</v>
      </c>
      <c r="AB485" s="374">
        <f>COUNTIFS(B:B,B485,H:H,'סיווג התפקידים והעלויות'!$C$2)</f>
        <v>0</v>
      </c>
      <c r="AC485" s="374">
        <f>COUNTIFS(B:B,B485,H:H,'סיווג התפקידים והעלויות'!$D$2)</f>
        <v>0</v>
      </c>
      <c r="AD485" s="374" t="str">
        <f>IF(OR(AND(H485='סיווג התפקידים והעלויות'!$A$2,I485='סיווג התפקידים והעלויות'!$A$3),'עלויות כח אדם (6)'!H485='סיווג התפקידים והעלויות'!$C$2,'עלויות כח אדם (6)'!H485='סיווג התפקידים והעלויות'!$D$2),IF('עלויות כח אדם (6)'!J485&lt;75,"לא תקין","תקין"),"")</f>
        <v/>
      </c>
      <c r="AE485" s="374" t="str">
        <f t="shared" si="119"/>
        <v/>
      </c>
      <c r="AF485" s="532" t="str">
        <f t="shared" si="120"/>
        <v/>
      </c>
    </row>
    <row r="486" spans="2:32" x14ac:dyDescent="0.25">
      <c r="B486" s="695"/>
      <c r="C486" s="197" t="str">
        <f>IF(B486&lt;&gt;"",IFERROR(VLOOKUP(B:B,'מצבת והרשמה (2)'!$C$20:$N$520,2,0)," ")," ")</f>
        <v xml:space="preserve"> </v>
      </c>
      <c r="D486" s="695"/>
      <c r="E486" s="696"/>
      <c r="F486" s="696"/>
      <c r="G486" s="696"/>
      <c r="H486" s="696"/>
      <c r="I486" s="1050" t="str">
        <f t="shared" si="107"/>
        <v/>
      </c>
      <c r="J486" s="696"/>
      <c r="K486" s="697"/>
      <c r="L486" s="696"/>
      <c r="M486" s="198" t="str">
        <f t="shared" si="108"/>
        <v/>
      </c>
      <c r="N486" s="369" t="str">
        <f t="shared" si="109"/>
        <v/>
      </c>
      <c r="O486" s="183" t="str">
        <f t="shared" si="110"/>
        <v/>
      </c>
      <c r="P486" s="199" t="str">
        <f t="shared" si="111"/>
        <v/>
      </c>
      <c r="Q486" s="199" t="str">
        <f>IF(B486="","",IFERROR(IF('עלויות כח אדם (6)'!J486&gt;=VLOOKUP(I486,'סיווג התפקידים והעלויות'!$B$23:$C$32,2,0),"תקין","לא תקין"),""))</f>
        <v/>
      </c>
      <c r="R486" s="199" t="str">
        <f t="shared" si="112"/>
        <v/>
      </c>
      <c r="S486" s="199" t="str">
        <f t="shared" si="113"/>
        <v/>
      </c>
      <c r="T486" s="199" t="str">
        <f t="shared" si="121"/>
        <v/>
      </c>
      <c r="U486" s="199" t="str">
        <f t="shared" si="114"/>
        <v/>
      </c>
      <c r="V486" s="989"/>
      <c r="X486" s="374" t="str">
        <f t="shared" si="115"/>
        <v/>
      </c>
      <c r="Y486" s="375" t="str">
        <f t="shared" si="116"/>
        <v/>
      </c>
      <c r="Z486" s="374" t="str">
        <f t="shared" si="117"/>
        <v/>
      </c>
      <c r="AA486" s="374" t="b">
        <f t="shared" si="118"/>
        <v>1</v>
      </c>
      <c r="AB486" s="374">
        <f>COUNTIFS(B:B,B486,H:H,'סיווג התפקידים והעלויות'!$C$2)</f>
        <v>0</v>
      </c>
      <c r="AC486" s="374">
        <f>COUNTIFS(B:B,B486,H:H,'סיווג התפקידים והעלויות'!$D$2)</f>
        <v>0</v>
      </c>
      <c r="AD486" s="374" t="str">
        <f>IF(OR(AND(H486='סיווג התפקידים והעלויות'!$A$2,I486='סיווג התפקידים והעלויות'!$A$3),'עלויות כח אדם (6)'!H486='סיווג התפקידים והעלויות'!$C$2,'עלויות כח אדם (6)'!H486='סיווג התפקידים והעלויות'!$D$2),IF('עלויות כח אדם (6)'!J486&lt;75,"לא תקין","תקין"),"")</f>
        <v/>
      </c>
      <c r="AE486" s="374" t="str">
        <f t="shared" si="119"/>
        <v/>
      </c>
      <c r="AF486" s="532" t="str">
        <f t="shared" si="120"/>
        <v/>
      </c>
    </row>
    <row r="487" spans="2:32" x14ac:dyDescent="0.25">
      <c r="B487" s="695"/>
      <c r="C487" s="197" t="str">
        <f>IF(B487&lt;&gt;"",IFERROR(VLOOKUP(B:B,'מצבת והרשמה (2)'!$C$20:$N$520,2,0)," ")," ")</f>
        <v xml:space="preserve"> </v>
      </c>
      <c r="D487" s="695"/>
      <c r="E487" s="696"/>
      <c r="F487" s="696"/>
      <c r="G487" s="696"/>
      <c r="H487" s="696"/>
      <c r="I487" s="1050" t="str">
        <f t="shared" si="107"/>
        <v/>
      </c>
      <c r="J487" s="696"/>
      <c r="K487" s="697"/>
      <c r="L487" s="696"/>
      <c r="M487" s="198" t="str">
        <f t="shared" si="108"/>
        <v/>
      </c>
      <c r="N487" s="369" t="str">
        <f t="shared" si="109"/>
        <v/>
      </c>
      <c r="O487" s="183" t="str">
        <f t="shared" si="110"/>
        <v/>
      </c>
      <c r="P487" s="199" t="str">
        <f t="shared" si="111"/>
        <v/>
      </c>
      <c r="Q487" s="199" t="str">
        <f>IF(B487="","",IFERROR(IF('עלויות כח אדם (6)'!J487&gt;=VLOOKUP(I487,'סיווג התפקידים והעלויות'!$B$23:$C$32,2,0),"תקין","לא תקין"),""))</f>
        <v/>
      </c>
      <c r="R487" s="199" t="str">
        <f t="shared" si="112"/>
        <v/>
      </c>
      <c r="S487" s="199" t="str">
        <f t="shared" si="113"/>
        <v/>
      </c>
      <c r="T487" s="199" t="str">
        <f t="shared" si="121"/>
        <v/>
      </c>
      <c r="U487" s="199" t="str">
        <f t="shared" si="114"/>
        <v/>
      </c>
      <c r="V487" s="989"/>
      <c r="X487" s="374" t="str">
        <f t="shared" si="115"/>
        <v/>
      </c>
      <c r="Y487" s="375" t="str">
        <f t="shared" si="116"/>
        <v/>
      </c>
      <c r="Z487" s="374" t="str">
        <f t="shared" si="117"/>
        <v/>
      </c>
      <c r="AA487" s="374" t="b">
        <f t="shared" si="118"/>
        <v>1</v>
      </c>
      <c r="AB487" s="374">
        <f>COUNTIFS(B:B,B487,H:H,'סיווג התפקידים והעלויות'!$C$2)</f>
        <v>0</v>
      </c>
      <c r="AC487" s="374">
        <f>COUNTIFS(B:B,B487,H:H,'סיווג התפקידים והעלויות'!$D$2)</f>
        <v>0</v>
      </c>
      <c r="AD487" s="374" t="str">
        <f>IF(OR(AND(H487='סיווג התפקידים והעלויות'!$A$2,I487='סיווג התפקידים והעלויות'!$A$3),'עלויות כח אדם (6)'!H487='סיווג התפקידים והעלויות'!$C$2,'עלויות כח אדם (6)'!H487='סיווג התפקידים והעלויות'!$D$2),IF('עלויות כח אדם (6)'!J487&lt;75,"לא תקין","תקין"),"")</f>
        <v/>
      </c>
      <c r="AE487" s="374" t="str">
        <f t="shared" si="119"/>
        <v/>
      </c>
      <c r="AF487" s="532" t="str">
        <f t="shared" si="120"/>
        <v/>
      </c>
    </row>
    <row r="488" spans="2:32" x14ac:dyDescent="0.25">
      <c r="B488" s="695"/>
      <c r="C488" s="197" t="str">
        <f>IF(B488&lt;&gt;"",IFERROR(VLOOKUP(B:B,'מצבת והרשמה (2)'!$C$20:$N$520,2,0)," ")," ")</f>
        <v xml:space="preserve"> </v>
      </c>
      <c r="D488" s="695"/>
      <c r="E488" s="696"/>
      <c r="F488" s="696"/>
      <c r="G488" s="696"/>
      <c r="H488" s="696"/>
      <c r="I488" s="1050" t="str">
        <f t="shared" si="107"/>
        <v/>
      </c>
      <c r="J488" s="696"/>
      <c r="K488" s="697"/>
      <c r="L488" s="696"/>
      <c r="M488" s="198" t="str">
        <f t="shared" si="108"/>
        <v/>
      </c>
      <c r="N488" s="369" t="str">
        <f t="shared" si="109"/>
        <v/>
      </c>
      <c r="O488" s="183" t="str">
        <f t="shared" si="110"/>
        <v/>
      </c>
      <c r="P488" s="199" t="str">
        <f t="shared" si="111"/>
        <v/>
      </c>
      <c r="Q488" s="199" t="str">
        <f>IF(B488="","",IFERROR(IF('עלויות כח אדם (6)'!J488&gt;=VLOOKUP(I488,'סיווג התפקידים והעלויות'!$B$23:$C$32,2,0),"תקין","לא תקין"),""))</f>
        <v/>
      </c>
      <c r="R488" s="199" t="str">
        <f t="shared" si="112"/>
        <v/>
      </c>
      <c r="S488" s="199" t="str">
        <f t="shared" si="113"/>
        <v/>
      </c>
      <c r="T488" s="199" t="str">
        <f t="shared" si="121"/>
        <v/>
      </c>
      <c r="U488" s="199" t="str">
        <f t="shared" si="114"/>
        <v/>
      </c>
      <c r="V488" s="989"/>
      <c r="X488" s="374" t="str">
        <f t="shared" si="115"/>
        <v/>
      </c>
      <c r="Y488" s="375" t="str">
        <f t="shared" si="116"/>
        <v/>
      </c>
      <c r="Z488" s="374" t="str">
        <f t="shared" si="117"/>
        <v/>
      </c>
      <c r="AA488" s="374" t="b">
        <f t="shared" si="118"/>
        <v>1</v>
      </c>
      <c r="AB488" s="374">
        <f>COUNTIFS(B:B,B488,H:H,'סיווג התפקידים והעלויות'!$C$2)</f>
        <v>0</v>
      </c>
      <c r="AC488" s="374">
        <f>COUNTIFS(B:B,B488,H:H,'סיווג התפקידים והעלויות'!$D$2)</f>
        <v>0</v>
      </c>
      <c r="AD488" s="374" t="str">
        <f>IF(OR(AND(H488='סיווג התפקידים והעלויות'!$A$2,I488='סיווג התפקידים והעלויות'!$A$3),'עלויות כח אדם (6)'!H488='סיווג התפקידים והעלויות'!$C$2,'עלויות כח אדם (6)'!H488='סיווג התפקידים והעלויות'!$D$2),IF('עלויות כח אדם (6)'!J488&lt;75,"לא תקין","תקין"),"")</f>
        <v/>
      </c>
      <c r="AE488" s="374" t="str">
        <f t="shared" si="119"/>
        <v/>
      </c>
      <c r="AF488" s="532" t="str">
        <f t="shared" si="120"/>
        <v/>
      </c>
    </row>
    <row r="489" spans="2:32" x14ac:dyDescent="0.25">
      <c r="B489" s="695"/>
      <c r="C489" s="197" t="str">
        <f>IF(B489&lt;&gt;"",IFERROR(VLOOKUP(B:B,'מצבת והרשמה (2)'!$C$20:$N$520,2,0)," ")," ")</f>
        <v xml:space="preserve"> </v>
      </c>
      <c r="D489" s="695"/>
      <c r="E489" s="696"/>
      <c r="F489" s="696"/>
      <c r="G489" s="696"/>
      <c r="H489" s="696"/>
      <c r="I489" s="1050" t="str">
        <f t="shared" si="107"/>
        <v/>
      </c>
      <c r="J489" s="696"/>
      <c r="K489" s="697"/>
      <c r="L489" s="696"/>
      <c r="M489" s="198" t="str">
        <f t="shared" si="108"/>
        <v/>
      </c>
      <c r="N489" s="369" t="str">
        <f t="shared" si="109"/>
        <v/>
      </c>
      <c r="O489" s="183" t="str">
        <f t="shared" si="110"/>
        <v/>
      </c>
      <c r="P489" s="199" t="str">
        <f t="shared" si="111"/>
        <v/>
      </c>
      <c r="Q489" s="199" t="str">
        <f>IF(B489="","",IFERROR(IF('עלויות כח אדם (6)'!J489&gt;=VLOOKUP(I489,'סיווג התפקידים והעלויות'!$B$23:$C$32,2,0),"תקין","לא תקין"),""))</f>
        <v/>
      </c>
      <c r="R489" s="199" t="str">
        <f t="shared" si="112"/>
        <v/>
      </c>
      <c r="S489" s="199" t="str">
        <f t="shared" si="113"/>
        <v/>
      </c>
      <c r="T489" s="199" t="str">
        <f t="shared" si="121"/>
        <v/>
      </c>
      <c r="U489" s="199" t="str">
        <f t="shared" si="114"/>
        <v/>
      </c>
      <c r="V489" s="989"/>
      <c r="X489" s="374" t="str">
        <f t="shared" si="115"/>
        <v/>
      </c>
      <c r="Y489" s="375" t="str">
        <f t="shared" si="116"/>
        <v/>
      </c>
      <c r="Z489" s="374" t="str">
        <f t="shared" si="117"/>
        <v/>
      </c>
      <c r="AA489" s="374" t="b">
        <f t="shared" si="118"/>
        <v>1</v>
      </c>
      <c r="AB489" s="374">
        <f>COUNTIFS(B:B,B489,H:H,'סיווג התפקידים והעלויות'!$C$2)</f>
        <v>0</v>
      </c>
      <c r="AC489" s="374">
        <f>COUNTIFS(B:B,B489,H:H,'סיווג התפקידים והעלויות'!$D$2)</f>
        <v>0</v>
      </c>
      <c r="AD489" s="374" t="str">
        <f>IF(OR(AND(H489='סיווג התפקידים והעלויות'!$A$2,I489='סיווג התפקידים והעלויות'!$A$3),'עלויות כח אדם (6)'!H489='סיווג התפקידים והעלויות'!$C$2,'עלויות כח אדם (6)'!H489='סיווג התפקידים והעלויות'!$D$2),IF('עלויות כח אדם (6)'!J489&lt;75,"לא תקין","תקין"),"")</f>
        <v/>
      </c>
      <c r="AE489" s="374" t="str">
        <f t="shared" si="119"/>
        <v/>
      </c>
      <c r="AF489" s="532" t="str">
        <f t="shared" si="120"/>
        <v/>
      </c>
    </row>
    <row r="490" spans="2:32" x14ac:dyDescent="0.25">
      <c r="B490" s="695"/>
      <c r="C490" s="197" t="str">
        <f>IF(B490&lt;&gt;"",IFERROR(VLOOKUP(B:B,'מצבת והרשמה (2)'!$C$20:$N$520,2,0)," ")," ")</f>
        <v xml:space="preserve"> </v>
      </c>
      <c r="D490" s="695"/>
      <c r="E490" s="696"/>
      <c r="F490" s="696"/>
      <c r="G490" s="696"/>
      <c r="H490" s="696"/>
      <c r="I490" s="1050" t="str">
        <f t="shared" si="107"/>
        <v/>
      </c>
      <c r="J490" s="696"/>
      <c r="K490" s="697"/>
      <c r="L490" s="696"/>
      <c r="M490" s="198" t="str">
        <f t="shared" si="108"/>
        <v/>
      </c>
      <c r="N490" s="369" t="str">
        <f t="shared" si="109"/>
        <v/>
      </c>
      <c r="O490" s="183" t="str">
        <f t="shared" si="110"/>
        <v/>
      </c>
      <c r="P490" s="199" t="str">
        <f t="shared" si="111"/>
        <v/>
      </c>
      <c r="Q490" s="199" t="str">
        <f>IF(B490="","",IFERROR(IF('עלויות כח אדם (6)'!J490&gt;=VLOOKUP(I490,'סיווג התפקידים והעלויות'!$B$23:$C$32,2,0),"תקין","לא תקין"),""))</f>
        <v/>
      </c>
      <c r="R490" s="199" t="str">
        <f t="shared" si="112"/>
        <v/>
      </c>
      <c r="S490" s="199" t="str">
        <f t="shared" si="113"/>
        <v/>
      </c>
      <c r="T490" s="199" t="str">
        <f t="shared" si="121"/>
        <v/>
      </c>
      <c r="U490" s="199" t="str">
        <f t="shared" si="114"/>
        <v/>
      </c>
      <c r="V490" s="989"/>
      <c r="X490" s="374" t="str">
        <f t="shared" si="115"/>
        <v/>
      </c>
      <c r="Y490" s="375" t="str">
        <f t="shared" si="116"/>
        <v/>
      </c>
      <c r="Z490" s="374" t="str">
        <f t="shared" si="117"/>
        <v/>
      </c>
      <c r="AA490" s="374" t="b">
        <f t="shared" si="118"/>
        <v>1</v>
      </c>
      <c r="AB490" s="374">
        <f>COUNTIFS(B:B,B490,H:H,'סיווג התפקידים והעלויות'!$C$2)</f>
        <v>0</v>
      </c>
      <c r="AC490" s="374">
        <f>COUNTIFS(B:B,B490,H:H,'סיווג התפקידים והעלויות'!$D$2)</f>
        <v>0</v>
      </c>
      <c r="AD490" s="374" t="str">
        <f>IF(OR(AND(H490='סיווג התפקידים והעלויות'!$A$2,I490='סיווג התפקידים והעלויות'!$A$3),'עלויות כח אדם (6)'!H490='סיווג התפקידים והעלויות'!$C$2,'עלויות כח אדם (6)'!H490='סיווג התפקידים והעלויות'!$D$2),IF('עלויות כח אדם (6)'!J490&lt;75,"לא תקין","תקין"),"")</f>
        <v/>
      </c>
      <c r="AE490" s="374" t="str">
        <f t="shared" si="119"/>
        <v/>
      </c>
      <c r="AF490" s="532" t="str">
        <f t="shared" si="120"/>
        <v/>
      </c>
    </row>
    <row r="491" spans="2:32" x14ac:dyDescent="0.25">
      <c r="B491" s="695"/>
      <c r="C491" s="197" t="str">
        <f>IF(B491&lt;&gt;"",IFERROR(VLOOKUP(B:B,'מצבת והרשמה (2)'!$C$20:$N$520,2,0)," ")," ")</f>
        <v xml:space="preserve"> </v>
      </c>
      <c r="D491" s="695"/>
      <c r="E491" s="696"/>
      <c r="F491" s="696"/>
      <c r="G491" s="696"/>
      <c r="H491" s="696"/>
      <c r="I491" s="1050" t="str">
        <f t="shared" si="107"/>
        <v/>
      </c>
      <c r="J491" s="696"/>
      <c r="K491" s="697"/>
      <c r="L491" s="696"/>
      <c r="M491" s="198" t="str">
        <f t="shared" si="108"/>
        <v/>
      </c>
      <c r="N491" s="369" t="str">
        <f t="shared" si="109"/>
        <v/>
      </c>
      <c r="O491" s="183" t="str">
        <f t="shared" si="110"/>
        <v/>
      </c>
      <c r="P491" s="199" t="str">
        <f t="shared" si="111"/>
        <v/>
      </c>
      <c r="Q491" s="199" t="str">
        <f>IF(B491="","",IFERROR(IF('עלויות כח אדם (6)'!J491&gt;=VLOOKUP(I491,'סיווג התפקידים והעלויות'!$B$23:$C$32,2,0),"תקין","לא תקין"),""))</f>
        <v/>
      </c>
      <c r="R491" s="199" t="str">
        <f t="shared" si="112"/>
        <v/>
      </c>
      <c r="S491" s="199" t="str">
        <f t="shared" si="113"/>
        <v/>
      </c>
      <c r="T491" s="199" t="str">
        <f t="shared" si="121"/>
        <v/>
      </c>
      <c r="U491" s="199" t="str">
        <f t="shared" si="114"/>
        <v/>
      </c>
      <c r="V491" s="989"/>
      <c r="X491" s="374" t="str">
        <f t="shared" si="115"/>
        <v/>
      </c>
      <c r="Y491" s="375" t="str">
        <f t="shared" si="116"/>
        <v/>
      </c>
      <c r="Z491" s="374" t="str">
        <f t="shared" si="117"/>
        <v/>
      </c>
      <c r="AA491" s="374" t="b">
        <f t="shared" si="118"/>
        <v>1</v>
      </c>
      <c r="AB491" s="374">
        <f>COUNTIFS(B:B,B491,H:H,'סיווג התפקידים והעלויות'!$C$2)</f>
        <v>0</v>
      </c>
      <c r="AC491" s="374">
        <f>COUNTIFS(B:B,B491,H:H,'סיווג התפקידים והעלויות'!$D$2)</f>
        <v>0</v>
      </c>
      <c r="AD491" s="374" t="str">
        <f>IF(OR(AND(H491='סיווג התפקידים והעלויות'!$A$2,I491='סיווג התפקידים והעלויות'!$A$3),'עלויות כח אדם (6)'!H491='סיווג התפקידים והעלויות'!$C$2,'עלויות כח אדם (6)'!H491='סיווג התפקידים והעלויות'!$D$2),IF('עלויות כח אדם (6)'!J491&lt;75,"לא תקין","תקין"),"")</f>
        <v/>
      </c>
      <c r="AE491" s="374" t="str">
        <f t="shared" si="119"/>
        <v/>
      </c>
      <c r="AF491" s="532" t="str">
        <f t="shared" si="120"/>
        <v/>
      </c>
    </row>
    <row r="492" spans="2:32" x14ac:dyDescent="0.25">
      <c r="B492" s="695"/>
      <c r="C492" s="197" t="str">
        <f>IF(B492&lt;&gt;"",IFERROR(VLOOKUP(B:B,'מצבת והרשמה (2)'!$C$20:$N$520,2,0)," ")," ")</f>
        <v xml:space="preserve"> </v>
      </c>
      <c r="D492" s="695"/>
      <c r="E492" s="696"/>
      <c r="F492" s="696"/>
      <c r="G492" s="696"/>
      <c r="H492" s="696"/>
      <c r="I492" s="1050" t="str">
        <f t="shared" si="107"/>
        <v/>
      </c>
      <c r="J492" s="696"/>
      <c r="K492" s="697"/>
      <c r="L492" s="696"/>
      <c r="M492" s="198" t="str">
        <f t="shared" si="108"/>
        <v/>
      </c>
      <c r="N492" s="369" t="str">
        <f t="shared" si="109"/>
        <v/>
      </c>
      <c r="O492" s="183" t="str">
        <f t="shared" si="110"/>
        <v/>
      </c>
      <c r="P492" s="199" t="str">
        <f t="shared" si="111"/>
        <v/>
      </c>
      <c r="Q492" s="199" t="str">
        <f>IF(B492="","",IFERROR(IF('עלויות כח אדם (6)'!J492&gt;=VLOOKUP(I492,'סיווג התפקידים והעלויות'!$B$23:$C$32,2,0),"תקין","לא תקין"),""))</f>
        <v/>
      </c>
      <c r="R492" s="199" t="str">
        <f t="shared" si="112"/>
        <v/>
      </c>
      <c r="S492" s="199" t="str">
        <f t="shared" si="113"/>
        <v/>
      </c>
      <c r="T492" s="199" t="str">
        <f t="shared" si="121"/>
        <v/>
      </c>
      <c r="U492" s="199" t="str">
        <f t="shared" si="114"/>
        <v/>
      </c>
      <c r="V492" s="989"/>
      <c r="X492" s="374" t="str">
        <f t="shared" si="115"/>
        <v/>
      </c>
      <c r="Y492" s="375" t="str">
        <f t="shared" si="116"/>
        <v/>
      </c>
      <c r="Z492" s="374" t="str">
        <f t="shared" si="117"/>
        <v/>
      </c>
      <c r="AA492" s="374" t="b">
        <f t="shared" si="118"/>
        <v>1</v>
      </c>
      <c r="AB492" s="374">
        <f>COUNTIFS(B:B,B492,H:H,'סיווג התפקידים והעלויות'!$C$2)</f>
        <v>0</v>
      </c>
      <c r="AC492" s="374">
        <f>COUNTIFS(B:B,B492,H:H,'סיווג התפקידים והעלויות'!$D$2)</f>
        <v>0</v>
      </c>
      <c r="AD492" s="374" t="str">
        <f>IF(OR(AND(H492='סיווג התפקידים והעלויות'!$A$2,I492='סיווג התפקידים והעלויות'!$A$3),'עלויות כח אדם (6)'!H492='סיווג התפקידים והעלויות'!$C$2,'עלויות כח אדם (6)'!H492='סיווג התפקידים והעלויות'!$D$2),IF('עלויות כח אדם (6)'!J492&lt;75,"לא תקין","תקין"),"")</f>
        <v/>
      </c>
      <c r="AE492" s="374" t="str">
        <f t="shared" si="119"/>
        <v/>
      </c>
      <c r="AF492" s="532" t="str">
        <f t="shared" si="120"/>
        <v/>
      </c>
    </row>
    <row r="493" spans="2:32" x14ac:dyDescent="0.25">
      <c r="B493" s="695"/>
      <c r="C493" s="197" t="str">
        <f>IF(B493&lt;&gt;"",IFERROR(VLOOKUP(B:B,'מצבת והרשמה (2)'!$C$20:$N$520,2,0)," ")," ")</f>
        <v xml:space="preserve"> </v>
      </c>
      <c r="D493" s="695"/>
      <c r="E493" s="696"/>
      <c r="F493" s="696"/>
      <c r="G493" s="696"/>
      <c r="H493" s="696"/>
      <c r="I493" s="1050" t="str">
        <f t="shared" si="107"/>
        <v/>
      </c>
      <c r="J493" s="696"/>
      <c r="K493" s="697"/>
      <c r="L493" s="696"/>
      <c r="M493" s="198" t="str">
        <f t="shared" si="108"/>
        <v/>
      </c>
      <c r="N493" s="369" t="str">
        <f t="shared" si="109"/>
        <v/>
      </c>
      <c r="O493" s="183" t="str">
        <f t="shared" si="110"/>
        <v/>
      </c>
      <c r="P493" s="199" t="str">
        <f t="shared" si="111"/>
        <v/>
      </c>
      <c r="Q493" s="199" t="str">
        <f>IF(B493="","",IFERROR(IF('עלויות כח אדם (6)'!J493&gt;=VLOOKUP(I493,'סיווג התפקידים והעלויות'!$B$23:$C$32,2,0),"תקין","לא תקין"),""))</f>
        <v/>
      </c>
      <c r="R493" s="199" t="str">
        <f t="shared" si="112"/>
        <v/>
      </c>
      <c r="S493" s="199" t="str">
        <f t="shared" si="113"/>
        <v/>
      </c>
      <c r="T493" s="199" t="str">
        <f t="shared" si="121"/>
        <v/>
      </c>
      <c r="U493" s="199" t="str">
        <f t="shared" si="114"/>
        <v/>
      </c>
      <c r="V493" s="989"/>
      <c r="X493" s="374" t="str">
        <f t="shared" si="115"/>
        <v/>
      </c>
      <c r="Y493" s="375" t="str">
        <f t="shared" si="116"/>
        <v/>
      </c>
      <c r="Z493" s="374" t="str">
        <f t="shared" si="117"/>
        <v/>
      </c>
      <c r="AA493" s="374" t="b">
        <f t="shared" si="118"/>
        <v>1</v>
      </c>
      <c r="AB493" s="374">
        <f>COUNTIFS(B:B,B493,H:H,'סיווג התפקידים והעלויות'!$C$2)</f>
        <v>0</v>
      </c>
      <c r="AC493" s="374">
        <f>COUNTIFS(B:B,B493,H:H,'סיווג התפקידים והעלויות'!$D$2)</f>
        <v>0</v>
      </c>
      <c r="AD493" s="374" t="str">
        <f>IF(OR(AND(H493='סיווג התפקידים והעלויות'!$A$2,I493='סיווג התפקידים והעלויות'!$A$3),'עלויות כח אדם (6)'!H493='סיווג התפקידים והעלויות'!$C$2,'עלויות כח אדם (6)'!H493='סיווג התפקידים והעלויות'!$D$2),IF('עלויות כח אדם (6)'!J493&lt;75,"לא תקין","תקין"),"")</f>
        <v/>
      </c>
      <c r="AE493" s="374" t="str">
        <f t="shared" si="119"/>
        <v/>
      </c>
      <c r="AF493" s="532" t="str">
        <f t="shared" si="120"/>
        <v/>
      </c>
    </row>
    <row r="494" spans="2:32" x14ac:dyDescent="0.25">
      <c r="B494" s="695"/>
      <c r="C494" s="197" t="str">
        <f>IF(B494&lt;&gt;"",IFERROR(VLOOKUP(B:B,'מצבת והרשמה (2)'!$C$20:$N$520,2,0)," ")," ")</f>
        <v xml:space="preserve"> </v>
      </c>
      <c r="D494" s="695"/>
      <c r="E494" s="696"/>
      <c r="F494" s="696"/>
      <c r="G494" s="696"/>
      <c r="H494" s="696"/>
      <c r="I494" s="1050" t="str">
        <f t="shared" si="107"/>
        <v/>
      </c>
      <c r="J494" s="696"/>
      <c r="K494" s="697"/>
      <c r="L494" s="696"/>
      <c r="M494" s="198" t="str">
        <f t="shared" si="108"/>
        <v/>
      </c>
      <c r="N494" s="369" t="str">
        <f t="shared" si="109"/>
        <v/>
      </c>
      <c r="O494" s="183" t="str">
        <f t="shared" si="110"/>
        <v/>
      </c>
      <c r="P494" s="199" t="str">
        <f t="shared" si="111"/>
        <v/>
      </c>
      <c r="Q494" s="199" t="str">
        <f>IF(B494="","",IFERROR(IF('עלויות כח אדם (6)'!J494&gt;=VLOOKUP(I494,'סיווג התפקידים והעלויות'!$B$23:$C$32,2,0),"תקין","לא תקין"),""))</f>
        <v/>
      </c>
      <c r="R494" s="199" t="str">
        <f t="shared" si="112"/>
        <v/>
      </c>
      <c r="S494" s="199" t="str">
        <f t="shared" si="113"/>
        <v/>
      </c>
      <c r="T494" s="199" t="str">
        <f t="shared" si="121"/>
        <v/>
      </c>
      <c r="U494" s="199" t="str">
        <f t="shared" si="114"/>
        <v/>
      </c>
      <c r="V494" s="989"/>
      <c r="X494" s="374" t="str">
        <f t="shared" si="115"/>
        <v/>
      </c>
      <c r="Y494" s="375" t="str">
        <f t="shared" si="116"/>
        <v/>
      </c>
      <c r="Z494" s="374" t="str">
        <f t="shared" si="117"/>
        <v/>
      </c>
      <c r="AA494" s="374" t="b">
        <f t="shared" si="118"/>
        <v>1</v>
      </c>
      <c r="AB494" s="374">
        <f>COUNTIFS(B:B,B494,H:H,'סיווג התפקידים והעלויות'!$C$2)</f>
        <v>0</v>
      </c>
      <c r="AC494" s="374">
        <f>COUNTIFS(B:B,B494,H:H,'סיווג התפקידים והעלויות'!$D$2)</f>
        <v>0</v>
      </c>
      <c r="AD494" s="374" t="str">
        <f>IF(OR(AND(H494='סיווג התפקידים והעלויות'!$A$2,I494='סיווג התפקידים והעלויות'!$A$3),'עלויות כח אדם (6)'!H494='סיווג התפקידים והעלויות'!$C$2,'עלויות כח אדם (6)'!H494='סיווג התפקידים והעלויות'!$D$2),IF('עלויות כח אדם (6)'!J494&lt;75,"לא תקין","תקין"),"")</f>
        <v/>
      </c>
      <c r="AE494" s="374" t="str">
        <f t="shared" si="119"/>
        <v/>
      </c>
      <c r="AF494" s="532" t="str">
        <f t="shared" si="120"/>
        <v/>
      </c>
    </row>
    <row r="495" spans="2:32" x14ac:dyDescent="0.25">
      <c r="B495" s="695"/>
      <c r="C495" s="197" t="str">
        <f>IF(B495&lt;&gt;"",IFERROR(VLOOKUP(B:B,'מצבת והרשמה (2)'!$C$20:$N$520,2,0)," ")," ")</f>
        <v xml:space="preserve"> </v>
      </c>
      <c r="D495" s="695"/>
      <c r="E495" s="696"/>
      <c r="F495" s="696"/>
      <c r="G495" s="696"/>
      <c r="H495" s="696"/>
      <c r="I495" s="1050" t="str">
        <f t="shared" si="107"/>
        <v/>
      </c>
      <c r="J495" s="696"/>
      <c r="K495" s="697"/>
      <c r="L495" s="696"/>
      <c r="M495" s="198" t="str">
        <f t="shared" si="108"/>
        <v/>
      </c>
      <c r="N495" s="369" t="str">
        <f t="shared" si="109"/>
        <v/>
      </c>
      <c r="O495" s="183" t="str">
        <f t="shared" si="110"/>
        <v/>
      </c>
      <c r="P495" s="199" t="str">
        <f t="shared" si="111"/>
        <v/>
      </c>
      <c r="Q495" s="199" t="str">
        <f>IF(B495="","",IFERROR(IF('עלויות כח אדם (6)'!J495&gt;=VLOOKUP(I495,'סיווג התפקידים והעלויות'!$B$23:$C$32,2,0),"תקין","לא תקין"),""))</f>
        <v/>
      </c>
      <c r="R495" s="199" t="str">
        <f t="shared" si="112"/>
        <v/>
      </c>
      <c r="S495" s="199" t="str">
        <f t="shared" si="113"/>
        <v/>
      </c>
      <c r="T495" s="199" t="str">
        <f t="shared" si="121"/>
        <v/>
      </c>
      <c r="U495" s="199" t="str">
        <f t="shared" si="114"/>
        <v/>
      </c>
      <c r="V495" s="989"/>
      <c r="X495" s="374" t="str">
        <f t="shared" si="115"/>
        <v/>
      </c>
      <c r="Y495" s="375" t="str">
        <f t="shared" si="116"/>
        <v/>
      </c>
      <c r="Z495" s="374" t="str">
        <f t="shared" si="117"/>
        <v/>
      </c>
      <c r="AA495" s="374" t="b">
        <f t="shared" si="118"/>
        <v>1</v>
      </c>
      <c r="AB495" s="374">
        <f>COUNTIFS(B:B,B495,H:H,'סיווג התפקידים והעלויות'!$C$2)</f>
        <v>0</v>
      </c>
      <c r="AC495" s="374">
        <f>COUNTIFS(B:B,B495,H:H,'סיווג התפקידים והעלויות'!$D$2)</f>
        <v>0</v>
      </c>
      <c r="AD495" s="374" t="str">
        <f>IF(OR(AND(H495='סיווג התפקידים והעלויות'!$A$2,I495='סיווג התפקידים והעלויות'!$A$3),'עלויות כח אדם (6)'!H495='סיווג התפקידים והעלויות'!$C$2,'עלויות כח אדם (6)'!H495='סיווג התפקידים והעלויות'!$D$2),IF('עלויות כח אדם (6)'!J495&lt;75,"לא תקין","תקין"),"")</f>
        <v/>
      </c>
      <c r="AE495" s="374" t="str">
        <f t="shared" si="119"/>
        <v/>
      </c>
      <c r="AF495" s="532" t="str">
        <f t="shared" si="120"/>
        <v/>
      </c>
    </row>
    <row r="496" spans="2:32" x14ac:dyDescent="0.25">
      <c r="B496" s="695"/>
      <c r="C496" s="197" t="str">
        <f>IF(B496&lt;&gt;"",IFERROR(VLOOKUP(B:B,'מצבת והרשמה (2)'!$C$20:$N$520,2,0)," ")," ")</f>
        <v xml:space="preserve"> </v>
      </c>
      <c r="D496" s="695"/>
      <c r="E496" s="696"/>
      <c r="F496" s="696"/>
      <c r="G496" s="696"/>
      <c r="H496" s="696"/>
      <c r="I496" s="1050" t="str">
        <f t="shared" si="107"/>
        <v/>
      </c>
      <c r="J496" s="696"/>
      <c r="K496" s="697"/>
      <c r="L496" s="696"/>
      <c r="M496" s="198" t="str">
        <f t="shared" si="108"/>
        <v/>
      </c>
      <c r="N496" s="369" t="str">
        <f t="shared" si="109"/>
        <v/>
      </c>
      <c r="O496" s="183" t="str">
        <f t="shared" si="110"/>
        <v/>
      </c>
      <c r="P496" s="199" t="str">
        <f t="shared" si="111"/>
        <v/>
      </c>
      <c r="Q496" s="199" t="str">
        <f>IF(B496="","",IFERROR(IF('עלויות כח אדם (6)'!J496&gt;=VLOOKUP(I496,'סיווג התפקידים והעלויות'!$B$23:$C$32,2,0),"תקין","לא תקין"),""))</f>
        <v/>
      </c>
      <c r="R496" s="199" t="str">
        <f t="shared" si="112"/>
        <v/>
      </c>
      <c r="S496" s="199" t="str">
        <f t="shared" si="113"/>
        <v/>
      </c>
      <c r="T496" s="199" t="str">
        <f t="shared" si="121"/>
        <v/>
      </c>
      <c r="U496" s="199" t="str">
        <f t="shared" si="114"/>
        <v/>
      </c>
      <c r="V496" s="989"/>
      <c r="X496" s="374" t="str">
        <f t="shared" si="115"/>
        <v/>
      </c>
      <c r="Y496" s="375" t="str">
        <f t="shared" si="116"/>
        <v/>
      </c>
      <c r="Z496" s="374" t="str">
        <f t="shared" si="117"/>
        <v/>
      </c>
      <c r="AA496" s="374" t="b">
        <f t="shared" si="118"/>
        <v>1</v>
      </c>
      <c r="AB496" s="374">
        <f>COUNTIFS(B:B,B496,H:H,'סיווג התפקידים והעלויות'!$C$2)</f>
        <v>0</v>
      </c>
      <c r="AC496" s="374">
        <f>COUNTIFS(B:B,B496,H:H,'סיווג התפקידים והעלויות'!$D$2)</f>
        <v>0</v>
      </c>
      <c r="AD496" s="374" t="str">
        <f>IF(OR(AND(H496='סיווג התפקידים והעלויות'!$A$2,I496='סיווג התפקידים והעלויות'!$A$3),'עלויות כח אדם (6)'!H496='סיווג התפקידים והעלויות'!$C$2,'עלויות כח אדם (6)'!H496='סיווג התפקידים והעלויות'!$D$2),IF('עלויות כח אדם (6)'!J496&lt;75,"לא תקין","תקין"),"")</f>
        <v/>
      </c>
      <c r="AE496" s="374" t="str">
        <f t="shared" si="119"/>
        <v/>
      </c>
      <c r="AF496" s="532" t="str">
        <f t="shared" si="120"/>
        <v/>
      </c>
    </row>
    <row r="497" spans="2:32" x14ac:dyDescent="0.25">
      <c r="B497" s="695"/>
      <c r="C497" s="197" t="str">
        <f>IF(B497&lt;&gt;"",IFERROR(VLOOKUP(B:B,'מצבת והרשמה (2)'!$C$20:$N$520,2,0)," ")," ")</f>
        <v xml:space="preserve"> </v>
      </c>
      <c r="D497" s="695"/>
      <c r="E497" s="696"/>
      <c r="F497" s="696"/>
      <c r="G497" s="696"/>
      <c r="H497" s="696"/>
      <c r="I497" s="1050" t="str">
        <f t="shared" si="107"/>
        <v/>
      </c>
      <c r="J497" s="696"/>
      <c r="K497" s="697"/>
      <c r="L497" s="696"/>
      <c r="M497" s="198" t="str">
        <f t="shared" si="108"/>
        <v/>
      </c>
      <c r="N497" s="369" t="str">
        <f t="shared" si="109"/>
        <v/>
      </c>
      <c r="O497" s="183" t="str">
        <f t="shared" si="110"/>
        <v/>
      </c>
      <c r="P497" s="199" t="str">
        <f t="shared" si="111"/>
        <v/>
      </c>
      <c r="Q497" s="199" t="str">
        <f>IF(B497="","",IFERROR(IF('עלויות כח אדם (6)'!J497&gt;=VLOOKUP(I497,'סיווג התפקידים והעלויות'!$B$23:$C$32,2,0),"תקין","לא תקין"),""))</f>
        <v/>
      </c>
      <c r="R497" s="199" t="str">
        <f t="shared" si="112"/>
        <v/>
      </c>
      <c r="S497" s="199" t="str">
        <f t="shared" si="113"/>
        <v/>
      </c>
      <c r="T497" s="199" t="str">
        <f t="shared" si="121"/>
        <v/>
      </c>
      <c r="U497" s="199" t="str">
        <f t="shared" si="114"/>
        <v/>
      </c>
      <c r="V497" s="989"/>
      <c r="X497" s="374" t="str">
        <f t="shared" si="115"/>
        <v/>
      </c>
      <c r="Y497" s="375" t="str">
        <f t="shared" si="116"/>
        <v/>
      </c>
      <c r="Z497" s="374" t="str">
        <f t="shared" si="117"/>
        <v/>
      </c>
      <c r="AA497" s="374" t="b">
        <f t="shared" si="118"/>
        <v>1</v>
      </c>
      <c r="AB497" s="374">
        <f>COUNTIFS(B:B,B497,H:H,'סיווג התפקידים והעלויות'!$C$2)</f>
        <v>0</v>
      </c>
      <c r="AC497" s="374">
        <f>COUNTIFS(B:B,B497,H:H,'סיווג התפקידים והעלויות'!$D$2)</f>
        <v>0</v>
      </c>
      <c r="AD497" s="374" t="str">
        <f>IF(OR(AND(H497='סיווג התפקידים והעלויות'!$A$2,I497='סיווג התפקידים והעלויות'!$A$3),'עלויות כח אדם (6)'!H497='סיווג התפקידים והעלויות'!$C$2,'עלויות כח אדם (6)'!H497='סיווג התפקידים והעלויות'!$D$2),IF('עלויות כח אדם (6)'!J497&lt;75,"לא תקין","תקין"),"")</f>
        <v/>
      </c>
      <c r="AE497" s="374" t="str">
        <f t="shared" si="119"/>
        <v/>
      </c>
      <c r="AF497" s="532" t="str">
        <f t="shared" si="120"/>
        <v/>
      </c>
    </row>
    <row r="498" spans="2:32" x14ac:dyDescent="0.25">
      <c r="B498" s="695"/>
      <c r="C498" s="197" t="str">
        <f>IF(B498&lt;&gt;"",IFERROR(VLOOKUP(B:B,'מצבת והרשמה (2)'!$C$20:$N$520,2,0)," ")," ")</f>
        <v xml:space="preserve"> </v>
      </c>
      <c r="D498" s="695"/>
      <c r="E498" s="696"/>
      <c r="F498" s="696"/>
      <c r="G498" s="696"/>
      <c r="H498" s="696"/>
      <c r="I498" s="1050" t="str">
        <f t="shared" si="107"/>
        <v/>
      </c>
      <c r="J498" s="696"/>
      <c r="K498" s="697"/>
      <c r="L498" s="696"/>
      <c r="M498" s="198" t="str">
        <f t="shared" si="108"/>
        <v/>
      </c>
      <c r="N498" s="369" t="str">
        <f t="shared" si="109"/>
        <v/>
      </c>
      <c r="O498" s="183" t="str">
        <f t="shared" si="110"/>
        <v/>
      </c>
      <c r="P498" s="199" t="str">
        <f t="shared" si="111"/>
        <v/>
      </c>
      <c r="Q498" s="199" t="str">
        <f>IF(B498="","",IFERROR(IF('עלויות כח אדם (6)'!J498&gt;=VLOOKUP(I498,'סיווג התפקידים והעלויות'!$B$23:$C$32,2,0),"תקין","לא תקין"),""))</f>
        <v/>
      </c>
      <c r="R498" s="199" t="str">
        <f t="shared" si="112"/>
        <v/>
      </c>
      <c r="S498" s="199" t="str">
        <f t="shared" si="113"/>
        <v/>
      </c>
      <c r="T498" s="199" t="str">
        <f t="shared" si="121"/>
        <v/>
      </c>
      <c r="U498" s="199" t="str">
        <f t="shared" si="114"/>
        <v/>
      </c>
      <c r="V498" s="989"/>
      <c r="X498" s="374" t="str">
        <f t="shared" si="115"/>
        <v/>
      </c>
      <c r="Y498" s="375" t="str">
        <f t="shared" si="116"/>
        <v/>
      </c>
      <c r="Z498" s="374" t="str">
        <f t="shared" si="117"/>
        <v/>
      </c>
      <c r="AA498" s="374" t="b">
        <f t="shared" si="118"/>
        <v>1</v>
      </c>
      <c r="AB498" s="374">
        <f>COUNTIFS(B:B,B498,H:H,'סיווג התפקידים והעלויות'!$C$2)</f>
        <v>0</v>
      </c>
      <c r="AC498" s="374">
        <f>COUNTIFS(B:B,B498,H:H,'סיווג התפקידים והעלויות'!$D$2)</f>
        <v>0</v>
      </c>
      <c r="AD498" s="374" t="str">
        <f>IF(OR(AND(H498='סיווג התפקידים והעלויות'!$A$2,I498='סיווג התפקידים והעלויות'!$A$3),'עלויות כח אדם (6)'!H498='סיווג התפקידים והעלויות'!$C$2,'עלויות כח אדם (6)'!H498='סיווג התפקידים והעלויות'!$D$2),IF('עלויות כח אדם (6)'!J498&lt;75,"לא תקין","תקין"),"")</f>
        <v/>
      </c>
      <c r="AE498" s="374" t="str">
        <f t="shared" si="119"/>
        <v/>
      </c>
      <c r="AF498" s="532" t="str">
        <f t="shared" si="120"/>
        <v/>
      </c>
    </row>
    <row r="499" spans="2:32" x14ac:dyDescent="0.25">
      <c r="B499" s="695"/>
      <c r="C499" s="197" t="str">
        <f>IF(B499&lt;&gt;"",IFERROR(VLOOKUP(B:B,'מצבת והרשמה (2)'!$C$20:$N$520,2,0)," ")," ")</f>
        <v xml:space="preserve"> </v>
      </c>
      <c r="D499" s="695"/>
      <c r="E499" s="696"/>
      <c r="F499" s="696"/>
      <c r="G499" s="696"/>
      <c r="H499" s="696"/>
      <c r="I499" s="1050" t="str">
        <f t="shared" si="107"/>
        <v/>
      </c>
      <c r="J499" s="696"/>
      <c r="K499" s="697"/>
      <c r="L499" s="696"/>
      <c r="M499" s="198" t="str">
        <f t="shared" si="108"/>
        <v/>
      </c>
      <c r="N499" s="369" t="str">
        <f t="shared" si="109"/>
        <v/>
      </c>
      <c r="O499" s="183" t="str">
        <f t="shared" si="110"/>
        <v/>
      </c>
      <c r="P499" s="199" t="str">
        <f t="shared" si="111"/>
        <v/>
      </c>
      <c r="Q499" s="199" t="str">
        <f>IF(B499="","",IFERROR(IF('עלויות כח אדם (6)'!J499&gt;=VLOOKUP(I499,'סיווג התפקידים והעלויות'!$B$23:$C$32,2,0),"תקין","לא תקין"),""))</f>
        <v/>
      </c>
      <c r="R499" s="199" t="str">
        <f t="shared" si="112"/>
        <v/>
      </c>
      <c r="S499" s="199" t="str">
        <f t="shared" si="113"/>
        <v/>
      </c>
      <c r="T499" s="199" t="str">
        <f t="shared" si="121"/>
        <v/>
      </c>
      <c r="U499" s="199" t="str">
        <f t="shared" si="114"/>
        <v/>
      </c>
      <c r="V499" s="989"/>
      <c r="X499" s="374" t="str">
        <f t="shared" si="115"/>
        <v/>
      </c>
      <c r="Y499" s="375" t="str">
        <f t="shared" si="116"/>
        <v/>
      </c>
      <c r="Z499" s="374" t="str">
        <f t="shared" si="117"/>
        <v/>
      </c>
      <c r="AA499" s="374" t="b">
        <f t="shared" si="118"/>
        <v>1</v>
      </c>
      <c r="AB499" s="374">
        <f>COUNTIFS(B:B,B499,H:H,'סיווג התפקידים והעלויות'!$C$2)</f>
        <v>0</v>
      </c>
      <c r="AC499" s="374">
        <f>COUNTIFS(B:B,B499,H:H,'סיווג התפקידים והעלויות'!$D$2)</f>
        <v>0</v>
      </c>
      <c r="AD499" s="374" t="str">
        <f>IF(OR(AND(H499='סיווג התפקידים והעלויות'!$A$2,I499='סיווג התפקידים והעלויות'!$A$3),'עלויות כח אדם (6)'!H499='סיווג התפקידים והעלויות'!$C$2,'עלויות כח אדם (6)'!H499='סיווג התפקידים והעלויות'!$D$2),IF('עלויות כח אדם (6)'!J499&lt;75,"לא תקין","תקין"),"")</f>
        <v/>
      </c>
      <c r="AE499" s="374" t="str">
        <f t="shared" si="119"/>
        <v/>
      </c>
      <c r="AF499" s="532" t="str">
        <f t="shared" si="120"/>
        <v/>
      </c>
    </row>
    <row r="500" spans="2:32" x14ac:dyDescent="0.25">
      <c r="B500" s="695"/>
      <c r="C500" s="197" t="str">
        <f>IF(B500&lt;&gt;"",IFERROR(VLOOKUP(B:B,'מצבת והרשמה (2)'!$C$20:$N$520,2,0)," ")," ")</f>
        <v xml:space="preserve"> </v>
      </c>
      <c r="D500" s="695"/>
      <c r="E500" s="696"/>
      <c r="F500" s="696"/>
      <c r="G500" s="696"/>
      <c r="H500" s="696"/>
      <c r="I500" s="1050" t="str">
        <f t="shared" si="107"/>
        <v/>
      </c>
      <c r="J500" s="696"/>
      <c r="K500" s="697"/>
      <c r="L500" s="696"/>
      <c r="M500" s="198" t="str">
        <f t="shared" si="108"/>
        <v/>
      </c>
      <c r="N500" s="369" t="str">
        <f t="shared" si="109"/>
        <v/>
      </c>
      <c r="O500" s="183" t="str">
        <f t="shared" si="110"/>
        <v/>
      </c>
      <c r="P500" s="199" t="str">
        <f t="shared" si="111"/>
        <v/>
      </c>
      <c r="Q500" s="199" t="str">
        <f>IF(B500="","",IFERROR(IF('עלויות כח אדם (6)'!J500&gt;=VLOOKUP(I500,'סיווג התפקידים והעלויות'!$B$23:$C$32,2,0),"תקין","לא תקין"),""))</f>
        <v/>
      </c>
      <c r="R500" s="199" t="str">
        <f t="shared" si="112"/>
        <v/>
      </c>
      <c r="S500" s="199" t="str">
        <f t="shared" si="113"/>
        <v/>
      </c>
      <c r="T500" s="199" t="str">
        <f t="shared" si="121"/>
        <v/>
      </c>
      <c r="U500" s="199" t="str">
        <f t="shared" si="114"/>
        <v/>
      </c>
      <c r="V500" s="989"/>
      <c r="X500" s="374" t="str">
        <f t="shared" si="115"/>
        <v/>
      </c>
      <c r="Y500" s="375" t="str">
        <f t="shared" si="116"/>
        <v/>
      </c>
      <c r="Z500" s="374" t="str">
        <f t="shared" si="117"/>
        <v/>
      </c>
      <c r="AA500" s="374" t="b">
        <f t="shared" si="118"/>
        <v>1</v>
      </c>
      <c r="AB500" s="374">
        <f>COUNTIFS(B:B,B500,H:H,'סיווג התפקידים והעלויות'!$C$2)</f>
        <v>0</v>
      </c>
      <c r="AC500" s="374">
        <f>COUNTIFS(B:B,B500,H:H,'סיווג התפקידים והעלויות'!$D$2)</f>
        <v>0</v>
      </c>
      <c r="AD500" s="374" t="str">
        <f>IF(OR(AND(H500='סיווג התפקידים והעלויות'!$A$2,I500='סיווג התפקידים והעלויות'!$A$3),'עלויות כח אדם (6)'!H500='סיווג התפקידים והעלויות'!$C$2,'עלויות כח אדם (6)'!H500='סיווג התפקידים והעלויות'!$D$2),IF('עלויות כח אדם (6)'!J500&lt;75,"לא תקין","תקין"),"")</f>
        <v/>
      </c>
      <c r="AE500" s="374" t="str">
        <f t="shared" si="119"/>
        <v/>
      </c>
      <c r="AF500" s="532" t="str">
        <f t="shared" si="120"/>
        <v/>
      </c>
    </row>
    <row r="501" spans="2:32" x14ac:dyDescent="0.25">
      <c r="B501" s="695"/>
      <c r="C501" s="197" t="str">
        <f>IF(B501&lt;&gt;"",IFERROR(VLOOKUP(B:B,'מצבת והרשמה (2)'!$C$20:$N$520,2,0)," ")," ")</f>
        <v xml:space="preserve"> </v>
      </c>
      <c r="D501" s="695"/>
      <c r="E501" s="696"/>
      <c r="F501" s="696"/>
      <c r="G501" s="696"/>
      <c r="H501" s="696"/>
      <c r="I501" s="1050" t="str">
        <f t="shared" si="107"/>
        <v/>
      </c>
      <c r="J501" s="696"/>
      <c r="K501" s="697"/>
      <c r="L501" s="696"/>
      <c r="M501" s="198" t="str">
        <f t="shared" si="108"/>
        <v/>
      </c>
      <c r="N501" s="369" t="str">
        <f t="shared" si="109"/>
        <v/>
      </c>
      <c r="O501" s="183" t="str">
        <f t="shared" si="110"/>
        <v/>
      </c>
      <c r="P501" s="199" t="str">
        <f t="shared" si="111"/>
        <v/>
      </c>
      <c r="Q501" s="199" t="str">
        <f>IF(B501="","",IFERROR(IF('עלויות כח אדם (6)'!J501&gt;=VLOOKUP(I501,'סיווג התפקידים והעלויות'!$B$23:$C$32,2,0),"תקין","לא תקין"),""))</f>
        <v/>
      </c>
      <c r="R501" s="199" t="str">
        <f t="shared" si="112"/>
        <v/>
      </c>
      <c r="S501" s="199" t="str">
        <f t="shared" si="113"/>
        <v/>
      </c>
      <c r="T501" s="199" t="str">
        <f t="shared" si="121"/>
        <v/>
      </c>
      <c r="U501" s="199" t="str">
        <f t="shared" si="114"/>
        <v/>
      </c>
      <c r="V501" s="989"/>
      <c r="X501" s="374" t="str">
        <f t="shared" si="115"/>
        <v/>
      </c>
      <c r="Y501" s="375" t="str">
        <f t="shared" si="116"/>
        <v/>
      </c>
      <c r="Z501" s="374" t="str">
        <f t="shared" si="117"/>
        <v/>
      </c>
      <c r="AA501" s="374" t="b">
        <f t="shared" si="118"/>
        <v>1</v>
      </c>
      <c r="AB501" s="374">
        <f>COUNTIFS(B:B,B501,H:H,'סיווג התפקידים והעלויות'!$C$2)</f>
        <v>0</v>
      </c>
      <c r="AC501" s="374">
        <f>COUNTIFS(B:B,B501,H:H,'סיווג התפקידים והעלויות'!$D$2)</f>
        <v>0</v>
      </c>
      <c r="AD501" s="374" t="str">
        <f>IF(OR(AND(H501='סיווג התפקידים והעלויות'!$A$2,I501='סיווג התפקידים והעלויות'!$A$3),'עלויות כח אדם (6)'!H501='סיווג התפקידים והעלויות'!$C$2,'עלויות כח אדם (6)'!H501='סיווג התפקידים והעלויות'!$D$2),IF('עלויות כח אדם (6)'!J501&lt;75,"לא תקין","תקין"),"")</f>
        <v/>
      </c>
      <c r="AE501" s="374" t="str">
        <f t="shared" si="119"/>
        <v/>
      </c>
      <c r="AF501" s="532" t="str">
        <f t="shared" si="120"/>
        <v/>
      </c>
    </row>
    <row r="502" spans="2:32" x14ac:dyDescent="0.25">
      <c r="B502" s="695"/>
      <c r="C502" s="197" t="str">
        <f>IF(B502&lt;&gt;"",IFERROR(VLOOKUP(B:B,'מצבת והרשמה (2)'!$C$20:$N$520,2,0)," ")," ")</f>
        <v xml:space="preserve"> </v>
      </c>
      <c r="D502" s="695"/>
      <c r="E502" s="696"/>
      <c r="F502" s="696"/>
      <c r="G502" s="696"/>
      <c r="H502" s="696"/>
      <c r="I502" s="1050" t="str">
        <f t="shared" si="107"/>
        <v/>
      </c>
      <c r="J502" s="696"/>
      <c r="K502" s="697"/>
      <c r="L502" s="696"/>
      <c r="M502" s="198" t="str">
        <f t="shared" si="108"/>
        <v/>
      </c>
      <c r="N502" s="369" t="str">
        <f t="shared" si="109"/>
        <v/>
      </c>
      <c r="O502" s="183" t="str">
        <f t="shared" si="110"/>
        <v/>
      </c>
      <c r="P502" s="199" t="str">
        <f t="shared" si="111"/>
        <v/>
      </c>
      <c r="Q502" s="199" t="str">
        <f>IF(B502="","",IFERROR(IF('עלויות כח אדם (6)'!J502&gt;=VLOOKUP(I502,'סיווג התפקידים והעלויות'!$B$23:$C$32,2,0),"תקין","לא תקין"),""))</f>
        <v/>
      </c>
      <c r="R502" s="199" t="str">
        <f t="shared" si="112"/>
        <v/>
      </c>
      <c r="S502" s="199" t="str">
        <f t="shared" si="113"/>
        <v/>
      </c>
      <c r="T502" s="199" t="str">
        <f t="shared" si="121"/>
        <v/>
      </c>
      <c r="U502" s="199" t="str">
        <f t="shared" si="114"/>
        <v/>
      </c>
      <c r="V502" s="989"/>
      <c r="X502" s="374" t="str">
        <f t="shared" si="115"/>
        <v/>
      </c>
      <c r="Y502" s="375" t="str">
        <f t="shared" si="116"/>
        <v/>
      </c>
      <c r="Z502" s="374" t="str">
        <f t="shared" si="117"/>
        <v/>
      </c>
      <c r="AA502" s="374" t="b">
        <f t="shared" si="118"/>
        <v>1</v>
      </c>
      <c r="AB502" s="374">
        <f>COUNTIFS(B:B,B502,H:H,'סיווג התפקידים והעלויות'!$C$2)</f>
        <v>0</v>
      </c>
      <c r="AC502" s="374">
        <f>COUNTIFS(B:B,B502,H:H,'סיווג התפקידים והעלויות'!$D$2)</f>
        <v>0</v>
      </c>
      <c r="AD502" s="374" t="str">
        <f>IF(OR(AND(H502='סיווג התפקידים והעלויות'!$A$2,I502='סיווג התפקידים והעלויות'!$A$3),'עלויות כח אדם (6)'!H502='סיווג התפקידים והעלויות'!$C$2,'עלויות כח אדם (6)'!H502='סיווג התפקידים והעלויות'!$D$2),IF('עלויות כח אדם (6)'!J502&lt;75,"לא תקין","תקין"),"")</f>
        <v/>
      </c>
      <c r="AE502" s="374" t="str">
        <f t="shared" si="119"/>
        <v/>
      </c>
      <c r="AF502" s="532" t="str">
        <f t="shared" si="120"/>
        <v/>
      </c>
    </row>
    <row r="503" spans="2:32" x14ac:dyDescent="0.25">
      <c r="B503" s="695"/>
      <c r="C503" s="197" t="str">
        <f>IF(B503&lt;&gt;"",IFERROR(VLOOKUP(B:B,'מצבת והרשמה (2)'!$C$20:$N$520,2,0)," ")," ")</f>
        <v xml:space="preserve"> </v>
      </c>
      <c r="D503" s="695"/>
      <c r="E503" s="696"/>
      <c r="F503" s="696"/>
      <c r="G503" s="696"/>
      <c r="H503" s="696"/>
      <c r="I503" s="1050" t="str">
        <f t="shared" si="107"/>
        <v/>
      </c>
      <c r="J503" s="696"/>
      <c r="K503" s="697"/>
      <c r="L503" s="696"/>
      <c r="M503" s="198" t="str">
        <f t="shared" si="108"/>
        <v/>
      </c>
      <c r="N503" s="369" t="str">
        <f t="shared" si="109"/>
        <v/>
      </c>
      <c r="O503" s="183" t="str">
        <f t="shared" si="110"/>
        <v/>
      </c>
      <c r="P503" s="199" t="str">
        <f t="shared" si="111"/>
        <v/>
      </c>
      <c r="Q503" s="199" t="str">
        <f>IF(B503="","",IFERROR(IF('עלויות כח אדם (6)'!J503&gt;=VLOOKUP(I503,'סיווג התפקידים והעלויות'!$B$23:$C$32,2,0),"תקין","לא תקין"),""))</f>
        <v/>
      </c>
      <c r="R503" s="199" t="str">
        <f t="shared" si="112"/>
        <v/>
      </c>
      <c r="S503" s="199" t="str">
        <f t="shared" si="113"/>
        <v/>
      </c>
      <c r="T503" s="199" t="str">
        <f t="shared" si="121"/>
        <v/>
      </c>
      <c r="U503" s="199" t="str">
        <f t="shared" si="114"/>
        <v/>
      </c>
      <c r="V503" s="989"/>
      <c r="X503" s="374" t="str">
        <f t="shared" si="115"/>
        <v/>
      </c>
      <c r="Y503" s="375" t="str">
        <f t="shared" si="116"/>
        <v/>
      </c>
      <c r="Z503" s="374" t="str">
        <f t="shared" si="117"/>
        <v/>
      </c>
      <c r="AA503" s="374" t="b">
        <f t="shared" si="118"/>
        <v>1</v>
      </c>
      <c r="AB503" s="374">
        <f>COUNTIFS(B:B,B503,H:H,'סיווג התפקידים והעלויות'!$C$2)</f>
        <v>0</v>
      </c>
      <c r="AC503" s="374">
        <f>COUNTIFS(B:B,B503,H:H,'סיווג התפקידים והעלויות'!$D$2)</f>
        <v>0</v>
      </c>
      <c r="AD503" s="374" t="str">
        <f>IF(OR(AND(H503='סיווג התפקידים והעלויות'!$A$2,I503='סיווג התפקידים והעלויות'!$A$3),'עלויות כח אדם (6)'!H503='סיווג התפקידים והעלויות'!$C$2,'עלויות כח אדם (6)'!H503='סיווג התפקידים והעלויות'!$D$2),IF('עלויות כח אדם (6)'!J503&lt;75,"לא תקין","תקין"),"")</f>
        <v/>
      </c>
      <c r="AE503" s="374" t="str">
        <f t="shared" si="119"/>
        <v/>
      </c>
      <c r="AF503" s="532" t="str">
        <f t="shared" si="120"/>
        <v/>
      </c>
    </row>
    <row r="504" spans="2:32" x14ac:dyDescent="0.25">
      <c r="B504" s="695"/>
      <c r="C504" s="197" t="str">
        <f>IF(B504&lt;&gt;"",IFERROR(VLOOKUP(B:B,'מצבת והרשמה (2)'!$C$20:$N$520,2,0)," ")," ")</f>
        <v xml:space="preserve"> </v>
      </c>
      <c r="D504" s="695"/>
      <c r="E504" s="696"/>
      <c r="F504" s="696"/>
      <c r="G504" s="696"/>
      <c r="H504" s="696"/>
      <c r="I504" s="1050" t="str">
        <f t="shared" si="107"/>
        <v/>
      </c>
      <c r="J504" s="696"/>
      <c r="K504" s="697"/>
      <c r="L504" s="696"/>
      <c r="M504" s="198" t="str">
        <f t="shared" si="108"/>
        <v/>
      </c>
      <c r="N504" s="369" t="str">
        <f t="shared" si="109"/>
        <v/>
      </c>
      <c r="O504" s="183" t="str">
        <f t="shared" si="110"/>
        <v/>
      </c>
      <c r="P504" s="199" t="str">
        <f t="shared" si="111"/>
        <v/>
      </c>
      <c r="Q504" s="199" t="str">
        <f>IF(B504="","",IFERROR(IF('עלויות כח אדם (6)'!J504&gt;=VLOOKUP(I504,'סיווג התפקידים והעלויות'!$B$23:$C$32,2,0),"תקין","לא תקין"),""))</f>
        <v/>
      </c>
      <c r="R504" s="199" t="str">
        <f t="shared" si="112"/>
        <v/>
      </c>
      <c r="S504" s="199" t="str">
        <f t="shared" si="113"/>
        <v/>
      </c>
      <c r="T504" s="199" t="str">
        <f t="shared" si="121"/>
        <v/>
      </c>
      <c r="U504" s="199" t="str">
        <f t="shared" si="114"/>
        <v/>
      </c>
      <c r="V504" s="989"/>
      <c r="X504" s="374" t="str">
        <f t="shared" si="115"/>
        <v/>
      </c>
      <c r="Y504" s="375" t="str">
        <f t="shared" si="116"/>
        <v/>
      </c>
      <c r="Z504" s="374" t="str">
        <f t="shared" si="117"/>
        <v/>
      </c>
      <c r="AA504" s="374" t="b">
        <f t="shared" si="118"/>
        <v>1</v>
      </c>
      <c r="AB504" s="374">
        <f>COUNTIFS(B:B,B504,H:H,'סיווג התפקידים והעלויות'!$C$2)</f>
        <v>0</v>
      </c>
      <c r="AC504" s="374">
        <f>COUNTIFS(B:B,B504,H:H,'סיווג התפקידים והעלויות'!$D$2)</f>
        <v>0</v>
      </c>
      <c r="AD504" s="374" t="str">
        <f>IF(OR(AND(H504='סיווג התפקידים והעלויות'!$A$2,I504='סיווג התפקידים והעלויות'!$A$3),'עלויות כח אדם (6)'!H504='סיווג התפקידים והעלויות'!$C$2,'עלויות כח אדם (6)'!H504='סיווג התפקידים והעלויות'!$D$2),IF('עלויות כח אדם (6)'!J504&lt;75,"לא תקין","תקין"),"")</f>
        <v/>
      </c>
      <c r="AE504" s="374" t="str">
        <f t="shared" si="119"/>
        <v/>
      </c>
      <c r="AF504" s="532" t="str">
        <f t="shared" si="120"/>
        <v/>
      </c>
    </row>
    <row r="505" spans="2:32" x14ac:dyDescent="0.25">
      <c r="B505" s="695"/>
      <c r="C505" s="197" t="str">
        <f>IF(B505&lt;&gt;"",IFERROR(VLOOKUP(B:B,'מצבת והרשמה (2)'!$C$20:$N$520,2,0)," ")," ")</f>
        <v xml:space="preserve"> </v>
      </c>
      <c r="D505" s="695"/>
      <c r="E505" s="696"/>
      <c r="F505" s="696"/>
      <c r="G505" s="696"/>
      <c r="H505" s="696"/>
      <c r="I505" s="1050" t="str">
        <f t="shared" si="107"/>
        <v/>
      </c>
      <c r="J505" s="696"/>
      <c r="K505" s="697"/>
      <c r="L505" s="696"/>
      <c r="M505" s="198" t="str">
        <f t="shared" si="108"/>
        <v/>
      </c>
      <c r="N505" s="369" t="str">
        <f t="shared" si="109"/>
        <v/>
      </c>
      <c r="O505" s="183" t="str">
        <f t="shared" si="110"/>
        <v/>
      </c>
      <c r="P505" s="199" t="str">
        <f t="shared" si="111"/>
        <v/>
      </c>
      <c r="Q505" s="199" t="str">
        <f>IF(B505="","",IFERROR(IF('עלויות כח אדם (6)'!J505&gt;=VLOOKUP(I505,'סיווג התפקידים והעלויות'!$B$23:$C$32,2,0),"תקין","לא תקין"),""))</f>
        <v/>
      </c>
      <c r="R505" s="199" t="str">
        <f t="shared" si="112"/>
        <v/>
      </c>
      <c r="S505" s="199" t="str">
        <f t="shared" si="113"/>
        <v/>
      </c>
      <c r="T505" s="199" t="str">
        <f t="shared" si="121"/>
        <v/>
      </c>
      <c r="U505" s="199" t="str">
        <f t="shared" si="114"/>
        <v/>
      </c>
      <c r="V505" s="989"/>
      <c r="X505" s="374" t="str">
        <f t="shared" si="115"/>
        <v/>
      </c>
      <c r="Y505" s="375" t="str">
        <f t="shared" si="116"/>
        <v/>
      </c>
      <c r="Z505" s="374" t="str">
        <f t="shared" si="117"/>
        <v/>
      </c>
      <c r="AA505" s="374" t="b">
        <f t="shared" si="118"/>
        <v>1</v>
      </c>
      <c r="AB505" s="374">
        <f>COUNTIFS(B:B,B505,H:H,'סיווג התפקידים והעלויות'!$C$2)</f>
        <v>0</v>
      </c>
      <c r="AC505" s="374">
        <f>COUNTIFS(B:B,B505,H:H,'סיווג התפקידים והעלויות'!$D$2)</f>
        <v>0</v>
      </c>
      <c r="AD505" s="374" t="str">
        <f>IF(OR(AND(H505='סיווג התפקידים והעלויות'!$A$2,I505='סיווג התפקידים והעלויות'!$A$3),'עלויות כח אדם (6)'!H505='סיווג התפקידים והעלויות'!$C$2,'עלויות כח אדם (6)'!H505='סיווג התפקידים והעלויות'!$D$2),IF('עלויות כח אדם (6)'!J505&lt;75,"לא תקין","תקין"),"")</f>
        <v/>
      </c>
      <c r="AE505" s="374" t="str">
        <f t="shared" si="119"/>
        <v/>
      </c>
      <c r="AF505" s="532" t="str">
        <f t="shared" si="120"/>
        <v/>
      </c>
    </row>
    <row r="506" spans="2:32" x14ac:dyDescent="0.25">
      <c r="B506" s="695"/>
      <c r="C506" s="197" t="str">
        <f>IF(B506&lt;&gt;"",IFERROR(VLOOKUP(B:B,'מצבת והרשמה (2)'!$C$20:$N$520,2,0)," ")," ")</f>
        <v xml:space="preserve"> </v>
      </c>
      <c r="D506" s="695"/>
      <c r="E506" s="696"/>
      <c r="F506" s="696"/>
      <c r="G506" s="696"/>
      <c r="H506" s="696"/>
      <c r="I506" s="1050" t="str">
        <f t="shared" si="107"/>
        <v/>
      </c>
      <c r="J506" s="696"/>
      <c r="K506" s="697"/>
      <c r="L506" s="696"/>
      <c r="M506" s="198" t="str">
        <f t="shared" si="108"/>
        <v/>
      </c>
      <c r="N506" s="369" t="str">
        <f t="shared" si="109"/>
        <v/>
      </c>
      <c r="O506" s="183" t="str">
        <f t="shared" si="110"/>
        <v/>
      </c>
      <c r="P506" s="199" t="str">
        <f t="shared" si="111"/>
        <v/>
      </c>
      <c r="Q506" s="199" t="str">
        <f>IF(B506="","",IFERROR(IF('עלויות כח אדם (6)'!J506&gt;=VLOOKUP(I506,'סיווג התפקידים והעלויות'!$B$23:$C$32,2,0),"תקין","לא תקין"),""))</f>
        <v/>
      </c>
      <c r="R506" s="199" t="str">
        <f t="shared" si="112"/>
        <v/>
      </c>
      <c r="S506" s="199" t="str">
        <f t="shared" si="113"/>
        <v/>
      </c>
      <c r="T506" s="199" t="str">
        <f t="shared" si="121"/>
        <v/>
      </c>
      <c r="U506" s="199" t="str">
        <f t="shared" si="114"/>
        <v/>
      </c>
      <c r="V506" s="989"/>
      <c r="X506" s="374" t="str">
        <f t="shared" si="115"/>
        <v/>
      </c>
      <c r="Y506" s="375" t="str">
        <f t="shared" si="116"/>
        <v/>
      </c>
      <c r="Z506" s="374" t="str">
        <f t="shared" si="117"/>
        <v/>
      </c>
      <c r="AA506" s="374" t="b">
        <f t="shared" si="118"/>
        <v>1</v>
      </c>
      <c r="AB506" s="374">
        <f>COUNTIFS(B:B,B506,H:H,'סיווג התפקידים והעלויות'!$C$2)</f>
        <v>0</v>
      </c>
      <c r="AC506" s="374">
        <f>COUNTIFS(B:B,B506,H:H,'סיווג התפקידים והעלויות'!$D$2)</f>
        <v>0</v>
      </c>
      <c r="AD506" s="374" t="str">
        <f>IF(OR(AND(H506='סיווג התפקידים והעלויות'!$A$2,I506='סיווג התפקידים והעלויות'!$A$3),'עלויות כח אדם (6)'!H506='סיווג התפקידים והעלויות'!$C$2,'עלויות כח אדם (6)'!H506='סיווג התפקידים והעלויות'!$D$2),IF('עלויות כח אדם (6)'!J506&lt;75,"לא תקין","תקין"),"")</f>
        <v/>
      </c>
      <c r="AE506" s="374" t="str">
        <f t="shared" si="119"/>
        <v/>
      </c>
      <c r="AF506" s="532" t="str">
        <f t="shared" si="120"/>
        <v/>
      </c>
    </row>
    <row r="507" spans="2:32" x14ac:dyDescent="0.25">
      <c r="B507" s="695"/>
      <c r="C507" s="197" t="str">
        <f>IF(B507&lt;&gt;"",IFERROR(VLOOKUP(B:B,'מצבת והרשמה (2)'!$C$20:$N$520,2,0)," ")," ")</f>
        <v xml:space="preserve"> </v>
      </c>
      <c r="D507" s="695"/>
      <c r="E507" s="696"/>
      <c r="F507" s="696"/>
      <c r="G507" s="696"/>
      <c r="H507" s="696"/>
      <c r="I507" s="1050" t="str">
        <f t="shared" si="107"/>
        <v/>
      </c>
      <c r="J507" s="696"/>
      <c r="K507" s="697"/>
      <c r="L507" s="696"/>
      <c r="M507" s="198" t="str">
        <f t="shared" si="108"/>
        <v/>
      </c>
      <c r="N507" s="369" t="str">
        <f t="shared" si="109"/>
        <v/>
      </c>
      <c r="O507" s="183" t="str">
        <f t="shared" si="110"/>
        <v/>
      </c>
      <c r="P507" s="199" t="str">
        <f t="shared" si="111"/>
        <v/>
      </c>
      <c r="Q507" s="199" t="str">
        <f>IF(B507="","",IFERROR(IF('עלויות כח אדם (6)'!J507&gt;=VLOOKUP(I507,'סיווג התפקידים והעלויות'!$B$23:$C$32,2,0),"תקין","לא תקין"),""))</f>
        <v/>
      </c>
      <c r="R507" s="199" t="str">
        <f t="shared" si="112"/>
        <v/>
      </c>
      <c r="S507" s="199" t="str">
        <f t="shared" si="113"/>
        <v/>
      </c>
      <c r="T507" s="199" t="str">
        <f t="shared" si="121"/>
        <v/>
      </c>
      <c r="U507" s="199" t="str">
        <f t="shared" si="114"/>
        <v/>
      </c>
      <c r="V507" s="989"/>
      <c r="X507" s="374" t="str">
        <f t="shared" si="115"/>
        <v/>
      </c>
      <c r="Y507" s="375" t="str">
        <f t="shared" si="116"/>
        <v/>
      </c>
      <c r="Z507" s="374" t="str">
        <f t="shared" si="117"/>
        <v/>
      </c>
      <c r="AA507" s="374" t="b">
        <f t="shared" si="118"/>
        <v>1</v>
      </c>
      <c r="AB507" s="374">
        <f>COUNTIFS(B:B,B507,H:H,'סיווג התפקידים והעלויות'!$C$2)</f>
        <v>0</v>
      </c>
      <c r="AC507" s="374">
        <f>COUNTIFS(B:B,B507,H:H,'סיווג התפקידים והעלויות'!$D$2)</f>
        <v>0</v>
      </c>
      <c r="AD507" s="374" t="str">
        <f>IF(OR(AND(H507='סיווג התפקידים והעלויות'!$A$2,I507='סיווג התפקידים והעלויות'!$A$3),'עלויות כח אדם (6)'!H507='סיווג התפקידים והעלויות'!$C$2,'עלויות כח אדם (6)'!H507='סיווג התפקידים והעלויות'!$D$2),IF('עלויות כח אדם (6)'!J507&lt;75,"לא תקין","תקין"),"")</f>
        <v/>
      </c>
      <c r="AE507" s="374" t="str">
        <f t="shared" si="119"/>
        <v/>
      </c>
      <c r="AF507" s="532" t="str">
        <f t="shared" si="120"/>
        <v/>
      </c>
    </row>
    <row r="508" spans="2:32" x14ac:dyDescent="0.25">
      <c r="B508" s="695"/>
      <c r="C508" s="197" t="str">
        <f>IF(B508&lt;&gt;"",IFERROR(VLOOKUP(B:B,'מצבת והרשמה (2)'!$C$20:$N$520,2,0)," ")," ")</f>
        <v xml:space="preserve"> </v>
      </c>
      <c r="D508" s="695"/>
      <c r="E508" s="696"/>
      <c r="F508" s="696"/>
      <c r="G508" s="696"/>
      <c r="H508" s="696"/>
      <c r="I508" s="1050" t="str">
        <f t="shared" si="107"/>
        <v/>
      </c>
      <c r="J508" s="696"/>
      <c r="K508" s="697"/>
      <c r="L508" s="696"/>
      <c r="M508" s="198" t="str">
        <f t="shared" si="108"/>
        <v/>
      </c>
      <c r="N508" s="369" t="str">
        <f t="shared" si="109"/>
        <v/>
      </c>
      <c r="O508" s="183" t="str">
        <f t="shared" si="110"/>
        <v/>
      </c>
      <c r="P508" s="199" t="str">
        <f t="shared" si="111"/>
        <v/>
      </c>
      <c r="Q508" s="199" t="str">
        <f>IF(B508="","",IFERROR(IF('עלויות כח אדם (6)'!J508&gt;=VLOOKUP(I508,'סיווג התפקידים והעלויות'!$B$23:$C$32,2,0),"תקין","לא תקין"),""))</f>
        <v/>
      </c>
      <c r="R508" s="199" t="str">
        <f t="shared" si="112"/>
        <v/>
      </c>
      <c r="S508" s="199" t="str">
        <f t="shared" si="113"/>
        <v/>
      </c>
      <c r="T508" s="199" t="str">
        <f t="shared" si="121"/>
        <v/>
      </c>
      <c r="U508" s="199" t="str">
        <f t="shared" si="114"/>
        <v/>
      </c>
      <c r="V508" s="989"/>
      <c r="X508" s="374" t="str">
        <f t="shared" si="115"/>
        <v/>
      </c>
      <c r="Y508" s="375" t="str">
        <f t="shared" si="116"/>
        <v/>
      </c>
      <c r="Z508" s="374" t="str">
        <f t="shared" si="117"/>
        <v/>
      </c>
      <c r="AA508" s="374" t="b">
        <f t="shared" si="118"/>
        <v>1</v>
      </c>
      <c r="AB508" s="374">
        <f>COUNTIFS(B:B,B508,H:H,'סיווג התפקידים והעלויות'!$C$2)</f>
        <v>0</v>
      </c>
      <c r="AC508" s="374">
        <f>COUNTIFS(B:B,B508,H:H,'סיווג התפקידים והעלויות'!$D$2)</f>
        <v>0</v>
      </c>
      <c r="AD508" s="374" t="str">
        <f>IF(OR(AND(H508='סיווג התפקידים והעלויות'!$A$2,I508='סיווג התפקידים והעלויות'!$A$3),'עלויות כח אדם (6)'!H508='סיווג התפקידים והעלויות'!$C$2,'עלויות כח אדם (6)'!H508='סיווג התפקידים והעלויות'!$D$2),IF('עלויות כח אדם (6)'!J508&lt;75,"לא תקין","תקין"),"")</f>
        <v/>
      </c>
      <c r="AE508" s="374" t="str">
        <f t="shared" si="119"/>
        <v/>
      </c>
      <c r="AF508" s="532" t="str">
        <f t="shared" si="120"/>
        <v/>
      </c>
    </row>
    <row r="509" spans="2:32" x14ac:dyDescent="0.25">
      <c r="B509" s="695"/>
      <c r="C509" s="197" t="str">
        <f>IF(B509&lt;&gt;"",IFERROR(VLOOKUP(B:B,'מצבת והרשמה (2)'!$C$20:$N$520,2,0)," ")," ")</f>
        <v xml:space="preserve"> </v>
      </c>
      <c r="D509" s="695"/>
      <c r="E509" s="696"/>
      <c r="F509" s="696"/>
      <c r="G509" s="696"/>
      <c r="H509" s="696"/>
      <c r="I509" s="1050" t="str">
        <f t="shared" si="107"/>
        <v/>
      </c>
      <c r="J509" s="696"/>
      <c r="K509" s="697"/>
      <c r="L509" s="696"/>
      <c r="M509" s="198" t="str">
        <f t="shared" si="108"/>
        <v/>
      </c>
      <c r="N509" s="369" t="str">
        <f t="shared" si="109"/>
        <v/>
      </c>
      <c r="O509" s="183" t="str">
        <f t="shared" si="110"/>
        <v/>
      </c>
      <c r="P509" s="199" t="str">
        <f t="shared" si="111"/>
        <v/>
      </c>
      <c r="Q509" s="199" t="str">
        <f>IF(B509="","",IFERROR(IF('עלויות כח אדם (6)'!J509&gt;=VLOOKUP(I509,'סיווג התפקידים והעלויות'!$B$23:$C$32,2,0),"תקין","לא תקין"),""))</f>
        <v/>
      </c>
      <c r="R509" s="199" t="str">
        <f t="shared" si="112"/>
        <v/>
      </c>
      <c r="S509" s="199" t="str">
        <f t="shared" si="113"/>
        <v/>
      </c>
      <c r="T509" s="199" t="str">
        <f t="shared" si="121"/>
        <v/>
      </c>
      <c r="U509" s="199" t="str">
        <f t="shared" si="114"/>
        <v/>
      </c>
      <c r="V509" s="989"/>
      <c r="X509" s="374" t="str">
        <f t="shared" si="115"/>
        <v/>
      </c>
      <c r="Y509" s="375" t="str">
        <f t="shared" si="116"/>
        <v/>
      </c>
      <c r="Z509" s="374" t="str">
        <f t="shared" si="117"/>
        <v/>
      </c>
      <c r="AA509" s="374" t="b">
        <f t="shared" si="118"/>
        <v>1</v>
      </c>
      <c r="AB509" s="374">
        <f>COUNTIFS(B:B,B509,H:H,'סיווג התפקידים והעלויות'!$C$2)</f>
        <v>0</v>
      </c>
      <c r="AC509" s="374">
        <f>COUNTIFS(B:B,B509,H:H,'סיווג התפקידים והעלויות'!$D$2)</f>
        <v>0</v>
      </c>
      <c r="AD509" s="374" t="str">
        <f>IF(OR(AND(H509='סיווג התפקידים והעלויות'!$A$2,I509='סיווג התפקידים והעלויות'!$A$3),'עלויות כח אדם (6)'!H509='סיווג התפקידים והעלויות'!$C$2,'עלויות כח אדם (6)'!H509='סיווג התפקידים והעלויות'!$D$2),IF('עלויות כח אדם (6)'!J509&lt;75,"לא תקין","תקין"),"")</f>
        <v/>
      </c>
      <c r="AE509" s="374" t="str">
        <f t="shared" si="119"/>
        <v/>
      </c>
      <c r="AF509" s="532" t="str">
        <f t="shared" si="120"/>
        <v/>
      </c>
    </row>
    <row r="510" spans="2:32" x14ac:dyDescent="0.25">
      <c r="B510" s="695"/>
      <c r="C510" s="197" t="str">
        <f>IF(B510&lt;&gt;"",IFERROR(VLOOKUP(B:B,'מצבת והרשמה (2)'!$C$20:$N$520,2,0)," ")," ")</f>
        <v xml:space="preserve"> </v>
      </c>
      <c r="D510" s="695"/>
      <c r="E510" s="696"/>
      <c r="F510" s="696"/>
      <c r="G510" s="696"/>
      <c r="H510" s="696"/>
      <c r="I510" s="1050" t="str">
        <f t="shared" si="107"/>
        <v/>
      </c>
      <c r="J510" s="696"/>
      <c r="K510" s="697"/>
      <c r="L510" s="696"/>
      <c r="M510" s="198" t="str">
        <f t="shared" si="108"/>
        <v/>
      </c>
      <c r="N510" s="369" t="str">
        <f t="shared" si="109"/>
        <v/>
      </c>
      <c r="O510" s="183" t="str">
        <f t="shared" si="110"/>
        <v/>
      </c>
      <c r="P510" s="199" t="str">
        <f t="shared" si="111"/>
        <v/>
      </c>
      <c r="Q510" s="199" t="str">
        <f>IF(B510="","",IFERROR(IF('עלויות כח אדם (6)'!J510&gt;=VLOOKUP(I510,'סיווג התפקידים והעלויות'!$B$23:$C$32,2,0),"תקין","לא תקין"),""))</f>
        <v/>
      </c>
      <c r="R510" s="199" t="str">
        <f t="shared" si="112"/>
        <v/>
      </c>
      <c r="S510" s="199" t="str">
        <f t="shared" si="113"/>
        <v/>
      </c>
      <c r="T510" s="199" t="str">
        <f t="shared" si="121"/>
        <v/>
      </c>
      <c r="U510" s="199" t="str">
        <f t="shared" si="114"/>
        <v/>
      </c>
      <c r="V510" s="989"/>
      <c r="X510" s="374" t="str">
        <f t="shared" si="115"/>
        <v/>
      </c>
      <c r="Y510" s="375" t="str">
        <f t="shared" si="116"/>
        <v/>
      </c>
      <c r="Z510" s="374" t="str">
        <f t="shared" si="117"/>
        <v/>
      </c>
      <c r="AA510" s="374" t="b">
        <f t="shared" si="118"/>
        <v>1</v>
      </c>
      <c r="AB510" s="374">
        <f>COUNTIFS(B:B,B510,H:H,'סיווג התפקידים והעלויות'!$C$2)</f>
        <v>0</v>
      </c>
      <c r="AC510" s="374">
        <f>COUNTIFS(B:B,B510,H:H,'סיווג התפקידים והעלויות'!$D$2)</f>
        <v>0</v>
      </c>
      <c r="AD510" s="374" t="str">
        <f>IF(OR(AND(H510='סיווג התפקידים והעלויות'!$A$2,I510='סיווג התפקידים והעלויות'!$A$3),'עלויות כח אדם (6)'!H510='סיווג התפקידים והעלויות'!$C$2,'עלויות כח אדם (6)'!H510='סיווג התפקידים והעלויות'!$D$2),IF('עלויות כח אדם (6)'!J510&lt;75,"לא תקין","תקין"),"")</f>
        <v/>
      </c>
      <c r="AE510" s="374" t="str">
        <f t="shared" si="119"/>
        <v/>
      </c>
      <c r="AF510" s="532" t="str">
        <f t="shared" si="120"/>
        <v/>
      </c>
    </row>
    <row r="511" spans="2:32" x14ac:dyDescent="0.25">
      <c r="B511" s="695"/>
      <c r="C511" s="197" t="str">
        <f>IF(B511&lt;&gt;"",IFERROR(VLOOKUP(B:B,'מצבת והרשמה (2)'!$C$20:$N$520,2,0)," ")," ")</f>
        <v xml:space="preserve"> </v>
      </c>
      <c r="D511" s="695"/>
      <c r="E511" s="696"/>
      <c r="F511" s="696"/>
      <c r="G511" s="696"/>
      <c r="H511" s="696"/>
      <c r="I511" s="1050" t="str">
        <f t="shared" si="107"/>
        <v/>
      </c>
      <c r="J511" s="696"/>
      <c r="K511" s="697"/>
      <c r="L511" s="696"/>
      <c r="M511" s="198" t="str">
        <f t="shared" si="108"/>
        <v/>
      </c>
      <c r="N511" s="369" t="str">
        <f t="shared" si="109"/>
        <v/>
      </c>
      <c r="O511" s="183" t="str">
        <f t="shared" si="110"/>
        <v/>
      </c>
      <c r="P511" s="199" t="str">
        <f t="shared" si="111"/>
        <v/>
      </c>
      <c r="Q511" s="199" t="str">
        <f>IF(B511="","",IFERROR(IF('עלויות כח אדם (6)'!J511&gt;=VLOOKUP(I511,'סיווג התפקידים והעלויות'!$B$23:$C$32,2,0),"תקין","לא תקין"),""))</f>
        <v/>
      </c>
      <c r="R511" s="199" t="str">
        <f t="shared" si="112"/>
        <v/>
      </c>
      <c r="S511" s="199" t="str">
        <f t="shared" si="113"/>
        <v/>
      </c>
      <c r="T511" s="199" t="str">
        <f t="shared" si="121"/>
        <v/>
      </c>
      <c r="U511" s="199" t="str">
        <f t="shared" si="114"/>
        <v/>
      </c>
      <c r="V511" s="989"/>
      <c r="X511" s="374" t="str">
        <f t="shared" si="115"/>
        <v/>
      </c>
      <c r="Y511" s="375" t="str">
        <f t="shared" si="116"/>
        <v/>
      </c>
      <c r="Z511" s="374" t="str">
        <f t="shared" si="117"/>
        <v/>
      </c>
      <c r="AA511" s="374" t="b">
        <f t="shared" si="118"/>
        <v>1</v>
      </c>
      <c r="AB511" s="374">
        <f>COUNTIFS(B:B,B511,H:H,'סיווג התפקידים והעלויות'!$C$2)</f>
        <v>0</v>
      </c>
      <c r="AC511" s="374">
        <f>COUNTIFS(B:B,B511,H:H,'סיווג התפקידים והעלויות'!$D$2)</f>
        <v>0</v>
      </c>
      <c r="AD511" s="374" t="str">
        <f>IF(OR(AND(H511='סיווג התפקידים והעלויות'!$A$2,I511='סיווג התפקידים והעלויות'!$A$3),'עלויות כח אדם (6)'!H511='סיווג התפקידים והעלויות'!$C$2,'עלויות כח אדם (6)'!H511='סיווג התפקידים והעלויות'!$D$2),IF('עלויות כח אדם (6)'!J511&lt;75,"לא תקין","תקין"),"")</f>
        <v/>
      </c>
      <c r="AE511" s="374" t="str">
        <f t="shared" si="119"/>
        <v/>
      </c>
      <c r="AF511" s="532" t="str">
        <f t="shared" si="120"/>
        <v/>
      </c>
    </row>
    <row r="512" spans="2:32" x14ac:dyDescent="0.25">
      <c r="B512" s="695"/>
      <c r="C512" s="197" t="str">
        <f>IF(B512&lt;&gt;"",IFERROR(VLOOKUP(B:B,'מצבת והרשמה (2)'!$C$20:$N$520,2,0)," ")," ")</f>
        <v xml:space="preserve"> </v>
      </c>
      <c r="D512" s="695"/>
      <c r="E512" s="696"/>
      <c r="F512" s="696"/>
      <c r="G512" s="696"/>
      <c r="H512" s="696"/>
      <c r="I512" s="1050" t="str">
        <f t="shared" si="107"/>
        <v/>
      </c>
      <c r="J512" s="696"/>
      <c r="K512" s="697"/>
      <c r="L512" s="696"/>
      <c r="M512" s="198" t="str">
        <f t="shared" si="108"/>
        <v/>
      </c>
      <c r="N512" s="369" t="str">
        <f t="shared" si="109"/>
        <v/>
      </c>
      <c r="O512" s="183" t="str">
        <f t="shared" si="110"/>
        <v/>
      </c>
      <c r="P512" s="199" t="str">
        <f t="shared" si="111"/>
        <v/>
      </c>
      <c r="Q512" s="199" t="str">
        <f>IF(B512="","",IFERROR(IF('עלויות כח אדם (6)'!J512&gt;=VLOOKUP(I512,'סיווג התפקידים והעלויות'!$B$23:$C$32,2,0),"תקין","לא תקין"),""))</f>
        <v/>
      </c>
      <c r="R512" s="199" t="str">
        <f t="shared" si="112"/>
        <v/>
      </c>
      <c r="S512" s="199" t="str">
        <f t="shared" si="113"/>
        <v/>
      </c>
      <c r="T512" s="199" t="str">
        <f t="shared" si="121"/>
        <v/>
      </c>
      <c r="U512" s="199" t="str">
        <f t="shared" si="114"/>
        <v/>
      </c>
      <c r="V512" s="989"/>
      <c r="X512" s="374" t="str">
        <f t="shared" si="115"/>
        <v/>
      </c>
      <c r="Y512" s="375" t="str">
        <f t="shared" si="116"/>
        <v/>
      </c>
      <c r="Z512" s="374" t="str">
        <f t="shared" si="117"/>
        <v/>
      </c>
      <c r="AA512" s="374" t="b">
        <f t="shared" si="118"/>
        <v>1</v>
      </c>
      <c r="AB512" s="374">
        <f>COUNTIFS(B:B,B512,H:H,'סיווג התפקידים והעלויות'!$C$2)</f>
        <v>0</v>
      </c>
      <c r="AC512" s="374">
        <f>COUNTIFS(B:B,B512,H:H,'סיווג התפקידים והעלויות'!$D$2)</f>
        <v>0</v>
      </c>
      <c r="AD512" s="374" t="str">
        <f>IF(OR(AND(H512='סיווג התפקידים והעלויות'!$A$2,I512='סיווג התפקידים והעלויות'!$A$3),'עלויות כח אדם (6)'!H512='סיווג התפקידים והעלויות'!$C$2,'עלויות כח אדם (6)'!H512='סיווג התפקידים והעלויות'!$D$2),IF('עלויות כח אדם (6)'!J512&lt;75,"לא תקין","תקין"),"")</f>
        <v/>
      </c>
      <c r="AE512" s="374" t="str">
        <f t="shared" si="119"/>
        <v/>
      </c>
      <c r="AF512" s="532" t="str">
        <f t="shared" si="120"/>
        <v/>
      </c>
    </row>
    <row r="513" spans="2:32" x14ac:dyDescent="0.25">
      <c r="B513" s="695"/>
      <c r="C513" s="197" t="str">
        <f>IF(B513&lt;&gt;"",IFERROR(VLOOKUP(B:B,'מצבת והרשמה (2)'!$C$20:$N$520,2,0)," ")," ")</f>
        <v xml:space="preserve"> </v>
      </c>
      <c r="D513" s="695"/>
      <c r="E513" s="696"/>
      <c r="F513" s="696"/>
      <c r="G513" s="696"/>
      <c r="H513" s="696"/>
      <c r="I513" s="1050" t="str">
        <f t="shared" si="107"/>
        <v/>
      </c>
      <c r="J513" s="696"/>
      <c r="K513" s="697"/>
      <c r="L513" s="696"/>
      <c r="M513" s="198" t="str">
        <f t="shared" si="108"/>
        <v/>
      </c>
      <c r="N513" s="369" t="str">
        <f t="shared" si="109"/>
        <v/>
      </c>
      <c r="O513" s="183" t="str">
        <f t="shared" si="110"/>
        <v/>
      </c>
      <c r="P513" s="199" t="str">
        <f t="shared" si="111"/>
        <v/>
      </c>
      <c r="Q513" s="199" t="str">
        <f>IF(B513="","",IFERROR(IF('עלויות כח אדם (6)'!J513&gt;=VLOOKUP(I513,'סיווג התפקידים והעלויות'!$B$23:$C$32,2,0),"תקין","לא תקין"),""))</f>
        <v/>
      </c>
      <c r="R513" s="199" t="str">
        <f t="shared" si="112"/>
        <v/>
      </c>
      <c r="S513" s="199" t="str">
        <f t="shared" si="113"/>
        <v/>
      </c>
      <c r="T513" s="199" t="str">
        <f t="shared" si="121"/>
        <v/>
      </c>
      <c r="U513" s="199" t="str">
        <f t="shared" si="114"/>
        <v/>
      </c>
      <c r="V513" s="989"/>
      <c r="X513" s="374" t="str">
        <f t="shared" si="115"/>
        <v/>
      </c>
      <c r="Y513" s="375" t="str">
        <f t="shared" si="116"/>
        <v/>
      </c>
      <c r="Z513" s="374" t="str">
        <f t="shared" si="117"/>
        <v/>
      </c>
      <c r="AA513" s="374" t="b">
        <f t="shared" si="118"/>
        <v>1</v>
      </c>
      <c r="AB513" s="374">
        <f>COUNTIFS(B:B,B513,H:H,'סיווג התפקידים והעלויות'!$C$2)</f>
        <v>0</v>
      </c>
      <c r="AC513" s="374">
        <f>COUNTIFS(B:B,B513,H:H,'סיווג התפקידים והעלויות'!$D$2)</f>
        <v>0</v>
      </c>
      <c r="AD513" s="374" t="str">
        <f>IF(OR(AND(H513='סיווג התפקידים והעלויות'!$A$2,I513='סיווג התפקידים והעלויות'!$A$3),'עלויות כח אדם (6)'!H513='סיווג התפקידים והעלויות'!$C$2,'עלויות כח אדם (6)'!H513='סיווג התפקידים והעלויות'!$D$2),IF('עלויות כח אדם (6)'!J513&lt;75,"לא תקין","תקין"),"")</f>
        <v/>
      </c>
      <c r="AE513" s="374" t="str">
        <f t="shared" si="119"/>
        <v/>
      </c>
      <c r="AF513" s="532" t="str">
        <f t="shared" si="120"/>
        <v/>
      </c>
    </row>
    <row r="514" spans="2:32" x14ac:dyDescent="0.25">
      <c r="B514" s="695"/>
      <c r="C514" s="197" t="str">
        <f>IF(B514&lt;&gt;"",IFERROR(VLOOKUP(B:B,'מצבת והרשמה (2)'!$C$20:$N$520,2,0)," ")," ")</f>
        <v xml:space="preserve"> </v>
      </c>
      <c r="D514" s="695"/>
      <c r="E514" s="696"/>
      <c r="F514" s="696"/>
      <c r="G514" s="696"/>
      <c r="H514" s="696"/>
      <c r="I514" s="1050" t="str">
        <f t="shared" si="107"/>
        <v/>
      </c>
      <c r="J514" s="696"/>
      <c r="K514" s="697"/>
      <c r="L514" s="696"/>
      <c r="M514" s="198" t="str">
        <f t="shared" si="108"/>
        <v/>
      </c>
      <c r="N514" s="369" t="str">
        <f t="shared" si="109"/>
        <v/>
      </c>
      <c r="O514" s="183" t="str">
        <f t="shared" si="110"/>
        <v/>
      </c>
      <c r="P514" s="199" t="str">
        <f t="shared" si="111"/>
        <v/>
      </c>
      <c r="Q514" s="199" t="str">
        <f>IF(B514="","",IFERROR(IF('עלויות כח אדם (6)'!J514&gt;=VLOOKUP(I514,'סיווג התפקידים והעלויות'!$B$23:$C$32,2,0),"תקין","לא תקין"),""))</f>
        <v/>
      </c>
      <c r="R514" s="199" t="str">
        <f t="shared" si="112"/>
        <v/>
      </c>
      <c r="S514" s="199" t="str">
        <f t="shared" si="113"/>
        <v/>
      </c>
      <c r="T514" s="199" t="str">
        <f t="shared" si="121"/>
        <v/>
      </c>
      <c r="U514" s="199" t="str">
        <f t="shared" si="114"/>
        <v/>
      </c>
      <c r="V514" s="989"/>
      <c r="X514" s="374" t="str">
        <f t="shared" si="115"/>
        <v/>
      </c>
      <c r="Y514" s="375" t="str">
        <f t="shared" si="116"/>
        <v/>
      </c>
      <c r="Z514" s="374" t="str">
        <f t="shared" si="117"/>
        <v/>
      </c>
      <c r="AA514" s="374" t="b">
        <f t="shared" si="118"/>
        <v>1</v>
      </c>
      <c r="AB514" s="374">
        <f>COUNTIFS(B:B,B514,H:H,'סיווג התפקידים והעלויות'!$C$2)</f>
        <v>0</v>
      </c>
      <c r="AC514" s="374">
        <f>COUNTIFS(B:B,B514,H:H,'סיווג התפקידים והעלויות'!$D$2)</f>
        <v>0</v>
      </c>
      <c r="AD514" s="374" t="str">
        <f>IF(OR(AND(H514='סיווג התפקידים והעלויות'!$A$2,I514='סיווג התפקידים והעלויות'!$A$3),'עלויות כח אדם (6)'!H514='סיווג התפקידים והעלויות'!$C$2,'עלויות כח אדם (6)'!H514='סיווג התפקידים והעלויות'!$D$2),IF('עלויות כח אדם (6)'!J514&lt;75,"לא תקין","תקין"),"")</f>
        <v/>
      </c>
      <c r="AE514" s="374" t="str">
        <f t="shared" si="119"/>
        <v/>
      </c>
      <c r="AF514" s="532" t="str">
        <f t="shared" si="120"/>
        <v/>
      </c>
    </row>
    <row r="515" spans="2:32" x14ac:dyDescent="0.25">
      <c r="B515" s="695"/>
      <c r="C515" s="197" t="str">
        <f>IF(B515&lt;&gt;"",IFERROR(VLOOKUP(B:B,'מצבת והרשמה (2)'!$C$20:$N$520,2,0)," ")," ")</f>
        <v xml:space="preserve"> </v>
      </c>
      <c r="D515" s="695"/>
      <c r="E515" s="696"/>
      <c r="F515" s="696"/>
      <c r="G515" s="696"/>
      <c r="H515" s="696"/>
      <c r="I515" s="1050" t="str">
        <f t="shared" si="107"/>
        <v/>
      </c>
      <c r="J515" s="696"/>
      <c r="K515" s="697"/>
      <c r="L515" s="696"/>
      <c r="M515" s="198" t="str">
        <f t="shared" si="108"/>
        <v/>
      </c>
      <c r="N515" s="369" t="str">
        <f t="shared" si="109"/>
        <v/>
      </c>
      <c r="O515" s="183" t="str">
        <f t="shared" si="110"/>
        <v/>
      </c>
      <c r="P515" s="199" t="str">
        <f t="shared" si="111"/>
        <v/>
      </c>
      <c r="Q515" s="199" t="str">
        <f>IF(B515="","",IFERROR(IF('עלויות כח אדם (6)'!J515&gt;=VLOOKUP(I515,'סיווג התפקידים והעלויות'!$B$23:$C$32,2,0),"תקין","לא תקין"),""))</f>
        <v/>
      </c>
      <c r="R515" s="199" t="str">
        <f t="shared" si="112"/>
        <v/>
      </c>
      <c r="S515" s="199" t="str">
        <f t="shared" si="113"/>
        <v/>
      </c>
      <c r="T515" s="199" t="str">
        <f t="shared" si="121"/>
        <v/>
      </c>
      <c r="U515" s="199" t="str">
        <f t="shared" si="114"/>
        <v/>
      </c>
      <c r="V515" s="989"/>
      <c r="X515" s="374" t="str">
        <f t="shared" si="115"/>
        <v/>
      </c>
      <c r="Y515" s="375" t="str">
        <f t="shared" si="116"/>
        <v/>
      </c>
      <c r="Z515" s="374" t="str">
        <f t="shared" si="117"/>
        <v/>
      </c>
      <c r="AA515" s="374" t="b">
        <f t="shared" si="118"/>
        <v>1</v>
      </c>
      <c r="AB515" s="374">
        <f>COUNTIFS(B:B,B515,H:H,'סיווג התפקידים והעלויות'!$C$2)</f>
        <v>0</v>
      </c>
      <c r="AC515" s="374">
        <f>COUNTIFS(B:B,B515,H:H,'סיווג התפקידים והעלויות'!$D$2)</f>
        <v>0</v>
      </c>
      <c r="AD515" s="374" t="str">
        <f>IF(OR(AND(H515='סיווג התפקידים והעלויות'!$A$2,I515='סיווג התפקידים והעלויות'!$A$3),'עלויות כח אדם (6)'!H515='סיווג התפקידים והעלויות'!$C$2,'עלויות כח אדם (6)'!H515='סיווג התפקידים והעלויות'!$D$2),IF('עלויות כח אדם (6)'!J515&lt;75,"לא תקין","תקין"),"")</f>
        <v/>
      </c>
      <c r="AE515" s="374" t="str">
        <f t="shared" si="119"/>
        <v/>
      </c>
      <c r="AF515" s="532" t="str">
        <f t="shared" si="120"/>
        <v/>
      </c>
    </row>
    <row r="516" spans="2:32" x14ac:dyDescent="0.25">
      <c r="B516" s="695"/>
      <c r="C516" s="197" t="str">
        <f>IF(B516&lt;&gt;"",IFERROR(VLOOKUP(B:B,'מצבת והרשמה (2)'!$C$20:$N$520,2,0)," ")," ")</f>
        <v xml:space="preserve"> </v>
      </c>
      <c r="D516" s="695"/>
      <c r="E516" s="696"/>
      <c r="F516" s="696"/>
      <c r="G516" s="696"/>
      <c r="H516" s="696"/>
      <c r="I516" s="1050" t="str">
        <f t="shared" si="107"/>
        <v/>
      </c>
      <c r="J516" s="696"/>
      <c r="K516" s="697"/>
      <c r="L516" s="696"/>
      <c r="M516" s="198" t="str">
        <f t="shared" si="108"/>
        <v/>
      </c>
      <c r="N516" s="369" t="str">
        <f t="shared" si="109"/>
        <v/>
      </c>
      <c r="O516" s="183" t="str">
        <f t="shared" si="110"/>
        <v/>
      </c>
      <c r="P516" s="199" t="str">
        <f t="shared" si="111"/>
        <v/>
      </c>
      <c r="Q516" s="199" t="str">
        <f>IF(B516="","",IFERROR(IF('עלויות כח אדם (6)'!J516&gt;=VLOOKUP(I516,'סיווג התפקידים והעלויות'!$B$23:$C$32,2,0),"תקין","לא תקין"),""))</f>
        <v/>
      </c>
      <c r="R516" s="199" t="str">
        <f t="shared" si="112"/>
        <v/>
      </c>
      <c r="S516" s="199" t="str">
        <f t="shared" si="113"/>
        <v/>
      </c>
      <c r="T516" s="199" t="str">
        <f t="shared" si="121"/>
        <v/>
      </c>
      <c r="U516" s="199" t="str">
        <f t="shared" si="114"/>
        <v/>
      </c>
      <c r="V516" s="989"/>
      <c r="X516" s="374" t="str">
        <f t="shared" si="115"/>
        <v/>
      </c>
      <c r="Y516" s="375" t="str">
        <f t="shared" si="116"/>
        <v/>
      </c>
      <c r="Z516" s="374" t="str">
        <f t="shared" si="117"/>
        <v/>
      </c>
      <c r="AA516" s="374" t="b">
        <f t="shared" si="118"/>
        <v>1</v>
      </c>
      <c r="AB516" s="374">
        <f>COUNTIFS(B:B,B516,H:H,'סיווג התפקידים והעלויות'!$C$2)</f>
        <v>0</v>
      </c>
      <c r="AC516" s="374">
        <f>COUNTIFS(B:B,B516,H:H,'סיווג התפקידים והעלויות'!$D$2)</f>
        <v>0</v>
      </c>
      <c r="AD516" s="374" t="str">
        <f>IF(OR(AND(H516='סיווג התפקידים והעלויות'!$A$2,I516='סיווג התפקידים והעלויות'!$A$3),'עלויות כח אדם (6)'!H516='סיווג התפקידים והעלויות'!$C$2,'עלויות כח אדם (6)'!H516='סיווג התפקידים והעלויות'!$D$2),IF('עלויות כח אדם (6)'!J516&lt;75,"לא תקין","תקין"),"")</f>
        <v/>
      </c>
      <c r="AE516" s="374" t="str">
        <f t="shared" si="119"/>
        <v/>
      </c>
      <c r="AF516" s="532" t="str">
        <f t="shared" si="120"/>
        <v/>
      </c>
    </row>
    <row r="517" spans="2:32" x14ac:dyDescent="0.25">
      <c r="B517" s="695"/>
      <c r="C517" s="197" t="str">
        <f>IF(B517&lt;&gt;"",IFERROR(VLOOKUP(B:B,'מצבת והרשמה (2)'!$C$20:$N$520,2,0)," ")," ")</f>
        <v xml:space="preserve"> </v>
      </c>
      <c r="D517" s="695"/>
      <c r="E517" s="696"/>
      <c r="F517" s="696"/>
      <c r="G517" s="696"/>
      <c r="H517" s="696"/>
      <c r="I517" s="1050" t="str">
        <f t="shared" si="107"/>
        <v/>
      </c>
      <c r="J517" s="696"/>
      <c r="K517" s="697"/>
      <c r="L517" s="696"/>
      <c r="M517" s="198" t="str">
        <f t="shared" si="108"/>
        <v/>
      </c>
      <c r="N517" s="369" t="str">
        <f t="shared" si="109"/>
        <v/>
      </c>
      <c r="O517" s="183" t="str">
        <f t="shared" si="110"/>
        <v/>
      </c>
      <c r="P517" s="199" t="str">
        <f t="shared" si="111"/>
        <v/>
      </c>
      <c r="Q517" s="199" t="str">
        <f>IF(B517="","",IFERROR(IF('עלויות כח אדם (6)'!J517&gt;=VLOOKUP(I517,'סיווג התפקידים והעלויות'!$B$23:$C$32,2,0),"תקין","לא תקין"),""))</f>
        <v/>
      </c>
      <c r="R517" s="199" t="str">
        <f t="shared" si="112"/>
        <v/>
      </c>
      <c r="S517" s="199" t="str">
        <f t="shared" si="113"/>
        <v/>
      </c>
      <c r="T517" s="199" t="str">
        <f t="shared" si="121"/>
        <v/>
      </c>
      <c r="U517" s="199" t="str">
        <f t="shared" si="114"/>
        <v/>
      </c>
      <c r="V517" s="989"/>
      <c r="X517" s="374" t="str">
        <f t="shared" si="115"/>
        <v/>
      </c>
      <c r="Y517" s="375" t="str">
        <f t="shared" si="116"/>
        <v/>
      </c>
      <c r="Z517" s="374" t="str">
        <f t="shared" si="117"/>
        <v/>
      </c>
      <c r="AA517" s="374" t="b">
        <f t="shared" si="118"/>
        <v>1</v>
      </c>
      <c r="AB517" s="374">
        <f>COUNTIFS(B:B,B517,H:H,'סיווג התפקידים והעלויות'!$C$2)</f>
        <v>0</v>
      </c>
      <c r="AC517" s="374">
        <f>COUNTIFS(B:B,B517,H:H,'סיווג התפקידים והעלויות'!$D$2)</f>
        <v>0</v>
      </c>
      <c r="AD517" s="374" t="str">
        <f>IF(OR(AND(H517='סיווג התפקידים והעלויות'!$A$2,I517='סיווג התפקידים והעלויות'!$A$3),'עלויות כח אדם (6)'!H517='סיווג התפקידים והעלויות'!$C$2,'עלויות כח אדם (6)'!H517='סיווג התפקידים והעלויות'!$D$2),IF('עלויות כח אדם (6)'!J517&lt;75,"לא תקין","תקין"),"")</f>
        <v/>
      </c>
      <c r="AE517" s="374" t="str">
        <f t="shared" si="119"/>
        <v/>
      </c>
      <c r="AF517" s="532" t="str">
        <f t="shared" si="120"/>
        <v/>
      </c>
    </row>
    <row r="518" spans="2:32" x14ac:dyDescent="0.25">
      <c r="B518" s="695"/>
      <c r="C518" s="197" t="str">
        <f>IF(B518&lt;&gt;"",IFERROR(VLOOKUP(B:B,'מצבת והרשמה (2)'!$C$20:$N$520,2,0)," ")," ")</f>
        <v xml:space="preserve"> </v>
      </c>
      <c r="D518" s="695"/>
      <c r="E518" s="696"/>
      <c r="F518" s="696"/>
      <c r="G518" s="696"/>
      <c r="H518" s="696"/>
      <c r="I518" s="1050" t="str">
        <f t="shared" si="107"/>
        <v/>
      </c>
      <c r="J518" s="696"/>
      <c r="K518" s="697"/>
      <c r="L518" s="696"/>
      <c r="M518" s="198" t="str">
        <f t="shared" si="108"/>
        <v/>
      </c>
      <c r="N518" s="369" t="str">
        <f t="shared" si="109"/>
        <v/>
      </c>
      <c r="O518" s="183" t="str">
        <f t="shared" si="110"/>
        <v/>
      </c>
      <c r="P518" s="199" t="str">
        <f t="shared" si="111"/>
        <v/>
      </c>
      <c r="Q518" s="199" t="str">
        <f>IF(B518="","",IFERROR(IF('עלויות כח אדם (6)'!J518&gt;=VLOOKUP(I518,'סיווג התפקידים והעלויות'!$B$23:$C$32,2,0),"תקין","לא תקין"),""))</f>
        <v/>
      </c>
      <c r="R518" s="199" t="str">
        <f t="shared" si="112"/>
        <v/>
      </c>
      <c r="S518" s="199" t="str">
        <f t="shared" si="113"/>
        <v/>
      </c>
      <c r="T518" s="199" t="str">
        <f t="shared" si="121"/>
        <v/>
      </c>
      <c r="U518" s="199" t="str">
        <f t="shared" si="114"/>
        <v/>
      </c>
      <c r="V518" s="989"/>
      <c r="X518" s="374" t="str">
        <f t="shared" si="115"/>
        <v/>
      </c>
      <c r="Y518" s="375" t="str">
        <f t="shared" si="116"/>
        <v/>
      </c>
      <c r="Z518" s="374" t="str">
        <f t="shared" si="117"/>
        <v/>
      </c>
      <c r="AA518" s="374" t="b">
        <f t="shared" si="118"/>
        <v>1</v>
      </c>
      <c r="AB518" s="374">
        <f>COUNTIFS(B:B,B518,H:H,'סיווג התפקידים והעלויות'!$C$2)</f>
        <v>0</v>
      </c>
      <c r="AC518" s="374">
        <f>COUNTIFS(B:B,B518,H:H,'סיווג התפקידים והעלויות'!$D$2)</f>
        <v>0</v>
      </c>
      <c r="AD518" s="374" t="str">
        <f>IF(OR(AND(H518='סיווג התפקידים והעלויות'!$A$2,I518='סיווג התפקידים והעלויות'!$A$3),'עלויות כח אדם (6)'!H518='סיווג התפקידים והעלויות'!$C$2,'עלויות כח אדם (6)'!H518='סיווג התפקידים והעלויות'!$D$2),IF('עלויות כח אדם (6)'!J518&lt;75,"לא תקין","תקין"),"")</f>
        <v/>
      </c>
      <c r="AE518" s="374" t="str">
        <f t="shared" si="119"/>
        <v/>
      </c>
      <c r="AF518" s="532" t="str">
        <f t="shared" si="120"/>
        <v/>
      </c>
    </row>
    <row r="519" spans="2:32" x14ac:dyDescent="0.25">
      <c r="B519" s="695"/>
      <c r="C519" s="197" t="str">
        <f>IF(B519&lt;&gt;"",IFERROR(VLOOKUP(B:B,'מצבת והרשמה (2)'!$C$20:$N$520,2,0)," ")," ")</f>
        <v xml:space="preserve"> </v>
      </c>
      <c r="D519" s="695"/>
      <c r="E519" s="696"/>
      <c r="F519" s="696"/>
      <c r="G519" s="696"/>
      <c r="H519" s="696"/>
      <c r="I519" s="1050" t="str">
        <f t="shared" si="107"/>
        <v/>
      </c>
      <c r="J519" s="696"/>
      <c r="K519" s="697"/>
      <c r="L519" s="696"/>
      <c r="M519" s="198" t="str">
        <f t="shared" si="108"/>
        <v/>
      </c>
      <c r="N519" s="369" t="str">
        <f t="shared" si="109"/>
        <v/>
      </c>
      <c r="O519" s="183" t="str">
        <f t="shared" si="110"/>
        <v/>
      </c>
      <c r="P519" s="199" t="str">
        <f t="shared" si="111"/>
        <v/>
      </c>
      <c r="Q519" s="199" t="str">
        <f>IF(B519="","",IFERROR(IF('עלויות כח אדם (6)'!J519&gt;=VLOOKUP(I519,'סיווג התפקידים והעלויות'!$B$23:$C$32,2,0),"תקין","לא תקין"),""))</f>
        <v/>
      </c>
      <c r="R519" s="199" t="str">
        <f t="shared" si="112"/>
        <v/>
      </c>
      <c r="S519" s="199" t="str">
        <f t="shared" si="113"/>
        <v/>
      </c>
      <c r="T519" s="199" t="str">
        <f t="shared" si="121"/>
        <v/>
      </c>
      <c r="U519" s="199" t="str">
        <f t="shared" si="114"/>
        <v/>
      </c>
      <c r="V519" s="989"/>
      <c r="X519" s="374" t="str">
        <f t="shared" si="115"/>
        <v/>
      </c>
      <c r="Y519" s="375" t="str">
        <f t="shared" si="116"/>
        <v/>
      </c>
      <c r="Z519" s="374" t="str">
        <f t="shared" si="117"/>
        <v/>
      </c>
      <c r="AA519" s="374" t="b">
        <f t="shared" si="118"/>
        <v>1</v>
      </c>
      <c r="AB519" s="374">
        <f>COUNTIFS(B:B,B519,H:H,'סיווג התפקידים והעלויות'!$C$2)</f>
        <v>0</v>
      </c>
      <c r="AC519" s="374">
        <f>COUNTIFS(B:B,B519,H:H,'סיווג התפקידים והעלויות'!$D$2)</f>
        <v>0</v>
      </c>
      <c r="AD519" s="374" t="str">
        <f>IF(OR(AND(H519='סיווג התפקידים והעלויות'!$A$2,I519='סיווג התפקידים והעלויות'!$A$3),'עלויות כח אדם (6)'!H519='סיווג התפקידים והעלויות'!$C$2,'עלויות כח אדם (6)'!H519='סיווג התפקידים והעלויות'!$D$2),IF('עלויות כח אדם (6)'!J519&lt;75,"לא תקין","תקין"),"")</f>
        <v/>
      </c>
      <c r="AE519" s="374" t="str">
        <f t="shared" si="119"/>
        <v/>
      </c>
      <c r="AF519" s="532" t="str">
        <f t="shared" si="120"/>
        <v/>
      </c>
    </row>
    <row r="520" spans="2:32" x14ac:dyDescent="0.25">
      <c r="B520" s="695"/>
      <c r="C520" s="197" t="str">
        <f>IF(B520&lt;&gt;"",IFERROR(VLOOKUP(B:B,'מצבת והרשמה (2)'!$C$20:$N$520,2,0)," ")," ")</f>
        <v xml:space="preserve"> </v>
      </c>
      <c r="D520" s="695"/>
      <c r="E520" s="696"/>
      <c r="F520" s="696"/>
      <c r="G520" s="696"/>
      <c r="H520" s="696"/>
      <c r="I520" s="1050" t="str">
        <f t="shared" si="107"/>
        <v/>
      </c>
      <c r="J520" s="696"/>
      <c r="K520" s="697"/>
      <c r="L520" s="696"/>
      <c r="M520" s="198" t="str">
        <f t="shared" si="108"/>
        <v/>
      </c>
      <c r="N520" s="369" t="str">
        <f t="shared" si="109"/>
        <v/>
      </c>
      <c r="O520" s="183" t="str">
        <f t="shared" si="110"/>
        <v/>
      </c>
      <c r="P520" s="199" t="str">
        <f t="shared" si="111"/>
        <v/>
      </c>
      <c r="Q520" s="199" t="str">
        <f>IF(B520="","",IFERROR(IF('עלויות כח אדם (6)'!J520&gt;=VLOOKUP(I520,'סיווג התפקידים והעלויות'!$B$23:$C$32,2,0),"תקין","לא תקין"),""))</f>
        <v/>
      </c>
      <c r="R520" s="199" t="str">
        <f t="shared" si="112"/>
        <v/>
      </c>
      <c r="S520" s="199" t="str">
        <f t="shared" si="113"/>
        <v/>
      </c>
      <c r="T520" s="199" t="str">
        <f t="shared" si="121"/>
        <v/>
      </c>
      <c r="U520" s="199" t="str">
        <f t="shared" si="114"/>
        <v/>
      </c>
      <c r="V520" s="989"/>
      <c r="X520" s="374" t="str">
        <f t="shared" si="115"/>
        <v/>
      </c>
      <c r="Y520" s="375" t="str">
        <f t="shared" si="116"/>
        <v/>
      </c>
      <c r="Z520" s="374" t="str">
        <f t="shared" si="117"/>
        <v/>
      </c>
      <c r="AA520" s="374" t="b">
        <f t="shared" si="118"/>
        <v>1</v>
      </c>
      <c r="AB520" s="374">
        <f>COUNTIFS(B:B,B520,H:H,'סיווג התפקידים והעלויות'!$C$2)</f>
        <v>0</v>
      </c>
      <c r="AC520" s="374">
        <f>COUNTIFS(B:B,B520,H:H,'סיווג התפקידים והעלויות'!$D$2)</f>
        <v>0</v>
      </c>
      <c r="AD520" s="374" t="str">
        <f>IF(OR(AND(H520='סיווג התפקידים והעלויות'!$A$2,I520='סיווג התפקידים והעלויות'!$A$3),'עלויות כח אדם (6)'!H520='סיווג התפקידים והעלויות'!$C$2,'עלויות כח אדם (6)'!H520='סיווג התפקידים והעלויות'!$D$2),IF('עלויות כח אדם (6)'!J520&lt;75,"לא תקין","תקין"),"")</f>
        <v/>
      </c>
      <c r="AE520" s="374" t="str">
        <f t="shared" si="119"/>
        <v/>
      </c>
      <c r="AF520" s="532" t="str">
        <f t="shared" si="120"/>
        <v/>
      </c>
    </row>
    <row r="521" spans="2:32" x14ac:dyDescent="0.25">
      <c r="B521" s="695"/>
      <c r="C521" s="197" t="str">
        <f>IF(B521&lt;&gt;"",IFERROR(VLOOKUP(B:B,'מצבת והרשמה (2)'!$C$20:$N$520,2,0)," ")," ")</f>
        <v xml:space="preserve"> </v>
      </c>
      <c r="D521" s="695"/>
      <c r="E521" s="696"/>
      <c r="F521" s="696"/>
      <c r="G521" s="696"/>
      <c r="H521" s="696"/>
      <c r="I521" s="1050" t="str">
        <f t="shared" si="107"/>
        <v/>
      </c>
      <c r="J521" s="696"/>
      <c r="K521" s="697"/>
      <c r="L521" s="696"/>
      <c r="M521" s="198" t="str">
        <f t="shared" si="108"/>
        <v/>
      </c>
      <c r="N521" s="369" t="str">
        <f t="shared" si="109"/>
        <v/>
      </c>
      <c r="O521" s="183" t="str">
        <f t="shared" si="110"/>
        <v/>
      </c>
      <c r="P521" s="199" t="str">
        <f t="shared" si="111"/>
        <v/>
      </c>
      <c r="Q521" s="199" t="str">
        <f>IF(B521="","",IFERROR(IF('עלויות כח אדם (6)'!J521&gt;=VLOOKUP(I521,'סיווג התפקידים והעלויות'!$B$23:$C$32,2,0),"תקין","לא תקין"),""))</f>
        <v/>
      </c>
      <c r="R521" s="199" t="str">
        <f t="shared" si="112"/>
        <v/>
      </c>
      <c r="S521" s="199" t="str">
        <f t="shared" si="113"/>
        <v/>
      </c>
      <c r="T521" s="199" t="str">
        <f t="shared" si="121"/>
        <v/>
      </c>
      <c r="U521" s="199" t="str">
        <f t="shared" si="114"/>
        <v/>
      </c>
      <c r="V521" s="989"/>
      <c r="X521" s="374" t="str">
        <f t="shared" si="115"/>
        <v/>
      </c>
      <c r="Y521" s="375" t="str">
        <f t="shared" si="116"/>
        <v/>
      </c>
      <c r="Z521" s="374" t="str">
        <f t="shared" si="117"/>
        <v/>
      </c>
      <c r="AA521" s="374" t="b">
        <f t="shared" si="118"/>
        <v>1</v>
      </c>
      <c r="AB521" s="374">
        <f>COUNTIFS(B:B,B521,H:H,'סיווג התפקידים והעלויות'!$C$2)</f>
        <v>0</v>
      </c>
      <c r="AC521" s="374">
        <f>COUNTIFS(B:B,B521,H:H,'סיווג התפקידים והעלויות'!$D$2)</f>
        <v>0</v>
      </c>
      <c r="AD521" s="374" t="str">
        <f>IF(OR(AND(H521='סיווג התפקידים והעלויות'!$A$2,I521='סיווג התפקידים והעלויות'!$A$3),'עלויות כח אדם (6)'!H521='סיווג התפקידים והעלויות'!$C$2,'עלויות כח אדם (6)'!H521='סיווג התפקידים והעלויות'!$D$2),IF('עלויות כח אדם (6)'!J521&lt;75,"לא תקין","תקין"),"")</f>
        <v/>
      </c>
      <c r="AE521" s="374" t="str">
        <f t="shared" si="119"/>
        <v/>
      </c>
      <c r="AF521" s="532" t="str">
        <f t="shared" si="120"/>
        <v/>
      </c>
    </row>
    <row r="522" spans="2:32" x14ac:dyDescent="0.25">
      <c r="B522" s="695"/>
      <c r="C522" s="197" t="str">
        <f>IF(B522&lt;&gt;"",IFERROR(VLOOKUP(B:B,'מצבת והרשמה (2)'!$C$20:$N$520,2,0)," ")," ")</f>
        <v xml:space="preserve"> </v>
      </c>
      <c r="D522" s="695"/>
      <c r="E522" s="696"/>
      <c r="F522" s="696"/>
      <c r="G522" s="696"/>
      <c r="H522" s="696"/>
      <c r="I522" s="1050" t="str">
        <f t="shared" si="107"/>
        <v/>
      </c>
      <c r="J522" s="696"/>
      <c r="K522" s="697"/>
      <c r="L522" s="696"/>
      <c r="M522" s="198" t="str">
        <f t="shared" si="108"/>
        <v/>
      </c>
      <c r="N522" s="369" t="str">
        <f t="shared" si="109"/>
        <v/>
      </c>
      <c r="O522" s="183" t="str">
        <f t="shared" si="110"/>
        <v/>
      </c>
      <c r="P522" s="199" t="str">
        <f t="shared" si="111"/>
        <v/>
      </c>
      <c r="Q522" s="199" t="str">
        <f>IF(B522="","",IFERROR(IF('עלויות כח אדם (6)'!J522&gt;=VLOOKUP(I522,'סיווג התפקידים והעלויות'!$B$23:$C$32,2,0),"תקין","לא תקין"),""))</f>
        <v/>
      </c>
      <c r="R522" s="199" t="str">
        <f t="shared" si="112"/>
        <v/>
      </c>
      <c r="S522" s="199" t="str">
        <f t="shared" si="113"/>
        <v/>
      </c>
      <c r="T522" s="199" t="str">
        <f t="shared" si="121"/>
        <v/>
      </c>
      <c r="U522" s="199" t="str">
        <f t="shared" si="114"/>
        <v/>
      </c>
      <c r="V522" s="989"/>
      <c r="X522" s="374" t="str">
        <f t="shared" si="115"/>
        <v/>
      </c>
      <c r="Y522" s="375" t="str">
        <f t="shared" si="116"/>
        <v/>
      </c>
      <c r="Z522" s="374" t="str">
        <f t="shared" si="117"/>
        <v/>
      </c>
      <c r="AA522" s="374" t="b">
        <f t="shared" si="118"/>
        <v>1</v>
      </c>
      <c r="AB522" s="374">
        <f>COUNTIFS(B:B,B522,H:H,'סיווג התפקידים והעלויות'!$C$2)</f>
        <v>0</v>
      </c>
      <c r="AC522" s="374">
        <f>COUNTIFS(B:B,B522,H:H,'סיווג התפקידים והעלויות'!$D$2)</f>
        <v>0</v>
      </c>
      <c r="AD522" s="374" t="str">
        <f>IF(OR(AND(H522='סיווג התפקידים והעלויות'!$A$2,I522='סיווג התפקידים והעלויות'!$A$3),'עלויות כח אדם (6)'!H522='סיווג התפקידים והעלויות'!$C$2,'עלויות כח אדם (6)'!H522='סיווג התפקידים והעלויות'!$D$2),IF('עלויות כח אדם (6)'!J522&lt;75,"לא תקין","תקין"),"")</f>
        <v/>
      </c>
      <c r="AE522" s="374" t="str">
        <f t="shared" si="119"/>
        <v/>
      </c>
      <c r="AF522" s="532" t="str">
        <f t="shared" si="120"/>
        <v/>
      </c>
    </row>
    <row r="523" spans="2:32" x14ac:dyDescent="0.25">
      <c r="B523" s="695"/>
      <c r="C523" s="197" t="str">
        <f>IF(B523&lt;&gt;"",IFERROR(VLOOKUP(B:B,'מצבת והרשמה (2)'!$C$20:$N$520,2,0)," ")," ")</f>
        <v xml:space="preserve"> </v>
      </c>
      <c r="D523" s="695"/>
      <c r="E523" s="696"/>
      <c r="F523" s="696"/>
      <c r="G523" s="696"/>
      <c r="H523" s="696"/>
      <c r="I523" s="1050" t="str">
        <f t="shared" si="107"/>
        <v/>
      </c>
      <c r="J523" s="696"/>
      <c r="K523" s="697"/>
      <c r="L523" s="696"/>
      <c r="M523" s="198" t="str">
        <f t="shared" si="108"/>
        <v/>
      </c>
      <c r="N523" s="369" t="str">
        <f t="shared" si="109"/>
        <v/>
      </c>
      <c r="O523" s="183" t="str">
        <f t="shared" si="110"/>
        <v/>
      </c>
      <c r="P523" s="199" t="str">
        <f t="shared" si="111"/>
        <v/>
      </c>
      <c r="Q523" s="199" t="str">
        <f>IF(B523="","",IFERROR(IF('עלויות כח אדם (6)'!J523&gt;=VLOOKUP(I523,'סיווג התפקידים והעלויות'!$B$23:$C$32,2,0),"תקין","לא תקין"),""))</f>
        <v/>
      </c>
      <c r="R523" s="199" t="str">
        <f t="shared" si="112"/>
        <v/>
      </c>
      <c r="S523" s="199" t="str">
        <f t="shared" si="113"/>
        <v/>
      </c>
      <c r="T523" s="199" t="str">
        <f t="shared" si="121"/>
        <v/>
      </c>
      <c r="U523" s="199" t="str">
        <f t="shared" si="114"/>
        <v/>
      </c>
      <c r="V523" s="989"/>
      <c r="X523" s="374" t="str">
        <f t="shared" si="115"/>
        <v/>
      </c>
      <c r="Y523" s="375" t="str">
        <f t="shared" si="116"/>
        <v/>
      </c>
      <c r="Z523" s="374" t="str">
        <f t="shared" si="117"/>
        <v/>
      </c>
      <c r="AA523" s="374" t="b">
        <f t="shared" si="118"/>
        <v>1</v>
      </c>
      <c r="AB523" s="374">
        <f>COUNTIFS(B:B,B523,H:H,'סיווג התפקידים והעלויות'!$C$2)</f>
        <v>0</v>
      </c>
      <c r="AC523" s="374">
        <f>COUNTIFS(B:B,B523,H:H,'סיווג התפקידים והעלויות'!$D$2)</f>
        <v>0</v>
      </c>
      <c r="AD523" s="374" t="str">
        <f>IF(OR(AND(H523='סיווג התפקידים והעלויות'!$A$2,I523='סיווג התפקידים והעלויות'!$A$3),'עלויות כח אדם (6)'!H523='סיווג התפקידים והעלויות'!$C$2,'עלויות כח אדם (6)'!H523='סיווג התפקידים והעלויות'!$D$2),IF('עלויות כח אדם (6)'!J523&lt;75,"לא תקין","תקין"),"")</f>
        <v/>
      </c>
      <c r="AE523" s="374" t="str">
        <f t="shared" si="119"/>
        <v/>
      </c>
      <c r="AF523" s="532" t="str">
        <f t="shared" si="120"/>
        <v/>
      </c>
    </row>
    <row r="524" spans="2:32" x14ac:dyDescent="0.25">
      <c r="B524" s="695"/>
      <c r="C524" s="197" t="str">
        <f>IF(B524&lt;&gt;"",IFERROR(VLOOKUP(B:B,'מצבת והרשמה (2)'!$C$20:$N$520,2,0)," ")," ")</f>
        <v xml:space="preserve"> </v>
      </c>
      <c r="D524" s="695"/>
      <c r="E524" s="696"/>
      <c r="F524" s="696"/>
      <c r="G524" s="696"/>
      <c r="H524" s="696"/>
      <c r="I524" s="1050" t="str">
        <f t="shared" si="107"/>
        <v/>
      </c>
      <c r="J524" s="696"/>
      <c r="K524" s="697"/>
      <c r="L524" s="696"/>
      <c r="M524" s="198" t="str">
        <f t="shared" si="108"/>
        <v/>
      </c>
      <c r="N524" s="369" t="str">
        <f t="shared" si="109"/>
        <v/>
      </c>
      <c r="O524" s="183" t="str">
        <f t="shared" si="110"/>
        <v/>
      </c>
      <c r="P524" s="199" t="str">
        <f t="shared" si="111"/>
        <v/>
      </c>
      <c r="Q524" s="199" t="str">
        <f>IF(B524="","",IFERROR(IF('עלויות כח אדם (6)'!J524&gt;=VLOOKUP(I524,'סיווג התפקידים והעלויות'!$B$23:$C$32,2,0),"תקין","לא תקין"),""))</f>
        <v/>
      </c>
      <c r="R524" s="199" t="str">
        <f t="shared" si="112"/>
        <v/>
      </c>
      <c r="S524" s="199" t="str">
        <f t="shared" si="113"/>
        <v/>
      </c>
      <c r="T524" s="199" t="str">
        <f t="shared" si="121"/>
        <v/>
      </c>
      <c r="U524" s="199" t="str">
        <f t="shared" si="114"/>
        <v/>
      </c>
      <c r="V524" s="989"/>
      <c r="X524" s="374" t="str">
        <f t="shared" si="115"/>
        <v/>
      </c>
      <c r="Y524" s="375" t="str">
        <f t="shared" si="116"/>
        <v/>
      </c>
      <c r="Z524" s="374" t="str">
        <f t="shared" si="117"/>
        <v/>
      </c>
      <c r="AA524" s="374" t="b">
        <f t="shared" si="118"/>
        <v>1</v>
      </c>
      <c r="AB524" s="374">
        <f>COUNTIFS(B:B,B524,H:H,'סיווג התפקידים והעלויות'!$C$2)</f>
        <v>0</v>
      </c>
      <c r="AC524" s="374">
        <f>COUNTIFS(B:B,B524,H:H,'סיווג התפקידים והעלויות'!$D$2)</f>
        <v>0</v>
      </c>
      <c r="AD524" s="374" t="str">
        <f>IF(OR(AND(H524='סיווג התפקידים והעלויות'!$A$2,I524='סיווג התפקידים והעלויות'!$A$3),'עלויות כח אדם (6)'!H524='סיווג התפקידים והעלויות'!$C$2,'עלויות כח אדם (6)'!H524='סיווג התפקידים והעלויות'!$D$2),IF('עלויות כח אדם (6)'!J524&lt;75,"לא תקין","תקין"),"")</f>
        <v/>
      </c>
      <c r="AE524" s="374" t="str">
        <f t="shared" si="119"/>
        <v/>
      </c>
      <c r="AF524" s="532" t="str">
        <f t="shared" si="120"/>
        <v/>
      </c>
    </row>
    <row r="525" spans="2:32" x14ac:dyDescent="0.25">
      <c r="B525" s="695"/>
      <c r="C525" s="197" t="str">
        <f>IF(B525&lt;&gt;"",IFERROR(VLOOKUP(B:B,'מצבת והרשמה (2)'!$C$20:$N$520,2,0)," ")," ")</f>
        <v xml:space="preserve"> </v>
      </c>
      <c r="D525" s="695"/>
      <c r="E525" s="696"/>
      <c r="F525" s="696"/>
      <c r="G525" s="696"/>
      <c r="H525" s="696"/>
      <c r="I525" s="1050" t="str">
        <f t="shared" si="107"/>
        <v/>
      </c>
      <c r="J525" s="696"/>
      <c r="K525" s="697"/>
      <c r="L525" s="696"/>
      <c r="M525" s="198" t="str">
        <f t="shared" si="108"/>
        <v/>
      </c>
      <c r="N525" s="369" t="str">
        <f t="shared" si="109"/>
        <v/>
      </c>
      <c r="O525" s="183" t="str">
        <f t="shared" si="110"/>
        <v/>
      </c>
      <c r="P525" s="199" t="str">
        <f t="shared" si="111"/>
        <v/>
      </c>
      <c r="Q525" s="199" t="str">
        <f>IF(B525="","",IFERROR(IF('עלויות כח אדם (6)'!J525&gt;=VLOOKUP(I525,'סיווג התפקידים והעלויות'!$B$23:$C$32,2,0),"תקין","לא תקין"),""))</f>
        <v/>
      </c>
      <c r="R525" s="199" t="str">
        <f t="shared" si="112"/>
        <v/>
      </c>
      <c r="S525" s="199" t="str">
        <f t="shared" si="113"/>
        <v/>
      </c>
      <c r="T525" s="199" t="str">
        <f t="shared" si="121"/>
        <v/>
      </c>
      <c r="U525" s="199" t="str">
        <f t="shared" si="114"/>
        <v/>
      </c>
      <c r="V525" s="989"/>
      <c r="X525" s="374" t="str">
        <f t="shared" si="115"/>
        <v/>
      </c>
      <c r="Y525" s="375" t="str">
        <f t="shared" si="116"/>
        <v/>
      </c>
      <c r="Z525" s="374" t="str">
        <f t="shared" si="117"/>
        <v/>
      </c>
      <c r="AA525" s="374" t="b">
        <f t="shared" si="118"/>
        <v>1</v>
      </c>
      <c r="AB525" s="374">
        <f>COUNTIFS(B:B,B525,H:H,'סיווג התפקידים והעלויות'!$C$2)</f>
        <v>0</v>
      </c>
      <c r="AC525" s="374">
        <f>COUNTIFS(B:B,B525,H:H,'סיווג התפקידים והעלויות'!$D$2)</f>
        <v>0</v>
      </c>
      <c r="AD525" s="374" t="str">
        <f>IF(OR(AND(H525='סיווג התפקידים והעלויות'!$A$2,I525='סיווג התפקידים והעלויות'!$A$3),'עלויות כח אדם (6)'!H525='סיווג התפקידים והעלויות'!$C$2,'עלויות כח אדם (6)'!H525='סיווג התפקידים והעלויות'!$D$2),IF('עלויות כח אדם (6)'!J525&lt;75,"לא תקין","תקין"),"")</f>
        <v/>
      </c>
      <c r="AE525" s="374" t="str">
        <f t="shared" si="119"/>
        <v/>
      </c>
      <c r="AF525" s="532" t="str">
        <f t="shared" si="120"/>
        <v/>
      </c>
    </row>
    <row r="526" spans="2:32" x14ac:dyDescent="0.25">
      <c r="B526" s="695"/>
      <c r="C526" s="197" t="str">
        <f>IF(B526&lt;&gt;"",IFERROR(VLOOKUP(B:B,'מצבת והרשמה (2)'!$C$20:$N$520,2,0)," ")," ")</f>
        <v xml:space="preserve"> </v>
      </c>
      <c r="D526" s="695"/>
      <c r="E526" s="696"/>
      <c r="F526" s="696"/>
      <c r="G526" s="696"/>
      <c r="H526" s="696"/>
      <c r="I526" s="1050" t="str">
        <f t="shared" si="107"/>
        <v/>
      </c>
      <c r="J526" s="696"/>
      <c r="K526" s="697"/>
      <c r="L526" s="696"/>
      <c r="M526" s="198" t="str">
        <f t="shared" si="108"/>
        <v/>
      </c>
      <c r="N526" s="369" t="str">
        <f t="shared" si="109"/>
        <v/>
      </c>
      <c r="O526" s="183" t="str">
        <f t="shared" si="110"/>
        <v/>
      </c>
      <c r="P526" s="199" t="str">
        <f t="shared" si="111"/>
        <v/>
      </c>
      <c r="Q526" s="199" t="str">
        <f>IF(B526="","",IFERROR(IF('עלויות כח אדם (6)'!J526&gt;=VLOOKUP(I526,'סיווג התפקידים והעלויות'!$B$23:$C$32,2,0),"תקין","לא תקין"),""))</f>
        <v/>
      </c>
      <c r="R526" s="199" t="str">
        <f t="shared" si="112"/>
        <v/>
      </c>
      <c r="S526" s="199" t="str">
        <f t="shared" si="113"/>
        <v/>
      </c>
      <c r="T526" s="199" t="str">
        <f t="shared" si="121"/>
        <v/>
      </c>
      <c r="U526" s="199" t="str">
        <f t="shared" si="114"/>
        <v/>
      </c>
      <c r="V526" s="989"/>
      <c r="X526" s="374" t="str">
        <f t="shared" si="115"/>
        <v/>
      </c>
      <c r="Y526" s="375" t="str">
        <f t="shared" si="116"/>
        <v/>
      </c>
      <c r="Z526" s="374" t="str">
        <f t="shared" si="117"/>
        <v/>
      </c>
      <c r="AA526" s="374" t="b">
        <f t="shared" si="118"/>
        <v>1</v>
      </c>
      <c r="AB526" s="374">
        <f>COUNTIFS(B:B,B526,H:H,'סיווג התפקידים והעלויות'!$C$2)</f>
        <v>0</v>
      </c>
      <c r="AC526" s="374">
        <f>COUNTIFS(B:B,B526,H:H,'סיווג התפקידים והעלויות'!$D$2)</f>
        <v>0</v>
      </c>
      <c r="AD526" s="374" t="str">
        <f>IF(OR(AND(H526='סיווג התפקידים והעלויות'!$A$2,I526='סיווג התפקידים והעלויות'!$A$3),'עלויות כח אדם (6)'!H526='סיווג התפקידים והעלויות'!$C$2,'עלויות כח אדם (6)'!H526='סיווג התפקידים והעלויות'!$D$2),IF('עלויות כח אדם (6)'!J526&lt;75,"לא תקין","תקין"),"")</f>
        <v/>
      </c>
      <c r="AE526" s="374" t="str">
        <f t="shared" si="119"/>
        <v/>
      </c>
      <c r="AF526" s="532" t="str">
        <f t="shared" si="120"/>
        <v/>
      </c>
    </row>
    <row r="527" spans="2:32" x14ac:dyDescent="0.25">
      <c r="B527" s="695"/>
      <c r="C527" s="197" t="str">
        <f>IF(B527&lt;&gt;"",IFERROR(VLOOKUP(B:B,'מצבת והרשמה (2)'!$C$20:$N$520,2,0)," ")," ")</f>
        <v xml:space="preserve"> </v>
      </c>
      <c r="D527" s="695"/>
      <c r="E527" s="696"/>
      <c r="F527" s="696"/>
      <c r="G527" s="696"/>
      <c r="H527" s="696"/>
      <c r="I527" s="1050" t="str">
        <f t="shared" ref="I527:I590" si="122">SUBSTITUTE(IFERROR(IF(H527="מדצ","מדצ/ית",IF(H527="סגנית רכזת מעל 150","סגנ/ית רכז/ת&gt;150",IF(H527="רכזת תכנית בבית הספר","רכז/ת תכנית בבית הספר"))),""),"FALSE","")</f>
        <v/>
      </c>
      <c r="J527" s="696"/>
      <c r="K527" s="697"/>
      <c r="L527" s="696"/>
      <c r="M527" s="198" t="str">
        <f t="shared" ref="M527:M590" si="123">IF(AND(L527&gt;0,K527&gt;0),K527*L527,"")</f>
        <v/>
      </c>
      <c r="N527" s="369" t="str">
        <f t="shared" ref="N527:N590" si="124">TEXT(LEFT(H527,2),0)</f>
        <v/>
      </c>
      <c r="O527" s="183" t="str">
        <f t="shared" ref="O527:O590" si="125">IF(ISNUMBER(M527&gt;0),IF(ISBLANK(B527),"יש להזין סמל מוסד בעמודה B",""),"")</f>
        <v/>
      </c>
      <c r="P527" s="199" t="str">
        <f t="shared" ref="P527:P590" si="126">IF(B527="","",IF(AA527=FALSE,"לא תקין","תקין"))</f>
        <v/>
      </c>
      <c r="Q527" s="199" t="str">
        <f>IF(B527="","",IFERROR(IF('עלויות כח אדם (6)'!J527&gt;=VLOOKUP(I527,'סיווג התפקידים והעלויות'!$B$23:$C$32,2,0),"תקין","לא תקין"),""))</f>
        <v/>
      </c>
      <c r="R527" s="199" t="str">
        <f t="shared" ref="R527:R590" si="127">IF(B527="","",IF(OR(Y527&lt;100%,Y527&gt;140%),"לא תקין","תקין"))</f>
        <v/>
      </c>
      <c r="S527" s="199" t="str">
        <f t="shared" ref="S527:S590" si="128">IF(B527="","",IFERROR(IF(J527&gt;120,"לא תקין","תקין"),""))</f>
        <v/>
      </c>
      <c r="T527" s="199" t="str">
        <f t="shared" si="121"/>
        <v/>
      </c>
      <c r="U527" s="199" t="str">
        <f t="shared" ref="U527:U590" si="129">IF(B527="","",IF(Z527&gt;1,IF(SUMIF(D:D,D527,L:L)&gt;90,"לא תקין","תקין"),"תקין"))</f>
        <v/>
      </c>
      <c r="V527" s="989"/>
      <c r="X527" s="374" t="str">
        <f t="shared" ref="X527:X590" si="130">IF(B527="","",IF(OR(R527="לא תקין",S527="לא תקין",T527="לא תקין",,U527="לא תקין"),"לא תקין","תקין"))</f>
        <v/>
      </c>
      <c r="Y527" s="375" t="str">
        <f t="shared" ref="Y527:Y590" si="131">IFERROR(IF(B527="","",K527/J527),"")</f>
        <v/>
      </c>
      <c r="Z527" s="374" t="str">
        <f t="shared" ref="Z527:Z590" si="132">IF(B527="","",COUNTIF(D:D,D527))</f>
        <v/>
      </c>
      <c r="AA527" s="374" t="b">
        <f t="shared" ref="AA527:AA590" si="133">MOD(MID(REPT(0,9-LEN(D527))&amp;D527,1,1)+MID("0246813579",MID(REPT(0,9-LEN(D527))&amp;D527,2,1)+1,1)+MID(REPT(0,9-LEN(D527))&amp;D527,3,1)+MID("0246813579",MID(REPT(0,9-LEN(D527))&amp;D527,4,1)+1,1)+MID(REPT(0,9-LEN(D527))&amp;D527,5,1)+MID("0246813579",MID(REPT(0,9-LEN(D527))&amp;D527,6,1)+1,1)+MID(REPT(0,9-LEN(D527))&amp;D527,7,1)+MID("0246813579",MID(REPT(0,9-LEN(D527))&amp;D527,8,1)+1,1)+MID(REPT(0,9-LEN(D527))&amp;D527,9,1),10)=0</f>
        <v>1</v>
      </c>
      <c r="AB527" s="374">
        <f>COUNTIFS(B:B,B527,H:H,'סיווג התפקידים והעלויות'!$C$2)</f>
        <v>0</v>
      </c>
      <c r="AC527" s="374">
        <f>COUNTIFS(B:B,B527,H:H,'סיווג התפקידים והעלויות'!$D$2)</f>
        <v>0</v>
      </c>
      <c r="AD527" s="374" t="str">
        <f>IF(OR(AND(H527='סיווג התפקידים והעלויות'!$A$2,I527='סיווג התפקידים והעלויות'!$A$3),'עלויות כח אדם (6)'!H527='סיווג התפקידים והעלויות'!$C$2,'עלויות כח אדם (6)'!H527='סיווג התפקידים והעלויות'!$D$2),IF('עלויות כח אדם (6)'!J527&lt;75,"לא תקין","תקין"),"")</f>
        <v/>
      </c>
      <c r="AE527" s="374" t="str">
        <f t="shared" ref="AE527:AE590" si="134">IF(B527&lt;&gt;"",B527&amp;H527,"")</f>
        <v/>
      </c>
      <c r="AF527" s="532" t="str">
        <f t="shared" ref="AF527:AF590" si="135">M527</f>
        <v/>
      </c>
    </row>
    <row r="528" spans="2:32" x14ac:dyDescent="0.25">
      <c r="B528" s="695"/>
      <c r="C528" s="197" t="str">
        <f>IF(B528&lt;&gt;"",IFERROR(VLOOKUP(B:B,'מצבת והרשמה (2)'!$C$20:$N$520,2,0)," ")," ")</f>
        <v xml:space="preserve"> </v>
      </c>
      <c r="D528" s="695"/>
      <c r="E528" s="696"/>
      <c r="F528" s="696"/>
      <c r="G528" s="696"/>
      <c r="H528" s="696"/>
      <c r="I528" s="1050" t="str">
        <f t="shared" si="122"/>
        <v/>
      </c>
      <c r="J528" s="696"/>
      <c r="K528" s="697"/>
      <c r="L528" s="696"/>
      <c r="M528" s="198" t="str">
        <f t="shared" si="123"/>
        <v/>
      </c>
      <c r="N528" s="369" t="str">
        <f t="shared" si="124"/>
        <v/>
      </c>
      <c r="O528" s="183" t="str">
        <f t="shared" si="125"/>
        <v/>
      </c>
      <c r="P528" s="199" t="str">
        <f t="shared" si="126"/>
        <v/>
      </c>
      <c r="Q528" s="199" t="str">
        <f>IF(B528="","",IFERROR(IF('עלויות כח אדם (6)'!J528&gt;=VLOOKUP(I528,'סיווג התפקידים והעלויות'!$B$23:$C$32,2,0),"תקין","לא תקין"),""))</f>
        <v/>
      </c>
      <c r="R528" s="199" t="str">
        <f t="shared" si="127"/>
        <v/>
      </c>
      <c r="S528" s="199" t="str">
        <f t="shared" si="128"/>
        <v/>
      </c>
      <c r="T528" s="199" t="str">
        <f t="shared" ref="T528:T591" si="136">IF(B528="","",IF(H528="","יש להזין איש צוות",IF(OR(H528="מורה",H528="גננת",H528="רכז גן",H528="רכזת גן",H528="סייעת",H528="מדצית",H528="מדצ",H528="מדריך",H528="מדריכה",H528="תוספת כח אדם"),IF(L528&lt;=90,"תקין","לא תקין"),IF(OR(H528="רכז בית ספר",H528="רכזת תכנית בבית הספר",H528="רכזת בית ספר"),IF(L528&lt;=137,"תקין","לא תקין"),IF(OR(H528="סגנית רכזת מעל 150",H528="סגן רכז"),IF(L528&lt;=93,"תקין","לא תקין"),"לא תקין")))))</f>
        <v/>
      </c>
      <c r="U528" s="199" t="str">
        <f t="shared" si="129"/>
        <v/>
      </c>
      <c r="V528" s="989"/>
      <c r="X528" s="374" t="str">
        <f t="shared" si="130"/>
        <v/>
      </c>
      <c r="Y528" s="375" t="str">
        <f t="shared" si="131"/>
        <v/>
      </c>
      <c r="Z528" s="374" t="str">
        <f t="shared" si="132"/>
        <v/>
      </c>
      <c r="AA528" s="374" t="b">
        <f t="shared" si="133"/>
        <v>1</v>
      </c>
      <c r="AB528" s="374">
        <f>COUNTIFS(B:B,B528,H:H,'סיווג התפקידים והעלויות'!$C$2)</f>
        <v>0</v>
      </c>
      <c r="AC528" s="374">
        <f>COUNTIFS(B:B,B528,H:H,'סיווג התפקידים והעלויות'!$D$2)</f>
        <v>0</v>
      </c>
      <c r="AD528" s="374" t="str">
        <f>IF(OR(AND(H528='סיווג התפקידים והעלויות'!$A$2,I528='סיווג התפקידים והעלויות'!$A$3),'עלויות כח אדם (6)'!H528='סיווג התפקידים והעלויות'!$C$2,'עלויות כח אדם (6)'!H528='סיווג התפקידים והעלויות'!$D$2),IF('עלויות כח אדם (6)'!J528&lt;75,"לא תקין","תקין"),"")</f>
        <v/>
      </c>
      <c r="AE528" s="374" t="str">
        <f t="shared" si="134"/>
        <v/>
      </c>
      <c r="AF528" s="532" t="str">
        <f t="shared" si="135"/>
        <v/>
      </c>
    </row>
    <row r="529" spans="2:32" x14ac:dyDescent="0.25">
      <c r="B529" s="695"/>
      <c r="C529" s="197" t="str">
        <f>IF(B529&lt;&gt;"",IFERROR(VLOOKUP(B:B,'מצבת והרשמה (2)'!$C$20:$N$520,2,0)," ")," ")</f>
        <v xml:space="preserve"> </v>
      </c>
      <c r="D529" s="695"/>
      <c r="E529" s="696"/>
      <c r="F529" s="696"/>
      <c r="G529" s="696"/>
      <c r="H529" s="696"/>
      <c r="I529" s="1050" t="str">
        <f t="shared" si="122"/>
        <v/>
      </c>
      <c r="J529" s="696"/>
      <c r="K529" s="697"/>
      <c r="L529" s="696"/>
      <c r="M529" s="198" t="str">
        <f t="shared" si="123"/>
        <v/>
      </c>
      <c r="N529" s="369" t="str">
        <f t="shared" si="124"/>
        <v/>
      </c>
      <c r="O529" s="183" t="str">
        <f t="shared" si="125"/>
        <v/>
      </c>
      <c r="P529" s="199" t="str">
        <f t="shared" si="126"/>
        <v/>
      </c>
      <c r="Q529" s="199" t="str">
        <f>IF(B529="","",IFERROR(IF('עלויות כח אדם (6)'!J529&gt;=VLOOKUP(I529,'סיווג התפקידים והעלויות'!$B$23:$C$32,2,0),"תקין","לא תקין"),""))</f>
        <v/>
      </c>
      <c r="R529" s="199" t="str">
        <f t="shared" si="127"/>
        <v/>
      </c>
      <c r="S529" s="199" t="str">
        <f t="shared" si="128"/>
        <v/>
      </c>
      <c r="T529" s="199" t="str">
        <f t="shared" si="136"/>
        <v/>
      </c>
      <c r="U529" s="199" t="str">
        <f t="shared" si="129"/>
        <v/>
      </c>
      <c r="V529" s="989"/>
      <c r="X529" s="374" t="str">
        <f t="shared" si="130"/>
        <v/>
      </c>
      <c r="Y529" s="375" t="str">
        <f t="shared" si="131"/>
        <v/>
      </c>
      <c r="Z529" s="374" t="str">
        <f t="shared" si="132"/>
        <v/>
      </c>
      <c r="AA529" s="374" t="b">
        <f t="shared" si="133"/>
        <v>1</v>
      </c>
      <c r="AB529" s="374">
        <f>COUNTIFS(B:B,B529,H:H,'סיווג התפקידים והעלויות'!$C$2)</f>
        <v>0</v>
      </c>
      <c r="AC529" s="374">
        <f>COUNTIFS(B:B,B529,H:H,'סיווג התפקידים והעלויות'!$D$2)</f>
        <v>0</v>
      </c>
      <c r="AD529" s="374" t="str">
        <f>IF(OR(AND(H529='סיווג התפקידים והעלויות'!$A$2,I529='סיווג התפקידים והעלויות'!$A$3),'עלויות כח אדם (6)'!H529='סיווג התפקידים והעלויות'!$C$2,'עלויות כח אדם (6)'!H529='סיווג התפקידים והעלויות'!$D$2),IF('עלויות כח אדם (6)'!J529&lt;75,"לא תקין","תקין"),"")</f>
        <v/>
      </c>
      <c r="AE529" s="374" t="str">
        <f t="shared" si="134"/>
        <v/>
      </c>
      <c r="AF529" s="532" t="str">
        <f t="shared" si="135"/>
        <v/>
      </c>
    </row>
    <row r="530" spans="2:32" x14ac:dyDescent="0.25">
      <c r="B530" s="695"/>
      <c r="C530" s="197" t="str">
        <f>IF(B530&lt;&gt;"",IFERROR(VLOOKUP(B:B,'מצבת והרשמה (2)'!$C$20:$N$520,2,0)," ")," ")</f>
        <v xml:space="preserve"> </v>
      </c>
      <c r="D530" s="695"/>
      <c r="E530" s="696"/>
      <c r="F530" s="696"/>
      <c r="G530" s="696"/>
      <c r="H530" s="696"/>
      <c r="I530" s="1050" t="str">
        <f t="shared" si="122"/>
        <v/>
      </c>
      <c r="J530" s="696"/>
      <c r="K530" s="697"/>
      <c r="L530" s="696"/>
      <c r="M530" s="198" t="str">
        <f t="shared" si="123"/>
        <v/>
      </c>
      <c r="N530" s="369" t="str">
        <f t="shared" si="124"/>
        <v/>
      </c>
      <c r="O530" s="183" t="str">
        <f t="shared" si="125"/>
        <v/>
      </c>
      <c r="P530" s="199" t="str">
        <f t="shared" si="126"/>
        <v/>
      </c>
      <c r="Q530" s="199" t="str">
        <f>IF(B530="","",IFERROR(IF('עלויות כח אדם (6)'!J530&gt;=VLOOKUP(I530,'סיווג התפקידים והעלויות'!$B$23:$C$32,2,0),"תקין","לא תקין"),""))</f>
        <v/>
      </c>
      <c r="R530" s="199" t="str">
        <f t="shared" si="127"/>
        <v/>
      </c>
      <c r="S530" s="199" t="str">
        <f t="shared" si="128"/>
        <v/>
      </c>
      <c r="T530" s="199" t="str">
        <f t="shared" si="136"/>
        <v/>
      </c>
      <c r="U530" s="199" t="str">
        <f t="shared" si="129"/>
        <v/>
      </c>
      <c r="V530" s="989"/>
      <c r="X530" s="374" t="str">
        <f t="shared" si="130"/>
        <v/>
      </c>
      <c r="Y530" s="375" t="str">
        <f t="shared" si="131"/>
        <v/>
      </c>
      <c r="Z530" s="374" t="str">
        <f t="shared" si="132"/>
        <v/>
      </c>
      <c r="AA530" s="374" t="b">
        <f t="shared" si="133"/>
        <v>1</v>
      </c>
      <c r="AB530" s="374">
        <f>COUNTIFS(B:B,B530,H:H,'סיווג התפקידים והעלויות'!$C$2)</f>
        <v>0</v>
      </c>
      <c r="AC530" s="374">
        <f>COUNTIFS(B:B,B530,H:H,'סיווג התפקידים והעלויות'!$D$2)</f>
        <v>0</v>
      </c>
      <c r="AD530" s="374" t="str">
        <f>IF(OR(AND(H530='סיווג התפקידים והעלויות'!$A$2,I530='סיווג התפקידים והעלויות'!$A$3),'עלויות כח אדם (6)'!H530='סיווג התפקידים והעלויות'!$C$2,'עלויות כח אדם (6)'!H530='סיווג התפקידים והעלויות'!$D$2),IF('עלויות כח אדם (6)'!J530&lt;75,"לא תקין","תקין"),"")</f>
        <v/>
      </c>
      <c r="AE530" s="374" t="str">
        <f t="shared" si="134"/>
        <v/>
      </c>
      <c r="AF530" s="532" t="str">
        <f t="shared" si="135"/>
        <v/>
      </c>
    </row>
    <row r="531" spans="2:32" x14ac:dyDescent="0.25">
      <c r="B531" s="695"/>
      <c r="C531" s="197" t="str">
        <f>IF(B531&lt;&gt;"",IFERROR(VLOOKUP(B:B,'מצבת והרשמה (2)'!$C$20:$N$520,2,0)," ")," ")</f>
        <v xml:space="preserve"> </v>
      </c>
      <c r="D531" s="695"/>
      <c r="E531" s="696"/>
      <c r="F531" s="696"/>
      <c r="G531" s="696"/>
      <c r="H531" s="696"/>
      <c r="I531" s="1050" t="str">
        <f t="shared" si="122"/>
        <v/>
      </c>
      <c r="J531" s="696"/>
      <c r="K531" s="697"/>
      <c r="L531" s="696"/>
      <c r="M531" s="198" t="str">
        <f t="shared" si="123"/>
        <v/>
      </c>
      <c r="N531" s="369" t="str">
        <f t="shared" si="124"/>
        <v/>
      </c>
      <c r="O531" s="183" t="str">
        <f t="shared" si="125"/>
        <v/>
      </c>
      <c r="P531" s="199" t="str">
        <f t="shared" si="126"/>
        <v/>
      </c>
      <c r="Q531" s="199" t="str">
        <f>IF(B531="","",IFERROR(IF('עלויות כח אדם (6)'!J531&gt;=VLOOKUP(I531,'סיווג התפקידים והעלויות'!$B$23:$C$32,2,0),"תקין","לא תקין"),""))</f>
        <v/>
      </c>
      <c r="R531" s="199" t="str">
        <f t="shared" si="127"/>
        <v/>
      </c>
      <c r="S531" s="199" t="str">
        <f t="shared" si="128"/>
        <v/>
      </c>
      <c r="T531" s="199" t="str">
        <f t="shared" si="136"/>
        <v/>
      </c>
      <c r="U531" s="199" t="str">
        <f t="shared" si="129"/>
        <v/>
      </c>
      <c r="V531" s="989"/>
      <c r="X531" s="374" t="str">
        <f t="shared" si="130"/>
        <v/>
      </c>
      <c r="Y531" s="375" t="str">
        <f t="shared" si="131"/>
        <v/>
      </c>
      <c r="Z531" s="374" t="str">
        <f t="shared" si="132"/>
        <v/>
      </c>
      <c r="AA531" s="374" t="b">
        <f t="shared" si="133"/>
        <v>1</v>
      </c>
      <c r="AB531" s="374">
        <f>COUNTIFS(B:B,B531,H:H,'סיווג התפקידים והעלויות'!$C$2)</f>
        <v>0</v>
      </c>
      <c r="AC531" s="374">
        <f>COUNTIFS(B:B,B531,H:H,'סיווג התפקידים והעלויות'!$D$2)</f>
        <v>0</v>
      </c>
      <c r="AD531" s="374" t="str">
        <f>IF(OR(AND(H531='סיווג התפקידים והעלויות'!$A$2,I531='סיווג התפקידים והעלויות'!$A$3),'עלויות כח אדם (6)'!H531='סיווג התפקידים והעלויות'!$C$2,'עלויות כח אדם (6)'!H531='סיווג התפקידים והעלויות'!$D$2),IF('עלויות כח אדם (6)'!J531&lt;75,"לא תקין","תקין"),"")</f>
        <v/>
      </c>
      <c r="AE531" s="374" t="str">
        <f t="shared" si="134"/>
        <v/>
      </c>
      <c r="AF531" s="532" t="str">
        <f t="shared" si="135"/>
        <v/>
      </c>
    </row>
    <row r="532" spans="2:32" x14ac:dyDescent="0.25">
      <c r="B532" s="695"/>
      <c r="C532" s="197" t="str">
        <f>IF(B532&lt;&gt;"",IFERROR(VLOOKUP(B:B,'מצבת והרשמה (2)'!$C$20:$N$520,2,0)," ")," ")</f>
        <v xml:space="preserve"> </v>
      </c>
      <c r="D532" s="695"/>
      <c r="E532" s="696"/>
      <c r="F532" s="696"/>
      <c r="G532" s="696"/>
      <c r="H532" s="696"/>
      <c r="I532" s="1050" t="str">
        <f t="shared" si="122"/>
        <v/>
      </c>
      <c r="J532" s="696"/>
      <c r="K532" s="697"/>
      <c r="L532" s="696"/>
      <c r="M532" s="198" t="str">
        <f t="shared" si="123"/>
        <v/>
      </c>
      <c r="N532" s="369" t="str">
        <f t="shared" si="124"/>
        <v/>
      </c>
      <c r="O532" s="183" t="str">
        <f t="shared" si="125"/>
        <v/>
      </c>
      <c r="P532" s="199" t="str">
        <f t="shared" si="126"/>
        <v/>
      </c>
      <c r="Q532" s="199" t="str">
        <f>IF(B532="","",IFERROR(IF('עלויות כח אדם (6)'!J532&gt;=VLOOKUP(I532,'סיווג התפקידים והעלויות'!$B$23:$C$32,2,0),"תקין","לא תקין"),""))</f>
        <v/>
      </c>
      <c r="R532" s="199" t="str">
        <f t="shared" si="127"/>
        <v/>
      </c>
      <c r="S532" s="199" t="str">
        <f t="shared" si="128"/>
        <v/>
      </c>
      <c r="T532" s="199" t="str">
        <f t="shared" si="136"/>
        <v/>
      </c>
      <c r="U532" s="199" t="str">
        <f t="shared" si="129"/>
        <v/>
      </c>
      <c r="V532" s="989"/>
      <c r="X532" s="374" t="str">
        <f t="shared" si="130"/>
        <v/>
      </c>
      <c r="Y532" s="375" t="str">
        <f t="shared" si="131"/>
        <v/>
      </c>
      <c r="Z532" s="374" t="str">
        <f t="shared" si="132"/>
        <v/>
      </c>
      <c r="AA532" s="374" t="b">
        <f t="shared" si="133"/>
        <v>1</v>
      </c>
      <c r="AB532" s="374">
        <f>COUNTIFS(B:B,B532,H:H,'סיווג התפקידים והעלויות'!$C$2)</f>
        <v>0</v>
      </c>
      <c r="AC532" s="374">
        <f>COUNTIFS(B:B,B532,H:H,'סיווג התפקידים והעלויות'!$D$2)</f>
        <v>0</v>
      </c>
      <c r="AD532" s="374" t="str">
        <f>IF(OR(AND(H532='סיווג התפקידים והעלויות'!$A$2,I532='סיווג התפקידים והעלויות'!$A$3),'עלויות כח אדם (6)'!H532='סיווג התפקידים והעלויות'!$C$2,'עלויות כח אדם (6)'!H532='סיווג התפקידים והעלויות'!$D$2),IF('עלויות כח אדם (6)'!J532&lt;75,"לא תקין","תקין"),"")</f>
        <v/>
      </c>
      <c r="AE532" s="374" t="str">
        <f t="shared" si="134"/>
        <v/>
      </c>
      <c r="AF532" s="532" t="str">
        <f t="shared" si="135"/>
        <v/>
      </c>
    </row>
    <row r="533" spans="2:32" x14ac:dyDescent="0.25">
      <c r="B533" s="695"/>
      <c r="C533" s="197" t="str">
        <f>IF(B533&lt;&gt;"",IFERROR(VLOOKUP(B:B,'מצבת והרשמה (2)'!$C$20:$N$520,2,0)," ")," ")</f>
        <v xml:space="preserve"> </v>
      </c>
      <c r="D533" s="695"/>
      <c r="E533" s="696"/>
      <c r="F533" s="696"/>
      <c r="G533" s="696"/>
      <c r="H533" s="696"/>
      <c r="I533" s="1050" t="str">
        <f t="shared" si="122"/>
        <v/>
      </c>
      <c r="J533" s="696"/>
      <c r="K533" s="697"/>
      <c r="L533" s="696"/>
      <c r="M533" s="198" t="str">
        <f t="shared" si="123"/>
        <v/>
      </c>
      <c r="N533" s="369" t="str">
        <f t="shared" si="124"/>
        <v/>
      </c>
      <c r="O533" s="183" t="str">
        <f t="shared" si="125"/>
        <v/>
      </c>
      <c r="P533" s="199" t="str">
        <f t="shared" si="126"/>
        <v/>
      </c>
      <c r="Q533" s="199" t="str">
        <f>IF(B533="","",IFERROR(IF('עלויות כח אדם (6)'!J533&gt;=VLOOKUP(I533,'סיווג התפקידים והעלויות'!$B$23:$C$32,2,0),"תקין","לא תקין"),""))</f>
        <v/>
      </c>
      <c r="R533" s="199" t="str">
        <f t="shared" si="127"/>
        <v/>
      </c>
      <c r="S533" s="199" t="str">
        <f t="shared" si="128"/>
        <v/>
      </c>
      <c r="T533" s="199" t="str">
        <f t="shared" si="136"/>
        <v/>
      </c>
      <c r="U533" s="199" t="str">
        <f t="shared" si="129"/>
        <v/>
      </c>
      <c r="V533" s="989"/>
      <c r="X533" s="374" t="str">
        <f t="shared" si="130"/>
        <v/>
      </c>
      <c r="Y533" s="375" t="str">
        <f t="shared" si="131"/>
        <v/>
      </c>
      <c r="Z533" s="374" t="str">
        <f t="shared" si="132"/>
        <v/>
      </c>
      <c r="AA533" s="374" t="b">
        <f t="shared" si="133"/>
        <v>1</v>
      </c>
      <c r="AB533" s="374">
        <f>COUNTIFS(B:B,B533,H:H,'סיווג התפקידים והעלויות'!$C$2)</f>
        <v>0</v>
      </c>
      <c r="AC533" s="374">
        <f>COUNTIFS(B:B,B533,H:H,'סיווג התפקידים והעלויות'!$D$2)</f>
        <v>0</v>
      </c>
      <c r="AD533" s="374" t="str">
        <f>IF(OR(AND(H533='סיווג התפקידים והעלויות'!$A$2,I533='סיווג התפקידים והעלויות'!$A$3),'עלויות כח אדם (6)'!H533='סיווג התפקידים והעלויות'!$C$2,'עלויות כח אדם (6)'!H533='סיווג התפקידים והעלויות'!$D$2),IF('עלויות כח אדם (6)'!J533&lt;75,"לא תקין","תקין"),"")</f>
        <v/>
      </c>
      <c r="AE533" s="374" t="str">
        <f t="shared" si="134"/>
        <v/>
      </c>
      <c r="AF533" s="532" t="str">
        <f t="shared" si="135"/>
        <v/>
      </c>
    </row>
    <row r="534" spans="2:32" x14ac:dyDescent="0.25">
      <c r="B534" s="695"/>
      <c r="C534" s="197" t="str">
        <f>IF(B534&lt;&gt;"",IFERROR(VLOOKUP(B:B,'מצבת והרשמה (2)'!$C$20:$N$520,2,0)," ")," ")</f>
        <v xml:space="preserve"> </v>
      </c>
      <c r="D534" s="695"/>
      <c r="E534" s="696"/>
      <c r="F534" s="696"/>
      <c r="G534" s="696"/>
      <c r="H534" s="696"/>
      <c r="I534" s="1050" t="str">
        <f t="shared" si="122"/>
        <v/>
      </c>
      <c r="J534" s="696"/>
      <c r="K534" s="697"/>
      <c r="L534" s="696"/>
      <c r="M534" s="198" t="str">
        <f t="shared" si="123"/>
        <v/>
      </c>
      <c r="N534" s="369" t="str">
        <f t="shared" si="124"/>
        <v/>
      </c>
      <c r="O534" s="183" t="str">
        <f t="shared" si="125"/>
        <v/>
      </c>
      <c r="P534" s="199" t="str">
        <f t="shared" si="126"/>
        <v/>
      </c>
      <c r="Q534" s="199" t="str">
        <f>IF(B534="","",IFERROR(IF('עלויות כח אדם (6)'!J534&gt;=VLOOKUP(I534,'סיווג התפקידים והעלויות'!$B$23:$C$32,2,0),"תקין","לא תקין"),""))</f>
        <v/>
      </c>
      <c r="R534" s="199" t="str">
        <f t="shared" si="127"/>
        <v/>
      </c>
      <c r="S534" s="199" t="str">
        <f t="shared" si="128"/>
        <v/>
      </c>
      <c r="T534" s="199" t="str">
        <f t="shared" si="136"/>
        <v/>
      </c>
      <c r="U534" s="199" t="str">
        <f t="shared" si="129"/>
        <v/>
      </c>
      <c r="V534" s="989"/>
      <c r="X534" s="374" t="str">
        <f t="shared" si="130"/>
        <v/>
      </c>
      <c r="Y534" s="375" t="str">
        <f t="shared" si="131"/>
        <v/>
      </c>
      <c r="Z534" s="374" t="str">
        <f t="shared" si="132"/>
        <v/>
      </c>
      <c r="AA534" s="374" t="b">
        <f t="shared" si="133"/>
        <v>1</v>
      </c>
      <c r="AB534" s="374">
        <f>COUNTIFS(B:B,B534,H:H,'סיווג התפקידים והעלויות'!$C$2)</f>
        <v>0</v>
      </c>
      <c r="AC534" s="374">
        <f>COUNTIFS(B:B,B534,H:H,'סיווג התפקידים והעלויות'!$D$2)</f>
        <v>0</v>
      </c>
      <c r="AD534" s="374" t="str">
        <f>IF(OR(AND(H534='סיווג התפקידים והעלויות'!$A$2,I534='סיווג התפקידים והעלויות'!$A$3),'עלויות כח אדם (6)'!H534='סיווג התפקידים והעלויות'!$C$2,'עלויות כח אדם (6)'!H534='סיווג התפקידים והעלויות'!$D$2),IF('עלויות כח אדם (6)'!J534&lt;75,"לא תקין","תקין"),"")</f>
        <v/>
      </c>
      <c r="AE534" s="374" t="str">
        <f t="shared" si="134"/>
        <v/>
      </c>
      <c r="AF534" s="532" t="str">
        <f t="shared" si="135"/>
        <v/>
      </c>
    </row>
    <row r="535" spans="2:32" x14ac:dyDescent="0.25">
      <c r="B535" s="695"/>
      <c r="C535" s="197" t="str">
        <f>IF(B535&lt;&gt;"",IFERROR(VLOOKUP(B:B,'מצבת והרשמה (2)'!$C$20:$N$520,2,0)," ")," ")</f>
        <v xml:space="preserve"> </v>
      </c>
      <c r="D535" s="695"/>
      <c r="E535" s="696"/>
      <c r="F535" s="696"/>
      <c r="G535" s="696"/>
      <c r="H535" s="696"/>
      <c r="I535" s="1050" t="str">
        <f t="shared" si="122"/>
        <v/>
      </c>
      <c r="J535" s="696"/>
      <c r="K535" s="697"/>
      <c r="L535" s="696"/>
      <c r="M535" s="198" t="str">
        <f t="shared" si="123"/>
        <v/>
      </c>
      <c r="N535" s="369" t="str">
        <f t="shared" si="124"/>
        <v/>
      </c>
      <c r="O535" s="183" t="str">
        <f t="shared" si="125"/>
        <v/>
      </c>
      <c r="P535" s="199" t="str">
        <f t="shared" si="126"/>
        <v/>
      </c>
      <c r="Q535" s="199" t="str">
        <f>IF(B535="","",IFERROR(IF('עלויות כח אדם (6)'!J535&gt;=VLOOKUP(I535,'סיווג התפקידים והעלויות'!$B$23:$C$32,2,0),"תקין","לא תקין"),""))</f>
        <v/>
      </c>
      <c r="R535" s="199" t="str">
        <f t="shared" si="127"/>
        <v/>
      </c>
      <c r="S535" s="199" t="str">
        <f t="shared" si="128"/>
        <v/>
      </c>
      <c r="T535" s="199" t="str">
        <f t="shared" si="136"/>
        <v/>
      </c>
      <c r="U535" s="199" t="str">
        <f t="shared" si="129"/>
        <v/>
      </c>
      <c r="V535" s="989"/>
      <c r="X535" s="374" t="str">
        <f t="shared" si="130"/>
        <v/>
      </c>
      <c r="Y535" s="375" t="str">
        <f t="shared" si="131"/>
        <v/>
      </c>
      <c r="Z535" s="374" t="str">
        <f t="shared" si="132"/>
        <v/>
      </c>
      <c r="AA535" s="374" t="b">
        <f t="shared" si="133"/>
        <v>1</v>
      </c>
      <c r="AB535" s="374">
        <f>COUNTIFS(B:B,B535,H:H,'סיווג התפקידים והעלויות'!$C$2)</f>
        <v>0</v>
      </c>
      <c r="AC535" s="374">
        <f>COUNTIFS(B:B,B535,H:H,'סיווג התפקידים והעלויות'!$D$2)</f>
        <v>0</v>
      </c>
      <c r="AD535" s="374" t="str">
        <f>IF(OR(AND(H535='סיווג התפקידים והעלויות'!$A$2,I535='סיווג התפקידים והעלויות'!$A$3),'עלויות כח אדם (6)'!H535='סיווג התפקידים והעלויות'!$C$2,'עלויות כח אדם (6)'!H535='סיווג התפקידים והעלויות'!$D$2),IF('עלויות כח אדם (6)'!J535&lt;75,"לא תקין","תקין"),"")</f>
        <v/>
      </c>
      <c r="AE535" s="374" t="str">
        <f t="shared" si="134"/>
        <v/>
      </c>
      <c r="AF535" s="532" t="str">
        <f t="shared" si="135"/>
        <v/>
      </c>
    </row>
    <row r="536" spans="2:32" x14ac:dyDescent="0.25">
      <c r="B536" s="695"/>
      <c r="C536" s="197" t="str">
        <f>IF(B536&lt;&gt;"",IFERROR(VLOOKUP(B:B,'מצבת והרשמה (2)'!$C$20:$N$520,2,0)," ")," ")</f>
        <v xml:space="preserve"> </v>
      </c>
      <c r="D536" s="695"/>
      <c r="E536" s="696"/>
      <c r="F536" s="696"/>
      <c r="G536" s="696"/>
      <c r="H536" s="696"/>
      <c r="I536" s="1050" t="str">
        <f t="shared" si="122"/>
        <v/>
      </c>
      <c r="J536" s="696"/>
      <c r="K536" s="697"/>
      <c r="L536" s="696"/>
      <c r="M536" s="198" t="str">
        <f t="shared" si="123"/>
        <v/>
      </c>
      <c r="N536" s="369" t="str">
        <f t="shared" si="124"/>
        <v/>
      </c>
      <c r="O536" s="183" t="str">
        <f t="shared" si="125"/>
        <v/>
      </c>
      <c r="P536" s="199" t="str">
        <f t="shared" si="126"/>
        <v/>
      </c>
      <c r="Q536" s="199" t="str">
        <f>IF(B536="","",IFERROR(IF('עלויות כח אדם (6)'!J536&gt;=VLOOKUP(I536,'סיווג התפקידים והעלויות'!$B$23:$C$32,2,0),"תקין","לא תקין"),""))</f>
        <v/>
      </c>
      <c r="R536" s="199" t="str">
        <f t="shared" si="127"/>
        <v/>
      </c>
      <c r="S536" s="199" t="str">
        <f t="shared" si="128"/>
        <v/>
      </c>
      <c r="T536" s="199" t="str">
        <f t="shared" si="136"/>
        <v/>
      </c>
      <c r="U536" s="199" t="str">
        <f t="shared" si="129"/>
        <v/>
      </c>
      <c r="V536" s="989"/>
      <c r="X536" s="374" t="str">
        <f t="shared" si="130"/>
        <v/>
      </c>
      <c r="Y536" s="375" t="str">
        <f t="shared" si="131"/>
        <v/>
      </c>
      <c r="Z536" s="374" t="str">
        <f t="shared" si="132"/>
        <v/>
      </c>
      <c r="AA536" s="374" t="b">
        <f t="shared" si="133"/>
        <v>1</v>
      </c>
      <c r="AB536" s="374">
        <f>COUNTIFS(B:B,B536,H:H,'סיווג התפקידים והעלויות'!$C$2)</f>
        <v>0</v>
      </c>
      <c r="AC536" s="374">
        <f>COUNTIFS(B:B,B536,H:H,'סיווג התפקידים והעלויות'!$D$2)</f>
        <v>0</v>
      </c>
      <c r="AD536" s="374" t="str">
        <f>IF(OR(AND(H536='סיווג התפקידים והעלויות'!$A$2,I536='סיווג התפקידים והעלויות'!$A$3),'עלויות כח אדם (6)'!H536='סיווג התפקידים והעלויות'!$C$2,'עלויות כח אדם (6)'!H536='סיווג התפקידים והעלויות'!$D$2),IF('עלויות כח אדם (6)'!J536&lt;75,"לא תקין","תקין"),"")</f>
        <v/>
      </c>
      <c r="AE536" s="374" t="str">
        <f t="shared" si="134"/>
        <v/>
      </c>
      <c r="AF536" s="532" t="str">
        <f t="shared" si="135"/>
        <v/>
      </c>
    </row>
    <row r="537" spans="2:32" x14ac:dyDescent="0.25">
      <c r="B537" s="695"/>
      <c r="C537" s="197" t="str">
        <f>IF(B537&lt;&gt;"",IFERROR(VLOOKUP(B:B,'מצבת והרשמה (2)'!$C$20:$N$520,2,0)," ")," ")</f>
        <v xml:space="preserve"> </v>
      </c>
      <c r="D537" s="695"/>
      <c r="E537" s="696"/>
      <c r="F537" s="696"/>
      <c r="G537" s="696"/>
      <c r="H537" s="696"/>
      <c r="I537" s="1050" t="str">
        <f t="shared" si="122"/>
        <v/>
      </c>
      <c r="J537" s="696"/>
      <c r="K537" s="697"/>
      <c r="L537" s="696"/>
      <c r="M537" s="198" t="str">
        <f t="shared" si="123"/>
        <v/>
      </c>
      <c r="N537" s="369" t="str">
        <f t="shared" si="124"/>
        <v/>
      </c>
      <c r="O537" s="183" t="str">
        <f t="shared" si="125"/>
        <v/>
      </c>
      <c r="P537" s="199" t="str">
        <f t="shared" si="126"/>
        <v/>
      </c>
      <c r="Q537" s="199" t="str">
        <f>IF(B537="","",IFERROR(IF('עלויות כח אדם (6)'!J537&gt;=VLOOKUP(I537,'סיווג התפקידים והעלויות'!$B$23:$C$32,2,0),"תקין","לא תקין"),""))</f>
        <v/>
      </c>
      <c r="R537" s="199" t="str">
        <f t="shared" si="127"/>
        <v/>
      </c>
      <c r="S537" s="199" t="str">
        <f t="shared" si="128"/>
        <v/>
      </c>
      <c r="T537" s="199" t="str">
        <f t="shared" si="136"/>
        <v/>
      </c>
      <c r="U537" s="199" t="str">
        <f t="shared" si="129"/>
        <v/>
      </c>
      <c r="V537" s="989"/>
      <c r="X537" s="374" t="str">
        <f t="shared" si="130"/>
        <v/>
      </c>
      <c r="Y537" s="375" t="str">
        <f t="shared" si="131"/>
        <v/>
      </c>
      <c r="Z537" s="374" t="str">
        <f t="shared" si="132"/>
        <v/>
      </c>
      <c r="AA537" s="374" t="b">
        <f t="shared" si="133"/>
        <v>1</v>
      </c>
      <c r="AB537" s="374">
        <f>COUNTIFS(B:B,B537,H:H,'סיווג התפקידים והעלויות'!$C$2)</f>
        <v>0</v>
      </c>
      <c r="AC537" s="374">
        <f>COUNTIFS(B:B,B537,H:H,'סיווג התפקידים והעלויות'!$D$2)</f>
        <v>0</v>
      </c>
      <c r="AD537" s="374" t="str">
        <f>IF(OR(AND(H537='סיווג התפקידים והעלויות'!$A$2,I537='סיווג התפקידים והעלויות'!$A$3),'עלויות כח אדם (6)'!H537='סיווג התפקידים והעלויות'!$C$2,'עלויות כח אדם (6)'!H537='סיווג התפקידים והעלויות'!$D$2),IF('עלויות כח אדם (6)'!J537&lt;75,"לא תקין","תקין"),"")</f>
        <v/>
      </c>
      <c r="AE537" s="374" t="str">
        <f t="shared" si="134"/>
        <v/>
      </c>
      <c r="AF537" s="532" t="str">
        <f t="shared" si="135"/>
        <v/>
      </c>
    </row>
    <row r="538" spans="2:32" x14ac:dyDescent="0.25">
      <c r="B538" s="695"/>
      <c r="C538" s="197" t="str">
        <f>IF(B538&lt;&gt;"",IFERROR(VLOOKUP(B:B,'מצבת והרשמה (2)'!$C$20:$N$520,2,0)," ")," ")</f>
        <v xml:space="preserve"> </v>
      </c>
      <c r="D538" s="695"/>
      <c r="E538" s="696"/>
      <c r="F538" s="696"/>
      <c r="G538" s="696"/>
      <c r="H538" s="696"/>
      <c r="I538" s="1050" t="str">
        <f t="shared" si="122"/>
        <v/>
      </c>
      <c r="J538" s="696"/>
      <c r="K538" s="697"/>
      <c r="L538" s="696"/>
      <c r="M538" s="198" t="str">
        <f t="shared" si="123"/>
        <v/>
      </c>
      <c r="N538" s="369" t="str">
        <f t="shared" si="124"/>
        <v/>
      </c>
      <c r="O538" s="183" t="str">
        <f t="shared" si="125"/>
        <v/>
      </c>
      <c r="P538" s="199" t="str">
        <f t="shared" si="126"/>
        <v/>
      </c>
      <c r="Q538" s="199" t="str">
        <f>IF(B538="","",IFERROR(IF('עלויות כח אדם (6)'!J538&gt;=VLOOKUP(I538,'סיווג התפקידים והעלויות'!$B$23:$C$32,2,0),"תקין","לא תקין"),""))</f>
        <v/>
      </c>
      <c r="R538" s="199" t="str">
        <f t="shared" si="127"/>
        <v/>
      </c>
      <c r="S538" s="199" t="str">
        <f t="shared" si="128"/>
        <v/>
      </c>
      <c r="T538" s="199" t="str">
        <f t="shared" si="136"/>
        <v/>
      </c>
      <c r="U538" s="199" t="str">
        <f t="shared" si="129"/>
        <v/>
      </c>
      <c r="V538" s="989"/>
      <c r="X538" s="374" t="str">
        <f t="shared" si="130"/>
        <v/>
      </c>
      <c r="Y538" s="375" t="str">
        <f t="shared" si="131"/>
        <v/>
      </c>
      <c r="Z538" s="374" t="str">
        <f t="shared" si="132"/>
        <v/>
      </c>
      <c r="AA538" s="374" t="b">
        <f t="shared" si="133"/>
        <v>1</v>
      </c>
      <c r="AB538" s="374">
        <f>COUNTIFS(B:B,B538,H:H,'סיווג התפקידים והעלויות'!$C$2)</f>
        <v>0</v>
      </c>
      <c r="AC538" s="374">
        <f>COUNTIFS(B:B,B538,H:H,'סיווג התפקידים והעלויות'!$D$2)</f>
        <v>0</v>
      </c>
      <c r="AD538" s="374" t="str">
        <f>IF(OR(AND(H538='סיווג התפקידים והעלויות'!$A$2,I538='סיווג התפקידים והעלויות'!$A$3),'עלויות כח אדם (6)'!H538='סיווג התפקידים והעלויות'!$C$2,'עלויות כח אדם (6)'!H538='סיווג התפקידים והעלויות'!$D$2),IF('עלויות כח אדם (6)'!J538&lt;75,"לא תקין","תקין"),"")</f>
        <v/>
      </c>
      <c r="AE538" s="374" t="str">
        <f t="shared" si="134"/>
        <v/>
      </c>
      <c r="AF538" s="532" t="str">
        <f t="shared" si="135"/>
        <v/>
      </c>
    </row>
    <row r="539" spans="2:32" x14ac:dyDescent="0.25">
      <c r="B539" s="695"/>
      <c r="C539" s="197" t="str">
        <f>IF(B539&lt;&gt;"",IFERROR(VLOOKUP(B:B,'מצבת והרשמה (2)'!$C$20:$N$520,2,0)," ")," ")</f>
        <v xml:space="preserve"> </v>
      </c>
      <c r="D539" s="695"/>
      <c r="E539" s="696"/>
      <c r="F539" s="696"/>
      <c r="G539" s="696"/>
      <c r="H539" s="696"/>
      <c r="I539" s="1050" t="str">
        <f t="shared" si="122"/>
        <v/>
      </c>
      <c r="J539" s="696"/>
      <c r="K539" s="697"/>
      <c r="L539" s="696"/>
      <c r="M539" s="198" t="str">
        <f t="shared" si="123"/>
        <v/>
      </c>
      <c r="N539" s="369" t="str">
        <f t="shared" si="124"/>
        <v/>
      </c>
      <c r="O539" s="183" t="str">
        <f t="shared" si="125"/>
        <v/>
      </c>
      <c r="P539" s="199" t="str">
        <f t="shared" si="126"/>
        <v/>
      </c>
      <c r="Q539" s="199" t="str">
        <f>IF(B539="","",IFERROR(IF('עלויות כח אדם (6)'!J539&gt;=VLOOKUP(I539,'סיווג התפקידים והעלויות'!$B$23:$C$32,2,0),"תקין","לא תקין"),""))</f>
        <v/>
      </c>
      <c r="R539" s="199" t="str">
        <f t="shared" si="127"/>
        <v/>
      </c>
      <c r="S539" s="199" t="str">
        <f t="shared" si="128"/>
        <v/>
      </c>
      <c r="T539" s="199" t="str">
        <f t="shared" si="136"/>
        <v/>
      </c>
      <c r="U539" s="199" t="str">
        <f t="shared" si="129"/>
        <v/>
      </c>
      <c r="V539" s="989"/>
      <c r="X539" s="374" t="str">
        <f t="shared" si="130"/>
        <v/>
      </c>
      <c r="Y539" s="375" t="str">
        <f t="shared" si="131"/>
        <v/>
      </c>
      <c r="Z539" s="374" t="str">
        <f t="shared" si="132"/>
        <v/>
      </c>
      <c r="AA539" s="374" t="b">
        <f t="shared" si="133"/>
        <v>1</v>
      </c>
      <c r="AB539" s="374">
        <f>COUNTIFS(B:B,B539,H:H,'סיווג התפקידים והעלויות'!$C$2)</f>
        <v>0</v>
      </c>
      <c r="AC539" s="374">
        <f>COUNTIFS(B:B,B539,H:H,'סיווג התפקידים והעלויות'!$D$2)</f>
        <v>0</v>
      </c>
      <c r="AD539" s="374" t="str">
        <f>IF(OR(AND(H539='סיווג התפקידים והעלויות'!$A$2,I539='סיווג התפקידים והעלויות'!$A$3),'עלויות כח אדם (6)'!H539='סיווג התפקידים והעלויות'!$C$2,'עלויות כח אדם (6)'!H539='סיווג התפקידים והעלויות'!$D$2),IF('עלויות כח אדם (6)'!J539&lt;75,"לא תקין","תקין"),"")</f>
        <v/>
      </c>
      <c r="AE539" s="374" t="str">
        <f t="shared" si="134"/>
        <v/>
      </c>
      <c r="AF539" s="532" t="str">
        <f t="shared" si="135"/>
        <v/>
      </c>
    </row>
    <row r="540" spans="2:32" x14ac:dyDescent="0.25">
      <c r="B540" s="695"/>
      <c r="C540" s="197" t="str">
        <f>IF(B540&lt;&gt;"",IFERROR(VLOOKUP(B:B,'מצבת והרשמה (2)'!$C$20:$N$520,2,0)," ")," ")</f>
        <v xml:space="preserve"> </v>
      </c>
      <c r="D540" s="695"/>
      <c r="E540" s="696"/>
      <c r="F540" s="696"/>
      <c r="G540" s="696"/>
      <c r="H540" s="696"/>
      <c r="I540" s="1050" t="str">
        <f t="shared" si="122"/>
        <v/>
      </c>
      <c r="J540" s="696"/>
      <c r="K540" s="697"/>
      <c r="L540" s="696"/>
      <c r="M540" s="198" t="str">
        <f t="shared" si="123"/>
        <v/>
      </c>
      <c r="N540" s="369" t="str">
        <f t="shared" si="124"/>
        <v/>
      </c>
      <c r="O540" s="183" t="str">
        <f t="shared" si="125"/>
        <v/>
      </c>
      <c r="P540" s="199" t="str">
        <f t="shared" si="126"/>
        <v/>
      </c>
      <c r="Q540" s="199" t="str">
        <f>IF(B540="","",IFERROR(IF('עלויות כח אדם (6)'!J540&gt;=VLOOKUP(I540,'סיווג התפקידים והעלויות'!$B$23:$C$32,2,0),"תקין","לא תקין"),""))</f>
        <v/>
      </c>
      <c r="R540" s="199" t="str">
        <f t="shared" si="127"/>
        <v/>
      </c>
      <c r="S540" s="199" t="str">
        <f t="shared" si="128"/>
        <v/>
      </c>
      <c r="T540" s="199" t="str">
        <f t="shared" si="136"/>
        <v/>
      </c>
      <c r="U540" s="199" t="str">
        <f t="shared" si="129"/>
        <v/>
      </c>
      <c r="V540" s="989"/>
      <c r="X540" s="374" t="str">
        <f t="shared" si="130"/>
        <v/>
      </c>
      <c r="Y540" s="375" t="str">
        <f t="shared" si="131"/>
        <v/>
      </c>
      <c r="Z540" s="374" t="str">
        <f t="shared" si="132"/>
        <v/>
      </c>
      <c r="AA540" s="374" t="b">
        <f t="shared" si="133"/>
        <v>1</v>
      </c>
      <c r="AB540" s="374">
        <f>COUNTIFS(B:B,B540,H:H,'סיווג התפקידים והעלויות'!$C$2)</f>
        <v>0</v>
      </c>
      <c r="AC540" s="374">
        <f>COUNTIFS(B:B,B540,H:H,'סיווג התפקידים והעלויות'!$D$2)</f>
        <v>0</v>
      </c>
      <c r="AD540" s="374" t="str">
        <f>IF(OR(AND(H540='סיווג התפקידים והעלויות'!$A$2,I540='סיווג התפקידים והעלויות'!$A$3),'עלויות כח אדם (6)'!H540='סיווג התפקידים והעלויות'!$C$2,'עלויות כח אדם (6)'!H540='סיווג התפקידים והעלויות'!$D$2),IF('עלויות כח אדם (6)'!J540&lt;75,"לא תקין","תקין"),"")</f>
        <v/>
      </c>
      <c r="AE540" s="374" t="str">
        <f t="shared" si="134"/>
        <v/>
      </c>
      <c r="AF540" s="532" t="str">
        <f t="shared" si="135"/>
        <v/>
      </c>
    </row>
    <row r="541" spans="2:32" x14ac:dyDescent="0.25">
      <c r="B541" s="695"/>
      <c r="C541" s="197" t="str">
        <f>IF(B541&lt;&gt;"",IFERROR(VLOOKUP(B:B,'מצבת והרשמה (2)'!$C$20:$N$520,2,0)," ")," ")</f>
        <v xml:space="preserve"> </v>
      </c>
      <c r="D541" s="695"/>
      <c r="E541" s="696"/>
      <c r="F541" s="696"/>
      <c r="G541" s="696"/>
      <c r="H541" s="696"/>
      <c r="I541" s="1050" t="str">
        <f t="shared" si="122"/>
        <v/>
      </c>
      <c r="J541" s="696"/>
      <c r="K541" s="697"/>
      <c r="L541" s="696"/>
      <c r="M541" s="198" t="str">
        <f t="shared" si="123"/>
        <v/>
      </c>
      <c r="N541" s="369" t="str">
        <f t="shared" si="124"/>
        <v/>
      </c>
      <c r="O541" s="183" t="str">
        <f t="shared" si="125"/>
        <v/>
      </c>
      <c r="P541" s="199" t="str">
        <f t="shared" si="126"/>
        <v/>
      </c>
      <c r="Q541" s="199" t="str">
        <f>IF(B541="","",IFERROR(IF('עלויות כח אדם (6)'!J541&gt;=VLOOKUP(I541,'סיווג התפקידים והעלויות'!$B$23:$C$32,2,0),"תקין","לא תקין"),""))</f>
        <v/>
      </c>
      <c r="R541" s="199" t="str">
        <f t="shared" si="127"/>
        <v/>
      </c>
      <c r="S541" s="199" t="str">
        <f t="shared" si="128"/>
        <v/>
      </c>
      <c r="T541" s="199" t="str">
        <f t="shared" si="136"/>
        <v/>
      </c>
      <c r="U541" s="199" t="str">
        <f t="shared" si="129"/>
        <v/>
      </c>
      <c r="V541" s="989"/>
      <c r="X541" s="374" t="str">
        <f t="shared" si="130"/>
        <v/>
      </c>
      <c r="Y541" s="375" t="str">
        <f t="shared" si="131"/>
        <v/>
      </c>
      <c r="Z541" s="374" t="str">
        <f t="shared" si="132"/>
        <v/>
      </c>
      <c r="AA541" s="374" t="b">
        <f t="shared" si="133"/>
        <v>1</v>
      </c>
      <c r="AB541" s="374">
        <f>COUNTIFS(B:B,B541,H:H,'סיווג התפקידים והעלויות'!$C$2)</f>
        <v>0</v>
      </c>
      <c r="AC541" s="374">
        <f>COUNTIFS(B:B,B541,H:H,'סיווג התפקידים והעלויות'!$D$2)</f>
        <v>0</v>
      </c>
      <c r="AD541" s="374" t="str">
        <f>IF(OR(AND(H541='סיווג התפקידים והעלויות'!$A$2,I541='סיווג התפקידים והעלויות'!$A$3),'עלויות כח אדם (6)'!H541='סיווג התפקידים והעלויות'!$C$2,'עלויות כח אדם (6)'!H541='סיווג התפקידים והעלויות'!$D$2),IF('עלויות כח אדם (6)'!J541&lt;75,"לא תקין","תקין"),"")</f>
        <v/>
      </c>
      <c r="AE541" s="374" t="str">
        <f t="shared" si="134"/>
        <v/>
      </c>
      <c r="AF541" s="532" t="str">
        <f t="shared" si="135"/>
        <v/>
      </c>
    </row>
    <row r="542" spans="2:32" x14ac:dyDescent="0.25">
      <c r="B542" s="695"/>
      <c r="C542" s="197" t="str">
        <f>IF(B542&lt;&gt;"",IFERROR(VLOOKUP(B:B,'מצבת והרשמה (2)'!$C$20:$N$520,2,0)," ")," ")</f>
        <v xml:space="preserve"> </v>
      </c>
      <c r="D542" s="695"/>
      <c r="E542" s="696"/>
      <c r="F542" s="696"/>
      <c r="G542" s="696"/>
      <c r="H542" s="696"/>
      <c r="I542" s="1050" t="str">
        <f t="shared" si="122"/>
        <v/>
      </c>
      <c r="J542" s="696"/>
      <c r="K542" s="697"/>
      <c r="L542" s="696"/>
      <c r="M542" s="198" t="str">
        <f t="shared" si="123"/>
        <v/>
      </c>
      <c r="N542" s="369" t="str">
        <f t="shared" si="124"/>
        <v/>
      </c>
      <c r="O542" s="183" t="str">
        <f t="shared" si="125"/>
        <v/>
      </c>
      <c r="P542" s="199" t="str">
        <f t="shared" si="126"/>
        <v/>
      </c>
      <c r="Q542" s="199" t="str">
        <f>IF(B542="","",IFERROR(IF('עלויות כח אדם (6)'!J542&gt;=VLOOKUP(I542,'סיווג התפקידים והעלויות'!$B$23:$C$32,2,0),"תקין","לא תקין"),""))</f>
        <v/>
      </c>
      <c r="R542" s="199" t="str">
        <f t="shared" si="127"/>
        <v/>
      </c>
      <c r="S542" s="199" t="str">
        <f t="shared" si="128"/>
        <v/>
      </c>
      <c r="T542" s="199" t="str">
        <f t="shared" si="136"/>
        <v/>
      </c>
      <c r="U542" s="199" t="str">
        <f t="shared" si="129"/>
        <v/>
      </c>
      <c r="V542" s="989"/>
      <c r="X542" s="374" t="str">
        <f t="shared" si="130"/>
        <v/>
      </c>
      <c r="Y542" s="375" t="str">
        <f t="shared" si="131"/>
        <v/>
      </c>
      <c r="Z542" s="374" t="str">
        <f t="shared" si="132"/>
        <v/>
      </c>
      <c r="AA542" s="374" t="b">
        <f t="shared" si="133"/>
        <v>1</v>
      </c>
      <c r="AB542" s="374">
        <f>COUNTIFS(B:B,B542,H:H,'סיווג התפקידים והעלויות'!$C$2)</f>
        <v>0</v>
      </c>
      <c r="AC542" s="374">
        <f>COUNTIFS(B:B,B542,H:H,'סיווג התפקידים והעלויות'!$D$2)</f>
        <v>0</v>
      </c>
      <c r="AD542" s="374" t="str">
        <f>IF(OR(AND(H542='סיווג התפקידים והעלויות'!$A$2,I542='סיווג התפקידים והעלויות'!$A$3),'עלויות כח אדם (6)'!H542='סיווג התפקידים והעלויות'!$C$2,'עלויות כח אדם (6)'!H542='סיווג התפקידים והעלויות'!$D$2),IF('עלויות כח אדם (6)'!J542&lt;75,"לא תקין","תקין"),"")</f>
        <v/>
      </c>
      <c r="AE542" s="374" t="str">
        <f t="shared" si="134"/>
        <v/>
      </c>
      <c r="AF542" s="532" t="str">
        <f t="shared" si="135"/>
        <v/>
      </c>
    </row>
    <row r="543" spans="2:32" x14ac:dyDescent="0.25">
      <c r="B543" s="695"/>
      <c r="C543" s="197" t="str">
        <f>IF(B543&lt;&gt;"",IFERROR(VLOOKUP(B:B,'מצבת והרשמה (2)'!$C$20:$N$520,2,0)," ")," ")</f>
        <v xml:space="preserve"> </v>
      </c>
      <c r="D543" s="695"/>
      <c r="E543" s="696"/>
      <c r="F543" s="696"/>
      <c r="G543" s="696"/>
      <c r="H543" s="696"/>
      <c r="I543" s="1050" t="str">
        <f t="shared" si="122"/>
        <v/>
      </c>
      <c r="J543" s="696"/>
      <c r="K543" s="697"/>
      <c r="L543" s="696"/>
      <c r="M543" s="198" t="str">
        <f t="shared" si="123"/>
        <v/>
      </c>
      <c r="N543" s="369" t="str">
        <f t="shared" si="124"/>
        <v/>
      </c>
      <c r="O543" s="183" t="str">
        <f t="shared" si="125"/>
        <v/>
      </c>
      <c r="P543" s="199" t="str">
        <f t="shared" si="126"/>
        <v/>
      </c>
      <c r="Q543" s="199" t="str">
        <f>IF(B543="","",IFERROR(IF('עלויות כח אדם (6)'!J543&gt;=VLOOKUP(I543,'סיווג התפקידים והעלויות'!$B$23:$C$32,2,0),"תקין","לא תקין"),""))</f>
        <v/>
      </c>
      <c r="R543" s="199" t="str">
        <f t="shared" si="127"/>
        <v/>
      </c>
      <c r="S543" s="199" t="str">
        <f t="shared" si="128"/>
        <v/>
      </c>
      <c r="T543" s="199" t="str">
        <f t="shared" si="136"/>
        <v/>
      </c>
      <c r="U543" s="199" t="str">
        <f t="shared" si="129"/>
        <v/>
      </c>
      <c r="V543" s="989"/>
      <c r="X543" s="374" t="str">
        <f t="shared" si="130"/>
        <v/>
      </c>
      <c r="Y543" s="375" t="str">
        <f t="shared" si="131"/>
        <v/>
      </c>
      <c r="Z543" s="374" t="str">
        <f t="shared" si="132"/>
        <v/>
      </c>
      <c r="AA543" s="374" t="b">
        <f t="shared" si="133"/>
        <v>1</v>
      </c>
      <c r="AB543" s="374">
        <f>COUNTIFS(B:B,B543,H:H,'סיווג התפקידים והעלויות'!$C$2)</f>
        <v>0</v>
      </c>
      <c r="AC543" s="374">
        <f>COUNTIFS(B:B,B543,H:H,'סיווג התפקידים והעלויות'!$D$2)</f>
        <v>0</v>
      </c>
      <c r="AD543" s="374" t="str">
        <f>IF(OR(AND(H543='סיווג התפקידים והעלויות'!$A$2,I543='סיווג התפקידים והעלויות'!$A$3),'עלויות כח אדם (6)'!H543='סיווג התפקידים והעלויות'!$C$2,'עלויות כח אדם (6)'!H543='סיווג התפקידים והעלויות'!$D$2),IF('עלויות כח אדם (6)'!J543&lt;75,"לא תקין","תקין"),"")</f>
        <v/>
      </c>
      <c r="AE543" s="374" t="str">
        <f t="shared" si="134"/>
        <v/>
      </c>
      <c r="AF543" s="532" t="str">
        <f t="shared" si="135"/>
        <v/>
      </c>
    </row>
    <row r="544" spans="2:32" x14ac:dyDescent="0.25">
      <c r="B544" s="695"/>
      <c r="C544" s="197" t="str">
        <f>IF(B544&lt;&gt;"",IFERROR(VLOOKUP(B:B,'מצבת והרשמה (2)'!$C$20:$N$520,2,0)," ")," ")</f>
        <v xml:space="preserve"> </v>
      </c>
      <c r="D544" s="695"/>
      <c r="E544" s="696"/>
      <c r="F544" s="696"/>
      <c r="G544" s="696"/>
      <c r="H544" s="696"/>
      <c r="I544" s="1050" t="str">
        <f t="shared" si="122"/>
        <v/>
      </c>
      <c r="J544" s="696"/>
      <c r="K544" s="697"/>
      <c r="L544" s="696"/>
      <c r="M544" s="198" t="str">
        <f t="shared" si="123"/>
        <v/>
      </c>
      <c r="N544" s="369" t="str">
        <f t="shared" si="124"/>
        <v/>
      </c>
      <c r="O544" s="183" t="str">
        <f t="shared" si="125"/>
        <v/>
      </c>
      <c r="P544" s="199" t="str">
        <f t="shared" si="126"/>
        <v/>
      </c>
      <c r="Q544" s="199" t="str">
        <f>IF(B544="","",IFERROR(IF('עלויות כח אדם (6)'!J544&gt;=VLOOKUP(I544,'סיווג התפקידים והעלויות'!$B$23:$C$32,2,0),"תקין","לא תקין"),""))</f>
        <v/>
      </c>
      <c r="R544" s="199" t="str">
        <f t="shared" si="127"/>
        <v/>
      </c>
      <c r="S544" s="199" t="str">
        <f t="shared" si="128"/>
        <v/>
      </c>
      <c r="T544" s="199" t="str">
        <f t="shared" si="136"/>
        <v/>
      </c>
      <c r="U544" s="199" t="str">
        <f t="shared" si="129"/>
        <v/>
      </c>
      <c r="V544" s="989"/>
      <c r="X544" s="374" t="str">
        <f t="shared" si="130"/>
        <v/>
      </c>
      <c r="Y544" s="375" t="str">
        <f t="shared" si="131"/>
        <v/>
      </c>
      <c r="Z544" s="374" t="str">
        <f t="shared" si="132"/>
        <v/>
      </c>
      <c r="AA544" s="374" t="b">
        <f t="shared" si="133"/>
        <v>1</v>
      </c>
      <c r="AB544" s="374">
        <f>COUNTIFS(B:B,B544,H:H,'סיווג התפקידים והעלויות'!$C$2)</f>
        <v>0</v>
      </c>
      <c r="AC544" s="374">
        <f>COUNTIFS(B:B,B544,H:H,'סיווג התפקידים והעלויות'!$D$2)</f>
        <v>0</v>
      </c>
      <c r="AD544" s="374" t="str">
        <f>IF(OR(AND(H544='סיווג התפקידים והעלויות'!$A$2,I544='סיווג התפקידים והעלויות'!$A$3),'עלויות כח אדם (6)'!H544='סיווג התפקידים והעלויות'!$C$2,'עלויות כח אדם (6)'!H544='סיווג התפקידים והעלויות'!$D$2),IF('עלויות כח אדם (6)'!J544&lt;75,"לא תקין","תקין"),"")</f>
        <v/>
      </c>
      <c r="AE544" s="374" t="str">
        <f t="shared" si="134"/>
        <v/>
      </c>
      <c r="AF544" s="532" t="str">
        <f t="shared" si="135"/>
        <v/>
      </c>
    </row>
    <row r="545" spans="2:32" x14ac:dyDescent="0.25">
      <c r="B545" s="695"/>
      <c r="C545" s="197" t="str">
        <f>IF(B545&lt;&gt;"",IFERROR(VLOOKUP(B:B,'מצבת והרשמה (2)'!$C$20:$N$520,2,0)," ")," ")</f>
        <v xml:space="preserve"> </v>
      </c>
      <c r="D545" s="695"/>
      <c r="E545" s="696"/>
      <c r="F545" s="696"/>
      <c r="G545" s="696"/>
      <c r="H545" s="696"/>
      <c r="I545" s="1050" t="str">
        <f t="shared" si="122"/>
        <v/>
      </c>
      <c r="J545" s="696"/>
      <c r="K545" s="697"/>
      <c r="L545" s="696"/>
      <c r="M545" s="198" t="str">
        <f t="shared" si="123"/>
        <v/>
      </c>
      <c r="N545" s="369" t="str">
        <f t="shared" si="124"/>
        <v/>
      </c>
      <c r="O545" s="183" t="str">
        <f t="shared" si="125"/>
        <v/>
      </c>
      <c r="P545" s="199" t="str">
        <f t="shared" si="126"/>
        <v/>
      </c>
      <c r="Q545" s="199" t="str">
        <f>IF(B545="","",IFERROR(IF('עלויות כח אדם (6)'!J545&gt;=VLOOKUP(I545,'סיווג התפקידים והעלויות'!$B$23:$C$32,2,0),"תקין","לא תקין"),""))</f>
        <v/>
      </c>
      <c r="R545" s="199" t="str">
        <f t="shared" si="127"/>
        <v/>
      </c>
      <c r="S545" s="199" t="str">
        <f t="shared" si="128"/>
        <v/>
      </c>
      <c r="T545" s="199" t="str">
        <f t="shared" si="136"/>
        <v/>
      </c>
      <c r="U545" s="199" t="str">
        <f t="shared" si="129"/>
        <v/>
      </c>
      <c r="V545" s="989"/>
      <c r="X545" s="374" t="str">
        <f t="shared" si="130"/>
        <v/>
      </c>
      <c r="Y545" s="375" t="str">
        <f t="shared" si="131"/>
        <v/>
      </c>
      <c r="Z545" s="374" t="str">
        <f t="shared" si="132"/>
        <v/>
      </c>
      <c r="AA545" s="374" t="b">
        <f t="shared" si="133"/>
        <v>1</v>
      </c>
      <c r="AB545" s="374">
        <f>COUNTIFS(B:B,B545,H:H,'סיווג התפקידים והעלויות'!$C$2)</f>
        <v>0</v>
      </c>
      <c r="AC545" s="374">
        <f>COUNTIFS(B:B,B545,H:H,'סיווג התפקידים והעלויות'!$D$2)</f>
        <v>0</v>
      </c>
      <c r="AD545" s="374" t="str">
        <f>IF(OR(AND(H545='סיווג התפקידים והעלויות'!$A$2,I545='סיווג התפקידים והעלויות'!$A$3),'עלויות כח אדם (6)'!H545='סיווג התפקידים והעלויות'!$C$2,'עלויות כח אדם (6)'!H545='סיווג התפקידים והעלויות'!$D$2),IF('עלויות כח אדם (6)'!J545&lt;75,"לא תקין","תקין"),"")</f>
        <v/>
      </c>
      <c r="AE545" s="374" t="str">
        <f t="shared" si="134"/>
        <v/>
      </c>
      <c r="AF545" s="532" t="str">
        <f t="shared" si="135"/>
        <v/>
      </c>
    </row>
    <row r="546" spans="2:32" x14ac:dyDescent="0.25">
      <c r="B546" s="695"/>
      <c r="C546" s="197" t="str">
        <f>IF(B546&lt;&gt;"",IFERROR(VLOOKUP(B:B,'מצבת והרשמה (2)'!$C$20:$N$520,2,0)," ")," ")</f>
        <v xml:space="preserve"> </v>
      </c>
      <c r="D546" s="695"/>
      <c r="E546" s="696"/>
      <c r="F546" s="696"/>
      <c r="G546" s="696"/>
      <c r="H546" s="696"/>
      <c r="I546" s="1050" t="str">
        <f t="shared" si="122"/>
        <v/>
      </c>
      <c r="J546" s="696"/>
      <c r="K546" s="697"/>
      <c r="L546" s="696"/>
      <c r="M546" s="198" t="str">
        <f t="shared" si="123"/>
        <v/>
      </c>
      <c r="N546" s="369" t="str">
        <f t="shared" si="124"/>
        <v/>
      </c>
      <c r="O546" s="183" t="str">
        <f t="shared" si="125"/>
        <v/>
      </c>
      <c r="P546" s="199" t="str">
        <f t="shared" si="126"/>
        <v/>
      </c>
      <c r="Q546" s="199" t="str">
        <f>IF(B546="","",IFERROR(IF('עלויות כח אדם (6)'!J546&gt;=VLOOKUP(I546,'סיווג התפקידים והעלויות'!$B$23:$C$32,2,0),"תקין","לא תקין"),""))</f>
        <v/>
      </c>
      <c r="R546" s="199" t="str">
        <f t="shared" si="127"/>
        <v/>
      </c>
      <c r="S546" s="199" t="str">
        <f t="shared" si="128"/>
        <v/>
      </c>
      <c r="T546" s="199" t="str">
        <f t="shared" si="136"/>
        <v/>
      </c>
      <c r="U546" s="199" t="str">
        <f t="shared" si="129"/>
        <v/>
      </c>
      <c r="V546" s="989"/>
      <c r="X546" s="374" t="str">
        <f t="shared" si="130"/>
        <v/>
      </c>
      <c r="Y546" s="375" t="str">
        <f t="shared" si="131"/>
        <v/>
      </c>
      <c r="Z546" s="374" t="str">
        <f t="shared" si="132"/>
        <v/>
      </c>
      <c r="AA546" s="374" t="b">
        <f t="shared" si="133"/>
        <v>1</v>
      </c>
      <c r="AB546" s="374">
        <f>COUNTIFS(B:B,B546,H:H,'סיווג התפקידים והעלויות'!$C$2)</f>
        <v>0</v>
      </c>
      <c r="AC546" s="374">
        <f>COUNTIFS(B:B,B546,H:H,'סיווג התפקידים והעלויות'!$D$2)</f>
        <v>0</v>
      </c>
      <c r="AD546" s="374" t="str">
        <f>IF(OR(AND(H546='סיווג התפקידים והעלויות'!$A$2,I546='סיווג התפקידים והעלויות'!$A$3),'עלויות כח אדם (6)'!H546='סיווג התפקידים והעלויות'!$C$2,'עלויות כח אדם (6)'!H546='סיווג התפקידים והעלויות'!$D$2),IF('עלויות כח אדם (6)'!J546&lt;75,"לא תקין","תקין"),"")</f>
        <v/>
      </c>
      <c r="AE546" s="374" t="str">
        <f t="shared" si="134"/>
        <v/>
      </c>
      <c r="AF546" s="532" t="str">
        <f t="shared" si="135"/>
        <v/>
      </c>
    </row>
    <row r="547" spans="2:32" x14ac:dyDescent="0.25">
      <c r="B547" s="695"/>
      <c r="C547" s="197" t="str">
        <f>IF(B547&lt;&gt;"",IFERROR(VLOOKUP(B:B,'מצבת והרשמה (2)'!$C$20:$N$520,2,0)," ")," ")</f>
        <v xml:space="preserve"> </v>
      </c>
      <c r="D547" s="695"/>
      <c r="E547" s="696"/>
      <c r="F547" s="696"/>
      <c r="G547" s="696"/>
      <c r="H547" s="696"/>
      <c r="I547" s="1050" t="str">
        <f t="shared" si="122"/>
        <v/>
      </c>
      <c r="J547" s="696"/>
      <c r="K547" s="697"/>
      <c r="L547" s="696"/>
      <c r="M547" s="198" t="str">
        <f t="shared" si="123"/>
        <v/>
      </c>
      <c r="N547" s="369" t="str">
        <f t="shared" si="124"/>
        <v/>
      </c>
      <c r="O547" s="183" t="str">
        <f t="shared" si="125"/>
        <v/>
      </c>
      <c r="P547" s="199" t="str">
        <f t="shared" si="126"/>
        <v/>
      </c>
      <c r="Q547" s="199" t="str">
        <f>IF(B547="","",IFERROR(IF('עלויות כח אדם (6)'!J547&gt;=VLOOKUP(I547,'סיווג התפקידים והעלויות'!$B$23:$C$32,2,0),"תקין","לא תקין"),""))</f>
        <v/>
      </c>
      <c r="R547" s="199" t="str">
        <f t="shared" si="127"/>
        <v/>
      </c>
      <c r="S547" s="199" t="str">
        <f t="shared" si="128"/>
        <v/>
      </c>
      <c r="T547" s="199" t="str">
        <f t="shared" si="136"/>
        <v/>
      </c>
      <c r="U547" s="199" t="str">
        <f t="shared" si="129"/>
        <v/>
      </c>
      <c r="V547" s="989"/>
      <c r="X547" s="374" t="str">
        <f t="shared" si="130"/>
        <v/>
      </c>
      <c r="Y547" s="375" t="str">
        <f t="shared" si="131"/>
        <v/>
      </c>
      <c r="Z547" s="374" t="str">
        <f t="shared" si="132"/>
        <v/>
      </c>
      <c r="AA547" s="374" t="b">
        <f t="shared" si="133"/>
        <v>1</v>
      </c>
      <c r="AB547" s="374">
        <f>COUNTIFS(B:B,B547,H:H,'סיווג התפקידים והעלויות'!$C$2)</f>
        <v>0</v>
      </c>
      <c r="AC547" s="374">
        <f>COUNTIFS(B:B,B547,H:H,'סיווג התפקידים והעלויות'!$D$2)</f>
        <v>0</v>
      </c>
      <c r="AD547" s="374" t="str">
        <f>IF(OR(AND(H547='סיווג התפקידים והעלויות'!$A$2,I547='סיווג התפקידים והעלויות'!$A$3),'עלויות כח אדם (6)'!H547='סיווג התפקידים והעלויות'!$C$2,'עלויות כח אדם (6)'!H547='סיווג התפקידים והעלויות'!$D$2),IF('עלויות כח אדם (6)'!J547&lt;75,"לא תקין","תקין"),"")</f>
        <v/>
      </c>
      <c r="AE547" s="374" t="str">
        <f t="shared" si="134"/>
        <v/>
      </c>
      <c r="AF547" s="532" t="str">
        <f t="shared" si="135"/>
        <v/>
      </c>
    </row>
    <row r="548" spans="2:32" x14ac:dyDescent="0.25">
      <c r="B548" s="695"/>
      <c r="C548" s="197" t="str">
        <f>IF(B548&lt;&gt;"",IFERROR(VLOOKUP(B:B,'מצבת והרשמה (2)'!$C$20:$N$520,2,0)," ")," ")</f>
        <v xml:space="preserve"> </v>
      </c>
      <c r="D548" s="695"/>
      <c r="E548" s="696"/>
      <c r="F548" s="696"/>
      <c r="G548" s="696"/>
      <c r="H548" s="696"/>
      <c r="I548" s="1050" t="str">
        <f t="shared" si="122"/>
        <v/>
      </c>
      <c r="J548" s="696"/>
      <c r="K548" s="697"/>
      <c r="L548" s="696"/>
      <c r="M548" s="198" t="str">
        <f t="shared" si="123"/>
        <v/>
      </c>
      <c r="N548" s="369" t="str">
        <f t="shared" si="124"/>
        <v/>
      </c>
      <c r="O548" s="183" t="str">
        <f t="shared" si="125"/>
        <v/>
      </c>
      <c r="P548" s="199" t="str">
        <f t="shared" si="126"/>
        <v/>
      </c>
      <c r="Q548" s="199" t="str">
        <f>IF(B548="","",IFERROR(IF('עלויות כח אדם (6)'!J548&gt;=VLOOKUP(I548,'סיווג התפקידים והעלויות'!$B$23:$C$32,2,0),"תקין","לא תקין"),""))</f>
        <v/>
      </c>
      <c r="R548" s="199" t="str">
        <f t="shared" si="127"/>
        <v/>
      </c>
      <c r="S548" s="199" t="str">
        <f t="shared" si="128"/>
        <v/>
      </c>
      <c r="T548" s="199" t="str">
        <f t="shared" si="136"/>
        <v/>
      </c>
      <c r="U548" s="199" t="str">
        <f t="shared" si="129"/>
        <v/>
      </c>
      <c r="V548" s="989"/>
      <c r="X548" s="374" t="str">
        <f t="shared" si="130"/>
        <v/>
      </c>
      <c r="Y548" s="375" t="str">
        <f t="shared" si="131"/>
        <v/>
      </c>
      <c r="Z548" s="374" t="str">
        <f t="shared" si="132"/>
        <v/>
      </c>
      <c r="AA548" s="374" t="b">
        <f t="shared" si="133"/>
        <v>1</v>
      </c>
      <c r="AB548" s="374">
        <f>COUNTIFS(B:B,B548,H:H,'סיווג התפקידים והעלויות'!$C$2)</f>
        <v>0</v>
      </c>
      <c r="AC548" s="374">
        <f>COUNTIFS(B:B,B548,H:H,'סיווג התפקידים והעלויות'!$D$2)</f>
        <v>0</v>
      </c>
      <c r="AD548" s="374" t="str">
        <f>IF(OR(AND(H548='סיווג התפקידים והעלויות'!$A$2,I548='סיווג התפקידים והעלויות'!$A$3),'עלויות כח אדם (6)'!H548='סיווג התפקידים והעלויות'!$C$2,'עלויות כח אדם (6)'!H548='סיווג התפקידים והעלויות'!$D$2),IF('עלויות כח אדם (6)'!J548&lt;75,"לא תקין","תקין"),"")</f>
        <v/>
      </c>
      <c r="AE548" s="374" t="str">
        <f t="shared" si="134"/>
        <v/>
      </c>
      <c r="AF548" s="532" t="str">
        <f t="shared" si="135"/>
        <v/>
      </c>
    </row>
    <row r="549" spans="2:32" x14ac:dyDescent="0.25">
      <c r="B549" s="695"/>
      <c r="C549" s="197" t="str">
        <f>IF(B549&lt;&gt;"",IFERROR(VLOOKUP(B:B,'מצבת והרשמה (2)'!$C$20:$N$520,2,0)," ")," ")</f>
        <v xml:space="preserve"> </v>
      </c>
      <c r="D549" s="695"/>
      <c r="E549" s="696"/>
      <c r="F549" s="696"/>
      <c r="G549" s="696"/>
      <c r="H549" s="696"/>
      <c r="I549" s="1050" t="str">
        <f t="shared" si="122"/>
        <v/>
      </c>
      <c r="J549" s="696"/>
      <c r="K549" s="697"/>
      <c r="L549" s="696"/>
      <c r="M549" s="198" t="str">
        <f t="shared" si="123"/>
        <v/>
      </c>
      <c r="N549" s="369" t="str">
        <f t="shared" si="124"/>
        <v/>
      </c>
      <c r="O549" s="183" t="str">
        <f t="shared" si="125"/>
        <v/>
      </c>
      <c r="P549" s="199" t="str">
        <f t="shared" si="126"/>
        <v/>
      </c>
      <c r="Q549" s="199" t="str">
        <f>IF(B549="","",IFERROR(IF('עלויות כח אדם (6)'!J549&gt;=VLOOKUP(I549,'סיווג התפקידים והעלויות'!$B$23:$C$32,2,0),"תקין","לא תקין"),""))</f>
        <v/>
      </c>
      <c r="R549" s="199" t="str">
        <f t="shared" si="127"/>
        <v/>
      </c>
      <c r="S549" s="199" t="str">
        <f t="shared" si="128"/>
        <v/>
      </c>
      <c r="T549" s="199" t="str">
        <f t="shared" si="136"/>
        <v/>
      </c>
      <c r="U549" s="199" t="str">
        <f t="shared" si="129"/>
        <v/>
      </c>
      <c r="V549" s="989"/>
      <c r="X549" s="374" t="str">
        <f t="shared" si="130"/>
        <v/>
      </c>
      <c r="Y549" s="375" t="str">
        <f t="shared" si="131"/>
        <v/>
      </c>
      <c r="Z549" s="374" t="str">
        <f t="shared" si="132"/>
        <v/>
      </c>
      <c r="AA549" s="374" t="b">
        <f t="shared" si="133"/>
        <v>1</v>
      </c>
      <c r="AB549" s="374">
        <f>COUNTIFS(B:B,B549,H:H,'סיווג התפקידים והעלויות'!$C$2)</f>
        <v>0</v>
      </c>
      <c r="AC549" s="374">
        <f>COUNTIFS(B:B,B549,H:H,'סיווג התפקידים והעלויות'!$D$2)</f>
        <v>0</v>
      </c>
      <c r="AD549" s="374" t="str">
        <f>IF(OR(AND(H549='סיווג התפקידים והעלויות'!$A$2,I549='סיווג התפקידים והעלויות'!$A$3),'עלויות כח אדם (6)'!H549='סיווג התפקידים והעלויות'!$C$2,'עלויות כח אדם (6)'!H549='סיווג התפקידים והעלויות'!$D$2),IF('עלויות כח אדם (6)'!J549&lt;75,"לא תקין","תקין"),"")</f>
        <v/>
      </c>
      <c r="AE549" s="374" t="str">
        <f t="shared" si="134"/>
        <v/>
      </c>
      <c r="AF549" s="532" t="str">
        <f t="shared" si="135"/>
        <v/>
      </c>
    </row>
    <row r="550" spans="2:32" x14ac:dyDescent="0.25">
      <c r="B550" s="695"/>
      <c r="C550" s="197" t="str">
        <f>IF(B550&lt;&gt;"",IFERROR(VLOOKUP(B:B,'מצבת והרשמה (2)'!$C$20:$N$520,2,0)," ")," ")</f>
        <v xml:space="preserve"> </v>
      </c>
      <c r="D550" s="695"/>
      <c r="E550" s="696"/>
      <c r="F550" s="696"/>
      <c r="G550" s="696"/>
      <c r="H550" s="696"/>
      <c r="I550" s="1050" t="str">
        <f t="shared" si="122"/>
        <v/>
      </c>
      <c r="J550" s="696"/>
      <c r="K550" s="697"/>
      <c r="L550" s="696"/>
      <c r="M550" s="198" t="str">
        <f t="shared" si="123"/>
        <v/>
      </c>
      <c r="N550" s="369" t="str">
        <f t="shared" si="124"/>
        <v/>
      </c>
      <c r="O550" s="183" t="str">
        <f t="shared" si="125"/>
        <v/>
      </c>
      <c r="P550" s="199" t="str">
        <f t="shared" si="126"/>
        <v/>
      </c>
      <c r="Q550" s="199" t="str">
        <f>IF(B550="","",IFERROR(IF('עלויות כח אדם (6)'!J550&gt;=VLOOKUP(I550,'סיווג התפקידים והעלויות'!$B$23:$C$32,2,0),"תקין","לא תקין"),""))</f>
        <v/>
      </c>
      <c r="R550" s="199" t="str">
        <f t="shared" si="127"/>
        <v/>
      </c>
      <c r="S550" s="199" t="str">
        <f t="shared" si="128"/>
        <v/>
      </c>
      <c r="T550" s="199" t="str">
        <f t="shared" si="136"/>
        <v/>
      </c>
      <c r="U550" s="199" t="str">
        <f t="shared" si="129"/>
        <v/>
      </c>
      <c r="V550" s="989"/>
      <c r="X550" s="374" t="str">
        <f t="shared" si="130"/>
        <v/>
      </c>
      <c r="Y550" s="375" t="str">
        <f t="shared" si="131"/>
        <v/>
      </c>
      <c r="Z550" s="374" t="str">
        <f t="shared" si="132"/>
        <v/>
      </c>
      <c r="AA550" s="374" t="b">
        <f t="shared" si="133"/>
        <v>1</v>
      </c>
      <c r="AB550" s="374">
        <f>COUNTIFS(B:B,B550,H:H,'סיווג התפקידים והעלויות'!$C$2)</f>
        <v>0</v>
      </c>
      <c r="AC550" s="374">
        <f>COUNTIFS(B:B,B550,H:H,'סיווג התפקידים והעלויות'!$D$2)</f>
        <v>0</v>
      </c>
      <c r="AD550" s="374" t="str">
        <f>IF(OR(AND(H550='סיווג התפקידים והעלויות'!$A$2,I550='סיווג התפקידים והעלויות'!$A$3),'עלויות כח אדם (6)'!H550='סיווג התפקידים והעלויות'!$C$2,'עלויות כח אדם (6)'!H550='סיווג התפקידים והעלויות'!$D$2),IF('עלויות כח אדם (6)'!J550&lt;75,"לא תקין","תקין"),"")</f>
        <v/>
      </c>
      <c r="AE550" s="374" t="str">
        <f t="shared" si="134"/>
        <v/>
      </c>
      <c r="AF550" s="532" t="str">
        <f t="shared" si="135"/>
        <v/>
      </c>
    </row>
    <row r="551" spans="2:32" x14ac:dyDescent="0.25">
      <c r="B551" s="695"/>
      <c r="C551" s="197" t="str">
        <f>IF(B551&lt;&gt;"",IFERROR(VLOOKUP(B:B,'מצבת והרשמה (2)'!$C$20:$N$520,2,0)," ")," ")</f>
        <v xml:space="preserve"> </v>
      </c>
      <c r="D551" s="695"/>
      <c r="E551" s="696"/>
      <c r="F551" s="696"/>
      <c r="G551" s="696"/>
      <c r="H551" s="696"/>
      <c r="I551" s="1050" t="str">
        <f t="shared" si="122"/>
        <v/>
      </c>
      <c r="J551" s="696"/>
      <c r="K551" s="697"/>
      <c r="L551" s="696"/>
      <c r="M551" s="198" t="str">
        <f t="shared" si="123"/>
        <v/>
      </c>
      <c r="N551" s="369" t="str">
        <f t="shared" si="124"/>
        <v/>
      </c>
      <c r="O551" s="183" t="str">
        <f t="shared" si="125"/>
        <v/>
      </c>
      <c r="P551" s="199" t="str">
        <f t="shared" si="126"/>
        <v/>
      </c>
      <c r="Q551" s="199" t="str">
        <f>IF(B551="","",IFERROR(IF('עלויות כח אדם (6)'!J551&gt;=VLOOKUP(I551,'סיווג התפקידים והעלויות'!$B$23:$C$32,2,0),"תקין","לא תקין"),""))</f>
        <v/>
      </c>
      <c r="R551" s="199" t="str">
        <f t="shared" si="127"/>
        <v/>
      </c>
      <c r="S551" s="199" t="str">
        <f t="shared" si="128"/>
        <v/>
      </c>
      <c r="T551" s="199" t="str">
        <f t="shared" si="136"/>
        <v/>
      </c>
      <c r="U551" s="199" t="str">
        <f t="shared" si="129"/>
        <v/>
      </c>
      <c r="V551" s="989"/>
      <c r="X551" s="374" t="str">
        <f t="shared" si="130"/>
        <v/>
      </c>
      <c r="Y551" s="375" t="str">
        <f t="shared" si="131"/>
        <v/>
      </c>
      <c r="Z551" s="374" t="str">
        <f t="shared" si="132"/>
        <v/>
      </c>
      <c r="AA551" s="374" t="b">
        <f t="shared" si="133"/>
        <v>1</v>
      </c>
      <c r="AB551" s="374">
        <f>COUNTIFS(B:B,B551,H:H,'סיווג התפקידים והעלויות'!$C$2)</f>
        <v>0</v>
      </c>
      <c r="AC551" s="374">
        <f>COUNTIFS(B:B,B551,H:H,'סיווג התפקידים והעלויות'!$D$2)</f>
        <v>0</v>
      </c>
      <c r="AD551" s="374" t="str">
        <f>IF(OR(AND(H551='סיווג התפקידים והעלויות'!$A$2,I551='סיווג התפקידים והעלויות'!$A$3),'עלויות כח אדם (6)'!H551='סיווג התפקידים והעלויות'!$C$2,'עלויות כח אדם (6)'!H551='סיווג התפקידים והעלויות'!$D$2),IF('עלויות כח אדם (6)'!J551&lt;75,"לא תקין","תקין"),"")</f>
        <v/>
      </c>
      <c r="AE551" s="374" t="str">
        <f t="shared" si="134"/>
        <v/>
      </c>
      <c r="AF551" s="532" t="str">
        <f t="shared" si="135"/>
        <v/>
      </c>
    </row>
    <row r="552" spans="2:32" x14ac:dyDescent="0.25">
      <c r="B552" s="695"/>
      <c r="C552" s="197" t="str">
        <f>IF(B552&lt;&gt;"",IFERROR(VLOOKUP(B:B,'מצבת והרשמה (2)'!$C$20:$N$520,2,0)," ")," ")</f>
        <v xml:space="preserve"> </v>
      </c>
      <c r="D552" s="695"/>
      <c r="E552" s="696"/>
      <c r="F552" s="696"/>
      <c r="G552" s="696"/>
      <c r="H552" s="696"/>
      <c r="I552" s="1050" t="str">
        <f t="shared" si="122"/>
        <v/>
      </c>
      <c r="J552" s="696"/>
      <c r="K552" s="697"/>
      <c r="L552" s="696"/>
      <c r="M552" s="198" t="str">
        <f t="shared" si="123"/>
        <v/>
      </c>
      <c r="N552" s="369" t="str">
        <f t="shared" si="124"/>
        <v/>
      </c>
      <c r="O552" s="183" t="str">
        <f t="shared" si="125"/>
        <v/>
      </c>
      <c r="P552" s="199" t="str">
        <f t="shared" si="126"/>
        <v/>
      </c>
      <c r="Q552" s="199" t="str">
        <f>IF(B552="","",IFERROR(IF('עלויות כח אדם (6)'!J552&gt;=VLOOKUP(I552,'סיווג התפקידים והעלויות'!$B$23:$C$32,2,0),"תקין","לא תקין"),""))</f>
        <v/>
      </c>
      <c r="R552" s="199" t="str">
        <f t="shared" si="127"/>
        <v/>
      </c>
      <c r="S552" s="199" t="str">
        <f t="shared" si="128"/>
        <v/>
      </c>
      <c r="T552" s="199" t="str">
        <f t="shared" si="136"/>
        <v/>
      </c>
      <c r="U552" s="199" t="str">
        <f t="shared" si="129"/>
        <v/>
      </c>
      <c r="V552" s="989"/>
      <c r="X552" s="374" t="str">
        <f t="shared" si="130"/>
        <v/>
      </c>
      <c r="Y552" s="375" t="str">
        <f t="shared" si="131"/>
        <v/>
      </c>
      <c r="Z552" s="374" t="str">
        <f t="shared" si="132"/>
        <v/>
      </c>
      <c r="AA552" s="374" t="b">
        <f t="shared" si="133"/>
        <v>1</v>
      </c>
      <c r="AB552" s="374">
        <f>COUNTIFS(B:B,B552,H:H,'סיווג התפקידים והעלויות'!$C$2)</f>
        <v>0</v>
      </c>
      <c r="AC552" s="374">
        <f>COUNTIFS(B:B,B552,H:H,'סיווג התפקידים והעלויות'!$D$2)</f>
        <v>0</v>
      </c>
      <c r="AD552" s="374" t="str">
        <f>IF(OR(AND(H552='סיווג התפקידים והעלויות'!$A$2,I552='סיווג התפקידים והעלויות'!$A$3),'עלויות כח אדם (6)'!H552='סיווג התפקידים והעלויות'!$C$2,'עלויות כח אדם (6)'!H552='סיווג התפקידים והעלויות'!$D$2),IF('עלויות כח אדם (6)'!J552&lt;75,"לא תקין","תקין"),"")</f>
        <v/>
      </c>
      <c r="AE552" s="374" t="str">
        <f t="shared" si="134"/>
        <v/>
      </c>
      <c r="AF552" s="532" t="str">
        <f t="shared" si="135"/>
        <v/>
      </c>
    </row>
    <row r="553" spans="2:32" x14ac:dyDescent="0.25">
      <c r="B553" s="695"/>
      <c r="C553" s="197" t="str">
        <f>IF(B553&lt;&gt;"",IFERROR(VLOOKUP(B:B,'מצבת והרשמה (2)'!$C$20:$N$520,2,0)," ")," ")</f>
        <v xml:space="preserve"> </v>
      </c>
      <c r="D553" s="695"/>
      <c r="E553" s="696"/>
      <c r="F553" s="696"/>
      <c r="G553" s="696"/>
      <c r="H553" s="696"/>
      <c r="I553" s="1050" t="str">
        <f t="shared" si="122"/>
        <v/>
      </c>
      <c r="J553" s="696"/>
      <c r="K553" s="697"/>
      <c r="L553" s="696"/>
      <c r="M553" s="198" t="str">
        <f t="shared" si="123"/>
        <v/>
      </c>
      <c r="N553" s="369" t="str">
        <f t="shared" si="124"/>
        <v/>
      </c>
      <c r="O553" s="183" t="str">
        <f t="shared" si="125"/>
        <v/>
      </c>
      <c r="P553" s="199" t="str">
        <f t="shared" si="126"/>
        <v/>
      </c>
      <c r="Q553" s="199" t="str">
        <f>IF(B553="","",IFERROR(IF('עלויות כח אדם (6)'!J553&gt;=VLOOKUP(I553,'סיווג התפקידים והעלויות'!$B$23:$C$32,2,0),"תקין","לא תקין"),""))</f>
        <v/>
      </c>
      <c r="R553" s="199" t="str">
        <f t="shared" si="127"/>
        <v/>
      </c>
      <c r="S553" s="199" t="str">
        <f t="shared" si="128"/>
        <v/>
      </c>
      <c r="T553" s="199" t="str">
        <f t="shared" si="136"/>
        <v/>
      </c>
      <c r="U553" s="199" t="str">
        <f t="shared" si="129"/>
        <v/>
      </c>
      <c r="V553" s="989"/>
      <c r="X553" s="374" t="str">
        <f t="shared" si="130"/>
        <v/>
      </c>
      <c r="Y553" s="375" t="str">
        <f t="shared" si="131"/>
        <v/>
      </c>
      <c r="Z553" s="374" t="str">
        <f t="shared" si="132"/>
        <v/>
      </c>
      <c r="AA553" s="374" t="b">
        <f t="shared" si="133"/>
        <v>1</v>
      </c>
      <c r="AB553" s="374">
        <f>COUNTIFS(B:B,B553,H:H,'סיווג התפקידים והעלויות'!$C$2)</f>
        <v>0</v>
      </c>
      <c r="AC553" s="374">
        <f>COUNTIFS(B:B,B553,H:H,'סיווג התפקידים והעלויות'!$D$2)</f>
        <v>0</v>
      </c>
      <c r="AD553" s="374" t="str">
        <f>IF(OR(AND(H553='סיווג התפקידים והעלויות'!$A$2,I553='סיווג התפקידים והעלויות'!$A$3),'עלויות כח אדם (6)'!H553='סיווג התפקידים והעלויות'!$C$2,'עלויות כח אדם (6)'!H553='סיווג התפקידים והעלויות'!$D$2),IF('עלויות כח אדם (6)'!J553&lt;75,"לא תקין","תקין"),"")</f>
        <v/>
      </c>
      <c r="AE553" s="374" t="str">
        <f t="shared" si="134"/>
        <v/>
      </c>
      <c r="AF553" s="532" t="str">
        <f t="shared" si="135"/>
        <v/>
      </c>
    </row>
    <row r="554" spans="2:32" x14ac:dyDescent="0.25">
      <c r="B554" s="695"/>
      <c r="C554" s="197" t="str">
        <f>IF(B554&lt;&gt;"",IFERROR(VLOOKUP(B:B,'מצבת והרשמה (2)'!$C$20:$N$520,2,0)," ")," ")</f>
        <v xml:space="preserve"> </v>
      </c>
      <c r="D554" s="695"/>
      <c r="E554" s="696"/>
      <c r="F554" s="696"/>
      <c r="G554" s="696"/>
      <c r="H554" s="696"/>
      <c r="I554" s="1050" t="str">
        <f t="shared" si="122"/>
        <v/>
      </c>
      <c r="J554" s="696"/>
      <c r="K554" s="697"/>
      <c r="L554" s="696"/>
      <c r="M554" s="198" t="str">
        <f t="shared" si="123"/>
        <v/>
      </c>
      <c r="N554" s="369" t="str">
        <f t="shared" si="124"/>
        <v/>
      </c>
      <c r="O554" s="183" t="str">
        <f t="shared" si="125"/>
        <v/>
      </c>
      <c r="P554" s="199" t="str">
        <f t="shared" si="126"/>
        <v/>
      </c>
      <c r="Q554" s="199" t="str">
        <f>IF(B554="","",IFERROR(IF('עלויות כח אדם (6)'!J554&gt;=VLOOKUP(I554,'סיווג התפקידים והעלויות'!$B$23:$C$32,2,0),"תקין","לא תקין"),""))</f>
        <v/>
      </c>
      <c r="R554" s="199" t="str">
        <f t="shared" si="127"/>
        <v/>
      </c>
      <c r="S554" s="199" t="str">
        <f t="shared" si="128"/>
        <v/>
      </c>
      <c r="T554" s="199" t="str">
        <f t="shared" si="136"/>
        <v/>
      </c>
      <c r="U554" s="199" t="str">
        <f t="shared" si="129"/>
        <v/>
      </c>
      <c r="V554" s="989"/>
      <c r="X554" s="374" t="str">
        <f t="shared" si="130"/>
        <v/>
      </c>
      <c r="Y554" s="375" t="str">
        <f t="shared" si="131"/>
        <v/>
      </c>
      <c r="Z554" s="374" t="str">
        <f t="shared" si="132"/>
        <v/>
      </c>
      <c r="AA554" s="374" t="b">
        <f t="shared" si="133"/>
        <v>1</v>
      </c>
      <c r="AB554" s="374">
        <f>COUNTIFS(B:B,B554,H:H,'סיווג התפקידים והעלויות'!$C$2)</f>
        <v>0</v>
      </c>
      <c r="AC554" s="374">
        <f>COUNTIFS(B:B,B554,H:H,'סיווג התפקידים והעלויות'!$D$2)</f>
        <v>0</v>
      </c>
      <c r="AD554" s="374" t="str">
        <f>IF(OR(AND(H554='סיווג התפקידים והעלויות'!$A$2,I554='סיווג התפקידים והעלויות'!$A$3),'עלויות כח אדם (6)'!H554='סיווג התפקידים והעלויות'!$C$2,'עלויות כח אדם (6)'!H554='סיווג התפקידים והעלויות'!$D$2),IF('עלויות כח אדם (6)'!J554&lt;75,"לא תקין","תקין"),"")</f>
        <v/>
      </c>
      <c r="AE554" s="374" t="str">
        <f t="shared" si="134"/>
        <v/>
      </c>
      <c r="AF554" s="532" t="str">
        <f t="shared" si="135"/>
        <v/>
      </c>
    </row>
    <row r="555" spans="2:32" x14ac:dyDescent="0.25">
      <c r="B555" s="695"/>
      <c r="C555" s="197" t="str">
        <f>IF(B555&lt;&gt;"",IFERROR(VLOOKUP(B:B,'מצבת והרשמה (2)'!$C$20:$N$520,2,0)," ")," ")</f>
        <v xml:space="preserve"> </v>
      </c>
      <c r="D555" s="695"/>
      <c r="E555" s="696"/>
      <c r="F555" s="696"/>
      <c r="G555" s="696"/>
      <c r="H555" s="696"/>
      <c r="I555" s="1050" t="str">
        <f t="shared" si="122"/>
        <v/>
      </c>
      <c r="J555" s="696"/>
      <c r="K555" s="697"/>
      <c r="L555" s="696"/>
      <c r="M555" s="198" t="str">
        <f t="shared" si="123"/>
        <v/>
      </c>
      <c r="N555" s="369" t="str">
        <f t="shared" si="124"/>
        <v/>
      </c>
      <c r="O555" s="183" t="str">
        <f t="shared" si="125"/>
        <v/>
      </c>
      <c r="P555" s="199" t="str">
        <f t="shared" si="126"/>
        <v/>
      </c>
      <c r="Q555" s="199" t="str">
        <f>IF(B555="","",IFERROR(IF('עלויות כח אדם (6)'!J555&gt;=VLOOKUP(I555,'סיווג התפקידים והעלויות'!$B$23:$C$32,2,0),"תקין","לא תקין"),""))</f>
        <v/>
      </c>
      <c r="R555" s="199" t="str">
        <f t="shared" si="127"/>
        <v/>
      </c>
      <c r="S555" s="199" t="str">
        <f t="shared" si="128"/>
        <v/>
      </c>
      <c r="T555" s="199" t="str">
        <f t="shared" si="136"/>
        <v/>
      </c>
      <c r="U555" s="199" t="str">
        <f t="shared" si="129"/>
        <v/>
      </c>
      <c r="V555" s="989"/>
      <c r="X555" s="374" t="str">
        <f t="shared" si="130"/>
        <v/>
      </c>
      <c r="Y555" s="375" t="str">
        <f t="shared" si="131"/>
        <v/>
      </c>
      <c r="Z555" s="374" t="str">
        <f t="shared" si="132"/>
        <v/>
      </c>
      <c r="AA555" s="374" t="b">
        <f t="shared" si="133"/>
        <v>1</v>
      </c>
      <c r="AB555" s="374">
        <f>COUNTIFS(B:B,B555,H:H,'סיווג התפקידים והעלויות'!$C$2)</f>
        <v>0</v>
      </c>
      <c r="AC555" s="374">
        <f>COUNTIFS(B:B,B555,H:H,'סיווג התפקידים והעלויות'!$D$2)</f>
        <v>0</v>
      </c>
      <c r="AD555" s="374" t="str">
        <f>IF(OR(AND(H555='סיווג התפקידים והעלויות'!$A$2,I555='סיווג התפקידים והעלויות'!$A$3),'עלויות כח אדם (6)'!H555='סיווג התפקידים והעלויות'!$C$2,'עלויות כח אדם (6)'!H555='סיווג התפקידים והעלויות'!$D$2),IF('עלויות כח אדם (6)'!J555&lt;75,"לא תקין","תקין"),"")</f>
        <v/>
      </c>
      <c r="AE555" s="374" t="str">
        <f t="shared" si="134"/>
        <v/>
      </c>
      <c r="AF555" s="532" t="str">
        <f t="shared" si="135"/>
        <v/>
      </c>
    </row>
    <row r="556" spans="2:32" x14ac:dyDescent="0.25">
      <c r="B556" s="695"/>
      <c r="C556" s="197" t="str">
        <f>IF(B556&lt;&gt;"",IFERROR(VLOOKUP(B:B,'מצבת והרשמה (2)'!$C$20:$N$520,2,0)," ")," ")</f>
        <v xml:space="preserve"> </v>
      </c>
      <c r="D556" s="695"/>
      <c r="E556" s="696"/>
      <c r="F556" s="696"/>
      <c r="G556" s="696"/>
      <c r="H556" s="696"/>
      <c r="I556" s="1050" t="str">
        <f t="shared" si="122"/>
        <v/>
      </c>
      <c r="J556" s="696"/>
      <c r="K556" s="697"/>
      <c r="L556" s="696"/>
      <c r="M556" s="198" t="str">
        <f t="shared" si="123"/>
        <v/>
      </c>
      <c r="N556" s="369" t="str">
        <f t="shared" si="124"/>
        <v/>
      </c>
      <c r="O556" s="183" t="str">
        <f t="shared" si="125"/>
        <v/>
      </c>
      <c r="P556" s="199" t="str">
        <f t="shared" si="126"/>
        <v/>
      </c>
      <c r="Q556" s="199" t="str">
        <f>IF(B556="","",IFERROR(IF('עלויות כח אדם (6)'!J556&gt;=VLOOKUP(I556,'סיווג התפקידים והעלויות'!$B$23:$C$32,2,0),"תקין","לא תקין"),""))</f>
        <v/>
      </c>
      <c r="R556" s="199" t="str">
        <f t="shared" si="127"/>
        <v/>
      </c>
      <c r="S556" s="199" t="str">
        <f t="shared" si="128"/>
        <v/>
      </c>
      <c r="T556" s="199" t="str">
        <f t="shared" si="136"/>
        <v/>
      </c>
      <c r="U556" s="199" t="str">
        <f t="shared" si="129"/>
        <v/>
      </c>
      <c r="V556" s="989"/>
      <c r="X556" s="374" t="str">
        <f t="shared" si="130"/>
        <v/>
      </c>
      <c r="Y556" s="375" t="str">
        <f t="shared" si="131"/>
        <v/>
      </c>
      <c r="Z556" s="374" t="str">
        <f t="shared" si="132"/>
        <v/>
      </c>
      <c r="AA556" s="374" t="b">
        <f t="shared" si="133"/>
        <v>1</v>
      </c>
      <c r="AB556" s="374">
        <f>COUNTIFS(B:B,B556,H:H,'סיווג התפקידים והעלויות'!$C$2)</f>
        <v>0</v>
      </c>
      <c r="AC556" s="374">
        <f>COUNTIFS(B:B,B556,H:H,'סיווג התפקידים והעלויות'!$D$2)</f>
        <v>0</v>
      </c>
      <c r="AD556" s="374" t="str">
        <f>IF(OR(AND(H556='סיווג התפקידים והעלויות'!$A$2,I556='סיווג התפקידים והעלויות'!$A$3),'עלויות כח אדם (6)'!H556='סיווג התפקידים והעלויות'!$C$2,'עלויות כח אדם (6)'!H556='סיווג התפקידים והעלויות'!$D$2),IF('עלויות כח אדם (6)'!J556&lt;75,"לא תקין","תקין"),"")</f>
        <v/>
      </c>
      <c r="AE556" s="374" t="str">
        <f t="shared" si="134"/>
        <v/>
      </c>
      <c r="AF556" s="532" t="str">
        <f t="shared" si="135"/>
        <v/>
      </c>
    </row>
    <row r="557" spans="2:32" x14ac:dyDescent="0.25">
      <c r="B557" s="695"/>
      <c r="C557" s="197" t="str">
        <f>IF(B557&lt;&gt;"",IFERROR(VLOOKUP(B:B,'מצבת והרשמה (2)'!$C$20:$N$520,2,0)," ")," ")</f>
        <v xml:space="preserve"> </v>
      </c>
      <c r="D557" s="695"/>
      <c r="E557" s="696"/>
      <c r="F557" s="696"/>
      <c r="G557" s="696"/>
      <c r="H557" s="696"/>
      <c r="I557" s="1050" t="str">
        <f t="shared" si="122"/>
        <v/>
      </c>
      <c r="J557" s="696"/>
      <c r="K557" s="697"/>
      <c r="L557" s="696"/>
      <c r="M557" s="198" t="str">
        <f t="shared" si="123"/>
        <v/>
      </c>
      <c r="N557" s="369" t="str">
        <f t="shared" si="124"/>
        <v/>
      </c>
      <c r="O557" s="183" t="str">
        <f t="shared" si="125"/>
        <v/>
      </c>
      <c r="P557" s="199" t="str">
        <f t="shared" si="126"/>
        <v/>
      </c>
      <c r="Q557" s="199" t="str">
        <f>IF(B557="","",IFERROR(IF('עלויות כח אדם (6)'!J557&gt;=VLOOKUP(I557,'סיווג התפקידים והעלויות'!$B$23:$C$32,2,0),"תקין","לא תקין"),""))</f>
        <v/>
      </c>
      <c r="R557" s="199" t="str">
        <f t="shared" si="127"/>
        <v/>
      </c>
      <c r="S557" s="199" t="str">
        <f t="shared" si="128"/>
        <v/>
      </c>
      <c r="T557" s="199" t="str">
        <f t="shared" si="136"/>
        <v/>
      </c>
      <c r="U557" s="199" t="str">
        <f t="shared" si="129"/>
        <v/>
      </c>
      <c r="V557" s="989"/>
      <c r="X557" s="374" t="str">
        <f t="shared" si="130"/>
        <v/>
      </c>
      <c r="Y557" s="375" t="str">
        <f t="shared" si="131"/>
        <v/>
      </c>
      <c r="Z557" s="374" t="str">
        <f t="shared" si="132"/>
        <v/>
      </c>
      <c r="AA557" s="374" t="b">
        <f t="shared" si="133"/>
        <v>1</v>
      </c>
      <c r="AB557" s="374">
        <f>COUNTIFS(B:B,B557,H:H,'סיווג התפקידים והעלויות'!$C$2)</f>
        <v>0</v>
      </c>
      <c r="AC557" s="374">
        <f>COUNTIFS(B:B,B557,H:H,'סיווג התפקידים והעלויות'!$D$2)</f>
        <v>0</v>
      </c>
      <c r="AD557" s="374" t="str">
        <f>IF(OR(AND(H557='סיווג התפקידים והעלויות'!$A$2,I557='סיווג התפקידים והעלויות'!$A$3),'עלויות כח אדם (6)'!H557='סיווג התפקידים והעלויות'!$C$2,'עלויות כח אדם (6)'!H557='סיווג התפקידים והעלויות'!$D$2),IF('עלויות כח אדם (6)'!J557&lt;75,"לא תקין","תקין"),"")</f>
        <v/>
      </c>
      <c r="AE557" s="374" t="str">
        <f t="shared" si="134"/>
        <v/>
      </c>
      <c r="AF557" s="532" t="str">
        <f t="shared" si="135"/>
        <v/>
      </c>
    </row>
    <row r="558" spans="2:32" x14ac:dyDescent="0.25">
      <c r="B558" s="695"/>
      <c r="C558" s="197" t="str">
        <f>IF(B558&lt;&gt;"",IFERROR(VLOOKUP(B:B,'מצבת והרשמה (2)'!$C$20:$N$520,2,0)," ")," ")</f>
        <v xml:space="preserve"> </v>
      </c>
      <c r="D558" s="695"/>
      <c r="E558" s="696"/>
      <c r="F558" s="696"/>
      <c r="G558" s="696"/>
      <c r="H558" s="696"/>
      <c r="I558" s="1050" t="str">
        <f t="shared" si="122"/>
        <v/>
      </c>
      <c r="J558" s="696"/>
      <c r="K558" s="697"/>
      <c r="L558" s="696"/>
      <c r="M558" s="198" t="str">
        <f t="shared" si="123"/>
        <v/>
      </c>
      <c r="N558" s="369" t="str">
        <f t="shared" si="124"/>
        <v/>
      </c>
      <c r="O558" s="183" t="str">
        <f t="shared" si="125"/>
        <v/>
      </c>
      <c r="P558" s="199" t="str">
        <f t="shared" si="126"/>
        <v/>
      </c>
      <c r="Q558" s="199" t="str">
        <f>IF(B558="","",IFERROR(IF('עלויות כח אדם (6)'!J558&gt;=VLOOKUP(I558,'סיווג התפקידים והעלויות'!$B$23:$C$32,2,0),"תקין","לא תקין"),""))</f>
        <v/>
      </c>
      <c r="R558" s="199" t="str">
        <f t="shared" si="127"/>
        <v/>
      </c>
      <c r="S558" s="199" t="str">
        <f t="shared" si="128"/>
        <v/>
      </c>
      <c r="T558" s="199" t="str">
        <f t="shared" si="136"/>
        <v/>
      </c>
      <c r="U558" s="199" t="str">
        <f t="shared" si="129"/>
        <v/>
      </c>
      <c r="V558" s="989"/>
      <c r="X558" s="374" t="str">
        <f t="shared" si="130"/>
        <v/>
      </c>
      <c r="Y558" s="375" t="str">
        <f t="shared" si="131"/>
        <v/>
      </c>
      <c r="Z558" s="374" t="str">
        <f t="shared" si="132"/>
        <v/>
      </c>
      <c r="AA558" s="374" t="b">
        <f t="shared" si="133"/>
        <v>1</v>
      </c>
      <c r="AB558" s="374">
        <f>COUNTIFS(B:B,B558,H:H,'סיווג התפקידים והעלויות'!$C$2)</f>
        <v>0</v>
      </c>
      <c r="AC558" s="374">
        <f>COUNTIFS(B:B,B558,H:H,'סיווג התפקידים והעלויות'!$D$2)</f>
        <v>0</v>
      </c>
      <c r="AD558" s="374" t="str">
        <f>IF(OR(AND(H558='סיווג התפקידים והעלויות'!$A$2,I558='סיווג התפקידים והעלויות'!$A$3),'עלויות כח אדם (6)'!H558='סיווג התפקידים והעלויות'!$C$2,'עלויות כח אדם (6)'!H558='סיווג התפקידים והעלויות'!$D$2),IF('עלויות כח אדם (6)'!J558&lt;75,"לא תקין","תקין"),"")</f>
        <v/>
      </c>
      <c r="AE558" s="374" t="str">
        <f t="shared" si="134"/>
        <v/>
      </c>
      <c r="AF558" s="532" t="str">
        <f t="shared" si="135"/>
        <v/>
      </c>
    </row>
    <row r="559" spans="2:32" x14ac:dyDescent="0.25">
      <c r="B559" s="695"/>
      <c r="C559" s="197" t="str">
        <f>IF(B559&lt;&gt;"",IFERROR(VLOOKUP(B:B,'מצבת והרשמה (2)'!$C$20:$N$520,2,0)," ")," ")</f>
        <v xml:space="preserve"> </v>
      </c>
      <c r="D559" s="695"/>
      <c r="E559" s="696"/>
      <c r="F559" s="696"/>
      <c r="G559" s="696"/>
      <c r="H559" s="696"/>
      <c r="I559" s="1050" t="str">
        <f t="shared" si="122"/>
        <v/>
      </c>
      <c r="J559" s="696"/>
      <c r="K559" s="697"/>
      <c r="L559" s="696"/>
      <c r="M559" s="198" t="str">
        <f t="shared" si="123"/>
        <v/>
      </c>
      <c r="N559" s="369" t="str">
        <f t="shared" si="124"/>
        <v/>
      </c>
      <c r="O559" s="183" t="str">
        <f t="shared" si="125"/>
        <v/>
      </c>
      <c r="P559" s="199" t="str">
        <f t="shared" si="126"/>
        <v/>
      </c>
      <c r="Q559" s="199" t="str">
        <f>IF(B559="","",IFERROR(IF('עלויות כח אדם (6)'!J559&gt;=VLOOKUP(I559,'סיווג התפקידים והעלויות'!$B$23:$C$32,2,0),"תקין","לא תקין"),""))</f>
        <v/>
      </c>
      <c r="R559" s="199" t="str">
        <f t="shared" si="127"/>
        <v/>
      </c>
      <c r="S559" s="199" t="str">
        <f t="shared" si="128"/>
        <v/>
      </c>
      <c r="T559" s="199" t="str">
        <f t="shared" si="136"/>
        <v/>
      </c>
      <c r="U559" s="199" t="str">
        <f t="shared" si="129"/>
        <v/>
      </c>
      <c r="V559" s="989"/>
      <c r="X559" s="374" t="str">
        <f t="shared" si="130"/>
        <v/>
      </c>
      <c r="Y559" s="375" t="str">
        <f t="shared" si="131"/>
        <v/>
      </c>
      <c r="Z559" s="374" t="str">
        <f t="shared" si="132"/>
        <v/>
      </c>
      <c r="AA559" s="374" t="b">
        <f t="shared" si="133"/>
        <v>1</v>
      </c>
      <c r="AB559" s="374">
        <f>COUNTIFS(B:B,B559,H:H,'סיווג התפקידים והעלויות'!$C$2)</f>
        <v>0</v>
      </c>
      <c r="AC559" s="374">
        <f>COUNTIFS(B:B,B559,H:H,'סיווג התפקידים והעלויות'!$D$2)</f>
        <v>0</v>
      </c>
      <c r="AD559" s="374" t="str">
        <f>IF(OR(AND(H559='סיווג התפקידים והעלויות'!$A$2,I559='סיווג התפקידים והעלויות'!$A$3),'עלויות כח אדם (6)'!H559='סיווג התפקידים והעלויות'!$C$2,'עלויות כח אדם (6)'!H559='סיווג התפקידים והעלויות'!$D$2),IF('עלויות כח אדם (6)'!J559&lt;75,"לא תקין","תקין"),"")</f>
        <v/>
      </c>
      <c r="AE559" s="374" t="str">
        <f t="shared" si="134"/>
        <v/>
      </c>
      <c r="AF559" s="532" t="str">
        <f t="shared" si="135"/>
        <v/>
      </c>
    </row>
    <row r="560" spans="2:32" x14ac:dyDescent="0.25">
      <c r="B560" s="695"/>
      <c r="C560" s="197" t="str">
        <f>IF(B560&lt;&gt;"",IFERROR(VLOOKUP(B:B,'מצבת והרשמה (2)'!$C$20:$N$520,2,0)," ")," ")</f>
        <v xml:space="preserve"> </v>
      </c>
      <c r="D560" s="695"/>
      <c r="E560" s="696"/>
      <c r="F560" s="696"/>
      <c r="G560" s="696"/>
      <c r="H560" s="696"/>
      <c r="I560" s="1050" t="str">
        <f t="shared" si="122"/>
        <v/>
      </c>
      <c r="J560" s="696"/>
      <c r="K560" s="697"/>
      <c r="L560" s="696"/>
      <c r="M560" s="198" t="str">
        <f t="shared" si="123"/>
        <v/>
      </c>
      <c r="N560" s="369" t="str">
        <f t="shared" si="124"/>
        <v/>
      </c>
      <c r="O560" s="183" t="str">
        <f t="shared" si="125"/>
        <v/>
      </c>
      <c r="P560" s="199" t="str">
        <f t="shared" si="126"/>
        <v/>
      </c>
      <c r="Q560" s="199" t="str">
        <f>IF(B560="","",IFERROR(IF('עלויות כח אדם (6)'!J560&gt;=VLOOKUP(I560,'סיווג התפקידים והעלויות'!$B$23:$C$32,2,0),"תקין","לא תקין"),""))</f>
        <v/>
      </c>
      <c r="R560" s="199" t="str">
        <f t="shared" si="127"/>
        <v/>
      </c>
      <c r="S560" s="199" t="str">
        <f t="shared" si="128"/>
        <v/>
      </c>
      <c r="T560" s="199" t="str">
        <f t="shared" si="136"/>
        <v/>
      </c>
      <c r="U560" s="199" t="str">
        <f t="shared" si="129"/>
        <v/>
      </c>
      <c r="V560" s="989"/>
      <c r="X560" s="374" t="str">
        <f t="shared" si="130"/>
        <v/>
      </c>
      <c r="Y560" s="375" t="str">
        <f t="shared" si="131"/>
        <v/>
      </c>
      <c r="Z560" s="374" t="str">
        <f t="shared" si="132"/>
        <v/>
      </c>
      <c r="AA560" s="374" t="b">
        <f t="shared" si="133"/>
        <v>1</v>
      </c>
      <c r="AB560" s="374">
        <f>COUNTIFS(B:B,B560,H:H,'סיווג התפקידים והעלויות'!$C$2)</f>
        <v>0</v>
      </c>
      <c r="AC560" s="374">
        <f>COUNTIFS(B:B,B560,H:H,'סיווג התפקידים והעלויות'!$D$2)</f>
        <v>0</v>
      </c>
      <c r="AD560" s="374" t="str">
        <f>IF(OR(AND(H560='סיווג התפקידים והעלויות'!$A$2,I560='סיווג התפקידים והעלויות'!$A$3),'עלויות כח אדם (6)'!H560='סיווג התפקידים והעלויות'!$C$2,'עלויות כח אדם (6)'!H560='סיווג התפקידים והעלויות'!$D$2),IF('עלויות כח אדם (6)'!J560&lt;75,"לא תקין","תקין"),"")</f>
        <v/>
      </c>
      <c r="AE560" s="374" t="str">
        <f t="shared" si="134"/>
        <v/>
      </c>
      <c r="AF560" s="532" t="str">
        <f t="shared" si="135"/>
        <v/>
      </c>
    </row>
    <row r="561" spans="2:32" x14ac:dyDescent="0.25">
      <c r="B561" s="695"/>
      <c r="C561" s="197" t="str">
        <f>IF(B561&lt;&gt;"",IFERROR(VLOOKUP(B:B,'מצבת והרשמה (2)'!$C$20:$N$520,2,0)," ")," ")</f>
        <v xml:space="preserve"> </v>
      </c>
      <c r="D561" s="695"/>
      <c r="E561" s="696"/>
      <c r="F561" s="696"/>
      <c r="G561" s="696"/>
      <c r="H561" s="696"/>
      <c r="I561" s="1050" t="str">
        <f t="shared" si="122"/>
        <v/>
      </c>
      <c r="J561" s="696"/>
      <c r="K561" s="697"/>
      <c r="L561" s="696"/>
      <c r="M561" s="198" t="str">
        <f t="shared" si="123"/>
        <v/>
      </c>
      <c r="N561" s="369" t="str">
        <f t="shared" si="124"/>
        <v/>
      </c>
      <c r="O561" s="183" t="str">
        <f t="shared" si="125"/>
        <v/>
      </c>
      <c r="P561" s="199" t="str">
        <f t="shared" si="126"/>
        <v/>
      </c>
      <c r="Q561" s="199" t="str">
        <f>IF(B561="","",IFERROR(IF('עלויות כח אדם (6)'!J561&gt;=VLOOKUP(I561,'סיווג התפקידים והעלויות'!$B$23:$C$32,2,0),"תקין","לא תקין"),""))</f>
        <v/>
      </c>
      <c r="R561" s="199" t="str">
        <f t="shared" si="127"/>
        <v/>
      </c>
      <c r="S561" s="199" t="str">
        <f t="shared" si="128"/>
        <v/>
      </c>
      <c r="T561" s="199" t="str">
        <f t="shared" si="136"/>
        <v/>
      </c>
      <c r="U561" s="199" t="str">
        <f t="shared" si="129"/>
        <v/>
      </c>
      <c r="V561" s="989"/>
      <c r="X561" s="374" t="str">
        <f t="shared" si="130"/>
        <v/>
      </c>
      <c r="Y561" s="375" t="str">
        <f t="shared" si="131"/>
        <v/>
      </c>
      <c r="Z561" s="374" t="str">
        <f t="shared" si="132"/>
        <v/>
      </c>
      <c r="AA561" s="374" t="b">
        <f t="shared" si="133"/>
        <v>1</v>
      </c>
      <c r="AB561" s="374">
        <f>COUNTIFS(B:B,B561,H:H,'סיווג התפקידים והעלויות'!$C$2)</f>
        <v>0</v>
      </c>
      <c r="AC561" s="374">
        <f>COUNTIFS(B:B,B561,H:H,'סיווג התפקידים והעלויות'!$D$2)</f>
        <v>0</v>
      </c>
      <c r="AD561" s="374" t="str">
        <f>IF(OR(AND(H561='סיווג התפקידים והעלויות'!$A$2,I561='סיווג התפקידים והעלויות'!$A$3),'עלויות כח אדם (6)'!H561='סיווג התפקידים והעלויות'!$C$2,'עלויות כח אדם (6)'!H561='סיווג התפקידים והעלויות'!$D$2),IF('עלויות כח אדם (6)'!J561&lt;75,"לא תקין","תקין"),"")</f>
        <v/>
      </c>
      <c r="AE561" s="374" t="str">
        <f t="shared" si="134"/>
        <v/>
      </c>
      <c r="AF561" s="532" t="str">
        <f t="shared" si="135"/>
        <v/>
      </c>
    </row>
    <row r="562" spans="2:32" x14ac:dyDescent="0.25">
      <c r="B562" s="695"/>
      <c r="C562" s="197" t="str">
        <f>IF(B562&lt;&gt;"",IFERROR(VLOOKUP(B:B,'מצבת והרשמה (2)'!$C$20:$N$520,2,0)," ")," ")</f>
        <v xml:space="preserve"> </v>
      </c>
      <c r="D562" s="695"/>
      <c r="E562" s="696"/>
      <c r="F562" s="696"/>
      <c r="G562" s="696"/>
      <c r="H562" s="696"/>
      <c r="I562" s="1050" t="str">
        <f t="shared" si="122"/>
        <v/>
      </c>
      <c r="J562" s="696"/>
      <c r="K562" s="697"/>
      <c r="L562" s="696"/>
      <c r="M562" s="198" t="str">
        <f t="shared" si="123"/>
        <v/>
      </c>
      <c r="N562" s="369" t="str">
        <f t="shared" si="124"/>
        <v/>
      </c>
      <c r="O562" s="183" t="str">
        <f t="shared" si="125"/>
        <v/>
      </c>
      <c r="P562" s="199" t="str">
        <f t="shared" si="126"/>
        <v/>
      </c>
      <c r="Q562" s="199" t="str">
        <f>IF(B562="","",IFERROR(IF('עלויות כח אדם (6)'!J562&gt;=VLOOKUP(I562,'סיווג התפקידים והעלויות'!$B$23:$C$32,2,0),"תקין","לא תקין"),""))</f>
        <v/>
      </c>
      <c r="R562" s="199" t="str">
        <f t="shared" si="127"/>
        <v/>
      </c>
      <c r="S562" s="199" t="str">
        <f t="shared" si="128"/>
        <v/>
      </c>
      <c r="T562" s="199" t="str">
        <f t="shared" si="136"/>
        <v/>
      </c>
      <c r="U562" s="199" t="str">
        <f t="shared" si="129"/>
        <v/>
      </c>
      <c r="V562" s="989"/>
      <c r="X562" s="374" t="str">
        <f t="shared" si="130"/>
        <v/>
      </c>
      <c r="Y562" s="375" t="str">
        <f t="shared" si="131"/>
        <v/>
      </c>
      <c r="Z562" s="374" t="str">
        <f t="shared" si="132"/>
        <v/>
      </c>
      <c r="AA562" s="374" t="b">
        <f t="shared" si="133"/>
        <v>1</v>
      </c>
      <c r="AB562" s="374">
        <f>COUNTIFS(B:B,B562,H:H,'סיווג התפקידים והעלויות'!$C$2)</f>
        <v>0</v>
      </c>
      <c r="AC562" s="374">
        <f>COUNTIFS(B:B,B562,H:H,'סיווג התפקידים והעלויות'!$D$2)</f>
        <v>0</v>
      </c>
      <c r="AD562" s="374" t="str">
        <f>IF(OR(AND(H562='סיווג התפקידים והעלויות'!$A$2,I562='סיווג התפקידים והעלויות'!$A$3),'עלויות כח אדם (6)'!H562='סיווג התפקידים והעלויות'!$C$2,'עלויות כח אדם (6)'!H562='סיווג התפקידים והעלויות'!$D$2),IF('עלויות כח אדם (6)'!J562&lt;75,"לא תקין","תקין"),"")</f>
        <v/>
      </c>
      <c r="AE562" s="374" t="str">
        <f t="shared" si="134"/>
        <v/>
      </c>
      <c r="AF562" s="532" t="str">
        <f t="shared" si="135"/>
        <v/>
      </c>
    </row>
    <row r="563" spans="2:32" x14ac:dyDescent="0.25">
      <c r="B563" s="695"/>
      <c r="C563" s="197" t="str">
        <f>IF(B563&lt;&gt;"",IFERROR(VLOOKUP(B:B,'מצבת והרשמה (2)'!$C$20:$N$520,2,0)," ")," ")</f>
        <v xml:space="preserve"> </v>
      </c>
      <c r="D563" s="695"/>
      <c r="E563" s="696"/>
      <c r="F563" s="696"/>
      <c r="G563" s="696"/>
      <c r="H563" s="696"/>
      <c r="I563" s="1050" t="str">
        <f t="shared" si="122"/>
        <v/>
      </c>
      <c r="J563" s="696"/>
      <c r="K563" s="697"/>
      <c r="L563" s="696"/>
      <c r="M563" s="198" t="str">
        <f t="shared" si="123"/>
        <v/>
      </c>
      <c r="N563" s="369" t="str">
        <f t="shared" si="124"/>
        <v/>
      </c>
      <c r="O563" s="183" t="str">
        <f t="shared" si="125"/>
        <v/>
      </c>
      <c r="P563" s="199" t="str">
        <f t="shared" si="126"/>
        <v/>
      </c>
      <c r="Q563" s="199" t="str">
        <f>IF(B563="","",IFERROR(IF('עלויות כח אדם (6)'!J563&gt;=VLOOKUP(I563,'סיווג התפקידים והעלויות'!$B$23:$C$32,2,0),"תקין","לא תקין"),""))</f>
        <v/>
      </c>
      <c r="R563" s="199" t="str">
        <f t="shared" si="127"/>
        <v/>
      </c>
      <c r="S563" s="199" t="str">
        <f t="shared" si="128"/>
        <v/>
      </c>
      <c r="T563" s="199" t="str">
        <f t="shared" si="136"/>
        <v/>
      </c>
      <c r="U563" s="199" t="str">
        <f t="shared" si="129"/>
        <v/>
      </c>
      <c r="V563" s="989"/>
      <c r="X563" s="374" t="str">
        <f t="shared" si="130"/>
        <v/>
      </c>
      <c r="Y563" s="375" t="str">
        <f t="shared" si="131"/>
        <v/>
      </c>
      <c r="Z563" s="374" t="str">
        <f t="shared" si="132"/>
        <v/>
      </c>
      <c r="AA563" s="374" t="b">
        <f t="shared" si="133"/>
        <v>1</v>
      </c>
      <c r="AB563" s="374">
        <f>COUNTIFS(B:B,B563,H:H,'סיווג התפקידים והעלויות'!$C$2)</f>
        <v>0</v>
      </c>
      <c r="AC563" s="374">
        <f>COUNTIFS(B:B,B563,H:H,'סיווג התפקידים והעלויות'!$D$2)</f>
        <v>0</v>
      </c>
      <c r="AD563" s="374" t="str">
        <f>IF(OR(AND(H563='סיווג התפקידים והעלויות'!$A$2,I563='סיווג התפקידים והעלויות'!$A$3),'עלויות כח אדם (6)'!H563='סיווג התפקידים והעלויות'!$C$2,'עלויות כח אדם (6)'!H563='סיווג התפקידים והעלויות'!$D$2),IF('עלויות כח אדם (6)'!J563&lt;75,"לא תקין","תקין"),"")</f>
        <v/>
      </c>
      <c r="AE563" s="374" t="str">
        <f t="shared" si="134"/>
        <v/>
      </c>
      <c r="AF563" s="532" t="str">
        <f t="shared" si="135"/>
        <v/>
      </c>
    </row>
    <row r="564" spans="2:32" x14ac:dyDescent="0.25">
      <c r="B564" s="695"/>
      <c r="C564" s="197" t="str">
        <f>IF(B564&lt;&gt;"",IFERROR(VLOOKUP(B:B,'מצבת והרשמה (2)'!$C$20:$N$520,2,0)," ")," ")</f>
        <v xml:space="preserve"> </v>
      </c>
      <c r="D564" s="695"/>
      <c r="E564" s="696"/>
      <c r="F564" s="696"/>
      <c r="G564" s="696"/>
      <c r="H564" s="696"/>
      <c r="I564" s="1050" t="str">
        <f t="shared" si="122"/>
        <v/>
      </c>
      <c r="J564" s="696"/>
      <c r="K564" s="697"/>
      <c r="L564" s="696"/>
      <c r="M564" s="198" t="str">
        <f t="shared" si="123"/>
        <v/>
      </c>
      <c r="N564" s="369" t="str">
        <f t="shared" si="124"/>
        <v/>
      </c>
      <c r="O564" s="183" t="str">
        <f t="shared" si="125"/>
        <v/>
      </c>
      <c r="P564" s="199" t="str">
        <f t="shared" si="126"/>
        <v/>
      </c>
      <c r="Q564" s="199" t="str">
        <f>IF(B564="","",IFERROR(IF('עלויות כח אדם (6)'!J564&gt;=VLOOKUP(I564,'סיווג התפקידים והעלויות'!$B$23:$C$32,2,0),"תקין","לא תקין"),""))</f>
        <v/>
      </c>
      <c r="R564" s="199" t="str">
        <f t="shared" si="127"/>
        <v/>
      </c>
      <c r="S564" s="199" t="str">
        <f t="shared" si="128"/>
        <v/>
      </c>
      <c r="T564" s="199" t="str">
        <f t="shared" si="136"/>
        <v/>
      </c>
      <c r="U564" s="199" t="str">
        <f t="shared" si="129"/>
        <v/>
      </c>
      <c r="V564" s="989"/>
      <c r="X564" s="374" t="str">
        <f t="shared" si="130"/>
        <v/>
      </c>
      <c r="Y564" s="375" t="str">
        <f t="shared" si="131"/>
        <v/>
      </c>
      <c r="Z564" s="374" t="str">
        <f t="shared" si="132"/>
        <v/>
      </c>
      <c r="AA564" s="374" t="b">
        <f t="shared" si="133"/>
        <v>1</v>
      </c>
      <c r="AB564" s="374">
        <f>COUNTIFS(B:B,B564,H:H,'סיווג התפקידים והעלויות'!$C$2)</f>
        <v>0</v>
      </c>
      <c r="AC564" s="374">
        <f>COUNTIFS(B:B,B564,H:H,'סיווג התפקידים והעלויות'!$D$2)</f>
        <v>0</v>
      </c>
      <c r="AD564" s="374" t="str">
        <f>IF(OR(AND(H564='סיווג התפקידים והעלויות'!$A$2,I564='סיווג התפקידים והעלויות'!$A$3),'עלויות כח אדם (6)'!H564='סיווג התפקידים והעלויות'!$C$2,'עלויות כח אדם (6)'!H564='סיווג התפקידים והעלויות'!$D$2),IF('עלויות כח אדם (6)'!J564&lt;75,"לא תקין","תקין"),"")</f>
        <v/>
      </c>
      <c r="AE564" s="374" t="str">
        <f t="shared" si="134"/>
        <v/>
      </c>
      <c r="AF564" s="532" t="str">
        <f t="shared" si="135"/>
        <v/>
      </c>
    </row>
    <row r="565" spans="2:32" x14ac:dyDescent="0.25">
      <c r="B565" s="695"/>
      <c r="C565" s="197" t="str">
        <f>IF(B565&lt;&gt;"",IFERROR(VLOOKUP(B:B,'מצבת והרשמה (2)'!$C$20:$N$520,2,0)," ")," ")</f>
        <v xml:space="preserve"> </v>
      </c>
      <c r="D565" s="695"/>
      <c r="E565" s="696"/>
      <c r="F565" s="696"/>
      <c r="G565" s="696"/>
      <c r="H565" s="696"/>
      <c r="I565" s="1050" t="str">
        <f t="shared" si="122"/>
        <v/>
      </c>
      <c r="J565" s="696"/>
      <c r="K565" s="697"/>
      <c r="L565" s="696"/>
      <c r="M565" s="198" t="str">
        <f t="shared" si="123"/>
        <v/>
      </c>
      <c r="N565" s="369" t="str">
        <f t="shared" si="124"/>
        <v/>
      </c>
      <c r="O565" s="183" t="str">
        <f t="shared" si="125"/>
        <v/>
      </c>
      <c r="P565" s="199" t="str">
        <f t="shared" si="126"/>
        <v/>
      </c>
      <c r="Q565" s="199" t="str">
        <f>IF(B565="","",IFERROR(IF('עלויות כח אדם (6)'!J565&gt;=VLOOKUP(I565,'סיווג התפקידים והעלויות'!$B$23:$C$32,2,0),"תקין","לא תקין"),""))</f>
        <v/>
      </c>
      <c r="R565" s="199" t="str">
        <f t="shared" si="127"/>
        <v/>
      </c>
      <c r="S565" s="199" t="str">
        <f t="shared" si="128"/>
        <v/>
      </c>
      <c r="T565" s="199" t="str">
        <f t="shared" si="136"/>
        <v/>
      </c>
      <c r="U565" s="199" t="str">
        <f t="shared" si="129"/>
        <v/>
      </c>
      <c r="V565" s="989"/>
      <c r="X565" s="374" t="str">
        <f t="shared" si="130"/>
        <v/>
      </c>
      <c r="Y565" s="375" t="str">
        <f t="shared" si="131"/>
        <v/>
      </c>
      <c r="Z565" s="374" t="str">
        <f t="shared" si="132"/>
        <v/>
      </c>
      <c r="AA565" s="374" t="b">
        <f t="shared" si="133"/>
        <v>1</v>
      </c>
      <c r="AB565" s="374">
        <f>COUNTIFS(B:B,B565,H:H,'סיווג התפקידים והעלויות'!$C$2)</f>
        <v>0</v>
      </c>
      <c r="AC565" s="374">
        <f>COUNTIFS(B:B,B565,H:H,'סיווג התפקידים והעלויות'!$D$2)</f>
        <v>0</v>
      </c>
      <c r="AD565" s="374" t="str">
        <f>IF(OR(AND(H565='סיווג התפקידים והעלויות'!$A$2,I565='סיווג התפקידים והעלויות'!$A$3),'עלויות כח אדם (6)'!H565='סיווג התפקידים והעלויות'!$C$2,'עלויות כח אדם (6)'!H565='סיווג התפקידים והעלויות'!$D$2),IF('עלויות כח אדם (6)'!J565&lt;75,"לא תקין","תקין"),"")</f>
        <v/>
      </c>
      <c r="AE565" s="374" t="str">
        <f t="shared" si="134"/>
        <v/>
      </c>
      <c r="AF565" s="532" t="str">
        <f t="shared" si="135"/>
        <v/>
      </c>
    </row>
    <row r="566" spans="2:32" x14ac:dyDescent="0.25">
      <c r="B566" s="695"/>
      <c r="C566" s="197" t="str">
        <f>IF(B566&lt;&gt;"",IFERROR(VLOOKUP(B:B,'מצבת והרשמה (2)'!$C$20:$N$520,2,0)," ")," ")</f>
        <v xml:space="preserve"> </v>
      </c>
      <c r="D566" s="695"/>
      <c r="E566" s="696"/>
      <c r="F566" s="696"/>
      <c r="G566" s="696"/>
      <c r="H566" s="696"/>
      <c r="I566" s="1050" t="str">
        <f t="shared" si="122"/>
        <v/>
      </c>
      <c r="J566" s="696"/>
      <c r="K566" s="697"/>
      <c r="L566" s="696"/>
      <c r="M566" s="198" t="str">
        <f t="shared" si="123"/>
        <v/>
      </c>
      <c r="N566" s="369" t="str">
        <f t="shared" si="124"/>
        <v/>
      </c>
      <c r="O566" s="183" t="str">
        <f t="shared" si="125"/>
        <v/>
      </c>
      <c r="P566" s="199" t="str">
        <f t="shared" si="126"/>
        <v/>
      </c>
      <c r="Q566" s="199" t="str">
        <f>IF(B566="","",IFERROR(IF('עלויות כח אדם (6)'!J566&gt;=VLOOKUP(I566,'סיווג התפקידים והעלויות'!$B$23:$C$32,2,0),"תקין","לא תקין"),""))</f>
        <v/>
      </c>
      <c r="R566" s="199" t="str">
        <f t="shared" si="127"/>
        <v/>
      </c>
      <c r="S566" s="199" t="str">
        <f t="shared" si="128"/>
        <v/>
      </c>
      <c r="T566" s="199" t="str">
        <f t="shared" si="136"/>
        <v/>
      </c>
      <c r="U566" s="199" t="str">
        <f t="shared" si="129"/>
        <v/>
      </c>
      <c r="V566" s="989"/>
      <c r="X566" s="374" t="str">
        <f t="shared" si="130"/>
        <v/>
      </c>
      <c r="Y566" s="375" t="str">
        <f t="shared" si="131"/>
        <v/>
      </c>
      <c r="Z566" s="374" t="str">
        <f t="shared" si="132"/>
        <v/>
      </c>
      <c r="AA566" s="374" t="b">
        <f t="shared" si="133"/>
        <v>1</v>
      </c>
      <c r="AB566" s="374">
        <f>COUNTIFS(B:B,B566,H:H,'סיווג התפקידים והעלויות'!$C$2)</f>
        <v>0</v>
      </c>
      <c r="AC566" s="374">
        <f>COUNTIFS(B:B,B566,H:H,'סיווג התפקידים והעלויות'!$D$2)</f>
        <v>0</v>
      </c>
      <c r="AD566" s="374" t="str">
        <f>IF(OR(AND(H566='סיווג התפקידים והעלויות'!$A$2,I566='סיווג התפקידים והעלויות'!$A$3),'עלויות כח אדם (6)'!H566='סיווג התפקידים והעלויות'!$C$2,'עלויות כח אדם (6)'!H566='סיווג התפקידים והעלויות'!$D$2),IF('עלויות כח אדם (6)'!J566&lt;75,"לא תקין","תקין"),"")</f>
        <v/>
      </c>
      <c r="AE566" s="374" t="str">
        <f t="shared" si="134"/>
        <v/>
      </c>
      <c r="AF566" s="532" t="str">
        <f t="shared" si="135"/>
        <v/>
      </c>
    </row>
    <row r="567" spans="2:32" x14ac:dyDescent="0.25">
      <c r="B567" s="695"/>
      <c r="C567" s="197" t="str">
        <f>IF(B567&lt;&gt;"",IFERROR(VLOOKUP(B:B,'מצבת והרשמה (2)'!$C$20:$N$520,2,0)," ")," ")</f>
        <v xml:space="preserve"> </v>
      </c>
      <c r="D567" s="695"/>
      <c r="E567" s="696"/>
      <c r="F567" s="696"/>
      <c r="G567" s="696"/>
      <c r="H567" s="696"/>
      <c r="I567" s="1050" t="str">
        <f t="shared" si="122"/>
        <v/>
      </c>
      <c r="J567" s="696"/>
      <c r="K567" s="697"/>
      <c r="L567" s="696"/>
      <c r="M567" s="198" t="str">
        <f t="shared" si="123"/>
        <v/>
      </c>
      <c r="N567" s="369" t="str">
        <f t="shared" si="124"/>
        <v/>
      </c>
      <c r="O567" s="183" t="str">
        <f t="shared" si="125"/>
        <v/>
      </c>
      <c r="P567" s="199" t="str">
        <f t="shared" si="126"/>
        <v/>
      </c>
      <c r="Q567" s="199" t="str">
        <f>IF(B567="","",IFERROR(IF('עלויות כח אדם (6)'!J567&gt;=VLOOKUP(I567,'סיווג התפקידים והעלויות'!$B$23:$C$32,2,0),"תקין","לא תקין"),""))</f>
        <v/>
      </c>
      <c r="R567" s="199" t="str">
        <f t="shared" si="127"/>
        <v/>
      </c>
      <c r="S567" s="199" t="str">
        <f t="shared" si="128"/>
        <v/>
      </c>
      <c r="T567" s="199" t="str">
        <f t="shared" si="136"/>
        <v/>
      </c>
      <c r="U567" s="199" t="str">
        <f t="shared" si="129"/>
        <v/>
      </c>
      <c r="V567" s="989"/>
      <c r="X567" s="374" t="str">
        <f t="shared" si="130"/>
        <v/>
      </c>
      <c r="Y567" s="375" t="str">
        <f t="shared" si="131"/>
        <v/>
      </c>
      <c r="Z567" s="374" t="str">
        <f t="shared" si="132"/>
        <v/>
      </c>
      <c r="AA567" s="374" t="b">
        <f t="shared" si="133"/>
        <v>1</v>
      </c>
      <c r="AB567" s="374">
        <f>COUNTIFS(B:B,B567,H:H,'סיווג התפקידים והעלויות'!$C$2)</f>
        <v>0</v>
      </c>
      <c r="AC567" s="374">
        <f>COUNTIFS(B:B,B567,H:H,'סיווג התפקידים והעלויות'!$D$2)</f>
        <v>0</v>
      </c>
      <c r="AD567" s="374" t="str">
        <f>IF(OR(AND(H567='סיווג התפקידים והעלויות'!$A$2,I567='סיווג התפקידים והעלויות'!$A$3),'עלויות כח אדם (6)'!H567='סיווג התפקידים והעלויות'!$C$2,'עלויות כח אדם (6)'!H567='סיווג התפקידים והעלויות'!$D$2),IF('עלויות כח אדם (6)'!J567&lt;75,"לא תקין","תקין"),"")</f>
        <v/>
      </c>
      <c r="AE567" s="374" t="str">
        <f t="shared" si="134"/>
        <v/>
      </c>
      <c r="AF567" s="532" t="str">
        <f t="shared" si="135"/>
        <v/>
      </c>
    </row>
    <row r="568" spans="2:32" x14ac:dyDescent="0.25">
      <c r="B568" s="695"/>
      <c r="C568" s="197" t="str">
        <f>IF(B568&lt;&gt;"",IFERROR(VLOOKUP(B:B,'מצבת והרשמה (2)'!$C$20:$N$520,2,0)," ")," ")</f>
        <v xml:space="preserve"> </v>
      </c>
      <c r="D568" s="695"/>
      <c r="E568" s="696"/>
      <c r="F568" s="696"/>
      <c r="G568" s="696"/>
      <c r="H568" s="696"/>
      <c r="I568" s="1050" t="str">
        <f t="shared" si="122"/>
        <v/>
      </c>
      <c r="J568" s="696"/>
      <c r="K568" s="697"/>
      <c r="L568" s="696"/>
      <c r="M568" s="198" t="str">
        <f t="shared" si="123"/>
        <v/>
      </c>
      <c r="N568" s="369" t="str">
        <f t="shared" si="124"/>
        <v/>
      </c>
      <c r="O568" s="183" t="str">
        <f t="shared" si="125"/>
        <v/>
      </c>
      <c r="P568" s="199" t="str">
        <f t="shared" si="126"/>
        <v/>
      </c>
      <c r="Q568" s="199" t="str">
        <f>IF(B568="","",IFERROR(IF('עלויות כח אדם (6)'!J568&gt;=VLOOKUP(I568,'סיווג התפקידים והעלויות'!$B$23:$C$32,2,0),"תקין","לא תקין"),""))</f>
        <v/>
      </c>
      <c r="R568" s="199" t="str">
        <f t="shared" si="127"/>
        <v/>
      </c>
      <c r="S568" s="199" t="str">
        <f t="shared" si="128"/>
        <v/>
      </c>
      <c r="T568" s="199" t="str">
        <f t="shared" si="136"/>
        <v/>
      </c>
      <c r="U568" s="199" t="str">
        <f t="shared" si="129"/>
        <v/>
      </c>
      <c r="V568" s="989"/>
      <c r="X568" s="374" t="str">
        <f t="shared" si="130"/>
        <v/>
      </c>
      <c r="Y568" s="375" t="str">
        <f t="shared" si="131"/>
        <v/>
      </c>
      <c r="Z568" s="374" t="str">
        <f t="shared" si="132"/>
        <v/>
      </c>
      <c r="AA568" s="374" t="b">
        <f t="shared" si="133"/>
        <v>1</v>
      </c>
      <c r="AB568" s="374">
        <f>COUNTIFS(B:B,B568,H:H,'סיווג התפקידים והעלויות'!$C$2)</f>
        <v>0</v>
      </c>
      <c r="AC568" s="374">
        <f>COUNTIFS(B:B,B568,H:H,'סיווג התפקידים והעלויות'!$D$2)</f>
        <v>0</v>
      </c>
      <c r="AD568" s="374" t="str">
        <f>IF(OR(AND(H568='סיווג התפקידים והעלויות'!$A$2,I568='סיווג התפקידים והעלויות'!$A$3),'עלויות כח אדם (6)'!H568='סיווג התפקידים והעלויות'!$C$2,'עלויות כח אדם (6)'!H568='סיווג התפקידים והעלויות'!$D$2),IF('עלויות כח אדם (6)'!J568&lt;75,"לא תקין","תקין"),"")</f>
        <v/>
      </c>
      <c r="AE568" s="374" t="str">
        <f t="shared" si="134"/>
        <v/>
      </c>
      <c r="AF568" s="532" t="str">
        <f t="shared" si="135"/>
        <v/>
      </c>
    </row>
    <row r="569" spans="2:32" x14ac:dyDescent="0.25">
      <c r="B569" s="695"/>
      <c r="C569" s="197" t="str">
        <f>IF(B569&lt;&gt;"",IFERROR(VLOOKUP(B:B,'מצבת והרשמה (2)'!$C$20:$N$520,2,0)," ")," ")</f>
        <v xml:space="preserve"> </v>
      </c>
      <c r="D569" s="695"/>
      <c r="E569" s="696"/>
      <c r="F569" s="696"/>
      <c r="G569" s="696"/>
      <c r="H569" s="696"/>
      <c r="I569" s="1050" t="str">
        <f t="shared" si="122"/>
        <v/>
      </c>
      <c r="J569" s="696"/>
      <c r="K569" s="697"/>
      <c r="L569" s="696"/>
      <c r="M569" s="198" t="str">
        <f t="shared" si="123"/>
        <v/>
      </c>
      <c r="N569" s="369" t="str">
        <f t="shared" si="124"/>
        <v/>
      </c>
      <c r="O569" s="183" t="str">
        <f t="shared" si="125"/>
        <v/>
      </c>
      <c r="P569" s="199" t="str">
        <f t="shared" si="126"/>
        <v/>
      </c>
      <c r="Q569" s="199" t="str">
        <f>IF(B569="","",IFERROR(IF('עלויות כח אדם (6)'!J569&gt;=VLOOKUP(I569,'סיווג התפקידים והעלויות'!$B$23:$C$32,2,0),"תקין","לא תקין"),""))</f>
        <v/>
      </c>
      <c r="R569" s="199" t="str">
        <f t="shared" si="127"/>
        <v/>
      </c>
      <c r="S569" s="199" t="str">
        <f t="shared" si="128"/>
        <v/>
      </c>
      <c r="T569" s="199" t="str">
        <f t="shared" si="136"/>
        <v/>
      </c>
      <c r="U569" s="199" t="str">
        <f t="shared" si="129"/>
        <v/>
      </c>
      <c r="V569" s="989"/>
      <c r="X569" s="374" t="str">
        <f t="shared" si="130"/>
        <v/>
      </c>
      <c r="Y569" s="375" t="str">
        <f t="shared" si="131"/>
        <v/>
      </c>
      <c r="Z569" s="374" t="str">
        <f t="shared" si="132"/>
        <v/>
      </c>
      <c r="AA569" s="374" t="b">
        <f t="shared" si="133"/>
        <v>1</v>
      </c>
      <c r="AB569" s="374">
        <f>COUNTIFS(B:B,B569,H:H,'סיווג התפקידים והעלויות'!$C$2)</f>
        <v>0</v>
      </c>
      <c r="AC569" s="374">
        <f>COUNTIFS(B:B,B569,H:H,'סיווג התפקידים והעלויות'!$D$2)</f>
        <v>0</v>
      </c>
      <c r="AD569" s="374" t="str">
        <f>IF(OR(AND(H569='סיווג התפקידים והעלויות'!$A$2,I569='סיווג התפקידים והעלויות'!$A$3),'עלויות כח אדם (6)'!H569='סיווג התפקידים והעלויות'!$C$2,'עלויות כח אדם (6)'!H569='סיווג התפקידים והעלויות'!$D$2),IF('עלויות כח אדם (6)'!J569&lt;75,"לא תקין","תקין"),"")</f>
        <v/>
      </c>
      <c r="AE569" s="374" t="str">
        <f t="shared" si="134"/>
        <v/>
      </c>
      <c r="AF569" s="532" t="str">
        <f t="shared" si="135"/>
        <v/>
      </c>
    </row>
    <row r="570" spans="2:32" x14ac:dyDescent="0.25">
      <c r="B570" s="695"/>
      <c r="C570" s="197" t="str">
        <f>IF(B570&lt;&gt;"",IFERROR(VLOOKUP(B:B,'מצבת והרשמה (2)'!$C$20:$N$520,2,0)," ")," ")</f>
        <v xml:space="preserve"> </v>
      </c>
      <c r="D570" s="695"/>
      <c r="E570" s="696"/>
      <c r="F570" s="696"/>
      <c r="G570" s="696"/>
      <c r="H570" s="696"/>
      <c r="I570" s="1050" t="str">
        <f t="shared" si="122"/>
        <v/>
      </c>
      <c r="J570" s="696"/>
      <c r="K570" s="697"/>
      <c r="L570" s="696"/>
      <c r="M570" s="198" t="str">
        <f t="shared" si="123"/>
        <v/>
      </c>
      <c r="N570" s="369" t="str">
        <f t="shared" si="124"/>
        <v/>
      </c>
      <c r="O570" s="183" t="str">
        <f t="shared" si="125"/>
        <v/>
      </c>
      <c r="P570" s="199" t="str">
        <f t="shared" si="126"/>
        <v/>
      </c>
      <c r="Q570" s="199" t="str">
        <f>IF(B570="","",IFERROR(IF('עלויות כח אדם (6)'!J570&gt;=VLOOKUP(I570,'סיווג התפקידים והעלויות'!$B$23:$C$32,2,0),"תקין","לא תקין"),""))</f>
        <v/>
      </c>
      <c r="R570" s="199" t="str">
        <f t="shared" si="127"/>
        <v/>
      </c>
      <c r="S570" s="199" t="str">
        <f t="shared" si="128"/>
        <v/>
      </c>
      <c r="T570" s="199" t="str">
        <f t="shared" si="136"/>
        <v/>
      </c>
      <c r="U570" s="199" t="str">
        <f t="shared" si="129"/>
        <v/>
      </c>
      <c r="V570" s="989"/>
      <c r="X570" s="374" t="str">
        <f t="shared" si="130"/>
        <v/>
      </c>
      <c r="Y570" s="375" t="str">
        <f t="shared" si="131"/>
        <v/>
      </c>
      <c r="Z570" s="374" t="str">
        <f t="shared" si="132"/>
        <v/>
      </c>
      <c r="AA570" s="374" t="b">
        <f t="shared" si="133"/>
        <v>1</v>
      </c>
      <c r="AB570" s="374">
        <f>COUNTIFS(B:B,B570,H:H,'סיווג התפקידים והעלויות'!$C$2)</f>
        <v>0</v>
      </c>
      <c r="AC570" s="374">
        <f>COUNTIFS(B:B,B570,H:H,'סיווג התפקידים והעלויות'!$D$2)</f>
        <v>0</v>
      </c>
      <c r="AD570" s="374" t="str">
        <f>IF(OR(AND(H570='סיווג התפקידים והעלויות'!$A$2,I570='סיווג התפקידים והעלויות'!$A$3),'עלויות כח אדם (6)'!H570='סיווג התפקידים והעלויות'!$C$2,'עלויות כח אדם (6)'!H570='סיווג התפקידים והעלויות'!$D$2),IF('עלויות כח אדם (6)'!J570&lt;75,"לא תקין","תקין"),"")</f>
        <v/>
      </c>
      <c r="AE570" s="374" t="str">
        <f t="shared" si="134"/>
        <v/>
      </c>
      <c r="AF570" s="532" t="str">
        <f t="shared" si="135"/>
        <v/>
      </c>
    </row>
    <row r="571" spans="2:32" x14ac:dyDescent="0.25">
      <c r="B571" s="695"/>
      <c r="C571" s="197" t="str">
        <f>IF(B571&lt;&gt;"",IFERROR(VLOOKUP(B:B,'מצבת והרשמה (2)'!$C$20:$N$520,2,0)," ")," ")</f>
        <v xml:space="preserve"> </v>
      </c>
      <c r="D571" s="695"/>
      <c r="E571" s="696"/>
      <c r="F571" s="696"/>
      <c r="G571" s="696"/>
      <c r="H571" s="696"/>
      <c r="I571" s="1050" t="str">
        <f t="shared" si="122"/>
        <v/>
      </c>
      <c r="J571" s="696"/>
      <c r="K571" s="697"/>
      <c r="L571" s="696"/>
      <c r="M571" s="198" t="str">
        <f t="shared" si="123"/>
        <v/>
      </c>
      <c r="N571" s="369" t="str">
        <f t="shared" si="124"/>
        <v/>
      </c>
      <c r="O571" s="183" t="str">
        <f t="shared" si="125"/>
        <v/>
      </c>
      <c r="P571" s="199" t="str">
        <f t="shared" si="126"/>
        <v/>
      </c>
      <c r="Q571" s="199" t="str">
        <f>IF(B571="","",IFERROR(IF('עלויות כח אדם (6)'!J571&gt;=VLOOKUP(I571,'סיווג התפקידים והעלויות'!$B$23:$C$32,2,0),"תקין","לא תקין"),""))</f>
        <v/>
      </c>
      <c r="R571" s="199" t="str">
        <f t="shared" si="127"/>
        <v/>
      </c>
      <c r="S571" s="199" t="str">
        <f t="shared" si="128"/>
        <v/>
      </c>
      <c r="T571" s="199" t="str">
        <f t="shared" si="136"/>
        <v/>
      </c>
      <c r="U571" s="199" t="str">
        <f t="shared" si="129"/>
        <v/>
      </c>
      <c r="V571" s="989"/>
      <c r="X571" s="374" t="str">
        <f t="shared" si="130"/>
        <v/>
      </c>
      <c r="Y571" s="375" t="str">
        <f t="shared" si="131"/>
        <v/>
      </c>
      <c r="Z571" s="374" t="str">
        <f t="shared" si="132"/>
        <v/>
      </c>
      <c r="AA571" s="374" t="b">
        <f t="shared" si="133"/>
        <v>1</v>
      </c>
      <c r="AB571" s="374">
        <f>COUNTIFS(B:B,B571,H:H,'סיווג התפקידים והעלויות'!$C$2)</f>
        <v>0</v>
      </c>
      <c r="AC571" s="374">
        <f>COUNTIFS(B:B,B571,H:H,'סיווג התפקידים והעלויות'!$D$2)</f>
        <v>0</v>
      </c>
      <c r="AD571" s="374" t="str">
        <f>IF(OR(AND(H571='סיווג התפקידים והעלויות'!$A$2,I571='סיווג התפקידים והעלויות'!$A$3),'עלויות כח אדם (6)'!H571='סיווג התפקידים והעלויות'!$C$2,'עלויות כח אדם (6)'!H571='סיווג התפקידים והעלויות'!$D$2),IF('עלויות כח אדם (6)'!J571&lt;75,"לא תקין","תקין"),"")</f>
        <v/>
      </c>
      <c r="AE571" s="374" t="str">
        <f t="shared" si="134"/>
        <v/>
      </c>
      <c r="AF571" s="532" t="str">
        <f t="shared" si="135"/>
        <v/>
      </c>
    </row>
    <row r="572" spans="2:32" x14ac:dyDescent="0.25">
      <c r="B572" s="695"/>
      <c r="C572" s="197" t="str">
        <f>IF(B572&lt;&gt;"",IFERROR(VLOOKUP(B:B,'מצבת והרשמה (2)'!$C$20:$N$520,2,0)," ")," ")</f>
        <v xml:space="preserve"> </v>
      </c>
      <c r="D572" s="695"/>
      <c r="E572" s="696"/>
      <c r="F572" s="696"/>
      <c r="G572" s="696"/>
      <c r="H572" s="696"/>
      <c r="I572" s="1050" t="str">
        <f t="shared" si="122"/>
        <v/>
      </c>
      <c r="J572" s="696"/>
      <c r="K572" s="697"/>
      <c r="L572" s="696"/>
      <c r="M572" s="198" t="str">
        <f t="shared" si="123"/>
        <v/>
      </c>
      <c r="N572" s="369" t="str">
        <f t="shared" si="124"/>
        <v/>
      </c>
      <c r="O572" s="183" t="str">
        <f t="shared" si="125"/>
        <v/>
      </c>
      <c r="P572" s="199" t="str">
        <f t="shared" si="126"/>
        <v/>
      </c>
      <c r="Q572" s="199" t="str">
        <f>IF(B572="","",IFERROR(IF('עלויות כח אדם (6)'!J572&gt;=VLOOKUP(I572,'סיווג התפקידים והעלויות'!$B$23:$C$32,2,0),"תקין","לא תקין"),""))</f>
        <v/>
      </c>
      <c r="R572" s="199" t="str">
        <f t="shared" si="127"/>
        <v/>
      </c>
      <c r="S572" s="199" t="str">
        <f t="shared" si="128"/>
        <v/>
      </c>
      <c r="T572" s="199" t="str">
        <f t="shared" si="136"/>
        <v/>
      </c>
      <c r="U572" s="199" t="str">
        <f t="shared" si="129"/>
        <v/>
      </c>
      <c r="V572" s="989"/>
      <c r="X572" s="374" t="str">
        <f t="shared" si="130"/>
        <v/>
      </c>
      <c r="Y572" s="375" t="str">
        <f t="shared" si="131"/>
        <v/>
      </c>
      <c r="Z572" s="374" t="str">
        <f t="shared" si="132"/>
        <v/>
      </c>
      <c r="AA572" s="374" t="b">
        <f t="shared" si="133"/>
        <v>1</v>
      </c>
      <c r="AB572" s="374">
        <f>COUNTIFS(B:B,B572,H:H,'סיווג התפקידים והעלויות'!$C$2)</f>
        <v>0</v>
      </c>
      <c r="AC572" s="374">
        <f>COUNTIFS(B:B,B572,H:H,'סיווג התפקידים והעלויות'!$D$2)</f>
        <v>0</v>
      </c>
      <c r="AD572" s="374" t="str">
        <f>IF(OR(AND(H572='סיווג התפקידים והעלויות'!$A$2,I572='סיווג התפקידים והעלויות'!$A$3),'עלויות כח אדם (6)'!H572='סיווג התפקידים והעלויות'!$C$2,'עלויות כח אדם (6)'!H572='סיווג התפקידים והעלויות'!$D$2),IF('עלויות כח אדם (6)'!J572&lt;75,"לא תקין","תקין"),"")</f>
        <v/>
      </c>
      <c r="AE572" s="374" t="str">
        <f t="shared" si="134"/>
        <v/>
      </c>
      <c r="AF572" s="532" t="str">
        <f t="shared" si="135"/>
        <v/>
      </c>
    </row>
    <row r="573" spans="2:32" x14ac:dyDescent="0.25">
      <c r="B573" s="695"/>
      <c r="C573" s="197" t="str">
        <f>IF(B573&lt;&gt;"",IFERROR(VLOOKUP(B:B,'מצבת והרשמה (2)'!$C$20:$N$520,2,0)," ")," ")</f>
        <v xml:space="preserve"> </v>
      </c>
      <c r="D573" s="695"/>
      <c r="E573" s="696"/>
      <c r="F573" s="696"/>
      <c r="G573" s="696"/>
      <c r="H573" s="696"/>
      <c r="I573" s="1050" t="str">
        <f t="shared" si="122"/>
        <v/>
      </c>
      <c r="J573" s="696"/>
      <c r="K573" s="697"/>
      <c r="L573" s="696"/>
      <c r="M573" s="198" t="str">
        <f t="shared" si="123"/>
        <v/>
      </c>
      <c r="N573" s="369" t="str">
        <f t="shared" si="124"/>
        <v/>
      </c>
      <c r="O573" s="183" t="str">
        <f t="shared" si="125"/>
        <v/>
      </c>
      <c r="P573" s="199" t="str">
        <f t="shared" si="126"/>
        <v/>
      </c>
      <c r="Q573" s="199" t="str">
        <f>IF(B573="","",IFERROR(IF('עלויות כח אדם (6)'!J573&gt;=VLOOKUP(I573,'סיווג התפקידים והעלויות'!$B$23:$C$32,2,0),"תקין","לא תקין"),""))</f>
        <v/>
      </c>
      <c r="R573" s="199" t="str">
        <f t="shared" si="127"/>
        <v/>
      </c>
      <c r="S573" s="199" t="str">
        <f t="shared" si="128"/>
        <v/>
      </c>
      <c r="T573" s="199" t="str">
        <f t="shared" si="136"/>
        <v/>
      </c>
      <c r="U573" s="199" t="str">
        <f t="shared" si="129"/>
        <v/>
      </c>
      <c r="V573" s="989"/>
      <c r="X573" s="374" t="str">
        <f t="shared" si="130"/>
        <v/>
      </c>
      <c r="Y573" s="375" t="str">
        <f t="shared" si="131"/>
        <v/>
      </c>
      <c r="Z573" s="374" t="str">
        <f t="shared" si="132"/>
        <v/>
      </c>
      <c r="AA573" s="374" t="b">
        <f t="shared" si="133"/>
        <v>1</v>
      </c>
      <c r="AB573" s="374">
        <f>COUNTIFS(B:B,B573,H:H,'סיווג התפקידים והעלויות'!$C$2)</f>
        <v>0</v>
      </c>
      <c r="AC573" s="374">
        <f>COUNTIFS(B:B,B573,H:H,'סיווג התפקידים והעלויות'!$D$2)</f>
        <v>0</v>
      </c>
      <c r="AD573" s="374" t="str">
        <f>IF(OR(AND(H573='סיווג התפקידים והעלויות'!$A$2,I573='סיווג התפקידים והעלויות'!$A$3),'עלויות כח אדם (6)'!H573='סיווג התפקידים והעלויות'!$C$2,'עלויות כח אדם (6)'!H573='סיווג התפקידים והעלויות'!$D$2),IF('עלויות כח אדם (6)'!J573&lt;75,"לא תקין","תקין"),"")</f>
        <v/>
      </c>
      <c r="AE573" s="374" t="str">
        <f t="shared" si="134"/>
        <v/>
      </c>
      <c r="AF573" s="532" t="str">
        <f t="shared" si="135"/>
        <v/>
      </c>
    </row>
    <row r="574" spans="2:32" x14ac:dyDescent="0.25">
      <c r="B574" s="695"/>
      <c r="C574" s="197" t="str">
        <f>IF(B574&lt;&gt;"",IFERROR(VLOOKUP(B:B,'מצבת והרשמה (2)'!$C$20:$N$520,2,0)," ")," ")</f>
        <v xml:space="preserve"> </v>
      </c>
      <c r="D574" s="695"/>
      <c r="E574" s="696"/>
      <c r="F574" s="696"/>
      <c r="G574" s="696"/>
      <c r="H574" s="696"/>
      <c r="I574" s="1050" t="str">
        <f t="shared" si="122"/>
        <v/>
      </c>
      <c r="J574" s="696"/>
      <c r="K574" s="697"/>
      <c r="L574" s="696"/>
      <c r="M574" s="198" t="str">
        <f t="shared" si="123"/>
        <v/>
      </c>
      <c r="N574" s="369" t="str">
        <f t="shared" si="124"/>
        <v/>
      </c>
      <c r="O574" s="183" t="str">
        <f t="shared" si="125"/>
        <v/>
      </c>
      <c r="P574" s="199" t="str">
        <f t="shared" si="126"/>
        <v/>
      </c>
      <c r="Q574" s="199" t="str">
        <f>IF(B574="","",IFERROR(IF('עלויות כח אדם (6)'!J574&gt;=VLOOKUP(I574,'סיווג התפקידים והעלויות'!$B$23:$C$32,2,0),"תקין","לא תקין"),""))</f>
        <v/>
      </c>
      <c r="R574" s="199" t="str">
        <f t="shared" si="127"/>
        <v/>
      </c>
      <c r="S574" s="199" t="str">
        <f t="shared" si="128"/>
        <v/>
      </c>
      <c r="T574" s="199" t="str">
        <f t="shared" si="136"/>
        <v/>
      </c>
      <c r="U574" s="199" t="str">
        <f t="shared" si="129"/>
        <v/>
      </c>
      <c r="V574" s="989"/>
      <c r="X574" s="374" t="str">
        <f t="shared" si="130"/>
        <v/>
      </c>
      <c r="Y574" s="375" t="str">
        <f t="shared" si="131"/>
        <v/>
      </c>
      <c r="Z574" s="374" t="str">
        <f t="shared" si="132"/>
        <v/>
      </c>
      <c r="AA574" s="374" t="b">
        <f t="shared" si="133"/>
        <v>1</v>
      </c>
      <c r="AB574" s="374">
        <f>COUNTIFS(B:B,B574,H:H,'סיווג התפקידים והעלויות'!$C$2)</f>
        <v>0</v>
      </c>
      <c r="AC574" s="374">
        <f>COUNTIFS(B:B,B574,H:H,'סיווג התפקידים והעלויות'!$D$2)</f>
        <v>0</v>
      </c>
      <c r="AD574" s="374" t="str">
        <f>IF(OR(AND(H574='סיווג התפקידים והעלויות'!$A$2,I574='סיווג התפקידים והעלויות'!$A$3),'עלויות כח אדם (6)'!H574='סיווג התפקידים והעלויות'!$C$2,'עלויות כח אדם (6)'!H574='סיווג התפקידים והעלויות'!$D$2),IF('עלויות כח אדם (6)'!J574&lt;75,"לא תקין","תקין"),"")</f>
        <v/>
      </c>
      <c r="AE574" s="374" t="str">
        <f t="shared" si="134"/>
        <v/>
      </c>
      <c r="AF574" s="532" t="str">
        <f t="shared" si="135"/>
        <v/>
      </c>
    </row>
    <row r="575" spans="2:32" x14ac:dyDescent="0.25">
      <c r="B575" s="695"/>
      <c r="C575" s="197" t="str">
        <f>IF(B575&lt;&gt;"",IFERROR(VLOOKUP(B:B,'מצבת והרשמה (2)'!$C$20:$N$520,2,0)," ")," ")</f>
        <v xml:space="preserve"> </v>
      </c>
      <c r="D575" s="695"/>
      <c r="E575" s="696"/>
      <c r="F575" s="696"/>
      <c r="G575" s="696"/>
      <c r="H575" s="696"/>
      <c r="I575" s="1050" t="str">
        <f t="shared" si="122"/>
        <v/>
      </c>
      <c r="J575" s="696"/>
      <c r="K575" s="697"/>
      <c r="L575" s="696"/>
      <c r="M575" s="198" t="str">
        <f t="shared" si="123"/>
        <v/>
      </c>
      <c r="N575" s="369" t="str">
        <f t="shared" si="124"/>
        <v/>
      </c>
      <c r="O575" s="183" t="str">
        <f t="shared" si="125"/>
        <v/>
      </c>
      <c r="P575" s="199" t="str">
        <f t="shared" si="126"/>
        <v/>
      </c>
      <c r="Q575" s="199" t="str">
        <f>IF(B575="","",IFERROR(IF('עלויות כח אדם (6)'!J575&gt;=VLOOKUP(I575,'סיווג התפקידים והעלויות'!$B$23:$C$32,2,0),"תקין","לא תקין"),""))</f>
        <v/>
      </c>
      <c r="R575" s="199" t="str">
        <f t="shared" si="127"/>
        <v/>
      </c>
      <c r="S575" s="199" t="str">
        <f t="shared" si="128"/>
        <v/>
      </c>
      <c r="T575" s="199" t="str">
        <f t="shared" si="136"/>
        <v/>
      </c>
      <c r="U575" s="199" t="str">
        <f t="shared" si="129"/>
        <v/>
      </c>
      <c r="V575" s="989"/>
      <c r="X575" s="374" t="str">
        <f t="shared" si="130"/>
        <v/>
      </c>
      <c r="Y575" s="375" t="str">
        <f t="shared" si="131"/>
        <v/>
      </c>
      <c r="Z575" s="374" t="str">
        <f t="shared" si="132"/>
        <v/>
      </c>
      <c r="AA575" s="374" t="b">
        <f t="shared" si="133"/>
        <v>1</v>
      </c>
      <c r="AB575" s="374">
        <f>COUNTIFS(B:B,B575,H:H,'סיווג התפקידים והעלויות'!$C$2)</f>
        <v>0</v>
      </c>
      <c r="AC575" s="374">
        <f>COUNTIFS(B:B,B575,H:H,'סיווג התפקידים והעלויות'!$D$2)</f>
        <v>0</v>
      </c>
      <c r="AD575" s="374" t="str">
        <f>IF(OR(AND(H575='סיווג התפקידים והעלויות'!$A$2,I575='סיווג התפקידים והעלויות'!$A$3),'עלויות כח אדם (6)'!H575='סיווג התפקידים והעלויות'!$C$2,'עלויות כח אדם (6)'!H575='סיווג התפקידים והעלויות'!$D$2),IF('עלויות כח אדם (6)'!J575&lt;75,"לא תקין","תקין"),"")</f>
        <v/>
      </c>
      <c r="AE575" s="374" t="str">
        <f t="shared" si="134"/>
        <v/>
      </c>
      <c r="AF575" s="532" t="str">
        <f t="shared" si="135"/>
        <v/>
      </c>
    </row>
    <row r="576" spans="2:32" x14ac:dyDescent="0.25">
      <c r="B576" s="695"/>
      <c r="C576" s="197" t="str">
        <f>IF(B576&lt;&gt;"",IFERROR(VLOOKUP(B:B,'מצבת והרשמה (2)'!$C$20:$N$520,2,0)," ")," ")</f>
        <v xml:space="preserve"> </v>
      </c>
      <c r="D576" s="695"/>
      <c r="E576" s="696"/>
      <c r="F576" s="696"/>
      <c r="G576" s="696"/>
      <c r="H576" s="696"/>
      <c r="I576" s="1050" t="str">
        <f t="shared" si="122"/>
        <v/>
      </c>
      <c r="J576" s="696"/>
      <c r="K576" s="697"/>
      <c r="L576" s="696"/>
      <c r="M576" s="198" t="str">
        <f t="shared" si="123"/>
        <v/>
      </c>
      <c r="N576" s="369" t="str">
        <f t="shared" si="124"/>
        <v/>
      </c>
      <c r="O576" s="183" t="str">
        <f t="shared" si="125"/>
        <v/>
      </c>
      <c r="P576" s="199" t="str">
        <f t="shared" si="126"/>
        <v/>
      </c>
      <c r="Q576" s="199" t="str">
        <f>IF(B576="","",IFERROR(IF('עלויות כח אדם (6)'!J576&gt;=VLOOKUP(I576,'סיווג התפקידים והעלויות'!$B$23:$C$32,2,0),"תקין","לא תקין"),""))</f>
        <v/>
      </c>
      <c r="R576" s="199" t="str">
        <f t="shared" si="127"/>
        <v/>
      </c>
      <c r="S576" s="199" t="str">
        <f t="shared" si="128"/>
        <v/>
      </c>
      <c r="T576" s="199" t="str">
        <f t="shared" si="136"/>
        <v/>
      </c>
      <c r="U576" s="199" t="str">
        <f t="shared" si="129"/>
        <v/>
      </c>
      <c r="V576" s="989"/>
      <c r="X576" s="374" t="str">
        <f t="shared" si="130"/>
        <v/>
      </c>
      <c r="Y576" s="375" t="str">
        <f t="shared" si="131"/>
        <v/>
      </c>
      <c r="Z576" s="374" t="str">
        <f t="shared" si="132"/>
        <v/>
      </c>
      <c r="AA576" s="374" t="b">
        <f t="shared" si="133"/>
        <v>1</v>
      </c>
      <c r="AB576" s="374">
        <f>COUNTIFS(B:B,B576,H:H,'סיווג התפקידים והעלויות'!$C$2)</f>
        <v>0</v>
      </c>
      <c r="AC576" s="374">
        <f>COUNTIFS(B:B,B576,H:H,'סיווג התפקידים והעלויות'!$D$2)</f>
        <v>0</v>
      </c>
      <c r="AD576" s="374" t="str">
        <f>IF(OR(AND(H576='סיווג התפקידים והעלויות'!$A$2,I576='סיווג התפקידים והעלויות'!$A$3),'עלויות כח אדם (6)'!H576='סיווג התפקידים והעלויות'!$C$2,'עלויות כח אדם (6)'!H576='סיווג התפקידים והעלויות'!$D$2),IF('עלויות כח אדם (6)'!J576&lt;75,"לא תקין","תקין"),"")</f>
        <v/>
      </c>
      <c r="AE576" s="374" t="str">
        <f t="shared" si="134"/>
        <v/>
      </c>
      <c r="AF576" s="532" t="str">
        <f t="shared" si="135"/>
        <v/>
      </c>
    </row>
    <row r="577" spans="2:32" x14ac:dyDescent="0.25">
      <c r="B577" s="695"/>
      <c r="C577" s="197" t="str">
        <f>IF(B577&lt;&gt;"",IFERROR(VLOOKUP(B:B,'מצבת והרשמה (2)'!$C$20:$N$520,2,0)," ")," ")</f>
        <v xml:space="preserve"> </v>
      </c>
      <c r="D577" s="695"/>
      <c r="E577" s="696"/>
      <c r="F577" s="696"/>
      <c r="G577" s="696"/>
      <c r="H577" s="696"/>
      <c r="I577" s="1050" t="str">
        <f t="shared" si="122"/>
        <v/>
      </c>
      <c r="J577" s="696"/>
      <c r="K577" s="697"/>
      <c r="L577" s="696"/>
      <c r="M577" s="198" t="str">
        <f t="shared" si="123"/>
        <v/>
      </c>
      <c r="N577" s="369" t="str">
        <f t="shared" si="124"/>
        <v/>
      </c>
      <c r="O577" s="183" t="str">
        <f t="shared" si="125"/>
        <v/>
      </c>
      <c r="P577" s="199" t="str">
        <f t="shared" si="126"/>
        <v/>
      </c>
      <c r="Q577" s="199" t="str">
        <f>IF(B577="","",IFERROR(IF('עלויות כח אדם (6)'!J577&gt;=VLOOKUP(I577,'סיווג התפקידים והעלויות'!$B$23:$C$32,2,0),"תקין","לא תקין"),""))</f>
        <v/>
      </c>
      <c r="R577" s="199" t="str">
        <f t="shared" si="127"/>
        <v/>
      </c>
      <c r="S577" s="199" t="str">
        <f t="shared" si="128"/>
        <v/>
      </c>
      <c r="T577" s="199" t="str">
        <f t="shared" si="136"/>
        <v/>
      </c>
      <c r="U577" s="199" t="str">
        <f t="shared" si="129"/>
        <v/>
      </c>
      <c r="V577" s="989"/>
      <c r="X577" s="374" t="str">
        <f t="shared" si="130"/>
        <v/>
      </c>
      <c r="Y577" s="375" t="str">
        <f t="shared" si="131"/>
        <v/>
      </c>
      <c r="Z577" s="374" t="str">
        <f t="shared" si="132"/>
        <v/>
      </c>
      <c r="AA577" s="374" t="b">
        <f t="shared" si="133"/>
        <v>1</v>
      </c>
      <c r="AB577" s="374">
        <f>COUNTIFS(B:B,B577,H:H,'סיווג התפקידים והעלויות'!$C$2)</f>
        <v>0</v>
      </c>
      <c r="AC577" s="374">
        <f>COUNTIFS(B:B,B577,H:H,'סיווג התפקידים והעלויות'!$D$2)</f>
        <v>0</v>
      </c>
      <c r="AD577" s="374" t="str">
        <f>IF(OR(AND(H577='סיווג התפקידים והעלויות'!$A$2,I577='סיווג התפקידים והעלויות'!$A$3),'עלויות כח אדם (6)'!H577='סיווג התפקידים והעלויות'!$C$2,'עלויות כח אדם (6)'!H577='סיווג התפקידים והעלויות'!$D$2),IF('עלויות כח אדם (6)'!J577&lt;75,"לא תקין","תקין"),"")</f>
        <v/>
      </c>
      <c r="AE577" s="374" t="str">
        <f t="shared" si="134"/>
        <v/>
      </c>
      <c r="AF577" s="532" t="str">
        <f t="shared" si="135"/>
        <v/>
      </c>
    </row>
    <row r="578" spans="2:32" x14ac:dyDescent="0.25">
      <c r="B578" s="695"/>
      <c r="C578" s="197" t="str">
        <f>IF(B578&lt;&gt;"",IFERROR(VLOOKUP(B:B,'מצבת והרשמה (2)'!$C$20:$N$520,2,0)," ")," ")</f>
        <v xml:space="preserve"> </v>
      </c>
      <c r="D578" s="695"/>
      <c r="E578" s="696"/>
      <c r="F578" s="696"/>
      <c r="G578" s="696"/>
      <c r="H578" s="696"/>
      <c r="I578" s="1050" t="str">
        <f t="shared" si="122"/>
        <v/>
      </c>
      <c r="J578" s="696"/>
      <c r="K578" s="697"/>
      <c r="L578" s="696"/>
      <c r="M578" s="198" t="str">
        <f t="shared" si="123"/>
        <v/>
      </c>
      <c r="N578" s="369" t="str">
        <f t="shared" si="124"/>
        <v/>
      </c>
      <c r="O578" s="183" t="str">
        <f t="shared" si="125"/>
        <v/>
      </c>
      <c r="P578" s="199" t="str">
        <f t="shared" si="126"/>
        <v/>
      </c>
      <c r="Q578" s="199" t="str">
        <f>IF(B578="","",IFERROR(IF('עלויות כח אדם (6)'!J578&gt;=VLOOKUP(I578,'סיווג התפקידים והעלויות'!$B$23:$C$32,2,0),"תקין","לא תקין"),""))</f>
        <v/>
      </c>
      <c r="R578" s="199" t="str">
        <f t="shared" si="127"/>
        <v/>
      </c>
      <c r="S578" s="199" t="str">
        <f t="shared" si="128"/>
        <v/>
      </c>
      <c r="T578" s="199" t="str">
        <f t="shared" si="136"/>
        <v/>
      </c>
      <c r="U578" s="199" t="str">
        <f t="shared" si="129"/>
        <v/>
      </c>
      <c r="V578" s="989"/>
      <c r="X578" s="374" t="str">
        <f t="shared" si="130"/>
        <v/>
      </c>
      <c r="Y578" s="375" t="str">
        <f t="shared" si="131"/>
        <v/>
      </c>
      <c r="Z578" s="374" t="str">
        <f t="shared" si="132"/>
        <v/>
      </c>
      <c r="AA578" s="374" t="b">
        <f t="shared" si="133"/>
        <v>1</v>
      </c>
      <c r="AB578" s="374">
        <f>COUNTIFS(B:B,B578,H:H,'סיווג התפקידים והעלויות'!$C$2)</f>
        <v>0</v>
      </c>
      <c r="AC578" s="374">
        <f>COUNTIFS(B:B,B578,H:H,'סיווג התפקידים והעלויות'!$D$2)</f>
        <v>0</v>
      </c>
      <c r="AD578" s="374" t="str">
        <f>IF(OR(AND(H578='סיווג התפקידים והעלויות'!$A$2,I578='סיווג התפקידים והעלויות'!$A$3),'עלויות כח אדם (6)'!H578='סיווג התפקידים והעלויות'!$C$2,'עלויות כח אדם (6)'!H578='סיווג התפקידים והעלויות'!$D$2),IF('עלויות כח אדם (6)'!J578&lt;75,"לא תקין","תקין"),"")</f>
        <v/>
      </c>
      <c r="AE578" s="374" t="str">
        <f t="shared" si="134"/>
        <v/>
      </c>
      <c r="AF578" s="532" t="str">
        <f t="shared" si="135"/>
        <v/>
      </c>
    </row>
    <row r="579" spans="2:32" x14ac:dyDescent="0.25">
      <c r="B579" s="695"/>
      <c r="C579" s="197" t="str">
        <f>IF(B579&lt;&gt;"",IFERROR(VLOOKUP(B:B,'מצבת והרשמה (2)'!$C$20:$N$520,2,0)," ")," ")</f>
        <v xml:space="preserve"> </v>
      </c>
      <c r="D579" s="695"/>
      <c r="E579" s="696"/>
      <c r="F579" s="696"/>
      <c r="G579" s="696"/>
      <c r="H579" s="696"/>
      <c r="I579" s="1050" t="str">
        <f t="shared" si="122"/>
        <v/>
      </c>
      <c r="J579" s="696"/>
      <c r="K579" s="697"/>
      <c r="L579" s="696"/>
      <c r="M579" s="198" t="str">
        <f t="shared" si="123"/>
        <v/>
      </c>
      <c r="N579" s="369" t="str">
        <f t="shared" si="124"/>
        <v/>
      </c>
      <c r="O579" s="183" t="str">
        <f t="shared" si="125"/>
        <v/>
      </c>
      <c r="P579" s="199" t="str">
        <f t="shared" si="126"/>
        <v/>
      </c>
      <c r="Q579" s="199" t="str">
        <f>IF(B579="","",IFERROR(IF('עלויות כח אדם (6)'!J579&gt;=VLOOKUP(I579,'סיווג התפקידים והעלויות'!$B$23:$C$32,2,0),"תקין","לא תקין"),""))</f>
        <v/>
      </c>
      <c r="R579" s="199" t="str">
        <f t="shared" si="127"/>
        <v/>
      </c>
      <c r="S579" s="199" t="str">
        <f t="shared" si="128"/>
        <v/>
      </c>
      <c r="T579" s="199" t="str">
        <f t="shared" si="136"/>
        <v/>
      </c>
      <c r="U579" s="199" t="str">
        <f t="shared" si="129"/>
        <v/>
      </c>
      <c r="V579" s="989"/>
      <c r="X579" s="374" t="str">
        <f t="shared" si="130"/>
        <v/>
      </c>
      <c r="Y579" s="375" t="str">
        <f t="shared" si="131"/>
        <v/>
      </c>
      <c r="Z579" s="374" t="str">
        <f t="shared" si="132"/>
        <v/>
      </c>
      <c r="AA579" s="374" t="b">
        <f t="shared" si="133"/>
        <v>1</v>
      </c>
      <c r="AB579" s="374">
        <f>COUNTIFS(B:B,B579,H:H,'סיווג התפקידים והעלויות'!$C$2)</f>
        <v>0</v>
      </c>
      <c r="AC579" s="374">
        <f>COUNTIFS(B:B,B579,H:H,'סיווג התפקידים והעלויות'!$D$2)</f>
        <v>0</v>
      </c>
      <c r="AD579" s="374" t="str">
        <f>IF(OR(AND(H579='סיווג התפקידים והעלויות'!$A$2,I579='סיווג התפקידים והעלויות'!$A$3),'עלויות כח אדם (6)'!H579='סיווג התפקידים והעלויות'!$C$2,'עלויות כח אדם (6)'!H579='סיווג התפקידים והעלויות'!$D$2),IF('עלויות כח אדם (6)'!J579&lt;75,"לא תקין","תקין"),"")</f>
        <v/>
      </c>
      <c r="AE579" s="374" t="str">
        <f t="shared" si="134"/>
        <v/>
      </c>
      <c r="AF579" s="532" t="str">
        <f t="shared" si="135"/>
        <v/>
      </c>
    </row>
    <row r="580" spans="2:32" x14ac:dyDescent="0.25">
      <c r="B580" s="695"/>
      <c r="C580" s="197" t="str">
        <f>IF(B580&lt;&gt;"",IFERROR(VLOOKUP(B:B,'מצבת והרשמה (2)'!$C$20:$N$520,2,0)," ")," ")</f>
        <v xml:space="preserve"> </v>
      </c>
      <c r="D580" s="695"/>
      <c r="E580" s="696"/>
      <c r="F580" s="696"/>
      <c r="G580" s="696"/>
      <c r="H580" s="696"/>
      <c r="I580" s="1050" t="str">
        <f t="shared" si="122"/>
        <v/>
      </c>
      <c r="J580" s="696"/>
      <c r="K580" s="697"/>
      <c r="L580" s="696"/>
      <c r="M580" s="198" t="str">
        <f t="shared" si="123"/>
        <v/>
      </c>
      <c r="N580" s="369" t="str">
        <f t="shared" si="124"/>
        <v/>
      </c>
      <c r="O580" s="183" t="str">
        <f t="shared" si="125"/>
        <v/>
      </c>
      <c r="P580" s="199" t="str">
        <f t="shared" si="126"/>
        <v/>
      </c>
      <c r="Q580" s="199" t="str">
        <f>IF(B580="","",IFERROR(IF('עלויות כח אדם (6)'!J580&gt;=VLOOKUP(I580,'סיווג התפקידים והעלויות'!$B$23:$C$32,2,0),"תקין","לא תקין"),""))</f>
        <v/>
      </c>
      <c r="R580" s="199" t="str">
        <f t="shared" si="127"/>
        <v/>
      </c>
      <c r="S580" s="199" t="str">
        <f t="shared" si="128"/>
        <v/>
      </c>
      <c r="T580" s="199" t="str">
        <f t="shared" si="136"/>
        <v/>
      </c>
      <c r="U580" s="199" t="str">
        <f t="shared" si="129"/>
        <v/>
      </c>
      <c r="V580" s="989"/>
      <c r="X580" s="374" t="str">
        <f t="shared" si="130"/>
        <v/>
      </c>
      <c r="Y580" s="375" t="str">
        <f t="shared" si="131"/>
        <v/>
      </c>
      <c r="Z580" s="374" t="str">
        <f t="shared" si="132"/>
        <v/>
      </c>
      <c r="AA580" s="374" t="b">
        <f t="shared" si="133"/>
        <v>1</v>
      </c>
      <c r="AB580" s="374">
        <f>COUNTIFS(B:B,B580,H:H,'סיווג התפקידים והעלויות'!$C$2)</f>
        <v>0</v>
      </c>
      <c r="AC580" s="374">
        <f>COUNTIFS(B:B,B580,H:H,'סיווג התפקידים והעלויות'!$D$2)</f>
        <v>0</v>
      </c>
      <c r="AD580" s="374" t="str">
        <f>IF(OR(AND(H580='סיווג התפקידים והעלויות'!$A$2,I580='סיווג התפקידים והעלויות'!$A$3),'עלויות כח אדם (6)'!H580='סיווג התפקידים והעלויות'!$C$2,'עלויות כח אדם (6)'!H580='סיווג התפקידים והעלויות'!$D$2),IF('עלויות כח אדם (6)'!J580&lt;75,"לא תקין","תקין"),"")</f>
        <v/>
      </c>
      <c r="AE580" s="374" t="str">
        <f t="shared" si="134"/>
        <v/>
      </c>
      <c r="AF580" s="532" t="str">
        <f t="shared" si="135"/>
        <v/>
      </c>
    </row>
    <row r="581" spans="2:32" x14ac:dyDescent="0.25">
      <c r="B581" s="695"/>
      <c r="C581" s="197" t="str">
        <f>IF(B581&lt;&gt;"",IFERROR(VLOOKUP(B:B,'מצבת והרשמה (2)'!$C$20:$N$520,2,0)," ")," ")</f>
        <v xml:space="preserve"> </v>
      </c>
      <c r="D581" s="695"/>
      <c r="E581" s="696"/>
      <c r="F581" s="696"/>
      <c r="G581" s="696"/>
      <c r="H581" s="696"/>
      <c r="I581" s="1050" t="str">
        <f t="shared" si="122"/>
        <v/>
      </c>
      <c r="J581" s="696"/>
      <c r="K581" s="697"/>
      <c r="L581" s="696"/>
      <c r="M581" s="198" t="str">
        <f t="shared" si="123"/>
        <v/>
      </c>
      <c r="N581" s="369" t="str">
        <f t="shared" si="124"/>
        <v/>
      </c>
      <c r="O581" s="183" t="str">
        <f t="shared" si="125"/>
        <v/>
      </c>
      <c r="P581" s="199" t="str">
        <f t="shared" si="126"/>
        <v/>
      </c>
      <c r="Q581" s="199" t="str">
        <f>IF(B581="","",IFERROR(IF('עלויות כח אדם (6)'!J581&gt;=VLOOKUP(I581,'סיווג התפקידים והעלויות'!$B$23:$C$32,2,0),"תקין","לא תקין"),""))</f>
        <v/>
      </c>
      <c r="R581" s="199" t="str">
        <f t="shared" si="127"/>
        <v/>
      </c>
      <c r="S581" s="199" t="str">
        <f t="shared" si="128"/>
        <v/>
      </c>
      <c r="T581" s="199" t="str">
        <f t="shared" si="136"/>
        <v/>
      </c>
      <c r="U581" s="199" t="str">
        <f t="shared" si="129"/>
        <v/>
      </c>
      <c r="V581" s="989"/>
      <c r="X581" s="374" t="str">
        <f t="shared" si="130"/>
        <v/>
      </c>
      <c r="Y581" s="375" t="str">
        <f t="shared" si="131"/>
        <v/>
      </c>
      <c r="Z581" s="374" t="str">
        <f t="shared" si="132"/>
        <v/>
      </c>
      <c r="AA581" s="374" t="b">
        <f t="shared" si="133"/>
        <v>1</v>
      </c>
      <c r="AB581" s="374">
        <f>COUNTIFS(B:B,B581,H:H,'סיווג התפקידים והעלויות'!$C$2)</f>
        <v>0</v>
      </c>
      <c r="AC581" s="374">
        <f>COUNTIFS(B:B,B581,H:H,'סיווג התפקידים והעלויות'!$D$2)</f>
        <v>0</v>
      </c>
      <c r="AD581" s="374" t="str">
        <f>IF(OR(AND(H581='סיווג התפקידים והעלויות'!$A$2,I581='סיווג התפקידים והעלויות'!$A$3),'עלויות כח אדם (6)'!H581='סיווג התפקידים והעלויות'!$C$2,'עלויות כח אדם (6)'!H581='סיווג התפקידים והעלויות'!$D$2),IF('עלויות כח אדם (6)'!J581&lt;75,"לא תקין","תקין"),"")</f>
        <v/>
      </c>
      <c r="AE581" s="374" t="str">
        <f t="shared" si="134"/>
        <v/>
      </c>
      <c r="AF581" s="532" t="str">
        <f t="shared" si="135"/>
        <v/>
      </c>
    </row>
    <row r="582" spans="2:32" x14ac:dyDescent="0.25">
      <c r="B582" s="695"/>
      <c r="C582" s="197" t="str">
        <f>IF(B582&lt;&gt;"",IFERROR(VLOOKUP(B:B,'מצבת והרשמה (2)'!$C$20:$N$520,2,0)," ")," ")</f>
        <v xml:space="preserve"> </v>
      </c>
      <c r="D582" s="695"/>
      <c r="E582" s="696"/>
      <c r="F582" s="696"/>
      <c r="G582" s="696"/>
      <c r="H582" s="696"/>
      <c r="I582" s="1050" t="str">
        <f t="shared" si="122"/>
        <v/>
      </c>
      <c r="J582" s="696"/>
      <c r="K582" s="697"/>
      <c r="L582" s="696"/>
      <c r="M582" s="198" t="str">
        <f t="shared" si="123"/>
        <v/>
      </c>
      <c r="N582" s="369" t="str">
        <f t="shared" si="124"/>
        <v/>
      </c>
      <c r="O582" s="183" t="str">
        <f t="shared" si="125"/>
        <v/>
      </c>
      <c r="P582" s="199" t="str">
        <f t="shared" si="126"/>
        <v/>
      </c>
      <c r="Q582" s="199" t="str">
        <f>IF(B582="","",IFERROR(IF('עלויות כח אדם (6)'!J582&gt;=VLOOKUP(I582,'סיווג התפקידים והעלויות'!$B$23:$C$32,2,0),"תקין","לא תקין"),""))</f>
        <v/>
      </c>
      <c r="R582" s="199" t="str">
        <f t="shared" si="127"/>
        <v/>
      </c>
      <c r="S582" s="199" t="str">
        <f t="shared" si="128"/>
        <v/>
      </c>
      <c r="T582" s="199" t="str">
        <f t="shared" si="136"/>
        <v/>
      </c>
      <c r="U582" s="199" t="str">
        <f t="shared" si="129"/>
        <v/>
      </c>
      <c r="V582" s="989"/>
      <c r="X582" s="374" t="str">
        <f t="shared" si="130"/>
        <v/>
      </c>
      <c r="Y582" s="375" t="str">
        <f t="shared" si="131"/>
        <v/>
      </c>
      <c r="Z582" s="374" t="str">
        <f t="shared" si="132"/>
        <v/>
      </c>
      <c r="AA582" s="374" t="b">
        <f t="shared" si="133"/>
        <v>1</v>
      </c>
      <c r="AB582" s="374">
        <f>COUNTIFS(B:B,B582,H:H,'סיווג התפקידים והעלויות'!$C$2)</f>
        <v>0</v>
      </c>
      <c r="AC582" s="374">
        <f>COUNTIFS(B:B,B582,H:H,'סיווג התפקידים והעלויות'!$D$2)</f>
        <v>0</v>
      </c>
      <c r="AD582" s="374" t="str">
        <f>IF(OR(AND(H582='סיווג התפקידים והעלויות'!$A$2,I582='סיווג התפקידים והעלויות'!$A$3),'עלויות כח אדם (6)'!H582='סיווג התפקידים והעלויות'!$C$2,'עלויות כח אדם (6)'!H582='סיווג התפקידים והעלויות'!$D$2),IF('עלויות כח אדם (6)'!J582&lt;75,"לא תקין","תקין"),"")</f>
        <v/>
      </c>
      <c r="AE582" s="374" t="str">
        <f t="shared" si="134"/>
        <v/>
      </c>
      <c r="AF582" s="532" t="str">
        <f t="shared" si="135"/>
        <v/>
      </c>
    </row>
    <row r="583" spans="2:32" x14ac:dyDescent="0.25">
      <c r="B583" s="695"/>
      <c r="C583" s="197" t="str">
        <f>IF(B583&lt;&gt;"",IFERROR(VLOOKUP(B:B,'מצבת והרשמה (2)'!$C$20:$N$520,2,0)," ")," ")</f>
        <v xml:space="preserve"> </v>
      </c>
      <c r="D583" s="695"/>
      <c r="E583" s="696"/>
      <c r="F583" s="696"/>
      <c r="G583" s="696"/>
      <c r="H583" s="696"/>
      <c r="I583" s="1050" t="str">
        <f t="shared" si="122"/>
        <v/>
      </c>
      <c r="J583" s="696"/>
      <c r="K583" s="697"/>
      <c r="L583" s="696"/>
      <c r="M583" s="198" t="str">
        <f t="shared" si="123"/>
        <v/>
      </c>
      <c r="N583" s="369" t="str">
        <f t="shared" si="124"/>
        <v/>
      </c>
      <c r="O583" s="183" t="str">
        <f t="shared" si="125"/>
        <v/>
      </c>
      <c r="P583" s="199" t="str">
        <f t="shared" si="126"/>
        <v/>
      </c>
      <c r="Q583" s="199" t="str">
        <f>IF(B583="","",IFERROR(IF('עלויות כח אדם (6)'!J583&gt;=VLOOKUP(I583,'סיווג התפקידים והעלויות'!$B$23:$C$32,2,0),"תקין","לא תקין"),""))</f>
        <v/>
      </c>
      <c r="R583" s="199" t="str">
        <f t="shared" si="127"/>
        <v/>
      </c>
      <c r="S583" s="199" t="str">
        <f t="shared" si="128"/>
        <v/>
      </c>
      <c r="T583" s="199" t="str">
        <f t="shared" si="136"/>
        <v/>
      </c>
      <c r="U583" s="199" t="str">
        <f t="shared" si="129"/>
        <v/>
      </c>
      <c r="V583" s="989"/>
      <c r="X583" s="374" t="str">
        <f t="shared" si="130"/>
        <v/>
      </c>
      <c r="Y583" s="375" t="str">
        <f t="shared" si="131"/>
        <v/>
      </c>
      <c r="Z583" s="374" t="str">
        <f t="shared" si="132"/>
        <v/>
      </c>
      <c r="AA583" s="374" t="b">
        <f t="shared" si="133"/>
        <v>1</v>
      </c>
      <c r="AB583" s="374">
        <f>COUNTIFS(B:B,B583,H:H,'סיווג התפקידים והעלויות'!$C$2)</f>
        <v>0</v>
      </c>
      <c r="AC583" s="374">
        <f>COUNTIFS(B:B,B583,H:H,'סיווג התפקידים והעלויות'!$D$2)</f>
        <v>0</v>
      </c>
      <c r="AD583" s="374" t="str">
        <f>IF(OR(AND(H583='סיווג התפקידים והעלויות'!$A$2,I583='סיווג התפקידים והעלויות'!$A$3),'עלויות כח אדם (6)'!H583='סיווג התפקידים והעלויות'!$C$2,'עלויות כח אדם (6)'!H583='סיווג התפקידים והעלויות'!$D$2),IF('עלויות כח אדם (6)'!J583&lt;75,"לא תקין","תקין"),"")</f>
        <v/>
      </c>
      <c r="AE583" s="374" t="str">
        <f t="shared" si="134"/>
        <v/>
      </c>
      <c r="AF583" s="532" t="str">
        <f t="shared" si="135"/>
        <v/>
      </c>
    </row>
    <row r="584" spans="2:32" x14ac:dyDescent="0.25">
      <c r="B584" s="695"/>
      <c r="C584" s="197" t="str">
        <f>IF(B584&lt;&gt;"",IFERROR(VLOOKUP(B:B,'מצבת והרשמה (2)'!$C$20:$N$520,2,0)," ")," ")</f>
        <v xml:space="preserve"> </v>
      </c>
      <c r="D584" s="695"/>
      <c r="E584" s="696"/>
      <c r="F584" s="696"/>
      <c r="G584" s="696"/>
      <c r="H584" s="696"/>
      <c r="I584" s="1050" t="str">
        <f t="shared" si="122"/>
        <v/>
      </c>
      <c r="J584" s="696"/>
      <c r="K584" s="697"/>
      <c r="L584" s="696"/>
      <c r="M584" s="198" t="str">
        <f t="shared" si="123"/>
        <v/>
      </c>
      <c r="N584" s="369" t="str">
        <f t="shared" si="124"/>
        <v/>
      </c>
      <c r="O584" s="183" t="str">
        <f t="shared" si="125"/>
        <v/>
      </c>
      <c r="P584" s="199" t="str">
        <f t="shared" si="126"/>
        <v/>
      </c>
      <c r="Q584" s="199" t="str">
        <f>IF(B584="","",IFERROR(IF('עלויות כח אדם (6)'!J584&gt;=VLOOKUP(I584,'סיווג התפקידים והעלויות'!$B$23:$C$32,2,0),"תקין","לא תקין"),""))</f>
        <v/>
      </c>
      <c r="R584" s="199" t="str">
        <f t="shared" si="127"/>
        <v/>
      </c>
      <c r="S584" s="199" t="str">
        <f t="shared" si="128"/>
        <v/>
      </c>
      <c r="T584" s="199" t="str">
        <f t="shared" si="136"/>
        <v/>
      </c>
      <c r="U584" s="199" t="str">
        <f t="shared" si="129"/>
        <v/>
      </c>
      <c r="V584" s="989"/>
      <c r="X584" s="374" t="str">
        <f t="shared" si="130"/>
        <v/>
      </c>
      <c r="Y584" s="375" t="str">
        <f t="shared" si="131"/>
        <v/>
      </c>
      <c r="Z584" s="374" t="str">
        <f t="shared" si="132"/>
        <v/>
      </c>
      <c r="AA584" s="374" t="b">
        <f t="shared" si="133"/>
        <v>1</v>
      </c>
      <c r="AB584" s="374">
        <f>COUNTIFS(B:B,B584,H:H,'סיווג התפקידים והעלויות'!$C$2)</f>
        <v>0</v>
      </c>
      <c r="AC584" s="374">
        <f>COUNTIFS(B:B,B584,H:H,'סיווג התפקידים והעלויות'!$D$2)</f>
        <v>0</v>
      </c>
      <c r="AD584" s="374" t="str">
        <f>IF(OR(AND(H584='סיווג התפקידים והעלויות'!$A$2,I584='סיווג התפקידים והעלויות'!$A$3),'עלויות כח אדם (6)'!H584='סיווג התפקידים והעלויות'!$C$2,'עלויות כח אדם (6)'!H584='סיווג התפקידים והעלויות'!$D$2),IF('עלויות כח אדם (6)'!J584&lt;75,"לא תקין","תקין"),"")</f>
        <v/>
      </c>
      <c r="AE584" s="374" t="str">
        <f t="shared" si="134"/>
        <v/>
      </c>
      <c r="AF584" s="532" t="str">
        <f t="shared" si="135"/>
        <v/>
      </c>
    </row>
    <row r="585" spans="2:32" x14ac:dyDescent="0.25">
      <c r="B585" s="695"/>
      <c r="C585" s="197" t="str">
        <f>IF(B585&lt;&gt;"",IFERROR(VLOOKUP(B:B,'מצבת והרשמה (2)'!$C$20:$N$520,2,0)," ")," ")</f>
        <v xml:space="preserve"> </v>
      </c>
      <c r="D585" s="695"/>
      <c r="E585" s="696"/>
      <c r="F585" s="696"/>
      <c r="G585" s="696"/>
      <c r="H585" s="696"/>
      <c r="I585" s="1050" t="str">
        <f t="shared" si="122"/>
        <v/>
      </c>
      <c r="J585" s="696"/>
      <c r="K585" s="697"/>
      <c r="L585" s="696"/>
      <c r="M585" s="198" t="str">
        <f t="shared" si="123"/>
        <v/>
      </c>
      <c r="N585" s="369" t="str">
        <f t="shared" si="124"/>
        <v/>
      </c>
      <c r="O585" s="183" t="str">
        <f t="shared" si="125"/>
        <v/>
      </c>
      <c r="P585" s="199" t="str">
        <f t="shared" si="126"/>
        <v/>
      </c>
      <c r="Q585" s="199" t="str">
        <f>IF(B585="","",IFERROR(IF('עלויות כח אדם (6)'!J585&gt;=VLOOKUP(I585,'סיווג התפקידים והעלויות'!$B$23:$C$32,2,0),"תקין","לא תקין"),""))</f>
        <v/>
      </c>
      <c r="R585" s="199" t="str">
        <f t="shared" si="127"/>
        <v/>
      </c>
      <c r="S585" s="199" t="str">
        <f t="shared" si="128"/>
        <v/>
      </c>
      <c r="T585" s="199" t="str">
        <f t="shared" si="136"/>
        <v/>
      </c>
      <c r="U585" s="199" t="str">
        <f t="shared" si="129"/>
        <v/>
      </c>
      <c r="V585" s="989"/>
      <c r="X585" s="374" t="str">
        <f t="shared" si="130"/>
        <v/>
      </c>
      <c r="Y585" s="375" t="str">
        <f t="shared" si="131"/>
        <v/>
      </c>
      <c r="Z585" s="374" t="str">
        <f t="shared" si="132"/>
        <v/>
      </c>
      <c r="AA585" s="374" t="b">
        <f t="shared" si="133"/>
        <v>1</v>
      </c>
      <c r="AB585" s="374">
        <f>COUNTIFS(B:B,B585,H:H,'סיווג התפקידים והעלויות'!$C$2)</f>
        <v>0</v>
      </c>
      <c r="AC585" s="374">
        <f>COUNTIFS(B:B,B585,H:H,'סיווג התפקידים והעלויות'!$D$2)</f>
        <v>0</v>
      </c>
      <c r="AD585" s="374" t="str">
        <f>IF(OR(AND(H585='סיווג התפקידים והעלויות'!$A$2,I585='סיווג התפקידים והעלויות'!$A$3),'עלויות כח אדם (6)'!H585='סיווג התפקידים והעלויות'!$C$2,'עלויות כח אדם (6)'!H585='סיווג התפקידים והעלויות'!$D$2),IF('עלויות כח אדם (6)'!J585&lt;75,"לא תקין","תקין"),"")</f>
        <v/>
      </c>
      <c r="AE585" s="374" t="str">
        <f t="shared" si="134"/>
        <v/>
      </c>
      <c r="AF585" s="532" t="str">
        <f t="shared" si="135"/>
        <v/>
      </c>
    </row>
    <row r="586" spans="2:32" x14ac:dyDescent="0.25">
      <c r="B586" s="695"/>
      <c r="C586" s="197" t="str">
        <f>IF(B586&lt;&gt;"",IFERROR(VLOOKUP(B:B,'מצבת והרשמה (2)'!$C$20:$N$520,2,0)," ")," ")</f>
        <v xml:space="preserve"> </v>
      </c>
      <c r="D586" s="695"/>
      <c r="E586" s="696"/>
      <c r="F586" s="696"/>
      <c r="G586" s="696"/>
      <c r="H586" s="696"/>
      <c r="I586" s="1050" t="str">
        <f t="shared" si="122"/>
        <v/>
      </c>
      <c r="J586" s="696"/>
      <c r="K586" s="697"/>
      <c r="L586" s="696"/>
      <c r="M586" s="198" t="str">
        <f t="shared" si="123"/>
        <v/>
      </c>
      <c r="N586" s="369" t="str">
        <f t="shared" si="124"/>
        <v/>
      </c>
      <c r="O586" s="183" t="str">
        <f t="shared" si="125"/>
        <v/>
      </c>
      <c r="P586" s="199" t="str">
        <f t="shared" si="126"/>
        <v/>
      </c>
      <c r="Q586" s="199" t="str">
        <f>IF(B586="","",IFERROR(IF('עלויות כח אדם (6)'!J586&gt;=VLOOKUP(I586,'סיווג התפקידים והעלויות'!$B$23:$C$32,2,0),"תקין","לא תקין"),""))</f>
        <v/>
      </c>
      <c r="R586" s="199" t="str">
        <f t="shared" si="127"/>
        <v/>
      </c>
      <c r="S586" s="199" t="str">
        <f t="shared" si="128"/>
        <v/>
      </c>
      <c r="T586" s="199" t="str">
        <f t="shared" si="136"/>
        <v/>
      </c>
      <c r="U586" s="199" t="str">
        <f t="shared" si="129"/>
        <v/>
      </c>
      <c r="V586" s="989"/>
      <c r="X586" s="374" t="str">
        <f t="shared" si="130"/>
        <v/>
      </c>
      <c r="Y586" s="375" t="str">
        <f t="shared" si="131"/>
        <v/>
      </c>
      <c r="Z586" s="374" t="str">
        <f t="shared" si="132"/>
        <v/>
      </c>
      <c r="AA586" s="374" t="b">
        <f t="shared" si="133"/>
        <v>1</v>
      </c>
      <c r="AB586" s="374">
        <f>COUNTIFS(B:B,B586,H:H,'סיווג התפקידים והעלויות'!$C$2)</f>
        <v>0</v>
      </c>
      <c r="AC586" s="374">
        <f>COUNTIFS(B:B,B586,H:H,'סיווג התפקידים והעלויות'!$D$2)</f>
        <v>0</v>
      </c>
      <c r="AD586" s="374" t="str">
        <f>IF(OR(AND(H586='סיווג התפקידים והעלויות'!$A$2,I586='סיווג התפקידים והעלויות'!$A$3),'עלויות כח אדם (6)'!H586='סיווג התפקידים והעלויות'!$C$2,'עלויות כח אדם (6)'!H586='סיווג התפקידים והעלויות'!$D$2),IF('עלויות כח אדם (6)'!J586&lt;75,"לא תקין","תקין"),"")</f>
        <v/>
      </c>
      <c r="AE586" s="374" t="str">
        <f t="shared" si="134"/>
        <v/>
      </c>
      <c r="AF586" s="532" t="str">
        <f t="shared" si="135"/>
        <v/>
      </c>
    </row>
    <row r="587" spans="2:32" x14ac:dyDescent="0.25">
      <c r="B587" s="695"/>
      <c r="C587" s="197" t="str">
        <f>IF(B587&lt;&gt;"",IFERROR(VLOOKUP(B:B,'מצבת והרשמה (2)'!$C$20:$N$520,2,0)," ")," ")</f>
        <v xml:space="preserve"> </v>
      </c>
      <c r="D587" s="695"/>
      <c r="E587" s="696"/>
      <c r="F587" s="696"/>
      <c r="G587" s="696"/>
      <c r="H587" s="696"/>
      <c r="I587" s="1050" t="str">
        <f t="shared" si="122"/>
        <v/>
      </c>
      <c r="J587" s="696"/>
      <c r="K587" s="697"/>
      <c r="L587" s="696"/>
      <c r="M587" s="198" t="str">
        <f t="shared" si="123"/>
        <v/>
      </c>
      <c r="N587" s="369" t="str">
        <f t="shared" si="124"/>
        <v/>
      </c>
      <c r="O587" s="183" t="str">
        <f t="shared" si="125"/>
        <v/>
      </c>
      <c r="P587" s="199" t="str">
        <f t="shared" si="126"/>
        <v/>
      </c>
      <c r="Q587" s="199" t="str">
        <f>IF(B587="","",IFERROR(IF('עלויות כח אדם (6)'!J587&gt;=VLOOKUP(I587,'סיווג התפקידים והעלויות'!$B$23:$C$32,2,0),"תקין","לא תקין"),""))</f>
        <v/>
      </c>
      <c r="R587" s="199" t="str">
        <f t="shared" si="127"/>
        <v/>
      </c>
      <c r="S587" s="199" t="str">
        <f t="shared" si="128"/>
        <v/>
      </c>
      <c r="T587" s="199" t="str">
        <f t="shared" si="136"/>
        <v/>
      </c>
      <c r="U587" s="199" t="str">
        <f t="shared" si="129"/>
        <v/>
      </c>
      <c r="V587" s="989"/>
      <c r="X587" s="374" t="str">
        <f t="shared" si="130"/>
        <v/>
      </c>
      <c r="Y587" s="375" t="str">
        <f t="shared" si="131"/>
        <v/>
      </c>
      <c r="Z587" s="374" t="str">
        <f t="shared" si="132"/>
        <v/>
      </c>
      <c r="AA587" s="374" t="b">
        <f t="shared" si="133"/>
        <v>1</v>
      </c>
      <c r="AB587" s="374">
        <f>COUNTIFS(B:B,B587,H:H,'סיווג התפקידים והעלויות'!$C$2)</f>
        <v>0</v>
      </c>
      <c r="AC587" s="374">
        <f>COUNTIFS(B:B,B587,H:H,'סיווג התפקידים והעלויות'!$D$2)</f>
        <v>0</v>
      </c>
      <c r="AD587" s="374" t="str">
        <f>IF(OR(AND(H587='סיווג התפקידים והעלויות'!$A$2,I587='סיווג התפקידים והעלויות'!$A$3),'עלויות כח אדם (6)'!H587='סיווג התפקידים והעלויות'!$C$2,'עלויות כח אדם (6)'!H587='סיווג התפקידים והעלויות'!$D$2),IF('עלויות כח אדם (6)'!J587&lt;75,"לא תקין","תקין"),"")</f>
        <v/>
      </c>
      <c r="AE587" s="374" t="str">
        <f t="shared" si="134"/>
        <v/>
      </c>
      <c r="AF587" s="532" t="str">
        <f t="shared" si="135"/>
        <v/>
      </c>
    </row>
    <row r="588" spans="2:32" x14ac:dyDescent="0.25">
      <c r="B588" s="695"/>
      <c r="C588" s="197" t="str">
        <f>IF(B588&lt;&gt;"",IFERROR(VLOOKUP(B:B,'מצבת והרשמה (2)'!$C$20:$N$520,2,0)," ")," ")</f>
        <v xml:space="preserve"> </v>
      </c>
      <c r="D588" s="695"/>
      <c r="E588" s="696"/>
      <c r="F588" s="696"/>
      <c r="G588" s="696"/>
      <c r="H588" s="696"/>
      <c r="I588" s="1050" t="str">
        <f t="shared" si="122"/>
        <v/>
      </c>
      <c r="J588" s="696"/>
      <c r="K588" s="697"/>
      <c r="L588" s="696"/>
      <c r="M588" s="198" t="str">
        <f t="shared" si="123"/>
        <v/>
      </c>
      <c r="N588" s="369" t="str">
        <f t="shared" si="124"/>
        <v/>
      </c>
      <c r="O588" s="183" t="str">
        <f t="shared" si="125"/>
        <v/>
      </c>
      <c r="P588" s="199" t="str">
        <f t="shared" si="126"/>
        <v/>
      </c>
      <c r="Q588" s="199" t="str">
        <f>IF(B588="","",IFERROR(IF('עלויות כח אדם (6)'!J588&gt;=VLOOKUP(I588,'סיווג התפקידים והעלויות'!$B$23:$C$32,2,0),"תקין","לא תקין"),""))</f>
        <v/>
      </c>
      <c r="R588" s="199" t="str">
        <f t="shared" si="127"/>
        <v/>
      </c>
      <c r="S588" s="199" t="str">
        <f t="shared" si="128"/>
        <v/>
      </c>
      <c r="T588" s="199" t="str">
        <f t="shared" si="136"/>
        <v/>
      </c>
      <c r="U588" s="199" t="str">
        <f t="shared" si="129"/>
        <v/>
      </c>
      <c r="V588" s="989"/>
      <c r="X588" s="374" t="str">
        <f t="shared" si="130"/>
        <v/>
      </c>
      <c r="Y588" s="375" t="str">
        <f t="shared" si="131"/>
        <v/>
      </c>
      <c r="Z588" s="374" t="str">
        <f t="shared" si="132"/>
        <v/>
      </c>
      <c r="AA588" s="374" t="b">
        <f t="shared" si="133"/>
        <v>1</v>
      </c>
      <c r="AB588" s="374">
        <f>COUNTIFS(B:B,B588,H:H,'סיווג התפקידים והעלויות'!$C$2)</f>
        <v>0</v>
      </c>
      <c r="AC588" s="374">
        <f>COUNTIFS(B:B,B588,H:H,'סיווג התפקידים והעלויות'!$D$2)</f>
        <v>0</v>
      </c>
      <c r="AD588" s="374" t="str">
        <f>IF(OR(AND(H588='סיווג התפקידים והעלויות'!$A$2,I588='סיווג התפקידים והעלויות'!$A$3),'עלויות כח אדם (6)'!H588='סיווג התפקידים והעלויות'!$C$2,'עלויות כח אדם (6)'!H588='סיווג התפקידים והעלויות'!$D$2),IF('עלויות כח אדם (6)'!J588&lt;75,"לא תקין","תקין"),"")</f>
        <v/>
      </c>
      <c r="AE588" s="374" t="str">
        <f t="shared" si="134"/>
        <v/>
      </c>
      <c r="AF588" s="532" t="str">
        <f t="shared" si="135"/>
        <v/>
      </c>
    </row>
    <row r="589" spans="2:32" x14ac:dyDescent="0.25">
      <c r="B589" s="695"/>
      <c r="C589" s="197" t="str">
        <f>IF(B589&lt;&gt;"",IFERROR(VLOOKUP(B:B,'מצבת והרשמה (2)'!$C$20:$N$520,2,0)," ")," ")</f>
        <v xml:space="preserve"> </v>
      </c>
      <c r="D589" s="695"/>
      <c r="E589" s="696"/>
      <c r="F589" s="696"/>
      <c r="G589" s="696"/>
      <c r="H589" s="696"/>
      <c r="I589" s="1050" t="str">
        <f t="shared" si="122"/>
        <v/>
      </c>
      <c r="J589" s="696"/>
      <c r="K589" s="697"/>
      <c r="L589" s="696"/>
      <c r="M589" s="198" t="str">
        <f t="shared" si="123"/>
        <v/>
      </c>
      <c r="N589" s="369" t="str">
        <f t="shared" si="124"/>
        <v/>
      </c>
      <c r="O589" s="183" t="str">
        <f t="shared" si="125"/>
        <v/>
      </c>
      <c r="P589" s="199" t="str">
        <f t="shared" si="126"/>
        <v/>
      </c>
      <c r="Q589" s="199" t="str">
        <f>IF(B589="","",IFERROR(IF('עלויות כח אדם (6)'!J589&gt;=VLOOKUP(I589,'סיווג התפקידים והעלויות'!$B$23:$C$32,2,0),"תקין","לא תקין"),""))</f>
        <v/>
      </c>
      <c r="R589" s="199" t="str">
        <f t="shared" si="127"/>
        <v/>
      </c>
      <c r="S589" s="199" t="str">
        <f t="shared" si="128"/>
        <v/>
      </c>
      <c r="T589" s="199" t="str">
        <f t="shared" si="136"/>
        <v/>
      </c>
      <c r="U589" s="199" t="str">
        <f t="shared" si="129"/>
        <v/>
      </c>
      <c r="V589" s="989"/>
      <c r="X589" s="374" t="str">
        <f t="shared" si="130"/>
        <v/>
      </c>
      <c r="Y589" s="375" t="str">
        <f t="shared" si="131"/>
        <v/>
      </c>
      <c r="Z589" s="374" t="str">
        <f t="shared" si="132"/>
        <v/>
      </c>
      <c r="AA589" s="374" t="b">
        <f t="shared" si="133"/>
        <v>1</v>
      </c>
      <c r="AB589" s="374">
        <f>COUNTIFS(B:B,B589,H:H,'סיווג התפקידים והעלויות'!$C$2)</f>
        <v>0</v>
      </c>
      <c r="AC589" s="374">
        <f>COUNTIFS(B:B,B589,H:H,'סיווג התפקידים והעלויות'!$D$2)</f>
        <v>0</v>
      </c>
      <c r="AD589" s="374" t="str">
        <f>IF(OR(AND(H589='סיווג התפקידים והעלויות'!$A$2,I589='סיווג התפקידים והעלויות'!$A$3),'עלויות כח אדם (6)'!H589='סיווג התפקידים והעלויות'!$C$2,'עלויות כח אדם (6)'!H589='סיווג התפקידים והעלויות'!$D$2),IF('עלויות כח אדם (6)'!J589&lt;75,"לא תקין","תקין"),"")</f>
        <v/>
      </c>
      <c r="AE589" s="374" t="str">
        <f t="shared" si="134"/>
        <v/>
      </c>
      <c r="AF589" s="532" t="str">
        <f t="shared" si="135"/>
        <v/>
      </c>
    </row>
    <row r="590" spans="2:32" x14ac:dyDescent="0.25">
      <c r="B590" s="695"/>
      <c r="C590" s="197" t="str">
        <f>IF(B590&lt;&gt;"",IFERROR(VLOOKUP(B:B,'מצבת והרשמה (2)'!$C$20:$N$520,2,0)," ")," ")</f>
        <v xml:space="preserve"> </v>
      </c>
      <c r="D590" s="695"/>
      <c r="E590" s="696"/>
      <c r="F590" s="696"/>
      <c r="G590" s="696"/>
      <c r="H590" s="696"/>
      <c r="I590" s="1050" t="str">
        <f t="shared" si="122"/>
        <v/>
      </c>
      <c r="J590" s="696"/>
      <c r="K590" s="697"/>
      <c r="L590" s="696"/>
      <c r="M590" s="198" t="str">
        <f t="shared" si="123"/>
        <v/>
      </c>
      <c r="N590" s="369" t="str">
        <f t="shared" si="124"/>
        <v/>
      </c>
      <c r="O590" s="183" t="str">
        <f t="shared" si="125"/>
        <v/>
      </c>
      <c r="P590" s="199" t="str">
        <f t="shared" si="126"/>
        <v/>
      </c>
      <c r="Q590" s="199" t="str">
        <f>IF(B590="","",IFERROR(IF('עלויות כח אדם (6)'!J590&gt;=VLOOKUP(I590,'סיווג התפקידים והעלויות'!$B$23:$C$32,2,0),"תקין","לא תקין"),""))</f>
        <v/>
      </c>
      <c r="R590" s="199" t="str">
        <f t="shared" si="127"/>
        <v/>
      </c>
      <c r="S590" s="199" t="str">
        <f t="shared" si="128"/>
        <v/>
      </c>
      <c r="T590" s="199" t="str">
        <f t="shared" si="136"/>
        <v/>
      </c>
      <c r="U590" s="199" t="str">
        <f t="shared" si="129"/>
        <v/>
      </c>
      <c r="V590" s="989"/>
      <c r="X590" s="374" t="str">
        <f t="shared" si="130"/>
        <v/>
      </c>
      <c r="Y590" s="375" t="str">
        <f t="shared" si="131"/>
        <v/>
      </c>
      <c r="Z590" s="374" t="str">
        <f t="shared" si="132"/>
        <v/>
      </c>
      <c r="AA590" s="374" t="b">
        <f t="shared" si="133"/>
        <v>1</v>
      </c>
      <c r="AB590" s="374">
        <f>COUNTIFS(B:B,B590,H:H,'סיווג התפקידים והעלויות'!$C$2)</f>
        <v>0</v>
      </c>
      <c r="AC590" s="374">
        <f>COUNTIFS(B:B,B590,H:H,'סיווג התפקידים והעלויות'!$D$2)</f>
        <v>0</v>
      </c>
      <c r="AD590" s="374" t="str">
        <f>IF(OR(AND(H590='סיווג התפקידים והעלויות'!$A$2,I590='סיווג התפקידים והעלויות'!$A$3),'עלויות כח אדם (6)'!H590='סיווג התפקידים והעלויות'!$C$2,'עלויות כח אדם (6)'!H590='סיווג התפקידים והעלויות'!$D$2),IF('עלויות כח אדם (6)'!J590&lt;75,"לא תקין","תקין"),"")</f>
        <v/>
      </c>
      <c r="AE590" s="374" t="str">
        <f t="shared" si="134"/>
        <v/>
      </c>
      <c r="AF590" s="532" t="str">
        <f t="shared" si="135"/>
        <v/>
      </c>
    </row>
    <row r="591" spans="2:32" x14ac:dyDescent="0.25">
      <c r="B591" s="695"/>
      <c r="C591" s="197" t="str">
        <f>IF(B591&lt;&gt;"",IFERROR(VLOOKUP(B:B,'מצבת והרשמה (2)'!$C$20:$N$520,2,0)," ")," ")</f>
        <v xml:space="preserve"> </v>
      </c>
      <c r="D591" s="695"/>
      <c r="E591" s="696"/>
      <c r="F591" s="696"/>
      <c r="G591" s="696"/>
      <c r="H591" s="696"/>
      <c r="I591" s="1050" t="str">
        <f t="shared" ref="I591:I654" si="137">SUBSTITUTE(IFERROR(IF(H591="מדצ","מדצ/ית",IF(H591="סגנית רכזת מעל 150","סגנ/ית רכז/ת&gt;150",IF(H591="רכזת תכנית בבית הספר","רכז/ת תכנית בבית הספר"))),""),"FALSE","")</f>
        <v/>
      </c>
      <c r="J591" s="696"/>
      <c r="K591" s="697"/>
      <c r="L591" s="696"/>
      <c r="M591" s="198" t="str">
        <f t="shared" ref="M591:M654" si="138">IF(AND(L591&gt;0,K591&gt;0),K591*L591,"")</f>
        <v/>
      </c>
      <c r="N591" s="369" t="str">
        <f t="shared" ref="N591:N654" si="139">TEXT(LEFT(H591,2),0)</f>
        <v/>
      </c>
      <c r="O591" s="183" t="str">
        <f t="shared" ref="O591:O654" si="140">IF(ISNUMBER(M591&gt;0),IF(ISBLANK(B591),"יש להזין סמל מוסד בעמודה B",""),"")</f>
        <v/>
      </c>
      <c r="P591" s="199" t="str">
        <f t="shared" ref="P591:P654" si="141">IF(B591="","",IF(AA591=FALSE,"לא תקין","תקין"))</f>
        <v/>
      </c>
      <c r="Q591" s="199" t="str">
        <f>IF(B591="","",IFERROR(IF('עלויות כח אדם (6)'!J591&gt;=VLOOKUP(I591,'סיווג התפקידים והעלויות'!$B$23:$C$32,2,0),"תקין","לא תקין"),""))</f>
        <v/>
      </c>
      <c r="R591" s="199" t="str">
        <f t="shared" ref="R591:R654" si="142">IF(B591="","",IF(OR(Y591&lt;100%,Y591&gt;140%),"לא תקין","תקין"))</f>
        <v/>
      </c>
      <c r="S591" s="199" t="str">
        <f t="shared" ref="S591:S654" si="143">IF(B591="","",IFERROR(IF(J591&gt;120,"לא תקין","תקין"),""))</f>
        <v/>
      </c>
      <c r="T591" s="199" t="str">
        <f t="shared" si="136"/>
        <v/>
      </c>
      <c r="U591" s="199" t="str">
        <f t="shared" ref="U591:U654" si="144">IF(B591="","",IF(Z591&gt;1,IF(SUMIF(D:D,D591,L:L)&gt;90,"לא תקין","תקין"),"תקין"))</f>
        <v/>
      </c>
      <c r="V591" s="989"/>
      <c r="X591" s="374" t="str">
        <f t="shared" ref="X591:X654" si="145">IF(B591="","",IF(OR(R591="לא תקין",S591="לא תקין",T591="לא תקין",,U591="לא תקין"),"לא תקין","תקין"))</f>
        <v/>
      </c>
      <c r="Y591" s="375" t="str">
        <f t="shared" ref="Y591:Y654" si="146">IFERROR(IF(B591="","",K591/J591),"")</f>
        <v/>
      </c>
      <c r="Z591" s="374" t="str">
        <f t="shared" ref="Z591:Z654" si="147">IF(B591="","",COUNTIF(D:D,D591))</f>
        <v/>
      </c>
      <c r="AA591" s="374" t="b">
        <f t="shared" ref="AA591:AA654" si="148">MOD(MID(REPT(0,9-LEN(D591))&amp;D591,1,1)+MID("0246813579",MID(REPT(0,9-LEN(D591))&amp;D591,2,1)+1,1)+MID(REPT(0,9-LEN(D591))&amp;D591,3,1)+MID("0246813579",MID(REPT(0,9-LEN(D591))&amp;D591,4,1)+1,1)+MID(REPT(0,9-LEN(D591))&amp;D591,5,1)+MID("0246813579",MID(REPT(0,9-LEN(D591))&amp;D591,6,1)+1,1)+MID(REPT(0,9-LEN(D591))&amp;D591,7,1)+MID("0246813579",MID(REPT(0,9-LEN(D591))&amp;D591,8,1)+1,1)+MID(REPT(0,9-LEN(D591))&amp;D591,9,1),10)=0</f>
        <v>1</v>
      </c>
      <c r="AB591" s="374">
        <f>COUNTIFS(B:B,B591,H:H,'סיווג התפקידים והעלויות'!$C$2)</f>
        <v>0</v>
      </c>
      <c r="AC591" s="374">
        <f>COUNTIFS(B:B,B591,H:H,'סיווג התפקידים והעלויות'!$D$2)</f>
        <v>0</v>
      </c>
      <c r="AD591" s="374" t="str">
        <f>IF(OR(AND(H591='סיווג התפקידים והעלויות'!$A$2,I591='סיווג התפקידים והעלויות'!$A$3),'עלויות כח אדם (6)'!H591='סיווג התפקידים והעלויות'!$C$2,'עלויות כח אדם (6)'!H591='סיווג התפקידים והעלויות'!$D$2),IF('עלויות כח אדם (6)'!J591&lt;75,"לא תקין","תקין"),"")</f>
        <v/>
      </c>
      <c r="AE591" s="374" t="str">
        <f t="shared" ref="AE591:AE654" si="149">IF(B591&lt;&gt;"",B591&amp;H591,"")</f>
        <v/>
      </c>
      <c r="AF591" s="532" t="str">
        <f t="shared" ref="AF591:AF654" si="150">M591</f>
        <v/>
      </c>
    </row>
    <row r="592" spans="2:32" x14ac:dyDescent="0.25">
      <c r="B592" s="695"/>
      <c r="C592" s="197" t="str">
        <f>IF(B592&lt;&gt;"",IFERROR(VLOOKUP(B:B,'מצבת והרשמה (2)'!$C$20:$N$520,2,0)," ")," ")</f>
        <v xml:space="preserve"> </v>
      </c>
      <c r="D592" s="695"/>
      <c r="E592" s="696"/>
      <c r="F592" s="696"/>
      <c r="G592" s="696"/>
      <c r="H592" s="696"/>
      <c r="I592" s="1050" t="str">
        <f t="shared" si="137"/>
        <v/>
      </c>
      <c r="J592" s="696"/>
      <c r="K592" s="697"/>
      <c r="L592" s="696"/>
      <c r="M592" s="198" t="str">
        <f t="shared" si="138"/>
        <v/>
      </c>
      <c r="N592" s="369" t="str">
        <f t="shared" si="139"/>
        <v/>
      </c>
      <c r="O592" s="183" t="str">
        <f t="shared" si="140"/>
        <v/>
      </c>
      <c r="P592" s="199" t="str">
        <f t="shared" si="141"/>
        <v/>
      </c>
      <c r="Q592" s="199" t="str">
        <f>IF(B592="","",IFERROR(IF('עלויות כח אדם (6)'!J592&gt;=VLOOKUP(I592,'סיווג התפקידים והעלויות'!$B$23:$C$32,2,0),"תקין","לא תקין"),""))</f>
        <v/>
      </c>
      <c r="R592" s="199" t="str">
        <f t="shared" si="142"/>
        <v/>
      </c>
      <c r="S592" s="199" t="str">
        <f t="shared" si="143"/>
        <v/>
      </c>
      <c r="T592" s="199" t="str">
        <f t="shared" ref="T592:T655" si="151">IF(B592="","",IF(H592="","יש להזין איש צוות",IF(OR(H592="מורה",H592="גננת",H592="רכז גן",H592="רכזת גן",H592="סייעת",H592="מדצית",H592="מדצ",H592="מדריך",H592="מדריכה",H592="תוספת כח אדם"),IF(L592&lt;=90,"תקין","לא תקין"),IF(OR(H592="רכז בית ספר",H592="רכזת תכנית בבית הספר",H592="רכזת בית ספר"),IF(L592&lt;=137,"תקין","לא תקין"),IF(OR(H592="סגנית רכזת מעל 150",H592="סגן רכז"),IF(L592&lt;=93,"תקין","לא תקין"),"לא תקין")))))</f>
        <v/>
      </c>
      <c r="U592" s="199" t="str">
        <f t="shared" si="144"/>
        <v/>
      </c>
      <c r="V592" s="989"/>
      <c r="X592" s="374" t="str">
        <f t="shared" si="145"/>
        <v/>
      </c>
      <c r="Y592" s="375" t="str">
        <f t="shared" si="146"/>
        <v/>
      </c>
      <c r="Z592" s="374" t="str">
        <f t="shared" si="147"/>
        <v/>
      </c>
      <c r="AA592" s="374" t="b">
        <f t="shared" si="148"/>
        <v>1</v>
      </c>
      <c r="AB592" s="374">
        <f>COUNTIFS(B:B,B592,H:H,'סיווג התפקידים והעלויות'!$C$2)</f>
        <v>0</v>
      </c>
      <c r="AC592" s="374">
        <f>COUNTIFS(B:B,B592,H:H,'סיווג התפקידים והעלויות'!$D$2)</f>
        <v>0</v>
      </c>
      <c r="AD592" s="374" t="str">
        <f>IF(OR(AND(H592='סיווג התפקידים והעלויות'!$A$2,I592='סיווג התפקידים והעלויות'!$A$3),'עלויות כח אדם (6)'!H592='סיווג התפקידים והעלויות'!$C$2,'עלויות כח אדם (6)'!H592='סיווג התפקידים והעלויות'!$D$2),IF('עלויות כח אדם (6)'!J592&lt;75,"לא תקין","תקין"),"")</f>
        <v/>
      </c>
      <c r="AE592" s="374" t="str">
        <f t="shared" si="149"/>
        <v/>
      </c>
      <c r="AF592" s="532" t="str">
        <f t="shared" si="150"/>
        <v/>
      </c>
    </row>
    <row r="593" spans="2:32" x14ac:dyDescent="0.25">
      <c r="B593" s="695"/>
      <c r="C593" s="197" t="str">
        <f>IF(B593&lt;&gt;"",IFERROR(VLOOKUP(B:B,'מצבת והרשמה (2)'!$C$20:$N$520,2,0)," ")," ")</f>
        <v xml:space="preserve"> </v>
      </c>
      <c r="D593" s="695"/>
      <c r="E593" s="696"/>
      <c r="F593" s="696"/>
      <c r="G593" s="696"/>
      <c r="H593" s="696"/>
      <c r="I593" s="1050" t="str">
        <f t="shared" si="137"/>
        <v/>
      </c>
      <c r="J593" s="696"/>
      <c r="K593" s="697"/>
      <c r="L593" s="696"/>
      <c r="M593" s="198" t="str">
        <f t="shared" si="138"/>
        <v/>
      </c>
      <c r="N593" s="369" t="str">
        <f t="shared" si="139"/>
        <v/>
      </c>
      <c r="O593" s="183" t="str">
        <f t="shared" si="140"/>
        <v/>
      </c>
      <c r="P593" s="199" t="str">
        <f t="shared" si="141"/>
        <v/>
      </c>
      <c r="Q593" s="199" t="str">
        <f>IF(B593="","",IFERROR(IF('עלויות כח אדם (6)'!J593&gt;=VLOOKUP(I593,'סיווג התפקידים והעלויות'!$B$23:$C$32,2,0),"תקין","לא תקין"),""))</f>
        <v/>
      </c>
      <c r="R593" s="199" t="str">
        <f t="shared" si="142"/>
        <v/>
      </c>
      <c r="S593" s="199" t="str">
        <f t="shared" si="143"/>
        <v/>
      </c>
      <c r="T593" s="199" t="str">
        <f t="shared" si="151"/>
        <v/>
      </c>
      <c r="U593" s="199" t="str">
        <f t="shared" si="144"/>
        <v/>
      </c>
      <c r="V593" s="989"/>
      <c r="X593" s="374" t="str">
        <f t="shared" si="145"/>
        <v/>
      </c>
      <c r="Y593" s="375" t="str">
        <f t="shared" si="146"/>
        <v/>
      </c>
      <c r="Z593" s="374" t="str">
        <f t="shared" si="147"/>
        <v/>
      </c>
      <c r="AA593" s="374" t="b">
        <f t="shared" si="148"/>
        <v>1</v>
      </c>
      <c r="AB593" s="374">
        <f>COUNTIFS(B:B,B593,H:H,'סיווג התפקידים והעלויות'!$C$2)</f>
        <v>0</v>
      </c>
      <c r="AC593" s="374">
        <f>COUNTIFS(B:B,B593,H:H,'סיווג התפקידים והעלויות'!$D$2)</f>
        <v>0</v>
      </c>
      <c r="AD593" s="374" t="str">
        <f>IF(OR(AND(H593='סיווג התפקידים והעלויות'!$A$2,I593='סיווג התפקידים והעלויות'!$A$3),'עלויות כח אדם (6)'!H593='סיווג התפקידים והעלויות'!$C$2,'עלויות כח אדם (6)'!H593='סיווג התפקידים והעלויות'!$D$2),IF('עלויות כח אדם (6)'!J593&lt;75,"לא תקין","תקין"),"")</f>
        <v/>
      </c>
      <c r="AE593" s="374" t="str">
        <f t="shared" si="149"/>
        <v/>
      </c>
      <c r="AF593" s="532" t="str">
        <f t="shared" si="150"/>
        <v/>
      </c>
    </row>
    <row r="594" spans="2:32" x14ac:dyDescent="0.25">
      <c r="B594" s="695"/>
      <c r="C594" s="197" t="str">
        <f>IF(B594&lt;&gt;"",IFERROR(VLOOKUP(B:B,'מצבת והרשמה (2)'!$C$20:$N$520,2,0)," ")," ")</f>
        <v xml:space="preserve"> </v>
      </c>
      <c r="D594" s="695"/>
      <c r="E594" s="696"/>
      <c r="F594" s="696"/>
      <c r="G594" s="696"/>
      <c r="H594" s="696"/>
      <c r="I594" s="1050" t="str">
        <f t="shared" si="137"/>
        <v/>
      </c>
      <c r="J594" s="696"/>
      <c r="K594" s="697"/>
      <c r="L594" s="696"/>
      <c r="M594" s="198" t="str">
        <f t="shared" si="138"/>
        <v/>
      </c>
      <c r="N594" s="369" t="str">
        <f t="shared" si="139"/>
        <v/>
      </c>
      <c r="O594" s="183" t="str">
        <f t="shared" si="140"/>
        <v/>
      </c>
      <c r="P594" s="199" t="str">
        <f t="shared" si="141"/>
        <v/>
      </c>
      <c r="Q594" s="199" t="str">
        <f>IF(B594="","",IFERROR(IF('עלויות כח אדם (6)'!J594&gt;=VLOOKUP(I594,'סיווג התפקידים והעלויות'!$B$23:$C$32,2,0),"תקין","לא תקין"),""))</f>
        <v/>
      </c>
      <c r="R594" s="199" t="str">
        <f t="shared" si="142"/>
        <v/>
      </c>
      <c r="S594" s="199" t="str">
        <f t="shared" si="143"/>
        <v/>
      </c>
      <c r="T594" s="199" t="str">
        <f t="shared" si="151"/>
        <v/>
      </c>
      <c r="U594" s="199" t="str">
        <f t="shared" si="144"/>
        <v/>
      </c>
      <c r="V594" s="989"/>
      <c r="X594" s="374" t="str">
        <f t="shared" si="145"/>
        <v/>
      </c>
      <c r="Y594" s="375" t="str">
        <f t="shared" si="146"/>
        <v/>
      </c>
      <c r="Z594" s="374" t="str">
        <f t="shared" si="147"/>
        <v/>
      </c>
      <c r="AA594" s="374" t="b">
        <f t="shared" si="148"/>
        <v>1</v>
      </c>
      <c r="AB594" s="374">
        <f>COUNTIFS(B:B,B594,H:H,'סיווג התפקידים והעלויות'!$C$2)</f>
        <v>0</v>
      </c>
      <c r="AC594" s="374">
        <f>COUNTIFS(B:B,B594,H:H,'סיווג התפקידים והעלויות'!$D$2)</f>
        <v>0</v>
      </c>
      <c r="AD594" s="374" t="str">
        <f>IF(OR(AND(H594='סיווג התפקידים והעלויות'!$A$2,I594='סיווג התפקידים והעלויות'!$A$3),'עלויות כח אדם (6)'!H594='סיווג התפקידים והעלויות'!$C$2,'עלויות כח אדם (6)'!H594='סיווג התפקידים והעלויות'!$D$2),IF('עלויות כח אדם (6)'!J594&lt;75,"לא תקין","תקין"),"")</f>
        <v/>
      </c>
      <c r="AE594" s="374" t="str">
        <f t="shared" si="149"/>
        <v/>
      </c>
      <c r="AF594" s="532" t="str">
        <f t="shared" si="150"/>
        <v/>
      </c>
    </row>
    <row r="595" spans="2:32" x14ac:dyDescent="0.25">
      <c r="B595" s="695"/>
      <c r="C595" s="197" t="str">
        <f>IF(B595&lt;&gt;"",IFERROR(VLOOKUP(B:B,'מצבת והרשמה (2)'!$C$20:$N$520,2,0)," ")," ")</f>
        <v xml:space="preserve"> </v>
      </c>
      <c r="D595" s="695"/>
      <c r="E595" s="696"/>
      <c r="F595" s="696"/>
      <c r="G595" s="696"/>
      <c r="H595" s="696"/>
      <c r="I595" s="1050" t="str">
        <f t="shared" si="137"/>
        <v/>
      </c>
      <c r="J595" s="696"/>
      <c r="K595" s="697"/>
      <c r="L595" s="696"/>
      <c r="M595" s="198" t="str">
        <f t="shared" si="138"/>
        <v/>
      </c>
      <c r="N595" s="369" t="str">
        <f t="shared" si="139"/>
        <v/>
      </c>
      <c r="O595" s="183" t="str">
        <f t="shared" si="140"/>
        <v/>
      </c>
      <c r="P595" s="199" t="str">
        <f t="shared" si="141"/>
        <v/>
      </c>
      <c r="Q595" s="199" t="str">
        <f>IF(B595="","",IFERROR(IF('עלויות כח אדם (6)'!J595&gt;=VLOOKUP(I595,'סיווג התפקידים והעלויות'!$B$23:$C$32,2,0),"תקין","לא תקין"),""))</f>
        <v/>
      </c>
      <c r="R595" s="199" t="str">
        <f t="shared" si="142"/>
        <v/>
      </c>
      <c r="S595" s="199" t="str">
        <f t="shared" si="143"/>
        <v/>
      </c>
      <c r="T595" s="199" t="str">
        <f t="shared" si="151"/>
        <v/>
      </c>
      <c r="U595" s="199" t="str">
        <f t="shared" si="144"/>
        <v/>
      </c>
      <c r="V595" s="989"/>
      <c r="X595" s="374" t="str">
        <f t="shared" si="145"/>
        <v/>
      </c>
      <c r="Y595" s="375" t="str">
        <f t="shared" si="146"/>
        <v/>
      </c>
      <c r="Z595" s="374" t="str">
        <f t="shared" si="147"/>
        <v/>
      </c>
      <c r="AA595" s="374" t="b">
        <f t="shared" si="148"/>
        <v>1</v>
      </c>
      <c r="AB595" s="374">
        <f>COUNTIFS(B:B,B595,H:H,'סיווג התפקידים והעלויות'!$C$2)</f>
        <v>0</v>
      </c>
      <c r="AC595" s="374">
        <f>COUNTIFS(B:B,B595,H:H,'סיווג התפקידים והעלויות'!$D$2)</f>
        <v>0</v>
      </c>
      <c r="AD595" s="374" t="str">
        <f>IF(OR(AND(H595='סיווג התפקידים והעלויות'!$A$2,I595='סיווג התפקידים והעלויות'!$A$3),'עלויות כח אדם (6)'!H595='סיווג התפקידים והעלויות'!$C$2,'עלויות כח אדם (6)'!H595='סיווג התפקידים והעלויות'!$D$2),IF('עלויות כח אדם (6)'!J595&lt;75,"לא תקין","תקין"),"")</f>
        <v/>
      </c>
      <c r="AE595" s="374" t="str">
        <f t="shared" si="149"/>
        <v/>
      </c>
      <c r="AF595" s="532" t="str">
        <f t="shared" si="150"/>
        <v/>
      </c>
    </row>
    <row r="596" spans="2:32" x14ac:dyDescent="0.25">
      <c r="B596" s="695"/>
      <c r="C596" s="197" t="str">
        <f>IF(B596&lt;&gt;"",IFERROR(VLOOKUP(B:B,'מצבת והרשמה (2)'!$C$20:$N$520,2,0)," ")," ")</f>
        <v xml:space="preserve"> </v>
      </c>
      <c r="D596" s="695"/>
      <c r="E596" s="696"/>
      <c r="F596" s="696"/>
      <c r="G596" s="696"/>
      <c r="H596" s="696"/>
      <c r="I596" s="1050" t="str">
        <f t="shared" si="137"/>
        <v/>
      </c>
      <c r="J596" s="696"/>
      <c r="K596" s="697"/>
      <c r="L596" s="696"/>
      <c r="M596" s="198" t="str">
        <f t="shared" si="138"/>
        <v/>
      </c>
      <c r="N596" s="369" t="str">
        <f t="shared" si="139"/>
        <v/>
      </c>
      <c r="O596" s="183" t="str">
        <f t="shared" si="140"/>
        <v/>
      </c>
      <c r="P596" s="199" t="str">
        <f t="shared" si="141"/>
        <v/>
      </c>
      <c r="Q596" s="199" t="str">
        <f>IF(B596="","",IFERROR(IF('עלויות כח אדם (6)'!J596&gt;=VLOOKUP(I596,'סיווג התפקידים והעלויות'!$B$23:$C$32,2,0),"תקין","לא תקין"),""))</f>
        <v/>
      </c>
      <c r="R596" s="199" t="str">
        <f t="shared" si="142"/>
        <v/>
      </c>
      <c r="S596" s="199" t="str">
        <f t="shared" si="143"/>
        <v/>
      </c>
      <c r="T596" s="199" t="str">
        <f t="shared" si="151"/>
        <v/>
      </c>
      <c r="U596" s="199" t="str">
        <f t="shared" si="144"/>
        <v/>
      </c>
      <c r="V596" s="989"/>
      <c r="X596" s="374" t="str">
        <f t="shared" si="145"/>
        <v/>
      </c>
      <c r="Y596" s="375" t="str">
        <f t="shared" si="146"/>
        <v/>
      </c>
      <c r="Z596" s="374" t="str">
        <f t="shared" si="147"/>
        <v/>
      </c>
      <c r="AA596" s="374" t="b">
        <f t="shared" si="148"/>
        <v>1</v>
      </c>
      <c r="AB596" s="374">
        <f>COUNTIFS(B:B,B596,H:H,'סיווג התפקידים והעלויות'!$C$2)</f>
        <v>0</v>
      </c>
      <c r="AC596" s="374">
        <f>COUNTIFS(B:B,B596,H:H,'סיווג התפקידים והעלויות'!$D$2)</f>
        <v>0</v>
      </c>
      <c r="AD596" s="374" t="str">
        <f>IF(OR(AND(H596='סיווג התפקידים והעלויות'!$A$2,I596='סיווג התפקידים והעלויות'!$A$3),'עלויות כח אדם (6)'!H596='סיווג התפקידים והעלויות'!$C$2,'עלויות כח אדם (6)'!H596='סיווג התפקידים והעלויות'!$D$2),IF('עלויות כח אדם (6)'!J596&lt;75,"לא תקין","תקין"),"")</f>
        <v/>
      </c>
      <c r="AE596" s="374" t="str">
        <f t="shared" si="149"/>
        <v/>
      </c>
      <c r="AF596" s="532" t="str">
        <f t="shared" si="150"/>
        <v/>
      </c>
    </row>
    <row r="597" spans="2:32" x14ac:dyDescent="0.25">
      <c r="B597" s="695"/>
      <c r="C597" s="197" t="str">
        <f>IF(B597&lt;&gt;"",IFERROR(VLOOKUP(B:B,'מצבת והרשמה (2)'!$C$20:$N$520,2,0)," ")," ")</f>
        <v xml:space="preserve"> </v>
      </c>
      <c r="D597" s="695"/>
      <c r="E597" s="696"/>
      <c r="F597" s="696"/>
      <c r="G597" s="696"/>
      <c r="H597" s="696"/>
      <c r="I597" s="1050" t="str">
        <f t="shared" si="137"/>
        <v/>
      </c>
      <c r="J597" s="696"/>
      <c r="K597" s="697"/>
      <c r="L597" s="696"/>
      <c r="M597" s="198" t="str">
        <f t="shared" si="138"/>
        <v/>
      </c>
      <c r="N597" s="369" t="str">
        <f t="shared" si="139"/>
        <v/>
      </c>
      <c r="O597" s="183" t="str">
        <f t="shared" si="140"/>
        <v/>
      </c>
      <c r="P597" s="199" t="str">
        <f t="shared" si="141"/>
        <v/>
      </c>
      <c r="Q597" s="199" t="str">
        <f>IF(B597="","",IFERROR(IF('עלויות כח אדם (6)'!J597&gt;=VLOOKUP(I597,'סיווג התפקידים והעלויות'!$B$23:$C$32,2,0),"תקין","לא תקין"),""))</f>
        <v/>
      </c>
      <c r="R597" s="199" t="str">
        <f t="shared" si="142"/>
        <v/>
      </c>
      <c r="S597" s="199" t="str">
        <f t="shared" si="143"/>
        <v/>
      </c>
      <c r="T597" s="199" t="str">
        <f t="shared" si="151"/>
        <v/>
      </c>
      <c r="U597" s="199" t="str">
        <f t="shared" si="144"/>
        <v/>
      </c>
      <c r="V597" s="989"/>
      <c r="X597" s="374" t="str">
        <f t="shared" si="145"/>
        <v/>
      </c>
      <c r="Y597" s="375" t="str">
        <f t="shared" si="146"/>
        <v/>
      </c>
      <c r="Z597" s="374" t="str">
        <f t="shared" si="147"/>
        <v/>
      </c>
      <c r="AA597" s="374" t="b">
        <f t="shared" si="148"/>
        <v>1</v>
      </c>
      <c r="AB597" s="374">
        <f>COUNTIFS(B:B,B597,H:H,'סיווג התפקידים והעלויות'!$C$2)</f>
        <v>0</v>
      </c>
      <c r="AC597" s="374">
        <f>COUNTIFS(B:B,B597,H:H,'סיווג התפקידים והעלויות'!$D$2)</f>
        <v>0</v>
      </c>
      <c r="AD597" s="374" t="str">
        <f>IF(OR(AND(H597='סיווג התפקידים והעלויות'!$A$2,I597='סיווג התפקידים והעלויות'!$A$3),'עלויות כח אדם (6)'!H597='סיווג התפקידים והעלויות'!$C$2,'עלויות כח אדם (6)'!H597='סיווג התפקידים והעלויות'!$D$2),IF('עלויות כח אדם (6)'!J597&lt;75,"לא תקין","תקין"),"")</f>
        <v/>
      </c>
      <c r="AE597" s="374" t="str">
        <f t="shared" si="149"/>
        <v/>
      </c>
      <c r="AF597" s="532" t="str">
        <f t="shared" si="150"/>
        <v/>
      </c>
    </row>
    <row r="598" spans="2:32" x14ac:dyDescent="0.25">
      <c r="B598" s="695"/>
      <c r="C598" s="197" t="str">
        <f>IF(B598&lt;&gt;"",IFERROR(VLOOKUP(B:B,'מצבת והרשמה (2)'!$C$20:$N$520,2,0)," ")," ")</f>
        <v xml:space="preserve"> </v>
      </c>
      <c r="D598" s="695"/>
      <c r="E598" s="696"/>
      <c r="F598" s="696"/>
      <c r="G598" s="696"/>
      <c r="H598" s="696"/>
      <c r="I598" s="1050" t="str">
        <f t="shared" si="137"/>
        <v/>
      </c>
      <c r="J598" s="696"/>
      <c r="K598" s="697"/>
      <c r="L598" s="696"/>
      <c r="M598" s="198" t="str">
        <f t="shared" si="138"/>
        <v/>
      </c>
      <c r="N598" s="369" t="str">
        <f t="shared" si="139"/>
        <v/>
      </c>
      <c r="O598" s="183" t="str">
        <f t="shared" si="140"/>
        <v/>
      </c>
      <c r="P598" s="199" t="str">
        <f t="shared" si="141"/>
        <v/>
      </c>
      <c r="Q598" s="199" t="str">
        <f>IF(B598="","",IFERROR(IF('עלויות כח אדם (6)'!J598&gt;=VLOOKUP(I598,'סיווג התפקידים והעלויות'!$B$23:$C$32,2,0),"תקין","לא תקין"),""))</f>
        <v/>
      </c>
      <c r="R598" s="199" t="str">
        <f t="shared" si="142"/>
        <v/>
      </c>
      <c r="S598" s="199" t="str">
        <f t="shared" si="143"/>
        <v/>
      </c>
      <c r="T598" s="199" t="str">
        <f t="shared" si="151"/>
        <v/>
      </c>
      <c r="U598" s="199" t="str">
        <f t="shared" si="144"/>
        <v/>
      </c>
      <c r="V598" s="989"/>
      <c r="X598" s="374" t="str">
        <f t="shared" si="145"/>
        <v/>
      </c>
      <c r="Y598" s="375" t="str">
        <f t="shared" si="146"/>
        <v/>
      </c>
      <c r="Z598" s="374" t="str">
        <f t="shared" si="147"/>
        <v/>
      </c>
      <c r="AA598" s="374" t="b">
        <f t="shared" si="148"/>
        <v>1</v>
      </c>
      <c r="AB598" s="374">
        <f>COUNTIFS(B:B,B598,H:H,'סיווג התפקידים והעלויות'!$C$2)</f>
        <v>0</v>
      </c>
      <c r="AC598" s="374">
        <f>COUNTIFS(B:B,B598,H:H,'סיווג התפקידים והעלויות'!$D$2)</f>
        <v>0</v>
      </c>
      <c r="AD598" s="374" t="str">
        <f>IF(OR(AND(H598='סיווג התפקידים והעלויות'!$A$2,I598='סיווג התפקידים והעלויות'!$A$3),'עלויות כח אדם (6)'!H598='סיווג התפקידים והעלויות'!$C$2,'עלויות כח אדם (6)'!H598='סיווג התפקידים והעלויות'!$D$2),IF('עלויות כח אדם (6)'!J598&lt;75,"לא תקין","תקין"),"")</f>
        <v/>
      </c>
      <c r="AE598" s="374" t="str">
        <f t="shared" si="149"/>
        <v/>
      </c>
      <c r="AF598" s="532" t="str">
        <f t="shared" si="150"/>
        <v/>
      </c>
    </row>
    <row r="599" spans="2:32" x14ac:dyDescent="0.25">
      <c r="B599" s="695"/>
      <c r="C599" s="197" t="str">
        <f>IF(B599&lt;&gt;"",IFERROR(VLOOKUP(B:B,'מצבת והרשמה (2)'!$C$20:$N$520,2,0)," ")," ")</f>
        <v xml:space="preserve"> </v>
      </c>
      <c r="D599" s="695"/>
      <c r="E599" s="696"/>
      <c r="F599" s="696"/>
      <c r="G599" s="696"/>
      <c r="H599" s="696"/>
      <c r="I599" s="1050" t="str">
        <f t="shared" si="137"/>
        <v/>
      </c>
      <c r="J599" s="696"/>
      <c r="K599" s="697"/>
      <c r="L599" s="696"/>
      <c r="M599" s="198" t="str">
        <f t="shared" si="138"/>
        <v/>
      </c>
      <c r="N599" s="369" t="str">
        <f t="shared" si="139"/>
        <v/>
      </c>
      <c r="O599" s="183" t="str">
        <f t="shared" si="140"/>
        <v/>
      </c>
      <c r="P599" s="199" t="str">
        <f t="shared" si="141"/>
        <v/>
      </c>
      <c r="Q599" s="199" t="str">
        <f>IF(B599="","",IFERROR(IF('עלויות כח אדם (6)'!J599&gt;=VLOOKUP(I599,'סיווג התפקידים והעלויות'!$B$23:$C$32,2,0),"תקין","לא תקין"),""))</f>
        <v/>
      </c>
      <c r="R599" s="199" t="str">
        <f t="shared" si="142"/>
        <v/>
      </c>
      <c r="S599" s="199" t="str">
        <f t="shared" si="143"/>
        <v/>
      </c>
      <c r="T599" s="199" t="str">
        <f t="shared" si="151"/>
        <v/>
      </c>
      <c r="U599" s="199" t="str">
        <f t="shared" si="144"/>
        <v/>
      </c>
      <c r="V599" s="989"/>
      <c r="X599" s="374" t="str">
        <f t="shared" si="145"/>
        <v/>
      </c>
      <c r="Y599" s="375" t="str">
        <f t="shared" si="146"/>
        <v/>
      </c>
      <c r="Z599" s="374" t="str">
        <f t="shared" si="147"/>
        <v/>
      </c>
      <c r="AA599" s="374" t="b">
        <f t="shared" si="148"/>
        <v>1</v>
      </c>
      <c r="AB599" s="374">
        <f>COUNTIFS(B:B,B599,H:H,'סיווג התפקידים והעלויות'!$C$2)</f>
        <v>0</v>
      </c>
      <c r="AC599" s="374">
        <f>COUNTIFS(B:B,B599,H:H,'סיווג התפקידים והעלויות'!$D$2)</f>
        <v>0</v>
      </c>
      <c r="AD599" s="374" t="str">
        <f>IF(OR(AND(H599='סיווג התפקידים והעלויות'!$A$2,I599='סיווג התפקידים והעלויות'!$A$3),'עלויות כח אדם (6)'!H599='סיווג התפקידים והעלויות'!$C$2,'עלויות כח אדם (6)'!H599='סיווג התפקידים והעלויות'!$D$2),IF('עלויות כח אדם (6)'!J599&lt;75,"לא תקין","תקין"),"")</f>
        <v/>
      </c>
      <c r="AE599" s="374" t="str">
        <f t="shared" si="149"/>
        <v/>
      </c>
      <c r="AF599" s="532" t="str">
        <f t="shared" si="150"/>
        <v/>
      </c>
    </row>
    <row r="600" spans="2:32" x14ac:dyDescent="0.25">
      <c r="B600" s="695"/>
      <c r="C600" s="197" t="str">
        <f>IF(B600&lt;&gt;"",IFERROR(VLOOKUP(B:B,'מצבת והרשמה (2)'!$C$20:$N$520,2,0)," ")," ")</f>
        <v xml:space="preserve"> </v>
      </c>
      <c r="D600" s="695"/>
      <c r="E600" s="696"/>
      <c r="F600" s="696"/>
      <c r="G600" s="696"/>
      <c r="H600" s="696"/>
      <c r="I600" s="1050" t="str">
        <f t="shared" si="137"/>
        <v/>
      </c>
      <c r="J600" s="696"/>
      <c r="K600" s="697"/>
      <c r="L600" s="696"/>
      <c r="M600" s="198" t="str">
        <f t="shared" si="138"/>
        <v/>
      </c>
      <c r="N600" s="369" t="str">
        <f t="shared" si="139"/>
        <v/>
      </c>
      <c r="O600" s="183" t="str">
        <f t="shared" si="140"/>
        <v/>
      </c>
      <c r="P600" s="199" t="str">
        <f t="shared" si="141"/>
        <v/>
      </c>
      <c r="Q600" s="199" t="str">
        <f>IF(B600="","",IFERROR(IF('עלויות כח אדם (6)'!J600&gt;=VLOOKUP(I600,'סיווג התפקידים והעלויות'!$B$23:$C$32,2,0),"תקין","לא תקין"),""))</f>
        <v/>
      </c>
      <c r="R600" s="199" t="str">
        <f t="shared" si="142"/>
        <v/>
      </c>
      <c r="S600" s="199" t="str">
        <f t="shared" si="143"/>
        <v/>
      </c>
      <c r="T600" s="199" t="str">
        <f t="shared" si="151"/>
        <v/>
      </c>
      <c r="U600" s="199" t="str">
        <f t="shared" si="144"/>
        <v/>
      </c>
      <c r="V600" s="989"/>
      <c r="X600" s="374" t="str">
        <f t="shared" si="145"/>
        <v/>
      </c>
      <c r="Y600" s="375" t="str">
        <f t="shared" si="146"/>
        <v/>
      </c>
      <c r="Z600" s="374" t="str">
        <f t="shared" si="147"/>
        <v/>
      </c>
      <c r="AA600" s="374" t="b">
        <f t="shared" si="148"/>
        <v>1</v>
      </c>
      <c r="AB600" s="374">
        <f>COUNTIFS(B:B,B600,H:H,'סיווג התפקידים והעלויות'!$C$2)</f>
        <v>0</v>
      </c>
      <c r="AC600" s="374">
        <f>COUNTIFS(B:B,B600,H:H,'סיווג התפקידים והעלויות'!$D$2)</f>
        <v>0</v>
      </c>
      <c r="AD600" s="374" t="str">
        <f>IF(OR(AND(H600='סיווג התפקידים והעלויות'!$A$2,I600='סיווג התפקידים והעלויות'!$A$3),'עלויות כח אדם (6)'!H600='סיווג התפקידים והעלויות'!$C$2,'עלויות כח אדם (6)'!H600='סיווג התפקידים והעלויות'!$D$2),IF('עלויות כח אדם (6)'!J600&lt;75,"לא תקין","תקין"),"")</f>
        <v/>
      </c>
      <c r="AE600" s="374" t="str">
        <f t="shared" si="149"/>
        <v/>
      </c>
      <c r="AF600" s="532" t="str">
        <f t="shared" si="150"/>
        <v/>
      </c>
    </row>
    <row r="601" spans="2:32" x14ac:dyDescent="0.25">
      <c r="B601" s="695"/>
      <c r="C601" s="197" t="str">
        <f>IF(B601&lt;&gt;"",IFERROR(VLOOKUP(B:B,'מצבת והרשמה (2)'!$C$20:$N$520,2,0)," ")," ")</f>
        <v xml:space="preserve"> </v>
      </c>
      <c r="D601" s="695"/>
      <c r="E601" s="696"/>
      <c r="F601" s="696"/>
      <c r="G601" s="696"/>
      <c r="H601" s="696"/>
      <c r="I601" s="1050" t="str">
        <f t="shared" si="137"/>
        <v/>
      </c>
      <c r="J601" s="696"/>
      <c r="K601" s="697"/>
      <c r="L601" s="696"/>
      <c r="M601" s="198" t="str">
        <f t="shared" si="138"/>
        <v/>
      </c>
      <c r="N601" s="369" t="str">
        <f t="shared" si="139"/>
        <v/>
      </c>
      <c r="O601" s="183" t="str">
        <f t="shared" si="140"/>
        <v/>
      </c>
      <c r="P601" s="199" t="str">
        <f t="shared" si="141"/>
        <v/>
      </c>
      <c r="Q601" s="199" t="str">
        <f>IF(B601="","",IFERROR(IF('עלויות כח אדם (6)'!J601&gt;=VLOOKUP(I601,'סיווג התפקידים והעלויות'!$B$23:$C$32,2,0),"תקין","לא תקין"),""))</f>
        <v/>
      </c>
      <c r="R601" s="199" t="str">
        <f t="shared" si="142"/>
        <v/>
      </c>
      <c r="S601" s="199" t="str">
        <f t="shared" si="143"/>
        <v/>
      </c>
      <c r="T601" s="199" t="str">
        <f t="shared" si="151"/>
        <v/>
      </c>
      <c r="U601" s="199" t="str">
        <f t="shared" si="144"/>
        <v/>
      </c>
      <c r="V601" s="989"/>
      <c r="X601" s="374" t="str">
        <f t="shared" si="145"/>
        <v/>
      </c>
      <c r="Y601" s="375" t="str">
        <f t="shared" si="146"/>
        <v/>
      </c>
      <c r="Z601" s="374" t="str">
        <f t="shared" si="147"/>
        <v/>
      </c>
      <c r="AA601" s="374" t="b">
        <f t="shared" si="148"/>
        <v>1</v>
      </c>
      <c r="AB601" s="374">
        <f>COUNTIFS(B:B,B601,H:H,'סיווג התפקידים והעלויות'!$C$2)</f>
        <v>0</v>
      </c>
      <c r="AC601" s="374">
        <f>COUNTIFS(B:B,B601,H:H,'סיווג התפקידים והעלויות'!$D$2)</f>
        <v>0</v>
      </c>
      <c r="AD601" s="374" t="str">
        <f>IF(OR(AND(H601='סיווג התפקידים והעלויות'!$A$2,I601='סיווג התפקידים והעלויות'!$A$3),'עלויות כח אדם (6)'!H601='סיווג התפקידים והעלויות'!$C$2,'עלויות כח אדם (6)'!H601='סיווג התפקידים והעלויות'!$D$2),IF('עלויות כח אדם (6)'!J601&lt;75,"לא תקין","תקין"),"")</f>
        <v/>
      </c>
      <c r="AE601" s="374" t="str">
        <f t="shared" si="149"/>
        <v/>
      </c>
      <c r="AF601" s="532" t="str">
        <f t="shared" si="150"/>
        <v/>
      </c>
    </row>
    <row r="602" spans="2:32" x14ac:dyDescent="0.25">
      <c r="B602" s="695"/>
      <c r="C602" s="197" t="str">
        <f>IF(B602&lt;&gt;"",IFERROR(VLOOKUP(B:B,'מצבת והרשמה (2)'!$C$20:$N$520,2,0)," ")," ")</f>
        <v xml:space="preserve"> </v>
      </c>
      <c r="D602" s="695"/>
      <c r="E602" s="696"/>
      <c r="F602" s="696"/>
      <c r="G602" s="696"/>
      <c r="H602" s="696"/>
      <c r="I602" s="1050" t="str">
        <f t="shared" si="137"/>
        <v/>
      </c>
      <c r="J602" s="696"/>
      <c r="K602" s="697"/>
      <c r="L602" s="696"/>
      <c r="M602" s="198" t="str">
        <f t="shared" si="138"/>
        <v/>
      </c>
      <c r="N602" s="369" t="str">
        <f t="shared" si="139"/>
        <v/>
      </c>
      <c r="O602" s="183" t="str">
        <f t="shared" si="140"/>
        <v/>
      </c>
      <c r="P602" s="199" t="str">
        <f t="shared" si="141"/>
        <v/>
      </c>
      <c r="Q602" s="199" t="str">
        <f>IF(B602="","",IFERROR(IF('עלויות כח אדם (6)'!J602&gt;=VLOOKUP(I602,'סיווג התפקידים והעלויות'!$B$23:$C$32,2,0),"תקין","לא תקין"),""))</f>
        <v/>
      </c>
      <c r="R602" s="199" t="str">
        <f t="shared" si="142"/>
        <v/>
      </c>
      <c r="S602" s="199" t="str">
        <f t="shared" si="143"/>
        <v/>
      </c>
      <c r="T602" s="199" t="str">
        <f t="shared" si="151"/>
        <v/>
      </c>
      <c r="U602" s="199" t="str">
        <f t="shared" si="144"/>
        <v/>
      </c>
      <c r="V602" s="989"/>
      <c r="X602" s="374" t="str">
        <f t="shared" si="145"/>
        <v/>
      </c>
      <c r="Y602" s="375" t="str">
        <f t="shared" si="146"/>
        <v/>
      </c>
      <c r="Z602" s="374" t="str">
        <f t="shared" si="147"/>
        <v/>
      </c>
      <c r="AA602" s="374" t="b">
        <f t="shared" si="148"/>
        <v>1</v>
      </c>
      <c r="AB602" s="374">
        <f>COUNTIFS(B:B,B602,H:H,'סיווג התפקידים והעלויות'!$C$2)</f>
        <v>0</v>
      </c>
      <c r="AC602" s="374">
        <f>COUNTIFS(B:B,B602,H:H,'סיווג התפקידים והעלויות'!$D$2)</f>
        <v>0</v>
      </c>
      <c r="AD602" s="374" t="str">
        <f>IF(OR(AND(H602='סיווג התפקידים והעלויות'!$A$2,I602='סיווג התפקידים והעלויות'!$A$3),'עלויות כח אדם (6)'!H602='סיווג התפקידים והעלויות'!$C$2,'עלויות כח אדם (6)'!H602='סיווג התפקידים והעלויות'!$D$2),IF('עלויות כח אדם (6)'!J602&lt;75,"לא תקין","תקין"),"")</f>
        <v/>
      </c>
      <c r="AE602" s="374" t="str">
        <f t="shared" si="149"/>
        <v/>
      </c>
      <c r="AF602" s="532" t="str">
        <f t="shared" si="150"/>
        <v/>
      </c>
    </row>
    <row r="603" spans="2:32" x14ac:dyDescent="0.25">
      <c r="B603" s="695"/>
      <c r="C603" s="197" t="str">
        <f>IF(B603&lt;&gt;"",IFERROR(VLOOKUP(B:B,'מצבת והרשמה (2)'!$C$20:$N$520,2,0)," ")," ")</f>
        <v xml:space="preserve"> </v>
      </c>
      <c r="D603" s="695"/>
      <c r="E603" s="696"/>
      <c r="F603" s="696"/>
      <c r="G603" s="696"/>
      <c r="H603" s="696"/>
      <c r="I603" s="1050" t="str">
        <f t="shared" si="137"/>
        <v/>
      </c>
      <c r="J603" s="696"/>
      <c r="K603" s="697"/>
      <c r="L603" s="696"/>
      <c r="M603" s="198" t="str">
        <f t="shared" si="138"/>
        <v/>
      </c>
      <c r="N603" s="369" t="str">
        <f t="shared" si="139"/>
        <v/>
      </c>
      <c r="O603" s="183" t="str">
        <f t="shared" si="140"/>
        <v/>
      </c>
      <c r="P603" s="199" t="str">
        <f t="shared" si="141"/>
        <v/>
      </c>
      <c r="Q603" s="199" t="str">
        <f>IF(B603="","",IFERROR(IF('עלויות כח אדם (6)'!J603&gt;=VLOOKUP(I603,'סיווג התפקידים והעלויות'!$B$23:$C$32,2,0),"תקין","לא תקין"),""))</f>
        <v/>
      </c>
      <c r="R603" s="199" t="str">
        <f t="shared" si="142"/>
        <v/>
      </c>
      <c r="S603" s="199" t="str">
        <f t="shared" si="143"/>
        <v/>
      </c>
      <c r="T603" s="199" t="str">
        <f t="shared" si="151"/>
        <v/>
      </c>
      <c r="U603" s="199" t="str">
        <f t="shared" si="144"/>
        <v/>
      </c>
      <c r="V603" s="989"/>
      <c r="X603" s="374" t="str">
        <f t="shared" si="145"/>
        <v/>
      </c>
      <c r="Y603" s="375" t="str">
        <f t="shared" si="146"/>
        <v/>
      </c>
      <c r="Z603" s="374" t="str">
        <f t="shared" si="147"/>
        <v/>
      </c>
      <c r="AA603" s="374" t="b">
        <f t="shared" si="148"/>
        <v>1</v>
      </c>
      <c r="AB603" s="374">
        <f>COUNTIFS(B:B,B603,H:H,'סיווג התפקידים והעלויות'!$C$2)</f>
        <v>0</v>
      </c>
      <c r="AC603" s="374">
        <f>COUNTIFS(B:B,B603,H:H,'סיווג התפקידים והעלויות'!$D$2)</f>
        <v>0</v>
      </c>
      <c r="AD603" s="374" t="str">
        <f>IF(OR(AND(H603='סיווג התפקידים והעלויות'!$A$2,I603='סיווג התפקידים והעלויות'!$A$3),'עלויות כח אדם (6)'!H603='סיווג התפקידים והעלויות'!$C$2,'עלויות כח אדם (6)'!H603='סיווג התפקידים והעלויות'!$D$2),IF('עלויות כח אדם (6)'!J603&lt;75,"לא תקין","תקין"),"")</f>
        <v/>
      </c>
      <c r="AE603" s="374" t="str">
        <f t="shared" si="149"/>
        <v/>
      </c>
      <c r="AF603" s="532" t="str">
        <f t="shared" si="150"/>
        <v/>
      </c>
    </row>
    <row r="604" spans="2:32" x14ac:dyDescent="0.25">
      <c r="B604" s="695"/>
      <c r="C604" s="197" t="str">
        <f>IF(B604&lt;&gt;"",IFERROR(VLOOKUP(B:B,'מצבת והרשמה (2)'!$C$20:$N$520,2,0)," ")," ")</f>
        <v xml:space="preserve"> </v>
      </c>
      <c r="D604" s="695"/>
      <c r="E604" s="696"/>
      <c r="F604" s="696"/>
      <c r="G604" s="696"/>
      <c r="H604" s="696"/>
      <c r="I604" s="1050" t="str">
        <f t="shared" si="137"/>
        <v/>
      </c>
      <c r="J604" s="696"/>
      <c r="K604" s="697"/>
      <c r="L604" s="696"/>
      <c r="M604" s="198" t="str">
        <f t="shared" si="138"/>
        <v/>
      </c>
      <c r="N604" s="369" t="str">
        <f t="shared" si="139"/>
        <v/>
      </c>
      <c r="O604" s="183" t="str">
        <f t="shared" si="140"/>
        <v/>
      </c>
      <c r="P604" s="199" t="str">
        <f t="shared" si="141"/>
        <v/>
      </c>
      <c r="Q604" s="199" t="str">
        <f>IF(B604="","",IFERROR(IF('עלויות כח אדם (6)'!J604&gt;=VLOOKUP(I604,'סיווג התפקידים והעלויות'!$B$23:$C$32,2,0),"תקין","לא תקין"),""))</f>
        <v/>
      </c>
      <c r="R604" s="199" t="str">
        <f t="shared" si="142"/>
        <v/>
      </c>
      <c r="S604" s="199" t="str">
        <f t="shared" si="143"/>
        <v/>
      </c>
      <c r="T604" s="199" t="str">
        <f t="shared" si="151"/>
        <v/>
      </c>
      <c r="U604" s="199" t="str">
        <f t="shared" si="144"/>
        <v/>
      </c>
      <c r="V604" s="989"/>
      <c r="X604" s="374" t="str">
        <f t="shared" si="145"/>
        <v/>
      </c>
      <c r="Y604" s="375" t="str">
        <f t="shared" si="146"/>
        <v/>
      </c>
      <c r="Z604" s="374" t="str">
        <f t="shared" si="147"/>
        <v/>
      </c>
      <c r="AA604" s="374" t="b">
        <f t="shared" si="148"/>
        <v>1</v>
      </c>
      <c r="AB604" s="374">
        <f>COUNTIFS(B:B,B604,H:H,'סיווג התפקידים והעלויות'!$C$2)</f>
        <v>0</v>
      </c>
      <c r="AC604" s="374">
        <f>COUNTIFS(B:B,B604,H:H,'סיווג התפקידים והעלויות'!$D$2)</f>
        <v>0</v>
      </c>
      <c r="AD604" s="374" t="str">
        <f>IF(OR(AND(H604='סיווג התפקידים והעלויות'!$A$2,I604='סיווג התפקידים והעלויות'!$A$3),'עלויות כח אדם (6)'!H604='סיווג התפקידים והעלויות'!$C$2,'עלויות כח אדם (6)'!H604='סיווג התפקידים והעלויות'!$D$2),IF('עלויות כח אדם (6)'!J604&lt;75,"לא תקין","תקין"),"")</f>
        <v/>
      </c>
      <c r="AE604" s="374" t="str">
        <f t="shared" si="149"/>
        <v/>
      </c>
      <c r="AF604" s="532" t="str">
        <f t="shared" si="150"/>
        <v/>
      </c>
    </row>
    <row r="605" spans="2:32" x14ac:dyDescent="0.25">
      <c r="B605" s="695"/>
      <c r="C605" s="197" t="str">
        <f>IF(B605&lt;&gt;"",IFERROR(VLOOKUP(B:B,'מצבת והרשמה (2)'!$C$20:$N$520,2,0)," ")," ")</f>
        <v xml:space="preserve"> </v>
      </c>
      <c r="D605" s="695"/>
      <c r="E605" s="696"/>
      <c r="F605" s="696"/>
      <c r="G605" s="696"/>
      <c r="H605" s="696"/>
      <c r="I605" s="1050" t="str">
        <f t="shared" si="137"/>
        <v/>
      </c>
      <c r="J605" s="696"/>
      <c r="K605" s="697"/>
      <c r="L605" s="696"/>
      <c r="M605" s="198" t="str">
        <f t="shared" si="138"/>
        <v/>
      </c>
      <c r="N605" s="369" t="str">
        <f t="shared" si="139"/>
        <v/>
      </c>
      <c r="O605" s="183" t="str">
        <f t="shared" si="140"/>
        <v/>
      </c>
      <c r="P605" s="199" t="str">
        <f t="shared" si="141"/>
        <v/>
      </c>
      <c r="Q605" s="199" t="str">
        <f>IF(B605="","",IFERROR(IF('עלויות כח אדם (6)'!J605&gt;=VLOOKUP(I605,'סיווג התפקידים והעלויות'!$B$23:$C$32,2,0),"תקין","לא תקין"),""))</f>
        <v/>
      </c>
      <c r="R605" s="199" t="str">
        <f t="shared" si="142"/>
        <v/>
      </c>
      <c r="S605" s="199" t="str">
        <f t="shared" si="143"/>
        <v/>
      </c>
      <c r="T605" s="199" t="str">
        <f t="shared" si="151"/>
        <v/>
      </c>
      <c r="U605" s="199" t="str">
        <f t="shared" si="144"/>
        <v/>
      </c>
      <c r="V605" s="989"/>
      <c r="X605" s="374" t="str">
        <f t="shared" si="145"/>
        <v/>
      </c>
      <c r="Y605" s="375" t="str">
        <f t="shared" si="146"/>
        <v/>
      </c>
      <c r="Z605" s="374" t="str">
        <f t="shared" si="147"/>
        <v/>
      </c>
      <c r="AA605" s="374" t="b">
        <f t="shared" si="148"/>
        <v>1</v>
      </c>
      <c r="AB605" s="374">
        <f>COUNTIFS(B:B,B605,H:H,'סיווג התפקידים והעלויות'!$C$2)</f>
        <v>0</v>
      </c>
      <c r="AC605" s="374">
        <f>COUNTIFS(B:B,B605,H:H,'סיווג התפקידים והעלויות'!$D$2)</f>
        <v>0</v>
      </c>
      <c r="AD605" s="374" t="str">
        <f>IF(OR(AND(H605='סיווג התפקידים והעלויות'!$A$2,I605='סיווג התפקידים והעלויות'!$A$3),'עלויות כח אדם (6)'!H605='סיווג התפקידים והעלויות'!$C$2,'עלויות כח אדם (6)'!H605='סיווג התפקידים והעלויות'!$D$2),IF('עלויות כח אדם (6)'!J605&lt;75,"לא תקין","תקין"),"")</f>
        <v/>
      </c>
      <c r="AE605" s="374" t="str">
        <f t="shared" si="149"/>
        <v/>
      </c>
      <c r="AF605" s="532" t="str">
        <f t="shared" si="150"/>
        <v/>
      </c>
    </row>
    <row r="606" spans="2:32" x14ac:dyDescent="0.25">
      <c r="B606" s="695"/>
      <c r="C606" s="197" t="str">
        <f>IF(B606&lt;&gt;"",IFERROR(VLOOKUP(B:B,'מצבת והרשמה (2)'!$C$20:$N$520,2,0)," ")," ")</f>
        <v xml:space="preserve"> </v>
      </c>
      <c r="D606" s="695"/>
      <c r="E606" s="696"/>
      <c r="F606" s="696"/>
      <c r="G606" s="696"/>
      <c r="H606" s="696"/>
      <c r="I606" s="1050" t="str">
        <f t="shared" si="137"/>
        <v/>
      </c>
      <c r="J606" s="696"/>
      <c r="K606" s="697"/>
      <c r="L606" s="696"/>
      <c r="M606" s="198" t="str">
        <f t="shared" si="138"/>
        <v/>
      </c>
      <c r="N606" s="369" t="str">
        <f t="shared" si="139"/>
        <v/>
      </c>
      <c r="O606" s="183" t="str">
        <f t="shared" si="140"/>
        <v/>
      </c>
      <c r="P606" s="199" t="str">
        <f t="shared" si="141"/>
        <v/>
      </c>
      <c r="Q606" s="199" t="str">
        <f>IF(B606="","",IFERROR(IF('עלויות כח אדם (6)'!J606&gt;=VLOOKUP(I606,'סיווג התפקידים והעלויות'!$B$23:$C$32,2,0),"תקין","לא תקין"),""))</f>
        <v/>
      </c>
      <c r="R606" s="199" t="str">
        <f t="shared" si="142"/>
        <v/>
      </c>
      <c r="S606" s="199" t="str">
        <f t="shared" si="143"/>
        <v/>
      </c>
      <c r="T606" s="199" t="str">
        <f t="shared" si="151"/>
        <v/>
      </c>
      <c r="U606" s="199" t="str">
        <f t="shared" si="144"/>
        <v/>
      </c>
      <c r="V606" s="989"/>
      <c r="X606" s="374" t="str">
        <f t="shared" si="145"/>
        <v/>
      </c>
      <c r="Y606" s="375" t="str">
        <f t="shared" si="146"/>
        <v/>
      </c>
      <c r="Z606" s="374" t="str">
        <f t="shared" si="147"/>
        <v/>
      </c>
      <c r="AA606" s="374" t="b">
        <f t="shared" si="148"/>
        <v>1</v>
      </c>
      <c r="AB606" s="374">
        <f>COUNTIFS(B:B,B606,H:H,'סיווג התפקידים והעלויות'!$C$2)</f>
        <v>0</v>
      </c>
      <c r="AC606" s="374">
        <f>COUNTIFS(B:B,B606,H:H,'סיווג התפקידים והעלויות'!$D$2)</f>
        <v>0</v>
      </c>
      <c r="AD606" s="374" t="str">
        <f>IF(OR(AND(H606='סיווג התפקידים והעלויות'!$A$2,I606='סיווג התפקידים והעלויות'!$A$3),'עלויות כח אדם (6)'!H606='סיווג התפקידים והעלויות'!$C$2,'עלויות כח אדם (6)'!H606='סיווג התפקידים והעלויות'!$D$2),IF('עלויות כח אדם (6)'!J606&lt;75,"לא תקין","תקין"),"")</f>
        <v/>
      </c>
      <c r="AE606" s="374" t="str">
        <f t="shared" si="149"/>
        <v/>
      </c>
      <c r="AF606" s="532" t="str">
        <f t="shared" si="150"/>
        <v/>
      </c>
    </row>
    <row r="607" spans="2:32" x14ac:dyDescent="0.25">
      <c r="B607" s="695"/>
      <c r="C607" s="197" t="str">
        <f>IF(B607&lt;&gt;"",IFERROR(VLOOKUP(B:B,'מצבת והרשמה (2)'!$C$20:$N$520,2,0)," ")," ")</f>
        <v xml:space="preserve"> </v>
      </c>
      <c r="D607" s="695"/>
      <c r="E607" s="696"/>
      <c r="F607" s="696"/>
      <c r="G607" s="696"/>
      <c r="H607" s="696"/>
      <c r="I607" s="1050" t="str">
        <f t="shared" si="137"/>
        <v/>
      </c>
      <c r="J607" s="696"/>
      <c r="K607" s="697"/>
      <c r="L607" s="696"/>
      <c r="M607" s="198" t="str">
        <f t="shared" si="138"/>
        <v/>
      </c>
      <c r="N607" s="369" t="str">
        <f t="shared" si="139"/>
        <v/>
      </c>
      <c r="O607" s="183" t="str">
        <f t="shared" si="140"/>
        <v/>
      </c>
      <c r="P607" s="199" t="str">
        <f t="shared" si="141"/>
        <v/>
      </c>
      <c r="Q607" s="199" t="str">
        <f>IF(B607="","",IFERROR(IF('עלויות כח אדם (6)'!J607&gt;=VLOOKUP(I607,'סיווג התפקידים והעלויות'!$B$23:$C$32,2,0),"תקין","לא תקין"),""))</f>
        <v/>
      </c>
      <c r="R607" s="199" t="str">
        <f t="shared" si="142"/>
        <v/>
      </c>
      <c r="S607" s="199" t="str">
        <f t="shared" si="143"/>
        <v/>
      </c>
      <c r="T607" s="199" t="str">
        <f t="shared" si="151"/>
        <v/>
      </c>
      <c r="U607" s="199" t="str">
        <f t="shared" si="144"/>
        <v/>
      </c>
      <c r="V607" s="989"/>
      <c r="X607" s="374" t="str">
        <f t="shared" si="145"/>
        <v/>
      </c>
      <c r="Y607" s="375" t="str">
        <f t="shared" si="146"/>
        <v/>
      </c>
      <c r="Z607" s="374" t="str">
        <f t="shared" si="147"/>
        <v/>
      </c>
      <c r="AA607" s="374" t="b">
        <f t="shared" si="148"/>
        <v>1</v>
      </c>
      <c r="AB607" s="374">
        <f>COUNTIFS(B:B,B607,H:H,'סיווג התפקידים והעלויות'!$C$2)</f>
        <v>0</v>
      </c>
      <c r="AC607" s="374">
        <f>COUNTIFS(B:B,B607,H:H,'סיווג התפקידים והעלויות'!$D$2)</f>
        <v>0</v>
      </c>
      <c r="AD607" s="374" t="str">
        <f>IF(OR(AND(H607='סיווג התפקידים והעלויות'!$A$2,I607='סיווג התפקידים והעלויות'!$A$3),'עלויות כח אדם (6)'!H607='סיווג התפקידים והעלויות'!$C$2,'עלויות כח אדם (6)'!H607='סיווג התפקידים והעלויות'!$D$2),IF('עלויות כח אדם (6)'!J607&lt;75,"לא תקין","תקין"),"")</f>
        <v/>
      </c>
      <c r="AE607" s="374" t="str">
        <f t="shared" si="149"/>
        <v/>
      </c>
      <c r="AF607" s="532" t="str">
        <f t="shared" si="150"/>
        <v/>
      </c>
    </row>
    <row r="608" spans="2:32" x14ac:dyDescent="0.25">
      <c r="B608" s="695"/>
      <c r="C608" s="197" t="str">
        <f>IF(B608&lt;&gt;"",IFERROR(VLOOKUP(B:B,'מצבת והרשמה (2)'!$C$20:$N$520,2,0)," ")," ")</f>
        <v xml:space="preserve"> </v>
      </c>
      <c r="D608" s="695"/>
      <c r="E608" s="696"/>
      <c r="F608" s="696"/>
      <c r="G608" s="696"/>
      <c r="H608" s="696"/>
      <c r="I608" s="1050" t="str">
        <f t="shared" si="137"/>
        <v/>
      </c>
      <c r="J608" s="696"/>
      <c r="K608" s="697"/>
      <c r="L608" s="696"/>
      <c r="M608" s="198" t="str">
        <f t="shared" si="138"/>
        <v/>
      </c>
      <c r="N608" s="369" t="str">
        <f t="shared" si="139"/>
        <v/>
      </c>
      <c r="O608" s="183" t="str">
        <f t="shared" si="140"/>
        <v/>
      </c>
      <c r="P608" s="199" t="str">
        <f t="shared" si="141"/>
        <v/>
      </c>
      <c r="Q608" s="199" t="str">
        <f>IF(B608="","",IFERROR(IF('עלויות כח אדם (6)'!J608&gt;=VLOOKUP(I608,'סיווג התפקידים והעלויות'!$B$23:$C$32,2,0),"תקין","לא תקין"),""))</f>
        <v/>
      </c>
      <c r="R608" s="199" t="str">
        <f t="shared" si="142"/>
        <v/>
      </c>
      <c r="S608" s="199" t="str">
        <f t="shared" si="143"/>
        <v/>
      </c>
      <c r="T608" s="199" t="str">
        <f t="shared" si="151"/>
        <v/>
      </c>
      <c r="U608" s="199" t="str">
        <f t="shared" si="144"/>
        <v/>
      </c>
      <c r="V608" s="989"/>
      <c r="X608" s="374" t="str">
        <f t="shared" si="145"/>
        <v/>
      </c>
      <c r="Y608" s="375" t="str">
        <f t="shared" si="146"/>
        <v/>
      </c>
      <c r="Z608" s="374" t="str">
        <f t="shared" si="147"/>
        <v/>
      </c>
      <c r="AA608" s="374" t="b">
        <f t="shared" si="148"/>
        <v>1</v>
      </c>
      <c r="AB608" s="374">
        <f>COUNTIFS(B:B,B608,H:H,'סיווג התפקידים והעלויות'!$C$2)</f>
        <v>0</v>
      </c>
      <c r="AC608" s="374">
        <f>COUNTIFS(B:B,B608,H:H,'סיווג התפקידים והעלויות'!$D$2)</f>
        <v>0</v>
      </c>
      <c r="AD608" s="374" t="str">
        <f>IF(OR(AND(H608='סיווג התפקידים והעלויות'!$A$2,I608='סיווג התפקידים והעלויות'!$A$3),'עלויות כח אדם (6)'!H608='סיווג התפקידים והעלויות'!$C$2,'עלויות כח אדם (6)'!H608='סיווג התפקידים והעלויות'!$D$2),IF('עלויות כח אדם (6)'!J608&lt;75,"לא תקין","תקין"),"")</f>
        <v/>
      </c>
      <c r="AE608" s="374" t="str">
        <f t="shared" si="149"/>
        <v/>
      </c>
      <c r="AF608" s="532" t="str">
        <f t="shared" si="150"/>
        <v/>
      </c>
    </row>
    <row r="609" spans="2:32" x14ac:dyDescent="0.25">
      <c r="B609" s="695"/>
      <c r="C609" s="197" t="str">
        <f>IF(B609&lt;&gt;"",IFERROR(VLOOKUP(B:B,'מצבת והרשמה (2)'!$C$20:$N$520,2,0)," ")," ")</f>
        <v xml:space="preserve"> </v>
      </c>
      <c r="D609" s="695"/>
      <c r="E609" s="696"/>
      <c r="F609" s="696"/>
      <c r="G609" s="696"/>
      <c r="H609" s="696"/>
      <c r="I609" s="1050" t="str">
        <f t="shared" si="137"/>
        <v/>
      </c>
      <c r="J609" s="696"/>
      <c r="K609" s="697"/>
      <c r="L609" s="696"/>
      <c r="M609" s="198" t="str">
        <f t="shared" si="138"/>
        <v/>
      </c>
      <c r="N609" s="369" t="str">
        <f t="shared" si="139"/>
        <v/>
      </c>
      <c r="O609" s="183" t="str">
        <f t="shared" si="140"/>
        <v/>
      </c>
      <c r="P609" s="199" t="str">
        <f t="shared" si="141"/>
        <v/>
      </c>
      <c r="Q609" s="199" t="str">
        <f>IF(B609="","",IFERROR(IF('עלויות כח אדם (6)'!J609&gt;=VLOOKUP(I609,'סיווג התפקידים והעלויות'!$B$23:$C$32,2,0),"תקין","לא תקין"),""))</f>
        <v/>
      </c>
      <c r="R609" s="199" t="str">
        <f t="shared" si="142"/>
        <v/>
      </c>
      <c r="S609" s="199" t="str">
        <f t="shared" si="143"/>
        <v/>
      </c>
      <c r="T609" s="199" t="str">
        <f t="shared" si="151"/>
        <v/>
      </c>
      <c r="U609" s="199" t="str">
        <f t="shared" si="144"/>
        <v/>
      </c>
      <c r="V609" s="989"/>
      <c r="X609" s="374" t="str">
        <f t="shared" si="145"/>
        <v/>
      </c>
      <c r="Y609" s="375" t="str">
        <f t="shared" si="146"/>
        <v/>
      </c>
      <c r="Z609" s="374" t="str">
        <f t="shared" si="147"/>
        <v/>
      </c>
      <c r="AA609" s="374" t="b">
        <f t="shared" si="148"/>
        <v>1</v>
      </c>
      <c r="AB609" s="374">
        <f>COUNTIFS(B:B,B609,H:H,'סיווג התפקידים והעלויות'!$C$2)</f>
        <v>0</v>
      </c>
      <c r="AC609" s="374">
        <f>COUNTIFS(B:B,B609,H:H,'סיווג התפקידים והעלויות'!$D$2)</f>
        <v>0</v>
      </c>
      <c r="AD609" s="374" t="str">
        <f>IF(OR(AND(H609='סיווג התפקידים והעלויות'!$A$2,I609='סיווג התפקידים והעלויות'!$A$3),'עלויות כח אדם (6)'!H609='סיווג התפקידים והעלויות'!$C$2,'עלויות כח אדם (6)'!H609='סיווג התפקידים והעלויות'!$D$2),IF('עלויות כח אדם (6)'!J609&lt;75,"לא תקין","תקין"),"")</f>
        <v/>
      </c>
      <c r="AE609" s="374" t="str">
        <f t="shared" si="149"/>
        <v/>
      </c>
      <c r="AF609" s="532" t="str">
        <f t="shared" si="150"/>
        <v/>
      </c>
    </row>
    <row r="610" spans="2:32" x14ac:dyDescent="0.25">
      <c r="B610" s="695"/>
      <c r="C610" s="197" t="str">
        <f>IF(B610&lt;&gt;"",IFERROR(VLOOKUP(B:B,'מצבת והרשמה (2)'!$C$20:$N$520,2,0)," ")," ")</f>
        <v xml:space="preserve"> </v>
      </c>
      <c r="D610" s="695"/>
      <c r="E610" s="696"/>
      <c r="F610" s="696"/>
      <c r="G610" s="696"/>
      <c r="H610" s="696"/>
      <c r="I610" s="1050" t="str">
        <f t="shared" si="137"/>
        <v/>
      </c>
      <c r="J610" s="696"/>
      <c r="K610" s="697"/>
      <c r="L610" s="696"/>
      <c r="M610" s="198" t="str">
        <f t="shared" si="138"/>
        <v/>
      </c>
      <c r="N610" s="369" t="str">
        <f t="shared" si="139"/>
        <v/>
      </c>
      <c r="O610" s="183" t="str">
        <f t="shared" si="140"/>
        <v/>
      </c>
      <c r="P610" s="199" t="str">
        <f t="shared" si="141"/>
        <v/>
      </c>
      <c r="Q610" s="199" t="str">
        <f>IF(B610="","",IFERROR(IF('עלויות כח אדם (6)'!J610&gt;=VLOOKUP(I610,'סיווג התפקידים והעלויות'!$B$23:$C$32,2,0),"תקין","לא תקין"),""))</f>
        <v/>
      </c>
      <c r="R610" s="199" t="str">
        <f t="shared" si="142"/>
        <v/>
      </c>
      <c r="S610" s="199" t="str">
        <f t="shared" si="143"/>
        <v/>
      </c>
      <c r="T610" s="199" t="str">
        <f t="shared" si="151"/>
        <v/>
      </c>
      <c r="U610" s="199" t="str">
        <f t="shared" si="144"/>
        <v/>
      </c>
      <c r="V610" s="989"/>
      <c r="X610" s="374" t="str">
        <f t="shared" si="145"/>
        <v/>
      </c>
      <c r="Y610" s="375" t="str">
        <f t="shared" si="146"/>
        <v/>
      </c>
      <c r="Z610" s="374" t="str">
        <f t="shared" si="147"/>
        <v/>
      </c>
      <c r="AA610" s="374" t="b">
        <f t="shared" si="148"/>
        <v>1</v>
      </c>
      <c r="AB610" s="374">
        <f>COUNTIFS(B:B,B610,H:H,'סיווג התפקידים והעלויות'!$C$2)</f>
        <v>0</v>
      </c>
      <c r="AC610" s="374">
        <f>COUNTIFS(B:B,B610,H:H,'סיווג התפקידים והעלויות'!$D$2)</f>
        <v>0</v>
      </c>
      <c r="AD610" s="374" t="str">
        <f>IF(OR(AND(H610='סיווג התפקידים והעלויות'!$A$2,I610='סיווג התפקידים והעלויות'!$A$3),'עלויות כח אדם (6)'!H610='סיווג התפקידים והעלויות'!$C$2,'עלויות כח אדם (6)'!H610='סיווג התפקידים והעלויות'!$D$2),IF('עלויות כח אדם (6)'!J610&lt;75,"לא תקין","תקין"),"")</f>
        <v/>
      </c>
      <c r="AE610" s="374" t="str">
        <f t="shared" si="149"/>
        <v/>
      </c>
      <c r="AF610" s="532" t="str">
        <f t="shared" si="150"/>
        <v/>
      </c>
    </row>
    <row r="611" spans="2:32" x14ac:dyDescent="0.25">
      <c r="B611" s="695"/>
      <c r="C611" s="197" t="str">
        <f>IF(B611&lt;&gt;"",IFERROR(VLOOKUP(B:B,'מצבת והרשמה (2)'!$C$20:$N$520,2,0)," ")," ")</f>
        <v xml:space="preserve"> </v>
      </c>
      <c r="D611" s="695"/>
      <c r="E611" s="696"/>
      <c r="F611" s="696"/>
      <c r="G611" s="696"/>
      <c r="H611" s="696"/>
      <c r="I611" s="1050" t="str">
        <f t="shared" si="137"/>
        <v/>
      </c>
      <c r="J611" s="696"/>
      <c r="K611" s="697"/>
      <c r="L611" s="696"/>
      <c r="M611" s="198" t="str">
        <f t="shared" si="138"/>
        <v/>
      </c>
      <c r="N611" s="369" t="str">
        <f t="shared" si="139"/>
        <v/>
      </c>
      <c r="O611" s="183" t="str">
        <f t="shared" si="140"/>
        <v/>
      </c>
      <c r="P611" s="199" t="str">
        <f t="shared" si="141"/>
        <v/>
      </c>
      <c r="Q611" s="199" t="str">
        <f>IF(B611="","",IFERROR(IF('עלויות כח אדם (6)'!J611&gt;=VLOOKUP(I611,'סיווג התפקידים והעלויות'!$B$23:$C$32,2,0),"תקין","לא תקין"),""))</f>
        <v/>
      </c>
      <c r="R611" s="199" t="str">
        <f t="shared" si="142"/>
        <v/>
      </c>
      <c r="S611" s="199" t="str">
        <f t="shared" si="143"/>
        <v/>
      </c>
      <c r="T611" s="199" t="str">
        <f t="shared" si="151"/>
        <v/>
      </c>
      <c r="U611" s="199" t="str">
        <f t="shared" si="144"/>
        <v/>
      </c>
      <c r="V611" s="989"/>
      <c r="X611" s="374" t="str">
        <f t="shared" si="145"/>
        <v/>
      </c>
      <c r="Y611" s="375" t="str">
        <f t="shared" si="146"/>
        <v/>
      </c>
      <c r="Z611" s="374" t="str">
        <f t="shared" si="147"/>
        <v/>
      </c>
      <c r="AA611" s="374" t="b">
        <f t="shared" si="148"/>
        <v>1</v>
      </c>
      <c r="AB611" s="374">
        <f>COUNTIFS(B:B,B611,H:H,'סיווג התפקידים והעלויות'!$C$2)</f>
        <v>0</v>
      </c>
      <c r="AC611" s="374">
        <f>COUNTIFS(B:B,B611,H:H,'סיווג התפקידים והעלויות'!$D$2)</f>
        <v>0</v>
      </c>
      <c r="AD611" s="374" t="str">
        <f>IF(OR(AND(H611='סיווג התפקידים והעלויות'!$A$2,I611='סיווג התפקידים והעלויות'!$A$3),'עלויות כח אדם (6)'!H611='סיווג התפקידים והעלויות'!$C$2,'עלויות כח אדם (6)'!H611='סיווג התפקידים והעלויות'!$D$2),IF('עלויות כח אדם (6)'!J611&lt;75,"לא תקין","תקין"),"")</f>
        <v/>
      </c>
      <c r="AE611" s="374" t="str">
        <f t="shared" si="149"/>
        <v/>
      </c>
      <c r="AF611" s="532" t="str">
        <f t="shared" si="150"/>
        <v/>
      </c>
    </row>
    <row r="612" spans="2:32" x14ac:dyDescent="0.25">
      <c r="B612" s="695"/>
      <c r="C612" s="197" t="str">
        <f>IF(B612&lt;&gt;"",IFERROR(VLOOKUP(B:B,'מצבת והרשמה (2)'!$C$20:$N$520,2,0)," ")," ")</f>
        <v xml:space="preserve"> </v>
      </c>
      <c r="D612" s="695"/>
      <c r="E612" s="696"/>
      <c r="F612" s="696"/>
      <c r="G612" s="696"/>
      <c r="H612" s="696"/>
      <c r="I612" s="1050" t="str">
        <f t="shared" si="137"/>
        <v/>
      </c>
      <c r="J612" s="696"/>
      <c r="K612" s="697"/>
      <c r="L612" s="696"/>
      <c r="M612" s="198" t="str">
        <f t="shared" si="138"/>
        <v/>
      </c>
      <c r="N612" s="369" t="str">
        <f t="shared" si="139"/>
        <v/>
      </c>
      <c r="O612" s="183" t="str">
        <f t="shared" si="140"/>
        <v/>
      </c>
      <c r="P612" s="199" t="str">
        <f t="shared" si="141"/>
        <v/>
      </c>
      <c r="Q612" s="199" t="str">
        <f>IF(B612="","",IFERROR(IF('עלויות כח אדם (6)'!J612&gt;=VLOOKUP(I612,'סיווג התפקידים והעלויות'!$B$23:$C$32,2,0),"תקין","לא תקין"),""))</f>
        <v/>
      </c>
      <c r="R612" s="199" t="str">
        <f t="shared" si="142"/>
        <v/>
      </c>
      <c r="S612" s="199" t="str">
        <f t="shared" si="143"/>
        <v/>
      </c>
      <c r="T612" s="199" t="str">
        <f t="shared" si="151"/>
        <v/>
      </c>
      <c r="U612" s="199" t="str">
        <f t="shared" si="144"/>
        <v/>
      </c>
      <c r="V612" s="989"/>
      <c r="X612" s="374" t="str">
        <f t="shared" si="145"/>
        <v/>
      </c>
      <c r="Y612" s="375" t="str">
        <f t="shared" si="146"/>
        <v/>
      </c>
      <c r="Z612" s="374" t="str">
        <f t="shared" si="147"/>
        <v/>
      </c>
      <c r="AA612" s="374" t="b">
        <f t="shared" si="148"/>
        <v>1</v>
      </c>
      <c r="AB612" s="374">
        <f>COUNTIFS(B:B,B612,H:H,'סיווג התפקידים והעלויות'!$C$2)</f>
        <v>0</v>
      </c>
      <c r="AC612" s="374">
        <f>COUNTIFS(B:B,B612,H:H,'סיווג התפקידים והעלויות'!$D$2)</f>
        <v>0</v>
      </c>
      <c r="AD612" s="374" t="str">
        <f>IF(OR(AND(H612='סיווג התפקידים והעלויות'!$A$2,I612='סיווג התפקידים והעלויות'!$A$3),'עלויות כח אדם (6)'!H612='סיווג התפקידים והעלויות'!$C$2,'עלויות כח אדם (6)'!H612='סיווג התפקידים והעלויות'!$D$2),IF('עלויות כח אדם (6)'!J612&lt;75,"לא תקין","תקין"),"")</f>
        <v/>
      </c>
      <c r="AE612" s="374" t="str">
        <f t="shared" si="149"/>
        <v/>
      </c>
      <c r="AF612" s="532" t="str">
        <f t="shared" si="150"/>
        <v/>
      </c>
    </row>
    <row r="613" spans="2:32" x14ac:dyDescent="0.25">
      <c r="B613" s="695"/>
      <c r="C613" s="197" t="str">
        <f>IF(B613&lt;&gt;"",IFERROR(VLOOKUP(B:B,'מצבת והרשמה (2)'!$C$20:$N$520,2,0)," ")," ")</f>
        <v xml:space="preserve"> </v>
      </c>
      <c r="D613" s="695"/>
      <c r="E613" s="696"/>
      <c r="F613" s="696"/>
      <c r="G613" s="696"/>
      <c r="H613" s="696"/>
      <c r="I613" s="1050" t="str">
        <f t="shared" si="137"/>
        <v/>
      </c>
      <c r="J613" s="696"/>
      <c r="K613" s="697"/>
      <c r="L613" s="696"/>
      <c r="M613" s="198" t="str">
        <f t="shared" si="138"/>
        <v/>
      </c>
      <c r="N613" s="369" t="str">
        <f t="shared" si="139"/>
        <v/>
      </c>
      <c r="O613" s="183" t="str">
        <f t="shared" si="140"/>
        <v/>
      </c>
      <c r="P613" s="199" t="str">
        <f t="shared" si="141"/>
        <v/>
      </c>
      <c r="Q613" s="199" t="str">
        <f>IF(B613="","",IFERROR(IF('עלויות כח אדם (6)'!J613&gt;=VLOOKUP(I613,'סיווג התפקידים והעלויות'!$B$23:$C$32,2,0),"תקין","לא תקין"),""))</f>
        <v/>
      </c>
      <c r="R613" s="199" t="str">
        <f t="shared" si="142"/>
        <v/>
      </c>
      <c r="S613" s="199" t="str">
        <f t="shared" si="143"/>
        <v/>
      </c>
      <c r="T613" s="199" t="str">
        <f t="shared" si="151"/>
        <v/>
      </c>
      <c r="U613" s="199" t="str">
        <f t="shared" si="144"/>
        <v/>
      </c>
      <c r="V613" s="989"/>
      <c r="X613" s="374" t="str">
        <f t="shared" si="145"/>
        <v/>
      </c>
      <c r="Y613" s="375" t="str">
        <f t="shared" si="146"/>
        <v/>
      </c>
      <c r="Z613" s="374" t="str">
        <f t="shared" si="147"/>
        <v/>
      </c>
      <c r="AA613" s="374" t="b">
        <f t="shared" si="148"/>
        <v>1</v>
      </c>
      <c r="AB613" s="374">
        <f>COUNTIFS(B:B,B613,H:H,'סיווג התפקידים והעלויות'!$C$2)</f>
        <v>0</v>
      </c>
      <c r="AC613" s="374">
        <f>COUNTIFS(B:B,B613,H:H,'סיווג התפקידים והעלויות'!$D$2)</f>
        <v>0</v>
      </c>
      <c r="AD613" s="374" t="str">
        <f>IF(OR(AND(H613='סיווג התפקידים והעלויות'!$A$2,I613='סיווג התפקידים והעלויות'!$A$3),'עלויות כח אדם (6)'!H613='סיווג התפקידים והעלויות'!$C$2,'עלויות כח אדם (6)'!H613='סיווג התפקידים והעלויות'!$D$2),IF('עלויות כח אדם (6)'!J613&lt;75,"לא תקין","תקין"),"")</f>
        <v/>
      </c>
      <c r="AE613" s="374" t="str">
        <f t="shared" si="149"/>
        <v/>
      </c>
      <c r="AF613" s="532" t="str">
        <f t="shared" si="150"/>
        <v/>
      </c>
    </row>
    <row r="614" spans="2:32" x14ac:dyDescent="0.25">
      <c r="B614" s="695"/>
      <c r="C614" s="197" t="str">
        <f>IF(B614&lt;&gt;"",IFERROR(VLOOKUP(B:B,'מצבת והרשמה (2)'!$C$20:$N$520,2,0)," ")," ")</f>
        <v xml:space="preserve"> </v>
      </c>
      <c r="D614" s="695"/>
      <c r="E614" s="696"/>
      <c r="F614" s="696"/>
      <c r="G614" s="696"/>
      <c r="H614" s="696"/>
      <c r="I614" s="1050" t="str">
        <f t="shared" si="137"/>
        <v/>
      </c>
      <c r="J614" s="696"/>
      <c r="K614" s="697"/>
      <c r="L614" s="696"/>
      <c r="M614" s="198" t="str">
        <f t="shared" si="138"/>
        <v/>
      </c>
      <c r="N614" s="369" t="str">
        <f t="shared" si="139"/>
        <v/>
      </c>
      <c r="O614" s="183" t="str">
        <f t="shared" si="140"/>
        <v/>
      </c>
      <c r="P614" s="199" t="str">
        <f t="shared" si="141"/>
        <v/>
      </c>
      <c r="Q614" s="199" t="str">
        <f>IF(B614="","",IFERROR(IF('עלויות כח אדם (6)'!J614&gt;=VLOOKUP(I614,'סיווג התפקידים והעלויות'!$B$23:$C$32,2,0),"תקין","לא תקין"),""))</f>
        <v/>
      </c>
      <c r="R614" s="199" t="str">
        <f t="shared" si="142"/>
        <v/>
      </c>
      <c r="S614" s="199" t="str">
        <f t="shared" si="143"/>
        <v/>
      </c>
      <c r="T614" s="199" t="str">
        <f t="shared" si="151"/>
        <v/>
      </c>
      <c r="U614" s="199" t="str">
        <f t="shared" si="144"/>
        <v/>
      </c>
      <c r="V614" s="989"/>
      <c r="X614" s="374" t="str">
        <f t="shared" si="145"/>
        <v/>
      </c>
      <c r="Y614" s="375" t="str">
        <f t="shared" si="146"/>
        <v/>
      </c>
      <c r="Z614" s="374" t="str">
        <f t="shared" si="147"/>
        <v/>
      </c>
      <c r="AA614" s="374" t="b">
        <f t="shared" si="148"/>
        <v>1</v>
      </c>
      <c r="AB614" s="374">
        <f>COUNTIFS(B:B,B614,H:H,'סיווג התפקידים והעלויות'!$C$2)</f>
        <v>0</v>
      </c>
      <c r="AC614" s="374">
        <f>COUNTIFS(B:B,B614,H:H,'סיווג התפקידים והעלויות'!$D$2)</f>
        <v>0</v>
      </c>
      <c r="AD614" s="374" t="str">
        <f>IF(OR(AND(H614='סיווג התפקידים והעלויות'!$A$2,I614='סיווג התפקידים והעלויות'!$A$3),'עלויות כח אדם (6)'!H614='סיווג התפקידים והעלויות'!$C$2,'עלויות כח אדם (6)'!H614='סיווג התפקידים והעלויות'!$D$2),IF('עלויות כח אדם (6)'!J614&lt;75,"לא תקין","תקין"),"")</f>
        <v/>
      </c>
      <c r="AE614" s="374" t="str">
        <f t="shared" si="149"/>
        <v/>
      </c>
      <c r="AF614" s="532" t="str">
        <f t="shared" si="150"/>
        <v/>
      </c>
    </row>
    <row r="615" spans="2:32" x14ac:dyDescent="0.25">
      <c r="B615" s="695"/>
      <c r="C615" s="197" t="str">
        <f>IF(B615&lt;&gt;"",IFERROR(VLOOKUP(B:B,'מצבת והרשמה (2)'!$C$20:$N$520,2,0)," ")," ")</f>
        <v xml:space="preserve"> </v>
      </c>
      <c r="D615" s="695"/>
      <c r="E615" s="696"/>
      <c r="F615" s="696"/>
      <c r="G615" s="696"/>
      <c r="H615" s="696"/>
      <c r="I615" s="1050" t="str">
        <f t="shared" si="137"/>
        <v/>
      </c>
      <c r="J615" s="696"/>
      <c r="K615" s="697"/>
      <c r="L615" s="696"/>
      <c r="M615" s="198" t="str">
        <f t="shared" si="138"/>
        <v/>
      </c>
      <c r="N615" s="369" t="str">
        <f t="shared" si="139"/>
        <v/>
      </c>
      <c r="O615" s="183" t="str">
        <f t="shared" si="140"/>
        <v/>
      </c>
      <c r="P615" s="199" t="str">
        <f t="shared" si="141"/>
        <v/>
      </c>
      <c r="Q615" s="199" t="str">
        <f>IF(B615="","",IFERROR(IF('עלויות כח אדם (6)'!J615&gt;=VLOOKUP(I615,'סיווג התפקידים והעלויות'!$B$23:$C$32,2,0),"תקין","לא תקין"),""))</f>
        <v/>
      </c>
      <c r="R615" s="199" t="str">
        <f t="shared" si="142"/>
        <v/>
      </c>
      <c r="S615" s="199" t="str">
        <f t="shared" si="143"/>
        <v/>
      </c>
      <c r="T615" s="199" t="str">
        <f t="shared" si="151"/>
        <v/>
      </c>
      <c r="U615" s="199" t="str">
        <f t="shared" si="144"/>
        <v/>
      </c>
      <c r="V615" s="989"/>
      <c r="X615" s="374" t="str">
        <f t="shared" si="145"/>
        <v/>
      </c>
      <c r="Y615" s="375" t="str">
        <f t="shared" si="146"/>
        <v/>
      </c>
      <c r="Z615" s="374" t="str">
        <f t="shared" si="147"/>
        <v/>
      </c>
      <c r="AA615" s="374" t="b">
        <f t="shared" si="148"/>
        <v>1</v>
      </c>
      <c r="AB615" s="374">
        <f>COUNTIFS(B:B,B615,H:H,'סיווג התפקידים והעלויות'!$C$2)</f>
        <v>0</v>
      </c>
      <c r="AC615" s="374">
        <f>COUNTIFS(B:B,B615,H:H,'סיווג התפקידים והעלויות'!$D$2)</f>
        <v>0</v>
      </c>
      <c r="AD615" s="374" t="str">
        <f>IF(OR(AND(H615='סיווג התפקידים והעלויות'!$A$2,I615='סיווג התפקידים והעלויות'!$A$3),'עלויות כח אדם (6)'!H615='סיווג התפקידים והעלויות'!$C$2,'עלויות כח אדם (6)'!H615='סיווג התפקידים והעלויות'!$D$2),IF('עלויות כח אדם (6)'!J615&lt;75,"לא תקין","תקין"),"")</f>
        <v/>
      </c>
      <c r="AE615" s="374" t="str">
        <f t="shared" si="149"/>
        <v/>
      </c>
      <c r="AF615" s="532" t="str">
        <f t="shared" si="150"/>
        <v/>
      </c>
    </row>
    <row r="616" spans="2:32" x14ac:dyDescent="0.25">
      <c r="B616" s="695"/>
      <c r="C616" s="197" t="str">
        <f>IF(B616&lt;&gt;"",IFERROR(VLOOKUP(B:B,'מצבת והרשמה (2)'!$C$20:$N$520,2,0)," ")," ")</f>
        <v xml:space="preserve"> </v>
      </c>
      <c r="D616" s="695"/>
      <c r="E616" s="696"/>
      <c r="F616" s="696"/>
      <c r="G616" s="696"/>
      <c r="H616" s="696"/>
      <c r="I616" s="1050" t="str">
        <f t="shared" si="137"/>
        <v/>
      </c>
      <c r="J616" s="696"/>
      <c r="K616" s="697"/>
      <c r="L616" s="696"/>
      <c r="M616" s="198" t="str">
        <f t="shared" si="138"/>
        <v/>
      </c>
      <c r="N616" s="369" t="str">
        <f t="shared" si="139"/>
        <v/>
      </c>
      <c r="O616" s="183" t="str">
        <f t="shared" si="140"/>
        <v/>
      </c>
      <c r="P616" s="199" t="str">
        <f t="shared" si="141"/>
        <v/>
      </c>
      <c r="Q616" s="199" t="str">
        <f>IF(B616="","",IFERROR(IF('עלויות כח אדם (6)'!J616&gt;=VLOOKUP(I616,'סיווג התפקידים והעלויות'!$B$23:$C$32,2,0),"תקין","לא תקין"),""))</f>
        <v/>
      </c>
      <c r="R616" s="199" t="str">
        <f t="shared" si="142"/>
        <v/>
      </c>
      <c r="S616" s="199" t="str">
        <f t="shared" si="143"/>
        <v/>
      </c>
      <c r="T616" s="199" t="str">
        <f t="shared" si="151"/>
        <v/>
      </c>
      <c r="U616" s="199" t="str">
        <f t="shared" si="144"/>
        <v/>
      </c>
      <c r="V616" s="989"/>
      <c r="X616" s="374" t="str">
        <f t="shared" si="145"/>
        <v/>
      </c>
      <c r="Y616" s="375" t="str">
        <f t="shared" si="146"/>
        <v/>
      </c>
      <c r="Z616" s="374" t="str">
        <f t="shared" si="147"/>
        <v/>
      </c>
      <c r="AA616" s="374" t="b">
        <f t="shared" si="148"/>
        <v>1</v>
      </c>
      <c r="AB616" s="374">
        <f>COUNTIFS(B:B,B616,H:H,'סיווג התפקידים והעלויות'!$C$2)</f>
        <v>0</v>
      </c>
      <c r="AC616" s="374">
        <f>COUNTIFS(B:B,B616,H:H,'סיווג התפקידים והעלויות'!$D$2)</f>
        <v>0</v>
      </c>
      <c r="AD616" s="374" t="str">
        <f>IF(OR(AND(H616='סיווג התפקידים והעלויות'!$A$2,I616='סיווג התפקידים והעלויות'!$A$3),'עלויות כח אדם (6)'!H616='סיווג התפקידים והעלויות'!$C$2,'עלויות כח אדם (6)'!H616='סיווג התפקידים והעלויות'!$D$2),IF('עלויות כח אדם (6)'!J616&lt;75,"לא תקין","תקין"),"")</f>
        <v/>
      </c>
      <c r="AE616" s="374" t="str">
        <f t="shared" si="149"/>
        <v/>
      </c>
      <c r="AF616" s="532" t="str">
        <f t="shared" si="150"/>
        <v/>
      </c>
    </row>
    <row r="617" spans="2:32" x14ac:dyDescent="0.25">
      <c r="B617" s="695"/>
      <c r="C617" s="197" t="str">
        <f>IF(B617&lt;&gt;"",IFERROR(VLOOKUP(B:B,'מצבת והרשמה (2)'!$C$20:$N$520,2,0)," ")," ")</f>
        <v xml:space="preserve"> </v>
      </c>
      <c r="D617" s="695"/>
      <c r="E617" s="696"/>
      <c r="F617" s="696"/>
      <c r="G617" s="696"/>
      <c r="H617" s="696"/>
      <c r="I617" s="1050" t="str">
        <f t="shared" si="137"/>
        <v/>
      </c>
      <c r="J617" s="696"/>
      <c r="K617" s="697"/>
      <c r="L617" s="696"/>
      <c r="M617" s="198" t="str">
        <f t="shared" si="138"/>
        <v/>
      </c>
      <c r="N617" s="369" t="str">
        <f t="shared" si="139"/>
        <v/>
      </c>
      <c r="O617" s="183" t="str">
        <f t="shared" si="140"/>
        <v/>
      </c>
      <c r="P617" s="199" t="str">
        <f t="shared" si="141"/>
        <v/>
      </c>
      <c r="Q617" s="199" t="str">
        <f>IF(B617="","",IFERROR(IF('עלויות כח אדם (6)'!J617&gt;=VLOOKUP(I617,'סיווג התפקידים והעלויות'!$B$23:$C$32,2,0),"תקין","לא תקין"),""))</f>
        <v/>
      </c>
      <c r="R617" s="199" t="str">
        <f t="shared" si="142"/>
        <v/>
      </c>
      <c r="S617" s="199" t="str">
        <f t="shared" si="143"/>
        <v/>
      </c>
      <c r="T617" s="199" t="str">
        <f t="shared" si="151"/>
        <v/>
      </c>
      <c r="U617" s="199" t="str">
        <f t="shared" si="144"/>
        <v/>
      </c>
      <c r="V617" s="989"/>
      <c r="X617" s="374" t="str">
        <f t="shared" si="145"/>
        <v/>
      </c>
      <c r="Y617" s="375" t="str">
        <f t="shared" si="146"/>
        <v/>
      </c>
      <c r="Z617" s="374" t="str">
        <f t="shared" si="147"/>
        <v/>
      </c>
      <c r="AA617" s="374" t="b">
        <f t="shared" si="148"/>
        <v>1</v>
      </c>
      <c r="AB617" s="374">
        <f>COUNTIFS(B:B,B617,H:H,'סיווג התפקידים והעלויות'!$C$2)</f>
        <v>0</v>
      </c>
      <c r="AC617" s="374">
        <f>COUNTIFS(B:B,B617,H:H,'סיווג התפקידים והעלויות'!$D$2)</f>
        <v>0</v>
      </c>
      <c r="AD617" s="374" t="str">
        <f>IF(OR(AND(H617='סיווג התפקידים והעלויות'!$A$2,I617='סיווג התפקידים והעלויות'!$A$3),'עלויות כח אדם (6)'!H617='סיווג התפקידים והעלויות'!$C$2,'עלויות כח אדם (6)'!H617='סיווג התפקידים והעלויות'!$D$2),IF('עלויות כח אדם (6)'!J617&lt;75,"לא תקין","תקין"),"")</f>
        <v/>
      </c>
      <c r="AE617" s="374" t="str">
        <f t="shared" si="149"/>
        <v/>
      </c>
      <c r="AF617" s="532" t="str">
        <f t="shared" si="150"/>
        <v/>
      </c>
    </row>
    <row r="618" spans="2:32" x14ac:dyDescent="0.25">
      <c r="B618" s="695"/>
      <c r="C618" s="197" t="str">
        <f>IF(B618&lt;&gt;"",IFERROR(VLOOKUP(B:B,'מצבת והרשמה (2)'!$C$20:$N$520,2,0)," ")," ")</f>
        <v xml:space="preserve"> </v>
      </c>
      <c r="D618" s="695"/>
      <c r="E618" s="696"/>
      <c r="F618" s="696"/>
      <c r="G618" s="696"/>
      <c r="H618" s="696"/>
      <c r="I618" s="1050" t="str">
        <f t="shared" si="137"/>
        <v/>
      </c>
      <c r="J618" s="696"/>
      <c r="K618" s="697"/>
      <c r="L618" s="696"/>
      <c r="M618" s="198" t="str">
        <f t="shared" si="138"/>
        <v/>
      </c>
      <c r="N618" s="369" t="str">
        <f t="shared" si="139"/>
        <v/>
      </c>
      <c r="O618" s="183" t="str">
        <f t="shared" si="140"/>
        <v/>
      </c>
      <c r="P618" s="199" t="str">
        <f t="shared" si="141"/>
        <v/>
      </c>
      <c r="Q618" s="199" t="str">
        <f>IF(B618="","",IFERROR(IF('עלויות כח אדם (6)'!J618&gt;=VLOOKUP(I618,'סיווג התפקידים והעלויות'!$B$23:$C$32,2,0),"תקין","לא תקין"),""))</f>
        <v/>
      </c>
      <c r="R618" s="199" t="str">
        <f t="shared" si="142"/>
        <v/>
      </c>
      <c r="S618" s="199" t="str">
        <f t="shared" si="143"/>
        <v/>
      </c>
      <c r="T618" s="199" t="str">
        <f t="shared" si="151"/>
        <v/>
      </c>
      <c r="U618" s="199" t="str">
        <f t="shared" si="144"/>
        <v/>
      </c>
      <c r="V618" s="989"/>
      <c r="X618" s="374" t="str">
        <f t="shared" si="145"/>
        <v/>
      </c>
      <c r="Y618" s="375" t="str">
        <f t="shared" si="146"/>
        <v/>
      </c>
      <c r="Z618" s="374" t="str">
        <f t="shared" si="147"/>
        <v/>
      </c>
      <c r="AA618" s="374" t="b">
        <f t="shared" si="148"/>
        <v>1</v>
      </c>
      <c r="AB618" s="374">
        <f>COUNTIFS(B:B,B618,H:H,'סיווג התפקידים והעלויות'!$C$2)</f>
        <v>0</v>
      </c>
      <c r="AC618" s="374">
        <f>COUNTIFS(B:B,B618,H:H,'סיווג התפקידים והעלויות'!$D$2)</f>
        <v>0</v>
      </c>
      <c r="AD618" s="374" t="str">
        <f>IF(OR(AND(H618='סיווג התפקידים והעלויות'!$A$2,I618='סיווג התפקידים והעלויות'!$A$3),'עלויות כח אדם (6)'!H618='סיווג התפקידים והעלויות'!$C$2,'עלויות כח אדם (6)'!H618='סיווג התפקידים והעלויות'!$D$2),IF('עלויות כח אדם (6)'!J618&lt;75,"לא תקין","תקין"),"")</f>
        <v/>
      </c>
      <c r="AE618" s="374" t="str">
        <f t="shared" si="149"/>
        <v/>
      </c>
      <c r="AF618" s="532" t="str">
        <f t="shared" si="150"/>
        <v/>
      </c>
    </row>
    <row r="619" spans="2:32" x14ac:dyDescent="0.25">
      <c r="B619" s="695"/>
      <c r="C619" s="197" t="str">
        <f>IF(B619&lt;&gt;"",IFERROR(VLOOKUP(B:B,'מצבת והרשמה (2)'!$C$20:$N$520,2,0)," ")," ")</f>
        <v xml:space="preserve"> </v>
      </c>
      <c r="D619" s="695"/>
      <c r="E619" s="696"/>
      <c r="F619" s="696"/>
      <c r="G619" s="696"/>
      <c r="H619" s="696"/>
      <c r="I619" s="1050" t="str">
        <f t="shared" si="137"/>
        <v/>
      </c>
      <c r="J619" s="696"/>
      <c r="K619" s="697"/>
      <c r="L619" s="696"/>
      <c r="M619" s="198" t="str">
        <f t="shared" si="138"/>
        <v/>
      </c>
      <c r="N619" s="369" t="str">
        <f t="shared" si="139"/>
        <v/>
      </c>
      <c r="O619" s="183" t="str">
        <f t="shared" si="140"/>
        <v/>
      </c>
      <c r="P619" s="199" t="str">
        <f t="shared" si="141"/>
        <v/>
      </c>
      <c r="Q619" s="199" t="str">
        <f>IF(B619="","",IFERROR(IF('עלויות כח אדם (6)'!J619&gt;=VLOOKUP(I619,'סיווג התפקידים והעלויות'!$B$23:$C$32,2,0),"תקין","לא תקין"),""))</f>
        <v/>
      </c>
      <c r="R619" s="199" t="str">
        <f t="shared" si="142"/>
        <v/>
      </c>
      <c r="S619" s="199" t="str">
        <f t="shared" si="143"/>
        <v/>
      </c>
      <c r="T619" s="199" t="str">
        <f t="shared" si="151"/>
        <v/>
      </c>
      <c r="U619" s="199" t="str">
        <f t="shared" si="144"/>
        <v/>
      </c>
      <c r="V619" s="989"/>
      <c r="X619" s="374" t="str">
        <f t="shared" si="145"/>
        <v/>
      </c>
      <c r="Y619" s="375" t="str">
        <f t="shared" si="146"/>
        <v/>
      </c>
      <c r="Z619" s="374" t="str">
        <f t="shared" si="147"/>
        <v/>
      </c>
      <c r="AA619" s="374" t="b">
        <f t="shared" si="148"/>
        <v>1</v>
      </c>
      <c r="AB619" s="374">
        <f>COUNTIFS(B:B,B619,H:H,'סיווג התפקידים והעלויות'!$C$2)</f>
        <v>0</v>
      </c>
      <c r="AC619" s="374">
        <f>COUNTIFS(B:B,B619,H:H,'סיווג התפקידים והעלויות'!$D$2)</f>
        <v>0</v>
      </c>
      <c r="AD619" s="374" t="str">
        <f>IF(OR(AND(H619='סיווג התפקידים והעלויות'!$A$2,I619='סיווג התפקידים והעלויות'!$A$3),'עלויות כח אדם (6)'!H619='סיווג התפקידים והעלויות'!$C$2,'עלויות כח אדם (6)'!H619='סיווג התפקידים והעלויות'!$D$2),IF('עלויות כח אדם (6)'!J619&lt;75,"לא תקין","תקין"),"")</f>
        <v/>
      </c>
      <c r="AE619" s="374" t="str">
        <f t="shared" si="149"/>
        <v/>
      </c>
      <c r="AF619" s="532" t="str">
        <f t="shared" si="150"/>
        <v/>
      </c>
    </row>
    <row r="620" spans="2:32" x14ac:dyDescent="0.25">
      <c r="B620" s="695"/>
      <c r="C620" s="197" t="str">
        <f>IF(B620&lt;&gt;"",IFERROR(VLOOKUP(B:B,'מצבת והרשמה (2)'!$C$20:$N$520,2,0)," ")," ")</f>
        <v xml:space="preserve"> </v>
      </c>
      <c r="D620" s="695"/>
      <c r="E620" s="696"/>
      <c r="F620" s="696"/>
      <c r="G620" s="696"/>
      <c r="H620" s="696"/>
      <c r="I620" s="1050" t="str">
        <f t="shared" si="137"/>
        <v/>
      </c>
      <c r="J620" s="696"/>
      <c r="K620" s="697"/>
      <c r="L620" s="696"/>
      <c r="M620" s="198" t="str">
        <f t="shared" si="138"/>
        <v/>
      </c>
      <c r="N620" s="369" t="str">
        <f t="shared" si="139"/>
        <v/>
      </c>
      <c r="O620" s="183" t="str">
        <f t="shared" si="140"/>
        <v/>
      </c>
      <c r="P620" s="199" t="str">
        <f t="shared" si="141"/>
        <v/>
      </c>
      <c r="Q620" s="199" t="str">
        <f>IF(B620="","",IFERROR(IF('עלויות כח אדם (6)'!J620&gt;=VLOOKUP(I620,'סיווג התפקידים והעלויות'!$B$23:$C$32,2,0),"תקין","לא תקין"),""))</f>
        <v/>
      </c>
      <c r="R620" s="199" t="str">
        <f t="shared" si="142"/>
        <v/>
      </c>
      <c r="S620" s="199" t="str">
        <f t="shared" si="143"/>
        <v/>
      </c>
      <c r="T620" s="199" t="str">
        <f t="shared" si="151"/>
        <v/>
      </c>
      <c r="U620" s="199" t="str">
        <f t="shared" si="144"/>
        <v/>
      </c>
      <c r="V620" s="989"/>
      <c r="X620" s="374" t="str">
        <f t="shared" si="145"/>
        <v/>
      </c>
      <c r="Y620" s="375" t="str">
        <f t="shared" si="146"/>
        <v/>
      </c>
      <c r="Z620" s="374" t="str">
        <f t="shared" si="147"/>
        <v/>
      </c>
      <c r="AA620" s="374" t="b">
        <f t="shared" si="148"/>
        <v>1</v>
      </c>
      <c r="AB620" s="374">
        <f>COUNTIFS(B:B,B620,H:H,'סיווג התפקידים והעלויות'!$C$2)</f>
        <v>0</v>
      </c>
      <c r="AC620" s="374">
        <f>COUNTIFS(B:B,B620,H:H,'סיווג התפקידים והעלויות'!$D$2)</f>
        <v>0</v>
      </c>
      <c r="AD620" s="374" t="str">
        <f>IF(OR(AND(H620='סיווג התפקידים והעלויות'!$A$2,I620='סיווג התפקידים והעלויות'!$A$3),'עלויות כח אדם (6)'!H620='סיווג התפקידים והעלויות'!$C$2,'עלויות כח אדם (6)'!H620='סיווג התפקידים והעלויות'!$D$2),IF('עלויות כח אדם (6)'!J620&lt;75,"לא תקין","תקין"),"")</f>
        <v/>
      </c>
      <c r="AE620" s="374" t="str">
        <f t="shared" si="149"/>
        <v/>
      </c>
      <c r="AF620" s="532" t="str">
        <f t="shared" si="150"/>
        <v/>
      </c>
    </row>
    <row r="621" spans="2:32" x14ac:dyDescent="0.25">
      <c r="B621" s="695"/>
      <c r="C621" s="197" t="str">
        <f>IF(B621&lt;&gt;"",IFERROR(VLOOKUP(B:B,'מצבת והרשמה (2)'!$C$20:$N$520,2,0)," ")," ")</f>
        <v xml:space="preserve"> </v>
      </c>
      <c r="D621" s="695"/>
      <c r="E621" s="696"/>
      <c r="F621" s="696"/>
      <c r="G621" s="696"/>
      <c r="H621" s="696"/>
      <c r="I621" s="1050" t="str">
        <f t="shared" si="137"/>
        <v/>
      </c>
      <c r="J621" s="696"/>
      <c r="K621" s="697"/>
      <c r="L621" s="696"/>
      <c r="M621" s="198" t="str">
        <f t="shared" si="138"/>
        <v/>
      </c>
      <c r="N621" s="369" t="str">
        <f t="shared" si="139"/>
        <v/>
      </c>
      <c r="O621" s="183" t="str">
        <f t="shared" si="140"/>
        <v/>
      </c>
      <c r="P621" s="199" t="str">
        <f t="shared" si="141"/>
        <v/>
      </c>
      <c r="Q621" s="199" t="str">
        <f>IF(B621="","",IFERROR(IF('עלויות כח אדם (6)'!J621&gt;=VLOOKUP(I621,'סיווג התפקידים והעלויות'!$B$23:$C$32,2,0),"תקין","לא תקין"),""))</f>
        <v/>
      </c>
      <c r="R621" s="199" t="str">
        <f t="shared" si="142"/>
        <v/>
      </c>
      <c r="S621" s="199" t="str">
        <f t="shared" si="143"/>
        <v/>
      </c>
      <c r="T621" s="199" t="str">
        <f t="shared" si="151"/>
        <v/>
      </c>
      <c r="U621" s="199" t="str">
        <f t="shared" si="144"/>
        <v/>
      </c>
      <c r="V621" s="989"/>
      <c r="X621" s="374" t="str">
        <f t="shared" si="145"/>
        <v/>
      </c>
      <c r="Y621" s="375" t="str">
        <f t="shared" si="146"/>
        <v/>
      </c>
      <c r="Z621" s="374" t="str">
        <f t="shared" si="147"/>
        <v/>
      </c>
      <c r="AA621" s="374" t="b">
        <f t="shared" si="148"/>
        <v>1</v>
      </c>
      <c r="AB621" s="374">
        <f>COUNTIFS(B:B,B621,H:H,'סיווג התפקידים והעלויות'!$C$2)</f>
        <v>0</v>
      </c>
      <c r="AC621" s="374">
        <f>COUNTIFS(B:B,B621,H:H,'סיווג התפקידים והעלויות'!$D$2)</f>
        <v>0</v>
      </c>
      <c r="AD621" s="374" t="str">
        <f>IF(OR(AND(H621='סיווג התפקידים והעלויות'!$A$2,I621='סיווג התפקידים והעלויות'!$A$3),'עלויות כח אדם (6)'!H621='סיווג התפקידים והעלויות'!$C$2,'עלויות כח אדם (6)'!H621='סיווג התפקידים והעלויות'!$D$2),IF('עלויות כח אדם (6)'!J621&lt;75,"לא תקין","תקין"),"")</f>
        <v/>
      </c>
      <c r="AE621" s="374" t="str">
        <f t="shared" si="149"/>
        <v/>
      </c>
      <c r="AF621" s="532" t="str">
        <f t="shared" si="150"/>
        <v/>
      </c>
    </row>
    <row r="622" spans="2:32" x14ac:dyDescent="0.25">
      <c r="B622" s="695"/>
      <c r="C622" s="197" t="str">
        <f>IF(B622&lt;&gt;"",IFERROR(VLOOKUP(B:B,'מצבת והרשמה (2)'!$C$20:$N$520,2,0)," ")," ")</f>
        <v xml:space="preserve"> </v>
      </c>
      <c r="D622" s="695"/>
      <c r="E622" s="696"/>
      <c r="F622" s="696"/>
      <c r="G622" s="696"/>
      <c r="H622" s="696"/>
      <c r="I622" s="1050" t="str">
        <f t="shared" si="137"/>
        <v/>
      </c>
      <c r="J622" s="696"/>
      <c r="K622" s="697"/>
      <c r="L622" s="696"/>
      <c r="M622" s="198" t="str">
        <f t="shared" si="138"/>
        <v/>
      </c>
      <c r="N622" s="369" t="str">
        <f t="shared" si="139"/>
        <v/>
      </c>
      <c r="O622" s="183" t="str">
        <f t="shared" si="140"/>
        <v/>
      </c>
      <c r="P622" s="199" t="str">
        <f t="shared" si="141"/>
        <v/>
      </c>
      <c r="Q622" s="199" t="str">
        <f>IF(B622="","",IFERROR(IF('עלויות כח אדם (6)'!J622&gt;=VLOOKUP(I622,'סיווג התפקידים והעלויות'!$B$23:$C$32,2,0),"תקין","לא תקין"),""))</f>
        <v/>
      </c>
      <c r="R622" s="199" t="str">
        <f t="shared" si="142"/>
        <v/>
      </c>
      <c r="S622" s="199" t="str">
        <f t="shared" si="143"/>
        <v/>
      </c>
      <c r="T622" s="199" t="str">
        <f t="shared" si="151"/>
        <v/>
      </c>
      <c r="U622" s="199" t="str">
        <f t="shared" si="144"/>
        <v/>
      </c>
      <c r="V622" s="989"/>
      <c r="X622" s="374" t="str">
        <f t="shared" si="145"/>
        <v/>
      </c>
      <c r="Y622" s="375" t="str">
        <f t="shared" si="146"/>
        <v/>
      </c>
      <c r="Z622" s="374" t="str">
        <f t="shared" si="147"/>
        <v/>
      </c>
      <c r="AA622" s="374" t="b">
        <f t="shared" si="148"/>
        <v>1</v>
      </c>
      <c r="AB622" s="374">
        <f>COUNTIFS(B:B,B622,H:H,'סיווג התפקידים והעלויות'!$C$2)</f>
        <v>0</v>
      </c>
      <c r="AC622" s="374">
        <f>COUNTIFS(B:B,B622,H:H,'סיווג התפקידים והעלויות'!$D$2)</f>
        <v>0</v>
      </c>
      <c r="AD622" s="374" t="str">
        <f>IF(OR(AND(H622='סיווג התפקידים והעלויות'!$A$2,I622='סיווג התפקידים והעלויות'!$A$3),'עלויות כח אדם (6)'!H622='סיווג התפקידים והעלויות'!$C$2,'עלויות כח אדם (6)'!H622='סיווג התפקידים והעלויות'!$D$2),IF('עלויות כח אדם (6)'!J622&lt;75,"לא תקין","תקין"),"")</f>
        <v/>
      </c>
      <c r="AE622" s="374" t="str">
        <f t="shared" si="149"/>
        <v/>
      </c>
      <c r="AF622" s="532" t="str">
        <f t="shared" si="150"/>
        <v/>
      </c>
    </row>
    <row r="623" spans="2:32" x14ac:dyDescent="0.25">
      <c r="B623" s="695"/>
      <c r="C623" s="197" t="str">
        <f>IF(B623&lt;&gt;"",IFERROR(VLOOKUP(B:B,'מצבת והרשמה (2)'!$C$20:$N$520,2,0)," ")," ")</f>
        <v xml:space="preserve"> </v>
      </c>
      <c r="D623" s="695"/>
      <c r="E623" s="696"/>
      <c r="F623" s="696"/>
      <c r="G623" s="696"/>
      <c r="H623" s="696"/>
      <c r="I623" s="1050" t="str">
        <f t="shared" si="137"/>
        <v/>
      </c>
      <c r="J623" s="696"/>
      <c r="K623" s="697"/>
      <c r="L623" s="696"/>
      <c r="M623" s="198" t="str">
        <f t="shared" si="138"/>
        <v/>
      </c>
      <c r="N623" s="369" t="str">
        <f t="shared" si="139"/>
        <v/>
      </c>
      <c r="O623" s="183" t="str">
        <f t="shared" si="140"/>
        <v/>
      </c>
      <c r="P623" s="199" t="str">
        <f t="shared" si="141"/>
        <v/>
      </c>
      <c r="Q623" s="199" t="str">
        <f>IF(B623="","",IFERROR(IF('עלויות כח אדם (6)'!J623&gt;=VLOOKUP(I623,'סיווג התפקידים והעלויות'!$B$23:$C$32,2,0),"תקין","לא תקין"),""))</f>
        <v/>
      </c>
      <c r="R623" s="199" t="str">
        <f t="shared" si="142"/>
        <v/>
      </c>
      <c r="S623" s="199" t="str">
        <f t="shared" si="143"/>
        <v/>
      </c>
      <c r="T623" s="199" t="str">
        <f t="shared" si="151"/>
        <v/>
      </c>
      <c r="U623" s="199" t="str">
        <f t="shared" si="144"/>
        <v/>
      </c>
      <c r="V623" s="989"/>
      <c r="X623" s="374" t="str">
        <f t="shared" si="145"/>
        <v/>
      </c>
      <c r="Y623" s="375" t="str">
        <f t="shared" si="146"/>
        <v/>
      </c>
      <c r="Z623" s="374" t="str">
        <f t="shared" si="147"/>
        <v/>
      </c>
      <c r="AA623" s="374" t="b">
        <f t="shared" si="148"/>
        <v>1</v>
      </c>
      <c r="AB623" s="374">
        <f>COUNTIFS(B:B,B623,H:H,'סיווג התפקידים והעלויות'!$C$2)</f>
        <v>0</v>
      </c>
      <c r="AC623" s="374">
        <f>COUNTIFS(B:B,B623,H:H,'סיווג התפקידים והעלויות'!$D$2)</f>
        <v>0</v>
      </c>
      <c r="AD623" s="374" t="str">
        <f>IF(OR(AND(H623='סיווג התפקידים והעלויות'!$A$2,I623='סיווג התפקידים והעלויות'!$A$3),'עלויות כח אדם (6)'!H623='סיווג התפקידים והעלויות'!$C$2,'עלויות כח אדם (6)'!H623='סיווג התפקידים והעלויות'!$D$2),IF('עלויות כח אדם (6)'!J623&lt;75,"לא תקין","תקין"),"")</f>
        <v/>
      </c>
      <c r="AE623" s="374" t="str">
        <f t="shared" si="149"/>
        <v/>
      </c>
      <c r="AF623" s="532" t="str">
        <f t="shared" si="150"/>
        <v/>
      </c>
    </row>
    <row r="624" spans="2:32" x14ac:dyDescent="0.25">
      <c r="B624" s="695"/>
      <c r="C624" s="197" t="str">
        <f>IF(B624&lt;&gt;"",IFERROR(VLOOKUP(B:B,'מצבת והרשמה (2)'!$C$20:$N$520,2,0)," ")," ")</f>
        <v xml:space="preserve"> </v>
      </c>
      <c r="D624" s="695"/>
      <c r="E624" s="696"/>
      <c r="F624" s="696"/>
      <c r="G624" s="696"/>
      <c r="H624" s="696"/>
      <c r="I624" s="1050" t="str">
        <f t="shared" si="137"/>
        <v/>
      </c>
      <c r="J624" s="696"/>
      <c r="K624" s="697"/>
      <c r="L624" s="696"/>
      <c r="M624" s="198" t="str">
        <f t="shared" si="138"/>
        <v/>
      </c>
      <c r="N624" s="369" t="str">
        <f t="shared" si="139"/>
        <v/>
      </c>
      <c r="O624" s="183" t="str">
        <f t="shared" si="140"/>
        <v/>
      </c>
      <c r="P624" s="199" t="str">
        <f t="shared" si="141"/>
        <v/>
      </c>
      <c r="Q624" s="199" t="str">
        <f>IF(B624="","",IFERROR(IF('עלויות כח אדם (6)'!J624&gt;=VLOOKUP(I624,'סיווג התפקידים והעלויות'!$B$23:$C$32,2,0),"תקין","לא תקין"),""))</f>
        <v/>
      </c>
      <c r="R624" s="199" t="str">
        <f t="shared" si="142"/>
        <v/>
      </c>
      <c r="S624" s="199" t="str">
        <f t="shared" si="143"/>
        <v/>
      </c>
      <c r="T624" s="199" t="str">
        <f t="shared" si="151"/>
        <v/>
      </c>
      <c r="U624" s="199" t="str">
        <f t="shared" si="144"/>
        <v/>
      </c>
      <c r="V624" s="989"/>
      <c r="X624" s="374" t="str">
        <f t="shared" si="145"/>
        <v/>
      </c>
      <c r="Y624" s="375" t="str">
        <f t="shared" si="146"/>
        <v/>
      </c>
      <c r="Z624" s="374" t="str">
        <f t="shared" si="147"/>
        <v/>
      </c>
      <c r="AA624" s="374" t="b">
        <f t="shared" si="148"/>
        <v>1</v>
      </c>
      <c r="AB624" s="374">
        <f>COUNTIFS(B:B,B624,H:H,'סיווג התפקידים והעלויות'!$C$2)</f>
        <v>0</v>
      </c>
      <c r="AC624" s="374">
        <f>COUNTIFS(B:B,B624,H:H,'סיווג התפקידים והעלויות'!$D$2)</f>
        <v>0</v>
      </c>
      <c r="AD624" s="374" t="str">
        <f>IF(OR(AND(H624='סיווג התפקידים והעלויות'!$A$2,I624='סיווג התפקידים והעלויות'!$A$3),'עלויות כח אדם (6)'!H624='סיווג התפקידים והעלויות'!$C$2,'עלויות כח אדם (6)'!H624='סיווג התפקידים והעלויות'!$D$2),IF('עלויות כח אדם (6)'!J624&lt;75,"לא תקין","תקין"),"")</f>
        <v/>
      </c>
      <c r="AE624" s="374" t="str">
        <f t="shared" si="149"/>
        <v/>
      </c>
      <c r="AF624" s="532" t="str">
        <f t="shared" si="150"/>
        <v/>
      </c>
    </row>
    <row r="625" spans="2:32" x14ac:dyDescent="0.25">
      <c r="B625" s="695"/>
      <c r="C625" s="197" t="str">
        <f>IF(B625&lt;&gt;"",IFERROR(VLOOKUP(B:B,'מצבת והרשמה (2)'!$C$20:$N$520,2,0)," ")," ")</f>
        <v xml:space="preserve"> </v>
      </c>
      <c r="D625" s="695"/>
      <c r="E625" s="696"/>
      <c r="F625" s="696"/>
      <c r="G625" s="696"/>
      <c r="H625" s="696"/>
      <c r="I625" s="1050" t="str">
        <f t="shared" si="137"/>
        <v/>
      </c>
      <c r="J625" s="696"/>
      <c r="K625" s="697"/>
      <c r="L625" s="696"/>
      <c r="M625" s="198" t="str">
        <f t="shared" si="138"/>
        <v/>
      </c>
      <c r="N625" s="369" t="str">
        <f t="shared" si="139"/>
        <v/>
      </c>
      <c r="O625" s="183" t="str">
        <f t="shared" si="140"/>
        <v/>
      </c>
      <c r="P625" s="199" t="str">
        <f t="shared" si="141"/>
        <v/>
      </c>
      <c r="Q625" s="199" t="str">
        <f>IF(B625="","",IFERROR(IF('עלויות כח אדם (6)'!J625&gt;=VLOOKUP(I625,'סיווג התפקידים והעלויות'!$B$23:$C$32,2,0),"תקין","לא תקין"),""))</f>
        <v/>
      </c>
      <c r="R625" s="199" t="str">
        <f t="shared" si="142"/>
        <v/>
      </c>
      <c r="S625" s="199" t="str">
        <f t="shared" si="143"/>
        <v/>
      </c>
      <c r="T625" s="199" t="str">
        <f t="shared" si="151"/>
        <v/>
      </c>
      <c r="U625" s="199" t="str">
        <f t="shared" si="144"/>
        <v/>
      </c>
      <c r="V625" s="989"/>
      <c r="X625" s="374" t="str">
        <f t="shared" si="145"/>
        <v/>
      </c>
      <c r="Y625" s="375" t="str">
        <f t="shared" si="146"/>
        <v/>
      </c>
      <c r="Z625" s="374" t="str">
        <f t="shared" si="147"/>
        <v/>
      </c>
      <c r="AA625" s="374" t="b">
        <f t="shared" si="148"/>
        <v>1</v>
      </c>
      <c r="AB625" s="374">
        <f>COUNTIFS(B:B,B625,H:H,'סיווג התפקידים והעלויות'!$C$2)</f>
        <v>0</v>
      </c>
      <c r="AC625" s="374">
        <f>COUNTIFS(B:B,B625,H:H,'סיווג התפקידים והעלויות'!$D$2)</f>
        <v>0</v>
      </c>
      <c r="AD625" s="374" t="str">
        <f>IF(OR(AND(H625='סיווג התפקידים והעלויות'!$A$2,I625='סיווג התפקידים והעלויות'!$A$3),'עלויות כח אדם (6)'!H625='סיווג התפקידים והעלויות'!$C$2,'עלויות כח אדם (6)'!H625='סיווג התפקידים והעלויות'!$D$2),IF('עלויות כח אדם (6)'!J625&lt;75,"לא תקין","תקין"),"")</f>
        <v/>
      </c>
      <c r="AE625" s="374" t="str">
        <f t="shared" si="149"/>
        <v/>
      </c>
      <c r="AF625" s="532" t="str">
        <f t="shared" si="150"/>
        <v/>
      </c>
    </row>
    <row r="626" spans="2:32" x14ac:dyDescent="0.25">
      <c r="B626" s="695"/>
      <c r="C626" s="197" t="str">
        <f>IF(B626&lt;&gt;"",IFERROR(VLOOKUP(B:B,'מצבת והרשמה (2)'!$C$20:$N$520,2,0)," ")," ")</f>
        <v xml:space="preserve"> </v>
      </c>
      <c r="D626" s="695"/>
      <c r="E626" s="696"/>
      <c r="F626" s="696"/>
      <c r="G626" s="696"/>
      <c r="H626" s="696"/>
      <c r="I626" s="1050" t="str">
        <f t="shared" si="137"/>
        <v/>
      </c>
      <c r="J626" s="696"/>
      <c r="K626" s="697"/>
      <c r="L626" s="696"/>
      <c r="M626" s="198" t="str">
        <f t="shared" si="138"/>
        <v/>
      </c>
      <c r="N626" s="369" t="str">
        <f t="shared" si="139"/>
        <v/>
      </c>
      <c r="O626" s="183" t="str">
        <f t="shared" si="140"/>
        <v/>
      </c>
      <c r="P626" s="199" t="str">
        <f t="shared" si="141"/>
        <v/>
      </c>
      <c r="Q626" s="199" t="str">
        <f>IF(B626="","",IFERROR(IF('עלויות כח אדם (6)'!J626&gt;=VLOOKUP(I626,'סיווג התפקידים והעלויות'!$B$23:$C$32,2,0),"תקין","לא תקין"),""))</f>
        <v/>
      </c>
      <c r="R626" s="199" t="str">
        <f t="shared" si="142"/>
        <v/>
      </c>
      <c r="S626" s="199" t="str">
        <f t="shared" si="143"/>
        <v/>
      </c>
      <c r="T626" s="199" t="str">
        <f t="shared" si="151"/>
        <v/>
      </c>
      <c r="U626" s="199" t="str">
        <f t="shared" si="144"/>
        <v/>
      </c>
      <c r="V626" s="989"/>
      <c r="X626" s="374" t="str">
        <f t="shared" si="145"/>
        <v/>
      </c>
      <c r="Y626" s="375" t="str">
        <f t="shared" si="146"/>
        <v/>
      </c>
      <c r="Z626" s="374" t="str">
        <f t="shared" si="147"/>
        <v/>
      </c>
      <c r="AA626" s="374" t="b">
        <f t="shared" si="148"/>
        <v>1</v>
      </c>
      <c r="AB626" s="374">
        <f>COUNTIFS(B:B,B626,H:H,'סיווג התפקידים והעלויות'!$C$2)</f>
        <v>0</v>
      </c>
      <c r="AC626" s="374">
        <f>COUNTIFS(B:B,B626,H:H,'סיווג התפקידים והעלויות'!$D$2)</f>
        <v>0</v>
      </c>
      <c r="AD626" s="374" t="str">
        <f>IF(OR(AND(H626='סיווג התפקידים והעלויות'!$A$2,I626='סיווג התפקידים והעלויות'!$A$3),'עלויות כח אדם (6)'!H626='סיווג התפקידים והעלויות'!$C$2,'עלויות כח אדם (6)'!H626='סיווג התפקידים והעלויות'!$D$2),IF('עלויות כח אדם (6)'!J626&lt;75,"לא תקין","תקין"),"")</f>
        <v/>
      </c>
      <c r="AE626" s="374" t="str">
        <f t="shared" si="149"/>
        <v/>
      </c>
      <c r="AF626" s="532" t="str">
        <f t="shared" si="150"/>
        <v/>
      </c>
    </row>
    <row r="627" spans="2:32" x14ac:dyDescent="0.25">
      <c r="B627" s="695"/>
      <c r="C627" s="197" t="str">
        <f>IF(B627&lt;&gt;"",IFERROR(VLOOKUP(B:B,'מצבת והרשמה (2)'!$C$20:$N$520,2,0)," ")," ")</f>
        <v xml:space="preserve"> </v>
      </c>
      <c r="D627" s="695"/>
      <c r="E627" s="696"/>
      <c r="F627" s="696"/>
      <c r="G627" s="696"/>
      <c r="H627" s="696"/>
      <c r="I627" s="1050" t="str">
        <f t="shared" si="137"/>
        <v/>
      </c>
      <c r="J627" s="696"/>
      <c r="K627" s="697"/>
      <c r="L627" s="696"/>
      <c r="M627" s="198" t="str">
        <f t="shared" si="138"/>
        <v/>
      </c>
      <c r="N627" s="369" t="str">
        <f t="shared" si="139"/>
        <v/>
      </c>
      <c r="O627" s="183" t="str">
        <f t="shared" si="140"/>
        <v/>
      </c>
      <c r="P627" s="199" t="str">
        <f t="shared" si="141"/>
        <v/>
      </c>
      <c r="Q627" s="199" t="str">
        <f>IF(B627="","",IFERROR(IF('עלויות כח אדם (6)'!J627&gt;=VLOOKUP(I627,'סיווג התפקידים והעלויות'!$B$23:$C$32,2,0),"תקין","לא תקין"),""))</f>
        <v/>
      </c>
      <c r="R627" s="199" t="str">
        <f t="shared" si="142"/>
        <v/>
      </c>
      <c r="S627" s="199" t="str">
        <f t="shared" si="143"/>
        <v/>
      </c>
      <c r="T627" s="199" t="str">
        <f t="shared" si="151"/>
        <v/>
      </c>
      <c r="U627" s="199" t="str">
        <f t="shared" si="144"/>
        <v/>
      </c>
      <c r="V627" s="989"/>
      <c r="X627" s="374" t="str">
        <f t="shared" si="145"/>
        <v/>
      </c>
      <c r="Y627" s="375" t="str">
        <f t="shared" si="146"/>
        <v/>
      </c>
      <c r="Z627" s="374" t="str">
        <f t="shared" si="147"/>
        <v/>
      </c>
      <c r="AA627" s="374" t="b">
        <f t="shared" si="148"/>
        <v>1</v>
      </c>
      <c r="AB627" s="374">
        <f>COUNTIFS(B:B,B627,H:H,'סיווג התפקידים והעלויות'!$C$2)</f>
        <v>0</v>
      </c>
      <c r="AC627" s="374">
        <f>COUNTIFS(B:B,B627,H:H,'סיווג התפקידים והעלויות'!$D$2)</f>
        <v>0</v>
      </c>
      <c r="AD627" s="374" t="str">
        <f>IF(OR(AND(H627='סיווג התפקידים והעלויות'!$A$2,I627='סיווג התפקידים והעלויות'!$A$3),'עלויות כח אדם (6)'!H627='סיווג התפקידים והעלויות'!$C$2,'עלויות כח אדם (6)'!H627='סיווג התפקידים והעלויות'!$D$2),IF('עלויות כח אדם (6)'!J627&lt;75,"לא תקין","תקין"),"")</f>
        <v/>
      </c>
      <c r="AE627" s="374" t="str">
        <f t="shared" si="149"/>
        <v/>
      </c>
      <c r="AF627" s="532" t="str">
        <f t="shared" si="150"/>
        <v/>
      </c>
    </row>
    <row r="628" spans="2:32" x14ac:dyDescent="0.25">
      <c r="B628" s="695"/>
      <c r="C628" s="197" t="str">
        <f>IF(B628&lt;&gt;"",IFERROR(VLOOKUP(B:B,'מצבת והרשמה (2)'!$C$20:$N$520,2,0)," ")," ")</f>
        <v xml:space="preserve"> </v>
      </c>
      <c r="D628" s="695"/>
      <c r="E628" s="696"/>
      <c r="F628" s="696"/>
      <c r="G628" s="696"/>
      <c r="H628" s="696"/>
      <c r="I628" s="1050" t="str">
        <f t="shared" si="137"/>
        <v/>
      </c>
      <c r="J628" s="696"/>
      <c r="K628" s="697"/>
      <c r="L628" s="696"/>
      <c r="M628" s="198" t="str">
        <f t="shared" si="138"/>
        <v/>
      </c>
      <c r="N628" s="369" t="str">
        <f t="shared" si="139"/>
        <v/>
      </c>
      <c r="O628" s="183" t="str">
        <f t="shared" si="140"/>
        <v/>
      </c>
      <c r="P628" s="199" t="str">
        <f t="shared" si="141"/>
        <v/>
      </c>
      <c r="Q628" s="199" t="str">
        <f>IF(B628="","",IFERROR(IF('עלויות כח אדם (6)'!J628&gt;=VLOOKUP(I628,'סיווג התפקידים והעלויות'!$B$23:$C$32,2,0),"תקין","לא תקין"),""))</f>
        <v/>
      </c>
      <c r="R628" s="199" t="str">
        <f t="shared" si="142"/>
        <v/>
      </c>
      <c r="S628" s="199" t="str">
        <f t="shared" si="143"/>
        <v/>
      </c>
      <c r="T628" s="199" t="str">
        <f t="shared" si="151"/>
        <v/>
      </c>
      <c r="U628" s="199" t="str">
        <f t="shared" si="144"/>
        <v/>
      </c>
      <c r="V628" s="989"/>
      <c r="X628" s="374" t="str">
        <f t="shared" si="145"/>
        <v/>
      </c>
      <c r="Y628" s="375" t="str">
        <f t="shared" si="146"/>
        <v/>
      </c>
      <c r="Z628" s="374" t="str">
        <f t="shared" si="147"/>
        <v/>
      </c>
      <c r="AA628" s="374" t="b">
        <f t="shared" si="148"/>
        <v>1</v>
      </c>
      <c r="AB628" s="374">
        <f>COUNTIFS(B:B,B628,H:H,'סיווג התפקידים והעלויות'!$C$2)</f>
        <v>0</v>
      </c>
      <c r="AC628" s="374">
        <f>COUNTIFS(B:B,B628,H:H,'סיווג התפקידים והעלויות'!$D$2)</f>
        <v>0</v>
      </c>
      <c r="AD628" s="374" t="str">
        <f>IF(OR(AND(H628='סיווג התפקידים והעלויות'!$A$2,I628='סיווג התפקידים והעלויות'!$A$3),'עלויות כח אדם (6)'!H628='סיווג התפקידים והעלויות'!$C$2,'עלויות כח אדם (6)'!H628='סיווג התפקידים והעלויות'!$D$2),IF('עלויות כח אדם (6)'!J628&lt;75,"לא תקין","תקין"),"")</f>
        <v/>
      </c>
      <c r="AE628" s="374" t="str">
        <f t="shared" si="149"/>
        <v/>
      </c>
      <c r="AF628" s="532" t="str">
        <f t="shared" si="150"/>
        <v/>
      </c>
    </row>
    <row r="629" spans="2:32" x14ac:dyDescent="0.25">
      <c r="B629" s="695"/>
      <c r="C629" s="197" t="str">
        <f>IF(B629&lt;&gt;"",IFERROR(VLOOKUP(B:B,'מצבת והרשמה (2)'!$C$20:$N$520,2,0)," ")," ")</f>
        <v xml:space="preserve"> </v>
      </c>
      <c r="D629" s="695"/>
      <c r="E629" s="696"/>
      <c r="F629" s="696"/>
      <c r="G629" s="696"/>
      <c r="H629" s="696"/>
      <c r="I629" s="1050" t="str">
        <f t="shared" si="137"/>
        <v/>
      </c>
      <c r="J629" s="696"/>
      <c r="K629" s="697"/>
      <c r="L629" s="696"/>
      <c r="M629" s="198" t="str">
        <f t="shared" si="138"/>
        <v/>
      </c>
      <c r="N629" s="369" t="str">
        <f t="shared" si="139"/>
        <v/>
      </c>
      <c r="O629" s="183" t="str">
        <f t="shared" si="140"/>
        <v/>
      </c>
      <c r="P629" s="199" t="str">
        <f t="shared" si="141"/>
        <v/>
      </c>
      <c r="Q629" s="199" t="str">
        <f>IF(B629="","",IFERROR(IF('עלויות כח אדם (6)'!J629&gt;=VLOOKUP(I629,'סיווג התפקידים והעלויות'!$B$23:$C$32,2,0),"תקין","לא תקין"),""))</f>
        <v/>
      </c>
      <c r="R629" s="199" t="str">
        <f t="shared" si="142"/>
        <v/>
      </c>
      <c r="S629" s="199" t="str">
        <f t="shared" si="143"/>
        <v/>
      </c>
      <c r="T629" s="199" t="str">
        <f t="shared" si="151"/>
        <v/>
      </c>
      <c r="U629" s="199" t="str">
        <f t="shared" si="144"/>
        <v/>
      </c>
      <c r="V629" s="989"/>
      <c r="X629" s="374" t="str">
        <f t="shared" si="145"/>
        <v/>
      </c>
      <c r="Y629" s="375" t="str">
        <f t="shared" si="146"/>
        <v/>
      </c>
      <c r="Z629" s="374" t="str">
        <f t="shared" si="147"/>
        <v/>
      </c>
      <c r="AA629" s="374" t="b">
        <f t="shared" si="148"/>
        <v>1</v>
      </c>
      <c r="AB629" s="374">
        <f>COUNTIFS(B:B,B629,H:H,'סיווג התפקידים והעלויות'!$C$2)</f>
        <v>0</v>
      </c>
      <c r="AC629" s="374">
        <f>COUNTIFS(B:B,B629,H:H,'סיווג התפקידים והעלויות'!$D$2)</f>
        <v>0</v>
      </c>
      <c r="AD629" s="374" t="str">
        <f>IF(OR(AND(H629='סיווג התפקידים והעלויות'!$A$2,I629='סיווג התפקידים והעלויות'!$A$3),'עלויות כח אדם (6)'!H629='סיווג התפקידים והעלויות'!$C$2,'עלויות כח אדם (6)'!H629='סיווג התפקידים והעלויות'!$D$2),IF('עלויות כח אדם (6)'!J629&lt;75,"לא תקין","תקין"),"")</f>
        <v/>
      </c>
      <c r="AE629" s="374" t="str">
        <f t="shared" si="149"/>
        <v/>
      </c>
      <c r="AF629" s="532" t="str">
        <f t="shared" si="150"/>
        <v/>
      </c>
    </row>
    <row r="630" spans="2:32" x14ac:dyDescent="0.25">
      <c r="B630" s="695"/>
      <c r="C630" s="197" t="str">
        <f>IF(B630&lt;&gt;"",IFERROR(VLOOKUP(B:B,'מצבת והרשמה (2)'!$C$20:$N$520,2,0)," ")," ")</f>
        <v xml:space="preserve"> </v>
      </c>
      <c r="D630" s="695"/>
      <c r="E630" s="696"/>
      <c r="F630" s="696"/>
      <c r="G630" s="696"/>
      <c r="H630" s="696"/>
      <c r="I630" s="1050" t="str">
        <f t="shared" si="137"/>
        <v/>
      </c>
      <c r="J630" s="696"/>
      <c r="K630" s="697"/>
      <c r="L630" s="696"/>
      <c r="M630" s="198" t="str">
        <f t="shared" si="138"/>
        <v/>
      </c>
      <c r="N630" s="369" t="str">
        <f t="shared" si="139"/>
        <v/>
      </c>
      <c r="O630" s="183" t="str">
        <f t="shared" si="140"/>
        <v/>
      </c>
      <c r="P630" s="199" t="str">
        <f t="shared" si="141"/>
        <v/>
      </c>
      <c r="Q630" s="199" t="str">
        <f>IF(B630="","",IFERROR(IF('עלויות כח אדם (6)'!J630&gt;=VLOOKUP(I630,'סיווג התפקידים והעלויות'!$B$23:$C$32,2,0),"תקין","לא תקין"),""))</f>
        <v/>
      </c>
      <c r="R630" s="199" t="str">
        <f t="shared" si="142"/>
        <v/>
      </c>
      <c r="S630" s="199" t="str">
        <f t="shared" si="143"/>
        <v/>
      </c>
      <c r="T630" s="199" t="str">
        <f t="shared" si="151"/>
        <v/>
      </c>
      <c r="U630" s="199" t="str">
        <f t="shared" si="144"/>
        <v/>
      </c>
      <c r="V630" s="989"/>
      <c r="X630" s="374" t="str">
        <f t="shared" si="145"/>
        <v/>
      </c>
      <c r="Y630" s="375" t="str">
        <f t="shared" si="146"/>
        <v/>
      </c>
      <c r="Z630" s="374" t="str">
        <f t="shared" si="147"/>
        <v/>
      </c>
      <c r="AA630" s="374" t="b">
        <f t="shared" si="148"/>
        <v>1</v>
      </c>
      <c r="AB630" s="374">
        <f>COUNTIFS(B:B,B630,H:H,'סיווג התפקידים והעלויות'!$C$2)</f>
        <v>0</v>
      </c>
      <c r="AC630" s="374">
        <f>COUNTIFS(B:B,B630,H:H,'סיווג התפקידים והעלויות'!$D$2)</f>
        <v>0</v>
      </c>
      <c r="AD630" s="374" t="str">
        <f>IF(OR(AND(H630='סיווג התפקידים והעלויות'!$A$2,I630='סיווג התפקידים והעלויות'!$A$3),'עלויות כח אדם (6)'!H630='סיווג התפקידים והעלויות'!$C$2,'עלויות כח אדם (6)'!H630='סיווג התפקידים והעלויות'!$D$2),IF('עלויות כח אדם (6)'!J630&lt;75,"לא תקין","תקין"),"")</f>
        <v/>
      </c>
      <c r="AE630" s="374" t="str">
        <f t="shared" si="149"/>
        <v/>
      </c>
      <c r="AF630" s="532" t="str">
        <f t="shared" si="150"/>
        <v/>
      </c>
    </row>
    <row r="631" spans="2:32" x14ac:dyDescent="0.25">
      <c r="B631" s="695"/>
      <c r="C631" s="197" t="str">
        <f>IF(B631&lt;&gt;"",IFERROR(VLOOKUP(B:B,'מצבת והרשמה (2)'!$C$20:$N$520,2,0)," ")," ")</f>
        <v xml:space="preserve"> </v>
      </c>
      <c r="D631" s="695"/>
      <c r="E631" s="696"/>
      <c r="F631" s="696"/>
      <c r="G631" s="696"/>
      <c r="H631" s="696"/>
      <c r="I631" s="1050" t="str">
        <f t="shared" si="137"/>
        <v/>
      </c>
      <c r="J631" s="696"/>
      <c r="K631" s="697"/>
      <c r="L631" s="696"/>
      <c r="M631" s="198" t="str">
        <f t="shared" si="138"/>
        <v/>
      </c>
      <c r="N631" s="369" t="str">
        <f t="shared" si="139"/>
        <v/>
      </c>
      <c r="O631" s="183" t="str">
        <f t="shared" si="140"/>
        <v/>
      </c>
      <c r="P631" s="199" t="str">
        <f t="shared" si="141"/>
        <v/>
      </c>
      <c r="Q631" s="199" t="str">
        <f>IF(B631="","",IFERROR(IF('עלויות כח אדם (6)'!J631&gt;=VLOOKUP(I631,'סיווג התפקידים והעלויות'!$B$23:$C$32,2,0),"תקין","לא תקין"),""))</f>
        <v/>
      </c>
      <c r="R631" s="199" t="str">
        <f t="shared" si="142"/>
        <v/>
      </c>
      <c r="S631" s="199" t="str">
        <f t="shared" si="143"/>
        <v/>
      </c>
      <c r="T631" s="199" t="str">
        <f t="shared" si="151"/>
        <v/>
      </c>
      <c r="U631" s="199" t="str">
        <f t="shared" si="144"/>
        <v/>
      </c>
      <c r="V631" s="989"/>
      <c r="X631" s="374" t="str">
        <f t="shared" si="145"/>
        <v/>
      </c>
      <c r="Y631" s="375" t="str">
        <f t="shared" si="146"/>
        <v/>
      </c>
      <c r="Z631" s="374" t="str">
        <f t="shared" si="147"/>
        <v/>
      </c>
      <c r="AA631" s="374" t="b">
        <f t="shared" si="148"/>
        <v>1</v>
      </c>
      <c r="AB631" s="374">
        <f>COUNTIFS(B:B,B631,H:H,'סיווג התפקידים והעלויות'!$C$2)</f>
        <v>0</v>
      </c>
      <c r="AC631" s="374">
        <f>COUNTIFS(B:B,B631,H:H,'סיווג התפקידים והעלויות'!$D$2)</f>
        <v>0</v>
      </c>
      <c r="AD631" s="374" t="str">
        <f>IF(OR(AND(H631='סיווג התפקידים והעלויות'!$A$2,I631='סיווג התפקידים והעלויות'!$A$3),'עלויות כח אדם (6)'!H631='סיווג התפקידים והעלויות'!$C$2,'עלויות כח אדם (6)'!H631='סיווג התפקידים והעלויות'!$D$2),IF('עלויות כח אדם (6)'!J631&lt;75,"לא תקין","תקין"),"")</f>
        <v/>
      </c>
      <c r="AE631" s="374" t="str">
        <f t="shared" si="149"/>
        <v/>
      </c>
      <c r="AF631" s="532" t="str">
        <f t="shared" si="150"/>
        <v/>
      </c>
    </row>
    <row r="632" spans="2:32" x14ac:dyDescent="0.25">
      <c r="B632" s="695"/>
      <c r="C632" s="197" t="str">
        <f>IF(B632&lt;&gt;"",IFERROR(VLOOKUP(B:B,'מצבת והרשמה (2)'!$C$20:$N$520,2,0)," ")," ")</f>
        <v xml:space="preserve"> </v>
      </c>
      <c r="D632" s="695"/>
      <c r="E632" s="696"/>
      <c r="F632" s="696"/>
      <c r="G632" s="696"/>
      <c r="H632" s="696"/>
      <c r="I632" s="1050" t="str">
        <f t="shared" si="137"/>
        <v/>
      </c>
      <c r="J632" s="696"/>
      <c r="K632" s="697"/>
      <c r="L632" s="696"/>
      <c r="M632" s="198" t="str">
        <f t="shared" si="138"/>
        <v/>
      </c>
      <c r="N632" s="369" t="str">
        <f t="shared" si="139"/>
        <v/>
      </c>
      <c r="O632" s="183" t="str">
        <f t="shared" si="140"/>
        <v/>
      </c>
      <c r="P632" s="199" t="str">
        <f t="shared" si="141"/>
        <v/>
      </c>
      <c r="Q632" s="199" t="str">
        <f>IF(B632="","",IFERROR(IF('עלויות כח אדם (6)'!J632&gt;=VLOOKUP(I632,'סיווג התפקידים והעלויות'!$B$23:$C$32,2,0),"תקין","לא תקין"),""))</f>
        <v/>
      </c>
      <c r="R632" s="199" t="str">
        <f t="shared" si="142"/>
        <v/>
      </c>
      <c r="S632" s="199" t="str">
        <f t="shared" si="143"/>
        <v/>
      </c>
      <c r="T632" s="199" t="str">
        <f t="shared" si="151"/>
        <v/>
      </c>
      <c r="U632" s="199" t="str">
        <f t="shared" si="144"/>
        <v/>
      </c>
      <c r="V632" s="989"/>
      <c r="X632" s="374" t="str">
        <f t="shared" si="145"/>
        <v/>
      </c>
      <c r="Y632" s="375" t="str">
        <f t="shared" si="146"/>
        <v/>
      </c>
      <c r="Z632" s="374" t="str">
        <f t="shared" si="147"/>
        <v/>
      </c>
      <c r="AA632" s="374" t="b">
        <f t="shared" si="148"/>
        <v>1</v>
      </c>
      <c r="AB632" s="374">
        <f>COUNTIFS(B:B,B632,H:H,'סיווג התפקידים והעלויות'!$C$2)</f>
        <v>0</v>
      </c>
      <c r="AC632" s="374">
        <f>COUNTIFS(B:B,B632,H:H,'סיווג התפקידים והעלויות'!$D$2)</f>
        <v>0</v>
      </c>
      <c r="AD632" s="374" t="str">
        <f>IF(OR(AND(H632='סיווג התפקידים והעלויות'!$A$2,I632='סיווג התפקידים והעלויות'!$A$3),'עלויות כח אדם (6)'!H632='סיווג התפקידים והעלויות'!$C$2,'עלויות כח אדם (6)'!H632='סיווג התפקידים והעלויות'!$D$2),IF('עלויות כח אדם (6)'!J632&lt;75,"לא תקין","תקין"),"")</f>
        <v/>
      </c>
      <c r="AE632" s="374" t="str">
        <f t="shared" si="149"/>
        <v/>
      </c>
      <c r="AF632" s="532" t="str">
        <f t="shared" si="150"/>
        <v/>
      </c>
    </row>
    <row r="633" spans="2:32" x14ac:dyDescent="0.25">
      <c r="B633" s="695"/>
      <c r="C633" s="197" t="str">
        <f>IF(B633&lt;&gt;"",IFERROR(VLOOKUP(B:B,'מצבת והרשמה (2)'!$C$20:$N$520,2,0)," ")," ")</f>
        <v xml:space="preserve"> </v>
      </c>
      <c r="D633" s="695"/>
      <c r="E633" s="696"/>
      <c r="F633" s="696"/>
      <c r="G633" s="696"/>
      <c r="H633" s="696"/>
      <c r="I633" s="1050" t="str">
        <f t="shared" si="137"/>
        <v/>
      </c>
      <c r="J633" s="696"/>
      <c r="K633" s="697"/>
      <c r="L633" s="696"/>
      <c r="M633" s="198" t="str">
        <f t="shared" si="138"/>
        <v/>
      </c>
      <c r="N633" s="369" t="str">
        <f t="shared" si="139"/>
        <v/>
      </c>
      <c r="O633" s="183" t="str">
        <f t="shared" si="140"/>
        <v/>
      </c>
      <c r="P633" s="199" t="str">
        <f t="shared" si="141"/>
        <v/>
      </c>
      <c r="Q633" s="199" t="str">
        <f>IF(B633="","",IFERROR(IF('עלויות כח אדם (6)'!J633&gt;=VLOOKUP(I633,'סיווג התפקידים והעלויות'!$B$23:$C$32,2,0),"תקין","לא תקין"),""))</f>
        <v/>
      </c>
      <c r="R633" s="199" t="str">
        <f t="shared" si="142"/>
        <v/>
      </c>
      <c r="S633" s="199" t="str">
        <f t="shared" si="143"/>
        <v/>
      </c>
      <c r="T633" s="199" t="str">
        <f t="shared" si="151"/>
        <v/>
      </c>
      <c r="U633" s="199" t="str">
        <f t="shared" si="144"/>
        <v/>
      </c>
      <c r="V633" s="989"/>
      <c r="X633" s="374" t="str">
        <f t="shared" si="145"/>
        <v/>
      </c>
      <c r="Y633" s="375" t="str">
        <f t="shared" si="146"/>
        <v/>
      </c>
      <c r="Z633" s="374" t="str">
        <f t="shared" si="147"/>
        <v/>
      </c>
      <c r="AA633" s="374" t="b">
        <f t="shared" si="148"/>
        <v>1</v>
      </c>
      <c r="AB633" s="374">
        <f>COUNTIFS(B:B,B633,H:H,'סיווג התפקידים והעלויות'!$C$2)</f>
        <v>0</v>
      </c>
      <c r="AC633" s="374">
        <f>COUNTIFS(B:B,B633,H:H,'סיווג התפקידים והעלויות'!$D$2)</f>
        <v>0</v>
      </c>
      <c r="AD633" s="374" t="str">
        <f>IF(OR(AND(H633='סיווג התפקידים והעלויות'!$A$2,I633='סיווג התפקידים והעלויות'!$A$3),'עלויות כח אדם (6)'!H633='סיווג התפקידים והעלויות'!$C$2,'עלויות כח אדם (6)'!H633='סיווג התפקידים והעלויות'!$D$2),IF('עלויות כח אדם (6)'!J633&lt;75,"לא תקין","תקין"),"")</f>
        <v/>
      </c>
      <c r="AE633" s="374" t="str">
        <f t="shared" si="149"/>
        <v/>
      </c>
      <c r="AF633" s="532" t="str">
        <f t="shared" si="150"/>
        <v/>
      </c>
    </row>
    <row r="634" spans="2:32" x14ac:dyDescent="0.25">
      <c r="B634" s="695"/>
      <c r="C634" s="197" t="str">
        <f>IF(B634&lt;&gt;"",IFERROR(VLOOKUP(B:B,'מצבת והרשמה (2)'!$C$20:$N$520,2,0)," ")," ")</f>
        <v xml:space="preserve"> </v>
      </c>
      <c r="D634" s="695"/>
      <c r="E634" s="696"/>
      <c r="F634" s="696"/>
      <c r="G634" s="696"/>
      <c r="H634" s="696"/>
      <c r="I634" s="1050" t="str">
        <f t="shared" si="137"/>
        <v/>
      </c>
      <c r="J634" s="696"/>
      <c r="K634" s="697"/>
      <c r="L634" s="696"/>
      <c r="M634" s="198" t="str">
        <f t="shared" si="138"/>
        <v/>
      </c>
      <c r="N634" s="369" t="str">
        <f t="shared" si="139"/>
        <v/>
      </c>
      <c r="O634" s="183" t="str">
        <f t="shared" si="140"/>
        <v/>
      </c>
      <c r="P634" s="199" t="str">
        <f t="shared" si="141"/>
        <v/>
      </c>
      <c r="Q634" s="199" t="str">
        <f>IF(B634="","",IFERROR(IF('עלויות כח אדם (6)'!J634&gt;=VLOOKUP(I634,'סיווג התפקידים והעלויות'!$B$23:$C$32,2,0),"תקין","לא תקין"),""))</f>
        <v/>
      </c>
      <c r="R634" s="199" t="str">
        <f t="shared" si="142"/>
        <v/>
      </c>
      <c r="S634" s="199" t="str">
        <f t="shared" si="143"/>
        <v/>
      </c>
      <c r="T634" s="199" t="str">
        <f t="shared" si="151"/>
        <v/>
      </c>
      <c r="U634" s="199" t="str">
        <f t="shared" si="144"/>
        <v/>
      </c>
      <c r="V634" s="989"/>
      <c r="X634" s="374" t="str">
        <f t="shared" si="145"/>
        <v/>
      </c>
      <c r="Y634" s="375" t="str">
        <f t="shared" si="146"/>
        <v/>
      </c>
      <c r="Z634" s="374" t="str">
        <f t="shared" si="147"/>
        <v/>
      </c>
      <c r="AA634" s="374" t="b">
        <f t="shared" si="148"/>
        <v>1</v>
      </c>
      <c r="AB634" s="374">
        <f>COUNTIFS(B:B,B634,H:H,'סיווג התפקידים והעלויות'!$C$2)</f>
        <v>0</v>
      </c>
      <c r="AC634" s="374">
        <f>COUNTIFS(B:B,B634,H:H,'סיווג התפקידים והעלויות'!$D$2)</f>
        <v>0</v>
      </c>
      <c r="AD634" s="374" t="str">
        <f>IF(OR(AND(H634='סיווג התפקידים והעלויות'!$A$2,I634='סיווג התפקידים והעלויות'!$A$3),'עלויות כח אדם (6)'!H634='סיווג התפקידים והעלויות'!$C$2,'עלויות כח אדם (6)'!H634='סיווג התפקידים והעלויות'!$D$2),IF('עלויות כח אדם (6)'!J634&lt;75,"לא תקין","תקין"),"")</f>
        <v/>
      </c>
      <c r="AE634" s="374" t="str">
        <f t="shared" si="149"/>
        <v/>
      </c>
      <c r="AF634" s="532" t="str">
        <f t="shared" si="150"/>
        <v/>
      </c>
    </row>
    <row r="635" spans="2:32" x14ac:dyDescent="0.25">
      <c r="B635" s="695"/>
      <c r="C635" s="197" t="str">
        <f>IF(B635&lt;&gt;"",IFERROR(VLOOKUP(B:B,'מצבת והרשמה (2)'!$C$20:$N$520,2,0)," ")," ")</f>
        <v xml:space="preserve"> </v>
      </c>
      <c r="D635" s="695"/>
      <c r="E635" s="696"/>
      <c r="F635" s="696"/>
      <c r="G635" s="696"/>
      <c r="H635" s="696"/>
      <c r="I635" s="1050" t="str">
        <f t="shared" si="137"/>
        <v/>
      </c>
      <c r="J635" s="696"/>
      <c r="K635" s="697"/>
      <c r="L635" s="696"/>
      <c r="M635" s="198" t="str">
        <f t="shared" si="138"/>
        <v/>
      </c>
      <c r="N635" s="369" t="str">
        <f t="shared" si="139"/>
        <v/>
      </c>
      <c r="O635" s="183" t="str">
        <f t="shared" si="140"/>
        <v/>
      </c>
      <c r="P635" s="199" t="str">
        <f t="shared" si="141"/>
        <v/>
      </c>
      <c r="Q635" s="199" t="str">
        <f>IF(B635="","",IFERROR(IF('עלויות כח אדם (6)'!J635&gt;=VLOOKUP(I635,'סיווג התפקידים והעלויות'!$B$23:$C$32,2,0),"תקין","לא תקין"),""))</f>
        <v/>
      </c>
      <c r="R635" s="199" t="str">
        <f t="shared" si="142"/>
        <v/>
      </c>
      <c r="S635" s="199" t="str">
        <f t="shared" si="143"/>
        <v/>
      </c>
      <c r="T635" s="199" t="str">
        <f t="shared" si="151"/>
        <v/>
      </c>
      <c r="U635" s="199" t="str">
        <f t="shared" si="144"/>
        <v/>
      </c>
      <c r="V635" s="989"/>
      <c r="X635" s="374" t="str">
        <f t="shared" si="145"/>
        <v/>
      </c>
      <c r="Y635" s="375" t="str">
        <f t="shared" si="146"/>
        <v/>
      </c>
      <c r="Z635" s="374" t="str">
        <f t="shared" si="147"/>
        <v/>
      </c>
      <c r="AA635" s="374" t="b">
        <f t="shared" si="148"/>
        <v>1</v>
      </c>
      <c r="AB635" s="374">
        <f>COUNTIFS(B:B,B635,H:H,'סיווג התפקידים והעלויות'!$C$2)</f>
        <v>0</v>
      </c>
      <c r="AC635" s="374">
        <f>COUNTIFS(B:B,B635,H:H,'סיווג התפקידים והעלויות'!$D$2)</f>
        <v>0</v>
      </c>
      <c r="AD635" s="374" t="str">
        <f>IF(OR(AND(H635='סיווג התפקידים והעלויות'!$A$2,I635='סיווג התפקידים והעלויות'!$A$3),'עלויות כח אדם (6)'!H635='סיווג התפקידים והעלויות'!$C$2,'עלויות כח אדם (6)'!H635='סיווג התפקידים והעלויות'!$D$2),IF('עלויות כח אדם (6)'!J635&lt;75,"לא תקין","תקין"),"")</f>
        <v/>
      </c>
      <c r="AE635" s="374" t="str">
        <f t="shared" si="149"/>
        <v/>
      </c>
      <c r="AF635" s="532" t="str">
        <f t="shared" si="150"/>
        <v/>
      </c>
    </row>
    <row r="636" spans="2:32" x14ac:dyDescent="0.25">
      <c r="B636" s="695"/>
      <c r="C636" s="197" t="str">
        <f>IF(B636&lt;&gt;"",IFERROR(VLOOKUP(B:B,'מצבת והרשמה (2)'!$C$20:$N$520,2,0)," ")," ")</f>
        <v xml:space="preserve"> </v>
      </c>
      <c r="D636" s="695"/>
      <c r="E636" s="696"/>
      <c r="F636" s="696"/>
      <c r="G636" s="696"/>
      <c r="H636" s="696"/>
      <c r="I636" s="1050" t="str">
        <f t="shared" si="137"/>
        <v/>
      </c>
      <c r="J636" s="696"/>
      <c r="K636" s="697"/>
      <c r="L636" s="696"/>
      <c r="M636" s="198" t="str">
        <f t="shared" si="138"/>
        <v/>
      </c>
      <c r="N636" s="369" t="str">
        <f t="shared" si="139"/>
        <v/>
      </c>
      <c r="O636" s="183" t="str">
        <f t="shared" si="140"/>
        <v/>
      </c>
      <c r="P636" s="199" t="str">
        <f t="shared" si="141"/>
        <v/>
      </c>
      <c r="Q636" s="199" t="str">
        <f>IF(B636="","",IFERROR(IF('עלויות כח אדם (6)'!J636&gt;=VLOOKUP(I636,'סיווג התפקידים והעלויות'!$B$23:$C$32,2,0),"תקין","לא תקין"),""))</f>
        <v/>
      </c>
      <c r="R636" s="199" t="str">
        <f t="shared" si="142"/>
        <v/>
      </c>
      <c r="S636" s="199" t="str">
        <f t="shared" si="143"/>
        <v/>
      </c>
      <c r="T636" s="199" t="str">
        <f t="shared" si="151"/>
        <v/>
      </c>
      <c r="U636" s="199" t="str">
        <f t="shared" si="144"/>
        <v/>
      </c>
      <c r="V636" s="989"/>
      <c r="X636" s="374" t="str">
        <f t="shared" si="145"/>
        <v/>
      </c>
      <c r="Y636" s="375" t="str">
        <f t="shared" si="146"/>
        <v/>
      </c>
      <c r="Z636" s="374" t="str">
        <f t="shared" si="147"/>
        <v/>
      </c>
      <c r="AA636" s="374" t="b">
        <f t="shared" si="148"/>
        <v>1</v>
      </c>
      <c r="AB636" s="374">
        <f>COUNTIFS(B:B,B636,H:H,'סיווג התפקידים והעלויות'!$C$2)</f>
        <v>0</v>
      </c>
      <c r="AC636" s="374">
        <f>COUNTIFS(B:B,B636,H:H,'סיווג התפקידים והעלויות'!$D$2)</f>
        <v>0</v>
      </c>
      <c r="AD636" s="374" t="str">
        <f>IF(OR(AND(H636='סיווג התפקידים והעלויות'!$A$2,I636='סיווג התפקידים והעלויות'!$A$3),'עלויות כח אדם (6)'!H636='סיווג התפקידים והעלויות'!$C$2,'עלויות כח אדם (6)'!H636='סיווג התפקידים והעלויות'!$D$2),IF('עלויות כח אדם (6)'!J636&lt;75,"לא תקין","תקין"),"")</f>
        <v/>
      </c>
      <c r="AE636" s="374" t="str">
        <f t="shared" si="149"/>
        <v/>
      </c>
      <c r="AF636" s="532" t="str">
        <f t="shared" si="150"/>
        <v/>
      </c>
    </row>
    <row r="637" spans="2:32" x14ac:dyDescent="0.25">
      <c r="B637" s="695"/>
      <c r="C637" s="197" t="str">
        <f>IF(B637&lt;&gt;"",IFERROR(VLOOKUP(B:B,'מצבת והרשמה (2)'!$C$20:$N$520,2,0)," ")," ")</f>
        <v xml:space="preserve"> </v>
      </c>
      <c r="D637" s="695"/>
      <c r="E637" s="696"/>
      <c r="F637" s="696"/>
      <c r="G637" s="696"/>
      <c r="H637" s="696"/>
      <c r="I637" s="1050" t="str">
        <f t="shared" si="137"/>
        <v/>
      </c>
      <c r="J637" s="696"/>
      <c r="K637" s="697"/>
      <c r="L637" s="696"/>
      <c r="M637" s="198" t="str">
        <f t="shared" si="138"/>
        <v/>
      </c>
      <c r="N637" s="369" t="str">
        <f t="shared" si="139"/>
        <v/>
      </c>
      <c r="O637" s="183" t="str">
        <f t="shared" si="140"/>
        <v/>
      </c>
      <c r="P637" s="199" t="str">
        <f t="shared" si="141"/>
        <v/>
      </c>
      <c r="Q637" s="199" t="str">
        <f>IF(B637="","",IFERROR(IF('עלויות כח אדם (6)'!J637&gt;=VLOOKUP(I637,'סיווג התפקידים והעלויות'!$B$23:$C$32,2,0),"תקין","לא תקין"),""))</f>
        <v/>
      </c>
      <c r="R637" s="199" t="str">
        <f t="shared" si="142"/>
        <v/>
      </c>
      <c r="S637" s="199" t="str">
        <f t="shared" si="143"/>
        <v/>
      </c>
      <c r="T637" s="199" t="str">
        <f t="shared" si="151"/>
        <v/>
      </c>
      <c r="U637" s="199" t="str">
        <f t="shared" si="144"/>
        <v/>
      </c>
      <c r="V637" s="989"/>
      <c r="X637" s="374" t="str">
        <f t="shared" si="145"/>
        <v/>
      </c>
      <c r="Y637" s="375" t="str">
        <f t="shared" si="146"/>
        <v/>
      </c>
      <c r="Z637" s="374" t="str">
        <f t="shared" si="147"/>
        <v/>
      </c>
      <c r="AA637" s="374" t="b">
        <f t="shared" si="148"/>
        <v>1</v>
      </c>
      <c r="AB637" s="374">
        <f>COUNTIFS(B:B,B637,H:H,'סיווג התפקידים והעלויות'!$C$2)</f>
        <v>0</v>
      </c>
      <c r="AC637" s="374">
        <f>COUNTIFS(B:B,B637,H:H,'סיווג התפקידים והעלויות'!$D$2)</f>
        <v>0</v>
      </c>
      <c r="AD637" s="374" t="str">
        <f>IF(OR(AND(H637='סיווג התפקידים והעלויות'!$A$2,I637='סיווג התפקידים והעלויות'!$A$3),'עלויות כח אדם (6)'!H637='סיווג התפקידים והעלויות'!$C$2,'עלויות כח אדם (6)'!H637='סיווג התפקידים והעלויות'!$D$2),IF('עלויות כח אדם (6)'!J637&lt;75,"לא תקין","תקין"),"")</f>
        <v/>
      </c>
      <c r="AE637" s="374" t="str">
        <f t="shared" si="149"/>
        <v/>
      </c>
      <c r="AF637" s="532" t="str">
        <f t="shared" si="150"/>
        <v/>
      </c>
    </row>
    <row r="638" spans="2:32" x14ac:dyDescent="0.25">
      <c r="B638" s="695"/>
      <c r="C638" s="197" t="str">
        <f>IF(B638&lt;&gt;"",IFERROR(VLOOKUP(B:B,'מצבת והרשמה (2)'!$C$20:$N$520,2,0)," ")," ")</f>
        <v xml:space="preserve"> </v>
      </c>
      <c r="D638" s="695"/>
      <c r="E638" s="696"/>
      <c r="F638" s="696"/>
      <c r="G638" s="696"/>
      <c r="H638" s="696"/>
      <c r="I638" s="1050" t="str">
        <f t="shared" si="137"/>
        <v/>
      </c>
      <c r="J638" s="696"/>
      <c r="K638" s="697"/>
      <c r="L638" s="696"/>
      <c r="M638" s="198" t="str">
        <f t="shared" si="138"/>
        <v/>
      </c>
      <c r="N638" s="369" t="str">
        <f t="shared" si="139"/>
        <v/>
      </c>
      <c r="O638" s="183" t="str">
        <f t="shared" si="140"/>
        <v/>
      </c>
      <c r="P638" s="199" t="str">
        <f t="shared" si="141"/>
        <v/>
      </c>
      <c r="Q638" s="199" t="str">
        <f>IF(B638="","",IFERROR(IF('עלויות כח אדם (6)'!J638&gt;=VLOOKUP(I638,'סיווג התפקידים והעלויות'!$B$23:$C$32,2,0),"תקין","לא תקין"),""))</f>
        <v/>
      </c>
      <c r="R638" s="199" t="str">
        <f t="shared" si="142"/>
        <v/>
      </c>
      <c r="S638" s="199" t="str">
        <f t="shared" si="143"/>
        <v/>
      </c>
      <c r="T638" s="199" t="str">
        <f t="shared" si="151"/>
        <v/>
      </c>
      <c r="U638" s="199" t="str">
        <f t="shared" si="144"/>
        <v/>
      </c>
      <c r="V638" s="989"/>
      <c r="X638" s="374" t="str">
        <f t="shared" si="145"/>
        <v/>
      </c>
      <c r="Y638" s="375" t="str">
        <f t="shared" si="146"/>
        <v/>
      </c>
      <c r="Z638" s="374" t="str">
        <f t="shared" si="147"/>
        <v/>
      </c>
      <c r="AA638" s="374" t="b">
        <f t="shared" si="148"/>
        <v>1</v>
      </c>
      <c r="AB638" s="374">
        <f>COUNTIFS(B:B,B638,H:H,'סיווג התפקידים והעלויות'!$C$2)</f>
        <v>0</v>
      </c>
      <c r="AC638" s="374">
        <f>COUNTIFS(B:B,B638,H:H,'סיווג התפקידים והעלויות'!$D$2)</f>
        <v>0</v>
      </c>
      <c r="AD638" s="374" t="str">
        <f>IF(OR(AND(H638='סיווג התפקידים והעלויות'!$A$2,I638='סיווג התפקידים והעלויות'!$A$3),'עלויות כח אדם (6)'!H638='סיווג התפקידים והעלויות'!$C$2,'עלויות כח אדם (6)'!H638='סיווג התפקידים והעלויות'!$D$2),IF('עלויות כח אדם (6)'!J638&lt;75,"לא תקין","תקין"),"")</f>
        <v/>
      </c>
      <c r="AE638" s="374" t="str">
        <f t="shared" si="149"/>
        <v/>
      </c>
      <c r="AF638" s="532" t="str">
        <f t="shared" si="150"/>
        <v/>
      </c>
    </row>
    <row r="639" spans="2:32" x14ac:dyDescent="0.25">
      <c r="B639" s="695"/>
      <c r="C639" s="197" t="str">
        <f>IF(B639&lt;&gt;"",IFERROR(VLOOKUP(B:B,'מצבת והרשמה (2)'!$C$20:$N$520,2,0)," ")," ")</f>
        <v xml:space="preserve"> </v>
      </c>
      <c r="D639" s="695"/>
      <c r="E639" s="696"/>
      <c r="F639" s="696"/>
      <c r="G639" s="696"/>
      <c r="H639" s="696"/>
      <c r="I639" s="1050" t="str">
        <f t="shared" si="137"/>
        <v/>
      </c>
      <c r="J639" s="696"/>
      <c r="K639" s="697"/>
      <c r="L639" s="696"/>
      <c r="M639" s="198" t="str">
        <f t="shared" si="138"/>
        <v/>
      </c>
      <c r="N639" s="369" t="str">
        <f t="shared" si="139"/>
        <v/>
      </c>
      <c r="O639" s="183" t="str">
        <f t="shared" si="140"/>
        <v/>
      </c>
      <c r="P639" s="199" t="str">
        <f t="shared" si="141"/>
        <v/>
      </c>
      <c r="Q639" s="199" t="str">
        <f>IF(B639="","",IFERROR(IF('עלויות כח אדם (6)'!J639&gt;=VLOOKUP(I639,'סיווג התפקידים והעלויות'!$B$23:$C$32,2,0),"תקין","לא תקין"),""))</f>
        <v/>
      </c>
      <c r="R639" s="199" t="str">
        <f t="shared" si="142"/>
        <v/>
      </c>
      <c r="S639" s="199" t="str">
        <f t="shared" si="143"/>
        <v/>
      </c>
      <c r="T639" s="199" t="str">
        <f t="shared" si="151"/>
        <v/>
      </c>
      <c r="U639" s="199" t="str">
        <f t="shared" si="144"/>
        <v/>
      </c>
      <c r="V639" s="989"/>
      <c r="X639" s="374" t="str">
        <f t="shared" si="145"/>
        <v/>
      </c>
      <c r="Y639" s="375" t="str">
        <f t="shared" si="146"/>
        <v/>
      </c>
      <c r="Z639" s="374" t="str">
        <f t="shared" si="147"/>
        <v/>
      </c>
      <c r="AA639" s="374" t="b">
        <f t="shared" si="148"/>
        <v>1</v>
      </c>
      <c r="AB639" s="374">
        <f>COUNTIFS(B:B,B639,H:H,'סיווג התפקידים והעלויות'!$C$2)</f>
        <v>0</v>
      </c>
      <c r="AC639" s="374">
        <f>COUNTIFS(B:B,B639,H:H,'סיווג התפקידים והעלויות'!$D$2)</f>
        <v>0</v>
      </c>
      <c r="AD639" s="374" t="str">
        <f>IF(OR(AND(H639='סיווג התפקידים והעלויות'!$A$2,I639='סיווג התפקידים והעלויות'!$A$3),'עלויות כח אדם (6)'!H639='סיווג התפקידים והעלויות'!$C$2,'עלויות כח אדם (6)'!H639='סיווג התפקידים והעלויות'!$D$2),IF('עלויות כח אדם (6)'!J639&lt;75,"לא תקין","תקין"),"")</f>
        <v/>
      </c>
      <c r="AE639" s="374" t="str">
        <f t="shared" si="149"/>
        <v/>
      </c>
      <c r="AF639" s="532" t="str">
        <f t="shared" si="150"/>
        <v/>
      </c>
    </row>
    <row r="640" spans="2:32" x14ac:dyDescent="0.25">
      <c r="B640" s="695"/>
      <c r="C640" s="197" t="str">
        <f>IF(B640&lt;&gt;"",IFERROR(VLOOKUP(B:B,'מצבת והרשמה (2)'!$C$20:$N$520,2,0)," ")," ")</f>
        <v xml:space="preserve"> </v>
      </c>
      <c r="D640" s="695"/>
      <c r="E640" s="696"/>
      <c r="F640" s="696"/>
      <c r="G640" s="696"/>
      <c r="H640" s="696"/>
      <c r="I640" s="1050" t="str">
        <f t="shared" si="137"/>
        <v/>
      </c>
      <c r="J640" s="696"/>
      <c r="K640" s="697"/>
      <c r="L640" s="696"/>
      <c r="M640" s="198" t="str">
        <f t="shared" si="138"/>
        <v/>
      </c>
      <c r="N640" s="369" t="str">
        <f t="shared" si="139"/>
        <v/>
      </c>
      <c r="O640" s="183" t="str">
        <f t="shared" si="140"/>
        <v/>
      </c>
      <c r="P640" s="199" t="str">
        <f t="shared" si="141"/>
        <v/>
      </c>
      <c r="Q640" s="199" t="str">
        <f>IF(B640="","",IFERROR(IF('עלויות כח אדם (6)'!J640&gt;=VLOOKUP(I640,'סיווג התפקידים והעלויות'!$B$23:$C$32,2,0),"תקין","לא תקין"),""))</f>
        <v/>
      </c>
      <c r="R640" s="199" t="str">
        <f t="shared" si="142"/>
        <v/>
      </c>
      <c r="S640" s="199" t="str">
        <f t="shared" si="143"/>
        <v/>
      </c>
      <c r="T640" s="199" t="str">
        <f t="shared" si="151"/>
        <v/>
      </c>
      <c r="U640" s="199" t="str">
        <f t="shared" si="144"/>
        <v/>
      </c>
      <c r="V640" s="989"/>
      <c r="X640" s="374" t="str">
        <f t="shared" si="145"/>
        <v/>
      </c>
      <c r="Y640" s="375" t="str">
        <f t="shared" si="146"/>
        <v/>
      </c>
      <c r="Z640" s="374" t="str">
        <f t="shared" si="147"/>
        <v/>
      </c>
      <c r="AA640" s="374" t="b">
        <f t="shared" si="148"/>
        <v>1</v>
      </c>
      <c r="AB640" s="374">
        <f>COUNTIFS(B:B,B640,H:H,'סיווג התפקידים והעלויות'!$C$2)</f>
        <v>0</v>
      </c>
      <c r="AC640" s="374">
        <f>COUNTIFS(B:B,B640,H:H,'סיווג התפקידים והעלויות'!$D$2)</f>
        <v>0</v>
      </c>
      <c r="AD640" s="374" t="str">
        <f>IF(OR(AND(H640='סיווג התפקידים והעלויות'!$A$2,I640='סיווג התפקידים והעלויות'!$A$3),'עלויות כח אדם (6)'!H640='סיווג התפקידים והעלויות'!$C$2,'עלויות כח אדם (6)'!H640='סיווג התפקידים והעלויות'!$D$2),IF('עלויות כח אדם (6)'!J640&lt;75,"לא תקין","תקין"),"")</f>
        <v/>
      </c>
      <c r="AE640" s="374" t="str">
        <f t="shared" si="149"/>
        <v/>
      </c>
      <c r="AF640" s="532" t="str">
        <f t="shared" si="150"/>
        <v/>
      </c>
    </row>
    <row r="641" spans="2:32" x14ac:dyDescent="0.25">
      <c r="B641" s="695"/>
      <c r="C641" s="197" t="str">
        <f>IF(B641&lt;&gt;"",IFERROR(VLOOKUP(B:B,'מצבת והרשמה (2)'!$C$20:$N$520,2,0)," ")," ")</f>
        <v xml:space="preserve"> </v>
      </c>
      <c r="D641" s="695"/>
      <c r="E641" s="696"/>
      <c r="F641" s="696"/>
      <c r="G641" s="696"/>
      <c r="H641" s="696"/>
      <c r="I641" s="1050" t="str">
        <f t="shared" si="137"/>
        <v/>
      </c>
      <c r="J641" s="696"/>
      <c r="K641" s="697"/>
      <c r="L641" s="696"/>
      <c r="M641" s="198" t="str">
        <f t="shared" si="138"/>
        <v/>
      </c>
      <c r="N641" s="369" t="str">
        <f t="shared" si="139"/>
        <v/>
      </c>
      <c r="O641" s="183" t="str">
        <f t="shared" si="140"/>
        <v/>
      </c>
      <c r="P641" s="199" t="str">
        <f t="shared" si="141"/>
        <v/>
      </c>
      <c r="Q641" s="199" t="str">
        <f>IF(B641="","",IFERROR(IF('עלויות כח אדם (6)'!J641&gt;=VLOOKUP(I641,'סיווג התפקידים והעלויות'!$B$23:$C$32,2,0),"תקין","לא תקין"),""))</f>
        <v/>
      </c>
      <c r="R641" s="199" t="str">
        <f t="shared" si="142"/>
        <v/>
      </c>
      <c r="S641" s="199" t="str">
        <f t="shared" si="143"/>
        <v/>
      </c>
      <c r="T641" s="199" t="str">
        <f t="shared" si="151"/>
        <v/>
      </c>
      <c r="U641" s="199" t="str">
        <f t="shared" si="144"/>
        <v/>
      </c>
      <c r="V641" s="989"/>
      <c r="X641" s="374" t="str">
        <f t="shared" si="145"/>
        <v/>
      </c>
      <c r="Y641" s="375" t="str">
        <f t="shared" si="146"/>
        <v/>
      </c>
      <c r="Z641" s="374" t="str">
        <f t="shared" si="147"/>
        <v/>
      </c>
      <c r="AA641" s="374" t="b">
        <f t="shared" si="148"/>
        <v>1</v>
      </c>
      <c r="AB641" s="374">
        <f>COUNTIFS(B:B,B641,H:H,'סיווג התפקידים והעלויות'!$C$2)</f>
        <v>0</v>
      </c>
      <c r="AC641" s="374">
        <f>COUNTIFS(B:B,B641,H:H,'סיווג התפקידים והעלויות'!$D$2)</f>
        <v>0</v>
      </c>
      <c r="AD641" s="374" t="str">
        <f>IF(OR(AND(H641='סיווג התפקידים והעלויות'!$A$2,I641='סיווג התפקידים והעלויות'!$A$3),'עלויות כח אדם (6)'!H641='סיווג התפקידים והעלויות'!$C$2,'עלויות כח אדם (6)'!H641='סיווג התפקידים והעלויות'!$D$2),IF('עלויות כח אדם (6)'!J641&lt;75,"לא תקין","תקין"),"")</f>
        <v/>
      </c>
      <c r="AE641" s="374" t="str">
        <f t="shared" si="149"/>
        <v/>
      </c>
      <c r="AF641" s="532" t="str">
        <f t="shared" si="150"/>
        <v/>
      </c>
    </row>
    <row r="642" spans="2:32" x14ac:dyDescent="0.25">
      <c r="B642" s="695"/>
      <c r="C642" s="197" t="str">
        <f>IF(B642&lt;&gt;"",IFERROR(VLOOKUP(B:B,'מצבת והרשמה (2)'!$C$20:$N$520,2,0)," ")," ")</f>
        <v xml:space="preserve"> </v>
      </c>
      <c r="D642" s="695"/>
      <c r="E642" s="696"/>
      <c r="F642" s="696"/>
      <c r="G642" s="696"/>
      <c r="H642" s="696"/>
      <c r="I642" s="1050" t="str">
        <f t="shared" si="137"/>
        <v/>
      </c>
      <c r="J642" s="696"/>
      <c r="K642" s="697"/>
      <c r="L642" s="696"/>
      <c r="M642" s="198" t="str">
        <f t="shared" si="138"/>
        <v/>
      </c>
      <c r="N642" s="369" t="str">
        <f t="shared" si="139"/>
        <v/>
      </c>
      <c r="O642" s="183" t="str">
        <f t="shared" si="140"/>
        <v/>
      </c>
      <c r="P642" s="199" t="str">
        <f t="shared" si="141"/>
        <v/>
      </c>
      <c r="Q642" s="199" t="str">
        <f>IF(B642="","",IFERROR(IF('עלויות כח אדם (6)'!J642&gt;=VLOOKUP(I642,'סיווג התפקידים והעלויות'!$B$23:$C$32,2,0),"תקין","לא תקין"),""))</f>
        <v/>
      </c>
      <c r="R642" s="199" t="str">
        <f t="shared" si="142"/>
        <v/>
      </c>
      <c r="S642" s="199" t="str">
        <f t="shared" si="143"/>
        <v/>
      </c>
      <c r="T642" s="199" t="str">
        <f t="shared" si="151"/>
        <v/>
      </c>
      <c r="U642" s="199" t="str">
        <f t="shared" si="144"/>
        <v/>
      </c>
      <c r="V642" s="989"/>
      <c r="X642" s="374" t="str">
        <f t="shared" si="145"/>
        <v/>
      </c>
      <c r="Y642" s="375" t="str">
        <f t="shared" si="146"/>
        <v/>
      </c>
      <c r="Z642" s="374" t="str">
        <f t="shared" si="147"/>
        <v/>
      </c>
      <c r="AA642" s="374" t="b">
        <f t="shared" si="148"/>
        <v>1</v>
      </c>
      <c r="AB642" s="374">
        <f>COUNTIFS(B:B,B642,H:H,'סיווג התפקידים והעלויות'!$C$2)</f>
        <v>0</v>
      </c>
      <c r="AC642" s="374">
        <f>COUNTIFS(B:B,B642,H:H,'סיווג התפקידים והעלויות'!$D$2)</f>
        <v>0</v>
      </c>
      <c r="AD642" s="374" t="str">
        <f>IF(OR(AND(H642='סיווג התפקידים והעלויות'!$A$2,I642='סיווג התפקידים והעלויות'!$A$3),'עלויות כח אדם (6)'!H642='סיווג התפקידים והעלויות'!$C$2,'עלויות כח אדם (6)'!H642='סיווג התפקידים והעלויות'!$D$2),IF('עלויות כח אדם (6)'!J642&lt;75,"לא תקין","תקין"),"")</f>
        <v/>
      </c>
      <c r="AE642" s="374" t="str">
        <f t="shared" si="149"/>
        <v/>
      </c>
      <c r="AF642" s="532" t="str">
        <f t="shared" si="150"/>
        <v/>
      </c>
    </row>
    <row r="643" spans="2:32" x14ac:dyDescent="0.25">
      <c r="B643" s="695"/>
      <c r="C643" s="197" t="str">
        <f>IF(B643&lt;&gt;"",IFERROR(VLOOKUP(B:B,'מצבת והרשמה (2)'!$C$20:$N$520,2,0)," ")," ")</f>
        <v xml:space="preserve"> </v>
      </c>
      <c r="D643" s="695"/>
      <c r="E643" s="696"/>
      <c r="F643" s="696"/>
      <c r="G643" s="696"/>
      <c r="H643" s="696"/>
      <c r="I643" s="1050" t="str">
        <f t="shared" si="137"/>
        <v/>
      </c>
      <c r="J643" s="696"/>
      <c r="K643" s="697"/>
      <c r="L643" s="696"/>
      <c r="M643" s="198" t="str">
        <f t="shared" si="138"/>
        <v/>
      </c>
      <c r="N643" s="369" t="str">
        <f t="shared" si="139"/>
        <v/>
      </c>
      <c r="O643" s="183" t="str">
        <f t="shared" si="140"/>
        <v/>
      </c>
      <c r="P643" s="199" t="str">
        <f t="shared" si="141"/>
        <v/>
      </c>
      <c r="Q643" s="199" t="str">
        <f>IF(B643="","",IFERROR(IF('עלויות כח אדם (6)'!J643&gt;=VLOOKUP(I643,'סיווג התפקידים והעלויות'!$B$23:$C$32,2,0),"תקין","לא תקין"),""))</f>
        <v/>
      </c>
      <c r="R643" s="199" t="str">
        <f t="shared" si="142"/>
        <v/>
      </c>
      <c r="S643" s="199" t="str">
        <f t="shared" si="143"/>
        <v/>
      </c>
      <c r="T643" s="199" t="str">
        <f t="shared" si="151"/>
        <v/>
      </c>
      <c r="U643" s="199" t="str">
        <f t="shared" si="144"/>
        <v/>
      </c>
      <c r="V643" s="989"/>
      <c r="X643" s="374" t="str">
        <f t="shared" si="145"/>
        <v/>
      </c>
      <c r="Y643" s="375" t="str">
        <f t="shared" si="146"/>
        <v/>
      </c>
      <c r="Z643" s="374" t="str">
        <f t="shared" si="147"/>
        <v/>
      </c>
      <c r="AA643" s="374" t="b">
        <f t="shared" si="148"/>
        <v>1</v>
      </c>
      <c r="AB643" s="374">
        <f>COUNTIFS(B:B,B643,H:H,'סיווג התפקידים והעלויות'!$C$2)</f>
        <v>0</v>
      </c>
      <c r="AC643" s="374">
        <f>COUNTIFS(B:B,B643,H:H,'סיווג התפקידים והעלויות'!$D$2)</f>
        <v>0</v>
      </c>
      <c r="AD643" s="374" t="str">
        <f>IF(OR(AND(H643='סיווג התפקידים והעלויות'!$A$2,I643='סיווג התפקידים והעלויות'!$A$3),'עלויות כח אדם (6)'!H643='סיווג התפקידים והעלויות'!$C$2,'עלויות כח אדם (6)'!H643='סיווג התפקידים והעלויות'!$D$2),IF('עלויות כח אדם (6)'!J643&lt;75,"לא תקין","תקין"),"")</f>
        <v/>
      </c>
      <c r="AE643" s="374" t="str">
        <f t="shared" si="149"/>
        <v/>
      </c>
      <c r="AF643" s="532" t="str">
        <f t="shared" si="150"/>
        <v/>
      </c>
    </row>
    <row r="644" spans="2:32" x14ac:dyDescent="0.25">
      <c r="B644" s="695"/>
      <c r="C644" s="197" t="str">
        <f>IF(B644&lt;&gt;"",IFERROR(VLOOKUP(B:B,'מצבת והרשמה (2)'!$C$20:$N$520,2,0)," ")," ")</f>
        <v xml:space="preserve"> </v>
      </c>
      <c r="D644" s="695"/>
      <c r="E644" s="696"/>
      <c r="F644" s="696"/>
      <c r="G644" s="696"/>
      <c r="H644" s="696"/>
      <c r="I644" s="1050" t="str">
        <f t="shared" si="137"/>
        <v/>
      </c>
      <c r="J644" s="696"/>
      <c r="K644" s="697"/>
      <c r="L644" s="696"/>
      <c r="M644" s="198" t="str">
        <f t="shared" si="138"/>
        <v/>
      </c>
      <c r="N644" s="369" t="str">
        <f t="shared" si="139"/>
        <v/>
      </c>
      <c r="O644" s="183" t="str">
        <f t="shared" si="140"/>
        <v/>
      </c>
      <c r="P644" s="199" t="str">
        <f t="shared" si="141"/>
        <v/>
      </c>
      <c r="Q644" s="199" t="str">
        <f>IF(B644="","",IFERROR(IF('עלויות כח אדם (6)'!J644&gt;=VLOOKUP(I644,'סיווג התפקידים והעלויות'!$B$23:$C$32,2,0),"תקין","לא תקין"),""))</f>
        <v/>
      </c>
      <c r="R644" s="199" t="str">
        <f t="shared" si="142"/>
        <v/>
      </c>
      <c r="S644" s="199" t="str">
        <f t="shared" si="143"/>
        <v/>
      </c>
      <c r="T644" s="199" t="str">
        <f t="shared" si="151"/>
        <v/>
      </c>
      <c r="U644" s="199" t="str">
        <f t="shared" si="144"/>
        <v/>
      </c>
      <c r="V644" s="989"/>
      <c r="X644" s="374" t="str">
        <f t="shared" si="145"/>
        <v/>
      </c>
      <c r="Y644" s="375" t="str">
        <f t="shared" si="146"/>
        <v/>
      </c>
      <c r="Z644" s="374" t="str">
        <f t="shared" si="147"/>
        <v/>
      </c>
      <c r="AA644" s="374" t="b">
        <f t="shared" si="148"/>
        <v>1</v>
      </c>
      <c r="AB644" s="374">
        <f>COUNTIFS(B:B,B644,H:H,'סיווג התפקידים והעלויות'!$C$2)</f>
        <v>0</v>
      </c>
      <c r="AC644" s="374">
        <f>COUNTIFS(B:B,B644,H:H,'סיווג התפקידים והעלויות'!$D$2)</f>
        <v>0</v>
      </c>
      <c r="AD644" s="374" t="str">
        <f>IF(OR(AND(H644='סיווג התפקידים והעלויות'!$A$2,I644='סיווג התפקידים והעלויות'!$A$3),'עלויות כח אדם (6)'!H644='סיווג התפקידים והעלויות'!$C$2,'עלויות כח אדם (6)'!H644='סיווג התפקידים והעלויות'!$D$2),IF('עלויות כח אדם (6)'!J644&lt;75,"לא תקין","תקין"),"")</f>
        <v/>
      </c>
      <c r="AE644" s="374" t="str">
        <f t="shared" si="149"/>
        <v/>
      </c>
      <c r="AF644" s="532" t="str">
        <f t="shared" si="150"/>
        <v/>
      </c>
    </row>
    <row r="645" spans="2:32" x14ac:dyDescent="0.25">
      <c r="B645" s="695"/>
      <c r="C645" s="197" t="str">
        <f>IF(B645&lt;&gt;"",IFERROR(VLOOKUP(B:B,'מצבת והרשמה (2)'!$C$20:$N$520,2,0)," ")," ")</f>
        <v xml:space="preserve"> </v>
      </c>
      <c r="D645" s="695"/>
      <c r="E645" s="696"/>
      <c r="F645" s="696"/>
      <c r="G645" s="696"/>
      <c r="H645" s="696"/>
      <c r="I645" s="1050" t="str">
        <f t="shared" si="137"/>
        <v/>
      </c>
      <c r="J645" s="696"/>
      <c r="K645" s="697"/>
      <c r="L645" s="696"/>
      <c r="M645" s="198" t="str">
        <f t="shared" si="138"/>
        <v/>
      </c>
      <c r="N645" s="369" t="str">
        <f t="shared" si="139"/>
        <v/>
      </c>
      <c r="O645" s="183" t="str">
        <f t="shared" si="140"/>
        <v/>
      </c>
      <c r="P645" s="199" t="str">
        <f t="shared" si="141"/>
        <v/>
      </c>
      <c r="Q645" s="199" t="str">
        <f>IF(B645="","",IFERROR(IF('עלויות כח אדם (6)'!J645&gt;=VLOOKUP(I645,'סיווג התפקידים והעלויות'!$B$23:$C$32,2,0),"תקין","לא תקין"),""))</f>
        <v/>
      </c>
      <c r="R645" s="199" t="str">
        <f t="shared" si="142"/>
        <v/>
      </c>
      <c r="S645" s="199" t="str">
        <f t="shared" si="143"/>
        <v/>
      </c>
      <c r="T645" s="199" t="str">
        <f t="shared" si="151"/>
        <v/>
      </c>
      <c r="U645" s="199" t="str">
        <f t="shared" si="144"/>
        <v/>
      </c>
      <c r="V645" s="989"/>
      <c r="X645" s="374" t="str">
        <f t="shared" si="145"/>
        <v/>
      </c>
      <c r="Y645" s="375" t="str">
        <f t="shared" si="146"/>
        <v/>
      </c>
      <c r="Z645" s="374" t="str">
        <f t="shared" si="147"/>
        <v/>
      </c>
      <c r="AA645" s="374" t="b">
        <f t="shared" si="148"/>
        <v>1</v>
      </c>
      <c r="AB645" s="374">
        <f>COUNTIFS(B:B,B645,H:H,'סיווג התפקידים והעלויות'!$C$2)</f>
        <v>0</v>
      </c>
      <c r="AC645" s="374">
        <f>COUNTIFS(B:B,B645,H:H,'סיווג התפקידים והעלויות'!$D$2)</f>
        <v>0</v>
      </c>
      <c r="AD645" s="374" t="str">
        <f>IF(OR(AND(H645='סיווג התפקידים והעלויות'!$A$2,I645='סיווג התפקידים והעלויות'!$A$3),'עלויות כח אדם (6)'!H645='סיווג התפקידים והעלויות'!$C$2,'עלויות כח אדם (6)'!H645='סיווג התפקידים והעלויות'!$D$2),IF('עלויות כח אדם (6)'!J645&lt;75,"לא תקין","תקין"),"")</f>
        <v/>
      </c>
      <c r="AE645" s="374" t="str">
        <f t="shared" si="149"/>
        <v/>
      </c>
      <c r="AF645" s="532" t="str">
        <f t="shared" si="150"/>
        <v/>
      </c>
    </row>
    <row r="646" spans="2:32" x14ac:dyDescent="0.25">
      <c r="B646" s="695"/>
      <c r="C646" s="197" t="str">
        <f>IF(B646&lt;&gt;"",IFERROR(VLOOKUP(B:B,'מצבת והרשמה (2)'!$C$20:$N$520,2,0)," ")," ")</f>
        <v xml:space="preserve"> </v>
      </c>
      <c r="D646" s="695"/>
      <c r="E646" s="696"/>
      <c r="F646" s="696"/>
      <c r="G646" s="696"/>
      <c r="H646" s="696"/>
      <c r="I646" s="1050" t="str">
        <f t="shared" si="137"/>
        <v/>
      </c>
      <c r="J646" s="696"/>
      <c r="K646" s="697"/>
      <c r="L646" s="696"/>
      <c r="M646" s="198" t="str">
        <f t="shared" si="138"/>
        <v/>
      </c>
      <c r="N646" s="369" t="str">
        <f t="shared" si="139"/>
        <v/>
      </c>
      <c r="O646" s="183" t="str">
        <f t="shared" si="140"/>
        <v/>
      </c>
      <c r="P646" s="199" t="str">
        <f t="shared" si="141"/>
        <v/>
      </c>
      <c r="Q646" s="199" t="str">
        <f>IF(B646="","",IFERROR(IF('עלויות כח אדם (6)'!J646&gt;=VLOOKUP(I646,'סיווג התפקידים והעלויות'!$B$23:$C$32,2,0),"תקין","לא תקין"),""))</f>
        <v/>
      </c>
      <c r="R646" s="199" t="str">
        <f t="shared" si="142"/>
        <v/>
      </c>
      <c r="S646" s="199" t="str">
        <f t="shared" si="143"/>
        <v/>
      </c>
      <c r="T646" s="199" t="str">
        <f t="shared" si="151"/>
        <v/>
      </c>
      <c r="U646" s="199" t="str">
        <f t="shared" si="144"/>
        <v/>
      </c>
      <c r="V646" s="989"/>
      <c r="X646" s="374" t="str">
        <f t="shared" si="145"/>
        <v/>
      </c>
      <c r="Y646" s="375" t="str">
        <f t="shared" si="146"/>
        <v/>
      </c>
      <c r="Z646" s="374" t="str">
        <f t="shared" si="147"/>
        <v/>
      </c>
      <c r="AA646" s="374" t="b">
        <f t="shared" si="148"/>
        <v>1</v>
      </c>
      <c r="AB646" s="374">
        <f>COUNTIFS(B:B,B646,H:H,'סיווג התפקידים והעלויות'!$C$2)</f>
        <v>0</v>
      </c>
      <c r="AC646" s="374">
        <f>COUNTIFS(B:B,B646,H:H,'סיווג התפקידים והעלויות'!$D$2)</f>
        <v>0</v>
      </c>
      <c r="AD646" s="374" t="str">
        <f>IF(OR(AND(H646='סיווג התפקידים והעלויות'!$A$2,I646='סיווג התפקידים והעלויות'!$A$3),'עלויות כח אדם (6)'!H646='סיווג התפקידים והעלויות'!$C$2,'עלויות כח אדם (6)'!H646='סיווג התפקידים והעלויות'!$D$2),IF('עלויות כח אדם (6)'!J646&lt;75,"לא תקין","תקין"),"")</f>
        <v/>
      </c>
      <c r="AE646" s="374" t="str">
        <f t="shared" si="149"/>
        <v/>
      </c>
      <c r="AF646" s="532" t="str">
        <f t="shared" si="150"/>
        <v/>
      </c>
    </row>
    <row r="647" spans="2:32" x14ac:dyDescent="0.25">
      <c r="B647" s="695"/>
      <c r="C647" s="197" t="str">
        <f>IF(B647&lt;&gt;"",IFERROR(VLOOKUP(B:B,'מצבת והרשמה (2)'!$C$20:$N$520,2,0)," ")," ")</f>
        <v xml:space="preserve"> </v>
      </c>
      <c r="D647" s="695"/>
      <c r="E647" s="696"/>
      <c r="F647" s="696"/>
      <c r="G647" s="696"/>
      <c r="H647" s="696"/>
      <c r="I647" s="1050" t="str">
        <f t="shared" si="137"/>
        <v/>
      </c>
      <c r="J647" s="696"/>
      <c r="K647" s="697"/>
      <c r="L647" s="696"/>
      <c r="M647" s="198" t="str">
        <f t="shared" si="138"/>
        <v/>
      </c>
      <c r="N647" s="369" t="str">
        <f t="shared" si="139"/>
        <v/>
      </c>
      <c r="O647" s="183" t="str">
        <f t="shared" si="140"/>
        <v/>
      </c>
      <c r="P647" s="199" t="str">
        <f t="shared" si="141"/>
        <v/>
      </c>
      <c r="Q647" s="199" t="str">
        <f>IF(B647="","",IFERROR(IF('עלויות כח אדם (6)'!J647&gt;=VLOOKUP(I647,'סיווג התפקידים והעלויות'!$B$23:$C$32,2,0),"תקין","לא תקין"),""))</f>
        <v/>
      </c>
      <c r="R647" s="199" t="str">
        <f t="shared" si="142"/>
        <v/>
      </c>
      <c r="S647" s="199" t="str">
        <f t="shared" si="143"/>
        <v/>
      </c>
      <c r="T647" s="199" t="str">
        <f t="shared" si="151"/>
        <v/>
      </c>
      <c r="U647" s="199" t="str">
        <f t="shared" si="144"/>
        <v/>
      </c>
      <c r="V647" s="989"/>
      <c r="X647" s="374" t="str">
        <f t="shared" si="145"/>
        <v/>
      </c>
      <c r="Y647" s="375" t="str">
        <f t="shared" si="146"/>
        <v/>
      </c>
      <c r="Z647" s="374" t="str">
        <f t="shared" si="147"/>
        <v/>
      </c>
      <c r="AA647" s="374" t="b">
        <f t="shared" si="148"/>
        <v>1</v>
      </c>
      <c r="AB647" s="374">
        <f>COUNTIFS(B:B,B647,H:H,'סיווג התפקידים והעלויות'!$C$2)</f>
        <v>0</v>
      </c>
      <c r="AC647" s="374">
        <f>COUNTIFS(B:B,B647,H:H,'סיווג התפקידים והעלויות'!$D$2)</f>
        <v>0</v>
      </c>
      <c r="AD647" s="374" t="str">
        <f>IF(OR(AND(H647='סיווג התפקידים והעלויות'!$A$2,I647='סיווג התפקידים והעלויות'!$A$3),'עלויות כח אדם (6)'!H647='סיווג התפקידים והעלויות'!$C$2,'עלויות כח אדם (6)'!H647='סיווג התפקידים והעלויות'!$D$2),IF('עלויות כח אדם (6)'!J647&lt;75,"לא תקין","תקין"),"")</f>
        <v/>
      </c>
      <c r="AE647" s="374" t="str">
        <f t="shared" si="149"/>
        <v/>
      </c>
      <c r="AF647" s="532" t="str">
        <f t="shared" si="150"/>
        <v/>
      </c>
    </row>
    <row r="648" spans="2:32" x14ac:dyDescent="0.25">
      <c r="B648" s="695"/>
      <c r="C648" s="197" t="str">
        <f>IF(B648&lt;&gt;"",IFERROR(VLOOKUP(B:B,'מצבת והרשמה (2)'!$C$20:$N$520,2,0)," ")," ")</f>
        <v xml:space="preserve"> </v>
      </c>
      <c r="D648" s="695"/>
      <c r="E648" s="696"/>
      <c r="F648" s="696"/>
      <c r="G648" s="696"/>
      <c r="H648" s="696"/>
      <c r="I648" s="1050" t="str">
        <f t="shared" si="137"/>
        <v/>
      </c>
      <c r="J648" s="696"/>
      <c r="K648" s="697"/>
      <c r="L648" s="696"/>
      <c r="M648" s="198" t="str">
        <f t="shared" si="138"/>
        <v/>
      </c>
      <c r="N648" s="369" t="str">
        <f t="shared" si="139"/>
        <v/>
      </c>
      <c r="O648" s="183" t="str">
        <f t="shared" si="140"/>
        <v/>
      </c>
      <c r="P648" s="199" t="str">
        <f t="shared" si="141"/>
        <v/>
      </c>
      <c r="Q648" s="199" t="str">
        <f>IF(B648="","",IFERROR(IF('עלויות כח אדם (6)'!J648&gt;=VLOOKUP(I648,'סיווג התפקידים והעלויות'!$B$23:$C$32,2,0),"תקין","לא תקין"),""))</f>
        <v/>
      </c>
      <c r="R648" s="199" t="str">
        <f t="shared" si="142"/>
        <v/>
      </c>
      <c r="S648" s="199" t="str">
        <f t="shared" si="143"/>
        <v/>
      </c>
      <c r="T648" s="199" t="str">
        <f t="shared" si="151"/>
        <v/>
      </c>
      <c r="U648" s="199" t="str">
        <f t="shared" si="144"/>
        <v/>
      </c>
      <c r="V648" s="989"/>
      <c r="X648" s="374" t="str">
        <f t="shared" si="145"/>
        <v/>
      </c>
      <c r="Y648" s="375" t="str">
        <f t="shared" si="146"/>
        <v/>
      </c>
      <c r="Z648" s="374" t="str">
        <f t="shared" si="147"/>
        <v/>
      </c>
      <c r="AA648" s="374" t="b">
        <f t="shared" si="148"/>
        <v>1</v>
      </c>
      <c r="AB648" s="374">
        <f>COUNTIFS(B:B,B648,H:H,'סיווג התפקידים והעלויות'!$C$2)</f>
        <v>0</v>
      </c>
      <c r="AC648" s="374">
        <f>COUNTIFS(B:B,B648,H:H,'סיווג התפקידים והעלויות'!$D$2)</f>
        <v>0</v>
      </c>
      <c r="AD648" s="374" t="str">
        <f>IF(OR(AND(H648='סיווג התפקידים והעלויות'!$A$2,I648='סיווג התפקידים והעלויות'!$A$3),'עלויות כח אדם (6)'!H648='סיווג התפקידים והעלויות'!$C$2,'עלויות כח אדם (6)'!H648='סיווג התפקידים והעלויות'!$D$2),IF('עלויות כח אדם (6)'!J648&lt;75,"לא תקין","תקין"),"")</f>
        <v/>
      </c>
      <c r="AE648" s="374" t="str">
        <f t="shared" si="149"/>
        <v/>
      </c>
      <c r="AF648" s="532" t="str">
        <f t="shared" si="150"/>
        <v/>
      </c>
    </row>
    <row r="649" spans="2:32" x14ac:dyDescent="0.25">
      <c r="B649" s="695"/>
      <c r="C649" s="197" t="str">
        <f>IF(B649&lt;&gt;"",IFERROR(VLOOKUP(B:B,'מצבת והרשמה (2)'!$C$20:$N$520,2,0)," ")," ")</f>
        <v xml:space="preserve"> </v>
      </c>
      <c r="D649" s="695"/>
      <c r="E649" s="696"/>
      <c r="F649" s="696"/>
      <c r="G649" s="696"/>
      <c r="H649" s="696"/>
      <c r="I649" s="1050" t="str">
        <f t="shared" si="137"/>
        <v/>
      </c>
      <c r="J649" s="696"/>
      <c r="K649" s="697"/>
      <c r="L649" s="696"/>
      <c r="M649" s="198" t="str">
        <f t="shared" si="138"/>
        <v/>
      </c>
      <c r="N649" s="369" t="str">
        <f t="shared" si="139"/>
        <v/>
      </c>
      <c r="O649" s="183" t="str">
        <f t="shared" si="140"/>
        <v/>
      </c>
      <c r="P649" s="199" t="str">
        <f t="shared" si="141"/>
        <v/>
      </c>
      <c r="Q649" s="199" t="str">
        <f>IF(B649="","",IFERROR(IF('עלויות כח אדם (6)'!J649&gt;=VLOOKUP(I649,'סיווג התפקידים והעלויות'!$B$23:$C$32,2,0),"תקין","לא תקין"),""))</f>
        <v/>
      </c>
      <c r="R649" s="199" t="str">
        <f t="shared" si="142"/>
        <v/>
      </c>
      <c r="S649" s="199" t="str">
        <f t="shared" si="143"/>
        <v/>
      </c>
      <c r="T649" s="199" t="str">
        <f t="shared" si="151"/>
        <v/>
      </c>
      <c r="U649" s="199" t="str">
        <f t="shared" si="144"/>
        <v/>
      </c>
      <c r="V649" s="989"/>
      <c r="X649" s="374" t="str">
        <f t="shared" si="145"/>
        <v/>
      </c>
      <c r="Y649" s="375" t="str">
        <f t="shared" si="146"/>
        <v/>
      </c>
      <c r="Z649" s="374" t="str">
        <f t="shared" si="147"/>
        <v/>
      </c>
      <c r="AA649" s="374" t="b">
        <f t="shared" si="148"/>
        <v>1</v>
      </c>
      <c r="AB649" s="374">
        <f>COUNTIFS(B:B,B649,H:H,'סיווג התפקידים והעלויות'!$C$2)</f>
        <v>0</v>
      </c>
      <c r="AC649" s="374">
        <f>COUNTIFS(B:B,B649,H:H,'סיווג התפקידים והעלויות'!$D$2)</f>
        <v>0</v>
      </c>
      <c r="AD649" s="374" t="str">
        <f>IF(OR(AND(H649='סיווג התפקידים והעלויות'!$A$2,I649='סיווג התפקידים והעלויות'!$A$3),'עלויות כח אדם (6)'!H649='סיווג התפקידים והעלויות'!$C$2,'עלויות כח אדם (6)'!H649='סיווג התפקידים והעלויות'!$D$2),IF('עלויות כח אדם (6)'!J649&lt;75,"לא תקין","תקין"),"")</f>
        <v/>
      </c>
      <c r="AE649" s="374" t="str">
        <f t="shared" si="149"/>
        <v/>
      </c>
      <c r="AF649" s="532" t="str">
        <f t="shared" si="150"/>
        <v/>
      </c>
    </row>
    <row r="650" spans="2:32" x14ac:dyDescent="0.25">
      <c r="B650" s="695"/>
      <c r="C650" s="197" t="str">
        <f>IF(B650&lt;&gt;"",IFERROR(VLOOKUP(B:B,'מצבת והרשמה (2)'!$C$20:$N$520,2,0)," ")," ")</f>
        <v xml:space="preserve"> </v>
      </c>
      <c r="D650" s="695"/>
      <c r="E650" s="696"/>
      <c r="F650" s="696"/>
      <c r="G650" s="696"/>
      <c r="H650" s="696"/>
      <c r="I650" s="1050" t="str">
        <f t="shared" si="137"/>
        <v/>
      </c>
      <c r="J650" s="696"/>
      <c r="K650" s="697"/>
      <c r="L650" s="696"/>
      <c r="M650" s="198" t="str">
        <f t="shared" si="138"/>
        <v/>
      </c>
      <c r="N650" s="369" t="str">
        <f t="shared" si="139"/>
        <v/>
      </c>
      <c r="O650" s="183" t="str">
        <f t="shared" si="140"/>
        <v/>
      </c>
      <c r="P650" s="199" t="str">
        <f t="shared" si="141"/>
        <v/>
      </c>
      <c r="Q650" s="199" t="str">
        <f>IF(B650="","",IFERROR(IF('עלויות כח אדם (6)'!J650&gt;=VLOOKUP(I650,'סיווג התפקידים והעלויות'!$B$23:$C$32,2,0),"תקין","לא תקין"),""))</f>
        <v/>
      </c>
      <c r="R650" s="199" t="str">
        <f t="shared" si="142"/>
        <v/>
      </c>
      <c r="S650" s="199" t="str">
        <f t="shared" si="143"/>
        <v/>
      </c>
      <c r="T650" s="199" t="str">
        <f t="shared" si="151"/>
        <v/>
      </c>
      <c r="U650" s="199" t="str">
        <f t="shared" si="144"/>
        <v/>
      </c>
      <c r="V650" s="989"/>
      <c r="X650" s="374" t="str">
        <f t="shared" si="145"/>
        <v/>
      </c>
      <c r="Y650" s="375" t="str">
        <f t="shared" si="146"/>
        <v/>
      </c>
      <c r="Z650" s="374" t="str">
        <f t="shared" si="147"/>
        <v/>
      </c>
      <c r="AA650" s="374" t="b">
        <f t="shared" si="148"/>
        <v>1</v>
      </c>
      <c r="AB650" s="374">
        <f>COUNTIFS(B:B,B650,H:H,'סיווג התפקידים והעלויות'!$C$2)</f>
        <v>0</v>
      </c>
      <c r="AC650" s="374">
        <f>COUNTIFS(B:B,B650,H:H,'סיווג התפקידים והעלויות'!$D$2)</f>
        <v>0</v>
      </c>
      <c r="AD650" s="374" t="str">
        <f>IF(OR(AND(H650='סיווג התפקידים והעלויות'!$A$2,I650='סיווג התפקידים והעלויות'!$A$3),'עלויות כח אדם (6)'!H650='סיווג התפקידים והעלויות'!$C$2,'עלויות כח אדם (6)'!H650='סיווג התפקידים והעלויות'!$D$2),IF('עלויות כח אדם (6)'!J650&lt;75,"לא תקין","תקין"),"")</f>
        <v/>
      </c>
      <c r="AE650" s="374" t="str">
        <f t="shared" si="149"/>
        <v/>
      </c>
      <c r="AF650" s="532" t="str">
        <f t="shared" si="150"/>
        <v/>
      </c>
    </row>
    <row r="651" spans="2:32" x14ac:dyDescent="0.25">
      <c r="B651" s="695"/>
      <c r="C651" s="197" t="str">
        <f>IF(B651&lt;&gt;"",IFERROR(VLOOKUP(B:B,'מצבת והרשמה (2)'!$C$20:$N$520,2,0)," ")," ")</f>
        <v xml:space="preserve"> </v>
      </c>
      <c r="D651" s="695"/>
      <c r="E651" s="696"/>
      <c r="F651" s="696"/>
      <c r="G651" s="696"/>
      <c r="H651" s="696"/>
      <c r="I651" s="1050" t="str">
        <f t="shared" si="137"/>
        <v/>
      </c>
      <c r="J651" s="696"/>
      <c r="K651" s="697"/>
      <c r="L651" s="696"/>
      <c r="M651" s="198" t="str">
        <f t="shared" si="138"/>
        <v/>
      </c>
      <c r="N651" s="369" t="str">
        <f t="shared" si="139"/>
        <v/>
      </c>
      <c r="O651" s="183" t="str">
        <f t="shared" si="140"/>
        <v/>
      </c>
      <c r="P651" s="199" t="str">
        <f t="shared" si="141"/>
        <v/>
      </c>
      <c r="Q651" s="199" t="str">
        <f>IF(B651="","",IFERROR(IF('עלויות כח אדם (6)'!J651&gt;=VLOOKUP(I651,'סיווג התפקידים והעלויות'!$B$23:$C$32,2,0),"תקין","לא תקין"),""))</f>
        <v/>
      </c>
      <c r="R651" s="199" t="str">
        <f t="shared" si="142"/>
        <v/>
      </c>
      <c r="S651" s="199" t="str">
        <f t="shared" si="143"/>
        <v/>
      </c>
      <c r="T651" s="199" t="str">
        <f t="shared" si="151"/>
        <v/>
      </c>
      <c r="U651" s="199" t="str">
        <f t="shared" si="144"/>
        <v/>
      </c>
      <c r="V651" s="989"/>
      <c r="X651" s="374" t="str">
        <f t="shared" si="145"/>
        <v/>
      </c>
      <c r="Y651" s="375" t="str">
        <f t="shared" si="146"/>
        <v/>
      </c>
      <c r="Z651" s="374" t="str">
        <f t="shared" si="147"/>
        <v/>
      </c>
      <c r="AA651" s="374" t="b">
        <f t="shared" si="148"/>
        <v>1</v>
      </c>
      <c r="AB651" s="374">
        <f>COUNTIFS(B:B,B651,H:H,'סיווג התפקידים והעלויות'!$C$2)</f>
        <v>0</v>
      </c>
      <c r="AC651" s="374">
        <f>COUNTIFS(B:B,B651,H:H,'סיווג התפקידים והעלויות'!$D$2)</f>
        <v>0</v>
      </c>
      <c r="AD651" s="374" t="str">
        <f>IF(OR(AND(H651='סיווג התפקידים והעלויות'!$A$2,I651='סיווג התפקידים והעלויות'!$A$3),'עלויות כח אדם (6)'!H651='סיווג התפקידים והעלויות'!$C$2,'עלויות כח אדם (6)'!H651='סיווג התפקידים והעלויות'!$D$2),IF('עלויות כח אדם (6)'!J651&lt;75,"לא תקין","תקין"),"")</f>
        <v/>
      </c>
      <c r="AE651" s="374" t="str">
        <f t="shared" si="149"/>
        <v/>
      </c>
      <c r="AF651" s="532" t="str">
        <f t="shared" si="150"/>
        <v/>
      </c>
    </row>
    <row r="652" spans="2:32" x14ac:dyDescent="0.25">
      <c r="B652" s="695"/>
      <c r="C652" s="197" t="str">
        <f>IF(B652&lt;&gt;"",IFERROR(VLOOKUP(B:B,'מצבת והרשמה (2)'!$C$20:$N$520,2,0)," ")," ")</f>
        <v xml:space="preserve"> </v>
      </c>
      <c r="D652" s="695"/>
      <c r="E652" s="696"/>
      <c r="F652" s="696"/>
      <c r="G652" s="696"/>
      <c r="H652" s="696"/>
      <c r="I652" s="1050" t="str">
        <f t="shared" si="137"/>
        <v/>
      </c>
      <c r="J652" s="696"/>
      <c r="K652" s="697"/>
      <c r="L652" s="696"/>
      <c r="M652" s="198" t="str">
        <f t="shared" si="138"/>
        <v/>
      </c>
      <c r="N652" s="369" t="str">
        <f t="shared" si="139"/>
        <v/>
      </c>
      <c r="O652" s="183" t="str">
        <f t="shared" si="140"/>
        <v/>
      </c>
      <c r="P652" s="199" t="str">
        <f t="shared" si="141"/>
        <v/>
      </c>
      <c r="Q652" s="199" t="str">
        <f>IF(B652="","",IFERROR(IF('עלויות כח אדם (6)'!J652&gt;=VLOOKUP(I652,'סיווג התפקידים והעלויות'!$B$23:$C$32,2,0),"תקין","לא תקין"),""))</f>
        <v/>
      </c>
      <c r="R652" s="199" t="str">
        <f t="shared" si="142"/>
        <v/>
      </c>
      <c r="S652" s="199" t="str">
        <f t="shared" si="143"/>
        <v/>
      </c>
      <c r="T652" s="199" t="str">
        <f t="shared" si="151"/>
        <v/>
      </c>
      <c r="U652" s="199" t="str">
        <f t="shared" si="144"/>
        <v/>
      </c>
      <c r="V652" s="989"/>
      <c r="X652" s="374" t="str">
        <f t="shared" si="145"/>
        <v/>
      </c>
      <c r="Y652" s="375" t="str">
        <f t="shared" si="146"/>
        <v/>
      </c>
      <c r="Z652" s="374" t="str">
        <f t="shared" si="147"/>
        <v/>
      </c>
      <c r="AA652" s="374" t="b">
        <f t="shared" si="148"/>
        <v>1</v>
      </c>
      <c r="AB652" s="374">
        <f>COUNTIFS(B:B,B652,H:H,'סיווג התפקידים והעלויות'!$C$2)</f>
        <v>0</v>
      </c>
      <c r="AC652" s="374">
        <f>COUNTIFS(B:B,B652,H:H,'סיווג התפקידים והעלויות'!$D$2)</f>
        <v>0</v>
      </c>
      <c r="AD652" s="374" t="str">
        <f>IF(OR(AND(H652='סיווג התפקידים והעלויות'!$A$2,I652='סיווג התפקידים והעלויות'!$A$3),'עלויות כח אדם (6)'!H652='סיווג התפקידים והעלויות'!$C$2,'עלויות כח אדם (6)'!H652='סיווג התפקידים והעלויות'!$D$2),IF('עלויות כח אדם (6)'!J652&lt;75,"לא תקין","תקין"),"")</f>
        <v/>
      </c>
      <c r="AE652" s="374" t="str">
        <f t="shared" si="149"/>
        <v/>
      </c>
      <c r="AF652" s="532" t="str">
        <f t="shared" si="150"/>
        <v/>
      </c>
    </row>
    <row r="653" spans="2:32" x14ac:dyDescent="0.25">
      <c r="B653" s="695"/>
      <c r="C653" s="197" t="str">
        <f>IF(B653&lt;&gt;"",IFERROR(VLOOKUP(B:B,'מצבת והרשמה (2)'!$C$20:$N$520,2,0)," ")," ")</f>
        <v xml:space="preserve"> </v>
      </c>
      <c r="D653" s="695"/>
      <c r="E653" s="696"/>
      <c r="F653" s="696"/>
      <c r="G653" s="696"/>
      <c r="H653" s="696"/>
      <c r="I653" s="1050" t="str">
        <f t="shared" si="137"/>
        <v/>
      </c>
      <c r="J653" s="696"/>
      <c r="K653" s="697"/>
      <c r="L653" s="696"/>
      <c r="M653" s="198" t="str">
        <f t="shared" si="138"/>
        <v/>
      </c>
      <c r="N653" s="369" t="str">
        <f t="shared" si="139"/>
        <v/>
      </c>
      <c r="O653" s="183" t="str">
        <f t="shared" si="140"/>
        <v/>
      </c>
      <c r="P653" s="199" t="str">
        <f t="shared" si="141"/>
        <v/>
      </c>
      <c r="Q653" s="199" t="str">
        <f>IF(B653="","",IFERROR(IF('עלויות כח אדם (6)'!J653&gt;=VLOOKUP(I653,'סיווג התפקידים והעלויות'!$B$23:$C$32,2,0),"תקין","לא תקין"),""))</f>
        <v/>
      </c>
      <c r="R653" s="199" t="str">
        <f t="shared" si="142"/>
        <v/>
      </c>
      <c r="S653" s="199" t="str">
        <f t="shared" si="143"/>
        <v/>
      </c>
      <c r="T653" s="199" t="str">
        <f t="shared" si="151"/>
        <v/>
      </c>
      <c r="U653" s="199" t="str">
        <f t="shared" si="144"/>
        <v/>
      </c>
      <c r="V653" s="989"/>
      <c r="X653" s="374" t="str">
        <f t="shared" si="145"/>
        <v/>
      </c>
      <c r="Y653" s="375" t="str">
        <f t="shared" si="146"/>
        <v/>
      </c>
      <c r="Z653" s="374" t="str">
        <f t="shared" si="147"/>
        <v/>
      </c>
      <c r="AA653" s="374" t="b">
        <f t="shared" si="148"/>
        <v>1</v>
      </c>
      <c r="AB653" s="374">
        <f>COUNTIFS(B:B,B653,H:H,'סיווג התפקידים והעלויות'!$C$2)</f>
        <v>0</v>
      </c>
      <c r="AC653" s="374">
        <f>COUNTIFS(B:B,B653,H:H,'סיווג התפקידים והעלויות'!$D$2)</f>
        <v>0</v>
      </c>
      <c r="AD653" s="374" t="str">
        <f>IF(OR(AND(H653='סיווג התפקידים והעלויות'!$A$2,I653='סיווג התפקידים והעלויות'!$A$3),'עלויות כח אדם (6)'!H653='סיווג התפקידים והעלויות'!$C$2,'עלויות כח אדם (6)'!H653='סיווג התפקידים והעלויות'!$D$2),IF('עלויות כח אדם (6)'!J653&lt;75,"לא תקין","תקין"),"")</f>
        <v/>
      </c>
      <c r="AE653" s="374" t="str">
        <f t="shared" si="149"/>
        <v/>
      </c>
      <c r="AF653" s="532" t="str">
        <f t="shared" si="150"/>
        <v/>
      </c>
    </row>
    <row r="654" spans="2:32" x14ac:dyDescent="0.25">
      <c r="B654" s="695"/>
      <c r="C654" s="197" t="str">
        <f>IF(B654&lt;&gt;"",IFERROR(VLOOKUP(B:B,'מצבת והרשמה (2)'!$C$20:$N$520,2,0)," ")," ")</f>
        <v xml:space="preserve"> </v>
      </c>
      <c r="D654" s="695"/>
      <c r="E654" s="696"/>
      <c r="F654" s="696"/>
      <c r="G654" s="696"/>
      <c r="H654" s="696"/>
      <c r="I654" s="1050" t="str">
        <f t="shared" si="137"/>
        <v/>
      </c>
      <c r="J654" s="696"/>
      <c r="K654" s="697"/>
      <c r="L654" s="696"/>
      <c r="M654" s="198" t="str">
        <f t="shared" si="138"/>
        <v/>
      </c>
      <c r="N654" s="369" t="str">
        <f t="shared" si="139"/>
        <v/>
      </c>
      <c r="O654" s="183" t="str">
        <f t="shared" si="140"/>
        <v/>
      </c>
      <c r="P654" s="199" t="str">
        <f t="shared" si="141"/>
        <v/>
      </c>
      <c r="Q654" s="199" t="str">
        <f>IF(B654="","",IFERROR(IF('עלויות כח אדם (6)'!J654&gt;=VLOOKUP(I654,'סיווג התפקידים והעלויות'!$B$23:$C$32,2,0),"תקין","לא תקין"),""))</f>
        <v/>
      </c>
      <c r="R654" s="199" t="str">
        <f t="shared" si="142"/>
        <v/>
      </c>
      <c r="S654" s="199" t="str">
        <f t="shared" si="143"/>
        <v/>
      </c>
      <c r="T654" s="199" t="str">
        <f t="shared" si="151"/>
        <v/>
      </c>
      <c r="U654" s="199" t="str">
        <f t="shared" si="144"/>
        <v/>
      </c>
      <c r="V654" s="989"/>
      <c r="X654" s="374" t="str">
        <f t="shared" si="145"/>
        <v/>
      </c>
      <c r="Y654" s="375" t="str">
        <f t="shared" si="146"/>
        <v/>
      </c>
      <c r="Z654" s="374" t="str">
        <f t="shared" si="147"/>
        <v/>
      </c>
      <c r="AA654" s="374" t="b">
        <f t="shared" si="148"/>
        <v>1</v>
      </c>
      <c r="AB654" s="374">
        <f>COUNTIFS(B:B,B654,H:H,'סיווג התפקידים והעלויות'!$C$2)</f>
        <v>0</v>
      </c>
      <c r="AC654" s="374">
        <f>COUNTIFS(B:B,B654,H:H,'סיווג התפקידים והעלויות'!$D$2)</f>
        <v>0</v>
      </c>
      <c r="AD654" s="374" t="str">
        <f>IF(OR(AND(H654='סיווג התפקידים והעלויות'!$A$2,I654='סיווג התפקידים והעלויות'!$A$3),'עלויות כח אדם (6)'!H654='סיווג התפקידים והעלויות'!$C$2,'עלויות כח אדם (6)'!H654='סיווג התפקידים והעלויות'!$D$2),IF('עלויות כח אדם (6)'!J654&lt;75,"לא תקין","תקין"),"")</f>
        <v/>
      </c>
      <c r="AE654" s="374" t="str">
        <f t="shared" si="149"/>
        <v/>
      </c>
      <c r="AF654" s="532" t="str">
        <f t="shared" si="150"/>
        <v/>
      </c>
    </row>
    <row r="655" spans="2:32" x14ac:dyDescent="0.25">
      <c r="B655" s="695"/>
      <c r="C655" s="197" t="str">
        <f>IF(B655&lt;&gt;"",IFERROR(VLOOKUP(B:B,'מצבת והרשמה (2)'!$C$20:$N$520,2,0)," ")," ")</f>
        <v xml:space="preserve"> </v>
      </c>
      <c r="D655" s="695"/>
      <c r="E655" s="696"/>
      <c r="F655" s="696"/>
      <c r="G655" s="696"/>
      <c r="H655" s="696"/>
      <c r="I655" s="1050" t="str">
        <f t="shared" ref="I655:I718" si="152">SUBSTITUTE(IFERROR(IF(H655="מדצ","מדצ/ית",IF(H655="סגנית רכזת מעל 150","סגנ/ית רכז/ת&gt;150",IF(H655="רכזת תכנית בבית הספר","רכז/ת תכנית בבית הספר"))),""),"FALSE","")</f>
        <v/>
      </c>
      <c r="J655" s="696"/>
      <c r="K655" s="697"/>
      <c r="L655" s="696"/>
      <c r="M655" s="198" t="str">
        <f t="shared" ref="M655:M718" si="153">IF(AND(L655&gt;0,K655&gt;0),K655*L655,"")</f>
        <v/>
      </c>
      <c r="N655" s="369" t="str">
        <f t="shared" ref="N655:N718" si="154">TEXT(LEFT(H655,2),0)</f>
        <v/>
      </c>
      <c r="O655" s="183" t="str">
        <f t="shared" ref="O655:O718" si="155">IF(ISNUMBER(M655&gt;0),IF(ISBLANK(B655),"יש להזין סמל מוסד בעמודה B",""),"")</f>
        <v/>
      </c>
      <c r="P655" s="199" t="str">
        <f t="shared" ref="P655:P718" si="156">IF(B655="","",IF(AA655=FALSE,"לא תקין","תקין"))</f>
        <v/>
      </c>
      <c r="Q655" s="199" t="str">
        <f>IF(B655="","",IFERROR(IF('עלויות כח אדם (6)'!J655&gt;=VLOOKUP(I655,'סיווג התפקידים והעלויות'!$B$23:$C$32,2,0),"תקין","לא תקין"),""))</f>
        <v/>
      </c>
      <c r="R655" s="199" t="str">
        <f t="shared" ref="R655:R718" si="157">IF(B655="","",IF(OR(Y655&lt;100%,Y655&gt;140%),"לא תקין","תקין"))</f>
        <v/>
      </c>
      <c r="S655" s="199" t="str">
        <f t="shared" ref="S655:S718" si="158">IF(B655="","",IFERROR(IF(J655&gt;120,"לא תקין","תקין"),""))</f>
        <v/>
      </c>
      <c r="T655" s="199" t="str">
        <f t="shared" si="151"/>
        <v/>
      </c>
      <c r="U655" s="199" t="str">
        <f t="shared" ref="U655:U718" si="159">IF(B655="","",IF(Z655&gt;1,IF(SUMIF(D:D,D655,L:L)&gt;90,"לא תקין","תקין"),"תקין"))</f>
        <v/>
      </c>
      <c r="V655" s="989"/>
      <c r="X655" s="374" t="str">
        <f t="shared" ref="X655:X718" si="160">IF(B655="","",IF(OR(R655="לא תקין",S655="לא תקין",T655="לא תקין",,U655="לא תקין"),"לא תקין","תקין"))</f>
        <v/>
      </c>
      <c r="Y655" s="375" t="str">
        <f t="shared" ref="Y655:Y718" si="161">IFERROR(IF(B655="","",K655/J655),"")</f>
        <v/>
      </c>
      <c r="Z655" s="374" t="str">
        <f t="shared" ref="Z655:Z718" si="162">IF(B655="","",COUNTIF(D:D,D655))</f>
        <v/>
      </c>
      <c r="AA655" s="374" t="b">
        <f t="shared" ref="AA655:AA718" si="163">MOD(MID(REPT(0,9-LEN(D655))&amp;D655,1,1)+MID("0246813579",MID(REPT(0,9-LEN(D655))&amp;D655,2,1)+1,1)+MID(REPT(0,9-LEN(D655))&amp;D655,3,1)+MID("0246813579",MID(REPT(0,9-LEN(D655))&amp;D655,4,1)+1,1)+MID(REPT(0,9-LEN(D655))&amp;D655,5,1)+MID("0246813579",MID(REPT(0,9-LEN(D655))&amp;D655,6,1)+1,1)+MID(REPT(0,9-LEN(D655))&amp;D655,7,1)+MID("0246813579",MID(REPT(0,9-LEN(D655))&amp;D655,8,1)+1,1)+MID(REPT(0,9-LEN(D655))&amp;D655,9,1),10)=0</f>
        <v>1</v>
      </c>
      <c r="AB655" s="374">
        <f>COUNTIFS(B:B,B655,H:H,'סיווג התפקידים והעלויות'!$C$2)</f>
        <v>0</v>
      </c>
      <c r="AC655" s="374">
        <f>COUNTIFS(B:B,B655,H:H,'סיווג התפקידים והעלויות'!$D$2)</f>
        <v>0</v>
      </c>
      <c r="AD655" s="374" t="str">
        <f>IF(OR(AND(H655='סיווג התפקידים והעלויות'!$A$2,I655='סיווג התפקידים והעלויות'!$A$3),'עלויות כח אדם (6)'!H655='סיווג התפקידים והעלויות'!$C$2,'עלויות כח אדם (6)'!H655='סיווג התפקידים והעלויות'!$D$2),IF('עלויות כח אדם (6)'!J655&lt;75,"לא תקין","תקין"),"")</f>
        <v/>
      </c>
      <c r="AE655" s="374" t="str">
        <f t="shared" ref="AE655:AE718" si="164">IF(B655&lt;&gt;"",B655&amp;H655,"")</f>
        <v/>
      </c>
      <c r="AF655" s="532" t="str">
        <f t="shared" ref="AF655:AF718" si="165">M655</f>
        <v/>
      </c>
    </row>
    <row r="656" spans="2:32" x14ac:dyDescent="0.25">
      <c r="B656" s="695"/>
      <c r="C656" s="197" t="str">
        <f>IF(B656&lt;&gt;"",IFERROR(VLOOKUP(B:B,'מצבת והרשמה (2)'!$C$20:$N$520,2,0)," ")," ")</f>
        <v xml:space="preserve"> </v>
      </c>
      <c r="D656" s="695"/>
      <c r="E656" s="696"/>
      <c r="F656" s="696"/>
      <c r="G656" s="696"/>
      <c r="H656" s="696"/>
      <c r="I656" s="1050" t="str">
        <f t="shared" si="152"/>
        <v/>
      </c>
      <c r="J656" s="696"/>
      <c r="K656" s="697"/>
      <c r="L656" s="696"/>
      <c r="M656" s="198" t="str">
        <f t="shared" si="153"/>
        <v/>
      </c>
      <c r="N656" s="369" t="str">
        <f t="shared" si="154"/>
        <v/>
      </c>
      <c r="O656" s="183" t="str">
        <f t="shared" si="155"/>
        <v/>
      </c>
      <c r="P656" s="199" t="str">
        <f t="shared" si="156"/>
        <v/>
      </c>
      <c r="Q656" s="199" t="str">
        <f>IF(B656="","",IFERROR(IF('עלויות כח אדם (6)'!J656&gt;=VLOOKUP(I656,'סיווג התפקידים והעלויות'!$B$23:$C$32,2,0),"תקין","לא תקין"),""))</f>
        <v/>
      </c>
      <c r="R656" s="199" t="str">
        <f t="shared" si="157"/>
        <v/>
      </c>
      <c r="S656" s="199" t="str">
        <f t="shared" si="158"/>
        <v/>
      </c>
      <c r="T656" s="199" t="str">
        <f t="shared" ref="T656:T719" si="166">IF(B656="","",IF(H656="","יש להזין איש צוות",IF(OR(H656="מורה",H656="גננת",H656="רכז גן",H656="רכזת גן",H656="סייעת",H656="מדצית",H656="מדצ",H656="מדריך",H656="מדריכה",H656="תוספת כח אדם"),IF(L656&lt;=90,"תקין","לא תקין"),IF(OR(H656="רכז בית ספר",H656="רכזת תכנית בבית הספר",H656="רכזת בית ספר"),IF(L656&lt;=137,"תקין","לא תקין"),IF(OR(H656="סגנית רכזת מעל 150",H656="סגן רכז"),IF(L656&lt;=93,"תקין","לא תקין"),"לא תקין")))))</f>
        <v/>
      </c>
      <c r="U656" s="199" t="str">
        <f t="shared" si="159"/>
        <v/>
      </c>
      <c r="V656" s="989"/>
      <c r="X656" s="374" t="str">
        <f t="shared" si="160"/>
        <v/>
      </c>
      <c r="Y656" s="375" t="str">
        <f t="shared" si="161"/>
        <v/>
      </c>
      <c r="Z656" s="374" t="str">
        <f t="shared" si="162"/>
        <v/>
      </c>
      <c r="AA656" s="374" t="b">
        <f t="shared" si="163"/>
        <v>1</v>
      </c>
      <c r="AB656" s="374">
        <f>COUNTIFS(B:B,B656,H:H,'סיווג התפקידים והעלויות'!$C$2)</f>
        <v>0</v>
      </c>
      <c r="AC656" s="374">
        <f>COUNTIFS(B:B,B656,H:H,'סיווג התפקידים והעלויות'!$D$2)</f>
        <v>0</v>
      </c>
      <c r="AD656" s="374" t="str">
        <f>IF(OR(AND(H656='סיווג התפקידים והעלויות'!$A$2,I656='סיווג התפקידים והעלויות'!$A$3),'עלויות כח אדם (6)'!H656='סיווג התפקידים והעלויות'!$C$2,'עלויות כח אדם (6)'!H656='סיווג התפקידים והעלויות'!$D$2),IF('עלויות כח אדם (6)'!J656&lt;75,"לא תקין","תקין"),"")</f>
        <v/>
      </c>
      <c r="AE656" s="374" t="str">
        <f t="shared" si="164"/>
        <v/>
      </c>
      <c r="AF656" s="532" t="str">
        <f t="shared" si="165"/>
        <v/>
      </c>
    </row>
    <row r="657" spans="2:32" x14ac:dyDescent="0.25">
      <c r="B657" s="695"/>
      <c r="C657" s="197" t="str">
        <f>IF(B657&lt;&gt;"",IFERROR(VLOOKUP(B:B,'מצבת והרשמה (2)'!$C$20:$N$520,2,0)," ")," ")</f>
        <v xml:space="preserve"> </v>
      </c>
      <c r="D657" s="695"/>
      <c r="E657" s="696"/>
      <c r="F657" s="696"/>
      <c r="G657" s="696"/>
      <c r="H657" s="696"/>
      <c r="I657" s="1050" t="str">
        <f t="shared" si="152"/>
        <v/>
      </c>
      <c r="J657" s="696"/>
      <c r="K657" s="697"/>
      <c r="L657" s="696"/>
      <c r="M657" s="198" t="str">
        <f t="shared" si="153"/>
        <v/>
      </c>
      <c r="N657" s="369" t="str">
        <f t="shared" si="154"/>
        <v/>
      </c>
      <c r="O657" s="183" t="str">
        <f t="shared" si="155"/>
        <v/>
      </c>
      <c r="P657" s="199" t="str">
        <f t="shared" si="156"/>
        <v/>
      </c>
      <c r="Q657" s="199" t="str">
        <f>IF(B657="","",IFERROR(IF('עלויות כח אדם (6)'!J657&gt;=VLOOKUP(I657,'סיווג התפקידים והעלויות'!$B$23:$C$32,2,0),"תקין","לא תקין"),""))</f>
        <v/>
      </c>
      <c r="R657" s="199" t="str">
        <f t="shared" si="157"/>
        <v/>
      </c>
      <c r="S657" s="199" t="str">
        <f t="shared" si="158"/>
        <v/>
      </c>
      <c r="T657" s="199" t="str">
        <f t="shared" si="166"/>
        <v/>
      </c>
      <c r="U657" s="199" t="str">
        <f t="shared" si="159"/>
        <v/>
      </c>
      <c r="V657" s="989"/>
      <c r="X657" s="374" t="str">
        <f t="shared" si="160"/>
        <v/>
      </c>
      <c r="Y657" s="375" t="str">
        <f t="shared" si="161"/>
        <v/>
      </c>
      <c r="Z657" s="374" t="str">
        <f t="shared" si="162"/>
        <v/>
      </c>
      <c r="AA657" s="374" t="b">
        <f t="shared" si="163"/>
        <v>1</v>
      </c>
      <c r="AB657" s="374">
        <f>COUNTIFS(B:B,B657,H:H,'סיווג התפקידים והעלויות'!$C$2)</f>
        <v>0</v>
      </c>
      <c r="AC657" s="374">
        <f>COUNTIFS(B:B,B657,H:H,'סיווג התפקידים והעלויות'!$D$2)</f>
        <v>0</v>
      </c>
      <c r="AD657" s="374" t="str">
        <f>IF(OR(AND(H657='סיווג התפקידים והעלויות'!$A$2,I657='סיווג התפקידים והעלויות'!$A$3),'עלויות כח אדם (6)'!H657='סיווג התפקידים והעלויות'!$C$2,'עלויות כח אדם (6)'!H657='סיווג התפקידים והעלויות'!$D$2),IF('עלויות כח אדם (6)'!J657&lt;75,"לא תקין","תקין"),"")</f>
        <v/>
      </c>
      <c r="AE657" s="374" t="str">
        <f t="shared" si="164"/>
        <v/>
      </c>
      <c r="AF657" s="532" t="str">
        <f t="shared" si="165"/>
        <v/>
      </c>
    </row>
    <row r="658" spans="2:32" x14ac:dyDescent="0.25">
      <c r="B658" s="695"/>
      <c r="C658" s="197" t="str">
        <f>IF(B658&lt;&gt;"",IFERROR(VLOOKUP(B:B,'מצבת והרשמה (2)'!$C$20:$N$520,2,0)," ")," ")</f>
        <v xml:space="preserve"> </v>
      </c>
      <c r="D658" s="695"/>
      <c r="E658" s="696"/>
      <c r="F658" s="696"/>
      <c r="G658" s="696"/>
      <c r="H658" s="696"/>
      <c r="I658" s="1050" t="str">
        <f t="shared" si="152"/>
        <v/>
      </c>
      <c r="J658" s="696"/>
      <c r="K658" s="697"/>
      <c r="L658" s="696"/>
      <c r="M658" s="198" t="str">
        <f t="shared" si="153"/>
        <v/>
      </c>
      <c r="N658" s="369" t="str">
        <f t="shared" si="154"/>
        <v/>
      </c>
      <c r="O658" s="183" t="str">
        <f t="shared" si="155"/>
        <v/>
      </c>
      <c r="P658" s="199" t="str">
        <f t="shared" si="156"/>
        <v/>
      </c>
      <c r="Q658" s="199" t="str">
        <f>IF(B658="","",IFERROR(IF('עלויות כח אדם (6)'!J658&gt;=VLOOKUP(I658,'סיווג התפקידים והעלויות'!$B$23:$C$32,2,0),"תקין","לא תקין"),""))</f>
        <v/>
      </c>
      <c r="R658" s="199" t="str">
        <f t="shared" si="157"/>
        <v/>
      </c>
      <c r="S658" s="199" t="str">
        <f t="shared" si="158"/>
        <v/>
      </c>
      <c r="T658" s="199" t="str">
        <f t="shared" si="166"/>
        <v/>
      </c>
      <c r="U658" s="199" t="str">
        <f t="shared" si="159"/>
        <v/>
      </c>
      <c r="V658" s="989"/>
      <c r="X658" s="374" t="str">
        <f t="shared" si="160"/>
        <v/>
      </c>
      <c r="Y658" s="375" t="str">
        <f t="shared" si="161"/>
        <v/>
      </c>
      <c r="Z658" s="374" t="str">
        <f t="shared" si="162"/>
        <v/>
      </c>
      <c r="AA658" s="374" t="b">
        <f t="shared" si="163"/>
        <v>1</v>
      </c>
      <c r="AB658" s="374">
        <f>COUNTIFS(B:B,B658,H:H,'סיווג התפקידים והעלויות'!$C$2)</f>
        <v>0</v>
      </c>
      <c r="AC658" s="374">
        <f>COUNTIFS(B:B,B658,H:H,'סיווג התפקידים והעלויות'!$D$2)</f>
        <v>0</v>
      </c>
      <c r="AD658" s="374" t="str">
        <f>IF(OR(AND(H658='סיווג התפקידים והעלויות'!$A$2,I658='סיווג התפקידים והעלויות'!$A$3),'עלויות כח אדם (6)'!H658='סיווג התפקידים והעלויות'!$C$2,'עלויות כח אדם (6)'!H658='סיווג התפקידים והעלויות'!$D$2),IF('עלויות כח אדם (6)'!J658&lt;75,"לא תקין","תקין"),"")</f>
        <v/>
      </c>
      <c r="AE658" s="374" t="str">
        <f t="shared" si="164"/>
        <v/>
      </c>
      <c r="AF658" s="532" t="str">
        <f t="shared" si="165"/>
        <v/>
      </c>
    </row>
    <row r="659" spans="2:32" x14ac:dyDescent="0.25">
      <c r="B659" s="695"/>
      <c r="C659" s="197" t="str">
        <f>IF(B659&lt;&gt;"",IFERROR(VLOOKUP(B:B,'מצבת והרשמה (2)'!$C$20:$N$520,2,0)," ")," ")</f>
        <v xml:space="preserve"> </v>
      </c>
      <c r="D659" s="695"/>
      <c r="E659" s="696"/>
      <c r="F659" s="696"/>
      <c r="G659" s="696"/>
      <c r="H659" s="696"/>
      <c r="I659" s="1050" t="str">
        <f t="shared" si="152"/>
        <v/>
      </c>
      <c r="J659" s="696"/>
      <c r="K659" s="697"/>
      <c r="L659" s="696"/>
      <c r="M659" s="198" t="str">
        <f t="shared" si="153"/>
        <v/>
      </c>
      <c r="N659" s="369" t="str">
        <f t="shared" si="154"/>
        <v/>
      </c>
      <c r="O659" s="183" t="str">
        <f t="shared" si="155"/>
        <v/>
      </c>
      <c r="P659" s="199" t="str">
        <f t="shared" si="156"/>
        <v/>
      </c>
      <c r="Q659" s="199" t="str">
        <f>IF(B659="","",IFERROR(IF('עלויות כח אדם (6)'!J659&gt;=VLOOKUP(I659,'סיווג התפקידים והעלויות'!$B$23:$C$32,2,0),"תקין","לא תקין"),""))</f>
        <v/>
      </c>
      <c r="R659" s="199" t="str">
        <f t="shared" si="157"/>
        <v/>
      </c>
      <c r="S659" s="199" t="str">
        <f t="shared" si="158"/>
        <v/>
      </c>
      <c r="T659" s="199" t="str">
        <f t="shared" si="166"/>
        <v/>
      </c>
      <c r="U659" s="199" t="str">
        <f t="shared" si="159"/>
        <v/>
      </c>
      <c r="V659" s="989"/>
      <c r="X659" s="374" t="str">
        <f t="shared" si="160"/>
        <v/>
      </c>
      <c r="Y659" s="375" t="str">
        <f t="shared" si="161"/>
        <v/>
      </c>
      <c r="Z659" s="374" t="str">
        <f t="shared" si="162"/>
        <v/>
      </c>
      <c r="AA659" s="374" t="b">
        <f t="shared" si="163"/>
        <v>1</v>
      </c>
      <c r="AB659" s="374">
        <f>COUNTIFS(B:B,B659,H:H,'סיווג התפקידים והעלויות'!$C$2)</f>
        <v>0</v>
      </c>
      <c r="AC659" s="374">
        <f>COUNTIFS(B:B,B659,H:H,'סיווג התפקידים והעלויות'!$D$2)</f>
        <v>0</v>
      </c>
      <c r="AD659" s="374" t="str">
        <f>IF(OR(AND(H659='סיווג התפקידים והעלויות'!$A$2,I659='סיווג התפקידים והעלויות'!$A$3),'עלויות כח אדם (6)'!H659='סיווג התפקידים והעלויות'!$C$2,'עלויות כח אדם (6)'!H659='סיווג התפקידים והעלויות'!$D$2),IF('עלויות כח אדם (6)'!J659&lt;75,"לא תקין","תקין"),"")</f>
        <v/>
      </c>
      <c r="AE659" s="374" t="str">
        <f t="shared" si="164"/>
        <v/>
      </c>
      <c r="AF659" s="532" t="str">
        <f t="shared" si="165"/>
        <v/>
      </c>
    </row>
    <row r="660" spans="2:32" x14ac:dyDescent="0.25">
      <c r="B660" s="695"/>
      <c r="C660" s="197" t="str">
        <f>IF(B660&lt;&gt;"",IFERROR(VLOOKUP(B:B,'מצבת והרשמה (2)'!$C$20:$N$520,2,0)," ")," ")</f>
        <v xml:space="preserve"> </v>
      </c>
      <c r="D660" s="695"/>
      <c r="E660" s="696"/>
      <c r="F660" s="696"/>
      <c r="G660" s="696"/>
      <c r="H660" s="696"/>
      <c r="I660" s="1050" t="str">
        <f t="shared" si="152"/>
        <v/>
      </c>
      <c r="J660" s="696"/>
      <c r="K660" s="697"/>
      <c r="L660" s="696"/>
      <c r="M660" s="198" t="str">
        <f t="shared" si="153"/>
        <v/>
      </c>
      <c r="N660" s="369" t="str">
        <f t="shared" si="154"/>
        <v/>
      </c>
      <c r="O660" s="183" t="str">
        <f t="shared" si="155"/>
        <v/>
      </c>
      <c r="P660" s="199" t="str">
        <f t="shared" si="156"/>
        <v/>
      </c>
      <c r="Q660" s="199" t="str">
        <f>IF(B660="","",IFERROR(IF('עלויות כח אדם (6)'!J660&gt;=VLOOKUP(I660,'סיווג התפקידים והעלויות'!$B$23:$C$32,2,0),"תקין","לא תקין"),""))</f>
        <v/>
      </c>
      <c r="R660" s="199" t="str">
        <f t="shared" si="157"/>
        <v/>
      </c>
      <c r="S660" s="199" t="str">
        <f t="shared" si="158"/>
        <v/>
      </c>
      <c r="T660" s="199" t="str">
        <f t="shared" si="166"/>
        <v/>
      </c>
      <c r="U660" s="199" t="str">
        <f t="shared" si="159"/>
        <v/>
      </c>
      <c r="V660" s="989"/>
      <c r="X660" s="374" t="str">
        <f t="shared" si="160"/>
        <v/>
      </c>
      <c r="Y660" s="375" t="str">
        <f t="shared" si="161"/>
        <v/>
      </c>
      <c r="Z660" s="374" t="str">
        <f t="shared" si="162"/>
        <v/>
      </c>
      <c r="AA660" s="374" t="b">
        <f t="shared" si="163"/>
        <v>1</v>
      </c>
      <c r="AB660" s="374">
        <f>COUNTIFS(B:B,B660,H:H,'סיווג התפקידים והעלויות'!$C$2)</f>
        <v>0</v>
      </c>
      <c r="AC660" s="374">
        <f>COUNTIFS(B:B,B660,H:H,'סיווג התפקידים והעלויות'!$D$2)</f>
        <v>0</v>
      </c>
      <c r="AD660" s="374" t="str">
        <f>IF(OR(AND(H660='סיווג התפקידים והעלויות'!$A$2,I660='סיווג התפקידים והעלויות'!$A$3),'עלויות כח אדם (6)'!H660='סיווג התפקידים והעלויות'!$C$2,'עלויות כח אדם (6)'!H660='סיווג התפקידים והעלויות'!$D$2),IF('עלויות כח אדם (6)'!J660&lt;75,"לא תקין","תקין"),"")</f>
        <v/>
      </c>
      <c r="AE660" s="374" t="str">
        <f t="shared" si="164"/>
        <v/>
      </c>
      <c r="AF660" s="532" t="str">
        <f t="shared" si="165"/>
        <v/>
      </c>
    </row>
    <row r="661" spans="2:32" x14ac:dyDescent="0.25">
      <c r="B661" s="695"/>
      <c r="C661" s="197" t="str">
        <f>IF(B661&lt;&gt;"",IFERROR(VLOOKUP(B:B,'מצבת והרשמה (2)'!$C$20:$N$520,2,0)," ")," ")</f>
        <v xml:space="preserve"> </v>
      </c>
      <c r="D661" s="695"/>
      <c r="E661" s="696"/>
      <c r="F661" s="696"/>
      <c r="G661" s="696"/>
      <c r="H661" s="696"/>
      <c r="I661" s="1050" t="str">
        <f t="shared" si="152"/>
        <v/>
      </c>
      <c r="J661" s="696"/>
      <c r="K661" s="697"/>
      <c r="L661" s="696"/>
      <c r="M661" s="198" t="str">
        <f t="shared" si="153"/>
        <v/>
      </c>
      <c r="N661" s="369" t="str">
        <f t="shared" si="154"/>
        <v/>
      </c>
      <c r="O661" s="183" t="str">
        <f t="shared" si="155"/>
        <v/>
      </c>
      <c r="P661" s="199" t="str">
        <f t="shared" si="156"/>
        <v/>
      </c>
      <c r="Q661" s="199" t="str">
        <f>IF(B661="","",IFERROR(IF('עלויות כח אדם (6)'!J661&gt;=VLOOKUP(I661,'סיווג התפקידים והעלויות'!$B$23:$C$32,2,0),"תקין","לא תקין"),""))</f>
        <v/>
      </c>
      <c r="R661" s="199" t="str">
        <f t="shared" si="157"/>
        <v/>
      </c>
      <c r="S661" s="199" t="str">
        <f t="shared" si="158"/>
        <v/>
      </c>
      <c r="T661" s="199" t="str">
        <f t="shared" si="166"/>
        <v/>
      </c>
      <c r="U661" s="199" t="str">
        <f t="shared" si="159"/>
        <v/>
      </c>
      <c r="V661" s="989"/>
      <c r="X661" s="374" t="str">
        <f t="shared" si="160"/>
        <v/>
      </c>
      <c r="Y661" s="375" t="str">
        <f t="shared" si="161"/>
        <v/>
      </c>
      <c r="Z661" s="374" t="str">
        <f t="shared" si="162"/>
        <v/>
      </c>
      <c r="AA661" s="374" t="b">
        <f t="shared" si="163"/>
        <v>1</v>
      </c>
      <c r="AB661" s="374">
        <f>COUNTIFS(B:B,B661,H:H,'סיווג התפקידים והעלויות'!$C$2)</f>
        <v>0</v>
      </c>
      <c r="AC661" s="374">
        <f>COUNTIFS(B:B,B661,H:H,'סיווג התפקידים והעלויות'!$D$2)</f>
        <v>0</v>
      </c>
      <c r="AD661" s="374" t="str">
        <f>IF(OR(AND(H661='סיווג התפקידים והעלויות'!$A$2,I661='סיווג התפקידים והעלויות'!$A$3),'עלויות כח אדם (6)'!H661='סיווג התפקידים והעלויות'!$C$2,'עלויות כח אדם (6)'!H661='סיווג התפקידים והעלויות'!$D$2),IF('עלויות כח אדם (6)'!J661&lt;75,"לא תקין","תקין"),"")</f>
        <v/>
      </c>
      <c r="AE661" s="374" t="str">
        <f t="shared" si="164"/>
        <v/>
      </c>
      <c r="AF661" s="532" t="str">
        <f t="shared" si="165"/>
        <v/>
      </c>
    </row>
    <row r="662" spans="2:32" x14ac:dyDescent="0.25">
      <c r="B662" s="695"/>
      <c r="C662" s="197" t="str">
        <f>IF(B662&lt;&gt;"",IFERROR(VLOOKUP(B:B,'מצבת והרשמה (2)'!$C$20:$N$520,2,0)," ")," ")</f>
        <v xml:space="preserve"> </v>
      </c>
      <c r="D662" s="695"/>
      <c r="E662" s="696"/>
      <c r="F662" s="696"/>
      <c r="G662" s="696"/>
      <c r="H662" s="696"/>
      <c r="I662" s="1050" t="str">
        <f t="shared" si="152"/>
        <v/>
      </c>
      <c r="J662" s="696"/>
      <c r="K662" s="697"/>
      <c r="L662" s="696"/>
      <c r="M662" s="198" t="str">
        <f t="shared" si="153"/>
        <v/>
      </c>
      <c r="N662" s="369" t="str">
        <f t="shared" si="154"/>
        <v/>
      </c>
      <c r="O662" s="183" t="str">
        <f t="shared" si="155"/>
        <v/>
      </c>
      <c r="P662" s="199" t="str">
        <f t="shared" si="156"/>
        <v/>
      </c>
      <c r="Q662" s="199" t="str">
        <f>IF(B662="","",IFERROR(IF('עלויות כח אדם (6)'!J662&gt;=VLOOKUP(I662,'סיווג התפקידים והעלויות'!$B$23:$C$32,2,0),"תקין","לא תקין"),""))</f>
        <v/>
      </c>
      <c r="R662" s="199" t="str">
        <f t="shared" si="157"/>
        <v/>
      </c>
      <c r="S662" s="199" t="str">
        <f t="shared" si="158"/>
        <v/>
      </c>
      <c r="T662" s="199" t="str">
        <f t="shared" si="166"/>
        <v/>
      </c>
      <c r="U662" s="199" t="str">
        <f t="shared" si="159"/>
        <v/>
      </c>
      <c r="V662" s="989"/>
      <c r="X662" s="374" t="str">
        <f t="shared" si="160"/>
        <v/>
      </c>
      <c r="Y662" s="375" t="str">
        <f t="shared" si="161"/>
        <v/>
      </c>
      <c r="Z662" s="374" t="str">
        <f t="shared" si="162"/>
        <v/>
      </c>
      <c r="AA662" s="374" t="b">
        <f t="shared" si="163"/>
        <v>1</v>
      </c>
      <c r="AB662" s="374">
        <f>COUNTIFS(B:B,B662,H:H,'סיווג התפקידים והעלויות'!$C$2)</f>
        <v>0</v>
      </c>
      <c r="AC662" s="374">
        <f>COUNTIFS(B:B,B662,H:H,'סיווג התפקידים והעלויות'!$D$2)</f>
        <v>0</v>
      </c>
      <c r="AD662" s="374" t="str">
        <f>IF(OR(AND(H662='סיווג התפקידים והעלויות'!$A$2,I662='סיווג התפקידים והעלויות'!$A$3),'עלויות כח אדם (6)'!H662='סיווג התפקידים והעלויות'!$C$2,'עלויות כח אדם (6)'!H662='סיווג התפקידים והעלויות'!$D$2),IF('עלויות כח אדם (6)'!J662&lt;75,"לא תקין","תקין"),"")</f>
        <v/>
      </c>
      <c r="AE662" s="374" t="str">
        <f t="shared" si="164"/>
        <v/>
      </c>
      <c r="AF662" s="532" t="str">
        <f t="shared" si="165"/>
        <v/>
      </c>
    </row>
    <row r="663" spans="2:32" x14ac:dyDescent="0.25">
      <c r="B663" s="695"/>
      <c r="C663" s="197" t="str">
        <f>IF(B663&lt;&gt;"",IFERROR(VLOOKUP(B:B,'מצבת והרשמה (2)'!$C$20:$N$520,2,0)," ")," ")</f>
        <v xml:space="preserve"> </v>
      </c>
      <c r="D663" s="695"/>
      <c r="E663" s="696"/>
      <c r="F663" s="696"/>
      <c r="G663" s="696"/>
      <c r="H663" s="696"/>
      <c r="I663" s="1050" t="str">
        <f t="shared" si="152"/>
        <v/>
      </c>
      <c r="J663" s="696"/>
      <c r="K663" s="697"/>
      <c r="L663" s="696"/>
      <c r="M663" s="198" t="str">
        <f t="shared" si="153"/>
        <v/>
      </c>
      <c r="N663" s="369" t="str">
        <f t="shared" si="154"/>
        <v/>
      </c>
      <c r="O663" s="183" t="str">
        <f t="shared" si="155"/>
        <v/>
      </c>
      <c r="P663" s="199" t="str">
        <f t="shared" si="156"/>
        <v/>
      </c>
      <c r="Q663" s="199" t="str">
        <f>IF(B663="","",IFERROR(IF('עלויות כח אדם (6)'!J663&gt;=VLOOKUP(I663,'סיווג התפקידים והעלויות'!$B$23:$C$32,2,0),"תקין","לא תקין"),""))</f>
        <v/>
      </c>
      <c r="R663" s="199" t="str">
        <f t="shared" si="157"/>
        <v/>
      </c>
      <c r="S663" s="199" t="str">
        <f t="shared" si="158"/>
        <v/>
      </c>
      <c r="T663" s="199" t="str">
        <f t="shared" si="166"/>
        <v/>
      </c>
      <c r="U663" s="199" t="str">
        <f t="shared" si="159"/>
        <v/>
      </c>
      <c r="V663" s="989"/>
      <c r="X663" s="374" t="str">
        <f t="shared" si="160"/>
        <v/>
      </c>
      <c r="Y663" s="375" t="str">
        <f t="shared" si="161"/>
        <v/>
      </c>
      <c r="Z663" s="374" t="str">
        <f t="shared" si="162"/>
        <v/>
      </c>
      <c r="AA663" s="374" t="b">
        <f t="shared" si="163"/>
        <v>1</v>
      </c>
      <c r="AB663" s="374">
        <f>COUNTIFS(B:B,B663,H:H,'סיווג התפקידים והעלויות'!$C$2)</f>
        <v>0</v>
      </c>
      <c r="AC663" s="374">
        <f>COUNTIFS(B:B,B663,H:H,'סיווג התפקידים והעלויות'!$D$2)</f>
        <v>0</v>
      </c>
      <c r="AD663" s="374" t="str">
        <f>IF(OR(AND(H663='סיווג התפקידים והעלויות'!$A$2,I663='סיווג התפקידים והעלויות'!$A$3),'עלויות כח אדם (6)'!H663='סיווג התפקידים והעלויות'!$C$2,'עלויות כח אדם (6)'!H663='סיווג התפקידים והעלויות'!$D$2),IF('עלויות כח אדם (6)'!J663&lt;75,"לא תקין","תקין"),"")</f>
        <v/>
      </c>
      <c r="AE663" s="374" t="str">
        <f t="shared" si="164"/>
        <v/>
      </c>
      <c r="AF663" s="532" t="str">
        <f t="shared" si="165"/>
        <v/>
      </c>
    </row>
    <row r="664" spans="2:32" x14ac:dyDescent="0.25">
      <c r="B664" s="695"/>
      <c r="C664" s="197" t="str">
        <f>IF(B664&lt;&gt;"",IFERROR(VLOOKUP(B:B,'מצבת והרשמה (2)'!$C$20:$N$520,2,0)," ")," ")</f>
        <v xml:space="preserve"> </v>
      </c>
      <c r="D664" s="695"/>
      <c r="E664" s="696"/>
      <c r="F664" s="696"/>
      <c r="G664" s="696"/>
      <c r="H664" s="696"/>
      <c r="I664" s="1050" t="str">
        <f t="shared" si="152"/>
        <v/>
      </c>
      <c r="J664" s="696"/>
      <c r="K664" s="697"/>
      <c r="L664" s="696"/>
      <c r="M664" s="198" t="str">
        <f t="shared" si="153"/>
        <v/>
      </c>
      <c r="N664" s="369" t="str">
        <f t="shared" si="154"/>
        <v/>
      </c>
      <c r="O664" s="183" t="str">
        <f t="shared" si="155"/>
        <v/>
      </c>
      <c r="P664" s="199" t="str">
        <f t="shared" si="156"/>
        <v/>
      </c>
      <c r="Q664" s="199" t="str">
        <f>IF(B664="","",IFERROR(IF('עלויות כח אדם (6)'!J664&gt;=VLOOKUP(I664,'סיווג התפקידים והעלויות'!$B$23:$C$32,2,0),"תקין","לא תקין"),""))</f>
        <v/>
      </c>
      <c r="R664" s="199" t="str">
        <f t="shared" si="157"/>
        <v/>
      </c>
      <c r="S664" s="199" t="str">
        <f t="shared" si="158"/>
        <v/>
      </c>
      <c r="T664" s="199" t="str">
        <f t="shared" si="166"/>
        <v/>
      </c>
      <c r="U664" s="199" t="str">
        <f t="shared" si="159"/>
        <v/>
      </c>
      <c r="V664" s="989"/>
      <c r="X664" s="374" t="str">
        <f t="shared" si="160"/>
        <v/>
      </c>
      <c r="Y664" s="375" t="str">
        <f t="shared" si="161"/>
        <v/>
      </c>
      <c r="Z664" s="374" t="str">
        <f t="shared" si="162"/>
        <v/>
      </c>
      <c r="AA664" s="374" t="b">
        <f t="shared" si="163"/>
        <v>1</v>
      </c>
      <c r="AB664" s="374">
        <f>COUNTIFS(B:B,B664,H:H,'סיווג התפקידים והעלויות'!$C$2)</f>
        <v>0</v>
      </c>
      <c r="AC664" s="374">
        <f>COUNTIFS(B:B,B664,H:H,'סיווג התפקידים והעלויות'!$D$2)</f>
        <v>0</v>
      </c>
      <c r="AD664" s="374" t="str">
        <f>IF(OR(AND(H664='סיווג התפקידים והעלויות'!$A$2,I664='סיווג התפקידים והעלויות'!$A$3),'עלויות כח אדם (6)'!H664='סיווג התפקידים והעלויות'!$C$2,'עלויות כח אדם (6)'!H664='סיווג התפקידים והעלויות'!$D$2),IF('עלויות כח אדם (6)'!J664&lt;75,"לא תקין","תקין"),"")</f>
        <v/>
      </c>
      <c r="AE664" s="374" t="str">
        <f t="shared" si="164"/>
        <v/>
      </c>
      <c r="AF664" s="532" t="str">
        <f t="shared" si="165"/>
        <v/>
      </c>
    </row>
    <row r="665" spans="2:32" x14ac:dyDescent="0.25">
      <c r="B665" s="695"/>
      <c r="C665" s="197" t="str">
        <f>IF(B665&lt;&gt;"",IFERROR(VLOOKUP(B:B,'מצבת והרשמה (2)'!$C$20:$N$520,2,0)," ")," ")</f>
        <v xml:space="preserve"> </v>
      </c>
      <c r="D665" s="695"/>
      <c r="E665" s="696"/>
      <c r="F665" s="696"/>
      <c r="G665" s="696"/>
      <c r="H665" s="696"/>
      <c r="I665" s="1050" t="str">
        <f t="shared" si="152"/>
        <v/>
      </c>
      <c r="J665" s="696"/>
      <c r="K665" s="697"/>
      <c r="L665" s="696"/>
      <c r="M665" s="198" t="str">
        <f t="shared" si="153"/>
        <v/>
      </c>
      <c r="N665" s="369" t="str">
        <f t="shared" si="154"/>
        <v/>
      </c>
      <c r="O665" s="183" t="str">
        <f t="shared" si="155"/>
        <v/>
      </c>
      <c r="P665" s="199" t="str">
        <f t="shared" si="156"/>
        <v/>
      </c>
      <c r="Q665" s="199" t="str">
        <f>IF(B665="","",IFERROR(IF('עלויות כח אדם (6)'!J665&gt;=VLOOKUP(I665,'סיווג התפקידים והעלויות'!$B$23:$C$32,2,0),"תקין","לא תקין"),""))</f>
        <v/>
      </c>
      <c r="R665" s="199" t="str">
        <f t="shared" si="157"/>
        <v/>
      </c>
      <c r="S665" s="199" t="str">
        <f t="shared" si="158"/>
        <v/>
      </c>
      <c r="T665" s="199" t="str">
        <f t="shared" si="166"/>
        <v/>
      </c>
      <c r="U665" s="199" t="str">
        <f t="shared" si="159"/>
        <v/>
      </c>
      <c r="V665" s="989"/>
      <c r="X665" s="374" t="str">
        <f t="shared" si="160"/>
        <v/>
      </c>
      <c r="Y665" s="375" t="str">
        <f t="shared" si="161"/>
        <v/>
      </c>
      <c r="Z665" s="374" t="str">
        <f t="shared" si="162"/>
        <v/>
      </c>
      <c r="AA665" s="374" t="b">
        <f t="shared" si="163"/>
        <v>1</v>
      </c>
      <c r="AB665" s="374">
        <f>COUNTIFS(B:B,B665,H:H,'סיווג התפקידים והעלויות'!$C$2)</f>
        <v>0</v>
      </c>
      <c r="AC665" s="374">
        <f>COUNTIFS(B:B,B665,H:H,'סיווג התפקידים והעלויות'!$D$2)</f>
        <v>0</v>
      </c>
      <c r="AD665" s="374" t="str">
        <f>IF(OR(AND(H665='סיווג התפקידים והעלויות'!$A$2,I665='סיווג התפקידים והעלויות'!$A$3),'עלויות כח אדם (6)'!H665='סיווג התפקידים והעלויות'!$C$2,'עלויות כח אדם (6)'!H665='סיווג התפקידים והעלויות'!$D$2),IF('עלויות כח אדם (6)'!J665&lt;75,"לא תקין","תקין"),"")</f>
        <v/>
      </c>
      <c r="AE665" s="374" t="str">
        <f t="shared" si="164"/>
        <v/>
      </c>
      <c r="AF665" s="532" t="str">
        <f t="shared" si="165"/>
        <v/>
      </c>
    </row>
    <row r="666" spans="2:32" x14ac:dyDescent="0.25">
      <c r="B666" s="695"/>
      <c r="C666" s="197" t="str">
        <f>IF(B666&lt;&gt;"",IFERROR(VLOOKUP(B:B,'מצבת והרשמה (2)'!$C$20:$N$520,2,0)," ")," ")</f>
        <v xml:space="preserve"> </v>
      </c>
      <c r="D666" s="695"/>
      <c r="E666" s="696"/>
      <c r="F666" s="696"/>
      <c r="G666" s="696"/>
      <c r="H666" s="696"/>
      <c r="I666" s="1050" t="str">
        <f t="shared" si="152"/>
        <v/>
      </c>
      <c r="J666" s="696"/>
      <c r="K666" s="697"/>
      <c r="L666" s="696"/>
      <c r="M666" s="198" t="str">
        <f t="shared" si="153"/>
        <v/>
      </c>
      <c r="N666" s="369" t="str">
        <f t="shared" si="154"/>
        <v/>
      </c>
      <c r="O666" s="183" t="str">
        <f t="shared" si="155"/>
        <v/>
      </c>
      <c r="P666" s="199" t="str">
        <f t="shared" si="156"/>
        <v/>
      </c>
      <c r="Q666" s="199" t="str">
        <f>IF(B666="","",IFERROR(IF('עלויות כח אדם (6)'!J666&gt;=VLOOKUP(I666,'סיווג התפקידים והעלויות'!$B$23:$C$32,2,0),"תקין","לא תקין"),""))</f>
        <v/>
      </c>
      <c r="R666" s="199" t="str">
        <f t="shared" si="157"/>
        <v/>
      </c>
      <c r="S666" s="199" t="str">
        <f t="shared" si="158"/>
        <v/>
      </c>
      <c r="T666" s="199" t="str">
        <f t="shared" si="166"/>
        <v/>
      </c>
      <c r="U666" s="199" t="str">
        <f t="shared" si="159"/>
        <v/>
      </c>
      <c r="V666" s="989"/>
      <c r="X666" s="374" t="str">
        <f t="shared" si="160"/>
        <v/>
      </c>
      <c r="Y666" s="375" t="str">
        <f t="shared" si="161"/>
        <v/>
      </c>
      <c r="Z666" s="374" t="str">
        <f t="shared" si="162"/>
        <v/>
      </c>
      <c r="AA666" s="374" t="b">
        <f t="shared" si="163"/>
        <v>1</v>
      </c>
      <c r="AB666" s="374">
        <f>COUNTIFS(B:B,B666,H:H,'סיווג התפקידים והעלויות'!$C$2)</f>
        <v>0</v>
      </c>
      <c r="AC666" s="374">
        <f>COUNTIFS(B:B,B666,H:H,'סיווג התפקידים והעלויות'!$D$2)</f>
        <v>0</v>
      </c>
      <c r="AD666" s="374" t="str">
        <f>IF(OR(AND(H666='סיווג התפקידים והעלויות'!$A$2,I666='סיווג התפקידים והעלויות'!$A$3),'עלויות כח אדם (6)'!H666='סיווג התפקידים והעלויות'!$C$2,'עלויות כח אדם (6)'!H666='סיווג התפקידים והעלויות'!$D$2),IF('עלויות כח אדם (6)'!J666&lt;75,"לא תקין","תקין"),"")</f>
        <v/>
      </c>
      <c r="AE666" s="374" t="str">
        <f t="shared" si="164"/>
        <v/>
      </c>
      <c r="AF666" s="532" t="str">
        <f t="shared" si="165"/>
        <v/>
      </c>
    </row>
    <row r="667" spans="2:32" x14ac:dyDescent="0.25">
      <c r="B667" s="695"/>
      <c r="C667" s="197" t="str">
        <f>IF(B667&lt;&gt;"",IFERROR(VLOOKUP(B:B,'מצבת והרשמה (2)'!$C$20:$N$520,2,0)," ")," ")</f>
        <v xml:space="preserve"> </v>
      </c>
      <c r="D667" s="695"/>
      <c r="E667" s="696"/>
      <c r="F667" s="696"/>
      <c r="G667" s="696"/>
      <c r="H667" s="696"/>
      <c r="I667" s="1050" t="str">
        <f t="shared" si="152"/>
        <v/>
      </c>
      <c r="J667" s="696"/>
      <c r="K667" s="697"/>
      <c r="L667" s="696"/>
      <c r="M667" s="198" t="str">
        <f t="shared" si="153"/>
        <v/>
      </c>
      <c r="N667" s="369" t="str">
        <f t="shared" si="154"/>
        <v/>
      </c>
      <c r="O667" s="183" t="str">
        <f t="shared" si="155"/>
        <v/>
      </c>
      <c r="P667" s="199" t="str">
        <f t="shared" si="156"/>
        <v/>
      </c>
      <c r="Q667" s="199" t="str">
        <f>IF(B667="","",IFERROR(IF('עלויות כח אדם (6)'!J667&gt;=VLOOKUP(I667,'סיווג התפקידים והעלויות'!$B$23:$C$32,2,0),"תקין","לא תקין"),""))</f>
        <v/>
      </c>
      <c r="R667" s="199" t="str">
        <f t="shared" si="157"/>
        <v/>
      </c>
      <c r="S667" s="199" t="str">
        <f t="shared" si="158"/>
        <v/>
      </c>
      <c r="T667" s="199" t="str">
        <f t="shared" si="166"/>
        <v/>
      </c>
      <c r="U667" s="199" t="str">
        <f t="shared" si="159"/>
        <v/>
      </c>
      <c r="V667" s="989"/>
      <c r="X667" s="374" t="str">
        <f t="shared" si="160"/>
        <v/>
      </c>
      <c r="Y667" s="375" t="str">
        <f t="shared" si="161"/>
        <v/>
      </c>
      <c r="Z667" s="374" t="str">
        <f t="shared" si="162"/>
        <v/>
      </c>
      <c r="AA667" s="374" t="b">
        <f t="shared" si="163"/>
        <v>1</v>
      </c>
      <c r="AB667" s="374">
        <f>COUNTIFS(B:B,B667,H:H,'סיווג התפקידים והעלויות'!$C$2)</f>
        <v>0</v>
      </c>
      <c r="AC667" s="374">
        <f>COUNTIFS(B:B,B667,H:H,'סיווג התפקידים והעלויות'!$D$2)</f>
        <v>0</v>
      </c>
      <c r="AD667" s="374" t="str">
        <f>IF(OR(AND(H667='סיווג התפקידים והעלויות'!$A$2,I667='סיווג התפקידים והעלויות'!$A$3),'עלויות כח אדם (6)'!H667='סיווג התפקידים והעלויות'!$C$2,'עלויות כח אדם (6)'!H667='סיווג התפקידים והעלויות'!$D$2),IF('עלויות כח אדם (6)'!J667&lt;75,"לא תקין","תקין"),"")</f>
        <v/>
      </c>
      <c r="AE667" s="374" t="str">
        <f t="shared" si="164"/>
        <v/>
      </c>
      <c r="AF667" s="532" t="str">
        <f t="shared" si="165"/>
        <v/>
      </c>
    </row>
    <row r="668" spans="2:32" x14ac:dyDescent="0.25">
      <c r="B668" s="695"/>
      <c r="C668" s="197" t="str">
        <f>IF(B668&lt;&gt;"",IFERROR(VLOOKUP(B:B,'מצבת והרשמה (2)'!$C$20:$N$520,2,0)," ")," ")</f>
        <v xml:space="preserve"> </v>
      </c>
      <c r="D668" s="695"/>
      <c r="E668" s="696"/>
      <c r="F668" s="696"/>
      <c r="G668" s="696"/>
      <c r="H668" s="696"/>
      <c r="I668" s="1050" t="str">
        <f t="shared" si="152"/>
        <v/>
      </c>
      <c r="J668" s="696"/>
      <c r="K668" s="697"/>
      <c r="L668" s="696"/>
      <c r="M668" s="198" t="str">
        <f t="shared" si="153"/>
        <v/>
      </c>
      <c r="N668" s="369" t="str">
        <f t="shared" si="154"/>
        <v/>
      </c>
      <c r="O668" s="183" t="str">
        <f t="shared" si="155"/>
        <v/>
      </c>
      <c r="P668" s="199" t="str">
        <f t="shared" si="156"/>
        <v/>
      </c>
      <c r="Q668" s="199" t="str">
        <f>IF(B668="","",IFERROR(IF('עלויות כח אדם (6)'!J668&gt;=VLOOKUP(I668,'סיווג התפקידים והעלויות'!$B$23:$C$32,2,0),"תקין","לא תקין"),""))</f>
        <v/>
      </c>
      <c r="R668" s="199" t="str">
        <f t="shared" si="157"/>
        <v/>
      </c>
      <c r="S668" s="199" t="str">
        <f t="shared" si="158"/>
        <v/>
      </c>
      <c r="T668" s="199" t="str">
        <f t="shared" si="166"/>
        <v/>
      </c>
      <c r="U668" s="199" t="str">
        <f t="shared" si="159"/>
        <v/>
      </c>
      <c r="V668" s="989"/>
      <c r="X668" s="374" t="str">
        <f t="shared" si="160"/>
        <v/>
      </c>
      <c r="Y668" s="375" t="str">
        <f t="shared" si="161"/>
        <v/>
      </c>
      <c r="Z668" s="374" t="str">
        <f t="shared" si="162"/>
        <v/>
      </c>
      <c r="AA668" s="374" t="b">
        <f t="shared" si="163"/>
        <v>1</v>
      </c>
      <c r="AB668" s="374">
        <f>COUNTIFS(B:B,B668,H:H,'סיווג התפקידים והעלויות'!$C$2)</f>
        <v>0</v>
      </c>
      <c r="AC668" s="374">
        <f>COUNTIFS(B:B,B668,H:H,'סיווג התפקידים והעלויות'!$D$2)</f>
        <v>0</v>
      </c>
      <c r="AD668" s="374" t="str">
        <f>IF(OR(AND(H668='סיווג התפקידים והעלויות'!$A$2,I668='סיווג התפקידים והעלויות'!$A$3),'עלויות כח אדם (6)'!H668='סיווג התפקידים והעלויות'!$C$2,'עלויות כח אדם (6)'!H668='סיווג התפקידים והעלויות'!$D$2),IF('עלויות כח אדם (6)'!J668&lt;75,"לא תקין","תקין"),"")</f>
        <v/>
      </c>
      <c r="AE668" s="374" t="str">
        <f t="shared" si="164"/>
        <v/>
      </c>
      <c r="AF668" s="532" t="str">
        <f t="shared" si="165"/>
        <v/>
      </c>
    </row>
    <row r="669" spans="2:32" x14ac:dyDescent="0.25">
      <c r="B669" s="695"/>
      <c r="C669" s="197" t="str">
        <f>IF(B669&lt;&gt;"",IFERROR(VLOOKUP(B:B,'מצבת והרשמה (2)'!$C$20:$N$520,2,0)," ")," ")</f>
        <v xml:space="preserve"> </v>
      </c>
      <c r="D669" s="695"/>
      <c r="E669" s="696"/>
      <c r="F669" s="696"/>
      <c r="G669" s="696"/>
      <c r="H669" s="696"/>
      <c r="I669" s="1050" t="str">
        <f t="shared" si="152"/>
        <v/>
      </c>
      <c r="J669" s="696"/>
      <c r="K669" s="697"/>
      <c r="L669" s="696"/>
      <c r="M669" s="198" t="str">
        <f t="shared" si="153"/>
        <v/>
      </c>
      <c r="N669" s="369" t="str">
        <f t="shared" si="154"/>
        <v/>
      </c>
      <c r="O669" s="183" t="str">
        <f t="shared" si="155"/>
        <v/>
      </c>
      <c r="P669" s="199" t="str">
        <f t="shared" si="156"/>
        <v/>
      </c>
      <c r="Q669" s="199" t="str">
        <f>IF(B669="","",IFERROR(IF('עלויות כח אדם (6)'!J669&gt;=VLOOKUP(I669,'סיווג התפקידים והעלויות'!$B$23:$C$32,2,0),"תקין","לא תקין"),""))</f>
        <v/>
      </c>
      <c r="R669" s="199" t="str">
        <f t="shared" si="157"/>
        <v/>
      </c>
      <c r="S669" s="199" t="str">
        <f t="shared" si="158"/>
        <v/>
      </c>
      <c r="T669" s="199" t="str">
        <f t="shared" si="166"/>
        <v/>
      </c>
      <c r="U669" s="199" t="str">
        <f t="shared" si="159"/>
        <v/>
      </c>
      <c r="V669" s="989"/>
      <c r="X669" s="374" t="str">
        <f t="shared" si="160"/>
        <v/>
      </c>
      <c r="Y669" s="375" t="str">
        <f t="shared" si="161"/>
        <v/>
      </c>
      <c r="Z669" s="374" t="str">
        <f t="shared" si="162"/>
        <v/>
      </c>
      <c r="AA669" s="374" t="b">
        <f t="shared" si="163"/>
        <v>1</v>
      </c>
      <c r="AB669" s="374">
        <f>COUNTIFS(B:B,B669,H:H,'סיווג התפקידים והעלויות'!$C$2)</f>
        <v>0</v>
      </c>
      <c r="AC669" s="374">
        <f>COUNTIFS(B:B,B669,H:H,'סיווג התפקידים והעלויות'!$D$2)</f>
        <v>0</v>
      </c>
      <c r="AD669" s="374" t="str">
        <f>IF(OR(AND(H669='סיווג התפקידים והעלויות'!$A$2,I669='סיווג התפקידים והעלויות'!$A$3),'עלויות כח אדם (6)'!H669='סיווג התפקידים והעלויות'!$C$2,'עלויות כח אדם (6)'!H669='סיווג התפקידים והעלויות'!$D$2),IF('עלויות כח אדם (6)'!J669&lt;75,"לא תקין","תקין"),"")</f>
        <v/>
      </c>
      <c r="AE669" s="374" t="str">
        <f t="shared" si="164"/>
        <v/>
      </c>
      <c r="AF669" s="532" t="str">
        <f t="shared" si="165"/>
        <v/>
      </c>
    </row>
    <row r="670" spans="2:32" x14ac:dyDescent="0.25">
      <c r="B670" s="695"/>
      <c r="C670" s="197" t="str">
        <f>IF(B670&lt;&gt;"",IFERROR(VLOOKUP(B:B,'מצבת והרשמה (2)'!$C$20:$N$520,2,0)," ")," ")</f>
        <v xml:space="preserve"> </v>
      </c>
      <c r="D670" s="695"/>
      <c r="E670" s="696"/>
      <c r="F670" s="696"/>
      <c r="G670" s="696"/>
      <c r="H670" s="696"/>
      <c r="I670" s="1050" t="str">
        <f t="shared" si="152"/>
        <v/>
      </c>
      <c r="J670" s="696"/>
      <c r="K670" s="697"/>
      <c r="L670" s="696"/>
      <c r="M670" s="198" t="str">
        <f t="shared" si="153"/>
        <v/>
      </c>
      <c r="N670" s="369" t="str">
        <f t="shared" si="154"/>
        <v/>
      </c>
      <c r="O670" s="183" t="str">
        <f t="shared" si="155"/>
        <v/>
      </c>
      <c r="P670" s="199" t="str">
        <f t="shared" si="156"/>
        <v/>
      </c>
      <c r="Q670" s="199" t="str">
        <f>IF(B670="","",IFERROR(IF('עלויות כח אדם (6)'!J670&gt;=VLOOKUP(I670,'סיווג התפקידים והעלויות'!$B$23:$C$32,2,0),"תקין","לא תקין"),""))</f>
        <v/>
      </c>
      <c r="R670" s="199" t="str">
        <f t="shared" si="157"/>
        <v/>
      </c>
      <c r="S670" s="199" t="str">
        <f t="shared" si="158"/>
        <v/>
      </c>
      <c r="T670" s="199" t="str">
        <f t="shared" si="166"/>
        <v/>
      </c>
      <c r="U670" s="199" t="str">
        <f t="shared" si="159"/>
        <v/>
      </c>
      <c r="V670" s="989"/>
      <c r="X670" s="374" t="str">
        <f t="shared" si="160"/>
        <v/>
      </c>
      <c r="Y670" s="375" t="str">
        <f t="shared" si="161"/>
        <v/>
      </c>
      <c r="Z670" s="374" t="str">
        <f t="shared" si="162"/>
        <v/>
      </c>
      <c r="AA670" s="374" t="b">
        <f t="shared" si="163"/>
        <v>1</v>
      </c>
      <c r="AB670" s="374">
        <f>COUNTIFS(B:B,B670,H:H,'סיווג התפקידים והעלויות'!$C$2)</f>
        <v>0</v>
      </c>
      <c r="AC670" s="374">
        <f>COUNTIFS(B:B,B670,H:H,'סיווג התפקידים והעלויות'!$D$2)</f>
        <v>0</v>
      </c>
      <c r="AD670" s="374" t="str">
        <f>IF(OR(AND(H670='סיווג התפקידים והעלויות'!$A$2,I670='סיווג התפקידים והעלויות'!$A$3),'עלויות כח אדם (6)'!H670='סיווג התפקידים והעלויות'!$C$2,'עלויות כח אדם (6)'!H670='סיווג התפקידים והעלויות'!$D$2),IF('עלויות כח אדם (6)'!J670&lt;75,"לא תקין","תקין"),"")</f>
        <v/>
      </c>
      <c r="AE670" s="374" t="str">
        <f t="shared" si="164"/>
        <v/>
      </c>
      <c r="AF670" s="532" t="str">
        <f t="shared" si="165"/>
        <v/>
      </c>
    </row>
    <row r="671" spans="2:32" x14ac:dyDescent="0.25">
      <c r="B671" s="695"/>
      <c r="C671" s="197" t="str">
        <f>IF(B671&lt;&gt;"",IFERROR(VLOOKUP(B:B,'מצבת והרשמה (2)'!$C$20:$N$520,2,0)," ")," ")</f>
        <v xml:space="preserve"> </v>
      </c>
      <c r="D671" s="695"/>
      <c r="E671" s="696"/>
      <c r="F671" s="696"/>
      <c r="G671" s="696"/>
      <c r="H671" s="696"/>
      <c r="I671" s="1050" t="str">
        <f t="shared" si="152"/>
        <v/>
      </c>
      <c r="J671" s="696"/>
      <c r="K671" s="697"/>
      <c r="L671" s="696"/>
      <c r="M671" s="198" t="str">
        <f t="shared" si="153"/>
        <v/>
      </c>
      <c r="N671" s="369" t="str">
        <f t="shared" si="154"/>
        <v/>
      </c>
      <c r="O671" s="183" t="str">
        <f t="shared" si="155"/>
        <v/>
      </c>
      <c r="P671" s="199" t="str">
        <f t="shared" si="156"/>
        <v/>
      </c>
      <c r="Q671" s="199" t="str">
        <f>IF(B671="","",IFERROR(IF('עלויות כח אדם (6)'!J671&gt;=VLOOKUP(I671,'סיווג התפקידים והעלויות'!$B$23:$C$32,2,0),"תקין","לא תקין"),""))</f>
        <v/>
      </c>
      <c r="R671" s="199" t="str">
        <f t="shared" si="157"/>
        <v/>
      </c>
      <c r="S671" s="199" t="str">
        <f t="shared" si="158"/>
        <v/>
      </c>
      <c r="T671" s="199" t="str">
        <f t="shared" si="166"/>
        <v/>
      </c>
      <c r="U671" s="199" t="str">
        <f t="shared" si="159"/>
        <v/>
      </c>
      <c r="V671" s="989"/>
      <c r="X671" s="374" t="str">
        <f t="shared" si="160"/>
        <v/>
      </c>
      <c r="Y671" s="375" t="str">
        <f t="shared" si="161"/>
        <v/>
      </c>
      <c r="Z671" s="374" t="str">
        <f t="shared" si="162"/>
        <v/>
      </c>
      <c r="AA671" s="374" t="b">
        <f t="shared" si="163"/>
        <v>1</v>
      </c>
      <c r="AB671" s="374">
        <f>COUNTIFS(B:B,B671,H:H,'סיווג התפקידים והעלויות'!$C$2)</f>
        <v>0</v>
      </c>
      <c r="AC671" s="374">
        <f>COUNTIFS(B:B,B671,H:H,'סיווג התפקידים והעלויות'!$D$2)</f>
        <v>0</v>
      </c>
      <c r="AD671" s="374" t="str">
        <f>IF(OR(AND(H671='סיווג התפקידים והעלויות'!$A$2,I671='סיווג התפקידים והעלויות'!$A$3),'עלויות כח אדם (6)'!H671='סיווג התפקידים והעלויות'!$C$2,'עלויות כח אדם (6)'!H671='סיווג התפקידים והעלויות'!$D$2),IF('עלויות כח אדם (6)'!J671&lt;75,"לא תקין","תקין"),"")</f>
        <v/>
      </c>
      <c r="AE671" s="374" t="str">
        <f t="shared" si="164"/>
        <v/>
      </c>
      <c r="AF671" s="532" t="str">
        <f t="shared" si="165"/>
        <v/>
      </c>
    </row>
    <row r="672" spans="2:32" x14ac:dyDescent="0.25">
      <c r="B672" s="695"/>
      <c r="C672" s="197" t="str">
        <f>IF(B672&lt;&gt;"",IFERROR(VLOOKUP(B:B,'מצבת והרשמה (2)'!$C$20:$N$520,2,0)," ")," ")</f>
        <v xml:space="preserve"> </v>
      </c>
      <c r="D672" s="695"/>
      <c r="E672" s="696"/>
      <c r="F672" s="696"/>
      <c r="G672" s="696"/>
      <c r="H672" s="696"/>
      <c r="I672" s="1050" t="str">
        <f t="shared" si="152"/>
        <v/>
      </c>
      <c r="J672" s="696"/>
      <c r="K672" s="697"/>
      <c r="L672" s="696"/>
      <c r="M672" s="198" t="str">
        <f t="shared" si="153"/>
        <v/>
      </c>
      <c r="N672" s="369" t="str">
        <f t="shared" si="154"/>
        <v/>
      </c>
      <c r="O672" s="183" t="str">
        <f t="shared" si="155"/>
        <v/>
      </c>
      <c r="P672" s="199" t="str">
        <f t="shared" si="156"/>
        <v/>
      </c>
      <c r="Q672" s="199" t="str">
        <f>IF(B672="","",IFERROR(IF('עלויות כח אדם (6)'!J672&gt;=VLOOKUP(I672,'סיווג התפקידים והעלויות'!$B$23:$C$32,2,0),"תקין","לא תקין"),""))</f>
        <v/>
      </c>
      <c r="R672" s="199" t="str">
        <f t="shared" si="157"/>
        <v/>
      </c>
      <c r="S672" s="199" t="str">
        <f t="shared" si="158"/>
        <v/>
      </c>
      <c r="T672" s="199" t="str">
        <f t="shared" si="166"/>
        <v/>
      </c>
      <c r="U672" s="199" t="str">
        <f t="shared" si="159"/>
        <v/>
      </c>
      <c r="V672" s="989"/>
      <c r="X672" s="374" t="str">
        <f t="shared" si="160"/>
        <v/>
      </c>
      <c r="Y672" s="375" t="str">
        <f t="shared" si="161"/>
        <v/>
      </c>
      <c r="Z672" s="374" t="str">
        <f t="shared" si="162"/>
        <v/>
      </c>
      <c r="AA672" s="374" t="b">
        <f t="shared" si="163"/>
        <v>1</v>
      </c>
      <c r="AB672" s="374">
        <f>COUNTIFS(B:B,B672,H:H,'סיווג התפקידים והעלויות'!$C$2)</f>
        <v>0</v>
      </c>
      <c r="AC672" s="374">
        <f>COUNTIFS(B:B,B672,H:H,'סיווג התפקידים והעלויות'!$D$2)</f>
        <v>0</v>
      </c>
      <c r="AD672" s="374" t="str">
        <f>IF(OR(AND(H672='סיווג התפקידים והעלויות'!$A$2,I672='סיווג התפקידים והעלויות'!$A$3),'עלויות כח אדם (6)'!H672='סיווג התפקידים והעלויות'!$C$2,'עלויות כח אדם (6)'!H672='סיווג התפקידים והעלויות'!$D$2),IF('עלויות כח אדם (6)'!J672&lt;75,"לא תקין","תקין"),"")</f>
        <v/>
      </c>
      <c r="AE672" s="374" t="str">
        <f t="shared" si="164"/>
        <v/>
      </c>
      <c r="AF672" s="532" t="str">
        <f t="shared" si="165"/>
        <v/>
      </c>
    </row>
    <row r="673" spans="2:32" x14ac:dyDescent="0.25">
      <c r="B673" s="695"/>
      <c r="C673" s="197" t="str">
        <f>IF(B673&lt;&gt;"",IFERROR(VLOOKUP(B:B,'מצבת והרשמה (2)'!$C$20:$N$520,2,0)," ")," ")</f>
        <v xml:space="preserve"> </v>
      </c>
      <c r="D673" s="695"/>
      <c r="E673" s="696"/>
      <c r="F673" s="696"/>
      <c r="G673" s="696"/>
      <c r="H673" s="696"/>
      <c r="I673" s="1050" t="str">
        <f t="shared" si="152"/>
        <v/>
      </c>
      <c r="J673" s="696"/>
      <c r="K673" s="697"/>
      <c r="L673" s="696"/>
      <c r="M673" s="198" t="str">
        <f t="shared" si="153"/>
        <v/>
      </c>
      <c r="N673" s="369" t="str">
        <f t="shared" si="154"/>
        <v/>
      </c>
      <c r="O673" s="183" t="str">
        <f t="shared" si="155"/>
        <v/>
      </c>
      <c r="P673" s="199" t="str">
        <f t="shared" si="156"/>
        <v/>
      </c>
      <c r="Q673" s="199" t="str">
        <f>IF(B673="","",IFERROR(IF('עלויות כח אדם (6)'!J673&gt;=VLOOKUP(I673,'סיווג התפקידים והעלויות'!$B$23:$C$32,2,0),"תקין","לא תקין"),""))</f>
        <v/>
      </c>
      <c r="R673" s="199" t="str">
        <f t="shared" si="157"/>
        <v/>
      </c>
      <c r="S673" s="199" t="str">
        <f t="shared" si="158"/>
        <v/>
      </c>
      <c r="T673" s="199" t="str">
        <f t="shared" si="166"/>
        <v/>
      </c>
      <c r="U673" s="199" t="str">
        <f t="shared" si="159"/>
        <v/>
      </c>
      <c r="V673" s="989"/>
      <c r="X673" s="374" t="str">
        <f t="shared" si="160"/>
        <v/>
      </c>
      <c r="Y673" s="375" t="str">
        <f t="shared" si="161"/>
        <v/>
      </c>
      <c r="Z673" s="374" t="str">
        <f t="shared" si="162"/>
        <v/>
      </c>
      <c r="AA673" s="374" t="b">
        <f t="shared" si="163"/>
        <v>1</v>
      </c>
      <c r="AB673" s="374">
        <f>COUNTIFS(B:B,B673,H:H,'סיווג התפקידים והעלויות'!$C$2)</f>
        <v>0</v>
      </c>
      <c r="AC673" s="374">
        <f>COUNTIFS(B:B,B673,H:H,'סיווג התפקידים והעלויות'!$D$2)</f>
        <v>0</v>
      </c>
      <c r="AD673" s="374" t="str">
        <f>IF(OR(AND(H673='סיווג התפקידים והעלויות'!$A$2,I673='סיווג התפקידים והעלויות'!$A$3),'עלויות כח אדם (6)'!H673='סיווג התפקידים והעלויות'!$C$2,'עלויות כח אדם (6)'!H673='סיווג התפקידים והעלויות'!$D$2),IF('עלויות כח אדם (6)'!J673&lt;75,"לא תקין","תקין"),"")</f>
        <v/>
      </c>
      <c r="AE673" s="374" t="str">
        <f t="shared" si="164"/>
        <v/>
      </c>
      <c r="AF673" s="532" t="str">
        <f t="shared" si="165"/>
        <v/>
      </c>
    </row>
    <row r="674" spans="2:32" x14ac:dyDescent="0.25">
      <c r="B674" s="695"/>
      <c r="C674" s="197" t="str">
        <f>IF(B674&lt;&gt;"",IFERROR(VLOOKUP(B:B,'מצבת והרשמה (2)'!$C$20:$N$520,2,0)," ")," ")</f>
        <v xml:space="preserve"> </v>
      </c>
      <c r="D674" s="695"/>
      <c r="E674" s="696"/>
      <c r="F674" s="696"/>
      <c r="G674" s="696"/>
      <c r="H674" s="696"/>
      <c r="I674" s="1050" t="str">
        <f t="shared" si="152"/>
        <v/>
      </c>
      <c r="J674" s="696"/>
      <c r="K674" s="697"/>
      <c r="L674" s="696"/>
      <c r="M674" s="198" t="str">
        <f t="shared" si="153"/>
        <v/>
      </c>
      <c r="N674" s="369" t="str">
        <f t="shared" si="154"/>
        <v/>
      </c>
      <c r="O674" s="183" t="str">
        <f t="shared" si="155"/>
        <v/>
      </c>
      <c r="P674" s="199" t="str">
        <f t="shared" si="156"/>
        <v/>
      </c>
      <c r="Q674" s="199" t="str">
        <f>IF(B674="","",IFERROR(IF('עלויות כח אדם (6)'!J674&gt;=VLOOKUP(I674,'סיווג התפקידים והעלויות'!$B$23:$C$32,2,0),"תקין","לא תקין"),""))</f>
        <v/>
      </c>
      <c r="R674" s="199" t="str">
        <f t="shared" si="157"/>
        <v/>
      </c>
      <c r="S674" s="199" t="str">
        <f t="shared" si="158"/>
        <v/>
      </c>
      <c r="T674" s="199" t="str">
        <f t="shared" si="166"/>
        <v/>
      </c>
      <c r="U674" s="199" t="str">
        <f t="shared" si="159"/>
        <v/>
      </c>
      <c r="V674" s="989"/>
      <c r="X674" s="374" t="str">
        <f t="shared" si="160"/>
        <v/>
      </c>
      <c r="Y674" s="375" t="str">
        <f t="shared" si="161"/>
        <v/>
      </c>
      <c r="Z674" s="374" t="str">
        <f t="shared" si="162"/>
        <v/>
      </c>
      <c r="AA674" s="374" t="b">
        <f t="shared" si="163"/>
        <v>1</v>
      </c>
      <c r="AB674" s="374">
        <f>COUNTIFS(B:B,B674,H:H,'סיווג התפקידים והעלויות'!$C$2)</f>
        <v>0</v>
      </c>
      <c r="AC674" s="374">
        <f>COUNTIFS(B:B,B674,H:H,'סיווג התפקידים והעלויות'!$D$2)</f>
        <v>0</v>
      </c>
      <c r="AD674" s="374" t="str">
        <f>IF(OR(AND(H674='סיווג התפקידים והעלויות'!$A$2,I674='סיווג התפקידים והעלויות'!$A$3),'עלויות כח אדם (6)'!H674='סיווג התפקידים והעלויות'!$C$2,'עלויות כח אדם (6)'!H674='סיווג התפקידים והעלויות'!$D$2),IF('עלויות כח אדם (6)'!J674&lt;75,"לא תקין","תקין"),"")</f>
        <v/>
      </c>
      <c r="AE674" s="374" t="str">
        <f t="shared" si="164"/>
        <v/>
      </c>
      <c r="AF674" s="532" t="str">
        <f t="shared" si="165"/>
        <v/>
      </c>
    </row>
    <row r="675" spans="2:32" x14ac:dyDescent="0.25">
      <c r="B675" s="695"/>
      <c r="C675" s="197" t="str">
        <f>IF(B675&lt;&gt;"",IFERROR(VLOOKUP(B:B,'מצבת והרשמה (2)'!$C$20:$N$520,2,0)," ")," ")</f>
        <v xml:space="preserve"> </v>
      </c>
      <c r="D675" s="695"/>
      <c r="E675" s="696"/>
      <c r="F675" s="696"/>
      <c r="G675" s="696"/>
      <c r="H675" s="696"/>
      <c r="I675" s="1050" t="str">
        <f t="shared" si="152"/>
        <v/>
      </c>
      <c r="J675" s="696"/>
      <c r="K675" s="697"/>
      <c r="L675" s="696"/>
      <c r="M675" s="198" t="str">
        <f t="shared" si="153"/>
        <v/>
      </c>
      <c r="N675" s="369" t="str">
        <f t="shared" si="154"/>
        <v/>
      </c>
      <c r="O675" s="183" t="str">
        <f t="shared" si="155"/>
        <v/>
      </c>
      <c r="P675" s="199" t="str">
        <f t="shared" si="156"/>
        <v/>
      </c>
      <c r="Q675" s="199" t="str">
        <f>IF(B675="","",IFERROR(IF('עלויות כח אדם (6)'!J675&gt;=VLOOKUP(I675,'סיווג התפקידים והעלויות'!$B$23:$C$32,2,0),"תקין","לא תקין"),""))</f>
        <v/>
      </c>
      <c r="R675" s="199" t="str">
        <f t="shared" si="157"/>
        <v/>
      </c>
      <c r="S675" s="199" t="str">
        <f t="shared" si="158"/>
        <v/>
      </c>
      <c r="T675" s="199" t="str">
        <f t="shared" si="166"/>
        <v/>
      </c>
      <c r="U675" s="199" t="str">
        <f t="shared" si="159"/>
        <v/>
      </c>
      <c r="V675" s="989"/>
      <c r="X675" s="374" t="str">
        <f t="shared" si="160"/>
        <v/>
      </c>
      <c r="Y675" s="375" t="str">
        <f t="shared" si="161"/>
        <v/>
      </c>
      <c r="Z675" s="374" t="str">
        <f t="shared" si="162"/>
        <v/>
      </c>
      <c r="AA675" s="374" t="b">
        <f t="shared" si="163"/>
        <v>1</v>
      </c>
      <c r="AB675" s="374">
        <f>COUNTIFS(B:B,B675,H:H,'סיווג התפקידים והעלויות'!$C$2)</f>
        <v>0</v>
      </c>
      <c r="AC675" s="374">
        <f>COUNTIFS(B:B,B675,H:H,'סיווג התפקידים והעלויות'!$D$2)</f>
        <v>0</v>
      </c>
      <c r="AD675" s="374" t="str">
        <f>IF(OR(AND(H675='סיווג התפקידים והעלויות'!$A$2,I675='סיווג התפקידים והעלויות'!$A$3),'עלויות כח אדם (6)'!H675='סיווג התפקידים והעלויות'!$C$2,'עלויות כח אדם (6)'!H675='סיווג התפקידים והעלויות'!$D$2),IF('עלויות כח אדם (6)'!J675&lt;75,"לא תקין","תקין"),"")</f>
        <v/>
      </c>
      <c r="AE675" s="374" t="str">
        <f t="shared" si="164"/>
        <v/>
      </c>
      <c r="AF675" s="532" t="str">
        <f t="shared" si="165"/>
        <v/>
      </c>
    </row>
    <row r="676" spans="2:32" x14ac:dyDescent="0.25">
      <c r="B676" s="695"/>
      <c r="C676" s="197" t="str">
        <f>IF(B676&lt;&gt;"",IFERROR(VLOOKUP(B:B,'מצבת והרשמה (2)'!$C$20:$N$520,2,0)," ")," ")</f>
        <v xml:space="preserve"> </v>
      </c>
      <c r="D676" s="695"/>
      <c r="E676" s="696"/>
      <c r="F676" s="696"/>
      <c r="G676" s="696"/>
      <c r="H676" s="696"/>
      <c r="I676" s="1050" t="str">
        <f t="shared" si="152"/>
        <v/>
      </c>
      <c r="J676" s="696"/>
      <c r="K676" s="697"/>
      <c r="L676" s="696"/>
      <c r="M676" s="198" t="str">
        <f t="shared" si="153"/>
        <v/>
      </c>
      <c r="N676" s="369" t="str">
        <f t="shared" si="154"/>
        <v/>
      </c>
      <c r="O676" s="183" t="str">
        <f t="shared" si="155"/>
        <v/>
      </c>
      <c r="P676" s="199" t="str">
        <f t="shared" si="156"/>
        <v/>
      </c>
      <c r="Q676" s="199" t="str">
        <f>IF(B676="","",IFERROR(IF('עלויות כח אדם (6)'!J676&gt;=VLOOKUP(I676,'סיווג התפקידים והעלויות'!$B$23:$C$32,2,0),"תקין","לא תקין"),""))</f>
        <v/>
      </c>
      <c r="R676" s="199" t="str">
        <f t="shared" si="157"/>
        <v/>
      </c>
      <c r="S676" s="199" t="str">
        <f t="shared" si="158"/>
        <v/>
      </c>
      <c r="T676" s="199" t="str">
        <f t="shared" si="166"/>
        <v/>
      </c>
      <c r="U676" s="199" t="str">
        <f t="shared" si="159"/>
        <v/>
      </c>
      <c r="V676" s="989"/>
      <c r="X676" s="374" t="str">
        <f t="shared" si="160"/>
        <v/>
      </c>
      <c r="Y676" s="375" t="str">
        <f t="shared" si="161"/>
        <v/>
      </c>
      <c r="Z676" s="374" t="str">
        <f t="shared" si="162"/>
        <v/>
      </c>
      <c r="AA676" s="374" t="b">
        <f t="shared" si="163"/>
        <v>1</v>
      </c>
      <c r="AB676" s="374">
        <f>COUNTIFS(B:B,B676,H:H,'סיווג התפקידים והעלויות'!$C$2)</f>
        <v>0</v>
      </c>
      <c r="AC676" s="374">
        <f>COUNTIFS(B:B,B676,H:H,'סיווג התפקידים והעלויות'!$D$2)</f>
        <v>0</v>
      </c>
      <c r="AD676" s="374" t="str">
        <f>IF(OR(AND(H676='סיווג התפקידים והעלויות'!$A$2,I676='סיווג התפקידים והעלויות'!$A$3),'עלויות כח אדם (6)'!H676='סיווג התפקידים והעלויות'!$C$2,'עלויות כח אדם (6)'!H676='סיווג התפקידים והעלויות'!$D$2),IF('עלויות כח אדם (6)'!J676&lt;75,"לא תקין","תקין"),"")</f>
        <v/>
      </c>
      <c r="AE676" s="374" t="str">
        <f t="shared" si="164"/>
        <v/>
      </c>
      <c r="AF676" s="532" t="str">
        <f t="shared" si="165"/>
        <v/>
      </c>
    </row>
    <row r="677" spans="2:32" x14ac:dyDescent="0.25">
      <c r="B677" s="695"/>
      <c r="C677" s="197" t="str">
        <f>IF(B677&lt;&gt;"",IFERROR(VLOOKUP(B:B,'מצבת והרשמה (2)'!$C$20:$N$520,2,0)," ")," ")</f>
        <v xml:space="preserve"> </v>
      </c>
      <c r="D677" s="695"/>
      <c r="E677" s="696"/>
      <c r="F677" s="696"/>
      <c r="G677" s="696"/>
      <c r="H677" s="696"/>
      <c r="I677" s="1050" t="str">
        <f t="shared" si="152"/>
        <v/>
      </c>
      <c r="J677" s="696"/>
      <c r="K677" s="697"/>
      <c r="L677" s="696"/>
      <c r="M677" s="198" t="str">
        <f t="shared" si="153"/>
        <v/>
      </c>
      <c r="N677" s="369" t="str">
        <f t="shared" si="154"/>
        <v/>
      </c>
      <c r="O677" s="183" t="str">
        <f t="shared" si="155"/>
        <v/>
      </c>
      <c r="P677" s="199" t="str">
        <f t="shared" si="156"/>
        <v/>
      </c>
      <c r="Q677" s="199" t="str">
        <f>IF(B677="","",IFERROR(IF('עלויות כח אדם (6)'!J677&gt;=VLOOKUP(I677,'סיווג התפקידים והעלויות'!$B$23:$C$32,2,0),"תקין","לא תקין"),""))</f>
        <v/>
      </c>
      <c r="R677" s="199" t="str">
        <f t="shared" si="157"/>
        <v/>
      </c>
      <c r="S677" s="199" t="str">
        <f t="shared" si="158"/>
        <v/>
      </c>
      <c r="T677" s="199" t="str">
        <f t="shared" si="166"/>
        <v/>
      </c>
      <c r="U677" s="199" t="str">
        <f t="shared" si="159"/>
        <v/>
      </c>
      <c r="V677" s="989"/>
      <c r="X677" s="374" t="str">
        <f t="shared" si="160"/>
        <v/>
      </c>
      <c r="Y677" s="375" t="str">
        <f t="shared" si="161"/>
        <v/>
      </c>
      <c r="Z677" s="374" t="str">
        <f t="shared" si="162"/>
        <v/>
      </c>
      <c r="AA677" s="374" t="b">
        <f t="shared" si="163"/>
        <v>1</v>
      </c>
      <c r="AB677" s="374">
        <f>COUNTIFS(B:B,B677,H:H,'סיווג התפקידים והעלויות'!$C$2)</f>
        <v>0</v>
      </c>
      <c r="AC677" s="374">
        <f>COUNTIFS(B:B,B677,H:H,'סיווג התפקידים והעלויות'!$D$2)</f>
        <v>0</v>
      </c>
      <c r="AD677" s="374" t="str">
        <f>IF(OR(AND(H677='סיווג התפקידים והעלויות'!$A$2,I677='סיווג התפקידים והעלויות'!$A$3),'עלויות כח אדם (6)'!H677='סיווג התפקידים והעלויות'!$C$2,'עלויות כח אדם (6)'!H677='סיווג התפקידים והעלויות'!$D$2),IF('עלויות כח אדם (6)'!J677&lt;75,"לא תקין","תקין"),"")</f>
        <v/>
      </c>
      <c r="AE677" s="374" t="str">
        <f t="shared" si="164"/>
        <v/>
      </c>
      <c r="AF677" s="532" t="str">
        <f t="shared" si="165"/>
        <v/>
      </c>
    </row>
    <row r="678" spans="2:32" x14ac:dyDescent="0.25">
      <c r="B678" s="695"/>
      <c r="C678" s="197" t="str">
        <f>IF(B678&lt;&gt;"",IFERROR(VLOOKUP(B:B,'מצבת והרשמה (2)'!$C$20:$N$520,2,0)," ")," ")</f>
        <v xml:space="preserve"> </v>
      </c>
      <c r="D678" s="695"/>
      <c r="E678" s="696"/>
      <c r="F678" s="696"/>
      <c r="G678" s="696"/>
      <c r="H678" s="696"/>
      <c r="I678" s="1050" t="str">
        <f t="shared" si="152"/>
        <v/>
      </c>
      <c r="J678" s="696"/>
      <c r="K678" s="697"/>
      <c r="L678" s="696"/>
      <c r="M678" s="198" t="str">
        <f t="shared" si="153"/>
        <v/>
      </c>
      <c r="N678" s="369" t="str">
        <f t="shared" si="154"/>
        <v/>
      </c>
      <c r="O678" s="183" t="str">
        <f t="shared" si="155"/>
        <v/>
      </c>
      <c r="P678" s="199" t="str">
        <f t="shared" si="156"/>
        <v/>
      </c>
      <c r="Q678" s="199" t="str">
        <f>IF(B678="","",IFERROR(IF('עלויות כח אדם (6)'!J678&gt;=VLOOKUP(I678,'סיווג התפקידים והעלויות'!$B$23:$C$32,2,0),"תקין","לא תקין"),""))</f>
        <v/>
      </c>
      <c r="R678" s="199" t="str">
        <f t="shared" si="157"/>
        <v/>
      </c>
      <c r="S678" s="199" t="str">
        <f t="shared" si="158"/>
        <v/>
      </c>
      <c r="T678" s="199" t="str">
        <f t="shared" si="166"/>
        <v/>
      </c>
      <c r="U678" s="199" t="str">
        <f t="shared" si="159"/>
        <v/>
      </c>
      <c r="V678" s="989"/>
      <c r="X678" s="374" t="str">
        <f t="shared" si="160"/>
        <v/>
      </c>
      <c r="Y678" s="375" t="str">
        <f t="shared" si="161"/>
        <v/>
      </c>
      <c r="Z678" s="374" t="str">
        <f t="shared" si="162"/>
        <v/>
      </c>
      <c r="AA678" s="374" t="b">
        <f t="shared" si="163"/>
        <v>1</v>
      </c>
      <c r="AB678" s="374">
        <f>COUNTIFS(B:B,B678,H:H,'סיווג התפקידים והעלויות'!$C$2)</f>
        <v>0</v>
      </c>
      <c r="AC678" s="374">
        <f>COUNTIFS(B:B,B678,H:H,'סיווג התפקידים והעלויות'!$D$2)</f>
        <v>0</v>
      </c>
      <c r="AD678" s="374" t="str">
        <f>IF(OR(AND(H678='סיווג התפקידים והעלויות'!$A$2,I678='סיווג התפקידים והעלויות'!$A$3),'עלויות כח אדם (6)'!H678='סיווג התפקידים והעלויות'!$C$2,'עלויות כח אדם (6)'!H678='סיווג התפקידים והעלויות'!$D$2),IF('עלויות כח אדם (6)'!J678&lt;75,"לא תקין","תקין"),"")</f>
        <v/>
      </c>
      <c r="AE678" s="374" t="str">
        <f t="shared" si="164"/>
        <v/>
      </c>
      <c r="AF678" s="532" t="str">
        <f t="shared" si="165"/>
        <v/>
      </c>
    </row>
    <row r="679" spans="2:32" x14ac:dyDescent="0.25">
      <c r="B679" s="695"/>
      <c r="C679" s="197" t="str">
        <f>IF(B679&lt;&gt;"",IFERROR(VLOOKUP(B:B,'מצבת והרשמה (2)'!$C$20:$N$520,2,0)," ")," ")</f>
        <v xml:space="preserve"> </v>
      </c>
      <c r="D679" s="695"/>
      <c r="E679" s="696"/>
      <c r="F679" s="696"/>
      <c r="G679" s="696"/>
      <c r="H679" s="696"/>
      <c r="I679" s="1050" t="str">
        <f t="shared" si="152"/>
        <v/>
      </c>
      <c r="J679" s="696"/>
      <c r="K679" s="697"/>
      <c r="L679" s="696"/>
      <c r="M679" s="198" t="str">
        <f t="shared" si="153"/>
        <v/>
      </c>
      <c r="N679" s="369" t="str">
        <f t="shared" si="154"/>
        <v/>
      </c>
      <c r="O679" s="183" t="str">
        <f t="shared" si="155"/>
        <v/>
      </c>
      <c r="P679" s="199" t="str">
        <f t="shared" si="156"/>
        <v/>
      </c>
      <c r="Q679" s="199" t="str">
        <f>IF(B679="","",IFERROR(IF('עלויות כח אדם (6)'!J679&gt;=VLOOKUP(I679,'סיווג התפקידים והעלויות'!$B$23:$C$32,2,0),"תקין","לא תקין"),""))</f>
        <v/>
      </c>
      <c r="R679" s="199" t="str">
        <f t="shared" si="157"/>
        <v/>
      </c>
      <c r="S679" s="199" t="str">
        <f t="shared" si="158"/>
        <v/>
      </c>
      <c r="T679" s="199" t="str">
        <f t="shared" si="166"/>
        <v/>
      </c>
      <c r="U679" s="199" t="str">
        <f t="shared" si="159"/>
        <v/>
      </c>
      <c r="V679" s="989"/>
      <c r="X679" s="374" t="str">
        <f t="shared" si="160"/>
        <v/>
      </c>
      <c r="Y679" s="375" t="str">
        <f t="shared" si="161"/>
        <v/>
      </c>
      <c r="Z679" s="374" t="str">
        <f t="shared" si="162"/>
        <v/>
      </c>
      <c r="AA679" s="374" t="b">
        <f t="shared" si="163"/>
        <v>1</v>
      </c>
      <c r="AB679" s="374">
        <f>COUNTIFS(B:B,B679,H:H,'סיווג התפקידים והעלויות'!$C$2)</f>
        <v>0</v>
      </c>
      <c r="AC679" s="374">
        <f>COUNTIFS(B:B,B679,H:H,'סיווג התפקידים והעלויות'!$D$2)</f>
        <v>0</v>
      </c>
      <c r="AD679" s="374" t="str">
        <f>IF(OR(AND(H679='סיווג התפקידים והעלויות'!$A$2,I679='סיווג התפקידים והעלויות'!$A$3),'עלויות כח אדם (6)'!H679='סיווג התפקידים והעלויות'!$C$2,'עלויות כח אדם (6)'!H679='סיווג התפקידים והעלויות'!$D$2),IF('עלויות כח אדם (6)'!J679&lt;75,"לא תקין","תקין"),"")</f>
        <v/>
      </c>
      <c r="AE679" s="374" t="str">
        <f t="shared" si="164"/>
        <v/>
      </c>
      <c r="AF679" s="532" t="str">
        <f t="shared" si="165"/>
        <v/>
      </c>
    </row>
    <row r="680" spans="2:32" x14ac:dyDescent="0.25">
      <c r="B680" s="695"/>
      <c r="C680" s="197" t="str">
        <f>IF(B680&lt;&gt;"",IFERROR(VLOOKUP(B:B,'מצבת והרשמה (2)'!$C$20:$N$520,2,0)," ")," ")</f>
        <v xml:space="preserve"> </v>
      </c>
      <c r="D680" s="695"/>
      <c r="E680" s="696"/>
      <c r="F680" s="696"/>
      <c r="G680" s="696"/>
      <c r="H680" s="696"/>
      <c r="I680" s="1050" t="str">
        <f t="shared" si="152"/>
        <v/>
      </c>
      <c r="J680" s="696"/>
      <c r="K680" s="697"/>
      <c r="L680" s="696"/>
      <c r="M680" s="198" t="str">
        <f t="shared" si="153"/>
        <v/>
      </c>
      <c r="N680" s="369" t="str">
        <f t="shared" si="154"/>
        <v/>
      </c>
      <c r="O680" s="183" t="str">
        <f t="shared" si="155"/>
        <v/>
      </c>
      <c r="P680" s="199" t="str">
        <f t="shared" si="156"/>
        <v/>
      </c>
      <c r="Q680" s="199" t="str">
        <f>IF(B680="","",IFERROR(IF('עלויות כח אדם (6)'!J680&gt;=VLOOKUP(I680,'סיווג התפקידים והעלויות'!$B$23:$C$32,2,0),"תקין","לא תקין"),""))</f>
        <v/>
      </c>
      <c r="R680" s="199" t="str">
        <f t="shared" si="157"/>
        <v/>
      </c>
      <c r="S680" s="199" t="str">
        <f t="shared" si="158"/>
        <v/>
      </c>
      <c r="T680" s="199" t="str">
        <f t="shared" si="166"/>
        <v/>
      </c>
      <c r="U680" s="199" t="str">
        <f t="shared" si="159"/>
        <v/>
      </c>
      <c r="V680" s="989"/>
      <c r="X680" s="374" t="str">
        <f t="shared" si="160"/>
        <v/>
      </c>
      <c r="Y680" s="375" t="str">
        <f t="shared" si="161"/>
        <v/>
      </c>
      <c r="Z680" s="374" t="str">
        <f t="shared" si="162"/>
        <v/>
      </c>
      <c r="AA680" s="374" t="b">
        <f t="shared" si="163"/>
        <v>1</v>
      </c>
      <c r="AB680" s="374">
        <f>COUNTIFS(B:B,B680,H:H,'סיווג התפקידים והעלויות'!$C$2)</f>
        <v>0</v>
      </c>
      <c r="AC680" s="374">
        <f>COUNTIFS(B:B,B680,H:H,'סיווג התפקידים והעלויות'!$D$2)</f>
        <v>0</v>
      </c>
      <c r="AD680" s="374" t="str">
        <f>IF(OR(AND(H680='סיווג התפקידים והעלויות'!$A$2,I680='סיווג התפקידים והעלויות'!$A$3),'עלויות כח אדם (6)'!H680='סיווג התפקידים והעלויות'!$C$2,'עלויות כח אדם (6)'!H680='סיווג התפקידים והעלויות'!$D$2),IF('עלויות כח אדם (6)'!J680&lt;75,"לא תקין","תקין"),"")</f>
        <v/>
      </c>
      <c r="AE680" s="374" t="str">
        <f t="shared" si="164"/>
        <v/>
      </c>
      <c r="AF680" s="532" t="str">
        <f t="shared" si="165"/>
        <v/>
      </c>
    </row>
    <row r="681" spans="2:32" x14ac:dyDescent="0.25">
      <c r="B681" s="695"/>
      <c r="C681" s="197" t="str">
        <f>IF(B681&lt;&gt;"",IFERROR(VLOOKUP(B:B,'מצבת והרשמה (2)'!$C$20:$N$520,2,0)," ")," ")</f>
        <v xml:space="preserve"> </v>
      </c>
      <c r="D681" s="695"/>
      <c r="E681" s="696"/>
      <c r="F681" s="696"/>
      <c r="G681" s="696"/>
      <c r="H681" s="696"/>
      <c r="I681" s="1050" t="str">
        <f t="shared" si="152"/>
        <v/>
      </c>
      <c r="J681" s="696"/>
      <c r="K681" s="697"/>
      <c r="L681" s="696"/>
      <c r="M681" s="198" t="str">
        <f t="shared" si="153"/>
        <v/>
      </c>
      <c r="N681" s="369" t="str">
        <f t="shared" si="154"/>
        <v/>
      </c>
      <c r="O681" s="183" t="str">
        <f t="shared" si="155"/>
        <v/>
      </c>
      <c r="P681" s="199" t="str">
        <f t="shared" si="156"/>
        <v/>
      </c>
      <c r="Q681" s="199" t="str">
        <f>IF(B681="","",IFERROR(IF('עלויות כח אדם (6)'!J681&gt;=VLOOKUP(I681,'סיווג התפקידים והעלויות'!$B$23:$C$32,2,0),"תקין","לא תקין"),""))</f>
        <v/>
      </c>
      <c r="R681" s="199" t="str">
        <f t="shared" si="157"/>
        <v/>
      </c>
      <c r="S681" s="199" t="str">
        <f t="shared" si="158"/>
        <v/>
      </c>
      <c r="T681" s="199" t="str">
        <f t="shared" si="166"/>
        <v/>
      </c>
      <c r="U681" s="199" t="str">
        <f t="shared" si="159"/>
        <v/>
      </c>
      <c r="V681" s="989"/>
      <c r="X681" s="374" t="str">
        <f t="shared" si="160"/>
        <v/>
      </c>
      <c r="Y681" s="375" t="str">
        <f t="shared" si="161"/>
        <v/>
      </c>
      <c r="Z681" s="374" t="str">
        <f t="shared" si="162"/>
        <v/>
      </c>
      <c r="AA681" s="374" t="b">
        <f t="shared" si="163"/>
        <v>1</v>
      </c>
      <c r="AB681" s="374">
        <f>COUNTIFS(B:B,B681,H:H,'סיווג התפקידים והעלויות'!$C$2)</f>
        <v>0</v>
      </c>
      <c r="AC681" s="374">
        <f>COUNTIFS(B:B,B681,H:H,'סיווג התפקידים והעלויות'!$D$2)</f>
        <v>0</v>
      </c>
      <c r="AD681" s="374" t="str">
        <f>IF(OR(AND(H681='סיווג התפקידים והעלויות'!$A$2,I681='סיווג התפקידים והעלויות'!$A$3),'עלויות כח אדם (6)'!H681='סיווג התפקידים והעלויות'!$C$2,'עלויות כח אדם (6)'!H681='סיווג התפקידים והעלויות'!$D$2),IF('עלויות כח אדם (6)'!J681&lt;75,"לא תקין","תקין"),"")</f>
        <v/>
      </c>
      <c r="AE681" s="374" t="str">
        <f t="shared" si="164"/>
        <v/>
      </c>
      <c r="AF681" s="532" t="str">
        <f t="shared" si="165"/>
        <v/>
      </c>
    </row>
    <row r="682" spans="2:32" x14ac:dyDescent="0.25">
      <c r="B682" s="695"/>
      <c r="C682" s="197" t="str">
        <f>IF(B682&lt;&gt;"",IFERROR(VLOOKUP(B:B,'מצבת והרשמה (2)'!$C$20:$N$520,2,0)," ")," ")</f>
        <v xml:space="preserve"> </v>
      </c>
      <c r="D682" s="695"/>
      <c r="E682" s="696"/>
      <c r="F682" s="696"/>
      <c r="G682" s="696"/>
      <c r="H682" s="696"/>
      <c r="I682" s="1050" t="str">
        <f t="shared" si="152"/>
        <v/>
      </c>
      <c r="J682" s="696"/>
      <c r="K682" s="697"/>
      <c r="L682" s="696"/>
      <c r="M682" s="198" t="str">
        <f t="shared" si="153"/>
        <v/>
      </c>
      <c r="N682" s="369" t="str">
        <f t="shared" si="154"/>
        <v/>
      </c>
      <c r="O682" s="183" t="str">
        <f t="shared" si="155"/>
        <v/>
      </c>
      <c r="P682" s="199" t="str">
        <f t="shared" si="156"/>
        <v/>
      </c>
      <c r="Q682" s="199" t="str">
        <f>IF(B682="","",IFERROR(IF('עלויות כח אדם (6)'!J682&gt;=VLOOKUP(I682,'סיווג התפקידים והעלויות'!$B$23:$C$32,2,0),"תקין","לא תקין"),""))</f>
        <v/>
      </c>
      <c r="R682" s="199" t="str">
        <f t="shared" si="157"/>
        <v/>
      </c>
      <c r="S682" s="199" t="str">
        <f t="shared" si="158"/>
        <v/>
      </c>
      <c r="T682" s="199" t="str">
        <f t="shared" si="166"/>
        <v/>
      </c>
      <c r="U682" s="199" t="str">
        <f t="shared" si="159"/>
        <v/>
      </c>
      <c r="V682" s="989"/>
      <c r="X682" s="374" t="str">
        <f t="shared" si="160"/>
        <v/>
      </c>
      <c r="Y682" s="375" t="str">
        <f t="shared" si="161"/>
        <v/>
      </c>
      <c r="Z682" s="374" t="str">
        <f t="shared" si="162"/>
        <v/>
      </c>
      <c r="AA682" s="374" t="b">
        <f t="shared" si="163"/>
        <v>1</v>
      </c>
      <c r="AB682" s="374">
        <f>COUNTIFS(B:B,B682,H:H,'סיווג התפקידים והעלויות'!$C$2)</f>
        <v>0</v>
      </c>
      <c r="AC682" s="374">
        <f>COUNTIFS(B:B,B682,H:H,'סיווג התפקידים והעלויות'!$D$2)</f>
        <v>0</v>
      </c>
      <c r="AD682" s="374" t="str">
        <f>IF(OR(AND(H682='סיווג התפקידים והעלויות'!$A$2,I682='סיווג התפקידים והעלויות'!$A$3),'עלויות כח אדם (6)'!H682='סיווג התפקידים והעלויות'!$C$2,'עלויות כח אדם (6)'!H682='סיווג התפקידים והעלויות'!$D$2),IF('עלויות כח אדם (6)'!J682&lt;75,"לא תקין","תקין"),"")</f>
        <v/>
      </c>
      <c r="AE682" s="374" t="str">
        <f t="shared" si="164"/>
        <v/>
      </c>
      <c r="AF682" s="532" t="str">
        <f t="shared" si="165"/>
        <v/>
      </c>
    </row>
    <row r="683" spans="2:32" x14ac:dyDescent="0.25">
      <c r="B683" s="695"/>
      <c r="C683" s="197" t="str">
        <f>IF(B683&lt;&gt;"",IFERROR(VLOOKUP(B:B,'מצבת והרשמה (2)'!$C$20:$N$520,2,0)," ")," ")</f>
        <v xml:space="preserve"> </v>
      </c>
      <c r="D683" s="695"/>
      <c r="E683" s="696"/>
      <c r="F683" s="696"/>
      <c r="G683" s="696"/>
      <c r="H683" s="696"/>
      <c r="I683" s="1050" t="str">
        <f t="shared" si="152"/>
        <v/>
      </c>
      <c r="J683" s="696"/>
      <c r="K683" s="697"/>
      <c r="L683" s="696"/>
      <c r="M683" s="198" t="str">
        <f t="shared" si="153"/>
        <v/>
      </c>
      <c r="N683" s="369" t="str">
        <f t="shared" si="154"/>
        <v/>
      </c>
      <c r="O683" s="183" t="str">
        <f t="shared" si="155"/>
        <v/>
      </c>
      <c r="P683" s="199" t="str">
        <f t="shared" si="156"/>
        <v/>
      </c>
      <c r="Q683" s="199" t="str">
        <f>IF(B683="","",IFERROR(IF('עלויות כח אדם (6)'!J683&gt;=VLOOKUP(I683,'סיווג התפקידים והעלויות'!$B$23:$C$32,2,0),"תקין","לא תקין"),""))</f>
        <v/>
      </c>
      <c r="R683" s="199" t="str">
        <f t="shared" si="157"/>
        <v/>
      </c>
      <c r="S683" s="199" t="str">
        <f t="shared" si="158"/>
        <v/>
      </c>
      <c r="T683" s="199" t="str">
        <f t="shared" si="166"/>
        <v/>
      </c>
      <c r="U683" s="199" t="str">
        <f t="shared" si="159"/>
        <v/>
      </c>
      <c r="V683" s="989"/>
      <c r="X683" s="374" t="str">
        <f t="shared" si="160"/>
        <v/>
      </c>
      <c r="Y683" s="375" t="str">
        <f t="shared" si="161"/>
        <v/>
      </c>
      <c r="Z683" s="374" t="str">
        <f t="shared" si="162"/>
        <v/>
      </c>
      <c r="AA683" s="374" t="b">
        <f t="shared" si="163"/>
        <v>1</v>
      </c>
      <c r="AB683" s="374">
        <f>COUNTIFS(B:B,B683,H:H,'סיווג התפקידים והעלויות'!$C$2)</f>
        <v>0</v>
      </c>
      <c r="AC683" s="374">
        <f>COUNTIFS(B:B,B683,H:H,'סיווג התפקידים והעלויות'!$D$2)</f>
        <v>0</v>
      </c>
      <c r="AD683" s="374" t="str">
        <f>IF(OR(AND(H683='סיווג התפקידים והעלויות'!$A$2,I683='סיווג התפקידים והעלויות'!$A$3),'עלויות כח אדם (6)'!H683='סיווג התפקידים והעלויות'!$C$2,'עלויות כח אדם (6)'!H683='סיווג התפקידים והעלויות'!$D$2),IF('עלויות כח אדם (6)'!J683&lt;75,"לא תקין","תקין"),"")</f>
        <v/>
      </c>
      <c r="AE683" s="374" t="str">
        <f t="shared" si="164"/>
        <v/>
      </c>
      <c r="AF683" s="532" t="str">
        <f t="shared" si="165"/>
        <v/>
      </c>
    </row>
    <row r="684" spans="2:32" x14ac:dyDescent="0.25">
      <c r="B684" s="695"/>
      <c r="C684" s="197" t="str">
        <f>IF(B684&lt;&gt;"",IFERROR(VLOOKUP(B:B,'מצבת והרשמה (2)'!$C$20:$N$520,2,0)," ")," ")</f>
        <v xml:space="preserve"> </v>
      </c>
      <c r="D684" s="695"/>
      <c r="E684" s="696"/>
      <c r="F684" s="696"/>
      <c r="G684" s="696"/>
      <c r="H684" s="696"/>
      <c r="I684" s="1050" t="str">
        <f t="shared" si="152"/>
        <v/>
      </c>
      <c r="J684" s="696"/>
      <c r="K684" s="697"/>
      <c r="L684" s="696"/>
      <c r="M684" s="198" t="str">
        <f t="shared" si="153"/>
        <v/>
      </c>
      <c r="N684" s="369" t="str">
        <f t="shared" si="154"/>
        <v/>
      </c>
      <c r="O684" s="183" t="str">
        <f t="shared" si="155"/>
        <v/>
      </c>
      <c r="P684" s="199" t="str">
        <f t="shared" si="156"/>
        <v/>
      </c>
      <c r="Q684" s="199" t="str">
        <f>IF(B684="","",IFERROR(IF('עלויות כח אדם (6)'!J684&gt;=VLOOKUP(I684,'סיווג התפקידים והעלויות'!$B$23:$C$32,2,0),"תקין","לא תקין"),""))</f>
        <v/>
      </c>
      <c r="R684" s="199" t="str">
        <f t="shared" si="157"/>
        <v/>
      </c>
      <c r="S684" s="199" t="str">
        <f t="shared" si="158"/>
        <v/>
      </c>
      <c r="T684" s="199" t="str">
        <f t="shared" si="166"/>
        <v/>
      </c>
      <c r="U684" s="199" t="str">
        <f t="shared" si="159"/>
        <v/>
      </c>
      <c r="V684" s="989"/>
      <c r="X684" s="374" t="str">
        <f t="shared" si="160"/>
        <v/>
      </c>
      <c r="Y684" s="375" t="str">
        <f t="shared" si="161"/>
        <v/>
      </c>
      <c r="Z684" s="374" t="str">
        <f t="shared" si="162"/>
        <v/>
      </c>
      <c r="AA684" s="374" t="b">
        <f t="shared" si="163"/>
        <v>1</v>
      </c>
      <c r="AB684" s="374">
        <f>COUNTIFS(B:B,B684,H:H,'סיווג התפקידים והעלויות'!$C$2)</f>
        <v>0</v>
      </c>
      <c r="AC684" s="374">
        <f>COUNTIFS(B:B,B684,H:H,'סיווג התפקידים והעלויות'!$D$2)</f>
        <v>0</v>
      </c>
      <c r="AD684" s="374" t="str">
        <f>IF(OR(AND(H684='סיווג התפקידים והעלויות'!$A$2,I684='סיווג התפקידים והעלויות'!$A$3),'עלויות כח אדם (6)'!H684='סיווג התפקידים והעלויות'!$C$2,'עלויות כח אדם (6)'!H684='סיווג התפקידים והעלויות'!$D$2),IF('עלויות כח אדם (6)'!J684&lt;75,"לא תקין","תקין"),"")</f>
        <v/>
      </c>
      <c r="AE684" s="374" t="str">
        <f t="shared" si="164"/>
        <v/>
      </c>
      <c r="AF684" s="532" t="str">
        <f t="shared" si="165"/>
        <v/>
      </c>
    </row>
    <row r="685" spans="2:32" x14ac:dyDescent="0.25">
      <c r="B685" s="695"/>
      <c r="C685" s="197" t="str">
        <f>IF(B685&lt;&gt;"",IFERROR(VLOOKUP(B:B,'מצבת והרשמה (2)'!$C$20:$N$520,2,0)," ")," ")</f>
        <v xml:space="preserve"> </v>
      </c>
      <c r="D685" s="695"/>
      <c r="E685" s="696"/>
      <c r="F685" s="696"/>
      <c r="G685" s="696"/>
      <c r="H685" s="696"/>
      <c r="I685" s="1050" t="str">
        <f t="shared" si="152"/>
        <v/>
      </c>
      <c r="J685" s="696"/>
      <c r="K685" s="697"/>
      <c r="L685" s="696"/>
      <c r="M685" s="198" t="str">
        <f t="shared" si="153"/>
        <v/>
      </c>
      <c r="N685" s="369" t="str">
        <f t="shared" si="154"/>
        <v/>
      </c>
      <c r="O685" s="183" t="str">
        <f t="shared" si="155"/>
        <v/>
      </c>
      <c r="P685" s="199" t="str">
        <f t="shared" si="156"/>
        <v/>
      </c>
      <c r="Q685" s="199" t="str">
        <f>IF(B685="","",IFERROR(IF('עלויות כח אדם (6)'!J685&gt;=VLOOKUP(I685,'סיווג התפקידים והעלויות'!$B$23:$C$32,2,0),"תקין","לא תקין"),""))</f>
        <v/>
      </c>
      <c r="R685" s="199" t="str">
        <f t="shared" si="157"/>
        <v/>
      </c>
      <c r="S685" s="199" t="str">
        <f t="shared" si="158"/>
        <v/>
      </c>
      <c r="T685" s="199" t="str">
        <f t="shared" si="166"/>
        <v/>
      </c>
      <c r="U685" s="199" t="str">
        <f t="shared" si="159"/>
        <v/>
      </c>
      <c r="V685" s="989"/>
      <c r="X685" s="374" t="str">
        <f t="shared" si="160"/>
        <v/>
      </c>
      <c r="Y685" s="375" t="str">
        <f t="shared" si="161"/>
        <v/>
      </c>
      <c r="Z685" s="374" t="str">
        <f t="shared" si="162"/>
        <v/>
      </c>
      <c r="AA685" s="374" t="b">
        <f t="shared" si="163"/>
        <v>1</v>
      </c>
      <c r="AB685" s="374">
        <f>COUNTIFS(B:B,B685,H:H,'סיווג התפקידים והעלויות'!$C$2)</f>
        <v>0</v>
      </c>
      <c r="AC685" s="374">
        <f>COUNTIFS(B:B,B685,H:H,'סיווג התפקידים והעלויות'!$D$2)</f>
        <v>0</v>
      </c>
      <c r="AD685" s="374" t="str">
        <f>IF(OR(AND(H685='סיווג התפקידים והעלויות'!$A$2,I685='סיווג התפקידים והעלויות'!$A$3),'עלויות כח אדם (6)'!H685='סיווג התפקידים והעלויות'!$C$2,'עלויות כח אדם (6)'!H685='סיווג התפקידים והעלויות'!$D$2),IF('עלויות כח אדם (6)'!J685&lt;75,"לא תקין","תקין"),"")</f>
        <v/>
      </c>
      <c r="AE685" s="374" t="str">
        <f t="shared" si="164"/>
        <v/>
      </c>
      <c r="AF685" s="532" t="str">
        <f t="shared" si="165"/>
        <v/>
      </c>
    </row>
    <row r="686" spans="2:32" x14ac:dyDescent="0.25">
      <c r="B686" s="695"/>
      <c r="C686" s="197" t="str">
        <f>IF(B686&lt;&gt;"",IFERROR(VLOOKUP(B:B,'מצבת והרשמה (2)'!$C$20:$N$520,2,0)," ")," ")</f>
        <v xml:space="preserve"> </v>
      </c>
      <c r="D686" s="695"/>
      <c r="E686" s="696"/>
      <c r="F686" s="696"/>
      <c r="G686" s="696"/>
      <c r="H686" s="696"/>
      <c r="I686" s="1050" t="str">
        <f t="shared" si="152"/>
        <v/>
      </c>
      <c r="J686" s="696"/>
      <c r="K686" s="697"/>
      <c r="L686" s="696"/>
      <c r="M686" s="198" t="str">
        <f t="shared" si="153"/>
        <v/>
      </c>
      <c r="N686" s="369" t="str">
        <f t="shared" si="154"/>
        <v/>
      </c>
      <c r="O686" s="183" t="str">
        <f t="shared" si="155"/>
        <v/>
      </c>
      <c r="P686" s="199" t="str">
        <f t="shared" si="156"/>
        <v/>
      </c>
      <c r="Q686" s="199" t="str">
        <f>IF(B686="","",IFERROR(IF('עלויות כח אדם (6)'!J686&gt;=VLOOKUP(I686,'סיווג התפקידים והעלויות'!$B$23:$C$32,2,0),"תקין","לא תקין"),""))</f>
        <v/>
      </c>
      <c r="R686" s="199" t="str">
        <f t="shared" si="157"/>
        <v/>
      </c>
      <c r="S686" s="199" t="str">
        <f t="shared" si="158"/>
        <v/>
      </c>
      <c r="T686" s="199" t="str">
        <f t="shared" si="166"/>
        <v/>
      </c>
      <c r="U686" s="199" t="str">
        <f t="shared" si="159"/>
        <v/>
      </c>
      <c r="V686" s="989"/>
      <c r="X686" s="374" t="str">
        <f t="shared" si="160"/>
        <v/>
      </c>
      <c r="Y686" s="375" t="str">
        <f t="shared" si="161"/>
        <v/>
      </c>
      <c r="Z686" s="374" t="str">
        <f t="shared" si="162"/>
        <v/>
      </c>
      <c r="AA686" s="374" t="b">
        <f t="shared" si="163"/>
        <v>1</v>
      </c>
      <c r="AB686" s="374">
        <f>COUNTIFS(B:B,B686,H:H,'סיווג התפקידים והעלויות'!$C$2)</f>
        <v>0</v>
      </c>
      <c r="AC686" s="374">
        <f>COUNTIFS(B:B,B686,H:H,'סיווג התפקידים והעלויות'!$D$2)</f>
        <v>0</v>
      </c>
      <c r="AD686" s="374" t="str">
        <f>IF(OR(AND(H686='סיווג התפקידים והעלויות'!$A$2,I686='סיווג התפקידים והעלויות'!$A$3),'עלויות כח אדם (6)'!H686='סיווג התפקידים והעלויות'!$C$2,'עלויות כח אדם (6)'!H686='סיווג התפקידים והעלויות'!$D$2),IF('עלויות כח אדם (6)'!J686&lt;75,"לא תקין","תקין"),"")</f>
        <v/>
      </c>
      <c r="AE686" s="374" t="str">
        <f t="shared" si="164"/>
        <v/>
      </c>
      <c r="AF686" s="532" t="str">
        <f t="shared" si="165"/>
        <v/>
      </c>
    </row>
    <row r="687" spans="2:32" x14ac:dyDescent="0.25">
      <c r="B687" s="695"/>
      <c r="C687" s="197" t="str">
        <f>IF(B687&lt;&gt;"",IFERROR(VLOOKUP(B:B,'מצבת והרשמה (2)'!$C$20:$N$520,2,0)," ")," ")</f>
        <v xml:space="preserve"> </v>
      </c>
      <c r="D687" s="695"/>
      <c r="E687" s="696"/>
      <c r="F687" s="696"/>
      <c r="G687" s="696"/>
      <c r="H687" s="696"/>
      <c r="I687" s="1050" t="str">
        <f t="shared" si="152"/>
        <v/>
      </c>
      <c r="J687" s="696"/>
      <c r="K687" s="697"/>
      <c r="L687" s="696"/>
      <c r="M687" s="198" t="str">
        <f t="shared" si="153"/>
        <v/>
      </c>
      <c r="N687" s="369" t="str">
        <f t="shared" si="154"/>
        <v/>
      </c>
      <c r="O687" s="183" t="str">
        <f t="shared" si="155"/>
        <v/>
      </c>
      <c r="P687" s="199" t="str">
        <f t="shared" si="156"/>
        <v/>
      </c>
      <c r="Q687" s="199" t="str">
        <f>IF(B687="","",IFERROR(IF('עלויות כח אדם (6)'!J687&gt;=VLOOKUP(I687,'סיווג התפקידים והעלויות'!$B$23:$C$32,2,0),"תקין","לא תקין"),""))</f>
        <v/>
      </c>
      <c r="R687" s="199" t="str">
        <f t="shared" si="157"/>
        <v/>
      </c>
      <c r="S687" s="199" t="str">
        <f t="shared" si="158"/>
        <v/>
      </c>
      <c r="T687" s="199" t="str">
        <f t="shared" si="166"/>
        <v/>
      </c>
      <c r="U687" s="199" t="str">
        <f t="shared" si="159"/>
        <v/>
      </c>
      <c r="V687" s="989"/>
      <c r="X687" s="374" t="str">
        <f t="shared" si="160"/>
        <v/>
      </c>
      <c r="Y687" s="375" t="str">
        <f t="shared" si="161"/>
        <v/>
      </c>
      <c r="Z687" s="374" t="str">
        <f t="shared" si="162"/>
        <v/>
      </c>
      <c r="AA687" s="374" t="b">
        <f t="shared" si="163"/>
        <v>1</v>
      </c>
      <c r="AB687" s="374">
        <f>COUNTIFS(B:B,B687,H:H,'סיווג התפקידים והעלויות'!$C$2)</f>
        <v>0</v>
      </c>
      <c r="AC687" s="374">
        <f>COUNTIFS(B:B,B687,H:H,'סיווג התפקידים והעלויות'!$D$2)</f>
        <v>0</v>
      </c>
      <c r="AD687" s="374" t="str">
        <f>IF(OR(AND(H687='סיווג התפקידים והעלויות'!$A$2,I687='סיווג התפקידים והעלויות'!$A$3),'עלויות כח אדם (6)'!H687='סיווג התפקידים והעלויות'!$C$2,'עלויות כח אדם (6)'!H687='סיווג התפקידים והעלויות'!$D$2),IF('עלויות כח אדם (6)'!J687&lt;75,"לא תקין","תקין"),"")</f>
        <v/>
      </c>
      <c r="AE687" s="374" t="str">
        <f t="shared" si="164"/>
        <v/>
      </c>
      <c r="AF687" s="532" t="str">
        <f t="shared" si="165"/>
        <v/>
      </c>
    </row>
    <row r="688" spans="2:32" x14ac:dyDescent="0.25">
      <c r="B688" s="695"/>
      <c r="C688" s="197" t="str">
        <f>IF(B688&lt;&gt;"",IFERROR(VLOOKUP(B:B,'מצבת והרשמה (2)'!$C$20:$N$520,2,0)," ")," ")</f>
        <v xml:space="preserve"> </v>
      </c>
      <c r="D688" s="695"/>
      <c r="E688" s="696"/>
      <c r="F688" s="696"/>
      <c r="G688" s="696"/>
      <c r="H688" s="696"/>
      <c r="I688" s="1050" t="str">
        <f t="shared" si="152"/>
        <v/>
      </c>
      <c r="J688" s="696"/>
      <c r="K688" s="697"/>
      <c r="L688" s="696"/>
      <c r="M688" s="198" t="str">
        <f t="shared" si="153"/>
        <v/>
      </c>
      <c r="N688" s="369" t="str">
        <f t="shared" si="154"/>
        <v/>
      </c>
      <c r="O688" s="183" t="str">
        <f t="shared" si="155"/>
        <v/>
      </c>
      <c r="P688" s="199" t="str">
        <f t="shared" si="156"/>
        <v/>
      </c>
      <c r="Q688" s="199" t="str">
        <f>IF(B688="","",IFERROR(IF('עלויות כח אדם (6)'!J688&gt;=VLOOKUP(I688,'סיווג התפקידים והעלויות'!$B$23:$C$32,2,0),"תקין","לא תקין"),""))</f>
        <v/>
      </c>
      <c r="R688" s="199" t="str">
        <f t="shared" si="157"/>
        <v/>
      </c>
      <c r="S688" s="199" t="str">
        <f t="shared" si="158"/>
        <v/>
      </c>
      <c r="T688" s="199" t="str">
        <f t="shared" si="166"/>
        <v/>
      </c>
      <c r="U688" s="199" t="str">
        <f t="shared" si="159"/>
        <v/>
      </c>
      <c r="V688" s="989"/>
      <c r="X688" s="374" t="str">
        <f t="shared" si="160"/>
        <v/>
      </c>
      <c r="Y688" s="375" t="str">
        <f t="shared" si="161"/>
        <v/>
      </c>
      <c r="Z688" s="374" t="str">
        <f t="shared" si="162"/>
        <v/>
      </c>
      <c r="AA688" s="374" t="b">
        <f t="shared" si="163"/>
        <v>1</v>
      </c>
      <c r="AB688" s="374">
        <f>COUNTIFS(B:B,B688,H:H,'סיווג התפקידים והעלויות'!$C$2)</f>
        <v>0</v>
      </c>
      <c r="AC688" s="374">
        <f>COUNTIFS(B:B,B688,H:H,'סיווג התפקידים והעלויות'!$D$2)</f>
        <v>0</v>
      </c>
      <c r="AD688" s="374" t="str">
        <f>IF(OR(AND(H688='סיווג התפקידים והעלויות'!$A$2,I688='סיווג התפקידים והעלויות'!$A$3),'עלויות כח אדם (6)'!H688='סיווג התפקידים והעלויות'!$C$2,'עלויות כח אדם (6)'!H688='סיווג התפקידים והעלויות'!$D$2),IF('עלויות כח אדם (6)'!J688&lt;75,"לא תקין","תקין"),"")</f>
        <v/>
      </c>
      <c r="AE688" s="374" t="str">
        <f t="shared" si="164"/>
        <v/>
      </c>
      <c r="AF688" s="532" t="str">
        <f t="shared" si="165"/>
        <v/>
      </c>
    </row>
    <row r="689" spans="2:32" x14ac:dyDescent="0.25">
      <c r="B689" s="695"/>
      <c r="C689" s="197" t="str">
        <f>IF(B689&lt;&gt;"",IFERROR(VLOOKUP(B:B,'מצבת והרשמה (2)'!$C$20:$N$520,2,0)," ")," ")</f>
        <v xml:space="preserve"> </v>
      </c>
      <c r="D689" s="695"/>
      <c r="E689" s="696"/>
      <c r="F689" s="696"/>
      <c r="G689" s="696"/>
      <c r="H689" s="696"/>
      <c r="I689" s="1050" t="str">
        <f t="shared" si="152"/>
        <v/>
      </c>
      <c r="J689" s="696"/>
      <c r="K689" s="697"/>
      <c r="L689" s="696"/>
      <c r="M689" s="198" t="str">
        <f t="shared" si="153"/>
        <v/>
      </c>
      <c r="N689" s="369" t="str">
        <f t="shared" si="154"/>
        <v/>
      </c>
      <c r="O689" s="183" t="str">
        <f t="shared" si="155"/>
        <v/>
      </c>
      <c r="P689" s="199" t="str">
        <f t="shared" si="156"/>
        <v/>
      </c>
      <c r="Q689" s="199" t="str">
        <f>IF(B689="","",IFERROR(IF('עלויות כח אדם (6)'!J689&gt;=VLOOKUP(I689,'סיווג התפקידים והעלויות'!$B$23:$C$32,2,0),"תקין","לא תקין"),""))</f>
        <v/>
      </c>
      <c r="R689" s="199" t="str">
        <f t="shared" si="157"/>
        <v/>
      </c>
      <c r="S689" s="199" t="str">
        <f t="shared" si="158"/>
        <v/>
      </c>
      <c r="T689" s="199" t="str">
        <f t="shared" si="166"/>
        <v/>
      </c>
      <c r="U689" s="199" t="str">
        <f t="shared" si="159"/>
        <v/>
      </c>
      <c r="V689" s="989"/>
      <c r="X689" s="374" t="str">
        <f t="shared" si="160"/>
        <v/>
      </c>
      <c r="Y689" s="375" t="str">
        <f t="shared" si="161"/>
        <v/>
      </c>
      <c r="Z689" s="374" t="str">
        <f t="shared" si="162"/>
        <v/>
      </c>
      <c r="AA689" s="374" t="b">
        <f t="shared" si="163"/>
        <v>1</v>
      </c>
      <c r="AB689" s="374">
        <f>COUNTIFS(B:B,B689,H:H,'סיווג התפקידים והעלויות'!$C$2)</f>
        <v>0</v>
      </c>
      <c r="AC689" s="374">
        <f>COUNTIFS(B:B,B689,H:H,'סיווג התפקידים והעלויות'!$D$2)</f>
        <v>0</v>
      </c>
      <c r="AD689" s="374" t="str">
        <f>IF(OR(AND(H689='סיווג התפקידים והעלויות'!$A$2,I689='סיווג התפקידים והעלויות'!$A$3),'עלויות כח אדם (6)'!H689='סיווג התפקידים והעלויות'!$C$2,'עלויות כח אדם (6)'!H689='סיווג התפקידים והעלויות'!$D$2),IF('עלויות כח אדם (6)'!J689&lt;75,"לא תקין","תקין"),"")</f>
        <v/>
      </c>
      <c r="AE689" s="374" t="str">
        <f t="shared" si="164"/>
        <v/>
      </c>
      <c r="AF689" s="532" t="str">
        <f t="shared" si="165"/>
        <v/>
      </c>
    </row>
    <row r="690" spans="2:32" x14ac:dyDescent="0.25">
      <c r="B690" s="695"/>
      <c r="C690" s="197" t="str">
        <f>IF(B690&lt;&gt;"",IFERROR(VLOOKUP(B:B,'מצבת והרשמה (2)'!$C$20:$N$520,2,0)," ")," ")</f>
        <v xml:space="preserve"> </v>
      </c>
      <c r="D690" s="695"/>
      <c r="E690" s="696"/>
      <c r="F690" s="696"/>
      <c r="G690" s="696"/>
      <c r="H690" s="696"/>
      <c r="I690" s="1050" t="str">
        <f t="shared" si="152"/>
        <v/>
      </c>
      <c r="J690" s="696"/>
      <c r="K690" s="697"/>
      <c r="L690" s="696"/>
      <c r="M690" s="198" t="str">
        <f t="shared" si="153"/>
        <v/>
      </c>
      <c r="N690" s="369" t="str">
        <f t="shared" si="154"/>
        <v/>
      </c>
      <c r="O690" s="183" t="str">
        <f t="shared" si="155"/>
        <v/>
      </c>
      <c r="P690" s="199" t="str">
        <f t="shared" si="156"/>
        <v/>
      </c>
      <c r="Q690" s="199" t="str">
        <f>IF(B690="","",IFERROR(IF('עלויות כח אדם (6)'!J690&gt;=VLOOKUP(I690,'סיווג התפקידים והעלויות'!$B$23:$C$32,2,0),"תקין","לא תקין"),""))</f>
        <v/>
      </c>
      <c r="R690" s="199" t="str">
        <f t="shared" si="157"/>
        <v/>
      </c>
      <c r="S690" s="199" t="str">
        <f t="shared" si="158"/>
        <v/>
      </c>
      <c r="T690" s="199" t="str">
        <f t="shared" si="166"/>
        <v/>
      </c>
      <c r="U690" s="199" t="str">
        <f t="shared" si="159"/>
        <v/>
      </c>
      <c r="V690" s="989"/>
      <c r="X690" s="374" t="str">
        <f t="shared" si="160"/>
        <v/>
      </c>
      <c r="Y690" s="375" t="str">
        <f t="shared" si="161"/>
        <v/>
      </c>
      <c r="Z690" s="374" t="str">
        <f t="shared" si="162"/>
        <v/>
      </c>
      <c r="AA690" s="374" t="b">
        <f t="shared" si="163"/>
        <v>1</v>
      </c>
      <c r="AB690" s="374">
        <f>COUNTIFS(B:B,B690,H:H,'סיווג התפקידים והעלויות'!$C$2)</f>
        <v>0</v>
      </c>
      <c r="AC690" s="374">
        <f>COUNTIFS(B:B,B690,H:H,'סיווג התפקידים והעלויות'!$D$2)</f>
        <v>0</v>
      </c>
      <c r="AD690" s="374" t="str">
        <f>IF(OR(AND(H690='סיווג התפקידים והעלויות'!$A$2,I690='סיווג התפקידים והעלויות'!$A$3),'עלויות כח אדם (6)'!H690='סיווג התפקידים והעלויות'!$C$2,'עלויות כח אדם (6)'!H690='סיווג התפקידים והעלויות'!$D$2),IF('עלויות כח אדם (6)'!J690&lt;75,"לא תקין","תקין"),"")</f>
        <v/>
      </c>
      <c r="AE690" s="374" t="str">
        <f t="shared" si="164"/>
        <v/>
      </c>
      <c r="AF690" s="532" t="str">
        <f t="shared" si="165"/>
        <v/>
      </c>
    </row>
    <row r="691" spans="2:32" x14ac:dyDescent="0.25">
      <c r="B691" s="695"/>
      <c r="C691" s="197" t="str">
        <f>IF(B691&lt;&gt;"",IFERROR(VLOOKUP(B:B,'מצבת והרשמה (2)'!$C$20:$N$520,2,0)," ")," ")</f>
        <v xml:space="preserve"> </v>
      </c>
      <c r="D691" s="695"/>
      <c r="E691" s="696"/>
      <c r="F691" s="696"/>
      <c r="G691" s="696"/>
      <c r="H691" s="696"/>
      <c r="I691" s="1050" t="str">
        <f t="shared" si="152"/>
        <v/>
      </c>
      <c r="J691" s="696"/>
      <c r="K691" s="697"/>
      <c r="L691" s="696"/>
      <c r="M691" s="198" t="str">
        <f t="shared" si="153"/>
        <v/>
      </c>
      <c r="N691" s="369" t="str">
        <f t="shared" si="154"/>
        <v/>
      </c>
      <c r="O691" s="183" t="str">
        <f t="shared" si="155"/>
        <v/>
      </c>
      <c r="P691" s="199" t="str">
        <f t="shared" si="156"/>
        <v/>
      </c>
      <c r="Q691" s="199" t="str">
        <f>IF(B691="","",IFERROR(IF('עלויות כח אדם (6)'!J691&gt;=VLOOKUP(I691,'סיווג התפקידים והעלויות'!$B$23:$C$32,2,0),"תקין","לא תקין"),""))</f>
        <v/>
      </c>
      <c r="R691" s="199" t="str">
        <f t="shared" si="157"/>
        <v/>
      </c>
      <c r="S691" s="199" t="str">
        <f t="shared" si="158"/>
        <v/>
      </c>
      <c r="T691" s="199" t="str">
        <f t="shared" si="166"/>
        <v/>
      </c>
      <c r="U691" s="199" t="str">
        <f t="shared" si="159"/>
        <v/>
      </c>
      <c r="V691" s="989"/>
      <c r="X691" s="374" t="str">
        <f t="shared" si="160"/>
        <v/>
      </c>
      <c r="Y691" s="375" t="str">
        <f t="shared" si="161"/>
        <v/>
      </c>
      <c r="Z691" s="374" t="str">
        <f t="shared" si="162"/>
        <v/>
      </c>
      <c r="AA691" s="374" t="b">
        <f t="shared" si="163"/>
        <v>1</v>
      </c>
      <c r="AB691" s="374">
        <f>COUNTIFS(B:B,B691,H:H,'סיווג התפקידים והעלויות'!$C$2)</f>
        <v>0</v>
      </c>
      <c r="AC691" s="374">
        <f>COUNTIFS(B:B,B691,H:H,'סיווג התפקידים והעלויות'!$D$2)</f>
        <v>0</v>
      </c>
      <c r="AD691" s="374" t="str">
        <f>IF(OR(AND(H691='סיווג התפקידים והעלויות'!$A$2,I691='סיווג התפקידים והעלויות'!$A$3),'עלויות כח אדם (6)'!H691='סיווג התפקידים והעלויות'!$C$2,'עלויות כח אדם (6)'!H691='סיווג התפקידים והעלויות'!$D$2),IF('עלויות כח אדם (6)'!J691&lt;75,"לא תקין","תקין"),"")</f>
        <v/>
      </c>
      <c r="AE691" s="374" t="str">
        <f t="shared" si="164"/>
        <v/>
      </c>
      <c r="AF691" s="532" t="str">
        <f t="shared" si="165"/>
        <v/>
      </c>
    </row>
    <row r="692" spans="2:32" x14ac:dyDescent="0.25">
      <c r="B692" s="695"/>
      <c r="C692" s="197" t="str">
        <f>IF(B692&lt;&gt;"",IFERROR(VLOOKUP(B:B,'מצבת והרשמה (2)'!$C$20:$N$520,2,0)," ")," ")</f>
        <v xml:space="preserve"> </v>
      </c>
      <c r="D692" s="695"/>
      <c r="E692" s="696"/>
      <c r="F692" s="696"/>
      <c r="G692" s="696"/>
      <c r="H692" s="696"/>
      <c r="I692" s="1050" t="str">
        <f t="shared" si="152"/>
        <v/>
      </c>
      <c r="J692" s="696"/>
      <c r="K692" s="697"/>
      <c r="L692" s="696"/>
      <c r="M692" s="198" t="str">
        <f t="shared" si="153"/>
        <v/>
      </c>
      <c r="N692" s="369" t="str">
        <f t="shared" si="154"/>
        <v/>
      </c>
      <c r="O692" s="183" t="str">
        <f t="shared" si="155"/>
        <v/>
      </c>
      <c r="P692" s="199" t="str">
        <f t="shared" si="156"/>
        <v/>
      </c>
      <c r="Q692" s="199" t="str">
        <f>IF(B692="","",IFERROR(IF('עלויות כח אדם (6)'!J692&gt;=VLOOKUP(I692,'סיווג התפקידים והעלויות'!$B$23:$C$32,2,0),"תקין","לא תקין"),""))</f>
        <v/>
      </c>
      <c r="R692" s="199" t="str">
        <f t="shared" si="157"/>
        <v/>
      </c>
      <c r="S692" s="199" t="str">
        <f t="shared" si="158"/>
        <v/>
      </c>
      <c r="T692" s="199" t="str">
        <f t="shared" si="166"/>
        <v/>
      </c>
      <c r="U692" s="199" t="str">
        <f t="shared" si="159"/>
        <v/>
      </c>
      <c r="V692" s="989"/>
      <c r="X692" s="374" t="str">
        <f t="shared" si="160"/>
        <v/>
      </c>
      <c r="Y692" s="375" t="str">
        <f t="shared" si="161"/>
        <v/>
      </c>
      <c r="Z692" s="374" t="str">
        <f t="shared" si="162"/>
        <v/>
      </c>
      <c r="AA692" s="374" t="b">
        <f t="shared" si="163"/>
        <v>1</v>
      </c>
      <c r="AB692" s="374">
        <f>COUNTIFS(B:B,B692,H:H,'סיווג התפקידים והעלויות'!$C$2)</f>
        <v>0</v>
      </c>
      <c r="AC692" s="374">
        <f>COUNTIFS(B:B,B692,H:H,'סיווג התפקידים והעלויות'!$D$2)</f>
        <v>0</v>
      </c>
      <c r="AD692" s="374" t="str">
        <f>IF(OR(AND(H692='סיווג התפקידים והעלויות'!$A$2,I692='סיווג התפקידים והעלויות'!$A$3),'עלויות כח אדם (6)'!H692='סיווג התפקידים והעלויות'!$C$2,'עלויות כח אדם (6)'!H692='סיווג התפקידים והעלויות'!$D$2),IF('עלויות כח אדם (6)'!J692&lt;75,"לא תקין","תקין"),"")</f>
        <v/>
      </c>
      <c r="AE692" s="374" t="str">
        <f t="shared" si="164"/>
        <v/>
      </c>
      <c r="AF692" s="532" t="str">
        <f t="shared" si="165"/>
        <v/>
      </c>
    </row>
    <row r="693" spans="2:32" x14ac:dyDescent="0.25">
      <c r="B693" s="695"/>
      <c r="C693" s="197" t="str">
        <f>IF(B693&lt;&gt;"",IFERROR(VLOOKUP(B:B,'מצבת והרשמה (2)'!$C$20:$N$520,2,0)," ")," ")</f>
        <v xml:space="preserve"> </v>
      </c>
      <c r="D693" s="695"/>
      <c r="E693" s="696"/>
      <c r="F693" s="696"/>
      <c r="G693" s="696"/>
      <c r="H693" s="696"/>
      <c r="I693" s="1050" t="str">
        <f t="shared" si="152"/>
        <v/>
      </c>
      <c r="J693" s="696"/>
      <c r="K693" s="697"/>
      <c r="L693" s="696"/>
      <c r="M693" s="198" t="str">
        <f t="shared" si="153"/>
        <v/>
      </c>
      <c r="N693" s="369" t="str">
        <f t="shared" si="154"/>
        <v/>
      </c>
      <c r="O693" s="183" t="str">
        <f t="shared" si="155"/>
        <v/>
      </c>
      <c r="P693" s="199" t="str">
        <f t="shared" si="156"/>
        <v/>
      </c>
      <c r="Q693" s="199" t="str">
        <f>IF(B693="","",IFERROR(IF('עלויות כח אדם (6)'!J693&gt;=VLOOKUP(I693,'סיווג התפקידים והעלויות'!$B$23:$C$32,2,0),"תקין","לא תקין"),""))</f>
        <v/>
      </c>
      <c r="R693" s="199" t="str">
        <f t="shared" si="157"/>
        <v/>
      </c>
      <c r="S693" s="199" t="str">
        <f t="shared" si="158"/>
        <v/>
      </c>
      <c r="T693" s="199" t="str">
        <f t="shared" si="166"/>
        <v/>
      </c>
      <c r="U693" s="199" t="str">
        <f t="shared" si="159"/>
        <v/>
      </c>
      <c r="V693" s="989"/>
      <c r="X693" s="374" t="str">
        <f t="shared" si="160"/>
        <v/>
      </c>
      <c r="Y693" s="375" t="str">
        <f t="shared" si="161"/>
        <v/>
      </c>
      <c r="Z693" s="374" t="str">
        <f t="shared" si="162"/>
        <v/>
      </c>
      <c r="AA693" s="374" t="b">
        <f t="shared" si="163"/>
        <v>1</v>
      </c>
      <c r="AB693" s="374">
        <f>COUNTIFS(B:B,B693,H:H,'סיווג התפקידים והעלויות'!$C$2)</f>
        <v>0</v>
      </c>
      <c r="AC693" s="374">
        <f>COUNTIFS(B:B,B693,H:H,'סיווג התפקידים והעלויות'!$D$2)</f>
        <v>0</v>
      </c>
      <c r="AD693" s="374" t="str">
        <f>IF(OR(AND(H693='סיווג התפקידים והעלויות'!$A$2,I693='סיווג התפקידים והעלויות'!$A$3),'עלויות כח אדם (6)'!H693='סיווג התפקידים והעלויות'!$C$2,'עלויות כח אדם (6)'!H693='סיווג התפקידים והעלויות'!$D$2),IF('עלויות כח אדם (6)'!J693&lt;75,"לא תקין","תקין"),"")</f>
        <v/>
      </c>
      <c r="AE693" s="374" t="str">
        <f t="shared" si="164"/>
        <v/>
      </c>
      <c r="AF693" s="532" t="str">
        <f t="shared" si="165"/>
        <v/>
      </c>
    </row>
    <row r="694" spans="2:32" x14ac:dyDescent="0.25">
      <c r="B694" s="695"/>
      <c r="C694" s="197" t="str">
        <f>IF(B694&lt;&gt;"",IFERROR(VLOOKUP(B:B,'מצבת והרשמה (2)'!$C$20:$N$520,2,0)," ")," ")</f>
        <v xml:space="preserve"> </v>
      </c>
      <c r="D694" s="695"/>
      <c r="E694" s="696"/>
      <c r="F694" s="696"/>
      <c r="G694" s="696"/>
      <c r="H694" s="696"/>
      <c r="I694" s="1050" t="str">
        <f t="shared" si="152"/>
        <v/>
      </c>
      <c r="J694" s="696"/>
      <c r="K694" s="697"/>
      <c r="L694" s="696"/>
      <c r="M694" s="198" t="str">
        <f t="shared" si="153"/>
        <v/>
      </c>
      <c r="N694" s="369" t="str">
        <f t="shared" si="154"/>
        <v/>
      </c>
      <c r="O694" s="183" t="str">
        <f t="shared" si="155"/>
        <v/>
      </c>
      <c r="P694" s="199" t="str">
        <f t="shared" si="156"/>
        <v/>
      </c>
      <c r="Q694" s="199" t="str">
        <f>IF(B694="","",IFERROR(IF('עלויות כח אדם (6)'!J694&gt;=VLOOKUP(I694,'סיווג התפקידים והעלויות'!$B$23:$C$32,2,0),"תקין","לא תקין"),""))</f>
        <v/>
      </c>
      <c r="R694" s="199" t="str">
        <f t="shared" si="157"/>
        <v/>
      </c>
      <c r="S694" s="199" t="str">
        <f t="shared" si="158"/>
        <v/>
      </c>
      <c r="T694" s="199" t="str">
        <f t="shared" si="166"/>
        <v/>
      </c>
      <c r="U694" s="199" t="str">
        <f t="shared" si="159"/>
        <v/>
      </c>
      <c r="V694" s="989"/>
      <c r="X694" s="374" t="str">
        <f t="shared" si="160"/>
        <v/>
      </c>
      <c r="Y694" s="375" t="str">
        <f t="shared" si="161"/>
        <v/>
      </c>
      <c r="Z694" s="374" t="str">
        <f t="shared" si="162"/>
        <v/>
      </c>
      <c r="AA694" s="374" t="b">
        <f t="shared" si="163"/>
        <v>1</v>
      </c>
      <c r="AB694" s="374">
        <f>COUNTIFS(B:B,B694,H:H,'סיווג התפקידים והעלויות'!$C$2)</f>
        <v>0</v>
      </c>
      <c r="AC694" s="374">
        <f>COUNTIFS(B:B,B694,H:H,'סיווג התפקידים והעלויות'!$D$2)</f>
        <v>0</v>
      </c>
      <c r="AD694" s="374" t="str">
        <f>IF(OR(AND(H694='סיווג התפקידים והעלויות'!$A$2,I694='סיווג התפקידים והעלויות'!$A$3),'עלויות כח אדם (6)'!H694='סיווג התפקידים והעלויות'!$C$2,'עלויות כח אדם (6)'!H694='סיווג התפקידים והעלויות'!$D$2),IF('עלויות כח אדם (6)'!J694&lt;75,"לא תקין","תקין"),"")</f>
        <v/>
      </c>
      <c r="AE694" s="374" t="str">
        <f t="shared" si="164"/>
        <v/>
      </c>
      <c r="AF694" s="532" t="str">
        <f t="shared" si="165"/>
        <v/>
      </c>
    </row>
    <row r="695" spans="2:32" x14ac:dyDescent="0.25">
      <c r="B695" s="695"/>
      <c r="C695" s="197" t="str">
        <f>IF(B695&lt;&gt;"",IFERROR(VLOOKUP(B:B,'מצבת והרשמה (2)'!$C$20:$N$520,2,0)," ")," ")</f>
        <v xml:space="preserve"> </v>
      </c>
      <c r="D695" s="695"/>
      <c r="E695" s="696"/>
      <c r="F695" s="696"/>
      <c r="G695" s="696"/>
      <c r="H695" s="696"/>
      <c r="I695" s="1050" t="str">
        <f t="shared" si="152"/>
        <v/>
      </c>
      <c r="J695" s="696"/>
      <c r="K695" s="697"/>
      <c r="L695" s="696"/>
      <c r="M695" s="198" t="str">
        <f t="shared" si="153"/>
        <v/>
      </c>
      <c r="N695" s="369" t="str">
        <f t="shared" si="154"/>
        <v/>
      </c>
      <c r="O695" s="183" t="str">
        <f t="shared" si="155"/>
        <v/>
      </c>
      <c r="P695" s="199" t="str">
        <f t="shared" si="156"/>
        <v/>
      </c>
      <c r="Q695" s="199" t="str">
        <f>IF(B695="","",IFERROR(IF('עלויות כח אדם (6)'!J695&gt;=VLOOKUP(I695,'סיווג התפקידים והעלויות'!$B$23:$C$32,2,0),"תקין","לא תקין"),""))</f>
        <v/>
      </c>
      <c r="R695" s="199" t="str">
        <f t="shared" si="157"/>
        <v/>
      </c>
      <c r="S695" s="199" t="str">
        <f t="shared" si="158"/>
        <v/>
      </c>
      <c r="T695" s="199" t="str">
        <f t="shared" si="166"/>
        <v/>
      </c>
      <c r="U695" s="199" t="str">
        <f t="shared" si="159"/>
        <v/>
      </c>
      <c r="V695" s="989"/>
      <c r="X695" s="374" t="str">
        <f t="shared" si="160"/>
        <v/>
      </c>
      <c r="Y695" s="375" t="str">
        <f t="shared" si="161"/>
        <v/>
      </c>
      <c r="Z695" s="374" t="str">
        <f t="shared" si="162"/>
        <v/>
      </c>
      <c r="AA695" s="374" t="b">
        <f t="shared" si="163"/>
        <v>1</v>
      </c>
      <c r="AB695" s="374">
        <f>COUNTIFS(B:B,B695,H:H,'סיווג התפקידים והעלויות'!$C$2)</f>
        <v>0</v>
      </c>
      <c r="AC695" s="374">
        <f>COUNTIFS(B:B,B695,H:H,'סיווג התפקידים והעלויות'!$D$2)</f>
        <v>0</v>
      </c>
      <c r="AD695" s="374" t="str">
        <f>IF(OR(AND(H695='סיווג התפקידים והעלויות'!$A$2,I695='סיווג התפקידים והעלויות'!$A$3),'עלויות כח אדם (6)'!H695='סיווג התפקידים והעלויות'!$C$2,'עלויות כח אדם (6)'!H695='סיווג התפקידים והעלויות'!$D$2),IF('עלויות כח אדם (6)'!J695&lt;75,"לא תקין","תקין"),"")</f>
        <v/>
      </c>
      <c r="AE695" s="374" t="str">
        <f t="shared" si="164"/>
        <v/>
      </c>
      <c r="AF695" s="532" t="str">
        <f t="shared" si="165"/>
        <v/>
      </c>
    </row>
    <row r="696" spans="2:32" x14ac:dyDescent="0.25">
      <c r="B696" s="695"/>
      <c r="C696" s="197" t="str">
        <f>IF(B696&lt;&gt;"",IFERROR(VLOOKUP(B:B,'מצבת והרשמה (2)'!$C$20:$N$520,2,0)," ")," ")</f>
        <v xml:space="preserve"> </v>
      </c>
      <c r="D696" s="695"/>
      <c r="E696" s="696"/>
      <c r="F696" s="696"/>
      <c r="G696" s="696"/>
      <c r="H696" s="696"/>
      <c r="I696" s="1050" t="str">
        <f t="shared" si="152"/>
        <v/>
      </c>
      <c r="J696" s="696"/>
      <c r="K696" s="697"/>
      <c r="L696" s="696"/>
      <c r="M696" s="198" t="str">
        <f t="shared" si="153"/>
        <v/>
      </c>
      <c r="N696" s="369" t="str">
        <f t="shared" si="154"/>
        <v/>
      </c>
      <c r="O696" s="183" t="str">
        <f t="shared" si="155"/>
        <v/>
      </c>
      <c r="P696" s="199" t="str">
        <f t="shared" si="156"/>
        <v/>
      </c>
      <c r="Q696" s="199" t="str">
        <f>IF(B696="","",IFERROR(IF('עלויות כח אדם (6)'!J696&gt;=VLOOKUP(I696,'סיווג התפקידים והעלויות'!$B$23:$C$32,2,0),"תקין","לא תקין"),""))</f>
        <v/>
      </c>
      <c r="R696" s="199" t="str">
        <f t="shared" si="157"/>
        <v/>
      </c>
      <c r="S696" s="199" t="str">
        <f t="shared" si="158"/>
        <v/>
      </c>
      <c r="T696" s="199" t="str">
        <f t="shared" si="166"/>
        <v/>
      </c>
      <c r="U696" s="199" t="str">
        <f t="shared" si="159"/>
        <v/>
      </c>
      <c r="V696" s="989"/>
      <c r="X696" s="374" t="str">
        <f t="shared" si="160"/>
        <v/>
      </c>
      <c r="Y696" s="375" t="str">
        <f t="shared" si="161"/>
        <v/>
      </c>
      <c r="Z696" s="374" t="str">
        <f t="shared" si="162"/>
        <v/>
      </c>
      <c r="AA696" s="374" t="b">
        <f t="shared" si="163"/>
        <v>1</v>
      </c>
      <c r="AB696" s="374">
        <f>COUNTIFS(B:B,B696,H:H,'סיווג התפקידים והעלויות'!$C$2)</f>
        <v>0</v>
      </c>
      <c r="AC696" s="374">
        <f>COUNTIFS(B:B,B696,H:H,'סיווג התפקידים והעלויות'!$D$2)</f>
        <v>0</v>
      </c>
      <c r="AD696" s="374" t="str">
        <f>IF(OR(AND(H696='סיווג התפקידים והעלויות'!$A$2,I696='סיווג התפקידים והעלויות'!$A$3),'עלויות כח אדם (6)'!H696='סיווג התפקידים והעלויות'!$C$2,'עלויות כח אדם (6)'!H696='סיווג התפקידים והעלויות'!$D$2),IF('עלויות כח אדם (6)'!J696&lt;75,"לא תקין","תקין"),"")</f>
        <v/>
      </c>
      <c r="AE696" s="374" t="str">
        <f t="shared" si="164"/>
        <v/>
      </c>
      <c r="AF696" s="532" t="str">
        <f t="shared" si="165"/>
        <v/>
      </c>
    </row>
    <row r="697" spans="2:32" x14ac:dyDescent="0.25">
      <c r="B697" s="695"/>
      <c r="C697" s="197" t="str">
        <f>IF(B697&lt;&gt;"",IFERROR(VLOOKUP(B:B,'מצבת והרשמה (2)'!$C$20:$N$520,2,0)," ")," ")</f>
        <v xml:space="preserve"> </v>
      </c>
      <c r="D697" s="695"/>
      <c r="E697" s="696"/>
      <c r="F697" s="696"/>
      <c r="G697" s="696"/>
      <c r="H697" s="696"/>
      <c r="I697" s="1050" t="str">
        <f t="shared" si="152"/>
        <v/>
      </c>
      <c r="J697" s="696"/>
      <c r="K697" s="697"/>
      <c r="L697" s="696"/>
      <c r="M697" s="198" t="str">
        <f t="shared" si="153"/>
        <v/>
      </c>
      <c r="N697" s="369" t="str">
        <f t="shared" si="154"/>
        <v/>
      </c>
      <c r="O697" s="183" t="str">
        <f t="shared" si="155"/>
        <v/>
      </c>
      <c r="P697" s="199" t="str">
        <f t="shared" si="156"/>
        <v/>
      </c>
      <c r="Q697" s="199" t="str">
        <f>IF(B697="","",IFERROR(IF('עלויות כח אדם (6)'!J697&gt;=VLOOKUP(I697,'סיווג התפקידים והעלויות'!$B$23:$C$32,2,0),"תקין","לא תקין"),""))</f>
        <v/>
      </c>
      <c r="R697" s="199" t="str">
        <f t="shared" si="157"/>
        <v/>
      </c>
      <c r="S697" s="199" t="str">
        <f t="shared" si="158"/>
        <v/>
      </c>
      <c r="T697" s="199" t="str">
        <f t="shared" si="166"/>
        <v/>
      </c>
      <c r="U697" s="199" t="str">
        <f t="shared" si="159"/>
        <v/>
      </c>
      <c r="V697" s="989"/>
      <c r="X697" s="374" t="str">
        <f t="shared" si="160"/>
        <v/>
      </c>
      <c r="Y697" s="375" t="str">
        <f t="shared" si="161"/>
        <v/>
      </c>
      <c r="Z697" s="374" t="str">
        <f t="shared" si="162"/>
        <v/>
      </c>
      <c r="AA697" s="374" t="b">
        <f t="shared" si="163"/>
        <v>1</v>
      </c>
      <c r="AB697" s="374">
        <f>COUNTIFS(B:B,B697,H:H,'סיווג התפקידים והעלויות'!$C$2)</f>
        <v>0</v>
      </c>
      <c r="AC697" s="374">
        <f>COUNTIFS(B:B,B697,H:H,'סיווג התפקידים והעלויות'!$D$2)</f>
        <v>0</v>
      </c>
      <c r="AD697" s="374" t="str">
        <f>IF(OR(AND(H697='סיווג התפקידים והעלויות'!$A$2,I697='סיווג התפקידים והעלויות'!$A$3),'עלויות כח אדם (6)'!H697='סיווג התפקידים והעלויות'!$C$2,'עלויות כח אדם (6)'!H697='סיווג התפקידים והעלויות'!$D$2),IF('עלויות כח אדם (6)'!J697&lt;75,"לא תקין","תקין"),"")</f>
        <v/>
      </c>
      <c r="AE697" s="374" t="str">
        <f t="shared" si="164"/>
        <v/>
      </c>
      <c r="AF697" s="532" t="str">
        <f t="shared" si="165"/>
        <v/>
      </c>
    </row>
    <row r="698" spans="2:32" x14ac:dyDescent="0.25">
      <c r="B698" s="695"/>
      <c r="C698" s="197" t="str">
        <f>IF(B698&lt;&gt;"",IFERROR(VLOOKUP(B:B,'מצבת והרשמה (2)'!$C$20:$N$520,2,0)," ")," ")</f>
        <v xml:space="preserve"> </v>
      </c>
      <c r="D698" s="695"/>
      <c r="E698" s="696"/>
      <c r="F698" s="696"/>
      <c r="G698" s="696"/>
      <c r="H698" s="696"/>
      <c r="I698" s="1050" t="str">
        <f t="shared" si="152"/>
        <v/>
      </c>
      <c r="J698" s="696"/>
      <c r="K698" s="697"/>
      <c r="L698" s="696"/>
      <c r="M698" s="198" t="str">
        <f t="shared" si="153"/>
        <v/>
      </c>
      <c r="N698" s="369" t="str">
        <f t="shared" si="154"/>
        <v/>
      </c>
      <c r="O698" s="183" t="str">
        <f t="shared" si="155"/>
        <v/>
      </c>
      <c r="P698" s="199" t="str">
        <f t="shared" si="156"/>
        <v/>
      </c>
      <c r="Q698" s="199" t="str">
        <f>IF(B698="","",IFERROR(IF('עלויות כח אדם (6)'!J698&gt;=VLOOKUP(I698,'סיווג התפקידים והעלויות'!$B$23:$C$32,2,0),"תקין","לא תקין"),""))</f>
        <v/>
      </c>
      <c r="R698" s="199" t="str">
        <f t="shared" si="157"/>
        <v/>
      </c>
      <c r="S698" s="199" t="str">
        <f t="shared" si="158"/>
        <v/>
      </c>
      <c r="T698" s="199" t="str">
        <f t="shared" si="166"/>
        <v/>
      </c>
      <c r="U698" s="199" t="str">
        <f t="shared" si="159"/>
        <v/>
      </c>
      <c r="V698" s="989"/>
      <c r="X698" s="374" t="str">
        <f t="shared" si="160"/>
        <v/>
      </c>
      <c r="Y698" s="375" t="str">
        <f t="shared" si="161"/>
        <v/>
      </c>
      <c r="Z698" s="374" t="str">
        <f t="shared" si="162"/>
        <v/>
      </c>
      <c r="AA698" s="374" t="b">
        <f t="shared" si="163"/>
        <v>1</v>
      </c>
      <c r="AB698" s="374">
        <f>COUNTIFS(B:B,B698,H:H,'סיווג התפקידים והעלויות'!$C$2)</f>
        <v>0</v>
      </c>
      <c r="AC698" s="374">
        <f>COUNTIFS(B:B,B698,H:H,'סיווג התפקידים והעלויות'!$D$2)</f>
        <v>0</v>
      </c>
      <c r="AD698" s="374" t="str">
        <f>IF(OR(AND(H698='סיווג התפקידים והעלויות'!$A$2,I698='סיווג התפקידים והעלויות'!$A$3),'עלויות כח אדם (6)'!H698='סיווג התפקידים והעלויות'!$C$2,'עלויות כח אדם (6)'!H698='סיווג התפקידים והעלויות'!$D$2),IF('עלויות כח אדם (6)'!J698&lt;75,"לא תקין","תקין"),"")</f>
        <v/>
      </c>
      <c r="AE698" s="374" t="str">
        <f t="shared" si="164"/>
        <v/>
      </c>
      <c r="AF698" s="532" t="str">
        <f t="shared" si="165"/>
        <v/>
      </c>
    </row>
    <row r="699" spans="2:32" x14ac:dyDescent="0.25">
      <c r="B699" s="695"/>
      <c r="C699" s="197" t="str">
        <f>IF(B699&lt;&gt;"",IFERROR(VLOOKUP(B:B,'מצבת והרשמה (2)'!$C$20:$N$520,2,0)," ")," ")</f>
        <v xml:space="preserve"> </v>
      </c>
      <c r="D699" s="695"/>
      <c r="E699" s="696"/>
      <c r="F699" s="696"/>
      <c r="G699" s="696"/>
      <c r="H699" s="696"/>
      <c r="I699" s="1050" t="str">
        <f t="shared" si="152"/>
        <v/>
      </c>
      <c r="J699" s="696"/>
      <c r="K699" s="697"/>
      <c r="L699" s="696"/>
      <c r="M699" s="198" t="str">
        <f t="shared" si="153"/>
        <v/>
      </c>
      <c r="N699" s="369" t="str">
        <f t="shared" si="154"/>
        <v/>
      </c>
      <c r="O699" s="183" t="str">
        <f t="shared" si="155"/>
        <v/>
      </c>
      <c r="P699" s="199" t="str">
        <f t="shared" si="156"/>
        <v/>
      </c>
      <c r="Q699" s="199" t="str">
        <f>IF(B699="","",IFERROR(IF('עלויות כח אדם (6)'!J699&gt;=VLOOKUP(I699,'סיווג התפקידים והעלויות'!$B$23:$C$32,2,0),"תקין","לא תקין"),""))</f>
        <v/>
      </c>
      <c r="R699" s="199" t="str">
        <f t="shared" si="157"/>
        <v/>
      </c>
      <c r="S699" s="199" t="str">
        <f t="shared" si="158"/>
        <v/>
      </c>
      <c r="T699" s="199" t="str">
        <f t="shared" si="166"/>
        <v/>
      </c>
      <c r="U699" s="199" t="str">
        <f t="shared" si="159"/>
        <v/>
      </c>
      <c r="V699" s="989"/>
      <c r="X699" s="374" t="str">
        <f t="shared" si="160"/>
        <v/>
      </c>
      <c r="Y699" s="375" t="str">
        <f t="shared" si="161"/>
        <v/>
      </c>
      <c r="Z699" s="374" t="str">
        <f t="shared" si="162"/>
        <v/>
      </c>
      <c r="AA699" s="374" t="b">
        <f t="shared" si="163"/>
        <v>1</v>
      </c>
      <c r="AB699" s="374">
        <f>COUNTIFS(B:B,B699,H:H,'סיווג התפקידים והעלויות'!$C$2)</f>
        <v>0</v>
      </c>
      <c r="AC699" s="374">
        <f>COUNTIFS(B:B,B699,H:H,'סיווג התפקידים והעלויות'!$D$2)</f>
        <v>0</v>
      </c>
      <c r="AD699" s="374" t="str">
        <f>IF(OR(AND(H699='סיווג התפקידים והעלויות'!$A$2,I699='סיווג התפקידים והעלויות'!$A$3),'עלויות כח אדם (6)'!H699='סיווג התפקידים והעלויות'!$C$2,'עלויות כח אדם (6)'!H699='סיווג התפקידים והעלויות'!$D$2),IF('עלויות כח אדם (6)'!J699&lt;75,"לא תקין","תקין"),"")</f>
        <v/>
      </c>
      <c r="AE699" s="374" t="str">
        <f t="shared" si="164"/>
        <v/>
      </c>
      <c r="AF699" s="532" t="str">
        <f t="shared" si="165"/>
        <v/>
      </c>
    </row>
    <row r="700" spans="2:32" x14ac:dyDescent="0.25">
      <c r="B700" s="695"/>
      <c r="C700" s="197" t="str">
        <f>IF(B700&lt;&gt;"",IFERROR(VLOOKUP(B:B,'מצבת והרשמה (2)'!$C$20:$N$520,2,0)," ")," ")</f>
        <v xml:space="preserve"> </v>
      </c>
      <c r="D700" s="695"/>
      <c r="E700" s="696"/>
      <c r="F700" s="696"/>
      <c r="G700" s="696"/>
      <c r="H700" s="696"/>
      <c r="I700" s="1050" t="str">
        <f t="shared" si="152"/>
        <v/>
      </c>
      <c r="J700" s="696"/>
      <c r="K700" s="697"/>
      <c r="L700" s="696"/>
      <c r="M700" s="198" t="str">
        <f t="shared" si="153"/>
        <v/>
      </c>
      <c r="N700" s="369" t="str">
        <f t="shared" si="154"/>
        <v/>
      </c>
      <c r="O700" s="183" t="str">
        <f t="shared" si="155"/>
        <v/>
      </c>
      <c r="P700" s="199" t="str">
        <f t="shared" si="156"/>
        <v/>
      </c>
      <c r="Q700" s="199" t="str">
        <f>IF(B700="","",IFERROR(IF('עלויות כח אדם (6)'!J700&gt;=VLOOKUP(I700,'סיווג התפקידים והעלויות'!$B$23:$C$32,2,0),"תקין","לא תקין"),""))</f>
        <v/>
      </c>
      <c r="R700" s="199" t="str">
        <f t="shared" si="157"/>
        <v/>
      </c>
      <c r="S700" s="199" t="str">
        <f t="shared" si="158"/>
        <v/>
      </c>
      <c r="T700" s="199" t="str">
        <f t="shared" si="166"/>
        <v/>
      </c>
      <c r="U700" s="199" t="str">
        <f t="shared" si="159"/>
        <v/>
      </c>
      <c r="V700" s="989"/>
      <c r="X700" s="374" t="str">
        <f t="shared" si="160"/>
        <v/>
      </c>
      <c r="Y700" s="375" t="str">
        <f t="shared" si="161"/>
        <v/>
      </c>
      <c r="Z700" s="374" t="str">
        <f t="shared" si="162"/>
        <v/>
      </c>
      <c r="AA700" s="374" t="b">
        <f t="shared" si="163"/>
        <v>1</v>
      </c>
      <c r="AB700" s="374">
        <f>COUNTIFS(B:B,B700,H:H,'סיווג התפקידים והעלויות'!$C$2)</f>
        <v>0</v>
      </c>
      <c r="AC700" s="374">
        <f>COUNTIFS(B:B,B700,H:H,'סיווג התפקידים והעלויות'!$D$2)</f>
        <v>0</v>
      </c>
      <c r="AD700" s="374" t="str">
        <f>IF(OR(AND(H700='סיווג התפקידים והעלויות'!$A$2,I700='סיווג התפקידים והעלויות'!$A$3),'עלויות כח אדם (6)'!H700='סיווג התפקידים והעלויות'!$C$2,'עלויות כח אדם (6)'!H700='סיווג התפקידים והעלויות'!$D$2),IF('עלויות כח אדם (6)'!J700&lt;75,"לא תקין","תקין"),"")</f>
        <v/>
      </c>
      <c r="AE700" s="374" t="str">
        <f t="shared" si="164"/>
        <v/>
      </c>
      <c r="AF700" s="532" t="str">
        <f t="shared" si="165"/>
        <v/>
      </c>
    </row>
    <row r="701" spans="2:32" x14ac:dyDescent="0.25">
      <c r="B701" s="695"/>
      <c r="C701" s="197" t="str">
        <f>IF(B701&lt;&gt;"",IFERROR(VLOOKUP(B:B,'מצבת והרשמה (2)'!$C$20:$N$520,2,0)," ")," ")</f>
        <v xml:space="preserve"> </v>
      </c>
      <c r="D701" s="695"/>
      <c r="E701" s="696"/>
      <c r="F701" s="696"/>
      <c r="G701" s="696"/>
      <c r="H701" s="696"/>
      <c r="I701" s="1050" t="str">
        <f t="shared" si="152"/>
        <v/>
      </c>
      <c r="J701" s="696"/>
      <c r="K701" s="697"/>
      <c r="L701" s="696"/>
      <c r="M701" s="198" t="str">
        <f t="shared" si="153"/>
        <v/>
      </c>
      <c r="N701" s="369" t="str">
        <f t="shared" si="154"/>
        <v/>
      </c>
      <c r="O701" s="183" t="str">
        <f t="shared" si="155"/>
        <v/>
      </c>
      <c r="P701" s="199" t="str">
        <f t="shared" si="156"/>
        <v/>
      </c>
      <c r="Q701" s="199" t="str">
        <f>IF(B701="","",IFERROR(IF('עלויות כח אדם (6)'!J701&gt;=VLOOKUP(I701,'סיווג התפקידים והעלויות'!$B$23:$C$32,2,0),"תקין","לא תקין"),""))</f>
        <v/>
      </c>
      <c r="R701" s="199" t="str">
        <f t="shared" si="157"/>
        <v/>
      </c>
      <c r="S701" s="199" t="str">
        <f t="shared" si="158"/>
        <v/>
      </c>
      <c r="T701" s="199" t="str">
        <f t="shared" si="166"/>
        <v/>
      </c>
      <c r="U701" s="199" t="str">
        <f t="shared" si="159"/>
        <v/>
      </c>
      <c r="V701" s="989"/>
      <c r="X701" s="374" t="str">
        <f t="shared" si="160"/>
        <v/>
      </c>
      <c r="Y701" s="375" t="str">
        <f t="shared" si="161"/>
        <v/>
      </c>
      <c r="Z701" s="374" t="str">
        <f t="shared" si="162"/>
        <v/>
      </c>
      <c r="AA701" s="374" t="b">
        <f t="shared" si="163"/>
        <v>1</v>
      </c>
      <c r="AB701" s="374">
        <f>COUNTIFS(B:B,B701,H:H,'סיווג התפקידים והעלויות'!$C$2)</f>
        <v>0</v>
      </c>
      <c r="AC701" s="374">
        <f>COUNTIFS(B:B,B701,H:H,'סיווג התפקידים והעלויות'!$D$2)</f>
        <v>0</v>
      </c>
      <c r="AD701" s="374" t="str">
        <f>IF(OR(AND(H701='סיווג התפקידים והעלויות'!$A$2,I701='סיווג התפקידים והעלויות'!$A$3),'עלויות כח אדם (6)'!H701='סיווג התפקידים והעלויות'!$C$2,'עלויות כח אדם (6)'!H701='סיווג התפקידים והעלויות'!$D$2),IF('עלויות כח אדם (6)'!J701&lt;75,"לא תקין","תקין"),"")</f>
        <v/>
      </c>
      <c r="AE701" s="374" t="str">
        <f t="shared" si="164"/>
        <v/>
      </c>
      <c r="AF701" s="532" t="str">
        <f t="shared" si="165"/>
        <v/>
      </c>
    </row>
    <row r="702" spans="2:32" x14ac:dyDescent="0.25">
      <c r="B702" s="695"/>
      <c r="C702" s="197" t="str">
        <f>IF(B702&lt;&gt;"",IFERROR(VLOOKUP(B:B,'מצבת והרשמה (2)'!$C$20:$N$520,2,0)," ")," ")</f>
        <v xml:space="preserve"> </v>
      </c>
      <c r="D702" s="695"/>
      <c r="E702" s="696"/>
      <c r="F702" s="696"/>
      <c r="G702" s="696"/>
      <c r="H702" s="696"/>
      <c r="I702" s="1050" t="str">
        <f t="shared" si="152"/>
        <v/>
      </c>
      <c r="J702" s="696"/>
      <c r="K702" s="697"/>
      <c r="L702" s="696"/>
      <c r="M702" s="198" t="str">
        <f t="shared" si="153"/>
        <v/>
      </c>
      <c r="N702" s="369" t="str">
        <f t="shared" si="154"/>
        <v/>
      </c>
      <c r="O702" s="183" t="str">
        <f t="shared" si="155"/>
        <v/>
      </c>
      <c r="P702" s="199" t="str">
        <f t="shared" si="156"/>
        <v/>
      </c>
      <c r="Q702" s="199" t="str">
        <f>IF(B702="","",IFERROR(IF('עלויות כח אדם (6)'!J702&gt;=VLOOKUP(I702,'סיווג התפקידים והעלויות'!$B$23:$C$32,2,0),"תקין","לא תקין"),""))</f>
        <v/>
      </c>
      <c r="R702" s="199" t="str">
        <f t="shared" si="157"/>
        <v/>
      </c>
      <c r="S702" s="199" t="str">
        <f t="shared" si="158"/>
        <v/>
      </c>
      <c r="T702" s="199" t="str">
        <f t="shared" si="166"/>
        <v/>
      </c>
      <c r="U702" s="199" t="str">
        <f t="shared" si="159"/>
        <v/>
      </c>
      <c r="V702" s="989"/>
      <c r="X702" s="374" t="str">
        <f t="shared" si="160"/>
        <v/>
      </c>
      <c r="Y702" s="375" t="str">
        <f t="shared" si="161"/>
        <v/>
      </c>
      <c r="Z702" s="374" t="str">
        <f t="shared" si="162"/>
        <v/>
      </c>
      <c r="AA702" s="374" t="b">
        <f t="shared" si="163"/>
        <v>1</v>
      </c>
      <c r="AB702" s="374">
        <f>COUNTIFS(B:B,B702,H:H,'סיווג התפקידים והעלויות'!$C$2)</f>
        <v>0</v>
      </c>
      <c r="AC702" s="374">
        <f>COUNTIFS(B:B,B702,H:H,'סיווג התפקידים והעלויות'!$D$2)</f>
        <v>0</v>
      </c>
      <c r="AD702" s="374" t="str">
        <f>IF(OR(AND(H702='סיווג התפקידים והעלויות'!$A$2,I702='סיווג התפקידים והעלויות'!$A$3),'עלויות כח אדם (6)'!H702='סיווג התפקידים והעלויות'!$C$2,'עלויות כח אדם (6)'!H702='סיווג התפקידים והעלויות'!$D$2),IF('עלויות כח אדם (6)'!J702&lt;75,"לא תקין","תקין"),"")</f>
        <v/>
      </c>
      <c r="AE702" s="374" t="str">
        <f t="shared" si="164"/>
        <v/>
      </c>
      <c r="AF702" s="532" t="str">
        <f t="shared" si="165"/>
        <v/>
      </c>
    </row>
    <row r="703" spans="2:32" x14ac:dyDescent="0.25">
      <c r="B703" s="695"/>
      <c r="C703" s="197" t="str">
        <f>IF(B703&lt;&gt;"",IFERROR(VLOOKUP(B:B,'מצבת והרשמה (2)'!$C$20:$N$520,2,0)," ")," ")</f>
        <v xml:space="preserve"> </v>
      </c>
      <c r="D703" s="695"/>
      <c r="E703" s="696"/>
      <c r="F703" s="696"/>
      <c r="G703" s="696"/>
      <c r="H703" s="696"/>
      <c r="I703" s="1050" t="str">
        <f t="shared" si="152"/>
        <v/>
      </c>
      <c r="J703" s="696"/>
      <c r="K703" s="697"/>
      <c r="L703" s="696"/>
      <c r="M703" s="198" t="str">
        <f t="shared" si="153"/>
        <v/>
      </c>
      <c r="N703" s="369" t="str">
        <f t="shared" si="154"/>
        <v/>
      </c>
      <c r="O703" s="183" t="str">
        <f t="shared" si="155"/>
        <v/>
      </c>
      <c r="P703" s="199" t="str">
        <f t="shared" si="156"/>
        <v/>
      </c>
      <c r="Q703" s="199" t="str">
        <f>IF(B703="","",IFERROR(IF('עלויות כח אדם (6)'!J703&gt;=VLOOKUP(I703,'סיווג התפקידים והעלויות'!$B$23:$C$32,2,0),"תקין","לא תקין"),""))</f>
        <v/>
      </c>
      <c r="R703" s="199" t="str">
        <f t="shared" si="157"/>
        <v/>
      </c>
      <c r="S703" s="199" t="str">
        <f t="shared" si="158"/>
        <v/>
      </c>
      <c r="T703" s="199" t="str">
        <f t="shared" si="166"/>
        <v/>
      </c>
      <c r="U703" s="199" t="str">
        <f t="shared" si="159"/>
        <v/>
      </c>
      <c r="V703" s="989"/>
      <c r="X703" s="374" t="str">
        <f t="shared" si="160"/>
        <v/>
      </c>
      <c r="Y703" s="375" t="str">
        <f t="shared" si="161"/>
        <v/>
      </c>
      <c r="Z703" s="374" t="str">
        <f t="shared" si="162"/>
        <v/>
      </c>
      <c r="AA703" s="374" t="b">
        <f t="shared" si="163"/>
        <v>1</v>
      </c>
      <c r="AB703" s="374">
        <f>COUNTIFS(B:B,B703,H:H,'סיווג התפקידים והעלויות'!$C$2)</f>
        <v>0</v>
      </c>
      <c r="AC703" s="374">
        <f>COUNTIFS(B:B,B703,H:H,'סיווג התפקידים והעלויות'!$D$2)</f>
        <v>0</v>
      </c>
      <c r="AD703" s="374" t="str">
        <f>IF(OR(AND(H703='סיווג התפקידים והעלויות'!$A$2,I703='סיווג התפקידים והעלויות'!$A$3),'עלויות כח אדם (6)'!H703='סיווג התפקידים והעלויות'!$C$2,'עלויות כח אדם (6)'!H703='סיווג התפקידים והעלויות'!$D$2),IF('עלויות כח אדם (6)'!J703&lt;75,"לא תקין","תקין"),"")</f>
        <v/>
      </c>
      <c r="AE703" s="374" t="str">
        <f t="shared" si="164"/>
        <v/>
      </c>
      <c r="AF703" s="532" t="str">
        <f t="shared" si="165"/>
        <v/>
      </c>
    </row>
    <row r="704" spans="2:32" x14ac:dyDescent="0.25">
      <c r="B704" s="695"/>
      <c r="C704" s="197" t="str">
        <f>IF(B704&lt;&gt;"",IFERROR(VLOOKUP(B:B,'מצבת והרשמה (2)'!$C$20:$N$520,2,0)," ")," ")</f>
        <v xml:space="preserve"> </v>
      </c>
      <c r="D704" s="695"/>
      <c r="E704" s="696"/>
      <c r="F704" s="696"/>
      <c r="G704" s="696"/>
      <c r="H704" s="696"/>
      <c r="I704" s="1050" t="str">
        <f t="shared" si="152"/>
        <v/>
      </c>
      <c r="J704" s="696"/>
      <c r="K704" s="697"/>
      <c r="L704" s="696"/>
      <c r="M704" s="198" t="str">
        <f t="shared" si="153"/>
        <v/>
      </c>
      <c r="N704" s="369" t="str">
        <f t="shared" si="154"/>
        <v/>
      </c>
      <c r="O704" s="183" t="str">
        <f t="shared" si="155"/>
        <v/>
      </c>
      <c r="P704" s="199" t="str">
        <f t="shared" si="156"/>
        <v/>
      </c>
      <c r="Q704" s="199" t="str">
        <f>IF(B704="","",IFERROR(IF('עלויות כח אדם (6)'!J704&gt;=VLOOKUP(I704,'סיווג התפקידים והעלויות'!$B$23:$C$32,2,0),"תקין","לא תקין"),""))</f>
        <v/>
      </c>
      <c r="R704" s="199" t="str">
        <f t="shared" si="157"/>
        <v/>
      </c>
      <c r="S704" s="199" t="str">
        <f t="shared" si="158"/>
        <v/>
      </c>
      <c r="T704" s="199" t="str">
        <f t="shared" si="166"/>
        <v/>
      </c>
      <c r="U704" s="199" t="str">
        <f t="shared" si="159"/>
        <v/>
      </c>
      <c r="V704" s="989"/>
      <c r="X704" s="374" t="str">
        <f t="shared" si="160"/>
        <v/>
      </c>
      <c r="Y704" s="375" t="str">
        <f t="shared" si="161"/>
        <v/>
      </c>
      <c r="Z704" s="374" t="str">
        <f t="shared" si="162"/>
        <v/>
      </c>
      <c r="AA704" s="374" t="b">
        <f t="shared" si="163"/>
        <v>1</v>
      </c>
      <c r="AB704" s="374">
        <f>COUNTIFS(B:B,B704,H:H,'סיווג התפקידים והעלויות'!$C$2)</f>
        <v>0</v>
      </c>
      <c r="AC704" s="374">
        <f>COUNTIFS(B:B,B704,H:H,'סיווג התפקידים והעלויות'!$D$2)</f>
        <v>0</v>
      </c>
      <c r="AD704" s="374" t="str">
        <f>IF(OR(AND(H704='סיווג התפקידים והעלויות'!$A$2,I704='סיווג התפקידים והעלויות'!$A$3),'עלויות כח אדם (6)'!H704='סיווג התפקידים והעלויות'!$C$2,'עלויות כח אדם (6)'!H704='סיווג התפקידים והעלויות'!$D$2),IF('עלויות כח אדם (6)'!J704&lt;75,"לא תקין","תקין"),"")</f>
        <v/>
      </c>
      <c r="AE704" s="374" t="str">
        <f t="shared" si="164"/>
        <v/>
      </c>
      <c r="AF704" s="532" t="str">
        <f t="shared" si="165"/>
        <v/>
      </c>
    </row>
    <row r="705" spans="2:32" x14ac:dyDescent="0.25">
      <c r="B705" s="695"/>
      <c r="C705" s="197" t="str">
        <f>IF(B705&lt;&gt;"",IFERROR(VLOOKUP(B:B,'מצבת והרשמה (2)'!$C$20:$N$520,2,0)," ")," ")</f>
        <v xml:space="preserve"> </v>
      </c>
      <c r="D705" s="695"/>
      <c r="E705" s="696"/>
      <c r="F705" s="696"/>
      <c r="G705" s="696"/>
      <c r="H705" s="696"/>
      <c r="I705" s="1050" t="str">
        <f t="shared" si="152"/>
        <v/>
      </c>
      <c r="J705" s="696"/>
      <c r="K705" s="697"/>
      <c r="L705" s="696"/>
      <c r="M705" s="198" t="str">
        <f t="shared" si="153"/>
        <v/>
      </c>
      <c r="N705" s="369" t="str">
        <f t="shared" si="154"/>
        <v/>
      </c>
      <c r="O705" s="183" t="str">
        <f t="shared" si="155"/>
        <v/>
      </c>
      <c r="P705" s="199" t="str">
        <f t="shared" si="156"/>
        <v/>
      </c>
      <c r="Q705" s="199" t="str">
        <f>IF(B705="","",IFERROR(IF('עלויות כח אדם (6)'!J705&gt;=VLOOKUP(I705,'סיווג התפקידים והעלויות'!$B$23:$C$32,2,0),"תקין","לא תקין"),""))</f>
        <v/>
      </c>
      <c r="R705" s="199" t="str">
        <f t="shared" si="157"/>
        <v/>
      </c>
      <c r="S705" s="199" t="str">
        <f t="shared" si="158"/>
        <v/>
      </c>
      <c r="T705" s="199" t="str">
        <f t="shared" si="166"/>
        <v/>
      </c>
      <c r="U705" s="199" t="str">
        <f t="shared" si="159"/>
        <v/>
      </c>
      <c r="V705" s="989"/>
      <c r="X705" s="374" t="str">
        <f t="shared" si="160"/>
        <v/>
      </c>
      <c r="Y705" s="375" t="str">
        <f t="shared" si="161"/>
        <v/>
      </c>
      <c r="Z705" s="374" t="str">
        <f t="shared" si="162"/>
        <v/>
      </c>
      <c r="AA705" s="374" t="b">
        <f t="shared" si="163"/>
        <v>1</v>
      </c>
      <c r="AB705" s="374">
        <f>COUNTIFS(B:B,B705,H:H,'סיווג התפקידים והעלויות'!$C$2)</f>
        <v>0</v>
      </c>
      <c r="AC705" s="374">
        <f>COUNTIFS(B:B,B705,H:H,'סיווג התפקידים והעלויות'!$D$2)</f>
        <v>0</v>
      </c>
      <c r="AD705" s="374" t="str">
        <f>IF(OR(AND(H705='סיווג התפקידים והעלויות'!$A$2,I705='סיווג התפקידים והעלויות'!$A$3),'עלויות כח אדם (6)'!H705='סיווג התפקידים והעלויות'!$C$2,'עלויות כח אדם (6)'!H705='סיווג התפקידים והעלויות'!$D$2),IF('עלויות כח אדם (6)'!J705&lt;75,"לא תקין","תקין"),"")</f>
        <v/>
      </c>
      <c r="AE705" s="374" t="str">
        <f t="shared" si="164"/>
        <v/>
      </c>
      <c r="AF705" s="532" t="str">
        <f t="shared" si="165"/>
        <v/>
      </c>
    </row>
    <row r="706" spans="2:32" x14ac:dyDescent="0.25">
      <c r="B706" s="695"/>
      <c r="C706" s="197" t="str">
        <f>IF(B706&lt;&gt;"",IFERROR(VLOOKUP(B:B,'מצבת והרשמה (2)'!$C$20:$N$520,2,0)," ")," ")</f>
        <v xml:space="preserve"> </v>
      </c>
      <c r="D706" s="695"/>
      <c r="E706" s="696"/>
      <c r="F706" s="696"/>
      <c r="G706" s="696"/>
      <c r="H706" s="696"/>
      <c r="I706" s="1050" t="str">
        <f t="shared" si="152"/>
        <v/>
      </c>
      <c r="J706" s="696"/>
      <c r="K706" s="697"/>
      <c r="L706" s="696"/>
      <c r="M706" s="198" t="str">
        <f t="shared" si="153"/>
        <v/>
      </c>
      <c r="N706" s="369" t="str">
        <f t="shared" si="154"/>
        <v/>
      </c>
      <c r="O706" s="183" t="str">
        <f t="shared" si="155"/>
        <v/>
      </c>
      <c r="P706" s="199" t="str">
        <f t="shared" si="156"/>
        <v/>
      </c>
      <c r="Q706" s="199" t="str">
        <f>IF(B706="","",IFERROR(IF('עלויות כח אדם (6)'!J706&gt;=VLOOKUP(I706,'סיווג התפקידים והעלויות'!$B$23:$C$32,2,0),"תקין","לא תקין"),""))</f>
        <v/>
      </c>
      <c r="R706" s="199" t="str">
        <f t="shared" si="157"/>
        <v/>
      </c>
      <c r="S706" s="199" t="str">
        <f t="shared" si="158"/>
        <v/>
      </c>
      <c r="T706" s="199" t="str">
        <f t="shared" si="166"/>
        <v/>
      </c>
      <c r="U706" s="199" t="str">
        <f t="shared" si="159"/>
        <v/>
      </c>
      <c r="V706" s="989"/>
      <c r="X706" s="374" t="str">
        <f t="shared" si="160"/>
        <v/>
      </c>
      <c r="Y706" s="375" t="str">
        <f t="shared" si="161"/>
        <v/>
      </c>
      <c r="Z706" s="374" t="str">
        <f t="shared" si="162"/>
        <v/>
      </c>
      <c r="AA706" s="374" t="b">
        <f t="shared" si="163"/>
        <v>1</v>
      </c>
      <c r="AB706" s="374">
        <f>COUNTIFS(B:B,B706,H:H,'סיווג התפקידים והעלויות'!$C$2)</f>
        <v>0</v>
      </c>
      <c r="AC706" s="374">
        <f>COUNTIFS(B:B,B706,H:H,'סיווג התפקידים והעלויות'!$D$2)</f>
        <v>0</v>
      </c>
      <c r="AD706" s="374" t="str">
        <f>IF(OR(AND(H706='סיווג התפקידים והעלויות'!$A$2,I706='סיווג התפקידים והעלויות'!$A$3),'עלויות כח אדם (6)'!H706='סיווג התפקידים והעלויות'!$C$2,'עלויות כח אדם (6)'!H706='סיווג התפקידים והעלויות'!$D$2),IF('עלויות כח אדם (6)'!J706&lt;75,"לא תקין","תקין"),"")</f>
        <v/>
      </c>
      <c r="AE706" s="374" t="str">
        <f t="shared" si="164"/>
        <v/>
      </c>
      <c r="AF706" s="532" t="str">
        <f t="shared" si="165"/>
        <v/>
      </c>
    </row>
    <row r="707" spans="2:32" x14ac:dyDescent="0.25">
      <c r="B707" s="695"/>
      <c r="C707" s="197" t="str">
        <f>IF(B707&lt;&gt;"",IFERROR(VLOOKUP(B:B,'מצבת והרשמה (2)'!$C$20:$N$520,2,0)," ")," ")</f>
        <v xml:space="preserve"> </v>
      </c>
      <c r="D707" s="695"/>
      <c r="E707" s="696"/>
      <c r="F707" s="696"/>
      <c r="G707" s="696"/>
      <c r="H707" s="696"/>
      <c r="I707" s="1050" t="str">
        <f t="shared" si="152"/>
        <v/>
      </c>
      <c r="J707" s="696"/>
      <c r="K707" s="697"/>
      <c r="L707" s="696"/>
      <c r="M707" s="198" t="str">
        <f t="shared" si="153"/>
        <v/>
      </c>
      <c r="N707" s="369" t="str">
        <f t="shared" si="154"/>
        <v/>
      </c>
      <c r="O707" s="183" t="str">
        <f t="shared" si="155"/>
        <v/>
      </c>
      <c r="P707" s="199" t="str">
        <f t="shared" si="156"/>
        <v/>
      </c>
      <c r="Q707" s="199" t="str">
        <f>IF(B707="","",IFERROR(IF('עלויות כח אדם (6)'!J707&gt;=VLOOKUP(I707,'סיווג התפקידים והעלויות'!$B$23:$C$32,2,0),"תקין","לא תקין"),""))</f>
        <v/>
      </c>
      <c r="R707" s="199" t="str">
        <f t="shared" si="157"/>
        <v/>
      </c>
      <c r="S707" s="199" t="str">
        <f t="shared" si="158"/>
        <v/>
      </c>
      <c r="T707" s="199" t="str">
        <f t="shared" si="166"/>
        <v/>
      </c>
      <c r="U707" s="199" t="str">
        <f t="shared" si="159"/>
        <v/>
      </c>
      <c r="V707" s="989"/>
      <c r="X707" s="374" t="str">
        <f t="shared" si="160"/>
        <v/>
      </c>
      <c r="Y707" s="375" t="str">
        <f t="shared" si="161"/>
        <v/>
      </c>
      <c r="Z707" s="374" t="str">
        <f t="shared" si="162"/>
        <v/>
      </c>
      <c r="AA707" s="374" t="b">
        <f t="shared" si="163"/>
        <v>1</v>
      </c>
      <c r="AB707" s="374">
        <f>COUNTIFS(B:B,B707,H:H,'סיווג התפקידים והעלויות'!$C$2)</f>
        <v>0</v>
      </c>
      <c r="AC707" s="374">
        <f>COUNTIFS(B:B,B707,H:H,'סיווג התפקידים והעלויות'!$D$2)</f>
        <v>0</v>
      </c>
      <c r="AD707" s="374" t="str">
        <f>IF(OR(AND(H707='סיווג התפקידים והעלויות'!$A$2,I707='סיווג התפקידים והעלויות'!$A$3),'עלויות כח אדם (6)'!H707='סיווג התפקידים והעלויות'!$C$2,'עלויות כח אדם (6)'!H707='סיווג התפקידים והעלויות'!$D$2),IF('עלויות כח אדם (6)'!J707&lt;75,"לא תקין","תקין"),"")</f>
        <v/>
      </c>
      <c r="AE707" s="374" t="str">
        <f t="shared" si="164"/>
        <v/>
      </c>
      <c r="AF707" s="532" t="str">
        <f t="shared" si="165"/>
        <v/>
      </c>
    </row>
    <row r="708" spans="2:32" x14ac:dyDescent="0.25">
      <c r="B708" s="695"/>
      <c r="C708" s="197" t="str">
        <f>IF(B708&lt;&gt;"",IFERROR(VLOOKUP(B:B,'מצבת והרשמה (2)'!$C$20:$N$520,2,0)," ")," ")</f>
        <v xml:space="preserve"> </v>
      </c>
      <c r="D708" s="695"/>
      <c r="E708" s="696"/>
      <c r="F708" s="696"/>
      <c r="G708" s="696"/>
      <c r="H708" s="696"/>
      <c r="I708" s="1050" t="str">
        <f t="shared" si="152"/>
        <v/>
      </c>
      <c r="J708" s="696"/>
      <c r="K708" s="697"/>
      <c r="L708" s="696"/>
      <c r="M708" s="198" t="str">
        <f t="shared" si="153"/>
        <v/>
      </c>
      <c r="N708" s="369" t="str">
        <f t="shared" si="154"/>
        <v/>
      </c>
      <c r="O708" s="183" t="str">
        <f t="shared" si="155"/>
        <v/>
      </c>
      <c r="P708" s="199" t="str">
        <f t="shared" si="156"/>
        <v/>
      </c>
      <c r="Q708" s="199" t="str">
        <f>IF(B708="","",IFERROR(IF('עלויות כח אדם (6)'!J708&gt;=VLOOKUP(I708,'סיווג התפקידים והעלויות'!$B$23:$C$32,2,0),"תקין","לא תקין"),""))</f>
        <v/>
      </c>
      <c r="R708" s="199" t="str">
        <f t="shared" si="157"/>
        <v/>
      </c>
      <c r="S708" s="199" t="str">
        <f t="shared" si="158"/>
        <v/>
      </c>
      <c r="T708" s="199" t="str">
        <f t="shared" si="166"/>
        <v/>
      </c>
      <c r="U708" s="199" t="str">
        <f t="shared" si="159"/>
        <v/>
      </c>
      <c r="V708" s="989"/>
      <c r="X708" s="374" t="str">
        <f t="shared" si="160"/>
        <v/>
      </c>
      <c r="Y708" s="375" t="str">
        <f t="shared" si="161"/>
        <v/>
      </c>
      <c r="Z708" s="374" t="str">
        <f t="shared" si="162"/>
        <v/>
      </c>
      <c r="AA708" s="374" t="b">
        <f t="shared" si="163"/>
        <v>1</v>
      </c>
      <c r="AB708" s="374">
        <f>COUNTIFS(B:B,B708,H:H,'סיווג התפקידים והעלויות'!$C$2)</f>
        <v>0</v>
      </c>
      <c r="AC708" s="374">
        <f>COUNTIFS(B:B,B708,H:H,'סיווג התפקידים והעלויות'!$D$2)</f>
        <v>0</v>
      </c>
      <c r="AD708" s="374" t="str">
        <f>IF(OR(AND(H708='סיווג התפקידים והעלויות'!$A$2,I708='סיווג התפקידים והעלויות'!$A$3),'עלויות כח אדם (6)'!H708='סיווג התפקידים והעלויות'!$C$2,'עלויות כח אדם (6)'!H708='סיווג התפקידים והעלויות'!$D$2),IF('עלויות כח אדם (6)'!J708&lt;75,"לא תקין","תקין"),"")</f>
        <v/>
      </c>
      <c r="AE708" s="374" t="str">
        <f t="shared" si="164"/>
        <v/>
      </c>
      <c r="AF708" s="532" t="str">
        <f t="shared" si="165"/>
        <v/>
      </c>
    </row>
    <row r="709" spans="2:32" x14ac:dyDescent="0.25">
      <c r="B709" s="695"/>
      <c r="C709" s="197" t="str">
        <f>IF(B709&lt;&gt;"",IFERROR(VLOOKUP(B:B,'מצבת והרשמה (2)'!$C$20:$N$520,2,0)," ")," ")</f>
        <v xml:space="preserve"> </v>
      </c>
      <c r="D709" s="695"/>
      <c r="E709" s="696"/>
      <c r="F709" s="696"/>
      <c r="G709" s="696"/>
      <c r="H709" s="696"/>
      <c r="I709" s="1050" t="str">
        <f t="shared" si="152"/>
        <v/>
      </c>
      <c r="J709" s="696"/>
      <c r="K709" s="697"/>
      <c r="L709" s="696"/>
      <c r="M709" s="198" t="str">
        <f t="shared" si="153"/>
        <v/>
      </c>
      <c r="N709" s="369" t="str">
        <f t="shared" si="154"/>
        <v/>
      </c>
      <c r="O709" s="183" t="str">
        <f t="shared" si="155"/>
        <v/>
      </c>
      <c r="P709" s="199" t="str">
        <f t="shared" si="156"/>
        <v/>
      </c>
      <c r="Q709" s="199" t="str">
        <f>IF(B709="","",IFERROR(IF('עלויות כח אדם (6)'!J709&gt;=VLOOKUP(I709,'סיווג התפקידים והעלויות'!$B$23:$C$32,2,0),"תקין","לא תקין"),""))</f>
        <v/>
      </c>
      <c r="R709" s="199" t="str">
        <f t="shared" si="157"/>
        <v/>
      </c>
      <c r="S709" s="199" t="str">
        <f t="shared" si="158"/>
        <v/>
      </c>
      <c r="T709" s="199" t="str">
        <f t="shared" si="166"/>
        <v/>
      </c>
      <c r="U709" s="199" t="str">
        <f t="shared" si="159"/>
        <v/>
      </c>
      <c r="V709" s="989"/>
      <c r="X709" s="374" t="str">
        <f t="shared" si="160"/>
        <v/>
      </c>
      <c r="Y709" s="375" t="str">
        <f t="shared" si="161"/>
        <v/>
      </c>
      <c r="Z709" s="374" t="str">
        <f t="shared" si="162"/>
        <v/>
      </c>
      <c r="AA709" s="374" t="b">
        <f t="shared" si="163"/>
        <v>1</v>
      </c>
      <c r="AB709" s="374">
        <f>COUNTIFS(B:B,B709,H:H,'סיווג התפקידים והעלויות'!$C$2)</f>
        <v>0</v>
      </c>
      <c r="AC709" s="374">
        <f>COUNTIFS(B:B,B709,H:H,'סיווג התפקידים והעלויות'!$D$2)</f>
        <v>0</v>
      </c>
      <c r="AD709" s="374" t="str">
        <f>IF(OR(AND(H709='סיווג התפקידים והעלויות'!$A$2,I709='סיווג התפקידים והעלויות'!$A$3),'עלויות כח אדם (6)'!H709='סיווג התפקידים והעלויות'!$C$2,'עלויות כח אדם (6)'!H709='סיווג התפקידים והעלויות'!$D$2),IF('עלויות כח אדם (6)'!J709&lt;75,"לא תקין","תקין"),"")</f>
        <v/>
      </c>
      <c r="AE709" s="374" t="str">
        <f t="shared" si="164"/>
        <v/>
      </c>
      <c r="AF709" s="532" t="str">
        <f t="shared" si="165"/>
        <v/>
      </c>
    </row>
    <row r="710" spans="2:32" x14ac:dyDescent="0.25">
      <c r="B710" s="695"/>
      <c r="C710" s="197" t="str">
        <f>IF(B710&lt;&gt;"",IFERROR(VLOOKUP(B:B,'מצבת והרשמה (2)'!$C$20:$N$520,2,0)," ")," ")</f>
        <v xml:space="preserve"> </v>
      </c>
      <c r="D710" s="695"/>
      <c r="E710" s="696"/>
      <c r="F710" s="696"/>
      <c r="G710" s="696"/>
      <c r="H710" s="696"/>
      <c r="I710" s="1050" t="str">
        <f t="shared" si="152"/>
        <v/>
      </c>
      <c r="J710" s="696"/>
      <c r="K710" s="697"/>
      <c r="L710" s="696"/>
      <c r="M710" s="198" t="str">
        <f t="shared" si="153"/>
        <v/>
      </c>
      <c r="N710" s="369" t="str">
        <f t="shared" si="154"/>
        <v/>
      </c>
      <c r="O710" s="183" t="str">
        <f t="shared" si="155"/>
        <v/>
      </c>
      <c r="P710" s="199" t="str">
        <f t="shared" si="156"/>
        <v/>
      </c>
      <c r="Q710" s="199" t="str">
        <f>IF(B710="","",IFERROR(IF('עלויות כח אדם (6)'!J710&gt;=VLOOKUP(I710,'סיווג התפקידים והעלויות'!$B$23:$C$32,2,0),"תקין","לא תקין"),""))</f>
        <v/>
      </c>
      <c r="R710" s="199" t="str">
        <f t="shared" si="157"/>
        <v/>
      </c>
      <c r="S710" s="199" t="str">
        <f t="shared" si="158"/>
        <v/>
      </c>
      <c r="T710" s="199" t="str">
        <f t="shared" si="166"/>
        <v/>
      </c>
      <c r="U710" s="199" t="str">
        <f t="shared" si="159"/>
        <v/>
      </c>
      <c r="V710" s="989"/>
      <c r="X710" s="374" t="str">
        <f t="shared" si="160"/>
        <v/>
      </c>
      <c r="Y710" s="375" t="str">
        <f t="shared" si="161"/>
        <v/>
      </c>
      <c r="Z710" s="374" t="str">
        <f t="shared" si="162"/>
        <v/>
      </c>
      <c r="AA710" s="374" t="b">
        <f t="shared" si="163"/>
        <v>1</v>
      </c>
      <c r="AB710" s="374">
        <f>COUNTIFS(B:B,B710,H:H,'סיווג התפקידים והעלויות'!$C$2)</f>
        <v>0</v>
      </c>
      <c r="AC710" s="374">
        <f>COUNTIFS(B:B,B710,H:H,'סיווג התפקידים והעלויות'!$D$2)</f>
        <v>0</v>
      </c>
      <c r="AD710" s="374" t="str">
        <f>IF(OR(AND(H710='סיווג התפקידים והעלויות'!$A$2,I710='סיווג התפקידים והעלויות'!$A$3),'עלויות כח אדם (6)'!H710='סיווג התפקידים והעלויות'!$C$2,'עלויות כח אדם (6)'!H710='סיווג התפקידים והעלויות'!$D$2),IF('עלויות כח אדם (6)'!J710&lt;75,"לא תקין","תקין"),"")</f>
        <v/>
      </c>
      <c r="AE710" s="374" t="str">
        <f t="shared" si="164"/>
        <v/>
      </c>
      <c r="AF710" s="532" t="str">
        <f t="shared" si="165"/>
        <v/>
      </c>
    </row>
    <row r="711" spans="2:32" x14ac:dyDescent="0.25">
      <c r="B711" s="695"/>
      <c r="C711" s="197" t="str">
        <f>IF(B711&lt;&gt;"",IFERROR(VLOOKUP(B:B,'מצבת והרשמה (2)'!$C$20:$N$520,2,0)," ")," ")</f>
        <v xml:space="preserve"> </v>
      </c>
      <c r="D711" s="695"/>
      <c r="E711" s="696"/>
      <c r="F711" s="696"/>
      <c r="G711" s="696"/>
      <c r="H711" s="696"/>
      <c r="I711" s="1050" t="str">
        <f t="shared" si="152"/>
        <v/>
      </c>
      <c r="J711" s="696"/>
      <c r="K711" s="697"/>
      <c r="L711" s="696"/>
      <c r="M711" s="198" t="str">
        <f t="shared" si="153"/>
        <v/>
      </c>
      <c r="N711" s="369" t="str">
        <f t="shared" si="154"/>
        <v/>
      </c>
      <c r="O711" s="183" t="str">
        <f t="shared" si="155"/>
        <v/>
      </c>
      <c r="P711" s="199" t="str">
        <f t="shared" si="156"/>
        <v/>
      </c>
      <c r="Q711" s="199" t="str">
        <f>IF(B711="","",IFERROR(IF('עלויות כח אדם (6)'!J711&gt;=VLOOKUP(I711,'סיווג התפקידים והעלויות'!$B$23:$C$32,2,0),"תקין","לא תקין"),""))</f>
        <v/>
      </c>
      <c r="R711" s="199" t="str">
        <f t="shared" si="157"/>
        <v/>
      </c>
      <c r="S711" s="199" t="str">
        <f t="shared" si="158"/>
        <v/>
      </c>
      <c r="T711" s="199" t="str">
        <f t="shared" si="166"/>
        <v/>
      </c>
      <c r="U711" s="199" t="str">
        <f t="shared" si="159"/>
        <v/>
      </c>
      <c r="V711" s="989"/>
      <c r="X711" s="374" t="str">
        <f t="shared" si="160"/>
        <v/>
      </c>
      <c r="Y711" s="375" t="str">
        <f t="shared" si="161"/>
        <v/>
      </c>
      <c r="Z711" s="374" t="str">
        <f t="shared" si="162"/>
        <v/>
      </c>
      <c r="AA711" s="374" t="b">
        <f t="shared" si="163"/>
        <v>1</v>
      </c>
      <c r="AB711" s="374">
        <f>COUNTIFS(B:B,B711,H:H,'סיווג התפקידים והעלויות'!$C$2)</f>
        <v>0</v>
      </c>
      <c r="AC711" s="374">
        <f>COUNTIFS(B:B,B711,H:H,'סיווג התפקידים והעלויות'!$D$2)</f>
        <v>0</v>
      </c>
      <c r="AD711" s="374" t="str">
        <f>IF(OR(AND(H711='סיווג התפקידים והעלויות'!$A$2,I711='סיווג התפקידים והעלויות'!$A$3),'עלויות כח אדם (6)'!H711='סיווג התפקידים והעלויות'!$C$2,'עלויות כח אדם (6)'!H711='סיווג התפקידים והעלויות'!$D$2),IF('עלויות כח אדם (6)'!J711&lt;75,"לא תקין","תקין"),"")</f>
        <v/>
      </c>
      <c r="AE711" s="374" t="str">
        <f t="shared" si="164"/>
        <v/>
      </c>
      <c r="AF711" s="532" t="str">
        <f t="shared" si="165"/>
        <v/>
      </c>
    </row>
    <row r="712" spans="2:32" x14ac:dyDescent="0.25">
      <c r="B712" s="695"/>
      <c r="C712" s="197" t="str">
        <f>IF(B712&lt;&gt;"",IFERROR(VLOOKUP(B:B,'מצבת והרשמה (2)'!$C$20:$N$520,2,0)," ")," ")</f>
        <v xml:space="preserve"> </v>
      </c>
      <c r="D712" s="695"/>
      <c r="E712" s="696"/>
      <c r="F712" s="696"/>
      <c r="G712" s="696"/>
      <c r="H712" s="696"/>
      <c r="I712" s="1050" t="str">
        <f t="shared" si="152"/>
        <v/>
      </c>
      <c r="J712" s="696"/>
      <c r="K712" s="697"/>
      <c r="L712" s="696"/>
      <c r="M712" s="198" t="str">
        <f t="shared" si="153"/>
        <v/>
      </c>
      <c r="N712" s="369" t="str">
        <f t="shared" si="154"/>
        <v/>
      </c>
      <c r="O712" s="183" t="str">
        <f t="shared" si="155"/>
        <v/>
      </c>
      <c r="P712" s="199" t="str">
        <f t="shared" si="156"/>
        <v/>
      </c>
      <c r="Q712" s="199" t="str">
        <f>IF(B712="","",IFERROR(IF('עלויות כח אדם (6)'!J712&gt;=VLOOKUP(I712,'סיווג התפקידים והעלויות'!$B$23:$C$32,2,0),"תקין","לא תקין"),""))</f>
        <v/>
      </c>
      <c r="R712" s="199" t="str">
        <f t="shared" si="157"/>
        <v/>
      </c>
      <c r="S712" s="199" t="str">
        <f t="shared" si="158"/>
        <v/>
      </c>
      <c r="T712" s="199" t="str">
        <f t="shared" si="166"/>
        <v/>
      </c>
      <c r="U712" s="199" t="str">
        <f t="shared" si="159"/>
        <v/>
      </c>
      <c r="V712" s="989"/>
      <c r="X712" s="374" t="str">
        <f t="shared" si="160"/>
        <v/>
      </c>
      <c r="Y712" s="375" t="str">
        <f t="shared" si="161"/>
        <v/>
      </c>
      <c r="Z712" s="374" t="str">
        <f t="shared" si="162"/>
        <v/>
      </c>
      <c r="AA712" s="374" t="b">
        <f t="shared" si="163"/>
        <v>1</v>
      </c>
      <c r="AB712" s="374">
        <f>COUNTIFS(B:B,B712,H:H,'סיווג התפקידים והעלויות'!$C$2)</f>
        <v>0</v>
      </c>
      <c r="AC712" s="374">
        <f>COUNTIFS(B:B,B712,H:H,'סיווג התפקידים והעלויות'!$D$2)</f>
        <v>0</v>
      </c>
      <c r="AD712" s="374" t="str">
        <f>IF(OR(AND(H712='סיווג התפקידים והעלויות'!$A$2,I712='סיווג התפקידים והעלויות'!$A$3),'עלויות כח אדם (6)'!H712='סיווג התפקידים והעלויות'!$C$2,'עלויות כח אדם (6)'!H712='סיווג התפקידים והעלויות'!$D$2),IF('עלויות כח אדם (6)'!J712&lt;75,"לא תקין","תקין"),"")</f>
        <v/>
      </c>
      <c r="AE712" s="374" t="str">
        <f t="shared" si="164"/>
        <v/>
      </c>
      <c r="AF712" s="532" t="str">
        <f t="shared" si="165"/>
        <v/>
      </c>
    </row>
    <row r="713" spans="2:32" x14ac:dyDescent="0.25">
      <c r="B713" s="695"/>
      <c r="C713" s="197" t="str">
        <f>IF(B713&lt;&gt;"",IFERROR(VLOOKUP(B:B,'מצבת והרשמה (2)'!$C$20:$N$520,2,0)," ")," ")</f>
        <v xml:space="preserve"> </v>
      </c>
      <c r="D713" s="695"/>
      <c r="E713" s="696"/>
      <c r="F713" s="696"/>
      <c r="G713" s="696"/>
      <c r="H713" s="696"/>
      <c r="I713" s="1050" t="str">
        <f t="shared" si="152"/>
        <v/>
      </c>
      <c r="J713" s="696"/>
      <c r="K713" s="697"/>
      <c r="L713" s="696"/>
      <c r="M713" s="198" t="str">
        <f t="shared" si="153"/>
        <v/>
      </c>
      <c r="N713" s="369" t="str">
        <f t="shared" si="154"/>
        <v/>
      </c>
      <c r="O713" s="183" t="str">
        <f t="shared" si="155"/>
        <v/>
      </c>
      <c r="P713" s="199" t="str">
        <f t="shared" si="156"/>
        <v/>
      </c>
      <c r="Q713" s="199" t="str">
        <f>IF(B713="","",IFERROR(IF('עלויות כח אדם (6)'!J713&gt;=VLOOKUP(I713,'סיווג התפקידים והעלויות'!$B$23:$C$32,2,0),"תקין","לא תקין"),""))</f>
        <v/>
      </c>
      <c r="R713" s="199" t="str">
        <f t="shared" si="157"/>
        <v/>
      </c>
      <c r="S713" s="199" t="str">
        <f t="shared" si="158"/>
        <v/>
      </c>
      <c r="T713" s="199" t="str">
        <f t="shared" si="166"/>
        <v/>
      </c>
      <c r="U713" s="199" t="str">
        <f t="shared" si="159"/>
        <v/>
      </c>
      <c r="V713" s="989"/>
      <c r="X713" s="374" t="str">
        <f t="shared" si="160"/>
        <v/>
      </c>
      <c r="Y713" s="375" t="str">
        <f t="shared" si="161"/>
        <v/>
      </c>
      <c r="Z713" s="374" t="str">
        <f t="shared" si="162"/>
        <v/>
      </c>
      <c r="AA713" s="374" t="b">
        <f t="shared" si="163"/>
        <v>1</v>
      </c>
      <c r="AB713" s="374">
        <f>COUNTIFS(B:B,B713,H:H,'סיווג התפקידים והעלויות'!$C$2)</f>
        <v>0</v>
      </c>
      <c r="AC713" s="374">
        <f>COUNTIFS(B:B,B713,H:H,'סיווג התפקידים והעלויות'!$D$2)</f>
        <v>0</v>
      </c>
      <c r="AD713" s="374" t="str">
        <f>IF(OR(AND(H713='סיווג התפקידים והעלויות'!$A$2,I713='סיווג התפקידים והעלויות'!$A$3),'עלויות כח אדם (6)'!H713='סיווג התפקידים והעלויות'!$C$2,'עלויות כח אדם (6)'!H713='סיווג התפקידים והעלויות'!$D$2),IF('עלויות כח אדם (6)'!J713&lt;75,"לא תקין","תקין"),"")</f>
        <v/>
      </c>
      <c r="AE713" s="374" t="str">
        <f t="shared" si="164"/>
        <v/>
      </c>
      <c r="AF713" s="532" t="str">
        <f t="shared" si="165"/>
        <v/>
      </c>
    </row>
    <row r="714" spans="2:32" x14ac:dyDescent="0.25">
      <c r="B714" s="695"/>
      <c r="C714" s="197" t="str">
        <f>IF(B714&lt;&gt;"",IFERROR(VLOOKUP(B:B,'מצבת והרשמה (2)'!$C$20:$N$520,2,0)," ")," ")</f>
        <v xml:space="preserve"> </v>
      </c>
      <c r="D714" s="695"/>
      <c r="E714" s="696"/>
      <c r="F714" s="696"/>
      <c r="G714" s="696"/>
      <c r="H714" s="696"/>
      <c r="I714" s="1050" t="str">
        <f t="shared" si="152"/>
        <v/>
      </c>
      <c r="J714" s="696"/>
      <c r="K714" s="697"/>
      <c r="L714" s="696"/>
      <c r="M714" s="198" t="str">
        <f t="shared" si="153"/>
        <v/>
      </c>
      <c r="N714" s="369" t="str">
        <f t="shared" si="154"/>
        <v/>
      </c>
      <c r="O714" s="183" t="str">
        <f t="shared" si="155"/>
        <v/>
      </c>
      <c r="P714" s="199" t="str">
        <f t="shared" si="156"/>
        <v/>
      </c>
      <c r="Q714" s="199" t="str">
        <f>IF(B714="","",IFERROR(IF('עלויות כח אדם (6)'!J714&gt;=VLOOKUP(I714,'סיווג התפקידים והעלויות'!$B$23:$C$32,2,0),"תקין","לא תקין"),""))</f>
        <v/>
      </c>
      <c r="R714" s="199" t="str">
        <f t="shared" si="157"/>
        <v/>
      </c>
      <c r="S714" s="199" t="str">
        <f t="shared" si="158"/>
        <v/>
      </c>
      <c r="T714" s="199" t="str">
        <f t="shared" si="166"/>
        <v/>
      </c>
      <c r="U714" s="199" t="str">
        <f t="shared" si="159"/>
        <v/>
      </c>
      <c r="V714" s="989"/>
      <c r="X714" s="374" t="str">
        <f t="shared" si="160"/>
        <v/>
      </c>
      <c r="Y714" s="375" t="str">
        <f t="shared" si="161"/>
        <v/>
      </c>
      <c r="Z714" s="374" t="str">
        <f t="shared" si="162"/>
        <v/>
      </c>
      <c r="AA714" s="374" t="b">
        <f t="shared" si="163"/>
        <v>1</v>
      </c>
      <c r="AB714" s="374">
        <f>COUNTIFS(B:B,B714,H:H,'סיווג התפקידים והעלויות'!$C$2)</f>
        <v>0</v>
      </c>
      <c r="AC714" s="374">
        <f>COUNTIFS(B:B,B714,H:H,'סיווג התפקידים והעלויות'!$D$2)</f>
        <v>0</v>
      </c>
      <c r="AD714" s="374" t="str">
        <f>IF(OR(AND(H714='סיווג התפקידים והעלויות'!$A$2,I714='סיווג התפקידים והעלויות'!$A$3),'עלויות כח אדם (6)'!H714='סיווג התפקידים והעלויות'!$C$2,'עלויות כח אדם (6)'!H714='סיווג התפקידים והעלויות'!$D$2),IF('עלויות כח אדם (6)'!J714&lt;75,"לא תקין","תקין"),"")</f>
        <v/>
      </c>
      <c r="AE714" s="374" t="str">
        <f t="shared" si="164"/>
        <v/>
      </c>
      <c r="AF714" s="532" t="str">
        <f t="shared" si="165"/>
        <v/>
      </c>
    </row>
    <row r="715" spans="2:32" x14ac:dyDescent="0.25">
      <c r="B715" s="695"/>
      <c r="C715" s="197" t="str">
        <f>IF(B715&lt;&gt;"",IFERROR(VLOOKUP(B:B,'מצבת והרשמה (2)'!$C$20:$N$520,2,0)," ")," ")</f>
        <v xml:space="preserve"> </v>
      </c>
      <c r="D715" s="695"/>
      <c r="E715" s="696"/>
      <c r="F715" s="696"/>
      <c r="G715" s="696"/>
      <c r="H715" s="696"/>
      <c r="I715" s="1050" t="str">
        <f t="shared" si="152"/>
        <v/>
      </c>
      <c r="J715" s="696"/>
      <c r="K715" s="697"/>
      <c r="L715" s="696"/>
      <c r="M715" s="198" t="str">
        <f t="shared" si="153"/>
        <v/>
      </c>
      <c r="N715" s="369" t="str">
        <f t="shared" si="154"/>
        <v/>
      </c>
      <c r="O715" s="183" t="str">
        <f t="shared" si="155"/>
        <v/>
      </c>
      <c r="P715" s="199" t="str">
        <f t="shared" si="156"/>
        <v/>
      </c>
      <c r="Q715" s="199" t="str">
        <f>IF(B715="","",IFERROR(IF('עלויות כח אדם (6)'!J715&gt;=VLOOKUP(I715,'סיווג התפקידים והעלויות'!$B$23:$C$32,2,0),"תקין","לא תקין"),""))</f>
        <v/>
      </c>
      <c r="R715" s="199" t="str">
        <f t="shared" si="157"/>
        <v/>
      </c>
      <c r="S715" s="199" t="str">
        <f t="shared" si="158"/>
        <v/>
      </c>
      <c r="T715" s="199" t="str">
        <f t="shared" si="166"/>
        <v/>
      </c>
      <c r="U715" s="199" t="str">
        <f t="shared" si="159"/>
        <v/>
      </c>
      <c r="V715" s="989"/>
      <c r="X715" s="374" t="str">
        <f t="shared" si="160"/>
        <v/>
      </c>
      <c r="Y715" s="375" t="str">
        <f t="shared" si="161"/>
        <v/>
      </c>
      <c r="Z715" s="374" t="str">
        <f t="shared" si="162"/>
        <v/>
      </c>
      <c r="AA715" s="374" t="b">
        <f t="shared" si="163"/>
        <v>1</v>
      </c>
      <c r="AB715" s="374">
        <f>COUNTIFS(B:B,B715,H:H,'סיווג התפקידים והעלויות'!$C$2)</f>
        <v>0</v>
      </c>
      <c r="AC715" s="374">
        <f>COUNTIFS(B:B,B715,H:H,'סיווג התפקידים והעלויות'!$D$2)</f>
        <v>0</v>
      </c>
      <c r="AD715" s="374" t="str">
        <f>IF(OR(AND(H715='סיווג התפקידים והעלויות'!$A$2,I715='סיווג התפקידים והעלויות'!$A$3),'עלויות כח אדם (6)'!H715='סיווג התפקידים והעלויות'!$C$2,'עלויות כח אדם (6)'!H715='סיווג התפקידים והעלויות'!$D$2),IF('עלויות כח אדם (6)'!J715&lt;75,"לא תקין","תקין"),"")</f>
        <v/>
      </c>
      <c r="AE715" s="374" t="str">
        <f t="shared" si="164"/>
        <v/>
      </c>
      <c r="AF715" s="532" t="str">
        <f t="shared" si="165"/>
        <v/>
      </c>
    </row>
    <row r="716" spans="2:32" x14ac:dyDescent="0.25">
      <c r="B716" s="695"/>
      <c r="C716" s="197" t="str">
        <f>IF(B716&lt;&gt;"",IFERROR(VLOOKUP(B:B,'מצבת והרשמה (2)'!$C$20:$N$520,2,0)," ")," ")</f>
        <v xml:space="preserve"> </v>
      </c>
      <c r="D716" s="695"/>
      <c r="E716" s="696"/>
      <c r="F716" s="696"/>
      <c r="G716" s="696"/>
      <c r="H716" s="696"/>
      <c r="I716" s="1050" t="str">
        <f t="shared" si="152"/>
        <v/>
      </c>
      <c r="J716" s="696"/>
      <c r="K716" s="697"/>
      <c r="L716" s="696"/>
      <c r="M716" s="198" t="str">
        <f t="shared" si="153"/>
        <v/>
      </c>
      <c r="N716" s="369" t="str">
        <f t="shared" si="154"/>
        <v/>
      </c>
      <c r="O716" s="183" t="str">
        <f t="shared" si="155"/>
        <v/>
      </c>
      <c r="P716" s="199" t="str">
        <f t="shared" si="156"/>
        <v/>
      </c>
      <c r="Q716" s="199" t="str">
        <f>IF(B716="","",IFERROR(IF('עלויות כח אדם (6)'!J716&gt;=VLOOKUP(I716,'סיווג התפקידים והעלויות'!$B$23:$C$32,2,0),"תקין","לא תקין"),""))</f>
        <v/>
      </c>
      <c r="R716" s="199" t="str">
        <f t="shared" si="157"/>
        <v/>
      </c>
      <c r="S716" s="199" t="str">
        <f t="shared" si="158"/>
        <v/>
      </c>
      <c r="T716" s="199" t="str">
        <f t="shared" si="166"/>
        <v/>
      </c>
      <c r="U716" s="199" t="str">
        <f t="shared" si="159"/>
        <v/>
      </c>
      <c r="V716" s="989"/>
      <c r="X716" s="374" t="str">
        <f t="shared" si="160"/>
        <v/>
      </c>
      <c r="Y716" s="375" t="str">
        <f t="shared" si="161"/>
        <v/>
      </c>
      <c r="Z716" s="374" t="str">
        <f t="shared" si="162"/>
        <v/>
      </c>
      <c r="AA716" s="374" t="b">
        <f t="shared" si="163"/>
        <v>1</v>
      </c>
      <c r="AB716" s="374">
        <f>COUNTIFS(B:B,B716,H:H,'סיווג התפקידים והעלויות'!$C$2)</f>
        <v>0</v>
      </c>
      <c r="AC716" s="374">
        <f>COUNTIFS(B:B,B716,H:H,'סיווג התפקידים והעלויות'!$D$2)</f>
        <v>0</v>
      </c>
      <c r="AD716" s="374" t="str">
        <f>IF(OR(AND(H716='סיווג התפקידים והעלויות'!$A$2,I716='סיווג התפקידים והעלויות'!$A$3),'עלויות כח אדם (6)'!H716='סיווג התפקידים והעלויות'!$C$2,'עלויות כח אדם (6)'!H716='סיווג התפקידים והעלויות'!$D$2),IF('עלויות כח אדם (6)'!J716&lt;75,"לא תקין","תקין"),"")</f>
        <v/>
      </c>
      <c r="AE716" s="374" t="str">
        <f t="shared" si="164"/>
        <v/>
      </c>
      <c r="AF716" s="532" t="str">
        <f t="shared" si="165"/>
        <v/>
      </c>
    </row>
    <row r="717" spans="2:32" x14ac:dyDescent="0.25">
      <c r="B717" s="695"/>
      <c r="C717" s="197" t="str">
        <f>IF(B717&lt;&gt;"",IFERROR(VLOOKUP(B:B,'מצבת והרשמה (2)'!$C$20:$N$520,2,0)," ")," ")</f>
        <v xml:space="preserve"> </v>
      </c>
      <c r="D717" s="695"/>
      <c r="E717" s="696"/>
      <c r="F717" s="696"/>
      <c r="G717" s="696"/>
      <c r="H717" s="696"/>
      <c r="I717" s="1050" t="str">
        <f t="shared" si="152"/>
        <v/>
      </c>
      <c r="J717" s="696"/>
      <c r="K717" s="697"/>
      <c r="L717" s="696"/>
      <c r="M717" s="198" t="str">
        <f t="shared" si="153"/>
        <v/>
      </c>
      <c r="N717" s="369" t="str">
        <f t="shared" si="154"/>
        <v/>
      </c>
      <c r="O717" s="183" t="str">
        <f t="shared" si="155"/>
        <v/>
      </c>
      <c r="P717" s="199" t="str">
        <f t="shared" si="156"/>
        <v/>
      </c>
      <c r="Q717" s="199" t="str">
        <f>IF(B717="","",IFERROR(IF('עלויות כח אדם (6)'!J717&gt;=VLOOKUP(I717,'סיווג התפקידים והעלויות'!$B$23:$C$32,2,0),"תקין","לא תקין"),""))</f>
        <v/>
      </c>
      <c r="R717" s="199" t="str">
        <f t="shared" si="157"/>
        <v/>
      </c>
      <c r="S717" s="199" t="str">
        <f t="shared" si="158"/>
        <v/>
      </c>
      <c r="T717" s="199" t="str">
        <f t="shared" si="166"/>
        <v/>
      </c>
      <c r="U717" s="199" t="str">
        <f t="shared" si="159"/>
        <v/>
      </c>
      <c r="V717" s="989"/>
      <c r="X717" s="374" t="str">
        <f t="shared" si="160"/>
        <v/>
      </c>
      <c r="Y717" s="375" t="str">
        <f t="shared" si="161"/>
        <v/>
      </c>
      <c r="Z717" s="374" t="str">
        <f t="shared" si="162"/>
        <v/>
      </c>
      <c r="AA717" s="374" t="b">
        <f t="shared" si="163"/>
        <v>1</v>
      </c>
      <c r="AB717" s="374">
        <f>COUNTIFS(B:B,B717,H:H,'סיווג התפקידים והעלויות'!$C$2)</f>
        <v>0</v>
      </c>
      <c r="AC717" s="374">
        <f>COUNTIFS(B:B,B717,H:H,'סיווג התפקידים והעלויות'!$D$2)</f>
        <v>0</v>
      </c>
      <c r="AD717" s="374" t="str">
        <f>IF(OR(AND(H717='סיווג התפקידים והעלויות'!$A$2,I717='סיווג התפקידים והעלויות'!$A$3),'עלויות כח אדם (6)'!H717='סיווג התפקידים והעלויות'!$C$2,'עלויות כח אדם (6)'!H717='סיווג התפקידים והעלויות'!$D$2),IF('עלויות כח אדם (6)'!J717&lt;75,"לא תקין","תקין"),"")</f>
        <v/>
      </c>
      <c r="AE717" s="374" t="str">
        <f t="shared" si="164"/>
        <v/>
      </c>
      <c r="AF717" s="532" t="str">
        <f t="shared" si="165"/>
        <v/>
      </c>
    </row>
    <row r="718" spans="2:32" x14ac:dyDescent="0.25">
      <c r="B718" s="695"/>
      <c r="C718" s="197" t="str">
        <f>IF(B718&lt;&gt;"",IFERROR(VLOOKUP(B:B,'מצבת והרשמה (2)'!$C$20:$N$520,2,0)," ")," ")</f>
        <v xml:space="preserve"> </v>
      </c>
      <c r="D718" s="695"/>
      <c r="E718" s="696"/>
      <c r="F718" s="696"/>
      <c r="G718" s="696"/>
      <c r="H718" s="696"/>
      <c r="I718" s="1050" t="str">
        <f t="shared" si="152"/>
        <v/>
      </c>
      <c r="J718" s="696"/>
      <c r="K718" s="697"/>
      <c r="L718" s="696"/>
      <c r="M718" s="198" t="str">
        <f t="shared" si="153"/>
        <v/>
      </c>
      <c r="N718" s="369" t="str">
        <f t="shared" si="154"/>
        <v/>
      </c>
      <c r="O718" s="183" t="str">
        <f t="shared" si="155"/>
        <v/>
      </c>
      <c r="P718" s="199" t="str">
        <f t="shared" si="156"/>
        <v/>
      </c>
      <c r="Q718" s="199" t="str">
        <f>IF(B718="","",IFERROR(IF('עלויות כח אדם (6)'!J718&gt;=VLOOKUP(I718,'סיווג התפקידים והעלויות'!$B$23:$C$32,2,0),"תקין","לא תקין"),""))</f>
        <v/>
      </c>
      <c r="R718" s="199" t="str">
        <f t="shared" si="157"/>
        <v/>
      </c>
      <c r="S718" s="199" t="str">
        <f t="shared" si="158"/>
        <v/>
      </c>
      <c r="T718" s="199" t="str">
        <f t="shared" si="166"/>
        <v/>
      </c>
      <c r="U718" s="199" t="str">
        <f t="shared" si="159"/>
        <v/>
      </c>
      <c r="V718" s="989"/>
      <c r="X718" s="374" t="str">
        <f t="shared" si="160"/>
        <v/>
      </c>
      <c r="Y718" s="375" t="str">
        <f t="shared" si="161"/>
        <v/>
      </c>
      <c r="Z718" s="374" t="str">
        <f t="shared" si="162"/>
        <v/>
      </c>
      <c r="AA718" s="374" t="b">
        <f t="shared" si="163"/>
        <v>1</v>
      </c>
      <c r="AB718" s="374">
        <f>COUNTIFS(B:B,B718,H:H,'סיווג התפקידים והעלויות'!$C$2)</f>
        <v>0</v>
      </c>
      <c r="AC718" s="374">
        <f>COUNTIFS(B:B,B718,H:H,'סיווג התפקידים והעלויות'!$D$2)</f>
        <v>0</v>
      </c>
      <c r="AD718" s="374" t="str">
        <f>IF(OR(AND(H718='סיווג התפקידים והעלויות'!$A$2,I718='סיווג התפקידים והעלויות'!$A$3),'עלויות כח אדם (6)'!H718='סיווג התפקידים והעלויות'!$C$2,'עלויות כח אדם (6)'!H718='סיווג התפקידים והעלויות'!$D$2),IF('עלויות כח אדם (6)'!J718&lt;75,"לא תקין","תקין"),"")</f>
        <v/>
      </c>
      <c r="AE718" s="374" t="str">
        <f t="shared" si="164"/>
        <v/>
      </c>
      <c r="AF718" s="532" t="str">
        <f t="shared" si="165"/>
        <v/>
      </c>
    </row>
    <row r="719" spans="2:32" x14ac:dyDescent="0.25">
      <c r="B719" s="695"/>
      <c r="C719" s="197" t="str">
        <f>IF(B719&lt;&gt;"",IFERROR(VLOOKUP(B:B,'מצבת והרשמה (2)'!$C$20:$N$520,2,0)," ")," ")</f>
        <v xml:space="preserve"> </v>
      </c>
      <c r="D719" s="695"/>
      <c r="E719" s="696"/>
      <c r="F719" s="696"/>
      <c r="G719" s="696"/>
      <c r="H719" s="696"/>
      <c r="I719" s="1050" t="str">
        <f t="shared" ref="I719:I782" si="167">SUBSTITUTE(IFERROR(IF(H719="מדצ","מדצ/ית",IF(H719="סגנית רכזת מעל 150","סגנ/ית רכז/ת&gt;150",IF(H719="רכזת תכנית בבית הספר","רכז/ת תכנית בבית הספר"))),""),"FALSE","")</f>
        <v/>
      </c>
      <c r="J719" s="696"/>
      <c r="K719" s="697"/>
      <c r="L719" s="696"/>
      <c r="M719" s="198" t="str">
        <f t="shared" ref="M719:M782" si="168">IF(AND(L719&gt;0,K719&gt;0),K719*L719,"")</f>
        <v/>
      </c>
      <c r="N719" s="369" t="str">
        <f t="shared" ref="N719:N782" si="169">TEXT(LEFT(H719,2),0)</f>
        <v/>
      </c>
      <c r="O719" s="183" t="str">
        <f t="shared" ref="O719:O782" si="170">IF(ISNUMBER(M719&gt;0),IF(ISBLANK(B719),"יש להזין סמל מוסד בעמודה B",""),"")</f>
        <v/>
      </c>
      <c r="P719" s="199" t="str">
        <f t="shared" ref="P719:P782" si="171">IF(B719="","",IF(AA719=FALSE,"לא תקין","תקין"))</f>
        <v/>
      </c>
      <c r="Q719" s="199" t="str">
        <f>IF(B719="","",IFERROR(IF('עלויות כח אדם (6)'!J719&gt;=VLOOKUP(I719,'סיווג התפקידים והעלויות'!$B$23:$C$32,2,0),"תקין","לא תקין"),""))</f>
        <v/>
      </c>
      <c r="R719" s="199" t="str">
        <f t="shared" ref="R719:R782" si="172">IF(B719="","",IF(OR(Y719&lt;100%,Y719&gt;140%),"לא תקין","תקין"))</f>
        <v/>
      </c>
      <c r="S719" s="199" t="str">
        <f t="shared" ref="S719:S782" si="173">IF(B719="","",IFERROR(IF(J719&gt;120,"לא תקין","תקין"),""))</f>
        <v/>
      </c>
      <c r="T719" s="199" t="str">
        <f t="shared" si="166"/>
        <v/>
      </c>
      <c r="U719" s="199" t="str">
        <f t="shared" ref="U719:U782" si="174">IF(B719="","",IF(Z719&gt;1,IF(SUMIF(D:D,D719,L:L)&gt;90,"לא תקין","תקין"),"תקין"))</f>
        <v/>
      </c>
      <c r="V719" s="989"/>
      <c r="X719" s="374" t="str">
        <f t="shared" ref="X719:X782" si="175">IF(B719="","",IF(OR(R719="לא תקין",S719="לא תקין",T719="לא תקין",,U719="לא תקין"),"לא תקין","תקין"))</f>
        <v/>
      </c>
      <c r="Y719" s="375" t="str">
        <f t="shared" ref="Y719:Y782" si="176">IFERROR(IF(B719="","",K719/J719),"")</f>
        <v/>
      </c>
      <c r="Z719" s="374" t="str">
        <f t="shared" ref="Z719:Z782" si="177">IF(B719="","",COUNTIF(D:D,D719))</f>
        <v/>
      </c>
      <c r="AA719" s="374" t="b">
        <f t="shared" ref="AA719:AA782" si="178">MOD(MID(REPT(0,9-LEN(D719))&amp;D719,1,1)+MID("0246813579",MID(REPT(0,9-LEN(D719))&amp;D719,2,1)+1,1)+MID(REPT(0,9-LEN(D719))&amp;D719,3,1)+MID("0246813579",MID(REPT(0,9-LEN(D719))&amp;D719,4,1)+1,1)+MID(REPT(0,9-LEN(D719))&amp;D719,5,1)+MID("0246813579",MID(REPT(0,9-LEN(D719))&amp;D719,6,1)+1,1)+MID(REPT(0,9-LEN(D719))&amp;D719,7,1)+MID("0246813579",MID(REPT(0,9-LEN(D719))&amp;D719,8,1)+1,1)+MID(REPT(0,9-LEN(D719))&amp;D719,9,1),10)=0</f>
        <v>1</v>
      </c>
      <c r="AB719" s="374">
        <f>COUNTIFS(B:B,B719,H:H,'סיווג התפקידים והעלויות'!$C$2)</f>
        <v>0</v>
      </c>
      <c r="AC719" s="374">
        <f>COUNTIFS(B:B,B719,H:H,'סיווג התפקידים והעלויות'!$D$2)</f>
        <v>0</v>
      </c>
      <c r="AD719" s="374" t="str">
        <f>IF(OR(AND(H719='סיווג התפקידים והעלויות'!$A$2,I719='סיווג התפקידים והעלויות'!$A$3),'עלויות כח אדם (6)'!H719='סיווג התפקידים והעלויות'!$C$2,'עלויות כח אדם (6)'!H719='סיווג התפקידים והעלויות'!$D$2),IF('עלויות כח אדם (6)'!J719&lt;75,"לא תקין","תקין"),"")</f>
        <v/>
      </c>
      <c r="AE719" s="374" t="str">
        <f t="shared" ref="AE719:AE782" si="179">IF(B719&lt;&gt;"",B719&amp;H719,"")</f>
        <v/>
      </c>
      <c r="AF719" s="532" t="str">
        <f t="shared" ref="AF719:AF782" si="180">M719</f>
        <v/>
      </c>
    </row>
    <row r="720" spans="2:32" x14ac:dyDescent="0.25">
      <c r="B720" s="695"/>
      <c r="C720" s="197" t="str">
        <f>IF(B720&lt;&gt;"",IFERROR(VLOOKUP(B:B,'מצבת והרשמה (2)'!$C$20:$N$520,2,0)," ")," ")</f>
        <v xml:space="preserve"> </v>
      </c>
      <c r="D720" s="695"/>
      <c r="E720" s="696"/>
      <c r="F720" s="696"/>
      <c r="G720" s="696"/>
      <c r="H720" s="696"/>
      <c r="I720" s="1050" t="str">
        <f t="shared" si="167"/>
        <v/>
      </c>
      <c r="J720" s="696"/>
      <c r="K720" s="697"/>
      <c r="L720" s="696"/>
      <c r="M720" s="198" t="str">
        <f t="shared" si="168"/>
        <v/>
      </c>
      <c r="N720" s="369" t="str">
        <f t="shared" si="169"/>
        <v/>
      </c>
      <c r="O720" s="183" t="str">
        <f t="shared" si="170"/>
        <v/>
      </c>
      <c r="P720" s="199" t="str">
        <f t="shared" si="171"/>
        <v/>
      </c>
      <c r="Q720" s="199" t="str">
        <f>IF(B720="","",IFERROR(IF('עלויות כח אדם (6)'!J720&gt;=VLOOKUP(I720,'סיווג התפקידים והעלויות'!$B$23:$C$32,2,0),"תקין","לא תקין"),""))</f>
        <v/>
      </c>
      <c r="R720" s="199" t="str">
        <f t="shared" si="172"/>
        <v/>
      </c>
      <c r="S720" s="199" t="str">
        <f t="shared" si="173"/>
        <v/>
      </c>
      <c r="T720" s="199" t="str">
        <f t="shared" ref="T720:T783" si="181">IF(B720="","",IF(H720="","יש להזין איש צוות",IF(OR(H720="מורה",H720="גננת",H720="רכז גן",H720="רכזת גן",H720="סייעת",H720="מדצית",H720="מדצ",H720="מדריך",H720="מדריכה",H720="תוספת כח אדם"),IF(L720&lt;=90,"תקין","לא תקין"),IF(OR(H720="רכז בית ספר",H720="רכזת תכנית בבית הספר",H720="רכזת בית ספר"),IF(L720&lt;=137,"תקין","לא תקין"),IF(OR(H720="סגנית רכזת מעל 150",H720="סגן רכז"),IF(L720&lt;=93,"תקין","לא תקין"),"לא תקין")))))</f>
        <v/>
      </c>
      <c r="U720" s="199" t="str">
        <f t="shared" si="174"/>
        <v/>
      </c>
      <c r="V720" s="989"/>
      <c r="X720" s="374" t="str">
        <f t="shared" si="175"/>
        <v/>
      </c>
      <c r="Y720" s="375" t="str">
        <f t="shared" si="176"/>
        <v/>
      </c>
      <c r="Z720" s="374" t="str">
        <f t="shared" si="177"/>
        <v/>
      </c>
      <c r="AA720" s="374" t="b">
        <f t="shared" si="178"/>
        <v>1</v>
      </c>
      <c r="AB720" s="374">
        <f>COUNTIFS(B:B,B720,H:H,'סיווג התפקידים והעלויות'!$C$2)</f>
        <v>0</v>
      </c>
      <c r="AC720" s="374">
        <f>COUNTIFS(B:B,B720,H:H,'סיווג התפקידים והעלויות'!$D$2)</f>
        <v>0</v>
      </c>
      <c r="AD720" s="374" t="str">
        <f>IF(OR(AND(H720='סיווג התפקידים והעלויות'!$A$2,I720='סיווג התפקידים והעלויות'!$A$3),'עלויות כח אדם (6)'!H720='סיווג התפקידים והעלויות'!$C$2,'עלויות כח אדם (6)'!H720='סיווג התפקידים והעלויות'!$D$2),IF('עלויות כח אדם (6)'!J720&lt;75,"לא תקין","תקין"),"")</f>
        <v/>
      </c>
      <c r="AE720" s="374" t="str">
        <f t="shared" si="179"/>
        <v/>
      </c>
      <c r="AF720" s="532" t="str">
        <f t="shared" si="180"/>
        <v/>
      </c>
    </row>
    <row r="721" spans="2:32" x14ac:dyDescent="0.25">
      <c r="B721" s="695"/>
      <c r="C721" s="197" t="str">
        <f>IF(B721&lt;&gt;"",IFERROR(VLOOKUP(B:B,'מצבת והרשמה (2)'!$C$20:$N$520,2,0)," ")," ")</f>
        <v xml:space="preserve"> </v>
      </c>
      <c r="D721" s="695"/>
      <c r="E721" s="696"/>
      <c r="F721" s="696"/>
      <c r="G721" s="696"/>
      <c r="H721" s="696"/>
      <c r="I721" s="1050" t="str">
        <f t="shared" si="167"/>
        <v/>
      </c>
      <c r="J721" s="696"/>
      <c r="K721" s="697"/>
      <c r="L721" s="696"/>
      <c r="M721" s="198" t="str">
        <f t="shared" si="168"/>
        <v/>
      </c>
      <c r="N721" s="369" t="str">
        <f t="shared" si="169"/>
        <v/>
      </c>
      <c r="O721" s="183" t="str">
        <f t="shared" si="170"/>
        <v/>
      </c>
      <c r="P721" s="199" t="str">
        <f t="shared" si="171"/>
        <v/>
      </c>
      <c r="Q721" s="199" t="str">
        <f>IF(B721="","",IFERROR(IF('עלויות כח אדם (6)'!J721&gt;=VLOOKUP(I721,'סיווג התפקידים והעלויות'!$B$23:$C$32,2,0),"תקין","לא תקין"),""))</f>
        <v/>
      </c>
      <c r="R721" s="199" t="str">
        <f t="shared" si="172"/>
        <v/>
      </c>
      <c r="S721" s="199" t="str">
        <f t="shared" si="173"/>
        <v/>
      </c>
      <c r="T721" s="199" t="str">
        <f t="shared" si="181"/>
        <v/>
      </c>
      <c r="U721" s="199" t="str">
        <f t="shared" si="174"/>
        <v/>
      </c>
      <c r="V721" s="989"/>
      <c r="X721" s="374" t="str">
        <f t="shared" si="175"/>
        <v/>
      </c>
      <c r="Y721" s="375" t="str">
        <f t="shared" si="176"/>
        <v/>
      </c>
      <c r="Z721" s="374" t="str">
        <f t="shared" si="177"/>
        <v/>
      </c>
      <c r="AA721" s="374" t="b">
        <f t="shared" si="178"/>
        <v>1</v>
      </c>
      <c r="AB721" s="374">
        <f>COUNTIFS(B:B,B721,H:H,'סיווג התפקידים והעלויות'!$C$2)</f>
        <v>0</v>
      </c>
      <c r="AC721" s="374">
        <f>COUNTIFS(B:B,B721,H:H,'סיווג התפקידים והעלויות'!$D$2)</f>
        <v>0</v>
      </c>
      <c r="AD721" s="374" t="str">
        <f>IF(OR(AND(H721='סיווג התפקידים והעלויות'!$A$2,I721='סיווג התפקידים והעלויות'!$A$3),'עלויות כח אדם (6)'!H721='סיווג התפקידים והעלויות'!$C$2,'עלויות כח אדם (6)'!H721='סיווג התפקידים והעלויות'!$D$2),IF('עלויות כח אדם (6)'!J721&lt;75,"לא תקין","תקין"),"")</f>
        <v/>
      </c>
      <c r="AE721" s="374" t="str">
        <f t="shared" si="179"/>
        <v/>
      </c>
      <c r="AF721" s="532" t="str">
        <f t="shared" si="180"/>
        <v/>
      </c>
    </row>
    <row r="722" spans="2:32" x14ac:dyDescent="0.25">
      <c r="B722" s="695"/>
      <c r="C722" s="197" t="str">
        <f>IF(B722&lt;&gt;"",IFERROR(VLOOKUP(B:B,'מצבת והרשמה (2)'!$C$20:$N$520,2,0)," ")," ")</f>
        <v xml:space="preserve"> </v>
      </c>
      <c r="D722" s="695"/>
      <c r="E722" s="696"/>
      <c r="F722" s="696"/>
      <c r="G722" s="696"/>
      <c r="H722" s="696"/>
      <c r="I722" s="1050" t="str">
        <f t="shared" si="167"/>
        <v/>
      </c>
      <c r="J722" s="696"/>
      <c r="K722" s="697"/>
      <c r="L722" s="696"/>
      <c r="M722" s="198" t="str">
        <f t="shared" si="168"/>
        <v/>
      </c>
      <c r="N722" s="369" t="str">
        <f t="shared" si="169"/>
        <v/>
      </c>
      <c r="O722" s="183" t="str">
        <f t="shared" si="170"/>
        <v/>
      </c>
      <c r="P722" s="199" t="str">
        <f t="shared" si="171"/>
        <v/>
      </c>
      <c r="Q722" s="199" t="str">
        <f>IF(B722="","",IFERROR(IF('עלויות כח אדם (6)'!J722&gt;=VLOOKUP(I722,'סיווג התפקידים והעלויות'!$B$23:$C$32,2,0),"תקין","לא תקין"),""))</f>
        <v/>
      </c>
      <c r="R722" s="199" t="str">
        <f t="shared" si="172"/>
        <v/>
      </c>
      <c r="S722" s="199" t="str">
        <f t="shared" si="173"/>
        <v/>
      </c>
      <c r="T722" s="199" t="str">
        <f t="shared" si="181"/>
        <v/>
      </c>
      <c r="U722" s="199" t="str">
        <f t="shared" si="174"/>
        <v/>
      </c>
      <c r="V722" s="989"/>
      <c r="X722" s="374" t="str">
        <f t="shared" si="175"/>
        <v/>
      </c>
      <c r="Y722" s="375" t="str">
        <f t="shared" si="176"/>
        <v/>
      </c>
      <c r="Z722" s="374" t="str">
        <f t="shared" si="177"/>
        <v/>
      </c>
      <c r="AA722" s="374" t="b">
        <f t="shared" si="178"/>
        <v>1</v>
      </c>
      <c r="AB722" s="374">
        <f>COUNTIFS(B:B,B722,H:H,'סיווג התפקידים והעלויות'!$C$2)</f>
        <v>0</v>
      </c>
      <c r="AC722" s="374">
        <f>COUNTIFS(B:B,B722,H:H,'סיווג התפקידים והעלויות'!$D$2)</f>
        <v>0</v>
      </c>
      <c r="AD722" s="374" t="str">
        <f>IF(OR(AND(H722='סיווג התפקידים והעלויות'!$A$2,I722='סיווג התפקידים והעלויות'!$A$3),'עלויות כח אדם (6)'!H722='סיווג התפקידים והעלויות'!$C$2,'עלויות כח אדם (6)'!H722='סיווג התפקידים והעלויות'!$D$2),IF('עלויות כח אדם (6)'!J722&lt;75,"לא תקין","תקין"),"")</f>
        <v/>
      </c>
      <c r="AE722" s="374" t="str">
        <f t="shared" si="179"/>
        <v/>
      </c>
      <c r="AF722" s="532" t="str">
        <f t="shared" si="180"/>
        <v/>
      </c>
    </row>
    <row r="723" spans="2:32" x14ac:dyDescent="0.25">
      <c r="B723" s="695"/>
      <c r="C723" s="197" t="str">
        <f>IF(B723&lt;&gt;"",IFERROR(VLOOKUP(B:B,'מצבת והרשמה (2)'!$C$20:$N$520,2,0)," ")," ")</f>
        <v xml:space="preserve"> </v>
      </c>
      <c r="D723" s="695"/>
      <c r="E723" s="696"/>
      <c r="F723" s="696"/>
      <c r="G723" s="696"/>
      <c r="H723" s="696"/>
      <c r="I723" s="1050" t="str">
        <f t="shared" si="167"/>
        <v/>
      </c>
      <c r="J723" s="696"/>
      <c r="K723" s="697"/>
      <c r="L723" s="696"/>
      <c r="M723" s="198" t="str">
        <f t="shared" si="168"/>
        <v/>
      </c>
      <c r="N723" s="369" t="str">
        <f t="shared" si="169"/>
        <v/>
      </c>
      <c r="O723" s="183" t="str">
        <f t="shared" si="170"/>
        <v/>
      </c>
      <c r="P723" s="199" t="str">
        <f t="shared" si="171"/>
        <v/>
      </c>
      <c r="Q723" s="199" t="str">
        <f>IF(B723="","",IFERROR(IF('עלויות כח אדם (6)'!J723&gt;=VLOOKUP(I723,'סיווג התפקידים והעלויות'!$B$23:$C$32,2,0),"תקין","לא תקין"),""))</f>
        <v/>
      </c>
      <c r="R723" s="199" t="str">
        <f t="shared" si="172"/>
        <v/>
      </c>
      <c r="S723" s="199" t="str">
        <f t="shared" si="173"/>
        <v/>
      </c>
      <c r="T723" s="199" t="str">
        <f t="shared" si="181"/>
        <v/>
      </c>
      <c r="U723" s="199" t="str">
        <f t="shared" si="174"/>
        <v/>
      </c>
      <c r="V723" s="989"/>
      <c r="X723" s="374" t="str">
        <f t="shared" si="175"/>
        <v/>
      </c>
      <c r="Y723" s="375" t="str">
        <f t="shared" si="176"/>
        <v/>
      </c>
      <c r="Z723" s="374" t="str">
        <f t="shared" si="177"/>
        <v/>
      </c>
      <c r="AA723" s="374" t="b">
        <f t="shared" si="178"/>
        <v>1</v>
      </c>
      <c r="AB723" s="374">
        <f>COUNTIFS(B:B,B723,H:H,'סיווג התפקידים והעלויות'!$C$2)</f>
        <v>0</v>
      </c>
      <c r="AC723" s="374">
        <f>COUNTIFS(B:B,B723,H:H,'סיווג התפקידים והעלויות'!$D$2)</f>
        <v>0</v>
      </c>
      <c r="AD723" s="374" t="str">
        <f>IF(OR(AND(H723='סיווג התפקידים והעלויות'!$A$2,I723='סיווג התפקידים והעלויות'!$A$3),'עלויות כח אדם (6)'!H723='סיווג התפקידים והעלויות'!$C$2,'עלויות כח אדם (6)'!H723='סיווג התפקידים והעלויות'!$D$2),IF('עלויות כח אדם (6)'!J723&lt;75,"לא תקין","תקין"),"")</f>
        <v/>
      </c>
      <c r="AE723" s="374" t="str">
        <f t="shared" si="179"/>
        <v/>
      </c>
      <c r="AF723" s="532" t="str">
        <f t="shared" si="180"/>
        <v/>
      </c>
    </row>
    <row r="724" spans="2:32" x14ac:dyDescent="0.25">
      <c r="B724" s="695"/>
      <c r="C724" s="197" t="str">
        <f>IF(B724&lt;&gt;"",IFERROR(VLOOKUP(B:B,'מצבת והרשמה (2)'!$C$20:$N$520,2,0)," ")," ")</f>
        <v xml:space="preserve"> </v>
      </c>
      <c r="D724" s="695"/>
      <c r="E724" s="696"/>
      <c r="F724" s="696"/>
      <c r="G724" s="696"/>
      <c r="H724" s="696"/>
      <c r="I724" s="1050" t="str">
        <f t="shared" si="167"/>
        <v/>
      </c>
      <c r="J724" s="696"/>
      <c r="K724" s="697"/>
      <c r="L724" s="696"/>
      <c r="M724" s="198" t="str">
        <f t="shared" si="168"/>
        <v/>
      </c>
      <c r="N724" s="369" t="str">
        <f t="shared" si="169"/>
        <v/>
      </c>
      <c r="O724" s="183" t="str">
        <f t="shared" si="170"/>
        <v/>
      </c>
      <c r="P724" s="199" t="str">
        <f t="shared" si="171"/>
        <v/>
      </c>
      <c r="Q724" s="199" t="str">
        <f>IF(B724="","",IFERROR(IF('עלויות כח אדם (6)'!J724&gt;=VLOOKUP(I724,'סיווג התפקידים והעלויות'!$B$23:$C$32,2,0),"תקין","לא תקין"),""))</f>
        <v/>
      </c>
      <c r="R724" s="199" t="str">
        <f t="shared" si="172"/>
        <v/>
      </c>
      <c r="S724" s="199" t="str">
        <f t="shared" si="173"/>
        <v/>
      </c>
      <c r="T724" s="199" t="str">
        <f t="shared" si="181"/>
        <v/>
      </c>
      <c r="U724" s="199" t="str">
        <f t="shared" si="174"/>
        <v/>
      </c>
      <c r="V724" s="989"/>
      <c r="X724" s="374" t="str">
        <f t="shared" si="175"/>
        <v/>
      </c>
      <c r="Y724" s="375" t="str">
        <f t="shared" si="176"/>
        <v/>
      </c>
      <c r="Z724" s="374" t="str">
        <f t="shared" si="177"/>
        <v/>
      </c>
      <c r="AA724" s="374" t="b">
        <f t="shared" si="178"/>
        <v>1</v>
      </c>
      <c r="AB724" s="374">
        <f>COUNTIFS(B:B,B724,H:H,'סיווג התפקידים והעלויות'!$C$2)</f>
        <v>0</v>
      </c>
      <c r="AC724" s="374">
        <f>COUNTIFS(B:B,B724,H:H,'סיווג התפקידים והעלויות'!$D$2)</f>
        <v>0</v>
      </c>
      <c r="AD724" s="374" t="str">
        <f>IF(OR(AND(H724='סיווג התפקידים והעלויות'!$A$2,I724='סיווג התפקידים והעלויות'!$A$3),'עלויות כח אדם (6)'!H724='סיווג התפקידים והעלויות'!$C$2,'עלויות כח אדם (6)'!H724='סיווג התפקידים והעלויות'!$D$2),IF('עלויות כח אדם (6)'!J724&lt;75,"לא תקין","תקין"),"")</f>
        <v/>
      </c>
      <c r="AE724" s="374" t="str">
        <f t="shared" si="179"/>
        <v/>
      </c>
      <c r="AF724" s="532" t="str">
        <f t="shared" si="180"/>
        <v/>
      </c>
    </row>
    <row r="725" spans="2:32" x14ac:dyDescent="0.25">
      <c r="B725" s="695"/>
      <c r="C725" s="197" t="str">
        <f>IF(B725&lt;&gt;"",IFERROR(VLOOKUP(B:B,'מצבת והרשמה (2)'!$C$20:$N$520,2,0)," ")," ")</f>
        <v xml:space="preserve"> </v>
      </c>
      <c r="D725" s="695"/>
      <c r="E725" s="696"/>
      <c r="F725" s="696"/>
      <c r="G725" s="696"/>
      <c r="H725" s="696"/>
      <c r="I725" s="1050" t="str">
        <f t="shared" si="167"/>
        <v/>
      </c>
      <c r="J725" s="696"/>
      <c r="K725" s="697"/>
      <c r="L725" s="696"/>
      <c r="M725" s="198" t="str">
        <f t="shared" si="168"/>
        <v/>
      </c>
      <c r="N725" s="369" t="str">
        <f t="shared" si="169"/>
        <v/>
      </c>
      <c r="O725" s="183" t="str">
        <f t="shared" si="170"/>
        <v/>
      </c>
      <c r="P725" s="199" t="str">
        <f t="shared" si="171"/>
        <v/>
      </c>
      <c r="Q725" s="199" t="str">
        <f>IF(B725="","",IFERROR(IF('עלויות כח אדם (6)'!J725&gt;=VLOOKUP(I725,'סיווג התפקידים והעלויות'!$B$23:$C$32,2,0),"תקין","לא תקין"),""))</f>
        <v/>
      </c>
      <c r="R725" s="199" t="str">
        <f t="shared" si="172"/>
        <v/>
      </c>
      <c r="S725" s="199" t="str">
        <f t="shared" si="173"/>
        <v/>
      </c>
      <c r="T725" s="199" t="str">
        <f t="shared" si="181"/>
        <v/>
      </c>
      <c r="U725" s="199" t="str">
        <f t="shared" si="174"/>
        <v/>
      </c>
      <c r="V725" s="989"/>
      <c r="X725" s="374" t="str">
        <f t="shared" si="175"/>
        <v/>
      </c>
      <c r="Y725" s="375" t="str">
        <f t="shared" si="176"/>
        <v/>
      </c>
      <c r="Z725" s="374" t="str">
        <f t="shared" si="177"/>
        <v/>
      </c>
      <c r="AA725" s="374" t="b">
        <f t="shared" si="178"/>
        <v>1</v>
      </c>
      <c r="AB725" s="374">
        <f>COUNTIFS(B:B,B725,H:H,'סיווג התפקידים והעלויות'!$C$2)</f>
        <v>0</v>
      </c>
      <c r="AC725" s="374">
        <f>COUNTIFS(B:B,B725,H:H,'סיווג התפקידים והעלויות'!$D$2)</f>
        <v>0</v>
      </c>
      <c r="AD725" s="374" t="str">
        <f>IF(OR(AND(H725='סיווג התפקידים והעלויות'!$A$2,I725='סיווג התפקידים והעלויות'!$A$3),'עלויות כח אדם (6)'!H725='סיווג התפקידים והעלויות'!$C$2,'עלויות כח אדם (6)'!H725='סיווג התפקידים והעלויות'!$D$2),IF('עלויות כח אדם (6)'!J725&lt;75,"לא תקין","תקין"),"")</f>
        <v/>
      </c>
      <c r="AE725" s="374" t="str">
        <f t="shared" si="179"/>
        <v/>
      </c>
      <c r="AF725" s="532" t="str">
        <f t="shared" si="180"/>
        <v/>
      </c>
    </row>
    <row r="726" spans="2:32" x14ac:dyDescent="0.25">
      <c r="B726" s="695"/>
      <c r="C726" s="197" t="str">
        <f>IF(B726&lt;&gt;"",IFERROR(VLOOKUP(B:B,'מצבת והרשמה (2)'!$C$20:$N$520,2,0)," ")," ")</f>
        <v xml:space="preserve"> </v>
      </c>
      <c r="D726" s="695"/>
      <c r="E726" s="696"/>
      <c r="F726" s="696"/>
      <c r="G726" s="696"/>
      <c r="H726" s="696"/>
      <c r="I726" s="1050" t="str">
        <f t="shared" si="167"/>
        <v/>
      </c>
      <c r="J726" s="696"/>
      <c r="K726" s="697"/>
      <c r="L726" s="696"/>
      <c r="M726" s="198" t="str">
        <f t="shared" si="168"/>
        <v/>
      </c>
      <c r="N726" s="369" t="str">
        <f t="shared" si="169"/>
        <v/>
      </c>
      <c r="O726" s="183" t="str">
        <f t="shared" si="170"/>
        <v/>
      </c>
      <c r="P726" s="199" t="str">
        <f t="shared" si="171"/>
        <v/>
      </c>
      <c r="Q726" s="199" t="str">
        <f>IF(B726="","",IFERROR(IF('עלויות כח אדם (6)'!J726&gt;=VLOOKUP(I726,'סיווג התפקידים והעלויות'!$B$23:$C$32,2,0),"תקין","לא תקין"),""))</f>
        <v/>
      </c>
      <c r="R726" s="199" t="str">
        <f t="shared" si="172"/>
        <v/>
      </c>
      <c r="S726" s="199" t="str">
        <f t="shared" si="173"/>
        <v/>
      </c>
      <c r="T726" s="199" t="str">
        <f t="shared" si="181"/>
        <v/>
      </c>
      <c r="U726" s="199" t="str">
        <f t="shared" si="174"/>
        <v/>
      </c>
      <c r="V726" s="989"/>
      <c r="X726" s="374" t="str">
        <f t="shared" si="175"/>
        <v/>
      </c>
      <c r="Y726" s="375" t="str">
        <f t="shared" si="176"/>
        <v/>
      </c>
      <c r="Z726" s="374" t="str">
        <f t="shared" si="177"/>
        <v/>
      </c>
      <c r="AA726" s="374" t="b">
        <f t="shared" si="178"/>
        <v>1</v>
      </c>
      <c r="AB726" s="374">
        <f>COUNTIFS(B:B,B726,H:H,'סיווג התפקידים והעלויות'!$C$2)</f>
        <v>0</v>
      </c>
      <c r="AC726" s="374">
        <f>COUNTIFS(B:B,B726,H:H,'סיווג התפקידים והעלויות'!$D$2)</f>
        <v>0</v>
      </c>
      <c r="AD726" s="374" t="str">
        <f>IF(OR(AND(H726='סיווג התפקידים והעלויות'!$A$2,I726='סיווג התפקידים והעלויות'!$A$3),'עלויות כח אדם (6)'!H726='סיווג התפקידים והעלויות'!$C$2,'עלויות כח אדם (6)'!H726='סיווג התפקידים והעלויות'!$D$2),IF('עלויות כח אדם (6)'!J726&lt;75,"לא תקין","תקין"),"")</f>
        <v/>
      </c>
      <c r="AE726" s="374" t="str">
        <f t="shared" si="179"/>
        <v/>
      </c>
      <c r="AF726" s="532" t="str">
        <f t="shared" si="180"/>
        <v/>
      </c>
    </row>
    <row r="727" spans="2:32" x14ac:dyDescent="0.25">
      <c r="B727" s="695"/>
      <c r="C727" s="197" t="str">
        <f>IF(B727&lt;&gt;"",IFERROR(VLOOKUP(B:B,'מצבת והרשמה (2)'!$C$20:$N$520,2,0)," ")," ")</f>
        <v xml:space="preserve"> </v>
      </c>
      <c r="D727" s="695"/>
      <c r="E727" s="696"/>
      <c r="F727" s="696"/>
      <c r="G727" s="696"/>
      <c r="H727" s="696"/>
      <c r="I727" s="1050" t="str">
        <f t="shared" si="167"/>
        <v/>
      </c>
      <c r="J727" s="696"/>
      <c r="K727" s="697"/>
      <c r="L727" s="696"/>
      <c r="M727" s="198" t="str">
        <f t="shared" si="168"/>
        <v/>
      </c>
      <c r="N727" s="369" t="str">
        <f t="shared" si="169"/>
        <v/>
      </c>
      <c r="O727" s="183" t="str">
        <f t="shared" si="170"/>
        <v/>
      </c>
      <c r="P727" s="199" t="str">
        <f t="shared" si="171"/>
        <v/>
      </c>
      <c r="Q727" s="199" t="str">
        <f>IF(B727="","",IFERROR(IF('עלויות כח אדם (6)'!J727&gt;=VLOOKUP(I727,'סיווג התפקידים והעלויות'!$B$23:$C$32,2,0),"תקין","לא תקין"),""))</f>
        <v/>
      </c>
      <c r="R727" s="199" t="str">
        <f t="shared" si="172"/>
        <v/>
      </c>
      <c r="S727" s="199" t="str">
        <f t="shared" si="173"/>
        <v/>
      </c>
      <c r="T727" s="199" t="str">
        <f t="shared" si="181"/>
        <v/>
      </c>
      <c r="U727" s="199" t="str">
        <f t="shared" si="174"/>
        <v/>
      </c>
      <c r="V727" s="989"/>
      <c r="X727" s="374" t="str">
        <f t="shared" si="175"/>
        <v/>
      </c>
      <c r="Y727" s="375" t="str">
        <f t="shared" si="176"/>
        <v/>
      </c>
      <c r="Z727" s="374" t="str">
        <f t="shared" si="177"/>
        <v/>
      </c>
      <c r="AA727" s="374" t="b">
        <f t="shared" si="178"/>
        <v>1</v>
      </c>
      <c r="AB727" s="374">
        <f>COUNTIFS(B:B,B727,H:H,'סיווג התפקידים והעלויות'!$C$2)</f>
        <v>0</v>
      </c>
      <c r="AC727" s="374">
        <f>COUNTIFS(B:B,B727,H:H,'סיווג התפקידים והעלויות'!$D$2)</f>
        <v>0</v>
      </c>
      <c r="AD727" s="374" t="str">
        <f>IF(OR(AND(H727='סיווג התפקידים והעלויות'!$A$2,I727='סיווג התפקידים והעלויות'!$A$3),'עלויות כח אדם (6)'!H727='סיווג התפקידים והעלויות'!$C$2,'עלויות כח אדם (6)'!H727='סיווג התפקידים והעלויות'!$D$2),IF('עלויות כח אדם (6)'!J727&lt;75,"לא תקין","תקין"),"")</f>
        <v/>
      </c>
      <c r="AE727" s="374" t="str">
        <f t="shared" si="179"/>
        <v/>
      </c>
      <c r="AF727" s="532" t="str">
        <f t="shared" si="180"/>
        <v/>
      </c>
    </row>
    <row r="728" spans="2:32" x14ac:dyDescent="0.25">
      <c r="B728" s="695"/>
      <c r="C728" s="197" t="str">
        <f>IF(B728&lt;&gt;"",IFERROR(VLOOKUP(B:B,'מצבת והרשמה (2)'!$C$20:$N$520,2,0)," ")," ")</f>
        <v xml:space="preserve"> </v>
      </c>
      <c r="D728" s="695"/>
      <c r="E728" s="696"/>
      <c r="F728" s="696"/>
      <c r="G728" s="696"/>
      <c r="H728" s="696"/>
      <c r="I728" s="1050" t="str">
        <f t="shared" si="167"/>
        <v/>
      </c>
      <c r="J728" s="696"/>
      <c r="K728" s="697"/>
      <c r="L728" s="696"/>
      <c r="M728" s="198" t="str">
        <f t="shared" si="168"/>
        <v/>
      </c>
      <c r="N728" s="369" t="str">
        <f t="shared" si="169"/>
        <v/>
      </c>
      <c r="O728" s="183" t="str">
        <f t="shared" si="170"/>
        <v/>
      </c>
      <c r="P728" s="199" t="str">
        <f t="shared" si="171"/>
        <v/>
      </c>
      <c r="Q728" s="199" t="str">
        <f>IF(B728="","",IFERROR(IF('עלויות כח אדם (6)'!J728&gt;=VLOOKUP(I728,'סיווג התפקידים והעלויות'!$B$23:$C$32,2,0),"תקין","לא תקין"),""))</f>
        <v/>
      </c>
      <c r="R728" s="199" t="str">
        <f t="shared" si="172"/>
        <v/>
      </c>
      <c r="S728" s="199" t="str">
        <f t="shared" si="173"/>
        <v/>
      </c>
      <c r="T728" s="199" t="str">
        <f t="shared" si="181"/>
        <v/>
      </c>
      <c r="U728" s="199" t="str">
        <f t="shared" si="174"/>
        <v/>
      </c>
      <c r="V728" s="989"/>
      <c r="X728" s="374" t="str">
        <f t="shared" si="175"/>
        <v/>
      </c>
      <c r="Y728" s="375" t="str">
        <f t="shared" si="176"/>
        <v/>
      </c>
      <c r="Z728" s="374" t="str">
        <f t="shared" si="177"/>
        <v/>
      </c>
      <c r="AA728" s="374" t="b">
        <f t="shared" si="178"/>
        <v>1</v>
      </c>
      <c r="AB728" s="374">
        <f>COUNTIFS(B:B,B728,H:H,'סיווג התפקידים והעלויות'!$C$2)</f>
        <v>0</v>
      </c>
      <c r="AC728" s="374">
        <f>COUNTIFS(B:B,B728,H:H,'סיווג התפקידים והעלויות'!$D$2)</f>
        <v>0</v>
      </c>
      <c r="AD728" s="374" t="str">
        <f>IF(OR(AND(H728='סיווג התפקידים והעלויות'!$A$2,I728='סיווג התפקידים והעלויות'!$A$3),'עלויות כח אדם (6)'!H728='סיווג התפקידים והעלויות'!$C$2,'עלויות כח אדם (6)'!H728='סיווג התפקידים והעלויות'!$D$2),IF('עלויות כח אדם (6)'!J728&lt;75,"לא תקין","תקין"),"")</f>
        <v/>
      </c>
      <c r="AE728" s="374" t="str">
        <f t="shared" si="179"/>
        <v/>
      </c>
      <c r="AF728" s="532" t="str">
        <f t="shared" si="180"/>
        <v/>
      </c>
    </row>
    <row r="729" spans="2:32" x14ac:dyDescent="0.25">
      <c r="B729" s="695"/>
      <c r="C729" s="197" t="str">
        <f>IF(B729&lt;&gt;"",IFERROR(VLOOKUP(B:B,'מצבת והרשמה (2)'!$C$20:$N$520,2,0)," ")," ")</f>
        <v xml:space="preserve"> </v>
      </c>
      <c r="D729" s="695"/>
      <c r="E729" s="696"/>
      <c r="F729" s="696"/>
      <c r="G729" s="696"/>
      <c r="H729" s="696"/>
      <c r="I729" s="1050" t="str">
        <f t="shared" si="167"/>
        <v/>
      </c>
      <c r="J729" s="696"/>
      <c r="K729" s="697"/>
      <c r="L729" s="696"/>
      <c r="M729" s="198" t="str">
        <f t="shared" si="168"/>
        <v/>
      </c>
      <c r="N729" s="369" t="str">
        <f t="shared" si="169"/>
        <v/>
      </c>
      <c r="O729" s="183" t="str">
        <f t="shared" si="170"/>
        <v/>
      </c>
      <c r="P729" s="199" t="str">
        <f t="shared" si="171"/>
        <v/>
      </c>
      <c r="Q729" s="199" t="str">
        <f>IF(B729="","",IFERROR(IF('עלויות כח אדם (6)'!J729&gt;=VLOOKUP(I729,'סיווג התפקידים והעלויות'!$B$23:$C$32,2,0),"תקין","לא תקין"),""))</f>
        <v/>
      </c>
      <c r="R729" s="199" t="str">
        <f t="shared" si="172"/>
        <v/>
      </c>
      <c r="S729" s="199" t="str">
        <f t="shared" si="173"/>
        <v/>
      </c>
      <c r="T729" s="199" t="str">
        <f t="shared" si="181"/>
        <v/>
      </c>
      <c r="U729" s="199" t="str">
        <f t="shared" si="174"/>
        <v/>
      </c>
      <c r="V729" s="989"/>
      <c r="X729" s="374" t="str">
        <f t="shared" si="175"/>
        <v/>
      </c>
      <c r="Y729" s="375" t="str">
        <f t="shared" si="176"/>
        <v/>
      </c>
      <c r="Z729" s="374" t="str">
        <f t="shared" si="177"/>
        <v/>
      </c>
      <c r="AA729" s="374" t="b">
        <f t="shared" si="178"/>
        <v>1</v>
      </c>
      <c r="AB729" s="374">
        <f>COUNTIFS(B:B,B729,H:H,'סיווג התפקידים והעלויות'!$C$2)</f>
        <v>0</v>
      </c>
      <c r="AC729" s="374">
        <f>COUNTIFS(B:B,B729,H:H,'סיווג התפקידים והעלויות'!$D$2)</f>
        <v>0</v>
      </c>
      <c r="AD729" s="374" t="str">
        <f>IF(OR(AND(H729='סיווג התפקידים והעלויות'!$A$2,I729='סיווג התפקידים והעלויות'!$A$3),'עלויות כח אדם (6)'!H729='סיווג התפקידים והעלויות'!$C$2,'עלויות כח אדם (6)'!H729='סיווג התפקידים והעלויות'!$D$2),IF('עלויות כח אדם (6)'!J729&lt;75,"לא תקין","תקין"),"")</f>
        <v/>
      </c>
      <c r="AE729" s="374" t="str">
        <f t="shared" si="179"/>
        <v/>
      </c>
      <c r="AF729" s="532" t="str">
        <f t="shared" si="180"/>
        <v/>
      </c>
    </row>
    <row r="730" spans="2:32" x14ac:dyDescent="0.25">
      <c r="B730" s="695"/>
      <c r="C730" s="197" t="str">
        <f>IF(B730&lt;&gt;"",IFERROR(VLOOKUP(B:B,'מצבת והרשמה (2)'!$C$20:$N$520,2,0)," ")," ")</f>
        <v xml:space="preserve"> </v>
      </c>
      <c r="D730" s="695"/>
      <c r="E730" s="696"/>
      <c r="F730" s="696"/>
      <c r="G730" s="696"/>
      <c r="H730" s="696"/>
      <c r="I730" s="1050" t="str">
        <f t="shared" si="167"/>
        <v/>
      </c>
      <c r="J730" s="696"/>
      <c r="K730" s="697"/>
      <c r="L730" s="696"/>
      <c r="M730" s="198" t="str">
        <f t="shared" si="168"/>
        <v/>
      </c>
      <c r="N730" s="369" t="str">
        <f t="shared" si="169"/>
        <v/>
      </c>
      <c r="O730" s="183" t="str">
        <f t="shared" si="170"/>
        <v/>
      </c>
      <c r="P730" s="199" t="str">
        <f t="shared" si="171"/>
        <v/>
      </c>
      <c r="Q730" s="199" t="str">
        <f>IF(B730="","",IFERROR(IF('עלויות כח אדם (6)'!J730&gt;=VLOOKUP(I730,'סיווג התפקידים והעלויות'!$B$23:$C$32,2,0),"תקין","לא תקין"),""))</f>
        <v/>
      </c>
      <c r="R730" s="199" t="str">
        <f t="shared" si="172"/>
        <v/>
      </c>
      <c r="S730" s="199" t="str">
        <f t="shared" si="173"/>
        <v/>
      </c>
      <c r="T730" s="199" t="str">
        <f t="shared" si="181"/>
        <v/>
      </c>
      <c r="U730" s="199" t="str">
        <f t="shared" si="174"/>
        <v/>
      </c>
      <c r="V730" s="989"/>
      <c r="X730" s="374" t="str">
        <f t="shared" si="175"/>
        <v/>
      </c>
      <c r="Y730" s="375" t="str">
        <f t="shared" si="176"/>
        <v/>
      </c>
      <c r="Z730" s="374" t="str">
        <f t="shared" si="177"/>
        <v/>
      </c>
      <c r="AA730" s="374" t="b">
        <f t="shared" si="178"/>
        <v>1</v>
      </c>
      <c r="AB730" s="374">
        <f>COUNTIFS(B:B,B730,H:H,'סיווג התפקידים והעלויות'!$C$2)</f>
        <v>0</v>
      </c>
      <c r="AC730" s="374">
        <f>COUNTIFS(B:B,B730,H:H,'סיווג התפקידים והעלויות'!$D$2)</f>
        <v>0</v>
      </c>
      <c r="AD730" s="374" t="str">
        <f>IF(OR(AND(H730='סיווג התפקידים והעלויות'!$A$2,I730='סיווג התפקידים והעלויות'!$A$3),'עלויות כח אדם (6)'!H730='סיווג התפקידים והעלויות'!$C$2,'עלויות כח אדם (6)'!H730='סיווג התפקידים והעלויות'!$D$2),IF('עלויות כח אדם (6)'!J730&lt;75,"לא תקין","תקין"),"")</f>
        <v/>
      </c>
      <c r="AE730" s="374" t="str">
        <f t="shared" si="179"/>
        <v/>
      </c>
      <c r="AF730" s="532" t="str">
        <f t="shared" si="180"/>
        <v/>
      </c>
    </row>
    <row r="731" spans="2:32" x14ac:dyDescent="0.25">
      <c r="B731" s="695"/>
      <c r="C731" s="197" t="str">
        <f>IF(B731&lt;&gt;"",IFERROR(VLOOKUP(B:B,'מצבת והרשמה (2)'!$C$20:$N$520,2,0)," ")," ")</f>
        <v xml:space="preserve"> </v>
      </c>
      <c r="D731" s="695"/>
      <c r="E731" s="696"/>
      <c r="F731" s="696"/>
      <c r="G731" s="696"/>
      <c r="H731" s="696"/>
      <c r="I731" s="1050" t="str">
        <f t="shared" si="167"/>
        <v/>
      </c>
      <c r="J731" s="696"/>
      <c r="K731" s="697"/>
      <c r="L731" s="696"/>
      <c r="M731" s="198" t="str">
        <f t="shared" si="168"/>
        <v/>
      </c>
      <c r="N731" s="369" t="str">
        <f t="shared" si="169"/>
        <v/>
      </c>
      <c r="O731" s="183" t="str">
        <f t="shared" si="170"/>
        <v/>
      </c>
      <c r="P731" s="199" t="str">
        <f t="shared" si="171"/>
        <v/>
      </c>
      <c r="Q731" s="199" t="str">
        <f>IF(B731="","",IFERROR(IF('עלויות כח אדם (6)'!J731&gt;=VLOOKUP(I731,'סיווג התפקידים והעלויות'!$B$23:$C$32,2,0),"תקין","לא תקין"),""))</f>
        <v/>
      </c>
      <c r="R731" s="199" t="str">
        <f t="shared" si="172"/>
        <v/>
      </c>
      <c r="S731" s="199" t="str">
        <f t="shared" si="173"/>
        <v/>
      </c>
      <c r="T731" s="199" t="str">
        <f t="shared" si="181"/>
        <v/>
      </c>
      <c r="U731" s="199" t="str">
        <f t="shared" si="174"/>
        <v/>
      </c>
      <c r="V731" s="989"/>
      <c r="X731" s="374" t="str">
        <f t="shared" si="175"/>
        <v/>
      </c>
      <c r="Y731" s="375" t="str">
        <f t="shared" si="176"/>
        <v/>
      </c>
      <c r="Z731" s="374" t="str">
        <f t="shared" si="177"/>
        <v/>
      </c>
      <c r="AA731" s="374" t="b">
        <f t="shared" si="178"/>
        <v>1</v>
      </c>
      <c r="AB731" s="374">
        <f>COUNTIFS(B:B,B731,H:H,'סיווג התפקידים והעלויות'!$C$2)</f>
        <v>0</v>
      </c>
      <c r="AC731" s="374">
        <f>COUNTIFS(B:B,B731,H:H,'סיווג התפקידים והעלויות'!$D$2)</f>
        <v>0</v>
      </c>
      <c r="AD731" s="374" t="str">
        <f>IF(OR(AND(H731='סיווג התפקידים והעלויות'!$A$2,I731='סיווג התפקידים והעלויות'!$A$3),'עלויות כח אדם (6)'!H731='סיווג התפקידים והעלויות'!$C$2,'עלויות כח אדם (6)'!H731='סיווג התפקידים והעלויות'!$D$2),IF('עלויות כח אדם (6)'!J731&lt;75,"לא תקין","תקין"),"")</f>
        <v/>
      </c>
      <c r="AE731" s="374" t="str">
        <f t="shared" si="179"/>
        <v/>
      </c>
      <c r="AF731" s="532" t="str">
        <f t="shared" si="180"/>
        <v/>
      </c>
    </row>
    <row r="732" spans="2:32" x14ac:dyDescent="0.25">
      <c r="B732" s="695"/>
      <c r="C732" s="197" t="str">
        <f>IF(B732&lt;&gt;"",IFERROR(VLOOKUP(B:B,'מצבת והרשמה (2)'!$C$20:$N$520,2,0)," ")," ")</f>
        <v xml:space="preserve"> </v>
      </c>
      <c r="D732" s="695"/>
      <c r="E732" s="696"/>
      <c r="F732" s="696"/>
      <c r="G732" s="696"/>
      <c r="H732" s="696"/>
      <c r="I732" s="1050" t="str">
        <f t="shared" si="167"/>
        <v/>
      </c>
      <c r="J732" s="696"/>
      <c r="K732" s="697"/>
      <c r="L732" s="696"/>
      <c r="M732" s="198" t="str">
        <f t="shared" si="168"/>
        <v/>
      </c>
      <c r="N732" s="369" t="str">
        <f t="shared" si="169"/>
        <v/>
      </c>
      <c r="O732" s="183" t="str">
        <f t="shared" si="170"/>
        <v/>
      </c>
      <c r="P732" s="199" t="str">
        <f t="shared" si="171"/>
        <v/>
      </c>
      <c r="Q732" s="199" t="str">
        <f>IF(B732="","",IFERROR(IF('עלויות כח אדם (6)'!J732&gt;=VLOOKUP(I732,'סיווג התפקידים והעלויות'!$B$23:$C$32,2,0),"תקין","לא תקין"),""))</f>
        <v/>
      </c>
      <c r="R732" s="199" t="str">
        <f t="shared" si="172"/>
        <v/>
      </c>
      <c r="S732" s="199" t="str">
        <f t="shared" si="173"/>
        <v/>
      </c>
      <c r="T732" s="199" t="str">
        <f t="shared" si="181"/>
        <v/>
      </c>
      <c r="U732" s="199" t="str">
        <f t="shared" si="174"/>
        <v/>
      </c>
      <c r="V732" s="989"/>
      <c r="X732" s="374" t="str">
        <f t="shared" si="175"/>
        <v/>
      </c>
      <c r="Y732" s="375" t="str">
        <f t="shared" si="176"/>
        <v/>
      </c>
      <c r="Z732" s="374" t="str">
        <f t="shared" si="177"/>
        <v/>
      </c>
      <c r="AA732" s="374" t="b">
        <f t="shared" si="178"/>
        <v>1</v>
      </c>
      <c r="AB732" s="374">
        <f>COUNTIFS(B:B,B732,H:H,'סיווג התפקידים והעלויות'!$C$2)</f>
        <v>0</v>
      </c>
      <c r="AC732" s="374">
        <f>COUNTIFS(B:B,B732,H:H,'סיווג התפקידים והעלויות'!$D$2)</f>
        <v>0</v>
      </c>
      <c r="AD732" s="374" t="str">
        <f>IF(OR(AND(H732='סיווג התפקידים והעלויות'!$A$2,I732='סיווג התפקידים והעלויות'!$A$3),'עלויות כח אדם (6)'!H732='סיווג התפקידים והעלויות'!$C$2,'עלויות כח אדם (6)'!H732='סיווג התפקידים והעלויות'!$D$2),IF('עלויות כח אדם (6)'!J732&lt;75,"לא תקין","תקין"),"")</f>
        <v/>
      </c>
      <c r="AE732" s="374" t="str">
        <f t="shared" si="179"/>
        <v/>
      </c>
      <c r="AF732" s="532" t="str">
        <f t="shared" si="180"/>
        <v/>
      </c>
    </row>
    <row r="733" spans="2:32" x14ac:dyDescent="0.25">
      <c r="B733" s="695"/>
      <c r="C733" s="197" t="str">
        <f>IF(B733&lt;&gt;"",IFERROR(VLOOKUP(B:B,'מצבת והרשמה (2)'!$C$20:$N$520,2,0)," ")," ")</f>
        <v xml:space="preserve"> </v>
      </c>
      <c r="D733" s="695"/>
      <c r="E733" s="696"/>
      <c r="F733" s="696"/>
      <c r="G733" s="696"/>
      <c r="H733" s="696"/>
      <c r="I733" s="1050" t="str">
        <f t="shared" si="167"/>
        <v/>
      </c>
      <c r="J733" s="696"/>
      <c r="K733" s="697"/>
      <c r="L733" s="696"/>
      <c r="M733" s="198" t="str">
        <f t="shared" si="168"/>
        <v/>
      </c>
      <c r="N733" s="369" t="str">
        <f t="shared" si="169"/>
        <v/>
      </c>
      <c r="O733" s="183" t="str">
        <f t="shared" si="170"/>
        <v/>
      </c>
      <c r="P733" s="199" t="str">
        <f t="shared" si="171"/>
        <v/>
      </c>
      <c r="Q733" s="199" t="str">
        <f>IF(B733="","",IFERROR(IF('עלויות כח אדם (6)'!J733&gt;=VLOOKUP(I733,'סיווג התפקידים והעלויות'!$B$23:$C$32,2,0),"תקין","לא תקין"),""))</f>
        <v/>
      </c>
      <c r="R733" s="199" t="str">
        <f t="shared" si="172"/>
        <v/>
      </c>
      <c r="S733" s="199" t="str">
        <f t="shared" si="173"/>
        <v/>
      </c>
      <c r="T733" s="199" t="str">
        <f t="shared" si="181"/>
        <v/>
      </c>
      <c r="U733" s="199" t="str">
        <f t="shared" si="174"/>
        <v/>
      </c>
      <c r="V733" s="989"/>
      <c r="X733" s="374" t="str">
        <f t="shared" si="175"/>
        <v/>
      </c>
      <c r="Y733" s="375" t="str">
        <f t="shared" si="176"/>
        <v/>
      </c>
      <c r="Z733" s="374" t="str">
        <f t="shared" si="177"/>
        <v/>
      </c>
      <c r="AA733" s="374" t="b">
        <f t="shared" si="178"/>
        <v>1</v>
      </c>
      <c r="AB733" s="374">
        <f>COUNTIFS(B:B,B733,H:H,'סיווג התפקידים והעלויות'!$C$2)</f>
        <v>0</v>
      </c>
      <c r="AC733" s="374">
        <f>COUNTIFS(B:B,B733,H:H,'סיווג התפקידים והעלויות'!$D$2)</f>
        <v>0</v>
      </c>
      <c r="AD733" s="374" t="str">
        <f>IF(OR(AND(H733='סיווג התפקידים והעלויות'!$A$2,I733='סיווג התפקידים והעלויות'!$A$3),'עלויות כח אדם (6)'!H733='סיווג התפקידים והעלויות'!$C$2,'עלויות כח אדם (6)'!H733='סיווג התפקידים והעלויות'!$D$2),IF('עלויות כח אדם (6)'!J733&lt;75,"לא תקין","תקין"),"")</f>
        <v/>
      </c>
      <c r="AE733" s="374" t="str">
        <f t="shared" si="179"/>
        <v/>
      </c>
      <c r="AF733" s="532" t="str">
        <f t="shared" si="180"/>
        <v/>
      </c>
    </row>
    <row r="734" spans="2:32" x14ac:dyDescent="0.25">
      <c r="B734" s="695"/>
      <c r="C734" s="197" t="str">
        <f>IF(B734&lt;&gt;"",IFERROR(VLOOKUP(B:B,'מצבת והרשמה (2)'!$C$20:$N$520,2,0)," ")," ")</f>
        <v xml:space="preserve"> </v>
      </c>
      <c r="D734" s="695"/>
      <c r="E734" s="696"/>
      <c r="F734" s="696"/>
      <c r="G734" s="696"/>
      <c r="H734" s="696"/>
      <c r="I734" s="1050" t="str">
        <f t="shared" si="167"/>
        <v/>
      </c>
      <c r="J734" s="696"/>
      <c r="K734" s="697"/>
      <c r="L734" s="696"/>
      <c r="M734" s="198" t="str">
        <f t="shared" si="168"/>
        <v/>
      </c>
      <c r="N734" s="369" t="str">
        <f t="shared" si="169"/>
        <v/>
      </c>
      <c r="O734" s="183" t="str">
        <f t="shared" si="170"/>
        <v/>
      </c>
      <c r="P734" s="199" t="str">
        <f t="shared" si="171"/>
        <v/>
      </c>
      <c r="Q734" s="199" t="str">
        <f>IF(B734="","",IFERROR(IF('עלויות כח אדם (6)'!J734&gt;=VLOOKUP(I734,'סיווג התפקידים והעלויות'!$B$23:$C$32,2,0),"תקין","לא תקין"),""))</f>
        <v/>
      </c>
      <c r="R734" s="199" t="str">
        <f t="shared" si="172"/>
        <v/>
      </c>
      <c r="S734" s="199" t="str">
        <f t="shared" si="173"/>
        <v/>
      </c>
      <c r="T734" s="199" t="str">
        <f t="shared" si="181"/>
        <v/>
      </c>
      <c r="U734" s="199" t="str">
        <f t="shared" si="174"/>
        <v/>
      </c>
      <c r="V734" s="989"/>
      <c r="X734" s="374" t="str">
        <f t="shared" si="175"/>
        <v/>
      </c>
      <c r="Y734" s="375" t="str">
        <f t="shared" si="176"/>
        <v/>
      </c>
      <c r="Z734" s="374" t="str">
        <f t="shared" si="177"/>
        <v/>
      </c>
      <c r="AA734" s="374" t="b">
        <f t="shared" si="178"/>
        <v>1</v>
      </c>
      <c r="AB734" s="374">
        <f>COUNTIFS(B:B,B734,H:H,'סיווג התפקידים והעלויות'!$C$2)</f>
        <v>0</v>
      </c>
      <c r="AC734" s="374">
        <f>COUNTIFS(B:B,B734,H:H,'סיווג התפקידים והעלויות'!$D$2)</f>
        <v>0</v>
      </c>
      <c r="AD734" s="374" t="str">
        <f>IF(OR(AND(H734='סיווג התפקידים והעלויות'!$A$2,I734='סיווג התפקידים והעלויות'!$A$3),'עלויות כח אדם (6)'!H734='סיווג התפקידים והעלויות'!$C$2,'עלויות כח אדם (6)'!H734='סיווג התפקידים והעלויות'!$D$2),IF('עלויות כח אדם (6)'!J734&lt;75,"לא תקין","תקין"),"")</f>
        <v/>
      </c>
      <c r="AE734" s="374" t="str">
        <f t="shared" si="179"/>
        <v/>
      </c>
      <c r="AF734" s="532" t="str">
        <f t="shared" si="180"/>
        <v/>
      </c>
    </row>
    <row r="735" spans="2:32" x14ac:dyDescent="0.25">
      <c r="B735" s="695"/>
      <c r="C735" s="197" t="str">
        <f>IF(B735&lt;&gt;"",IFERROR(VLOOKUP(B:B,'מצבת והרשמה (2)'!$C$20:$N$520,2,0)," ")," ")</f>
        <v xml:space="preserve"> </v>
      </c>
      <c r="D735" s="695"/>
      <c r="E735" s="696"/>
      <c r="F735" s="696"/>
      <c r="G735" s="696"/>
      <c r="H735" s="696"/>
      <c r="I735" s="1050" t="str">
        <f t="shared" si="167"/>
        <v/>
      </c>
      <c r="J735" s="696"/>
      <c r="K735" s="697"/>
      <c r="L735" s="696"/>
      <c r="M735" s="198" t="str">
        <f t="shared" si="168"/>
        <v/>
      </c>
      <c r="N735" s="369" t="str">
        <f t="shared" si="169"/>
        <v/>
      </c>
      <c r="O735" s="183" t="str">
        <f t="shared" si="170"/>
        <v/>
      </c>
      <c r="P735" s="199" t="str">
        <f t="shared" si="171"/>
        <v/>
      </c>
      <c r="Q735" s="199" t="str">
        <f>IF(B735="","",IFERROR(IF('עלויות כח אדם (6)'!J735&gt;=VLOOKUP(I735,'סיווג התפקידים והעלויות'!$B$23:$C$32,2,0),"תקין","לא תקין"),""))</f>
        <v/>
      </c>
      <c r="R735" s="199" t="str">
        <f t="shared" si="172"/>
        <v/>
      </c>
      <c r="S735" s="199" t="str">
        <f t="shared" si="173"/>
        <v/>
      </c>
      <c r="T735" s="199" t="str">
        <f t="shared" si="181"/>
        <v/>
      </c>
      <c r="U735" s="199" t="str">
        <f t="shared" si="174"/>
        <v/>
      </c>
      <c r="V735" s="989"/>
      <c r="X735" s="374" t="str">
        <f t="shared" si="175"/>
        <v/>
      </c>
      <c r="Y735" s="375" t="str">
        <f t="shared" si="176"/>
        <v/>
      </c>
      <c r="Z735" s="374" t="str">
        <f t="shared" si="177"/>
        <v/>
      </c>
      <c r="AA735" s="374" t="b">
        <f t="shared" si="178"/>
        <v>1</v>
      </c>
      <c r="AB735" s="374">
        <f>COUNTIFS(B:B,B735,H:H,'סיווג התפקידים והעלויות'!$C$2)</f>
        <v>0</v>
      </c>
      <c r="AC735" s="374">
        <f>COUNTIFS(B:B,B735,H:H,'סיווג התפקידים והעלויות'!$D$2)</f>
        <v>0</v>
      </c>
      <c r="AD735" s="374" t="str">
        <f>IF(OR(AND(H735='סיווג התפקידים והעלויות'!$A$2,I735='סיווג התפקידים והעלויות'!$A$3),'עלויות כח אדם (6)'!H735='סיווג התפקידים והעלויות'!$C$2,'עלויות כח אדם (6)'!H735='סיווג התפקידים והעלויות'!$D$2),IF('עלויות כח אדם (6)'!J735&lt;75,"לא תקין","תקין"),"")</f>
        <v/>
      </c>
      <c r="AE735" s="374" t="str">
        <f t="shared" si="179"/>
        <v/>
      </c>
      <c r="AF735" s="532" t="str">
        <f t="shared" si="180"/>
        <v/>
      </c>
    </row>
    <row r="736" spans="2:32" x14ac:dyDescent="0.25">
      <c r="B736" s="695"/>
      <c r="C736" s="197" t="str">
        <f>IF(B736&lt;&gt;"",IFERROR(VLOOKUP(B:B,'מצבת והרשמה (2)'!$C$20:$N$520,2,0)," ")," ")</f>
        <v xml:space="preserve"> </v>
      </c>
      <c r="D736" s="695"/>
      <c r="E736" s="696"/>
      <c r="F736" s="696"/>
      <c r="G736" s="696"/>
      <c r="H736" s="696"/>
      <c r="I736" s="1050" t="str">
        <f t="shared" si="167"/>
        <v/>
      </c>
      <c r="J736" s="696"/>
      <c r="K736" s="697"/>
      <c r="L736" s="696"/>
      <c r="M736" s="198" t="str">
        <f t="shared" si="168"/>
        <v/>
      </c>
      <c r="N736" s="369" t="str">
        <f t="shared" si="169"/>
        <v/>
      </c>
      <c r="O736" s="183" t="str">
        <f t="shared" si="170"/>
        <v/>
      </c>
      <c r="P736" s="199" t="str">
        <f t="shared" si="171"/>
        <v/>
      </c>
      <c r="Q736" s="199" t="str">
        <f>IF(B736="","",IFERROR(IF('עלויות כח אדם (6)'!J736&gt;=VLOOKUP(I736,'סיווג התפקידים והעלויות'!$B$23:$C$32,2,0),"תקין","לא תקין"),""))</f>
        <v/>
      </c>
      <c r="R736" s="199" t="str">
        <f t="shared" si="172"/>
        <v/>
      </c>
      <c r="S736" s="199" t="str">
        <f t="shared" si="173"/>
        <v/>
      </c>
      <c r="T736" s="199" t="str">
        <f t="shared" si="181"/>
        <v/>
      </c>
      <c r="U736" s="199" t="str">
        <f t="shared" si="174"/>
        <v/>
      </c>
      <c r="V736" s="989"/>
      <c r="X736" s="374" t="str">
        <f t="shared" si="175"/>
        <v/>
      </c>
      <c r="Y736" s="375" t="str">
        <f t="shared" si="176"/>
        <v/>
      </c>
      <c r="Z736" s="374" t="str">
        <f t="shared" si="177"/>
        <v/>
      </c>
      <c r="AA736" s="374" t="b">
        <f t="shared" si="178"/>
        <v>1</v>
      </c>
      <c r="AB736" s="374">
        <f>COUNTIFS(B:B,B736,H:H,'סיווג התפקידים והעלויות'!$C$2)</f>
        <v>0</v>
      </c>
      <c r="AC736" s="374">
        <f>COUNTIFS(B:B,B736,H:H,'סיווג התפקידים והעלויות'!$D$2)</f>
        <v>0</v>
      </c>
      <c r="AD736" s="374" t="str">
        <f>IF(OR(AND(H736='סיווג התפקידים והעלויות'!$A$2,I736='סיווג התפקידים והעלויות'!$A$3),'עלויות כח אדם (6)'!H736='סיווג התפקידים והעלויות'!$C$2,'עלויות כח אדם (6)'!H736='סיווג התפקידים והעלויות'!$D$2),IF('עלויות כח אדם (6)'!J736&lt;75,"לא תקין","תקין"),"")</f>
        <v/>
      </c>
      <c r="AE736" s="374" t="str">
        <f t="shared" si="179"/>
        <v/>
      </c>
      <c r="AF736" s="532" t="str">
        <f t="shared" si="180"/>
        <v/>
      </c>
    </row>
    <row r="737" spans="2:32" x14ac:dyDescent="0.25">
      <c r="B737" s="695"/>
      <c r="C737" s="197" t="str">
        <f>IF(B737&lt;&gt;"",IFERROR(VLOOKUP(B:B,'מצבת והרשמה (2)'!$C$20:$N$520,2,0)," ")," ")</f>
        <v xml:space="preserve"> </v>
      </c>
      <c r="D737" s="695"/>
      <c r="E737" s="696"/>
      <c r="F737" s="696"/>
      <c r="G737" s="696"/>
      <c r="H737" s="696"/>
      <c r="I737" s="1050" t="str">
        <f t="shared" si="167"/>
        <v/>
      </c>
      <c r="J737" s="696"/>
      <c r="K737" s="697"/>
      <c r="L737" s="696"/>
      <c r="M737" s="198" t="str">
        <f t="shared" si="168"/>
        <v/>
      </c>
      <c r="N737" s="369" t="str">
        <f t="shared" si="169"/>
        <v/>
      </c>
      <c r="O737" s="183" t="str">
        <f t="shared" si="170"/>
        <v/>
      </c>
      <c r="P737" s="199" t="str">
        <f t="shared" si="171"/>
        <v/>
      </c>
      <c r="Q737" s="199" t="str">
        <f>IF(B737="","",IFERROR(IF('עלויות כח אדם (6)'!J737&gt;=VLOOKUP(I737,'סיווג התפקידים והעלויות'!$B$23:$C$32,2,0),"תקין","לא תקין"),""))</f>
        <v/>
      </c>
      <c r="R737" s="199" t="str">
        <f t="shared" si="172"/>
        <v/>
      </c>
      <c r="S737" s="199" t="str">
        <f t="shared" si="173"/>
        <v/>
      </c>
      <c r="T737" s="199" t="str">
        <f t="shared" si="181"/>
        <v/>
      </c>
      <c r="U737" s="199" t="str">
        <f t="shared" si="174"/>
        <v/>
      </c>
      <c r="V737" s="989"/>
      <c r="X737" s="374" t="str">
        <f t="shared" si="175"/>
        <v/>
      </c>
      <c r="Y737" s="375" t="str">
        <f t="shared" si="176"/>
        <v/>
      </c>
      <c r="Z737" s="374" t="str">
        <f t="shared" si="177"/>
        <v/>
      </c>
      <c r="AA737" s="374" t="b">
        <f t="shared" si="178"/>
        <v>1</v>
      </c>
      <c r="AB737" s="374">
        <f>COUNTIFS(B:B,B737,H:H,'סיווג התפקידים והעלויות'!$C$2)</f>
        <v>0</v>
      </c>
      <c r="AC737" s="374">
        <f>COUNTIFS(B:B,B737,H:H,'סיווג התפקידים והעלויות'!$D$2)</f>
        <v>0</v>
      </c>
      <c r="AD737" s="374" t="str">
        <f>IF(OR(AND(H737='סיווג התפקידים והעלויות'!$A$2,I737='סיווג התפקידים והעלויות'!$A$3),'עלויות כח אדם (6)'!H737='סיווג התפקידים והעלויות'!$C$2,'עלויות כח אדם (6)'!H737='סיווג התפקידים והעלויות'!$D$2),IF('עלויות כח אדם (6)'!J737&lt;75,"לא תקין","תקין"),"")</f>
        <v/>
      </c>
      <c r="AE737" s="374" t="str">
        <f t="shared" si="179"/>
        <v/>
      </c>
      <c r="AF737" s="532" t="str">
        <f t="shared" si="180"/>
        <v/>
      </c>
    </row>
    <row r="738" spans="2:32" x14ac:dyDescent="0.25">
      <c r="B738" s="695"/>
      <c r="C738" s="197" t="str">
        <f>IF(B738&lt;&gt;"",IFERROR(VLOOKUP(B:B,'מצבת והרשמה (2)'!$C$20:$N$520,2,0)," ")," ")</f>
        <v xml:space="preserve"> </v>
      </c>
      <c r="D738" s="695"/>
      <c r="E738" s="696"/>
      <c r="F738" s="696"/>
      <c r="G738" s="696"/>
      <c r="H738" s="696"/>
      <c r="I738" s="1050" t="str">
        <f t="shared" si="167"/>
        <v/>
      </c>
      <c r="J738" s="696"/>
      <c r="K738" s="697"/>
      <c r="L738" s="696"/>
      <c r="M738" s="198" t="str">
        <f t="shared" si="168"/>
        <v/>
      </c>
      <c r="N738" s="369" t="str">
        <f t="shared" si="169"/>
        <v/>
      </c>
      <c r="O738" s="183" t="str">
        <f t="shared" si="170"/>
        <v/>
      </c>
      <c r="P738" s="199" t="str">
        <f t="shared" si="171"/>
        <v/>
      </c>
      <c r="Q738" s="199" t="str">
        <f>IF(B738="","",IFERROR(IF('עלויות כח אדם (6)'!J738&gt;=VLOOKUP(I738,'סיווג התפקידים והעלויות'!$B$23:$C$32,2,0),"תקין","לא תקין"),""))</f>
        <v/>
      </c>
      <c r="R738" s="199" t="str">
        <f t="shared" si="172"/>
        <v/>
      </c>
      <c r="S738" s="199" t="str">
        <f t="shared" si="173"/>
        <v/>
      </c>
      <c r="T738" s="199" t="str">
        <f t="shared" si="181"/>
        <v/>
      </c>
      <c r="U738" s="199" t="str">
        <f t="shared" si="174"/>
        <v/>
      </c>
      <c r="V738" s="989"/>
      <c r="X738" s="374" t="str">
        <f t="shared" si="175"/>
        <v/>
      </c>
      <c r="Y738" s="375" t="str">
        <f t="shared" si="176"/>
        <v/>
      </c>
      <c r="Z738" s="374" t="str">
        <f t="shared" si="177"/>
        <v/>
      </c>
      <c r="AA738" s="374" t="b">
        <f t="shared" si="178"/>
        <v>1</v>
      </c>
      <c r="AB738" s="374">
        <f>COUNTIFS(B:B,B738,H:H,'סיווג התפקידים והעלויות'!$C$2)</f>
        <v>0</v>
      </c>
      <c r="AC738" s="374">
        <f>COUNTIFS(B:B,B738,H:H,'סיווג התפקידים והעלויות'!$D$2)</f>
        <v>0</v>
      </c>
      <c r="AD738" s="374" t="str">
        <f>IF(OR(AND(H738='סיווג התפקידים והעלויות'!$A$2,I738='סיווג התפקידים והעלויות'!$A$3),'עלויות כח אדם (6)'!H738='סיווג התפקידים והעלויות'!$C$2,'עלויות כח אדם (6)'!H738='סיווג התפקידים והעלויות'!$D$2),IF('עלויות כח אדם (6)'!J738&lt;75,"לא תקין","תקין"),"")</f>
        <v/>
      </c>
      <c r="AE738" s="374" t="str">
        <f t="shared" si="179"/>
        <v/>
      </c>
      <c r="AF738" s="532" t="str">
        <f t="shared" si="180"/>
        <v/>
      </c>
    </row>
    <row r="739" spans="2:32" x14ac:dyDescent="0.25">
      <c r="B739" s="695"/>
      <c r="C739" s="197" t="str">
        <f>IF(B739&lt;&gt;"",IFERROR(VLOOKUP(B:B,'מצבת והרשמה (2)'!$C$20:$N$520,2,0)," ")," ")</f>
        <v xml:space="preserve"> </v>
      </c>
      <c r="D739" s="695"/>
      <c r="E739" s="696"/>
      <c r="F739" s="696"/>
      <c r="G739" s="696"/>
      <c r="H739" s="696"/>
      <c r="I739" s="1050" t="str">
        <f t="shared" si="167"/>
        <v/>
      </c>
      <c r="J739" s="696"/>
      <c r="K739" s="697"/>
      <c r="L739" s="696"/>
      <c r="M739" s="198" t="str">
        <f t="shared" si="168"/>
        <v/>
      </c>
      <c r="N739" s="369" t="str">
        <f t="shared" si="169"/>
        <v/>
      </c>
      <c r="O739" s="183" t="str">
        <f t="shared" si="170"/>
        <v/>
      </c>
      <c r="P739" s="199" t="str">
        <f t="shared" si="171"/>
        <v/>
      </c>
      <c r="Q739" s="199" t="str">
        <f>IF(B739="","",IFERROR(IF('עלויות כח אדם (6)'!J739&gt;=VLOOKUP(I739,'סיווג התפקידים והעלויות'!$B$23:$C$32,2,0),"תקין","לא תקין"),""))</f>
        <v/>
      </c>
      <c r="R739" s="199" t="str">
        <f t="shared" si="172"/>
        <v/>
      </c>
      <c r="S739" s="199" t="str">
        <f t="shared" si="173"/>
        <v/>
      </c>
      <c r="T739" s="199" t="str">
        <f t="shared" si="181"/>
        <v/>
      </c>
      <c r="U739" s="199" t="str">
        <f t="shared" si="174"/>
        <v/>
      </c>
      <c r="V739" s="989"/>
      <c r="X739" s="374" t="str">
        <f t="shared" si="175"/>
        <v/>
      </c>
      <c r="Y739" s="375" t="str">
        <f t="shared" si="176"/>
        <v/>
      </c>
      <c r="Z739" s="374" t="str">
        <f t="shared" si="177"/>
        <v/>
      </c>
      <c r="AA739" s="374" t="b">
        <f t="shared" si="178"/>
        <v>1</v>
      </c>
      <c r="AB739" s="374">
        <f>COUNTIFS(B:B,B739,H:H,'סיווג התפקידים והעלויות'!$C$2)</f>
        <v>0</v>
      </c>
      <c r="AC739" s="374">
        <f>COUNTIFS(B:B,B739,H:H,'סיווג התפקידים והעלויות'!$D$2)</f>
        <v>0</v>
      </c>
      <c r="AD739" s="374" t="str">
        <f>IF(OR(AND(H739='סיווג התפקידים והעלויות'!$A$2,I739='סיווג התפקידים והעלויות'!$A$3),'עלויות כח אדם (6)'!H739='סיווג התפקידים והעלויות'!$C$2,'עלויות כח אדם (6)'!H739='סיווג התפקידים והעלויות'!$D$2),IF('עלויות כח אדם (6)'!J739&lt;75,"לא תקין","תקין"),"")</f>
        <v/>
      </c>
      <c r="AE739" s="374" t="str">
        <f t="shared" si="179"/>
        <v/>
      </c>
      <c r="AF739" s="532" t="str">
        <f t="shared" si="180"/>
        <v/>
      </c>
    </row>
    <row r="740" spans="2:32" x14ac:dyDescent="0.25">
      <c r="B740" s="695"/>
      <c r="C740" s="197" t="str">
        <f>IF(B740&lt;&gt;"",IFERROR(VLOOKUP(B:B,'מצבת והרשמה (2)'!$C$20:$N$520,2,0)," ")," ")</f>
        <v xml:space="preserve"> </v>
      </c>
      <c r="D740" s="695"/>
      <c r="E740" s="696"/>
      <c r="F740" s="696"/>
      <c r="G740" s="696"/>
      <c r="H740" s="696"/>
      <c r="I740" s="1050" t="str">
        <f t="shared" si="167"/>
        <v/>
      </c>
      <c r="J740" s="696"/>
      <c r="K740" s="697"/>
      <c r="L740" s="696"/>
      <c r="M740" s="198" t="str">
        <f t="shared" si="168"/>
        <v/>
      </c>
      <c r="N740" s="369" t="str">
        <f t="shared" si="169"/>
        <v/>
      </c>
      <c r="O740" s="183" t="str">
        <f t="shared" si="170"/>
        <v/>
      </c>
      <c r="P740" s="199" t="str">
        <f t="shared" si="171"/>
        <v/>
      </c>
      <c r="Q740" s="199" t="str">
        <f>IF(B740="","",IFERROR(IF('עלויות כח אדם (6)'!J740&gt;=VLOOKUP(I740,'סיווג התפקידים והעלויות'!$B$23:$C$32,2,0),"תקין","לא תקין"),""))</f>
        <v/>
      </c>
      <c r="R740" s="199" t="str">
        <f t="shared" si="172"/>
        <v/>
      </c>
      <c r="S740" s="199" t="str">
        <f t="shared" si="173"/>
        <v/>
      </c>
      <c r="T740" s="199" t="str">
        <f t="shared" si="181"/>
        <v/>
      </c>
      <c r="U740" s="199" t="str">
        <f t="shared" si="174"/>
        <v/>
      </c>
      <c r="V740" s="989"/>
      <c r="X740" s="374" t="str">
        <f t="shared" si="175"/>
        <v/>
      </c>
      <c r="Y740" s="375" t="str">
        <f t="shared" si="176"/>
        <v/>
      </c>
      <c r="Z740" s="374" t="str">
        <f t="shared" si="177"/>
        <v/>
      </c>
      <c r="AA740" s="374" t="b">
        <f t="shared" si="178"/>
        <v>1</v>
      </c>
      <c r="AB740" s="374">
        <f>COUNTIFS(B:B,B740,H:H,'סיווג התפקידים והעלויות'!$C$2)</f>
        <v>0</v>
      </c>
      <c r="AC740" s="374">
        <f>COUNTIFS(B:B,B740,H:H,'סיווג התפקידים והעלויות'!$D$2)</f>
        <v>0</v>
      </c>
      <c r="AD740" s="374" t="str">
        <f>IF(OR(AND(H740='סיווג התפקידים והעלויות'!$A$2,I740='סיווג התפקידים והעלויות'!$A$3),'עלויות כח אדם (6)'!H740='סיווג התפקידים והעלויות'!$C$2,'עלויות כח אדם (6)'!H740='סיווג התפקידים והעלויות'!$D$2),IF('עלויות כח אדם (6)'!J740&lt;75,"לא תקין","תקין"),"")</f>
        <v/>
      </c>
      <c r="AE740" s="374" t="str">
        <f t="shared" si="179"/>
        <v/>
      </c>
      <c r="AF740" s="532" t="str">
        <f t="shared" si="180"/>
        <v/>
      </c>
    </row>
    <row r="741" spans="2:32" x14ac:dyDescent="0.25">
      <c r="B741" s="695"/>
      <c r="C741" s="197" t="str">
        <f>IF(B741&lt;&gt;"",IFERROR(VLOOKUP(B:B,'מצבת והרשמה (2)'!$C$20:$N$520,2,0)," ")," ")</f>
        <v xml:space="preserve"> </v>
      </c>
      <c r="D741" s="695"/>
      <c r="E741" s="696"/>
      <c r="F741" s="696"/>
      <c r="G741" s="696"/>
      <c r="H741" s="696"/>
      <c r="I741" s="1050" t="str">
        <f t="shared" si="167"/>
        <v/>
      </c>
      <c r="J741" s="696"/>
      <c r="K741" s="697"/>
      <c r="L741" s="696"/>
      <c r="M741" s="198" t="str">
        <f t="shared" si="168"/>
        <v/>
      </c>
      <c r="N741" s="369" t="str">
        <f t="shared" si="169"/>
        <v/>
      </c>
      <c r="O741" s="183" t="str">
        <f t="shared" si="170"/>
        <v/>
      </c>
      <c r="P741" s="199" t="str">
        <f t="shared" si="171"/>
        <v/>
      </c>
      <c r="Q741" s="199" t="str">
        <f>IF(B741="","",IFERROR(IF('עלויות כח אדם (6)'!J741&gt;=VLOOKUP(I741,'סיווג התפקידים והעלויות'!$B$23:$C$32,2,0),"תקין","לא תקין"),""))</f>
        <v/>
      </c>
      <c r="R741" s="199" t="str">
        <f t="shared" si="172"/>
        <v/>
      </c>
      <c r="S741" s="199" t="str">
        <f t="shared" si="173"/>
        <v/>
      </c>
      <c r="T741" s="199" t="str">
        <f t="shared" si="181"/>
        <v/>
      </c>
      <c r="U741" s="199" t="str">
        <f t="shared" si="174"/>
        <v/>
      </c>
      <c r="V741" s="989"/>
      <c r="X741" s="374" t="str">
        <f t="shared" si="175"/>
        <v/>
      </c>
      <c r="Y741" s="375" t="str">
        <f t="shared" si="176"/>
        <v/>
      </c>
      <c r="Z741" s="374" t="str">
        <f t="shared" si="177"/>
        <v/>
      </c>
      <c r="AA741" s="374" t="b">
        <f t="shared" si="178"/>
        <v>1</v>
      </c>
      <c r="AB741" s="374">
        <f>COUNTIFS(B:B,B741,H:H,'סיווג התפקידים והעלויות'!$C$2)</f>
        <v>0</v>
      </c>
      <c r="AC741" s="374">
        <f>COUNTIFS(B:B,B741,H:H,'סיווג התפקידים והעלויות'!$D$2)</f>
        <v>0</v>
      </c>
      <c r="AD741" s="374" t="str">
        <f>IF(OR(AND(H741='סיווג התפקידים והעלויות'!$A$2,I741='סיווג התפקידים והעלויות'!$A$3),'עלויות כח אדם (6)'!H741='סיווג התפקידים והעלויות'!$C$2,'עלויות כח אדם (6)'!H741='סיווג התפקידים והעלויות'!$D$2),IF('עלויות כח אדם (6)'!J741&lt;75,"לא תקין","תקין"),"")</f>
        <v/>
      </c>
      <c r="AE741" s="374" t="str">
        <f t="shared" si="179"/>
        <v/>
      </c>
      <c r="AF741" s="532" t="str">
        <f t="shared" si="180"/>
        <v/>
      </c>
    </row>
    <row r="742" spans="2:32" x14ac:dyDescent="0.25">
      <c r="B742" s="695"/>
      <c r="C742" s="197" t="str">
        <f>IF(B742&lt;&gt;"",IFERROR(VLOOKUP(B:B,'מצבת והרשמה (2)'!$C$20:$N$520,2,0)," ")," ")</f>
        <v xml:space="preserve"> </v>
      </c>
      <c r="D742" s="695"/>
      <c r="E742" s="696"/>
      <c r="F742" s="696"/>
      <c r="G742" s="696"/>
      <c r="H742" s="696"/>
      <c r="I742" s="1050" t="str">
        <f t="shared" si="167"/>
        <v/>
      </c>
      <c r="J742" s="696"/>
      <c r="K742" s="697"/>
      <c r="L742" s="696"/>
      <c r="M742" s="198" t="str">
        <f t="shared" si="168"/>
        <v/>
      </c>
      <c r="N742" s="369" t="str">
        <f t="shared" si="169"/>
        <v/>
      </c>
      <c r="O742" s="183" t="str">
        <f t="shared" si="170"/>
        <v/>
      </c>
      <c r="P742" s="199" t="str">
        <f t="shared" si="171"/>
        <v/>
      </c>
      <c r="Q742" s="199" t="str">
        <f>IF(B742="","",IFERROR(IF('עלויות כח אדם (6)'!J742&gt;=VLOOKUP(I742,'סיווג התפקידים והעלויות'!$B$23:$C$32,2,0),"תקין","לא תקין"),""))</f>
        <v/>
      </c>
      <c r="R742" s="199" t="str">
        <f t="shared" si="172"/>
        <v/>
      </c>
      <c r="S742" s="199" t="str">
        <f t="shared" si="173"/>
        <v/>
      </c>
      <c r="T742" s="199" t="str">
        <f t="shared" si="181"/>
        <v/>
      </c>
      <c r="U742" s="199" t="str">
        <f t="shared" si="174"/>
        <v/>
      </c>
      <c r="V742" s="989"/>
      <c r="X742" s="374" t="str">
        <f t="shared" si="175"/>
        <v/>
      </c>
      <c r="Y742" s="375" t="str">
        <f t="shared" si="176"/>
        <v/>
      </c>
      <c r="Z742" s="374" t="str">
        <f t="shared" si="177"/>
        <v/>
      </c>
      <c r="AA742" s="374" t="b">
        <f t="shared" si="178"/>
        <v>1</v>
      </c>
      <c r="AB742" s="374">
        <f>COUNTIFS(B:B,B742,H:H,'סיווג התפקידים והעלויות'!$C$2)</f>
        <v>0</v>
      </c>
      <c r="AC742" s="374">
        <f>COUNTIFS(B:B,B742,H:H,'סיווג התפקידים והעלויות'!$D$2)</f>
        <v>0</v>
      </c>
      <c r="AD742" s="374" t="str">
        <f>IF(OR(AND(H742='סיווג התפקידים והעלויות'!$A$2,I742='סיווג התפקידים והעלויות'!$A$3),'עלויות כח אדם (6)'!H742='סיווג התפקידים והעלויות'!$C$2,'עלויות כח אדם (6)'!H742='סיווג התפקידים והעלויות'!$D$2),IF('עלויות כח אדם (6)'!J742&lt;75,"לא תקין","תקין"),"")</f>
        <v/>
      </c>
      <c r="AE742" s="374" t="str">
        <f t="shared" si="179"/>
        <v/>
      </c>
      <c r="AF742" s="532" t="str">
        <f t="shared" si="180"/>
        <v/>
      </c>
    </row>
    <row r="743" spans="2:32" x14ac:dyDescent="0.25">
      <c r="B743" s="695"/>
      <c r="C743" s="197" t="str">
        <f>IF(B743&lt;&gt;"",IFERROR(VLOOKUP(B:B,'מצבת והרשמה (2)'!$C$20:$N$520,2,0)," ")," ")</f>
        <v xml:space="preserve"> </v>
      </c>
      <c r="D743" s="695"/>
      <c r="E743" s="696"/>
      <c r="F743" s="696"/>
      <c r="G743" s="696"/>
      <c r="H743" s="696"/>
      <c r="I743" s="1050" t="str">
        <f t="shared" si="167"/>
        <v/>
      </c>
      <c r="J743" s="696"/>
      <c r="K743" s="697"/>
      <c r="L743" s="696"/>
      <c r="M743" s="198" t="str">
        <f t="shared" si="168"/>
        <v/>
      </c>
      <c r="N743" s="369" t="str">
        <f t="shared" si="169"/>
        <v/>
      </c>
      <c r="O743" s="183" t="str">
        <f t="shared" si="170"/>
        <v/>
      </c>
      <c r="P743" s="199" t="str">
        <f t="shared" si="171"/>
        <v/>
      </c>
      <c r="Q743" s="199" t="str">
        <f>IF(B743="","",IFERROR(IF('עלויות כח אדם (6)'!J743&gt;=VLOOKUP(I743,'סיווג התפקידים והעלויות'!$B$23:$C$32,2,0),"תקין","לא תקין"),""))</f>
        <v/>
      </c>
      <c r="R743" s="199" t="str">
        <f t="shared" si="172"/>
        <v/>
      </c>
      <c r="S743" s="199" t="str">
        <f t="shared" si="173"/>
        <v/>
      </c>
      <c r="T743" s="199" t="str">
        <f t="shared" si="181"/>
        <v/>
      </c>
      <c r="U743" s="199" t="str">
        <f t="shared" si="174"/>
        <v/>
      </c>
      <c r="V743" s="989"/>
      <c r="X743" s="374" t="str">
        <f t="shared" si="175"/>
        <v/>
      </c>
      <c r="Y743" s="375" t="str">
        <f t="shared" si="176"/>
        <v/>
      </c>
      <c r="Z743" s="374" t="str">
        <f t="shared" si="177"/>
        <v/>
      </c>
      <c r="AA743" s="374" t="b">
        <f t="shared" si="178"/>
        <v>1</v>
      </c>
      <c r="AB743" s="374">
        <f>COUNTIFS(B:B,B743,H:H,'סיווג התפקידים והעלויות'!$C$2)</f>
        <v>0</v>
      </c>
      <c r="AC743" s="374">
        <f>COUNTIFS(B:B,B743,H:H,'סיווג התפקידים והעלויות'!$D$2)</f>
        <v>0</v>
      </c>
      <c r="AD743" s="374" t="str">
        <f>IF(OR(AND(H743='סיווג התפקידים והעלויות'!$A$2,I743='סיווג התפקידים והעלויות'!$A$3),'עלויות כח אדם (6)'!H743='סיווג התפקידים והעלויות'!$C$2,'עלויות כח אדם (6)'!H743='סיווג התפקידים והעלויות'!$D$2),IF('עלויות כח אדם (6)'!J743&lt;75,"לא תקין","תקין"),"")</f>
        <v/>
      </c>
      <c r="AE743" s="374" t="str">
        <f t="shared" si="179"/>
        <v/>
      </c>
      <c r="AF743" s="532" t="str">
        <f t="shared" si="180"/>
        <v/>
      </c>
    </row>
    <row r="744" spans="2:32" x14ac:dyDescent="0.25">
      <c r="B744" s="695"/>
      <c r="C744" s="197" t="str">
        <f>IF(B744&lt;&gt;"",IFERROR(VLOOKUP(B:B,'מצבת והרשמה (2)'!$C$20:$N$520,2,0)," ")," ")</f>
        <v xml:space="preserve"> </v>
      </c>
      <c r="D744" s="695"/>
      <c r="E744" s="696"/>
      <c r="F744" s="696"/>
      <c r="G744" s="696"/>
      <c r="H744" s="696"/>
      <c r="I744" s="1050" t="str">
        <f t="shared" si="167"/>
        <v/>
      </c>
      <c r="J744" s="696"/>
      <c r="K744" s="697"/>
      <c r="L744" s="696"/>
      <c r="M744" s="198" t="str">
        <f t="shared" si="168"/>
        <v/>
      </c>
      <c r="N744" s="369" t="str">
        <f t="shared" si="169"/>
        <v/>
      </c>
      <c r="O744" s="183" t="str">
        <f t="shared" si="170"/>
        <v/>
      </c>
      <c r="P744" s="199" t="str">
        <f t="shared" si="171"/>
        <v/>
      </c>
      <c r="Q744" s="199" t="str">
        <f>IF(B744="","",IFERROR(IF('עלויות כח אדם (6)'!J744&gt;=VLOOKUP(I744,'סיווג התפקידים והעלויות'!$B$23:$C$32,2,0),"תקין","לא תקין"),""))</f>
        <v/>
      </c>
      <c r="R744" s="199" t="str">
        <f t="shared" si="172"/>
        <v/>
      </c>
      <c r="S744" s="199" t="str">
        <f t="shared" si="173"/>
        <v/>
      </c>
      <c r="T744" s="199" t="str">
        <f t="shared" si="181"/>
        <v/>
      </c>
      <c r="U744" s="199" t="str">
        <f t="shared" si="174"/>
        <v/>
      </c>
      <c r="V744" s="989"/>
      <c r="X744" s="374" t="str">
        <f t="shared" si="175"/>
        <v/>
      </c>
      <c r="Y744" s="375" t="str">
        <f t="shared" si="176"/>
        <v/>
      </c>
      <c r="Z744" s="374" t="str">
        <f t="shared" si="177"/>
        <v/>
      </c>
      <c r="AA744" s="374" t="b">
        <f t="shared" si="178"/>
        <v>1</v>
      </c>
      <c r="AB744" s="374">
        <f>COUNTIFS(B:B,B744,H:H,'סיווג התפקידים והעלויות'!$C$2)</f>
        <v>0</v>
      </c>
      <c r="AC744" s="374">
        <f>COUNTIFS(B:B,B744,H:H,'סיווג התפקידים והעלויות'!$D$2)</f>
        <v>0</v>
      </c>
      <c r="AD744" s="374" t="str">
        <f>IF(OR(AND(H744='סיווג התפקידים והעלויות'!$A$2,I744='סיווג התפקידים והעלויות'!$A$3),'עלויות כח אדם (6)'!H744='סיווג התפקידים והעלויות'!$C$2,'עלויות כח אדם (6)'!H744='סיווג התפקידים והעלויות'!$D$2),IF('עלויות כח אדם (6)'!J744&lt;75,"לא תקין","תקין"),"")</f>
        <v/>
      </c>
      <c r="AE744" s="374" t="str">
        <f t="shared" si="179"/>
        <v/>
      </c>
      <c r="AF744" s="532" t="str">
        <f t="shared" si="180"/>
        <v/>
      </c>
    </row>
    <row r="745" spans="2:32" x14ac:dyDescent="0.25">
      <c r="B745" s="695"/>
      <c r="C745" s="197" t="str">
        <f>IF(B745&lt;&gt;"",IFERROR(VLOOKUP(B:B,'מצבת והרשמה (2)'!$C$20:$N$520,2,0)," ")," ")</f>
        <v xml:space="preserve"> </v>
      </c>
      <c r="D745" s="695"/>
      <c r="E745" s="696"/>
      <c r="F745" s="696"/>
      <c r="G745" s="696"/>
      <c r="H745" s="696"/>
      <c r="I745" s="1050" t="str">
        <f t="shared" si="167"/>
        <v/>
      </c>
      <c r="J745" s="696"/>
      <c r="K745" s="697"/>
      <c r="L745" s="696"/>
      <c r="M745" s="198" t="str">
        <f t="shared" si="168"/>
        <v/>
      </c>
      <c r="N745" s="369" t="str">
        <f t="shared" si="169"/>
        <v/>
      </c>
      <c r="O745" s="183" t="str">
        <f t="shared" si="170"/>
        <v/>
      </c>
      <c r="P745" s="199" t="str">
        <f t="shared" si="171"/>
        <v/>
      </c>
      <c r="Q745" s="199" t="str">
        <f>IF(B745="","",IFERROR(IF('עלויות כח אדם (6)'!J745&gt;=VLOOKUP(I745,'סיווג התפקידים והעלויות'!$B$23:$C$32,2,0),"תקין","לא תקין"),""))</f>
        <v/>
      </c>
      <c r="R745" s="199" t="str">
        <f t="shared" si="172"/>
        <v/>
      </c>
      <c r="S745" s="199" t="str">
        <f t="shared" si="173"/>
        <v/>
      </c>
      <c r="T745" s="199" t="str">
        <f t="shared" si="181"/>
        <v/>
      </c>
      <c r="U745" s="199" t="str">
        <f t="shared" si="174"/>
        <v/>
      </c>
      <c r="V745" s="989"/>
      <c r="X745" s="374" t="str">
        <f t="shared" si="175"/>
        <v/>
      </c>
      <c r="Y745" s="375" t="str">
        <f t="shared" si="176"/>
        <v/>
      </c>
      <c r="Z745" s="374" t="str">
        <f t="shared" si="177"/>
        <v/>
      </c>
      <c r="AA745" s="374" t="b">
        <f t="shared" si="178"/>
        <v>1</v>
      </c>
      <c r="AB745" s="374">
        <f>COUNTIFS(B:B,B745,H:H,'סיווג התפקידים והעלויות'!$C$2)</f>
        <v>0</v>
      </c>
      <c r="AC745" s="374">
        <f>COUNTIFS(B:B,B745,H:H,'סיווג התפקידים והעלויות'!$D$2)</f>
        <v>0</v>
      </c>
      <c r="AD745" s="374" t="str">
        <f>IF(OR(AND(H745='סיווג התפקידים והעלויות'!$A$2,I745='סיווג התפקידים והעלויות'!$A$3),'עלויות כח אדם (6)'!H745='סיווג התפקידים והעלויות'!$C$2,'עלויות כח אדם (6)'!H745='סיווג התפקידים והעלויות'!$D$2),IF('עלויות כח אדם (6)'!J745&lt;75,"לא תקין","תקין"),"")</f>
        <v/>
      </c>
      <c r="AE745" s="374" t="str">
        <f t="shared" si="179"/>
        <v/>
      </c>
      <c r="AF745" s="532" t="str">
        <f t="shared" si="180"/>
        <v/>
      </c>
    </row>
    <row r="746" spans="2:32" x14ac:dyDescent="0.25">
      <c r="B746" s="695"/>
      <c r="C746" s="197" t="str">
        <f>IF(B746&lt;&gt;"",IFERROR(VLOOKUP(B:B,'מצבת והרשמה (2)'!$C$20:$N$520,2,0)," ")," ")</f>
        <v xml:space="preserve"> </v>
      </c>
      <c r="D746" s="695"/>
      <c r="E746" s="696"/>
      <c r="F746" s="696"/>
      <c r="G746" s="696"/>
      <c r="H746" s="696"/>
      <c r="I746" s="1050" t="str">
        <f t="shared" si="167"/>
        <v/>
      </c>
      <c r="J746" s="696"/>
      <c r="K746" s="697"/>
      <c r="L746" s="696"/>
      <c r="M746" s="198" t="str">
        <f t="shared" si="168"/>
        <v/>
      </c>
      <c r="N746" s="369" t="str">
        <f t="shared" si="169"/>
        <v/>
      </c>
      <c r="O746" s="183" t="str">
        <f t="shared" si="170"/>
        <v/>
      </c>
      <c r="P746" s="199" t="str">
        <f t="shared" si="171"/>
        <v/>
      </c>
      <c r="Q746" s="199" t="str">
        <f>IF(B746="","",IFERROR(IF('עלויות כח אדם (6)'!J746&gt;=VLOOKUP(I746,'סיווג התפקידים והעלויות'!$B$23:$C$32,2,0),"תקין","לא תקין"),""))</f>
        <v/>
      </c>
      <c r="R746" s="199" t="str">
        <f t="shared" si="172"/>
        <v/>
      </c>
      <c r="S746" s="199" t="str">
        <f t="shared" si="173"/>
        <v/>
      </c>
      <c r="T746" s="199" t="str">
        <f t="shared" si="181"/>
        <v/>
      </c>
      <c r="U746" s="199" t="str">
        <f t="shared" si="174"/>
        <v/>
      </c>
      <c r="V746" s="989"/>
      <c r="X746" s="374" t="str">
        <f t="shared" si="175"/>
        <v/>
      </c>
      <c r="Y746" s="375" t="str">
        <f t="shared" si="176"/>
        <v/>
      </c>
      <c r="Z746" s="374" t="str">
        <f t="shared" si="177"/>
        <v/>
      </c>
      <c r="AA746" s="374" t="b">
        <f t="shared" si="178"/>
        <v>1</v>
      </c>
      <c r="AB746" s="374">
        <f>COUNTIFS(B:B,B746,H:H,'סיווג התפקידים והעלויות'!$C$2)</f>
        <v>0</v>
      </c>
      <c r="AC746" s="374">
        <f>COUNTIFS(B:B,B746,H:H,'סיווג התפקידים והעלויות'!$D$2)</f>
        <v>0</v>
      </c>
      <c r="AD746" s="374" t="str">
        <f>IF(OR(AND(H746='סיווג התפקידים והעלויות'!$A$2,I746='סיווג התפקידים והעלויות'!$A$3),'עלויות כח אדם (6)'!H746='סיווג התפקידים והעלויות'!$C$2,'עלויות כח אדם (6)'!H746='סיווג התפקידים והעלויות'!$D$2),IF('עלויות כח אדם (6)'!J746&lt;75,"לא תקין","תקין"),"")</f>
        <v/>
      </c>
      <c r="AE746" s="374" t="str">
        <f t="shared" si="179"/>
        <v/>
      </c>
      <c r="AF746" s="532" t="str">
        <f t="shared" si="180"/>
        <v/>
      </c>
    </row>
    <row r="747" spans="2:32" x14ac:dyDescent="0.25">
      <c r="B747" s="695"/>
      <c r="C747" s="197" t="str">
        <f>IF(B747&lt;&gt;"",IFERROR(VLOOKUP(B:B,'מצבת והרשמה (2)'!$C$20:$N$520,2,0)," ")," ")</f>
        <v xml:space="preserve"> </v>
      </c>
      <c r="D747" s="695"/>
      <c r="E747" s="696"/>
      <c r="F747" s="696"/>
      <c r="G747" s="696"/>
      <c r="H747" s="696"/>
      <c r="I747" s="1050" t="str">
        <f t="shared" si="167"/>
        <v/>
      </c>
      <c r="J747" s="696"/>
      <c r="K747" s="697"/>
      <c r="L747" s="696"/>
      <c r="M747" s="198" t="str">
        <f t="shared" si="168"/>
        <v/>
      </c>
      <c r="N747" s="369" t="str">
        <f t="shared" si="169"/>
        <v/>
      </c>
      <c r="O747" s="183" t="str">
        <f t="shared" si="170"/>
        <v/>
      </c>
      <c r="P747" s="199" t="str">
        <f t="shared" si="171"/>
        <v/>
      </c>
      <c r="Q747" s="199" t="str">
        <f>IF(B747="","",IFERROR(IF('עלויות כח אדם (6)'!J747&gt;=VLOOKUP(I747,'סיווג התפקידים והעלויות'!$B$23:$C$32,2,0),"תקין","לא תקין"),""))</f>
        <v/>
      </c>
      <c r="R747" s="199" t="str">
        <f t="shared" si="172"/>
        <v/>
      </c>
      <c r="S747" s="199" t="str">
        <f t="shared" si="173"/>
        <v/>
      </c>
      <c r="T747" s="199" t="str">
        <f t="shared" si="181"/>
        <v/>
      </c>
      <c r="U747" s="199" t="str">
        <f t="shared" si="174"/>
        <v/>
      </c>
      <c r="V747" s="989"/>
      <c r="X747" s="374" t="str">
        <f t="shared" si="175"/>
        <v/>
      </c>
      <c r="Y747" s="375" t="str">
        <f t="shared" si="176"/>
        <v/>
      </c>
      <c r="Z747" s="374" t="str">
        <f t="shared" si="177"/>
        <v/>
      </c>
      <c r="AA747" s="374" t="b">
        <f t="shared" si="178"/>
        <v>1</v>
      </c>
      <c r="AB747" s="374">
        <f>COUNTIFS(B:B,B747,H:H,'סיווג התפקידים והעלויות'!$C$2)</f>
        <v>0</v>
      </c>
      <c r="AC747" s="374">
        <f>COUNTIFS(B:B,B747,H:H,'סיווג התפקידים והעלויות'!$D$2)</f>
        <v>0</v>
      </c>
      <c r="AD747" s="374" t="str">
        <f>IF(OR(AND(H747='סיווג התפקידים והעלויות'!$A$2,I747='סיווג התפקידים והעלויות'!$A$3),'עלויות כח אדם (6)'!H747='סיווג התפקידים והעלויות'!$C$2,'עלויות כח אדם (6)'!H747='סיווג התפקידים והעלויות'!$D$2),IF('עלויות כח אדם (6)'!J747&lt;75,"לא תקין","תקין"),"")</f>
        <v/>
      </c>
      <c r="AE747" s="374" t="str">
        <f t="shared" si="179"/>
        <v/>
      </c>
      <c r="AF747" s="532" t="str">
        <f t="shared" si="180"/>
        <v/>
      </c>
    </row>
    <row r="748" spans="2:32" x14ac:dyDescent="0.25">
      <c r="B748" s="695"/>
      <c r="C748" s="197" t="str">
        <f>IF(B748&lt;&gt;"",IFERROR(VLOOKUP(B:B,'מצבת והרשמה (2)'!$C$20:$N$520,2,0)," ")," ")</f>
        <v xml:space="preserve"> </v>
      </c>
      <c r="D748" s="695"/>
      <c r="E748" s="696"/>
      <c r="F748" s="696"/>
      <c r="G748" s="696"/>
      <c r="H748" s="696"/>
      <c r="I748" s="1050" t="str">
        <f t="shared" si="167"/>
        <v/>
      </c>
      <c r="J748" s="696"/>
      <c r="K748" s="697"/>
      <c r="L748" s="696"/>
      <c r="M748" s="198" t="str">
        <f t="shared" si="168"/>
        <v/>
      </c>
      <c r="N748" s="369" t="str">
        <f t="shared" si="169"/>
        <v/>
      </c>
      <c r="O748" s="183" t="str">
        <f t="shared" si="170"/>
        <v/>
      </c>
      <c r="P748" s="199" t="str">
        <f t="shared" si="171"/>
        <v/>
      </c>
      <c r="Q748" s="199" t="str">
        <f>IF(B748="","",IFERROR(IF('עלויות כח אדם (6)'!J748&gt;=VLOOKUP(I748,'סיווג התפקידים והעלויות'!$B$23:$C$32,2,0),"תקין","לא תקין"),""))</f>
        <v/>
      </c>
      <c r="R748" s="199" t="str">
        <f t="shared" si="172"/>
        <v/>
      </c>
      <c r="S748" s="199" t="str">
        <f t="shared" si="173"/>
        <v/>
      </c>
      <c r="T748" s="199" t="str">
        <f t="shared" si="181"/>
        <v/>
      </c>
      <c r="U748" s="199" t="str">
        <f t="shared" si="174"/>
        <v/>
      </c>
      <c r="V748" s="989"/>
      <c r="X748" s="374" t="str">
        <f t="shared" si="175"/>
        <v/>
      </c>
      <c r="Y748" s="375" t="str">
        <f t="shared" si="176"/>
        <v/>
      </c>
      <c r="Z748" s="374" t="str">
        <f t="shared" si="177"/>
        <v/>
      </c>
      <c r="AA748" s="374" t="b">
        <f t="shared" si="178"/>
        <v>1</v>
      </c>
      <c r="AB748" s="374">
        <f>COUNTIFS(B:B,B748,H:H,'סיווג התפקידים והעלויות'!$C$2)</f>
        <v>0</v>
      </c>
      <c r="AC748" s="374">
        <f>COUNTIFS(B:B,B748,H:H,'סיווג התפקידים והעלויות'!$D$2)</f>
        <v>0</v>
      </c>
      <c r="AD748" s="374" t="str">
        <f>IF(OR(AND(H748='סיווג התפקידים והעלויות'!$A$2,I748='סיווג התפקידים והעלויות'!$A$3),'עלויות כח אדם (6)'!H748='סיווג התפקידים והעלויות'!$C$2,'עלויות כח אדם (6)'!H748='סיווג התפקידים והעלויות'!$D$2),IF('עלויות כח אדם (6)'!J748&lt;75,"לא תקין","תקין"),"")</f>
        <v/>
      </c>
      <c r="AE748" s="374" t="str">
        <f t="shared" si="179"/>
        <v/>
      </c>
      <c r="AF748" s="532" t="str">
        <f t="shared" si="180"/>
        <v/>
      </c>
    </row>
    <row r="749" spans="2:32" x14ac:dyDescent="0.25">
      <c r="B749" s="695"/>
      <c r="C749" s="197" t="str">
        <f>IF(B749&lt;&gt;"",IFERROR(VLOOKUP(B:B,'מצבת והרשמה (2)'!$C$20:$N$520,2,0)," ")," ")</f>
        <v xml:space="preserve"> </v>
      </c>
      <c r="D749" s="695"/>
      <c r="E749" s="696"/>
      <c r="F749" s="696"/>
      <c r="G749" s="696"/>
      <c r="H749" s="696"/>
      <c r="I749" s="1050" t="str">
        <f t="shared" si="167"/>
        <v/>
      </c>
      <c r="J749" s="696"/>
      <c r="K749" s="697"/>
      <c r="L749" s="696"/>
      <c r="M749" s="198" t="str">
        <f t="shared" si="168"/>
        <v/>
      </c>
      <c r="N749" s="369" t="str">
        <f t="shared" si="169"/>
        <v/>
      </c>
      <c r="O749" s="183" t="str">
        <f t="shared" si="170"/>
        <v/>
      </c>
      <c r="P749" s="199" t="str">
        <f t="shared" si="171"/>
        <v/>
      </c>
      <c r="Q749" s="199" t="str">
        <f>IF(B749="","",IFERROR(IF('עלויות כח אדם (6)'!J749&gt;=VLOOKUP(I749,'סיווג התפקידים והעלויות'!$B$23:$C$32,2,0),"תקין","לא תקין"),""))</f>
        <v/>
      </c>
      <c r="R749" s="199" t="str">
        <f t="shared" si="172"/>
        <v/>
      </c>
      <c r="S749" s="199" t="str">
        <f t="shared" si="173"/>
        <v/>
      </c>
      <c r="T749" s="199" t="str">
        <f t="shared" si="181"/>
        <v/>
      </c>
      <c r="U749" s="199" t="str">
        <f t="shared" si="174"/>
        <v/>
      </c>
      <c r="V749" s="989"/>
      <c r="X749" s="374" t="str">
        <f t="shared" si="175"/>
        <v/>
      </c>
      <c r="Y749" s="375" t="str">
        <f t="shared" si="176"/>
        <v/>
      </c>
      <c r="Z749" s="374" t="str">
        <f t="shared" si="177"/>
        <v/>
      </c>
      <c r="AA749" s="374" t="b">
        <f t="shared" si="178"/>
        <v>1</v>
      </c>
      <c r="AB749" s="374">
        <f>COUNTIFS(B:B,B749,H:H,'סיווג התפקידים והעלויות'!$C$2)</f>
        <v>0</v>
      </c>
      <c r="AC749" s="374">
        <f>COUNTIFS(B:B,B749,H:H,'סיווג התפקידים והעלויות'!$D$2)</f>
        <v>0</v>
      </c>
      <c r="AD749" s="374" t="str">
        <f>IF(OR(AND(H749='סיווג התפקידים והעלויות'!$A$2,I749='סיווג התפקידים והעלויות'!$A$3),'עלויות כח אדם (6)'!H749='סיווג התפקידים והעלויות'!$C$2,'עלויות כח אדם (6)'!H749='סיווג התפקידים והעלויות'!$D$2),IF('עלויות כח אדם (6)'!J749&lt;75,"לא תקין","תקין"),"")</f>
        <v/>
      </c>
      <c r="AE749" s="374" t="str">
        <f t="shared" si="179"/>
        <v/>
      </c>
      <c r="AF749" s="532" t="str">
        <f t="shared" si="180"/>
        <v/>
      </c>
    </row>
    <row r="750" spans="2:32" x14ac:dyDescent="0.25">
      <c r="B750" s="695"/>
      <c r="C750" s="197" t="str">
        <f>IF(B750&lt;&gt;"",IFERROR(VLOOKUP(B:B,'מצבת והרשמה (2)'!$C$20:$N$520,2,0)," ")," ")</f>
        <v xml:space="preserve"> </v>
      </c>
      <c r="D750" s="695"/>
      <c r="E750" s="696"/>
      <c r="F750" s="696"/>
      <c r="G750" s="696"/>
      <c r="H750" s="696"/>
      <c r="I750" s="1050" t="str">
        <f t="shared" si="167"/>
        <v/>
      </c>
      <c r="J750" s="696"/>
      <c r="K750" s="697"/>
      <c r="L750" s="696"/>
      <c r="M750" s="198" t="str">
        <f t="shared" si="168"/>
        <v/>
      </c>
      <c r="N750" s="369" t="str">
        <f t="shared" si="169"/>
        <v/>
      </c>
      <c r="O750" s="183" t="str">
        <f t="shared" si="170"/>
        <v/>
      </c>
      <c r="P750" s="199" t="str">
        <f t="shared" si="171"/>
        <v/>
      </c>
      <c r="Q750" s="199" t="str">
        <f>IF(B750="","",IFERROR(IF('עלויות כח אדם (6)'!J750&gt;=VLOOKUP(I750,'סיווג התפקידים והעלויות'!$B$23:$C$32,2,0),"תקין","לא תקין"),""))</f>
        <v/>
      </c>
      <c r="R750" s="199" t="str">
        <f t="shared" si="172"/>
        <v/>
      </c>
      <c r="S750" s="199" t="str">
        <f t="shared" si="173"/>
        <v/>
      </c>
      <c r="T750" s="199" t="str">
        <f t="shared" si="181"/>
        <v/>
      </c>
      <c r="U750" s="199" t="str">
        <f t="shared" si="174"/>
        <v/>
      </c>
      <c r="V750" s="989"/>
      <c r="X750" s="374" t="str">
        <f t="shared" si="175"/>
        <v/>
      </c>
      <c r="Y750" s="375" t="str">
        <f t="shared" si="176"/>
        <v/>
      </c>
      <c r="Z750" s="374" t="str">
        <f t="shared" si="177"/>
        <v/>
      </c>
      <c r="AA750" s="374" t="b">
        <f t="shared" si="178"/>
        <v>1</v>
      </c>
      <c r="AB750" s="374">
        <f>COUNTIFS(B:B,B750,H:H,'סיווג התפקידים והעלויות'!$C$2)</f>
        <v>0</v>
      </c>
      <c r="AC750" s="374">
        <f>COUNTIFS(B:B,B750,H:H,'סיווג התפקידים והעלויות'!$D$2)</f>
        <v>0</v>
      </c>
      <c r="AD750" s="374" t="str">
        <f>IF(OR(AND(H750='סיווג התפקידים והעלויות'!$A$2,I750='סיווג התפקידים והעלויות'!$A$3),'עלויות כח אדם (6)'!H750='סיווג התפקידים והעלויות'!$C$2,'עלויות כח אדם (6)'!H750='סיווג התפקידים והעלויות'!$D$2),IF('עלויות כח אדם (6)'!J750&lt;75,"לא תקין","תקין"),"")</f>
        <v/>
      </c>
      <c r="AE750" s="374" t="str">
        <f t="shared" si="179"/>
        <v/>
      </c>
      <c r="AF750" s="532" t="str">
        <f t="shared" si="180"/>
        <v/>
      </c>
    </row>
    <row r="751" spans="2:32" x14ac:dyDescent="0.25">
      <c r="B751" s="695"/>
      <c r="C751" s="197" t="str">
        <f>IF(B751&lt;&gt;"",IFERROR(VLOOKUP(B:B,'מצבת והרשמה (2)'!$C$20:$N$520,2,0)," ")," ")</f>
        <v xml:space="preserve"> </v>
      </c>
      <c r="D751" s="695"/>
      <c r="E751" s="696"/>
      <c r="F751" s="696"/>
      <c r="G751" s="696"/>
      <c r="H751" s="696"/>
      <c r="I751" s="1050" t="str">
        <f t="shared" si="167"/>
        <v/>
      </c>
      <c r="J751" s="696"/>
      <c r="K751" s="697"/>
      <c r="L751" s="696"/>
      <c r="M751" s="198" t="str">
        <f t="shared" si="168"/>
        <v/>
      </c>
      <c r="N751" s="369" t="str">
        <f t="shared" si="169"/>
        <v/>
      </c>
      <c r="O751" s="183" t="str">
        <f t="shared" si="170"/>
        <v/>
      </c>
      <c r="P751" s="199" t="str">
        <f t="shared" si="171"/>
        <v/>
      </c>
      <c r="Q751" s="199" t="str">
        <f>IF(B751="","",IFERROR(IF('עלויות כח אדם (6)'!J751&gt;=VLOOKUP(I751,'סיווג התפקידים והעלויות'!$B$23:$C$32,2,0),"תקין","לא תקין"),""))</f>
        <v/>
      </c>
      <c r="R751" s="199" t="str">
        <f t="shared" si="172"/>
        <v/>
      </c>
      <c r="S751" s="199" t="str">
        <f t="shared" si="173"/>
        <v/>
      </c>
      <c r="T751" s="199" t="str">
        <f t="shared" si="181"/>
        <v/>
      </c>
      <c r="U751" s="199" t="str">
        <f t="shared" si="174"/>
        <v/>
      </c>
      <c r="V751" s="989"/>
      <c r="X751" s="374" t="str">
        <f t="shared" si="175"/>
        <v/>
      </c>
      <c r="Y751" s="375" t="str">
        <f t="shared" si="176"/>
        <v/>
      </c>
      <c r="Z751" s="374" t="str">
        <f t="shared" si="177"/>
        <v/>
      </c>
      <c r="AA751" s="374" t="b">
        <f t="shared" si="178"/>
        <v>1</v>
      </c>
      <c r="AB751" s="374">
        <f>COUNTIFS(B:B,B751,H:H,'סיווג התפקידים והעלויות'!$C$2)</f>
        <v>0</v>
      </c>
      <c r="AC751" s="374">
        <f>COUNTIFS(B:B,B751,H:H,'סיווג התפקידים והעלויות'!$D$2)</f>
        <v>0</v>
      </c>
      <c r="AD751" s="374" t="str">
        <f>IF(OR(AND(H751='סיווג התפקידים והעלויות'!$A$2,I751='סיווג התפקידים והעלויות'!$A$3),'עלויות כח אדם (6)'!H751='סיווג התפקידים והעלויות'!$C$2,'עלויות כח אדם (6)'!H751='סיווג התפקידים והעלויות'!$D$2),IF('עלויות כח אדם (6)'!J751&lt;75,"לא תקין","תקין"),"")</f>
        <v/>
      </c>
      <c r="AE751" s="374" t="str">
        <f t="shared" si="179"/>
        <v/>
      </c>
      <c r="AF751" s="532" t="str">
        <f t="shared" si="180"/>
        <v/>
      </c>
    </row>
    <row r="752" spans="2:32" x14ac:dyDescent="0.25">
      <c r="B752" s="695"/>
      <c r="C752" s="197" t="str">
        <f>IF(B752&lt;&gt;"",IFERROR(VLOOKUP(B:B,'מצבת והרשמה (2)'!$C$20:$N$520,2,0)," ")," ")</f>
        <v xml:space="preserve"> </v>
      </c>
      <c r="D752" s="695"/>
      <c r="E752" s="696"/>
      <c r="F752" s="696"/>
      <c r="G752" s="696"/>
      <c r="H752" s="696"/>
      <c r="I752" s="1050" t="str">
        <f t="shared" si="167"/>
        <v/>
      </c>
      <c r="J752" s="696"/>
      <c r="K752" s="697"/>
      <c r="L752" s="696"/>
      <c r="M752" s="198" t="str">
        <f t="shared" si="168"/>
        <v/>
      </c>
      <c r="N752" s="369" t="str">
        <f t="shared" si="169"/>
        <v/>
      </c>
      <c r="O752" s="183" t="str">
        <f t="shared" si="170"/>
        <v/>
      </c>
      <c r="P752" s="199" t="str">
        <f t="shared" si="171"/>
        <v/>
      </c>
      <c r="Q752" s="199" t="str">
        <f>IF(B752="","",IFERROR(IF('עלויות כח אדם (6)'!J752&gt;=VLOOKUP(I752,'סיווג התפקידים והעלויות'!$B$23:$C$32,2,0),"תקין","לא תקין"),""))</f>
        <v/>
      </c>
      <c r="R752" s="199" t="str">
        <f t="shared" si="172"/>
        <v/>
      </c>
      <c r="S752" s="199" t="str">
        <f t="shared" si="173"/>
        <v/>
      </c>
      <c r="T752" s="199" t="str">
        <f t="shared" si="181"/>
        <v/>
      </c>
      <c r="U752" s="199" t="str">
        <f t="shared" si="174"/>
        <v/>
      </c>
      <c r="V752" s="989"/>
      <c r="X752" s="374" t="str">
        <f t="shared" si="175"/>
        <v/>
      </c>
      <c r="Y752" s="375" t="str">
        <f t="shared" si="176"/>
        <v/>
      </c>
      <c r="Z752" s="374" t="str">
        <f t="shared" si="177"/>
        <v/>
      </c>
      <c r="AA752" s="374" t="b">
        <f t="shared" si="178"/>
        <v>1</v>
      </c>
      <c r="AB752" s="374">
        <f>COUNTIFS(B:B,B752,H:H,'סיווג התפקידים והעלויות'!$C$2)</f>
        <v>0</v>
      </c>
      <c r="AC752" s="374">
        <f>COUNTIFS(B:B,B752,H:H,'סיווג התפקידים והעלויות'!$D$2)</f>
        <v>0</v>
      </c>
      <c r="AD752" s="374" t="str">
        <f>IF(OR(AND(H752='סיווג התפקידים והעלויות'!$A$2,I752='סיווג התפקידים והעלויות'!$A$3),'עלויות כח אדם (6)'!H752='סיווג התפקידים והעלויות'!$C$2,'עלויות כח אדם (6)'!H752='סיווג התפקידים והעלויות'!$D$2),IF('עלויות כח אדם (6)'!J752&lt;75,"לא תקין","תקין"),"")</f>
        <v/>
      </c>
      <c r="AE752" s="374" t="str">
        <f t="shared" si="179"/>
        <v/>
      </c>
      <c r="AF752" s="532" t="str">
        <f t="shared" si="180"/>
        <v/>
      </c>
    </row>
    <row r="753" spans="2:32" x14ac:dyDescent="0.25">
      <c r="B753" s="695"/>
      <c r="C753" s="197" t="str">
        <f>IF(B753&lt;&gt;"",IFERROR(VLOOKUP(B:B,'מצבת והרשמה (2)'!$C$20:$N$520,2,0)," ")," ")</f>
        <v xml:space="preserve"> </v>
      </c>
      <c r="D753" s="695"/>
      <c r="E753" s="696"/>
      <c r="F753" s="696"/>
      <c r="G753" s="696"/>
      <c r="H753" s="696"/>
      <c r="I753" s="1050" t="str">
        <f t="shared" si="167"/>
        <v/>
      </c>
      <c r="J753" s="696"/>
      <c r="K753" s="697"/>
      <c r="L753" s="696"/>
      <c r="M753" s="198" t="str">
        <f t="shared" si="168"/>
        <v/>
      </c>
      <c r="N753" s="369" t="str">
        <f t="shared" si="169"/>
        <v/>
      </c>
      <c r="O753" s="183" t="str">
        <f t="shared" si="170"/>
        <v/>
      </c>
      <c r="P753" s="199" t="str">
        <f t="shared" si="171"/>
        <v/>
      </c>
      <c r="Q753" s="199" t="str">
        <f>IF(B753="","",IFERROR(IF('עלויות כח אדם (6)'!J753&gt;=VLOOKUP(I753,'סיווג התפקידים והעלויות'!$B$23:$C$32,2,0),"תקין","לא תקין"),""))</f>
        <v/>
      </c>
      <c r="R753" s="199" t="str">
        <f t="shared" si="172"/>
        <v/>
      </c>
      <c r="S753" s="199" t="str">
        <f t="shared" si="173"/>
        <v/>
      </c>
      <c r="T753" s="199" t="str">
        <f t="shared" si="181"/>
        <v/>
      </c>
      <c r="U753" s="199" t="str">
        <f t="shared" si="174"/>
        <v/>
      </c>
      <c r="V753" s="989"/>
      <c r="X753" s="374" t="str">
        <f t="shared" si="175"/>
        <v/>
      </c>
      <c r="Y753" s="375" t="str">
        <f t="shared" si="176"/>
        <v/>
      </c>
      <c r="Z753" s="374" t="str">
        <f t="shared" si="177"/>
        <v/>
      </c>
      <c r="AA753" s="374" t="b">
        <f t="shared" si="178"/>
        <v>1</v>
      </c>
      <c r="AB753" s="374">
        <f>COUNTIFS(B:B,B753,H:H,'סיווג התפקידים והעלויות'!$C$2)</f>
        <v>0</v>
      </c>
      <c r="AC753" s="374">
        <f>COUNTIFS(B:B,B753,H:H,'סיווג התפקידים והעלויות'!$D$2)</f>
        <v>0</v>
      </c>
      <c r="AD753" s="374" t="str">
        <f>IF(OR(AND(H753='סיווג התפקידים והעלויות'!$A$2,I753='סיווג התפקידים והעלויות'!$A$3),'עלויות כח אדם (6)'!H753='סיווג התפקידים והעלויות'!$C$2,'עלויות כח אדם (6)'!H753='סיווג התפקידים והעלויות'!$D$2),IF('עלויות כח אדם (6)'!J753&lt;75,"לא תקין","תקין"),"")</f>
        <v/>
      </c>
      <c r="AE753" s="374" t="str">
        <f t="shared" si="179"/>
        <v/>
      </c>
      <c r="AF753" s="532" t="str">
        <f t="shared" si="180"/>
        <v/>
      </c>
    </row>
    <row r="754" spans="2:32" x14ac:dyDescent="0.25">
      <c r="B754" s="695"/>
      <c r="C754" s="197" t="str">
        <f>IF(B754&lt;&gt;"",IFERROR(VLOOKUP(B:B,'מצבת והרשמה (2)'!$C$20:$N$520,2,0)," ")," ")</f>
        <v xml:space="preserve"> </v>
      </c>
      <c r="D754" s="695"/>
      <c r="E754" s="696"/>
      <c r="F754" s="696"/>
      <c r="G754" s="696"/>
      <c r="H754" s="696"/>
      <c r="I754" s="1050" t="str">
        <f t="shared" si="167"/>
        <v/>
      </c>
      <c r="J754" s="696"/>
      <c r="K754" s="697"/>
      <c r="L754" s="696"/>
      <c r="M754" s="198" t="str">
        <f t="shared" si="168"/>
        <v/>
      </c>
      <c r="N754" s="369" t="str">
        <f t="shared" si="169"/>
        <v/>
      </c>
      <c r="O754" s="183" t="str">
        <f t="shared" si="170"/>
        <v/>
      </c>
      <c r="P754" s="199" t="str">
        <f t="shared" si="171"/>
        <v/>
      </c>
      <c r="Q754" s="199" t="str">
        <f>IF(B754="","",IFERROR(IF('עלויות כח אדם (6)'!J754&gt;=VLOOKUP(I754,'סיווג התפקידים והעלויות'!$B$23:$C$32,2,0),"תקין","לא תקין"),""))</f>
        <v/>
      </c>
      <c r="R754" s="199" t="str">
        <f t="shared" si="172"/>
        <v/>
      </c>
      <c r="S754" s="199" t="str">
        <f t="shared" si="173"/>
        <v/>
      </c>
      <c r="T754" s="199" t="str">
        <f t="shared" si="181"/>
        <v/>
      </c>
      <c r="U754" s="199" t="str">
        <f t="shared" si="174"/>
        <v/>
      </c>
      <c r="V754" s="989"/>
      <c r="X754" s="374" t="str">
        <f t="shared" si="175"/>
        <v/>
      </c>
      <c r="Y754" s="375" t="str">
        <f t="shared" si="176"/>
        <v/>
      </c>
      <c r="Z754" s="374" t="str">
        <f t="shared" si="177"/>
        <v/>
      </c>
      <c r="AA754" s="374" t="b">
        <f t="shared" si="178"/>
        <v>1</v>
      </c>
      <c r="AB754" s="374">
        <f>COUNTIFS(B:B,B754,H:H,'סיווג התפקידים והעלויות'!$C$2)</f>
        <v>0</v>
      </c>
      <c r="AC754" s="374">
        <f>COUNTIFS(B:B,B754,H:H,'סיווג התפקידים והעלויות'!$D$2)</f>
        <v>0</v>
      </c>
      <c r="AD754" s="374" t="str">
        <f>IF(OR(AND(H754='סיווג התפקידים והעלויות'!$A$2,I754='סיווג התפקידים והעלויות'!$A$3),'עלויות כח אדם (6)'!H754='סיווג התפקידים והעלויות'!$C$2,'עלויות כח אדם (6)'!H754='סיווג התפקידים והעלויות'!$D$2),IF('עלויות כח אדם (6)'!J754&lt;75,"לא תקין","תקין"),"")</f>
        <v/>
      </c>
      <c r="AE754" s="374" t="str">
        <f t="shared" si="179"/>
        <v/>
      </c>
      <c r="AF754" s="532" t="str">
        <f t="shared" si="180"/>
        <v/>
      </c>
    </row>
    <row r="755" spans="2:32" x14ac:dyDescent="0.25">
      <c r="B755" s="695"/>
      <c r="C755" s="197" t="str">
        <f>IF(B755&lt;&gt;"",IFERROR(VLOOKUP(B:B,'מצבת והרשמה (2)'!$C$20:$N$520,2,0)," ")," ")</f>
        <v xml:space="preserve"> </v>
      </c>
      <c r="D755" s="695"/>
      <c r="E755" s="696"/>
      <c r="F755" s="696"/>
      <c r="G755" s="696"/>
      <c r="H755" s="696"/>
      <c r="I755" s="1050" t="str">
        <f t="shared" si="167"/>
        <v/>
      </c>
      <c r="J755" s="696"/>
      <c r="K755" s="697"/>
      <c r="L755" s="696"/>
      <c r="M755" s="198" t="str">
        <f t="shared" si="168"/>
        <v/>
      </c>
      <c r="N755" s="369" t="str">
        <f t="shared" si="169"/>
        <v/>
      </c>
      <c r="O755" s="183" t="str">
        <f t="shared" si="170"/>
        <v/>
      </c>
      <c r="P755" s="199" t="str">
        <f t="shared" si="171"/>
        <v/>
      </c>
      <c r="Q755" s="199" t="str">
        <f>IF(B755="","",IFERROR(IF('עלויות כח אדם (6)'!J755&gt;=VLOOKUP(I755,'סיווג התפקידים והעלויות'!$B$23:$C$32,2,0),"תקין","לא תקין"),""))</f>
        <v/>
      </c>
      <c r="R755" s="199" t="str">
        <f t="shared" si="172"/>
        <v/>
      </c>
      <c r="S755" s="199" t="str">
        <f t="shared" si="173"/>
        <v/>
      </c>
      <c r="T755" s="199" t="str">
        <f t="shared" si="181"/>
        <v/>
      </c>
      <c r="U755" s="199" t="str">
        <f t="shared" si="174"/>
        <v/>
      </c>
      <c r="V755" s="989"/>
      <c r="X755" s="374" t="str">
        <f t="shared" si="175"/>
        <v/>
      </c>
      <c r="Y755" s="375" t="str">
        <f t="shared" si="176"/>
        <v/>
      </c>
      <c r="Z755" s="374" t="str">
        <f t="shared" si="177"/>
        <v/>
      </c>
      <c r="AA755" s="374" t="b">
        <f t="shared" si="178"/>
        <v>1</v>
      </c>
      <c r="AB755" s="374">
        <f>COUNTIFS(B:B,B755,H:H,'סיווג התפקידים והעלויות'!$C$2)</f>
        <v>0</v>
      </c>
      <c r="AC755" s="374">
        <f>COUNTIFS(B:B,B755,H:H,'סיווג התפקידים והעלויות'!$D$2)</f>
        <v>0</v>
      </c>
      <c r="AD755" s="374" t="str">
        <f>IF(OR(AND(H755='סיווג התפקידים והעלויות'!$A$2,I755='סיווג התפקידים והעלויות'!$A$3),'עלויות כח אדם (6)'!H755='סיווג התפקידים והעלויות'!$C$2,'עלויות כח אדם (6)'!H755='סיווג התפקידים והעלויות'!$D$2),IF('עלויות כח אדם (6)'!J755&lt;75,"לא תקין","תקין"),"")</f>
        <v/>
      </c>
      <c r="AE755" s="374" t="str">
        <f t="shared" si="179"/>
        <v/>
      </c>
      <c r="AF755" s="532" t="str">
        <f t="shared" si="180"/>
        <v/>
      </c>
    </row>
    <row r="756" spans="2:32" x14ac:dyDescent="0.25">
      <c r="B756" s="695"/>
      <c r="C756" s="197" t="str">
        <f>IF(B756&lt;&gt;"",IFERROR(VLOOKUP(B:B,'מצבת והרשמה (2)'!$C$20:$N$520,2,0)," ")," ")</f>
        <v xml:space="preserve"> </v>
      </c>
      <c r="D756" s="695"/>
      <c r="E756" s="696"/>
      <c r="F756" s="696"/>
      <c r="G756" s="696"/>
      <c r="H756" s="696"/>
      <c r="I756" s="1050" t="str">
        <f t="shared" si="167"/>
        <v/>
      </c>
      <c r="J756" s="696"/>
      <c r="K756" s="697"/>
      <c r="L756" s="696"/>
      <c r="M756" s="198" t="str">
        <f t="shared" si="168"/>
        <v/>
      </c>
      <c r="N756" s="369" t="str">
        <f t="shared" si="169"/>
        <v/>
      </c>
      <c r="O756" s="183" t="str">
        <f t="shared" si="170"/>
        <v/>
      </c>
      <c r="P756" s="199" t="str">
        <f t="shared" si="171"/>
        <v/>
      </c>
      <c r="Q756" s="199" t="str">
        <f>IF(B756="","",IFERROR(IF('עלויות כח אדם (6)'!J756&gt;=VLOOKUP(I756,'סיווג התפקידים והעלויות'!$B$23:$C$32,2,0),"תקין","לא תקין"),""))</f>
        <v/>
      </c>
      <c r="R756" s="199" t="str">
        <f t="shared" si="172"/>
        <v/>
      </c>
      <c r="S756" s="199" t="str">
        <f t="shared" si="173"/>
        <v/>
      </c>
      <c r="T756" s="199" t="str">
        <f t="shared" si="181"/>
        <v/>
      </c>
      <c r="U756" s="199" t="str">
        <f t="shared" si="174"/>
        <v/>
      </c>
      <c r="V756" s="989"/>
      <c r="X756" s="374" t="str">
        <f t="shared" si="175"/>
        <v/>
      </c>
      <c r="Y756" s="375" t="str">
        <f t="shared" si="176"/>
        <v/>
      </c>
      <c r="Z756" s="374" t="str">
        <f t="shared" si="177"/>
        <v/>
      </c>
      <c r="AA756" s="374" t="b">
        <f t="shared" si="178"/>
        <v>1</v>
      </c>
      <c r="AB756" s="374">
        <f>COUNTIFS(B:B,B756,H:H,'סיווג התפקידים והעלויות'!$C$2)</f>
        <v>0</v>
      </c>
      <c r="AC756" s="374">
        <f>COUNTIFS(B:B,B756,H:H,'סיווג התפקידים והעלויות'!$D$2)</f>
        <v>0</v>
      </c>
      <c r="AD756" s="374" t="str">
        <f>IF(OR(AND(H756='סיווג התפקידים והעלויות'!$A$2,I756='סיווג התפקידים והעלויות'!$A$3),'עלויות כח אדם (6)'!H756='סיווג התפקידים והעלויות'!$C$2,'עלויות כח אדם (6)'!H756='סיווג התפקידים והעלויות'!$D$2),IF('עלויות כח אדם (6)'!J756&lt;75,"לא תקין","תקין"),"")</f>
        <v/>
      </c>
      <c r="AE756" s="374" t="str">
        <f t="shared" si="179"/>
        <v/>
      </c>
      <c r="AF756" s="532" t="str">
        <f t="shared" si="180"/>
        <v/>
      </c>
    </row>
    <row r="757" spans="2:32" x14ac:dyDescent="0.25">
      <c r="B757" s="695"/>
      <c r="C757" s="197" t="str">
        <f>IF(B757&lt;&gt;"",IFERROR(VLOOKUP(B:B,'מצבת והרשמה (2)'!$C$20:$N$520,2,0)," ")," ")</f>
        <v xml:space="preserve"> </v>
      </c>
      <c r="D757" s="695"/>
      <c r="E757" s="696"/>
      <c r="F757" s="696"/>
      <c r="G757" s="696"/>
      <c r="H757" s="696"/>
      <c r="I757" s="1050" t="str">
        <f t="shared" si="167"/>
        <v/>
      </c>
      <c r="J757" s="696"/>
      <c r="K757" s="697"/>
      <c r="L757" s="696"/>
      <c r="M757" s="198" t="str">
        <f t="shared" si="168"/>
        <v/>
      </c>
      <c r="N757" s="369" t="str">
        <f t="shared" si="169"/>
        <v/>
      </c>
      <c r="O757" s="183" t="str">
        <f t="shared" si="170"/>
        <v/>
      </c>
      <c r="P757" s="199" t="str">
        <f t="shared" si="171"/>
        <v/>
      </c>
      <c r="Q757" s="199" t="str">
        <f>IF(B757="","",IFERROR(IF('עלויות כח אדם (6)'!J757&gt;=VLOOKUP(I757,'סיווג התפקידים והעלויות'!$B$23:$C$32,2,0),"תקין","לא תקין"),""))</f>
        <v/>
      </c>
      <c r="R757" s="199" t="str">
        <f t="shared" si="172"/>
        <v/>
      </c>
      <c r="S757" s="199" t="str">
        <f t="shared" si="173"/>
        <v/>
      </c>
      <c r="T757" s="199" t="str">
        <f t="shared" si="181"/>
        <v/>
      </c>
      <c r="U757" s="199" t="str">
        <f t="shared" si="174"/>
        <v/>
      </c>
      <c r="V757" s="989"/>
      <c r="X757" s="374" t="str">
        <f t="shared" si="175"/>
        <v/>
      </c>
      <c r="Y757" s="375" t="str">
        <f t="shared" si="176"/>
        <v/>
      </c>
      <c r="Z757" s="374" t="str">
        <f t="shared" si="177"/>
        <v/>
      </c>
      <c r="AA757" s="374" t="b">
        <f t="shared" si="178"/>
        <v>1</v>
      </c>
      <c r="AB757" s="374">
        <f>COUNTIFS(B:B,B757,H:H,'סיווג התפקידים והעלויות'!$C$2)</f>
        <v>0</v>
      </c>
      <c r="AC757" s="374">
        <f>COUNTIFS(B:B,B757,H:H,'סיווג התפקידים והעלויות'!$D$2)</f>
        <v>0</v>
      </c>
      <c r="AD757" s="374" t="str">
        <f>IF(OR(AND(H757='סיווג התפקידים והעלויות'!$A$2,I757='סיווג התפקידים והעלויות'!$A$3),'עלויות כח אדם (6)'!H757='סיווג התפקידים והעלויות'!$C$2,'עלויות כח אדם (6)'!H757='סיווג התפקידים והעלויות'!$D$2),IF('עלויות כח אדם (6)'!J757&lt;75,"לא תקין","תקין"),"")</f>
        <v/>
      </c>
      <c r="AE757" s="374" t="str">
        <f t="shared" si="179"/>
        <v/>
      </c>
      <c r="AF757" s="532" t="str">
        <f t="shared" si="180"/>
        <v/>
      </c>
    </row>
    <row r="758" spans="2:32" x14ac:dyDescent="0.25">
      <c r="B758" s="695"/>
      <c r="C758" s="197" t="str">
        <f>IF(B758&lt;&gt;"",IFERROR(VLOOKUP(B:B,'מצבת והרשמה (2)'!$C$20:$N$520,2,0)," ")," ")</f>
        <v xml:space="preserve"> </v>
      </c>
      <c r="D758" s="695"/>
      <c r="E758" s="696"/>
      <c r="F758" s="696"/>
      <c r="G758" s="696"/>
      <c r="H758" s="696"/>
      <c r="I758" s="1050" t="str">
        <f t="shared" si="167"/>
        <v/>
      </c>
      <c r="J758" s="696"/>
      <c r="K758" s="697"/>
      <c r="L758" s="696"/>
      <c r="M758" s="198" t="str">
        <f t="shared" si="168"/>
        <v/>
      </c>
      <c r="N758" s="369" t="str">
        <f t="shared" si="169"/>
        <v/>
      </c>
      <c r="O758" s="183" t="str">
        <f t="shared" si="170"/>
        <v/>
      </c>
      <c r="P758" s="199" t="str">
        <f t="shared" si="171"/>
        <v/>
      </c>
      <c r="Q758" s="199" t="str">
        <f>IF(B758="","",IFERROR(IF('עלויות כח אדם (6)'!J758&gt;=VLOOKUP(I758,'סיווג התפקידים והעלויות'!$B$23:$C$32,2,0),"תקין","לא תקין"),""))</f>
        <v/>
      </c>
      <c r="R758" s="199" t="str">
        <f t="shared" si="172"/>
        <v/>
      </c>
      <c r="S758" s="199" t="str">
        <f t="shared" si="173"/>
        <v/>
      </c>
      <c r="T758" s="199" t="str">
        <f t="shared" si="181"/>
        <v/>
      </c>
      <c r="U758" s="199" t="str">
        <f t="shared" si="174"/>
        <v/>
      </c>
      <c r="V758" s="989"/>
      <c r="X758" s="374" t="str">
        <f t="shared" si="175"/>
        <v/>
      </c>
      <c r="Y758" s="375" t="str">
        <f t="shared" si="176"/>
        <v/>
      </c>
      <c r="Z758" s="374" t="str">
        <f t="shared" si="177"/>
        <v/>
      </c>
      <c r="AA758" s="374" t="b">
        <f t="shared" si="178"/>
        <v>1</v>
      </c>
      <c r="AB758" s="374">
        <f>COUNTIFS(B:B,B758,H:H,'סיווג התפקידים והעלויות'!$C$2)</f>
        <v>0</v>
      </c>
      <c r="AC758" s="374">
        <f>COUNTIFS(B:B,B758,H:H,'סיווג התפקידים והעלויות'!$D$2)</f>
        <v>0</v>
      </c>
      <c r="AD758" s="374" t="str">
        <f>IF(OR(AND(H758='סיווג התפקידים והעלויות'!$A$2,I758='סיווג התפקידים והעלויות'!$A$3),'עלויות כח אדם (6)'!H758='סיווג התפקידים והעלויות'!$C$2,'עלויות כח אדם (6)'!H758='סיווג התפקידים והעלויות'!$D$2),IF('עלויות כח אדם (6)'!J758&lt;75,"לא תקין","תקין"),"")</f>
        <v/>
      </c>
      <c r="AE758" s="374" t="str">
        <f t="shared" si="179"/>
        <v/>
      </c>
      <c r="AF758" s="532" t="str">
        <f t="shared" si="180"/>
        <v/>
      </c>
    </row>
    <row r="759" spans="2:32" x14ac:dyDescent="0.25">
      <c r="B759" s="695"/>
      <c r="C759" s="197" t="str">
        <f>IF(B759&lt;&gt;"",IFERROR(VLOOKUP(B:B,'מצבת והרשמה (2)'!$C$20:$N$520,2,0)," ")," ")</f>
        <v xml:space="preserve"> </v>
      </c>
      <c r="D759" s="695"/>
      <c r="E759" s="696"/>
      <c r="F759" s="696"/>
      <c r="G759" s="696"/>
      <c r="H759" s="696"/>
      <c r="I759" s="1050" t="str">
        <f t="shared" si="167"/>
        <v/>
      </c>
      <c r="J759" s="696"/>
      <c r="K759" s="697"/>
      <c r="L759" s="696"/>
      <c r="M759" s="198" t="str">
        <f t="shared" si="168"/>
        <v/>
      </c>
      <c r="N759" s="369" t="str">
        <f t="shared" si="169"/>
        <v/>
      </c>
      <c r="O759" s="183" t="str">
        <f t="shared" si="170"/>
        <v/>
      </c>
      <c r="P759" s="199" t="str">
        <f t="shared" si="171"/>
        <v/>
      </c>
      <c r="Q759" s="199" t="str">
        <f>IF(B759="","",IFERROR(IF('עלויות כח אדם (6)'!J759&gt;=VLOOKUP(I759,'סיווג התפקידים והעלויות'!$B$23:$C$32,2,0),"תקין","לא תקין"),""))</f>
        <v/>
      </c>
      <c r="R759" s="199" t="str">
        <f t="shared" si="172"/>
        <v/>
      </c>
      <c r="S759" s="199" t="str">
        <f t="shared" si="173"/>
        <v/>
      </c>
      <c r="T759" s="199" t="str">
        <f t="shared" si="181"/>
        <v/>
      </c>
      <c r="U759" s="199" t="str">
        <f t="shared" si="174"/>
        <v/>
      </c>
      <c r="V759" s="989"/>
      <c r="X759" s="374" t="str">
        <f t="shared" si="175"/>
        <v/>
      </c>
      <c r="Y759" s="375" t="str">
        <f t="shared" si="176"/>
        <v/>
      </c>
      <c r="Z759" s="374" t="str">
        <f t="shared" si="177"/>
        <v/>
      </c>
      <c r="AA759" s="374" t="b">
        <f t="shared" si="178"/>
        <v>1</v>
      </c>
      <c r="AB759" s="374">
        <f>COUNTIFS(B:B,B759,H:H,'סיווג התפקידים והעלויות'!$C$2)</f>
        <v>0</v>
      </c>
      <c r="AC759" s="374">
        <f>COUNTIFS(B:B,B759,H:H,'סיווג התפקידים והעלויות'!$D$2)</f>
        <v>0</v>
      </c>
      <c r="AD759" s="374" t="str">
        <f>IF(OR(AND(H759='סיווג התפקידים והעלויות'!$A$2,I759='סיווג התפקידים והעלויות'!$A$3),'עלויות כח אדם (6)'!H759='סיווג התפקידים והעלויות'!$C$2,'עלויות כח אדם (6)'!H759='סיווג התפקידים והעלויות'!$D$2),IF('עלויות כח אדם (6)'!J759&lt;75,"לא תקין","תקין"),"")</f>
        <v/>
      </c>
      <c r="AE759" s="374" t="str">
        <f t="shared" si="179"/>
        <v/>
      </c>
      <c r="AF759" s="532" t="str">
        <f t="shared" si="180"/>
        <v/>
      </c>
    </row>
    <row r="760" spans="2:32" x14ac:dyDescent="0.25">
      <c r="B760" s="695"/>
      <c r="C760" s="197" t="str">
        <f>IF(B760&lt;&gt;"",IFERROR(VLOOKUP(B:B,'מצבת והרשמה (2)'!$C$20:$N$520,2,0)," ")," ")</f>
        <v xml:space="preserve"> </v>
      </c>
      <c r="D760" s="695"/>
      <c r="E760" s="696"/>
      <c r="F760" s="696"/>
      <c r="G760" s="696"/>
      <c r="H760" s="696"/>
      <c r="I760" s="1050" t="str">
        <f t="shared" si="167"/>
        <v/>
      </c>
      <c r="J760" s="696"/>
      <c r="K760" s="697"/>
      <c r="L760" s="696"/>
      <c r="M760" s="198" t="str">
        <f t="shared" si="168"/>
        <v/>
      </c>
      <c r="N760" s="369" t="str">
        <f t="shared" si="169"/>
        <v/>
      </c>
      <c r="O760" s="183" t="str">
        <f t="shared" si="170"/>
        <v/>
      </c>
      <c r="P760" s="199" t="str">
        <f t="shared" si="171"/>
        <v/>
      </c>
      <c r="Q760" s="199" t="str">
        <f>IF(B760="","",IFERROR(IF('עלויות כח אדם (6)'!J760&gt;=VLOOKUP(I760,'סיווג התפקידים והעלויות'!$B$23:$C$32,2,0),"תקין","לא תקין"),""))</f>
        <v/>
      </c>
      <c r="R760" s="199" t="str">
        <f t="shared" si="172"/>
        <v/>
      </c>
      <c r="S760" s="199" t="str">
        <f t="shared" si="173"/>
        <v/>
      </c>
      <c r="T760" s="199" t="str">
        <f t="shared" si="181"/>
        <v/>
      </c>
      <c r="U760" s="199" t="str">
        <f t="shared" si="174"/>
        <v/>
      </c>
      <c r="V760" s="989"/>
      <c r="X760" s="374" t="str">
        <f t="shared" si="175"/>
        <v/>
      </c>
      <c r="Y760" s="375" t="str">
        <f t="shared" si="176"/>
        <v/>
      </c>
      <c r="Z760" s="374" t="str">
        <f t="shared" si="177"/>
        <v/>
      </c>
      <c r="AA760" s="374" t="b">
        <f t="shared" si="178"/>
        <v>1</v>
      </c>
      <c r="AB760" s="374">
        <f>COUNTIFS(B:B,B760,H:H,'סיווג התפקידים והעלויות'!$C$2)</f>
        <v>0</v>
      </c>
      <c r="AC760" s="374">
        <f>COUNTIFS(B:B,B760,H:H,'סיווג התפקידים והעלויות'!$D$2)</f>
        <v>0</v>
      </c>
      <c r="AD760" s="374" t="str">
        <f>IF(OR(AND(H760='סיווג התפקידים והעלויות'!$A$2,I760='סיווג התפקידים והעלויות'!$A$3),'עלויות כח אדם (6)'!H760='סיווג התפקידים והעלויות'!$C$2,'עלויות כח אדם (6)'!H760='סיווג התפקידים והעלויות'!$D$2),IF('עלויות כח אדם (6)'!J760&lt;75,"לא תקין","תקין"),"")</f>
        <v/>
      </c>
      <c r="AE760" s="374" t="str">
        <f t="shared" si="179"/>
        <v/>
      </c>
      <c r="AF760" s="532" t="str">
        <f t="shared" si="180"/>
        <v/>
      </c>
    </row>
    <row r="761" spans="2:32" x14ac:dyDescent="0.25">
      <c r="B761" s="695"/>
      <c r="C761" s="197" t="str">
        <f>IF(B761&lt;&gt;"",IFERROR(VLOOKUP(B:B,'מצבת והרשמה (2)'!$C$20:$N$520,2,0)," ")," ")</f>
        <v xml:space="preserve"> </v>
      </c>
      <c r="D761" s="695"/>
      <c r="E761" s="696"/>
      <c r="F761" s="696"/>
      <c r="G761" s="696"/>
      <c r="H761" s="696"/>
      <c r="I761" s="1050" t="str">
        <f t="shared" si="167"/>
        <v/>
      </c>
      <c r="J761" s="696"/>
      <c r="K761" s="697"/>
      <c r="L761" s="696"/>
      <c r="M761" s="198" t="str">
        <f t="shared" si="168"/>
        <v/>
      </c>
      <c r="N761" s="369" t="str">
        <f t="shared" si="169"/>
        <v/>
      </c>
      <c r="O761" s="183" t="str">
        <f t="shared" si="170"/>
        <v/>
      </c>
      <c r="P761" s="199" t="str">
        <f t="shared" si="171"/>
        <v/>
      </c>
      <c r="Q761" s="199" t="str">
        <f>IF(B761="","",IFERROR(IF('עלויות כח אדם (6)'!J761&gt;=VLOOKUP(I761,'סיווג התפקידים והעלויות'!$B$23:$C$32,2,0),"תקין","לא תקין"),""))</f>
        <v/>
      </c>
      <c r="R761" s="199" t="str">
        <f t="shared" si="172"/>
        <v/>
      </c>
      <c r="S761" s="199" t="str">
        <f t="shared" si="173"/>
        <v/>
      </c>
      <c r="T761" s="199" t="str">
        <f t="shared" si="181"/>
        <v/>
      </c>
      <c r="U761" s="199" t="str">
        <f t="shared" si="174"/>
        <v/>
      </c>
      <c r="V761" s="989"/>
      <c r="X761" s="374" t="str">
        <f t="shared" si="175"/>
        <v/>
      </c>
      <c r="Y761" s="375" t="str">
        <f t="shared" si="176"/>
        <v/>
      </c>
      <c r="Z761" s="374" t="str">
        <f t="shared" si="177"/>
        <v/>
      </c>
      <c r="AA761" s="374" t="b">
        <f t="shared" si="178"/>
        <v>1</v>
      </c>
      <c r="AB761" s="374">
        <f>COUNTIFS(B:B,B761,H:H,'סיווג התפקידים והעלויות'!$C$2)</f>
        <v>0</v>
      </c>
      <c r="AC761" s="374">
        <f>COUNTIFS(B:B,B761,H:H,'סיווג התפקידים והעלויות'!$D$2)</f>
        <v>0</v>
      </c>
      <c r="AD761" s="374" t="str">
        <f>IF(OR(AND(H761='סיווג התפקידים והעלויות'!$A$2,I761='סיווג התפקידים והעלויות'!$A$3),'עלויות כח אדם (6)'!H761='סיווג התפקידים והעלויות'!$C$2,'עלויות כח אדם (6)'!H761='סיווג התפקידים והעלויות'!$D$2),IF('עלויות כח אדם (6)'!J761&lt;75,"לא תקין","תקין"),"")</f>
        <v/>
      </c>
      <c r="AE761" s="374" t="str">
        <f t="shared" si="179"/>
        <v/>
      </c>
      <c r="AF761" s="532" t="str">
        <f t="shared" si="180"/>
        <v/>
      </c>
    </row>
    <row r="762" spans="2:32" x14ac:dyDescent="0.25">
      <c r="B762" s="695"/>
      <c r="C762" s="197" t="str">
        <f>IF(B762&lt;&gt;"",IFERROR(VLOOKUP(B:B,'מצבת והרשמה (2)'!$C$20:$N$520,2,0)," ")," ")</f>
        <v xml:space="preserve"> </v>
      </c>
      <c r="D762" s="695"/>
      <c r="E762" s="696"/>
      <c r="F762" s="696"/>
      <c r="G762" s="696"/>
      <c r="H762" s="696"/>
      <c r="I762" s="1050" t="str">
        <f t="shared" si="167"/>
        <v/>
      </c>
      <c r="J762" s="696"/>
      <c r="K762" s="697"/>
      <c r="L762" s="696"/>
      <c r="M762" s="198" t="str">
        <f t="shared" si="168"/>
        <v/>
      </c>
      <c r="N762" s="369" t="str">
        <f t="shared" si="169"/>
        <v/>
      </c>
      <c r="O762" s="183" t="str">
        <f t="shared" si="170"/>
        <v/>
      </c>
      <c r="P762" s="199" t="str">
        <f t="shared" si="171"/>
        <v/>
      </c>
      <c r="Q762" s="199" t="str">
        <f>IF(B762="","",IFERROR(IF('עלויות כח אדם (6)'!J762&gt;=VLOOKUP(I762,'סיווג התפקידים והעלויות'!$B$23:$C$32,2,0),"תקין","לא תקין"),""))</f>
        <v/>
      </c>
      <c r="R762" s="199" t="str">
        <f t="shared" si="172"/>
        <v/>
      </c>
      <c r="S762" s="199" t="str">
        <f t="shared" si="173"/>
        <v/>
      </c>
      <c r="T762" s="199" t="str">
        <f t="shared" si="181"/>
        <v/>
      </c>
      <c r="U762" s="199" t="str">
        <f t="shared" si="174"/>
        <v/>
      </c>
      <c r="V762" s="989"/>
      <c r="X762" s="374" t="str">
        <f t="shared" si="175"/>
        <v/>
      </c>
      <c r="Y762" s="375" t="str">
        <f t="shared" si="176"/>
        <v/>
      </c>
      <c r="Z762" s="374" t="str">
        <f t="shared" si="177"/>
        <v/>
      </c>
      <c r="AA762" s="374" t="b">
        <f t="shared" si="178"/>
        <v>1</v>
      </c>
      <c r="AB762" s="374">
        <f>COUNTIFS(B:B,B762,H:H,'סיווג התפקידים והעלויות'!$C$2)</f>
        <v>0</v>
      </c>
      <c r="AC762" s="374">
        <f>COUNTIFS(B:B,B762,H:H,'סיווג התפקידים והעלויות'!$D$2)</f>
        <v>0</v>
      </c>
      <c r="AD762" s="374" t="str">
        <f>IF(OR(AND(H762='סיווג התפקידים והעלויות'!$A$2,I762='סיווג התפקידים והעלויות'!$A$3),'עלויות כח אדם (6)'!H762='סיווג התפקידים והעלויות'!$C$2,'עלויות כח אדם (6)'!H762='סיווג התפקידים והעלויות'!$D$2),IF('עלויות כח אדם (6)'!J762&lt;75,"לא תקין","תקין"),"")</f>
        <v/>
      </c>
      <c r="AE762" s="374" t="str">
        <f t="shared" si="179"/>
        <v/>
      </c>
      <c r="AF762" s="532" t="str">
        <f t="shared" si="180"/>
        <v/>
      </c>
    </row>
    <row r="763" spans="2:32" x14ac:dyDescent="0.25">
      <c r="B763" s="695"/>
      <c r="C763" s="197" t="str">
        <f>IF(B763&lt;&gt;"",IFERROR(VLOOKUP(B:B,'מצבת והרשמה (2)'!$C$20:$N$520,2,0)," ")," ")</f>
        <v xml:space="preserve"> </v>
      </c>
      <c r="D763" s="695"/>
      <c r="E763" s="696"/>
      <c r="F763" s="696"/>
      <c r="G763" s="696"/>
      <c r="H763" s="696"/>
      <c r="I763" s="1050" t="str">
        <f t="shared" si="167"/>
        <v/>
      </c>
      <c r="J763" s="696"/>
      <c r="K763" s="697"/>
      <c r="L763" s="696"/>
      <c r="M763" s="198" t="str">
        <f t="shared" si="168"/>
        <v/>
      </c>
      <c r="N763" s="369" t="str">
        <f t="shared" si="169"/>
        <v/>
      </c>
      <c r="O763" s="183" t="str">
        <f t="shared" si="170"/>
        <v/>
      </c>
      <c r="P763" s="199" t="str">
        <f t="shared" si="171"/>
        <v/>
      </c>
      <c r="Q763" s="199" t="str">
        <f>IF(B763="","",IFERROR(IF('עלויות כח אדם (6)'!J763&gt;=VLOOKUP(I763,'סיווג התפקידים והעלויות'!$B$23:$C$32,2,0),"תקין","לא תקין"),""))</f>
        <v/>
      </c>
      <c r="R763" s="199" t="str">
        <f t="shared" si="172"/>
        <v/>
      </c>
      <c r="S763" s="199" t="str">
        <f t="shared" si="173"/>
        <v/>
      </c>
      <c r="T763" s="199" t="str">
        <f t="shared" si="181"/>
        <v/>
      </c>
      <c r="U763" s="199" t="str">
        <f t="shared" si="174"/>
        <v/>
      </c>
      <c r="V763" s="989"/>
      <c r="X763" s="374" t="str">
        <f t="shared" si="175"/>
        <v/>
      </c>
      <c r="Y763" s="375" t="str">
        <f t="shared" si="176"/>
        <v/>
      </c>
      <c r="Z763" s="374" t="str">
        <f t="shared" si="177"/>
        <v/>
      </c>
      <c r="AA763" s="374" t="b">
        <f t="shared" si="178"/>
        <v>1</v>
      </c>
      <c r="AB763" s="374">
        <f>COUNTIFS(B:B,B763,H:H,'סיווג התפקידים והעלויות'!$C$2)</f>
        <v>0</v>
      </c>
      <c r="AC763" s="374">
        <f>COUNTIFS(B:B,B763,H:H,'סיווג התפקידים והעלויות'!$D$2)</f>
        <v>0</v>
      </c>
      <c r="AD763" s="374" t="str">
        <f>IF(OR(AND(H763='סיווג התפקידים והעלויות'!$A$2,I763='סיווג התפקידים והעלויות'!$A$3),'עלויות כח אדם (6)'!H763='סיווג התפקידים והעלויות'!$C$2,'עלויות כח אדם (6)'!H763='סיווג התפקידים והעלויות'!$D$2),IF('עלויות כח אדם (6)'!J763&lt;75,"לא תקין","תקין"),"")</f>
        <v/>
      </c>
      <c r="AE763" s="374" t="str">
        <f t="shared" si="179"/>
        <v/>
      </c>
      <c r="AF763" s="532" t="str">
        <f t="shared" si="180"/>
        <v/>
      </c>
    </row>
    <row r="764" spans="2:32" x14ac:dyDescent="0.25">
      <c r="B764" s="695"/>
      <c r="C764" s="197" t="str">
        <f>IF(B764&lt;&gt;"",IFERROR(VLOOKUP(B:B,'מצבת והרשמה (2)'!$C$20:$N$520,2,0)," ")," ")</f>
        <v xml:space="preserve"> </v>
      </c>
      <c r="D764" s="695"/>
      <c r="E764" s="696"/>
      <c r="F764" s="696"/>
      <c r="G764" s="696"/>
      <c r="H764" s="696"/>
      <c r="I764" s="1050" t="str">
        <f t="shared" si="167"/>
        <v/>
      </c>
      <c r="J764" s="696"/>
      <c r="K764" s="697"/>
      <c r="L764" s="696"/>
      <c r="M764" s="198" t="str">
        <f t="shared" si="168"/>
        <v/>
      </c>
      <c r="N764" s="369" t="str">
        <f t="shared" si="169"/>
        <v/>
      </c>
      <c r="O764" s="183" t="str">
        <f t="shared" si="170"/>
        <v/>
      </c>
      <c r="P764" s="199" t="str">
        <f t="shared" si="171"/>
        <v/>
      </c>
      <c r="Q764" s="199" t="str">
        <f>IF(B764="","",IFERROR(IF('עלויות כח אדם (6)'!J764&gt;=VLOOKUP(I764,'סיווג התפקידים והעלויות'!$B$23:$C$32,2,0),"תקין","לא תקין"),""))</f>
        <v/>
      </c>
      <c r="R764" s="199" t="str">
        <f t="shared" si="172"/>
        <v/>
      </c>
      <c r="S764" s="199" t="str">
        <f t="shared" si="173"/>
        <v/>
      </c>
      <c r="T764" s="199" t="str">
        <f t="shared" si="181"/>
        <v/>
      </c>
      <c r="U764" s="199" t="str">
        <f t="shared" si="174"/>
        <v/>
      </c>
      <c r="V764" s="989"/>
      <c r="X764" s="374" t="str">
        <f t="shared" si="175"/>
        <v/>
      </c>
      <c r="Y764" s="375" t="str">
        <f t="shared" si="176"/>
        <v/>
      </c>
      <c r="Z764" s="374" t="str">
        <f t="shared" si="177"/>
        <v/>
      </c>
      <c r="AA764" s="374" t="b">
        <f t="shared" si="178"/>
        <v>1</v>
      </c>
      <c r="AB764" s="374">
        <f>COUNTIFS(B:B,B764,H:H,'סיווג התפקידים והעלויות'!$C$2)</f>
        <v>0</v>
      </c>
      <c r="AC764" s="374">
        <f>COUNTIFS(B:B,B764,H:H,'סיווג התפקידים והעלויות'!$D$2)</f>
        <v>0</v>
      </c>
      <c r="AD764" s="374" t="str">
        <f>IF(OR(AND(H764='סיווג התפקידים והעלויות'!$A$2,I764='סיווג התפקידים והעלויות'!$A$3),'עלויות כח אדם (6)'!H764='סיווג התפקידים והעלויות'!$C$2,'עלויות כח אדם (6)'!H764='סיווג התפקידים והעלויות'!$D$2),IF('עלויות כח אדם (6)'!J764&lt;75,"לא תקין","תקין"),"")</f>
        <v/>
      </c>
      <c r="AE764" s="374" t="str">
        <f t="shared" si="179"/>
        <v/>
      </c>
      <c r="AF764" s="532" t="str">
        <f t="shared" si="180"/>
        <v/>
      </c>
    </row>
    <row r="765" spans="2:32" x14ac:dyDescent="0.25">
      <c r="B765" s="695"/>
      <c r="C765" s="197" t="str">
        <f>IF(B765&lt;&gt;"",IFERROR(VLOOKUP(B:B,'מצבת והרשמה (2)'!$C$20:$N$520,2,0)," ")," ")</f>
        <v xml:space="preserve"> </v>
      </c>
      <c r="D765" s="695"/>
      <c r="E765" s="696"/>
      <c r="F765" s="696"/>
      <c r="G765" s="696"/>
      <c r="H765" s="696"/>
      <c r="I765" s="1050" t="str">
        <f t="shared" si="167"/>
        <v/>
      </c>
      <c r="J765" s="696"/>
      <c r="K765" s="697"/>
      <c r="L765" s="696"/>
      <c r="M765" s="198" t="str">
        <f t="shared" si="168"/>
        <v/>
      </c>
      <c r="N765" s="369" t="str">
        <f t="shared" si="169"/>
        <v/>
      </c>
      <c r="O765" s="183" t="str">
        <f t="shared" si="170"/>
        <v/>
      </c>
      <c r="P765" s="199" t="str">
        <f t="shared" si="171"/>
        <v/>
      </c>
      <c r="Q765" s="199" t="str">
        <f>IF(B765="","",IFERROR(IF('עלויות כח אדם (6)'!J765&gt;=VLOOKUP(I765,'סיווג התפקידים והעלויות'!$B$23:$C$32,2,0),"תקין","לא תקין"),""))</f>
        <v/>
      </c>
      <c r="R765" s="199" t="str">
        <f t="shared" si="172"/>
        <v/>
      </c>
      <c r="S765" s="199" t="str">
        <f t="shared" si="173"/>
        <v/>
      </c>
      <c r="T765" s="199" t="str">
        <f t="shared" si="181"/>
        <v/>
      </c>
      <c r="U765" s="199" t="str">
        <f t="shared" si="174"/>
        <v/>
      </c>
      <c r="V765" s="989"/>
      <c r="X765" s="374" t="str">
        <f t="shared" si="175"/>
        <v/>
      </c>
      <c r="Y765" s="375" t="str">
        <f t="shared" si="176"/>
        <v/>
      </c>
      <c r="Z765" s="374" t="str">
        <f t="shared" si="177"/>
        <v/>
      </c>
      <c r="AA765" s="374" t="b">
        <f t="shared" si="178"/>
        <v>1</v>
      </c>
      <c r="AB765" s="374">
        <f>COUNTIFS(B:B,B765,H:H,'סיווג התפקידים והעלויות'!$C$2)</f>
        <v>0</v>
      </c>
      <c r="AC765" s="374">
        <f>COUNTIFS(B:B,B765,H:H,'סיווג התפקידים והעלויות'!$D$2)</f>
        <v>0</v>
      </c>
      <c r="AD765" s="374" t="str">
        <f>IF(OR(AND(H765='סיווג התפקידים והעלויות'!$A$2,I765='סיווג התפקידים והעלויות'!$A$3),'עלויות כח אדם (6)'!H765='סיווג התפקידים והעלויות'!$C$2,'עלויות כח אדם (6)'!H765='סיווג התפקידים והעלויות'!$D$2),IF('עלויות כח אדם (6)'!J765&lt;75,"לא תקין","תקין"),"")</f>
        <v/>
      </c>
      <c r="AE765" s="374" t="str">
        <f t="shared" si="179"/>
        <v/>
      </c>
      <c r="AF765" s="532" t="str">
        <f t="shared" si="180"/>
        <v/>
      </c>
    </row>
    <row r="766" spans="2:32" x14ac:dyDescent="0.25">
      <c r="B766" s="695"/>
      <c r="C766" s="197" t="str">
        <f>IF(B766&lt;&gt;"",IFERROR(VLOOKUP(B:B,'מצבת והרשמה (2)'!$C$20:$N$520,2,0)," ")," ")</f>
        <v xml:space="preserve"> </v>
      </c>
      <c r="D766" s="695"/>
      <c r="E766" s="696"/>
      <c r="F766" s="696"/>
      <c r="G766" s="696"/>
      <c r="H766" s="696"/>
      <c r="I766" s="1050" t="str">
        <f t="shared" si="167"/>
        <v/>
      </c>
      <c r="J766" s="696"/>
      <c r="K766" s="697"/>
      <c r="L766" s="696"/>
      <c r="M766" s="198" t="str">
        <f t="shared" si="168"/>
        <v/>
      </c>
      <c r="N766" s="369" t="str">
        <f t="shared" si="169"/>
        <v/>
      </c>
      <c r="O766" s="183" t="str">
        <f t="shared" si="170"/>
        <v/>
      </c>
      <c r="P766" s="199" t="str">
        <f t="shared" si="171"/>
        <v/>
      </c>
      <c r="Q766" s="199" t="str">
        <f>IF(B766="","",IFERROR(IF('עלויות כח אדם (6)'!J766&gt;=VLOOKUP(I766,'סיווג התפקידים והעלויות'!$B$23:$C$32,2,0),"תקין","לא תקין"),""))</f>
        <v/>
      </c>
      <c r="R766" s="199" t="str">
        <f t="shared" si="172"/>
        <v/>
      </c>
      <c r="S766" s="199" t="str">
        <f t="shared" si="173"/>
        <v/>
      </c>
      <c r="T766" s="199" t="str">
        <f t="shared" si="181"/>
        <v/>
      </c>
      <c r="U766" s="199" t="str">
        <f t="shared" si="174"/>
        <v/>
      </c>
      <c r="V766" s="989"/>
      <c r="X766" s="374" t="str">
        <f t="shared" si="175"/>
        <v/>
      </c>
      <c r="Y766" s="375" t="str">
        <f t="shared" si="176"/>
        <v/>
      </c>
      <c r="Z766" s="374" t="str">
        <f t="shared" si="177"/>
        <v/>
      </c>
      <c r="AA766" s="374" t="b">
        <f t="shared" si="178"/>
        <v>1</v>
      </c>
      <c r="AB766" s="374">
        <f>COUNTIFS(B:B,B766,H:H,'סיווג התפקידים והעלויות'!$C$2)</f>
        <v>0</v>
      </c>
      <c r="AC766" s="374">
        <f>COUNTIFS(B:B,B766,H:H,'סיווג התפקידים והעלויות'!$D$2)</f>
        <v>0</v>
      </c>
      <c r="AD766" s="374" t="str">
        <f>IF(OR(AND(H766='סיווג התפקידים והעלויות'!$A$2,I766='סיווג התפקידים והעלויות'!$A$3),'עלויות כח אדם (6)'!H766='סיווג התפקידים והעלויות'!$C$2,'עלויות כח אדם (6)'!H766='סיווג התפקידים והעלויות'!$D$2),IF('עלויות כח אדם (6)'!J766&lt;75,"לא תקין","תקין"),"")</f>
        <v/>
      </c>
      <c r="AE766" s="374" t="str">
        <f t="shared" si="179"/>
        <v/>
      </c>
      <c r="AF766" s="532" t="str">
        <f t="shared" si="180"/>
        <v/>
      </c>
    </row>
    <row r="767" spans="2:32" x14ac:dyDescent="0.25">
      <c r="B767" s="695"/>
      <c r="C767" s="197" t="str">
        <f>IF(B767&lt;&gt;"",IFERROR(VLOOKUP(B:B,'מצבת והרשמה (2)'!$C$20:$N$520,2,0)," ")," ")</f>
        <v xml:space="preserve"> </v>
      </c>
      <c r="D767" s="695"/>
      <c r="E767" s="696"/>
      <c r="F767" s="696"/>
      <c r="G767" s="696"/>
      <c r="H767" s="696"/>
      <c r="I767" s="1050" t="str">
        <f t="shared" si="167"/>
        <v/>
      </c>
      <c r="J767" s="696"/>
      <c r="K767" s="697"/>
      <c r="L767" s="696"/>
      <c r="M767" s="198" t="str">
        <f t="shared" si="168"/>
        <v/>
      </c>
      <c r="N767" s="369" t="str">
        <f t="shared" si="169"/>
        <v/>
      </c>
      <c r="O767" s="183" t="str">
        <f t="shared" si="170"/>
        <v/>
      </c>
      <c r="P767" s="199" t="str">
        <f t="shared" si="171"/>
        <v/>
      </c>
      <c r="Q767" s="199" t="str">
        <f>IF(B767="","",IFERROR(IF('עלויות כח אדם (6)'!J767&gt;=VLOOKUP(I767,'סיווג התפקידים והעלויות'!$B$23:$C$32,2,0),"תקין","לא תקין"),""))</f>
        <v/>
      </c>
      <c r="R767" s="199" t="str">
        <f t="shared" si="172"/>
        <v/>
      </c>
      <c r="S767" s="199" t="str">
        <f t="shared" si="173"/>
        <v/>
      </c>
      <c r="T767" s="199" t="str">
        <f t="shared" si="181"/>
        <v/>
      </c>
      <c r="U767" s="199" t="str">
        <f t="shared" si="174"/>
        <v/>
      </c>
      <c r="V767" s="989"/>
      <c r="X767" s="374" t="str">
        <f t="shared" si="175"/>
        <v/>
      </c>
      <c r="Y767" s="375" t="str">
        <f t="shared" si="176"/>
        <v/>
      </c>
      <c r="Z767" s="374" t="str">
        <f t="shared" si="177"/>
        <v/>
      </c>
      <c r="AA767" s="374" t="b">
        <f t="shared" si="178"/>
        <v>1</v>
      </c>
      <c r="AB767" s="374">
        <f>COUNTIFS(B:B,B767,H:H,'סיווג התפקידים והעלויות'!$C$2)</f>
        <v>0</v>
      </c>
      <c r="AC767" s="374">
        <f>COUNTIFS(B:B,B767,H:H,'סיווג התפקידים והעלויות'!$D$2)</f>
        <v>0</v>
      </c>
      <c r="AD767" s="374" t="str">
        <f>IF(OR(AND(H767='סיווג התפקידים והעלויות'!$A$2,I767='סיווג התפקידים והעלויות'!$A$3),'עלויות כח אדם (6)'!H767='סיווג התפקידים והעלויות'!$C$2,'עלויות כח אדם (6)'!H767='סיווג התפקידים והעלויות'!$D$2),IF('עלויות כח אדם (6)'!J767&lt;75,"לא תקין","תקין"),"")</f>
        <v/>
      </c>
      <c r="AE767" s="374" t="str">
        <f t="shared" si="179"/>
        <v/>
      </c>
      <c r="AF767" s="532" t="str">
        <f t="shared" si="180"/>
        <v/>
      </c>
    </row>
    <row r="768" spans="2:32" x14ac:dyDescent="0.25">
      <c r="B768" s="695"/>
      <c r="C768" s="197" t="str">
        <f>IF(B768&lt;&gt;"",IFERROR(VLOOKUP(B:B,'מצבת והרשמה (2)'!$C$20:$N$520,2,0)," ")," ")</f>
        <v xml:space="preserve"> </v>
      </c>
      <c r="D768" s="695"/>
      <c r="E768" s="696"/>
      <c r="F768" s="696"/>
      <c r="G768" s="696"/>
      <c r="H768" s="696"/>
      <c r="I768" s="1050" t="str">
        <f t="shared" si="167"/>
        <v/>
      </c>
      <c r="J768" s="696"/>
      <c r="K768" s="697"/>
      <c r="L768" s="696"/>
      <c r="M768" s="198" t="str">
        <f t="shared" si="168"/>
        <v/>
      </c>
      <c r="N768" s="369" t="str">
        <f t="shared" si="169"/>
        <v/>
      </c>
      <c r="O768" s="183" t="str">
        <f t="shared" si="170"/>
        <v/>
      </c>
      <c r="P768" s="199" t="str">
        <f t="shared" si="171"/>
        <v/>
      </c>
      <c r="Q768" s="199" t="str">
        <f>IF(B768="","",IFERROR(IF('עלויות כח אדם (6)'!J768&gt;=VLOOKUP(I768,'סיווג התפקידים והעלויות'!$B$23:$C$32,2,0),"תקין","לא תקין"),""))</f>
        <v/>
      </c>
      <c r="R768" s="199" t="str">
        <f t="shared" si="172"/>
        <v/>
      </c>
      <c r="S768" s="199" t="str">
        <f t="shared" si="173"/>
        <v/>
      </c>
      <c r="T768" s="199" t="str">
        <f t="shared" si="181"/>
        <v/>
      </c>
      <c r="U768" s="199" t="str">
        <f t="shared" si="174"/>
        <v/>
      </c>
      <c r="V768" s="989"/>
      <c r="X768" s="374" t="str">
        <f t="shared" si="175"/>
        <v/>
      </c>
      <c r="Y768" s="375" t="str">
        <f t="shared" si="176"/>
        <v/>
      </c>
      <c r="Z768" s="374" t="str">
        <f t="shared" si="177"/>
        <v/>
      </c>
      <c r="AA768" s="374" t="b">
        <f t="shared" si="178"/>
        <v>1</v>
      </c>
      <c r="AB768" s="374">
        <f>COUNTIFS(B:B,B768,H:H,'סיווג התפקידים והעלויות'!$C$2)</f>
        <v>0</v>
      </c>
      <c r="AC768" s="374">
        <f>COUNTIFS(B:B,B768,H:H,'סיווג התפקידים והעלויות'!$D$2)</f>
        <v>0</v>
      </c>
      <c r="AD768" s="374" t="str">
        <f>IF(OR(AND(H768='סיווג התפקידים והעלויות'!$A$2,I768='סיווג התפקידים והעלויות'!$A$3),'עלויות כח אדם (6)'!H768='סיווג התפקידים והעלויות'!$C$2,'עלויות כח אדם (6)'!H768='סיווג התפקידים והעלויות'!$D$2),IF('עלויות כח אדם (6)'!J768&lt;75,"לא תקין","תקין"),"")</f>
        <v/>
      </c>
      <c r="AE768" s="374" t="str">
        <f t="shared" si="179"/>
        <v/>
      </c>
      <c r="AF768" s="532" t="str">
        <f t="shared" si="180"/>
        <v/>
      </c>
    </row>
    <row r="769" spans="2:32" x14ac:dyDescent="0.25">
      <c r="B769" s="695"/>
      <c r="C769" s="197" t="str">
        <f>IF(B769&lt;&gt;"",IFERROR(VLOOKUP(B:B,'מצבת והרשמה (2)'!$C$20:$N$520,2,0)," ")," ")</f>
        <v xml:space="preserve"> </v>
      </c>
      <c r="D769" s="695"/>
      <c r="E769" s="696"/>
      <c r="F769" s="696"/>
      <c r="G769" s="696"/>
      <c r="H769" s="696"/>
      <c r="I769" s="1050" t="str">
        <f t="shared" si="167"/>
        <v/>
      </c>
      <c r="J769" s="696"/>
      <c r="K769" s="697"/>
      <c r="L769" s="696"/>
      <c r="M769" s="198" t="str">
        <f t="shared" si="168"/>
        <v/>
      </c>
      <c r="N769" s="369" t="str">
        <f t="shared" si="169"/>
        <v/>
      </c>
      <c r="O769" s="183" t="str">
        <f t="shared" si="170"/>
        <v/>
      </c>
      <c r="P769" s="199" t="str">
        <f t="shared" si="171"/>
        <v/>
      </c>
      <c r="Q769" s="199" t="str">
        <f>IF(B769="","",IFERROR(IF('עלויות כח אדם (6)'!J769&gt;=VLOOKUP(I769,'סיווג התפקידים והעלויות'!$B$23:$C$32,2,0),"תקין","לא תקין"),""))</f>
        <v/>
      </c>
      <c r="R769" s="199" t="str">
        <f t="shared" si="172"/>
        <v/>
      </c>
      <c r="S769" s="199" t="str">
        <f t="shared" si="173"/>
        <v/>
      </c>
      <c r="T769" s="199" t="str">
        <f t="shared" si="181"/>
        <v/>
      </c>
      <c r="U769" s="199" t="str">
        <f t="shared" si="174"/>
        <v/>
      </c>
      <c r="V769" s="989"/>
      <c r="X769" s="374" t="str">
        <f t="shared" si="175"/>
        <v/>
      </c>
      <c r="Y769" s="375" t="str">
        <f t="shared" si="176"/>
        <v/>
      </c>
      <c r="Z769" s="374" t="str">
        <f t="shared" si="177"/>
        <v/>
      </c>
      <c r="AA769" s="374" t="b">
        <f t="shared" si="178"/>
        <v>1</v>
      </c>
      <c r="AB769" s="374">
        <f>COUNTIFS(B:B,B769,H:H,'סיווג התפקידים והעלויות'!$C$2)</f>
        <v>0</v>
      </c>
      <c r="AC769" s="374">
        <f>COUNTIFS(B:B,B769,H:H,'סיווג התפקידים והעלויות'!$D$2)</f>
        <v>0</v>
      </c>
      <c r="AD769" s="374" t="str">
        <f>IF(OR(AND(H769='סיווג התפקידים והעלויות'!$A$2,I769='סיווג התפקידים והעלויות'!$A$3),'עלויות כח אדם (6)'!H769='סיווג התפקידים והעלויות'!$C$2,'עלויות כח אדם (6)'!H769='סיווג התפקידים והעלויות'!$D$2),IF('עלויות כח אדם (6)'!J769&lt;75,"לא תקין","תקין"),"")</f>
        <v/>
      </c>
      <c r="AE769" s="374" t="str">
        <f t="shared" si="179"/>
        <v/>
      </c>
      <c r="AF769" s="532" t="str">
        <f t="shared" si="180"/>
        <v/>
      </c>
    </row>
    <row r="770" spans="2:32" x14ac:dyDescent="0.25">
      <c r="B770" s="695"/>
      <c r="C770" s="197" t="str">
        <f>IF(B770&lt;&gt;"",IFERROR(VLOOKUP(B:B,'מצבת והרשמה (2)'!$C$20:$N$520,2,0)," ")," ")</f>
        <v xml:space="preserve"> </v>
      </c>
      <c r="D770" s="695"/>
      <c r="E770" s="696"/>
      <c r="F770" s="696"/>
      <c r="G770" s="696"/>
      <c r="H770" s="696"/>
      <c r="I770" s="1050" t="str">
        <f t="shared" si="167"/>
        <v/>
      </c>
      <c r="J770" s="696"/>
      <c r="K770" s="697"/>
      <c r="L770" s="696"/>
      <c r="M770" s="198" t="str">
        <f t="shared" si="168"/>
        <v/>
      </c>
      <c r="N770" s="369" t="str">
        <f t="shared" si="169"/>
        <v/>
      </c>
      <c r="O770" s="183" t="str">
        <f t="shared" si="170"/>
        <v/>
      </c>
      <c r="P770" s="199" t="str">
        <f t="shared" si="171"/>
        <v/>
      </c>
      <c r="Q770" s="199" t="str">
        <f>IF(B770="","",IFERROR(IF('עלויות כח אדם (6)'!J770&gt;=VLOOKUP(I770,'סיווג התפקידים והעלויות'!$B$23:$C$32,2,0),"תקין","לא תקין"),""))</f>
        <v/>
      </c>
      <c r="R770" s="199" t="str">
        <f t="shared" si="172"/>
        <v/>
      </c>
      <c r="S770" s="199" t="str">
        <f t="shared" si="173"/>
        <v/>
      </c>
      <c r="T770" s="199" t="str">
        <f t="shared" si="181"/>
        <v/>
      </c>
      <c r="U770" s="199" t="str">
        <f t="shared" si="174"/>
        <v/>
      </c>
      <c r="V770" s="989"/>
      <c r="X770" s="374" t="str">
        <f t="shared" si="175"/>
        <v/>
      </c>
      <c r="Y770" s="375" t="str">
        <f t="shared" si="176"/>
        <v/>
      </c>
      <c r="Z770" s="374" t="str">
        <f t="shared" si="177"/>
        <v/>
      </c>
      <c r="AA770" s="374" t="b">
        <f t="shared" si="178"/>
        <v>1</v>
      </c>
      <c r="AB770" s="374">
        <f>COUNTIFS(B:B,B770,H:H,'סיווג התפקידים והעלויות'!$C$2)</f>
        <v>0</v>
      </c>
      <c r="AC770" s="374">
        <f>COUNTIFS(B:B,B770,H:H,'סיווג התפקידים והעלויות'!$D$2)</f>
        <v>0</v>
      </c>
      <c r="AD770" s="374" t="str">
        <f>IF(OR(AND(H770='סיווג התפקידים והעלויות'!$A$2,I770='סיווג התפקידים והעלויות'!$A$3),'עלויות כח אדם (6)'!H770='סיווג התפקידים והעלויות'!$C$2,'עלויות כח אדם (6)'!H770='סיווג התפקידים והעלויות'!$D$2),IF('עלויות כח אדם (6)'!J770&lt;75,"לא תקין","תקין"),"")</f>
        <v/>
      </c>
      <c r="AE770" s="374" t="str">
        <f t="shared" si="179"/>
        <v/>
      </c>
      <c r="AF770" s="532" t="str">
        <f t="shared" si="180"/>
        <v/>
      </c>
    </row>
    <row r="771" spans="2:32" x14ac:dyDescent="0.25">
      <c r="B771" s="695"/>
      <c r="C771" s="197" t="str">
        <f>IF(B771&lt;&gt;"",IFERROR(VLOOKUP(B:B,'מצבת והרשמה (2)'!$C$20:$N$520,2,0)," ")," ")</f>
        <v xml:space="preserve"> </v>
      </c>
      <c r="D771" s="695"/>
      <c r="E771" s="696"/>
      <c r="F771" s="696"/>
      <c r="G771" s="696"/>
      <c r="H771" s="696"/>
      <c r="I771" s="1050" t="str">
        <f t="shared" si="167"/>
        <v/>
      </c>
      <c r="J771" s="696"/>
      <c r="K771" s="697"/>
      <c r="L771" s="696"/>
      <c r="M771" s="198" t="str">
        <f t="shared" si="168"/>
        <v/>
      </c>
      <c r="N771" s="369" t="str">
        <f t="shared" si="169"/>
        <v/>
      </c>
      <c r="O771" s="183" t="str">
        <f t="shared" si="170"/>
        <v/>
      </c>
      <c r="P771" s="199" t="str">
        <f t="shared" si="171"/>
        <v/>
      </c>
      <c r="Q771" s="199" t="str">
        <f>IF(B771="","",IFERROR(IF('עלויות כח אדם (6)'!J771&gt;=VLOOKUP(I771,'סיווג התפקידים והעלויות'!$B$23:$C$32,2,0),"תקין","לא תקין"),""))</f>
        <v/>
      </c>
      <c r="R771" s="199" t="str">
        <f t="shared" si="172"/>
        <v/>
      </c>
      <c r="S771" s="199" t="str">
        <f t="shared" si="173"/>
        <v/>
      </c>
      <c r="T771" s="199" t="str">
        <f t="shared" si="181"/>
        <v/>
      </c>
      <c r="U771" s="199" t="str">
        <f t="shared" si="174"/>
        <v/>
      </c>
      <c r="V771" s="989"/>
      <c r="X771" s="374" t="str">
        <f t="shared" si="175"/>
        <v/>
      </c>
      <c r="Y771" s="375" t="str">
        <f t="shared" si="176"/>
        <v/>
      </c>
      <c r="Z771" s="374" t="str">
        <f t="shared" si="177"/>
        <v/>
      </c>
      <c r="AA771" s="374" t="b">
        <f t="shared" si="178"/>
        <v>1</v>
      </c>
      <c r="AB771" s="374">
        <f>COUNTIFS(B:B,B771,H:H,'סיווג התפקידים והעלויות'!$C$2)</f>
        <v>0</v>
      </c>
      <c r="AC771" s="374">
        <f>COUNTIFS(B:B,B771,H:H,'סיווג התפקידים והעלויות'!$D$2)</f>
        <v>0</v>
      </c>
      <c r="AD771" s="374" t="str">
        <f>IF(OR(AND(H771='סיווג התפקידים והעלויות'!$A$2,I771='סיווג התפקידים והעלויות'!$A$3),'עלויות כח אדם (6)'!H771='סיווג התפקידים והעלויות'!$C$2,'עלויות כח אדם (6)'!H771='סיווג התפקידים והעלויות'!$D$2),IF('עלויות כח אדם (6)'!J771&lt;75,"לא תקין","תקין"),"")</f>
        <v/>
      </c>
      <c r="AE771" s="374" t="str">
        <f t="shared" si="179"/>
        <v/>
      </c>
      <c r="AF771" s="532" t="str">
        <f t="shared" si="180"/>
        <v/>
      </c>
    </row>
    <row r="772" spans="2:32" x14ac:dyDescent="0.25">
      <c r="B772" s="695"/>
      <c r="C772" s="197" t="str">
        <f>IF(B772&lt;&gt;"",IFERROR(VLOOKUP(B:B,'מצבת והרשמה (2)'!$C$20:$N$520,2,0)," ")," ")</f>
        <v xml:space="preserve"> </v>
      </c>
      <c r="D772" s="695"/>
      <c r="E772" s="696"/>
      <c r="F772" s="696"/>
      <c r="G772" s="696"/>
      <c r="H772" s="696"/>
      <c r="I772" s="1050" t="str">
        <f t="shared" si="167"/>
        <v/>
      </c>
      <c r="J772" s="696"/>
      <c r="K772" s="697"/>
      <c r="L772" s="696"/>
      <c r="M772" s="198" t="str">
        <f t="shared" si="168"/>
        <v/>
      </c>
      <c r="N772" s="369" t="str">
        <f t="shared" si="169"/>
        <v/>
      </c>
      <c r="O772" s="183" t="str">
        <f t="shared" si="170"/>
        <v/>
      </c>
      <c r="P772" s="199" t="str">
        <f t="shared" si="171"/>
        <v/>
      </c>
      <c r="Q772" s="199" t="str">
        <f>IF(B772="","",IFERROR(IF('עלויות כח אדם (6)'!J772&gt;=VLOOKUP(I772,'סיווג התפקידים והעלויות'!$B$23:$C$32,2,0),"תקין","לא תקין"),""))</f>
        <v/>
      </c>
      <c r="R772" s="199" t="str">
        <f t="shared" si="172"/>
        <v/>
      </c>
      <c r="S772" s="199" t="str">
        <f t="shared" si="173"/>
        <v/>
      </c>
      <c r="T772" s="199" t="str">
        <f t="shared" si="181"/>
        <v/>
      </c>
      <c r="U772" s="199" t="str">
        <f t="shared" si="174"/>
        <v/>
      </c>
      <c r="V772" s="989"/>
      <c r="X772" s="374" t="str">
        <f t="shared" si="175"/>
        <v/>
      </c>
      <c r="Y772" s="375" t="str">
        <f t="shared" si="176"/>
        <v/>
      </c>
      <c r="Z772" s="374" t="str">
        <f t="shared" si="177"/>
        <v/>
      </c>
      <c r="AA772" s="374" t="b">
        <f t="shared" si="178"/>
        <v>1</v>
      </c>
      <c r="AB772" s="374">
        <f>COUNTIFS(B:B,B772,H:H,'סיווג התפקידים והעלויות'!$C$2)</f>
        <v>0</v>
      </c>
      <c r="AC772" s="374">
        <f>COUNTIFS(B:B,B772,H:H,'סיווג התפקידים והעלויות'!$D$2)</f>
        <v>0</v>
      </c>
      <c r="AD772" s="374" t="str">
        <f>IF(OR(AND(H772='סיווג התפקידים והעלויות'!$A$2,I772='סיווג התפקידים והעלויות'!$A$3),'עלויות כח אדם (6)'!H772='סיווג התפקידים והעלויות'!$C$2,'עלויות כח אדם (6)'!H772='סיווג התפקידים והעלויות'!$D$2),IF('עלויות כח אדם (6)'!J772&lt;75,"לא תקין","תקין"),"")</f>
        <v/>
      </c>
      <c r="AE772" s="374" t="str">
        <f t="shared" si="179"/>
        <v/>
      </c>
      <c r="AF772" s="532" t="str">
        <f t="shared" si="180"/>
        <v/>
      </c>
    </row>
    <row r="773" spans="2:32" x14ac:dyDescent="0.25">
      <c r="B773" s="695"/>
      <c r="C773" s="197" t="str">
        <f>IF(B773&lt;&gt;"",IFERROR(VLOOKUP(B:B,'מצבת והרשמה (2)'!$C$20:$N$520,2,0)," ")," ")</f>
        <v xml:space="preserve"> </v>
      </c>
      <c r="D773" s="695"/>
      <c r="E773" s="696"/>
      <c r="F773" s="696"/>
      <c r="G773" s="696"/>
      <c r="H773" s="696"/>
      <c r="I773" s="1050" t="str">
        <f t="shared" si="167"/>
        <v/>
      </c>
      <c r="J773" s="696"/>
      <c r="K773" s="697"/>
      <c r="L773" s="696"/>
      <c r="M773" s="198" t="str">
        <f t="shared" si="168"/>
        <v/>
      </c>
      <c r="N773" s="369" t="str">
        <f t="shared" si="169"/>
        <v/>
      </c>
      <c r="O773" s="183" t="str">
        <f t="shared" si="170"/>
        <v/>
      </c>
      <c r="P773" s="199" t="str">
        <f t="shared" si="171"/>
        <v/>
      </c>
      <c r="Q773" s="199" t="str">
        <f>IF(B773="","",IFERROR(IF('עלויות כח אדם (6)'!J773&gt;=VLOOKUP(I773,'סיווג התפקידים והעלויות'!$B$23:$C$32,2,0),"תקין","לא תקין"),""))</f>
        <v/>
      </c>
      <c r="R773" s="199" t="str">
        <f t="shared" si="172"/>
        <v/>
      </c>
      <c r="S773" s="199" t="str">
        <f t="shared" si="173"/>
        <v/>
      </c>
      <c r="T773" s="199" t="str">
        <f t="shared" si="181"/>
        <v/>
      </c>
      <c r="U773" s="199" t="str">
        <f t="shared" si="174"/>
        <v/>
      </c>
      <c r="V773" s="989"/>
      <c r="X773" s="374" t="str">
        <f t="shared" si="175"/>
        <v/>
      </c>
      <c r="Y773" s="375" t="str">
        <f t="shared" si="176"/>
        <v/>
      </c>
      <c r="Z773" s="374" t="str">
        <f t="shared" si="177"/>
        <v/>
      </c>
      <c r="AA773" s="374" t="b">
        <f t="shared" si="178"/>
        <v>1</v>
      </c>
      <c r="AB773" s="374">
        <f>COUNTIFS(B:B,B773,H:H,'סיווג התפקידים והעלויות'!$C$2)</f>
        <v>0</v>
      </c>
      <c r="AC773" s="374">
        <f>COUNTIFS(B:B,B773,H:H,'סיווג התפקידים והעלויות'!$D$2)</f>
        <v>0</v>
      </c>
      <c r="AD773" s="374" t="str">
        <f>IF(OR(AND(H773='סיווג התפקידים והעלויות'!$A$2,I773='סיווג התפקידים והעלויות'!$A$3),'עלויות כח אדם (6)'!H773='סיווג התפקידים והעלויות'!$C$2,'עלויות כח אדם (6)'!H773='סיווג התפקידים והעלויות'!$D$2),IF('עלויות כח אדם (6)'!J773&lt;75,"לא תקין","תקין"),"")</f>
        <v/>
      </c>
      <c r="AE773" s="374" t="str">
        <f t="shared" si="179"/>
        <v/>
      </c>
      <c r="AF773" s="532" t="str">
        <f t="shared" si="180"/>
        <v/>
      </c>
    </row>
    <row r="774" spans="2:32" x14ac:dyDescent="0.25">
      <c r="B774" s="695"/>
      <c r="C774" s="197" t="str">
        <f>IF(B774&lt;&gt;"",IFERROR(VLOOKUP(B:B,'מצבת והרשמה (2)'!$C$20:$N$520,2,0)," ")," ")</f>
        <v xml:space="preserve"> </v>
      </c>
      <c r="D774" s="695"/>
      <c r="E774" s="696"/>
      <c r="F774" s="696"/>
      <c r="G774" s="696"/>
      <c r="H774" s="696"/>
      <c r="I774" s="1050" t="str">
        <f t="shared" si="167"/>
        <v/>
      </c>
      <c r="J774" s="696"/>
      <c r="K774" s="697"/>
      <c r="L774" s="696"/>
      <c r="M774" s="198" t="str">
        <f t="shared" si="168"/>
        <v/>
      </c>
      <c r="N774" s="369" t="str">
        <f t="shared" si="169"/>
        <v/>
      </c>
      <c r="O774" s="183" t="str">
        <f t="shared" si="170"/>
        <v/>
      </c>
      <c r="P774" s="199" t="str">
        <f t="shared" si="171"/>
        <v/>
      </c>
      <c r="Q774" s="199" t="str">
        <f>IF(B774="","",IFERROR(IF('עלויות כח אדם (6)'!J774&gt;=VLOOKUP(I774,'סיווג התפקידים והעלויות'!$B$23:$C$32,2,0),"תקין","לא תקין"),""))</f>
        <v/>
      </c>
      <c r="R774" s="199" t="str">
        <f t="shared" si="172"/>
        <v/>
      </c>
      <c r="S774" s="199" t="str">
        <f t="shared" si="173"/>
        <v/>
      </c>
      <c r="T774" s="199" t="str">
        <f t="shared" si="181"/>
        <v/>
      </c>
      <c r="U774" s="199" t="str">
        <f t="shared" si="174"/>
        <v/>
      </c>
      <c r="V774" s="989"/>
      <c r="X774" s="374" t="str">
        <f t="shared" si="175"/>
        <v/>
      </c>
      <c r="Y774" s="375" t="str">
        <f t="shared" si="176"/>
        <v/>
      </c>
      <c r="Z774" s="374" t="str">
        <f t="shared" si="177"/>
        <v/>
      </c>
      <c r="AA774" s="374" t="b">
        <f t="shared" si="178"/>
        <v>1</v>
      </c>
      <c r="AB774" s="374">
        <f>COUNTIFS(B:B,B774,H:H,'סיווג התפקידים והעלויות'!$C$2)</f>
        <v>0</v>
      </c>
      <c r="AC774" s="374">
        <f>COUNTIFS(B:B,B774,H:H,'סיווג התפקידים והעלויות'!$D$2)</f>
        <v>0</v>
      </c>
      <c r="AD774" s="374" t="str">
        <f>IF(OR(AND(H774='סיווג התפקידים והעלויות'!$A$2,I774='סיווג התפקידים והעלויות'!$A$3),'עלויות כח אדם (6)'!H774='סיווג התפקידים והעלויות'!$C$2,'עלויות כח אדם (6)'!H774='סיווג התפקידים והעלויות'!$D$2),IF('עלויות כח אדם (6)'!J774&lt;75,"לא תקין","תקין"),"")</f>
        <v/>
      </c>
      <c r="AE774" s="374" t="str">
        <f t="shared" si="179"/>
        <v/>
      </c>
      <c r="AF774" s="532" t="str">
        <f t="shared" si="180"/>
        <v/>
      </c>
    </row>
    <row r="775" spans="2:32" x14ac:dyDescent="0.25">
      <c r="B775" s="695"/>
      <c r="C775" s="197" t="str">
        <f>IF(B775&lt;&gt;"",IFERROR(VLOOKUP(B:B,'מצבת והרשמה (2)'!$C$20:$N$520,2,0)," ")," ")</f>
        <v xml:space="preserve"> </v>
      </c>
      <c r="D775" s="695"/>
      <c r="E775" s="696"/>
      <c r="F775" s="696"/>
      <c r="G775" s="696"/>
      <c r="H775" s="696"/>
      <c r="I775" s="1050" t="str">
        <f t="shared" si="167"/>
        <v/>
      </c>
      <c r="J775" s="696"/>
      <c r="K775" s="697"/>
      <c r="L775" s="696"/>
      <c r="M775" s="198" t="str">
        <f t="shared" si="168"/>
        <v/>
      </c>
      <c r="N775" s="369" t="str">
        <f t="shared" si="169"/>
        <v/>
      </c>
      <c r="O775" s="183" t="str">
        <f t="shared" si="170"/>
        <v/>
      </c>
      <c r="P775" s="199" t="str">
        <f t="shared" si="171"/>
        <v/>
      </c>
      <c r="Q775" s="199" t="str">
        <f>IF(B775="","",IFERROR(IF('עלויות כח אדם (6)'!J775&gt;=VLOOKUP(I775,'סיווג התפקידים והעלויות'!$B$23:$C$32,2,0),"תקין","לא תקין"),""))</f>
        <v/>
      </c>
      <c r="R775" s="199" t="str">
        <f t="shared" si="172"/>
        <v/>
      </c>
      <c r="S775" s="199" t="str">
        <f t="shared" si="173"/>
        <v/>
      </c>
      <c r="T775" s="199" t="str">
        <f t="shared" si="181"/>
        <v/>
      </c>
      <c r="U775" s="199" t="str">
        <f t="shared" si="174"/>
        <v/>
      </c>
      <c r="V775" s="989"/>
      <c r="X775" s="374" t="str">
        <f t="shared" si="175"/>
        <v/>
      </c>
      <c r="Y775" s="375" t="str">
        <f t="shared" si="176"/>
        <v/>
      </c>
      <c r="Z775" s="374" t="str">
        <f t="shared" si="177"/>
        <v/>
      </c>
      <c r="AA775" s="374" t="b">
        <f t="shared" si="178"/>
        <v>1</v>
      </c>
      <c r="AB775" s="374">
        <f>COUNTIFS(B:B,B775,H:H,'סיווג התפקידים והעלויות'!$C$2)</f>
        <v>0</v>
      </c>
      <c r="AC775" s="374">
        <f>COUNTIFS(B:B,B775,H:H,'סיווג התפקידים והעלויות'!$D$2)</f>
        <v>0</v>
      </c>
      <c r="AD775" s="374" t="str">
        <f>IF(OR(AND(H775='סיווג התפקידים והעלויות'!$A$2,I775='סיווג התפקידים והעלויות'!$A$3),'עלויות כח אדם (6)'!H775='סיווג התפקידים והעלויות'!$C$2,'עלויות כח אדם (6)'!H775='סיווג התפקידים והעלויות'!$D$2),IF('עלויות כח אדם (6)'!J775&lt;75,"לא תקין","תקין"),"")</f>
        <v/>
      </c>
      <c r="AE775" s="374" t="str">
        <f t="shared" si="179"/>
        <v/>
      </c>
      <c r="AF775" s="532" t="str">
        <f t="shared" si="180"/>
        <v/>
      </c>
    </row>
    <row r="776" spans="2:32" x14ac:dyDescent="0.25">
      <c r="B776" s="695"/>
      <c r="C776" s="197" t="str">
        <f>IF(B776&lt;&gt;"",IFERROR(VLOOKUP(B:B,'מצבת והרשמה (2)'!$C$20:$N$520,2,0)," ")," ")</f>
        <v xml:space="preserve"> </v>
      </c>
      <c r="D776" s="695"/>
      <c r="E776" s="696"/>
      <c r="F776" s="696"/>
      <c r="G776" s="696"/>
      <c r="H776" s="696"/>
      <c r="I776" s="1050" t="str">
        <f t="shared" si="167"/>
        <v/>
      </c>
      <c r="J776" s="696"/>
      <c r="K776" s="697"/>
      <c r="L776" s="696"/>
      <c r="M776" s="198" t="str">
        <f t="shared" si="168"/>
        <v/>
      </c>
      <c r="N776" s="369" t="str">
        <f t="shared" si="169"/>
        <v/>
      </c>
      <c r="O776" s="183" t="str">
        <f t="shared" si="170"/>
        <v/>
      </c>
      <c r="P776" s="199" t="str">
        <f t="shared" si="171"/>
        <v/>
      </c>
      <c r="Q776" s="199" t="str">
        <f>IF(B776="","",IFERROR(IF('עלויות כח אדם (6)'!J776&gt;=VLOOKUP(I776,'סיווג התפקידים והעלויות'!$B$23:$C$32,2,0),"תקין","לא תקין"),""))</f>
        <v/>
      </c>
      <c r="R776" s="199" t="str">
        <f t="shared" si="172"/>
        <v/>
      </c>
      <c r="S776" s="199" t="str">
        <f t="shared" si="173"/>
        <v/>
      </c>
      <c r="T776" s="199" t="str">
        <f t="shared" si="181"/>
        <v/>
      </c>
      <c r="U776" s="199" t="str">
        <f t="shared" si="174"/>
        <v/>
      </c>
      <c r="V776" s="989"/>
      <c r="X776" s="374" t="str">
        <f t="shared" si="175"/>
        <v/>
      </c>
      <c r="Y776" s="375" t="str">
        <f t="shared" si="176"/>
        <v/>
      </c>
      <c r="Z776" s="374" t="str">
        <f t="shared" si="177"/>
        <v/>
      </c>
      <c r="AA776" s="374" t="b">
        <f t="shared" si="178"/>
        <v>1</v>
      </c>
      <c r="AB776" s="374">
        <f>COUNTIFS(B:B,B776,H:H,'סיווג התפקידים והעלויות'!$C$2)</f>
        <v>0</v>
      </c>
      <c r="AC776" s="374">
        <f>COUNTIFS(B:B,B776,H:H,'סיווג התפקידים והעלויות'!$D$2)</f>
        <v>0</v>
      </c>
      <c r="AD776" s="374" t="str">
        <f>IF(OR(AND(H776='סיווג התפקידים והעלויות'!$A$2,I776='סיווג התפקידים והעלויות'!$A$3),'עלויות כח אדם (6)'!H776='סיווג התפקידים והעלויות'!$C$2,'עלויות כח אדם (6)'!H776='סיווג התפקידים והעלויות'!$D$2),IF('עלויות כח אדם (6)'!J776&lt;75,"לא תקין","תקין"),"")</f>
        <v/>
      </c>
      <c r="AE776" s="374" t="str">
        <f t="shared" si="179"/>
        <v/>
      </c>
      <c r="AF776" s="532" t="str">
        <f t="shared" si="180"/>
        <v/>
      </c>
    </row>
    <row r="777" spans="2:32" x14ac:dyDescent="0.25">
      <c r="B777" s="695"/>
      <c r="C777" s="197" t="str">
        <f>IF(B777&lt;&gt;"",IFERROR(VLOOKUP(B:B,'מצבת והרשמה (2)'!$C$20:$N$520,2,0)," ")," ")</f>
        <v xml:space="preserve"> </v>
      </c>
      <c r="D777" s="695"/>
      <c r="E777" s="696"/>
      <c r="F777" s="696"/>
      <c r="G777" s="696"/>
      <c r="H777" s="696"/>
      <c r="I777" s="1050" t="str">
        <f t="shared" si="167"/>
        <v/>
      </c>
      <c r="J777" s="696"/>
      <c r="K777" s="697"/>
      <c r="L777" s="696"/>
      <c r="M777" s="198" t="str">
        <f t="shared" si="168"/>
        <v/>
      </c>
      <c r="N777" s="369" t="str">
        <f t="shared" si="169"/>
        <v/>
      </c>
      <c r="O777" s="183" t="str">
        <f t="shared" si="170"/>
        <v/>
      </c>
      <c r="P777" s="199" t="str">
        <f t="shared" si="171"/>
        <v/>
      </c>
      <c r="Q777" s="199" t="str">
        <f>IF(B777="","",IFERROR(IF('עלויות כח אדם (6)'!J777&gt;=VLOOKUP(I777,'סיווג התפקידים והעלויות'!$B$23:$C$32,2,0),"תקין","לא תקין"),""))</f>
        <v/>
      </c>
      <c r="R777" s="199" t="str">
        <f t="shared" si="172"/>
        <v/>
      </c>
      <c r="S777" s="199" t="str">
        <f t="shared" si="173"/>
        <v/>
      </c>
      <c r="T777" s="199" t="str">
        <f t="shared" si="181"/>
        <v/>
      </c>
      <c r="U777" s="199" t="str">
        <f t="shared" si="174"/>
        <v/>
      </c>
      <c r="V777" s="989"/>
      <c r="X777" s="374" t="str">
        <f t="shared" si="175"/>
        <v/>
      </c>
      <c r="Y777" s="375" t="str">
        <f t="shared" si="176"/>
        <v/>
      </c>
      <c r="Z777" s="374" t="str">
        <f t="shared" si="177"/>
        <v/>
      </c>
      <c r="AA777" s="374" t="b">
        <f t="shared" si="178"/>
        <v>1</v>
      </c>
      <c r="AB777" s="374">
        <f>COUNTIFS(B:B,B777,H:H,'סיווג התפקידים והעלויות'!$C$2)</f>
        <v>0</v>
      </c>
      <c r="AC777" s="374">
        <f>COUNTIFS(B:B,B777,H:H,'סיווג התפקידים והעלויות'!$D$2)</f>
        <v>0</v>
      </c>
      <c r="AD777" s="374" t="str">
        <f>IF(OR(AND(H777='סיווג התפקידים והעלויות'!$A$2,I777='סיווג התפקידים והעלויות'!$A$3),'עלויות כח אדם (6)'!H777='סיווג התפקידים והעלויות'!$C$2,'עלויות כח אדם (6)'!H777='סיווג התפקידים והעלויות'!$D$2),IF('עלויות כח אדם (6)'!J777&lt;75,"לא תקין","תקין"),"")</f>
        <v/>
      </c>
      <c r="AE777" s="374" t="str">
        <f t="shared" si="179"/>
        <v/>
      </c>
      <c r="AF777" s="532" t="str">
        <f t="shared" si="180"/>
        <v/>
      </c>
    </row>
    <row r="778" spans="2:32" x14ac:dyDescent="0.25">
      <c r="B778" s="695"/>
      <c r="C778" s="197" t="str">
        <f>IF(B778&lt;&gt;"",IFERROR(VLOOKUP(B:B,'מצבת והרשמה (2)'!$C$20:$N$520,2,0)," ")," ")</f>
        <v xml:space="preserve"> </v>
      </c>
      <c r="D778" s="695"/>
      <c r="E778" s="696"/>
      <c r="F778" s="696"/>
      <c r="G778" s="696"/>
      <c r="H778" s="696"/>
      <c r="I778" s="1050" t="str">
        <f t="shared" si="167"/>
        <v/>
      </c>
      <c r="J778" s="696"/>
      <c r="K778" s="697"/>
      <c r="L778" s="696"/>
      <c r="M778" s="198" t="str">
        <f t="shared" si="168"/>
        <v/>
      </c>
      <c r="N778" s="369" t="str">
        <f t="shared" si="169"/>
        <v/>
      </c>
      <c r="O778" s="183" t="str">
        <f t="shared" si="170"/>
        <v/>
      </c>
      <c r="P778" s="199" t="str">
        <f t="shared" si="171"/>
        <v/>
      </c>
      <c r="Q778" s="199" t="str">
        <f>IF(B778="","",IFERROR(IF('עלויות כח אדם (6)'!J778&gt;=VLOOKUP(I778,'סיווג התפקידים והעלויות'!$B$23:$C$32,2,0),"תקין","לא תקין"),""))</f>
        <v/>
      </c>
      <c r="R778" s="199" t="str">
        <f t="shared" si="172"/>
        <v/>
      </c>
      <c r="S778" s="199" t="str">
        <f t="shared" si="173"/>
        <v/>
      </c>
      <c r="T778" s="199" t="str">
        <f t="shared" si="181"/>
        <v/>
      </c>
      <c r="U778" s="199" t="str">
        <f t="shared" si="174"/>
        <v/>
      </c>
      <c r="V778" s="989"/>
      <c r="X778" s="374" t="str">
        <f t="shared" si="175"/>
        <v/>
      </c>
      <c r="Y778" s="375" t="str">
        <f t="shared" si="176"/>
        <v/>
      </c>
      <c r="Z778" s="374" t="str">
        <f t="shared" si="177"/>
        <v/>
      </c>
      <c r="AA778" s="374" t="b">
        <f t="shared" si="178"/>
        <v>1</v>
      </c>
      <c r="AB778" s="374">
        <f>COUNTIFS(B:B,B778,H:H,'סיווג התפקידים והעלויות'!$C$2)</f>
        <v>0</v>
      </c>
      <c r="AC778" s="374">
        <f>COUNTIFS(B:B,B778,H:H,'סיווג התפקידים והעלויות'!$D$2)</f>
        <v>0</v>
      </c>
      <c r="AD778" s="374" t="str">
        <f>IF(OR(AND(H778='סיווג התפקידים והעלויות'!$A$2,I778='סיווג התפקידים והעלויות'!$A$3),'עלויות כח אדם (6)'!H778='סיווג התפקידים והעלויות'!$C$2,'עלויות כח אדם (6)'!H778='סיווג התפקידים והעלויות'!$D$2),IF('עלויות כח אדם (6)'!J778&lt;75,"לא תקין","תקין"),"")</f>
        <v/>
      </c>
      <c r="AE778" s="374" t="str">
        <f t="shared" si="179"/>
        <v/>
      </c>
      <c r="AF778" s="532" t="str">
        <f t="shared" si="180"/>
        <v/>
      </c>
    </row>
    <row r="779" spans="2:32" x14ac:dyDescent="0.25">
      <c r="B779" s="695"/>
      <c r="C779" s="197" t="str">
        <f>IF(B779&lt;&gt;"",IFERROR(VLOOKUP(B:B,'מצבת והרשמה (2)'!$C$20:$N$520,2,0)," ")," ")</f>
        <v xml:space="preserve"> </v>
      </c>
      <c r="D779" s="695"/>
      <c r="E779" s="696"/>
      <c r="F779" s="696"/>
      <c r="G779" s="696"/>
      <c r="H779" s="696"/>
      <c r="I779" s="1050" t="str">
        <f t="shared" si="167"/>
        <v/>
      </c>
      <c r="J779" s="696"/>
      <c r="K779" s="697"/>
      <c r="L779" s="696"/>
      <c r="M779" s="198" t="str">
        <f t="shared" si="168"/>
        <v/>
      </c>
      <c r="N779" s="369" t="str">
        <f t="shared" si="169"/>
        <v/>
      </c>
      <c r="O779" s="183" t="str">
        <f t="shared" si="170"/>
        <v/>
      </c>
      <c r="P779" s="199" t="str">
        <f t="shared" si="171"/>
        <v/>
      </c>
      <c r="Q779" s="199" t="str">
        <f>IF(B779="","",IFERROR(IF('עלויות כח אדם (6)'!J779&gt;=VLOOKUP(I779,'סיווג התפקידים והעלויות'!$B$23:$C$32,2,0),"תקין","לא תקין"),""))</f>
        <v/>
      </c>
      <c r="R779" s="199" t="str">
        <f t="shared" si="172"/>
        <v/>
      </c>
      <c r="S779" s="199" t="str">
        <f t="shared" si="173"/>
        <v/>
      </c>
      <c r="T779" s="199" t="str">
        <f t="shared" si="181"/>
        <v/>
      </c>
      <c r="U779" s="199" t="str">
        <f t="shared" si="174"/>
        <v/>
      </c>
      <c r="V779" s="989"/>
      <c r="X779" s="374" t="str">
        <f t="shared" si="175"/>
        <v/>
      </c>
      <c r="Y779" s="375" t="str">
        <f t="shared" si="176"/>
        <v/>
      </c>
      <c r="Z779" s="374" t="str">
        <f t="shared" si="177"/>
        <v/>
      </c>
      <c r="AA779" s="374" t="b">
        <f t="shared" si="178"/>
        <v>1</v>
      </c>
      <c r="AB779" s="374">
        <f>COUNTIFS(B:B,B779,H:H,'סיווג התפקידים והעלויות'!$C$2)</f>
        <v>0</v>
      </c>
      <c r="AC779" s="374">
        <f>COUNTIFS(B:B,B779,H:H,'סיווג התפקידים והעלויות'!$D$2)</f>
        <v>0</v>
      </c>
      <c r="AD779" s="374" t="str">
        <f>IF(OR(AND(H779='סיווג התפקידים והעלויות'!$A$2,I779='סיווג התפקידים והעלויות'!$A$3),'עלויות כח אדם (6)'!H779='סיווג התפקידים והעלויות'!$C$2,'עלויות כח אדם (6)'!H779='סיווג התפקידים והעלויות'!$D$2),IF('עלויות כח אדם (6)'!J779&lt;75,"לא תקין","תקין"),"")</f>
        <v/>
      </c>
      <c r="AE779" s="374" t="str">
        <f t="shared" si="179"/>
        <v/>
      </c>
      <c r="AF779" s="532" t="str">
        <f t="shared" si="180"/>
        <v/>
      </c>
    </row>
    <row r="780" spans="2:32" x14ac:dyDescent="0.25">
      <c r="B780" s="695"/>
      <c r="C780" s="197" t="str">
        <f>IF(B780&lt;&gt;"",IFERROR(VLOOKUP(B:B,'מצבת והרשמה (2)'!$C$20:$N$520,2,0)," ")," ")</f>
        <v xml:space="preserve"> </v>
      </c>
      <c r="D780" s="695"/>
      <c r="E780" s="696"/>
      <c r="F780" s="696"/>
      <c r="G780" s="696"/>
      <c r="H780" s="696"/>
      <c r="I780" s="1050" t="str">
        <f t="shared" si="167"/>
        <v/>
      </c>
      <c r="J780" s="696"/>
      <c r="K780" s="697"/>
      <c r="L780" s="696"/>
      <c r="M780" s="198" t="str">
        <f t="shared" si="168"/>
        <v/>
      </c>
      <c r="N780" s="369" t="str">
        <f t="shared" si="169"/>
        <v/>
      </c>
      <c r="O780" s="183" t="str">
        <f t="shared" si="170"/>
        <v/>
      </c>
      <c r="P780" s="199" t="str">
        <f t="shared" si="171"/>
        <v/>
      </c>
      <c r="Q780" s="199" t="str">
        <f>IF(B780="","",IFERROR(IF('עלויות כח אדם (6)'!J780&gt;=VLOOKUP(I780,'סיווג התפקידים והעלויות'!$B$23:$C$32,2,0),"תקין","לא תקין"),""))</f>
        <v/>
      </c>
      <c r="R780" s="199" t="str">
        <f t="shared" si="172"/>
        <v/>
      </c>
      <c r="S780" s="199" t="str">
        <f t="shared" si="173"/>
        <v/>
      </c>
      <c r="T780" s="199" t="str">
        <f t="shared" si="181"/>
        <v/>
      </c>
      <c r="U780" s="199" t="str">
        <f t="shared" si="174"/>
        <v/>
      </c>
      <c r="V780" s="989"/>
      <c r="X780" s="374" t="str">
        <f t="shared" si="175"/>
        <v/>
      </c>
      <c r="Y780" s="375" t="str">
        <f t="shared" si="176"/>
        <v/>
      </c>
      <c r="Z780" s="374" t="str">
        <f t="shared" si="177"/>
        <v/>
      </c>
      <c r="AA780" s="374" t="b">
        <f t="shared" si="178"/>
        <v>1</v>
      </c>
      <c r="AB780" s="374">
        <f>COUNTIFS(B:B,B780,H:H,'סיווג התפקידים והעלויות'!$C$2)</f>
        <v>0</v>
      </c>
      <c r="AC780" s="374">
        <f>COUNTIFS(B:B,B780,H:H,'סיווג התפקידים והעלויות'!$D$2)</f>
        <v>0</v>
      </c>
      <c r="AD780" s="374" t="str">
        <f>IF(OR(AND(H780='סיווג התפקידים והעלויות'!$A$2,I780='סיווג התפקידים והעלויות'!$A$3),'עלויות כח אדם (6)'!H780='סיווג התפקידים והעלויות'!$C$2,'עלויות כח אדם (6)'!H780='סיווג התפקידים והעלויות'!$D$2),IF('עלויות כח אדם (6)'!J780&lt;75,"לא תקין","תקין"),"")</f>
        <v/>
      </c>
      <c r="AE780" s="374" t="str">
        <f t="shared" si="179"/>
        <v/>
      </c>
      <c r="AF780" s="532" t="str">
        <f t="shared" si="180"/>
        <v/>
      </c>
    </row>
    <row r="781" spans="2:32" x14ac:dyDescent="0.25">
      <c r="B781" s="695"/>
      <c r="C781" s="197" t="str">
        <f>IF(B781&lt;&gt;"",IFERROR(VLOOKUP(B:B,'מצבת והרשמה (2)'!$C$20:$N$520,2,0)," ")," ")</f>
        <v xml:space="preserve"> </v>
      </c>
      <c r="D781" s="695"/>
      <c r="E781" s="696"/>
      <c r="F781" s="696"/>
      <c r="G781" s="696"/>
      <c r="H781" s="696"/>
      <c r="I781" s="1050" t="str">
        <f t="shared" si="167"/>
        <v/>
      </c>
      <c r="J781" s="696"/>
      <c r="K781" s="697"/>
      <c r="L781" s="696"/>
      <c r="M781" s="198" t="str">
        <f t="shared" si="168"/>
        <v/>
      </c>
      <c r="N781" s="369" t="str">
        <f t="shared" si="169"/>
        <v/>
      </c>
      <c r="O781" s="183" t="str">
        <f t="shared" si="170"/>
        <v/>
      </c>
      <c r="P781" s="199" t="str">
        <f t="shared" si="171"/>
        <v/>
      </c>
      <c r="Q781" s="199" t="str">
        <f>IF(B781="","",IFERROR(IF('עלויות כח אדם (6)'!J781&gt;=VLOOKUP(I781,'סיווג התפקידים והעלויות'!$B$23:$C$32,2,0),"תקין","לא תקין"),""))</f>
        <v/>
      </c>
      <c r="R781" s="199" t="str">
        <f t="shared" si="172"/>
        <v/>
      </c>
      <c r="S781" s="199" t="str">
        <f t="shared" si="173"/>
        <v/>
      </c>
      <c r="T781" s="199" t="str">
        <f t="shared" si="181"/>
        <v/>
      </c>
      <c r="U781" s="199" t="str">
        <f t="shared" si="174"/>
        <v/>
      </c>
      <c r="V781" s="989"/>
      <c r="X781" s="374" t="str">
        <f t="shared" si="175"/>
        <v/>
      </c>
      <c r="Y781" s="375" t="str">
        <f t="shared" si="176"/>
        <v/>
      </c>
      <c r="Z781" s="374" t="str">
        <f t="shared" si="177"/>
        <v/>
      </c>
      <c r="AA781" s="374" t="b">
        <f t="shared" si="178"/>
        <v>1</v>
      </c>
      <c r="AB781" s="374">
        <f>COUNTIFS(B:B,B781,H:H,'סיווג התפקידים והעלויות'!$C$2)</f>
        <v>0</v>
      </c>
      <c r="AC781" s="374">
        <f>COUNTIFS(B:B,B781,H:H,'סיווג התפקידים והעלויות'!$D$2)</f>
        <v>0</v>
      </c>
      <c r="AD781" s="374" t="str">
        <f>IF(OR(AND(H781='סיווג התפקידים והעלויות'!$A$2,I781='סיווג התפקידים והעלויות'!$A$3),'עלויות כח אדם (6)'!H781='סיווג התפקידים והעלויות'!$C$2,'עלויות כח אדם (6)'!H781='סיווג התפקידים והעלויות'!$D$2),IF('עלויות כח אדם (6)'!J781&lt;75,"לא תקין","תקין"),"")</f>
        <v/>
      </c>
      <c r="AE781" s="374" t="str">
        <f t="shared" si="179"/>
        <v/>
      </c>
      <c r="AF781" s="532" t="str">
        <f t="shared" si="180"/>
        <v/>
      </c>
    </row>
    <row r="782" spans="2:32" x14ac:dyDescent="0.25">
      <c r="B782" s="695"/>
      <c r="C782" s="197" t="str">
        <f>IF(B782&lt;&gt;"",IFERROR(VLOOKUP(B:B,'מצבת והרשמה (2)'!$C$20:$N$520,2,0)," ")," ")</f>
        <v xml:space="preserve"> </v>
      </c>
      <c r="D782" s="695"/>
      <c r="E782" s="696"/>
      <c r="F782" s="696"/>
      <c r="G782" s="696"/>
      <c r="H782" s="696"/>
      <c r="I782" s="1050" t="str">
        <f t="shared" si="167"/>
        <v/>
      </c>
      <c r="J782" s="696"/>
      <c r="K782" s="697"/>
      <c r="L782" s="696"/>
      <c r="M782" s="198" t="str">
        <f t="shared" si="168"/>
        <v/>
      </c>
      <c r="N782" s="369" t="str">
        <f t="shared" si="169"/>
        <v/>
      </c>
      <c r="O782" s="183" t="str">
        <f t="shared" si="170"/>
        <v/>
      </c>
      <c r="P782" s="199" t="str">
        <f t="shared" si="171"/>
        <v/>
      </c>
      <c r="Q782" s="199" t="str">
        <f>IF(B782="","",IFERROR(IF('עלויות כח אדם (6)'!J782&gt;=VLOOKUP(I782,'סיווג התפקידים והעלויות'!$B$23:$C$32,2,0),"תקין","לא תקין"),""))</f>
        <v/>
      </c>
      <c r="R782" s="199" t="str">
        <f t="shared" si="172"/>
        <v/>
      </c>
      <c r="S782" s="199" t="str">
        <f t="shared" si="173"/>
        <v/>
      </c>
      <c r="T782" s="199" t="str">
        <f t="shared" si="181"/>
        <v/>
      </c>
      <c r="U782" s="199" t="str">
        <f t="shared" si="174"/>
        <v/>
      </c>
      <c r="V782" s="989"/>
      <c r="X782" s="374" t="str">
        <f t="shared" si="175"/>
        <v/>
      </c>
      <c r="Y782" s="375" t="str">
        <f t="shared" si="176"/>
        <v/>
      </c>
      <c r="Z782" s="374" t="str">
        <f t="shared" si="177"/>
        <v/>
      </c>
      <c r="AA782" s="374" t="b">
        <f t="shared" si="178"/>
        <v>1</v>
      </c>
      <c r="AB782" s="374">
        <f>COUNTIFS(B:B,B782,H:H,'סיווג התפקידים והעלויות'!$C$2)</f>
        <v>0</v>
      </c>
      <c r="AC782" s="374">
        <f>COUNTIFS(B:B,B782,H:H,'סיווג התפקידים והעלויות'!$D$2)</f>
        <v>0</v>
      </c>
      <c r="AD782" s="374" t="str">
        <f>IF(OR(AND(H782='סיווג התפקידים והעלויות'!$A$2,I782='סיווג התפקידים והעלויות'!$A$3),'עלויות כח אדם (6)'!H782='סיווג התפקידים והעלויות'!$C$2,'עלויות כח אדם (6)'!H782='סיווג התפקידים והעלויות'!$D$2),IF('עלויות כח אדם (6)'!J782&lt;75,"לא תקין","תקין"),"")</f>
        <v/>
      </c>
      <c r="AE782" s="374" t="str">
        <f t="shared" si="179"/>
        <v/>
      </c>
      <c r="AF782" s="532" t="str">
        <f t="shared" si="180"/>
        <v/>
      </c>
    </row>
    <row r="783" spans="2:32" x14ac:dyDescent="0.25">
      <c r="B783" s="695"/>
      <c r="C783" s="197" t="str">
        <f>IF(B783&lt;&gt;"",IFERROR(VLOOKUP(B:B,'מצבת והרשמה (2)'!$C$20:$N$520,2,0)," ")," ")</f>
        <v xml:space="preserve"> </v>
      </c>
      <c r="D783" s="695"/>
      <c r="E783" s="696"/>
      <c r="F783" s="696"/>
      <c r="G783" s="696"/>
      <c r="H783" s="696"/>
      <c r="I783" s="1050" t="str">
        <f t="shared" ref="I783:I846" si="182">SUBSTITUTE(IFERROR(IF(H783="מדצ","מדצ/ית",IF(H783="סגנית רכזת מעל 150","סגנ/ית רכז/ת&gt;150",IF(H783="רכזת תכנית בבית הספר","רכז/ת תכנית בבית הספר"))),""),"FALSE","")</f>
        <v/>
      </c>
      <c r="J783" s="696"/>
      <c r="K783" s="697"/>
      <c r="L783" s="696"/>
      <c r="M783" s="198" t="str">
        <f t="shared" ref="M783:M846" si="183">IF(AND(L783&gt;0,K783&gt;0),K783*L783,"")</f>
        <v/>
      </c>
      <c r="N783" s="369" t="str">
        <f t="shared" ref="N783:N846" si="184">TEXT(LEFT(H783,2),0)</f>
        <v/>
      </c>
      <c r="O783" s="183" t="str">
        <f t="shared" ref="O783:O846" si="185">IF(ISNUMBER(M783&gt;0),IF(ISBLANK(B783),"יש להזין סמל מוסד בעמודה B",""),"")</f>
        <v/>
      </c>
      <c r="P783" s="199" t="str">
        <f t="shared" ref="P783:P846" si="186">IF(B783="","",IF(AA783=FALSE,"לא תקין","תקין"))</f>
        <v/>
      </c>
      <c r="Q783" s="199" t="str">
        <f>IF(B783="","",IFERROR(IF('עלויות כח אדם (6)'!J783&gt;=VLOOKUP(I783,'סיווג התפקידים והעלויות'!$B$23:$C$32,2,0),"תקין","לא תקין"),""))</f>
        <v/>
      </c>
      <c r="R783" s="199" t="str">
        <f t="shared" ref="R783:R846" si="187">IF(B783="","",IF(OR(Y783&lt;100%,Y783&gt;140%),"לא תקין","תקין"))</f>
        <v/>
      </c>
      <c r="S783" s="199" t="str">
        <f t="shared" ref="S783:S846" si="188">IF(B783="","",IFERROR(IF(J783&gt;120,"לא תקין","תקין"),""))</f>
        <v/>
      </c>
      <c r="T783" s="199" t="str">
        <f t="shared" si="181"/>
        <v/>
      </c>
      <c r="U783" s="199" t="str">
        <f t="shared" ref="U783:U846" si="189">IF(B783="","",IF(Z783&gt;1,IF(SUMIF(D:D,D783,L:L)&gt;90,"לא תקין","תקין"),"תקין"))</f>
        <v/>
      </c>
      <c r="V783" s="989"/>
      <c r="X783" s="374" t="str">
        <f t="shared" ref="X783:X846" si="190">IF(B783="","",IF(OR(R783="לא תקין",S783="לא תקין",T783="לא תקין",,U783="לא תקין"),"לא תקין","תקין"))</f>
        <v/>
      </c>
      <c r="Y783" s="375" t="str">
        <f t="shared" ref="Y783:Y846" si="191">IFERROR(IF(B783="","",K783/J783),"")</f>
        <v/>
      </c>
      <c r="Z783" s="374" t="str">
        <f t="shared" ref="Z783:Z846" si="192">IF(B783="","",COUNTIF(D:D,D783))</f>
        <v/>
      </c>
      <c r="AA783" s="374" t="b">
        <f t="shared" ref="AA783:AA846" si="193">MOD(MID(REPT(0,9-LEN(D783))&amp;D783,1,1)+MID("0246813579",MID(REPT(0,9-LEN(D783))&amp;D783,2,1)+1,1)+MID(REPT(0,9-LEN(D783))&amp;D783,3,1)+MID("0246813579",MID(REPT(0,9-LEN(D783))&amp;D783,4,1)+1,1)+MID(REPT(0,9-LEN(D783))&amp;D783,5,1)+MID("0246813579",MID(REPT(0,9-LEN(D783))&amp;D783,6,1)+1,1)+MID(REPT(0,9-LEN(D783))&amp;D783,7,1)+MID("0246813579",MID(REPT(0,9-LEN(D783))&amp;D783,8,1)+1,1)+MID(REPT(0,9-LEN(D783))&amp;D783,9,1),10)=0</f>
        <v>1</v>
      </c>
      <c r="AB783" s="374">
        <f>COUNTIFS(B:B,B783,H:H,'סיווג התפקידים והעלויות'!$C$2)</f>
        <v>0</v>
      </c>
      <c r="AC783" s="374">
        <f>COUNTIFS(B:B,B783,H:H,'סיווג התפקידים והעלויות'!$D$2)</f>
        <v>0</v>
      </c>
      <c r="AD783" s="374" t="str">
        <f>IF(OR(AND(H783='סיווג התפקידים והעלויות'!$A$2,I783='סיווג התפקידים והעלויות'!$A$3),'עלויות כח אדם (6)'!H783='סיווג התפקידים והעלויות'!$C$2,'עלויות כח אדם (6)'!H783='סיווג התפקידים והעלויות'!$D$2),IF('עלויות כח אדם (6)'!J783&lt;75,"לא תקין","תקין"),"")</f>
        <v/>
      </c>
      <c r="AE783" s="374" t="str">
        <f t="shared" ref="AE783:AE846" si="194">IF(B783&lt;&gt;"",B783&amp;H783,"")</f>
        <v/>
      </c>
      <c r="AF783" s="532" t="str">
        <f t="shared" ref="AF783:AF846" si="195">M783</f>
        <v/>
      </c>
    </row>
    <row r="784" spans="2:32" x14ac:dyDescent="0.25">
      <c r="B784" s="695"/>
      <c r="C784" s="197" t="str">
        <f>IF(B784&lt;&gt;"",IFERROR(VLOOKUP(B:B,'מצבת והרשמה (2)'!$C$20:$N$520,2,0)," ")," ")</f>
        <v xml:space="preserve"> </v>
      </c>
      <c r="D784" s="695"/>
      <c r="E784" s="696"/>
      <c r="F784" s="696"/>
      <c r="G784" s="696"/>
      <c r="H784" s="696"/>
      <c r="I784" s="1050" t="str">
        <f t="shared" si="182"/>
        <v/>
      </c>
      <c r="J784" s="696"/>
      <c r="K784" s="697"/>
      <c r="L784" s="696"/>
      <c r="M784" s="198" t="str">
        <f t="shared" si="183"/>
        <v/>
      </c>
      <c r="N784" s="369" t="str">
        <f t="shared" si="184"/>
        <v/>
      </c>
      <c r="O784" s="183" t="str">
        <f t="shared" si="185"/>
        <v/>
      </c>
      <c r="P784" s="199" t="str">
        <f t="shared" si="186"/>
        <v/>
      </c>
      <c r="Q784" s="199" t="str">
        <f>IF(B784="","",IFERROR(IF('עלויות כח אדם (6)'!J784&gt;=VLOOKUP(I784,'סיווג התפקידים והעלויות'!$B$23:$C$32,2,0),"תקין","לא תקין"),""))</f>
        <v/>
      </c>
      <c r="R784" s="199" t="str">
        <f t="shared" si="187"/>
        <v/>
      </c>
      <c r="S784" s="199" t="str">
        <f t="shared" si="188"/>
        <v/>
      </c>
      <c r="T784" s="199" t="str">
        <f t="shared" ref="T784:T847" si="196">IF(B784="","",IF(H784="","יש להזין איש צוות",IF(OR(H784="מורה",H784="גננת",H784="רכז גן",H784="רכזת גן",H784="סייעת",H784="מדצית",H784="מדצ",H784="מדריך",H784="מדריכה",H784="תוספת כח אדם"),IF(L784&lt;=90,"תקין","לא תקין"),IF(OR(H784="רכז בית ספר",H784="רכזת תכנית בבית הספר",H784="רכזת בית ספר"),IF(L784&lt;=137,"תקין","לא תקין"),IF(OR(H784="סגנית רכזת מעל 150",H784="סגן רכז"),IF(L784&lt;=93,"תקין","לא תקין"),"לא תקין")))))</f>
        <v/>
      </c>
      <c r="U784" s="199" t="str">
        <f t="shared" si="189"/>
        <v/>
      </c>
      <c r="V784" s="989"/>
      <c r="X784" s="374" t="str">
        <f t="shared" si="190"/>
        <v/>
      </c>
      <c r="Y784" s="375" t="str">
        <f t="shared" si="191"/>
        <v/>
      </c>
      <c r="Z784" s="374" t="str">
        <f t="shared" si="192"/>
        <v/>
      </c>
      <c r="AA784" s="374" t="b">
        <f t="shared" si="193"/>
        <v>1</v>
      </c>
      <c r="AB784" s="374">
        <f>COUNTIFS(B:B,B784,H:H,'סיווג התפקידים והעלויות'!$C$2)</f>
        <v>0</v>
      </c>
      <c r="AC784" s="374">
        <f>COUNTIFS(B:B,B784,H:H,'סיווג התפקידים והעלויות'!$D$2)</f>
        <v>0</v>
      </c>
      <c r="AD784" s="374" t="str">
        <f>IF(OR(AND(H784='סיווג התפקידים והעלויות'!$A$2,I784='סיווג התפקידים והעלויות'!$A$3),'עלויות כח אדם (6)'!H784='סיווג התפקידים והעלויות'!$C$2,'עלויות כח אדם (6)'!H784='סיווג התפקידים והעלויות'!$D$2),IF('עלויות כח אדם (6)'!J784&lt;75,"לא תקין","תקין"),"")</f>
        <v/>
      </c>
      <c r="AE784" s="374" t="str">
        <f t="shared" si="194"/>
        <v/>
      </c>
      <c r="AF784" s="532" t="str">
        <f t="shared" si="195"/>
        <v/>
      </c>
    </row>
    <row r="785" spans="2:32" x14ac:dyDescent="0.25">
      <c r="B785" s="695"/>
      <c r="C785" s="197" t="str">
        <f>IF(B785&lt;&gt;"",IFERROR(VLOOKUP(B:B,'מצבת והרשמה (2)'!$C$20:$N$520,2,0)," ")," ")</f>
        <v xml:space="preserve"> </v>
      </c>
      <c r="D785" s="695"/>
      <c r="E785" s="696"/>
      <c r="F785" s="696"/>
      <c r="G785" s="696"/>
      <c r="H785" s="696"/>
      <c r="I785" s="1050" t="str">
        <f t="shared" si="182"/>
        <v/>
      </c>
      <c r="J785" s="696"/>
      <c r="K785" s="697"/>
      <c r="L785" s="696"/>
      <c r="M785" s="198" t="str">
        <f t="shared" si="183"/>
        <v/>
      </c>
      <c r="N785" s="369" t="str">
        <f t="shared" si="184"/>
        <v/>
      </c>
      <c r="O785" s="183" t="str">
        <f t="shared" si="185"/>
        <v/>
      </c>
      <c r="P785" s="199" t="str">
        <f t="shared" si="186"/>
        <v/>
      </c>
      <c r="Q785" s="199" t="str">
        <f>IF(B785="","",IFERROR(IF('עלויות כח אדם (6)'!J785&gt;=VLOOKUP(I785,'סיווג התפקידים והעלויות'!$B$23:$C$32,2,0),"תקין","לא תקין"),""))</f>
        <v/>
      </c>
      <c r="R785" s="199" t="str">
        <f t="shared" si="187"/>
        <v/>
      </c>
      <c r="S785" s="199" t="str">
        <f t="shared" si="188"/>
        <v/>
      </c>
      <c r="T785" s="199" t="str">
        <f t="shared" si="196"/>
        <v/>
      </c>
      <c r="U785" s="199" t="str">
        <f t="shared" si="189"/>
        <v/>
      </c>
      <c r="V785" s="989"/>
      <c r="X785" s="374" t="str">
        <f t="shared" si="190"/>
        <v/>
      </c>
      <c r="Y785" s="375" t="str">
        <f t="shared" si="191"/>
        <v/>
      </c>
      <c r="Z785" s="374" t="str">
        <f t="shared" si="192"/>
        <v/>
      </c>
      <c r="AA785" s="374" t="b">
        <f t="shared" si="193"/>
        <v>1</v>
      </c>
      <c r="AB785" s="374">
        <f>COUNTIFS(B:B,B785,H:H,'סיווג התפקידים והעלויות'!$C$2)</f>
        <v>0</v>
      </c>
      <c r="AC785" s="374">
        <f>COUNTIFS(B:B,B785,H:H,'סיווג התפקידים והעלויות'!$D$2)</f>
        <v>0</v>
      </c>
      <c r="AD785" s="374" t="str">
        <f>IF(OR(AND(H785='סיווג התפקידים והעלויות'!$A$2,I785='סיווג התפקידים והעלויות'!$A$3),'עלויות כח אדם (6)'!H785='סיווג התפקידים והעלויות'!$C$2,'עלויות כח אדם (6)'!H785='סיווג התפקידים והעלויות'!$D$2),IF('עלויות כח אדם (6)'!J785&lt;75,"לא תקין","תקין"),"")</f>
        <v/>
      </c>
      <c r="AE785" s="374" t="str">
        <f t="shared" si="194"/>
        <v/>
      </c>
      <c r="AF785" s="532" t="str">
        <f t="shared" si="195"/>
        <v/>
      </c>
    </row>
    <row r="786" spans="2:32" x14ac:dyDescent="0.25">
      <c r="B786" s="695"/>
      <c r="C786" s="197" t="str">
        <f>IF(B786&lt;&gt;"",IFERROR(VLOOKUP(B:B,'מצבת והרשמה (2)'!$C$20:$N$520,2,0)," ")," ")</f>
        <v xml:space="preserve"> </v>
      </c>
      <c r="D786" s="695"/>
      <c r="E786" s="696"/>
      <c r="F786" s="696"/>
      <c r="G786" s="696"/>
      <c r="H786" s="696"/>
      <c r="I786" s="1050" t="str">
        <f t="shared" si="182"/>
        <v/>
      </c>
      <c r="J786" s="696"/>
      <c r="K786" s="697"/>
      <c r="L786" s="696"/>
      <c r="M786" s="198" t="str">
        <f t="shared" si="183"/>
        <v/>
      </c>
      <c r="N786" s="369" t="str">
        <f t="shared" si="184"/>
        <v/>
      </c>
      <c r="O786" s="183" t="str">
        <f t="shared" si="185"/>
        <v/>
      </c>
      <c r="P786" s="199" t="str">
        <f t="shared" si="186"/>
        <v/>
      </c>
      <c r="Q786" s="199" t="str">
        <f>IF(B786="","",IFERROR(IF('עלויות כח אדם (6)'!J786&gt;=VLOOKUP(I786,'סיווג התפקידים והעלויות'!$B$23:$C$32,2,0),"תקין","לא תקין"),""))</f>
        <v/>
      </c>
      <c r="R786" s="199" t="str">
        <f t="shared" si="187"/>
        <v/>
      </c>
      <c r="S786" s="199" t="str">
        <f t="shared" si="188"/>
        <v/>
      </c>
      <c r="T786" s="199" t="str">
        <f t="shared" si="196"/>
        <v/>
      </c>
      <c r="U786" s="199" t="str">
        <f t="shared" si="189"/>
        <v/>
      </c>
      <c r="V786" s="989"/>
      <c r="X786" s="374" t="str">
        <f t="shared" si="190"/>
        <v/>
      </c>
      <c r="Y786" s="375" t="str">
        <f t="shared" si="191"/>
        <v/>
      </c>
      <c r="Z786" s="374" t="str">
        <f t="shared" si="192"/>
        <v/>
      </c>
      <c r="AA786" s="374" t="b">
        <f t="shared" si="193"/>
        <v>1</v>
      </c>
      <c r="AB786" s="374">
        <f>COUNTIFS(B:B,B786,H:H,'סיווג התפקידים והעלויות'!$C$2)</f>
        <v>0</v>
      </c>
      <c r="AC786" s="374">
        <f>COUNTIFS(B:B,B786,H:H,'סיווג התפקידים והעלויות'!$D$2)</f>
        <v>0</v>
      </c>
      <c r="AD786" s="374" t="str">
        <f>IF(OR(AND(H786='סיווג התפקידים והעלויות'!$A$2,I786='סיווג התפקידים והעלויות'!$A$3),'עלויות כח אדם (6)'!H786='סיווג התפקידים והעלויות'!$C$2,'עלויות כח אדם (6)'!H786='סיווג התפקידים והעלויות'!$D$2),IF('עלויות כח אדם (6)'!J786&lt;75,"לא תקין","תקין"),"")</f>
        <v/>
      </c>
      <c r="AE786" s="374" t="str">
        <f t="shared" si="194"/>
        <v/>
      </c>
      <c r="AF786" s="532" t="str">
        <f t="shared" si="195"/>
        <v/>
      </c>
    </row>
    <row r="787" spans="2:32" x14ac:dyDescent="0.25">
      <c r="B787" s="695"/>
      <c r="C787" s="197" t="str">
        <f>IF(B787&lt;&gt;"",IFERROR(VLOOKUP(B:B,'מצבת והרשמה (2)'!$C$20:$N$520,2,0)," ")," ")</f>
        <v xml:space="preserve"> </v>
      </c>
      <c r="D787" s="695"/>
      <c r="E787" s="696"/>
      <c r="F787" s="696"/>
      <c r="G787" s="696"/>
      <c r="H787" s="696"/>
      <c r="I787" s="1050" t="str">
        <f t="shared" si="182"/>
        <v/>
      </c>
      <c r="J787" s="696"/>
      <c r="K787" s="697"/>
      <c r="L787" s="696"/>
      <c r="M787" s="198" t="str">
        <f t="shared" si="183"/>
        <v/>
      </c>
      <c r="N787" s="369" t="str">
        <f t="shared" si="184"/>
        <v/>
      </c>
      <c r="O787" s="183" t="str">
        <f t="shared" si="185"/>
        <v/>
      </c>
      <c r="P787" s="199" t="str">
        <f t="shared" si="186"/>
        <v/>
      </c>
      <c r="Q787" s="199" t="str">
        <f>IF(B787="","",IFERROR(IF('עלויות כח אדם (6)'!J787&gt;=VLOOKUP(I787,'סיווג התפקידים והעלויות'!$B$23:$C$32,2,0),"תקין","לא תקין"),""))</f>
        <v/>
      </c>
      <c r="R787" s="199" t="str">
        <f t="shared" si="187"/>
        <v/>
      </c>
      <c r="S787" s="199" t="str">
        <f t="shared" si="188"/>
        <v/>
      </c>
      <c r="T787" s="199" t="str">
        <f t="shared" si="196"/>
        <v/>
      </c>
      <c r="U787" s="199" t="str">
        <f t="shared" si="189"/>
        <v/>
      </c>
      <c r="V787" s="989"/>
      <c r="X787" s="374" t="str">
        <f t="shared" si="190"/>
        <v/>
      </c>
      <c r="Y787" s="375" t="str">
        <f t="shared" si="191"/>
        <v/>
      </c>
      <c r="Z787" s="374" t="str">
        <f t="shared" si="192"/>
        <v/>
      </c>
      <c r="AA787" s="374" t="b">
        <f t="shared" si="193"/>
        <v>1</v>
      </c>
      <c r="AB787" s="374">
        <f>COUNTIFS(B:B,B787,H:H,'סיווג התפקידים והעלויות'!$C$2)</f>
        <v>0</v>
      </c>
      <c r="AC787" s="374">
        <f>COUNTIFS(B:B,B787,H:H,'סיווג התפקידים והעלויות'!$D$2)</f>
        <v>0</v>
      </c>
      <c r="AD787" s="374" t="str">
        <f>IF(OR(AND(H787='סיווג התפקידים והעלויות'!$A$2,I787='סיווג התפקידים והעלויות'!$A$3),'עלויות כח אדם (6)'!H787='סיווג התפקידים והעלויות'!$C$2,'עלויות כח אדם (6)'!H787='סיווג התפקידים והעלויות'!$D$2),IF('עלויות כח אדם (6)'!J787&lt;75,"לא תקין","תקין"),"")</f>
        <v/>
      </c>
      <c r="AE787" s="374" t="str">
        <f t="shared" si="194"/>
        <v/>
      </c>
      <c r="AF787" s="532" t="str">
        <f t="shared" si="195"/>
        <v/>
      </c>
    </row>
    <row r="788" spans="2:32" x14ac:dyDescent="0.25">
      <c r="B788" s="695"/>
      <c r="C788" s="197" t="str">
        <f>IF(B788&lt;&gt;"",IFERROR(VLOOKUP(B:B,'מצבת והרשמה (2)'!$C$20:$N$520,2,0)," ")," ")</f>
        <v xml:space="preserve"> </v>
      </c>
      <c r="D788" s="695"/>
      <c r="E788" s="696"/>
      <c r="F788" s="696"/>
      <c r="G788" s="696"/>
      <c r="H788" s="696"/>
      <c r="I788" s="1050" t="str">
        <f t="shared" si="182"/>
        <v/>
      </c>
      <c r="J788" s="696"/>
      <c r="K788" s="697"/>
      <c r="L788" s="696"/>
      <c r="M788" s="198" t="str">
        <f t="shared" si="183"/>
        <v/>
      </c>
      <c r="N788" s="369" t="str">
        <f t="shared" si="184"/>
        <v/>
      </c>
      <c r="O788" s="183" t="str">
        <f t="shared" si="185"/>
        <v/>
      </c>
      <c r="P788" s="199" t="str">
        <f t="shared" si="186"/>
        <v/>
      </c>
      <c r="Q788" s="199" t="str">
        <f>IF(B788="","",IFERROR(IF('עלויות כח אדם (6)'!J788&gt;=VLOOKUP(I788,'סיווג התפקידים והעלויות'!$B$23:$C$32,2,0),"תקין","לא תקין"),""))</f>
        <v/>
      </c>
      <c r="R788" s="199" t="str">
        <f t="shared" si="187"/>
        <v/>
      </c>
      <c r="S788" s="199" t="str">
        <f t="shared" si="188"/>
        <v/>
      </c>
      <c r="T788" s="199" t="str">
        <f t="shared" si="196"/>
        <v/>
      </c>
      <c r="U788" s="199" t="str">
        <f t="shared" si="189"/>
        <v/>
      </c>
      <c r="V788" s="989"/>
      <c r="X788" s="374" t="str">
        <f t="shared" si="190"/>
        <v/>
      </c>
      <c r="Y788" s="375" t="str">
        <f t="shared" si="191"/>
        <v/>
      </c>
      <c r="Z788" s="374" t="str">
        <f t="shared" si="192"/>
        <v/>
      </c>
      <c r="AA788" s="374" t="b">
        <f t="shared" si="193"/>
        <v>1</v>
      </c>
      <c r="AB788" s="374">
        <f>COUNTIFS(B:B,B788,H:H,'סיווג התפקידים והעלויות'!$C$2)</f>
        <v>0</v>
      </c>
      <c r="AC788" s="374">
        <f>COUNTIFS(B:B,B788,H:H,'סיווג התפקידים והעלויות'!$D$2)</f>
        <v>0</v>
      </c>
      <c r="AD788" s="374" t="str">
        <f>IF(OR(AND(H788='סיווג התפקידים והעלויות'!$A$2,I788='סיווג התפקידים והעלויות'!$A$3),'עלויות כח אדם (6)'!H788='סיווג התפקידים והעלויות'!$C$2,'עלויות כח אדם (6)'!H788='סיווג התפקידים והעלויות'!$D$2),IF('עלויות כח אדם (6)'!J788&lt;75,"לא תקין","תקין"),"")</f>
        <v/>
      </c>
      <c r="AE788" s="374" t="str">
        <f t="shared" si="194"/>
        <v/>
      </c>
      <c r="AF788" s="532" t="str">
        <f t="shared" si="195"/>
        <v/>
      </c>
    </row>
    <row r="789" spans="2:32" x14ac:dyDescent="0.25">
      <c r="B789" s="695"/>
      <c r="C789" s="197" t="str">
        <f>IF(B789&lt;&gt;"",IFERROR(VLOOKUP(B:B,'מצבת והרשמה (2)'!$C$20:$N$520,2,0)," ")," ")</f>
        <v xml:space="preserve"> </v>
      </c>
      <c r="D789" s="695"/>
      <c r="E789" s="696"/>
      <c r="F789" s="696"/>
      <c r="G789" s="696"/>
      <c r="H789" s="696"/>
      <c r="I789" s="1050" t="str">
        <f t="shared" si="182"/>
        <v/>
      </c>
      <c r="J789" s="696"/>
      <c r="K789" s="697"/>
      <c r="L789" s="696"/>
      <c r="M789" s="198" t="str">
        <f t="shared" si="183"/>
        <v/>
      </c>
      <c r="N789" s="369" t="str">
        <f t="shared" si="184"/>
        <v/>
      </c>
      <c r="O789" s="183" t="str">
        <f t="shared" si="185"/>
        <v/>
      </c>
      <c r="P789" s="199" t="str">
        <f t="shared" si="186"/>
        <v/>
      </c>
      <c r="Q789" s="199" t="str">
        <f>IF(B789="","",IFERROR(IF('עלויות כח אדם (6)'!J789&gt;=VLOOKUP(I789,'סיווג התפקידים והעלויות'!$B$23:$C$32,2,0),"תקין","לא תקין"),""))</f>
        <v/>
      </c>
      <c r="R789" s="199" t="str">
        <f t="shared" si="187"/>
        <v/>
      </c>
      <c r="S789" s="199" t="str">
        <f t="shared" si="188"/>
        <v/>
      </c>
      <c r="T789" s="199" t="str">
        <f t="shared" si="196"/>
        <v/>
      </c>
      <c r="U789" s="199" t="str">
        <f t="shared" si="189"/>
        <v/>
      </c>
      <c r="V789" s="989"/>
      <c r="X789" s="374" t="str">
        <f t="shared" si="190"/>
        <v/>
      </c>
      <c r="Y789" s="375" t="str">
        <f t="shared" si="191"/>
        <v/>
      </c>
      <c r="Z789" s="374" t="str">
        <f t="shared" si="192"/>
        <v/>
      </c>
      <c r="AA789" s="374" t="b">
        <f t="shared" si="193"/>
        <v>1</v>
      </c>
      <c r="AB789" s="374">
        <f>COUNTIFS(B:B,B789,H:H,'סיווג התפקידים והעלויות'!$C$2)</f>
        <v>0</v>
      </c>
      <c r="AC789" s="374">
        <f>COUNTIFS(B:B,B789,H:H,'סיווג התפקידים והעלויות'!$D$2)</f>
        <v>0</v>
      </c>
      <c r="AD789" s="374" t="str">
        <f>IF(OR(AND(H789='סיווג התפקידים והעלויות'!$A$2,I789='סיווג התפקידים והעלויות'!$A$3),'עלויות כח אדם (6)'!H789='סיווג התפקידים והעלויות'!$C$2,'עלויות כח אדם (6)'!H789='סיווג התפקידים והעלויות'!$D$2),IF('עלויות כח אדם (6)'!J789&lt;75,"לא תקין","תקין"),"")</f>
        <v/>
      </c>
      <c r="AE789" s="374" t="str">
        <f t="shared" si="194"/>
        <v/>
      </c>
      <c r="AF789" s="532" t="str">
        <f t="shared" si="195"/>
        <v/>
      </c>
    </row>
    <row r="790" spans="2:32" x14ac:dyDescent="0.25">
      <c r="B790" s="695"/>
      <c r="C790" s="197" t="str">
        <f>IF(B790&lt;&gt;"",IFERROR(VLOOKUP(B:B,'מצבת והרשמה (2)'!$C$20:$N$520,2,0)," ")," ")</f>
        <v xml:space="preserve"> </v>
      </c>
      <c r="D790" s="695"/>
      <c r="E790" s="696"/>
      <c r="F790" s="696"/>
      <c r="G790" s="696"/>
      <c r="H790" s="696"/>
      <c r="I790" s="1050" t="str">
        <f t="shared" si="182"/>
        <v/>
      </c>
      <c r="J790" s="696"/>
      <c r="K790" s="697"/>
      <c r="L790" s="696"/>
      <c r="M790" s="198" t="str">
        <f t="shared" si="183"/>
        <v/>
      </c>
      <c r="N790" s="369" t="str">
        <f t="shared" si="184"/>
        <v/>
      </c>
      <c r="O790" s="183" t="str">
        <f t="shared" si="185"/>
        <v/>
      </c>
      <c r="P790" s="199" t="str">
        <f t="shared" si="186"/>
        <v/>
      </c>
      <c r="Q790" s="199" t="str">
        <f>IF(B790="","",IFERROR(IF('עלויות כח אדם (6)'!J790&gt;=VLOOKUP(I790,'סיווג התפקידים והעלויות'!$B$23:$C$32,2,0),"תקין","לא תקין"),""))</f>
        <v/>
      </c>
      <c r="R790" s="199" t="str">
        <f t="shared" si="187"/>
        <v/>
      </c>
      <c r="S790" s="199" t="str">
        <f t="shared" si="188"/>
        <v/>
      </c>
      <c r="T790" s="199" t="str">
        <f t="shared" si="196"/>
        <v/>
      </c>
      <c r="U790" s="199" t="str">
        <f t="shared" si="189"/>
        <v/>
      </c>
      <c r="V790" s="989"/>
      <c r="X790" s="374" t="str">
        <f t="shared" si="190"/>
        <v/>
      </c>
      <c r="Y790" s="375" t="str">
        <f t="shared" si="191"/>
        <v/>
      </c>
      <c r="Z790" s="374" t="str">
        <f t="shared" si="192"/>
        <v/>
      </c>
      <c r="AA790" s="374" t="b">
        <f t="shared" si="193"/>
        <v>1</v>
      </c>
      <c r="AB790" s="374">
        <f>COUNTIFS(B:B,B790,H:H,'סיווג התפקידים והעלויות'!$C$2)</f>
        <v>0</v>
      </c>
      <c r="AC790" s="374">
        <f>COUNTIFS(B:B,B790,H:H,'סיווג התפקידים והעלויות'!$D$2)</f>
        <v>0</v>
      </c>
      <c r="AD790" s="374" t="str">
        <f>IF(OR(AND(H790='סיווג התפקידים והעלויות'!$A$2,I790='סיווג התפקידים והעלויות'!$A$3),'עלויות כח אדם (6)'!H790='סיווג התפקידים והעלויות'!$C$2,'עלויות כח אדם (6)'!H790='סיווג התפקידים והעלויות'!$D$2),IF('עלויות כח אדם (6)'!J790&lt;75,"לא תקין","תקין"),"")</f>
        <v/>
      </c>
      <c r="AE790" s="374" t="str">
        <f t="shared" si="194"/>
        <v/>
      </c>
      <c r="AF790" s="532" t="str">
        <f t="shared" si="195"/>
        <v/>
      </c>
    </row>
    <row r="791" spans="2:32" x14ac:dyDescent="0.25">
      <c r="B791" s="695"/>
      <c r="C791" s="197" t="str">
        <f>IF(B791&lt;&gt;"",IFERROR(VLOOKUP(B:B,'מצבת והרשמה (2)'!$C$20:$N$520,2,0)," ")," ")</f>
        <v xml:space="preserve"> </v>
      </c>
      <c r="D791" s="695"/>
      <c r="E791" s="696"/>
      <c r="F791" s="696"/>
      <c r="G791" s="696"/>
      <c r="H791" s="696"/>
      <c r="I791" s="1050" t="str">
        <f t="shared" si="182"/>
        <v/>
      </c>
      <c r="J791" s="696"/>
      <c r="K791" s="697"/>
      <c r="L791" s="696"/>
      <c r="M791" s="198" t="str">
        <f t="shared" si="183"/>
        <v/>
      </c>
      <c r="N791" s="369" t="str">
        <f t="shared" si="184"/>
        <v/>
      </c>
      <c r="O791" s="183" t="str">
        <f t="shared" si="185"/>
        <v/>
      </c>
      <c r="P791" s="199" t="str">
        <f t="shared" si="186"/>
        <v/>
      </c>
      <c r="Q791" s="199" t="str">
        <f>IF(B791="","",IFERROR(IF('עלויות כח אדם (6)'!J791&gt;=VLOOKUP(I791,'סיווג התפקידים והעלויות'!$B$23:$C$32,2,0),"תקין","לא תקין"),""))</f>
        <v/>
      </c>
      <c r="R791" s="199" t="str">
        <f t="shared" si="187"/>
        <v/>
      </c>
      <c r="S791" s="199" t="str">
        <f t="shared" si="188"/>
        <v/>
      </c>
      <c r="T791" s="199" t="str">
        <f t="shared" si="196"/>
        <v/>
      </c>
      <c r="U791" s="199" t="str">
        <f t="shared" si="189"/>
        <v/>
      </c>
      <c r="V791" s="989"/>
      <c r="X791" s="374" t="str">
        <f t="shared" si="190"/>
        <v/>
      </c>
      <c r="Y791" s="375" t="str">
        <f t="shared" si="191"/>
        <v/>
      </c>
      <c r="Z791" s="374" t="str">
        <f t="shared" si="192"/>
        <v/>
      </c>
      <c r="AA791" s="374" t="b">
        <f t="shared" si="193"/>
        <v>1</v>
      </c>
      <c r="AB791" s="374">
        <f>COUNTIFS(B:B,B791,H:H,'סיווג התפקידים והעלויות'!$C$2)</f>
        <v>0</v>
      </c>
      <c r="AC791" s="374">
        <f>COUNTIFS(B:B,B791,H:H,'סיווג התפקידים והעלויות'!$D$2)</f>
        <v>0</v>
      </c>
      <c r="AD791" s="374" t="str">
        <f>IF(OR(AND(H791='סיווג התפקידים והעלויות'!$A$2,I791='סיווג התפקידים והעלויות'!$A$3),'עלויות כח אדם (6)'!H791='סיווג התפקידים והעלויות'!$C$2,'עלויות כח אדם (6)'!H791='סיווג התפקידים והעלויות'!$D$2),IF('עלויות כח אדם (6)'!J791&lt;75,"לא תקין","תקין"),"")</f>
        <v/>
      </c>
      <c r="AE791" s="374" t="str">
        <f t="shared" si="194"/>
        <v/>
      </c>
      <c r="AF791" s="532" t="str">
        <f t="shared" si="195"/>
        <v/>
      </c>
    </row>
    <row r="792" spans="2:32" x14ac:dyDescent="0.25">
      <c r="B792" s="695"/>
      <c r="C792" s="197" t="str">
        <f>IF(B792&lt;&gt;"",IFERROR(VLOOKUP(B:B,'מצבת והרשמה (2)'!$C$20:$N$520,2,0)," ")," ")</f>
        <v xml:space="preserve"> </v>
      </c>
      <c r="D792" s="695"/>
      <c r="E792" s="696"/>
      <c r="F792" s="696"/>
      <c r="G792" s="696"/>
      <c r="H792" s="696"/>
      <c r="I792" s="1050" t="str">
        <f t="shared" si="182"/>
        <v/>
      </c>
      <c r="J792" s="696"/>
      <c r="K792" s="697"/>
      <c r="L792" s="696"/>
      <c r="M792" s="198" t="str">
        <f t="shared" si="183"/>
        <v/>
      </c>
      <c r="N792" s="369" t="str">
        <f t="shared" si="184"/>
        <v/>
      </c>
      <c r="O792" s="183" t="str">
        <f t="shared" si="185"/>
        <v/>
      </c>
      <c r="P792" s="199" t="str">
        <f t="shared" si="186"/>
        <v/>
      </c>
      <c r="Q792" s="199" t="str">
        <f>IF(B792="","",IFERROR(IF('עלויות כח אדם (6)'!J792&gt;=VLOOKUP(I792,'סיווג התפקידים והעלויות'!$B$23:$C$32,2,0),"תקין","לא תקין"),""))</f>
        <v/>
      </c>
      <c r="R792" s="199" t="str">
        <f t="shared" si="187"/>
        <v/>
      </c>
      <c r="S792" s="199" t="str">
        <f t="shared" si="188"/>
        <v/>
      </c>
      <c r="T792" s="199" t="str">
        <f t="shared" si="196"/>
        <v/>
      </c>
      <c r="U792" s="199" t="str">
        <f t="shared" si="189"/>
        <v/>
      </c>
      <c r="V792" s="989"/>
      <c r="X792" s="374" t="str">
        <f t="shared" si="190"/>
        <v/>
      </c>
      <c r="Y792" s="375" t="str">
        <f t="shared" si="191"/>
        <v/>
      </c>
      <c r="Z792" s="374" t="str">
        <f t="shared" si="192"/>
        <v/>
      </c>
      <c r="AA792" s="374" t="b">
        <f t="shared" si="193"/>
        <v>1</v>
      </c>
      <c r="AB792" s="374">
        <f>COUNTIFS(B:B,B792,H:H,'סיווג התפקידים והעלויות'!$C$2)</f>
        <v>0</v>
      </c>
      <c r="AC792" s="374">
        <f>COUNTIFS(B:B,B792,H:H,'סיווג התפקידים והעלויות'!$D$2)</f>
        <v>0</v>
      </c>
      <c r="AD792" s="374" t="str">
        <f>IF(OR(AND(H792='סיווג התפקידים והעלויות'!$A$2,I792='סיווג התפקידים והעלויות'!$A$3),'עלויות כח אדם (6)'!H792='סיווג התפקידים והעלויות'!$C$2,'עלויות כח אדם (6)'!H792='סיווג התפקידים והעלויות'!$D$2),IF('עלויות כח אדם (6)'!J792&lt;75,"לא תקין","תקין"),"")</f>
        <v/>
      </c>
      <c r="AE792" s="374" t="str">
        <f t="shared" si="194"/>
        <v/>
      </c>
      <c r="AF792" s="532" t="str">
        <f t="shared" si="195"/>
        <v/>
      </c>
    </row>
    <row r="793" spans="2:32" x14ac:dyDescent="0.25">
      <c r="B793" s="695"/>
      <c r="C793" s="197" t="str">
        <f>IF(B793&lt;&gt;"",IFERROR(VLOOKUP(B:B,'מצבת והרשמה (2)'!$C$20:$N$520,2,0)," ")," ")</f>
        <v xml:space="preserve"> </v>
      </c>
      <c r="D793" s="695"/>
      <c r="E793" s="696"/>
      <c r="F793" s="696"/>
      <c r="G793" s="696"/>
      <c r="H793" s="696"/>
      <c r="I793" s="1050" t="str">
        <f t="shared" si="182"/>
        <v/>
      </c>
      <c r="J793" s="696"/>
      <c r="K793" s="697"/>
      <c r="L793" s="696"/>
      <c r="M793" s="198" t="str">
        <f t="shared" si="183"/>
        <v/>
      </c>
      <c r="N793" s="369" t="str">
        <f t="shared" si="184"/>
        <v/>
      </c>
      <c r="O793" s="183" t="str">
        <f t="shared" si="185"/>
        <v/>
      </c>
      <c r="P793" s="199" t="str">
        <f t="shared" si="186"/>
        <v/>
      </c>
      <c r="Q793" s="199" t="str">
        <f>IF(B793="","",IFERROR(IF('עלויות כח אדם (6)'!J793&gt;=VLOOKUP(I793,'סיווג התפקידים והעלויות'!$B$23:$C$32,2,0),"תקין","לא תקין"),""))</f>
        <v/>
      </c>
      <c r="R793" s="199" t="str">
        <f t="shared" si="187"/>
        <v/>
      </c>
      <c r="S793" s="199" t="str">
        <f t="shared" si="188"/>
        <v/>
      </c>
      <c r="T793" s="199" t="str">
        <f t="shared" si="196"/>
        <v/>
      </c>
      <c r="U793" s="199" t="str">
        <f t="shared" si="189"/>
        <v/>
      </c>
      <c r="V793" s="989"/>
      <c r="X793" s="374" t="str">
        <f t="shared" si="190"/>
        <v/>
      </c>
      <c r="Y793" s="375" t="str">
        <f t="shared" si="191"/>
        <v/>
      </c>
      <c r="Z793" s="374" t="str">
        <f t="shared" si="192"/>
        <v/>
      </c>
      <c r="AA793" s="374" t="b">
        <f t="shared" si="193"/>
        <v>1</v>
      </c>
      <c r="AB793" s="374">
        <f>COUNTIFS(B:B,B793,H:H,'סיווג התפקידים והעלויות'!$C$2)</f>
        <v>0</v>
      </c>
      <c r="AC793" s="374">
        <f>COUNTIFS(B:B,B793,H:H,'סיווג התפקידים והעלויות'!$D$2)</f>
        <v>0</v>
      </c>
      <c r="AD793" s="374" t="str">
        <f>IF(OR(AND(H793='סיווג התפקידים והעלויות'!$A$2,I793='סיווג התפקידים והעלויות'!$A$3),'עלויות כח אדם (6)'!H793='סיווג התפקידים והעלויות'!$C$2,'עלויות כח אדם (6)'!H793='סיווג התפקידים והעלויות'!$D$2),IF('עלויות כח אדם (6)'!J793&lt;75,"לא תקין","תקין"),"")</f>
        <v/>
      </c>
      <c r="AE793" s="374" t="str">
        <f t="shared" si="194"/>
        <v/>
      </c>
      <c r="AF793" s="532" t="str">
        <f t="shared" si="195"/>
        <v/>
      </c>
    </row>
    <row r="794" spans="2:32" x14ac:dyDescent="0.25">
      <c r="B794" s="695"/>
      <c r="C794" s="197" t="str">
        <f>IF(B794&lt;&gt;"",IFERROR(VLOOKUP(B:B,'מצבת והרשמה (2)'!$C$20:$N$520,2,0)," ")," ")</f>
        <v xml:space="preserve"> </v>
      </c>
      <c r="D794" s="695"/>
      <c r="E794" s="696"/>
      <c r="F794" s="696"/>
      <c r="G794" s="696"/>
      <c r="H794" s="696"/>
      <c r="I794" s="1050" t="str">
        <f t="shared" si="182"/>
        <v/>
      </c>
      <c r="J794" s="696"/>
      <c r="K794" s="697"/>
      <c r="L794" s="696"/>
      <c r="M794" s="198" t="str">
        <f t="shared" si="183"/>
        <v/>
      </c>
      <c r="N794" s="369" t="str">
        <f t="shared" si="184"/>
        <v/>
      </c>
      <c r="O794" s="183" t="str">
        <f t="shared" si="185"/>
        <v/>
      </c>
      <c r="P794" s="199" t="str">
        <f t="shared" si="186"/>
        <v/>
      </c>
      <c r="Q794" s="199" t="str">
        <f>IF(B794="","",IFERROR(IF('עלויות כח אדם (6)'!J794&gt;=VLOOKUP(I794,'סיווג התפקידים והעלויות'!$B$23:$C$32,2,0),"תקין","לא תקין"),""))</f>
        <v/>
      </c>
      <c r="R794" s="199" t="str">
        <f t="shared" si="187"/>
        <v/>
      </c>
      <c r="S794" s="199" t="str">
        <f t="shared" si="188"/>
        <v/>
      </c>
      <c r="T794" s="199" t="str">
        <f t="shared" si="196"/>
        <v/>
      </c>
      <c r="U794" s="199" t="str">
        <f t="shared" si="189"/>
        <v/>
      </c>
      <c r="V794" s="989"/>
      <c r="X794" s="374" t="str">
        <f t="shared" si="190"/>
        <v/>
      </c>
      <c r="Y794" s="375" t="str">
        <f t="shared" si="191"/>
        <v/>
      </c>
      <c r="Z794" s="374" t="str">
        <f t="shared" si="192"/>
        <v/>
      </c>
      <c r="AA794" s="374" t="b">
        <f t="shared" si="193"/>
        <v>1</v>
      </c>
      <c r="AB794" s="374">
        <f>COUNTIFS(B:B,B794,H:H,'סיווג התפקידים והעלויות'!$C$2)</f>
        <v>0</v>
      </c>
      <c r="AC794" s="374">
        <f>COUNTIFS(B:B,B794,H:H,'סיווג התפקידים והעלויות'!$D$2)</f>
        <v>0</v>
      </c>
      <c r="AD794" s="374" t="str">
        <f>IF(OR(AND(H794='סיווג התפקידים והעלויות'!$A$2,I794='סיווג התפקידים והעלויות'!$A$3),'עלויות כח אדם (6)'!H794='סיווג התפקידים והעלויות'!$C$2,'עלויות כח אדם (6)'!H794='סיווג התפקידים והעלויות'!$D$2),IF('עלויות כח אדם (6)'!J794&lt;75,"לא תקין","תקין"),"")</f>
        <v/>
      </c>
      <c r="AE794" s="374" t="str">
        <f t="shared" si="194"/>
        <v/>
      </c>
      <c r="AF794" s="532" t="str">
        <f t="shared" si="195"/>
        <v/>
      </c>
    </row>
    <row r="795" spans="2:32" x14ac:dyDescent="0.25">
      <c r="B795" s="695"/>
      <c r="C795" s="197" t="str">
        <f>IF(B795&lt;&gt;"",IFERROR(VLOOKUP(B:B,'מצבת והרשמה (2)'!$C$20:$N$520,2,0)," ")," ")</f>
        <v xml:space="preserve"> </v>
      </c>
      <c r="D795" s="695"/>
      <c r="E795" s="696"/>
      <c r="F795" s="696"/>
      <c r="G795" s="696"/>
      <c r="H795" s="696"/>
      <c r="I795" s="1050" t="str">
        <f t="shared" si="182"/>
        <v/>
      </c>
      <c r="J795" s="696"/>
      <c r="K795" s="697"/>
      <c r="L795" s="696"/>
      <c r="M795" s="198" t="str">
        <f t="shared" si="183"/>
        <v/>
      </c>
      <c r="N795" s="369" t="str">
        <f t="shared" si="184"/>
        <v/>
      </c>
      <c r="O795" s="183" t="str">
        <f t="shared" si="185"/>
        <v/>
      </c>
      <c r="P795" s="199" t="str">
        <f t="shared" si="186"/>
        <v/>
      </c>
      <c r="Q795" s="199" t="str">
        <f>IF(B795="","",IFERROR(IF('עלויות כח אדם (6)'!J795&gt;=VLOOKUP(I795,'סיווג התפקידים והעלויות'!$B$23:$C$32,2,0),"תקין","לא תקין"),""))</f>
        <v/>
      </c>
      <c r="R795" s="199" t="str">
        <f t="shared" si="187"/>
        <v/>
      </c>
      <c r="S795" s="199" t="str">
        <f t="shared" si="188"/>
        <v/>
      </c>
      <c r="T795" s="199" t="str">
        <f t="shared" si="196"/>
        <v/>
      </c>
      <c r="U795" s="199" t="str">
        <f t="shared" si="189"/>
        <v/>
      </c>
      <c r="V795" s="989"/>
      <c r="X795" s="374" t="str">
        <f t="shared" si="190"/>
        <v/>
      </c>
      <c r="Y795" s="375" t="str">
        <f t="shared" si="191"/>
        <v/>
      </c>
      <c r="Z795" s="374" t="str">
        <f t="shared" si="192"/>
        <v/>
      </c>
      <c r="AA795" s="374" t="b">
        <f t="shared" si="193"/>
        <v>1</v>
      </c>
      <c r="AB795" s="374">
        <f>COUNTIFS(B:B,B795,H:H,'סיווג התפקידים והעלויות'!$C$2)</f>
        <v>0</v>
      </c>
      <c r="AC795" s="374">
        <f>COUNTIFS(B:B,B795,H:H,'סיווג התפקידים והעלויות'!$D$2)</f>
        <v>0</v>
      </c>
      <c r="AD795" s="374" t="str">
        <f>IF(OR(AND(H795='סיווג התפקידים והעלויות'!$A$2,I795='סיווג התפקידים והעלויות'!$A$3),'עלויות כח אדם (6)'!H795='סיווג התפקידים והעלויות'!$C$2,'עלויות כח אדם (6)'!H795='סיווג התפקידים והעלויות'!$D$2),IF('עלויות כח אדם (6)'!J795&lt;75,"לא תקין","תקין"),"")</f>
        <v/>
      </c>
      <c r="AE795" s="374" t="str">
        <f t="shared" si="194"/>
        <v/>
      </c>
      <c r="AF795" s="532" t="str">
        <f t="shared" si="195"/>
        <v/>
      </c>
    </row>
    <row r="796" spans="2:32" x14ac:dyDescent="0.25">
      <c r="B796" s="695"/>
      <c r="C796" s="197" t="str">
        <f>IF(B796&lt;&gt;"",IFERROR(VLOOKUP(B:B,'מצבת והרשמה (2)'!$C$20:$N$520,2,0)," ")," ")</f>
        <v xml:space="preserve"> </v>
      </c>
      <c r="D796" s="695"/>
      <c r="E796" s="696"/>
      <c r="F796" s="696"/>
      <c r="G796" s="696"/>
      <c r="H796" s="696"/>
      <c r="I796" s="1050" t="str">
        <f t="shared" si="182"/>
        <v/>
      </c>
      <c r="J796" s="696"/>
      <c r="K796" s="697"/>
      <c r="L796" s="696"/>
      <c r="M796" s="198" t="str">
        <f t="shared" si="183"/>
        <v/>
      </c>
      <c r="N796" s="369" t="str">
        <f t="shared" si="184"/>
        <v/>
      </c>
      <c r="O796" s="183" t="str">
        <f t="shared" si="185"/>
        <v/>
      </c>
      <c r="P796" s="199" t="str">
        <f t="shared" si="186"/>
        <v/>
      </c>
      <c r="Q796" s="199" t="str">
        <f>IF(B796="","",IFERROR(IF('עלויות כח אדם (6)'!J796&gt;=VLOOKUP(I796,'סיווג התפקידים והעלויות'!$B$23:$C$32,2,0),"תקין","לא תקין"),""))</f>
        <v/>
      </c>
      <c r="R796" s="199" t="str">
        <f t="shared" si="187"/>
        <v/>
      </c>
      <c r="S796" s="199" t="str">
        <f t="shared" si="188"/>
        <v/>
      </c>
      <c r="T796" s="199" t="str">
        <f t="shared" si="196"/>
        <v/>
      </c>
      <c r="U796" s="199" t="str">
        <f t="shared" si="189"/>
        <v/>
      </c>
      <c r="V796" s="989"/>
      <c r="X796" s="374" t="str">
        <f t="shared" si="190"/>
        <v/>
      </c>
      <c r="Y796" s="375" t="str">
        <f t="shared" si="191"/>
        <v/>
      </c>
      <c r="Z796" s="374" t="str">
        <f t="shared" si="192"/>
        <v/>
      </c>
      <c r="AA796" s="374" t="b">
        <f t="shared" si="193"/>
        <v>1</v>
      </c>
      <c r="AB796" s="374">
        <f>COUNTIFS(B:B,B796,H:H,'סיווג התפקידים והעלויות'!$C$2)</f>
        <v>0</v>
      </c>
      <c r="AC796" s="374">
        <f>COUNTIFS(B:B,B796,H:H,'סיווג התפקידים והעלויות'!$D$2)</f>
        <v>0</v>
      </c>
      <c r="AD796" s="374" t="str">
        <f>IF(OR(AND(H796='סיווג התפקידים והעלויות'!$A$2,I796='סיווג התפקידים והעלויות'!$A$3),'עלויות כח אדם (6)'!H796='סיווג התפקידים והעלויות'!$C$2,'עלויות כח אדם (6)'!H796='סיווג התפקידים והעלויות'!$D$2),IF('עלויות כח אדם (6)'!J796&lt;75,"לא תקין","תקין"),"")</f>
        <v/>
      </c>
      <c r="AE796" s="374" t="str">
        <f t="shared" si="194"/>
        <v/>
      </c>
      <c r="AF796" s="532" t="str">
        <f t="shared" si="195"/>
        <v/>
      </c>
    </row>
    <row r="797" spans="2:32" x14ac:dyDescent="0.25">
      <c r="B797" s="695"/>
      <c r="C797" s="197" t="str">
        <f>IF(B797&lt;&gt;"",IFERROR(VLOOKUP(B:B,'מצבת והרשמה (2)'!$C$20:$N$520,2,0)," ")," ")</f>
        <v xml:space="preserve"> </v>
      </c>
      <c r="D797" s="695"/>
      <c r="E797" s="696"/>
      <c r="F797" s="696"/>
      <c r="G797" s="696"/>
      <c r="H797" s="696"/>
      <c r="I797" s="1050" t="str">
        <f t="shared" si="182"/>
        <v/>
      </c>
      <c r="J797" s="696"/>
      <c r="K797" s="697"/>
      <c r="L797" s="696"/>
      <c r="M797" s="198" t="str">
        <f t="shared" si="183"/>
        <v/>
      </c>
      <c r="N797" s="369" t="str">
        <f t="shared" si="184"/>
        <v/>
      </c>
      <c r="O797" s="183" t="str">
        <f t="shared" si="185"/>
        <v/>
      </c>
      <c r="P797" s="199" t="str">
        <f t="shared" si="186"/>
        <v/>
      </c>
      <c r="Q797" s="199" t="str">
        <f>IF(B797="","",IFERROR(IF('עלויות כח אדם (6)'!J797&gt;=VLOOKUP(I797,'סיווג התפקידים והעלויות'!$B$23:$C$32,2,0),"תקין","לא תקין"),""))</f>
        <v/>
      </c>
      <c r="R797" s="199" t="str">
        <f t="shared" si="187"/>
        <v/>
      </c>
      <c r="S797" s="199" t="str">
        <f t="shared" si="188"/>
        <v/>
      </c>
      <c r="T797" s="199" t="str">
        <f t="shared" si="196"/>
        <v/>
      </c>
      <c r="U797" s="199" t="str">
        <f t="shared" si="189"/>
        <v/>
      </c>
      <c r="V797" s="989"/>
      <c r="X797" s="374" t="str">
        <f t="shared" si="190"/>
        <v/>
      </c>
      <c r="Y797" s="375" t="str">
        <f t="shared" si="191"/>
        <v/>
      </c>
      <c r="Z797" s="374" t="str">
        <f t="shared" si="192"/>
        <v/>
      </c>
      <c r="AA797" s="374" t="b">
        <f t="shared" si="193"/>
        <v>1</v>
      </c>
      <c r="AB797" s="374">
        <f>COUNTIFS(B:B,B797,H:H,'סיווג התפקידים והעלויות'!$C$2)</f>
        <v>0</v>
      </c>
      <c r="AC797" s="374">
        <f>COUNTIFS(B:B,B797,H:H,'סיווג התפקידים והעלויות'!$D$2)</f>
        <v>0</v>
      </c>
      <c r="AD797" s="374" t="str">
        <f>IF(OR(AND(H797='סיווג התפקידים והעלויות'!$A$2,I797='סיווג התפקידים והעלויות'!$A$3),'עלויות כח אדם (6)'!H797='סיווג התפקידים והעלויות'!$C$2,'עלויות כח אדם (6)'!H797='סיווג התפקידים והעלויות'!$D$2),IF('עלויות כח אדם (6)'!J797&lt;75,"לא תקין","תקין"),"")</f>
        <v/>
      </c>
      <c r="AE797" s="374" t="str">
        <f t="shared" si="194"/>
        <v/>
      </c>
      <c r="AF797" s="532" t="str">
        <f t="shared" si="195"/>
        <v/>
      </c>
    </row>
    <row r="798" spans="2:32" x14ac:dyDescent="0.25">
      <c r="B798" s="695"/>
      <c r="C798" s="197" t="str">
        <f>IF(B798&lt;&gt;"",IFERROR(VLOOKUP(B:B,'מצבת והרשמה (2)'!$C$20:$N$520,2,0)," ")," ")</f>
        <v xml:space="preserve"> </v>
      </c>
      <c r="D798" s="695"/>
      <c r="E798" s="696"/>
      <c r="F798" s="696"/>
      <c r="G798" s="696"/>
      <c r="H798" s="696"/>
      <c r="I798" s="1050" t="str">
        <f t="shared" si="182"/>
        <v/>
      </c>
      <c r="J798" s="696"/>
      <c r="K798" s="697"/>
      <c r="L798" s="696"/>
      <c r="M798" s="198" t="str">
        <f t="shared" si="183"/>
        <v/>
      </c>
      <c r="N798" s="369" t="str">
        <f t="shared" si="184"/>
        <v/>
      </c>
      <c r="O798" s="183" t="str">
        <f t="shared" si="185"/>
        <v/>
      </c>
      <c r="P798" s="199" t="str">
        <f t="shared" si="186"/>
        <v/>
      </c>
      <c r="Q798" s="199" t="str">
        <f>IF(B798="","",IFERROR(IF('עלויות כח אדם (6)'!J798&gt;=VLOOKUP(I798,'סיווג התפקידים והעלויות'!$B$23:$C$32,2,0),"תקין","לא תקין"),""))</f>
        <v/>
      </c>
      <c r="R798" s="199" t="str">
        <f t="shared" si="187"/>
        <v/>
      </c>
      <c r="S798" s="199" t="str">
        <f t="shared" si="188"/>
        <v/>
      </c>
      <c r="T798" s="199" t="str">
        <f t="shared" si="196"/>
        <v/>
      </c>
      <c r="U798" s="199" t="str">
        <f t="shared" si="189"/>
        <v/>
      </c>
      <c r="V798" s="989"/>
      <c r="X798" s="374" t="str">
        <f t="shared" si="190"/>
        <v/>
      </c>
      <c r="Y798" s="375" t="str">
        <f t="shared" si="191"/>
        <v/>
      </c>
      <c r="Z798" s="374" t="str">
        <f t="shared" si="192"/>
        <v/>
      </c>
      <c r="AA798" s="374" t="b">
        <f t="shared" si="193"/>
        <v>1</v>
      </c>
      <c r="AB798" s="374">
        <f>COUNTIFS(B:B,B798,H:H,'סיווג התפקידים והעלויות'!$C$2)</f>
        <v>0</v>
      </c>
      <c r="AC798" s="374">
        <f>COUNTIFS(B:B,B798,H:H,'סיווג התפקידים והעלויות'!$D$2)</f>
        <v>0</v>
      </c>
      <c r="AD798" s="374" t="str">
        <f>IF(OR(AND(H798='סיווג התפקידים והעלויות'!$A$2,I798='סיווג התפקידים והעלויות'!$A$3),'עלויות כח אדם (6)'!H798='סיווג התפקידים והעלויות'!$C$2,'עלויות כח אדם (6)'!H798='סיווג התפקידים והעלויות'!$D$2),IF('עלויות כח אדם (6)'!J798&lt;75,"לא תקין","תקין"),"")</f>
        <v/>
      </c>
      <c r="AE798" s="374" t="str">
        <f t="shared" si="194"/>
        <v/>
      </c>
      <c r="AF798" s="532" t="str">
        <f t="shared" si="195"/>
        <v/>
      </c>
    </row>
    <row r="799" spans="2:32" x14ac:dyDescent="0.25">
      <c r="B799" s="695"/>
      <c r="C799" s="197" t="str">
        <f>IF(B799&lt;&gt;"",IFERROR(VLOOKUP(B:B,'מצבת והרשמה (2)'!$C$20:$N$520,2,0)," ")," ")</f>
        <v xml:space="preserve"> </v>
      </c>
      <c r="D799" s="695"/>
      <c r="E799" s="696"/>
      <c r="F799" s="696"/>
      <c r="G799" s="696"/>
      <c r="H799" s="696"/>
      <c r="I799" s="1050" t="str">
        <f t="shared" si="182"/>
        <v/>
      </c>
      <c r="J799" s="696"/>
      <c r="K799" s="697"/>
      <c r="L799" s="696"/>
      <c r="M799" s="198" t="str">
        <f t="shared" si="183"/>
        <v/>
      </c>
      <c r="N799" s="369" t="str">
        <f t="shared" si="184"/>
        <v/>
      </c>
      <c r="O799" s="183" t="str">
        <f t="shared" si="185"/>
        <v/>
      </c>
      <c r="P799" s="199" t="str">
        <f t="shared" si="186"/>
        <v/>
      </c>
      <c r="Q799" s="199" t="str">
        <f>IF(B799="","",IFERROR(IF('עלויות כח אדם (6)'!J799&gt;=VLOOKUP(I799,'סיווג התפקידים והעלויות'!$B$23:$C$32,2,0),"תקין","לא תקין"),""))</f>
        <v/>
      </c>
      <c r="R799" s="199" t="str">
        <f t="shared" si="187"/>
        <v/>
      </c>
      <c r="S799" s="199" t="str">
        <f t="shared" si="188"/>
        <v/>
      </c>
      <c r="T799" s="199" t="str">
        <f t="shared" si="196"/>
        <v/>
      </c>
      <c r="U799" s="199" t="str">
        <f t="shared" si="189"/>
        <v/>
      </c>
      <c r="V799" s="989"/>
      <c r="X799" s="374" t="str">
        <f t="shared" si="190"/>
        <v/>
      </c>
      <c r="Y799" s="375" t="str">
        <f t="shared" si="191"/>
        <v/>
      </c>
      <c r="Z799" s="374" t="str">
        <f t="shared" si="192"/>
        <v/>
      </c>
      <c r="AA799" s="374" t="b">
        <f t="shared" si="193"/>
        <v>1</v>
      </c>
      <c r="AB799" s="374">
        <f>COUNTIFS(B:B,B799,H:H,'סיווג התפקידים והעלויות'!$C$2)</f>
        <v>0</v>
      </c>
      <c r="AC799" s="374">
        <f>COUNTIFS(B:B,B799,H:H,'סיווג התפקידים והעלויות'!$D$2)</f>
        <v>0</v>
      </c>
      <c r="AD799" s="374" t="str">
        <f>IF(OR(AND(H799='סיווג התפקידים והעלויות'!$A$2,I799='סיווג התפקידים והעלויות'!$A$3),'עלויות כח אדם (6)'!H799='סיווג התפקידים והעלויות'!$C$2,'עלויות כח אדם (6)'!H799='סיווג התפקידים והעלויות'!$D$2),IF('עלויות כח אדם (6)'!J799&lt;75,"לא תקין","תקין"),"")</f>
        <v/>
      </c>
      <c r="AE799" s="374" t="str">
        <f t="shared" si="194"/>
        <v/>
      </c>
      <c r="AF799" s="532" t="str">
        <f t="shared" si="195"/>
        <v/>
      </c>
    </row>
    <row r="800" spans="2:32" x14ac:dyDescent="0.25">
      <c r="B800" s="695"/>
      <c r="C800" s="197" t="str">
        <f>IF(B800&lt;&gt;"",IFERROR(VLOOKUP(B:B,'מצבת והרשמה (2)'!$C$20:$N$520,2,0)," ")," ")</f>
        <v xml:space="preserve"> </v>
      </c>
      <c r="D800" s="695"/>
      <c r="E800" s="696"/>
      <c r="F800" s="696"/>
      <c r="G800" s="696"/>
      <c r="H800" s="696"/>
      <c r="I800" s="1050" t="str">
        <f t="shared" si="182"/>
        <v/>
      </c>
      <c r="J800" s="696"/>
      <c r="K800" s="697"/>
      <c r="L800" s="696"/>
      <c r="M800" s="198" t="str">
        <f t="shared" si="183"/>
        <v/>
      </c>
      <c r="N800" s="369" t="str">
        <f t="shared" si="184"/>
        <v/>
      </c>
      <c r="O800" s="183" t="str">
        <f t="shared" si="185"/>
        <v/>
      </c>
      <c r="P800" s="199" t="str">
        <f t="shared" si="186"/>
        <v/>
      </c>
      <c r="Q800" s="199" t="str">
        <f>IF(B800="","",IFERROR(IF('עלויות כח אדם (6)'!J800&gt;=VLOOKUP(I800,'סיווג התפקידים והעלויות'!$B$23:$C$32,2,0),"תקין","לא תקין"),""))</f>
        <v/>
      </c>
      <c r="R800" s="199" t="str">
        <f t="shared" si="187"/>
        <v/>
      </c>
      <c r="S800" s="199" t="str">
        <f t="shared" si="188"/>
        <v/>
      </c>
      <c r="T800" s="199" t="str">
        <f t="shared" si="196"/>
        <v/>
      </c>
      <c r="U800" s="199" t="str">
        <f t="shared" si="189"/>
        <v/>
      </c>
      <c r="V800" s="989"/>
      <c r="X800" s="374" t="str">
        <f t="shared" si="190"/>
        <v/>
      </c>
      <c r="Y800" s="375" t="str">
        <f t="shared" si="191"/>
        <v/>
      </c>
      <c r="Z800" s="374" t="str">
        <f t="shared" si="192"/>
        <v/>
      </c>
      <c r="AA800" s="374" t="b">
        <f t="shared" si="193"/>
        <v>1</v>
      </c>
      <c r="AB800" s="374">
        <f>COUNTIFS(B:B,B800,H:H,'סיווג התפקידים והעלויות'!$C$2)</f>
        <v>0</v>
      </c>
      <c r="AC800" s="374">
        <f>COUNTIFS(B:B,B800,H:H,'סיווג התפקידים והעלויות'!$D$2)</f>
        <v>0</v>
      </c>
      <c r="AD800" s="374" t="str">
        <f>IF(OR(AND(H800='סיווג התפקידים והעלויות'!$A$2,I800='סיווג התפקידים והעלויות'!$A$3),'עלויות כח אדם (6)'!H800='סיווג התפקידים והעלויות'!$C$2,'עלויות כח אדם (6)'!H800='סיווג התפקידים והעלויות'!$D$2),IF('עלויות כח אדם (6)'!J800&lt;75,"לא תקין","תקין"),"")</f>
        <v/>
      </c>
      <c r="AE800" s="374" t="str">
        <f t="shared" si="194"/>
        <v/>
      </c>
      <c r="AF800" s="532" t="str">
        <f t="shared" si="195"/>
        <v/>
      </c>
    </row>
    <row r="801" spans="2:32" x14ac:dyDescent="0.25">
      <c r="B801" s="695"/>
      <c r="C801" s="197" t="str">
        <f>IF(B801&lt;&gt;"",IFERROR(VLOOKUP(B:B,'מצבת והרשמה (2)'!$C$20:$N$520,2,0)," ")," ")</f>
        <v xml:space="preserve"> </v>
      </c>
      <c r="D801" s="695"/>
      <c r="E801" s="696"/>
      <c r="F801" s="696"/>
      <c r="G801" s="696"/>
      <c r="H801" s="696"/>
      <c r="I801" s="1050" t="str">
        <f t="shared" si="182"/>
        <v/>
      </c>
      <c r="J801" s="696"/>
      <c r="K801" s="697"/>
      <c r="L801" s="696"/>
      <c r="M801" s="198" t="str">
        <f t="shared" si="183"/>
        <v/>
      </c>
      <c r="N801" s="369" t="str">
        <f t="shared" si="184"/>
        <v/>
      </c>
      <c r="O801" s="183" t="str">
        <f t="shared" si="185"/>
        <v/>
      </c>
      <c r="P801" s="199" t="str">
        <f t="shared" si="186"/>
        <v/>
      </c>
      <c r="Q801" s="199" t="str">
        <f>IF(B801="","",IFERROR(IF('עלויות כח אדם (6)'!J801&gt;=VLOOKUP(I801,'סיווג התפקידים והעלויות'!$B$23:$C$32,2,0),"תקין","לא תקין"),""))</f>
        <v/>
      </c>
      <c r="R801" s="199" t="str">
        <f t="shared" si="187"/>
        <v/>
      </c>
      <c r="S801" s="199" t="str">
        <f t="shared" si="188"/>
        <v/>
      </c>
      <c r="T801" s="199" t="str">
        <f t="shared" si="196"/>
        <v/>
      </c>
      <c r="U801" s="199" t="str">
        <f t="shared" si="189"/>
        <v/>
      </c>
      <c r="V801" s="989"/>
      <c r="X801" s="374" t="str">
        <f t="shared" si="190"/>
        <v/>
      </c>
      <c r="Y801" s="375" t="str">
        <f t="shared" si="191"/>
        <v/>
      </c>
      <c r="Z801" s="374" t="str">
        <f t="shared" si="192"/>
        <v/>
      </c>
      <c r="AA801" s="374" t="b">
        <f t="shared" si="193"/>
        <v>1</v>
      </c>
      <c r="AB801" s="374">
        <f>COUNTIFS(B:B,B801,H:H,'סיווג התפקידים והעלויות'!$C$2)</f>
        <v>0</v>
      </c>
      <c r="AC801" s="374">
        <f>COUNTIFS(B:B,B801,H:H,'סיווג התפקידים והעלויות'!$D$2)</f>
        <v>0</v>
      </c>
      <c r="AD801" s="374" t="str">
        <f>IF(OR(AND(H801='סיווג התפקידים והעלויות'!$A$2,I801='סיווג התפקידים והעלויות'!$A$3),'עלויות כח אדם (6)'!H801='סיווג התפקידים והעלויות'!$C$2,'עלויות כח אדם (6)'!H801='סיווג התפקידים והעלויות'!$D$2),IF('עלויות כח אדם (6)'!J801&lt;75,"לא תקין","תקין"),"")</f>
        <v/>
      </c>
      <c r="AE801" s="374" t="str">
        <f t="shared" si="194"/>
        <v/>
      </c>
      <c r="AF801" s="532" t="str">
        <f t="shared" si="195"/>
        <v/>
      </c>
    </row>
    <row r="802" spans="2:32" x14ac:dyDescent="0.25">
      <c r="B802" s="695"/>
      <c r="C802" s="197" t="str">
        <f>IF(B802&lt;&gt;"",IFERROR(VLOOKUP(B:B,'מצבת והרשמה (2)'!$C$20:$N$520,2,0)," ")," ")</f>
        <v xml:space="preserve"> </v>
      </c>
      <c r="D802" s="695"/>
      <c r="E802" s="696"/>
      <c r="F802" s="696"/>
      <c r="G802" s="696"/>
      <c r="H802" s="696"/>
      <c r="I802" s="1050" t="str">
        <f t="shared" si="182"/>
        <v/>
      </c>
      <c r="J802" s="696"/>
      <c r="K802" s="697"/>
      <c r="L802" s="696"/>
      <c r="M802" s="198" t="str">
        <f t="shared" si="183"/>
        <v/>
      </c>
      <c r="N802" s="369" t="str">
        <f t="shared" si="184"/>
        <v/>
      </c>
      <c r="O802" s="183" t="str">
        <f t="shared" si="185"/>
        <v/>
      </c>
      <c r="P802" s="199" t="str">
        <f t="shared" si="186"/>
        <v/>
      </c>
      <c r="Q802" s="199" t="str">
        <f>IF(B802="","",IFERROR(IF('עלויות כח אדם (6)'!J802&gt;=VLOOKUP(I802,'סיווג התפקידים והעלויות'!$B$23:$C$32,2,0),"תקין","לא תקין"),""))</f>
        <v/>
      </c>
      <c r="R802" s="199" t="str">
        <f t="shared" si="187"/>
        <v/>
      </c>
      <c r="S802" s="199" t="str">
        <f t="shared" si="188"/>
        <v/>
      </c>
      <c r="T802" s="199" t="str">
        <f t="shared" si="196"/>
        <v/>
      </c>
      <c r="U802" s="199" t="str">
        <f t="shared" si="189"/>
        <v/>
      </c>
      <c r="V802" s="989"/>
      <c r="X802" s="374" t="str">
        <f t="shared" si="190"/>
        <v/>
      </c>
      <c r="Y802" s="375" t="str">
        <f t="shared" si="191"/>
        <v/>
      </c>
      <c r="Z802" s="374" t="str">
        <f t="shared" si="192"/>
        <v/>
      </c>
      <c r="AA802" s="374" t="b">
        <f t="shared" si="193"/>
        <v>1</v>
      </c>
      <c r="AB802" s="374">
        <f>COUNTIFS(B:B,B802,H:H,'סיווג התפקידים והעלויות'!$C$2)</f>
        <v>0</v>
      </c>
      <c r="AC802" s="374">
        <f>COUNTIFS(B:B,B802,H:H,'סיווג התפקידים והעלויות'!$D$2)</f>
        <v>0</v>
      </c>
      <c r="AD802" s="374" t="str">
        <f>IF(OR(AND(H802='סיווג התפקידים והעלויות'!$A$2,I802='סיווג התפקידים והעלויות'!$A$3),'עלויות כח אדם (6)'!H802='סיווג התפקידים והעלויות'!$C$2,'עלויות כח אדם (6)'!H802='סיווג התפקידים והעלויות'!$D$2),IF('עלויות כח אדם (6)'!J802&lt;75,"לא תקין","תקין"),"")</f>
        <v/>
      </c>
      <c r="AE802" s="374" t="str">
        <f t="shared" si="194"/>
        <v/>
      </c>
      <c r="AF802" s="532" t="str">
        <f t="shared" si="195"/>
        <v/>
      </c>
    </row>
    <row r="803" spans="2:32" x14ac:dyDescent="0.25">
      <c r="B803" s="695"/>
      <c r="C803" s="197" t="str">
        <f>IF(B803&lt;&gt;"",IFERROR(VLOOKUP(B:B,'מצבת והרשמה (2)'!$C$20:$N$520,2,0)," ")," ")</f>
        <v xml:space="preserve"> </v>
      </c>
      <c r="D803" s="695"/>
      <c r="E803" s="696"/>
      <c r="F803" s="696"/>
      <c r="G803" s="696"/>
      <c r="H803" s="696"/>
      <c r="I803" s="1050" t="str">
        <f t="shared" si="182"/>
        <v/>
      </c>
      <c r="J803" s="696"/>
      <c r="K803" s="697"/>
      <c r="L803" s="696"/>
      <c r="M803" s="198" t="str">
        <f t="shared" si="183"/>
        <v/>
      </c>
      <c r="N803" s="369" t="str">
        <f t="shared" si="184"/>
        <v/>
      </c>
      <c r="O803" s="183" t="str">
        <f t="shared" si="185"/>
        <v/>
      </c>
      <c r="P803" s="199" t="str">
        <f t="shared" si="186"/>
        <v/>
      </c>
      <c r="Q803" s="199" t="str">
        <f>IF(B803="","",IFERROR(IF('עלויות כח אדם (6)'!J803&gt;=VLOOKUP(I803,'סיווג התפקידים והעלויות'!$B$23:$C$32,2,0),"תקין","לא תקין"),""))</f>
        <v/>
      </c>
      <c r="R803" s="199" t="str">
        <f t="shared" si="187"/>
        <v/>
      </c>
      <c r="S803" s="199" t="str">
        <f t="shared" si="188"/>
        <v/>
      </c>
      <c r="T803" s="199" t="str">
        <f t="shared" si="196"/>
        <v/>
      </c>
      <c r="U803" s="199" t="str">
        <f t="shared" si="189"/>
        <v/>
      </c>
      <c r="V803" s="989"/>
      <c r="X803" s="374" t="str">
        <f t="shared" si="190"/>
        <v/>
      </c>
      <c r="Y803" s="375" t="str">
        <f t="shared" si="191"/>
        <v/>
      </c>
      <c r="Z803" s="374" t="str">
        <f t="shared" si="192"/>
        <v/>
      </c>
      <c r="AA803" s="374" t="b">
        <f t="shared" si="193"/>
        <v>1</v>
      </c>
      <c r="AB803" s="374">
        <f>COUNTIFS(B:B,B803,H:H,'סיווג התפקידים והעלויות'!$C$2)</f>
        <v>0</v>
      </c>
      <c r="AC803" s="374">
        <f>COUNTIFS(B:B,B803,H:H,'סיווג התפקידים והעלויות'!$D$2)</f>
        <v>0</v>
      </c>
      <c r="AD803" s="374" t="str">
        <f>IF(OR(AND(H803='סיווג התפקידים והעלויות'!$A$2,I803='סיווג התפקידים והעלויות'!$A$3),'עלויות כח אדם (6)'!H803='סיווג התפקידים והעלויות'!$C$2,'עלויות כח אדם (6)'!H803='סיווג התפקידים והעלויות'!$D$2),IF('עלויות כח אדם (6)'!J803&lt;75,"לא תקין","תקין"),"")</f>
        <v/>
      </c>
      <c r="AE803" s="374" t="str">
        <f t="shared" si="194"/>
        <v/>
      </c>
      <c r="AF803" s="532" t="str">
        <f t="shared" si="195"/>
        <v/>
      </c>
    </row>
    <row r="804" spans="2:32" x14ac:dyDescent="0.25">
      <c r="B804" s="695"/>
      <c r="C804" s="197" t="str">
        <f>IF(B804&lt;&gt;"",IFERROR(VLOOKUP(B:B,'מצבת והרשמה (2)'!$C$20:$N$520,2,0)," ")," ")</f>
        <v xml:space="preserve"> </v>
      </c>
      <c r="D804" s="695"/>
      <c r="E804" s="696"/>
      <c r="F804" s="696"/>
      <c r="G804" s="696"/>
      <c r="H804" s="696"/>
      <c r="I804" s="1050" t="str">
        <f t="shared" si="182"/>
        <v/>
      </c>
      <c r="J804" s="696"/>
      <c r="K804" s="697"/>
      <c r="L804" s="696"/>
      <c r="M804" s="198" t="str">
        <f t="shared" si="183"/>
        <v/>
      </c>
      <c r="N804" s="369" t="str">
        <f t="shared" si="184"/>
        <v/>
      </c>
      <c r="O804" s="183" t="str">
        <f t="shared" si="185"/>
        <v/>
      </c>
      <c r="P804" s="199" t="str">
        <f t="shared" si="186"/>
        <v/>
      </c>
      <c r="Q804" s="199" t="str">
        <f>IF(B804="","",IFERROR(IF('עלויות כח אדם (6)'!J804&gt;=VLOOKUP(I804,'סיווג התפקידים והעלויות'!$B$23:$C$32,2,0),"תקין","לא תקין"),""))</f>
        <v/>
      </c>
      <c r="R804" s="199" t="str">
        <f t="shared" si="187"/>
        <v/>
      </c>
      <c r="S804" s="199" t="str">
        <f t="shared" si="188"/>
        <v/>
      </c>
      <c r="T804" s="199" t="str">
        <f t="shared" si="196"/>
        <v/>
      </c>
      <c r="U804" s="199" t="str">
        <f t="shared" si="189"/>
        <v/>
      </c>
      <c r="V804" s="989"/>
      <c r="X804" s="374" t="str">
        <f t="shared" si="190"/>
        <v/>
      </c>
      <c r="Y804" s="375" t="str">
        <f t="shared" si="191"/>
        <v/>
      </c>
      <c r="Z804" s="374" t="str">
        <f t="shared" si="192"/>
        <v/>
      </c>
      <c r="AA804" s="374" t="b">
        <f t="shared" si="193"/>
        <v>1</v>
      </c>
      <c r="AB804" s="374">
        <f>COUNTIFS(B:B,B804,H:H,'סיווג התפקידים והעלויות'!$C$2)</f>
        <v>0</v>
      </c>
      <c r="AC804" s="374">
        <f>COUNTIFS(B:B,B804,H:H,'סיווג התפקידים והעלויות'!$D$2)</f>
        <v>0</v>
      </c>
      <c r="AD804" s="374" t="str">
        <f>IF(OR(AND(H804='סיווג התפקידים והעלויות'!$A$2,I804='סיווג התפקידים והעלויות'!$A$3),'עלויות כח אדם (6)'!H804='סיווג התפקידים והעלויות'!$C$2,'עלויות כח אדם (6)'!H804='סיווג התפקידים והעלויות'!$D$2),IF('עלויות כח אדם (6)'!J804&lt;75,"לא תקין","תקין"),"")</f>
        <v/>
      </c>
      <c r="AE804" s="374" t="str">
        <f t="shared" si="194"/>
        <v/>
      </c>
      <c r="AF804" s="532" t="str">
        <f t="shared" si="195"/>
        <v/>
      </c>
    </row>
    <row r="805" spans="2:32" x14ac:dyDescent="0.25">
      <c r="B805" s="695"/>
      <c r="C805" s="197" t="str">
        <f>IF(B805&lt;&gt;"",IFERROR(VLOOKUP(B:B,'מצבת והרשמה (2)'!$C$20:$N$520,2,0)," ")," ")</f>
        <v xml:space="preserve"> </v>
      </c>
      <c r="D805" s="695"/>
      <c r="E805" s="696"/>
      <c r="F805" s="696"/>
      <c r="G805" s="696"/>
      <c r="H805" s="696"/>
      <c r="I805" s="1050" t="str">
        <f t="shared" si="182"/>
        <v/>
      </c>
      <c r="J805" s="696"/>
      <c r="K805" s="697"/>
      <c r="L805" s="696"/>
      <c r="M805" s="198" t="str">
        <f t="shared" si="183"/>
        <v/>
      </c>
      <c r="N805" s="369" t="str">
        <f t="shared" si="184"/>
        <v/>
      </c>
      <c r="O805" s="183" t="str">
        <f t="shared" si="185"/>
        <v/>
      </c>
      <c r="P805" s="199" t="str">
        <f t="shared" si="186"/>
        <v/>
      </c>
      <c r="Q805" s="199" t="str">
        <f>IF(B805="","",IFERROR(IF('עלויות כח אדם (6)'!J805&gt;=VLOOKUP(I805,'סיווג התפקידים והעלויות'!$B$23:$C$32,2,0),"תקין","לא תקין"),""))</f>
        <v/>
      </c>
      <c r="R805" s="199" t="str">
        <f t="shared" si="187"/>
        <v/>
      </c>
      <c r="S805" s="199" t="str">
        <f t="shared" si="188"/>
        <v/>
      </c>
      <c r="T805" s="199" t="str">
        <f t="shared" si="196"/>
        <v/>
      </c>
      <c r="U805" s="199" t="str">
        <f t="shared" si="189"/>
        <v/>
      </c>
      <c r="V805" s="989"/>
      <c r="X805" s="374" t="str">
        <f t="shared" si="190"/>
        <v/>
      </c>
      <c r="Y805" s="375" t="str">
        <f t="shared" si="191"/>
        <v/>
      </c>
      <c r="Z805" s="374" t="str">
        <f t="shared" si="192"/>
        <v/>
      </c>
      <c r="AA805" s="374" t="b">
        <f t="shared" si="193"/>
        <v>1</v>
      </c>
      <c r="AB805" s="374">
        <f>COUNTIFS(B:B,B805,H:H,'סיווג התפקידים והעלויות'!$C$2)</f>
        <v>0</v>
      </c>
      <c r="AC805" s="374">
        <f>COUNTIFS(B:B,B805,H:H,'סיווג התפקידים והעלויות'!$D$2)</f>
        <v>0</v>
      </c>
      <c r="AD805" s="374" t="str">
        <f>IF(OR(AND(H805='סיווג התפקידים והעלויות'!$A$2,I805='סיווג התפקידים והעלויות'!$A$3),'עלויות כח אדם (6)'!H805='סיווג התפקידים והעלויות'!$C$2,'עלויות כח אדם (6)'!H805='סיווג התפקידים והעלויות'!$D$2),IF('עלויות כח אדם (6)'!J805&lt;75,"לא תקין","תקין"),"")</f>
        <v/>
      </c>
      <c r="AE805" s="374" t="str">
        <f t="shared" si="194"/>
        <v/>
      </c>
      <c r="AF805" s="532" t="str">
        <f t="shared" si="195"/>
        <v/>
      </c>
    </row>
    <row r="806" spans="2:32" x14ac:dyDescent="0.25">
      <c r="B806" s="695"/>
      <c r="C806" s="197" t="str">
        <f>IF(B806&lt;&gt;"",IFERROR(VLOOKUP(B:B,'מצבת והרשמה (2)'!$C$20:$N$520,2,0)," ")," ")</f>
        <v xml:space="preserve"> </v>
      </c>
      <c r="D806" s="695"/>
      <c r="E806" s="696"/>
      <c r="F806" s="696"/>
      <c r="G806" s="696"/>
      <c r="H806" s="696"/>
      <c r="I806" s="1050" t="str">
        <f t="shared" si="182"/>
        <v/>
      </c>
      <c r="J806" s="696"/>
      <c r="K806" s="697"/>
      <c r="L806" s="696"/>
      <c r="M806" s="198" t="str">
        <f t="shared" si="183"/>
        <v/>
      </c>
      <c r="N806" s="369" t="str">
        <f t="shared" si="184"/>
        <v/>
      </c>
      <c r="O806" s="183" t="str">
        <f t="shared" si="185"/>
        <v/>
      </c>
      <c r="P806" s="199" t="str">
        <f t="shared" si="186"/>
        <v/>
      </c>
      <c r="Q806" s="199" t="str">
        <f>IF(B806="","",IFERROR(IF('עלויות כח אדם (6)'!J806&gt;=VLOOKUP(I806,'סיווג התפקידים והעלויות'!$B$23:$C$32,2,0),"תקין","לא תקין"),""))</f>
        <v/>
      </c>
      <c r="R806" s="199" t="str">
        <f t="shared" si="187"/>
        <v/>
      </c>
      <c r="S806" s="199" t="str">
        <f t="shared" si="188"/>
        <v/>
      </c>
      <c r="T806" s="199" t="str">
        <f t="shared" si="196"/>
        <v/>
      </c>
      <c r="U806" s="199" t="str">
        <f t="shared" si="189"/>
        <v/>
      </c>
      <c r="V806" s="989"/>
      <c r="X806" s="374" t="str">
        <f t="shared" si="190"/>
        <v/>
      </c>
      <c r="Y806" s="375" t="str">
        <f t="shared" si="191"/>
        <v/>
      </c>
      <c r="Z806" s="374" t="str">
        <f t="shared" si="192"/>
        <v/>
      </c>
      <c r="AA806" s="374" t="b">
        <f t="shared" si="193"/>
        <v>1</v>
      </c>
      <c r="AB806" s="374">
        <f>COUNTIFS(B:B,B806,H:H,'סיווג התפקידים והעלויות'!$C$2)</f>
        <v>0</v>
      </c>
      <c r="AC806" s="374">
        <f>COUNTIFS(B:B,B806,H:H,'סיווג התפקידים והעלויות'!$D$2)</f>
        <v>0</v>
      </c>
      <c r="AD806" s="374" t="str">
        <f>IF(OR(AND(H806='סיווג התפקידים והעלויות'!$A$2,I806='סיווג התפקידים והעלויות'!$A$3),'עלויות כח אדם (6)'!H806='סיווג התפקידים והעלויות'!$C$2,'עלויות כח אדם (6)'!H806='סיווג התפקידים והעלויות'!$D$2),IF('עלויות כח אדם (6)'!J806&lt;75,"לא תקין","תקין"),"")</f>
        <v/>
      </c>
      <c r="AE806" s="374" t="str">
        <f t="shared" si="194"/>
        <v/>
      </c>
      <c r="AF806" s="532" t="str">
        <f t="shared" si="195"/>
        <v/>
      </c>
    </row>
    <row r="807" spans="2:32" x14ac:dyDescent="0.25">
      <c r="B807" s="695"/>
      <c r="C807" s="197" t="str">
        <f>IF(B807&lt;&gt;"",IFERROR(VLOOKUP(B:B,'מצבת והרשמה (2)'!$C$20:$N$520,2,0)," ")," ")</f>
        <v xml:space="preserve"> </v>
      </c>
      <c r="D807" s="695"/>
      <c r="E807" s="696"/>
      <c r="F807" s="696"/>
      <c r="G807" s="696"/>
      <c r="H807" s="696"/>
      <c r="I807" s="1050" t="str">
        <f t="shared" si="182"/>
        <v/>
      </c>
      <c r="J807" s="696"/>
      <c r="K807" s="697"/>
      <c r="L807" s="696"/>
      <c r="M807" s="198" t="str">
        <f t="shared" si="183"/>
        <v/>
      </c>
      <c r="N807" s="369" t="str">
        <f t="shared" si="184"/>
        <v/>
      </c>
      <c r="O807" s="183" t="str">
        <f t="shared" si="185"/>
        <v/>
      </c>
      <c r="P807" s="199" t="str">
        <f t="shared" si="186"/>
        <v/>
      </c>
      <c r="Q807" s="199" t="str">
        <f>IF(B807="","",IFERROR(IF('עלויות כח אדם (6)'!J807&gt;=VLOOKUP(I807,'סיווג התפקידים והעלויות'!$B$23:$C$32,2,0),"תקין","לא תקין"),""))</f>
        <v/>
      </c>
      <c r="R807" s="199" t="str">
        <f t="shared" si="187"/>
        <v/>
      </c>
      <c r="S807" s="199" t="str">
        <f t="shared" si="188"/>
        <v/>
      </c>
      <c r="T807" s="199" t="str">
        <f t="shared" si="196"/>
        <v/>
      </c>
      <c r="U807" s="199" t="str">
        <f t="shared" si="189"/>
        <v/>
      </c>
      <c r="V807" s="989"/>
      <c r="X807" s="374" t="str">
        <f t="shared" si="190"/>
        <v/>
      </c>
      <c r="Y807" s="375" t="str">
        <f t="shared" si="191"/>
        <v/>
      </c>
      <c r="Z807" s="374" t="str">
        <f t="shared" si="192"/>
        <v/>
      </c>
      <c r="AA807" s="374" t="b">
        <f t="shared" si="193"/>
        <v>1</v>
      </c>
      <c r="AB807" s="374">
        <f>COUNTIFS(B:B,B807,H:H,'סיווג התפקידים והעלויות'!$C$2)</f>
        <v>0</v>
      </c>
      <c r="AC807" s="374">
        <f>COUNTIFS(B:B,B807,H:H,'סיווג התפקידים והעלויות'!$D$2)</f>
        <v>0</v>
      </c>
      <c r="AD807" s="374" t="str">
        <f>IF(OR(AND(H807='סיווג התפקידים והעלויות'!$A$2,I807='סיווג התפקידים והעלויות'!$A$3),'עלויות כח אדם (6)'!H807='סיווג התפקידים והעלויות'!$C$2,'עלויות כח אדם (6)'!H807='סיווג התפקידים והעלויות'!$D$2),IF('עלויות כח אדם (6)'!J807&lt;75,"לא תקין","תקין"),"")</f>
        <v/>
      </c>
      <c r="AE807" s="374" t="str">
        <f t="shared" si="194"/>
        <v/>
      </c>
      <c r="AF807" s="532" t="str">
        <f t="shared" si="195"/>
        <v/>
      </c>
    </row>
    <row r="808" spans="2:32" x14ac:dyDescent="0.25">
      <c r="B808" s="695"/>
      <c r="C808" s="197" t="str">
        <f>IF(B808&lt;&gt;"",IFERROR(VLOOKUP(B:B,'מצבת והרשמה (2)'!$C$20:$N$520,2,0)," ")," ")</f>
        <v xml:space="preserve"> </v>
      </c>
      <c r="D808" s="695"/>
      <c r="E808" s="696"/>
      <c r="F808" s="696"/>
      <c r="G808" s="696"/>
      <c r="H808" s="696"/>
      <c r="I808" s="1050" t="str">
        <f t="shared" si="182"/>
        <v/>
      </c>
      <c r="J808" s="696"/>
      <c r="K808" s="697"/>
      <c r="L808" s="696"/>
      <c r="M808" s="198" t="str">
        <f t="shared" si="183"/>
        <v/>
      </c>
      <c r="N808" s="369" t="str">
        <f t="shared" si="184"/>
        <v/>
      </c>
      <c r="O808" s="183" t="str">
        <f t="shared" si="185"/>
        <v/>
      </c>
      <c r="P808" s="199" t="str">
        <f t="shared" si="186"/>
        <v/>
      </c>
      <c r="Q808" s="199" t="str">
        <f>IF(B808="","",IFERROR(IF('עלויות כח אדם (6)'!J808&gt;=VLOOKUP(I808,'סיווג התפקידים והעלויות'!$B$23:$C$32,2,0),"תקין","לא תקין"),""))</f>
        <v/>
      </c>
      <c r="R808" s="199" t="str">
        <f t="shared" si="187"/>
        <v/>
      </c>
      <c r="S808" s="199" t="str">
        <f t="shared" si="188"/>
        <v/>
      </c>
      <c r="T808" s="199" t="str">
        <f t="shared" si="196"/>
        <v/>
      </c>
      <c r="U808" s="199" t="str">
        <f t="shared" si="189"/>
        <v/>
      </c>
      <c r="V808" s="989"/>
      <c r="X808" s="374" t="str">
        <f t="shared" si="190"/>
        <v/>
      </c>
      <c r="Y808" s="375" t="str">
        <f t="shared" si="191"/>
        <v/>
      </c>
      <c r="Z808" s="374" t="str">
        <f t="shared" si="192"/>
        <v/>
      </c>
      <c r="AA808" s="374" t="b">
        <f t="shared" si="193"/>
        <v>1</v>
      </c>
      <c r="AB808" s="374">
        <f>COUNTIFS(B:B,B808,H:H,'סיווג התפקידים והעלויות'!$C$2)</f>
        <v>0</v>
      </c>
      <c r="AC808" s="374">
        <f>COUNTIFS(B:B,B808,H:H,'סיווג התפקידים והעלויות'!$D$2)</f>
        <v>0</v>
      </c>
      <c r="AD808" s="374" t="str">
        <f>IF(OR(AND(H808='סיווג התפקידים והעלויות'!$A$2,I808='סיווג התפקידים והעלויות'!$A$3),'עלויות כח אדם (6)'!H808='סיווג התפקידים והעלויות'!$C$2,'עלויות כח אדם (6)'!H808='סיווג התפקידים והעלויות'!$D$2),IF('עלויות כח אדם (6)'!J808&lt;75,"לא תקין","תקין"),"")</f>
        <v/>
      </c>
      <c r="AE808" s="374" t="str">
        <f t="shared" si="194"/>
        <v/>
      </c>
      <c r="AF808" s="532" t="str">
        <f t="shared" si="195"/>
        <v/>
      </c>
    </row>
    <row r="809" spans="2:32" x14ac:dyDescent="0.25">
      <c r="B809" s="695"/>
      <c r="C809" s="197" t="str">
        <f>IF(B809&lt;&gt;"",IFERROR(VLOOKUP(B:B,'מצבת והרשמה (2)'!$C$20:$N$520,2,0)," ")," ")</f>
        <v xml:space="preserve"> </v>
      </c>
      <c r="D809" s="695"/>
      <c r="E809" s="696"/>
      <c r="F809" s="696"/>
      <c r="G809" s="696"/>
      <c r="H809" s="696"/>
      <c r="I809" s="1050" t="str">
        <f t="shared" si="182"/>
        <v/>
      </c>
      <c r="J809" s="696"/>
      <c r="K809" s="697"/>
      <c r="L809" s="696"/>
      <c r="M809" s="198" t="str">
        <f t="shared" si="183"/>
        <v/>
      </c>
      <c r="N809" s="369" t="str">
        <f t="shared" si="184"/>
        <v/>
      </c>
      <c r="O809" s="183" t="str">
        <f t="shared" si="185"/>
        <v/>
      </c>
      <c r="P809" s="199" t="str">
        <f t="shared" si="186"/>
        <v/>
      </c>
      <c r="Q809" s="199" t="str">
        <f>IF(B809="","",IFERROR(IF('עלויות כח אדם (6)'!J809&gt;=VLOOKUP(I809,'סיווג התפקידים והעלויות'!$B$23:$C$32,2,0),"תקין","לא תקין"),""))</f>
        <v/>
      </c>
      <c r="R809" s="199" t="str">
        <f t="shared" si="187"/>
        <v/>
      </c>
      <c r="S809" s="199" t="str">
        <f t="shared" si="188"/>
        <v/>
      </c>
      <c r="T809" s="199" t="str">
        <f t="shared" si="196"/>
        <v/>
      </c>
      <c r="U809" s="199" t="str">
        <f t="shared" si="189"/>
        <v/>
      </c>
      <c r="V809" s="989"/>
      <c r="X809" s="374" t="str">
        <f t="shared" si="190"/>
        <v/>
      </c>
      <c r="Y809" s="375" t="str">
        <f t="shared" si="191"/>
        <v/>
      </c>
      <c r="Z809" s="374" t="str">
        <f t="shared" si="192"/>
        <v/>
      </c>
      <c r="AA809" s="374" t="b">
        <f t="shared" si="193"/>
        <v>1</v>
      </c>
      <c r="AB809" s="374">
        <f>COUNTIFS(B:B,B809,H:H,'סיווג התפקידים והעלויות'!$C$2)</f>
        <v>0</v>
      </c>
      <c r="AC809" s="374">
        <f>COUNTIFS(B:B,B809,H:H,'סיווג התפקידים והעלויות'!$D$2)</f>
        <v>0</v>
      </c>
      <c r="AD809" s="374" t="str">
        <f>IF(OR(AND(H809='סיווג התפקידים והעלויות'!$A$2,I809='סיווג התפקידים והעלויות'!$A$3),'עלויות כח אדם (6)'!H809='סיווג התפקידים והעלויות'!$C$2,'עלויות כח אדם (6)'!H809='סיווג התפקידים והעלויות'!$D$2),IF('עלויות כח אדם (6)'!J809&lt;75,"לא תקין","תקין"),"")</f>
        <v/>
      </c>
      <c r="AE809" s="374" t="str">
        <f t="shared" si="194"/>
        <v/>
      </c>
      <c r="AF809" s="532" t="str">
        <f t="shared" si="195"/>
        <v/>
      </c>
    </row>
    <row r="810" spans="2:32" x14ac:dyDescent="0.25">
      <c r="B810" s="695"/>
      <c r="C810" s="197" t="str">
        <f>IF(B810&lt;&gt;"",IFERROR(VLOOKUP(B:B,'מצבת והרשמה (2)'!$C$20:$N$520,2,0)," ")," ")</f>
        <v xml:space="preserve"> </v>
      </c>
      <c r="D810" s="695"/>
      <c r="E810" s="696"/>
      <c r="F810" s="696"/>
      <c r="G810" s="696"/>
      <c r="H810" s="696"/>
      <c r="I810" s="1050" t="str">
        <f t="shared" si="182"/>
        <v/>
      </c>
      <c r="J810" s="696"/>
      <c r="K810" s="697"/>
      <c r="L810" s="696"/>
      <c r="M810" s="198" t="str">
        <f t="shared" si="183"/>
        <v/>
      </c>
      <c r="N810" s="369" t="str">
        <f t="shared" si="184"/>
        <v/>
      </c>
      <c r="O810" s="183" t="str">
        <f t="shared" si="185"/>
        <v/>
      </c>
      <c r="P810" s="199" t="str">
        <f t="shared" si="186"/>
        <v/>
      </c>
      <c r="Q810" s="199" t="str">
        <f>IF(B810="","",IFERROR(IF('עלויות כח אדם (6)'!J810&gt;=VLOOKUP(I810,'סיווג התפקידים והעלויות'!$B$23:$C$32,2,0),"תקין","לא תקין"),""))</f>
        <v/>
      </c>
      <c r="R810" s="199" t="str">
        <f t="shared" si="187"/>
        <v/>
      </c>
      <c r="S810" s="199" t="str">
        <f t="shared" si="188"/>
        <v/>
      </c>
      <c r="T810" s="199" t="str">
        <f t="shared" si="196"/>
        <v/>
      </c>
      <c r="U810" s="199" t="str">
        <f t="shared" si="189"/>
        <v/>
      </c>
      <c r="V810" s="989"/>
      <c r="X810" s="374" t="str">
        <f t="shared" si="190"/>
        <v/>
      </c>
      <c r="Y810" s="375" t="str">
        <f t="shared" si="191"/>
        <v/>
      </c>
      <c r="Z810" s="374" t="str">
        <f t="shared" si="192"/>
        <v/>
      </c>
      <c r="AA810" s="374" t="b">
        <f t="shared" si="193"/>
        <v>1</v>
      </c>
      <c r="AB810" s="374">
        <f>COUNTIFS(B:B,B810,H:H,'סיווג התפקידים והעלויות'!$C$2)</f>
        <v>0</v>
      </c>
      <c r="AC810" s="374">
        <f>COUNTIFS(B:B,B810,H:H,'סיווג התפקידים והעלויות'!$D$2)</f>
        <v>0</v>
      </c>
      <c r="AD810" s="374" t="str">
        <f>IF(OR(AND(H810='סיווג התפקידים והעלויות'!$A$2,I810='סיווג התפקידים והעלויות'!$A$3),'עלויות כח אדם (6)'!H810='סיווג התפקידים והעלויות'!$C$2,'עלויות כח אדם (6)'!H810='סיווג התפקידים והעלויות'!$D$2),IF('עלויות כח אדם (6)'!J810&lt;75,"לא תקין","תקין"),"")</f>
        <v/>
      </c>
      <c r="AE810" s="374" t="str">
        <f t="shared" si="194"/>
        <v/>
      </c>
      <c r="AF810" s="532" t="str">
        <f t="shared" si="195"/>
        <v/>
      </c>
    </row>
    <row r="811" spans="2:32" x14ac:dyDescent="0.25">
      <c r="B811" s="695"/>
      <c r="C811" s="197" t="str">
        <f>IF(B811&lt;&gt;"",IFERROR(VLOOKUP(B:B,'מצבת והרשמה (2)'!$C$20:$N$520,2,0)," ")," ")</f>
        <v xml:space="preserve"> </v>
      </c>
      <c r="D811" s="695"/>
      <c r="E811" s="696"/>
      <c r="F811" s="696"/>
      <c r="G811" s="696"/>
      <c r="H811" s="696"/>
      <c r="I811" s="1050" t="str">
        <f t="shared" si="182"/>
        <v/>
      </c>
      <c r="J811" s="696"/>
      <c r="K811" s="697"/>
      <c r="L811" s="696"/>
      <c r="M811" s="198" t="str">
        <f t="shared" si="183"/>
        <v/>
      </c>
      <c r="N811" s="369" t="str">
        <f t="shared" si="184"/>
        <v/>
      </c>
      <c r="O811" s="183" t="str">
        <f t="shared" si="185"/>
        <v/>
      </c>
      <c r="P811" s="199" t="str">
        <f t="shared" si="186"/>
        <v/>
      </c>
      <c r="Q811" s="199" t="str">
        <f>IF(B811="","",IFERROR(IF('עלויות כח אדם (6)'!J811&gt;=VLOOKUP(I811,'סיווג התפקידים והעלויות'!$B$23:$C$32,2,0),"תקין","לא תקין"),""))</f>
        <v/>
      </c>
      <c r="R811" s="199" t="str">
        <f t="shared" si="187"/>
        <v/>
      </c>
      <c r="S811" s="199" t="str">
        <f t="shared" si="188"/>
        <v/>
      </c>
      <c r="T811" s="199" t="str">
        <f t="shared" si="196"/>
        <v/>
      </c>
      <c r="U811" s="199" t="str">
        <f t="shared" si="189"/>
        <v/>
      </c>
      <c r="V811" s="989"/>
      <c r="X811" s="374" t="str">
        <f t="shared" si="190"/>
        <v/>
      </c>
      <c r="Y811" s="375" t="str">
        <f t="shared" si="191"/>
        <v/>
      </c>
      <c r="Z811" s="374" t="str">
        <f t="shared" si="192"/>
        <v/>
      </c>
      <c r="AA811" s="374" t="b">
        <f t="shared" si="193"/>
        <v>1</v>
      </c>
      <c r="AB811" s="374">
        <f>COUNTIFS(B:B,B811,H:H,'סיווג התפקידים והעלויות'!$C$2)</f>
        <v>0</v>
      </c>
      <c r="AC811" s="374">
        <f>COUNTIFS(B:B,B811,H:H,'סיווג התפקידים והעלויות'!$D$2)</f>
        <v>0</v>
      </c>
      <c r="AD811" s="374" t="str">
        <f>IF(OR(AND(H811='סיווג התפקידים והעלויות'!$A$2,I811='סיווג התפקידים והעלויות'!$A$3),'עלויות כח אדם (6)'!H811='סיווג התפקידים והעלויות'!$C$2,'עלויות כח אדם (6)'!H811='סיווג התפקידים והעלויות'!$D$2),IF('עלויות כח אדם (6)'!J811&lt;75,"לא תקין","תקין"),"")</f>
        <v/>
      </c>
      <c r="AE811" s="374" t="str">
        <f t="shared" si="194"/>
        <v/>
      </c>
      <c r="AF811" s="532" t="str">
        <f t="shared" si="195"/>
        <v/>
      </c>
    </row>
    <row r="812" spans="2:32" x14ac:dyDescent="0.25">
      <c r="B812" s="695"/>
      <c r="C812" s="197" t="str">
        <f>IF(B812&lt;&gt;"",IFERROR(VLOOKUP(B:B,'מצבת והרשמה (2)'!$C$20:$N$520,2,0)," ")," ")</f>
        <v xml:space="preserve"> </v>
      </c>
      <c r="D812" s="695"/>
      <c r="E812" s="696"/>
      <c r="F812" s="696"/>
      <c r="G812" s="696"/>
      <c r="H812" s="696"/>
      <c r="I812" s="1050" t="str">
        <f t="shared" si="182"/>
        <v/>
      </c>
      <c r="J812" s="696"/>
      <c r="K812" s="697"/>
      <c r="L812" s="696"/>
      <c r="M812" s="198" t="str">
        <f t="shared" si="183"/>
        <v/>
      </c>
      <c r="N812" s="369" t="str">
        <f t="shared" si="184"/>
        <v/>
      </c>
      <c r="O812" s="183" t="str">
        <f t="shared" si="185"/>
        <v/>
      </c>
      <c r="P812" s="199" t="str">
        <f t="shared" si="186"/>
        <v/>
      </c>
      <c r="Q812" s="199" t="str">
        <f>IF(B812="","",IFERROR(IF('עלויות כח אדם (6)'!J812&gt;=VLOOKUP(I812,'סיווג התפקידים והעלויות'!$B$23:$C$32,2,0),"תקין","לא תקין"),""))</f>
        <v/>
      </c>
      <c r="R812" s="199" t="str">
        <f t="shared" si="187"/>
        <v/>
      </c>
      <c r="S812" s="199" t="str">
        <f t="shared" si="188"/>
        <v/>
      </c>
      <c r="T812" s="199" t="str">
        <f t="shared" si="196"/>
        <v/>
      </c>
      <c r="U812" s="199" t="str">
        <f t="shared" si="189"/>
        <v/>
      </c>
      <c r="V812" s="989"/>
      <c r="X812" s="374" t="str">
        <f t="shared" si="190"/>
        <v/>
      </c>
      <c r="Y812" s="375" t="str">
        <f t="shared" si="191"/>
        <v/>
      </c>
      <c r="Z812" s="374" t="str">
        <f t="shared" si="192"/>
        <v/>
      </c>
      <c r="AA812" s="374" t="b">
        <f t="shared" si="193"/>
        <v>1</v>
      </c>
      <c r="AB812" s="374">
        <f>COUNTIFS(B:B,B812,H:H,'סיווג התפקידים והעלויות'!$C$2)</f>
        <v>0</v>
      </c>
      <c r="AC812" s="374">
        <f>COUNTIFS(B:B,B812,H:H,'סיווג התפקידים והעלויות'!$D$2)</f>
        <v>0</v>
      </c>
      <c r="AD812" s="374" t="str">
        <f>IF(OR(AND(H812='סיווג התפקידים והעלויות'!$A$2,I812='סיווג התפקידים והעלויות'!$A$3),'עלויות כח אדם (6)'!H812='סיווג התפקידים והעלויות'!$C$2,'עלויות כח אדם (6)'!H812='סיווג התפקידים והעלויות'!$D$2),IF('עלויות כח אדם (6)'!J812&lt;75,"לא תקין","תקין"),"")</f>
        <v/>
      </c>
      <c r="AE812" s="374" t="str">
        <f t="shared" si="194"/>
        <v/>
      </c>
      <c r="AF812" s="532" t="str">
        <f t="shared" si="195"/>
        <v/>
      </c>
    </row>
    <row r="813" spans="2:32" x14ac:dyDescent="0.25">
      <c r="B813" s="695"/>
      <c r="C813" s="197" t="str">
        <f>IF(B813&lt;&gt;"",IFERROR(VLOOKUP(B:B,'מצבת והרשמה (2)'!$C$20:$N$520,2,0)," ")," ")</f>
        <v xml:space="preserve"> </v>
      </c>
      <c r="D813" s="695"/>
      <c r="E813" s="696"/>
      <c r="F813" s="696"/>
      <c r="G813" s="696"/>
      <c r="H813" s="696"/>
      <c r="I813" s="1050" t="str">
        <f t="shared" si="182"/>
        <v/>
      </c>
      <c r="J813" s="696"/>
      <c r="K813" s="697"/>
      <c r="L813" s="696"/>
      <c r="M813" s="198" t="str">
        <f t="shared" si="183"/>
        <v/>
      </c>
      <c r="N813" s="369" t="str">
        <f t="shared" si="184"/>
        <v/>
      </c>
      <c r="O813" s="183" t="str">
        <f t="shared" si="185"/>
        <v/>
      </c>
      <c r="P813" s="199" t="str">
        <f t="shared" si="186"/>
        <v/>
      </c>
      <c r="Q813" s="199" t="str">
        <f>IF(B813="","",IFERROR(IF('עלויות כח אדם (6)'!J813&gt;=VLOOKUP(I813,'סיווג התפקידים והעלויות'!$B$23:$C$32,2,0),"תקין","לא תקין"),""))</f>
        <v/>
      </c>
      <c r="R813" s="199" t="str">
        <f t="shared" si="187"/>
        <v/>
      </c>
      <c r="S813" s="199" t="str">
        <f t="shared" si="188"/>
        <v/>
      </c>
      <c r="T813" s="199" t="str">
        <f t="shared" si="196"/>
        <v/>
      </c>
      <c r="U813" s="199" t="str">
        <f t="shared" si="189"/>
        <v/>
      </c>
      <c r="V813" s="989"/>
      <c r="X813" s="374" t="str">
        <f t="shared" si="190"/>
        <v/>
      </c>
      <c r="Y813" s="375" t="str">
        <f t="shared" si="191"/>
        <v/>
      </c>
      <c r="Z813" s="374" t="str">
        <f t="shared" si="192"/>
        <v/>
      </c>
      <c r="AA813" s="374" t="b">
        <f t="shared" si="193"/>
        <v>1</v>
      </c>
      <c r="AB813" s="374">
        <f>COUNTIFS(B:B,B813,H:H,'סיווג התפקידים והעלויות'!$C$2)</f>
        <v>0</v>
      </c>
      <c r="AC813" s="374">
        <f>COUNTIFS(B:B,B813,H:H,'סיווג התפקידים והעלויות'!$D$2)</f>
        <v>0</v>
      </c>
      <c r="AD813" s="374" t="str">
        <f>IF(OR(AND(H813='סיווג התפקידים והעלויות'!$A$2,I813='סיווג התפקידים והעלויות'!$A$3),'עלויות כח אדם (6)'!H813='סיווג התפקידים והעלויות'!$C$2,'עלויות כח אדם (6)'!H813='סיווג התפקידים והעלויות'!$D$2),IF('עלויות כח אדם (6)'!J813&lt;75,"לא תקין","תקין"),"")</f>
        <v/>
      </c>
      <c r="AE813" s="374" t="str">
        <f t="shared" si="194"/>
        <v/>
      </c>
      <c r="AF813" s="532" t="str">
        <f t="shared" si="195"/>
        <v/>
      </c>
    </row>
    <row r="814" spans="2:32" x14ac:dyDescent="0.25">
      <c r="B814" s="695"/>
      <c r="C814" s="197" t="str">
        <f>IF(B814&lt;&gt;"",IFERROR(VLOOKUP(B:B,'מצבת והרשמה (2)'!$C$20:$N$520,2,0)," ")," ")</f>
        <v xml:space="preserve"> </v>
      </c>
      <c r="D814" s="695"/>
      <c r="E814" s="696"/>
      <c r="F814" s="696"/>
      <c r="G814" s="696"/>
      <c r="H814" s="696"/>
      <c r="I814" s="1050" t="str">
        <f t="shared" si="182"/>
        <v/>
      </c>
      <c r="J814" s="696"/>
      <c r="K814" s="697"/>
      <c r="L814" s="696"/>
      <c r="M814" s="198" t="str">
        <f t="shared" si="183"/>
        <v/>
      </c>
      <c r="N814" s="369" t="str">
        <f t="shared" si="184"/>
        <v/>
      </c>
      <c r="O814" s="183" t="str">
        <f t="shared" si="185"/>
        <v/>
      </c>
      <c r="P814" s="199" t="str">
        <f t="shared" si="186"/>
        <v/>
      </c>
      <c r="Q814" s="199" t="str">
        <f>IF(B814="","",IFERROR(IF('עלויות כח אדם (6)'!J814&gt;=VLOOKUP(I814,'סיווג התפקידים והעלויות'!$B$23:$C$32,2,0),"תקין","לא תקין"),""))</f>
        <v/>
      </c>
      <c r="R814" s="199" t="str">
        <f t="shared" si="187"/>
        <v/>
      </c>
      <c r="S814" s="199" t="str">
        <f t="shared" si="188"/>
        <v/>
      </c>
      <c r="T814" s="199" t="str">
        <f t="shared" si="196"/>
        <v/>
      </c>
      <c r="U814" s="199" t="str">
        <f t="shared" si="189"/>
        <v/>
      </c>
      <c r="V814" s="989"/>
      <c r="X814" s="374" t="str">
        <f t="shared" si="190"/>
        <v/>
      </c>
      <c r="Y814" s="375" t="str">
        <f t="shared" si="191"/>
        <v/>
      </c>
      <c r="Z814" s="374" t="str">
        <f t="shared" si="192"/>
        <v/>
      </c>
      <c r="AA814" s="374" t="b">
        <f t="shared" si="193"/>
        <v>1</v>
      </c>
      <c r="AB814" s="374">
        <f>COUNTIFS(B:B,B814,H:H,'סיווג התפקידים והעלויות'!$C$2)</f>
        <v>0</v>
      </c>
      <c r="AC814" s="374">
        <f>COUNTIFS(B:B,B814,H:H,'סיווג התפקידים והעלויות'!$D$2)</f>
        <v>0</v>
      </c>
      <c r="AD814" s="374" t="str">
        <f>IF(OR(AND(H814='סיווג התפקידים והעלויות'!$A$2,I814='סיווג התפקידים והעלויות'!$A$3),'עלויות כח אדם (6)'!H814='סיווג התפקידים והעלויות'!$C$2,'עלויות כח אדם (6)'!H814='סיווג התפקידים והעלויות'!$D$2),IF('עלויות כח אדם (6)'!J814&lt;75,"לא תקין","תקין"),"")</f>
        <v/>
      </c>
      <c r="AE814" s="374" t="str">
        <f t="shared" si="194"/>
        <v/>
      </c>
      <c r="AF814" s="532" t="str">
        <f t="shared" si="195"/>
        <v/>
      </c>
    </row>
    <row r="815" spans="2:32" x14ac:dyDescent="0.25">
      <c r="B815" s="695"/>
      <c r="C815" s="197" t="str">
        <f>IF(B815&lt;&gt;"",IFERROR(VLOOKUP(B:B,'מצבת והרשמה (2)'!$C$20:$N$520,2,0)," ")," ")</f>
        <v xml:space="preserve"> </v>
      </c>
      <c r="D815" s="695"/>
      <c r="E815" s="696"/>
      <c r="F815" s="696"/>
      <c r="G815" s="696"/>
      <c r="H815" s="696"/>
      <c r="I815" s="1050" t="str">
        <f t="shared" si="182"/>
        <v/>
      </c>
      <c r="J815" s="696"/>
      <c r="K815" s="697"/>
      <c r="L815" s="696"/>
      <c r="M815" s="198" t="str">
        <f t="shared" si="183"/>
        <v/>
      </c>
      <c r="N815" s="369" t="str">
        <f t="shared" si="184"/>
        <v/>
      </c>
      <c r="O815" s="183" t="str">
        <f t="shared" si="185"/>
        <v/>
      </c>
      <c r="P815" s="199" t="str">
        <f t="shared" si="186"/>
        <v/>
      </c>
      <c r="Q815" s="199" t="str">
        <f>IF(B815="","",IFERROR(IF('עלויות כח אדם (6)'!J815&gt;=VLOOKUP(I815,'סיווג התפקידים והעלויות'!$B$23:$C$32,2,0),"תקין","לא תקין"),""))</f>
        <v/>
      </c>
      <c r="R815" s="199" t="str">
        <f t="shared" si="187"/>
        <v/>
      </c>
      <c r="S815" s="199" t="str">
        <f t="shared" si="188"/>
        <v/>
      </c>
      <c r="T815" s="199" t="str">
        <f t="shared" si="196"/>
        <v/>
      </c>
      <c r="U815" s="199" t="str">
        <f t="shared" si="189"/>
        <v/>
      </c>
      <c r="V815" s="989"/>
      <c r="X815" s="374" t="str">
        <f t="shared" si="190"/>
        <v/>
      </c>
      <c r="Y815" s="375" t="str">
        <f t="shared" si="191"/>
        <v/>
      </c>
      <c r="Z815" s="374" t="str">
        <f t="shared" si="192"/>
        <v/>
      </c>
      <c r="AA815" s="374" t="b">
        <f t="shared" si="193"/>
        <v>1</v>
      </c>
      <c r="AB815" s="374">
        <f>COUNTIFS(B:B,B815,H:H,'סיווג התפקידים והעלויות'!$C$2)</f>
        <v>0</v>
      </c>
      <c r="AC815" s="374">
        <f>COUNTIFS(B:B,B815,H:H,'סיווג התפקידים והעלויות'!$D$2)</f>
        <v>0</v>
      </c>
      <c r="AD815" s="374" t="str">
        <f>IF(OR(AND(H815='סיווג התפקידים והעלויות'!$A$2,I815='סיווג התפקידים והעלויות'!$A$3),'עלויות כח אדם (6)'!H815='סיווג התפקידים והעלויות'!$C$2,'עלויות כח אדם (6)'!H815='סיווג התפקידים והעלויות'!$D$2),IF('עלויות כח אדם (6)'!J815&lt;75,"לא תקין","תקין"),"")</f>
        <v/>
      </c>
      <c r="AE815" s="374" t="str">
        <f t="shared" si="194"/>
        <v/>
      </c>
      <c r="AF815" s="532" t="str">
        <f t="shared" si="195"/>
        <v/>
      </c>
    </row>
    <row r="816" spans="2:32" x14ac:dyDescent="0.25">
      <c r="B816" s="695"/>
      <c r="C816" s="197" t="str">
        <f>IF(B816&lt;&gt;"",IFERROR(VLOOKUP(B:B,'מצבת והרשמה (2)'!$C$20:$N$520,2,0)," ")," ")</f>
        <v xml:space="preserve"> </v>
      </c>
      <c r="D816" s="695"/>
      <c r="E816" s="696"/>
      <c r="F816" s="696"/>
      <c r="G816" s="696"/>
      <c r="H816" s="696"/>
      <c r="I816" s="1050" t="str">
        <f t="shared" si="182"/>
        <v/>
      </c>
      <c r="J816" s="696"/>
      <c r="K816" s="697"/>
      <c r="L816" s="696"/>
      <c r="M816" s="198" t="str">
        <f t="shared" si="183"/>
        <v/>
      </c>
      <c r="N816" s="369" t="str">
        <f t="shared" si="184"/>
        <v/>
      </c>
      <c r="O816" s="183" t="str">
        <f t="shared" si="185"/>
        <v/>
      </c>
      <c r="P816" s="199" t="str">
        <f t="shared" si="186"/>
        <v/>
      </c>
      <c r="Q816" s="199" t="str">
        <f>IF(B816="","",IFERROR(IF('עלויות כח אדם (6)'!J816&gt;=VLOOKUP(I816,'סיווג התפקידים והעלויות'!$B$23:$C$32,2,0),"תקין","לא תקין"),""))</f>
        <v/>
      </c>
      <c r="R816" s="199" t="str">
        <f t="shared" si="187"/>
        <v/>
      </c>
      <c r="S816" s="199" t="str">
        <f t="shared" si="188"/>
        <v/>
      </c>
      <c r="T816" s="199" t="str">
        <f t="shared" si="196"/>
        <v/>
      </c>
      <c r="U816" s="199" t="str">
        <f t="shared" si="189"/>
        <v/>
      </c>
      <c r="V816" s="989"/>
      <c r="X816" s="374" t="str">
        <f t="shared" si="190"/>
        <v/>
      </c>
      <c r="Y816" s="375" t="str">
        <f t="shared" si="191"/>
        <v/>
      </c>
      <c r="Z816" s="374" t="str">
        <f t="shared" si="192"/>
        <v/>
      </c>
      <c r="AA816" s="374" t="b">
        <f t="shared" si="193"/>
        <v>1</v>
      </c>
      <c r="AB816" s="374">
        <f>COUNTIFS(B:B,B816,H:H,'סיווג התפקידים והעלויות'!$C$2)</f>
        <v>0</v>
      </c>
      <c r="AC816" s="374">
        <f>COUNTIFS(B:B,B816,H:H,'סיווג התפקידים והעלויות'!$D$2)</f>
        <v>0</v>
      </c>
      <c r="AD816" s="374" t="str">
        <f>IF(OR(AND(H816='סיווג התפקידים והעלויות'!$A$2,I816='סיווג התפקידים והעלויות'!$A$3),'עלויות כח אדם (6)'!H816='סיווג התפקידים והעלויות'!$C$2,'עלויות כח אדם (6)'!H816='סיווג התפקידים והעלויות'!$D$2),IF('עלויות כח אדם (6)'!J816&lt;75,"לא תקין","תקין"),"")</f>
        <v/>
      </c>
      <c r="AE816" s="374" t="str">
        <f t="shared" si="194"/>
        <v/>
      </c>
      <c r="AF816" s="532" t="str">
        <f t="shared" si="195"/>
        <v/>
      </c>
    </row>
    <row r="817" spans="2:32" x14ac:dyDescent="0.25">
      <c r="B817" s="695"/>
      <c r="C817" s="197" t="str">
        <f>IF(B817&lt;&gt;"",IFERROR(VLOOKUP(B:B,'מצבת והרשמה (2)'!$C$20:$N$520,2,0)," ")," ")</f>
        <v xml:space="preserve"> </v>
      </c>
      <c r="D817" s="695"/>
      <c r="E817" s="696"/>
      <c r="F817" s="696"/>
      <c r="G817" s="696"/>
      <c r="H817" s="696"/>
      <c r="I817" s="1050" t="str">
        <f t="shared" si="182"/>
        <v/>
      </c>
      <c r="J817" s="696"/>
      <c r="K817" s="697"/>
      <c r="L817" s="696"/>
      <c r="M817" s="198" t="str">
        <f t="shared" si="183"/>
        <v/>
      </c>
      <c r="N817" s="369" t="str">
        <f t="shared" si="184"/>
        <v/>
      </c>
      <c r="O817" s="183" t="str">
        <f t="shared" si="185"/>
        <v/>
      </c>
      <c r="P817" s="199" t="str">
        <f t="shared" si="186"/>
        <v/>
      </c>
      <c r="Q817" s="199" t="str">
        <f>IF(B817="","",IFERROR(IF('עלויות כח אדם (6)'!J817&gt;=VLOOKUP(I817,'סיווג התפקידים והעלויות'!$B$23:$C$32,2,0),"תקין","לא תקין"),""))</f>
        <v/>
      </c>
      <c r="R817" s="199" t="str">
        <f t="shared" si="187"/>
        <v/>
      </c>
      <c r="S817" s="199" t="str">
        <f t="shared" si="188"/>
        <v/>
      </c>
      <c r="T817" s="199" t="str">
        <f t="shared" si="196"/>
        <v/>
      </c>
      <c r="U817" s="199" t="str">
        <f t="shared" si="189"/>
        <v/>
      </c>
      <c r="V817" s="989"/>
      <c r="X817" s="374" t="str">
        <f t="shared" si="190"/>
        <v/>
      </c>
      <c r="Y817" s="375" t="str">
        <f t="shared" si="191"/>
        <v/>
      </c>
      <c r="Z817" s="374" t="str">
        <f t="shared" si="192"/>
        <v/>
      </c>
      <c r="AA817" s="374" t="b">
        <f t="shared" si="193"/>
        <v>1</v>
      </c>
      <c r="AB817" s="374">
        <f>COUNTIFS(B:B,B817,H:H,'סיווג התפקידים והעלויות'!$C$2)</f>
        <v>0</v>
      </c>
      <c r="AC817" s="374">
        <f>COUNTIFS(B:B,B817,H:H,'סיווג התפקידים והעלויות'!$D$2)</f>
        <v>0</v>
      </c>
      <c r="AD817" s="374" t="str">
        <f>IF(OR(AND(H817='סיווג התפקידים והעלויות'!$A$2,I817='סיווג התפקידים והעלויות'!$A$3),'עלויות כח אדם (6)'!H817='סיווג התפקידים והעלויות'!$C$2,'עלויות כח אדם (6)'!H817='סיווג התפקידים והעלויות'!$D$2),IF('עלויות כח אדם (6)'!J817&lt;75,"לא תקין","תקין"),"")</f>
        <v/>
      </c>
      <c r="AE817" s="374" t="str">
        <f t="shared" si="194"/>
        <v/>
      </c>
      <c r="AF817" s="532" t="str">
        <f t="shared" si="195"/>
        <v/>
      </c>
    </row>
    <row r="818" spans="2:32" x14ac:dyDescent="0.25">
      <c r="B818" s="695"/>
      <c r="C818" s="197" t="str">
        <f>IF(B818&lt;&gt;"",IFERROR(VLOOKUP(B:B,'מצבת והרשמה (2)'!$C$20:$N$520,2,0)," ")," ")</f>
        <v xml:space="preserve"> </v>
      </c>
      <c r="D818" s="695"/>
      <c r="E818" s="696"/>
      <c r="F818" s="696"/>
      <c r="G818" s="696"/>
      <c r="H818" s="696"/>
      <c r="I818" s="1050" t="str">
        <f t="shared" si="182"/>
        <v/>
      </c>
      <c r="J818" s="696"/>
      <c r="K818" s="697"/>
      <c r="L818" s="696"/>
      <c r="M818" s="198" t="str">
        <f t="shared" si="183"/>
        <v/>
      </c>
      <c r="N818" s="369" t="str">
        <f t="shared" si="184"/>
        <v/>
      </c>
      <c r="O818" s="183" t="str">
        <f t="shared" si="185"/>
        <v/>
      </c>
      <c r="P818" s="199" t="str">
        <f t="shared" si="186"/>
        <v/>
      </c>
      <c r="Q818" s="199" t="str">
        <f>IF(B818="","",IFERROR(IF('עלויות כח אדם (6)'!J818&gt;=VLOOKUP(I818,'סיווג התפקידים והעלויות'!$B$23:$C$32,2,0),"תקין","לא תקין"),""))</f>
        <v/>
      </c>
      <c r="R818" s="199" t="str">
        <f t="shared" si="187"/>
        <v/>
      </c>
      <c r="S818" s="199" t="str">
        <f t="shared" si="188"/>
        <v/>
      </c>
      <c r="T818" s="199" t="str">
        <f t="shared" si="196"/>
        <v/>
      </c>
      <c r="U818" s="199" t="str">
        <f t="shared" si="189"/>
        <v/>
      </c>
      <c r="V818" s="989"/>
      <c r="X818" s="374" t="str">
        <f t="shared" si="190"/>
        <v/>
      </c>
      <c r="Y818" s="375" t="str">
        <f t="shared" si="191"/>
        <v/>
      </c>
      <c r="Z818" s="374" t="str">
        <f t="shared" si="192"/>
        <v/>
      </c>
      <c r="AA818" s="374" t="b">
        <f t="shared" si="193"/>
        <v>1</v>
      </c>
      <c r="AB818" s="374">
        <f>COUNTIFS(B:B,B818,H:H,'סיווג התפקידים והעלויות'!$C$2)</f>
        <v>0</v>
      </c>
      <c r="AC818" s="374">
        <f>COUNTIFS(B:B,B818,H:H,'סיווג התפקידים והעלויות'!$D$2)</f>
        <v>0</v>
      </c>
      <c r="AD818" s="374" t="str">
        <f>IF(OR(AND(H818='סיווג התפקידים והעלויות'!$A$2,I818='סיווג התפקידים והעלויות'!$A$3),'עלויות כח אדם (6)'!H818='סיווג התפקידים והעלויות'!$C$2,'עלויות כח אדם (6)'!H818='סיווג התפקידים והעלויות'!$D$2),IF('עלויות כח אדם (6)'!J818&lt;75,"לא תקין","תקין"),"")</f>
        <v/>
      </c>
      <c r="AE818" s="374" t="str">
        <f t="shared" si="194"/>
        <v/>
      </c>
      <c r="AF818" s="532" t="str">
        <f t="shared" si="195"/>
        <v/>
      </c>
    </row>
    <row r="819" spans="2:32" x14ac:dyDescent="0.25">
      <c r="B819" s="695"/>
      <c r="C819" s="197" t="str">
        <f>IF(B819&lt;&gt;"",IFERROR(VLOOKUP(B:B,'מצבת והרשמה (2)'!$C$20:$N$520,2,0)," ")," ")</f>
        <v xml:space="preserve"> </v>
      </c>
      <c r="D819" s="695"/>
      <c r="E819" s="696"/>
      <c r="F819" s="696"/>
      <c r="G819" s="696"/>
      <c r="H819" s="696"/>
      <c r="I819" s="1050" t="str">
        <f t="shared" si="182"/>
        <v/>
      </c>
      <c r="J819" s="696"/>
      <c r="K819" s="697"/>
      <c r="L819" s="696"/>
      <c r="M819" s="198" t="str">
        <f t="shared" si="183"/>
        <v/>
      </c>
      <c r="N819" s="369" t="str">
        <f t="shared" si="184"/>
        <v/>
      </c>
      <c r="O819" s="183" t="str">
        <f t="shared" si="185"/>
        <v/>
      </c>
      <c r="P819" s="199" t="str">
        <f t="shared" si="186"/>
        <v/>
      </c>
      <c r="Q819" s="199" t="str">
        <f>IF(B819="","",IFERROR(IF('עלויות כח אדם (6)'!J819&gt;=VLOOKUP(I819,'סיווג התפקידים והעלויות'!$B$23:$C$32,2,0),"תקין","לא תקין"),""))</f>
        <v/>
      </c>
      <c r="R819" s="199" t="str">
        <f t="shared" si="187"/>
        <v/>
      </c>
      <c r="S819" s="199" t="str">
        <f t="shared" si="188"/>
        <v/>
      </c>
      <c r="T819" s="199" t="str">
        <f t="shared" si="196"/>
        <v/>
      </c>
      <c r="U819" s="199" t="str">
        <f t="shared" si="189"/>
        <v/>
      </c>
      <c r="V819" s="989"/>
      <c r="X819" s="374" t="str">
        <f t="shared" si="190"/>
        <v/>
      </c>
      <c r="Y819" s="375" t="str">
        <f t="shared" si="191"/>
        <v/>
      </c>
      <c r="Z819" s="374" t="str">
        <f t="shared" si="192"/>
        <v/>
      </c>
      <c r="AA819" s="374" t="b">
        <f t="shared" si="193"/>
        <v>1</v>
      </c>
      <c r="AB819" s="374">
        <f>COUNTIFS(B:B,B819,H:H,'סיווג התפקידים והעלויות'!$C$2)</f>
        <v>0</v>
      </c>
      <c r="AC819" s="374">
        <f>COUNTIFS(B:B,B819,H:H,'סיווג התפקידים והעלויות'!$D$2)</f>
        <v>0</v>
      </c>
      <c r="AD819" s="374" t="str">
        <f>IF(OR(AND(H819='סיווג התפקידים והעלויות'!$A$2,I819='סיווג התפקידים והעלויות'!$A$3),'עלויות כח אדם (6)'!H819='סיווג התפקידים והעלויות'!$C$2,'עלויות כח אדם (6)'!H819='סיווג התפקידים והעלויות'!$D$2),IF('עלויות כח אדם (6)'!J819&lt;75,"לא תקין","תקין"),"")</f>
        <v/>
      </c>
      <c r="AE819" s="374" t="str">
        <f t="shared" si="194"/>
        <v/>
      </c>
      <c r="AF819" s="532" t="str">
        <f t="shared" si="195"/>
        <v/>
      </c>
    </row>
    <row r="820" spans="2:32" x14ac:dyDescent="0.25">
      <c r="B820" s="695"/>
      <c r="C820" s="197" t="str">
        <f>IF(B820&lt;&gt;"",IFERROR(VLOOKUP(B:B,'מצבת והרשמה (2)'!$C$20:$N$520,2,0)," ")," ")</f>
        <v xml:space="preserve"> </v>
      </c>
      <c r="D820" s="695"/>
      <c r="E820" s="696"/>
      <c r="F820" s="696"/>
      <c r="G820" s="696"/>
      <c r="H820" s="696"/>
      <c r="I820" s="1050" t="str">
        <f t="shared" si="182"/>
        <v/>
      </c>
      <c r="J820" s="696"/>
      <c r="K820" s="697"/>
      <c r="L820" s="696"/>
      <c r="M820" s="198" t="str">
        <f t="shared" si="183"/>
        <v/>
      </c>
      <c r="N820" s="369" t="str">
        <f t="shared" si="184"/>
        <v/>
      </c>
      <c r="O820" s="183" t="str">
        <f t="shared" si="185"/>
        <v/>
      </c>
      <c r="P820" s="199" t="str">
        <f t="shared" si="186"/>
        <v/>
      </c>
      <c r="Q820" s="199" t="str">
        <f>IF(B820="","",IFERROR(IF('עלויות כח אדם (6)'!J820&gt;=VLOOKUP(I820,'סיווג התפקידים והעלויות'!$B$23:$C$32,2,0),"תקין","לא תקין"),""))</f>
        <v/>
      </c>
      <c r="R820" s="199" t="str">
        <f t="shared" si="187"/>
        <v/>
      </c>
      <c r="S820" s="199" t="str">
        <f t="shared" si="188"/>
        <v/>
      </c>
      <c r="T820" s="199" t="str">
        <f t="shared" si="196"/>
        <v/>
      </c>
      <c r="U820" s="199" t="str">
        <f t="shared" si="189"/>
        <v/>
      </c>
      <c r="V820" s="989"/>
      <c r="X820" s="374" t="str">
        <f t="shared" si="190"/>
        <v/>
      </c>
      <c r="Y820" s="375" t="str">
        <f t="shared" si="191"/>
        <v/>
      </c>
      <c r="Z820" s="374" t="str">
        <f t="shared" si="192"/>
        <v/>
      </c>
      <c r="AA820" s="374" t="b">
        <f t="shared" si="193"/>
        <v>1</v>
      </c>
      <c r="AB820" s="374">
        <f>COUNTIFS(B:B,B820,H:H,'סיווג התפקידים והעלויות'!$C$2)</f>
        <v>0</v>
      </c>
      <c r="AC820" s="374">
        <f>COUNTIFS(B:B,B820,H:H,'סיווג התפקידים והעלויות'!$D$2)</f>
        <v>0</v>
      </c>
      <c r="AD820" s="374" t="str">
        <f>IF(OR(AND(H820='סיווג התפקידים והעלויות'!$A$2,I820='סיווג התפקידים והעלויות'!$A$3),'עלויות כח אדם (6)'!H820='סיווג התפקידים והעלויות'!$C$2,'עלויות כח אדם (6)'!H820='סיווג התפקידים והעלויות'!$D$2),IF('עלויות כח אדם (6)'!J820&lt;75,"לא תקין","תקין"),"")</f>
        <v/>
      </c>
      <c r="AE820" s="374" t="str">
        <f t="shared" si="194"/>
        <v/>
      </c>
      <c r="AF820" s="532" t="str">
        <f t="shared" si="195"/>
        <v/>
      </c>
    </row>
    <row r="821" spans="2:32" x14ac:dyDescent="0.25">
      <c r="B821" s="695"/>
      <c r="C821" s="197" t="str">
        <f>IF(B821&lt;&gt;"",IFERROR(VLOOKUP(B:B,'מצבת והרשמה (2)'!$C$20:$N$520,2,0)," ")," ")</f>
        <v xml:space="preserve"> </v>
      </c>
      <c r="D821" s="695"/>
      <c r="E821" s="696"/>
      <c r="F821" s="696"/>
      <c r="G821" s="696"/>
      <c r="H821" s="696"/>
      <c r="I821" s="1050" t="str">
        <f t="shared" si="182"/>
        <v/>
      </c>
      <c r="J821" s="696"/>
      <c r="K821" s="697"/>
      <c r="L821" s="696"/>
      <c r="M821" s="198" t="str">
        <f t="shared" si="183"/>
        <v/>
      </c>
      <c r="N821" s="369" t="str">
        <f t="shared" si="184"/>
        <v/>
      </c>
      <c r="O821" s="183" t="str">
        <f t="shared" si="185"/>
        <v/>
      </c>
      <c r="P821" s="199" t="str">
        <f t="shared" si="186"/>
        <v/>
      </c>
      <c r="Q821" s="199" t="str">
        <f>IF(B821="","",IFERROR(IF('עלויות כח אדם (6)'!J821&gt;=VLOOKUP(I821,'סיווג התפקידים והעלויות'!$B$23:$C$32,2,0),"תקין","לא תקין"),""))</f>
        <v/>
      </c>
      <c r="R821" s="199" t="str">
        <f t="shared" si="187"/>
        <v/>
      </c>
      <c r="S821" s="199" t="str">
        <f t="shared" si="188"/>
        <v/>
      </c>
      <c r="T821" s="199" t="str">
        <f t="shared" si="196"/>
        <v/>
      </c>
      <c r="U821" s="199" t="str">
        <f t="shared" si="189"/>
        <v/>
      </c>
      <c r="V821" s="989"/>
      <c r="X821" s="374" t="str">
        <f t="shared" si="190"/>
        <v/>
      </c>
      <c r="Y821" s="375" t="str">
        <f t="shared" si="191"/>
        <v/>
      </c>
      <c r="Z821" s="374" t="str">
        <f t="shared" si="192"/>
        <v/>
      </c>
      <c r="AA821" s="374" t="b">
        <f t="shared" si="193"/>
        <v>1</v>
      </c>
      <c r="AB821" s="374">
        <f>COUNTIFS(B:B,B821,H:H,'סיווג התפקידים והעלויות'!$C$2)</f>
        <v>0</v>
      </c>
      <c r="AC821" s="374">
        <f>COUNTIFS(B:B,B821,H:H,'סיווג התפקידים והעלויות'!$D$2)</f>
        <v>0</v>
      </c>
      <c r="AD821" s="374" t="str">
        <f>IF(OR(AND(H821='סיווג התפקידים והעלויות'!$A$2,I821='סיווג התפקידים והעלויות'!$A$3),'עלויות כח אדם (6)'!H821='סיווג התפקידים והעלויות'!$C$2,'עלויות כח אדם (6)'!H821='סיווג התפקידים והעלויות'!$D$2),IF('עלויות כח אדם (6)'!J821&lt;75,"לא תקין","תקין"),"")</f>
        <v/>
      </c>
      <c r="AE821" s="374" t="str">
        <f t="shared" si="194"/>
        <v/>
      </c>
      <c r="AF821" s="532" t="str">
        <f t="shared" si="195"/>
        <v/>
      </c>
    </row>
    <row r="822" spans="2:32" x14ac:dyDescent="0.25">
      <c r="B822" s="695"/>
      <c r="C822" s="197" t="str">
        <f>IF(B822&lt;&gt;"",IFERROR(VLOOKUP(B:B,'מצבת והרשמה (2)'!$C$20:$N$520,2,0)," ")," ")</f>
        <v xml:space="preserve"> </v>
      </c>
      <c r="D822" s="695"/>
      <c r="E822" s="696"/>
      <c r="F822" s="696"/>
      <c r="G822" s="696"/>
      <c r="H822" s="696"/>
      <c r="I822" s="1050" t="str">
        <f t="shared" si="182"/>
        <v/>
      </c>
      <c r="J822" s="696"/>
      <c r="K822" s="697"/>
      <c r="L822" s="696"/>
      <c r="M822" s="198" t="str">
        <f t="shared" si="183"/>
        <v/>
      </c>
      <c r="N822" s="369" t="str">
        <f t="shared" si="184"/>
        <v/>
      </c>
      <c r="O822" s="183" t="str">
        <f t="shared" si="185"/>
        <v/>
      </c>
      <c r="P822" s="199" t="str">
        <f t="shared" si="186"/>
        <v/>
      </c>
      <c r="Q822" s="199" t="str">
        <f>IF(B822="","",IFERROR(IF('עלויות כח אדם (6)'!J822&gt;=VLOOKUP(I822,'סיווג התפקידים והעלויות'!$B$23:$C$32,2,0),"תקין","לא תקין"),""))</f>
        <v/>
      </c>
      <c r="R822" s="199" t="str">
        <f t="shared" si="187"/>
        <v/>
      </c>
      <c r="S822" s="199" t="str">
        <f t="shared" si="188"/>
        <v/>
      </c>
      <c r="T822" s="199" t="str">
        <f t="shared" si="196"/>
        <v/>
      </c>
      <c r="U822" s="199" t="str">
        <f t="shared" si="189"/>
        <v/>
      </c>
      <c r="V822" s="989"/>
      <c r="X822" s="374" t="str">
        <f t="shared" si="190"/>
        <v/>
      </c>
      <c r="Y822" s="375" t="str">
        <f t="shared" si="191"/>
        <v/>
      </c>
      <c r="Z822" s="374" t="str">
        <f t="shared" si="192"/>
        <v/>
      </c>
      <c r="AA822" s="374" t="b">
        <f t="shared" si="193"/>
        <v>1</v>
      </c>
      <c r="AB822" s="374">
        <f>COUNTIFS(B:B,B822,H:H,'סיווג התפקידים והעלויות'!$C$2)</f>
        <v>0</v>
      </c>
      <c r="AC822" s="374">
        <f>COUNTIFS(B:B,B822,H:H,'סיווג התפקידים והעלויות'!$D$2)</f>
        <v>0</v>
      </c>
      <c r="AD822" s="374" t="str">
        <f>IF(OR(AND(H822='סיווג התפקידים והעלויות'!$A$2,I822='סיווג התפקידים והעלויות'!$A$3),'עלויות כח אדם (6)'!H822='סיווג התפקידים והעלויות'!$C$2,'עלויות כח אדם (6)'!H822='סיווג התפקידים והעלויות'!$D$2),IF('עלויות כח אדם (6)'!J822&lt;75,"לא תקין","תקין"),"")</f>
        <v/>
      </c>
      <c r="AE822" s="374" t="str">
        <f t="shared" si="194"/>
        <v/>
      </c>
      <c r="AF822" s="532" t="str">
        <f t="shared" si="195"/>
        <v/>
      </c>
    </row>
    <row r="823" spans="2:32" x14ac:dyDescent="0.25">
      <c r="B823" s="695"/>
      <c r="C823" s="197" t="str">
        <f>IF(B823&lt;&gt;"",IFERROR(VLOOKUP(B:B,'מצבת והרשמה (2)'!$C$20:$N$520,2,0)," ")," ")</f>
        <v xml:space="preserve"> </v>
      </c>
      <c r="D823" s="695"/>
      <c r="E823" s="696"/>
      <c r="F823" s="696"/>
      <c r="G823" s="696"/>
      <c r="H823" s="696"/>
      <c r="I823" s="1050" t="str">
        <f t="shared" si="182"/>
        <v/>
      </c>
      <c r="J823" s="696"/>
      <c r="K823" s="697"/>
      <c r="L823" s="696"/>
      <c r="M823" s="198" t="str">
        <f t="shared" si="183"/>
        <v/>
      </c>
      <c r="N823" s="369" t="str">
        <f t="shared" si="184"/>
        <v/>
      </c>
      <c r="O823" s="183" t="str">
        <f t="shared" si="185"/>
        <v/>
      </c>
      <c r="P823" s="199" t="str">
        <f t="shared" si="186"/>
        <v/>
      </c>
      <c r="Q823" s="199" t="str">
        <f>IF(B823="","",IFERROR(IF('עלויות כח אדם (6)'!J823&gt;=VLOOKUP(I823,'סיווג התפקידים והעלויות'!$B$23:$C$32,2,0),"תקין","לא תקין"),""))</f>
        <v/>
      </c>
      <c r="R823" s="199" t="str">
        <f t="shared" si="187"/>
        <v/>
      </c>
      <c r="S823" s="199" t="str">
        <f t="shared" si="188"/>
        <v/>
      </c>
      <c r="T823" s="199" t="str">
        <f t="shared" si="196"/>
        <v/>
      </c>
      <c r="U823" s="199" t="str">
        <f t="shared" si="189"/>
        <v/>
      </c>
      <c r="V823" s="989"/>
      <c r="X823" s="374" t="str">
        <f t="shared" si="190"/>
        <v/>
      </c>
      <c r="Y823" s="375" t="str">
        <f t="shared" si="191"/>
        <v/>
      </c>
      <c r="Z823" s="374" t="str">
        <f t="shared" si="192"/>
        <v/>
      </c>
      <c r="AA823" s="374" t="b">
        <f t="shared" si="193"/>
        <v>1</v>
      </c>
      <c r="AB823" s="374">
        <f>COUNTIFS(B:B,B823,H:H,'סיווג התפקידים והעלויות'!$C$2)</f>
        <v>0</v>
      </c>
      <c r="AC823" s="374">
        <f>COUNTIFS(B:B,B823,H:H,'סיווג התפקידים והעלויות'!$D$2)</f>
        <v>0</v>
      </c>
      <c r="AD823" s="374" t="str">
        <f>IF(OR(AND(H823='סיווג התפקידים והעלויות'!$A$2,I823='סיווג התפקידים והעלויות'!$A$3),'עלויות כח אדם (6)'!H823='סיווג התפקידים והעלויות'!$C$2,'עלויות כח אדם (6)'!H823='סיווג התפקידים והעלויות'!$D$2),IF('עלויות כח אדם (6)'!J823&lt;75,"לא תקין","תקין"),"")</f>
        <v/>
      </c>
      <c r="AE823" s="374" t="str">
        <f t="shared" si="194"/>
        <v/>
      </c>
      <c r="AF823" s="532" t="str">
        <f t="shared" si="195"/>
        <v/>
      </c>
    </row>
    <row r="824" spans="2:32" x14ac:dyDescent="0.25">
      <c r="B824" s="695"/>
      <c r="C824" s="197" t="str">
        <f>IF(B824&lt;&gt;"",IFERROR(VLOOKUP(B:B,'מצבת והרשמה (2)'!$C$20:$N$520,2,0)," ")," ")</f>
        <v xml:space="preserve"> </v>
      </c>
      <c r="D824" s="695"/>
      <c r="E824" s="696"/>
      <c r="F824" s="696"/>
      <c r="G824" s="696"/>
      <c r="H824" s="696"/>
      <c r="I824" s="1050" t="str">
        <f t="shared" si="182"/>
        <v/>
      </c>
      <c r="J824" s="696"/>
      <c r="K824" s="697"/>
      <c r="L824" s="696"/>
      <c r="M824" s="198" t="str">
        <f t="shared" si="183"/>
        <v/>
      </c>
      <c r="N824" s="369" t="str">
        <f t="shared" si="184"/>
        <v/>
      </c>
      <c r="O824" s="183" t="str">
        <f t="shared" si="185"/>
        <v/>
      </c>
      <c r="P824" s="199" t="str">
        <f t="shared" si="186"/>
        <v/>
      </c>
      <c r="Q824" s="199" t="str">
        <f>IF(B824="","",IFERROR(IF('עלויות כח אדם (6)'!J824&gt;=VLOOKUP(I824,'סיווג התפקידים והעלויות'!$B$23:$C$32,2,0),"תקין","לא תקין"),""))</f>
        <v/>
      </c>
      <c r="R824" s="199" t="str">
        <f t="shared" si="187"/>
        <v/>
      </c>
      <c r="S824" s="199" t="str">
        <f t="shared" si="188"/>
        <v/>
      </c>
      <c r="T824" s="199" t="str">
        <f t="shared" si="196"/>
        <v/>
      </c>
      <c r="U824" s="199" t="str">
        <f t="shared" si="189"/>
        <v/>
      </c>
      <c r="V824" s="989"/>
      <c r="X824" s="374" t="str">
        <f t="shared" si="190"/>
        <v/>
      </c>
      <c r="Y824" s="375" t="str">
        <f t="shared" si="191"/>
        <v/>
      </c>
      <c r="Z824" s="374" t="str">
        <f t="shared" si="192"/>
        <v/>
      </c>
      <c r="AA824" s="374" t="b">
        <f t="shared" si="193"/>
        <v>1</v>
      </c>
      <c r="AB824" s="374">
        <f>COUNTIFS(B:B,B824,H:H,'סיווג התפקידים והעלויות'!$C$2)</f>
        <v>0</v>
      </c>
      <c r="AC824" s="374">
        <f>COUNTIFS(B:B,B824,H:H,'סיווג התפקידים והעלויות'!$D$2)</f>
        <v>0</v>
      </c>
      <c r="AD824" s="374" t="str">
        <f>IF(OR(AND(H824='סיווג התפקידים והעלויות'!$A$2,I824='סיווג התפקידים והעלויות'!$A$3),'עלויות כח אדם (6)'!H824='סיווג התפקידים והעלויות'!$C$2,'עלויות כח אדם (6)'!H824='סיווג התפקידים והעלויות'!$D$2),IF('עלויות כח אדם (6)'!J824&lt;75,"לא תקין","תקין"),"")</f>
        <v/>
      </c>
      <c r="AE824" s="374" t="str">
        <f t="shared" si="194"/>
        <v/>
      </c>
      <c r="AF824" s="532" t="str">
        <f t="shared" si="195"/>
        <v/>
      </c>
    </row>
    <row r="825" spans="2:32" x14ac:dyDescent="0.25">
      <c r="B825" s="695"/>
      <c r="C825" s="197" t="str">
        <f>IF(B825&lt;&gt;"",IFERROR(VLOOKUP(B:B,'מצבת והרשמה (2)'!$C$20:$N$520,2,0)," ")," ")</f>
        <v xml:space="preserve"> </v>
      </c>
      <c r="D825" s="695"/>
      <c r="E825" s="696"/>
      <c r="F825" s="696"/>
      <c r="G825" s="696"/>
      <c r="H825" s="696"/>
      <c r="I825" s="1050" t="str">
        <f t="shared" si="182"/>
        <v/>
      </c>
      <c r="J825" s="696"/>
      <c r="K825" s="697"/>
      <c r="L825" s="696"/>
      <c r="M825" s="198" t="str">
        <f t="shared" si="183"/>
        <v/>
      </c>
      <c r="N825" s="369" t="str">
        <f t="shared" si="184"/>
        <v/>
      </c>
      <c r="O825" s="183" t="str">
        <f t="shared" si="185"/>
        <v/>
      </c>
      <c r="P825" s="199" t="str">
        <f t="shared" si="186"/>
        <v/>
      </c>
      <c r="Q825" s="199" t="str">
        <f>IF(B825="","",IFERROR(IF('עלויות כח אדם (6)'!J825&gt;=VLOOKUP(I825,'סיווג התפקידים והעלויות'!$B$23:$C$32,2,0),"תקין","לא תקין"),""))</f>
        <v/>
      </c>
      <c r="R825" s="199" t="str">
        <f t="shared" si="187"/>
        <v/>
      </c>
      <c r="S825" s="199" t="str">
        <f t="shared" si="188"/>
        <v/>
      </c>
      <c r="T825" s="199" t="str">
        <f t="shared" si="196"/>
        <v/>
      </c>
      <c r="U825" s="199" t="str">
        <f t="shared" si="189"/>
        <v/>
      </c>
      <c r="V825" s="989"/>
      <c r="X825" s="374" t="str">
        <f t="shared" si="190"/>
        <v/>
      </c>
      <c r="Y825" s="375" t="str">
        <f t="shared" si="191"/>
        <v/>
      </c>
      <c r="Z825" s="374" t="str">
        <f t="shared" si="192"/>
        <v/>
      </c>
      <c r="AA825" s="374" t="b">
        <f t="shared" si="193"/>
        <v>1</v>
      </c>
      <c r="AB825" s="374">
        <f>COUNTIFS(B:B,B825,H:H,'סיווג התפקידים והעלויות'!$C$2)</f>
        <v>0</v>
      </c>
      <c r="AC825" s="374">
        <f>COUNTIFS(B:B,B825,H:H,'סיווג התפקידים והעלויות'!$D$2)</f>
        <v>0</v>
      </c>
      <c r="AD825" s="374" t="str">
        <f>IF(OR(AND(H825='סיווג התפקידים והעלויות'!$A$2,I825='סיווג התפקידים והעלויות'!$A$3),'עלויות כח אדם (6)'!H825='סיווג התפקידים והעלויות'!$C$2,'עלויות כח אדם (6)'!H825='סיווג התפקידים והעלויות'!$D$2),IF('עלויות כח אדם (6)'!J825&lt;75,"לא תקין","תקין"),"")</f>
        <v/>
      </c>
      <c r="AE825" s="374" t="str">
        <f t="shared" si="194"/>
        <v/>
      </c>
      <c r="AF825" s="532" t="str">
        <f t="shared" si="195"/>
        <v/>
      </c>
    </row>
    <row r="826" spans="2:32" x14ac:dyDescent="0.25">
      <c r="B826" s="695"/>
      <c r="C826" s="197" t="str">
        <f>IF(B826&lt;&gt;"",IFERROR(VLOOKUP(B:B,'מצבת והרשמה (2)'!$C$20:$N$520,2,0)," ")," ")</f>
        <v xml:space="preserve"> </v>
      </c>
      <c r="D826" s="695"/>
      <c r="E826" s="696"/>
      <c r="F826" s="696"/>
      <c r="G826" s="696"/>
      <c r="H826" s="696"/>
      <c r="I826" s="1050" t="str">
        <f t="shared" si="182"/>
        <v/>
      </c>
      <c r="J826" s="696"/>
      <c r="K826" s="697"/>
      <c r="L826" s="696"/>
      <c r="M826" s="198" t="str">
        <f t="shared" si="183"/>
        <v/>
      </c>
      <c r="N826" s="369" t="str">
        <f t="shared" si="184"/>
        <v/>
      </c>
      <c r="O826" s="183" t="str">
        <f t="shared" si="185"/>
        <v/>
      </c>
      <c r="P826" s="199" t="str">
        <f t="shared" si="186"/>
        <v/>
      </c>
      <c r="Q826" s="199" t="str">
        <f>IF(B826="","",IFERROR(IF('עלויות כח אדם (6)'!J826&gt;=VLOOKUP(I826,'סיווג התפקידים והעלויות'!$B$23:$C$32,2,0),"תקין","לא תקין"),""))</f>
        <v/>
      </c>
      <c r="R826" s="199" t="str">
        <f t="shared" si="187"/>
        <v/>
      </c>
      <c r="S826" s="199" t="str">
        <f t="shared" si="188"/>
        <v/>
      </c>
      <c r="T826" s="199" t="str">
        <f t="shared" si="196"/>
        <v/>
      </c>
      <c r="U826" s="199" t="str">
        <f t="shared" si="189"/>
        <v/>
      </c>
      <c r="V826" s="989"/>
      <c r="X826" s="374" t="str">
        <f t="shared" si="190"/>
        <v/>
      </c>
      <c r="Y826" s="375" t="str">
        <f t="shared" si="191"/>
        <v/>
      </c>
      <c r="Z826" s="374" t="str">
        <f t="shared" si="192"/>
        <v/>
      </c>
      <c r="AA826" s="374" t="b">
        <f t="shared" si="193"/>
        <v>1</v>
      </c>
      <c r="AB826" s="374">
        <f>COUNTIFS(B:B,B826,H:H,'סיווג התפקידים והעלויות'!$C$2)</f>
        <v>0</v>
      </c>
      <c r="AC826" s="374">
        <f>COUNTIFS(B:B,B826,H:H,'סיווג התפקידים והעלויות'!$D$2)</f>
        <v>0</v>
      </c>
      <c r="AD826" s="374" t="str">
        <f>IF(OR(AND(H826='סיווג התפקידים והעלויות'!$A$2,I826='סיווג התפקידים והעלויות'!$A$3),'עלויות כח אדם (6)'!H826='סיווג התפקידים והעלויות'!$C$2,'עלויות כח אדם (6)'!H826='סיווג התפקידים והעלויות'!$D$2),IF('עלויות כח אדם (6)'!J826&lt;75,"לא תקין","תקין"),"")</f>
        <v/>
      </c>
      <c r="AE826" s="374" t="str">
        <f t="shared" si="194"/>
        <v/>
      </c>
      <c r="AF826" s="532" t="str">
        <f t="shared" si="195"/>
        <v/>
      </c>
    </row>
    <row r="827" spans="2:32" x14ac:dyDescent="0.25">
      <c r="B827" s="695"/>
      <c r="C827" s="197" t="str">
        <f>IF(B827&lt;&gt;"",IFERROR(VLOOKUP(B:B,'מצבת והרשמה (2)'!$C$20:$N$520,2,0)," ")," ")</f>
        <v xml:space="preserve"> </v>
      </c>
      <c r="D827" s="695"/>
      <c r="E827" s="696"/>
      <c r="F827" s="696"/>
      <c r="G827" s="696"/>
      <c r="H827" s="696"/>
      <c r="I827" s="1050" t="str">
        <f t="shared" si="182"/>
        <v/>
      </c>
      <c r="J827" s="696"/>
      <c r="K827" s="697"/>
      <c r="L827" s="696"/>
      <c r="M827" s="198" t="str">
        <f t="shared" si="183"/>
        <v/>
      </c>
      <c r="N827" s="369" t="str">
        <f t="shared" si="184"/>
        <v/>
      </c>
      <c r="O827" s="183" t="str">
        <f t="shared" si="185"/>
        <v/>
      </c>
      <c r="P827" s="199" t="str">
        <f t="shared" si="186"/>
        <v/>
      </c>
      <c r="Q827" s="199" t="str">
        <f>IF(B827="","",IFERROR(IF('עלויות כח אדם (6)'!J827&gt;=VLOOKUP(I827,'סיווג התפקידים והעלויות'!$B$23:$C$32,2,0),"תקין","לא תקין"),""))</f>
        <v/>
      </c>
      <c r="R827" s="199" t="str">
        <f t="shared" si="187"/>
        <v/>
      </c>
      <c r="S827" s="199" t="str">
        <f t="shared" si="188"/>
        <v/>
      </c>
      <c r="T827" s="199" t="str">
        <f t="shared" si="196"/>
        <v/>
      </c>
      <c r="U827" s="199" t="str">
        <f t="shared" si="189"/>
        <v/>
      </c>
      <c r="V827" s="989"/>
      <c r="X827" s="374" t="str">
        <f t="shared" si="190"/>
        <v/>
      </c>
      <c r="Y827" s="375" t="str">
        <f t="shared" si="191"/>
        <v/>
      </c>
      <c r="Z827" s="374" t="str">
        <f t="shared" si="192"/>
        <v/>
      </c>
      <c r="AA827" s="374" t="b">
        <f t="shared" si="193"/>
        <v>1</v>
      </c>
      <c r="AB827" s="374">
        <f>COUNTIFS(B:B,B827,H:H,'סיווג התפקידים והעלויות'!$C$2)</f>
        <v>0</v>
      </c>
      <c r="AC827" s="374">
        <f>COUNTIFS(B:B,B827,H:H,'סיווג התפקידים והעלויות'!$D$2)</f>
        <v>0</v>
      </c>
      <c r="AD827" s="374" t="str">
        <f>IF(OR(AND(H827='סיווג התפקידים והעלויות'!$A$2,I827='סיווג התפקידים והעלויות'!$A$3),'עלויות כח אדם (6)'!H827='סיווג התפקידים והעלויות'!$C$2,'עלויות כח אדם (6)'!H827='סיווג התפקידים והעלויות'!$D$2),IF('עלויות כח אדם (6)'!J827&lt;75,"לא תקין","תקין"),"")</f>
        <v/>
      </c>
      <c r="AE827" s="374" t="str">
        <f t="shared" si="194"/>
        <v/>
      </c>
      <c r="AF827" s="532" t="str">
        <f t="shared" si="195"/>
        <v/>
      </c>
    </row>
    <row r="828" spans="2:32" x14ac:dyDescent="0.25">
      <c r="B828" s="695"/>
      <c r="C828" s="197" t="str">
        <f>IF(B828&lt;&gt;"",IFERROR(VLOOKUP(B:B,'מצבת והרשמה (2)'!$C$20:$N$520,2,0)," ")," ")</f>
        <v xml:space="preserve"> </v>
      </c>
      <c r="D828" s="695"/>
      <c r="E828" s="696"/>
      <c r="F828" s="696"/>
      <c r="G828" s="696"/>
      <c r="H828" s="696"/>
      <c r="I828" s="1050" t="str">
        <f t="shared" si="182"/>
        <v/>
      </c>
      <c r="J828" s="696"/>
      <c r="K828" s="697"/>
      <c r="L828" s="696"/>
      <c r="M828" s="198" t="str">
        <f t="shared" si="183"/>
        <v/>
      </c>
      <c r="N828" s="369" t="str">
        <f t="shared" si="184"/>
        <v/>
      </c>
      <c r="O828" s="183" t="str">
        <f t="shared" si="185"/>
        <v/>
      </c>
      <c r="P828" s="199" t="str">
        <f t="shared" si="186"/>
        <v/>
      </c>
      <c r="Q828" s="199" t="str">
        <f>IF(B828="","",IFERROR(IF('עלויות כח אדם (6)'!J828&gt;=VLOOKUP(I828,'סיווג התפקידים והעלויות'!$B$23:$C$32,2,0),"תקין","לא תקין"),""))</f>
        <v/>
      </c>
      <c r="R828" s="199" t="str">
        <f t="shared" si="187"/>
        <v/>
      </c>
      <c r="S828" s="199" t="str">
        <f t="shared" si="188"/>
        <v/>
      </c>
      <c r="T828" s="199" t="str">
        <f t="shared" si="196"/>
        <v/>
      </c>
      <c r="U828" s="199" t="str">
        <f t="shared" si="189"/>
        <v/>
      </c>
      <c r="V828" s="989"/>
      <c r="X828" s="374" t="str">
        <f t="shared" si="190"/>
        <v/>
      </c>
      <c r="Y828" s="375" t="str">
        <f t="shared" si="191"/>
        <v/>
      </c>
      <c r="Z828" s="374" t="str">
        <f t="shared" si="192"/>
        <v/>
      </c>
      <c r="AA828" s="374" t="b">
        <f t="shared" si="193"/>
        <v>1</v>
      </c>
      <c r="AB828" s="374">
        <f>COUNTIFS(B:B,B828,H:H,'סיווג התפקידים והעלויות'!$C$2)</f>
        <v>0</v>
      </c>
      <c r="AC828" s="374">
        <f>COUNTIFS(B:B,B828,H:H,'סיווג התפקידים והעלויות'!$D$2)</f>
        <v>0</v>
      </c>
      <c r="AD828" s="374" t="str">
        <f>IF(OR(AND(H828='סיווג התפקידים והעלויות'!$A$2,I828='סיווג התפקידים והעלויות'!$A$3),'עלויות כח אדם (6)'!H828='סיווג התפקידים והעלויות'!$C$2,'עלויות כח אדם (6)'!H828='סיווג התפקידים והעלויות'!$D$2),IF('עלויות כח אדם (6)'!J828&lt;75,"לא תקין","תקין"),"")</f>
        <v/>
      </c>
      <c r="AE828" s="374" t="str">
        <f t="shared" si="194"/>
        <v/>
      </c>
      <c r="AF828" s="532" t="str">
        <f t="shared" si="195"/>
        <v/>
      </c>
    </row>
    <row r="829" spans="2:32" x14ac:dyDescent="0.25">
      <c r="B829" s="695"/>
      <c r="C829" s="197" t="str">
        <f>IF(B829&lt;&gt;"",IFERROR(VLOOKUP(B:B,'מצבת והרשמה (2)'!$C$20:$N$520,2,0)," ")," ")</f>
        <v xml:space="preserve"> </v>
      </c>
      <c r="D829" s="695"/>
      <c r="E829" s="696"/>
      <c r="F829" s="696"/>
      <c r="G829" s="696"/>
      <c r="H829" s="696"/>
      <c r="I829" s="1050" t="str">
        <f t="shared" si="182"/>
        <v/>
      </c>
      <c r="J829" s="696"/>
      <c r="K829" s="697"/>
      <c r="L829" s="696"/>
      <c r="M829" s="198" t="str">
        <f t="shared" si="183"/>
        <v/>
      </c>
      <c r="N829" s="369" t="str">
        <f t="shared" si="184"/>
        <v/>
      </c>
      <c r="O829" s="183" t="str">
        <f t="shared" si="185"/>
        <v/>
      </c>
      <c r="P829" s="199" t="str">
        <f t="shared" si="186"/>
        <v/>
      </c>
      <c r="Q829" s="199" t="str">
        <f>IF(B829="","",IFERROR(IF('עלויות כח אדם (6)'!J829&gt;=VLOOKUP(I829,'סיווג התפקידים והעלויות'!$B$23:$C$32,2,0),"תקין","לא תקין"),""))</f>
        <v/>
      </c>
      <c r="R829" s="199" t="str">
        <f t="shared" si="187"/>
        <v/>
      </c>
      <c r="S829" s="199" t="str">
        <f t="shared" si="188"/>
        <v/>
      </c>
      <c r="T829" s="199" t="str">
        <f t="shared" si="196"/>
        <v/>
      </c>
      <c r="U829" s="199" t="str">
        <f t="shared" si="189"/>
        <v/>
      </c>
      <c r="V829" s="989"/>
      <c r="X829" s="374" t="str">
        <f t="shared" si="190"/>
        <v/>
      </c>
      <c r="Y829" s="375" t="str">
        <f t="shared" si="191"/>
        <v/>
      </c>
      <c r="Z829" s="374" t="str">
        <f t="shared" si="192"/>
        <v/>
      </c>
      <c r="AA829" s="374" t="b">
        <f t="shared" si="193"/>
        <v>1</v>
      </c>
      <c r="AB829" s="374">
        <f>COUNTIFS(B:B,B829,H:H,'סיווג התפקידים והעלויות'!$C$2)</f>
        <v>0</v>
      </c>
      <c r="AC829" s="374">
        <f>COUNTIFS(B:B,B829,H:H,'סיווג התפקידים והעלויות'!$D$2)</f>
        <v>0</v>
      </c>
      <c r="AD829" s="374" t="str">
        <f>IF(OR(AND(H829='סיווג התפקידים והעלויות'!$A$2,I829='סיווג התפקידים והעלויות'!$A$3),'עלויות כח אדם (6)'!H829='סיווג התפקידים והעלויות'!$C$2,'עלויות כח אדם (6)'!H829='סיווג התפקידים והעלויות'!$D$2),IF('עלויות כח אדם (6)'!J829&lt;75,"לא תקין","תקין"),"")</f>
        <v/>
      </c>
      <c r="AE829" s="374" t="str">
        <f t="shared" si="194"/>
        <v/>
      </c>
      <c r="AF829" s="532" t="str">
        <f t="shared" si="195"/>
        <v/>
      </c>
    </row>
    <row r="830" spans="2:32" x14ac:dyDescent="0.25">
      <c r="B830" s="695"/>
      <c r="C830" s="197" t="str">
        <f>IF(B830&lt;&gt;"",IFERROR(VLOOKUP(B:B,'מצבת והרשמה (2)'!$C$20:$N$520,2,0)," ")," ")</f>
        <v xml:space="preserve"> </v>
      </c>
      <c r="D830" s="695"/>
      <c r="E830" s="696"/>
      <c r="F830" s="696"/>
      <c r="G830" s="696"/>
      <c r="H830" s="696"/>
      <c r="I830" s="1050" t="str">
        <f t="shared" si="182"/>
        <v/>
      </c>
      <c r="J830" s="696"/>
      <c r="K830" s="697"/>
      <c r="L830" s="696"/>
      <c r="M830" s="198" t="str">
        <f t="shared" si="183"/>
        <v/>
      </c>
      <c r="N830" s="369" t="str">
        <f t="shared" si="184"/>
        <v/>
      </c>
      <c r="O830" s="183" t="str">
        <f t="shared" si="185"/>
        <v/>
      </c>
      <c r="P830" s="199" t="str">
        <f t="shared" si="186"/>
        <v/>
      </c>
      <c r="Q830" s="199" t="str">
        <f>IF(B830="","",IFERROR(IF('עלויות כח אדם (6)'!J830&gt;=VLOOKUP(I830,'סיווג התפקידים והעלויות'!$B$23:$C$32,2,0),"תקין","לא תקין"),""))</f>
        <v/>
      </c>
      <c r="R830" s="199" t="str">
        <f t="shared" si="187"/>
        <v/>
      </c>
      <c r="S830" s="199" t="str">
        <f t="shared" si="188"/>
        <v/>
      </c>
      <c r="T830" s="199" t="str">
        <f t="shared" si="196"/>
        <v/>
      </c>
      <c r="U830" s="199" t="str">
        <f t="shared" si="189"/>
        <v/>
      </c>
      <c r="V830" s="989"/>
      <c r="X830" s="374" t="str">
        <f t="shared" si="190"/>
        <v/>
      </c>
      <c r="Y830" s="375" t="str">
        <f t="shared" si="191"/>
        <v/>
      </c>
      <c r="Z830" s="374" t="str">
        <f t="shared" si="192"/>
        <v/>
      </c>
      <c r="AA830" s="374" t="b">
        <f t="shared" si="193"/>
        <v>1</v>
      </c>
      <c r="AB830" s="374">
        <f>COUNTIFS(B:B,B830,H:H,'סיווג התפקידים והעלויות'!$C$2)</f>
        <v>0</v>
      </c>
      <c r="AC830" s="374">
        <f>COUNTIFS(B:B,B830,H:H,'סיווג התפקידים והעלויות'!$D$2)</f>
        <v>0</v>
      </c>
      <c r="AD830" s="374" t="str">
        <f>IF(OR(AND(H830='סיווג התפקידים והעלויות'!$A$2,I830='סיווג התפקידים והעלויות'!$A$3),'עלויות כח אדם (6)'!H830='סיווג התפקידים והעלויות'!$C$2,'עלויות כח אדם (6)'!H830='סיווג התפקידים והעלויות'!$D$2),IF('עלויות כח אדם (6)'!J830&lt;75,"לא תקין","תקין"),"")</f>
        <v/>
      </c>
      <c r="AE830" s="374" t="str">
        <f t="shared" si="194"/>
        <v/>
      </c>
      <c r="AF830" s="532" t="str">
        <f t="shared" si="195"/>
        <v/>
      </c>
    </row>
    <row r="831" spans="2:32" x14ac:dyDescent="0.25">
      <c r="B831" s="695"/>
      <c r="C831" s="197" t="str">
        <f>IF(B831&lt;&gt;"",IFERROR(VLOOKUP(B:B,'מצבת והרשמה (2)'!$C$20:$N$520,2,0)," ")," ")</f>
        <v xml:space="preserve"> </v>
      </c>
      <c r="D831" s="695"/>
      <c r="E831" s="696"/>
      <c r="F831" s="696"/>
      <c r="G831" s="696"/>
      <c r="H831" s="696"/>
      <c r="I831" s="1050" t="str">
        <f t="shared" si="182"/>
        <v/>
      </c>
      <c r="J831" s="696"/>
      <c r="K831" s="697"/>
      <c r="L831" s="696"/>
      <c r="M831" s="198" t="str">
        <f t="shared" si="183"/>
        <v/>
      </c>
      <c r="N831" s="369" t="str">
        <f t="shared" si="184"/>
        <v/>
      </c>
      <c r="O831" s="183" t="str">
        <f t="shared" si="185"/>
        <v/>
      </c>
      <c r="P831" s="199" t="str">
        <f t="shared" si="186"/>
        <v/>
      </c>
      <c r="Q831" s="199" t="str">
        <f>IF(B831="","",IFERROR(IF('עלויות כח אדם (6)'!J831&gt;=VLOOKUP(I831,'סיווג התפקידים והעלויות'!$B$23:$C$32,2,0),"תקין","לא תקין"),""))</f>
        <v/>
      </c>
      <c r="R831" s="199" t="str">
        <f t="shared" si="187"/>
        <v/>
      </c>
      <c r="S831" s="199" t="str">
        <f t="shared" si="188"/>
        <v/>
      </c>
      <c r="T831" s="199" t="str">
        <f t="shared" si="196"/>
        <v/>
      </c>
      <c r="U831" s="199" t="str">
        <f t="shared" si="189"/>
        <v/>
      </c>
      <c r="V831" s="989"/>
      <c r="X831" s="374" t="str">
        <f t="shared" si="190"/>
        <v/>
      </c>
      <c r="Y831" s="375" t="str">
        <f t="shared" si="191"/>
        <v/>
      </c>
      <c r="Z831" s="374" t="str">
        <f t="shared" si="192"/>
        <v/>
      </c>
      <c r="AA831" s="374" t="b">
        <f t="shared" si="193"/>
        <v>1</v>
      </c>
      <c r="AB831" s="374">
        <f>COUNTIFS(B:B,B831,H:H,'סיווג התפקידים והעלויות'!$C$2)</f>
        <v>0</v>
      </c>
      <c r="AC831" s="374">
        <f>COUNTIFS(B:B,B831,H:H,'סיווג התפקידים והעלויות'!$D$2)</f>
        <v>0</v>
      </c>
      <c r="AD831" s="374" t="str">
        <f>IF(OR(AND(H831='סיווג התפקידים והעלויות'!$A$2,I831='סיווג התפקידים והעלויות'!$A$3),'עלויות כח אדם (6)'!H831='סיווג התפקידים והעלויות'!$C$2,'עלויות כח אדם (6)'!H831='סיווג התפקידים והעלויות'!$D$2),IF('עלויות כח אדם (6)'!J831&lt;75,"לא תקין","תקין"),"")</f>
        <v/>
      </c>
      <c r="AE831" s="374" t="str">
        <f t="shared" si="194"/>
        <v/>
      </c>
      <c r="AF831" s="532" t="str">
        <f t="shared" si="195"/>
        <v/>
      </c>
    </row>
    <row r="832" spans="2:32" x14ac:dyDescent="0.25">
      <c r="B832" s="695"/>
      <c r="C832" s="197" t="str">
        <f>IF(B832&lt;&gt;"",IFERROR(VLOOKUP(B:B,'מצבת והרשמה (2)'!$C$20:$N$520,2,0)," ")," ")</f>
        <v xml:space="preserve"> </v>
      </c>
      <c r="D832" s="695"/>
      <c r="E832" s="696"/>
      <c r="F832" s="696"/>
      <c r="G832" s="696"/>
      <c r="H832" s="696"/>
      <c r="I832" s="1050" t="str">
        <f t="shared" si="182"/>
        <v/>
      </c>
      <c r="J832" s="696"/>
      <c r="K832" s="697"/>
      <c r="L832" s="696"/>
      <c r="M832" s="198" t="str">
        <f t="shared" si="183"/>
        <v/>
      </c>
      <c r="N832" s="369" t="str">
        <f t="shared" si="184"/>
        <v/>
      </c>
      <c r="O832" s="183" t="str">
        <f t="shared" si="185"/>
        <v/>
      </c>
      <c r="P832" s="199" t="str">
        <f t="shared" si="186"/>
        <v/>
      </c>
      <c r="Q832" s="199" t="str">
        <f>IF(B832="","",IFERROR(IF('עלויות כח אדם (6)'!J832&gt;=VLOOKUP(I832,'סיווג התפקידים והעלויות'!$B$23:$C$32,2,0),"תקין","לא תקין"),""))</f>
        <v/>
      </c>
      <c r="R832" s="199" t="str">
        <f t="shared" si="187"/>
        <v/>
      </c>
      <c r="S832" s="199" t="str">
        <f t="shared" si="188"/>
        <v/>
      </c>
      <c r="T832" s="199" t="str">
        <f t="shared" si="196"/>
        <v/>
      </c>
      <c r="U832" s="199" t="str">
        <f t="shared" si="189"/>
        <v/>
      </c>
      <c r="V832" s="989"/>
      <c r="X832" s="374" t="str">
        <f t="shared" si="190"/>
        <v/>
      </c>
      <c r="Y832" s="375" t="str">
        <f t="shared" si="191"/>
        <v/>
      </c>
      <c r="Z832" s="374" t="str">
        <f t="shared" si="192"/>
        <v/>
      </c>
      <c r="AA832" s="374" t="b">
        <f t="shared" si="193"/>
        <v>1</v>
      </c>
      <c r="AB832" s="374">
        <f>COUNTIFS(B:B,B832,H:H,'סיווג התפקידים והעלויות'!$C$2)</f>
        <v>0</v>
      </c>
      <c r="AC832" s="374">
        <f>COUNTIFS(B:B,B832,H:H,'סיווג התפקידים והעלויות'!$D$2)</f>
        <v>0</v>
      </c>
      <c r="AD832" s="374" t="str">
        <f>IF(OR(AND(H832='סיווג התפקידים והעלויות'!$A$2,I832='סיווג התפקידים והעלויות'!$A$3),'עלויות כח אדם (6)'!H832='סיווג התפקידים והעלויות'!$C$2,'עלויות כח אדם (6)'!H832='סיווג התפקידים והעלויות'!$D$2),IF('עלויות כח אדם (6)'!J832&lt;75,"לא תקין","תקין"),"")</f>
        <v/>
      </c>
      <c r="AE832" s="374" t="str">
        <f t="shared" si="194"/>
        <v/>
      </c>
      <c r="AF832" s="532" t="str">
        <f t="shared" si="195"/>
        <v/>
      </c>
    </row>
    <row r="833" spans="2:32" x14ac:dyDescent="0.25">
      <c r="B833" s="695"/>
      <c r="C833" s="197" t="str">
        <f>IF(B833&lt;&gt;"",IFERROR(VLOOKUP(B:B,'מצבת והרשמה (2)'!$C$20:$N$520,2,0)," ")," ")</f>
        <v xml:space="preserve"> </v>
      </c>
      <c r="D833" s="695"/>
      <c r="E833" s="696"/>
      <c r="F833" s="696"/>
      <c r="G833" s="696"/>
      <c r="H833" s="696"/>
      <c r="I833" s="1050" t="str">
        <f t="shared" si="182"/>
        <v/>
      </c>
      <c r="J833" s="696"/>
      <c r="K833" s="697"/>
      <c r="L833" s="696"/>
      <c r="M833" s="198" t="str">
        <f t="shared" si="183"/>
        <v/>
      </c>
      <c r="N833" s="369" t="str">
        <f t="shared" si="184"/>
        <v/>
      </c>
      <c r="O833" s="183" t="str">
        <f t="shared" si="185"/>
        <v/>
      </c>
      <c r="P833" s="199" t="str">
        <f t="shared" si="186"/>
        <v/>
      </c>
      <c r="Q833" s="199" t="str">
        <f>IF(B833="","",IFERROR(IF('עלויות כח אדם (6)'!J833&gt;=VLOOKUP(I833,'סיווג התפקידים והעלויות'!$B$23:$C$32,2,0),"תקין","לא תקין"),""))</f>
        <v/>
      </c>
      <c r="R833" s="199" t="str">
        <f t="shared" si="187"/>
        <v/>
      </c>
      <c r="S833" s="199" t="str">
        <f t="shared" si="188"/>
        <v/>
      </c>
      <c r="T833" s="199" t="str">
        <f t="shared" si="196"/>
        <v/>
      </c>
      <c r="U833" s="199" t="str">
        <f t="shared" si="189"/>
        <v/>
      </c>
      <c r="V833" s="989"/>
      <c r="X833" s="374" t="str">
        <f t="shared" si="190"/>
        <v/>
      </c>
      <c r="Y833" s="375" t="str">
        <f t="shared" si="191"/>
        <v/>
      </c>
      <c r="Z833" s="374" t="str">
        <f t="shared" si="192"/>
        <v/>
      </c>
      <c r="AA833" s="374" t="b">
        <f t="shared" si="193"/>
        <v>1</v>
      </c>
      <c r="AB833" s="374">
        <f>COUNTIFS(B:B,B833,H:H,'סיווג התפקידים והעלויות'!$C$2)</f>
        <v>0</v>
      </c>
      <c r="AC833" s="374">
        <f>COUNTIFS(B:B,B833,H:H,'סיווג התפקידים והעלויות'!$D$2)</f>
        <v>0</v>
      </c>
      <c r="AD833" s="374" t="str">
        <f>IF(OR(AND(H833='סיווג התפקידים והעלויות'!$A$2,I833='סיווג התפקידים והעלויות'!$A$3),'עלויות כח אדם (6)'!H833='סיווג התפקידים והעלויות'!$C$2,'עלויות כח אדם (6)'!H833='סיווג התפקידים והעלויות'!$D$2),IF('עלויות כח אדם (6)'!J833&lt;75,"לא תקין","תקין"),"")</f>
        <v/>
      </c>
      <c r="AE833" s="374" t="str">
        <f t="shared" si="194"/>
        <v/>
      </c>
      <c r="AF833" s="532" t="str">
        <f t="shared" si="195"/>
        <v/>
      </c>
    </row>
    <row r="834" spans="2:32" x14ac:dyDescent="0.25">
      <c r="B834" s="695"/>
      <c r="C834" s="197" t="str">
        <f>IF(B834&lt;&gt;"",IFERROR(VLOOKUP(B:B,'מצבת והרשמה (2)'!$C$20:$N$520,2,0)," ")," ")</f>
        <v xml:space="preserve"> </v>
      </c>
      <c r="D834" s="695"/>
      <c r="E834" s="696"/>
      <c r="F834" s="696"/>
      <c r="G834" s="696"/>
      <c r="H834" s="696"/>
      <c r="I834" s="1050" t="str">
        <f t="shared" si="182"/>
        <v/>
      </c>
      <c r="J834" s="696"/>
      <c r="K834" s="697"/>
      <c r="L834" s="696"/>
      <c r="M834" s="198" t="str">
        <f t="shared" si="183"/>
        <v/>
      </c>
      <c r="N834" s="369" t="str">
        <f t="shared" si="184"/>
        <v/>
      </c>
      <c r="O834" s="183" t="str">
        <f t="shared" si="185"/>
        <v/>
      </c>
      <c r="P834" s="199" t="str">
        <f t="shared" si="186"/>
        <v/>
      </c>
      <c r="Q834" s="199" t="str">
        <f>IF(B834="","",IFERROR(IF('עלויות כח אדם (6)'!J834&gt;=VLOOKUP(I834,'סיווג התפקידים והעלויות'!$B$23:$C$32,2,0),"תקין","לא תקין"),""))</f>
        <v/>
      </c>
      <c r="R834" s="199" t="str">
        <f t="shared" si="187"/>
        <v/>
      </c>
      <c r="S834" s="199" t="str">
        <f t="shared" si="188"/>
        <v/>
      </c>
      <c r="T834" s="199" t="str">
        <f t="shared" si="196"/>
        <v/>
      </c>
      <c r="U834" s="199" t="str">
        <f t="shared" si="189"/>
        <v/>
      </c>
      <c r="V834" s="989"/>
      <c r="X834" s="374" t="str">
        <f t="shared" si="190"/>
        <v/>
      </c>
      <c r="Y834" s="375" t="str">
        <f t="shared" si="191"/>
        <v/>
      </c>
      <c r="Z834" s="374" t="str">
        <f t="shared" si="192"/>
        <v/>
      </c>
      <c r="AA834" s="374" t="b">
        <f t="shared" si="193"/>
        <v>1</v>
      </c>
      <c r="AB834" s="374">
        <f>COUNTIFS(B:B,B834,H:H,'סיווג התפקידים והעלויות'!$C$2)</f>
        <v>0</v>
      </c>
      <c r="AC834" s="374">
        <f>COUNTIFS(B:B,B834,H:H,'סיווג התפקידים והעלויות'!$D$2)</f>
        <v>0</v>
      </c>
      <c r="AD834" s="374" t="str">
        <f>IF(OR(AND(H834='סיווג התפקידים והעלויות'!$A$2,I834='סיווג התפקידים והעלויות'!$A$3),'עלויות כח אדם (6)'!H834='סיווג התפקידים והעלויות'!$C$2,'עלויות כח אדם (6)'!H834='סיווג התפקידים והעלויות'!$D$2),IF('עלויות כח אדם (6)'!J834&lt;75,"לא תקין","תקין"),"")</f>
        <v/>
      </c>
      <c r="AE834" s="374" t="str">
        <f t="shared" si="194"/>
        <v/>
      </c>
      <c r="AF834" s="532" t="str">
        <f t="shared" si="195"/>
        <v/>
      </c>
    </row>
    <row r="835" spans="2:32" x14ac:dyDescent="0.25">
      <c r="B835" s="695"/>
      <c r="C835" s="197" t="str">
        <f>IF(B835&lt;&gt;"",IFERROR(VLOOKUP(B:B,'מצבת והרשמה (2)'!$C$20:$N$520,2,0)," ")," ")</f>
        <v xml:space="preserve"> </v>
      </c>
      <c r="D835" s="695"/>
      <c r="E835" s="696"/>
      <c r="F835" s="696"/>
      <c r="G835" s="696"/>
      <c r="H835" s="696"/>
      <c r="I835" s="1050" t="str">
        <f t="shared" si="182"/>
        <v/>
      </c>
      <c r="J835" s="696"/>
      <c r="K835" s="697"/>
      <c r="L835" s="696"/>
      <c r="M835" s="198" t="str">
        <f t="shared" si="183"/>
        <v/>
      </c>
      <c r="N835" s="369" t="str">
        <f t="shared" si="184"/>
        <v/>
      </c>
      <c r="O835" s="183" t="str">
        <f t="shared" si="185"/>
        <v/>
      </c>
      <c r="P835" s="199" t="str">
        <f t="shared" si="186"/>
        <v/>
      </c>
      <c r="Q835" s="199" t="str">
        <f>IF(B835="","",IFERROR(IF('עלויות כח אדם (6)'!J835&gt;=VLOOKUP(I835,'סיווג התפקידים והעלויות'!$B$23:$C$32,2,0),"תקין","לא תקין"),""))</f>
        <v/>
      </c>
      <c r="R835" s="199" t="str">
        <f t="shared" si="187"/>
        <v/>
      </c>
      <c r="S835" s="199" t="str">
        <f t="shared" si="188"/>
        <v/>
      </c>
      <c r="T835" s="199" t="str">
        <f t="shared" si="196"/>
        <v/>
      </c>
      <c r="U835" s="199" t="str">
        <f t="shared" si="189"/>
        <v/>
      </c>
      <c r="V835" s="989"/>
      <c r="X835" s="374" t="str">
        <f t="shared" si="190"/>
        <v/>
      </c>
      <c r="Y835" s="375" t="str">
        <f t="shared" si="191"/>
        <v/>
      </c>
      <c r="Z835" s="374" t="str">
        <f t="shared" si="192"/>
        <v/>
      </c>
      <c r="AA835" s="374" t="b">
        <f t="shared" si="193"/>
        <v>1</v>
      </c>
      <c r="AB835" s="374">
        <f>COUNTIFS(B:B,B835,H:H,'סיווג התפקידים והעלויות'!$C$2)</f>
        <v>0</v>
      </c>
      <c r="AC835" s="374">
        <f>COUNTIFS(B:B,B835,H:H,'סיווג התפקידים והעלויות'!$D$2)</f>
        <v>0</v>
      </c>
      <c r="AD835" s="374" t="str">
        <f>IF(OR(AND(H835='סיווג התפקידים והעלויות'!$A$2,I835='סיווג התפקידים והעלויות'!$A$3),'עלויות כח אדם (6)'!H835='סיווג התפקידים והעלויות'!$C$2,'עלויות כח אדם (6)'!H835='סיווג התפקידים והעלויות'!$D$2),IF('עלויות כח אדם (6)'!J835&lt;75,"לא תקין","תקין"),"")</f>
        <v/>
      </c>
      <c r="AE835" s="374" t="str">
        <f t="shared" si="194"/>
        <v/>
      </c>
      <c r="AF835" s="532" t="str">
        <f t="shared" si="195"/>
        <v/>
      </c>
    </row>
    <row r="836" spans="2:32" x14ac:dyDescent="0.25">
      <c r="B836" s="695"/>
      <c r="C836" s="197" t="str">
        <f>IF(B836&lt;&gt;"",IFERROR(VLOOKUP(B:B,'מצבת והרשמה (2)'!$C$20:$N$520,2,0)," ")," ")</f>
        <v xml:space="preserve"> </v>
      </c>
      <c r="D836" s="695"/>
      <c r="E836" s="696"/>
      <c r="F836" s="696"/>
      <c r="G836" s="696"/>
      <c r="H836" s="696"/>
      <c r="I836" s="1050" t="str">
        <f t="shared" si="182"/>
        <v/>
      </c>
      <c r="J836" s="696"/>
      <c r="K836" s="697"/>
      <c r="L836" s="696"/>
      <c r="M836" s="198" t="str">
        <f t="shared" si="183"/>
        <v/>
      </c>
      <c r="N836" s="369" t="str">
        <f t="shared" si="184"/>
        <v/>
      </c>
      <c r="O836" s="183" t="str">
        <f t="shared" si="185"/>
        <v/>
      </c>
      <c r="P836" s="199" t="str">
        <f t="shared" si="186"/>
        <v/>
      </c>
      <c r="Q836" s="199" t="str">
        <f>IF(B836="","",IFERROR(IF('עלויות כח אדם (6)'!J836&gt;=VLOOKUP(I836,'סיווג התפקידים והעלויות'!$B$23:$C$32,2,0),"תקין","לא תקין"),""))</f>
        <v/>
      </c>
      <c r="R836" s="199" t="str">
        <f t="shared" si="187"/>
        <v/>
      </c>
      <c r="S836" s="199" t="str">
        <f t="shared" si="188"/>
        <v/>
      </c>
      <c r="T836" s="199" t="str">
        <f t="shared" si="196"/>
        <v/>
      </c>
      <c r="U836" s="199" t="str">
        <f t="shared" si="189"/>
        <v/>
      </c>
      <c r="V836" s="989"/>
      <c r="X836" s="374" t="str">
        <f t="shared" si="190"/>
        <v/>
      </c>
      <c r="Y836" s="375" t="str">
        <f t="shared" si="191"/>
        <v/>
      </c>
      <c r="Z836" s="374" t="str">
        <f t="shared" si="192"/>
        <v/>
      </c>
      <c r="AA836" s="374" t="b">
        <f t="shared" si="193"/>
        <v>1</v>
      </c>
      <c r="AB836" s="374">
        <f>COUNTIFS(B:B,B836,H:H,'סיווג התפקידים והעלויות'!$C$2)</f>
        <v>0</v>
      </c>
      <c r="AC836" s="374">
        <f>COUNTIFS(B:B,B836,H:H,'סיווג התפקידים והעלויות'!$D$2)</f>
        <v>0</v>
      </c>
      <c r="AD836" s="374" t="str">
        <f>IF(OR(AND(H836='סיווג התפקידים והעלויות'!$A$2,I836='סיווג התפקידים והעלויות'!$A$3),'עלויות כח אדם (6)'!H836='סיווג התפקידים והעלויות'!$C$2,'עלויות כח אדם (6)'!H836='סיווג התפקידים והעלויות'!$D$2),IF('עלויות כח אדם (6)'!J836&lt;75,"לא תקין","תקין"),"")</f>
        <v/>
      </c>
      <c r="AE836" s="374" t="str">
        <f t="shared" si="194"/>
        <v/>
      </c>
      <c r="AF836" s="532" t="str">
        <f t="shared" si="195"/>
        <v/>
      </c>
    </row>
    <row r="837" spans="2:32" x14ac:dyDescent="0.25">
      <c r="B837" s="695"/>
      <c r="C837" s="197" t="str">
        <f>IF(B837&lt;&gt;"",IFERROR(VLOOKUP(B:B,'מצבת והרשמה (2)'!$C$20:$N$520,2,0)," ")," ")</f>
        <v xml:space="preserve"> </v>
      </c>
      <c r="D837" s="695"/>
      <c r="E837" s="696"/>
      <c r="F837" s="696"/>
      <c r="G837" s="696"/>
      <c r="H837" s="696"/>
      <c r="I837" s="1050" t="str">
        <f t="shared" si="182"/>
        <v/>
      </c>
      <c r="J837" s="696"/>
      <c r="K837" s="697"/>
      <c r="L837" s="696"/>
      <c r="M837" s="198" t="str">
        <f t="shared" si="183"/>
        <v/>
      </c>
      <c r="N837" s="369" t="str">
        <f t="shared" si="184"/>
        <v/>
      </c>
      <c r="O837" s="183" t="str">
        <f t="shared" si="185"/>
        <v/>
      </c>
      <c r="P837" s="199" t="str">
        <f t="shared" si="186"/>
        <v/>
      </c>
      <c r="Q837" s="199" t="str">
        <f>IF(B837="","",IFERROR(IF('עלויות כח אדם (6)'!J837&gt;=VLOOKUP(I837,'סיווג התפקידים והעלויות'!$B$23:$C$32,2,0),"תקין","לא תקין"),""))</f>
        <v/>
      </c>
      <c r="R837" s="199" t="str">
        <f t="shared" si="187"/>
        <v/>
      </c>
      <c r="S837" s="199" t="str">
        <f t="shared" si="188"/>
        <v/>
      </c>
      <c r="T837" s="199" t="str">
        <f t="shared" si="196"/>
        <v/>
      </c>
      <c r="U837" s="199" t="str">
        <f t="shared" si="189"/>
        <v/>
      </c>
      <c r="V837" s="989"/>
      <c r="X837" s="374" t="str">
        <f t="shared" si="190"/>
        <v/>
      </c>
      <c r="Y837" s="375" t="str">
        <f t="shared" si="191"/>
        <v/>
      </c>
      <c r="Z837" s="374" t="str">
        <f t="shared" si="192"/>
        <v/>
      </c>
      <c r="AA837" s="374" t="b">
        <f t="shared" si="193"/>
        <v>1</v>
      </c>
      <c r="AB837" s="374">
        <f>COUNTIFS(B:B,B837,H:H,'סיווג התפקידים והעלויות'!$C$2)</f>
        <v>0</v>
      </c>
      <c r="AC837" s="374">
        <f>COUNTIFS(B:B,B837,H:H,'סיווג התפקידים והעלויות'!$D$2)</f>
        <v>0</v>
      </c>
      <c r="AD837" s="374" t="str">
        <f>IF(OR(AND(H837='סיווג התפקידים והעלויות'!$A$2,I837='סיווג התפקידים והעלויות'!$A$3),'עלויות כח אדם (6)'!H837='סיווג התפקידים והעלויות'!$C$2,'עלויות כח אדם (6)'!H837='סיווג התפקידים והעלויות'!$D$2),IF('עלויות כח אדם (6)'!J837&lt;75,"לא תקין","תקין"),"")</f>
        <v/>
      </c>
      <c r="AE837" s="374" t="str">
        <f t="shared" si="194"/>
        <v/>
      </c>
      <c r="AF837" s="532" t="str">
        <f t="shared" si="195"/>
        <v/>
      </c>
    </row>
    <row r="838" spans="2:32" x14ac:dyDescent="0.25">
      <c r="B838" s="695"/>
      <c r="C838" s="197" t="str">
        <f>IF(B838&lt;&gt;"",IFERROR(VLOOKUP(B:B,'מצבת והרשמה (2)'!$C$20:$N$520,2,0)," ")," ")</f>
        <v xml:space="preserve"> </v>
      </c>
      <c r="D838" s="695"/>
      <c r="E838" s="696"/>
      <c r="F838" s="696"/>
      <c r="G838" s="696"/>
      <c r="H838" s="696"/>
      <c r="I838" s="1050" t="str">
        <f t="shared" si="182"/>
        <v/>
      </c>
      <c r="J838" s="696"/>
      <c r="K838" s="697"/>
      <c r="L838" s="696"/>
      <c r="M838" s="198" t="str">
        <f t="shared" si="183"/>
        <v/>
      </c>
      <c r="N838" s="369" t="str">
        <f t="shared" si="184"/>
        <v/>
      </c>
      <c r="O838" s="183" t="str">
        <f t="shared" si="185"/>
        <v/>
      </c>
      <c r="P838" s="199" t="str">
        <f t="shared" si="186"/>
        <v/>
      </c>
      <c r="Q838" s="199" t="str">
        <f>IF(B838="","",IFERROR(IF('עלויות כח אדם (6)'!J838&gt;=VLOOKUP(I838,'סיווג התפקידים והעלויות'!$B$23:$C$32,2,0),"תקין","לא תקין"),""))</f>
        <v/>
      </c>
      <c r="R838" s="199" t="str">
        <f t="shared" si="187"/>
        <v/>
      </c>
      <c r="S838" s="199" t="str">
        <f t="shared" si="188"/>
        <v/>
      </c>
      <c r="T838" s="199" t="str">
        <f t="shared" si="196"/>
        <v/>
      </c>
      <c r="U838" s="199" t="str">
        <f t="shared" si="189"/>
        <v/>
      </c>
      <c r="V838" s="989"/>
      <c r="X838" s="374" t="str">
        <f t="shared" si="190"/>
        <v/>
      </c>
      <c r="Y838" s="375" t="str">
        <f t="shared" si="191"/>
        <v/>
      </c>
      <c r="Z838" s="374" t="str">
        <f t="shared" si="192"/>
        <v/>
      </c>
      <c r="AA838" s="374" t="b">
        <f t="shared" si="193"/>
        <v>1</v>
      </c>
      <c r="AB838" s="374">
        <f>COUNTIFS(B:B,B838,H:H,'סיווג התפקידים והעלויות'!$C$2)</f>
        <v>0</v>
      </c>
      <c r="AC838" s="374">
        <f>COUNTIFS(B:B,B838,H:H,'סיווג התפקידים והעלויות'!$D$2)</f>
        <v>0</v>
      </c>
      <c r="AD838" s="374" t="str">
        <f>IF(OR(AND(H838='סיווג התפקידים והעלויות'!$A$2,I838='סיווג התפקידים והעלויות'!$A$3),'עלויות כח אדם (6)'!H838='סיווג התפקידים והעלויות'!$C$2,'עלויות כח אדם (6)'!H838='סיווג התפקידים והעלויות'!$D$2),IF('עלויות כח אדם (6)'!J838&lt;75,"לא תקין","תקין"),"")</f>
        <v/>
      </c>
      <c r="AE838" s="374" t="str">
        <f t="shared" si="194"/>
        <v/>
      </c>
      <c r="AF838" s="532" t="str">
        <f t="shared" si="195"/>
        <v/>
      </c>
    </row>
    <row r="839" spans="2:32" x14ac:dyDescent="0.25">
      <c r="B839" s="695"/>
      <c r="C839" s="197" t="str">
        <f>IF(B839&lt;&gt;"",IFERROR(VLOOKUP(B:B,'מצבת והרשמה (2)'!$C$20:$N$520,2,0)," ")," ")</f>
        <v xml:space="preserve"> </v>
      </c>
      <c r="D839" s="695"/>
      <c r="E839" s="696"/>
      <c r="F839" s="696"/>
      <c r="G839" s="696"/>
      <c r="H839" s="696"/>
      <c r="I839" s="1050" t="str">
        <f t="shared" si="182"/>
        <v/>
      </c>
      <c r="J839" s="696"/>
      <c r="K839" s="697"/>
      <c r="L839" s="696"/>
      <c r="M839" s="198" t="str">
        <f t="shared" si="183"/>
        <v/>
      </c>
      <c r="N839" s="369" t="str">
        <f t="shared" si="184"/>
        <v/>
      </c>
      <c r="O839" s="183" t="str">
        <f t="shared" si="185"/>
        <v/>
      </c>
      <c r="P839" s="199" t="str">
        <f t="shared" si="186"/>
        <v/>
      </c>
      <c r="Q839" s="199" t="str">
        <f>IF(B839="","",IFERROR(IF('עלויות כח אדם (6)'!J839&gt;=VLOOKUP(I839,'סיווג התפקידים והעלויות'!$B$23:$C$32,2,0),"תקין","לא תקין"),""))</f>
        <v/>
      </c>
      <c r="R839" s="199" t="str">
        <f t="shared" si="187"/>
        <v/>
      </c>
      <c r="S839" s="199" t="str">
        <f t="shared" si="188"/>
        <v/>
      </c>
      <c r="T839" s="199" t="str">
        <f t="shared" si="196"/>
        <v/>
      </c>
      <c r="U839" s="199" t="str">
        <f t="shared" si="189"/>
        <v/>
      </c>
      <c r="V839" s="989"/>
      <c r="X839" s="374" t="str">
        <f t="shared" si="190"/>
        <v/>
      </c>
      <c r="Y839" s="375" t="str">
        <f t="shared" si="191"/>
        <v/>
      </c>
      <c r="Z839" s="374" t="str">
        <f t="shared" si="192"/>
        <v/>
      </c>
      <c r="AA839" s="374" t="b">
        <f t="shared" si="193"/>
        <v>1</v>
      </c>
      <c r="AB839" s="374">
        <f>COUNTIFS(B:B,B839,H:H,'סיווג התפקידים והעלויות'!$C$2)</f>
        <v>0</v>
      </c>
      <c r="AC839" s="374">
        <f>COUNTIFS(B:B,B839,H:H,'סיווג התפקידים והעלויות'!$D$2)</f>
        <v>0</v>
      </c>
      <c r="AD839" s="374" t="str">
        <f>IF(OR(AND(H839='סיווג התפקידים והעלויות'!$A$2,I839='סיווג התפקידים והעלויות'!$A$3),'עלויות כח אדם (6)'!H839='סיווג התפקידים והעלויות'!$C$2,'עלויות כח אדם (6)'!H839='סיווג התפקידים והעלויות'!$D$2),IF('עלויות כח אדם (6)'!J839&lt;75,"לא תקין","תקין"),"")</f>
        <v/>
      </c>
      <c r="AE839" s="374" t="str">
        <f t="shared" si="194"/>
        <v/>
      </c>
      <c r="AF839" s="532" t="str">
        <f t="shared" si="195"/>
        <v/>
      </c>
    </row>
    <row r="840" spans="2:32" x14ac:dyDescent="0.25">
      <c r="B840" s="695"/>
      <c r="C840" s="197" t="str">
        <f>IF(B840&lt;&gt;"",IFERROR(VLOOKUP(B:B,'מצבת והרשמה (2)'!$C$20:$N$520,2,0)," ")," ")</f>
        <v xml:space="preserve"> </v>
      </c>
      <c r="D840" s="695"/>
      <c r="E840" s="696"/>
      <c r="F840" s="696"/>
      <c r="G840" s="696"/>
      <c r="H840" s="696"/>
      <c r="I840" s="1050" t="str">
        <f t="shared" si="182"/>
        <v/>
      </c>
      <c r="J840" s="696"/>
      <c r="K840" s="697"/>
      <c r="L840" s="696"/>
      <c r="M840" s="198" t="str">
        <f t="shared" si="183"/>
        <v/>
      </c>
      <c r="N840" s="369" t="str">
        <f t="shared" si="184"/>
        <v/>
      </c>
      <c r="O840" s="183" t="str">
        <f t="shared" si="185"/>
        <v/>
      </c>
      <c r="P840" s="199" t="str">
        <f t="shared" si="186"/>
        <v/>
      </c>
      <c r="Q840" s="199" t="str">
        <f>IF(B840="","",IFERROR(IF('עלויות כח אדם (6)'!J840&gt;=VLOOKUP(I840,'סיווג התפקידים והעלויות'!$B$23:$C$32,2,0),"תקין","לא תקין"),""))</f>
        <v/>
      </c>
      <c r="R840" s="199" t="str">
        <f t="shared" si="187"/>
        <v/>
      </c>
      <c r="S840" s="199" t="str">
        <f t="shared" si="188"/>
        <v/>
      </c>
      <c r="T840" s="199" t="str">
        <f t="shared" si="196"/>
        <v/>
      </c>
      <c r="U840" s="199" t="str">
        <f t="shared" si="189"/>
        <v/>
      </c>
      <c r="V840" s="989"/>
      <c r="X840" s="374" t="str">
        <f t="shared" si="190"/>
        <v/>
      </c>
      <c r="Y840" s="375" t="str">
        <f t="shared" si="191"/>
        <v/>
      </c>
      <c r="Z840" s="374" t="str">
        <f t="shared" si="192"/>
        <v/>
      </c>
      <c r="AA840" s="374" t="b">
        <f t="shared" si="193"/>
        <v>1</v>
      </c>
      <c r="AB840" s="374">
        <f>COUNTIFS(B:B,B840,H:H,'סיווג התפקידים והעלויות'!$C$2)</f>
        <v>0</v>
      </c>
      <c r="AC840" s="374">
        <f>COUNTIFS(B:B,B840,H:H,'סיווג התפקידים והעלויות'!$D$2)</f>
        <v>0</v>
      </c>
      <c r="AD840" s="374" t="str">
        <f>IF(OR(AND(H840='סיווג התפקידים והעלויות'!$A$2,I840='סיווג התפקידים והעלויות'!$A$3),'עלויות כח אדם (6)'!H840='סיווג התפקידים והעלויות'!$C$2,'עלויות כח אדם (6)'!H840='סיווג התפקידים והעלויות'!$D$2),IF('עלויות כח אדם (6)'!J840&lt;75,"לא תקין","תקין"),"")</f>
        <v/>
      </c>
      <c r="AE840" s="374" t="str">
        <f t="shared" si="194"/>
        <v/>
      </c>
      <c r="AF840" s="532" t="str">
        <f t="shared" si="195"/>
        <v/>
      </c>
    </row>
    <row r="841" spans="2:32" x14ac:dyDescent="0.25">
      <c r="B841" s="695"/>
      <c r="C841" s="197" t="str">
        <f>IF(B841&lt;&gt;"",IFERROR(VLOOKUP(B:B,'מצבת והרשמה (2)'!$C$20:$N$520,2,0)," ")," ")</f>
        <v xml:space="preserve"> </v>
      </c>
      <c r="D841" s="695"/>
      <c r="E841" s="696"/>
      <c r="F841" s="696"/>
      <c r="G841" s="696"/>
      <c r="H841" s="696"/>
      <c r="I841" s="1050" t="str">
        <f t="shared" si="182"/>
        <v/>
      </c>
      <c r="J841" s="696"/>
      <c r="K841" s="697"/>
      <c r="L841" s="696"/>
      <c r="M841" s="198" t="str">
        <f t="shared" si="183"/>
        <v/>
      </c>
      <c r="N841" s="369" t="str">
        <f t="shared" si="184"/>
        <v/>
      </c>
      <c r="O841" s="183" t="str">
        <f t="shared" si="185"/>
        <v/>
      </c>
      <c r="P841" s="199" t="str">
        <f t="shared" si="186"/>
        <v/>
      </c>
      <c r="Q841" s="199" t="str">
        <f>IF(B841="","",IFERROR(IF('עלויות כח אדם (6)'!J841&gt;=VLOOKUP(I841,'סיווג התפקידים והעלויות'!$B$23:$C$32,2,0),"תקין","לא תקין"),""))</f>
        <v/>
      </c>
      <c r="R841" s="199" t="str">
        <f t="shared" si="187"/>
        <v/>
      </c>
      <c r="S841" s="199" t="str">
        <f t="shared" si="188"/>
        <v/>
      </c>
      <c r="T841" s="199" t="str">
        <f t="shared" si="196"/>
        <v/>
      </c>
      <c r="U841" s="199" t="str">
        <f t="shared" si="189"/>
        <v/>
      </c>
      <c r="V841" s="989"/>
      <c r="X841" s="374" t="str">
        <f t="shared" si="190"/>
        <v/>
      </c>
      <c r="Y841" s="375" t="str">
        <f t="shared" si="191"/>
        <v/>
      </c>
      <c r="Z841" s="374" t="str">
        <f t="shared" si="192"/>
        <v/>
      </c>
      <c r="AA841" s="374" t="b">
        <f t="shared" si="193"/>
        <v>1</v>
      </c>
      <c r="AB841" s="374">
        <f>COUNTIFS(B:B,B841,H:H,'סיווג התפקידים והעלויות'!$C$2)</f>
        <v>0</v>
      </c>
      <c r="AC841" s="374">
        <f>COUNTIFS(B:B,B841,H:H,'סיווג התפקידים והעלויות'!$D$2)</f>
        <v>0</v>
      </c>
      <c r="AD841" s="374" t="str">
        <f>IF(OR(AND(H841='סיווג התפקידים והעלויות'!$A$2,I841='סיווג התפקידים והעלויות'!$A$3),'עלויות כח אדם (6)'!H841='סיווג התפקידים והעלויות'!$C$2,'עלויות כח אדם (6)'!H841='סיווג התפקידים והעלויות'!$D$2),IF('עלויות כח אדם (6)'!J841&lt;75,"לא תקין","תקין"),"")</f>
        <v/>
      </c>
      <c r="AE841" s="374" t="str">
        <f t="shared" si="194"/>
        <v/>
      </c>
      <c r="AF841" s="532" t="str">
        <f t="shared" si="195"/>
        <v/>
      </c>
    </row>
    <row r="842" spans="2:32" x14ac:dyDescent="0.25">
      <c r="B842" s="695"/>
      <c r="C842" s="197" t="str">
        <f>IF(B842&lt;&gt;"",IFERROR(VLOOKUP(B:B,'מצבת והרשמה (2)'!$C$20:$N$520,2,0)," ")," ")</f>
        <v xml:space="preserve"> </v>
      </c>
      <c r="D842" s="695"/>
      <c r="E842" s="696"/>
      <c r="F842" s="696"/>
      <c r="G842" s="696"/>
      <c r="H842" s="696"/>
      <c r="I842" s="1050" t="str">
        <f t="shared" si="182"/>
        <v/>
      </c>
      <c r="J842" s="696"/>
      <c r="K842" s="697"/>
      <c r="L842" s="696"/>
      <c r="M842" s="198" t="str">
        <f t="shared" si="183"/>
        <v/>
      </c>
      <c r="N842" s="369" t="str">
        <f t="shared" si="184"/>
        <v/>
      </c>
      <c r="O842" s="183" t="str">
        <f t="shared" si="185"/>
        <v/>
      </c>
      <c r="P842" s="199" t="str">
        <f t="shared" si="186"/>
        <v/>
      </c>
      <c r="Q842" s="199" t="str">
        <f>IF(B842="","",IFERROR(IF('עלויות כח אדם (6)'!J842&gt;=VLOOKUP(I842,'סיווג התפקידים והעלויות'!$B$23:$C$32,2,0),"תקין","לא תקין"),""))</f>
        <v/>
      </c>
      <c r="R842" s="199" t="str">
        <f t="shared" si="187"/>
        <v/>
      </c>
      <c r="S842" s="199" t="str">
        <f t="shared" si="188"/>
        <v/>
      </c>
      <c r="T842" s="199" t="str">
        <f t="shared" si="196"/>
        <v/>
      </c>
      <c r="U842" s="199" t="str">
        <f t="shared" si="189"/>
        <v/>
      </c>
      <c r="V842" s="989"/>
      <c r="X842" s="374" t="str">
        <f t="shared" si="190"/>
        <v/>
      </c>
      <c r="Y842" s="375" t="str">
        <f t="shared" si="191"/>
        <v/>
      </c>
      <c r="Z842" s="374" t="str">
        <f t="shared" si="192"/>
        <v/>
      </c>
      <c r="AA842" s="374" t="b">
        <f t="shared" si="193"/>
        <v>1</v>
      </c>
      <c r="AB842" s="374">
        <f>COUNTIFS(B:B,B842,H:H,'סיווג התפקידים והעלויות'!$C$2)</f>
        <v>0</v>
      </c>
      <c r="AC842" s="374">
        <f>COUNTIFS(B:B,B842,H:H,'סיווג התפקידים והעלויות'!$D$2)</f>
        <v>0</v>
      </c>
      <c r="AD842" s="374" t="str">
        <f>IF(OR(AND(H842='סיווג התפקידים והעלויות'!$A$2,I842='סיווג התפקידים והעלויות'!$A$3),'עלויות כח אדם (6)'!H842='סיווג התפקידים והעלויות'!$C$2,'עלויות כח אדם (6)'!H842='סיווג התפקידים והעלויות'!$D$2),IF('עלויות כח אדם (6)'!J842&lt;75,"לא תקין","תקין"),"")</f>
        <v/>
      </c>
      <c r="AE842" s="374" t="str">
        <f t="shared" si="194"/>
        <v/>
      </c>
      <c r="AF842" s="532" t="str">
        <f t="shared" si="195"/>
        <v/>
      </c>
    </row>
    <row r="843" spans="2:32" x14ac:dyDescent="0.25">
      <c r="B843" s="695"/>
      <c r="C843" s="197" t="str">
        <f>IF(B843&lt;&gt;"",IFERROR(VLOOKUP(B:B,'מצבת והרשמה (2)'!$C$20:$N$520,2,0)," ")," ")</f>
        <v xml:space="preserve"> </v>
      </c>
      <c r="D843" s="695"/>
      <c r="E843" s="696"/>
      <c r="F843" s="696"/>
      <c r="G843" s="696"/>
      <c r="H843" s="696"/>
      <c r="I843" s="1050" t="str">
        <f t="shared" si="182"/>
        <v/>
      </c>
      <c r="J843" s="696"/>
      <c r="K843" s="697"/>
      <c r="L843" s="696"/>
      <c r="M843" s="198" t="str">
        <f t="shared" si="183"/>
        <v/>
      </c>
      <c r="N843" s="369" t="str">
        <f t="shared" si="184"/>
        <v/>
      </c>
      <c r="O843" s="183" t="str">
        <f t="shared" si="185"/>
        <v/>
      </c>
      <c r="P843" s="199" t="str">
        <f t="shared" si="186"/>
        <v/>
      </c>
      <c r="Q843" s="199" t="str">
        <f>IF(B843="","",IFERROR(IF('עלויות כח אדם (6)'!J843&gt;=VLOOKUP(I843,'סיווג התפקידים והעלויות'!$B$23:$C$32,2,0),"תקין","לא תקין"),""))</f>
        <v/>
      </c>
      <c r="R843" s="199" t="str">
        <f t="shared" si="187"/>
        <v/>
      </c>
      <c r="S843" s="199" t="str">
        <f t="shared" si="188"/>
        <v/>
      </c>
      <c r="T843" s="199" t="str">
        <f t="shared" si="196"/>
        <v/>
      </c>
      <c r="U843" s="199" t="str">
        <f t="shared" si="189"/>
        <v/>
      </c>
      <c r="V843" s="989"/>
      <c r="X843" s="374" t="str">
        <f t="shared" si="190"/>
        <v/>
      </c>
      <c r="Y843" s="375" t="str">
        <f t="shared" si="191"/>
        <v/>
      </c>
      <c r="Z843" s="374" t="str">
        <f t="shared" si="192"/>
        <v/>
      </c>
      <c r="AA843" s="374" t="b">
        <f t="shared" si="193"/>
        <v>1</v>
      </c>
      <c r="AB843" s="374">
        <f>COUNTIFS(B:B,B843,H:H,'סיווג התפקידים והעלויות'!$C$2)</f>
        <v>0</v>
      </c>
      <c r="AC843" s="374">
        <f>COUNTIFS(B:B,B843,H:H,'סיווג התפקידים והעלויות'!$D$2)</f>
        <v>0</v>
      </c>
      <c r="AD843" s="374" t="str">
        <f>IF(OR(AND(H843='סיווג התפקידים והעלויות'!$A$2,I843='סיווג התפקידים והעלויות'!$A$3),'עלויות כח אדם (6)'!H843='סיווג התפקידים והעלויות'!$C$2,'עלויות כח אדם (6)'!H843='סיווג התפקידים והעלויות'!$D$2),IF('עלויות כח אדם (6)'!J843&lt;75,"לא תקין","תקין"),"")</f>
        <v/>
      </c>
      <c r="AE843" s="374" t="str">
        <f t="shared" si="194"/>
        <v/>
      </c>
      <c r="AF843" s="532" t="str">
        <f t="shared" si="195"/>
        <v/>
      </c>
    </row>
    <row r="844" spans="2:32" x14ac:dyDescent="0.25">
      <c r="B844" s="695"/>
      <c r="C844" s="197" t="str">
        <f>IF(B844&lt;&gt;"",IFERROR(VLOOKUP(B:B,'מצבת והרשמה (2)'!$C$20:$N$520,2,0)," ")," ")</f>
        <v xml:space="preserve"> </v>
      </c>
      <c r="D844" s="695"/>
      <c r="E844" s="696"/>
      <c r="F844" s="696"/>
      <c r="G844" s="696"/>
      <c r="H844" s="696"/>
      <c r="I844" s="1050" t="str">
        <f t="shared" si="182"/>
        <v/>
      </c>
      <c r="J844" s="696"/>
      <c r="K844" s="697"/>
      <c r="L844" s="696"/>
      <c r="M844" s="198" t="str">
        <f t="shared" si="183"/>
        <v/>
      </c>
      <c r="N844" s="369" t="str">
        <f t="shared" si="184"/>
        <v/>
      </c>
      <c r="O844" s="183" t="str">
        <f t="shared" si="185"/>
        <v/>
      </c>
      <c r="P844" s="199" t="str">
        <f t="shared" si="186"/>
        <v/>
      </c>
      <c r="Q844" s="199" t="str">
        <f>IF(B844="","",IFERROR(IF('עלויות כח אדם (6)'!J844&gt;=VLOOKUP(I844,'סיווג התפקידים והעלויות'!$B$23:$C$32,2,0),"תקין","לא תקין"),""))</f>
        <v/>
      </c>
      <c r="R844" s="199" t="str">
        <f t="shared" si="187"/>
        <v/>
      </c>
      <c r="S844" s="199" t="str">
        <f t="shared" si="188"/>
        <v/>
      </c>
      <c r="T844" s="199" t="str">
        <f t="shared" si="196"/>
        <v/>
      </c>
      <c r="U844" s="199" t="str">
        <f t="shared" si="189"/>
        <v/>
      </c>
      <c r="V844" s="989"/>
      <c r="X844" s="374" t="str">
        <f t="shared" si="190"/>
        <v/>
      </c>
      <c r="Y844" s="375" t="str">
        <f t="shared" si="191"/>
        <v/>
      </c>
      <c r="Z844" s="374" t="str">
        <f t="shared" si="192"/>
        <v/>
      </c>
      <c r="AA844" s="374" t="b">
        <f t="shared" si="193"/>
        <v>1</v>
      </c>
      <c r="AB844" s="374">
        <f>COUNTIFS(B:B,B844,H:H,'סיווג התפקידים והעלויות'!$C$2)</f>
        <v>0</v>
      </c>
      <c r="AC844" s="374">
        <f>COUNTIFS(B:B,B844,H:H,'סיווג התפקידים והעלויות'!$D$2)</f>
        <v>0</v>
      </c>
      <c r="AD844" s="374" t="str">
        <f>IF(OR(AND(H844='סיווג התפקידים והעלויות'!$A$2,I844='סיווג התפקידים והעלויות'!$A$3),'עלויות כח אדם (6)'!H844='סיווג התפקידים והעלויות'!$C$2,'עלויות כח אדם (6)'!H844='סיווג התפקידים והעלויות'!$D$2),IF('עלויות כח אדם (6)'!J844&lt;75,"לא תקין","תקין"),"")</f>
        <v/>
      </c>
      <c r="AE844" s="374" t="str">
        <f t="shared" si="194"/>
        <v/>
      </c>
      <c r="AF844" s="532" t="str">
        <f t="shared" si="195"/>
        <v/>
      </c>
    </row>
    <row r="845" spans="2:32" x14ac:dyDescent="0.25">
      <c r="B845" s="695"/>
      <c r="C845" s="197" t="str">
        <f>IF(B845&lt;&gt;"",IFERROR(VLOOKUP(B:B,'מצבת והרשמה (2)'!$C$20:$N$520,2,0)," ")," ")</f>
        <v xml:space="preserve"> </v>
      </c>
      <c r="D845" s="695"/>
      <c r="E845" s="696"/>
      <c r="F845" s="696"/>
      <c r="G845" s="696"/>
      <c r="H845" s="696"/>
      <c r="I845" s="1050" t="str">
        <f t="shared" si="182"/>
        <v/>
      </c>
      <c r="J845" s="696"/>
      <c r="K845" s="697"/>
      <c r="L845" s="696"/>
      <c r="M845" s="198" t="str">
        <f t="shared" si="183"/>
        <v/>
      </c>
      <c r="N845" s="369" t="str">
        <f t="shared" si="184"/>
        <v/>
      </c>
      <c r="O845" s="183" t="str">
        <f t="shared" si="185"/>
        <v/>
      </c>
      <c r="P845" s="199" t="str">
        <f t="shared" si="186"/>
        <v/>
      </c>
      <c r="Q845" s="199" t="str">
        <f>IF(B845="","",IFERROR(IF('עלויות כח אדם (6)'!J845&gt;=VLOOKUP(I845,'סיווג התפקידים והעלויות'!$B$23:$C$32,2,0),"תקין","לא תקין"),""))</f>
        <v/>
      </c>
      <c r="R845" s="199" t="str">
        <f t="shared" si="187"/>
        <v/>
      </c>
      <c r="S845" s="199" t="str">
        <f t="shared" si="188"/>
        <v/>
      </c>
      <c r="T845" s="199" t="str">
        <f t="shared" si="196"/>
        <v/>
      </c>
      <c r="U845" s="199" t="str">
        <f t="shared" si="189"/>
        <v/>
      </c>
      <c r="V845" s="989"/>
      <c r="X845" s="374" t="str">
        <f t="shared" si="190"/>
        <v/>
      </c>
      <c r="Y845" s="375" t="str">
        <f t="shared" si="191"/>
        <v/>
      </c>
      <c r="Z845" s="374" t="str">
        <f t="shared" si="192"/>
        <v/>
      </c>
      <c r="AA845" s="374" t="b">
        <f t="shared" si="193"/>
        <v>1</v>
      </c>
      <c r="AB845" s="374">
        <f>COUNTIFS(B:B,B845,H:H,'סיווג התפקידים והעלויות'!$C$2)</f>
        <v>0</v>
      </c>
      <c r="AC845" s="374">
        <f>COUNTIFS(B:B,B845,H:H,'סיווג התפקידים והעלויות'!$D$2)</f>
        <v>0</v>
      </c>
      <c r="AD845" s="374" t="str">
        <f>IF(OR(AND(H845='סיווג התפקידים והעלויות'!$A$2,I845='סיווג התפקידים והעלויות'!$A$3),'עלויות כח אדם (6)'!H845='סיווג התפקידים והעלויות'!$C$2,'עלויות כח אדם (6)'!H845='סיווג התפקידים והעלויות'!$D$2),IF('עלויות כח אדם (6)'!J845&lt;75,"לא תקין","תקין"),"")</f>
        <v/>
      </c>
      <c r="AE845" s="374" t="str">
        <f t="shared" si="194"/>
        <v/>
      </c>
      <c r="AF845" s="532" t="str">
        <f t="shared" si="195"/>
        <v/>
      </c>
    </row>
    <row r="846" spans="2:32" x14ac:dyDescent="0.25">
      <c r="B846" s="695"/>
      <c r="C846" s="197" t="str">
        <f>IF(B846&lt;&gt;"",IFERROR(VLOOKUP(B:B,'מצבת והרשמה (2)'!$C$20:$N$520,2,0)," ")," ")</f>
        <v xml:space="preserve"> </v>
      </c>
      <c r="D846" s="695"/>
      <c r="E846" s="696"/>
      <c r="F846" s="696"/>
      <c r="G846" s="696"/>
      <c r="H846" s="696"/>
      <c r="I846" s="1050" t="str">
        <f t="shared" si="182"/>
        <v/>
      </c>
      <c r="J846" s="696"/>
      <c r="K846" s="697"/>
      <c r="L846" s="696"/>
      <c r="M846" s="198" t="str">
        <f t="shared" si="183"/>
        <v/>
      </c>
      <c r="N846" s="369" t="str">
        <f t="shared" si="184"/>
        <v/>
      </c>
      <c r="O846" s="183" t="str">
        <f t="shared" si="185"/>
        <v/>
      </c>
      <c r="P846" s="199" t="str">
        <f t="shared" si="186"/>
        <v/>
      </c>
      <c r="Q846" s="199" t="str">
        <f>IF(B846="","",IFERROR(IF('עלויות כח אדם (6)'!J846&gt;=VLOOKUP(I846,'סיווג התפקידים והעלויות'!$B$23:$C$32,2,0),"תקין","לא תקין"),""))</f>
        <v/>
      </c>
      <c r="R846" s="199" t="str">
        <f t="shared" si="187"/>
        <v/>
      </c>
      <c r="S846" s="199" t="str">
        <f t="shared" si="188"/>
        <v/>
      </c>
      <c r="T846" s="199" t="str">
        <f t="shared" si="196"/>
        <v/>
      </c>
      <c r="U846" s="199" t="str">
        <f t="shared" si="189"/>
        <v/>
      </c>
      <c r="V846" s="989"/>
      <c r="X846" s="374" t="str">
        <f t="shared" si="190"/>
        <v/>
      </c>
      <c r="Y846" s="375" t="str">
        <f t="shared" si="191"/>
        <v/>
      </c>
      <c r="Z846" s="374" t="str">
        <f t="shared" si="192"/>
        <v/>
      </c>
      <c r="AA846" s="374" t="b">
        <f t="shared" si="193"/>
        <v>1</v>
      </c>
      <c r="AB846" s="374">
        <f>COUNTIFS(B:B,B846,H:H,'סיווג התפקידים והעלויות'!$C$2)</f>
        <v>0</v>
      </c>
      <c r="AC846" s="374">
        <f>COUNTIFS(B:B,B846,H:H,'סיווג התפקידים והעלויות'!$D$2)</f>
        <v>0</v>
      </c>
      <c r="AD846" s="374" t="str">
        <f>IF(OR(AND(H846='סיווג התפקידים והעלויות'!$A$2,I846='סיווג התפקידים והעלויות'!$A$3),'עלויות כח אדם (6)'!H846='סיווג התפקידים והעלויות'!$C$2,'עלויות כח אדם (6)'!H846='סיווג התפקידים והעלויות'!$D$2),IF('עלויות כח אדם (6)'!J846&lt;75,"לא תקין","תקין"),"")</f>
        <v/>
      </c>
      <c r="AE846" s="374" t="str">
        <f t="shared" si="194"/>
        <v/>
      </c>
      <c r="AF846" s="532" t="str">
        <f t="shared" si="195"/>
        <v/>
      </c>
    </row>
    <row r="847" spans="2:32" x14ac:dyDescent="0.25">
      <c r="B847" s="695"/>
      <c r="C847" s="197" t="str">
        <f>IF(B847&lt;&gt;"",IFERROR(VLOOKUP(B:B,'מצבת והרשמה (2)'!$C$20:$N$520,2,0)," ")," ")</f>
        <v xml:space="preserve"> </v>
      </c>
      <c r="D847" s="695"/>
      <c r="E847" s="696"/>
      <c r="F847" s="696"/>
      <c r="G847" s="696"/>
      <c r="H847" s="696"/>
      <c r="I847" s="1050" t="str">
        <f t="shared" ref="I847:I910" si="197">SUBSTITUTE(IFERROR(IF(H847="מדצ","מדצ/ית",IF(H847="סגנית רכזת מעל 150","סגנ/ית רכז/ת&gt;150",IF(H847="רכזת תכנית בבית הספר","רכז/ת תכנית בבית הספר"))),""),"FALSE","")</f>
        <v/>
      </c>
      <c r="J847" s="696"/>
      <c r="K847" s="697"/>
      <c r="L847" s="696"/>
      <c r="M847" s="198" t="str">
        <f t="shared" ref="M847:M910" si="198">IF(AND(L847&gt;0,K847&gt;0),K847*L847,"")</f>
        <v/>
      </c>
      <c r="N847" s="369" t="str">
        <f t="shared" ref="N847:N910" si="199">TEXT(LEFT(H847,2),0)</f>
        <v/>
      </c>
      <c r="O847" s="183" t="str">
        <f t="shared" ref="O847:O910" si="200">IF(ISNUMBER(M847&gt;0),IF(ISBLANK(B847),"יש להזין סמל מוסד בעמודה B",""),"")</f>
        <v/>
      </c>
      <c r="P847" s="199" t="str">
        <f t="shared" ref="P847:P910" si="201">IF(B847="","",IF(AA847=FALSE,"לא תקין","תקין"))</f>
        <v/>
      </c>
      <c r="Q847" s="199" t="str">
        <f>IF(B847="","",IFERROR(IF('עלויות כח אדם (6)'!J847&gt;=VLOOKUP(I847,'סיווג התפקידים והעלויות'!$B$23:$C$32,2,0),"תקין","לא תקין"),""))</f>
        <v/>
      </c>
      <c r="R847" s="199" t="str">
        <f t="shared" ref="R847:R910" si="202">IF(B847="","",IF(OR(Y847&lt;100%,Y847&gt;140%),"לא תקין","תקין"))</f>
        <v/>
      </c>
      <c r="S847" s="199" t="str">
        <f t="shared" ref="S847:S910" si="203">IF(B847="","",IFERROR(IF(J847&gt;120,"לא תקין","תקין"),""))</f>
        <v/>
      </c>
      <c r="T847" s="199" t="str">
        <f t="shared" si="196"/>
        <v/>
      </c>
      <c r="U847" s="199" t="str">
        <f t="shared" ref="U847:U910" si="204">IF(B847="","",IF(Z847&gt;1,IF(SUMIF(D:D,D847,L:L)&gt;90,"לא תקין","תקין"),"תקין"))</f>
        <v/>
      </c>
      <c r="V847" s="989"/>
      <c r="X847" s="374" t="str">
        <f t="shared" ref="X847:X910" si="205">IF(B847="","",IF(OR(R847="לא תקין",S847="לא תקין",T847="לא תקין",,U847="לא תקין"),"לא תקין","תקין"))</f>
        <v/>
      </c>
      <c r="Y847" s="375" t="str">
        <f t="shared" ref="Y847:Y910" si="206">IFERROR(IF(B847="","",K847/J847),"")</f>
        <v/>
      </c>
      <c r="Z847" s="374" t="str">
        <f t="shared" ref="Z847:Z910" si="207">IF(B847="","",COUNTIF(D:D,D847))</f>
        <v/>
      </c>
      <c r="AA847" s="374" t="b">
        <f t="shared" ref="AA847:AA910" si="208">MOD(MID(REPT(0,9-LEN(D847))&amp;D847,1,1)+MID("0246813579",MID(REPT(0,9-LEN(D847))&amp;D847,2,1)+1,1)+MID(REPT(0,9-LEN(D847))&amp;D847,3,1)+MID("0246813579",MID(REPT(0,9-LEN(D847))&amp;D847,4,1)+1,1)+MID(REPT(0,9-LEN(D847))&amp;D847,5,1)+MID("0246813579",MID(REPT(0,9-LEN(D847))&amp;D847,6,1)+1,1)+MID(REPT(0,9-LEN(D847))&amp;D847,7,1)+MID("0246813579",MID(REPT(0,9-LEN(D847))&amp;D847,8,1)+1,1)+MID(REPT(0,9-LEN(D847))&amp;D847,9,1),10)=0</f>
        <v>1</v>
      </c>
      <c r="AB847" s="374">
        <f>COUNTIFS(B:B,B847,H:H,'סיווג התפקידים והעלויות'!$C$2)</f>
        <v>0</v>
      </c>
      <c r="AC847" s="374">
        <f>COUNTIFS(B:B,B847,H:H,'סיווג התפקידים והעלויות'!$D$2)</f>
        <v>0</v>
      </c>
      <c r="AD847" s="374" t="str">
        <f>IF(OR(AND(H847='סיווג התפקידים והעלויות'!$A$2,I847='סיווג התפקידים והעלויות'!$A$3),'עלויות כח אדם (6)'!H847='סיווג התפקידים והעלויות'!$C$2,'עלויות כח אדם (6)'!H847='סיווג התפקידים והעלויות'!$D$2),IF('עלויות כח אדם (6)'!J847&lt;75,"לא תקין","תקין"),"")</f>
        <v/>
      </c>
      <c r="AE847" s="374" t="str">
        <f t="shared" ref="AE847:AE910" si="209">IF(B847&lt;&gt;"",B847&amp;H847,"")</f>
        <v/>
      </c>
      <c r="AF847" s="532" t="str">
        <f t="shared" ref="AF847:AF910" si="210">M847</f>
        <v/>
      </c>
    </row>
    <row r="848" spans="2:32" x14ac:dyDescent="0.25">
      <c r="B848" s="695"/>
      <c r="C848" s="197" t="str">
        <f>IF(B848&lt;&gt;"",IFERROR(VLOOKUP(B:B,'מצבת והרשמה (2)'!$C$20:$N$520,2,0)," ")," ")</f>
        <v xml:space="preserve"> </v>
      </c>
      <c r="D848" s="695"/>
      <c r="E848" s="696"/>
      <c r="F848" s="696"/>
      <c r="G848" s="696"/>
      <c r="H848" s="696"/>
      <c r="I848" s="1050" t="str">
        <f t="shared" si="197"/>
        <v/>
      </c>
      <c r="J848" s="696"/>
      <c r="K848" s="697"/>
      <c r="L848" s="696"/>
      <c r="M848" s="198" t="str">
        <f t="shared" si="198"/>
        <v/>
      </c>
      <c r="N848" s="369" t="str">
        <f t="shared" si="199"/>
        <v/>
      </c>
      <c r="O848" s="183" t="str">
        <f t="shared" si="200"/>
        <v/>
      </c>
      <c r="P848" s="199" t="str">
        <f t="shared" si="201"/>
        <v/>
      </c>
      <c r="Q848" s="199" t="str">
        <f>IF(B848="","",IFERROR(IF('עלויות כח אדם (6)'!J848&gt;=VLOOKUP(I848,'סיווג התפקידים והעלויות'!$B$23:$C$32,2,0),"תקין","לא תקין"),""))</f>
        <v/>
      </c>
      <c r="R848" s="199" t="str">
        <f t="shared" si="202"/>
        <v/>
      </c>
      <c r="S848" s="199" t="str">
        <f t="shared" si="203"/>
        <v/>
      </c>
      <c r="T848" s="199" t="str">
        <f t="shared" ref="T848:T911" si="211">IF(B848="","",IF(H848="","יש להזין איש צוות",IF(OR(H848="מורה",H848="גננת",H848="רכז גן",H848="רכזת גן",H848="סייעת",H848="מדצית",H848="מדצ",H848="מדריך",H848="מדריכה",H848="תוספת כח אדם"),IF(L848&lt;=90,"תקין","לא תקין"),IF(OR(H848="רכז בית ספר",H848="רכזת תכנית בבית הספר",H848="רכזת בית ספר"),IF(L848&lt;=137,"תקין","לא תקין"),IF(OR(H848="סגנית רכזת מעל 150",H848="סגן רכז"),IF(L848&lt;=93,"תקין","לא תקין"),"לא תקין")))))</f>
        <v/>
      </c>
      <c r="U848" s="199" t="str">
        <f t="shared" si="204"/>
        <v/>
      </c>
      <c r="V848" s="989"/>
      <c r="X848" s="374" t="str">
        <f t="shared" si="205"/>
        <v/>
      </c>
      <c r="Y848" s="375" t="str">
        <f t="shared" si="206"/>
        <v/>
      </c>
      <c r="Z848" s="374" t="str">
        <f t="shared" si="207"/>
        <v/>
      </c>
      <c r="AA848" s="374" t="b">
        <f t="shared" si="208"/>
        <v>1</v>
      </c>
      <c r="AB848" s="374">
        <f>COUNTIFS(B:B,B848,H:H,'סיווג התפקידים והעלויות'!$C$2)</f>
        <v>0</v>
      </c>
      <c r="AC848" s="374">
        <f>COUNTIFS(B:B,B848,H:H,'סיווג התפקידים והעלויות'!$D$2)</f>
        <v>0</v>
      </c>
      <c r="AD848" s="374" t="str">
        <f>IF(OR(AND(H848='סיווג התפקידים והעלויות'!$A$2,I848='סיווג התפקידים והעלויות'!$A$3),'עלויות כח אדם (6)'!H848='סיווג התפקידים והעלויות'!$C$2,'עלויות כח אדם (6)'!H848='סיווג התפקידים והעלויות'!$D$2),IF('עלויות כח אדם (6)'!J848&lt;75,"לא תקין","תקין"),"")</f>
        <v/>
      </c>
      <c r="AE848" s="374" t="str">
        <f t="shared" si="209"/>
        <v/>
      </c>
      <c r="AF848" s="532" t="str">
        <f t="shared" si="210"/>
        <v/>
      </c>
    </row>
    <row r="849" spans="2:32" x14ac:dyDescent="0.25">
      <c r="B849" s="695"/>
      <c r="C849" s="197" t="str">
        <f>IF(B849&lt;&gt;"",IFERROR(VLOOKUP(B:B,'מצבת והרשמה (2)'!$C$20:$N$520,2,0)," ")," ")</f>
        <v xml:space="preserve"> </v>
      </c>
      <c r="D849" s="695"/>
      <c r="E849" s="696"/>
      <c r="F849" s="696"/>
      <c r="G849" s="696"/>
      <c r="H849" s="696"/>
      <c r="I849" s="1050" t="str">
        <f t="shared" si="197"/>
        <v/>
      </c>
      <c r="J849" s="696"/>
      <c r="K849" s="697"/>
      <c r="L849" s="696"/>
      <c r="M849" s="198" t="str">
        <f t="shared" si="198"/>
        <v/>
      </c>
      <c r="N849" s="369" t="str">
        <f t="shared" si="199"/>
        <v/>
      </c>
      <c r="O849" s="183" t="str">
        <f t="shared" si="200"/>
        <v/>
      </c>
      <c r="P849" s="199" t="str">
        <f t="shared" si="201"/>
        <v/>
      </c>
      <c r="Q849" s="199" t="str">
        <f>IF(B849="","",IFERROR(IF('עלויות כח אדם (6)'!J849&gt;=VLOOKUP(I849,'סיווג התפקידים והעלויות'!$B$23:$C$32,2,0),"תקין","לא תקין"),""))</f>
        <v/>
      </c>
      <c r="R849" s="199" t="str">
        <f t="shared" si="202"/>
        <v/>
      </c>
      <c r="S849" s="199" t="str">
        <f t="shared" si="203"/>
        <v/>
      </c>
      <c r="T849" s="199" t="str">
        <f t="shared" si="211"/>
        <v/>
      </c>
      <c r="U849" s="199" t="str">
        <f t="shared" si="204"/>
        <v/>
      </c>
      <c r="V849" s="989"/>
      <c r="X849" s="374" t="str">
        <f t="shared" si="205"/>
        <v/>
      </c>
      <c r="Y849" s="375" t="str">
        <f t="shared" si="206"/>
        <v/>
      </c>
      <c r="Z849" s="374" t="str">
        <f t="shared" si="207"/>
        <v/>
      </c>
      <c r="AA849" s="374" t="b">
        <f t="shared" si="208"/>
        <v>1</v>
      </c>
      <c r="AB849" s="374">
        <f>COUNTIFS(B:B,B849,H:H,'סיווג התפקידים והעלויות'!$C$2)</f>
        <v>0</v>
      </c>
      <c r="AC849" s="374">
        <f>COUNTIFS(B:B,B849,H:H,'סיווג התפקידים והעלויות'!$D$2)</f>
        <v>0</v>
      </c>
      <c r="AD849" s="374" t="str">
        <f>IF(OR(AND(H849='סיווג התפקידים והעלויות'!$A$2,I849='סיווג התפקידים והעלויות'!$A$3),'עלויות כח אדם (6)'!H849='סיווג התפקידים והעלויות'!$C$2,'עלויות כח אדם (6)'!H849='סיווג התפקידים והעלויות'!$D$2),IF('עלויות כח אדם (6)'!J849&lt;75,"לא תקין","תקין"),"")</f>
        <v/>
      </c>
      <c r="AE849" s="374" t="str">
        <f t="shared" si="209"/>
        <v/>
      </c>
      <c r="AF849" s="532" t="str">
        <f t="shared" si="210"/>
        <v/>
      </c>
    </row>
    <row r="850" spans="2:32" x14ac:dyDescent="0.25">
      <c r="B850" s="695"/>
      <c r="C850" s="197" t="str">
        <f>IF(B850&lt;&gt;"",IFERROR(VLOOKUP(B:B,'מצבת והרשמה (2)'!$C$20:$N$520,2,0)," ")," ")</f>
        <v xml:space="preserve"> </v>
      </c>
      <c r="D850" s="695"/>
      <c r="E850" s="696"/>
      <c r="F850" s="696"/>
      <c r="G850" s="696"/>
      <c r="H850" s="696"/>
      <c r="I850" s="1050" t="str">
        <f t="shared" si="197"/>
        <v/>
      </c>
      <c r="J850" s="696"/>
      <c r="K850" s="697"/>
      <c r="L850" s="696"/>
      <c r="M850" s="198" t="str">
        <f t="shared" si="198"/>
        <v/>
      </c>
      <c r="N850" s="369" t="str">
        <f t="shared" si="199"/>
        <v/>
      </c>
      <c r="O850" s="183" t="str">
        <f t="shared" si="200"/>
        <v/>
      </c>
      <c r="P850" s="199" t="str">
        <f t="shared" si="201"/>
        <v/>
      </c>
      <c r="Q850" s="199" t="str">
        <f>IF(B850="","",IFERROR(IF('עלויות כח אדם (6)'!J850&gt;=VLOOKUP(I850,'סיווג התפקידים והעלויות'!$B$23:$C$32,2,0),"תקין","לא תקין"),""))</f>
        <v/>
      </c>
      <c r="R850" s="199" t="str">
        <f t="shared" si="202"/>
        <v/>
      </c>
      <c r="S850" s="199" t="str">
        <f t="shared" si="203"/>
        <v/>
      </c>
      <c r="T850" s="199" t="str">
        <f t="shared" si="211"/>
        <v/>
      </c>
      <c r="U850" s="199" t="str">
        <f t="shared" si="204"/>
        <v/>
      </c>
      <c r="V850" s="989"/>
      <c r="X850" s="374" t="str">
        <f t="shared" si="205"/>
        <v/>
      </c>
      <c r="Y850" s="375" t="str">
        <f t="shared" si="206"/>
        <v/>
      </c>
      <c r="Z850" s="374" t="str">
        <f t="shared" si="207"/>
        <v/>
      </c>
      <c r="AA850" s="374" t="b">
        <f t="shared" si="208"/>
        <v>1</v>
      </c>
      <c r="AB850" s="374">
        <f>COUNTIFS(B:B,B850,H:H,'סיווג התפקידים והעלויות'!$C$2)</f>
        <v>0</v>
      </c>
      <c r="AC850" s="374">
        <f>COUNTIFS(B:B,B850,H:H,'סיווג התפקידים והעלויות'!$D$2)</f>
        <v>0</v>
      </c>
      <c r="AD850" s="374" t="str">
        <f>IF(OR(AND(H850='סיווג התפקידים והעלויות'!$A$2,I850='סיווג התפקידים והעלויות'!$A$3),'עלויות כח אדם (6)'!H850='סיווג התפקידים והעלויות'!$C$2,'עלויות כח אדם (6)'!H850='סיווג התפקידים והעלויות'!$D$2),IF('עלויות כח אדם (6)'!J850&lt;75,"לא תקין","תקין"),"")</f>
        <v/>
      </c>
      <c r="AE850" s="374" t="str">
        <f t="shared" si="209"/>
        <v/>
      </c>
      <c r="AF850" s="532" t="str">
        <f t="shared" si="210"/>
        <v/>
      </c>
    </row>
    <row r="851" spans="2:32" x14ac:dyDescent="0.25">
      <c r="B851" s="695"/>
      <c r="C851" s="197" t="str">
        <f>IF(B851&lt;&gt;"",IFERROR(VLOOKUP(B:B,'מצבת והרשמה (2)'!$C$20:$N$520,2,0)," ")," ")</f>
        <v xml:space="preserve"> </v>
      </c>
      <c r="D851" s="695"/>
      <c r="E851" s="696"/>
      <c r="F851" s="696"/>
      <c r="G851" s="696"/>
      <c r="H851" s="696"/>
      <c r="I851" s="1050" t="str">
        <f t="shared" si="197"/>
        <v/>
      </c>
      <c r="J851" s="696"/>
      <c r="K851" s="697"/>
      <c r="L851" s="696"/>
      <c r="M851" s="198" t="str">
        <f t="shared" si="198"/>
        <v/>
      </c>
      <c r="N851" s="369" t="str">
        <f t="shared" si="199"/>
        <v/>
      </c>
      <c r="O851" s="183" t="str">
        <f t="shared" si="200"/>
        <v/>
      </c>
      <c r="P851" s="199" t="str">
        <f t="shared" si="201"/>
        <v/>
      </c>
      <c r="Q851" s="199" t="str">
        <f>IF(B851="","",IFERROR(IF('עלויות כח אדם (6)'!J851&gt;=VLOOKUP(I851,'סיווג התפקידים והעלויות'!$B$23:$C$32,2,0),"תקין","לא תקין"),""))</f>
        <v/>
      </c>
      <c r="R851" s="199" t="str">
        <f t="shared" si="202"/>
        <v/>
      </c>
      <c r="S851" s="199" t="str">
        <f t="shared" si="203"/>
        <v/>
      </c>
      <c r="T851" s="199" t="str">
        <f t="shared" si="211"/>
        <v/>
      </c>
      <c r="U851" s="199" t="str">
        <f t="shared" si="204"/>
        <v/>
      </c>
      <c r="V851" s="989"/>
      <c r="X851" s="374" t="str">
        <f t="shared" si="205"/>
        <v/>
      </c>
      <c r="Y851" s="375" t="str">
        <f t="shared" si="206"/>
        <v/>
      </c>
      <c r="Z851" s="374" t="str">
        <f t="shared" si="207"/>
        <v/>
      </c>
      <c r="AA851" s="374" t="b">
        <f t="shared" si="208"/>
        <v>1</v>
      </c>
      <c r="AB851" s="374">
        <f>COUNTIFS(B:B,B851,H:H,'סיווג התפקידים והעלויות'!$C$2)</f>
        <v>0</v>
      </c>
      <c r="AC851" s="374">
        <f>COUNTIFS(B:B,B851,H:H,'סיווג התפקידים והעלויות'!$D$2)</f>
        <v>0</v>
      </c>
      <c r="AD851" s="374" t="str">
        <f>IF(OR(AND(H851='סיווג התפקידים והעלויות'!$A$2,I851='סיווג התפקידים והעלויות'!$A$3),'עלויות כח אדם (6)'!H851='סיווג התפקידים והעלויות'!$C$2,'עלויות כח אדם (6)'!H851='סיווג התפקידים והעלויות'!$D$2),IF('עלויות כח אדם (6)'!J851&lt;75,"לא תקין","תקין"),"")</f>
        <v/>
      </c>
      <c r="AE851" s="374" t="str">
        <f t="shared" si="209"/>
        <v/>
      </c>
      <c r="AF851" s="532" t="str">
        <f t="shared" si="210"/>
        <v/>
      </c>
    </row>
    <row r="852" spans="2:32" x14ac:dyDescent="0.25">
      <c r="B852" s="695"/>
      <c r="C852" s="197" t="str">
        <f>IF(B852&lt;&gt;"",IFERROR(VLOOKUP(B:B,'מצבת והרשמה (2)'!$C$20:$N$520,2,0)," ")," ")</f>
        <v xml:space="preserve"> </v>
      </c>
      <c r="D852" s="695"/>
      <c r="E852" s="696"/>
      <c r="F852" s="696"/>
      <c r="G852" s="696"/>
      <c r="H852" s="696"/>
      <c r="I852" s="1050" t="str">
        <f t="shared" si="197"/>
        <v/>
      </c>
      <c r="J852" s="696"/>
      <c r="K852" s="697"/>
      <c r="L852" s="696"/>
      <c r="M852" s="198" t="str">
        <f t="shared" si="198"/>
        <v/>
      </c>
      <c r="N852" s="369" t="str">
        <f t="shared" si="199"/>
        <v/>
      </c>
      <c r="O852" s="183" t="str">
        <f t="shared" si="200"/>
        <v/>
      </c>
      <c r="P852" s="199" t="str">
        <f t="shared" si="201"/>
        <v/>
      </c>
      <c r="Q852" s="199" t="str">
        <f>IF(B852="","",IFERROR(IF('עלויות כח אדם (6)'!J852&gt;=VLOOKUP(I852,'סיווג התפקידים והעלויות'!$B$23:$C$32,2,0),"תקין","לא תקין"),""))</f>
        <v/>
      </c>
      <c r="R852" s="199" t="str">
        <f t="shared" si="202"/>
        <v/>
      </c>
      <c r="S852" s="199" t="str">
        <f t="shared" si="203"/>
        <v/>
      </c>
      <c r="T852" s="199" t="str">
        <f t="shared" si="211"/>
        <v/>
      </c>
      <c r="U852" s="199" t="str">
        <f t="shared" si="204"/>
        <v/>
      </c>
      <c r="V852" s="989"/>
      <c r="X852" s="374" t="str">
        <f t="shared" si="205"/>
        <v/>
      </c>
      <c r="Y852" s="375" t="str">
        <f t="shared" si="206"/>
        <v/>
      </c>
      <c r="Z852" s="374" t="str">
        <f t="shared" si="207"/>
        <v/>
      </c>
      <c r="AA852" s="374" t="b">
        <f t="shared" si="208"/>
        <v>1</v>
      </c>
      <c r="AB852" s="374">
        <f>COUNTIFS(B:B,B852,H:H,'סיווג התפקידים והעלויות'!$C$2)</f>
        <v>0</v>
      </c>
      <c r="AC852" s="374">
        <f>COUNTIFS(B:B,B852,H:H,'סיווג התפקידים והעלויות'!$D$2)</f>
        <v>0</v>
      </c>
      <c r="AD852" s="374" t="str">
        <f>IF(OR(AND(H852='סיווג התפקידים והעלויות'!$A$2,I852='סיווג התפקידים והעלויות'!$A$3),'עלויות כח אדם (6)'!H852='סיווג התפקידים והעלויות'!$C$2,'עלויות כח אדם (6)'!H852='סיווג התפקידים והעלויות'!$D$2),IF('עלויות כח אדם (6)'!J852&lt;75,"לא תקין","תקין"),"")</f>
        <v/>
      </c>
      <c r="AE852" s="374" t="str">
        <f t="shared" si="209"/>
        <v/>
      </c>
      <c r="AF852" s="532" t="str">
        <f t="shared" si="210"/>
        <v/>
      </c>
    </row>
    <row r="853" spans="2:32" x14ac:dyDescent="0.25">
      <c r="B853" s="695"/>
      <c r="C853" s="197" t="str">
        <f>IF(B853&lt;&gt;"",IFERROR(VLOOKUP(B:B,'מצבת והרשמה (2)'!$C$20:$N$520,2,0)," ")," ")</f>
        <v xml:space="preserve"> </v>
      </c>
      <c r="D853" s="695"/>
      <c r="E853" s="696"/>
      <c r="F853" s="696"/>
      <c r="G853" s="696"/>
      <c r="H853" s="696"/>
      <c r="I853" s="1050" t="str">
        <f t="shared" si="197"/>
        <v/>
      </c>
      <c r="J853" s="696"/>
      <c r="K853" s="697"/>
      <c r="L853" s="696"/>
      <c r="M853" s="198" t="str">
        <f t="shared" si="198"/>
        <v/>
      </c>
      <c r="N853" s="369" t="str">
        <f t="shared" si="199"/>
        <v/>
      </c>
      <c r="O853" s="183" t="str">
        <f t="shared" si="200"/>
        <v/>
      </c>
      <c r="P853" s="199" t="str">
        <f t="shared" si="201"/>
        <v/>
      </c>
      <c r="Q853" s="199" t="str">
        <f>IF(B853="","",IFERROR(IF('עלויות כח אדם (6)'!J853&gt;=VLOOKUP(I853,'סיווג התפקידים והעלויות'!$B$23:$C$32,2,0),"תקין","לא תקין"),""))</f>
        <v/>
      </c>
      <c r="R853" s="199" t="str">
        <f t="shared" si="202"/>
        <v/>
      </c>
      <c r="S853" s="199" t="str">
        <f t="shared" si="203"/>
        <v/>
      </c>
      <c r="T853" s="199" t="str">
        <f t="shared" si="211"/>
        <v/>
      </c>
      <c r="U853" s="199" t="str">
        <f t="shared" si="204"/>
        <v/>
      </c>
      <c r="V853" s="989"/>
      <c r="X853" s="374" t="str">
        <f t="shared" si="205"/>
        <v/>
      </c>
      <c r="Y853" s="375" t="str">
        <f t="shared" si="206"/>
        <v/>
      </c>
      <c r="Z853" s="374" t="str">
        <f t="shared" si="207"/>
        <v/>
      </c>
      <c r="AA853" s="374" t="b">
        <f t="shared" si="208"/>
        <v>1</v>
      </c>
      <c r="AB853" s="374">
        <f>COUNTIFS(B:B,B853,H:H,'סיווג התפקידים והעלויות'!$C$2)</f>
        <v>0</v>
      </c>
      <c r="AC853" s="374">
        <f>COUNTIFS(B:B,B853,H:H,'סיווג התפקידים והעלויות'!$D$2)</f>
        <v>0</v>
      </c>
      <c r="AD853" s="374" t="str">
        <f>IF(OR(AND(H853='סיווג התפקידים והעלויות'!$A$2,I853='סיווג התפקידים והעלויות'!$A$3),'עלויות כח אדם (6)'!H853='סיווג התפקידים והעלויות'!$C$2,'עלויות כח אדם (6)'!H853='סיווג התפקידים והעלויות'!$D$2),IF('עלויות כח אדם (6)'!J853&lt;75,"לא תקין","תקין"),"")</f>
        <v/>
      </c>
      <c r="AE853" s="374" t="str">
        <f t="shared" si="209"/>
        <v/>
      </c>
      <c r="AF853" s="532" t="str">
        <f t="shared" si="210"/>
        <v/>
      </c>
    </row>
    <row r="854" spans="2:32" x14ac:dyDescent="0.25">
      <c r="B854" s="695"/>
      <c r="C854" s="197" t="str">
        <f>IF(B854&lt;&gt;"",IFERROR(VLOOKUP(B:B,'מצבת והרשמה (2)'!$C$20:$N$520,2,0)," ")," ")</f>
        <v xml:space="preserve"> </v>
      </c>
      <c r="D854" s="695"/>
      <c r="E854" s="696"/>
      <c r="F854" s="696"/>
      <c r="G854" s="696"/>
      <c r="H854" s="696"/>
      <c r="I854" s="1050" t="str">
        <f t="shared" si="197"/>
        <v/>
      </c>
      <c r="J854" s="696"/>
      <c r="K854" s="697"/>
      <c r="L854" s="696"/>
      <c r="M854" s="198" t="str">
        <f t="shared" si="198"/>
        <v/>
      </c>
      <c r="N854" s="369" t="str">
        <f t="shared" si="199"/>
        <v/>
      </c>
      <c r="O854" s="183" t="str">
        <f t="shared" si="200"/>
        <v/>
      </c>
      <c r="P854" s="199" t="str">
        <f t="shared" si="201"/>
        <v/>
      </c>
      <c r="Q854" s="199" t="str">
        <f>IF(B854="","",IFERROR(IF('עלויות כח אדם (6)'!J854&gt;=VLOOKUP(I854,'סיווג התפקידים והעלויות'!$B$23:$C$32,2,0),"תקין","לא תקין"),""))</f>
        <v/>
      </c>
      <c r="R854" s="199" t="str">
        <f t="shared" si="202"/>
        <v/>
      </c>
      <c r="S854" s="199" t="str">
        <f t="shared" si="203"/>
        <v/>
      </c>
      <c r="T854" s="199" t="str">
        <f t="shared" si="211"/>
        <v/>
      </c>
      <c r="U854" s="199" t="str">
        <f t="shared" si="204"/>
        <v/>
      </c>
      <c r="V854" s="989"/>
      <c r="X854" s="374" t="str">
        <f t="shared" si="205"/>
        <v/>
      </c>
      <c r="Y854" s="375" t="str">
        <f t="shared" si="206"/>
        <v/>
      </c>
      <c r="Z854" s="374" t="str">
        <f t="shared" si="207"/>
        <v/>
      </c>
      <c r="AA854" s="374" t="b">
        <f t="shared" si="208"/>
        <v>1</v>
      </c>
      <c r="AB854" s="374">
        <f>COUNTIFS(B:B,B854,H:H,'סיווג התפקידים והעלויות'!$C$2)</f>
        <v>0</v>
      </c>
      <c r="AC854" s="374">
        <f>COUNTIFS(B:B,B854,H:H,'סיווג התפקידים והעלויות'!$D$2)</f>
        <v>0</v>
      </c>
      <c r="AD854" s="374" t="str">
        <f>IF(OR(AND(H854='סיווג התפקידים והעלויות'!$A$2,I854='סיווג התפקידים והעלויות'!$A$3),'עלויות כח אדם (6)'!H854='סיווג התפקידים והעלויות'!$C$2,'עלויות כח אדם (6)'!H854='סיווג התפקידים והעלויות'!$D$2),IF('עלויות כח אדם (6)'!J854&lt;75,"לא תקין","תקין"),"")</f>
        <v/>
      </c>
      <c r="AE854" s="374" t="str">
        <f t="shared" si="209"/>
        <v/>
      </c>
      <c r="AF854" s="532" t="str">
        <f t="shared" si="210"/>
        <v/>
      </c>
    </row>
    <row r="855" spans="2:32" x14ac:dyDescent="0.25">
      <c r="B855" s="695"/>
      <c r="C855" s="197" t="str">
        <f>IF(B855&lt;&gt;"",IFERROR(VLOOKUP(B:B,'מצבת והרשמה (2)'!$C$20:$N$520,2,0)," ")," ")</f>
        <v xml:space="preserve"> </v>
      </c>
      <c r="D855" s="695"/>
      <c r="E855" s="696"/>
      <c r="F855" s="696"/>
      <c r="G855" s="696"/>
      <c r="H855" s="696"/>
      <c r="I855" s="1050" t="str">
        <f t="shared" si="197"/>
        <v/>
      </c>
      <c r="J855" s="696"/>
      <c r="K855" s="697"/>
      <c r="L855" s="696"/>
      <c r="M855" s="198" t="str">
        <f t="shared" si="198"/>
        <v/>
      </c>
      <c r="N855" s="369" t="str">
        <f t="shared" si="199"/>
        <v/>
      </c>
      <c r="O855" s="183" t="str">
        <f t="shared" si="200"/>
        <v/>
      </c>
      <c r="P855" s="199" t="str">
        <f t="shared" si="201"/>
        <v/>
      </c>
      <c r="Q855" s="199" t="str">
        <f>IF(B855="","",IFERROR(IF('עלויות כח אדם (6)'!J855&gt;=VLOOKUP(I855,'סיווג התפקידים והעלויות'!$B$23:$C$32,2,0),"תקין","לא תקין"),""))</f>
        <v/>
      </c>
      <c r="R855" s="199" t="str">
        <f t="shared" si="202"/>
        <v/>
      </c>
      <c r="S855" s="199" t="str">
        <f t="shared" si="203"/>
        <v/>
      </c>
      <c r="T855" s="199" t="str">
        <f t="shared" si="211"/>
        <v/>
      </c>
      <c r="U855" s="199" t="str">
        <f t="shared" si="204"/>
        <v/>
      </c>
      <c r="V855" s="989"/>
      <c r="X855" s="374" t="str">
        <f t="shared" si="205"/>
        <v/>
      </c>
      <c r="Y855" s="375" t="str">
        <f t="shared" si="206"/>
        <v/>
      </c>
      <c r="Z855" s="374" t="str">
        <f t="shared" si="207"/>
        <v/>
      </c>
      <c r="AA855" s="374" t="b">
        <f t="shared" si="208"/>
        <v>1</v>
      </c>
      <c r="AB855" s="374">
        <f>COUNTIFS(B:B,B855,H:H,'סיווג התפקידים והעלויות'!$C$2)</f>
        <v>0</v>
      </c>
      <c r="AC855" s="374">
        <f>COUNTIFS(B:B,B855,H:H,'סיווג התפקידים והעלויות'!$D$2)</f>
        <v>0</v>
      </c>
      <c r="AD855" s="374" t="str">
        <f>IF(OR(AND(H855='סיווג התפקידים והעלויות'!$A$2,I855='סיווג התפקידים והעלויות'!$A$3),'עלויות כח אדם (6)'!H855='סיווג התפקידים והעלויות'!$C$2,'עלויות כח אדם (6)'!H855='סיווג התפקידים והעלויות'!$D$2),IF('עלויות כח אדם (6)'!J855&lt;75,"לא תקין","תקין"),"")</f>
        <v/>
      </c>
      <c r="AE855" s="374" t="str">
        <f t="shared" si="209"/>
        <v/>
      </c>
      <c r="AF855" s="532" t="str">
        <f t="shared" si="210"/>
        <v/>
      </c>
    </row>
    <row r="856" spans="2:32" x14ac:dyDescent="0.25">
      <c r="B856" s="695"/>
      <c r="C856" s="197" t="str">
        <f>IF(B856&lt;&gt;"",IFERROR(VLOOKUP(B:B,'מצבת והרשמה (2)'!$C$20:$N$520,2,0)," ")," ")</f>
        <v xml:space="preserve"> </v>
      </c>
      <c r="D856" s="695"/>
      <c r="E856" s="696"/>
      <c r="F856" s="696"/>
      <c r="G856" s="696"/>
      <c r="H856" s="696"/>
      <c r="I856" s="1050" t="str">
        <f t="shared" si="197"/>
        <v/>
      </c>
      <c r="J856" s="696"/>
      <c r="K856" s="697"/>
      <c r="L856" s="696"/>
      <c r="M856" s="198" t="str">
        <f t="shared" si="198"/>
        <v/>
      </c>
      <c r="N856" s="369" t="str">
        <f t="shared" si="199"/>
        <v/>
      </c>
      <c r="O856" s="183" t="str">
        <f t="shared" si="200"/>
        <v/>
      </c>
      <c r="P856" s="199" t="str">
        <f t="shared" si="201"/>
        <v/>
      </c>
      <c r="Q856" s="199" t="str">
        <f>IF(B856="","",IFERROR(IF('עלויות כח אדם (6)'!J856&gt;=VLOOKUP(I856,'סיווג התפקידים והעלויות'!$B$23:$C$32,2,0),"תקין","לא תקין"),""))</f>
        <v/>
      </c>
      <c r="R856" s="199" t="str">
        <f t="shared" si="202"/>
        <v/>
      </c>
      <c r="S856" s="199" t="str">
        <f t="shared" si="203"/>
        <v/>
      </c>
      <c r="T856" s="199" t="str">
        <f t="shared" si="211"/>
        <v/>
      </c>
      <c r="U856" s="199" t="str">
        <f t="shared" si="204"/>
        <v/>
      </c>
      <c r="V856" s="989"/>
      <c r="X856" s="374" t="str">
        <f t="shared" si="205"/>
        <v/>
      </c>
      <c r="Y856" s="375" t="str">
        <f t="shared" si="206"/>
        <v/>
      </c>
      <c r="Z856" s="374" t="str">
        <f t="shared" si="207"/>
        <v/>
      </c>
      <c r="AA856" s="374" t="b">
        <f t="shared" si="208"/>
        <v>1</v>
      </c>
      <c r="AB856" s="374">
        <f>COUNTIFS(B:B,B856,H:H,'סיווג התפקידים והעלויות'!$C$2)</f>
        <v>0</v>
      </c>
      <c r="AC856" s="374">
        <f>COUNTIFS(B:B,B856,H:H,'סיווג התפקידים והעלויות'!$D$2)</f>
        <v>0</v>
      </c>
      <c r="AD856" s="374" t="str">
        <f>IF(OR(AND(H856='סיווג התפקידים והעלויות'!$A$2,I856='סיווג התפקידים והעלויות'!$A$3),'עלויות כח אדם (6)'!H856='סיווג התפקידים והעלויות'!$C$2,'עלויות כח אדם (6)'!H856='סיווג התפקידים והעלויות'!$D$2),IF('עלויות כח אדם (6)'!J856&lt;75,"לא תקין","תקין"),"")</f>
        <v/>
      </c>
      <c r="AE856" s="374" t="str">
        <f t="shared" si="209"/>
        <v/>
      </c>
      <c r="AF856" s="532" t="str">
        <f t="shared" si="210"/>
        <v/>
      </c>
    </row>
    <row r="857" spans="2:32" x14ac:dyDescent="0.25">
      <c r="B857" s="695"/>
      <c r="C857" s="197" t="str">
        <f>IF(B857&lt;&gt;"",IFERROR(VLOOKUP(B:B,'מצבת והרשמה (2)'!$C$20:$N$520,2,0)," ")," ")</f>
        <v xml:space="preserve"> </v>
      </c>
      <c r="D857" s="695"/>
      <c r="E857" s="696"/>
      <c r="F857" s="696"/>
      <c r="G857" s="696"/>
      <c r="H857" s="696"/>
      <c r="I857" s="1050" t="str">
        <f t="shared" si="197"/>
        <v/>
      </c>
      <c r="J857" s="696"/>
      <c r="K857" s="697"/>
      <c r="L857" s="696"/>
      <c r="M857" s="198" t="str">
        <f t="shared" si="198"/>
        <v/>
      </c>
      <c r="N857" s="369" t="str">
        <f t="shared" si="199"/>
        <v/>
      </c>
      <c r="O857" s="183" t="str">
        <f t="shared" si="200"/>
        <v/>
      </c>
      <c r="P857" s="199" t="str">
        <f t="shared" si="201"/>
        <v/>
      </c>
      <c r="Q857" s="199" t="str">
        <f>IF(B857="","",IFERROR(IF('עלויות כח אדם (6)'!J857&gt;=VLOOKUP(I857,'סיווג התפקידים והעלויות'!$B$23:$C$32,2,0),"תקין","לא תקין"),""))</f>
        <v/>
      </c>
      <c r="R857" s="199" t="str">
        <f t="shared" si="202"/>
        <v/>
      </c>
      <c r="S857" s="199" t="str">
        <f t="shared" si="203"/>
        <v/>
      </c>
      <c r="T857" s="199" t="str">
        <f t="shared" si="211"/>
        <v/>
      </c>
      <c r="U857" s="199" t="str">
        <f t="shared" si="204"/>
        <v/>
      </c>
      <c r="V857" s="989"/>
      <c r="X857" s="374" t="str">
        <f t="shared" si="205"/>
        <v/>
      </c>
      <c r="Y857" s="375" t="str">
        <f t="shared" si="206"/>
        <v/>
      </c>
      <c r="Z857" s="374" t="str">
        <f t="shared" si="207"/>
        <v/>
      </c>
      <c r="AA857" s="374" t="b">
        <f t="shared" si="208"/>
        <v>1</v>
      </c>
      <c r="AB857" s="374">
        <f>COUNTIFS(B:B,B857,H:H,'סיווג התפקידים והעלויות'!$C$2)</f>
        <v>0</v>
      </c>
      <c r="AC857" s="374">
        <f>COUNTIFS(B:B,B857,H:H,'סיווג התפקידים והעלויות'!$D$2)</f>
        <v>0</v>
      </c>
      <c r="AD857" s="374" t="str">
        <f>IF(OR(AND(H857='סיווג התפקידים והעלויות'!$A$2,I857='סיווג התפקידים והעלויות'!$A$3),'עלויות כח אדם (6)'!H857='סיווג התפקידים והעלויות'!$C$2,'עלויות כח אדם (6)'!H857='סיווג התפקידים והעלויות'!$D$2),IF('עלויות כח אדם (6)'!J857&lt;75,"לא תקין","תקין"),"")</f>
        <v/>
      </c>
      <c r="AE857" s="374" t="str">
        <f t="shared" si="209"/>
        <v/>
      </c>
      <c r="AF857" s="532" t="str">
        <f t="shared" si="210"/>
        <v/>
      </c>
    </row>
    <row r="858" spans="2:32" x14ac:dyDescent="0.25">
      <c r="B858" s="695"/>
      <c r="C858" s="197" t="str">
        <f>IF(B858&lt;&gt;"",IFERROR(VLOOKUP(B:B,'מצבת והרשמה (2)'!$C$20:$N$520,2,0)," ")," ")</f>
        <v xml:space="preserve"> </v>
      </c>
      <c r="D858" s="695"/>
      <c r="E858" s="696"/>
      <c r="F858" s="696"/>
      <c r="G858" s="696"/>
      <c r="H858" s="696"/>
      <c r="I858" s="1050" t="str">
        <f t="shared" si="197"/>
        <v/>
      </c>
      <c r="J858" s="696"/>
      <c r="K858" s="697"/>
      <c r="L858" s="696"/>
      <c r="M858" s="198" t="str">
        <f t="shared" si="198"/>
        <v/>
      </c>
      <c r="N858" s="369" t="str">
        <f t="shared" si="199"/>
        <v/>
      </c>
      <c r="O858" s="183" t="str">
        <f t="shared" si="200"/>
        <v/>
      </c>
      <c r="P858" s="199" t="str">
        <f t="shared" si="201"/>
        <v/>
      </c>
      <c r="Q858" s="199" t="str">
        <f>IF(B858="","",IFERROR(IF('עלויות כח אדם (6)'!J858&gt;=VLOOKUP(I858,'סיווג התפקידים והעלויות'!$B$23:$C$32,2,0),"תקין","לא תקין"),""))</f>
        <v/>
      </c>
      <c r="R858" s="199" t="str">
        <f t="shared" si="202"/>
        <v/>
      </c>
      <c r="S858" s="199" t="str">
        <f t="shared" si="203"/>
        <v/>
      </c>
      <c r="T858" s="199" t="str">
        <f t="shared" si="211"/>
        <v/>
      </c>
      <c r="U858" s="199" t="str">
        <f t="shared" si="204"/>
        <v/>
      </c>
      <c r="V858" s="989"/>
      <c r="X858" s="374" t="str">
        <f t="shared" si="205"/>
        <v/>
      </c>
      <c r="Y858" s="375" t="str">
        <f t="shared" si="206"/>
        <v/>
      </c>
      <c r="Z858" s="374" t="str">
        <f t="shared" si="207"/>
        <v/>
      </c>
      <c r="AA858" s="374" t="b">
        <f t="shared" si="208"/>
        <v>1</v>
      </c>
      <c r="AB858" s="374">
        <f>COUNTIFS(B:B,B858,H:H,'סיווג התפקידים והעלויות'!$C$2)</f>
        <v>0</v>
      </c>
      <c r="AC858" s="374">
        <f>COUNTIFS(B:B,B858,H:H,'סיווג התפקידים והעלויות'!$D$2)</f>
        <v>0</v>
      </c>
      <c r="AD858" s="374" t="str">
        <f>IF(OR(AND(H858='סיווג התפקידים והעלויות'!$A$2,I858='סיווג התפקידים והעלויות'!$A$3),'עלויות כח אדם (6)'!H858='סיווג התפקידים והעלויות'!$C$2,'עלויות כח אדם (6)'!H858='סיווג התפקידים והעלויות'!$D$2),IF('עלויות כח אדם (6)'!J858&lt;75,"לא תקין","תקין"),"")</f>
        <v/>
      </c>
      <c r="AE858" s="374" t="str">
        <f t="shared" si="209"/>
        <v/>
      </c>
      <c r="AF858" s="532" t="str">
        <f t="shared" si="210"/>
        <v/>
      </c>
    </row>
    <row r="859" spans="2:32" x14ac:dyDescent="0.25">
      <c r="B859" s="695"/>
      <c r="C859" s="197" t="str">
        <f>IF(B859&lt;&gt;"",IFERROR(VLOOKUP(B:B,'מצבת והרשמה (2)'!$C$20:$N$520,2,0)," ")," ")</f>
        <v xml:space="preserve"> </v>
      </c>
      <c r="D859" s="695"/>
      <c r="E859" s="696"/>
      <c r="F859" s="696"/>
      <c r="G859" s="696"/>
      <c r="H859" s="696"/>
      <c r="I859" s="1050" t="str">
        <f t="shared" si="197"/>
        <v/>
      </c>
      <c r="J859" s="696"/>
      <c r="K859" s="697"/>
      <c r="L859" s="696"/>
      <c r="M859" s="198" t="str">
        <f t="shared" si="198"/>
        <v/>
      </c>
      <c r="N859" s="369" t="str">
        <f t="shared" si="199"/>
        <v/>
      </c>
      <c r="O859" s="183" t="str">
        <f t="shared" si="200"/>
        <v/>
      </c>
      <c r="P859" s="199" t="str">
        <f t="shared" si="201"/>
        <v/>
      </c>
      <c r="Q859" s="199" t="str">
        <f>IF(B859="","",IFERROR(IF('עלויות כח אדם (6)'!J859&gt;=VLOOKUP(I859,'סיווג התפקידים והעלויות'!$B$23:$C$32,2,0),"תקין","לא תקין"),""))</f>
        <v/>
      </c>
      <c r="R859" s="199" t="str">
        <f t="shared" si="202"/>
        <v/>
      </c>
      <c r="S859" s="199" t="str">
        <f t="shared" si="203"/>
        <v/>
      </c>
      <c r="T859" s="199" t="str">
        <f t="shared" si="211"/>
        <v/>
      </c>
      <c r="U859" s="199" t="str">
        <f t="shared" si="204"/>
        <v/>
      </c>
      <c r="V859" s="989"/>
      <c r="X859" s="374" t="str">
        <f t="shared" si="205"/>
        <v/>
      </c>
      <c r="Y859" s="375" t="str">
        <f t="shared" si="206"/>
        <v/>
      </c>
      <c r="Z859" s="374" t="str">
        <f t="shared" si="207"/>
        <v/>
      </c>
      <c r="AA859" s="374" t="b">
        <f t="shared" si="208"/>
        <v>1</v>
      </c>
      <c r="AB859" s="374">
        <f>COUNTIFS(B:B,B859,H:H,'סיווג התפקידים והעלויות'!$C$2)</f>
        <v>0</v>
      </c>
      <c r="AC859" s="374">
        <f>COUNTIFS(B:B,B859,H:H,'סיווג התפקידים והעלויות'!$D$2)</f>
        <v>0</v>
      </c>
      <c r="AD859" s="374" t="str">
        <f>IF(OR(AND(H859='סיווג התפקידים והעלויות'!$A$2,I859='סיווג התפקידים והעלויות'!$A$3),'עלויות כח אדם (6)'!H859='סיווג התפקידים והעלויות'!$C$2,'עלויות כח אדם (6)'!H859='סיווג התפקידים והעלויות'!$D$2),IF('עלויות כח אדם (6)'!J859&lt;75,"לא תקין","תקין"),"")</f>
        <v/>
      </c>
      <c r="AE859" s="374" t="str">
        <f t="shared" si="209"/>
        <v/>
      </c>
      <c r="AF859" s="532" t="str">
        <f t="shared" si="210"/>
        <v/>
      </c>
    </row>
    <row r="860" spans="2:32" x14ac:dyDescent="0.25">
      <c r="B860" s="695"/>
      <c r="C860" s="197" t="str">
        <f>IF(B860&lt;&gt;"",IFERROR(VLOOKUP(B:B,'מצבת והרשמה (2)'!$C$20:$N$520,2,0)," ")," ")</f>
        <v xml:space="preserve"> </v>
      </c>
      <c r="D860" s="695"/>
      <c r="E860" s="696"/>
      <c r="F860" s="696"/>
      <c r="G860" s="696"/>
      <c r="H860" s="696"/>
      <c r="I860" s="1050" t="str">
        <f t="shared" si="197"/>
        <v/>
      </c>
      <c r="J860" s="696"/>
      <c r="K860" s="697"/>
      <c r="L860" s="696"/>
      <c r="M860" s="198" t="str">
        <f t="shared" si="198"/>
        <v/>
      </c>
      <c r="N860" s="369" t="str">
        <f t="shared" si="199"/>
        <v/>
      </c>
      <c r="O860" s="183" t="str">
        <f t="shared" si="200"/>
        <v/>
      </c>
      <c r="P860" s="199" t="str">
        <f t="shared" si="201"/>
        <v/>
      </c>
      <c r="Q860" s="199" t="str">
        <f>IF(B860="","",IFERROR(IF('עלויות כח אדם (6)'!J860&gt;=VLOOKUP(I860,'סיווג התפקידים והעלויות'!$B$23:$C$32,2,0),"תקין","לא תקין"),""))</f>
        <v/>
      </c>
      <c r="R860" s="199" t="str">
        <f t="shared" si="202"/>
        <v/>
      </c>
      <c r="S860" s="199" t="str">
        <f t="shared" si="203"/>
        <v/>
      </c>
      <c r="T860" s="199" t="str">
        <f t="shared" si="211"/>
        <v/>
      </c>
      <c r="U860" s="199" t="str">
        <f t="shared" si="204"/>
        <v/>
      </c>
      <c r="V860" s="989"/>
      <c r="X860" s="374" t="str">
        <f t="shared" si="205"/>
        <v/>
      </c>
      <c r="Y860" s="375" t="str">
        <f t="shared" si="206"/>
        <v/>
      </c>
      <c r="Z860" s="374" t="str">
        <f t="shared" si="207"/>
        <v/>
      </c>
      <c r="AA860" s="374" t="b">
        <f t="shared" si="208"/>
        <v>1</v>
      </c>
      <c r="AB860" s="374">
        <f>COUNTIFS(B:B,B860,H:H,'סיווג התפקידים והעלויות'!$C$2)</f>
        <v>0</v>
      </c>
      <c r="AC860" s="374">
        <f>COUNTIFS(B:B,B860,H:H,'סיווג התפקידים והעלויות'!$D$2)</f>
        <v>0</v>
      </c>
      <c r="AD860" s="374" t="str">
        <f>IF(OR(AND(H860='סיווג התפקידים והעלויות'!$A$2,I860='סיווג התפקידים והעלויות'!$A$3),'עלויות כח אדם (6)'!H860='סיווג התפקידים והעלויות'!$C$2,'עלויות כח אדם (6)'!H860='סיווג התפקידים והעלויות'!$D$2),IF('עלויות כח אדם (6)'!J860&lt;75,"לא תקין","תקין"),"")</f>
        <v/>
      </c>
      <c r="AE860" s="374" t="str">
        <f t="shared" si="209"/>
        <v/>
      </c>
      <c r="AF860" s="532" t="str">
        <f t="shared" si="210"/>
        <v/>
      </c>
    </row>
    <row r="861" spans="2:32" x14ac:dyDescent="0.25">
      <c r="B861" s="695"/>
      <c r="C861" s="197" t="str">
        <f>IF(B861&lt;&gt;"",IFERROR(VLOOKUP(B:B,'מצבת והרשמה (2)'!$C$20:$N$520,2,0)," ")," ")</f>
        <v xml:space="preserve"> </v>
      </c>
      <c r="D861" s="695"/>
      <c r="E861" s="696"/>
      <c r="F861" s="696"/>
      <c r="G861" s="696"/>
      <c r="H861" s="696"/>
      <c r="I861" s="1050" t="str">
        <f t="shared" si="197"/>
        <v/>
      </c>
      <c r="J861" s="696"/>
      <c r="K861" s="697"/>
      <c r="L861" s="696"/>
      <c r="M861" s="198" t="str">
        <f t="shared" si="198"/>
        <v/>
      </c>
      <c r="N861" s="369" t="str">
        <f t="shared" si="199"/>
        <v/>
      </c>
      <c r="O861" s="183" t="str">
        <f t="shared" si="200"/>
        <v/>
      </c>
      <c r="P861" s="199" t="str">
        <f t="shared" si="201"/>
        <v/>
      </c>
      <c r="Q861" s="199" t="str">
        <f>IF(B861="","",IFERROR(IF('עלויות כח אדם (6)'!J861&gt;=VLOOKUP(I861,'סיווג התפקידים והעלויות'!$B$23:$C$32,2,0),"תקין","לא תקין"),""))</f>
        <v/>
      </c>
      <c r="R861" s="199" t="str">
        <f t="shared" si="202"/>
        <v/>
      </c>
      <c r="S861" s="199" t="str">
        <f t="shared" si="203"/>
        <v/>
      </c>
      <c r="T861" s="199" t="str">
        <f t="shared" si="211"/>
        <v/>
      </c>
      <c r="U861" s="199" t="str">
        <f t="shared" si="204"/>
        <v/>
      </c>
      <c r="V861" s="989"/>
      <c r="X861" s="374" t="str">
        <f t="shared" si="205"/>
        <v/>
      </c>
      <c r="Y861" s="375" t="str">
        <f t="shared" si="206"/>
        <v/>
      </c>
      <c r="Z861" s="374" t="str">
        <f t="shared" si="207"/>
        <v/>
      </c>
      <c r="AA861" s="374" t="b">
        <f t="shared" si="208"/>
        <v>1</v>
      </c>
      <c r="AB861" s="374">
        <f>COUNTIFS(B:B,B861,H:H,'סיווג התפקידים והעלויות'!$C$2)</f>
        <v>0</v>
      </c>
      <c r="AC861" s="374">
        <f>COUNTIFS(B:B,B861,H:H,'סיווג התפקידים והעלויות'!$D$2)</f>
        <v>0</v>
      </c>
      <c r="AD861" s="374" t="str">
        <f>IF(OR(AND(H861='סיווג התפקידים והעלויות'!$A$2,I861='סיווג התפקידים והעלויות'!$A$3),'עלויות כח אדם (6)'!H861='סיווג התפקידים והעלויות'!$C$2,'עלויות כח אדם (6)'!H861='סיווג התפקידים והעלויות'!$D$2),IF('עלויות כח אדם (6)'!J861&lt;75,"לא תקין","תקין"),"")</f>
        <v/>
      </c>
      <c r="AE861" s="374" t="str">
        <f t="shared" si="209"/>
        <v/>
      </c>
      <c r="AF861" s="532" t="str">
        <f t="shared" si="210"/>
        <v/>
      </c>
    </row>
    <row r="862" spans="2:32" x14ac:dyDescent="0.25">
      <c r="B862" s="695"/>
      <c r="C862" s="197" t="str">
        <f>IF(B862&lt;&gt;"",IFERROR(VLOOKUP(B:B,'מצבת והרשמה (2)'!$C$20:$N$520,2,0)," ")," ")</f>
        <v xml:space="preserve"> </v>
      </c>
      <c r="D862" s="695"/>
      <c r="E862" s="696"/>
      <c r="F862" s="696"/>
      <c r="G862" s="696"/>
      <c r="H862" s="696"/>
      <c r="I862" s="1050" t="str">
        <f t="shared" si="197"/>
        <v/>
      </c>
      <c r="J862" s="696"/>
      <c r="K862" s="697"/>
      <c r="L862" s="696"/>
      <c r="M862" s="198" t="str">
        <f t="shared" si="198"/>
        <v/>
      </c>
      <c r="N862" s="369" t="str">
        <f t="shared" si="199"/>
        <v/>
      </c>
      <c r="O862" s="183" t="str">
        <f t="shared" si="200"/>
        <v/>
      </c>
      <c r="P862" s="199" t="str">
        <f t="shared" si="201"/>
        <v/>
      </c>
      <c r="Q862" s="199" t="str">
        <f>IF(B862="","",IFERROR(IF('עלויות כח אדם (6)'!J862&gt;=VLOOKUP(I862,'סיווג התפקידים והעלויות'!$B$23:$C$32,2,0),"תקין","לא תקין"),""))</f>
        <v/>
      </c>
      <c r="R862" s="199" t="str">
        <f t="shared" si="202"/>
        <v/>
      </c>
      <c r="S862" s="199" t="str">
        <f t="shared" si="203"/>
        <v/>
      </c>
      <c r="T862" s="199" t="str">
        <f t="shared" si="211"/>
        <v/>
      </c>
      <c r="U862" s="199" t="str">
        <f t="shared" si="204"/>
        <v/>
      </c>
      <c r="V862" s="989"/>
      <c r="X862" s="374" t="str">
        <f t="shared" si="205"/>
        <v/>
      </c>
      <c r="Y862" s="375" t="str">
        <f t="shared" si="206"/>
        <v/>
      </c>
      <c r="Z862" s="374" t="str">
        <f t="shared" si="207"/>
        <v/>
      </c>
      <c r="AA862" s="374" t="b">
        <f t="shared" si="208"/>
        <v>1</v>
      </c>
      <c r="AB862" s="374">
        <f>COUNTIFS(B:B,B862,H:H,'סיווג התפקידים והעלויות'!$C$2)</f>
        <v>0</v>
      </c>
      <c r="AC862" s="374">
        <f>COUNTIFS(B:B,B862,H:H,'סיווג התפקידים והעלויות'!$D$2)</f>
        <v>0</v>
      </c>
      <c r="AD862" s="374" t="str">
        <f>IF(OR(AND(H862='סיווג התפקידים והעלויות'!$A$2,I862='סיווג התפקידים והעלויות'!$A$3),'עלויות כח אדם (6)'!H862='סיווג התפקידים והעלויות'!$C$2,'עלויות כח אדם (6)'!H862='סיווג התפקידים והעלויות'!$D$2),IF('עלויות כח אדם (6)'!J862&lt;75,"לא תקין","תקין"),"")</f>
        <v/>
      </c>
      <c r="AE862" s="374" t="str">
        <f t="shared" si="209"/>
        <v/>
      </c>
      <c r="AF862" s="532" t="str">
        <f t="shared" si="210"/>
        <v/>
      </c>
    </row>
    <row r="863" spans="2:32" x14ac:dyDescent="0.25">
      <c r="B863" s="695"/>
      <c r="C863" s="197" t="str">
        <f>IF(B863&lt;&gt;"",IFERROR(VLOOKUP(B:B,'מצבת והרשמה (2)'!$C$20:$N$520,2,0)," ")," ")</f>
        <v xml:space="preserve"> </v>
      </c>
      <c r="D863" s="695"/>
      <c r="E863" s="696"/>
      <c r="F863" s="696"/>
      <c r="G863" s="696"/>
      <c r="H863" s="696"/>
      <c r="I863" s="1050" t="str">
        <f t="shared" si="197"/>
        <v/>
      </c>
      <c r="J863" s="696"/>
      <c r="K863" s="697"/>
      <c r="L863" s="696"/>
      <c r="M863" s="198" t="str">
        <f t="shared" si="198"/>
        <v/>
      </c>
      <c r="N863" s="369" t="str">
        <f t="shared" si="199"/>
        <v/>
      </c>
      <c r="O863" s="183" t="str">
        <f t="shared" si="200"/>
        <v/>
      </c>
      <c r="P863" s="199" t="str">
        <f t="shared" si="201"/>
        <v/>
      </c>
      <c r="Q863" s="199" t="str">
        <f>IF(B863="","",IFERROR(IF('עלויות כח אדם (6)'!J863&gt;=VLOOKUP(I863,'סיווג התפקידים והעלויות'!$B$23:$C$32,2,0),"תקין","לא תקין"),""))</f>
        <v/>
      </c>
      <c r="R863" s="199" t="str">
        <f t="shared" si="202"/>
        <v/>
      </c>
      <c r="S863" s="199" t="str">
        <f t="shared" si="203"/>
        <v/>
      </c>
      <c r="T863" s="199" t="str">
        <f t="shared" si="211"/>
        <v/>
      </c>
      <c r="U863" s="199" t="str">
        <f t="shared" si="204"/>
        <v/>
      </c>
      <c r="V863" s="989"/>
      <c r="X863" s="374" t="str">
        <f t="shared" si="205"/>
        <v/>
      </c>
      <c r="Y863" s="375" t="str">
        <f t="shared" si="206"/>
        <v/>
      </c>
      <c r="Z863" s="374" t="str">
        <f t="shared" si="207"/>
        <v/>
      </c>
      <c r="AA863" s="374" t="b">
        <f t="shared" si="208"/>
        <v>1</v>
      </c>
      <c r="AB863" s="374">
        <f>COUNTIFS(B:B,B863,H:H,'סיווג התפקידים והעלויות'!$C$2)</f>
        <v>0</v>
      </c>
      <c r="AC863" s="374">
        <f>COUNTIFS(B:B,B863,H:H,'סיווג התפקידים והעלויות'!$D$2)</f>
        <v>0</v>
      </c>
      <c r="AD863" s="374" t="str">
        <f>IF(OR(AND(H863='סיווג התפקידים והעלויות'!$A$2,I863='סיווג התפקידים והעלויות'!$A$3),'עלויות כח אדם (6)'!H863='סיווג התפקידים והעלויות'!$C$2,'עלויות כח אדם (6)'!H863='סיווג התפקידים והעלויות'!$D$2),IF('עלויות כח אדם (6)'!J863&lt;75,"לא תקין","תקין"),"")</f>
        <v/>
      </c>
      <c r="AE863" s="374" t="str">
        <f t="shared" si="209"/>
        <v/>
      </c>
      <c r="AF863" s="532" t="str">
        <f t="shared" si="210"/>
        <v/>
      </c>
    </row>
    <row r="864" spans="2:32" x14ac:dyDescent="0.25">
      <c r="B864" s="695"/>
      <c r="C864" s="197" t="str">
        <f>IF(B864&lt;&gt;"",IFERROR(VLOOKUP(B:B,'מצבת והרשמה (2)'!$C$20:$N$520,2,0)," ")," ")</f>
        <v xml:space="preserve"> </v>
      </c>
      <c r="D864" s="695"/>
      <c r="E864" s="696"/>
      <c r="F864" s="696"/>
      <c r="G864" s="696"/>
      <c r="H864" s="696"/>
      <c r="I864" s="1050" t="str">
        <f t="shared" si="197"/>
        <v/>
      </c>
      <c r="J864" s="696"/>
      <c r="K864" s="697"/>
      <c r="L864" s="696"/>
      <c r="M864" s="198" t="str">
        <f t="shared" si="198"/>
        <v/>
      </c>
      <c r="N864" s="369" t="str">
        <f t="shared" si="199"/>
        <v/>
      </c>
      <c r="O864" s="183" t="str">
        <f t="shared" si="200"/>
        <v/>
      </c>
      <c r="P864" s="199" t="str">
        <f t="shared" si="201"/>
        <v/>
      </c>
      <c r="Q864" s="199" t="str">
        <f>IF(B864="","",IFERROR(IF('עלויות כח אדם (6)'!J864&gt;=VLOOKUP(I864,'סיווג התפקידים והעלויות'!$B$23:$C$32,2,0),"תקין","לא תקין"),""))</f>
        <v/>
      </c>
      <c r="R864" s="199" t="str">
        <f t="shared" si="202"/>
        <v/>
      </c>
      <c r="S864" s="199" t="str">
        <f t="shared" si="203"/>
        <v/>
      </c>
      <c r="T864" s="199" t="str">
        <f t="shared" si="211"/>
        <v/>
      </c>
      <c r="U864" s="199" t="str">
        <f t="shared" si="204"/>
        <v/>
      </c>
      <c r="V864" s="989"/>
      <c r="X864" s="374" t="str">
        <f t="shared" si="205"/>
        <v/>
      </c>
      <c r="Y864" s="375" t="str">
        <f t="shared" si="206"/>
        <v/>
      </c>
      <c r="Z864" s="374" t="str">
        <f t="shared" si="207"/>
        <v/>
      </c>
      <c r="AA864" s="374" t="b">
        <f t="shared" si="208"/>
        <v>1</v>
      </c>
      <c r="AB864" s="374">
        <f>COUNTIFS(B:B,B864,H:H,'סיווג התפקידים והעלויות'!$C$2)</f>
        <v>0</v>
      </c>
      <c r="AC864" s="374">
        <f>COUNTIFS(B:B,B864,H:H,'סיווג התפקידים והעלויות'!$D$2)</f>
        <v>0</v>
      </c>
      <c r="AD864" s="374" t="str">
        <f>IF(OR(AND(H864='סיווג התפקידים והעלויות'!$A$2,I864='סיווג התפקידים והעלויות'!$A$3),'עלויות כח אדם (6)'!H864='סיווג התפקידים והעלויות'!$C$2,'עלויות כח אדם (6)'!H864='סיווג התפקידים והעלויות'!$D$2),IF('עלויות כח אדם (6)'!J864&lt;75,"לא תקין","תקין"),"")</f>
        <v/>
      </c>
      <c r="AE864" s="374" t="str">
        <f t="shared" si="209"/>
        <v/>
      </c>
      <c r="AF864" s="532" t="str">
        <f t="shared" si="210"/>
        <v/>
      </c>
    </row>
    <row r="865" spans="2:32" x14ac:dyDescent="0.25">
      <c r="B865" s="695"/>
      <c r="C865" s="197" t="str">
        <f>IF(B865&lt;&gt;"",IFERROR(VLOOKUP(B:B,'מצבת והרשמה (2)'!$C$20:$N$520,2,0)," ")," ")</f>
        <v xml:space="preserve"> </v>
      </c>
      <c r="D865" s="695"/>
      <c r="E865" s="696"/>
      <c r="F865" s="696"/>
      <c r="G865" s="696"/>
      <c r="H865" s="696"/>
      <c r="I865" s="1050" t="str">
        <f t="shared" si="197"/>
        <v/>
      </c>
      <c r="J865" s="696"/>
      <c r="K865" s="697"/>
      <c r="L865" s="696"/>
      <c r="M865" s="198" t="str">
        <f t="shared" si="198"/>
        <v/>
      </c>
      <c r="N865" s="369" t="str">
        <f t="shared" si="199"/>
        <v/>
      </c>
      <c r="O865" s="183" t="str">
        <f t="shared" si="200"/>
        <v/>
      </c>
      <c r="P865" s="199" t="str">
        <f t="shared" si="201"/>
        <v/>
      </c>
      <c r="Q865" s="199" t="str">
        <f>IF(B865="","",IFERROR(IF('עלויות כח אדם (6)'!J865&gt;=VLOOKUP(I865,'סיווג התפקידים והעלויות'!$B$23:$C$32,2,0),"תקין","לא תקין"),""))</f>
        <v/>
      </c>
      <c r="R865" s="199" t="str">
        <f t="shared" si="202"/>
        <v/>
      </c>
      <c r="S865" s="199" t="str">
        <f t="shared" si="203"/>
        <v/>
      </c>
      <c r="T865" s="199" t="str">
        <f t="shared" si="211"/>
        <v/>
      </c>
      <c r="U865" s="199" t="str">
        <f t="shared" si="204"/>
        <v/>
      </c>
      <c r="V865" s="989"/>
      <c r="X865" s="374" t="str">
        <f t="shared" si="205"/>
        <v/>
      </c>
      <c r="Y865" s="375" t="str">
        <f t="shared" si="206"/>
        <v/>
      </c>
      <c r="Z865" s="374" t="str">
        <f t="shared" si="207"/>
        <v/>
      </c>
      <c r="AA865" s="374" t="b">
        <f t="shared" si="208"/>
        <v>1</v>
      </c>
      <c r="AB865" s="374">
        <f>COUNTIFS(B:B,B865,H:H,'סיווג התפקידים והעלויות'!$C$2)</f>
        <v>0</v>
      </c>
      <c r="AC865" s="374">
        <f>COUNTIFS(B:B,B865,H:H,'סיווג התפקידים והעלויות'!$D$2)</f>
        <v>0</v>
      </c>
      <c r="AD865" s="374" t="str">
        <f>IF(OR(AND(H865='סיווג התפקידים והעלויות'!$A$2,I865='סיווג התפקידים והעלויות'!$A$3),'עלויות כח אדם (6)'!H865='סיווג התפקידים והעלויות'!$C$2,'עלויות כח אדם (6)'!H865='סיווג התפקידים והעלויות'!$D$2),IF('עלויות כח אדם (6)'!J865&lt;75,"לא תקין","תקין"),"")</f>
        <v/>
      </c>
      <c r="AE865" s="374" t="str">
        <f t="shared" si="209"/>
        <v/>
      </c>
      <c r="AF865" s="532" t="str">
        <f t="shared" si="210"/>
        <v/>
      </c>
    </row>
    <row r="866" spans="2:32" x14ac:dyDescent="0.25">
      <c r="B866" s="695"/>
      <c r="C866" s="197" t="str">
        <f>IF(B866&lt;&gt;"",IFERROR(VLOOKUP(B:B,'מצבת והרשמה (2)'!$C$20:$N$520,2,0)," ")," ")</f>
        <v xml:space="preserve"> </v>
      </c>
      <c r="D866" s="695"/>
      <c r="E866" s="696"/>
      <c r="F866" s="696"/>
      <c r="G866" s="696"/>
      <c r="H866" s="696"/>
      <c r="I866" s="1050" t="str">
        <f t="shared" si="197"/>
        <v/>
      </c>
      <c r="J866" s="696"/>
      <c r="K866" s="697"/>
      <c r="L866" s="696"/>
      <c r="M866" s="198" t="str">
        <f t="shared" si="198"/>
        <v/>
      </c>
      <c r="N866" s="369" t="str">
        <f t="shared" si="199"/>
        <v/>
      </c>
      <c r="O866" s="183" t="str">
        <f t="shared" si="200"/>
        <v/>
      </c>
      <c r="P866" s="199" t="str">
        <f t="shared" si="201"/>
        <v/>
      </c>
      <c r="Q866" s="199" t="str">
        <f>IF(B866="","",IFERROR(IF('עלויות כח אדם (6)'!J866&gt;=VLOOKUP(I866,'סיווג התפקידים והעלויות'!$B$23:$C$32,2,0),"תקין","לא תקין"),""))</f>
        <v/>
      </c>
      <c r="R866" s="199" t="str">
        <f t="shared" si="202"/>
        <v/>
      </c>
      <c r="S866" s="199" t="str">
        <f t="shared" si="203"/>
        <v/>
      </c>
      <c r="T866" s="199" t="str">
        <f t="shared" si="211"/>
        <v/>
      </c>
      <c r="U866" s="199" t="str">
        <f t="shared" si="204"/>
        <v/>
      </c>
      <c r="V866" s="989"/>
      <c r="X866" s="374" t="str">
        <f t="shared" si="205"/>
        <v/>
      </c>
      <c r="Y866" s="375" t="str">
        <f t="shared" si="206"/>
        <v/>
      </c>
      <c r="Z866" s="374" t="str">
        <f t="shared" si="207"/>
        <v/>
      </c>
      <c r="AA866" s="374" t="b">
        <f t="shared" si="208"/>
        <v>1</v>
      </c>
      <c r="AB866" s="374">
        <f>COUNTIFS(B:B,B866,H:H,'סיווג התפקידים והעלויות'!$C$2)</f>
        <v>0</v>
      </c>
      <c r="AC866" s="374">
        <f>COUNTIFS(B:B,B866,H:H,'סיווג התפקידים והעלויות'!$D$2)</f>
        <v>0</v>
      </c>
      <c r="AD866" s="374" t="str">
        <f>IF(OR(AND(H866='סיווג התפקידים והעלויות'!$A$2,I866='סיווג התפקידים והעלויות'!$A$3),'עלויות כח אדם (6)'!H866='סיווג התפקידים והעלויות'!$C$2,'עלויות כח אדם (6)'!H866='סיווג התפקידים והעלויות'!$D$2),IF('עלויות כח אדם (6)'!J866&lt;75,"לא תקין","תקין"),"")</f>
        <v/>
      </c>
      <c r="AE866" s="374" t="str">
        <f t="shared" si="209"/>
        <v/>
      </c>
      <c r="AF866" s="532" t="str">
        <f t="shared" si="210"/>
        <v/>
      </c>
    </row>
    <row r="867" spans="2:32" x14ac:dyDescent="0.25">
      <c r="B867" s="695"/>
      <c r="C867" s="197" t="str">
        <f>IF(B867&lt;&gt;"",IFERROR(VLOOKUP(B:B,'מצבת והרשמה (2)'!$C$20:$N$520,2,0)," ")," ")</f>
        <v xml:space="preserve"> </v>
      </c>
      <c r="D867" s="695"/>
      <c r="E867" s="696"/>
      <c r="F867" s="696"/>
      <c r="G867" s="696"/>
      <c r="H867" s="696"/>
      <c r="I867" s="1050" t="str">
        <f t="shared" si="197"/>
        <v/>
      </c>
      <c r="J867" s="696"/>
      <c r="K867" s="697"/>
      <c r="L867" s="696"/>
      <c r="M867" s="198" t="str">
        <f t="shared" si="198"/>
        <v/>
      </c>
      <c r="N867" s="369" t="str">
        <f t="shared" si="199"/>
        <v/>
      </c>
      <c r="O867" s="183" t="str">
        <f t="shared" si="200"/>
        <v/>
      </c>
      <c r="P867" s="199" t="str">
        <f t="shared" si="201"/>
        <v/>
      </c>
      <c r="Q867" s="199" t="str">
        <f>IF(B867="","",IFERROR(IF('עלויות כח אדם (6)'!J867&gt;=VLOOKUP(I867,'סיווג התפקידים והעלויות'!$B$23:$C$32,2,0),"תקין","לא תקין"),""))</f>
        <v/>
      </c>
      <c r="R867" s="199" t="str">
        <f t="shared" si="202"/>
        <v/>
      </c>
      <c r="S867" s="199" t="str">
        <f t="shared" si="203"/>
        <v/>
      </c>
      <c r="T867" s="199" t="str">
        <f t="shared" si="211"/>
        <v/>
      </c>
      <c r="U867" s="199" t="str">
        <f t="shared" si="204"/>
        <v/>
      </c>
      <c r="V867" s="989"/>
      <c r="X867" s="374" t="str">
        <f t="shared" si="205"/>
        <v/>
      </c>
      <c r="Y867" s="375" t="str">
        <f t="shared" si="206"/>
        <v/>
      </c>
      <c r="Z867" s="374" t="str">
        <f t="shared" si="207"/>
        <v/>
      </c>
      <c r="AA867" s="374" t="b">
        <f t="shared" si="208"/>
        <v>1</v>
      </c>
      <c r="AB867" s="374">
        <f>COUNTIFS(B:B,B867,H:H,'סיווג התפקידים והעלויות'!$C$2)</f>
        <v>0</v>
      </c>
      <c r="AC867" s="374">
        <f>COUNTIFS(B:B,B867,H:H,'סיווג התפקידים והעלויות'!$D$2)</f>
        <v>0</v>
      </c>
      <c r="AD867" s="374" t="str">
        <f>IF(OR(AND(H867='סיווג התפקידים והעלויות'!$A$2,I867='סיווג התפקידים והעלויות'!$A$3),'עלויות כח אדם (6)'!H867='סיווג התפקידים והעלויות'!$C$2,'עלויות כח אדם (6)'!H867='סיווג התפקידים והעלויות'!$D$2),IF('עלויות כח אדם (6)'!J867&lt;75,"לא תקין","תקין"),"")</f>
        <v/>
      </c>
      <c r="AE867" s="374" t="str">
        <f t="shared" si="209"/>
        <v/>
      </c>
      <c r="AF867" s="532" t="str">
        <f t="shared" si="210"/>
        <v/>
      </c>
    </row>
    <row r="868" spans="2:32" x14ac:dyDescent="0.25">
      <c r="B868" s="695"/>
      <c r="C868" s="197" t="str">
        <f>IF(B868&lt;&gt;"",IFERROR(VLOOKUP(B:B,'מצבת והרשמה (2)'!$C$20:$N$520,2,0)," ")," ")</f>
        <v xml:space="preserve"> </v>
      </c>
      <c r="D868" s="695"/>
      <c r="E868" s="696"/>
      <c r="F868" s="696"/>
      <c r="G868" s="696"/>
      <c r="H868" s="696"/>
      <c r="I868" s="1050" t="str">
        <f t="shared" si="197"/>
        <v/>
      </c>
      <c r="J868" s="696"/>
      <c r="K868" s="697"/>
      <c r="L868" s="696"/>
      <c r="M868" s="198" t="str">
        <f t="shared" si="198"/>
        <v/>
      </c>
      <c r="N868" s="369" t="str">
        <f t="shared" si="199"/>
        <v/>
      </c>
      <c r="O868" s="183" t="str">
        <f t="shared" si="200"/>
        <v/>
      </c>
      <c r="P868" s="199" t="str">
        <f t="shared" si="201"/>
        <v/>
      </c>
      <c r="Q868" s="199" t="str">
        <f>IF(B868="","",IFERROR(IF('עלויות כח אדם (6)'!J868&gt;=VLOOKUP(I868,'סיווג התפקידים והעלויות'!$B$23:$C$32,2,0),"תקין","לא תקין"),""))</f>
        <v/>
      </c>
      <c r="R868" s="199" t="str">
        <f t="shared" si="202"/>
        <v/>
      </c>
      <c r="S868" s="199" t="str">
        <f t="shared" si="203"/>
        <v/>
      </c>
      <c r="T868" s="199" t="str">
        <f t="shared" si="211"/>
        <v/>
      </c>
      <c r="U868" s="199" t="str">
        <f t="shared" si="204"/>
        <v/>
      </c>
      <c r="V868" s="989"/>
      <c r="X868" s="374" t="str">
        <f t="shared" si="205"/>
        <v/>
      </c>
      <c r="Y868" s="375" t="str">
        <f t="shared" si="206"/>
        <v/>
      </c>
      <c r="Z868" s="374" t="str">
        <f t="shared" si="207"/>
        <v/>
      </c>
      <c r="AA868" s="374" t="b">
        <f t="shared" si="208"/>
        <v>1</v>
      </c>
      <c r="AB868" s="374">
        <f>COUNTIFS(B:B,B868,H:H,'סיווג התפקידים והעלויות'!$C$2)</f>
        <v>0</v>
      </c>
      <c r="AC868" s="374">
        <f>COUNTIFS(B:B,B868,H:H,'סיווג התפקידים והעלויות'!$D$2)</f>
        <v>0</v>
      </c>
      <c r="AD868" s="374" t="str">
        <f>IF(OR(AND(H868='סיווג התפקידים והעלויות'!$A$2,I868='סיווג התפקידים והעלויות'!$A$3),'עלויות כח אדם (6)'!H868='סיווג התפקידים והעלויות'!$C$2,'עלויות כח אדם (6)'!H868='סיווג התפקידים והעלויות'!$D$2),IF('עלויות כח אדם (6)'!J868&lt;75,"לא תקין","תקין"),"")</f>
        <v/>
      </c>
      <c r="AE868" s="374" t="str">
        <f t="shared" si="209"/>
        <v/>
      </c>
      <c r="AF868" s="532" t="str">
        <f t="shared" si="210"/>
        <v/>
      </c>
    </row>
    <row r="869" spans="2:32" x14ac:dyDescent="0.25">
      <c r="B869" s="695"/>
      <c r="C869" s="197" t="str">
        <f>IF(B869&lt;&gt;"",IFERROR(VLOOKUP(B:B,'מצבת והרשמה (2)'!$C$20:$N$520,2,0)," ")," ")</f>
        <v xml:space="preserve"> </v>
      </c>
      <c r="D869" s="695"/>
      <c r="E869" s="696"/>
      <c r="F869" s="696"/>
      <c r="G869" s="696"/>
      <c r="H869" s="696"/>
      <c r="I869" s="1050" t="str">
        <f t="shared" si="197"/>
        <v/>
      </c>
      <c r="J869" s="696"/>
      <c r="K869" s="697"/>
      <c r="L869" s="696"/>
      <c r="M869" s="198" t="str">
        <f t="shared" si="198"/>
        <v/>
      </c>
      <c r="N869" s="369" t="str">
        <f t="shared" si="199"/>
        <v/>
      </c>
      <c r="O869" s="183" t="str">
        <f t="shared" si="200"/>
        <v/>
      </c>
      <c r="P869" s="199" t="str">
        <f t="shared" si="201"/>
        <v/>
      </c>
      <c r="Q869" s="199" t="str">
        <f>IF(B869="","",IFERROR(IF('עלויות כח אדם (6)'!J869&gt;=VLOOKUP(I869,'סיווג התפקידים והעלויות'!$B$23:$C$32,2,0),"תקין","לא תקין"),""))</f>
        <v/>
      </c>
      <c r="R869" s="199" t="str">
        <f t="shared" si="202"/>
        <v/>
      </c>
      <c r="S869" s="199" t="str">
        <f t="shared" si="203"/>
        <v/>
      </c>
      <c r="T869" s="199" t="str">
        <f t="shared" si="211"/>
        <v/>
      </c>
      <c r="U869" s="199" t="str">
        <f t="shared" si="204"/>
        <v/>
      </c>
      <c r="V869" s="989"/>
      <c r="X869" s="374" t="str">
        <f t="shared" si="205"/>
        <v/>
      </c>
      <c r="Y869" s="375" t="str">
        <f t="shared" si="206"/>
        <v/>
      </c>
      <c r="Z869" s="374" t="str">
        <f t="shared" si="207"/>
        <v/>
      </c>
      <c r="AA869" s="374" t="b">
        <f t="shared" si="208"/>
        <v>1</v>
      </c>
      <c r="AB869" s="374">
        <f>COUNTIFS(B:B,B869,H:H,'סיווג התפקידים והעלויות'!$C$2)</f>
        <v>0</v>
      </c>
      <c r="AC869" s="374">
        <f>COUNTIFS(B:B,B869,H:H,'סיווג התפקידים והעלויות'!$D$2)</f>
        <v>0</v>
      </c>
      <c r="AD869" s="374" t="str">
        <f>IF(OR(AND(H869='סיווג התפקידים והעלויות'!$A$2,I869='סיווג התפקידים והעלויות'!$A$3),'עלויות כח אדם (6)'!H869='סיווג התפקידים והעלויות'!$C$2,'עלויות כח אדם (6)'!H869='סיווג התפקידים והעלויות'!$D$2),IF('עלויות כח אדם (6)'!J869&lt;75,"לא תקין","תקין"),"")</f>
        <v/>
      </c>
      <c r="AE869" s="374" t="str">
        <f t="shared" si="209"/>
        <v/>
      </c>
      <c r="AF869" s="532" t="str">
        <f t="shared" si="210"/>
        <v/>
      </c>
    </row>
    <row r="870" spans="2:32" x14ac:dyDescent="0.25">
      <c r="B870" s="695"/>
      <c r="C870" s="197" t="str">
        <f>IF(B870&lt;&gt;"",IFERROR(VLOOKUP(B:B,'מצבת והרשמה (2)'!$C$20:$N$520,2,0)," ")," ")</f>
        <v xml:space="preserve"> </v>
      </c>
      <c r="D870" s="695"/>
      <c r="E870" s="696"/>
      <c r="F870" s="696"/>
      <c r="G870" s="696"/>
      <c r="H870" s="696"/>
      <c r="I870" s="1050" t="str">
        <f t="shared" si="197"/>
        <v/>
      </c>
      <c r="J870" s="696"/>
      <c r="K870" s="697"/>
      <c r="L870" s="696"/>
      <c r="M870" s="198" t="str">
        <f t="shared" si="198"/>
        <v/>
      </c>
      <c r="N870" s="369" t="str">
        <f t="shared" si="199"/>
        <v/>
      </c>
      <c r="O870" s="183" t="str">
        <f t="shared" si="200"/>
        <v/>
      </c>
      <c r="P870" s="199" t="str">
        <f t="shared" si="201"/>
        <v/>
      </c>
      <c r="Q870" s="199" t="str">
        <f>IF(B870="","",IFERROR(IF('עלויות כח אדם (6)'!J870&gt;=VLOOKUP(I870,'סיווג התפקידים והעלויות'!$B$23:$C$32,2,0),"תקין","לא תקין"),""))</f>
        <v/>
      </c>
      <c r="R870" s="199" t="str">
        <f t="shared" si="202"/>
        <v/>
      </c>
      <c r="S870" s="199" t="str">
        <f t="shared" si="203"/>
        <v/>
      </c>
      <c r="T870" s="199" t="str">
        <f t="shared" si="211"/>
        <v/>
      </c>
      <c r="U870" s="199" t="str">
        <f t="shared" si="204"/>
        <v/>
      </c>
      <c r="V870" s="989"/>
      <c r="X870" s="374" t="str">
        <f t="shared" si="205"/>
        <v/>
      </c>
      <c r="Y870" s="375" t="str">
        <f t="shared" si="206"/>
        <v/>
      </c>
      <c r="Z870" s="374" t="str">
        <f t="shared" si="207"/>
        <v/>
      </c>
      <c r="AA870" s="374" t="b">
        <f t="shared" si="208"/>
        <v>1</v>
      </c>
      <c r="AB870" s="374">
        <f>COUNTIFS(B:B,B870,H:H,'סיווג התפקידים והעלויות'!$C$2)</f>
        <v>0</v>
      </c>
      <c r="AC870" s="374">
        <f>COUNTIFS(B:B,B870,H:H,'סיווג התפקידים והעלויות'!$D$2)</f>
        <v>0</v>
      </c>
      <c r="AD870" s="374" t="str">
        <f>IF(OR(AND(H870='סיווג התפקידים והעלויות'!$A$2,I870='סיווג התפקידים והעלויות'!$A$3),'עלויות כח אדם (6)'!H870='סיווג התפקידים והעלויות'!$C$2,'עלויות כח אדם (6)'!H870='סיווג התפקידים והעלויות'!$D$2),IF('עלויות כח אדם (6)'!J870&lt;75,"לא תקין","תקין"),"")</f>
        <v/>
      </c>
      <c r="AE870" s="374" t="str">
        <f t="shared" si="209"/>
        <v/>
      </c>
      <c r="AF870" s="532" t="str">
        <f t="shared" si="210"/>
        <v/>
      </c>
    </row>
    <row r="871" spans="2:32" x14ac:dyDescent="0.25">
      <c r="B871" s="695"/>
      <c r="C871" s="197" t="str">
        <f>IF(B871&lt;&gt;"",IFERROR(VLOOKUP(B:B,'מצבת והרשמה (2)'!$C$20:$N$520,2,0)," ")," ")</f>
        <v xml:space="preserve"> </v>
      </c>
      <c r="D871" s="695"/>
      <c r="E871" s="696"/>
      <c r="F871" s="696"/>
      <c r="G871" s="696"/>
      <c r="H871" s="696"/>
      <c r="I871" s="1050" t="str">
        <f t="shared" si="197"/>
        <v/>
      </c>
      <c r="J871" s="696"/>
      <c r="K871" s="697"/>
      <c r="L871" s="696"/>
      <c r="M871" s="198" t="str">
        <f t="shared" si="198"/>
        <v/>
      </c>
      <c r="N871" s="369" t="str">
        <f t="shared" si="199"/>
        <v/>
      </c>
      <c r="O871" s="183" t="str">
        <f t="shared" si="200"/>
        <v/>
      </c>
      <c r="P871" s="199" t="str">
        <f t="shared" si="201"/>
        <v/>
      </c>
      <c r="Q871" s="199" t="str">
        <f>IF(B871="","",IFERROR(IF('עלויות כח אדם (6)'!J871&gt;=VLOOKUP(I871,'סיווג התפקידים והעלויות'!$B$23:$C$32,2,0),"תקין","לא תקין"),""))</f>
        <v/>
      </c>
      <c r="R871" s="199" t="str">
        <f t="shared" si="202"/>
        <v/>
      </c>
      <c r="S871" s="199" t="str">
        <f t="shared" si="203"/>
        <v/>
      </c>
      <c r="T871" s="199" t="str">
        <f t="shared" si="211"/>
        <v/>
      </c>
      <c r="U871" s="199" t="str">
        <f t="shared" si="204"/>
        <v/>
      </c>
      <c r="V871" s="989"/>
      <c r="X871" s="374" t="str">
        <f t="shared" si="205"/>
        <v/>
      </c>
      <c r="Y871" s="375" t="str">
        <f t="shared" si="206"/>
        <v/>
      </c>
      <c r="Z871" s="374" t="str">
        <f t="shared" si="207"/>
        <v/>
      </c>
      <c r="AA871" s="374" t="b">
        <f t="shared" si="208"/>
        <v>1</v>
      </c>
      <c r="AB871" s="374">
        <f>COUNTIFS(B:B,B871,H:H,'סיווג התפקידים והעלויות'!$C$2)</f>
        <v>0</v>
      </c>
      <c r="AC871" s="374">
        <f>COUNTIFS(B:B,B871,H:H,'סיווג התפקידים והעלויות'!$D$2)</f>
        <v>0</v>
      </c>
      <c r="AD871" s="374" t="str">
        <f>IF(OR(AND(H871='סיווג התפקידים והעלויות'!$A$2,I871='סיווג התפקידים והעלויות'!$A$3),'עלויות כח אדם (6)'!H871='סיווג התפקידים והעלויות'!$C$2,'עלויות כח אדם (6)'!H871='סיווג התפקידים והעלויות'!$D$2),IF('עלויות כח אדם (6)'!J871&lt;75,"לא תקין","תקין"),"")</f>
        <v/>
      </c>
      <c r="AE871" s="374" t="str">
        <f t="shared" si="209"/>
        <v/>
      </c>
      <c r="AF871" s="532" t="str">
        <f t="shared" si="210"/>
        <v/>
      </c>
    </row>
    <row r="872" spans="2:32" x14ac:dyDescent="0.25">
      <c r="B872" s="695"/>
      <c r="C872" s="197" t="str">
        <f>IF(B872&lt;&gt;"",IFERROR(VLOOKUP(B:B,'מצבת והרשמה (2)'!$C$20:$N$520,2,0)," ")," ")</f>
        <v xml:space="preserve"> </v>
      </c>
      <c r="D872" s="695"/>
      <c r="E872" s="696"/>
      <c r="F872" s="696"/>
      <c r="G872" s="696"/>
      <c r="H872" s="696"/>
      <c r="I872" s="1050" t="str">
        <f t="shared" si="197"/>
        <v/>
      </c>
      <c r="J872" s="696"/>
      <c r="K872" s="697"/>
      <c r="L872" s="696"/>
      <c r="M872" s="198" t="str">
        <f t="shared" si="198"/>
        <v/>
      </c>
      <c r="N872" s="369" t="str">
        <f t="shared" si="199"/>
        <v/>
      </c>
      <c r="O872" s="183" t="str">
        <f t="shared" si="200"/>
        <v/>
      </c>
      <c r="P872" s="199" t="str">
        <f t="shared" si="201"/>
        <v/>
      </c>
      <c r="Q872" s="199" t="str">
        <f>IF(B872="","",IFERROR(IF('עלויות כח אדם (6)'!J872&gt;=VLOOKUP(I872,'סיווג התפקידים והעלויות'!$B$23:$C$32,2,0),"תקין","לא תקין"),""))</f>
        <v/>
      </c>
      <c r="R872" s="199" t="str">
        <f t="shared" si="202"/>
        <v/>
      </c>
      <c r="S872" s="199" t="str">
        <f t="shared" si="203"/>
        <v/>
      </c>
      <c r="T872" s="199" t="str">
        <f t="shared" si="211"/>
        <v/>
      </c>
      <c r="U872" s="199" t="str">
        <f t="shared" si="204"/>
        <v/>
      </c>
      <c r="V872" s="989"/>
      <c r="X872" s="374" t="str">
        <f t="shared" si="205"/>
        <v/>
      </c>
      <c r="Y872" s="375" t="str">
        <f t="shared" si="206"/>
        <v/>
      </c>
      <c r="Z872" s="374" t="str">
        <f t="shared" si="207"/>
        <v/>
      </c>
      <c r="AA872" s="374" t="b">
        <f t="shared" si="208"/>
        <v>1</v>
      </c>
      <c r="AB872" s="374">
        <f>COUNTIFS(B:B,B872,H:H,'סיווג התפקידים והעלויות'!$C$2)</f>
        <v>0</v>
      </c>
      <c r="AC872" s="374">
        <f>COUNTIFS(B:B,B872,H:H,'סיווג התפקידים והעלויות'!$D$2)</f>
        <v>0</v>
      </c>
      <c r="AD872" s="374" t="str">
        <f>IF(OR(AND(H872='סיווג התפקידים והעלויות'!$A$2,I872='סיווג התפקידים והעלויות'!$A$3),'עלויות כח אדם (6)'!H872='סיווג התפקידים והעלויות'!$C$2,'עלויות כח אדם (6)'!H872='סיווג התפקידים והעלויות'!$D$2),IF('עלויות כח אדם (6)'!J872&lt;75,"לא תקין","תקין"),"")</f>
        <v/>
      </c>
      <c r="AE872" s="374" t="str">
        <f t="shared" si="209"/>
        <v/>
      </c>
      <c r="AF872" s="532" t="str">
        <f t="shared" si="210"/>
        <v/>
      </c>
    </row>
    <row r="873" spans="2:32" x14ac:dyDescent="0.25">
      <c r="B873" s="695"/>
      <c r="C873" s="197" t="str">
        <f>IF(B873&lt;&gt;"",IFERROR(VLOOKUP(B:B,'מצבת והרשמה (2)'!$C$20:$N$520,2,0)," ")," ")</f>
        <v xml:space="preserve"> </v>
      </c>
      <c r="D873" s="695"/>
      <c r="E873" s="696"/>
      <c r="F873" s="696"/>
      <c r="G873" s="696"/>
      <c r="H873" s="696"/>
      <c r="I873" s="1050" t="str">
        <f t="shared" si="197"/>
        <v/>
      </c>
      <c r="J873" s="696"/>
      <c r="K873" s="697"/>
      <c r="L873" s="696"/>
      <c r="M873" s="198" t="str">
        <f t="shared" si="198"/>
        <v/>
      </c>
      <c r="N873" s="369" t="str">
        <f t="shared" si="199"/>
        <v/>
      </c>
      <c r="O873" s="183" t="str">
        <f t="shared" si="200"/>
        <v/>
      </c>
      <c r="P873" s="199" t="str">
        <f t="shared" si="201"/>
        <v/>
      </c>
      <c r="Q873" s="199" t="str">
        <f>IF(B873="","",IFERROR(IF('עלויות כח אדם (6)'!J873&gt;=VLOOKUP(I873,'סיווג התפקידים והעלויות'!$B$23:$C$32,2,0),"תקין","לא תקין"),""))</f>
        <v/>
      </c>
      <c r="R873" s="199" t="str">
        <f t="shared" si="202"/>
        <v/>
      </c>
      <c r="S873" s="199" t="str">
        <f t="shared" si="203"/>
        <v/>
      </c>
      <c r="T873" s="199" t="str">
        <f t="shared" si="211"/>
        <v/>
      </c>
      <c r="U873" s="199" t="str">
        <f t="shared" si="204"/>
        <v/>
      </c>
      <c r="V873" s="989"/>
      <c r="X873" s="374" t="str">
        <f t="shared" si="205"/>
        <v/>
      </c>
      <c r="Y873" s="375" t="str">
        <f t="shared" si="206"/>
        <v/>
      </c>
      <c r="Z873" s="374" t="str">
        <f t="shared" si="207"/>
        <v/>
      </c>
      <c r="AA873" s="374" t="b">
        <f t="shared" si="208"/>
        <v>1</v>
      </c>
      <c r="AB873" s="374">
        <f>COUNTIFS(B:B,B873,H:H,'סיווג התפקידים והעלויות'!$C$2)</f>
        <v>0</v>
      </c>
      <c r="AC873" s="374">
        <f>COUNTIFS(B:B,B873,H:H,'סיווג התפקידים והעלויות'!$D$2)</f>
        <v>0</v>
      </c>
      <c r="AD873" s="374" t="str">
        <f>IF(OR(AND(H873='סיווג התפקידים והעלויות'!$A$2,I873='סיווג התפקידים והעלויות'!$A$3),'עלויות כח אדם (6)'!H873='סיווג התפקידים והעלויות'!$C$2,'עלויות כח אדם (6)'!H873='סיווג התפקידים והעלויות'!$D$2),IF('עלויות כח אדם (6)'!J873&lt;75,"לא תקין","תקין"),"")</f>
        <v/>
      </c>
      <c r="AE873" s="374" t="str">
        <f t="shared" si="209"/>
        <v/>
      </c>
      <c r="AF873" s="532" t="str">
        <f t="shared" si="210"/>
        <v/>
      </c>
    </row>
    <row r="874" spans="2:32" x14ac:dyDescent="0.25">
      <c r="B874" s="695"/>
      <c r="C874" s="197" t="str">
        <f>IF(B874&lt;&gt;"",IFERROR(VLOOKUP(B:B,'מצבת והרשמה (2)'!$C$20:$N$520,2,0)," ")," ")</f>
        <v xml:space="preserve"> </v>
      </c>
      <c r="D874" s="695"/>
      <c r="E874" s="696"/>
      <c r="F874" s="696"/>
      <c r="G874" s="696"/>
      <c r="H874" s="696"/>
      <c r="I874" s="1050" t="str">
        <f t="shared" si="197"/>
        <v/>
      </c>
      <c r="J874" s="696"/>
      <c r="K874" s="697"/>
      <c r="L874" s="696"/>
      <c r="M874" s="198" t="str">
        <f t="shared" si="198"/>
        <v/>
      </c>
      <c r="N874" s="369" t="str">
        <f t="shared" si="199"/>
        <v/>
      </c>
      <c r="O874" s="183" t="str">
        <f t="shared" si="200"/>
        <v/>
      </c>
      <c r="P874" s="199" t="str">
        <f t="shared" si="201"/>
        <v/>
      </c>
      <c r="Q874" s="199" t="str">
        <f>IF(B874="","",IFERROR(IF('עלויות כח אדם (6)'!J874&gt;=VLOOKUP(I874,'סיווג התפקידים והעלויות'!$B$23:$C$32,2,0),"תקין","לא תקין"),""))</f>
        <v/>
      </c>
      <c r="R874" s="199" t="str">
        <f t="shared" si="202"/>
        <v/>
      </c>
      <c r="S874" s="199" t="str">
        <f t="shared" si="203"/>
        <v/>
      </c>
      <c r="T874" s="199" t="str">
        <f t="shared" si="211"/>
        <v/>
      </c>
      <c r="U874" s="199" t="str">
        <f t="shared" si="204"/>
        <v/>
      </c>
      <c r="V874" s="989"/>
      <c r="X874" s="374" t="str">
        <f t="shared" si="205"/>
        <v/>
      </c>
      <c r="Y874" s="375" t="str">
        <f t="shared" si="206"/>
        <v/>
      </c>
      <c r="Z874" s="374" t="str">
        <f t="shared" si="207"/>
        <v/>
      </c>
      <c r="AA874" s="374" t="b">
        <f t="shared" si="208"/>
        <v>1</v>
      </c>
      <c r="AB874" s="374">
        <f>COUNTIFS(B:B,B874,H:H,'סיווג התפקידים והעלויות'!$C$2)</f>
        <v>0</v>
      </c>
      <c r="AC874" s="374">
        <f>COUNTIFS(B:B,B874,H:H,'סיווג התפקידים והעלויות'!$D$2)</f>
        <v>0</v>
      </c>
      <c r="AD874" s="374" t="str">
        <f>IF(OR(AND(H874='סיווג התפקידים והעלויות'!$A$2,I874='סיווג התפקידים והעלויות'!$A$3),'עלויות כח אדם (6)'!H874='סיווג התפקידים והעלויות'!$C$2,'עלויות כח אדם (6)'!H874='סיווג התפקידים והעלויות'!$D$2),IF('עלויות כח אדם (6)'!J874&lt;75,"לא תקין","תקין"),"")</f>
        <v/>
      </c>
      <c r="AE874" s="374" t="str">
        <f t="shared" si="209"/>
        <v/>
      </c>
      <c r="AF874" s="532" t="str">
        <f t="shared" si="210"/>
        <v/>
      </c>
    </row>
    <row r="875" spans="2:32" x14ac:dyDescent="0.25">
      <c r="B875" s="695"/>
      <c r="C875" s="197" t="str">
        <f>IF(B875&lt;&gt;"",IFERROR(VLOOKUP(B:B,'מצבת והרשמה (2)'!$C$20:$N$520,2,0)," ")," ")</f>
        <v xml:space="preserve"> </v>
      </c>
      <c r="D875" s="695"/>
      <c r="E875" s="696"/>
      <c r="F875" s="696"/>
      <c r="G875" s="696"/>
      <c r="H875" s="696"/>
      <c r="I875" s="1050" t="str">
        <f t="shared" si="197"/>
        <v/>
      </c>
      <c r="J875" s="696"/>
      <c r="K875" s="697"/>
      <c r="L875" s="696"/>
      <c r="M875" s="198" t="str">
        <f t="shared" si="198"/>
        <v/>
      </c>
      <c r="N875" s="369" t="str">
        <f t="shared" si="199"/>
        <v/>
      </c>
      <c r="O875" s="183" t="str">
        <f t="shared" si="200"/>
        <v/>
      </c>
      <c r="P875" s="199" t="str">
        <f t="shared" si="201"/>
        <v/>
      </c>
      <c r="Q875" s="199" t="str">
        <f>IF(B875="","",IFERROR(IF('עלויות כח אדם (6)'!J875&gt;=VLOOKUP(I875,'סיווג התפקידים והעלויות'!$B$23:$C$32,2,0),"תקין","לא תקין"),""))</f>
        <v/>
      </c>
      <c r="R875" s="199" t="str">
        <f t="shared" si="202"/>
        <v/>
      </c>
      <c r="S875" s="199" t="str">
        <f t="shared" si="203"/>
        <v/>
      </c>
      <c r="T875" s="199" t="str">
        <f t="shared" si="211"/>
        <v/>
      </c>
      <c r="U875" s="199" t="str">
        <f t="shared" si="204"/>
        <v/>
      </c>
      <c r="V875" s="989"/>
      <c r="X875" s="374" t="str">
        <f t="shared" si="205"/>
        <v/>
      </c>
      <c r="Y875" s="375" t="str">
        <f t="shared" si="206"/>
        <v/>
      </c>
      <c r="Z875" s="374" t="str">
        <f t="shared" si="207"/>
        <v/>
      </c>
      <c r="AA875" s="374" t="b">
        <f t="shared" si="208"/>
        <v>1</v>
      </c>
      <c r="AB875" s="374">
        <f>COUNTIFS(B:B,B875,H:H,'סיווג התפקידים והעלויות'!$C$2)</f>
        <v>0</v>
      </c>
      <c r="AC875" s="374">
        <f>COUNTIFS(B:B,B875,H:H,'סיווג התפקידים והעלויות'!$D$2)</f>
        <v>0</v>
      </c>
      <c r="AD875" s="374" t="str">
        <f>IF(OR(AND(H875='סיווג התפקידים והעלויות'!$A$2,I875='סיווג התפקידים והעלויות'!$A$3),'עלויות כח אדם (6)'!H875='סיווג התפקידים והעלויות'!$C$2,'עלויות כח אדם (6)'!H875='סיווג התפקידים והעלויות'!$D$2),IF('עלויות כח אדם (6)'!J875&lt;75,"לא תקין","תקין"),"")</f>
        <v/>
      </c>
      <c r="AE875" s="374" t="str">
        <f t="shared" si="209"/>
        <v/>
      </c>
      <c r="AF875" s="532" t="str">
        <f t="shared" si="210"/>
        <v/>
      </c>
    </row>
    <row r="876" spans="2:32" x14ac:dyDescent="0.25">
      <c r="B876" s="695"/>
      <c r="C876" s="197" t="str">
        <f>IF(B876&lt;&gt;"",IFERROR(VLOOKUP(B:B,'מצבת והרשמה (2)'!$C$20:$N$520,2,0)," ")," ")</f>
        <v xml:space="preserve"> </v>
      </c>
      <c r="D876" s="695"/>
      <c r="E876" s="696"/>
      <c r="F876" s="696"/>
      <c r="G876" s="696"/>
      <c r="H876" s="696"/>
      <c r="I876" s="1050" t="str">
        <f t="shared" si="197"/>
        <v/>
      </c>
      <c r="J876" s="696"/>
      <c r="K876" s="697"/>
      <c r="L876" s="696"/>
      <c r="M876" s="198" t="str">
        <f t="shared" si="198"/>
        <v/>
      </c>
      <c r="N876" s="369" t="str">
        <f t="shared" si="199"/>
        <v/>
      </c>
      <c r="O876" s="183" t="str">
        <f t="shared" si="200"/>
        <v/>
      </c>
      <c r="P876" s="199" t="str">
        <f t="shared" si="201"/>
        <v/>
      </c>
      <c r="Q876" s="199" t="str">
        <f>IF(B876="","",IFERROR(IF('עלויות כח אדם (6)'!J876&gt;=VLOOKUP(I876,'סיווג התפקידים והעלויות'!$B$23:$C$32,2,0),"תקין","לא תקין"),""))</f>
        <v/>
      </c>
      <c r="R876" s="199" t="str">
        <f t="shared" si="202"/>
        <v/>
      </c>
      <c r="S876" s="199" t="str">
        <f t="shared" si="203"/>
        <v/>
      </c>
      <c r="T876" s="199" t="str">
        <f t="shared" si="211"/>
        <v/>
      </c>
      <c r="U876" s="199" t="str">
        <f t="shared" si="204"/>
        <v/>
      </c>
      <c r="V876" s="989"/>
      <c r="X876" s="374" t="str">
        <f t="shared" si="205"/>
        <v/>
      </c>
      <c r="Y876" s="375" t="str">
        <f t="shared" si="206"/>
        <v/>
      </c>
      <c r="Z876" s="374" t="str">
        <f t="shared" si="207"/>
        <v/>
      </c>
      <c r="AA876" s="374" t="b">
        <f t="shared" si="208"/>
        <v>1</v>
      </c>
      <c r="AB876" s="374">
        <f>COUNTIFS(B:B,B876,H:H,'סיווג התפקידים והעלויות'!$C$2)</f>
        <v>0</v>
      </c>
      <c r="AC876" s="374">
        <f>COUNTIFS(B:B,B876,H:H,'סיווג התפקידים והעלויות'!$D$2)</f>
        <v>0</v>
      </c>
      <c r="AD876" s="374" t="str">
        <f>IF(OR(AND(H876='סיווג התפקידים והעלויות'!$A$2,I876='סיווג התפקידים והעלויות'!$A$3),'עלויות כח אדם (6)'!H876='סיווג התפקידים והעלויות'!$C$2,'עלויות כח אדם (6)'!H876='סיווג התפקידים והעלויות'!$D$2),IF('עלויות כח אדם (6)'!J876&lt;75,"לא תקין","תקין"),"")</f>
        <v/>
      </c>
      <c r="AE876" s="374" t="str">
        <f t="shared" si="209"/>
        <v/>
      </c>
      <c r="AF876" s="532" t="str">
        <f t="shared" si="210"/>
        <v/>
      </c>
    </row>
    <row r="877" spans="2:32" x14ac:dyDescent="0.25">
      <c r="B877" s="695"/>
      <c r="C877" s="197" t="str">
        <f>IF(B877&lt;&gt;"",IFERROR(VLOOKUP(B:B,'מצבת והרשמה (2)'!$C$20:$N$520,2,0)," ")," ")</f>
        <v xml:space="preserve"> </v>
      </c>
      <c r="D877" s="695"/>
      <c r="E877" s="696"/>
      <c r="F877" s="696"/>
      <c r="G877" s="696"/>
      <c r="H877" s="696"/>
      <c r="I877" s="1050" t="str">
        <f t="shared" si="197"/>
        <v/>
      </c>
      <c r="J877" s="696"/>
      <c r="K877" s="697"/>
      <c r="L877" s="696"/>
      <c r="M877" s="198" t="str">
        <f t="shared" si="198"/>
        <v/>
      </c>
      <c r="N877" s="369" t="str">
        <f t="shared" si="199"/>
        <v/>
      </c>
      <c r="O877" s="183" t="str">
        <f t="shared" si="200"/>
        <v/>
      </c>
      <c r="P877" s="199" t="str">
        <f t="shared" si="201"/>
        <v/>
      </c>
      <c r="Q877" s="199" t="str">
        <f>IF(B877="","",IFERROR(IF('עלויות כח אדם (6)'!J877&gt;=VLOOKUP(I877,'סיווג התפקידים והעלויות'!$B$23:$C$32,2,0),"תקין","לא תקין"),""))</f>
        <v/>
      </c>
      <c r="R877" s="199" t="str">
        <f t="shared" si="202"/>
        <v/>
      </c>
      <c r="S877" s="199" t="str">
        <f t="shared" si="203"/>
        <v/>
      </c>
      <c r="T877" s="199" t="str">
        <f t="shared" si="211"/>
        <v/>
      </c>
      <c r="U877" s="199" t="str">
        <f t="shared" si="204"/>
        <v/>
      </c>
      <c r="V877" s="989"/>
      <c r="X877" s="374" t="str">
        <f t="shared" si="205"/>
        <v/>
      </c>
      <c r="Y877" s="375" t="str">
        <f t="shared" si="206"/>
        <v/>
      </c>
      <c r="Z877" s="374" t="str">
        <f t="shared" si="207"/>
        <v/>
      </c>
      <c r="AA877" s="374" t="b">
        <f t="shared" si="208"/>
        <v>1</v>
      </c>
      <c r="AB877" s="374">
        <f>COUNTIFS(B:B,B877,H:H,'סיווג התפקידים והעלויות'!$C$2)</f>
        <v>0</v>
      </c>
      <c r="AC877" s="374">
        <f>COUNTIFS(B:B,B877,H:H,'סיווג התפקידים והעלויות'!$D$2)</f>
        <v>0</v>
      </c>
      <c r="AD877" s="374" t="str">
        <f>IF(OR(AND(H877='סיווג התפקידים והעלויות'!$A$2,I877='סיווג התפקידים והעלויות'!$A$3),'עלויות כח אדם (6)'!H877='סיווג התפקידים והעלויות'!$C$2,'עלויות כח אדם (6)'!H877='סיווג התפקידים והעלויות'!$D$2),IF('עלויות כח אדם (6)'!J877&lt;75,"לא תקין","תקין"),"")</f>
        <v/>
      </c>
      <c r="AE877" s="374" t="str">
        <f t="shared" si="209"/>
        <v/>
      </c>
      <c r="AF877" s="532" t="str">
        <f t="shared" si="210"/>
        <v/>
      </c>
    </row>
    <row r="878" spans="2:32" x14ac:dyDescent="0.25">
      <c r="B878" s="695"/>
      <c r="C878" s="197" t="str">
        <f>IF(B878&lt;&gt;"",IFERROR(VLOOKUP(B:B,'מצבת והרשמה (2)'!$C$20:$N$520,2,0)," ")," ")</f>
        <v xml:space="preserve"> </v>
      </c>
      <c r="D878" s="695"/>
      <c r="E878" s="696"/>
      <c r="F878" s="696"/>
      <c r="G878" s="696"/>
      <c r="H878" s="696"/>
      <c r="I878" s="1050" t="str">
        <f t="shared" si="197"/>
        <v/>
      </c>
      <c r="J878" s="696"/>
      <c r="K878" s="697"/>
      <c r="L878" s="696"/>
      <c r="M878" s="198" t="str">
        <f t="shared" si="198"/>
        <v/>
      </c>
      <c r="N878" s="369" t="str">
        <f t="shared" si="199"/>
        <v/>
      </c>
      <c r="O878" s="183" t="str">
        <f t="shared" si="200"/>
        <v/>
      </c>
      <c r="P878" s="199" t="str">
        <f t="shared" si="201"/>
        <v/>
      </c>
      <c r="Q878" s="199" t="str">
        <f>IF(B878="","",IFERROR(IF('עלויות כח אדם (6)'!J878&gt;=VLOOKUP(I878,'סיווג התפקידים והעלויות'!$B$23:$C$32,2,0),"תקין","לא תקין"),""))</f>
        <v/>
      </c>
      <c r="R878" s="199" t="str">
        <f t="shared" si="202"/>
        <v/>
      </c>
      <c r="S878" s="199" t="str">
        <f t="shared" si="203"/>
        <v/>
      </c>
      <c r="T878" s="199" t="str">
        <f t="shared" si="211"/>
        <v/>
      </c>
      <c r="U878" s="199" t="str">
        <f t="shared" si="204"/>
        <v/>
      </c>
      <c r="V878" s="989"/>
      <c r="X878" s="374" t="str">
        <f t="shared" si="205"/>
        <v/>
      </c>
      <c r="Y878" s="375" t="str">
        <f t="shared" si="206"/>
        <v/>
      </c>
      <c r="Z878" s="374" t="str">
        <f t="shared" si="207"/>
        <v/>
      </c>
      <c r="AA878" s="374" t="b">
        <f t="shared" si="208"/>
        <v>1</v>
      </c>
      <c r="AB878" s="374">
        <f>COUNTIFS(B:B,B878,H:H,'סיווג התפקידים והעלויות'!$C$2)</f>
        <v>0</v>
      </c>
      <c r="AC878" s="374">
        <f>COUNTIFS(B:B,B878,H:H,'סיווג התפקידים והעלויות'!$D$2)</f>
        <v>0</v>
      </c>
      <c r="AD878" s="374" t="str">
        <f>IF(OR(AND(H878='סיווג התפקידים והעלויות'!$A$2,I878='סיווג התפקידים והעלויות'!$A$3),'עלויות כח אדם (6)'!H878='סיווג התפקידים והעלויות'!$C$2,'עלויות כח אדם (6)'!H878='סיווג התפקידים והעלויות'!$D$2),IF('עלויות כח אדם (6)'!J878&lt;75,"לא תקין","תקין"),"")</f>
        <v/>
      </c>
      <c r="AE878" s="374" t="str">
        <f t="shared" si="209"/>
        <v/>
      </c>
      <c r="AF878" s="532" t="str">
        <f t="shared" si="210"/>
        <v/>
      </c>
    </row>
    <row r="879" spans="2:32" x14ac:dyDescent="0.25">
      <c r="B879" s="695"/>
      <c r="C879" s="197" t="str">
        <f>IF(B879&lt;&gt;"",IFERROR(VLOOKUP(B:B,'מצבת והרשמה (2)'!$C$20:$N$520,2,0)," ")," ")</f>
        <v xml:space="preserve"> </v>
      </c>
      <c r="D879" s="695"/>
      <c r="E879" s="696"/>
      <c r="F879" s="696"/>
      <c r="G879" s="696"/>
      <c r="H879" s="696"/>
      <c r="I879" s="1050" t="str">
        <f t="shared" si="197"/>
        <v/>
      </c>
      <c r="J879" s="696"/>
      <c r="K879" s="697"/>
      <c r="L879" s="696"/>
      <c r="M879" s="198" t="str">
        <f t="shared" si="198"/>
        <v/>
      </c>
      <c r="N879" s="369" t="str">
        <f t="shared" si="199"/>
        <v/>
      </c>
      <c r="O879" s="183" t="str">
        <f t="shared" si="200"/>
        <v/>
      </c>
      <c r="P879" s="199" t="str">
        <f t="shared" si="201"/>
        <v/>
      </c>
      <c r="Q879" s="199" t="str">
        <f>IF(B879="","",IFERROR(IF('עלויות כח אדם (6)'!J879&gt;=VLOOKUP(I879,'סיווג התפקידים והעלויות'!$B$23:$C$32,2,0),"תקין","לא תקין"),""))</f>
        <v/>
      </c>
      <c r="R879" s="199" t="str">
        <f t="shared" si="202"/>
        <v/>
      </c>
      <c r="S879" s="199" t="str">
        <f t="shared" si="203"/>
        <v/>
      </c>
      <c r="T879" s="199" t="str">
        <f t="shared" si="211"/>
        <v/>
      </c>
      <c r="U879" s="199" t="str">
        <f t="shared" si="204"/>
        <v/>
      </c>
      <c r="V879" s="989"/>
      <c r="X879" s="374" t="str">
        <f t="shared" si="205"/>
        <v/>
      </c>
      <c r="Y879" s="375" t="str">
        <f t="shared" si="206"/>
        <v/>
      </c>
      <c r="Z879" s="374" t="str">
        <f t="shared" si="207"/>
        <v/>
      </c>
      <c r="AA879" s="374" t="b">
        <f t="shared" si="208"/>
        <v>1</v>
      </c>
      <c r="AB879" s="374">
        <f>COUNTIFS(B:B,B879,H:H,'סיווג התפקידים והעלויות'!$C$2)</f>
        <v>0</v>
      </c>
      <c r="AC879" s="374">
        <f>COUNTIFS(B:B,B879,H:H,'סיווג התפקידים והעלויות'!$D$2)</f>
        <v>0</v>
      </c>
      <c r="AD879" s="374" t="str">
        <f>IF(OR(AND(H879='סיווג התפקידים והעלויות'!$A$2,I879='סיווג התפקידים והעלויות'!$A$3),'עלויות כח אדם (6)'!H879='סיווג התפקידים והעלויות'!$C$2,'עלויות כח אדם (6)'!H879='סיווג התפקידים והעלויות'!$D$2),IF('עלויות כח אדם (6)'!J879&lt;75,"לא תקין","תקין"),"")</f>
        <v/>
      </c>
      <c r="AE879" s="374" t="str">
        <f t="shared" si="209"/>
        <v/>
      </c>
      <c r="AF879" s="532" t="str">
        <f t="shared" si="210"/>
        <v/>
      </c>
    </row>
    <row r="880" spans="2:32" x14ac:dyDescent="0.25">
      <c r="B880" s="695"/>
      <c r="C880" s="197" t="str">
        <f>IF(B880&lt;&gt;"",IFERROR(VLOOKUP(B:B,'מצבת והרשמה (2)'!$C$20:$N$520,2,0)," ")," ")</f>
        <v xml:space="preserve"> </v>
      </c>
      <c r="D880" s="695"/>
      <c r="E880" s="696"/>
      <c r="F880" s="696"/>
      <c r="G880" s="696"/>
      <c r="H880" s="696"/>
      <c r="I880" s="1050" t="str">
        <f t="shared" si="197"/>
        <v/>
      </c>
      <c r="J880" s="696"/>
      <c r="K880" s="697"/>
      <c r="L880" s="696"/>
      <c r="M880" s="198" t="str">
        <f t="shared" si="198"/>
        <v/>
      </c>
      <c r="N880" s="369" t="str">
        <f t="shared" si="199"/>
        <v/>
      </c>
      <c r="O880" s="183" t="str">
        <f t="shared" si="200"/>
        <v/>
      </c>
      <c r="P880" s="199" t="str">
        <f t="shared" si="201"/>
        <v/>
      </c>
      <c r="Q880" s="199" t="str">
        <f>IF(B880="","",IFERROR(IF('עלויות כח אדם (6)'!J880&gt;=VLOOKUP(I880,'סיווג התפקידים והעלויות'!$B$23:$C$32,2,0),"תקין","לא תקין"),""))</f>
        <v/>
      </c>
      <c r="R880" s="199" t="str">
        <f t="shared" si="202"/>
        <v/>
      </c>
      <c r="S880" s="199" t="str">
        <f t="shared" si="203"/>
        <v/>
      </c>
      <c r="T880" s="199" t="str">
        <f t="shared" si="211"/>
        <v/>
      </c>
      <c r="U880" s="199" t="str">
        <f t="shared" si="204"/>
        <v/>
      </c>
      <c r="V880" s="989"/>
      <c r="X880" s="374" t="str">
        <f t="shared" si="205"/>
        <v/>
      </c>
      <c r="Y880" s="375" t="str">
        <f t="shared" si="206"/>
        <v/>
      </c>
      <c r="Z880" s="374" t="str">
        <f t="shared" si="207"/>
        <v/>
      </c>
      <c r="AA880" s="374" t="b">
        <f t="shared" si="208"/>
        <v>1</v>
      </c>
      <c r="AB880" s="374">
        <f>COUNTIFS(B:B,B880,H:H,'סיווג התפקידים והעלויות'!$C$2)</f>
        <v>0</v>
      </c>
      <c r="AC880" s="374">
        <f>COUNTIFS(B:B,B880,H:H,'סיווג התפקידים והעלויות'!$D$2)</f>
        <v>0</v>
      </c>
      <c r="AD880" s="374" t="str">
        <f>IF(OR(AND(H880='סיווג התפקידים והעלויות'!$A$2,I880='סיווג התפקידים והעלויות'!$A$3),'עלויות כח אדם (6)'!H880='סיווג התפקידים והעלויות'!$C$2,'עלויות כח אדם (6)'!H880='סיווג התפקידים והעלויות'!$D$2),IF('עלויות כח אדם (6)'!J880&lt;75,"לא תקין","תקין"),"")</f>
        <v/>
      </c>
      <c r="AE880" s="374" t="str">
        <f t="shared" si="209"/>
        <v/>
      </c>
      <c r="AF880" s="532" t="str">
        <f t="shared" si="210"/>
        <v/>
      </c>
    </row>
    <row r="881" spans="2:32" x14ac:dyDescent="0.25">
      <c r="B881" s="695"/>
      <c r="C881" s="197" t="str">
        <f>IF(B881&lt;&gt;"",IFERROR(VLOOKUP(B:B,'מצבת והרשמה (2)'!$C$20:$N$520,2,0)," ")," ")</f>
        <v xml:space="preserve"> </v>
      </c>
      <c r="D881" s="695"/>
      <c r="E881" s="696"/>
      <c r="F881" s="696"/>
      <c r="G881" s="696"/>
      <c r="H881" s="696"/>
      <c r="I881" s="1050" t="str">
        <f t="shared" si="197"/>
        <v/>
      </c>
      <c r="J881" s="696"/>
      <c r="K881" s="697"/>
      <c r="L881" s="696"/>
      <c r="M881" s="198" t="str">
        <f t="shared" si="198"/>
        <v/>
      </c>
      <c r="N881" s="369" t="str">
        <f t="shared" si="199"/>
        <v/>
      </c>
      <c r="O881" s="183" t="str">
        <f t="shared" si="200"/>
        <v/>
      </c>
      <c r="P881" s="199" t="str">
        <f t="shared" si="201"/>
        <v/>
      </c>
      <c r="Q881" s="199" t="str">
        <f>IF(B881="","",IFERROR(IF('עלויות כח אדם (6)'!J881&gt;=VLOOKUP(I881,'סיווג התפקידים והעלויות'!$B$23:$C$32,2,0),"תקין","לא תקין"),""))</f>
        <v/>
      </c>
      <c r="R881" s="199" t="str">
        <f t="shared" si="202"/>
        <v/>
      </c>
      <c r="S881" s="199" t="str">
        <f t="shared" si="203"/>
        <v/>
      </c>
      <c r="T881" s="199" t="str">
        <f t="shared" si="211"/>
        <v/>
      </c>
      <c r="U881" s="199" t="str">
        <f t="shared" si="204"/>
        <v/>
      </c>
      <c r="V881" s="989"/>
      <c r="X881" s="374" t="str">
        <f t="shared" si="205"/>
        <v/>
      </c>
      <c r="Y881" s="375" t="str">
        <f t="shared" si="206"/>
        <v/>
      </c>
      <c r="Z881" s="374" t="str">
        <f t="shared" si="207"/>
        <v/>
      </c>
      <c r="AA881" s="374" t="b">
        <f t="shared" si="208"/>
        <v>1</v>
      </c>
      <c r="AB881" s="374">
        <f>COUNTIFS(B:B,B881,H:H,'סיווג התפקידים והעלויות'!$C$2)</f>
        <v>0</v>
      </c>
      <c r="AC881" s="374">
        <f>COUNTIFS(B:B,B881,H:H,'סיווג התפקידים והעלויות'!$D$2)</f>
        <v>0</v>
      </c>
      <c r="AD881" s="374" t="str">
        <f>IF(OR(AND(H881='סיווג התפקידים והעלויות'!$A$2,I881='סיווג התפקידים והעלויות'!$A$3),'עלויות כח אדם (6)'!H881='סיווג התפקידים והעלויות'!$C$2,'עלויות כח אדם (6)'!H881='סיווג התפקידים והעלויות'!$D$2),IF('עלויות כח אדם (6)'!J881&lt;75,"לא תקין","תקין"),"")</f>
        <v/>
      </c>
      <c r="AE881" s="374" t="str">
        <f t="shared" si="209"/>
        <v/>
      </c>
      <c r="AF881" s="532" t="str">
        <f t="shared" si="210"/>
        <v/>
      </c>
    </row>
    <row r="882" spans="2:32" x14ac:dyDescent="0.25">
      <c r="B882" s="695"/>
      <c r="C882" s="197" t="str">
        <f>IF(B882&lt;&gt;"",IFERROR(VLOOKUP(B:B,'מצבת והרשמה (2)'!$C$20:$N$520,2,0)," ")," ")</f>
        <v xml:space="preserve"> </v>
      </c>
      <c r="D882" s="695"/>
      <c r="E882" s="696"/>
      <c r="F882" s="696"/>
      <c r="G882" s="696"/>
      <c r="H882" s="696"/>
      <c r="I882" s="1050" t="str">
        <f t="shared" si="197"/>
        <v/>
      </c>
      <c r="J882" s="696"/>
      <c r="K882" s="697"/>
      <c r="L882" s="696"/>
      <c r="M882" s="198" t="str">
        <f t="shared" si="198"/>
        <v/>
      </c>
      <c r="N882" s="369" t="str">
        <f t="shared" si="199"/>
        <v/>
      </c>
      <c r="O882" s="183" t="str">
        <f t="shared" si="200"/>
        <v/>
      </c>
      <c r="P882" s="199" t="str">
        <f t="shared" si="201"/>
        <v/>
      </c>
      <c r="Q882" s="199" t="str">
        <f>IF(B882="","",IFERROR(IF('עלויות כח אדם (6)'!J882&gt;=VLOOKUP(I882,'סיווג התפקידים והעלויות'!$B$23:$C$32,2,0),"תקין","לא תקין"),""))</f>
        <v/>
      </c>
      <c r="R882" s="199" t="str">
        <f t="shared" si="202"/>
        <v/>
      </c>
      <c r="S882" s="199" t="str">
        <f t="shared" si="203"/>
        <v/>
      </c>
      <c r="T882" s="199" t="str">
        <f t="shared" si="211"/>
        <v/>
      </c>
      <c r="U882" s="199" t="str">
        <f t="shared" si="204"/>
        <v/>
      </c>
      <c r="V882" s="989"/>
      <c r="X882" s="374" t="str">
        <f t="shared" si="205"/>
        <v/>
      </c>
      <c r="Y882" s="375" t="str">
        <f t="shared" si="206"/>
        <v/>
      </c>
      <c r="Z882" s="374" t="str">
        <f t="shared" si="207"/>
        <v/>
      </c>
      <c r="AA882" s="374" t="b">
        <f t="shared" si="208"/>
        <v>1</v>
      </c>
      <c r="AB882" s="374">
        <f>COUNTIFS(B:B,B882,H:H,'סיווג התפקידים והעלויות'!$C$2)</f>
        <v>0</v>
      </c>
      <c r="AC882" s="374">
        <f>COUNTIFS(B:B,B882,H:H,'סיווג התפקידים והעלויות'!$D$2)</f>
        <v>0</v>
      </c>
      <c r="AD882" s="374" t="str">
        <f>IF(OR(AND(H882='סיווג התפקידים והעלויות'!$A$2,I882='סיווג התפקידים והעלויות'!$A$3),'עלויות כח אדם (6)'!H882='סיווג התפקידים והעלויות'!$C$2,'עלויות כח אדם (6)'!H882='סיווג התפקידים והעלויות'!$D$2),IF('עלויות כח אדם (6)'!J882&lt;75,"לא תקין","תקין"),"")</f>
        <v/>
      </c>
      <c r="AE882" s="374" t="str">
        <f t="shared" si="209"/>
        <v/>
      </c>
      <c r="AF882" s="532" t="str">
        <f t="shared" si="210"/>
        <v/>
      </c>
    </row>
    <row r="883" spans="2:32" x14ac:dyDescent="0.25">
      <c r="B883" s="695"/>
      <c r="C883" s="197" t="str">
        <f>IF(B883&lt;&gt;"",IFERROR(VLOOKUP(B:B,'מצבת והרשמה (2)'!$C$20:$N$520,2,0)," ")," ")</f>
        <v xml:space="preserve"> </v>
      </c>
      <c r="D883" s="695"/>
      <c r="E883" s="696"/>
      <c r="F883" s="696"/>
      <c r="G883" s="696"/>
      <c r="H883" s="696"/>
      <c r="I883" s="1050" t="str">
        <f t="shared" si="197"/>
        <v/>
      </c>
      <c r="J883" s="696"/>
      <c r="K883" s="697"/>
      <c r="L883" s="696"/>
      <c r="M883" s="198" t="str">
        <f t="shared" si="198"/>
        <v/>
      </c>
      <c r="N883" s="369" t="str">
        <f t="shared" si="199"/>
        <v/>
      </c>
      <c r="O883" s="183" t="str">
        <f t="shared" si="200"/>
        <v/>
      </c>
      <c r="P883" s="199" t="str">
        <f t="shared" si="201"/>
        <v/>
      </c>
      <c r="Q883" s="199" t="str">
        <f>IF(B883="","",IFERROR(IF('עלויות כח אדם (6)'!J883&gt;=VLOOKUP(I883,'סיווג התפקידים והעלויות'!$B$23:$C$32,2,0),"תקין","לא תקין"),""))</f>
        <v/>
      </c>
      <c r="R883" s="199" t="str">
        <f t="shared" si="202"/>
        <v/>
      </c>
      <c r="S883" s="199" t="str">
        <f t="shared" si="203"/>
        <v/>
      </c>
      <c r="T883" s="199" t="str">
        <f t="shared" si="211"/>
        <v/>
      </c>
      <c r="U883" s="199" t="str">
        <f t="shared" si="204"/>
        <v/>
      </c>
      <c r="V883" s="989"/>
      <c r="X883" s="374" t="str">
        <f t="shared" si="205"/>
        <v/>
      </c>
      <c r="Y883" s="375" t="str">
        <f t="shared" si="206"/>
        <v/>
      </c>
      <c r="Z883" s="374" t="str">
        <f t="shared" si="207"/>
        <v/>
      </c>
      <c r="AA883" s="374" t="b">
        <f t="shared" si="208"/>
        <v>1</v>
      </c>
      <c r="AB883" s="374">
        <f>COUNTIFS(B:B,B883,H:H,'סיווג התפקידים והעלויות'!$C$2)</f>
        <v>0</v>
      </c>
      <c r="AC883" s="374">
        <f>COUNTIFS(B:B,B883,H:H,'סיווג התפקידים והעלויות'!$D$2)</f>
        <v>0</v>
      </c>
      <c r="AD883" s="374" t="str">
        <f>IF(OR(AND(H883='סיווג התפקידים והעלויות'!$A$2,I883='סיווג התפקידים והעלויות'!$A$3),'עלויות כח אדם (6)'!H883='סיווג התפקידים והעלויות'!$C$2,'עלויות כח אדם (6)'!H883='סיווג התפקידים והעלויות'!$D$2),IF('עלויות כח אדם (6)'!J883&lt;75,"לא תקין","תקין"),"")</f>
        <v/>
      </c>
      <c r="AE883" s="374" t="str">
        <f t="shared" si="209"/>
        <v/>
      </c>
      <c r="AF883" s="532" t="str">
        <f t="shared" si="210"/>
        <v/>
      </c>
    </row>
    <row r="884" spans="2:32" x14ac:dyDescent="0.25">
      <c r="B884" s="695"/>
      <c r="C884" s="197" t="str">
        <f>IF(B884&lt;&gt;"",IFERROR(VLOOKUP(B:B,'מצבת והרשמה (2)'!$C$20:$N$520,2,0)," ")," ")</f>
        <v xml:space="preserve"> </v>
      </c>
      <c r="D884" s="695"/>
      <c r="E884" s="696"/>
      <c r="F884" s="696"/>
      <c r="G884" s="696"/>
      <c r="H884" s="696"/>
      <c r="I884" s="1050" t="str">
        <f t="shared" si="197"/>
        <v/>
      </c>
      <c r="J884" s="696"/>
      <c r="K884" s="697"/>
      <c r="L884" s="696"/>
      <c r="M884" s="198" t="str">
        <f t="shared" si="198"/>
        <v/>
      </c>
      <c r="N884" s="369" t="str">
        <f t="shared" si="199"/>
        <v/>
      </c>
      <c r="O884" s="183" t="str">
        <f t="shared" si="200"/>
        <v/>
      </c>
      <c r="P884" s="199" t="str">
        <f t="shared" si="201"/>
        <v/>
      </c>
      <c r="Q884" s="199" t="str">
        <f>IF(B884="","",IFERROR(IF('עלויות כח אדם (6)'!J884&gt;=VLOOKUP(I884,'סיווג התפקידים והעלויות'!$B$23:$C$32,2,0),"תקין","לא תקין"),""))</f>
        <v/>
      </c>
      <c r="R884" s="199" t="str">
        <f t="shared" si="202"/>
        <v/>
      </c>
      <c r="S884" s="199" t="str">
        <f t="shared" si="203"/>
        <v/>
      </c>
      <c r="T884" s="199" t="str">
        <f t="shared" si="211"/>
        <v/>
      </c>
      <c r="U884" s="199" t="str">
        <f t="shared" si="204"/>
        <v/>
      </c>
      <c r="V884" s="989"/>
      <c r="X884" s="374" t="str">
        <f t="shared" si="205"/>
        <v/>
      </c>
      <c r="Y884" s="375" t="str">
        <f t="shared" si="206"/>
        <v/>
      </c>
      <c r="Z884" s="374" t="str">
        <f t="shared" si="207"/>
        <v/>
      </c>
      <c r="AA884" s="374" t="b">
        <f t="shared" si="208"/>
        <v>1</v>
      </c>
      <c r="AB884" s="374">
        <f>COUNTIFS(B:B,B884,H:H,'סיווג התפקידים והעלויות'!$C$2)</f>
        <v>0</v>
      </c>
      <c r="AC884" s="374">
        <f>COUNTIFS(B:B,B884,H:H,'סיווג התפקידים והעלויות'!$D$2)</f>
        <v>0</v>
      </c>
      <c r="AD884" s="374" t="str">
        <f>IF(OR(AND(H884='סיווג התפקידים והעלויות'!$A$2,I884='סיווג התפקידים והעלויות'!$A$3),'עלויות כח אדם (6)'!H884='סיווג התפקידים והעלויות'!$C$2,'עלויות כח אדם (6)'!H884='סיווג התפקידים והעלויות'!$D$2),IF('עלויות כח אדם (6)'!J884&lt;75,"לא תקין","תקין"),"")</f>
        <v/>
      </c>
      <c r="AE884" s="374" t="str">
        <f t="shared" si="209"/>
        <v/>
      </c>
      <c r="AF884" s="532" t="str">
        <f t="shared" si="210"/>
        <v/>
      </c>
    </row>
    <row r="885" spans="2:32" x14ac:dyDescent="0.25">
      <c r="B885" s="695"/>
      <c r="C885" s="197" t="str">
        <f>IF(B885&lt;&gt;"",IFERROR(VLOOKUP(B:B,'מצבת והרשמה (2)'!$C$20:$N$520,2,0)," ")," ")</f>
        <v xml:space="preserve"> </v>
      </c>
      <c r="D885" s="695"/>
      <c r="E885" s="696"/>
      <c r="F885" s="696"/>
      <c r="G885" s="696"/>
      <c r="H885" s="696"/>
      <c r="I885" s="1050" t="str">
        <f t="shared" si="197"/>
        <v/>
      </c>
      <c r="J885" s="696"/>
      <c r="K885" s="697"/>
      <c r="L885" s="696"/>
      <c r="M885" s="198" t="str">
        <f t="shared" si="198"/>
        <v/>
      </c>
      <c r="N885" s="369" t="str">
        <f t="shared" si="199"/>
        <v/>
      </c>
      <c r="O885" s="183" t="str">
        <f t="shared" si="200"/>
        <v/>
      </c>
      <c r="P885" s="199" t="str">
        <f t="shared" si="201"/>
        <v/>
      </c>
      <c r="Q885" s="199" t="str">
        <f>IF(B885="","",IFERROR(IF('עלויות כח אדם (6)'!J885&gt;=VLOOKUP(I885,'סיווג התפקידים והעלויות'!$B$23:$C$32,2,0),"תקין","לא תקין"),""))</f>
        <v/>
      </c>
      <c r="R885" s="199" t="str">
        <f t="shared" si="202"/>
        <v/>
      </c>
      <c r="S885" s="199" t="str">
        <f t="shared" si="203"/>
        <v/>
      </c>
      <c r="T885" s="199" t="str">
        <f t="shared" si="211"/>
        <v/>
      </c>
      <c r="U885" s="199" t="str">
        <f t="shared" si="204"/>
        <v/>
      </c>
      <c r="V885" s="989"/>
      <c r="X885" s="374" t="str">
        <f t="shared" si="205"/>
        <v/>
      </c>
      <c r="Y885" s="375" t="str">
        <f t="shared" si="206"/>
        <v/>
      </c>
      <c r="Z885" s="374" t="str">
        <f t="shared" si="207"/>
        <v/>
      </c>
      <c r="AA885" s="374" t="b">
        <f t="shared" si="208"/>
        <v>1</v>
      </c>
      <c r="AB885" s="374">
        <f>COUNTIFS(B:B,B885,H:H,'סיווג התפקידים והעלויות'!$C$2)</f>
        <v>0</v>
      </c>
      <c r="AC885" s="374">
        <f>COUNTIFS(B:B,B885,H:H,'סיווג התפקידים והעלויות'!$D$2)</f>
        <v>0</v>
      </c>
      <c r="AD885" s="374" t="str">
        <f>IF(OR(AND(H885='סיווג התפקידים והעלויות'!$A$2,I885='סיווג התפקידים והעלויות'!$A$3),'עלויות כח אדם (6)'!H885='סיווג התפקידים והעלויות'!$C$2,'עלויות כח אדם (6)'!H885='סיווג התפקידים והעלויות'!$D$2),IF('עלויות כח אדם (6)'!J885&lt;75,"לא תקין","תקין"),"")</f>
        <v/>
      </c>
      <c r="AE885" s="374" t="str">
        <f t="shared" si="209"/>
        <v/>
      </c>
      <c r="AF885" s="532" t="str">
        <f t="shared" si="210"/>
        <v/>
      </c>
    </row>
    <row r="886" spans="2:32" x14ac:dyDescent="0.25">
      <c r="B886" s="695"/>
      <c r="C886" s="197" t="str">
        <f>IF(B886&lt;&gt;"",IFERROR(VLOOKUP(B:B,'מצבת והרשמה (2)'!$C$20:$N$520,2,0)," ")," ")</f>
        <v xml:space="preserve"> </v>
      </c>
      <c r="D886" s="695"/>
      <c r="E886" s="696"/>
      <c r="F886" s="696"/>
      <c r="G886" s="696"/>
      <c r="H886" s="696"/>
      <c r="I886" s="1050" t="str">
        <f t="shared" si="197"/>
        <v/>
      </c>
      <c r="J886" s="696"/>
      <c r="K886" s="697"/>
      <c r="L886" s="696"/>
      <c r="M886" s="198" t="str">
        <f t="shared" si="198"/>
        <v/>
      </c>
      <c r="N886" s="369" t="str">
        <f t="shared" si="199"/>
        <v/>
      </c>
      <c r="O886" s="183" t="str">
        <f t="shared" si="200"/>
        <v/>
      </c>
      <c r="P886" s="199" t="str">
        <f t="shared" si="201"/>
        <v/>
      </c>
      <c r="Q886" s="199" t="str">
        <f>IF(B886="","",IFERROR(IF('עלויות כח אדם (6)'!J886&gt;=VLOOKUP(I886,'סיווג התפקידים והעלויות'!$B$23:$C$32,2,0),"תקין","לא תקין"),""))</f>
        <v/>
      </c>
      <c r="R886" s="199" t="str">
        <f t="shared" si="202"/>
        <v/>
      </c>
      <c r="S886" s="199" t="str">
        <f t="shared" si="203"/>
        <v/>
      </c>
      <c r="T886" s="199" t="str">
        <f t="shared" si="211"/>
        <v/>
      </c>
      <c r="U886" s="199" t="str">
        <f t="shared" si="204"/>
        <v/>
      </c>
      <c r="V886" s="989"/>
      <c r="X886" s="374" t="str">
        <f t="shared" si="205"/>
        <v/>
      </c>
      <c r="Y886" s="375" t="str">
        <f t="shared" si="206"/>
        <v/>
      </c>
      <c r="Z886" s="374" t="str">
        <f t="shared" si="207"/>
        <v/>
      </c>
      <c r="AA886" s="374" t="b">
        <f t="shared" si="208"/>
        <v>1</v>
      </c>
      <c r="AB886" s="374">
        <f>COUNTIFS(B:B,B886,H:H,'סיווג התפקידים והעלויות'!$C$2)</f>
        <v>0</v>
      </c>
      <c r="AC886" s="374">
        <f>COUNTIFS(B:B,B886,H:H,'סיווג התפקידים והעלויות'!$D$2)</f>
        <v>0</v>
      </c>
      <c r="AD886" s="374" t="str">
        <f>IF(OR(AND(H886='סיווג התפקידים והעלויות'!$A$2,I886='סיווג התפקידים והעלויות'!$A$3),'עלויות כח אדם (6)'!H886='סיווג התפקידים והעלויות'!$C$2,'עלויות כח אדם (6)'!H886='סיווג התפקידים והעלויות'!$D$2),IF('עלויות כח אדם (6)'!J886&lt;75,"לא תקין","תקין"),"")</f>
        <v/>
      </c>
      <c r="AE886" s="374" t="str">
        <f t="shared" si="209"/>
        <v/>
      </c>
      <c r="AF886" s="532" t="str">
        <f t="shared" si="210"/>
        <v/>
      </c>
    </row>
    <row r="887" spans="2:32" x14ac:dyDescent="0.25">
      <c r="B887" s="695"/>
      <c r="C887" s="197" t="str">
        <f>IF(B887&lt;&gt;"",IFERROR(VLOOKUP(B:B,'מצבת והרשמה (2)'!$C$20:$N$520,2,0)," ")," ")</f>
        <v xml:space="preserve"> </v>
      </c>
      <c r="D887" s="695"/>
      <c r="E887" s="696"/>
      <c r="F887" s="696"/>
      <c r="G887" s="696"/>
      <c r="H887" s="696"/>
      <c r="I887" s="1050" t="str">
        <f t="shared" si="197"/>
        <v/>
      </c>
      <c r="J887" s="696"/>
      <c r="K887" s="697"/>
      <c r="L887" s="696"/>
      <c r="M887" s="198" t="str">
        <f t="shared" si="198"/>
        <v/>
      </c>
      <c r="N887" s="369" t="str">
        <f t="shared" si="199"/>
        <v/>
      </c>
      <c r="O887" s="183" t="str">
        <f t="shared" si="200"/>
        <v/>
      </c>
      <c r="P887" s="199" t="str">
        <f t="shared" si="201"/>
        <v/>
      </c>
      <c r="Q887" s="199" t="str">
        <f>IF(B887="","",IFERROR(IF('עלויות כח אדם (6)'!J887&gt;=VLOOKUP(I887,'סיווג התפקידים והעלויות'!$B$23:$C$32,2,0),"תקין","לא תקין"),""))</f>
        <v/>
      </c>
      <c r="R887" s="199" t="str">
        <f t="shared" si="202"/>
        <v/>
      </c>
      <c r="S887" s="199" t="str">
        <f t="shared" si="203"/>
        <v/>
      </c>
      <c r="T887" s="199" t="str">
        <f t="shared" si="211"/>
        <v/>
      </c>
      <c r="U887" s="199" t="str">
        <f t="shared" si="204"/>
        <v/>
      </c>
      <c r="V887" s="989"/>
      <c r="X887" s="374" t="str">
        <f t="shared" si="205"/>
        <v/>
      </c>
      <c r="Y887" s="375" t="str">
        <f t="shared" si="206"/>
        <v/>
      </c>
      <c r="Z887" s="374" t="str">
        <f t="shared" si="207"/>
        <v/>
      </c>
      <c r="AA887" s="374" t="b">
        <f t="shared" si="208"/>
        <v>1</v>
      </c>
      <c r="AB887" s="374">
        <f>COUNTIFS(B:B,B887,H:H,'סיווג התפקידים והעלויות'!$C$2)</f>
        <v>0</v>
      </c>
      <c r="AC887" s="374">
        <f>COUNTIFS(B:B,B887,H:H,'סיווג התפקידים והעלויות'!$D$2)</f>
        <v>0</v>
      </c>
      <c r="AD887" s="374" t="str">
        <f>IF(OR(AND(H887='סיווג התפקידים והעלויות'!$A$2,I887='סיווג התפקידים והעלויות'!$A$3),'עלויות כח אדם (6)'!H887='סיווג התפקידים והעלויות'!$C$2,'עלויות כח אדם (6)'!H887='סיווג התפקידים והעלויות'!$D$2),IF('עלויות כח אדם (6)'!J887&lt;75,"לא תקין","תקין"),"")</f>
        <v/>
      </c>
      <c r="AE887" s="374" t="str">
        <f t="shared" si="209"/>
        <v/>
      </c>
      <c r="AF887" s="532" t="str">
        <f t="shared" si="210"/>
        <v/>
      </c>
    </row>
    <row r="888" spans="2:32" x14ac:dyDescent="0.25">
      <c r="B888" s="695"/>
      <c r="C888" s="197" t="str">
        <f>IF(B888&lt;&gt;"",IFERROR(VLOOKUP(B:B,'מצבת והרשמה (2)'!$C$20:$N$520,2,0)," ")," ")</f>
        <v xml:space="preserve"> </v>
      </c>
      <c r="D888" s="695"/>
      <c r="E888" s="696"/>
      <c r="F888" s="696"/>
      <c r="G888" s="696"/>
      <c r="H888" s="696"/>
      <c r="I888" s="1050" t="str">
        <f t="shared" si="197"/>
        <v/>
      </c>
      <c r="J888" s="696"/>
      <c r="K888" s="697"/>
      <c r="L888" s="696"/>
      <c r="M888" s="198" t="str">
        <f t="shared" si="198"/>
        <v/>
      </c>
      <c r="N888" s="369" t="str">
        <f t="shared" si="199"/>
        <v/>
      </c>
      <c r="O888" s="183" t="str">
        <f t="shared" si="200"/>
        <v/>
      </c>
      <c r="P888" s="199" t="str">
        <f t="shared" si="201"/>
        <v/>
      </c>
      <c r="Q888" s="199" t="str">
        <f>IF(B888="","",IFERROR(IF('עלויות כח אדם (6)'!J888&gt;=VLOOKUP(I888,'סיווג התפקידים והעלויות'!$B$23:$C$32,2,0),"תקין","לא תקין"),""))</f>
        <v/>
      </c>
      <c r="R888" s="199" t="str">
        <f t="shared" si="202"/>
        <v/>
      </c>
      <c r="S888" s="199" t="str">
        <f t="shared" si="203"/>
        <v/>
      </c>
      <c r="T888" s="199" t="str">
        <f t="shared" si="211"/>
        <v/>
      </c>
      <c r="U888" s="199" t="str">
        <f t="shared" si="204"/>
        <v/>
      </c>
      <c r="V888" s="989"/>
      <c r="X888" s="374" t="str">
        <f t="shared" si="205"/>
        <v/>
      </c>
      <c r="Y888" s="375" t="str">
        <f t="shared" si="206"/>
        <v/>
      </c>
      <c r="Z888" s="374" t="str">
        <f t="shared" si="207"/>
        <v/>
      </c>
      <c r="AA888" s="374" t="b">
        <f t="shared" si="208"/>
        <v>1</v>
      </c>
      <c r="AB888" s="374">
        <f>COUNTIFS(B:B,B888,H:H,'סיווג התפקידים והעלויות'!$C$2)</f>
        <v>0</v>
      </c>
      <c r="AC888" s="374">
        <f>COUNTIFS(B:B,B888,H:H,'סיווג התפקידים והעלויות'!$D$2)</f>
        <v>0</v>
      </c>
      <c r="AD888" s="374" t="str">
        <f>IF(OR(AND(H888='סיווג התפקידים והעלויות'!$A$2,I888='סיווג התפקידים והעלויות'!$A$3),'עלויות כח אדם (6)'!H888='סיווג התפקידים והעלויות'!$C$2,'עלויות כח אדם (6)'!H888='סיווג התפקידים והעלויות'!$D$2),IF('עלויות כח אדם (6)'!J888&lt;75,"לא תקין","תקין"),"")</f>
        <v/>
      </c>
      <c r="AE888" s="374" t="str">
        <f t="shared" si="209"/>
        <v/>
      </c>
      <c r="AF888" s="532" t="str">
        <f t="shared" si="210"/>
        <v/>
      </c>
    </row>
    <row r="889" spans="2:32" x14ac:dyDescent="0.25">
      <c r="B889" s="695"/>
      <c r="C889" s="197" t="str">
        <f>IF(B889&lt;&gt;"",IFERROR(VLOOKUP(B:B,'מצבת והרשמה (2)'!$C$20:$N$520,2,0)," ")," ")</f>
        <v xml:space="preserve"> </v>
      </c>
      <c r="D889" s="695"/>
      <c r="E889" s="696"/>
      <c r="F889" s="696"/>
      <c r="G889" s="696"/>
      <c r="H889" s="696"/>
      <c r="I889" s="1050" t="str">
        <f t="shared" si="197"/>
        <v/>
      </c>
      <c r="J889" s="696"/>
      <c r="K889" s="697"/>
      <c r="L889" s="696"/>
      <c r="M889" s="198" t="str">
        <f t="shared" si="198"/>
        <v/>
      </c>
      <c r="N889" s="369" t="str">
        <f t="shared" si="199"/>
        <v/>
      </c>
      <c r="O889" s="183" t="str">
        <f t="shared" si="200"/>
        <v/>
      </c>
      <c r="P889" s="199" t="str">
        <f t="shared" si="201"/>
        <v/>
      </c>
      <c r="Q889" s="199" t="str">
        <f>IF(B889="","",IFERROR(IF('עלויות כח אדם (6)'!J889&gt;=VLOOKUP(I889,'סיווג התפקידים והעלויות'!$B$23:$C$32,2,0),"תקין","לא תקין"),""))</f>
        <v/>
      </c>
      <c r="R889" s="199" t="str">
        <f t="shared" si="202"/>
        <v/>
      </c>
      <c r="S889" s="199" t="str">
        <f t="shared" si="203"/>
        <v/>
      </c>
      <c r="T889" s="199" t="str">
        <f t="shared" si="211"/>
        <v/>
      </c>
      <c r="U889" s="199" t="str">
        <f t="shared" si="204"/>
        <v/>
      </c>
      <c r="V889" s="989"/>
      <c r="X889" s="374" t="str">
        <f t="shared" si="205"/>
        <v/>
      </c>
      <c r="Y889" s="375" t="str">
        <f t="shared" si="206"/>
        <v/>
      </c>
      <c r="Z889" s="374" t="str">
        <f t="shared" si="207"/>
        <v/>
      </c>
      <c r="AA889" s="374" t="b">
        <f t="shared" si="208"/>
        <v>1</v>
      </c>
      <c r="AB889" s="374">
        <f>COUNTIFS(B:B,B889,H:H,'סיווג התפקידים והעלויות'!$C$2)</f>
        <v>0</v>
      </c>
      <c r="AC889" s="374">
        <f>COUNTIFS(B:B,B889,H:H,'סיווג התפקידים והעלויות'!$D$2)</f>
        <v>0</v>
      </c>
      <c r="AD889" s="374" t="str">
        <f>IF(OR(AND(H889='סיווג התפקידים והעלויות'!$A$2,I889='סיווג התפקידים והעלויות'!$A$3),'עלויות כח אדם (6)'!H889='סיווג התפקידים והעלויות'!$C$2,'עלויות כח אדם (6)'!H889='סיווג התפקידים והעלויות'!$D$2),IF('עלויות כח אדם (6)'!J889&lt;75,"לא תקין","תקין"),"")</f>
        <v/>
      </c>
      <c r="AE889" s="374" t="str">
        <f t="shared" si="209"/>
        <v/>
      </c>
      <c r="AF889" s="532" t="str">
        <f t="shared" si="210"/>
        <v/>
      </c>
    </row>
    <row r="890" spans="2:32" x14ac:dyDescent="0.25">
      <c r="B890" s="695"/>
      <c r="C890" s="197" t="str">
        <f>IF(B890&lt;&gt;"",IFERROR(VLOOKUP(B:B,'מצבת והרשמה (2)'!$C$20:$N$520,2,0)," ")," ")</f>
        <v xml:space="preserve"> </v>
      </c>
      <c r="D890" s="695"/>
      <c r="E890" s="696"/>
      <c r="F890" s="696"/>
      <c r="G890" s="696"/>
      <c r="H890" s="696"/>
      <c r="I890" s="1050" t="str">
        <f t="shared" si="197"/>
        <v/>
      </c>
      <c r="J890" s="696"/>
      <c r="K890" s="697"/>
      <c r="L890" s="696"/>
      <c r="M890" s="198" t="str">
        <f t="shared" si="198"/>
        <v/>
      </c>
      <c r="N890" s="369" t="str">
        <f t="shared" si="199"/>
        <v/>
      </c>
      <c r="O890" s="183" t="str">
        <f t="shared" si="200"/>
        <v/>
      </c>
      <c r="P890" s="199" t="str">
        <f t="shared" si="201"/>
        <v/>
      </c>
      <c r="Q890" s="199" t="str">
        <f>IF(B890="","",IFERROR(IF('עלויות כח אדם (6)'!J890&gt;=VLOOKUP(I890,'סיווג התפקידים והעלויות'!$B$23:$C$32,2,0),"תקין","לא תקין"),""))</f>
        <v/>
      </c>
      <c r="R890" s="199" t="str">
        <f t="shared" si="202"/>
        <v/>
      </c>
      <c r="S890" s="199" t="str">
        <f t="shared" si="203"/>
        <v/>
      </c>
      <c r="T890" s="199" t="str">
        <f t="shared" si="211"/>
        <v/>
      </c>
      <c r="U890" s="199" t="str">
        <f t="shared" si="204"/>
        <v/>
      </c>
      <c r="V890" s="989"/>
      <c r="X890" s="374" t="str">
        <f t="shared" si="205"/>
        <v/>
      </c>
      <c r="Y890" s="375" t="str">
        <f t="shared" si="206"/>
        <v/>
      </c>
      <c r="Z890" s="374" t="str">
        <f t="shared" si="207"/>
        <v/>
      </c>
      <c r="AA890" s="374" t="b">
        <f t="shared" si="208"/>
        <v>1</v>
      </c>
      <c r="AB890" s="374">
        <f>COUNTIFS(B:B,B890,H:H,'סיווג התפקידים והעלויות'!$C$2)</f>
        <v>0</v>
      </c>
      <c r="AC890" s="374">
        <f>COUNTIFS(B:B,B890,H:H,'סיווג התפקידים והעלויות'!$D$2)</f>
        <v>0</v>
      </c>
      <c r="AD890" s="374" t="str">
        <f>IF(OR(AND(H890='סיווג התפקידים והעלויות'!$A$2,I890='סיווג התפקידים והעלויות'!$A$3),'עלויות כח אדם (6)'!H890='סיווג התפקידים והעלויות'!$C$2,'עלויות כח אדם (6)'!H890='סיווג התפקידים והעלויות'!$D$2),IF('עלויות כח אדם (6)'!J890&lt;75,"לא תקין","תקין"),"")</f>
        <v/>
      </c>
      <c r="AE890" s="374" t="str">
        <f t="shared" si="209"/>
        <v/>
      </c>
      <c r="AF890" s="532" t="str">
        <f t="shared" si="210"/>
        <v/>
      </c>
    </row>
    <row r="891" spans="2:32" x14ac:dyDescent="0.25">
      <c r="B891" s="695"/>
      <c r="C891" s="197" t="str">
        <f>IF(B891&lt;&gt;"",IFERROR(VLOOKUP(B:B,'מצבת והרשמה (2)'!$C$20:$N$520,2,0)," ")," ")</f>
        <v xml:space="preserve"> </v>
      </c>
      <c r="D891" s="695"/>
      <c r="E891" s="696"/>
      <c r="F891" s="696"/>
      <c r="G891" s="696"/>
      <c r="H891" s="696"/>
      <c r="I891" s="1050" t="str">
        <f t="shared" si="197"/>
        <v/>
      </c>
      <c r="J891" s="696"/>
      <c r="K891" s="697"/>
      <c r="L891" s="696"/>
      <c r="M891" s="198" t="str">
        <f t="shared" si="198"/>
        <v/>
      </c>
      <c r="N891" s="369" t="str">
        <f t="shared" si="199"/>
        <v/>
      </c>
      <c r="O891" s="183" t="str">
        <f t="shared" si="200"/>
        <v/>
      </c>
      <c r="P891" s="199" t="str">
        <f t="shared" si="201"/>
        <v/>
      </c>
      <c r="Q891" s="199" t="str">
        <f>IF(B891="","",IFERROR(IF('עלויות כח אדם (6)'!J891&gt;=VLOOKUP(I891,'סיווג התפקידים והעלויות'!$B$23:$C$32,2,0),"תקין","לא תקין"),""))</f>
        <v/>
      </c>
      <c r="R891" s="199" t="str">
        <f t="shared" si="202"/>
        <v/>
      </c>
      <c r="S891" s="199" t="str">
        <f t="shared" si="203"/>
        <v/>
      </c>
      <c r="T891" s="199" t="str">
        <f t="shared" si="211"/>
        <v/>
      </c>
      <c r="U891" s="199" t="str">
        <f t="shared" si="204"/>
        <v/>
      </c>
      <c r="V891" s="989"/>
      <c r="X891" s="374" t="str">
        <f t="shared" si="205"/>
        <v/>
      </c>
      <c r="Y891" s="375" t="str">
        <f t="shared" si="206"/>
        <v/>
      </c>
      <c r="Z891" s="374" t="str">
        <f t="shared" si="207"/>
        <v/>
      </c>
      <c r="AA891" s="374" t="b">
        <f t="shared" si="208"/>
        <v>1</v>
      </c>
      <c r="AB891" s="374">
        <f>COUNTIFS(B:B,B891,H:H,'סיווג התפקידים והעלויות'!$C$2)</f>
        <v>0</v>
      </c>
      <c r="AC891" s="374">
        <f>COUNTIFS(B:B,B891,H:H,'סיווג התפקידים והעלויות'!$D$2)</f>
        <v>0</v>
      </c>
      <c r="AD891" s="374" t="str">
        <f>IF(OR(AND(H891='סיווג התפקידים והעלויות'!$A$2,I891='סיווג התפקידים והעלויות'!$A$3),'עלויות כח אדם (6)'!H891='סיווג התפקידים והעלויות'!$C$2,'עלויות כח אדם (6)'!H891='סיווג התפקידים והעלויות'!$D$2),IF('עלויות כח אדם (6)'!J891&lt;75,"לא תקין","תקין"),"")</f>
        <v/>
      </c>
      <c r="AE891" s="374" t="str">
        <f t="shared" si="209"/>
        <v/>
      </c>
      <c r="AF891" s="532" t="str">
        <f t="shared" si="210"/>
        <v/>
      </c>
    </row>
    <row r="892" spans="2:32" x14ac:dyDescent="0.25">
      <c r="B892" s="695"/>
      <c r="C892" s="197" t="str">
        <f>IF(B892&lt;&gt;"",IFERROR(VLOOKUP(B:B,'מצבת והרשמה (2)'!$C$20:$N$520,2,0)," ")," ")</f>
        <v xml:space="preserve"> </v>
      </c>
      <c r="D892" s="695"/>
      <c r="E892" s="696"/>
      <c r="F892" s="696"/>
      <c r="G892" s="696"/>
      <c r="H892" s="696"/>
      <c r="I892" s="1050" t="str">
        <f t="shared" si="197"/>
        <v/>
      </c>
      <c r="J892" s="696"/>
      <c r="K892" s="697"/>
      <c r="L892" s="696"/>
      <c r="M892" s="198" t="str">
        <f t="shared" si="198"/>
        <v/>
      </c>
      <c r="N892" s="369" t="str">
        <f t="shared" si="199"/>
        <v/>
      </c>
      <c r="O892" s="183" t="str">
        <f t="shared" si="200"/>
        <v/>
      </c>
      <c r="P892" s="199" t="str">
        <f t="shared" si="201"/>
        <v/>
      </c>
      <c r="Q892" s="199" t="str">
        <f>IF(B892="","",IFERROR(IF('עלויות כח אדם (6)'!J892&gt;=VLOOKUP(I892,'סיווג התפקידים והעלויות'!$B$23:$C$32,2,0),"תקין","לא תקין"),""))</f>
        <v/>
      </c>
      <c r="R892" s="199" t="str">
        <f t="shared" si="202"/>
        <v/>
      </c>
      <c r="S892" s="199" t="str">
        <f t="shared" si="203"/>
        <v/>
      </c>
      <c r="T892" s="199" t="str">
        <f t="shared" si="211"/>
        <v/>
      </c>
      <c r="U892" s="199" t="str">
        <f t="shared" si="204"/>
        <v/>
      </c>
      <c r="V892" s="989"/>
      <c r="X892" s="374" t="str">
        <f t="shared" si="205"/>
        <v/>
      </c>
      <c r="Y892" s="375" t="str">
        <f t="shared" si="206"/>
        <v/>
      </c>
      <c r="Z892" s="374" t="str">
        <f t="shared" si="207"/>
        <v/>
      </c>
      <c r="AA892" s="374" t="b">
        <f t="shared" si="208"/>
        <v>1</v>
      </c>
      <c r="AB892" s="374">
        <f>COUNTIFS(B:B,B892,H:H,'סיווג התפקידים והעלויות'!$C$2)</f>
        <v>0</v>
      </c>
      <c r="AC892" s="374">
        <f>COUNTIFS(B:B,B892,H:H,'סיווג התפקידים והעלויות'!$D$2)</f>
        <v>0</v>
      </c>
      <c r="AD892" s="374" t="str">
        <f>IF(OR(AND(H892='סיווג התפקידים והעלויות'!$A$2,I892='סיווג התפקידים והעלויות'!$A$3),'עלויות כח אדם (6)'!H892='סיווג התפקידים והעלויות'!$C$2,'עלויות כח אדם (6)'!H892='סיווג התפקידים והעלויות'!$D$2),IF('עלויות כח אדם (6)'!J892&lt;75,"לא תקין","תקין"),"")</f>
        <v/>
      </c>
      <c r="AE892" s="374" t="str">
        <f t="shared" si="209"/>
        <v/>
      </c>
      <c r="AF892" s="532" t="str">
        <f t="shared" si="210"/>
        <v/>
      </c>
    </row>
    <row r="893" spans="2:32" x14ac:dyDescent="0.25">
      <c r="B893" s="695"/>
      <c r="C893" s="197" t="str">
        <f>IF(B893&lt;&gt;"",IFERROR(VLOOKUP(B:B,'מצבת והרשמה (2)'!$C$20:$N$520,2,0)," ")," ")</f>
        <v xml:space="preserve"> </v>
      </c>
      <c r="D893" s="695"/>
      <c r="E893" s="696"/>
      <c r="F893" s="696"/>
      <c r="G893" s="696"/>
      <c r="H893" s="696"/>
      <c r="I893" s="1050" t="str">
        <f t="shared" si="197"/>
        <v/>
      </c>
      <c r="J893" s="696"/>
      <c r="K893" s="697"/>
      <c r="L893" s="696"/>
      <c r="M893" s="198" t="str">
        <f t="shared" si="198"/>
        <v/>
      </c>
      <c r="N893" s="369" t="str">
        <f t="shared" si="199"/>
        <v/>
      </c>
      <c r="O893" s="183" t="str">
        <f t="shared" si="200"/>
        <v/>
      </c>
      <c r="P893" s="199" t="str">
        <f t="shared" si="201"/>
        <v/>
      </c>
      <c r="Q893" s="199" t="str">
        <f>IF(B893="","",IFERROR(IF('עלויות כח אדם (6)'!J893&gt;=VLOOKUP(I893,'סיווג התפקידים והעלויות'!$B$23:$C$32,2,0),"תקין","לא תקין"),""))</f>
        <v/>
      </c>
      <c r="R893" s="199" t="str">
        <f t="shared" si="202"/>
        <v/>
      </c>
      <c r="S893" s="199" t="str">
        <f t="shared" si="203"/>
        <v/>
      </c>
      <c r="T893" s="199" t="str">
        <f t="shared" si="211"/>
        <v/>
      </c>
      <c r="U893" s="199" t="str">
        <f t="shared" si="204"/>
        <v/>
      </c>
      <c r="V893" s="989"/>
      <c r="X893" s="374" t="str">
        <f t="shared" si="205"/>
        <v/>
      </c>
      <c r="Y893" s="375" t="str">
        <f t="shared" si="206"/>
        <v/>
      </c>
      <c r="Z893" s="374" t="str">
        <f t="shared" si="207"/>
        <v/>
      </c>
      <c r="AA893" s="374" t="b">
        <f t="shared" si="208"/>
        <v>1</v>
      </c>
      <c r="AB893" s="374">
        <f>COUNTIFS(B:B,B893,H:H,'סיווג התפקידים והעלויות'!$C$2)</f>
        <v>0</v>
      </c>
      <c r="AC893" s="374">
        <f>COUNTIFS(B:B,B893,H:H,'סיווג התפקידים והעלויות'!$D$2)</f>
        <v>0</v>
      </c>
      <c r="AD893" s="374" t="str">
        <f>IF(OR(AND(H893='סיווג התפקידים והעלויות'!$A$2,I893='סיווג התפקידים והעלויות'!$A$3),'עלויות כח אדם (6)'!H893='סיווג התפקידים והעלויות'!$C$2,'עלויות כח אדם (6)'!H893='סיווג התפקידים והעלויות'!$D$2),IF('עלויות כח אדם (6)'!J893&lt;75,"לא תקין","תקין"),"")</f>
        <v/>
      </c>
      <c r="AE893" s="374" t="str">
        <f t="shared" si="209"/>
        <v/>
      </c>
      <c r="AF893" s="532" t="str">
        <f t="shared" si="210"/>
        <v/>
      </c>
    </row>
    <row r="894" spans="2:32" x14ac:dyDescent="0.25">
      <c r="B894" s="695"/>
      <c r="C894" s="197" t="str">
        <f>IF(B894&lt;&gt;"",IFERROR(VLOOKUP(B:B,'מצבת והרשמה (2)'!$C$20:$N$520,2,0)," ")," ")</f>
        <v xml:space="preserve"> </v>
      </c>
      <c r="D894" s="695"/>
      <c r="E894" s="696"/>
      <c r="F894" s="696"/>
      <c r="G894" s="696"/>
      <c r="H894" s="696"/>
      <c r="I894" s="1050" t="str">
        <f t="shared" si="197"/>
        <v/>
      </c>
      <c r="J894" s="696"/>
      <c r="K894" s="697"/>
      <c r="L894" s="696"/>
      <c r="M894" s="198" t="str">
        <f t="shared" si="198"/>
        <v/>
      </c>
      <c r="N894" s="369" t="str">
        <f t="shared" si="199"/>
        <v/>
      </c>
      <c r="O894" s="183" t="str">
        <f t="shared" si="200"/>
        <v/>
      </c>
      <c r="P894" s="199" t="str">
        <f t="shared" si="201"/>
        <v/>
      </c>
      <c r="Q894" s="199" t="str">
        <f>IF(B894="","",IFERROR(IF('עלויות כח אדם (6)'!J894&gt;=VLOOKUP(I894,'סיווג התפקידים והעלויות'!$B$23:$C$32,2,0),"תקין","לא תקין"),""))</f>
        <v/>
      </c>
      <c r="R894" s="199" t="str">
        <f t="shared" si="202"/>
        <v/>
      </c>
      <c r="S894" s="199" t="str">
        <f t="shared" si="203"/>
        <v/>
      </c>
      <c r="T894" s="199" t="str">
        <f t="shared" si="211"/>
        <v/>
      </c>
      <c r="U894" s="199" t="str">
        <f t="shared" si="204"/>
        <v/>
      </c>
      <c r="V894" s="989"/>
      <c r="X894" s="374" t="str">
        <f t="shared" si="205"/>
        <v/>
      </c>
      <c r="Y894" s="375" t="str">
        <f t="shared" si="206"/>
        <v/>
      </c>
      <c r="Z894" s="374" t="str">
        <f t="shared" si="207"/>
        <v/>
      </c>
      <c r="AA894" s="374" t="b">
        <f t="shared" si="208"/>
        <v>1</v>
      </c>
      <c r="AB894" s="374">
        <f>COUNTIFS(B:B,B894,H:H,'סיווג התפקידים והעלויות'!$C$2)</f>
        <v>0</v>
      </c>
      <c r="AC894" s="374">
        <f>COUNTIFS(B:B,B894,H:H,'סיווג התפקידים והעלויות'!$D$2)</f>
        <v>0</v>
      </c>
      <c r="AD894" s="374" t="str">
        <f>IF(OR(AND(H894='סיווג התפקידים והעלויות'!$A$2,I894='סיווג התפקידים והעלויות'!$A$3),'עלויות כח אדם (6)'!H894='סיווג התפקידים והעלויות'!$C$2,'עלויות כח אדם (6)'!H894='סיווג התפקידים והעלויות'!$D$2),IF('עלויות כח אדם (6)'!J894&lt;75,"לא תקין","תקין"),"")</f>
        <v/>
      </c>
      <c r="AE894" s="374" t="str">
        <f t="shared" si="209"/>
        <v/>
      </c>
      <c r="AF894" s="532" t="str">
        <f t="shared" si="210"/>
        <v/>
      </c>
    </row>
    <row r="895" spans="2:32" x14ac:dyDescent="0.25">
      <c r="B895" s="695"/>
      <c r="C895" s="197" t="str">
        <f>IF(B895&lt;&gt;"",IFERROR(VLOOKUP(B:B,'מצבת והרשמה (2)'!$C$20:$N$520,2,0)," ")," ")</f>
        <v xml:space="preserve"> </v>
      </c>
      <c r="D895" s="695"/>
      <c r="E895" s="696"/>
      <c r="F895" s="696"/>
      <c r="G895" s="696"/>
      <c r="H895" s="696"/>
      <c r="I895" s="1050" t="str">
        <f t="shared" si="197"/>
        <v/>
      </c>
      <c r="J895" s="696"/>
      <c r="K895" s="697"/>
      <c r="L895" s="696"/>
      <c r="M895" s="198" t="str">
        <f t="shared" si="198"/>
        <v/>
      </c>
      <c r="N895" s="369" t="str">
        <f t="shared" si="199"/>
        <v/>
      </c>
      <c r="O895" s="183" t="str">
        <f t="shared" si="200"/>
        <v/>
      </c>
      <c r="P895" s="199" t="str">
        <f t="shared" si="201"/>
        <v/>
      </c>
      <c r="Q895" s="199" t="str">
        <f>IF(B895="","",IFERROR(IF('עלויות כח אדם (6)'!J895&gt;=VLOOKUP(I895,'סיווג התפקידים והעלויות'!$B$23:$C$32,2,0),"תקין","לא תקין"),""))</f>
        <v/>
      </c>
      <c r="R895" s="199" t="str">
        <f t="shared" si="202"/>
        <v/>
      </c>
      <c r="S895" s="199" t="str">
        <f t="shared" si="203"/>
        <v/>
      </c>
      <c r="T895" s="199" t="str">
        <f t="shared" si="211"/>
        <v/>
      </c>
      <c r="U895" s="199" t="str">
        <f t="shared" si="204"/>
        <v/>
      </c>
      <c r="V895" s="989"/>
      <c r="X895" s="374" t="str">
        <f t="shared" si="205"/>
        <v/>
      </c>
      <c r="Y895" s="375" t="str">
        <f t="shared" si="206"/>
        <v/>
      </c>
      <c r="Z895" s="374" t="str">
        <f t="shared" si="207"/>
        <v/>
      </c>
      <c r="AA895" s="374" t="b">
        <f t="shared" si="208"/>
        <v>1</v>
      </c>
      <c r="AB895" s="374">
        <f>COUNTIFS(B:B,B895,H:H,'סיווג התפקידים והעלויות'!$C$2)</f>
        <v>0</v>
      </c>
      <c r="AC895" s="374">
        <f>COUNTIFS(B:B,B895,H:H,'סיווג התפקידים והעלויות'!$D$2)</f>
        <v>0</v>
      </c>
      <c r="AD895" s="374" t="str">
        <f>IF(OR(AND(H895='סיווג התפקידים והעלויות'!$A$2,I895='סיווג התפקידים והעלויות'!$A$3),'עלויות כח אדם (6)'!H895='סיווג התפקידים והעלויות'!$C$2,'עלויות כח אדם (6)'!H895='סיווג התפקידים והעלויות'!$D$2),IF('עלויות כח אדם (6)'!J895&lt;75,"לא תקין","תקין"),"")</f>
        <v/>
      </c>
      <c r="AE895" s="374" t="str">
        <f t="shared" si="209"/>
        <v/>
      </c>
      <c r="AF895" s="532" t="str">
        <f t="shared" si="210"/>
        <v/>
      </c>
    </row>
    <row r="896" spans="2:32" x14ac:dyDescent="0.25">
      <c r="B896" s="695"/>
      <c r="C896" s="197" t="str">
        <f>IF(B896&lt;&gt;"",IFERROR(VLOOKUP(B:B,'מצבת והרשמה (2)'!$C$20:$N$520,2,0)," ")," ")</f>
        <v xml:space="preserve"> </v>
      </c>
      <c r="D896" s="695"/>
      <c r="E896" s="696"/>
      <c r="F896" s="696"/>
      <c r="G896" s="696"/>
      <c r="H896" s="696"/>
      <c r="I896" s="1050" t="str">
        <f t="shared" si="197"/>
        <v/>
      </c>
      <c r="J896" s="696"/>
      <c r="K896" s="697"/>
      <c r="L896" s="696"/>
      <c r="M896" s="198" t="str">
        <f t="shared" si="198"/>
        <v/>
      </c>
      <c r="N896" s="369" t="str">
        <f t="shared" si="199"/>
        <v/>
      </c>
      <c r="O896" s="183" t="str">
        <f t="shared" si="200"/>
        <v/>
      </c>
      <c r="P896" s="199" t="str">
        <f t="shared" si="201"/>
        <v/>
      </c>
      <c r="Q896" s="199" t="str">
        <f>IF(B896="","",IFERROR(IF('עלויות כח אדם (6)'!J896&gt;=VLOOKUP(I896,'סיווג התפקידים והעלויות'!$B$23:$C$32,2,0),"תקין","לא תקין"),""))</f>
        <v/>
      </c>
      <c r="R896" s="199" t="str">
        <f t="shared" si="202"/>
        <v/>
      </c>
      <c r="S896" s="199" t="str">
        <f t="shared" si="203"/>
        <v/>
      </c>
      <c r="T896" s="199" t="str">
        <f t="shared" si="211"/>
        <v/>
      </c>
      <c r="U896" s="199" t="str">
        <f t="shared" si="204"/>
        <v/>
      </c>
      <c r="V896" s="989"/>
      <c r="X896" s="374" t="str">
        <f t="shared" si="205"/>
        <v/>
      </c>
      <c r="Y896" s="375" t="str">
        <f t="shared" si="206"/>
        <v/>
      </c>
      <c r="Z896" s="374" t="str">
        <f t="shared" si="207"/>
        <v/>
      </c>
      <c r="AA896" s="374" t="b">
        <f t="shared" si="208"/>
        <v>1</v>
      </c>
      <c r="AB896" s="374">
        <f>COUNTIFS(B:B,B896,H:H,'סיווג התפקידים והעלויות'!$C$2)</f>
        <v>0</v>
      </c>
      <c r="AC896" s="374">
        <f>COUNTIFS(B:B,B896,H:H,'סיווג התפקידים והעלויות'!$D$2)</f>
        <v>0</v>
      </c>
      <c r="AD896" s="374" t="str">
        <f>IF(OR(AND(H896='סיווג התפקידים והעלויות'!$A$2,I896='סיווג התפקידים והעלויות'!$A$3),'עלויות כח אדם (6)'!H896='סיווג התפקידים והעלויות'!$C$2,'עלויות כח אדם (6)'!H896='סיווג התפקידים והעלויות'!$D$2),IF('עלויות כח אדם (6)'!J896&lt;75,"לא תקין","תקין"),"")</f>
        <v/>
      </c>
      <c r="AE896" s="374" t="str">
        <f t="shared" si="209"/>
        <v/>
      </c>
      <c r="AF896" s="532" t="str">
        <f t="shared" si="210"/>
        <v/>
      </c>
    </row>
    <row r="897" spans="2:32" x14ac:dyDescent="0.25">
      <c r="B897" s="695"/>
      <c r="C897" s="197" t="str">
        <f>IF(B897&lt;&gt;"",IFERROR(VLOOKUP(B:B,'מצבת והרשמה (2)'!$C$20:$N$520,2,0)," ")," ")</f>
        <v xml:space="preserve"> </v>
      </c>
      <c r="D897" s="695"/>
      <c r="E897" s="696"/>
      <c r="F897" s="696"/>
      <c r="G897" s="696"/>
      <c r="H897" s="696"/>
      <c r="I897" s="1050" t="str">
        <f t="shared" si="197"/>
        <v/>
      </c>
      <c r="J897" s="696"/>
      <c r="K897" s="697"/>
      <c r="L897" s="696"/>
      <c r="M897" s="198" t="str">
        <f t="shared" si="198"/>
        <v/>
      </c>
      <c r="N897" s="369" t="str">
        <f t="shared" si="199"/>
        <v/>
      </c>
      <c r="O897" s="183" t="str">
        <f t="shared" si="200"/>
        <v/>
      </c>
      <c r="P897" s="199" t="str">
        <f t="shared" si="201"/>
        <v/>
      </c>
      <c r="Q897" s="199" t="str">
        <f>IF(B897="","",IFERROR(IF('עלויות כח אדם (6)'!J897&gt;=VLOOKUP(I897,'סיווג התפקידים והעלויות'!$B$23:$C$32,2,0),"תקין","לא תקין"),""))</f>
        <v/>
      </c>
      <c r="R897" s="199" t="str">
        <f t="shared" si="202"/>
        <v/>
      </c>
      <c r="S897" s="199" t="str">
        <f t="shared" si="203"/>
        <v/>
      </c>
      <c r="T897" s="199" t="str">
        <f t="shared" si="211"/>
        <v/>
      </c>
      <c r="U897" s="199" t="str">
        <f t="shared" si="204"/>
        <v/>
      </c>
      <c r="V897" s="989"/>
      <c r="X897" s="374" t="str">
        <f t="shared" si="205"/>
        <v/>
      </c>
      <c r="Y897" s="375" t="str">
        <f t="shared" si="206"/>
        <v/>
      </c>
      <c r="Z897" s="374" t="str">
        <f t="shared" si="207"/>
        <v/>
      </c>
      <c r="AA897" s="374" t="b">
        <f t="shared" si="208"/>
        <v>1</v>
      </c>
      <c r="AB897" s="374">
        <f>COUNTIFS(B:B,B897,H:H,'סיווג התפקידים והעלויות'!$C$2)</f>
        <v>0</v>
      </c>
      <c r="AC897" s="374">
        <f>COUNTIFS(B:B,B897,H:H,'סיווג התפקידים והעלויות'!$D$2)</f>
        <v>0</v>
      </c>
      <c r="AD897" s="374" t="str">
        <f>IF(OR(AND(H897='סיווג התפקידים והעלויות'!$A$2,I897='סיווג התפקידים והעלויות'!$A$3),'עלויות כח אדם (6)'!H897='סיווג התפקידים והעלויות'!$C$2,'עלויות כח אדם (6)'!H897='סיווג התפקידים והעלויות'!$D$2),IF('עלויות כח אדם (6)'!J897&lt;75,"לא תקין","תקין"),"")</f>
        <v/>
      </c>
      <c r="AE897" s="374" t="str">
        <f t="shared" si="209"/>
        <v/>
      </c>
      <c r="AF897" s="532" t="str">
        <f t="shared" si="210"/>
        <v/>
      </c>
    </row>
    <row r="898" spans="2:32" x14ac:dyDescent="0.25">
      <c r="B898" s="695"/>
      <c r="C898" s="197" t="str">
        <f>IF(B898&lt;&gt;"",IFERROR(VLOOKUP(B:B,'מצבת והרשמה (2)'!$C$20:$N$520,2,0)," ")," ")</f>
        <v xml:space="preserve"> </v>
      </c>
      <c r="D898" s="695"/>
      <c r="E898" s="696"/>
      <c r="F898" s="696"/>
      <c r="G898" s="696"/>
      <c r="H898" s="696"/>
      <c r="I898" s="1050" t="str">
        <f t="shared" si="197"/>
        <v/>
      </c>
      <c r="J898" s="696"/>
      <c r="K898" s="697"/>
      <c r="L898" s="696"/>
      <c r="M898" s="198" t="str">
        <f t="shared" si="198"/>
        <v/>
      </c>
      <c r="N898" s="369" t="str">
        <f t="shared" si="199"/>
        <v/>
      </c>
      <c r="O898" s="183" t="str">
        <f t="shared" si="200"/>
        <v/>
      </c>
      <c r="P898" s="199" t="str">
        <f t="shared" si="201"/>
        <v/>
      </c>
      <c r="Q898" s="199" t="str">
        <f>IF(B898="","",IFERROR(IF('עלויות כח אדם (6)'!J898&gt;=VLOOKUP(I898,'סיווג התפקידים והעלויות'!$B$23:$C$32,2,0),"תקין","לא תקין"),""))</f>
        <v/>
      </c>
      <c r="R898" s="199" t="str">
        <f t="shared" si="202"/>
        <v/>
      </c>
      <c r="S898" s="199" t="str">
        <f t="shared" si="203"/>
        <v/>
      </c>
      <c r="T898" s="199" t="str">
        <f t="shared" si="211"/>
        <v/>
      </c>
      <c r="U898" s="199" t="str">
        <f t="shared" si="204"/>
        <v/>
      </c>
      <c r="V898" s="989"/>
      <c r="X898" s="374" t="str">
        <f t="shared" si="205"/>
        <v/>
      </c>
      <c r="Y898" s="375" t="str">
        <f t="shared" si="206"/>
        <v/>
      </c>
      <c r="Z898" s="374" t="str">
        <f t="shared" si="207"/>
        <v/>
      </c>
      <c r="AA898" s="374" t="b">
        <f t="shared" si="208"/>
        <v>1</v>
      </c>
      <c r="AB898" s="374">
        <f>COUNTIFS(B:B,B898,H:H,'סיווג התפקידים והעלויות'!$C$2)</f>
        <v>0</v>
      </c>
      <c r="AC898" s="374">
        <f>COUNTIFS(B:B,B898,H:H,'סיווג התפקידים והעלויות'!$D$2)</f>
        <v>0</v>
      </c>
      <c r="AD898" s="374" t="str">
        <f>IF(OR(AND(H898='סיווג התפקידים והעלויות'!$A$2,I898='סיווג התפקידים והעלויות'!$A$3),'עלויות כח אדם (6)'!H898='סיווג התפקידים והעלויות'!$C$2,'עלויות כח אדם (6)'!H898='סיווג התפקידים והעלויות'!$D$2),IF('עלויות כח אדם (6)'!J898&lt;75,"לא תקין","תקין"),"")</f>
        <v/>
      </c>
      <c r="AE898" s="374" t="str">
        <f t="shared" si="209"/>
        <v/>
      </c>
      <c r="AF898" s="532" t="str">
        <f t="shared" si="210"/>
        <v/>
      </c>
    </row>
    <row r="899" spans="2:32" x14ac:dyDescent="0.25">
      <c r="B899" s="695"/>
      <c r="C899" s="197" t="str">
        <f>IF(B899&lt;&gt;"",IFERROR(VLOOKUP(B:B,'מצבת והרשמה (2)'!$C$20:$N$520,2,0)," ")," ")</f>
        <v xml:space="preserve"> </v>
      </c>
      <c r="D899" s="695"/>
      <c r="E899" s="696"/>
      <c r="F899" s="696"/>
      <c r="G899" s="696"/>
      <c r="H899" s="696"/>
      <c r="I899" s="1050" t="str">
        <f t="shared" si="197"/>
        <v/>
      </c>
      <c r="J899" s="696"/>
      <c r="K899" s="697"/>
      <c r="L899" s="696"/>
      <c r="M899" s="198" t="str">
        <f t="shared" si="198"/>
        <v/>
      </c>
      <c r="N899" s="369" t="str">
        <f t="shared" si="199"/>
        <v/>
      </c>
      <c r="O899" s="183" t="str">
        <f t="shared" si="200"/>
        <v/>
      </c>
      <c r="P899" s="199" t="str">
        <f t="shared" si="201"/>
        <v/>
      </c>
      <c r="Q899" s="199" t="str">
        <f>IF(B899="","",IFERROR(IF('עלויות כח אדם (6)'!J899&gt;=VLOOKUP(I899,'סיווג התפקידים והעלויות'!$B$23:$C$32,2,0),"תקין","לא תקין"),""))</f>
        <v/>
      </c>
      <c r="R899" s="199" t="str">
        <f t="shared" si="202"/>
        <v/>
      </c>
      <c r="S899" s="199" t="str">
        <f t="shared" si="203"/>
        <v/>
      </c>
      <c r="T899" s="199" t="str">
        <f t="shared" si="211"/>
        <v/>
      </c>
      <c r="U899" s="199" t="str">
        <f t="shared" si="204"/>
        <v/>
      </c>
      <c r="V899" s="989"/>
      <c r="X899" s="374" t="str">
        <f t="shared" si="205"/>
        <v/>
      </c>
      <c r="Y899" s="375" t="str">
        <f t="shared" si="206"/>
        <v/>
      </c>
      <c r="Z899" s="374" t="str">
        <f t="shared" si="207"/>
        <v/>
      </c>
      <c r="AA899" s="374" t="b">
        <f t="shared" si="208"/>
        <v>1</v>
      </c>
      <c r="AB899" s="374">
        <f>COUNTIFS(B:B,B899,H:H,'סיווג התפקידים והעלויות'!$C$2)</f>
        <v>0</v>
      </c>
      <c r="AC899" s="374">
        <f>COUNTIFS(B:B,B899,H:H,'סיווג התפקידים והעלויות'!$D$2)</f>
        <v>0</v>
      </c>
      <c r="AD899" s="374" t="str">
        <f>IF(OR(AND(H899='סיווג התפקידים והעלויות'!$A$2,I899='סיווג התפקידים והעלויות'!$A$3),'עלויות כח אדם (6)'!H899='סיווג התפקידים והעלויות'!$C$2,'עלויות כח אדם (6)'!H899='סיווג התפקידים והעלויות'!$D$2),IF('עלויות כח אדם (6)'!J899&lt;75,"לא תקין","תקין"),"")</f>
        <v/>
      </c>
      <c r="AE899" s="374" t="str">
        <f t="shared" si="209"/>
        <v/>
      </c>
      <c r="AF899" s="532" t="str">
        <f t="shared" si="210"/>
        <v/>
      </c>
    </row>
    <row r="900" spans="2:32" x14ac:dyDescent="0.25">
      <c r="B900" s="695"/>
      <c r="C900" s="197" t="str">
        <f>IF(B900&lt;&gt;"",IFERROR(VLOOKUP(B:B,'מצבת והרשמה (2)'!$C$20:$N$520,2,0)," ")," ")</f>
        <v xml:space="preserve"> </v>
      </c>
      <c r="D900" s="695"/>
      <c r="E900" s="696"/>
      <c r="F900" s="696"/>
      <c r="G900" s="696"/>
      <c r="H900" s="696"/>
      <c r="I900" s="1050" t="str">
        <f t="shared" si="197"/>
        <v/>
      </c>
      <c r="J900" s="696"/>
      <c r="K900" s="697"/>
      <c r="L900" s="696"/>
      <c r="M900" s="198" t="str">
        <f t="shared" si="198"/>
        <v/>
      </c>
      <c r="N900" s="369" t="str">
        <f t="shared" si="199"/>
        <v/>
      </c>
      <c r="O900" s="183" t="str">
        <f t="shared" si="200"/>
        <v/>
      </c>
      <c r="P900" s="199" t="str">
        <f t="shared" si="201"/>
        <v/>
      </c>
      <c r="Q900" s="199" t="str">
        <f>IF(B900="","",IFERROR(IF('עלויות כח אדם (6)'!J900&gt;=VLOOKUP(I900,'סיווג התפקידים והעלויות'!$B$23:$C$32,2,0),"תקין","לא תקין"),""))</f>
        <v/>
      </c>
      <c r="R900" s="199" t="str">
        <f t="shared" si="202"/>
        <v/>
      </c>
      <c r="S900" s="199" t="str">
        <f t="shared" si="203"/>
        <v/>
      </c>
      <c r="T900" s="199" t="str">
        <f t="shared" si="211"/>
        <v/>
      </c>
      <c r="U900" s="199" t="str">
        <f t="shared" si="204"/>
        <v/>
      </c>
      <c r="V900" s="989"/>
      <c r="X900" s="374" t="str">
        <f t="shared" si="205"/>
        <v/>
      </c>
      <c r="Y900" s="375" t="str">
        <f t="shared" si="206"/>
        <v/>
      </c>
      <c r="Z900" s="374" t="str">
        <f t="shared" si="207"/>
        <v/>
      </c>
      <c r="AA900" s="374" t="b">
        <f t="shared" si="208"/>
        <v>1</v>
      </c>
      <c r="AB900" s="374">
        <f>COUNTIFS(B:B,B900,H:H,'סיווג התפקידים והעלויות'!$C$2)</f>
        <v>0</v>
      </c>
      <c r="AC900" s="374">
        <f>COUNTIFS(B:B,B900,H:H,'סיווג התפקידים והעלויות'!$D$2)</f>
        <v>0</v>
      </c>
      <c r="AD900" s="374" t="str">
        <f>IF(OR(AND(H900='סיווג התפקידים והעלויות'!$A$2,I900='סיווג התפקידים והעלויות'!$A$3),'עלויות כח אדם (6)'!H900='סיווג התפקידים והעלויות'!$C$2,'עלויות כח אדם (6)'!H900='סיווג התפקידים והעלויות'!$D$2),IF('עלויות כח אדם (6)'!J900&lt;75,"לא תקין","תקין"),"")</f>
        <v/>
      </c>
      <c r="AE900" s="374" t="str">
        <f t="shared" si="209"/>
        <v/>
      </c>
      <c r="AF900" s="532" t="str">
        <f t="shared" si="210"/>
        <v/>
      </c>
    </row>
    <row r="901" spans="2:32" x14ac:dyDescent="0.25">
      <c r="B901" s="695"/>
      <c r="C901" s="197" t="str">
        <f>IF(B901&lt;&gt;"",IFERROR(VLOOKUP(B:B,'מצבת והרשמה (2)'!$C$20:$N$520,2,0)," ")," ")</f>
        <v xml:space="preserve"> </v>
      </c>
      <c r="D901" s="695"/>
      <c r="E901" s="696"/>
      <c r="F901" s="696"/>
      <c r="G901" s="696"/>
      <c r="H901" s="696"/>
      <c r="I901" s="1050" t="str">
        <f t="shared" si="197"/>
        <v/>
      </c>
      <c r="J901" s="696"/>
      <c r="K901" s="697"/>
      <c r="L901" s="696"/>
      <c r="M901" s="198" t="str">
        <f t="shared" si="198"/>
        <v/>
      </c>
      <c r="N901" s="369" t="str">
        <f t="shared" si="199"/>
        <v/>
      </c>
      <c r="O901" s="183" t="str">
        <f t="shared" si="200"/>
        <v/>
      </c>
      <c r="P901" s="199" t="str">
        <f t="shared" si="201"/>
        <v/>
      </c>
      <c r="Q901" s="199" t="str">
        <f>IF(B901="","",IFERROR(IF('עלויות כח אדם (6)'!J901&gt;=VLOOKUP(I901,'סיווג התפקידים והעלויות'!$B$23:$C$32,2,0),"תקין","לא תקין"),""))</f>
        <v/>
      </c>
      <c r="R901" s="199" t="str">
        <f t="shared" si="202"/>
        <v/>
      </c>
      <c r="S901" s="199" t="str">
        <f t="shared" si="203"/>
        <v/>
      </c>
      <c r="T901" s="199" t="str">
        <f t="shared" si="211"/>
        <v/>
      </c>
      <c r="U901" s="199" t="str">
        <f t="shared" si="204"/>
        <v/>
      </c>
      <c r="V901" s="989"/>
      <c r="X901" s="374" t="str">
        <f t="shared" si="205"/>
        <v/>
      </c>
      <c r="Y901" s="375" t="str">
        <f t="shared" si="206"/>
        <v/>
      </c>
      <c r="Z901" s="374" t="str">
        <f t="shared" si="207"/>
        <v/>
      </c>
      <c r="AA901" s="374" t="b">
        <f t="shared" si="208"/>
        <v>1</v>
      </c>
      <c r="AB901" s="374">
        <f>COUNTIFS(B:B,B901,H:H,'סיווג התפקידים והעלויות'!$C$2)</f>
        <v>0</v>
      </c>
      <c r="AC901" s="374">
        <f>COUNTIFS(B:B,B901,H:H,'סיווג התפקידים והעלויות'!$D$2)</f>
        <v>0</v>
      </c>
      <c r="AD901" s="374" t="str">
        <f>IF(OR(AND(H901='סיווג התפקידים והעלויות'!$A$2,I901='סיווג התפקידים והעלויות'!$A$3),'עלויות כח אדם (6)'!H901='סיווג התפקידים והעלויות'!$C$2,'עלויות כח אדם (6)'!H901='סיווג התפקידים והעלויות'!$D$2),IF('עלויות כח אדם (6)'!J901&lt;75,"לא תקין","תקין"),"")</f>
        <v/>
      </c>
      <c r="AE901" s="374" t="str">
        <f t="shared" si="209"/>
        <v/>
      </c>
      <c r="AF901" s="532" t="str">
        <f t="shared" si="210"/>
        <v/>
      </c>
    </row>
    <row r="902" spans="2:32" x14ac:dyDescent="0.25">
      <c r="B902" s="695"/>
      <c r="C902" s="197" t="str">
        <f>IF(B902&lt;&gt;"",IFERROR(VLOOKUP(B:B,'מצבת והרשמה (2)'!$C$20:$N$520,2,0)," ")," ")</f>
        <v xml:space="preserve"> </v>
      </c>
      <c r="D902" s="695"/>
      <c r="E902" s="696"/>
      <c r="F902" s="696"/>
      <c r="G902" s="696"/>
      <c r="H902" s="696"/>
      <c r="I902" s="1050" t="str">
        <f t="shared" si="197"/>
        <v/>
      </c>
      <c r="J902" s="696"/>
      <c r="K902" s="697"/>
      <c r="L902" s="696"/>
      <c r="M902" s="198" t="str">
        <f t="shared" si="198"/>
        <v/>
      </c>
      <c r="N902" s="369" t="str">
        <f t="shared" si="199"/>
        <v/>
      </c>
      <c r="O902" s="183" t="str">
        <f t="shared" si="200"/>
        <v/>
      </c>
      <c r="P902" s="199" t="str">
        <f t="shared" si="201"/>
        <v/>
      </c>
      <c r="Q902" s="199" t="str">
        <f>IF(B902="","",IFERROR(IF('עלויות כח אדם (6)'!J902&gt;=VLOOKUP(I902,'סיווג התפקידים והעלויות'!$B$23:$C$32,2,0),"תקין","לא תקין"),""))</f>
        <v/>
      </c>
      <c r="R902" s="199" t="str">
        <f t="shared" si="202"/>
        <v/>
      </c>
      <c r="S902" s="199" t="str">
        <f t="shared" si="203"/>
        <v/>
      </c>
      <c r="T902" s="199" t="str">
        <f t="shared" si="211"/>
        <v/>
      </c>
      <c r="U902" s="199" t="str">
        <f t="shared" si="204"/>
        <v/>
      </c>
      <c r="V902" s="989"/>
      <c r="X902" s="374" t="str">
        <f t="shared" si="205"/>
        <v/>
      </c>
      <c r="Y902" s="375" t="str">
        <f t="shared" si="206"/>
        <v/>
      </c>
      <c r="Z902" s="374" t="str">
        <f t="shared" si="207"/>
        <v/>
      </c>
      <c r="AA902" s="374" t="b">
        <f t="shared" si="208"/>
        <v>1</v>
      </c>
      <c r="AB902" s="374">
        <f>COUNTIFS(B:B,B902,H:H,'סיווג התפקידים והעלויות'!$C$2)</f>
        <v>0</v>
      </c>
      <c r="AC902" s="374">
        <f>COUNTIFS(B:B,B902,H:H,'סיווג התפקידים והעלויות'!$D$2)</f>
        <v>0</v>
      </c>
      <c r="AD902" s="374" t="str">
        <f>IF(OR(AND(H902='סיווג התפקידים והעלויות'!$A$2,I902='סיווג התפקידים והעלויות'!$A$3),'עלויות כח אדם (6)'!H902='סיווג התפקידים והעלויות'!$C$2,'עלויות כח אדם (6)'!H902='סיווג התפקידים והעלויות'!$D$2),IF('עלויות כח אדם (6)'!J902&lt;75,"לא תקין","תקין"),"")</f>
        <v/>
      </c>
      <c r="AE902" s="374" t="str">
        <f t="shared" si="209"/>
        <v/>
      </c>
      <c r="AF902" s="532" t="str">
        <f t="shared" si="210"/>
        <v/>
      </c>
    </row>
    <row r="903" spans="2:32" x14ac:dyDescent="0.25">
      <c r="B903" s="695"/>
      <c r="C903" s="197" t="str">
        <f>IF(B903&lt;&gt;"",IFERROR(VLOOKUP(B:B,'מצבת והרשמה (2)'!$C$20:$N$520,2,0)," ")," ")</f>
        <v xml:space="preserve"> </v>
      </c>
      <c r="D903" s="695"/>
      <c r="E903" s="696"/>
      <c r="F903" s="696"/>
      <c r="G903" s="696"/>
      <c r="H903" s="696"/>
      <c r="I903" s="1050" t="str">
        <f t="shared" si="197"/>
        <v/>
      </c>
      <c r="J903" s="696"/>
      <c r="K903" s="697"/>
      <c r="L903" s="696"/>
      <c r="M903" s="198" t="str">
        <f t="shared" si="198"/>
        <v/>
      </c>
      <c r="N903" s="369" t="str">
        <f t="shared" si="199"/>
        <v/>
      </c>
      <c r="O903" s="183" t="str">
        <f t="shared" si="200"/>
        <v/>
      </c>
      <c r="P903" s="199" t="str">
        <f t="shared" si="201"/>
        <v/>
      </c>
      <c r="Q903" s="199" t="str">
        <f>IF(B903="","",IFERROR(IF('עלויות כח אדם (6)'!J903&gt;=VLOOKUP(I903,'סיווג התפקידים והעלויות'!$B$23:$C$32,2,0),"תקין","לא תקין"),""))</f>
        <v/>
      </c>
      <c r="R903" s="199" t="str">
        <f t="shared" si="202"/>
        <v/>
      </c>
      <c r="S903" s="199" t="str">
        <f t="shared" si="203"/>
        <v/>
      </c>
      <c r="T903" s="199" t="str">
        <f t="shared" si="211"/>
        <v/>
      </c>
      <c r="U903" s="199" t="str">
        <f t="shared" si="204"/>
        <v/>
      </c>
      <c r="V903" s="989"/>
      <c r="X903" s="374" t="str">
        <f t="shared" si="205"/>
        <v/>
      </c>
      <c r="Y903" s="375" t="str">
        <f t="shared" si="206"/>
        <v/>
      </c>
      <c r="Z903" s="374" t="str">
        <f t="shared" si="207"/>
        <v/>
      </c>
      <c r="AA903" s="374" t="b">
        <f t="shared" si="208"/>
        <v>1</v>
      </c>
      <c r="AB903" s="374">
        <f>COUNTIFS(B:B,B903,H:H,'סיווג התפקידים והעלויות'!$C$2)</f>
        <v>0</v>
      </c>
      <c r="AC903" s="374">
        <f>COUNTIFS(B:B,B903,H:H,'סיווג התפקידים והעלויות'!$D$2)</f>
        <v>0</v>
      </c>
      <c r="AD903" s="374" t="str">
        <f>IF(OR(AND(H903='סיווג התפקידים והעלויות'!$A$2,I903='סיווג התפקידים והעלויות'!$A$3),'עלויות כח אדם (6)'!H903='סיווג התפקידים והעלויות'!$C$2,'עלויות כח אדם (6)'!H903='סיווג התפקידים והעלויות'!$D$2),IF('עלויות כח אדם (6)'!J903&lt;75,"לא תקין","תקין"),"")</f>
        <v/>
      </c>
      <c r="AE903" s="374" t="str">
        <f t="shared" si="209"/>
        <v/>
      </c>
      <c r="AF903" s="532" t="str">
        <f t="shared" si="210"/>
        <v/>
      </c>
    </row>
    <row r="904" spans="2:32" x14ac:dyDescent="0.25">
      <c r="B904" s="695"/>
      <c r="C904" s="197" t="str">
        <f>IF(B904&lt;&gt;"",IFERROR(VLOOKUP(B:B,'מצבת והרשמה (2)'!$C$20:$N$520,2,0)," ")," ")</f>
        <v xml:space="preserve"> </v>
      </c>
      <c r="D904" s="695"/>
      <c r="E904" s="696"/>
      <c r="F904" s="696"/>
      <c r="G904" s="696"/>
      <c r="H904" s="696"/>
      <c r="I904" s="1050" t="str">
        <f t="shared" si="197"/>
        <v/>
      </c>
      <c r="J904" s="696"/>
      <c r="K904" s="697"/>
      <c r="L904" s="696"/>
      <c r="M904" s="198" t="str">
        <f t="shared" si="198"/>
        <v/>
      </c>
      <c r="N904" s="369" t="str">
        <f t="shared" si="199"/>
        <v/>
      </c>
      <c r="O904" s="183" t="str">
        <f t="shared" si="200"/>
        <v/>
      </c>
      <c r="P904" s="199" t="str">
        <f t="shared" si="201"/>
        <v/>
      </c>
      <c r="Q904" s="199" t="str">
        <f>IF(B904="","",IFERROR(IF('עלויות כח אדם (6)'!J904&gt;=VLOOKUP(I904,'סיווג התפקידים והעלויות'!$B$23:$C$32,2,0),"תקין","לא תקין"),""))</f>
        <v/>
      </c>
      <c r="R904" s="199" t="str">
        <f t="shared" si="202"/>
        <v/>
      </c>
      <c r="S904" s="199" t="str">
        <f t="shared" si="203"/>
        <v/>
      </c>
      <c r="T904" s="199" t="str">
        <f t="shared" si="211"/>
        <v/>
      </c>
      <c r="U904" s="199" t="str">
        <f t="shared" si="204"/>
        <v/>
      </c>
      <c r="V904" s="989"/>
      <c r="X904" s="374" t="str">
        <f t="shared" si="205"/>
        <v/>
      </c>
      <c r="Y904" s="375" t="str">
        <f t="shared" si="206"/>
        <v/>
      </c>
      <c r="Z904" s="374" t="str">
        <f t="shared" si="207"/>
        <v/>
      </c>
      <c r="AA904" s="374" t="b">
        <f t="shared" si="208"/>
        <v>1</v>
      </c>
      <c r="AB904" s="374">
        <f>COUNTIFS(B:B,B904,H:H,'סיווג התפקידים והעלויות'!$C$2)</f>
        <v>0</v>
      </c>
      <c r="AC904" s="374">
        <f>COUNTIFS(B:B,B904,H:H,'סיווג התפקידים והעלויות'!$D$2)</f>
        <v>0</v>
      </c>
      <c r="AD904" s="374" t="str">
        <f>IF(OR(AND(H904='סיווג התפקידים והעלויות'!$A$2,I904='סיווג התפקידים והעלויות'!$A$3),'עלויות כח אדם (6)'!H904='סיווג התפקידים והעלויות'!$C$2,'עלויות כח אדם (6)'!H904='סיווג התפקידים והעלויות'!$D$2),IF('עלויות כח אדם (6)'!J904&lt;75,"לא תקין","תקין"),"")</f>
        <v/>
      </c>
      <c r="AE904" s="374" t="str">
        <f t="shared" si="209"/>
        <v/>
      </c>
      <c r="AF904" s="532" t="str">
        <f t="shared" si="210"/>
        <v/>
      </c>
    </row>
    <row r="905" spans="2:32" x14ac:dyDescent="0.25">
      <c r="B905" s="695"/>
      <c r="C905" s="197" t="str">
        <f>IF(B905&lt;&gt;"",IFERROR(VLOOKUP(B:B,'מצבת והרשמה (2)'!$C$20:$N$520,2,0)," ")," ")</f>
        <v xml:space="preserve"> </v>
      </c>
      <c r="D905" s="695"/>
      <c r="E905" s="696"/>
      <c r="F905" s="696"/>
      <c r="G905" s="696"/>
      <c r="H905" s="696"/>
      <c r="I905" s="1050" t="str">
        <f t="shared" si="197"/>
        <v/>
      </c>
      <c r="J905" s="696"/>
      <c r="K905" s="697"/>
      <c r="L905" s="696"/>
      <c r="M905" s="198" t="str">
        <f t="shared" si="198"/>
        <v/>
      </c>
      <c r="N905" s="369" t="str">
        <f t="shared" si="199"/>
        <v/>
      </c>
      <c r="O905" s="183" t="str">
        <f t="shared" si="200"/>
        <v/>
      </c>
      <c r="P905" s="199" t="str">
        <f t="shared" si="201"/>
        <v/>
      </c>
      <c r="Q905" s="199" t="str">
        <f>IF(B905="","",IFERROR(IF('עלויות כח אדם (6)'!J905&gt;=VLOOKUP(I905,'סיווג התפקידים והעלויות'!$B$23:$C$32,2,0),"תקין","לא תקין"),""))</f>
        <v/>
      </c>
      <c r="R905" s="199" t="str">
        <f t="shared" si="202"/>
        <v/>
      </c>
      <c r="S905" s="199" t="str">
        <f t="shared" si="203"/>
        <v/>
      </c>
      <c r="T905" s="199" t="str">
        <f t="shared" si="211"/>
        <v/>
      </c>
      <c r="U905" s="199" t="str">
        <f t="shared" si="204"/>
        <v/>
      </c>
      <c r="V905" s="989"/>
      <c r="X905" s="374" t="str">
        <f t="shared" si="205"/>
        <v/>
      </c>
      <c r="Y905" s="375" t="str">
        <f t="shared" si="206"/>
        <v/>
      </c>
      <c r="Z905" s="374" t="str">
        <f t="shared" si="207"/>
        <v/>
      </c>
      <c r="AA905" s="374" t="b">
        <f t="shared" si="208"/>
        <v>1</v>
      </c>
      <c r="AB905" s="374">
        <f>COUNTIFS(B:B,B905,H:H,'סיווג התפקידים והעלויות'!$C$2)</f>
        <v>0</v>
      </c>
      <c r="AC905" s="374">
        <f>COUNTIFS(B:B,B905,H:H,'סיווג התפקידים והעלויות'!$D$2)</f>
        <v>0</v>
      </c>
      <c r="AD905" s="374" t="str">
        <f>IF(OR(AND(H905='סיווג התפקידים והעלויות'!$A$2,I905='סיווג התפקידים והעלויות'!$A$3),'עלויות כח אדם (6)'!H905='סיווג התפקידים והעלויות'!$C$2,'עלויות כח אדם (6)'!H905='סיווג התפקידים והעלויות'!$D$2),IF('עלויות כח אדם (6)'!J905&lt;75,"לא תקין","תקין"),"")</f>
        <v/>
      </c>
      <c r="AE905" s="374" t="str">
        <f t="shared" si="209"/>
        <v/>
      </c>
      <c r="AF905" s="532" t="str">
        <f t="shared" si="210"/>
        <v/>
      </c>
    </row>
    <row r="906" spans="2:32" x14ac:dyDescent="0.25">
      <c r="B906" s="695"/>
      <c r="C906" s="197" t="str">
        <f>IF(B906&lt;&gt;"",IFERROR(VLOOKUP(B:B,'מצבת והרשמה (2)'!$C$20:$N$520,2,0)," ")," ")</f>
        <v xml:space="preserve"> </v>
      </c>
      <c r="D906" s="695"/>
      <c r="E906" s="696"/>
      <c r="F906" s="696"/>
      <c r="G906" s="696"/>
      <c r="H906" s="696"/>
      <c r="I906" s="1050" t="str">
        <f t="shared" si="197"/>
        <v/>
      </c>
      <c r="J906" s="696"/>
      <c r="K906" s="697"/>
      <c r="L906" s="696"/>
      <c r="M906" s="198" t="str">
        <f t="shared" si="198"/>
        <v/>
      </c>
      <c r="N906" s="369" t="str">
        <f t="shared" si="199"/>
        <v/>
      </c>
      <c r="O906" s="183" t="str">
        <f t="shared" si="200"/>
        <v/>
      </c>
      <c r="P906" s="199" t="str">
        <f t="shared" si="201"/>
        <v/>
      </c>
      <c r="Q906" s="199" t="str">
        <f>IF(B906="","",IFERROR(IF('עלויות כח אדם (6)'!J906&gt;=VLOOKUP(I906,'סיווג התפקידים והעלויות'!$B$23:$C$32,2,0),"תקין","לא תקין"),""))</f>
        <v/>
      </c>
      <c r="R906" s="199" t="str">
        <f t="shared" si="202"/>
        <v/>
      </c>
      <c r="S906" s="199" t="str">
        <f t="shared" si="203"/>
        <v/>
      </c>
      <c r="T906" s="199" t="str">
        <f t="shared" si="211"/>
        <v/>
      </c>
      <c r="U906" s="199" t="str">
        <f t="shared" si="204"/>
        <v/>
      </c>
      <c r="V906" s="989"/>
      <c r="X906" s="374" t="str">
        <f t="shared" si="205"/>
        <v/>
      </c>
      <c r="Y906" s="375" t="str">
        <f t="shared" si="206"/>
        <v/>
      </c>
      <c r="Z906" s="374" t="str">
        <f t="shared" si="207"/>
        <v/>
      </c>
      <c r="AA906" s="374" t="b">
        <f t="shared" si="208"/>
        <v>1</v>
      </c>
      <c r="AB906" s="374">
        <f>COUNTIFS(B:B,B906,H:H,'סיווג התפקידים והעלויות'!$C$2)</f>
        <v>0</v>
      </c>
      <c r="AC906" s="374">
        <f>COUNTIFS(B:B,B906,H:H,'סיווג התפקידים והעלויות'!$D$2)</f>
        <v>0</v>
      </c>
      <c r="AD906" s="374" t="str">
        <f>IF(OR(AND(H906='סיווג התפקידים והעלויות'!$A$2,I906='סיווג התפקידים והעלויות'!$A$3),'עלויות כח אדם (6)'!H906='סיווג התפקידים והעלויות'!$C$2,'עלויות כח אדם (6)'!H906='סיווג התפקידים והעלויות'!$D$2),IF('עלויות כח אדם (6)'!J906&lt;75,"לא תקין","תקין"),"")</f>
        <v/>
      </c>
      <c r="AE906" s="374" t="str">
        <f t="shared" si="209"/>
        <v/>
      </c>
      <c r="AF906" s="532" t="str">
        <f t="shared" si="210"/>
        <v/>
      </c>
    </row>
    <row r="907" spans="2:32" x14ac:dyDescent="0.25">
      <c r="B907" s="695"/>
      <c r="C907" s="197" t="str">
        <f>IF(B907&lt;&gt;"",IFERROR(VLOOKUP(B:B,'מצבת והרשמה (2)'!$C$20:$N$520,2,0)," ")," ")</f>
        <v xml:space="preserve"> </v>
      </c>
      <c r="D907" s="695"/>
      <c r="E907" s="696"/>
      <c r="F907" s="696"/>
      <c r="G907" s="696"/>
      <c r="H907" s="696"/>
      <c r="I907" s="1050" t="str">
        <f t="shared" si="197"/>
        <v/>
      </c>
      <c r="J907" s="696"/>
      <c r="K907" s="697"/>
      <c r="L907" s="696"/>
      <c r="M907" s="198" t="str">
        <f t="shared" si="198"/>
        <v/>
      </c>
      <c r="N907" s="369" t="str">
        <f t="shared" si="199"/>
        <v/>
      </c>
      <c r="O907" s="183" t="str">
        <f t="shared" si="200"/>
        <v/>
      </c>
      <c r="P907" s="199" t="str">
        <f t="shared" si="201"/>
        <v/>
      </c>
      <c r="Q907" s="199" t="str">
        <f>IF(B907="","",IFERROR(IF('עלויות כח אדם (6)'!J907&gt;=VLOOKUP(I907,'סיווג התפקידים והעלויות'!$B$23:$C$32,2,0),"תקין","לא תקין"),""))</f>
        <v/>
      </c>
      <c r="R907" s="199" t="str">
        <f t="shared" si="202"/>
        <v/>
      </c>
      <c r="S907" s="199" t="str">
        <f t="shared" si="203"/>
        <v/>
      </c>
      <c r="T907" s="199" t="str">
        <f t="shared" si="211"/>
        <v/>
      </c>
      <c r="U907" s="199" t="str">
        <f t="shared" si="204"/>
        <v/>
      </c>
      <c r="V907" s="989"/>
      <c r="X907" s="374" t="str">
        <f t="shared" si="205"/>
        <v/>
      </c>
      <c r="Y907" s="375" t="str">
        <f t="shared" si="206"/>
        <v/>
      </c>
      <c r="Z907" s="374" t="str">
        <f t="shared" si="207"/>
        <v/>
      </c>
      <c r="AA907" s="374" t="b">
        <f t="shared" si="208"/>
        <v>1</v>
      </c>
      <c r="AB907" s="374">
        <f>COUNTIFS(B:B,B907,H:H,'סיווג התפקידים והעלויות'!$C$2)</f>
        <v>0</v>
      </c>
      <c r="AC907" s="374">
        <f>COUNTIFS(B:B,B907,H:H,'סיווג התפקידים והעלויות'!$D$2)</f>
        <v>0</v>
      </c>
      <c r="AD907" s="374" t="str">
        <f>IF(OR(AND(H907='סיווג התפקידים והעלויות'!$A$2,I907='סיווג התפקידים והעלויות'!$A$3),'עלויות כח אדם (6)'!H907='סיווג התפקידים והעלויות'!$C$2,'עלויות כח אדם (6)'!H907='סיווג התפקידים והעלויות'!$D$2),IF('עלויות כח אדם (6)'!J907&lt;75,"לא תקין","תקין"),"")</f>
        <v/>
      </c>
      <c r="AE907" s="374" t="str">
        <f t="shared" si="209"/>
        <v/>
      </c>
      <c r="AF907" s="532" t="str">
        <f t="shared" si="210"/>
        <v/>
      </c>
    </row>
    <row r="908" spans="2:32" x14ac:dyDescent="0.25">
      <c r="B908" s="695"/>
      <c r="C908" s="197" t="str">
        <f>IF(B908&lt;&gt;"",IFERROR(VLOOKUP(B:B,'מצבת והרשמה (2)'!$C$20:$N$520,2,0)," ")," ")</f>
        <v xml:space="preserve"> </v>
      </c>
      <c r="D908" s="695"/>
      <c r="E908" s="696"/>
      <c r="F908" s="696"/>
      <c r="G908" s="696"/>
      <c r="H908" s="696"/>
      <c r="I908" s="1050" t="str">
        <f t="shared" si="197"/>
        <v/>
      </c>
      <c r="J908" s="696"/>
      <c r="K908" s="697"/>
      <c r="L908" s="696"/>
      <c r="M908" s="198" t="str">
        <f t="shared" si="198"/>
        <v/>
      </c>
      <c r="N908" s="369" t="str">
        <f t="shared" si="199"/>
        <v/>
      </c>
      <c r="O908" s="183" t="str">
        <f t="shared" si="200"/>
        <v/>
      </c>
      <c r="P908" s="199" t="str">
        <f t="shared" si="201"/>
        <v/>
      </c>
      <c r="Q908" s="199" t="str">
        <f>IF(B908="","",IFERROR(IF('עלויות כח אדם (6)'!J908&gt;=VLOOKUP(I908,'סיווג התפקידים והעלויות'!$B$23:$C$32,2,0),"תקין","לא תקין"),""))</f>
        <v/>
      </c>
      <c r="R908" s="199" t="str">
        <f t="shared" si="202"/>
        <v/>
      </c>
      <c r="S908" s="199" t="str">
        <f t="shared" si="203"/>
        <v/>
      </c>
      <c r="T908" s="199" t="str">
        <f t="shared" si="211"/>
        <v/>
      </c>
      <c r="U908" s="199" t="str">
        <f t="shared" si="204"/>
        <v/>
      </c>
      <c r="V908" s="989"/>
      <c r="X908" s="374" t="str">
        <f t="shared" si="205"/>
        <v/>
      </c>
      <c r="Y908" s="375" t="str">
        <f t="shared" si="206"/>
        <v/>
      </c>
      <c r="Z908" s="374" t="str">
        <f t="shared" si="207"/>
        <v/>
      </c>
      <c r="AA908" s="374" t="b">
        <f t="shared" si="208"/>
        <v>1</v>
      </c>
      <c r="AB908" s="374">
        <f>COUNTIFS(B:B,B908,H:H,'סיווג התפקידים והעלויות'!$C$2)</f>
        <v>0</v>
      </c>
      <c r="AC908" s="374">
        <f>COUNTIFS(B:B,B908,H:H,'סיווג התפקידים והעלויות'!$D$2)</f>
        <v>0</v>
      </c>
      <c r="AD908" s="374" t="str">
        <f>IF(OR(AND(H908='סיווג התפקידים והעלויות'!$A$2,I908='סיווג התפקידים והעלויות'!$A$3),'עלויות כח אדם (6)'!H908='סיווג התפקידים והעלויות'!$C$2,'עלויות כח אדם (6)'!H908='סיווג התפקידים והעלויות'!$D$2),IF('עלויות כח אדם (6)'!J908&lt;75,"לא תקין","תקין"),"")</f>
        <v/>
      </c>
      <c r="AE908" s="374" t="str">
        <f t="shared" si="209"/>
        <v/>
      </c>
      <c r="AF908" s="532" t="str">
        <f t="shared" si="210"/>
        <v/>
      </c>
    </row>
    <row r="909" spans="2:32" x14ac:dyDescent="0.25">
      <c r="B909" s="695"/>
      <c r="C909" s="197" t="str">
        <f>IF(B909&lt;&gt;"",IFERROR(VLOOKUP(B:B,'מצבת והרשמה (2)'!$C$20:$N$520,2,0)," ")," ")</f>
        <v xml:space="preserve"> </v>
      </c>
      <c r="D909" s="695"/>
      <c r="E909" s="696"/>
      <c r="F909" s="696"/>
      <c r="G909" s="696"/>
      <c r="H909" s="696"/>
      <c r="I909" s="1050" t="str">
        <f t="shared" si="197"/>
        <v/>
      </c>
      <c r="J909" s="696"/>
      <c r="K909" s="697"/>
      <c r="L909" s="696"/>
      <c r="M909" s="198" t="str">
        <f t="shared" si="198"/>
        <v/>
      </c>
      <c r="N909" s="369" t="str">
        <f t="shared" si="199"/>
        <v/>
      </c>
      <c r="O909" s="183" t="str">
        <f t="shared" si="200"/>
        <v/>
      </c>
      <c r="P909" s="199" t="str">
        <f t="shared" si="201"/>
        <v/>
      </c>
      <c r="Q909" s="199" t="str">
        <f>IF(B909="","",IFERROR(IF('עלויות כח אדם (6)'!J909&gt;=VLOOKUP(I909,'סיווג התפקידים והעלויות'!$B$23:$C$32,2,0),"תקין","לא תקין"),""))</f>
        <v/>
      </c>
      <c r="R909" s="199" t="str">
        <f t="shared" si="202"/>
        <v/>
      </c>
      <c r="S909" s="199" t="str">
        <f t="shared" si="203"/>
        <v/>
      </c>
      <c r="T909" s="199" t="str">
        <f t="shared" si="211"/>
        <v/>
      </c>
      <c r="U909" s="199" t="str">
        <f t="shared" si="204"/>
        <v/>
      </c>
      <c r="V909" s="989"/>
      <c r="X909" s="374" t="str">
        <f t="shared" si="205"/>
        <v/>
      </c>
      <c r="Y909" s="375" t="str">
        <f t="shared" si="206"/>
        <v/>
      </c>
      <c r="Z909" s="374" t="str">
        <f t="shared" si="207"/>
        <v/>
      </c>
      <c r="AA909" s="374" t="b">
        <f t="shared" si="208"/>
        <v>1</v>
      </c>
      <c r="AB909" s="374">
        <f>COUNTIFS(B:B,B909,H:H,'סיווג התפקידים והעלויות'!$C$2)</f>
        <v>0</v>
      </c>
      <c r="AC909" s="374">
        <f>COUNTIFS(B:B,B909,H:H,'סיווג התפקידים והעלויות'!$D$2)</f>
        <v>0</v>
      </c>
      <c r="AD909" s="374" t="str">
        <f>IF(OR(AND(H909='סיווג התפקידים והעלויות'!$A$2,I909='סיווג התפקידים והעלויות'!$A$3),'עלויות כח אדם (6)'!H909='סיווג התפקידים והעלויות'!$C$2,'עלויות כח אדם (6)'!H909='סיווג התפקידים והעלויות'!$D$2),IF('עלויות כח אדם (6)'!J909&lt;75,"לא תקין","תקין"),"")</f>
        <v/>
      </c>
      <c r="AE909" s="374" t="str">
        <f t="shared" si="209"/>
        <v/>
      </c>
      <c r="AF909" s="532" t="str">
        <f t="shared" si="210"/>
        <v/>
      </c>
    </row>
    <row r="910" spans="2:32" x14ac:dyDescent="0.25">
      <c r="B910" s="695"/>
      <c r="C910" s="197" t="str">
        <f>IF(B910&lt;&gt;"",IFERROR(VLOOKUP(B:B,'מצבת והרשמה (2)'!$C$20:$N$520,2,0)," ")," ")</f>
        <v xml:space="preserve"> </v>
      </c>
      <c r="D910" s="695"/>
      <c r="E910" s="696"/>
      <c r="F910" s="696"/>
      <c r="G910" s="696"/>
      <c r="H910" s="696"/>
      <c r="I910" s="1050" t="str">
        <f t="shared" si="197"/>
        <v/>
      </c>
      <c r="J910" s="696"/>
      <c r="K910" s="697"/>
      <c r="L910" s="696"/>
      <c r="M910" s="198" t="str">
        <f t="shared" si="198"/>
        <v/>
      </c>
      <c r="N910" s="369" t="str">
        <f t="shared" si="199"/>
        <v/>
      </c>
      <c r="O910" s="183" t="str">
        <f t="shared" si="200"/>
        <v/>
      </c>
      <c r="P910" s="199" t="str">
        <f t="shared" si="201"/>
        <v/>
      </c>
      <c r="Q910" s="199" t="str">
        <f>IF(B910="","",IFERROR(IF('עלויות כח אדם (6)'!J910&gt;=VLOOKUP(I910,'סיווג התפקידים והעלויות'!$B$23:$C$32,2,0),"תקין","לא תקין"),""))</f>
        <v/>
      </c>
      <c r="R910" s="199" t="str">
        <f t="shared" si="202"/>
        <v/>
      </c>
      <c r="S910" s="199" t="str">
        <f t="shared" si="203"/>
        <v/>
      </c>
      <c r="T910" s="199" t="str">
        <f t="shared" si="211"/>
        <v/>
      </c>
      <c r="U910" s="199" t="str">
        <f t="shared" si="204"/>
        <v/>
      </c>
      <c r="V910" s="989"/>
      <c r="X910" s="374" t="str">
        <f t="shared" si="205"/>
        <v/>
      </c>
      <c r="Y910" s="375" t="str">
        <f t="shared" si="206"/>
        <v/>
      </c>
      <c r="Z910" s="374" t="str">
        <f t="shared" si="207"/>
        <v/>
      </c>
      <c r="AA910" s="374" t="b">
        <f t="shared" si="208"/>
        <v>1</v>
      </c>
      <c r="AB910" s="374">
        <f>COUNTIFS(B:B,B910,H:H,'סיווג התפקידים והעלויות'!$C$2)</f>
        <v>0</v>
      </c>
      <c r="AC910" s="374">
        <f>COUNTIFS(B:B,B910,H:H,'סיווג התפקידים והעלויות'!$D$2)</f>
        <v>0</v>
      </c>
      <c r="AD910" s="374" t="str">
        <f>IF(OR(AND(H910='סיווג התפקידים והעלויות'!$A$2,I910='סיווג התפקידים והעלויות'!$A$3),'עלויות כח אדם (6)'!H910='סיווג התפקידים והעלויות'!$C$2,'עלויות כח אדם (6)'!H910='סיווג התפקידים והעלויות'!$D$2),IF('עלויות כח אדם (6)'!J910&lt;75,"לא תקין","תקין"),"")</f>
        <v/>
      </c>
      <c r="AE910" s="374" t="str">
        <f t="shared" si="209"/>
        <v/>
      </c>
      <c r="AF910" s="532" t="str">
        <f t="shared" si="210"/>
        <v/>
      </c>
    </row>
    <row r="911" spans="2:32" x14ac:dyDescent="0.25">
      <c r="B911" s="695"/>
      <c r="C911" s="197" t="str">
        <f>IF(B911&lt;&gt;"",IFERROR(VLOOKUP(B:B,'מצבת והרשמה (2)'!$C$20:$N$520,2,0)," ")," ")</f>
        <v xml:space="preserve"> </v>
      </c>
      <c r="D911" s="695"/>
      <c r="E911" s="696"/>
      <c r="F911" s="696"/>
      <c r="G911" s="696"/>
      <c r="H911" s="696"/>
      <c r="I911" s="1050" t="str">
        <f t="shared" ref="I911:I974" si="212">SUBSTITUTE(IFERROR(IF(H911="מדצ","מדצ/ית",IF(H911="סגנית רכזת מעל 150","סגנ/ית רכז/ת&gt;150",IF(H911="רכזת תכנית בבית הספר","רכז/ת תכנית בבית הספר"))),""),"FALSE","")</f>
        <v/>
      </c>
      <c r="J911" s="696"/>
      <c r="K911" s="697"/>
      <c r="L911" s="696"/>
      <c r="M911" s="198" t="str">
        <f t="shared" ref="M911:M974" si="213">IF(AND(L911&gt;0,K911&gt;0),K911*L911,"")</f>
        <v/>
      </c>
      <c r="N911" s="369" t="str">
        <f t="shared" ref="N911:N974" si="214">TEXT(LEFT(H911,2),0)</f>
        <v/>
      </c>
      <c r="O911" s="183" t="str">
        <f t="shared" ref="O911:O974" si="215">IF(ISNUMBER(M911&gt;0),IF(ISBLANK(B911),"יש להזין סמל מוסד בעמודה B",""),"")</f>
        <v/>
      </c>
      <c r="P911" s="199" t="str">
        <f t="shared" ref="P911:P974" si="216">IF(B911="","",IF(AA911=FALSE,"לא תקין","תקין"))</f>
        <v/>
      </c>
      <c r="Q911" s="199" t="str">
        <f>IF(B911="","",IFERROR(IF('עלויות כח אדם (6)'!J911&gt;=VLOOKUP(I911,'סיווג התפקידים והעלויות'!$B$23:$C$32,2,0),"תקין","לא תקין"),""))</f>
        <v/>
      </c>
      <c r="R911" s="199" t="str">
        <f t="shared" ref="R911:R974" si="217">IF(B911="","",IF(OR(Y911&lt;100%,Y911&gt;140%),"לא תקין","תקין"))</f>
        <v/>
      </c>
      <c r="S911" s="199" t="str">
        <f t="shared" ref="S911:S974" si="218">IF(B911="","",IFERROR(IF(J911&gt;120,"לא תקין","תקין"),""))</f>
        <v/>
      </c>
      <c r="T911" s="199" t="str">
        <f t="shared" si="211"/>
        <v/>
      </c>
      <c r="U911" s="199" t="str">
        <f t="shared" ref="U911:U974" si="219">IF(B911="","",IF(Z911&gt;1,IF(SUMIF(D:D,D911,L:L)&gt;90,"לא תקין","תקין"),"תקין"))</f>
        <v/>
      </c>
      <c r="V911" s="989"/>
      <c r="X911" s="374" t="str">
        <f t="shared" ref="X911:X974" si="220">IF(B911="","",IF(OR(R911="לא תקין",S911="לא תקין",T911="לא תקין",,U911="לא תקין"),"לא תקין","תקין"))</f>
        <v/>
      </c>
      <c r="Y911" s="375" t="str">
        <f t="shared" ref="Y911:Y974" si="221">IFERROR(IF(B911="","",K911/J911),"")</f>
        <v/>
      </c>
      <c r="Z911" s="374" t="str">
        <f t="shared" ref="Z911:Z974" si="222">IF(B911="","",COUNTIF(D:D,D911))</f>
        <v/>
      </c>
      <c r="AA911" s="374" t="b">
        <f t="shared" ref="AA911:AA974" si="223">MOD(MID(REPT(0,9-LEN(D911))&amp;D911,1,1)+MID("0246813579",MID(REPT(0,9-LEN(D911))&amp;D911,2,1)+1,1)+MID(REPT(0,9-LEN(D911))&amp;D911,3,1)+MID("0246813579",MID(REPT(0,9-LEN(D911))&amp;D911,4,1)+1,1)+MID(REPT(0,9-LEN(D911))&amp;D911,5,1)+MID("0246813579",MID(REPT(0,9-LEN(D911))&amp;D911,6,1)+1,1)+MID(REPT(0,9-LEN(D911))&amp;D911,7,1)+MID("0246813579",MID(REPT(0,9-LEN(D911))&amp;D911,8,1)+1,1)+MID(REPT(0,9-LEN(D911))&amp;D911,9,1),10)=0</f>
        <v>1</v>
      </c>
      <c r="AB911" s="374">
        <f>COUNTIFS(B:B,B911,H:H,'סיווג התפקידים והעלויות'!$C$2)</f>
        <v>0</v>
      </c>
      <c r="AC911" s="374">
        <f>COUNTIFS(B:B,B911,H:H,'סיווג התפקידים והעלויות'!$D$2)</f>
        <v>0</v>
      </c>
      <c r="AD911" s="374" t="str">
        <f>IF(OR(AND(H911='סיווג התפקידים והעלויות'!$A$2,I911='סיווג התפקידים והעלויות'!$A$3),'עלויות כח אדם (6)'!H911='סיווג התפקידים והעלויות'!$C$2,'עלויות כח אדם (6)'!H911='סיווג התפקידים והעלויות'!$D$2),IF('עלויות כח אדם (6)'!J911&lt;75,"לא תקין","תקין"),"")</f>
        <v/>
      </c>
      <c r="AE911" s="374" t="str">
        <f t="shared" ref="AE911:AE974" si="224">IF(B911&lt;&gt;"",B911&amp;H911,"")</f>
        <v/>
      </c>
      <c r="AF911" s="532" t="str">
        <f t="shared" ref="AF911:AF974" si="225">M911</f>
        <v/>
      </c>
    </row>
    <row r="912" spans="2:32" x14ac:dyDescent="0.25">
      <c r="B912" s="695"/>
      <c r="C912" s="197" t="str">
        <f>IF(B912&lt;&gt;"",IFERROR(VLOOKUP(B:B,'מצבת והרשמה (2)'!$C$20:$N$520,2,0)," ")," ")</f>
        <v xml:space="preserve"> </v>
      </c>
      <c r="D912" s="695"/>
      <c r="E912" s="696"/>
      <c r="F912" s="696"/>
      <c r="G912" s="696"/>
      <c r="H912" s="696"/>
      <c r="I912" s="1050" t="str">
        <f t="shared" si="212"/>
        <v/>
      </c>
      <c r="J912" s="696"/>
      <c r="K912" s="697"/>
      <c r="L912" s="696"/>
      <c r="M912" s="198" t="str">
        <f t="shared" si="213"/>
        <v/>
      </c>
      <c r="N912" s="369" t="str">
        <f t="shared" si="214"/>
        <v/>
      </c>
      <c r="O912" s="183" t="str">
        <f t="shared" si="215"/>
        <v/>
      </c>
      <c r="P912" s="199" t="str">
        <f t="shared" si="216"/>
        <v/>
      </c>
      <c r="Q912" s="199" t="str">
        <f>IF(B912="","",IFERROR(IF('עלויות כח אדם (6)'!J912&gt;=VLOOKUP(I912,'סיווג התפקידים והעלויות'!$B$23:$C$32,2,0),"תקין","לא תקין"),""))</f>
        <v/>
      </c>
      <c r="R912" s="199" t="str">
        <f t="shared" si="217"/>
        <v/>
      </c>
      <c r="S912" s="199" t="str">
        <f t="shared" si="218"/>
        <v/>
      </c>
      <c r="T912" s="199" t="str">
        <f t="shared" ref="T912:T975" si="226">IF(B912="","",IF(H912="","יש להזין איש צוות",IF(OR(H912="מורה",H912="גננת",H912="רכז גן",H912="רכזת גן",H912="סייעת",H912="מדצית",H912="מדצ",H912="מדריך",H912="מדריכה",H912="תוספת כח אדם"),IF(L912&lt;=90,"תקין","לא תקין"),IF(OR(H912="רכז בית ספר",H912="רכזת תכנית בבית הספר",H912="רכזת בית ספר"),IF(L912&lt;=137,"תקין","לא תקין"),IF(OR(H912="סגנית רכזת מעל 150",H912="סגן רכז"),IF(L912&lt;=93,"תקין","לא תקין"),"לא תקין")))))</f>
        <v/>
      </c>
      <c r="U912" s="199" t="str">
        <f t="shared" si="219"/>
        <v/>
      </c>
      <c r="V912" s="989"/>
      <c r="X912" s="374" t="str">
        <f t="shared" si="220"/>
        <v/>
      </c>
      <c r="Y912" s="375" t="str">
        <f t="shared" si="221"/>
        <v/>
      </c>
      <c r="Z912" s="374" t="str">
        <f t="shared" si="222"/>
        <v/>
      </c>
      <c r="AA912" s="374" t="b">
        <f t="shared" si="223"/>
        <v>1</v>
      </c>
      <c r="AB912" s="374">
        <f>COUNTIFS(B:B,B912,H:H,'סיווג התפקידים והעלויות'!$C$2)</f>
        <v>0</v>
      </c>
      <c r="AC912" s="374">
        <f>COUNTIFS(B:B,B912,H:H,'סיווג התפקידים והעלויות'!$D$2)</f>
        <v>0</v>
      </c>
      <c r="AD912" s="374" t="str">
        <f>IF(OR(AND(H912='סיווג התפקידים והעלויות'!$A$2,I912='סיווג התפקידים והעלויות'!$A$3),'עלויות כח אדם (6)'!H912='סיווג התפקידים והעלויות'!$C$2,'עלויות כח אדם (6)'!H912='סיווג התפקידים והעלויות'!$D$2),IF('עלויות כח אדם (6)'!J912&lt;75,"לא תקין","תקין"),"")</f>
        <v/>
      </c>
      <c r="AE912" s="374" t="str">
        <f t="shared" si="224"/>
        <v/>
      </c>
      <c r="AF912" s="532" t="str">
        <f t="shared" si="225"/>
        <v/>
      </c>
    </row>
    <row r="913" spans="2:32" x14ac:dyDescent="0.25">
      <c r="B913" s="695"/>
      <c r="C913" s="197" t="str">
        <f>IF(B913&lt;&gt;"",IFERROR(VLOOKUP(B:B,'מצבת והרשמה (2)'!$C$20:$N$520,2,0)," ")," ")</f>
        <v xml:space="preserve"> </v>
      </c>
      <c r="D913" s="695"/>
      <c r="E913" s="696"/>
      <c r="F913" s="696"/>
      <c r="G913" s="696"/>
      <c r="H913" s="696"/>
      <c r="I913" s="1050" t="str">
        <f t="shared" si="212"/>
        <v/>
      </c>
      <c r="J913" s="696"/>
      <c r="K913" s="697"/>
      <c r="L913" s="696"/>
      <c r="M913" s="198" t="str">
        <f t="shared" si="213"/>
        <v/>
      </c>
      <c r="N913" s="369" t="str">
        <f t="shared" si="214"/>
        <v/>
      </c>
      <c r="O913" s="183" t="str">
        <f t="shared" si="215"/>
        <v/>
      </c>
      <c r="P913" s="199" t="str">
        <f t="shared" si="216"/>
        <v/>
      </c>
      <c r="Q913" s="199" t="str">
        <f>IF(B913="","",IFERROR(IF('עלויות כח אדם (6)'!J913&gt;=VLOOKUP(I913,'סיווג התפקידים והעלויות'!$B$23:$C$32,2,0),"תקין","לא תקין"),""))</f>
        <v/>
      </c>
      <c r="R913" s="199" t="str">
        <f t="shared" si="217"/>
        <v/>
      </c>
      <c r="S913" s="199" t="str">
        <f t="shared" si="218"/>
        <v/>
      </c>
      <c r="T913" s="199" t="str">
        <f t="shared" si="226"/>
        <v/>
      </c>
      <c r="U913" s="199" t="str">
        <f t="shared" si="219"/>
        <v/>
      </c>
      <c r="V913" s="989"/>
      <c r="X913" s="374" t="str">
        <f t="shared" si="220"/>
        <v/>
      </c>
      <c r="Y913" s="375" t="str">
        <f t="shared" si="221"/>
        <v/>
      </c>
      <c r="Z913" s="374" t="str">
        <f t="shared" si="222"/>
        <v/>
      </c>
      <c r="AA913" s="374" t="b">
        <f t="shared" si="223"/>
        <v>1</v>
      </c>
      <c r="AB913" s="374">
        <f>COUNTIFS(B:B,B913,H:H,'סיווג התפקידים והעלויות'!$C$2)</f>
        <v>0</v>
      </c>
      <c r="AC913" s="374">
        <f>COUNTIFS(B:B,B913,H:H,'סיווג התפקידים והעלויות'!$D$2)</f>
        <v>0</v>
      </c>
      <c r="AD913" s="374" t="str">
        <f>IF(OR(AND(H913='סיווג התפקידים והעלויות'!$A$2,I913='סיווג התפקידים והעלויות'!$A$3),'עלויות כח אדם (6)'!H913='סיווג התפקידים והעלויות'!$C$2,'עלויות כח אדם (6)'!H913='סיווג התפקידים והעלויות'!$D$2),IF('עלויות כח אדם (6)'!J913&lt;75,"לא תקין","תקין"),"")</f>
        <v/>
      </c>
      <c r="AE913" s="374" t="str">
        <f t="shared" si="224"/>
        <v/>
      </c>
      <c r="AF913" s="532" t="str">
        <f t="shared" si="225"/>
        <v/>
      </c>
    </row>
    <row r="914" spans="2:32" x14ac:dyDescent="0.25">
      <c r="B914" s="695"/>
      <c r="C914" s="197" t="str">
        <f>IF(B914&lt;&gt;"",IFERROR(VLOOKUP(B:B,'מצבת והרשמה (2)'!$C$20:$N$520,2,0)," ")," ")</f>
        <v xml:space="preserve"> </v>
      </c>
      <c r="D914" s="695"/>
      <c r="E914" s="696"/>
      <c r="F914" s="696"/>
      <c r="G914" s="696"/>
      <c r="H914" s="696"/>
      <c r="I914" s="1050" t="str">
        <f t="shared" si="212"/>
        <v/>
      </c>
      <c r="J914" s="696"/>
      <c r="K914" s="697"/>
      <c r="L914" s="696"/>
      <c r="M914" s="198" t="str">
        <f t="shared" si="213"/>
        <v/>
      </c>
      <c r="N914" s="369" t="str">
        <f t="shared" si="214"/>
        <v/>
      </c>
      <c r="O914" s="183" t="str">
        <f t="shared" si="215"/>
        <v/>
      </c>
      <c r="P914" s="199" t="str">
        <f t="shared" si="216"/>
        <v/>
      </c>
      <c r="Q914" s="199" t="str">
        <f>IF(B914="","",IFERROR(IF('עלויות כח אדם (6)'!J914&gt;=VLOOKUP(I914,'סיווג התפקידים והעלויות'!$B$23:$C$32,2,0),"תקין","לא תקין"),""))</f>
        <v/>
      </c>
      <c r="R914" s="199" t="str">
        <f t="shared" si="217"/>
        <v/>
      </c>
      <c r="S914" s="199" t="str">
        <f t="shared" si="218"/>
        <v/>
      </c>
      <c r="T914" s="199" t="str">
        <f t="shared" si="226"/>
        <v/>
      </c>
      <c r="U914" s="199" t="str">
        <f t="shared" si="219"/>
        <v/>
      </c>
      <c r="V914" s="989"/>
      <c r="X914" s="374" t="str">
        <f t="shared" si="220"/>
        <v/>
      </c>
      <c r="Y914" s="375" t="str">
        <f t="shared" si="221"/>
        <v/>
      </c>
      <c r="Z914" s="374" t="str">
        <f t="shared" si="222"/>
        <v/>
      </c>
      <c r="AA914" s="374" t="b">
        <f t="shared" si="223"/>
        <v>1</v>
      </c>
      <c r="AB914" s="374">
        <f>COUNTIFS(B:B,B914,H:H,'סיווג התפקידים והעלויות'!$C$2)</f>
        <v>0</v>
      </c>
      <c r="AC914" s="374">
        <f>COUNTIFS(B:B,B914,H:H,'סיווג התפקידים והעלויות'!$D$2)</f>
        <v>0</v>
      </c>
      <c r="AD914" s="374" t="str">
        <f>IF(OR(AND(H914='סיווג התפקידים והעלויות'!$A$2,I914='סיווג התפקידים והעלויות'!$A$3),'עלויות כח אדם (6)'!H914='סיווג התפקידים והעלויות'!$C$2,'עלויות כח אדם (6)'!H914='סיווג התפקידים והעלויות'!$D$2),IF('עלויות כח אדם (6)'!J914&lt;75,"לא תקין","תקין"),"")</f>
        <v/>
      </c>
      <c r="AE914" s="374" t="str">
        <f t="shared" si="224"/>
        <v/>
      </c>
      <c r="AF914" s="532" t="str">
        <f t="shared" si="225"/>
        <v/>
      </c>
    </row>
    <row r="915" spans="2:32" x14ac:dyDescent="0.25">
      <c r="B915" s="695"/>
      <c r="C915" s="197" t="str">
        <f>IF(B915&lt;&gt;"",IFERROR(VLOOKUP(B:B,'מצבת והרשמה (2)'!$C$20:$N$520,2,0)," ")," ")</f>
        <v xml:space="preserve"> </v>
      </c>
      <c r="D915" s="695"/>
      <c r="E915" s="696"/>
      <c r="F915" s="696"/>
      <c r="G915" s="696"/>
      <c r="H915" s="696"/>
      <c r="I915" s="1050" t="str">
        <f t="shared" si="212"/>
        <v/>
      </c>
      <c r="J915" s="696"/>
      <c r="K915" s="697"/>
      <c r="L915" s="696"/>
      <c r="M915" s="198" t="str">
        <f t="shared" si="213"/>
        <v/>
      </c>
      <c r="N915" s="369" t="str">
        <f t="shared" si="214"/>
        <v/>
      </c>
      <c r="O915" s="183" t="str">
        <f t="shared" si="215"/>
        <v/>
      </c>
      <c r="P915" s="199" t="str">
        <f t="shared" si="216"/>
        <v/>
      </c>
      <c r="Q915" s="199" t="str">
        <f>IF(B915="","",IFERROR(IF('עלויות כח אדם (6)'!J915&gt;=VLOOKUP(I915,'סיווג התפקידים והעלויות'!$B$23:$C$32,2,0),"תקין","לא תקין"),""))</f>
        <v/>
      </c>
      <c r="R915" s="199" t="str">
        <f t="shared" si="217"/>
        <v/>
      </c>
      <c r="S915" s="199" t="str">
        <f t="shared" si="218"/>
        <v/>
      </c>
      <c r="T915" s="199" t="str">
        <f t="shared" si="226"/>
        <v/>
      </c>
      <c r="U915" s="199" t="str">
        <f t="shared" si="219"/>
        <v/>
      </c>
      <c r="V915" s="989"/>
      <c r="X915" s="374" t="str">
        <f t="shared" si="220"/>
        <v/>
      </c>
      <c r="Y915" s="375" t="str">
        <f t="shared" si="221"/>
        <v/>
      </c>
      <c r="Z915" s="374" t="str">
        <f t="shared" si="222"/>
        <v/>
      </c>
      <c r="AA915" s="374" t="b">
        <f t="shared" si="223"/>
        <v>1</v>
      </c>
      <c r="AB915" s="374">
        <f>COUNTIFS(B:B,B915,H:H,'סיווג התפקידים והעלויות'!$C$2)</f>
        <v>0</v>
      </c>
      <c r="AC915" s="374">
        <f>COUNTIFS(B:B,B915,H:H,'סיווג התפקידים והעלויות'!$D$2)</f>
        <v>0</v>
      </c>
      <c r="AD915" s="374" t="str">
        <f>IF(OR(AND(H915='סיווג התפקידים והעלויות'!$A$2,I915='סיווג התפקידים והעלויות'!$A$3),'עלויות כח אדם (6)'!H915='סיווג התפקידים והעלויות'!$C$2,'עלויות כח אדם (6)'!H915='סיווג התפקידים והעלויות'!$D$2),IF('עלויות כח אדם (6)'!J915&lt;75,"לא תקין","תקין"),"")</f>
        <v/>
      </c>
      <c r="AE915" s="374" t="str">
        <f t="shared" si="224"/>
        <v/>
      </c>
      <c r="AF915" s="532" t="str">
        <f t="shared" si="225"/>
        <v/>
      </c>
    </row>
    <row r="916" spans="2:32" x14ac:dyDescent="0.25">
      <c r="B916" s="695"/>
      <c r="C916" s="197" t="str">
        <f>IF(B916&lt;&gt;"",IFERROR(VLOOKUP(B:B,'מצבת והרשמה (2)'!$C$20:$N$520,2,0)," ")," ")</f>
        <v xml:space="preserve"> </v>
      </c>
      <c r="D916" s="695"/>
      <c r="E916" s="696"/>
      <c r="F916" s="696"/>
      <c r="G916" s="696"/>
      <c r="H916" s="696"/>
      <c r="I916" s="1050" t="str">
        <f t="shared" si="212"/>
        <v/>
      </c>
      <c r="J916" s="696"/>
      <c r="K916" s="697"/>
      <c r="L916" s="696"/>
      <c r="M916" s="198" t="str">
        <f t="shared" si="213"/>
        <v/>
      </c>
      <c r="N916" s="369" t="str">
        <f t="shared" si="214"/>
        <v/>
      </c>
      <c r="O916" s="183" t="str">
        <f t="shared" si="215"/>
        <v/>
      </c>
      <c r="P916" s="199" t="str">
        <f t="shared" si="216"/>
        <v/>
      </c>
      <c r="Q916" s="199" t="str">
        <f>IF(B916="","",IFERROR(IF('עלויות כח אדם (6)'!J916&gt;=VLOOKUP(I916,'סיווג התפקידים והעלויות'!$B$23:$C$32,2,0),"תקין","לא תקין"),""))</f>
        <v/>
      </c>
      <c r="R916" s="199" t="str">
        <f t="shared" si="217"/>
        <v/>
      </c>
      <c r="S916" s="199" t="str">
        <f t="shared" si="218"/>
        <v/>
      </c>
      <c r="T916" s="199" t="str">
        <f t="shared" si="226"/>
        <v/>
      </c>
      <c r="U916" s="199" t="str">
        <f t="shared" si="219"/>
        <v/>
      </c>
      <c r="V916" s="989"/>
      <c r="X916" s="374" t="str">
        <f t="shared" si="220"/>
        <v/>
      </c>
      <c r="Y916" s="375" t="str">
        <f t="shared" si="221"/>
        <v/>
      </c>
      <c r="Z916" s="374" t="str">
        <f t="shared" si="222"/>
        <v/>
      </c>
      <c r="AA916" s="374" t="b">
        <f t="shared" si="223"/>
        <v>1</v>
      </c>
      <c r="AB916" s="374">
        <f>COUNTIFS(B:B,B916,H:H,'סיווג התפקידים והעלויות'!$C$2)</f>
        <v>0</v>
      </c>
      <c r="AC916" s="374">
        <f>COUNTIFS(B:B,B916,H:H,'סיווג התפקידים והעלויות'!$D$2)</f>
        <v>0</v>
      </c>
      <c r="AD916" s="374" t="str">
        <f>IF(OR(AND(H916='סיווג התפקידים והעלויות'!$A$2,I916='סיווג התפקידים והעלויות'!$A$3),'עלויות כח אדם (6)'!H916='סיווג התפקידים והעלויות'!$C$2,'עלויות כח אדם (6)'!H916='סיווג התפקידים והעלויות'!$D$2),IF('עלויות כח אדם (6)'!J916&lt;75,"לא תקין","תקין"),"")</f>
        <v/>
      </c>
      <c r="AE916" s="374" t="str">
        <f t="shared" si="224"/>
        <v/>
      </c>
      <c r="AF916" s="532" t="str">
        <f t="shared" si="225"/>
        <v/>
      </c>
    </row>
    <row r="917" spans="2:32" x14ac:dyDescent="0.25">
      <c r="B917" s="695"/>
      <c r="C917" s="197" t="str">
        <f>IF(B917&lt;&gt;"",IFERROR(VLOOKUP(B:B,'מצבת והרשמה (2)'!$C$20:$N$520,2,0)," ")," ")</f>
        <v xml:space="preserve"> </v>
      </c>
      <c r="D917" s="695"/>
      <c r="E917" s="696"/>
      <c r="F917" s="696"/>
      <c r="G917" s="696"/>
      <c r="H917" s="696"/>
      <c r="I917" s="1050" t="str">
        <f t="shared" si="212"/>
        <v/>
      </c>
      <c r="J917" s="696"/>
      <c r="K917" s="697"/>
      <c r="L917" s="696"/>
      <c r="M917" s="198" t="str">
        <f t="shared" si="213"/>
        <v/>
      </c>
      <c r="N917" s="369" t="str">
        <f t="shared" si="214"/>
        <v/>
      </c>
      <c r="O917" s="183" t="str">
        <f t="shared" si="215"/>
        <v/>
      </c>
      <c r="P917" s="199" t="str">
        <f t="shared" si="216"/>
        <v/>
      </c>
      <c r="Q917" s="199" t="str">
        <f>IF(B917="","",IFERROR(IF('עלויות כח אדם (6)'!J917&gt;=VLOOKUP(I917,'סיווג התפקידים והעלויות'!$B$23:$C$32,2,0),"תקין","לא תקין"),""))</f>
        <v/>
      </c>
      <c r="R917" s="199" t="str">
        <f t="shared" si="217"/>
        <v/>
      </c>
      <c r="S917" s="199" t="str">
        <f t="shared" si="218"/>
        <v/>
      </c>
      <c r="T917" s="199" t="str">
        <f t="shared" si="226"/>
        <v/>
      </c>
      <c r="U917" s="199" t="str">
        <f t="shared" si="219"/>
        <v/>
      </c>
      <c r="V917" s="989"/>
      <c r="X917" s="374" t="str">
        <f t="shared" si="220"/>
        <v/>
      </c>
      <c r="Y917" s="375" t="str">
        <f t="shared" si="221"/>
        <v/>
      </c>
      <c r="Z917" s="374" t="str">
        <f t="shared" si="222"/>
        <v/>
      </c>
      <c r="AA917" s="374" t="b">
        <f t="shared" si="223"/>
        <v>1</v>
      </c>
      <c r="AB917" s="374">
        <f>COUNTIFS(B:B,B917,H:H,'סיווג התפקידים והעלויות'!$C$2)</f>
        <v>0</v>
      </c>
      <c r="AC917" s="374">
        <f>COUNTIFS(B:B,B917,H:H,'סיווג התפקידים והעלויות'!$D$2)</f>
        <v>0</v>
      </c>
      <c r="AD917" s="374" t="str">
        <f>IF(OR(AND(H917='סיווג התפקידים והעלויות'!$A$2,I917='סיווג התפקידים והעלויות'!$A$3),'עלויות כח אדם (6)'!H917='סיווג התפקידים והעלויות'!$C$2,'עלויות כח אדם (6)'!H917='סיווג התפקידים והעלויות'!$D$2),IF('עלויות כח אדם (6)'!J917&lt;75,"לא תקין","תקין"),"")</f>
        <v/>
      </c>
      <c r="AE917" s="374" t="str">
        <f t="shared" si="224"/>
        <v/>
      </c>
      <c r="AF917" s="532" t="str">
        <f t="shared" si="225"/>
        <v/>
      </c>
    </row>
    <row r="918" spans="2:32" x14ac:dyDescent="0.25">
      <c r="B918" s="695"/>
      <c r="C918" s="197" t="str">
        <f>IF(B918&lt;&gt;"",IFERROR(VLOOKUP(B:B,'מצבת והרשמה (2)'!$C$20:$N$520,2,0)," ")," ")</f>
        <v xml:space="preserve"> </v>
      </c>
      <c r="D918" s="695"/>
      <c r="E918" s="696"/>
      <c r="F918" s="696"/>
      <c r="G918" s="696"/>
      <c r="H918" s="696"/>
      <c r="I918" s="1050" t="str">
        <f t="shared" si="212"/>
        <v/>
      </c>
      <c r="J918" s="696"/>
      <c r="K918" s="697"/>
      <c r="L918" s="696"/>
      <c r="M918" s="198" t="str">
        <f t="shared" si="213"/>
        <v/>
      </c>
      <c r="N918" s="369" t="str">
        <f t="shared" si="214"/>
        <v/>
      </c>
      <c r="O918" s="183" t="str">
        <f t="shared" si="215"/>
        <v/>
      </c>
      <c r="P918" s="199" t="str">
        <f t="shared" si="216"/>
        <v/>
      </c>
      <c r="Q918" s="199" t="str">
        <f>IF(B918="","",IFERROR(IF('עלויות כח אדם (6)'!J918&gt;=VLOOKUP(I918,'סיווג התפקידים והעלויות'!$B$23:$C$32,2,0),"תקין","לא תקין"),""))</f>
        <v/>
      </c>
      <c r="R918" s="199" t="str">
        <f t="shared" si="217"/>
        <v/>
      </c>
      <c r="S918" s="199" t="str">
        <f t="shared" si="218"/>
        <v/>
      </c>
      <c r="T918" s="199" t="str">
        <f t="shared" si="226"/>
        <v/>
      </c>
      <c r="U918" s="199" t="str">
        <f t="shared" si="219"/>
        <v/>
      </c>
      <c r="V918" s="989"/>
      <c r="X918" s="374" t="str">
        <f t="shared" si="220"/>
        <v/>
      </c>
      <c r="Y918" s="375" t="str">
        <f t="shared" si="221"/>
        <v/>
      </c>
      <c r="Z918" s="374" t="str">
        <f t="shared" si="222"/>
        <v/>
      </c>
      <c r="AA918" s="374" t="b">
        <f t="shared" si="223"/>
        <v>1</v>
      </c>
      <c r="AB918" s="374">
        <f>COUNTIFS(B:B,B918,H:H,'סיווג התפקידים והעלויות'!$C$2)</f>
        <v>0</v>
      </c>
      <c r="AC918" s="374">
        <f>COUNTIFS(B:B,B918,H:H,'סיווג התפקידים והעלויות'!$D$2)</f>
        <v>0</v>
      </c>
      <c r="AD918" s="374" t="str">
        <f>IF(OR(AND(H918='סיווג התפקידים והעלויות'!$A$2,I918='סיווג התפקידים והעלויות'!$A$3),'עלויות כח אדם (6)'!H918='סיווג התפקידים והעלויות'!$C$2,'עלויות כח אדם (6)'!H918='סיווג התפקידים והעלויות'!$D$2),IF('עלויות כח אדם (6)'!J918&lt;75,"לא תקין","תקין"),"")</f>
        <v/>
      </c>
      <c r="AE918" s="374" t="str">
        <f t="shared" si="224"/>
        <v/>
      </c>
      <c r="AF918" s="532" t="str">
        <f t="shared" si="225"/>
        <v/>
      </c>
    </row>
    <row r="919" spans="2:32" x14ac:dyDescent="0.25">
      <c r="B919" s="695"/>
      <c r="C919" s="197" t="str">
        <f>IF(B919&lt;&gt;"",IFERROR(VLOOKUP(B:B,'מצבת והרשמה (2)'!$C$20:$N$520,2,0)," ")," ")</f>
        <v xml:space="preserve"> </v>
      </c>
      <c r="D919" s="695"/>
      <c r="E919" s="696"/>
      <c r="F919" s="696"/>
      <c r="G919" s="696"/>
      <c r="H919" s="696"/>
      <c r="I919" s="1050" t="str">
        <f t="shared" si="212"/>
        <v/>
      </c>
      <c r="J919" s="696"/>
      <c r="K919" s="697"/>
      <c r="L919" s="696"/>
      <c r="M919" s="198" t="str">
        <f t="shared" si="213"/>
        <v/>
      </c>
      <c r="N919" s="369" t="str">
        <f t="shared" si="214"/>
        <v/>
      </c>
      <c r="O919" s="183" t="str">
        <f t="shared" si="215"/>
        <v/>
      </c>
      <c r="P919" s="199" t="str">
        <f t="shared" si="216"/>
        <v/>
      </c>
      <c r="Q919" s="199" t="str">
        <f>IF(B919="","",IFERROR(IF('עלויות כח אדם (6)'!J919&gt;=VLOOKUP(I919,'סיווג התפקידים והעלויות'!$B$23:$C$32,2,0),"תקין","לא תקין"),""))</f>
        <v/>
      </c>
      <c r="R919" s="199" t="str">
        <f t="shared" si="217"/>
        <v/>
      </c>
      <c r="S919" s="199" t="str">
        <f t="shared" si="218"/>
        <v/>
      </c>
      <c r="T919" s="199" t="str">
        <f t="shared" si="226"/>
        <v/>
      </c>
      <c r="U919" s="199" t="str">
        <f t="shared" si="219"/>
        <v/>
      </c>
      <c r="V919" s="989"/>
      <c r="X919" s="374" t="str">
        <f t="shared" si="220"/>
        <v/>
      </c>
      <c r="Y919" s="375" t="str">
        <f t="shared" si="221"/>
        <v/>
      </c>
      <c r="Z919" s="374" t="str">
        <f t="shared" si="222"/>
        <v/>
      </c>
      <c r="AA919" s="374" t="b">
        <f t="shared" si="223"/>
        <v>1</v>
      </c>
      <c r="AB919" s="374">
        <f>COUNTIFS(B:B,B919,H:H,'סיווג התפקידים והעלויות'!$C$2)</f>
        <v>0</v>
      </c>
      <c r="AC919" s="374">
        <f>COUNTIFS(B:B,B919,H:H,'סיווג התפקידים והעלויות'!$D$2)</f>
        <v>0</v>
      </c>
      <c r="AD919" s="374" t="str">
        <f>IF(OR(AND(H919='סיווג התפקידים והעלויות'!$A$2,I919='סיווג התפקידים והעלויות'!$A$3),'עלויות כח אדם (6)'!H919='סיווג התפקידים והעלויות'!$C$2,'עלויות כח אדם (6)'!H919='סיווג התפקידים והעלויות'!$D$2),IF('עלויות כח אדם (6)'!J919&lt;75,"לא תקין","תקין"),"")</f>
        <v/>
      </c>
      <c r="AE919" s="374" t="str">
        <f t="shared" si="224"/>
        <v/>
      </c>
      <c r="AF919" s="532" t="str">
        <f t="shared" si="225"/>
        <v/>
      </c>
    </row>
    <row r="920" spans="2:32" x14ac:dyDescent="0.25">
      <c r="B920" s="695"/>
      <c r="C920" s="197" t="str">
        <f>IF(B920&lt;&gt;"",IFERROR(VLOOKUP(B:B,'מצבת והרשמה (2)'!$C$20:$N$520,2,0)," ")," ")</f>
        <v xml:space="preserve"> </v>
      </c>
      <c r="D920" s="695"/>
      <c r="E920" s="696"/>
      <c r="F920" s="696"/>
      <c r="G920" s="696"/>
      <c r="H920" s="696"/>
      <c r="I920" s="1050" t="str">
        <f t="shared" si="212"/>
        <v/>
      </c>
      <c r="J920" s="696"/>
      <c r="K920" s="697"/>
      <c r="L920" s="696"/>
      <c r="M920" s="198" t="str">
        <f t="shared" si="213"/>
        <v/>
      </c>
      <c r="N920" s="369" t="str">
        <f t="shared" si="214"/>
        <v/>
      </c>
      <c r="O920" s="183" t="str">
        <f t="shared" si="215"/>
        <v/>
      </c>
      <c r="P920" s="199" t="str">
        <f t="shared" si="216"/>
        <v/>
      </c>
      <c r="Q920" s="199" t="str">
        <f>IF(B920="","",IFERROR(IF('עלויות כח אדם (6)'!J920&gt;=VLOOKUP(I920,'סיווג התפקידים והעלויות'!$B$23:$C$32,2,0),"תקין","לא תקין"),""))</f>
        <v/>
      </c>
      <c r="R920" s="199" t="str">
        <f t="shared" si="217"/>
        <v/>
      </c>
      <c r="S920" s="199" t="str">
        <f t="shared" si="218"/>
        <v/>
      </c>
      <c r="T920" s="199" t="str">
        <f t="shared" si="226"/>
        <v/>
      </c>
      <c r="U920" s="199" t="str">
        <f t="shared" si="219"/>
        <v/>
      </c>
      <c r="V920" s="989"/>
      <c r="X920" s="374" t="str">
        <f t="shared" si="220"/>
        <v/>
      </c>
      <c r="Y920" s="375" t="str">
        <f t="shared" si="221"/>
        <v/>
      </c>
      <c r="Z920" s="374" t="str">
        <f t="shared" si="222"/>
        <v/>
      </c>
      <c r="AA920" s="374" t="b">
        <f t="shared" si="223"/>
        <v>1</v>
      </c>
      <c r="AB920" s="374">
        <f>COUNTIFS(B:B,B920,H:H,'סיווג התפקידים והעלויות'!$C$2)</f>
        <v>0</v>
      </c>
      <c r="AC920" s="374">
        <f>COUNTIFS(B:B,B920,H:H,'סיווג התפקידים והעלויות'!$D$2)</f>
        <v>0</v>
      </c>
      <c r="AD920" s="374" t="str">
        <f>IF(OR(AND(H920='סיווג התפקידים והעלויות'!$A$2,I920='סיווג התפקידים והעלויות'!$A$3),'עלויות כח אדם (6)'!H920='סיווג התפקידים והעלויות'!$C$2,'עלויות כח אדם (6)'!H920='סיווג התפקידים והעלויות'!$D$2),IF('עלויות כח אדם (6)'!J920&lt;75,"לא תקין","תקין"),"")</f>
        <v/>
      </c>
      <c r="AE920" s="374" t="str">
        <f t="shared" si="224"/>
        <v/>
      </c>
      <c r="AF920" s="532" t="str">
        <f t="shared" si="225"/>
        <v/>
      </c>
    </row>
    <row r="921" spans="2:32" x14ac:dyDescent="0.25">
      <c r="B921" s="695"/>
      <c r="C921" s="197" t="str">
        <f>IF(B921&lt;&gt;"",IFERROR(VLOOKUP(B:B,'מצבת והרשמה (2)'!$C$20:$N$520,2,0)," ")," ")</f>
        <v xml:space="preserve"> </v>
      </c>
      <c r="D921" s="695"/>
      <c r="E921" s="696"/>
      <c r="F921" s="696"/>
      <c r="G921" s="696"/>
      <c r="H921" s="696"/>
      <c r="I921" s="1050" t="str">
        <f t="shared" si="212"/>
        <v/>
      </c>
      <c r="J921" s="696"/>
      <c r="K921" s="697"/>
      <c r="L921" s="696"/>
      <c r="M921" s="198" t="str">
        <f t="shared" si="213"/>
        <v/>
      </c>
      <c r="N921" s="369" t="str">
        <f t="shared" si="214"/>
        <v/>
      </c>
      <c r="O921" s="183" t="str">
        <f t="shared" si="215"/>
        <v/>
      </c>
      <c r="P921" s="199" t="str">
        <f t="shared" si="216"/>
        <v/>
      </c>
      <c r="Q921" s="199" t="str">
        <f>IF(B921="","",IFERROR(IF('עלויות כח אדם (6)'!J921&gt;=VLOOKUP(I921,'סיווג התפקידים והעלויות'!$B$23:$C$32,2,0),"תקין","לא תקין"),""))</f>
        <v/>
      </c>
      <c r="R921" s="199" t="str">
        <f t="shared" si="217"/>
        <v/>
      </c>
      <c r="S921" s="199" t="str">
        <f t="shared" si="218"/>
        <v/>
      </c>
      <c r="T921" s="199" t="str">
        <f t="shared" si="226"/>
        <v/>
      </c>
      <c r="U921" s="199" t="str">
        <f t="shared" si="219"/>
        <v/>
      </c>
      <c r="V921" s="989"/>
      <c r="X921" s="374" t="str">
        <f t="shared" si="220"/>
        <v/>
      </c>
      <c r="Y921" s="375" t="str">
        <f t="shared" si="221"/>
        <v/>
      </c>
      <c r="Z921" s="374" t="str">
        <f t="shared" si="222"/>
        <v/>
      </c>
      <c r="AA921" s="374" t="b">
        <f t="shared" si="223"/>
        <v>1</v>
      </c>
      <c r="AB921" s="374">
        <f>COUNTIFS(B:B,B921,H:H,'סיווג התפקידים והעלויות'!$C$2)</f>
        <v>0</v>
      </c>
      <c r="AC921" s="374">
        <f>COUNTIFS(B:B,B921,H:H,'סיווג התפקידים והעלויות'!$D$2)</f>
        <v>0</v>
      </c>
      <c r="AD921" s="374" t="str">
        <f>IF(OR(AND(H921='סיווג התפקידים והעלויות'!$A$2,I921='סיווג התפקידים והעלויות'!$A$3),'עלויות כח אדם (6)'!H921='סיווג התפקידים והעלויות'!$C$2,'עלויות כח אדם (6)'!H921='סיווג התפקידים והעלויות'!$D$2),IF('עלויות כח אדם (6)'!J921&lt;75,"לא תקין","תקין"),"")</f>
        <v/>
      </c>
      <c r="AE921" s="374" t="str">
        <f t="shared" si="224"/>
        <v/>
      </c>
      <c r="AF921" s="532" t="str">
        <f t="shared" si="225"/>
        <v/>
      </c>
    </row>
    <row r="922" spans="2:32" x14ac:dyDescent="0.25">
      <c r="B922" s="695"/>
      <c r="C922" s="197" t="str">
        <f>IF(B922&lt;&gt;"",IFERROR(VLOOKUP(B:B,'מצבת והרשמה (2)'!$C$20:$N$520,2,0)," ")," ")</f>
        <v xml:space="preserve"> </v>
      </c>
      <c r="D922" s="695"/>
      <c r="E922" s="696"/>
      <c r="F922" s="696"/>
      <c r="G922" s="696"/>
      <c r="H922" s="696"/>
      <c r="I922" s="1050" t="str">
        <f t="shared" si="212"/>
        <v/>
      </c>
      <c r="J922" s="696"/>
      <c r="K922" s="697"/>
      <c r="L922" s="696"/>
      <c r="M922" s="198" t="str">
        <f t="shared" si="213"/>
        <v/>
      </c>
      <c r="N922" s="369" t="str">
        <f t="shared" si="214"/>
        <v/>
      </c>
      <c r="O922" s="183" t="str">
        <f t="shared" si="215"/>
        <v/>
      </c>
      <c r="P922" s="199" t="str">
        <f t="shared" si="216"/>
        <v/>
      </c>
      <c r="Q922" s="199" t="str">
        <f>IF(B922="","",IFERROR(IF('עלויות כח אדם (6)'!J922&gt;=VLOOKUP(I922,'סיווג התפקידים והעלויות'!$B$23:$C$32,2,0),"תקין","לא תקין"),""))</f>
        <v/>
      </c>
      <c r="R922" s="199" t="str">
        <f t="shared" si="217"/>
        <v/>
      </c>
      <c r="S922" s="199" t="str">
        <f t="shared" si="218"/>
        <v/>
      </c>
      <c r="T922" s="199" t="str">
        <f t="shared" si="226"/>
        <v/>
      </c>
      <c r="U922" s="199" t="str">
        <f t="shared" si="219"/>
        <v/>
      </c>
      <c r="V922" s="989"/>
      <c r="X922" s="374" t="str">
        <f t="shared" si="220"/>
        <v/>
      </c>
      <c r="Y922" s="375" t="str">
        <f t="shared" si="221"/>
        <v/>
      </c>
      <c r="Z922" s="374" t="str">
        <f t="shared" si="222"/>
        <v/>
      </c>
      <c r="AA922" s="374" t="b">
        <f t="shared" si="223"/>
        <v>1</v>
      </c>
      <c r="AB922" s="374">
        <f>COUNTIFS(B:B,B922,H:H,'סיווג התפקידים והעלויות'!$C$2)</f>
        <v>0</v>
      </c>
      <c r="AC922" s="374">
        <f>COUNTIFS(B:B,B922,H:H,'סיווג התפקידים והעלויות'!$D$2)</f>
        <v>0</v>
      </c>
      <c r="AD922" s="374" t="str">
        <f>IF(OR(AND(H922='סיווג התפקידים והעלויות'!$A$2,I922='סיווג התפקידים והעלויות'!$A$3),'עלויות כח אדם (6)'!H922='סיווג התפקידים והעלויות'!$C$2,'עלויות כח אדם (6)'!H922='סיווג התפקידים והעלויות'!$D$2),IF('עלויות כח אדם (6)'!J922&lt;75,"לא תקין","תקין"),"")</f>
        <v/>
      </c>
      <c r="AE922" s="374" t="str">
        <f t="shared" si="224"/>
        <v/>
      </c>
      <c r="AF922" s="532" t="str">
        <f t="shared" si="225"/>
        <v/>
      </c>
    </row>
    <row r="923" spans="2:32" x14ac:dyDescent="0.25">
      <c r="B923" s="695"/>
      <c r="C923" s="197" t="str">
        <f>IF(B923&lt;&gt;"",IFERROR(VLOOKUP(B:B,'מצבת והרשמה (2)'!$C$20:$N$520,2,0)," ")," ")</f>
        <v xml:space="preserve"> </v>
      </c>
      <c r="D923" s="695"/>
      <c r="E923" s="696"/>
      <c r="F923" s="696"/>
      <c r="G923" s="696"/>
      <c r="H923" s="696"/>
      <c r="I923" s="1050" t="str">
        <f t="shared" si="212"/>
        <v/>
      </c>
      <c r="J923" s="696"/>
      <c r="K923" s="697"/>
      <c r="L923" s="696"/>
      <c r="M923" s="198" t="str">
        <f t="shared" si="213"/>
        <v/>
      </c>
      <c r="N923" s="369" t="str">
        <f t="shared" si="214"/>
        <v/>
      </c>
      <c r="O923" s="183" t="str">
        <f t="shared" si="215"/>
        <v/>
      </c>
      <c r="P923" s="199" t="str">
        <f t="shared" si="216"/>
        <v/>
      </c>
      <c r="Q923" s="199" t="str">
        <f>IF(B923="","",IFERROR(IF('עלויות כח אדם (6)'!J923&gt;=VLOOKUP(I923,'סיווג התפקידים והעלויות'!$B$23:$C$32,2,0),"תקין","לא תקין"),""))</f>
        <v/>
      </c>
      <c r="R923" s="199" t="str">
        <f t="shared" si="217"/>
        <v/>
      </c>
      <c r="S923" s="199" t="str">
        <f t="shared" si="218"/>
        <v/>
      </c>
      <c r="T923" s="199" t="str">
        <f t="shared" si="226"/>
        <v/>
      </c>
      <c r="U923" s="199" t="str">
        <f t="shared" si="219"/>
        <v/>
      </c>
      <c r="V923" s="989"/>
      <c r="X923" s="374" t="str">
        <f t="shared" si="220"/>
        <v/>
      </c>
      <c r="Y923" s="375" t="str">
        <f t="shared" si="221"/>
        <v/>
      </c>
      <c r="Z923" s="374" t="str">
        <f t="shared" si="222"/>
        <v/>
      </c>
      <c r="AA923" s="374" t="b">
        <f t="shared" si="223"/>
        <v>1</v>
      </c>
      <c r="AB923" s="374">
        <f>COUNTIFS(B:B,B923,H:H,'סיווג התפקידים והעלויות'!$C$2)</f>
        <v>0</v>
      </c>
      <c r="AC923" s="374">
        <f>COUNTIFS(B:B,B923,H:H,'סיווג התפקידים והעלויות'!$D$2)</f>
        <v>0</v>
      </c>
      <c r="AD923" s="374" t="str">
        <f>IF(OR(AND(H923='סיווג התפקידים והעלויות'!$A$2,I923='סיווג התפקידים והעלויות'!$A$3),'עלויות כח אדם (6)'!H923='סיווג התפקידים והעלויות'!$C$2,'עלויות כח אדם (6)'!H923='סיווג התפקידים והעלויות'!$D$2),IF('עלויות כח אדם (6)'!J923&lt;75,"לא תקין","תקין"),"")</f>
        <v/>
      </c>
      <c r="AE923" s="374" t="str">
        <f t="shared" si="224"/>
        <v/>
      </c>
      <c r="AF923" s="532" t="str">
        <f t="shared" si="225"/>
        <v/>
      </c>
    </row>
    <row r="924" spans="2:32" x14ac:dyDescent="0.25">
      <c r="B924" s="695"/>
      <c r="C924" s="197" t="str">
        <f>IF(B924&lt;&gt;"",IFERROR(VLOOKUP(B:B,'מצבת והרשמה (2)'!$C$20:$N$520,2,0)," ")," ")</f>
        <v xml:space="preserve"> </v>
      </c>
      <c r="D924" s="695"/>
      <c r="E924" s="696"/>
      <c r="F924" s="696"/>
      <c r="G924" s="696"/>
      <c r="H924" s="696"/>
      <c r="I924" s="1050" t="str">
        <f t="shared" si="212"/>
        <v/>
      </c>
      <c r="J924" s="696"/>
      <c r="K924" s="697"/>
      <c r="L924" s="696"/>
      <c r="M924" s="198" t="str">
        <f t="shared" si="213"/>
        <v/>
      </c>
      <c r="N924" s="369" t="str">
        <f t="shared" si="214"/>
        <v/>
      </c>
      <c r="O924" s="183" t="str">
        <f t="shared" si="215"/>
        <v/>
      </c>
      <c r="P924" s="199" t="str">
        <f t="shared" si="216"/>
        <v/>
      </c>
      <c r="Q924" s="199" t="str">
        <f>IF(B924="","",IFERROR(IF('עלויות כח אדם (6)'!J924&gt;=VLOOKUP(I924,'סיווג התפקידים והעלויות'!$B$23:$C$32,2,0),"תקין","לא תקין"),""))</f>
        <v/>
      </c>
      <c r="R924" s="199" t="str">
        <f t="shared" si="217"/>
        <v/>
      </c>
      <c r="S924" s="199" t="str">
        <f t="shared" si="218"/>
        <v/>
      </c>
      <c r="T924" s="199" t="str">
        <f t="shared" si="226"/>
        <v/>
      </c>
      <c r="U924" s="199" t="str">
        <f t="shared" si="219"/>
        <v/>
      </c>
      <c r="V924" s="989"/>
      <c r="X924" s="374" t="str">
        <f t="shared" si="220"/>
        <v/>
      </c>
      <c r="Y924" s="375" t="str">
        <f t="shared" si="221"/>
        <v/>
      </c>
      <c r="Z924" s="374" t="str">
        <f t="shared" si="222"/>
        <v/>
      </c>
      <c r="AA924" s="374" t="b">
        <f t="shared" si="223"/>
        <v>1</v>
      </c>
      <c r="AB924" s="374">
        <f>COUNTIFS(B:B,B924,H:H,'סיווג התפקידים והעלויות'!$C$2)</f>
        <v>0</v>
      </c>
      <c r="AC924" s="374">
        <f>COUNTIFS(B:B,B924,H:H,'סיווג התפקידים והעלויות'!$D$2)</f>
        <v>0</v>
      </c>
      <c r="AD924" s="374" t="str">
        <f>IF(OR(AND(H924='סיווג התפקידים והעלויות'!$A$2,I924='סיווג התפקידים והעלויות'!$A$3),'עלויות כח אדם (6)'!H924='סיווג התפקידים והעלויות'!$C$2,'עלויות כח אדם (6)'!H924='סיווג התפקידים והעלויות'!$D$2),IF('עלויות כח אדם (6)'!J924&lt;75,"לא תקין","תקין"),"")</f>
        <v/>
      </c>
      <c r="AE924" s="374" t="str">
        <f t="shared" si="224"/>
        <v/>
      </c>
      <c r="AF924" s="532" t="str">
        <f t="shared" si="225"/>
        <v/>
      </c>
    </row>
    <row r="925" spans="2:32" x14ac:dyDescent="0.25">
      <c r="B925" s="695"/>
      <c r="C925" s="197" t="str">
        <f>IF(B925&lt;&gt;"",IFERROR(VLOOKUP(B:B,'מצבת והרשמה (2)'!$C$20:$N$520,2,0)," ")," ")</f>
        <v xml:space="preserve"> </v>
      </c>
      <c r="D925" s="695"/>
      <c r="E925" s="696"/>
      <c r="F925" s="696"/>
      <c r="G925" s="696"/>
      <c r="H925" s="696"/>
      <c r="I925" s="1050" t="str">
        <f t="shared" si="212"/>
        <v/>
      </c>
      <c r="J925" s="696"/>
      <c r="K925" s="697"/>
      <c r="L925" s="696"/>
      <c r="M925" s="198" t="str">
        <f t="shared" si="213"/>
        <v/>
      </c>
      <c r="N925" s="369" t="str">
        <f t="shared" si="214"/>
        <v/>
      </c>
      <c r="O925" s="183" t="str">
        <f t="shared" si="215"/>
        <v/>
      </c>
      <c r="P925" s="199" t="str">
        <f t="shared" si="216"/>
        <v/>
      </c>
      <c r="Q925" s="199" t="str">
        <f>IF(B925="","",IFERROR(IF('עלויות כח אדם (6)'!J925&gt;=VLOOKUP(I925,'סיווג התפקידים והעלויות'!$B$23:$C$32,2,0),"תקין","לא תקין"),""))</f>
        <v/>
      </c>
      <c r="R925" s="199" t="str">
        <f t="shared" si="217"/>
        <v/>
      </c>
      <c r="S925" s="199" t="str">
        <f t="shared" si="218"/>
        <v/>
      </c>
      <c r="T925" s="199" t="str">
        <f t="shared" si="226"/>
        <v/>
      </c>
      <c r="U925" s="199" t="str">
        <f t="shared" si="219"/>
        <v/>
      </c>
      <c r="V925" s="989"/>
      <c r="X925" s="374" t="str">
        <f t="shared" si="220"/>
        <v/>
      </c>
      <c r="Y925" s="375" t="str">
        <f t="shared" si="221"/>
        <v/>
      </c>
      <c r="Z925" s="374" t="str">
        <f t="shared" si="222"/>
        <v/>
      </c>
      <c r="AA925" s="374" t="b">
        <f t="shared" si="223"/>
        <v>1</v>
      </c>
      <c r="AB925" s="374">
        <f>COUNTIFS(B:B,B925,H:H,'סיווג התפקידים והעלויות'!$C$2)</f>
        <v>0</v>
      </c>
      <c r="AC925" s="374">
        <f>COUNTIFS(B:B,B925,H:H,'סיווג התפקידים והעלויות'!$D$2)</f>
        <v>0</v>
      </c>
      <c r="AD925" s="374" t="str">
        <f>IF(OR(AND(H925='סיווג התפקידים והעלויות'!$A$2,I925='סיווג התפקידים והעלויות'!$A$3),'עלויות כח אדם (6)'!H925='סיווג התפקידים והעלויות'!$C$2,'עלויות כח אדם (6)'!H925='סיווג התפקידים והעלויות'!$D$2),IF('עלויות כח אדם (6)'!J925&lt;75,"לא תקין","תקין"),"")</f>
        <v/>
      </c>
      <c r="AE925" s="374" t="str">
        <f t="shared" si="224"/>
        <v/>
      </c>
      <c r="AF925" s="532" t="str">
        <f t="shared" si="225"/>
        <v/>
      </c>
    </row>
    <row r="926" spans="2:32" x14ac:dyDescent="0.25">
      <c r="B926" s="695"/>
      <c r="C926" s="197" t="str">
        <f>IF(B926&lt;&gt;"",IFERROR(VLOOKUP(B:B,'מצבת והרשמה (2)'!$C$20:$N$520,2,0)," ")," ")</f>
        <v xml:space="preserve"> </v>
      </c>
      <c r="D926" s="695"/>
      <c r="E926" s="696"/>
      <c r="F926" s="696"/>
      <c r="G926" s="696"/>
      <c r="H926" s="696"/>
      <c r="I926" s="1050" t="str">
        <f t="shared" si="212"/>
        <v/>
      </c>
      <c r="J926" s="696"/>
      <c r="K926" s="697"/>
      <c r="L926" s="696"/>
      <c r="M926" s="198" t="str">
        <f t="shared" si="213"/>
        <v/>
      </c>
      <c r="N926" s="369" t="str">
        <f t="shared" si="214"/>
        <v/>
      </c>
      <c r="O926" s="183" t="str">
        <f t="shared" si="215"/>
        <v/>
      </c>
      <c r="P926" s="199" t="str">
        <f t="shared" si="216"/>
        <v/>
      </c>
      <c r="Q926" s="199" t="str">
        <f>IF(B926="","",IFERROR(IF('עלויות כח אדם (6)'!J926&gt;=VLOOKUP(I926,'סיווג התפקידים והעלויות'!$B$23:$C$32,2,0),"תקין","לא תקין"),""))</f>
        <v/>
      </c>
      <c r="R926" s="199" t="str">
        <f t="shared" si="217"/>
        <v/>
      </c>
      <c r="S926" s="199" t="str">
        <f t="shared" si="218"/>
        <v/>
      </c>
      <c r="T926" s="199" t="str">
        <f t="shared" si="226"/>
        <v/>
      </c>
      <c r="U926" s="199" t="str">
        <f t="shared" si="219"/>
        <v/>
      </c>
      <c r="V926" s="989"/>
      <c r="X926" s="374" t="str">
        <f t="shared" si="220"/>
        <v/>
      </c>
      <c r="Y926" s="375" t="str">
        <f t="shared" si="221"/>
        <v/>
      </c>
      <c r="Z926" s="374" t="str">
        <f t="shared" si="222"/>
        <v/>
      </c>
      <c r="AA926" s="374" t="b">
        <f t="shared" si="223"/>
        <v>1</v>
      </c>
      <c r="AB926" s="374">
        <f>COUNTIFS(B:B,B926,H:H,'סיווג התפקידים והעלויות'!$C$2)</f>
        <v>0</v>
      </c>
      <c r="AC926" s="374">
        <f>COUNTIFS(B:B,B926,H:H,'סיווג התפקידים והעלויות'!$D$2)</f>
        <v>0</v>
      </c>
      <c r="AD926" s="374" t="str">
        <f>IF(OR(AND(H926='סיווג התפקידים והעלויות'!$A$2,I926='סיווג התפקידים והעלויות'!$A$3),'עלויות כח אדם (6)'!H926='סיווג התפקידים והעלויות'!$C$2,'עלויות כח אדם (6)'!H926='סיווג התפקידים והעלויות'!$D$2),IF('עלויות כח אדם (6)'!J926&lt;75,"לא תקין","תקין"),"")</f>
        <v/>
      </c>
      <c r="AE926" s="374" t="str">
        <f t="shared" si="224"/>
        <v/>
      </c>
      <c r="AF926" s="532" t="str">
        <f t="shared" si="225"/>
        <v/>
      </c>
    </row>
    <row r="927" spans="2:32" x14ac:dyDescent="0.25">
      <c r="B927" s="695"/>
      <c r="C927" s="197" t="str">
        <f>IF(B927&lt;&gt;"",IFERROR(VLOOKUP(B:B,'מצבת והרשמה (2)'!$C$20:$N$520,2,0)," ")," ")</f>
        <v xml:space="preserve"> </v>
      </c>
      <c r="D927" s="695"/>
      <c r="E927" s="696"/>
      <c r="F927" s="696"/>
      <c r="G927" s="696"/>
      <c r="H927" s="696"/>
      <c r="I927" s="1050" t="str">
        <f t="shared" si="212"/>
        <v/>
      </c>
      <c r="J927" s="696"/>
      <c r="K927" s="697"/>
      <c r="L927" s="696"/>
      <c r="M927" s="198" t="str">
        <f t="shared" si="213"/>
        <v/>
      </c>
      <c r="N927" s="369" t="str">
        <f t="shared" si="214"/>
        <v/>
      </c>
      <c r="O927" s="183" t="str">
        <f t="shared" si="215"/>
        <v/>
      </c>
      <c r="P927" s="199" t="str">
        <f t="shared" si="216"/>
        <v/>
      </c>
      <c r="Q927" s="199" t="str">
        <f>IF(B927="","",IFERROR(IF('עלויות כח אדם (6)'!J927&gt;=VLOOKUP(I927,'סיווג התפקידים והעלויות'!$B$23:$C$32,2,0),"תקין","לא תקין"),""))</f>
        <v/>
      </c>
      <c r="R927" s="199" t="str">
        <f t="shared" si="217"/>
        <v/>
      </c>
      <c r="S927" s="199" t="str">
        <f t="shared" si="218"/>
        <v/>
      </c>
      <c r="T927" s="199" t="str">
        <f t="shared" si="226"/>
        <v/>
      </c>
      <c r="U927" s="199" t="str">
        <f t="shared" si="219"/>
        <v/>
      </c>
      <c r="V927" s="989"/>
      <c r="X927" s="374" t="str">
        <f t="shared" si="220"/>
        <v/>
      </c>
      <c r="Y927" s="375" t="str">
        <f t="shared" si="221"/>
        <v/>
      </c>
      <c r="Z927" s="374" t="str">
        <f t="shared" si="222"/>
        <v/>
      </c>
      <c r="AA927" s="374" t="b">
        <f t="shared" si="223"/>
        <v>1</v>
      </c>
      <c r="AB927" s="374">
        <f>COUNTIFS(B:B,B927,H:H,'סיווג התפקידים והעלויות'!$C$2)</f>
        <v>0</v>
      </c>
      <c r="AC927" s="374">
        <f>COUNTIFS(B:B,B927,H:H,'סיווג התפקידים והעלויות'!$D$2)</f>
        <v>0</v>
      </c>
      <c r="AD927" s="374" t="str">
        <f>IF(OR(AND(H927='סיווג התפקידים והעלויות'!$A$2,I927='סיווג התפקידים והעלויות'!$A$3),'עלויות כח אדם (6)'!H927='סיווג התפקידים והעלויות'!$C$2,'עלויות כח אדם (6)'!H927='סיווג התפקידים והעלויות'!$D$2),IF('עלויות כח אדם (6)'!J927&lt;75,"לא תקין","תקין"),"")</f>
        <v/>
      </c>
      <c r="AE927" s="374" t="str">
        <f t="shared" si="224"/>
        <v/>
      </c>
      <c r="AF927" s="532" t="str">
        <f t="shared" si="225"/>
        <v/>
      </c>
    </row>
    <row r="928" spans="2:32" x14ac:dyDescent="0.25">
      <c r="B928" s="695"/>
      <c r="C928" s="197" t="str">
        <f>IF(B928&lt;&gt;"",IFERROR(VLOOKUP(B:B,'מצבת והרשמה (2)'!$C$20:$N$520,2,0)," ")," ")</f>
        <v xml:space="preserve"> </v>
      </c>
      <c r="D928" s="695"/>
      <c r="E928" s="696"/>
      <c r="F928" s="696"/>
      <c r="G928" s="696"/>
      <c r="H928" s="696"/>
      <c r="I928" s="1050" t="str">
        <f t="shared" si="212"/>
        <v/>
      </c>
      <c r="J928" s="696"/>
      <c r="K928" s="697"/>
      <c r="L928" s="696"/>
      <c r="M928" s="198" t="str">
        <f t="shared" si="213"/>
        <v/>
      </c>
      <c r="N928" s="369" t="str">
        <f t="shared" si="214"/>
        <v/>
      </c>
      <c r="O928" s="183" t="str">
        <f t="shared" si="215"/>
        <v/>
      </c>
      <c r="P928" s="199" t="str">
        <f t="shared" si="216"/>
        <v/>
      </c>
      <c r="Q928" s="199" t="str">
        <f>IF(B928="","",IFERROR(IF('עלויות כח אדם (6)'!J928&gt;=VLOOKUP(I928,'סיווג התפקידים והעלויות'!$B$23:$C$32,2,0),"תקין","לא תקין"),""))</f>
        <v/>
      </c>
      <c r="R928" s="199" t="str">
        <f t="shared" si="217"/>
        <v/>
      </c>
      <c r="S928" s="199" t="str">
        <f t="shared" si="218"/>
        <v/>
      </c>
      <c r="T928" s="199" t="str">
        <f t="shared" si="226"/>
        <v/>
      </c>
      <c r="U928" s="199" t="str">
        <f t="shared" si="219"/>
        <v/>
      </c>
      <c r="V928" s="989"/>
      <c r="X928" s="374" t="str">
        <f t="shared" si="220"/>
        <v/>
      </c>
      <c r="Y928" s="375" t="str">
        <f t="shared" si="221"/>
        <v/>
      </c>
      <c r="Z928" s="374" t="str">
        <f t="shared" si="222"/>
        <v/>
      </c>
      <c r="AA928" s="374" t="b">
        <f t="shared" si="223"/>
        <v>1</v>
      </c>
      <c r="AB928" s="374">
        <f>COUNTIFS(B:B,B928,H:H,'סיווג התפקידים והעלויות'!$C$2)</f>
        <v>0</v>
      </c>
      <c r="AC928" s="374">
        <f>COUNTIFS(B:B,B928,H:H,'סיווג התפקידים והעלויות'!$D$2)</f>
        <v>0</v>
      </c>
      <c r="AD928" s="374" t="str">
        <f>IF(OR(AND(H928='סיווג התפקידים והעלויות'!$A$2,I928='סיווג התפקידים והעלויות'!$A$3),'עלויות כח אדם (6)'!H928='סיווג התפקידים והעלויות'!$C$2,'עלויות כח אדם (6)'!H928='סיווג התפקידים והעלויות'!$D$2),IF('עלויות כח אדם (6)'!J928&lt;75,"לא תקין","תקין"),"")</f>
        <v/>
      </c>
      <c r="AE928" s="374" t="str">
        <f t="shared" si="224"/>
        <v/>
      </c>
      <c r="AF928" s="532" t="str">
        <f t="shared" si="225"/>
        <v/>
      </c>
    </row>
    <row r="929" spans="2:32" x14ac:dyDescent="0.25">
      <c r="B929" s="695"/>
      <c r="C929" s="197" t="str">
        <f>IF(B929&lt;&gt;"",IFERROR(VLOOKUP(B:B,'מצבת והרשמה (2)'!$C$20:$N$520,2,0)," ")," ")</f>
        <v xml:space="preserve"> </v>
      </c>
      <c r="D929" s="695"/>
      <c r="E929" s="696"/>
      <c r="F929" s="696"/>
      <c r="G929" s="696"/>
      <c r="H929" s="696"/>
      <c r="I929" s="1050" t="str">
        <f t="shared" si="212"/>
        <v/>
      </c>
      <c r="J929" s="696"/>
      <c r="K929" s="697"/>
      <c r="L929" s="696"/>
      <c r="M929" s="198" t="str">
        <f t="shared" si="213"/>
        <v/>
      </c>
      <c r="N929" s="369" t="str">
        <f t="shared" si="214"/>
        <v/>
      </c>
      <c r="O929" s="183" t="str">
        <f t="shared" si="215"/>
        <v/>
      </c>
      <c r="P929" s="199" t="str">
        <f t="shared" si="216"/>
        <v/>
      </c>
      <c r="Q929" s="199" t="str">
        <f>IF(B929="","",IFERROR(IF('עלויות כח אדם (6)'!J929&gt;=VLOOKUP(I929,'סיווג התפקידים והעלויות'!$B$23:$C$32,2,0),"תקין","לא תקין"),""))</f>
        <v/>
      </c>
      <c r="R929" s="199" t="str">
        <f t="shared" si="217"/>
        <v/>
      </c>
      <c r="S929" s="199" t="str">
        <f t="shared" si="218"/>
        <v/>
      </c>
      <c r="T929" s="199" t="str">
        <f t="shared" si="226"/>
        <v/>
      </c>
      <c r="U929" s="199" t="str">
        <f t="shared" si="219"/>
        <v/>
      </c>
      <c r="V929" s="989"/>
      <c r="X929" s="374" t="str">
        <f t="shared" si="220"/>
        <v/>
      </c>
      <c r="Y929" s="375" t="str">
        <f t="shared" si="221"/>
        <v/>
      </c>
      <c r="Z929" s="374" t="str">
        <f t="shared" si="222"/>
        <v/>
      </c>
      <c r="AA929" s="374" t="b">
        <f t="shared" si="223"/>
        <v>1</v>
      </c>
      <c r="AB929" s="374">
        <f>COUNTIFS(B:B,B929,H:H,'סיווג התפקידים והעלויות'!$C$2)</f>
        <v>0</v>
      </c>
      <c r="AC929" s="374">
        <f>COUNTIFS(B:B,B929,H:H,'סיווג התפקידים והעלויות'!$D$2)</f>
        <v>0</v>
      </c>
      <c r="AD929" s="374" t="str">
        <f>IF(OR(AND(H929='סיווג התפקידים והעלויות'!$A$2,I929='סיווג התפקידים והעלויות'!$A$3),'עלויות כח אדם (6)'!H929='סיווג התפקידים והעלויות'!$C$2,'עלויות כח אדם (6)'!H929='סיווג התפקידים והעלויות'!$D$2),IF('עלויות כח אדם (6)'!J929&lt;75,"לא תקין","תקין"),"")</f>
        <v/>
      </c>
      <c r="AE929" s="374" t="str">
        <f t="shared" si="224"/>
        <v/>
      </c>
      <c r="AF929" s="532" t="str">
        <f t="shared" si="225"/>
        <v/>
      </c>
    </row>
    <row r="930" spans="2:32" x14ac:dyDescent="0.25">
      <c r="B930" s="695"/>
      <c r="C930" s="197" t="str">
        <f>IF(B930&lt;&gt;"",IFERROR(VLOOKUP(B:B,'מצבת והרשמה (2)'!$C$20:$N$520,2,0)," ")," ")</f>
        <v xml:space="preserve"> </v>
      </c>
      <c r="D930" s="695"/>
      <c r="E930" s="696"/>
      <c r="F930" s="696"/>
      <c r="G930" s="696"/>
      <c r="H930" s="696"/>
      <c r="I930" s="1050" t="str">
        <f t="shared" si="212"/>
        <v/>
      </c>
      <c r="J930" s="696"/>
      <c r="K930" s="697"/>
      <c r="L930" s="696"/>
      <c r="M930" s="198" t="str">
        <f t="shared" si="213"/>
        <v/>
      </c>
      <c r="N930" s="369" t="str">
        <f t="shared" si="214"/>
        <v/>
      </c>
      <c r="O930" s="183" t="str">
        <f t="shared" si="215"/>
        <v/>
      </c>
      <c r="P930" s="199" t="str">
        <f t="shared" si="216"/>
        <v/>
      </c>
      <c r="Q930" s="199" t="str">
        <f>IF(B930="","",IFERROR(IF('עלויות כח אדם (6)'!J930&gt;=VLOOKUP(I930,'סיווג התפקידים והעלויות'!$B$23:$C$32,2,0),"תקין","לא תקין"),""))</f>
        <v/>
      </c>
      <c r="R930" s="199" t="str">
        <f t="shared" si="217"/>
        <v/>
      </c>
      <c r="S930" s="199" t="str">
        <f t="shared" si="218"/>
        <v/>
      </c>
      <c r="T930" s="199" t="str">
        <f t="shared" si="226"/>
        <v/>
      </c>
      <c r="U930" s="199" t="str">
        <f t="shared" si="219"/>
        <v/>
      </c>
      <c r="V930" s="989"/>
      <c r="X930" s="374" t="str">
        <f t="shared" si="220"/>
        <v/>
      </c>
      <c r="Y930" s="375" t="str">
        <f t="shared" si="221"/>
        <v/>
      </c>
      <c r="Z930" s="374" t="str">
        <f t="shared" si="222"/>
        <v/>
      </c>
      <c r="AA930" s="374" t="b">
        <f t="shared" si="223"/>
        <v>1</v>
      </c>
      <c r="AB930" s="374">
        <f>COUNTIFS(B:B,B930,H:H,'סיווג התפקידים והעלויות'!$C$2)</f>
        <v>0</v>
      </c>
      <c r="AC930" s="374">
        <f>COUNTIFS(B:B,B930,H:H,'סיווג התפקידים והעלויות'!$D$2)</f>
        <v>0</v>
      </c>
      <c r="AD930" s="374" t="str">
        <f>IF(OR(AND(H930='סיווג התפקידים והעלויות'!$A$2,I930='סיווג התפקידים והעלויות'!$A$3),'עלויות כח אדם (6)'!H930='סיווג התפקידים והעלויות'!$C$2,'עלויות כח אדם (6)'!H930='סיווג התפקידים והעלויות'!$D$2),IF('עלויות כח אדם (6)'!J930&lt;75,"לא תקין","תקין"),"")</f>
        <v/>
      </c>
      <c r="AE930" s="374" t="str">
        <f t="shared" si="224"/>
        <v/>
      </c>
      <c r="AF930" s="532" t="str">
        <f t="shared" si="225"/>
        <v/>
      </c>
    </row>
    <row r="931" spans="2:32" x14ac:dyDescent="0.25">
      <c r="B931" s="695"/>
      <c r="C931" s="197" t="str">
        <f>IF(B931&lt;&gt;"",IFERROR(VLOOKUP(B:B,'מצבת והרשמה (2)'!$C$20:$N$520,2,0)," ")," ")</f>
        <v xml:space="preserve"> </v>
      </c>
      <c r="D931" s="695"/>
      <c r="E931" s="696"/>
      <c r="F931" s="696"/>
      <c r="G931" s="696"/>
      <c r="H931" s="696"/>
      <c r="I931" s="1050" t="str">
        <f t="shared" si="212"/>
        <v/>
      </c>
      <c r="J931" s="696"/>
      <c r="K931" s="697"/>
      <c r="L931" s="696"/>
      <c r="M931" s="198" t="str">
        <f t="shared" si="213"/>
        <v/>
      </c>
      <c r="N931" s="369" t="str">
        <f t="shared" si="214"/>
        <v/>
      </c>
      <c r="O931" s="183" t="str">
        <f t="shared" si="215"/>
        <v/>
      </c>
      <c r="P931" s="199" t="str">
        <f t="shared" si="216"/>
        <v/>
      </c>
      <c r="Q931" s="199" t="str">
        <f>IF(B931="","",IFERROR(IF('עלויות כח אדם (6)'!J931&gt;=VLOOKUP(I931,'סיווג התפקידים והעלויות'!$B$23:$C$32,2,0),"תקין","לא תקין"),""))</f>
        <v/>
      </c>
      <c r="R931" s="199" t="str">
        <f t="shared" si="217"/>
        <v/>
      </c>
      <c r="S931" s="199" t="str">
        <f t="shared" si="218"/>
        <v/>
      </c>
      <c r="T931" s="199" t="str">
        <f t="shared" si="226"/>
        <v/>
      </c>
      <c r="U931" s="199" t="str">
        <f t="shared" si="219"/>
        <v/>
      </c>
      <c r="V931" s="989"/>
      <c r="X931" s="374" t="str">
        <f t="shared" si="220"/>
        <v/>
      </c>
      <c r="Y931" s="375" t="str">
        <f t="shared" si="221"/>
        <v/>
      </c>
      <c r="Z931" s="374" t="str">
        <f t="shared" si="222"/>
        <v/>
      </c>
      <c r="AA931" s="374" t="b">
        <f t="shared" si="223"/>
        <v>1</v>
      </c>
      <c r="AB931" s="374">
        <f>COUNTIFS(B:B,B931,H:H,'סיווג התפקידים והעלויות'!$C$2)</f>
        <v>0</v>
      </c>
      <c r="AC931" s="374">
        <f>COUNTIFS(B:B,B931,H:H,'סיווג התפקידים והעלויות'!$D$2)</f>
        <v>0</v>
      </c>
      <c r="AD931" s="374" t="str">
        <f>IF(OR(AND(H931='סיווג התפקידים והעלויות'!$A$2,I931='סיווג התפקידים והעלויות'!$A$3),'עלויות כח אדם (6)'!H931='סיווג התפקידים והעלויות'!$C$2,'עלויות כח אדם (6)'!H931='סיווג התפקידים והעלויות'!$D$2),IF('עלויות כח אדם (6)'!J931&lt;75,"לא תקין","תקין"),"")</f>
        <v/>
      </c>
      <c r="AE931" s="374" t="str">
        <f t="shared" si="224"/>
        <v/>
      </c>
      <c r="AF931" s="532" t="str">
        <f t="shared" si="225"/>
        <v/>
      </c>
    </row>
    <row r="932" spans="2:32" x14ac:dyDescent="0.25">
      <c r="B932" s="695"/>
      <c r="C932" s="197" t="str">
        <f>IF(B932&lt;&gt;"",IFERROR(VLOOKUP(B:B,'מצבת והרשמה (2)'!$C$20:$N$520,2,0)," ")," ")</f>
        <v xml:space="preserve"> </v>
      </c>
      <c r="D932" s="695"/>
      <c r="E932" s="696"/>
      <c r="F932" s="696"/>
      <c r="G932" s="696"/>
      <c r="H932" s="696"/>
      <c r="I932" s="1050" t="str">
        <f t="shared" si="212"/>
        <v/>
      </c>
      <c r="J932" s="696"/>
      <c r="K932" s="697"/>
      <c r="L932" s="696"/>
      <c r="M932" s="198" t="str">
        <f t="shared" si="213"/>
        <v/>
      </c>
      <c r="N932" s="369" t="str">
        <f t="shared" si="214"/>
        <v/>
      </c>
      <c r="O932" s="183" t="str">
        <f t="shared" si="215"/>
        <v/>
      </c>
      <c r="P932" s="199" t="str">
        <f t="shared" si="216"/>
        <v/>
      </c>
      <c r="Q932" s="199" t="str">
        <f>IF(B932="","",IFERROR(IF('עלויות כח אדם (6)'!J932&gt;=VLOOKUP(I932,'סיווג התפקידים והעלויות'!$B$23:$C$32,2,0),"תקין","לא תקין"),""))</f>
        <v/>
      </c>
      <c r="R932" s="199" t="str">
        <f t="shared" si="217"/>
        <v/>
      </c>
      <c r="S932" s="199" t="str">
        <f t="shared" si="218"/>
        <v/>
      </c>
      <c r="T932" s="199" t="str">
        <f t="shared" si="226"/>
        <v/>
      </c>
      <c r="U932" s="199" t="str">
        <f t="shared" si="219"/>
        <v/>
      </c>
      <c r="V932" s="989"/>
      <c r="X932" s="374" t="str">
        <f t="shared" si="220"/>
        <v/>
      </c>
      <c r="Y932" s="375" t="str">
        <f t="shared" si="221"/>
        <v/>
      </c>
      <c r="Z932" s="374" t="str">
        <f t="shared" si="222"/>
        <v/>
      </c>
      <c r="AA932" s="374" t="b">
        <f t="shared" si="223"/>
        <v>1</v>
      </c>
      <c r="AB932" s="374">
        <f>COUNTIFS(B:B,B932,H:H,'סיווג התפקידים והעלויות'!$C$2)</f>
        <v>0</v>
      </c>
      <c r="AC932" s="374">
        <f>COUNTIFS(B:B,B932,H:H,'סיווג התפקידים והעלויות'!$D$2)</f>
        <v>0</v>
      </c>
      <c r="AD932" s="374" t="str">
        <f>IF(OR(AND(H932='סיווג התפקידים והעלויות'!$A$2,I932='סיווג התפקידים והעלויות'!$A$3),'עלויות כח אדם (6)'!H932='סיווג התפקידים והעלויות'!$C$2,'עלויות כח אדם (6)'!H932='סיווג התפקידים והעלויות'!$D$2),IF('עלויות כח אדם (6)'!J932&lt;75,"לא תקין","תקין"),"")</f>
        <v/>
      </c>
      <c r="AE932" s="374" t="str">
        <f t="shared" si="224"/>
        <v/>
      </c>
      <c r="AF932" s="532" t="str">
        <f t="shared" si="225"/>
        <v/>
      </c>
    </row>
    <row r="933" spans="2:32" x14ac:dyDescent="0.25">
      <c r="B933" s="695"/>
      <c r="C933" s="197" t="str">
        <f>IF(B933&lt;&gt;"",IFERROR(VLOOKUP(B:B,'מצבת והרשמה (2)'!$C$20:$N$520,2,0)," ")," ")</f>
        <v xml:space="preserve"> </v>
      </c>
      <c r="D933" s="695"/>
      <c r="E933" s="696"/>
      <c r="F933" s="696"/>
      <c r="G933" s="696"/>
      <c r="H933" s="696"/>
      <c r="I933" s="1050" t="str">
        <f t="shared" si="212"/>
        <v/>
      </c>
      <c r="J933" s="696"/>
      <c r="K933" s="697"/>
      <c r="L933" s="696"/>
      <c r="M933" s="198" t="str">
        <f t="shared" si="213"/>
        <v/>
      </c>
      <c r="N933" s="369" t="str">
        <f t="shared" si="214"/>
        <v/>
      </c>
      <c r="O933" s="183" t="str">
        <f t="shared" si="215"/>
        <v/>
      </c>
      <c r="P933" s="199" t="str">
        <f t="shared" si="216"/>
        <v/>
      </c>
      <c r="Q933" s="199" t="str">
        <f>IF(B933="","",IFERROR(IF('עלויות כח אדם (6)'!J933&gt;=VLOOKUP(I933,'סיווג התפקידים והעלויות'!$B$23:$C$32,2,0),"תקין","לא תקין"),""))</f>
        <v/>
      </c>
      <c r="R933" s="199" t="str">
        <f t="shared" si="217"/>
        <v/>
      </c>
      <c r="S933" s="199" t="str">
        <f t="shared" si="218"/>
        <v/>
      </c>
      <c r="T933" s="199" t="str">
        <f t="shared" si="226"/>
        <v/>
      </c>
      <c r="U933" s="199" t="str">
        <f t="shared" si="219"/>
        <v/>
      </c>
      <c r="V933" s="989"/>
      <c r="X933" s="374" t="str">
        <f t="shared" si="220"/>
        <v/>
      </c>
      <c r="Y933" s="375" t="str">
        <f t="shared" si="221"/>
        <v/>
      </c>
      <c r="Z933" s="374" t="str">
        <f t="shared" si="222"/>
        <v/>
      </c>
      <c r="AA933" s="374" t="b">
        <f t="shared" si="223"/>
        <v>1</v>
      </c>
      <c r="AB933" s="374">
        <f>COUNTIFS(B:B,B933,H:H,'סיווג התפקידים והעלויות'!$C$2)</f>
        <v>0</v>
      </c>
      <c r="AC933" s="374">
        <f>COUNTIFS(B:B,B933,H:H,'סיווג התפקידים והעלויות'!$D$2)</f>
        <v>0</v>
      </c>
      <c r="AD933" s="374" t="str">
        <f>IF(OR(AND(H933='סיווג התפקידים והעלויות'!$A$2,I933='סיווג התפקידים והעלויות'!$A$3),'עלויות כח אדם (6)'!H933='סיווג התפקידים והעלויות'!$C$2,'עלויות כח אדם (6)'!H933='סיווג התפקידים והעלויות'!$D$2),IF('עלויות כח אדם (6)'!J933&lt;75,"לא תקין","תקין"),"")</f>
        <v/>
      </c>
      <c r="AE933" s="374" t="str">
        <f t="shared" si="224"/>
        <v/>
      </c>
      <c r="AF933" s="532" t="str">
        <f t="shared" si="225"/>
        <v/>
      </c>
    </row>
    <row r="934" spans="2:32" x14ac:dyDescent="0.25">
      <c r="B934" s="695"/>
      <c r="C934" s="197" t="str">
        <f>IF(B934&lt;&gt;"",IFERROR(VLOOKUP(B:B,'מצבת והרשמה (2)'!$C$20:$N$520,2,0)," ")," ")</f>
        <v xml:space="preserve"> </v>
      </c>
      <c r="D934" s="695"/>
      <c r="E934" s="696"/>
      <c r="F934" s="696"/>
      <c r="G934" s="696"/>
      <c r="H934" s="696"/>
      <c r="I934" s="1050" t="str">
        <f t="shared" si="212"/>
        <v/>
      </c>
      <c r="J934" s="696"/>
      <c r="K934" s="697"/>
      <c r="L934" s="696"/>
      <c r="M934" s="198" t="str">
        <f t="shared" si="213"/>
        <v/>
      </c>
      <c r="N934" s="369" t="str">
        <f t="shared" si="214"/>
        <v/>
      </c>
      <c r="O934" s="183" t="str">
        <f t="shared" si="215"/>
        <v/>
      </c>
      <c r="P934" s="199" t="str">
        <f t="shared" si="216"/>
        <v/>
      </c>
      <c r="Q934" s="199" t="str">
        <f>IF(B934="","",IFERROR(IF('עלויות כח אדם (6)'!J934&gt;=VLOOKUP(I934,'סיווג התפקידים והעלויות'!$B$23:$C$32,2,0),"תקין","לא תקין"),""))</f>
        <v/>
      </c>
      <c r="R934" s="199" t="str">
        <f t="shared" si="217"/>
        <v/>
      </c>
      <c r="S934" s="199" t="str">
        <f t="shared" si="218"/>
        <v/>
      </c>
      <c r="T934" s="199" t="str">
        <f t="shared" si="226"/>
        <v/>
      </c>
      <c r="U934" s="199" t="str">
        <f t="shared" si="219"/>
        <v/>
      </c>
      <c r="V934" s="989"/>
      <c r="X934" s="374" t="str">
        <f t="shared" si="220"/>
        <v/>
      </c>
      <c r="Y934" s="375" t="str">
        <f t="shared" si="221"/>
        <v/>
      </c>
      <c r="Z934" s="374" t="str">
        <f t="shared" si="222"/>
        <v/>
      </c>
      <c r="AA934" s="374" t="b">
        <f t="shared" si="223"/>
        <v>1</v>
      </c>
      <c r="AB934" s="374">
        <f>COUNTIFS(B:B,B934,H:H,'סיווג התפקידים והעלויות'!$C$2)</f>
        <v>0</v>
      </c>
      <c r="AC934" s="374">
        <f>COUNTIFS(B:B,B934,H:H,'סיווג התפקידים והעלויות'!$D$2)</f>
        <v>0</v>
      </c>
      <c r="AD934" s="374" t="str">
        <f>IF(OR(AND(H934='סיווג התפקידים והעלויות'!$A$2,I934='סיווג התפקידים והעלויות'!$A$3),'עלויות כח אדם (6)'!H934='סיווג התפקידים והעלויות'!$C$2,'עלויות כח אדם (6)'!H934='סיווג התפקידים והעלויות'!$D$2),IF('עלויות כח אדם (6)'!J934&lt;75,"לא תקין","תקין"),"")</f>
        <v/>
      </c>
      <c r="AE934" s="374" t="str">
        <f t="shared" si="224"/>
        <v/>
      </c>
      <c r="AF934" s="532" t="str">
        <f t="shared" si="225"/>
        <v/>
      </c>
    </row>
    <row r="935" spans="2:32" x14ac:dyDescent="0.25">
      <c r="B935" s="695"/>
      <c r="C935" s="197" t="str">
        <f>IF(B935&lt;&gt;"",IFERROR(VLOOKUP(B:B,'מצבת והרשמה (2)'!$C$20:$N$520,2,0)," ")," ")</f>
        <v xml:space="preserve"> </v>
      </c>
      <c r="D935" s="695"/>
      <c r="E935" s="696"/>
      <c r="F935" s="696"/>
      <c r="G935" s="696"/>
      <c r="H935" s="696"/>
      <c r="I935" s="1050" t="str">
        <f t="shared" si="212"/>
        <v/>
      </c>
      <c r="J935" s="696"/>
      <c r="K935" s="697"/>
      <c r="L935" s="696"/>
      <c r="M935" s="198" t="str">
        <f t="shared" si="213"/>
        <v/>
      </c>
      <c r="N935" s="369" t="str">
        <f t="shared" si="214"/>
        <v/>
      </c>
      <c r="O935" s="183" t="str">
        <f t="shared" si="215"/>
        <v/>
      </c>
      <c r="P935" s="199" t="str">
        <f t="shared" si="216"/>
        <v/>
      </c>
      <c r="Q935" s="199" t="str">
        <f>IF(B935="","",IFERROR(IF('עלויות כח אדם (6)'!J935&gt;=VLOOKUP(I935,'סיווג התפקידים והעלויות'!$B$23:$C$32,2,0),"תקין","לא תקין"),""))</f>
        <v/>
      </c>
      <c r="R935" s="199" t="str">
        <f t="shared" si="217"/>
        <v/>
      </c>
      <c r="S935" s="199" t="str">
        <f t="shared" si="218"/>
        <v/>
      </c>
      <c r="T935" s="199" t="str">
        <f t="shared" si="226"/>
        <v/>
      </c>
      <c r="U935" s="199" t="str">
        <f t="shared" si="219"/>
        <v/>
      </c>
      <c r="V935" s="989"/>
      <c r="X935" s="374" t="str">
        <f t="shared" si="220"/>
        <v/>
      </c>
      <c r="Y935" s="375" t="str">
        <f t="shared" si="221"/>
        <v/>
      </c>
      <c r="Z935" s="374" t="str">
        <f t="shared" si="222"/>
        <v/>
      </c>
      <c r="AA935" s="374" t="b">
        <f t="shared" si="223"/>
        <v>1</v>
      </c>
      <c r="AB935" s="374">
        <f>COUNTIFS(B:B,B935,H:H,'סיווג התפקידים והעלויות'!$C$2)</f>
        <v>0</v>
      </c>
      <c r="AC935" s="374">
        <f>COUNTIFS(B:B,B935,H:H,'סיווג התפקידים והעלויות'!$D$2)</f>
        <v>0</v>
      </c>
      <c r="AD935" s="374" t="str">
        <f>IF(OR(AND(H935='סיווג התפקידים והעלויות'!$A$2,I935='סיווג התפקידים והעלויות'!$A$3),'עלויות כח אדם (6)'!H935='סיווג התפקידים והעלויות'!$C$2,'עלויות כח אדם (6)'!H935='סיווג התפקידים והעלויות'!$D$2),IF('עלויות כח אדם (6)'!J935&lt;75,"לא תקין","תקין"),"")</f>
        <v/>
      </c>
      <c r="AE935" s="374" t="str">
        <f t="shared" si="224"/>
        <v/>
      </c>
      <c r="AF935" s="532" t="str">
        <f t="shared" si="225"/>
        <v/>
      </c>
    </row>
    <row r="936" spans="2:32" x14ac:dyDescent="0.25">
      <c r="B936" s="695"/>
      <c r="C936" s="197" t="str">
        <f>IF(B936&lt;&gt;"",IFERROR(VLOOKUP(B:B,'מצבת והרשמה (2)'!$C$20:$N$520,2,0)," ")," ")</f>
        <v xml:space="preserve"> </v>
      </c>
      <c r="D936" s="695"/>
      <c r="E936" s="696"/>
      <c r="F936" s="696"/>
      <c r="G936" s="696"/>
      <c r="H936" s="696"/>
      <c r="I936" s="1050" t="str">
        <f t="shared" si="212"/>
        <v/>
      </c>
      <c r="J936" s="696"/>
      <c r="K936" s="697"/>
      <c r="L936" s="696"/>
      <c r="M936" s="198" t="str">
        <f t="shared" si="213"/>
        <v/>
      </c>
      <c r="N936" s="369" t="str">
        <f t="shared" si="214"/>
        <v/>
      </c>
      <c r="O936" s="183" t="str">
        <f t="shared" si="215"/>
        <v/>
      </c>
      <c r="P936" s="199" t="str">
        <f t="shared" si="216"/>
        <v/>
      </c>
      <c r="Q936" s="199" t="str">
        <f>IF(B936="","",IFERROR(IF('עלויות כח אדם (6)'!J936&gt;=VLOOKUP(I936,'סיווג התפקידים והעלויות'!$B$23:$C$32,2,0),"תקין","לא תקין"),""))</f>
        <v/>
      </c>
      <c r="R936" s="199" t="str">
        <f t="shared" si="217"/>
        <v/>
      </c>
      <c r="S936" s="199" t="str">
        <f t="shared" si="218"/>
        <v/>
      </c>
      <c r="T936" s="199" t="str">
        <f t="shared" si="226"/>
        <v/>
      </c>
      <c r="U936" s="199" t="str">
        <f t="shared" si="219"/>
        <v/>
      </c>
      <c r="V936" s="989"/>
      <c r="X936" s="374" t="str">
        <f t="shared" si="220"/>
        <v/>
      </c>
      <c r="Y936" s="375" t="str">
        <f t="shared" si="221"/>
        <v/>
      </c>
      <c r="Z936" s="374" t="str">
        <f t="shared" si="222"/>
        <v/>
      </c>
      <c r="AA936" s="374" t="b">
        <f t="shared" si="223"/>
        <v>1</v>
      </c>
      <c r="AB936" s="374">
        <f>COUNTIFS(B:B,B936,H:H,'סיווג התפקידים והעלויות'!$C$2)</f>
        <v>0</v>
      </c>
      <c r="AC936" s="374">
        <f>COUNTIFS(B:B,B936,H:H,'סיווג התפקידים והעלויות'!$D$2)</f>
        <v>0</v>
      </c>
      <c r="AD936" s="374" t="str">
        <f>IF(OR(AND(H936='סיווג התפקידים והעלויות'!$A$2,I936='סיווג התפקידים והעלויות'!$A$3),'עלויות כח אדם (6)'!H936='סיווג התפקידים והעלויות'!$C$2,'עלויות כח אדם (6)'!H936='סיווג התפקידים והעלויות'!$D$2),IF('עלויות כח אדם (6)'!J936&lt;75,"לא תקין","תקין"),"")</f>
        <v/>
      </c>
      <c r="AE936" s="374" t="str">
        <f t="shared" si="224"/>
        <v/>
      </c>
      <c r="AF936" s="532" t="str">
        <f t="shared" si="225"/>
        <v/>
      </c>
    </row>
    <row r="937" spans="2:32" x14ac:dyDescent="0.25">
      <c r="B937" s="695"/>
      <c r="C937" s="197" t="str">
        <f>IF(B937&lt;&gt;"",IFERROR(VLOOKUP(B:B,'מצבת והרשמה (2)'!$C$20:$N$520,2,0)," ")," ")</f>
        <v xml:space="preserve"> </v>
      </c>
      <c r="D937" s="695"/>
      <c r="E937" s="696"/>
      <c r="F937" s="696"/>
      <c r="G937" s="696"/>
      <c r="H937" s="696"/>
      <c r="I937" s="1050" t="str">
        <f t="shared" si="212"/>
        <v/>
      </c>
      <c r="J937" s="696"/>
      <c r="K937" s="697"/>
      <c r="L937" s="696"/>
      <c r="M937" s="198" t="str">
        <f t="shared" si="213"/>
        <v/>
      </c>
      <c r="N937" s="369" t="str">
        <f t="shared" si="214"/>
        <v/>
      </c>
      <c r="O937" s="183" t="str">
        <f t="shared" si="215"/>
        <v/>
      </c>
      <c r="P937" s="199" t="str">
        <f t="shared" si="216"/>
        <v/>
      </c>
      <c r="Q937" s="199" t="str">
        <f>IF(B937="","",IFERROR(IF('עלויות כח אדם (6)'!J937&gt;=VLOOKUP(I937,'סיווג התפקידים והעלויות'!$B$23:$C$32,2,0),"תקין","לא תקין"),""))</f>
        <v/>
      </c>
      <c r="R937" s="199" t="str">
        <f t="shared" si="217"/>
        <v/>
      </c>
      <c r="S937" s="199" t="str">
        <f t="shared" si="218"/>
        <v/>
      </c>
      <c r="T937" s="199" t="str">
        <f t="shared" si="226"/>
        <v/>
      </c>
      <c r="U937" s="199" t="str">
        <f t="shared" si="219"/>
        <v/>
      </c>
      <c r="V937" s="989"/>
      <c r="X937" s="374" t="str">
        <f t="shared" si="220"/>
        <v/>
      </c>
      <c r="Y937" s="375" t="str">
        <f t="shared" si="221"/>
        <v/>
      </c>
      <c r="Z937" s="374" t="str">
        <f t="shared" si="222"/>
        <v/>
      </c>
      <c r="AA937" s="374" t="b">
        <f t="shared" si="223"/>
        <v>1</v>
      </c>
      <c r="AB937" s="374">
        <f>COUNTIFS(B:B,B937,H:H,'סיווג התפקידים והעלויות'!$C$2)</f>
        <v>0</v>
      </c>
      <c r="AC937" s="374">
        <f>COUNTIFS(B:B,B937,H:H,'סיווג התפקידים והעלויות'!$D$2)</f>
        <v>0</v>
      </c>
      <c r="AD937" s="374" t="str">
        <f>IF(OR(AND(H937='סיווג התפקידים והעלויות'!$A$2,I937='סיווג התפקידים והעלויות'!$A$3),'עלויות כח אדם (6)'!H937='סיווג התפקידים והעלויות'!$C$2,'עלויות כח אדם (6)'!H937='סיווג התפקידים והעלויות'!$D$2),IF('עלויות כח אדם (6)'!J937&lt;75,"לא תקין","תקין"),"")</f>
        <v/>
      </c>
      <c r="AE937" s="374" t="str">
        <f t="shared" si="224"/>
        <v/>
      </c>
      <c r="AF937" s="532" t="str">
        <f t="shared" si="225"/>
        <v/>
      </c>
    </row>
    <row r="938" spans="2:32" x14ac:dyDescent="0.25">
      <c r="B938" s="695"/>
      <c r="C938" s="197" t="str">
        <f>IF(B938&lt;&gt;"",IFERROR(VLOOKUP(B:B,'מצבת והרשמה (2)'!$C$20:$N$520,2,0)," ")," ")</f>
        <v xml:space="preserve"> </v>
      </c>
      <c r="D938" s="695"/>
      <c r="E938" s="696"/>
      <c r="F938" s="696"/>
      <c r="G938" s="696"/>
      <c r="H938" s="696"/>
      <c r="I938" s="1050" t="str">
        <f t="shared" si="212"/>
        <v/>
      </c>
      <c r="J938" s="696"/>
      <c r="K938" s="697"/>
      <c r="L938" s="696"/>
      <c r="M938" s="198" t="str">
        <f t="shared" si="213"/>
        <v/>
      </c>
      <c r="N938" s="369" t="str">
        <f t="shared" si="214"/>
        <v/>
      </c>
      <c r="O938" s="183" t="str">
        <f t="shared" si="215"/>
        <v/>
      </c>
      <c r="P938" s="199" t="str">
        <f t="shared" si="216"/>
        <v/>
      </c>
      <c r="Q938" s="199" t="str">
        <f>IF(B938="","",IFERROR(IF('עלויות כח אדם (6)'!J938&gt;=VLOOKUP(I938,'סיווג התפקידים והעלויות'!$B$23:$C$32,2,0),"תקין","לא תקין"),""))</f>
        <v/>
      </c>
      <c r="R938" s="199" t="str">
        <f t="shared" si="217"/>
        <v/>
      </c>
      <c r="S938" s="199" t="str">
        <f t="shared" si="218"/>
        <v/>
      </c>
      <c r="T938" s="199" t="str">
        <f t="shared" si="226"/>
        <v/>
      </c>
      <c r="U938" s="199" t="str">
        <f t="shared" si="219"/>
        <v/>
      </c>
      <c r="V938" s="989"/>
      <c r="X938" s="374" t="str">
        <f t="shared" si="220"/>
        <v/>
      </c>
      <c r="Y938" s="375" t="str">
        <f t="shared" si="221"/>
        <v/>
      </c>
      <c r="Z938" s="374" t="str">
        <f t="shared" si="222"/>
        <v/>
      </c>
      <c r="AA938" s="374" t="b">
        <f t="shared" si="223"/>
        <v>1</v>
      </c>
      <c r="AB938" s="374">
        <f>COUNTIFS(B:B,B938,H:H,'סיווג התפקידים והעלויות'!$C$2)</f>
        <v>0</v>
      </c>
      <c r="AC938" s="374">
        <f>COUNTIFS(B:B,B938,H:H,'סיווג התפקידים והעלויות'!$D$2)</f>
        <v>0</v>
      </c>
      <c r="AD938" s="374" t="str">
        <f>IF(OR(AND(H938='סיווג התפקידים והעלויות'!$A$2,I938='סיווג התפקידים והעלויות'!$A$3),'עלויות כח אדם (6)'!H938='סיווג התפקידים והעלויות'!$C$2,'עלויות כח אדם (6)'!H938='סיווג התפקידים והעלויות'!$D$2),IF('עלויות כח אדם (6)'!J938&lt;75,"לא תקין","תקין"),"")</f>
        <v/>
      </c>
      <c r="AE938" s="374" t="str">
        <f t="shared" si="224"/>
        <v/>
      </c>
      <c r="AF938" s="532" t="str">
        <f t="shared" si="225"/>
        <v/>
      </c>
    </row>
    <row r="939" spans="2:32" x14ac:dyDescent="0.25">
      <c r="B939" s="695"/>
      <c r="C939" s="197" t="str">
        <f>IF(B939&lt;&gt;"",IFERROR(VLOOKUP(B:B,'מצבת והרשמה (2)'!$C$20:$N$520,2,0)," ")," ")</f>
        <v xml:space="preserve"> </v>
      </c>
      <c r="D939" s="695"/>
      <c r="E939" s="696"/>
      <c r="F939" s="696"/>
      <c r="G939" s="696"/>
      <c r="H939" s="696"/>
      <c r="I939" s="1050" t="str">
        <f t="shared" si="212"/>
        <v/>
      </c>
      <c r="J939" s="696"/>
      <c r="K939" s="697"/>
      <c r="L939" s="696"/>
      <c r="M939" s="198" t="str">
        <f t="shared" si="213"/>
        <v/>
      </c>
      <c r="N939" s="369" t="str">
        <f t="shared" si="214"/>
        <v/>
      </c>
      <c r="O939" s="183" t="str">
        <f t="shared" si="215"/>
        <v/>
      </c>
      <c r="P939" s="199" t="str">
        <f t="shared" si="216"/>
        <v/>
      </c>
      <c r="Q939" s="199" t="str">
        <f>IF(B939="","",IFERROR(IF('עלויות כח אדם (6)'!J939&gt;=VLOOKUP(I939,'סיווג התפקידים והעלויות'!$B$23:$C$32,2,0),"תקין","לא תקין"),""))</f>
        <v/>
      </c>
      <c r="R939" s="199" t="str">
        <f t="shared" si="217"/>
        <v/>
      </c>
      <c r="S939" s="199" t="str">
        <f t="shared" si="218"/>
        <v/>
      </c>
      <c r="T939" s="199" t="str">
        <f t="shared" si="226"/>
        <v/>
      </c>
      <c r="U939" s="199" t="str">
        <f t="shared" si="219"/>
        <v/>
      </c>
      <c r="V939" s="989"/>
      <c r="X939" s="374" t="str">
        <f t="shared" si="220"/>
        <v/>
      </c>
      <c r="Y939" s="375" t="str">
        <f t="shared" si="221"/>
        <v/>
      </c>
      <c r="Z939" s="374" t="str">
        <f t="shared" si="222"/>
        <v/>
      </c>
      <c r="AA939" s="374" t="b">
        <f t="shared" si="223"/>
        <v>1</v>
      </c>
      <c r="AB939" s="374">
        <f>COUNTIFS(B:B,B939,H:H,'סיווג התפקידים והעלויות'!$C$2)</f>
        <v>0</v>
      </c>
      <c r="AC939" s="374">
        <f>COUNTIFS(B:B,B939,H:H,'סיווג התפקידים והעלויות'!$D$2)</f>
        <v>0</v>
      </c>
      <c r="AD939" s="374" t="str">
        <f>IF(OR(AND(H939='סיווג התפקידים והעלויות'!$A$2,I939='סיווג התפקידים והעלויות'!$A$3),'עלויות כח אדם (6)'!H939='סיווג התפקידים והעלויות'!$C$2,'עלויות כח אדם (6)'!H939='סיווג התפקידים והעלויות'!$D$2),IF('עלויות כח אדם (6)'!J939&lt;75,"לא תקין","תקין"),"")</f>
        <v/>
      </c>
      <c r="AE939" s="374" t="str">
        <f t="shared" si="224"/>
        <v/>
      </c>
      <c r="AF939" s="532" t="str">
        <f t="shared" si="225"/>
        <v/>
      </c>
    </row>
    <row r="940" spans="2:32" x14ac:dyDescent="0.25">
      <c r="B940" s="695"/>
      <c r="C940" s="197" t="str">
        <f>IF(B940&lt;&gt;"",IFERROR(VLOOKUP(B:B,'מצבת והרשמה (2)'!$C$20:$N$520,2,0)," ")," ")</f>
        <v xml:space="preserve"> </v>
      </c>
      <c r="D940" s="695"/>
      <c r="E940" s="696"/>
      <c r="F940" s="696"/>
      <c r="G940" s="696"/>
      <c r="H940" s="696"/>
      <c r="I940" s="1050" t="str">
        <f t="shared" si="212"/>
        <v/>
      </c>
      <c r="J940" s="696"/>
      <c r="K940" s="697"/>
      <c r="L940" s="696"/>
      <c r="M940" s="198" t="str">
        <f t="shared" si="213"/>
        <v/>
      </c>
      <c r="N940" s="369" t="str">
        <f t="shared" si="214"/>
        <v/>
      </c>
      <c r="O940" s="183" t="str">
        <f t="shared" si="215"/>
        <v/>
      </c>
      <c r="P940" s="199" t="str">
        <f t="shared" si="216"/>
        <v/>
      </c>
      <c r="Q940" s="199" t="str">
        <f>IF(B940="","",IFERROR(IF('עלויות כח אדם (6)'!J940&gt;=VLOOKUP(I940,'סיווג התפקידים והעלויות'!$B$23:$C$32,2,0),"תקין","לא תקין"),""))</f>
        <v/>
      </c>
      <c r="R940" s="199" t="str">
        <f t="shared" si="217"/>
        <v/>
      </c>
      <c r="S940" s="199" t="str">
        <f t="shared" si="218"/>
        <v/>
      </c>
      <c r="T940" s="199" t="str">
        <f t="shared" si="226"/>
        <v/>
      </c>
      <c r="U940" s="199" t="str">
        <f t="shared" si="219"/>
        <v/>
      </c>
      <c r="V940" s="989"/>
      <c r="X940" s="374" t="str">
        <f t="shared" si="220"/>
        <v/>
      </c>
      <c r="Y940" s="375" t="str">
        <f t="shared" si="221"/>
        <v/>
      </c>
      <c r="Z940" s="374" t="str">
        <f t="shared" si="222"/>
        <v/>
      </c>
      <c r="AA940" s="374" t="b">
        <f t="shared" si="223"/>
        <v>1</v>
      </c>
      <c r="AB940" s="374">
        <f>COUNTIFS(B:B,B940,H:H,'סיווג התפקידים והעלויות'!$C$2)</f>
        <v>0</v>
      </c>
      <c r="AC940" s="374">
        <f>COUNTIFS(B:B,B940,H:H,'סיווג התפקידים והעלויות'!$D$2)</f>
        <v>0</v>
      </c>
      <c r="AD940" s="374" t="str">
        <f>IF(OR(AND(H940='סיווג התפקידים והעלויות'!$A$2,I940='סיווג התפקידים והעלויות'!$A$3),'עלויות כח אדם (6)'!H940='סיווג התפקידים והעלויות'!$C$2,'עלויות כח אדם (6)'!H940='סיווג התפקידים והעלויות'!$D$2),IF('עלויות כח אדם (6)'!J940&lt;75,"לא תקין","תקין"),"")</f>
        <v/>
      </c>
      <c r="AE940" s="374" t="str">
        <f t="shared" si="224"/>
        <v/>
      </c>
      <c r="AF940" s="532" t="str">
        <f t="shared" si="225"/>
        <v/>
      </c>
    </row>
    <row r="941" spans="2:32" x14ac:dyDescent="0.25">
      <c r="B941" s="695"/>
      <c r="C941" s="197" t="str">
        <f>IF(B941&lt;&gt;"",IFERROR(VLOOKUP(B:B,'מצבת והרשמה (2)'!$C$20:$N$520,2,0)," ")," ")</f>
        <v xml:space="preserve"> </v>
      </c>
      <c r="D941" s="695"/>
      <c r="E941" s="696"/>
      <c r="F941" s="696"/>
      <c r="G941" s="696"/>
      <c r="H941" s="696"/>
      <c r="I941" s="1050" t="str">
        <f t="shared" si="212"/>
        <v/>
      </c>
      <c r="J941" s="696"/>
      <c r="K941" s="697"/>
      <c r="L941" s="696"/>
      <c r="M941" s="198" t="str">
        <f t="shared" si="213"/>
        <v/>
      </c>
      <c r="N941" s="369" t="str">
        <f t="shared" si="214"/>
        <v/>
      </c>
      <c r="O941" s="183" t="str">
        <f t="shared" si="215"/>
        <v/>
      </c>
      <c r="P941" s="199" t="str">
        <f t="shared" si="216"/>
        <v/>
      </c>
      <c r="Q941" s="199" t="str">
        <f>IF(B941="","",IFERROR(IF('עלויות כח אדם (6)'!J941&gt;=VLOOKUP(I941,'סיווג התפקידים והעלויות'!$B$23:$C$32,2,0),"תקין","לא תקין"),""))</f>
        <v/>
      </c>
      <c r="R941" s="199" t="str">
        <f t="shared" si="217"/>
        <v/>
      </c>
      <c r="S941" s="199" t="str">
        <f t="shared" si="218"/>
        <v/>
      </c>
      <c r="T941" s="199" t="str">
        <f t="shared" si="226"/>
        <v/>
      </c>
      <c r="U941" s="199" t="str">
        <f t="shared" si="219"/>
        <v/>
      </c>
      <c r="V941" s="989"/>
      <c r="X941" s="374" t="str">
        <f t="shared" si="220"/>
        <v/>
      </c>
      <c r="Y941" s="375" t="str">
        <f t="shared" si="221"/>
        <v/>
      </c>
      <c r="Z941" s="374" t="str">
        <f t="shared" si="222"/>
        <v/>
      </c>
      <c r="AA941" s="374" t="b">
        <f t="shared" si="223"/>
        <v>1</v>
      </c>
      <c r="AB941" s="374">
        <f>COUNTIFS(B:B,B941,H:H,'סיווג התפקידים והעלויות'!$C$2)</f>
        <v>0</v>
      </c>
      <c r="AC941" s="374">
        <f>COUNTIFS(B:B,B941,H:H,'סיווג התפקידים והעלויות'!$D$2)</f>
        <v>0</v>
      </c>
      <c r="AD941" s="374" t="str">
        <f>IF(OR(AND(H941='סיווג התפקידים והעלויות'!$A$2,I941='סיווג התפקידים והעלויות'!$A$3),'עלויות כח אדם (6)'!H941='סיווג התפקידים והעלויות'!$C$2,'עלויות כח אדם (6)'!H941='סיווג התפקידים והעלויות'!$D$2),IF('עלויות כח אדם (6)'!J941&lt;75,"לא תקין","תקין"),"")</f>
        <v/>
      </c>
      <c r="AE941" s="374" t="str">
        <f t="shared" si="224"/>
        <v/>
      </c>
      <c r="AF941" s="532" t="str">
        <f t="shared" si="225"/>
        <v/>
      </c>
    </row>
    <row r="942" spans="2:32" x14ac:dyDescent="0.25">
      <c r="B942" s="695"/>
      <c r="C942" s="197" t="str">
        <f>IF(B942&lt;&gt;"",IFERROR(VLOOKUP(B:B,'מצבת והרשמה (2)'!$C$20:$N$520,2,0)," ")," ")</f>
        <v xml:space="preserve"> </v>
      </c>
      <c r="D942" s="695"/>
      <c r="E942" s="696"/>
      <c r="F942" s="696"/>
      <c r="G942" s="696"/>
      <c r="H942" s="696"/>
      <c r="I942" s="1050" t="str">
        <f t="shared" si="212"/>
        <v/>
      </c>
      <c r="J942" s="696"/>
      <c r="K942" s="697"/>
      <c r="L942" s="696"/>
      <c r="M942" s="198" t="str">
        <f t="shared" si="213"/>
        <v/>
      </c>
      <c r="N942" s="369" t="str">
        <f t="shared" si="214"/>
        <v/>
      </c>
      <c r="O942" s="183" t="str">
        <f t="shared" si="215"/>
        <v/>
      </c>
      <c r="P942" s="199" t="str">
        <f t="shared" si="216"/>
        <v/>
      </c>
      <c r="Q942" s="199" t="str">
        <f>IF(B942="","",IFERROR(IF('עלויות כח אדם (6)'!J942&gt;=VLOOKUP(I942,'סיווג התפקידים והעלויות'!$B$23:$C$32,2,0),"תקין","לא תקין"),""))</f>
        <v/>
      </c>
      <c r="R942" s="199" t="str">
        <f t="shared" si="217"/>
        <v/>
      </c>
      <c r="S942" s="199" t="str">
        <f t="shared" si="218"/>
        <v/>
      </c>
      <c r="T942" s="199" t="str">
        <f t="shared" si="226"/>
        <v/>
      </c>
      <c r="U942" s="199" t="str">
        <f t="shared" si="219"/>
        <v/>
      </c>
      <c r="V942" s="989"/>
      <c r="X942" s="374" t="str">
        <f t="shared" si="220"/>
        <v/>
      </c>
      <c r="Y942" s="375" t="str">
        <f t="shared" si="221"/>
        <v/>
      </c>
      <c r="Z942" s="374" t="str">
        <f t="shared" si="222"/>
        <v/>
      </c>
      <c r="AA942" s="374" t="b">
        <f t="shared" si="223"/>
        <v>1</v>
      </c>
      <c r="AB942" s="374">
        <f>COUNTIFS(B:B,B942,H:H,'סיווג התפקידים והעלויות'!$C$2)</f>
        <v>0</v>
      </c>
      <c r="AC942" s="374">
        <f>COUNTIFS(B:B,B942,H:H,'סיווג התפקידים והעלויות'!$D$2)</f>
        <v>0</v>
      </c>
      <c r="AD942" s="374" t="str">
        <f>IF(OR(AND(H942='סיווג התפקידים והעלויות'!$A$2,I942='סיווג התפקידים והעלויות'!$A$3),'עלויות כח אדם (6)'!H942='סיווג התפקידים והעלויות'!$C$2,'עלויות כח אדם (6)'!H942='סיווג התפקידים והעלויות'!$D$2),IF('עלויות כח אדם (6)'!J942&lt;75,"לא תקין","תקין"),"")</f>
        <v/>
      </c>
      <c r="AE942" s="374" t="str">
        <f t="shared" si="224"/>
        <v/>
      </c>
      <c r="AF942" s="532" t="str">
        <f t="shared" si="225"/>
        <v/>
      </c>
    </row>
    <row r="943" spans="2:32" x14ac:dyDescent="0.25">
      <c r="B943" s="695"/>
      <c r="C943" s="197" t="str">
        <f>IF(B943&lt;&gt;"",IFERROR(VLOOKUP(B:B,'מצבת והרשמה (2)'!$C$20:$N$520,2,0)," ")," ")</f>
        <v xml:space="preserve"> </v>
      </c>
      <c r="D943" s="695"/>
      <c r="E943" s="696"/>
      <c r="F943" s="696"/>
      <c r="G943" s="696"/>
      <c r="H943" s="696"/>
      <c r="I943" s="1050" t="str">
        <f t="shared" si="212"/>
        <v/>
      </c>
      <c r="J943" s="696"/>
      <c r="K943" s="697"/>
      <c r="L943" s="696"/>
      <c r="M943" s="198" t="str">
        <f t="shared" si="213"/>
        <v/>
      </c>
      <c r="N943" s="369" t="str">
        <f t="shared" si="214"/>
        <v/>
      </c>
      <c r="O943" s="183" t="str">
        <f t="shared" si="215"/>
        <v/>
      </c>
      <c r="P943" s="199" t="str">
        <f t="shared" si="216"/>
        <v/>
      </c>
      <c r="Q943" s="199" t="str">
        <f>IF(B943="","",IFERROR(IF('עלויות כח אדם (6)'!J943&gt;=VLOOKUP(I943,'סיווג התפקידים והעלויות'!$B$23:$C$32,2,0),"תקין","לא תקין"),""))</f>
        <v/>
      </c>
      <c r="R943" s="199" t="str">
        <f t="shared" si="217"/>
        <v/>
      </c>
      <c r="S943" s="199" t="str">
        <f t="shared" si="218"/>
        <v/>
      </c>
      <c r="T943" s="199" t="str">
        <f t="shared" si="226"/>
        <v/>
      </c>
      <c r="U943" s="199" t="str">
        <f t="shared" si="219"/>
        <v/>
      </c>
      <c r="V943" s="989"/>
      <c r="X943" s="374" t="str">
        <f t="shared" si="220"/>
        <v/>
      </c>
      <c r="Y943" s="375" t="str">
        <f t="shared" si="221"/>
        <v/>
      </c>
      <c r="Z943" s="374" t="str">
        <f t="shared" si="222"/>
        <v/>
      </c>
      <c r="AA943" s="374" t="b">
        <f t="shared" si="223"/>
        <v>1</v>
      </c>
      <c r="AB943" s="374">
        <f>COUNTIFS(B:B,B943,H:H,'סיווג התפקידים והעלויות'!$C$2)</f>
        <v>0</v>
      </c>
      <c r="AC943" s="374">
        <f>COUNTIFS(B:B,B943,H:H,'סיווג התפקידים והעלויות'!$D$2)</f>
        <v>0</v>
      </c>
      <c r="AD943" s="374" t="str">
        <f>IF(OR(AND(H943='סיווג התפקידים והעלויות'!$A$2,I943='סיווג התפקידים והעלויות'!$A$3),'עלויות כח אדם (6)'!H943='סיווג התפקידים והעלויות'!$C$2,'עלויות כח אדם (6)'!H943='סיווג התפקידים והעלויות'!$D$2),IF('עלויות כח אדם (6)'!J943&lt;75,"לא תקין","תקין"),"")</f>
        <v/>
      </c>
      <c r="AE943" s="374" t="str">
        <f t="shared" si="224"/>
        <v/>
      </c>
      <c r="AF943" s="532" t="str">
        <f t="shared" si="225"/>
        <v/>
      </c>
    </row>
    <row r="944" spans="2:32" x14ac:dyDescent="0.25">
      <c r="B944" s="695"/>
      <c r="C944" s="197" t="str">
        <f>IF(B944&lt;&gt;"",IFERROR(VLOOKUP(B:B,'מצבת והרשמה (2)'!$C$20:$N$520,2,0)," ")," ")</f>
        <v xml:space="preserve"> </v>
      </c>
      <c r="D944" s="695"/>
      <c r="E944" s="696"/>
      <c r="F944" s="696"/>
      <c r="G944" s="696"/>
      <c r="H944" s="696"/>
      <c r="I944" s="1050" t="str">
        <f t="shared" si="212"/>
        <v/>
      </c>
      <c r="J944" s="696"/>
      <c r="K944" s="697"/>
      <c r="L944" s="696"/>
      <c r="M944" s="198" t="str">
        <f t="shared" si="213"/>
        <v/>
      </c>
      <c r="N944" s="369" t="str">
        <f t="shared" si="214"/>
        <v/>
      </c>
      <c r="O944" s="183" t="str">
        <f t="shared" si="215"/>
        <v/>
      </c>
      <c r="P944" s="199" t="str">
        <f t="shared" si="216"/>
        <v/>
      </c>
      <c r="Q944" s="199" t="str">
        <f>IF(B944="","",IFERROR(IF('עלויות כח אדם (6)'!J944&gt;=VLOOKUP(I944,'סיווג התפקידים והעלויות'!$B$23:$C$32,2,0),"תקין","לא תקין"),""))</f>
        <v/>
      </c>
      <c r="R944" s="199" t="str">
        <f t="shared" si="217"/>
        <v/>
      </c>
      <c r="S944" s="199" t="str">
        <f t="shared" si="218"/>
        <v/>
      </c>
      <c r="T944" s="199" t="str">
        <f t="shared" si="226"/>
        <v/>
      </c>
      <c r="U944" s="199" t="str">
        <f t="shared" si="219"/>
        <v/>
      </c>
      <c r="V944" s="989"/>
      <c r="X944" s="374" t="str">
        <f t="shared" si="220"/>
        <v/>
      </c>
      <c r="Y944" s="375" t="str">
        <f t="shared" si="221"/>
        <v/>
      </c>
      <c r="Z944" s="374" t="str">
        <f t="shared" si="222"/>
        <v/>
      </c>
      <c r="AA944" s="374" t="b">
        <f t="shared" si="223"/>
        <v>1</v>
      </c>
      <c r="AB944" s="374">
        <f>COUNTIFS(B:B,B944,H:H,'סיווג התפקידים והעלויות'!$C$2)</f>
        <v>0</v>
      </c>
      <c r="AC944" s="374">
        <f>COUNTIFS(B:B,B944,H:H,'סיווג התפקידים והעלויות'!$D$2)</f>
        <v>0</v>
      </c>
      <c r="AD944" s="374" t="str">
        <f>IF(OR(AND(H944='סיווג התפקידים והעלויות'!$A$2,I944='סיווג התפקידים והעלויות'!$A$3),'עלויות כח אדם (6)'!H944='סיווג התפקידים והעלויות'!$C$2,'עלויות כח אדם (6)'!H944='סיווג התפקידים והעלויות'!$D$2),IF('עלויות כח אדם (6)'!J944&lt;75,"לא תקין","תקין"),"")</f>
        <v/>
      </c>
      <c r="AE944" s="374" t="str">
        <f t="shared" si="224"/>
        <v/>
      </c>
      <c r="AF944" s="532" t="str">
        <f t="shared" si="225"/>
        <v/>
      </c>
    </row>
    <row r="945" spans="2:32" x14ac:dyDescent="0.25">
      <c r="B945" s="695"/>
      <c r="C945" s="197" t="str">
        <f>IF(B945&lt;&gt;"",IFERROR(VLOOKUP(B:B,'מצבת והרשמה (2)'!$C$20:$N$520,2,0)," ")," ")</f>
        <v xml:space="preserve"> </v>
      </c>
      <c r="D945" s="695"/>
      <c r="E945" s="696"/>
      <c r="F945" s="696"/>
      <c r="G945" s="696"/>
      <c r="H945" s="696"/>
      <c r="I945" s="1050" t="str">
        <f t="shared" si="212"/>
        <v/>
      </c>
      <c r="J945" s="696"/>
      <c r="K945" s="697"/>
      <c r="L945" s="696"/>
      <c r="M945" s="198" t="str">
        <f t="shared" si="213"/>
        <v/>
      </c>
      <c r="N945" s="369" t="str">
        <f t="shared" si="214"/>
        <v/>
      </c>
      <c r="O945" s="183" t="str">
        <f t="shared" si="215"/>
        <v/>
      </c>
      <c r="P945" s="199" t="str">
        <f t="shared" si="216"/>
        <v/>
      </c>
      <c r="Q945" s="199" t="str">
        <f>IF(B945="","",IFERROR(IF('עלויות כח אדם (6)'!J945&gt;=VLOOKUP(I945,'סיווג התפקידים והעלויות'!$B$23:$C$32,2,0),"תקין","לא תקין"),""))</f>
        <v/>
      </c>
      <c r="R945" s="199" t="str">
        <f t="shared" si="217"/>
        <v/>
      </c>
      <c r="S945" s="199" t="str">
        <f t="shared" si="218"/>
        <v/>
      </c>
      <c r="T945" s="199" t="str">
        <f t="shared" si="226"/>
        <v/>
      </c>
      <c r="U945" s="199" t="str">
        <f t="shared" si="219"/>
        <v/>
      </c>
      <c r="V945" s="989"/>
      <c r="X945" s="374" t="str">
        <f t="shared" si="220"/>
        <v/>
      </c>
      <c r="Y945" s="375" t="str">
        <f t="shared" si="221"/>
        <v/>
      </c>
      <c r="Z945" s="374" t="str">
        <f t="shared" si="222"/>
        <v/>
      </c>
      <c r="AA945" s="374" t="b">
        <f t="shared" si="223"/>
        <v>1</v>
      </c>
      <c r="AB945" s="374">
        <f>COUNTIFS(B:B,B945,H:H,'סיווג התפקידים והעלויות'!$C$2)</f>
        <v>0</v>
      </c>
      <c r="AC945" s="374">
        <f>COUNTIFS(B:B,B945,H:H,'סיווג התפקידים והעלויות'!$D$2)</f>
        <v>0</v>
      </c>
      <c r="AD945" s="374" t="str">
        <f>IF(OR(AND(H945='סיווג התפקידים והעלויות'!$A$2,I945='סיווג התפקידים והעלויות'!$A$3),'עלויות כח אדם (6)'!H945='סיווג התפקידים והעלויות'!$C$2,'עלויות כח אדם (6)'!H945='סיווג התפקידים והעלויות'!$D$2),IF('עלויות כח אדם (6)'!J945&lt;75,"לא תקין","תקין"),"")</f>
        <v/>
      </c>
      <c r="AE945" s="374" t="str">
        <f t="shared" si="224"/>
        <v/>
      </c>
      <c r="AF945" s="532" t="str">
        <f t="shared" si="225"/>
        <v/>
      </c>
    </row>
    <row r="946" spans="2:32" x14ac:dyDescent="0.25">
      <c r="B946" s="695"/>
      <c r="C946" s="197" t="str">
        <f>IF(B946&lt;&gt;"",IFERROR(VLOOKUP(B:B,'מצבת והרשמה (2)'!$C$20:$N$520,2,0)," ")," ")</f>
        <v xml:space="preserve"> </v>
      </c>
      <c r="D946" s="695"/>
      <c r="E946" s="696"/>
      <c r="F946" s="696"/>
      <c r="G946" s="696"/>
      <c r="H946" s="696"/>
      <c r="I946" s="1050" t="str">
        <f t="shared" si="212"/>
        <v/>
      </c>
      <c r="J946" s="696"/>
      <c r="K946" s="697"/>
      <c r="L946" s="696"/>
      <c r="M946" s="198" t="str">
        <f t="shared" si="213"/>
        <v/>
      </c>
      <c r="N946" s="369" t="str">
        <f t="shared" si="214"/>
        <v/>
      </c>
      <c r="O946" s="183" t="str">
        <f t="shared" si="215"/>
        <v/>
      </c>
      <c r="P946" s="199" t="str">
        <f t="shared" si="216"/>
        <v/>
      </c>
      <c r="Q946" s="199" t="str">
        <f>IF(B946="","",IFERROR(IF('עלויות כח אדם (6)'!J946&gt;=VLOOKUP(I946,'סיווג התפקידים והעלויות'!$B$23:$C$32,2,0),"תקין","לא תקין"),""))</f>
        <v/>
      </c>
      <c r="R946" s="199" t="str">
        <f t="shared" si="217"/>
        <v/>
      </c>
      <c r="S946" s="199" t="str">
        <f t="shared" si="218"/>
        <v/>
      </c>
      <c r="T946" s="199" t="str">
        <f t="shared" si="226"/>
        <v/>
      </c>
      <c r="U946" s="199" t="str">
        <f t="shared" si="219"/>
        <v/>
      </c>
      <c r="V946" s="989"/>
      <c r="X946" s="374" t="str">
        <f t="shared" si="220"/>
        <v/>
      </c>
      <c r="Y946" s="375" t="str">
        <f t="shared" si="221"/>
        <v/>
      </c>
      <c r="Z946" s="374" t="str">
        <f t="shared" si="222"/>
        <v/>
      </c>
      <c r="AA946" s="374" t="b">
        <f t="shared" si="223"/>
        <v>1</v>
      </c>
      <c r="AB946" s="374">
        <f>COUNTIFS(B:B,B946,H:H,'סיווג התפקידים והעלויות'!$C$2)</f>
        <v>0</v>
      </c>
      <c r="AC946" s="374">
        <f>COUNTIFS(B:B,B946,H:H,'סיווג התפקידים והעלויות'!$D$2)</f>
        <v>0</v>
      </c>
      <c r="AD946" s="374" t="str">
        <f>IF(OR(AND(H946='סיווג התפקידים והעלויות'!$A$2,I946='סיווג התפקידים והעלויות'!$A$3),'עלויות כח אדם (6)'!H946='סיווג התפקידים והעלויות'!$C$2,'עלויות כח אדם (6)'!H946='סיווג התפקידים והעלויות'!$D$2),IF('עלויות כח אדם (6)'!J946&lt;75,"לא תקין","תקין"),"")</f>
        <v/>
      </c>
      <c r="AE946" s="374" t="str">
        <f t="shared" si="224"/>
        <v/>
      </c>
      <c r="AF946" s="532" t="str">
        <f t="shared" si="225"/>
        <v/>
      </c>
    </row>
    <row r="947" spans="2:32" x14ac:dyDescent="0.25">
      <c r="B947" s="695"/>
      <c r="C947" s="197" t="str">
        <f>IF(B947&lt;&gt;"",IFERROR(VLOOKUP(B:B,'מצבת והרשמה (2)'!$C$20:$N$520,2,0)," ")," ")</f>
        <v xml:space="preserve"> </v>
      </c>
      <c r="D947" s="695"/>
      <c r="E947" s="696"/>
      <c r="F947" s="696"/>
      <c r="G947" s="696"/>
      <c r="H947" s="696"/>
      <c r="I947" s="1050" t="str">
        <f t="shared" si="212"/>
        <v/>
      </c>
      <c r="J947" s="696"/>
      <c r="K947" s="697"/>
      <c r="L947" s="696"/>
      <c r="M947" s="198" t="str">
        <f t="shared" si="213"/>
        <v/>
      </c>
      <c r="N947" s="369" t="str">
        <f t="shared" si="214"/>
        <v/>
      </c>
      <c r="O947" s="183" t="str">
        <f t="shared" si="215"/>
        <v/>
      </c>
      <c r="P947" s="199" t="str">
        <f t="shared" si="216"/>
        <v/>
      </c>
      <c r="Q947" s="199" t="str">
        <f>IF(B947="","",IFERROR(IF('עלויות כח אדם (6)'!J947&gt;=VLOOKUP(I947,'סיווג התפקידים והעלויות'!$B$23:$C$32,2,0),"תקין","לא תקין"),""))</f>
        <v/>
      </c>
      <c r="R947" s="199" t="str">
        <f t="shared" si="217"/>
        <v/>
      </c>
      <c r="S947" s="199" t="str">
        <f t="shared" si="218"/>
        <v/>
      </c>
      <c r="T947" s="199" t="str">
        <f t="shared" si="226"/>
        <v/>
      </c>
      <c r="U947" s="199" t="str">
        <f t="shared" si="219"/>
        <v/>
      </c>
      <c r="V947" s="989"/>
      <c r="X947" s="374" t="str">
        <f t="shared" si="220"/>
        <v/>
      </c>
      <c r="Y947" s="375" t="str">
        <f t="shared" si="221"/>
        <v/>
      </c>
      <c r="Z947" s="374" t="str">
        <f t="shared" si="222"/>
        <v/>
      </c>
      <c r="AA947" s="374" t="b">
        <f t="shared" si="223"/>
        <v>1</v>
      </c>
      <c r="AB947" s="374">
        <f>COUNTIFS(B:B,B947,H:H,'סיווג התפקידים והעלויות'!$C$2)</f>
        <v>0</v>
      </c>
      <c r="AC947" s="374">
        <f>COUNTIFS(B:B,B947,H:H,'סיווג התפקידים והעלויות'!$D$2)</f>
        <v>0</v>
      </c>
      <c r="AD947" s="374" t="str">
        <f>IF(OR(AND(H947='סיווג התפקידים והעלויות'!$A$2,I947='סיווג התפקידים והעלויות'!$A$3),'עלויות כח אדם (6)'!H947='סיווג התפקידים והעלויות'!$C$2,'עלויות כח אדם (6)'!H947='סיווג התפקידים והעלויות'!$D$2),IF('עלויות כח אדם (6)'!J947&lt;75,"לא תקין","תקין"),"")</f>
        <v/>
      </c>
      <c r="AE947" s="374" t="str">
        <f t="shared" si="224"/>
        <v/>
      </c>
      <c r="AF947" s="532" t="str">
        <f t="shared" si="225"/>
        <v/>
      </c>
    </row>
    <row r="948" spans="2:32" x14ac:dyDescent="0.25">
      <c r="B948" s="695"/>
      <c r="C948" s="197" t="str">
        <f>IF(B948&lt;&gt;"",IFERROR(VLOOKUP(B:B,'מצבת והרשמה (2)'!$C$20:$N$520,2,0)," ")," ")</f>
        <v xml:space="preserve"> </v>
      </c>
      <c r="D948" s="695"/>
      <c r="E948" s="696"/>
      <c r="F948" s="696"/>
      <c r="G948" s="696"/>
      <c r="H948" s="696"/>
      <c r="I948" s="1050" t="str">
        <f t="shared" si="212"/>
        <v/>
      </c>
      <c r="J948" s="696"/>
      <c r="K948" s="697"/>
      <c r="L948" s="696"/>
      <c r="M948" s="198" t="str">
        <f t="shared" si="213"/>
        <v/>
      </c>
      <c r="N948" s="369" t="str">
        <f t="shared" si="214"/>
        <v/>
      </c>
      <c r="O948" s="183" t="str">
        <f t="shared" si="215"/>
        <v/>
      </c>
      <c r="P948" s="199" t="str">
        <f t="shared" si="216"/>
        <v/>
      </c>
      <c r="Q948" s="199" t="str">
        <f>IF(B948="","",IFERROR(IF('עלויות כח אדם (6)'!J948&gt;=VLOOKUP(I948,'סיווג התפקידים והעלויות'!$B$23:$C$32,2,0),"תקין","לא תקין"),""))</f>
        <v/>
      </c>
      <c r="R948" s="199" t="str">
        <f t="shared" si="217"/>
        <v/>
      </c>
      <c r="S948" s="199" t="str">
        <f t="shared" si="218"/>
        <v/>
      </c>
      <c r="T948" s="199" t="str">
        <f t="shared" si="226"/>
        <v/>
      </c>
      <c r="U948" s="199" t="str">
        <f t="shared" si="219"/>
        <v/>
      </c>
      <c r="V948" s="989"/>
      <c r="X948" s="374" t="str">
        <f t="shared" si="220"/>
        <v/>
      </c>
      <c r="Y948" s="375" t="str">
        <f t="shared" si="221"/>
        <v/>
      </c>
      <c r="Z948" s="374" t="str">
        <f t="shared" si="222"/>
        <v/>
      </c>
      <c r="AA948" s="374" t="b">
        <f t="shared" si="223"/>
        <v>1</v>
      </c>
      <c r="AB948" s="374">
        <f>COUNTIFS(B:B,B948,H:H,'סיווג התפקידים והעלויות'!$C$2)</f>
        <v>0</v>
      </c>
      <c r="AC948" s="374">
        <f>COUNTIFS(B:B,B948,H:H,'סיווג התפקידים והעלויות'!$D$2)</f>
        <v>0</v>
      </c>
      <c r="AD948" s="374" t="str">
        <f>IF(OR(AND(H948='סיווג התפקידים והעלויות'!$A$2,I948='סיווג התפקידים והעלויות'!$A$3),'עלויות כח אדם (6)'!H948='סיווג התפקידים והעלויות'!$C$2,'עלויות כח אדם (6)'!H948='סיווג התפקידים והעלויות'!$D$2),IF('עלויות כח אדם (6)'!J948&lt;75,"לא תקין","תקין"),"")</f>
        <v/>
      </c>
      <c r="AE948" s="374" t="str">
        <f t="shared" si="224"/>
        <v/>
      </c>
      <c r="AF948" s="532" t="str">
        <f t="shared" si="225"/>
        <v/>
      </c>
    </row>
    <row r="949" spans="2:32" x14ac:dyDescent="0.25">
      <c r="B949" s="695"/>
      <c r="C949" s="197" t="str">
        <f>IF(B949&lt;&gt;"",IFERROR(VLOOKUP(B:B,'מצבת והרשמה (2)'!$C$20:$N$520,2,0)," ")," ")</f>
        <v xml:space="preserve"> </v>
      </c>
      <c r="D949" s="695"/>
      <c r="E949" s="696"/>
      <c r="F949" s="696"/>
      <c r="G949" s="696"/>
      <c r="H949" s="696"/>
      <c r="I949" s="1050" t="str">
        <f t="shared" si="212"/>
        <v/>
      </c>
      <c r="J949" s="696"/>
      <c r="K949" s="697"/>
      <c r="L949" s="696"/>
      <c r="M949" s="198" t="str">
        <f t="shared" si="213"/>
        <v/>
      </c>
      <c r="N949" s="369" t="str">
        <f t="shared" si="214"/>
        <v/>
      </c>
      <c r="O949" s="183" t="str">
        <f t="shared" si="215"/>
        <v/>
      </c>
      <c r="P949" s="199" t="str">
        <f t="shared" si="216"/>
        <v/>
      </c>
      <c r="Q949" s="199" t="str">
        <f>IF(B949="","",IFERROR(IF('עלויות כח אדם (6)'!J949&gt;=VLOOKUP(I949,'סיווג התפקידים והעלויות'!$B$23:$C$32,2,0),"תקין","לא תקין"),""))</f>
        <v/>
      </c>
      <c r="R949" s="199" t="str">
        <f t="shared" si="217"/>
        <v/>
      </c>
      <c r="S949" s="199" t="str">
        <f t="shared" si="218"/>
        <v/>
      </c>
      <c r="T949" s="199" t="str">
        <f t="shared" si="226"/>
        <v/>
      </c>
      <c r="U949" s="199" t="str">
        <f t="shared" si="219"/>
        <v/>
      </c>
      <c r="V949" s="989"/>
      <c r="X949" s="374" t="str">
        <f t="shared" si="220"/>
        <v/>
      </c>
      <c r="Y949" s="375" t="str">
        <f t="shared" si="221"/>
        <v/>
      </c>
      <c r="Z949" s="374" t="str">
        <f t="shared" si="222"/>
        <v/>
      </c>
      <c r="AA949" s="374" t="b">
        <f t="shared" si="223"/>
        <v>1</v>
      </c>
      <c r="AB949" s="374">
        <f>COUNTIFS(B:B,B949,H:H,'סיווג התפקידים והעלויות'!$C$2)</f>
        <v>0</v>
      </c>
      <c r="AC949" s="374">
        <f>COUNTIFS(B:B,B949,H:H,'סיווג התפקידים והעלויות'!$D$2)</f>
        <v>0</v>
      </c>
      <c r="AD949" s="374" t="str">
        <f>IF(OR(AND(H949='סיווג התפקידים והעלויות'!$A$2,I949='סיווג התפקידים והעלויות'!$A$3),'עלויות כח אדם (6)'!H949='סיווג התפקידים והעלויות'!$C$2,'עלויות כח אדם (6)'!H949='סיווג התפקידים והעלויות'!$D$2),IF('עלויות כח אדם (6)'!J949&lt;75,"לא תקין","תקין"),"")</f>
        <v/>
      </c>
      <c r="AE949" s="374" t="str">
        <f t="shared" si="224"/>
        <v/>
      </c>
      <c r="AF949" s="532" t="str">
        <f t="shared" si="225"/>
        <v/>
      </c>
    </row>
    <row r="950" spans="2:32" x14ac:dyDescent="0.25">
      <c r="B950" s="695"/>
      <c r="C950" s="197" t="str">
        <f>IF(B950&lt;&gt;"",IFERROR(VLOOKUP(B:B,'מצבת והרשמה (2)'!$C$20:$N$520,2,0)," ")," ")</f>
        <v xml:space="preserve"> </v>
      </c>
      <c r="D950" s="695"/>
      <c r="E950" s="696"/>
      <c r="F950" s="696"/>
      <c r="G950" s="696"/>
      <c r="H950" s="696"/>
      <c r="I950" s="1050" t="str">
        <f t="shared" si="212"/>
        <v/>
      </c>
      <c r="J950" s="696"/>
      <c r="K950" s="697"/>
      <c r="L950" s="696"/>
      <c r="M950" s="198" t="str">
        <f t="shared" si="213"/>
        <v/>
      </c>
      <c r="N950" s="369" t="str">
        <f t="shared" si="214"/>
        <v/>
      </c>
      <c r="O950" s="183" t="str">
        <f t="shared" si="215"/>
        <v/>
      </c>
      <c r="P950" s="199" t="str">
        <f t="shared" si="216"/>
        <v/>
      </c>
      <c r="Q950" s="199" t="str">
        <f>IF(B950="","",IFERROR(IF('עלויות כח אדם (6)'!J950&gt;=VLOOKUP(I950,'סיווג התפקידים והעלויות'!$B$23:$C$32,2,0),"תקין","לא תקין"),""))</f>
        <v/>
      </c>
      <c r="R950" s="199" t="str">
        <f t="shared" si="217"/>
        <v/>
      </c>
      <c r="S950" s="199" t="str">
        <f t="shared" si="218"/>
        <v/>
      </c>
      <c r="T950" s="199" t="str">
        <f t="shared" si="226"/>
        <v/>
      </c>
      <c r="U950" s="199" t="str">
        <f t="shared" si="219"/>
        <v/>
      </c>
      <c r="V950" s="989"/>
      <c r="X950" s="374" t="str">
        <f t="shared" si="220"/>
        <v/>
      </c>
      <c r="Y950" s="375" t="str">
        <f t="shared" si="221"/>
        <v/>
      </c>
      <c r="Z950" s="374" t="str">
        <f t="shared" si="222"/>
        <v/>
      </c>
      <c r="AA950" s="374" t="b">
        <f t="shared" si="223"/>
        <v>1</v>
      </c>
      <c r="AB950" s="374">
        <f>COUNTIFS(B:B,B950,H:H,'סיווג התפקידים והעלויות'!$C$2)</f>
        <v>0</v>
      </c>
      <c r="AC950" s="374">
        <f>COUNTIFS(B:B,B950,H:H,'סיווג התפקידים והעלויות'!$D$2)</f>
        <v>0</v>
      </c>
      <c r="AD950" s="374" t="str">
        <f>IF(OR(AND(H950='סיווג התפקידים והעלויות'!$A$2,I950='סיווג התפקידים והעלויות'!$A$3),'עלויות כח אדם (6)'!H950='סיווג התפקידים והעלויות'!$C$2,'עלויות כח אדם (6)'!H950='סיווג התפקידים והעלויות'!$D$2),IF('עלויות כח אדם (6)'!J950&lt;75,"לא תקין","תקין"),"")</f>
        <v/>
      </c>
      <c r="AE950" s="374" t="str">
        <f t="shared" si="224"/>
        <v/>
      </c>
      <c r="AF950" s="532" t="str">
        <f t="shared" si="225"/>
        <v/>
      </c>
    </row>
    <row r="951" spans="2:32" x14ac:dyDescent="0.25">
      <c r="B951" s="695"/>
      <c r="C951" s="197" t="str">
        <f>IF(B951&lt;&gt;"",IFERROR(VLOOKUP(B:B,'מצבת והרשמה (2)'!$C$20:$N$520,2,0)," ")," ")</f>
        <v xml:space="preserve"> </v>
      </c>
      <c r="D951" s="695"/>
      <c r="E951" s="696"/>
      <c r="F951" s="696"/>
      <c r="G951" s="696"/>
      <c r="H951" s="696"/>
      <c r="I951" s="1050" t="str">
        <f t="shared" si="212"/>
        <v/>
      </c>
      <c r="J951" s="696"/>
      <c r="K951" s="697"/>
      <c r="L951" s="696"/>
      <c r="M951" s="198" t="str">
        <f t="shared" si="213"/>
        <v/>
      </c>
      <c r="N951" s="369" t="str">
        <f t="shared" si="214"/>
        <v/>
      </c>
      <c r="O951" s="183" t="str">
        <f t="shared" si="215"/>
        <v/>
      </c>
      <c r="P951" s="199" t="str">
        <f t="shared" si="216"/>
        <v/>
      </c>
      <c r="Q951" s="199" t="str">
        <f>IF(B951="","",IFERROR(IF('עלויות כח אדם (6)'!J951&gt;=VLOOKUP(I951,'סיווג התפקידים והעלויות'!$B$23:$C$32,2,0),"תקין","לא תקין"),""))</f>
        <v/>
      </c>
      <c r="R951" s="199" t="str">
        <f t="shared" si="217"/>
        <v/>
      </c>
      <c r="S951" s="199" t="str">
        <f t="shared" si="218"/>
        <v/>
      </c>
      <c r="T951" s="199" t="str">
        <f t="shared" si="226"/>
        <v/>
      </c>
      <c r="U951" s="199" t="str">
        <f t="shared" si="219"/>
        <v/>
      </c>
      <c r="V951" s="989"/>
      <c r="X951" s="374" t="str">
        <f t="shared" si="220"/>
        <v/>
      </c>
      <c r="Y951" s="375" t="str">
        <f t="shared" si="221"/>
        <v/>
      </c>
      <c r="Z951" s="374" t="str">
        <f t="shared" si="222"/>
        <v/>
      </c>
      <c r="AA951" s="374" t="b">
        <f t="shared" si="223"/>
        <v>1</v>
      </c>
      <c r="AB951" s="374">
        <f>COUNTIFS(B:B,B951,H:H,'סיווג התפקידים והעלויות'!$C$2)</f>
        <v>0</v>
      </c>
      <c r="AC951" s="374">
        <f>COUNTIFS(B:B,B951,H:H,'סיווג התפקידים והעלויות'!$D$2)</f>
        <v>0</v>
      </c>
      <c r="AD951" s="374" t="str">
        <f>IF(OR(AND(H951='סיווג התפקידים והעלויות'!$A$2,I951='סיווג התפקידים והעלויות'!$A$3),'עלויות כח אדם (6)'!H951='סיווג התפקידים והעלויות'!$C$2,'עלויות כח אדם (6)'!H951='סיווג התפקידים והעלויות'!$D$2),IF('עלויות כח אדם (6)'!J951&lt;75,"לא תקין","תקין"),"")</f>
        <v/>
      </c>
      <c r="AE951" s="374" t="str">
        <f t="shared" si="224"/>
        <v/>
      </c>
      <c r="AF951" s="532" t="str">
        <f t="shared" si="225"/>
        <v/>
      </c>
    </row>
    <row r="952" spans="2:32" x14ac:dyDescent="0.25">
      <c r="B952" s="695"/>
      <c r="C952" s="197" t="str">
        <f>IF(B952&lt;&gt;"",IFERROR(VLOOKUP(B:B,'מצבת והרשמה (2)'!$C$20:$N$520,2,0)," ")," ")</f>
        <v xml:space="preserve"> </v>
      </c>
      <c r="D952" s="695"/>
      <c r="E952" s="696"/>
      <c r="F952" s="696"/>
      <c r="G952" s="696"/>
      <c r="H952" s="696"/>
      <c r="I952" s="1050" t="str">
        <f t="shared" si="212"/>
        <v/>
      </c>
      <c r="J952" s="696"/>
      <c r="K952" s="697"/>
      <c r="L952" s="696"/>
      <c r="M952" s="198" t="str">
        <f t="shared" si="213"/>
        <v/>
      </c>
      <c r="N952" s="369" t="str">
        <f t="shared" si="214"/>
        <v/>
      </c>
      <c r="O952" s="183" t="str">
        <f t="shared" si="215"/>
        <v/>
      </c>
      <c r="P952" s="199" t="str">
        <f t="shared" si="216"/>
        <v/>
      </c>
      <c r="Q952" s="199" t="str">
        <f>IF(B952="","",IFERROR(IF('עלויות כח אדם (6)'!J952&gt;=VLOOKUP(I952,'סיווג התפקידים והעלויות'!$B$23:$C$32,2,0),"תקין","לא תקין"),""))</f>
        <v/>
      </c>
      <c r="R952" s="199" t="str">
        <f t="shared" si="217"/>
        <v/>
      </c>
      <c r="S952" s="199" t="str">
        <f t="shared" si="218"/>
        <v/>
      </c>
      <c r="T952" s="199" t="str">
        <f t="shared" si="226"/>
        <v/>
      </c>
      <c r="U952" s="199" t="str">
        <f t="shared" si="219"/>
        <v/>
      </c>
      <c r="V952" s="989"/>
      <c r="X952" s="374" t="str">
        <f t="shared" si="220"/>
        <v/>
      </c>
      <c r="Y952" s="375" t="str">
        <f t="shared" si="221"/>
        <v/>
      </c>
      <c r="Z952" s="374" t="str">
        <f t="shared" si="222"/>
        <v/>
      </c>
      <c r="AA952" s="374" t="b">
        <f t="shared" si="223"/>
        <v>1</v>
      </c>
      <c r="AB952" s="374">
        <f>COUNTIFS(B:B,B952,H:H,'סיווג התפקידים והעלויות'!$C$2)</f>
        <v>0</v>
      </c>
      <c r="AC952" s="374">
        <f>COUNTIFS(B:B,B952,H:H,'סיווג התפקידים והעלויות'!$D$2)</f>
        <v>0</v>
      </c>
      <c r="AD952" s="374" t="str">
        <f>IF(OR(AND(H952='סיווג התפקידים והעלויות'!$A$2,I952='סיווג התפקידים והעלויות'!$A$3),'עלויות כח אדם (6)'!H952='סיווג התפקידים והעלויות'!$C$2,'עלויות כח אדם (6)'!H952='סיווג התפקידים והעלויות'!$D$2),IF('עלויות כח אדם (6)'!J952&lt;75,"לא תקין","תקין"),"")</f>
        <v/>
      </c>
      <c r="AE952" s="374" t="str">
        <f t="shared" si="224"/>
        <v/>
      </c>
      <c r="AF952" s="532" t="str">
        <f t="shared" si="225"/>
        <v/>
      </c>
    </row>
    <row r="953" spans="2:32" x14ac:dyDescent="0.25">
      <c r="B953" s="695"/>
      <c r="C953" s="197" t="str">
        <f>IF(B953&lt;&gt;"",IFERROR(VLOOKUP(B:B,'מצבת והרשמה (2)'!$C$20:$N$520,2,0)," ")," ")</f>
        <v xml:space="preserve"> </v>
      </c>
      <c r="D953" s="695"/>
      <c r="E953" s="696"/>
      <c r="F953" s="696"/>
      <c r="G953" s="696"/>
      <c r="H953" s="696"/>
      <c r="I953" s="1050" t="str">
        <f t="shared" si="212"/>
        <v/>
      </c>
      <c r="J953" s="696"/>
      <c r="K953" s="697"/>
      <c r="L953" s="696"/>
      <c r="M953" s="198" t="str">
        <f t="shared" si="213"/>
        <v/>
      </c>
      <c r="N953" s="369" t="str">
        <f t="shared" si="214"/>
        <v/>
      </c>
      <c r="O953" s="183" t="str">
        <f t="shared" si="215"/>
        <v/>
      </c>
      <c r="P953" s="199" t="str">
        <f t="shared" si="216"/>
        <v/>
      </c>
      <c r="Q953" s="199" t="str">
        <f>IF(B953="","",IFERROR(IF('עלויות כח אדם (6)'!J953&gt;=VLOOKUP(I953,'סיווג התפקידים והעלויות'!$B$23:$C$32,2,0),"תקין","לא תקין"),""))</f>
        <v/>
      </c>
      <c r="R953" s="199" t="str">
        <f t="shared" si="217"/>
        <v/>
      </c>
      <c r="S953" s="199" t="str">
        <f t="shared" si="218"/>
        <v/>
      </c>
      <c r="T953" s="199" t="str">
        <f t="shared" si="226"/>
        <v/>
      </c>
      <c r="U953" s="199" t="str">
        <f t="shared" si="219"/>
        <v/>
      </c>
      <c r="V953" s="989"/>
      <c r="X953" s="374" t="str">
        <f t="shared" si="220"/>
        <v/>
      </c>
      <c r="Y953" s="375" t="str">
        <f t="shared" si="221"/>
        <v/>
      </c>
      <c r="Z953" s="374" t="str">
        <f t="shared" si="222"/>
        <v/>
      </c>
      <c r="AA953" s="374" t="b">
        <f t="shared" si="223"/>
        <v>1</v>
      </c>
      <c r="AB953" s="374">
        <f>COUNTIFS(B:B,B953,H:H,'סיווג התפקידים והעלויות'!$C$2)</f>
        <v>0</v>
      </c>
      <c r="AC953" s="374">
        <f>COUNTIFS(B:B,B953,H:H,'סיווג התפקידים והעלויות'!$D$2)</f>
        <v>0</v>
      </c>
      <c r="AD953" s="374" t="str">
        <f>IF(OR(AND(H953='סיווג התפקידים והעלויות'!$A$2,I953='סיווג התפקידים והעלויות'!$A$3),'עלויות כח אדם (6)'!H953='סיווג התפקידים והעלויות'!$C$2,'עלויות כח אדם (6)'!H953='סיווג התפקידים והעלויות'!$D$2),IF('עלויות כח אדם (6)'!J953&lt;75,"לא תקין","תקין"),"")</f>
        <v/>
      </c>
      <c r="AE953" s="374" t="str">
        <f t="shared" si="224"/>
        <v/>
      </c>
      <c r="AF953" s="532" t="str">
        <f t="shared" si="225"/>
        <v/>
      </c>
    </row>
    <row r="954" spans="2:32" x14ac:dyDescent="0.25">
      <c r="B954" s="695"/>
      <c r="C954" s="197" t="str">
        <f>IF(B954&lt;&gt;"",IFERROR(VLOOKUP(B:B,'מצבת והרשמה (2)'!$C$20:$N$520,2,0)," ")," ")</f>
        <v xml:space="preserve"> </v>
      </c>
      <c r="D954" s="695"/>
      <c r="E954" s="696"/>
      <c r="F954" s="696"/>
      <c r="G954" s="696"/>
      <c r="H954" s="696"/>
      <c r="I954" s="1050" t="str">
        <f t="shared" si="212"/>
        <v/>
      </c>
      <c r="J954" s="696"/>
      <c r="K954" s="697"/>
      <c r="L954" s="696"/>
      <c r="M954" s="198" t="str">
        <f t="shared" si="213"/>
        <v/>
      </c>
      <c r="N954" s="369" t="str">
        <f t="shared" si="214"/>
        <v/>
      </c>
      <c r="O954" s="183" t="str">
        <f t="shared" si="215"/>
        <v/>
      </c>
      <c r="P954" s="199" t="str">
        <f t="shared" si="216"/>
        <v/>
      </c>
      <c r="Q954" s="199" t="str">
        <f>IF(B954="","",IFERROR(IF('עלויות כח אדם (6)'!J954&gt;=VLOOKUP(I954,'סיווג התפקידים והעלויות'!$B$23:$C$32,2,0),"תקין","לא תקין"),""))</f>
        <v/>
      </c>
      <c r="R954" s="199" t="str">
        <f t="shared" si="217"/>
        <v/>
      </c>
      <c r="S954" s="199" t="str">
        <f t="shared" si="218"/>
        <v/>
      </c>
      <c r="T954" s="199" t="str">
        <f t="shared" si="226"/>
        <v/>
      </c>
      <c r="U954" s="199" t="str">
        <f t="shared" si="219"/>
        <v/>
      </c>
      <c r="V954" s="989"/>
      <c r="X954" s="374" t="str">
        <f t="shared" si="220"/>
        <v/>
      </c>
      <c r="Y954" s="375" t="str">
        <f t="shared" si="221"/>
        <v/>
      </c>
      <c r="Z954" s="374" t="str">
        <f t="shared" si="222"/>
        <v/>
      </c>
      <c r="AA954" s="374" t="b">
        <f t="shared" si="223"/>
        <v>1</v>
      </c>
      <c r="AB954" s="374">
        <f>COUNTIFS(B:B,B954,H:H,'סיווג התפקידים והעלויות'!$C$2)</f>
        <v>0</v>
      </c>
      <c r="AC954" s="374">
        <f>COUNTIFS(B:B,B954,H:H,'סיווג התפקידים והעלויות'!$D$2)</f>
        <v>0</v>
      </c>
      <c r="AD954" s="374" t="str">
        <f>IF(OR(AND(H954='סיווג התפקידים והעלויות'!$A$2,I954='סיווג התפקידים והעלויות'!$A$3),'עלויות כח אדם (6)'!H954='סיווג התפקידים והעלויות'!$C$2,'עלויות כח אדם (6)'!H954='סיווג התפקידים והעלויות'!$D$2),IF('עלויות כח אדם (6)'!J954&lt;75,"לא תקין","תקין"),"")</f>
        <v/>
      </c>
      <c r="AE954" s="374" t="str">
        <f t="shared" si="224"/>
        <v/>
      </c>
      <c r="AF954" s="532" t="str">
        <f t="shared" si="225"/>
        <v/>
      </c>
    </row>
    <row r="955" spans="2:32" x14ac:dyDescent="0.25">
      <c r="B955" s="695"/>
      <c r="C955" s="197" t="str">
        <f>IF(B955&lt;&gt;"",IFERROR(VLOOKUP(B:B,'מצבת והרשמה (2)'!$C$20:$N$520,2,0)," ")," ")</f>
        <v xml:space="preserve"> </v>
      </c>
      <c r="D955" s="695"/>
      <c r="E955" s="696"/>
      <c r="F955" s="696"/>
      <c r="G955" s="696"/>
      <c r="H955" s="696"/>
      <c r="I955" s="1050" t="str">
        <f t="shared" si="212"/>
        <v/>
      </c>
      <c r="J955" s="696"/>
      <c r="K955" s="697"/>
      <c r="L955" s="696"/>
      <c r="M955" s="198" t="str">
        <f t="shared" si="213"/>
        <v/>
      </c>
      <c r="N955" s="369" t="str">
        <f t="shared" si="214"/>
        <v/>
      </c>
      <c r="O955" s="183" t="str">
        <f t="shared" si="215"/>
        <v/>
      </c>
      <c r="P955" s="199" t="str">
        <f t="shared" si="216"/>
        <v/>
      </c>
      <c r="Q955" s="199" t="str">
        <f>IF(B955="","",IFERROR(IF('עלויות כח אדם (6)'!J955&gt;=VLOOKUP(I955,'סיווג התפקידים והעלויות'!$B$23:$C$32,2,0),"תקין","לא תקין"),""))</f>
        <v/>
      </c>
      <c r="R955" s="199" t="str">
        <f t="shared" si="217"/>
        <v/>
      </c>
      <c r="S955" s="199" t="str">
        <f t="shared" si="218"/>
        <v/>
      </c>
      <c r="T955" s="199" t="str">
        <f t="shared" si="226"/>
        <v/>
      </c>
      <c r="U955" s="199" t="str">
        <f t="shared" si="219"/>
        <v/>
      </c>
      <c r="V955" s="989"/>
      <c r="X955" s="374" t="str">
        <f t="shared" si="220"/>
        <v/>
      </c>
      <c r="Y955" s="375" t="str">
        <f t="shared" si="221"/>
        <v/>
      </c>
      <c r="Z955" s="374" t="str">
        <f t="shared" si="222"/>
        <v/>
      </c>
      <c r="AA955" s="374" t="b">
        <f t="shared" si="223"/>
        <v>1</v>
      </c>
      <c r="AB955" s="374">
        <f>COUNTIFS(B:B,B955,H:H,'סיווג התפקידים והעלויות'!$C$2)</f>
        <v>0</v>
      </c>
      <c r="AC955" s="374">
        <f>COUNTIFS(B:B,B955,H:H,'סיווג התפקידים והעלויות'!$D$2)</f>
        <v>0</v>
      </c>
      <c r="AD955" s="374" t="str">
        <f>IF(OR(AND(H955='סיווג התפקידים והעלויות'!$A$2,I955='סיווג התפקידים והעלויות'!$A$3),'עלויות כח אדם (6)'!H955='סיווג התפקידים והעלויות'!$C$2,'עלויות כח אדם (6)'!H955='סיווג התפקידים והעלויות'!$D$2),IF('עלויות כח אדם (6)'!J955&lt;75,"לא תקין","תקין"),"")</f>
        <v/>
      </c>
      <c r="AE955" s="374" t="str">
        <f t="shared" si="224"/>
        <v/>
      </c>
      <c r="AF955" s="532" t="str">
        <f t="shared" si="225"/>
        <v/>
      </c>
    </row>
    <row r="956" spans="2:32" x14ac:dyDescent="0.25">
      <c r="B956" s="695"/>
      <c r="C956" s="197" t="str">
        <f>IF(B956&lt;&gt;"",IFERROR(VLOOKUP(B:B,'מצבת והרשמה (2)'!$C$20:$N$520,2,0)," ")," ")</f>
        <v xml:space="preserve"> </v>
      </c>
      <c r="D956" s="695"/>
      <c r="E956" s="696"/>
      <c r="F956" s="696"/>
      <c r="G956" s="696"/>
      <c r="H956" s="696"/>
      <c r="I956" s="1050" t="str">
        <f t="shared" si="212"/>
        <v/>
      </c>
      <c r="J956" s="696"/>
      <c r="K956" s="697"/>
      <c r="L956" s="696"/>
      <c r="M956" s="198" t="str">
        <f t="shared" si="213"/>
        <v/>
      </c>
      <c r="N956" s="369" t="str">
        <f t="shared" si="214"/>
        <v/>
      </c>
      <c r="O956" s="183" t="str">
        <f t="shared" si="215"/>
        <v/>
      </c>
      <c r="P956" s="199" t="str">
        <f t="shared" si="216"/>
        <v/>
      </c>
      <c r="Q956" s="199" t="str">
        <f>IF(B956="","",IFERROR(IF('עלויות כח אדם (6)'!J956&gt;=VLOOKUP(I956,'סיווג התפקידים והעלויות'!$B$23:$C$32,2,0),"תקין","לא תקין"),""))</f>
        <v/>
      </c>
      <c r="R956" s="199" t="str">
        <f t="shared" si="217"/>
        <v/>
      </c>
      <c r="S956" s="199" t="str">
        <f t="shared" si="218"/>
        <v/>
      </c>
      <c r="T956" s="199" t="str">
        <f t="shared" si="226"/>
        <v/>
      </c>
      <c r="U956" s="199" t="str">
        <f t="shared" si="219"/>
        <v/>
      </c>
      <c r="V956" s="989"/>
      <c r="X956" s="374" t="str">
        <f t="shared" si="220"/>
        <v/>
      </c>
      <c r="Y956" s="375" t="str">
        <f t="shared" si="221"/>
        <v/>
      </c>
      <c r="Z956" s="374" t="str">
        <f t="shared" si="222"/>
        <v/>
      </c>
      <c r="AA956" s="374" t="b">
        <f t="shared" si="223"/>
        <v>1</v>
      </c>
      <c r="AB956" s="374">
        <f>COUNTIFS(B:B,B956,H:H,'סיווג התפקידים והעלויות'!$C$2)</f>
        <v>0</v>
      </c>
      <c r="AC956" s="374">
        <f>COUNTIFS(B:B,B956,H:H,'סיווג התפקידים והעלויות'!$D$2)</f>
        <v>0</v>
      </c>
      <c r="AD956" s="374" t="str">
        <f>IF(OR(AND(H956='סיווג התפקידים והעלויות'!$A$2,I956='סיווג התפקידים והעלויות'!$A$3),'עלויות כח אדם (6)'!H956='סיווג התפקידים והעלויות'!$C$2,'עלויות כח אדם (6)'!H956='סיווג התפקידים והעלויות'!$D$2),IF('עלויות כח אדם (6)'!J956&lt;75,"לא תקין","תקין"),"")</f>
        <v/>
      </c>
      <c r="AE956" s="374" t="str">
        <f t="shared" si="224"/>
        <v/>
      </c>
      <c r="AF956" s="532" t="str">
        <f t="shared" si="225"/>
        <v/>
      </c>
    </row>
    <row r="957" spans="2:32" x14ac:dyDescent="0.25">
      <c r="B957" s="695"/>
      <c r="C957" s="197" t="str">
        <f>IF(B957&lt;&gt;"",IFERROR(VLOOKUP(B:B,'מצבת והרשמה (2)'!$C$20:$N$520,2,0)," ")," ")</f>
        <v xml:space="preserve"> </v>
      </c>
      <c r="D957" s="695"/>
      <c r="E957" s="696"/>
      <c r="F957" s="696"/>
      <c r="G957" s="696"/>
      <c r="H957" s="696"/>
      <c r="I957" s="1050" t="str">
        <f t="shared" si="212"/>
        <v/>
      </c>
      <c r="J957" s="696"/>
      <c r="K957" s="697"/>
      <c r="L957" s="696"/>
      <c r="M957" s="198" t="str">
        <f t="shared" si="213"/>
        <v/>
      </c>
      <c r="N957" s="369" t="str">
        <f t="shared" si="214"/>
        <v/>
      </c>
      <c r="O957" s="183" t="str">
        <f t="shared" si="215"/>
        <v/>
      </c>
      <c r="P957" s="199" t="str">
        <f t="shared" si="216"/>
        <v/>
      </c>
      <c r="Q957" s="199" t="str">
        <f>IF(B957="","",IFERROR(IF('עלויות כח אדם (6)'!J957&gt;=VLOOKUP(I957,'סיווג התפקידים והעלויות'!$B$23:$C$32,2,0),"תקין","לא תקין"),""))</f>
        <v/>
      </c>
      <c r="R957" s="199" t="str">
        <f t="shared" si="217"/>
        <v/>
      </c>
      <c r="S957" s="199" t="str">
        <f t="shared" si="218"/>
        <v/>
      </c>
      <c r="T957" s="199" t="str">
        <f t="shared" si="226"/>
        <v/>
      </c>
      <c r="U957" s="199" t="str">
        <f t="shared" si="219"/>
        <v/>
      </c>
      <c r="V957" s="989"/>
      <c r="X957" s="374" t="str">
        <f t="shared" si="220"/>
        <v/>
      </c>
      <c r="Y957" s="375" t="str">
        <f t="shared" si="221"/>
        <v/>
      </c>
      <c r="Z957" s="374" t="str">
        <f t="shared" si="222"/>
        <v/>
      </c>
      <c r="AA957" s="374" t="b">
        <f t="shared" si="223"/>
        <v>1</v>
      </c>
      <c r="AB957" s="374">
        <f>COUNTIFS(B:B,B957,H:H,'סיווג התפקידים והעלויות'!$C$2)</f>
        <v>0</v>
      </c>
      <c r="AC957" s="374">
        <f>COUNTIFS(B:B,B957,H:H,'סיווג התפקידים והעלויות'!$D$2)</f>
        <v>0</v>
      </c>
      <c r="AD957" s="374" t="str">
        <f>IF(OR(AND(H957='סיווג התפקידים והעלויות'!$A$2,I957='סיווג התפקידים והעלויות'!$A$3),'עלויות כח אדם (6)'!H957='סיווג התפקידים והעלויות'!$C$2,'עלויות כח אדם (6)'!H957='סיווג התפקידים והעלויות'!$D$2),IF('עלויות כח אדם (6)'!J957&lt;75,"לא תקין","תקין"),"")</f>
        <v/>
      </c>
      <c r="AE957" s="374" t="str">
        <f t="shared" si="224"/>
        <v/>
      </c>
      <c r="AF957" s="532" t="str">
        <f t="shared" si="225"/>
        <v/>
      </c>
    </row>
    <row r="958" spans="2:32" x14ac:dyDescent="0.25">
      <c r="B958" s="695"/>
      <c r="C958" s="197" t="str">
        <f>IF(B958&lt;&gt;"",IFERROR(VLOOKUP(B:B,'מצבת והרשמה (2)'!$C$20:$N$520,2,0)," ")," ")</f>
        <v xml:space="preserve"> </v>
      </c>
      <c r="D958" s="695"/>
      <c r="E958" s="696"/>
      <c r="F958" s="696"/>
      <c r="G958" s="696"/>
      <c r="H958" s="696"/>
      <c r="I958" s="1050" t="str">
        <f t="shared" si="212"/>
        <v/>
      </c>
      <c r="J958" s="696"/>
      <c r="K958" s="697"/>
      <c r="L958" s="696"/>
      <c r="M958" s="198" t="str">
        <f t="shared" si="213"/>
        <v/>
      </c>
      <c r="N958" s="369" t="str">
        <f t="shared" si="214"/>
        <v/>
      </c>
      <c r="O958" s="183" t="str">
        <f t="shared" si="215"/>
        <v/>
      </c>
      <c r="P958" s="199" t="str">
        <f t="shared" si="216"/>
        <v/>
      </c>
      <c r="Q958" s="199" t="str">
        <f>IF(B958="","",IFERROR(IF('עלויות כח אדם (6)'!J958&gt;=VLOOKUP(I958,'סיווג התפקידים והעלויות'!$B$23:$C$32,2,0),"תקין","לא תקין"),""))</f>
        <v/>
      </c>
      <c r="R958" s="199" t="str">
        <f t="shared" si="217"/>
        <v/>
      </c>
      <c r="S958" s="199" t="str">
        <f t="shared" si="218"/>
        <v/>
      </c>
      <c r="T958" s="199" t="str">
        <f t="shared" si="226"/>
        <v/>
      </c>
      <c r="U958" s="199" t="str">
        <f t="shared" si="219"/>
        <v/>
      </c>
      <c r="V958" s="989"/>
      <c r="X958" s="374" t="str">
        <f t="shared" si="220"/>
        <v/>
      </c>
      <c r="Y958" s="375" t="str">
        <f t="shared" si="221"/>
        <v/>
      </c>
      <c r="Z958" s="374" t="str">
        <f t="shared" si="222"/>
        <v/>
      </c>
      <c r="AA958" s="374" t="b">
        <f t="shared" si="223"/>
        <v>1</v>
      </c>
      <c r="AB958" s="374">
        <f>COUNTIFS(B:B,B958,H:H,'סיווג התפקידים והעלויות'!$C$2)</f>
        <v>0</v>
      </c>
      <c r="AC958" s="374">
        <f>COUNTIFS(B:B,B958,H:H,'סיווג התפקידים והעלויות'!$D$2)</f>
        <v>0</v>
      </c>
      <c r="AD958" s="374" t="str">
        <f>IF(OR(AND(H958='סיווג התפקידים והעלויות'!$A$2,I958='סיווג התפקידים והעלויות'!$A$3),'עלויות כח אדם (6)'!H958='סיווג התפקידים והעלויות'!$C$2,'עלויות כח אדם (6)'!H958='סיווג התפקידים והעלויות'!$D$2),IF('עלויות כח אדם (6)'!J958&lt;75,"לא תקין","תקין"),"")</f>
        <v/>
      </c>
      <c r="AE958" s="374" t="str">
        <f t="shared" si="224"/>
        <v/>
      </c>
      <c r="AF958" s="532" t="str">
        <f t="shared" si="225"/>
        <v/>
      </c>
    </row>
    <row r="959" spans="2:32" x14ac:dyDescent="0.25">
      <c r="B959" s="695"/>
      <c r="C959" s="197" t="str">
        <f>IF(B959&lt;&gt;"",IFERROR(VLOOKUP(B:B,'מצבת והרשמה (2)'!$C$20:$N$520,2,0)," ")," ")</f>
        <v xml:space="preserve"> </v>
      </c>
      <c r="D959" s="695"/>
      <c r="E959" s="696"/>
      <c r="F959" s="696"/>
      <c r="G959" s="696"/>
      <c r="H959" s="696"/>
      <c r="I959" s="1050" t="str">
        <f t="shared" si="212"/>
        <v/>
      </c>
      <c r="J959" s="696"/>
      <c r="K959" s="697"/>
      <c r="L959" s="696"/>
      <c r="M959" s="198" t="str">
        <f t="shared" si="213"/>
        <v/>
      </c>
      <c r="N959" s="369" t="str">
        <f t="shared" si="214"/>
        <v/>
      </c>
      <c r="O959" s="183" t="str">
        <f t="shared" si="215"/>
        <v/>
      </c>
      <c r="P959" s="199" t="str">
        <f t="shared" si="216"/>
        <v/>
      </c>
      <c r="Q959" s="199" t="str">
        <f>IF(B959="","",IFERROR(IF('עלויות כח אדם (6)'!J959&gt;=VLOOKUP(I959,'סיווג התפקידים והעלויות'!$B$23:$C$32,2,0),"תקין","לא תקין"),""))</f>
        <v/>
      </c>
      <c r="R959" s="199" t="str">
        <f t="shared" si="217"/>
        <v/>
      </c>
      <c r="S959" s="199" t="str">
        <f t="shared" si="218"/>
        <v/>
      </c>
      <c r="T959" s="199" t="str">
        <f t="shared" si="226"/>
        <v/>
      </c>
      <c r="U959" s="199" t="str">
        <f t="shared" si="219"/>
        <v/>
      </c>
      <c r="V959" s="989"/>
      <c r="X959" s="374" t="str">
        <f t="shared" si="220"/>
        <v/>
      </c>
      <c r="Y959" s="375" t="str">
        <f t="shared" si="221"/>
        <v/>
      </c>
      <c r="Z959" s="374" t="str">
        <f t="shared" si="222"/>
        <v/>
      </c>
      <c r="AA959" s="374" t="b">
        <f t="shared" si="223"/>
        <v>1</v>
      </c>
      <c r="AB959" s="374">
        <f>COUNTIFS(B:B,B959,H:H,'סיווג התפקידים והעלויות'!$C$2)</f>
        <v>0</v>
      </c>
      <c r="AC959" s="374">
        <f>COUNTIFS(B:B,B959,H:H,'סיווג התפקידים והעלויות'!$D$2)</f>
        <v>0</v>
      </c>
      <c r="AD959" s="374" t="str">
        <f>IF(OR(AND(H959='סיווג התפקידים והעלויות'!$A$2,I959='סיווג התפקידים והעלויות'!$A$3),'עלויות כח אדם (6)'!H959='סיווג התפקידים והעלויות'!$C$2,'עלויות כח אדם (6)'!H959='סיווג התפקידים והעלויות'!$D$2),IF('עלויות כח אדם (6)'!J959&lt;75,"לא תקין","תקין"),"")</f>
        <v/>
      </c>
      <c r="AE959" s="374" t="str">
        <f t="shared" si="224"/>
        <v/>
      </c>
      <c r="AF959" s="532" t="str">
        <f t="shared" si="225"/>
        <v/>
      </c>
    </row>
    <row r="960" spans="2:32" x14ac:dyDescent="0.25">
      <c r="B960" s="695"/>
      <c r="C960" s="197" t="str">
        <f>IF(B960&lt;&gt;"",IFERROR(VLOOKUP(B:B,'מצבת והרשמה (2)'!$C$20:$N$520,2,0)," ")," ")</f>
        <v xml:space="preserve"> </v>
      </c>
      <c r="D960" s="695"/>
      <c r="E960" s="696"/>
      <c r="F960" s="696"/>
      <c r="G960" s="696"/>
      <c r="H960" s="696"/>
      <c r="I960" s="1050" t="str">
        <f t="shared" si="212"/>
        <v/>
      </c>
      <c r="J960" s="696"/>
      <c r="K960" s="697"/>
      <c r="L960" s="696"/>
      <c r="M960" s="198" t="str">
        <f t="shared" si="213"/>
        <v/>
      </c>
      <c r="N960" s="369" t="str">
        <f t="shared" si="214"/>
        <v/>
      </c>
      <c r="O960" s="183" t="str">
        <f t="shared" si="215"/>
        <v/>
      </c>
      <c r="P960" s="199" t="str">
        <f t="shared" si="216"/>
        <v/>
      </c>
      <c r="Q960" s="199" t="str">
        <f>IF(B960="","",IFERROR(IF('עלויות כח אדם (6)'!J960&gt;=VLOOKUP(I960,'סיווג התפקידים והעלויות'!$B$23:$C$32,2,0),"תקין","לא תקין"),""))</f>
        <v/>
      </c>
      <c r="R960" s="199" t="str">
        <f t="shared" si="217"/>
        <v/>
      </c>
      <c r="S960" s="199" t="str">
        <f t="shared" si="218"/>
        <v/>
      </c>
      <c r="T960" s="199" t="str">
        <f t="shared" si="226"/>
        <v/>
      </c>
      <c r="U960" s="199" t="str">
        <f t="shared" si="219"/>
        <v/>
      </c>
      <c r="V960" s="989"/>
      <c r="X960" s="374" t="str">
        <f t="shared" si="220"/>
        <v/>
      </c>
      <c r="Y960" s="375" t="str">
        <f t="shared" si="221"/>
        <v/>
      </c>
      <c r="Z960" s="374" t="str">
        <f t="shared" si="222"/>
        <v/>
      </c>
      <c r="AA960" s="374" t="b">
        <f t="shared" si="223"/>
        <v>1</v>
      </c>
      <c r="AB960" s="374">
        <f>COUNTIFS(B:B,B960,H:H,'סיווג התפקידים והעלויות'!$C$2)</f>
        <v>0</v>
      </c>
      <c r="AC960" s="374">
        <f>COUNTIFS(B:B,B960,H:H,'סיווג התפקידים והעלויות'!$D$2)</f>
        <v>0</v>
      </c>
      <c r="AD960" s="374" t="str">
        <f>IF(OR(AND(H960='סיווג התפקידים והעלויות'!$A$2,I960='סיווג התפקידים והעלויות'!$A$3),'עלויות כח אדם (6)'!H960='סיווג התפקידים והעלויות'!$C$2,'עלויות כח אדם (6)'!H960='סיווג התפקידים והעלויות'!$D$2),IF('עלויות כח אדם (6)'!J960&lt;75,"לא תקין","תקין"),"")</f>
        <v/>
      </c>
      <c r="AE960" s="374" t="str">
        <f t="shared" si="224"/>
        <v/>
      </c>
      <c r="AF960" s="532" t="str">
        <f t="shared" si="225"/>
        <v/>
      </c>
    </row>
    <row r="961" spans="2:32" x14ac:dyDescent="0.25">
      <c r="B961" s="695"/>
      <c r="C961" s="197" t="str">
        <f>IF(B961&lt;&gt;"",IFERROR(VLOOKUP(B:B,'מצבת והרשמה (2)'!$C$20:$N$520,2,0)," ")," ")</f>
        <v xml:space="preserve"> </v>
      </c>
      <c r="D961" s="695"/>
      <c r="E961" s="696"/>
      <c r="F961" s="696"/>
      <c r="G961" s="696"/>
      <c r="H961" s="696"/>
      <c r="I961" s="1050" t="str">
        <f t="shared" si="212"/>
        <v/>
      </c>
      <c r="J961" s="696"/>
      <c r="K961" s="697"/>
      <c r="L961" s="696"/>
      <c r="M961" s="198" t="str">
        <f t="shared" si="213"/>
        <v/>
      </c>
      <c r="N961" s="369" t="str">
        <f t="shared" si="214"/>
        <v/>
      </c>
      <c r="O961" s="183" t="str">
        <f t="shared" si="215"/>
        <v/>
      </c>
      <c r="P961" s="199" t="str">
        <f t="shared" si="216"/>
        <v/>
      </c>
      <c r="Q961" s="199" t="str">
        <f>IF(B961="","",IFERROR(IF('עלויות כח אדם (6)'!J961&gt;=VLOOKUP(I961,'סיווג התפקידים והעלויות'!$B$23:$C$32,2,0),"תקין","לא תקין"),""))</f>
        <v/>
      </c>
      <c r="R961" s="199" t="str">
        <f t="shared" si="217"/>
        <v/>
      </c>
      <c r="S961" s="199" t="str">
        <f t="shared" si="218"/>
        <v/>
      </c>
      <c r="T961" s="199" t="str">
        <f t="shared" si="226"/>
        <v/>
      </c>
      <c r="U961" s="199" t="str">
        <f t="shared" si="219"/>
        <v/>
      </c>
      <c r="V961" s="989"/>
      <c r="X961" s="374" t="str">
        <f t="shared" si="220"/>
        <v/>
      </c>
      <c r="Y961" s="375" t="str">
        <f t="shared" si="221"/>
        <v/>
      </c>
      <c r="Z961" s="374" t="str">
        <f t="shared" si="222"/>
        <v/>
      </c>
      <c r="AA961" s="374" t="b">
        <f t="shared" si="223"/>
        <v>1</v>
      </c>
      <c r="AB961" s="374">
        <f>COUNTIFS(B:B,B961,H:H,'סיווג התפקידים והעלויות'!$C$2)</f>
        <v>0</v>
      </c>
      <c r="AC961" s="374">
        <f>COUNTIFS(B:B,B961,H:H,'סיווג התפקידים והעלויות'!$D$2)</f>
        <v>0</v>
      </c>
      <c r="AD961" s="374" t="str">
        <f>IF(OR(AND(H961='סיווג התפקידים והעלויות'!$A$2,I961='סיווג התפקידים והעלויות'!$A$3),'עלויות כח אדם (6)'!H961='סיווג התפקידים והעלויות'!$C$2,'עלויות כח אדם (6)'!H961='סיווג התפקידים והעלויות'!$D$2),IF('עלויות כח אדם (6)'!J961&lt;75,"לא תקין","תקין"),"")</f>
        <v/>
      </c>
      <c r="AE961" s="374" t="str">
        <f t="shared" si="224"/>
        <v/>
      </c>
      <c r="AF961" s="532" t="str">
        <f t="shared" si="225"/>
        <v/>
      </c>
    </row>
    <row r="962" spans="2:32" x14ac:dyDescent="0.25">
      <c r="B962" s="695"/>
      <c r="C962" s="197" t="str">
        <f>IF(B962&lt;&gt;"",IFERROR(VLOOKUP(B:B,'מצבת והרשמה (2)'!$C$20:$N$520,2,0)," ")," ")</f>
        <v xml:space="preserve"> </v>
      </c>
      <c r="D962" s="695"/>
      <c r="E962" s="696"/>
      <c r="F962" s="696"/>
      <c r="G962" s="696"/>
      <c r="H962" s="696"/>
      <c r="I962" s="1050" t="str">
        <f t="shared" si="212"/>
        <v/>
      </c>
      <c r="J962" s="696"/>
      <c r="K962" s="697"/>
      <c r="L962" s="696"/>
      <c r="M962" s="198" t="str">
        <f t="shared" si="213"/>
        <v/>
      </c>
      <c r="N962" s="369" t="str">
        <f t="shared" si="214"/>
        <v/>
      </c>
      <c r="O962" s="183" t="str">
        <f t="shared" si="215"/>
        <v/>
      </c>
      <c r="P962" s="199" t="str">
        <f t="shared" si="216"/>
        <v/>
      </c>
      <c r="Q962" s="199" t="str">
        <f>IF(B962="","",IFERROR(IF('עלויות כח אדם (6)'!J962&gt;=VLOOKUP(I962,'סיווג התפקידים והעלויות'!$B$23:$C$32,2,0),"תקין","לא תקין"),""))</f>
        <v/>
      </c>
      <c r="R962" s="199" t="str">
        <f t="shared" si="217"/>
        <v/>
      </c>
      <c r="S962" s="199" t="str">
        <f t="shared" si="218"/>
        <v/>
      </c>
      <c r="T962" s="199" t="str">
        <f t="shared" si="226"/>
        <v/>
      </c>
      <c r="U962" s="199" t="str">
        <f t="shared" si="219"/>
        <v/>
      </c>
      <c r="V962" s="989"/>
      <c r="X962" s="374" t="str">
        <f t="shared" si="220"/>
        <v/>
      </c>
      <c r="Y962" s="375" t="str">
        <f t="shared" si="221"/>
        <v/>
      </c>
      <c r="Z962" s="374" t="str">
        <f t="shared" si="222"/>
        <v/>
      </c>
      <c r="AA962" s="374" t="b">
        <f t="shared" si="223"/>
        <v>1</v>
      </c>
      <c r="AB962" s="374">
        <f>COUNTIFS(B:B,B962,H:H,'סיווג התפקידים והעלויות'!$C$2)</f>
        <v>0</v>
      </c>
      <c r="AC962" s="374">
        <f>COUNTIFS(B:B,B962,H:H,'סיווג התפקידים והעלויות'!$D$2)</f>
        <v>0</v>
      </c>
      <c r="AD962" s="374" t="str">
        <f>IF(OR(AND(H962='סיווג התפקידים והעלויות'!$A$2,I962='סיווג התפקידים והעלויות'!$A$3),'עלויות כח אדם (6)'!H962='סיווג התפקידים והעלויות'!$C$2,'עלויות כח אדם (6)'!H962='סיווג התפקידים והעלויות'!$D$2),IF('עלויות כח אדם (6)'!J962&lt;75,"לא תקין","תקין"),"")</f>
        <v/>
      </c>
      <c r="AE962" s="374" t="str">
        <f t="shared" si="224"/>
        <v/>
      </c>
      <c r="AF962" s="532" t="str">
        <f t="shared" si="225"/>
        <v/>
      </c>
    </row>
    <row r="963" spans="2:32" x14ac:dyDescent="0.25">
      <c r="B963" s="695"/>
      <c r="C963" s="197" t="str">
        <f>IF(B963&lt;&gt;"",IFERROR(VLOOKUP(B:B,'מצבת והרשמה (2)'!$C$20:$N$520,2,0)," ")," ")</f>
        <v xml:space="preserve"> </v>
      </c>
      <c r="D963" s="695"/>
      <c r="E963" s="696"/>
      <c r="F963" s="696"/>
      <c r="G963" s="696"/>
      <c r="H963" s="696"/>
      <c r="I963" s="1050" t="str">
        <f t="shared" si="212"/>
        <v/>
      </c>
      <c r="J963" s="696"/>
      <c r="K963" s="697"/>
      <c r="L963" s="696"/>
      <c r="M963" s="198" t="str">
        <f t="shared" si="213"/>
        <v/>
      </c>
      <c r="N963" s="369" t="str">
        <f t="shared" si="214"/>
        <v/>
      </c>
      <c r="O963" s="183" t="str">
        <f t="shared" si="215"/>
        <v/>
      </c>
      <c r="P963" s="199" t="str">
        <f t="shared" si="216"/>
        <v/>
      </c>
      <c r="Q963" s="199" t="str">
        <f>IF(B963="","",IFERROR(IF('עלויות כח אדם (6)'!J963&gt;=VLOOKUP(I963,'סיווג התפקידים והעלויות'!$B$23:$C$32,2,0),"תקין","לא תקין"),""))</f>
        <v/>
      </c>
      <c r="R963" s="199" t="str">
        <f t="shared" si="217"/>
        <v/>
      </c>
      <c r="S963" s="199" t="str">
        <f t="shared" si="218"/>
        <v/>
      </c>
      <c r="T963" s="199" t="str">
        <f t="shared" si="226"/>
        <v/>
      </c>
      <c r="U963" s="199" t="str">
        <f t="shared" si="219"/>
        <v/>
      </c>
      <c r="V963" s="989"/>
      <c r="X963" s="374" t="str">
        <f t="shared" si="220"/>
        <v/>
      </c>
      <c r="Y963" s="375" t="str">
        <f t="shared" si="221"/>
        <v/>
      </c>
      <c r="Z963" s="374" t="str">
        <f t="shared" si="222"/>
        <v/>
      </c>
      <c r="AA963" s="374" t="b">
        <f t="shared" si="223"/>
        <v>1</v>
      </c>
      <c r="AB963" s="374">
        <f>COUNTIFS(B:B,B963,H:H,'סיווג התפקידים והעלויות'!$C$2)</f>
        <v>0</v>
      </c>
      <c r="AC963" s="374">
        <f>COUNTIFS(B:B,B963,H:H,'סיווג התפקידים והעלויות'!$D$2)</f>
        <v>0</v>
      </c>
      <c r="AD963" s="374" t="str">
        <f>IF(OR(AND(H963='סיווג התפקידים והעלויות'!$A$2,I963='סיווג התפקידים והעלויות'!$A$3),'עלויות כח אדם (6)'!H963='סיווג התפקידים והעלויות'!$C$2,'עלויות כח אדם (6)'!H963='סיווג התפקידים והעלויות'!$D$2),IF('עלויות כח אדם (6)'!J963&lt;75,"לא תקין","תקין"),"")</f>
        <v/>
      </c>
      <c r="AE963" s="374" t="str">
        <f t="shared" si="224"/>
        <v/>
      </c>
      <c r="AF963" s="532" t="str">
        <f t="shared" si="225"/>
        <v/>
      </c>
    </row>
    <row r="964" spans="2:32" x14ac:dyDescent="0.25">
      <c r="B964" s="695"/>
      <c r="C964" s="197" t="str">
        <f>IF(B964&lt;&gt;"",IFERROR(VLOOKUP(B:B,'מצבת והרשמה (2)'!$C$20:$N$520,2,0)," ")," ")</f>
        <v xml:space="preserve"> </v>
      </c>
      <c r="D964" s="695"/>
      <c r="E964" s="696"/>
      <c r="F964" s="696"/>
      <c r="G964" s="696"/>
      <c r="H964" s="696"/>
      <c r="I964" s="1050" t="str">
        <f t="shared" si="212"/>
        <v/>
      </c>
      <c r="J964" s="696"/>
      <c r="K964" s="697"/>
      <c r="L964" s="696"/>
      <c r="M964" s="198" t="str">
        <f t="shared" si="213"/>
        <v/>
      </c>
      <c r="N964" s="369" t="str">
        <f t="shared" si="214"/>
        <v/>
      </c>
      <c r="O964" s="183" t="str">
        <f t="shared" si="215"/>
        <v/>
      </c>
      <c r="P964" s="199" t="str">
        <f t="shared" si="216"/>
        <v/>
      </c>
      <c r="Q964" s="199" t="str">
        <f>IF(B964="","",IFERROR(IF('עלויות כח אדם (6)'!J964&gt;=VLOOKUP(I964,'סיווג התפקידים והעלויות'!$B$23:$C$32,2,0),"תקין","לא תקין"),""))</f>
        <v/>
      </c>
      <c r="R964" s="199" t="str">
        <f t="shared" si="217"/>
        <v/>
      </c>
      <c r="S964" s="199" t="str">
        <f t="shared" si="218"/>
        <v/>
      </c>
      <c r="T964" s="199" t="str">
        <f t="shared" si="226"/>
        <v/>
      </c>
      <c r="U964" s="199" t="str">
        <f t="shared" si="219"/>
        <v/>
      </c>
      <c r="V964" s="989"/>
      <c r="X964" s="374" t="str">
        <f t="shared" si="220"/>
        <v/>
      </c>
      <c r="Y964" s="375" t="str">
        <f t="shared" si="221"/>
        <v/>
      </c>
      <c r="Z964" s="374" t="str">
        <f t="shared" si="222"/>
        <v/>
      </c>
      <c r="AA964" s="374" t="b">
        <f t="shared" si="223"/>
        <v>1</v>
      </c>
      <c r="AB964" s="374">
        <f>COUNTIFS(B:B,B964,H:H,'סיווג התפקידים והעלויות'!$C$2)</f>
        <v>0</v>
      </c>
      <c r="AC964" s="374">
        <f>COUNTIFS(B:B,B964,H:H,'סיווג התפקידים והעלויות'!$D$2)</f>
        <v>0</v>
      </c>
      <c r="AD964" s="374" t="str">
        <f>IF(OR(AND(H964='סיווג התפקידים והעלויות'!$A$2,I964='סיווג התפקידים והעלויות'!$A$3),'עלויות כח אדם (6)'!H964='סיווג התפקידים והעלויות'!$C$2,'עלויות כח אדם (6)'!H964='סיווג התפקידים והעלויות'!$D$2),IF('עלויות כח אדם (6)'!J964&lt;75,"לא תקין","תקין"),"")</f>
        <v/>
      </c>
      <c r="AE964" s="374" t="str">
        <f t="shared" si="224"/>
        <v/>
      </c>
      <c r="AF964" s="532" t="str">
        <f t="shared" si="225"/>
        <v/>
      </c>
    </row>
    <row r="965" spans="2:32" x14ac:dyDescent="0.25">
      <c r="B965" s="695"/>
      <c r="C965" s="197" t="str">
        <f>IF(B965&lt;&gt;"",IFERROR(VLOOKUP(B:B,'מצבת והרשמה (2)'!$C$20:$N$520,2,0)," ")," ")</f>
        <v xml:space="preserve"> </v>
      </c>
      <c r="D965" s="695"/>
      <c r="E965" s="696"/>
      <c r="F965" s="696"/>
      <c r="G965" s="696"/>
      <c r="H965" s="696"/>
      <c r="I965" s="1050" t="str">
        <f t="shared" si="212"/>
        <v/>
      </c>
      <c r="J965" s="696"/>
      <c r="K965" s="697"/>
      <c r="L965" s="696"/>
      <c r="M965" s="198" t="str">
        <f t="shared" si="213"/>
        <v/>
      </c>
      <c r="N965" s="369" t="str">
        <f t="shared" si="214"/>
        <v/>
      </c>
      <c r="O965" s="183" t="str">
        <f t="shared" si="215"/>
        <v/>
      </c>
      <c r="P965" s="199" t="str">
        <f t="shared" si="216"/>
        <v/>
      </c>
      <c r="Q965" s="199" t="str">
        <f>IF(B965="","",IFERROR(IF('עלויות כח אדם (6)'!J965&gt;=VLOOKUP(I965,'סיווג התפקידים והעלויות'!$B$23:$C$32,2,0),"תקין","לא תקין"),""))</f>
        <v/>
      </c>
      <c r="R965" s="199" t="str">
        <f t="shared" si="217"/>
        <v/>
      </c>
      <c r="S965" s="199" t="str">
        <f t="shared" si="218"/>
        <v/>
      </c>
      <c r="T965" s="199" t="str">
        <f t="shared" si="226"/>
        <v/>
      </c>
      <c r="U965" s="199" t="str">
        <f t="shared" si="219"/>
        <v/>
      </c>
      <c r="V965" s="989"/>
      <c r="X965" s="374" t="str">
        <f t="shared" si="220"/>
        <v/>
      </c>
      <c r="Y965" s="375" t="str">
        <f t="shared" si="221"/>
        <v/>
      </c>
      <c r="Z965" s="374" t="str">
        <f t="shared" si="222"/>
        <v/>
      </c>
      <c r="AA965" s="374" t="b">
        <f t="shared" si="223"/>
        <v>1</v>
      </c>
      <c r="AB965" s="374">
        <f>COUNTIFS(B:B,B965,H:H,'סיווג התפקידים והעלויות'!$C$2)</f>
        <v>0</v>
      </c>
      <c r="AC965" s="374">
        <f>COUNTIFS(B:B,B965,H:H,'סיווג התפקידים והעלויות'!$D$2)</f>
        <v>0</v>
      </c>
      <c r="AD965" s="374" t="str">
        <f>IF(OR(AND(H965='סיווג התפקידים והעלויות'!$A$2,I965='סיווג התפקידים והעלויות'!$A$3),'עלויות כח אדם (6)'!H965='סיווג התפקידים והעלויות'!$C$2,'עלויות כח אדם (6)'!H965='סיווג התפקידים והעלויות'!$D$2),IF('עלויות כח אדם (6)'!J965&lt;75,"לא תקין","תקין"),"")</f>
        <v/>
      </c>
      <c r="AE965" s="374" t="str">
        <f t="shared" si="224"/>
        <v/>
      </c>
      <c r="AF965" s="532" t="str">
        <f t="shared" si="225"/>
        <v/>
      </c>
    </row>
    <row r="966" spans="2:32" x14ac:dyDescent="0.25">
      <c r="B966" s="695"/>
      <c r="C966" s="197" t="str">
        <f>IF(B966&lt;&gt;"",IFERROR(VLOOKUP(B:B,'מצבת והרשמה (2)'!$C$20:$N$520,2,0)," ")," ")</f>
        <v xml:space="preserve"> </v>
      </c>
      <c r="D966" s="695"/>
      <c r="E966" s="696"/>
      <c r="F966" s="696"/>
      <c r="G966" s="696"/>
      <c r="H966" s="696"/>
      <c r="I966" s="1050" t="str">
        <f t="shared" si="212"/>
        <v/>
      </c>
      <c r="J966" s="696"/>
      <c r="K966" s="697"/>
      <c r="L966" s="696"/>
      <c r="M966" s="198" t="str">
        <f t="shared" si="213"/>
        <v/>
      </c>
      <c r="N966" s="369" t="str">
        <f t="shared" si="214"/>
        <v/>
      </c>
      <c r="O966" s="183" t="str">
        <f t="shared" si="215"/>
        <v/>
      </c>
      <c r="P966" s="199" t="str">
        <f t="shared" si="216"/>
        <v/>
      </c>
      <c r="Q966" s="199" t="str">
        <f>IF(B966="","",IFERROR(IF('עלויות כח אדם (6)'!J966&gt;=VLOOKUP(I966,'סיווג התפקידים והעלויות'!$B$23:$C$32,2,0),"תקין","לא תקין"),""))</f>
        <v/>
      </c>
      <c r="R966" s="199" t="str">
        <f t="shared" si="217"/>
        <v/>
      </c>
      <c r="S966" s="199" t="str">
        <f t="shared" si="218"/>
        <v/>
      </c>
      <c r="T966" s="199" t="str">
        <f t="shared" si="226"/>
        <v/>
      </c>
      <c r="U966" s="199" t="str">
        <f t="shared" si="219"/>
        <v/>
      </c>
      <c r="V966" s="989"/>
      <c r="X966" s="374" t="str">
        <f t="shared" si="220"/>
        <v/>
      </c>
      <c r="Y966" s="375" t="str">
        <f t="shared" si="221"/>
        <v/>
      </c>
      <c r="Z966" s="374" t="str">
        <f t="shared" si="222"/>
        <v/>
      </c>
      <c r="AA966" s="374" t="b">
        <f t="shared" si="223"/>
        <v>1</v>
      </c>
      <c r="AB966" s="374">
        <f>COUNTIFS(B:B,B966,H:H,'סיווג התפקידים והעלויות'!$C$2)</f>
        <v>0</v>
      </c>
      <c r="AC966" s="374">
        <f>COUNTIFS(B:B,B966,H:H,'סיווג התפקידים והעלויות'!$D$2)</f>
        <v>0</v>
      </c>
      <c r="AD966" s="374" t="str">
        <f>IF(OR(AND(H966='סיווג התפקידים והעלויות'!$A$2,I966='סיווג התפקידים והעלויות'!$A$3),'עלויות כח אדם (6)'!H966='סיווג התפקידים והעלויות'!$C$2,'עלויות כח אדם (6)'!H966='סיווג התפקידים והעלויות'!$D$2),IF('עלויות כח אדם (6)'!J966&lt;75,"לא תקין","תקין"),"")</f>
        <v/>
      </c>
      <c r="AE966" s="374" t="str">
        <f t="shared" si="224"/>
        <v/>
      </c>
      <c r="AF966" s="532" t="str">
        <f t="shared" si="225"/>
        <v/>
      </c>
    </row>
    <row r="967" spans="2:32" x14ac:dyDescent="0.25">
      <c r="B967" s="695"/>
      <c r="C967" s="197" t="str">
        <f>IF(B967&lt;&gt;"",IFERROR(VLOOKUP(B:B,'מצבת והרשמה (2)'!$C$20:$N$520,2,0)," ")," ")</f>
        <v xml:space="preserve"> </v>
      </c>
      <c r="D967" s="695"/>
      <c r="E967" s="696"/>
      <c r="F967" s="696"/>
      <c r="G967" s="696"/>
      <c r="H967" s="696"/>
      <c r="I967" s="1050" t="str">
        <f t="shared" si="212"/>
        <v/>
      </c>
      <c r="J967" s="696"/>
      <c r="K967" s="697"/>
      <c r="L967" s="696"/>
      <c r="M967" s="198" t="str">
        <f t="shared" si="213"/>
        <v/>
      </c>
      <c r="N967" s="369" t="str">
        <f t="shared" si="214"/>
        <v/>
      </c>
      <c r="O967" s="183" t="str">
        <f t="shared" si="215"/>
        <v/>
      </c>
      <c r="P967" s="199" t="str">
        <f t="shared" si="216"/>
        <v/>
      </c>
      <c r="Q967" s="199" t="str">
        <f>IF(B967="","",IFERROR(IF('עלויות כח אדם (6)'!J967&gt;=VLOOKUP(I967,'סיווג התפקידים והעלויות'!$B$23:$C$32,2,0),"תקין","לא תקין"),""))</f>
        <v/>
      </c>
      <c r="R967" s="199" t="str">
        <f t="shared" si="217"/>
        <v/>
      </c>
      <c r="S967" s="199" t="str">
        <f t="shared" si="218"/>
        <v/>
      </c>
      <c r="T967" s="199" t="str">
        <f t="shared" si="226"/>
        <v/>
      </c>
      <c r="U967" s="199" t="str">
        <f t="shared" si="219"/>
        <v/>
      </c>
      <c r="V967" s="989"/>
      <c r="X967" s="374" t="str">
        <f t="shared" si="220"/>
        <v/>
      </c>
      <c r="Y967" s="375" t="str">
        <f t="shared" si="221"/>
        <v/>
      </c>
      <c r="Z967" s="374" t="str">
        <f t="shared" si="222"/>
        <v/>
      </c>
      <c r="AA967" s="374" t="b">
        <f t="shared" si="223"/>
        <v>1</v>
      </c>
      <c r="AB967" s="374">
        <f>COUNTIFS(B:B,B967,H:H,'סיווג התפקידים והעלויות'!$C$2)</f>
        <v>0</v>
      </c>
      <c r="AC967" s="374">
        <f>COUNTIFS(B:B,B967,H:H,'סיווג התפקידים והעלויות'!$D$2)</f>
        <v>0</v>
      </c>
      <c r="AD967" s="374" t="str">
        <f>IF(OR(AND(H967='סיווג התפקידים והעלויות'!$A$2,I967='סיווג התפקידים והעלויות'!$A$3),'עלויות כח אדם (6)'!H967='סיווג התפקידים והעלויות'!$C$2,'עלויות כח אדם (6)'!H967='סיווג התפקידים והעלויות'!$D$2),IF('עלויות כח אדם (6)'!J967&lt;75,"לא תקין","תקין"),"")</f>
        <v/>
      </c>
      <c r="AE967" s="374" t="str">
        <f t="shared" si="224"/>
        <v/>
      </c>
      <c r="AF967" s="532" t="str">
        <f t="shared" si="225"/>
        <v/>
      </c>
    </row>
    <row r="968" spans="2:32" x14ac:dyDescent="0.25">
      <c r="B968" s="695"/>
      <c r="C968" s="197" t="str">
        <f>IF(B968&lt;&gt;"",IFERROR(VLOOKUP(B:B,'מצבת והרשמה (2)'!$C$20:$N$520,2,0)," ")," ")</f>
        <v xml:space="preserve"> </v>
      </c>
      <c r="D968" s="695"/>
      <c r="E968" s="696"/>
      <c r="F968" s="696"/>
      <c r="G968" s="696"/>
      <c r="H968" s="696"/>
      <c r="I968" s="1050" t="str">
        <f t="shared" si="212"/>
        <v/>
      </c>
      <c r="J968" s="696"/>
      <c r="K968" s="697"/>
      <c r="L968" s="696"/>
      <c r="M968" s="198" t="str">
        <f t="shared" si="213"/>
        <v/>
      </c>
      <c r="N968" s="369" t="str">
        <f t="shared" si="214"/>
        <v/>
      </c>
      <c r="O968" s="183" t="str">
        <f t="shared" si="215"/>
        <v/>
      </c>
      <c r="P968" s="199" t="str">
        <f t="shared" si="216"/>
        <v/>
      </c>
      <c r="Q968" s="199" t="str">
        <f>IF(B968="","",IFERROR(IF('עלויות כח אדם (6)'!J968&gt;=VLOOKUP(I968,'סיווג התפקידים והעלויות'!$B$23:$C$32,2,0),"תקין","לא תקין"),""))</f>
        <v/>
      </c>
      <c r="R968" s="199" t="str">
        <f t="shared" si="217"/>
        <v/>
      </c>
      <c r="S968" s="199" t="str">
        <f t="shared" si="218"/>
        <v/>
      </c>
      <c r="T968" s="199" t="str">
        <f t="shared" si="226"/>
        <v/>
      </c>
      <c r="U968" s="199" t="str">
        <f t="shared" si="219"/>
        <v/>
      </c>
      <c r="V968" s="989"/>
      <c r="X968" s="374" t="str">
        <f t="shared" si="220"/>
        <v/>
      </c>
      <c r="Y968" s="375" t="str">
        <f t="shared" si="221"/>
        <v/>
      </c>
      <c r="Z968" s="374" t="str">
        <f t="shared" si="222"/>
        <v/>
      </c>
      <c r="AA968" s="374" t="b">
        <f t="shared" si="223"/>
        <v>1</v>
      </c>
      <c r="AB968" s="374">
        <f>COUNTIFS(B:B,B968,H:H,'סיווג התפקידים והעלויות'!$C$2)</f>
        <v>0</v>
      </c>
      <c r="AC968" s="374">
        <f>COUNTIFS(B:B,B968,H:H,'סיווג התפקידים והעלויות'!$D$2)</f>
        <v>0</v>
      </c>
      <c r="AD968" s="374" t="str">
        <f>IF(OR(AND(H968='סיווג התפקידים והעלויות'!$A$2,I968='סיווג התפקידים והעלויות'!$A$3),'עלויות כח אדם (6)'!H968='סיווג התפקידים והעלויות'!$C$2,'עלויות כח אדם (6)'!H968='סיווג התפקידים והעלויות'!$D$2),IF('עלויות כח אדם (6)'!J968&lt;75,"לא תקין","תקין"),"")</f>
        <v/>
      </c>
      <c r="AE968" s="374" t="str">
        <f t="shared" si="224"/>
        <v/>
      </c>
      <c r="AF968" s="532" t="str">
        <f t="shared" si="225"/>
        <v/>
      </c>
    </row>
    <row r="969" spans="2:32" x14ac:dyDescent="0.25">
      <c r="B969" s="695"/>
      <c r="C969" s="197" t="str">
        <f>IF(B969&lt;&gt;"",IFERROR(VLOOKUP(B:B,'מצבת והרשמה (2)'!$C$20:$N$520,2,0)," ")," ")</f>
        <v xml:space="preserve"> </v>
      </c>
      <c r="D969" s="695"/>
      <c r="E969" s="696"/>
      <c r="F969" s="696"/>
      <c r="G969" s="696"/>
      <c r="H969" s="696"/>
      <c r="I969" s="1050" t="str">
        <f t="shared" si="212"/>
        <v/>
      </c>
      <c r="J969" s="696"/>
      <c r="K969" s="697"/>
      <c r="L969" s="696"/>
      <c r="M969" s="198" t="str">
        <f t="shared" si="213"/>
        <v/>
      </c>
      <c r="N969" s="369" t="str">
        <f t="shared" si="214"/>
        <v/>
      </c>
      <c r="O969" s="183" t="str">
        <f t="shared" si="215"/>
        <v/>
      </c>
      <c r="P969" s="199" t="str">
        <f t="shared" si="216"/>
        <v/>
      </c>
      <c r="Q969" s="199" t="str">
        <f>IF(B969="","",IFERROR(IF('עלויות כח אדם (6)'!J969&gt;=VLOOKUP(I969,'סיווג התפקידים והעלויות'!$B$23:$C$32,2,0),"תקין","לא תקין"),""))</f>
        <v/>
      </c>
      <c r="R969" s="199" t="str">
        <f t="shared" si="217"/>
        <v/>
      </c>
      <c r="S969" s="199" t="str">
        <f t="shared" si="218"/>
        <v/>
      </c>
      <c r="T969" s="199" t="str">
        <f t="shared" si="226"/>
        <v/>
      </c>
      <c r="U969" s="199" t="str">
        <f t="shared" si="219"/>
        <v/>
      </c>
      <c r="V969" s="989"/>
      <c r="X969" s="374" t="str">
        <f t="shared" si="220"/>
        <v/>
      </c>
      <c r="Y969" s="375" t="str">
        <f t="shared" si="221"/>
        <v/>
      </c>
      <c r="Z969" s="374" t="str">
        <f t="shared" si="222"/>
        <v/>
      </c>
      <c r="AA969" s="374" t="b">
        <f t="shared" si="223"/>
        <v>1</v>
      </c>
      <c r="AB969" s="374">
        <f>COUNTIFS(B:B,B969,H:H,'סיווג התפקידים והעלויות'!$C$2)</f>
        <v>0</v>
      </c>
      <c r="AC969" s="374">
        <f>COUNTIFS(B:B,B969,H:H,'סיווג התפקידים והעלויות'!$D$2)</f>
        <v>0</v>
      </c>
      <c r="AD969" s="374" t="str">
        <f>IF(OR(AND(H969='סיווג התפקידים והעלויות'!$A$2,I969='סיווג התפקידים והעלויות'!$A$3),'עלויות כח אדם (6)'!H969='סיווג התפקידים והעלויות'!$C$2,'עלויות כח אדם (6)'!H969='סיווג התפקידים והעלויות'!$D$2),IF('עלויות כח אדם (6)'!J969&lt;75,"לא תקין","תקין"),"")</f>
        <v/>
      </c>
      <c r="AE969" s="374" t="str">
        <f t="shared" si="224"/>
        <v/>
      </c>
      <c r="AF969" s="532" t="str">
        <f t="shared" si="225"/>
        <v/>
      </c>
    </row>
    <row r="970" spans="2:32" x14ac:dyDescent="0.25">
      <c r="B970" s="695"/>
      <c r="C970" s="197" t="str">
        <f>IF(B970&lt;&gt;"",IFERROR(VLOOKUP(B:B,'מצבת והרשמה (2)'!$C$20:$N$520,2,0)," ")," ")</f>
        <v xml:space="preserve"> </v>
      </c>
      <c r="D970" s="695"/>
      <c r="E970" s="696"/>
      <c r="F970" s="696"/>
      <c r="G970" s="696"/>
      <c r="H970" s="696"/>
      <c r="I970" s="1050" t="str">
        <f t="shared" si="212"/>
        <v/>
      </c>
      <c r="J970" s="696"/>
      <c r="K970" s="697"/>
      <c r="L970" s="696"/>
      <c r="M970" s="198" t="str">
        <f t="shared" si="213"/>
        <v/>
      </c>
      <c r="N970" s="369" t="str">
        <f t="shared" si="214"/>
        <v/>
      </c>
      <c r="O970" s="183" t="str">
        <f t="shared" si="215"/>
        <v/>
      </c>
      <c r="P970" s="199" t="str">
        <f t="shared" si="216"/>
        <v/>
      </c>
      <c r="Q970" s="199" t="str">
        <f>IF(B970="","",IFERROR(IF('עלויות כח אדם (6)'!J970&gt;=VLOOKUP(I970,'סיווג התפקידים והעלויות'!$B$23:$C$32,2,0),"תקין","לא תקין"),""))</f>
        <v/>
      </c>
      <c r="R970" s="199" t="str">
        <f t="shared" si="217"/>
        <v/>
      </c>
      <c r="S970" s="199" t="str">
        <f t="shared" si="218"/>
        <v/>
      </c>
      <c r="T970" s="199" t="str">
        <f t="shared" si="226"/>
        <v/>
      </c>
      <c r="U970" s="199" t="str">
        <f t="shared" si="219"/>
        <v/>
      </c>
      <c r="V970" s="989"/>
      <c r="X970" s="374" t="str">
        <f t="shared" si="220"/>
        <v/>
      </c>
      <c r="Y970" s="375" t="str">
        <f t="shared" si="221"/>
        <v/>
      </c>
      <c r="Z970" s="374" t="str">
        <f t="shared" si="222"/>
        <v/>
      </c>
      <c r="AA970" s="374" t="b">
        <f t="shared" si="223"/>
        <v>1</v>
      </c>
      <c r="AB970" s="374">
        <f>COUNTIFS(B:B,B970,H:H,'סיווג התפקידים והעלויות'!$C$2)</f>
        <v>0</v>
      </c>
      <c r="AC970" s="374">
        <f>COUNTIFS(B:B,B970,H:H,'סיווג התפקידים והעלויות'!$D$2)</f>
        <v>0</v>
      </c>
      <c r="AD970" s="374" t="str">
        <f>IF(OR(AND(H970='סיווג התפקידים והעלויות'!$A$2,I970='סיווג התפקידים והעלויות'!$A$3),'עלויות כח אדם (6)'!H970='סיווג התפקידים והעלויות'!$C$2,'עלויות כח אדם (6)'!H970='סיווג התפקידים והעלויות'!$D$2),IF('עלויות כח אדם (6)'!J970&lt;75,"לא תקין","תקין"),"")</f>
        <v/>
      </c>
      <c r="AE970" s="374" t="str">
        <f t="shared" si="224"/>
        <v/>
      </c>
      <c r="AF970" s="532" t="str">
        <f t="shared" si="225"/>
        <v/>
      </c>
    </row>
    <row r="971" spans="2:32" x14ac:dyDescent="0.25">
      <c r="B971" s="695"/>
      <c r="C971" s="197" t="str">
        <f>IF(B971&lt;&gt;"",IFERROR(VLOOKUP(B:B,'מצבת והרשמה (2)'!$C$20:$N$520,2,0)," ")," ")</f>
        <v xml:space="preserve"> </v>
      </c>
      <c r="D971" s="695"/>
      <c r="E971" s="696"/>
      <c r="F971" s="696"/>
      <c r="G971" s="696"/>
      <c r="H971" s="696"/>
      <c r="I971" s="1050" t="str">
        <f t="shared" si="212"/>
        <v/>
      </c>
      <c r="J971" s="696"/>
      <c r="K971" s="697"/>
      <c r="L971" s="696"/>
      <c r="M971" s="198" t="str">
        <f t="shared" si="213"/>
        <v/>
      </c>
      <c r="N971" s="369" t="str">
        <f t="shared" si="214"/>
        <v/>
      </c>
      <c r="O971" s="183" t="str">
        <f t="shared" si="215"/>
        <v/>
      </c>
      <c r="P971" s="199" t="str">
        <f t="shared" si="216"/>
        <v/>
      </c>
      <c r="Q971" s="199" t="str">
        <f>IF(B971="","",IFERROR(IF('עלויות כח אדם (6)'!J971&gt;=VLOOKUP(I971,'סיווג התפקידים והעלויות'!$B$23:$C$32,2,0),"תקין","לא תקין"),""))</f>
        <v/>
      </c>
      <c r="R971" s="199" t="str">
        <f t="shared" si="217"/>
        <v/>
      </c>
      <c r="S971" s="199" t="str">
        <f t="shared" si="218"/>
        <v/>
      </c>
      <c r="T971" s="199" t="str">
        <f t="shared" si="226"/>
        <v/>
      </c>
      <c r="U971" s="199" t="str">
        <f t="shared" si="219"/>
        <v/>
      </c>
      <c r="V971" s="989"/>
      <c r="X971" s="374" t="str">
        <f t="shared" si="220"/>
        <v/>
      </c>
      <c r="Y971" s="375" t="str">
        <f t="shared" si="221"/>
        <v/>
      </c>
      <c r="Z971" s="374" t="str">
        <f t="shared" si="222"/>
        <v/>
      </c>
      <c r="AA971" s="374" t="b">
        <f t="shared" si="223"/>
        <v>1</v>
      </c>
      <c r="AB971" s="374">
        <f>COUNTIFS(B:B,B971,H:H,'סיווג התפקידים והעלויות'!$C$2)</f>
        <v>0</v>
      </c>
      <c r="AC971" s="374">
        <f>COUNTIFS(B:B,B971,H:H,'סיווג התפקידים והעלויות'!$D$2)</f>
        <v>0</v>
      </c>
      <c r="AD971" s="374" t="str">
        <f>IF(OR(AND(H971='סיווג התפקידים והעלויות'!$A$2,I971='סיווג התפקידים והעלויות'!$A$3),'עלויות כח אדם (6)'!H971='סיווג התפקידים והעלויות'!$C$2,'עלויות כח אדם (6)'!H971='סיווג התפקידים והעלויות'!$D$2),IF('עלויות כח אדם (6)'!J971&lt;75,"לא תקין","תקין"),"")</f>
        <v/>
      </c>
      <c r="AE971" s="374" t="str">
        <f t="shared" si="224"/>
        <v/>
      </c>
      <c r="AF971" s="532" t="str">
        <f t="shared" si="225"/>
        <v/>
      </c>
    </row>
    <row r="972" spans="2:32" x14ac:dyDescent="0.25">
      <c r="B972" s="695"/>
      <c r="C972" s="197" t="str">
        <f>IF(B972&lt;&gt;"",IFERROR(VLOOKUP(B:B,'מצבת והרשמה (2)'!$C$20:$N$520,2,0)," ")," ")</f>
        <v xml:space="preserve"> </v>
      </c>
      <c r="D972" s="695"/>
      <c r="E972" s="696"/>
      <c r="F972" s="696"/>
      <c r="G972" s="696"/>
      <c r="H972" s="696"/>
      <c r="I972" s="1050" t="str">
        <f t="shared" si="212"/>
        <v/>
      </c>
      <c r="J972" s="696"/>
      <c r="K972" s="697"/>
      <c r="L972" s="696"/>
      <c r="M972" s="198" t="str">
        <f t="shared" si="213"/>
        <v/>
      </c>
      <c r="N972" s="369" t="str">
        <f t="shared" si="214"/>
        <v/>
      </c>
      <c r="O972" s="183" t="str">
        <f t="shared" si="215"/>
        <v/>
      </c>
      <c r="P972" s="199" t="str">
        <f t="shared" si="216"/>
        <v/>
      </c>
      <c r="Q972" s="199" t="str">
        <f>IF(B972="","",IFERROR(IF('עלויות כח אדם (6)'!J972&gt;=VLOOKUP(I972,'סיווג התפקידים והעלויות'!$B$23:$C$32,2,0),"תקין","לא תקין"),""))</f>
        <v/>
      </c>
      <c r="R972" s="199" t="str">
        <f t="shared" si="217"/>
        <v/>
      </c>
      <c r="S972" s="199" t="str">
        <f t="shared" si="218"/>
        <v/>
      </c>
      <c r="T972" s="199" t="str">
        <f t="shared" si="226"/>
        <v/>
      </c>
      <c r="U972" s="199" t="str">
        <f t="shared" si="219"/>
        <v/>
      </c>
      <c r="V972" s="989"/>
      <c r="X972" s="374" t="str">
        <f t="shared" si="220"/>
        <v/>
      </c>
      <c r="Y972" s="375" t="str">
        <f t="shared" si="221"/>
        <v/>
      </c>
      <c r="Z972" s="374" t="str">
        <f t="shared" si="222"/>
        <v/>
      </c>
      <c r="AA972" s="374" t="b">
        <f t="shared" si="223"/>
        <v>1</v>
      </c>
      <c r="AB972" s="374">
        <f>COUNTIFS(B:B,B972,H:H,'סיווג התפקידים והעלויות'!$C$2)</f>
        <v>0</v>
      </c>
      <c r="AC972" s="374">
        <f>COUNTIFS(B:B,B972,H:H,'סיווג התפקידים והעלויות'!$D$2)</f>
        <v>0</v>
      </c>
      <c r="AD972" s="374" t="str">
        <f>IF(OR(AND(H972='סיווג התפקידים והעלויות'!$A$2,I972='סיווג התפקידים והעלויות'!$A$3),'עלויות כח אדם (6)'!H972='סיווג התפקידים והעלויות'!$C$2,'עלויות כח אדם (6)'!H972='סיווג התפקידים והעלויות'!$D$2),IF('עלויות כח אדם (6)'!J972&lt;75,"לא תקין","תקין"),"")</f>
        <v/>
      </c>
      <c r="AE972" s="374" t="str">
        <f t="shared" si="224"/>
        <v/>
      </c>
      <c r="AF972" s="532" t="str">
        <f t="shared" si="225"/>
        <v/>
      </c>
    </row>
    <row r="973" spans="2:32" x14ac:dyDescent="0.25">
      <c r="B973" s="695"/>
      <c r="C973" s="197" t="str">
        <f>IF(B973&lt;&gt;"",IFERROR(VLOOKUP(B:B,'מצבת והרשמה (2)'!$C$20:$N$520,2,0)," ")," ")</f>
        <v xml:space="preserve"> </v>
      </c>
      <c r="D973" s="695"/>
      <c r="E973" s="696"/>
      <c r="F973" s="696"/>
      <c r="G973" s="696"/>
      <c r="H973" s="696"/>
      <c r="I973" s="1050" t="str">
        <f t="shared" si="212"/>
        <v/>
      </c>
      <c r="J973" s="696"/>
      <c r="K973" s="697"/>
      <c r="L973" s="696"/>
      <c r="M973" s="198" t="str">
        <f t="shared" si="213"/>
        <v/>
      </c>
      <c r="N973" s="369" t="str">
        <f t="shared" si="214"/>
        <v/>
      </c>
      <c r="O973" s="183" t="str">
        <f t="shared" si="215"/>
        <v/>
      </c>
      <c r="P973" s="199" t="str">
        <f t="shared" si="216"/>
        <v/>
      </c>
      <c r="Q973" s="199" t="str">
        <f>IF(B973="","",IFERROR(IF('עלויות כח אדם (6)'!J973&gt;=VLOOKUP(I973,'סיווג התפקידים והעלויות'!$B$23:$C$32,2,0),"תקין","לא תקין"),""))</f>
        <v/>
      </c>
      <c r="R973" s="199" t="str">
        <f t="shared" si="217"/>
        <v/>
      </c>
      <c r="S973" s="199" t="str">
        <f t="shared" si="218"/>
        <v/>
      </c>
      <c r="T973" s="199" t="str">
        <f t="shared" si="226"/>
        <v/>
      </c>
      <c r="U973" s="199" t="str">
        <f t="shared" si="219"/>
        <v/>
      </c>
      <c r="V973" s="989"/>
      <c r="X973" s="374" t="str">
        <f t="shared" si="220"/>
        <v/>
      </c>
      <c r="Y973" s="375" t="str">
        <f t="shared" si="221"/>
        <v/>
      </c>
      <c r="Z973" s="374" t="str">
        <f t="shared" si="222"/>
        <v/>
      </c>
      <c r="AA973" s="374" t="b">
        <f t="shared" si="223"/>
        <v>1</v>
      </c>
      <c r="AB973" s="374">
        <f>COUNTIFS(B:B,B973,H:H,'סיווג התפקידים והעלויות'!$C$2)</f>
        <v>0</v>
      </c>
      <c r="AC973" s="374">
        <f>COUNTIFS(B:B,B973,H:H,'סיווג התפקידים והעלויות'!$D$2)</f>
        <v>0</v>
      </c>
      <c r="AD973" s="374" t="str">
        <f>IF(OR(AND(H973='סיווג התפקידים והעלויות'!$A$2,I973='סיווג התפקידים והעלויות'!$A$3),'עלויות כח אדם (6)'!H973='סיווג התפקידים והעלויות'!$C$2,'עלויות כח אדם (6)'!H973='סיווג התפקידים והעלויות'!$D$2),IF('עלויות כח אדם (6)'!J973&lt;75,"לא תקין","תקין"),"")</f>
        <v/>
      </c>
      <c r="AE973" s="374" t="str">
        <f t="shared" si="224"/>
        <v/>
      </c>
      <c r="AF973" s="532" t="str">
        <f t="shared" si="225"/>
        <v/>
      </c>
    </row>
    <row r="974" spans="2:32" x14ac:dyDescent="0.25">
      <c r="B974" s="695"/>
      <c r="C974" s="197" t="str">
        <f>IF(B974&lt;&gt;"",IFERROR(VLOOKUP(B:B,'מצבת והרשמה (2)'!$C$20:$N$520,2,0)," ")," ")</f>
        <v xml:space="preserve"> </v>
      </c>
      <c r="D974" s="695"/>
      <c r="E974" s="696"/>
      <c r="F974" s="696"/>
      <c r="G974" s="696"/>
      <c r="H974" s="696"/>
      <c r="I974" s="1050" t="str">
        <f t="shared" si="212"/>
        <v/>
      </c>
      <c r="J974" s="696"/>
      <c r="K974" s="697"/>
      <c r="L974" s="696"/>
      <c r="M974" s="198" t="str">
        <f t="shared" si="213"/>
        <v/>
      </c>
      <c r="N974" s="369" t="str">
        <f t="shared" si="214"/>
        <v/>
      </c>
      <c r="O974" s="183" t="str">
        <f t="shared" si="215"/>
        <v/>
      </c>
      <c r="P974" s="199" t="str">
        <f t="shared" si="216"/>
        <v/>
      </c>
      <c r="Q974" s="199" t="str">
        <f>IF(B974="","",IFERROR(IF('עלויות כח אדם (6)'!J974&gt;=VLOOKUP(I974,'סיווג התפקידים והעלויות'!$B$23:$C$32,2,0),"תקין","לא תקין"),""))</f>
        <v/>
      </c>
      <c r="R974" s="199" t="str">
        <f t="shared" si="217"/>
        <v/>
      </c>
      <c r="S974" s="199" t="str">
        <f t="shared" si="218"/>
        <v/>
      </c>
      <c r="T974" s="199" t="str">
        <f t="shared" si="226"/>
        <v/>
      </c>
      <c r="U974" s="199" t="str">
        <f t="shared" si="219"/>
        <v/>
      </c>
      <c r="V974" s="989"/>
      <c r="X974" s="374" t="str">
        <f t="shared" si="220"/>
        <v/>
      </c>
      <c r="Y974" s="375" t="str">
        <f t="shared" si="221"/>
        <v/>
      </c>
      <c r="Z974" s="374" t="str">
        <f t="shared" si="222"/>
        <v/>
      </c>
      <c r="AA974" s="374" t="b">
        <f t="shared" si="223"/>
        <v>1</v>
      </c>
      <c r="AB974" s="374">
        <f>COUNTIFS(B:B,B974,H:H,'סיווג התפקידים והעלויות'!$C$2)</f>
        <v>0</v>
      </c>
      <c r="AC974" s="374">
        <f>COUNTIFS(B:B,B974,H:H,'סיווג התפקידים והעלויות'!$D$2)</f>
        <v>0</v>
      </c>
      <c r="AD974" s="374" t="str">
        <f>IF(OR(AND(H974='סיווג התפקידים והעלויות'!$A$2,I974='סיווג התפקידים והעלויות'!$A$3),'עלויות כח אדם (6)'!H974='סיווג התפקידים והעלויות'!$C$2,'עלויות כח אדם (6)'!H974='סיווג התפקידים והעלויות'!$D$2),IF('עלויות כח אדם (6)'!J974&lt;75,"לא תקין","תקין"),"")</f>
        <v/>
      </c>
      <c r="AE974" s="374" t="str">
        <f t="shared" si="224"/>
        <v/>
      </c>
      <c r="AF974" s="532" t="str">
        <f t="shared" si="225"/>
        <v/>
      </c>
    </row>
    <row r="975" spans="2:32" x14ac:dyDescent="0.25">
      <c r="B975" s="695"/>
      <c r="C975" s="197" t="str">
        <f>IF(B975&lt;&gt;"",IFERROR(VLOOKUP(B:B,'מצבת והרשמה (2)'!$C$20:$N$520,2,0)," ")," ")</f>
        <v xml:space="preserve"> </v>
      </c>
      <c r="D975" s="695"/>
      <c r="E975" s="696"/>
      <c r="F975" s="696"/>
      <c r="G975" s="696"/>
      <c r="H975" s="696"/>
      <c r="I975" s="1050" t="str">
        <f t="shared" ref="I975:I1038" si="227">SUBSTITUTE(IFERROR(IF(H975="מדצ","מדצ/ית",IF(H975="סגנית רכזת מעל 150","סגנ/ית רכז/ת&gt;150",IF(H975="רכזת תכנית בבית הספר","רכז/ת תכנית בבית הספר"))),""),"FALSE","")</f>
        <v/>
      </c>
      <c r="J975" s="696"/>
      <c r="K975" s="697"/>
      <c r="L975" s="696"/>
      <c r="M975" s="198" t="str">
        <f t="shared" ref="M975:M1038" si="228">IF(AND(L975&gt;0,K975&gt;0),K975*L975,"")</f>
        <v/>
      </c>
      <c r="N975" s="369" t="str">
        <f t="shared" ref="N975:N1038" si="229">TEXT(LEFT(H975,2),0)</f>
        <v/>
      </c>
      <c r="O975" s="183" t="str">
        <f t="shared" ref="O975:O1038" si="230">IF(ISNUMBER(M975&gt;0),IF(ISBLANK(B975),"יש להזין סמל מוסד בעמודה B",""),"")</f>
        <v/>
      </c>
      <c r="P975" s="199" t="str">
        <f t="shared" ref="P975:P1038" si="231">IF(B975="","",IF(AA975=FALSE,"לא תקין","תקין"))</f>
        <v/>
      </c>
      <c r="Q975" s="199" t="str">
        <f>IF(B975="","",IFERROR(IF('עלויות כח אדם (6)'!J975&gt;=VLOOKUP(I975,'סיווג התפקידים והעלויות'!$B$23:$C$32,2,0),"תקין","לא תקין"),""))</f>
        <v/>
      </c>
      <c r="R975" s="199" t="str">
        <f t="shared" ref="R975:R1038" si="232">IF(B975="","",IF(OR(Y975&lt;100%,Y975&gt;140%),"לא תקין","תקין"))</f>
        <v/>
      </c>
      <c r="S975" s="199" t="str">
        <f t="shared" ref="S975:S1038" si="233">IF(B975="","",IFERROR(IF(J975&gt;120,"לא תקין","תקין"),""))</f>
        <v/>
      </c>
      <c r="T975" s="199" t="str">
        <f t="shared" si="226"/>
        <v/>
      </c>
      <c r="U975" s="199" t="str">
        <f t="shared" ref="U975:U1038" si="234">IF(B975="","",IF(Z975&gt;1,IF(SUMIF(D:D,D975,L:L)&gt;90,"לא תקין","תקין"),"תקין"))</f>
        <v/>
      </c>
      <c r="V975" s="989"/>
      <c r="X975" s="374" t="str">
        <f t="shared" ref="X975:X1038" si="235">IF(B975="","",IF(OR(R975="לא תקין",S975="לא תקין",T975="לא תקין",,U975="לא תקין"),"לא תקין","תקין"))</f>
        <v/>
      </c>
      <c r="Y975" s="375" t="str">
        <f t="shared" ref="Y975:Y1038" si="236">IFERROR(IF(B975="","",K975/J975),"")</f>
        <v/>
      </c>
      <c r="Z975" s="374" t="str">
        <f t="shared" ref="Z975:Z1038" si="237">IF(B975="","",COUNTIF(D:D,D975))</f>
        <v/>
      </c>
      <c r="AA975" s="374" t="b">
        <f t="shared" ref="AA975:AA1038" si="238">MOD(MID(REPT(0,9-LEN(D975))&amp;D975,1,1)+MID("0246813579",MID(REPT(0,9-LEN(D975))&amp;D975,2,1)+1,1)+MID(REPT(0,9-LEN(D975))&amp;D975,3,1)+MID("0246813579",MID(REPT(0,9-LEN(D975))&amp;D975,4,1)+1,1)+MID(REPT(0,9-LEN(D975))&amp;D975,5,1)+MID("0246813579",MID(REPT(0,9-LEN(D975))&amp;D975,6,1)+1,1)+MID(REPT(0,9-LEN(D975))&amp;D975,7,1)+MID("0246813579",MID(REPT(0,9-LEN(D975))&amp;D975,8,1)+1,1)+MID(REPT(0,9-LEN(D975))&amp;D975,9,1),10)=0</f>
        <v>1</v>
      </c>
      <c r="AB975" s="374">
        <f>COUNTIFS(B:B,B975,H:H,'סיווג התפקידים והעלויות'!$C$2)</f>
        <v>0</v>
      </c>
      <c r="AC975" s="374">
        <f>COUNTIFS(B:B,B975,H:H,'סיווג התפקידים והעלויות'!$D$2)</f>
        <v>0</v>
      </c>
      <c r="AD975" s="374" t="str">
        <f>IF(OR(AND(H975='סיווג התפקידים והעלויות'!$A$2,I975='סיווג התפקידים והעלויות'!$A$3),'עלויות כח אדם (6)'!H975='סיווג התפקידים והעלויות'!$C$2,'עלויות כח אדם (6)'!H975='סיווג התפקידים והעלויות'!$D$2),IF('עלויות כח אדם (6)'!J975&lt;75,"לא תקין","תקין"),"")</f>
        <v/>
      </c>
      <c r="AE975" s="374" t="str">
        <f t="shared" ref="AE975:AE1038" si="239">IF(B975&lt;&gt;"",B975&amp;H975,"")</f>
        <v/>
      </c>
      <c r="AF975" s="532" t="str">
        <f t="shared" ref="AF975:AF1038" si="240">M975</f>
        <v/>
      </c>
    </row>
    <row r="976" spans="2:32" x14ac:dyDescent="0.25">
      <c r="B976" s="695"/>
      <c r="C976" s="197" t="str">
        <f>IF(B976&lt;&gt;"",IFERROR(VLOOKUP(B:B,'מצבת והרשמה (2)'!$C$20:$N$520,2,0)," ")," ")</f>
        <v xml:space="preserve"> </v>
      </c>
      <c r="D976" s="695"/>
      <c r="E976" s="696"/>
      <c r="F976" s="696"/>
      <c r="G976" s="696"/>
      <c r="H976" s="696"/>
      <c r="I976" s="1050" t="str">
        <f t="shared" si="227"/>
        <v/>
      </c>
      <c r="J976" s="696"/>
      <c r="K976" s="697"/>
      <c r="L976" s="696"/>
      <c r="M976" s="198" t="str">
        <f t="shared" si="228"/>
        <v/>
      </c>
      <c r="N976" s="369" t="str">
        <f t="shared" si="229"/>
        <v/>
      </c>
      <c r="O976" s="183" t="str">
        <f t="shared" si="230"/>
        <v/>
      </c>
      <c r="P976" s="199" t="str">
        <f t="shared" si="231"/>
        <v/>
      </c>
      <c r="Q976" s="199" t="str">
        <f>IF(B976="","",IFERROR(IF('עלויות כח אדם (6)'!J976&gt;=VLOOKUP(I976,'סיווג התפקידים והעלויות'!$B$23:$C$32,2,0),"תקין","לא תקין"),""))</f>
        <v/>
      </c>
      <c r="R976" s="199" t="str">
        <f t="shared" si="232"/>
        <v/>
      </c>
      <c r="S976" s="199" t="str">
        <f t="shared" si="233"/>
        <v/>
      </c>
      <c r="T976" s="199" t="str">
        <f t="shared" ref="T976:T1039" si="241">IF(B976="","",IF(H976="","יש להזין איש צוות",IF(OR(H976="מורה",H976="גננת",H976="רכז גן",H976="רכזת גן",H976="סייעת",H976="מדצית",H976="מדצ",H976="מדריך",H976="מדריכה",H976="תוספת כח אדם"),IF(L976&lt;=90,"תקין","לא תקין"),IF(OR(H976="רכז בית ספר",H976="רכזת תכנית בבית הספר",H976="רכזת בית ספר"),IF(L976&lt;=137,"תקין","לא תקין"),IF(OR(H976="סגנית רכזת מעל 150",H976="סגן רכז"),IF(L976&lt;=93,"תקין","לא תקין"),"לא תקין")))))</f>
        <v/>
      </c>
      <c r="U976" s="199" t="str">
        <f t="shared" si="234"/>
        <v/>
      </c>
      <c r="V976" s="989"/>
      <c r="X976" s="374" t="str">
        <f t="shared" si="235"/>
        <v/>
      </c>
      <c r="Y976" s="375" t="str">
        <f t="shared" si="236"/>
        <v/>
      </c>
      <c r="Z976" s="374" t="str">
        <f t="shared" si="237"/>
        <v/>
      </c>
      <c r="AA976" s="374" t="b">
        <f t="shared" si="238"/>
        <v>1</v>
      </c>
      <c r="AB976" s="374">
        <f>COUNTIFS(B:B,B976,H:H,'סיווג התפקידים והעלויות'!$C$2)</f>
        <v>0</v>
      </c>
      <c r="AC976" s="374">
        <f>COUNTIFS(B:B,B976,H:H,'סיווג התפקידים והעלויות'!$D$2)</f>
        <v>0</v>
      </c>
      <c r="AD976" s="374" t="str">
        <f>IF(OR(AND(H976='סיווג התפקידים והעלויות'!$A$2,I976='סיווג התפקידים והעלויות'!$A$3),'עלויות כח אדם (6)'!H976='סיווג התפקידים והעלויות'!$C$2,'עלויות כח אדם (6)'!H976='סיווג התפקידים והעלויות'!$D$2),IF('עלויות כח אדם (6)'!J976&lt;75,"לא תקין","תקין"),"")</f>
        <v/>
      </c>
      <c r="AE976" s="374" t="str">
        <f t="shared" si="239"/>
        <v/>
      </c>
      <c r="AF976" s="532" t="str">
        <f t="shared" si="240"/>
        <v/>
      </c>
    </row>
    <row r="977" spans="2:32" x14ac:dyDescent="0.25">
      <c r="B977" s="695"/>
      <c r="C977" s="197" t="str">
        <f>IF(B977&lt;&gt;"",IFERROR(VLOOKUP(B:B,'מצבת והרשמה (2)'!$C$20:$N$520,2,0)," ")," ")</f>
        <v xml:space="preserve"> </v>
      </c>
      <c r="D977" s="695"/>
      <c r="E977" s="696"/>
      <c r="F977" s="696"/>
      <c r="G977" s="696"/>
      <c r="H977" s="696"/>
      <c r="I977" s="1050" t="str">
        <f t="shared" si="227"/>
        <v/>
      </c>
      <c r="J977" s="696"/>
      <c r="K977" s="697"/>
      <c r="L977" s="696"/>
      <c r="M977" s="198" t="str">
        <f t="shared" si="228"/>
        <v/>
      </c>
      <c r="N977" s="369" t="str">
        <f t="shared" si="229"/>
        <v/>
      </c>
      <c r="O977" s="183" t="str">
        <f t="shared" si="230"/>
        <v/>
      </c>
      <c r="P977" s="199" t="str">
        <f t="shared" si="231"/>
        <v/>
      </c>
      <c r="Q977" s="199" t="str">
        <f>IF(B977="","",IFERROR(IF('עלויות כח אדם (6)'!J977&gt;=VLOOKUP(I977,'סיווג התפקידים והעלויות'!$B$23:$C$32,2,0),"תקין","לא תקין"),""))</f>
        <v/>
      </c>
      <c r="R977" s="199" t="str">
        <f t="shared" si="232"/>
        <v/>
      </c>
      <c r="S977" s="199" t="str">
        <f t="shared" si="233"/>
        <v/>
      </c>
      <c r="T977" s="199" t="str">
        <f t="shared" si="241"/>
        <v/>
      </c>
      <c r="U977" s="199" t="str">
        <f t="shared" si="234"/>
        <v/>
      </c>
      <c r="V977" s="989"/>
      <c r="X977" s="374" t="str">
        <f t="shared" si="235"/>
        <v/>
      </c>
      <c r="Y977" s="375" t="str">
        <f t="shared" si="236"/>
        <v/>
      </c>
      <c r="Z977" s="374" t="str">
        <f t="shared" si="237"/>
        <v/>
      </c>
      <c r="AA977" s="374" t="b">
        <f t="shared" si="238"/>
        <v>1</v>
      </c>
      <c r="AB977" s="374">
        <f>COUNTIFS(B:B,B977,H:H,'סיווג התפקידים והעלויות'!$C$2)</f>
        <v>0</v>
      </c>
      <c r="AC977" s="374">
        <f>COUNTIFS(B:B,B977,H:H,'סיווג התפקידים והעלויות'!$D$2)</f>
        <v>0</v>
      </c>
      <c r="AD977" s="374" t="str">
        <f>IF(OR(AND(H977='סיווג התפקידים והעלויות'!$A$2,I977='סיווג התפקידים והעלויות'!$A$3),'עלויות כח אדם (6)'!H977='סיווג התפקידים והעלויות'!$C$2,'עלויות כח אדם (6)'!H977='סיווג התפקידים והעלויות'!$D$2),IF('עלויות כח אדם (6)'!J977&lt;75,"לא תקין","תקין"),"")</f>
        <v/>
      </c>
      <c r="AE977" s="374" t="str">
        <f t="shared" si="239"/>
        <v/>
      </c>
      <c r="AF977" s="532" t="str">
        <f t="shared" si="240"/>
        <v/>
      </c>
    </row>
    <row r="978" spans="2:32" x14ac:dyDescent="0.25">
      <c r="B978" s="695"/>
      <c r="C978" s="197" t="str">
        <f>IF(B978&lt;&gt;"",IFERROR(VLOOKUP(B:B,'מצבת והרשמה (2)'!$C$20:$N$520,2,0)," ")," ")</f>
        <v xml:space="preserve"> </v>
      </c>
      <c r="D978" s="695"/>
      <c r="E978" s="696"/>
      <c r="F978" s="696"/>
      <c r="G978" s="696"/>
      <c r="H978" s="696"/>
      <c r="I978" s="1050" t="str">
        <f t="shared" si="227"/>
        <v/>
      </c>
      <c r="J978" s="696"/>
      <c r="K978" s="697"/>
      <c r="L978" s="696"/>
      <c r="M978" s="198" t="str">
        <f t="shared" si="228"/>
        <v/>
      </c>
      <c r="N978" s="369" t="str">
        <f t="shared" si="229"/>
        <v/>
      </c>
      <c r="O978" s="183" t="str">
        <f t="shared" si="230"/>
        <v/>
      </c>
      <c r="P978" s="199" t="str">
        <f t="shared" si="231"/>
        <v/>
      </c>
      <c r="Q978" s="199" t="str">
        <f>IF(B978="","",IFERROR(IF('עלויות כח אדם (6)'!J978&gt;=VLOOKUP(I978,'סיווג התפקידים והעלויות'!$B$23:$C$32,2,0),"תקין","לא תקין"),""))</f>
        <v/>
      </c>
      <c r="R978" s="199" t="str">
        <f t="shared" si="232"/>
        <v/>
      </c>
      <c r="S978" s="199" t="str">
        <f t="shared" si="233"/>
        <v/>
      </c>
      <c r="T978" s="199" t="str">
        <f t="shared" si="241"/>
        <v/>
      </c>
      <c r="U978" s="199" t="str">
        <f t="shared" si="234"/>
        <v/>
      </c>
      <c r="V978" s="989"/>
      <c r="X978" s="374" t="str">
        <f t="shared" si="235"/>
        <v/>
      </c>
      <c r="Y978" s="375" t="str">
        <f t="shared" si="236"/>
        <v/>
      </c>
      <c r="Z978" s="374" t="str">
        <f t="shared" si="237"/>
        <v/>
      </c>
      <c r="AA978" s="374" t="b">
        <f t="shared" si="238"/>
        <v>1</v>
      </c>
      <c r="AB978" s="374">
        <f>COUNTIFS(B:B,B978,H:H,'סיווג התפקידים והעלויות'!$C$2)</f>
        <v>0</v>
      </c>
      <c r="AC978" s="374">
        <f>COUNTIFS(B:B,B978,H:H,'סיווג התפקידים והעלויות'!$D$2)</f>
        <v>0</v>
      </c>
      <c r="AD978" s="374" t="str">
        <f>IF(OR(AND(H978='סיווג התפקידים והעלויות'!$A$2,I978='סיווג התפקידים והעלויות'!$A$3),'עלויות כח אדם (6)'!H978='סיווג התפקידים והעלויות'!$C$2,'עלויות כח אדם (6)'!H978='סיווג התפקידים והעלויות'!$D$2),IF('עלויות כח אדם (6)'!J978&lt;75,"לא תקין","תקין"),"")</f>
        <v/>
      </c>
      <c r="AE978" s="374" t="str">
        <f t="shared" si="239"/>
        <v/>
      </c>
      <c r="AF978" s="532" t="str">
        <f t="shared" si="240"/>
        <v/>
      </c>
    </row>
    <row r="979" spans="2:32" x14ac:dyDescent="0.25">
      <c r="B979" s="695"/>
      <c r="C979" s="197" t="str">
        <f>IF(B979&lt;&gt;"",IFERROR(VLOOKUP(B:B,'מצבת והרשמה (2)'!$C$20:$N$520,2,0)," ")," ")</f>
        <v xml:space="preserve"> </v>
      </c>
      <c r="D979" s="695"/>
      <c r="E979" s="696"/>
      <c r="F979" s="696"/>
      <c r="G979" s="696"/>
      <c r="H979" s="696"/>
      <c r="I979" s="1050" t="str">
        <f t="shared" si="227"/>
        <v/>
      </c>
      <c r="J979" s="696"/>
      <c r="K979" s="697"/>
      <c r="L979" s="696"/>
      <c r="M979" s="198" t="str">
        <f t="shared" si="228"/>
        <v/>
      </c>
      <c r="N979" s="369" t="str">
        <f t="shared" si="229"/>
        <v/>
      </c>
      <c r="O979" s="183" t="str">
        <f t="shared" si="230"/>
        <v/>
      </c>
      <c r="P979" s="199" t="str">
        <f t="shared" si="231"/>
        <v/>
      </c>
      <c r="Q979" s="199" t="str">
        <f>IF(B979="","",IFERROR(IF('עלויות כח אדם (6)'!J979&gt;=VLOOKUP(I979,'סיווג התפקידים והעלויות'!$B$23:$C$32,2,0),"תקין","לא תקין"),""))</f>
        <v/>
      </c>
      <c r="R979" s="199" t="str">
        <f t="shared" si="232"/>
        <v/>
      </c>
      <c r="S979" s="199" t="str">
        <f t="shared" si="233"/>
        <v/>
      </c>
      <c r="T979" s="199" t="str">
        <f t="shared" si="241"/>
        <v/>
      </c>
      <c r="U979" s="199" t="str">
        <f t="shared" si="234"/>
        <v/>
      </c>
      <c r="V979" s="989"/>
      <c r="X979" s="374" t="str">
        <f t="shared" si="235"/>
        <v/>
      </c>
      <c r="Y979" s="375" t="str">
        <f t="shared" si="236"/>
        <v/>
      </c>
      <c r="Z979" s="374" t="str">
        <f t="shared" si="237"/>
        <v/>
      </c>
      <c r="AA979" s="374" t="b">
        <f t="shared" si="238"/>
        <v>1</v>
      </c>
      <c r="AB979" s="374">
        <f>COUNTIFS(B:B,B979,H:H,'סיווג התפקידים והעלויות'!$C$2)</f>
        <v>0</v>
      </c>
      <c r="AC979" s="374">
        <f>COUNTIFS(B:B,B979,H:H,'סיווג התפקידים והעלויות'!$D$2)</f>
        <v>0</v>
      </c>
      <c r="AD979" s="374" t="str">
        <f>IF(OR(AND(H979='סיווג התפקידים והעלויות'!$A$2,I979='סיווג התפקידים והעלויות'!$A$3),'עלויות כח אדם (6)'!H979='סיווג התפקידים והעלויות'!$C$2,'עלויות כח אדם (6)'!H979='סיווג התפקידים והעלויות'!$D$2),IF('עלויות כח אדם (6)'!J979&lt;75,"לא תקין","תקין"),"")</f>
        <v/>
      </c>
      <c r="AE979" s="374" t="str">
        <f t="shared" si="239"/>
        <v/>
      </c>
      <c r="AF979" s="532" t="str">
        <f t="shared" si="240"/>
        <v/>
      </c>
    </row>
    <row r="980" spans="2:32" x14ac:dyDescent="0.25">
      <c r="B980" s="695"/>
      <c r="C980" s="197" t="str">
        <f>IF(B980&lt;&gt;"",IFERROR(VLOOKUP(B:B,'מצבת והרשמה (2)'!$C$20:$N$520,2,0)," ")," ")</f>
        <v xml:space="preserve"> </v>
      </c>
      <c r="D980" s="695"/>
      <c r="E980" s="696"/>
      <c r="F980" s="696"/>
      <c r="G980" s="696"/>
      <c r="H980" s="696"/>
      <c r="I980" s="1050" t="str">
        <f t="shared" si="227"/>
        <v/>
      </c>
      <c r="J980" s="696"/>
      <c r="K980" s="697"/>
      <c r="L980" s="696"/>
      <c r="M980" s="198" t="str">
        <f t="shared" si="228"/>
        <v/>
      </c>
      <c r="N980" s="369" t="str">
        <f t="shared" si="229"/>
        <v/>
      </c>
      <c r="O980" s="183" t="str">
        <f t="shared" si="230"/>
        <v/>
      </c>
      <c r="P980" s="199" t="str">
        <f t="shared" si="231"/>
        <v/>
      </c>
      <c r="Q980" s="199" t="str">
        <f>IF(B980="","",IFERROR(IF('עלויות כח אדם (6)'!J980&gt;=VLOOKUP(I980,'סיווג התפקידים והעלויות'!$B$23:$C$32,2,0),"תקין","לא תקין"),""))</f>
        <v/>
      </c>
      <c r="R980" s="199" t="str">
        <f t="shared" si="232"/>
        <v/>
      </c>
      <c r="S980" s="199" t="str">
        <f t="shared" si="233"/>
        <v/>
      </c>
      <c r="T980" s="199" t="str">
        <f t="shared" si="241"/>
        <v/>
      </c>
      <c r="U980" s="199" t="str">
        <f t="shared" si="234"/>
        <v/>
      </c>
      <c r="V980" s="989"/>
      <c r="X980" s="374" t="str">
        <f t="shared" si="235"/>
        <v/>
      </c>
      <c r="Y980" s="375" t="str">
        <f t="shared" si="236"/>
        <v/>
      </c>
      <c r="Z980" s="374" t="str">
        <f t="shared" si="237"/>
        <v/>
      </c>
      <c r="AA980" s="374" t="b">
        <f t="shared" si="238"/>
        <v>1</v>
      </c>
      <c r="AB980" s="374">
        <f>COUNTIFS(B:B,B980,H:H,'סיווג התפקידים והעלויות'!$C$2)</f>
        <v>0</v>
      </c>
      <c r="AC980" s="374">
        <f>COUNTIFS(B:B,B980,H:H,'סיווג התפקידים והעלויות'!$D$2)</f>
        <v>0</v>
      </c>
      <c r="AD980" s="374" t="str">
        <f>IF(OR(AND(H980='סיווג התפקידים והעלויות'!$A$2,I980='סיווג התפקידים והעלויות'!$A$3),'עלויות כח אדם (6)'!H980='סיווג התפקידים והעלויות'!$C$2,'עלויות כח אדם (6)'!H980='סיווג התפקידים והעלויות'!$D$2),IF('עלויות כח אדם (6)'!J980&lt;75,"לא תקין","תקין"),"")</f>
        <v/>
      </c>
      <c r="AE980" s="374" t="str">
        <f t="shared" si="239"/>
        <v/>
      </c>
      <c r="AF980" s="532" t="str">
        <f t="shared" si="240"/>
        <v/>
      </c>
    </row>
    <row r="981" spans="2:32" x14ac:dyDescent="0.25">
      <c r="B981" s="695"/>
      <c r="C981" s="197" t="str">
        <f>IF(B981&lt;&gt;"",IFERROR(VLOOKUP(B:B,'מצבת והרשמה (2)'!$C$20:$N$520,2,0)," ")," ")</f>
        <v xml:space="preserve"> </v>
      </c>
      <c r="D981" s="695"/>
      <c r="E981" s="696"/>
      <c r="F981" s="696"/>
      <c r="G981" s="696"/>
      <c r="H981" s="696"/>
      <c r="I981" s="1050" t="str">
        <f t="shared" si="227"/>
        <v/>
      </c>
      <c r="J981" s="696"/>
      <c r="K981" s="697"/>
      <c r="L981" s="696"/>
      <c r="M981" s="198" t="str">
        <f t="shared" si="228"/>
        <v/>
      </c>
      <c r="N981" s="369" t="str">
        <f t="shared" si="229"/>
        <v/>
      </c>
      <c r="O981" s="183" t="str">
        <f t="shared" si="230"/>
        <v/>
      </c>
      <c r="P981" s="199" t="str">
        <f t="shared" si="231"/>
        <v/>
      </c>
      <c r="Q981" s="199" t="str">
        <f>IF(B981="","",IFERROR(IF('עלויות כח אדם (6)'!J981&gt;=VLOOKUP(I981,'סיווג התפקידים והעלויות'!$B$23:$C$32,2,0),"תקין","לא תקין"),""))</f>
        <v/>
      </c>
      <c r="R981" s="199" t="str">
        <f t="shared" si="232"/>
        <v/>
      </c>
      <c r="S981" s="199" t="str">
        <f t="shared" si="233"/>
        <v/>
      </c>
      <c r="T981" s="199" t="str">
        <f t="shared" si="241"/>
        <v/>
      </c>
      <c r="U981" s="199" t="str">
        <f t="shared" si="234"/>
        <v/>
      </c>
      <c r="V981" s="989"/>
      <c r="X981" s="374" t="str">
        <f t="shared" si="235"/>
        <v/>
      </c>
      <c r="Y981" s="375" t="str">
        <f t="shared" si="236"/>
        <v/>
      </c>
      <c r="Z981" s="374" t="str">
        <f t="shared" si="237"/>
        <v/>
      </c>
      <c r="AA981" s="374" t="b">
        <f t="shared" si="238"/>
        <v>1</v>
      </c>
      <c r="AB981" s="374">
        <f>COUNTIFS(B:B,B981,H:H,'סיווג התפקידים והעלויות'!$C$2)</f>
        <v>0</v>
      </c>
      <c r="AC981" s="374">
        <f>COUNTIFS(B:B,B981,H:H,'סיווג התפקידים והעלויות'!$D$2)</f>
        <v>0</v>
      </c>
      <c r="AD981" s="374" t="str">
        <f>IF(OR(AND(H981='סיווג התפקידים והעלויות'!$A$2,I981='סיווג התפקידים והעלויות'!$A$3),'עלויות כח אדם (6)'!H981='סיווג התפקידים והעלויות'!$C$2,'עלויות כח אדם (6)'!H981='סיווג התפקידים והעלויות'!$D$2),IF('עלויות כח אדם (6)'!J981&lt;75,"לא תקין","תקין"),"")</f>
        <v/>
      </c>
      <c r="AE981" s="374" t="str">
        <f t="shared" si="239"/>
        <v/>
      </c>
      <c r="AF981" s="532" t="str">
        <f t="shared" si="240"/>
        <v/>
      </c>
    </row>
    <row r="982" spans="2:32" x14ac:dyDescent="0.25">
      <c r="B982" s="695"/>
      <c r="C982" s="197" t="str">
        <f>IF(B982&lt;&gt;"",IFERROR(VLOOKUP(B:B,'מצבת והרשמה (2)'!$C$20:$N$520,2,0)," ")," ")</f>
        <v xml:space="preserve"> </v>
      </c>
      <c r="D982" s="695"/>
      <c r="E982" s="696"/>
      <c r="F982" s="696"/>
      <c r="G982" s="696"/>
      <c r="H982" s="696"/>
      <c r="I982" s="1050" t="str">
        <f t="shared" si="227"/>
        <v/>
      </c>
      <c r="J982" s="696"/>
      <c r="K982" s="697"/>
      <c r="L982" s="696"/>
      <c r="M982" s="198" t="str">
        <f t="shared" si="228"/>
        <v/>
      </c>
      <c r="N982" s="369" t="str">
        <f t="shared" si="229"/>
        <v/>
      </c>
      <c r="O982" s="183" t="str">
        <f t="shared" si="230"/>
        <v/>
      </c>
      <c r="P982" s="199" t="str">
        <f t="shared" si="231"/>
        <v/>
      </c>
      <c r="Q982" s="199" t="str">
        <f>IF(B982="","",IFERROR(IF('עלויות כח אדם (6)'!J982&gt;=VLOOKUP(I982,'סיווג התפקידים והעלויות'!$B$23:$C$32,2,0),"תקין","לא תקין"),""))</f>
        <v/>
      </c>
      <c r="R982" s="199" t="str">
        <f t="shared" si="232"/>
        <v/>
      </c>
      <c r="S982" s="199" t="str">
        <f t="shared" si="233"/>
        <v/>
      </c>
      <c r="T982" s="199" t="str">
        <f t="shared" si="241"/>
        <v/>
      </c>
      <c r="U982" s="199" t="str">
        <f t="shared" si="234"/>
        <v/>
      </c>
      <c r="V982" s="989"/>
      <c r="X982" s="374" t="str">
        <f t="shared" si="235"/>
        <v/>
      </c>
      <c r="Y982" s="375" t="str">
        <f t="shared" si="236"/>
        <v/>
      </c>
      <c r="Z982" s="374" t="str">
        <f t="shared" si="237"/>
        <v/>
      </c>
      <c r="AA982" s="374" t="b">
        <f t="shared" si="238"/>
        <v>1</v>
      </c>
      <c r="AB982" s="374">
        <f>COUNTIFS(B:B,B982,H:H,'סיווג התפקידים והעלויות'!$C$2)</f>
        <v>0</v>
      </c>
      <c r="AC982" s="374">
        <f>COUNTIFS(B:B,B982,H:H,'סיווג התפקידים והעלויות'!$D$2)</f>
        <v>0</v>
      </c>
      <c r="AD982" s="374" t="str">
        <f>IF(OR(AND(H982='סיווג התפקידים והעלויות'!$A$2,I982='סיווג התפקידים והעלויות'!$A$3),'עלויות כח אדם (6)'!H982='סיווג התפקידים והעלויות'!$C$2,'עלויות כח אדם (6)'!H982='סיווג התפקידים והעלויות'!$D$2),IF('עלויות כח אדם (6)'!J982&lt;75,"לא תקין","תקין"),"")</f>
        <v/>
      </c>
      <c r="AE982" s="374" t="str">
        <f t="shared" si="239"/>
        <v/>
      </c>
      <c r="AF982" s="532" t="str">
        <f t="shared" si="240"/>
        <v/>
      </c>
    </row>
    <row r="983" spans="2:32" x14ac:dyDescent="0.25">
      <c r="B983" s="695"/>
      <c r="C983" s="197" t="str">
        <f>IF(B983&lt;&gt;"",IFERROR(VLOOKUP(B:B,'מצבת והרשמה (2)'!$C$20:$N$520,2,0)," ")," ")</f>
        <v xml:space="preserve"> </v>
      </c>
      <c r="D983" s="695"/>
      <c r="E983" s="696"/>
      <c r="F983" s="696"/>
      <c r="G983" s="696"/>
      <c r="H983" s="696"/>
      <c r="I983" s="1050" t="str">
        <f t="shared" si="227"/>
        <v/>
      </c>
      <c r="J983" s="696"/>
      <c r="K983" s="697"/>
      <c r="L983" s="696"/>
      <c r="M983" s="198" t="str">
        <f t="shared" si="228"/>
        <v/>
      </c>
      <c r="N983" s="369" t="str">
        <f t="shared" si="229"/>
        <v/>
      </c>
      <c r="O983" s="183" t="str">
        <f t="shared" si="230"/>
        <v/>
      </c>
      <c r="P983" s="199" t="str">
        <f t="shared" si="231"/>
        <v/>
      </c>
      <c r="Q983" s="199" t="str">
        <f>IF(B983="","",IFERROR(IF('עלויות כח אדם (6)'!J983&gt;=VLOOKUP(I983,'סיווג התפקידים והעלויות'!$B$23:$C$32,2,0),"תקין","לא תקין"),""))</f>
        <v/>
      </c>
      <c r="R983" s="199" t="str">
        <f t="shared" si="232"/>
        <v/>
      </c>
      <c r="S983" s="199" t="str">
        <f t="shared" si="233"/>
        <v/>
      </c>
      <c r="T983" s="199" t="str">
        <f t="shared" si="241"/>
        <v/>
      </c>
      <c r="U983" s="199" t="str">
        <f t="shared" si="234"/>
        <v/>
      </c>
      <c r="V983" s="989"/>
      <c r="X983" s="374" t="str">
        <f t="shared" si="235"/>
        <v/>
      </c>
      <c r="Y983" s="375" t="str">
        <f t="shared" si="236"/>
        <v/>
      </c>
      <c r="Z983" s="374" t="str">
        <f t="shared" si="237"/>
        <v/>
      </c>
      <c r="AA983" s="374" t="b">
        <f t="shared" si="238"/>
        <v>1</v>
      </c>
      <c r="AB983" s="374">
        <f>COUNTIFS(B:B,B983,H:H,'סיווג התפקידים והעלויות'!$C$2)</f>
        <v>0</v>
      </c>
      <c r="AC983" s="374">
        <f>COUNTIFS(B:B,B983,H:H,'סיווג התפקידים והעלויות'!$D$2)</f>
        <v>0</v>
      </c>
      <c r="AD983" s="374" t="str">
        <f>IF(OR(AND(H983='סיווג התפקידים והעלויות'!$A$2,I983='סיווג התפקידים והעלויות'!$A$3),'עלויות כח אדם (6)'!H983='סיווג התפקידים והעלויות'!$C$2,'עלויות כח אדם (6)'!H983='סיווג התפקידים והעלויות'!$D$2),IF('עלויות כח אדם (6)'!J983&lt;75,"לא תקין","תקין"),"")</f>
        <v/>
      </c>
      <c r="AE983" s="374" t="str">
        <f t="shared" si="239"/>
        <v/>
      </c>
      <c r="AF983" s="532" t="str">
        <f t="shared" si="240"/>
        <v/>
      </c>
    </row>
    <row r="984" spans="2:32" x14ac:dyDescent="0.25">
      <c r="B984" s="695"/>
      <c r="C984" s="197" t="str">
        <f>IF(B984&lt;&gt;"",IFERROR(VLOOKUP(B:B,'מצבת והרשמה (2)'!$C$20:$N$520,2,0)," ")," ")</f>
        <v xml:space="preserve"> </v>
      </c>
      <c r="D984" s="695"/>
      <c r="E984" s="696"/>
      <c r="F984" s="696"/>
      <c r="G984" s="696"/>
      <c r="H984" s="696"/>
      <c r="I984" s="1050" t="str">
        <f t="shared" si="227"/>
        <v/>
      </c>
      <c r="J984" s="696"/>
      <c r="K984" s="697"/>
      <c r="L984" s="696"/>
      <c r="M984" s="198" t="str">
        <f t="shared" si="228"/>
        <v/>
      </c>
      <c r="N984" s="369" t="str">
        <f t="shared" si="229"/>
        <v/>
      </c>
      <c r="O984" s="183" t="str">
        <f t="shared" si="230"/>
        <v/>
      </c>
      <c r="P984" s="199" t="str">
        <f t="shared" si="231"/>
        <v/>
      </c>
      <c r="Q984" s="199" t="str">
        <f>IF(B984="","",IFERROR(IF('עלויות כח אדם (6)'!J984&gt;=VLOOKUP(I984,'סיווג התפקידים והעלויות'!$B$23:$C$32,2,0),"תקין","לא תקין"),""))</f>
        <v/>
      </c>
      <c r="R984" s="199" t="str">
        <f t="shared" si="232"/>
        <v/>
      </c>
      <c r="S984" s="199" t="str">
        <f t="shared" si="233"/>
        <v/>
      </c>
      <c r="T984" s="199" t="str">
        <f t="shared" si="241"/>
        <v/>
      </c>
      <c r="U984" s="199" t="str">
        <f t="shared" si="234"/>
        <v/>
      </c>
      <c r="V984" s="989"/>
      <c r="X984" s="374" t="str">
        <f t="shared" si="235"/>
        <v/>
      </c>
      <c r="Y984" s="375" t="str">
        <f t="shared" si="236"/>
        <v/>
      </c>
      <c r="Z984" s="374" t="str">
        <f t="shared" si="237"/>
        <v/>
      </c>
      <c r="AA984" s="374" t="b">
        <f t="shared" si="238"/>
        <v>1</v>
      </c>
      <c r="AB984" s="374">
        <f>COUNTIFS(B:B,B984,H:H,'סיווג התפקידים והעלויות'!$C$2)</f>
        <v>0</v>
      </c>
      <c r="AC984" s="374">
        <f>COUNTIFS(B:B,B984,H:H,'סיווג התפקידים והעלויות'!$D$2)</f>
        <v>0</v>
      </c>
      <c r="AD984" s="374" t="str">
        <f>IF(OR(AND(H984='סיווג התפקידים והעלויות'!$A$2,I984='סיווג התפקידים והעלויות'!$A$3),'עלויות כח אדם (6)'!H984='סיווג התפקידים והעלויות'!$C$2,'עלויות כח אדם (6)'!H984='סיווג התפקידים והעלויות'!$D$2),IF('עלויות כח אדם (6)'!J984&lt;75,"לא תקין","תקין"),"")</f>
        <v/>
      </c>
      <c r="AE984" s="374" t="str">
        <f t="shared" si="239"/>
        <v/>
      </c>
      <c r="AF984" s="532" t="str">
        <f t="shared" si="240"/>
        <v/>
      </c>
    </row>
    <row r="985" spans="2:32" x14ac:dyDescent="0.25">
      <c r="B985" s="695"/>
      <c r="C985" s="197" t="str">
        <f>IF(B985&lt;&gt;"",IFERROR(VLOOKUP(B:B,'מצבת והרשמה (2)'!$C$20:$N$520,2,0)," ")," ")</f>
        <v xml:space="preserve"> </v>
      </c>
      <c r="D985" s="695"/>
      <c r="E985" s="696"/>
      <c r="F985" s="696"/>
      <c r="G985" s="696"/>
      <c r="H985" s="696"/>
      <c r="I985" s="1050" t="str">
        <f t="shared" si="227"/>
        <v/>
      </c>
      <c r="J985" s="696"/>
      <c r="K985" s="697"/>
      <c r="L985" s="696"/>
      <c r="M985" s="198" t="str">
        <f t="shared" si="228"/>
        <v/>
      </c>
      <c r="N985" s="369" t="str">
        <f t="shared" si="229"/>
        <v/>
      </c>
      <c r="O985" s="183" t="str">
        <f t="shared" si="230"/>
        <v/>
      </c>
      <c r="P985" s="199" t="str">
        <f t="shared" si="231"/>
        <v/>
      </c>
      <c r="Q985" s="199" t="str">
        <f>IF(B985="","",IFERROR(IF('עלויות כח אדם (6)'!J985&gt;=VLOOKUP(I985,'סיווג התפקידים והעלויות'!$B$23:$C$32,2,0),"תקין","לא תקין"),""))</f>
        <v/>
      </c>
      <c r="R985" s="199" t="str">
        <f t="shared" si="232"/>
        <v/>
      </c>
      <c r="S985" s="199" t="str">
        <f t="shared" si="233"/>
        <v/>
      </c>
      <c r="T985" s="199" t="str">
        <f t="shared" si="241"/>
        <v/>
      </c>
      <c r="U985" s="199" t="str">
        <f t="shared" si="234"/>
        <v/>
      </c>
      <c r="V985" s="989"/>
      <c r="X985" s="374" t="str">
        <f t="shared" si="235"/>
        <v/>
      </c>
      <c r="Y985" s="375" t="str">
        <f t="shared" si="236"/>
        <v/>
      </c>
      <c r="Z985" s="374" t="str">
        <f t="shared" si="237"/>
        <v/>
      </c>
      <c r="AA985" s="374" t="b">
        <f t="shared" si="238"/>
        <v>1</v>
      </c>
      <c r="AB985" s="374">
        <f>COUNTIFS(B:B,B985,H:H,'סיווג התפקידים והעלויות'!$C$2)</f>
        <v>0</v>
      </c>
      <c r="AC985" s="374">
        <f>COUNTIFS(B:B,B985,H:H,'סיווג התפקידים והעלויות'!$D$2)</f>
        <v>0</v>
      </c>
      <c r="AD985" s="374" t="str">
        <f>IF(OR(AND(H985='סיווג התפקידים והעלויות'!$A$2,I985='סיווג התפקידים והעלויות'!$A$3),'עלויות כח אדם (6)'!H985='סיווג התפקידים והעלויות'!$C$2,'עלויות כח אדם (6)'!H985='סיווג התפקידים והעלויות'!$D$2),IF('עלויות כח אדם (6)'!J985&lt;75,"לא תקין","תקין"),"")</f>
        <v/>
      </c>
      <c r="AE985" s="374" t="str">
        <f t="shared" si="239"/>
        <v/>
      </c>
      <c r="AF985" s="532" t="str">
        <f t="shared" si="240"/>
        <v/>
      </c>
    </row>
    <row r="986" spans="2:32" x14ac:dyDescent="0.25">
      <c r="B986" s="695"/>
      <c r="C986" s="197" t="str">
        <f>IF(B986&lt;&gt;"",IFERROR(VLOOKUP(B:B,'מצבת והרשמה (2)'!$C$20:$N$520,2,0)," ")," ")</f>
        <v xml:space="preserve"> </v>
      </c>
      <c r="D986" s="695"/>
      <c r="E986" s="696"/>
      <c r="F986" s="696"/>
      <c r="G986" s="696"/>
      <c r="H986" s="696"/>
      <c r="I986" s="1050" t="str">
        <f t="shared" si="227"/>
        <v/>
      </c>
      <c r="J986" s="696"/>
      <c r="K986" s="697"/>
      <c r="L986" s="696"/>
      <c r="M986" s="198" t="str">
        <f t="shared" si="228"/>
        <v/>
      </c>
      <c r="N986" s="369" t="str">
        <f t="shared" si="229"/>
        <v/>
      </c>
      <c r="O986" s="183" t="str">
        <f t="shared" si="230"/>
        <v/>
      </c>
      <c r="P986" s="199" t="str">
        <f t="shared" si="231"/>
        <v/>
      </c>
      <c r="Q986" s="199" t="str">
        <f>IF(B986="","",IFERROR(IF('עלויות כח אדם (6)'!J986&gt;=VLOOKUP(I986,'סיווג התפקידים והעלויות'!$B$23:$C$32,2,0),"תקין","לא תקין"),""))</f>
        <v/>
      </c>
      <c r="R986" s="199" t="str">
        <f t="shared" si="232"/>
        <v/>
      </c>
      <c r="S986" s="199" t="str">
        <f t="shared" si="233"/>
        <v/>
      </c>
      <c r="T986" s="199" t="str">
        <f t="shared" si="241"/>
        <v/>
      </c>
      <c r="U986" s="199" t="str">
        <f t="shared" si="234"/>
        <v/>
      </c>
      <c r="V986" s="989"/>
      <c r="X986" s="374" t="str">
        <f t="shared" si="235"/>
        <v/>
      </c>
      <c r="Y986" s="375" t="str">
        <f t="shared" si="236"/>
        <v/>
      </c>
      <c r="Z986" s="374" t="str">
        <f t="shared" si="237"/>
        <v/>
      </c>
      <c r="AA986" s="374" t="b">
        <f t="shared" si="238"/>
        <v>1</v>
      </c>
      <c r="AB986" s="374">
        <f>COUNTIFS(B:B,B986,H:H,'סיווג התפקידים והעלויות'!$C$2)</f>
        <v>0</v>
      </c>
      <c r="AC986" s="374">
        <f>COUNTIFS(B:B,B986,H:H,'סיווג התפקידים והעלויות'!$D$2)</f>
        <v>0</v>
      </c>
      <c r="AD986" s="374" t="str">
        <f>IF(OR(AND(H986='סיווג התפקידים והעלויות'!$A$2,I986='סיווג התפקידים והעלויות'!$A$3),'עלויות כח אדם (6)'!H986='סיווג התפקידים והעלויות'!$C$2,'עלויות כח אדם (6)'!H986='סיווג התפקידים והעלויות'!$D$2),IF('עלויות כח אדם (6)'!J986&lt;75,"לא תקין","תקין"),"")</f>
        <v/>
      </c>
      <c r="AE986" s="374" t="str">
        <f t="shared" si="239"/>
        <v/>
      </c>
      <c r="AF986" s="532" t="str">
        <f t="shared" si="240"/>
        <v/>
      </c>
    </row>
    <row r="987" spans="2:32" x14ac:dyDescent="0.25">
      <c r="B987" s="695"/>
      <c r="C987" s="197" t="str">
        <f>IF(B987&lt;&gt;"",IFERROR(VLOOKUP(B:B,'מצבת והרשמה (2)'!$C$20:$N$520,2,0)," ")," ")</f>
        <v xml:space="preserve"> </v>
      </c>
      <c r="D987" s="695"/>
      <c r="E987" s="696"/>
      <c r="F987" s="696"/>
      <c r="G987" s="696"/>
      <c r="H987" s="696"/>
      <c r="I987" s="1050" t="str">
        <f t="shared" si="227"/>
        <v/>
      </c>
      <c r="J987" s="696"/>
      <c r="K987" s="697"/>
      <c r="L987" s="696"/>
      <c r="M987" s="198" t="str">
        <f t="shared" si="228"/>
        <v/>
      </c>
      <c r="N987" s="369" t="str">
        <f t="shared" si="229"/>
        <v/>
      </c>
      <c r="O987" s="183" t="str">
        <f t="shared" si="230"/>
        <v/>
      </c>
      <c r="P987" s="199" t="str">
        <f t="shared" si="231"/>
        <v/>
      </c>
      <c r="Q987" s="199" t="str">
        <f>IF(B987="","",IFERROR(IF('עלויות כח אדם (6)'!J987&gt;=VLOOKUP(I987,'סיווג התפקידים והעלויות'!$B$23:$C$32,2,0),"תקין","לא תקין"),""))</f>
        <v/>
      </c>
      <c r="R987" s="199" t="str">
        <f t="shared" si="232"/>
        <v/>
      </c>
      <c r="S987" s="199" t="str">
        <f t="shared" si="233"/>
        <v/>
      </c>
      <c r="T987" s="199" t="str">
        <f t="shared" si="241"/>
        <v/>
      </c>
      <c r="U987" s="199" t="str">
        <f t="shared" si="234"/>
        <v/>
      </c>
      <c r="V987" s="989"/>
      <c r="X987" s="374" t="str">
        <f t="shared" si="235"/>
        <v/>
      </c>
      <c r="Y987" s="375" t="str">
        <f t="shared" si="236"/>
        <v/>
      </c>
      <c r="Z987" s="374" t="str">
        <f t="shared" si="237"/>
        <v/>
      </c>
      <c r="AA987" s="374" t="b">
        <f t="shared" si="238"/>
        <v>1</v>
      </c>
      <c r="AB987" s="374">
        <f>COUNTIFS(B:B,B987,H:H,'סיווג התפקידים והעלויות'!$C$2)</f>
        <v>0</v>
      </c>
      <c r="AC987" s="374">
        <f>COUNTIFS(B:B,B987,H:H,'סיווג התפקידים והעלויות'!$D$2)</f>
        <v>0</v>
      </c>
      <c r="AD987" s="374" t="str">
        <f>IF(OR(AND(H987='סיווג התפקידים והעלויות'!$A$2,I987='סיווג התפקידים והעלויות'!$A$3),'עלויות כח אדם (6)'!H987='סיווג התפקידים והעלויות'!$C$2,'עלויות כח אדם (6)'!H987='סיווג התפקידים והעלויות'!$D$2),IF('עלויות כח אדם (6)'!J987&lt;75,"לא תקין","תקין"),"")</f>
        <v/>
      </c>
      <c r="AE987" s="374" t="str">
        <f t="shared" si="239"/>
        <v/>
      </c>
      <c r="AF987" s="532" t="str">
        <f t="shared" si="240"/>
        <v/>
      </c>
    </row>
    <row r="988" spans="2:32" x14ac:dyDescent="0.25">
      <c r="B988" s="695"/>
      <c r="C988" s="197" t="str">
        <f>IF(B988&lt;&gt;"",IFERROR(VLOOKUP(B:B,'מצבת והרשמה (2)'!$C$20:$N$520,2,0)," ")," ")</f>
        <v xml:space="preserve"> </v>
      </c>
      <c r="D988" s="695"/>
      <c r="E988" s="696"/>
      <c r="F988" s="696"/>
      <c r="G988" s="696"/>
      <c r="H988" s="696"/>
      <c r="I988" s="1050" t="str">
        <f t="shared" si="227"/>
        <v/>
      </c>
      <c r="J988" s="696"/>
      <c r="K988" s="697"/>
      <c r="L988" s="696"/>
      <c r="M988" s="198" t="str">
        <f t="shared" si="228"/>
        <v/>
      </c>
      <c r="N988" s="369" t="str">
        <f t="shared" si="229"/>
        <v/>
      </c>
      <c r="O988" s="183" t="str">
        <f t="shared" si="230"/>
        <v/>
      </c>
      <c r="P988" s="199" t="str">
        <f t="shared" si="231"/>
        <v/>
      </c>
      <c r="Q988" s="199" t="str">
        <f>IF(B988="","",IFERROR(IF('עלויות כח אדם (6)'!J988&gt;=VLOOKUP(I988,'סיווג התפקידים והעלויות'!$B$23:$C$32,2,0),"תקין","לא תקין"),""))</f>
        <v/>
      </c>
      <c r="R988" s="199" t="str">
        <f t="shared" si="232"/>
        <v/>
      </c>
      <c r="S988" s="199" t="str">
        <f t="shared" si="233"/>
        <v/>
      </c>
      <c r="T988" s="199" t="str">
        <f t="shared" si="241"/>
        <v/>
      </c>
      <c r="U988" s="199" t="str">
        <f t="shared" si="234"/>
        <v/>
      </c>
      <c r="V988" s="989"/>
      <c r="X988" s="374" t="str">
        <f t="shared" si="235"/>
        <v/>
      </c>
      <c r="Y988" s="375" t="str">
        <f t="shared" si="236"/>
        <v/>
      </c>
      <c r="Z988" s="374" t="str">
        <f t="shared" si="237"/>
        <v/>
      </c>
      <c r="AA988" s="374" t="b">
        <f t="shared" si="238"/>
        <v>1</v>
      </c>
      <c r="AB988" s="374">
        <f>COUNTIFS(B:B,B988,H:H,'סיווג התפקידים והעלויות'!$C$2)</f>
        <v>0</v>
      </c>
      <c r="AC988" s="374">
        <f>COUNTIFS(B:B,B988,H:H,'סיווג התפקידים והעלויות'!$D$2)</f>
        <v>0</v>
      </c>
      <c r="AD988" s="374" t="str">
        <f>IF(OR(AND(H988='סיווג התפקידים והעלויות'!$A$2,I988='סיווג התפקידים והעלויות'!$A$3),'עלויות כח אדם (6)'!H988='סיווג התפקידים והעלויות'!$C$2,'עלויות כח אדם (6)'!H988='סיווג התפקידים והעלויות'!$D$2),IF('עלויות כח אדם (6)'!J988&lt;75,"לא תקין","תקין"),"")</f>
        <v/>
      </c>
      <c r="AE988" s="374" t="str">
        <f t="shared" si="239"/>
        <v/>
      </c>
      <c r="AF988" s="532" t="str">
        <f t="shared" si="240"/>
        <v/>
      </c>
    </row>
    <row r="989" spans="2:32" x14ac:dyDescent="0.25">
      <c r="B989" s="695"/>
      <c r="C989" s="197" t="str">
        <f>IF(B989&lt;&gt;"",IFERROR(VLOOKUP(B:B,'מצבת והרשמה (2)'!$C$20:$N$520,2,0)," ")," ")</f>
        <v xml:space="preserve"> </v>
      </c>
      <c r="D989" s="695"/>
      <c r="E989" s="696"/>
      <c r="F989" s="696"/>
      <c r="G989" s="696"/>
      <c r="H989" s="696"/>
      <c r="I989" s="1050" t="str">
        <f t="shared" si="227"/>
        <v/>
      </c>
      <c r="J989" s="696"/>
      <c r="K989" s="697"/>
      <c r="L989" s="696"/>
      <c r="M989" s="198" t="str">
        <f t="shared" si="228"/>
        <v/>
      </c>
      <c r="N989" s="369" t="str">
        <f t="shared" si="229"/>
        <v/>
      </c>
      <c r="O989" s="183" t="str">
        <f t="shared" si="230"/>
        <v/>
      </c>
      <c r="P989" s="199" t="str">
        <f t="shared" si="231"/>
        <v/>
      </c>
      <c r="Q989" s="199" t="str">
        <f>IF(B989="","",IFERROR(IF('עלויות כח אדם (6)'!J989&gt;=VLOOKUP(I989,'סיווג התפקידים והעלויות'!$B$23:$C$32,2,0),"תקין","לא תקין"),""))</f>
        <v/>
      </c>
      <c r="R989" s="199" t="str">
        <f t="shared" si="232"/>
        <v/>
      </c>
      <c r="S989" s="199" t="str">
        <f t="shared" si="233"/>
        <v/>
      </c>
      <c r="T989" s="199" t="str">
        <f t="shared" si="241"/>
        <v/>
      </c>
      <c r="U989" s="199" t="str">
        <f t="shared" si="234"/>
        <v/>
      </c>
      <c r="V989" s="989"/>
      <c r="X989" s="374" t="str">
        <f t="shared" si="235"/>
        <v/>
      </c>
      <c r="Y989" s="375" t="str">
        <f t="shared" si="236"/>
        <v/>
      </c>
      <c r="Z989" s="374" t="str">
        <f t="shared" si="237"/>
        <v/>
      </c>
      <c r="AA989" s="374" t="b">
        <f t="shared" si="238"/>
        <v>1</v>
      </c>
      <c r="AB989" s="374">
        <f>COUNTIFS(B:B,B989,H:H,'סיווג התפקידים והעלויות'!$C$2)</f>
        <v>0</v>
      </c>
      <c r="AC989" s="374">
        <f>COUNTIFS(B:B,B989,H:H,'סיווג התפקידים והעלויות'!$D$2)</f>
        <v>0</v>
      </c>
      <c r="AD989" s="374" t="str">
        <f>IF(OR(AND(H989='סיווג התפקידים והעלויות'!$A$2,I989='סיווג התפקידים והעלויות'!$A$3),'עלויות כח אדם (6)'!H989='סיווג התפקידים והעלויות'!$C$2,'עלויות כח אדם (6)'!H989='סיווג התפקידים והעלויות'!$D$2),IF('עלויות כח אדם (6)'!J989&lt;75,"לא תקין","תקין"),"")</f>
        <v/>
      </c>
      <c r="AE989" s="374" t="str">
        <f t="shared" si="239"/>
        <v/>
      </c>
      <c r="AF989" s="532" t="str">
        <f t="shared" si="240"/>
        <v/>
      </c>
    </row>
    <row r="990" spans="2:32" x14ac:dyDescent="0.25">
      <c r="B990" s="695"/>
      <c r="C990" s="197" t="str">
        <f>IF(B990&lt;&gt;"",IFERROR(VLOOKUP(B:B,'מצבת והרשמה (2)'!$C$20:$N$520,2,0)," ")," ")</f>
        <v xml:space="preserve"> </v>
      </c>
      <c r="D990" s="695"/>
      <c r="E990" s="696"/>
      <c r="F990" s="696"/>
      <c r="G990" s="696"/>
      <c r="H990" s="696"/>
      <c r="I990" s="1050" t="str">
        <f t="shared" si="227"/>
        <v/>
      </c>
      <c r="J990" s="696"/>
      <c r="K990" s="697"/>
      <c r="L990" s="696"/>
      <c r="M990" s="198" t="str">
        <f t="shared" si="228"/>
        <v/>
      </c>
      <c r="N990" s="369" t="str">
        <f t="shared" si="229"/>
        <v/>
      </c>
      <c r="O990" s="183" t="str">
        <f t="shared" si="230"/>
        <v/>
      </c>
      <c r="P990" s="199" t="str">
        <f t="shared" si="231"/>
        <v/>
      </c>
      <c r="Q990" s="199" t="str">
        <f>IF(B990="","",IFERROR(IF('עלויות כח אדם (6)'!J990&gt;=VLOOKUP(I990,'סיווג התפקידים והעלויות'!$B$23:$C$32,2,0),"תקין","לא תקין"),""))</f>
        <v/>
      </c>
      <c r="R990" s="199" t="str">
        <f t="shared" si="232"/>
        <v/>
      </c>
      <c r="S990" s="199" t="str">
        <f t="shared" si="233"/>
        <v/>
      </c>
      <c r="T990" s="199" t="str">
        <f t="shared" si="241"/>
        <v/>
      </c>
      <c r="U990" s="199" t="str">
        <f t="shared" si="234"/>
        <v/>
      </c>
      <c r="V990" s="989"/>
      <c r="X990" s="374" t="str">
        <f t="shared" si="235"/>
        <v/>
      </c>
      <c r="Y990" s="375" t="str">
        <f t="shared" si="236"/>
        <v/>
      </c>
      <c r="Z990" s="374" t="str">
        <f t="shared" si="237"/>
        <v/>
      </c>
      <c r="AA990" s="374" t="b">
        <f t="shared" si="238"/>
        <v>1</v>
      </c>
      <c r="AB990" s="374">
        <f>COUNTIFS(B:B,B990,H:H,'סיווג התפקידים והעלויות'!$C$2)</f>
        <v>0</v>
      </c>
      <c r="AC990" s="374">
        <f>COUNTIFS(B:B,B990,H:H,'סיווג התפקידים והעלויות'!$D$2)</f>
        <v>0</v>
      </c>
      <c r="AD990" s="374" t="str">
        <f>IF(OR(AND(H990='סיווג התפקידים והעלויות'!$A$2,I990='סיווג התפקידים והעלויות'!$A$3),'עלויות כח אדם (6)'!H990='סיווג התפקידים והעלויות'!$C$2,'עלויות כח אדם (6)'!H990='סיווג התפקידים והעלויות'!$D$2),IF('עלויות כח אדם (6)'!J990&lt;75,"לא תקין","תקין"),"")</f>
        <v/>
      </c>
      <c r="AE990" s="374" t="str">
        <f t="shared" si="239"/>
        <v/>
      </c>
      <c r="AF990" s="532" t="str">
        <f t="shared" si="240"/>
        <v/>
      </c>
    </row>
    <row r="991" spans="2:32" x14ac:dyDescent="0.25">
      <c r="B991" s="695"/>
      <c r="C991" s="197" t="str">
        <f>IF(B991&lt;&gt;"",IFERROR(VLOOKUP(B:B,'מצבת והרשמה (2)'!$C$20:$N$520,2,0)," ")," ")</f>
        <v xml:space="preserve"> </v>
      </c>
      <c r="D991" s="695"/>
      <c r="E991" s="696"/>
      <c r="F991" s="696"/>
      <c r="G991" s="696"/>
      <c r="H991" s="696"/>
      <c r="I991" s="1050" t="str">
        <f t="shared" si="227"/>
        <v/>
      </c>
      <c r="J991" s="696"/>
      <c r="K991" s="697"/>
      <c r="L991" s="696"/>
      <c r="M991" s="198" t="str">
        <f t="shared" si="228"/>
        <v/>
      </c>
      <c r="N991" s="369" t="str">
        <f t="shared" si="229"/>
        <v/>
      </c>
      <c r="O991" s="183" t="str">
        <f t="shared" si="230"/>
        <v/>
      </c>
      <c r="P991" s="199" t="str">
        <f t="shared" si="231"/>
        <v/>
      </c>
      <c r="Q991" s="199" t="str">
        <f>IF(B991="","",IFERROR(IF('עלויות כח אדם (6)'!J991&gt;=VLOOKUP(I991,'סיווג התפקידים והעלויות'!$B$23:$C$32,2,0),"תקין","לא תקין"),""))</f>
        <v/>
      </c>
      <c r="R991" s="199" t="str">
        <f t="shared" si="232"/>
        <v/>
      </c>
      <c r="S991" s="199" t="str">
        <f t="shared" si="233"/>
        <v/>
      </c>
      <c r="T991" s="199" t="str">
        <f t="shared" si="241"/>
        <v/>
      </c>
      <c r="U991" s="199" t="str">
        <f t="shared" si="234"/>
        <v/>
      </c>
      <c r="V991" s="989"/>
      <c r="X991" s="374" t="str">
        <f t="shared" si="235"/>
        <v/>
      </c>
      <c r="Y991" s="375" t="str">
        <f t="shared" si="236"/>
        <v/>
      </c>
      <c r="Z991" s="374" t="str">
        <f t="shared" si="237"/>
        <v/>
      </c>
      <c r="AA991" s="374" t="b">
        <f t="shared" si="238"/>
        <v>1</v>
      </c>
      <c r="AB991" s="374">
        <f>COUNTIFS(B:B,B991,H:H,'סיווג התפקידים והעלויות'!$C$2)</f>
        <v>0</v>
      </c>
      <c r="AC991" s="374">
        <f>COUNTIFS(B:B,B991,H:H,'סיווג התפקידים והעלויות'!$D$2)</f>
        <v>0</v>
      </c>
      <c r="AD991" s="374" t="str">
        <f>IF(OR(AND(H991='סיווג התפקידים והעלויות'!$A$2,I991='סיווג התפקידים והעלויות'!$A$3),'עלויות כח אדם (6)'!H991='סיווג התפקידים והעלויות'!$C$2,'עלויות כח אדם (6)'!H991='סיווג התפקידים והעלויות'!$D$2),IF('עלויות כח אדם (6)'!J991&lt;75,"לא תקין","תקין"),"")</f>
        <v/>
      </c>
      <c r="AE991" s="374" t="str">
        <f t="shared" si="239"/>
        <v/>
      </c>
      <c r="AF991" s="532" t="str">
        <f t="shared" si="240"/>
        <v/>
      </c>
    </row>
    <row r="992" spans="2:32" x14ac:dyDescent="0.25">
      <c r="B992" s="695"/>
      <c r="C992" s="197" t="str">
        <f>IF(B992&lt;&gt;"",IFERROR(VLOOKUP(B:B,'מצבת והרשמה (2)'!$C$20:$N$520,2,0)," ")," ")</f>
        <v xml:space="preserve"> </v>
      </c>
      <c r="D992" s="695"/>
      <c r="E992" s="696"/>
      <c r="F992" s="696"/>
      <c r="G992" s="696"/>
      <c r="H992" s="696"/>
      <c r="I992" s="1050" t="str">
        <f t="shared" si="227"/>
        <v/>
      </c>
      <c r="J992" s="696"/>
      <c r="K992" s="697"/>
      <c r="L992" s="696"/>
      <c r="M992" s="198" t="str">
        <f t="shared" si="228"/>
        <v/>
      </c>
      <c r="N992" s="369" t="str">
        <f t="shared" si="229"/>
        <v/>
      </c>
      <c r="O992" s="183" t="str">
        <f t="shared" si="230"/>
        <v/>
      </c>
      <c r="P992" s="199" t="str">
        <f t="shared" si="231"/>
        <v/>
      </c>
      <c r="Q992" s="199" t="str">
        <f>IF(B992="","",IFERROR(IF('עלויות כח אדם (6)'!J992&gt;=VLOOKUP(I992,'סיווג התפקידים והעלויות'!$B$23:$C$32,2,0),"תקין","לא תקין"),""))</f>
        <v/>
      </c>
      <c r="R992" s="199" t="str">
        <f t="shared" si="232"/>
        <v/>
      </c>
      <c r="S992" s="199" t="str">
        <f t="shared" si="233"/>
        <v/>
      </c>
      <c r="T992" s="199" t="str">
        <f t="shared" si="241"/>
        <v/>
      </c>
      <c r="U992" s="199" t="str">
        <f t="shared" si="234"/>
        <v/>
      </c>
      <c r="V992" s="989"/>
      <c r="X992" s="374" t="str">
        <f t="shared" si="235"/>
        <v/>
      </c>
      <c r="Y992" s="375" t="str">
        <f t="shared" si="236"/>
        <v/>
      </c>
      <c r="Z992" s="374" t="str">
        <f t="shared" si="237"/>
        <v/>
      </c>
      <c r="AA992" s="374" t="b">
        <f t="shared" si="238"/>
        <v>1</v>
      </c>
      <c r="AB992" s="374">
        <f>COUNTIFS(B:B,B992,H:H,'סיווג התפקידים והעלויות'!$C$2)</f>
        <v>0</v>
      </c>
      <c r="AC992" s="374">
        <f>COUNTIFS(B:B,B992,H:H,'סיווג התפקידים והעלויות'!$D$2)</f>
        <v>0</v>
      </c>
      <c r="AD992" s="374" t="str">
        <f>IF(OR(AND(H992='סיווג התפקידים והעלויות'!$A$2,I992='סיווג התפקידים והעלויות'!$A$3),'עלויות כח אדם (6)'!H992='סיווג התפקידים והעלויות'!$C$2,'עלויות כח אדם (6)'!H992='סיווג התפקידים והעלויות'!$D$2),IF('עלויות כח אדם (6)'!J992&lt;75,"לא תקין","תקין"),"")</f>
        <v/>
      </c>
      <c r="AE992" s="374" t="str">
        <f t="shared" si="239"/>
        <v/>
      </c>
      <c r="AF992" s="532" t="str">
        <f t="shared" si="240"/>
        <v/>
      </c>
    </row>
    <row r="993" spans="2:32" x14ac:dyDescent="0.25">
      <c r="B993" s="695"/>
      <c r="C993" s="197" t="str">
        <f>IF(B993&lt;&gt;"",IFERROR(VLOOKUP(B:B,'מצבת והרשמה (2)'!$C$20:$N$520,2,0)," ")," ")</f>
        <v xml:space="preserve"> </v>
      </c>
      <c r="D993" s="695"/>
      <c r="E993" s="696"/>
      <c r="F993" s="696"/>
      <c r="G993" s="696"/>
      <c r="H993" s="696"/>
      <c r="I993" s="1050" t="str">
        <f t="shared" si="227"/>
        <v/>
      </c>
      <c r="J993" s="696"/>
      <c r="K993" s="697"/>
      <c r="L993" s="696"/>
      <c r="M993" s="198" t="str">
        <f t="shared" si="228"/>
        <v/>
      </c>
      <c r="N993" s="369" t="str">
        <f t="shared" si="229"/>
        <v/>
      </c>
      <c r="O993" s="183" t="str">
        <f t="shared" si="230"/>
        <v/>
      </c>
      <c r="P993" s="199" t="str">
        <f t="shared" si="231"/>
        <v/>
      </c>
      <c r="Q993" s="199" t="str">
        <f>IF(B993="","",IFERROR(IF('עלויות כח אדם (6)'!J993&gt;=VLOOKUP(I993,'סיווג התפקידים והעלויות'!$B$23:$C$32,2,0),"תקין","לא תקין"),""))</f>
        <v/>
      </c>
      <c r="R993" s="199" t="str">
        <f t="shared" si="232"/>
        <v/>
      </c>
      <c r="S993" s="199" t="str">
        <f t="shared" si="233"/>
        <v/>
      </c>
      <c r="T993" s="199" t="str">
        <f t="shared" si="241"/>
        <v/>
      </c>
      <c r="U993" s="199" t="str">
        <f t="shared" si="234"/>
        <v/>
      </c>
      <c r="V993" s="989"/>
      <c r="X993" s="374" t="str">
        <f t="shared" si="235"/>
        <v/>
      </c>
      <c r="Y993" s="375" t="str">
        <f t="shared" si="236"/>
        <v/>
      </c>
      <c r="Z993" s="374" t="str">
        <f t="shared" si="237"/>
        <v/>
      </c>
      <c r="AA993" s="374" t="b">
        <f t="shared" si="238"/>
        <v>1</v>
      </c>
      <c r="AB993" s="374">
        <f>COUNTIFS(B:B,B993,H:H,'סיווג התפקידים והעלויות'!$C$2)</f>
        <v>0</v>
      </c>
      <c r="AC993" s="374">
        <f>COUNTIFS(B:B,B993,H:H,'סיווג התפקידים והעלויות'!$D$2)</f>
        <v>0</v>
      </c>
      <c r="AD993" s="374" t="str">
        <f>IF(OR(AND(H993='סיווג התפקידים והעלויות'!$A$2,I993='סיווג התפקידים והעלויות'!$A$3),'עלויות כח אדם (6)'!H993='סיווג התפקידים והעלויות'!$C$2,'עלויות כח אדם (6)'!H993='סיווג התפקידים והעלויות'!$D$2),IF('עלויות כח אדם (6)'!J993&lt;75,"לא תקין","תקין"),"")</f>
        <v/>
      </c>
      <c r="AE993" s="374" t="str">
        <f t="shared" si="239"/>
        <v/>
      </c>
      <c r="AF993" s="532" t="str">
        <f t="shared" si="240"/>
        <v/>
      </c>
    </row>
    <row r="994" spans="2:32" x14ac:dyDescent="0.25">
      <c r="B994" s="695"/>
      <c r="C994" s="197" t="str">
        <f>IF(B994&lt;&gt;"",IFERROR(VLOOKUP(B:B,'מצבת והרשמה (2)'!$C$20:$N$520,2,0)," ")," ")</f>
        <v xml:space="preserve"> </v>
      </c>
      <c r="D994" s="695"/>
      <c r="E994" s="696"/>
      <c r="F994" s="696"/>
      <c r="G994" s="696"/>
      <c r="H994" s="696"/>
      <c r="I994" s="1050" t="str">
        <f t="shared" si="227"/>
        <v/>
      </c>
      <c r="J994" s="696"/>
      <c r="K994" s="697"/>
      <c r="L994" s="696"/>
      <c r="M994" s="198" t="str">
        <f t="shared" si="228"/>
        <v/>
      </c>
      <c r="N994" s="369" t="str">
        <f t="shared" si="229"/>
        <v/>
      </c>
      <c r="O994" s="183" t="str">
        <f t="shared" si="230"/>
        <v/>
      </c>
      <c r="P994" s="199" t="str">
        <f t="shared" si="231"/>
        <v/>
      </c>
      <c r="Q994" s="199" t="str">
        <f>IF(B994="","",IFERROR(IF('עלויות כח אדם (6)'!J994&gt;=VLOOKUP(I994,'סיווג התפקידים והעלויות'!$B$23:$C$32,2,0),"תקין","לא תקין"),""))</f>
        <v/>
      </c>
      <c r="R994" s="199" t="str">
        <f t="shared" si="232"/>
        <v/>
      </c>
      <c r="S994" s="199" t="str">
        <f t="shared" si="233"/>
        <v/>
      </c>
      <c r="T994" s="199" t="str">
        <f t="shared" si="241"/>
        <v/>
      </c>
      <c r="U994" s="199" t="str">
        <f t="shared" si="234"/>
        <v/>
      </c>
      <c r="V994" s="989"/>
      <c r="X994" s="374" t="str">
        <f t="shared" si="235"/>
        <v/>
      </c>
      <c r="Y994" s="375" t="str">
        <f t="shared" si="236"/>
        <v/>
      </c>
      <c r="Z994" s="374" t="str">
        <f t="shared" si="237"/>
        <v/>
      </c>
      <c r="AA994" s="374" t="b">
        <f t="shared" si="238"/>
        <v>1</v>
      </c>
      <c r="AB994" s="374">
        <f>COUNTIFS(B:B,B994,H:H,'סיווג התפקידים והעלויות'!$C$2)</f>
        <v>0</v>
      </c>
      <c r="AC994" s="374">
        <f>COUNTIFS(B:B,B994,H:H,'סיווג התפקידים והעלויות'!$D$2)</f>
        <v>0</v>
      </c>
      <c r="AD994" s="374" t="str">
        <f>IF(OR(AND(H994='סיווג התפקידים והעלויות'!$A$2,I994='סיווג התפקידים והעלויות'!$A$3),'עלויות כח אדם (6)'!H994='סיווג התפקידים והעלויות'!$C$2,'עלויות כח אדם (6)'!H994='סיווג התפקידים והעלויות'!$D$2),IF('עלויות כח אדם (6)'!J994&lt;75,"לא תקין","תקין"),"")</f>
        <v/>
      </c>
      <c r="AE994" s="374" t="str">
        <f t="shared" si="239"/>
        <v/>
      </c>
      <c r="AF994" s="532" t="str">
        <f t="shared" si="240"/>
        <v/>
      </c>
    </row>
    <row r="995" spans="2:32" x14ac:dyDescent="0.25">
      <c r="B995" s="695"/>
      <c r="C995" s="197" t="str">
        <f>IF(B995&lt;&gt;"",IFERROR(VLOOKUP(B:B,'מצבת והרשמה (2)'!$C$20:$N$520,2,0)," ")," ")</f>
        <v xml:space="preserve"> </v>
      </c>
      <c r="D995" s="695"/>
      <c r="E995" s="696"/>
      <c r="F995" s="696"/>
      <c r="G995" s="696"/>
      <c r="H995" s="696"/>
      <c r="I995" s="1050" t="str">
        <f t="shared" si="227"/>
        <v/>
      </c>
      <c r="J995" s="696"/>
      <c r="K995" s="697"/>
      <c r="L995" s="696"/>
      <c r="M995" s="198" t="str">
        <f t="shared" si="228"/>
        <v/>
      </c>
      <c r="N995" s="369" t="str">
        <f t="shared" si="229"/>
        <v/>
      </c>
      <c r="O995" s="183" t="str">
        <f t="shared" si="230"/>
        <v/>
      </c>
      <c r="P995" s="199" t="str">
        <f t="shared" si="231"/>
        <v/>
      </c>
      <c r="Q995" s="199" t="str">
        <f>IF(B995="","",IFERROR(IF('עלויות כח אדם (6)'!J995&gt;=VLOOKUP(I995,'סיווג התפקידים והעלויות'!$B$23:$C$32,2,0),"תקין","לא תקין"),""))</f>
        <v/>
      </c>
      <c r="R995" s="199" t="str">
        <f t="shared" si="232"/>
        <v/>
      </c>
      <c r="S995" s="199" t="str">
        <f t="shared" si="233"/>
        <v/>
      </c>
      <c r="T995" s="199" t="str">
        <f t="shared" si="241"/>
        <v/>
      </c>
      <c r="U995" s="199" t="str">
        <f t="shared" si="234"/>
        <v/>
      </c>
      <c r="V995" s="989"/>
      <c r="X995" s="374" t="str">
        <f t="shared" si="235"/>
        <v/>
      </c>
      <c r="Y995" s="375" t="str">
        <f t="shared" si="236"/>
        <v/>
      </c>
      <c r="Z995" s="374" t="str">
        <f t="shared" si="237"/>
        <v/>
      </c>
      <c r="AA995" s="374" t="b">
        <f t="shared" si="238"/>
        <v>1</v>
      </c>
      <c r="AB995" s="374">
        <f>COUNTIFS(B:B,B995,H:H,'סיווג התפקידים והעלויות'!$C$2)</f>
        <v>0</v>
      </c>
      <c r="AC995" s="374">
        <f>COUNTIFS(B:B,B995,H:H,'סיווג התפקידים והעלויות'!$D$2)</f>
        <v>0</v>
      </c>
      <c r="AD995" s="374" t="str">
        <f>IF(OR(AND(H995='סיווג התפקידים והעלויות'!$A$2,I995='סיווג התפקידים והעלויות'!$A$3),'עלויות כח אדם (6)'!H995='סיווג התפקידים והעלויות'!$C$2,'עלויות כח אדם (6)'!H995='סיווג התפקידים והעלויות'!$D$2),IF('עלויות כח אדם (6)'!J995&lt;75,"לא תקין","תקין"),"")</f>
        <v/>
      </c>
      <c r="AE995" s="374" t="str">
        <f t="shared" si="239"/>
        <v/>
      </c>
      <c r="AF995" s="532" t="str">
        <f t="shared" si="240"/>
        <v/>
      </c>
    </row>
    <row r="996" spans="2:32" x14ac:dyDescent="0.25">
      <c r="B996" s="695"/>
      <c r="C996" s="197" t="str">
        <f>IF(B996&lt;&gt;"",IFERROR(VLOOKUP(B:B,'מצבת והרשמה (2)'!$C$20:$N$520,2,0)," ")," ")</f>
        <v xml:space="preserve"> </v>
      </c>
      <c r="D996" s="695"/>
      <c r="E996" s="696"/>
      <c r="F996" s="696"/>
      <c r="G996" s="696"/>
      <c r="H996" s="696"/>
      <c r="I996" s="1050" t="str">
        <f t="shared" si="227"/>
        <v/>
      </c>
      <c r="J996" s="696"/>
      <c r="K996" s="697"/>
      <c r="L996" s="696"/>
      <c r="M996" s="198" t="str">
        <f t="shared" si="228"/>
        <v/>
      </c>
      <c r="N996" s="369" t="str">
        <f t="shared" si="229"/>
        <v/>
      </c>
      <c r="O996" s="183" t="str">
        <f t="shared" si="230"/>
        <v/>
      </c>
      <c r="P996" s="199" t="str">
        <f t="shared" si="231"/>
        <v/>
      </c>
      <c r="Q996" s="199" t="str">
        <f>IF(B996="","",IFERROR(IF('עלויות כח אדם (6)'!J996&gt;=VLOOKUP(I996,'סיווג התפקידים והעלויות'!$B$23:$C$32,2,0),"תקין","לא תקין"),""))</f>
        <v/>
      </c>
      <c r="R996" s="199" t="str">
        <f t="shared" si="232"/>
        <v/>
      </c>
      <c r="S996" s="199" t="str">
        <f t="shared" si="233"/>
        <v/>
      </c>
      <c r="T996" s="199" t="str">
        <f t="shared" si="241"/>
        <v/>
      </c>
      <c r="U996" s="199" t="str">
        <f t="shared" si="234"/>
        <v/>
      </c>
      <c r="V996" s="989"/>
      <c r="X996" s="374" t="str">
        <f t="shared" si="235"/>
        <v/>
      </c>
      <c r="Y996" s="375" t="str">
        <f t="shared" si="236"/>
        <v/>
      </c>
      <c r="Z996" s="374" t="str">
        <f t="shared" si="237"/>
        <v/>
      </c>
      <c r="AA996" s="374" t="b">
        <f t="shared" si="238"/>
        <v>1</v>
      </c>
      <c r="AB996" s="374">
        <f>COUNTIFS(B:B,B996,H:H,'סיווג התפקידים והעלויות'!$C$2)</f>
        <v>0</v>
      </c>
      <c r="AC996" s="374">
        <f>COUNTIFS(B:B,B996,H:H,'סיווג התפקידים והעלויות'!$D$2)</f>
        <v>0</v>
      </c>
      <c r="AD996" s="374" t="str">
        <f>IF(OR(AND(H996='סיווג התפקידים והעלויות'!$A$2,I996='סיווג התפקידים והעלויות'!$A$3),'עלויות כח אדם (6)'!H996='סיווג התפקידים והעלויות'!$C$2,'עלויות כח אדם (6)'!H996='סיווג התפקידים והעלויות'!$D$2),IF('עלויות כח אדם (6)'!J996&lt;75,"לא תקין","תקין"),"")</f>
        <v/>
      </c>
      <c r="AE996" s="374" t="str">
        <f t="shared" si="239"/>
        <v/>
      </c>
      <c r="AF996" s="532" t="str">
        <f t="shared" si="240"/>
        <v/>
      </c>
    </row>
    <row r="997" spans="2:32" x14ac:dyDescent="0.25">
      <c r="B997" s="695"/>
      <c r="C997" s="197" t="str">
        <f>IF(B997&lt;&gt;"",IFERROR(VLOOKUP(B:B,'מצבת והרשמה (2)'!$C$20:$N$520,2,0)," ")," ")</f>
        <v xml:space="preserve"> </v>
      </c>
      <c r="D997" s="695"/>
      <c r="E997" s="696"/>
      <c r="F997" s="696"/>
      <c r="G997" s="696"/>
      <c r="H997" s="696"/>
      <c r="I997" s="1050" t="str">
        <f t="shared" si="227"/>
        <v/>
      </c>
      <c r="J997" s="696"/>
      <c r="K997" s="697"/>
      <c r="L997" s="696"/>
      <c r="M997" s="198" t="str">
        <f t="shared" si="228"/>
        <v/>
      </c>
      <c r="N997" s="369" t="str">
        <f t="shared" si="229"/>
        <v/>
      </c>
      <c r="O997" s="183" t="str">
        <f t="shared" si="230"/>
        <v/>
      </c>
      <c r="P997" s="199" t="str">
        <f t="shared" si="231"/>
        <v/>
      </c>
      <c r="Q997" s="199" t="str">
        <f>IF(B997="","",IFERROR(IF('עלויות כח אדם (6)'!J997&gt;=VLOOKUP(I997,'סיווג התפקידים והעלויות'!$B$23:$C$32,2,0),"תקין","לא תקין"),""))</f>
        <v/>
      </c>
      <c r="R997" s="199" t="str">
        <f t="shared" si="232"/>
        <v/>
      </c>
      <c r="S997" s="199" t="str">
        <f t="shared" si="233"/>
        <v/>
      </c>
      <c r="T997" s="199" t="str">
        <f t="shared" si="241"/>
        <v/>
      </c>
      <c r="U997" s="199" t="str">
        <f t="shared" si="234"/>
        <v/>
      </c>
      <c r="V997" s="989"/>
      <c r="X997" s="374" t="str">
        <f t="shared" si="235"/>
        <v/>
      </c>
      <c r="Y997" s="375" t="str">
        <f t="shared" si="236"/>
        <v/>
      </c>
      <c r="Z997" s="374" t="str">
        <f t="shared" si="237"/>
        <v/>
      </c>
      <c r="AA997" s="374" t="b">
        <f t="shared" si="238"/>
        <v>1</v>
      </c>
      <c r="AB997" s="374">
        <f>COUNTIFS(B:B,B997,H:H,'סיווג התפקידים והעלויות'!$C$2)</f>
        <v>0</v>
      </c>
      <c r="AC997" s="374">
        <f>COUNTIFS(B:B,B997,H:H,'סיווג התפקידים והעלויות'!$D$2)</f>
        <v>0</v>
      </c>
      <c r="AD997" s="374" t="str">
        <f>IF(OR(AND(H997='סיווג התפקידים והעלויות'!$A$2,I997='סיווג התפקידים והעלויות'!$A$3),'עלויות כח אדם (6)'!H997='סיווג התפקידים והעלויות'!$C$2,'עלויות כח אדם (6)'!H997='סיווג התפקידים והעלויות'!$D$2),IF('עלויות כח אדם (6)'!J997&lt;75,"לא תקין","תקין"),"")</f>
        <v/>
      </c>
      <c r="AE997" s="374" t="str">
        <f t="shared" si="239"/>
        <v/>
      </c>
      <c r="AF997" s="532" t="str">
        <f t="shared" si="240"/>
        <v/>
      </c>
    </row>
    <row r="998" spans="2:32" x14ac:dyDescent="0.25">
      <c r="B998" s="695"/>
      <c r="C998" s="197" t="str">
        <f>IF(B998&lt;&gt;"",IFERROR(VLOOKUP(B:B,'מצבת והרשמה (2)'!$C$20:$N$520,2,0)," ")," ")</f>
        <v xml:space="preserve"> </v>
      </c>
      <c r="D998" s="695"/>
      <c r="E998" s="696"/>
      <c r="F998" s="696"/>
      <c r="G998" s="696"/>
      <c r="H998" s="696"/>
      <c r="I998" s="1050" t="str">
        <f t="shared" si="227"/>
        <v/>
      </c>
      <c r="J998" s="696"/>
      <c r="K998" s="697"/>
      <c r="L998" s="696"/>
      <c r="M998" s="198" t="str">
        <f t="shared" si="228"/>
        <v/>
      </c>
      <c r="N998" s="369" t="str">
        <f t="shared" si="229"/>
        <v/>
      </c>
      <c r="O998" s="183" t="str">
        <f t="shared" si="230"/>
        <v/>
      </c>
      <c r="P998" s="199" t="str">
        <f t="shared" si="231"/>
        <v/>
      </c>
      <c r="Q998" s="199" t="str">
        <f>IF(B998="","",IFERROR(IF('עלויות כח אדם (6)'!J998&gt;=VLOOKUP(I998,'סיווג התפקידים והעלויות'!$B$23:$C$32,2,0),"תקין","לא תקין"),""))</f>
        <v/>
      </c>
      <c r="R998" s="199" t="str">
        <f t="shared" si="232"/>
        <v/>
      </c>
      <c r="S998" s="199" t="str">
        <f t="shared" si="233"/>
        <v/>
      </c>
      <c r="T998" s="199" t="str">
        <f t="shared" si="241"/>
        <v/>
      </c>
      <c r="U998" s="199" t="str">
        <f t="shared" si="234"/>
        <v/>
      </c>
      <c r="V998" s="989"/>
      <c r="X998" s="374" t="str">
        <f t="shared" si="235"/>
        <v/>
      </c>
      <c r="Y998" s="375" t="str">
        <f t="shared" si="236"/>
        <v/>
      </c>
      <c r="Z998" s="374" t="str">
        <f t="shared" si="237"/>
        <v/>
      </c>
      <c r="AA998" s="374" t="b">
        <f t="shared" si="238"/>
        <v>1</v>
      </c>
      <c r="AB998" s="374">
        <f>COUNTIFS(B:B,B998,H:H,'סיווג התפקידים והעלויות'!$C$2)</f>
        <v>0</v>
      </c>
      <c r="AC998" s="374">
        <f>COUNTIFS(B:B,B998,H:H,'סיווג התפקידים והעלויות'!$D$2)</f>
        <v>0</v>
      </c>
      <c r="AD998" s="374" t="str">
        <f>IF(OR(AND(H998='סיווג התפקידים והעלויות'!$A$2,I998='סיווג התפקידים והעלויות'!$A$3),'עלויות כח אדם (6)'!H998='סיווג התפקידים והעלויות'!$C$2,'עלויות כח אדם (6)'!H998='סיווג התפקידים והעלויות'!$D$2),IF('עלויות כח אדם (6)'!J998&lt;75,"לא תקין","תקין"),"")</f>
        <v/>
      </c>
      <c r="AE998" s="374" t="str">
        <f t="shared" si="239"/>
        <v/>
      </c>
      <c r="AF998" s="532" t="str">
        <f t="shared" si="240"/>
        <v/>
      </c>
    </row>
    <row r="999" spans="2:32" x14ac:dyDescent="0.25">
      <c r="B999" s="695"/>
      <c r="C999" s="197" t="str">
        <f>IF(B999&lt;&gt;"",IFERROR(VLOOKUP(B:B,'מצבת והרשמה (2)'!$C$20:$N$520,2,0)," ")," ")</f>
        <v xml:space="preserve"> </v>
      </c>
      <c r="D999" s="695"/>
      <c r="E999" s="696"/>
      <c r="F999" s="696"/>
      <c r="G999" s="696"/>
      <c r="H999" s="696"/>
      <c r="I999" s="1050" t="str">
        <f t="shared" si="227"/>
        <v/>
      </c>
      <c r="J999" s="696"/>
      <c r="K999" s="697"/>
      <c r="L999" s="696"/>
      <c r="M999" s="198" t="str">
        <f t="shared" si="228"/>
        <v/>
      </c>
      <c r="N999" s="369" t="str">
        <f t="shared" si="229"/>
        <v/>
      </c>
      <c r="O999" s="183" t="str">
        <f t="shared" si="230"/>
        <v/>
      </c>
      <c r="P999" s="199" t="str">
        <f t="shared" si="231"/>
        <v/>
      </c>
      <c r="Q999" s="199" t="str">
        <f>IF(B999="","",IFERROR(IF('עלויות כח אדם (6)'!J999&gt;=VLOOKUP(I999,'סיווג התפקידים והעלויות'!$B$23:$C$32,2,0),"תקין","לא תקין"),""))</f>
        <v/>
      </c>
      <c r="R999" s="199" t="str">
        <f t="shared" si="232"/>
        <v/>
      </c>
      <c r="S999" s="199" t="str">
        <f t="shared" si="233"/>
        <v/>
      </c>
      <c r="T999" s="199" t="str">
        <f t="shared" si="241"/>
        <v/>
      </c>
      <c r="U999" s="199" t="str">
        <f t="shared" si="234"/>
        <v/>
      </c>
      <c r="V999" s="989"/>
      <c r="X999" s="374" t="str">
        <f t="shared" si="235"/>
        <v/>
      </c>
      <c r="Y999" s="375" t="str">
        <f t="shared" si="236"/>
        <v/>
      </c>
      <c r="Z999" s="374" t="str">
        <f t="shared" si="237"/>
        <v/>
      </c>
      <c r="AA999" s="374" t="b">
        <f t="shared" si="238"/>
        <v>1</v>
      </c>
      <c r="AB999" s="374">
        <f>COUNTIFS(B:B,B999,H:H,'סיווג התפקידים והעלויות'!$C$2)</f>
        <v>0</v>
      </c>
      <c r="AC999" s="374">
        <f>COUNTIFS(B:B,B999,H:H,'סיווג התפקידים והעלויות'!$D$2)</f>
        <v>0</v>
      </c>
      <c r="AD999" s="374" t="str">
        <f>IF(OR(AND(H999='סיווג התפקידים והעלויות'!$A$2,I999='סיווג התפקידים והעלויות'!$A$3),'עלויות כח אדם (6)'!H999='סיווג התפקידים והעלויות'!$C$2,'עלויות כח אדם (6)'!H999='סיווג התפקידים והעלויות'!$D$2),IF('עלויות כח אדם (6)'!J999&lt;75,"לא תקין","תקין"),"")</f>
        <v/>
      </c>
      <c r="AE999" s="374" t="str">
        <f t="shared" si="239"/>
        <v/>
      </c>
      <c r="AF999" s="532" t="str">
        <f t="shared" si="240"/>
        <v/>
      </c>
    </row>
    <row r="1000" spans="2:32" x14ac:dyDescent="0.25">
      <c r="B1000" s="695"/>
      <c r="C1000" s="197" t="str">
        <f>IF(B1000&lt;&gt;"",IFERROR(VLOOKUP(B:B,'מצבת והרשמה (2)'!$C$20:$N$520,2,0)," ")," ")</f>
        <v xml:space="preserve"> </v>
      </c>
      <c r="D1000" s="695"/>
      <c r="E1000" s="696"/>
      <c r="F1000" s="696"/>
      <c r="G1000" s="696"/>
      <c r="H1000" s="696"/>
      <c r="I1000" s="1050" t="str">
        <f t="shared" si="227"/>
        <v/>
      </c>
      <c r="J1000" s="696"/>
      <c r="K1000" s="697"/>
      <c r="L1000" s="696"/>
      <c r="M1000" s="198" t="str">
        <f t="shared" si="228"/>
        <v/>
      </c>
      <c r="N1000" s="369" t="str">
        <f t="shared" si="229"/>
        <v/>
      </c>
      <c r="O1000" s="183" t="str">
        <f t="shared" si="230"/>
        <v/>
      </c>
      <c r="P1000" s="199" t="str">
        <f t="shared" si="231"/>
        <v/>
      </c>
      <c r="Q1000" s="199" t="str">
        <f>IF(B1000="","",IFERROR(IF('עלויות כח אדם (6)'!J1000&gt;=VLOOKUP(I1000,'סיווג התפקידים והעלויות'!$B$23:$C$32,2,0),"תקין","לא תקין"),""))</f>
        <v/>
      </c>
      <c r="R1000" s="199" t="str">
        <f t="shared" si="232"/>
        <v/>
      </c>
      <c r="S1000" s="199" t="str">
        <f t="shared" si="233"/>
        <v/>
      </c>
      <c r="T1000" s="199" t="str">
        <f t="shared" si="241"/>
        <v/>
      </c>
      <c r="U1000" s="199" t="str">
        <f t="shared" si="234"/>
        <v/>
      </c>
      <c r="V1000" s="989"/>
      <c r="X1000" s="374" t="str">
        <f t="shared" si="235"/>
        <v/>
      </c>
      <c r="Y1000" s="375" t="str">
        <f t="shared" si="236"/>
        <v/>
      </c>
      <c r="Z1000" s="374" t="str">
        <f t="shared" si="237"/>
        <v/>
      </c>
      <c r="AA1000" s="374" t="b">
        <f t="shared" si="238"/>
        <v>1</v>
      </c>
      <c r="AB1000" s="374">
        <f>COUNTIFS(B:B,B1000,H:H,'סיווג התפקידים והעלויות'!$C$2)</f>
        <v>0</v>
      </c>
      <c r="AC1000" s="374">
        <f>COUNTIFS(B:B,B1000,H:H,'סיווג התפקידים והעלויות'!$D$2)</f>
        <v>0</v>
      </c>
      <c r="AD1000" s="374" t="str">
        <f>IF(OR(AND(H1000='סיווג התפקידים והעלויות'!$A$2,I1000='סיווג התפקידים והעלויות'!$A$3),'עלויות כח אדם (6)'!H1000='סיווג התפקידים והעלויות'!$C$2,'עלויות כח אדם (6)'!H1000='סיווג התפקידים והעלויות'!$D$2),IF('עלויות כח אדם (6)'!J1000&lt;75,"לא תקין","תקין"),"")</f>
        <v/>
      </c>
      <c r="AE1000" s="374" t="str">
        <f t="shared" si="239"/>
        <v/>
      </c>
      <c r="AF1000" s="532" t="str">
        <f t="shared" si="240"/>
        <v/>
      </c>
    </row>
    <row r="1001" spans="2:32" x14ac:dyDescent="0.25">
      <c r="B1001" s="695"/>
      <c r="C1001" s="197" t="str">
        <f>IF(B1001&lt;&gt;"",IFERROR(VLOOKUP(B:B,'מצבת והרשמה (2)'!$C$20:$N$520,2,0)," ")," ")</f>
        <v xml:space="preserve"> </v>
      </c>
      <c r="D1001" s="695"/>
      <c r="E1001" s="696"/>
      <c r="F1001" s="696"/>
      <c r="G1001" s="696"/>
      <c r="H1001" s="696"/>
      <c r="I1001" s="1050" t="str">
        <f t="shared" si="227"/>
        <v/>
      </c>
      <c r="J1001" s="696"/>
      <c r="K1001" s="697"/>
      <c r="L1001" s="696"/>
      <c r="M1001" s="198" t="str">
        <f t="shared" si="228"/>
        <v/>
      </c>
      <c r="N1001" s="369" t="str">
        <f t="shared" si="229"/>
        <v/>
      </c>
      <c r="O1001" s="183" t="str">
        <f t="shared" si="230"/>
        <v/>
      </c>
      <c r="P1001" s="199" t="str">
        <f t="shared" si="231"/>
        <v/>
      </c>
      <c r="Q1001" s="199" t="str">
        <f>IF(B1001="","",IFERROR(IF('עלויות כח אדם (6)'!J1001&gt;=VLOOKUP(I1001,'סיווג התפקידים והעלויות'!$B$23:$C$32,2,0),"תקין","לא תקין"),""))</f>
        <v/>
      </c>
      <c r="R1001" s="199" t="str">
        <f t="shared" si="232"/>
        <v/>
      </c>
      <c r="S1001" s="199" t="str">
        <f t="shared" si="233"/>
        <v/>
      </c>
      <c r="T1001" s="199" t="str">
        <f t="shared" si="241"/>
        <v/>
      </c>
      <c r="U1001" s="199" t="str">
        <f t="shared" si="234"/>
        <v/>
      </c>
      <c r="V1001" s="989"/>
      <c r="X1001" s="374" t="str">
        <f t="shared" si="235"/>
        <v/>
      </c>
      <c r="Y1001" s="375" t="str">
        <f t="shared" si="236"/>
        <v/>
      </c>
      <c r="Z1001" s="374" t="str">
        <f t="shared" si="237"/>
        <v/>
      </c>
      <c r="AA1001" s="374" t="b">
        <f t="shared" si="238"/>
        <v>1</v>
      </c>
      <c r="AB1001" s="374">
        <f>COUNTIFS(B:B,B1001,H:H,'סיווג התפקידים והעלויות'!$C$2)</f>
        <v>0</v>
      </c>
      <c r="AC1001" s="374">
        <f>COUNTIFS(B:B,B1001,H:H,'סיווג התפקידים והעלויות'!$D$2)</f>
        <v>0</v>
      </c>
      <c r="AD1001" s="374" t="str">
        <f>IF(OR(AND(H1001='סיווג התפקידים והעלויות'!$A$2,I1001='סיווג התפקידים והעלויות'!$A$3),'עלויות כח אדם (6)'!H1001='סיווג התפקידים והעלויות'!$C$2,'עלויות כח אדם (6)'!H1001='סיווג התפקידים והעלויות'!$D$2),IF('עלויות כח אדם (6)'!J1001&lt;75,"לא תקין","תקין"),"")</f>
        <v/>
      </c>
      <c r="AE1001" s="374" t="str">
        <f t="shared" si="239"/>
        <v/>
      </c>
      <c r="AF1001" s="532" t="str">
        <f t="shared" si="240"/>
        <v/>
      </c>
    </row>
    <row r="1002" spans="2:32" x14ac:dyDescent="0.25">
      <c r="B1002" s="695"/>
      <c r="C1002" s="197" t="str">
        <f>IF(B1002&lt;&gt;"",IFERROR(VLOOKUP(B:B,'מצבת והרשמה (2)'!$C$20:$N$520,2,0)," ")," ")</f>
        <v xml:space="preserve"> </v>
      </c>
      <c r="D1002" s="695"/>
      <c r="E1002" s="696"/>
      <c r="F1002" s="696"/>
      <c r="G1002" s="696"/>
      <c r="H1002" s="696"/>
      <c r="I1002" s="1050" t="str">
        <f t="shared" si="227"/>
        <v/>
      </c>
      <c r="J1002" s="696"/>
      <c r="K1002" s="697"/>
      <c r="L1002" s="696"/>
      <c r="M1002" s="198" t="str">
        <f t="shared" si="228"/>
        <v/>
      </c>
      <c r="N1002" s="369" t="str">
        <f t="shared" si="229"/>
        <v/>
      </c>
      <c r="O1002" s="183" t="str">
        <f t="shared" si="230"/>
        <v/>
      </c>
      <c r="P1002" s="199" t="str">
        <f t="shared" si="231"/>
        <v/>
      </c>
      <c r="Q1002" s="199" t="str">
        <f>IF(B1002="","",IFERROR(IF('עלויות כח אדם (6)'!J1002&gt;=VLOOKUP(I1002,'סיווג התפקידים והעלויות'!$B$23:$C$32,2,0),"תקין","לא תקין"),""))</f>
        <v/>
      </c>
      <c r="R1002" s="199" t="str">
        <f t="shared" si="232"/>
        <v/>
      </c>
      <c r="S1002" s="199" t="str">
        <f t="shared" si="233"/>
        <v/>
      </c>
      <c r="T1002" s="199" t="str">
        <f t="shared" si="241"/>
        <v/>
      </c>
      <c r="U1002" s="199" t="str">
        <f t="shared" si="234"/>
        <v/>
      </c>
      <c r="V1002" s="989"/>
      <c r="X1002" s="374" t="str">
        <f t="shared" si="235"/>
        <v/>
      </c>
      <c r="Y1002" s="375" t="str">
        <f t="shared" si="236"/>
        <v/>
      </c>
      <c r="Z1002" s="374" t="str">
        <f t="shared" si="237"/>
        <v/>
      </c>
      <c r="AA1002" s="374" t="b">
        <f t="shared" si="238"/>
        <v>1</v>
      </c>
      <c r="AB1002" s="374">
        <f>COUNTIFS(B:B,B1002,H:H,'סיווג התפקידים והעלויות'!$C$2)</f>
        <v>0</v>
      </c>
      <c r="AC1002" s="374">
        <f>COUNTIFS(B:B,B1002,H:H,'סיווג התפקידים והעלויות'!$D$2)</f>
        <v>0</v>
      </c>
      <c r="AD1002" s="374" t="str">
        <f>IF(OR(AND(H1002='סיווג התפקידים והעלויות'!$A$2,I1002='סיווג התפקידים והעלויות'!$A$3),'עלויות כח אדם (6)'!H1002='סיווג התפקידים והעלויות'!$C$2,'עלויות כח אדם (6)'!H1002='סיווג התפקידים והעלויות'!$D$2),IF('עלויות כח אדם (6)'!J1002&lt;75,"לא תקין","תקין"),"")</f>
        <v/>
      </c>
      <c r="AE1002" s="374" t="str">
        <f t="shared" si="239"/>
        <v/>
      </c>
      <c r="AF1002" s="532" t="str">
        <f t="shared" si="240"/>
        <v/>
      </c>
    </row>
    <row r="1003" spans="2:32" x14ac:dyDescent="0.25">
      <c r="B1003" s="695"/>
      <c r="C1003" s="197" t="str">
        <f>IF(B1003&lt;&gt;"",IFERROR(VLOOKUP(B:B,'מצבת והרשמה (2)'!$C$20:$N$520,2,0)," ")," ")</f>
        <v xml:space="preserve"> </v>
      </c>
      <c r="D1003" s="695"/>
      <c r="E1003" s="696"/>
      <c r="F1003" s="696"/>
      <c r="G1003" s="696"/>
      <c r="H1003" s="696"/>
      <c r="I1003" s="1050" t="str">
        <f t="shared" si="227"/>
        <v/>
      </c>
      <c r="J1003" s="696"/>
      <c r="K1003" s="697"/>
      <c r="L1003" s="696"/>
      <c r="M1003" s="198" t="str">
        <f t="shared" si="228"/>
        <v/>
      </c>
      <c r="N1003" s="369" t="str">
        <f t="shared" si="229"/>
        <v/>
      </c>
      <c r="O1003" s="183" t="str">
        <f t="shared" si="230"/>
        <v/>
      </c>
      <c r="P1003" s="199" t="str">
        <f t="shared" si="231"/>
        <v/>
      </c>
      <c r="Q1003" s="199" t="str">
        <f>IF(B1003="","",IFERROR(IF('עלויות כח אדם (6)'!J1003&gt;=VLOOKUP(I1003,'סיווג התפקידים והעלויות'!$B$23:$C$32,2,0),"תקין","לא תקין"),""))</f>
        <v/>
      </c>
      <c r="R1003" s="199" t="str">
        <f t="shared" si="232"/>
        <v/>
      </c>
      <c r="S1003" s="199" t="str">
        <f t="shared" si="233"/>
        <v/>
      </c>
      <c r="T1003" s="199" t="str">
        <f t="shared" si="241"/>
        <v/>
      </c>
      <c r="U1003" s="199" t="str">
        <f t="shared" si="234"/>
        <v/>
      </c>
      <c r="V1003" s="989"/>
      <c r="X1003" s="374" t="str">
        <f t="shared" si="235"/>
        <v/>
      </c>
      <c r="Y1003" s="375" t="str">
        <f t="shared" si="236"/>
        <v/>
      </c>
      <c r="Z1003" s="374" t="str">
        <f t="shared" si="237"/>
        <v/>
      </c>
      <c r="AA1003" s="374" t="b">
        <f t="shared" si="238"/>
        <v>1</v>
      </c>
      <c r="AB1003" s="374">
        <f>COUNTIFS(B:B,B1003,H:H,'סיווג התפקידים והעלויות'!$C$2)</f>
        <v>0</v>
      </c>
      <c r="AC1003" s="374">
        <f>COUNTIFS(B:B,B1003,H:H,'סיווג התפקידים והעלויות'!$D$2)</f>
        <v>0</v>
      </c>
      <c r="AD1003" s="374" t="str">
        <f>IF(OR(AND(H1003='סיווג התפקידים והעלויות'!$A$2,I1003='סיווג התפקידים והעלויות'!$A$3),'עלויות כח אדם (6)'!H1003='סיווג התפקידים והעלויות'!$C$2,'עלויות כח אדם (6)'!H1003='סיווג התפקידים והעלויות'!$D$2),IF('עלויות כח אדם (6)'!J1003&lt;75,"לא תקין","תקין"),"")</f>
        <v/>
      </c>
      <c r="AE1003" s="374" t="str">
        <f t="shared" si="239"/>
        <v/>
      </c>
      <c r="AF1003" s="532" t="str">
        <f t="shared" si="240"/>
        <v/>
      </c>
    </row>
    <row r="1004" spans="2:32" x14ac:dyDescent="0.25">
      <c r="B1004" s="695"/>
      <c r="C1004" s="197" t="str">
        <f>IF(B1004&lt;&gt;"",IFERROR(VLOOKUP(B:B,'מצבת והרשמה (2)'!$C$20:$N$520,2,0)," ")," ")</f>
        <v xml:space="preserve"> </v>
      </c>
      <c r="D1004" s="695"/>
      <c r="E1004" s="696"/>
      <c r="F1004" s="696"/>
      <c r="G1004" s="696"/>
      <c r="H1004" s="696"/>
      <c r="I1004" s="1050" t="str">
        <f t="shared" si="227"/>
        <v/>
      </c>
      <c r="J1004" s="696"/>
      <c r="K1004" s="697"/>
      <c r="L1004" s="696"/>
      <c r="M1004" s="198" t="str">
        <f t="shared" si="228"/>
        <v/>
      </c>
      <c r="N1004" s="369" t="str">
        <f t="shared" si="229"/>
        <v/>
      </c>
      <c r="O1004" s="183" t="str">
        <f t="shared" si="230"/>
        <v/>
      </c>
      <c r="P1004" s="199" t="str">
        <f t="shared" si="231"/>
        <v/>
      </c>
      <c r="Q1004" s="199" t="str">
        <f>IF(B1004="","",IFERROR(IF('עלויות כח אדם (6)'!J1004&gt;=VLOOKUP(I1004,'סיווג התפקידים והעלויות'!$B$23:$C$32,2,0),"תקין","לא תקין"),""))</f>
        <v/>
      </c>
      <c r="R1004" s="199" t="str">
        <f t="shared" si="232"/>
        <v/>
      </c>
      <c r="S1004" s="199" t="str">
        <f t="shared" si="233"/>
        <v/>
      </c>
      <c r="T1004" s="199" t="str">
        <f t="shared" si="241"/>
        <v/>
      </c>
      <c r="U1004" s="199" t="str">
        <f t="shared" si="234"/>
        <v/>
      </c>
      <c r="V1004" s="989"/>
      <c r="X1004" s="374" t="str">
        <f t="shared" si="235"/>
        <v/>
      </c>
      <c r="Y1004" s="375" t="str">
        <f t="shared" si="236"/>
        <v/>
      </c>
      <c r="Z1004" s="374" t="str">
        <f t="shared" si="237"/>
        <v/>
      </c>
      <c r="AA1004" s="374" t="b">
        <f t="shared" si="238"/>
        <v>1</v>
      </c>
      <c r="AB1004" s="374">
        <f>COUNTIFS(B:B,B1004,H:H,'סיווג התפקידים והעלויות'!$C$2)</f>
        <v>0</v>
      </c>
      <c r="AC1004" s="374">
        <f>COUNTIFS(B:B,B1004,H:H,'סיווג התפקידים והעלויות'!$D$2)</f>
        <v>0</v>
      </c>
      <c r="AD1004" s="374" t="str">
        <f>IF(OR(AND(H1004='סיווג התפקידים והעלויות'!$A$2,I1004='סיווג התפקידים והעלויות'!$A$3),'עלויות כח אדם (6)'!H1004='סיווג התפקידים והעלויות'!$C$2,'עלויות כח אדם (6)'!H1004='סיווג התפקידים והעלויות'!$D$2),IF('עלויות כח אדם (6)'!J1004&lt;75,"לא תקין","תקין"),"")</f>
        <v/>
      </c>
      <c r="AE1004" s="374" t="str">
        <f t="shared" si="239"/>
        <v/>
      </c>
      <c r="AF1004" s="532" t="str">
        <f t="shared" si="240"/>
        <v/>
      </c>
    </row>
    <row r="1005" spans="2:32" x14ac:dyDescent="0.25">
      <c r="B1005" s="695"/>
      <c r="C1005" s="197" t="str">
        <f>IF(B1005&lt;&gt;"",IFERROR(VLOOKUP(B:B,'מצבת והרשמה (2)'!$C$20:$N$520,2,0)," ")," ")</f>
        <v xml:space="preserve"> </v>
      </c>
      <c r="D1005" s="695"/>
      <c r="E1005" s="696"/>
      <c r="F1005" s="696"/>
      <c r="G1005" s="696"/>
      <c r="H1005" s="696"/>
      <c r="I1005" s="1050" t="str">
        <f t="shared" si="227"/>
        <v/>
      </c>
      <c r="J1005" s="696"/>
      <c r="K1005" s="697"/>
      <c r="L1005" s="696"/>
      <c r="M1005" s="198" t="str">
        <f t="shared" si="228"/>
        <v/>
      </c>
      <c r="N1005" s="369" t="str">
        <f t="shared" si="229"/>
        <v/>
      </c>
      <c r="O1005" s="183" t="str">
        <f t="shared" si="230"/>
        <v/>
      </c>
      <c r="P1005" s="199" t="str">
        <f t="shared" si="231"/>
        <v/>
      </c>
      <c r="Q1005" s="199" t="str">
        <f>IF(B1005="","",IFERROR(IF('עלויות כח אדם (6)'!J1005&gt;=VLOOKUP(I1005,'סיווג התפקידים והעלויות'!$B$23:$C$32,2,0),"תקין","לא תקין"),""))</f>
        <v/>
      </c>
      <c r="R1005" s="199" t="str">
        <f t="shared" si="232"/>
        <v/>
      </c>
      <c r="S1005" s="199" t="str">
        <f t="shared" si="233"/>
        <v/>
      </c>
      <c r="T1005" s="199" t="str">
        <f t="shared" si="241"/>
        <v/>
      </c>
      <c r="U1005" s="199" t="str">
        <f t="shared" si="234"/>
        <v/>
      </c>
      <c r="V1005" s="989"/>
      <c r="X1005" s="374" t="str">
        <f t="shared" si="235"/>
        <v/>
      </c>
      <c r="Y1005" s="375" t="str">
        <f t="shared" si="236"/>
        <v/>
      </c>
      <c r="Z1005" s="374" t="str">
        <f t="shared" si="237"/>
        <v/>
      </c>
      <c r="AA1005" s="374" t="b">
        <f t="shared" si="238"/>
        <v>1</v>
      </c>
      <c r="AB1005" s="374">
        <f>COUNTIFS(B:B,B1005,H:H,'סיווג התפקידים והעלויות'!$C$2)</f>
        <v>0</v>
      </c>
      <c r="AC1005" s="374">
        <f>COUNTIFS(B:B,B1005,H:H,'סיווג התפקידים והעלויות'!$D$2)</f>
        <v>0</v>
      </c>
      <c r="AD1005" s="374" t="str">
        <f>IF(OR(AND(H1005='סיווג התפקידים והעלויות'!$A$2,I1005='סיווג התפקידים והעלויות'!$A$3),'עלויות כח אדם (6)'!H1005='סיווג התפקידים והעלויות'!$C$2,'עלויות כח אדם (6)'!H1005='סיווג התפקידים והעלויות'!$D$2),IF('עלויות כח אדם (6)'!J1005&lt;75,"לא תקין","תקין"),"")</f>
        <v/>
      </c>
      <c r="AE1005" s="374" t="str">
        <f t="shared" si="239"/>
        <v/>
      </c>
      <c r="AF1005" s="532" t="str">
        <f t="shared" si="240"/>
        <v/>
      </c>
    </row>
    <row r="1006" spans="2:32" x14ac:dyDescent="0.25">
      <c r="B1006" s="695"/>
      <c r="C1006" s="197" t="str">
        <f>IF(B1006&lt;&gt;"",IFERROR(VLOOKUP(B:B,'מצבת והרשמה (2)'!$C$20:$N$520,2,0)," ")," ")</f>
        <v xml:space="preserve"> </v>
      </c>
      <c r="D1006" s="695"/>
      <c r="E1006" s="696"/>
      <c r="F1006" s="696"/>
      <c r="G1006" s="696"/>
      <c r="H1006" s="696"/>
      <c r="I1006" s="1050" t="str">
        <f t="shared" si="227"/>
        <v/>
      </c>
      <c r="J1006" s="696"/>
      <c r="K1006" s="697"/>
      <c r="L1006" s="696"/>
      <c r="M1006" s="198" t="str">
        <f t="shared" si="228"/>
        <v/>
      </c>
      <c r="N1006" s="369" t="str">
        <f t="shared" si="229"/>
        <v/>
      </c>
      <c r="O1006" s="183" t="str">
        <f t="shared" si="230"/>
        <v/>
      </c>
      <c r="P1006" s="199" t="str">
        <f t="shared" si="231"/>
        <v/>
      </c>
      <c r="Q1006" s="199" t="str">
        <f>IF(B1006="","",IFERROR(IF('עלויות כח אדם (6)'!J1006&gt;=VLOOKUP(I1006,'סיווג התפקידים והעלויות'!$B$23:$C$32,2,0),"תקין","לא תקין"),""))</f>
        <v/>
      </c>
      <c r="R1006" s="199" t="str">
        <f t="shared" si="232"/>
        <v/>
      </c>
      <c r="S1006" s="199" t="str">
        <f t="shared" si="233"/>
        <v/>
      </c>
      <c r="T1006" s="199" t="str">
        <f t="shared" si="241"/>
        <v/>
      </c>
      <c r="U1006" s="199" t="str">
        <f t="shared" si="234"/>
        <v/>
      </c>
      <c r="V1006" s="989"/>
      <c r="X1006" s="374" t="str">
        <f t="shared" si="235"/>
        <v/>
      </c>
      <c r="Y1006" s="375" t="str">
        <f t="shared" si="236"/>
        <v/>
      </c>
      <c r="Z1006" s="374" t="str">
        <f t="shared" si="237"/>
        <v/>
      </c>
      <c r="AA1006" s="374" t="b">
        <f t="shared" si="238"/>
        <v>1</v>
      </c>
      <c r="AB1006" s="374">
        <f>COUNTIFS(B:B,B1006,H:H,'סיווג התפקידים והעלויות'!$C$2)</f>
        <v>0</v>
      </c>
      <c r="AC1006" s="374">
        <f>COUNTIFS(B:B,B1006,H:H,'סיווג התפקידים והעלויות'!$D$2)</f>
        <v>0</v>
      </c>
      <c r="AD1006" s="374" t="str">
        <f>IF(OR(AND(H1006='סיווג התפקידים והעלויות'!$A$2,I1006='סיווג התפקידים והעלויות'!$A$3),'עלויות כח אדם (6)'!H1006='סיווג התפקידים והעלויות'!$C$2,'עלויות כח אדם (6)'!H1006='סיווג התפקידים והעלויות'!$D$2),IF('עלויות כח אדם (6)'!J1006&lt;75,"לא תקין","תקין"),"")</f>
        <v/>
      </c>
      <c r="AE1006" s="374" t="str">
        <f t="shared" si="239"/>
        <v/>
      </c>
      <c r="AF1006" s="532" t="str">
        <f t="shared" si="240"/>
        <v/>
      </c>
    </row>
    <row r="1007" spans="2:32" x14ac:dyDescent="0.25">
      <c r="B1007" s="695"/>
      <c r="C1007" s="197" t="str">
        <f>IF(B1007&lt;&gt;"",IFERROR(VLOOKUP(B:B,'מצבת והרשמה (2)'!$C$20:$N$520,2,0)," ")," ")</f>
        <v xml:space="preserve"> </v>
      </c>
      <c r="D1007" s="695"/>
      <c r="E1007" s="696"/>
      <c r="F1007" s="696"/>
      <c r="G1007" s="696"/>
      <c r="H1007" s="696"/>
      <c r="I1007" s="1050" t="str">
        <f t="shared" si="227"/>
        <v/>
      </c>
      <c r="J1007" s="696"/>
      <c r="K1007" s="697"/>
      <c r="L1007" s="696"/>
      <c r="M1007" s="198" t="str">
        <f t="shared" si="228"/>
        <v/>
      </c>
      <c r="N1007" s="369" t="str">
        <f t="shared" si="229"/>
        <v/>
      </c>
      <c r="O1007" s="183" t="str">
        <f t="shared" si="230"/>
        <v/>
      </c>
      <c r="P1007" s="199" t="str">
        <f t="shared" si="231"/>
        <v/>
      </c>
      <c r="Q1007" s="199" t="str">
        <f>IF(B1007="","",IFERROR(IF('עלויות כח אדם (6)'!J1007&gt;=VLOOKUP(I1007,'סיווג התפקידים והעלויות'!$B$23:$C$32,2,0),"תקין","לא תקין"),""))</f>
        <v/>
      </c>
      <c r="R1007" s="199" t="str">
        <f t="shared" si="232"/>
        <v/>
      </c>
      <c r="S1007" s="199" t="str">
        <f t="shared" si="233"/>
        <v/>
      </c>
      <c r="T1007" s="199" t="str">
        <f t="shared" si="241"/>
        <v/>
      </c>
      <c r="U1007" s="199" t="str">
        <f t="shared" si="234"/>
        <v/>
      </c>
      <c r="V1007" s="989"/>
      <c r="X1007" s="374" t="str">
        <f t="shared" si="235"/>
        <v/>
      </c>
      <c r="Y1007" s="375" t="str">
        <f t="shared" si="236"/>
        <v/>
      </c>
      <c r="Z1007" s="374" t="str">
        <f t="shared" si="237"/>
        <v/>
      </c>
      <c r="AA1007" s="374" t="b">
        <f t="shared" si="238"/>
        <v>1</v>
      </c>
      <c r="AB1007" s="374">
        <f>COUNTIFS(B:B,B1007,H:H,'סיווג התפקידים והעלויות'!$C$2)</f>
        <v>0</v>
      </c>
      <c r="AC1007" s="374">
        <f>COUNTIFS(B:B,B1007,H:H,'סיווג התפקידים והעלויות'!$D$2)</f>
        <v>0</v>
      </c>
      <c r="AD1007" s="374" t="str">
        <f>IF(OR(AND(H1007='סיווג התפקידים והעלויות'!$A$2,I1007='סיווג התפקידים והעלויות'!$A$3),'עלויות כח אדם (6)'!H1007='סיווג התפקידים והעלויות'!$C$2,'עלויות כח אדם (6)'!H1007='סיווג התפקידים והעלויות'!$D$2),IF('עלויות כח אדם (6)'!J1007&lt;75,"לא תקין","תקין"),"")</f>
        <v/>
      </c>
      <c r="AE1007" s="374" t="str">
        <f t="shared" si="239"/>
        <v/>
      </c>
      <c r="AF1007" s="532" t="str">
        <f t="shared" si="240"/>
        <v/>
      </c>
    </row>
    <row r="1008" spans="2:32" x14ac:dyDescent="0.25">
      <c r="B1008" s="695"/>
      <c r="C1008" s="197" t="str">
        <f>IF(B1008&lt;&gt;"",IFERROR(VLOOKUP(B:B,'מצבת והרשמה (2)'!$C$20:$N$520,2,0)," ")," ")</f>
        <v xml:space="preserve"> </v>
      </c>
      <c r="D1008" s="695"/>
      <c r="E1008" s="696"/>
      <c r="F1008" s="696"/>
      <c r="G1008" s="696"/>
      <c r="H1008" s="696"/>
      <c r="I1008" s="1050" t="str">
        <f t="shared" si="227"/>
        <v/>
      </c>
      <c r="J1008" s="696"/>
      <c r="K1008" s="697"/>
      <c r="L1008" s="696"/>
      <c r="M1008" s="198" t="str">
        <f t="shared" si="228"/>
        <v/>
      </c>
      <c r="N1008" s="369" t="str">
        <f t="shared" si="229"/>
        <v/>
      </c>
      <c r="O1008" s="183" t="str">
        <f t="shared" si="230"/>
        <v/>
      </c>
      <c r="P1008" s="199" t="str">
        <f t="shared" si="231"/>
        <v/>
      </c>
      <c r="Q1008" s="199" t="str">
        <f>IF(B1008="","",IFERROR(IF('עלויות כח אדם (6)'!J1008&gt;=VLOOKUP(I1008,'סיווג התפקידים והעלויות'!$B$23:$C$32,2,0),"תקין","לא תקין"),""))</f>
        <v/>
      </c>
      <c r="R1008" s="199" t="str">
        <f t="shared" si="232"/>
        <v/>
      </c>
      <c r="S1008" s="199" t="str">
        <f t="shared" si="233"/>
        <v/>
      </c>
      <c r="T1008" s="199" t="str">
        <f t="shared" si="241"/>
        <v/>
      </c>
      <c r="U1008" s="199" t="str">
        <f t="shared" si="234"/>
        <v/>
      </c>
      <c r="V1008" s="989"/>
      <c r="X1008" s="374" t="str">
        <f t="shared" si="235"/>
        <v/>
      </c>
      <c r="Y1008" s="375" t="str">
        <f t="shared" si="236"/>
        <v/>
      </c>
      <c r="Z1008" s="374" t="str">
        <f t="shared" si="237"/>
        <v/>
      </c>
      <c r="AA1008" s="374" t="b">
        <f t="shared" si="238"/>
        <v>1</v>
      </c>
      <c r="AB1008" s="374">
        <f>COUNTIFS(B:B,B1008,H:H,'סיווג התפקידים והעלויות'!$C$2)</f>
        <v>0</v>
      </c>
      <c r="AC1008" s="374">
        <f>COUNTIFS(B:B,B1008,H:H,'סיווג התפקידים והעלויות'!$D$2)</f>
        <v>0</v>
      </c>
      <c r="AD1008" s="374" t="str">
        <f>IF(OR(AND(H1008='סיווג התפקידים והעלויות'!$A$2,I1008='סיווג התפקידים והעלויות'!$A$3),'עלויות כח אדם (6)'!H1008='סיווג התפקידים והעלויות'!$C$2,'עלויות כח אדם (6)'!H1008='סיווג התפקידים והעלויות'!$D$2),IF('עלויות כח אדם (6)'!J1008&lt;75,"לא תקין","תקין"),"")</f>
        <v/>
      </c>
      <c r="AE1008" s="374" t="str">
        <f t="shared" si="239"/>
        <v/>
      </c>
      <c r="AF1008" s="532" t="str">
        <f t="shared" si="240"/>
        <v/>
      </c>
    </row>
    <row r="1009" spans="2:32" x14ac:dyDescent="0.25">
      <c r="B1009" s="695"/>
      <c r="C1009" s="197" t="str">
        <f>IF(B1009&lt;&gt;"",IFERROR(VLOOKUP(B:B,'מצבת והרשמה (2)'!$C$20:$N$520,2,0)," ")," ")</f>
        <v xml:space="preserve"> </v>
      </c>
      <c r="D1009" s="695"/>
      <c r="E1009" s="696"/>
      <c r="F1009" s="696"/>
      <c r="G1009" s="696"/>
      <c r="H1009" s="696"/>
      <c r="I1009" s="1050" t="str">
        <f t="shared" si="227"/>
        <v/>
      </c>
      <c r="J1009" s="696"/>
      <c r="K1009" s="697"/>
      <c r="L1009" s="696"/>
      <c r="M1009" s="198" t="str">
        <f t="shared" si="228"/>
        <v/>
      </c>
      <c r="N1009" s="369" t="str">
        <f t="shared" si="229"/>
        <v/>
      </c>
      <c r="O1009" s="183" t="str">
        <f t="shared" si="230"/>
        <v/>
      </c>
      <c r="P1009" s="199" t="str">
        <f t="shared" si="231"/>
        <v/>
      </c>
      <c r="Q1009" s="199" t="str">
        <f>IF(B1009="","",IFERROR(IF('עלויות כח אדם (6)'!J1009&gt;=VLOOKUP(I1009,'סיווג התפקידים והעלויות'!$B$23:$C$32,2,0),"תקין","לא תקין"),""))</f>
        <v/>
      </c>
      <c r="R1009" s="199" t="str">
        <f t="shared" si="232"/>
        <v/>
      </c>
      <c r="S1009" s="199" t="str">
        <f t="shared" si="233"/>
        <v/>
      </c>
      <c r="T1009" s="199" t="str">
        <f t="shared" si="241"/>
        <v/>
      </c>
      <c r="U1009" s="199" t="str">
        <f t="shared" si="234"/>
        <v/>
      </c>
      <c r="V1009" s="989"/>
      <c r="X1009" s="374" t="str">
        <f t="shared" si="235"/>
        <v/>
      </c>
      <c r="Y1009" s="375" t="str">
        <f t="shared" si="236"/>
        <v/>
      </c>
      <c r="Z1009" s="374" t="str">
        <f t="shared" si="237"/>
        <v/>
      </c>
      <c r="AA1009" s="374" t="b">
        <f t="shared" si="238"/>
        <v>1</v>
      </c>
      <c r="AB1009" s="374">
        <f>COUNTIFS(B:B,B1009,H:H,'סיווג התפקידים והעלויות'!$C$2)</f>
        <v>0</v>
      </c>
      <c r="AC1009" s="374">
        <f>COUNTIFS(B:B,B1009,H:H,'סיווג התפקידים והעלויות'!$D$2)</f>
        <v>0</v>
      </c>
      <c r="AD1009" s="374" t="str">
        <f>IF(OR(AND(H1009='סיווג התפקידים והעלויות'!$A$2,I1009='סיווג התפקידים והעלויות'!$A$3),'עלויות כח אדם (6)'!H1009='סיווג התפקידים והעלויות'!$C$2,'עלויות כח אדם (6)'!H1009='סיווג התפקידים והעלויות'!$D$2),IF('עלויות כח אדם (6)'!J1009&lt;75,"לא תקין","תקין"),"")</f>
        <v/>
      </c>
      <c r="AE1009" s="374" t="str">
        <f t="shared" si="239"/>
        <v/>
      </c>
      <c r="AF1009" s="532" t="str">
        <f t="shared" si="240"/>
        <v/>
      </c>
    </row>
    <row r="1010" spans="2:32" x14ac:dyDescent="0.25">
      <c r="B1010" s="695"/>
      <c r="C1010" s="197" t="str">
        <f>IF(B1010&lt;&gt;"",IFERROR(VLOOKUP(B:B,'מצבת והרשמה (2)'!$C$20:$N$520,2,0)," ")," ")</f>
        <v xml:space="preserve"> </v>
      </c>
      <c r="D1010" s="695"/>
      <c r="E1010" s="696"/>
      <c r="F1010" s="696"/>
      <c r="G1010" s="696"/>
      <c r="H1010" s="696"/>
      <c r="I1010" s="1050" t="str">
        <f t="shared" si="227"/>
        <v/>
      </c>
      <c r="J1010" s="696"/>
      <c r="K1010" s="697"/>
      <c r="L1010" s="696"/>
      <c r="M1010" s="198" t="str">
        <f t="shared" si="228"/>
        <v/>
      </c>
      <c r="N1010" s="369" t="str">
        <f t="shared" si="229"/>
        <v/>
      </c>
      <c r="O1010" s="183" t="str">
        <f t="shared" si="230"/>
        <v/>
      </c>
      <c r="P1010" s="199" t="str">
        <f t="shared" si="231"/>
        <v/>
      </c>
      <c r="Q1010" s="199" t="str">
        <f>IF(B1010="","",IFERROR(IF('עלויות כח אדם (6)'!J1010&gt;=VLOOKUP(I1010,'סיווג התפקידים והעלויות'!$B$23:$C$32,2,0),"תקין","לא תקין"),""))</f>
        <v/>
      </c>
      <c r="R1010" s="199" t="str">
        <f t="shared" si="232"/>
        <v/>
      </c>
      <c r="S1010" s="199" t="str">
        <f t="shared" si="233"/>
        <v/>
      </c>
      <c r="T1010" s="199" t="str">
        <f t="shared" si="241"/>
        <v/>
      </c>
      <c r="U1010" s="199" t="str">
        <f t="shared" si="234"/>
        <v/>
      </c>
      <c r="V1010" s="989"/>
      <c r="X1010" s="374" t="str">
        <f t="shared" si="235"/>
        <v/>
      </c>
      <c r="Y1010" s="375" t="str">
        <f t="shared" si="236"/>
        <v/>
      </c>
      <c r="Z1010" s="374" t="str">
        <f t="shared" si="237"/>
        <v/>
      </c>
      <c r="AA1010" s="374" t="b">
        <f t="shared" si="238"/>
        <v>1</v>
      </c>
      <c r="AB1010" s="374">
        <f>COUNTIFS(B:B,B1010,H:H,'סיווג התפקידים והעלויות'!$C$2)</f>
        <v>0</v>
      </c>
      <c r="AC1010" s="374">
        <f>COUNTIFS(B:B,B1010,H:H,'סיווג התפקידים והעלויות'!$D$2)</f>
        <v>0</v>
      </c>
      <c r="AD1010" s="374" t="str">
        <f>IF(OR(AND(H1010='סיווג התפקידים והעלויות'!$A$2,I1010='סיווג התפקידים והעלויות'!$A$3),'עלויות כח אדם (6)'!H1010='סיווג התפקידים והעלויות'!$C$2,'עלויות כח אדם (6)'!H1010='סיווג התפקידים והעלויות'!$D$2),IF('עלויות כח אדם (6)'!J1010&lt;75,"לא תקין","תקין"),"")</f>
        <v/>
      </c>
      <c r="AE1010" s="374" t="str">
        <f t="shared" si="239"/>
        <v/>
      </c>
      <c r="AF1010" s="532" t="str">
        <f t="shared" si="240"/>
        <v/>
      </c>
    </row>
    <row r="1011" spans="2:32" x14ac:dyDescent="0.25">
      <c r="B1011" s="695"/>
      <c r="C1011" s="197" t="str">
        <f>IF(B1011&lt;&gt;"",IFERROR(VLOOKUP(B:B,'מצבת והרשמה (2)'!$C$20:$N$520,2,0)," ")," ")</f>
        <v xml:space="preserve"> </v>
      </c>
      <c r="D1011" s="695"/>
      <c r="E1011" s="696"/>
      <c r="F1011" s="696"/>
      <c r="G1011" s="696"/>
      <c r="H1011" s="696"/>
      <c r="I1011" s="1050" t="str">
        <f t="shared" si="227"/>
        <v/>
      </c>
      <c r="J1011" s="696"/>
      <c r="K1011" s="697"/>
      <c r="L1011" s="696"/>
      <c r="M1011" s="198" t="str">
        <f t="shared" si="228"/>
        <v/>
      </c>
      <c r="N1011" s="369" t="str">
        <f t="shared" si="229"/>
        <v/>
      </c>
      <c r="O1011" s="183" t="str">
        <f t="shared" si="230"/>
        <v/>
      </c>
      <c r="P1011" s="199" t="str">
        <f t="shared" si="231"/>
        <v/>
      </c>
      <c r="Q1011" s="199" t="str">
        <f>IF(B1011="","",IFERROR(IF('עלויות כח אדם (6)'!J1011&gt;=VLOOKUP(I1011,'סיווג התפקידים והעלויות'!$B$23:$C$32,2,0),"תקין","לא תקין"),""))</f>
        <v/>
      </c>
      <c r="R1011" s="199" t="str">
        <f t="shared" si="232"/>
        <v/>
      </c>
      <c r="S1011" s="199" t="str">
        <f t="shared" si="233"/>
        <v/>
      </c>
      <c r="T1011" s="199" t="str">
        <f t="shared" si="241"/>
        <v/>
      </c>
      <c r="U1011" s="199" t="str">
        <f t="shared" si="234"/>
        <v/>
      </c>
      <c r="V1011" s="989"/>
      <c r="X1011" s="374" t="str">
        <f t="shared" si="235"/>
        <v/>
      </c>
      <c r="Y1011" s="375" t="str">
        <f t="shared" si="236"/>
        <v/>
      </c>
      <c r="Z1011" s="374" t="str">
        <f t="shared" si="237"/>
        <v/>
      </c>
      <c r="AA1011" s="374" t="b">
        <f t="shared" si="238"/>
        <v>1</v>
      </c>
      <c r="AB1011" s="374">
        <f>COUNTIFS(B:B,B1011,H:H,'סיווג התפקידים והעלויות'!$C$2)</f>
        <v>0</v>
      </c>
      <c r="AC1011" s="374">
        <f>COUNTIFS(B:B,B1011,H:H,'סיווג התפקידים והעלויות'!$D$2)</f>
        <v>0</v>
      </c>
      <c r="AD1011" s="374" t="str">
        <f>IF(OR(AND(H1011='סיווג התפקידים והעלויות'!$A$2,I1011='סיווג התפקידים והעלויות'!$A$3),'עלויות כח אדם (6)'!H1011='סיווג התפקידים והעלויות'!$C$2,'עלויות כח אדם (6)'!H1011='סיווג התפקידים והעלויות'!$D$2),IF('עלויות כח אדם (6)'!J1011&lt;75,"לא תקין","תקין"),"")</f>
        <v/>
      </c>
      <c r="AE1011" s="374" t="str">
        <f t="shared" si="239"/>
        <v/>
      </c>
      <c r="AF1011" s="532" t="str">
        <f t="shared" si="240"/>
        <v/>
      </c>
    </row>
    <row r="1012" spans="2:32" x14ac:dyDescent="0.25">
      <c r="B1012" s="695"/>
      <c r="C1012" s="197" t="str">
        <f>IF(B1012&lt;&gt;"",IFERROR(VLOOKUP(B:B,'מצבת והרשמה (2)'!$C$20:$N$520,2,0)," ")," ")</f>
        <v xml:space="preserve"> </v>
      </c>
      <c r="D1012" s="695"/>
      <c r="E1012" s="696"/>
      <c r="F1012" s="696"/>
      <c r="G1012" s="696"/>
      <c r="H1012" s="696"/>
      <c r="I1012" s="1050" t="str">
        <f t="shared" si="227"/>
        <v/>
      </c>
      <c r="J1012" s="696"/>
      <c r="K1012" s="697"/>
      <c r="L1012" s="696"/>
      <c r="M1012" s="198" t="str">
        <f t="shared" si="228"/>
        <v/>
      </c>
      <c r="N1012" s="369" t="str">
        <f t="shared" si="229"/>
        <v/>
      </c>
      <c r="O1012" s="183" t="str">
        <f t="shared" si="230"/>
        <v/>
      </c>
      <c r="P1012" s="199" t="str">
        <f t="shared" si="231"/>
        <v/>
      </c>
      <c r="Q1012" s="199" t="str">
        <f>IF(B1012="","",IFERROR(IF('עלויות כח אדם (6)'!J1012&gt;=VLOOKUP(I1012,'סיווג התפקידים והעלויות'!$B$23:$C$32,2,0),"תקין","לא תקין"),""))</f>
        <v/>
      </c>
      <c r="R1012" s="199" t="str">
        <f t="shared" si="232"/>
        <v/>
      </c>
      <c r="S1012" s="199" t="str">
        <f t="shared" si="233"/>
        <v/>
      </c>
      <c r="T1012" s="199" t="str">
        <f t="shared" si="241"/>
        <v/>
      </c>
      <c r="U1012" s="199" t="str">
        <f t="shared" si="234"/>
        <v/>
      </c>
      <c r="V1012" s="989"/>
      <c r="X1012" s="374" t="str">
        <f t="shared" si="235"/>
        <v/>
      </c>
      <c r="Y1012" s="375" t="str">
        <f t="shared" si="236"/>
        <v/>
      </c>
      <c r="Z1012" s="374" t="str">
        <f t="shared" si="237"/>
        <v/>
      </c>
      <c r="AA1012" s="374" t="b">
        <f t="shared" si="238"/>
        <v>1</v>
      </c>
      <c r="AB1012" s="374">
        <f>COUNTIFS(B:B,B1012,H:H,'סיווג התפקידים והעלויות'!$C$2)</f>
        <v>0</v>
      </c>
      <c r="AC1012" s="374">
        <f>COUNTIFS(B:B,B1012,H:H,'סיווג התפקידים והעלויות'!$D$2)</f>
        <v>0</v>
      </c>
      <c r="AD1012" s="374" t="str">
        <f>IF(OR(AND(H1012='סיווג התפקידים והעלויות'!$A$2,I1012='סיווג התפקידים והעלויות'!$A$3),'עלויות כח אדם (6)'!H1012='סיווג התפקידים והעלויות'!$C$2,'עלויות כח אדם (6)'!H1012='סיווג התפקידים והעלויות'!$D$2),IF('עלויות כח אדם (6)'!J1012&lt;75,"לא תקין","תקין"),"")</f>
        <v/>
      </c>
      <c r="AE1012" s="374" t="str">
        <f t="shared" si="239"/>
        <v/>
      </c>
      <c r="AF1012" s="532" t="str">
        <f t="shared" si="240"/>
        <v/>
      </c>
    </row>
    <row r="1013" spans="2:32" x14ac:dyDescent="0.25">
      <c r="B1013" s="695"/>
      <c r="C1013" s="197" t="str">
        <f>IF(B1013&lt;&gt;"",IFERROR(VLOOKUP(B:B,'מצבת והרשמה (2)'!$C$20:$N$520,2,0)," ")," ")</f>
        <v xml:space="preserve"> </v>
      </c>
      <c r="D1013" s="695"/>
      <c r="E1013" s="696"/>
      <c r="F1013" s="696"/>
      <c r="G1013" s="696"/>
      <c r="H1013" s="696"/>
      <c r="I1013" s="1050" t="str">
        <f t="shared" si="227"/>
        <v/>
      </c>
      <c r="J1013" s="696"/>
      <c r="K1013" s="697"/>
      <c r="L1013" s="696"/>
      <c r="M1013" s="198" t="str">
        <f t="shared" si="228"/>
        <v/>
      </c>
      <c r="N1013" s="369" t="str">
        <f t="shared" si="229"/>
        <v/>
      </c>
      <c r="O1013" s="183" t="str">
        <f t="shared" si="230"/>
        <v/>
      </c>
      <c r="P1013" s="199" t="str">
        <f t="shared" si="231"/>
        <v/>
      </c>
      <c r="Q1013" s="199" t="str">
        <f>IF(B1013="","",IFERROR(IF('עלויות כח אדם (6)'!J1013&gt;=VLOOKUP(I1013,'סיווג התפקידים והעלויות'!$B$23:$C$32,2,0),"תקין","לא תקין"),""))</f>
        <v/>
      </c>
      <c r="R1013" s="199" t="str">
        <f t="shared" si="232"/>
        <v/>
      </c>
      <c r="S1013" s="199" t="str">
        <f t="shared" si="233"/>
        <v/>
      </c>
      <c r="T1013" s="199" t="str">
        <f t="shared" si="241"/>
        <v/>
      </c>
      <c r="U1013" s="199" t="str">
        <f t="shared" si="234"/>
        <v/>
      </c>
      <c r="V1013" s="989"/>
      <c r="X1013" s="374" t="str">
        <f t="shared" si="235"/>
        <v/>
      </c>
      <c r="Y1013" s="375" t="str">
        <f t="shared" si="236"/>
        <v/>
      </c>
      <c r="Z1013" s="374" t="str">
        <f t="shared" si="237"/>
        <v/>
      </c>
      <c r="AA1013" s="374" t="b">
        <f t="shared" si="238"/>
        <v>1</v>
      </c>
      <c r="AB1013" s="374">
        <f>COUNTIFS(B:B,B1013,H:H,'סיווג התפקידים והעלויות'!$C$2)</f>
        <v>0</v>
      </c>
      <c r="AC1013" s="374">
        <f>COUNTIFS(B:B,B1013,H:H,'סיווג התפקידים והעלויות'!$D$2)</f>
        <v>0</v>
      </c>
      <c r="AD1013" s="374" t="str">
        <f>IF(OR(AND(H1013='סיווג התפקידים והעלויות'!$A$2,I1013='סיווג התפקידים והעלויות'!$A$3),'עלויות כח אדם (6)'!H1013='סיווג התפקידים והעלויות'!$C$2,'עלויות כח אדם (6)'!H1013='סיווג התפקידים והעלויות'!$D$2),IF('עלויות כח אדם (6)'!J1013&lt;75,"לא תקין","תקין"),"")</f>
        <v/>
      </c>
      <c r="AE1013" s="374" t="str">
        <f t="shared" si="239"/>
        <v/>
      </c>
      <c r="AF1013" s="532" t="str">
        <f t="shared" si="240"/>
        <v/>
      </c>
    </row>
    <row r="1014" spans="2:32" x14ac:dyDescent="0.25">
      <c r="B1014" s="695"/>
      <c r="C1014" s="197" t="str">
        <f>IF(B1014&lt;&gt;"",IFERROR(VLOOKUP(B:B,'מצבת והרשמה (2)'!$C$20:$N$520,2,0)," ")," ")</f>
        <v xml:space="preserve"> </v>
      </c>
      <c r="D1014" s="695"/>
      <c r="E1014" s="696"/>
      <c r="F1014" s="696"/>
      <c r="G1014" s="696"/>
      <c r="H1014" s="696"/>
      <c r="I1014" s="1050" t="str">
        <f t="shared" si="227"/>
        <v/>
      </c>
      <c r="J1014" s="696"/>
      <c r="K1014" s="697"/>
      <c r="L1014" s="696"/>
      <c r="M1014" s="198" t="str">
        <f t="shared" si="228"/>
        <v/>
      </c>
      <c r="N1014" s="369" t="str">
        <f t="shared" si="229"/>
        <v/>
      </c>
      <c r="O1014" s="183" t="str">
        <f t="shared" si="230"/>
        <v/>
      </c>
      <c r="P1014" s="199" t="str">
        <f t="shared" si="231"/>
        <v/>
      </c>
      <c r="Q1014" s="199" t="str">
        <f>IF(B1014="","",IFERROR(IF('עלויות כח אדם (6)'!J1014&gt;=VLOOKUP(I1014,'סיווג התפקידים והעלויות'!$B$23:$C$32,2,0),"תקין","לא תקין"),""))</f>
        <v/>
      </c>
      <c r="R1014" s="199" t="str">
        <f t="shared" si="232"/>
        <v/>
      </c>
      <c r="S1014" s="199" t="str">
        <f t="shared" si="233"/>
        <v/>
      </c>
      <c r="T1014" s="199" t="str">
        <f t="shared" si="241"/>
        <v/>
      </c>
      <c r="U1014" s="199" t="str">
        <f t="shared" si="234"/>
        <v/>
      </c>
      <c r="V1014" s="989"/>
      <c r="X1014" s="374" t="str">
        <f t="shared" si="235"/>
        <v/>
      </c>
      <c r="Y1014" s="375" t="str">
        <f t="shared" si="236"/>
        <v/>
      </c>
      <c r="Z1014" s="374" t="str">
        <f t="shared" si="237"/>
        <v/>
      </c>
      <c r="AA1014" s="374" t="b">
        <f t="shared" si="238"/>
        <v>1</v>
      </c>
      <c r="AB1014" s="374">
        <f>COUNTIFS(B:B,B1014,H:H,'סיווג התפקידים והעלויות'!$C$2)</f>
        <v>0</v>
      </c>
      <c r="AC1014" s="374">
        <f>COUNTIFS(B:B,B1014,H:H,'סיווג התפקידים והעלויות'!$D$2)</f>
        <v>0</v>
      </c>
      <c r="AD1014" s="374" t="str">
        <f>IF(OR(AND(H1014='סיווג התפקידים והעלויות'!$A$2,I1014='סיווג התפקידים והעלויות'!$A$3),'עלויות כח אדם (6)'!H1014='סיווג התפקידים והעלויות'!$C$2,'עלויות כח אדם (6)'!H1014='סיווג התפקידים והעלויות'!$D$2),IF('עלויות כח אדם (6)'!J1014&lt;75,"לא תקין","תקין"),"")</f>
        <v/>
      </c>
      <c r="AE1014" s="374" t="str">
        <f t="shared" si="239"/>
        <v/>
      </c>
      <c r="AF1014" s="532" t="str">
        <f t="shared" si="240"/>
        <v/>
      </c>
    </row>
    <row r="1015" spans="2:32" x14ac:dyDescent="0.25">
      <c r="B1015" s="695"/>
      <c r="C1015" s="197" t="str">
        <f>IF(B1015&lt;&gt;"",IFERROR(VLOOKUP(B:B,'מצבת והרשמה (2)'!$C$20:$N$520,2,0)," ")," ")</f>
        <v xml:space="preserve"> </v>
      </c>
      <c r="D1015" s="695"/>
      <c r="E1015" s="696"/>
      <c r="F1015" s="696"/>
      <c r="G1015" s="696"/>
      <c r="H1015" s="696"/>
      <c r="I1015" s="1050" t="str">
        <f t="shared" si="227"/>
        <v/>
      </c>
      <c r="J1015" s="696"/>
      <c r="K1015" s="697"/>
      <c r="L1015" s="696"/>
      <c r="M1015" s="198" t="str">
        <f t="shared" si="228"/>
        <v/>
      </c>
      <c r="N1015" s="369" t="str">
        <f t="shared" si="229"/>
        <v/>
      </c>
      <c r="O1015" s="183" t="str">
        <f t="shared" si="230"/>
        <v/>
      </c>
      <c r="P1015" s="199" t="str">
        <f t="shared" si="231"/>
        <v/>
      </c>
      <c r="Q1015" s="199" t="str">
        <f>IF(B1015="","",IFERROR(IF('עלויות כח אדם (6)'!J1015&gt;=VLOOKUP(I1015,'סיווג התפקידים והעלויות'!$B$23:$C$32,2,0),"תקין","לא תקין"),""))</f>
        <v/>
      </c>
      <c r="R1015" s="199" t="str">
        <f t="shared" si="232"/>
        <v/>
      </c>
      <c r="S1015" s="199" t="str">
        <f t="shared" si="233"/>
        <v/>
      </c>
      <c r="T1015" s="199" t="str">
        <f t="shared" si="241"/>
        <v/>
      </c>
      <c r="U1015" s="199" t="str">
        <f t="shared" si="234"/>
        <v/>
      </c>
      <c r="V1015" s="989"/>
      <c r="X1015" s="374" t="str">
        <f t="shared" si="235"/>
        <v/>
      </c>
      <c r="Y1015" s="375" t="str">
        <f t="shared" si="236"/>
        <v/>
      </c>
      <c r="Z1015" s="374" t="str">
        <f t="shared" si="237"/>
        <v/>
      </c>
      <c r="AA1015" s="374" t="b">
        <f t="shared" si="238"/>
        <v>1</v>
      </c>
      <c r="AB1015" s="374">
        <f>COUNTIFS(B:B,B1015,H:H,'סיווג התפקידים והעלויות'!$C$2)</f>
        <v>0</v>
      </c>
      <c r="AC1015" s="374">
        <f>COUNTIFS(B:B,B1015,H:H,'סיווג התפקידים והעלויות'!$D$2)</f>
        <v>0</v>
      </c>
      <c r="AD1015" s="374" t="str">
        <f>IF(OR(AND(H1015='סיווג התפקידים והעלויות'!$A$2,I1015='סיווג התפקידים והעלויות'!$A$3),'עלויות כח אדם (6)'!H1015='סיווג התפקידים והעלויות'!$C$2,'עלויות כח אדם (6)'!H1015='סיווג התפקידים והעלויות'!$D$2),IF('עלויות כח אדם (6)'!J1015&lt;75,"לא תקין","תקין"),"")</f>
        <v/>
      </c>
      <c r="AE1015" s="374" t="str">
        <f t="shared" si="239"/>
        <v/>
      </c>
      <c r="AF1015" s="532" t="str">
        <f t="shared" si="240"/>
        <v/>
      </c>
    </row>
    <row r="1016" spans="2:32" x14ac:dyDescent="0.25">
      <c r="B1016" s="695"/>
      <c r="C1016" s="197" t="str">
        <f>IF(B1016&lt;&gt;"",IFERROR(VLOOKUP(B:B,'מצבת והרשמה (2)'!$C$20:$N$520,2,0)," ")," ")</f>
        <v xml:space="preserve"> </v>
      </c>
      <c r="D1016" s="695"/>
      <c r="E1016" s="696"/>
      <c r="F1016" s="696"/>
      <c r="G1016" s="696"/>
      <c r="H1016" s="696"/>
      <c r="I1016" s="1050" t="str">
        <f t="shared" si="227"/>
        <v/>
      </c>
      <c r="J1016" s="696"/>
      <c r="K1016" s="697"/>
      <c r="L1016" s="696"/>
      <c r="M1016" s="198" t="str">
        <f t="shared" si="228"/>
        <v/>
      </c>
      <c r="N1016" s="369" t="str">
        <f t="shared" si="229"/>
        <v/>
      </c>
      <c r="O1016" s="183" t="str">
        <f t="shared" si="230"/>
        <v/>
      </c>
      <c r="P1016" s="199" t="str">
        <f t="shared" si="231"/>
        <v/>
      </c>
      <c r="Q1016" s="199" t="str">
        <f>IF(B1016="","",IFERROR(IF('עלויות כח אדם (6)'!J1016&gt;=VLOOKUP(I1016,'סיווג התפקידים והעלויות'!$B$23:$C$32,2,0),"תקין","לא תקין"),""))</f>
        <v/>
      </c>
      <c r="R1016" s="199" t="str">
        <f t="shared" si="232"/>
        <v/>
      </c>
      <c r="S1016" s="199" t="str">
        <f t="shared" si="233"/>
        <v/>
      </c>
      <c r="T1016" s="199" t="str">
        <f t="shared" si="241"/>
        <v/>
      </c>
      <c r="U1016" s="199" t="str">
        <f t="shared" si="234"/>
        <v/>
      </c>
      <c r="V1016" s="989"/>
      <c r="X1016" s="374" t="str">
        <f t="shared" si="235"/>
        <v/>
      </c>
      <c r="Y1016" s="375" t="str">
        <f t="shared" si="236"/>
        <v/>
      </c>
      <c r="Z1016" s="374" t="str">
        <f t="shared" si="237"/>
        <v/>
      </c>
      <c r="AA1016" s="374" t="b">
        <f t="shared" si="238"/>
        <v>1</v>
      </c>
      <c r="AB1016" s="374">
        <f>COUNTIFS(B:B,B1016,H:H,'סיווג התפקידים והעלויות'!$C$2)</f>
        <v>0</v>
      </c>
      <c r="AC1016" s="374">
        <f>COUNTIFS(B:B,B1016,H:H,'סיווג התפקידים והעלויות'!$D$2)</f>
        <v>0</v>
      </c>
      <c r="AD1016" s="374" t="str">
        <f>IF(OR(AND(H1016='סיווג התפקידים והעלויות'!$A$2,I1016='סיווג התפקידים והעלויות'!$A$3),'עלויות כח אדם (6)'!H1016='סיווג התפקידים והעלויות'!$C$2,'עלויות כח אדם (6)'!H1016='סיווג התפקידים והעלויות'!$D$2),IF('עלויות כח אדם (6)'!J1016&lt;75,"לא תקין","תקין"),"")</f>
        <v/>
      </c>
      <c r="AE1016" s="374" t="str">
        <f t="shared" si="239"/>
        <v/>
      </c>
      <c r="AF1016" s="532" t="str">
        <f t="shared" si="240"/>
        <v/>
      </c>
    </row>
    <row r="1017" spans="2:32" x14ac:dyDescent="0.25">
      <c r="B1017" s="695"/>
      <c r="C1017" s="197" t="str">
        <f>IF(B1017&lt;&gt;"",IFERROR(VLOOKUP(B:B,'מצבת והרשמה (2)'!$C$20:$N$520,2,0)," ")," ")</f>
        <v xml:space="preserve"> </v>
      </c>
      <c r="D1017" s="695"/>
      <c r="E1017" s="696"/>
      <c r="F1017" s="696"/>
      <c r="G1017" s="696"/>
      <c r="H1017" s="696"/>
      <c r="I1017" s="1050" t="str">
        <f t="shared" si="227"/>
        <v/>
      </c>
      <c r="J1017" s="696"/>
      <c r="K1017" s="697"/>
      <c r="L1017" s="696"/>
      <c r="M1017" s="198" t="str">
        <f t="shared" si="228"/>
        <v/>
      </c>
      <c r="N1017" s="369" t="str">
        <f t="shared" si="229"/>
        <v/>
      </c>
      <c r="O1017" s="183" t="str">
        <f t="shared" si="230"/>
        <v/>
      </c>
      <c r="P1017" s="199" t="str">
        <f t="shared" si="231"/>
        <v/>
      </c>
      <c r="Q1017" s="199" t="str">
        <f>IF(B1017="","",IFERROR(IF('עלויות כח אדם (6)'!J1017&gt;=VLOOKUP(I1017,'סיווג התפקידים והעלויות'!$B$23:$C$32,2,0),"תקין","לא תקין"),""))</f>
        <v/>
      </c>
      <c r="R1017" s="199" t="str">
        <f t="shared" si="232"/>
        <v/>
      </c>
      <c r="S1017" s="199" t="str">
        <f t="shared" si="233"/>
        <v/>
      </c>
      <c r="T1017" s="199" t="str">
        <f t="shared" si="241"/>
        <v/>
      </c>
      <c r="U1017" s="199" t="str">
        <f t="shared" si="234"/>
        <v/>
      </c>
      <c r="V1017" s="989"/>
      <c r="X1017" s="374" t="str">
        <f t="shared" si="235"/>
        <v/>
      </c>
      <c r="Y1017" s="375" t="str">
        <f t="shared" si="236"/>
        <v/>
      </c>
      <c r="Z1017" s="374" t="str">
        <f t="shared" si="237"/>
        <v/>
      </c>
      <c r="AA1017" s="374" t="b">
        <f t="shared" si="238"/>
        <v>1</v>
      </c>
      <c r="AB1017" s="374">
        <f>COUNTIFS(B:B,B1017,H:H,'סיווג התפקידים והעלויות'!$C$2)</f>
        <v>0</v>
      </c>
      <c r="AC1017" s="374">
        <f>COUNTIFS(B:B,B1017,H:H,'סיווג התפקידים והעלויות'!$D$2)</f>
        <v>0</v>
      </c>
      <c r="AD1017" s="374" t="str">
        <f>IF(OR(AND(H1017='סיווג התפקידים והעלויות'!$A$2,I1017='סיווג התפקידים והעלויות'!$A$3),'עלויות כח אדם (6)'!H1017='סיווג התפקידים והעלויות'!$C$2,'עלויות כח אדם (6)'!H1017='סיווג התפקידים והעלויות'!$D$2),IF('עלויות כח אדם (6)'!J1017&lt;75,"לא תקין","תקין"),"")</f>
        <v/>
      </c>
      <c r="AE1017" s="374" t="str">
        <f t="shared" si="239"/>
        <v/>
      </c>
      <c r="AF1017" s="532" t="str">
        <f t="shared" si="240"/>
        <v/>
      </c>
    </row>
    <row r="1018" spans="2:32" x14ac:dyDescent="0.25">
      <c r="B1018" s="695"/>
      <c r="C1018" s="197" t="str">
        <f>IF(B1018&lt;&gt;"",IFERROR(VLOOKUP(B:B,'מצבת והרשמה (2)'!$C$20:$N$520,2,0)," ")," ")</f>
        <v xml:space="preserve"> </v>
      </c>
      <c r="D1018" s="695"/>
      <c r="E1018" s="696"/>
      <c r="F1018" s="696"/>
      <c r="G1018" s="696"/>
      <c r="H1018" s="696"/>
      <c r="I1018" s="1050" t="str">
        <f t="shared" si="227"/>
        <v/>
      </c>
      <c r="J1018" s="696"/>
      <c r="K1018" s="697"/>
      <c r="L1018" s="696"/>
      <c r="M1018" s="198" t="str">
        <f t="shared" si="228"/>
        <v/>
      </c>
      <c r="N1018" s="369" t="str">
        <f t="shared" si="229"/>
        <v/>
      </c>
      <c r="O1018" s="183" t="str">
        <f t="shared" si="230"/>
        <v/>
      </c>
      <c r="P1018" s="199" t="str">
        <f t="shared" si="231"/>
        <v/>
      </c>
      <c r="Q1018" s="199" t="str">
        <f>IF(B1018="","",IFERROR(IF('עלויות כח אדם (6)'!J1018&gt;=VLOOKUP(I1018,'סיווג התפקידים והעלויות'!$B$23:$C$32,2,0),"תקין","לא תקין"),""))</f>
        <v/>
      </c>
      <c r="R1018" s="199" t="str">
        <f t="shared" si="232"/>
        <v/>
      </c>
      <c r="S1018" s="199" t="str">
        <f t="shared" si="233"/>
        <v/>
      </c>
      <c r="T1018" s="199" t="str">
        <f t="shared" si="241"/>
        <v/>
      </c>
      <c r="U1018" s="199" t="str">
        <f t="shared" si="234"/>
        <v/>
      </c>
      <c r="V1018" s="989"/>
      <c r="X1018" s="374" t="str">
        <f t="shared" si="235"/>
        <v/>
      </c>
      <c r="Y1018" s="375" t="str">
        <f t="shared" si="236"/>
        <v/>
      </c>
      <c r="Z1018" s="374" t="str">
        <f t="shared" si="237"/>
        <v/>
      </c>
      <c r="AA1018" s="374" t="b">
        <f t="shared" si="238"/>
        <v>1</v>
      </c>
      <c r="AB1018" s="374">
        <f>COUNTIFS(B:B,B1018,H:H,'סיווג התפקידים והעלויות'!$C$2)</f>
        <v>0</v>
      </c>
      <c r="AC1018" s="374">
        <f>COUNTIFS(B:B,B1018,H:H,'סיווג התפקידים והעלויות'!$D$2)</f>
        <v>0</v>
      </c>
      <c r="AD1018" s="374" t="str">
        <f>IF(OR(AND(H1018='סיווג התפקידים והעלויות'!$A$2,I1018='סיווג התפקידים והעלויות'!$A$3),'עלויות כח אדם (6)'!H1018='סיווג התפקידים והעלויות'!$C$2,'עלויות כח אדם (6)'!H1018='סיווג התפקידים והעלויות'!$D$2),IF('עלויות כח אדם (6)'!J1018&lt;75,"לא תקין","תקין"),"")</f>
        <v/>
      </c>
      <c r="AE1018" s="374" t="str">
        <f t="shared" si="239"/>
        <v/>
      </c>
      <c r="AF1018" s="532" t="str">
        <f t="shared" si="240"/>
        <v/>
      </c>
    </row>
    <row r="1019" spans="2:32" x14ac:dyDescent="0.25">
      <c r="B1019" s="695"/>
      <c r="C1019" s="197" t="str">
        <f>IF(B1019&lt;&gt;"",IFERROR(VLOOKUP(B:B,'מצבת והרשמה (2)'!$C$20:$N$520,2,0)," ")," ")</f>
        <v xml:space="preserve"> </v>
      </c>
      <c r="D1019" s="695"/>
      <c r="E1019" s="696"/>
      <c r="F1019" s="696"/>
      <c r="G1019" s="696"/>
      <c r="H1019" s="696"/>
      <c r="I1019" s="1050" t="str">
        <f t="shared" si="227"/>
        <v/>
      </c>
      <c r="J1019" s="696"/>
      <c r="K1019" s="697"/>
      <c r="L1019" s="696"/>
      <c r="M1019" s="198" t="str">
        <f t="shared" si="228"/>
        <v/>
      </c>
      <c r="N1019" s="369" t="str">
        <f t="shared" si="229"/>
        <v/>
      </c>
      <c r="O1019" s="183" t="str">
        <f t="shared" si="230"/>
        <v/>
      </c>
      <c r="P1019" s="199" t="str">
        <f t="shared" si="231"/>
        <v/>
      </c>
      <c r="Q1019" s="199" t="str">
        <f>IF(B1019="","",IFERROR(IF('עלויות כח אדם (6)'!J1019&gt;=VLOOKUP(I1019,'סיווג התפקידים והעלויות'!$B$23:$C$32,2,0),"תקין","לא תקין"),""))</f>
        <v/>
      </c>
      <c r="R1019" s="199" t="str">
        <f t="shared" si="232"/>
        <v/>
      </c>
      <c r="S1019" s="199" t="str">
        <f t="shared" si="233"/>
        <v/>
      </c>
      <c r="T1019" s="199" t="str">
        <f t="shared" si="241"/>
        <v/>
      </c>
      <c r="U1019" s="199" t="str">
        <f t="shared" si="234"/>
        <v/>
      </c>
      <c r="V1019" s="989"/>
      <c r="X1019" s="374" t="str">
        <f t="shared" si="235"/>
        <v/>
      </c>
      <c r="Y1019" s="375" t="str">
        <f t="shared" si="236"/>
        <v/>
      </c>
      <c r="Z1019" s="374" t="str">
        <f t="shared" si="237"/>
        <v/>
      </c>
      <c r="AA1019" s="374" t="b">
        <f t="shared" si="238"/>
        <v>1</v>
      </c>
      <c r="AB1019" s="374">
        <f>COUNTIFS(B:B,B1019,H:H,'סיווג התפקידים והעלויות'!$C$2)</f>
        <v>0</v>
      </c>
      <c r="AC1019" s="374">
        <f>COUNTIFS(B:B,B1019,H:H,'סיווג התפקידים והעלויות'!$D$2)</f>
        <v>0</v>
      </c>
      <c r="AD1019" s="374" t="str">
        <f>IF(OR(AND(H1019='סיווג התפקידים והעלויות'!$A$2,I1019='סיווג התפקידים והעלויות'!$A$3),'עלויות כח אדם (6)'!H1019='סיווג התפקידים והעלויות'!$C$2,'עלויות כח אדם (6)'!H1019='סיווג התפקידים והעלויות'!$D$2),IF('עלויות כח אדם (6)'!J1019&lt;75,"לא תקין","תקין"),"")</f>
        <v/>
      </c>
      <c r="AE1019" s="374" t="str">
        <f t="shared" si="239"/>
        <v/>
      </c>
      <c r="AF1019" s="532" t="str">
        <f t="shared" si="240"/>
        <v/>
      </c>
    </row>
    <row r="1020" spans="2:32" x14ac:dyDescent="0.25">
      <c r="B1020" s="695"/>
      <c r="C1020" s="197" t="str">
        <f>IF(B1020&lt;&gt;"",IFERROR(VLOOKUP(B:B,'מצבת והרשמה (2)'!$C$20:$N$520,2,0)," ")," ")</f>
        <v xml:space="preserve"> </v>
      </c>
      <c r="D1020" s="695"/>
      <c r="E1020" s="696"/>
      <c r="F1020" s="696"/>
      <c r="G1020" s="696"/>
      <c r="H1020" s="696"/>
      <c r="I1020" s="1050" t="str">
        <f t="shared" si="227"/>
        <v/>
      </c>
      <c r="J1020" s="696"/>
      <c r="K1020" s="697"/>
      <c r="L1020" s="696"/>
      <c r="M1020" s="198" t="str">
        <f t="shared" si="228"/>
        <v/>
      </c>
      <c r="N1020" s="369" t="str">
        <f t="shared" si="229"/>
        <v/>
      </c>
      <c r="O1020" s="183" t="str">
        <f t="shared" si="230"/>
        <v/>
      </c>
      <c r="P1020" s="199" t="str">
        <f t="shared" si="231"/>
        <v/>
      </c>
      <c r="Q1020" s="199" t="str">
        <f>IF(B1020="","",IFERROR(IF('עלויות כח אדם (6)'!J1020&gt;=VLOOKUP(I1020,'סיווג התפקידים והעלויות'!$B$23:$C$32,2,0),"תקין","לא תקין"),""))</f>
        <v/>
      </c>
      <c r="R1020" s="199" t="str">
        <f t="shared" si="232"/>
        <v/>
      </c>
      <c r="S1020" s="199" t="str">
        <f t="shared" si="233"/>
        <v/>
      </c>
      <c r="T1020" s="199" t="str">
        <f t="shared" si="241"/>
        <v/>
      </c>
      <c r="U1020" s="199" t="str">
        <f t="shared" si="234"/>
        <v/>
      </c>
      <c r="V1020" s="989"/>
      <c r="X1020" s="374" t="str">
        <f t="shared" si="235"/>
        <v/>
      </c>
      <c r="Y1020" s="375" t="str">
        <f t="shared" si="236"/>
        <v/>
      </c>
      <c r="Z1020" s="374" t="str">
        <f t="shared" si="237"/>
        <v/>
      </c>
      <c r="AA1020" s="374" t="b">
        <f t="shared" si="238"/>
        <v>1</v>
      </c>
      <c r="AB1020" s="374">
        <f>COUNTIFS(B:B,B1020,H:H,'סיווג התפקידים והעלויות'!$C$2)</f>
        <v>0</v>
      </c>
      <c r="AC1020" s="374">
        <f>COUNTIFS(B:B,B1020,H:H,'סיווג התפקידים והעלויות'!$D$2)</f>
        <v>0</v>
      </c>
      <c r="AD1020" s="374" t="str">
        <f>IF(OR(AND(H1020='סיווג התפקידים והעלויות'!$A$2,I1020='סיווג התפקידים והעלויות'!$A$3),'עלויות כח אדם (6)'!H1020='סיווג התפקידים והעלויות'!$C$2,'עלויות כח אדם (6)'!H1020='סיווג התפקידים והעלויות'!$D$2),IF('עלויות כח אדם (6)'!J1020&lt;75,"לא תקין","תקין"),"")</f>
        <v/>
      </c>
      <c r="AE1020" s="374" t="str">
        <f t="shared" si="239"/>
        <v/>
      </c>
      <c r="AF1020" s="532" t="str">
        <f t="shared" si="240"/>
        <v/>
      </c>
    </row>
    <row r="1021" spans="2:32" x14ac:dyDescent="0.25">
      <c r="B1021" s="695"/>
      <c r="C1021" s="197" t="str">
        <f>IF(B1021&lt;&gt;"",IFERROR(VLOOKUP(B:B,'מצבת והרשמה (2)'!$C$20:$N$520,2,0)," ")," ")</f>
        <v xml:space="preserve"> </v>
      </c>
      <c r="D1021" s="695"/>
      <c r="E1021" s="696"/>
      <c r="F1021" s="696"/>
      <c r="G1021" s="696"/>
      <c r="H1021" s="696"/>
      <c r="I1021" s="1050" t="str">
        <f t="shared" si="227"/>
        <v/>
      </c>
      <c r="J1021" s="696"/>
      <c r="K1021" s="697"/>
      <c r="L1021" s="696"/>
      <c r="M1021" s="198" t="str">
        <f t="shared" si="228"/>
        <v/>
      </c>
      <c r="N1021" s="369" t="str">
        <f t="shared" si="229"/>
        <v/>
      </c>
      <c r="O1021" s="183" t="str">
        <f t="shared" si="230"/>
        <v/>
      </c>
      <c r="P1021" s="199" t="str">
        <f t="shared" si="231"/>
        <v/>
      </c>
      <c r="Q1021" s="199" t="str">
        <f>IF(B1021="","",IFERROR(IF('עלויות כח אדם (6)'!J1021&gt;=VLOOKUP(I1021,'סיווג התפקידים והעלויות'!$B$23:$C$32,2,0),"תקין","לא תקין"),""))</f>
        <v/>
      </c>
      <c r="R1021" s="199" t="str">
        <f t="shared" si="232"/>
        <v/>
      </c>
      <c r="S1021" s="199" t="str">
        <f t="shared" si="233"/>
        <v/>
      </c>
      <c r="T1021" s="199" t="str">
        <f t="shared" si="241"/>
        <v/>
      </c>
      <c r="U1021" s="199" t="str">
        <f t="shared" si="234"/>
        <v/>
      </c>
      <c r="V1021" s="989"/>
      <c r="X1021" s="374" t="str">
        <f t="shared" si="235"/>
        <v/>
      </c>
      <c r="Y1021" s="375" t="str">
        <f t="shared" si="236"/>
        <v/>
      </c>
      <c r="Z1021" s="374" t="str">
        <f t="shared" si="237"/>
        <v/>
      </c>
      <c r="AA1021" s="374" t="b">
        <f t="shared" si="238"/>
        <v>1</v>
      </c>
      <c r="AB1021" s="374">
        <f>COUNTIFS(B:B,B1021,H:H,'סיווג התפקידים והעלויות'!$C$2)</f>
        <v>0</v>
      </c>
      <c r="AC1021" s="374">
        <f>COUNTIFS(B:B,B1021,H:H,'סיווג התפקידים והעלויות'!$D$2)</f>
        <v>0</v>
      </c>
      <c r="AD1021" s="374" t="str">
        <f>IF(OR(AND(H1021='סיווג התפקידים והעלויות'!$A$2,I1021='סיווג התפקידים והעלויות'!$A$3),'עלויות כח אדם (6)'!H1021='סיווג התפקידים והעלויות'!$C$2,'עלויות כח אדם (6)'!H1021='סיווג התפקידים והעלויות'!$D$2),IF('עלויות כח אדם (6)'!J1021&lt;75,"לא תקין","תקין"),"")</f>
        <v/>
      </c>
      <c r="AE1021" s="374" t="str">
        <f t="shared" si="239"/>
        <v/>
      </c>
      <c r="AF1021" s="532" t="str">
        <f t="shared" si="240"/>
        <v/>
      </c>
    </row>
    <row r="1022" spans="2:32" x14ac:dyDescent="0.25">
      <c r="B1022" s="695"/>
      <c r="C1022" s="197" t="str">
        <f>IF(B1022&lt;&gt;"",IFERROR(VLOOKUP(B:B,'מצבת והרשמה (2)'!$C$20:$N$520,2,0)," ")," ")</f>
        <v xml:space="preserve"> </v>
      </c>
      <c r="D1022" s="695"/>
      <c r="E1022" s="696"/>
      <c r="F1022" s="696"/>
      <c r="G1022" s="696"/>
      <c r="H1022" s="696"/>
      <c r="I1022" s="1050" t="str">
        <f t="shared" si="227"/>
        <v/>
      </c>
      <c r="J1022" s="696"/>
      <c r="K1022" s="697"/>
      <c r="L1022" s="696"/>
      <c r="M1022" s="198" t="str">
        <f t="shared" si="228"/>
        <v/>
      </c>
      <c r="N1022" s="369" t="str">
        <f t="shared" si="229"/>
        <v/>
      </c>
      <c r="O1022" s="183" t="str">
        <f t="shared" si="230"/>
        <v/>
      </c>
      <c r="P1022" s="199" t="str">
        <f t="shared" si="231"/>
        <v/>
      </c>
      <c r="Q1022" s="199" t="str">
        <f>IF(B1022="","",IFERROR(IF('עלויות כח אדם (6)'!J1022&gt;=VLOOKUP(I1022,'סיווג התפקידים והעלויות'!$B$23:$C$32,2,0),"תקין","לא תקין"),""))</f>
        <v/>
      </c>
      <c r="R1022" s="199" t="str">
        <f t="shared" si="232"/>
        <v/>
      </c>
      <c r="S1022" s="199" t="str">
        <f t="shared" si="233"/>
        <v/>
      </c>
      <c r="T1022" s="199" t="str">
        <f t="shared" si="241"/>
        <v/>
      </c>
      <c r="U1022" s="199" t="str">
        <f t="shared" si="234"/>
        <v/>
      </c>
      <c r="V1022" s="989"/>
      <c r="X1022" s="374" t="str">
        <f t="shared" si="235"/>
        <v/>
      </c>
      <c r="Y1022" s="375" t="str">
        <f t="shared" si="236"/>
        <v/>
      </c>
      <c r="Z1022" s="374" t="str">
        <f t="shared" si="237"/>
        <v/>
      </c>
      <c r="AA1022" s="374" t="b">
        <f t="shared" si="238"/>
        <v>1</v>
      </c>
      <c r="AB1022" s="374">
        <f>COUNTIFS(B:B,B1022,H:H,'סיווג התפקידים והעלויות'!$C$2)</f>
        <v>0</v>
      </c>
      <c r="AC1022" s="374">
        <f>COUNTIFS(B:B,B1022,H:H,'סיווג התפקידים והעלויות'!$D$2)</f>
        <v>0</v>
      </c>
      <c r="AD1022" s="374" t="str">
        <f>IF(OR(AND(H1022='סיווג התפקידים והעלויות'!$A$2,I1022='סיווג התפקידים והעלויות'!$A$3),'עלויות כח אדם (6)'!H1022='סיווג התפקידים והעלויות'!$C$2,'עלויות כח אדם (6)'!H1022='סיווג התפקידים והעלויות'!$D$2),IF('עלויות כח אדם (6)'!J1022&lt;75,"לא תקין","תקין"),"")</f>
        <v/>
      </c>
      <c r="AE1022" s="374" t="str">
        <f t="shared" si="239"/>
        <v/>
      </c>
      <c r="AF1022" s="532" t="str">
        <f t="shared" si="240"/>
        <v/>
      </c>
    </row>
    <row r="1023" spans="2:32" x14ac:dyDescent="0.25">
      <c r="B1023" s="695"/>
      <c r="C1023" s="197" t="str">
        <f>IF(B1023&lt;&gt;"",IFERROR(VLOOKUP(B:B,'מצבת והרשמה (2)'!$C$20:$N$520,2,0)," ")," ")</f>
        <v xml:space="preserve"> </v>
      </c>
      <c r="D1023" s="695"/>
      <c r="E1023" s="696"/>
      <c r="F1023" s="696"/>
      <c r="G1023" s="696"/>
      <c r="H1023" s="696"/>
      <c r="I1023" s="1050" t="str">
        <f t="shared" si="227"/>
        <v/>
      </c>
      <c r="J1023" s="696"/>
      <c r="K1023" s="697"/>
      <c r="L1023" s="696"/>
      <c r="M1023" s="198" t="str">
        <f t="shared" si="228"/>
        <v/>
      </c>
      <c r="N1023" s="369" t="str">
        <f t="shared" si="229"/>
        <v/>
      </c>
      <c r="O1023" s="183" t="str">
        <f t="shared" si="230"/>
        <v/>
      </c>
      <c r="P1023" s="199" t="str">
        <f t="shared" si="231"/>
        <v/>
      </c>
      <c r="Q1023" s="199" t="str">
        <f>IF(B1023="","",IFERROR(IF('עלויות כח אדם (6)'!J1023&gt;=VLOOKUP(I1023,'סיווג התפקידים והעלויות'!$B$23:$C$32,2,0),"תקין","לא תקין"),""))</f>
        <v/>
      </c>
      <c r="R1023" s="199" t="str">
        <f t="shared" si="232"/>
        <v/>
      </c>
      <c r="S1023" s="199" t="str">
        <f t="shared" si="233"/>
        <v/>
      </c>
      <c r="T1023" s="199" t="str">
        <f t="shared" si="241"/>
        <v/>
      </c>
      <c r="U1023" s="199" t="str">
        <f t="shared" si="234"/>
        <v/>
      </c>
      <c r="V1023" s="989"/>
      <c r="X1023" s="374" t="str">
        <f t="shared" si="235"/>
        <v/>
      </c>
      <c r="Y1023" s="375" t="str">
        <f t="shared" si="236"/>
        <v/>
      </c>
      <c r="Z1023" s="374" t="str">
        <f t="shared" si="237"/>
        <v/>
      </c>
      <c r="AA1023" s="374" t="b">
        <f t="shared" si="238"/>
        <v>1</v>
      </c>
      <c r="AB1023" s="374">
        <f>COUNTIFS(B:B,B1023,H:H,'סיווג התפקידים והעלויות'!$C$2)</f>
        <v>0</v>
      </c>
      <c r="AC1023" s="374">
        <f>COUNTIFS(B:B,B1023,H:H,'סיווג התפקידים והעלויות'!$D$2)</f>
        <v>0</v>
      </c>
      <c r="AD1023" s="374" t="str">
        <f>IF(OR(AND(H1023='סיווג התפקידים והעלויות'!$A$2,I1023='סיווג התפקידים והעלויות'!$A$3),'עלויות כח אדם (6)'!H1023='סיווג התפקידים והעלויות'!$C$2,'עלויות כח אדם (6)'!H1023='סיווג התפקידים והעלויות'!$D$2),IF('עלויות כח אדם (6)'!J1023&lt;75,"לא תקין","תקין"),"")</f>
        <v/>
      </c>
      <c r="AE1023" s="374" t="str">
        <f t="shared" si="239"/>
        <v/>
      </c>
      <c r="AF1023" s="532" t="str">
        <f t="shared" si="240"/>
        <v/>
      </c>
    </row>
    <row r="1024" spans="2:32" x14ac:dyDescent="0.25">
      <c r="B1024" s="695"/>
      <c r="C1024" s="197" t="str">
        <f>IF(B1024&lt;&gt;"",IFERROR(VLOOKUP(B:B,'מצבת והרשמה (2)'!$C$20:$N$520,2,0)," ")," ")</f>
        <v xml:space="preserve"> </v>
      </c>
      <c r="D1024" s="695"/>
      <c r="E1024" s="696"/>
      <c r="F1024" s="696"/>
      <c r="G1024" s="696"/>
      <c r="H1024" s="696"/>
      <c r="I1024" s="1050" t="str">
        <f t="shared" si="227"/>
        <v/>
      </c>
      <c r="J1024" s="696"/>
      <c r="K1024" s="697"/>
      <c r="L1024" s="696"/>
      <c r="M1024" s="198" t="str">
        <f t="shared" si="228"/>
        <v/>
      </c>
      <c r="N1024" s="369" t="str">
        <f t="shared" si="229"/>
        <v/>
      </c>
      <c r="O1024" s="183" t="str">
        <f t="shared" si="230"/>
        <v/>
      </c>
      <c r="P1024" s="199" t="str">
        <f t="shared" si="231"/>
        <v/>
      </c>
      <c r="Q1024" s="199" t="str">
        <f>IF(B1024="","",IFERROR(IF('עלויות כח אדם (6)'!J1024&gt;=VLOOKUP(I1024,'סיווג התפקידים והעלויות'!$B$23:$C$32,2,0),"תקין","לא תקין"),""))</f>
        <v/>
      </c>
      <c r="R1024" s="199" t="str">
        <f t="shared" si="232"/>
        <v/>
      </c>
      <c r="S1024" s="199" t="str">
        <f t="shared" si="233"/>
        <v/>
      </c>
      <c r="T1024" s="199" t="str">
        <f t="shared" si="241"/>
        <v/>
      </c>
      <c r="U1024" s="199" t="str">
        <f t="shared" si="234"/>
        <v/>
      </c>
      <c r="V1024" s="989"/>
      <c r="X1024" s="374" t="str">
        <f t="shared" si="235"/>
        <v/>
      </c>
      <c r="Y1024" s="375" t="str">
        <f t="shared" si="236"/>
        <v/>
      </c>
      <c r="Z1024" s="374" t="str">
        <f t="shared" si="237"/>
        <v/>
      </c>
      <c r="AA1024" s="374" t="b">
        <f t="shared" si="238"/>
        <v>1</v>
      </c>
      <c r="AB1024" s="374">
        <f>COUNTIFS(B:B,B1024,H:H,'סיווג התפקידים והעלויות'!$C$2)</f>
        <v>0</v>
      </c>
      <c r="AC1024" s="374">
        <f>COUNTIFS(B:B,B1024,H:H,'סיווג התפקידים והעלויות'!$D$2)</f>
        <v>0</v>
      </c>
      <c r="AD1024" s="374" t="str">
        <f>IF(OR(AND(H1024='סיווג התפקידים והעלויות'!$A$2,I1024='סיווג התפקידים והעלויות'!$A$3),'עלויות כח אדם (6)'!H1024='סיווג התפקידים והעלויות'!$C$2,'עלויות כח אדם (6)'!H1024='סיווג התפקידים והעלויות'!$D$2),IF('עלויות כח אדם (6)'!J1024&lt;75,"לא תקין","תקין"),"")</f>
        <v/>
      </c>
      <c r="AE1024" s="374" t="str">
        <f t="shared" si="239"/>
        <v/>
      </c>
      <c r="AF1024" s="532" t="str">
        <f t="shared" si="240"/>
        <v/>
      </c>
    </row>
    <row r="1025" spans="2:32" x14ac:dyDescent="0.25">
      <c r="B1025" s="695"/>
      <c r="C1025" s="197" t="str">
        <f>IF(B1025&lt;&gt;"",IFERROR(VLOOKUP(B:B,'מצבת והרשמה (2)'!$C$20:$N$520,2,0)," ")," ")</f>
        <v xml:space="preserve"> </v>
      </c>
      <c r="D1025" s="695"/>
      <c r="E1025" s="696"/>
      <c r="F1025" s="696"/>
      <c r="G1025" s="696"/>
      <c r="H1025" s="696"/>
      <c r="I1025" s="1050" t="str">
        <f t="shared" si="227"/>
        <v/>
      </c>
      <c r="J1025" s="696"/>
      <c r="K1025" s="697"/>
      <c r="L1025" s="696"/>
      <c r="M1025" s="198" t="str">
        <f t="shared" si="228"/>
        <v/>
      </c>
      <c r="N1025" s="369" t="str">
        <f t="shared" si="229"/>
        <v/>
      </c>
      <c r="O1025" s="183" t="str">
        <f t="shared" si="230"/>
        <v/>
      </c>
      <c r="P1025" s="199" t="str">
        <f t="shared" si="231"/>
        <v/>
      </c>
      <c r="Q1025" s="199" t="str">
        <f>IF(B1025="","",IFERROR(IF('עלויות כח אדם (6)'!J1025&gt;=VLOOKUP(I1025,'סיווג התפקידים והעלויות'!$B$23:$C$32,2,0),"תקין","לא תקין"),""))</f>
        <v/>
      </c>
      <c r="R1025" s="199" t="str">
        <f t="shared" si="232"/>
        <v/>
      </c>
      <c r="S1025" s="199" t="str">
        <f t="shared" si="233"/>
        <v/>
      </c>
      <c r="T1025" s="199" t="str">
        <f t="shared" si="241"/>
        <v/>
      </c>
      <c r="U1025" s="199" t="str">
        <f t="shared" si="234"/>
        <v/>
      </c>
      <c r="V1025" s="989"/>
      <c r="X1025" s="374" t="str">
        <f t="shared" si="235"/>
        <v/>
      </c>
      <c r="Y1025" s="375" t="str">
        <f t="shared" si="236"/>
        <v/>
      </c>
      <c r="Z1025" s="374" t="str">
        <f t="shared" si="237"/>
        <v/>
      </c>
      <c r="AA1025" s="374" t="b">
        <f t="shared" si="238"/>
        <v>1</v>
      </c>
      <c r="AB1025" s="374">
        <f>COUNTIFS(B:B,B1025,H:H,'סיווג התפקידים והעלויות'!$C$2)</f>
        <v>0</v>
      </c>
      <c r="AC1025" s="374">
        <f>COUNTIFS(B:B,B1025,H:H,'סיווג התפקידים והעלויות'!$D$2)</f>
        <v>0</v>
      </c>
      <c r="AD1025" s="374" t="str">
        <f>IF(OR(AND(H1025='סיווג התפקידים והעלויות'!$A$2,I1025='סיווג התפקידים והעלויות'!$A$3),'עלויות כח אדם (6)'!H1025='סיווג התפקידים והעלויות'!$C$2,'עלויות כח אדם (6)'!H1025='סיווג התפקידים והעלויות'!$D$2),IF('עלויות כח אדם (6)'!J1025&lt;75,"לא תקין","תקין"),"")</f>
        <v/>
      </c>
      <c r="AE1025" s="374" t="str">
        <f t="shared" si="239"/>
        <v/>
      </c>
      <c r="AF1025" s="532" t="str">
        <f t="shared" si="240"/>
        <v/>
      </c>
    </row>
    <row r="1026" spans="2:32" x14ac:dyDescent="0.25">
      <c r="B1026" s="695"/>
      <c r="C1026" s="197" t="str">
        <f>IF(B1026&lt;&gt;"",IFERROR(VLOOKUP(B:B,'מצבת והרשמה (2)'!$C$20:$N$520,2,0)," ")," ")</f>
        <v xml:space="preserve"> </v>
      </c>
      <c r="D1026" s="695"/>
      <c r="E1026" s="696"/>
      <c r="F1026" s="696"/>
      <c r="G1026" s="696"/>
      <c r="H1026" s="696"/>
      <c r="I1026" s="1050" t="str">
        <f t="shared" si="227"/>
        <v/>
      </c>
      <c r="J1026" s="696"/>
      <c r="K1026" s="697"/>
      <c r="L1026" s="696"/>
      <c r="M1026" s="198" t="str">
        <f t="shared" si="228"/>
        <v/>
      </c>
      <c r="N1026" s="369" t="str">
        <f t="shared" si="229"/>
        <v/>
      </c>
      <c r="O1026" s="183" t="str">
        <f t="shared" si="230"/>
        <v/>
      </c>
      <c r="P1026" s="199" t="str">
        <f t="shared" si="231"/>
        <v/>
      </c>
      <c r="Q1026" s="199" t="str">
        <f>IF(B1026="","",IFERROR(IF('עלויות כח אדם (6)'!J1026&gt;=VLOOKUP(I1026,'סיווג התפקידים והעלויות'!$B$23:$C$32,2,0),"תקין","לא תקין"),""))</f>
        <v/>
      </c>
      <c r="R1026" s="199" t="str">
        <f t="shared" si="232"/>
        <v/>
      </c>
      <c r="S1026" s="199" t="str">
        <f t="shared" si="233"/>
        <v/>
      </c>
      <c r="T1026" s="199" t="str">
        <f t="shared" si="241"/>
        <v/>
      </c>
      <c r="U1026" s="199" t="str">
        <f t="shared" si="234"/>
        <v/>
      </c>
      <c r="V1026" s="989"/>
      <c r="X1026" s="374" t="str">
        <f t="shared" si="235"/>
        <v/>
      </c>
      <c r="Y1026" s="375" t="str">
        <f t="shared" si="236"/>
        <v/>
      </c>
      <c r="Z1026" s="374" t="str">
        <f t="shared" si="237"/>
        <v/>
      </c>
      <c r="AA1026" s="374" t="b">
        <f t="shared" si="238"/>
        <v>1</v>
      </c>
      <c r="AB1026" s="374">
        <f>COUNTIFS(B:B,B1026,H:H,'סיווג התפקידים והעלויות'!$C$2)</f>
        <v>0</v>
      </c>
      <c r="AC1026" s="374">
        <f>COUNTIFS(B:B,B1026,H:H,'סיווג התפקידים והעלויות'!$D$2)</f>
        <v>0</v>
      </c>
      <c r="AD1026" s="374" t="str">
        <f>IF(OR(AND(H1026='סיווג התפקידים והעלויות'!$A$2,I1026='סיווג התפקידים והעלויות'!$A$3),'עלויות כח אדם (6)'!H1026='סיווג התפקידים והעלויות'!$C$2,'עלויות כח אדם (6)'!H1026='סיווג התפקידים והעלויות'!$D$2),IF('עלויות כח אדם (6)'!J1026&lt;75,"לא תקין","תקין"),"")</f>
        <v/>
      </c>
      <c r="AE1026" s="374" t="str">
        <f t="shared" si="239"/>
        <v/>
      </c>
      <c r="AF1026" s="532" t="str">
        <f t="shared" si="240"/>
        <v/>
      </c>
    </row>
    <row r="1027" spans="2:32" x14ac:dyDescent="0.25">
      <c r="B1027" s="695"/>
      <c r="C1027" s="197" t="str">
        <f>IF(B1027&lt;&gt;"",IFERROR(VLOOKUP(B:B,'מצבת והרשמה (2)'!$C$20:$N$520,2,0)," ")," ")</f>
        <v xml:space="preserve"> </v>
      </c>
      <c r="D1027" s="695"/>
      <c r="E1027" s="696"/>
      <c r="F1027" s="696"/>
      <c r="G1027" s="696"/>
      <c r="H1027" s="696"/>
      <c r="I1027" s="1050" t="str">
        <f t="shared" si="227"/>
        <v/>
      </c>
      <c r="J1027" s="696"/>
      <c r="K1027" s="697"/>
      <c r="L1027" s="696"/>
      <c r="M1027" s="198" t="str">
        <f t="shared" si="228"/>
        <v/>
      </c>
      <c r="N1027" s="369" t="str">
        <f t="shared" si="229"/>
        <v/>
      </c>
      <c r="O1027" s="183" t="str">
        <f t="shared" si="230"/>
        <v/>
      </c>
      <c r="P1027" s="199" t="str">
        <f t="shared" si="231"/>
        <v/>
      </c>
      <c r="Q1027" s="199" t="str">
        <f>IF(B1027="","",IFERROR(IF('עלויות כח אדם (6)'!J1027&gt;=VLOOKUP(I1027,'סיווג התפקידים והעלויות'!$B$23:$C$32,2,0),"תקין","לא תקין"),""))</f>
        <v/>
      </c>
      <c r="R1027" s="199" t="str">
        <f t="shared" si="232"/>
        <v/>
      </c>
      <c r="S1027" s="199" t="str">
        <f t="shared" si="233"/>
        <v/>
      </c>
      <c r="T1027" s="199" t="str">
        <f t="shared" si="241"/>
        <v/>
      </c>
      <c r="U1027" s="199" t="str">
        <f t="shared" si="234"/>
        <v/>
      </c>
      <c r="V1027" s="989"/>
      <c r="X1027" s="374" t="str">
        <f t="shared" si="235"/>
        <v/>
      </c>
      <c r="Y1027" s="375" t="str">
        <f t="shared" si="236"/>
        <v/>
      </c>
      <c r="Z1027" s="374" t="str">
        <f t="shared" si="237"/>
        <v/>
      </c>
      <c r="AA1027" s="374" t="b">
        <f t="shared" si="238"/>
        <v>1</v>
      </c>
      <c r="AB1027" s="374">
        <f>COUNTIFS(B:B,B1027,H:H,'סיווג התפקידים והעלויות'!$C$2)</f>
        <v>0</v>
      </c>
      <c r="AC1027" s="374">
        <f>COUNTIFS(B:B,B1027,H:H,'סיווג התפקידים והעלויות'!$D$2)</f>
        <v>0</v>
      </c>
      <c r="AD1027" s="374" t="str">
        <f>IF(OR(AND(H1027='סיווג התפקידים והעלויות'!$A$2,I1027='סיווג התפקידים והעלויות'!$A$3),'עלויות כח אדם (6)'!H1027='סיווג התפקידים והעלויות'!$C$2,'עלויות כח אדם (6)'!H1027='סיווג התפקידים והעלויות'!$D$2),IF('עלויות כח אדם (6)'!J1027&lt;75,"לא תקין","תקין"),"")</f>
        <v/>
      </c>
      <c r="AE1027" s="374" t="str">
        <f t="shared" si="239"/>
        <v/>
      </c>
      <c r="AF1027" s="532" t="str">
        <f t="shared" si="240"/>
        <v/>
      </c>
    </row>
    <row r="1028" spans="2:32" x14ac:dyDescent="0.25">
      <c r="B1028" s="695"/>
      <c r="C1028" s="197" t="str">
        <f>IF(B1028&lt;&gt;"",IFERROR(VLOOKUP(B:B,'מצבת והרשמה (2)'!$C$20:$N$520,2,0)," ")," ")</f>
        <v xml:space="preserve"> </v>
      </c>
      <c r="D1028" s="695"/>
      <c r="E1028" s="696"/>
      <c r="F1028" s="696"/>
      <c r="G1028" s="696"/>
      <c r="H1028" s="696"/>
      <c r="I1028" s="1050" t="str">
        <f t="shared" si="227"/>
        <v/>
      </c>
      <c r="J1028" s="696"/>
      <c r="K1028" s="697"/>
      <c r="L1028" s="696"/>
      <c r="M1028" s="198" t="str">
        <f t="shared" si="228"/>
        <v/>
      </c>
      <c r="N1028" s="369" t="str">
        <f t="shared" si="229"/>
        <v/>
      </c>
      <c r="O1028" s="183" t="str">
        <f t="shared" si="230"/>
        <v/>
      </c>
      <c r="P1028" s="199" t="str">
        <f t="shared" si="231"/>
        <v/>
      </c>
      <c r="Q1028" s="199" t="str">
        <f>IF(B1028="","",IFERROR(IF('עלויות כח אדם (6)'!J1028&gt;=VLOOKUP(I1028,'סיווג התפקידים והעלויות'!$B$23:$C$32,2,0),"תקין","לא תקין"),""))</f>
        <v/>
      </c>
      <c r="R1028" s="199" t="str">
        <f t="shared" si="232"/>
        <v/>
      </c>
      <c r="S1028" s="199" t="str">
        <f t="shared" si="233"/>
        <v/>
      </c>
      <c r="T1028" s="199" t="str">
        <f t="shared" si="241"/>
        <v/>
      </c>
      <c r="U1028" s="199" t="str">
        <f t="shared" si="234"/>
        <v/>
      </c>
      <c r="V1028" s="989"/>
      <c r="X1028" s="374" t="str">
        <f t="shared" si="235"/>
        <v/>
      </c>
      <c r="Y1028" s="375" t="str">
        <f t="shared" si="236"/>
        <v/>
      </c>
      <c r="Z1028" s="374" t="str">
        <f t="shared" si="237"/>
        <v/>
      </c>
      <c r="AA1028" s="374" t="b">
        <f t="shared" si="238"/>
        <v>1</v>
      </c>
      <c r="AB1028" s="374">
        <f>COUNTIFS(B:B,B1028,H:H,'סיווג התפקידים והעלויות'!$C$2)</f>
        <v>0</v>
      </c>
      <c r="AC1028" s="374">
        <f>COUNTIFS(B:B,B1028,H:H,'סיווג התפקידים והעלויות'!$D$2)</f>
        <v>0</v>
      </c>
      <c r="AD1028" s="374" t="str">
        <f>IF(OR(AND(H1028='סיווג התפקידים והעלויות'!$A$2,I1028='סיווג התפקידים והעלויות'!$A$3),'עלויות כח אדם (6)'!H1028='סיווג התפקידים והעלויות'!$C$2,'עלויות כח אדם (6)'!H1028='סיווג התפקידים והעלויות'!$D$2),IF('עלויות כח אדם (6)'!J1028&lt;75,"לא תקין","תקין"),"")</f>
        <v/>
      </c>
      <c r="AE1028" s="374" t="str">
        <f t="shared" si="239"/>
        <v/>
      </c>
      <c r="AF1028" s="532" t="str">
        <f t="shared" si="240"/>
        <v/>
      </c>
    </row>
    <row r="1029" spans="2:32" x14ac:dyDescent="0.25">
      <c r="B1029" s="695"/>
      <c r="C1029" s="197" t="str">
        <f>IF(B1029&lt;&gt;"",IFERROR(VLOOKUP(B:B,'מצבת והרשמה (2)'!$C$20:$N$520,2,0)," ")," ")</f>
        <v xml:space="preserve"> </v>
      </c>
      <c r="D1029" s="695"/>
      <c r="E1029" s="696"/>
      <c r="F1029" s="696"/>
      <c r="G1029" s="696"/>
      <c r="H1029" s="696"/>
      <c r="I1029" s="1050" t="str">
        <f t="shared" si="227"/>
        <v/>
      </c>
      <c r="J1029" s="696"/>
      <c r="K1029" s="697"/>
      <c r="L1029" s="696"/>
      <c r="M1029" s="198" t="str">
        <f t="shared" si="228"/>
        <v/>
      </c>
      <c r="N1029" s="369" t="str">
        <f t="shared" si="229"/>
        <v/>
      </c>
      <c r="O1029" s="183" t="str">
        <f t="shared" si="230"/>
        <v/>
      </c>
      <c r="P1029" s="199" t="str">
        <f t="shared" si="231"/>
        <v/>
      </c>
      <c r="Q1029" s="199" t="str">
        <f>IF(B1029="","",IFERROR(IF('עלויות כח אדם (6)'!J1029&gt;=VLOOKUP(I1029,'סיווג התפקידים והעלויות'!$B$23:$C$32,2,0),"תקין","לא תקין"),""))</f>
        <v/>
      </c>
      <c r="R1029" s="199" t="str">
        <f t="shared" si="232"/>
        <v/>
      </c>
      <c r="S1029" s="199" t="str">
        <f t="shared" si="233"/>
        <v/>
      </c>
      <c r="T1029" s="199" t="str">
        <f t="shared" si="241"/>
        <v/>
      </c>
      <c r="U1029" s="199" t="str">
        <f t="shared" si="234"/>
        <v/>
      </c>
      <c r="V1029" s="989"/>
      <c r="X1029" s="374" t="str">
        <f t="shared" si="235"/>
        <v/>
      </c>
      <c r="Y1029" s="375" t="str">
        <f t="shared" si="236"/>
        <v/>
      </c>
      <c r="Z1029" s="374" t="str">
        <f t="shared" si="237"/>
        <v/>
      </c>
      <c r="AA1029" s="374" t="b">
        <f t="shared" si="238"/>
        <v>1</v>
      </c>
      <c r="AB1029" s="374">
        <f>COUNTIFS(B:B,B1029,H:H,'סיווג התפקידים והעלויות'!$C$2)</f>
        <v>0</v>
      </c>
      <c r="AC1029" s="374">
        <f>COUNTIFS(B:B,B1029,H:H,'סיווג התפקידים והעלויות'!$D$2)</f>
        <v>0</v>
      </c>
      <c r="AD1029" s="374" t="str">
        <f>IF(OR(AND(H1029='סיווג התפקידים והעלויות'!$A$2,I1029='סיווג התפקידים והעלויות'!$A$3),'עלויות כח אדם (6)'!H1029='סיווג התפקידים והעלויות'!$C$2,'עלויות כח אדם (6)'!H1029='סיווג התפקידים והעלויות'!$D$2),IF('עלויות כח אדם (6)'!J1029&lt;75,"לא תקין","תקין"),"")</f>
        <v/>
      </c>
      <c r="AE1029" s="374" t="str">
        <f t="shared" si="239"/>
        <v/>
      </c>
      <c r="AF1029" s="532" t="str">
        <f t="shared" si="240"/>
        <v/>
      </c>
    </row>
    <row r="1030" spans="2:32" x14ac:dyDescent="0.25">
      <c r="B1030" s="695"/>
      <c r="C1030" s="197" t="str">
        <f>IF(B1030&lt;&gt;"",IFERROR(VLOOKUP(B:B,'מצבת והרשמה (2)'!$C$20:$N$520,2,0)," ")," ")</f>
        <v xml:space="preserve"> </v>
      </c>
      <c r="D1030" s="695"/>
      <c r="E1030" s="696"/>
      <c r="F1030" s="696"/>
      <c r="G1030" s="696"/>
      <c r="H1030" s="696"/>
      <c r="I1030" s="1050" t="str">
        <f t="shared" si="227"/>
        <v/>
      </c>
      <c r="J1030" s="696"/>
      <c r="K1030" s="697"/>
      <c r="L1030" s="696"/>
      <c r="M1030" s="198" t="str">
        <f t="shared" si="228"/>
        <v/>
      </c>
      <c r="N1030" s="369" t="str">
        <f t="shared" si="229"/>
        <v/>
      </c>
      <c r="O1030" s="183" t="str">
        <f t="shared" si="230"/>
        <v/>
      </c>
      <c r="P1030" s="199" t="str">
        <f t="shared" si="231"/>
        <v/>
      </c>
      <c r="Q1030" s="199" t="str">
        <f>IF(B1030="","",IFERROR(IF('עלויות כח אדם (6)'!J1030&gt;=VLOOKUP(I1030,'סיווג התפקידים והעלויות'!$B$23:$C$32,2,0),"תקין","לא תקין"),""))</f>
        <v/>
      </c>
      <c r="R1030" s="199" t="str">
        <f t="shared" si="232"/>
        <v/>
      </c>
      <c r="S1030" s="199" t="str">
        <f t="shared" si="233"/>
        <v/>
      </c>
      <c r="T1030" s="199" t="str">
        <f t="shared" si="241"/>
        <v/>
      </c>
      <c r="U1030" s="199" t="str">
        <f t="shared" si="234"/>
        <v/>
      </c>
      <c r="V1030" s="989"/>
      <c r="X1030" s="374" t="str">
        <f t="shared" si="235"/>
        <v/>
      </c>
      <c r="Y1030" s="375" t="str">
        <f t="shared" si="236"/>
        <v/>
      </c>
      <c r="Z1030" s="374" t="str">
        <f t="shared" si="237"/>
        <v/>
      </c>
      <c r="AA1030" s="374" t="b">
        <f t="shared" si="238"/>
        <v>1</v>
      </c>
      <c r="AB1030" s="374">
        <f>COUNTIFS(B:B,B1030,H:H,'סיווג התפקידים והעלויות'!$C$2)</f>
        <v>0</v>
      </c>
      <c r="AC1030" s="374">
        <f>COUNTIFS(B:B,B1030,H:H,'סיווג התפקידים והעלויות'!$D$2)</f>
        <v>0</v>
      </c>
      <c r="AD1030" s="374" t="str">
        <f>IF(OR(AND(H1030='סיווג התפקידים והעלויות'!$A$2,I1030='סיווג התפקידים והעלויות'!$A$3),'עלויות כח אדם (6)'!H1030='סיווג התפקידים והעלויות'!$C$2,'עלויות כח אדם (6)'!H1030='סיווג התפקידים והעלויות'!$D$2),IF('עלויות כח אדם (6)'!J1030&lt;75,"לא תקין","תקין"),"")</f>
        <v/>
      </c>
      <c r="AE1030" s="374" t="str">
        <f t="shared" si="239"/>
        <v/>
      </c>
      <c r="AF1030" s="532" t="str">
        <f t="shared" si="240"/>
        <v/>
      </c>
    </row>
    <row r="1031" spans="2:32" x14ac:dyDescent="0.25">
      <c r="B1031" s="695"/>
      <c r="C1031" s="197" t="str">
        <f>IF(B1031&lt;&gt;"",IFERROR(VLOOKUP(B:B,'מצבת והרשמה (2)'!$C$20:$N$520,2,0)," ")," ")</f>
        <v xml:space="preserve"> </v>
      </c>
      <c r="D1031" s="695"/>
      <c r="E1031" s="696"/>
      <c r="F1031" s="696"/>
      <c r="G1031" s="696"/>
      <c r="H1031" s="696"/>
      <c r="I1031" s="1050" t="str">
        <f t="shared" si="227"/>
        <v/>
      </c>
      <c r="J1031" s="696"/>
      <c r="K1031" s="697"/>
      <c r="L1031" s="696"/>
      <c r="M1031" s="198" t="str">
        <f t="shared" si="228"/>
        <v/>
      </c>
      <c r="N1031" s="369" t="str">
        <f t="shared" si="229"/>
        <v/>
      </c>
      <c r="O1031" s="183" t="str">
        <f t="shared" si="230"/>
        <v/>
      </c>
      <c r="P1031" s="199" t="str">
        <f t="shared" si="231"/>
        <v/>
      </c>
      <c r="Q1031" s="199" t="str">
        <f>IF(B1031="","",IFERROR(IF('עלויות כח אדם (6)'!J1031&gt;=VLOOKUP(I1031,'סיווג התפקידים והעלויות'!$B$23:$C$32,2,0),"תקין","לא תקין"),""))</f>
        <v/>
      </c>
      <c r="R1031" s="199" t="str">
        <f t="shared" si="232"/>
        <v/>
      </c>
      <c r="S1031" s="199" t="str">
        <f t="shared" si="233"/>
        <v/>
      </c>
      <c r="T1031" s="199" t="str">
        <f t="shared" si="241"/>
        <v/>
      </c>
      <c r="U1031" s="199" t="str">
        <f t="shared" si="234"/>
        <v/>
      </c>
      <c r="V1031" s="989"/>
      <c r="X1031" s="374" t="str">
        <f t="shared" si="235"/>
        <v/>
      </c>
      <c r="Y1031" s="375" t="str">
        <f t="shared" si="236"/>
        <v/>
      </c>
      <c r="Z1031" s="374" t="str">
        <f t="shared" si="237"/>
        <v/>
      </c>
      <c r="AA1031" s="374" t="b">
        <f t="shared" si="238"/>
        <v>1</v>
      </c>
      <c r="AB1031" s="374">
        <f>COUNTIFS(B:B,B1031,H:H,'סיווג התפקידים והעלויות'!$C$2)</f>
        <v>0</v>
      </c>
      <c r="AC1031" s="374">
        <f>COUNTIFS(B:B,B1031,H:H,'סיווג התפקידים והעלויות'!$D$2)</f>
        <v>0</v>
      </c>
      <c r="AD1031" s="374" t="str">
        <f>IF(OR(AND(H1031='סיווג התפקידים והעלויות'!$A$2,I1031='סיווג התפקידים והעלויות'!$A$3),'עלויות כח אדם (6)'!H1031='סיווג התפקידים והעלויות'!$C$2,'עלויות כח אדם (6)'!H1031='סיווג התפקידים והעלויות'!$D$2),IF('עלויות כח אדם (6)'!J1031&lt;75,"לא תקין","תקין"),"")</f>
        <v/>
      </c>
      <c r="AE1031" s="374" t="str">
        <f t="shared" si="239"/>
        <v/>
      </c>
      <c r="AF1031" s="532" t="str">
        <f t="shared" si="240"/>
        <v/>
      </c>
    </row>
    <row r="1032" spans="2:32" x14ac:dyDescent="0.25">
      <c r="B1032" s="695"/>
      <c r="C1032" s="197" t="str">
        <f>IF(B1032&lt;&gt;"",IFERROR(VLOOKUP(B:B,'מצבת והרשמה (2)'!$C$20:$N$520,2,0)," ")," ")</f>
        <v xml:space="preserve"> </v>
      </c>
      <c r="D1032" s="695"/>
      <c r="E1032" s="696"/>
      <c r="F1032" s="696"/>
      <c r="G1032" s="696"/>
      <c r="H1032" s="696"/>
      <c r="I1032" s="1050" t="str">
        <f t="shared" si="227"/>
        <v/>
      </c>
      <c r="J1032" s="696"/>
      <c r="K1032" s="697"/>
      <c r="L1032" s="696"/>
      <c r="M1032" s="198" t="str">
        <f t="shared" si="228"/>
        <v/>
      </c>
      <c r="N1032" s="369" t="str">
        <f t="shared" si="229"/>
        <v/>
      </c>
      <c r="O1032" s="183" t="str">
        <f t="shared" si="230"/>
        <v/>
      </c>
      <c r="P1032" s="199" t="str">
        <f t="shared" si="231"/>
        <v/>
      </c>
      <c r="Q1032" s="199" t="str">
        <f>IF(B1032="","",IFERROR(IF('עלויות כח אדם (6)'!J1032&gt;=VLOOKUP(I1032,'סיווג התפקידים והעלויות'!$B$23:$C$32,2,0),"תקין","לא תקין"),""))</f>
        <v/>
      </c>
      <c r="R1032" s="199" t="str">
        <f t="shared" si="232"/>
        <v/>
      </c>
      <c r="S1032" s="199" t="str">
        <f t="shared" si="233"/>
        <v/>
      </c>
      <c r="T1032" s="199" t="str">
        <f t="shared" si="241"/>
        <v/>
      </c>
      <c r="U1032" s="199" t="str">
        <f t="shared" si="234"/>
        <v/>
      </c>
      <c r="V1032" s="989"/>
      <c r="X1032" s="374" t="str">
        <f t="shared" si="235"/>
        <v/>
      </c>
      <c r="Y1032" s="375" t="str">
        <f t="shared" si="236"/>
        <v/>
      </c>
      <c r="Z1032" s="374" t="str">
        <f t="shared" si="237"/>
        <v/>
      </c>
      <c r="AA1032" s="374" t="b">
        <f t="shared" si="238"/>
        <v>1</v>
      </c>
      <c r="AB1032" s="374">
        <f>COUNTIFS(B:B,B1032,H:H,'סיווג התפקידים והעלויות'!$C$2)</f>
        <v>0</v>
      </c>
      <c r="AC1032" s="374">
        <f>COUNTIFS(B:B,B1032,H:H,'סיווג התפקידים והעלויות'!$D$2)</f>
        <v>0</v>
      </c>
      <c r="AD1032" s="374" t="str">
        <f>IF(OR(AND(H1032='סיווג התפקידים והעלויות'!$A$2,I1032='סיווג התפקידים והעלויות'!$A$3),'עלויות כח אדם (6)'!H1032='סיווג התפקידים והעלויות'!$C$2,'עלויות כח אדם (6)'!H1032='סיווג התפקידים והעלויות'!$D$2),IF('עלויות כח אדם (6)'!J1032&lt;75,"לא תקין","תקין"),"")</f>
        <v/>
      </c>
      <c r="AE1032" s="374" t="str">
        <f t="shared" si="239"/>
        <v/>
      </c>
      <c r="AF1032" s="532" t="str">
        <f t="shared" si="240"/>
        <v/>
      </c>
    </row>
    <row r="1033" spans="2:32" x14ac:dyDescent="0.25">
      <c r="B1033" s="695"/>
      <c r="C1033" s="197" t="str">
        <f>IF(B1033&lt;&gt;"",IFERROR(VLOOKUP(B:B,'מצבת והרשמה (2)'!$C$20:$N$520,2,0)," ")," ")</f>
        <v xml:space="preserve"> </v>
      </c>
      <c r="D1033" s="695"/>
      <c r="E1033" s="696"/>
      <c r="F1033" s="696"/>
      <c r="G1033" s="696"/>
      <c r="H1033" s="696"/>
      <c r="I1033" s="1050" t="str">
        <f t="shared" si="227"/>
        <v/>
      </c>
      <c r="J1033" s="696"/>
      <c r="K1033" s="697"/>
      <c r="L1033" s="696"/>
      <c r="M1033" s="198" t="str">
        <f t="shared" si="228"/>
        <v/>
      </c>
      <c r="N1033" s="369" t="str">
        <f t="shared" si="229"/>
        <v/>
      </c>
      <c r="O1033" s="183" t="str">
        <f t="shared" si="230"/>
        <v/>
      </c>
      <c r="P1033" s="199" t="str">
        <f t="shared" si="231"/>
        <v/>
      </c>
      <c r="Q1033" s="199" t="str">
        <f>IF(B1033="","",IFERROR(IF('עלויות כח אדם (6)'!J1033&gt;=VLOOKUP(I1033,'סיווג התפקידים והעלויות'!$B$23:$C$32,2,0),"תקין","לא תקין"),""))</f>
        <v/>
      </c>
      <c r="R1033" s="199" t="str">
        <f t="shared" si="232"/>
        <v/>
      </c>
      <c r="S1033" s="199" t="str">
        <f t="shared" si="233"/>
        <v/>
      </c>
      <c r="T1033" s="199" t="str">
        <f t="shared" si="241"/>
        <v/>
      </c>
      <c r="U1033" s="199" t="str">
        <f t="shared" si="234"/>
        <v/>
      </c>
      <c r="V1033" s="989"/>
      <c r="X1033" s="374" t="str">
        <f t="shared" si="235"/>
        <v/>
      </c>
      <c r="Y1033" s="375" t="str">
        <f t="shared" si="236"/>
        <v/>
      </c>
      <c r="Z1033" s="374" t="str">
        <f t="shared" si="237"/>
        <v/>
      </c>
      <c r="AA1033" s="374" t="b">
        <f t="shared" si="238"/>
        <v>1</v>
      </c>
      <c r="AB1033" s="374">
        <f>COUNTIFS(B:B,B1033,H:H,'סיווג התפקידים והעלויות'!$C$2)</f>
        <v>0</v>
      </c>
      <c r="AC1033" s="374">
        <f>COUNTIFS(B:B,B1033,H:H,'סיווג התפקידים והעלויות'!$D$2)</f>
        <v>0</v>
      </c>
      <c r="AD1033" s="374" t="str">
        <f>IF(OR(AND(H1033='סיווג התפקידים והעלויות'!$A$2,I1033='סיווג התפקידים והעלויות'!$A$3),'עלויות כח אדם (6)'!H1033='סיווג התפקידים והעלויות'!$C$2,'עלויות כח אדם (6)'!H1033='סיווג התפקידים והעלויות'!$D$2),IF('עלויות כח אדם (6)'!J1033&lt;75,"לא תקין","תקין"),"")</f>
        <v/>
      </c>
      <c r="AE1033" s="374" t="str">
        <f t="shared" si="239"/>
        <v/>
      </c>
      <c r="AF1033" s="532" t="str">
        <f t="shared" si="240"/>
        <v/>
      </c>
    </row>
    <row r="1034" spans="2:32" x14ac:dyDescent="0.25">
      <c r="B1034" s="695"/>
      <c r="C1034" s="197" t="str">
        <f>IF(B1034&lt;&gt;"",IFERROR(VLOOKUP(B:B,'מצבת והרשמה (2)'!$C$20:$N$520,2,0)," ")," ")</f>
        <v xml:space="preserve"> </v>
      </c>
      <c r="D1034" s="695"/>
      <c r="E1034" s="696"/>
      <c r="F1034" s="696"/>
      <c r="G1034" s="696"/>
      <c r="H1034" s="696"/>
      <c r="I1034" s="1050" t="str">
        <f t="shared" si="227"/>
        <v/>
      </c>
      <c r="J1034" s="696"/>
      <c r="K1034" s="697"/>
      <c r="L1034" s="696"/>
      <c r="M1034" s="198" t="str">
        <f t="shared" si="228"/>
        <v/>
      </c>
      <c r="N1034" s="369" t="str">
        <f t="shared" si="229"/>
        <v/>
      </c>
      <c r="O1034" s="183" t="str">
        <f t="shared" si="230"/>
        <v/>
      </c>
      <c r="P1034" s="199" t="str">
        <f t="shared" si="231"/>
        <v/>
      </c>
      <c r="Q1034" s="199" t="str">
        <f>IF(B1034="","",IFERROR(IF('עלויות כח אדם (6)'!J1034&gt;=VLOOKUP(I1034,'סיווג התפקידים והעלויות'!$B$23:$C$32,2,0),"תקין","לא תקין"),""))</f>
        <v/>
      </c>
      <c r="R1034" s="199" t="str">
        <f t="shared" si="232"/>
        <v/>
      </c>
      <c r="S1034" s="199" t="str">
        <f t="shared" si="233"/>
        <v/>
      </c>
      <c r="T1034" s="199" t="str">
        <f t="shared" si="241"/>
        <v/>
      </c>
      <c r="U1034" s="199" t="str">
        <f t="shared" si="234"/>
        <v/>
      </c>
      <c r="V1034" s="989"/>
      <c r="X1034" s="374" t="str">
        <f t="shared" si="235"/>
        <v/>
      </c>
      <c r="Y1034" s="375" t="str">
        <f t="shared" si="236"/>
        <v/>
      </c>
      <c r="Z1034" s="374" t="str">
        <f t="shared" si="237"/>
        <v/>
      </c>
      <c r="AA1034" s="374" t="b">
        <f t="shared" si="238"/>
        <v>1</v>
      </c>
      <c r="AB1034" s="374">
        <f>COUNTIFS(B:B,B1034,H:H,'סיווג התפקידים והעלויות'!$C$2)</f>
        <v>0</v>
      </c>
      <c r="AC1034" s="374">
        <f>COUNTIFS(B:B,B1034,H:H,'סיווג התפקידים והעלויות'!$D$2)</f>
        <v>0</v>
      </c>
      <c r="AD1034" s="374" t="str">
        <f>IF(OR(AND(H1034='סיווג התפקידים והעלויות'!$A$2,I1034='סיווג התפקידים והעלויות'!$A$3),'עלויות כח אדם (6)'!H1034='סיווג התפקידים והעלויות'!$C$2,'עלויות כח אדם (6)'!H1034='סיווג התפקידים והעלויות'!$D$2),IF('עלויות כח אדם (6)'!J1034&lt;75,"לא תקין","תקין"),"")</f>
        <v/>
      </c>
      <c r="AE1034" s="374" t="str">
        <f t="shared" si="239"/>
        <v/>
      </c>
      <c r="AF1034" s="532" t="str">
        <f t="shared" si="240"/>
        <v/>
      </c>
    </row>
    <row r="1035" spans="2:32" x14ac:dyDescent="0.25">
      <c r="B1035" s="695"/>
      <c r="C1035" s="197" t="str">
        <f>IF(B1035&lt;&gt;"",IFERROR(VLOOKUP(B:B,'מצבת והרשמה (2)'!$C$20:$N$520,2,0)," ")," ")</f>
        <v xml:space="preserve"> </v>
      </c>
      <c r="D1035" s="695"/>
      <c r="E1035" s="696"/>
      <c r="F1035" s="696"/>
      <c r="G1035" s="696"/>
      <c r="H1035" s="696"/>
      <c r="I1035" s="1050" t="str">
        <f t="shared" si="227"/>
        <v/>
      </c>
      <c r="J1035" s="696"/>
      <c r="K1035" s="697"/>
      <c r="L1035" s="696"/>
      <c r="M1035" s="198" t="str">
        <f t="shared" si="228"/>
        <v/>
      </c>
      <c r="N1035" s="369" t="str">
        <f t="shared" si="229"/>
        <v/>
      </c>
      <c r="O1035" s="183" t="str">
        <f t="shared" si="230"/>
        <v/>
      </c>
      <c r="P1035" s="199" t="str">
        <f t="shared" si="231"/>
        <v/>
      </c>
      <c r="Q1035" s="199" t="str">
        <f>IF(B1035="","",IFERROR(IF('עלויות כח אדם (6)'!J1035&gt;=VLOOKUP(I1035,'סיווג התפקידים והעלויות'!$B$23:$C$32,2,0),"תקין","לא תקין"),""))</f>
        <v/>
      </c>
      <c r="R1035" s="199" t="str">
        <f t="shared" si="232"/>
        <v/>
      </c>
      <c r="S1035" s="199" t="str">
        <f t="shared" si="233"/>
        <v/>
      </c>
      <c r="T1035" s="199" t="str">
        <f t="shared" si="241"/>
        <v/>
      </c>
      <c r="U1035" s="199" t="str">
        <f t="shared" si="234"/>
        <v/>
      </c>
      <c r="V1035" s="989"/>
      <c r="X1035" s="374" t="str">
        <f t="shared" si="235"/>
        <v/>
      </c>
      <c r="Y1035" s="375" t="str">
        <f t="shared" si="236"/>
        <v/>
      </c>
      <c r="Z1035" s="374" t="str">
        <f t="shared" si="237"/>
        <v/>
      </c>
      <c r="AA1035" s="374" t="b">
        <f t="shared" si="238"/>
        <v>1</v>
      </c>
      <c r="AB1035" s="374">
        <f>COUNTIFS(B:B,B1035,H:H,'סיווג התפקידים והעלויות'!$C$2)</f>
        <v>0</v>
      </c>
      <c r="AC1035" s="374">
        <f>COUNTIFS(B:B,B1035,H:H,'סיווג התפקידים והעלויות'!$D$2)</f>
        <v>0</v>
      </c>
      <c r="AD1035" s="374" t="str">
        <f>IF(OR(AND(H1035='סיווג התפקידים והעלויות'!$A$2,I1035='סיווג התפקידים והעלויות'!$A$3),'עלויות כח אדם (6)'!H1035='סיווג התפקידים והעלויות'!$C$2,'עלויות כח אדם (6)'!H1035='סיווג התפקידים והעלויות'!$D$2),IF('עלויות כח אדם (6)'!J1035&lt;75,"לא תקין","תקין"),"")</f>
        <v/>
      </c>
      <c r="AE1035" s="374" t="str">
        <f t="shared" si="239"/>
        <v/>
      </c>
      <c r="AF1035" s="532" t="str">
        <f t="shared" si="240"/>
        <v/>
      </c>
    </row>
    <row r="1036" spans="2:32" x14ac:dyDescent="0.25">
      <c r="B1036" s="695"/>
      <c r="C1036" s="197" t="str">
        <f>IF(B1036&lt;&gt;"",IFERROR(VLOOKUP(B:B,'מצבת והרשמה (2)'!$C$20:$N$520,2,0)," ")," ")</f>
        <v xml:space="preserve"> </v>
      </c>
      <c r="D1036" s="695"/>
      <c r="E1036" s="696"/>
      <c r="F1036" s="696"/>
      <c r="G1036" s="696"/>
      <c r="H1036" s="696"/>
      <c r="I1036" s="1050" t="str">
        <f t="shared" si="227"/>
        <v/>
      </c>
      <c r="J1036" s="696"/>
      <c r="K1036" s="697"/>
      <c r="L1036" s="696"/>
      <c r="M1036" s="198" t="str">
        <f t="shared" si="228"/>
        <v/>
      </c>
      <c r="N1036" s="369" t="str">
        <f t="shared" si="229"/>
        <v/>
      </c>
      <c r="O1036" s="183" t="str">
        <f t="shared" si="230"/>
        <v/>
      </c>
      <c r="P1036" s="199" t="str">
        <f t="shared" si="231"/>
        <v/>
      </c>
      <c r="Q1036" s="199" t="str">
        <f>IF(B1036="","",IFERROR(IF('עלויות כח אדם (6)'!J1036&gt;=VLOOKUP(I1036,'סיווג התפקידים והעלויות'!$B$23:$C$32,2,0),"תקין","לא תקין"),""))</f>
        <v/>
      </c>
      <c r="R1036" s="199" t="str">
        <f t="shared" si="232"/>
        <v/>
      </c>
      <c r="S1036" s="199" t="str">
        <f t="shared" si="233"/>
        <v/>
      </c>
      <c r="T1036" s="199" t="str">
        <f t="shared" si="241"/>
        <v/>
      </c>
      <c r="U1036" s="199" t="str">
        <f t="shared" si="234"/>
        <v/>
      </c>
      <c r="V1036" s="989"/>
      <c r="X1036" s="374" t="str">
        <f t="shared" si="235"/>
        <v/>
      </c>
      <c r="Y1036" s="375" t="str">
        <f t="shared" si="236"/>
        <v/>
      </c>
      <c r="Z1036" s="374" t="str">
        <f t="shared" si="237"/>
        <v/>
      </c>
      <c r="AA1036" s="374" t="b">
        <f t="shared" si="238"/>
        <v>1</v>
      </c>
      <c r="AB1036" s="374">
        <f>COUNTIFS(B:B,B1036,H:H,'סיווג התפקידים והעלויות'!$C$2)</f>
        <v>0</v>
      </c>
      <c r="AC1036" s="374">
        <f>COUNTIFS(B:B,B1036,H:H,'סיווג התפקידים והעלויות'!$D$2)</f>
        <v>0</v>
      </c>
      <c r="AD1036" s="374" t="str">
        <f>IF(OR(AND(H1036='סיווג התפקידים והעלויות'!$A$2,I1036='סיווג התפקידים והעלויות'!$A$3),'עלויות כח אדם (6)'!H1036='סיווג התפקידים והעלויות'!$C$2,'עלויות כח אדם (6)'!H1036='סיווג התפקידים והעלויות'!$D$2),IF('עלויות כח אדם (6)'!J1036&lt;75,"לא תקין","תקין"),"")</f>
        <v/>
      </c>
      <c r="AE1036" s="374" t="str">
        <f t="shared" si="239"/>
        <v/>
      </c>
      <c r="AF1036" s="532" t="str">
        <f t="shared" si="240"/>
        <v/>
      </c>
    </row>
    <row r="1037" spans="2:32" x14ac:dyDescent="0.25">
      <c r="B1037" s="695"/>
      <c r="C1037" s="197" t="str">
        <f>IF(B1037&lt;&gt;"",IFERROR(VLOOKUP(B:B,'מצבת והרשמה (2)'!$C$20:$N$520,2,0)," ")," ")</f>
        <v xml:space="preserve"> </v>
      </c>
      <c r="D1037" s="695"/>
      <c r="E1037" s="696"/>
      <c r="F1037" s="696"/>
      <c r="G1037" s="696"/>
      <c r="H1037" s="696"/>
      <c r="I1037" s="1050" t="str">
        <f t="shared" si="227"/>
        <v/>
      </c>
      <c r="J1037" s="696"/>
      <c r="K1037" s="697"/>
      <c r="L1037" s="696"/>
      <c r="M1037" s="198" t="str">
        <f t="shared" si="228"/>
        <v/>
      </c>
      <c r="N1037" s="369" t="str">
        <f t="shared" si="229"/>
        <v/>
      </c>
      <c r="O1037" s="183" t="str">
        <f t="shared" si="230"/>
        <v/>
      </c>
      <c r="P1037" s="199" t="str">
        <f t="shared" si="231"/>
        <v/>
      </c>
      <c r="Q1037" s="199" t="str">
        <f>IF(B1037="","",IFERROR(IF('עלויות כח אדם (6)'!J1037&gt;=VLOOKUP(I1037,'סיווג התפקידים והעלויות'!$B$23:$C$32,2,0),"תקין","לא תקין"),""))</f>
        <v/>
      </c>
      <c r="R1037" s="199" t="str">
        <f t="shared" si="232"/>
        <v/>
      </c>
      <c r="S1037" s="199" t="str">
        <f t="shared" si="233"/>
        <v/>
      </c>
      <c r="T1037" s="199" t="str">
        <f t="shared" si="241"/>
        <v/>
      </c>
      <c r="U1037" s="199" t="str">
        <f t="shared" si="234"/>
        <v/>
      </c>
      <c r="V1037" s="989"/>
      <c r="X1037" s="374" t="str">
        <f t="shared" si="235"/>
        <v/>
      </c>
      <c r="Y1037" s="375" t="str">
        <f t="shared" si="236"/>
        <v/>
      </c>
      <c r="Z1037" s="374" t="str">
        <f t="shared" si="237"/>
        <v/>
      </c>
      <c r="AA1037" s="374" t="b">
        <f t="shared" si="238"/>
        <v>1</v>
      </c>
      <c r="AB1037" s="374">
        <f>COUNTIFS(B:B,B1037,H:H,'סיווג התפקידים והעלויות'!$C$2)</f>
        <v>0</v>
      </c>
      <c r="AC1037" s="374">
        <f>COUNTIFS(B:B,B1037,H:H,'סיווג התפקידים והעלויות'!$D$2)</f>
        <v>0</v>
      </c>
      <c r="AD1037" s="374" t="str">
        <f>IF(OR(AND(H1037='סיווג התפקידים והעלויות'!$A$2,I1037='סיווג התפקידים והעלויות'!$A$3),'עלויות כח אדם (6)'!H1037='סיווג התפקידים והעלויות'!$C$2,'עלויות כח אדם (6)'!H1037='סיווג התפקידים והעלויות'!$D$2),IF('עלויות כח אדם (6)'!J1037&lt;75,"לא תקין","תקין"),"")</f>
        <v/>
      </c>
      <c r="AE1037" s="374" t="str">
        <f t="shared" si="239"/>
        <v/>
      </c>
      <c r="AF1037" s="532" t="str">
        <f t="shared" si="240"/>
        <v/>
      </c>
    </row>
    <row r="1038" spans="2:32" x14ac:dyDescent="0.25">
      <c r="B1038" s="695"/>
      <c r="C1038" s="197" t="str">
        <f>IF(B1038&lt;&gt;"",IFERROR(VLOOKUP(B:B,'מצבת והרשמה (2)'!$C$20:$N$520,2,0)," ")," ")</f>
        <v xml:space="preserve"> </v>
      </c>
      <c r="D1038" s="695"/>
      <c r="E1038" s="696"/>
      <c r="F1038" s="696"/>
      <c r="G1038" s="696"/>
      <c r="H1038" s="696"/>
      <c r="I1038" s="1050" t="str">
        <f t="shared" si="227"/>
        <v/>
      </c>
      <c r="J1038" s="696"/>
      <c r="K1038" s="697"/>
      <c r="L1038" s="696"/>
      <c r="M1038" s="198" t="str">
        <f t="shared" si="228"/>
        <v/>
      </c>
      <c r="N1038" s="369" t="str">
        <f t="shared" si="229"/>
        <v/>
      </c>
      <c r="O1038" s="183" t="str">
        <f t="shared" si="230"/>
        <v/>
      </c>
      <c r="P1038" s="199" t="str">
        <f t="shared" si="231"/>
        <v/>
      </c>
      <c r="Q1038" s="199" t="str">
        <f>IF(B1038="","",IFERROR(IF('עלויות כח אדם (6)'!J1038&gt;=VLOOKUP(I1038,'סיווג התפקידים והעלויות'!$B$23:$C$32,2,0),"תקין","לא תקין"),""))</f>
        <v/>
      </c>
      <c r="R1038" s="199" t="str">
        <f t="shared" si="232"/>
        <v/>
      </c>
      <c r="S1038" s="199" t="str">
        <f t="shared" si="233"/>
        <v/>
      </c>
      <c r="T1038" s="199" t="str">
        <f t="shared" si="241"/>
        <v/>
      </c>
      <c r="U1038" s="199" t="str">
        <f t="shared" si="234"/>
        <v/>
      </c>
      <c r="V1038" s="989"/>
      <c r="X1038" s="374" t="str">
        <f t="shared" si="235"/>
        <v/>
      </c>
      <c r="Y1038" s="375" t="str">
        <f t="shared" si="236"/>
        <v/>
      </c>
      <c r="Z1038" s="374" t="str">
        <f t="shared" si="237"/>
        <v/>
      </c>
      <c r="AA1038" s="374" t="b">
        <f t="shared" si="238"/>
        <v>1</v>
      </c>
      <c r="AB1038" s="374">
        <f>COUNTIFS(B:B,B1038,H:H,'סיווג התפקידים והעלויות'!$C$2)</f>
        <v>0</v>
      </c>
      <c r="AC1038" s="374">
        <f>COUNTIFS(B:B,B1038,H:H,'סיווג התפקידים והעלויות'!$D$2)</f>
        <v>0</v>
      </c>
      <c r="AD1038" s="374" t="str">
        <f>IF(OR(AND(H1038='סיווג התפקידים והעלויות'!$A$2,I1038='סיווג התפקידים והעלויות'!$A$3),'עלויות כח אדם (6)'!H1038='סיווג התפקידים והעלויות'!$C$2,'עלויות כח אדם (6)'!H1038='סיווג התפקידים והעלויות'!$D$2),IF('עלויות כח אדם (6)'!J1038&lt;75,"לא תקין","תקין"),"")</f>
        <v/>
      </c>
      <c r="AE1038" s="374" t="str">
        <f t="shared" si="239"/>
        <v/>
      </c>
      <c r="AF1038" s="532" t="str">
        <f t="shared" si="240"/>
        <v/>
      </c>
    </row>
    <row r="1039" spans="2:32" x14ac:dyDescent="0.25">
      <c r="B1039" s="695"/>
      <c r="C1039" s="197" t="str">
        <f>IF(B1039&lt;&gt;"",IFERROR(VLOOKUP(B:B,'מצבת והרשמה (2)'!$C$20:$N$520,2,0)," ")," ")</f>
        <v xml:space="preserve"> </v>
      </c>
      <c r="D1039" s="695"/>
      <c r="E1039" s="696"/>
      <c r="F1039" s="696"/>
      <c r="G1039" s="696"/>
      <c r="H1039" s="696"/>
      <c r="I1039" s="1050" t="str">
        <f t="shared" ref="I1039:I1102" si="242">SUBSTITUTE(IFERROR(IF(H1039="מדצ","מדצ/ית",IF(H1039="סגנית רכזת מעל 150","סגנ/ית רכז/ת&gt;150",IF(H1039="רכזת תכנית בבית הספר","רכז/ת תכנית בבית הספר"))),""),"FALSE","")</f>
        <v/>
      </c>
      <c r="J1039" s="696"/>
      <c r="K1039" s="697"/>
      <c r="L1039" s="696"/>
      <c r="M1039" s="198" t="str">
        <f t="shared" ref="M1039:M1102" si="243">IF(AND(L1039&gt;0,K1039&gt;0),K1039*L1039,"")</f>
        <v/>
      </c>
      <c r="N1039" s="369" t="str">
        <f t="shared" ref="N1039:N1102" si="244">TEXT(LEFT(H1039,2),0)</f>
        <v/>
      </c>
      <c r="O1039" s="183" t="str">
        <f t="shared" ref="O1039:O1102" si="245">IF(ISNUMBER(M1039&gt;0),IF(ISBLANK(B1039),"יש להזין סמל מוסד בעמודה B",""),"")</f>
        <v/>
      </c>
      <c r="P1039" s="199" t="str">
        <f t="shared" ref="P1039:P1102" si="246">IF(B1039="","",IF(AA1039=FALSE,"לא תקין","תקין"))</f>
        <v/>
      </c>
      <c r="Q1039" s="199" t="str">
        <f>IF(B1039="","",IFERROR(IF('עלויות כח אדם (6)'!J1039&gt;=VLOOKUP(I1039,'סיווג התפקידים והעלויות'!$B$23:$C$32,2,0),"תקין","לא תקין"),""))</f>
        <v/>
      </c>
      <c r="R1039" s="199" t="str">
        <f t="shared" ref="R1039:R1102" si="247">IF(B1039="","",IF(OR(Y1039&lt;100%,Y1039&gt;140%),"לא תקין","תקין"))</f>
        <v/>
      </c>
      <c r="S1039" s="199" t="str">
        <f t="shared" ref="S1039:S1102" si="248">IF(B1039="","",IFERROR(IF(J1039&gt;120,"לא תקין","תקין"),""))</f>
        <v/>
      </c>
      <c r="T1039" s="199" t="str">
        <f t="shared" si="241"/>
        <v/>
      </c>
      <c r="U1039" s="199" t="str">
        <f t="shared" ref="U1039:U1102" si="249">IF(B1039="","",IF(Z1039&gt;1,IF(SUMIF(D:D,D1039,L:L)&gt;90,"לא תקין","תקין"),"תקין"))</f>
        <v/>
      </c>
      <c r="V1039" s="989"/>
      <c r="X1039" s="374" t="str">
        <f t="shared" ref="X1039:X1102" si="250">IF(B1039="","",IF(OR(R1039="לא תקין",S1039="לא תקין",T1039="לא תקין",,U1039="לא תקין"),"לא תקין","תקין"))</f>
        <v/>
      </c>
      <c r="Y1039" s="375" t="str">
        <f t="shared" ref="Y1039:Y1102" si="251">IFERROR(IF(B1039="","",K1039/J1039),"")</f>
        <v/>
      </c>
      <c r="Z1039" s="374" t="str">
        <f t="shared" ref="Z1039:Z1102" si="252">IF(B1039="","",COUNTIF(D:D,D1039))</f>
        <v/>
      </c>
      <c r="AA1039" s="374" t="b">
        <f t="shared" ref="AA1039:AA1102" si="253">MOD(MID(REPT(0,9-LEN(D1039))&amp;D1039,1,1)+MID("0246813579",MID(REPT(0,9-LEN(D1039))&amp;D1039,2,1)+1,1)+MID(REPT(0,9-LEN(D1039))&amp;D1039,3,1)+MID("0246813579",MID(REPT(0,9-LEN(D1039))&amp;D1039,4,1)+1,1)+MID(REPT(0,9-LEN(D1039))&amp;D1039,5,1)+MID("0246813579",MID(REPT(0,9-LEN(D1039))&amp;D1039,6,1)+1,1)+MID(REPT(0,9-LEN(D1039))&amp;D1039,7,1)+MID("0246813579",MID(REPT(0,9-LEN(D1039))&amp;D1039,8,1)+1,1)+MID(REPT(0,9-LEN(D1039))&amp;D1039,9,1),10)=0</f>
        <v>1</v>
      </c>
      <c r="AB1039" s="374">
        <f>COUNTIFS(B:B,B1039,H:H,'סיווג התפקידים והעלויות'!$C$2)</f>
        <v>0</v>
      </c>
      <c r="AC1039" s="374">
        <f>COUNTIFS(B:B,B1039,H:H,'סיווג התפקידים והעלויות'!$D$2)</f>
        <v>0</v>
      </c>
      <c r="AD1039" s="374" t="str">
        <f>IF(OR(AND(H1039='סיווג התפקידים והעלויות'!$A$2,I1039='סיווג התפקידים והעלויות'!$A$3),'עלויות כח אדם (6)'!H1039='סיווג התפקידים והעלויות'!$C$2,'עלויות כח אדם (6)'!H1039='סיווג התפקידים והעלויות'!$D$2),IF('עלויות כח אדם (6)'!J1039&lt;75,"לא תקין","תקין"),"")</f>
        <v/>
      </c>
      <c r="AE1039" s="374" t="str">
        <f t="shared" ref="AE1039:AE1102" si="254">IF(B1039&lt;&gt;"",B1039&amp;H1039,"")</f>
        <v/>
      </c>
      <c r="AF1039" s="532" t="str">
        <f t="shared" ref="AF1039:AF1102" si="255">M1039</f>
        <v/>
      </c>
    </row>
    <row r="1040" spans="2:32" x14ac:dyDescent="0.25">
      <c r="B1040" s="695"/>
      <c r="C1040" s="197" t="str">
        <f>IF(B1040&lt;&gt;"",IFERROR(VLOOKUP(B:B,'מצבת והרשמה (2)'!$C$20:$N$520,2,0)," ")," ")</f>
        <v xml:space="preserve"> </v>
      </c>
      <c r="D1040" s="695"/>
      <c r="E1040" s="696"/>
      <c r="F1040" s="696"/>
      <c r="G1040" s="696"/>
      <c r="H1040" s="696"/>
      <c r="I1040" s="1050" t="str">
        <f t="shared" si="242"/>
        <v/>
      </c>
      <c r="J1040" s="696"/>
      <c r="K1040" s="697"/>
      <c r="L1040" s="696"/>
      <c r="M1040" s="198" t="str">
        <f t="shared" si="243"/>
        <v/>
      </c>
      <c r="N1040" s="369" t="str">
        <f t="shared" si="244"/>
        <v/>
      </c>
      <c r="O1040" s="183" t="str">
        <f t="shared" si="245"/>
        <v/>
      </c>
      <c r="P1040" s="199" t="str">
        <f t="shared" si="246"/>
        <v/>
      </c>
      <c r="Q1040" s="199" t="str">
        <f>IF(B1040="","",IFERROR(IF('עלויות כח אדם (6)'!J1040&gt;=VLOOKUP(I1040,'סיווג התפקידים והעלויות'!$B$23:$C$32,2,0),"תקין","לא תקין"),""))</f>
        <v/>
      </c>
      <c r="R1040" s="199" t="str">
        <f t="shared" si="247"/>
        <v/>
      </c>
      <c r="S1040" s="199" t="str">
        <f t="shared" si="248"/>
        <v/>
      </c>
      <c r="T1040" s="199" t="str">
        <f t="shared" ref="T1040:T1103" si="256">IF(B1040="","",IF(H1040="","יש להזין איש צוות",IF(OR(H1040="מורה",H1040="גננת",H1040="רכז גן",H1040="רכזת גן",H1040="סייעת",H1040="מדצית",H1040="מדצ",H1040="מדריך",H1040="מדריכה",H1040="תוספת כח אדם"),IF(L1040&lt;=90,"תקין","לא תקין"),IF(OR(H1040="רכז בית ספר",H1040="רכזת תכנית בבית הספר",H1040="רכזת בית ספר"),IF(L1040&lt;=137,"תקין","לא תקין"),IF(OR(H1040="סגנית רכזת מעל 150",H1040="סגן רכז"),IF(L1040&lt;=93,"תקין","לא תקין"),"לא תקין")))))</f>
        <v/>
      </c>
      <c r="U1040" s="199" t="str">
        <f t="shared" si="249"/>
        <v/>
      </c>
      <c r="V1040" s="989"/>
      <c r="X1040" s="374" t="str">
        <f t="shared" si="250"/>
        <v/>
      </c>
      <c r="Y1040" s="375" t="str">
        <f t="shared" si="251"/>
        <v/>
      </c>
      <c r="Z1040" s="374" t="str">
        <f t="shared" si="252"/>
        <v/>
      </c>
      <c r="AA1040" s="374" t="b">
        <f t="shared" si="253"/>
        <v>1</v>
      </c>
      <c r="AB1040" s="374">
        <f>COUNTIFS(B:B,B1040,H:H,'סיווג התפקידים והעלויות'!$C$2)</f>
        <v>0</v>
      </c>
      <c r="AC1040" s="374">
        <f>COUNTIFS(B:B,B1040,H:H,'סיווג התפקידים והעלויות'!$D$2)</f>
        <v>0</v>
      </c>
      <c r="AD1040" s="374" t="str">
        <f>IF(OR(AND(H1040='סיווג התפקידים והעלויות'!$A$2,I1040='סיווג התפקידים והעלויות'!$A$3),'עלויות כח אדם (6)'!H1040='סיווג התפקידים והעלויות'!$C$2,'עלויות כח אדם (6)'!H1040='סיווג התפקידים והעלויות'!$D$2),IF('עלויות כח אדם (6)'!J1040&lt;75,"לא תקין","תקין"),"")</f>
        <v/>
      </c>
      <c r="AE1040" s="374" t="str">
        <f t="shared" si="254"/>
        <v/>
      </c>
      <c r="AF1040" s="532" t="str">
        <f t="shared" si="255"/>
        <v/>
      </c>
    </row>
    <row r="1041" spans="2:32" x14ac:dyDescent="0.25">
      <c r="B1041" s="695"/>
      <c r="C1041" s="197" t="str">
        <f>IF(B1041&lt;&gt;"",IFERROR(VLOOKUP(B:B,'מצבת והרשמה (2)'!$C$20:$N$520,2,0)," ")," ")</f>
        <v xml:space="preserve"> </v>
      </c>
      <c r="D1041" s="695"/>
      <c r="E1041" s="696"/>
      <c r="F1041" s="696"/>
      <c r="G1041" s="696"/>
      <c r="H1041" s="696"/>
      <c r="I1041" s="1050" t="str">
        <f t="shared" si="242"/>
        <v/>
      </c>
      <c r="J1041" s="696"/>
      <c r="K1041" s="697"/>
      <c r="L1041" s="696"/>
      <c r="M1041" s="198" t="str">
        <f t="shared" si="243"/>
        <v/>
      </c>
      <c r="N1041" s="369" t="str">
        <f t="shared" si="244"/>
        <v/>
      </c>
      <c r="O1041" s="183" t="str">
        <f t="shared" si="245"/>
        <v/>
      </c>
      <c r="P1041" s="199" t="str">
        <f t="shared" si="246"/>
        <v/>
      </c>
      <c r="Q1041" s="199" t="str">
        <f>IF(B1041="","",IFERROR(IF('עלויות כח אדם (6)'!J1041&gt;=VLOOKUP(I1041,'סיווג התפקידים והעלויות'!$B$23:$C$32,2,0),"תקין","לא תקין"),""))</f>
        <v/>
      </c>
      <c r="R1041" s="199" t="str">
        <f t="shared" si="247"/>
        <v/>
      </c>
      <c r="S1041" s="199" t="str">
        <f t="shared" si="248"/>
        <v/>
      </c>
      <c r="T1041" s="199" t="str">
        <f t="shared" si="256"/>
        <v/>
      </c>
      <c r="U1041" s="199" t="str">
        <f t="shared" si="249"/>
        <v/>
      </c>
      <c r="V1041" s="989"/>
      <c r="X1041" s="374" t="str">
        <f t="shared" si="250"/>
        <v/>
      </c>
      <c r="Y1041" s="375" t="str">
        <f t="shared" si="251"/>
        <v/>
      </c>
      <c r="Z1041" s="374" t="str">
        <f t="shared" si="252"/>
        <v/>
      </c>
      <c r="AA1041" s="374" t="b">
        <f t="shared" si="253"/>
        <v>1</v>
      </c>
      <c r="AB1041" s="374">
        <f>COUNTIFS(B:B,B1041,H:H,'סיווג התפקידים והעלויות'!$C$2)</f>
        <v>0</v>
      </c>
      <c r="AC1041" s="374">
        <f>COUNTIFS(B:B,B1041,H:H,'סיווג התפקידים והעלויות'!$D$2)</f>
        <v>0</v>
      </c>
      <c r="AD1041" s="374" t="str">
        <f>IF(OR(AND(H1041='סיווג התפקידים והעלויות'!$A$2,I1041='סיווג התפקידים והעלויות'!$A$3),'עלויות כח אדם (6)'!H1041='סיווג התפקידים והעלויות'!$C$2,'עלויות כח אדם (6)'!H1041='סיווג התפקידים והעלויות'!$D$2),IF('עלויות כח אדם (6)'!J1041&lt;75,"לא תקין","תקין"),"")</f>
        <v/>
      </c>
      <c r="AE1041" s="374" t="str">
        <f t="shared" si="254"/>
        <v/>
      </c>
      <c r="AF1041" s="532" t="str">
        <f t="shared" si="255"/>
        <v/>
      </c>
    </row>
    <row r="1042" spans="2:32" x14ac:dyDescent="0.25">
      <c r="B1042" s="695"/>
      <c r="C1042" s="197" t="str">
        <f>IF(B1042&lt;&gt;"",IFERROR(VLOOKUP(B:B,'מצבת והרשמה (2)'!$C$20:$N$520,2,0)," ")," ")</f>
        <v xml:space="preserve"> </v>
      </c>
      <c r="D1042" s="695"/>
      <c r="E1042" s="696"/>
      <c r="F1042" s="696"/>
      <c r="G1042" s="696"/>
      <c r="H1042" s="696"/>
      <c r="I1042" s="1050" t="str">
        <f t="shared" si="242"/>
        <v/>
      </c>
      <c r="J1042" s="696"/>
      <c r="K1042" s="697"/>
      <c r="L1042" s="696"/>
      <c r="M1042" s="198" t="str">
        <f t="shared" si="243"/>
        <v/>
      </c>
      <c r="N1042" s="369" t="str">
        <f t="shared" si="244"/>
        <v/>
      </c>
      <c r="O1042" s="183" t="str">
        <f t="shared" si="245"/>
        <v/>
      </c>
      <c r="P1042" s="199" t="str">
        <f t="shared" si="246"/>
        <v/>
      </c>
      <c r="Q1042" s="199" t="str">
        <f>IF(B1042="","",IFERROR(IF('עלויות כח אדם (6)'!J1042&gt;=VLOOKUP(I1042,'סיווג התפקידים והעלויות'!$B$23:$C$32,2,0),"תקין","לא תקין"),""))</f>
        <v/>
      </c>
      <c r="R1042" s="199" t="str">
        <f t="shared" si="247"/>
        <v/>
      </c>
      <c r="S1042" s="199" t="str">
        <f t="shared" si="248"/>
        <v/>
      </c>
      <c r="T1042" s="199" t="str">
        <f t="shared" si="256"/>
        <v/>
      </c>
      <c r="U1042" s="199" t="str">
        <f t="shared" si="249"/>
        <v/>
      </c>
      <c r="V1042" s="989"/>
      <c r="X1042" s="374" t="str">
        <f t="shared" si="250"/>
        <v/>
      </c>
      <c r="Y1042" s="375" t="str">
        <f t="shared" si="251"/>
        <v/>
      </c>
      <c r="Z1042" s="374" t="str">
        <f t="shared" si="252"/>
        <v/>
      </c>
      <c r="AA1042" s="374" t="b">
        <f t="shared" si="253"/>
        <v>1</v>
      </c>
      <c r="AB1042" s="374">
        <f>COUNTIFS(B:B,B1042,H:H,'סיווג התפקידים והעלויות'!$C$2)</f>
        <v>0</v>
      </c>
      <c r="AC1042" s="374">
        <f>COUNTIFS(B:B,B1042,H:H,'סיווג התפקידים והעלויות'!$D$2)</f>
        <v>0</v>
      </c>
      <c r="AD1042" s="374" t="str">
        <f>IF(OR(AND(H1042='סיווג התפקידים והעלויות'!$A$2,I1042='סיווג התפקידים והעלויות'!$A$3),'עלויות כח אדם (6)'!H1042='סיווג התפקידים והעלויות'!$C$2,'עלויות כח אדם (6)'!H1042='סיווג התפקידים והעלויות'!$D$2),IF('עלויות כח אדם (6)'!J1042&lt;75,"לא תקין","תקין"),"")</f>
        <v/>
      </c>
      <c r="AE1042" s="374" t="str">
        <f t="shared" si="254"/>
        <v/>
      </c>
      <c r="AF1042" s="532" t="str">
        <f t="shared" si="255"/>
        <v/>
      </c>
    </row>
    <row r="1043" spans="2:32" x14ac:dyDescent="0.25">
      <c r="B1043" s="695"/>
      <c r="C1043" s="197" t="str">
        <f>IF(B1043&lt;&gt;"",IFERROR(VLOOKUP(B:B,'מצבת והרשמה (2)'!$C$20:$N$520,2,0)," ")," ")</f>
        <v xml:space="preserve"> </v>
      </c>
      <c r="D1043" s="695"/>
      <c r="E1043" s="696"/>
      <c r="F1043" s="696"/>
      <c r="G1043" s="696"/>
      <c r="H1043" s="696"/>
      <c r="I1043" s="1050" t="str">
        <f t="shared" si="242"/>
        <v/>
      </c>
      <c r="J1043" s="696"/>
      <c r="K1043" s="697"/>
      <c r="L1043" s="696"/>
      <c r="M1043" s="198" t="str">
        <f t="shared" si="243"/>
        <v/>
      </c>
      <c r="N1043" s="369" t="str">
        <f t="shared" si="244"/>
        <v/>
      </c>
      <c r="O1043" s="183" t="str">
        <f t="shared" si="245"/>
        <v/>
      </c>
      <c r="P1043" s="199" t="str">
        <f t="shared" si="246"/>
        <v/>
      </c>
      <c r="Q1043" s="199" t="str">
        <f>IF(B1043="","",IFERROR(IF('עלויות כח אדם (6)'!J1043&gt;=VLOOKUP(I1043,'סיווג התפקידים והעלויות'!$B$23:$C$32,2,0),"תקין","לא תקין"),""))</f>
        <v/>
      </c>
      <c r="R1043" s="199" t="str">
        <f t="shared" si="247"/>
        <v/>
      </c>
      <c r="S1043" s="199" t="str">
        <f t="shared" si="248"/>
        <v/>
      </c>
      <c r="T1043" s="199" t="str">
        <f t="shared" si="256"/>
        <v/>
      </c>
      <c r="U1043" s="199" t="str">
        <f t="shared" si="249"/>
        <v/>
      </c>
      <c r="V1043" s="989"/>
      <c r="X1043" s="374" t="str">
        <f t="shared" si="250"/>
        <v/>
      </c>
      <c r="Y1043" s="375" t="str">
        <f t="shared" si="251"/>
        <v/>
      </c>
      <c r="Z1043" s="374" t="str">
        <f t="shared" si="252"/>
        <v/>
      </c>
      <c r="AA1043" s="374" t="b">
        <f t="shared" si="253"/>
        <v>1</v>
      </c>
      <c r="AB1043" s="374">
        <f>COUNTIFS(B:B,B1043,H:H,'סיווג התפקידים והעלויות'!$C$2)</f>
        <v>0</v>
      </c>
      <c r="AC1043" s="374">
        <f>COUNTIFS(B:B,B1043,H:H,'סיווג התפקידים והעלויות'!$D$2)</f>
        <v>0</v>
      </c>
      <c r="AD1043" s="374" t="str">
        <f>IF(OR(AND(H1043='סיווג התפקידים והעלויות'!$A$2,I1043='סיווג התפקידים והעלויות'!$A$3),'עלויות כח אדם (6)'!H1043='סיווג התפקידים והעלויות'!$C$2,'עלויות כח אדם (6)'!H1043='סיווג התפקידים והעלויות'!$D$2),IF('עלויות כח אדם (6)'!J1043&lt;75,"לא תקין","תקין"),"")</f>
        <v/>
      </c>
      <c r="AE1043" s="374" t="str">
        <f t="shared" si="254"/>
        <v/>
      </c>
      <c r="AF1043" s="532" t="str">
        <f t="shared" si="255"/>
        <v/>
      </c>
    </row>
    <row r="1044" spans="2:32" x14ac:dyDescent="0.25">
      <c r="B1044" s="695"/>
      <c r="C1044" s="197" t="str">
        <f>IF(B1044&lt;&gt;"",IFERROR(VLOOKUP(B:B,'מצבת והרשמה (2)'!$C$20:$N$520,2,0)," ")," ")</f>
        <v xml:space="preserve"> </v>
      </c>
      <c r="D1044" s="695"/>
      <c r="E1044" s="696"/>
      <c r="F1044" s="696"/>
      <c r="G1044" s="696"/>
      <c r="H1044" s="696"/>
      <c r="I1044" s="1050" t="str">
        <f t="shared" si="242"/>
        <v/>
      </c>
      <c r="J1044" s="696"/>
      <c r="K1044" s="697"/>
      <c r="L1044" s="696"/>
      <c r="M1044" s="198" t="str">
        <f t="shared" si="243"/>
        <v/>
      </c>
      <c r="N1044" s="369" t="str">
        <f t="shared" si="244"/>
        <v/>
      </c>
      <c r="O1044" s="183" t="str">
        <f t="shared" si="245"/>
        <v/>
      </c>
      <c r="P1044" s="199" t="str">
        <f t="shared" si="246"/>
        <v/>
      </c>
      <c r="Q1044" s="199" t="str">
        <f>IF(B1044="","",IFERROR(IF('עלויות כח אדם (6)'!J1044&gt;=VLOOKUP(I1044,'סיווג התפקידים והעלויות'!$B$23:$C$32,2,0),"תקין","לא תקין"),""))</f>
        <v/>
      </c>
      <c r="R1044" s="199" t="str">
        <f t="shared" si="247"/>
        <v/>
      </c>
      <c r="S1044" s="199" t="str">
        <f t="shared" si="248"/>
        <v/>
      </c>
      <c r="T1044" s="199" t="str">
        <f t="shared" si="256"/>
        <v/>
      </c>
      <c r="U1044" s="199" t="str">
        <f t="shared" si="249"/>
        <v/>
      </c>
      <c r="V1044" s="989"/>
      <c r="X1044" s="374" t="str">
        <f t="shared" si="250"/>
        <v/>
      </c>
      <c r="Y1044" s="375" t="str">
        <f t="shared" si="251"/>
        <v/>
      </c>
      <c r="Z1044" s="374" t="str">
        <f t="shared" si="252"/>
        <v/>
      </c>
      <c r="AA1044" s="374" t="b">
        <f t="shared" si="253"/>
        <v>1</v>
      </c>
      <c r="AB1044" s="374">
        <f>COUNTIFS(B:B,B1044,H:H,'סיווג התפקידים והעלויות'!$C$2)</f>
        <v>0</v>
      </c>
      <c r="AC1044" s="374">
        <f>COUNTIFS(B:B,B1044,H:H,'סיווג התפקידים והעלויות'!$D$2)</f>
        <v>0</v>
      </c>
      <c r="AD1044" s="374" t="str">
        <f>IF(OR(AND(H1044='סיווג התפקידים והעלויות'!$A$2,I1044='סיווג התפקידים והעלויות'!$A$3),'עלויות כח אדם (6)'!H1044='סיווג התפקידים והעלויות'!$C$2,'עלויות כח אדם (6)'!H1044='סיווג התפקידים והעלויות'!$D$2),IF('עלויות כח אדם (6)'!J1044&lt;75,"לא תקין","תקין"),"")</f>
        <v/>
      </c>
      <c r="AE1044" s="374" t="str">
        <f t="shared" si="254"/>
        <v/>
      </c>
      <c r="AF1044" s="532" t="str">
        <f t="shared" si="255"/>
        <v/>
      </c>
    </row>
    <row r="1045" spans="2:32" x14ac:dyDescent="0.25">
      <c r="B1045" s="695"/>
      <c r="C1045" s="197" t="str">
        <f>IF(B1045&lt;&gt;"",IFERROR(VLOOKUP(B:B,'מצבת והרשמה (2)'!$C$20:$N$520,2,0)," ")," ")</f>
        <v xml:space="preserve"> </v>
      </c>
      <c r="D1045" s="695"/>
      <c r="E1045" s="696"/>
      <c r="F1045" s="696"/>
      <c r="G1045" s="696"/>
      <c r="H1045" s="696"/>
      <c r="I1045" s="1050" t="str">
        <f t="shared" si="242"/>
        <v/>
      </c>
      <c r="J1045" s="696"/>
      <c r="K1045" s="697"/>
      <c r="L1045" s="696"/>
      <c r="M1045" s="198" t="str">
        <f t="shared" si="243"/>
        <v/>
      </c>
      <c r="N1045" s="369" t="str">
        <f t="shared" si="244"/>
        <v/>
      </c>
      <c r="O1045" s="183" t="str">
        <f t="shared" si="245"/>
        <v/>
      </c>
      <c r="P1045" s="199" t="str">
        <f t="shared" si="246"/>
        <v/>
      </c>
      <c r="Q1045" s="199" t="str">
        <f>IF(B1045="","",IFERROR(IF('עלויות כח אדם (6)'!J1045&gt;=VLOOKUP(I1045,'סיווג התפקידים והעלויות'!$B$23:$C$32,2,0),"תקין","לא תקין"),""))</f>
        <v/>
      </c>
      <c r="R1045" s="199" t="str">
        <f t="shared" si="247"/>
        <v/>
      </c>
      <c r="S1045" s="199" t="str">
        <f t="shared" si="248"/>
        <v/>
      </c>
      <c r="T1045" s="199" t="str">
        <f t="shared" si="256"/>
        <v/>
      </c>
      <c r="U1045" s="199" t="str">
        <f t="shared" si="249"/>
        <v/>
      </c>
      <c r="V1045" s="989"/>
      <c r="X1045" s="374" t="str">
        <f t="shared" si="250"/>
        <v/>
      </c>
      <c r="Y1045" s="375" t="str">
        <f t="shared" si="251"/>
        <v/>
      </c>
      <c r="Z1045" s="374" t="str">
        <f t="shared" si="252"/>
        <v/>
      </c>
      <c r="AA1045" s="374" t="b">
        <f t="shared" si="253"/>
        <v>1</v>
      </c>
      <c r="AB1045" s="374">
        <f>COUNTIFS(B:B,B1045,H:H,'סיווג התפקידים והעלויות'!$C$2)</f>
        <v>0</v>
      </c>
      <c r="AC1045" s="374">
        <f>COUNTIFS(B:B,B1045,H:H,'סיווג התפקידים והעלויות'!$D$2)</f>
        <v>0</v>
      </c>
      <c r="AD1045" s="374" t="str">
        <f>IF(OR(AND(H1045='סיווג התפקידים והעלויות'!$A$2,I1045='סיווג התפקידים והעלויות'!$A$3),'עלויות כח אדם (6)'!H1045='סיווג התפקידים והעלויות'!$C$2,'עלויות כח אדם (6)'!H1045='סיווג התפקידים והעלויות'!$D$2),IF('עלויות כח אדם (6)'!J1045&lt;75,"לא תקין","תקין"),"")</f>
        <v/>
      </c>
      <c r="AE1045" s="374" t="str">
        <f t="shared" si="254"/>
        <v/>
      </c>
      <c r="AF1045" s="532" t="str">
        <f t="shared" si="255"/>
        <v/>
      </c>
    </row>
    <row r="1046" spans="2:32" x14ac:dyDescent="0.25">
      <c r="B1046" s="695"/>
      <c r="C1046" s="197" t="str">
        <f>IF(B1046&lt;&gt;"",IFERROR(VLOOKUP(B:B,'מצבת והרשמה (2)'!$C$20:$N$520,2,0)," ")," ")</f>
        <v xml:space="preserve"> </v>
      </c>
      <c r="D1046" s="695"/>
      <c r="E1046" s="696"/>
      <c r="F1046" s="696"/>
      <c r="G1046" s="696"/>
      <c r="H1046" s="696"/>
      <c r="I1046" s="1050" t="str">
        <f t="shared" si="242"/>
        <v/>
      </c>
      <c r="J1046" s="696"/>
      <c r="K1046" s="697"/>
      <c r="L1046" s="696"/>
      <c r="M1046" s="198" t="str">
        <f t="shared" si="243"/>
        <v/>
      </c>
      <c r="N1046" s="369" t="str">
        <f t="shared" si="244"/>
        <v/>
      </c>
      <c r="O1046" s="183" t="str">
        <f t="shared" si="245"/>
        <v/>
      </c>
      <c r="P1046" s="199" t="str">
        <f t="shared" si="246"/>
        <v/>
      </c>
      <c r="Q1046" s="199" t="str">
        <f>IF(B1046="","",IFERROR(IF('עלויות כח אדם (6)'!J1046&gt;=VLOOKUP(I1046,'סיווג התפקידים והעלויות'!$B$23:$C$32,2,0),"תקין","לא תקין"),""))</f>
        <v/>
      </c>
      <c r="R1046" s="199" t="str">
        <f t="shared" si="247"/>
        <v/>
      </c>
      <c r="S1046" s="199" t="str">
        <f t="shared" si="248"/>
        <v/>
      </c>
      <c r="T1046" s="199" t="str">
        <f t="shared" si="256"/>
        <v/>
      </c>
      <c r="U1046" s="199" t="str">
        <f t="shared" si="249"/>
        <v/>
      </c>
      <c r="V1046" s="989"/>
      <c r="X1046" s="374" t="str">
        <f t="shared" si="250"/>
        <v/>
      </c>
      <c r="Y1046" s="375" t="str">
        <f t="shared" si="251"/>
        <v/>
      </c>
      <c r="Z1046" s="374" t="str">
        <f t="shared" si="252"/>
        <v/>
      </c>
      <c r="AA1046" s="374" t="b">
        <f t="shared" si="253"/>
        <v>1</v>
      </c>
      <c r="AB1046" s="374">
        <f>COUNTIFS(B:B,B1046,H:H,'סיווג התפקידים והעלויות'!$C$2)</f>
        <v>0</v>
      </c>
      <c r="AC1046" s="374">
        <f>COUNTIFS(B:B,B1046,H:H,'סיווג התפקידים והעלויות'!$D$2)</f>
        <v>0</v>
      </c>
      <c r="AD1046" s="374" t="str">
        <f>IF(OR(AND(H1046='סיווג התפקידים והעלויות'!$A$2,I1046='סיווג התפקידים והעלויות'!$A$3),'עלויות כח אדם (6)'!H1046='סיווג התפקידים והעלויות'!$C$2,'עלויות כח אדם (6)'!H1046='סיווג התפקידים והעלויות'!$D$2),IF('עלויות כח אדם (6)'!J1046&lt;75,"לא תקין","תקין"),"")</f>
        <v/>
      </c>
      <c r="AE1046" s="374" t="str">
        <f t="shared" si="254"/>
        <v/>
      </c>
      <c r="AF1046" s="532" t="str">
        <f t="shared" si="255"/>
        <v/>
      </c>
    </row>
    <row r="1047" spans="2:32" x14ac:dyDescent="0.25">
      <c r="B1047" s="695"/>
      <c r="C1047" s="197" t="str">
        <f>IF(B1047&lt;&gt;"",IFERROR(VLOOKUP(B:B,'מצבת והרשמה (2)'!$C$20:$N$520,2,0)," ")," ")</f>
        <v xml:space="preserve"> </v>
      </c>
      <c r="D1047" s="695"/>
      <c r="E1047" s="696"/>
      <c r="F1047" s="696"/>
      <c r="G1047" s="696"/>
      <c r="H1047" s="696"/>
      <c r="I1047" s="1050" t="str">
        <f t="shared" si="242"/>
        <v/>
      </c>
      <c r="J1047" s="696"/>
      <c r="K1047" s="697"/>
      <c r="L1047" s="696"/>
      <c r="M1047" s="198" t="str">
        <f t="shared" si="243"/>
        <v/>
      </c>
      <c r="N1047" s="369" t="str">
        <f t="shared" si="244"/>
        <v/>
      </c>
      <c r="O1047" s="183" t="str">
        <f t="shared" si="245"/>
        <v/>
      </c>
      <c r="P1047" s="199" t="str">
        <f t="shared" si="246"/>
        <v/>
      </c>
      <c r="Q1047" s="199" t="str">
        <f>IF(B1047="","",IFERROR(IF('עלויות כח אדם (6)'!J1047&gt;=VLOOKUP(I1047,'סיווג התפקידים והעלויות'!$B$23:$C$32,2,0),"תקין","לא תקין"),""))</f>
        <v/>
      </c>
      <c r="R1047" s="199" t="str">
        <f t="shared" si="247"/>
        <v/>
      </c>
      <c r="S1047" s="199" t="str">
        <f t="shared" si="248"/>
        <v/>
      </c>
      <c r="T1047" s="199" t="str">
        <f t="shared" si="256"/>
        <v/>
      </c>
      <c r="U1047" s="199" t="str">
        <f t="shared" si="249"/>
        <v/>
      </c>
      <c r="V1047" s="989"/>
      <c r="X1047" s="374" t="str">
        <f t="shared" si="250"/>
        <v/>
      </c>
      <c r="Y1047" s="375" t="str">
        <f t="shared" si="251"/>
        <v/>
      </c>
      <c r="Z1047" s="374" t="str">
        <f t="shared" si="252"/>
        <v/>
      </c>
      <c r="AA1047" s="374" t="b">
        <f t="shared" si="253"/>
        <v>1</v>
      </c>
      <c r="AB1047" s="374">
        <f>COUNTIFS(B:B,B1047,H:H,'סיווג התפקידים והעלויות'!$C$2)</f>
        <v>0</v>
      </c>
      <c r="AC1047" s="374">
        <f>COUNTIFS(B:B,B1047,H:H,'סיווג התפקידים והעלויות'!$D$2)</f>
        <v>0</v>
      </c>
      <c r="AD1047" s="374" t="str">
        <f>IF(OR(AND(H1047='סיווג התפקידים והעלויות'!$A$2,I1047='סיווג התפקידים והעלויות'!$A$3),'עלויות כח אדם (6)'!H1047='סיווג התפקידים והעלויות'!$C$2,'עלויות כח אדם (6)'!H1047='סיווג התפקידים והעלויות'!$D$2),IF('עלויות כח אדם (6)'!J1047&lt;75,"לא תקין","תקין"),"")</f>
        <v/>
      </c>
      <c r="AE1047" s="374" t="str">
        <f t="shared" si="254"/>
        <v/>
      </c>
      <c r="AF1047" s="532" t="str">
        <f t="shared" si="255"/>
        <v/>
      </c>
    </row>
    <row r="1048" spans="2:32" x14ac:dyDescent="0.25">
      <c r="B1048" s="695"/>
      <c r="C1048" s="197" t="str">
        <f>IF(B1048&lt;&gt;"",IFERROR(VLOOKUP(B:B,'מצבת והרשמה (2)'!$C$20:$N$520,2,0)," ")," ")</f>
        <v xml:space="preserve"> </v>
      </c>
      <c r="D1048" s="695"/>
      <c r="E1048" s="696"/>
      <c r="F1048" s="696"/>
      <c r="G1048" s="696"/>
      <c r="H1048" s="696"/>
      <c r="I1048" s="1050" t="str">
        <f t="shared" si="242"/>
        <v/>
      </c>
      <c r="J1048" s="696"/>
      <c r="K1048" s="697"/>
      <c r="L1048" s="696"/>
      <c r="M1048" s="198" t="str">
        <f t="shared" si="243"/>
        <v/>
      </c>
      <c r="N1048" s="369" t="str">
        <f t="shared" si="244"/>
        <v/>
      </c>
      <c r="O1048" s="183" t="str">
        <f t="shared" si="245"/>
        <v/>
      </c>
      <c r="P1048" s="199" t="str">
        <f t="shared" si="246"/>
        <v/>
      </c>
      <c r="Q1048" s="199" t="str">
        <f>IF(B1048="","",IFERROR(IF('עלויות כח אדם (6)'!J1048&gt;=VLOOKUP(I1048,'סיווג התפקידים והעלויות'!$B$23:$C$32,2,0),"תקין","לא תקין"),""))</f>
        <v/>
      </c>
      <c r="R1048" s="199" t="str">
        <f t="shared" si="247"/>
        <v/>
      </c>
      <c r="S1048" s="199" t="str">
        <f t="shared" si="248"/>
        <v/>
      </c>
      <c r="T1048" s="199" t="str">
        <f t="shared" si="256"/>
        <v/>
      </c>
      <c r="U1048" s="199" t="str">
        <f t="shared" si="249"/>
        <v/>
      </c>
      <c r="V1048" s="989"/>
      <c r="X1048" s="374" t="str">
        <f t="shared" si="250"/>
        <v/>
      </c>
      <c r="Y1048" s="375" t="str">
        <f t="shared" si="251"/>
        <v/>
      </c>
      <c r="Z1048" s="374" t="str">
        <f t="shared" si="252"/>
        <v/>
      </c>
      <c r="AA1048" s="374" t="b">
        <f t="shared" si="253"/>
        <v>1</v>
      </c>
      <c r="AB1048" s="374">
        <f>COUNTIFS(B:B,B1048,H:H,'סיווג התפקידים והעלויות'!$C$2)</f>
        <v>0</v>
      </c>
      <c r="AC1048" s="374">
        <f>COUNTIFS(B:B,B1048,H:H,'סיווג התפקידים והעלויות'!$D$2)</f>
        <v>0</v>
      </c>
      <c r="AD1048" s="374" t="str">
        <f>IF(OR(AND(H1048='סיווג התפקידים והעלויות'!$A$2,I1048='סיווג התפקידים והעלויות'!$A$3),'עלויות כח אדם (6)'!H1048='סיווג התפקידים והעלויות'!$C$2,'עלויות כח אדם (6)'!H1048='סיווג התפקידים והעלויות'!$D$2),IF('עלויות כח אדם (6)'!J1048&lt;75,"לא תקין","תקין"),"")</f>
        <v/>
      </c>
      <c r="AE1048" s="374" t="str">
        <f t="shared" si="254"/>
        <v/>
      </c>
      <c r="AF1048" s="532" t="str">
        <f t="shared" si="255"/>
        <v/>
      </c>
    </row>
    <row r="1049" spans="2:32" x14ac:dyDescent="0.25">
      <c r="B1049" s="695"/>
      <c r="C1049" s="197" t="str">
        <f>IF(B1049&lt;&gt;"",IFERROR(VLOOKUP(B:B,'מצבת והרשמה (2)'!$C$20:$N$520,2,0)," ")," ")</f>
        <v xml:space="preserve"> </v>
      </c>
      <c r="D1049" s="695"/>
      <c r="E1049" s="696"/>
      <c r="F1049" s="696"/>
      <c r="G1049" s="696"/>
      <c r="H1049" s="696"/>
      <c r="I1049" s="1050" t="str">
        <f t="shared" si="242"/>
        <v/>
      </c>
      <c r="J1049" s="696"/>
      <c r="K1049" s="697"/>
      <c r="L1049" s="696"/>
      <c r="M1049" s="198" t="str">
        <f t="shared" si="243"/>
        <v/>
      </c>
      <c r="N1049" s="369" t="str">
        <f t="shared" si="244"/>
        <v/>
      </c>
      <c r="O1049" s="183" t="str">
        <f t="shared" si="245"/>
        <v/>
      </c>
      <c r="P1049" s="199" t="str">
        <f t="shared" si="246"/>
        <v/>
      </c>
      <c r="Q1049" s="199" t="str">
        <f>IF(B1049="","",IFERROR(IF('עלויות כח אדם (6)'!J1049&gt;=VLOOKUP(I1049,'סיווג התפקידים והעלויות'!$B$23:$C$32,2,0),"תקין","לא תקין"),""))</f>
        <v/>
      </c>
      <c r="R1049" s="199" t="str">
        <f t="shared" si="247"/>
        <v/>
      </c>
      <c r="S1049" s="199" t="str">
        <f t="shared" si="248"/>
        <v/>
      </c>
      <c r="T1049" s="199" t="str">
        <f t="shared" si="256"/>
        <v/>
      </c>
      <c r="U1049" s="199" t="str">
        <f t="shared" si="249"/>
        <v/>
      </c>
      <c r="V1049" s="989"/>
      <c r="X1049" s="374" t="str">
        <f t="shared" si="250"/>
        <v/>
      </c>
      <c r="Y1049" s="375" t="str">
        <f t="shared" si="251"/>
        <v/>
      </c>
      <c r="Z1049" s="374" t="str">
        <f t="shared" si="252"/>
        <v/>
      </c>
      <c r="AA1049" s="374" t="b">
        <f t="shared" si="253"/>
        <v>1</v>
      </c>
      <c r="AB1049" s="374">
        <f>COUNTIFS(B:B,B1049,H:H,'סיווג התפקידים והעלויות'!$C$2)</f>
        <v>0</v>
      </c>
      <c r="AC1049" s="374">
        <f>COUNTIFS(B:B,B1049,H:H,'סיווג התפקידים והעלויות'!$D$2)</f>
        <v>0</v>
      </c>
      <c r="AD1049" s="374" t="str">
        <f>IF(OR(AND(H1049='סיווג התפקידים והעלויות'!$A$2,I1049='סיווג התפקידים והעלויות'!$A$3),'עלויות כח אדם (6)'!H1049='סיווג התפקידים והעלויות'!$C$2,'עלויות כח אדם (6)'!H1049='סיווג התפקידים והעלויות'!$D$2),IF('עלויות כח אדם (6)'!J1049&lt;75,"לא תקין","תקין"),"")</f>
        <v/>
      </c>
      <c r="AE1049" s="374" t="str">
        <f t="shared" si="254"/>
        <v/>
      </c>
      <c r="AF1049" s="532" t="str">
        <f t="shared" si="255"/>
        <v/>
      </c>
    </row>
    <row r="1050" spans="2:32" x14ac:dyDescent="0.25">
      <c r="B1050" s="695"/>
      <c r="C1050" s="197" t="str">
        <f>IF(B1050&lt;&gt;"",IFERROR(VLOOKUP(B:B,'מצבת והרשמה (2)'!$C$20:$N$520,2,0)," ")," ")</f>
        <v xml:space="preserve"> </v>
      </c>
      <c r="D1050" s="695"/>
      <c r="E1050" s="696"/>
      <c r="F1050" s="696"/>
      <c r="G1050" s="696"/>
      <c r="H1050" s="696"/>
      <c r="I1050" s="1050" t="str">
        <f t="shared" si="242"/>
        <v/>
      </c>
      <c r="J1050" s="696"/>
      <c r="K1050" s="697"/>
      <c r="L1050" s="696"/>
      <c r="M1050" s="198" t="str">
        <f t="shared" si="243"/>
        <v/>
      </c>
      <c r="N1050" s="369" t="str">
        <f t="shared" si="244"/>
        <v/>
      </c>
      <c r="O1050" s="183" t="str">
        <f t="shared" si="245"/>
        <v/>
      </c>
      <c r="P1050" s="199" t="str">
        <f t="shared" si="246"/>
        <v/>
      </c>
      <c r="Q1050" s="199" t="str">
        <f>IF(B1050="","",IFERROR(IF('עלויות כח אדם (6)'!J1050&gt;=VLOOKUP(I1050,'סיווג התפקידים והעלויות'!$B$23:$C$32,2,0),"תקין","לא תקין"),""))</f>
        <v/>
      </c>
      <c r="R1050" s="199" t="str">
        <f t="shared" si="247"/>
        <v/>
      </c>
      <c r="S1050" s="199" t="str">
        <f t="shared" si="248"/>
        <v/>
      </c>
      <c r="T1050" s="199" t="str">
        <f t="shared" si="256"/>
        <v/>
      </c>
      <c r="U1050" s="199" t="str">
        <f t="shared" si="249"/>
        <v/>
      </c>
      <c r="V1050" s="989"/>
      <c r="X1050" s="374" t="str">
        <f t="shared" si="250"/>
        <v/>
      </c>
      <c r="Y1050" s="375" t="str">
        <f t="shared" si="251"/>
        <v/>
      </c>
      <c r="Z1050" s="374" t="str">
        <f t="shared" si="252"/>
        <v/>
      </c>
      <c r="AA1050" s="374" t="b">
        <f t="shared" si="253"/>
        <v>1</v>
      </c>
      <c r="AB1050" s="374">
        <f>COUNTIFS(B:B,B1050,H:H,'סיווג התפקידים והעלויות'!$C$2)</f>
        <v>0</v>
      </c>
      <c r="AC1050" s="374">
        <f>COUNTIFS(B:B,B1050,H:H,'סיווג התפקידים והעלויות'!$D$2)</f>
        <v>0</v>
      </c>
      <c r="AD1050" s="374" t="str">
        <f>IF(OR(AND(H1050='סיווג התפקידים והעלויות'!$A$2,I1050='סיווג התפקידים והעלויות'!$A$3),'עלויות כח אדם (6)'!H1050='סיווג התפקידים והעלויות'!$C$2,'עלויות כח אדם (6)'!H1050='סיווג התפקידים והעלויות'!$D$2),IF('עלויות כח אדם (6)'!J1050&lt;75,"לא תקין","תקין"),"")</f>
        <v/>
      </c>
      <c r="AE1050" s="374" t="str">
        <f t="shared" si="254"/>
        <v/>
      </c>
      <c r="AF1050" s="532" t="str">
        <f t="shared" si="255"/>
        <v/>
      </c>
    </row>
    <row r="1051" spans="2:32" x14ac:dyDescent="0.25">
      <c r="B1051" s="695"/>
      <c r="C1051" s="197" t="str">
        <f>IF(B1051&lt;&gt;"",IFERROR(VLOOKUP(B:B,'מצבת והרשמה (2)'!$C$20:$N$520,2,0)," ")," ")</f>
        <v xml:space="preserve"> </v>
      </c>
      <c r="D1051" s="695"/>
      <c r="E1051" s="696"/>
      <c r="F1051" s="696"/>
      <c r="G1051" s="696"/>
      <c r="H1051" s="696"/>
      <c r="I1051" s="1050" t="str">
        <f t="shared" si="242"/>
        <v/>
      </c>
      <c r="J1051" s="696"/>
      <c r="K1051" s="697"/>
      <c r="L1051" s="696"/>
      <c r="M1051" s="198" t="str">
        <f t="shared" si="243"/>
        <v/>
      </c>
      <c r="N1051" s="369" t="str">
        <f t="shared" si="244"/>
        <v/>
      </c>
      <c r="O1051" s="183" t="str">
        <f t="shared" si="245"/>
        <v/>
      </c>
      <c r="P1051" s="199" t="str">
        <f t="shared" si="246"/>
        <v/>
      </c>
      <c r="Q1051" s="199" t="str">
        <f>IF(B1051="","",IFERROR(IF('עלויות כח אדם (6)'!J1051&gt;=VLOOKUP(I1051,'סיווג התפקידים והעלויות'!$B$23:$C$32,2,0),"תקין","לא תקין"),""))</f>
        <v/>
      </c>
      <c r="R1051" s="199" t="str">
        <f t="shared" si="247"/>
        <v/>
      </c>
      <c r="S1051" s="199" t="str">
        <f t="shared" si="248"/>
        <v/>
      </c>
      <c r="T1051" s="199" t="str">
        <f t="shared" si="256"/>
        <v/>
      </c>
      <c r="U1051" s="199" t="str">
        <f t="shared" si="249"/>
        <v/>
      </c>
      <c r="V1051" s="989"/>
      <c r="X1051" s="374" t="str">
        <f t="shared" si="250"/>
        <v/>
      </c>
      <c r="Y1051" s="375" t="str">
        <f t="shared" si="251"/>
        <v/>
      </c>
      <c r="Z1051" s="374" t="str">
        <f t="shared" si="252"/>
        <v/>
      </c>
      <c r="AA1051" s="374" t="b">
        <f t="shared" si="253"/>
        <v>1</v>
      </c>
      <c r="AB1051" s="374">
        <f>COUNTIFS(B:B,B1051,H:H,'סיווג התפקידים והעלויות'!$C$2)</f>
        <v>0</v>
      </c>
      <c r="AC1051" s="374">
        <f>COUNTIFS(B:B,B1051,H:H,'סיווג התפקידים והעלויות'!$D$2)</f>
        <v>0</v>
      </c>
      <c r="AD1051" s="374" t="str">
        <f>IF(OR(AND(H1051='סיווג התפקידים והעלויות'!$A$2,I1051='סיווג התפקידים והעלויות'!$A$3),'עלויות כח אדם (6)'!H1051='סיווג התפקידים והעלויות'!$C$2,'עלויות כח אדם (6)'!H1051='סיווג התפקידים והעלויות'!$D$2),IF('עלויות כח אדם (6)'!J1051&lt;75,"לא תקין","תקין"),"")</f>
        <v/>
      </c>
      <c r="AE1051" s="374" t="str">
        <f t="shared" si="254"/>
        <v/>
      </c>
      <c r="AF1051" s="532" t="str">
        <f t="shared" si="255"/>
        <v/>
      </c>
    </row>
    <row r="1052" spans="2:32" x14ac:dyDescent="0.25">
      <c r="B1052" s="695"/>
      <c r="C1052" s="197" t="str">
        <f>IF(B1052&lt;&gt;"",IFERROR(VLOOKUP(B:B,'מצבת והרשמה (2)'!$C$20:$N$520,2,0)," ")," ")</f>
        <v xml:space="preserve"> </v>
      </c>
      <c r="D1052" s="695"/>
      <c r="E1052" s="696"/>
      <c r="F1052" s="696"/>
      <c r="G1052" s="696"/>
      <c r="H1052" s="696"/>
      <c r="I1052" s="1050" t="str">
        <f t="shared" si="242"/>
        <v/>
      </c>
      <c r="J1052" s="696"/>
      <c r="K1052" s="697"/>
      <c r="L1052" s="696"/>
      <c r="M1052" s="198" t="str">
        <f t="shared" si="243"/>
        <v/>
      </c>
      <c r="N1052" s="369" t="str">
        <f t="shared" si="244"/>
        <v/>
      </c>
      <c r="O1052" s="183" t="str">
        <f t="shared" si="245"/>
        <v/>
      </c>
      <c r="P1052" s="199" t="str">
        <f t="shared" si="246"/>
        <v/>
      </c>
      <c r="Q1052" s="199" t="str">
        <f>IF(B1052="","",IFERROR(IF('עלויות כח אדם (6)'!J1052&gt;=VLOOKUP(I1052,'סיווג התפקידים והעלויות'!$B$23:$C$32,2,0),"תקין","לא תקין"),""))</f>
        <v/>
      </c>
      <c r="R1052" s="199" t="str">
        <f t="shared" si="247"/>
        <v/>
      </c>
      <c r="S1052" s="199" t="str">
        <f t="shared" si="248"/>
        <v/>
      </c>
      <c r="T1052" s="199" t="str">
        <f t="shared" si="256"/>
        <v/>
      </c>
      <c r="U1052" s="199" t="str">
        <f t="shared" si="249"/>
        <v/>
      </c>
      <c r="V1052" s="989"/>
      <c r="X1052" s="374" t="str">
        <f t="shared" si="250"/>
        <v/>
      </c>
      <c r="Y1052" s="375" t="str">
        <f t="shared" si="251"/>
        <v/>
      </c>
      <c r="Z1052" s="374" t="str">
        <f t="shared" si="252"/>
        <v/>
      </c>
      <c r="AA1052" s="374" t="b">
        <f t="shared" si="253"/>
        <v>1</v>
      </c>
      <c r="AB1052" s="374">
        <f>COUNTIFS(B:B,B1052,H:H,'סיווג התפקידים והעלויות'!$C$2)</f>
        <v>0</v>
      </c>
      <c r="AC1052" s="374">
        <f>COUNTIFS(B:B,B1052,H:H,'סיווג התפקידים והעלויות'!$D$2)</f>
        <v>0</v>
      </c>
      <c r="AD1052" s="374" t="str">
        <f>IF(OR(AND(H1052='סיווג התפקידים והעלויות'!$A$2,I1052='סיווג התפקידים והעלויות'!$A$3),'עלויות כח אדם (6)'!H1052='סיווג התפקידים והעלויות'!$C$2,'עלויות כח אדם (6)'!H1052='סיווג התפקידים והעלויות'!$D$2),IF('עלויות כח אדם (6)'!J1052&lt;75,"לא תקין","תקין"),"")</f>
        <v/>
      </c>
      <c r="AE1052" s="374" t="str">
        <f t="shared" si="254"/>
        <v/>
      </c>
      <c r="AF1052" s="532" t="str">
        <f t="shared" si="255"/>
        <v/>
      </c>
    </row>
    <row r="1053" spans="2:32" x14ac:dyDescent="0.25">
      <c r="B1053" s="695"/>
      <c r="C1053" s="197" t="str">
        <f>IF(B1053&lt;&gt;"",IFERROR(VLOOKUP(B:B,'מצבת והרשמה (2)'!$C$20:$N$520,2,0)," ")," ")</f>
        <v xml:space="preserve"> </v>
      </c>
      <c r="D1053" s="695"/>
      <c r="E1053" s="696"/>
      <c r="F1053" s="696"/>
      <c r="G1053" s="696"/>
      <c r="H1053" s="696"/>
      <c r="I1053" s="1050" t="str">
        <f t="shared" si="242"/>
        <v/>
      </c>
      <c r="J1053" s="696"/>
      <c r="K1053" s="697"/>
      <c r="L1053" s="696"/>
      <c r="M1053" s="198" t="str">
        <f t="shared" si="243"/>
        <v/>
      </c>
      <c r="N1053" s="369" t="str">
        <f t="shared" si="244"/>
        <v/>
      </c>
      <c r="O1053" s="183" t="str">
        <f t="shared" si="245"/>
        <v/>
      </c>
      <c r="P1053" s="199" t="str">
        <f t="shared" si="246"/>
        <v/>
      </c>
      <c r="Q1053" s="199" t="str">
        <f>IF(B1053="","",IFERROR(IF('עלויות כח אדם (6)'!J1053&gt;=VLOOKUP(I1053,'סיווג התפקידים והעלויות'!$B$23:$C$32,2,0),"תקין","לא תקין"),""))</f>
        <v/>
      </c>
      <c r="R1053" s="199" t="str">
        <f t="shared" si="247"/>
        <v/>
      </c>
      <c r="S1053" s="199" t="str">
        <f t="shared" si="248"/>
        <v/>
      </c>
      <c r="T1053" s="199" t="str">
        <f t="shared" si="256"/>
        <v/>
      </c>
      <c r="U1053" s="199" t="str">
        <f t="shared" si="249"/>
        <v/>
      </c>
      <c r="V1053" s="989"/>
      <c r="X1053" s="374" t="str">
        <f t="shared" si="250"/>
        <v/>
      </c>
      <c r="Y1053" s="375" t="str">
        <f t="shared" si="251"/>
        <v/>
      </c>
      <c r="Z1053" s="374" t="str">
        <f t="shared" si="252"/>
        <v/>
      </c>
      <c r="AA1053" s="374" t="b">
        <f t="shared" si="253"/>
        <v>1</v>
      </c>
      <c r="AB1053" s="374">
        <f>COUNTIFS(B:B,B1053,H:H,'סיווג התפקידים והעלויות'!$C$2)</f>
        <v>0</v>
      </c>
      <c r="AC1053" s="374">
        <f>COUNTIFS(B:B,B1053,H:H,'סיווג התפקידים והעלויות'!$D$2)</f>
        <v>0</v>
      </c>
      <c r="AD1053" s="374" t="str">
        <f>IF(OR(AND(H1053='סיווג התפקידים והעלויות'!$A$2,I1053='סיווג התפקידים והעלויות'!$A$3),'עלויות כח אדם (6)'!H1053='סיווג התפקידים והעלויות'!$C$2,'עלויות כח אדם (6)'!H1053='סיווג התפקידים והעלויות'!$D$2),IF('עלויות כח אדם (6)'!J1053&lt;75,"לא תקין","תקין"),"")</f>
        <v/>
      </c>
      <c r="AE1053" s="374" t="str">
        <f t="shared" si="254"/>
        <v/>
      </c>
      <c r="AF1053" s="532" t="str">
        <f t="shared" si="255"/>
        <v/>
      </c>
    </row>
    <row r="1054" spans="2:32" x14ac:dyDescent="0.25">
      <c r="B1054" s="695"/>
      <c r="C1054" s="197" t="str">
        <f>IF(B1054&lt;&gt;"",IFERROR(VLOOKUP(B:B,'מצבת והרשמה (2)'!$C$20:$N$520,2,0)," ")," ")</f>
        <v xml:space="preserve"> </v>
      </c>
      <c r="D1054" s="695"/>
      <c r="E1054" s="696"/>
      <c r="F1054" s="696"/>
      <c r="G1054" s="696"/>
      <c r="H1054" s="696"/>
      <c r="I1054" s="1050" t="str">
        <f t="shared" si="242"/>
        <v/>
      </c>
      <c r="J1054" s="696"/>
      <c r="K1054" s="697"/>
      <c r="L1054" s="696"/>
      <c r="M1054" s="198" t="str">
        <f t="shared" si="243"/>
        <v/>
      </c>
      <c r="N1054" s="369" t="str">
        <f t="shared" si="244"/>
        <v/>
      </c>
      <c r="O1054" s="183" t="str">
        <f t="shared" si="245"/>
        <v/>
      </c>
      <c r="P1054" s="199" t="str">
        <f t="shared" si="246"/>
        <v/>
      </c>
      <c r="Q1054" s="199" t="str">
        <f>IF(B1054="","",IFERROR(IF('עלויות כח אדם (6)'!J1054&gt;=VLOOKUP(I1054,'סיווג התפקידים והעלויות'!$B$23:$C$32,2,0),"תקין","לא תקין"),""))</f>
        <v/>
      </c>
      <c r="R1054" s="199" t="str">
        <f t="shared" si="247"/>
        <v/>
      </c>
      <c r="S1054" s="199" t="str">
        <f t="shared" si="248"/>
        <v/>
      </c>
      <c r="T1054" s="199" t="str">
        <f t="shared" si="256"/>
        <v/>
      </c>
      <c r="U1054" s="199" t="str">
        <f t="shared" si="249"/>
        <v/>
      </c>
      <c r="V1054" s="989"/>
      <c r="X1054" s="374" t="str">
        <f t="shared" si="250"/>
        <v/>
      </c>
      <c r="Y1054" s="375" t="str">
        <f t="shared" si="251"/>
        <v/>
      </c>
      <c r="Z1054" s="374" t="str">
        <f t="shared" si="252"/>
        <v/>
      </c>
      <c r="AA1054" s="374" t="b">
        <f t="shared" si="253"/>
        <v>1</v>
      </c>
      <c r="AB1054" s="374">
        <f>COUNTIFS(B:B,B1054,H:H,'סיווג התפקידים והעלויות'!$C$2)</f>
        <v>0</v>
      </c>
      <c r="AC1054" s="374">
        <f>COUNTIFS(B:B,B1054,H:H,'סיווג התפקידים והעלויות'!$D$2)</f>
        <v>0</v>
      </c>
      <c r="AD1054" s="374" t="str">
        <f>IF(OR(AND(H1054='סיווג התפקידים והעלויות'!$A$2,I1054='סיווג התפקידים והעלויות'!$A$3),'עלויות כח אדם (6)'!H1054='סיווג התפקידים והעלויות'!$C$2,'עלויות כח אדם (6)'!H1054='סיווג התפקידים והעלויות'!$D$2),IF('עלויות כח אדם (6)'!J1054&lt;75,"לא תקין","תקין"),"")</f>
        <v/>
      </c>
      <c r="AE1054" s="374" t="str">
        <f t="shared" si="254"/>
        <v/>
      </c>
      <c r="AF1054" s="532" t="str">
        <f t="shared" si="255"/>
        <v/>
      </c>
    </row>
    <row r="1055" spans="2:32" x14ac:dyDescent="0.25">
      <c r="B1055" s="695"/>
      <c r="C1055" s="197" t="str">
        <f>IF(B1055&lt;&gt;"",IFERROR(VLOOKUP(B:B,'מצבת והרשמה (2)'!$C$20:$N$520,2,0)," ")," ")</f>
        <v xml:space="preserve"> </v>
      </c>
      <c r="D1055" s="695"/>
      <c r="E1055" s="696"/>
      <c r="F1055" s="696"/>
      <c r="G1055" s="696"/>
      <c r="H1055" s="696"/>
      <c r="I1055" s="1050" t="str">
        <f t="shared" si="242"/>
        <v/>
      </c>
      <c r="J1055" s="696"/>
      <c r="K1055" s="697"/>
      <c r="L1055" s="696"/>
      <c r="M1055" s="198" t="str">
        <f t="shared" si="243"/>
        <v/>
      </c>
      <c r="N1055" s="369" t="str">
        <f t="shared" si="244"/>
        <v/>
      </c>
      <c r="O1055" s="183" t="str">
        <f t="shared" si="245"/>
        <v/>
      </c>
      <c r="P1055" s="199" t="str">
        <f t="shared" si="246"/>
        <v/>
      </c>
      <c r="Q1055" s="199" t="str">
        <f>IF(B1055="","",IFERROR(IF('עלויות כח אדם (6)'!J1055&gt;=VLOOKUP(I1055,'סיווג התפקידים והעלויות'!$B$23:$C$32,2,0),"תקין","לא תקין"),""))</f>
        <v/>
      </c>
      <c r="R1055" s="199" t="str">
        <f t="shared" si="247"/>
        <v/>
      </c>
      <c r="S1055" s="199" t="str">
        <f t="shared" si="248"/>
        <v/>
      </c>
      <c r="T1055" s="199" t="str">
        <f t="shared" si="256"/>
        <v/>
      </c>
      <c r="U1055" s="199" t="str">
        <f t="shared" si="249"/>
        <v/>
      </c>
      <c r="V1055" s="989"/>
      <c r="X1055" s="374" t="str">
        <f t="shared" si="250"/>
        <v/>
      </c>
      <c r="Y1055" s="375" t="str">
        <f t="shared" si="251"/>
        <v/>
      </c>
      <c r="Z1055" s="374" t="str">
        <f t="shared" si="252"/>
        <v/>
      </c>
      <c r="AA1055" s="374" t="b">
        <f t="shared" si="253"/>
        <v>1</v>
      </c>
      <c r="AB1055" s="374">
        <f>COUNTIFS(B:B,B1055,H:H,'סיווג התפקידים והעלויות'!$C$2)</f>
        <v>0</v>
      </c>
      <c r="AC1055" s="374">
        <f>COUNTIFS(B:B,B1055,H:H,'סיווג התפקידים והעלויות'!$D$2)</f>
        <v>0</v>
      </c>
      <c r="AD1055" s="374" t="str">
        <f>IF(OR(AND(H1055='סיווג התפקידים והעלויות'!$A$2,I1055='סיווג התפקידים והעלויות'!$A$3),'עלויות כח אדם (6)'!H1055='סיווג התפקידים והעלויות'!$C$2,'עלויות כח אדם (6)'!H1055='סיווג התפקידים והעלויות'!$D$2),IF('עלויות כח אדם (6)'!J1055&lt;75,"לא תקין","תקין"),"")</f>
        <v/>
      </c>
      <c r="AE1055" s="374" t="str">
        <f t="shared" si="254"/>
        <v/>
      </c>
      <c r="AF1055" s="532" t="str">
        <f t="shared" si="255"/>
        <v/>
      </c>
    </row>
    <row r="1056" spans="2:32" x14ac:dyDescent="0.25">
      <c r="B1056" s="695"/>
      <c r="C1056" s="197" t="str">
        <f>IF(B1056&lt;&gt;"",IFERROR(VLOOKUP(B:B,'מצבת והרשמה (2)'!$C$20:$N$520,2,0)," ")," ")</f>
        <v xml:space="preserve"> </v>
      </c>
      <c r="D1056" s="695"/>
      <c r="E1056" s="696"/>
      <c r="F1056" s="696"/>
      <c r="G1056" s="696"/>
      <c r="H1056" s="696"/>
      <c r="I1056" s="1050" t="str">
        <f t="shared" si="242"/>
        <v/>
      </c>
      <c r="J1056" s="696"/>
      <c r="K1056" s="697"/>
      <c r="L1056" s="696"/>
      <c r="M1056" s="198" t="str">
        <f t="shared" si="243"/>
        <v/>
      </c>
      <c r="N1056" s="369" t="str">
        <f t="shared" si="244"/>
        <v/>
      </c>
      <c r="O1056" s="183" t="str">
        <f t="shared" si="245"/>
        <v/>
      </c>
      <c r="P1056" s="199" t="str">
        <f t="shared" si="246"/>
        <v/>
      </c>
      <c r="Q1056" s="199" t="str">
        <f>IF(B1056="","",IFERROR(IF('עלויות כח אדם (6)'!J1056&gt;=VLOOKUP(I1056,'סיווג התפקידים והעלויות'!$B$23:$C$32,2,0),"תקין","לא תקין"),""))</f>
        <v/>
      </c>
      <c r="R1056" s="199" t="str">
        <f t="shared" si="247"/>
        <v/>
      </c>
      <c r="S1056" s="199" t="str">
        <f t="shared" si="248"/>
        <v/>
      </c>
      <c r="T1056" s="199" t="str">
        <f t="shared" si="256"/>
        <v/>
      </c>
      <c r="U1056" s="199" t="str">
        <f t="shared" si="249"/>
        <v/>
      </c>
      <c r="V1056" s="989"/>
      <c r="X1056" s="374" t="str">
        <f t="shared" si="250"/>
        <v/>
      </c>
      <c r="Y1056" s="375" t="str">
        <f t="shared" si="251"/>
        <v/>
      </c>
      <c r="Z1056" s="374" t="str">
        <f t="shared" si="252"/>
        <v/>
      </c>
      <c r="AA1056" s="374" t="b">
        <f t="shared" si="253"/>
        <v>1</v>
      </c>
      <c r="AB1056" s="374">
        <f>COUNTIFS(B:B,B1056,H:H,'סיווג התפקידים והעלויות'!$C$2)</f>
        <v>0</v>
      </c>
      <c r="AC1056" s="374">
        <f>COUNTIFS(B:B,B1056,H:H,'סיווג התפקידים והעלויות'!$D$2)</f>
        <v>0</v>
      </c>
      <c r="AD1056" s="374" t="str">
        <f>IF(OR(AND(H1056='סיווג התפקידים והעלויות'!$A$2,I1056='סיווג התפקידים והעלויות'!$A$3),'עלויות כח אדם (6)'!H1056='סיווג התפקידים והעלויות'!$C$2,'עלויות כח אדם (6)'!H1056='סיווג התפקידים והעלויות'!$D$2),IF('עלויות כח אדם (6)'!J1056&lt;75,"לא תקין","תקין"),"")</f>
        <v/>
      </c>
      <c r="AE1056" s="374" t="str">
        <f t="shared" si="254"/>
        <v/>
      </c>
      <c r="AF1056" s="532" t="str">
        <f t="shared" si="255"/>
        <v/>
      </c>
    </row>
    <row r="1057" spans="2:32" x14ac:dyDescent="0.25">
      <c r="B1057" s="695"/>
      <c r="C1057" s="197" t="str">
        <f>IF(B1057&lt;&gt;"",IFERROR(VLOOKUP(B:B,'מצבת והרשמה (2)'!$C$20:$N$520,2,0)," ")," ")</f>
        <v xml:space="preserve"> </v>
      </c>
      <c r="D1057" s="695"/>
      <c r="E1057" s="696"/>
      <c r="F1057" s="696"/>
      <c r="G1057" s="696"/>
      <c r="H1057" s="696"/>
      <c r="I1057" s="1050" t="str">
        <f t="shared" si="242"/>
        <v/>
      </c>
      <c r="J1057" s="696"/>
      <c r="K1057" s="697"/>
      <c r="L1057" s="696"/>
      <c r="M1057" s="198" t="str">
        <f t="shared" si="243"/>
        <v/>
      </c>
      <c r="N1057" s="369" t="str">
        <f t="shared" si="244"/>
        <v/>
      </c>
      <c r="O1057" s="183" t="str">
        <f t="shared" si="245"/>
        <v/>
      </c>
      <c r="P1057" s="199" t="str">
        <f t="shared" si="246"/>
        <v/>
      </c>
      <c r="Q1057" s="199" t="str">
        <f>IF(B1057="","",IFERROR(IF('עלויות כח אדם (6)'!J1057&gt;=VLOOKUP(I1057,'סיווג התפקידים והעלויות'!$B$23:$C$32,2,0),"תקין","לא תקין"),""))</f>
        <v/>
      </c>
      <c r="R1057" s="199" t="str">
        <f t="shared" si="247"/>
        <v/>
      </c>
      <c r="S1057" s="199" t="str">
        <f t="shared" si="248"/>
        <v/>
      </c>
      <c r="T1057" s="199" t="str">
        <f t="shared" si="256"/>
        <v/>
      </c>
      <c r="U1057" s="199" t="str">
        <f t="shared" si="249"/>
        <v/>
      </c>
      <c r="V1057" s="989"/>
      <c r="X1057" s="374" t="str">
        <f t="shared" si="250"/>
        <v/>
      </c>
      <c r="Y1057" s="375" t="str">
        <f t="shared" si="251"/>
        <v/>
      </c>
      <c r="Z1057" s="374" t="str">
        <f t="shared" si="252"/>
        <v/>
      </c>
      <c r="AA1057" s="374" t="b">
        <f t="shared" si="253"/>
        <v>1</v>
      </c>
      <c r="AB1057" s="374">
        <f>COUNTIFS(B:B,B1057,H:H,'סיווג התפקידים והעלויות'!$C$2)</f>
        <v>0</v>
      </c>
      <c r="AC1057" s="374">
        <f>COUNTIFS(B:B,B1057,H:H,'סיווג התפקידים והעלויות'!$D$2)</f>
        <v>0</v>
      </c>
      <c r="AD1057" s="374" t="str">
        <f>IF(OR(AND(H1057='סיווג התפקידים והעלויות'!$A$2,I1057='סיווג התפקידים והעלויות'!$A$3),'עלויות כח אדם (6)'!H1057='סיווג התפקידים והעלויות'!$C$2,'עלויות כח אדם (6)'!H1057='סיווג התפקידים והעלויות'!$D$2),IF('עלויות כח אדם (6)'!J1057&lt;75,"לא תקין","תקין"),"")</f>
        <v/>
      </c>
      <c r="AE1057" s="374" t="str">
        <f t="shared" si="254"/>
        <v/>
      </c>
      <c r="AF1057" s="532" t="str">
        <f t="shared" si="255"/>
        <v/>
      </c>
    </row>
    <row r="1058" spans="2:32" x14ac:dyDescent="0.25">
      <c r="B1058" s="695"/>
      <c r="C1058" s="197" t="str">
        <f>IF(B1058&lt;&gt;"",IFERROR(VLOOKUP(B:B,'מצבת והרשמה (2)'!$C$20:$N$520,2,0)," ")," ")</f>
        <v xml:space="preserve"> </v>
      </c>
      <c r="D1058" s="695"/>
      <c r="E1058" s="696"/>
      <c r="F1058" s="696"/>
      <c r="G1058" s="696"/>
      <c r="H1058" s="696"/>
      <c r="I1058" s="1050" t="str">
        <f t="shared" si="242"/>
        <v/>
      </c>
      <c r="J1058" s="696"/>
      <c r="K1058" s="697"/>
      <c r="L1058" s="696"/>
      <c r="M1058" s="198" t="str">
        <f t="shared" si="243"/>
        <v/>
      </c>
      <c r="N1058" s="369" t="str">
        <f t="shared" si="244"/>
        <v/>
      </c>
      <c r="O1058" s="183" t="str">
        <f t="shared" si="245"/>
        <v/>
      </c>
      <c r="P1058" s="199" t="str">
        <f t="shared" si="246"/>
        <v/>
      </c>
      <c r="Q1058" s="199" t="str">
        <f>IF(B1058="","",IFERROR(IF('עלויות כח אדם (6)'!J1058&gt;=VLOOKUP(I1058,'סיווג התפקידים והעלויות'!$B$23:$C$32,2,0),"תקין","לא תקין"),""))</f>
        <v/>
      </c>
      <c r="R1058" s="199" t="str">
        <f t="shared" si="247"/>
        <v/>
      </c>
      <c r="S1058" s="199" t="str">
        <f t="shared" si="248"/>
        <v/>
      </c>
      <c r="T1058" s="199" t="str">
        <f t="shared" si="256"/>
        <v/>
      </c>
      <c r="U1058" s="199" t="str">
        <f t="shared" si="249"/>
        <v/>
      </c>
      <c r="V1058" s="989"/>
      <c r="X1058" s="374" t="str">
        <f t="shared" si="250"/>
        <v/>
      </c>
      <c r="Y1058" s="375" t="str">
        <f t="shared" si="251"/>
        <v/>
      </c>
      <c r="Z1058" s="374" t="str">
        <f t="shared" si="252"/>
        <v/>
      </c>
      <c r="AA1058" s="374" t="b">
        <f t="shared" si="253"/>
        <v>1</v>
      </c>
      <c r="AB1058" s="374">
        <f>COUNTIFS(B:B,B1058,H:H,'סיווג התפקידים והעלויות'!$C$2)</f>
        <v>0</v>
      </c>
      <c r="AC1058" s="374">
        <f>COUNTIFS(B:B,B1058,H:H,'סיווג התפקידים והעלויות'!$D$2)</f>
        <v>0</v>
      </c>
      <c r="AD1058" s="374" t="str">
        <f>IF(OR(AND(H1058='סיווג התפקידים והעלויות'!$A$2,I1058='סיווג התפקידים והעלויות'!$A$3),'עלויות כח אדם (6)'!H1058='סיווג התפקידים והעלויות'!$C$2,'עלויות כח אדם (6)'!H1058='סיווג התפקידים והעלויות'!$D$2),IF('עלויות כח אדם (6)'!J1058&lt;75,"לא תקין","תקין"),"")</f>
        <v/>
      </c>
      <c r="AE1058" s="374" t="str">
        <f t="shared" si="254"/>
        <v/>
      </c>
      <c r="AF1058" s="532" t="str">
        <f t="shared" si="255"/>
        <v/>
      </c>
    </row>
    <row r="1059" spans="2:32" x14ac:dyDescent="0.25">
      <c r="B1059" s="695"/>
      <c r="C1059" s="197" t="str">
        <f>IF(B1059&lt;&gt;"",IFERROR(VLOOKUP(B:B,'מצבת והרשמה (2)'!$C$20:$N$520,2,0)," ")," ")</f>
        <v xml:space="preserve"> </v>
      </c>
      <c r="D1059" s="695"/>
      <c r="E1059" s="696"/>
      <c r="F1059" s="696"/>
      <c r="G1059" s="696"/>
      <c r="H1059" s="696"/>
      <c r="I1059" s="1050" t="str">
        <f t="shared" si="242"/>
        <v/>
      </c>
      <c r="J1059" s="696"/>
      <c r="K1059" s="697"/>
      <c r="L1059" s="696"/>
      <c r="M1059" s="198" t="str">
        <f t="shared" si="243"/>
        <v/>
      </c>
      <c r="N1059" s="369" t="str">
        <f t="shared" si="244"/>
        <v/>
      </c>
      <c r="O1059" s="183" t="str">
        <f t="shared" si="245"/>
        <v/>
      </c>
      <c r="P1059" s="199" t="str">
        <f t="shared" si="246"/>
        <v/>
      </c>
      <c r="Q1059" s="199" t="str">
        <f>IF(B1059="","",IFERROR(IF('עלויות כח אדם (6)'!J1059&gt;=VLOOKUP(I1059,'סיווג התפקידים והעלויות'!$B$23:$C$32,2,0),"תקין","לא תקין"),""))</f>
        <v/>
      </c>
      <c r="R1059" s="199" t="str">
        <f t="shared" si="247"/>
        <v/>
      </c>
      <c r="S1059" s="199" t="str">
        <f t="shared" si="248"/>
        <v/>
      </c>
      <c r="T1059" s="199" t="str">
        <f t="shared" si="256"/>
        <v/>
      </c>
      <c r="U1059" s="199" t="str">
        <f t="shared" si="249"/>
        <v/>
      </c>
      <c r="V1059" s="989"/>
      <c r="X1059" s="374" t="str">
        <f t="shared" si="250"/>
        <v/>
      </c>
      <c r="Y1059" s="375" t="str">
        <f t="shared" si="251"/>
        <v/>
      </c>
      <c r="Z1059" s="374" t="str">
        <f t="shared" si="252"/>
        <v/>
      </c>
      <c r="AA1059" s="374" t="b">
        <f t="shared" si="253"/>
        <v>1</v>
      </c>
      <c r="AB1059" s="374">
        <f>COUNTIFS(B:B,B1059,H:H,'סיווג התפקידים והעלויות'!$C$2)</f>
        <v>0</v>
      </c>
      <c r="AC1059" s="374">
        <f>COUNTIFS(B:B,B1059,H:H,'סיווג התפקידים והעלויות'!$D$2)</f>
        <v>0</v>
      </c>
      <c r="AD1059" s="374" t="str">
        <f>IF(OR(AND(H1059='סיווג התפקידים והעלויות'!$A$2,I1059='סיווג התפקידים והעלויות'!$A$3),'עלויות כח אדם (6)'!H1059='סיווג התפקידים והעלויות'!$C$2,'עלויות כח אדם (6)'!H1059='סיווג התפקידים והעלויות'!$D$2),IF('עלויות כח אדם (6)'!J1059&lt;75,"לא תקין","תקין"),"")</f>
        <v/>
      </c>
      <c r="AE1059" s="374" t="str">
        <f t="shared" si="254"/>
        <v/>
      </c>
      <c r="AF1059" s="532" t="str">
        <f t="shared" si="255"/>
        <v/>
      </c>
    </row>
    <row r="1060" spans="2:32" x14ac:dyDescent="0.25">
      <c r="B1060" s="695"/>
      <c r="C1060" s="197" t="str">
        <f>IF(B1060&lt;&gt;"",IFERROR(VLOOKUP(B:B,'מצבת והרשמה (2)'!$C$20:$N$520,2,0)," ")," ")</f>
        <v xml:space="preserve"> </v>
      </c>
      <c r="D1060" s="695"/>
      <c r="E1060" s="696"/>
      <c r="F1060" s="696"/>
      <c r="G1060" s="696"/>
      <c r="H1060" s="696"/>
      <c r="I1060" s="1050" t="str">
        <f t="shared" si="242"/>
        <v/>
      </c>
      <c r="J1060" s="696"/>
      <c r="K1060" s="697"/>
      <c r="L1060" s="696"/>
      <c r="M1060" s="198" t="str">
        <f t="shared" si="243"/>
        <v/>
      </c>
      <c r="N1060" s="369" t="str">
        <f t="shared" si="244"/>
        <v/>
      </c>
      <c r="O1060" s="183" t="str">
        <f t="shared" si="245"/>
        <v/>
      </c>
      <c r="P1060" s="199" t="str">
        <f t="shared" si="246"/>
        <v/>
      </c>
      <c r="Q1060" s="199" t="str">
        <f>IF(B1060="","",IFERROR(IF('עלויות כח אדם (6)'!J1060&gt;=VLOOKUP(I1060,'סיווג התפקידים והעלויות'!$B$23:$C$32,2,0),"תקין","לא תקין"),""))</f>
        <v/>
      </c>
      <c r="R1060" s="199" t="str">
        <f t="shared" si="247"/>
        <v/>
      </c>
      <c r="S1060" s="199" t="str">
        <f t="shared" si="248"/>
        <v/>
      </c>
      <c r="T1060" s="199" t="str">
        <f t="shared" si="256"/>
        <v/>
      </c>
      <c r="U1060" s="199" t="str">
        <f t="shared" si="249"/>
        <v/>
      </c>
      <c r="V1060" s="989"/>
      <c r="X1060" s="374" t="str">
        <f t="shared" si="250"/>
        <v/>
      </c>
      <c r="Y1060" s="375" t="str">
        <f t="shared" si="251"/>
        <v/>
      </c>
      <c r="Z1060" s="374" t="str">
        <f t="shared" si="252"/>
        <v/>
      </c>
      <c r="AA1060" s="374" t="b">
        <f t="shared" si="253"/>
        <v>1</v>
      </c>
      <c r="AB1060" s="374">
        <f>COUNTIFS(B:B,B1060,H:H,'סיווג התפקידים והעלויות'!$C$2)</f>
        <v>0</v>
      </c>
      <c r="AC1060" s="374">
        <f>COUNTIFS(B:B,B1060,H:H,'סיווג התפקידים והעלויות'!$D$2)</f>
        <v>0</v>
      </c>
      <c r="AD1060" s="374" t="str">
        <f>IF(OR(AND(H1060='סיווג התפקידים והעלויות'!$A$2,I1060='סיווג התפקידים והעלויות'!$A$3),'עלויות כח אדם (6)'!H1060='סיווג התפקידים והעלויות'!$C$2,'עלויות כח אדם (6)'!H1060='סיווג התפקידים והעלויות'!$D$2),IF('עלויות כח אדם (6)'!J1060&lt;75,"לא תקין","תקין"),"")</f>
        <v/>
      </c>
      <c r="AE1060" s="374" t="str">
        <f t="shared" si="254"/>
        <v/>
      </c>
      <c r="AF1060" s="532" t="str">
        <f t="shared" si="255"/>
        <v/>
      </c>
    </row>
    <row r="1061" spans="2:32" x14ac:dyDescent="0.25">
      <c r="B1061" s="695"/>
      <c r="C1061" s="197" t="str">
        <f>IF(B1061&lt;&gt;"",IFERROR(VLOOKUP(B:B,'מצבת והרשמה (2)'!$C$20:$N$520,2,0)," ")," ")</f>
        <v xml:space="preserve"> </v>
      </c>
      <c r="D1061" s="695"/>
      <c r="E1061" s="696"/>
      <c r="F1061" s="696"/>
      <c r="G1061" s="696"/>
      <c r="H1061" s="696"/>
      <c r="I1061" s="1050" t="str">
        <f t="shared" si="242"/>
        <v/>
      </c>
      <c r="J1061" s="696"/>
      <c r="K1061" s="697"/>
      <c r="L1061" s="696"/>
      <c r="M1061" s="198" t="str">
        <f t="shared" si="243"/>
        <v/>
      </c>
      <c r="N1061" s="369" t="str">
        <f t="shared" si="244"/>
        <v/>
      </c>
      <c r="O1061" s="183" t="str">
        <f t="shared" si="245"/>
        <v/>
      </c>
      <c r="P1061" s="199" t="str">
        <f t="shared" si="246"/>
        <v/>
      </c>
      <c r="Q1061" s="199" t="str">
        <f>IF(B1061="","",IFERROR(IF('עלויות כח אדם (6)'!J1061&gt;=VLOOKUP(I1061,'סיווג התפקידים והעלויות'!$B$23:$C$32,2,0),"תקין","לא תקין"),""))</f>
        <v/>
      </c>
      <c r="R1061" s="199" t="str">
        <f t="shared" si="247"/>
        <v/>
      </c>
      <c r="S1061" s="199" t="str">
        <f t="shared" si="248"/>
        <v/>
      </c>
      <c r="T1061" s="199" t="str">
        <f t="shared" si="256"/>
        <v/>
      </c>
      <c r="U1061" s="199" t="str">
        <f t="shared" si="249"/>
        <v/>
      </c>
      <c r="V1061" s="989"/>
      <c r="X1061" s="374" t="str">
        <f t="shared" si="250"/>
        <v/>
      </c>
      <c r="Y1061" s="375" t="str">
        <f t="shared" si="251"/>
        <v/>
      </c>
      <c r="Z1061" s="374" t="str">
        <f t="shared" si="252"/>
        <v/>
      </c>
      <c r="AA1061" s="374" t="b">
        <f t="shared" si="253"/>
        <v>1</v>
      </c>
      <c r="AB1061" s="374">
        <f>COUNTIFS(B:B,B1061,H:H,'סיווג התפקידים והעלויות'!$C$2)</f>
        <v>0</v>
      </c>
      <c r="AC1061" s="374">
        <f>COUNTIFS(B:B,B1061,H:H,'סיווג התפקידים והעלויות'!$D$2)</f>
        <v>0</v>
      </c>
      <c r="AD1061" s="374" t="str">
        <f>IF(OR(AND(H1061='סיווג התפקידים והעלויות'!$A$2,I1061='סיווג התפקידים והעלויות'!$A$3),'עלויות כח אדם (6)'!H1061='סיווג התפקידים והעלויות'!$C$2,'עלויות כח אדם (6)'!H1061='סיווג התפקידים והעלויות'!$D$2),IF('עלויות כח אדם (6)'!J1061&lt;75,"לא תקין","תקין"),"")</f>
        <v/>
      </c>
      <c r="AE1061" s="374" t="str">
        <f t="shared" si="254"/>
        <v/>
      </c>
      <c r="AF1061" s="532" t="str">
        <f t="shared" si="255"/>
        <v/>
      </c>
    </row>
    <row r="1062" spans="2:32" x14ac:dyDescent="0.25">
      <c r="B1062" s="695"/>
      <c r="C1062" s="197" t="str">
        <f>IF(B1062&lt;&gt;"",IFERROR(VLOOKUP(B:B,'מצבת והרשמה (2)'!$C$20:$N$520,2,0)," ")," ")</f>
        <v xml:space="preserve"> </v>
      </c>
      <c r="D1062" s="695"/>
      <c r="E1062" s="696"/>
      <c r="F1062" s="696"/>
      <c r="G1062" s="696"/>
      <c r="H1062" s="696"/>
      <c r="I1062" s="1050" t="str">
        <f t="shared" si="242"/>
        <v/>
      </c>
      <c r="J1062" s="696"/>
      <c r="K1062" s="697"/>
      <c r="L1062" s="696"/>
      <c r="M1062" s="198" t="str">
        <f t="shared" si="243"/>
        <v/>
      </c>
      <c r="N1062" s="369" t="str">
        <f t="shared" si="244"/>
        <v/>
      </c>
      <c r="O1062" s="183" t="str">
        <f t="shared" si="245"/>
        <v/>
      </c>
      <c r="P1062" s="199" t="str">
        <f t="shared" si="246"/>
        <v/>
      </c>
      <c r="Q1062" s="199" t="str">
        <f>IF(B1062="","",IFERROR(IF('עלויות כח אדם (6)'!J1062&gt;=VLOOKUP(I1062,'סיווג התפקידים והעלויות'!$B$23:$C$32,2,0),"תקין","לא תקין"),""))</f>
        <v/>
      </c>
      <c r="R1062" s="199" t="str">
        <f t="shared" si="247"/>
        <v/>
      </c>
      <c r="S1062" s="199" t="str">
        <f t="shared" si="248"/>
        <v/>
      </c>
      <c r="T1062" s="199" t="str">
        <f t="shared" si="256"/>
        <v/>
      </c>
      <c r="U1062" s="199" t="str">
        <f t="shared" si="249"/>
        <v/>
      </c>
      <c r="V1062" s="989"/>
      <c r="X1062" s="374" t="str">
        <f t="shared" si="250"/>
        <v/>
      </c>
      <c r="Y1062" s="375" t="str">
        <f t="shared" si="251"/>
        <v/>
      </c>
      <c r="Z1062" s="374" t="str">
        <f t="shared" si="252"/>
        <v/>
      </c>
      <c r="AA1062" s="374" t="b">
        <f t="shared" si="253"/>
        <v>1</v>
      </c>
      <c r="AB1062" s="374">
        <f>COUNTIFS(B:B,B1062,H:H,'סיווג התפקידים והעלויות'!$C$2)</f>
        <v>0</v>
      </c>
      <c r="AC1062" s="374">
        <f>COUNTIFS(B:B,B1062,H:H,'סיווג התפקידים והעלויות'!$D$2)</f>
        <v>0</v>
      </c>
      <c r="AD1062" s="374" t="str">
        <f>IF(OR(AND(H1062='סיווג התפקידים והעלויות'!$A$2,I1062='סיווג התפקידים והעלויות'!$A$3),'עלויות כח אדם (6)'!H1062='סיווג התפקידים והעלויות'!$C$2,'עלויות כח אדם (6)'!H1062='סיווג התפקידים והעלויות'!$D$2),IF('עלויות כח אדם (6)'!J1062&lt;75,"לא תקין","תקין"),"")</f>
        <v/>
      </c>
      <c r="AE1062" s="374" t="str">
        <f t="shared" si="254"/>
        <v/>
      </c>
      <c r="AF1062" s="532" t="str">
        <f t="shared" si="255"/>
        <v/>
      </c>
    </row>
    <row r="1063" spans="2:32" x14ac:dyDescent="0.25">
      <c r="B1063" s="695"/>
      <c r="C1063" s="197" t="str">
        <f>IF(B1063&lt;&gt;"",IFERROR(VLOOKUP(B:B,'מצבת והרשמה (2)'!$C$20:$N$520,2,0)," ")," ")</f>
        <v xml:space="preserve"> </v>
      </c>
      <c r="D1063" s="695"/>
      <c r="E1063" s="696"/>
      <c r="F1063" s="696"/>
      <c r="G1063" s="696"/>
      <c r="H1063" s="696"/>
      <c r="I1063" s="1050" t="str">
        <f t="shared" si="242"/>
        <v/>
      </c>
      <c r="J1063" s="696"/>
      <c r="K1063" s="697"/>
      <c r="L1063" s="696"/>
      <c r="M1063" s="198" t="str">
        <f t="shared" si="243"/>
        <v/>
      </c>
      <c r="N1063" s="369" t="str">
        <f t="shared" si="244"/>
        <v/>
      </c>
      <c r="O1063" s="183" t="str">
        <f t="shared" si="245"/>
        <v/>
      </c>
      <c r="P1063" s="199" t="str">
        <f t="shared" si="246"/>
        <v/>
      </c>
      <c r="Q1063" s="199" t="str">
        <f>IF(B1063="","",IFERROR(IF('עלויות כח אדם (6)'!J1063&gt;=VLOOKUP(I1063,'סיווג התפקידים והעלויות'!$B$23:$C$32,2,0),"תקין","לא תקין"),""))</f>
        <v/>
      </c>
      <c r="R1063" s="199" t="str">
        <f t="shared" si="247"/>
        <v/>
      </c>
      <c r="S1063" s="199" t="str">
        <f t="shared" si="248"/>
        <v/>
      </c>
      <c r="T1063" s="199" t="str">
        <f t="shared" si="256"/>
        <v/>
      </c>
      <c r="U1063" s="199" t="str">
        <f t="shared" si="249"/>
        <v/>
      </c>
      <c r="V1063" s="989"/>
      <c r="X1063" s="374" t="str">
        <f t="shared" si="250"/>
        <v/>
      </c>
      <c r="Y1063" s="375" t="str">
        <f t="shared" si="251"/>
        <v/>
      </c>
      <c r="Z1063" s="374" t="str">
        <f t="shared" si="252"/>
        <v/>
      </c>
      <c r="AA1063" s="374" t="b">
        <f t="shared" si="253"/>
        <v>1</v>
      </c>
      <c r="AB1063" s="374">
        <f>COUNTIFS(B:B,B1063,H:H,'סיווג התפקידים והעלויות'!$C$2)</f>
        <v>0</v>
      </c>
      <c r="AC1063" s="374">
        <f>COUNTIFS(B:B,B1063,H:H,'סיווג התפקידים והעלויות'!$D$2)</f>
        <v>0</v>
      </c>
      <c r="AD1063" s="374" t="str">
        <f>IF(OR(AND(H1063='סיווג התפקידים והעלויות'!$A$2,I1063='סיווג התפקידים והעלויות'!$A$3),'עלויות כח אדם (6)'!H1063='סיווג התפקידים והעלויות'!$C$2,'עלויות כח אדם (6)'!H1063='סיווג התפקידים והעלויות'!$D$2),IF('עלויות כח אדם (6)'!J1063&lt;75,"לא תקין","תקין"),"")</f>
        <v/>
      </c>
      <c r="AE1063" s="374" t="str">
        <f t="shared" si="254"/>
        <v/>
      </c>
      <c r="AF1063" s="532" t="str">
        <f t="shared" si="255"/>
        <v/>
      </c>
    </row>
    <row r="1064" spans="2:32" x14ac:dyDescent="0.25">
      <c r="B1064" s="695"/>
      <c r="C1064" s="197" t="str">
        <f>IF(B1064&lt;&gt;"",IFERROR(VLOOKUP(B:B,'מצבת והרשמה (2)'!$C$20:$N$520,2,0)," ")," ")</f>
        <v xml:space="preserve"> </v>
      </c>
      <c r="D1064" s="695"/>
      <c r="E1064" s="696"/>
      <c r="F1064" s="696"/>
      <c r="G1064" s="696"/>
      <c r="H1064" s="696"/>
      <c r="I1064" s="1050" t="str">
        <f t="shared" si="242"/>
        <v/>
      </c>
      <c r="J1064" s="696"/>
      <c r="K1064" s="697"/>
      <c r="L1064" s="696"/>
      <c r="M1064" s="198" t="str">
        <f t="shared" si="243"/>
        <v/>
      </c>
      <c r="N1064" s="369" t="str">
        <f t="shared" si="244"/>
        <v/>
      </c>
      <c r="O1064" s="183" t="str">
        <f t="shared" si="245"/>
        <v/>
      </c>
      <c r="P1064" s="199" t="str">
        <f t="shared" si="246"/>
        <v/>
      </c>
      <c r="Q1064" s="199" t="str">
        <f>IF(B1064="","",IFERROR(IF('עלויות כח אדם (6)'!J1064&gt;=VLOOKUP(I1064,'סיווג התפקידים והעלויות'!$B$23:$C$32,2,0),"תקין","לא תקין"),""))</f>
        <v/>
      </c>
      <c r="R1064" s="199" t="str">
        <f t="shared" si="247"/>
        <v/>
      </c>
      <c r="S1064" s="199" t="str">
        <f t="shared" si="248"/>
        <v/>
      </c>
      <c r="T1064" s="199" t="str">
        <f t="shared" si="256"/>
        <v/>
      </c>
      <c r="U1064" s="199" t="str">
        <f t="shared" si="249"/>
        <v/>
      </c>
      <c r="V1064" s="989"/>
      <c r="X1064" s="374" t="str">
        <f t="shared" si="250"/>
        <v/>
      </c>
      <c r="Y1064" s="375" t="str">
        <f t="shared" si="251"/>
        <v/>
      </c>
      <c r="Z1064" s="374" t="str">
        <f t="shared" si="252"/>
        <v/>
      </c>
      <c r="AA1064" s="374" t="b">
        <f t="shared" si="253"/>
        <v>1</v>
      </c>
      <c r="AB1064" s="374">
        <f>COUNTIFS(B:B,B1064,H:H,'סיווג התפקידים והעלויות'!$C$2)</f>
        <v>0</v>
      </c>
      <c r="AC1064" s="374">
        <f>COUNTIFS(B:B,B1064,H:H,'סיווג התפקידים והעלויות'!$D$2)</f>
        <v>0</v>
      </c>
      <c r="AD1064" s="374" t="str">
        <f>IF(OR(AND(H1064='סיווג התפקידים והעלויות'!$A$2,I1064='סיווג התפקידים והעלויות'!$A$3),'עלויות כח אדם (6)'!H1064='סיווג התפקידים והעלויות'!$C$2,'עלויות כח אדם (6)'!H1064='סיווג התפקידים והעלויות'!$D$2),IF('עלויות כח אדם (6)'!J1064&lt;75,"לא תקין","תקין"),"")</f>
        <v/>
      </c>
      <c r="AE1064" s="374" t="str">
        <f t="shared" si="254"/>
        <v/>
      </c>
      <c r="AF1064" s="532" t="str">
        <f t="shared" si="255"/>
        <v/>
      </c>
    </row>
    <row r="1065" spans="2:32" x14ac:dyDescent="0.25">
      <c r="B1065" s="695"/>
      <c r="C1065" s="197" t="str">
        <f>IF(B1065&lt;&gt;"",IFERROR(VLOOKUP(B:B,'מצבת והרשמה (2)'!$C$20:$N$520,2,0)," ")," ")</f>
        <v xml:space="preserve"> </v>
      </c>
      <c r="D1065" s="695"/>
      <c r="E1065" s="696"/>
      <c r="F1065" s="696"/>
      <c r="G1065" s="696"/>
      <c r="H1065" s="696"/>
      <c r="I1065" s="1050" t="str">
        <f t="shared" si="242"/>
        <v/>
      </c>
      <c r="J1065" s="696"/>
      <c r="K1065" s="697"/>
      <c r="L1065" s="696"/>
      <c r="M1065" s="198" t="str">
        <f t="shared" si="243"/>
        <v/>
      </c>
      <c r="N1065" s="369" t="str">
        <f t="shared" si="244"/>
        <v/>
      </c>
      <c r="O1065" s="183" t="str">
        <f t="shared" si="245"/>
        <v/>
      </c>
      <c r="P1065" s="199" t="str">
        <f t="shared" si="246"/>
        <v/>
      </c>
      <c r="Q1065" s="199" t="str">
        <f>IF(B1065="","",IFERROR(IF('עלויות כח אדם (6)'!J1065&gt;=VLOOKUP(I1065,'סיווג התפקידים והעלויות'!$B$23:$C$32,2,0),"תקין","לא תקין"),""))</f>
        <v/>
      </c>
      <c r="R1065" s="199" t="str">
        <f t="shared" si="247"/>
        <v/>
      </c>
      <c r="S1065" s="199" t="str">
        <f t="shared" si="248"/>
        <v/>
      </c>
      <c r="T1065" s="199" t="str">
        <f t="shared" si="256"/>
        <v/>
      </c>
      <c r="U1065" s="199" t="str">
        <f t="shared" si="249"/>
        <v/>
      </c>
      <c r="V1065" s="989"/>
      <c r="X1065" s="374" t="str">
        <f t="shared" si="250"/>
        <v/>
      </c>
      <c r="Y1065" s="375" t="str">
        <f t="shared" si="251"/>
        <v/>
      </c>
      <c r="Z1065" s="374" t="str">
        <f t="shared" si="252"/>
        <v/>
      </c>
      <c r="AA1065" s="374" t="b">
        <f t="shared" si="253"/>
        <v>1</v>
      </c>
      <c r="AB1065" s="374">
        <f>COUNTIFS(B:B,B1065,H:H,'סיווג התפקידים והעלויות'!$C$2)</f>
        <v>0</v>
      </c>
      <c r="AC1065" s="374">
        <f>COUNTIFS(B:B,B1065,H:H,'סיווג התפקידים והעלויות'!$D$2)</f>
        <v>0</v>
      </c>
      <c r="AD1065" s="374" t="str">
        <f>IF(OR(AND(H1065='סיווג התפקידים והעלויות'!$A$2,I1065='סיווג התפקידים והעלויות'!$A$3),'עלויות כח אדם (6)'!H1065='סיווג התפקידים והעלויות'!$C$2,'עלויות כח אדם (6)'!H1065='סיווג התפקידים והעלויות'!$D$2),IF('עלויות כח אדם (6)'!J1065&lt;75,"לא תקין","תקין"),"")</f>
        <v/>
      </c>
      <c r="AE1065" s="374" t="str">
        <f t="shared" si="254"/>
        <v/>
      </c>
      <c r="AF1065" s="532" t="str">
        <f t="shared" si="255"/>
        <v/>
      </c>
    </row>
    <row r="1066" spans="2:32" x14ac:dyDescent="0.25">
      <c r="B1066" s="695"/>
      <c r="C1066" s="197" t="str">
        <f>IF(B1066&lt;&gt;"",IFERROR(VLOOKUP(B:B,'מצבת והרשמה (2)'!$C$20:$N$520,2,0)," ")," ")</f>
        <v xml:space="preserve"> </v>
      </c>
      <c r="D1066" s="695"/>
      <c r="E1066" s="696"/>
      <c r="F1066" s="696"/>
      <c r="G1066" s="696"/>
      <c r="H1066" s="696"/>
      <c r="I1066" s="1050" t="str">
        <f t="shared" si="242"/>
        <v/>
      </c>
      <c r="J1066" s="696"/>
      <c r="K1066" s="697"/>
      <c r="L1066" s="696"/>
      <c r="M1066" s="198" t="str">
        <f t="shared" si="243"/>
        <v/>
      </c>
      <c r="N1066" s="369" t="str">
        <f t="shared" si="244"/>
        <v/>
      </c>
      <c r="O1066" s="183" t="str">
        <f t="shared" si="245"/>
        <v/>
      </c>
      <c r="P1066" s="199" t="str">
        <f t="shared" si="246"/>
        <v/>
      </c>
      <c r="Q1066" s="199" t="str">
        <f>IF(B1066="","",IFERROR(IF('עלויות כח אדם (6)'!J1066&gt;=VLOOKUP(I1066,'סיווג התפקידים והעלויות'!$B$23:$C$32,2,0),"תקין","לא תקין"),""))</f>
        <v/>
      </c>
      <c r="R1066" s="199" t="str">
        <f t="shared" si="247"/>
        <v/>
      </c>
      <c r="S1066" s="199" t="str">
        <f t="shared" si="248"/>
        <v/>
      </c>
      <c r="T1066" s="199" t="str">
        <f t="shared" si="256"/>
        <v/>
      </c>
      <c r="U1066" s="199" t="str">
        <f t="shared" si="249"/>
        <v/>
      </c>
      <c r="V1066" s="989"/>
      <c r="X1066" s="374" t="str">
        <f t="shared" si="250"/>
        <v/>
      </c>
      <c r="Y1066" s="375" t="str">
        <f t="shared" si="251"/>
        <v/>
      </c>
      <c r="Z1066" s="374" t="str">
        <f t="shared" si="252"/>
        <v/>
      </c>
      <c r="AA1066" s="374" t="b">
        <f t="shared" si="253"/>
        <v>1</v>
      </c>
      <c r="AB1066" s="374">
        <f>COUNTIFS(B:B,B1066,H:H,'סיווג התפקידים והעלויות'!$C$2)</f>
        <v>0</v>
      </c>
      <c r="AC1066" s="374">
        <f>COUNTIFS(B:B,B1066,H:H,'סיווג התפקידים והעלויות'!$D$2)</f>
        <v>0</v>
      </c>
      <c r="AD1066" s="374" t="str">
        <f>IF(OR(AND(H1066='סיווג התפקידים והעלויות'!$A$2,I1066='סיווג התפקידים והעלויות'!$A$3),'עלויות כח אדם (6)'!H1066='סיווג התפקידים והעלויות'!$C$2,'עלויות כח אדם (6)'!H1066='סיווג התפקידים והעלויות'!$D$2),IF('עלויות כח אדם (6)'!J1066&lt;75,"לא תקין","תקין"),"")</f>
        <v/>
      </c>
      <c r="AE1066" s="374" t="str">
        <f t="shared" si="254"/>
        <v/>
      </c>
      <c r="AF1066" s="532" t="str">
        <f t="shared" si="255"/>
        <v/>
      </c>
    </row>
    <row r="1067" spans="2:32" x14ac:dyDescent="0.25">
      <c r="B1067" s="695"/>
      <c r="C1067" s="197" t="str">
        <f>IF(B1067&lt;&gt;"",IFERROR(VLOOKUP(B:B,'מצבת והרשמה (2)'!$C$20:$N$520,2,0)," ")," ")</f>
        <v xml:space="preserve"> </v>
      </c>
      <c r="D1067" s="695"/>
      <c r="E1067" s="696"/>
      <c r="F1067" s="696"/>
      <c r="G1067" s="696"/>
      <c r="H1067" s="696"/>
      <c r="I1067" s="1050" t="str">
        <f t="shared" si="242"/>
        <v/>
      </c>
      <c r="J1067" s="696"/>
      <c r="K1067" s="697"/>
      <c r="L1067" s="696"/>
      <c r="M1067" s="198" t="str">
        <f t="shared" si="243"/>
        <v/>
      </c>
      <c r="N1067" s="369" t="str">
        <f t="shared" si="244"/>
        <v/>
      </c>
      <c r="O1067" s="183" t="str">
        <f t="shared" si="245"/>
        <v/>
      </c>
      <c r="P1067" s="199" t="str">
        <f t="shared" si="246"/>
        <v/>
      </c>
      <c r="Q1067" s="199" t="str">
        <f>IF(B1067="","",IFERROR(IF('עלויות כח אדם (6)'!J1067&gt;=VLOOKUP(I1067,'סיווג התפקידים והעלויות'!$B$23:$C$32,2,0),"תקין","לא תקין"),""))</f>
        <v/>
      </c>
      <c r="R1067" s="199" t="str">
        <f t="shared" si="247"/>
        <v/>
      </c>
      <c r="S1067" s="199" t="str">
        <f t="shared" si="248"/>
        <v/>
      </c>
      <c r="T1067" s="199" t="str">
        <f t="shared" si="256"/>
        <v/>
      </c>
      <c r="U1067" s="199" t="str">
        <f t="shared" si="249"/>
        <v/>
      </c>
      <c r="V1067" s="989"/>
      <c r="X1067" s="374" t="str">
        <f t="shared" si="250"/>
        <v/>
      </c>
      <c r="Y1067" s="375" t="str">
        <f t="shared" si="251"/>
        <v/>
      </c>
      <c r="Z1067" s="374" t="str">
        <f t="shared" si="252"/>
        <v/>
      </c>
      <c r="AA1067" s="374" t="b">
        <f t="shared" si="253"/>
        <v>1</v>
      </c>
      <c r="AB1067" s="374">
        <f>COUNTIFS(B:B,B1067,H:H,'סיווג התפקידים והעלויות'!$C$2)</f>
        <v>0</v>
      </c>
      <c r="AC1067" s="374">
        <f>COUNTIFS(B:B,B1067,H:H,'סיווג התפקידים והעלויות'!$D$2)</f>
        <v>0</v>
      </c>
      <c r="AD1067" s="374" t="str">
        <f>IF(OR(AND(H1067='סיווג התפקידים והעלויות'!$A$2,I1067='סיווג התפקידים והעלויות'!$A$3),'עלויות כח אדם (6)'!H1067='סיווג התפקידים והעלויות'!$C$2,'עלויות כח אדם (6)'!H1067='סיווג התפקידים והעלויות'!$D$2),IF('עלויות כח אדם (6)'!J1067&lt;75,"לא תקין","תקין"),"")</f>
        <v/>
      </c>
      <c r="AE1067" s="374" t="str">
        <f t="shared" si="254"/>
        <v/>
      </c>
      <c r="AF1067" s="532" t="str">
        <f t="shared" si="255"/>
        <v/>
      </c>
    </row>
    <row r="1068" spans="2:32" x14ac:dyDescent="0.25">
      <c r="B1068" s="695"/>
      <c r="C1068" s="197" t="str">
        <f>IF(B1068&lt;&gt;"",IFERROR(VLOOKUP(B:B,'מצבת והרשמה (2)'!$C$20:$N$520,2,0)," ")," ")</f>
        <v xml:space="preserve"> </v>
      </c>
      <c r="D1068" s="695"/>
      <c r="E1068" s="696"/>
      <c r="F1068" s="696"/>
      <c r="G1068" s="696"/>
      <c r="H1068" s="696"/>
      <c r="I1068" s="1050" t="str">
        <f t="shared" si="242"/>
        <v/>
      </c>
      <c r="J1068" s="696"/>
      <c r="K1068" s="697"/>
      <c r="L1068" s="696"/>
      <c r="M1068" s="198" t="str">
        <f t="shared" si="243"/>
        <v/>
      </c>
      <c r="N1068" s="369" t="str">
        <f t="shared" si="244"/>
        <v/>
      </c>
      <c r="O1068" s="183" t="str">
        <f t="shared" si="245"/>
        <v/>
      </c>
      <c r="P1068" s="199" t="str">
        <f t="shared" si="246"/>
        <v/>
      </c>
      <c r="Q1068" s="199" t="str">
        <f>IF(B1068="","",IFERROR(IF('עלויות כח אדם (6)'!J1068&gt;=VLOOKUP(I1068,'סיווג התפקידים והעלויות'!$B$23:$C$32,2,0),"תקין","לא תקין"),""))</f>
        <v/>
      </c>
      <c r="R1068" s="199" t="str">
        <f t="shared" si="247"/>
        <v/>
      </c>
      <c r="S1068" s="199" t="str">
        <f t="shared" si="248"/>
        <v/>
      </c>
      <c r="T1068" s="199" t="str">
        <f t="shared" si="256"/>
        <v/>
      </c>
      <c r="U1068" s="199" t="str">
        <f t="shared" si="249"/>
        <v/>
      </c>
      <c r="V1068" s="989"/>
      <c r="X1068" s="374" t="str">
        <f t="shared" si="250"/>
        <v/>
      </c>
      <c r="Y1068" s="375" t="str">
        <f t="shared" si="251"/>
        <v/>
      </c>
      <c r="Z1068" s="374" t="str">
        <f t="shared" si="252"/>
        <v/>
      </c>
      <c r="AA1068" s="374" t="b">
        <f t="shared" si="253"/>
        <v>1</v>
      </c>
      <c r="AB1068" s="374">
        <f>COUNTIFS(B:B,B1068,H:H,'סיווג התפקידים והעלויות'!$C$2)</f>
        <v>0</v>
      </c>
      <c r="AC1068" s="374">
        <f>COUNTIFS(B:B,B1068,H:H,'סיווג התפקידים והעלויות'!$D$2)</f>
        <v>0</v>
      </c>
      <c r="AD1068" s="374" t="str">
        <f>IF(OR(AND(H1068='סיווג התפקידים והעלויות'!$A$2,I1068='סיווג התפקידים והעלויות'!$A$3),'עלויות כח אדם (6)'!H1068='סיווג התפקידים והעלויות'!$C$2,'עלויות כח אדם (6)'!H1068='סיווג התפקידים והעלויות'!$D$2),IF('עלויות כח אדם (6)'!J1068&lt;75,"לא תקין","תקין"),"")</f>
        <v/>
      </c>
      <c r="AE1068" s="374" t="str">
        <f t="shared" si="254"/>
        <v/>
      </c>
      <c r="AF1068" s="532" t="str">
        <f t="shared" si="255"/>
        <v/>
      </c>
    </row>
    <row r="1069" spans="2:32" x14ac:dyDescent="0.25">
      <c r="B1069" s="695"/>
      <c r="C1069" s="197" t="str">
        <f>IF(B1069&lt;&gt;"",IFERROR(VLOOKUP(B:B,'מצבת והרשמה (2)'!$C$20:$N$520,2,0)," ")," ")</f>
        <v xml:space="preserve"> </v>
      </c>
      <c r="D1069" s="695"/>
      <c r="E1069" s="696"/>
      <c r="F1069" s="696"/>
      <c r="G1069" s="696"/>
      <c r="H1069" s="696"/>
      <c r="I1069" s="1050" t="str">
        <f t="shared" si="242"/>
        <v/>
      </c>
      <c r="J1069" s="696"/>
      <c r="K1069" s="697"/>
      <c r="L1069" s="696"/>
      <c r="M1069" s="198" t="str">
        <f t="shared" si="243"/>
        <v/>
      </c>
      <c r="N1069" s="369" t="str">
        <f t="shared" si="244"/>
        <v/>
      </c>
      <c r="O1069" s="183" t="str">
        <f t="shared" si="245"/>
        <v/>
      </c>
      <c r="P1069" s="199" t="str">
        <f t="shared" si="246"/>
        <v/>
      </c>
      <c r="Q1069" s="199" t="str">
        <f>IF(B1069="","",IFERROR(IF('עלויות כח אדם (6)'!J1069&gt;=VLOOKUP(I1069,'סיווג התפקידים והעלויות'!$B$23:$C$32,2,0),"תקין","לא תקין"),""))</f>
        <v/>
      </c>
      <c r="R1069" s="199" t="str">
        <f t="shared" si="247"/>
        <v/>
      </c>
      <c r="S1069" s="199" t="str">
        <f t="shared" si="248"/>
        <v/>
      </c>
      <c r="T1069" s="199" t="str">
        <f t="shared" si="256"/>
        <v/>
      </c>
      <c r="U1069" s="199" t="str">
        <f t="shared" si="249"/>
        <v/>
      </c>
      <c r="V1069" s="989"/>
      <c r="X1069" s="374" t="str">
        <f t="shared" si="250"/>
        <v/>
      </c>
      <c r="Y1069" s="375" t="str">
        <f t="shared" si="251"/>
        <v/>
      </c>
      <c r="Z1069" s="374" t="str">
        <f t="shared" si="252"/>
        <v/>
      </c>
      <c r="AA1069" s="374" t="b">
        <f t="shared" si="253"/>
        <v>1</v>
      </c>
      <c r="AB1069" s="374">
        <f>COUNTIFS(B:B,B1069,H:H,'סיווג התפקידים והעלויות'!$C$2)</f>
        <v>0</v>
      </c>
      <c r="AC1069" s="374">
        <f>COUNTIFS(B:B,B1069,H:H,'סיווג התפקידים והעלויות'!$D$2)</f>
        <v>0</v>
      </c>
      <c r="AD1069" s="374" t="str">
        <f>IF(OR(AND(H1069='סיווג התפקידים והעלויות'!$A$2,I1069='סיווג התפקידים והעלויות'!$A$3),'עלויות כח אדם (6)'!H1069='סיווג התפקידים והעלויות'!$C$2,'עלויות כח אדם (6)'!H1069='סיווג התפקידים והעלויות'!$D$2),IF('עלויות כח אדם (6)'!J1069&lt;75,"לא תקין","תקין"),"")</f>
        <v/>
      </c>
      <c r="AE1069" s="374" t="str">
        <f t="shared" si="254"/>
        <v/>
      </c>
      <c r="AF1069" s="532" t="str">
        <f t="shared" si="255"/>
        <v/>
      </c>
    </row>
    <row r="1070" spans="2:32" x14ac:dyDescent="0.25">
      <c r="B1070" s="695"/>
      <c r="C1070" s="197" t="str">
        <f>IF(B1070&lt;&gt;"",IFERROR(VLOOKUP(B:B,'מצבת והרשמה (2)'!$C$20:$N$520,2,0)," ")," ")</f>
        <v xml:space="preserve"> </v>
      </c>
      <c r="D1070" s="695"/>
      <c r="E1070" s="696"/>
      <c r="F1070" s="696"/>
      <c r="G1070" s="696"/>
      <c r="H1070" s="696"/>
      <c r="I1070" s="1050" t="str">
        <f t="shared" si="242"/>
        <v/>
      </c>
      <c r="J1070" s="696"/>
      <c r="K1070" s="697"/>
      <c r="L1070" s="696"/>
      <c r="M1070" s="198" t="str">
        <f t="shared" si="243"/>
        <v/>
      </c>
      <c r="N1070" s="369" t="str">
        <f t="shared" si="244"/>
        <v/>
      </c>
      <c r="O1070" s="183" t="str">
        <f t="shared" si="245"/>
        <v/>
      </c>
      <c r="P1070" s="199" t="str">
        <f t="shared" si="246"/>
        <v/>
      </c>
      <c r="Q1070" s="199" t="str">
        <f>IF(B1070="","",IFERROR(IF('עלויות כח אדם (6)'!J1070&gt;=VLOOKUP(I1070,'סיווג התפקידים והעלויות'!$B$23:$C$32,2,0),"תקין","לא תקין"),""))</f>
        <v/>
      </c>
      <c r="R1070" s="199" t="str">
        <f t="shared" si="247"/>
        <v/>
      </c>
      <c r="S1070" s="199" t="str">
        <f t="shared" si="248"/>
        <v/>
      </c>
      <c r="T1070" s="199" t="str">
        <f t="shared" si="256"/>
        <v/>
      </c>
      <c r="U1070" s="199" t="str">
        <f t="shared" si="249"/>
        <v/>
      </c>
      <c r="V1070" s="989"/>
      <c r="X1070" s="374" t="str">
        <f t="shared" si="250"/>
        <v/>
      </c>
      <c r="Y1070" s="375" t="str">
        <f t="shared" si="251"/>
        <v/>
      </c>
      <c r="Z1070" s="374" t="str">
        <f t="shared" si="252"/>
        <v/>
      </c>
      <c r="AA1070" s="374" t="b">
        <f t="shared" si="253"/>
        <v>1</v>
      </c>
      <c r="AB1070" s="374">
        <f>COUNTIFS(B:B,B1070,H:H,'סיווג התפקידים והעלויות'!$C$2)</f>
        <v>0</v>
      </c>
      <c r="AC1070" s="374">
        <f>COUNTIFS(B:B,B1070,H:H,'סיווג התפקידים והעלויות'!$D$2)</f>
        <v>0</v>
      </c>
      <c r="AD1070" s="374" t="str">
        <f>IF(OR(AND(H1070='סיווג התפקידים והעלויות'!$A$2,I1070='סיווג התפקידים והעלויות'!$A$3),'עלויות כח אדם (6)'!H1070='סיווג התפקידים והעלויות'!$C$2,'עלויות כח אדם (6)'!H1070='סיווג התפקידים והעלויות'!$D$2),IF('עלויות כח אדם (6)'!J1070&lt;75,"לא תקין","תקין"),"")</f>
        <v/>
      </c>
      <c r="AE1070" s="374" t="str">
        <f t="shared" si="254"/>
        <v/>
      </c>
      <c r="AF1070" s="532" t="str">
        <f t="shared" si="255"/>
        <v/>
      </c>
    </row>
    <row r="1071" spans="2:32" x14ac:dyDescent="0.25">
      <c r="B1071" s="695"/>
      <c r="C1071" s="197" t="str">
        <f>IF(B1071&lt;&gt;"",IFERROR(VLOOKUP(B:B,'מצבת והרשמה (2)'!$C$20:$N$520,2,0)," ")," ")</f>
        <v xml:space="preserve"> </v>
      </c>
      <c r="D1071" s="695"/>
      <c r="E1071" s="696"/>
      <c r="F1071" s="696"/>
      <c r="G1071" s="696"/>
      <c r="H1071" s="696"/>
      <c r="I1071" s="1050" t="str">
        <f t="shared" si="242"/>
        <v/>
      </c>
      <c r="J1071" s="696"/>
      <c r="K1071" s="697"/>
      <c r="L1071" s="696"/>
      <c r="M1071" s="198" t="str">
        <f t="shared" si="243"/>
        <v/>
      </c>
      <c r="N1071" s="369" t="str">
        <f t="shared" si="244"/>
        <v/>
      </c>
      <c r="O1071" s="183" t="str">
        <f t="shared" si="245"/>
        <v/>
      </c>
      <c r="P1071" s="199" t="str">
        <f t="shared" si="246"/>
        <v/>
      </c>
      <c r="Q1071" s="199" t="str">
        <f>IF(B1071="","",IFERROR(IF('עלויות כח אדם (6)'!J1071&gt;=VLOOKUP(I1071,'סיווג התפקידים והעלויות'!$B$23:$C$32,2,0),"תקין","לא תקין"),""))</f>
        <v/>
      </c>
      <c r="R1071" s="199" t="str">
        <f t="shared" si="247"/>
        <v/>
      </c>
      <c r="S1071" s="199" t="str">
        <f t="shared" si="248"/>
        <v/>
      </c>
      <c r="T1071" s="199" t="str">
        <f t="shared" si="256"/>
        <v/>
      </c>
      <c r="U1071" s="199" t="str">
        <f t="shared" si="249"/>
        <v/>
      </c>
      <c r="V1071" s="989"/>
      <c r="X1071" s="374" t="str">
        <f t="shared" si="250"/>
        <v/>
      </c>
      <c r="Y1071" s="375" t="str">
        <f t="shared" si="251"/>
        <v/>
      </c>
      <c r="Z1071" s="374" t="str">
        <f t="shared" si="252"/>
        <v/>
      </c>
      <c r="AA1071" s="374" t="b">
        <f t="shared" si="253"/>
        <v>1</v>
      </c>
      <c r="AB1071" s="374">
        <f>COUNTIFS(B:B,B1071,H:H,'סיווג התפקידים והעלויות'!$C$2)</f>
        <v>0</v>
      </c>
      <c r="AC1071" s="374">
        <f>COUNTIFS(B:B,B1071,H:H,'סיווג התפקידים והעלויות'!$D$2)</f>
        <v>0</v>
      </c>
      <c r="AD1071" s="374" t="str">
        <f>IF(OR(AND(H1071='סיווג התפקידים והעלויות'!$A$2,I1071='סיווג התפקידים והעלויות'!$A$3),'עלויות כח אדם (6)'!H1071='סיווג התפקידים והעלויות'!$C$2,'עלויות כח אדם (6)'!H1071='סיווג התפקידים והעלויות'!$D$2),IF('עלויות כח אדם (6)'!J1071&lt;75,"לא תקין","תקין"),"")</f>
        <v/>
      </c>
      <c r="AE1071" s="374" t="str">
        <f t="shared" si="254"/>
        <v/>
      </c>
      <c r="AF1071" s="532" t="str">
        <f t="shared" si="255"/>
        <v/>
      </c>
    </row>
    <row r="1072" spans="2:32" x14ac:dyDescent="0.25">
      <c r="B1072" s="695"/>
      <c r="C1072" s="197" t="str">
        <f>IF(B1072&lt;&gt;"",IFERROR(VLOOKUP(B:B,'מצבת והרשמה (2)'!$C$20:$N$520,2,0)," ")," ")</f>
        <v xml:space="preserve"> </v>
      </c>
      <c r="D1072" s="695"/>
      <c r="E1072" s="696"/>
      <c r="F1072" s="696"/>
      <c r="G1072" s="696"/>
      <c r="H1072" s="696"/>
      <c r="I1072" s="1050" t="str">
        <f t="shared" si="242"/>
        <v/>
      </c>
      <c r="J1072" s="696"/>
      <c r="K1072" s="697"/>
      <c r="L1072" s="696"/>
      <c r="M1072" s="198" t="str">
        <f t="shared" si="243"/>
        <v/>
      </c>
      <c r="N1072" s="369" t="str">
        <f t="shared" si="244"/>
        <v/>
      </c>
      <c r="O1072" s="183" t="str">
        <f t="shared" si="245"/>
        <v/>
      </c>
      <c r="P1072" s="199" t="str">
        <f t="shared" si="246"/>
        <v/>
      </c>
      <c r="Q1072" s="199" t="str">
        <f>IF(B1072="","",IFERROR(IF('עלויות כח אדם (6)'!J1072&gt;=VLOOKUP(I1072,'סיווג התפקידים והעלויות'!$B$23:$C$32,2,0),"תקין","לא תקין"),""))</f>
        <v/>
      </c>
      <c r="R1072" s="199" t="str">
        <f t="shared" si="247"/>
        <v/>
      </c>
      <c r="S1072" s="199" t="str">
        <f t="shared" si="248"/>
        <v/>
      </c>
      <c r="T1072" s="199" t="str">
        <f t="shared" si="256"/>
        <v/>
      </c>
      <c r="U1072" s="199" t="str">
        <f t="shared" si="249"/>
        <v/>
      </c>
      <c r="V1072" s="989"/>
      <c r="X1072" s="374" t="str">
        <f t="shared" si="250"/>
        <v/>
      </c>
      <c r="Y1072" s="375" t="str">
        <f t="shared" si="251"/>
        <v/>
      </c>
      <c r="Z1072" s="374" t="str">
        <f t="shared" si="252"/>
        <v/>
      </c>
      <c r="AA1072" s="374" t="b">
        <f t="shared" si="253"/>
        <v>1</v>
      </c>
      <c r="AB1072" s="374">
        <f>COUNTIFS(B:B,B1072,H:H,'סיווג התפקידים והעלויות'!$C$2)</f>
        <v>0</v>
      </c>
      <c r="AC1072" s="374">
        <f>COUNTIFS(B:B,B1072,H:H,'סיווג התפקידים והעלויות'!$D$2)</f>
        <v>0</v>
      </c>
      <c r="AD1072" s="374" t="str">
        <f>IF(OR(AND(H1072='סיווג התפקידים והעלויות'!$A$2,I1072='סיווג התפקידים והעלויות'!$A$3),'עלויות כח אדם (6)'!H1072='סיווג התפקידים והעלויות'!$C$2,'עלויות כח אדם (6)'!H1072='סיווג התפקידים והעלויות'!$D$2),IF('עלויות כח אדם (6)'!J1072&lt;75,"לא תקין","תקין"),"")</f>
        <v/>
      </c>
      <c r="AE1072" s="374" t="str">
        <f t="shared" si="254"/>
        <v/>
      </c>
      <c r="AF1072" s="532" t="str">
        <f t="shared" si="255"/>
        <v/>
      </c>
    </row>
    <row r="1073" spans="2:32" x14ac:dyDescent="0.25">
      <c r="B1073" s="695"/>
      <c r="C1073" s="197" t="str">
        <f>IF(B1073&lt;&gt;"",IFERROR(VLOOKUP(B:B,'מצבת והרשמה (2)'!$C$20:$N$520,2,0)," ")," ")</f>
        <v xml:space="preserve"> </v>
      </c>
      <c r="D1073" s="695"/>
      <c r="E1073" s="696"/>
      <c r="F1073" s="696"/>
      <c r="G1073" s="696"/>
      <c r="H1073" s="696"/>
      <c r="I1073" s="1050" t="str">
        <f t="shared" si="242"/>
        <v/>
      </c>
      <c r="J1073" s="696"/>
      <c r="K1073" s="697"/>
      <c r="L1073" s="696"/>
      <c r="M1073" s="198" t="str">
        <f t="shared" si="243"/>
        <v/>
      </c>
      <c r="N1073" s="369" t="str">
        <f t="shared" si="244"/>
        <v/>
      </c>
      <c r="O1073" s="183" t="str">
        <f t="shared" si="245"/>
        <v/>
      </c>
      <c r="P1073" s="199" t="str">
        <f t="shared" si="246"/>
        <v/>
      </c>
      <c r="Q1073" s="199" t="str">
        <f>IF(B1073="","",IFERROR(IF('עלויות כח אדם (6)'!J1073&gt;=VLOOKUP(I1073,'סיווג התפקידים והעלויות'!$B$23:$C$32,2,0),"תקין","לא תקין"),""))</f>
        <v/>
      </c>
      <c r="R1073" s="199" t="str">
        <f t="shared" si="247"/>
        <v/>
      </c>
      <c r="S1073" s="199" t="str">
        <f t="shared" si="248"/>
        <v/>
      </c>
      <c r="T1073" s="199" t="str">
        <f t="shared" si="256"/>
        <v/>
      </c>
      <c r="U1073" s="199" t="str">
        <f t="shared" si="249"/>
        <v/>
      </c>
      <c r="V1073" s="989"/>
      <c r="X1073" s="374" t="str">
        <f t="shared" si="250"/>
        <v/>
      </c>
      <c r="Y1073" s="375" t="str">
        <f t="shared" si="251"/>
        <v/>
      </c>
      <c r="Z1073" s="374" t="str">
        <f t="shared" si="252"/>
        <v/>
      </c>
      <c r="AA1073" s="374" t="b">
        <f t="shared" si="253"/>
        <v>1</v>
      </c>
      <c r="AB1073" s="374">
        <f>COUNTIFS(B:B,B1073,H:H,'סיווג התפקידים והעלויות'!$C$2)</f>
        <v>0</v>
      </c>
      <c r="AC1073" s="374">
        <f>COUNTIFS(B:B,B1073,H:H,'סיווג התפקידים והעלויות'!$D$2)</f>
        <v>0</v>
      </c>
      <c r="AD1073" s="374" t="str">
        <f>IF(OR(AND(H1073='סיווג התפקידים והעלויות'!$A$2,I1073='סיווג התפקידים והעלויות'!$A$3),'עלויות כח אדם (6)'!H1073='סיווג התפקידים והעלויות'!$C$2,'עלויות כח אדם (6)'!H1073='סיווג התפקידים והעלויות'!$D$2),IF('עלויות כח אדם (6)'!J1073&lt;75,"לא תקין","תקין"),"")</f>
        <v/>
      </c>
      <c r="AE1073" s="374" t="str">
        <f t="shared" si="254"/>
        <v/>
      </c>
      <c r="AF1073" s="532" t="str">
        <f t="shared" si="255"/>
        <v/>
      </c>
    </row>
    <row r="1074" spans="2:32" x14ac:dyDescent="0.25">
      <c r="B1074" s="695"/>
      <c r="C1074" s="197" t="str">
        <f>IF(B1074&lt;&gt;"",IFERROR(VLOOKUP(B:B,'מצבת והרשמה (2)'!$C$20:$N$520,2,0)," ")," ")</f>
        <v xml:space="preserve"> </v>
      </c>
      <c r="D1074" s="695"/>
      <c r="E1074" s="696"/>
      <c r="F1074" s="696"/>
      <c r="G1074" s="696"/>
      <c r="H1074" s="696"/>
      <c r="I1074" s="1050" t="str">
        <f t="shared" si="242"/>
        <v/>
      </c>
      <c r="J1074" s="696"/>
      <c r="K1074" s="697"/>
      <c r="L1074" s="696"/>
      <c r="M1074" s="198" t="str">
        <f t="shared" si="243"/>
        <v/>
      </c>
      <c r="N1074" s="369" t="str">
        <f t="shared" si="244"/>
        <v/>
      </c>
      <c r="O1074" s="183" t="str">
        <f t="shared" si="245"/>
        <v/>
      </c>
      <c r="P1074" s="199" t="str">
        <f t="shared" si="246"/>
        <v/>
      </c>
      <c r="Q1074" s="199" t="str">
        <f>IF(B1074="","",IFERROR(IF('עלויות כח אדם (6)'!J1074&gt;=VLOOKUP(I1074,'סיווג התפקידים והעלויות'!$B$23:$C$32,2,0),"תקין","לא תקין"),""))</f>
        <v/>
      </c>
      <c r="R1074" s="199" t="str">
        <f t="shared" si="247"/>
        <v/>
      </c>
      <c r="S1074" s="199" t="str">
        <f t="shared" si="248"/>
        <v/>
      </c>
      <c r="T1074" s="199" t="str">
        <f t="shared" si="256"/>
        <v/>
      </c>
      <c r="U1074" s="199" t="str">
        <f t="shared" si="249"/>
        <v/>
      </c>
      <c r="V1074" s="989"/>
      <c r="X1074" s="374" t="str">
        <f t="shared" si="250"/>
        <v/>
      </c>
      <c r="Y1074" s="375" t="str">
        <f t="shared" si="251"/>
        <v/>
      </c>
      <c r="Z1074" s="374" t="str">
        <f t="shared" si="252"/>
        <v/>
      </c>
      <c r="AA1074" s="374" t="b">
        <f t="shared" si="253"/>
        <v>1</v>
      </c>
      <c r="AB1074" s="374">
        <f>COUNTIFS(B:B,B1074,H:H,'סיווג התפקידים והעלויות'!$C$2)</f>
        <v>0</v>
      </c>
      <c r="AC1074" s="374">
        <f>COUNTIFS(B:B,B1074,H:H,'סיווג התפקידים והעלויות'!$D$2)</f>
        <v>0</v>
      </c>
      <c r="AD1074" s="374" t="str">
        <f>IF(OR(AND(H1074='סיווג התפקידים והעלויות'!$A$2,I1074='סיווג התפקידים והעלויות'!$A$3),'עלויות כח אדם (6)'!H1074='סיווג התפקידים והעלויות'!$C$2,'עלויות כח אדם (6)'!H1074='סיווג התפקידים והעלויות'!$D$2),IF('עלויות כח אדם (6)'!J1074&lt;75,"לא תקין","תקין"),"")</f>
        <v/>
      </c>
      <c r="AE1074" s="374" t="str">
        <f t="shared" si="254"/>
        <v/>
      </c>
      <c r="AF1074" s="532" t="str">
        <f t="shared" si="255"/>
        <v/>
      </c>
    </row>
    <row r="1075" spans="2:32" x14ac:dyDescent="0.25">
      <c r="B1075" s="695"/>
      <c r="C1075" s="197" t="str">
        <f>IF(B1075&lt;&gt;"",IFERROR(VLOOKUP(B:B,'מצבת והרשמה (2)'!$C$20:$N$520,2,0)," ")," ")</f>
        <v xml:space="preserve"> </v>
      </c>
      <c r="D1075" s="695"/>
      <c r="E1075" s="696"/>
      <c r="F1075" s="696"/>
      <c r="G1075" s="696"/>
      <c r="H1075" s="696"/>
      <c r="I1075" s="1050" t="str">
        <f t="shared" si="242"/>
        <v/>
      </c>
      <c r="J1075" s="696"/>
      <c r="K1075" s="697"/>
      <c r="L1075" s="696"/>
      <c r="M1075" s="198" t="str">
        <f t="shared" si="243"/>
        <v/>
      </c>
      <c r="N1075" s="369" t="str">
        <f t="shared" si="244"/>
        <v/>
      </c>
      <c r="O1075" s="183" t="str">
        <f t="shared" si="245"/>
        <v/>
      </c>
      <c r="P1075" s="199" t="str">
        <f t="shared" si="246"/>
        <v/>
      </c>
      <c r="Q1075" s="199" t="str">
        <f>IF(B1075="","",IFERROR(IF('עלויות כח אדם (6)'!J1075&gt;=VLOOKUP(I1075,'סיווג התפקידים והעלויות'!$B$23:$C$32,2,0),"תקין","לא תקין"),""))</f>
        <v/>
      </c>
      <c r="R1075" s="199" t="str">
        <f t="shared" si="247"/>
        <v/>
      </c>
      <c r="S1075" s="199" t="str">
        <f t="shared" si="248"/>
        <v/>
      </c>
      <c r="T1075" s="199" t="str">
        <f t="shared" si="256"/>
        <v/>
      </c>
      <c r="U1075" s="199" t="str">
        <f t="shared" si="249"/>
        <v/>
      </c>
      <c r="V1075" s="989"/>
      <c r="X1075" s="374" t="str">
        <f t="shared" si="250"/>
        <v/>
      </c>
      <c r="Y1075" s="375" t="str">
        <f t="shared" si="251"/>
        <v/>
      </c>
      <c r="Z1075" s="374" t="str">
        <f t="shared" si="252"/>
        <v/>
      </c>
      <c r="AA1075" s="374" t="b">
        <f t="shared" si="253"/>
        <v>1</v>
      </c>
      <c r="AB1075" s="374">
        <f>COUNTIFS(B:B,B1075,H:H,'סיווג התפקידים והעלויות'!$C$2)</f>
        <v>0</v>
      </c>
      <c r="AC1075" s="374">
        <f>COUNTIFS(B:B,B1075,H:H,'סיווג התפקידים והעלויות'!$D$2)</f>
        <v>0</v>
      </c>
      <c r="AD1075" s="374" t="str">
        <f>IF(OR(AND(H1075='סיווג התפקידים והעלויות'!$A$2,I1075='סיווג התפקידים והעלויות'!$A$3),'עלויות כח אדם (6)'!H1075='סיווג התפקידים והעלויות'!$C$2,'עלויות כח אדם (6)'!H1075='סיווג התפקידים והעלויות'!$D$2),IF('עלויות כח אדם (6)'!J1075&lt;75,"לא תקין","תקין"),"")</f>
        <v/>
      </c>
      <c r="AE1075" s="374" t="str">
        <f t="shared" si="254"/>
        <v/>
      </c>
      <c r="AF1075" s="532" t="str">
        <f t="shared" si="255"/>
        <v/>
      </c>
    </row>
    <row r="1076" spans="2:32" x14ac:dyDescent="0.25">
      <c r="B1076" s="695"/>
      <c r="C1076" s="197" t="str">
        <f>IF(B1076&lt;&gt;"",IFERROR(VLOOKUP(B:B,'מצבת והרשמה (2)'!$C$20:$N$520,2,0)," ")," ")</f>
        <v xml:space="preserve"> </v>
      </c>
      <c r="D1076" s="695"/>
      <c r="E1076" s="696"/>
      <c r="F1076" s="696"/>
      <c r="G1076" s="696"/>
      <c r="H1076" s="696"/>
      <c r="I1076" s="1050" t="str">
        <f t="shared" si="242"/>
        <v/>
      </c>
      <c r="J1076" s="696"/>
      <c r="K1076" s="697"/>
      <c r="L1076" s="696"/>
      <c r="M1076" s="198" t="str">
        <f t="shared" si="243"/>
        <v/>
      </c>
      <c r="N1076" s="369" t="str">
        <f t="shared" si="244"/>
        <v/>
      </c>
      <c r="O1076" s="183" t="str">
        <f t="shared" si="245"/>
        <v/>
      </c>
      <c r="P1076" s="199" t="str">
        <f t="shared" si="246"/>
        <v/>
      </c>
      <c r="Q1076" s="199" t="str">
        <f>IF(B1076="","",IFERROR(IF('עלויות כח אדם (6)'!J1076&gt;=VLOOKUP(I1076,'סיווג התפקידים והעלויות'!$B$23:$C$32,2,0),"תקין","לא תקין"),""))</f>
        <v/>
      </c>
      <c r="R1076" s="199" t="str">
        <f t="shared" si="247"/>
        <v/>
      </c>
      <c r="S1076" s="199" t="str">
        <f t="shared" si="248"/>
        <v/>
      </c>
      <c r="T1076" s="199" t="str">
        <f t="shared" si="256"/>
        <v/>
      </c>
      <c r="U1076" s="199" t="str">
        <f t="shared" si="249"/>
        <v/>
      </c>
      <c r="V1076" s="989"/>
      <c r="X1076" s="374" t="str">
        <f t="shared" si="250"/>
        <v/>
      </c>
      <c r="Y1076" s="375" t="str">
        <f t="shared" si="251"/>
        <v/>
      </c>
      <c r="Z1076" s="374" t="str">
        <f t="shared" si="252"/>
        <v/>
      </c>
      <c r="AA1076" s="374" t="b">
        <f t="shared" si="253"/>
        <v>1</v>
      </c>
      <c r="AB1076" s="374">
        <f>COUNTIFS(B:B,B1076,H:H,'סיווג התפקידים והעלויות'!$C$2)</f>
        <v>0</v>
      </c>
      <c r="AC1076" s="374">
        <f>COUNTIFS(B:B,B1076,H:H,'סיווג התפקידים והעלויות'!$D$2)</f>
        <v>0</v>
      </c>
      <c r="AD1076" s="374" t="str">
        <f>IF(OR(AND(H1076='סיווג התפקידים והעלויות'!$A$2,I1076='סיווג התפקידים והעלויות'!$A$3),'עלויות כח אדם (6)'!H1076='סיווג התפקידים והעלויות'!$C$2,'עלויות כח אדם (6)'!H1076='סיווג התפקידים והעלויות'!$D$2),IF('עלויות כח אדם (6)'!J1076&lt;75,"לא תקין","תקין"),"")</f>
        <v/>
      </c>
      <c r="AE1076" s="374" t="str">
        <f t="shared" si="254"/>
        <v/>
      </c>
      <c r="AF1076" s="532" t="str">
        <f t="shared" si="255"/>
        <v/>
      </c>
    </row>
    <row r="1077" spans="2:32" x14ac:dyDescent="0.25">
      <c r="B1077" s="695"/>
      <c r="C1077" s="197" t="str">
        <f>IF(B1077&lt;&gt;"",IFERROR(VLOOKUP(B:B,'מצבת והרשמה (2)'!$C$20:$N$520,2,0)," ")," ")</f>
        <v xml:space="preserve"> </v>
      </c>
      <c r="D1077" s="695"/>
      <c r="E1077" s="696"/>
      <c r="F1077" s="696"/>
      <c r="G1077" s="696"/>
      <c r="H1077" s="696"/>
      <c r="I1077" s="1050" t="str">
        <f t="shared" si="242"/>
        <v/>
      </c>
      <c r="J1077" s="696"/>
      <c r="K1077" s="697"/>
      <c r="L1077" s="696"/>
      <c r="M1077" s="198" t="str">
        <f t="shared" si="243"/>
        <v/>
      </c>
      <c r="N1077" s="369" t="str">
        <f t="shared" si="244"/>
        <v/>
      </c>
      <c r="O1077" s="183" t="str">
        <f t="shared" si="245"/>
        <v/>
      </c>
      <c r="P1077" s="199" t="str">
        <f t="shared" si="246"/>
        <v/>
      </c>
      <c r="Q1077" s="199" t="str">
        <f>IF(B1077="","",IFERROR(IF('עלויות כח אדם (6)'!J1077&gt;=VLOOKUP(I1077,'סיווג התפקידים והעלויות'!$B$23:$C$32,2,0),"תקין","לא תקין"),""))</f>
        <v/>
      </c>
      <c r="R1077" s="199" t="str">
        <f t="shared" si="247"/>
        <v/>
      </c>
      <c r="S1077" s="199" t="str">
        <f t="shared" si="248"/>
        <v/>
      </c>
      <c r="T1077" s="199" t="str">
        <f t="shared" si="256"/>
        <v/>
      </c>
      <c r="U1077" s="199" t="str">
        <f t="shared" si="249"/>
        <v/>
      </c>
      <c r="V1077" s="989"/>
      <c r="X1077" s="374" t="str">
        <f t="shared" si="250"/>
        <v/>
      </c>
      <c r="Y1077" s="375" t="str">
        <f t="shared" si="251"/>
        <v/>
      </c>
      <c r="Z1077" s="374" t="str">
        <f t="shared" si="252"/>
        <v/>
      </c>
      <c r="AA1077" s="374" t="b">
        <f t="shared" si="253"/>
        <v>1</v>
      </c>
      <c r="AB1077" s="374">
        <f>COUNTIFS(B:B,B1077,H:H,'סיווג התפקידים והעלויות'!$C$2)</f>
        <v>0</v>
      </c>
      <c r="AC1077" s="374">
        <f>COUNTIFS(B:B,B1077,H:H,'סיווג התפקידים והעלויות'!$D$2)</f>
        <v>0</v>
      </c>
      <c r="AD1077" s="374" t="str">
        <f>IF(OR(AND(H1077='סיווג התפקידים והעלויות'!$A$2,I1077='סיווג התפקידים והעלויות'!$A$3),'עלויות כח אדם (6)'!H1077='סיווג התפקידים והעלויות'!$C$2,'עלויות כח אדם (6)'!H1077='סיווג התפקידים והעלויות'!$D$2),IF('עלויות כח אדם (6)'!J1077&lt;75,"לא תקין","תקין"),"")</f>
        <v/>
      </c>
      <c r="AE1077" s="374" t="str">
        <f t="shared" si="254"/>
        <v/>
      </c>
      <c r="AF1077" s="532" t="str">
        <f t="shared" si="255"/>
        <v/>
      </c>
    </row>
    <row r="1078" spans="2:32" x14ac:dyDescent="0.25">
      <c r="B1078" s="695"/>
      <c r="C1078" s="197" t="str">
        <f>IF(B1078&lt;&gt;"",IFERROR(VLOOKUP(B:B,'מצבת והרשמה (2)'!$C$20:$N$520,2,0)," ")," ")</f>
        <v xml:space="preserve"> </v>
      </c>
      <c r="D1078" s="695"/>
      <c r="E1078" s="696"/>
      <c r="F1078" s="696"/>
      <c r="G1078" s="696"/>
      <c r="H1078" s="696"/>
      <c r="I1078" s="1050" t="str">
        <f t="shared" si="242"/>
        <v/>
      </c>
      <c r="J1078" s="696"/>
      <c r="K1078" s="697"/>
      <c r="L1078" s="696"/>
      <c r="M1078" s="198" t="str">
        <f t="shared" si="243"/>
        <v/>
      </c>
      <c r="N1078" s="369" t="str">
        <f t="shared" si="244"/>
        <v/>
      </c>
      <c r="O1078" s="183" t="str">
        <f t="shared" si="245"/>
        <v/>
      </c>
      <c r="P1078" s="199" t="str">
        <f t="shared" si="246"/>
        <v/>
      </c>
      <c r="Q1078" s="199" t="str">
        <f>IF(B1078="","",IFERROR(IF('עלויות כח אדם (6)'!J1078&gt;=VLOOKUP(I1078,'סיווג התפקידים והעלויות'!$B$23:$C$32,2,0),"תקין","לא תקין"),""))</f>
        <v/>
      </c>
      <c r="R1078" s="199" t="str">
        <f t="shared" si="247"/>
        <v/>
      </c>
      <c r="S1078" s="199" t="str">
        <f t="shared" si="248"/>
        <v/>
      </c>
      <c r="T1078" s="199" t="str">
        <f t="shared" si="256"/>
        <v/>
      </c>
      <c r="U1078" s="199" t="str">
        <f t="shared" si="249"/>
        <v/>
      </c>
      <c r="V1078" s="989"/>
      <c r="X1078" s="374" t="str">
        <f t="shared" si="250"/>
        <v/>
      </c>
      <c r="Y1078" s="375" t="str">
        <f t="shared" si="251"/>
        <v/>
      </c>
      <c r="Z1078" s="374" t="str">
        <f t="shared" si="252"/>
        <v/>
      </c>
      <c r="AA1078" s="374" t="b">
        <f t="shared" si="253"/>
        <v>1</v>
      </c>
      <c r="AB1078" s="374">
        <f>COUNTIFS(B:B,B1078,H:H,'סיווג התפקידים והעלויות'!$C$2)</f>
        <v>0</v>
      </c>
      <c r="AC1078" s="374">
        <f>COUNTIFS(B:B,B1078,H:H,'סיווג התפקידים והעלויות'!$D$2)</f>
        <v>0</v>
      </c>
      <c r="AD1078" s="374" t="str">
        <f>IF(OR(AND(H1078='סיווג התפקידים והעלויות'!$A$2,I1078='סיווג התפקידים והעלויות'!$A$3),'עלויות כח אדם (6)'!H1078='סיווג התפקידים והעלויות'!$C$2,'עלויות כח אדם (6)'!H1078='סיווג התפקידים והעלויות'!$D$2),IF('עלויות כח אדם (6)'!J1078&lt;75,"לא תקין","תקין"),"")</f>
        <v/>
      </c>
      <c r="AE1078" s="374" t="str">
        <f t="shared" si="254"/>
        <v/>
      </c>
      <c r="AF1078" s="532" t="str">
        <f t="shared" si="255"/>
        <v/>
      </c>
    </row>
    <row r="1079" spans="2:32" x14ac:dyDescent="0.25">
      <c r="B1079" s="695"/>
      <c r="C1079" s="197" t="str">
        <f>IF(B1079&lt;&gt;"",IFERROR(VLOOKUP(B:B,'מצבת והרשמה (2)'!$C$20:$N$520,2,0)," ")," ")</f>
        <v xml:space="preserve"> </v>
      </c>
      <c r="D1079" s="695"/>
      <c r="E1079" s="696"/>
      <c r="F1079" s="696"/>
      <c r="G1079" s="696"/>
      <c r="H1079" s="696"/>
      <c r="I1079" s="1050" t="str">
        <f t="shared" si="242"/>
        <v/>
      </c>
      <c r="J1079" s="696"/>
      <c r="K1079" s="697"/>
      <c r="L1079" s="696"/>
      <c r="M1079" s="198" t="str">
        <f t="shared" si="243"/>
        <v/>
      </c>
      <c r="N1079" s="369" t="str">
        <f t="shared" si="244"/>
        <v/>
      </c>
      <c r="O1079" s="183" t="str">
        <f t="shared" si="245"/>
        <v/>
      </c>
      <c r="P1079" s="199" t="str">
        <f t="shared" si="246"/>
        <v/>
      </c>
      <c r="Q1079" s="199" t="str">
        <f>IF(B1079="","",IFERROR(IF('עלויות כח אדם (6)'!J1079&gt;=VLOOKUP(I1079,'סיווג התפקידים והעלויות'!$B$23:$C$32,2,0),"תקין","לא תקין"),""))</f>
        <v/>
      </c>
      <c r="R1079" s="199" t="str">
        <f t="shared" si="247"/>
        <v/>
      </c>
      <c r="S1079" s="199" t="str">
        <f t="shared" si="248"/>
        <v/>
      </c>
      <c r="T1079" s="199" t="str">
        <f t="shared" si="256"/>
        <v/>
      </c>
      <c r="U1079" s="199" t="str">
        <f t="shared" si="249"/>
        <v/>
      </c>
      <c r="V1079" s="989"/>
      <c r="X1079" s="374" t="str">
        <f t="shared" si="250"/>
        <v/>
      </c>
      <c r="Y1079" s="375" t="str">
        <f t="shared" si="251"/>
        <v/>
      </c>
      <c r="Z1079" s="374" t="str">
        <f t="shared" si="252"/>
        <v/>
      </c>
      <c r="AA1079" s="374" t="b">
        <f t="shared" si="253"/>
        <v>1</v>
      </c>
      <c r="AB1079" s="374">
        <f>COUNTIFS(B:B,B1079,H:H,'סיווג התפקידים והעלויות'!$C$2)</f>
        <v>0</v>
      </c>
      <c r="AC1079" s="374">
        <f>COUNTIFS(B:B,B1079,H:H,'סיווג התפקידים והעלויות'!$D$2)</f>
        <v>0</v>
      </c>
      <c r="AD1079" s="374" t="str">
        <f>IF(OR(AND(H1079='סיווג התפקידים והעלויות'!$A$2,I1079='סיווג התפקידים והעלויות'!$A$3),'עלויות כח אדם (6)'!H1079='סיווג התפקידים והעלויות'!$C$2,'עלויות כח אדם (6)'!H1079='סיווג התפקידים והעלויות'!$D$2),IF('עלויות כח אדם (6)'!J1079&lt;75,"לא תקין","תקין"),"")</f>
        <v/>
      </c>
      <c r="AE1079" s="374" t="str">
        <f t="shared" si="254"/>
        <v/>
      </c>
      <c r="AF1079" s="532" t="str">
        <f t="shared" si="255"/>
        <v/>
      </c>
    </row>
    <row r="1080" spans="2:32" x14ac:dyDescent="0.25">
      <c r="B1080" s="695"/>
      <c r="C1080" s="197" t="str">
        <f>IF(B1080&lt;&gt;"",IFERROR(VLOOKUP(B:B,'מצבת והרשמה (2)'!$C$20:$N$520,2,0)," ")," ")</f>
        <v xml:space="preserve"> </v>
      </c>
      <c r="D1080" s="695"/>
      <c r="E1080" s="696"/>
      <c r="F1080" s="696"/>
      <c r="G1080" s="696"/>
      <c r="H1080" s="696"/>
      <c r="I1080" s="1050" t="str">
        <f t="shared" si="242"/>
        <v/>
      </c>
      <c r="J1080" s="696"/>
      <c r="K1080" s="697"/>
      <c r="L1080" s="696"/>
      <c r="M1080" s="198" t="str">
        <f t="shared" si="243"/>
        <v/>
      </c>
      <c r="N1080" s="369" t="str">
        <f t="shared" si="244"/>
        <v/>
      </c>
      <c r="O1080" s="183" t="str">
        <f t="shared" si="245"/>
        <v/>
      </c>
      <c r="P1080" s="199" t="str">
        <f t="shared" si="246"/>
        <v/>
      </c>
      <c r="Q1080" s="199" t="str">
        <f>IF(B1080="","",IFERROR(IF('עלויות כח אדם (6)'!J1080&gt;=VLOOKUP(I1080,'סיווג התפקידים והעלויות'!$B$23:$C$32,2,0),"תקין","לא תקין"),""))</f>
        <v/>
      </c>
      <c r="R1080" s="199" t="str">
        <f t="shared" si="247"/>
        <v/>
      </c>
      <c r="S1080" s="199" t="str">
        <f t="shared" si="248"/>
        <v/>
      </c>
      <c r="T1080" s="199" t="str">
        <f t="shared" si="256"/>
        <v/>
      </c>
      <c r="U1080" s="199" t="str">
        <f t="shared" si="249"/>
        <v/>
      </c>
      <c r="V1080" s="989"/>
      <c r="X1080" s="374" t="str">
        <f t="shared" si="250"/>
        <v/>
      </c>
      <c r="Y1080" s="375" t="str">
        <f t="shared" si="251"/>
        <v/>
      </c>
      <c r="Z1080" s="374" t="str">
        <f t="shared" si="252"/>
        <v/>
      </c>
      <c r="AA1080" s="374" t="b">
        <f t="shared" si="253"/>
        <v>1</v>
      </c>
      <c r="AB1080" s="374">
        <f>COUNTIFS(B:B,B1080,H:H,'סיווג התפקידים והעלויות'!$C$2)</f>
        <v>0</v>
      </c>
      <c r="AC1080" s="374">
        <f>COUNTIFS(B:B,B1080,H:H,'סיווג התפקידים והעלויות'!$D$2)</f>
        <v>0</v>
      </c>
      <c r="AD1080" s="374" t="str">
        <f>IF(OR(AND(H1080='סיווג התפקידים והעלויות'!$A$2,I1080='סיווג התפקידים והעלויות'!$A$3),'עלויות כח אדם (6)'!H1080='סיווג התפקידים והעלויות'!$C$2,'עלויות כח אדם (6)'!H1080='סיווג התפקידים והעלויות'!$D$2),IF('עלויות כח אדם (6)'!J1080&lt;75,"לא תקין","תקין"),"")</f>
        <v/>
      </c>
      <c r="AE1080" s="374" t="str">
        <f t="shared" si="254"/>
        <v/>
      </c>
      <c r="AF1080" s="532" t="str">
        <f t="shared" si="255"/>
        <v/>
      </c>
    </row>
    <row r="1081" spans="2:32" x14ac:dyDescent="0.25">
      <c r="B1081" s="695"/>
      <c r="C1081" s="197" t="str">
        <f>IF(B1081&lt;&gt;"",IFERROR(VLOOKUP(B:B,'מצבת והרשמה (2)'!$C$20:$N$520,2,0)," ")," ")</f>
        <v xml:space="preserve"> </v>
      </c>
      <c r="D1081" s="695"/>
      <c r="E1081" s="696"/>
      <c r="F1081" s="696"/>
      <c r="G1081" s="696"/>
      <c r="H1081" s="696"/>
      <c r="I1081" s="1050" t="str">
        <f t="shared" si="242"/>
        <v/>
      </c>
      <c r="J1081" s="696"/>
      <c r="K1081" s="697"/>
      <c r="L1081" s="696"/>
      <c r="M1081" s="198" t="str">
        <f t="shared" si="243"/>
        <v/>
      </c>
      <c r="N1081" s="369" t="str">
        <f t="shared" si="244"/>
        <v/>
      </c>
      <c r="O1081" s="183" t="str">
        <f t="shared" si="245"/>
        <v/>
      </c>
      <c r="P1081" s="199" t="str">
        <f t="shared" si="246"/>
        <v/>
      </c>
      <c r="Q1081" s="199" t="str">
        <f>IF(B1081="","",IFERROR(IF('עלויות כח אדם (6)'!J1081&gt;=VLOOKUP(I1081,'סיווג התפקידים והעלויות'!$B$23:$C$32,2,0),"תקין","לא תקין"),""))</f>
        <v/>
      </c>
      <c r="R1081" s="199" t="str">
        <f t="shared" si="247"/>
        <v/>
      </c>
      <c r="S1081" s="199" t="str">
        <f t="shared" si="248"/>
        <v/>
      </c>
      <c r="T1081" s="199" t="str">
        <f t="shared" si="256"/>
        <v/>
      </c>
      <c r="U1081" s="199" t="str">
        <f t="shared" si="249"/>
        <v/>
      </c>
      <c r="V1081" s="989"/>
      <c r="X1081" s="374" t="str">
        <f t="shared" si="250"/>
        <v/>
      </c>
      <c r="Y1081" s="375" t="str">
        <f t="shared" si="251"/>
        <v/>
      </c>
      <c r="Z1081" s="374" t="str">
        <f t="shared" si="252"/>
        <v/>
      </c>
      <c r="AA1081" s="374" t="b">
        <f t="shared" si="253"/>
        <v>1</v>
      </c>
      <c r="AB1081" s="374">
        <f>COUNTIFS(B:B,B1081,H:H,'סיווג התפקידים והעלויות'!$C$2)</f>
        <v>0</v>
      </c>
      <c r="AC1081" s="374">
        <f>COUNTIFS(B:B,B1081,H:H,'סיווג התפקידים והעלויות'!$D$2)</f>
        <v>0</v>
      </c>
      <c r="AD1081" s="374" t="str">
        <f>IF(OR(AND(H1081='סיווג התפקידים והעלויות'!$A$2,I1081='סיווג התפקידים והעלויות'!$A$3),'עלויות כח אדם (6)'!H1081='סיווג התפקידים והעלויות'!$C$2,'עלויות כח אדם (6)'!H1081='סיווג התפקידים והעלויות'!$D$2),IF('עלויות כח אדם (6)'!J1081&lt;75,"לא תקין","תקין"),"")</f>
        <v/>
      </c>
      <c r="AE1081" s="374" t="str">
        <f t="shared" si="254"/>
        <v/>
      </c>
      <c r="AF1081" s="532" t="str">
        <f t="shared" si="255"/>
        <v/>
      </c>
    </row>
    <row r="1082" spans="2:32" x14ac:dyDescent="0.25">
      <c r="B1082" s="695"/>
      <c r="C1082" s="197" t="str">
        <f>IF(B1082&lt;&gt;"",IFERROR(VLOOKUP(B:B,'מצבת והרשמה (2)'!$C$20:$N$520,2,0)," ")," ")</f>
        <v xml:space="preserve"> </v>
      </c>
      <c r="D1082" s="695"/>
      <c r="E1082" s="696"/>
      <c r="F1082" s="696"/>
      <c r="G1082" s="696"/>
      <c r="H1082" s="696"/>
      <c r="I1082" s="1050" t="str">
        <f t="shared" si="242"/>
        <v/>
      </c>
      <c r="J1082" s="696"/>
      <c r="K1082" s="697"/>
      <c r="L1082" s="696"/>
      <c r="M1082" s="198" t="str">
        <f t="shared" si="243"/>
        <v/>
      </c>
      <c r="N1082" s="369" t="str">
        <f t="shared" si="244"/>
        <v/>
      </c>
      <c r="O1082" s="183" t="str">
        <f t="shared" si="245"/>
        <v/>
      </c>
      <c r="P1082" s="199" t="str">
        <f t="shared" si="246"/>
        <v/>
      </c>
      <c r="Q1082" s="199" t="str">
        <f>IF(B1082="","",IFERROR(IF('עלויות כח אדם (6)'!J1082&gt;=VLOOKUP(I1082,'סיווג התפקידים והעלויות'!$B$23:$C$32,2,0),"תקין","לא תקין"),""))</f>
        <v/>
      </c>
      <c r="R1082" s="199" t="str">
        <f t="shared" si="247"/>
        <v/>
      </c>
      <c r="S1082" s="199" t="str">
        <f t="shared" si="248"/>
        <v/>
      </c>
      <c r="T1082" s="199" t="str">
        <f t="shared" si="256"/>
        <v/>
      </c>
      <c r="U1082" s="199" t="str">
        <f t="shared" si="249"/>
        <v/>
      </c>
      <c r="V1082" s="989"/>
      <c r="X1082" s="374" t="str">
        <f t="shared" si="250"/>
        <v/>
      </c>
      <c r="Y1082" s="375" t="str">
        <f t="shared" si="251"/>
        <v/>
      </c>
      <c r="Z1082" s="374" t="str">
        <f t="shared" si="252"/>
        <v/>
      </c>
      <c r="AA1082" s="374" t="b">
        <f t="shared" si="253"/>
        <v>1</v>
      </c>
      <c r="AB1082" s="374">
        <f>COUNTIFS(B:B,B1082,H:H,'סיווג התפקידים והעלויות'!$C$2)</f>
        <v>0</v>
      </c>
      <c r="AC1082" s="374">
        <f>COUNTIFS(B:B,B1082,H:H,'סיווג התפקידים והעלויות'!$D$2)</f>
        <v>0</v>
      </c>
      <c r="AD1082" s="374" t="str">
        <f>IF(OR(AND(H1082='סיווג התפקידים והעלויות'!$A$2,I1082='סיווג התפקידים והעלויות'!$A$3),'עלויות כח אדם (6)'!H1082='סיווג התפקידים והעלויות'!$C$2,'עלויות כח אדם (6)'!H1082='סיווג התפקידים והעלויות'!$D$2),IF('עלויות כח אדם (6)'!J1082&lt;75,"לא תקין","תקין"),"")</f>
        <v/>
      </c>
      <c r="AE1082" s="374" t="str">
        <f t="shared" si="254"/>
        <v/>
      </c>
      <c r="AF1082" s="532" t="str">
        <f t="shared" si="255"/>
        <v/>
      </c>
    </row>
    <row r="1083" spans="2:32" x14ac:dyDescent="0.25">
      <c r="B1083" s="695"/>
      <c r="C1083" s="197" t="str">
        <f>IF(B1083&lt;&gt;"",IFERROR(VLOOKUP(B:B,'מצבת והרשמה (2)'!$C$20:$N$520,2,0)," ")," ")</f>
        <v xml:space="preserve"> </v>
      </c>
      <c r="D1083" s="695"/>
      <c r="E1083" s="696"/>
      <c r="F1083" s="696"/>
      <c r="G1083" s="696"/>
      <c r="H1083" s="696"/>
      <c r="I1083" s="1050" t="str">
        <f t="shared" si="242"/>
        <v/>
      </c>
      <c r="J1083" s="696"/>
      <c r="K1083" s="697"/>
      <c r="L1083" s="696"/>
      <c r="M1083" s="198" t="str">
        <f t="shared" si="243"/>
        <v/>
      </c>
      <c r="N1083" s="369" t="str">
        <f t="shared" si="244"/>
        <v/>
      </c>
      <c r="O1083" s="183" t="str">
        <f t="shared" si="245"/>
        <v/>
      </c>
      <c r="P1083" s="199" t="str">
        <f t="shared" si="246"/>
        <v/>
      </c>
      <c r="Q1083" s="199" t="str">
        <f>IF(B1083="","",IFERROR(IF('עלויות כח אדם (6)'!J1083&gt;=VLOOKUP(I1083,'סיווג התפקידים והעלויות'!$B$23:$C$32,2,0),"תקין","לא תקין"),""))</f>
        <v/>
      </c>
      <c r="R1083" s="199" t="str">
        <f t="shared" si="247"/>
        <v/>
      </c>
      <c r="S1083" s="199" t="str">
        <f t="shared" si="248"/>
        <v/>
      </c>
      <c r="T1083" s="199" t="str">
        <f t="shared" si="256"/>
        <v/>
      </c>
      <c r="U1083" s="199" t="str">
        <f t="shared" si="249"/>
        <v/>
      </c>
      <c r="V1083" s="989"/>
      <c r="X1083" s="374" t="str">
        <f t="shared" si="250"/>
        <v/>
      </c>
      <c r="Y1083" s="375" t="str">
        <f t="shared" si="251"/>
        <v/>
      </c>
      <c r="Z1083" s="374" t="str">
        <f t="shared" si="252"/>
        <v/>
      </c>
      <c r="AA1083" s="374" t="b">
        <f t="shared" si="253"/>
        <v>1</v>
      </c>
      <c r="AB1083" s="374">
        <f>COUNTIFS(B:B,B1083,H:H,'סיווג התפקידים והעלויות'!$C$2)</f>
        <v>0</v>
      </c>
      <c r="AC1083" s="374">
        <f>COUNTIFS(B:B,B1083,H:H,'סיווג התפקידים והעלויות'!$D$2)</f>
        <v>0</v>
      </c>
      <c r="AD1083" s="374" t="str">
        <f>IF(OR(AND(H1083='סיווג התפקידים והעלויות'!$A$2,I1083='סיווג התפקידים והעלויות'!$A$3),'עלויות כח אדם (6)'!H1083='סיווג התפקידים והעלויות'!$C$2,'עלויות כח אדם (6)'!H1083='סיווג התפקידים והעלויות'!$D$2),IF('עלויות כח אדם (6)'!J1083&lt;75,"לא תקין","תקין"),"")</f>
        <v/>
      </c>
      <c r="AE1083" s="374" t="str">
        <f t="shared" si="254"/>
        <v/>
      </c>
      <c r="AF1083" s="532" t="str">
        <f t="shared" si="255"/>
        <v/>
      </c>
    </row>
    <row r="1084" spans="2:32" x14ac:dyDescent="0.25">
      <c r="B1084" s="695"/>
      <c r="C1084" s="197" t="str">
        <f>IF(B1084&lt;&gt;"",IFERROR(VLOOKUP(B:B,'מצבת והרשמה (2)'!$C$20:$N$520,2,0)," ")," ")</f>
        <v xml:space="preserve"> </v>
      </c>
      <c r="D1084" s="695"/>
      <c r="E1084" s="696"/>
      <c r="F1084" s="696"/>
      <c r="G1084" s="696"/>
      <c r="H1084" s="696"/>
      <c r="I1084" s="1050" t="str">
        <f t="shared" si="242"/>
        <v/>
      </c>
      <c r="J1084" s="696"/>
      <c r="K1084" s="697"/>
      <c r="L1084" s="696"/>
      <c r="M1084" s="198" t="str">
        <f t="shared" si="243"/>
        <v/>
      </c>
      <c r="N1084" s="369" t="str">
        <f t="shared" si="244"/>
        <v/>
      </c>
      <c r="O1084" s="183" t="str">
        <f t="shared" si="245"/>
        <v/>
      </c>
      <c r="P1084" s="199" t="str">
        <f t="shared" si="246"/>
        <v/>
      </c>
      <c r="Q1084" s="199" t="str">
        <f>IF(B1084="","",IFERROR(IF('עלויות כח אדם (6)'!J1084&gt;=VLOOKUP(I1084,'סיווג התפקידים והעלויות'!$B$23:$C$32,2,0),"תקין","לא תקין"),""))</f>
        <v/>
      </c>
      <c r="R1084" s="199" t="str">
        <f t="shared" si="247"/>
        <v/>
      </c>
      <c r="S1084" s="199" t="str">
        <f t="shared" si="248"/>
        <v/>
      </c>
      <c r="T1084" s="199" t="str">
        <f t="shared" si="256"/>
        <v/>
      </c>
      <c r="U1084" s="199" t="str">
        <f t="shared" si="249"/>
        <v/>
      </c>
      <c r="V1084" s="989"/>
      <c r="X1084" s="374" t="str">
        <f t="shared" si="250"/>
        <v/>
      </c>
      <c r="Y1084" s="375" t="str">
        <f t="shared" si="251"/>
        <v/>
      </c>
      <c r="Z1084" s="374" t="str">
        <f t="shared" si="252"/>
        <v/>
      </c>
      <c r="AA1084" s="374" t="b">
        <f t="shared" si="253"/>
        <v>1</v>
      </c>
      <c r="AB1084" s="374">
        <f>COUNTIFS(B:B,B1084,H:H,'סיווג התפקידים והעלויות'!$C$2)</f>
        <v>0</v>
      </c>
      <c r="AC1084" s="374">
        <f>COUNTIFS(B:B,B1084,H:H,'סיווג התפקידים והעלויות'!$D$2)</f>
        <v>0</v>
      </c>
      <c r="AD1084" s="374" t="str">
        <f>IF(OR(AND(H1084='סיווג התפקידים והעלויות'!$A$2,I1084='סיווג התפקידים והעלויות'!$A$3),'עלויות כח אדם (6)'!H1084='סיווג התפקידים והעלויות'!$C$2,'עלויות כח אדם (6)'!H1084='סיווג התפקידים והעלויות'!$D$2),IF('עלויות כח אדם (6)'!J1084&lt;75,"לא תקין","תקין"),"")</f>
        <v/>
      </c>
      <c r="AE1084" s="374" t="str">
        <f t="shared" si="254"/>
        <v/>
      </c>
      <c r="AF1084" s="532" t="str">
        <f t="shared" si="255"/>
        <v/>
      </c>
    </row>
    <row r="1085" spans="2:32" x14ac:dyDescent="0.25">
      <c r="B1085" s="695"/>
      <c r="C1085" s="197" t="str">
        <f>IF(B1085&lt;&gt;"",IFERROR(VLOOKUP(B:B,'מצבת והרשמה (2)'!$C$20:$N$520,2,0)," ")," ")</f>
        <v xml:space="preserve"> </v>
      </c>
      <c r="D1085" s="695"/>
      <c r="E1085" s="696"/>
      <c r="F1085" s="696"/>
      <c r="G1085" s="696"/>
      <c r="H1085" s="696"/>
      <c r="I1085" s="1050" t="str">
        <f t="shared" si="242"/>
        <v/>
      </c>
      <c r="J1085" s="696"/>
      <c r="K1085" s="697"/>
      <c r="L1085" s="696"/>
      <c r="M1085" s="198" t="str">
        <f t="shared" si="243"/>
        <v/>
      </c>
      <c r="N1085" s="369" t="str">
        <f t="shared" si="244"/>
        <v/>
      </c>
      <c r="O1085" s="183" t="str">
        <f t="shared" si="245"/>
        <v/>
      </c>
      <c r="P1085" s="199" t="str">
        <f t="shared" si="246"/>
        <v/>
      </c>
      <c r="Q1085" s="199" t="str">
        <f>IF(B1085="","",IFERROR(IF('עלויות כח אדם (6)'!J1085&gt;=VLOOKUP(I1085,'סיווג התפקידים והעלויות'!$B$23:$C$32,2,0),"תקין","לא תקין"),""))</f>
        <v/>
      </c>
      <c r="R1085" s="199" t="str">
        <f t="shared" si="247"/>
        <v/>
      </c>
      <c r="S1085" s="199" t="str">
        <f t="shared" si="248"/>
        <v/>
      </c>
      <c r="T1085" s="199" t="str">
        <f t="shared" si="256"/>
        <v/>
      </c>
      <c r="U1085" s="199" t="str">
        <f t="shared" si="249"/>
        <v/>
      </c>
      <c r="V1085" s="989"/>
      <c r="X1085" s="374" t="str">
        <f t="shared" si="250"/>
        <v/>
      </c>
      <c r="Y1085" s="375" t="str">
        <f t="shared" si="251"/>
        <v/>
      </c>
      <c r="Z1085" s="374" t="str">
        <f t="shared" si="252"/>
        <v/>
      </c>
      <c r="AA1085" s="374" t="b">
        <f t="shared" si="253"/>
        <v>1</v>
      </c>
      <c r="AB1085" s="374">
        <f>COUNTIFS(B:B,B1085,H:H,'סיווג התפקידים והעלויות'!$C$2)</f>
        <v>0</v>
      </c>
      <c r="AC1085" s="374">
        <f>COUNTIFS(B:B,B1085,H:H,'סיווג התפקידים והעלויות'!$D$2)</f>
        <v>0</v>
      </c>
      <c r="AD1085" s="374" t="str">
        <f>IF(OR(AND(H1085='סיווג התפקידים והעלויות'!$A$2,I1085='סיווג התפקידים והעלויות'!$A$3),'עלויות כח אדם (6)'!H1085='סיווג התפקידים והעלויות'!$C$2,'עלויות כח אדם (6)'!H1085='סיווג התפקידים והעלויות'!$D$2),IF('עלויות כח אדם (6)'!J1085&lt;75,"לא תקין","תקין"),"")</f>
        <v/>
      </c>
      <c r="AE1085" s="374" t="str">
        <f t="shared" si="254"/>
        <v/>
      </c>
      <c r="AF1085" s="532" t="str">
        <f t="shared" si="255"/>
        <v/>
      </c>
    </row>
    <row r="1086" spans="2:32" x14ac:dyDescent="0.25">
      <c r="B1086" s="695"/>
      <c r="C1086" s="197" t="str">
        <f>IF(B1086&lt;&gt;"",IFERROR(VLOOKUP(B:B,'מצבת והרשמה (2)'!$C$20:$N$520,2,0)," ")," ")</f>
        <v xml:space="preserve"> </v>
      </c>
      <c r="D1086" s="695"/>
      <c r="E1086" s="696"/>
      <c r="F1086" s="696"/>
      <c r="G1086" s="696"/>
      <c r="H1086" s="696"/>
      <c r="I1086" s="1050" t="str">
        <f t="shared" si="242"/>
        <v/>
      </c>
      <c r="J1086" s="696"/>
      <c r="K1086" s="697"/>
      <c r="L1086" s="696"/>
      <c r="M1086" s="198" t="str">
        <f t="shared" si="243"/>
        <v/>
      </c>
      <c r="N1086" s="369" t="str">
        <f t="shared" si="244"/>
        <v/>
      </c>
      <c r="O1086" s="183" t="str">
        <f t="shared" si="245"/>
        <v/>
      </c>
      <c r="P1086" s="199" t="str">
        <f t="shared" si="246"/>
        <v/>
      </c>
      <c r="Q1086" s="199" t="str">
        <f>IF(B1086="","",IFERROR(IF('עלויות כח אדם (6)'!J1086&gt;=VLOOKUP(I1086,'סיווג התפקידים והעלויות'!$B$23:$C$32,2,0),"תקין","לא תקין"),""))</f>
        <v/>
      </c>
      <c r="R1086" s="199" t="str">
        <f t="shared" si="247"/>
        <v/>
      </c>
      <c r="S1086" s="199" t="str">
        <f t="shared" si="248"/>
        <v/>
      </c>
      <c r="T1086" s="199" t="str">
        <f t="shared" si="256"/>
        <v/>
      </c>
      <c r="U1086" s="199" t="str">
        <f t="shared" si="249"/>
        <v/>
      </c>
      <c r="V1086" s="989"/>
      <c r="X1086" s="374" t="str">
        <f t="shared" si="250"/>
        <v/>
      </c>
      <c r="Y1086" s="375" t="str">
        <f t="shared" si="251"/>
        <v/>
      </c>
      <c r="Z1086" s="374" t="str">
        <f t="shared" si="252"/>
        <v/>
      </c>
      <c r="AA1086" s="374" t="b">
        <f t="shared" si="253"/>
        <v>1</v>
      </c>
      <c r="AB1086" s="374">
        <f>COUNTIFS(B:B,B1086,H:H,'סיווג התפקידים והעלויות'!$C$2)</f>
        <v>0</v>
      </c>
      <c r="AC1086" s="374">
        <f>COUNTIFS(B:B,B1086,H:H,'סיווג התפקידים והעלויות'!$D$2)</f>
        <v>0</v>
      </c>
      <c r="AD1086" s="374" t="str">
        <f>IF(OR(AND(H1086='סיווג התפקידים והעלויות'!$A$2,I1086='סיווג התפקידים והעלויות'!$A$3),'עלויות כח אדם (6)'!H1086='סיווג התפקידים והעלויות'!$C$2,'עלויות כח אדם (6)'!H1086='סיווג התפקידים והעלויות'!$D$2),IF('עלויות כח אדם (6)'!J1086&lt;75,"לא תקין","תקין"),"")</f>
        <v/>
      </c>
      <c r="AE1086" s="374" t="str">
        <f t="shared" si="254"/>
        <v/>
      </c>
      <c r="AF1086" s="532" t="str">
        <f t="shared" si="255"/>
        <v/>
      </c>
    </row>
    <row r="1087" spans="2:32" x14ac:dyDescent="0.25">
      <c r="B1087" s="695"/>
      <c r="C1087" s="197" t="str">
        <f>IF(B1087&lt;&gt;"",IFERROR(VLOOKUP(B:B,'מצבת והרשמה (2)'!$C$20:$N$520,2,0)," ")," ")</f>
        <v xml:space="preserve"> </v>
      </c>
      <c r="D1087" s="695"/>
      <c r="E1087" s="696"/>
      <c r="F1087" s="696"/>
      <c r="G1087" s="696"/>
      <c r="H1087" s="696"/>
      <c r="I1087" s="1050" t="str">
        <f t="shared" si="242"/>
        <v/>
      </c>
      <c r="J1087" s="696"/>
      <c r="K1087" s="697"/>
      <c r="L1087" s="696"/>
      <c r="M1087" s="198" t="str">
        <f t="shared" si="243"/>
        <v/>
      </c>
      <c r="N1087" s="369" t="str">
        <f t="shared" si="244"/>
        <v/>
      </c>
      <c r="O1087" s="183" t="str">
        <f t="shared" si="245"/>
        <v/>
      </c>
      <c r="P1087" s="199" t="str">
        <f t="shared" si="246"/>
        <v/>
      </c>
      <c r="Q1087" s="199" t="str">
        <f>IF(B1087="","",IFERROR(IF('עלויות כח אדם (6)'!J1087&gt;=VLOOKUP(I1087,'סיווג התפקידים והעלויות'!$B$23:$C$32,2,0),"תקין","לא תקין"),""))</f>
        <v/>
      </c>
      <c r="R1087" s="199" t="str">
        <f t="shared" si="247"/>
        <v/>
      </c>
      <c r="S1087" s="199" t="str">
        <f t="shared" si="248"/>
        <v/>
      </c>
      <c r="T1087" s="199" t="str">
        <f t="shared" si="256"/>
        <v/>
      </c>
      <c r="U1087" s="199" t="str">
        <f t="shared" si="249"/>
        <v/>
      </c>
      <c r="V1087" s="989"/>
      <c r="X1087" s="374" t="str">
        <f t="shared" si="250"/>
        <v/>
      </c>
      <c r="Y1087" s="375" t="str">
        <f t="shared" si="251"/>
        <v/>
      </c>
      <c r="Z1087" s="374" t="str">
        <f t="shared" si="252"/>
        <v/>
      </c>
      <c r="AA1087" s="374" t="b">
        <f t="shared" si="253"/>
        <v>1</v>
      </c>
      <c r="AB1087" s="374">
        <f>COUNTIFS(B:B,B1087,H:H,'סיווג התפקידים והעלויות'!$C$2)</f>
        <v>0</v>
      </c>
      <c r="AC1087" s="374">
        <f>COUNTIFS(B:B,B1087,H:H,'סיווג התפקידים והעלויות'!$D$2)</f>
        <v>0</v>
      </c>
      <c r="AD1087" s="374" t="str">
        <f>IF(OR(AND(H1087='סיווג התפקידים והעלויות'!$A$2,I1087='סיווג התפקידים והעלויות'!$A$3),'עלויות כח אדם (6)'!H1087='סיווג התפקידים והעלויות'!$C$2,'עלויות כח אדם (6)'!H1087='סיווג התפקידים והעלויות'!$D$2),IF('עלויות כח אדם (6)'!J1087&lt;75,"לא תקין","תקין"),"")</f>
        <v/>
      </c>
      <c r="AE1087" s="374" t="str">
        <f t="shared" si="254"/>
        <v/>
      </c>
      <c r="AF1087" s="532" t="str">
        <f t="shared" si="255"/>
        <v/>
      </c>
    </row>
    <row r="1088" spans="2:32" x14ac:dyDescent="0.25">
      <c r="B1088" s="695"/>
      <c r="C1088" s="197" t="str">
        <f>IF(B1088&lt;&gt;"",IFERROR(VLOOKUP(B:B,'מצבת והרשמה (2)'!$C$20:$N$520,2,0)," ")," ")</f>
        <v xml:space="preserve"> </v>
      </c>
      <c r="D1088" s="695"/>
      <c r="E1088" s="696"/>
      <c r="F1088" s="696"/>
      <c r="G1088" s="696"/>
      <c r="H1088" s="696"/>
      <c r="I1088" s="1050" t="str">
        <f t="shared" si="242"/>
        <v/>
      </c>
      <c r="J1088" s="696"/>
      <c r="K1088" s="697"/>
      <c r="L1088" s="696"/>
      <c r="M1088" s="198" t="str">
        <f t="shared" si="243"/>
        <v/>
      </c>
      <c r="N1088" s="369" t="str">
        <f t="shared" si="244"/>
        <v/>
      </c>
      <c r="O1088" s="183" t="str">
        <f t="shared" si="245"/>
        <v/>
      </c>
      <c r="P1088" s="199" t="str">
        <f t="shared" si="246"/>
        <v/>
      </c>
      <c r="Q1088" s="199" t="str">
        <f>IF(B1088="","",IFERROR(IF('עלויות כח אדם (6)'!J1088&gt;=VLOOKUP(I1088,'סיווג התפקידים והעלויות'!$B$23:$C$32,2,0),"תקין","לא תקין"),""))</f>
        <v/>
      </c>
      <c r="R1088" s="199" t="str">
        <f t="shared" si="247"/>
        <v/>
      </c>
      <c r="S1088" s="199" t="str">
        <f t="shared" si="248"/>
        <v/>
      </c>
      <c r="T1088" s="199" t="str">
        <f t="shared" si="256"/>
        <v/>
      </c>
      <c r="U1088" s="199" t="str">
        <f t="shared" si="249"/>
        <v/>
      </c>
      <c r="V1088" s="989"/>
      <c r="X1088" s="374" t="str">
        <f t="shared" si="250"/>
        <v/>
      </c>
      <c r="Y1088" s="375" t="str">
        <f t="shared" si="251"/>
        <v/>
      </c>
      <c r="Z1088" s="374" t="str">
        <f t="shared" si="252"/>
        <v/>
      </c>
      <c r="AA1088" s="374" t="b">
        <f t="shared" si="253"/>
        <v>1</v>
      </c>
      <c r="AB1088" s="374">
        <f>COUNTIFS(B:B,B1088,H:H,'סיווג התפקידים והעלויות'!$C$2)</f>
        <v>0</v>
      </c>
      <c r="AC1088" s="374">
        <f>COUNTIFS(B:B,B1088,H:H,'סיווג התפקידים והעלויות'!$D$2)</f>
        <v>0</v>
      </c>
      <c r="AD1088" s="374" t="str">
        <f>IF(OR(AND(H1088='סיווג התפקידים והעלויות'!$A$2,I1088='סיווג התפקידים והעלויות'!$A$3),'עלויות כח אדם (6)'!H1088='סיווג התפקידים והעלויות'!$C$2,'עלויות כח אדם (6)'!H1088='סיווג התפקידים והעלויות'!$D$2),IF('עלויות כח אדם (6)'!J1088&lt;75,"לא תקין","תקין"),"")</f>
        <v/>
      </c>
      <c r="AE1088" s="374" t="str">
        <f t="shared" si="254"/>
        <v/>
      </c>
      <c r="AF1088" s="532" t="str">
        <f t="shared" si="255"/>
        <v/>
      </c>
    </row>
    <row r="1089" spans="2:32" x14ac:dyDescent="0.25">
      <c r="B1089" s="695"/>
      <c r="C1089" s="197" t="str">
        <f>IF(B1089&lt;&gt;"",IFERROR(VLOOKUP(B:B,'מצבת והרשמה (2)'!$C$20:$N$520,2,0)," ")," ")</f>
        <v xml:space="preserve"> </v>
      </c>
      <c r="D1089" s="695"/>
      <c r="E1089" s="696"/>
      <c r="F1089" s="696"/>
      <c r="G1089" s="696"/>
      <c r="H1089" s="696"/>
      <c r="I1089" s="1050" t="str">
        <f t="shared" si="242"/>
        <v/>
      </c>
      <c r="J1089" s="696"/>
      <c r="K1089" s="697"/>
      <c r="L1089" s="696"/>
      <c r="M1089" s="198" t="str">
        <f t="shared" si="243"/>
        <v/>
      </c>
      <c r="N1089" s="369" t="str">
        <f t="shared" si="244"/>
        <v/>
      </c>
      <c r="O1089" s="183" t="str">
        <f t="shared" si="245"/>
        <v/>
      </c>
      <c r="P1089" s="199" t="str">
        <f t="shared" si="246"/>
        <v/>
      </c>
      <c r="Q1089" s="199" t="str">
        <f>IF(B1089="","",IFERROR(IF('עלויות כח אדם (6)'!J1089&gt;=VLOOKUP(I1089,'סיווג התפקידים והעלויות'!$B$23:$C$32,2,0),"תקין","לא תקין"),""))</f>
        <v/>
      </c>
      <c r="R1089" s="199" t="str">
        <f t="shared" si="247"/>
        <v/>
      </c>
      <c r="S1089" s="199" t="str">
        <f t="shared" si="248"/>
        <v/>
      </c>
      <c r="T1089" s="199" t="str">
        <f t="shared" si="256"/>
        <v/>
      </c>
      <c r="U1089" s="199" t="str">
        <f t="shared" si="249"/>
        <v/>
      </c>
      <c r="V1089" s="989"/>
      <c r="X1089" s="374" t="str">
        <f t="shared" si="250"/>
        <v/>
      </c>
      <c r="Y1089" s="375" t="str">
        <f t="shared" si="251"/>
        <v/>
      </c>
      <c r="Z1089" s="374" t="str">
        <f t="shared" si="252"/>
        <v/>
      </c>
      <c r="AA1089" s="374" t="b">
        <f t="shared" si="253"/>
        <v>1</v>
      </c>
      <c r="AB1089" s="374">
        <f>COUNTIFS(B:B,B1089,H:H,'סיווג התפקידים והעלויות'!$C$2)</f>
        <v>0</v>
      </c>
      <c r="AC1089" s="374">
        <f>COUNTIFS(B:B,B1089,H:H,'סיווג התפקידים והעלויות'!$D$2)</f>
        <v>0</v>
      </c>
      <c r="AD1089" s="374" t="str">
        <f>IF(OR(AND(H1089='סיווג התפקידים והעלויות'!$A$2,I1089='סיווג התפקידים והעלויות'!$A$3),'עלויות כח אדם (6)'!H1089='סיווג התפקידים והעלויות'!$C$2,'עלויות כח אדם (6)'!H1089='סיווג התפקידים והעלויות'!$D$2),IF('עלויות כח אדם (6)'!J1089&lt;75,"לא תקין","תקין"),"")</f>
        <v/>
      </c>
      <c r="AE1089" s="374" t="str">
        <f t="shared" si="254"/>
        <v/>
      </c>
      <c r="AF1089" s="532" t="str">
        <f t="shared" si="255"/>
        <v/>
      </c>
    </row>
    <row r="1090" spans="2:32" x14ac:dyDescent="0.25">
      <c r="B1090" s="695"/>
      <c r="C1090" s="197" t="str">
        <f>IF(B1090&lt;&gt;"",IFERROR(VLOOKUP(B:B,'מצבת והרשמה (2)'!$C$20:$N$520,2,0)," ")," ")</f>
        <v xml:space="preserve"> </v>
      </c>
      <c r="D1090" s="695"/>
      <c r="E1090" s="696"/>
      <c r="F1090" s="696"/>
      <c r="G1090" s="696"/>
      <c r="H1090" s="696"/>
      <c r="I1090" s="1050" t="str">
        <f t="shared" si="242"/>
        <v/>
      </c>
      <c r="J1090" s="696"/>
      <c r="K1090" s="697"/>
      <c r="L1090" s="696"/>
      <c r="M1090" s="198" t="str">
        <f t="shared" si="243"/>
        <v/>
      </c>
      <c r="N1090" s="369" t="str">
        <f t="shared" si="244"/>
        <v/>
      </c>
      <c r="O1090" s="183" t="str">
        <f t="shared" si="245"/>
        <v/>
      </c>
      <c r="P1090" s="199" t="str">
        <f t="shared" si="246"/>
        <v/>
      </c>
      <c r="Q1090" s="199" t="str">
        <f>IF(B1090="","",IFERROR(IF('עלויות כח אדם (6)'!J1090&gt;=VLOOKUP(I1090,'סיווג התפקידים והעלויות'!$B$23:$C$32,2,0),"תקין","לא תקין"),""))</f>
        <v/>
      </c>
      <c r="R1090" s="199" t="str">
        <f t="shared" si="247"/>
        <v/>
      </c>
      <c r="S1090" s="199" t="str">
        <f t="shared" si="248"/>
        <v/>
      </c>
      <c r="T1090" s="199" t="str">
        <f t="shared" si="256"/>
        <v/>
      </c>
      <c r="U1090" s="199" t="str">
        <f t="shared" si="249"/>
        <v/>
      </c>
      <c r="V1090" s="989"/>
      <c r="X1090" s="374" t="str">
        <f t="shared" si="250"/>
        <v/>
      </c>
      <c r="Y1090" s="375" t="str">
        <f t="shared" si="251"/>
        <v/>
      </c>
      <c r="Z1090" s="374" t="str">
        <f t="shared" si="252"/>
        <v/>
      </c>
      <c r="AA1090" s="374" t="b">
        <f t="shared" si="253"/>
        <v>1</v>
      </c>
      <c r="AB1090" s="374">
        <f>COUNTIFS(B:B,B1090,H:H,'סיווג התפקידים והעלויות'!$C$2)</f>
        <v>0</v>
      </c>
      <c r="AC1090" s="374">
        <f>COUNTIFS(B:B,B1090,H:H,'סיווג התפקידים והעלויות'!$D$2)</f>
        <v>0</v>
      </c>
      <c r="AD1090" s="374" t="str">
        <f>IF(OR(AND(H1090='סיווג התפקידים והעלויות'!$A$2,I1090='סיווג התפקידים והעלויות'!$A$3),'עלויות כח אדם (6)'!H1090='סיווג התפקידים והעלויות'!$C$2,'עלויות כח אדם (6)'!H1090='סיווג התפקידים והעלויות'!$D$2),IF('עלויות כח אדם (6)'!J1090&lt;75,"לא תקין","תקין"),"")</f>
        <v/>
      </c>
      <c r="AE1090" s="374" t="str">
        <f t="shared" si="254"/>
        <v/>
      </c>
      <c r="AF1090" s="532" t="str">
        <f t="shared" si="255"/>
        <v/>
      </c>
    </row>
    <row r="1091" spans="2:32" x14ac:dyDescent="0.25">
      <c r="B1091" s="695"/>
      <c r="C1091" s="197" t="str">
        <f>IF(B1091&lt;&gt;"",IFERROR(VLOOKUP(B:B,'מצבת והרשמה (2)'!$C$20:$N$520,2,0)," ")," ")</f>
        <v xml:space="preserve"> </v>
      </c>
      <c r="D1091" s="695"/>
      <c r="E1091" s="696"/>
      <c r="F1091" s="696"/>
      <c r="G1091" s="696"/>
      <c r="H1091" s="696"/>
      <c r="I1091" s="1050" t="str">
        <f t="shared" si="242"/>
        <v/>
      </c>
      <c r="J1091" s="696"/>
      <c r="K1091" s="697"/>
      <c r="L1091" s="696"/>
      <c r="M1091" s="198" t="str">
        <f t="shared" si="243"/>
        <v/>
      </c>
      <c r="N1091" s="369" t="str">
        <f t="shared" si="244"/>
        <v/>
      </c>
      <c r="O1091" s="183" t="str">
        <f t="shared" si="245"/>
        <v/>
      </c>
      <c r="P1091" s="199" t="str">
        <f t="shared" si="246"/>
        <v/>
      </c>
      <c r="Q1091" s="199" t="str">
        <f>IF(B1091="","",IFERROR(IF('עלויות כח אדם (6)'!J1091&gt;=VLOOKUP(I1091,'סיווג התפקידים והעלויות'!$B$23:$C$32,2,0),"תקין","לא תקין"),""))</f>
        <v/>
      </c>
      <c r="R1091" s="199" t="str">
        <f t="shared" si="247"/>
        <v/>
      </c>
      <c r="S1091" s="199" t="str">
        <f t="shared" si="248"/>
        <v/>
      </c>
      <c r="T1091" s="199" t="str">
        <f t="shared" si="256"/>
        <v/>
      </c>
      <c r="U1091" s="199" t="str">
        <f t="shared" si="249"/>
        <v/>
      </c>
      <c r="V1091" s="989"/>
      <c r="X1091" s="374" t="str">
        <f t="shared" si="250"/>
        <v/>
      </c>
      <c r="Y1091" s="375" t="str">
        <f t="shared" si="251"/>
        <v/>
      </c>
      <c r="Z1091" s="374" t="str">
        <f t="shared" si="252"/>
        <v/>
      </c>
      <c r="AA1091" s="374" t="b">
        <f t="shared" si="253"/>
        <v>1</v>
      </c>
      <c r="AB1091" s="374">
        <f>COUNTIFS(B:B,B1091,H:H,'סיווג התפקידים והעלויות'!$C$2)</f>
        <v>0</v>
      </c>
      <c r="AC1091" s="374">
        <f>COUNTIFS(B:B,B1091,H:H,'סיווג התפקידים והעלויות'!$D$2)</f>
        <v>0</v>
      </c>
      <c r="AD1091" s="374" t="str">
        <f>IF(OR(AND(H1091='סיווג התפקידים והעלויות'!$A$2,I1091='סיווג התפקידים והעלויות'!$A$3),'עלויות כח אדם (6)'!H1091='סיווג התפקידים והעלויות'!$C$2,'עלויות כח אדם (6)'!H1091='סיווג התפקידים והעלויות'!$D$2),IF('עלויות כח אדם (6)'!J1091&lt;75,"לא תקין","תקין"),"")</f>
        <v/>
      </c>
      <c r="AE1091" s="374" t="str">
        <f t="shared" si="254"/>
        <v/>
      </c>
      <c r="AF1091" s="532" t="str">
        <f t="shared" si="255"/>
        <v/>
      </c>
    </row>
    <row r="1092" spans="2:32" x14ac:dyDescent="0.25">
      <c r="B1092" s="695"/>
      <c r="C1092" s="197" t="str">
        <f>IF(B1092&lt;&gt;"",IFERROR(VLOOKUP(B:B,'מצבת והרשמה (2)'!$C$20:$N$520,2,0)," ")," ")</f>
        <v xml:space="preserve"> </v>
      </c>
      <c r="D1092" s="695"/>
      <c r="E1092" s="696"/>
      <c r="F1092" s="696"/>
      <c r="G1092" s="696"/>
      <c r="H1092" s="696"/>
      <c r="I1092" s="1050" t="str">
        <f t="shared" si="242"/>
        <v/>
      </c>
      <c r="J1092" s="696"/>
      <c r="K1092" s="697"/>
      <c r="L1092" s="696"/>
      <c r="M1092" s="198" t="str">
        <f t="shared" si="243"/>
        <v/>
      </c>
      <c r="N1092" s="369" t="str">
        <f t="shared" si="244"/>
        <v/>
      </c>
      <c r="O1092" s="183" t="str">
        <f t="shared" si="245"/>
        <v/>
      </c>
      <c r="P1092" s="199" t="str">
        <f t="shared" si="246"/>
        <v/>
      </c>
      <c r="Q1092" s="199" t="str">
        <f>IF(B1092="","",IFERROR(IF('עלויות כח אדם (6)'!J1092&gt;=VLOOKUP(I1092,'סיווג התפקידים והעלויות'!$B$23:$C$32,2,0),"תקין","לא תקין"),""))</f>
        <v/>
      </c>
      <c r="R1092" s="199" t="str">
        <f t="shared" si="247"/>
        <v/>
      </c>
      <c r="S1092" s="199" t="str">
        <f t="shared" si="248"/>
        <v/>
      </c>
      <c r="T1092" s="199" t="str">
        <f t="shared" si="256"/>
        <v/>
      </c>
      <c r="U1092" s="199" t="str">
        <f t="shared" si="249"/>
        <v/>
      </c>
      <c r="V1092" s="989"/>
      <c r="X1092" s="374" t="str">
        <f t="shared" si="250"/>
        <v/>
      </c>
      <c r="Y1092" s="375" t="str">
        <f t="shared" si="251"/>
        <v/>
      </c>
      <c r="Z1092" s="374" t="str">
        <f t="shared" si="252"/>
        <v/>
      </c>
      <c r="AA1092" s="374" t="b">
        <f t="shared" si="253"/>
        <v>1</v>
      </c>
      <c r="AB1092" s="374">
        <f>COUNTIFS(B:B,B1092,H:H,'סיווג התפקידים והעלויות'!$C$2)</f>
        <v>0</v>
      </c>
      <c r="AC1092" s="374">
        <f>COUNTIFS(B:B,B1092,H:H,'סיווג התפקידים והעלויות'!$D$2)</f>
        <v>0</v>
      </c>
      <c r="AD1092" s="374" t="str">
        <f>IF(OR(AND(H1092='סיווג התפקידים והעלויות'!$A$2,I1092='סיווג התפקידים והעלויות'!$A$3),'עלויות כח אדם (6)'!H1092='סיווג התפקידים והעלויות'!$C$2,'עלויות כח אדם (6)'!H1092='סיווג התפקידים והעלויות'!$D$2),IF('עלויות כח אדם (6)'!J1092&lt;75,"לא תקין","תקין"),"")</f>
        <v/>
      </c>
      <c r="AE1092" s="374" t="str">
        <f t="shared" si="254"/>
        <v/>
      </c>
      <c r="AF1092" s="532" t="str">
        <f t="shared" si="255"/>
        <v/>
      </c>
    </row>
    <row r="1093" spans="2:32" x14ac:dyDescent="0.25">
      <c r="B1093" s="695"/>
      <c r="C1093" s="197" t="str">
        <f>IF(B1093&lt;&gt;"",IFERROR(VLOOKUP(B:B,'מצבת והרשמה (2)'!$C$20:$N$520,2,0)," ")," ")</f>
        <v xml:space="preserve"> </v>
      </c>
      <c r="D1093" s="695"/>
      <c r="E1093" s="696"/>
      <c r="F1093" s="696"/>
      <c r="G1093" s="696"/>
      <c r="H1093" s="696"/>
      <c r="I1093" s="1050" t="str">
        <f t="shared" si="242"/>
        <v/>
      </c>
      <c r="J1093" s="696"/>
      <c r="K1093" s="697"/>
      <c r="L1093" s="696"/>
      <c r="M1093" s="198" t="str">
        <f t="shared" si="243"/>
        <v/>
      </c>
      <c r="N1093" s="369" t="str">
        <f t="shared" si="244"/>
        <v/>
      </c>
      <c r="O1093" s="183" t="str">
        <f t="shared" si="245"/>
        <v/>
      </c>
      <c r="P1093" s="199" t="str">
        <f t="shared" si="246"/>
        <v/>
      </c>
      <c r="Q1093" s="199" t="str">
        <f>IF(B1093="","",IFERROR(IF('עלויות כח אדם (6)'!J1093&gt;=VLOOKUP(I1093,'סיווג התפקידים והעלויות'!$B$23:$C$32,2,0),"תקין","לא תקין"),""))</f>
        <v/>
      </c>
      <c r="R1093" s="199" t="str">
        <f t="shared" si="247"/>
        <v/>
      </c>
      <c r="S1093" s="199" t="str">
        <f t="shared" si="248"/>
        <v/>
      </c>
      <c r="T1093" s="199" t="str">
        <f t="shared" si="256"/>
        <v/>
      </c>
      <c r="U1093" s="199" t="str">
        <f t="shared" si="249"/>
        <v/>
      </c>
      <c r="V1093" s="989"/>
      <c r="X1093" s="374" t="str">
        <f t="shared" si="250"/>
        <v/>
      </c>
      <c r="Y1093" s="375" t="str">
        <f t="shared" si="251"/>
        <v/>
      </c>
      <c r="Z1093" s="374" t="str">
        <f t="shared" si="252"/>
        <v/>
      </c>
      <c r="AA1093" s="374" t="b">
        <f t="shared" si="253"/>
        <v>1</v>
      </c>
      <c r="AB1093" s="374">
        <f>COUNTIFS(B:B,B1093,H:H,'סיווג התפקידים והעלויות'!$C$2)</f>
        <v>0</v>
      </c>
      <c r="AC1093" s="374">
        <f>COUNTIFS(B:B,B1093,H:H,'סיווג התפקידים והעלויות'!$D$2)</f>
        <v>0</v>
      </c>
      <c r="AD1093" s="374" t="str">
        <f>IF(OR(AND(H1093='סיווג התפקידים והעלויות'!$A$2,I1093='סיווג התפקידים והעלויות'!$A$3),'עלויות כח אדם (6)'!H1093='סיווג התפקידים והעלויות'!$C$2,'עלויות כח אדם (6)'!H1093='סיווג התפקידים והעלויות'!$D$2),IF('עלויות כח אדם (6)'!J1093&lt;75,"לא תקין","תקין"),"")</f>
        <v/>
      </c>
      <c r="AE1093" s="374" t="str">
        <f t="shared" si="254"/>
        <v/>
      </c>
      <c r="AF1093" s="532" t="str">
        <f t="shared" si="255"/>
        <v/>
      </c>
    </row>
    <row r="1094" spans="2:32" x14ac:dyDescent="0.25">
      <c r="B1094" s="695"/>
      <c r="C1094" s="197" t="str">
        <f>IF(B1094&lt;&gt;"",IFERROR(VLOOKUP(B:B,'מצבת והרשמה (2)'!$C$20:$N$520,2,0)," ")," ")</f>
        <v xml:space="preserve"> </v>
      </c>
      <c r="D1094" s="695"/>
      <c r="E1094" s="696"/>
      <c r="F1094" s="696"/>
      <c r="G1094" s="696"/>
      <c r="H1094" s="696"/>
      <c r="I1094" s="1050" t="str">
        <f t="shared" si="242"/>
        <v/>
      </c>
      <c r="J1094" s="696"/>
      <c r="K1094" s="697"/>
      <c r="L1094" s="696"/>
      <c r="M1094" s="198" t="str">
        <f t="shared" si="243"/>
        <v/>
      </c>
      <c r="N1094" s="369" t="str">
        <f t="shared" si="244"/>
        <v/>
      </c>
      <c r="O1094" s="183" t="str">
        <f t="shared" si="245"/>
        <v/>
      </c>
      <c r="P1094" s="199" t="str">
        <f t="shared" si="246"/>
        <v/>
      </c>
      <c r="Q1094" s="199" t="str">
        <f>IF(B1094="","",IFERROR(IF('עלויות כח אדם (6)'!J1094&gt;=VLOOKUP(I1094,'סיווג התפקידים והעלויות'!$B$23:$C$32,2,0),"תקין","לא תקין"),""))</f>
        <v/>
      </c>
      <c r="R1094" s="199" t="str">
        <f t="shared" si="247"/>
        <v/>
      </c>
      <c r="S1094" s="199" t="str">
        <f t="shared" si="248"/>
        <v/>
      </c>
      <c r="T1094" s="199" t="str">
        <f t="shared" si="256"/>
        <v/>
      </c>
      <c r="U1094" s="199" t="str">
        <f t="shared" si="249"/>
        <v/>
      </c>
      <c r="V1094" s="989"/>
      <c r="X1094" s="374" t="str">
        <f t="shared" si="250"/>
        <v/>
      </c>
      <c r="Y1094" s="375" t="str">
        <f t="shared" si="251"/>
        <v/>
      </c>
      <c r="Z1094" s="374" t="str">
        <f t="shared" si="252"/>
        <v/>
      </c>
      <c r="AA1094" s="374" t="b">
        <f t="shared" si="253"/>
        <v>1</v>
      </c>
      <c r="AB1094" s="374">
        <f>COUNTIFS(B:B,B1094,H:H,'סיווג התפקידים והעלויות'!$C$2)</f>
        <v>0</v>
      </c>
      <c r="AC1094" s="374">
        <f>COUNTIFS(B:B,B1094,H:H,'סיווג התפקידים והעלויות'!$D$2)</f>
        <v>0</v>
      </c>
      <c r="AD1094" s="374" t="str">
        <f>IF(OR(AND(H1094='סיווג התפקידים והעלויות'!$A$2,I1094='סיווג התפקידים והעלויות'!$A$3),'עלויות כח אדם (6)'!H1094='סיווג התפקידים והעלויות'!$C$2,'עלויות כח אדם (6)'!H1094='סיווג התפקידים והעלויות'!$D$2),IF('עלויות כח אדם (6)'!J1094&lt;75,"לא תקין","תקין"),"")</f>
        <v/>
      </c>
      <c r="AE1094" s="374" t="str">
        <f t="shared" si="254"/>
        <v/>
      </c>
      <c r="AF1094" s="532" t="str">
        <f t="shared" si="255"/>
        <v/>
      </c>
    </row>
    <row r="1095" spans="2:32" x14ac:dyDescent="0.25">
      <c r="B1095" s="695"/>
      <c r="C1095" s="197" t="str">
        <f>IF(B1095&lt;&gt;"",IFERROR(VLOOKUP(B:B,'מצבת והרשמה (2)'!$C$20:$N$520,2,0)," ")," ")</f>
        <v xml:space="preserve"> </v>
      </c>
      <c r="D1095" s="695"/>
      <c r="E1095" s="696"/>
      <c r="F1095" s="696"/>
      <c r="G1095" s="696"/>
      <c r="H1095" s="696"/>
      <c r="I1095" s="1050" t="str">
        <f t="shared" si="242"/>
        <v/>
      </c>
      <c r="J1095" s="696"/>
      <c r="K1095" s="697"/>
      <c r="L1095" s="696"/>
      <c r="M1095" s="198" t="str">
        <f t="shared" si="243"/>
        <v/>
      </c>
      <c r="N1095" s="369" t="str">
        <f t="shared" si="244"/>
        <v/>
      </c>
      <c r="O1095" s="183" t="str">
        <f t="shared" si="245"/>
        <v/>
      </c>
      <c r="P1095" s="199" t="str">
        <f t="shared" si="246"/>
        <v/>
      </c>
      <c r="Q1095" s="199" t="str">
        <f>IF(B1095="","",IFERROR(IF('עלויות כח אדם (6)'!J1095&gt;=VLOOKUP(I1095,'סיווג התפקידים והעלויות'!$B$23:$C$32,2,0),"תקין","לא תקין"),""))</f>
        <v/>
      </c>
      <c r="R1095" s="199" t="str">
        <f t="shared" si="247"/>
        <v/>
      </c>
      <c r="S1095" s="199" t="str">
        <f t="shared" si="248"/>
        <v/>
      </c>
      <c r="T1095" s="199" t="str">
        <f t="shared" si="256"/>
        <v/>
      </c>
      <c r="U1095" s="199" t="str">
        <f t="shared" si="249"/>
        <v/>
      </c>
      <c r="V1095" s="989"/>
      <c r="X1095" s="374" t="str">
        <f t="shared" si="250"/>
        <v/>
      </c>
      <c r="Y1095" s="375" t="str">
        <f t="shared" si="251"/>
        <v/>
      </c>
      <c r="Z1095" s="374" t="str">
        <f t="shared" si="252"/>
        <v/>
      </c>
      <c r="AA1095" s="374" t="b">
        <f t="shared" si="253"/>
        <v>1</v>
      </c>
      <c r="AB1095" s="374">
        <f>COUNTIFS(B:B,B1095,H:H,'סיווג התפקידים והעלויות'!$C$2)</f>
        <v>0</v>
      </c>
      <c r="AC1095" s="374">
        <f>COUNTIFS(B:B,B1095,H:H,'סיווג התפקידים והעלויות'!$D$2)</f>
        <v>0</v>
      </c>
      <c r="AD1095" s="374" t="str">
        <f>IF(OR(AND(H1095='סיווג התפקידים והעלויות'!$A$2,I1095='סיווג התפקידים והעלויות'!$A$3),'עלויות כח אדם (6)'!H1095='סיווג התפקידים והעלויות'!$C$2,'עלויות כח אדם (6)'!H1095='סיווג התפקידים והעלויות'!$D$2),IF('עלויות כח אדם (6)'!J1095&lt;75,"לא תקין","תקין"),"")</f>
        <v/>
      </c>
      <c r="AE1095" s="374" t="str">
        <f t="shared" si="254"/>
        <v/>
      </c>
      <c r="AF1095" s="532" t="str">
        <f t="shared" si="255"/>
        <v/>
      </c>
    </row>
    <row r="1096" spans="2:32" x14ac:dyDescent="0.25">
      <c r="B1096" s="695"/>
      <c r="C1096" s="197" t="str">
        <f>IF(B1096&lt;&gt;"",IFERROR(VLOOKUP(B:B,'מצבת והרשמה (2)'!$C$20:$N$520,2,0)," ")," ")</f>
        <v xml:space="preserve"> </v>
      </c>
      <c r="D1096" s="695"/>
      <c r="E1096" s="696"/>
      <c r="F1096" s="696"/>
      <c r="G1096" s="696"/>
      <c r="H1096" s="696"/>
      <c r="I1096" s="1050" t="str">
        <f t="shared" si="242"/>
        <v/>
      </c>
      <c r="J1096" s="696"/>
      <c r="K1096" s="697"/>
      <c r="L1096" s="696"/>
      <c r="M1096" s="198" t="str">
        <f t="shared" si="243"/>
        <v/>
      </c>
      <c r="N1096" s="369" t="str">
        <f t="shared" si="244"/>
        <v/>
      </c>
      <c r="O1096" s="183" t="str">
        <f t="shared" si="245"/>
        <v/>
      </c>
      <c r="P1096" s="199" t="str">
        <f t="shared" si="246"/>
        <v/>
      </c>
      <c r="Q1096" s="199" t="str">
        <f>IF(B1096="","",IFERROR(IF('עלויות כח אדם (6)'!J1096&gt;=VLOOKUP(I1096,'סיווג התפקידים והעלויות'!$B$23:$C$32,2,0),"תקין","לא תקין"),""))</f>
        <v/>
      </c>
      <c r="R1096" s="199" t="str">
        <f t="shared" si="247"/>
        <v/>
      </c>
      <c r="S1096" s="199" t="str">
        <f t="shared" si="248"/>
        <v/>
      </c>
      <c r="T1096" s="199" t="str">
        <f t="shared" si="256"/>
        <v/>
      </c>
      <c r="U1096" s="199" t="str">
        <f t="shared" si="249"/>
        <v/>
      </c>
      <c r="V1096" s="989"/>
      <c r="X1096" s="374" t="str">
        <f t="shared" si="250"/>
        <v/>
      </c>
      <c r="Y1096" s="375" t="str">
        <f t="shared" si="251"/>
        <v/>
      </c>
      <c r="Z1096" s="374" t="str">
        <f t="shared" si="252"/>
        <v/>
      </c>
      <c r="AA1096" s="374" t="b">
        <f t="shared" si="253"/>
        <v>1</v>
      </c>
      <c r="AB1096" s="374">
        <f>COUNTIFS(B:B,B1096,H:H,'סיווג התפקידים והעלויות'!$C$2)</f>
        <v>0</v>
      </c>
      <c r="AC1096" s="374">
        <f>COUNTIFS(B:B,B1096,H:H,'סיווג התפקידים והעלויות'!$D$2)</f>
        <v>0</v>
      </c>
      <c r="AD1096" s="374" t="str">
        <f>IF(OR(AND(H1096='סיווג התפקידים והעלויות'!$A$2,I1096='סיווג התפקידים והעלויות'!$A$3),'עלויות כח אדם (6)'!H1096='סיווג התפקידים והעלויות'!$C$2,'עלויות כח אדם (6)'!H1096='סיווג התפקידים והעלויות'!$D$2),IF('עלויות כח אדם (6)'!J1096&lt;75,"לא תקין","תקין"),"")</f>
        <v/>
      </c>
      <c r="AE1096" s="374" t="str">
        <f t="shared" si="254"/>
        <v/>
      </c>
      <c r="AF1096" s="532" t="str">
        <f t="shared" si="255"/>
        <v/>
      </c>
    </row>
    <row r="1097" spans="2:32" x14ac:dyDescent="0.25">
      <c r="B1097" s="695"/>
      <c r="C1097" s="197" t="str">
        <f>IF(B1097&lt;&gt;"",IFERROR(VLOOKUP(B:B,'מצבת והרשמה (2)'!$C$20:$N$520,2,0)," ")," ")</f>
        <v xml:space="preserve"> </v>
      </c>
      <c r="D1097" s="695"/>
      <c r="E1097" s="696"/>
      <c r="F1097" s="696"/>
      <c r="G1097" s="696"/>
      <c r="H1097" s="696"/>
      <c r="I1097" s="1050" t="str">
        <f t="shared" si="242"/>
        <v/>
      </c>
      <c r="J1097" s="696"/>
      <c r="K1097" s="697"/>
      <c r="L1097" s="696"/>
      <c r="M1097" s="198" t="str">
        <f t="shared" si="243"/>
        <v/>
      </c>
      <c r="N1097" s="369" t="str">
        <f t="shared" si="244"/>
        <v/>
      </c>
      <c r="O1097" s="183" t="str">
        <f t="shared" si="245"/>
        <v/>
      </c>
      <c r="P1097" s="199" t="str">
        <f t="shared" si="246"/>
        <v/>
      </c>
      <c r="Q1097" s="199" t="str">
        <f>IF(B1097="","",IFERROR(IF('עלויות כח אדם (6)'!J1097&gt;=VLOOKUP(I1097,'סיווג התפקידים והעלויות'!$B$23:$C$32,2,0),"תקין","לא תקין"),""))</f>
        <v/>
      </c>
      <c r="R1097" s="199" t="str">
        <f t="shared" si="247"/>
        <v/>
      </c>
      <c r="S1097" s="199" t="str">
        <f t="shared" si="248"/>
        <v/>
      </c>
      <c r="T1097" s="199" t="str">
        <f t="shared" si="256"/>
        <v/>
      </c>
      <c r="U1097" s="199" t="str">
        <f t="shared" si="249"/>
        <v/>
      </c>
      <c r="V1097" s="989"/>
      <c r="X1097" s="374" t="str">
        <f t="shared" si="250"/>
        <v/>
      </c>
      <c r="Y1097" s="375" t="str">
        <f t="shared" si="251"/>
        <v/>
      </c>
      <c r="Z1097" s="374" t="str">
        <f t="shared" si="252"/>
        <v/>
      </c>
      <c r="AA1097" s="374" t="b">
        <f t="shared" si="253"/>
        <v>1</v>
      </c>
      <c r="AB1097" s="374">
        <f>COUNTIFS(B:B,B1097,H:H,'סיווג התפקידים והעלויות'!$C$2)</f>
        <v>0</v>
      </c>
      <c r="AC1097" s="374">
        <f>COUNTIFS(B:B,B1097,H:H,'סיווג התפקידים והעלויות'!$D$2)</f>
        <v>0</v>
      </c>
      <c r="AD1097" s="374" t="str">
        <f>IF(OR(AND(H1097='סיווג התפקידים והעלויות'!$A$2,I1097='סיווג התפקידים והעלויות'!$A$3),'עלויות כח אדם (6)'!H1097='סיווג התפקידים והעלויות'!$C$2,'עלויות כח אדם (6)'!H1097='סיווג התפקידים והעלויות'!$D$2),IF('עלויות כח אדם (6)'!J1097&lt;75,"לא תקין","תקין"),"")</f>
        <v/>
      </c>
      <c r="AE1097" s="374" t="str">
        <f t="shared" si="254"/>
        <v/>
      </c>
      <c r="AF1097" s="532" t="str">
        <f t="shared" si="255"/>
        <v/>
      </c>
    </row>
    <row r="1098" spans="2:32" x14ac:dyDescent="0.25">
      <c r="B1098" s="695"/>
      <c r="C1098" s="197" t="str">
        <f>IF(B1098&lt;&gt;"",IFERROR(VLOOKUP(B:B,'מצבת והרשמה (2)'!$C$20:$N$520,2,0)," ")," ")</f>
        <v xml:space="preserve"> </v>
      </c>
      <c r="D1098" s="695"/>
      <c r="E1098" s="696"/>
      <c r="F1098" s="696"/>
      <c r="G1098" s="696"/>
      <c r="H1098" s="696"/>
      <c r="I1098" s="1050" t="str">
        <f t="shared" si="242"/>
        <v/>
      </c>
      <c r="J1098" s="696"/>
      <c r="K1098" s="697"/>
      <c r="L1098" s="696"/>
      <c r="M1098" s="198" t="str">
        <f t="shared" si="243"/>
        <v/>
      </c>
      <c r="N1098" s="369" t="str">
        <f t="shared" si="244"/>
        <v/>
      </c>
      <c r="O1098" s="183" t="str">
        <f t="shared" si="245"/>
        <v/>
      </c>
      <c r="P1098" s="199" t="str">
        <f t="shared" si="246"/>
        <v/>
      </c>
      <c r="Q1098" s="199" t="str">
        <f>IF(B1098="","",IFERROR(IF('עלויות כח אדם (6)'!J1098&gt;=VLOOKUP(I1098,'סיווג התפקידים והעלויות'!$B$23:$C$32,2,0),"תקין","לא תקין"),""))</f>
        <v/>
      </c>
      <c r="R1098" s="199" t="str">
        <f t="shared" si="247"/>
        <v/>
      </c>
      <c r="S1098" s="199" t="str">
        <f t="shared" si="248"/>
        <v/>
      </c>
      <c r="T1098" s="199" t="str">
        <f t="shared" si="256"/>
        <v/>
      </c>
      <c r="U1098" s="199" t="str">
        <f t="shared" si="249"/>
        <v/>
      </c>
      <c r="V1098" s="989"/>
      <c r="X1098" s="374" t="str">
        <f t="shared" si="250"/>
        <v/>
      </c>
      <c r="Y1098" s="375" t="str">
        <f t="shared" si="251"/>
        <v/>
      </c>
      <c r="Z1098" s="374" t="str">
        <f t="shared" si="252"/>
        <v/>
      </c>
      <c r="AA1098" s="374" t="b">
        <f t="shared" si="253"/>
        <v>1</v>
      </c>
      <c r="AB1098" s="374">
        <f>COUNTIFS(B:B,B1098,H:H,'סיווג התפקידים והעלויות'!$C$2)</f>
        <v>0</v>
      </c>
      <c r="AC1098" s="374">
        <f>COUNTIFS(B:B,B1098,H:H,'סיווג התפקידים והעלויות'!$D$2)</f>
        <v>0</v>
      </c>
      <c r="AD1098" s="374" t="str">
        <f>IF(OR(AND(H1098='סיווג התפקידים והעלויות'!$A$2,I1098='סיווג התפקידים והעלויות'!$A$3),'עלויות כח אדם (6)'!H1098='סיווג התפקידים והעלויות'!$C$2,'עלויות כח אדם (6)'!H1098='סיווג התפקידים והעלויות'!$D$2),IF('עלויות כח אדם (6)'!J1098&lt;75,"לא תקין","תקין"),"")</f>
        <v/>
      </c>
      <c r="AE1098" s="374" t="str">
        <f t="shared" si="254"/>
        <v/>
      </c>
      <c r="AF1098" s="532" t="str">
        <f t="shared" si="255"/>
        <v/>
      </c>
    </row>
    <row r="1099" spans="2:32" x14ac:dyDescent="0.25">
      <c r="B1099" s="695"/>
      <c r="C1099" s="197" t="str">
        <f>IF(B1099&lt;&gt;"",IFERROR(VLOOKUP(B:B,'מצבת והרשמה (2)'!$C$20:$N$520,2,0)," ")," ")</f>
        <v xml:space="preserve"> </v>
      </c>
      <c r="D1099" s="695"/>
      <c r="E1099" s="696"/>
      <c r="F1099" s="696"/>
      <c r="G1099" s="696"/>
      <c r="H1099" s="696"/>
      <c r="I1099" s="1050" t="str">
        <f t="shared" si="242"/>
        <v/>
      </c>
      <c r="J1099" s="696"/>
      <c r="K1099" s="697"/>
      <c r="L1099" s="696"/>
      <c r="M1099" s="198" t="str">
        <f t="shared" si="243"/>
        <v/>
      </c>
      <c r="N1099" s="369" t="str">
        <f t="shared" si="244"/>
        <v/>
      </c>
      <c r="O1099" s="183" t="str">
        <f t="shared" si="245"/>
        <v/>
      </c>
      <c r="P1099" s="199" t="str">
        <f t="shared" si="246"/>
        <v/>
      </c>
      <c r="Q1099" s="199" t="str">
        <f>IF(B1099="","",IFERROR(IF('עלויות כח אדם (6)'!J1099&gt;=VLOOKUP(I1099,'סיווג התפקידים והעלויות'!$B$23:$C$32,2,0),"תקין","לא תקין"),""))</f>
        <v/>
      </c>
      <c r="R1099" s="199" t="str">
        <f t="shared" si="247"/>
        <v/>
      </c>
      <c r="S1099" s="199" t="str">
        <f t="shared" si="248"/>
        <v/>
      </c>
      <c r="T1099" s="199" t="str">
        <f t="shared" si="256"/>
        <v/>
      </c>
      <c r="U1099" s="199" t="str">
        <f t="shared" si="249"/>
        <v/>
      </c>
      <c r="V1099" s="989"/>
      <c r="X1099" s="374" t="str">
        <f t="shared" si="250"/>
        <v/>
      </c>
      <c r="Y1099" s="375" t="str">
        <f t="shared" si="251"/>
        <v/>
      </c>
      <c r="Z1099" s="374" t="str">
        <f t="shared" si="252"/>
        <v/>
      </c>
      <c r="AA1099" s="374" t="b">
        <f t="shared" si="253"/>
        <v>1</v>
      </c>
      <c r="AB1099" s="374">
        <f>COUNTIFS(B:B,B1099,H:H,'סיווג התפקידים והעלויות'!$C$2)</f>
        <v>0</v>
      </c>
      <c r="AC1099" s="374">
        <f>COUNTIFS(B:B,B1099,H:H,'סיווג התפקידים והעלויות'!$D$2)</f>
        <v>0</v>
      </c>
      <c r="AD1099" s="374" t="str">
        <f>IF(OR(AND(H1099='סיווג התפקידים והעלויות'!$A$2,I1099='סיווג התפקידים והעלויות'!$A$3),'עלויות כח אדם (6)'!H1099='סיווג התפקידים והעלויות'!$C$2,'עלויות כח אדם (6)'!H1099='סיווג התפקידים והעלויות'!$D$2),IF('עלויות כח אדם (6)'!J1099&lt;75,"לא תקין","תקין"),"")</f>
        <v/>
      </c>
      <c r="AE1099" s="374" t="str">
        <f t="shared" si="254"/>
        <v/>
      </c>
      <c r="AF1099" s="532" t="str">
        <f t="shared" si="255"/>
        <v/>
      </c>
    </row>
    <row r="1100" spans="2:32" x14ac:dyDescent="0.25">
      <c r="B1100" s="695"/>
      <c r="C1100" s="197" t="str">
        <f>IF(B1100&lt;&gt;"",IFERROR(VLOOKUP(B:B,'מצבת והרשמה (2)'!$C$20:$N$520,2,0)," ")," ")</f>
        <v xml:space="preserve"> </v>
      </c>
      <c r="D1100" s="695"/>
      <c r="E1100" s="696"/>
      <c r="F1100" s="696"/>
      <c r="G1100" s="696"/>
      <c r="H1100" s="696"/>
      <c r="I1100" s="1050" t="str">
        <f t="shared" si="242"/>
        <v/>
      </c>
      <c r="J1100" s="696"/>
      <c r="K1100" s="697"/>
      <c r="L1100" s="696"/>
      <c r="M1100" s="198" t="str">
        <f t="shared" si="243"/>
        <v/>
      </c>
      <c r="N1100" s="369" t="str">
        <f t="shared" si="244"/>
        <v/>
      </c>
      <c r="O1100" s="183" t="str">
        <f t="shared" si="245"/>
        <v/>
      </c>
      <c r="P1100" s="199" t="str">
        <f t="shared" si="246"/>
        <v/>
      </c>
      <c r="Q1100" s="199" t="str">
        <f>IF(B1100="","",IFERROR(IF('עלויות כח אדם (6)'!J1100&gt;=VLOOKUP(I1100,'סיווג התפקידים והעלויות'!$B$23:$C$32,2,0),"תקין","לא תקין"),""))</f>
        <v/>
      </c>
      <c r="R1100" s="199" t="str">
        <f t="shared" si="247"/>
        <v/>
      </c>
      <c r="S1100" s="199" t="str">
        <f t="shared" si="248"/>
        <v/>
      </c>
      <c r="T1100" s="199" t="str">
        <f t="shared" si="256"/>
        <v/>
      </c>
      <c r="U1100" s="199" t="str">
        <f t="shared" si="249"/>
        <v/>
      </c>
      <c r="V1100" s="989"/>
      <c r="X1100" s="374" t="str">
        <f t="shared" si="250"/>
        <v/>
      </c>
      <c r="Y1100" s="375" t="str">
        <f t="shared" si="251"/>
        <v/>
      </c>
      <c r="Z1100" s="374" t="str">
        <f t="shared" si="252"/>
        <v/>
      </c>
      <c r="AA1100" s="374" t="b">
        <f t="shared" si="253"/>
        <v>1</v>
      </c>
      <c r="AB1100" s="374">
        <f>COUNTIFS(B:B,B1100,H:H,'סיווג התפקידים והעלויות'!$C$2)</f>
        <v>0</v>
      </c>
      <c r="AC1100" s="374">
        <f>COUNTIFS(B:B,B1100,H:H,'סיווג התפקידים והעלויות'!$D$2)</f>
        <v>0</v>
      </c>
      <c r="AD1100" s="374" t="str">
        <f>IF(OR(AND(H1100='סיווג התפקידים והעלויות'!$A$2,I1100='סיווג התפקידים והעלויות'!$A$3),'עלויות כח אדם (6)'!H1100='סיווג התפקידים והעלויות'!$C$2,'עלויות כח אדם (6)'!H1100='סיווג התפקידים והעלויות'!$D$2),IF('עלויות כח אדם (6)'!J1100&lt;75,"לא תקין","תקין"),"")</f>
        <v/>
      </c>
      <c r="AE1100" s="374" t="str">
        <f t="shared" si="254"/>
        <v/>
      </c>
      <c r="AF1100" s="532" t="str">
        <f t="shared" si="255"/>
        <v/>
      </c>
    </row>
    <row r="1101" spans="2:32" x14ac:dyDescent="0.25">
      <c r="B1101" s="695"/>
      <c r="C1101" s="197" t="str">
        <f>IF(B1101&lt;&gt;"",IFERROR(VLOOKUP(B:B,'מצבת והרשמה (2)'!$C$20:$N$520,2,0)," ")," ")</f>
        <v xml:space="preserve"> </v>
      </c>
      <c r="D1101" s="695"/>
      <c r="E1101" s="696"/>
      <c r="F1101" s="696"/>
      <c r="G1101" s="696"/>
      <c r="H1101" s="696"/>
      <c r="I1101" s="1050" t="str">
        <f t="shared" si="242"/>
        <v/>
      </c>
      <c r="J1101" s="696"/>
      <c r="K1101" s="697"/>
      <c r="L1101" s="696"/>
      <c r="M1101" s="198" t="str">
        <f t="shared" si="243"/>
        <v/>
      </c>
      <c r="N1101" s="369" t="str">
        <f t="shared" si="244"/>
        <v/>
      </c>
      <c r="O1101" s="183" t="str">
        <f t="shared" si="245"/>
        <v/>
      </c>
      <c r="P1101" s="199" t="str">
        <f t="shared" si="246"/>
        <v/>
      </c>
      <c r="Q1101" s="199" t="str">
        <f>IF(B1101="","",IFERROR(IF('עלויות כח אדם (6)'!J1101&gt;=VLOOKUP(I1101,'סיווג התפקידים והעלויות'!$B$23:$C$32,2,0),"תקין","לא תקין"),""))</f>
        <v/>
      </c>
      <c r="R1101" s="199" t="str">
        <f t="shared" si="247"/>
        <v/>
      </c>
      <c r="S1101" s="199" t="str">
        <f t="shared" si="248"/>
        <v/>
      </c>
      <c r="T1101" s="199" t="str">
        <f t="shared" si="256"/>
        <v/>
      </c>
      <c r="U1101" s="199" t="str">
        <f t="shared" si="249"/>
        <v/>
      </c>
      <c r="V1101" s="989"/>
      <c r="X1101" s="374" t="str">
        <f t="shared" si="250"/>
        <v/>
      </c>
      <c r="Y1101" s="375" t="str">
        <f t="shared" si="251"/>
        <v/>
      </c>
      <c r="Z1101" s="374" t="str">
        <f t="shared" si="252"/>
        <v/>
      </c>
      <c r="AA1101" s="374" t="b">
        <f t="shared" si="253"/>
        <v>1</v>
      </c>
      <c r="AB1101" s="374">
        <f>COUNTIFS(B:B,B1101,H:H,'סיווג התפקידים והעלויות'!$C$2)</f>
        <v>0</v>
      </c>
      <c r="AC1101" s="374">
        <f>COUNTIFS(B:B,B1101,H:H,'סיווג התפקידים והעלויות'!$D$2)</f>
        <v>0</v>
      </c>
      <c r="AD1101" s="374" t="str">
        <f>IF(OR(AND(H1101='סיווג התפקידים והעלויות'!$A$2,I1101='סיווג התפקידים והעלויות'!$A$3),'עלויות כח אדם (6)'!H1101='סיווג התפקידים והעלויות'!$C$2,'עלויות כח אדם (6)'!H1101='סיווג התפקידים והעלויות'!$D$2),IF('עלויות כח אדם (6)'!J1101&lt;75,"לא תקין","תקין"),"")</f>
        <v/>
      </c>
      <c r="AE1101" s="374" t="str">
        <f t="shared" si="254"/>
        <v/>
      </c>
      <c r="AF1101" s="532" t="str">
        <f t="shared" si="255"/>
        <v/>
      </c>
    </row>
    <row r="1102" spans="2:32" x14ac:dyDescent="0.25">
      <c r="B1102" s="695"/>
      <c r="C1102" s="197" t="str">
        <f>IF(B1102&lt;&gt;"",IFERROR(VLOOKUP(B:B,'מצבת והרשמה (2)'!$C$20:$N$520,2,0)," ")," ")</f>
        <v xml:space="preserve"> </v>
      </c>
      <c r="D1102" s="695"/>
      <c r="E1102" s="696"/>
      <c r="F1102" s="696"/>
      <c r="G1102" s="696"/>
      <c r="H1102" s="696"/>
      <c r="I1102" s="1050" t="str">
        <f t="shared" si="242"/>
        <v/>
      </c>
      <c r="J1102" s="696"/>
      <c r="K1102" s="697"/>
      <c r="L1102" s="696"/>
      <c r="M1102" s="198" t="str">
        <f t="shared" si="243"/>
        <v/>
      </c>
      <c r="N1102" s="369" t="str">
        <f t="shared" si="244"/>
        <v/>
      </c>
      <c r="O1102" s="183" t="str">
        <f t="shared" si="245"/>
        <v/>
      </c>
      <c r="P1102" s="199" t="str">
        <f t="shared" si="246"/>
        <v/>
      </c>
      <c r="Q1102" s="199" t="str">
        <f>IF(B1102="","",IFERROR(IF('עלויות כח אדם (6)'!J1102&gt;=VLOOKUP(I1102,'סיווג התפקידים והעלויות'!$B$23:$C$32,2,0),"תקין","לא תקין"),""))</f>
        <v/>
      </c>
      <c r="R1102" s="199" t="str">
        <f t="shared" si="247"/>
        <v/>
      </c>
      <c r="S1102" s="199" t="str">
        <f t="shared" si="248"/>
        <v/>
      </c>
      <c r="T1102" s="199" t="str">
        <f t="shared" si="256"/>
        <v/>
      </c>
      <c r="U1102" s="199" t="str">
        <f t="shared" si="249"/>
        <v/>
      </c>
      <c r="V1102" s="989"/>
      <c r="X1102" s="374" t="str">
        <f t="shared" si="250"/>
        <v/>
      </c>
      <c r="Y1102" s="375" t="str">
        <f t="shared" si="251"/>
        <v/>
      </c>
      <c r="Z1102" s="374" t="str">
        <f t="shared" si="252"/>
        <v/>
      </c>
      <c r="AA1102" s="374" t="b">
        <f t="shared" si="253"/>
        <v>1</v>
      </c>
      <c r="AB1102" s="374">
        <f>COUNTIFS(B:B,B1102,H:H,'סיווג התפקידים והעלויות'!$C$2)</f>
        <v>0</v>
      </c>
      <c r="AC1102" s="374">
        <f>COUNTIFS(B:B,B1102,H:H,'סיווג התפקידים והעלויות'!$D$2)</f>
        <v>0</v>
      </c>
      <c r="AD1102" s="374" t="str">
        <f>IF(OR(AND(H1102='סיווג התפקידים והעלויות'!$A$2,I1102='סיווג התפקידים והעלויות'!$A$3),'עלויות כח אדם (6)'!H1102='סיווג התפקידים והעלויות'!$C$2,'עלויות כח אדם (6)'!H1102='סיווג התפקידים והעלויות'!$D$2),IF('עלויות כח אדם (6)'!J1102&lt;75,"לא תקין","תקין"),"")</f>
        <v/>
      </c>
      <c r="AE1102" s="374" t="str">
        <f t="shared" si="254"/>
        <v/>
      </c>
      <c r="AF1102" s="532" t="str">
        <f t="shared" si="255"/>
        <v/>
      </c>
    </row>
    <row r="1103" spans="2:32" x14ac:dyDescent="0.25">
      <c r="B1103" s="695"/>
      <c r="C1103" s="197" t="str">
        <f>IF(B1103&lt;&gt;"",IFERROR(VLOOKUP(B:B,'מצבת והרשמה (2)'!$C$20:$N$520,2,0)," ")," ")</f>
        <v xml:space="preserve"> </v>
      </c>
      <c r="D1103" s="695"/>
      <c r="E1103" s="696"/>
      <c r="F1103" s="696"/>
      <c r="G1103" s="696"/>
      <c r="H1103" s="696"/>
      <c r="I1103" s="1050" t="str">
        <f t="shared" ref="I1103:I1166" si="257">SUBSTITUTE(IFERROR(IF(H1103="מדצ","מדצ/ית",IF(H1103="סגנית רכזת מעל 150","סגנ/ית רכז/ת&gt;150",IF(H1103="רכזת תכנית בבית הספר","רכז/ת תכנית בבית הספר"))),""),"FALSE","")</f>
        <v/>
      </c>
      <c r="J1103" s="696"/>
      <c r="K1103" s="697"/>
      <c r="L1103" s="696"/>
      <c r="M1103" s="198" t="str">
        <f t="shared" ref="M1103:M1166" si="258">IF(AND(L1103&gt;0,K1103&gt;0),K1103*L1103,"")</f>
        <v/>
      </c>
      <c r="N1103" s="369" t="str">
        <f t="shared" ref="N1103:N1166" si="259">TEXT(LEFT(H1103,2),0)</f>
        <v/>
      </c>
      <c r="O1103" s="183" t="str">
        <f t="shared" ref="O1103:O1166" si="260">IF(ISNUMBER(M1103&gt;0),IF(ISBLANK(B1103),"יש להזין סמל מוסד בעמודה B",""),"")</f>
        <v/>
      </c>
      <c r="P1103" s="199" t="str">
        <f t="shared" ref="P1103:P1166" si="261">IF(B1103="","",IF(AA1103=FALSE,"לא תקין","תקין"))</f>
        <v/>
      </c>
      <c r="Q1103" s="199" t="str">
        <f>IF(B1103="","",IFERROR(IF('עלויות כח אדם (6)'!J1103&gt;=VLOOKUP(I1103,'סיווג התפקידים והעלויות'!$B$23:$C$32,2,0),"תקין","לא תקין"),""))</f>
        <v/>
      </c>
      <c r="R1103" s="199" t="str">
        <f t="shared" ref="R1103:R1166" si="262">IF(B1103="","",IF(OR(Y1103&lt;100%,Y1103&gt;140%),"לא תקין","תקין"))</f>
        <v/>
      </c>
      <c r="S1103" s="199" t="str">
        <f t="shared" ref="S1103:S1166" si="263">IF(B1103="","",IFERROR(IF(J1103&gt;120,"לא תקין","תקין"),""))</f>
        <v/>
      </c>
      <c r="T1103" s="199" t="str">
        <f t="shared" si="256"/>
        <v/>
      </c>
      <c r="U1103" s="199" t="str">
        <f t="shared" ref="U1103:U1166" si="264">IF(B1103="","",IF(Z1103&gt;1,IF(SUMIF(D:D,D1103,L:L)&gt;90,"לא תקין","תקין"),"תקין"))</f>
        <v/>
      </c>
      <c r="V1103" s="989"/>
      <c r="X1103" s="374" t="str">
        <f t="shared" ref="X1103:X1166" si="265">IF(B1103="","",IF(OR(R1103="לא תקין",S1103="לא תקין",T1103="לא תקין",,U1103="לא תקין"),"לא תקין","תקין"))</f>
        <v/>
      </c>
      <c r="Y1103" s="375" t="str">
        <f t="shared" ref="Y1103:Y1166" si="266">IFERROR(IF(B1103="","",K1103/J1103),"")</f>
        <v/>
      </c>
      <c r="Z1103" s="374" t="str">
        <f t="shared" ref="Z1103:Z1166" si="267">IF(B1103="","",COUNTIF(D:D,D1103))</f>
        <v/>
      </c>
      <c r="AA1103" s="374" t="b">
        <f t="shared" ref="AA1103:AA1166" si="268">MOD(MID(REPT(0,9-LEN(D1103))&amp;D1103,1,1)+MID("0246813579",MID(REPT(0,9-LEN(D1103))&amp;D1103,2,1)+1,1)+MID(REPT(0,9-LEN(D1103))&amp;D1103,3,1)+MID("0246813579",MID(REPT(0,9-LEN(D1103))&amp;D1103,4,1)+1,1)+MID(REPT(0,9-LEN(D1103))&amp;D1103,5,1)+MID("0246813579",MID(REPT(0,9-LEN(D1103))&amp;D1103,6,1)+1,1)+MID(REPT(0,9-LEN(D1103))&amp;D1103,7,1)+MID("0246813579",MID(REPT(0,9-LEN(D1103))&amp;D1103,8,1)+1,1)+MID(REPT(0,9-LEN(D1103))&amp;D1103,9,1),10)=0</f>
        <v>1</v>
      </c>
      <c r="AB1103" s="374">
        <f>COUNTIFS(B:B,B1103,H:H,'סיווג התפקידים והעלויות'!$C$2)</f>
        <v>0</v>
      </c>
      <c r="AC1103" s="374">
        <f>COUNTIFS(B:B,B1103,H:H,'סיווג התפקידים והעלויות'!$D$2)</f>
        <v>0</v>
      </c>
      <c r="AD1103" s="374" t="str">
        <f>IF(OR(AND(H1103='סיווג התפקידים והעלויות'!$A$2,I1103='סיווג התפקידים והעלויות'!$A$3),'עלויות כח אדם (6)'!H1103='סיווג התפקידים והעלויות'!$C$2,'עלויות כח אדם (6)'!H1103='סיווג התפקידים והעלויות'!$D$2),IF('עלויות כח אדם (6)'!J1103&lt;75,"לא תקין","תקין"),"")</f>
        <v/>
      </c>
      <c r="AE1103" s="374" t="str">
        <f t="shared" ref="AE1103:AE1166" si="269">IF(B1103&lt;&gt;"",B1103&amp;H1103,"")</f>
        <v/>
      </c>
      <c r="AF1103" s="532" t="str">
        <f t="shared" ref="AF1103:AF1166" si="270">M1103</f>
        <v/>
      </c>
    </row>
    <row r="1104" spans="2:32" x14ac:dyDescent="0.25">
      <c r="B1104" s="695"/>
      <c r="C1104" s="197" t="str">
        <f>IF(B1104&lt;&gt;"",IFERROR(VLOOKUP(B:B,'מצבת והרשמה (2)'!$C$20:$N$520,2,0)," ")," ")</f>
        <v xml:space="preserve"> </v>
      </c>
      <c r="D1104" s="695"/>
      <c r="E1104" s="696"/>
      <c r="F1104" s="696"/>
      <c r="G1104" s="696"/>
      <c r="H1104" s="696"/>
      <c r="I1104" s="1050" t="str">
        <f t="shared" si="257"/>
        <v/>
      </c>
      <c r="J1104" s="696"/>
      <c r="K1104" s="697"/>
      <c r="L1104" s="696"/>
      <c r="M1104" s="198" t="str">
        <f t="shared" si="258"/>
        <v/>
      </c>
      <c r="N1104" s="369" t="str">
        <f t="shared" si="259"/>
        <v/>
      </c>
      <c r="O1104" s="183" t="str">
        <f t="shared" si="260"/>
        <v/>
      </c>
      <c r="P1104" s="199" t="str">
        <f t="shared" si="261"/>
        <v/>
      </c>
      <c r="Q1104" s="199" t="str">
        <f>IF(B1104="","",IFERROR(IF('עלויות כח אדם (6)'!J1104&gt;=VLOOKUP(I1104,'סיווג התפקידים והעלויות'!$B$23:$C$32,2,0),"תקין","לא תקין"),""))</f>
        <v/>
      </c>
      <c r="R1104" s="199" t="str">
        <f t="shared" si="262"/>
        <v/>
      </c>
      <c r="S1104" s="199" t="str">
        <f t="shared" si="263"/>
        <v/>
      </c>
      <c r="T1104" s="199" t="str">
        <f t="shared" ref="T1104:T1167" si="271">IF(B1104="","",IF(H1104="","יש להזין איש צוות",IF(OR(H1104="מורה",H1104="גננת",H1104="רכז גן",H1104="רכזת גן",H1104="סייעת",H1104="מדצית",H1104="מדצ",H1104="מדריך",H1104="מדריכה",H1104="תוספת כח אדם"),IF(L1104&lt;=90,"תקין","לא תקין"),IF(OR(H1104="רכז בית ספר",H1104="רכזת תכנית בבית הספר",H1104="רכזת בית ספר"),IF(L1104&lt;=137,"תקין","לא תקין"),IF(OR(H1104="סגנית רכזת מעל 150",H1104="סגן רכז"),IF(L1104&lt;=93,"תקין","לא תקין"),"לא תקין")))))</f>
        <v/>
      </c>
      <c r="U1104" s="199" t="str">
        <f t="shared" si="264"/>
        <v/>
      </c>
      <c r="V1104" s="989"/>
      <c r="X1104" s="374" t="str">
        <f t="shared" si="265"/>
        <v/>
      </c>
      <c r="Y1104" s="375" t="str">
        <f t="shared" si="266"/>
        <v/>
      </c>
      <c r="Z1104" s="374" t="str">
        <f t="shared" si="267"/>
        <v/>
      </c>
      <c r="AA1104" s="374" t="b">
        <f t="shared" si="268"/>
        <v>1</v>
      </c>
      <c r="AB1104" s="374">
        <f>COUNTIFS(B:B,B1104,H:H,'סיווג התפקידים והעלויות'!$C$2)</f>
        <v>0</v>
      </c>
      <c r="AC1104" s="374">
        <f>COUNTIFS(B:B,B1104,H:H,'סיווג התפקידים והעלויות'!$D$2)</f>
        <v>0</v>
      </c>
      <c r="AD1104" s="374" t="str">
        <f>IF(OR(AND(H1104='סיווג התפקידים והעלויות'!$A$2,I1104='סיווג התפקידים והעלויות'!$A$3),'עלויות כח אדם (6)'!H1104='סיווג התפקידים והעלויות'!$C$2,'עלויות כח אדם (6)'!H1104='סיווג התפקידים והעלויות'!$D$2),IF('עלויות כח אדם (6)'!J1104&lt;75,"לא תקין","תקין"),"")</f>
        <v/>
      </c>
      <c r="AE1104" s="374" t="str">
        <f t="shared" si="269"/>
        <v/>
      </c>
      <c r="AF1104" s="532" t="str">
        <f t="shared" si="270"/>
        <v/>
      </c>
    </row>
    <row r="1105" spans="2:32" x14ac:dyDescent="0.25">
      <c r="B1105" s="695"/>
      <c r="C1105" s="197" t="str">
        <f>IF(B1105&lt;&gt;"",IFERROR(VLOOKUP(B:B,'מצבת והרשמה (2)'!$C$20:$N$520,2,0)," ")," ")</f>
        <v xml:space="preserve"> </v>
      </c>
      <c r="D1105" s="695"/>
      <c r="E1105" s="696"/>
      <c r="F1105" s="696"/>
      <c r="G1105" s="696"/>
      <c r="H1105" s="696"/>
      <c r="I1105" s="1050" t="str">
        <f t="shared" si="257"/>
        <v/>
      </c>
      <c r="J1105" s="696"/>
      <c r="K1105" s="697"/>
      <c r="L1105" s="696"/>
      <c r="M1105" s="198" t="str">
        <f t="shared" si="258"/>
        <v/>
      </c>
      <c r="N1105" s="369" t="str">
        <f t="shared" si="259"/>
        <v/>
      </c>
      <c r="O1105" s="183" t="str">
        <f t="shared" si="260"/>
        <v/>
      </c>
      <c r="P1105" s="199" t="str">
        <f t="shared" si="261"/>
        <v/>
      </c>
      <c r="Q1105" s="199" t="str">
        <f>IF(B1105="","",IFERROR(IF('עלויות כח אדם (6)'!J1105&gt;=VLOOKUP(I1105,'סיווג התפקידים והעלויות'!$B$23:$C$32,2,0),"תקין","לא תקין"),""))</f>
        <v/>
      </c>
      <c r="R1105" s="199" t="str">
        <f t="shared" si="262"/>
        <v/>
      </c>
      <c r="S1105" s="199" t="str">
        <f t="shared" si="263"/>
        <v/>
      </c>
      <c r="T1105" s="199" t="str">
        <f t="shared" si="271"/>
        <v/>
      </c>
      <c r="U1105" s="199" t="str">
        <f t="shared" si="264"/>
        <v/>
      </c>
      <c r="V1105" s="989"/>
      <c r="X1105" s="374" t="str">
        <f t="shared" si="265"/>
        <v/>
      </c>
      <c r="Y1105" s="375" t="str">
        <f t="shared" si="266"/>
        <v/>
      </c>
      <c r="Z1105" s="374" t="str">
        <f t="shared" si="267"/>
        <v/>
      </c>
      <c r="AA1105" s="374" t="b">
        <f t="shared" si="268"/>
        <v>1</v>
      </c>
      <c r="AB1105" s="374">
        <f>COUNTIFS(B:B,B1105,H:H,'סיווג התפקידים והעלויות'!$C$2)</f>
        <v>0</v>
      </c>
      <c r="AC1105" s="374">
        <f>COUNTIFS(B:B,B1105,H:H,'סיווג התפקידים והעלויות'!$D$2)</f>
        <v>0</v>
      </c>
      <c r="AD1105" s="374" t="str">
        <f>IF(OR(AND(H1105='סיווג התפקידים והעלויות'!$A$2,I1105='סיווג התפקידים והעלויות'!$A$3),'עלויות כח אדם (6)'!H1105='סיווג התפקידים והעלויות'!$C$2,'עלויות כח אדם (6)'!H1105='סיווג התפקידים והעלויות'!$D$2),IF('עלויות כח אדם (6)'!J1105&lt;75,"לא תקין","תקין"),"")</f>
        <v/>
      </c>
      <c r="AE1105" s="374" t="str">
        <f t="shared" si="269"/>
        <v/>
      </c>
      <c r="AF1105" s="532" t="str">
        <f t="shared" si="270"/>
        <v/>
      </c>
    </row>
    <row r="1106" spans="2:32" x14ac:dyDescent="0.25">
      <c r="B1106" s="695"/>
      <c r="C1106" s="197" t="str">
        <f>IF(B1106&lt;&gt;"",IFERROR(VLOOKUP(B:B,'מצבת והרשמה (2)'!$C$20:$N$520,2,0)," ")," ")</f>
        <v xml:space="preserve"> </v>
      </c>
      <c r="D1106" s="695"/>
      <c r="E1106" s="696"/>
      <c r="F1106" s="696"/>
      <c r="G1106" s="696"/>
      <c r="H1106" s="696"/>
      <c r="I1106" s="1050" t="str">
        <f t="shared" si="257"/>
        <v/>
      </c>
      <c r="J1106" s="696"/>
      <c r="K1106" s="697"/>
      <c r="L1106" s="696"/>
      <c r="M1106" s="198" t="str">
        <f t="shared" si="258"/>
        <v/>
      </c>
      <c r="N1106" s="369" t="str">
        <f t="shared" si="259"/>
        <v/>
      </c>
      <c r="O1106" s="183" t="str">
        <f t="shared" si="260"/>
        <v/>
      </c>
      <c r="P1106" s="199" t="str">
        <f t="shared" si="261"/>
        <v/>
      </c>
      <c r="Q1106" s="199" t="str">
        <f>IF(B1106="","",IFERROR(IF('עלויות כח אדם (6)'!J1106&gt;=VLOOKUP(I1106,'סיווג התפקידים והעלויות'!$B$23:$C$32,2,0),"תקין","לא תקין"),""))</f>
        <v/>
      </c>
      <c r="R1106" s="199" t="str">
        <f t="shared" si="262"/>
        <v/>
      </c>
      <c r="S1106" s="199" t="str">
        <f t="shared" si="263"/>
        <v/>
      </c>
      <c r="T1106" s="199" t="str">
        <f t="shared" si="271"/>
        <v/>
      </c>
      <c r="U1106" s="199" t="str">
        <f t="shared" si="264"/>
        <v/>
      </c>
      <c r="V1106" s="989"/>
      <c r="X1106" s="374" t="str">
        <f t="shared" si="265"/>
        <v/>
      </c>
      <c r="Y1106" s="375" t="str">
        <f t="shared" si="266"/>
        <v/>
      </c>
      <c r="Z1106" s="374" t="str">
        <f t="shared" si="267"/>
        <v/>
      </c>
      <c r="AA1106" s="374" t="b">
        <f t="shared" si="268"/>
        <v>1</v>
      </c>
      <c r="AB1106" s="374">
        <f>COUNTIFS(B:B,B1106,H:H,'סיווג התפקידים והעלויות'!$C$2)</f>
        <v>0</v>
      </c>
      <c r="AC1106" s="374">
        <f>COUNTIFS(B:B,B1106,H:H,'סיווג התפקידים והעלויות'!$D$2)</f>
        <v>0</v>
      </c>
      <c r="AD1106" s="374" t="str">
        <f>IF(OR(AND(H1106='סיווג התפקידים והעלויות'!$A$2,I1106='סיווג התפקידים והעלויות'!$A$3),'עלויות כח אדם (6)'!H1106='סיווג התפקידים והעלויות'!$C$2,'עלויות כח אדם (6)'!H1106='סיווג התפקידים והעלויות'!$D$2),IF('עלויות כח אדם (6)'!J1106&lt;75,"לא תקין","תקין"),"")</f>
        <v/>
      </c>
      <c r="AE1106" s="374" t="str">
        <f t="shared" si="269"/>
        <v/>
      </c>
      <c r="AF1106" s="532" t="str">
        <f t="shared" si="270"/>
        <v/>
      </c>
    </row>
    <row r="1107" spans="2:32" x14ac:dyDescent="0.25">
      <c r="B1107" s="695"/>
      <c r="C1107" s="197" t="str">
        <f>IF(B1107&lt;&gt;"",IFERROR(VLOOKUP(B:B,'מצבת והרשמה (2)'!$C$20:$N$520,2,0)," ")," ")</f>
        <v xml:space="preserve"> </v>
      </c>
      <c r="D1107" s="695"/>
      <c r="E1107" s="696"/>
      <c r="F1107" s="696"/>
      <c r="G1107" s="696"/>
      <c r="H1107" s="696"/>
      <c r="I1107" s="1050" t="str">
        <f t="shared" si="257"/>
        <v/>
      </c>
      <c r="J1107" s="696"/>
      <c r="K1107" s="697"/>
      <c r="L1107" s="696"/>
      <c r="M1107" s="198" t="str">
        <f t="shared" si="258"/>
        <v/>
      </c>
      <c r="N1107" s="369" t="str">
        <f t="shared" si="259"/>
        <v/>
      </c>
      <c r="O1107" s="183" t="str">
        <f t="shared" si="260"/>
        <v/>
      </c>
      <c r="P1107" s="199" t="str">
        <f t="shared" si="261"/>
        <v/>
      </c>
      <c r="Q1107" s="199" t="str">
        <f>IF(B1107="","",IFERROR(IF('עלויות כח אדם (6)'!J1107&gt;=VLOOKUP(I1107,'סיווג התפקידים והעלויות'!$B$23:$C$32,2,0),"תקין","לא תקין"),""))</f>
        <v/>
      </c>
      <c r="R1107" s="199" t="str">
        <f t="shared" si="262"/>
        <v/>
      </c>
      <c r="S1107" s="199" t="str">
        <f t="shared" si="263"/>
        <v/>
      </c>
      <c r="T1107" s="199" t="str">
        <f t="shared" si="271"/>
        <v/>
      </c>
      <c r="U1107" s="199" t="str">
        <f t="shared" si="264"/>
        <v/>
      </c>
      <c r="V1107" s="989"/>
      <c r="X1107" s="374" t="str">
        <f t="shared" si="265"/>
        <v/>
      </c>
      <c r="Y1107" s="375" t="str">
        <f t="shared" si="266"/>
        <v/>
      </c>
      <c r="Z1107" s="374" t="str">
        <f t="shared" si="267"/>
        <v/>
      </c>
      <c r="AA1107" s="374" t="b">
        <f t="shared" si="268"/>
        <v>1</v>
      </c>
      <c r="AB1107" s="374">
        <f>COUNTIFS(B:B,B1107,H:H,'סיווג התפקידים והעלויות'!$C$2)</f>
        <v>0</v>
      </c>
      <c r="AC1107" s="374">
        <f>COUNTIFS(B:B,B1107,H:H,'סיווג התפקידים והעלויות'!$D$2)</f>
        <v>0</v>
      </c>
      <c r="AD1107" s="374" t="str">
        <f>IF(OR(AND(H1107='סיווג התפקידים והעלויות'!$A$2,I1107='סיווג התפקידים והעלויות'!$A$3),'עלויות כח אדם (6)'!H1107='סיווג התפקידים והעלויות'!$C$2,'עלויות כח אדם (6)'!H1107='סיווג התפקידים והעלויות'!$D$2),IF('עלויות כח אדם (6)'!J1107&lt;75,"לא תקין","תקין"),"")</f>
        <v/>
      </c>
      <c r="AE1107" s="374" t="str">
        <f t="shared" si="269"/>
        <v/>
      </c>
      <c r="AF1107" s="532" t="str">
        <f t="shared" si="270"/>
        <v/>
      </c>
    </row>
    <row r="1108" spans="2:32" x14ac:dyDescent="0.25">
      <c r="B1108" s="695"/>
      <c r="C1108" s="197" t="str">
        <f>IF(B1108&lt;&gt;"",IFERROR(VLOOKUP(B:B,'מצבת והרשמה (2)'!$C$20:$N$520,2,0)," ")," ")</f>
        <v xml:space="preserve"> </v>
      </c>
      <c r="D1108" s="695"/>
      <c r="E1108" s="696"/>
      <c r="F1108" s="696"/>
      <c r="G1108" s="696"/>
      <c r="H1108" s="696"/>
      <c r="I1108" s="1050" t="str">
        <f t="shared" si="257"/>
        <v/>
      </c>
      <c r="J1108" s="696"/>
      <c r="K1108" s="697"/>
      <c r="L1108" s="696"/>
      <c r="M1108" s="198" t="str">
        <f t="shared" si="258"/>
        <v/>
      </c>
      <c r="N1108" s="369" t="str">
        <f t="shared" si="259"/>
        <v/>
      </c>
      <c r="O1108" s="183" t="str">
        <f t="shared" si="260"/>
        <v/>
      </c>
      <c r="P1108" s="199" t="str">
        <f t="shared" si="261"/>
        <v/>
      </c>
      <c r="Q1108" s="199" t="str">
        <f>IF(B1108="","",IFERROR(IF('עלויות כח אדם (6)'!J1108&gt;=VLOOKUP(I1108,'סיווג התפקידים והעלויות'!$B$23:$C$32,2,0),"תקין","לא תקין"),""))</f>
        <v/>
      </c>
      <c r="R1108" s="199" t="str">
        <f t="shared" si="262"/>
        <v/>
      </c>
      <c r="S1108" s="199" t="str">
        <f t="shared" si="263"/>
        <v/>
      </c>
      <c r="T1108" s="199" t="str">
        <f t="shared" si="271"/>
        <v/>
      </c>
      <c r="U1108" s="199" t="str">
        <f t="shared" si="264"/>
        <v/>
      </c>
      <c r="V1108" s="989"/>
      <c r="X1108" s="374" t="str">
        <f t="shared" si="265"/>
        <v/>
      </c>
      <c r="Y1108" s="375" t="str">
        <f t="shared" si="266"/>
        <v/>
      </c>
      <c r="Z1108" s="374" t="str">
        <f t="shared" si="267"/>
        <v/>
      </c>
      <c r="AA1108" s="374" t="b">
        <f t="shared" si="268"/>
        <v>1</v>
      </c>
      <c r="AB1108" s="374">
        <f>COUNTIFS(B:B,B1108,H:H,'סיווג התפקידים והעלויות'!$C$2)</f>
        <v>0</v>
      </c>
      <c r="AC1108" s="374">
        <f>COUNTIFS(B:B,B1108,H:H,'סיווג התפקידים והעלויות'!$D$2)</f>
        <v>0</v>
      </c>
      <c r="AD1108" s="374" t="str">
        <f>IF(OR(AND(H1108='סיווג התפקידים והעלויות'!$A$2,I1108='סיווג התפקידים והעלויות'!$A$3),'עלויות כח אדם (6)'!H1108='סיווג התפקידים והעלויות'!$C$2,'עלויות כח אדם (6)'!H1108='סיווג התפקידים והעלויות'!$D$2),IF('עלויות כח אדם (6)'!J1108&lt;75,"לא תקין","תקין"),"")</f>
        <v/>
      </c>
      <c r="AE1108" s="374" t="str">
        <f t="shared" si="269"/>
        <v/>
      </c>
      <c r="AF1108" s="532" t="str">
        <f t="shared" si="270"/>
        <v/>
      </c>
    </row>
    <row r="1109" spans="2:32" x14ac:dyDescent="0.25">
      <c r="B1109" s="695"/>
      <c r="C1109" s="197" t="str">
        <f>IF(B1109&lt;&gt;"",IFERROR(VLOOKUP(B:B,'מצבת והרשמה (2)'!$C$20:$N$520,2,0)," ")," ")</f>
        <v xml:space="preserve"> </v>
      </c>
      <c r="D1109" s="695"/>
      <c r="E1109" s="696"/>
      <c r="F1109" s="696"/>
      <c r="G1109" s="696"/>
      <c r="H1109" s="696"/>
      <c r="I1109" s="1050" t="str">
        <f t="shared" si="257"/>
        <v/>
      </c>
      <c r="J1109" s="696"/>
      <c r="K1109" s="697"/>
      <c r="L1109" s="696"/>
      <c r="M1109" s="198" t="str">
        <f t="shared" si="258"/>
        <v/>
      </c>
      <c r="N1109" s="369" t="str">
        <f t="shared" si="259"/>
        <v/>
      </c>
      <c r="O1109" s="183" t="str">
        <f t="shared" si="260"/>
        <v/>
      </c>
      <c r="P1109" s="199" t="str">
        <f t="shared" si="261"/>
        <v/>
      </c>
      <c r="Q1109" s="199" t="str">
        <f>IF(B1109="","",IFERROR(IF('עלויות כח אדם (6)'!J1109&gt;=VLOOKUP(I1109,'סיווג התפקידים והעלויות'!$B$23:$C$32,2,0),"תקין","לא תקין"),""))</f>
        <v/>
      </c>
      <c r="R1109" s="199" t="str">
        <f t="shared" si="262"/>
        <v/>
      </c>
      <c r="S1109" s="199" t="str">
        <f t="shared" si="263"/>
        <v/>
      </c>
      <c r="T1109" s="199" t="str">
        <f t="shared" si="271"/>
        <v/>
      </c>
      <c r="U1109" s="199" t="str">
        <f t="shared" si="264"/>
        <v/>
      </c>
      <c r="V1109" s="989"/>
      <c r="X1109" s="374" t="str">
        <f t="shared" si="265"/>
        <v/>
      </c>
      <c r="Y1109" s="375" t="str">
        <f t="shared" si="266"/>
        <v/>
      </c>
      <c r="Z1109" s="374" t="str">
        <f t="shared" si="267"/>
        <v/>
      </c>
      <c r="AA1109" s="374" t="b">
        <f t="shared" si="268"/>
        <v>1</v>
      </c>
      <c r="AB1109" s="374">
        <f>COUNTIFS(B:B,B1109,H:H,'סיווג התפקידים והעלויות'!$C$2)</f>
        <v>0</v>
      </c>
      <c r="AC1109" s="374">
        <f>COUNTIFS(B:B,B1109,H:H,'סיווג התפקידים והעלויות'!$D$2)</f>
        <v>0</v>
      </c>
      <c r="AD1109" s="374" t="str">
        <f>IF(OR(AND(H1109='סיווג התפקידים והעלויות'!$A$2,I1109='סיווג התפקידים והעלויות'!$A$3),'עלויות כח אדם (6)'!H1109='סיווג התפקידים והעלויות'!$C$2,'עלויות כח אדם (6)'!H1109='סיווג התפקידים והעלויות'!$D$2),IF('עלויות כח אדם (6)'!J1109&lt;75,"לא תקין","תקין"),"")</f>
        <v/>
      </c>
      <c r="AE1109" s="374" t="str">
        <f t="shared" si="269"/>
        <v/>
      </c>
      <c r="AF1109" s="532" t="str">
        <f t="shared" si="270"/>
        <v/>
      </c>
    </row>
    <row r="1110" spans="2:32" x14ac:dyDescent="0.25">
      <c r="B1110" s="695"/>
      <c r="C1110" s="197" t="str">
        <f>IF(B1110&lt;&gt;"",IFERROR(VLOOKUP(B:B,'מצבת והרשמה (2)'!$C$20:$N$520,2,0)," ")," ")</f>
        <v xml:space="preserve"> </v>
      </c>
      <c r="D1110" s="695"/>
      <c r="E1110" s="696"/>
      <c r="F1110" s="696"/>
      <c r="G1110" s="696"/>
      <c r="H1110" s="696"/>
      <c r="I1110" s="1050" t="str">
        <f t="shared" si="257"/>
        <v/>
      </c>
      <c r="J1110" s="696"/>
      <c r="K1110" s="697"/>
      <c r="L1110" s="696"/>
      <c r="M1110" s="198" t="str">
        <f t="shared" si="258"/>
        <v/>
      </c>
      <c r="N1110" s="369" t="str">
        <f t="shared" si="259"/>
        <v/>
      </c>
      <c r="O1110" s="183" t="str">
        <f t="shared" si="260"/>
        <v/>
      </c>
      <c r="P1110" s="199" t="str">
        <f t="shared" si="261"/>
        <v/>
      </c>
      <c r="Q1110" s="199" t="str">
        <f>IF(B1110="","",IFERROR(IF('עלויות כח אדם (6)'!J1110&gt;=VLOOKUP(I1110,'סיווג התפקידים והעלויות'!$B$23:$C$32,2,0),"תקין","לא תקין"),""))</f>
        <v/>
      </c>
      <c r="R1110" s="199" t="str">
        <f t="shared" si="262"/>
        <v/>
      </c>
      <c r="S1110" s="199" t="str">
        <f t="shared" si="263"/>
        <v/>
      </c>
      <c r="T1110" s="199" t="str">
        <f t="shared" si="271"/>
        <v/>
      </c>
      <c r="U1110" s="199" t="str">
        <f t="shared" si="264"/>
        <v/>
      </c>
      <c r="V1110" s="989"/>
      <c r="X1110" s="374" t="str">
        <f t="shared" si="265"/>
        <v/>
      </c>
      <c r="Y1110" s="375" t="str">
        <f t="shared" si="266"/>
        <v/>
      </c>
      <c r="Z1110" s="374" t="str">
        <f t="shared" si="267"/>
        <v/>
      </c>
      <c r="AA1110" s="374" t="b">
        <f t="shared" si="268"/>
        <v>1</v>
      </c>
      <c r="AB1110" s="374">
        <f>COUNTIFS(B:B,B1110,H:H,'סיווג התפקידים והעלויות'!$C$2)</f>
        <v>0</v>
      </c>
      <c r="AC1110" s="374">
        <f>COUNTIFS(B:B,B1110,H:H,'סיווג התפקידים והעלויות'!$D$2)</f>
        <v>0</v>
      </c>
      <c r="AD1110" s="374" t="str">
        <f>IF(OR(AND(H1110='סיווג התפקידים והעלויות'!$A$2,I1110='סיווג התפקידים והעלויות'!$A$3),'עלויות כח אדם (6)'!H1110='סיווג התפקידים והעלויות'!$C$2,'עלויות כח אדם (6)'!H1110='סיווג התפקידים והעלויות'!$D$2),IF('עלויות כח אדם (6)'!J1110&lt;75,"לא תקין","תקין"),"")</f>
        <v/>
      </c>
      <c r="AE1110" s="374" t="str">
        <f t="shared" si="269"/>
        <v/>
      </c>
      <c r="AF1110" s="532" t="str">
        <f t="shared" si="270"/>
        <v/>
      </c>
    </row>
    <row r="1111" spans="2:32" x14ac:dyDescent="0.25">
      <c r="B1111" s="695"/>
      <c r="C1111" s="197" t="str">
        <f>IF(B1111&lt;&gt;"",IFERROR(VLOOKUP(B:B,'מצבת והרשמה (2)'!$C$20:$N$520,2,0)," ")," ")</f>
        <v xml:space="preserve"> </v>
      </c>
      <c r="D1111" s="695"/>
      <c r="E1111" s="696"/>
      <c r="F1111" s="696"/>
      <c r="G1111" s="696"/>
      <c r="H1111" s="696"/>
      <c r="I1111" s="1050" t="str">
        <f t="shared" si="257"/>
        <v/>
      </c>
      <c r="J1111" s="696"/>
      <c r="K1111" s="697"/>
      <c r="L1111" s="696"/>
      <c r="M1111" s="198" t="str">
        <f t="shared" si="258"/>
        <v/>
      </c>
      <c r="N1111" s="369" t="str">
        <f t="shared" si="259"/>
        <v/>
      </c>
      <c r="O1111" s="183" t="str">
        <f t="shared" si="260"/>
        <v/>
      </c>
      <c r="P1111" s="199" t="str">
        <f t="shared" si="261"/>
        <v/>
      </c>
      <c r="Q1111" s="199" t="str">
        <f>IF(B1111="","",IFERROR(IF('עלויות כח אדם (6)'!J1111&gt;=VLOOKUP(I1111,'סיווג התפקידים והעלויות'!$B$23:$C$32,2,0),"תקין","לא תקין"),""))</f>
        <v/>
      </c>
      <c r="R1111" s="199" t="str">
        <f t="shared" si="262"/>
        <v/>
      </c>
      <c r="S1111" s="199" t="str">
        <f t="shared" si="263"/>
        <v/>
      </c>
      <c r="T1111" s="199" t="str">
        <f t="shared" si="271"/>
        <v/>
      </c>
      <c r="U1111" s="199" t="str">
        <f t="shared" si="264"/>
        <v/>
      </c>
      <c r="V1111" s="989"/>
      <c r="X1111" s="374" t="str">
        <f t="shared" si="265"/>
        <v/>
      </c>
      <c r="Y1111" s="375" t="str">
        <f t="shared" si="266"/>
        <v/>
      </c>
      <c r="Z1111" s="374" t="str">
        <f t="shared" si="267"/>
        <v/>
      </c>
      <c r="AA1111" s="374" t="b">
        <f t="shared" si="268"/>
        <v>1</v>
      </c>
      <c r="AB1111" s="374">
        <f>COUNTIFS(B:B,B1111,H:H,'סיווג התפקידים והעלויות'!$C$2)</f>
        <v>0</v>
      </c>
      <c r="AC1111" s="374">
        <f>COUNTIFS(B:B,B1111,H:H,'סיווג התפקידים והעלויות'!$D$2)</f>
        <v>0</v>
      </c>
      <c r="AD1111" s="374" t="str">
        <f>IF(OR(AND(H1111='סיווג התפקידים והעלויות'!$A$2,I1111='סיווג התפקידים והעלויות'!$A$3),'עלויות כח אדם (6)'!H1111='סיווג התפקידים והעלויות'!$C$2,'עלויות כח אדם (6)'!H1111='סיווג התפקידים והעלויות'!$D$2),IF('עלויות כח אדם (6)'!J1111&lt;75,"לא תקין","תקין"),"")</f>
        <v/>
      </c>
      <c r="AE1111" s="374" t="str">
        <f t="shared" si="269"/>
        <v/>
      </c>
      <c r="AF1111" s="532" t="str">
        <f t="shared" si="270"/>
        <v/>
      </c>
    </row>
    <row r="1112" spans="2:32" x14ac:dyDescent="0.25">
      <c r="B1112" s="695"/>
      <c r="C1112" s="197" t="str">
        <f>IF(B1112&lt;&gt;"",IFERROR(VLOOKUP(B:B,'מצבת והרשמה (2)'!$C$20:$N$520,2,0)," ")," ")</f>
        <v xml:space="preserve"> </v>
      </c>
      <c r="D1112" s="695"/>
      <c r="E1112" s="696"/>
      <c r="F1112" s="696"/>
      <c r="G1112" s="696"/>
      <c r="H1112" s="696"/>
      <c r="I1112" s="1050" t="str">
        <f t="shared" si="257"/>
        <v/>
      </c>
      <c r="J1112" s="696"/>
      <c r="K1112" s="697"/>
      <c r="L1112" s="696"/>
      <c r="M1112" s="198" t="str">
        <f t="shared" si="258"/>
        <v/>
      </c>
      <c r="N1112" s="369" t="str">
        <f t="shared" si="259"/>
        <v/>
      </c>
      <c r="O1112" s="183" t="str">
        <f t="shared" si="260"/>
        <v/>
      </c>
      <c r="P1112" s="199" t="str">
        <f t="shared" si="261"/>
        <v/>
      </c>
      <c r="Q1112" s="199" t="str">
        <f>IF(B1112="","",IFERROR(IF('עלויות כח אדם (6)'!J1112&gt;=VLOOKUP(I1112,'סיווג התפקידים והעלויות'!$B$23:$C$32,2,0),"תקין","לא תקין"),""))</f>
        <v/>
      </c>
      <c r="R1112" s="199" t="str">
        <f t="shared" si="262"/>
        <v/>
      </c>
      <c r="S1112" s="199" t="str">
        <f t="shared" si="263"/>
        <v/>
      </c>
      <c r="T1112" s="199" t="str">
        <f t="shared" si="271"/>
        <v/>
      </c>
      <c r="U1112" s="199" t="str">
        <f t="shared" si="264"/>
        <v/>
      </c>
      <c r="V1112" s="989"/>
      <c r="X1112" s="374" t="str">
        <f t="shared" si="265"/>
        <v/>
      </c>
      <c r="Y1112" s="375" t="str">
        <f t="shared" si="266"/>
        <v/>
      </c>
      <c r="Z1112" s="374" t="str">
        <f t="shared" si="267"/>
        <v/>
      </c>
      <c r="AA1112" s="374" t="b">
        <f t="shared" si="268"/>
        <v>1</v>
      </c>
      <c r="AB1112" s="374">
        <f>COUNTIFS(B:B,B1112,H:H,'סיווג התפקידים והעלויות'!$C$2)</f>
        <v>0</v>
      </c>
      <c r="AC1112" s="374">
        <f>COUNTIFS(B:B,B1112,H:H,'סיווג התפקידים והעלויות'!$D$2)</f>
        <v>0</v>
      </c>
      <c r="AD1112" s="374" t="str">
        <f>IF(OR(AND(H1112='סיווג התפקידים והעלויות'!$A$2,I1112='סיווג התפקידים והעלויות'!$A$3),'עלויות כח אדם (6)'!H1112='סיווג התפקידים והעלויות'!$C$2,'עלויות כח אדם (6)'!H1112='סיווג התפקידים והעלויות'!$D$2),IF('עלויות כח אדם (6)'!J1112&lt;75,"לא תקין","תקין"),"")</f>
        <v/>
      </c>
      <c r="AE1112" s="374" t="str">
        <f t="shared" si="269"/>
        <v/>
      </c>
      <c r="AF1112" s="532" t="str">
        <f t="shared" si="270"/>
        <v/>
      </c>
    </row>
    <row r="1113" spans="2:32" x14ac:dyDescent="0.25">
      <c r="B1113" s="695"/>
      <c r="C1113" s="197" t="str">
        <f>IF(B1113&lt;&gt;"",IFERROR(VLOOKUP(B:B,'מצבת והרשמה (2)'!$C$20:$N$520,2,0)," ")," ")</f>
        <v xml:space="preserve"> </v>
      </c>
      <c r="D1113" s="695"/>
      <c r="E1113" s="696"/>
      <c r="F1113" s="696"/>
      <c r="G1113" s="696"/>
      <c r="H1113" s="696"/>
      <c r="I1113" s="1050" t="str">
        <f t="shared" si="257"/>
        <v/>
      </c>
      <c r="J1113" s="696"/>
      <c r="K1113" s="697"/>
      <c r="L1113" s="696"/>
      <c r="M1113" s="198" t="str">
        <f t="shared" si="258"/>
        <v/>
      </c>
      <c r="N1113" s="369" t="str">
        <f t="shared" si="259"/>
        <v/>
      </c>
      <c r="O1113" s="183" t="str">
        <f t="shared" si="260"/>
        <v/>
      </c>
      <c r="P1113" s="199" t="str">
        <f t="shared" si="261"/>
        <v/>
      </c>
      <c r="Q1113" s="199" t="str">
        <f>IF(B1113="","",IFERROR(IF('עלויות כח אדם (6)'!J1113&gt;=VLOOKUP(I1113,'סיווג התפקידים והעלויות'!$B$23:$C$32,2,0),"תקין","לא תקין"),""))</f>
        <v/>
      </c>
      <c r="R1113" s="199" t="str">
        <f t="shared" si="262"/>
        <v/>
      </c>
      <c r="S1113" s="199" t="str">
        <f t="shared" si="263"/>
        <v/>
      </c>
      <c r="T1113" s="199" t="str">
        <f t="shared" si="271"/>
        <v/>
      </c>
      <c r="U1113" s="199" t="str">
        <f t="shared" si="264"/>
        <v/>
      </c>
      <c r="V1113" s="989"/>
      <c r="X1113" s="374" t="str">
        <f t="shared" si="265"/>
        <v/>
      </c>
      <c r="Y1113" s="375" t="str">
        <f t="shared" si="266"/>
        <v/>
      </c>
      <c r="Z1113" s="374" t="str">
        <f t="shared" si="267"/>
        <v/>
      </c>
      <c r="AA1113" s="374" t="b">
        <f t="shared" si="268"/>
        <v>1</v>
      </c>
      <c r="AB1113" s="374">
        <f>COUNTIFS(B:B,B1113,H:H,'סיווג התפקידים והעלויות'!$C$2)</f>
        <v>0</v>
      </c>
      <c r="AC1113" s="374">
        <f>COUNTIFS(B:B,B1113,H:H,'סיווג התפקידים והעלויות'!$D$2)</f>
        <v>0</v>
      </c>
      <c r="AD1113" s="374" t="str">
        <f>IF(OR(AND(H1113='סיווג התפקידים והעלויות'!$A$2,I1113='סיווג התפקידים והעלויות'!$A$3),'עלויות כח אדם (6)'!H1113='סיווג התפקידים והעלויות'!$C$2,'עלויות כח אדם (6)'!H1113='סיווג התפקידים והעלויות'!$D$2),IF('עלויות כח אדם (6)'!J1113&lt;75,"לא תקין","תקין"),"")</f>
        <v/>
      </c>
      <c r="AE1113" s="374" t="str">
        <f t="shared" si="269"/>
        <v/>
      </c>
      <c r="AF1113" s="532" t="str">
        <f t="shared" si="270"/>
        <v/>
      </c>
    </row>
    <row r="1114" spans="2:32" x14ac:dyDescent="0.25">
      <c r="B1114" s="695"/>
      <c r="C1114" s="197" t="str">
        <f>IF(B1114&lt;&gt;"",IFERROR(VLOOKUP(B:B,'מצבת והרשמה (2)'!$C$20:$N$520,2,0)," ")," ")</f>
        <v xml:space="preserve"> </v>
      </c>
      <c r="D1114" s="695"/>
      <c r="E1114" s="696"/>
      <c r="F1114" s="696"/>
      <c r="G1114" s="696"/>
      <c r="H1114" s="696"/>
      <c r="I1114" s="1050" t="str">
        <f t="shared" si="257"/>
        <v/>
      </c>
      <c r="J1114" s="696"/>
      <c r="K1114" s="697"/>
      <c r="L1114" s="696"/>
      <c r="M1114" s="198" t="str">
        <f t="shared" si="258"/>
        <v/>
      </c>
      <c r="N1114" s="369" t="str">
        <f t="shared" si="259"/>
        <v/>
      </c>
      <c r="O1114" s="183" t="str">
        <f t="shared" si="260"/>
        <v/>
      </c>
      <c r="P1114" s="199" t="str">
        <f t="shared" si="261"/>
        <v/>
      </c>
      <c r="Q1114" s="199" t="str">
        <f>IF(B1114="","",IFERROR(IF('עלויות כח אדם (6)'!J1114&gt;=VLOOKUP(I1114,'סיווג התפקידים והעלויות'!$B$23:$C$32,2,0),"תקין","לא תקין"),""))</f>
        <v/>
      </c>
      <c r="R1114" s="199" t="str">
        <f t="shared" si="262"/>
        <v/>
      </c>
      <c r="S1114" s="199" t="str">
        <f t="shared" si="263"/>
        <v/>
      </c>
      <c r="T1114" s="199" t="str">
        <f t="shared" si="271"/>
        <v/>
      </c>
      <c r="U1114" s="199" t="str">
        <f t="shared" si="264"/>
        <v/>
      </c>
      <c r="V1114" s="989"/>
      <c r="X1114" s="374" t="str">
        <f t="shared" si="265"/>
        <v/>
      </c>
      <c r="Y1114" s="375" t="str">
        <f t="shared" si="266"/>
        <v/>
      </c>
      <c r="Z1114" s="374" t="str">
        <f t="shared" si="267"/>
        <v/>
      </c>
      <c r="AA1114" s="374" t="b">
        <f t="shared" si="268"/>
        <v>1</v>
      </c>
      <c r="AB1114" s="374">
        <f>COUNTIFS(B:B,B1114,H:H,'סיווג התפקידים והעלויות'!$C$2)</f>
        <v>0</v>
      </c>
      <c r="AC1114" s="374">
        <f>COUNTIFS(B:B,B1114,H:H,'סיווג התפקידים והעלויות'!$D$2)</f>
        <v>0</v>
      </c>
      <c r="AD1114" s="374" t="str">
        <f>IF(OR(AND(H1114='סיווג התפקידים והעלויות'!$A$2,I1114='סיווג התפקידים והעלויות'!$A$3),'עלויות כח אדם (6)'!H1114='סיווג התפקידים והעלויות'!$C$2,'עלויות כח אדם (6)'!H1114='סיווג התפקידים והעלויות'!$D$2),IF('עלויות כח אדם (6)'!J1114&lt;75,"לא תקין","תקין"),"")</f>
        <v/>
      </c>
      <c r="AE1114" s="374" t="str">
        <f t="shared" si="269"/>
        <v/>
      </c>
      <c r="AF1114" s="532" t="str">
        <f t="shared" si="270"/>
        <v/>
      </c>
    </row>
    <row r="1115" spans="2:32" x14ac:dyDescent="0.25">
      <c r="B1115" s="695"/>
      <c r="C1115" s="197" t="str">
        <f>IF(B1115&lt;&gt;"",IFERROR(VLOOKUP(B:B,'מצבת והרשמה (2)'!$C$20:$N$520,2,0)," ")," ")</f>
        <v xml:space="preserve"> </v>
      </c>
      <c r="D1115" s="695"/>
      <c r="E1115" s="696"/>
      <c r="F1115" s="696"/>
      <c r="G1115" s="696"/>
      <c r="H1115" s="696"/>
      <c r="I1115" s="1050" t="str">
        <f t="shared" si="257"/>
        <v/>
      </c>
      <c r="J1115" s="696"/>
      <c r="K1115" s="697"/>
      <c r="L1115" s="696"/>
      <c r="M1115" s="198" t="str">
        <f t="shared" si="258"/>
        <v/>
      </c>
      <c r="N1115" s="369" t="str">
        <f t="shared" si="259"/>
        <v/>
      </c>
      <c r="O1115" s="183" t="str">
        <f t="shared" si="260"/>
        <v/>
      </c>
      <c r="P1115" s="199" t="str">
        <f t="shared" si="261"/>
        <v/>
      </c>
      <c r="Q1115" s="199" t="str">
        <f>IF(B1115="","",IFERROR(IF('עלויות כח אדם (6)'!J1115&gt;=VLOOKUP(I1115,'סיווג התפקידים והעלויות'!$B$23:$C$32,2,0),"תקין","לא תקין"),""))</f>
        <v/>
      </c>
      <c r="R1115" s="199" t="str">
        <f t="shared" si="262"/>
        <v/>
      </c>
      <c r="S1115" s="199" t="str">
        <f t="shared" si="263"/>
        <v/>
      </c>
      <c r="T1115" s="199" t="str">
        <f t="shared" si="271"/>
        <v/>
      </c>
      <c r="U1115" s="199" t="str">
        <f t="shared" si="264"/>
        <v/>
      </c>
      <c r="V1115" s="989"/>
      <c r="X1115" s="374" t="str">
        <f t="shared" si="265"/>
        <v/>
      </c>
      <c r="Y1115" s="375" t="str">
        <f t="shared" si="266"/>
        <v/>
      </c>
      <c r="Z1115" s="374" t="str">
        <f t="shared" si="267"/>
        <v/>
      </c>
      <c r="AA1115" s="374" t="b">
        <f t="shared" si="268"/>
        <v>1</v>
      </c>
      <c r="AB1115" s="374">
        <f>COUNTIFS(B:B,B1115,H:H,'סיווג התפקידים והעלויות'!$C$2)</f>
        <v>0</v>
      </c>
      <c r="AC1115" s="374">
        <f>COUNTIFS(B:B,B1115,H:H,'סיווג התפקידים והעלויות'!$D$2)</f>
        <v>0</v>
      </c>
      <c r="AD1115" s="374" t="str">
        <f>IF(OR(AND(H1115='סיווג התפקידים והעלויות'!$A$2,I1115='סיווג התפקידים והעלויות'!$A$3),'עלויות כח אדם (6)'!H1115='סיווג התפקידים והעלויות'!$C$2,'עלויות כח אדם (6)'!H1115='סיווג התפקידים והעלויות'!$D$2),IF('עלויות כח אדם (6)'!J1115&lt;75,"לא תקין","תקין"),"")</f>
        <v/>
      </c>
      <c r="AE1115" s="374" t="str">
        <f t="shared" si="269"/>
        <v/>
      </c>
      <c r="AF1115" s="532" t="str">
        <f t="shared" si="270"/>
        <v/>
      </c>
    </row>
    <row r="1116" spans="2:32" x14ac:dyDescent="0.25">
      <c r="B1116" s="695"/>
      <c r="C1116" s="197" t="str">
        <f>IF(B1116&lt;&gt;"",IFERROR(VLOOKUP(B:B,'מצבת והרשמה (2)'!$C$20:$N$520,2,0)," ")," ")</f>
        <v xml:space="preserve"> </v>
      </c>
      <c r="D1116" s="695"/>
      <c r="E1116" s="696"/>
      <c r="F1116" s="696"/>
      <c r="G1116" s="696"/>
      <c r="H1116" s="696"/>
      <c r="I1116" s="1050" t="str">
        <f t="shared" si="257"/>
        <v/>
      </c>
      <c r="J1116" s="696"/>
      <c r="K1116" s="697"/>
      <c r="L1116" s="696"/>
      <c r="M1116" s="198" t="str">
        <f t="shared" si="258"/>
        <v/>
      </c>
      <c r="N1116" s="369" t="str">
        <f t="shared" si="259"/>
        <v/>
      </c>
      <c r="O1116" s="183" t="str">
        <f t="shared" si="260"/>
        <v/>
      </c>
      <c r="P1116" s="199" t="str">
        <f t="shared" si="261"/>
        <v/>
      </c>
      <c r="Q1116" s="199" t="str">
        <f>IF(B1116="","",IFERROR(IF('עלויות כח אדם (6)'!J1116&gt;=VLOOKUP(I1116,'סיווג התפקידים והעלויות'!$B$23:$C$32,2,0),"תקין","לא תקין"),""))</f>
        <v/>
      </c>
      <c r="R1116" s="199" t="str">
        <f t="shared" si="262"/>
        <v/>
      </c>
      <c r="S1116" s="199" t="str">
        <f t="shared" si="263"/>
        <v/>
      </c>
      <c r="T1116" s="199" t="str">
        <f t="shared" si="271"/>
        <v/>
      </c>
      <c r="U1116" s="199" t="str">
        <f t="shared" si="264"/>
        <v/>
      </c>
      <c r="V1116" s="989"/>
      <c r="X1116" s="374" t="str">
        <f t="shared" si="265"/>
        <v/>
      </c>
      <c r="Y1116" s="375" t="str">
        <f t="shared" si="266"/>
        <v/>
      </c>
      <c r="Z1116" s="374" t="str">
        <f t="shared" si="267"/>
        <v/>
      </c>
      <c r="AA1116" s="374" t="b">
        <f t="shared" si="268"/>
        <v>1</v>
      </c>
      <c r="AB1116" s="374">
        <f>COUNTIFS(B:B,B1116,H:H,'סיווג התפקידים והעלויות'!$C$2)</f>
        <v>0</v>
      </c>
      <c r="AC1116" s="374">
        <f>COUNTIFS(B:B,B1116,H:H,'סיווג התפקידים והעלויות'!$D$2)</f>
        <v>0</v>
      </c>
      <c r="AD1116" s="374" t="str">
        <f>IF(OR(AND(H1116='סיווג התפקידים והעלויות'!$A$2,I1116='סיווג התפקידים והעלויות'!$A$3),'עלויות כח אדם (6)'!H1116='סיווג התפקידים והעלויות'!$C$2,'עלויות כח אדם (6)'!H1116='סיווג התפקידים והעלויות'!$D$2),IF('עלויות כח אדם (6)'!J1116&lt;75,"לא תקין","תקין"),"")</f>
        <v/>
      </c>
      <c r="AE1116" s="374" t="str">
        <f t="shared" si="269"/>
        <v/>
      </c>
      <c r="AF1116" s="532" t="str">
        <f t="shared" si="270"/>
        <v/>
      </c>
    </row>
    <row r="1117" spans="2:32" x14ac:dyDescent="0.25">
      <c r="B1117" s="695"/>
      <c r="C1117" s="197" t="str">
        <f>IF(B1117&lt;&gt;"",IFERROR(VLOOKUP(B:B,'מצבת והרשמה (2)'!$C$20:$N$520,2,0)," ")," ")</f>
        <v xml:space="preserve"> </v>
      </c>
      <c r="D1117" s="695"/>
      <c r="E1117" s="696"/>
      <c r="F1117" s="696"/>
      <c r="G1117" s="696"/>
      <c r="H1117" s="696"/>
      <c r="I1117" s="1050" t="str">
        <f t="shared" si="257"/>
        <v/>
      </c>
      <c r="J1117" s="696"/>
      <c r="K1117" s="697"/>
      <c r="L1117" s="696"/>
      <c r="M1117" s="198" t="str">
        <f t="shared" si="258"/>
        <v/>
      </c>
      <c r="N1117" s="369" t="str">
        <f t="shared" si="259"/>
        <v/>
      </c>
      <c r="O1117" s="183" t="str">
        <f t="shared" si="260"/>
        <v/>
      </c>
      <c r="P1117" s="199" t="str">
        <f t="shared" si="261"/>
        <v/>
      </c>
      <c r="Q1117" s="199" t="str">
        <f>IF(B1117="","",IFERROR(IF('עלויות כח אדם (6)'!J1117&gt;=VLOOKUP(I1117,'סיווג התפקידים והעלויות'!$B$23:$C$32,2,0),"תקין","לא תקין"),""))</f>
        <v/>
      </c>
      <c r="R1117" s="199" t="str">
        <f t="shared" si="262"/>
        <v/>
      </c>
      <c r="S1117" s="199" t="str">
        <f t="shared" si="263"/>
        <v/>
      </c>
      <c r="T1117" s="199" t="str">
        <f t="shared" si="271"/>
        <v/>
      </c>
      <c r="U1117" s="199" t="str">
        <f t="shared" si="264"/>
        <v/>
      </c>
      <c r="V1117" s="989"/>
      <c r="X1117" s="374" t="str">
        <f t="shared" si="265"/>
        <v/>
      </c>
      <c r="Y1117" s="375" t="str">
        <f t="shared" si="266"/>
        <v/>
      </c>
      <c r="Z1117" s="374" t="str">
        <f t="shared" si="267"/>
        <v/>
      </c>
      <c r="AA1117" s="374" t="b">
        <f t="shared" si="268"/>
        <v>1</v>
      </c>
      <c r="AB1117" s="374">
        <f>COUNTIFS(B:B,B1117,H:H,'סיווג התפקידים והעלויות'!$C$2)</f>
        <v>0</v>
      </c>
      <c r="AC1117" s="374">
        <f>COUNTIFS(B:B,B1117,H:H,'סיווג התפקידים והעלויות'!$D$2)</f>
        <v>0</v>
      </c>
      <c r="AD1117" s="374" t="str">
        <f>IF(OR(AND(H1117='סיווג התפקידים והעלויות'!$A$2,I1117='סיווג התפקידים והעלויות'!$A$3),'עלויות כח אדם (6)'!H1117='סיווג התפקידים והעלויות'!$C$2,'עלויות כח אדם (6)'!H1117='סיווג התפקידים והעלויות'!$D$2),IF('עלויות כח אדם (6)'!J1117&lt;75,"לא תקין","תקין"),"")</f>
        <v/>
      </c>
      <c r="AE1117" s="374" t="str">
        <f t="shared" si="269"/>
        <v/>
      </c>
      <c r="AF1117" s="532" t="str">
        <f t="shared" si="270"/>
        <v/>
      </c>
    </row>
    <row r="1118" spans="2:32" x14ac:dyDescent="0.25">
      <c r="B1118" s="695"/>
      <c r="C1118" s="197" t="str">
        <f>IF(B1118&lt;&gt;"",IFERROR(VLOOKUP(B:B,'מצבת והרשמה (2)'!$C$20:$N$520,2,0)," ")," ")</f>
        <v xml:space="preserve"> </v>
      </c>
      <c r="D1118" s="695"/>
      <c r="E1118" s="696"/>
      <c r="F1118" s="696"/>
      <c r="G1118" s="696"/>
      <c r="H1118" s="696"/>
      <c r="I1118" s="1050" t="str">
        <f t="shared" si="257"/>
        <v/>
      </c>
      <c r="J1118" s="696"/>
      <c r="K1118" s="697"/>
      <c r="L1118" s="696"/>
      <c r="M1118" s="198" t="str">
        <f t="shared" si="258"/>
        <v/>
      </c>
      <c r="N1118" s="369" t="str">
        <f t="shared" si="259"/>
        <v/>
      </c>
      <c r="O1118" s="183" t="str">
        <f t="shared" si="260"/>
        <v/>
      </c>
      <c r="P1118" s="199" t="str">
        <f t="shared" si="261"/>
        <v/>
      </c>
      <c r="Q1118" s="199" t="str">
        <f>IF(B1118="","",IFERROR(IF('עלויות כח אדם (6)'!J1118&gt;=VLOOKUP(I1118,'סיווג התפקידים והעלויות'!$B$23:$C$32,2,0),"תקין","לא תקין"),""))</f>
        <v/>
      </c>
      <c r="R1118" s="199" t="str">
        <f t="shared" si="262"/>
        <v/>
      </c>
      <c r="S1118" s="199" t="str">
        <f t="shared" si="263"/>
        <v/>
      </c>
      <c r="T1118" s="199" t="str">
        <f t="shared" si="271"/>
        <v/>
      </c>
      <c r="U1118" s="199" t="str">
        <f t="shared" si="264"/>
        <v/>
      </c>
      <c r="V1118" s="989"/>
      <c r="X1118" s="374" t="str">
        <f t="shared" si="265"/>
        <v/>
      </c>
      <c r="Y1118" s="375" t="str">
        <f t="shared" si="266"/>
        <v/>
      </c>
      <c r="Z1118" s="374" t="str">
        <f t="shared" si="267"/>
        <v/>
      </c>
      <c r="AA1118" s="374" t="b">
        <f t="shared" si="268"/>
        <v>1</v>
      </c>
      <c r="AB1118" s="374">
        <f>COUNTIFS(B:B,B1118,H:H,'סיווג התפקידים והעלויות'!$C$2)</f>
        <v>0</v>
      </c>
      <c r="AC1118" s="374">
        <f>COUNTIFS(B:B,B1118,H:H,'סיווג התפקידים והעלויות'!$D$2)</f>
        <v>0</v>
      </c>
      <c r="AD1118" s="374" t="str">
        <f>IF(OR(AND(H1118='סיווג התפקידים והעלויות'!$A$2,I1118='סיווג התפקידים והעלויות'!$A$3),'עלויות כח אדם (6)'!H1118='סיווג התפקידים והעלויות'!$C$2,'עלויות כח אדם (6)'!H1118='סיווג התפקידים והעלויות'!$D$2),IF('עלויות כח אדם (6)'!J1118&lt;75,"לא תקין","תקין"),"")</f>
        <v/>
      </c>
      <c r="AE1118" s="374" t="str">
        <f t="shared" si="269"/>
        <v/>
      </c>
      <c r="AF1118" s="532" t="str">
        <f t="shared" si="270"/>
        <v/>
      </c>
    </row>
    <row r="1119" spans="2:32" x14ac:dyDescent="0.25">
      <c r="B1119" s="695"/>
      <c r="C1119" s="197" t="str">
        <f>IF(B1119&lt;&gt;"",IFERROR(VLOOKUP(B:B,'מצבת והרשמה (2)'!$C$20:$N$520,2,0)," ")," ")</f>
        <v xml:space="preserve"> </v>
      </c>
      <c r="D1119" s="695"/>
      <c r="E1119" s="696"/>
      <c r="F1119" s="696"/>
      <c r="G1119" s="696"/>
      <c r="H1119" s="696"/>
      <c r="I1119" s="1050" t="str">
        <f t="shared" si="257"/>
        <v/>
      </c>
      <c r="J1119" s="696"/>
      <c r="K1119" s="697"/>
      <c r="L1119" s="696"/>
      <c r="M1119" s="198" t="str">
        <f t="shared" si="258"/>
        <v/>
      </c>
      <c r="N1119" s="369" t="str">
        <f t="shared" si="259"/>
        <v/>
      </c>
      <c r="O1119" s="183" t="str">
        <f t="shared" si="260"/>
        <v/>
      </c>
      <c r="P1119" s="199" t="str">
        <f t="shared" si="261"/>
        <v/>
      </c>
      <c r="Q1119" s="199" t="str">
        <f>IF(B1119="","",IFERROR(IF('עלויות כח אדם (6)'!J1119&gt;=VLOOKUP(I1119,'סיווג התפקידים והעלויות'!$B$23:$C$32,2,0),"תקין","לא תקין"),""))</f>
        <v/>
      </c>
      <c r="R1119" s="199" t="str">
        <f t="shared" si="262"/>
        <v/>
      </c>
      <c r="S1119" s="199" t="str">
        <f t="shared" si="263"/>
        <v/>
      </c>
      <c r="T1119" s="199" t="str">
        <f t="shared" si="271"/>
        <v/>
      </c>
      <c r="U1119" s="199" t="str">
        <f t="shared" si="264"/>
        <v/>
      </c>
      <c r="V1119" s="989"/>
      <c r="X1119" s="374" t="str">
        <f t="shared" si="265"/>
        <v/>
      </c>
      <c r="Y1119" s="375" t="str">
        <f t="shared" si="266"/>
        <v/>
      </c>
      <c r="Z1119" s="374" t="str">
        <f t="shared" si="267"/>
        <v/>
      </c>
      <c r="AA1119" s="374" t="b">
        <f t="shared" si="268"/>
        <v>1</v>
      </c>
      <c r="AB1119" s="374">
        <f>COUNTIFS(B:B,B1119,H:H,'סיווג התפקידים והעלויות'!$C$2)</f>
        <v>0</v>
      </c>
      <c r="AC1119" s="374">
        <f>COUNTIFS(B:B,B1119,H:H,'סיווג התפקידים והעלויות'!$D$2)</f>
        <v>0</v>
      </c>
      <c r="AD1119" s="374" t="str">
        <f>IF(OR(AND(H1119='סיווג התפקידים והעלויות'!$A$2,I1119='סיווג התפקידים והעלויות'!$A$3),'עלויות כח אדם (6)'!H1119='סיווג התפקידים והעלויות'!$C$2,'עלויות כח אדם (6)'!H1119='סיווג התפקידים והעלויות'!$D$2),IF('עלויות כח אדם (6)'!J1119&lt;75,"לא תקין","תקין"),"")</f>
        <v/>
      </c>
      <c r="AE1119" s="374" t="str">
        <f t="shared" si="269"/>
        <v/>
      </c>
      <c r="AF1119" s="532" t="str">
        <f t="shared" si="270"/>
        <v/>
      </c>
    </row>
    <row r="1120" spans="2:32" x14ac:dyDescent="0.25">
      <c r="B1120" s="695"/>
      <c r="C1120" s="197" t="str">
        <f>IF(B1120&lt;&gt;"",IFERROR(VLOOKUP(B:B,'מצבת והרשמה (2)'!$C$20:$N$520,2,0)," ")," ")</f>
        <v xml:space="preserve"> </v>
      </c>
      <c r="D1120" s="695"/>
      <c r="E1120" s="696"/>
      <c r="F1120" s="696"/>
      <c r="G1120" s="696"/>
      <c r="H1120" s="696"/>
      <c r="I1120" s="1050" t="str">
        <f t="shared" si="257"/>
        <v/>
      </c>
      <c r="J1120" s="696"/>
      <c r="K1120" s="697"/>
      <c r="L1120" s="696"/>
      <c r="M1120" s="198" t="str">
        <f t="shared" si="258"/>
        <v/>
      </c>
      <c r="N1120" s="369" t="str">
        <f t="shared" si="259"/>
        <v/>
      </c>
      <c r="O1120" s="183" t="str">
        <f t="shared" si="260"/>
        <v/>
      </c>
      <c r="P1120" s="199" t="str">
        <f t="shared" si="261"/>
        <v/>
      </c>
      <c r="Q1120" s="199" t="str">
        <f>IF(B1120="","",IFERROR(IF('עלויות כח אדם (6)'!J1120&gt;=VLOOKUP(I1120,'סיווג התפקידים והעלויות'!$B$23:$C$32,2,0),"תקין","לא תקין"),""))</f>
        <v/>
      </c>
      <c r="R1120" s="199" t="str">
        <f t="shared" si="262"/>
        <v/>
      </c>
      <c r="S1120" s="199" t="str">
        <f t="shared" si="263"/>
        <v/>
      </c>
      <c r="T1120" s="199" t="str">
        <f t="shared" si="271"/>
        <v/>
      </c>
      <c r="U1120" s="199" t="str">
        <f t="shared" si="264"/>
        <v/>
      </c>
      <c r="V1120" s="989"/>
      <c r="X1120" s="374" t="str">
        <f t="shared" si="265"/>
        <v/>
      </c>
      <c r="Y1120" s="375" t="str">
        <f t="shared" si="266"/>
        <v/>
      </c>
      <c r="Z1120" s="374" t="str">
        <f t="shared" si="267"/>
        <v/>
      </c>
      <c r="AA1120" s="374" t="b">
        <f t="shared" si="268"/>
        <v>1</v>
      </c>
      <c r="AB1120" s="374">
        <f>COUNTIFS(B:B,B1120,H:H,'סיווג התפקידים והעלויות'!$C$2)</f>
        <v>0</v>
      </c>
      <c r="AC1120" s="374">
        <f>COUNTIFS(B:B,B1120,H:H,'סיווג התפקידים והעלויות'!$D$2)</f>
        <v>0</v>
      </c>
      <c r="AD1120" s="374" t="str">
        <f>IF(OR(AND(H1120='סיווג התפקידים והעלויות'!$A$2,I1120='סיווג התפקידים והעלויות'!$A$3),'עלויות כח אדם (6)'!H1120='סיווג התפקידים והעלויות'!$C$2,'עלויות כח אדם (6)'!H1120='סיווג התפקידים והעלויות'!$D$2),IF('עלויות כח אדם (6)'!J1120&lt;75,"לא תקין","תקין"),"")</f>
        <v/>
      </c>
      <c r="AE1120" s="374" t="str">
        <f t="shared" si="269"/>
        <v/>
      </c>
      <c r="AF1120" s="532" t="str">
        <f t="shared" si="270"/>
        <v/>
      </c>
    </row>
    <row r="1121" spans="2:32" x14ac:dyDescent="0.25">
      <c r="B1121" s="695"/>
      <c r="C1121" s="197" t="str">
        <f>IF(B1121&lt;&gt;"",IFERROR(VLOOKUP(B:B,'מצבת והרשמה (2)'!$C$20:$N$520,2,0)," ")," ")</f>
        <v xml:space="preserve"> </v>
      </c>
      <c r="D1121" s="695"/>
      <c r="E1121" s="696"/>
      <c r="F1121" s="696"/>
      <c r="G1121" s="696"/>
      <c r="H1121" s="696"/>
      <c r="I1121" s="1050" t="str">
        <f t="shared" si="257"/>
        <v/>
      </c>
      <c r="J1121" s="696"/>
      <c r="K1121" s="697"/>
      <c r="L1121" s="696"/>
      <c r="M1121" s="198" t="str">
        <f t="shared" si="258"/>
        <v/>
      </c>
      <c r="N1121" s="369" t="str">
        <f t="shared" si="259"/>
        <v/>
      </c>
      <c r="O1121" s="183" t="str">
        <f t="shared" si="260"/>
        <v/>
      </c>
      <c r="P1121" s="199" t="str">
        <f t="shared" si="261"/>
        <v/>
      </c>
      <c r="Q1121" s="199" t="str">
        <f>IF(B1121="","",IFERROR(IF('עלויות כח אדם (6)'!J1121&gt;=VLOOKUP(I1121,'סיווג התפקידים והעלויות'!$B$23:$C$32,2,0),"תקין","לא תקין"),""))</f>
        <v/>
      </c>
      <c r="R1121" s="199" t="str">
        <f t="shared" si="262"/>
        <v/>
      </c>
      <c r="S1121" s="199" t="str">
        <f t="shared" si="263"/>
        <v/>
      </c>
      <c r="T1121" s="199" t="str">
        <f t="shared" si="271"/>
        <v/>
      </c>
      <c r="U1121" s="199" t="str">
        <f t="shared" si="264"/>
        <v/>
      </c>
      <c r="V1121" s="989"/>
      <c r="X1121" s="374" t="str">
        <f t="shared" si="265"/>
        <v/>
      </c>
      <c r="Y1121" s="375" t="str">
        <f t="shared" si="266"/>
        <v/>
      </c>
      <c r="Z1121" s="374" t="str">
        <f t="shared" si="267"/>
        <v/>
      </c>
      <c r="AA1121" s="374" t="b">
        <f t="shared" si="268"/>
        <v>1</v>
      </c>
      <c r="AB1121" s="374">
        <f>COUNTIFS(B:B,B1121,H:H,'סיווג התפקידים והעלויות'!$C$2)</f>
        <v>0</v>
      </c>
      <c r="AC1121" s="374">
        <f>COUNTIFS(B:B,B1121,H:H,'סיווג התפקידים והעלויות'!$D$2)</f>
        <v>0</v>
      </c>
      <c r="AD1121" s="374" t="str">
        <f>IF(OR(AND(H1121='סיווג התפקידים והעלויות'!$A$2,I1121='סיווג התפקידים והעלויות'!$A$3),'עלויות כח אדם (6)'!H1121='סיווג התפקידים והעלויות'!$C$2,'עלויות כח אדם (6)'!H1121='סיווג התפקידים והעלויות'!$D$2),IF('עלויות כח אדם (6)'!J1121&lt;75,"לא תקין","תקין"),"")</f>
        <v/>
      </c>
      <c r="AE1121" s="374" t="str">
        <f t="shared" si="269"/>
        <v/>
      </c>
      <c r="AF1121" s="532" t="str">
        <f t="shared" si="270"/>
        <v/>
      </c>
    </row>
    <row r="1122" spans="2:32" x14ac:dyDescent="0.25">
      <c r="B1122" s="695"/>
      <c r="C1122" s="197" t="str">
        <f>IF(B1122&lt;&gt;"",IFERROR(VLOOKUP(B:B,'מצבת והרשמה (2)'!$C$20:$N$520,2,0)," ")," ")</f>
        <v xml:space="preserve"> </v>
      </c>
      <c r="D1122" s="695"/>
      <c r="E1122" s="696"/>
      <c r="F1122" s="696"/>
      <c r="G1122" s="696"/>
      <c r="H1122" s="696"/>
      <c r="I1122" s="1050" t="str">
        <f t="shared" si="257"/>
        <v/>
      </c>
      <c r="J1122" s="696"/>
      <c r="K1122" s="697"/>
      <c r="L1122" s="696"/>
      <c r="M1122" s="198" t="str">
        <f t="shared" si="258"/>
        <v/>
      </c>
      <c r="N1122" s="369" t="str">
        <f t="shared" si="259"/>
        <v/>
      </c>
      <c r="O1122" s="183" t="str">
        <f t="shared" si="260"/>
        <v/>
      </c>
      <c r="P1122" s="199" t="str">
        <f t="shared" si="261"/>
        <v/>
      </c>
      <c r="Q1122" s="199" t="str">
        <f>IF(B1122="","",IFERROR(IF('עלויות כח אדם (6)'!J1122&gt;=VLOOKUP(I1122,'סיווג התפקידים והעלויות'!$B$23:$C$32,2,0),"תקין","לא תקין"),""))</f>
        <v/>
      </c>
      <c r="R1122" s="199" t="str">
        <f t="shared" si="262"/>
        <v/>
      </c>
      <c r="S1122" s="199" t="str">
        <f t="shared" si="263"/>
        <v/>
      </c>
      <c r="T1122" s="199" t="str">
        <f t="shared" si="271"/>
        <v/>
      </c>
      <c r="U1122" s="199" t="str">
        <f t="shared" si="264"/>
        <v/>
      </c>
      <c r="V1122" s="989"/>
      <c r="X1122" s="374" t="str">
        <f t="shared" si="265"/>
        <v/>
      </c>
      <c r="Y1122" s="375" t="str">
        <f t="shared" si="266"/>
        <v/>
      </c>
      <c r="Z1122" s="374" t="str">
        <f t="shared" si="267"/>
        <v/>
      </c>
      <c r="AA1122" s="374" t="b">
        <f t="shared" si="268"/>
        <v>1</v>
      </c>
      <c r="AB1122" s="374">
        <f>COUNTIFS(B:B,B1122,H:H,'סיווג התפקידים והעלויות'!$C$2)</f>
        <v>0</v>
      </c>
      <c r="AC1122" s="374">
        <f>COUNTIFS(B:B,B1122,H:H,'סיווג התפקידים והעלויות'!$D$2)</f>
        <v>0</v>
      </c>
      <c r="AD1122" s="374" t="str">
        <f>IF(OR(AND(H1122='סיווג התפקידים והעלויות'!$A$2,I1122='סיווג התפקידים והעלויות'!$A$3),'עלויות כח אדם (6)'!H1122='סיווג התפקידים והעלויות'!$C$2,'עלויות כח אדם (6)'!H1122='סיווג התפקידים והעלויות'!$D$2),IF('עלויות כח אדם (6)'!J1122&lt;75,"לא תקין","תקין"),"")</f>
        <v/>
      </c>
      <c r="AE1122" s="374" t="str">
        <f t="shared" si="269"/>
        <v/>
      </c>
      <c r="AF1122" s="532" t="str">
        <f t="shared" si="270"/>
        <v/>
      </c>
    </row>
    <row r="1123" spans="2:32" x14ac:dyDescent="0.25">
      <c r="B1123" s="695"/>
      <c r="C1123" s="197" t="str">
        <f>IF(B1123&lt;&gt;"",IFERROR(VLOOKUP(B:B,'מצבת והרשמה (2)'!$C$20:$N$520,2,0)," ")," ")</f>
        <v xml:space="preserve"> </v>
      </c>
      <c r="D1123" s="695"/>
      <c r="E1123" s="696"/>
      <c r="F1123" s="696"/>
      <c r="G1123" s="696"/>
      <c r="H1123" s="696"/>
      <c r="I1123" s="1050" t="str">
        <f t="shared" si="257"/>
        <v/>
      </c>
      <c r="J1123" s="696"/>
      <c r="K1123" s="697"/>
      <c r="L1123" s="696"/>
      <c r="M1123" s="198" t="str">
        <f t="shared" si="258"/>
        <v/>
      </c>
      <c r="N1123" s="369" t="str">
        <f t="shared" si="259"/>
        <v/>
      </c>
      <c r="O1123" s="183" t="str">
        <f t="shared" si="260"/>
        <v/>
      </c>
      <c r="P1123" s="199" t="str">
        <f t="shared" si="261"/>
        <v/>
      </c>
      <c r="Q1123" s="199" t="str">
        <f>IF(B1123="","",IFERROR(IF('עלויות כח אדם (6)'!J1123&gt;=VLOOKUP(I1123,'סיווג התפקידים והעלויות'!$B$23:$C$32,2,0),"תקין","לא תקין"),""))</f>
        <v/>
      </c>
      <c r="R1123" s="199" t="str">
        <f t="shared" si="262"/>
        <v/>
      </c>
      <c r="S1123" s="199" t="str">
        <f t="shared" si="263"/>
        <v/>
      </c>
      <c r="T1123" s="199" t="str">
        <f t="shared" si="271"/>
        <v/>
      </c>
      <c r="U1123" s="199" t="str">
        <f t="shared" si="264"/>
        <v/>
      </c>
      <c r="V1123" s="989"/>
      <c r="X1123" s="374" t="str">
        <f t="shared" si="265"/>
        <v/>
      </c>
      <c r="Y1123" s="375" t="str">
        <f t="shared" si="266"/>
        <v/>
      </c>
      <c r="Z1123" s="374" t="str">
        <f t="shared" si="267"/>
        <v/>
      </c>
      <c r="AA1123" s="374" t="b">
        <f t="shared" si="268"/>
        <v>1</v>
      </c>
      <c r="AB1123" s="374">
        <f>COUNTIFS(B:B,B1123,H:H,'סיווג התפקידים והעלויות'!$C$2)</f>
        <v>0</v>
      </c>
      <c r="AC1123" s="374">
        <f>COUNTIFS(B:B,B1123,H:H,'סיווג התפקידים והעלויות'!$D$2)</f>
        <v>0</v>
      </c>
      <c r="AD1123" s="374" t="str">
        <f>IF(OR(AND(H1123='סיווג התפקידים והעלויות'!$A$2,I1123='סיווג התפקידים והעלויות'!$A$3),'עלויות כח אדם (6)'!H1123='סיווג התפקידים והעלויות'!$C$2,'עלויות כח אדם (6)'!H1123='סיווג התפקידים והעלויות'!$D$2),IF('עלויות כח אדם (6)'!J1123&lt;75,"לא תקין","תקין"),"")</f>
        <v/>
      </c>
      <c r="AE1123" s="374" t="str">
        <f t="shared" si="269"/>
        <v/>
      </c>
      <c r="AF1123" s="532" t="str">
        <f t="shared" si="270"/>
        <v/>
      </c>
    </row>
    <row r="1124" spans="2:32" x14ac:dyDescent="0.25">
      <c r="B1124" s="695"/>
      <c r="C1124" s="197" t="str">
        <f>IF(B1124&lt;&gt;"",IFERROR(VLOOKUP(B:B,'מצבת והרשמה (2)'!$C$20:$N$520,2,0)," ")," ")</f>
        <v xml:space="preserve"> </v>
      </c>
      <c r="D1124" s="695"/>
      <c r="E1124" s="696"/>
      <c r="F1124" s="696"/>
      <c r="G1124" s="696"/>
      <c r="H1124" s="696"/>
      <c r="I1124" s="1050" t="str">
        <f t="shared" si="257"/>
        <v/>
      </c>
      <c r="J1124" s="696"/>
      <c r="K1124" s="697"/>
      <c r="L1124" s="696"/>
      <c r="M1124" s="198" t="str">
        <f t="shared" si="258"/>
        <v/>
      </c>
      <c r="N1124" s="369" t="str">
        <f t="shared" si="259"/>
        <v/>
      </c>
      <c r="O1124" s="183" t="str">
        <f t="shared" si="260"/>
        <v/>
      </c>
      <c r="P1124" s="199" t="str">
        <f t="shared" si="261"/>
        <v/>
      </c>
      <c r="Q1124" s="199" t="str">
        <f>IF(B1124="","",IFERROR(IF('עלויות כח אדם (6)'!J1124&gt;=VLOOKUP(I1124,'סיווג התפקידים והעלויות'!$B$23:$C$32,2,0),"תקין","לא תקין"),""))</f>
        <v/>
      </c>
      <c r="R1124" s="199" t="str">
        <f t="shared" si="262"/>
        <v/>
      </c>
      <c r="S1124" s="199" t="str">
        <f t="shared" si="263"/>
        <v/>
      </c>
      <c r="T1124" s="199" t="str">
        <f t="shared" si="271"/>
        <v/>
      </c>
      <c r="U1124" s="199" t="str">
        <f t="shared" si="264"/>
        <v/>
      </c>
      <c r="V1124" s="989"/>
      <c r="X1124" s="374" t="str">
        <f t="shared" si="265"/>
        <v/>
      </c>
      <c r="Y1124" s="375" t="str">
        <f t="shared" si="266"/>
        <v/>
      </c>
      <c r="Z1124" s="374" t="str">
        <f t="shared" si="267"/>
        <v/>
      </c>
      <c r="AA1124" s="374" t="b">
        <f t="shared" si="268"/>
        <v>1</v>
      </c>
      <c r="AB1124" s="374">
        <f>COUNTIFS(B:B,B1124,H:H,'סיווג התפקידים והעלויות'!$C$2)</f>
        <v>0</v>
      </c>
      <c r="AC1124" s="374">
        <f>COUNTIFS(B:B,B1124,H:H,'סיווג התפקידים והעלויות'!$D$2)</f>
        <v>0</v>
      </c>
      <c r="AD1124" s="374" t="str">
        <f>IF(OR(AND(H1124='סיווג התפקידים והעלויות'!$A$2,I1124='סיווג התפקידים והעלויות'!$A$3),'עלויות כח אדם (6)'!H1124='סיווג התפקידים והעלויות'!$C$2,'עלויות כח אדם (6)'!H1124='סיווג התפקידים והעלויות'!$D$2),IF('עלויות כח אדם (6)'!J1124&lt;75,"לא תקין","תקין"),"")</f>
        <v/>
      </c>
      <c r="AE1124" s="374" t="str">
        <f t="shared" si="269"/>
        <v/>
      </c>
      <c r="AF1124" s="532" t="str">
        <f t="shared" si="270"/>
        <v/>
      </c>
    </row>
    <row r="1125" spans="2:32" x14ac:dyDescent="0.25">
      <c r="B1125" s="695"/>
      <c r="C1125" s="197" t="str">
        <f>IF(B1125&lt;&gt;"",IFERROR(VLOOKUP(B:B,'מצבת והרשמה (2)'!$C$20:$N$520,2,0)," ")," ")</f>
        <v xml:space="preserve"> </v>
      </c>
      <c r="D1125" s="695"/>
      <c r="E1125" s="696"/>
      <c r="F1125" s="696"/>
      <c r="G1125" s="696"/>
      <c r="H1125" s="696"/>
      <c r="I1125" s="1050" t="str">
        <f t="shared" si="257"/>
        <v/>
      </c>
      <c r="J1125" s="696"/>
      <c r="K1125" s="697"/>
      <c r="L1125" s="696"/>
      <c r="M1125" s="198" t="str">
        <f t="shared" si="258"/>
        <v/>
      </c>
      <c r="N1125" s="369" t="str">
        <f t="shared" si="259"/>
        <v/>
      </c>
      <c r="O1125" s="183" t="str">
        <f t="shared" si="260"/>
        <v/>
      </c>
      <c r="P1125" s="199" t="str">
        <f t="shared" si="261"/>
        <v/>
      </c>
      <c r="Q1125" s="199" t="str">
        <f>IF(B1125="","",IFERROR(IF('עלויות כח אדם (6)'!J1125&gt;=VLOOKUP(I1125,'סיווג התפקידים והעלויות'!$B$23:$C$32,2,0),"תקין","לא תקין"),""))</f>
        <v/>
      </c>
      <c r="R1125" s="199" t="str">
        <f t="shared" si="262"/>
        <v/>
      </c>
      <c r="S1125" s="199" t="str">
        <f t="shared" si="263"/>
        <v/>
      </c>
      <c r="T1125" s="199" t="str">
        <f t="shared" si="271"/>
        <v/>
      </c>
      <c r="U1125" s="199" t="str">
        <f t="shared" si="264"/>
        <v/>
      </c>
      <c r="V1125" s="989"/>
      <c r="X1125" s="374" t="str">
        <f t="shared" si="265"/>
        <v/>
      </c>
      <c r="Y1125" s="375" t="str">
        <f t="shared" si="266"/>
        <v/>
      </c>
      <c r="Z1125" s="374" t="str">
        <f t="shared" si="267"/>
        <v/>
      </c>
      <c r="AA1125" s="374" t="b">
        <f t="shared" si="268"/>
        <v>1</v>
      </c>
      <c r="AB1125" s="374">
        <f>COUNTIFS(B:B,B1125,H:H,'סיווג התפקידים והעלויות'!$C$2)</f>
        <v>0</v>
      </c>
      <c r="AC1125" s="374">
        <f>COUNTIFS(B:B,B1125,H:H,'סיווג התפקידים והעלויות'!$D$2)</f>
        <v>0</v>
      </c>
      <c r="AD1125" s="374" t="str">
        <f>IF(OR(AND(H1125='סיווג התפקידים והעלויות'!$A$2,I1125='סיווג התפקידים והעלויות'!$A$3),'עלויות כח אדם (6)'!H1125='סיווג התפקידים והעלויות'!$C$2,'עלויות כח אדם (6)'!H1125='סיווג התפקידים והעלויות'!$D$2),IF('עלויות כח אדם (6)'!J1125&lt;75,"לא תקין","תקין"),"")</f>
        <v/>
      </c>
      <c r="AE1125" s="374" t="str">
        <f t="shared" si="269"/>
        <v/>
      </c>
      <c r="AF1125" s="532" t="str">
        <f t="shared" si="270"/>
        <v/>
      </c>
    </row>
    <row r="1126" spans="2:32" x14ac:dyDescent="0.25">
      <c r="B1126" s="695"/>
      <c r="C1126" s="197" t="str">
        <f>IF(B1126&lt;&gt;"",IFERROR(VLOOKUP(B:B,'מצבת והרשמה (2)'!$C$20:$N$520,2,0)," ")," ")</f>
        <v xml:space="preserve"> </v>
      </c>
      <c r="D1126" s="695"/>
      <c r="E1126" s="696"/>
      <c r="F1126" s="696"/>
      <c r="G1126" s="696"/>
      <c r="H1126" s="696"/>
      <c r="I1126" s="1050" t="str">
        <f t="shared" si="257"/>
        <v/>
      </c>
      <c r="J1126" s="696"/>
      <c r="K1126" s="697"/>
      <c r="L1126" s="696"/>
      <c r="M1126" s="198" t="str">
        <f t="shared" si="258"/>
        <v/>
      </c>
      <c r="N1126" s="369" t="str">
        <f t="shared" si="259"/>
        <v/>
      </c>
      <c r="O1126" s="183" t="str">
        <f t="shared" si="260"/>
        <v/>
      </c>
      <c r="P1126" s="199" t="str">
        <f t="shared" si="261"/>
        <v/>
      </c>
      <c r="Q1126" s="199" t="str">
        <f>IF(B1126="","",IFERROR(IF('עלויות כח אדם (6)'!J1126&gt;=VLOOKUP(I1126,'סיווג התפקידים והעלויות'!$B$23:$C$32,2,0),"תקין","לא תקין"),""))</f>
        <v/>
      </c>
      <c r="R1126" s="199" t="str">
        <f t="shared" si="262"/>
        <v/>
      </c>
      <c r="S1126" s="199" t="str">
        <f t="shared" si="263"/>
        <v/>
      </c>
      <c r="T1126" s="199" t="str">
        <f t="shared" si="271"/>
        <v/>
      </c>
      <c r="U1126" s="199" t="str">
        <f t="shared" si="264"/>
        <v/>
      </c>
      <c r="V1126" s="989"/>
      <c r="X1126" s="374" t="str">
        <f t="shared" si="265"/>
        <v/>
      </c>
      <c r="Y1126" s="375" t="str">
        <f t="shared" si="266"/>
        <v/>
      </c>
      <c r="Z1126" s="374" t="str">
        <f t="shared" si="267"/>
        <v/>
      </c>
      <c r="AA1126" s="374" t="b">
        <f t="shared" si="268"/>
        <v>1</v>
      </c>
      <c r="AB1126" s="374">
        <f>COUNTIFS(B:B,B1126,H:H,'סיווג התפקידים והעלויות'!$C$2)</f>
        <v>0</v>
      </c>
      <c r="AC1126" s="374">
        <f>COUNTIFS(B:B,B1126,H:H,'סיווג התפקידים והעלויות'!$D$2)</f>
        <v>0</v>
      </c>
      <c r="AD1126" s="374" t="str">
        <f>IF(OR(AND(H1126='סיווג התפקידים והעלויות'!$A$2,I1126='סיווג התפקידים והעלויות'!$A$3),'עלויות כח אדם (6)'!H1126='סיווג התפקידים והעלויות'!$C$2,'עלויות כח אדם (6)'!H1126='סיווג התפקידים והעלויות'!$D$2),IF('עלויות כח אדם (6)'!J1126&lt;75,"לא תקין","תקין"),"")</f>
        <v/>
      </c>
      <c r="AE1126" s="374" t="str">
        <f t="shared" si="269"/>
        <v/>
      </c>
      <c r="AF1126" s="532" t="str">
        <f t="shared" si="270"/>
        <v/>
      </c>
    </row>
    <row r="1127" spans="2:32" x14ac:dyDescent="0.25">
      <c r="B1127" s="695"/>
      <c r="C1127" s="197" t="str">
        <f>IF(B1127&lt;&gt;"",IFERROR(VLOOKUP(B:B,'מצבת והרשמה (2)'!$C$20:$N$520,2,0)," ")," ")</f>
        <v xml:space="preserve"> </v>
      </c>
      <c r="D1127" s="695"/>
      <c r="E1127" s="696"/>
      <c r="F1127" s="696"/>
      <c r="G1127" s="696"/>
      <c r="H1127" s="696"/>
      <c r="I1127" s="1050" t="str">
        <f t="shared" si="257"/>
        <v/>
      </c>
      <c r="J1127" s="696"/>
      <c r="K1127" s="697"/>
      <c r="L1127" s="696"/>
      <c r="M1127" s="198" t="str">
        <f t="shared" si="258"/>
        <v/>
      </c>
      <c r="N1127" s="369" t="str">
        <f t="shared" si="259"/>
        <v/>
      </c>
      <c r="O1127" s="183" t="str">
        <f t="shared" si="260"/>
        <v/>
      </c>
      <c r="P1127" s="199" t="str">
        <f t="shared" si="261"/>
        <v/>
      </c>
      <c r="Q1127" s="199" t="str">
        <f>IF(B1127="","",IFERROR(IF('עלויות כח אדם (6)'!J1127&gt;=VLOOKUP(I1127,'סיווג התפקידים והעלויות'!$B$23:$C$32,2,0),"תקין","לא תקין"),""))</f>
        <v/>
      </c>
      <c r="R1127" s="199" t="str">
        <f t="shared" si="262"/>
        <v/>
      </c>
      <c r="S1127" s="199" t="str">
        <f t="shared" si="263"/>
        <v/>
      </c>
      <c r="T1127" s="199" t="str">
        <f t="shared" si="271"/>
        <v/>
      </c>
      <c r="U1127" s="199" t="str">
        <f t="shared" si="264"/>
        <v/>
      </c>
      <c r="V1127" s="989"/>
      <c r="X1127" s="374" t="str">
        <f t="shared" si="265"/>
        <v/>
      </c>
      <c r="Y1127" s="375" t="str">
        <f t="shared" si="266"/>
        <v/>
      </c>
      <c r="Z1127" s="374" t="str">
        <f t="shared" si="267"/>
        <v/>
      </c>
      <c r="AA1127" s="374" t="b">
        <f t="shared" si="268"/>
        <v>1</v>
      </c>
      <c r="AB1127" s="374">
        <f>COUNTIFS(B:B,B1127,H:H,'סיווג התפקידים והעלויות'!$C$2)</f>
        <v>0</v>
      </c>
      <c r="AC1127" s="374">
        <f>COUNTIFS(B:B,B1127,H:H,'סיווג התפקידים והעלויות'!$D$2)</f>
        <v>0</v>
      </c>
      <c r="AD1127" s="374" t="str">
        <f>IF(OR(AND(H1127='סיווג התפקידים והעלויות'!$A$2,I1127='סיווג התפקידים והעלויות'!$A$3),'עלויות כח אדם (6)'!H1127='סיווג התפקידים והעלויות'!$C$2,'עלויות כח אדם (6)'!H1127='סיווג התפקידים והעלויות'!$D$2),IF('עלויות כח אדם (6)'!J1127&lt;75,"לא תקין","תקין"),"")</f>
        <v/>
      </c>
      <c r="AE1127" s="374" t="str">
        <f t="shared" si="269"/>
        <v/>
      </c>
      <c r="AF1127" s="532" t="str">
        <f t="shared" si="270"/>
        <v/>
      </c>
    </row>
    <row r="1128" spans="2:32" x14ac:dyDescent="0.25">
      <c r="B1128" s="695"/>
      <c r="C1128" s="197" t="str">
        <f>IF(B1128&lt;&gt;"",IFERROR(VLOOKUP(B:B,'מצבת והרשמה (2)'!$C$20:$N$520,2,0)," ")," ")</f>
        <v xml:space="preserve"> </v>
      </c>
      <c r="D1128" s="695"/>
      <c r="E1128" s="696"/>
      <c r="F1128" s="696"/>
      <c r="G1128" s="696"/>
      <c r="H1128" s="696"/>
      <c r="I1128" s="1050" t="str">
        <f t="shared" si="257"/>
        <v/>
      </c>
      <c r="J1128" s="696"/>
      <c r="K1128" s="697"/>
      <c r="L1128" s="696"/>
      <c r="M1128" s="198" t="str">
        <f t="shared" si="258"/>
        <v/>
      </c>
      <c r="N1128" s="369" t="str">
        <f t="shared" si="259"/>
        <v/>
      </c>
      <c r="O1128" s="183" t="str">
        <f t="shared" si="260"/>
        <v/>
      </c>
      <c r="P1128" s="199" t="str">
        <f t="shared" si="261"/>
        <v/>
      </c>
      <c r="Q1128" s="199" t="str">
        <f>IF(B1128="","",IFERROR(IF('עלויות כח אדם (6)'!J1128&gt;=VLOOKUP(I1128,'סיווג התפקידים והעלויות'!$B$23:$C$32,2,0),"תקין","לא תקין"),""))</f>
        <v/>
      </c>
      <c r="R1128" s="199" t="str">
        <f t="shared" si="262"/>
        <v/>
      </c>
      <c r="S1128" s="199" t="str">
        <f t="shared" si="263"/>
        <v/>
      </c>
      <c r="T1128" s="199" t="str">
        <f t="shared" si="271"/>
        <v/>
      </c>
      <c r="U1128" s="199" t="str">
        <f t="shared" si="264"/>
        <v/>
      </c>
      <c r="V1128" s="989"/>
      <c r="X1128" s="374" t="str">
        <f t="shared" si="265"/>
        <v/>
      </c>
      <c r="Y1128" s="375" t="str">
        <f t="shared" si="266"/>
        <v/>
      </c>
      <c r="Z1128" s="374" t="str">
        <f t="shared" si="267"/>
        <v/>
      </c>
      <c r="AA1128" s="374" t="b">
        <f t="shared" si="268"/>
        <v>1</v>
      </c>
      <c r="AB1128" s="374">
        <f>COUNTIFS(B:B,B1128,H:H,'סיווג התפקידים והעלויות'!$C$2)</f>
        <v>0</v>
      </c>
      <c r="AC1128" s="374">
        <f>COUNTIFS(B:B,B1128,H:H,'סיווג התפקידים והעלויות'!$D$2)</f>
        <v>0</v>
      </c>
      <c r="AD1128" s="374" t="str">
        <f>IF(OR(AND(H1128='סיווג התפקידים והעלויות'!$A$2,I1128='סיווג התפקידים והעלויות'!$A$3),'עלויות כח אדם (6)'!H1128='סיווג התפקידים והעלויות'!$C$2,'עלויות כח אדם (6)'!H1128='סיווג התפקידים והעלויות'!$D$2),IF('עלויות כח אדם (6)'!J1128&lt;75,"לא תקין","תקין"),"")</f>
        <v/>
      </c>
      <c r="AE1128" s="374" t="str">
        <f t="shared" si="269"/>
        <v/>
      </c>
      <c r="AF1128" s="532" t="str">
        <f t="shared" si="270"/>
        <v/>
      </c>
    </row>
    <row r="1129" spans="2:32" x14ac:dyDescent="0.25">
      <c r="B1129" s="695"/>
      <c r="C1129" s="197" t="str">
        <f>IF(B1129&lt;&gt;"",IFERROR(VLOOKUP(B:B,'מצבת והרשמה (2)'!$C$20:$N$520,2,0)," ")," ")</f>
        <v xml:space="preserve"> </v>
      </c>
      <c r="D1129" s="695"/>
      <c r="E1129" s="696"/>
      <c r="F1129" s="696"/>
      <c r="G1129" s="696"/>
      <c r="H1129" s="696"/>
      <c r="I1129" s="1050" t="str">
        <f t="shared" si="257"/>
        <v/>
      </c>
      <c r="J1129" s="696"/>
      <c r="K1129" s="697"/>
      <c r="L1129" s="696"/>
      <c r="M1129" s="198" t="str">
        <f t="shared" si="258"/>
        <v/>
      </c>
      <c r="N1129" s="369" t="str">
        <f t="shared" si="259"/>
        <v/>
      </c>
      <c r="O1129" s="183" t="str">
        <f t="shared" si="260"/>
        <v/>
      </c>
      <c r="P1129" s="199" t="str">
        <f t="shared" si="261"/>
        <v/>
      </c>
      <c r="Q1129" s="199" t="str">
        <f>IF(B1129="","",IFERROR(IF('עלויות כח אדם (6)'!J1129&gt;=VLOOKUP(I1129,'סיווג התפקידים והעלויות'!$B$23:$C$32,2,0),"תקין","לא תקין"),""))</f>
        <v/>
      </c>
      <c r="R1129" s="199" t="str">
        <f t="shared" si="262"/>
        <v/>
      </c>
      <c r="S1129" s="199" t="str">
        <f t="shared" si="263"/>
        <v/>
      </c>
      <c r="T1129" s="199" t="str">
        <f t="shared" si="271"/>
        <v/>
      </c>
      <c r="U1129" s="199" t="str">
        <f t="shared" si="264"/>
        <v/>
      </c>
      <c r="V1129" s="989"/>
      <c r="X1129" s="374" t="str">
        <f t="shared" si="265"/>
        <v/>
      </c>
      <c r="Y1129" s="375" t="str">
        <f t="shared" si="266"/>
        <v/>
      </c>
      <c r="Z1129" s="374" t="str">
        <f t="shared" si="267"/>
        <v/>
      </c>
      <c r="AA1129" s="374" t="b">
        <f t="shared" si="268"/>
        <v>1</v>
      </c>
      <c r="AB1129" s="374">
        <f>COUNTIFS(B:B,B1129,H:H,'סיווג התפקידים והעלויות'!$C$2)</f>
        <v>0</v>
      </c>
      <c r="AC1129" s="374">
        <f>COUNTIFS(B:B,B1129,H:H,'סיווג התפקידים והעלויות'!$D$2)</f>
        <v>0</v>
      </c>
      <c r="AD1129" s="374" t="str">
        <f>IF(OR(AND(H1129='סיווג התפקידים והעלויות'!$A$2,I1129='סיווג התפקידים והעלויות'!$A$3),'עלויות כח אדם (6)'!H1129='סיווג התפקידים והעלויות'!$C$2,'עלויות כח אדם (6)'!H1129='סיווג התפקידים והעלויות'!$D$2),IF('עלויות כח אדם (6)'!J1129&lt;75,"לא תקין","תקין"),"")</f>
        <v/>
      </c>
      <c r="AE1129" s="374" t="str">
        <f t="shared" si="269"/>
        <v/>
      </c>
      <c r="AF1129" s="532" t="str">
        <f t="shared" si="270"/>
        <v/>
      </c>
    </row>
    <row r="1130" spans="2:32" x14ac:dyDescent="0.25">
      <c r="B1130" s="695"/>
      <c r="C1130" s="197" t="str">
        <f>IF(B1130&lt;&gt;"",IFERROR(VLOOKUP(B:B,'מצבת והרשמה (2)'!$C$20:$N$520,2,0)," ")," ")</f>
        <v xml:space="preserve"> </v>
      </c>
      <c r="D1130" s="695"/>
      <c r="E1130" s="696"/>
      <c r="F1130" s="696"/>
      <c r="G1130" s="696"/>
      <c r="H1130" s="696"/>
      <c r="I1130" s="1050" t="str">
        <f t="shared" si="257"/>
        <v/>
      </c>
      <c r="J1130" s="696"/>
      <c r="K1130" s="697"/>
      <c r="L1130" s="696"/>
      <c r="M1130" s="198" t="str">
        <f t="shared" si="258"/>
        <v/>
      </c>
      <c r="N1130" s="369" t="str">
        <f t="shared" si="259"/>
        <v/>
      </c>
      <c r="O1130" s="183" t="str">
        <f t="shared" si="260"/>
        <v/>
      </c>
      <c r="P1130" s="199" t="str">
        <f t="shared" si="261"/>
        <v/>
      </c>
      <c r="Q1130" s="199" t="str">
        <f>IF(B1130="","",IFERROR(IF('עלויות כח אדם (6)'!J1130&gt;=VLOOKUP(I1130,'סיווג התפקידים והעלויות'!$B$23:$C$32,2,0),"תקין","לא תקין"),""))</f>
        <v/>
      </c>
      <c r="R1130" s="199" t="str">
        <f t="shared" si="262"/>
        <v/>
      </c>
      <c r="S1130" s="199" t="str">
        <f t="shared" si="263"/>
        <v/>
      </c>
      <c r="T1130" s="199" t="str">
        <f t="shared" si="271"/>
        <v/>
      </c>
      <c r="U1130" s="199" t="str">
        <f t="shared" si="264"/>
        <v/>
      </c>
      <c r="V1130" s="989"/>
      <c r="X1130" s="374" t="str">
        <f t="shared" si="265"/>
        <v/>
      </c>
      <c r="Y1130" s="375" t="str">
        <f t="shared" si="266"/>
        <v/>
      </c>
      <c r="Z1130" s="374" t="str">
        <f t="shared" si="267"/>
        <v/>
      </c>
      <c r="AA1130" s="374" t="b">
        <f t="shared" si="268"/>
        <v>1</v>
      </c>
      <c r="AB1130" s="374">
        <f>COUNTIFS(B:B,B1130,H:H,'סיווג התפקידים והעלויות'!$C$2)</f>
        <v>0</v>
      </c>
      <c r="AC1130" s="374">
        <f>COUNTIFS(B:B,B1130,H:H,'סיווג התפקידים והעלויות'!$D$2)</f>
        <v>0</v>
      </c>
      <c r="AD1130" s="374" t="str">
        <f>IF(OR(AND(H1130='סיווג התפקידים והעלויות'!$A$2,I1130='סיווג התפקידים והעלויות'!$A$3),'עלויות כח אדם (6)'!H1130='סיווג התפקידים והעלויות'!$C$2,'עלויות כח אדם (6)'!H1130='סיווג התפקידים והעלויות'!$D$2),IF('עלויות כח אדם (6)'!J1130&lt;75,"לא תקין","תקין"),"")</f>
        <v/>
      </c>
      <c r="AE1130" s="374" t="str">
        <f t="shared" si="269"/>
        <v/>
      </c>
      <c r="AF1130" s="532" t="str">
        <f t="shared" si="270"/>
        <v/>
      </c>
    </row>
    <row r="1131" spans="2:32" x14ac:dyDescent="0.25">
      <c r="B1131" s="695"/>
      <c r="C1131" s="197" t="str">
        <f>IF(B1131&lt;&gt;"",IFERROR(VLOOKUP(B:B,'מצבת והרשמה (2)'!$C$20:$N$520,2,0)," ")," ")</f>
        <v xml:space="preserve"> </v>
      </c>
      <c r="D1131" s="695"/>
      <c r="E1131" s="696"/>
      <c r="F1131" s="696"/>
      <c r="G1131" s="696"/>
      <c r="H1131" s="696"/>
      <c r="I1131" s="1050" t="str">
        <f t="shared" si="257"/>
        <v/>
      </c>
      <c r="J1131" s="696"/>
      <c r="K1131" s="697"/>
      <c r="L1131" s="696"/>
      <c r="M1131" s="198" t="str">
        <f t="shared" si="258"/>
        <v/>
      </c>
      <c r="N1131" s="369" t="str">
        <f t="shared" si="259"/>
        <v/>
      </c>
      <c r="O1131" s="183" t="str">
        <f t="shared" si="260"/>
        <v/>
      </c>
      <c r="P1131" s="199" t="str">
        <f t="shared" si="261"/>
        <v/>
      </c>
      <c r="Q1131" s="199" t="str">
        <f>IF(B1131="","",IFERROR(IF('עלויות כח אדם (6)'!J1131&gt;=VLOOKUP(I1131,'סיווג התפקידים והעלויות'!$B$23:$C$32,2,0),"תקין","לא תקין"),""))</f>
        <v/>
      </c>
      <c r="R1131" s="199" t="str">
        <f t="shared" si="262"/>
        <v/>
      </c>
      <c r="S1131" s="199" t="str">
        <f t="shared" si="263"/>
        <v/>
      </c>
      <c r="T1131" s="199" t="str">
        <f t="shared" si="271"/>
        <v/>
      </c>
      <c r="U1131" s="199" t="str">
        <f t="shared" si="264"/>
        <v/>
      </c>
      <c r="V1131" s="989"/>
      <c r="X1131" s="374" t="str">
        <f t="shared" si="265"/>
        <v/>
      </c>
      <c r="Y1131" s="375" t="str">
        <f t="shared" si="266"/>
        <v/>
      </c>
      <c r="Z1131" s="374" t="str">
        <f t="shared" si="267"/>
        <v/>
      </c>
      <c r="AA1131" s="374" t="b">
        <f t="shared" si="268"/>
        <v>1</v>
      </c>
      <c r="AB1131" s="374">
        <f>COUNTIFS(B:B,B1131,H:H,'סיווג התפקידים והעלויות'!$C$2)</f>
        <v>0</v>
      </c>
      <c r="AC1131" s="374">
        <f>COUNTIFS(B:B,B1131,H:H,'סיווג התפקידים והעלויות'!$D$2)</f>
        <v>0</v>
      </c>
      <c r="AD1131" s="374" t="str">
        <f>IF(OR(AND(H1131='סיווג התפקידים והעלויות'!$A$2,I1131='סיווג התפקידים והעלויות'!$A$3),'עלויות כח אדם (6)'!H1131='סיווג התפקידים והעלויות'!$C$2,'עלויות כח אדם (6)'!H1131='סיווג התפקידים והעלויות'!$D$2),IF('עלויות כח אדם (6)'!J1131&lt;75,"לא תקין","תקין"),"")</f>
        <v/>
      </c>
      <c r="AE1131" s="374" t="str">
        <f t="shared" si="269"/>
        <v/>
      </c>
      <c r="AF1131" s="532" t="str">
        <f t="shared" si="270"/>
        <v/>
      </c>
    </row>
    <row r="1132" spans="2:32" x14ac:dyDescent="0.25">
      <c r="B1132" s="695"/>
      <c r="C1132" s="197" t="str">
        <f>IF(B1132&lt;&gt;"",IFERROR(VLOOKUP(B:B,'מצבת והרשמה (2)'!$C$20:$N$520,2,0)," ")," ")</f>
        <v xml:space="preserve"> </v>
      </c>
      <c r="D1132" s="695"/>
      <c r="E1132" s="696"/>
      <c r="F1132" s="696"/>
      <c r="G1132" s="696"/>
      <c r="H1132" s="696"/>
      <c r="I1132" s="1050" t="str">
        <f t="shared" si="257"/>
        <v/>
      </c>
      <c r="J1132" s="696"/>
      <c r="K1132" s="697"/>
      <c r="L1132" s="696"/>
      <c r="M1132" s="198" t="str">
        <f t="shared" si="258"/>
        <v/>
      </c>
      <c r="N1132" s="369" t="str">
        <f t="shared" si="259"/>
        <v/>
      </c>
      <c r="O1132" s="183" t="str">
        <f t="shared" si="260"/>
        <v/>
      </c>
      <c r="P1132" s="199" t="str">
        <f t="shared" si="261"/>
        <v/>
      </c>
      <c r="Q1132" s="199" t="str">
        <f>IF(B1132="","",IFERROR(IF('עלויות כח אדם (6)'!J1132&gt;=VLOOKUP(I1132,'סיווג התפקידים והעלויות'!$B$23:$C$32,2,0),"תקין","לא תקין"),""))</f>
        <v/>
      </c>
      <c r="R1132" s="199" t="str">
        <f t="shared" si="262"/>
        <v/>
      </c>
      <c r="S1132" s="199" t="str">
        <f t="shared" si="263"/>
        <v/>
      </c>
      <c r="T1132" s="199" t="str">
        <f t="shared" si="271"/>
        <v/>
      </c>
      <c r="U1132" s="199" t="str">
        <f t="shared" si="264"/>
        <v/>
      </c>
      <c r="V1132" s="989"/>
      <c r="X1132" s="374" t="str">
        <f t="shared" si="265"/>
        <v/>
      </c>
      <c r="Y1132" s="375" t="str">
        <f t="shared" si="266"/>
        <v/>
      </c>
      <c r="Z1132" s="374" t="str">
        <f t="shared" si="267"/>
        <v/>
      </c>
      <c r="AA1132" s="374" t="b">
        <f t="shared" si="268"/>
        <v>1</v>
      </c>
      <c r="AB1132" s="374">
        <f>COUNTIFS(B:B,B1132,H:H,'סיווג התפקידים והעלויות'!$C$2)</f>
        <v>0</v>
      </c>
      <c r="AC1132" s="374">
        <f>COUNTIFS(B:B,B1132,H:H,'סיווג התפקידים והעלויות'!$D$2)</f>
        <v>0</v>
      </c>
      <c r="AD1132" s="374" t="str">
        <f>IF(OR(AND(H1132='סיווג התפקידים והעלויות'!$A$2,I1132='סיווג התפקידים והעלויות'!$A$3),'עלויות כח אדם (6)'!H1132='סיווג התפקידים והעלויות'!$C$2,'עלויות כח אדם (6)'!H1132='סיווג התפקידים והעלויות'!$D$2),IF('עלויות כח אדם (6)'!J1132&lt;75,"לא תקין","תקין"),"")</f>
        <v/>
      </c>
      <c r="AE1132" s="374" t="str">
        <f t="shared" si="269"/>
        <v/>
      </c>
      <c r="AF1132" s="532" t="str">
        <f t="shared" si="270"/>
        <v/>
      </c>
    </row>
    <row r="1133" spans="2:32" x14ac:dyDescent="0.25">
      <c r="B1133" s="695"/>
      <c r="C1133" s="197" t="str">
        <f>IF(B1133&lt;&gt;"",IFERROR(VLOOKUP(B:B,'מצבת והרשמה (2)'!$C$20:$N$520,2,0)," ")," ")</f>
        <v xml:space="preserve"> </v>
      </c>
      <c r="D1133" s="695"/>
      <c r="E1133" s="696"/>
      <c r="F1133" s="696"/>
      <c r="G1133" s="696"/>
      <c r="H1133" s="696"/>
      <c r="I1133" s="1050" t="str">
        <f t="shared" si="257"/>
        <v/>
      </c>
      <c r="J1133" s="696"/>
      <c r="K1133" s="697"/>
      <c r="L1133" s="696"/>
      <c r="M1133" s="198" t="str">
        <f t="shared" si="258"/>
        <v/>
      </c>
      <c r="N1133" s="369" t="str">
        <f t="shared" si="259"/>
        <v/>
      </c>
      <c r="O1133" s="183" t="str">
        <f t="shared" si="260"/>
        <v/>
      </c>
      <c r="P1133" s="199" t="str">
        <f t="shared" si="261"/>
        <v/>
      </c>
      <c r="Q1133" s="199" t="str">
        <f>IF(B1133="","",IFERROR(IF('עלויות כח אדם (6)'!J1133&gt;=VLOOKUP(I1133,'סיווג התפקידים והעלויות'!$B$23:$C$32,2,0),"תקין","לא תקין"),""))</f>
        <v/>
      </c>
      <c r="R1133" s="199" t="str">
        <f t="shared" si="262"/>
        <v/>
      </c>
      <c r="S1133" s="199" t="str">
        <f t="shared" si="263"/>
        <v/>
      </c>
      <c r="T1133" s="199" t="str">
        <f t="shared" si="271"/>
        <v/>
      </c>
      <c r="U1133" s="199" t="str">
        <f t="shared" si="264"/>
        <v/>
      </c>
      <c r="V1133" s="989"/>
      <c r="X1133" s="374" t="str">
        <f t="shared" si="265"/>
        <v/>
      </c>
      <c r="Y1133" s="375" t="str">
        <f t="shared" si="266"/>
        <v/>
      </c>
      <c r="Z1133" s="374" t="str">
        <f t="shared" si="267"/>
        <v/>
      </c>
      <c r="AA1133" s="374" t="b">
        <f t="shared" si="268"/>
        <v>1</v>
      </c>
      <c r="AB1133" s="374">
        <f>COUNTIFS(B:B,B1133,H:H,'סיווג התפקידים והעלויות'!$C$2)</f>
        <v>0</v>
      </c>
      <c r="AC1133" s="374">
        <f>COUNTIFS(B:B,B1133,H:H,'סיווג התפקידים והעלויות'!$D$2)</f>
        <v>0</v>
      </c>
      <c r="AD1133" s="374" t="str">
        <f>IF(OR(AND(H1133='סיווג התפקידים והעלויות'!$A$2,I1133='סיווג התפקידים והעלויות'!$A$3),'עלויות כח אדם (6)'!H1133='סיווג התפקידים והעלויות'!$C$2,'עלויות כח אדם (6)'!H1133='סיווג התפקידים והעלויות'!$D$2),IF('עלויות כח אדם (6)'!J1133&lt;75,"לא תקין","תקין"),"")</f>
        <v/>
      </c>
      <c r="AE1133" s="374" t="str">
        <f t="shared" si="269"/>
        <v/>
      </c>
      <c r="AF1133" s="532" t="str">
        <f t="shared" si="270"/>
        <v/>
      </c>
    </row>
    <row r="1134" spans="2:32" x14ac:dyDescent="0.25">
      <c r="B1134" s="695"/>
      <c r="C1134" s="197" t="str">
        <f>IF(B1134&lt;&gt;"",IFERROR(VLOOKUP(B:B,'מצבת והרשמה (2)'!$C$20:$N$520,2,0)," ")," ")</f>
        <v xml:space="preserve"> </v>
      </c>
      <c r="D1134" s="695"/>
      <c r="E1134" s="696"/>
      <c r="F1134" s="696"/>
      <c r="G1134" s="696"/>
      <c r="H1134" s="696"/>
      <c r="I1134" s="1050" t="str">
        <f t="shared" si="257"/>
        <v/>
      </c>
      <c r="J1134" s="696"/>
      <c r="K1134" s="697"/>
      <c r="L1134" s="696"/>
      <c r="M1134" s="198" t="str">
        <f t="shared" si="258"/>
        <v/>
      </c>
      <c r="N1134" s="369" t="str">
        <f t="shared" si="259"/>
        <v/>
      </c>
      <c r="O1134" s="183" t="str">
        <f t="shared" si="260"/>
        <v/>
      </c>
      <c r="P1134" s="199" t="str">
        <f t="shared" si="261"/>
        <v/>
      </c>
      <c r="Q1134" s="199" t="str">
        <f>IF(B1134="","",IFERROR(IF('עלויות כח אדם (6)'!J1134&gt;=VLOOKUP(I1134,'סיווג התפקידים והעלויות'!$B$23:$C$32,2,0),"תקין","לא תקין"),""))</f>
        <v/>
      </c>
      <c r="R1134" s="199" t="str">
        <f t="shared" si="262"/>
        <v/>
      </c>
      <c r="S1134" s="199" t="str">
        <f t="shared" si="263"/>
        <v/>
      </c>
      <c r="T1134" s="199" t="str">
        <f t="shared" si="271"/>
        <v/>
      </c>
      <c r="U1134" s="199" t="str">
        <f t="shared" si="264"/>
        <v/>
      </c>
      <c r="V1134" s="989"/>
      <c r="X1134" s="374" t="str">
        <f t="shared" si="265"/>
        <v/>
      </c>
      <c r="Y1134" s="375" t="str">
        <f t="shared" si="266"/>
        <v/>
      </c>
      <c r="Z1134" s="374" t="str">
        <f t="shared" si="267"/>
        <v/>
      </c>
      <c r="AA1134" s="374" t="b">
        <f t="shared" si="268"/>
        <v>1</v>
      </c>
      <c r="AB1134" s="374">
        <f>COUNTIFS(B:B,B1134,H:H,'סיווג התפקידים והעלויות'!$C$2)</f>
        <v>0</v>
      </c>
      <c r="AC1134" s="374">
        <f>COUNTIFS(B:B,B1134,H:H,'סיווג התפקידים והעלויות'!$D$2)</f>
        <v>0</v>
      </c>
      <c r="AD1134" s="374" t="str">
        <f>IF(OR(AND(H1134='סיווג התפקידים והעלויות'!$A$2,I1134='סיווג התפקידים והעלויות'!$A$3),'עלויות כח אדם (6)'!H1134='סיווג התפקידים והעלויות'!$C$2,'עלויות כח אדם (6)'!H1134='סיווג התפקידים והעלויות'!$D$2),IF('עלויות כח אדם (6)'!J1134&lt;75,"לא תקין","תקין"),"")</f>
        <v/>
      </c>
      <c r="AE1134" s="374" t="str">
        <f t="shared" si="269"/>
        <v/>
      </c>
      <c r="AF1134" s="532" t="str">
        <f t="shared" si="270"/>
        <v/>
      </c>
    </row>
    <row r="1135" spans="2:32" x14ac:dyDescent="0.25">
      <c r="B1135" s="695"/>
      <c r="C1135" s="197" t="str">
        <f>IF(B1135&lt;&gt;"",IFERROR(VLOOKUP(B:B,'מצבת והרשמה (2)'!$C$20:$N$520,2,0)," ")," ")</f>
        <v xml:space="preserve"> </v>
      </c>
      <c r="D1135" s="695"/>
      <c r="E1135" s="696"/>
      <c r="F1135" s="696"/>
      <c r="G1135" s="696"/>
      <c r="H1135" s="696"/>
      <c r="I1135" s="1050" t="str">
        <f t="shared" si="257"/>
        <v/>
      </c>
      <c r="J1135" s="696"/>
      <c r="K1135" s="697"/>
      <c r="L1135" s="696"/>
      <c r="M1135" s="198" t="str">
        <f t="shared" si="258"/>
        <v/>
      </c>
      <c r="N1135" s="369" t="str">
        <f t="shared" si="259"/>
        <v/>
      </c>
      <c r="O1135" s="183" t="str">
        <f t="shared" si="260"/>
        <v/>
      </c>
      <c r="P1135" s="199" t="str">
        <f t="shared" si="261"/>
        <v/>
      </c>
      <c r="Q1135" s="199" t="str">
        <f>IF(B1135="","",IFERROR(IF('עלויות כח אדם (6)'!J1135&gt;=VLOOKUP(I1135,'סיווג התפקידים והעלויות'!$B$23:$C$32,2,0),"תקין","לא תקין"),""))</f>
        <v/>
      </c>
      <c r="R1135" s="199" t="str">
        <f t="shared" si="262"/>
        <v/>
      </c>
      <c r="S1135" s="199" t="str">
        <f t="shared" si="263"/>
        <v/>
      </c>
      <c r="T1135" s="199" t="str">
        <f t="shared" si="271"/>
        <v/>
      </c>
      <c r="U1135" s="199" t="str">
        <f t="shared" si="264"/>
        <v/>
      </c>
      <c r="V1135" s="989"/>
      <c r="X1135" s="374" t="str">
        <f t="shared" si="265"/>
        <v/>
      </c>
      <c r="Y1135" s="375" t="str">
        <f t="shared" si="266"/>
        <v/>
      </c>
      <c r="Z1135" s="374" t="str">
        <f t="shared" si="267"/>
        <v/>
      </c>
      <c r="AA1135" s="374" t="b">
        <f t="shared" si="268"/>
        <v>1</v>
      </c>
      <c r="AB1135" s="374">
        <f>COUNTIFS(B:B,B1135,H:H,'סיווג התפקידים והעלויות'!$C$2)</f>
        <v>0</v>
      </c>
      <c r="AC1135" s="374">
        <f>COUNTIFS(B:B,B1135,H:H,'סיווג התפקידים והעלויות'!$D$2)</f>
        <v>0</v>
      </c>
      <c r="AD1135" s="374" t="str">
        <f>IF(OR(AND(H1135='סיווג התפקידים והעלויות'!$A$2,I1135='סיווג התפקידים והעלויות'!$A$3),'עלויות כח אדם (6)'!H1135='סיווג התפקידים והעלויות'!$C$2,'עלויות כח אדם (6)'!H1135='סיווג התפקידים והעלויות'!$D$2),IF('עלויות כח אדם (6)'!J1135&lt;75,"לא תקין","תקין"),"")</f>
        <v/>
      </c>
      <c r="AE1135" s="374" t="str">
        <f t="shared" si="269"/>
        <v/>
      </c>
      <c r="AF1135" s="532" t="str">
        <f t="shared" si="270"/>
        <v/>
      </c>
    </row>
    <row r="1136" spans="2:32" x14ac:dyDescent="0.25">
      <c r="B1136" s="695"/>
      <c r="C1136" s="197" t="str">
        <f>IF(B1136&lt;&gt;"",IFERROR(VLOOKUP(B:B,'מצבת והרשמה (2)'!$C$20:$N$520,2,0)," ")," ")</f>
        <v xml:space="preserve"> </v>
      </c>
      <c r="D1136" s="695"/>
      <c r="E1136" s="696"/>
      <c r="F1136" s="696"/>
      <c r="G1136" s="696"/>
      <c r="H1136" s="696"/>
      <c r="I1136" s="1050" t="str">
        <f t="shared" si="257"/>
        <v/>
      </c>
      <c r="J1136" s="696"/>
      <c r="K1136" s="697"/>
      <c r="L1136" s="696"/>
      <c r="M1136" s="198" t="str">
        <f t="shared" si="258"/>
        <v/>
      </c>
      <c r="N1136" s="369" t="str">
        <f t="shared" si="259"/>
        <v/>
      </c>
      <c r="O1136" s="183" t="str">
        <f t="shared" si="260"/>
        <v/>
      </c>
      <c r="P1136" s="199" t="str">
        <f t="shared" si="261"/>
        <v/>
      </c>
      <c r="Q1136" s="199" t="str">
        <f>IF(B1136="","",IFERROR(IF('עלויות כח אדם (6)'!J1136&gt;=VLOOKUP(I1136,'סיווג התפקידים והעלויות'!$B$23:$C$32,2,0),"תקין","לא תקין"),""))</f>
        <v/>
      </c>
      <c r="R1136" s="199" t="str">
        <f t="shared" si="262"/>
        <v/>
      </c>
      <c r="S1136" s="199" t="str">
        <f t="shared" si="263"/>
        <v/>
      </c>
      <c r="T1136" s="199" t="str">
        <f t="shared" si="271"/>
        <v/>
      </c>
      <c r="U1136" s="199" t="str">
        <f t="shared" si="264"/>
        <v/>
      </c>
      <c r="V1136" s="989"/>
      <c r="X1136" s="374" t="str">
        <f t="shared" si="265"/>
        <v/>
      </c>
      <c r="Y1136" s="375" t="str">
        <f t="shared" si="266"/>
        <v/>
      </c>
      <c r="Z1136" s="374" t="str">
        <f t="shared" si="267"/>
        <v/>
      </c>
      <c r="AA1136" s="374" t="b">
        <f t="shared" si="268"/>
        <v>1</v>
      </c>
      <c r="AB1136" s="374">
        <f>COUNTIFS(B:B,B1136,H:H,'סיווג התפקידים והעלויות'!$C$2)</f>
        <v>0</v>
      </c>
      <c r="AC1136" s="374">
        <f>COUNTIFS(B:B,B1136,H:H,'סיווג התפקידים והעלויות'!$D$2)</f>
        <v>0</v>
      </c>
      <c r="AD1136" s="374" t="str">
        <f>IF(OR(AND(H1136='סיווג התפקידים והעלויות'!$A$2,I1136='סיווג התפקידים והעלויות'!$A$3),'עלויות כח אדם (6)'!H1136='סיווג התפקידים והעלויות'!$C$2,'עלויות כח אדם (6)'!H1136='סיווג התפקידים והעלויות'!$D$2),IF('עלויות כח אדם (6)'!J1136&lt;75,"לא תקין","תקין"),"")</f>
        <v/>
      </c>
      <c r="AE1136" s="374" t="str">
        <f t="shared" si="269"/>
        <v/>
      </c>
      <c r="AF1136" s="532" t="str">
        <f t="shared" si="270"/>
        <v/>
      </c>
    </row>
    <row r="1137" spans="2:32" x14ac:dyDescent="0.25">
      <c r="B1137" s="695"/>
      <c r="C1137" s="197" t="str">
        <f>IF(B1137&lt;&gt;"",IFERROR(VLOOKUP(B:B,'מצבת והרשמה (2)'!$C$20:$N$520,2,0)," ")," ")</f>
        <v xml:space="preserve"> </v>
      </c>
      <c r="D1137" s="695"/>
      <c r="E1137" s="696"/>
      <c r="F1137" s="696"/>
      <c r="G1137" s="696"/>
      <c r="H1137" s="696"/>
      <c r="I1137" s="1050" t="str">
        <f t="shared" si="257"/>
        <v/>
      </c>
      <c r="J1137" s="696"/>
      <c r="K1137" s="697"/>
      <c r="L1137" s="696"/>
      <c r="M1137" s="198" t="str">
        <f t="shared" si="258"/>
        <v/>
      </c>
      <c r="N1137" s="369" t="str">
        <f t="shared" si="259"/>
        <v/>
      </c>
      <c r="O1137" s="183" t="str">
        <f t="shared" si="260"/>
        <v/>
      </c>
      <c r="P1137" s="199" t="str">
        <f t="shared" si="261"/>
        <v/>
      </c>
      <c r="Q1137" s="199" t="str">
        <f>IF(B1137="","",IFERROR(IF('עלויות כח אדם (6)'!J1137&gt;=VLOOKUP(I1137,'סיווג התפקידים והעלויות'!$B$23:$C$32,2,0),"תקין","לא תקין"),""))</f>
        <v/>
      </c>
      <c r="R1137" s="199" t="str">
        <f t="shared" si="262"/>
        <v/>
      </c>
      <c r="S1137" s="199" t="str">
        <f t="shared" si="263"/>
        <v/>
      </c>
      <c r="T1137" s="199" t="str">
        <f t="shared" si="271"/>
        <v/>
      </c>
      <c r="U1137" s="199" t="str">
        <f t="shared" si="264"/>
        <v/>
      </c>
      <c r="V1137" s="989"/>
      <c r="X1137" s="374" t="str">
        <f t="shared" si="265"/>
        <v/>
      </c>
      <c r="Y1137" s="375" t="str">
        <f t="shared" si="266"/>
        <v/>
      </c>
      <c r="Z1137" s="374" t="str">
        <f t="shared" si="267"/>
        <v/>
      </c>
      <c r="AA1137" s="374" t="b">
        <f t="shared" si="268"/>
        <v>1</v>
      </c>
      <c r="AB1137" s="374">
        <f>COUNTIFS(B:B,B1137,H:H,'סיווג התפקידים והעלויות'!$C$2)</f>
        <v>0</v>
      </c>
      <c r="AC1137" s="374">
        <f>COUNTIFS(B:B,B1137,H:H,'סיווג התפקידים והעלויות'!$D$2)</f>
        <v>0</v>
      </c>
      <c r="AD1137" s="374" t="str">
        <f>IF(OR(AND(H1137='סיווג התפקידים והעלויות'!$A$2,I1137='סיווג התפקידים והעלויות'!$A$3),'עלויות כח אדם (6)'!H1137='סיווג התפקידים והעלויות'!$C$2,'עלויות כח אדם (6)'!H1137='סיווג התפקידים והעלויות'!$D$2),IF('עלויות כח אדם (6)'!J1137&lt;75,"לא תקין","תקין"),"")</f>
        <v/>
      </c>
      <c r="AE1137" s="374" t="str">
        <f t="shared" si="269"/>
        <v/>
      </c>
      <c r="AF1137" s="532" t="str">
        <f t="shared" si="270"/>
        <v/>
      </c>
    </row>
    <row r="1138" spans="2:32" x14ac:dyDescent="0.25">
      <c r="B1138" s="695"/>
      <c r="C1138" s="197" t="str">
        <f>IF(B1138&lt;&gt;"",IFERROR(VLOOKUP(B:B,'מצבת והרשמה (2)'!$C$20:$N$520,2,0)," ")," ")</f>
        <v xml:space="preserve"> </v>
      </c>
      <c r="D1138" s="695"/>
      <c r="E1138" s="696"/>
      <c r="F1138" s="696"/>
      <c r="G1138" s="696"/>
      <c r="H1138" s="696"/>
      <c r="I1138" s="1050" t="str">
        <f t="shared" si="257"/>
        <v/>
      </c>
      <c r="J1138" s="696"/>
      <c r="K1138" s="697"/>
      <c r="L1138" s="696"/>
      <c r="M1138" s="198" t="str">
        <f t="shared" si="258"/>
        <v/>
      </c>
      <c r="N1138" s="369" t="str">
        <f t="shared" si="259"/>
        <v/>
      </c>
      <c r="O1138" s="183" t="str">
        <f t="shared" si="260"/>
        <v/>
      </c>
      <c r="P1138" s="199" t="str">
        <f t="shared" si="261"/>
        <v/>
      </c>
      <c r="Q1138" s="199" t="str">
        <f>IF(B1138="","",IFERROR(IF('עלויות כח אדם (6)'!J1138&gt;=VLOOKUP(I1138,'סיווג התפקידים והעלויות'!$B$23:$C$32,2,0),"תקין","לא תקין"),""))</f>
        <v/>
      </c>
      <c r="R1138" s="199" t="str">
        <f t="shared" si="262"/>
        <v/>
      </c>
      <c r="S1138" s="199" t="str">
        <f t="shared" si="263"/>
        <v/>
      </c>
      <c r="T1138" s="199" t="str">
        <f t="shared" si="271"/>
        <v/>
      </c>
      <c r="U1138" s="199" t="str">
        <f t="shared" si="264"/>
        <v/>
      </c>
      <c r="V1138" s="989"/>
      <c r="X1138" s="374" t="str">
        <f t="shared" si="265"/>
        <v/>
      </c>
      <c r="Y1138" s="375" t="str">
        <f t="shared" si="266"/>
        <v/>
      </c>
      <c r="Z1138" s="374" t="str">
        <f t="shared" si="267"/>
        <v/>
      </c>
      <c r="AA1138" s="374" t="b">
        <f t="shared" si="268"/>
        <v>1</v>
      </c>
      <c r="AB1138" s="374">
        <f>COUNTIFS(B:B,B1138,H:H,'סיווג התפקידים והעלויות'!$C$2)</f>
        <v>0</v>
      </c>
      <c r="AC1138" s="374">
        <f>COUNTIFS(B:B,B1138,H:H,'סיווג התפקידים והעלויות'!$D$2)</f>
        <v>0</v>
      </c>
      <c r="AD1138" s="374" t="str">
        <f>IF(OR(AND(H1138='סיווג התפקידים והעלויות'!$A$2,I1138='סיווג התפקידים והעלויות'!$A$3),'עלויות כח אדם (6)'!H1138='סיווג התפקידים והעלויות'!$C$2,'עלויות כח אדם (6)'!H1138='סיווג התפקידים והעלויות'!$D$2),IF('עלויות כח אדם (6)'!J1138&lt;75,"לא תקין","תקין"),"")</f>
        <v/>
      </c>
      <c r="AE1138" s="374" t="str">
        <f t="shared" si="269"/>
        <v/>
      </c>
      <c r="AF1138" s="532" t="str">
        <f t="shared" si="270"/>
        <v/>
      </c>
    </row>
    <row r="1139" spans="2:32" x14ac:dyDescent="0.25">
      <c r="B1139" s="695"/>
      <c r="C1139" s="197" t="str">
        <f>IF(B1139&lt;&gt;"",IFERROR(VLOOKUP(B:B,'מצבת והרשמה (2)'!$C$20:$N$520,2,0)," ")," ")</f>
        <v xml:space="preserve"> </v>
      </c>
      <c r="D1139" s="695"/>
      <c r="E1139" s="696"/>
      <c r="F1139" s="696"/>
      <c r="G1139" s="696"/>
      <c r="H1139" s="696"/>
      <c r="I1139" s="1050" t="str">
        <f t="shared" si="257"/>
        <v/>
      </c>
      <c r="J1139" s="696"/>
      <c r="K1139" s="697"/>
      <c r="L1139" s="696"/>
      <c r="M1139" s="198" t="str">
        <f t="shared" si="258"/>
        <v/>
      </c>
      <c r="N1139" s="369" t="str">
        <f t="shared" si="259"/>
        <v/>
      </c>
      <c r="O1139" s="183" t="str">
        <f t="shared" si="260"/>
        <v/>
      </c>
      <c r="P1139" s="199" t="str">
        <f t="shared" si="261"/>
        <v/>
      </c>
      <c r="Q1139" s="199" t="str">
        <f>IF(B1139="","",IFERROR(IF('עלויות כח אדם (6)'!J1139&gt;=VLOOKUP(I1139,'סיווג התפקידים והעלויות'!$B$23:$C$32,2,0),"תקין","לא תקין"),""))</f>
        <v/>
      </c>
      <c r="R1139" s="199" t="str">
        <f t="shared" si="262"/>
        <v/>
      </c>
      <c r="S1139" s="199" t="str">
        <f t="shared" si="263"/>
        <v/>
      </c>
      <c r="T1139" s="199" t="str">
        <f t="shared" si="271"/>
        <v/>
      </c>
      <c r="U1139" s="199" t="str">
        <f t="shared" si="264"/>
        <v/>
      </c>
      <c r="V1139" s="989"/>
      <c r="X1139" s="374" t="str">
        <f t="shared" si="265"/>
        <v/>
      </c>
      <c r="Y1139" s="375" t="str">
        <f t="shared" si="266"/>
        <v/>
      </c>
      <c r="Z1139" s="374" t="str">
        <f t="shared" si="267"/>
        <v/>
      </c>
      <c r="AA1139" s="374" t="b">
        <f t="shared" si="268"/>
        <v>1</v>
      </c>
      <c r="AB1139" s="374">
        <f>COUNTIFS(B:B,B1139,H:H,'סיווג התפקידים והעלויות'!$C$2)</f>
        <v>0</v>
      </c>
      <c r="AC1139" s="374">
        <f>COUNTIFS(B:B,B1139,H:H,'סיווג התפקידים והעלויות'!$D$2)</f>
        <v>0</v>
      </c>
      <c r="AD1139" s="374" t="str">
        <f>IF(OR(AND(H1139='סיווג התפקידים והעלויות'!$A$2,I1139='סיווג התפקידים והעלויות'!$A$3),'עלויות כח אדם (6)'!H1139='סיווג התפקידים והעלויות'!$C$2,'עלויות כח אדם (6)'!H1139='סיווג התפקידים והעלויות'!$D$2),IF('עלויות כח אדם (6)'!J1139&lt;75,"לא תקין","תקין"),"")</f>
        <v/>
      </c>
      <c r="AE1139" s="374" t="str">
        <f t="shared" si="269"/>
        <v/>
      </c>
      <c r="AF1139" s="532" t="str">
        <f t="shared" si="270"/>
        <v/>
      </c>
    </row>
    <row r="1140" spans="2:32" x14ac:dyDescent="0.25">
      <c r="B1140" s="695"/>
      <c r="C1140" s="197" t="str">
        <f>IF(B1140&lt;&gt;"",IFERROR(VLOOKUP(B:B,'מצבת והרשמה (2)'!$C$20:$N$520,2,0)," ")," ")</f>
        <v xml:space="preserve"> </v>
      </c>
      <c r="D1140" s="695"/>
      <c r="E1140" s="696"/>
      <c r="F1140" s="696"/>
      <c r="G1140" s="696"/>
      <c r="H1140" s="696"/>
      <c r="I1140" s="1050" t="str">
        <f t="shared" si="257"/>
        <v/>
      </c>
      <c r="J1140" s="696"/>
      <c r="K1140" s="697"/>
      <c r="L1140" s="696"/>
      <c r="M1140" s="198" t="str">
        <f t="shared" si="258"/>
        <v/>
      </c>
      <c r="N1140" s="369" t="str">
        <f t="shared" si="259"/>
        <v/>
      </c>
      <c r="O1140" s="183" t="str">
        <f t="shared" si="260"/>
        <v/>
      </c>
      <c r="P1140" s="199" t="str">
        <f t="shared" si="261"/>
        <v/>
      </c>
      <c r="Q1140" s="199" t="str">
        <f>IF(B1140="","",IFERROR(IF('עלויות כח אדם (6)'!J1140&gt;=VLOOKUP(I1140,'סיווג התפקידים והעלויות'!$B$23:$C$32,2,0),"תקין","לא תקין"),""))</f>
        <v/>
      </c>
      <c r="R1140" s="199" t="str">
        <f t="shared" si="262"/>
        <v/>
      </c>
      <c r="S1140" s="199" t="str">
        <f t="shared" si="263"/>
        <v/>
      </c>
      <c r="T1140" s="199" t="str">
        <f t="shared" si="271"/>
        <v/>
      </c>
      <c r="U1140" s="199" t="str">
        <f t="shared" si="264"/>
        <v/>
      </c>
      <c r="V1140" s="989"/>
      <c r="X1140" s="374" t="str">
        <f t="shared" si="265"/>
        <v/>
      </c>
      <c r="Y1140" s="375" t="str">
        <f t="shared" si="266"/>
        <v/>
      </c>
      <c r="Z1140" s="374" t="str">
        <f t="shared" si="267"/>
        <v/>
      </c>
      <c r="AA1140" s="374" t="b">
        <f t="shared" si="268"/>
        <v>1</v>
      </c>
      <c r="AB1140" s="374">
        <f>COUNTIFS(B:B,B1140,H:H,'סיווג התפקידים והעלויות'!$C$2)</f>
        <v>0</v>
      </c>
      <c r="AC1140" s="374">
        <f>COUNTIFS(B:B,B1140,H:H,'סיווג התפקידים והעלויות'!$D$2)</f>
        <v>0</v>
      </c>
      <c r="AD1140" s="374" t="str">
        <f>IF(OR(AND(H1140='סיווג התפקידים והעלויות'!$A$2,I1140='סיווג התפקידים והעלויות'!$A$3),'עלויות כח אדם (6)'!H1140='סיווג התפקידים והעלויות'!$C$2,'עלויות כח אדם (6)'!H1140='סיווג התפקידים והעלויות'!$D$2),IF('עלויות כח אדם (6)'!J1140&lt;75,"לא תקין","תקין"),"")</f>
        <v/>
      </c>
      <c r="AE1140" s="374" t="str">
        <f t="shared" si="269"/>
        <v/>
      </c>
      <c r="AF1140" s="532" t="str">
        <f t="shared" si="270"/>
        <v/>
      </c>
    </row>
    <row r="1141" spans="2:32" x14ac:dyDescent="0.25">
      <c r="B1141" s="695"/>
      <c r="C1141" s="197" t="str">
        <f>IF(B1141&lt;&gt;"",IFERROR(VLOOKUP(B:B,'מצבת והרשמה (2)'!$C$20:$N$520,2,0)," ")," ")</f>
        <v xml:space="preserve"> </v>
      </c>
      <c r="D1141" s="695"/>
      <c r="E1141" s="696"/>
      <c r="F1141" s="696"/>
      <c r="G1141" s="696"/>
      <c r="H1141" s="696"/>
      <c r="I1141" s="1050" t="str">
        <f t="shared" si="257"/>
        <v/>
      </c>
      <c r="J1141" s="696"/>
      <c r="K1141" s="697"/>
      <c r="L1141" s="696"/>
      <c r="M1141" s="198" t="str">
        <f t="shared" si="258"/>
        <v/>
      </c>
      <c r="N1141" s="369" t="str">
        <f t="shared" si="259"/>
        <v/>
      </c>
      <c r="O1141" s="183" t="str">
        <f t="shared" si="260"/>
        <v/>
      </c>
      <c r="P1141" s="199" t="str">
        <f t="shared" si="261"/>
        <v/>
      </c>
      <c r="Q1141" s="199" t="str">
        <f>IF(B1141="","",IFERROR(IF('עלויות כח אדם (6)'!J1141&gt;=VLOOKUP(I1141,'סיווג התפקידים והעלויות'!$B$23:$C$32,2,0),"תקין","לא תקין"),""))</f>
        <v/>
      </c>
      <c r="R1141" s="199" t="str">
        <f t="shared" si="262"/>
        <v/>
      </c>
      <c r="S1141" s="199" t="str">
        <f t="shared" si="263"/>
        <v/>
      </c>
      <c r="T1141" s="199" t="str">
        <f t="shared" si="271"/>
        <v/>
      </c>
      <c r="U1141" s="199" t="str">
        <f t="shared" si="264"/>
        <v/>
      </c>
      <c r="V1141" s="989"/>
      <c r="X1141" s="374" t="str">
        <f t="shared" si="265"/>
        <v/>
      </c>
      <c r="Y1141" s="375" t="str">
        <f t="shared" si="266"/>
        <v/>
      </c>
      <c r="Z1141" s="374" t="str">
        <f t="shared" si="267"/>
        <v/>
      </c>
      <c r="AA1141" s="374" t="b">
        <f t="shared" si="268"/>
        <v>1</v>
      </c>
      <c r="AB1141" s="374">
        <f>COUNTIFS(B:B,B1141,H:H,'סיווג התפקידים והעלויות'!$C$2)</f>
        <v>0</v>
      </c>
      <c r="AC1141" s="374">
        <f>COUNTIFS(B:B,B1141,H:H,'סיווג התפקידים והעלויות'!$D$2)</f>
        <v>0</v>
      </c>
      <c r="AD1141" s="374" t="str">
        <f>IF(OR(AND(H1141='סיווג התפקידים והעלויות'!$A$2,I1141='סיווג התפקידים והעלויות'!$A$3),'עלויות כח אדם (6)'!H1141='סיווג התפקידים והעלויות'!$C$2,'עלויות כח אדם (6)'!H1141='סיווג התפקידים והעלויות'!$D$2),IF('עלויות כח אדם (6)'!J1141&lt;75,"לא תקין","תקין"),"")</f>
        <v/>
      </c>
      <c r="AE1141" s="374" t="str">
        <f t="shared" si="269"/>
        <v/>
      </c>
      <c r="AF1141" s="532" t="str">
        <f t="shared" si="270"/>
        <v/>
      </c>
    </row>
    <row r="1142" spans="2:32" x14ac:dyDescent="0.25">
      <c r="B1142" s="695"/>
      <c r="C1142" s="197" t="str">
        <f>IF(B1142&lt;&gt;"",IFERROR(VLOOKUP(B:B,'מצבת והרשמה (2)'!$C$20:$N$520,2,0)," ")," ")</f>
        <v xml:space="preserve"> </v>
      </c>
      <c r="D1142" s="695"/>
      <c r="E1142" s="696"/>
      <c r="F1142" s="696"/>
      <c r="G1142" s="696"/>
      <c r="H1142" s="696"/>
      <c r="I1142" s="1050" t="str">
        <f t="shared" si="257"/>
        <v/>
      </c>
      <c r="J1142" s="696"/>
      <c r="K1142" s="697"/>
      <c r="L1142" s="696"/>
      <c r="M1142" s="198" t="str">
        <f t="shared" si="258"/>
        <v/>
      </c>
      <c r="N1142" s="369" t="str">
        <f t="shared" si="259"/>
        <v/>
      </c>
      <c r="O1142" s="183" t="str">
        <f t="shared" si="260"/>
        <v/>
      </c>
      <c r="P1142" s="199" t="str">
        <f t="shared" si="261"/>
        <v/>
      </c>
      <c r="Q1142" s="199" t="str">
        <f>IF(B1142="","",IFERROR(IF('עלויות כח אדם (6)'!J1142&gt;=VLOOKUP(I1142,'סיווג התפקידים והעלויות'!$B$23:$C$32,2,0),"תקין","לא תקין"),""))</f>
        <v/>
      </c>
      <c r="R1142" s="199" t="str">
        <f t="shared" si="262"/>
        <v/>
      </c>
      <c r="S1142" s="199" t="str">
        <f t="shared" si="263"/>
        <v/>
      </c>
      <c r="T1142" s="199" t="str">
        <f t="shared" si="271"/>
        <v/>
      </c>
      <c r="U1142" s="199" t="str">
        <f t="shared" si="264"/>
        <v/>
      </c>
      <c r="V1142" s="989"/>
      <c r="X1142" s="374" t="str">
        <f t="shared" si="265"/>
        <v/>
      </c>
      <c r="Y1142" s="375" t="str">
        <f t="shared" si="266"/>
        <v/>
      </c>
      <c r="Z1142" s="374" t="str">
        <f t="shared" si="267"/>
        <v/>
      </c>
      <c r="AA1142" s="374" t="b">
        <f t="shared" si="268"/>
        <v>1</v>
      </c>
      <c r="AB1142" s="374">
        <f>COUNTIFS(B:B,B1142,H:H,'סיווג התפקידים והעלויות'!$C$2)</f>
        <v>0</v>
      </c>
      <c r="AC1142" s="374">
        <f>COUNTIFS(B:B,B1142,H:H,'סיווג התפקידים והעלויות'!$D$2)</f>
        <v>0</v>
      </c>
      <c r="AD1142" s="374" t="str">
        <f>IF(OR(AND(H1142='סיווג התפקידים והעלויות'!$A$2,I1142='סיווג התפקידים והעלויות'!$A$3),'עלויות כח אדם (6)'!H1142='סיווג התפקידים והעלויות'!$C$2,'עלויות כח אדם (6)'!H1142='סיווג התפקידים והעלויות'!$D$2),IF('עלויות כח אדם (6)'!J1142&lt;75,"לא תקין","תקין"),"")</f>
        <v/>
      </c>
      <c r="AE1142" s="374" t="str">
        <f t="shared" si="269"/>
        <v/>
      </c>
      <c r="AF1142" s="532" t="str">
        <f t="shared" si="270"/>
        <v/>
      </c>
    </row>
    <row r="1143" spans="2:32" x14ac:dyDescent="0.25">
      <c r="B1143" s="695"/>
      <c r="C1143" s="197" t="str">
        <f>IF(B1143&lt;&gt;"",IFERROR(VLOOKUP(B:B,'מצבת והרשמה (2)'!$C$20:$N$520,2,0)," ")," ")</f>
        <v xml:space="preserve"> </v>
      </c>
      <c r="D1143" s="695"/>
      <c r="E1143" s="696"/>
      <c r="F1143" s="696"/>
      <c r="G1143" s="696"/>
      <c r="H1143" s="696"/>
      <c r="I1143" s="1050" t="str">
        <f t="shared" si="257"/>
        <v/>
      </c>
      <c r="J1143" s="696"/>
      <c r="K1143" s="697"/>
      <c r="L1143" s="696"/>
      <c r="M1143" s="198" t="str">
        <f t="shared" si="258"/>
        <v/>
      </c>
      <c r="N1143" s="369" t="str">
        <f t="shared" si="259"/>
        <v/>
      </c>
      <c r="O1143" s="183" t="str">
        <f t="shared" si="260"/>
        <v/>
      </c>
      <c r="P1143" s="199" t="str">
        <f t="shared" si="261"/>
        <v/>
      </c>
      <c r="Q1143" s="199" t="str">
        <f>IF(B1143="","",IFERROR(IF('עלויות כח אדם (6)'!J1143&gt;=VLOOKUP(I1143,'סיווג התפקידים והעלויות'!$B$23:$C$32,2,0),"תקין","לא תקין"),""))</f>
        <v/>
      </c>
      <c r="R1143" s="199" t="str">
        <f t="shared" si="262"/>
        <v/>
      </c>
      <c r="S1143" s="199" t="str">
        <f t="shared" si="263"/>
        <v/>
      </c>
      <c r="T1143" s="199" t="str">
        <f t="shared" si="271"/>
        <v/>
      </c>
      <c r="U1143" s="199" t="str">
        <f t="shared" si="264"/>
        <v/>
      </c>
      <c r="V1143" s="989"/>
      <c r="X1143" s="374" t="str">
        <f t="shared" si="265"/>
        <v/>
      </c>
      <c r="Y1143" s="375" t="str">
        <f t="shared" si="266"/>
        <v/>
      </c>
      <c r="Z1143" s="374" t="str">
        <f t="shared" si="267"/>
        <v/>
      </c>
      <c r="AA1143" s="374" t="b">
        <f t="shared" si="268"/>
        <v>1</v>
      </c>
      <c r="AB1143" s="374">
        <f>COUNTIFS(B:B,B1143,H:H,'סיווג התפקידים והעלויות'!$C$2)</f>
        <v>0</v>
      </c>
      <c r="AC1143" s="374">
        <f>COUNTIFS(B:B,B1143,H:H,'סיווג התפקידים והעלויות'!$D$2)</f>
        <v>0</v>
      </c>
      <c r="AD1143" s="374" t="str">
        <f>IF(OR(AND(H1143='סיווג התפקידים והעלויות'!$A$2,I1143='סיווג התפקידים והעלויות'!$A$3),'עלויות כח אדם (6)'!H1143='סיווג התפקידים והעלויות'!$C$2,'עלויות כח אדם (6)'!H1143='סיווג התפקידים והעלויות'!$D$2),IF('עלויות כח אדם (6)'!J1143&lt;75,"לא תקין","תקין"),"")</f>
        <v/>
      </c>
      <c r="AE1143" s="374" t="str">
        <f t="shared" si="269"/>
        <v/>
      </c>
      <c r="AF1143" s="532" t="str">
        <f t="shared" si="270"/>
        <v/>
      </c>
    </row>
    <row r="1144" spans="2:32" x14ac:dyDescent="0.25">
      <c r="B1144" s="695"/>
      <c r="C1144" s="197" t="str">
        <f>IF(B1144&lt;&gt;"",IFERROR(VLOOKUP(B:B,'מצבת והרשמה (2)'!$C$20:$N$520,2,0)," ")," ")</f>
        <v xml:space="preserve"> </v>
      </c>
      <c r="D1144" s="695"/>
      <c r="E1144" s="696"/>
      <c r="F1144" s="696"/>
      <c r="G1144" s="696"/>
      <c r="H1144" s="696"/>
      <c r="I1144" s="1050" t="str">
        <f t="shared" si="257"/>
        <v/>
      </c>
      <c r="J1144" s="696"/>
      <c r="K1144" s="697"/>
      <c r="L1144" s="696"/>
      <c r="M1144" s="198" t="str">
        <f t="shared" si="258"/>
        <v/>
      </c>
      <c r="N1144" s="369" t="str">
        <f t="shared" si="259"/>
        <v/>
      </c>
      <c r="O1144" s="183" t="str">
        <f t="shared" si="260"/>
        <v/>
      </c>
      <c r="P1144" s="199" t="str">
        <f t="shared" si="261"/>
        <v/>
      </c>
      <c r="Q1144" s="199" t="str">
        <f>IF(B1144="","",IFERROR(IF('עלויות כח אדם (6)'!J1144&gt;=VLOOKUP(I1144,'סיווג התפקידים והעלויות'!$B$23:$C$32,2,0),"תקין","לא תקין"),""))</f>
        <v/>
      </c>
      <c r="R1144" s="199" t="str">
        <f t="shared" si="262"/>
        <v/>
      </c>
      <c r="S1144" s="199" t="str">
        <f t="shared" si="263"/>
        <v/>
      </c>
      <c r="T1144" s="199" t="str">
        <f t="shared" si="271"/>
        <v/>
      </c>
      <c r="U1144" s="199" t="str">
        <f t="shared" si="264"/>
        <v/>
      </c>
      <c r="V1144" s="989"/>
      <c r="X1144" s="374" t="str">
        <f t="shared" si="265"/>
        <v/>
      </c>
      <c r="Y1144" s="375" t="str">
        <f t="shared" si="266"/>
        <v/>
      </c>
      <c r="Z1144" s="374" t="str">
        <f t="shared" si="267"/>
        <v/>
      </c>
      <c r="AA1144" s="374" t="b">
        <f t="shared" si="268"/>
        <v>1</v>
      </c>
      <c r="AB1144" s="374">
        <f>COUNTIFS(B:B,B1144,H:H,'סיווג התפקידים והעלויות'!$C$2)</f>
        <v>0</v>
      </c>
      <c r="AC1144" s="374">
        <f>COUNTIFS(B:B,B1144,H:H,'סיווג התפקידים והעלויות'!$D$2)</f>
        <v>0</v>
      </c>
      <c r="AD1144" s="374" t="str">
        <f>IF(OR(AND(H1144='סיווג התפקידים והעלויות'!$A$2,I1144='סיווג התפקידים והעלויות'!$A$3),'עלויות כח אדם (6)'!H1144='סיווג התפקידים והעלויות'!$C$2,'עלויות כח אדם (6)'!H1144='סיווג התפקידים והעלויות'!$D$2),IF('עלויות כח אדם (6)'!J1144&lt;75,"לא תקין","תקין"),"")</f>
        <v/>
      </c>
      <c r="AE1144" s="374" t="str">
        <f t="shared" si="269"/>
        <v/>
      </c>
      <c r="AF1144" s="532" t="str">
        <f t="shared" si="270"/>
        <v/>
      </c>
    </row>
    <row r="1145" spans="2:32" x14ac:dyDescent="0.25">
      <c r="B1145" s="695"/>
      <c r="C1145" s="197" t="str">
        <f>IF(B1145&lt;&gt;"",IFERROR(VLOOKUP(B:B,'מצבת והרשמה (2)'!$C$20:$N$520,2,0)," ")," ")</f>
        <v xml:space="preserve"> </v>
      </c>
      <c r="D1145" s="695"/>
      <c r="E1145" s="696"/>
      <c r="F1145" s="696"/>
      <c r="G1145" s="696"/>
      <c r="H1145" s="696"/>
      <c r="I1145" s="1050" t="str">
        <f t="shared" si="257"/>
        <v/>
      </c>
      <c r="J1145" s="696"/>
      <c r="K1145" s="697"/>
      <c r="L1145" s="696"/>
      <c r="M1145" s="198" t="str">
        <f t="shared" si="258"/>
        <v/>
      </c>
      <c r="N1145" s="369" t="str">
        <f t="shared" si="259"/>
        <v/>
      </c>
      <c r="O1145" s="183" t="str">
        <f t="shared" si="260"/>
        <v/>
      </c>
      <c r="P1145" s="199" t="str">
        <f t="shared" si="261"/>
        <v/>
      </c>
      <c r="Q1145" s="199" t="str">
        <f>IF(B1145="","",IFERROR(IF('עלויות כח אדם (6)'!J1145&gt;=VLOOKUP(I1145,'סיווג התפקידים והעלויות'!$B$23:$C$32,2,0),"תקין","לא תקין"),""))</f>
        <v/>
      </c>
      <c r="R1145" s="199" t="str">
        <f t="shared" si="262"/>
        <v/>
      </c>
      <c r="S1145" s="199" t="str">
        <f t="shared" si="263"/>
        <v/>
      </c>
      <c r="T1145" s="199" t="str">
        <f t="shared" si="271"/>
        <v/>
      </c>
      <c r="U1145" s="199" t="str">
        <f t="shared" si="264"/>
        <v/>
      </c>
      <c r="V1145" s="989"/>
      <c r="X1145" s="374" t="str">
        <f t="shared" si="265"/>
        <v/>
      </c>
      <c r="Y1145" s="375" t="str">
        <f t="shared" si="266"/>
        <v/>
      </c>
      <c r="Z1145" s="374" t="str">
        <f t="shared" si="267"/>
        <v/>
      </c>
      <c r="AA1145" s="374" t="b">
        <f t="shared" si="268"/>
        <v>1</v>
      </c>
      <c r="AB1145" s="374">
        <f>COUNTIFS(B:B,B1145,H:H,'סיווג התפקידים והעלויות'!$C$2)</f>
        <v>0</v>
      </c>
      <c r="AC1145" s="374">
        <f>COUNTIFS(B:B,B1145,H:H,'סיווג התפקידים והעלויות'!$D$2)</f>
        <v>0</v>
      </c>
      <c r="AD1145" s="374" t="str">
        <f>IF(OR(AND(H1145='סיווג התפקידים והעלויות'!$A$2,I1145='סיווג התפקידים והעלויות'!$A$3),'עלויות כח אדם (6)'!H1145='סיווג התפקידים והעלויות'!$C$2,'עלויות כח אדם (6)'!H1145='סיווג התפקידים והעלויות'!$D$2),IF('עלויות כח אדם (6)'!J1145&lt;75,"לא תקין","תקין"),"")</f>
        <v/>
      </c>
      <c r="AE1145" s="374" t="str">
        <f t="shared" si="269"/>
        <v/>
      </c>
      <c r="AF1145" s="532" t="str">
        <f t="shared" si="270"/>
        <v/>
      </c>
    </row>
    <row r="1146" spans="2:32" x14ac:dyDescent="0.25">
      <c r="B1146" s="695"/>
      <c r="C1146" s="197" t="str">
        <f>IF(B1146&lt;&gt;"",IFERROR(VLOOKUP(B:B,'מצבת והרשמה (2)'!$C$20:$N$520,2,0)," ")," ")</f>
        <v xml:space="preserve"> </v>
      </c>
      <c r="D1146" s="695"/>
      <c r="E1146" s="696"/>
      <c r="F1146" s="696"/>
      <c r="G1146" s="696"/>
      <c r="H1146" s="696"/>
      <c r="I1146" s="1050" t="str">
        <f t="shared" si="257"/>
        <v/>
      </c>
      <c r="J1146" s="696"/>
      <c r="K1146" s="697"/>
      <c r="L1146" s="696"/>
      <c r="M1146" s="198" t="str">
        <f t="shared" si="258"/>
        <v/>
      </c>
      <c r="N1146" s="369" t="str">
        <f t="shared" si="259"/>
        <v/>
      </c>
      <c r="O1146" s="183" t="str">
        <f t="shared" si="260"/>
        <v/>
      </c>
      <c r="P1146" s="199" t="str">
        <f t="shared" si="261"/>
        <v/>
      </c>
      <c r="Q1146" s="199" t="str">
        <f>IF(B1146="","",IFERROR(IF('עלויות כח אדם (6)'!J1146&gt;=VLOOKUP(I1146,'סיווג התפקידים והעלויות'!$B$23:$C$32,2,0),"תקין","לא תקין"),""))</f>
        <v/>
      </c>
      <c r="R1146" s="199" t="str">
        <f t="shared" si="262"/>
        <v/>
      </c>
      <c r="S1146" s="199" t="str">
        <f t="shared" si="263"/>
        <v/>
      </c>
      <c r="T1146" s="199" t="str">
        <f t="shared" si="271"/>
        <v/>
      </c>
      <c r="U1146" s="199" t="str">
        <f t="shared" si="264"/>
        <v/>
      </c>
      <c r="V1146" s="989"/>
      <c r="X1146" s="374" t="str">
        <f t="shared" si="265"/>
        <v/>
      </c>
      <c r="Y1146" s="375" t="str">
        <f t="shared" si="266"/>
        <v/>
      </c>
      <c r="Z1146" s="374" t="str">
        <f t="shared" si="267"/>
        <v/>
      </c>
      <c r="AA1146" s="374" t="b">
        <f t="shared" si="268"/>
        <v>1</v>
      </c>
      <c r="AB1146" s="374">
        <f>COUNTIFS(B:B,B1146,H:H,'סיווג התפקידים והעלויות'!$C$2)</f>
        <v>0</v>
      </c>
      <c r="AC1146" s="374">
        <f>COUNTIFS(B:B,B1146,H:H,'סיווג התפקידים והעלויות'!$D$2)</f>
        <v>0</v>
      </c>
      <c r="AD1146" s="374" t="str">
        <f>IF(OR(AND(H1146='סיווג התפקידים והעלויות'!$A$2,I1146='סיווג התפקידים והעלויות'!$A$3),'עלויות כח אדם (6)'!H1146='סיווג התפקידים והעלויות'!$C$2,'עלויות כח אדם (6)'!H1146='סיווג התפקידים והעלויות'!$D$2),IF('עלויות כח אדם (6)'!J1146&lt;75,"לא תקין","תקין"),"")</f>
        <v/>
      </c>
      <c r="AE1146" s="374" t="str">
        <f t="shared" si="269"/>
        <v/>
      </c>
      <c r="AF1146" s="532" t="str">
        <f t="shared" si="270"/>
        <v/>
      </c>
    </row>
    <row r="1147" spans="2:32" x14ac:dyDescent="0.25">
      <c r="B1147" s="695"/>
      <c r="C1147" s="197" t="str">
        <f>IF(B1147&lt;&gt;"",IFERROR(VLOOKUP(B:B,'מצבת והרשמה (2)'!$C$20:$N$520,2,0)," ")," ")</f>
        <v xml:space="preserve"> </v>
      </c>
      <c r="D1147" s="695"/>
      <c r="E1147" s="696"/>
      <c r="F1147" s="696"/>
      <c r="G1147" s="696"/>
      <c r="H1147" s="696"/>
      <c r="I1147" s="1050" t="str">
        <f t="shared" si="257"/>
        <v/>
      </c>
      <c r="J1147" s="696"/>
      <c r="K1147" s="697"/>
      <c r="L1147" s="696"/>
      <c r="M1147" s="198" t="str">
        <f t="shared" si="258"/>
        <v/>
      </c>
      <c r="N1147" s="369" t="str">
        <f t="shared" si="259"/>
        <v/>
      </c>
      <c r="O1147" s="183" t="str">
        <f t="shared" si="260"/>
        <v/>
      </c>
      <c r="P1147" s="199" t="str">
        <f t="shared" si="261"/>
        <v/>
      </c>
      <c r="Q1147" s="199" t="str">
        <f>IF(B1147="","",IFERROR(IF('עלויות כח אדם (6)'!J1147&gt;=VLOOKUP(I1147,'סיווג התפקידים והעלויות'!$B$23:$C$32,2,0),"תקין","לא תקין"),""))</f>
        <v/>
      </c>
      <c r="R1147" s="199" t="str">
        <f t="shared" si="262"/>
        <v/>
      </c>
      <c r="S1147" s="199" t="str">
        <f t="shared" si="263"/>
        <v/>
      </c>
      <c r="T1147" s="199" t="str">
        <f t="shared" si="271"/>
        <v/>
      </c>
      <c r="U1147" s="199" t="str">
        <f t="shared" si="264"/>
        <v/>
      </c>
      <c r="V1147" s="989"/>
      <c r="X1147" s="374" t="str">
        <f t="shared" si="265"/>
        <v/>
      </c>
      <c r="Y1147" s="375" t="str">
        <f t="shared" si="266"/>
        <v/>
      </c>
      <c r="Z1147" s="374" t="str">
        <f t="shared" si="267"/>
        <v/>
      </c>
      <c r="AA1147" s="374" t="b">
        <f t="shared" si="268"/>
        <v>1</v>
      </c>
      <c r="AB1147" s="374">
        <f>COUNTIFS(B:B,B1147,H:H,'סיווג התפקידים והעלויות'!$C$2)</f>
        <v>0</v>
      </c>
      <c r="AC1147" s="374">
        <f>COUNTIFS(B:B,B1147,H:H,'סיווג התפקידים והעלויות'!$D$2)</f>
        <v>0</v>
      </c>
      <c r="AD1147" s="374" t="str">
        <f>IF(OR(AND(H1147='סיווג התפקידים והעלויות'!$A$2,I1147='סיווג התפקידים והעלויות'!$A$3),'עלויות כח אדם (6)'!H1147='סיווג התפקידים והעלויות'!$C$2,'עלויות כח אדם (6)'!H1147='סיווג התפקידים והעלויות'!$D$2),IF('עלויות כח אדם (6)'!J1147&lt;75,"לא תקין","תקין"),"")</f>
        <v/>
      </c>
      <c r="AE1147" s="374" t="str">
        <f t="shared" si="269"/>
        <v/>
      </c>
      <c r="AF1147" s="532" t="str">
        <f t="shared" si="270"/>
        <v/>
      </c>
    </row>
    <row r="1148" spans="2:32" x14ac:dyDescent="0.25">
      <c r="B1148" s="695"/>
      <c r="C1148" s="197" t="str">
        <f>IF(B1148&lt;&gt;"",IFERROR(VLOOKUP(B:B,'מצבת והרשמה (2)'!$C$20:$N$520,2,0)," ")," ")</f>
        <v xml:space="preserve"> </v>
      </c>
      <c r="D1148" s="695"/>
      <c r="E1148" s="696"/>
      <c r="F1148" s="696"/>
      <c r="G1148" s="696"/>
      <c r="H1148" s="696"/>
      <c r="I1148" s="1050" t="str">
        <f t="shared" si="257"/>
        <v/>
      </c>
      <c r="J1148" s="696"/>
      <c r="K1148" s="697"/>
      <c r="L1148" s="696"/>
      <c r="M1148" s="198" t="str">
        <f t="shared" si="258"/>
        <v/>
      </c>
      <c r="N1148" s="369" t="str">
        <f t="shared" si="259"/>
        <v/>
      </c>
      <c r="O1148" s="183" t="str">
        <f t="shared" si="260"/>
        <v/>
      </c>
      <c r="P1148" s="199" t="str">
        <f t="shared" si="261"/>
        <v/>
      </c>
      <c r="Q1148" s="199" t="str">
        <f>IF(B1148="","",IFERROR(IF('עלויות כח אדם (6)'!J1148&gt;=VLOOKUP(I1148,'סיווג התפקידים והעלויות'!$B$23:$C$32,2,0),"תקין","לא תקין"),""))</f>
        <v/>
      </c>
      <c r="R1148" s="199" t="str">
        <f t="shared" si="262"/>
        <v/>
      </c>
      <c r="S1148" s="199" t="str">
        <f t="shared" si="263"/>
        <v/>
      </c>
      <c r="T1148" s="199" t="str">
        <f t="shared" si="271"/>
        <v/>
      </c>
      <c r="U1148" s="199" t="str">
        <f t="shared" si="264"/>
        <v/>
      </c>
      <c r="V1148" s="989"/>
      <c r="X1148" s="374" t="str">
        <f t="shared" si="265"/>
        <v/>
      </c>
      <c r="Y1148" s="375" t="str">
        <f t="shared" si="266"/>
        <v/>
      </c>
      <c r="Z1148" s="374" t="str">
        <f t="shared" si="267"/>
        <v/>
      </c>
      <c r="AA1148" s="374" t="b">
        <f t="shared" si="268"/>
        <v>1</v>
      </c>
      <c r="AB1148" s="374">
        <f>COUNTIFS(B:B,B1148,H:H,'סיווג התפקידים והעלויות'!$C$2)</f>
        <v>0</v>
      </c>
      <c r="AC1148" s="374">
        <f>COUNTIFS(B:B,B1148,H:H,'סיווג התפקידים והעלויות'!$D$2)</f>
        <v>0</v>
      </c>
      <c r="AD1148" s="374" t="str">
        <f>IF(OR(AND(H1148='סיווג התפקידים והעלויות'!$A$2,I1148='סיווג התפקידים והעלויות'!$A$3),'עלויות כח אדם (6)'!H1148='סיווג התפקידים והעלויות'!$C$2,'עלויות כח אדם (6)'!H1148='סיווג התפקידים והעלויות'!$D$2),IF('עלויות כח אדם (6)'!J1148&lt;75,"לא תקין","תקין"),"")</f>
        <v/>
      </c>
      <c r="AE1148" s="374" t="str">
        <f t="shared" si="269"/>
        <v/>
      </c>
      <c r="AF1148" s="532" t="str">
        <f t="shared" si="270"/>
        <v/>
      </c>
    </row>
    <row r="1149" spans="2:32" x14ac:dyDescent="0.25">
      <c r="B1149" s="695"/>
      <c r="C1149" s="197" t="str">
        <f>IF(B1149&lt;&gt;"",IFERROR(VLOOKUP(B:B,'מצבת והרשמה (2)'!$C$20:$N$520,2,0)," ")," ")</f>
        <v xml:space="preserve"> </v>
      </c>
      <c r="D1149" s="695"/>
      <c r="E1149" s="696"/>
      <c r="F1149" s="696"/>
      <c r="G1149" s="696"/>
      <c r="H1149" s="696"/>
      <c r="I1149" s="1050" t="str">
        <f t="shared" si="257"/>
        <v/>
      </c>
      <c r="J1149" s="696"/>
      <c r="K1149" s="697"/>
      <c r="L1149" s="696"/>
      <c r="M1149" s="198" t="str">
        <f t="shared" si="258"/>
        <v/>
      </c>
      <c r="N1149" s="369" t="str">
        <f t="shared" si="259"/>
        <v/>
      </c>
      <c r="O1149" s="183" t="str">
        <f t="shared" si="260"/>
        <v/>
      </c>
      <c r="P1149" s="199" t="str">
        <f t="shared" si="261"/>
        <v/>
      </c>
      <c r="Q1149" s="199" t="str">
        <f>IF(B1149="","",IFERROR(IF('עלויות כח אדם (6)'!J1149&gt;=VLOOKUP(I1149,'סיווג התפקידים והעלויות'!$B$23:$C$32,2,0),"תקין","לא תקין"),""))</f>
        <v/>
      </c>
      <c r="R1149" s="199" t="str">
        <f t="shared" si="262"/>
        <v/>
      </c>
      <c r="S1149" s="199" t="str">
        <f t="shared" si="263"/>
        <v/>
      </c>
      <c r="T1149" s="199" t="str">
        <f t="shared" si="271"/>
        <v/>
      </c>
      <c r="U1149" s="199" t="str">
        <f t="shared" si="264"/>
        <v/>
      </c>
      <c r="V1149" s="989"/>
      <c r="X1149" s="374" t="str">
        <f t="shared" si="265"/>
        <v/>
      </c>
      <c r="Y1149" s="375" t="str">
        <f t="shared" si="266"/>
        <v/>
      </c>
      <c r="Z1149" s="374" t="str">
        <f t="shared" si="267"/>
        <v/>
      </c>
      <c r="AA1149" s="374" t="b">
        <f t="shared" si="268"/>
        <v>1</v>
      </c>
      <c r="AB1149" s="374">
        <f>COUNTIFS(B:B,B1149,H:H,'סיווג התפקידים והעלויות'!$C$2)</f>
        <v>0</v>
      </c>
      <c r="AC1149" s="374">
        <f>COUNTIFS(B:B,B1149,H:H,'סיווג התפקידים והעלויות'!$D$2)</f>
        <v>0</v>
      </c>
      <c r="AD1149" s="374" t="str">
        <f>IF(OR(AND(H1149='סיווג התפקידים והעלויות'!$A$2,I1149='סיווג התפקידים והעלויות'!$A$3),'עלויות כח אדם (6)'!H1149='סיווג התפקידים והעלויות'!$C$2,'עלויות כח אדם (6)'!H1149='סיווג התפקידים והעלויות'!$D$2),IF('עלויות כח אדם (6)'!J1149&lt;75,"לא תקין","תקין"),"")</f>
        <v/>
      </c>
      <c r="AE1149" s="374" t="str">
        <f t="shared" si="269"/>
        <v/>
      </c>
      <c r="AF1149" s="532" t="str">
        <f t="shared" si="270"/>
        <v/>
      </c>
    </row>
    <row r="1150" spans="2:32" x14ac:dyDescent="0.25">
      <c r="B1150" s="695"/>
      <c r="C1150" s="197" t="str">
        <f>IF(B1150&lt;&gt;"",IFERROR(VLOOKUP(B:B,'מצבת והרשמה (2)'!$C$20:$N$520,2,0)," ")," ")</f>
        <v xml:space="preserve"> </v>
      </c>
      <c r="D1150" s="695"/>
      <c r="E1150" s="696"/>
      <c r="F1150" s="696"/>
      <c r="G1150" s="696"/>
      <c r="H1150" s="696"/>
      <c r="I1150" s="1050" t="str">
        <f t="shared" si="257"/>
        <v/>
      </c>
      <c r="J1150" s="696"/>
      <c r="K1150" s="697"/>
      <c r="L1150" s="696"/>
      <c r="M1150" s="198" t="str">
        <f t="shared" si="258"/>
        <v/>
      </c>
      <c r="N1150" s="369" t="str">
        <f t="shared" si="259"/>
        <v/>
      </c>
      <c r="O1150" s="183" t="str">
        <f t="shared" si="260"/>
        <v/>
      </c>
      <c r="P1150" s="199" t="str">
        <f t="shared" si="261"/>
        <v/>
      </c>
      <c r="Q1150" s="199" t="str">
        <f>IF(B1150="","",IFERROR(IF('עלויות כח אדם (6)'!J1150&gt;=VLOOKUP(I1150,'סיווג התפקידים והעלויות'!$B$23:$C$32,2,0),"תקין","לא תקין"),""))</f>
        <v/>
      </c>
      <c r="R1150" s="199" t="str">
        <f t="shared" si="262"/>
        <v/>
      </c>
      <c r="S1150" s="199" t="str">
        <f t="shared" si="263"/>
        <v/>
      </c>
      <c r="T1150" s="199" t="str">
        <f t="shared" si="271"/>
        <v/>
      </c>
      <c r="U1150" s="199" t="str">
        <f t="shared" si="264"/>
        <v/>
      </c>
      <c r="V1150" s="989"/>
      <c r="X1150" s="374" t="str">
        <f t="shared" si="265"/>
        <v/>
      </c>
      <c r="Y1150" s="375" t="str">
        <f t="shared" si="266"/>
        <v/>
      </c>
      <c r="Z1150" s="374" t="str">
        <f t="shared" si="267"/>
        <v/>
      </c>
      <c r="AA1150" s="374" t="b">
        <f t="shared" si="268"/>
        <v>1</v>
      </c>
      <c r="AB1150" s="374">
        <f>COUNTIFS(B:B,B1150,H:H,'סיווג התפקידים והעלויות'!$C$2)</f>
        <v>0</v>
      </c>
      <c r="AC1150" s="374">
        <f>COUNTIFS(B:B,B1150,H:H,'סיווג התפקידים והעלויות'!$D$2)</f>
        <v>0</v>
      </c>
      <c r="AD1150" s="374" t="str">
        <f>IF(OR(AND(H1150='סיווג התפקידים והעלויות'!$A$2,I1150='סיווג התפקידים והעלויות'!$A$3),'עלויות כח אדם (6)'!H1150='סיווג התפקידים והעלויות'!$C$2,'עלויות כח אדם (6)'!H1150='סיווג התפקידים והעלויות'!$D$2),IF('עלויות כח אדם (6)'!J1150&lt;75,"לא תקין","תקין"),"")</f>
        <v/>
      </c>
      <c r="AE1150" s="374" t="str">
        <f t="shared" si="269"/>
        <v/>
      </c>
      <c r="AF1150" s="532" t="str">
        <f t="shared" si="270"/>
        <v/>
      </c>
    </row>
    <row r="1151" spans="2:32" x14ac:dyDescent="0.25">
      <c r="B1151" s="695"/>
      <c r="C1151" s="197" t="str">
        <f>IF(B1151&lt;&gt;"",IFERROR(VLOOKUP(B:B,'מצבת והרשמה (2)'!$C$20:$N$520,2,0)," ")," ")</f>
        <v xml:space="preserve"> </v>
      </c>
      <c r="D1151" s="695"/>
      <c r="E1151" s="696"/>
      <c r="F1151" s="696"/>
      <c r="G1151" s="696"/>
      <c r="H1151" s="696"/>
      <c r="I1151" s="1050" t="str">
        <f t="shared" si="257"/>
        <v/>
      </c>
      <c r="J1151" s="696"/>
      <c r="K1151" s="697"/>
      <c r="L1151" s="696"/>
      <c r="M1151" s="198" t="str">
        <f t="shared" si="258"/>
        <v/>
      </c>
      <c r="N1151" s="369" t="str">
        <f t="shared" si="259"/>
        <v/>
      </c>
      <c r="O1151" s="183" t="str">
        <f t="shared" si="260"/>
        <v/>
      </c>
      <c r="P1151" s="199" t="str">
        <f t="shared" si="261"/>
        <v/>
      </c>
      <c r="Q1151" s="199" t="str">
        <f>IF(B1151="","",IFERROR(IF('עלויות כח אדם (6)'!J1151&gt;=VLOOKUP(I1151,'סיווג התפקידים והעלויות'!$B$23:$C$32,2,0),"תקין","לא תקין"),""))</f>
        <v/>
      </c>
      <c r="R1151" s="199" t="str">
        <f t="shared" si="262"/>
        <v/>
      </c>
      <c r="S1151" s="199" t="str">
        <f t="shared" si="263"/>
        <v/>
      </c>
      <c r="T1151" s="199" t="str">
        <f t="shared" si="271"/>
        <v/>
      </c>
      <c r="U1151" s="199" t="str">
        <f t="shared" si="264"/>
        <v/>
      </c>
      <c r="V1151" s="989"/>
      <c r="X1151" s="374" t="str">
        <f t="shared" si="265"/>
        <v/>
      </c>
      <c r="Y1151" s="375" t="str">
        <f t="shared" si="266"/>
        <v/>
      </c>
      <c r="Z1151" s="374" t="str">
        <f t="shared" si="267"/>
        <v/>
      </c>
      <c r="AA1151" s="374" t="b">
        <f t="shared" si="268"/>
        <v>1</v>
      </c>
      <c r="AB1151" s="374">
        <f>COUNTIFS(B:B,B1151,H:H,'סיווג התפקידים והעלויות'!$C$2)</f>
        <v>0</v>
      </c>
      <c r="AC1151" s="374">
        <f>COUNTIFS(B:B,B1151,H:H,'סיווג התפקידים והעלויות'!$D$2)</f>
        <v>0</v>
      </c>
      <c r="AD1151" s="374" t="str">
        <f>IF(OR(AND(H1151='סיווג התפקידים והעלויות'!$A$2,I1151='סיווג התפקידים והעלויות'!$A$3),'עלויות כח אדם (6)'!H1151='סיווג התפקידים והעלויות'!$C$2,'עלויות כח אדם (6)'!H1151='סיווג התפקידים והעלויות'!$D$2),IF('עלויות כח אדם (6)'!J1151&lt;75,"לא תקין","תקין"),"")</f>
        <v/>
      </c>
      <c r="AE1151" s="374" t="str">
        <f t="shared" si="269"/>
        <v/>
      </c>
      <c r="AF1151" s="532" t="str">
        <f t="shared" si="270"/>
        <v/>
      </c>
    </row>
    <row r="1152" spans="2:32" x14ac:dyDescent="0.25">
      <c r="B1152" s="695"/>
      <c r="C1152" s="197" t="str">
        <f>IF(B1152&lt;&gt;"",IFERROR(VLOOKUP(B:B,'מצבת והרשמה (2)'!$C$20:$N$520,2,0)," ")," ")</f>
        <v xml:space="preserve"> </v>
      </c>
      <c r="D1152" s="695"/>
      <c r="E1152" s="696"/>
      <c r="F1152" s="696"/>
      <c r="G1152" s="696"/>
      <c r="H1152" s="696"/>
      <c r="I1152" s="1050" t="str">
        <f t="shared" si="257"/>
        <v/>
      </c>
      <c r="J1152" s="696"/>
      <c r="K1152" s="697"/>
      <c r="L1152" s="696"/>
      <c r="M1152" s="198" t="str">
        <f t="shared" si="258"/>
        <v/>
      </c>
      <c r="N1152" s="369" t="str">
        <f t="shared" si="259"/>
        <v/>
      </c>
      <c r="O1152" s="183" t="str">
        <f t="shared" si="260"/>
        <v/>
      </c>
      <c r="P1152" s="199" t="str">
        <f t="shared" si="261"/>
        <v/>
      </c>
      <c r="Q1152" s="199" t="str">
        <f>IF(B1152="","",IFERROR(IF('עלויות כח אדם (6)'!J1152&gt;=VLOOKUP(I1152,'סיווג התפקידים והעלויות'!$B$23:$C$32,2,0),"תקין","לא תקין"),""))</f>
        <v/>
      </c>
      <c r="R1152" s="199" t="str">
        <f t="shared" si="262"/>
        <v/>
      </c>
      <c r="S1152" s="199" t="str">
        <f t="shared" si="263"/>
        <v/>
      </c>
      <c r="T1152" s="199" t="str">
        <f t="shared" si="271"/>
        <v/>
      </c>
      <c r="U1152" s="199" t="str">
        <f t="shared" si="264"/>
        <v/>
      </c>
      <c r="V1152" s="989"/>
      <c r="X1152" s="374" t="str">
        <f t="shared" si="265"/>
        <v/>
      </c>
      <c r="Y1152" s="375" t="str">
        <f t="shared" si="266"/>
        <v/>
      </c>
      <c r="Z1152" s="374" t="str">
        <f t="shared" si="267"/>
        <v/>
      </c>
      <c r="AA1152" s="374" t="b">
        <f t="shared" si="268"/>
        <v>1</v>
      </c>
      <c r="AB1152" s="374">
        <f>COUNTIFS(B:B,B1152,H:H,'סיווג התפקידים והעלויות'!$C$2)</f>
        <v>0</v>
      </c>
      <c r="AC1152" s="374">
        <f>COUNTIFS(B:B,B1152,H:H,'סיווג התפקידים והעלויות'!$D$2)</f>
        <v>0</v>
      </c>
      <c r="AD1152" s="374" t="str">
        <f>IF(OR(AND(H1152='סיווג התפקידים והעלויות'!$A$2,I1152='סיווג התפקידים והעלויות'!$A$3),'עלויות כח אדם (6)'!H1152='סיווג התפקידים והעלויות'!$C$2,'עלויות כח אדם (6)'!H1152='סיווג התפקידים והעלויות'!$D$2),IF('עלויות כח אדם (6)'!J1152&lt;75,"לא תקין","תקין"),"")</f>
        <v/>
      </c>
      <c r="AE1152" s="374" t="str">
        <f t="shared" si="269"/>
        <v/>
      </c>
      <c r="AF1152" s="532" t="str">
        <f t="shared" si="270"/>
        <v/>
      </c>
    </row>
    <row r="1153" spans="2:32" x14ac:dyDescent="0.25">
      <c r="B1153" s="695"/>
      <c r="C1153" s="197" t="str">
        <f>IF(B1153&lt;&gt;"",IFERROR(VLOOKUP(B:B,'מצבת והרשמה (2)'!$C$20:$N$520,2,0)," ")," ")</f>
        <v xml:space="preserve"> </v>
      </c>
      <c r="D1153" s="695"/>
      <c r="E1153" s="696"/>
      <c r="F1153" s="696"/>
      <c r="G1153" s="696"/>
      <c r="H1153" s="696"/>
      <c r="I1153" s="1050" t="str">
        <f t="shared" si="257"/>
        <v/>
      </c>
      <c r="J1153" s="696"/>
      <c r="K1153" s="697"/>
      <c r="L1153" s="696"/>
      <c r="M1153" s="198" t="str">
        <f t="shared" si="258"/>
        <v/>
      </c>
      <c r="N1153" s="369" t="str">
        <f t="shared" si="259"/>
        <v/>
      </c>
      <c r="O1153" s="183" t="str">
        <f t="shared" si="260"/>
        <v/>
      </c>
      <c r="P1153" s="199" t="str">
        <f t="shared" si="261"/>
        <v/>
      </c>
      <c r="Q1153" s="199" t="str">
        <f>IF(B1153="","",IFERROR(IF('עלויות כח אדם (6)'!J1153&gt;=VLOOKUP(I1153,'סיווג התפקידים והעלויות'!$B$23:$C$32,2,0),"תקין","לא תקין"),""))</f>
        <v/>
      </c>
      <c r="R1153" s="199" t="str">
        <f t="shared" si="262"/>
        <v/>
      </c>
      <c r="S1153" s="199" t="str">
        <f t="shared" si="263"/>
        <v/>
      </c>
      <c r="T1153" s="199" t="str">
        <f t="shared" si="271"/>
        <v/>
      </c>
      <c r="U1153" s="199" t="str">
        <f t="shared" si="264"/>
        <v/>
      </c>
      <c r="V1153" s="989"/>
      <c r="X1153" s="374" t="str">
        <f t="shared" si="265"/>
        <v/>
      </c>
      <c r="Y1153" s="375" t="str">
        <f t="shared" si="266"/>
        <v/>
      </c>
      <c r="Z1153" s="374" t="str">
        <f t="shared" si="267"/>
        <v/>
      </c>
      <c r="AA1153" s="374" t="b">
        <f t="shared" si="268"/>
        <v>1</v>
      </c>
      <c r="AB1153" s="374">
        <f>COUNTIFS(B:B,B1153,H:H,'סיווג התפקידים והעלויות'!$C$2)</f>
        <v>0</v>
      </c>
      <c r="AC1153" s="374">
        <f>COUNTIFS(B:B,B1153,H:H,'סיווג התפקידים והעלויות'!$D$2)</f>
        <v>0</v>
      </c>
      <c r="AD1153" s="374" t="str">
        <f>IF(OR(AND(H1153='סיווג התפקידים והעלויות'!$A$2,I1153='סיווג התפקידים והעלויות'!$A$3),'עלויות כח אדם (6)'!H1153='סיווג התפקידים והעלויות'!$C$2,'עלויות כח אדם (6)'!H1153='סיווג התפקידים והעלויות'!$D$2),IF('עלויות כח אדם (6)'!J1153&lt;75,"לא תקין","תקין"),"")</f>
        <v/>
      </c>
      <c r="AE1153" s="374" t="str">
        <f t="shared" si="269"/>
        <v/>
      </c>
      <c r="AF1153" s="532" t="str">
        <f t="shared" si="270"/>
        <v/>
      </c>
    </row>
    <row r="1154" spans="2:32" x14ac:dyDescent="0.25">
      <c r="B1154" s="695"/>
      <c r="C1154" s="197" t="str">
        <f>IF(B1154&lt;&gt;"",IFERROR(VLOOKUP(B:B,'מצבת והרשמה (2)'!$C$20:$N$520,2,0)," ")," ")</f>
        <v xml:space="preserve"> </v>
      </c>
      <c r="D1154" s="695"/>
      <c r="E1154" s="696"/>
      <c r="F1154" s="696"/>
      <c r="G1154" s="696"/>
      <c r="H1154" s="696"/>
      <c r="I1154" s="1050" t="str">
        <f t="shared" si="257"/>
        <v/>
      </c>
      <c r="J1154" s="696"/>
      <c r="K1154" s="697"/>
      <c r="L1154" s="696"/>
      <c r="M1154" s="198" t="str">
        <f t="shared" si="258"/>
        <v/>
      </c>
      <c r="N1154" s="369" t="str">
        <f t="shared" si="259"/>
        <v/>
      </c>
      <c r="O1154" s="183" t="str">
        <f t="shared" si="260"/>
        <v/>
      </c>
      <c r="P1154" s="199" t="str">
        <f t="shared" si="261"/>
        <v/>
      </c>
      <c r="Q1154" s="199" t="str">
        <f>IF(B1154="","",IFERROR(IF('עלויות כח אדם (6)'!J1154&gt;=VLOOKUP(I1154,'סיווג התפקידים והעלויות'!$B$23:$C$32,2,0),"תקין","לא תקין"),""))</f>
        <v/>
      </c>
      <c r="R1154" s="199" t="str">
        <f t="shared" si="262"/>
        <v/>
      </c>
      <c r="S1154" s="199" t="str">
        <f t="shared" si="263"/>
        <v/>
      </c>
      <c r="T1154" s="199" t="str">
        <f t="shared" si="271"/>
        <v/>
      </c>
      <c r="U1154" s="199" t="str">
        <f t="shared" si="264"/>
        <v/>
      </c>
      <c r="V1154" s="989"/>
      <c r="X1154" s="374" t="str">
        <f t="shared" si="265"/>
        <v/>
      </c>
      <c r="Y1154" s="375" t="str">
        <f t="shared" si="266"/>
        <v/>
      </c>
      <c r="Z1154" s="374" t="str">
        <f t="shared" si="267"/>
        <v/>
      </c>
      <c r="AA1154" s="374" t="b">
        <f t="shared" si="268"/>
        <v>1</v>
      </c>
      <c r="AB1154" s="374">
        <f>COUNTIFS(B:B,B1154,H:H,'סיווג התפקידים והעלויות'!$C$2)</f>
        <v>0</v>
      </c>
      <c r="AC1154" s="374">
        <f>COUNTIFS(B:B,B1154,H:H,'סיווג התפקידים והעלויות'!$D$2)</f>
        <v>0</v>
      </c>
      <c r="AD1154" s="374" t="str">
        <f>IF(OR(AND(H1154='סיווג התפקידים והעלויות'!$A$2,I1154='סיווג התפקידים והעלויות'!$A$3),'עלויות כח אדם (6)'!H1154='סיווג התפקידים והעלויות'!$C$2,'עלויות כח אדם (6)'!H1154='סיווג התפקידים והעלויות'!$D$2),IF('עלויות כח אדם (6)'!J1154&lt;75,"לא תקין","תקין"),"")</f>
        <v/>
      </c>
      <c r="AE1154" s="374" t="str">
        <f t="shared" si="269"/>
        <v/>
      </c>
      <c r="AF1154" s="532" t="str">
        <f t="shared" si="270"/>
        <v/>
      </c>
    </row>
    <row r="1155" spans="2:32" x14ac:dyDescent="0.25">
      <c r="B1155" s="695"/>
      <c r="C1155" s="197" t="str">
        <f>IF(B1155&lt;&gt;"",IFERROR(VLOOKUP(B:B,'מצבת והרשמה (2)'!$C$20:$N$520,2,0)," ")," ")</f>
        <v xml:space="preserve"> </v>
      </c>
      <c r="D1155" s="695"/>
      <c r="E1155" s="696"/>
      <c r="F1155" s="696"/>
      <c r="G1155" s="696"/>
      <c r="H1155" s="696"/>
      <c r="I1155" s="1050" t="str">
        <f t="shared" si="257"/>
        <v/>
      </c>
      <c r="J1155" s="696"/>
      <c r="K1155" s="697"/>
      <c r="L1155" s="696"/>
      <c r="M1155" s="198" t="str">
        <f t="shared" si="258"/>
        <v/>
      </c>
      <c r="N1155" s="369" t="str">
        <f t="shared" si="259"/>
        <v/>
      </c>
      <c r="O1155" s="183" t="str">
        <f t="shared" si="260"/>
        <v/>
      </c>
      <c r="P1155" s="199" t="str">
        <f t="shared" si="261"/>
        <v/>
      </c>
      <c r="Q1155" s="199" t="str">
        <f>IF(B1155="","",IFERROR(IF('עלויות כח אדם (6)'!J1155&gt;=VLOOKUP(I1155,'סיווג התפקידים והעלויות'!$B$23:$C$32,2,0),"תקין","לא תקין"),""))</f>
        <v/>
      </c>
      <c r="R1155" s="199" t="str">
        <f t="shared" si="262"/>
        <v/>
      </c>
      <c r="S1155" s="199" t="str">
        <f t="shared" si="263"/>
        <v/>
      </c>
      <c r="T1155" s="199" t="str">
        <f t="shared" si="271"/>
        <v/>
      </c>
      <c r="U1155" s="199" t="str">
        <f t="shared" si="264"/>
        <v/>
      </c>
      <c r="V1155" s="989"/>
      <c r="X1155" s="374" t="str">
        <f t="shared" si="265"/>
        <v/>
      </c>
      <c r="Y1155" s="375" t="str">
        <f t="shared" si="266"/>
        <v/>
      </c>
      <c r="Z1155" s="374" t="str">
        <f t="shared" si="267"/>
        <v/>
      </c>
      <c r="AA1155" s="374" t="b">
        <f t="shared" si="268"/>
        <v>1</v>
      </c>
      <c r="AB1155" s="374">
        <f>COUNTIFS(B:B,B1155,H:H,'סיווג התפקידים והעלויות'!$C$2)</f>
        <v>0</v>
      </c>
      <c r="AC1155" s="374">
        <f>COUNTIFS(B:B,B1155,H:H,'סיווג התפקידים והעלויות'!$D$2)</f>
        <v>0</v>
      </c>
      <c r="AD1155" s="374" t="str">
        <f>IF(OR(AND(H1155='סיווג התפקידים והעלויות'!$A$2,I1155='סיווג התפקידים והעלויות'!$A$3),'עלויות כח אדם (6)'!H1155='סיווג התפקידים והעלויות'!$C$2,'עלויות כח אדם (6)'!H1155='סיווג התפקידים והעלויות'!$D$2),IF('עלויות כח אדם (6)'!J1155&lt;75,"לא תקין","תקין"),"")</f>
        <v/>
      </c>
      <c r="AE1155" s="374" t="str">
        <f t="shared" si="269"/>
        <v/>
      </c>
      <c r="AF1155" s="532" t="str">
        <f t="shared" si="270"/>
        <v/>
      </c>
    </row>
    <row r="1156" spans="2:32" x14ac:dyDescent="0.25">
      <c r="B1156" s="695"/>
      <c r="C1156" s="197" t="str">
        <f>IF(B1156&lt;&gt;"",IFERROR(VLOOKUP(B:B,'מצבת והרשמה (2)'!$C$20:$N$520,2,0)," ")," ")</f>
        <v xml:space="preserve"> </v>
      </c>
      <c r="D1156" s="695"/>
      <c r="E1156" s="696"/>
      <c r="F1156" s="696"/>
      <c r="G1156" s="696"/>
      <c r="H1156" s="696"/>
      <c r="I1156" s="1050" t="str">
        <f t="shared" si="257"/>
        <v/>
      </c>
      <c r="J1156" s="696"/>
      <c r="K1156" s="697"/>
      <c r="L1156" s="696"/>
      <c r="M1156" s="198" t="str">
        <f t="shared" si="258"/>
        <v/>
      </c>
      <c r="N1156" s="369" t="str">
        <f t="shared" si="259"/>
        <v/>
      </c>
      <c r="O1156" s="183" t="str">
        <f t="shared" si="260"/>
        <v/>
      </c>
      <c r="P1156" s="199" t="str">
        <f t="shared" si="261"/>
        <v/>
      </c>
      <c r="Q1156" s="199" t="str">
        <f>IF(B1156="","",IFERROR(IF('עלויות כח אדם (6)'!J1156&gt;=VLOOKUP(I1156,'סיווג התפקידים והעלויות'!$B$23:$C$32,2,0),"תקין","לא תקין"),""))</f>
        <v/>
      </c>
      <c r="R1156" s="199" t="str">
        <f t="shared" si="262"/>
        <v/>
      </c>
      <c r="S1156" s="199" t="str">
        <f t="shared" si="263"/>
        <v/>
      </c>
      <c r="T1156" s="199" t="str">
        <f t="shared" si="271"/>
        <v/>
      </c>
      <c r="U1156" s="199" t="str">
        <f t="shared" si="264"/>
        <v/>
      </c>
      <c r="V1156" s="989"/>
      <c r="X1156" s="374" t="str">
        <f t="shared" si="265"/>
        <v/>
      </c>
      <c r="Y1156" s="375" t="str">
        <f t="shared" si="266"/>
        <v/>
      </c>
      <c r="Z1156" s="374" t="str">
        <f t="shared" si="267"/>
        <v/>
      </c>
      <c r="AA1156" s="374" t="b">
        <f t="shared" si="268"/>
        <v>1</v>
      </c>
      <c r="AB1156" s="374">
        <f>COUNTIFS(B:B,B1156,H:H,'סיווג התפקידים והעלויות'!$C$2)</f>
        <v>0</v>
      </c>
      <c r="AC1156" s="374">
        <f>COUNTIFS(B:B,B1156,H:H,'סיווג התפקידים והעלויות'!$D$2)</f>
        <v>0</v>
      </c>
      <c r="AD1156" s="374" t="str">
        <f>IF(OR(AND(H1156='סיווג התפקידים והעלויות'!$A$2,I1156='סיווג התפקידים והעלויות'!$A$3),'עלויות כח אדם (6)'!H1156='סיווג התפקידים והעלויות'!$C$2,'עלויות כח אדם (6)'!H1156='סיווג התפקידים והעלויות'!$D$2),IF('עלויות כח אדם (6)'!J1156&lt;75,"לא תקין","תקין"),"")</f>
        <v/>
      </c>
      <c r="AE1156" s="374" t="str">
        <f t="shared" si="269"/>
        <v/>
      </c>
      <c r="AF1156" s="532" t="str">
        <f t="shared" si="270"/>
        <v/>
      </c>
    </row>
    <row r="1157" spans="2:32" x14ac:dyDescent="0.25">
      <c r="B1157" s="695"/>
      <c r="C1157" s="197" t="str">
        <f>IF(B1157&lt;&gt;"",IFERROR(VLOOKUP(B:B,'מצבת והרשמה (2)'!$C$20:$N$520,2,0)," ")," ")</f>
        <v xml:space="preserve"> </v>
      </c>
      <c r="D1157" s="695"/>
      <c r="E1157" s="696"/>
      <c r="F1157" s="696"/>
      <c r="G1157" s="696"/>
      <c r="H1157" s="696"/>
      <c r="I1157" s="1050" t="str">
        <f t="shared" si="257"/>
        <v/>
      </c>
      <c r="J1157" s="696"/>
      <c r="K1157" s="697"/>
      <c r="L1157" s="696"/>
      <c r="M1157" s="198" t="str">
        <f t="shared" si="258"/>
        <v/>
      </c>
      <c r="N1157" s="369" t="str">
        <f t="shared" si="259"/>
        <v/>
      </c>
      <c r="O1157" s="183" t="str">
        <f t="shared" si="260"/>
        <v/>
      </c>
      <c r="P1157" s="199" t="str">
        <f t="shared" si="261"/>
        <v/>
      </c>
      <c r="Q1157" s="199" t="str">
        <f>IF(B1157="","",IFERROR(IF('עלויות כח אדם (6)'!J1157&gt;=VLOOKUP(I1157,'סיווג התפקידים והעלויות'!$B$23:$C$32,2,0),"תקין","לא תקין"),""))</f>
        <v/>
      </c>
      <c r="R1157" s="199" t="str">
        <f t="shared" si="262"/>
        <v/>
      </c>
      <c r="S1157" s="199" t="str">
        <f t="shared" si="263"/>
        <v/>
      </c>
      <c r="T1157" s="199" t="str">
        <f t="shared" si="271"/>
        <v/>
      </c>
      <c r="U1157" s="199" t="str">
        <f t="shared" si="264"/>
        <v/>
      </c>
      <c r="V1157" s="989"/>
      <c r="X1157" s="374" t="str">
        <f t="shared" si="265"/>
        <v/>
      </c>
      <c r="Y1157" s="375" t="str">
        <f t="shared" si="266"/>
        <v/>
      </c>
      <c r="Z1157" s="374" t="str">
        <f t="shared" si="267"/>
        <v/>
      </c>
      <c r="AA1157" s="374" t="b">
        <f t="shared" si="268"/>
        <v>1</v>
      </c>
      <c r="AB1157" s="374">
        <f>COUNTIFS(B:B,B1157,H:H,'סיווג התפקידים והעלויות'!$C$2)</f>
        <v>0</v>
      </c>
      <c r="AC1157" s="374">
        <f>COUNTIFS(B:B,B1157,H:H,'סיווג התפקידים והעלויות'!$D$2)</f>
        <v>0</v>
      </c>
      <c r="AD1157" s="374" t="str">
        <f>IF(OR(AND(H1157='סיווג התפקידים והעלויות'!$A$2,I1157='סיווג התפקידים והעלויות'!$A$3),'עלויות כח אדם (6)'!H1157='סיווג התפקידים והעלויות'!$C$2,'עלויות כח אדם (6)'!H1157='סיווג התפקידים והעלויות'!$D$2),IF('עלויות כח אדם (6)'!J1157&lt;75,"לא תקין","תקין"),"")</f>
        <v/>
      </c>
      <c r="AE1157" s="374" t="str">
        <f t="shared" si="269"/>
        <v/>
      </c>
      <c r="AF1157" s="532" t="str">
        <f t="shared" si="270"/>
        <v/>
      </c>
    </row>
    <row r="1158" spans="2:32" x14ac:dyDescent="0.25">
      <c r="B1158" s="695"/>
      <c r="C1158" s="197" t="str">
        <f>IF(B1158&lt;&gt;"",IFERROR(VLOOKUP(B:B,'מצבת והרשמה (2)'!$C$20:$N$520,2,0)," ")," ")</f>
        <v xml:space="preserve"> </v>
      </c>
      <c r="D1158" s="695"/>
      <c r="E1158" s="696"/>
      <c r="F1158" s="696"/>
      <c r="G1158" s="696"/>
      <c r="H1158" s="696"/>
      <c r="I1158" s="1050" t="str">
        <f t="shared" si="257"/>
        <v/>
      </c>
      <c r="J1158" s="696"/>
      <c r="K1158" s="697"/>
      <c r="L1158" s="696"/>
      <c r="M1158" s="198" t="str">
        <f t="shared" si="258"/>
        <v/>
      </c>
      <c r="N1158" s="369" t="str">
        <f t="shared" si="259"/>
        <v/>
      </c>
      <c r="O1158" s="183" t="str">
        <f t="shared" si="260"/>
        <v/>
      </c>
      <c r="P1158" s="199" t="str">
        <f t="shared" si="261"/>
        <v/>
      </c>
      <c r="Q1158" s="199" t="str">
        <f>IF(B1158="","",IFERROR(IF('עלויות כח אדם (6)'!J1158&gt;=VLOOKUP(I1158,'סיווג התפקידים והעלויות'!$B$23:$C$32,2,0),"תקין","לא תקין"),""))</f>
        <v/>
      </c>
      <c r="R1158" s="199" t="str">
        <f t="shared" si="262"/>
        <v/>
      </c>
      <c r="S1158" s="199" t="str">
        <f t="shared" si="263"/>
        <v/>
      </c>
      <c r="T1158" s="199" t="str">
        <f t="shared" si="271"/>
        <v/>
      </c>
      <c r="U1158" s="199" t="str">
        <f t="shared" si="264"/>
        <v/>
      </c>
      <c r="V1158" s="989"/>
      <c r="X1158" s="374" t="str">
        <f t="shared" si="265"/>
        <v/>
      </c>
      <c r="Y1158" s="375" t="str">
        <f t="shared" si="266"/>
        <v/>
      </c>
      <c r="Z1158" s="374" t="str">
        <f t="shared" si="267"/>
        <v/>
      </c>
      <c r="AA1158" s="374" t="b">
        <f t="shared" si="268"/>
        <v>1</v>
      </c>
      <c r="AB1158" s="374">
        <f>COUNTIFS(B:B,B1158,H:H,'סיווג התפקידים והעלויות'!$C$2)</f>
        <v>0</v>
      </c>
      <c r="AC1158" s="374">
        <f>COUNTIFS(B:B,B1158,H:H,'סיווג התפקידים והעלויות'!$D$2)</f>
        <v>0</v>
      </c>
      <c r="AD1158" s="374" t="str">
        <f>IF(OR(AND(H1158='סיווג התפקידים והעלויות'!$A$2,I1158='סיווג התפקידים והעלויות'!$A$3),'עלויות כח אדם (6)'!H1158='סיווג התפקידים והעלויות'!$C$2,'עלויות כח אדם (6)'!H1158='סיווג התפקידים והעלויות'!$D$2),IF('עלויות כח אדם (6)'!J1158&lt;75,"לא תקין","תקין"),"")</f>
        <v/>
      </c>
      <c r="AE1158" s="374" t="str">
        <f t="shared" si="269"/>
        <v/>
      </c>
      <c r="AF1158" s="532" t="str">
        <f t="shared" si="270"/>
        <v/>
      </c>
    </row>
    <row r="1159" spans="2:32" x14ac:dyDescent="0.25">
      <c r="B1159" s="695"/>
      <c r="C1159" s="197" t="str">
        <f>IF(B1159&lt;&gt;"",IFERROR(VLOOKUP(B:B,'מצבת והרשמה (2)'!$C$20:$N$520,2,0)," ")," ")</f>
        <v xml:space="preserve"> </v>
      </c>
      <c r="D1159" s="695"/>
      <c r="E1159" s="696"/>
      <c r="F1159" s="696"/>
      <c r="G1159" s="696"/>
      <c r="H1159" s="696"/>
      <c r="I1159" s="1050" t="str">
        <f t="shared" si="257"/>
        <v/>
      </c>
      <c r="J1159" s="696"/>
      <c r="K1159" s="697"/>
      <c r="L1159" s="696"/>
      <c r="M1159" s="198" t="str">
        <f t="shared" si="258"/>
        <v/>
      </c>
      <c r="N1159" s="369" t="str">
        <f t="shared" si="259"/>
        <v/>
      </c>
      <c r="O1159" s="183" t="str">
        <f t="shared" si="260"/>
        <v/>
      </c>
      <c r="P1159" s="199" t="str">
        <f t="shared" si="261"/>
        <v/>
      </c>
      <c r="Q1159" s="199" t="str">
        <f>IF(B1159="","",IFERROR(IF('עלויות כח אדם (6)'!J1159&gt;=VLOOKUP(I1159,'סיווג התפקידים והעלויות'!$B$23:$C$32,2,0),"תקין","לא תקין"),""))</f>
        <v/>
      </c>
      <c r="R1159" s="199" t="str">
        <f t="shared" si="262"/>
        <v/>
      </c>
      <c r="S1159" s="199" t="str">
        <f t="shared" si="263"/>
        <v/>
      </c>
      <c r="T1159" s="199" t="str">
        <f t="shared" si="271"/>
        <v/>
      </c>
      <c r="U1159" s="199" t="str">
        <f t="shared" si="264"/>
        <v/>
      </c>
      <c r="V1159" s="989"/>
      <c r="X1159" s="374" t="str">
        <f t="shared" si="265"/>
        <v/>
      </c>
      <c r="Y1159" s="375" t="str">
        <f t="shared" si="266"/>
        <v/>
      </c>
      <c r="Z1159" s="374" t="str">
        <f t="shared" si="267"/>
        <v/>
      </c>
      <c r="AA1159" s="374" t="b">
        <f t="shared" si="268"/>
        <v>1</v>
      </c>
      <c r="AB1159" s="374">
        <f>COUNTIFS(B:B,B1159,H:H,'סיווג התפקידים והעלויות'!$C$2)</f>
        <v>0</v>
      </c>
      <c r="AC1159" s="374">
        <f>COUNTIFS(B:B,B1159,H:H,'סיווג התפקידים והעלויות'!$D$2)</f>
        <v>0</v>
      </c>
      <c r="AD1159" s="374" t="str">
        <f>IF(OR(AND(H1159='סיווג התפקידים והעלויות'!$A$2,I1159='סיווג התפקידים והעלויות'!$A$3),'עלויות כח אדם (6)'!H1159='סיווג התפקידים והעלויות'!$C$2,'עלויות כח אדם (6)'!H1159='סיווג התפקידים והעלויות'!$D$2),IF('עלויות כח אדם (6)'!J1159&lt;75,"לא תקין","תקין"),"")</f>
        <v/>
      </c>
      <c r="AE1159" s="374" t="str">
        <f t="shared" si="269"/>
        <v/>
      </c>
      <c r="AF1159" s="532" t="str">
        <f t="shared" si="270"/>
        <v/>
      </c>
    </row>
    <row r="1160" spans="2:32" x14ac:dyDescent="0.25">
      <c r="B1160" s="695"/>
      <c r="C1160" s="197" t="str">
        <f>IF(B1160&lt;&gt;"",IFERROR(VLOOKUP(B:B,'מצבת והרשמה (2)'!$C$20:$N$520,2,0)," ")," ")</f>
        <v xml:space="preserve"> </v>
      </c>
      <c r="D1160" s="695"/>
      <c r="E1160" s="696"/>
      <c r="F1160" s="696"/>
      <c r="G1160" s="696"/>
      <c r="H1160" s="696"/>
      <c r="I1160" s="1050" t="str">
        <f t="shared" si="257"/>
        <v/>
      </c>
      <c r="J1160" s="696"/>
      <c r="K1160" s="697"/>
      <c r="L1160" s="696"/>
      <c r="M1160" s="198" t="str">
        <f t="shared" si="258"/>
        <v/>
      </c>
      <c r="N1160" s="369" t="str">
        <f t="shared" si="259"/>
        <v/>
      </c>
      <c r="O1160" s="183" t="str">
        <f t="shared" si="260"/>
        <v/>
      </c>
      <c r="P1160" s="199" t="str">
        <f t="shared" si="261"/>
        <v/>
      </c>
      <c r="Q1160" s="199" t="str">
        <f>IF(B1160="","",IFERROR(IF('עלויות כח אדם (6)'!J1160&gt;=VLOOKUP(I1160,'סיווג התפקידים והעלויות'!$B$23:$C$32,2,0),"תקין","לא תקין"),""))</f>
        <v/>
      </c>
      <c r="R1160" s="199" t="str">
        <f t="shared" si="262"/>
        <v/>
      </c>
      <c r="S1160" s="199" t="str">
        <f t="shared" si="263"/>
        <v/>
      </c>
      <c r="T1160" s="199" t="str">
        <f t="shared" si="271"/>
        <v/>
      </c>
      <c r="U1160" s="199" t="str">
        <f t="shared" si="264"/>
        <v/>
      </c>
      <c r="V1160" s="989"/>
      <c r="X1160" s="374" t="str">
        <f t="shared" si="265"/>
        <v/>
      </c>
      <c r="Y1160" s="375" t="str">
        <f t="shared" si="266"/>
        <v/>
      </c>
      <c r="Z1160" s="374" t="str">
        <f t="shared" si="267"/>
        <v/>
      </c>
      <c r="AA1160" s="374" t="b">
        <f t="shared" si="268"/>
        <v>1</v>
      </c>
      <c r="AB1160" s="374">
        <f>COUNTIFS(B:B,B1160,H:H,'סיווג התפקידים והעלויות'!$C$2)</f>
        <v>0</v>
      </c>
      <c r="AC1160" s="374">
        <f>COUNTIFS(B:B,B1160,H:H,'סיווג התפקידים והעלויות'!$D$2)</f>
        <v>0</v>
      </c>
      <c r="AD1160" s="374" t="str">
        <f>IF(OR(AND(H1160='סיווג התפקידים והעלויות'!$A$2,I1160='סיווג התפקידים והעלויות'!$A$3),'עלויות כח אדם (6)'!H1160='סיווג התפקידים והעלויות'!$C$2,'עלויות כח אדם (6)'!H1160='סיווג התפקידים והעלויות'!$D$2),IF('עלויות כח אדם (6)'!J1160&lt;75,"לא תקין","תקין"),"")</f>
        <v/>
      </c>
      <c r="AE1160" s="374" t="str">
        <f t="shared" si="269"/>
        <v/>
      </c>
      <c r="AF1160" s="532" t="str">
        <f t="shared" si="270"/>
        <v/>
      </c>
    </row>
    <row r="1161" spans="2:32" x14ac:dyDescent="0.25">
      <c r="B1161" s="695"/>
      <c r="C1161" s="197" t="str">
        <f>IF(B1161&lt;&gt;"",IFERROR(VLOOKUP(B:B,'מצבת והרשמה (2)'!$C$20:$N$520,2,0)," ")," ")</f>
        <v xml:space="preserve"> </v>
      </c>
      <c r="D1161" s="695"/>
      <c r="E1161" s="696"/>
      <c r="F1161" s="696"/>
      <c r="G1161" s="696"/>
      <c r="H1161" s="696"/>
      <c r="I1161" s="1050" t="str">
        <f t="shared" si="257"/>
        <v/>
      </c>
      <c r="J1161" s="696"/>
      <c r="K1161" s="697"/>
      <c r="L1161" s="696"/>
      <c r="M1161" s="198" t="str">
        <f t="shared" si="258"/>
        <v/>
      </c>
      <c r="N1161" s="369" t="str">
        <f t="shared" si="259"/>
        <v/>
      </c>
      <c r="O1161" s="183" t="str">
        <f t="shared" si="260"/>
        <v/>
      </c>
      <c r="P1161" s="199" t="str">
        <f t="shared" si="261"/>
        <v/>
      </c>
      <c r="Q1161" s="199" t="str">
        <f>IF(B1161="","",IFERROR(IF('עלויות כח אדם (6)'!J1161&gt;=VLOOKUP(I1161,'סיווג התפקידים והעלויות'!$B$23:$C$32,2,0),"תקין","לא תקין"),""))</f>
        <v/>
      </c>
      <c r="R1161" s="199" t="str">
        <f t="shared" si="262"/>
        <v/>
      </c>
      <c r="S1161" s="199" t="str">
        <f t="shared" si="263"/>
        <v/>
      </c>
      <c r="T1161" s="199" t="str">
        <f t="shared" si="271"/>
        <v/>
      </c>
      <c r="U1161" s="199" t="str">
        <f t="shared" si="264"/>
        <v/>
      </c>
      <c r="V1161" s="989"/>
      <c r="X1161" s="374" t="str">
        <f t="shared" si="265"/>
        <v/>
      </c>
      <c r="Y1161" s="375" t="str">
        <f t="shared" si="266"/>
        <v/>
      </c>
      <c r="Z1161" s="374" t="str">
        <f t="shared" si="267"/>
        <v/>
      </c>
      <c r="AA1161" s="374" t="b">
        <f t="shared" si="268"/>
        <v>1</v>
      </c>
      <c r="AB1161" s="374">
        <f>COUNTIFS(B:B,B1161,H:H,'סיווג התפקידים והעלויות'!$C$2)</f>
        <v>0</v>
      </c>
      <c r="AC1161" s="374">
        <f>COUNTIFS(B:B,B1161,H:H,'סיווג התפקידים והעלויות'!$D$2)</f>
        <v>0</v>
      </c>
      <c r="AD1161" s="374" t="str">
        <f>IF(OR(AND(H1161='סיווג התפקידים והעלויות'!$A$2,I1161='סיווג התפקידים והעלויות'!$A$3),'עלויות כח אדם (6)'!H1161='סיווג התפקידים והעלויות'!$C$2,'עלויות כח אדם (6)'!H1161='סיווג התפקידים והעלויות'!$D$2),IF('עלויות כח אדם (6)'!J1161&lt;75,"לא תקין","תקין"),"")</f>
        <v/>
      </c>
      <c r="AE1161" s="374" t="str">
        <f t="shared" si="269"/>
        <v/>
      </c>
      <c r="AF1161" s="532" t="str">
        <f t="shared" si="270"/>
        <v/>
      </c>
    </row>
    <row r="1162" spans="2:32" x14ac:dyDescent="0.25">
      <c r="B1162" s="695"/>
      <c r="C1162" s="197" t="str">
        <f>IF(B1162&lt;&gt;"",IFERROR(VLOOKUP(B:B,'מצבת והרשמה (2)'!$C$20:$N$520,2,0)," ")," ")</f>
        <v xml:space="preserve"> </v>
      </c>
      <c r="D1162" s="695"/>
      <c r="E1162" s="696"/>
      <c r="F1162" s="696"/>
      <c r="G1162" s="696"/>
      <c r="H1162" s="696"/>
      <c r="I1162" s="1050" t="str">
        <f t="shared" si="257"/>
        <v/>
      </c>
      <c r="J1162" s="696"/>
      <c r="K1162" s="697"/>
      <c r="L1162" s="696"/>
      <c r="M1162" s="198" t="str">
        <f t="shared" si="258"/>
        <v/>
      </c>
      <c r="N1162" s="369" t="str">
        <f t="shared" si="259"/>
        <v/>
      </c>
      <c r="O1162" s="183" t="str">
        <f t="shared" si="260"/>
        <v/>
      </c>
      <c r="P1162" s="199" t="str">
        <f t="shared" si="261"/>
        <v/>
      </c>
      <c r="Q1162" s="199" t="str">
        <f>IF(B1162="","",IFERROR(IF('עלויות כח אדם (6)'!J1162&gt;=VLOOKUP(I1162,'סיווג התפקידים והעלויות'!$B$23:$C$32,2,0),"תקין","לא תקין"),""))</f>
        <v/>
      </c>
      <c r="R1162" s="199" t="str">
        <f t="shared" si="262"/>
        <v/>
      </c>
      <c r="S1162" s="199" t="str">
        <f t="shared" si="263"/>
        <v/>
      </c>
      <c r="T1162" s="199" t="str">
        <f t="shared" si="271"/>
        <v/>
      </c>
      <c r="U1162" s="199" t="str">
        <f t="shared" si="264"/>
        <v/>
      </c>
      <c r="V1162" s="989"/>
      <c r="X1162" s="374" t="str">
        <f t="shared" si="265"/>
        <v/>
      </c>
      <c r="Y1162" s="375" t="str">
        <f t="shared" si="266"/>
        <v/>
      </c>
      <c r="Z1162" s="374" t="str">
        <f t="shared" si="267"/>
        <v/>
      </c>
      <c r="AA1162" s="374" t="b">
        <f t="shared" si="268"/>
        <v>1</v>
      </c>
      <c r="AB1162" s="374">
        <f>COUNTIFS(B:B,B1162,H:H,'סיווג התפקידים והעלויות'!$C$2)</f>
        <v>0</v>
      </c>
      <c r="AC1162" s="374">
        <f>COUNTIFS(B:B,B1162,H:H,'סיווג התפקידים והעלויות'!$D$2)</f>
        <v>0</v>
      </c>
      <c r="AD1162" s="374" t="str">
        <f>IF(OR(AND(H1162='סיווג התפקידים והעלויות'!$A$2,I1162='סיווג התפקידים והעלויות'!$A$3),'עלויות כח אדם (6)'!H1162='סיווג התפקידים והעלויות'!$C$2,'עלויות כח אדם (6)'!H1162='סיווג התפקידים והעלויות'!$D$2),IF('עלויות כח אדם (6)'!J1162&lt;75,"לא תקין","תקין"),"")</f>
        <v/>
      </c>
      <c r="AE1162" s="374" t="str">
        <f t="shared" si="269"/>
        <v/>
      </c>
      <c r="AF1162" s="532" t="str">
        <f t="shared" si="270"/>
        <v/>
      </c>
    </row>
    <row r="1163" spans="2:32" x14ac:dyDescent="0.25">
      <c r="B1163" s="695"/>
      <c r="C1163" s="197" t="str">
        <f>IF(B1163&lt;&gt;"",IFERROR(VLOOKUP(B:B,'מצבת והרשמה (2)'!$C$20:$N$520,2,0)," ")," ")</f>
        <v xml:space="preserve"> </v>
      </c>
      <c r="D1163" s="695"/>
      <c r="E1163" s="696"/>
      <c r="F1163" s="696"/>
      <c r="G1163" s="696"/>
      <c r="H1163" s="696"/>
      <c r="I1163" s="1050" t="str">
        <f t="shared" si="257"/>
        <v/>
      </c>
      <c r="J1163" s="696"/>
      <c r="K1163" s="697"/>
      <c r="L1163" s="696"/>
      <c r="M1163" s="198" t="str">
        <f t="shared" si="258"/>
        <v/>
      </c>
      <c r="N1163" s="369" t="str">
        <f t="shared" si="259"/>
        <v/>
      </c>
      <c r="O1163" s="183" t="str">
        <f t="shared" si="260"/>
        <v/>
      </c>
      <c r="P1163" s="199" t="str">
        <f t="shared" si="261"/>
        <v/>
      </c>
      <c r="Q1163" s="199" t="str">
        <f>IF(B1163="","",IFERROR(IF('עלויות כח אדם (6)'!J1163&gt;=VLOOKUP(I1163,'סיווג התפקידים והעלויות'!$B$23:$C$32,2,0),"תקין","לא תקין"),""))</f>
        <v/>
      </c>
      <c r="R1163" s="199" t="str">
        <f t="shared" si="262"/>
        <v/>
      </c>
      <c r="S1163" s="199" t="str">
        <f t="shared" si="263"/>
        <v/>
      </c>
      <c r="T1163" s="199" t="str">
        <f t="shared" si="271"/>
        <v/>
      </c>
      <c r="U1163" s="199" t="str">
        <f t="shared" si="264"/>
        <v/>
      </c>
      <c r="V1163" s="989"/>
      <c r="X1163" s="374" t="str">
        <f t="shared" si="265"/>
        <v/>
      </c>
      <c r="Y1163" s="375" t="str">
        <f t="shared" si="266"/>
        <v/>
      </c>
      <c r="Z1163" s="374" t="str">
        <f t="shared" si="267"/>
        <v/>
      </c>
      <c r="AA1163" s="374" t="b">
        <f t="shared" si="268"/>
        <v>1</v>
      </c>
      <c r="AB1163" s="374">
        <f>COUNTIFS(B:B,B1163,H:H,'סיווג התפקידים והעלויות'!$C$2)</f>
        <v>0</v>
      </c>
      <c r="AC1163" s="374">
        <f>COUNTIFS(B:B,B1163,H:H,'סיווג התפקידים והעלויות'!$D$2)</f>
        <v>0</v>
      </c>
      <c r="AD1163" s="374" t="str">
        <f>IF(OR(AND(H1163='סיווג התפקידים והעלויות'!$A$2,I1163='סיווג התפקידים והעלויות'!$A$3),'עלויות כח אדם (6)'!H1163='סיווג התפקידים והעלויות'!$C$2,'עלויות כח אדם (6)'!H1163='סיווג התפקידים והעלויות'!$D$2),IF('עלויות כח אדם (6)'!J1163&lt;75,"לא תקין","תקין"),"")</f>
        <v/>
      </c>
      <c r="AE1163" s="374" t="str">
        <f t="shared" si="269"/>
        <v/>
      </c>
      <c r="AF1163" s="532" t="str">
        <f t="shared" si="270"/>
        <v/>
      </c>
    </row>
    <row r="1164" spans="2:32" x14ac:dyDescent="0.25">
      <c r="B1164" s="695"/>
      <c r="C1164" s="197" t="str">
        <f>IF(B1164&lt;&gt;"",IFERROR(VLOOKUP(B:B,'מצבת והרשמה (2)'!$C$20:$N$520,2,0)," ")," ")</f>
        <v xml:space="preserve"> </v>
      </c>
      <c r="D1164" s="695"/>
      <c r="E1164" s="696"/>
      <c r="F1164" s="696"/>
      <c r="G1164" s="696"/>
      <c r="H1164" s="696"/>
      <c r="I1164" s="1050" t="str">
        <f t="shared" si="257"/>
        <v/>
      </c>
      <c r="J1164" s="696"/>
      <c r="K1164" s="697"/>
      <c r="L1164" s="696"/>
      <c r="M1164" s="198" t="str">
        <f t="shared" si="258"/>
        <v/>
      </c>
      <c r="N1164" s="369" t="str">
        <f t="shared" si="259"/>
        <v/>
      </c>
      <c r="O1164" s="183" t="str">
        <f t="shared" si="260"/>
        <v/>
      </c>
      <c r="P1164" s="199" t="str">
        <f t="shared" si="261"/>
        <v/>
      </c>
      <c r="Q1164" s="199" t="str">
        <f>IF(B1164="","",IFERROR(IF('עלויות כח אדם (6)'!J1164&gt;=VLOOKUP(I1164,'סיווג התפקידים והעלויות'!$B$23:$C$32,2,0),"תקין","לא תקין"),""))</f>
        <v/>
      </c>
      <c r="R1164" s="199" t="str">
        <f t="shared" si="262"/>
        <v/>
      </c>
      <c r="S1164" s="199" t="str">
        <f t="shared" si="263"/>
        <v/>
      </c>
      <c r="T1164" s="199" t="str">
        <f t="shared" si="271"/>
        <v/>
      </c>
      <c r="U1164" s="199" t="str">
        <f t="shared" si="264"/>
        <v/>
      </c>
      <c r="V1164" s="989"/>
      <c r="X1164" s="374" t="str">
        <f t="shared" si="265"/>
        <v/>
      </c>
      <c r="Y1164" s="375" t="str">
        <f t="shared" si="266"/>
        <v/>
      </c>
      <c r="Z1164" s="374" t="str">
        <f t="shared" si="267"/>
        <v/>
      </c>
      <c r="AA1164" s="374" t="b">
        <f t="shared" si="268"/>
        <v>1</v>
      </c>
      <c r="AB1164" s="374">
        <f>COUNTIFS(B:B,B1164,H:H,'סיווג התפקידים והעלויות'!$C$2)</f>
        <v>0</v>
      </c>
      <c r="AC1164" s="374">
        <f>COUNTIFS(B:B,B1164,H:H,'סיווג התפקידים והעלויות'!$D$2)</f>
        <v>0</v>
      </c>
      <c r="AD1164" s="374" t="str">
        <f>IF(OR(AND(H1164='סיווג התפקידים והעלויות'!$A$2,I1164='סיווג התפקידים והעלויות'!$A$3),'עלויות כח אדם (6)'!H1164='סיווג התפקידים והעלויות'!$C$2,'עלויות כח אדם (6)'!H1164='סיווג התפקידים והעלויות'!$D$2),IF('עלויות כח אדם (6)'!J1164&lt;75,"לא תקין","תקין"),"")</f>
        <v/>
      </c>
      <c r="AE1164" s="374" t="str">
        <f t="shared" si="269"/>
        <v/>
      </c>
      <c r="AF1164" s="532" t="str">
        <f t="shared" si="270"/>
        <v/>
      </c>
    </row>
    <row r="1165" spans="2:32" x14ac:dyDescent="0.25">
      <c r="B1165" s="695"/>
      <c r="C1165" s="197" t="str">
        <f>IF(B1165&lt;&gt;"",IFERROR(VLOOKUP(B:B,'מצבת והרשמה (2)'!$C$20:$N$520,2,0)," ")," ")</f>
        <v xml:space="preserve"> </v>
      </c>
      <c r="D1165" s="695"/>
      <c r="E1165" s="696"/>
      <c r="F1165" s="696"/>
      <c r="G1165" s="696"/>
      <c r="H1165" s="696"/>
      <c r="I1165" s="1050" t="str">
        <f t="shared" si="257"/>
        <v/>
      </c>
      <c r="J1165" s="696"/>
      <c r="K1165" s="697"/>
      <c r="L1165" s="696"/>
      <c r="M1165" s="198" t="str">
        <f t="shared" si="258"/>
        <v/>
      </c>
      <c r="N1165" s="369" t="str">
        <f t="shared" si="259"/>
        <v/>
      </c>
      <c r="O1165" s="183" t="str">
        <f t="shared" si="260"/>
        <v/>
      </c>
      <c r="P1165" s="199" t="str">
        <f t="shared" si="261"/>
        <v/>
      </c>
      <c r="Q1165" s="199" t="str">
        <f>IF(B1165="","",IFERROR(IF('עלויות כח אדם (6)'!J1165&gt;=VLOOKUP(I1165,'סיווג התפקידים והעלויות'!$B$23:$C$32,2,0),"תקין","לא תקין"),""))</f>
        <v/>
      </c>
      <c r="R1165" s="199" t="str">
        <f t="shared" si="262"/>
        <v/>
      </c>
      <c r="S1165" s="199" t="str">
        <f t="shared" si="263"/>
        <v/>
      </c>
      <c r="T1165" s="199" t="str">
        <f t="shared" si="271"/>
        <v/>
      </c>
      <c r="U1165" s="199" t="str">
        <f t="shared" si="264"/>
        <v/>
      </c>
      <c r="V1165" s="989"/>
      <c r="X1165" s="374" t="str">
        <f t="shared" si="265"/>
        <v/>
      </c>
      <c r="Y1165" s="375" t="str">
        <f t="shared" si="266"/>
        <v/>
      </c>
      <c r="Z1165" s="374" t="str">
        <f t="shared" si="267"/>
        <v/>
      </c>
      <c r="AA1165" s="374" t="b">
        <f t="shared" si="268"/>
        <v>1</v>
      </c>
      <c r="AB1165" s="374">
        <f>COUNTIFS(B:B,B1165,H:H,'סיווג התפקידים והעלויות'!$C$2)</f>
        <v>0</v>
      </c>
      <c r="AC1165" s="374">
        <f>COUNTIFS(B:B,B1165,H:H,'סיווג התפקידים והעלויות'!$D$2)</f>
        <v>0</v>
      </c>
      <c r="AD1165" s="374" t="str">
        <f>IF(OR(AND(H1165='סיווג התפקידים והעלויות'!$A$2,I1165='סיווג התפקידים והעלויות'!$A$3),'עלויות כח אדם (6)'!H1165='סיווג התפקידים והעלויות'!$C$2,'עלויות כח אדם (6)'!H1165='סיווג התפקידים והעלויות'!$D$2),IF('עלויות כח אדם (6)'!J1165&lt;75,"לא תקין","תקין"),"")</f>
        <v/>
      </c>
      <c r="AE1165" s="374" t="str">
        <f t="shared" si="269"/>
        <v/>
      </c>
      <c r="AF1165" s="532" t="str">
        <f t="shared" si="270"/>
        <v/>
      </c>
    </row>
    <row r="1166" spans="2:32" x14ac:dyDescent="0.25">
      <c r="B1166" s="695"/>
      <c r="C1166" s="197" t="str">
        <f>IF(B1166&lt;&gt;"",IFERROR(VLOOKUP(B:B,'מצבת והרשמה (2)'!$C$20:$N$520,2,0)," ")," ")</f>
        <v xml:space="preserve"> </v>
      </c>
      <c r="D1166" s="695"/>
      <c r="E1166" s="696"/>
      <c r="F1166" s="696"/>
      <c r="G1166" s="696"/>
      <c r="H1166" s="696"/>
      <c r="I1166" s="1050" t="str">
        <f t="shared" si="257"/>
        <v/>
      </c>
      <c r="J1166" s="696"/>
      <c r="K1166" s="697"/>
      <c r="L1166" s="696"/>
      <c r="M1166" s="198" t="str">
        <f t="shared" si="258"/>
        <v/>
      </c>
      <c r="N1166" s="369" t="str">
        <f t="shared" si="259"/>
        <v/>
      </c>
      <c r="O1166" s="183" t="str">
        <f t="shared" si="260"/>
        <v/>
      </c>
      <c r="P1166" s="199" t="str">
        <f t="shared" si="261"/>
        <v/>
      </c>
      <c r="Q1166" s="199" t="str">
        <f>IF(B1166="","",IFERROR(IF('עלויות כח אדם (6)'!J1166&gt;=VLOOKUP(I1166,'סיווג התפקידים והעלויות'!$B$23:$C$32,2,0),"תקין","לא תקין"),""))</f>
        <v/>
      </c>
      <c r="R1166" s="199" t="str">
        <f t="shared" si="262"/>
        <v/>
      </c>
      <c r="S1166" s="199" t="str">
        <f t="shared" si="263"/>
        <v/>
      </c>
      <c r="T1166" s="199" t="str">
        <f t="shared" si="271"/>
        <v/>
      </c>
      <c r="U1166" s="199" t="str">
        <f t="shared" si="264"/>
        <v/>
      </c>
      <c r="V1166" s="989"/>
      <c r="X1166" s="374" t="str">
        <f t="shared" si="265"/>
        <v/>
      </c>
      <c r="Y1166" s="375" t="str">
        <f t="shared" si="266"/>
        <v/>
      </c>
      <c r="Z1166" s="374" t="str">
        <f t="shared" si="267"/>
        <v/>
      </c>
      <c r="AA1166" s="374" t="b">
        <f t="shared" si="268"/>
        <v>1</v>
      </c>
      <c r="AB1166" s="374">
        <f>COUNTIFS(B:B,B1166,H:H,'סיווג התפקידים והעלויות'!$C$2)</f>
        <v>0</v>
      </c>
      <c r="AC1166" s="374">
        <f>COUNTIFS(B:B,B1166,H:H,'סיווג התפקידים והעלויות'!$D$2)</f>
        <v>0</v>
      </c>
      <c r="AD1166" s="374" t="str">
        <f>IF(OR(AND(H1166='סיווג התפקידים והעלויות'!$A$2,I1166='סיווג התפקידים והעלויות'!$A$3),'עלויות כח אדם (6)'!H1166='סיווג התפקידים והעלויות'!$C$2,'עלויות כח אדם (6)'!H1166='סיווג התפקידים והעלויות'!$D$2),IF('עלויות כח אדם (6)'!J1166&lt;75,"לא תקין","תקין"),"")</f>
        <v/>
      </c>
      <c r="AE1166" s="374" t="str">
        <f t="shared" si="269"/>
        <v/>
      </c>
      <c r="AF1166" s="532" t="str">
        <f t="shared" si="270"/>
        <v/>
      </c>
    </row>
    <row r="1167" spans="2:32" x14ac:dyDescent="0.25">
      <c r="B1167" s="695"/>
      <c r="C1167" s="197" t="str">
        <f>IF(B1167&lt;&gt;"",IFERROR(VLOOKUP(B:B,'מצבת והרשמה (2)'!$C$20:$N$520,2,0)," ")," ")</f>
        <v xml:space="preserve"> </v>
      </c>
      <c r="D1167" s="695"/>
      <c r="E1167" s="696"/>
      <c r="F1167" s="696"/>
      <c r="G1167" s="696"/>
      <c r="H1167" s="696"/>
      <c r="I1167" s="1050" t="str">
        <f t="shared" ref="I1167:I1230" si="272">SUBSTITUTE(IFERROR(IF(H1167="מדצ","מדצ/ית",IF(H1167="סגנית רכזת מעל 150","סגנ/ית רכז/ת&gt;150",IF(H1167="רכזת תכנית בבית הספר","רכז/ת תכנית בבית הספר"))),""),"FALSE","")</f>
        <v/>
      </c>
      <c r="J1167" s="696"/>
      <c r="K1167" s="697"/>
      <c r="L1167" s="696"/>
      <c r="M1167" s="198" t="str">
        <f t="shared" ref="M1167:M1230" si="273">IF(AND(L1167&gt;0,K1167&gt;0),K1167*L1167,"")</f>
        <v/>
      </c>
      <c r="N1167" s="369" t="str">
        <f t="shared" ref="N1167:N1230" si="274">TEXT(LEFT(H1167,2),0)</f>
        <v/>
      </c>
      <c r="O1167" s="183" t="str">
        <f t="shared" ref="O1167:O1230" si="275">IF(ISNUMBER(M1167&gt;0),IF(ISBLANK(B1167),"יש להזין סמל מוסד בעמודה B",""),"")</f>
        <v/>
      </c>
      <c r="P1167" s="199" t="str">
        <f t="shared" ref="P1167:P1230" si="276">IF(B1167="","",IF(AA1167=FALSE,"לא תקין","תקין"))</f>
        <v/>
      </c>
      <c r="Q1167" s="199" t="str">
        <f>IF(B1167="","",IFERROR(IF('עלויות כח אדם (6)'!J1167&gt;=VLOOKUP(I1167,'סיווג התפקידים והעלויות'!$B$23:$C$32,2,0),"תקין","לא תקין"),""))</f>
        <v/>
      </c>
      <c r="R1167" s="199" t="str">
        <f t="shared" ref="R1167:R1230" si="277">IF(B1167="","",IF(OR(Y1167&lt;100%,Y1167&gt;140%),"לא תקין","תקין"))</f>
        <v/>
      </c>
      <c r="S1167" s="199" t="str">
        <f t="shared" ref="S1167:S1230" si="278">IF(B1167="","",IFERROR(IF(J1167&gt;120,"לא תקין","תקין"),""))</f>
        <v/>
      </c>
      <c r="T1167" s="199" t="str">
        <f t="shared" si="271"/>
        <v/>
      </c>
      <c r="U1167" s="199" t="str">
        <f t="shared" ref="U1167:U1230" si="279">IF(B1167="","",IF(Z1167&gt;1,IF(SUMIF(D:D,D1167,L:L)&gt;90,"לא תקין","תקין"),"תקין"))</f>
        <v/>
      </c>
      <c r="V1167" s="989"/>
      <c r="X1167" s="374" t="str">
        <f t="shared" ref="X1167:X1230" si="280">IF(B1167="","",IF(OR(R1167="לא תקין",S1167="לא תקין",T1167="לא תקין",,U1167="לא תקין"),"לא תקין","תקין"))</f>
        <v/>
      </c>
      <c r="Y1167" s="375" t="str">
        <f t="shared" ref="Y1167:Y1230" si="281">IFERROR(IF(B1167="","",K1167/J1167),"")</f>
        <v/>
      </c>
      <c r="Z1167" s="374" t="str">
        <f t="shared" ref="Z1167:Z1230" si="282">IF(B1167="","",COUNTIF(D:D,D1167))</f>
        <v/>
      </c>
      <c r="AA1167" s="374" t="b">
        <f t="shared" ref="AA1167:AA1230" si="283">MOD(MID(REPT(0,9-LEN(D1167))&amp;D1167,1,1)+MID("0246813579",MID(REPT(0,9-LEN(D1167))&amp;D1167,2,1)+1,1)+MID(REPT(0,9-LEN(D1167))&amp;D1167,3,1)+MID("0246813579",MID(REPT(0,9-LEN(D1167))&amp;D1167,4,1)+1,1)+MID(REPT(0,9-LEN(D1167))&amp;D1167,5,1)+MID("0246813579",MID(REPT(0,9-LEN(D1167))&amp;D1167,6,1)+1,1)+MID(REPT(0,9-LEN(D1167))&amp;D1167,7,1)+MID("0246813579",MID(REPT(0,9-LEN(D1167))&amp;D1167,8,1)+1,1)+MID(REPT(0,9-LEN(D1167))&amp;D1167,9,1),10)=0</f>
        <v>1</v>
      </c>
      <c r="AB1167" s="374">
        <f>COUNTIFS(B:B,B1167,H:H,'סיווג התפקידים והעלויות'!$C$2)</f>
        <v>0</v>
      </c>
      <c r="AC1167" s="374">
        <f>COUNTIFS(B:B,B1167,H:H,'סיווג התפקידים והעלויות'!$D$2)</f>
        <v>0</v>
      </c>
      <c r="AD1167" s="374" t="str">
        <f>IF(OR(AND(H1167='סיווג התפקידים והעלויות'!$A$2,I1167='סיווג התפקידים והעלויות'!$A$3),'עלויות כח אדם (6)'!H1167='סיווג התפקידים והעלויות'!$C$2,'עלויות כח אדם (6)'!H1167='סיווג התפקידים והעלויות'!$D$2),IF('עלויות כח אדם (6)'!J1167&lt;75,"לא תקין","תקין"),"")</f>
        <v/>
      </c>
      <c r="AE1167" s="374" t="str">
        <f t="shared" ref="AE1167:AE1230" si="284">IF(B1167&lt;&gt;"",B1167&amp;H1167,"")</f>
        <v/>
      </c>
      <c r="AF1167" s="532" t="str">
        <f t="shared" ref="AF1167:AF1230" si="285">M1167</f>
        <v/>
      </c>
    </row>
    <row r="1168" spans="2:32" x14ac:dyDescent="0.25">
      <c r="B1168" s="695"/>
      <c r="C1168" s="197" t="str">
        <f>IF(B1168&lt;&gt;"",IFERROR(VLOOKUP(B:B,'מצבת והרשמה (2)'!$C$20:$N$520,2,0)," ")," ")</f>
        <v xml:space="preserve"> </v>
      </c>
      <c r="D1168" s="695"/>
      <c r="E1168" s="696"/>
      <c r="F1168" s="696"/>
      <c r="G1168" s="696"/>
      <c r="H1168" s="696"/>
      <c r="I1168" s="1050" t="str">
        <f t="shared" si="272"/>
        <v/>
      </c>
      <c r="J1168" s="696"/>
      <c r="K1168" s="697"/>
      <c r="L1168" s="696"/>
      <c r="M1168" s="198" t="str">
        <f t="shared" si="273"/>
        <v/>
      </c>
      <c r="N1168" s="369" t="str">
        <f t="shared" si="274"/>
        <v/>
      </c>
      <c r="O1168" s="183" t="str">
        <f t="shared" si="275"/>
        <v/>
      </c>
      <c r="P1168" s="199" t="str">
        <f t="shared" si="276"/>
        <v/>
      </c>
      <c r="Q1168" s="199" t="str">
        <f>IF(B1168="","",IFERROR(IF('עלויות כח אדם (6)'!J1168&gt;=VLOOKUP(I1168,'סיווג התפקידים והעלויות'!$B$23:$C$32,2,0),"תקין","לא תקין"),""))</f>
        <v/>
      </c>
      <c r="R1168" s="199" t="str">
        <f t="shared" si="277"/>
        <v/>
      </c>
      <c r="S1168" s="199" t="str">
        <f t="shared" si="278"/>
        <v/>
      </c>
      <c r="T1168" s="199" t="str">
        <f t="shared" ref="T1168:T1231" si="286">IF(B1168="","",IF(H1168="","יש להזין איש צוות",IF(OR(H1168="מורה",H1168="גננת",H1168="רכז גן",H1168="רכזת גן",H1168="סייעת",H1168="מדצית",H1168="מדצ",H1168="מדריך",H1168="מדריכה",H1168="תוספת כח אדם"),IF(L1168&lt;=90,"תקין","לא תקין"),IF(OR(H1168="רכז בית ספר",H1168="רכזת תכנית בבית הספר",H1168="רכזת בית ספר"),IF(L1168&lt;=137,"תקין","לא תקין"),IF(OR(H1168="סגנית רכזת מעל 150",H1168="סגן רכז"),IF(L1168&lt;=93,"תקין","לא תקין"),"לא תקין")))))</f>
        <v/>
      </c>
      <c r="U1168" s="199" t="str">
        <f t="shared" si="279"/>
        <v/>
      </c>
      <c r="V1168" s="989"/>
      <c r="X1168" s="374" t="str">
        <f t="shared" si="280"/>
        <v/>
      </c>
      <c r="Y1168" s="375" t="str">
        <f t="shared" si="281"/>
        <v/>
      </c>
      <c r="Z1168" s="374" t="str">
        <f t="shared" si="282"/>
        <v/>
      </c>
      <c r="AA1168" s="374" t="b">
        <f t="shared" si="283"/>
        <v>1</v>
      </c>
      <c r="AB1168" s="374">
        <f>COUNTIFS(B:B,B1168,H:H,'סיווג התפקידים והעלויות'!$C$2)</f>
        <v>0</v>
      </c>
      <c r="AC1168" s="374">
        <f>COUNTIFS(B:B,B1168,H:H,'סיווג התפקידים והעלויות'!$D$2)</f>
        <v>0</v>
      </c>
      <c r="AD1168" s="374" t="str">
        <f>IF(OR(AND(H1168='סיווג התפקידים והעלויות'!$A$2,I1168='סיווג התפקידים והעלויות'!$A$3),'עלויות כח אדם (6)'!H1168='סיווג התפקידים והעלויות'!$C$2,'עלויות כח אדם (6)'!H1168='סיווג התפקידים והעלויות'!$D$2),IF('עלויות כח אדם (6)'!J1168&lt;75,"לא תקין","תקין"),"")</f>
        <v/>
      </c>
      <c r="AE1168" s="374" t="str">
        <f t="shared" si="284"/>
        <v/>
      </c>
      <c r="AF1168" s="532" t="str">
        <f t="shared" si="285"/>
        <v/>
      </c>
    </row>
    <row r="1169" spans="2:32" x14ac:dyDescent="0.25">
      <c r="B1169" s="695"/>
      <c r="C1169" s="197" t="str">
        <f>IF(B1169&lt;&gt;"",IFERROR(VLOOKUP(B:B,'מצבת והרשמה (2)'!$C$20:$N$520,2,0)," ")," ")</f>
        <v xml:space="preserve"> </v>
      </c>
      <c r="D1169" s="695"/>
      <c r="E1169" s="696"/>
      <c r="F1169" s="696"/>
      <c r="G1169" s="696"/>
      <c r="H1169" s="696"/>
      <c r="I1169" s="1050" t="str">
        <f t="shared" si="272"/>
        <v/>
      </c>
      <c r="J1169" s="696"/>
      <c r="K1169" s="697"/>
      <c r="L1169" s="696"/>
      <c r="M1169" s="198" t="str">
        <f t="shared" si="273"/>
        <v/>
      </c>
      <c r="N1169" s="369" t="str">
        <f t="shared" si="274"/>
        <v/>
      </c>
      <c r="O1169" s="183" t="str">
        <f t="shared" si="275"/>
        <v/>
      </c>
      <c r="P1169" s="199" t="str">
        <f t="shared" si="276"/>
        <v/>
      </c>
      <c r="Q1169" s="199" t="str">
        <f>IF(B1169="","",IFERROR(IF('עלויות כח אדם (6)'!J1169&gt;=VLOOKUP(I1169,'סיווג התפקידים והעלויות'!$B$23:$C$32,2,0),"תקין","לא תקין"),""))</f>
        <v/>
      </c>
      <c r="R1169" s="199" t="str">
        <f t="shared" si="277"/>
        <v/>
      </c>
      <c r="S1169" s="199" t="str">
        <f t="shared" si="278"/>
        <v/>
      </c>
      <c r="T1169" s="199" t="str">
        <f t="shared" si="286"/>
        <v/>
      </c>
      <c r="U1169" s="199" t="str">
        <f t="shared" si="279"/>
        <v/>
      </c>
      <c r="V1169" s="989"/>
      <c r="X1169" s="374" t="str">
        <f t="shared" si="280"/>
        <v/>
      </c>
      <c r="Y1169" s="375" t="str">
        <f t="shared" si="281"/>
        <v/>
      </c>
      <c r="Z1169" s="374" t="str">
        <f t="shared" si="282"/>
        <v/>
      </c>
      <c r="AA1169" s="374" t="b">
        <f t="shared" si="283"/>
        <v>1</v>
      </c>
      <c r="AB1169" s="374">
        <f>COUNTIFS(B:B,B1169,H:H,'סיווג התפקידים והעלויות'!$C$2)</f>
        <v>0</v>
      </c>
      <c r="AC1169" s="374">
        <f>COUNTIFS(B:B,B1169,H:H,'סיווג התפקידים והעלויות'!$D$2)</f>
        <v>0</v>
      </c>
      <c r="AD1169" s="374" t="str">
        <f>IF(OR(AND(H1169='סיווג התפקידים והעלויות'!$A$2,I1169='סיווג התפקידים והעלויות'!$A$3),'עלויות כח אדם (6)'!H1169='סיווג התפקידים והעלויות'!$C$2,'עלויות כח אדם (6)'!H1169='סיווג התפקידים והעלויות'!$D$2),IF('עלויות כח אדם (6)'!J1169&lt;75,"לא תקין","תקין"),"")</f>
        <v/>
      </c>
      <c r="AE1169" s="374" t="str">
        <f t="shared" si="284"/>
        <v/>
      </c>
      <c r="AF1169" s="532" t="str">
        <f t="shared" si="285"/>
        <v/>
      </c>
    </row>
    <row r="1170" spans="2:32" x14ac:dyDescent="0.25">
      <c r="B1170" s="695"/>
      <c r="C1170" s="197" t="str">
        <f>IF(B1170&lt;&gt;"",IFERROR(VLOOKUP(B:B,'מצבת והרשמה (2)'!$C$20:$N$520,2,0)," ")," ")</f>
        <v xml:space="preserve"> </v>
      </c>
      <c r="D1170" s="695"/>
      <c r="E1170" s="696"/>
      <c r="F1170" s="696"/>
      <c r="G1170" s="696"/>
      <c r="H1170" s="696"/>
      <c r="I1170" s="1050" t="str">
        <f t="shared" si="272"/>
        <v/>
      </c>
      <c r="J1170" s="696"/>
      <c r="K1170" s="697"/>
      <c r="L1170" s="696"/>
      <c r="M1170" s="198" t="str">
        <f t="shared" si="273"/>
        <v/>
      </c>
      <c r="N1170" s="369" t="str">
        <f t="shared" si="274"/>
        <v/>
      </c>
      <c r="O1170" s="183" t="str">
        <f t="shared" si="275"/>
        <v/>
      </c>
      <c r="P1170" s="199" t="str">
        <f t="shared" si="276"/>
        <v/>
      </c>
      <c r="Q1170" s="199" t="str">
        <f>IF(B1170="","",IFERROR(IF('עלויות כח אדם (6)'!J1170&gt;=VLOOKUP(I1170,'סיווג התפקידים והעלויות'!$B$23:$C$32,2,0),"תקין","לא תקין"),""))</f>
        <v/>
      </c>
      <c r="R1170" s="199" t="str">
        <f t="shared" si="277"/>
        <v/>
      </c>
      <c r="S1170" s="199" t="str">
        <f t="shared" si="278"/>
        <v/>
      </c>
      <c r="T1170" s="199" t="str">
        <f t="shared" si="286"/>
        <v/>
      </c>
      <c r="U1170" s="199" t="str">
        <f t="shared" si="279"/>
        <v/>
      </c>
      <c r="V1170" s="989"/>
      <c r="X1170" s="374" t="str">
        <f t="shared" si="280"/>
        <v/>
      </c>
      <c r="Y1170" s="375" t="str">
        <f t="shared" si="281"/>
        <v/>
      </c>
      <c r="Z1170" s="374" t="str">
        <f t="shared" si="282"/>
        <v/>
      </c>
      <c r="AA1170" s="374" t="b">
        <f t="shared" si="283"/>
        <v>1</v>
      </c>
      <c r="AB1170" s="374">
        <f>COUNTIFS(B:B,B1170,H:H,'סיווג התפקידים והעלויות'!$C$2)</f>
        <v>0</v>
      </c>
      <c r="AC1170" s="374">
        <f>COUNTIFS(B:B,B1170,H:H,'סיווג התפקידים והעלויות'!$D$2)</f>
        <v>0</v>
      </c>
      <c r="AD1170" s="374" t="str">
        <f>IF(OR(AND(H1170='סיווג התפקידים והעלויות'!$A$2,I1170='סיווג התפקידים והעלויות'!$A$3),'עלויות כח אדם (6)'!H1170='סיווג התפקידים והעלויות'!$C$2,'עלויות כח אדם (6)'!H1170='סיווג התפקידים והעלויות'!$D$2),IF('עלויות כח אדם (6)'!J1170&lt;75,"לא תקין","תקין"),"")</f>
        <v/>
      </c>
      <c r="AE1170" s="374" t="str">
        <f t="shared" si="284"/>
        <v/>
      </c>
      <c r="AF1170" s="532" t="str">
        <f t="shared" si="285"/>
        <v/>
      </c>
    </row>
    <row r="1171" spans="2:32" x14ac:dyDescent="0.25">
      <c r="B1171" s="695"/>
      <c r="C1171" s="197" t="str">
        <f>IF(B1171&lt;&gt;"",IFERROR(VLOOKUP(B:B,'מצבת והרשמה (2)'!$C$20:$N$520,2,0)," ")," ")</f>
        <v xml:space="preserve"> </v>
      </c>
      <c r="D1171" s="695"/>
      <c r="E1171" s="696"/>
      <c r="F1171" s="696"/>
      <c r="G1171" s="696"/>
      <c r="H1171" s="696"/>
      <c r="I1171" s="1050" t="str">
        <f t="shared" si="272"/>
        <v/>
      </c>
      <c r="J1171" s="696"/>
      <c r="K1171" s="697"/>
      <c r="L1171" s="696"/>
      <c r="M1171" s="198" t="str">
        <f t="shared" si="273"/>
        <v/>
      </c>
      <c r="N1171" s="369" t="str">
        <f t="shared" si="274"/>
        <v/>
      </c>
      <c r="O1171" s="183" t="str">
        <f t="shared" si="275"/>
        <v/>
      </c>
      <c r="P1171" s="199" t="str">
        <f t="shared" si="276"/>
        <v/>
      </c>
      <c r="Q1171" s="199" t="str">
        <f>IF(B1171="","",IFERROR(IF('עלויות כח אדם (6)'!J1171&gt;=VLOOKUP(I1171,'סיווג התפקידים והעלויות'!$B$23:$C$32,2,0),"תקין","לא תקין"),""))</f>
        <v/>
      </c>
      <c r="R1171" s="199" t="str">
        <f t="shared" si="277"/>
        <v/>
      </c>
      <c r="S1171" s="199" t="str">
        <f t="shared" si="278"/>
        <v/>
      </c>
      <c r="T1171" s="199" t="str">
        <f t="shared" si="286"/>
        <v/>
      </c>
      <c r="U1171" s="199" t="str">
        <f t="shared" si="279"/>
        <v/>
      </c>
      <c r="V1171" s="989"/>
      <c r="X1171" s="374" t="str">
        <f t="shared" si="280"/>
        <v/>
      </c>
      <c r="Y1171" s="375" t="str">
        <f t="shared" si="281"/>
        <v/>
      </c>
      <c r="Z1171" s="374" t="str">
        <f t="shared" si="282"/>
        <v/>
      </c>
      <c r="AA1171" s="374" t="b">
        <f t="shared" si="283"/>
        <v>1</v>
      </c>
      <c r="AB1171" s="374">
        <f>COUNTIFS(B:B,B1171,H:H,'סיווג התפקידים והעלויות'!$C$2)</f>
        <v>0</v>
      </c>
      <c r="AC1171" s="374">
        <f>COUNTIFS(B:B,B1171,H:H,'סיווג התפקידים והעלויות'!$D$2)</f>
        <v>0</v>
      </c>
      <c r="AD1171" s="374" t="str">
        <f>IF(OR(AND(H1171='סיווג התפקידים והעלויות'!$A$2,I1171='סיווג התפקידים והעלויות'!$A$3),'עלויות כח אדם (6)'!H1171='סיווג התפקידים והעלויות'!$C$2,'עלויות כח אדם (6)'!H1171='סיווג התפקידים והעלויות'!$D$2),IF('עלויות כח אדם (6)'!J1171&lt;75,"לא תקין","תקין"),"")</f>
        <v/>
      </c>
      <c r="AE1171" s="374" t="str">
        <f t="shared" si="284"/>
        <v/>
      </c>
      <c r="AF1171" s="532" t="str">
        <f t="shared" si="285"/>
        <v/>
      </c>
    </row>
    <row r="1172" spans="2:32" x14ac:dyDescent="0.25">
      <c r="B1172" s="695"/>
      <c r="C1172" s="197" t="str">
        <f>IF(B1172&lt;&gt;"",IFERROR(VLOOKUP(B:B,'מצבת והרשמה (2)'!$C$20:$N$520,2,0)," ")," ")</f>
        <v xml:space="preserve"> </v>
      </c>
      <c r="D1172" s="695"/>
      <c r="E1172" s="696"/>
      <c r="F1172" s="696"/>
      <c r="G1172" s="696"/>
      <c r="H1172" s="696"/>
      <c r="I1172" s="1050" t="str">
        <f t="shared" si="272"/>
        <v/>
      </c>
      <c r="J1172" s="696"/>
      <c r="K1172" s="697"/>
      <c r="L1172" s="696"/>
      <c r="M1172" s="198" t="str">
        <f t="shared" si="273"/>
        <v/>
      </c>
      <c r="N1172" s="369" t="str">
        <f t="shared" si="274"/>
        <v/>
      </c>
      <c r="O1172" s="183" t="str">
        <f t="shared" si="275"/>
        <v/>
      </c>
      <c r="P1172" s="199" t="str">
        <f t="shared" si="276"/>
        <v/>
      </c>
      <c r="Q1172" s="199" t="str">
        <f>IF(B1172="","",IFERROR(IF('עלויות כח אדם (6)'!J1172&gt;=VLOOKUP(I1172,'סיווג התפקידים והעלויות'!$B$23:$C$32,2,0),"תקין","לא תקין"),""))</f>
        <v/>
      </c>
      <c r="R1172" s="199" t="str">
        <f t="shared" si="277"/>
        <v/>
      </c>
      <c r="S1172" s="199" t="str">
        <f t="shared" si="278"/>
        <v/>
      </c>
      <c r="T1172" s="199" t="str">
        <f t="shared" si="286"/>
        <v/>
      </c>
      <c r="U1172" s="199" t="str">
        <f t="shared" si="279"/>
        <v/>
      </c>
      <c r="V1172" s="989"/>
      <c r="X1172" s="374" t="str">
        <f t="shared" si="280"/>
        <v/>
      </c>
      <c r="Y1172" s="375" t="str">
        <f t="shared" si="281"/>
        <v/>
      </c>
      <c r="Z1172" s="374" t="str">
        <f t="shared" si="282"/>
        <v/>
      </c>
      <c r="AA1172" s="374" t="b">
        <f t="shared" si="283"/>
        <v>1</v>
      </c>
      <c r="AB1172" s="374">
        <f>COUNTIFS(B:B,B1172,H:H,'סיווג התפקידים והעלויות'!$C$2)</f>
        <v>0</v>
      </c>
      <c r="AC1172" s="374">
        <f>COUNTIFS(B:B,B1172,H:H,'סיווג התפקידים והעלויות'!$D$2)</f>
        <v>0</v>
      </c>
      <c r="AD1172" s="374" t="str">
        <f>IF(OR(AND(H1172='סיווג התפקידים והעלויות'!$A$2,I1172='סיווג התפקידים והעלויות'!$A$3),'עלויות כח אדם (6)'!H1172='סיווג התפקידים והעלויות'!$C$2,'עלויות כח אדם (6)'!H1172='סיווג התפקידים והעלויות'!$D$2),IF('עלויות כח אדם (6)'!J1172&lt;75,"לא תקין","תקין"),"")</f>
        <v/>
      </c>
      <c r="AE1172" s="374" t="str">
        <f t="shared" si="284"/>
        <v/>
      </c>
      <c r="AF1172" s="532" t="str">
        <f t="shared" si="285"/>
        <v/>
      </c>
    </row>
    <row r="1173" spans="2:32" x14ac:dyDescent="0.25">
      <c r="B1173" s="695"/>
      <c r="C1173" s="197" t="str">
        <f>IF(B1173&lt;&gt;"",IFERROR(VLOOKUP(B:B,'מצבת והרשמה (2)'!$C$20:$N$520,2,0)," ")," ")</f>
        <v xml:space="preserve"> </v>
      </c>
      <c r="D1173" s="695"/>
      <c r="E1173" s="696"/>
      <c r="F1173" s="696"/>
      <c r="G1173" s="696"/>
      <c r="H1173" s="696"/>
      <c r="I1173" s="1050" t="str">
        <f t="shared" si="272"/>
        <v/>
      </c>
      <c r="J1173" s="696"/>
      <c r="K1173" s="697"/>
      <c r="L1173" s="696"/>
      <c r="M1173" s="198" t="str">
        <f t="shared" si="273"/>
        <v/>
      </c>
      <c r="N1173" s="369" t="str">
        <f t="shared" si="274"/>
        <v/>
      </c>
      <c r="O1173" s="183" t="str">
        <f t="shared" si="275"/>
        <v/>
      </c>
      <c r="P1173" s="199" t="str">
        <f t="shared" si="276"/>
        <v/>
      </c>
      <c r="Q1173" s="199" t="str">
        <f>IF(B1173="","",IFERROR(IF('עלויות כח אדם (6)'!J1173&gt;=VLOOKUP(I1173,'סיווג התפקידים והעלויות'!$B$23:$C$32,2,0),"תקין","לא תקין"),""))</f>
        <v/>
      </c>
      <c r="R1173" s="199" t="str">
        <f t="shared" si="277"/>
        <v/>
      </c>
      <c r="S1173" s="199" t="str">
        <f t="shared" si="278"/>
        <v/>
      </c>
      <c r="T1173" s="199" t="str">
        <f t="shared" si="286"/>
        <v/>
      </c>
      <c r="U1173" s="199" t="str">
        <f t="shared" si="279"/>
        <v/>
      </c>
      <c r="V1173" s="989"/>
      <c r="X1173" s="374" t="str">
        <f t="shared" si="280"/>
        <v/>
      </c>
      <c r="Y1173" s="375" t="str">
        <f t="shared" si="281"/>
        <v/>
      </c>
      <c r="Z1173" s="374" t="str">
        <f t="shared" si="282"/>
        <v/>
      </c>
      <c r="AA1173" s="374" t="b">
        <f t="shared" si="283"/>
        <v>1</v>
      </c>
      <c r="AB1173" s="374">
        <f>COUNTIFS(B:B,B1173,H:H,'סיווג התפקידים והעלויות'!$C$2)</f>
        <v>0</v>
      </c>
      <c r="AC1173" s="374">
        <f>COUNTIFS(B:B,B1173,H:H,'סיווג התפקידים והעלויות'!$D$2)</f>
        <v>0</v>
      </c>
      <c r="AD1173" s="374" t="str">
        <f>IF(OR(AND(H1173='סיווג התפקידים והעלויות'!$A$2,I1173='סיווג התפקידים והעלויות'!$A$3),'עלויות כח אדם (6)'!H1173='סיווג התפקידים והעלויות'!$C$2,'עלויות כח אדם (6)'!H1173='סיווג התפקידים והעלויות'!$D$2),IF('עלויות כח אדם (6)'!J1173&lt;75,"לא תקין","תקין"),"")</f>
        <v/>
      </c>
      <c r="AE1173" s="374" t="str">
        <f t="shared" si="284"/>
        <v/>
      </c>
      <c r="AF1173" s="532" t="str">
        <f t="shared" si="285"/>
        <v/>
      </c>
    </row>
    <row r="1174" spans="2:32" x14ac:dyDescent="0.25">
      <c r="B1174" s="695"/>
      <c r="C1174" s="197" t="str">
        <f>IF(B1174&lt;&gt;"",IFERROR(VLOOKUP(B:B,'מצבת והרשמה (2)'!$C$20:$N$520,2,0)," ")," ")</f>
        <v xml:space="preserve"> </v>
      </c>
      <c r="D1174" s="695"/>
      <c r="E1174" s="696"/>
      <c r="F1174" s="696"/>
      <c r="G1174" s="696"/>
      <c r="H1174" s="696"/>
      <c r="I1174" s="1050" t="str">
        <f t="shared" si="272"/>
        <v/>
      </c>
      <c r="J1174" s="696"/>
      <c r="K1174" s="697"/>
      <c r="L1174" s="696"/>
      <c r="M1174" s="198" t="str">
        <f t="shared" si="273"/>
        <v/>
      </c>
      <c r="N1174" s="369" t="str">
        <f t="shared" si="274"/>
        <v/>
      </c>
      <c r="O1174" s="183" t="str">
        <f t="shared" si="275"/>
        <v/>
      </c>
      <c r="P1174" s="199" t="str">
        <f t="shared" si="276"/>
        <v/>
      </c>
      <c r="Q1174" s="199" t="str">
        <f>IF(B1174="","",IFERROR(IF('עלויות כח אדם (6)'!J1174&gt;=VLOOKUP(I1174,'סיווג התפקידים והעלויות'!$B$23:$C$32,2,0),"תקין","לא תקין"),""))</f>
        <v/>
      </c>
      <c r="R1174" s="199" t="str">
        <f t="shared" si="277"/>
        <v/>
      </c>
      <c r="S1174" s="199" t="str">
        <f t="shared" si="278"/>
        <v/>
      </c>
      <c r="T1174" s="199" t="str">
        <f t="shared" si="286"/>
        <v/>
      </c>
      <c r="U1174" s="199" t="str">
        <f t="shared" si="279"/>
        <v/>
      </c>
      <c r="V1174" s="989"/>
      <c r="X1174" s="374" t="str">
        <f t="shared" si="280"/>
        <v/>
      </c>
      <c r="Y1174" s="375" t="str">
        <f t="shared" si="281"/>
        <v/>
      </c>
      <c r="Z1174" s="374" t="str">
        <f t="shared" si="282"/>
        <v/>
      </c>
      <c r="AA1174" s="374" t="b">
        <f t="shared" si="283"/>
        <v>1</v>
      </c>
      <c r="AB1174" s="374">
        <f>COUNTIFS(B:B,B1174,H:H,'סיווג התפקידים והעלויות'!$C$2)</f>
        <v>0</v>
      </c>
      <c r="AC1174" s="374">
        <f>COUNTIFS(B:B,B1174,H:H,'סיווג התפקידים והעלויות'!$D$2)</f>
        <v>0</v>
      </c>
      <c r="AD1174" s="374" t="str">
        <f>IF(OR(AND(H1174='סיווג התפקידים והעלויות'!$A$2,I1174='סיווג התפקידים והעלויות'!$A$3),'עלויות כח אדם (6)'!H1174='סיווג התפקידים והעלויות'!$C$2,'עלויות כח אדם (6)'!H1174='סיווג התפקידים והעלויות'!$D$2),IF('עלויות כח אדם (6)'!J1174&lt;75,"לא תקין","תקין"),"")</f>
        <v/>
      </c>
      <c r="AE1174" s="374" t="str">
        <f t="shared" si="284"/>
        <v/>
      </c>
      <c r="AF1174" s="532" t="str">
        <f t="shared" si="285"/>
        <v/>
      </c>
    </row>
    <row r="1175" spans="2:32" x14ac:dyDescent="0.25">
      <c r="B1175" s="695"/>
      <c r="C1175" s="197" t="str">
        <f>IF(B1175&lt;&gt;"",IFERROR(VLOOKUP(B:B,'מצבת והרשמה (2)'!$C$20:$N$520,2,0)," ")," ")</f>
        <v xml:space="preserve"> </v>
      </c>
      <c r="D1175" s="695"/>
      <c r="E1175" s="696"/>
      <c r="F1175" s="696"/>
      <c r="G1175" s="696"/>
      <c r="H1175" s="696"/>
      <c r="I1175" s="1050" t="str">
        <f t="shared" si="272"/>
        <v/>
      </c>
      <c r="J1175" s="696"/>
      <c r="K1175" s="697"/>
      <c r="L1175" s="696"/>
      <c r="M1175" s="198" t="str">
        <f t="shared" si="273"/>
        <v/>
      </c>
      <c r="N1175" s="369" t="str">
        <f t="shared" si="274"/>
        <v/>
      </c>
      <c r="O1175" s="183" t="str">
        <f t="shared" si="275"/>
        <v/>
      </c>
      <c r="P1175" s="199" t="str">
        <f t="shared" si="276"/>
        <v/>
      </c>
      <c r="Q1175" s="199" t="str">
        <f>IF(B1175="","",IFERROR(IF('עלויות כח אדם (6)'!J1175&gt;=VLOOKUP(I1175,'סיווג התפקידים והעלויות'!$B$23:$C$32,2,0),"תקין","לא תקין"),""))</f>
        <v/>
      </c>
      <c r="R1175" s="199" t="str">
        <f t="shared" si="277"/>
        <v/>
      </c>
      <c r="S1175" s="199" t="str">
        <f t="shared" si="278"/>
        <v/>
      </c>
      <c r="T1175" s="199" t="str">
        <f t="shared" si="286"/>
        <v/>
      </c>
      <c r="U1175" s="199" t="str">
        <f t="shared" si="279"/>
        <v/>
      </c>
      <c r="V1175" s="989"/>
      <c r="X1175" s="374" t="str">
        <f t="shared" si="280"/>
        <v/>
      </c>
      <c r="Y1175" s="375" t="str">
        <f t="shared" si="281"/>
        <v/>
      </c>
      <c r="Z1175" s="374" t="str">
        <f t="shared" si="282"/>
        <v/>
      </c>
      <c r="AA1175" s="374" t="b">
        <f t="shared" si="283"/>
        <v>1</v>
      </c>
      <c r="AB1175" s="374">
        <f>COUNTIFS(B:B,B1175,H:H,'סיווג התפקידים והעלויות'!$C$2)</f>
        <v>0</v>
      </c>
      <c r="AC1175" s="374">
        <f>COUNTIFS(B:B,B1175,H:H,'סיווג התפקידים והעלויות'!$D$2)</f>
        <v>0</v>
      </c>
      <c r="AD1175" s="374" t="str">
        <f>IF(OR(AND(H1175='סיווג התפקידים והעלויות'!$A$2,I1175='סיווג התפקידים והעלויות'!$A$3),'עלויות כח אדם (6)'!H1175='סיווג התפקידים והעלויות'!$C$2,'עלויות כח אדם (6)'!H1175='סיווג התפקידים והעלויות'!$D$2),IF('עלויות כח אדם (6)'!J1175&lt;75,"לא תקין","תקין"),"")</f>
        <v/>
      </c>
      <c r="AE1175" s="374" t="str">
        <f t="shared" si="284"/>
        <v/>
      </c>
      <c r="AF1175" s="532" t="str">
        <f t="shared" si="285"/>
        <v/>
      </c>
    </row>
    <row r="1176" spans="2:32" x14ac:dyDescent="0.25">
      <c r="B1176" s="695"/>
      <c r="C1176" s="197" t="str">
        <f>IF(B1176&lt;&gt;"",IFERROR(VLOOKUP(B:B,'מצבת והרשמה (2)'!$C$20:$N$520,2,0)," ")," ")</f>
        <v xml:space="preserve"> </v>
      </c>
      <c r="D1176" s="695"/>
      <c r="E1176" s="696"/>
      <c r="F1176" s="696"/>
      <c r="G1176" s="696"/>
      <c r="H1176" s="696"/>
      <c r="I1176" s="1050" t="str">
        <f t="shared" si="272"/>
        <v/>
      </c>
      <c r="J1176" s="696"/>
      <c r="K1176" s="697"/>
      <c r="L1176" s="696"/>
      <c r="M1176" s="198" t="str">
        <f t="shared" si="273"/>
        <v/>
      </c>
      <c r="N1176" s="369" t="str">
        <f t="shared" si="274"/>
        <v/>
      </c>
      <c r="O1176" s="183" t="str">
        <f t="shared" si="275"/>
        <v/>
      </c>
      <c r="P1176" s="199" t="str">
        <f t="shared" si="276"/>
        <v/>
      </c>
      <c r="Q1176" s="199" t="str">
        <f>IF(B1176="","",IFERROR(IF('עלויות כח אדם (6)'!J1176&gt;=VLOOKUP(I1176,'סיווג התפקידים והעלויות'!$B$23:$C$32,2,0),"תקין","לא תקין"),""))</f>
        <v/>
      </c>
      <c r="R1176" s="199" t="str">
        <f t="shared" si="277"/>
        <v/>
      </c>
      <c r="S1176" s="199" t="str">
        <f t="shared" si="278"/>
        <v/>
      </c>
      <c r="T1176" s="199" t="str">
        <f t="shared" si="286"/>
        <v/>
      </c>
      <c r="U1176" s="199" t="str">
        <f t="shared" si="279"/>
        <v/>
      </c>
      <c r="V1176" s="989"/>
      <c r="X1176" s="374" t="str">
        <f t="shared" si="280"/>
        <v/>
      </c>
      <c r="Y1176" s="375" t="str">
        <f t="shared" si="281"/>
        <v/>
      </c>
      <c r="Z1176" s="374" t="str">
        <f t="shared" si="282"/>
        <v/>
      </c>
      <c r="AA1176" s="374" t="b">
        <f t="shared" si="283"/>
        <v>1</v>
      </c>
      <c r="AB1176" s="374">
        <f>COUNTIFS(B:B,B1176,H:H,'סיווג התפקידים והעלויות'!$C$2)</f>
        <v>0</v>
      </c>
      <c r="AC1176" s="374">
        <f>COUNTIFS(B:B,B1176,H:H,'סיווג התפקידים והעלויות'!$D$2)</f>
        <v>0</v>
      </c>
      <c r="AD1176" s="374" t="str">
        <f>IF(OR(AND(H1176='סיווג התפקידים והעלויות'!$A$2,I1176='סיווג התפקידים והעלויות'!$A$3),'עלויות כח אדם (6)'!H1176='סיווג התפקידים והעלויות'!$C$2,'עלויות כח אדם (6)'!H1176='סיווג התפקידים והעלויות'!$D$2),IF('עלויות כח אדם (6)'!J1176&lt;75,"לא תקין","תקין"),"")</f>
        <v/>
      </c>
      <c r="AE1176" s="374" t="str">
        <f t="shared" si="284"/>
        <v/>
      </c>
      <c r="AF1176" s="532" t="str">
        <f t="shared" si="285"/>
        <v/>
      </c>
    </row>
    <row r="1177" spans="2:32" x14ac:dyDescent="0.25">
      <c r="B1177" s="695"/>
      <c r="C1177" s="197" t="str">
        <f>IF(B1177&lt;&gt;"",IFERROR(VLOOKUP(B:B,'מצבת והרשמה (2)'!$C$20:$N$520,2,0)," ")," ")</f>
        <v xml:space="preserve"> </v>
      </c>
      <c r="D1177" s="695"/>
      <c r="E1177" s="696"/>
      <c r="F1177" s="696"/>
      <c r="G1177" s="696"/>
      <c r="H1177" s="696"/>
      <c r="I1177" s="1050" t="str">
        <f t="shared" si="272"/>
        <v/>
      </c>
      <c r="J1177" s="696"/>
      <c r="K1177" s="697"/>
      <c r="L1177" s="696"/>
      <c r="M1177" s="198" t="str">
        <f t="shared" si="273"/>
        <v/>
      </c>
      <c r="N1177" s="369" t="str">
        <f t="shared" si="274"/>
        <v/>
      </c>
      <c r="O1177" s="183" t="str">
        <f t="shared" si="275"/>
        <v/>
      </c>
      <c r="P1177" s="199" t="str">
        <f t="shared" si="276"/>
        <v/>
      </c>
      <c r="Q1177" s="199" t="str">
        <f>IF(B1177="","",IFERROR(IF('עלויות כח אדם (6)'!J1177&gt;=VLOOKUP(I1177,'סיווג התפקידים והעלויות'!$B$23:$C$32,2,0),"תקין","לא תקין"),""))</f>
        <v/>
      </c>
      <c r="R1177" s="199" t="str">
        <f t="shared" si="277"/>
        <v/>
      </c>
      <c r="S1177" s="199" t="str">
        <f t="shared" si="278"/>
        <v/>
      </c>
      <c r="T1177" s="199" t="str">
        <f t="shared" si="286"/>
        <v/>
      </c>
      <c r="U1177" s="199" t="str">
        <f t="shared" si="279"/>
        <v/>
      </c>
      <c r="V1177" s="989"/>
      <c r="X1177" s="374" t="str">
        <f t="shared" si="280"/>
        <v/>
      </c>
      <c r="Y1177" s="375" t="str">
        <f t="shared" si="281"/>
        <v/>
      </c>
      <c r="Z1177" s="374" t="str">
        <f t="shared" si="282"/>
        <v/>
      </c>
      <c r="AA1177" s="374" t="b">
        <f t="shared" si="283"/>
        <v>1</v>
      </c>
      <c r="AB1177" s="374">
        <f>COUNTIFS(B:B,B1177,H:H,'סיווג התפקידים והעלויות'!$C$2)</f>
        <v>0</v>
      </c>
      <c r="AC1177" s="374">
        <f>COUNTIFS(B:B,B1177,H:H,'סיווג התפקידים והעלויות'!$D$2)</f>
        <v>0</v>
      </c>
      <c r="AD1177" s="374" t="str">
        <f>IF(OR(AND(H1177='סיווג התפקידים והעלויות'!$A$2,I1177='סיווג התפקידים והעלויות'!$A$3),'עלויות כח אדם (6)'!H1177='סיווג התפקידים והעלויות'!$C$2,'עלויות כח אדם (6)'!H1177='סיווג התפקידים והעלויות'!$D$2),IF('עלויות כח אדם (6)'!J1177&lt;75,"לא תקין","תקין"),"")</f>
        <v/>
      </c>
      <c r="AE1177" s="374" t="str">
        <f t="shared" si="284"/>
        <v/>
      </c>
      <c r="AF1177" s="532" t="str">
        <f t="shared" si="285"/>
        <v/>
      </c>
    </row>
    <row r="1178" spans="2:32" x14ac:dyDescent="0.25">
      <c r="B1178" s="695"/>
      <c r="C1178" s="197" t="str">
        <f>IF(B1178&lt;&gt;"",IFERROR(VLOOKUP(B:B,'מצבת והרשמה (2)'!$C$20:$N$520,2,0)," ")," ")</f>
        <v xml:space="preserve"> </v>
      </c>
      <c r="D1178" s="695"/>
      <c r="E1178" s="696"/>
      <c r="F1178" s="696"/>
      <c r="G1178" s="696"/>
      <c r="H1178" s="696"/>
      <c r="I1178" s="1050" t="str">
        <f t="shared" si="272"/>
        <v/>
      </c>
      <c r="J1178" s="696"/>
      <c r="K1178" s="697"/>
      <c r="L1178" s="696"/>
      <c r="M1178" s="198" t="str">
        <f t="shared" si="273"/>
        <v/>
      </c>
      <c r="N1178" s="369" t="str">
        <f t="shared" si="274"/>
        <v/>
      </c>
      <c r="O1178" s="183" t="str">
        <f t="shared" si="275"/>
        <v/>
      </c>
      <c r="P1178" s="199" t="str">
        <f t="shared" si="276"/>
        <v/>
      </c>
      <c r="Q1178" s="199" t="str">
        <f>IF(B1178="","",IFERROR(IF('עלויות כח אדם (6)'!J1178&gt;=VLOOKUP(I1178,'סיווג התפקידים והעלויות'!$B$23:$C$32,2,0),"תקין","לא תקין"),""))</f>
        <v/>
      </c>
      <c r="R1178" s="199" t="str">
        <f t="shared" si="277"/>
        <v/>
      </c>
      <c r="S1178" s="199" t="str">
        <f t="shared" si="278"/>
        <v/>
      </c>
      <c r="T1178" s="199" t="str">
        <f t="shared" si="286"/>
        <v/>
      </c>
      <c r="U1178" s="199" t="str">
        <f t="shared" si="279"/>
        <v/>
      </c>
      <c r="V1178" s="989"/>
      <c r="X1178" s="374" t="str">
        <f t="shared" si="280"/>
        <v/>
      </c>
      <c r="Y1178" s="375" t="str">
        <f t="shared" si="281"/>
        <v/>
      </c>
      <c r="Z1178" s="374" t="str">
        <f t="shared" si="282"/>
        <v/>
      </c>
      <c r="AA1178" s="374" t="b">
        <f t="shared" si="283"/>
        <v>1</v>
      </c>
      <c r="AB1178" s="374">
        <f>COUNTIFS(B:B,B1178,H:H,'סיווג התפקידים והעלויות'!$C$2)</f>
        <v>0</v>
      </c>
      <c r="AC1178" s="374">
        <f>COUNTIFS(B:B,B1178,H:H,'סיווג התפקידים והעלויות'!$D$2)</f>
        <v>0</v>
      </c>
      <c r="AD1178" s="374" t="str">
        <f>IF(OR(AND(H1178='סיווג התפקידים והעלויות'!$A$2,I1178='סיווג התפקידים והעלויות'!$A$3),'עלויות כח אדם (6)'!H1178='סיווג התפקידים והעלויות'!$C$2,'עלויות כח אדם (6)'!H1178='סיווג התפקידים והעלויות'!$D$2),IF('עלויות כח אדם (6)'!J1178&lt;75,"לא תקין","תקין"),"")</f>
        <v/>
      </c>
      <c r="AE1178" s="374" t="str">
        <f t="shared" si="284"/>
        <v/>
      </c>
      <c r="AF1178" s="532" t="str">
        <f t="shared" si="285"/>
        <v/>
      </c>
    </row>
    <row r="1179" spans="2:32" x14ac:dyDescent="0.25">
      <c r="B1179" s="695"/>
      <c r="C1179" s="197" t="str">
        <f>IF(B1179&lt;&gt;"",IFERROR(VLOOKUP(B:B,'מצבת והרשמה (2)'!$C$20:$N$520,2,0)," ")," ")</f>
        <v xml:space="preserve"> </v>
      </c>
      <c r="D1179" s="695"/>
      <c r="E1179" s="696"/>
      <c r="F1179" s="696"/>
      <c r="G1179" s="696"/>
      <c r="H1179" s="696"/>
      <c r="I1179" s="1050" t="str">
        <f t="shared" si="272"/>
        <v/>
      </c>
      <c r="J1179" s="696"/>
      <c r="K1179" s="697"/>
      <c r="L1179" s="696"/>
      <c r="M1179" s="198" t="str">
        <f t="shared" si="273"/>
        <v/>
      </c>
      <c r="N1179" s="369" t="str">
        <f t="shared" si="274"/>
        <v/>
      </c>
      <c r="O1179" s="183" t="str">
        <f t="shared" si="275"/>
        <v/>
      </c>
      <c r="P1179" s="199" t="str">
        <f t="shared" si="276"/>
        <v/>
      </c>
      <c r="Q1179" s="199" t="str">
        <f>IF(B1179="","",IFERROR(IF('עלויות כח אדם (6)'!J1179&gt;=VLOOKUP(I1179,'סיווג התפקידים והעלויות'!$B$23:$C$32,2,0),"תקין","לא תקין"),""))</f>
        <v/>
      </c>
      <c r="R1179" s="199" t="str">
        <f t="shared" si="277"/>
        <v/>
      </c>
      <c r="S1179" s="199" t="str">
        <f t="shared" si="278"/>
        <v/>
      </c>
      <c r="T1179" s="199" t="str">
        <f t="shared" si="286"/>
        <v/>
      </c>
      <c r="U1179" s="199" t="str">
        <f t="shared" si="279"/>
        <v/>
      </c>
      <c r="V1179" s="989"/>
      <c r="X1179" s="374" t="str">
        <f t="shared" si="280"/>
        <v/>
      </c>
      <c r="Y1179" s="375" t="str">
        <f t="shared" si="281"/>
        <v/>
      </c>
      <c r="Z1179" s="374" t="str">
        <f t="shared" si="282"/>
        <v/>
      </c>
      <c r="AA1179" s="374" t="b">
        <f t="shared" si="283"/>
        <v>1</v>
      </c>
      <c r="AB1179" s="374">
        <f>COUNTIFS(B:B,B1179,H:H,'סיווג התפקידים והעלויות'!$C$2)</f>
        <v>0</v>
      </c>
      <c r="AC1179" s="374">
        <f>COUNTIFS(B:B,B1179,H:H,'סיווג התפקידים והעלויות'!$D$2)</f>
        <v>0</v>
      </c>
      <c r="AD1179" s="374" t="str">
        <f>IF(OR(AND(H1179='סיווג התפקידים והעלויות'!$A$2,I1179='סיווג התפקידים והעלויות'!$A$3),'עלויות כח אדם (6)'!H1179='סיווג התפקידים והעלויות'!$C$2,'עלויות כח אדם (6)'!H1179='סיווג התפקידים והעלויות'!$D$2),IF('עלויות כח אדם (6)'!J1179&lt;75,"לא תקין","תקין"),"")</f>
        <v/>
      </c>
      <c r="AE1179" s="374" t="str">
        <f t="shared" si="284"/>
        <v/>
      </c>
      <c r="AF1179" s="532" t="str">
        <f t="shared" si="285"/>
        <v/>
      </c>
    </row>
    <row r="1180" spans="2:32" x14ac:dyDescent="0.25">
      <c r="B1180" s="695"/>
      <c r="C1180" s="197" t="str">
        <f>IF(B1180&lt;&gt;"",IFERROR(VLOOKUP(B:B,'מצבת והרשמה (2)'!$C$20:$N$520,2,0)," ")," ")</f>
        <v xml:space="preserve"> </v>
      </c>
      <c r="D1180" s="695"/>
      <c r="E1180" s="696"/>
      <c r="F1180" s="696"/>
      <c r="G1180" s="696"/>
      <c r="H1180" s="696"/>
      <c r="I1180" s="1050" t="str">
        <f t="shared" si="272"/>
        <v/>
      </c>
      <c r="J1180" s="696"/>
      <c r="K1180" s="697"/>
      <c r="L1180" s="696"/>
      <c r="M1180" s="198" t="str">
        <f t="shared" si="273"/>
        <v/>
      </c>
      <c r="N1180" s="369" t="str">
        <f t="shared" si="274"/>
        <v/>
      </c>
      <c r="O1180" s="183" t="str">
        <f t="shared" si="275"/>
        <v/>
      </c>
      <c r="P1180" s="199" t="str">
        <f t="shared" si="276"/>
        <v/>
      </c>
      <c r="Q1180" s="199" t="str">
        <f>IF(B1180="","",IFERROR(IF('עלויות כח אדם (6)'!J1180&gt;=VLOOKUP(I1180,'סיווג התפקידים והעלויות'!$B$23:$C$32,2,0),"תקין","לא תקין"),""))</f>
        <v/>
      </c>
      <c r="R1180" s="199" t="str">
        <f t="shared" si="277"/>
        <v/>
      </c>
      <c r="S1180" s="199" t="str">
        <f t="shared" si="278"/>
        <v/>
      </c>
      <c r="T1180" s="199" t="str">
        <f t="shared" si="286"/>
        <v/>
      </c>
      <c r="U1180" s="199" t="str">
        <f t="shared" si="279"/>
        <v/>
      </c>
      <c r="V1180" s="989"/>
      <c r="X1180" s="374" t="str">
        <f t="shared" si="280"/>
        <v/>
      </c>
      <c r="Y1180" s="375" t="str">
        <f t="shared" si="281"/>
        <v/>
      </c>
      <c r="Z1180" s="374" t="str">
        <f t="shared" si="282"/>
        <v/>
      </c>
      <c r="AA1180" s="374" t="b">
        <f t="shared" si="283"/>
        <v>1</v>
      </c>
      <c r="AB1180" s="374">
        <f>COUNTIFS(B:B,B1180,H:H,'סיווג התפקידים והעלויות'!$C$2)</f>
        <v>0</v>
      </c>
      <c r="AC1180" s="374">
        <f>COUNTIFS(B:B,B1180,H:H,'סיווג התפקידים והעלויות'!$D$2)</f>
        <v>0</v>
      </c>
      <c r="AD1180" s="374" t="str">
        <f>IF(OR(AND(H1180='סיווג התפקידים והעלויות'!$A$2,I1180='סיווג התפקידים והעלויות'!$A$3),'עלויות כח אדם (6)'!H1180='סיווג התפקידים והעלויות'!$C$2,'עלויות כח אדם (6)'!H1180='סיווג התפקידים והעלויות'!$D$2),IF('עלויות כח אדם (6)'!J1180&lt;75,"לא תקין","תקין"),"")</f>
        <v/>
      </c>
      <c r="AE1180" s="374" t="str">
        <f t="shared" si="284"/>
        <v/>
      </c>
      <c r="AF1180" s="532" t="str">
        <f t="shared" si="285"/>
        <v/>
      </c>
    </row>
    <row r="1181" spans="2:32" x14ac:dyDescent="0.25">
      <c r="B1181" s="695"/>
      <c r="C1181" s="197" t="str">
        <f>IF(B1181&lt;&gt;"",IFERROR(VLOOKUP(B:B,'מצבת והרשמה (2)'!$C$20:$N$520,2,0)," ")," ")</f>
        <v xml:space="preserve"> </v>
      </c>
      <c r="D1181" s="695"/>
      <c r="E1181" s="696"/>
      <c r="F1181" s="696"/>
      <c r="G1181" s="696"/>
      <c r="H1181" s="696"/>
      <c r="I1181" s="1050" t="str">
        <f t="shared" si="272"/>
        <v/>
      </c>
      <c r="J1181" s="696"/>
      <c r="K1181" s="697"/>
      <c r="L1181" s="696"/>
      <c r="M1181" s="198" t="str">
        <f t="shared" si="273"/>
        <v/>
      </c>
      <c r="N1181" s="369" t="str">
        <f t="shared" si="274"/>
        <v/>
      </c>
      <c r="O1181" s="183" t="str">
        <f t="shared" si="275"/>
        <v/>
      </c>
      <c r="P1181" s="199" t="str">
        <f t="shared" si="276"/>
        <v/>
      </c>
      <c r="Q1181" s="199" t="str">
        <f>IF(B1181="","",IFERROR(IF('עלויות כח אדם (6)'!J1181&gt;=VLOOKUP(I1181,'סיווג התפקידים והעלויות'!$B$23:$C$32,2,0),"תקין","לא תקין"),""))</f>
        <v/>
      </c>
      <c r="R1181" s="199" t="str">
        <f t="shared" si="277"/>
        <v/>
      </c>
      <c r="S1181" s="199" t="str">
        <f t="shared" si="278"/>
        <v/>
      </c>
      <c r="T1181" s="199" t="str">
        <f t="shared" si="286"/>
        <v/>
      </c>
      <c r="U1181" s="199" t="str">
        <f t="shared" si="279"/>
        <v/>
      </c>
      <c r="V1181" s="989"/>
      <c r="X1181" s="374" t="str">
        <f t="shared" si="280"/>
        <v/>
      </c>
      <c r="Y1181" s="375" t="str">
        <f t="shared" si="281"/>
        <v/>
      </c>
      <c r="Z1181" s="374" t="str">
        <f t="shared" si="282"/>
        <v/>
      </c>
      <c r="AA1181" s="374" t="b">
        <f t="shared" si="283"/>
        <v>1</v>
      </c>
      <c r="AB1181" s="374">
        <f>COUNTIFS(B:B,B1181,H:H,'סיווג התפקידים והעלויות'!$C$2)</f>
        <v>0</v>
      </c>
      <c r="AC1181" s="374">
        <f>COUNTIFS(B:B,B1181,H:H,'סיווג התפקידים והעלויות'!$D$2)</f>
        <v>0</v>
      </c>
      <c r="AD1181" s="374" t="str">
        <f>IF(OR(AND(H1181='סיווג התפקידים והעלויות'!$A$2,I1181='סיווג התפקידים והעלויות'!$A$3),'עלויות כח אדם (6)'!H1181='סיווג התפקידים והעלויות'!$C$2,'עלויות כח אדם (6)'!H1181='סיווג התפקידים והעלויות'!$D$2),IF('עלויות כח אדם (6)'!J1181&lt;75,"לא תקין","תקין"),"")</f>
        <v/>
      </c>
      <c r="AE1181" s="374" t="str">
        <f t="shared" si="284"/>
        <v/>
      </c>
      <c r="AF1181" s="532" t="str">
        <f t="shared" si="285"/>
        <v/>
      </c>
    </row>
    <row r="1182" spans="2:32" x14ac:dyDescent="0.25">
      <c r="B1182" s="695"/>
      <c r="C1182" s="197" t="str">
        <f>IF(B1182&lt;&gt;"",IFERROR(VLOOKUP(B:B,'מצבת והרשמה (2)'!$C$20:$N$520,2,0)," ")," ")</f>
        <v xml:space="preserve"> </v>
      </c>
      <c r="D1182" s="695"/>
      <c r="E1182" s="696"/>
      <c r="F1182" s="696"/>
      <c r="G1182" s="696"/>
      <c r="H1182" s="696"/>
      <c r="I1182" s="1050" t="str">
        <f t="shared" si="272"/>
        <v/>
      </c>
      <c r="J1182" s="696"/>
      <c r="K1182" s="697"/>
      <c r="L1182" s="696"/>
      <c r="M1182" s="198" t="str">
        <f t="shared" si="273"/>
        <v/>
      </c>
      <c r="N1182" s="369" t="str">
        <f t="shared" si="274"/>
        <v/>
      </c>
      <c r="O1182" s="183" t="str">
        <f t="shared" si="275"/>
        <v/>
      </c>
      <c r="P1182" s="199" t="str">
        <f t="shared" si="276"/>
        <v/>
      </c>
      <c r="Q1182" s="199" t="str">
        <f>IF(B1182="","",IFERROR(IF('עלויות כח אדם (6)'!J1182&gt;=VLOOKUP(I1182,'סיווג התפקידים והעלויות'!$B$23:$C$32,2,0),"תקין","לא תקין"),""))</f>
        <v/>
      </c>
      <c r="R1182" s="199" t="str">
        <f t="shared" si="277"/>
        <v/>
      </c>
      <c r="S1182" s="199" t="str">
        <f t="shared" si="278"/>
        <v/>
      </c>
      <c r="T1182" s="199" t="str">
        <f t="shared" si="286"/>
        <v/>
      </c>
      <c r="U1182" s="199" t="str">
        <f t="shared" si="279"/>
        <v/>
      </c>
      <c r="V1182" s="989"/>
      <c r="X1182" s="374" t="str">
        <f t="shared" si="280"/>
        <v/>
      </c>
      <c r="Y1182" s="375" t="str">
        <f t="shared" si="281"/>
        <v/>
      </c>
      <c r="Z1182" s="374" t="str">
        <f t="shared" si="282"/>
        <v/>
      </c>
      <c r="AA1182" s="374" t="b">
        <f t="shared" si="283"/>
        <v>1</v>
      </c>
      <c r="AB1182" s="374">
        <f>COUNTIFS(B:B,B1182,H:H,'סיווג התפקידים והעלויות'!$C$2)</f>
        <v>0</v>
      </c>
      <c r="AC1182" s="374">
        <f>COUNTIFS(B:B,B1182,H:H,'סיווג התפקידים והעלויות'!$D$2)</f>
        <v>0</v>
      </c>
      <c r="AD1182" s="374" t="str">
        <f>IF(OR(AND(H1182='סיווג התפקידים והעלויות'!$A$2,I1182='סיווג התפקידים והעלויות'!$A$3),'עלויות כח אדם (6)'!H1182='סיווג התפקידים והעלויות'!$C$2,'עלויות כח אדם (6)'!H1182='סיווג התפקידים והעלויות'!$D$2),IF('עלויות כח אדם (6)'!J1182&lt;75,"לא תקין","תקין"),"")</f>
        <v/>
      </c>
      <c r="AE1182" s="374" t="str">
        <f t="shared" si="284"/>
        <v/>
      </c>
      <c r="AF1182" s="532" t="str">
        <f t="shared" si="285"/>
        <v/>
      </c>
    </row>
    <row r="1183" spans="2:32" x14ac:dyDescent="0.25">
      <c r="B1183" s="695"/>
      <c r="C1183" s="197" t="str">
        <f>IF(B1183&lt;&gt;"",IFERROR(VLOOKUP(B:B,'מצבת והרשמה (2)'!$C$20:$N$520,2,0)," ")," ")</f>
        <v xml:space="preserve"> </v>
      </c>
      <c r="D1183" s="695"/>
      <c r="E1183" s="696"/>
      <c r="F1183" s="696"/>
      <c r="G1183" s="696"/>
      <c r="H1183" s="696"/>
      <c r="I1183" s="1050" t="str">
        <f t="shared" si="272"/>
        <v/>
      </c>
      <c r="J1183" s="696"/>
      <c r="K1183" s="697"/>
      <c r="L1183" s="696"/>
      <c r="M1183" s="198" t="str">
        <f t="shared" si="273"/>
        <v/>
      </c>
      <c r="N1183" s="369" t="str">
        <f t="shared" si="274"/>
        <v/>
      </c>
      <c r="O1183" s="183" t="str">
        <f t="shared" si="275"/>
        <v/>
      </c>
      <c r="P1183" s="199" t="str">
        <f t="shared" si="276"/>
        <v/>
      </c>
      <c r="Q1183" s="199" t="str">
        <f>IF(B1183="","",IFERROR(IF('עלויות כח אדם (6)'!J1183&gt;=VLOOKUP(I1183,'סיווג התפקידים והעלויות'!$B$23:$C$32,2,0),"תקין","לא תקין"),""))</f>
        <v/>
      </c>
      <c r="R1183" s="199" t="str">
        <f t="shared" si="277"/>
        <v/>
      </c>
      <c r="S1183" s="199" t="str">
        <f t="shared" si="278"/>
        <v/>
      </c>
      <c r="T1183" s="199" t="str">
        <f t="shared" si="286"/>
        <v/>
      </c>
      <c r="U1183" s="199" t="str">
        <f t="shared" si="279"/>
        <v/>
      </c>
      <c r="V1183" s="989"/>
      <c r="X1183" s="374" t="str">
        <f t="shared" si="280"/>
        <v/>
      </c>
      <c r="Y1183" s="375" t="str">
        <f t="shared" si="281"/>
        <v/>
      </c>
      <c r="Z1183" s="374" t="str">
        <f t="shared" si="282"/>
        <v/>
      </c>
      <c r="AA1183" s="374" t="b">
        <f t="shared" si="283"/>
        <v>1</v>
      </c>
      <c r="AB1183" s="374">
        <f>COUNTIFS(B:B,B1183,H:H,'סיווג התפקידים והעלויות'!$C$2)</f>
        <v>0</v>
      </c>
      <c r="AC1183" s="374">
        <f>COUNTIFS(B:B,B1183,H:H,'סיווג התפקידים והעלויות'!$D$2)</f>
        <v>0</v>
      </c>
      <c r="AD1183" s="374" t="str">
        <f>IF(OR(AND(H1183='סיווג התפקידים והעלויות'!$A$2,I1183='סיווג התפקידים והעלויות'!$A$3),'עלויות כח אדם (6)'!H1183='סיווג התפקידים והעלויות'!$C$2,'עלויות כח אדם (6)'!H1183='סיווג התפקידים והעלויות'!$D$2),IF('עלויות כח אדם (6)'!J1183&lt;75,"לא תקין","תקין"),"")</f>
        <v/>
      </c>
      <c r="AE1183" s="374" t="str">
        <f t="shared" si="284"/>
        <v/>
      </c>
      <c r="AF1183" s="532" t="str">
        <f t="shared" si="285"/>
        <v/>
      </c>
    </row>
    <row r="1184" spans="2:32" x14ac:dyDescent="0.25">
      <c r="B1184" s="695"/>
      <c r="C1184" s="197" t="str">
        <f>IF(B1184&lt;&gt;"",IFERROR(VLOOKUP(B:B,'מצבת והרשמה (2)'!$C$20:$N$520,2,0)," ")," ")</f>
        <v xml:space="preserve"> </v>
      </c>
      <c r="D1184" s="695"/>
      <c r="E1184" s="696"/>
      <c r="F1184" s="696"/>
      <c r="G1184" s="696"/>
      <c r="H1184" s="696"/>
      <c r="I1184" s="1050" t="str">
        <f t="shared" si="272"/>
        <v/>
      </c>
      <c r="J1184" s="696"/>
      <c r="K1184" s="697"/>
      <c r="L1184" s="696"/>
      <c r="M1184" s="198" t="str">
        <f t="shared" si="273"/>
        <v/>
      </c>
      <c r="N1184" s="369" t="str">
        <f t="shared" si="274"/>
        <v/>
      </c>
      <c r="O1184" s="183" t="str">
        <f t="shared" si="275"/>
        <v/>
      </c>
      <c r="P1184" s="199" t="str">
        <f t="shared" si="276"/>
        <v/>
      </c>
      <c r="Q1184" s="199" t="str">
        <f>IF(B1184="","",IFERROR(IF('עלויות כח אדם (6)'!J1184&gt;=VLOOKUP(I1184,'סיווג התפקידים והעלויות'!$B$23:$C$32,2,0),"תקין","לא תקין"),""))</f>
        <v/>
      </c>
      <c r="R1184" s="199" t="str">
        <f t="shared" si="277"/>
        <v/>
      </c>
      <c r="S1184" s="199" t="str">
        <f t="shared" si="278"/>
        <v/>
      </c>
      <c r="T1184" s="199" t="str">
        <f t="shared" si="286"/>
        <v/>
      </c>
      <c r="U1184" s="199" t="str">
        <f t="shared" si="279"/>
        <v/>
      </c>
      <c r="V1184" s="989"/>
      <c r="X1184" s="374" t="str">
        <f t="shared" si="280"/>
        <v/>
      </c>
      <c r="Y1184" s="375" t="str">
        <f t="shared" si="281"/>
        <v/>
      </c>
      <c r="Z1184" s="374" t="str">
        <f t="shared" si="282"/>
        <v/>
      </c>
      <c r="AA1184" s="374" t="b">
        <f t="shared" si="283"/>
        <v>1</v>
      </c>
      <c r="AB1184" s="374">
        <f>COUNTIFS(B:B,B1184,H:H,'סיווג התפקידים והעלויות'!$C$2)</f>
        <v>0</v>
      </c>
      <c r="AC1184" s="374">
        <f>COUNTIFS(B:B,B1184,H:H,'סיווג התפקידים והעלויות'!$D$2)</f>
        <v>0</v>
      </c>
      <c r="AD1184" s="374" t="str">
        <f>IF(OR(AND(H1184='סיווג התפקידים והעלויות'!$A$2,I1184='סיווג התפקידים והעלויות'!$A$3),'עלויות כח אדם (6)'!H1184='סיווג התפקידים והעלויות'!$C$2,'עלויות כח אדם (6)'!H1184='סיווג התפקידים והעלויות'!$D$2),IF('עלויות כח אדם (6)'!J1184&lt;75,"לא תקין","תקין"),"")</f>
        <v/>
      </c>
      <c r="AE1184" s="374" t="str">
        <f t="shared" si="284"/>
        <v/>
      </c>
      <c r="AF1184" s="532" t="str">
        <f t="shared" si="285"/>
        <v/>
      </c>
    </row>
    <row r="1185" spans="2:32" x14ac:dyDescent="0.25">
      <c r="B1185" s="695"/>
      <c r="C1185" s="197" t="str">
        <f>IF(B1185&lt;&gt;"",IFERROR(VLOOKUP(B:B,'מצבת והרשמה (2)'!$C$20:$N$520,2,0)," ")," ")</f>
        <v xml:space="preserve"> </v>
      </c>
      <c r="D1185" s="695"/>
      <c r="E1185" s="696"/>
      <c r="F1185" s="696"/>
      <c r="G1185" s="696"/>
      <c r="H1185" s="696"/>
      <c r="I1185" s="1050" t="str">
        <f t="shared" si="272"/>
        <v/>
      </c>
      <c r="J1185" s="696"/>
      <c r="K1185" s="697"/>
      <c r="L1185" s="696"/>
      <c r="M1185" s="198" t="str">
        <f t="shared" si="273"/>
        <v/>
      </c>
      <c r="N1185" s="369" t="str">
        <f t="shared" si="274"/>
        <v/>
      </c>
      <c r="O1185" s="183" t="str">
        <f t="shared" si="275"/>
        <v/>
      </c>
      <c r="P1185" s="199" t="str">
        <f t="shared" si="276"/>
        <v/>
      </c>
      <c r="Q1185" s="199" t="str">
        <f>IF(B1185="","",IFERROR(IF('עלויות כח אדם (6)'!J1185&gt;=VLOOKUP(I1185,'סיווג התפקידים והעלויות'!$B$23:$C$32,2,0),"תקין","לא תקין"),""))</f>
        <v/>
      </c>
      <c r="R1185" s="199" t="str">
        <f t="shared" si="277"/>
        <v/>
      </c>
      <c r="S1185" s="199" t="str">
        <f t="shared" si="278"/>
        <v/>
      </c>
      <c r="T1185" s="199" t="str">
        <f t="shared" si="286"/>
        <v/>
      </c>
      <c r="U1185" s="199" t="str">
        <f t="shared" si="279"/>
        <v/>
      </c>
      <c r="V1185" s="989"/>
      <c r="X1185" s="374" t="str">
        <f t="shared" si="280"/>
        <v/>
      </c>
      <c r="Y1185" s="375" t="str">
        <f t="shared" si="281"/>
        <v/>
      </c>
      <c r="Z1185" s="374" t="str">
        <f t="shared" si="282"/>
        <v/>
      </c>
      <c r="AA1185" s="374" t="b">
        <f t="shared" si="283"/>
        <v>1</v>
      </c>
      <c r="AB1185" s="374">
        <f>COUNTIFS(B:B,B1185,H:H,'סיווג התפקידים והעלויות'!$C$2)</f>
        <v>0</v>
      </c>
      <c r="AC1185" s="374">
        <f>COUNTIFS(B:B,B1185,H:H,'סיווג התפקידים והעלויות'!$D$2)</f>
        <v>0</v>
      </c>
      <c r="AD1185" s="374" t="str">
        <f>IF(OR(AND(H1185='סיווג התפקידים והעלויות'!$A$2,I1185='סיווג התפקידים והעלויות'!$A$3),'עלויות כח אדם (6)'!H1185='סיווג התפקידים והעלויות'!$C$2,'עלויות כח אדם (6)'!H1185='סיווג התפקידים והעלויות'!$D$2),IF('עלויות כח אדם (6)'!J1185&lt;75,"לא תקין","תקין"),"")</f>
        <v/>
      </c>
      <c r="AE1185" s="374" t="str">
        <f t="shared" si="284"/>
        <v/>
      </c>
      <c r="AF1185" s="532" t="str">
        <f t="shared" si="285"/>
        <v/>
      </c>
    </row>
    <row r="1186" spans="2:32" x14ac:dyDescent="0.25">
      <c r="B1186" s="695"/>
      <c r="C1186" s="197" t="str">
        <f>IF(B1186&lt;&gt;"",IFERROR(VLOOKUP(B:B,'מצבת והרשמה (2)'!$C$20:$N$520,2,0)," ")," ")</f>
        <v xml:space="preserve"> </v>
      </c>
      <c r="D1186" s="695"/>
      <c r="E1186" s="696"/>
      <c r="F1186" s="696"/>
      <c r="G1186" s="696"/>
      <c r="H1186" s="696"/>
      <c r="I1186" s="1050" t="str">
        <f t="shared" si="272"/>
        <v/>
      </c>
      <c r="J1186" s="696"/>
      <c r="K1186" s="697"/>
      <c r="L1186" s="696"/>
      <c r="M1186" s="198" t="str">
        <f t="shared" si="273"/>
        <v/>
      </c>
      <c r="N1186" s="369" t="str">
        <f t="shared" si="274"/>
        <v/>
      </c>
      <c r="O1186" s="183" t="str">
        <f t="shared" si="275"/>
        <v/>
      </c>
      <c r="P1186" s="199" t="str">
        <f t="shared" si="276"/>
        <v/>
      </c>
      <c r="Q1186" s="199" t="str">
        <f>IF(B1186="","",IFERROR(IF('עלויות כח אדם (6)'!J1186&gt;=VLOOKUP(I1186,'סיווג התפקידים והעלויות'!$B$23:$C$32,2,0),"תקין","לא תקין"),""))</f>
        <v/>
      </c>
      <c r="R1186" s="199" t="str">
        <f t="shared" si="277"/>
        <v/>
      </c>
      <c r="S1186" s="199" t="str">
        <f t="shared" si="278"/>
        <v/>
      </c>
      <c r="T1186" s="199" t="str">
        <f t="shared" si="286"/>
        <v/>
      </c>
      <c r="U1186" s="199" t="str">
        <f t="shared" si="279"/>
        <v/>
      </c>
      <c r="V1186" s="989"/>
      <c r="X1186" s="374" t="str">
        <f t="shared" si="280"/>
        <v/>
      </c>
      <c r="Y1186" s="375" t="str">
        <f t="shared" si="281"/>
        <v/>
      </c>
      <c r="Z1186" s="374" t="str">
        <f t="shared" si="282"/>
        <v/>
      </c>
      <c r="AA1186" s="374" t="b">
        <f t="shared" si="283"/>
        <v>1</v>
      </c>
      <c r="AB1186" s="374">
        <f>COUNTIFS(B:B,B1186,H:H,'סיווג התפקידים והעלויות'!$C$2)</f>
        <v>0</v>
      </c>
      <c r="AC1186" s="374">
        <f>COUNTIFS(B:B,B1186,H:H,'סיווג התפקידים והעלויות'!$D$2)</f>
        <v>0</v>
      </c>
      <c r="AD1186" s="374" t="str">
        <f>IF(OR(AND(H1186='סיווג התפקידים והעלויות'!$A$2,I1186='סיווג התפקידים והעלויות'!$A$3),'עלויות כח אדם (6)'!H1186='סיווג התפקידים והעלויות'!$C$2,'עלויות כח אדם (6)'!H1186='סיווג התפקידים והעלויות'!$D$2),IF('עלויות כח אדם (6)'!J1186&lt;75,"לא תקין","תקין"),"")</f>
        <v/>
      </c>
      <c r="AE1186" s="374" t="str">
        <f t="shared" si="284"/>
        <v/>
      </c>
      <c r="AF1186" s="532" t="str">
        <f t="shared" si="285"/>
        <v/>
      </c>
    </row>
    <row r="1187" spans="2:32" x14ac:dyDescent="0.25">
      <c r="B1187" s="695"/>
      <c r="C1187" s="197" t="str">
        <f>IF(B1187&lt;&gt;"",IFERROR(VLOOKUP(B:B,'מצבת והרשמה (2)'!$C$20:$N$520,2,0)," ")," ")</f>
        <v xml:space="preserve"> </v>
      </c>
      <c r="D1187" s="695"/>
      <c r="E1187" s="696"/>
      <c r="F1187" s="696"/>
      <c r="G1187" s="696"/>
      <c r="H1187" s="696"/>
      <c r="I1187" s="1050" t="str">
        <f t="shared" si="272"/>
        <v/>
      </c>
      <c r="J1187" s="696"/>
      <c r="K1187" s="697"/>
      <c r="L1187" s="696"/>
      <c r="M1187" s="198" t="str">
        <f t="shared" si="273"/>
        <v/>
      </c>
      <c r="N1187" s="369" t="str">
        <f t="shared" si="274"/>
        <v/>
      </c>
      <c r="O1187" s="183" t="str">
        <f t="shared" si="275"/>
        <v/>
      </c>
      <c r="P1187" s="199" t="str">
        <f t="shared" si="276"/>
        <v/>
      </c>
      <c r="Q1187" s="199" t="str">
        <f>IF(B1187="","",IFERROR(IF('עלויות כח אדם (6)'!J1187&gt;=VLOOKUP(I1187,'סיווג התפקידים והעלויות'!$B$23:$C$32,2,0),"תקין","לא תקין"),""))</f>
        <v/>
      </c>
      <c r="R1187" s="199" t="str">
        <f t="shared" si="277"/>
        <v/>
      </c>
      <c r="S1187" s="199" t="str">
        <f t="shared" si="278"/>
        <v/>
      </c>
      <c r="T1187" s="199" t="str">
        <f t="shared" si="286"/>
        <v/>
      </c>
      <c r="U1187" s="199" t="str">
        <f t="shared" si="279"/>
        <v/>
      </c>
      <c r="V1187" s="989"/>
      <c r="X1187" s="374" t="str">
        <f t="shared" si="280"/>
        <v/>
      </c>
      <c r="Y1187" s="375" t="str">
        <f t="shared" si="281"/>
        <v/>
      </c>
      <c r="Z1187" s="374" t="str">
        <f t="shared" si="282"/>
        <v/>
      </c>
      <c r="AA1187" s="374" t="b">
        <f t="shared" si="283"/>
        <v>1</v>
      </c>
      <c r="AB1187" s="374">
        <f>COUNTIFS(B:B,B1187,H:H,'סיווג התפקידים והעלויות'!$C$2)</f>
        <v>0</v>
      </c>
      <c r="AC1187" s="374">
        <f>COUNTIFS(B:B,B1187,H:H,'סיווג התפקידים והעלויות'!$D$2)</f>
        <v>0</v>
      </c>
      <c r="AD1187" s="374" t="str">
        <f>IF(OR(AND(H1187='סיווג התפקידים והעלויות'!$A$2,I1187='סיווג התפקידים והעלויות'!$A$3),'עלויות כח אדם (6)'!H1187='סיווג התפקידים והעלויות'!$C$2,'עלויות כח אדם (6)'!H1187='סיווג התפקידים והעלויות'!$D$2),IF('עלויות כח אדם (6)'!J1187&lt;75,"לא תקין","תקין"),"")</f>
        <v/>
      </c>
      <c r="AE1187" s="374" t="str">
        <f t="shared" si="284"/>
        <v/>
      </c>
      <c r="AF1187" s="532" t="str">
        <f t="shared" si="285"/>
        <v/>
      </c>
    </row>
    <row r="1188" spans="2:32" x14ac:dyDescent="0.25">
      <c r="B1188" s="695"/>
      <c r="C1188" s="197" t="str">
        <f>IF(B1188&lt;&gt;"",IFERROR(VLOOKUP(B:B,'מצבת והרשמה (2)'!$C$20:$N$520,2,0)," ")," ")</f>
        <v xml:space="preserve"> </v>
      </c>
      <c r="D1188" s="695"/>
      <c r="E1188" s="696"/>
      <c r="F1188" s="696"/>
      <c r="G1188" s="696"/>
      <c r="H1188" s="696"/>
      <c r="I1188" s="1050" t="str">
        <f t="shared" si="272"/>
        <v/>
      </c>
      <c r="J1188" s="696"/>
      <c r="K1188" s="697"/>
      <c r="L1188" s="696"/>
      <c r="M1188" s="198" t="str">
        <f t="shared" si="273"/>
        <v/>
      </c>
      <c r="N1188" s="369" t="str">
        <f t="shared" si="274"/>
        <v/>
      </c>
      <c r="O1188" s="183" t="str">
        <f t="shared" si="275"/>
        <v/>
      </c>
      <c r="P1188" s="199" t="str">
        <f t="shared" si="276"/>
        <v/>
      </c>
      <c r="Q1188" s="199" t="str">
        <f>IF(B1188="","",IFERROR(IF('עלויות כח אדם (6)'!J1188&gt;=VLOOKUP(I1188,'סיווג התפקידים והעלויות'!$B$23:$C$32,2,0),"תקין","לא תקין"),""))</f>
        <v/>
      </c>
      <c r="R1188" s="199" t="str">
        <f t="shared" si="277"/>
        <v/>
      </c>
      <c r="S1188" s="199" t="str">
        <f t="shared" si="278"/>
        <v/>
      </c>
      <c r="T1188" s="199" t="str">
        <f t="shared" si="286"/>
        <v/>
      </c>
      <c r="U1188" s="199" t="str">
        <f t="shared" si="279"/>
        <v/>
      </c>
      <c r="V1188" s="989"/>
      <c r="X1188" s="374" t="str">
        <f t="shared" si="280"/>
        <v/>
      </c>
      <c r="Y1188" s="375" t="str">
        <f t="shared" si="281"/>
        <v/>
      </c>
      <c r="Z1188" s="374" t="str">
        <f t="shared" si="282"/>
        <v/>
      </c>
      <c r="AA1188" s="374" t="b">
        <f t="shared" si="283"/>
        <v>1</v>
      </c>
      <c r="AB1188" s="374">
        <f>COUNTIFS(B:B,B1188,H:H,'סיווג התפקידים והעלויות'!$C$2)</f>
        <v>0</v>
      </c>
      <c r="AC1188" s="374">
        <f>COUNTIFS(B:B,B1188,H:H,'סיווג התפקידים והעלויות'!$D$2)</f>
        <v>0</v>
      </c>
      <c r="AD1188" s="374" t="str">
        <f>IF(OR(AND(H1188='סיווג התפקידים והעלויות'!$A$2,I1188='סיווג התפקידים והעלויות'!$A$3),'עלויות כח אדם (6)'!H1188='סיווג התפקידים והעלויות'!$C$2,'עלויות כח אדם (6)'!H1188='סיווג התפקידים והעלויות'!$D$2),IF('עלויות כח אדם (6)'!J1188&lt;75,"לא תקין","תקין"),"")</f>
        <v/>
      </c>
      <c r="AE1188" s="374" t="str">
        <f t="shared" si="284"/>
        <v/>
      </c>
      <c r="AF1188" s="532" t="str">
        <f t="shared" si="285"/>
        <v/>
      </c>
    </row>
    <row r="1189" spans="2:32" x14ac:dyDescent="0.25">
      <c r="B1189" s="695"/>
      <c r="C1189" s="197" t="str">
        <f>IF(B1189&lt;&gt;"",IFERROR(VLOOKUP(B:B,'מצבת והרשמה (2)'!$C$20:$N$520,2,0)," ")," ")</f>
        <v xml:space="preserve"> </v>
      </c>
      <c r="D1189" s="695"/>
      <c r="E1189" s="696"/>
      <c r="F1189" s="696"/>
      <c r="G1189" s="696"/>
      <c r="H1189" s="696"/>
      <c r="I1189" s="1050" t="str">
        <f t="shared" si="272"/>
        <v/>
      </c>
      <c r="J1189" s="696"/>
      <c r="K1189" s="697"/>
      <c r="L1189" s="696"/>
      <c r="M1189" s="198" t="str">
        <f t="shared" si="273"/>
        <v/>
      </c>
      <c r="N1189" s="369" t="str">
        <f t="shared" si="274"/>
        <v/>
      </c>
      <c r="O1189" s="183" t="str">
        <f t="shared" si="275"/>
        <v/>
      </c>
      <c r="P1189" s="199" t="str">
        <f t="shared" si="276"/>
        <v/>
      </c>
      <c r="Q1189" s="199" t="str">
        <f>IF(B1189="","",IFERROR(IF('עלויות כח אדם (6)'!J1189&gt;=VLOOKUP(I1189,'סיווג התפקידים והעלויות'!$B$23:$C$32,2,0),"תקין","לא תקין"),""))</f>
        <v/>
      </c>
      <c r="R1189" s="199" t="str">
        <f t="shared" si="277"/>
        <v/>
      </c>
      <c r="S1189" s="199" t="str">
        <f t="shared" si="278"/>
        <v/>
      </c>
      <c r="T1189" s="199" t="str">
        <f t="shared" si="286"/>
        <v/>
      </c>
      <c r="U1189" s="199" t="str">
        <f t="shared" si="279"/>
        <v/>
      </c>
      <c r="V1189" s="989"/>
      <c r="X1189" s="374" t="str">
        <f t="shared" si="280"/>
        <v/>
      </c>
      <c r="Y1189" s="375" t="str">
        <f t="shared" si="281"/>
        <v/>
      </c>
      <c r="Z1189" s="374" t="str">
        <f t="shared" si="282"/>
        <v/>
      </c>
      <c r="AA1189" s="374" t="b">
        <f t="shared" si="283"/>
        <v>1</v>
      </c>
      <c r="AB1189" s="374">
        <f>COUNTIFS(B:B,B1189,H:H,'סיווג התפקידים והעלויות'!$C$2)</f>
        <v>0</v>
      </c>
      <c r="AC1189" s="374">
        <f>COUNTIFS(B:B,B1189,H:H,'סיווג התפקידים והעלויות'!$D$2)</f>
        <v>0</v>
      </c>
      <c r="AD1189" s="374" t="str">
        <f>IF(OR(AND(H1189='סיווג התפקידים והעלויות'!$A$2,I1189='סיווג התפקידים והעלויות'!$A$3),'עלויות כח אדם (6)'!H1189='סיווג התפקידים והעלויות'!$C$2,'עלויות כח אדם (6)'!H1189='סיווג התפקידים והעלויות'!$D$2),IF('עלויות כח אדם (6)'!J1189&lt;75,"לא תקין","תקין"),"")</f>
        <v/>
      </c>
      <c r="AE1189" s="374" t="str">
        <f t="shared" si="284"/>
        <v/>
      </c>
      <c r="AF1189" s="532" t="str">
        <f t="shared" si="285"/>
        <v/>
      </c>
    </row>
    <row r="1190" spans="2:32" x14ac:dyDescent="0.25">
      <c r="B1190" s="695"/>
      <c r="C1190" s="197" t="str">
        <f>IF(B1190&lt;&gt;"",IFERROR(VLOOKUP(B:B,'מצבת והרשמה (2)'!$C$20:$N$520,2,0)," ")," ")</f>
        <v xml:space="preserve"> </v>
      </c>
      <c r="D1190" s="695"/>
      <c r="E1190" s="696"/>
      <c r="F1190" s="696"/>
      <c r="G1190" s="696"/>
      <c r="H1190" s="696"/>
      <c r="I1190" s="1050" t="str">
        <f t="shared" si="272"/>
        <v/>
      </c>
      <c r="J1190" s="696"/>
      <c r="K1190" s="697"/>
      <c r="L1190" s="696"/>
      <c r="M1190" s="198" t="str">
        <f t="shared" si="273"/>
        <v/>
      </c>
      <c r="N1190" s="369" t="str">
        <f t="shared" si="274"/>
        <v/>
      </c>
      <c r="O1190" s="183" t="str">
        <f t="shared" si="275"/>
        <v/>
      </c>
      <c r="P1190" s="199" t="str">
        <f t="shared" si="276"/>
        <v/>
      </c>
      <c r="Q1190" s="199" t="str">
        <f>IF(B1190="","",IFERROR(IF('עלויות כח אדם (6)'!J1190&gt;=VLOOKUP(I1190,'סיווג התפקידים והעלויות'!$B$23:$C$32,2,0),"תקין","לא תקין"),""))</f>
        <v/>
      </c>
      <c r="R1190" s="199" t="str">
        <f t="shared" si="277"/>
        <v/>
      </c>
      <c r="S1190" s="199" t="str">
        <f t="shared" si="278"/>
        <v/>
      </c>
      <c r="T1190" s="199" t="str">
        <f t="shared" si="286"/>
        <v/>
      </c>
      <c r="U1190" s="199" t="str">
        <f t="shared" si="279"/>
        <v/>
      </c>
      <c r="V1190" s="989"/>
      <c r="X1190" s="374" t="str">
        <f t="shared" si="280"/>
        <v/>
      </c>
      <c r="Y1190" s="375" t="str">
        <f t="shared" si="281"/>
        <v/>
      </c>
      <c r="Z1190" s="374" t="str">
        <f t="shared" si="282"/>
        <v/>
      </c>
      <c r="AA1190" s="374" t="b">
        <f t="shared" si="283"/>
        <v>1</v>
      </c>
      <c r="AB1190" s="374">
        <f>COUNTIFS(B:B,B1190,H:H,'סיווג התפקידים והעלויות'!$C$2)</f>
        <v>0</v>
      </c>
      <c r="AC1190" s="374">
        <f>COUNTIFS(B:B,B1190,H:H,'סיווג התפקידים והעלויות'!$D$2)</f>
        <v>0</v>
      </c>
      <c r="AD1190" s="374" t="str">
        <f>IF(OR(AND(H1190='סיווג התפקידים והעלויות'!$A$2,I1190='סיווג התפקידים והעלויות'!$A$3),'עלויות כח אדם (6)'!H1190='סיווג התפקידים והעלויות'!$C$2,'עלויות כח אדם (6)'!H1190='סיווג התפקידים והעלויות'!$D$2),IF('עלויות כח אדם (6)'!J1190&lt;75,"לא תקין","תקין"),"")</f>
        <v/>
      </c>
      <c r="AE1190" s="374" t="str">
        <f t="shared" si="284"/>
        <v/>
      </c>
      <c r="AF1190" s="532" t="str">
        <f t="shared" si="285"/>
        <v/>
      </c>
    </row>
    <row r="1191" spans="2:32" x14ac:dyDescent="0.25">
      <c r="B1191" s="695"/>
      <c r="C1191" s="197" t="str">
        <f>IF(B1191&lt;&gt;"",IFERROR(VLOOKUP(B:B,'מצבת והרשמה (2)'!$C$20:$N$520,2,0)," ")," ")</f>
        <v xml:space="preserve"> </v>
      </c>
      <c r="D1191" s="695"/>
      <c r="E1191" s="696"/>
      <c r="F1191" s="696"/>
      <c r="G1191" s="696"/>
      <c r="H1191" s="696"/>
      <c r="I1191" s="1050" t="str">
        <f t="shared" si="272"/>
        <v/>
      </c>
      <c r="J1191" s="696"/>
      <c r="K1191" s="697"/>
      <c r="L1191" s="696"/>
      <c r="M1191" s="198" t="str">
        <f t="shared" si="273"/>
        <v/>
      </c>
      <c r="N1191" s="369" t="str">
        <f t="shared" si="274"/>
        <v/>
      </c>
      <c r="O1191" s="183" t="str">
        <f t="shared" si="275"/>
        <v/>
      </c>
      <c r="P1191" s="199" t="str">
        <f t="shared" si="276"/>
        <v/>
      </c>
      <c r="Q1191" s="199" t="str">
        <f>IF(B1191="","",IFERROR(IF('עלויות כח אדם (6)'!J1191&gt;=VLOOKUP(I1191,'סיווג התפקידים והעלויות'!$B$23:$C$32,2,0),"תקין","לא תקין"),""))</f>
        <v/>
      </c>
      <c r="R1191" s="199" t="str">
        <f t="shared" si="277"/>
        <v/>
      </c>
      <c r="S1191" s="199" t="str">
        <f t="shared" si="278"/>
        <v/>
      </c>
      <c r="T1191" s="199" t="str">
        <f t="shared" si="286"/>
        <v/>
      </c>
      <c r="U1191" s="199" t="str">
        <f t="shared" si="279"/>
        <v/>
      </c>
      <c r="V1191" s="989"/>
      <c r="X1191" s="374" t="str">
        <f t="shared" si="280"/>
        <v/>
      </c>
      <c r="Y1191" s="375" t="str">
        <f t="shared" si="281"/>
        <v/>
      </c>
      <c r="Z1191" s="374" t="str">
        <f t="shared" si="282"/>
        <v/>
      </c>
      <c r="AA1191" s="374" t="b">
        <f t="shared" si="283"/>
        <v>1</v>
      </c>
      <c r="AB1191" s="374">
        <f>COUNTIFS(B:B,B1191,H:H,'סיווג התפקידים והעלויות'!$C$2)</f>
        <v>0</v>
      </c>
      <c r="AC1191" s="374">
        <f>COUNTIFS(B:B,B1191,H:H,'סיווג התפקידים והעלויות'!$D$2)</f>
        <v>0</v>
      </c>
      <c r="AD1191" s="374" t="str">
        <f>IF(OR(AND(H1191='סיווג התפקידים והעלויות'!$A$2,I1191='סיווג התפקידים והעלויות'!$A$3),'עלויות כח אדם (6)'!H1191='סיווג התפקידים והעלויות'!$C$2,'עלויות כח אדם (6)'!H1191='סיווג התפקידים והעלויות'!$D$2),IF('עלויות כח אדם (6)'!J1191&lt;75,"לא תקין","תקין"),"")</f>
        <v/>
      </c>
      <c r="AE1191" s="374" t="str">
        <f t="shared" si="284"/>
        <v/>
      </c>
      <c r="AF1191" s="532" t="str">
        <f t="shared" si="285"/>
        <v/>
      </c>
    </row>
    <row r="1192" spans="2:32" x14ac:dyDescent="0.25">
      <c r="B1192" s="695"/>
      <c r="C1192" s="197" t="str">
        <f>IF(B1192&lt;&gt;"",IFERROR(VLOOKUP(B:B,'מצבת והרשמה (2)'!$C$20:$N$520,2,0)," ")," ")</f>
        <v xml:space="preserve"> </v>
      </c>
      <c r="D1192" s="695"/>
      <c r="E1192" s="696"/>
      <c r="F1192" s="696"/>
      <c r="G1192" s="696"/>
      <c r="H1192" s="696"/>
      <c r="I1192" s="1050" t="str">
        <f t="shared" si="272"/>
        <v/>
      </c>
      <c r="J1192" s="696"/>
      <c r="K1192" s="697"/>
      <c r="L1192" s="696"/>
      <c r="M1192" s="198" t="str">
        <f t="shared" si="273"/>
        <v/>
      </c>
      <c r="N1192" s="369" t="str">
        <f t="shared" si="274"/>
        <v/>
      </c>
      <c r="O1192" s="183" t="str">
        <f t="shared" si="275"/>
        <v/>
      </c>
      <c r="P1192" s="199" t="str">
        <f t="shared" si="276"/>
        <v/>
      </c>
      <c r="Q1192" s="199" t="str">
        <f>IF(B1192="","",IFERROR(IF('עלויות כח אדם (6)'!J1192&gt;=VLOOKUP(I1192,'סיווג התפקידים והעלויות'!$B$23:$C$32,2,0),"תקין","לא תקין"),""))</f>
        <v/>
      </c>
      <c r="R1192" s="199" t="str">
        <f t="shared" si="277"/>
        <v/>
      </c>
      <c r="S1192" s="199" t="str">
        <f t="shared" si="278"/>
        <v/>
      </c>
      <c r="T1192" s="199" t="str">
        <f t="shared" si="286"/>
        <v/>
      </c>
      <c r="U1192" s="199" t="str">
        <f t="shared" si="279"/>
        <v/>
      </c>
      <c r="V1192" s="989"/>
      <c r="X1192" s="374" t="str">
        <f t="shared" si="280"/>
        <v/>
      </c>
      <c r="Y1192" s="375" t="str">
        <f t="shared" si="281"/>
        <v/>
      </c>
      <c r="Z1192" s="374" t="str">
        <f t="shared" si="282"/>
        <v/>
      </c>
      <c r="AA1192" s="374" t="b">
        <f t="shared" si="283"/>
        <v>1</v>
      </c>
      <c r="AB1192" s="374">
        <f>COUNTIFS(B:B,B1192,H:H,'סיווג התפקידים והעלויות'!$C$2)</f>
        <v>0</v>
      </c>
      <c r="AC1192" s="374">
        <f>COUNTIFS(B:B,B1192,H:H,'סיווג התפקידים והעלויות'!$D$2)</f>
        <v>0</v>
      </c>
      <c r="AD1192" s="374" t="str">
        <f>IF(OR(AND(H1192='סיווג התפקידים והעלויות'!$A$2,I1192='סיווג התפקידים והעלויות'!$A$3),'עלויות כח אדם (6)'!H1192='סיווג התפקידים והעלויות'!$C$2,'עלויות כח אדם (6)'!H1192='סיווג התפקידים והעלויות'!$D$2),IF('עלויות כח אדם (6)'!J1192&lt;75,"לא תקין","תקין"),"")</f>
        <v/>
      </c>
      <c r="AE1192" s="374" t="str">
        <f t="shared" si="284"/>
        <v/>
      </c>
      <c r="AF1192" s="532" t="str">
        <f t="shared" si="285"/>
        <v/>
      </c>
    </row>
    <row r="1193" spans="2:32" x14ac:dyDescent="0.25">
      <c r="B1193" s="695"/>
      <c r="C1193" s="197" t="str">
        <f>IF(B1193&lt;&gt;"",IFERROR(VLOOKUP(B:B,'מצבת והרשמה (2)'!$C$20:$N$520,2,0)," ")," ")</f>
        <v xml:space="preserve"> </v>
      </c>
      <c r="D1193" s="695"/>
      <c r="E1193" s="696"/>
      <c r="F1193" s="696"/>
      <c r="G1193" s="696"/>
      <c r="H1193" s="696"/>
      <c r="I1193" s="1050" t="str">
        <f t="shared" si="272"/>
        <v/>
      </c>
      <c r="J1193" s="696"/>
      <c r="K1193" s="697"/>
      <c r="L1193" s="696"/>
      <c r="M1193" s="198" t="str">
        <f t="shared" si="273"/>
        <v/>
      </c>
      <c r="N1193" s="369" t="str">
        <f t="shared" si="274"/>
        <v/>
      </c>
      <c r="O1193" s="183" t="str">
        <f t="shared" si="275"/>
        <v/>
      </c>
      <c r="P1193" s="199" t="str">
        <f t="shared" si="276"/>
        <v/>
      </c>
      <c r="Q1193" s="199" t="str">
        <f>IF(B1193="","",IFERROR(IF('עלויות כח אדם (6)'!J1193&gt;=VLOOKUP(I1193,'סיווג התפקידים והעלויות'!$B$23:$C$32,2,0),"תקין","לא תקין"),""))</f>
        <v/>
      </c>
      <c r="R1193" s="199" t="str">
        <f t="shared" si="277"/>
        <v/>
      </c>
      <c r="S1193" s="199" t="str">
        <f t="shared" si="278"/>
        <v/>
      </c>
      <c r="T1193" s="199" t="str">
        <f t="shared" si="286"/>
        <v/>
      </c>
      <c r="U1193" s="199" t="str">
        <f t="shared" si="279"/>
        <v/>
      </c>
      <c r="V1193" s="989"/>
      <c r="X1193" s="374" t="str">
        <f t="shared" si="280"/>
        <v/>
      </c>
      <c r="Y1193" s="375" t="str">
        <f t="shared" si="281"/>
        <v/>
      </c>
      <c r="Z1193" s="374" t="str">
        <f t="shared" si="282"/>
        <v/>
      </c>
      <c r="AA1193" s="374" t="b">
        <f t="shared" si="283"/>
        <v>1</v>
      </c>
      <c r="AB1193" s="374">
        <f>COUNTIFS(B:B,B1193,H:H,'סיווג התפקידים והעלויות'!$C$2)</f>
        <v>0</v>
      </c>
      <c r="AC1193" s="374">
        <f>COUNTIFS(B:B,B1193,H:H,'סיווג התפקידים והעלויות'!$D$2)</f>
        <v>0</v>
      </c>
      <c r="AD1193" s="374" t="str">
        <f>IF(OR(AND(H1193='סיווג התפקידים והעלויות'!$A$2,I1193='סיווג התפקידים והעלויות'!$A$3),'עלויות כח אדם (6)'!H1193='סיווג התפקידים והעלויות'!$C$2,'עלויות כח אדם (6)'!H1193='סיווג התפקידים והעלויות'!$D$2),IF('עלויות כח אדם (6)'!J1193&lt;75,"לא תקין","תקין"),"")</f>
        <v/>
      </c>
      <c r="AE1193" s="374" t="str">
        <f t="shared" si="284"/>
        <v/>
      </c>
      <c r="AF1193" s="532" t="str">
        <f t="shared" si="285"/>
        <v/>
      </c>
    </row>
    <row r="1194" spans="2:32" x14ac:dyDescent="0.25">
      <c r="B1194" s="695"/>
      <c r="C1194" s="197" t="str">
        <f>IF(B1194&lt;&gt;"",IFERROR(VLOOKUP(B:B,'מצבת והרשמה (2)'!$C$20:$N$520,2,0)," ")," ")</f>
        <v xml:space="preserve"> </v>
      </c>
      <c r="D1194" s="695"/>
      <c r="E1194" s="696"/>
      <c r="F1194" s="696"/>
      <c r="G1194" s="696"/>
      <c r="H1194" s="696"/>
      <c r="I1194" s="1050" t="str">
        <f t="shared" si="272"/>
        <v/>
      </c>
      <c r="J1194" s="696"/>
      <c r="K1194" s="697"/>
      <c r="L1194" s="696"/>
      <c r="M1194" s="198" t="str">
        <f t="shared" si="273"/>
        <v/>
      </c>
      <c r="N1194" s="369" t="str">
        <f t="shared" si="274"/>
        <v/>
      </c>
      <c r="O1194" s="183" t="str">
        <f t="shared" si="275"/>
        <v/>
      </c>
      <c r="P1194" s="199" t="str">
        <f t="shared" si="276"/>
        <v/>
      </c>
      <c r="Q1194" s="199" t="str">
        <f>IF(B1194="","",IFERROR(IF('עלויות כח אדם (6)'!J1194&gt;=VLOOKUP(I1194,'סיווג התפקידים והעלויות'!$B$23:$C$32,2,0),"תקין","לא תקין"),""))</f>
        <v/>
      </c>
      <c r="R1194" s="199" t="str">
        <f t="shared" si="277"/>
        <v/>
      </c>
      <c r="S1194" s="199" t="str">
        <f t="shared" si="278"/>
        <v/>
      </c>
      <c r="T1194" s="199" t="str">
        <f t="shared" si="286"/>
        <v/>
      </c>
      <c r="U1194" s="199" t="str">
        <f t="shared" si="279"/>
        <v/>
      </c>
      <c r="V1194" s="989"/>
      <c r="X1194" s="374" t="str">
        <f t="shared" si="280"/>
        <v/>
      </c>
      <c r="Y1194" s="375" t="str">
        <f t="shared" si="281"/>
        <v/>
      </c>
      <c r="Z1194" s="374" t="str">
        <f t="shared" si="282"/>
        <v/>
      </c>
      <c r="AA1194" s="374" t="b">
        <f t="shared" si="283"/>
        <v>1</v>
      </c>
      <c r="AB1194" s="374">
        <f>COUNTIFS(B:B,B1194,H:H,'סיווג התפקידים והעלויות'!$C$2)</f>
        <v>0</v>
      </c>
      <c r="AC1194" s="374">
        <f>COUNTIFS(B:B,B1194,H:H,'סיווג התפקידים והעלויות'!$D$2)</f>
        <v>0</v>
      </c>
      <c r="AD1194" s="374" t="str">
        <f>IF(OR(AND(H1194='סיווג התפקידים והעלויות'!$A$2,I1194='סיווג התפקידים והעלויות'!$A$3),'עלויות כח אדם (6)'!H1194='סיווג התפקידים והעלויות'!$C$2,'עלויות כח אדם (6)'!H1194='סיווג התפקידים והעלויות'!$D$2),IF('עלויות כח אדם (6)'!J1194&lt;75,"לא תקין","תקין"),"")</f>
        <v/>
      </c>
      <c r="AE1194" s="374" t="str">
        <f t="shared" si="284"/>
        <v/>
      </c>
      <c r="AF1194" s="532" t="str">
        <f t="shared" si="285"/>
        <v/>
      </c>
    </row>
    <row r="1195" spans="2:32" x14ac:dyDescent="0.25">
      <c r="B1195" s="695"/>
      <c r="C1195" s="197" t="str">
        <f>IF(B1195&lt;&gt;"",IFERROR(VLOOKUP(B:B,'מצבת והרשמה (2)'!$C$20:$N$520,2,0)," ")," ")</f>
        <v xml:space="preserve"> </v>
      </c>
      <c r="D1195" s="695"/>
      <c r="E1195" s="696"/>
      <c r="F1195" s="696"/>
      <c r="G1195" s="696"/>
      <c r="H1195" s="696"/>
      <c r="I1195" s="1050" t="str">
        <f t="shared" si="272"/>
        <v/>
      </c>
      <c r="J1195" s="696"/>
      <c r="K1195" s="697"/>
      <c r="L1195" s="696"/>
      <c r="M1195" s="198" t="str">
        <f t="shared" si="273"/>
        <v/>
      </c>
      <c r="N1195" s="369" t="str">
        <f t="shared" si="274"/>
        <v/>
      </c>
      <c r="O1195" s="183" t="str">
        <f t="shared" si="275"/>
        <v/>
      </c>
      <c r="P1195" s="199" t="str">
        <f t="shared" si="276"/>
        <v/>
      </c>
      <c r="Q1195" s="199" t="str">
        <f>IF(B1195="","",IFERROR(IF('עלויות כח אדם (6)'!J1195&gt;=VLOOKUP(I1195,'סיווג התפקידים והעלויות'!$B$23:$C$32,2,0),"תקין","לא תקין"),""))</f>
        <v/>
      </c>
      <c r="R1195" s="199" t="str">
        <f t="shared" si="277"/>
        <v/>
      </c>
      <c r="S1195" s="199" t="str">
        <f t="shared" si="278"/>
        <v/>
      </c>
      <c r="T1195" s="199" t="str">
        <f t="shared" si="286"/>
        <v/>
      </c>
      <c r="U1195" s="199" t="str">
        <f t="shared" si="279"/>
        <v/>
      </c>
      <c r="V1195" s="989"/>
      <c r="X1195" s="374" t="str">
        <f t="shared" si="280"/>
        <v/>
      </c>
      <c r="Y1195" s="375" t="str">
        <f t="shared" si="281"/>
        <v/>
      </c>
      <c r="Z1195" s="374" t="str">
        <f t="shared" si="282"/>
        <v/>
      </c>
      <c r="AA1195" s="374" t="b">
        <f t="shared" si="283"/>
        <v>1</v>
      </c>
      <c r="AB1195" s="374">
        <f>COUNTIFS(B:B,B1195,H:H,'סיווג התפקידים והעלויות'!$C$2)</f>
        <v>0</v>
      </c>
      <c r="AC1195" s="374">
        <f>COUNTIFS(B:B,B1195,H:H,'סיווג התפקידים והעלויות'!$D$2)</f>
        <v>0</v>
      </c>
      <c r="AD1195" s="374" t="str">
        <f>IF(OR(AND(H1195='סיווג התפקידים והעלויות'!$A$2,I1195='סיווג התפקידים והעלויות'!$A$3),'עלויות כח אדם (6)'!H1195='סיווג התפקידים והעלויות'!$C$2,'עלויות כח אדם (6)'!H1195='סיווג התפקידים והעלויות'!$D$2),IF('עלויות כח אדם (6)'!J1195&lt;75,"לא תקין","תקין"),"")</f>
        <v/>
      </c>
      <c r="AE1195" s="374" t="str">
        <f t="shared" si="284"/>
        <v/>
      </c>
      <c r="AF1195" s="532" t="str">
        <f t="shared" si="285"/>
        <v/>
      </c>
    </row>
    <row r="1196" spans="2:32" x14ac:dyDescent="0.25">
      <c r="B1196" s="695"/>
      <c r="C1196" s="197" t="str">
        <f>IF(B1196&lt;&gt;"",IFERROR(VLOOKUP(B:B,'מצבת והרשמה (2)'!$C$20:$N$520,2,0)," ")," ")</f>
        <v xml:space="preserve"> </v>
      </c>
      <c r="D1196" s="695"/>
      <c r="E1196" s="696"/>
      <c r="F1196" s="696"/>
      <c r="G1196" s="696"/>
      <c r="H1196" s="696"/>
      <c r="I1196" s="1050" t="str">
        <f t="shared" si="272"/>
        <v/>
      </c>
      <c r="J1196" s="696"/>
      <c r="K1196" s="697"/>
      <c r="L1196" s="696"/>
      <c r="M1196" s="198" t="str">
        <f t="shared" si="273"/>
        <v/>
      </c>
      <c r="N1196" s="369" t="str">
        <f t="shared" si="274"/>
        <v/>
      </c>
      <c r="O1196" s="183" t="str">
        <f t="shared" si="275"/>
        <v/>
      </c>
      <c r="P1196" s="199" t="str">
        <f t="shared" si="276"/>
        <v/>
      </c>
      <c r="Q1196" s="199" t="str">
        <f>IF(B1196="","",IFERROR(IF('עלויות כח אדם (6)'!J1196&gt;=VLOOKUP(I1196,'סיווג התפקידים והעלויות'!$B$23:$C$32,2,0),"תקין","לא תקין"),""))</f>
        <v/>
      </c>
      <c r="R1196" s="199" t="str">
        <f t="shared" si="277"/>
        <v/>
      </c>
      <c r="S1196" s="199" t="str">
        <f t="shared" si="278"/>
        <v/>
      </c>
      <c r="T1196" s="199" t="str">
        <f t="shared" si="286"/>
        <v/>
      </c>
      <c r="U1196" s="199" t="str">
        <f t="shared" si="279"/>
        <v/>
      </c>
      <c r="V1196" s="989"/>
      <c r="X1196" s="374" t="str">
        <f t="shared" si="280"/>
        <v/>
      </c>
      <c r="Y1196" s="375" t="str">
        <f t="shared" si="281"/>
        <v/>
      </c>
      <c r="Z1196" s="374" t="str">
        <f t="shared" si="282"/>
        <v/>
      </c>
      <c r="AA1196" s="374" t="b">
        <f t="shared" si="283"/>
        <v>1</v>
      </c>
      <c r="AB1196" s="374">
        <f>COUNTIFS(B:B,B1196,H:H,'סיווג התפקידים והעלויות'!$C$2)</f>
        <v>0</v>
      </c>
      <c r="AC1196" s="374">
        <f>COUNTIFS(B:B,B1196,H:H,'סיווג התפקידים והעלויות'!$D$2)</f>
        <v>0</v>
      </c>
      <c r="AD1196" s="374" t="str">
        <f>IF(OR(AND(H1196='סיווג התפקידים והעלויות'!$A$2,I1196='סיווג התפקידים והעלויות'!$A$3),'עלויות כח אדם (6)'!H1196='סיווג התפקידים והעלויות'!$C$2,'עלויות כח אדם (6)'!H1196='סיווג התפקידים והעלויות'!$D$2),IF('עלויות כח אדם (6)'!J1196&lt;75,"לא תקין","תקין"),"")</f>
        <v/>
      </c>
      <c r="AE1196" s="374" t="str">
        <f t="shared" si="284"/>
        <v/>
      </c>
      <c r="AF1196" s="532" t="str">
        <f t="shared" si="285"/>
        <v/>
      </c>
    </row>
    <row r="1197" spans="2:32" x14ac:dyDescent="0.25">
      <c r="B1197" s="695"/>
      <c r="C1197" s="197" t="str">
        <f>IF(B1197&lt;&gt;"",IFERROR(VLOOKUP(B:B,'מצבת והרשמה (2)'!$C$20:$N$520,2,0)," ")," ")</f>
        <v xml:space="preserve"> </v>
      </c>
      <c r="D1197" s="695"/>
      <c r="E1197" s="696"/>
      <c r="F1197" s="696"/>
      <c r="G1197" s="696"/>
      <c r="H1197" s="696"/>
      <c r="I1197" s="1050" t="str">
        <f t="shared" si="272"/>
        <v/>
      </c>
      <c r="J1197" s="696"/>
      <c r="K1197" s="697"/>
      <c r="L1197" s="696"/>
      <c r="M1197" s="198" t="str">
        <f t="shared" si="273"/>
        <v/>
      </c>
      <c r="N1197" s="369" t="str">
        <f t="shared" si="274"/>
        <v/>
      </c>
      <c r="O1197" s="183" t="str">
        <f t="shared" si="275"/>
        <v/>
      </c>
      <c r="P1197" s="199" t="str">
        <f t="shared" si="276"/>
        <v/>
      </c>
      <c r="Q1197" s="199" t="str">
        <f>IF(B1197="","",IFERROR(IF('עלויות כח אדם (6)'!J1197&gt;=VLOOKUP(I1197,'סיווג התפקידים והעלויות'!$B$23:$C$32,2,0),"תקין","לא תקין"),""))</f>
        <v/>
      </c>
      <c r="R1197" s="199" t="str">
        <f t="shared" si="277"/>
        <v/>
      </c>
      <c r="S1197" s="199" t="str">
        <f t="shared" si="278"/>
        <v/>
      </c>
      <c r="T1197" s="199" t="str">
        <f t="shared" si="286"/>
        <v/>
      </c>
      <c r="U1197" s="199" t="str">
        <f t="shared" si="279"/>
        <v/>
      </c>
      <c r="V1197" s="989"/>
      <c r="X1197" s="374" t="str">
        <f t="shared" si="280"/>
        <v/>
      </c>
      <c r="Y1197" s="375" t="str">
        <f t="shared" si="281"/>
        <v/>
      </c>
      <c r="Z1197" s="374" t="str">
        <f t="shared" si="282"/>
        <v/>
      </c>
      <c r="AA1197" s="374" t="b">
        <f t="shared" si="283"/>
        <v>1</v>
      </c>
      <c r="AB1197" s="374">
        <f>COUNTIFS(B:B,B1197,H:H,'סיווג התפקידים והעלויות'!$C$2)</f>
        <v>0</v>
      </c>
      <c r="AC1197" s="374">
        <f>COUNTIFS(B:B,B1197,H:H,'סיווג התפקידים והעלויות'!$D$2)</f>
        <v>0</v>
      </c>
      <c r="AD1197" s="374" t="str">
        <f>IF(OR(AND(H1197='סיווג התפקידים והעלויות'!$A$2,I1197='סיווג התפקידים והעלויות'!$A$3),'עלויות כח אדם (6)'!H1197='סיווג התפקידים והעלויות'!$C$2,'עלויות כח אדם (6)'!H1197='סיווג התפקידים והעלויות'!$D$2),IF('עלויות כח אדם (6)'!J1197&lt;75,"לא תקין","תקין"),"")</f>
        <v/>
      </c>
      <c r="AE1197" s="374" t="str">
        <f t="shared" si="284"/>
        <v/>
      </c>
      <c r="AF1197" s="532" t="str">
        <f t="shared" si="285"/>
        <v/>
      </c>
    </row>
    <row r="1198" spans="2:32" x14ac:dyDescent="0.25">
      <c r="B1198" s="695"/>
      <c r="C1198" s="197" t="str">
        <f>IF(B1198&lt;&gt;"",IFERROR(VLOOKUP(B:B,'מצבת והרשמה (2)'!$C$20:$N$520,2,0)," ")," ")</f>
        <v xml:space="preserve"> </v>
      </c>
      <c r="D1198" s="695"/>
      <c r="E1198" s="696"/>
      <c r="F1198" s="696"/>
      <c r="G1198" s="696"/>
      <c r="H1198" s="696"/>
      <c r="I1198" s="1050" t="str">
        <f t="shared" si="272"/>
        <v/>
      </c>
      <c r="J1198" s="696"/>
      <c r="K1198" s="697"/>
      <c r="L1198" s="696"/>
      <c r="M1198" s="198" t="str">
        <f t="shared" si="273"/>
        <v/>
      </c>
      <c r="N1198" s="369" t="str">
        <f t="shared" si="274"/>
        <v/>
      </c>
      <c r="O1198" s="183" t="str">
        <f t="shared" si="275"/>
        <v/>
      </c>
      <c r="P1198" s="199" t="str">
        <f t="shared" si="276"/>
        <v/>
      </c>
      <c r="Q1198" s="199" t="str">
        <f>IF(B1198="","",IFERROR(IF('עלויות כח אדם (6)'!J1198&gt;=VLOOKUP(I1198,'סיווג התפקידים והעלויות'!$B$23:$C$32,2,0),"תקין","לא תקין"),""))</f>
        <v/>
      </c>
      <c r="R1198" s="199" t="str">
        <f t="shared" si="277"/>
        <v/>
      </c>
      <c r="S1198" s="199" t="str">
        <f t="shared" si="278"/>
        <v/>
      </c>
      <c r="T1198" s="199" t="str">
        <f t="shared" si="286"/>
        <v/>
      </c>
      <c r="U1198" s="199" t="str">
        <f t="shared" si="279"/>
        <v/>
      </c>
      <c r="V1198" s="989"/>
      <c r="X1198" s="374" t="str">
        <f t="shared" si="280"/>
        <v/>
      </c>
      <c r="Y1198" s="375" t="str">
        <f t="shared" si="281"/>
        <v/>
      </c>
      <c r="Z1198" s="374" t="str">
        <f t="shared" si="282"/>
        <v/>
      </c>
      <c r="AA1198" s="374" t="b">
        <f t="shared" si="283"/>
        <v>1</v>
      </c>
      <c r="AB1198" s="374">
        <f>COUNTIFS(B:B,B1198,H:H,'סיווג התפקידים והעלויות'!$C$2)</f>
        <v>0</v>
      </c>
      <c r="AC1198" s="374">
        <f>COUNTIFS(B:B,B1198,H:H,'סיווג התפקידים והעלויות'!$D$2)</f>
        <v>0</v>
      </c>
      <c r="AD1198" s="374" t="str">
        <f>IF(OR(AND(H1198='סיווג התפקידים והעלויות'!$A$2,I1198='סיווג התפקידים והעלויות'!$A$3),'עלויות כח אדם (6)'!H1198='סיווג התפקידים והעלויות'!$C$2,'עלויות כח אדם (6)'!H1198='סיווג התפקידים והעלויות'!$D$2),IF('עלויות כח אדם (6)'!J1198&lt;75,"לא תקין","תקין"),"")</f>
        <v/>
      </c>
      <c r="AE1198" s="374" t="str">
        <f t="shared" si="284"/>
        <v/>
      </c>
      <c r="AF1198" s="532" t="str">
        <f t="shared" si="285"/>
        <v/>
      </c>
    </row>
    <row r="1199" spans="2:32" x14ac:dyDescent="0.25">
      <c r="B1199" s="695"/>
      <c r="C1199" s="197" t="str">
        <f>IF(B1199&lt;&gt;"",IFERROR(VLOOKUP(B:B,'מצבת והרשמה (2)'!$C$20:$N$520,2,0)," ")," ")</f>
        <v xml:space="preserve"> </v>
      </c>
      <c r="D1199" s="695"/>
      <c r="E1199" s="696"/>
      <c r="F1199" s="696"/>
      <c r="G1199" s="696"/>
      <c r="H1199" s="696"/>
      <c r="I1199" s="1050" t="str">
        <f t="shared" si="272"/>
        <v/>
      </c>
      <c r="J1199" s="696"/>
      <c r="K1199" s="697"/>
      <c r="L1199" s="696"/>
      <c r="M1199" s="198" t="str">
        <f t="shared" si="273"/>
        <v/>
      </c>
      <c r="N1199" s="369" t="str">
        <f t="shared" si="274"/>
        <v/>
      </c>
      <c r="O1199" s="183" t="str">
        <f t="shared" si="275"/>
        <v/>
      </c>
      <c r="P1199" s="199" t="str">
        <f t="shared" si="276"/>
        <v/>
      </c>
      <c r="Q1199" s="199" t="str">
        <f>IF(B1199="","",IFERROR(IF('עלויות כח אדם (6)'!J1199&gt;=VLOOKUP(I1199,'סיווג התפקידים והעלויות'!$B$23:$C$32,2,0),"תקין","לא תקין"),""))</f>
        <v/>
      </c>
      <c r="R1199" s="199" t="str">
        <f t="shared" si="277"/>
        <v/>
      </c>
      <c r="S1199" s="199" t="str">
        <f t="shared" si="278"/>
        <v/>
      </c>
      <c r="T1199" s="199" t="str">
        <f t="shared" si="286"/>
        <v/>
      </c>
      <c r="U1199" s="199" t="str">
        <f t="shared" si="279"/>
        <v/>
      </c>
      <c r="V1199" s="989"/>
      <c r="X1199" s="374" t="str">
        <f t="shared" si="280"/>
        <v/>
      </c>
      <c r="Y1199" s="375" t="str">
        <f t="shared" si="281"/>
        <v/>
      </c>
      <c r="Z1199" s="374" t="str">
        <f t="shared" si="282"/>
        <v/>
      </c>
      <c r="AA1199" s="374" t="b">
        <f t="shared" si="283"/>
        <v>1</v>
      </c>
      <c r="AB1199" s="374">
        <f>COUNTIFS(B:B,B1199,H:H,'סיווג התפקידים והעלויות'!$C$2)</f>
        <v>0</v>
      </c>
      <c r="AC1199" s="374">
        <f>COUNTIFS(B:B,B1199,H:H,'סיווג התפקידים והעלויות'!$D$2)</f>
        <v>0</v>
      </c>
      <c r="AD1199" s="374" t="str">
        <f>IF(OR(AND(H1199='סיווג התפקידים והעלויות'!$A$2,I1199='סיווג התפקידים והעלויות'!$A$3),'עלויות כח אדם (6)'!H1199='סיווג התפקידים והעלויות'!$C$2,'עלויות כח אדם (6)'!H1199='סיווג התפקידים והעלויות'!$D$2),IF('עלויות כח אדם (6)'!J1199&lt;75,"לא תקין","תקין"),"")</f>
        <v/>
      </c>
      <c r="AE1199" s="374" t="str">
        <f t="shared" si="284"/>
        <v/>
      </c>
      <c r="AF1199" s="532" t="str">
        <f t="shared" si="285"/>
        <v/>
      </c>
    </row>
    <row r="1200" spans="2:32" x14ac:dyDescent="0.25">
      <c r="B1200" s="695"/>
      <c r="C1200" s="197" t="str">
        <f>IF(B1200&lt;&gt;"",IFERROR(VLOOKUP(B:B,'מצבת והרשמה (2)'!$C$20:$N$520,2,0)," ")," ")</f>
        <v xml:space="preserve"> </v>
      </c>
      <c r="D1200" s="695"/>
      <c r="E1200" s="696"/>
      <c r="F1200" s="696"/>
      <c r="G1200" s="696"/>
      <c r="H1200" s="696"/>
      <c r="I1200" s="1050" t="str">
        <f t="shared" si="272"/>
        <v/>
      </c>
      <c r="J1200" s="696"/>
      <c r="K1200" s="697"/>
      <c r="L1200" s="696"/>
      <c r="M1200" s="198" t="str">
        <f t="shared" si="273"/>
        <v/>
      </c>
      <c r="N1200" s="369" t="str">
        <f t="shared" si="274"/>
        <v/>
      </c>
      <c r="O1200" s="183" t="str">
        <f t="shared" si="275"/>
        <v/>
      </c>
      <c r="P1200" s="199" t="str">
        <f t="shared" si="276"/>
        <v/>
      </c>
      <c r="Q1200" s="199" t="str">
        <f>IF(B1200="","",IFERROR(IF('עלויות כח אדם (6)'!J1200&gt;=VLOOKUP(I1200,'סיווג התפקידים והעלויות'!$B$23:$C$32,2,0),"תקין","לא תקין"),""))</f>
        <v/>
      </c>
      <c r="R1200" s="199" t="str">
        <f t="shared" si="277"/>
        <v/>
      </c>
      <c r="S1200" s="199" t="str">
        <f t="shared" si="278"/>
        <v/>
      </c>
      <c r="T1200" s="199" t="str">
        <f t="shared" si="286"/>
        <v/>
      </c>
      <c r="U1200" s="199" t="str">
        <f t="shared" si="279"/>
        <v/>
      </c>
      <c r="V1200" s="989"/>
      <c r="X1200" s="374" t="str">
        <f t="shared" si="280"/>
        <v/>
      </c>
      <c r="Y1200" s="375" t="str">
        <f t="shared" si="281"/>
        <v/>
      </c>
      <c r="Z1200" s="374" t="str">
        <f t="shared" si="282"/>
        <v/>
      </c>
      <c r="AA1200" s="374" t="b">
        <f t="shared" si="283"/>
        <v>1</v>
      </c>
      <c r="AB1200" s="374">
        <f>COUNTIFS(B:B,B1200,H:H,'סיווג התפקידים והעלויות'!$C$2)</f>
        <v>0</v>
      </c>
      <c r="AC1200" s="374">
        <f>COUNTIFS(B:B,B1200,H:H,'סיווג התפקידים והעלויות'!$D$2)</f>
        <v>0</v>
      </c>
      <c r="AD1200" s="374" t="str">
        <f>IF(OR(AND(H1200='סיווג התפקידים והעלויות'!$A$2,I1200='סיווג התפקידים והעלויות'!$A$3),'עלויות כח אדם (6)'!H1200='סיווג התפקידים והעלויות'!$C$2,'עלויות כח אדם (6)'!H1200='סיווג התפקידים והעלויות'!$D$2),IF('עלויות כח אדם (6)'!J1200&lt;75,"לא תקין","תקין"),"")</f>
        <v/>
      </c>
      <c r="AE1200" s="374" t="str">
        <f t="shared" si="284"/>
        <v/>
      </c>
      <c r="AF1200" s="532" t="str">
        <f t="shared" si="285"/>
        <v/>
      </c>
    </row>
    <row r="1201" spans="2:32" x14ac:dyDescent="0.25">
      <c r="B1201" s="695"/>
      <c r="C1201" s="197" t="str">
        <f>IF(B1201&lt;&gt;"",IFERROR(VLOOKUP(B:B,'מצבת והרשמה (2)'!$C$20:$N$520,2,0)," ")," ")</f>
        <v xml:space="preserve"> </v>
      </c>
      <c r="D1201" s="695"/>
      <c r="E1201" s="696"/>
      <c r="F1201" s="696"/>
      <c r="G1201" s="696"/>
      <c r="H1201" s="696"/>
      <c r="I1201" s="1050" t="str">
        <f t="shared" si="272"/>
        <v/>
      </c>
      <c r="J1201" s="696"/>
      <c r="K1201" s="697"/>
      <c r="L1201" s="696"/>
      <c r="M1201" s="198" t="str">
        <f t="shared" si="273"/>
        <v/>
      </c>
      <c r="N1201" s="369" t="str">
        <f t="shared" si="274"/>
        <v/>
      </c>
      <c r="O1201" s="183" t="str">
        <f t="shared" si="275"/>
        <v/>
      </c>
      <c r="P1201" s="199" t="str">
        <f t="shared" si="276"/>
        <v/>
      </c>
      <c r="Q1201" s="199" t="str">
        <f>IF(B1201="","",IFERROR(IF('עלויות כח אדם (6)'!J1201&gt;=VLOOKUP(I1201,'סיווג התפקידים והעלויות'!$B$23:$C$32,2,0),"תקין","לא תקין"),""))</f>
        <v/>
      </c>
      <c r="R1201" s="199" t="str">
        <f t="shared" si="277"/>
        <v/>
      </c>
      <c r="S1201" s="199" t="str">
        <f t="shared" si="278"/>
        <v/>
      </c>
      <c r="T1201" s="199" t="str">
        <f t="shared" si="286"/>
        <v/>
      </c>
      <c r="U1201" s="199" t="str">
        <f t="shared" si="279"/>
        <v/>
      </c>
      <c r="V1201" s="989"/>
      <c r="X1201" s="374" t="str">
        <f t="shared" si="280"/>
        <v/>
      </c>
      <c r="Y1201" s="375" t="str">
        <f t="shared" si="281"/>
        <v/>
      </c>
      <c r="Z1201" s="374" t="str">
        <f t="shared" si="282"/>
        <v/>
      </c>
      <c r="AA1201" s="374" t="b">
        <f t="shared" si="283"/>
        <v>1</v>
      </c>
      <c r="AB1201" s="374">
        <f>COUNTIFS(B:B,B1201,H:H,'סיווג התפקידים והעלויות'!$C$2)</f>
        <v>0</v>
      </c>
      <c r="AC1201" s="374">
        <f>COUNTIFS(B:B,B1201,H:H,'סיווג התפקידים והעלויות'!$D$2)</f>
        <v>0</v>
      </c>
      <c r="AD1201" s="374" t="str">
        <f>IF(OR(AND(H1201='סיווג התפקידים והעלויות'!$A$2,I1201='סיווג התפקידים והעלויות'!$A$3),'עלויות כח אדם (6)'!H1201='סיווג התפקידים והעלויות'!$C$2,'עלויות כח אדם (6)'!H1201='סיווג התפקידים והעלויות'!$D$2),IF('עלויות כח אדם (6)'!J1201&lt;75,"לא תקין","תקין"),"")</f>
        <v/>
      </c>
      <c r="AE1201" s="374" t="str">
        <f t="shared" si="284"/>
        <v/>
      </c>
      <c r="AF1201" s="532" t="str">
        <f t="shared" si="285"/>
        <v/>
      </c>
    </row>
    <row r="1202" spans="2:32" x14ac:dyDescent="0.25">
      <c r="B1202" s="695"/>
      <c r="C1202" s="197" t="str">
        <f>IF(B1202&lt;&gt;"",IFERROR(VLOOKUP(B:B,'מצבת והרשמה (2)'!$C$20:$N$520,2,0)," ")," ")</f>
        <v xml:space="preserve"> </v>
      </c>
      <c r="D1202" s="695"/>
      <c r="E1202" s="696"/>
      <c r="F1202" s="696"/>
      <c r="G1202" s="696"/>
      <c r="H1202" s="696"/>
      <c r="I1202" s="1050" t="str">
        <f t="shared" si="272"/>
        <v/>
      </c>
      <c r="J1202" s="696"/>
      <c r="K1202" s="697"/>
      <c r="L1202" s="696"/>
      <c r="M1202" s="198" t="str">
        <f t="shared" si="273"/>
        <v/>
      </c>
      <c r="N1202" s="369" t="str">
        <f t="shared" si="274"/>
        <v/>
      </c>
      <c r="O1202" s="183" t="str">
        <f t="shared" si="275"/>
        <v/>
      </c>
      <c r="P1202" s="199" t="str">
        <f t="shared" si="276"/>
        <v/>
      </c>
      <c r="Q1202" s="199" t="str">
        <f>IF(B1202="","",IFERROR(IF('עלויות כח אדם (6)'!J1202&gt;=VLOOKUP(I1202,'סיווג התפקידים והעלויות'!$B$23:$C$32,2,0),"תקין","לא תקין"),""))</f>
        <v/>
      </c>
      <c r="R1202" s="199" t="str">
        <f t="shared" si="277"/>
        <v/>
      </c>
      <c r="S1202" s="199" t="str">
        <f t="shared" si="278"/>
        <v/>
      </c>
      <c r="T1202" s="199" t="str">
        <f t="shared" si="286"/>
        <v/>
      </c>
      <c r="U1202" s="199" t="str">
        <f t="shared" si="279"/>
        <v/>
      </c>
      <c r="V1202" s="989"/>
      <c r="X1202" s="374" t="str">
        <f t="shared" si="280"/>
        <v/>
      </c>
      <c r="Y1202" s="375" t="str">
        <f t="shared" si="281"/>
        <v/>
      </c>
      <c r="Z1202" s="374" t="str">
        <f t="shared" si="282"/>
        <v/>
      </c>
      <c r="AA1202" s="374" t="b">
        <f t="shared" si="283"/>
        <v>1</v>
      </c>
      <c r="AB1202" s="374">
        <f>COUNTIFS(B:B,B1202,H:H,'סיווג התפקידים והעלויות'!$C$2)</f>
        <v>0</v>
      </c>
      <c r="AC1202" s="374">
        <f>COUNTIFS(B:B,B1202,H:H,'סיווג התפקידים והעלויות'!$D$2)</f>
        <v>0</v>
      </c>
      <c r="AD1202" s="374" t="str">
        <f>IF(OR(AND(H1202='סיווג התפקידים והעלויות'!$A$2,I1202='סיווג התפקידים והעלויות'!$A$3),'עלויות כח אדם (6)'!H1202='סיווג התפקידים והעלויות'!$C$2,'עלויות כח אדם (6)'!H1202='סיווג התפקידים והעלויות'!$D$2),IF('עלויות כח אדם (6)'!J1202&lt;75,"לא תקין","תקין"),"")</f>
        <v/>
      </c>
      <c r="AE1202" s="374" t="str">
        <f t="shared" si="284"/>
        <v/>
      </c>
      <c r="AF1202" s="532" t="str">
        <f t="shared" si="285"/>
        <v/>
      </c>
    </row>
    <row r="1203" spans="2:32" x14ac:dyDescent="0.25">
      <c r="B1203" s="695"/>
      <c r="C1203" s="197" t="str">
        <f>IF(B1203&lt;&gt;"",IFERROR(VLOOKUP(B:B,'מצבת והרשמה (2)'!$C$20:$N$520,2,0)," ")," ")</f>
        <v xml:space="preserve"> </v>
      </c>
      <c r="D1203" s="695"/>
      <c r="E1203" s="696"/>
      <c r="F1203" s="696"/>
      <c r="G1203" s="696"/>
      <c r="H1203" s="696"/>
      <c r="I1203" s="1050" t="str">
        <f t="shared" si="272"/>
        <v/>
      </c>
      <c r="J1203" s="696"/>
      <c r="K1203" s="697"/>
      <c r="L1203" s="696"/>
      <c r="M1203" s="198" t="str">
        <f t="shared" si="273"/>
        <v/>
      </c>
      <c r="N1203" s="369" t="str">
        <f t="shared" si="274"/>
        <v/>
      </c>
      <c r="O1203" s="183" t="str">
        <f t="shared" si="275"/>
        <v/>
      </c>
      <c r="P1203" s="199" t="str">
        <f t="shared" si="276"/>
        <v/>
      </c>
      <c r="Q1203" s="199" t="str">
        <f>IF(B1203="","",IFERROR(IF('עלויות כח אדם (6)'!J1203&gt;=VLOOKUP(I1203,'סיווג התפקידים והעלויות'!$B$23:$C$32,2,0),"תקין","לא תקין"),""))</f>
        <v/>
      </c>
      <c r="R1203" s="199" t="str">
        <f t="shared" si="277"/>
        <v/>
      </c>
      <c r="S1203" s="199" t="str">
        <f t="shared" si="278"/>
        <v/>
      </c>
      <c r="T1203" s="199" t="str">
        <f t="shared" si="286"/>
        <v/>
      </c>
      <c r="U1203" s="199" t="str">
        <f t="shared" si="279"/>
        <v/>
      </c>
      <c r="V1203" s="989"/>
      <c r="X1203" s="374" t="str">
        <f t="shared" si="280"/>
        <v/>
      </c>
      <c r="Y1203" s="375" t="str">
        <f t="shared" si="281"/>
        <v/>
      </c>
      <c r="Z1203" s="374" t="str">
        <f t="shared" si="282"/>
        <v/>
      </c>
      <c r="AA1203" s="374" t="b">
        <f t="shared" si="283"/>
        <v>1</v>
      </c>
      <c r="AB1203" s="374">
        <f>COUNTIFS(B:B,B1203,H:H,'סיווג התפקידים והעלויות'!$C$2)</f>
        <v>0</v>
      </c>
      <c r="AC1203" s="374">
        <f>COUNTIFS(B:B,B1203,H:H,'סיווג התפקידים והעלויות'!$D$2)</f>
        <v>0</v>
      </c>
      <c r="AD1203" s="374" t="str">
        <f>IF(OR(AND(H1203='סיווג התפקידים והעלויות'!$A$2,I1203='סיווג התפקידים והעלויות'!$A$3),'עלויות כח אדם (6)'!H1203='סיווג התפקידים והעלויות'!$C$2,'עלויות כח אדם (6)'!H1203='סיווג התפקידים והעלויות'!$D$2),IF('עלויות כח אדם (6)'!J1203&lt;75,"לא תקין","תקין"),"")</f>
        <v/>
      </c>
      <c r="AE1203" s="374" t="str">
        <f t="shared" si="284"/>
        <v/>
      </c>
      <c r="AF1203" s="532" t="str">
        <f t="shared" si="285"/>
        <v/>
      </c>
    </row>
    <row r="1204" spans="2:32" x14ac:dyDescent="0.25">
      <c r="B1204" s="695"/>
      <c r="C1204" s="197" t="str">
        <f>IF(B1204&lt;&gt;"",IFERROR(VLOOKUP(B:B,'מצבת והרשמה (2)'!$C$20:$N$520,2,0)," ")," ")</f>
        <v xml:space="preserve"> </v>
      </c>
      <c r="D1204" s="695"/>
      <c r="E1204" s="696"/>
      <c r="F1204" s="696"/>
      <c r="G1204" s="696"/>
      <c r="H1204" s="696"/>
      <c r="I1204" s="1050" t="str">
        <f t="shared" si="272"/>
        <v/>
      </c>
      <c r="J1204" s="696"/>
      <c r="K1204" s="697"/>
      <c r="L1204" s="696"/>
      <c r="M1204" s="198" t="str">
        <f t="shared" si="273"/>
        <v/>
      </c>
      <c r="N1204" s="369" t="str">
        <f t="shared" si="274"/>
        <v/>
      </c>
      <c r="O1204" s="183" t="str">
        <f t="shared" si="275"/>
        <v/>
      </c>
      <c r="P1204" s="199" t="str">
        <f t="shared" si="276"/>
        <v/>
      </c>
      <c r="Q1204" s="199" t="str">
        <f>IF(B1204="","",IFERROR(IF('עלויות כח אדם (6)'!J1204&gt;=VLOOKUP(I1204,'סיווג התפקידים והעלויות'!$B$23:$C$32,2,0),"תקין","לא תקין"),""))</f>
        <v/>
      </c>
      <c r="R1204" s="199" t="str">
        <f t="shared" si="277"/>
        <v/>
      </c>
      <c r="S1204" s="199" t="str">
        <f t="shared" si="278"/>
        <v/>
      </c>
      <c r="T1204" s="199" t="str">
        <f t="shared" si="286"/>
        <v/>
      </c>
      <c r="U1204" s="199" t="str">
        <f t="shared" si="279"/>
        <v/>
      </c>
      <c r="V1204" s="989"/>
      <c r="X1204" s="374" t="str">
        <f t="shared" si="280"/>
        <v/>
      </c>
      <c r="Y1204" s="375" t="str">
        <f t="shared" si="281"/>
        <v/>
      </c>
      <c r="Z1204" s="374" t="str">
        <f t="shared" si="282"/>
        <v/>
      </c>
      <c r="AA1204" s="374" t="b">
        <f t="shared" si="283"/>
        <v>1</v>
      </c>
      <c r="AB1204" s="374">
        <f>COUNTIFS(B:B,B1204,H:H,'סיווג התפקידים והעלויות'!$C$2)</f>
        <v>0</v>
      </c>
      <c r="AC1204" s="374">
        <f>COUNTIFS(B:B,B1204,H:H,'סיווג התפקידים והעלויות'!$D$2)</f>
        <v>0</v>
      </c>
      <c r="AD1204" s="374" t="str">
        <f>IF(OR(AND(H1204='סיווג התפקידים והעלויות'!$A$2,I1204='סיווג התפקידים והעלויות'!$A$3),'עלויות כח אדם (6)'!H1204='סיווג התפקידים והעלויות'!$C$2,'עלויות כח אדם (6)'!H1204='סיווג התפקידים והעלויות'!$D$2),IF('עלויות כח אדם (6)'!J1204&lt;75,"לא תקין","תקין"),"")</f>
        <v/>
      </c>
      <c r="AE1204" s="374" t="str">
        <f t="shared" si="284"/>
        <v/>
      </c>
      <c r="AF1204" s="532" t="str">
        <f t="shared" si="285"/>
        <v/>
      </c>
    </row>
    <row r="1205" spans="2:32" x14ac:dyDescent="0.25">
      <c r="B1205" s="695"/>
      <c r="C1205" s="197" t="str">
        <f>IF(B1205&lt;&gt;"",IFERROR(VLOOKUP(B:B,'מצבת והרשמה (2)'!$C$20:$N$520,2,0)," ")," ")</f>
        <v xml:space="preserve"> </v>
      </c>
      <c r="D1205" s="695"/>
      <c r="E1205" s="696"/>
      <c r="F1205" s="696"/>
      <c r="G1205" s="696"/>
      <c r="H1205" s="696"/>
      <c r="I1205" s="1050" t="str">
        <f t="shared" si="272"/>
        <v/>
      </c>
      <c r="J1205" s="696"/>
      <c r="K1205" s="697"/>
      <c r="L1205" s="696"/>
      <c r="M1205" s="198" t="str">
        <f t="shared" si="273"/>
        <v/>
      </c>
      <c r="N1205" s="369" t="str">
        <f t="shared" si="274"/>
        <v/>
      </c>
      <c r="O1205" s="183" t="str">
        <f t="shared" si="275"/>
        <v/>
      </c>
      <c r="P1205" s="199" t="str">
        <f t="shared" si="276"/>
        <v/>
      </c>
      <c r="Q1205" s="199" t="str">
        <f>IF(B1205="","",IFERROR(IF('עלויות כח אדם (6)'!J1205&gt;=VLOOKUP(I1205,'סיווג התפקידים והעלויות'!$B$23:$C$32,2,0),"תקין","לא תקין"),""))</f>
        <v/>
      </c>
      <c r="R1205" s="199" t="str">
        <f t="shared" si="277"/>
        <v/>
      </c>
      <c r="S1205" s="199" t="str">
        <f t="shared" si="278"/>
        <v/>
      </c>
      <c r="T1205" s="199" t="str">
        <f t="shared" si="286"/>
        <v/>
      </c>
      <c r="U1205" s="199" t="str">
        <f t="shared" si="279"/>
        <v/>
      </c>
      <c r="V1205" s="989"/>
      <c r="X1205" s="374" t="str">
        <f t="shared" si="280"/>
        <v/>
      </c>
      <c r="Y1205" s="375" t="str">
        <f t="shared" si="281"/>
        <v/>
      </c>
      <c r="Z1205" s="374" t="str">
        <f t="shared" si="282"/>
        <v/>
      </c>
      <c r="AA1205" s="374" t="b">
        <f t="shared" si="283"/>
        <v>1</v>
      </c>
      <c r="AB1205" s="374">
        <f>COUNTIFS(B:B,B1205,H:H,'סיווג התפקידים והעלויות'!$C$2)</f>
        <v>0</v>
      </c>
      <c r="AC1205" s="374">
        <f>COUNTIFS(B:B,B1205,H:H,'סיווג התפקידים והעלויות'!$D$2)</f>
        <v>0</v>
      </c>
      <c r="AD1205" s="374" t="str">
        <f>IF(OR(AND(H1205='סיווג התפקידים והעלויות'!$A$2,I1205='סיווג התפקידים והעלויות'!$A$3),'עלויות כח אדם (6)'!H1205='סיווג התפקידים והעלויות'!$C$2,'עלויות כח אדם (6)'!H1205='סיווג התפקידים והעלויות'!$D$2),IF('עלויות כח אדם (6)'!J1205&lt;75,"לא תקין","תקין"),"")</f>
        <v/>
      </c>
      <c r="AE1205" s="374" t="str">
        <f t="shared" si="284"/>
        <v/>
      </c>
      <c r="AF1205" s="532" t="str">
        <f t="shared" si="285"/>
        <v/>
      </c>
    </row>
    <row r="1206" spans="2:32" x14ac:dyDescent="0.25">
      <c r="B1206" s="695"/>
      <c r="C1206" s="197" t="str">
        <f>IF(B1206&lt;&gt;"",IFERROR(VLOOKUP(B:B,'מצבת והרשמה (2)'!$C$20:$N$520,2,0)," ")," ")</f>
        <v xml:space="preserve"> </v>
      </c>
      <c r="D1206" s="695"/>
      <c r="E1206" s="696"/>
      <c r="F1206" s="696"/>
      <c r="G1206" s="696"/>
      <c r="H1206" s="696"/>
      <c r="I1206" s="1050" t="str">
        <f t="shared" si="272"/>
        <v/>
      </c>
      <c r="J1206" s="696"/>
      <c r="K1206" s="697"/>
      <c r="L1206" s="696"/>
      <c r="M1206" s="198" t="str">
        <f t="shared" si="273"/>
        <v/>
      </c>
      <c r="N1206" s="369" t="str">
        <f t="shared" si="274"/>
        <v/>
      </c>
      <c r="O1206" s="183" t="str">
        <f t="shared" si="275"/>
        <v/>
      </c>
      <c r="P1206" s="199" t="str">
        <f t="shared" si="276"/>
        <v/>
      </c>
      <c r="Q1206" s="199" t="str">
        <f>IF(B1206="","",IFERROR(IF('עלויות כח אדם (6)'!J1206&gt;=VLOOKUP(I1206,'סיווג התפקידים והעלויות'!$B$23:$C$32,2,0),"תקין","לא תקין"),""))</f>
        <v/>
      </c>
      <c r="R1206" s="199" t="str">
        <f t="shared" si="277"/>
        <v/>
      </c>
      <c r="S1206" s="199" t="str">
        <f t="shared" si="278"/>
        <v/>
      </c>
      <c r="T1206" s="199" t="str">
        <f t="shared" si="286"/>
        <v/>
      </c>
      <c r="U1206" s="199" t="str">
        <f t="shared" si="279"/>
        <v/>
      </c>
      <c r="V1206" s="989"/>
      <c r="X1206" s="374" t="str">
        <f t="shared" si="280"/>
        <v/>
      </c>
      <c r="Y1206" s="375" t="str">
        <f t="shared" si="281"/>
        <v/>
      </c>
      <c r="Z1206" s="374" t="str">
        <f t="shared" si="282"/>
        <v/>
      </c>
      <c r="AA1206" s="374" t="b">
        <f t="shared" si="283"/>
        <v>1</v>
      </c>
      <c r="AB1206" s="374">
        <f>COUNTIFS(B:B,B1206,H:H,'סיווג התפקידים והעלויות'!$C$2)</f>
        <v>0</v>
      </c>
      <c r="AC1206" s="374">
        <f>COUNTIFS(B:B,B1206,H:H,'סיווג התפקידים והעלויות'!$D$2)</f>
        <v>0</v>
      </c>
      <c r="AD1206" s="374" t="str">
        <f>IF(OR(AND(H1206='סיווג התפקידים והעלויות'!$A$2,I1206='סיווג התפקידים והעלויות'!$A$3),'עלויות כח אדם (6)'!H1206='סיווג התפקידים והעלויות'!$C$2,'עלויות כח אדם (6)'!H1206='סיווג התפקידים והעלויות'!$D$2),IF('עלויות כח אדם (6)'!J1206&lt;75,"לא תקין","תקין"),"")</f>
        <v/>
      </c>
      <c r="AE1206" s="374" t="str">
        <f t="shared" si="284"/>
        <v/>
      </c>
      <c r="AF1206" s="532" t="str">
        <f t="shared" si="285"/>
        <v/>
      </c>
    </row>
    <row r="1207" spans="2:32" x14ac:dyDescent="0.25">
      <c r="B1207" s="695"/>
      <c r="C1207" s="197" t="str">
        <f>IF(B1207&lt;&gt;"",IFERROR(VLOOKUP(B:B,'מצבת והרשמה (2)'!$C$20:$N$520,2,0)," ")," ")</f>
        <v xml:space="preserve"> </v>
      </c>
      <c r="D1207" s="695"/>
      <c r="E1207" s="696"/>
      <c r="F1207" s="696"/>
      <c r="G1207" s="696"/>
      <c r="H1207" s="696"/>
      <c r="I1207" s="1050" t="str">
        <f t="shared" si="272"/>
        <v/>
      </c>
      <c r="J1207" s="696"/>
      <c r="K1207" s="697"/>
      <c r="L1207" s="696"/>
      <c r="M1207" s="198" t="str">
        <f t="shared" si="273"/>
        <v/>
      </c>
      <c r="N1207" s="369" t="str">
        <f t="shared" si="274"/>
        <v/>
      </c>
      <c r="O1207" s="183" t="str">
        <f t="shared" si="275"/>
        <v/>
      </c>
      <c r="P1207" s="199" t="str">
        <f t="shared" si="276"/>
        <v/>
      </c>
      <c r="Q1207" s="199" t="str">
        <f>IF(B1207="","",IFERROR(IF('עלויות כח אדם (6)'!J1207&gt;=VLOOKUP(I1207,'סיווג התפקידים והעלויות'!$B$23:$C$32,2,0),"תקין","לא תקין"),""))</f>
        <v/>
      </c>
      <c r="R1207" s="199" t="str">
        <f t="shared" si="277"/>
        <v/>
      </c>
      <c r="S1207" s="199" t="str">
        <f t="shared" si="278"/>
        <v/>
      </c>
      <c r="T1207" s="199" t="str">
        <f t="shared" si="286"/>
        <v/>
      </c>
      <c r="U1207" s="199" t="str">
        <f t="shared" si="279"/>
        <v/>
      </c>
      <c r="V1207" s="989"/>
      <c r="X1207" s="374" t="str">
        <f t="shared" si="280"/>
        <v/>
      </c>
      <c r="Y1207" s="375" t="str">
        <f t="shared" si="281"/>
        <v/>
      </c>
      <c r="Z1207" s="374" t="str">
        <f t="shared" si="282"/>
        <v/>
      </c>
      <c r="AA1207" s="374" t="b">
        <f t="shared" si="283"/>
        <v>1</v>
      </c>
      <c r="AB1207" s="374">
        <f>COUNTIFS(B:B,B1207,H:H,'סיווג התפקידים והעלויות'!$C$2)</f>
        <v>0</v>
      </c>
      <c r="AC1207" s="374">
        <f>COUNTIFS(B:B,B1207,H:H,'סיווג התפקידים והעלויות'!$D$2)</f>
        <v>0</v>
      </c>
      <c r="AD1207" s="374" t="str">
        <f>IF(OR(AND(H1207='סיווג התפקידים והעלויות'!$A$2,I1207='סיווג התפקידים והעלויות'!$A$3),'עלויות כח אדם (6)'!H1207='סיווג התפקידים והעלויות'!$C$2,'עלויות כח אדם (6)'!H1207='סיווג התפקידים והעלויות'!$D$2),IF('עלויות כח אדם (6)'!J1207&lt;75,"לא תקין","תקין"),"")</f>
        <v/>
      </c>
      <c r="AE1207" s="374" t="str">
        <f t="shared" si="284"/>
        <v/>
      </c>
      <c r="AF1207" s="532" t="str">
        <f t="shared" si="285"/>
        <v/>
      </c>
    </row>
    <row r="1208" spans="2:32" x14ac:dyDescent="0.25">
      <c r="B1208" s="695"/>
      <c r="C1208" s="197" t="str">
        <f>IF(B1208&lt;&gt;"",IFERROR(VLOOKUP(B:B,'מצבת והרשמה (2)'!$C$20:$N$520,2,0)," ")," ")</f>
        <v xml:space="preserve"> </v>
      </c>
      <c r="D1208" s="695"/>
      <c r="E1208" s="696"/>
      <c r="F1208" s="696"/>
      <c r="G1208" s="696"/>
      <c r="H1208" s="696"/>
      <c r="I1208" s="1050" t="str">
        <f t="shared" si="272"/>
        <v/>
      </c>
      <c r="J1208" s="696"/>
      <c r="K1208" s="697"/>
      <c r="L1208" s="696"/>
      <c r="M1208" s="198" t="str">
        <f t="shared" si="273"/>
        <v/>
      </c>
      <c r="N1208" s="369" t="str">
        <f t="shared" si="274"/>
        <v/>
      </c>
      <c r="O1208" s="183" t="str">
        <f t="shared" si="275"/>
        <v/>
      </c>
      <c r="P1208" s="199" t="str">
        <f t="shared" si="276"/>
        <v/>
      </c>
      <c r="Q1208" s="199" t="str">
        <f>IF(B1208="","",IFERROR(IF('עלויות כח אדם (6)'!J1208&gt;=VLOOKUP(I1208,'סיווג התפקידים והעלויות'!$B$23:$C$32,2,0),"תקין","לא תקין"),""))</f>
        <v/>
      </c>
      <c r="R1208" s="199" t="str">
        <f t="shared" si="277"/>
        <v/>
      </c>
      <c r="S1208" s="199" t="str">
        <f t="shared" si="278"/>
        <v/>
      </c>
      <c r="T1208" s="199" t="str">
        <f t="shared" si="286"/>
        <v/>
      </c>
      <c r="U1208" s="199" t="str">
        <f t="shared" si="279"/>
        <v/>
      </c>
      <c r="V1208" s="989"/>
      <c r="X1208" s="374" t="str">
        <f t="shared" si="280"/>
        <v/>
      </c>
      <c r="Y1208" s="375" t="str">
        <f t="shared" si="281"/>
        <v/>
      </c>
      <c r="Z1208" s="374" t="str">
        <f t="shared" si="282"/>
        <v/>
      </c>
      <c r="AA1208" s="374" t="b">
        <f t="shared" si="283"/>
        <v>1</v>
      </c>
      <c r="AB1208" s="374">
        <f>COUNTIFS(B:B,B1208,H:H,'סיווג התפקידים והעלויות'!$C$2)</f>
        <v>0</v>
      </c>
      <c r="AC1208" s="374">
        <f>COUNTIFS(B:B,B1208,H:H,'סיווג התפקידים והעלויות'!$D$2)</f>
        <v>0</v>
      </c>
      <c r="AD1208" s="374" t="str">
        <f>IF(OR(AND(H1208='סיווג התפקידים והעלויות'!$A$2,I1208='סיווג התפקידים והעלויות'!$A$3),'עלויות כח אדם (6)'!H1208='סיווג התפקידים והעלויות'!$C$2,'עלויות כח אדם (6)'!H1208='סיווג התפקידים והעלויות'!$D$2),IF('עלויות כח אדם (6)'!J1208&lt;75,"לא תקין","תקין"),"")</f>
        <v/>
      </c>
      <c r="AE1208" s="374" t="str">
        <f t="shared" si="284"/>
        <v/>
      </c>
      <c r="AF1208" s="532" t="str">
        <f t="shared" si="285"/>
        <v/>
      </c>
    </row>
    <row r="1209" spans="2:32" x14ac:dyDescent="0.25">
      <c r="B1209" s="695"/>
      <c r="C1209" s="197" t="str">
        <f>IF(B1209&lt;&gt;"",IFERROR(VLOOKUP(B:B,'מצבת והרשמה (2)'!$C$20:$N$520,2,0)," ")," ")</f>
        <v xml:space="preserve"> </v>
      </c>
      <c r="D1209" s="695"/>
      <c r="E1209" s="696"/>
      <c r="F1209" s="696"/>
      <c r="G1209" s="696"/>
      <c r="H1209" s="696"/>
      <c r="I1209" s="1050" t="str">
        <f t="shared" si="272"/>
        <v/>
      </c>
      <c r="J1209" s="696"/>
      <c r="K1209" s="697"/>
      <c r="L1209" s="696"/>
      <c r="M1209" s="198" t="str">
        <f t="shared" si="273"/>
        <v/>
      </c>
      <c r="N1209" s="369" t="str">
        <f t="shared" si="274"/>
        <v/>
      </c>
      <c r="O1209" s="183" t="str">
        <f t="shared" si="275"/>
        <v/>
      </c>
      <c r="P1209" s="199" t="str">
        <f t="shared" si="276"/>
        <v/>
      </c>
      <c r="Q1209" s="199" t="str">
        <f>IF(B1209="","",IFERROR(IF('עלויות כח אדם (6)'!J1209&gt;=VLOOKUP(I1209,'סיווג התפקידים והעלויות'!$B$23:$C$32,2,0),"תקין","לא תקין"),""))</f>
        <v/>
      </c>
      <c r="R1209" s="199" t="str">
        <f t="shared" si="277"/>
        <v/>
      </c>
      <c r="S1209" s="199" t="str">
        <f t="shared" si="278"/>
        <v/>
      </c>
      <c r="T1209" s="199" t="str">
        <f t="shared" si="286"/>
        <v/>
      </c>
      <c r="U1209" s="199" t="str">
        <f t="shared" si="279"/>
        <v/>
      </c>
      <c r="V1209" s="989"/>
      <c r="X1209" s="374" t="str">
        <f t="shared" si="280"/>
        <v/>
      </c>
      <c r="Y1209" s="375" t="str">
        <f t="shared" si="281"/>
        <v/>
      </c>
      <c r="Z1209" s="374" t="str">
        <f t="shared" si="282"/>
        <v/>
      </c>
      <c r="AA1209" s="374" t="b">
        <f t="shared" si="283"/>
        <v>1</v>
      </c>
      <c r="AB1209" s="374">
        <f>COUNTIFS(B:B,B1209,H:H,'סיווג התפקידים והעלויות'!$C$2)</f>
        <v>0</v>
      </c>
      <c r="AC1209" s="374">
        <f>COUNTIFS(B:B,B1209,H:H,'סיווג התפקידים והעלויות'!$D$2)</f>
        <v>0</v>
      </c>
      <c r="AD1209" s="374" t="str">
        <f>IF(OR(AND(H1209='סיווג התפקידים והעלויות'!$A$2,I1209='סיווג התפקידים והעלויות'!$A$3),'עלויות כח אדם (6)'!H1209='סיווג התפקידים והעלויות'!$C$2,'עלויות כח אדם (6)'!H1209='סיווג התפקידים והעלויות'!$D$2),IF('עלויות כח אדם (6)'!J1209&lt;75,"לא תקין","תקין"),"")</f>
        <v/>
      </c>
      <c r="AE1209" s="374" t="str">
        <f t="shared" si="284"/>
        <v/>
      </c>
      <c r="AF1209" s="532" t="str">
        <f t="shared" si="285"/>
        <v/>
      </c>
    </row>
    <row r="1210" spans="2:32" x14ac:dyDescent="0.25">
      <c r="B1210" s="695"/>
      <c r="C1210" s="197" t="str">
        <f>IF(B1210&lt;&gt;"",IFERROR(VLOOKUP(B:B,'מצבת והרשמה (2)'!$C$20:$N$520,2,0)," ")," ")</f>
        <v xml:space="preserve"> </v>
      </c>
      <c r="D1210" s="695"/>
      <c r="E1210" s="696"/>
      <c r="F1210" s="696"/>
      <c r="G1210" s="696"/>
      <c r="H1210" s="696"/>
      <c r="I1210" s="1050" t="str">
        <f t="shared" si="272"/>
        <v/>
      </c>
      <c r="J1210" s="696"/>
      <c r="K1210" s="697"/>
      <c r="L1210" s="696"/>
      <c r="M1210" s="198" t="str">
        <f t="shared" si="273"/>
        <v/>
      </c>
      <c r="N1210" s="369" t="str">
        <f t="shared" si="274"/>
        <v/>
      </c>
      <c r="O1210" s="183" t="str">
        <f t="shared" si="275"/>
        <v/>
      </c>
      <c r="P1210" s="199" t="str">
        <f t="shared" si="276"/>
        <v/>
      </c>
      <c r="Q1210" s="199" t="str">
        <f>IF(B1210="","",IFERROR(IF('עלויות כח אדם (6)'!J1210&gt;=VLOOKUP(I1210,'סיווג התפקידים והעלויות'!$B$23:$C$32,2,0),"תקין","לא תקין"),""))</f>
        <v/>
      </c>
      <c r="R1210" s="199" t="str">
        <f t="shared" si="277"/>
        <v/>
      </c>
      <c r="S1210" s="199" t="str">
        <f t="shared" si="278"/>
        <v/>
      </c>
      <c r="T1210" s="199" t="str">
        <f t="shared" si="286"/>
        <v/>
      </c>
      <c r="U1210" s="199" t="str">
        <f t="shared" si="279"/>
        <v/>
      </c>
      <c r="V1210" s="989"/>
      <c r="X1210" s="374" t="str">
        <f t="shared" si="280"/>
        <v/>
      </c>
      <c r="Y1210" s="375" t="str">
        <f t="shared" si="281"/>
        <v/>
      </c>
      <c r="Z1210" s="374" t="str">
        <f t="shared" si="282"/>
        <v/>
      </c>
      <c r="AA1210" s="374" t="b">
        <f t="shared" si="283"/>
        <v>1</v>
      </c>
      <c r="AB1210" s="374">
        <f>COUNTIFS(B:B,B1210,H:H,'סיווג התפקידים והעלויות'!$C$2)</f>
        <v>0</v>
      </c>
      <c r="AC1210" s="374">
        <f>COUNTIFS(B:B,B1210,H:H,'סיווג התפקידים והעלויות'!$D$2)</f>
        <v>0</v>
      </c>
      <c r="AD1210" s="374" t="str">
        <f>IF(OR(AND(H1210='סיווג התפקידים והעלויות'!$A$2,I1210='סיווג התפקידים והעלויות'!$A$3),'עלויות כח אדם (6)'!H1210='סיווג התפקידים והעלויות'!$C$2,'עלויות כח אדם (6)'!H1210='סיווג התפקידים והעלויות'!$D$2),IF('עלויות כח אדם (6)'!J1210&lt;75,"לא תקין","תקין"),"")</f>
        <v/>
      </c>
      <c r="AE1210" s="374" t="str">
        <f t="shared" si="284"/>
        <v/>
      </c>
      <c r="AF1210" s="532" t="str">
        <f t="shared" si="285"/>
        <v/>
      </c>
    </row>
    <row r="1211" spans="2:32" x14ac:dyDescent="0.25">
      <c r="B1211" s="695"/>
      <c r="C1211" s="197" t="str">
        <f>IF(B1211&lt;&gt;"",IFERROR(VLOOKUP(B:B,'מצבת והרשמה (2)'!$C$20:$N$520,2,0)," ")," ")</f>
        <v xml:space="preserve"> </v>
      </c>
      <c r="D1211" s="695"/>
      <c r="E1211" s="696"/>
      <c r="F1211" s="696"/>
      <c r="G1211" s="696"/>
      <c r="H1211" s="696"/>
      <c r="I1211" s="1050" t="str">
        <f t="shared" si="272"/>
        <v/>
      </c>
      <c r="J1211" s="696"/>
      <c r="K1211" s="697"/>
      <c r="L1211" s="696"/>
      <c r="M1211" s="198" t="str">
        <f t="shared" si="273"/>
        <v/>
      </c>
      <c r="N1211" s="369" t="str">
        <f t="shared" si="274"/>
        <v/>
      </c>
      <c r="O1211" s="183" t="str">
        <f t="shared" si="275"/>
        <v/>
      </c>
      <c r="P1211" s="199" t="str">
        <f t="shared" si="276"/>
        <v/>
      </c>
      <c r="Q1211" s="199" t="str">
        <f>IF(B1211="","",IFERROR(IF('עלויות כח אדם (6)'!J1211&gt;=VLOOKUP(I1211,'סיווג התפקידים והעלויות'!$B$23:$C$32,2,0),"תקין","לא תקין"),""))</f>
        <v/>
      </c>
      <c r="R1211" s="199" t="str">
        <f t="shared" si="277"/>
        <v/>
      </c>
      <c r="S1211" s="199" t="str">
        <f t="shared" si="278"/>
        <v/>
      </c>
      <c r="T1211" s="199" t="str">
        <f t="shared" si="286"/>
        <v/>
      </c>
      <c r="U1211" s="199" t="str">
        <f t="shared" si="279"/>
        <v/>
      </c>
      <c r="V1211" s="989"/>
      <c r="X1211" s="374" t="str">
        <f t="shared" si="280"/>
        <v/>
      </c>
      <c r="Y1211" s="375" t="str">
        <f t="shared" si="281"/>
        <v/>
      </c>
      <c r="Z1211" s="374" t="str">
        <f t="shared" si="282"/>
        <v/>
      </c>
      <c r="AA1211" s="374" t="b">
        <f t="shared" si="283"/>
        <v>1</v>
      </c>
      <c r="AB1211" s="374">
        <f>COUNTIFS(B:B,B1211,H:H,'סיווג התפקידים והעלויות'!$C$2)</f>
        <v>0</v>
      </c>
      <c r="AC1211" s="374">
        <f>COUNTIFS(B:B,B1211,H:H,'סיווג התפקידים והעלויות'!$D$2)</f>
        <v>0</v>
      </c>
      <c r="AD1211" s="374" t="str">
        <f>IF(OR(AND(H1211='סיווג התפקידים והעלויות'!$A$2,I1211='סיווג התפקידים והעלויות'!$A$3),'עלויות כח אדם (6)'!H1211='סיווג התפקידים והעלויות'!$C$2,'עלויות כח אדם (6)'!H1211='סיווג התפקידים והעלויות'!$D$2),IF('עלויות כח אדם (6)'!J1211&lt;75,"לא תקין","תקין"),"")</f>
        <v/>
      </c>
      <c r="AE1211" s="374" t="str">
        <f t="shared" si="284"/>
        <v/>
      </c>
      <c r="AF1211" s="532" t="str">
        <f t="shared" si="285"/>
        <v/>
      </c>
    </row>
    <row r="1212" spans="2:32" x14ac:dyDescent="0.25">
      <c r="B1212" s="695"/>
      <c r="C1212" s="197" t="str">
        <f>IF(B1212&lt;&gt;"",IFERROR(VLOOKUP(B:B,'מצבת והרשמה (2)'!$C$20:$N$520,2,0)," ")," ")</f>
        <v xml:space="preserve"> </v>
      </c>
      <c r="D1212" s="695"/>
      <c r="E1212" s="696"/>
      <c r="F1212" s="696"/>
      <c r="G1212" s="696"/>
      <c r="H1212" s="696"/>
      <c r="I1212" s="1050" t="str">
        <f t="shared" si="272"/>
        <v/>
      </c>
      <c r="J1212" s="696"/>
      <c r="K1212" s="697"/>
      <c r="L1212" s="696"/>
      <c r="M1212" s="198" t="str">
        <f t="shared" si="273"/>
        <v/>
      </c>
      <c r="N1212" s="369" t="str">
        <f t="shared" si="274"/>
        <v/>
      </c>
      <c r="O1212" s="183" t="str">
        <f t="shared" si="275"/>
        <v/>
      </c>
      <c r="P1212" s="199" t="str">
        <f t="shared" si="276"/>
        <v/>
      </c>
      <c r="Q1212" s="199" t="str">
        <f>IF(B1212="","",IFERROR(IF('עלויות כח אדם (6)'!J1212&gt;=VLOOKUP(I1212,'סיווג התפקידים והעלויות'!$B$23:$C$32,2,0),"תקין","לא תקין"),""))</f>
        <v/>
      </c>
      <c r="R1212" s="199" t="str">
        <f t="shared" si="277"/>
        <v/>
      </c>
      <c r="S1212" s="199" t="str">
        <f t="shared" si="278"/>
        <v/>
      </c>
      <c r="T1212" s="199" t="str">
        <f t="shared" si="286"/>
        <v/>
      </c>
      <c r="U1212" s="199" t="str">
        <f t="shared" si="279"/>
        <v/>
      </c>
      <c r="V1212" s="989"/>
      <c r="X1212" s="374" t="str">
        <f t="shared" si="280"/>
        <v/>
      </c>
      <c r="Y1212" s="375" t="str">
        <f t="shared" si="281"/>
        <v/>
      </c>
      <c r="Z1212" s="374" t="str">
        <f t="shared" si="282"/>
        <v/>
      </c>
      <c r="AA1212" s="374" t="b">
        <f t="shared" si="283"/>
        <v>1</v>
      </c>
      <c r="AB1212" s="374">
        <f>COUNTIFS(B:B,B1212,H:H,'סיווג התפקידים והעלויות'!$C$2)</f>
        <v>0</v>
      </c>
      <c r="AC1212" s="374">
        <f>COUNTIFS(B:B,B1212,H:H,'סיווג התפקידים והעלויות'!$D$2)</f>
        <v>0</v>
      </c>
      <c r="AD1212" s="374" t="str">
        <f>IF(OR(AND(H1212='סיווג התפקידים והעלויות'!$A$2,I1212='סיווג התפקידים והעלויות'!$A$3),'עלויות כח אדם (6)'!H1212='סיווג התפקידים והעלויות'!$C$2,'עלויות כח אדם (6)'!H1212='סיווג התפקידים והעלויות'!$D$2),IF('עלויות כח אדם (6)'!J1212&lt;75,"לא תקין","תקין"),"")</f>
        <v/>
      </c>
      <c r="AE1212" s="374" t="str">
        <f t="shared" si="284"/>
        <v/>
      </c>
      <c r="AF1212" s="532" t="str">
        <f t="shared" si="285"/>
        <v/>
      </c>
    </row>
    <row r="1213" spans="2:32" x14ac:dyDescent="0.25">
      <c r="B1213" s="695"/>
      <c r="C1213" s="197" t="str">
        <f>IF(B1213&lt;&gt;"",IFERROR(VLOOKUP(B:B,'מצבת והרשמה (2)'!$C$20:$N$520,2,0)," ")," ")</f>
        <v xml:space="preserve"> </v>
      </c>
      <c r="D1213" s="695"/>
      <c r="E1213" s="696"/>
      <c r="F1213" s="696"/>
      <c r="G1213" s="696"/>
      <c r="H1213" s="696"/>
      <c r="I1213" s="1050" t="str">
        <f t="shared" si="272"/>
        <v/>
      </c>
      <c r="J1213" s="696"/>
      <c r="K1213" s="697"/>
      <c r="L1213" s="696"/>
      <c r="M1213" s="198" t="str">
        <f t="shared" si="273"/>
        <v/>
      </c>
      <c r="N1213" s="369" t="str">
        <f t="shared" si="274"/>
        <v/>
      </c>
      <c r="O1213" s="183" t="str">
        <f t="shared" si="275"/>
        <v/>
      </c>
      <c r="P1213" s="199" t="str">
        <f t="shared" si="276"/>
        <v/>
      </c>
      <c r="Q1213" s="199" t="str">
        <f>IF(B1213="","",IFERROR(IF('עלויות כח אדם (6)'!J1213&gt;=VLOOKUP(I1213,'סיווג התפקידים והעלויות'!$B$23:$C$32,2,0),"תקין","לא תקין"),""))</f>
        <v/>
      </c>
      <c r="R1213" s="199" t="str">
        <f t="shared" si="277"/>
        <v/>
      </c>
      <c r="S1213" s="199" t="str">
        <f t="shared" si="278"/>
        <v/>
      </c>
      <c r="T1213" s="199" t="str">
        <f t="shared" si="286"/>
        <v/>
      </c>
      <c r="U1213" s="199" t="str">
        <f t="shared" si="279"/>
        <v/>
      </c>
      <c r="V1213" s="989"/>
      <c r="X1213" s="374" t="str">
        <f t="shared" si="280"/>
        <v/>
      </c>
      <c r="Y1213" s="375" t="str">
        <f t="shared" si="281"/>
        <v/>
      </c>
      <c r="Z1213" s="374" t="str">
        <f t="shared" si="282"/>
        <v/>
      </c>
      <c r="AA1213" s="374" t="b">
        <f t="shared" si="283"/>
        <v>1</v>
      </c>
      <c r="AB1213" s="374">
        <f>COUNTIFS(B:B,B1213,H:H,'סיווג התפקידים והעלויות'!$C$2)</f>
        <v>0</v>
      </c>
      <c r="AC1213" s="374">
        <f>COUNTIFS(B:B,B1213,H:H,'סיווג התפקידים והעלויות'!$D$2)</f>
        <v>0</v>
      </c>
      <c r="AD1213" s="374" t="str">
        <f>IF(OR(AND(H1213='סיווג התפקידים והעלויות'!$A$2,I1213='סיווג התפקידים והעלויות'!$A$3),'עלויות כח אדם (6)'!H1213='סיווג התפקידים והעלויות'!$C$2,'עלויות כח אדם (6)'!H1213='סיווג התפקידים והעלויות'!$D$2),IF('עלויות כח אדם (6)'!J1213&lt;75,"לא תקין","תקין"),"")</f>
        <v/>
      </c>
      <c r="AE1213" s="374" t="str">
        <f t="shared" si="284"/>
        <v/>
      </c>
      <c r="AF1213" s="532" t="str">
        <f t="shared" si="285"/>
        <v/>
      </c>
    </row>
    <row r="1214" spans="2:32" x14ac:dyDescent="0.25">
      <c r="B1214" s="695"/>
      <c r="C1214" s="197" t="str">
        <f>IF(B1214&lt;&gt;"",IFERROR(VLOOKUP(B:B,'מצבת והרשמה (2)'!$C$20:$N$520,2,0)," ")," ")</f>
        <v xml:space="preserve"> </v>
      </c>
      <c r="D1214" s="695"/>
      <c r="E1214" s="696"/>
      <c r="F1214" s="696"/>
      <c r="G1214" s="696"/>
      <c r="H1214" s="696"/>
      <c r="I1214" s="1050" t="str">
        <f t="shared" si="272"/>
        <v/>
      </c>
      <c r="J1214" s="696"/>
      <c r="K1214" s="697"/>
      <c r="L1214" s="696"/>
      <c r="M1214" s="198" t="str">
        <f t="shared" si="273"/>
        <v/>
      </c>
      <c r="N1214" s="369" t="str">
        <f t="shared" si="274"/>
        <v/>
      </c>
      <c r="O1214" s="183" t="str">
        <f t="shared" si="275"/>
        <v/>
      </c>
      <c r="P1214" s="199" t="str">
        <f t="shared" si="276"/>
        <v/>
      </c>
      <c r="Q1214" s="199" t="str">
        <f>IF(B1214="","",IFERROR(IF('עלויות כח אדם (6)'!J1214&gt;=VLOOKUP(I1214,'סיווג התפקידים והעלויות'!$B$23:$C$32,2,0),"תקין","לא תקין"),""))</f>
        <v/>
      </c>
      <c r="R1214" s="199" t="str">
        <f t="shared" si="277"/>
        <v/>
      </c>
      <c r="S1214" s="199" t="str">
        <f t="shared" si="278"/>
        <v/>
      </c>
      <c r="T1214" s="199" t="str">
        <f t="shared" si="286"/>
        <v/>
      </c>
      <c r="U1214" s="199" t="str">
        <f t="shared" si="279"/>
        <v/>
      </c>
      <c r="V1214" s="989"/>
      <c r="X1214" s="374" t="str">
        <f t="shared" si="280"/>
        <v/>
      </c>
      <c r="Y1214" s="375" t="str">
        <f t="shared" si="281"/>
        <v/>
      </c>
      <c r="Z1214" s="374" t="str">
        <f t="shared" si="282"/>
        <v/>
      </c>
      <c r="AA1214" s="374" t="b">
        <f t="shared" si="283"/>
        <v>1</v>
      </c>
      <c r="AB1214" s="374">
        <f>COUNTIFS(B:B,B1214,H:H,'סיווג התפקידים והעלויות'!$C$2)</f>
        <v>0</v>
      </c>
      <c r="AC1214" s="374">
        <f>COUNTIFS(B:B,B1214,H:H,'סיווג התפקידים והעלויות'!$D$2)</f>
        <v>0</v>
      </c>
      <c r="AD1214" s="374" t="str">
        <f>IF(OR(AND(H1214='סיווג התפקידים והעלויות'!$A$2,I1214='סיווג התפקידים והעלויות'!$A$3),'עלויות כח אדם (6)'!H1214='סיווג התפקידים והעלויות'!$C$2,'עלויות כח אדם (6)'!H1214='סיווג התפקידים והעלויות'!$D$2),IF('עלויות כח אדם (6)'!J1214&lt;75,"לא תקין","תקין"),"")</f>
        <v/>
      </c>
      <c r="AE1214" s="374" t="str">
        <f t="shared" si="284"/>
        <v/>
      </c>
      <c r="AF1214" s="532" t="str">
        <f t="shared" si="285"/>
        <v/>
      </c>
    </row>
    <row r="1215" spans="2:32" x14ac:dyDescent="0.25">
      <c r="B1215" s="695"/>
      <c r="C1215" s="197" t="str">
        <f>IF(B1215&lt;&gt;"",IFERROR(VLOOKUP(B:B,'מצבת והרשמה (2)'!$C$20:$N$520,2,0)," ")," ")</f>
        <v xml:space="preserve"> </v>
      </c>
      <c r="D1215" s="695"/>
      <c r="E1215" s="696"/>
      <c r="F1215" s="696"/>
      <c r="G1215" s="696"/>
      <c r="H1215" s="696"/>
      <c r="I1215" s="1050" t="str">
        <f t="shared" si="272"/>
        <v/>
      </c>
      <c r="J1215" s="696"/>
      <c r="K1215" s="697"/>
      <c r="L1215" s="696"/>
      <c r="M1215" s="198" t="str">
        <f t="shared" si="273"/>
        <v/>
      </c>
      <c r="N1215" s="369" t="str">
        <f t="shared" si="274"/>
        <v/>
      </c>
      <c r="O1215" s="183" t="str">
        <f t="shared" si="275"/>
        <v/>
      </c>
      <c r="P1215" s="199" t="str">
        <f t="shared" si="276"/>
        <v/>
      </c>
      <c r="Q1215" s="199" t="str">
        <f>IF(B1215="","",IFERROR(IF('עלויות כח אדם (6)'!J1215&gt;=VLOOKUP(I1215,'סיווג התפקידים והעלויות'!$B$23:$C$32,2,0),"תקין","לא תקין"),""))</f>
        <v/>
      </c>
      <c r="R1215" s="199" t="str">
        <f t="shared" si="277"/>
        <v/>
      </c>
      <c r="S1215" s="199" t="str">
        <f t="shared" si="278"/>
        <v/>
      </c>
      <c r="T1215" s="199" t="str">
        <f t="shared" si="286"/>
        <v/>
      </c>
      <c r="U1215" s="199" t="str">
        <f t="shared" si="279"/>
        <v/>
      </c>
      <c r="V1215" s="989"/>
      <c r="X1215" s="374" t="str">
        <f t="shared" si="280"/>
        <v/>
      </c>
      <c r="Y1215" s="375" t="str">
        <f t="shared" si="281"/>
        <v/>
      </c>
      <c r="Z1215" s="374" t="str">
        <f t="shared" si="282"/>
        <v/>
      </c>
      <c r="AA1215" s="374" t="b">
        <f t="shared" si="283"/>
        <v>1</v>
      </c>
      <c r="AB1215" s="374">
        <f>COUNTIFS(B:B,B1215,H:H,'סיווג התפקידים והעלויות'!$C$2)</f>
        <v>0</v>
      </c>
      <c r="AC1215" s="374">
        <f>COUNTIFS(B:B,B1215,H:H,'סיווג התפקידים והעלויות'!$D$2)</f>
        <v>0</v>
      </c>
      <c r="AD1215" s="374" t="str">
        <f>IF(OR(AND(H1215='סיווג התפקידים והעלויות'!$A$2,I1215='סיווג התפקידים והעלויות'!$A$3),'עלויות כח אדם (6)'!H1215='סיווג התפקידים והעלויות'!$C$2,'עלויות כח אדם (6)'!H1215='סיווג התפקידים והעלויות'!$D$2),IF('עלויות כח אדם (6)'!J1215&lt;75,"לא תקין","תקין"),"")</f>
        <v/>
      </c>
      <c r="AE1215" s="374" t="str">
        <f t="shared" si="284"/>
        <v/>
      </c>
      <c r="AF1215" s="532" t="str">
        <f t="shared" si="285"/>
        <v/>
      </c>
    </row>
    <row r="1216" spans="2:32" x14ac:dyDescent="0.25">
      <c r="B1216" s="695"/>
      <c r="C1216" s="197" t="str">
        <f>IF(B1216&lt;&gt;"",IFERROR(VLOOKUP(B:B,'מצבת והרשמה (2)'!$C$20:$N$520,2,0)," ")," ")</f>
        <v xml:space="preserve"> </v>
      </c>
      <c r="D1216" s="695"/>
      <c r="E1216" s="696"/>
      <c r="F1216" s="696"/>
      <c r="G1216" s="696"/>
      <c r="H1216" s="696"/>
      <c r="I1216" s="1050" t="str">
        <f t="shared" si="272"/>
        <v/>
      </c>
      <c r="J1216" s="696"/>
      <c r="K1216" s="697"/>
      <c r="L1216" s="696"/>
      <c r="M1216" s="198" t="str">
        <f t="shared" si="273"/>
        <v/>
      </c>
      <c r="N1216" s="369" t="str">
        <f t="shared" si="274"/>
        <v/>
      </c>
      <c r="O1216" s="183" t="str">
        <f t="shared" si="275"/>
        <v/>
      </c>
      <c r="P1216" s="199" t="str">
        <f t="shared" si="276"/>
        <v/>
      </c>
      <c r="Q1216" s="199" t="str">
        <f>IF(B1216="","",IFERROR(IF('עלויות כח אדם (6)'!J1216&gt;=VLOOKUP(I1216,'סיווג התפקידים והעלויות'!$B$23:$C$32,2,0),"תקין","לא תקין"),""))</f>
        <v/>
      </c>
      <c r="R1216" s="199" t="str">
        <f t="shared" si="277"/>
        <v/>
      </c>
      <c r="S1216" s="199" t="str">
        <f t="shared" si="278"/>
        <v/>
      </c>
      <c r="T1216" s="199" t="str">
        <f t="shared" si="286"/>
        <v/>
      </c>
      <c r="U1216" s="199" t="str">
        <f t="shared" si="279"/>
        <v/>
      </c>
      <c r="V1216" s="989"/>
      <c r="X1216" s="374" t="str">
        <f t="shared" si="280"/>
        <v/>
      </c>
      <c r="Y1216" s="375" t="str">
        <f t="shared" si="281"/>
        <v/>
      </c>
      <c r="Z1216" s="374" t="str">
        <f t="shared" si="282"/>
        <v/>
      </c>
      <c r="AA1216" s="374" t="b">
        <f t="shared" si="283"/>
        <v>1</v>
      </c>
      <c r="AB1216" s="374">
        <f>COUNTIFS(B:B,B1216,H:H,'סיווג התפקידים והעלויות'!$C$2)</f>
        <v>0</v>
      </c>
      <c r="AC1216" s="374">
        <f>COUNTIFS(B:B,B1216,H:H,'סיווג התפקידים והעלויות'!$D$2)</f>
        <v>0</v>
      </c>
      <c r="AD1216" s="374" t="str">
        <f>IF(OR(AND(H1216='סיווג התפקידים והעלויות'!$A$2,I1216='סיווג התפקידים והעלויות'!$A$3),'עלויות כח אדם (6)'!H1216='סיווג התפקידים והעלויות'!$C$2,'עלויות כח אדם (6)'!H1216='סיווג התפקידים והעלויות'!$D$2),IF('עלויות כח אדם (6)'!J1216&lt;75,"לא תקין","תקין"),"")</f>
        <v/>
      </c>
      <c r="AE1216" s="374" t="str">
        <f t="shared" si="284"/>
        <v/>
      </c>
      <c r="AF1216" s="532" t="str">
        <f t="shared" si="285"/>
        <v/>
      </c>
    </row>
    <row r="1217" spans="2:32" x14ac:dyDescent="0.25">
      <c r="B1217" s="695"/>
      <c r="C1217" s="197" t="str">
        <f>IF(B1217&lt;&gt;"",IFERROR(VLOOKUP(B:B,'מצבת והרשמה (2)'!$C$20:$N$520,2,0)," ")," ")</f>
        <v xml:space="preserve"> </v>
      </c>
      <c r="D1217" s="695"/>
      <c r="E1217" s="696"/>
      <c r="F1217" s="696"/>
      <c r="G1217" s="696"/>
      <c r="H1217" s="696"/>
      <c r="I1217" s="1050" t="str">
        <f t="shared" si="272"/>
        <v/>
      </c>
      <c r="J1217" s="696"/>
      <c r="K1217" s="697"/>
      <c r="L1217" s="696"/>
      <c r="M1217" s="198" t="str">
        <f t="shared" si="273"/>
        <v/>
      </c>
      <c r="N1217" s="369" t="str">
        <f t="shared" si="274"/>
        <v/>
      </c>
      <c r="O1217" s="183" t="str">
        <f t="shared" si="275"/>
        <v/>
      </c>
      <c r="P1217" s="199" t="str">
        <f t="shared" si="276"/>
        <v/>
      </c>
      <c r="Q1217" s="199" t="str">
        <f>IF(B1217="","",IFERROR(IF('עלויות כח אדם (6)'!J1217&gt;=VLOOKUP(I1217,'סיווג התפקידים והעלויות'!$B$23:$C$32,2,0),"תקין","לא תקין"),""))</f>
        <v/>
      </c>
      <c r="R1217" s="199" t="str">
        <f t="shared" si="277"/>
        <v/>
      </c>
      <c r="S1217" s="199" t="str">
        <f t="shared" si="278"/>
        <v/>
      </c>
      <c r="T1217" s="199" t="str">
        <f t="shared" si="286"/>
        <v/>
      </c>
      <c r="U1217" s="199" t="str">
        <f t="shared" si="279"/>
        <v/>
      </c>
      <c r="V1217" s="989"/>
      <c r="X1217" s="374" t="str">
        <f t="shared" si="280"/>
        <v/>
      </c>
      <c r="Y1217" s="375" t="str">
        <f t="shared" si="281"/>
        <v/>
      </c>
      <c r="Z1217" s="374" t="str">
        <f t="shared" si="282"/>
        <v/>
      </c>
      <c r="AA1217" s="374" t="b">
        <f t="shared" si="283"/>
        <v>1</v>
      </c>
      <c r="AB1217" s="374">
        <f>COUNTIFS(B:B,B1217,H:H,'סיווג התפקידים והעלויות'!$C$2)</f>
        <v>0</v>
      </c>
      <c r="AC1217" s="374">
        <f>COUNTIFS(B:B,B1217,H:H,'סיווג התפקידים והעלויות'!$D$2)</f>
        <v>0</v>
      </c>
      <c r="AD1217" s="374" t="str">
        <f>IF(OR(AND(H1217='סיווג התפקידים והעלויות'!$A$2,I1217='סיווג התפקידים והעלויות'!$A$3),'עלויות כח אדם (6)'!H1217='סיווג התפקידים והעלויות'!$C$2,'עלויות כח אדם (6)'!H1217='סיווג התפקידים והעלויות'!$D$2),IF('עלויות כח אדם (6)'!J1217&lt;75,"לא תקין","תקין"),"")</f>
        <v/>
      </c>
      <c r="AE1217" s="374" t="str">
        <f t="shared" si="284"/>
        <v/>
      </c>
      <c r="AF1217" s="532" t="str">
        <f t="shared" si="285"/>
        <v/>
      </c>
    </row>
    <row r="1218" spans="2:32" x14ac:dyDescent="0.25">
      <c r="B1218" s="695"/>
      <c r="C1218" s="197" t="str">
        <f>IF(B1218&lt;&gt;"",IFERROR(VLOOKUP(B:B,'מצבת והרשמה (2)'!$C$20:$N$520,2,0)," ")," ")</f>
        <v xml:space="preserve"> </v>
      </c>
      <c r="D1218" s="695"/>
      <c r="E1218" s="696"/>
      <c r="F1218" s="696"/>
      <c r="G1218" s="696"/>
      <c r="H1218" s="696"/>
      <c r="I1218" s="1050" t="str">
        <f t="shared" si="272"/>
        <v/>
      </c>
      <c r="J1218" s="696"/>
      <c r="K1218" s="697"/>
      <c r="L1218" s="696"/>
      <c r="M1218" s="198" t="str">
        <f t="shared" si="273"/>
        <v/>
      </c>
      <c r="N1218" s="369" t="str">
        <f t="shared" si="274"/>
        <v/>
      </c>
      <c r="O1218" s="183" t="str">
        <f t="shared" si="275"/>
        <v/>
      </c>
      <c r="P1218" s="199" t="str">
        <f t="shared" si="276"/>
        <v/>
      </c>
      <c r="Q1218" s="199" t="str">
        <f>IF(B1218="","",IFERROR(IF('עלויות כח אדם (6)'!J1218&gt;=VLOOKUP(I1218,'סיווג התפקידים והעלויות'!$B$23:$C$32,2,0),"תקין","לא תקין"),""))</f>
        <v/>
      </c>
      <c r="R1218" s="199" t="str">
        <f t="shared" si="277"/>
        <v/>
      </c>
      <c r="S1218" s="199" t="str">
        <f t="shared" si="278"/>
        <v/>
      </c>
      <c r="T1218" s="199" t="str">
        <f t="shared" si="286"/>
        <v/>
      </c>
      <c r="U1218" s="199" t="str">
        <f t="shared" si="279"/>
        <v/>
      </c>
      <c r="V1218" s="989"/>
      <c r="X1218" s="374" t="str">
        <f t="shared" si="280"/>
        <v/>
      </c>
      <c r="Y1218" s="375" t="str">
        <f t="shared" si="281"/>
        <v/>
      </c>
      <c r="Z1218" s="374" t="str">
        <f t="shared" si="282"/>
        <v/>
      </c>
      <c r="AA1218" s="374" t="b">
        <f t="shared" si="283"/>
        <v>1</v>
      </c>
      <c r="AB1218" s="374">
        <f>COUNTIFS(B:B,B1218,H:H,'סיווג התפקידים והעלויות'!$C$2)</f>
        <v>0</v>
      </c>
      <c r="AC1218" s="374">
        <f>COUNTIFS(B:B,B1218,H:H,'סיווג התפקידים והעלויות'!$D$2)</f>
        <v>0</v>
      </c>
      <c r="AD1218" s="374" t="str">
        <f>IF(OR(AND(H1218='סיווג התפקידים והעלויות'!$A$2,I1218='סיווג התפקידים והעלויות'!$A$3),'עלויות כח אדם (6)'!H1218='סיווג התפקידים והעלויות'!$C$2,'עלויות כח אדם (6)'!H1218='סיווג התפקידים והעלויות'!$D$2),IF('עלויות כח אדם (6)'!J1218&lt;75,"לא תקין","תקין"),"")</f>
        <v/>
      </c>
      <c r="AE1218" s="374" t="str">
        <f t="shared" si="284"/>
        <v/>
      </c>
      <c r="AF1218" s="532" t="str">
        <f t="shared" si="285"/>
        <v/>
      </c>
    </row>
    <row r="1219" spans="2:32" x14ac:dyDescent="0.25">
      <c r="B1219" s="695"/>
      <c r="C1219" s="197" t="str">
        <f>IF(B1219&lt;&gt;"",IFERROR(VLOOKUP(B:B,'מצבת והרשמה (2)'!$C$20:$N$520,2,0)," ")," ")</f>
        <v xml:space="preserve"> </v>
      </c>
      <c r="D1219" s="695"/>
      <c r="E1219" s="696"/>
      <c r="F1219" s="696"/>
      <c r="G1219" s="696"/>
      <c r="H1219" s="696"/>
      <c r="I1219" s="1050" t="str">
        <f t="shared" si="272"/>
        <v/>
      </c>
      <c r="J1219" s="696"/>
      <c r="K1219" s="697"/>
      <c r="L1219" s="696"/>
      <c r="M1219" s="198" t="str">
        <f t="shared" si="273"/>
        <v/>
      </c>
      <c r="N1219" s="369" t="str">
        <f t="shared" si="274"/>
        <v/>
      </c>
      <c r="O1219" s="183" t="str">
        <f t="shared" si="275"/>
        <v/>
      </c>
      <c r="P1219" s="199" t="str">
        <f t="shared" si="276"/>
        <v/>
      </c>
      <c r="Q1219" s="199" t="str">
        <f>IF(B1219="","",IFERROR(IF('עלויות כח אדם (6)'!J1219&gt;=VLOOKUP(I1219,'סיווג התפקידים והעלויות'!$B$23:$C$32,2,0),"תקין","לא תקין"),""))</f>
        <v/>
      </c>
      <c r="R1219" s="199" t="str">
        <f t="shared" si="277"/>
        <v/>
      </c>
      <c r="S1219" s="199" t="str">
        <f t="shared" si="278"/>
        <v/>
      </c>
      <c r="T1219" s="199" t="str">
        <f t="shared" si="286"/>
        <v/>
      </c>
      <c r="U1219" s="199" t="str">
        <f t="shared" si="279"/>
        <v/>
      </c>
      <c r="V1219" s="989"/>
      <c r="X1219" s="374" t="str">
        <f t="shared" si="280"/>
        <v/>
      </c>
      <c r="Y1219" s="375" t="str">
        <f t="shared" si="281"/>
        <v/>
      </c>
      <c r="Z1219" s="374" t="str">
        <f t="shared" si="282"/>
        <v/>
      </c>
      <c r="AA1219" s="374" t="b">
        <f t="shared" si="283"/>
        <v>1</v>
      </c>
      <c r="AB1219" s="374">
        <f>COUNTIFS(B:B,B1219,H:H,'סיווג התפקידים והעלויות'!$C$2)</f>
        <v>0</v>
      </c>
      <c r="AC1219" s="374">
        <f>COUNTIFS(B:B,B1219,H:H,'סיווג התפקידים והעלויות'!$D$2)</f>
        <v>0</v>
      </c>
      <c r="AD1219" s="374" t="str">
        <f>IF(OR(AND(H1219='סיווג התפקידים והעלויות'!$A$2,I1219='סיווג התפקידים והעלויות'!$A$3),'עלויות כח אדם (6)'!H1219='סיווג התפקידים והעלויות'!$C$2,'עלויות כח אדם (6)'!H1219='סיווג התפקידים והעלויות'!$D$2),IF('עלויות כח אדם (6)'!J1219&lt;75,"לא תקין","תקין"),"")</f>
        <v/>
      </c>
      <c r="AE1219" s="374" t="str">
        <f t="shared" si="284"/>
        <v/>
      </c>
      <c r="AF1219" s="532" t="str">
        <f t="shared" si="285"/>
        <v/>
      </c>
    </row>
    <row r="1220" spans="2:32" x14ac:dyDescent="0.25">
      <c r="B1220" s="695"/>
      <c r="C1220" s="197" t="str">
        <f>IF(B1220&lt;&gt;"",IFERROR(VLOOKUP(B:B,'מצבת והרשמה (2)'!$C$20:$N$520,2,0)," ")," ")</f>
        <v xml:space="preserve"> </v>
      </c>
      <c r="D1220" s="695"/>
      <c r="E1220" s="696"/>
      <c r="F1220" s="696"/>
      <c r="G1220" s="696"/>
      <c r="H1220" s="696"/>
      <c r="I1220" s="1050" t="str">
        <f t="shared" si="272"/>
        <v/>
      </c>
      <c r="J1220" s="696"/>
      <c r="K1220" s="697"/>
      <c r="L1220" s="696"/>
      <c r="M1220" s="198" t="str">
        <f t="shared" si="273"/>
        <v/>
      </c>
      <c r="N1220" s="369" t="str">
        <f t="shared" si="274"/>
        <v/>
      </c>
      <c r="O1220" s="183" t="str">
        <f t="shared" si="275"/>
        <v/>
      </c>
      <c r="P1220" s="199" t="str">
        <f t="shared" si="276"/>
        <v/>
      </c>
      <c r="Q1220" s="199" t="str">
        <f>IF(B1220="","",IFERROR(IF('עלויות כח אדם (6)'!J1220&gt;=VLOOKUP(I1220,'סיווג התפקידים והעלויות'!$B$23:$C$32,2,0),"תקין","לא תקין"),""))</f>
        <v/>
      </c>
      <c r="R1220" s="199" t="str">
        <f t="shared" si="277"/>
        <v/>
      </c>
      <c r="S1220" s="199" t="str">
        <f t="shared" si="278"/>
        <v/>
      </c>
      <c r="T1220" s="199" t="str">
        <f t="shared" si="286"/>
        <v/>
      </c>
      <c r="U1220" s="199" t="str">
        <f t="shared" si="279"/>
        <v/>
      </c>
      <c r="V1220" s="989"/>
      <c r="X1220" s="374" t="str">
        <f t="shared" si="280"/>
        <v/>
      </c>
      <c r="Y1220" s="375" t="str">
        <f t="shared" si="281"/>
        <v/>
      </c>
      <c r="Z1220" s="374" t="str">
        <f t="shared" si="282"/>
        <v/>
      </c>
      <c r="AA1220" s="374" t="b">
        <f t="shared" si="283"/>
        <v>1</v>
      </c>
      <c r="AB1220" s="374">
        <f>COUNTIFS(B:B,B1220,H:H,'סיווג התפקידים והעלויות'!$C$2)</f>
        <v>0</v>
      </c>
      <c r="AC1220" s="374">
        <f>COUNTIFS(B:B,B1220,H:H,'סיווג התפקידים והעלויות'!$D$2)</f>
        <v>0</v>
      </c>
      <c r="AD1220" s="374" t="str">
        <f>IF(OR(AND(H1220='סיווג התפקידים והעלויות'!$A$2,I1220='סיווג התפקידים והעלויות'!$A$3),'עלויות כח אדם (6)'!H1220='סיווג התפקידים והעלויות'!$C$2,'עלויות כח אדם (6)'!H1220='סיווג התפקידים והעלויות'!$D$2),IF('עלויות כח אדם (6)'!J1220&lt;75,"לא תקין","תקין"),"")</f>
        <v/>
      </c>
      <c r="AE1220" s="374" t="str">
        <f t="shared" si="284"/>
        <v/>
      </c>
      <c r="AF1220" s="532" t="str">
        <f t="shared" si="285"/>
        <v/>
      </c>
    </row>
    <row r="1221" spans="2:32" x14ac:dyDescent="0.25">
      <c r="B1221" s="695"/>
      <c r="C1221" s="197" t="str">
        <f>IF(B1221&lt;&gt;"",IFERROR(VLOOKUP(B:B,'מצבת והרשמה (2)'!$C$20:$N$520,2,0)," ")," ")</f>
        <v xml:space="preserve"> </v>
      </c>
      <c r="D1221" s="695"/>
      <c r="E1221" s="696"/>
      <c r="F1221" s="696"/>
      <c r="G1221" s="696"/>
      <c r="H1221" s="696"/>
      <c r="I1221" s="1050" t="str">
        <f t="shared" si="272"/>
        <v/>
      </c>
      <c r="J1221" s="696"/>
      <c r="K1221" s="697"/>
      <c r="L1221" s="696"/>
      <c r="M1221" s="198" t="str">
        <f t="shared" si="273"/>
        <v/>
      </c>
      <c r="N1221" s="369" t="str">
        <f t="shared" si="274"/>
        <v/>
      </c>
      <c r="O1221" s="183" t="str">
        <f t="shared" si="275"/>
        <v/>
      </c>
      <c r="P1221" s="199" t="str">
        <f t="shared" si="276"/>
        <v/>
      </c>
      <c r="Q1221" s="199" t="str">
        <f>IF(B1221="","",IFERROR(IF('עלויות כח אדם (6)'!J1221&gt;=VLOOKUP(I1221,'סיווג התפקידים והעלויות'!$B$23:$C$32,2,0),"תקין","לא תקין"),""))</f>
        <v/>
      </c>
      <c r="R1221" s="199" t="str">
        <f t="shared" si="277"/>
        <v/>
      </c>
      <c r="S1221" s="199" t="str">
        <f t="shared" si="278"/>
        <v/>
      </c>
      <c r="T1221" s="199" t="str">
        <f t="shared" si="286"/>
        <v/>
      </c>
      <c r="U1221" s="199" t="str">
        <f t="shared" si="279"/>
        <v/>
      </c>
      <c r="V1221" s="989"/>
      <c r="X1221" s="374" t="str">
        <f t="shared" si="280"/>
        <v/>
      </c>
      <c r="Y1221" s="375" t="str">
        <f t="shared" si="281"/>
        <v/>
      </c>
      <c r="Z1221" s="374" t="str">
        <f t="shared" si="282"/>
        <v/>
      </c>
      <c r="AA1221" s="374" t="b">
        <f t="shared" si="283"/>
        <v>1</v>
      </c>
      <c r="AB1221" s="374">
        <f>COUNTIFS(B:B,B1221,H:H,'סיווג התפקידים והעלויות'!$C$2)</f>
        <v>0</v>
      </c>
      <c r="AC1221" s="374">
        <f>COUNTIFS(B:B,B1221,H:H,'סיווג התפקידים והעלויות'!$D$2)</f>
        <v>0</v>
      </c>
      <c r="AD1221" s="374" t="str">
        <f>IF(OR(AND(H1221='סיווג התפקידים והעלויות'!$A$2,I1221='סיווג התפקידים והעלויות'!$A$3),'עלויות כח אדם (6)'!H1221='סיווג התפקידים והעלויות'!$C$2,'עלויות כח אדם (6)'!H1221='סיווג התפקידים והעלויות'!$D$2),IF('עלויות כח אדם (6)'!J1221&lt;75,"לא תקין","תקין"),"")</f>
        <v/>
      </c>
      <c r="AE1221" s="374" t="str">
        <f t="shared" si="284"/>
        <v/>
      </c>
      <c r="AF1221" s="532" t="str">
        <f t="shared" si="285"/>
        <v/>
      </c>
    </row>
    <row r="1222" spans="2:32" x14ac:dyDescent="0.25">
      <c r="B1222" s="695"/>
      <c r="C1222" s="197" t="str">
        <f>IF(B1222&lt;&gt;"",IFERROR(VLOOKUP(B:B,'מצבת והרשמה (2)'!$C$20:$N$520,2,0)," ")," ")</f>
        <v xml:space="preserve"> </v>
      </c>
      <c r="D1222" s="695"/>
      <c r="E1222" s="696"/>
      <c r="F1222" s="696"/>
      <c r="G1222" s="696"/>
      <c r="H1222" s="696"/>
      <c r="I1222" s="1050" t="str">
        <f t="shared" si="272"/>
        <v/>
      </c>
      <c r="J1222" s="696"/>
      <c r="K1222" s="697"/>
      <c r="L1222" s="696"/>
      <c r="M1222" s="198" t="str">
        <f t="shared" si="273"/>
        <v/>
      </c>
      <c r="N1222" s="369" t="str">
        <f t="shared" si="274"/>
        <v/>
      </c>
      <c r="O1222" s="183" t="str">
        <f t="shared" si="275"/>
        <v/>
      </c>
      <c r="P1222" s="199" t="str">
        <f t="shared" si="276"/>
        <v/>
      </c>
      <c r="Q1222" s="199" t="str">
        <f>IF(B1222="","",IFERROR(IF('עלויות כח אדם (6)'!J1222&gt;=VLOOKUP(I1222,'סיווג התפקידים והעלויות'!$B$23:$C$32,2,0),"תקין","לא תקין"),""))</f>
        <v/>
      </c>
      <c r="R1222" s="199" t="str">
        <f t="shared" si="277"/>
        <v/>
      </c>
      <c r="S1222" s="199" t="str">
        <f t="shared" si="278"/>
        <v/>
      </c>
      <c r="T1222" s="199" t="str">
        <f t="shared" si="286"/>
        <v/>
      </c>
      <c r="U1222" s="199" t="str">
        <f t="shared" si="279"/>
        <v/>
      </c>
      <c r="V1222" s="989"/>
      <c r="X1222" s="374" t="str">
        <f t="shared" si="280"/>
        <v/>
      </c>
      <c r="Y1222" s="375" t="str">
        <f t="shared" si="281"/>
        <v/>
      </c>
      <c r="Z1222" s="374" t="str">
        <f t="shared" si="282"/>
        <v/>
      </c>
      <c r="AA1222" s="374" t="b">
        <f t="shared" si="283"/>
        <v>1</v>
      </c>
      <c r="AB1222" s="374">
        <f>COUNTIFS(B:B,B1222,H:H,'סיווג התפקידים והעלויות'!$C$2)</f>
        <v>0</v>
      </c>
      <c r="AC1222" s="374">
        <f>COUNTIFS(B:B,B1222,H:H,'סיווג התפקידים והעלויות'!$D$2)</f>
        <v>0</v>
      </c>
      <c r="AD1222" s="374" t="str">
        <f>IF(OR(AND(H1222='סיווג התפקידים והעלויות'!$A$2,I1222='סיווג התפקידים והעלויות'!$A$3),'עלויות כח אדם (6)'!H1222='סיווג התפקידים והעלויות'!$C$2,'עלויות כח אדם (6)'!H1222='סיווג התפקידים והעלויות'!$D$2),IF('עלויות כח אדם (6)'!J1222&lt;75,"לא תקין","תקין"),"")</f>
        <v/>
      </c>
      <c r="AE1222" s="374" t="str">
        <f t="shared" si="284"/>
        <v/>
      </c>
      <c r="AF1222" s="532" t="str">
        <f t="shared" si="285"/>
        <v/>
      </c>
    </row>
    <row r="1223" spans="2:32" x14ac:dyDescent="0.25">
      <c r="B1223" s="695"/>
      <c r="C1223" s="197" t="str">
        <f>IF(B1223&lt;&gt;"",IFERROR(VLOOKUP(B:B,'מצבת והרשמה (2)'!$C$20:$N$520,2,0)," ")," ")</f>
        <v xml:space="preserve"> </v>
      </c>
      <c r="D1223" s="695"/>
      <c r="E1223" s="696"/>
      <c r="F1223" s="696"/>
      <c r="G1223" s="696"/>
      <c r="H1223" s="696"/>
      <c r="I1223" s="1050" t="str">
        <f t="shared" si="272"/>
        <v/>
      </c>
      <c r="J1223" s="696"/>
      <c r="K1223" s="697"/>
      <c r="L1223" s="696"/>
      <c r="M1223" s="198" t="str">
        <f t="shared" si="273"/>
        <v/>
      </c>
      <c r="N1223" s="369" t="str">
        <f t="shared" si="274"/>
        <v/>
      </c>
      <c r="O1223" s="183" t="str">
        <f t="shared" si="275"/>
        <v/>
      </c>
      <c r="P1223" s="199" t="str">
        <f t="shared" si="276"/>
        <v/>
      </c>
      <c r="Q1223" s="199" t="str">
        <f>IF(B1223="","",IFERROR(IF('עלויות כח אדם (6)'!J1223&gt;=VLOOKUP(I1223,'סיווג התפקידים והעלויות'!$B$23:$C$32,2,0),"תקין","לא תקין"),""))</f>
        <v/>
      </c>
      <c r="R1223" s="199" t="str">
        <f t="shared" si="277"/>
        <v/>
      </c>
      <c r="S1223" s="199" t="str">
        <f t="shared" si="278"/>
        <v/>
      </c>
      <c r="T1223" s="199" t="str">
        <f t="shared" si="286"/>
        <v/>
      </c>
      <c r="U1223" s="199" t="str">
        <f t="shared" si="279"/>
        <v/>
      </c>
      <c r="V1223" s="989"/>
      <c r="X1223" s="374" t="str">
        <f t="shared" si="280"/>
        <v/>
      </c>
      <c r="Y1223" s="375" t="str">
        <f t="shared" si="281"/>
        <v/>
      </c>
      <c r="Z1223" s="374" t="str">
        <f t="shared" si="282"/>
        <v/>
      </c>
      <c r="AA1223" s="374" t="b">
        <f t="shared" si="283"/>
        <v>1</v>
      </c>
      <c r="AB1223" s="374">
        <f>COUNTIFS(B:B,B1223,H:H,'סיווג התפקידים והעלויות'!$C$2)</f>
        <v>0</v>
      </c>
      <c r="AC1223" s="374">
        <f>COUNTIFS(B:B,B1223,H:H,'סיווג התפקידים והעלויות'!$D$2)</f>
        <v>0</v>
      </c>
      <c r="AD1223" s="374" t="str">
        <f>IF(OR(AND(H1223='סיווג התפקידים והעלויות'!$A$2,I1223='סיווג התפקידים והעלויות'!$A$3),'עלויות כח אדם (6)'!H1223='סיווג התפקידים והעלויות'!$C$2,'עלויות כח אדם (6)'!H1223='סיווג התפקידים והעלויות'!$D$2),IF('עלויות כח אדם (6)'!J1223&lt;75,"לא תקין","תקין"),"")</f>
        <v/>
      </c>
      <c r="AE1223" s="374" t="str">
        <f t="shared" si="284"/>
        <v/>
      </c>
      <c r="AF1223" s="532" t="str">
        <f t="shared" si="285"/>
        <v/>
      </c>
    </row>
    <row r="1224" spans="2:32" x14ac:dyDescent="0.25">
      <c r="B1224" s="695"/>
      <c r="C1224" s="197" t="str">
        <f>IF(B1224&lt;&gt;"",IFERROR(VLOOKUP(B:B,'מצבת והרשמה (2)'!$C$20:$N$520,2,0)," ")," ")</f>
        <v xml:space="preserve"> </v>
      </c>
      <c r="D1224" s="695"/>
      <c r="E1224" s="696"/>
      <c r="F1224" s="696"/>
      <c r="G1224" s="696"/>
      <c r="H1224" s="696"/>
      <c r="I1224" s="1050" t="str">
        <f t="shared" si="272"/>
        <v/>
      </c>
      <c r="J1224" s="696"/>
      <c r="K1224" s="697"/>
      <c r="L1224" s="696"/>
      <c r="M1224" s="198" t="str">
        <f t="shared" si="273"/>
        <v/>
      </c>
      <c r="N1224" s="369" t="str">
        <f t="shared" si="274"/>
        <v/>
      </c>
      <c r="O1224" s="183" t="str">
        <f t="shared" si="275"/>
        <v/>
      </c>
      <c r="P1224" s="199" t="str">
        <f t="shared" si="276"/>
        <v/>
      </c>
      <c r="Q1224" s="199" t="str">
        <f>IF(B1224="","",IFERROR(IF('עלויות כח אדם (6)'!J1224&gt;=VLOOKUP(I1224,'סיווג התפקידים והעלויות'!$B$23:$C$32,2,0),"תקין","לא תקין"),""))</f>
        <v/>
      </c>
      <c r="R1224" s="199" t="str">
        <f t="shared" si="277"/>
        <v/>
      </c>
      <c r="S1224" s="199" t="str">
        <f t="shared" si="278"/>
        <v/>
      </c>
      <c r="T1224" s="199" t="str">
        <f t="shared" si="286"/>
        <v/>
      </c>
      <c r="U1224" s="199" t="str">
        <f t="shared" si="279"/>
        <v/>
      </c>
      <c r="V1224" s="989"/>
      <c r="X1224" s="374" t="str">
        <f t="shared" si="280"/>
        <v/>
      </c>
      <c r="Y1224" s="375" t="str">
        <f t="shared" si="281"/>
        <v/>
      </c>
      <c r="Z1224" s="374" t="str">
        <f t="shared" si="282"/>
        <v/>
      </c>
      <c r="AA1224" s="374" t="b">
        <f t="shared" si="283"/>
        <v>1</v>
      </c>
      <c r="AB1224" s="374">
        <f>COUNTIFS(B:B,B1224,H:H,'סיווג התפקידים והעלויות'!$C$2)</f>
        <v>0</v>
      </c>
      <c r="AC1224" s="374">
        <f>COUNTIFS(B:B,B1224,H:H,'סיווג התפקידים והעלויות'!$D$2)</f>
        <v>0</v>
      </c>
      <c r="AD1224" s="374" t="str">
        <f>IF(OR(AND(H1224='סיווג התפקידים והעלויות'!$A$2,I1224='סיווג התפקידים והעלויות'!$A$3),'עלויות כח אדם (6)'!H1224='סיווג התפקידים והעלויות'!$C$2,'עלויות כח אדם (6)'!H1224='סיווג התפקידים והעלויות'!$D$2),IF('עלויות כח אדם (6)'!J1224&lt;75,"לא תקין","תקין"),"")</f>
        <v/>
      </c>
      <c r="AE1224" s="374" t="str">
        <f t="shared" si="284"/>
        <v/>
      </c>
      <c r="AF1224" s="532" t="str">
        <f t="shared" si="285"/>
        <v/>
      </c>
    </row>
    <row r="1225" spans="2:32" x14ac:dyDescent="0.25">
      <c r="B1225" s="695"/>
      <c r="C1225" s="197" t="str">
        <f>IF(B1225&lt;&gt;"",IFERROR(VLOOKUP(B:B,'מצבת והרשמה (2)'!$C$20:$N$520,2,0)," ")," ")</f>
        <v xml:space="preserve"> </v>
      </c>
      <c r="D1225" s="695"/>
      <c r="E1225" s="696"/>
      <c r="F1225" s="696"/>
      <c r="G1225" s="696"/>
      <c r="H1225" s="696"/>
      <c r="I1225" s="1050" t="str">
        <f t="shared" si="272"/>
        <v/>
      </c>
      <c r="J1225" s="696"/>
      <c r="K1225" s="697"/>
      <c r="L1225" s="696"/>
      <c r="M1225" s="198" t="str">
        <f t="shared" si="273"/>
        <v/>
      </c>
      <c r="N1225" s="369" t="str">
        <f t="shared" si="274"/>
        <v/>
      </c>
      <c r="O1225" s="183" t="str">
        <f t="shared" si="275"/>
        <v/>
      </c>
      <c r="P1225" s="199" t="str">
        <f t="shared" si="276"/>
        <v/>
      </c>
      <c r="Q1225" s="199" t="str">
        <f>IF(B1225="","",IFERROR(IF('עלויות כח אדם (6)'!J1225&gt;=VLOOKUP(I1225,'סיווג התפקידים והעלויות'!$B$23:$C$32,2,0),"תקין","לא תקין"),""))</f>
        <v/>
      </c>
      <c r="R1225" s="199" t="str">
        <f t="shared" si="277"/>
        <v/>
      </c>
      <c r="S1225" s="199" t="str">
        <f t="shared" si="278"/>
        <v/>
      </c>
      <c r="T1225" s="199" t="str">
        <f t="shared" si="286"/>
        <v/>
      </c>
      <c r="U1225" s="199" t="str">
        <f t="shared" si="279"/>
        <v/>
      </c>
      <c r="V1225" s="989"/>
      <c r="X1225" s="374" t="str">
        <f t="shared" si="280"/>
        <v/>
      </c>
      <c r="Y1225" s="375" t="str">
        <f t="shared" si="281"/>
        <v/>
      </c>
      <c r="Z1225" s="374" t="str">
        <f t="shared" si="282"/>
        <v/>
      </c>
      <c r="AA1225" s="374" t="b">
        <f t="shared" si="283"/>
        <v>1</v>
      </c>
      <c r="AB1225" s="374">
        <f>COUNTIFS(B:B,B1225,H:H,'סיווג התפקידים והעלויות'!$C$2)</f>
        <v>0</v>
      </c>
      <c r="AC1225" s="374">
        <f>COUNTIFS(B:B,B1225,H:H,'סיווג התפקידים והעלויות'!$D$2)</f>
        <v>0</v>
      </c>
      <c r="AD1225" s="374" t="str">
        <f>IF(OR(AND(H1225='סיווג התפקידים והעלויות'!$A$2,I1225='סיווג התפקידים והעלויות'!$A$3),'עלויות כח אדם (6)'!H1225='סיווג התפקידים והעלויות'!$C$2,'עלויות כח אדם (6)'!H1225='סיווג התפקידים והעלויות'!$D$2),IF('עלויות כח אדם (6)'!J1225&lt;75,"לא תקין","תקין"),"")</f>
        <v/>
      </c>
      <c r="AE1225" s="374" t="str">
        <f t="shared" si="284"/>
        <v/>
      </c>
      <c r="AF1225" s="532" t="str">
        <f t="shared" si="285"/>
        <v/>
      </c>
    </row>
    <row r="1226" spans="2:32" x14ac:dyDescent="0.25">
      <c r="B1226" s="695"/>
      <c r="C1226" s="197" t="str">
        <f>IF(B1226&lt;&gt;"",IFERROR(VLOOKUP(B:B,'מצבת והרשמה (2)'!$C$20:$N$520,2,0)," ")," ")</f>
        <v xml:space="preserve"> </v>
      </c>
      <c r="D1226" s="695"/>
      <c r="E1226" s="696"/>
      <c r="F1226" s="696"/>
      <c r="G1226" s="696"/>
      <c r="H1226" s="696"/>
      <c r="I1226" s="1050" t="str">
        <f t="shared" si="272"/>
        <v/>
      </c>
      <c r="J1226" s="696"/>
      <c r="K1226" s="697"/>
      <c r="L1226" s="696"/>
      <c r="M1226" s="198" t="str">
        <f t="shared" si="273"/>
        <v/>
      </c>
      <c r="N1226" s="369" t="str">
        <f t="shared" si="274"/>
        <v/>
      </c>
      <c r="O1226" s="183" t="str">
        <f t="shared" si="275"/>
        <v/>
      </c>
      <c r="P1226" s="199" t="str">
        <f t="shared" si="276"/>
        <v/>
      </c>
      <c r="Q1226" s="199" t="str">
        <f>IF(B1226="","",IFERROR(IF('עלויות כח אדם (6)'!J1226&gt;=VLOOKUP(I1226,'סיווג התפקידים והעלויות'!$B$23:$C$32,2,0),"תקין","לא תקין"),""))</f>
        <v/>
      </c>
      <c r="R1226" s="199" t="str">
        <f t="shared" si="277"/>
        <v/>
      </c>
      <c r="S1226" s="199" t="str">
        <f t="shared" si="278"/>
        <v/>
      </c>
      <c r="T1226" s="199" t="str">
        <f t="shared" si="286"/>
        <v/>
      </c>
      <c r="U1226" s="199" t="str">
        <f t="shared" si="279"/>
        <v/>
      </c>
      <c r="V1226" s="989"/>
      <c r="X1226" s="374" t="str">
        <f t="shared" si="280"/>
        <v/>
      </c>
      <c r="Y1226" s="375" t="str">
        <f t="shared" si="281"/>
        <v/>
      </c>
      <c r="Z1226" s="374" t="str">
        <f t="shared" si="282"/>
        <v/>
      </c>
      <c r="AA1226" s="374" t="b">
        <f t="shared" si="283"/>
        <v>1</v>
      </c>
      <c r="AB1226" s="374">
        <f>COUNTIFS(B:B,B1226,H:H,'סיווג התפקידים והעלויות'!$C$2)</f>
        <v>0</v>
      </c>
      <c r="AC1226" s="374">
        <f>COUNTIFS(B:B,B1226,H:H,'סיווג התפקידים והעלויות'!$D$2)</f>
        <v>0</v>
      </c>
      <c r="AD1226" s="374" t="str">
        <f>IF(OR(AND(H1226='סיווג התפקידים והעלויות'!$A$2,I1226='סיווג התפקידים והעלויות'!$A$3),'עלויות כח אדם (6)'!H1226='סיווג התפקידים והעלויות'!$C$2,'עלויות כח אדם (6)'!H1226='סיווג התפקידים והעלויות'!$D$2),IF('עלויות כח אדם (6)'!J1226&lt;75,"לא תקין","תקין"),"")</f>
        <v/>
      </c>
      <c r="AE1226" s="374" t="str">
        <f t="shared" si="284"/>
        <v/>
      </c>
      <c r="AF1226" s="532" t="str">
        <f t="shared" si="285"/>
        <v/>
      </c>
    </row>
    <row r="1227" spans="2:32" x14ac:dyDescent="0.25">
      <c r="B1227" s="695"/>
      <c r="C1227" s="197" t="str">
        <f>IF(B1227&lt;&gt;"",IFERROR(VLOOKUP(B:B,'מצבת והרשמה (2)'!$C$20:$N$520,2,0)," ")," ")</f>
        <v xml:space="preserve"> </v>
      </c>
      <c r="D1227" s="695"/>
      <c r="E1227" s="696"/>
      <c r="F1227" s="696"/>
      <c r="G1227" s="696"/>
      <c r="H1227" s="696"/>
      <c r="I1227" s="1050" t="str">
        <f t="shared" si="272"/>
        <v/>
      </c>
      <c r="J1227" s="696"/>
      <c r="K1227" s="697"/>
      <c r="L1227" s="696"/>
      <c r="M1227" s="198" t="str">
        <f t="shared" si="273"/>
        <v/>
      </c>
      <c r="N1227" s="369" t="str">
        <f t="shared" si="274"/>
        <v/>
      </c>
      <c r="O1227" s="183" t="str">
        <f t="shared" si="275"/>
        <v/>
      </c>
      <c r="P1227" s="199" t="str">
        <f t="shared" si="276"/>
        <v/>
      </c>
      <c r="Q1227" s="199" t="str">
        <f>IF(B1227="","",IFERROR(IF('עלויות כח אדם (6)'!J1227&gt;=VLOOKUP(I1227,'סיווג התפקידים והעלויות'!$B$23:$C$32,2,0),"תקין","לא תקין"),""))</f>
        <v/>
      </c>
      <c r="R1227" s="199" t="str">
        <f t="shared" si="277"/>
        <v/>
      </c>
      <c r="S1227" s="199" t="str">
        <f t="shared" si="278"/>
        <v/>
      </c>
      <c r="T1227" s="199" t="str">
        <f t="shared" si="286"/>
        <v/>
      </c>
      <c r="U1227" s="199" t="str">
        <f t="shared" si="279"/>
        <v/>
      </c>
      <c r="V1227" s="989"/>
      <c r="X1227" s="374" t="str">
        <f t="shared" si="280"/>
        <v/>
      </c>
      <c r="Y1227" s="375" t="str">
        <f t="shared" si="281"/>
        <v/>
      </c>
      <c r="Z1227" s="374" t="str">
        <f t="shared" si="282"/>
        <v/>
      </c>
      <c r="AA1227" s="374" t="b">
        <f t="shared" si="283"/>
        <v>1</v>
      </c>
      <c r="AB1227" s="374">
        <f>COUNTIFS(B:B,B1227,H:H,'סיווג התפקידים והעלויות'!$C$2)</f>
        <v>0</v>
      </c>
      <c r="AC1227" s="374">
        <f>COUNTIFS(B:B,B1227,H:H,'סיווג התפקידים והעלויות'!$D$2)</f>
        <v>0</v>
      </c>
      <c r="AD1227" s="374" t="str">
        <f>IF(OR(AND(H1227='סיווג התפקידים והעלויות'!$A$2,I1227='סיווג התפקידים והעלויות'!$A$3),'עלויות כח אדם (6)'!H1227='סיווג התפקידים והעלויות'!$C$2,'עלויות כח אדם (6)'!H1227='סיווג התפקידים והעלויות'!$D$2),IF('עלויות כח אדם (6)'!J1227&lt;75,"לא תקין","תקין"),"")</f>
        <v/>
      </c>
      <c r="AE1227" s="374" t="str">
        <f t="shared" si="284"/>
        <v/>
      </c>
      <c r="AF1227" s="532" t="str">
        <f t="shared" si="285"/>
        <v/>
      </c>
    </row>
    <row r="1228" spans="2:32" x14ac:dyDescent="0.25">
      <c r="B1228" s="695"/>
      <c r="C1228" s="197" t="str">
        <f>IF(B1228&lt;&gt;"",IFERROR(VLOOKUP(B:B,'מצבת והרשמה (2)'!$C$20:$N$520,2,0)," ")," ")</f>
        <v xml:space="preserve"> </v>
      </c>
      <c r="D1228" s="695"/>
      <c r="E1228" s="696"/>
      <c r="F1228" s="696"/>
      <c r="G1228" s="696"/>
      <c r="H1228" s="696"/>
      <c r="I1228" s="1050" t="str">
        <f t="shared" si="272"/>
        <v/>
      </c>
      <c r="J1228" s="696"/>
      <c r="K1228" s="697"/>
      <c r="L1228" s="696"/>
      <c r="M1228" s="198" t="str">
        <f t="shared" si="273"/>
        <v/>
      </c>
      <c r="N1228" s="369" t="str">
        <f t="shared" si="274"/>
        <v/>
      </c>
      <c r="O1228" s="183" t="str">
        <f t="shared" si="275"/>
        <v/>
      </c>
      <c r="P1228" s="199" t="str">
        <f t="shared" si="276"/>
        <v/>
      </c>
      <c r="Q1228" s="199" t="str">
        <f>IF(B1228="","",IFERROR(IF('עלויות כח אדם (6)'!J1228&gt;=VLOOKUP(I1228,'סיווג התפקידים והעלויות'!$B$23:$C$32,2,0),"תקין","לא תקין"),""))</f>
        <v/>
      </c>
      <c r="R1228" s="199" t="str">
        <f t="shared" si="277"/>
        <v/>
      </c>
      <c r="S1228" s="199" t="str">
        <f t="shared" si="278"/>
        <v/>
      </c>
      <c r="T1228" s="199" t="str">
        <f t="shared" si="286"/>
        <v/>
      </c>
      <c r="U1228" s="199" t="str">
        <f t="shared" si="279"/>
        <v/>
      </c>
      <c r="V1228" s="989"/>
      <c r="X1228" s="374" t="str">
        <f t="shared" si="280"/>
        <v/>
      </c>
      <c r="Y1228" s="375" t="str">
        <f t="shared" si="281"/>
        <v/>
      </c>
      <c r="Z1228" s="374" t="str">
        <f t="shared" si="282"/>
        <v/>
      </c>
      <c r="AA1228" s="374" t="b">
        <f t="shared" si="283"/>
        <v>1</v>
      </c>
      <c r="AB1228" s="374">
        <f>COUNTIFS(B:B,B1228,H:H,'סיווג התפקידים והעלויות'!$C$2)</f>
        <v>0</v>
      </c>
      <c r="AC1228" s="374">
        <f>COUNTIFS(B:B,B1228,H:H,'סיווג התפקידים והעלויות'!$D$2)</f>
        <v>0</v>
      </c>
      <c r="AD1228" s="374" t="str">
        <f>IF(OR(AND(H1228='סיווג התפקידים והעלויות'!$A$2,I1228='סיווג התפקידים והעלויות'!$A$3),'עלויות כח אדם (6)'!H1228='סיווג התפקידים והעלויות'!$C$2,'עלויות כח אדם (6)'!H1228='סיווג התפקידים והעלויות'!$D$2),IF('עלויות כח אדם (6)'!J1228&lt;75,"לא תקין","תקין"),"")</f>
        <v/>
      </c>
      <c r="AE1228" s="374" t="str">
        <f t="shared" si="284"/>
        <v/>
      </c>
      <c r="AF1228" s="532" t="str">
        <f t="shared" si="285"/>
        <v/>
      </c>
    </row>
    <row r="1229" spans="2:32" x14ac:dyDescent="0.25">
      <c r="B1229" s="695"/>
      <c r="C1229" s="197" t="str">
        <f>IF(B1229&lt;&gt;"",IFERROR(VLOOKUP(B:B,'מצבת והרשמה (2)'!$C$20:$N$520,2,0)," ")," ")</f>
        <v xml:space="preserve"> </v>
      </c>
      <c r="D1229" s="695"/>
      <c r="E1229" s="696"/>
      <c r="F1229" s="696"/>
      <c r="G1229" s="696"/>
      <c r="H1229" s="696"/>
      <c r="I1229" s="1050" t="str">
        <f t="shared" si="272"/>
        <v/>
      </c>
      <c r="J1229" s="696"/>
      <c r="K1229" s="697"/>
      <c r="L1229" s="696"/>
      <c r="M1229" s="198" t="str">
        <f t="shared" si="273"/>
        <v/>
      </c>
      <c r="N1229" s="369" t="str">
        <f t="shared" si="274"/>
        <v/>
      </c>
      <c r="O1229" s="183" t="str">
        <f t="shared" si="275"/>
        <v/>
      </c>
      <c r="P1229" s="199" t="str">
        <f t="shared" si="276"/>
        <v/>
      </c>
      <c r="Q1229" s="199" t="str">
        <f>IF(B1229="","",IFERROR(IF('עלויות כח אדם (6)'!J1229&gt;=VLOOKUP(I1229,'סיווג התפקידים והעלויות'!$B$23:$C$32,2,0),"תקין","לא תקין"),""))</f>
        <v/>
      </c>
      <c r="R1229" s="199" t="str">
        <f t="shared" si="277"/>
        <v/>
      </c>
      <c r="S1229" s="199" t="str">
        <f t="shared" si="278"/>
        <v/>
      </c>
      <c r="T1229" s="199" t="str">
        <f t="shared" si="286"/>
        <v/>
      </c>
      <c r="U1229" s="199" t="str">
        <f t="shared" si="279"/>
        <v/>
      </c>
      <c r="V1229" s="989"/>
      <c r="X1229" s="374" t="str">
        <f t="shared" si="280"/>
        <v/>
      </c>
      <c r="Y1229" s="375" t="str">
        <f t="shared" si="281"/>
        <v/>
      </c>
      <c r="Z1229" s="374" t="str">
        <f t="shared" si="282"/>
        <v/>
      </c>
      <c r="AA1229" s="374" t="b">
        <f t="shared" si="283"/>
        <v>1</v>
      </c>
      <c r="AB1229" s="374">
        <f>COUNTIFS(B:B,B1229,H:H,'סיווג התפקידים והעלויות'!$C$2)</f>
        <v>0</v>
      </c>
      <c r="AC1229" s="374">
        <f>COUNTIFS(B:B,B1229,H:H,'סיווג התפקידים והעלויות'!$D$2)</f>
        <v>0</v>
      </c>
      <c r="AD1229" s="374" t="str">
        <f>IF(OR(AND(H1229='סיווג התפקידים והעלויות'!$A$2,I1229='סיווג התפקידים והעלויות'!$A$3),'עלויות כח אדם (6)'!H1229='סיווג התפקידים והעלויות'!$C$2,'עלויות כח אדם (6)'!H1229='סיווג התפקידים והעלויות'!$D$2),IF('עלויות כח אדם (6)'!J1229&lt;75,"לא תקין","תקין"),"")</f>
        <v/>
      </c>
      <c r="AE1229" s="374" t="str">
        <f t="shared" si="284"/>
        <v/>
      </c>
      <c r="AF1229" s="532" t="str">
        <f t="shared" si="285"/>
        <v/>
      </c>
    </row>
    <row r="1230" spans="2:32" x14ac:dyDescent="0.25">
      <c r="B1230" s="695"/>
      <c r="C1230" s="197" t="str">
        <f>IF(B1230&lt;&gt;"",IFERROR(VLOOKUP(B:B,'מצבת והרשמה (2)'!$C$20:$N$520,2,0)," ")," ")</f>
        <v xml:space="preserve"> </v>
      </c>
      <c r="D1230" s="695"/>
      <c r="E1230" s="696"/>
      <c r="F1230" s="696"/>
      <c r="G1230" s="696"/>
      <c r="H1230" s="696"/>
      <c r="I1230" s="1050" t="str">
        <f t="shared" si="272"/>
        <v/>
      </c>
      <c r="J1230" s="696"/>
      <c r="K1230" s="697"/>
      <c r="L1230" s="696"/>
      <c r="M1230" s="198" t="str">
        <f t="shared" si="273"/>
        <v/>
      </c>
      <c r="N1230" s="369" t="str">
        <f t="shared" si="274"/>
        <v/>
      </c>
      <c r="O1230" s="183" t="str">
        <f t="shared" si="275"/>
        <v/>
      </c>
      <c r="P1230" s="199" t="str">
        <f t="shared" si="276"/>
        <v/>
      </c>
      <c r="Q1230" s="199" t="str">
        <f>IF(B1230="","",IFERROR(IF('עלויות כח אדם (6)'!J1230&gt;=VLOOKUP(I1230,'סיווג התפקידים והעלויות'!$B$23:$C$32,2,0),"תקין","לא תקין"),""))</f>
        <v/>
      </c>
      <c r="R1230" s="199" t="str">
        <f t="shared" si="277"/>
        <v/>
      </c>
      <c r="S1230" s="199" t="str">
        <f t="shared" si="278"/>
        <v/>
      </c>
      <c r="T1230" s="199" t="str">
        <f t="shared" si="286"/>
        <v/>
      </c>
      <c r="U1230" s="199" t="str">
        <f t="shared" si="279"/>
        <v/>
      </c>
      <c r="V1230" s="989"/>
      <c r="X1230" s="374" t="str">
        <f t="shared" si="280"/>
        <v/>
      </c>
      <c r="Y1230" s="375" t="str">
        <f t="shared" si="281"/>
        <v/>
      </c>
      <c r="Z1230" s="374" t="str">
        <f t="shared" si="282"/>
        <v/>
      </c>
      <c r="AA1230" s="374" t="b">
        <f t="shared" si="283"/>
        <v>1</v>
      </c>
      <c r="AB1230" s="374">
        <f>COUNTIFS(B:B,B1230,H:H,'סיווג התפקידים והעלויות'!$C$2)</f>
        <v>0</v>
      </c>
      <c r="AC1230" s="374">
        <f>COUNTIFS(B:B,B1230,H:H,'סיווג התפקידים והעלויות'!$D$2)</f>
        <v>0</v>
      </c>
      <c r="AD1230" s="374" t="str">
        <f>IF(OR(AND(H1230='סיווג התפקידים והעלויות'!$A$2,I1230='סיווג התפקידים והעלויות'!$A$3),'עלויות כח אדם (6)'!H1230='סיווג התפקידים והעלויות'!$C$2,'עלויות כח אדם (6)'!H1230='סיווג התפקידים והעלויות'!$D$2),IF('עלויות כח אדם (6)'!J1230&lt;75,"לא תקין","תקין"),"")</f>
        <v/>
      </c>
      <c r="AE1230" s="374" t="str">
        <f t="shared" si="284"/>
        <v/>
      </c>
      <c r="AF1230" s="532" t="str">
        <f t="shared" si="285"/>
        <v/>
      </c>
    </row>
    <row r="1231" spans="2:32" x14ac:dyDescent="0.25">
      <c r="B1231" s="695"/>
      <c r="C1231" s="197" t="str">
        <f>IF(B1231&lt;&gt;"",IFERROR(VLOOKUP(B:B,'מצבת והרשמה (2)'!$C$20:$N$520,2,0)," ")," ")</f>
        <v xml:space="preserve"> </v>
      </c>
      <c r="D1231" s="695"/>
      <c r="E1231" s="696"/>
      <c r="F1231" s="696"/>
      <c r="G1231" s="696"/>
      <c r="H1231" s="696"/>
      <c r="I1231" s="1050" t="str">
        <f t="shared" ref="I1231:I1294" si="287">SUBSTITUTE(IFERROR(IF(H1231="מדצ","מדצ/ית",IF(H1231="סגנית רכזת מעל 150","סגנ/ית רכז/ת&gt;150",IF(H1231="רכזת תכנית בבית הספר","רכז/ת תכנית בבית הספר"))),""),"FALSE","")</f>
        <v/>
      </c>
      <c r="J1231" s="696"/>
      <c r="K1231" s="697"/>
      <c r="L1231" s="696"/>
      <c r="M1231" s="198" t="str">
        <f t="shared" ref="M1231:M1294" si="288">IF(AND(L1231&gt;0,K1231&gt;0),K1231*L1231,"")</f>
        <v/>
      </c>
      <c r="N1231" s="369" t="str">
        <f t="shared" ref="N1231:N1294" si="289">TEXT(LEFT(H1231,2),0)</f>
        <v/>
      </c>
      <c r="O1231" s="183" t="str">
        <f t="shared" ref="O1231:O1294" si="290">IF(ISNUMBER(M1231&gt;0),IF(ISBLANK(B1231),"יש להזין סמל מוסד בעמודה B",""),"")</f>
        <v/>
      </c>
      <c r="P1231" s="199" t="str">
        <f t="shared" ref="P1231:P1294" si="291">IF(B1231="","",IF(AA1231=FALSE,"לא תקין","תקין"))</f>
        <v/>
      </c>
      <c r="Q1231" s="199" t="str">
        <f>IF(B1231="","",IFERROR(IF('עלויות כח אדם (6)'!J1231&gt;=VLOOKUP(I1231,'סיווג התפקידים והעלויות'!$B$23:$C$32,2,0),"תקין","לא תקין"),""))</f>
        <v/>
      </c>
      <c r="R1231" s="199" t="str">
        <f t="shared" ref="R1231:R1294" si="292">IF(B1231="","",IF(OR(Y1231&lt;100%,Y1231&gt;140%),"לא תקין","תקין"))</f>
        <v/>
      </c>
      <c r="S1231" s="199" t="str">
        <f t="shared" ref="S1231:S1294" si="293">IF(B1231="","",IFERROR(IF(J1231&gt;120,"לא תקין","תקין"),""))</f>
        <v/>
      </c>
      <c r="T1231" s="199" t="str">
        <f t="shared" si="286"/>
        <v/>
      </c>
      <c r="U1231" s="199" t="str">
        <f t="shared" ref="U1231:U1294" si="294">IF(B1231="","",IF(Z1231&gt;1,IF(SUMIF(D:D,D1231,L:L)&gt;90,"לא תקין","תקין"),"תקין"))</f>
        <v/>
      </c>
      <c r="V1231" s="989"/>
      <c r="X1231" s="374" t="str">
        <f t="shared" ref="X1231:X1294" si="295">IF(B1231="","",IF(OR(R1231="לא תקין",S1231="לא תקין",T1231="לא תקין",,U1231="לא תקין"),"לא תקין","תקין"))</f>
        <v/>
      </c>
      <c r="Y1231" s="375" t="str">
        <f t="shared" ref="Y1231:Y1294" si="296">IFERROR(IF(B1231="","",K1231/J1231),"")</f>
        <v/>
      </c>
      <c r="Z1231" s="374" t="str">
        <f t="shared" ref="Z1231:Z1294" si="297">IF(B1231="","",COUNTIF(D:D,D1231))</f>
        <v/>
      </c>
      <c r="AA1231" s="374" t="b">
        <f t="shared" ref="AA1231:AA1294" si="298">MOD(MID(REPT(0,9-LEN(D1231))&amp;D1231,1,1)+MID("0246813579",MID(REPT(0,9-LEN(D1231))&amp;D1231,2,1)+1,1)+MID(REPT(0,9-LEN(D1231))&amp;D1231,3,1)+MID("0246813579",MID(REPT(0,9-LEN(D1231))&amp;D1231,4,1)+1,1)+MID(REPT(0,9-LEN(D1231))&amp;D1231,5,1)+MID("0246813579",MID(REPT(0,9-LEN(D1231))&amp;D1231,6,1)+1,1)+MID(REPT(0,9-LEN(D1231))&amp;D1231,7,1)+MID("0246813579",MID(REPT(0,9-LEN(D1231))&amp;D1231,8,1)+1,1)+MID(REPT(0,9-LEN(D1231))&amp;D1231,9,1),10)=0</f>
        <v>1</v>
      </c>
      <c r="AB1231" s="374">
        <f>COUNTIFS(B:B,B1231,H:H,'סיווג התפקידים והעלויות'!$C$2)</f>
        <v>0</v>
      </c>
      <c r="AC1231" s="374">
        <f>COUNTIFS(B:B,B1231,H:H,'סיווג התפקידים והעלויות'!$D$2)</f>
        <v>0</v>
      </c>
      <c r="AD1231" s="374" t="str">
        <f>IF(OR(AND(H1231='סיווג התפקידים והעלויות'!$A$2,I1231='סיווג התפקידים והעלויות'!$A$3),'עלויות כח אדם (6)'!H1231='סיווג התפקידים והעלויות'!$C$2,'עלויות כח אדם (6)'!H1231='סיווג התפקידים והעלויות'!$D$2),IF('עלויות כח אדם (6)'!J1231&lt;75,"לא תקין","תקין"),"")</f>
        <v/>
      </c>
      <c r="AE1231" s="374" t="str">
        <f t="shared" ref="AE1231:AE1294" si="299">IF(B1231&lt;&gt;"",B1231&amp;H1231,"")</f>
        <v/>
      </c>
      <c r="AF1231" s="532" t="str">
        <f t="shared" ref="AF1231:AF1294" si="300">M1231</f>
        <v/>
      </c>
    </row>
    <row r="1232" spans="2:32" x14ac:dyDescent="0.25">
      <c r="B1232" s="695"/>
      <c r="C1232" s="197" t="str">
        <f>IF(B1232&lt;&gt;"",IFERROR(VLOOKUP(B:B,'מצבת והרשמה (2)'!$C$20:$N$520,2,0)," ")," ")</f>
        <v xml:space="preserve"> </v>
      </c>
      <c r="D1232" s="695"/>
      <c r="E1232" s="696"/>
      <c r="F1232" s="696"/>
      <c r="G1232" s="696"/>
      <c r="H1232" s="696"/>
      <c r="I1232" s="1050" t="str">
        <f t="shared" si="287"/>
        <v/>
      </c>
      <c r="J1232" s="696"/>
      <c r="K1232" s="697"/>
      <c r="L1232" s="696"/>
      <c r="M1232" s="198" t="str">
        <f t="shared" si="288"/>
        <v/>
      </c>
      <c r="N1232" s="369" t="str">
        <f t="shared" si="289"/>
        <v/>
      </c>
      <c r="O1232" s="183" t="str">
        <f t="shared" si="290"/>
        <v/>
      </c>
      <c r="P1232" s="199" t="str">
        <f t="shared" si="291"/>
        <v/>
      </c>
      <c r="Q1232" s="199" t="str">
        <f>IF(B1232="","",IFERROR(IF('עלויות כח אדם (6)'!J1232&gt;=VLOOKUP(I1232,'סיווג התפקידים והעלויות'!$B$23:$C$32,2,0),"תקין","לא תקין"),""))</f>
        <v/>
      </c>
      <c r="R1232" s="199" t="str">
        <f t="shared" si="292"/>
        <v/>
      </c>
      <c r="S1232" s="199" t="str">
        <f t="shared" si="293"/>
        <v/>
      </c>
      <c r="T1232" s="199" t="str">
        <f t="shared" ref="T1232:T1295" si="301">IF(B1232="","",IF(H1232="","יש להזין איש צוות",IF(OR(H1232="מורה",H1232="גננת",H1232="רכז גן",H1232="רכזת גן",H1232="סייעת",H1232="מדצית",H1232="מדצ",H1232="מדריך",H1232="מדריכה",H1232="תוספת כח אדם"),IF(L1232&lt;=90,"תקין","לא תקין"),IF(OR(H1232="רכז בית ספר",H1232="רכזת תכנית בבית הספר",H1232="רכזת בית ספר"),IF(L1232&lt;=137,"תקין","לא תקין"),IF(OR(H1232="סגנית רכזת מעל 150",H1232="סגן רכז"),IF(L1232&lt;=93,"תקין","לא תקין"),"לא תקין")))))</f>
        <v/>
      </c>
      <c r="U1232" s="199" t="str">
        <f t="shared" si="294"/>
        <v/>
      </c>
      <c r="V1232" s="989"/>
      <c r="X1232" s="374" t="str">
        <f t="shared" si="295"/>
        <v/>
      </c>
      <c r="Y1232" s="375" t="str">
        <f t="shared" si="296"/>
        <v/>
      </c>
      <c r="Z1232" s="374" t="str">
        <f t="shared" si="297"/>
        <v/>
      </c>
      <c r="AA1232" s="374" t="b">
        <f t="shared" si="298"/>
        <v>1</v>
      </c>
      <c r="AB1232" s="374">
        <f>COUNTIFS(B:B,B1232,H:H,'סיווג התפקידים והעלויות'!$C$2)</f>
        <v>0</v>
      </c>
      <c r="AC1232" s="374">
        <f>COUNTIFS(B:B,B1232,H:H,'סיווג התפקידים והעלויות'!$D$2)</f>
        <v>0</v>
      </c>
      <c r="AD1232" s="374" t="str">
        <f>IF(OR(AND(H1232='סיווג התפקידים והעלויות'!$A$2,I1232='סיווג התפקידים והעלויות'!$A$3),'עלויות כח אדם (6)'!H1232='סיווג התפקידים והעלויות'!$C$2,'עלויות כח אדם (6)'!H1232='סיווג התפקידים והעלויות'!$D$2),IF('עלויות כח אדם (6)'!J1232&lt;75,"לא תקין","תקין"),"")</f>
        <v/>
      </c>
      <c r="AE1232" s="374" t="str">
        <f t="shared" si="299"/>
        <v/>
      </c>
      <c r="AF1232" s="532" t="str">
        <f t="shared" si="300"/>
        <v/>
      </c>
    </row>
    <row r="1233" spans="2:32" x14ac:dyDescent="0.25">
      <c r="B1233" s="695"/>
      <c r="C1233" s="197" t="str">
        <f>IF(B1233&lt;&gt;"",IFERROR(VLOOKUP(B:B,'מצבת והרשמה (2)'!$C$20:$N$520,2,0)," ")," ")</f>
        <v xml:space="preserve"> </v>
      </c>
      <c r="D1233" s="695"/>
      <c r="E1233" s="696"/>
      <c r="F1233" s="696"/>
      <c r="G1233" s="696"/>
      <c r="H1233" s="696"/>
      <c r="I1233" s="1050" t="str">
        <f t="shared" si="287"/>
        <v/>
      </c>
      <c r="J1233" s="696"/>
      <c r="K1233" s="697"/>
      <c r="L1233" s="696"/>
      <c r="M1233" s="198" t="str">
        <f t="shared" si="288"/>
        <v/>
      </c>
      <c r="N1233" s="369" t="str">
        <f t="shared" si="289"/>
        <v/>
      </c>
      <c r="O1233" s="183" t="str">
        <f t="shared" si="290"/>
        <v/>
      </c>
      <c r="P1233" s="199" t="str">
        <f t="shared" si="291"/>
        <v/>
      </c>
      <c r="Q1233" s="199" t="str">
        <f>IF(B1233="","",IFERROR(IF('עלויות כח אדם (6)'!J1233&gt;=VLOOKUP(I1233,'סיווג התפקידים והעלויות'!$B$23:$C$32,2,0),"תקין","לא תקין"),""))</f>
        <v/>
      </c>
      <c r="R1233" s="199" t="str">
        <f t="shared" si="292"/>
        <v/>
      </c>
      <c r="S1233" s="199" t="str">
        <f t="shared" si="293"/>
        <v/>
      </c>
      <c r="T1233" s="199" t="str">
        <f t="shared" si="301"/>
        <v/>
      </c>
      <c r="U1233" s="199" t="str">
        <f t="shared" si="294"/>
        <v/>
      </c>
      <c r="V1233" s="989"/>
      <c r="X1233" s="374" t="str">
        <f t="shared" si="295"/>
        <v/>
      </c>
      <c r="Y1233" s="375" t="str">
        <f t="shared" si="296"/>
        <v/>
      </c>
      <c r="Z1233" s="374" t="str">
        <f t="shared" si="297"/>
        <v/>
      </c>
      <c r="AA1233" s="374" t="b">
        <f t="shared" si="298"/>
        <v>1</v>
      </c>
      <c r="AB1233" s="374">
        <f>COUNTIFS(B:B,B1233,H:H,'סיווג התפקידים והעלויות'!$C$2)</f>
        <v>0</v>
      </c>
      <c r="AC1233" s="374">
        <f>COUNTIFS(B:B,B1233,H:H,'סיווג התפקידים והעלויות'!$D$2)</f>
        <v>0</v>
      </c>
      <c r="AD1233" s="374" t="str">
        <f>IF(OR(AND(H1233='סיווג התפקידים והעלויות'!$A$2,I1233='סיווג התפקידים והעלויות'!$A$3),'עלויות כח אדם (6)'!H1233='סיווג התפקידים והעלויות'!$C$2,'עלויות כח אדם (6)'!H1233='סיווג התפקידים והעלויות'!$D$2),IF('עלויות כח אדם (6)'!J1233&lt;75,"לא תקין","תקין"),"")</f>
        <v/>
      </c>
      <c r="AE1233" s="374" t="str">
        <f t="shared" si="299"/>
        <v/>
      </c>
      <c r="AF1233" s="532" t="str">
        <f t="shared" si="300"/>
        <v/>
      </c>
    </row>
    <row r="1234" spans="2:32" x14ac:dyDescent="0.25">
      <c r="B1234" s="695"/>
      <c r="C1234" s="197" t="str">
        <f>IF(B1234&lt;&gt;"",IFERROR(VLOOKUP(B:B,'מצבת והרשמה (2)'!$C$20:$N$520,2,0)," ")," ")</f>
        <v xml:space="preserve"> </v>
      </c>
      <c r="D1234" s="695"/>
      <c r="E1234" s="696"/>
      <c r="F1234" s="696"/>
      <c r="G1234" s="696"/>
      <c r="H1234" s="696"/>
      <c r="I1234" s="1050" t="str">
        <f t="shared" si="287"/>
        <v/>
      </c>
      <c r="J1234" s="696"/>
      <c r="K1234" s="697"/>
      <c r="L1234" s="696"/>
      <c r="M1234" s="198" t="str">
        <f t="shared" si="288"/>
        <v/>
      </c>
      <c r="N1234" s="369" t="str">
        <f t="shared" si="289"/>
        <v/>
      </c>
      <c r="O1234" s="183" t="str">
        <f t="shared" si="290"/>
        <v/>
      </c>
      <c r="P1234" s="199" t="str">
        <f t="shared" si="291"/>
        <v/>
      </c>
      <c r="Q1234" s="199" t="str">
        <f>IF(B1234="","",IFERROR(IF('עלויות כח אדם (6)'!J1234&gt;=VLOOKUP(I1234,'סיווג התפקידים והעלויות'!$B$23:$C$32,2,0),"תקין","לא תקין"),""))</f>
        <v/>
      </c>
      <c r="R1234" s="199" t="str">
        <f t="shared" si="292"/>
        <v/>
      </c>
      <c r="S1234" s="199" t="str">
        <f t="shared" si="293"/>
        <v/>
      </c>
      <c r="T1234" s="199" t="str">
        <f t="shared" si="301"/>
        <v/>
      </c>
      <c r="U1234" s="199" t="str">
        <f t="shared" si="294"/>
        <v/>
      </c>
      <c r="V1234" s="989"/>
      <c r="X1234" s="374" t="str">
        <f t="shared" si="295"/>
        <v/>
      </c>
      <c r="Y1234" s="375" t="str">
        <f t="shared" si="296"/>
        <v/>
      </c>
      <c r="Z1234" s="374" t="str">
        <f t="shared" si="297"/>
        <v/>
      </c>
      <c r="AA1234" s="374" t="b">
        <f t="shared" si="298"/>
        <v>1</v>
      </c>
      <c r="AB1234" s="374">
        <f>COUNTIFS(B:B,B1234,H:H,'סיווג התפקידים והעלויות'!$C$2)</f>
        <v>0</v>
      </c>
      <c r="AC1234" s="374">
        <f>COUNTIFS(B:B,B1234,H:H,'סיווג התפקידים והעלויות'!$D$2)</f>
        <v>0</v>
      </c>
      <c r="AD1234" s="374" t="str">
        <f>IF(OR(AND(H1234='סיווג התפקידים והעלויות'!$A$2,I1234='סיווג התפקידים והעלויות'!$A$3),'עלויות כח אדם (6)'!H1234='סיווג התפקידים והעלויות'!$C$2,'עלויות כח אדם (6)'!H1234='סיווג התפקידים והעלויות'!$D$2),IF('עלויות כח אדם (6)'!J1234&lt;75,"לא תקין","תקין"),"")</f>
        <v/>
      </c>
      <c r="AE1234" s="374" t="str">
        <f t="shared" si="299"/>
        <v/>
      </c>
      <c r="AF1234" s="532" t="str">
        <f t="shared" si="300"/>
        <v/>
      </c>
    </row>
    <row r="1235" spans="2:32" x14ac:dyDescent="0.25">
      <c r="B1235" s="695"/>
      <c r="C1235" s="197" t="str">
        <f>IF(B1235&lt;&gt;"",IFERROR(VLOOKUP(B:B,'מצבת והרשמה (2)'!$C$20:$N$520,2,0)," ")," ")</f>
        <v xml:space="preserve"> </v>
      </c>
      <c r="D1235" s="695"/>
      <c r="E1235" s="696"/>
      <c r="F1235" s="696"/>
      <c r="G1235" s="696"/>
      <c r="H1235" s="696"/>
      <c r="I1235" s="1050" t="str">
        <f t="shared" si="287"/>
        <v/>
      </c>
      <c r="J1235" s="696"/>
      <c r="K1235" s="697"/>
      <c r="L1235" s="696"/>
      <c r="M1235" s="198" t="str">
        <f t="shared" si="288"/>
        <v/>
      </c>
      <c r="N1235" s="369" t="str">
        <f t="shared" si="289"/>
        <v/>
      </c>
      <c r="O1235" s="183" t="str">
        <f t="shared" si="290"/>
        <v/>
      </c>
      <c r="P1235" s="199" t="str">
        <f t="shared" si="291"/>
        <v/>
      </c>
      <c r="Q1235" s="199" t="str">
        <f>IF(B1235="","",IFERROR(IF('עלויות כח אדם (6)'!J1235&gt;=VLOOKUP(I1235,'סיווג התפקידים והעלויות'!$B$23:$C$32,2,0),"תקין","לא תקין"),""))</f>
        <v/>
      </c>
      <c r="R1235" s="199" t="str">
        <f t="shared" si="292"/>
        <v/>
      </c>
      <c r="S1235" s="199" t="str">
        <f t="shared" si="293"/>
        <v/>
      </c>
      <c r="T1235" s="199" t="str">
        <f t="shared" si="301"/>
        <v/>
      </c>
      <c r="U1235" s="199" t="str">
        <f t="shared" si="294"/>
        <v/>
      </c>
      <c r="V1235" s="989"/>
      <c r="X1235" s="374" t="str">
        <f t="shared" si="295"/>
        <v/>
      </c>
      <c r="Y1235" s="375" t="str">
        <f t="shared" si="296"/>
        <v/>
      </c>
      <c r="Z1235" s="374" t="str">
        <f t="shared" si="297"/>
        <v/>
      </c>
      <c r="AA1235" s="374" t="b">
        <f t="shared" si="298"/>
        <v>1</v>
      </c>
      <c r="AB1235" s="374">
        <f>COUNTIFS(B:B,B1235,H:H,'סיווג התפקידים והעלויות'!$C$2)</f>
        <v>0</v>
      </c>
      <c r="AC1235" s="374">
        <f>COUNTIFS(B:B,B1235,H:H,'סיווג התפקידים והעלויות'!$D$2)</f>
        <v>0</v>
      </c>
      <c r="AD1235" s="374" t="str">
        <f>IF(OR(AND(H1235='סיווג התפקידים והעלויות'!$A$2,I1235='סיווג התפקידים והעלויות'!$A$3),'עלויות כח אדם (6)'!H1235='סיווג התפקידים והעלויות'!$C$2,'עלויות כח אדם (6)'!H1235='סיווג התפקידים והעלויות'!$D$2),IF('עלויות כח אדם (6)'!J1235&lt;75,"לא תקין","תקין"),"")</f>
        <v/>
      </c>
      <c r="AE1235" s="374" t="str">
        <f t="shared" si="299"/>
        <v/>
      </c>
      <c r="AF1235" s="532" t="str">
        <f t="shared" si="300"/>
        <v/>
      </c>
    </row>
    <row r="1236" spans="2:32" x14ac:dyDescent="0.25">
      <c r="B1236" s="695"/>
      <c r="C1236" s="197" t="str">
        <f>IF(B1236&lt;&gt;"",IFERROR(VLOOKUP(B:B,'מצבת והרשמה (2)'!$C$20:$N$520,2,0)," ")," ")</f>
        <v xml:space="preserve"> </v>
      </c>
      <c r="D1236" s="695"/>
      <c r="E1236" s="696"/>
      <c r="F1236" s="696"/>
      <c r="G1236" s="696"/>
      <c r="H1236" s="696"/>
      <c r="I1236" s="1050" t="str">
        <f t="shared" si="287"/>
        <v/>
      </c>
      <c r="J1236" s="696"/>
      <c r="K1236" s="697"/>
      <c r="L1236" s="696"/>
      <c r="M1236" s="198" t="str">
        <f t="shared" si="288"/>
        <v/>
      </c>
      <c r="N1236" s="369" t="str">
        <f t="shared" si="289"/>
        <v/>
      </c>
      <c r="O1236" s="183" t="str">
        <f t="shared" si="290"/>
        <v/>
      </c>
      <c r="P1236" s="199" t="str">
        <f t="shared" si="291"/>
        <v/>
      </c>
      <c r="Q1236" s="199" t="str">
        <f>IF(B1236="","",IFERROR(IF('עלויות כח אדם (6)'!J1236&gt;=VLOOKUP(I1236,'סיווג התפקידים והעלויות'!$B$23:$C$32,2,0),"תקין","לא תקין"),""))</f>
        <v/>
      </c>
      <c r="R1236" s="199" t="str">
        <f t="shared" si="292"/>
        <v/>
      </c>
      <c r="S1236" s="199" t="str">
        <f t="shared" si="293"/>
        <v/>
      </c>
      <c r="T1236" s="199" t="str">
        <f t="shared" si="301"/>
        <v/>
      </c>
      <c r="U1236" s="199" t="str">
        <f t="shared" si="294"/>
        <v/>
      </c>
      <c r="V1236" s="989"/>
      <c r="X1236" s="374" t="str">
        <f t="shared" si="295"/>
        <v/>
      </c>
      <c r="Y1236" s="375" t="str">
        <f t="shared" si="296"/>
        <v/>
      </c>
      <c r="Z1236" s="374" t="str">
        <f t="shared" si="297"/>
        <v/>
      </c>
      <c r="AA1236" s="374" t="b">
        <f t="shared" si="298"/>
        <v>1</v>
      </c>
      <c r="AB1236" s="374">
        <f>COUNTIFS(B:B,B1236,H:H,'סיווג התפקידים והעלויות'!$C$2)</f>
        <v>0</v>
      </c>
      <c r="AC1236" s="374">
        <f>COUNTIFS(B:B,B1236,H:H,'סיווג התפקידים והעלויות'!$D$2)</f>
        <v>0</v>
      </c>
      <c r="AD1236" s="374" t="str">
        <f>IF(OR(AND(H1236='סיווג התפקידים והעלויות'!$A$2,I1236='סיווג התפקידים והעלויות'!$A$3),'עלויות כח אדם (6)'!H1236='סיווג התפקידים והעלויות'!$C$2,'עלויות כח אדם (6)'!H1236='סיווג התפקידים והעלויות'!$D$2),IF('עלויות כח אדם (6)'!J1236&lt;75,"לא תקין","תקין"),"")</f>
        <v/>
      </c>
      <c r="AE1236" s="374" t="str">
        <f t="shared" si="299"/>
        <v/>
      </c>
      <c r="AF1236" s="532" t="str">
        <f t="shared" si="300"/>
        <v/>
      </c>
    </row>
    <row r="1237" spans="2:32" x14ac:dyDescent="0.25">
      <c r="B1237" s="695"/>
      <c r="C1237" s="197" t="str">
        <f>IF(B1237&lt;&gt;"",IFERROR(VLOOKUP(B:B,'מצבת והרשמה (2)'!$C$20:$N$520,2,0)," ")," ")</f>
        <v xml:space="preserve"> </v>
      </c>
      <c r="D1237" s="695"/>
      <c r="E1237" s="696"/>
      <c r="F1237" s="696"/>
      <c r="G1237" s="696"/>
      <c r="H1237" s="696"/>
      <c r="I1237" s="1050" t="str">
        <f t="shared" si="287"/>
        <v/>
      </c>
      <c r="J1237" s="696"/>
      <c r="K1237" s="697"/>
      <c r="L1237" s="696"/>
      <c r="M1237" s="198" t="str">
        <f t="shared" si="288"/>
        <v/>
      </c>
      <c r="N1237" s="369" t="str">
        <f t="shared" si="289"/>
        <v/>
      </c>
      <c r="O1237" s="183" t="str">
        <f t="shared" si="290"/>
        <v/>
      </c>
      <c r="P1237" s="199" t="str">
        <f t="shared" si="291"/>
        <v/>
      </c>
      <c r="Q1237" s="199" t="str">
        <f>IF(B1237="","",IFERROR(IF('עלויות כח אדם (6)'!J1237&gt;=VLOOKUP(I1237,'סיווג התפקידים והעלויות'!$B$23:$C$32,2,0),"תקין","לא תקין"),""))</f>
        <v/>
      </c>
      <c r="R1237" s="199" t="str">
        <f t="shared" si="292"/>
        <v/>
      </c>
      <c r="S1237" s="199" t="str">
        <f t="shared" si="293"/>
        <v/>
      </c>
      <c r="T1237" s="199" t="str">
        <f t="shared" si="301"/>
        <v/>
      </c>
      <c r="U1237" s="199" t="str">
        <f t="shared" si="294"/>
        <v/>
      </c>
      <c r="V1237" s="989"/>
      <c r="X1237" s="374" t="str">
        <f t="shared" si="295"/>
        <v/>
      </c>
      <c r="Y1237" s="375" t="str">
        <f t="shared" si="296"/>
        <v/>
      </c>
      <c r="Z1237" s="374" t="str">
        <f t="shared" si="297"/>
        <v/>
      </c>
      <c r="AA1237" s="374" t="b">
        <f t="shared" si="298"/>
        <v>1</v>
      </c>
      <c r="AB1237" s="374">
        <f>COUNTIFS(B:B,B1237,H:H,'סיווג התפקידים והעלויות'!$C$2)</f>
        <v>0</v>
      </c>
      <c r="AC1237" s="374">
        <f>COUNTIFS(B:B,B1237,H:H,'סיווג התפקידים והעלויות'!$D$2)</f>
        <v>0</v>
      </c>
      <c r="AD1237" s="374" t="str">
        <f>IF(OR(AND(H1237='סיווג התפקידים והעלויות'!$A$2,I1237='סיווג התפקידים והעלויות'!$A$3),'עלויות כח אדם (6)'!H1237='סיווג התפקידים והעלויות'!$C$2,'עלויות כח אדם (6)'!H1237='סיווג התפקידים והעלויות'!$D$2),IF('עלויות כח אדם (6)'!J1237&lt;75,"לא תקין","תקין"),"")</f>
        <v/>
      </c>
      <c r="AE1237" s="374" t="str">
        <f t="shared" si="299"/>
        <v/>
      </c>
      <c r="AF1237" s="532" t="str">
        <f t="shared" si="300"/>
        <v/>
      </c>
    </row>
    <row r="1238" spans="2:32" x14ac:dyDescent="0.25">
      <c r="B1238" s="695"/>
      <c r="C1238" s="197" t="str">
        <f>IF(B1238&lt;&gt;"",IFERROR(VLOOKUP(B:B,'מצבת והרשמה (2)'!$C$20:$N$520,2,0)," ")," ")</f>
        <v xml:space="preserve"> </v>
      </c>
      <c r="D1238" s="695"/>
      <c r="E1238" s="696"/>
      <c r="F1238" s="696"/>
      <c r="G1238" s="696"/>
      <c r="H1238" s="696"/>
      <c r="I1238" s="1050" t="str">
        <f t="shared" si="287"/>
        <v/>
      </c>
      <c r="J1238" s="696"/>
      <c r="K1238" s="697"/>
      <c r="L1238" s="696"/>
      <c r="M1238" s="198" t="str">
        <f t="shared" si="288"/>
        <v/>
      </c>
      <c r="N1238" s="369" t="str">
        <f t="shared" si="289"/>
        <v/>
      </c>
      <c r="O1238" s="183" t="str">
        <f t="shared" si="290"/>
        <v/>
      </c>
      <c r="P1238" s="199" t="str">
        <f t="shared" si="291"/>
        <v/>
      </c>
      <c r="Q1238" s="199" t="str">
        <f>IF(B1238="","",IFERROR(IF('עלויות כח אדם (6)'!J1238&gt;=VLOOKUP(I1238,'סיווג התפקידים והעלויות'!$B$23:$C$32,2,0),"תקין","לא תקין"),""))</f>
        <v/>
      </c>
      <c r="R1238" s="199" t="str">
        <f t="shared" si="292"/>
        <v/>
      </c>
      <c r="S1238" s="199" t="str">
        <f t="shared" si="293"/>
        <v/>
      </c>
      <c r="T1238" s="199" t="str">
        <f t="shared" si="301"/>
        <v/>
      </c>
      <c r="U1238" s="199" t="str">
        <f t="shared" si="294"/>
        <v/>
      </c>
      <c r="V1238" s="989"/>
      <c r="X1238" s="374" t="str">
        <f t="shared" si="295"/>
        <v/>
      </c>
      <c r="Y1238" s="375" t="str">
        <f t="shared" si="296"/>
        <v/>
      </c>
      <c r="Z1238" s="374" t="str">
        <f t="shared" si="297"/>
        <v/>
      </c>
      <c r="AA1238" s="374" t="b">
        <f t="shared" si="298"/>
        <v>1</v>
      </c>
      <c r="AB1238" s="374">
        <f>COUNTIFS(B:B,B1238,H:H,'סיווג התפקידים והעלויות'!$C$2)</f>
        <v>0</v>
      </c>
      <c r="AC1238" s="374">
        <f>COUNTIFS(B:B,B1238,H:H,'סיווג התפקידים והעלויות'!$D$2)</f>
        <v>0</v>
      </c>
      <c r="AD1238" s="374" t="str">
        <f>IF(OR(AND(H1238='סיווג התפקידים והעלויות'!$A$2,I1238='סיווג התפקידים והעלויות'!$A$3),'עלויות כח אדם (6)'!H1238='סיווג התפקידים והעלויות'!$C$2,'עלויות כח אדם (6)'!H1238='סיווג התפקידים והעלויות'!$D$2),IF('עלויות כח אדם (6)'!J1238&lt;75,"לא תקין","תקין"),"")</f>
        <v/>
      </c>
      <c r="AE1238" s="374" t="str">
        <f t="shared" si="299"/>
        <v/>
      </c>
      <c r="AF1238" s="532" t="str">
        <f t="shared" si="300"/>
        <v/>
      </c>
    </row>
    <row r="1239" spans="2:32" x14ac:dyDescent="0.25">
      <c r="B1239" s="695"/>
      <c r="C1239" s="197" t="str">
        <f>IF(B1239&lt;&gt;"",IFERROR(VLOOKUP(B:B,'מצבת והרשמה (2)'!$C$20:$N$520,2,0)," ")," ")</f>
        <v xml:space="preserve"> </v>
      </c>
      <c r="D1239" s="695"/>
      <c r="E1239" s="696"/>
      <c r="F1239" s="696"/>
      <c r="G1239" s="696"/>
      <c r="H1239" s="696"/>
      <c r="I1239" s="1050" t="str">
        <f t="shared" si="287"/>
        <v/>
      </c>
      <c r="J1239" s="696"/>
      <c r="K1239" s="697"/>
      <c r="L1239" s="696"/>
      <c r="M1239" s="198" t="str">
        <f t="shared" si="288"/>
        <v/>
      </c>
      <c r="N1239" s="369" t="str">
        <f t="shared" si="289"/>
        <v/>
      </c>
      <c r="O1239" s="183" t="str">
        <f t="shared" si="290"/>
        <v/>
      </c>
      <c r="P1239" s="199" t="str">
        <f t="shared" si="291"/>
        <v/>
      </c>
      <c r="Q1239" s="199" t="str">
        <f>IF(B1239="","",IFERROR(IF('עלויות כח אדם (6)'!J1239&gt;=VLOOKUP(I1239,'סיווג התפקידים והעלויות'!$B$23:$C$32,2,0),"תקין","לא תקין"),""))</f>
        <v/>
      </c>
      <c r="R1239" s="199" t="str">
        <f t="shared" si="292"/>
        <v/>
      </c>
      <c r="S1239" s="199" t="str">
        <f t="shared" si="293"/>
        <v/>
      </c>
      <c r="T1239" s="199" t="str">
        <f t="shared" si="301"/>
        <v/>
      </c>
      <c r="U1239" s="199" t="str">
        <f t="shared" si="294"/>
        <v/>
      </c>
      <c r="V1239" s="989"/>
      <c r="X1239" s="374" t="str">
        <f t="shared" si="295"/>
        <v/>
      </c>
      <c r="Y1239" s="375" t="str">
        <f t="shared" si="296"/>
        <v/>
      </c>
      <c r="Z1239" s="374" t="str">
        <f t="shared" si="297"/>
        <v/>
      </c>
      <c r="AA1239" s="374" t="b">
        <f t="shared" si="298"/>
        <v>1</v>
      </c>
      <c r="AB1239" s="374">
        <f>COUNTIFS(B:B,B1239,H:H,'סיווג התפקידים והעלויות'!$C$2)</f>
        <v>0</v>
      </c>
      <c r="AC1239" s="374">
        <f>COUNTIFS(B:B,B1239,H:H,'סיווג התפקידים והעלויות'!$D$2)</f>
        <v>0</v>
      </c>
      <c r="AD1239" s="374" t="str">
        <f>IF(OR(AND(H1239='סיווג התפקידים והעלויות'!$A$2,I1239='סיווג התפקידים והעלויות'!$A$3),'עלויות כח אדם (6)'!H1239='סיווג התפקידים והעלויות'!$C$2,'עלויות כח אדם (6)'!H1239='סיווג התפקידים והעלויות'!$D$2),IF('עלויות כח אדם (6)'!J1239&lt;75,"לא תקין","תקין"),"")</f>
        <v/>
      </c>
      <c r="AE1239" s="374" t="str">
        <f t="shared" si="299"/>
        <v/>
      </c>
      <c r="AF1239" s="532" t="str">
        <f t="shared" si="300"/>
        <v/>
      </c>
    </row>
    <row r="1240" spans="2:32" x14ac:dyDescent="0.25">
      <c r="B1240" s="695"/>
      <c r="C1240" s="197" t="str">
        <f>IF(B1240&lt;&gt;"",IFERROR(VLOOKUP(B:B,'מצבת והרשמה (2)'!$C$20:$N$520,2,0)," ")," ")</f>
        <v xml:space="preserve"> </v>
      </c>
      <c r="D1240" s="695"/>
      <c r="E1240" s="696"/>
      <c r="F1240" s="696"/>
      <c r="G1240" s="696"/>
      <c r="H1240" s="696"/>
      <c r="I1240" s="1050" t="str">
        <f t="shared" si="287"/>
        <v/>
      </c>
      <c r="J1240" s="696"/>
      <c r="K1240" s="697"/>
      <c r="L1240" s="696"/>
      <c r="M1240" s="198" t="str">
        <f t="shared" si="288"/>
        <v/>
      </c>
      <c r="N1240" s="369" t="str">
        <f t="shared" si="289"/>
        <v/>
      </c>
      <c r="O1240" s="183" t="str">
        <f t="shared" si="290"/>
        <v/>
      </c>
      <c r="P1240" s="199" t="str">
        <f t="shared" si="291"/>
        <v/>
      </c>
      <c r="Q1240" s="199" t="str">
        <f>IF(B1240="","",IFERROR(IF('עלויות כח אדם (6)'!J1240&gt;=VLOOKUP(I1240,'סיווג התפקידים והעלויות'!$B$23:$C$32,2,0),"תקין","לא תקין"),""))</f>
        <v/>
      </c>
      <c r="R1240" s="199" t="str">
        <f t="shared" si="292"/>
        <v/>
      </c>
      <c r="S1240" s="199" t="str">
        <f t="shared" si="293"/>
        <v/>
      </c>
      <c r="T1240" s="199" t="str">
        <f t="shared" si="301"/>
        <v/>
      </c>
      <c r="U1240" s="199" t="str">
        <f t="shared" si="294"/>
        <v/>
      </c>
      <c r="V1240" s="989"/>
      <c r="X1240" s="374" t="str">
        <f t="shared" si="295"/>
        <v/>
      </c>
      <c r="Y1240" s="375" t="str">
        <f t="shared" si="296"/>
        <v/>
      </c>
      <c r="Z1240" s="374" t="str">
        <f t="shared" si="297"/>
        <v/>
      </c>
      <c r="AA1240" s="374" t="b">
        <f t="shared" si="298"/>
        <v>1</v>
      </c>
      <c r="AB1240" s="374">
        <f>COUNTIFS(B:B,B1240,H:H,'סיווג התפקידים והעלויות'!$C$2)</f>
        <v>0</v>
      </c>
      <c r="AC1240" s="374">
        <f>COUNTIFS(B:B,B1240,H:H,'סיווג התפקידים והעלויות'!$D$2)</f>
        <v>0</v>
      </c>
      <c r="AD1240" s="374" t="str">
        <f>IF(OR(AND(H1240='סיווג התפקידים והעלויות'!$A$2,I1240='סיווג התפקידים והעלויות'!$A$3),'עלויות כח אדם (6)'!H1240='סיווג התפקידים והעלויות'!$C$2,'עלויות כח אדם (6)'!H1240='סיווג התפקידים והעלויות'!$D$2),IF('עלויות כח אדם (6)'!J1240&lt;75,"לא תקין","תקין"),"")</f>
        <v/>
      </c>
      <c r="AE1240" s="374" t="str">
        <f t="shared" si="299"/>
        <v/>
      </c>
      <c r="AF1240" s="532" t="str">
        <f t="shared" si="300"/>
        <v/>
      </c>
    </row>
    <row r="1241" spans="2:32" x14ac:dyDescent="0.25">
      <c r="B1241" s="695"/>
      <c r="C1241" s="197" t="str">
        <f>IF(B1241&lt;&gt;"",IFERROR(VLOOKUP(B:B,'מצבת והרשמה (2)'!$C$20:$N$520,2,0)," ")," ")</f>
        <v xml:space="preserve"> </v>
      </c>
      <c r="D1241" s="695"/>
      <c r="E1241" s="696"/>
      <c r="F1241" s="696"/>
      <c r="G1241" s="696"/>
      <c r="H1241" s="696"/>
      <c r="I1241" s="1050" t="str">
        <f t="shared" si="287"/>
        <v/>
      </c>
      <c r="J1241" s="696"/>
      <c r="K1241" s="697"/>
      <c r="L1241" s="696"/>
      <c r="M1241" s="198" t="str">
        <f t="shared" si="288"/>
        <v/>
      </c>
      <c r="N1241" s="369" t="str">
        <f t="shared" si="289"/>
        <v/>
      </c>
      <c r="O1241" s="183" t="str">
        <f t="shared" si="290"/>
        <v/>
      </c>
      <c r="P1241" s="199" t="str">
        <f t="shared" si="291"/>
        <v/>
      </c>
      <c r="Q1241" s="199" t="str">
        <f>IF(B1241="","",IFERROR(IF('עלויות כח אדם (6)'!J1241&gt;=VLOOKUP(I1241,'סיווג התפקידים והעלויות'!$B$23:$C$32,2,0),"תקין","לא תקין"),""))</f>
        <v/>
      </c>
      <c r="R1241" s="199" t="str">
        <f t="shared" si="292"/>
        <v/>
      </c>
      <c r="S1241" s="199" t="str">
        <f t="shared" si="293"/>
        <v/>
      </c>
      <c r="T1241" s="199" t="str">
        <f t="shared" si="301"/>
        <v/>
      </c>
      <c r="U1241" s="199" t="str">
        <f t="shared" si="294"/>
        <v/>
      </c>
      <c r="V1241" s="989"/>
      <c r="X1241" s="374" t="str">
        <f t="shared" si="295"/>
        <v/>
      </c>
      <c r="Y1241" s="375" t="str">
        <f t="shared" si="296"/>
        <v/>
      </c>
      <c r="Z1241" s="374" t="str">
        <f t="shared" si="297"/>
        <v/>
      </c>
      <c r="AA1241" s="374" t="b">
        <f t="shared" si="298"/>
        <v>1</v>
      </c>
      <c r="AB1241" s="374">
        <f>COUNTIFS(B:B,B1241,H:H,'סיווג התפקידים והעלויות'!$C$2)</f>
        <v>0</v>
      </c>
      <c r="AC1241" s="374">
        <f>COUNTIFS(B:B,B1241,H:H,'סיווג התפקידים והעלויות'!$D$2)</f>
        <v>0</v>
      </c>
      <c r="AD1241" s="374" t="str">
        <f>IF(OR(AND(H1241='סיווג התפקידים והעלויות'!$A$2,I1241='סיווג התפקידים והעלויות'!$A$3),'עלויות כח אדם (6)'!H1241='סיווג התפקידים והעלויות'!$C$2,'עלויות כח אדם (6)'!H1241='סיווג התפקידים והעלויות'!$D$2),IF('עלויות כח אדם (6)'!J1241&lt;75,"לא תקין","תקין"),"")</f>
        <v/>
      </c>
      <c r="AE1241" s="374" t="str">
        <f t="shared" si="299"/>
        <v/>
      </c>
      <c r="AF1241" s="532" t="str">
        <f t="shared" si="300"/>
        <v/>
      </c>
    </row>
    <row r="1242" spans="2:32" x14ac:dyDescent="0.25">
      <c r="B1242" s="695"/>
      <c r="C1242" s="197" t="str">
        <f>IF(B1242&lt;&gt;"",IFERROR(VLOOKUP(B:B,'מצבת והרשמה (2)'!$C$20:$N$520,2,0)," ")," ")</f>
        <v xml:space="preserve"> </v>
      </c>
      <c r="D1242" s="695"/>
      <c r="E1242" s="696"/>
      <c r="F1242" s="696"/>
      <c r="G1242" s="696"/>
      <c r="H1242" s="696"/>
      <c r="I1242" s="1050" t="str">
        <f t="shared" si="287"/>
        <v/>
      </c>
      <c r="J1242" s="696"/>
      <c r="K1242" s="697"/>
      <c r="L1242" s="696"/>
      <c r="M1242" s="198" t="str">
        <f t="shared" si="288"/>
        <v/>
      </c>
      <c r="N1242" s="369" t="str">
        <f t="shared" si="289"/>
        <v/>
      </c>
      <c r="O1242" s="183" t="str">
        <f t="shared" si="290"/>
        <v/>
      </c>
      <c r="P1242" s="199" t="str">
        <f t="shared" si="291"/>
        <v/>
      </c>
      <c r="Q1242" s="199" t="str">
        <f>IF(B1242="","",IFERROR(IF('עלויות כח אדם (6)'!J1242&gt;=VLOOKUP(I1242,'סיווג התפקידים והעלויות'!$B$23:$C$32,2,0),"תקין","לא תקין"),""))</f>
        <v/>
      </c>
      <c r="R1242" s="199" t="str">
        <f t="shared" si="292"/>
        <v/>
      </c>
      <c r="S1242" s="199" t="str">
        <f t="shared" si="293"/>
        <v/>
      </c>
      <c r="T1242" s="199" t="str">
        <f t="shared" si="301"/>
        <v/>
      </c>
      <c r="U1242" s="199" t="str">
        <f t="shared" si="294"/>
        <v/>
      </c>
      <c r="V1242" s="989"/>
      <c r="X1242" s="374" t="str">
        <f t="shared" si="295"/>
        <v/>
      </c>
      <c r="Y1242" s="375" t="str">
        <f t="shared" si="296"/>
        <v/>
      </c>
      <c r="Z1242" s="374" t="str">
        <f t="shared" si="297"/>
        <v/>
      </c>
      <c r="AA1242" s="374" t="b">
        <f t="shared" si="298"/>
        <v>1</v>
      </c>
      <c r="AB1242" s="374">
        <f>COUNTIFS(B:B,B1242,H:H,'סיווג התפקידים והעלויות'!$C$2)</f>
        <v>0</v>
      </c>
      <c r="AC1242" s="374">
        <f>COUNTIFS(B:B,B1242,H:H,'סיווג התפקידים והעלויות'!$D$2)</f>
        <v>0</v>
      </c>
      <c r="AD1242" s="374" t="str">
        <f>IF(OR(AND(H1242='סיווג התפקידים והעלויות'!$A$2,I1242='סיווג התפקידים והעלויות'!$A$3),'עלויות כח אדם (6)'!H1242='סיווג התפקידים והעלויות'!$C$2,'עלויות כח אדם (6)'!H1242='סיווג התפקידים והעלויות'!$D$2),IF('עלויות כח אדם (6)'!J1242&lt;75,"לא תקין","תקין"),"")</f>
        <v/>
      </c>
      <c r="AE1242" s="374" t="str">
        <f t="shared" si="299"/>
        <v/>
      </c>
      <c r="AF1242" s="532" t="str">
        <f t="shared" si="300"/>
        <v/>
      </c>
    </row>
    <row r="1243" spans="2:32" x14ac:dyDescent="0.25">
      <c r="B1243" s="695"/>
      <c r="C1243" s="197" t="str">
        <f>IF(B1243&lt;&gt;"",IFERROR(VLOOKUP(B:B,'מצבת והרשמה (2)'!$C$20:$N$520,2,0)," ")," ")</f>
        <v xml:space="preserve"> </v>
      </c>
      <c r="D1243" s="695"/>
      <c r="E1243" s="696"/>
      <c r="F1243" s="696"/>
      <c r="G1243" s="696"/>
      <c r="H1243" s="696"/>
      <c r="I1243" s="1050" t="str">
        <f t="shared" si="287"/>
        <v/>
      </c>
      <c r="J1243" s="696"/>
      <c r="K1243" s="697"/>
      <c r="L1243" s="696"/>
      <c r="M1243" s="198" t="str">
        <f t="shared" si="288"/>
        <v/>
      </c>
      <c r="N1243" s="369" t="str">
        <f t="shared" si="289"/>
        <v/>
      </c>
      <c r="O1243" s="183" t="str">
        <f t="shared" si="290"/>
        <v/>
      </c>
      <c r="P1243" s="199" t="str">
        <f t="shared" si="291"/>
        <v/>
      </c>
      <c r="Q1243" s="199" t="str">
        <f>IF(B1243="","",IFERROR(IF('עלויות כח אדם (6)'!J1243&gt;=VLOOKUP(I1243,'סיווג התפקידים והעלויות'!$B$23:$C$32,2,0),"תקין","לא תקין"),""))</f>
        <v/>
      </c>
      <c r="R1243" s="199" t="str">
        <f t="shared" si="292"/>
        <v/>
      </c>
      <c r="S1243" s="199" t="str">
        <f t="shared" si="293"/>
        <v/>
      </c>
      <c r="T1243" s="199" t="str">
        <f t="shared" si="301"/>
        <v/>
      </c>
      <c r="U1243" s="199" t="str">
        <f t="shared" si="294"/>
        <v/>
      </c>
      <c r="V1243" s="989"/>
      <c r="X1243" s="374" t="str">
        <f t="shared" si="295"/>
        <v/>
      </c>
      <c r="Y1243" s="375" t="str">
        <f t="shared" si="296"/>
        <v/>
      </c>
      <c r="Z1243" s="374" t="str">
        <f t="shared" si="297"/>
        <v/>
      </c>
      <c r="AA1243" s="374" t="b">
        <f t="shared" si="298"/>
        <v>1</v>
      </c>
      <c r="AB1243" s="374">
        <f>COUNTIFS(B:B,B1243,H:H,'סיווג התפקידים והעלויות'!$C$2)</f>
        <v>0</v>
      </c>
      <c r="AC1243" s="374">
        <f>COUNTIFS(B:B,B1243,H:H,'סיווג התפקידים והעלויות'!$D$2)</f>
        <v>0</v>
      </c>
      <c r="AD1243" s="374" t="str">
        <f>IF(OR(AND(H1243='סיווג התפקידים והעלויות'!$A$2,I1243='סיווג התפקידים והעלויות'!$A$3),'עלויות כח אדם (6)'!H1243='סיווג התפקידים והעלויות'!$C$2,'עלויות כח אדם (6)'!H1243='סיווג התפקידים והעלויות'!$D$2),IF('עלויות כח אדם (6)'!J1243&lt;75,"לא תקין","תקין"),"")</f>
        <v/>
      </c>
      <c r="AE1243" s="374" t="str">
        <f t="shared" si="299"/>
        <v/>
      </c>
      <c r="AF1243" s="532" t="str">
        <f t="shared" si="300"/>
        <v/>
      </c>
    </row>
    <row r="1244" spans="2:32" x14ac:dyDescent="0.25">
      <c r="B1244" s="695"/>
      <c r="C1244" s="197" t="str">
        <f>IF(B1244&lt;&gt;"",IFERROR(VLOOKUP(B:B,'מצבת והרשמה (2)'!$C$20:$N$520,2,0)," ")," ")</f>
        <v xml:space="preserve"> </v>
      </c>
      <c r="D1244" s="695"/>
      <c r="E1244" s="696"/>
      <c r="F1244" s="696"/>
      <c r="G1244" s="696"/>
      <c r="H1244" s="696"/>
      <c r="I1244" s="1050" t="str">
        <f t="shared" si="287"/>
        <v/>
      </c>
      <c r="J1244" s="696"/>
      <c r="K1244" s="697"/>
      <c r="L1244" s="696"/>
      <c r="M1244" s="198" t="str">
        <f t="shared" si="288"/>
        <v/>
      </c>
      <c r="N1244" s="369" t="str">
        <f t="shared" si="289"/>
        <v/>
      </c>
      <c r="O1244" s="183" t="str">
        <f t="shared" si="290"/>
        <v/>
      </c>
      <c r="P1244" s="199" t="str">
        <f t="shared" si="291"/>
        <v/>
      </c>
      <c r="Q1244" s="199" t="str">
        <f>IF(B1244="","",IFERROR(IF('עלויות כח אדם (6)'!J1244&gt;=VLOOKUP(I1244,'סיווג התפקידים והעלויות'!$B$23:$C$32,2,0),"תקין","לא תקין"),""))</f>
        <v/>
      </c>
      <c r="R1244" s="199" t="str">
        <f t="shared" si="292"/>
        <v/>
      </c>
      <c r="S1244" s="199" t="str">
        <f t="shared" si="293"/>
        <v/>
      </c>
      <c r="T1244" s="199" t="str">
        <f t="shared" si="301"/>
        <v/>
      </c>
      <c r="U1244" s="199" t="str">
        <f t="shared" si="294"/>
        <v/>
      </c>
      <c r="V1244" s="989"/>
      <c r="X1244" s="374" t="str">
        <f t="shared" si="295"/>
        <v/>
      </c>
      <c r="Y1244" s="375" t="str">
        <f t="shared" si="296"/>
        <v/>
      </c>
      <c r="Z1244" s="374" t="str">
        <f t="shared" si="297"/>
        <v/>
      </c>
      <c r="AA1244" s="374" t="b">
        <f t="shared" si="298"/>
        <v>1</v>
      </c>
      <c r="AB1244" s="374">
        <f>COUNTIFS(B:B,B1244,H:H,'סיווג התפקידים והעלויות'!$C$2)</f>
        <v>0</v>
      </c>
      <c r="AC1244" s="374">
        <f>COUNTIFS(B:B,B1244,H:H,'סיווג התפקידים והעלויות'!$D$2)</f>
        <v>0</v>
      </c>
      <c r="AD1244" s="374" t="str">
        <f>IF(OR(AND(H1244='סיווג התפקידים והעלויות'!$A$2,I1244='סיווג התפקידים והעלויות'!$A$3),'עלויות כח אדם (6)'!H1244='סיווג התפקידים והעלויות'!$C$2,'עלויות כח אדם (6)'!H1244='סיווג התפקידים והעלויות'!$D$2),IF('עלויות כח אדם (6)'!J1244&lt;75,"לא תקין","תקין"),"")</f>
        <v/>
      </c>
      <c r="AE1244" s="374" t="str">
        <f t="shared" si="299"/>
        <v/>
      </c>
      <c r="AF1244" s="532" t="str">
        <f t="shared" si="300"/>
        <v/>
      </c>
    </row>
    <row r="1245" spans="2:32" x14ac:dyDescent="0.25">
      <c r="B1245" s="695"/>
      <c r="C1245" s="197" t="str">
        <f>IF(B1245&lt;&gt;"",IFERROR(VLOOKUP(B:B,'מצבת והרשמה (2)'!$C$20:$N$520,2,0)," ")," ")</f>
        <v xml:space="preserve"> </v>
      </c>
      <c r="D1245" s="695"/>
      <c r="E1245" s="696"/>
      <c r="F1245" s="696"/>
      <c r="G1245" s="696"/>
      <c r="H1245" s="696"/>
      <c r="I1245" s="1050" t="str">
        <f t="shared" si="287"/>
        <v/>
      </c>
      <c r="J1245" s="696"/>
      <c r="K1245" s="697"/>
      <c r="L1245" s="696"/>
      <c r="M1245" s="198" t="str">
        <f t="shared" si="288"/>
        <v/>
      </c>
      <c r="N1245" s="369" t="str">
        <f t="shared" si="289"/>
        <v/>
      </c>
      <c r="O1245" s="183" t="str">
        <f t="shared" si="290"/>
        <v/>
      </c>
      <c r="P1245" s="199" t="str">
        <f t="shared" si="291"/>
        <v/>
      </c>
      <c r="Q1245" s="199" t="str">
        <f>IF(B1245="","",IFERROR(IF('עלויות כח אדם (6)'!J1245&gt;=VLOOKUP(I1245,'סיווג התפקידים והעלויות'!$B$23:$C$32,2,0),"תקין","לא תקין"),""))</f>
        <v/>
      </c>
      <c r="R1245" s="199" t="str">
        <f t="shared" si="292"/>
        <v/>
      </c>
      <c r="S1245" s="199" t="str">
        <f t="shared" si="293"/>
        <v/>
      </c>
      <c r="T1245" s="199" t="str">
        <f t="shared" si="301"/>
        <v/>
      </c>
      <c r="U1245" s="199" t="str">
        <f t="shared" si="294"/>
        <v/>
      </c>
      <c r="V1245" s="989"/>
      <c r="X1245" s="374" t="str">
        <f t="shared" si="295"/>
        <v/>
      </c>
      <c r="Y1245" s="375" t="str">
        <f t="shared" si="296"/>
        <v/>
      </c>
      <c r="Z1245" s="374" t="str">
        <f t="shared" si="297"/>
        <v/>
      </c>
      <c r="AA1245" s="374" t="b">
        <f t="shared" si="298"/>
        <v>1</v>
      </c>
      <c r="AB1245" s="374">
        <f>COUNTIFS(B:B,B1245,H:H,'סיווג התפקידים והעלויות'!$C$2)</f>
        <v>0</v>
      </c>
      <c r="AC1245" s="374">
        <f>COUNTIFS(B:B,B1245,H:H,'סיווג התפקידים והעלויות'!$D$2)</f>
        <v>0</v>
      </c>
      <c r="AD1245" s="374" t="str">
        <f>IF(OR(AND(H1245='סיווג התפקידים והעלויות'!$A$2,I1245='סיווג התפקידים והעלויות'!$A$3),'עלויות כח אדם (6)'!H1245='סיווג התפקידים והעלויות'!$C$2,'עלויות כח אדם (6)'!H1245='סיווג התפקידים והעלויות'!$D$2),IF('עלויות כח אדם (6)'!J1245&lt;75,"לא תקין","תקין"),"")</f>
        <v/>
      </c>
      <c r="AE1245" s="374" t="str">
        <f t="shared" si="299"/>
        <v/>
      </c>
      <c r="AF1245" s="532" t="str">
        <f t="shared" si="300"/>
        <v/>
      </c>
    </row>
    <row r="1246" spans="2:32" x14ac:dyDescent="0.25">
      <c r="B1246" s="695"/>
      <c r="C1246" s="197" t="str">
        <f>IF(B1246&lt;&gt;"",IFERROR(VLOOKUP(B:B,'מצבת והרשמה (2)'!$C$20:$N$520,2,0)," ")," ")</f>
        <v xml:space="preserve"> </v>
      </c>
      <c r="D1246" s="695"/>
      <c r="E1246" s="696"/>
      <c r="F1246" s="696"/>
      <c r="G1246" s="696"/>
      <c r="H1246" s="696"/>
      <c r="I1246" s="1050" t="str">
        <f t="shared" si="287"/>
        <v/>
      </c>
      <c r="J1246" s="696"/>
      <c r="K1246" s="697"/>
      <c r="L1246" s="696"/>
      <c r="M1246" s="198" t="str">
        <f t="shared" si="288"/>
        <v/>
      </c>
      <c r="N1246" s="369" t="str">
        <f t="shared" si="289"/>
        <v/>
      </c>
      <c r="O1246" s="183" t="str">
        <f t="shared" si="290"/>
        <v/>
      </c>
      <c r="P1246" s="199" t="str">
        <f t="shared" si="291"/>
        <v/>
      </c>
      <c r="Q1246" s="199" t="str">
        <f>IF(B1246="","",IFERROR(IF('עלויות כח אדם (6)'!J1246&gt;=VLOOKUP(I1246,'סיווג התפקידים והעלויות'!$B$23:$C$32,2,0),"תקין","לא תקין"),""))</f>
        <v/>
      </c>
      <c r="R1246" s="199" t="str">
        <f t="shared" si="292"/>
        <v/>
      </c>
      <c r="S1246" s="199" t="str">
        <f t="shared" si="293"/>
        <v/>
      </c>
      <c r="T1246" s="199" t="str">
        <f t="shared" si="301"/>
        <v/>
      </c>
      <c r="U1246" s="199" t="str">
        <f t="shared" si="294"/>
        <v/>
      </c>
      <c r="V1246" s="989"/>
      <c r="X1246" s="374" t="str">
        <f t="shared" si="295"/>
        <v/>
      </c>
      <c r="Y1246" s="375" t="str">
        <f t="shared" si="296"/>
        <v/>
      </c>
      <c r="Z1246" s="374" t="str">
        <f t="shared" si="297"/>
        <v/>
      </c>
      <c r="AA1246" s="374" t="b">
        <f t="shared" si="298"/>
        <v>1</v>
      </c>
      <c r="AB1246" s="374">
        <f>COUNTIFS(B:B,B1246,H:H,'סיווג התפקידים והעלויות'!$C$2)</f>
        <v>0</v>
      </c>
      <c r="AC1246" s="374">
        <f>COUNTIFS(B:B,B1246,H:H,'סיווג התפקידים והעלויות'!$D$2)</f>
        <v>0</v>
      </c>
      <c r="AD1246" s="374" t="str">
        <f>IF(OR(AND(H1246='סיווג התפקידים והעלויות'!$A$2,I1246='סיווג התפקידים והעלויות'!$A$3),'עלויות כח אדם (6)'!H1246='סיווג התפקידים והעלויות'!$C$2,'עלויות כח אדם (6)'!H1246='סיווג התפקידים והעלויות'!$D$2),IF('עלויות כח אדם (6)'!J1246&lt;75,"לא תקין","תקין"),"")</f>
        <v/>
      </c>
      <c r="AE1246" s="374" t="str">
        <f t="shared" si="299"/>
        <v/>
      </c>
      <c r="AF1246" s="532" t="str">
        <f t="shared" si="300"/>
        <v/>
      </c>
    </row>
    <row r="1247" spans="2:32" x14ac:dyDescent="0.25">
      <c r="B1247" s="695"/>
      <c r="C1247" s="197" t="str">
        <f>IF(B1247&lt;&gt;"",IFERROR(VLOOKUP(B:B,'מצבת והרשמה (2)'!$C$20:$N$520,2,0)," ")," ")</f>
        <v xml:space="preserve"> </v>
      </c>
      <c r="D1247" s="695"/>
      <c r="E1247" s="696"/>
      <c r="F1247" s="696"/>
      <c r="G1247" s="696"/>
      <c r="H1247" s="696"/>
      <c r="I1247" s="1050" t="str">
        <f t="shared" si="287"/>
        <v/>
      </c>
      <c r="J1247" s="696"/>
      <c r="K1247" s="697"/>
      <c r="L1247" s="696"/>
      <c r="M1247" s="198" t="str">
        <f t="shared" si="288"/>
        <v/>
      </c>
      <c r="N1247" s="369" t="str">
        <f t="shared" si="289"/>
        <v/>
      </c>
      <c r="O1247" s="183" t="str">
        <f t="shared" si="290"/>
        <v/>
      </c>
      <c r="P1247" s="199" t="str">
        <f t="shared" si="291"/>
        <v/>
      </c>
      <c r="Q1247" s="199" t="str">
        <f>IF(B1247="","",IFERROR(IF('עלויות כח אדם (6)'!J1247&gt;=VLOOKUP(I1247,'סיווג התפקידים והעלויות'!$B$23:$C$32,2,0),"תקין","לא תקין"),""))</f>
        <v/>
      </c>
      <c r="R1247" s="199" t="str">
        <f t="shared" si="292"/>
        <v/>
      </c>
      <c r="S1247" s="199" t="str">
        <f t="shared" si="293"/>
        <v/>
      </c>
      <c r="T1247" s="199" t="str">
        <f t="shared" si="301"/>
        <v/>
      </c>
      <c r="U1247" s="199" t="str">
        <f t="shared" si="294"/>
        <v/>
      </c>
      <c r="V1247" s="989"/>
      <c r="X1247" s="374" t="str">
        <f t="shared" si="295"/>
        <v/>
      </c>
      <c r="Y1247" s="375" t="str">
        <f t="shared" si="296"/>
        <v/>
      </c>
      <c r="Z1247" s="374" t="str">
        <f t="shared" si="297"/>
        <v/>
      </c>
      <c r="AA1247" s="374" t="b">
        <f t="shared" si="298"/>
        <v>1</v>
      </c>
      <c r="AB1247" s="374">
        <f>COUNTIFS(B:B,B1247,H:H,'סיווג התפקידים והעלויות'!$C$2)</f>
        <v>0</v>
      </c>
      <c r="AC1247" s="374">
        <f>COUNTIFS(B:B,B1247,H:H,'סיווג התפקידים והעלויות'!$D$2)</f>
        <v>0</v>
      </c>
      <c r="AD1247" s="374" t="str">
        <f>IF(OR(AND(H1247='סיווג התפקידים והעלויות'!$A$2,I1247='סיווג התפקידים והעלויות'!$A$3),'עלויות כח אדם (6)'!H1247='סיווג התפקידים והעלויות'!$C$2,'עלויות כח אדם (6)'!H1247='סיווג התפקידים והעלויות'!$D$2),IF('עלויות כח אדם (6)'!J1247&lt;75,"לא תקין","תקין"),"")</f>
        <v/>
      </c>
      <c r="AE1247" s="374" t="str">
        <f t="shared" si="299"/>
        <v/>
      </c>
      <c r="AF1247" s="532" t="str">
        <f t="shared" si="300"/>
        <v/>
      </c>
    </row>
    <row r="1248" spans="2:32" x14ac:dyDescent="0.25">
      <c r="B1248" s="695"/>
      <c r="C1248" s="197" t="str">
        <f>IF(B1248&lt;&gt;"",IFERROR(VLOOKUP(B:B,'מצבת והרשמה (2)'!$C$20:$N$520,2,0)," ")," ")</f>
        <v xml:space="preserve"> </v>
      </c>
      <c r="D1248" s="695"/>
      <c r="E1248" s="696"/>
      <c r="F1248" s="696"/>
      <c r="G1248" s="696"/>
      <c r="H1248" s="696"/>
      <c r="I1248" s="1050" t="str">
        <f t="shared" si="287"/>
        <v/>
      </c>
      <c r="J1248" s="696"/>
      <c r="K1248" s="697"/>
      <c r="L1248" s="696"/>
      <c r="M1248" s="198" t="str">
        <f t="shared" si="288"/>
        <v/>
      </c>
      <c r="N1248" s="369" t="str">
        <f t="shared" si="289"/>
        <v/>
      </c>
      <c r="O1248" s="183" t="str">
        <f t="shared" si="290"/>
        <v/>
      </c>
      <c r="P1248" s="199" t="str">
        <f t="shared" si="291"/>
        <v/>
      </c>
      <c r="Q1248" s="199" t="str">
        <f>IF(B1248="","",IFERROR(IF('עלויות כח אדם (6)'!J1248&gt;=VLOOKUP(I1248,'סיווג התפקידים והעלויות'!$B$23:$C$32,2,0),"תקין","לא תקין"),""))</f>
        <v/>
      </c>
      <c r="R1248" s="199" t="str">
        <f t="shared" si="292"/>
        <v/>
      </c>
      <c r="S1248" s="199" t="str">
        <f t="shared" si="293"/>
        <v/>
      </c>
      <c r="T1248" s="199" t="str">
        <f t="shared" si="301"/>
        <v/>
      </c>
      <c r="U1248" s="199" t="str">
        <f t="shared" si="294"/>
        <v/>
      </c>
      <c r="V1248" s="989"/>
      <c r="X1248" s="374" t="str">
        <f t="shared" si="295"/>
        <v/>
      </c>
      <c r="Y1248" s="375" t="str">
        <f t="shared" si="296"/>
        <v/>
      </c>
      <c r="Z1248" s="374" t="str">
        <f t="shared" si="297"/>
        <v/>
      </c>
      <c r="AA1248" s="374" t="b">
        <f t="shared" si="298"/>
        <v>1</v>
      </c>
      <c r="AB1248" s="374">
        <f>COUNTIFS(B:B,B1248,H:H,'סיווג התפקידים והעלויות'!$C$2)</f>
        <v>0</v>
      </c>
      <c r="AC1248" s="374">
        <f>COUNTIFS(B:B,B1248,H:H,'סיווג התפקידים והעלויות'!$D$2)</f>
        <v>0</v>
      </c>
      <c r="AD1248" s="374" t="str">
        <f>IF(OR(AND(H1248='סיווג התפקידים והעלויות'!$A$2,I1248='סיווג התפקידים והעלויות'!$A$3),'עלויות כח אדם (6)'!H1248='סיווג התפקידים והעלויות'!$C$2,'עלויות כח אדם (6)'!H1248='סיווג התפקידים והעלויות'!$D$2),IF('עלויות כח אדם (6)'!J1248&lt;75,"לא תקין","תקין"),"")</f>
        <v/>
      </c>
      <c r="AE1248" s="374" t="str">
        <f t="shared" si="299"/>
        <v/>
      </c>
      <c r="AF1248" s="532" t="str">
        <f t="shared" si="300"/>
        <v/>
      </c>
    </row>
    <row r="1249" spans="2:32" x14ac:dyDescent="0.25">
      <c r="B1249" s="695"/>
      <c r="C1249" s="197" t="str">
        <f>IF(B1249&lt;&gt;"",IFERROR(VLOOKUP(B:B,'מצבת והרשמה (2)'!$C$20:$N$520,2,0)," ")," ")</f>
        <v xml:space="preserve"> </v>
      </c>
      <c r="D1249" s="695"/>
      <c r="E1249" s="696"/>
      <c r="F1249" s="696"/>
      <c r="G1249" s="696"/>
      <c r="H1249" s="696"/>
      <c r="I1249" s="1050" t="str">
        <f t="shared" si="287"/>
        <v/>
      </c>
      <c r="J1249" s="696"/>
      <c r="K1249" s="697"/>
      <c r="L1249" s="696"/>
      <c r="M1249" s="198" t="str">
        <f t="shared" si="288"/>
        <v/>
      </c>
      <c r="N1249" s="369" t="str">
        <f t="shared" si="289"/>
        <v/>
      </c>
      <c r="O1249" s="183" t="str">
        <f t="shared" si="290"/>
        <v/>
      </c>
      <c r="P1249" s="199" t="str">
        <f t="shared" si="291"/>
        <v/>
      </c>
      <c r="Q1249" s="199" t="str">
        <f>IF(B1249="","",IFERROR(IF('עלויות כח אדם (6)'!J1249&gt;=VLOOKUP(I1249,'סיווג התפקידים והעלויות'!$B$23:$C$32,2,0),"תקין","לא תקין"),""))</f>
        <v/>
      </c>
      <c r="R1249" s="199" t="str">
        <f t="shared" si="292"/>
        <v/>
      </c>
      <c r="S1249" s="199" t="str">
        <f t="shared" si="293"/>
        <v/>
      </c>
      <c r="T1249" s="199" t="str">
        <f t="shared" si="301"/>
        <v/>
      </c>
      <c r="U1249" s="199" t="str">
        <f t="shared" si="294"/>
        <v/>
      </c>
      <c r="V1249" s="989"/>
      <c r="X1249" s="374" t="str">
        <f t="shared" si="295"/>
        <v/>
      </c>
      <c r="Y1249" s="375" t="str">
        <f t="shared" si="296"/>
        <v/>
      </c>
      <c r="Z1249" s="374" t="str">
        <f t="shared" si="297"/>
        <v/>
      </c>
      <c r="AA1249" s="374" t="b">
        <f t="shared" si="298"/>
        <v>1</v>
      </c>
      <c r="AB1249" s="374">
        <f>COUNTIFS(B:B,B1249,H:H,'סיווג התפקידים והעלויות'!$C$2)</f>
        <v>0</v>
      </c>
      <c r="AC1249" s="374">
        <f>COUNTIFS(B:B,B1249,H:H,'סיווג התפקידים והעלויות'!$D$2)</f>
        <v>0</v>
      </c>
      <c r="AD1249" s="374" t="str">
        <f>IF(OR(AND(H1249='סיווג התפקידים והעלויות'!$A$2,I1249='סיווג התפקידים והעלויות'!$A$3),'עלויות כח אדם (6)'!H1249='סיווג התפקידים והעלויות'!$C$2,'עלויות כח אדם (6)'!H1249='סיווג התפקידים והעלויות'!$D$2),IF('עלויות כח אדם (6)'!J1249&lt;75,"לא תקין","תקין"),"")</f>
        <v/>
      </c>
      <c r="AE1249" s="374" t="str">
        <f t="shared" si="299"/>
        <v/>
      </c>
      <c r="AF1249" s="532" t="str">
        <f t="shared" si="300"/>
        <v/>
      </c>
    </row>
    <row r="1250" spans="2:32" x14ac:dyDescent="0.25">
      <c r="B1250" s="695"/>
      <c r="C1250" s="197" t="str">
        <f>IF(B1250&lt;&gt;"",IFERROR(VLOOKUP(B:B,'מצבת והרשמה (2)'!$C$20:$N$520,2,0)," ")," ")</f>
        <v xml:space="preserve"> </v>
      </c>
      <c r="D1250" s="695"/>
      <c r="E1250" s="696"/>
      <c r="F1250" s="696"/>
      <c r="G1250" s="696"/>
      <c r="H1250" s="696"/>
      <c r="I1250" s="1050" t="str">
        <f t="shared" si="287"/>
        <v/>
      </c>
      <c r="J1250" s="696"/>
      <c r="K1250" s="697"/>
      <c r="L1250" s="696"/>
      <c r="M1250" s="198" t="str">
        <f t="shared" si="288"/>
        <v/>
      </c>
      <c r="N1250" s="369" t="str">
        <f t="shared" si="289"/>
        <v/>
      </c>
      <c r="O1250" s="183" t="str">
        <f t="shared" si="290"/>
        <v/>
      </c>
      <c r="P1250" s="199" t="str">
        <f t="shared" si="291"/>
        <v/>
      </c>
      <c r="Q1250" s="199" t="str">
        <f>IF(B1250="","",IFERROR(IF('עלויות כח אדם (6)'!J1250&gt;=VLOOKUP(I1250,'סיווג התפקידים והעלויות'!$B$23:$C$32,2,0),"תקין","לא תקין"),""))</f>
        <v/>
      </c>
      <c r="R1250" s="199" t="str">
        <f t="shared" si="292"/>
        <v/>
      </c>
      <c r="S1250" s="199" t="str">
        <f t="shared" si="293"/>
        <v/>
      </c>
      <c r="T1250" s="199" t="str">
        <f t="shared" si="301"/>
        <v/>
      </c>
      <c r="U1250" s="199" t="str">
        <f t="shared" si="294"/>
        <v/>
      </c>
      <c r="V1250" s="989"/>
      <c r="X1250" s="374" t="str">
        <f t="shared" si="295"/>
        <v/>
      </c>
      <c r="Y1250" s="375" t="str">
        <f t="shared" si="296"/>
        <v/>
      </c>
      <c r="Z1250" s="374" t="str">
        <f t="shared" si="297"/>
        <v/>
      </c>
      <c r="AA1250" s="374" t="b">
        <f t="shared" si="298"/>
        <v>1</v>
      </c>
      <c r="AB1250" s="374">
        <f>COUNTIFS(B:B,B1250,H:H,'סיווג התפקידים והעלויות'!$C$2)</f>
        <v>0</v>
      </c>
      <c r="AC1250" s="374">
        <f>COUNTIFS(B:B,B1250,H:H,'סיווג התפקידים והעלויות'!$D$2)</f>
        <v>0</v>
      </c>
      <c r="AD1250" s="374" t="str">
        <f>IF(OR(AND(H1250='סיווג התפקידים והעלויות'!$A$2,I1250='סיווג התפקידים והעלויות'!$A$3),'עלויות כח אדם (6)'!H1250='סיווג התפקידים והעלויות'!$C$2,'עלויות כח אדם (6)'!H1250='סיווג התפקידים והעלויות'!$D$2),IF('עלויות כח אדם (6)'!J1250&lt;75,"לא תקין","תקין"),"")</f>
        <v/>
      </c>
      <c r="AE1250" s="374" t="str">
        <f t="shared" si="299"/>
        <v/>
      </c>
      <c r="AF1250" s="532" t="str">
        <f t="shared" si="300"/>
        <v/>
      </c>
    </row>
    <row r="1251" spans="2:32" x14ac:dyDescent="0.25">
      <c r="B1251" s="695"/>
      <c r="C1251" s="197" t="str">
        <f>IF(B1251&lt;&gt;"",IFERROR(VLOOKUP(B:B,'מצבת והרשמה (2)'!$C$20:$N$520,2,0)," ")," ")</f>
        <v xml:space="preserve"> </v>
      </c>
      <c r="D1251" s="695"/>
      <c r="E1251" s="696"/>
      <c r="F1251" s="696"/>
      <c r="G1251" s="696"/>
      <c r="H1251" s="696"/>
      <c r="I1251" s="1050" t="str">
        <f t="shared" si="287"/>
        <v/>
      </c>
      <c r="J1251" s="696"/>
      <c r="K1251" s="697"/>
      <c r="L1251" s="696"/>
      <c r="M1251" s="198" t="str">
        <f t="shared" si="288"/>
        <v/>
      </c>
      <c r="N1251" s="369" t="str">
        <f t="shared" si="289"/>
        <v/>
      </c>
      <c r="O1251" s="183" t="str">
        <f t="shared" si="290"/>
        <v/>
      </c>
      <c r="P1251" s="199" t="str">
        <f t="shared" si="291"/>
        <v/>
      </c>
      <c r="Q1251" s="199" t="str">
        <f>IF(B1251="","",IFERROR(IF('עלויות כח אדם (6)'!J1251&gt;=VLOOKUP(I1251,'סיווג התפקידים והעלויות'!$B$23:$C$32,2,0),"תקין","לא תקין"),""))</f>
        <v/>
      </c>
      <c r="R1251" s="199" t="str">
        <f t="shared" si="292"/>
        <v/>
      </c>
      <c r="S1251" s="199" t="str">
        <f t="shared" si="293"/>
        <v/>
      </c>
      <c r="T1251" s="199" t="str">
        <f t="shared" si="301"/>
        <v/>
      </c>
      <c r="U1251" s="199" t="str">
        <f t="shared" si="294"/>
        <v/>
      </c>
      <c r="V1251" s="989"/>
      <c r="X1251" s="374" t="str">
        <f t="shared" si="295"/>
        <v/>
      </c>
      <c r="Y1251" s="375" t="str">
        <f t="shared" si="296"/>
        <v/>
      </c>
      <c r="Z1251" s="374" t="str">
        <f t="shared" si="297"/>
        <v/>
      </c>
      <c r="AA1251" s="374" t="b">
        <f t="shared" si="298"/>
        <v>1</v>
      </c>
      <c r="AB1251" s="374">
        <f>COUNTIFS(B:B,B1251,H:H,'סיווג התפקידים והעלויות'!$C$2)</f>
        <v>0</v>
      </c>
      <c r="AC1251" s="374">
        <f>COUNTIFS(B:B,B1251,H:H,'סיווג התפקידים והעלויות'!$D$2)</f>
        <v>0</v>
      </c>
      <c r="AD1251" s="374" t="str">
        <f>IF(OR(AND(H1251='סיווג התפקידים והעלויות'!$A$2,I1251='סיווג התפקידים והעלויות'!$A$3),'עלויות כח אדם (6)'!H1251='סיווג התפקידים והעלויות'!$C$2,'עלויות כח אדם (6)'!H1251='סיווג התפקידים והעלויות'!$D$2),IF('עלויות כח אדם (6)'!J1251&lt;75,"לא תקין","תקין"),"")</f>
        <v/>
      </c>
      <c r="AE1251" s="374" t="str">
        <f t="shared" si="299"/>
        <v/>
      </c>
      <c r="AF1251" s="532" t="str">
        <f t="shared" si="300"/>
        <v/>
      </c>
    </row>
    <row r="1252" spans="2:32" x14ac:dyDescent="0.25">
      <c r="B1252" s="695"/>
      <c r="C1252" s="197" t="str">
        <f>IF(B1252&lt;&gt;"",IFERROR(VLOOKUP(B:B,'מצבת והרשמה (2)'!$C$20:$N$520,2,0)," ")," ")</f>
        <v xml:space="preserve"> </v>
      </c>
      <c r="D1252" s="695"/>
      <c r="E1252" s="696"/>
      <c r="F1252" s="696"/>
      <c r="G1252" s="696"/>
      <c r="H1252" s="696"/>
      <c r="I1252" s="1050" t="str">
        <f t="shared" si="287"/>
        <v/>
      </c>
      <c r="J1252" s="696"/>
      <c r="K1252" s="697"/>
      <c r="L1252" s="696"/>
      <c r="M1252" s="198" t="str">
        <f t="shared" si="288"/>
        <v/>
      </c>
      <c r="N1252" s="369" t="str">
        <f t="shared" si="289"/>
        <v/>
      </c>
      <c r="O1252" s="183" t="str">
        <f t="shared" si="290"/>
        <v/>
      </c>
      <c r="P1252" s="199" t="str">
        <f t="shared" si="291"/>
        <v/>
      </c>
      <c r="Q1252" s="199" t="str">
        <f>IF(B1252="","",IFERROR(IF('עלויות כח אדם (6)'!J1252&gt;=VLOOKUP(I1252,'סיווג התפקידים והעלויות'!$B$23:$C$32,2,0),"תקין","לא תקין"),""))</f>
        <v/>
      </c>
      <c r="R1252" s="199" t="str">
        <f t="shared" si="292"/>
        <v/>
      </c>
      <c r="S1252" s="199" t="str">
        <f t="shared" si="293"/>
        <v/>
      </c>
      <c r="T1252" s="199" t="str">
        <f t="shared" si="301"/>
        <v/>
      </c>
      <c r="U1252" s="199" t="str">
        <f t="shared" si="294"/>
        <v/>
      </c>
      <c r="V1252" s="989"/>
      <c r="X1252" s="374" t="str">
        <f t="shared" si="295"/>
        <v/>
      </c>
      <c r="Y1252" s="375" t="str">
        <f t="shared" si="296"/>
        <v/>
      </c>
      <c r="Z1252" s="374" t="str">
        <f t="shared" si="297"/>
        <v/>
      </c>
      <c r="AA1252" s="374" t="b">
        <f t="shared" si="298"/>
        <v>1</v>
      </c>
      <c r="AB1252" s="374">
        <f>COUNTIFS(B:B,B1252,H:H,'סיווג התפקידים והעלויות'!$C$2)</f>
        <v>0</v>
      </c>
      <c r="AC1252" s="374">
        <f>COUNTIFS(B:B,B1252,H:H,'סיווג התפקידים והעלויות'!$D$2)</f>
        <v>0</v>
      </c>
      <c r="AD1252" s="374" t="str">
        <f>IF(OR(AND(H1252='סיווג התפקידים והעלויות'!$A$2,I1252='סיווג התפקידים והעלויות'!$A$3),'עלויות כח אדם (6)'!H1252='סיווג התפקידים והעלויות'!$C$2,'עלויות כח אדם (6)'!H1252='סיווג התפקידים והעלויות'!$D$2),IF('עלויות כח אדם (6)'!J1252&lt;75,"לא תקין","תקין"),"")</f>
        <v/>
      </c>
      <c r="AE1252" s="374" t="str">
        <f t="shared" si="299"/>
        <v/>
      </c>
      <c r="AF1252" s="532" t="str">
        <f t="shared" si="300"/>
        <v/>
      </c>
    </row>
    <row r="1253" spans="2:32" x14ac:dyDescent="0.25">
      <c r="B1253" s="695"/>
      <c r="C1253" s="197" t="str">
        <f>IF(B1253&lt;&gt;"",IFERROR(VLOOKUP(B:B,'מצבת והרשמה (2)'!$C$20:$N$520,2,0)," ")," ")</f>
        <v xml:space="preserve"> </v>
      </c>
      <c r="D1253" s="695"/>
      <c r="E1253" s="696"/>
      <c r="F1253" s="696"/>
      <c r="G1253" s="696"/>
      <c r="H1253" s="696"/>
      <c r="I1253" s="1050" t="str">
        <f t="shared" si="287"/>
        <v/>
      </c>
      <c r="J1253" s="696"/>
      <c r="K1253" s="697"/>
      <c r="L1253" s="696"/>
      <c r="M1253" s="198" t="str">
        <f t="shared" si="288"/>
        <v/>
      </c>
      <c r="N1253" s="369" t="str">
        <f t="shared" si="289"/>
        <v/>
      </c>
      <c r="O1253" s="183" t="str">
        <f t="shared" si="290"/>
        <v/>
      </c>
      <c r="P1253" s="199" t="str">
        <f t="shared" si="291"/>
        <v/>
      </c>
      <c r="Q1253" s="199" t="str">
        <f>IF(B1253="","",IFERROR(IF('עלויות כח אדם (6)'!J1253&gt;=VLOOKUP(I1253,'סיווג התפקידים והעלויות'!$B$23:$C$32,2,0),"תקין","לא תקין"),""))</f>
        <v/>
      </c>
      <c r="R1253" s="199" t="str">
        <f t="shared" si="292"/>
        <v/>
      </c>
      <c r="S1253" s="199" t="str">
        <f t="shared" si="293"/>
        <v/>
      </c>
      <c r="T1253" s="199" t="str">
        <f t="shared" si="301"/>
        <v/>
      </c>
      <c r="U1253" s="199" t="str">
        <f t="shared" si="294"/>
        <v/>
      </c>
      <c r="V1253" s="989"/>
      <c r="X1253" s="374" t="str">
        <f t="shared" si="295"/>
        <v/>
      </c>
      <c r="Y1253" s="375" t="str">
        <f t="shared" si="296"/>
        <v/>
      </c>
      <c r="Z1253" s="374" t="str">
        <f t="shared" si="297"/>
        <v/>
      </c>
      <c r="AA1253" s="374" t="b">
        <f t="shared" si="298"/>
        <v>1</v>
      </c>
      <c r="AB1253" s="374">
        <f>COUNTIFS(B:B,B1253,H:H,'סיווג התפקידים והעלויות'!$C$2)</f>
        <v>0</v>
      </c>
      <c r="AC1253" s="374">
        <f>COUNTIFS(B:B,B1253,H:H,'סיווג התפקידים והעלויות'!$D$2)</f>
        <v>0</v>
      </c>
      <c r="AD1253" s="374" t="str">
        <f>IF(OR(AND(H1253='סיווג התפקידים והעלויות'!$A$2,I1253='סיווג התפקידים והעלויות'!$A$3),'עלויות כח אדם (6)'!H1253='סיווג התפקידים והעלויות'!$C$2,'עלויות כח אדם (6)'!H1253='סיווג התפקידים והעלויות'!$D$2),IF('עלויות כח אדם (6)'!J1253&lt;75,"לא תקין","תקין"),"")</f>
        <v/>
      </c>
      <c r="AE1253" s="374" t="str">
        <f t="shared" si="299"/>
        <v/>
      </c>
      <c r="AF1253" s="532" t="str">
        <f t="shared" si="300"/>
        <v/>
      </c>
    </row>
    <row r="1254" spans="2:32" x14ac:dyDescent="0.25">
      <c r="B1254" s="695"/>
      <c r="C1254" s="197" t="str">
        <f>IF(B1254&lt;&gt;"",IFERROR(VLOOKUP(B:B,'מצבת והרשמה (2)'!$C$20:$N$520,2,0)," ")," ")</f>
        <v xml:space="preserve"> </v>
      </c>
      <c r="D1254" s="695"/>
      <c r="E1254" s="696"/>
      <c r="F1254" s="696"/>
      <c r="G1254" s="696"/>
      <c r="H1254" s="696"/>
      <c r="I1254" s="1050" t="str">
        <f t="shared" si="287"/>
        <v/>
      </c>
      <c r="J1254" s="696"/>
      <c r="K1254" s="697"/>
      <c r="L1254" s="696"/>
      <c r="M1254" s="198" t="str">
        <f t="shared" si="288"/>
        <v/>
      </c>
      <c r="N1254" s="369" t="str">
        <f t="shared" si="289"/>
        <v/>
      </c>
      <c r="O1254" s="183" t="str">
        <f t="shared" si="290"/>
        <v/>
      </c>
      <c r="P1254" s="199" t="str">
        <f t="shared" si="291"/>
        <v/>
      </c>
      <c r="Q1254" s="199" t="str">
        <f>IF(B1254="","",IFERROR(IF('עלויות כח אדם (6)'!J1254&gt;=VLOOKUP(I1254,'סיווג התפקידים והעלויות'!$B$23:$C$32,2,0),"תקין","לא תקין"),""))</f>
        <v/>
      </c>
      <c r="R1254" s="199" t="str">
        <f t="shared" si="292"/>
        <v/>
      </c>
      <c r="S1254" s="199" t="str">
        <f t="shared" si="293"/>
        <v/>
      </c>
      <c r="T1254" s="199" t="str">
        <f t="shared" si="301"/>
        <v/>
      </c>
      <c r="U1254" s="199" t="str">
        <f t="shared" si="294"/>
        <v/>
      </c>
      <c r="V1254" s="989"/>
      <c r="X1254" s="374" t="str">
        <f t="shared" si="295"/>
        <v/>
      </c>
      <c r="Y1254" s="375" t="str">
        <f t="shared" si="296"/>
        <v/>
      </c>
      <c r="Z1254" s="374" t="str">
        <f t="shared" si="297"/>
        <v/>
      </c>
      <c r="AA1254" s="374" t="b">
        <f t="shared" si="298"/>
        <v>1</v>
      </c>
      <c r="AB1254" s="374">
        <f>COUNTIFS(B:B,B1254,H:H,'סיווג התפקידים והעלויות'!$C$2)</f>
        <v>0</v>
      </c>
      <c r="AC1254" s="374">
        <f>COUNTIFS(B:B,B1254,H:H,'סיווג התפקידים והעלויות'!$D$2)</f>
        <v>0</v>
      </c>
      <c r="AD1254" s="374" t="str">
        <f>IF(OR(AND(H1254='סיווג התפקידים והעלויות'!$A$2,I1254='סיווג התפקידים והעלויות'!$A$3),'עלויות כח אדם (6)'!H1254='סיווג התפקידים והעלויות'!$C$2,'עלויות כח אדם (6)'!H1254='סיווג התפקידים והעלויות'!$D$2),IF('עלויות כח אדם (6)'!J1254&lt;75,"לא תקין","תקין"),"")</f>
        <v/>
      </c>
      <c r="AE1254" s="374" t="str">
        <f t="shared" si="299"/>
        <v/>
      </c>
      <c r="AF1254" s="532" t="str">
        <f t="shared" si="300"/>
        <v/>
      </c>
    </row>
    <row r="1255" spans="2:32" x14ac:dyDescent="0.25">
      <c r="B1255" s="695"/>
      <c r="C1255" s="197" t="str">
        <f>IF(B1255&lt;&gt;"",IFERROR(VLOOKUP(B:B,'מצבת והרשמה (2)'!$C$20:$N$520,2,0)," ")," ")</f>
        <v xml:space="preserve"> </v>
      </c>
      <c r="D1255" s="695"/>
      <c r="E1255" s="696"/>
      <c r="F1255" s="696"/>
      <c r="G1255" s="696"/>
      <c r="H1255" s="696"/>
      <c r="I1255" s="1050" t="str">
        <f t="shared" si="287"/>
        <v/>
      </c>
      <c r="J1255" s="696"/>
      <c r="K1255" s="697"/>
      <c r="L1255" s="696"/>
      <c r="M1255" s="198" t="str">
        <f t="shared" si="288"/>
        <v/>
      </c>
      <c r="N1255" s="369" t="str">
        <f t="shared" si="289"/>
        <v/>
      </c>
      <c r="O1255" s="183" t="str">
        <f t="shared" si="290"/>
        <v/>
      </c>
      <c r="P1255" s="199" t="str">
        <f t="shared" si="291"/>
        <v/>
      </c>
      <c r="Q1255" s="199" t="str">
        <f>IF(B1255="","",IFERROR(IF('עלויות כח אדם (6)'!J1255&gt;=VLOOKUP(I1255,'סיווג התפקידים והעלויות'!$B$23:$C$32,2,0),"תקין","לא תקין"),""))</f>
        <v/>
      </c>
      <c r="R1255" s="199" t="str">
        <f t="shared" si="292"/>
        <v/>
      </c>
      <c r="S1255" s="199" t="str">
        <f t="shared" si="293"/>
        <v/>
      </c>
      <c r="T1255" s="199" t="str">
        <f t="shared" si="301"/>
        <v/>
      </c>
      <c r="U1255" s="199" t="str">
        <f t="shared" si="294"/>
        <v/>
      </c>
      <c r="V1255" s="989"/>
      <c r="X1255" s="374" t="str">
        <f t="shared" si="295"/>
        <v/>
      </c>
      <c r="Y1255" s="375" t="str">
        <f t="shared" si="296"/>
        <v/>
      </c>
      <c r="Z1255" s="374" t="str">
        <f t="shared" si="297"/>
        <v/>
      </c>
      <c r="AA1255" s="374" t="b">
        <f t="shared" si="298"/>
        <v>1</v>
      </c>
      <c r="AB1255" s="374">
        <f>COUNTIFS(B:B,B1255,H:H,'סיווג התפקידים והעלויות'!$C$2)</f>
        <v>0</v>
      </c>
      <c r="AC1255" s="374">
        <f>COUNTIFS(B:B,B1255,H:H,'סיווג התפקידים והעלויות'!$D$2)</f>
        <v>0</v>
      </c>
      <c r="AD1255" s="374" t="str">
        <f>IF(OR(AND(H1255='סיווג התפקידים והעלויות'!$A$2,I1255='סיווג התפקידים והעלויות'!$A$3),'עלויות כח אדם (6)'!H1255='סיווג התפקידים והעלויות'!$C$2,'עלויות כח אדם (6)'!H1255='סיווג התפקידים והעלויות'!$D$2),IF('עלויות כח אדם (6)'!J1255&lt;75,"לא תקין","תקין"),"")</f>
        <v/>
      </c>
      <c r="AE1255" s="374" t="str">
        <f t="shared" si="299"/>
        <v/>
      </c>
      <c r="AF1255" s="532" t="str">
        <f t="shared" si="300"/>
        <v/>
      </c>
    </row>
    <row r="1256" spans="2:32" x14ac:dyDescent="0.25">
      <c r="B1256" s="695"/>
      <c r="C1256" s="197" t="str">
        <f>IF(B1256&lt;&gt;"",IFERROR(VLOOKUP(B:B,'מצבת והרשמה (2)'!$C$20:$N$520,2,0)," ")," ")</f>
        <v xml:space="preserve"> </v>
      </c>
      <c r="D1256" s="695"/>
      <c r="E1256" s="696"/>
      <c r="F1256" s="696"/>
      <c r="G1256" s="696"/>
      <c r="H1256" s="696"/>
      <c r="I1256" s="1050" t="str">
        <f t="shared" si="287"/>
        <v/>
      </c>
      <c r="J1256" s="696"/>
      <c r="K1256" s="697"/>
      <c r="L1256" s="696"/>
      <c r="M1256" s="198" t="str">
        <f t="shared" si="288"/>
        <v/>
      </c>
      <c r="N1256" s="369" t="str">
        <f t="shared" si="289"/>
        <v/>
      </c>
      <c r="O1256" s="183" t="str">
        <f t="shared" si="290"/>
        <v/>
      </c>
      <c r="P1256" s="199" t="str">
        <f t="shared" si="291"/>
        <v/>
      </c>
      <c r="Q1256" s="199" t="str">
        <f>IF(B1256="","",IFERROR(IF('עלויות כח אדם (6)'!J1256&gt;=VLOOKUP(I1256,'סיווג התפקידים והעלויות'!$B$23:$C$32,2,0),"תקין","לא תקין"),""))</f>
        <v/>
      </c>
      <c r="R1256" s="199" t="str">
        <f t="shared" si="292"/>
        <v/>
      </c>
      <c r="S1256" s="199" t="str">
        <f t="shared" si="293"/>
        <v/>
      </c>
      <c r="T1256" s="199" t="str">
        <f t="shared" si="301"/>
        <v/>
      </c>
      <c r="U1256" s="199" t="str">
        <f t="shared" si="294"/>
        <v/>
      </c>
      <c r="V1256" s="989"/>
      <c r="X1256" s="374" t="str">
        <f t="shared" si="295"/>
        <v/>
      </c>
      <c r="Y1256" s="375" t="str">
        <f t="shared" si="296"/>
        <v/>
      </c>
      <c r="Z1256" s="374" t="str">
        <f t="shared" si="297"/>
        <v/>
      </c>
      <c r="AA1256" s="374" t="b">
        <f t="shared" si="298"/>
        <v>1</v>
      </c>
      <c r="AB1256" s="374">
        <f>COUNTIFS(B:B,B1256,H:H,'סיווג התפקידים והעלויות'!$C$2)</f>
        <v>0</v>
      </c>
      <c r="AC1256" s="374">
        <f>COUNTIFS(B:B,B1256,H:H,'סיווג התפקידים והעלויות'!$D$2)</f>
        <v>0</v>
      </c>
      <c r="AD1256" s="374" t="str">
        <f>IF(OR(AND(H1256='סיווג התפקידים והעלויות'!$A$2,I1256='סיווג התפקידים והעלויות'!$A$3),'עלויות כח אדם (6)'!H1256='סיווג התפקידים והעלויות'!$C$2,'עלויות כח אדם (6)'!H1256='סיווג התפקידים והעלויות'!$D$2),IF('עלויות כח אדם (6)'!J1256&lt;75,"לא תקין","תקין"),"")</f>
        <v/>
      </c>
      <c r="AE1256" s="374" t="str">
        <f t="shared" si="299"/>
        <v/>
      </c>
      <c r="AF1256" s="532" t="str">
        <f t="shared" si="300"/>
        <v/>
      </c>
    </row>
    <row r="1257" spans="2:32" x14ac:dyDescent="0.25">
      <c r="B1257" s="695"/>
      <c r="C1257" s="197" t="str">
        <f>IF(B1257&lt;&gt;"",IFERROR(VLOOKUP(B:B,'מצבת והרשמה (2)'!$C$20:$N$520,2,0)," ")," ")</f>
        <v xml:space="preserve"> </v>
      </c>
      <c r="D1257" s="695"/>
      <c r="E1257" s="696"/>
      <c r="F1257" s="696"/>
      <c r="G1257" s="696"/>
      <c r="H1257" s="696"/>
      <c r="I1257" s="1050" t="str">
        <f t="shared" si="287"/>
        <v/>
      </c>
      <c r="J1257" s="696"/>
      <c r="K1257" s="697"/>
      <c r="L1257" s="696"/>
      <c r="M1257" s="198" t="str">
        <f t="shared" si="288"/>
        <v/>
      </c>
      <c r="N1257" s="369" t="str">
        <f t="shared" si="289"/>
        <v/>
      </c>
      <c r="O1257" s="183" t="str">
        <f t="shared" si="290"/>
        <v/>
      </c>
      <c r="P1257" s="199" t="str">
        <f t="shared" si="291"/>
        <v/>
      </c>
      <c r="Q1257" s="199" t="str">
        <f>IF(B1257="","",IFERROR(IF('עלויות כח אדם (6)'!J1257&gt;=VLOOKUP(I1257,'סיווג התפקידים והעלויות'!$B$23:$C$32,2,0),"תקין","לא תקין"),""))</f>
        <v/>
      </c>
      <c r="R1257" s="199" t="str">
        <f t="shared" si="292"/>
        <v/>
      </c>
      <c r="S1257" s="199" t="str">
        <f t="shared" si="293"/>
        <v/>
      </c>
      <c r="T1257" s="199" t="str">
        <f t="shared" si="301"/>
        <v/>
      </c>
      <c r="U1257" s="199" t="str">
        <f t="shared" si="294"/>
        <v/>
      </c>
      <c r="V1257" s="989"/>
      <c r="X1257" s="374" t="str">
        <f t="shared" si="295"/>
        <v/>
      </c>
      <c r="Y1257" s="375" t="str">
        <f t="shared" si="296"/>
        <v/>
      </c>
      <c r="Z1257" s="374" t="str">
        <f t="shared" si="297"/>
        <v/>
      </c>
      <c r="AA1257" s="374" t="b">
        <f t="shared" si="298"/>
        <v>1</v>
      </c>
      <c r="AB1257" s="374">
        <f>COUNTIFS(B:B,B1257,H:H,'סיווג התפקידים והעלויות'!$C$2)</f>
        <v>0</v>
      </c>
      <c r="AC1257" s="374">
        <f>COUNTIFS(B:B,B1257,H:H,'סיווג התפקידים והעלויות'!$D$2)</f>
        <v>0</v>
      </c>
      <c r="AD1257" s="374" t="str">
        <f>IF(OR(AND(H1257='סיווג התפקידים והעלויות'!$A$2,I1257='סיווג התפקידים והעלויות'!$A$3),'עלויות כח אדם (6)'!H1257='סיווג התפקידים והעלויות'!$C$2,'עלויות כח אדם (6)'!H1257='סיווג התפקידים והעלויות'!$D$2),IF('עלויות כח אדם (6)'!J1257&lt;75,"לא תקין","תקין"),"")</f>
        <v/>
      </c>
      <c r="AE1257" s="374" t="str">
        <f t="shared" si="299"/>
        <v/>
      </c>
      <c r="AF1257" s="532" t="str">
        <f t="shared" si="300"/>
        <v/>
      </c>
    </row>
    <row r="1258" spans="2:32" x14ac:dyDescent="0.25">
      <c r="B1258" s="695"/>
      <c r="C1258" s="197" t="str">
        <f>IF(B1258&lt;&gt;"",IFERROR(VLOOKUP(B:B,'מצבת והרשמה (2)'!$C$20:$N$520,2,0)," ")," ")</f>
        <v xml:space="preserve"> </v>
      </c>
      <c r="D1258" s="695"/>
      <c r="E1258" s="696"/>
      <c r="F1258" s="696"/>
      <c r="G1258" s="696"/>
      <c r="H1258" s="696"/>
      <c r="I1258" s="1050" t="str">
        <f t="shared" si="287"/>
        <v/>
      </c>
      <c r="J1258" s="696"/>
      <c r="K1258" s="697"/>
      <c r="L1258" s="696"/>
      <c r="M1258" s="198" t="str">
        <f t="shared" si="288"/>
        <v/>
      </c>
      <c r="N1258" s="369" t="str">
        <f t="shared" si="289"/>
        <v/>
      </c>
      <c r="O1258" s="183" t="str">
        <f t="shared" si="290"/>
        <v/>
      </c>
      <c r="P1258" s="199" t="str">
        <f t="shared" si="291"/>
        <v/>
      </c>
      <c r="Q1258" s="199" t="str">
        <f>IF(B1258="","",IFERROR(IF('עלויות כח אדם (6)'!J1258&gt;=VLOOKUP(I1258,'סיווג התפקידים והעלויות'!$B$23:$C$32,2,0),"תקין","לא תקין"),""))</f>
        <v/>
      </c>
      <c r="R1258" s="199" t="str">
        <f t="shared" si="292"/>
        <v/>
      </c>
      <c r="S1258" s="199" t="str">
        <f t="shared" si="293"/>
        <v/>
      </c>
      <c r="T1258" s="199" t="str">
        <f t="shared" si="301"/>
        <v/>
      </c>
      <c r="U1258" s="199" t="str">
        <f t="shared" si="294"/>
        <v/>
      </c>
      <c r="V1258" s="989"/>
      <c r="X1258" s="374" t="str">
        <f t="shared" si="295"/>
        <v/>
      </c>
      <c r="Y1258" s="375" t="str">
        <f t="shared" si="296"/>
        <v/>
      </c>
      <c r="Z1258" s="374" t="str">
        <f t="shared" si="297"/>
        <v/>
      </c>
      <c r="AA1258" s="374" t="b">
        <f t="shared" si="298"/>
        <v>1</v>
      </c>
      <c r="AB1258" s="374">
        <f>COUNTIFS(B:B,B1258,H:H,'סיווג התפקידים והעלויות'!$C$2)</f>
        <v>0</v>
      </c>
      <c r="AC1258" s="374">
        <f>COUNTIFS(B:B,B1258,H:H,'סיווג התפקידים והעלויות'!$D$2)</f>
        <v>0</v>
      </c>
      <c r="AD1258" s="374" t="str">
        <f>IF(OR(AND(H1258='סיווג התפקידים והעלויות'!$A$2,I1258='סיווג התפקידים והעלויות'!$A$3),'עלויות כח אדם (6)'!H1258='סיווג התפקידים והעלויות'!$C$2,'עלויות כח אדם (6)'!H1258='סיווג התפקידים והעלויות'!$D$2),IF('עלויות כח אדם (6)'!J1258&lt;75,"לא תקין","תקין"),"")</f>
        <v/>
      </c>
      <c r="AE1258" s="374" t="str">
        <f t="shared" si="299"/>
        <v/>
      </c>
      <c r="AF1258" s="532" t="str">
        <f t="shared" si="300"/>
        <v/>
      </c>
    </row>
    <row r="1259" spans="2:32" x14ac:dyDescent="0.25">
      <c r="B1259" s="695"/>
      <c r="C1259" s="197" t="str">
        <f>IF(B1259&lt;&gt;"",IFERROR(VLOOKUP(B:B,'מצבת והרשמה (2)'!$C$20:$N$520,2,0)," ")," ")</f>
        <v xml:space="preserve"> </v>
      </c>
      <c r="D1259" s="695"/>
      <c r="E1259" s="696"/>
      <c r="F1259" s="696"/>
      <c r="G1259" s="696"/>
      <c r="H1259" s="696"/>
      <c r="I1259" s="1050" t="str">
        <f t="shared" si="287"/>
        <v/>
      </c>
      <c r="J1259" s="696"/>
      <c r="K1259" s="697"/>
      <c r="L1259" s="696"/>
      <c r="M1259" s="198" t="str">
        <f t="shared" si="288"/>
        <v/>
      </c>
      <c r="N1259" s="369" t="str">
        <f t="shared" si="289"/>
        <v/>
      </c>
      <c r="O1259" s="183" t="str">
        <f t="shared" si="290"/>
        <v/>
      </c>
      <c r="P1259" s="199" t="str">
        <f t="shared" si="291"/>
        <v/>
      </c>
      <c r="Q1259" s="199" t="str">
        <f>IF(B1259="","",IFERROR(IF('עלויות כח אדם (6)'!J1259&gt;=VLOOKUP(I1259,'סיווג התפקידים והעלויות'!$B$23:$C$32,2,0),"תקין","לא תקין"),""))</f>
        <v/>
      </c>
      <c r="R1259" s="199" t="str">
        <f t="shared" si="292"/>
        <v/>
      </c>
      <c r="S1259" s="199" t="str">
        <f t="shared" si="293"/>
        <v/>
      </c>
      <c r="T1259" s="199" t="str">
        <f t="shared" si="301"/>
        <v/>
      </c>
      <c r="U1259" s="199" t="str">
        <f t="shared" si="294"/>
        <v/>
      </c>
      <c r="V1259" s="989"/>
      <c r="X1259" s="374" t="str">
        <f t="shared" si="295"/>
        <v/>
      </c>
      <c r="Y1259" s="375" t="str">
        <f t="shared" si="296"/>
        <v/>
      </c>
      <c r="Z1259" s="374" t="str">
        <f t="shared" si="297"/>
        <v/>
      </c>
      <c r="AA1259" s="374" t="b">
        <f t="shared" si="298"/>
        <v>1</v>
      </c>
      <c r="AB1259" s="374">
        <f>COUNTIFS(B:B,B1259,H:H,'סיווג התפקידים והעלויות'!$C$2)</f>
        <v>0</v>
      </c>
      <c r="AC1259" s="374">
        <f>COUNTIFS(B:B,B1259,H:H,'סיווג התפקידים והעלויות'!$D$2)</f>
        <v>0</v>
      </c>
      <c r="AD1259" s="374" t="str">
        <f>IF(OR(AND(H1259='סיווג התפקידים והעלויות'!$A$2,I1259='סיווג התפקידים והעלויות'!$A$3),'עלויות כח אדם (6)'!H1259='סיווג התפקידים והעלויות'!$C$2,'עלויות כח אדם (6)'!H1259='סיווג התפקידים והעלויות'!$D$2),IF('עלויות כח אדם (6)'!J1259&lt;75,"לא תקין","תקין"),"")</f>
        <v/>
      </c>
      <c r="AE1259" s="374" t="str">
        <f t="shared" si="299"/>
        <v/>
      </c>
      <c r="AF1259" s="532" t="str">
        <f t="shared" si="300"/>
        <v/>
      </c>
    </row>
    <row r="1260" spans="2:32" x14ac:dyDescent="0.25">
      <c r="B1260" s="695"/>
      <c r="C1260" s="197" t="str">
        <f>IF(B1260&lt;&gt;"",IFERROR(VLOOKUP(B:B,'מצבת והרשמה (2)'!$C$20:$N$520,2,0)," ")," ")</f>
        <v xml:space="preserve"> </v>
      </c>
      <c r="D1260" s="695"/>
      <c r="E1260" s="696"/>
      <c r="F1260" s="696"/>
      <c r="G1260" s="696"/>
      <c r="H1260" s="696"/>
      <c r="I1260" s="1050" t="str">
        <f t="shared" si="287"/>
        <v/>
      </c>
      <c r="J1260" s="696"/>
      <c r="K1260" s="697"/>
      <c r="L1260" s="696"/>
      <c r="M1260" s="198" t="str">
        <f t="shared" si="288"/>
        <v/>
      </c>
      <c r="N1260" s="369" t="str">
        <f t="shared" si="289"/>
        <v/>
      </c>
      <c r="O1260" s="183" t="str">
        <f t="shared" si="290"/>
        <v/>
      </c>
      <c r="P1260" s="199" t="str">
        <f t="shared" si="291"/>
        <v/>
      </c>
      <c r="Q1260" s="199" t="str">
        <f>IF(B1260="","",IFERROR(IF('עלויות כח אדם (6)'!J1260&gt;=VLOOKUP(I1260,'סיווג התפקידים והעלויות'!$B$23:$C$32,2,0),"תקין","לא תקין"),""))</f>
        <v/>
      </c>
      <c r="R1260" s="199" t="str">
        <f t="shared" si="292"/>
        <v/>
      </c>
      <c r="S1260" s="199" t="str">
        <f t="shared" si="293"/>
        <v/>
      </c>
      <c r="T1260" s="199" t="str">
        <f t="shared" si="301"/>
        <v/>
      </c>
      <c r="U1260" s="199" t="str">
        <f t="shared" si="294"/>
        <v/>
      </c>
      <c r="V1260" s="989"/>
      <c r="X1260" s="374" t="str">
        <f t="shared" si="295"/>
        <v/>
      </c>
      <c r="Y1260" s="375" t="str">
        <f t="shared" si="296"/>
        <v/>
      </c>
      <c r="Z1260" s="374" t="str">
        <f t="shared" si="297"/>
        <v/>
      </c>
      <c r="AA1260" s="374" t="b">
        <f t="shared" si="298"/>
        <v>1</v>
      </c>
      <c r="AB1260" s="374">
        <f>COUNTIFS(B:B,B1260,H:H,'סיווג התפקידים והעלויות'!$C$2)</f>
        <v>0</v>
      </c>
      <c r="AC1260" s="374">
        <f>COUNTIFS(B:B,B1260,H:H,'סיווג התפקידים והעלויות'!$D$2)</f>
        <v>0</v>
      </c>
      <c r="AD1260" s="374" t="str">
        <f>IF(OR(AND(H1260='סיווג התפקידים והעלויות'!$A$2,I1260='סיווג התפקידים והעלויות'!$A$3),'עלויות כח אדם (6)'!H1260='סיווג התפקידים והעלויות'!$C$2,'עלויות כח אדם (6)'!H1260='סיווג התפקידים והעלויות'!$D$2),IF('עלויות כח אדם (6)'!J1260&lt;75,"לא תקין","תקין"),"")</f>
        <v/>
      </c>
      <c r="AE1260" s="374" t="str">
        <f t="shared" si="299"/>
        <v/>
      </c>
      <c r="AF1260" s="532" t="str">
        <f t="shared" si="300"/>
        <v/>
      </c>
    </row>
    <row r="1261" spans="2:32" x14ac:dyDescent="0.25">
      <c r="B1261" s="695"/>
      <c r="C1261" s="197" t="str">
        <f>IF(B1261&lt;&gt;"",IFERROR(VLOOKUP(B:B,'מצבת והרשמה (2)'!$C$20:$N$520,2,0)," ")," ")</f>
        <v xml:space="preserve"> </v>
      </c>
      <c r="D1261" s="695"/>
      <c r="E1261" s="696"/>
      <c r="F1261" s="696"/>
      <c r="G1261" s="696"/>
      <c r="H1261" s="696"/>
      <c r="I1261" s="1050" t="str">
        <f t="shared" si="287"/>
        <v/>
      </c>
      <c r="J1261" s="696"/>
      <c r="K1261" s="697"/>
      <c r="L1261" s="696"/>
      <c r="M1261" s="198" t="str">
        <f t="shared" si="288"/>
        <v/>
      </c>
      <c r="N1261" s="369" t="str">
        <f t="shared" si="289"/>
        <v/>
      </c>
      <c r="O1261" s="183" t="str">
        <f t="shared" si="290"/>
        <v/>
      </c>
      <c r="P1261" s="199" t="str">
        <f t="shared" si="291"/>
        <v/>
      </c>
      <c r="Q1261" s="199" t="str">
        <f>IF(B1261="","",IFERROR(IF('עלויות כח אדם (6)'!J1261&gt;=VLOOKUP(I1261,'סיווג התפקידים והעלויות'!$B$23:$C$32,2,0),"תקין","לא תקין"),""))</f>
        <v/>
      </c>
      <c r="R1261" s="199" t="str">
        <f t="shared" si="292"/>
        <v/>
      </c>
      <c r="S1261" s="199" t="str">
        <f t="shared" si="293"/>
        <v/>
      </c>
      <c r="T1261" s="199" t="str">
        <f t="shared" si="301"/>
        <v/>
      </c>
      <c r="U1261" s="199" t="str">
        <f t="shared" si="294"/>
        <v/>
      </c>
      <c r="V1261" s="989"/>
      <c r="X1261" s="374" t="str">
        <f t="shared" si="295"/>
        <v/>
      </c>
      <c r="Y1261" s="375" t="str">
        <f t="shared" si="296"/>
        <v/>
      </c>
      <c r="Z1261" s="374" t="str">
        <f t="shared" si="297"/>
        <v/>
      </c>
      <c r="AA1261" s="374" t="b">
        <f t="shared" si="298"/>
        <v>1</v>
      </c>
      <c r="AB1261" s="374">
        <f>COUNTIFS(B:B,B1261,H:H,'סיווג התפקידים והעלויות'!$C$2)</f>
        <v>0</v>
      </c>
      <c r="AC1261" s="374">
        <f>COUNTIFS(B:B,B1261,H:H,'סיווג התפקידים והעלויות'!$D$2)</f>
        <v>0</v>
      </c>
      <c r="AD1261" s="374" t="str">
        <f>IF(OR(AND(H1261='סיווג התפקידים והעלויות'!$A$2,I1261='סיווג התפקידים והעלויות'!$A$3),'עלויות כח אדם (6)'!H1261='סיווג התפקידים והעלויות'!$C$2,'עלויות כח אדם (6)'!H1261='סיווג התפקידים והעלויות'!$D$2),IF('עלויות כח אדם (6)'!J1261&lt;75,"לא תקין","תקין"),"")</f>
        <v/>
      </c>
      <c r="AE1261" s="374" t="str">
        <f t="shared" si="299"/>
        <v/>
      </c>
      <c r="AF1261" s="532" t="str">
        <f t="shared" si="300"/>
        <v/>
      </c>
    </row>
    <row r="1262" spans="2:32" x14ac:dyDescent="0.25">
      <c r="B1262" s="695"/>
      <c r="C1262" s="197" t="str">
        <f>IF(B1262&lt;&gt;"",IFERROR(VLOOKUP(B:B,'מצבת והרשמה (2)'!$C$20:$N$520,2,0)," ")," ")</f>
        <v xml:space="preserve"> </v>
      </c>
      <c r="D1262" s="695"/>
      <c r="E1262" s="696"/>
      <c r="F1262" s="696"/>
      <c r="G1262" s="696"/>
      <c r="H1262" s="696"/>
      <c r="I1262" s="1050" t="str">
        <f t="shared" si="287"/>
        <v/>
      </c>
      <c r="J1262" s="696"/>
      <c r="K1262" s="697"/>
      <c r="L1262" s="696"/>
      <c r="M1262" s="198" t="str">
        <f t="shared" si="288"/>
        <v/>
      </c>
      <c r="N1262" s="369" t="str">
        <f t="shared" si="289"/>
        <v/>
      </c>
      <c r="O1262" s="183" t="str">
        <f t="shared" si="290"/>
        <v/>
      </c>
      <c r="P1262" s="199" t="str">
        <f t="shared" si="291"/>
        <v/>
      </c>
      <c r="Q1262" s="199" t="str">
        <f>IF(B1262="","",IFERROR(IF('עלויות כח אדם (6)'!J1262&gt;=VLOOKUP(I1262,'סיווג התפקידים והעלויות'!$B$23:$C$32,2,0),"תקין","לא תקין"),""))</f>
        <v/>
      </c>
      <c r="R1262" s="199" t="str">
        <f t="shared" si="292"/>
        <v/>
      </c>
      <c r="S1262" s="199" t="str">
        <f t="shared" si="293"/>
        <v/>
      </c>
      <c r="T1262" s="199" t="str">
        <f t="shared" si="301"/>
        <v/>
      </c>
      <c r="U1262" s="199" t="str">
        <f t="shared" si="294"/>
        <v/>
      </c>
      <c r="V1262" s="989"/>
      <c r="X1262" s="374" t="str">
        <f t="shared" si="295"/>
        <v/>
      </c>
      <c r="Y1262" s="375" t="str">
        <f t="shared" si="296"/>
        <v/>
      </c>
      <c r="Z1262" s="374" t="str">
        <f t="shared" si="297"/>
        <v/>
      </c>
      <c r="AA1262" s="374" t="b">
        <f t="shared" si="298"/>
        <v>1</v>
      </c>
      <c r="AB1262" s="374">
        <f>COUNTIFS(B:B,B1262,H:H,'סיווג התפקידים והעלויות'!$C$2)</f>
        <v>0</v>
      </c>
      <c r="AC1262" s="374">
        <f>COUNTIFS(B:B,B1262,H:H,'סיווג התפקידים והעלויות'!$D$2)</f>
        <v>0</v>
      </c>
      <c r="AD1262" s="374" t="str">
        <f>IF(OR(AND(H1262='סיווג התפקידים והעלויות'!$A$2,I1262='סיווג התפקידים והעלויות'!$A$3),'עלויות כח אדם (6)'!H1262='סיווג התפקידים והעלויות'!$C$2,'עלויות כח אדם (6)'!H1262='סיווג התפקידים והעלויות'!$D$2),IF('עלויות כח אדם (6)'!J1262&lt;75,"לא תקין","תקין"),"")</f>
        <v/>
      </c>
      <c r="AE1262" s="374" t="str">
        <f t="shared" si="299"/>
        <v/>
      </c>
      <c r="AF1262" s="532" t="str">
        <f t="shared" si="300"/>
        <v/>
      </c>
    </row>
    <row r="1263" spans="2:32" x14ac:dyDescent="0.25">
      <c r="B1263" s="695"/>
      <c r="C1263" s="197" t="str">
        <f>IF(B1263&lt;&gt;"",IFERROR(VLOOKUP(B:B,'מצבת והרשמה (2)'!$C$20:$N$520,2,0)," ")," ")</f>
        <v xml:space="preserve"> </v>
      </c>
      <c r="D1263" s="695"/>
      <c r="E1263" s="696"/>
      <c r="F1263" s="696"/>
      <c r="G1263" s="696"/>
      <c r="H1263" s="696"/>
      <c r="I1263" s="1050" t="str">
        <f t="shared" si="287"/>
        <v/>
      </c>
      <c r="J1263" s="696"/>
      <c r="K1263" s="697"/>
      <c r="L1263" s="696"/>
      <c r="M1263" s="198" t="str">
        <f t="shared" si="288"/>
        <v/>
      </c>
      <c r="N1263" s="369" t="str">
        <f t="shared" si="289"/>
        <v/>
      </c>
      <c r="O1263" s="183" t="str">
        <f t="shared" si="290"/>
        <v/>
      </c>
      <c r="P1263" s="199" t="str">
        <f t="shared" si="291"/>
        <v/>
      </c>
      <c r="Q1263" s="199" t="str">
        <f>IF(B1263="","",IFERROR(IF('עלויות כח אדם (6)'!J1263&gt;=VLOOKUP(I1263,'סיווג התפקידים והעלויות'!$B$23:$C$32,2,0),"תקין","לא תקין"),""))</f>
        <v/>
      </c>
      <c r="R1263" s="199" t="str">
        <f t="shared" si="292"/>
        <v/>
      </c>
      <c r="S1263" s="199" t="str">
        <f t="shared" si="293"/>
        <v/>
      </c>
      <c r="T1263" s="199" t="str">
        <f t="shared" si="301"/>
        <v/>
      </c>
      <c r="U1263" s="199" t="str">
        <f t="shared" si="294"/>
        <v/>
      </c>
      <c r="V1263" s="989"/>
      <c r="X1263" s="374" t="str">
        <f t="shared" si="295"/>
        <v/>
      </c>
      <c r="Y1263" s="375" t="str">
        <f t="shared" si="296"/>
        <v/>
      </c>
      <c r="Z1263" s="374" t="str">
        <f t="shared" si="297"/>
        <v/>
      </c>
      <c r="AA1263" s="374" t="b">
        <f t="shared" si="298"/>
        <v>1</v>
      </c>
      <c r="AB1263" s="374">
        <f>COUNTIFS(B:B,B1263,H:H,'סיווג התפקידים והעלויות'!$C$2)</f>
        <v>0</v>
      </c>
      <c r="AC1263" s="374">
        <f>COUNTIFS(B:B,B1263,H:H,'סיווג התפקידים והעלויות'!$D$2)</f>
        <v>0</v>
      </c>
      <c r="AD1263" s="374" t="str">
        <f>IF(OR(AND(H1263='סיווג התפקידים והעלויות'!$A$2,I1263='סיווג התפקידים והעלויות'!$A$3),'עלויות כח אדם (6)'!H1263='סיווג התפקידים והעלויות'!$C$2,'עלויות כח אדם (6)'!H1263='סיווג התפקידים והעלויות'!$D$2),IF('עלויות כח אדם (6)'!J1263&lt;75,"לא תקין","תקין"),"")</f>
        <v/>
      </c>
      <c r="AE1263" s="374" t="str">
        <f t="shared" si="299"/>
        <v/>
      </c>
      <c r="AF1263" s="532" t="str">
        <f t="shared" si="300"/>
        <v/>
      </c>
    </row>
    <row r="1264" spans="2:32" x14ac:dyDescent="0.25">
      <c r="B1264" s="695"/>
      <c r="C1264" s="197" t="str">
        <f>IF(B1264&lt;&gt;"",IFERROR(VLOOKUP(B:B,'מצבת והרשמה (2)'!$C$20:$N$520,2,0)," ")," ")</f>
        <v xml:space="preserve"> </v>
      </c>
      <c r="D1264" s="695"/>
      <c r="E1264" s="696"/>
      <c r="F1264" s="696"/>
      <c r="G1264" s="696"/>
      <c r="H1264" s="696"/>
      <c r="I1264" s="1050" t="str">
        <f t="shared" si="287"/>
        <v/>
      </c>
      <c r="J1264" s="696"/>
      <c r="K1264" s="697"/>
      <c r="L1264" s="696"/>
      <c r="M1264" s="198" t="str">
        <f t="shared" si="288"/>
        <v/>
      </c>
      <c r="N1264" s="369" t="str">
        <f t="shared" si="289"/>
        <v/>
      </c>
      <c r="O1264" s="183" t="str">
        <f t="shared" si="290"/>
        <v/>
      </c>
      <c r="P1264" s="199" t="str">
        <f t="shared" si="291"/>
        <v/>
      </c>
      <c r="Q1264" s="199" t="str">
        <f>IF(B1264="","",IFERROR(IF('עלויות כח אדם (6)'!J1264&gt;=VLOOKUP(I1264,'סיווג התפקידים והעלויות'!$B$23:$C$32,2,0),"תקין","לא תקין"),""))</f>
        <v/>
      </c>
      <c r="R1264" s="199" t="str">
        <f t="shared" si="292"/>
        <v/>
      </c>
      <c r="S1264" s="199" t="str">
        <f t="shared" si="293"/>
        <v/>
      </c>
      <c r="T1264" s="199" t="str">
        <f t="shared" si="301"/>
        <v/>
      </c>
      <c r="U1264" s="199" t="str">
        <f t="shared" si="294"/>
        <v/>
      </c>
      <c r="V1264" s="989"/>
      <c r="X1264" s="374" t="str">
        <f t="shared" si="295"/>
        <v/>
      </c>
      <c r="Y1264" s="375" t="str">
        <f t="shared" si="296"/>
        <v/>
      </c>
      <c r="Z1264" s="374" t="str">
        <f t="shared" si="297"/>
        <v/>
      </c>
      <c r="AA1264" s="374" t="b">
        <f t="shared" si="298"/>
        <v>1</v>
      </c>
      <c r="AB1264" s="374">
        <f>COUNTIFS(B:B,B1264,H:H,'סיווג התפקידים והעלויות'!$C$2)</f>
        <v>0</v>
      </c>
      <c r="AC1264" s="374">
        <f>COUNTIFS(B:B,B1264,H:H,'סיווג התפקידים והעלויות'!$D$2)</f>
        <v>0</v>
      </c>
      <c r="AD1264" s="374" t="str">
        <f>IF(OR(AND(H1264='סיווג התפקידים והעלויות'!$A$2,I1264='סיווג התפקידים והעלויות'!$A$3),'עלויות כח אדם (6)'!H1264='סיווג התפקידים והעלויות'!$C$2,'עלויות כח אדם (6)'!H1264='סיווג התפקידים והעלויות'!$D$2),IF('עלויות כח אדם (6)'!J1264&lt;75,"לא תקין","תקין"),"")</f>
        <v/>
      </c>
      <c r="AE1264" s="374" t="str">
        <f t="shared" si="299"/>
        <v/>
      </c>
      <c r="AF1264" s="532" t="str">
        <f t="shared" si="300"/>
        <v/>
      </c>
    </row>
    <row r="1265" spans="2:32" x14ac:dyDescent="0.25">
      <c r="B1265" s="695"/>
      <c r="C1265" s="197" t="str">
        <f>IF(B1265&lt;&gt;"",IFERROR(VLOOKUP(B:B,'מצבת והרשמה (2)'!$C$20:$N$520,2,0)," ")," ")</f>
        <v xml:space="preserve"> </v>
      </c>
      <c r="D1265" s="695"/>
      <c r="E1265" s="696"/>
      <c r="F1265" s="696"/>
      <c r="G1265" s="696"/>
      <c r="H1265" s="696"/>
      <c r="I1265" s="1050" t="str">
        <f t="shared" si="287"/>
        <v/>
      </c>
      <c r="J1265" s="696"/>
      <c r="K1265" s="697"/>
      <c r="L1265" s="696"/>
      <c r="M1265" s="198" t="str">
        <f t="shared" si="288"/>
        <v/>
      </c>
      <c r="N1265" s="369" t="str">
        <f t="shared" si="289"/>
        <v/>
      </c>
      <c r="O1265" s="183" t="str">
        <f t="shared" si="290"/>
        <v/>
      </c>
      <c r="P1265" s="199" t="str">
        <f t="shared" si="291"/>
        <v/>
      </c>
      <c r="Q1265" s="199" t="str">
        <f>IF(B1265="","",IFERROR(IF('עלויות כח אדם (6)'!J1265&gt;=VLOOKUP(I1265,'סיווג התפקידים והעלויות'!$B$23:$C$32,2,0),"תקין","לא תקין"),""))</f>
        <v/>
      </c>
      <c r="R1265" s="199" t="str">
        <f t="shared" si="292"/>
        <v/>
      </c>
      <c r="S1265" s="199" t="str">
        <f t="shared" si="293"/>
        <v/>
      </c>
      <c r="T1265" s="199" t="str">
        <f t="shared" si="301"/>
        <v/>
      </c>
      <c r="U1265" s="199" t="str">
        <f t="shared" si="294"/>
        <v/>
      </c>
      <c r="V1265" s="989"/>
      <c r="X1265" s="374" t="str">
        <f t="shared" si="295"/>
        <v/>
      </c>
      <c r="Y1265" s="375" t="str">
        <f t="shared" si="296"/>
        <v/>
      </c>
      <c r="Z1265" s="374" t="str">
        <f t="shared" si="297"/>
        <v/>
      </c>
      <c r="AA1265" s="374" t="b">
        <f t="shared" si="298"/>
        <v>1</v>
      </c>
      <c r="AB1265" s="374">
        <f>COUNTIFS(B:B,B1265,H:H,'סיווג התפקידים והעלויות'!$C$2)</f>
        <v>0</v>
      </c>
      <c r="AC1265" s="374">
        <f>COUNTIFS(B:B,B1265,H:H,'סיווג התפקידים והעלויות'!$D$2)</f>
        <v>0</v>
      </c>
      <c r="AD1265" s="374" t="str">
        <f>IF(OR(AND(H1265='סיווג התפקידים והעלויות'!$A$2,I1265='סיווג התפקידים והעלויות'!$A$3),'עלויות כח אדם (6)'!H1265='סיווג התפקידים והעלויות'!$C$2,'עלויות כח אדם (6)'!H1265='סיווג התפקידים והעלויות'!$D$2),IF('עלויות כח אדם (6)'!J1265&lt;75,"לא תקין","תקין"),"")</f>
        <v/>
      </c>
      <c r="AE1265" s="374" t="str">
        <f t="shared" si="299"/>
        <v/>
      </c>
      <c r="AF1265" s="532" t="str">
        <f t="shared" si="300"/>
        <v/>
      </c>
    </row>
    <row r="1266" spans="2:32" x14ac:dyDescent="0.25">
      <c r="B1266" s="695"/>
      <c r="C1266" s="197" t="str">
        <f>IF(B1266&lt;&gt;"",IFERROR(VLOOKUP(B:B,'מצבת והרשמה (2)'!$C$20:$N$520,2,0)," ")," ")</f>
        <v xml:space="preserve"> </v>
      </c>
      <c r="D1266" s="695"/>
      <c r="E1266" s="696"/>
      <c r="F1266" s="696"/>
      <c r="G1266" s="696"/>
      <c r="H1266" s="696"/>
      <c r="I1266" s="1050" t="str">
        <f t="shared" si="287"/>
        <v/>
      </c>
      <c r="J1266" s="696"/>
      <c r="K1266" s="697"/>
      <c r="L1266" s="696"/>
      <c r="M1266" s="198" t="str">
        <f t="shared" si="288"/>
        <v/>
      </c>
      <c r="N1266" s="369" t="str">
        <f t="shared" si="289"/>
        <v/>
      </c>
      <c r="O1266" s="183" t="str">
        <f t="shared" si="290"/>
        <v/>
      </c>
      <c r="P1266" s="199" t="str">
        <f t="shared" si="291"/>
        <v/>
      </c>
      <c r="Q1266" s="199" t="str">
        <f>IF(B1266="","",IFERROR(IF('עלויות כח אדם (6)'!J1266&gt;=VLOOKUP(I1266,'סיווג התפקידים והעלויות'!$B$23:$C$32,2,0),"תקין","לא תקין"),""))</f>
        <v/>
      </c>
      <c r="R1266" s="199" t="str">
        <f t="shared" si="292"/>
        <v/>
      </c>
      <c r="S1266" s="199" t="str">
        <f t="shared" si="293"/>
        <v/>
      </c>
      <c r="T1266" s="199" t="str">
        <f t="shared" si="301"/>
        <v/>
      </c>
      <c r="U1266" s="199" t="str">
        <f t="shared" si="294"/>
        <v/>
      </c>
      <c r="V1266" s="989"/>
      <c r="X1266" s="374" t="str">
        <f t="shared" si="295"/>
        <v/>
      </c>
      <c r="Y1266" s="375" t="str">
        <f t="shared" si="296"/>
        <v/>
      </c>
      <c r="Z1266" s="374" t="str">
        <f t="shared" si="297"/>
        <v/>
      </c>
      <c r="AA1266" s="374" t="b">
        <f t="shared" si="298"/>
        <v>1</v>
      </c>
      <c r="AB1266" s="374">
        <f>COUNTIFS(B:B,B1266,H:H,'סיווג התפקידים והעלויות'!$C$2)</f>
        <v>0</v>
      </c>
      <c r="AC1266" s="374">
        <f>COUNTIFS(B:B,B1266,H:H,'סיווג התפקידים והעלויות'!$D$2)</f>
        <v>0</v>
      </c>
      <c r="AD1266" s="374" t="str">
        <f>IF(OR(AND(H1266='סיווג התפקידים והעלויות'!$A$2,I1266='סיווג התפקידים והעלויות'!$A$3),'עלויות כח אדם (6)'!H1266='סיווג התפקידים והעלויות'!$C$2,'עלויות כח אדם (6)'!H1266='סיווג התפקידים והעלויות'!$D$2),IF('עלויות כח אדם (6)'!J1266&lt;75,"לא תקין","תקין"),"")</f>
        <v/>
      </c>
      <c r="AE1266" s="374" t="str">
        <f t="shared" si="299"/>
        <v/>
      </c>
      <c r="AF1266" s="532" t="str">
        <f t="shared" si="300"/>
        <v/>
      </c>
    </row>
    <row r="1267" spans="2:32" x14ac:dyDescent="0.25">
      <c r="B1267" s="695"/>
      <c r="C1267" s="197" t="str">
        <f>IF(B1267&lt;&gt;"",IFERROR(VLOOKUP(B:B,'מצבת והרשמה (2)'!$C$20:$N$520,2,0)," ")," ")</f>
        <v xml:space="preserve"> </v>
      </c>
      <c r="D1267" s="695"/>
      <c r="E1267" s="696"/>
      <c r="F1267" s="696"/>
      <c r="G1267" s="696"/>
      <c r="H1267" s="696"/>
      <c r="I1267" s="1050" t="str">
        <f t="shared" si="287"/>
        <v/>
      </c>
      <c r="J1267" s="696"/>
      <c r="K1267" s="697"/>
      <c r="L1267" s="696"/>
      <c r="M1267" s="198" t="str">
        <f t="shared" si="288"/>
        <v/>
      </c>
      <c r="N1267" s="369" t="str">
        <f t="shared" si="289"/>
        <v/>
      </c>
      <c r="O1267" s="183" t="str">
        <f t="shared" si="290"/>
        <v/>
      </c>
      <c r="P1267" s="199" t="str">
        <f t="shared" si="291"/>
        <v/>
      </c>
      <c r="Q1267" s="199" t="str">
        <f>IF(B1267="","",IFERROR(IF('עלויות כח אדם (6)'!J1267&gt;=VLOOKUP(I1267,'סיווג התפקידים והעלויות'!$B$23:$C$32,2,0),"תקין","לא תקין"),""))</f>
        <v/>
      </c>
      <c r="R1267" s="199" t="str">
        <f t="shared" si="292"/>
        <v/>
      </c>
      <c r="S1267" s="199" t="str">
        <f t="shared" si="293"/>
        <v/>
      </c>
      <c r="T1267" s="199" t="str">
        <f t="shared" si="301"/>
        <v/>
      </c>
      <c r="U1267" s="199" t="str">
        <f t="shared" si="294"/>
        <v/>
      </c>
      <c r="V1267" s="989"/>
      <c r="X1267" s="374" t="str">
        <f t="shared" si="295"/>
        <v/>
      </c>
      <c r="Y1267" s="375" t="str">
        <f t="shared" si="296"/>
        <v/>
      </c>
      <c r="Z1267" s="374" t="str">
        <f t="shared" si="297"/>
        <v/>
      </c>
      <c r="AA1267" s="374" t="b">
        <f t="shared" si="298"/>
        <v>1</v>
      </c>
      <c r="AB1267" s="374">
        <f>COUNTIFS(B:B,B1267,H:H,'סיווג התפקידים והעלויות'!$C$2)</f>
        <v>0</v>
      </c>
      <c r="AC1267" s="374">
        <f>COUNTIFS(B:B,B1267,H:H,'סיווג התפקידים והעלויות'!$D$2)</f>
        <v>0</v>
      </c>
      <c r="AD1267" s="374" t="str">
        <f>IF(OR(AND(H1267='סיווג התפקידים והעלויות'!$A$2,I1267='סיווג התפקידים והעלויות'!$A$3),'עלויות כח אדם (6)'!H1267='סיווג התפקידים והעלויות'!$C$2,'עלויות כח אדם (6)'!H1267='סיווג התפקידים והעלויות'!$D$2),IF('עלויות כח אדם (6)'!J1267&lt;75,"לא תקין","תקין"),"")</f>
        <v/>
      </c>
      <c r="AE1267" s="374" t="str">
        <f t="shared" si="299"/>
        <v/>
      </c>
      <c r="AF1267" s="532" t="str">
        <f t="shared" si="300"/>
        <v/>
      </c>
    </row>
    <row r="1268" spans="2:32" x14ac:dyDescent="0.25">
      <c r="B1268" s="695"/>
      <c r="C1268" s="197" t="str">
        <f>IF(B1268&lt;&gt;"",IFERROR(VLOOKUP(B:B,'מצבת והרשמה (2)'!$C$20:$N$520,2,0)," ")," ")</f>
        <v xml:space="preserve"> </v>
      </c>
      <c r="D1268" s="695"/>
      <c r="E1268" s="696"/>
      <c r="F1268" s="696"/>
      <c r="G1268" s="696"/>
      <c r="H1268" s="696"/>
      <c r="I1268" s="1050" t="str">
        <f t="shared" si="287"/>
        <v/>
      </c>
      <c r="J1268" s="696"/>
      <c r="K1268" s="697"/>
      <c r="L1268" s="696"/>
      <c r="M1268" s="198" t="str">
        <f t="shared" si="288"/>
        <v/>
      </c>
      <c r="N1268" s="369" t="str">
        <f t="shared" si="289"/>
        <v/>
      </c>
      <c r="O1268" s="183" t="str">
        <f t="shared" si="290"/>
        <v/>
      </c>
      <c r="P1268" s="199" t="str">
        <f t="shared" si="291"/>
        <v/>
      </c>
      <c r="Q1268" s="199" t="str">
        <f>IF(B1268="","",IFERROR(IF('עלויות כח אדם (6)'!J1268&gt;=VLOOKUP(I1268,'סיווג התפקידים והעלויות'!$B$23:$C$32,2,0),"תקין","לא תקין"),""))</f>
        <v/>
      </c>
      <c r="R1268" s="199" t="str">
        <f t="shared" si="292"/>
        <v/>
      </c>
      <c r="S1268" s="199" t="str">
        <f t="shared" si="293"/>
        <v/>
      </c>
      <c r="T1268" s="199" t="str">
        <f t="shared" si="301"/>
        <v/>
      </c>
      <c r="U1268" s="199" t="str">
        <f t="shared" si="294"/>
        <v/>
      </c>
      <c r="V1268" s="989"/>
      <c r="X1268" s="374" t="str">
        <f t="shared" si="295"/>
        <v/>
      </c>
      <c r="Y1268" s="375" t="str">
        <f t="shared" si="296"/>
        <v/>
      </c>
      <c r="Z1268" s="374" t="str">
        <f t="shared" si="297"/>
        <v/>
      </c>
      <c r="AA1268" s="374" t="b">
        <f t="shared" si="298"/>
        <v>1</v>
      </c>
      <c r="AB1268" s="374">
        <f>COUNTIFS(B:B,B1268,H:H,'סיווג התפקידים והעלויות'!$C$2)</f>
        <v>0</v>
      </c>
      <c r="AC1268" s="374">
        <f>COUNTIFS(B:B,B1268,H:H,'סיווג התפקידים והעלויות'!$D$2)</f>
        <v>0</v>
      </c>
      <c r="AD1268" s="374" t="str">
        <f>IF(OR(AND(H1268='סיווג התפקידים והעלויות'!$A$2,I1268='סיווג התפקידים והעלויות'!$A$3),'עלויות כח אדם (6)'!H1268='סיווג התפקידים והעלויות'!$C$2,'עלויות כח אדם (6)'!H1268='סיווג התפקידים והעלויות'!$D$2),IF('עלויות כח אדם (6)'!J1268&lt;75,"לא תקין","תקין"),"")</f>
        <v/>
      </c>
      <c r="AE1268" s="374" t="str">
        <f t="shared" si="299"/>
        <v/>
      </c>
      <c r="AF1268" s="532" t="str">
        <f t="shared" si="300"/>
        <v/>
      </c>
    </row>
    <row r="1269" spans="2:32" x14ac:dyDescent="0.25">
      <c r="B1269" s="695"/>
      <c r="C1269" s="197" t="str">
        <f>IF(B1269&lt;&gt;"",IFERROR(VLOOKUP(B:B,'מצבת והרשמה (2)'!$C$20:$N$520,2,0)," ")," ")</f>
        <v xml:space="preserve"> </v>
      </c>
      <c r="D1269" s="695"/>
      <c r="E1269" s="696"/>
      <c r="F1269" s="696"/>
      <c r="G1269" s="696"/>
      <c r="H1269" s="696"/>
      <c r="I1269" s="1050" t="str">
        <f t="shared" si="287"/>
        <v/>
      </c>
      <c r="J1269" s="696"/>
      <c r="K1269" s="697"/>
      <c r="L1269" s="696"/>
      <c r="M1269" s="198" t="str">
        <f t="shared" si="288"/>
        <v/>
      </c>
      <c r="N1269" s="369" t="str">
        <f t="shared" si="289"/>
        <v/>
      </c>
      <c r="O1269" s="183" t="str">
        <f t="shared" si="290"/>
        <v/>
      </c>
      <c r="P1269" s="199" t="str">
        <f t="shared" si="291"/>
        <v/>
      </c>
      <c r="Q1269" s="199" t="str">
        <f>IF(B1269="","",IFERROR(IF('עלויות כח אדם (6)'!J1269&gt;=VLOOKUP(I1269,'סיווג התפקידים והעלויות'!$B$23:$C$32,2,0),"תקין","לא תקין"),""))</f>
        <v/>
      </c>
      <c r="R1269" s="199" t="str">
        <f t="shared" si="292"/>
        <v/>
      </c>
      <c r="S1269" s="199" t="str">
        <f t="shared" si="293"/>
        <v/>
      </c>
      <c r="T1269" s="199" t="str">
        <f t="shared" si="301"/>
        <v/>
      </c>
      <c r="U1269" s="199" t="str">
        <f t="shared" si="294"/>
        <v/>
      </c>
      <c r="V1269" s="989"/>
      <c r="X1269" s="374" t="str">
        <f t="shared" si="295"/>
        <v/>
      </c>
      <c r="Y1269" s="375" t="str">
        <f t="shared" si="296"/>
        <v/>
      </c>
      <c r="Z1269" s="374" t="str">
        <f t="shared" si="297"/>
        <v/>
      </c>
      <c r="AA1269" s="374" t="b">
        <f t="shared" si="298"/>
        <v>1</v>
      </c>
      <c r="AB1269" s="374">
        <f>COUNTIFS(B:B,B1269,H:H,'סיווג התפקידים והעלויות'!$C$2)</f>
        <v>0</v>
      </c>
      <c r="AC1269" s="374">
        <f>COUNTIFS(B:B,B1269,H:H,'סיווג התפקידים והעלויות'!$D$2)</f>
        <v>0</v>
      </c>
      <c r="AD1269" s="374" t="str">
        <f>IF(OR(AND(H1269='סיווג התפקידים והעלויות'!$A$2,I1269='סיווג התפקידים והעלויות'!$A$3),'עלויות כח אדם (6)'!H1269='סיווג התפקידים והעלויות'!$C$2,'עלויות כח אדם (6)'!H1269='סיווג התפקידים והעלויות'!$D$2),IF('עלויות כח אדם (6)'!J1269&lt;75,"לא תקין","תקין"),"")</f>
        <v/>
      </c>
      <c r="AE1269" s="374" t="str">
        <f t="shared" si="299"/>
        <v/>
      </c>
      <c r="AF1269" s="532" t="str">
        <f t="shared" si="300"/>
        <v/>
      </c>
    </row>
    <row r="1270" spans="2:32" x14ac:dyDescent="0.25">
      <c r="B1270" s="695"/>
      <c r="C1270" s="197" t="str">
        <f>IF(B1270&lt;&gt;"",IFERROR(VLOOKUP(B:B,'מצבת והרשמה (2)'!$C$20:$N$520,2,0)," ")," ")</f>
        <v xml:space="preserve"> </v>
      </c>
      <c r="D1270" s="695"/>
      <c r="E1270" s="696"/>
      <c r="F1270" s="696"/>
      <c r="G1270" s="696"/>
      <c r="H1270" s="696"/>
      <c r="I1270" s="1050" t="str">
        <f t="shared" si="287"/>
        <v/>
      </c>
      <c r="J1270" s="696"/>
      <c r="K1270" s="697"/>
      <c r="L1270" s="696"/>
      <c r="M1270" s="198" t="str">
        <f t="shared" si="288"/>
        <v/>
      </c>
      <c r="N1270" s="369" t="str">
        <f t="shared" si="289"/>
        <v/>
      </c>
      <c r="O1270" s="183" t="str">
        <f t="shared" si="290"/>
        <v/>
      </c>
      <c r="P1270" s="199" t="str">
        <f t="shared" si="291"/>
        <v/>
      </c>
      <c r="Q1270" s="199" t="str">
        <f>IF(B1270="","",IFERROR(IF('עלויות כח אדם (6)'!J1270&gt;=VLOOKUP(I1270,'סיווג התפקידים והעלויות'!$B$23:$C$32,2,0),"תקין","לא תקין"),""))</f>
        <v/>
      </c>
      <c r="R1270" s="199" t="str">
        <f t="shared" si="292"/>
        <v/>
      </c>
      <c r="S1270" s="199" t="str">
        <f t="shared" si="293"/>
        <v/>
      </c>
      <c r="T1270" s="199" t="str">
        <f t="shared" si="301"/>
        <v/>
      </c>
      <c r="U1270" s="199" t="str">
        <f t="shared" si="294"/>
        <v/>
      </c>
      <c r="V1270" s="989"/>
      <c r="X1270" s="374" t="str">
        <f t="shared" si="295"/>
        <v/>
      </c>
      <c r="Y1270" s="375" t="str">
        <f t="shared" si="296"/>
        <v/>
      </c>
      <c r="Z1270" s="374" t="str">
        <f t="shared" si="297"/>
        <v/>
      </c>
      <c r="AA1270" s="374" t="b">
        <f t="shared" si="298"/>
        <v>1</v>
      </c>
      <c r="AB1270" s="374">
        <f>COUNTIFS(B:B,B1270,H:H,'סיווג התפקידים והעלויות'!$C$2)</f>
        <v>0</v>
      </c>
      <c r="AC1270" s="374">
        <f>COUNTIFS(B:B,B1270,H:H,'סיווג התפקידים והעלויות'!$D$2)</f>
        <v>0</v>
      </c>
      <c r="AD1270" s="374" t="str">
        <f>IF(OR(AND(H1270='סיווג התפקידים והעלויות'!$A$2,I1270='סיווג התפקידים והעלויות'!$A$3),'עלויות כח אדם (6)'!H1270='סיווג התפקידים והעלויות'!$C$2,'עלויות כח אדם (6)'!H1270='סיווג התפקידים והעלויות'!$D$2),IF('עלויות כח אדם (6)'!J1270&lt;75,"לא תקין","תקין"),"")</f>
        <v/>
      </c>
      <c r="AE1270" s="374" t="str">
        <f t="shared" si="299"/>
        <v/>
      </c>
      <c r="AF1270" s="532" t="str">
        <f t="shared" si="300"/>
        <v/>
      </c>
    </row>
    <row r="1271" spans="2:32" x14ac:dyDescent="0.25">
      <c r="B1271" s="695"/>
      <c r="C1271" s="197" t="str">
        <f>IF(B1271&lt;&gt;"",IFERROR(VLOOKUP(B:B,'מצבת והרשמה (2)'!$C$20:$N$520,2,0)," ")," ")</f>
        <v xml:space="preserve"> </v>
      </c>
      <c r="D1271" s="695"/>
      <c r="E1271" s="696"/>
      <c r="F1271" s="696"/>
      <c r="G1271" s="696"/>
      <c r="H1271" s="696"/>
      <c r="I1271" s="1050" t="str">
        <f t="shared" si="287"/>
        <v/>
      </c>
      <c r="J1271" s="696"/>
      <c r="K1271" s="697"/>
      <c r="L1271" s="696"/>
      <c r="M1271" s="198" t="str">
        <f t="shared" si="288"/>
        <v/>
      </c>
      <c r="N1271" s="369" t="str">
        <f t="shared" si="289"/>
        <v/>
      </c>
      <c r="O1271" s="183" t="str">
        <f t="shared" si="290"/>
        <v/>
      </c>
      <c r="P1271" s="199" t="str">
        <f t="shared" si="291"/>
        <v/>
      </c>
      <c r="Q1271" s="199" t="str">
        <f>IF(B1271="","",IFERROR(IF('עלויות כח אדם (6)'!J1271&gt;=VLOOKUP(I1271,'סיווג התפקידים והעלויות'!$B$23:$C$32,2,0),"תקין","לא תקין"),""))</f>
        <v/>
      </c>
      <c r="R1271" s="199" t="str">
        <f t="shared" si="292"/>
        <v/>
      </c>
      <c r="S1271" s="199" t="str">
        <f t="shared" si="293"/>
        <v/>
      </c>
      <c r="T1271" s="199" t="str">
        <f t="shared" si="301"/>
        <v/>
      </c>
      <c r="U1271" s="199" t="str">
        <f t="shared" si="294"/>
        <v/>
      </c>
      <c r="V1271" s="989"/>
      <c r="X1271" s="374" t="str">
        <f t="shared" si="295"/>
        <v/>
      </c>
      <c r="Y1271" s="375" t="str">
        <f t="shared" si="296"/>
        <v/>
      </c>
      <c r="Z1271" s="374" t="str">
        <f t="shared" si="297"/>
        <v/>
      </c>
      <c r="AA1271" s="374" t="b">
        <f t="shared" si="298"/>
        <v>1</v>
      </c>
      <c r="AB1271" s="374">
        <f>COUNTIFS(B:B,B1271,H:H,'סיווג התפקידים והעלויות'!$C$2)</f>
        <v>0</v>
      </c>
      <c r="AC1271" s="374">
        <f>COUNTIFS(B:B,B1271,H:H,'סיווג התפקידים והעלויות'!$D$2)</f>
        <v>0</v>
      </c>
      <c r="AD1271" s="374" t="str">
        <f>IF(OR(AND(H1271='סיווג התפקידים והעלויות'!$A$2,I1271='סיווג התפקידים והעלויות'!$A$3),'עלויות כח אדם (6)'!H1271='סיווג התפקידים והעלויות'!$C$2,'עלויות כח אדם (6)'!H1271='סיווג התפקידים והעלויות'!$D$2),IF('עלויות כח אדם (6)'!J1271&lt;75,"לא תקין","תקין"),"")</f>
        <v/>
      </c>
      <c r="AE1271" s="374" t="str">
        <f t="shared" si="299"/>
        <v/>
      </c>
      <c r="AF1271" s="532" t="str">
        <f t="shared" si="300"/>
        <v/>
      </c>
    </row>
    <row r="1272" spans="2:32" x14ac:dyDescent="0.25">
      <c r="B1272" s="695"/>
      <c r="C1272" s="197" t="str">
        <f>IF(B1272&lt;&gt;"",IFERROR(VLOOKUP(B:B,'מצבת והרשמה (2)'!$C$20:$N$520,2,0)," ")," ")</f>
        <v xml:space="preserve"> </v>
      </c>
      <c r="D1272" s="695"/>
      <c r="E1272" s="696"/>
      <c r="F1272" s="696"/>
      <c r="G1272" s="696"/>
      <c r="H1272" s="696"/>
      <c r="I1272" s="1050" t="str">
        <f t="shared" si="287"/>
        <v/>
      </c>
      <c r="J1272" s="696"/>
      <c r="K1272" s="697"/>
      <c r="L1272" s="696"/>
      <c r="M1272" s="198" t="str">
        <f t="shared" si="288"/>
        <v/>
      </c>
      <c r="N1272" s="369" t="str">
        <f t="shared" si="289"/>
        <v/>
      </c>
      <c r="O1272" s="183" t="str">
        <f t="shared" si="290"/>
        <v/>
      </c>
      <c r="P1272" s="199" t="str">
        <f t="shared" si="291"/>
        <v/>
      </c>
      <c r="Q1272" s="199" t="str">
        <f>IF(B1272="","",IFERROR(IF('עלויות כח אדם (6)'!J1272&gt;=VLOOKUP(I1272,'סיווג התפקידים והעלויות'!$B$23:$C$32,2,0),"תקין","לא תקין"),""))</f>
        <v/>
      </c>
      <c r="R1272" s="199" t="str">
        <f t="shared" si="292"/>
        <v/>
      </c>
      <c r="S1272" s="199" t="str">
        <f t="shared" si="293"/>
        <v/>
      </c>
      <c r="T1272" s="199" t="str">
        <f t="shared" si="301"/>
        <v/>
      </c>
      <c r="U1272" s="199" t="str">
        <f t="shared" si="294"/>
        <v/>
      </c>
      <c r="V1272" s="989"/>
      <c r="X1272" s="374" t="str">
        <f t="shared" si="295"/>
        <v/>
      </c>
      <c r="Y1272" s="375" t="str">
        <f t="shared" si="296"/>
        <v/>
      </c>
      <c r="Z1272" s="374" t="str">
        <f t="shared" si="297"/>
        <v/>
      </c>
      <c r="AA1272" s="374" t="b">
        <f t="shared" si="298"/>
        <v>1</v>
      </c>
      <c r="AB1272" s="374">
        <f>COUNTIFS(B:B,B1272,H:H,'סיווג התפקידים והעלויות'!$C$2)</f>
        <v>0</v>
      </c>
      <c r="AC1272" s="374">
        <f>COUNTIFS(B:B,B1272,H:H,'סיווג התפקידים והעלויות'!$D$2)</f>
        <v>0</v>
      </c>
      <c r="AD1272" s="374" t="str">
        <f>IF(OR(AND(H1272='סיווג התפקידים והעלויות'!$A$2,I1272='סיווג התפקידים והעלויות'!$A$3),'עלויות כח אדם (6)'!H1272='סיווג התפקידים והעלויות'!$C$2,'עלויות כח אדם (6)'!H1272='סיווג התפקידים והעלויות'!$D$2),IF('עלויות כח אדם (6)'!J1272&lt;75,"לא תקין","תקין"),"")</f>
        <v/>
      </c>
      <c r="AE1272" s="374" t="str">
        <f t="shared" si="299"/>
        <v/>
      </c>
      <c r="AF1272" s="532" t="str">
        <f t="shared" si="300"/>
        <v/>
      </c>
    </row>
    <row r="1273" spans="2:32" x14ac:dyDescent="0.25">
      <c r="B1273" s="695"/>
      <c r="C1273" s="197" t="str">
        <f>IF(B1273&lt;&gt;"",IFERROR(VLOOKUP(B:B,'מצבת והרשמה (2)'!$C$20:$N$520,2,0)," ")," ")</f>
        <v xml:space="preserve"> </v>
      </c>
      <c r="D1273" s="695"/>
      <c r="E1273" s="696"/>
      <c r="F1273" s="696"/>
      <c r="G1273" s="696"/>
      <c r="H1273" s="696"/>
      <c r="I1273" s="1050" t="str">
        <f t="shared" si="287"/>
        <v/>
      </c>
      <c r="J1273" s="696"/>
      <c r="K1273" s="697"/>
      <c r="L1273" s="696"/>
      <c r="M1273" s="198" t="str">
        <f t="shared" si="288"/>
        <v/>
      </c>
      <c r="N1273" s="369" t="str">
        <f t="shared" si="289"/>
        <v/>
      </c>
      <c r="O1273" s="183" t="str">
        <f t="shared" si="290"/>
        <v/>
      </c>
      <c r="P1273" s="199" t="str">
        <f t="shared" si="291"/>
        <v/>
      </c>
      <c r="Q1273" s="199" t="str">
        <f>IF(B1273="","",IFERROR(IF('עלויות כח אדם (6)'!J1273&gt;=VLOOKUP(I1273,'סיווג התפקידים והעלויות'!$B$23:$C$32,2,0),"תקין","לא תקין"),""))</f>
        <v/>
      </c>
      <c r="R1273" s="199" t="str">
        <f t="shared" si="292"/>
        <v/>
      </c>
      <c r="S1273" s="199" t="str">
        <f t="shared" si="293"/>
        <v/>
      </c>
      <c r="T1273" s="199" t="str">
        <f t="shared" si="301"/>
        <v/>
      </c>
      <c r="U1273" s="199" t="str">
        <f t="shared" si="294"/>
        <v/>
      </c>
      <c r="V1273" s="989"/>
      <c r="X1273" s="374" t="str">
        <f t="shared" si="295"/>
        <v/>
      </c>
      <c r="Y1273" s="375" t="str">
        <f t="shared" si="296"/>
        <v/>
      </c>
      <c r="Z1273" s="374" t="str">
        <f t="shared" si="297"/>
        <v/>
      </c>
      <c r="AA1273" s="374" t="b">
        <f t="shared" si="298"/>
        <v>1</v>
      </c>
      <c r="AB1273" s="374">
        <f>COUNTIFS(B:B,B1273,H:H,'סיווג התפקידים והעלויות'!$C$2)</f>
        <v>0</v>
      </c>
      <c r="AC1273" s="374">
        <f>COUNTIFS(B:B,B1273,H:H,'סיווג התפקידים והעלויות'!$D$2)</f>
        <v>0</v>
      </c>
      <c r="AD1273" s="374" t="str">
        <f>IF(OR(AND(H1273='סיווג התפקידים והעלויות'!$A$2,I1273='סיווג התפקידים והעלויות'!$A$3),'עלויות כח אדם (6)'!H1273='סיווג התפקידים והעלויות'!$C$2,'עלויות כח אדם (6)'!H1273='סיווג התפקידים והעלויות'!$D$2),IF('עלויות כח אדם (6)'!J1273&lt;75,"לא תקין","תקין"),"")</f>
        <v/>
      </c>
      <c r="AE1273" s="374" t="str">
        <f t="shared" si="299"/>
        <v/>
      </c>
      <c r="AF1273" s="532" t="str">
        <f t="shared" si="300"/>
        <v/>
      </c>
    </row>
    <row r="1274" spans="2:32" x14ac:dyDescent="0.25">
      <c r="B1274" s="695"/>
      <c r="C1274" s="197" t="str">
        <f>IF(B1274&lt;&gt;"",IFERROR(VLOOKUP(B:B,'מצבת והרשמה (2)'!$C$20:$N$520,2,0)," ")," ")</f>
        <v xml:space="preserve"> </v>
      </c>
      <c r="D1274" s="695"/>
      <c r="E1274" s="696"/>
      <c r="F1274" s="696"/>
      <c r="G1274" s="696"/>
      <c r="H1274" s="696"/>
      <c r="I1274" s="1050" t="str">
        <f t="shared" si="287"/>
        <v/>
      </c>
      <c r="J1274" s="696"/>
      <c r="K1274" s="697"/>
      <c r="L1274" s="696"/>
      <c r="M1274" s="198" t="str">
        <f t="shared" si="288"/>
        <v/>
      </c>
      <c r="N1274" s="369" t="str">
        <f t="shared" si="289"/>
        <v/>
      </c>
      <c r="O1274" s="183" t="str">
        <f t="shared" si="290"/>
        <v/>
      </c>
      <c r="P1274" s="199" t="str">
        <f t="shared" si="291"/>
        <v/>
      </c>
      <c r="Q1274" s="199" t="str">
        <f>IF(B1274="","",IFERROR(IF('עלויות כח אדם (6)'!J1274&gt;=VLOOKUP(I1274,'סיווג התפקידים והעלויות'!$B$23:$C$32,2,0),"תקין","לא תקין"),""))</f>
        <v/>
      </c>
      <c r="R1274" s="199" t="str">
        <f t="shared" si="292"/>
        <v/>
      </c>
      <c r="S1274" s="199" t="str">
        <f t="shared" si="293"/>
        <v/>
      </c>
      <c r="T1274" s="199" t="str">
        <f t="shared" si="301"/>
        <v/>
      </c>
      <c r="U1274" s="199" t="str">
        <f t="shared" si="294"/>
        <v/>
      </c>
      <c r="V1274" s="989"/>
      <c r="X1274" s="374" t="str">
        <f t="shared" si="295"/>
        <v/>
      </c>
      <c r="Y1274" s="375" t="str">
        <f t="shared" si="296"/>
        <v/>
      </c>
      <c r="Z1274" s="374" t="str">
        <f t="shared" si="297"/>
        <v/>
      </c>
      <c r="AA1274" s="374" t="b">
        <f t="shared" si="298"/>
        <v>1</v>
      </c>
      <c r="AB1274" s="374">
        <f>COUNTIFS(B:B,B1274,H:H,'סיווג התפקידים והעלויות'!$C$2)</f>
        <v>0</v>
      </c>
      <c r="AC1274" s="374">
        <f>COUNTIFS(B:B,B1274,H:H,'סיווג התפקידים והעלויות'!$D$2)</f>
        <v>0</v>
      </c>
      <c r="AD1274" s="374" t="str">
        <f>IF(OR(AND(H1274='סיווג התפקידים והעלויות'!$A$2,I1274='סיווג התפקידים והעלויות'!$A$3),'עלויות כח אדם (6)'!H1274='סיווג התפקידים והעלויות'!$C$2,'עלויות כח אדם (6)'!H1274='סיווג התפקידים והעלויות'!$D$2),IF('עלויות כח אדם (6)'!J1274&lt;75,"לא תקין","תקין"),"")</f>
        <v/>
      </c>
      <c r="AE1274" s="374" t="str">
        <f t="shared" si="299"/>
        <v/>
      </c>
      <c r="AF1274" s="532" t="str">
        <f t="shared" si="300"/>
        <v/>
      </c>
    </row>
    <row r="1275" spans="2:32" x14ac:dyDescent="0.25">
      <c r="B1275" s="695"/>
      <c r="C1275" s="197" t="str">
        <f>IF(B1275&lt;&gt;"",IFERROR(VLOOKUP(B:B,'מצבת והרשמה (2)'!$C$20:$N$520,2,0)," ")," ")</f>
        <v xml:space="preserve"> </v>
      </c>
      <c r="D1275" s="695"/>
      <c r="E1275" s="696"/>
      <c r="F1275" s="696"/>
      <c r="G1275" s="696"/>
      <c r="H1275" s="696"/>
      <c r="I1275" s="1050" t="str">
        <f t="shared" si="287"/>
        <v/>
      </c>
      <c r="J1275" s="696"/>
      <c r="K1275" s="697"/>
      <c r="L1275" s="696"/>
      <c r="M1275" s="198" t="str">
        <f t="shared" si="288"/>
        <v/>
      </c>
      <c r="N1275" s="369" t="str">
        <f t="shared" si="289"/>
        <v/>
      </c>
      <c r="O1275" s="183" t="str">
        <f t="shared" si="290"/>
        <v/>
      </c>
      <c r="P1275" s="199" t="str">
        <f t="shared" si="291"/>
        <v/>
      </c>
      <c r="Q1275" s="199" t="str">
        <f>IF(B1275="","",IFERROR(IF('עלויות כח אדם (6)'!J1275&gt;=VLOOKUP(I1275,'סיווג התפקידים והעלויות'!$B$23:$C$32,2,0),"תקין","לא תקין"),""))</f>
        <v/>
      </c>
      <c r="R1275" s="199" t="str">
        <f t="shared" si="292"/>
        <v/>
      </c>
      <c r="S1275" s="199" t="str">
        <f t="shared" si="293"/>
        <v/>
      </c>
      <c r="T1275" s="199" t="str">
        <f t="shared" si="301"/>
        <v/>
      </c>
      <c r="U1275" s="199" t="str">
        <f t="shared" si="294"/>
        <v/>
      </c>
      <c r="V1275" s="989"/>
      <c r="X1275" s="374" t="str">
        <f t="shared" si="295"/>
        <v/>
      </c>
      <c r="Y1275" s="375" t="str">
        <f t="shared" si="296"/>
        <v/>
      </c>
      <c r="Z1275" s="374" t="str">
        <f t="shared" si="297"/>
        <v/>
      </c>
      <c r="AA1275" s="374" t="b">
        <f t="shared" si="298"/>
        <v>1</v>
      </c>
      <c r="AB1275" s="374">
        <f>COUNTIFS(B:B,B1275,H:H,'סיווג התפקידים והעלויות'!$C$2)</f>
        <v>0</v>
      </c>
      <c r="AC1275" s="374">
        <f>COUNTIFS(B:B,B1275,H:H,'סיווג התפקידים והעלויות'!$D$2)</f>
        <v>0</v>
      </c>
      <c r="AD1275" s="374" t="str">
        <f>IF(OR(AND(H1275='סיווג התפקידים והעלויות'!$A$2,I1275='סיווג התפקידים והעלויות'!$A$3),'עלויות כח אדם (6)'!H1275='סיווג התפקידים והעלויות'!$C$2,'עלויות כח אדם (6)'!H1275='סיווג התפקידים והעלויות'!$D$2),IF('עלויות כח אדם (6)'!J1275&lt;75,"לא תקין","תקין"),"")</f>
        <v/>
      </c>
      <c r="AE1275" s="374" t="str">
        <f t="shared" si="299"/>
        <v/>
      </c>
      <c r="AF1275" s="532" t="str">
        <f t="shared" si="300"/>
        <v/>
      </c>
    </row>
    <row r="1276" spans="2:32" x14ac:dyDescent="0.25">
      <c r="B1276" s="695"/>
      <c r="C1276" s="197" t="str">
        <f>IF(B1276&lt;&gt;"",IFERROR(VLOOKUP(B:B,'מצבת והרשמה (2)'!$C$20:$N$520,2,0)," ")," ")</f>
        <v xml:space="preserve"> </v>
      </c>
      <c r="D1276" s="695"/>
      <c r="E1276" s="696"/>
      <c r="F1276" s="696"/>
      <c r="G1276" s="696"/>
      <c r="H1276" s="696"/>
      <c r="I1276" s="1050" t="str">
        <f t="shared" si="287"/>
        <v/>
      </c>
      <c r="J1276" s="696"/>
      <c r="K1276" s="697"/>
      <c r="L1276" s="696"/>
      <c r="M1276" s="198" t="str">
        <f t="shared" si="288"/>
        <v/>
      </c>
      <c r="N1276" s="369" t="str">
        <f t="shared" si="289"/>
        <v/>
      </c>
      <c r="O1276" s="183" t="str">
        <f t="shared" si="290"/>
        <v/>
      </c>
      <c r="P1276" s="199" t="str">
        <f t="shared" si="291"/>
        <v/>
      </c>
      <c r="Q1276" s="199" t="str">
        <f>IF(B1276="","",IFERROR(IF('עלויות כח אדם (6)'!J1276&gt;=VLOOKUP(I1276,'סיווג התפקידים והעלויות'!$B$23:$C$32,2,0),"תקין","לא תקין"),""))</f>
        <v/>
      </c>
      <c r="R1276" s="199" t="str">
        <f t="shared" si="292"/>
        <v/>
      </c>
      <c r="S1276" s="199" t="str">
        <f t="shared" si="293"/>
        <v/>
      </c>
      <c r="T1276" s="199" t="str">
        <f t="shared" si="301"/>
        <v/>
      </c>
      <c r="U1276" s="199" t="str">
        <f t="shared" si="294"/>
        <v/>
      </c>
      <c r="V1276" s="989"/>
      <c r="X1276" s="374" t="str">
        <f t="shared" si="295"/>
        <v/>
      </c>
      <c r="Y1276" s="375" t="str">
        <f t="shared" si="296"/>
        <v/>
      </c>
      <c r="Z1276" s="374" t="str">
        <f t="shared" si="297"/>
        <v/>
      </c>
      <c r="AA1276" s="374" t="b">
        <f t="shared" si="298"/>
        <v>1</v>
      </c>
      <c r="AB1276" s="374">
        <f>COUNTIFS(B:B,B1276,H:H,'סיווג התפקידים והעלויות'!$C$2)</f>
        <v>0</v>
      </c>
      <c r="AC1276" s="374">
        <f>COUNTIFS(B:B,B1276,H:H,'סיווג התפקידים והעלויות'!$D$2)</f>
        <v>0</v>
      </c>
      <c r="AD1276" s="374" t="str">
        <f>IF(OR(AND(H1276='סיווג התפקידים והעלויות'!$A$2,I1276='סיווג התפקידים והעלויות'!$A$3),'עלויות כח אדם (6)'!H1276='סיווג התפקידים והעלויות'!$C$2,'עלויות כח אדם (6)'!H1276='סיווג התפקידים והעלויות'!$D$2),IF('עלויות כח אדם (6)'!J1276&lt;75,"לא תקין","תקין"),"")</f>
        <v/>
      </c>
      <c r="AE1276" s="374" t="str">
        <f t="shared" si="299"/>
        <v/>
      </c>
      <c r="AF1276" s="532" t="str">
        <f t="shared" si="300"/>
        <v/>
      </c>
    </row>
    <row r="1277" spans="2:32" x14ac:dyDescent="0.25">
      <c r="B1277" s="695"/>
      <c r="C1277" s="197" t="str">
        <f>IF(B1277&lt;&gt;"",IFERROR(VLOOKUP(B:B,'מצבת והרשמה (2)'!$C$20:$N$520,2,0)," ")," ")</f>
        <v xml:space="preserve"> </v>
      </c>
      <c r="D1277" s="695"/>
      <c r="E1277" s="696"/>
      <c r="F1277" s="696"/>
      <c r="G1277" s="696"/>
      <c r="H1277" s="696"/>
      <c r="I1277" s="1050" t="str">
        <f t="shared" si="287"/>
        <v/>
      </c>
      <c r="J1277" s="696"/>
      <c r="K1277" s="697"/>
      <c r="L1277" s="696"/>
      <c r="M1277" s="198" t="str">
        <f t="shared" si="288"/>
        <v/>
      </c>
      <c r="N1277" s="369" t="str">
        <f t="shared" si="289"/>
        <v/>
      </c>
      <c r="O1277" s="183" t="str">
        <f t="shared" si="290"/>
        <v/>
      </c>
      <c r="P1277" s="199" t="str">
        <f t="shared" si="291"/>
        <v/>
      </c>
      <c r="Q1277" s="199" t="str">
        <f>IF(B1277="","",IFERROR(IF('עלויות כח אדם (6)'!J1277&gt;=VLOOKUP(I1277,'סיווג התפקידים והעלויות'!$B$23:$C$32,2,0),"תקין","לא תקין"),""))</f>
        <v/>
      </c>
      <c r="R1277" s="199" t="str">
        <f t="shared" si="292"/>
        <v/>
      </c>
      <c r="S1277" s="199" t="str">
        <f t="shared" si="293"/>
        <v/>
      </c>
      <c r="T1277" s="199" t="str">
        <f t="shared" si="301"/>
        <v/>
      </c>
      <c r="U1277" s="199" t="str">
        <f t="shared" si="294"/>
        <v/>
      </c>
      <c r="V1277" s="989"/>
      <c r="X1277" s="374" t="str">
        <f t="shared" si="295"/>
        <v/>
      </c>
      <c r="Y1277" s="375" t="str">
        <f t="shared" si="296"/>
        <v/>
      </c>
      <c r="Z1277" s="374" t="str">
        <f t="shared" si="297"/>
        <v/>
      </c>
      <c r="AA1277" s="374" t="b">
        <f t="shared" si="298"/>
        <v>1</v>
      </c>
      <c r="AB1277" s="374">
        <f>COUNTIFS(B:B,B1277,H:H,'סיווג התפקידים והעלויות'!$C$2)</f>
        <v>0</v>
      </c>
      <c r="AC1277" s="374">
        <f>COUNTIFS(B:B,B1277,H:H,'סיווג התפקידים והעלויות'!$D$2)</f>
        <v>0</v>
      </c>
      <c r="AD1277" s="374" t="str">
        <f>IF(OR(AND(H1277='סיווג התפקידים והעלויות'!$A$2,I1277='סיווג התפקידים והעלויות'!$A$3),'עלויות כח אדם (6)'!H1277='סיווג התפקידים והעלויות'!$C$2,'עלויות כח אדם (6)'!H1277='סיווג התפקידים והעלויות'!$D$2),IF('עלויות כח אדם (6)'!J1277&lt;75,"לא תקין","תקין"),"")</f>
        <v/>
      </c>
      <c r="AE1277" s="374" t="str">
        <f t="shared" si="299"/>
        <v/>
      </c>
      <c r="AF1277" s="532" t="str">
        <f t="shared" si="300"/>
        <v/>
      </c>
    </row>
    <row r="1278" spans="2:32" x14ac:dyDescent="0.25">
      <c r="B1278" s="695"/>
      <c r="C1278" s="197" t="str">
        <f>IF(B1278&lt;&gt;"",IFERROR(VLOOKUP(B:B,'מצבת והרשמה (2)'!$C$20:$N$520,2,0)," ")," ")</f>
        <v xml:space="preserve"> </v>
      </c>
      <c r="D1278" s="695"/>
      <c r="E1278" s="696"/>
      <c r="F1278" s="696"/>
      <c r="G1278" s="696"/>
      <c r="H1278" s="696"/>
      <c r="I1278" s="1050" t="str">
        <f t="shared" si="287"/>
        <v/>
      </c>
      <c r="J1278" s="696"/>
      <c r="K1278" s="697"/>
      <c r="L1278" s="696"/>
      <c r="M1278" s="198" t="str">
        <f t="shared" si="288"/>
        <v/>
      </c>
      <c r="N1278" s="369" t="str">
        <f t="shared" si="289"/>
        <v/>
      </c>
      <c r="O1278" s="183" t="str">
        <f t="shared" si="290"/>
        <v/>
      </c>
      <c r="P1278" s="199" t="str">
        <f t="shared" si="291"/>
        <v/>
      </c>
      <c r="Q1278" s="199" t="str">
        <f>IF(B1278="","",IFERROR(IF('עלויות כח אדם (6)'!J1278&gt;=VLOOKUP(I1278,'סיווג התפקידים והעלויות'!$B$23:$C$32,2,0),"תקין","לא תקין"),""))</f>
        <v/>
      </c>
      <c r="R1278" s="199" t="str">
        <f t="shared" si="292"/>
        <v/>
      </c>
      <c r="S1278" s="199" t="str">
        <f t="shared" si="293"/>
        <v/>
      </c>
      <c r="T1278" s="199" t="str">
        <f t="shared" si="301"/>
        <v/>
      </c>
      <c r="U1278" s="199" t="str">
        <f t="shared" si="294"/>
        <v/>
      </c>
      <c r="V1278" s="989"/>
      <c r="X1278" s="374" t="str">
        <f t="shared" si="295"/>
        <v/>
      </c>
      <c r="Y1278" s="375" t="str">
        <f t="shared" si="296"/>
        <v/>
      </c>
      <c r="Z1278" s="374" t="str">
        <f t="shared" si="297"/>
        <v/>
      </c>
      <c r="AA1278" s="374" t="b">
        <f t="shared" si="298"/>
        <v>1</v>
      </c>
      <c r="AB1278" s="374">
        <f>COUNTIFS(B:B,B1278,H:H,'סיווג התפקידים והעלויות'!$C$2)</f>
        <v>0</v>
      </c>
      <c r="AC1278" s="374">
        <f>COUNTIFS(B:B,B1278,H:H,'סיווג התפקידים והעלויות'!$D$2)</f>
        <v>0</v>
      </c>
      <c r="AD1278" s="374" t="str">
        <f>IF(OR(AND(H1278='סיווג התפקידים והעלויות'!$A$2,I1278='סיווג התפקידים והעלויות'!$A$3),'עלויות כח אדם (6)'!H1278='סיווג התפקידים והעלויות'!$C$2,'עלויות כח אדם (6)'!H1278='סיווג התפקידים והעלויות'!$D$2),IF('עלויות כח אדם (6)'!J1278&lt;75,"לא תקין","תקין"),"")</f>
        <v/>
      </c>
      <c r="AE1278" s="374" t="str">
        <f t="shared" si="299"/>
        <v/>
      </c>
      <c r="AF1278" s="532" t="str">
        <f t="shared" si="300"/>
        <v/>
      </c>
    </row>
    <row r="1279" spans="2:32" x14ac:dyDescent="0.25">
      <c r="B1279" s="695"/>
      <c r="C1279" s="197" t="str">
        <f>IF(B1279&lt;&gt;"",IFERROR(VLOOKUP(B:B,'מצבת והרשמה (2)'!$C$20:$N$520,2,0)," ")," ")</f>
        <v xml:space="preserve"> </v>
      </c>
      <c r="D1279" s="695"/>
      <c r="E1279" s="696"/>
      <c r="F1279" s="696"/>
      <c r="G1279" s="696"/>
      <c r="H1279" s="696"/>
      <c r="I1279" s="1050" t="str">
        <f t="shared" si="287"/>
        <v/>
      </c>
      <c r="J1279" s="696"/>
      <c r="K1279" s="697"/>
      <c r="L1279" s="696"/>
      <c r="M1279" s="198" t="str">
        <f t="shared" si="288"/>
        <v/>
      </c>
      <c r="N1279" s="369" t="str">
        <f t="shared" si="289"/>
        <v/>
      </c>
      <c r="O1279" s="183" t="str">
        <f t="shared" si="290"/>
        <v/>
      </c>
      <c r="P1279" s="199" t="str">
        <f t="shared" si="291"/>
        <v/>
      </c>
      <c r="Q1279" s="199" t="str">
        <f>IF(B1279="","",IFERROR(IF('עלויות כח אדם (6)'!J1279&gt;=VLOOKUP(I1279,'סיווג התפקידים והעלויות'!$B$23:$C$32,2,0),"תקין","לא תקין"),""))</f>
        <v/>
      </c>
      <c r="R1279" s="199" t="str">
        <f t="shared" si="292"/>
        <v/>
      </c>
      <c r="S1279" s="199" t="str">
        <f t="shared" si="293"/>
        <v/>
      </c>
      <c r="T1279" s="199" t="str">
        <f t="shared" si="301"/>
        <v/>
      </c>
      <c r="U1279" s="199" t="str">
        <f t="shared" si="294"/>
        <v/>
      </c>
      <c r="V1279" s="989"/>
      <c r="X1279" s="374" t="str">
        <f t="shared" si="295"/>
        <v/>
      </c>
      <c r="Y1279" s="375" t="str">
        <f t="shared" si="296"/>
        <v/>
      </c>
      <c r="Z1279" s="374" t="str">
        <f t="shared" si="297"/>
        <v/>
      </c>
      <c r="AA1279" s="374" t="b">
        <f t="shared" si="298"/>
        <v>1</v>
      </c>
      <c r="AB1279" s="374">
        <f>COUNTIFS(B:B,B1279,H:H,'סיווג התפקידים והעלויות'!$C$2)</f>
        <v>0</v>
      </c>
      <c r="AC1279" s="374">
        <f>COUNTIFS(B:B,B1279,H:H,'סיווג התפקידים והעלויות'!$D$2)</f>
        <v>0</v>
      </c>
      <c r="AD1279" s="374" t="str">
        <f>IF(OR(AND(H1279='סיווג התפקידים והעלויות'!$A$2,I1279='סיווג התפקידים והעלויות'!$A$3),'עלויות כח אדם (6)'!H1279='סיווג התפקידים והעלויות'!$C$2,'עלויות כח אדם (6)'!H1279='סיווג התפקידים והעלויות'!$D$2),IF('עלויות כח אדם (6)'!J1279&lt;75,"לא תקין","תקין"),"")</f>
        <v/>
      </c>
      <c r="AE1279" s="374" t="str">
        <f t="shared" si="299"/>
        <v/>
      </c>
      <c r="AF1279" s="532" t="str">
        <f t="shared" si="300"/>
        <v/>
      </c>
    </row>
    <row r="1280" spans="2:32" x14ac:dyDescent="0.25">
      <c r="B1280" s="695"/>
      <c r="C1280" s="197" t="str">
        <f>IF(B1280&lt;&gt;"",IFERROR(VLOOKUP(B:B,'מצבת והרשמה (2)'!$C$20:$N$520,2,0)," ")," ")</f>
        <v xml:space="preserve"> </v>
      </c>
      <c r="D1280" s="695"/>
      <c r="E1280" s="696"/>
      <c r="F1280" s="696"/>
      <c r="G1280" s="696"/>
      <c r="H1280" s="696"/>
      <c r="I1280" s="1050" t="str">
        <f t="shared" si="287"/>
        <v/>
      </c>
      <c r="J1280" s="696"/>
      <c r="K1280" s="697"/>
      <c r="L1280" s="696"/>
      <c r="M1280" s="198" t="str">
        <f t="shared" si="288"/>
        <v/>
      </c>
      <c r="N1280" s="369" t="str">
        <f t="shared" si="289"/>
        <v/>
      </c>
      <c r="O1280" s="183" t="str">
        <f t="shared" si="290"/>
        <v/>
      </c>
      <c r="P1280" s="199" t="str">
        <f t="shared" si="291"/>
        <v/>
      </c>
      <c r="Q1280" s="199" t="str">
        <f>IF(B1280="","",IFERROR(IF('עלויות כח אדם (6)'!J1280&gt;=VLOOKUP(I1280,'סיווג התפקידים והעלויות'!$B$23:$C$32,2,0),"תקין","לא תקין"),""))</f>
        <v/>
      </c>
      <c r="R1280" s="199" t="str">
        <f t="shared" si="292"/>
        <v/>
      </c>
      <c r="S1280" s="199" t="str">
        <f t="shared" si="293"/>
        <v/>
      </c>
      <c r="T1280" s="199" t="str">
        <f t="shared" si="301"/>
        <v/>
      </c>
      <c r="U1280" s="199" t="str">
        <f t="shared" si="294"/>
        <v/>
      </c>
      <c r="V1280" s="989"/>
      <c r="X1280" s="374" t="str">
        <f t="shared" si="295"/>
        <v/>
      </c>
      <c r="Y1280" s="375" t="str">
        <f t="shared" si="296"/>
        <v/>
      </c>
      <c r="Z1280" s="374" t="str">
        <f t="shared" si="297"/>
        <v/>
      </c>
      <c r="AA1280" s="374" t="b">
        <f t="shared" si="298"/>
        <v>1</v>
      </c>
      <c r="AB1280" s="374">
        <f>COUNTIFS(B:B,B1280,H:H,'סיווג התפקידים והעלויות'!$C$2)</f>
        <v>0</v>
      </c>
      <c r="AC1280" s="374">
        <f>COUNTIFS(B:B,B1280,H:H,'סיווג התפקידים והעלויות'!$D$2)</f>
        <v>0</v>
      </c>
      <c r="AD1280" s="374" t="str">
        <f>IF(OR(AND(H1280='סיווג התפקידים והעלויות'!$A$2,I1280='סיווג התפקידים והעלויות'!$A$3),'עלויות כח אדם (6)'!H1280='סיווג התפקידים והעלויות'!$C$2,'עלויות כח אדם (6)'!H1280='סיווג התפקידים והעלויות'!$D$2),IF('עלויות כח אדם (6)'!J1280&lt;75,"לא תקין","תקין"),"")</f>
        <v/>
      </c>
      <c r="AE1280" s="374" t="str">
        <f t="shared" si="299"/>
        <v/>
      </c>
      <c r="AF1280" s="532" t="str">
        <f t="shared" si="300"/>
        <v/>
      </c>
    </row>
    <row r="1281" spans="2:32" x14ac:dyDescent="0.25">
      <c r="B1281" s="695"/>
      <c r="C1281" s="197" t="str">
        <f>IF(B1281&lt;&gt;"",IFERROR(VLOOKUP(B:B,'מצבת והרשמה (2)'!$C$20:$N$520,2,0)," ")," ")</f>
        <v xml:space="preserve"> </v>
      </c>
      <c r="D1281" s="695"/>
      <c r="E1281" s="696"/>
      <c r="F1281" s="696"/>
      <c r="G1281" s="696"/>
      <c r="H1281" s="696"/>
      <c r="I1281" s="1050" t="str">
        <f t="shared" si="287"/>
        <v/>
      </c>
      <c r="J1281" s="696"/>
      <c r="K1281" s="697"/>
      <c r="L1281" s="696"/>
      <c r="M1281" s="198" t="str">
        <f t="shared" si="288"/>
        <v/>
      </c>
      <c r="N1281" s="369" t="str">
        <f t="shared" si="289"/>
        <v/>
      </c>
      <c r="O1281" s="183" t="str">
        <f t="shared" si="290"/>
        <v/>
      </c>
      <c r="P1281" s="199" t="str">
        <f t="shared" si="291"/>
        <v/>
      </c>
      <c r="Q1281" s="199" t="str">
        <f>IF(B1281="","",IFERROR(IF('עלויות כח אדם (6)'!J1281&gt;=VLOOKUP(I1281,'סיווג התפקידים והעלויות'!$B$23:$C$32,2,0),"תקין","לא תקין"),""))</f>
        <v/>
      </c>
      <c r="R1281" s="199" t="str">
        <f t="shared" si="292"/>
        <v/>
      </c>
      <c r="S1281" s="199" t="str">
        <f t="shared" si="293"/>
        <v/>
      </c>
      <c r="T1281" s="199" t="str">
        <f t="shared" si="301"/>
        <v/>
      </c>
      <c r="U1281" s="199" t="str">
        <f t="shared" si="294"/>
        <v/>
      </c>
      <c r="V1281" s="989"/>
      <c r="X1281" s="374" t="str">
        <f t="shared" si="295"/>
        <v/>
      </c>
      <c r="Y1281" s="375" t="str">
        <f t="shared" si="296"/>
        <v/>
      </c>
      <c r="Z1281" s="374" t="str">
        <f t="shared" si="297"/>
        <v/>
      </c>
      <c r="AA1281" s="374" t="b">
        <f t="shared" si="298"/>
        <v>1</v>
      </c>
      <c r="AB1281" s="374">
        <f>COUNTIFS(B:B,B1281,H:H,'סיווג התפקידים והעלויות'!$C$2)</f>
        <v>0</v>
      </c>
      <c r="AC1281" s="374">
        <f>COUNTIFS(B:B,B1281,H:H,'סיווג התפקידים והעלויות'!$D$2)</f>
        <v>0</v>
      </c>
      <c r="AD1281" s="374" t="str">
        <f>IF(OR(AND(H1281='סיווג התפקידים והעלויות'!$A$2,I1281='סיווג התפקידים והעלויות'!$A$3),'עלויות כח אדם (6)'!H1281='סיווג התפקידים והעלויות'!$C$2,'עלויות כח אדם (6)'!H1281='סיווג התפקידים והעלויות'!$D$2),IF('עלויות כח אדם (6)'!J1281&lt;75,"לא תקין","תקין"),"")</f>
        <v/>
      </c>
      <c r="AE1281" s="374" t="str">
        <f t="shared" si="299"/>
        <v/>
      </c>
      <c r="AF1281" s="532" t="str">
        <f t="shared" si="300"/>
        <v/>
      </c>
    </row>
    <row r="1282" spans="2:32" x14ac:dyDescent="0.25">
      <c r="B1282" s="695"/>
      <c r="C1282" s="197" t="str">
        <f>IF(B1282&lt;&gt;"",IFERROR(VLOOKUP(B:B,'מצבת והרשמה (2)'!$C$20:$N$520,2,0)," ")," ")</f>
        <v xml:space="preserve"> </v>
      </c>
      <c r="D1282" s="695"/>
      <c r="E1282" s="696"/>
      <c r="F1282" s="696"/>
      <c r="G1282" s="696"/>
      <c r="H1282" s="696"/>
      <c r="I1282" s="1050" t="str">
        <f t="shared" si="287"/>
        <v/>
      </c>
      <c r="J1282" s="696"/>
      <c r="K1282" s="697"/>
      <c r="L1282" s="696"/>
      <c r="M1282" s="198" t="str">
        <f t="shared" si="288"/>
        <v/>
      </c>
      <c r="N1282" s="369" t="str">
        <f t="shared" si="289"/>
        <v/>
      </c>
      <c r="O1282" s="183" t="str">
        <f t="shared" si="290"/>
        <v/>
      </c>
      <c r="P1282" s="199" t="str">
        <f t="shared" si="291"/>
        <v/>
      </c>
      <c r="Q1282" s="199" t="str">
        <f>IF(B1282="","",IFERROR(IF('עלויות כח אדם (6)'!J1282&gt;=VLOOKUP(I1282,'סיווג התפקידים והעלויות'!$B$23:$C$32,2,0),"תקין","לא תקין"),""))</f>
        <v/>
      </c>
      <c r="R1282" s="199" t="str">
        <f t="shared" si="292"/>
        <v/>
      </c>
      <c r="S1282" s="199" t="str">
        <f t="shared" si="293"/>
        <v/>
      </c>
      <c r="T1282" s="199" t="str">
        <f t="shared" si="301"/>
        <v/>
      </c>
      <c r="U1282" s="199" t="str">
        <f t="shared" si="294"/>
        <v/>
      </c>
      <c r="V1282" s="989"/>
      <c r="X1282" s="374" t="str">
        <f t="shared" si="295"/>
        <v/>
      </c>
      <c r="Y1282" s="375" t="str">
        <f t="shared" si="296"/>
        <v/>
      </c>
      <c r="Z1282" s="374" t="str">
        <f t="shared" si="297"/>
        <v/>
      </c>
      <c r="AA1282" s="374" t="b">
        <f t="shared" si="298"/>
        <v>1</v>
      </c>
      <c r="AB1282" s="374">
        <f>COUNTIFS(B:B,B1282,H:H,'סיווג התפקידים והעלויות'!$C$2)</f>
        <v>0</v>
      </c>
      <c r="AC1282" s="374">
        <f>COUNTIFS(B:B,B1282,H:H,'סיווג התפקידים והעלויות'!$D$2)</f>
        <v>0</v>
      </c>
      <c r="AD1282" s="374" t="str">
        <f>IF(OR(AND(H1282='סיווג התפקידים והעלויות'!$A$2,I1282='סיווג התפקידים והעלויות'!$A$3),'עלויות כח אדם (6)'!H1282='סיווג התפקידים והעלויות'!$C$2,'עלויות כח אדם (6)'!H1282='סיווג התפקידים והעלויות'!$D$2),IF('עלויות כח אדם (6)'!J1282&lt;75,"לא תקין","תקין"),"")</f>
        <v/>
      </c>
      <c r="AE1282" s="374" t="str">
        <f t="shared" si="299"/>
        <v/>
      </c>
      <c r="AF1282" s="532" t="str">
        <f t="shared" si="300"/>
        <v/>
      </c>
    </row>
    <row r="1283" spans="2:32" x14ac:dyDescent="0.25">
      <c r="B1283" s="695"/>
      <c r="C1283" s="197" t="str">
        <f>IF(B1283&lt;&gt;"",IFERROR(VLOOKUP(B:B,'מצבת והרשמה (2)'!$C$20:$N$520,2,0)," ")," ")</f>
        <v xml:space="preserve"> </v>
      </c>
      <c r="D1283" s="695"/>
      <c r="E1283" s="696"/>
      <c r="F1283" s="696"/>
      <c r="G1283" s="696"/>
      <c r="H1283" s="696"/>
      <c r="I1283" s="1050" t="str">
        <f t="shared" si="287"/>
        <v/>
      </c>
      <c r="J1283" s="696"/>
      <c r="K1283" s="697"/>
      <c r="L1283" s="696"/>
      <c r="M1283" s="198" t="str">
        <f t="shared" si="288"/>
        <v/>
      </c>
      <c r="N1283" s="369" t="str">
        <f t="shared" si="289"/>
        <v/>
      </c>
      <c r="O1283" s="183" t="str">
        <f t="shared" si="290"/>
        <v/>
      </c>
      <c r="P1283" s="199" t="str">
        <f t="shared" si="291"/>
        <v/>
      </c>
      <c r="Q1283" s="199" t="str">
        <f>IF(B1283="","",IFERROR(IF('עלויות כח אדם (6)'!J1283&gt;=VLOOKUP(I1283,'סיווג התפקידים והעלויות'!$B$23:$C$32,2,0),"תקין","לא תקין"),""))</f>
        <v/>
      </c>
      <c r="R1283" s="199" t="str">
        <f t="shared" si="292"/>
        <v/>
      </c>
      <c r="S1283" s="199" t="str">
        <f t="shared" si="293"/>
        <v/>
      </c>
      <c r="T1283" s="199" t="str">
        <f t="shared" si="301"/>
        <v/>
      </c>
      <c r="U1283" s="199" t="str">
        <f t="shared" si="294"/>
        <v/>
      </c>
      <c r="V1283" s="989"/>
      <c r="X1283" s="374" t="str">
        <f t="shared" si="295"/>
        <v/>
      </c>
      <c r="Y1283" s="375" t="str">
        <f t="shared" si="296"/>
        <v/>
      </c>
      <c r="Z1283" s="374" t="str">
        <f t="shared" si="297"/>
        <v/>
      </c>
      <c r="AA1283" s="374" t="b">
        <f t="shared" si="298"/>
        <v>1</v>
      </c>
      <c r="AB1283" s="374">
        <f>COUNTIFS(B:B,B1283,H:H,'סיווג התפקידים והעלויות'!$C$2)</f>
        <v>0</v>
      </c>
      <c r="AC1283" s="374">
        <f>COUNTIFS(B:B,B1283,H:H,'סיווג התפקידים והעלויות'!$D$2)</f>
        <v>0</v>
      </c>
      <c r="AD1283" s="374" t="str">
        <f>IF(OR(AND(H1283='סיווג התפקידים והעלויות'!$A$2,I1283='סיווג התפקידים והעלויות'!$A$3),'עלויות כח אדם (6)'!H1283='סיווג התפקידים והעלויות'!$C$2,'עלויות כח אדם (6)'!H1283='סיווג התפקידים והעלויות'!$D$2),IF('עלויות כח אדם (6)'!J1283&lt;75,"לא תקין","תקין"),"")</f>
        <v/>
      </c>
      <c r="AE1283" s="374" t="str">
        <f t="shared" si="299"/>
        <v/>
      </c>
      <c r="AF1283" s="532" t="str">
        <f t="shared" si="300"/>
        <v/>
      </c>
    </row>
    <row r="1284" spans="2:32" x14ac:dyDescent="0.25">
      <c r="B1284" s="695"/>
      <c r="C1284" s="197" t="str">
        <f>IF(B1284&lt;&gt;"",IFERROR(VLOOKUP(B:B,'מצבת והרשמה (2)'!$C$20:$N$520,2,0)," ")," ")</f>
        <v xml:space="preserve"> </v>
      </c>
      <c r="D1284" s="695"/>
      <c r="E1284" s="696"/>
      <c r="F1284" s="696"/>
      <c r="G1284" s="696"/>
      <c r="H1284" s="696"/>
      <c r="I1284" s="1050" t="str">
        <f t="shared" si="287"/>
        <v/>
      </c>
      <c r="J1284" s="696"/>
      <c r="K1284" s="697"/>
      <c r="L1284" s="696"/>
      <c r="M1284" s="198" t="str">
        <f t="shared" si="288"/>
        <v/>
      </c>
      <c r="N1284" s="369" t="str">
        <f t="shared" si="289"/>
        <v/>
      </c>
      <c r="O1284" s="183" t="str">
        <f t="shared" si="290"/>
        <v/>
      </c>
      <c r="P1284" s="199" t="str">
        <f t="shared" si="291"/>
        <v/>
      </c>
      <c r="Q1284" s="199" t="str">
        <f>IF(B1284="","",IFERROR(IF('עלויות כח אדם (6)'!J1284&gt;=VLOOKUP(I1284,'סיווג התפקידים והעלויות'!$B$23:$C$32,2,0),"תקין","לא תקין"),""))</f>
        <v/>
      </c>
      <c r="R1284" s="199" t="str">
        <f t="shared" si="292"/>
        <v/>
      </c>
      <c r="S1284" s="199" t="str">
        <f t="shared" si="293"/>
        <v/>
      </c>
      <c r="T1284" s="199" t="str">
        <f t="shared" si="301"/>
        <v/>
      </c>
      <c r="U1284" s="199" t="str">
        <f t="shared" si="294"/>
        <v/>
      </c>
      <c r="V1284" s="989"/>
      <c r="X1284" s="374" t="str">
        <f t="shared" si="295"/>
        <v/>
      </c>
      <c r="Y1284" s="375" t="str">
        <f t="shared" si="296"/>
        <v/>
      </c>
      <c r="Z1284" s="374" t="str">
        <f t="shared" si="297"/>
        <v/>
      </c>
      <c r="AA1284" s="374" t="b">
        <f t="shared" si="298"/>
        <v>1</v>
      </c>
      <c r="AB1284" s="374">
        <f>COUNTIFS(B:B,B1284,H:H,'סיווג התפקידים והעלויות'!$C$2)</f>
        <v>0</v>
      </c>
      <c r="AC1284" s="374">
        <f>COUNTIFS(B:B,B1284,H:H,'סיווג התפקידים והעלויות'!$D$2)</f>
        <v>0</v>
      </c>
      <c r="AD1284" s="374" t="str">
        <f>IF(OR(AND(H1284='סיווג התפקידים והעלויות'!$A$2,I1284='סיווג התפקידים והעלויות'!$A$3),'עלויות כח אדם (6)'!H1284='סיווג התפקידים והעלויות'!$C$2,'עלויות כח אדם (6)'!H1284='סיווג התפקידים והעלויות'!$D$2),IF('עלויות כח אדם (6)'!J1284&lt;75,"לא תקין","תקין"),"")</f>
        <v/>
      </c>
      <c r="AE1284" s="374" t="str">
        <f t="shared" si="299"/>
        <v/>
      </c>
      <c r="AF1284" s="532" t="str">
        <f t="shared" si="300"/>
        <v/>
      </c>
    </row>
    <row r="1285" spans="2:32" x14ac:dyDescent="0.25">
      <c r="B1285" s="695"/>
      <c r="C1285" s="197" t="str">
        <f>IF(B1285&lt;&gt;"",IFERROR(VLOOKUP(B:B,'מצבת והרשמה (2)'!$C$20:$N$520,2,0)," ")," ")</f>
        <v xml:space="preserve"> </v>
      </c>
      <c r="D1285" s="695"/>
      <c r="E1285" s="696"/>
      <c r="F1285" s="696"/>
      <c r="G1285" s="696"/>
      <c r="H1285" s="696"/>
      <c r="I1285" s="1050" t="str">
        <f t="shared" si="287"/>
        <v/>
      </c>
      <c r="J1285" s="696"/>
      <c r="K1285" s="697"/>
      <c r="L1285" s="696"/>
      <c r="M1285" s="198" t="str">
        <f t="shared" si="288"/>
        <v/>
      </c>
      <c r="N1285" s="369" t="str">
        <f t="shared" si="289"/>
        <v/>
      </c>
      <c r="O1285" s="183" t="str">
        <f t="shared" si="290"/>
        <v/>
      </c>
      <c r="P1285" s="199" t="str">
        <f t="shared" si="291"/>
        <v/>
      </c>
      <c r="Q1285" s="199" t="str">
        <f>IF(B1285="","",IFERROR(IF('עלויות כח אדם (6)'!J1285&gt;=VLOOKUP(I1285,'סיווג התפקידים והעלויות'!$B$23:$C$32,2,0),"תקין","לא תקין"),""))</f>
        <v/>
      </c>
      <c r="R1285" s="199" t="str">
        <f t="shared" si="292"/>
        <v/>
      </c>
      <c r="S1285" s="199" t="str">
        <f t="shared" si="293"/>
        <v/>
      </c>
      <c r="T1285" s="199" t="str">
        <f t="shared" si="301"/>
        <v/>
      </c>
      <c r="U1285" s="199" t="str">
        <f t="shared" si="294"/>
        <v/>
      </c>
      <c r="V1285" s="989"/>
      <c r="X1285" s="374" t="str">
        <f t="shared" si="295"/>
        <v/>
      </c>
      <c r="Y1285" s="375" t="str">
        <f t="shared" si="296"/>
        <v/>
      </c>
      <c r="Z1285" s="374" t="str">
        <f t="shared" si="297"/>
        <v/>
      </c>
      <c r="AA1285" s="374" t="b">
        <f t="shared" si="298"/>
        <v>1</v>
      </c>
      <c r="AB1285" s="374">
        <f>COUNTIFS(B:B,B1285,H:H,'סיווג התפקידים והעלויות'!$C$2)</f>
        <v>0</v>
      </c>
      <c r="AC1285" s="374">
        <f>COUNTIFS(B:B,B1285,H:H,'סיווג התפקידים והעלויות'!$D$2)</f>
        <v>0</v>
      </c>
      <c r="AD1285" s="374" t="str">
        <f>IF(OR(AND(H1285='סיווג התפקידים והעלויות'!$A$2,I1285='סיווג התפקידים והעלויות'!$A$3),'עלויות כח אדם (6)'!H1285='סיווג התפקידים והעלויות'!$C$2,'עלויות כח אדם (6)'!H1285='סיווג התפקידים והעלויות'!$D$2),IF('עלויות כח אדם (6)'!J1285&lt;75,"לא תקין","תקין"),"")</f>
        <v/>
      </c>
      <c r="AE1285" s="374" t="str">
        <f t="shared" si="299"/>
        <v/>
      </c>
      <c r="AF1285" s="532" t="str">
        <f t="shared" si="300"/>
        <v/>
      </c>
    </row>
    <row r="1286" spans="2:32" x14ac:dyDescent="0.25">
      <c r="B1286" s="695"/>
      <c r="C1286" s="197" t="str">
        <f>IF(B1286&lt;&gt;"",IFERROR(VLOOKUP(B:B,'מצבת והרשמה (2)'!$C$20:$N$520,2,0)," ")," ")</f>
        <v xml:space="preserve"> </v>
      </c>
      <c r="D1286" s="695"/>
      <c r="E1286" s="696"/>
      <c r="F1286" s="696"/>
      <c r="G1286" s="696"/>
      <c r="H1286" s="696"/>
      <c r="I1286" s="1050" t="str">
        <f t="shared" si="287"/>
        <v/>
      </c>
      <c r="J1286" s="696"/>
      <c r="K1286" s="697"/>
      <c r="L1286" s="696"/>
      <c r="M1286" s="198" t="str">
        <f t="shared" si="288"/>
        <v/>
      </c>
      <c r="N1286" s="369" t="str">
        <f t="shared" si="289"/>
        <v/>
      </c>
      <c r="O1286" s="183" t="str">
        <f t="shared" si="290"/>
        <v/>
      </c>
      <c r="P1286" s="199" t="str">
        <f t="shared" si="291"/>
        <v/>
      </c>
      <c r="Q1286" s="199" t="str">
        <f>IF(B1286="","",IFERROR(IF('עלויות כח אדם (6)'!J1286&gt;=VLOOKUP(I1286,'סיווג התפקידים והעלויות'!$B$23:$C$32,2,0),"תקין","לא תקין"),""))</f>
        <v/>
      </c>
      <c r="R1286" s="199" t="str">
        <f t="shared" si="292"/>
        <v/>
      </c>
      <c r="S1286" s="199" t="str">
        <f t="shared" si="293"/>
        <v/>
      </c>
      <c r="T1286" s="199" t="str">
        <f t="shared" si="301"/>
        <v/>
      </c>
      <c r="U1286" s="199" t="str">
        <f t="shared" si="294"/>
        <v/>
      </c>
      <c r="V1286" s="989"/>
      <c r="X1286" s="374" t="str">
        <f t="shared" si="295"/>
        <v/>
      </c>
      <c r="Y1286" s="375" t="str">
        <f t="shared" si="296"/>
        <v/>
      </c>
      <c r="Z1286" s="374" t="str">
        <f t="shared" si="297"/>
        <v/>
      </c>
      <c r="AA1286" s="374" t="b">
        <f t="shared" si="298"/>
        <v>1</v>
      </c>
      <c r="AB1286" s="374">
        <f>COUNTIFS(B:B,B1286,H:H,'סיווג התפקידים והעלויות'!$C$2)</f>
        <v>0</v>
      </c>
      <c r="AC1286" s="374">
        <f>COUNTIFS(B:B,B1286,H:H,'סיווג התפקידים והעלויות'!$D$2)</f>
        <v>0</v>
      </c>
      <c r="AD1286" s="374" t="str">
        <f>IF(OR(AND(H1286='סיווג התפקידים והעלויות'!$A$2,I1286='סיווג התפקידים והעלויות'!$A$3),'עלויות כח אדם (6)'!H1286='סיווג התפקידים והעלויות'!$C$2,'עלויות כח אדם (6)'!H1286='סיווג התפקידים והעלויות'!$D$2),IF('עלויות כח אדם (6)'!J1286&lt;75,"לא תקין","תקין"),"")</f>
        <v/>
      </c>
      <c r="AE1286" s="374" t="str">
        <f t="shared" si="299"/>
        <v/>
      </c>
      <c r="AF1286" s="532" t="str">
        <f t="shared" si="300"/>
        <v/>
      </c>
    </row>
    <row r="1287" spans="2:32" x14ac:dyDescent="0.25">
      <c r="B1287" s="695"/>
      <c r="C1287" s="197" t="str">
        <f>IF(B1287&lt;&gt;"",IFERROR(VLOOKUP(B:B,'מצבת והרשמה (2)'!$C$20:$N$520,2,0)," ")," ")</f>
        <v xml:space="preserve"> </v>
      </c>
      <c r="D1287" s="695"/>
      <c r="E1287" s="696"/>
      <c r="F1287" s="696"/>
      <c r="G1287" s="696"/>
      <c r="H1287" s="696"/>
      <c r="I1287" s="1050" t="str">
        <f t="shared" si="287"/>
        <v/>
      </c>
      <c r="J1287" s="696"/>
      <c r="K1287" s="697"/>
      <c r="L1287" s="696"/>
      <c r="M1287" s="198" t="str">
        <f t="shared" si="288"/>
        <v/>
      </c>
      <c r="N1287" s="369" t="str">
        <f t="shared" si="289"/>
        <v/>
      </c>
      <c r="O1287" s="183" t="str">
        <f t="shared" si="290"/>
        <v/>
      </c>
      <c r="P1287" s="199" t="str">
        <f t="shared" si="291"/>
        <v/>
      </c>
      <c r="Q1287" s="199" t="str">
        <f>IF(B1287="","",IFERROR(IF('עלויות כח אדם (6)'!J1287&gt;=VLOOKUP(I1287,'סיווג התפקידים והעלויות'!$B$23:$C$32,2,0),"תקין","לא תקין"),""))</f>
        <v/>
      </c>
      <c r="R1287" s="199" t="str">
        <f t="shared" si="292"/>
        <v/>
      </c>
      <c r="S1287" s="199" t="str">
        <f t="shared" si="293"/>
        <v/>
      </c>
      <c r="T1287" s="199" t="str">
        <f t="shared" si="301"/>
        <v/>
      </c>
      <c r="U1287" s="199" t="str">
        <f t="shared" si="294"/>
        <v/>
      </c>
      <c r="V1287" s="989"/>
      <c r="X1287" s="374" t="str">
        <f t="shared" si="295"/>
        <v/>
      </c>
      <c r="Y1287" s="375" t="str">
        <f t="shared" si="296"/>
        <v/>
      </c>
      <c r="Z1287" s="374" t="str">
        <f t="shared" si="297"/>
        <v/>
      </c>
      <c r="AA1287" s="374" t="b">
        <f t="shared" si="298"/>
        <v>1</v>
      </c>
      <c r="AB1287" s="374">
        <f>COUNTIFS(B:B,B1287,H:H,'סיווג התפקידים והעלויות'!$C$2)</f>
        <v>0</v>
      </c>
      <c r="AC1287" s="374">
        <f>COUNTIFS(B:B,B1287,H:H,'סיווג התפקידים והעלויות'!$D$2)</f>
        <v>0</v>
      </c>
      <c r="AD1287" s="374" t="str">
        <f>IF(OR(AND(H1287='סיווג התפקידים והעלויות'!$A$2,I1287='סיווג התפקידים והעלויות'!$A$3),'עלויות כח אדם (6)'!H1287='סיווג התפקידים והעלויות'!$C$2,'עלויות כח אדם (6)'!H1287='סיווג התפקידים והעלויות'!$D$2),IF('עלויות כח אדם (6)'!J1287&lt;75,"לא תקין","תקין"),"")</f>
        <v/>
      </c>
      <c r="AE1287" s="374" t="str">
        <f t="shared" si="299"/>
        <v/>
      </c>
      <c r="AF1287" s="532" t="str">
        <f t="shared" si="300"/>
        <v/>
      </c>
    </row>
    <row r="1288" spans="2:32" x14ac:dyDescent="0.25">
      <c r="B1288" s="695"/>
      <c r="C1288" s="197" t="str">
        <f>IF(B1288&lt;&gt;"",IFERROR(VLOOKUP(B:B,'מצבת והרשמה (2)'!$C$20:$N$520,2,0)," ")," ")</f>
        <v xml:space="preserve"> </v>
      </c>
      <c r="D1288" s="695"/>
      <c r="E1288" s="696"/>
      <c r="F1288" s="696"/>
      <c r="G1288" s="696"/>
      <c r="H1288" s="696"/>
      <c r="I1288" s="1050" t="str">
        <f t="shared" si="287"/>
        <v/>
      </c>
      <c r="J1288" s="696"/>
      <c r="K1288" s="697"/>
      <c r="L1288" s="696"/>
      <c r="M1288" s="198" t="str">
        <f t="shared" si="288"/>
        <v/>
      </c>
      <c r="N1288" s="369" t="str">
        <f t="shared" si="289"/>
        <v/>
      </c>
      <c r="O1288" s="183" t="str">
        <f t="shared" si="290"/>
        <v/>
      </c>
      <c r="P1288" s="199" t="str">
        <f t="shared" si="291"/>
        <v/>
      </c>
      <c r="Q1288" s="199" t="str">
        <f>IF(B1288="","",IFERROR(IF('עלויות כח אדם (6)'!J1288&gt;=VLOOKUP(I1288,'סיווג התפקידים והעלויות'!$B$23:$C$32,2,0),"תקין","לא תקין"),""))</f>
        <v/>
      </c>
      <c r="R1288" s="199" t="str">
        <f t="shared" si="292"/>
        <v/>
      </c>
      <c r="S1288" s="199" t="str">
        <f t="shared" si="293"/>
        <v/>
      </c>
      <c r="T1288" s="199" t="str">
        <f t="shared" si="301"/>
        <v/>
      </c>
      <c r="U1288" s="199" t="str">
        <f t="shared" si="294"/>
        <v/>
      </c>
      <c r="V1288" s="989"/>
      <c r="X1288" s="374" t="str">
        <f t="shared" si="295"/>
        <v/>
      </c>
      <c r="Y1288" s="375" t="str">
        <f t="shared" si="296"/>
        <v/>
      </c>
      <c r="Z1288" s="374" t="str">
        <f t="shared" si="297"/>
        <v/>
      </c>
      <c r="AA1288" s="374" t="b">
        <f t="shared" si="298"/>
        <v>1</v>
      </c>
      <c r="AB1288" s="374">
        <f>COUNTIFS(B:B,B1288,H:H,'סיווג התפקידים והעלויות'!$C$2)</f>
        <v>0</v>
      </c>
      <c r="AC1288" s="374">
        <f>COUNTIFS(B:B,B1288,H:H,'סיווג התפקידים והעלויות'!$D$2)</f>
        <v>0</v>
      </c>
      <c r="AD1288" s="374" t="str">
        <f>IF(OR(AND(H1288='סיווג התפקידים והעלויות'!$A$2,I1288='סיווג התפקידים והעלויות'!$A$3),'עלויות כח אדם (6)'!H1288='סיווג התפקידים והעלויות'!$C$2,'עלויות כח אדם (6)'!H1288='סיווג התפקידים והעלויות'!$D$2),IF('עלויות כח אדם (6)'!J1288&lt;75,"לא תקין","תקין"),"")</f>
        <v/>
      </c>
      <c r="AE1288" s="374" t="str">
        <f t="shared" si="299"/>
        <v/>
      </c>
      <c r="AF1288" s="532" t="str">
        <f t="shared" si="300"/>
        <v/>
      </c>
    </row>
    <row r="1289" spans="2:32" x14ac:dyDescent="0.25">
      <c r="B1289" s="695"/>
      <c r="C1289" s="197" t="str">
        <f>IF(B1289&lt;&gt;"",IFERROR(VLOOKUP(B:B,'מצבת והרשמה (2)'!$C$20:$N$520,2,0)," ")," ")</f>
        <v xml:space="preserve"> </v>
      </c>
      <c r="D1289" s="695"/>
      <c r="E1289" s="696"/>
      <c r="F1289" s="696"/>
      <c r="G1289" s="696"/>
      <c r="H1289" s="696"/>
      <c r="I1289" s="1050" t="str">
        <f t="shared" si="287"/>
        <v/>
      </c>
      <c r="J1289" s="696"/>
      <c r="K1289" s="697"/>
      <c r="L1289" s="696"/>
      <c r="M1289" s="198" t="str">
        <f t="shared" si="288"/>
        <v/>
      </c>
      <c r="N1289" s="369" t="str">
        <f t="shared" si="289"/>
        <v/>
      </c>
      <c r="O1289" s="183" t="str">
        <f t="shared" si="290"/>
        <v/>
      </c>
      <c r="P1289" s="199" t="str">
        <f t="shared" si="291"/>
        <v/>
      </c>
      <c r="Q1289" s="199" t="str">
        <f>IF(B1289="","",IFERROR(IF('עלויות כח אדם (6)'!J1289&gt;=VLOOKUP(I1289,'סיווג התפקידים והעלויות'!$B$23:$C$32,2,0),"תקין","לא תקין"),""))</f>
        <v/>
      </c>
      <c r="R1289" s="199" t="str">
        <f t="shared" si="292"/>
        <v/>
      </c>
      <c r="S1289" s="199" t="str">
        <f t="shared" si="293"/>
        <v/>
      </c>
      <c r="T1289" s="199" t="str">
        <f t="shared" si="301"/>
        <v/>
      </c>
      <c r="U1289" s="199" t="str">
        <f t="shared" si="294"/>
        <v/>
      </c>
      <c r="V1289" s="989"/>
      <c r="X1289" s="374" t="str">
        <f t="shared" si="295"/>
        <v/>
      </c>
      <c r="Y1289" s="375" t="str">
        <f t="shared" si="296"/>
        <v/>
      </c>
      <c r="Z1289" s="374" t="str">
        <f t="shared" si="297"/>
        <v/>
      </c>
      <c r="AA1289" s="374" t="b">
        <f t="shared" si="298"/>
        <v>1</v>
      </c>
      <c r="AB1289" s="374">
        <f>COUNTIFS(B:B,B1289,H:H,'סיווג התפקידים והעלויות'!$C$2)</f>
        <v>0</v>
      </c>
      <c r="AC1289" s="374">
        <f>COUNTIFS(B:B,B1289,H:H,'סיווג התפקידים והעלויות'!$D$2)</f>
        <v>0</v>
      </c>
      <c r="AD1289" s="374" t="str">
        <f>IF(OR(AND(H1289='סיווג התפקידים והעלויות'!$A$2,I1289='סיווג התפקידים והעלויות'!$A$3),'עלויות כח אדם (6)'!H1289='סיווג התפקידים והעלויות'!$C$2,'עלויות כח אדם (6)'!H1289='סיווג התפקידים והעלויות'!$D$2),IF('עלויות כח אדם (6)'!J1289&lt;75,"לא תקין","תקין"),"")</f>
        <v/>
      </c>
      <c r="AE1289" s="374" t="str">
        <f t="shared" si="299"/>
        <v/>
      </c>
      <c r="AF1289" s="532" t="str">
        <f t="shared" si="300"/>
        <v/>
      </c>
    </row>
    <row r="1290" spans="2:32" x14ac:dyDescent="0.25">
      <c r="B1290" s="695"/>
      <c r="C1290" s="197" t="str">
        <f>IF(B1290&lt;&gt;"",IFERROR(VLOOKUP(B:B,'מצבת והרשמה (2)'!$C$20:$N$520,2,0)," ")," ")</f>
        <v xml:space="preserve"> </v>
      </c>
      <c r="D1290" s="695"/>
      <c r="E1290" s="696"/>
      <c r="F1290" s="696"/>
      <c r="G1290" s="696"/>
      <c r="H1290" s="696"/>
      <c r="I1290" s="1050" t="str">
        <f t="shared" si="287"/>
        <v/>
      </c>
      <c r="J1290" s="696"/>
      <c r="K1290" s="697"/>
      <c r="L1290" s="696"/>
      <c r="M1290" s="198" t="str">
        <f t="shared" si="288"/>
        <v/>
      </c>
      <c r="N1290" s="369" t="str">
        <f t="shared" si="289"/>
        <v/>
      </c>
      <c r="O1290" s="183" t="str">
        <f t="shared" si="290"/>
        <v/>
      </c>
      <c r="P1290" s="199" t="str">
        <f t="shared" si="291"/>
        <v/>
      </c>
      <c r="Q1290" s="199" t="str">
        <f>IF(B1290="","",IFERROR(IF('עלויות כח אדם (6)'!J1290&gt;=VLOOKUP(I1290,'סיווג התפקידים והעלויות'!$B$23:$C$32,2,0),"תקין","לא תקין"),""))</f>
        <v/>
      </c>
      <c r="R1290" s="199" t="str">
        <f t="shared" si="292"/>
        <v/>
      </c>
      <c r="S1290" s="199" t="str">
        <f t="shared" si="293"/>
        <v/>
      </c>
      <c r="T1290" s="199" t="str">
        <f t="shared" si="301"/>
        <v/>
      </c>
      <c r="U1290" s="199" t="str">
        <f t="shared" si="294"/>
        <v/>
      </c>
      <c r="V1290" s="989"/>
      <c r="X1290" s="374" t="str">
        <f t="shared" si="295"/>
        <v/>
      </c>
      <c r="Y1290" s="375" t="str">
        <f t="shared" si="296"/>
        <v/>
      </c>
      <c r="Z1290" s="374" t="str">
        <f t="shared" si="297"/>
        <v/>
      </c>
      <c r="AA1290" s="374" t="b">
        <f t="shared" si="298"/>
        <v>1</v>
      </c>
      <c r="AB1290" s="374">
        <f>COUNTIFS(B:B,B1290,H:H,'סיווג התפקידים והעלויות'!$C$2)</f>
        <v>0</v>
      </c>
      <c r="AC1290" s="374">
        <f>COUNTIFS(B:B,B1290,H:H,'סיווג התפקידים והעלויות'!$D$2)</f>
        <v>0</v>
      </c>
      <c r="AD1290" s="374" t="str">
        <f>IF(OR(AND(H1290='סיווג התפקידים והעלויות'!$A$2,I1290='סיווג התפקידים והעלויות'!$A$3),'עלויות כח אדם (6)'!H1290='סיווג התפקידים והעלויות'!$C$2,'עלויות כח אדם (6)'!H1290='סיווג התפקידים והעלויות'!$D$2),IF('עלויות כח אדם (6)'!J1290&lt;75,"לא תקין","תקין"),"")</f>
        <v/>
      </c>
      <c r="AE1290" s="374" t="str">
        <f t="shared" si="299"/>
        <v/>
      </c>
      <c r="AF1290" s="532" t="str">
        <f t="shared" si="300"/>
        <v/>
      </c>
    </row>
    <row r="1291" spans="2:32" x14ac:dyDescent="0.25">
      <c r="B1291" s="695"/>
      <c r="C1291" s="197" t="str">
        <f>IF(B1291&lt;&gt;"",IFERROR(VLOOKUP(B:B,'מצבת והרשמה (2)'!$C$20:$N$520,2,0)," ")," ")</f>
        <v xml:space="preserve"> </v>
      </c>
      <c r="D1291" s="695"/>
      <c r="E1291" s="696"/>
      <c r="F1291" s="696"/>
      <c r="G1291" s="696"/>
      <c r="H1291" s="696"/>
      <c r="I1291" s="1050" t="str">
        <f t="shared" si="287"/>
        <v/>
      </c>
      <c r="J1291" s="696"/>
      <c r="K1291" s="697"/>
      <c r="L1291" s="696"/>
      <c r="M1291" s="198" t="str">
        <f t="shared" si="288"/>
        <v/>
      </c>
      <c r="N1291" s="369" t="str">
        <f t="shared" si="289"/>
        <v/>
      </c>
      <c r="O1291" s="183" t="str">
        <f t="shared" si="290"/>
        <v/>
      </c>
      <c r="P1291" s="199" t="str">
        <f t="shared" si="291"/>
        <v/>
      </c>
      <c r="Q1291" s="199" t="str">
        <f>IF(B1291="","",IFERROR(IF('עלויות כח אדם (6)'!J1291&gt;=VLOOKUP(I1291,'סיווג התפקידים והעלויות'!$B$23:$C$32,2,0),"תקין","לא תקין"),""))</f>
        <v/>
      </c>
      <c r="R1291" s="199" t="str">
        <f t="shared" si="292"/>
        <v/>
      </c>
      <c r="S1291" s="199" t="str">
        <f t="shared" si="293"/>
        <v/>
      </c>
      <c r="T1291" s="199" t="str">
        <f t="shared" si="301"/>
        <v/>
      </c>
      <c r="U1291" s="199" t="str">
        <f t="shared" si="294"/>
        <v/>
      </c>
      <c r="V1291" s="989"/>
      <c r="X1291" s="374" t="str">
        <f t="shared" si="295"/>
        <v/>
      </c>
      <c r="Y1291" s="375" t="str">
        <f t="shared" si="296"/>
        <v/>
      </c>
      <c r="Z1291" s="374" t="str">
        <f t="shared" si="297"/>
        <v/>
      </c>
      <c r="AA1291" s="374" t="b">
        <f t="shared" si="298"/>
        <v>1</v>
      </c>
      <c r="AB1291" s="374">
        <f>COUNTIFS(B:B,B1291,H:H,'סיווג התפקידים והעלויות'!$C$2)</f>
        <v>0</v>
      </c>
      <c r="AC1291" s="374">
        <f>COUNTIFS(B:B,B1291,H:H,'סיווג התפקידים והעלויות'!$D$2)</f>
        <v>0</v>
      </c>
      <c r="AD1291" s="374" t="str">
        <f>IF(OR(AND(H1291='סיווג התפקידים והעלויות'!$A$2,I1291='סיווג התפקידים והעלויות'!$A$3),'עלויות כח אדם (6)'!H1291='סיווג התפקידים והעלויות'!$C$2,'עלויות כח אדם (6)'!H1291='סיווג התפקידים והעלויות'!$D$2),IF('עלויות כח אדם (6)'!J1291&lt;75,"לא תקין","תקין"),"")</f>
        <v/>
      </c>
      <c r="AE1291" s="374" t="str">
        <f t="shared" si="299"/>
        <v/>
      </c>
      <c r="AF1291" s="532" t="str">
        <f t="shared" si="300"/>
        <v/>
      </c>
    </row>
    <row r="1292" spans="2:32" x14ac:dyDescent="0.25">
      <c r="B1292" s="695"/>
      <c r="C1292" s="197" t="str">
        <f>IF(B1292&lt;&gt;"",IFERROR(VLOOKUP(B:B,'מצבת והרשמה (2)'!$C$20:$N$520,2,0)," ")," ")</f>
        <v xml:space="preserve"> </v>
      </c>
      <c r="D1292" s="695"/>
      <c r="E1292" s="696"/>
      <c r="F1292" s="696"/>
      <c r="G1292" s="696"/>
      <c r="H1292" s="696"/>
      <c r="I1292" s="1050" t="str">
        <f t="shared" si="287"/>
        <v/>
      </c>
      <c r="J1292" s="696"/>
      <c r="K1292" s="697"/>
      <c r="L1292" s="696"/>
      <c r="M1292" s="198" t="str">
        <f t="shared" si="288"/>
        <v/>
      </c>
      <c r="N1292" s="369" t="str">
        <f t="shared" si="289"/>
        <v/>
      </c>
      <c r="O1292" s="183" t="str">
        <f t="shared" si="290"/>
        <v/>
      </c>
      <c r="P1292" s="199" t="str">
        <f t="shared" si="291"/>
        <v/>
      </c>
      <c r="Q1292" s="199" t="str">
        <f>IF(B1292="","",IFERROR(IF('עלויות כח אדם (6)'!J1292&gt;=VLOOKUP(I1292,'סיווג התפקידים והעלויות'!$B$23:$C$32,2,0),"תקין","לא תקין"),""))</f>
        <v/>
      </c>
      <c r="R1292" s="199" t="str">
        <f t="shared" si="292"/>
        <v/>
      </c>
      <c r="S1292" s="199" t="str">
        <f t="shared" si="293"/>
        <v/>
      </c>
      <c r="T1292" s="199" t="str">
        <f t="shared" si="301"/>
        <v/>
      </c>
      <c r="U1292" s="199" t="str">
        <f t="shared" si="294"/>
        <v/>
      </c>
      <c r="V1292" s="989"/>
      <c r="X1292" s="374" t="str">
        <f t="shared" si="295"/>
        <v/>
      </c>
      <c r="Y1292" s="375" t="str">
        <f t="shared" si="296"/>
        <v/>
      </c>
      <c r="Z1292" s="374" t="str">
        <f t="shared" si="297"/>
        <v/>
      </c>
      <c r="AA1292" s="374" t="b">
        <f t="shared" si="298"/>
        <v>1</v>
      </c>
      <c r="AB1292" s="374">
        <f>COUNTIFS(B:B,B1292,H:H,'סיווג התפקידים והעלויות'!$C$2)</f>
        <v>0</v>
      </c>
      <c r="AC1292" s="374">
        <f>COUNTIFS(B:B,B1292,H:H,'סיווג התפקידים והעלויות'!$D$2)</f>
        <v>0</v>
      </c>
      <c r="AD1292" s="374" t="str">
        <f>IF(OR(AND(H1292='סיווג התפקידים והעלויות'!$A$2,I1292='סיווג התפקידים והעלויות'!$A$3),'עלויות כח אדם (6)'!H1292='סיווג התפקידים והעלויות'!$C$2,'עלויות כח אדם (6)'!H1292='סיווג התפקידים והעלויות'!$D$2),IF('עלויות כח אדם (6)'!J1292&lt;75,"לא תקין","תקין"),"")</f>
        <v/>
      </c>
      <c r="AE1292" s="374" t="str">
        <f t="shared" si="299"/>
        <v/>
      </c>
      <c r="AF1292" s="532" t="str">
        <f t="shared" si="300"/>
        <v/>
      </c>
    </row>
    <row r="1293" spans="2:32" x14ac:dyDescent="0.25">
      <c r="B1293" s="695"/>
      <c r="C1293" s="197" t="str">
        <f>IF(B1293&lt;&gt;"",IFERROR(VLOOKUP(B:B,'מצבת והרשמה (2)'!$C$20:$N$520,2,0)," ")," ")</f>
        <v xml:space="preserve"> </v>
      </c>
      <c r="D1293" s="695"/>
      <c r="E1293" s="696"/>
      <c r="F1293" s="696"/>
      <c r="G1293" s="696"/>
      <c r="H1293" s="696"/>
      <c r="I1293" s="1050" t="str">
        <f t="shared" si="287"/>
        <v/>
      </c>
      <c r="J1293" s="696"/>
      <c r="K1293" s="697"/>
      <c r="L1293" s="696"/>
      <c r="M1293" s="198" t="str">
        <f t="shared" si="288"/>
        <v/>
      </c>
      <c r="N1293" s="369" t="str">
        <f t="shared" si="289"/>
        <v/>
      </c>
      <c r="O1293" s="183" t="str">
        <f t="shared" si="290"/>
        <v/>
      </c>
      <c r="P1293" s="199" t="str">
        <f t="shared" si="291"/>
        <v/>
      </c>
      <c r="Q1293" s="199" t="str">
        <f>IF(B1293="","",IFERROR(IF('עלויות כח אדם (6)'!J1293&gt;=VLOOKUP(I1293,'סיווג התפקידים והעלויות'!$B$23:$C$32,2,0),"תקין","לא תקין"),""))</f>
        <v/>
      </c>
      <c r="R1293" s="199" t="str">
        <f t="shared" si="292"/>
        <v/>
      </c>
      <c r="S1293" s="199" t="str">
        <f t="shared" si="293"/>
        <v/>
      </c>
      <c r="T1293" s="199" t="str">
        <f t="shared" si="301"/>
        <v/>
      </c>
      <c r="U1293" s="199" t="str">
        <f t="shared" si="294"/>
        <v/>
      </c>
      <c r="V1293" s="989"/>
      <c r="X1293" s="374" t="str">
        <f t="shared" si="295"/>
        <v/>
      </c>
      <c r="Y1293" s="375" t="str">
        <f t="shared" si="296"/>
        <v/>
      </c>
      <c r="Z1293" s="374" t="str">
        <f t="shared" si="297"/>
        <v/>
      </c>
      <c r="AA1293" s="374" t="b">
        <f t="shared" si="298"/>
        <v>1</v>
      </c>
      <c r="AB1293" s="374">
        <f>COUNTIFS(B:B,B1293,H:H,'סיווג התפקידים והעלויות'!$C$2)</f>
        <v>0</v>
      </c>
      <c r="AC1293" s="374">
        <f>COUNTIFS(B:B,B1293,H:H,'סיווג התפקידים והעלויות'!$D$2)</f>
        <v>0</v>
      </c>
      <c r="AD1293" s="374" t="str">
        <f>IF(OR(AND(H1293='סיווג התפקידים והעלויות'!$A$2,I1293='סיווג התפקידים והעלויות'!$A$3),'עלויות כח אדם (6)'!H1293='סיווג התפקידים והעלויות'!$C$2,'עלויות כח אדם (6)'!H1293='סיווג התפקידים והעלויות'!$D$2),IF('עלויות כח אדם (6)'!J1293&lt;75,"לא תקין","תקין"),"")</f>
        <v/>
      </c>
      <c r="AE1293" s="374" t="str">
        <f t="shared" si="299"/>
        <v/>
      </c>
      <c r="AF1293" s="532" t="str">
        <f t="shared" si="300"/>
        <v/>
      </c>
    </row>
    <row r="1294" spans="2:32" x14ac:dyDescent="0.25">
      <c r="B1294" s="695"/>
      <c r="C1294" s="197" t="str">
        <f>IF(B1294&lt;&gt;"",IFERROR(VLOOKUP(B:B,'מצבת והרשמה (2)'!$C$20:$N$520,2,0)," ")," ")</f>
        <v xml:space="preserve"> </v>
      </c>
      <c r="D1294" s="695"/>
      <c r="E1294" s="696"/>
      <c r="F1294" s="696"/>
      <c r="G1294" s="696"/>
      <c r="H1294" s="696"/>
      <c r="I1294" s="1050" t="str">
        <f t="shared" si="287"/>
        <v/>
      </c>
      <c r="J1294" s="696"/>
      <c r="K1294" s="697"/>
      <c r="L1294" s="696"/>
      <c r="M1294" s="198" t="str">
        <f t="shared" si="288"/>
        <v/>
      </c>
      <c r="N1294" s="369" t="str">
        <f t="shared" si="289"/>
        <v/>
      </c>
      <c r="O1294" s="183" t="str">
        <f t="shared" si="290"/>
        <v/>
      </c>
      <c r="P1294" s="199" t="str">
        <f t="shared" si="291"/>
        <v/>
      </c>
      <c r="Q1294" s="199" t="str">
        <f>IF(B1294="","",IFERROR(IF('עלויות כח אדם (6)'!J1294&gt;=VLOOKUP(I1294,'סיווג התפקידים והעלויות'!$B$23:$C$32,2,0),"תקין","לא תקין"),""))</f>
        <v/>
      </c>
      <c r="R1294" s="199" t="str">
        <f t="shared" si="292"/>
        <v/>
      </c>
      <c r="S1294" s="199" t="str">
        <f t="shared" si="293"/>
        <v/>
      </c>
      <c r="T1294" s="199" t="str">
        <f t="shared" si="301"/>
        <v/>
      </c>
      <c r="U1294" s="199" t="str">
        <f t="shared" si="294"/>
        <v/>
      </c>
      <c r="V1294" s="989"/>
      <c r="X1294" s="374" t="str">
        <f t="shared" si="295"/>
        <v/>
      </c>
      <c r="Y1294" s="375" t="str">
        <f t="shared" si="296"/>
        <v/>
      </c>
      <c r="Z1294" s="374" t="str">
        <f t="shared" si="297"/>
        <v/>
      </c>
      <c r="AA1294" s="374" t="b">
        <f t="shared" si="298"/>
        <v>1</v>
      </c>
      <c r="AB1294" s="374">
        <f>COUNTIFS(B:B,B1294,H:H,'סיווג התפקידים והעלויות'!$C$2)</f>
        <v>0</v>
      </c>
      <c r="AC1294" s="374">
        <f>COUNTIFS(B:B,B1294,H:H,'סיווג התפקידים והעלויות'!$D$2)</f>
        <v>0</v>
      </c>
      <c r="AD1294" s="374" t="str">
        <f>IF(OR(AND(H1294='סיווג התפקידים והעלויות'!$A$2,I1294='סיווג התפקידים והעלויות'!$A$3),'עלויות כח אדם (6)'!H1294='סיווג התפקידים והעלויות'!$C$2,'עלויות כח אדם (6)'!H1294='סיווג התפקידים והעלויות'!$D$2),IF('עלויות כח אדם (6)'!J1294&lt;75,"לא תקין","תקין"),"")</f>
        <v/>
      </c>
      <c r="AE1294" s="374" t="str">
        <f t="shared" si="299"/>
        <v/>
      </c>
      <c r="AF1294" s="532" t="str">
        <f t="shared" si="300"/>
        <v/>
      </c>
    </row>
    <row r="1295" spans="2:32" x14ac:dyDescent="0.25">
      <c r="B1295" s="695"/>
      <c r="C1295" s="197" t="str">
        <f>IF(B1295&lt;&gt;"",IFERROR(VLOOKUP(B:B,'מצבת והרשמה (2)'!$C$20:$N$520,2,0)," ")," ")</f>
        <v xml:space="preserve"> </v>
      </c>
      <c r="D1295" s="695"/>
      <c r="E1295" s="696"/>
      <c r="F1295" s="696"/>
      <c r="G1295" s="696"/>
      <c r="H1295" s="696"/>
      <c r="I1295" s="1050" t="str">
        <f t="shared" ref="I1295:I1358" si="302">SUBSTITUTE(IFERROR(IF(H1295="מדצ","מדצ/ית",IF(H1295="סגנית רכזת מעל 150","סגנ/ית רכז/ת&gt;150",IF(H1295="רכזת תכנית בבית הספר","רכז/ת תכנית בבית הספר"))),""),"FALSE","")</f>
        <v/>
      </c>
      <c r="J1295" s="696"/>
      <c r="K1295" s="697"/>
      <c r="L1295" s="696"/>
      <c r="M1295" s="198" t="str">
        <f t="shared" ref="M1295:M1358" si="303">IF(AND(L1295&gt;0,K1295&gt;0),K1295*L1295,"")</f>
        <v/>
      </c>
      <c r="N1295" s="369" t="str">
        <f t="shared" ref="N1295:N1358" si="304">TEXT(LEFT(H1295,2),0)</f>
        <v/>
      </c>
      <c r="O1295" s="183" t="str">
        <f t="shared" ref="O1295:O1358" si="305">IF(ISNUMBER(M1295&gt;0),IF(ISBLANK(B1295),"יש להזין סמל מוסד בעמודה B",""),"")</f>
        <v/>
      </c>
      <c r="P1295" s="199" t="str">
        <f t="shared" ref="P1295:P1358" si="306">IF(B1295="","",IF(AA1295=FALSE,"לא תקין","תקין"))</f>
        <v/>
      </c>
      <c r="Q1295" s="199" t="str">
        <f>IF(B1295="","",IFERROR(IF('עלויות כח אדם (6)'!J1295&gt;=VLOOKUP(I1295,'סיווג התפקידים והעלויות'!$B$23:$C$32,2,0),"תקין","לא תקין"),""))</f>
        <v/>
      </c>
      <c r="R1295" s="199" t="str">
        <f t="shared" ref="R1295:R1358" si="307">IF(B1295="","",IF(OR(Y1295&lt;100%,Y1295&gt;140%),"לא תקין","תקין"))</f>
        <v/>
      </c>
      <c r="S1295" s="199" t="str">
        <f t="shared" ref="S1295:S1358" si="308">IF(B1295="","",IFERROR(IF(J1295&gt;120,"לא תקין","תקין"),""))</f>
        <v/>
      </c>
      <c r="T1295" s="199" t="str">
        <f t="shared" si="301"/>
        <v/>
      </c>
      <c r="U1295" s="199" t="str">
        <f t="shared" ref="U1295:U1358" si="309">IF(B1295="","",IF(Z1295&gt;1,IF(SUMIF(D:D,D1295,L:L)&gt;90,"לא תקין","תקין"),"תקין"))</f>
        <v/>
      </c>
      <c r="V1295" s="989"/>
      <c r="X1295" s="374" t="str">
        <f t="shared" ref="X1295:X1358" si="310">IF(B1295="","",IF(OR(R1295="לא תקין",S1295="לא תקין",T1295="לא תקין",,U1295="לא תקין"),"לא תקין","תקין"))</f>
        <v/>
      </c>
      <c r="Y1295" s="375" t="str">
        <f t="shared" ref="Y1295:Y1358" si="311">IFERROR(IF(B1295="","",K1295/J1295),"")</f>
        <v/>
      </c>
      <c r="Z1295" s="374" t="str">
        <f t="shared" ref="Z1295:Z1358" si="312">IF(B1295="","",COUNTIF(D:D,D1295))</f>
        <v/>
      </c>
      <c r="AA1295" s="374" t="b">
        <f t="shared" ref="AA1295:AA1358" si="313">MOD(MID(REPT(0,9-LEN(D1295))&amp;D1295,1,1)+MID("0246813579",MID(REPT(0,9-LEN(D1295))&amp;D1295,2,1)+1,1)+MID(REPT(0,9-LEN(D1295))&amp;D1295,3,1)+MID("0246813579",MID(REPT(0,9-LEN(D1295))&amp;D1295,4,1)+1,1)+MID(REPT(0,9-LEN(D1295))&amp;D1295,5,1)+MID("0246813579",MID(REPT(0,9-LEN(D1295))&amp;D1295,6,1)+1,1)+MID(REPT(0,9-LEN(D1295))&amp;D1295,7,1)+MID("0246813579",MID(REPT(0,9-LEN(D1295))&amp;D1295,8,1)+1,1)+MID(REPT(0,9-LEN(D1295))&amp;D1295,9,1),10)=0</f>
        <v>1</v>
      </c>
      <c r="AB1295" s="374">
        <f>COUNTIFS(B:B,B1295,H:H,'סיווג התפקידים והעלויות'!$C$2)</f>
        <v>0</v>
      </c>
      <c r="AC1295" s="374">
        <f>COUNTIFS(B:B,B1295,H:H,'סיווג התפקידים והעלויות'!$D$2)</f>
        <v>0</v>
      </c>
      <c r="AD1295" s="374" t="str">
        <f>IF(OR(AND(H1295='סיווג התפקידים והעלויות'!$A$2,I1295='סיווג התפקידים והעלויות'!$A$3),'עלויות כח אדם (6)'!H1295='סיווג התפקידים והעלויות'!$C$2,'עלויות כח אדם (6)'!H1295='סיווג התפקידים והעלויות'!$D$2),IF('עלויות כח אדם (6)'!J1295&lt;75,"לא תקין","תקין"),"")</f>
        <v/>
      </c>
      <c r="AE1295" s="374" t="str">
        <f t="shared" ref="AE1295:AE1358" si="314">IF(B1295&lt;&gt;"",B1295&amp;H1295,"")</f>
        <v/>
      </c>
      <c r="AF1295" s="532" t="str">
        <f t="shared" ref="AF1295:AF1358" si="315">M1295</f>
        <v/>
      </c>
    </row>
    <row r="1296" spans="2:32" x14ac:dyDescent="0.25">
      <c r="B1296" s="695"/>
      <c r="C1296" s="197" t="str">
        <f>IF(B1296&lt;&gt;"",IFERROR(VLOOKUP(B:B,'מצבת והרשמה (2)'!$C$20:$N$520,2,0)," ")," ")</f>
        <v xml:space="preserve"> </v>
      </c>
      <c r="D1296" s="695"/>
      <c r="E1296" s="696"/>
      <c r="F1296" s="696"/>
      <c r="G1296" s="696"/>
      <c r="H1296" s="696"/>
      <c r="I1296" s="1050" t="str">
        <f t="shared" si="302"/>
        <v/>
      </c>
      <c r="J1296" s="696"/>
      <c r="K1296" s="697"/>
      <c r="L1296" s="696"/>
      <c r="M1296" s="198" t="str">
        <f t="shared" si="303"/>
        <v/>
      </c>
      <c r="N1296" s="369" t="str">
        <f t="shared" si="304"/>
        <v/>
      </c>
      <c r="O1296" s="183" t="str">
        <f t="shared" si="305"/>
        <v/>
      </c>
      <c r="P1296" s="199" t="str">
        <f t="shared" si="306"/>
        <v/>
      </c>
      <c r="Q1296" s="199" t="str">
        <f>IF(B1296="","",IFERROR(IF('עלויות כח אדם (6)'!J1296&gt;=VLOOKUP(I1296,'סיווג התפקידים והעלויות'!$B$23:$C$32,2,0),"תקין","לא תקין"),""))</f>
        <v/>
      </c>
      <c r="R1296" s="199" t="str">
        <f t="shared" si="307"/>
        <v/>
      </c>
      <c r="S1296" s="199" t="str">
        <f t="shared" si="308"/>
        <v/>
      </c>
      <c r="T1296" s="199" t="str">
        <f t="shared" ref="T1296:T1359" si="316">IF(B1296="","",IF(H1296="","יש להזין איש צוות",IF(OR(H1296="מורה",H1296="גננת",H1296="רכז גן",H1296="רכזת גן",H1296="סייעת",H1296="מדצית",H1296="מדצ",H1296="מדריך",H1296="מדריכה",H1296="תוספת כח אדם"),IF(L1296&lt;=90,"תקין","לא תקין"),IF(OR(H1296="רכז בית ספר",H1296="רכזת תכנית בבית הספר",H1296="רכזת בית ספר"),IF(L1296&lt;=137,"תקין","לא תקין"),IF(OR(H1296="סגנית רכזת מעל 150",H1296="סגן רכז"),IF(L1296&lt;=93,"תקין","לא תקין"),"לא תקין")))))</f>
        <v/>
      </c>
      <c r="U1296" s="199" t="str">
        <f t="shared" si="309"/>
        <v/>
      </c>
      <c r="V1296" s="989"/>
      <c r="X1296" s="374" t="str">
        <f t="shared" si="310"/>
        <v/>
      </c>
      <c r="Y1296" s="375" t="str">
        <f t="shared" si="311"/>
        <v/>
      </c>
      <c r="Z1296" s="374" t="str">
        <f t="shared" si="312"/>
        <v/>
      </c>
      <c r="AA1296" s="374" t="b">
        <f t="shared" si="313"/>
        <v>1</v>
      </c>
      <c r="AB1296" s="374">
        <f>COUNTIFS(B:B,B1296,H:H,'סיווג התפקידים והעלויות'!$C$2)</f>
        <v>0</v>
      </c>
      <c r="AC1296" s="374">
        <f>COUNTIFS(B:B,B1296,H:H,'סיווג התפקידים והעלויות'!$D$2)</f>
        <v>0</v>
      </c>
      <c r="AD1296" s="374" t="str">
        <f>IF(OR(AND(H1296='סיווג התפקידים והעלויות'!$A$2,I1296='סיווג התפקידים והעלויות'!$A$3),'עלויות כח אדם (6)'!H1296='סיווג התפקידים והעלויות'!$C$2,'עלויות כח אדם (6)'!H1296='סיווג התפקידים והעלויות'!$D$2),IF('עלויות כח אדם (6)'!J1296&lt;75,"לא תקין","תקין"),"")</f>
        <v/>
      </c>
      <c r="AE1296" s="374" t="str">
        <f t="shared" si="314"/>
        <v/>
      </c>
      <c r="AF1296" s="532" t="str">
        <f t="shared" si="315"/>
        <v/>
      </c>
    </row>
    <row r="1297" spans="2:32" x14ac:dyDescent="0.25">
      <c r="B1297" s="695"/>
      <c r="C1297" s="197" t="str">
        <f>IF(B1297&lt;&gt;"",IFERROR(VLOOKUP(B:B,'מצבת והרשמה (2)'!$C$20:$N$520,2,0)," ")," ")</f>
        <v xml:space="preserve"> </v>
      </c>
      <c r="D1297" s="695"/>
      <c r="E1297" s="696"/>
      <c r="F1297" s="696"/>
      <c r="G1297" s="696"/>
      <c r="H1297" s="696"/>
      <c r="I1297" s="1050" t="str">
        <f t="shared" si="302"/>
        <v/>
      </c>
      <c r="J1297" s="696"/>
      <c r="K1297" s="697"/>
      <c r="L1297" s="696"/>
      <c r="M1297" s="198" t="str">
        <f t="shared" si="303"/>
        <v/>
      </c>
      <c r="N1297" s="369" t="str">
        <f t="shared" si="304"/>
        <v/>
      </c>
      <c r="O1297" s="183" t="str">
        <f t="shared" si="305"/>
        <v/>
      </c>
      <c r="P1297" s="199" t="str">
        <f t="shared" si="306"/>
        <v/>
      </c>
      <c r="Q1297" s="199" t="str">
        <f>IF(B1297="","",IFERROR(IF('עלויות כח אדם (6)'!J1297&gt;=VLOOKUP(I1297,'סיווג התפקידים והעלויות'!$B$23:$C$32,2,0),"תקין","לא תקין"),""))</f>
        <v/>
      </c>
      <c r="R1297" s="199" t="str">
        <f t="shared" si="307"/>
        <v/>
      </c>
      <c r="S1297" s="199" t="str">
        <f t="shared" si="308"/>
        <v/>
      </c>
      <c r="T1297" s="199" t="str">
        <f t="shared" si="316"/>
        <v/>
      </c>
      <c r="U1297" s="199" t="str">
        <f t="shared" si="309"/>
        <v/>
      </c>
      <c r="V1297" s="989"/>
      <c r="X1297" s="374" t="str">
        <f t="shared" si="310"/>
        <v/>
      </c>
      <c r="Y1297" s="375" t="str">
        <f t="shared" si="311"/>
        <v/>
      </c>
      <c r="Z1297" s="374" t="str">
        <f t="shared" si="312"/>
        <v/>
      </c>
      <c r="AA1297" s="374" t="b">
        <f t="shared" si="313"/>
        <v>1</v>
      </c>
      <c r="AB1297" s="374">
        <f>COUNTIFS(B:B,B1297,H:H,'סיווג התפקידים והעלויות'!$C$2)</f>
        <v>0</v>
      </c>
      <c r="AC1297" s="374">
        <f>COUNTIFS(B:B,B1297,H:H,'סיווג התפקידים והעלויות'!$D$2)</f>
        <v>0</v>
      </c>
      <c r="AD1297" s="374" t="str">
        <f>IF(OR(AND(H1297='סיווג התפקידים והעלויות'!$A$2,I1297='סיווג התפקידים והעלויות'!$A$3),'עלויות כח אדם (6)'!H1297='סיווג התפקידים והעלויות'!$C$2,'עלויות כח אדם (6)'!H1297='סיווג התפקידים והעלויות'!$D$2),IF('עלויות כח אדם (6)'!J1297&lt;75,"לא תקין","תקין"),"")</f>
        <v/>
      </c>
      <c r="AE1297" s="374" t="str">
        <f t="shared" si="314"/>
        <v/>
      </c>
      <c r="AF1297" s="532" t="str">
        <f t="shared" si="315"/>
        <v/>
      </c>
    </row>
    <row r="1298" spans="2:32" x14ac:dyDescent="0.25">
      <c r="B1298" s="695"/>
      <c r="C1298" s="197" t="str">
        <f>IF(B1298&lt;&gt;"",IFERROR(VLOOKUP(B:B,'מצבת והרשמה (2)'!$C$20:$N$520,2,0)," ")," ")</f>
        <v xml:space="preserve"> </v>
      </c>
      <c r="D1298" s="695"/>
      <c r="E1298" s="696"/>
      <c r="F1298" s="696"/>
      <c r="G1298" s="696"/>
      <c r="H1298" s="696"/>
      <c r="I1298" s="1050" t="str">
        <f t="shared" si="302"/>
        <v/>
      </c>
      <c r="J1298" s="696"/>
      <c r="K1298" s="697"/>
      <c r="L1298" s="696"/>
      <c r="M1298" s="198" t="str">
        <f t="shared" si="303"/>
        <v/>
      </c>
      <c r="N1298" s="369" t="str">
        <f t="shared" si="304"/>
        <v/>
      </c>
      <c r="O1298" s="183" t="str">
        <f t="shared" si="305"/>
        <v/>
      </c>
      <c r="P1298" s="199" t="str">
        <f t="shared" si="306"/>
        <v/>
      </c>
      <c r="Q1298" s="199" t="str">
        <f>IF(B1298="","",IFERROR(IF('עלויות כח אדם (6)'!J1298&gt;=VLOOKUP(I1298,'סיווג התפקידים והעלויות'!$B$23:$C$32,2,0),"תקין","לא תקין"),""))</f>
        <v/>
      </c>
      <c r="R1298" s="199" t="str">
        <f t="shared" si="307"/>
        <v/>
      </c>
      <c r="S1298" s="199" t="str">
        <f t="shared" si="308"/>
        <v/>
      </c>
      <c r="T1298" s="199" t="str">
        <f t="shared" si="316"/>
        <v/>
      </c>
      <c r="U1298" s="199" t="str">
        <f t="shared" si="309"/>
        <v/>
      </c>
      <c r="V1298" s="989"/>
      <c r="X1298" s="374" t="str">
        <f t="shared" si="310"/>
        <v/>
      </c>
      <c r="Y1298" s="375" t="str">
        <f t="shared" si="311"/>
        <v/>
      </c>
      <c r="Z1298" s="374" t="str">
        <f t="shared" si="312"/>
        <v/>
      </c>
      <c r="AA1298" s="374" t="b">
        <f t="shared" si="313"/>
        <v>1</v>
      </c>
      <c r="AB1298" s="374">
        <f>COUNTIFS(B:B,B1298,H:H,'סיווג התפקידים והעלויות'!$C$2)</f>
        <v>0</v>
      </c>
      <c r="AC1298" s="374">
        <f>COUNTIFS(B:B,B1298,H:H,'סיווג התפקידים והעלויות'!$D$2)</f>
        <v>0</v>
      </c>
      <c r="AD1298" s="374" t="str">
        <f>IF(OR(AND(H1298='סיווג התפקידים והעלויות'!$A$2,I1298='סיווג התפקידים והעלויות'!$A$3),'עלויות כח אדם (6)'!H1298='סיווג התפקידים והעלויות'!$C$2,'עלויות כח אדם (6)'!H1298='סיווג התפקידים והעלויות'!$D$2),IF('עלויות כח אדם (6)'!J1298&lt;75,"לא תקין","תקין"),"")</f>
        <v/>
      </c>
      <c r="AE1298" s="374" t="str">
        <f t="shared" si="314"/>
        <v/>
      </c>
      <c r="AF1298" s="532" t="str">
        <f t="shared" si="315"/>
        <v/>
      </c>
    </row>
    <row r="1299" spans="2:32" x14ac:dyDescent="0.25">
      <c r="B1299" s="695"/>
      <c r="C1299" s="197" t="str">
        <f>IF(B1299&lt;&gt;"",IFERROR(VLOOKUP(B:B,'מצבת והרשמה (2)'!$C$20:$N$520,2,0)," ")," ")</f>
        <v xml:space="preserve"> </v>
      </c>
      <c r="D1299" s="695"/>
      <c r="E1299" s="696"/>
      <c r="F1299" s="696"/>
      <c r="G1299" s="696"/>
      <c r="H1299" s="696"/>
      <c r="I1299" s="1050" t="str">
        <f t="shared" si="302"/>
        <v/>
      </c>
      <c r="J1299" s="696"/>
      <c r="K1299" s="697"/>
      <c r="L1299" s="696"/>
      <c r="M1299" s="198" t="str">
        <f t="shared" si="303"/>
        <v/>
      </c>
      <c r="N1299" s="369" t="str">
        <f t="shared" si="304"/>
        <v/>
      </c>
      <c r="O1299" s="183" t="str">
        <f t="shared" si="305"/>
        <v/>
      </c>
      <c r="P1299" s="199" t="str">
        <f t="shared" si="306"/>
        <v/>
      </c>
      <c r="Q1299" s="199" t="str">
        <f>IF(B1299="","",IFERROR(IF('עלויות כח אדם (6)'!J1299&gt;=VLOOKUP(I1299,'סיווג התפקידים והעלויות'!$B$23:$C$32,2,0),"תקין","לא תקין"),""))</f>
        <v/>
      </c>
      <c r="R1299" s="199" t="str">
        <f t="shared" si="307"/>
        <v/>
      </c>
      <c r="S1299" s="199" t="str">
        <f t="shared" si="308"/>
        <v/>
      </c>
      <c r="T1299" s="199" t="str">
        <f t="shared" si="316"/>
        <v/>
      </c>
      <c r="U1299" s="199" t="str">
        <f t="shared" si="309"/>
        <v/>
      </c>
      <c r="V1299" s="989"/>
      <c r="X1299" s="374" t="str">
        <f t="shared" si="310"/>
        <v/>
      </c>
      <c r="Y1299" s="375" t="str">
        <f t="shared" si="311"/>
        <v/>
      </c>
      <c r="Z1299" s="374" t="str">
        <f t="shared" si="312"/>
        <v/>
      </c>
      <c r="AA1299" s="374" t="b">
        <f t="shared" si="313"/>
        <v>1</v>
      </c>
      <c r="AB1299" s="374">
        <f>COUNTIFS(B:B,B1299,H:H,'סיווג התפקידים והעלויות'!$C$2)</f>
        <v>0</v>
      </c>
      <c r="AC1299" s="374">
        <f>COUNTIFS(B:B,B1299,H:H,'סיווג התפקידים והעלויות'!$D$2)</f>
        <v>0</v>
      </c>
      <c r="AD1299" s="374" t="str">
        <f>IF(OR(AND(H1299='סיווג התפקידים והעלויות'!$A$2,I1299='סיווג התפקידים והעלויות'!$A$3),'עלויות כח אדם (6)'!H1299='סיווג התפקידים והעלויות'!$C$2,'עלויות כח אדם (6)'!H1299='סיווג התפקידים והעלויות'!$D$2),IF('עלויות כח אדם (6)'!J1299&lt;75,"לא תקין","תקין"),"")</f>
        <v/>
      </c>
      <c r="AE1299" s="374" t="str">
        <f t="shared" si="314"/>
        <v/>
      </c>
      <c r="AF1299" s="532" t="str">
        <f t="shared" si="315"/>
        <v/>
      </c>
    </row>
    <row r="1300" spans="2:32" x14ac:dyDescent="0.25">
      <c r="B1300" s="695"/>
      <c r="C1300" s="197" t="str">
        <f>IF(B1300&lt;&gt;"",IFERROR(VLOOKUP(B:B,'מצבת והרשמה (2)'!$C$20:$N$520,2,0)," ")," ")</f>
        <v xml:space="preserve"> </v>
      </c>
      <c r="D1300" s="695"/>
      <c r="E1300" s="696"/>
      <c r="F1300" s="696"/>
      <c r="G1300" s="696"/>
      <c r="H1300" s="696"/>
      <c r="I1300" s="1050" t="str">
        <f t="shared" si="302"/>
        <v/>
      </c>
      <c r="J1300" s="696"/>
      <c r="K1300" s="697"/>
      <c r="L1300" s="696"/>
      <c r="M1300" s="198" t="str">
        <f t="shared" si="303"/>
        <v/>
      </c>
      <c r="N1300" s="369" t="str">
        <f t="shared" si="304"/>
        <v/>
      </c>
      <c r="O1300" s="183" t="str">
        <f t="shared" si="305"/>
        <v/>
      </c>
      <c r="P1300" s="199" t="str">
        <f t="shared" si="306"/>
        <v/>
      </c>
      <c r="Q1300" s="199" t="str">
        <f>IF(B1300="","",IFERROR(IF('עלויות כח אדם (6)'!J1300&gt;=VLOOKUP(I1300,'סיווג התפקידים והעלויות'!$B$23:$C$32,2,0),"תקין","לא תקין"),""))</f>
        <v/>
      </c>
      <c r="R1300" s="199" t="str">
        <f t="shared" si="307"/>
        <v/>
      </c>
      <c r="S1300" s="199" t="str">
        <f t="shared" si="308"/>
        <v/>
      </c>
      <c r="T1300" s="199" t="str">
        <f t="shared" si="316"/>
        <v/>
      </c>
      <c r="U1300" s="199" t="str">
        <f t="shared" si="309"/>
        <v/>
      </c>
      <c r="V1300" s="989"/>
      <c r="X1300" s="374" t="str">
        <f t="shared" si="310"/>
        <v/>
      </c>
      <c r="Y1300" s="375" t="str">
        <f t="shared" si="311"/>
        <v/>
      </c>
      <c r="Z1300" s="374" t="str">
        <f t="shared" si="312"/>
        <v/>
      </c>
      <c r="AA1300" s="374" t="b">
        <f t="shared" si="313"/>
        <v>1</v>
      </c>
      <c r="AB1300" s="374">
        <f>COUNTIFS(B:B,B1300,H:H,'סיווג התפקידים והעלויות'!$C$2)</f>
        <v>0</v>
      </c>
      <c r="AC1300" s="374">
        <f>COUNTIFS(B:B,B1300,H:H,'סיווג התפקידים והעלויות'!$D$2)</f>
        <v>0</v>
      </c>
      <c r="AD1300" s="374" t="str">
        <f>IF(OR(AND(H1300='סיווג התפקידים והעלויות'!$A$2,I1300='סיווג התפקידים והעלויות'!$A$3),'עלויות כח אדם (6)'!H1300='סיווג התפקידים והעלויות'!$C$2,'עלויות כח אדם (6)'!H1300='סיווג התפקידים והעלויות'!$D$2),IF('עלויות כח אדם (6)'!J1300&lt;75,"לא תקין","תקין"),"")</f>
        <v/>
      </c>
      <c r="AE1300" s="374" t="str">
        <f t="shared" si="314"/>
        <v/>
      </c>
      <c r="AF1300" s="532" t="str">
        <f t="shared" si="315"/>
        <v/>
      </c>
    </row>
    <row r="1301" spans="2:32" x14ac:dyDescent="0.25">
      <c r="B1301" s="695"/>
      <c r="C1301" s="197" t="str">
        <f>IF(B1301&lt;&gt;"",IFERROR(VLOOKUP(B:B,'מצבת והרשמה (2)'!$C$20:$N$520,2,0)," ")," ")</f>
        <v xml:space="preserve"> </v>
      </c>
      <c r="D1301" s="695"/>
      <c r="E1301" s="696"/>
      <c r="F1301" s="696"/>
      <c r="G1301" s="696"/>
      <c r="H1301" s="696"/>
      <c r="I1301" s="1050" t="str">
        <f t="shared" si="302"/>
        <v/>
      </c>
      <c r="J1301" s="696"/>
      <c r="K1301" s="697"/>
      <c r="L1301" s="696"/>
      <c r="M1301" s="198" t="str">
        <f t="shared" si="303"/>
        <v/>
      </c>
      <c r="N1301" s="369" t="str">
        <f t="shared" si="304"/>
        <v/>
      </c>
      <c r="O1301" s="183" t="str">
        <f t="shared" si="305"/>
        <v/>
      </c>
      <c r="P1301" s="199" t="str">
        <f t="shared" si="306"/>
        <v/>
      </c>
      <c r="Q1301" s="199" t="str">
        <f>IF(B1301="","",IFERROR(IF('עלויות כח אדם (6)'!J1301&gt;=VLOOKUP(I1301,'סיווג התפקידים והעלויות'!$B$23:$C$32,2,0),"תקין","לא תקין"),""))</f>
        <v/>
      </c>
      <c r="R1301" s="199" t="str">
        <f t="shared" si="307"/>
        <v/>
      </c>
      <c r="S1301" s="199" t="str">
        <f t="shared" si="308"/>
        <v/>
      </c>
      <c r="T1301" s="199" t="str">
        <f t="shared" si="316"/>
        <v/>
      </c>
      <c r="U1301" s="199" t="str">
        <f t="shared" si="309"/>
        <v/>
      </c>
      <c r="V1301" s="989"/>
      <c r="X1301" s="374" t="str">
        <f t="shared" si="310"/>
        <v/>
      </c>
      <c r="Y1301" s="375" t="str">
        <f t="shared" si="311"/>
        <v/>
      </c>
      <c r="Z1301" s="374" t="str">
        <f t="shared" si="312"/>
        <v/>
      </c>
      <c r="AA1301" s="374" t="b">
        <f t="shared" si="313"/>
        <v>1</v>
      </c>
      <c r="AB1301" s="374">
        <f>COUNTIFS(B:B,B1301,H:H,'סיווג התפקידים והעלויות'!$C$2)</f>
        <v>0</v>
      </c>
      <c r="AC1301" s="374">
        <f>COUNTIFS(B:B,B1301,H:H,'סיווג התפקידים והעלויות'!$D$2)</f>
        <v>0</v>
      </c>
      <c r="AD1301" s="374" t="str">
        <f>IF(OR(AND(H1301='סיווג התפקידים והעלויות'!$A$2,I1301='סיווג התפקידים והעלויות'!$A$3),'עלויות כח אדם (6)'!H1301='סיווג התפקידים והעלויות'!$C$2,'עלויות כח אדם (6)'!H1301='סיווג התפקידים והעלויות'!$D$2),IF('עלויות כח אדם (6)'!J1301&lt;75,"לא תקין","תקין"),"")</f>
        <v/>
      </c>
      <c r="AE1301" s="374" t="str">
        <f t="shared" si="314"/>
        <v/>
      </c>
      <c r="AF1301" s="532" t="str">
        <f t="shared" si="315"/>
        <v/>
      </c>
    </row>
    <row r="1302" spans="2:32" x14ac:dyDescent="0.25">
      <c r="B1302" s="695"/>
      <c r="C1302" s="197" t="str">
        <f>IF(B1302&lt;&gt;"",IFERROR(VLOOKUP(B:B,'מצבת והרשמה (2)'!$C$20:$N$520,2,0)," ")," ")</f>
        <v xml:space="preserve"> </v>
      </c>
      <c r="D1302" s="695"/>
      <c r="E1302" s="696"/>
      <c r="F1302" s="696"/>
      <c r="G1302" s="696"/>
      <c r="H1302" s="696"/>
      <c r="I1302" s="1050" t="str">
        <f t="shared" si="302"/>
        <v/>
      </c>
      <c r="J1302" s="696"/>
      <c r="K1302" s="697"/>
      <c r="L1302" s="696"/>
      <c r="M1302" s="198" t="str">
        <f t="shared" si="303"/>
        <v/>
      </c>
      <c r="N1302" s="369" t="str">
        <f t="shared" si="304"/>
        <v/>
      </c>
      <c r="O1302" s="183" t="str">
        <f t="shared" si="305"/>
        <v/>
      </c>
      <c r="P1302" s="199" t="str">
        <f t="shared" si="306"/>
        <v/>
      </c>
      <c r="Q1302" s="199" t="str">
        <f>IF(B1302="","",IFERROR(IF('עלויות כח אדם (6)'!J1302&gt;=VLOOKUP(I1302,'סיווג התפקידים והעלויות'!$B$23:$C$32,2,0),"תקין","לא תקין"),""))</f>
        <v/>
      </c>
      <c r="R1302" s="199" t="str">
        <f t="shared" si="307"/>
        <v/>
      </c>
      <c r="S1302" s="199" t="str">
        <f t="shared" si="308"/>
        <v/>
      </c>
      <c r="T1302" s="199" t="str">
        <f t="shared" si="316"/>
        <v/>
      </c>
      <c r="U1302" s="199" t="str">
        <f t="shared" si="309"/>
        <v/>
      </c>
      <c r="V1302" s="989"/>
      <c r="X1302" s="374" t="str">
        <f t="shared" si="310"/>
        <v/>
      </c>
      <c r="Y1302" s="375" t="str">
        <f t="shared" si="311"/>
        <v/>
      </c>
      <c r="Z1302" s="374" t="str">
        <f t="shared" si="312"/>
        <v/>
      </c>
      <c r="AA1302" s="374" t="b">
        <f t="shared" si="313"/>
        <v>1</v>
      </c>
      <c r="AB1302" s="374">
        <f>COUNTIFS(B:B,B1302,H:H,'סיווג התפקידים והעלויות'!$C$2)</f>
        <v>0</v>
      </c>
      <c r="AC1302" s="374">
        <f>COUNTIFS(B:B,B1302,H:H,'סיווג התפקידים והעלויות'!$D$2)</f>
        <v>0</v>
      </c>
      <c r="AD1302" s="374" t="str">
        <f>IF(OR(AND(H1302='סיווג התפקידים והעלויות'!$A$2,I1302='סיווג התפקידים והעלויות'!$A$3),'עלויות כח אדם (6)'!H1302='סיווג התפקידים והעלויות'!$C$2,'עלויות כח אדם (6)'!H1302='סיווג התפקידים והעלויות'!$D$2),IF('עלויות כח אדם (6)'!J1302&lt;75,"לא תקין","תקין"),"")</f>
        <v/>
      </c>
      <c r="AE1302" s="374" t="str">
        <f t="shared" si="314"/>
        <v/>
      </c>
      <c r="AF1302" s="532" t="str">
        <f t="shared" si="315"/>
        <v/>
      </c>
    </row>
    <row r="1303" spans="2:32" x14ac:dyDescent="0.25">
      <c r="B1303" s="695"/>
      <c r="C1303" s="197" t="str">
        <f>IF(B1303&lt;&gt;"",IFERROR(VLOOKUP(B:B,'מצבת והרשמה (2)'!$C$20:$N$520,2,0)," ")," ")</f>
        <v xml:space="preserve"> </v>
      </c>
      <c r="D1303" s="695"/>
      <c r="E1303" s="696"/>
      <c r="F1303" s="696"/>
      <c r="G1303" s="696"/>
      <c r="H1303" s="696"/>
      <c r="I1303" s="1050" t="str">
        <f t="shared" si="302"/>
        <v/>
      </c>
      <c r="J1303" s="696"/>
      <c r="K1303" s="697"/>
      <c r="L1303" s="696"/>
      <c r="M1303" s="198" t="str">
        <f t="shared" si="303"/>
        <v/>
      </c>
      <c r="N1303" s="369" t="str">
        <f t="shared" si="304"/>
        <v/>
      </c>
      <c r="O1303" s="183" t="str">
        <f t="shared" si="305"/>
        <v/>
      </c>
      <c r="P1303" s="199" t="str">
        <f t="shared" si="306"/>
        <v/>
      </c>
      <c r="Q1303" s="199" t="str">
        <f>IF(B1303="","",IFERROR(IF('עלויות כח אדם (6)'!J1303&gt;=VLOOKUP(I1303,'סיווג התפקידים והעלויות'!$B$23:$C$32,2,0),"תקין","לא תקין"),""))</f>
        <v/>
      </c>
      <c r="R1303" s="199" t="str">
        <f t="shared" si="307"/>
        <v/>
      </c>
      <c r="S1303" s="199" t="str">
        <f t="shared" si="308"/>
        <v/>
      </c>
      <c r="T1303" s="199" t="str">
        <f t="shared" si="316"/>
        <v/>
      </c>
      <c r="U1303" s="199" t="str">
        <f t="shared" si="309"/>
        <v/>
      </c>
      <c r="V1303" s="989"/>
      <c r="X1303" s="374" t="str">
        <f t="shared" si="310"/>
        <v/>
      </c>
      <c r="Y1303" s="375" t="str">
        <f t="shared" si="311"/>
        <v/>
      </c>
      <c r="Z1303" s="374" t="str">
        <f t="shared" si="312"/>
        <v/>
      </c>
      <c r="AA1303" s="374" t="b">
        <f t="shared" si="313"/>
        <v>1</v>
      </c>
      <c r="AB1303" s="374">
        <f>COUNTIFS(B:B,B1303,H:H,'סיווג התפקידים והעלויות'!$C$2)</f>
        <v>0</v>
      </c>
      <c r="AC1303" s="374">
        <f>COUNTIFS(B:B,B1303,H:H,'סיווג התפקידים והעלויות'!$D$2)</f>
        <v>0</v>
      </c>
      <c r="AD1303" s="374" t="str">
        <f>IF(OR(AND(H1303='סיווג התפקידים והעלויות'!$A$2,I1303='סיווג התפקידים והעלויות'!$A$3),'עלויות כח אדם (6)'!H1303='סיווג התפקידים והעלויות'!$C$2,'עלויות כח אדם (6)'!H1303='סיווג התפקידים והעלויות'!$D$2),IF('עלויות כח אדם (6)'!J1303&lt;75,"לא תקין","תקין"),"")</f>
        <v/>
      </c>
      <c r="AE1303" s="374" t="str">
        <f t="shared" si="314"/>
        <v/>
      </c>
      <c r="AF1303" s="532" t="str">
        <f t="shared" si="315"/>
        <v/>
      </c>
    </row>
    <row r="1304" spans="2:32" x14ac:dyDescent="0.25">
      <c r="B1304" s="695"/>
      <c r="C1304" s="197" t="str">
        <f>IF(B1304&lt;&gt;"",IFERROR(VLOOKUP(B:B,'מצבת והרשמה (2)'!$C$20:$N$520,2,0)," ")," ")</f>
        <v xml:space="preserve"> </v>
      </c>
      <c r="D1304" s="695"/>
      <c r="E1304" s="696"/>
      <c r="F1304" s="696"/>
      <c r="G1304" s="696"/>
      <c r="H1304" s="696"/>
      <c r="I1304" s="1050" t="str">
        <f t="shared" si="302"/>
        <v/>
      </c>
      <c r="J1304" s="696"/>
      <c r="K1304" s="697"/>
      <c r="L1304" s="696"/>
      <c r="M1304" s="198" t="str">
        <f t="shared" si="303"/>
        <v/>
      </c>
      <c r="N1304" s="369" t="str">
        <f t="shared" si="304"/>
        <v/>
      </c>
      <c r="O1304" s="183" t="str">
        <f t="shared" si="305"/>
        <v/>
      </c>
      <c r="P1304" s="199" t="str">
        <f t="shared" si="306"/>
        <v/>
      </c>
      <c r="Q1304" s="199" t="str">
        <f>IF(B1304="","",IFERROR(IF('עלויות כח אדם (6)'!J1304&gt;=VLOOKUP(I1304,'סיווג התפקידים והעלויות'!$B$23:$C$32,2,0),"תקין","לא תקין"),""))</f>
        <v/>
      </c>
      <c r="R1304" s="199" t="str">
        <f t="shared" si="307"/>
        <v/>
      </c>
      <c r="S1304" s="199" t="str">
        <f t="shared" si="308"/>
        <v/>
      </c>
      <c r="T1304" s="199" t="str">
        <f t="shared" si="316"/>
        <v/>
      </c>
      <c r="U1304" s="199" t="str">
        <f t="shared" si="309"/>
        <v/>
      </c>
      <c r="V1304" s="989"/>
      <c r="X1304" s="374" t="str">
        <f t="shared" si="310"/>
        <v/>
      </c>
      <c r="Y1304" s="375" t="str">
        <f t="shared" si="311"/>
        <v/>
      </c>
      <c r="Z1304" s="374" t="str">
        <f t="shared" si="312"/>
        <v/>
      </c>
      <c r="AA1304" s="374" t="b">
        <f t="shared" si="313"/>
        <v>1</v>
      </c>
      <c r="AB1304" s="374">
        <f>COUNTIFS(B:B,B1304,H:H,'סיווג התפקידים והעלויות'!$C$2)</f>
        <v>0</v>
      </c>
      <c r="AC1304" s="374">
        <f>COUNTIFS(B:B,B1304,H:H,'סיווג התפקידים והעלויות'!$D$2)</f>
        <v>0</v>
      </c>
      <c r="AD1304" s="374" t="str">
        <f>IF(OR(AND(H1304='סיווג התפקידים והעלויות'!$A$2,I1304='סיווג התפקידים והעלויות'!$A$3),'עלויות כח אדם (6)'!H1304='סיווג התפקידים והעלויות'!$C$2,'עלויות כח אדם (6)'!H1304='סיווג התפקידים והעלויות'!$D$2),IF('עלויות כח אדם (6)'!J1304&lt;75,"לא תקין","תקין"),"")</f>
        <v/>
      </c>
      <c r="AE1304" s="374" t="str">
        <f t="shared" si="314"/>
        <v/>
      </c>
      <c r="AF1304" s="532" t="str">
        <f t="shared" si="315"/>
        <v/>
      </c>
    </row>
    <row r="1305" spans="2:32" x14ac:dyDescent="0.25">
      <c r="B1305" s="695"/>
      <c r="C1305" s="197" t="str">
        <f>IF(B1305&lt;&gt;"",IFERROR(VLOOKUP(B:B,'מצבת והרשמה (2)'!$C$20:$N$520,2,0)," ")," ")</f>
        <v xml:space="preserve"> </v>
      </c>
      <c r="D1305" s="695"/>
      <c r="E1305" s="696"/>
      <c r="F1305" s="696"/>
      <c r="G1305" s="696"/>
      <c r="H1305" s="696"/>
      <c r="I1305" s="1050" t="str">
        <f t="shared" si="302"/>
        <v/>
      </c>
      <c r="J1305" s="696"/>
      <c r="K1305" s="697"/>
      <c r="L1305" s="696"/>
      <c r="M1305" s="198" t="str">
        <f t="shared" si="303"/>
        <v/>
      </c>
      <c r="N1305" s="369" t="str">
        <f t="shared" si="304"/>
        <v/>
      </c>
      <c r="O1305" s="183" t="str">
        <f t="shared" si="305"/>
        <v/>
      </c>
      <c r="P1305" s="199" t="str">
        <f t="shared" si="306"/>
        <v/>
      </c>
      <c r="Q1305" s="199" t="str">
        <f>IF(B1305="","",IFERROR(IF('עלויות כח אדם (6)'!J1305&gt;=VLOOKUP(I1305,'סיווג התפקידים והעלויות'!$B$23:$C$32,2,0),"תקין","לא תקין"),""))</f>
        <v/>
      </c>
      <c r="R1305" s="199" t="str">
        <f t="shared" si="307"/>
        <v/>
      </c>
      <c r="S1305" s="199" t="str">
        <f t="shared" si="308"/>
        <v/>
      </c>
      <c r="T1305" s="199" t="str">
        <f t="shared" si="316"/>
        <v/>
      </c>
      <c r="U1305" s="199" t="str">
        <f t="shared" si="309"/>
        <v/>
      </c>
      <c r="V1305" s="989"/>
      <c r="X1305" s="374" t="str">
        <f t="shared" si="310"/>
        <v/>
      </c>
      <c r="Y1305" s="375" t="str">
        <f t="shared" si="311"/>
        <v/>
      </c>
      <c r="Z1305" s="374" t="str">
        <f t="shared" si="312"/>
        <v/>
      </c>
      <c r="AA1305" s="374" t="b">
        <f t="shared" si="313"/>
        <v>1</v>
      </c>
      <c r="AB1305" s="374">
        <f>COUNTIFS(B:B,B1305,H:H,'סיווג התפקידים והעלויות'!$C$2)</f>
        <v>0</v>
      </c>
      <c r="AC1305" s="374">
        <f>COUNTIFS(B:B,B1305,H:H,'סיווג התפקידים והעלויות'!$D$2)</f>
        <v>0</v>
      </c>
      <c r="AD1305" s="374" t="str">
        <f>IF(OR(AND(H1305='סיווג התפקידים והעלויות'!$A$2,I1305='סיווג התפקידים והעלויות'!$A$3),'עלויות כח אדם (6)'!H1305='סיווג התפקידים והעלויות'!$C$2,'עלויות כח אדם (6)'!H1305='סיווג התפקידים והעלויות'!$D$2),IF('עלויות כח אדם (6)'!J1305&lt;75,"לא תקין","תקין"),"")</f>
        <v/>
      </c>
      <c r="AE1305" s="374" t="str">
        <f t="shared" si="314"/>
        <v/>
      </c>
      <c r="AF1305" s="532" t="str">
        <f t="shared" si="315"/>
        <v/>
      </c>
    </row>
    <row r="1306" spans="2:32" x14ac:dyDescent="0.25">
      <c r="B1306" s="695"/>
      <c r="C1306" s="197" t="str">
        <f>IF(B1306&lt;&gt;"",IFERROR(VLOOKUP(B:B,'מצבת והרשמה (2)'!$C$20:$N$520,2,0)," ")," ")</f>
        <v xml:space="preserve"> </v>
      </c>
      <c r="D1306" s="695"/>
      <c r="E1306" s="696"/>
      <c r="F1306" s="696"/>
      <c r="G1306" s="696"/>
      <c r="H1306" s="696"/>
      <c r="I1306" s="1050" t="str">
        <f t="shared" si="302"/>
        <v/>
      </c>
      <c r="J1306" s="696"/>
      <c r="K1306" s="697"/>
      <c r="L1306" s="696"/>
      <c r="M1306" s="198" t="str">
        <f t="shared" si="303"/>
        <v/>
      </c>
      <c r="N1306" s="369" t="str">
        <f t="shared" si="304"/>
        <v/>
      </c>
      <c r="O1306" s="183" t="str">
        <f t="shared" si="305"/>
        <v/>
      </c>
      <c r="P1306" s="199" t="str">
        <f t="shared" si="306"/>
        <v/>
      </c>
      <c r="Q1306" s="199" t="str">
        <f>IF(B1306="","",IFERROR(IF('עלויות כח אדם (6)'!J1306&gt;=VLOOKUP(I1306,'סיווג התפקידים והעלויות'!$B$23:$C$32,2,0),"תקין","לא תקין"),""))</f>
        <v/>
      </c>
      <c r="R1306" s="199" t="str">
        <f t="shared" si="307"/>
        <v/>
      </c>
      <c r="S1306" s="199" t="str">
        <f t="shared" si="308"/>
        <v/>
      </c>
      <c r="T1306" s="199" t="str">
        <f t="shared" si="316"/>
        <v/>
      </c>
      <c r="U1306" s="199" t="str">
        <f t="shared" si="309"/>
        <v/>
      </c>
      <c r="V1306" s="989"/>
      <c r="X1306" s="374" t="str">
        <f t="shared" si="310"/>
        <v/>
      </c>
      <c r="Y1306" s="375" t="str">
        <f t="shared" si="311"/>
        <v/>
      </c>
      <c r="Z1306" s="374" t="str">
        <f t="shared" si="312"/>
        <v/>
      </c>
      <c r="AA1306" s="374" t="b">
        <f t="shared" si="313"/>
        <v>1</v>
      </c>
      <c r="AB1306" s="374">
        <f>COUNTIFS(B:B,B1306,H:H,'סיווג התפקידים והעלויות'!$C$2)</f>
        <v>0</v>
      </c>
      <c r="AC1306" s="374">
        <f>COUNTIFS(B:B,B1306,H:H,'סיווג התפקידים והעלויות'!$D$2)</f>
        <v>0</v>
      </c>
      <c r="AD1306" s="374" t="str">
        <f>IF(OR(AND(H1306='סיווג התפקידים והעלויות'!$A$2,I1306='סיווג התפקידים והעלויות'!$A$3),'עלויות כח אדם (6)'!H1306='סיווג התפקידים והעלויות'!$C$2,'עלויות כח אדם (6)'!H1306='סיווג התפקידים והעלויות'!$D$2),IF('עלויות כח אדם (6)'!J1306&lt;75,"לא תקין","תקין"),"")</f>
        <v/>
      </c>
      <c r="AE1306" s="374" t="str">
        <f t="shared" si="314"/>
        <v/>
      </c>
      <c r="AF1306" s="532" t="str">
        <f t="shared" si="315"/>
        <v/>
      </c>
    </row>
    <row r="1307" spans="2:32" x14ac:dyDescent="0.25">
      <c r="B1307" s="695"/>
      <c r="C1307" s="197" t="str">
        <f>IF(B1307&lt;&gt;"",IFERROR(VLOOKUP(B:B,'מצבת והרשמה (2)'!$C$20:$N$520,2,0)," ")," ")</f>
        <v xml:space="preserve"> </v>
      </c>
      <c r="D1307" s="695"/>
      <c r="E1307" s="696"/>
      <c r="F1307" s="696"/>
      <c r="G1307" s="696"/>
      <c r="H1307" s="696"/>
      <c r="I1307" s="1050" t="str">
        <f t="shared" si="302"/>
        <v/>
      </c>
      <c r="J1307" s="696"/>
      <c r="K1307" s="697"/>
      <c r="L1307" s="696"/>
      <c r="M1307" s="198" t="str">
        <f t="shared" si="303"/>
        <v/>
      </c>
      <c r="N1307" s="369" t="str">
        <f t="shared" si="304"/>
        <v/>
      </c>
      <c r="O1307" s="183" t="str">
        <f t="shared" si="305"/>
        <v/>
      </c>
      <c r="P1307" s="199" t="str">
        <f t="shared" si="306"/>
        <v/>
      </c>
      <c r="Q1307" s="199" t="str">
        <f>IF(B1307="","",IFERROR(IF('עלויות כח אדם (6)'!J1307&gt;=VLOOKUP(I1307,'סיווג התפקידים והעלויות'!$B$23:$C$32,2,0),"תקין","לא תקין"),""))</f>
        <v/>
      </c>
      <c r="R1307" s="199" t="str">
        <f t="shared" si="307"/>
        <v/>
      </c>
      <c r="S1307" s="199" t="str">
        <f t="shared" si="308"/>
        <v/>
      </c>
      <c r="T1307" s="199" t="str">
        <f t="shared" si="316"/>
        <v/>
      </c>
      <c r="U1307" s="199" t="str">
        <f t="shared" si="309"/>
        <v/>
      </c>
      <c r="V1307" s="989"/>
      <c r="X1307" s="374" t="str">
        <f t="shared" si="310"/>
        <v/>
      </c>
      <c r="Y1307" s="375" t="str">
        <f t="shared" si="311"/>
        <v/>
      </c>
      <c r="Z1307" s="374" t="str">
        <f t="shared" si="312"/>
        <v/>
      </c>
      <c r="AA1307" s="374" t="b">
        <f t="shared" si="313"/>
        <v>1</v>
      </c>
      <c r="AB1307" s="374">
        <f>COUNTIFS(B:B,B1307,H:H,'סיווג התפקידים והעלויות'!$C$2)</f>
        <v>0</v>
      </c>
      <c r="AC1307" s="374">
        <f>COUNTIFS(B:B,B1307,H:H,'סיווג התפקידים והעלויות'!$D$2)</f>
        <v>0</v>
      </c>
      <c r="AD1307" s="374" t="str">
        <f>IF(OR(AND(H1307='סיווג התפקידים והעלויות'!$A$2,I1307='סיווג התפקידים והעלויות'!$A$3),'עלויות כח אדם (6)'!H1307='סיווג התפקידים והעלויות'!$C$2,'עלויות כח אדם (6)'!H1307='סיווג התפקידים והעלויות'!$D$2),IF('עלויות כח אדם (6)'!J1307&lt;75,"לא תקין","תקין"),"")</f>
        <v/>
      </c>
      <c r="AE1307" s="374" t="str">
        <f t="shared" si="314"/>
        <v/>
      </c>
      <c r="AF1307" s="532" t="str">
        <f t="shared" si="315"/>
        <v/>
      </c>
    </row>
    <row r="1308" spans="2:32" x14ac:dyDescent="0.25">
      <c r="B1308" s="695"/>
      <c r="C1308" s="197" t="str">
        <f>IF(B1308&lt;&gt;"",IFERROR(VLOOKUP(B:B,'מצבת והרשמה (2)'!$C$20:$N$520,2,0)," ")," ")</f>
        <v xml:space="preserve"> </v>
      </c>
      <c r="D1308" s="695"/>
      <c r="E1308" s="696"/>
      <c r="F1308" s="696"/>
      <c r="G1308" s="696"/>
      <c r="H1308" s="696"/>
      <c r="I1308" s="1050" t="str">
        <f t="shared" si="302"/>
        <v/>
      </c>
      <c r="J1308" s="696"/>
      <c r="K1308" s="697"/>
      <c r="L1308" s="696"/>
      <c r="M1308" s="198" t="str">
        <f t="shared" si="303"/>
        <v/>
      </c>
      <c r="N1308" s="369" t="str">
        <f t="shared" si="304"/>
        <v/>
      </c>
      <c r="O1308" s="183" t="str">
        <f t="shared" si="305"/>
        <v/>
      </c>
      <c r="P1308" s="199" t="str">
        <f t="shared" si="306"/>
        <v/>
      </c>
      <c r="Q1308" s="199" t="str">
        <f>IF(B1308="","",IFERROR(IF('עלויות כח אדם (6)'!J1308&gt;=VLOOKUP(I1308,'סיווג התפקידים והעלויות'!$B$23:$C$32,2,0),"תקין","לא תקין"),""))</f>
        <v/>
      </c>
      <c r="R1308" s="199" t="str">
        <f t="shared" si="307"/>
        <v/>
      </c>
      <c r="S1308" s="199" t="str">
        <f t="shared" si="308"/>
        <v/>
      </c>
      <c r="T1308" s="199" t="str">
        <f t="shared" si="316"/>
        <v/>
      </c>
      <c r="U1308" s="199" t="str">
        <f t="shared" si="309"/>
        <v/>
      </c>
      <c r="V1308" s="989"/>
      <c r="X1308" s="374" t="str">
        <f t="shared" si="310"/>
        <v/>
      </c>
      <c r="Y1308" s="375" t="str">
        <f t="shared" si="311"/>
        <v/>
      </c>
      <c r="Z1308" s="374" t="str">
        <f t="shared" si="312"/>
        <v/>
      </c>
      <c r="AA1308" s="374" t="b">
        <f t="shared" si="313"/>
        <v>1</v>
      </c>
      <c r="AB1308" s="374">
        <f>COUNTIFS(B:B,B1308,H:H,'סיווג התפקידים והעלויות'!$C$2)</f>
        <v>0</v>
      </c>
      <c r="AC1308" s="374">
        <f>COUNTIFS(B:B,B1308,H:H,'סיווג התפקידים והעלויות'!$D$2)</f>
        <v>0</v>
      </c>
      <c r="AD1308" s="374" t="str">
        <f>IF(OR(AND(H1308='סיווג התפקידים והעלויות'!$A$2,I1308='סיווג התפקידים והעלויות'!$A$3),'עלויות כח אדם (6)'!H1308='סיווג התפקידים והעלויות'!$C$2,'עלויות כח אדם (6)'!H1308='סיווג התפקידים והעלויות'!$D$2),IF('עלויות כח אדם (6)'!J1308&lt;75,"לא תקין","תקין"),"")</f>
        <v/>
      </c>
      <c r="AE1308" s="374" t="str">
        <f t="shared" si="314"/>
        <v/>
      </c>
      <c r="AF1308" s="532" t="str">
        <f t="shared" si="315"/>
        <v/>
      </c>
    </row>
    <row r="1309" spans="2:32" x14ac:dyDescent="0.25">
      <c r="B1309" s="695"/>
      <c r="C1309" s="197" t="str">
        <f>IF(B1309&lt;&gt;"",IFERROR(VLOOKUP(B:B,'מצבת והרשמה (2)'!$C$20:$N$520,2,0)," ")," ")</f>
        <v xml:space="preserve"> </v>
      </c>
      <c r="D1309" s="695"/>
      <c r="E1309" s="696"/>
      <c r="F1309" s="696"/>
      <c r="G1309" s="696"/>
      <c r="H1309" s="696"/>
      <c r="I1309" s="1050" t="str">
        <f t="shared" si="302"/>
        <v/>
      </c>
      <c r="J1309" s="696"/>
      <c r="K1309" s="697"/>
      <c r="L1309" s="696"/>
      <c r="M1309" s="198" t="str">
        <f t="shared" si="303"/>
        <v/>
      </c>
      <c r="N1309" s="369" t="str">
        <f t="shared" si="304"/>
        <v/>
      </c>
      <c r="O1309" s="183" t="str">
        <f t="shared" si="305"/>
        <v/>
      </c>
      <c r="P1309" s="199" t="str">
        <f t="shared" si="306"/>
        <v/>
      </c>
      <c r="Q1309" s="199" t="str">
        <f>IF(B1309="","",IFERROR(IF('עלויות כח אדם (6)'!J1309&gt;=VLOOKUP(I1309,'סיווג התפקידים והעלויות'!$B$23:$C$32,2,0),"תקין","לא תקין"),""))</f>
        <v/>
      </c>
      <c r="R1309" s="199" t="str">
        <f t="shared" si="307"/>
        <v/>
      </c>
      <c r="S1309" s="199" t="str">
        <f t="shared" si="308"/>
        <v/>
      </c>
      <c r="T1309" s="199" t="str">
        <f t="shared" si="316"/>
        <v/>
      </c>
      <c r="U1309" s="199" t="str">
        <f t="shared" si="309"/>
        <v/>
      </c>
      <c r="V1309" s="989"/>
      <c r="X1309" s="374" t="str">
        <f t="shared" si="310"/>
        <v/>
      </c>
      <c r="Y1309" s="375" t="str">
        <f t="shared" si="311"/>
        <v/>
      </c>
      <c r="Z1309" s="374" t="str">
        <f t="shared" si="312"/>
        <v/>
      </c>
      <c r="AA1309" s="374" t="b">
        <f t="shared" si="313"/>
        <v>1</v>
      </c>
      <c r="AB1309" s="374">
        <f>COUNTIFS(B:B,B1309,H:H,'סיווג התפקידים והעלויות'!$C$2)</f>
        <v>0</v>
      </c>
      <c r="AC1309" s="374">
        <f>COUNTIFS(B:B,B1309,H:H,'סיווג התפקידים והעלויות'!$D$2)</f>
        <v>0</v>
      </c>
      <c r="AD1309" s="374" t="str">
        <f>IF(OR(AND(H1309='סיווג התפקידים והעלויות'!$A$2,I1309='סיווג התפקידים והעלויות'!$A$3),'עלויות כח אדם (6)'!H1309='סיווג התפקידים והעלויות'!$C$2,'עלויות כח אדם (6)'!H1309='סיווג התפקידים והעלויות'!$D$2),IF('עלויות כח אדם (6)'!J1309&lt;75,"לא תקין","תקין"),"")</f>
        <v/>
      </c>
      <c r="AE1309" s="374" t="str">
        <f t="shared" si="314"/>
        <v/>
      </c>
      <c r="AF1309" s="532" t="str">
        <f t="shared" si="315"/>
        <v/>
      </c>
    </row>
    <row r="1310" spans="2:32" x14ac:dyDescent="0.25">
      <c r="B1310" s="695"/>
      <c r="C1310" s="197" t="str">
        <f>IF(B1310&lt;&gt;"",IFERROR(VLOOKUP(B:B,'מצבת והרשמה (2)'!$C$20:$N$520,2,0)," ")," ")</f>
        <v xml:space="preserve"> </v>
      </c>
      <c r="D1310" s="695"/>
      <c r="E1310" s="696"/>
      <c r="F1310" s="696"/>
      <c r="G1310" s="696"/>
      <c r="H1310" s="696"/>
      <c r="I1310" s="1050" t="str">
        <f t="shared" si="302"/>
        <v/>
      </c>
      <c r="J1310" s="696"/>
      <c r="K1310" s="697"/>
      <c r="L1310" s="696"/>
      <c r="M1310" s="198" t="str">
        <f t="shared" si="303"/>
        <v/>
      </c>
      <c r="N1310" s="369" t="str">
        <f t="shared" si="304"/>
        <v/>
      </c>
      <c r="O1310" s="183" t="str">
        <f t="shared" si="305"/>
        <v/>
      </c>
      <c r="P1310" s="199" t="str">
        <f t="shared" si="306"/>
        <v/>
      </c>
      <c r="Q1310" s="199" t="str">
        <f>IF(B1310="","",IFERROR(IF('עלויות כח אדם (6)'!J1310&gt;=VLOOKUP(I1310,'סיווג התפקידים והעלויות'!$B$23:$C$32,2,0),"תקין","לא תקין"),""))</f>
        <v/>
      </c>
      <c r="R1310" s="199" t="str">
        <f t="shared" si="307"/>
        <v/>
      </c>
      <c r="S1310" s="199" t="str">
        <f t="shared" si="308"/>
        <v/>
      </c>
      <c r="T1310" s="199" t="str">
        <f t="shared" si="316"/>
        <v/>
      </c>
      <c r="U1310" s="199" t="str">
        <f t="shared" si="309"/>
        <v/>
      </c>
      <c r="V1310" s="989"/>
      <c r="X1310" s="374" t="str">
        <f t="shared" si="310"/>
        <v/>
      </c>
      <c r="Y1310" s="375" t="str">
        <f t="shared" si="311"/>
        <v/>
      </c>
      <c r="Z1310" s="374" t="str">
        <f t="shared" si="312"/>
        <v/>
      </c>
      <c r="AA1310" s="374" t="b">
        <f t="shared" si="313"/>
        <v>1</v>
      </c>
      <c r="AB1310" s="374">
        <f>COUNTIFS(B:B,B1310,H:H,'סיווג התפקידים והעלויות'!$C$2)</f>
        <v>0</v>
      </c>
      <c r="AC1310" s="374">
        <f>COUNTIFS(B:B,B1310,H:H,'סיווג התפקידים והעלויות'!$D$2)</f>
        <v>0</v>
      </c>
      <c r="AD1310" s="374" t="str">
        <f>IF(OR(AND(H1310='סיווג התפקידים והעלויות'!$A$2,I1310='סיווג התפקידים והעלויות'!$A$3),'עלויות כח אדם (6)'!H1310='סיווג התפקידים והעלויות'!$C$2,'עלויות כח אדם (6)'!H1310='סיווג התפקידים והעלויות'!$D$2),IF('עלויות כח אדם (6)'!J1310&lt;75,"לא תקין","תקין"),"")</f>
        <v/>
      </c>
      <c r="AE1310" s="374" t="str">
        <f t="shared" si="314"/>
        <v/>
      </c>
      <c r="AF1310" s="532" t="str">
        <f t="shared" si="315"/>
        <v/>
      </c>
    </row>
    <row r="1311" spans="2:32" x14ac:dyDescent="0.25">
      <c r="B1311" s="695"/>
      <c r="C1311" s="197" t="str">
        <f>IF(B1311&lt;&gt;"",IFERROR(VLOOKUP(B:B,'מצבת והרשמה (2)'!$C$20:$N$520,2,0)," ")," ")</f>
        <v xml:space="preserve"> </v>
      </c>
      <c r="D1311" s="695"/>
      <c r="E1311" s="696"/>
      <c r="F1311" s="696"/>
      <c r="G1311" s="696"/>
      <c r="H1311" s="696"/>
      <c r="I1311" s="1050" t="str">
        <f t="shared" si="302"/>
        <v/>
      </c>
      <c r="J1311" s="696"/>
      <c r="K1311" s="697"/>
      <c r="L1311" s="696"/>
      <c r="M1311" s="198" t="str">
        <f t="shared" si="303"/>
        <v/>
      </c>
      <c r="N1311" s="369" t="str">
        <f t="shared" si="304"/>
        <v/>
      </c>
      <c r="O1311" s="183" t="str">
        <f t="shared" si="305"/>
        <v/>
      </c>
      <c r="P1311" s="199" t="str">
        <f t="shared" si="306"/>
        <v/>
      </c>
      <c r="Q1311" s="199" t="str">
        <f>IF(B1311="","",IFERROR(IF('עלויות כח אדם (6)'!J1311&gt;=VLOOKUP(I1311,'סיווג התפקידים והעלויות'!$B$23:$C$32,2,0),"תקין","לא תקין"),""))</f>
        <v/>
      </c>
      <c r="R1311" s="199" t="str">
        <f t="shared" si="307"/>
        <v/>
      </c>
      <c r="S1311" s="199" t="str">
        <f t="shared" si="308"/>
        <v/>
      </c>
      <c r="T1311" s="199" t="str">
        <f t="shared" si="316"/>
        <v/>
      </c>
      <c r="U1311" s="199" t="str">
        <f t="shared" si="309"/>
        <v/>
      </c>
      <c r="V1311" s="989"/>
      <c r="X1311" s="374" t="str">
        <f t="shared" si="310"/>
        <v/>
      </c>
      <c r="Y1311" s="375" t="str">
        <f t="shared" si="311"/>
        <v/>
      </c>
      <c r="Z1311" s="374" t="str">
        <f t="shared" si="312"/>
        <v/>
      </c>
      <c r="AA1311" s="374" t="b">
        <f t="shared" si="313"/>
        <v>1</v>
      </c>
      <c r="AB1311" s="374">
        <f>COUNTIFS(B:B,B1311,H:H,'סיווג התפקידים והעלויות'!$C$2)</f>
        <v>0</v>
      </c>
      <c r="AC1311" s="374">
        <f>COUNTIFS(B:B,B1311,H:H,'סיווג התפקידים והעלויות'!$D$2)</f>
        <v>0</v>
      </c>
      <c r="AD1311" s="374" t="str">
        <f>IF(OR(AND(H1311='סיווג התפקידים והעלויות'!$A$2,I1311='סיווג התפקידים והעלויות'!$A$3),'עלויות כח אדם (6)'!H1311='סיווג התפקידים והעלויות'!$C$2,'עלויות כח אדם (6)'!H1311='סיווג התפקידים והעלויות'!$D$2),IF('עלויות כח אדם (6)'!J1311&lt;75,"לא תקין","תקין"),"")</f>
        <v/>
      </c>
      <c r="AE1311" s="374" t="str">
        <f t="shared" si="314"/>
        <v/>
      </c>
      <c r="AF1311" s="532" t="str">
        <f t="shared" si="315"/>
        <v/>
      </c>
    </row>
    <row r="1312" spans="2:32" x14ac:dyDescent="0.25">
      <c r="B1312" s="695"/>
      <c r="C1312" s="197" t="str">
        <f>IF(B1312&lt;&gt;"",IFERROR(VLOOKUP(B:B,'מצבת והרשמה (2)'!$C$20:$N$520,2,0)," ")," ")</f>
        <v xml:space="preserve"> </v>
      </c>
      <c r="D1312" s="695"/>
      <c r="E1312" s="696"/>
      <c r="F1312" s="696"/>
      <c r="G1312" s="696"/>
      <c r="H1312" s="696"/>
      <c r="I1312" s="1050" t="str">
        <f t="shared" si="302"/>
        <v/>
      </c>
      <c r="J1312" s="696"/>
      <c r="K1312" s="697"/>
      <c r="L1312" s="696"/>
      <c r="M1312" s="198" t="str">
        <f t="shared" si="303"/>
        <v/>
      </c>
      <c r="N1312" s="369" t="str">
        <f t="shared" si="304"/>
        <v/>
      </c>
      <c r="O1312" s="183" t="str">
        <f t="shared" si="305"/>
        <v/>
      </c>
      <c r="P1312" s="199" t="str">
        <f t="shared" si="306"/>
        <v/>
      </c>
      <c r="Q1312" s="199" t="str">
        <f>IF(B1312="","",IFERROR(IF('עלויות כח אדם (6)'!J1312&gt;=VLOOKUP(I1312,'סיווג התפקידים והעלויות'!$B$23:$C$32,2,0),"תקין","לא תקין"),""))</f>
        <v/>
      </c>
      <c r="R1312" s="199" t="str">
        <f t="shared" si="307"/>
        <v/>
      </c>
      <c r="S1312" s="199" t="str">
        <f t="shared" si="308"/>
        <v/>
      </c>
      <c r="T1312" s="199" t="str">
        <f t="shared" si="316"/>
        <v/>
      </c>
      <c r="U1312" s="199" t="str">
        <f t="shared" si="309"/>
        <v/>
      </c>
      <c r="V1312" s="989"/>
      <c r="X1312" s="374" t="str">
        <f t="shared" si="310"/>
        <v/>
      </c>
      <c r="Y1312" s="375" t="str">
        <f t="shared" si="311"/>
        <v/>
      </c>
      <c r="Z1312" s="374" t="str">
        <f t="shared" si="312"/>
        <v/>
      </c>
      <c r="AA1312" s="374" t="b">
        <f t="shared" si="313"/>
        <v>1</v>
      </c>
      <c r="AB1312" s="374">
        <f>COUNTIFS(B:B,B1312,H:H,'סיווג התפקידים והעלויות'!$C$2)</f>
        <v>0</v>
      </c>
      <c r="AC1312" s="374">
        <f>COUNTIFS(B:B,B1312,H:H,'סיווג התפקידים והעלויות'!$D$2)</f>
        <v>0</v>
      </c>
      <c r="AD1312" s="374" t="str">
        <f>IF(OR(AND(H1312='סיווג התפקידים והעלויות'!$A$2,I1312='סיווג התפקידים והעלויות'!$A$3),'עלויות כח אדם (6)'!H1312='סיווג התפקידים והעלויות'!$C$2,'עלויות כח אדם (6)'!H1312='סיווג התפקידים והעלויות'!$D$2),IF('עלויות כח אדם (6)'!J1312&lt;75,"לא תקין","תקין"),"")</f>
        <v/>
      </c>
      <c r="AE1312" s="374" t="str">
        <f t="shared" si="314"/>
        <v/>
      </c>
      <c r="AF1312" s="532" t="str">
        <f t="shared" si="315"/>
        <v/>
      </c>
    </row>
    <row r="1313" spans="2:32" x14ac:dyDescent="0.25">
      <c r="B1313" s="695"/>
      <c r="C1313" s="197" t="str">
        <f>IF(B1313&lt;&gt;"",IFERROR(VLOOKUP(B:B,'מצבת והרשמה (2)'!$C$20:$N$520,2,0)," ")," ")</f>
        <v xml:space="preserve"> </v>
      </c>
      <c r="D1313" s="695"/>
      <c r="E1313" s="696"/>
      <c r="F1313" s="696"/>
      <c r="G1313" s="696"/>
      <c r="H1313" s="696"/>
      <c r="I1313" s="1050" t="str">
        <f t="shared" si="302"/>
        <v/>
      </c>
      <c r="J1313" s="696"/>
      <c r="K1313" s="697"/>
      <c r="L1313" s="696"/>
      <c r="M1313" s="198" t="str">
        <f t="shared" si="303"/>
        <v/>
      </c>
      <c r="N1313" s="369" t="str">
        <f t="shared" si="304"/>
        <v/>
      </c>
      <c r="O1313" s="183" t="str">
        <f t="shared" si="305"/>
        <v/>
      </c>
      <c r="P1313" s="199" t="str">
        <f t="shared" si="306"/>
        <v/>
      </c>
      <c r="Q1313" s="199" t="str">
        <f>IF(B1313="","",IFERROR(IF('עלויות כח אדם (6)'!J1313&gt;=VLOOKUP(I1313,'סיווג התפקידים והעלויות'!$B$23:$C$32,2,0),"תקין","לא תקין"),""))</f>
        <v/>
      </c>
      <c r="R1313" s="199" t="str">
        <f t="shared" si="307"/>
        <v/>
      </c>
      <c r="S1313" s="199" t="str">
        <f t="shared" si="308"/>
        <v/>
      </c>
      <c r="T1313" s="199" t="str">
        <f t="shared" si="316"/>
        <v/>
      </c>
      <c r="U1313" s="199" t="str">
        <f t="shared" si="309"/>
        <v/>
      </c>
      <c r="V1313" s="989"/>
      <c r="X1313" s="374" t="str">
        <f t="shared" si="310"/>
        <v/>
      </c>
      <c r="Y1313" s="375" t="str">
        <f t="shared" si="311"/>
        <v/>
      </c>
      <c r="Z1313" s="374" t="str">
        <f t="shared" si="312"/>
        <v/>
      </c>
      <c r="AA1313" s="374" t="b">
        <f t="shared" si="313"/>
        <v>1</v>
      </c>
      <c r="AB1313" s="374">
        <f>COUNTIFS(B:B,B1313,H:H,'סיווג התפקידים והעלויות'!$C$2)</f>
        <v>0</v>
      </c>
      <c r="AC1313" s="374">
        <f>COUNTIFS(B:B,B1313,H:H,'סיווג התפקידים והעלויות'!$D$2)</f>
        <v>0</v>
      </c>
      <c r="AD1313" s="374" t="str">
        <f>IF(OR(AND(H1313='סיווג התפקידים והעלויות'!$A$2,I1313='סיווג התפקידים והעלויות'!$A$3),'עלויות כח אדם (6)'!H1313='סיווג התפקידים והעלויות'!$C$2,'עלויות כח אדם (6)'!H1313='סיווג התפקידים והעלויות'!$D$2),IF('עלויות כח אדם (6)'!J1313&lt;75,"לא תקין","תקין"),"")</f>
        <v/>
      </c>
      <c r="AE1313" s="374" t="str">
        <f t="shared" si="314"/>
        <v/>
      </c>
      <c r="AF1313" s="532" t="str">
        <f t="shared" si="315"/>
        <v/>
      </c>
    </row>
    <row r="1314" spans="2:32" x14ac:dyDescent="0.25">
      <c r="B1314" s="695"/>
      <c r="C1314" s="197" t="str">
        <f>IF(B1314&lt;&gt;"",IFERROR(VLOOKUP(B:B,'מצבת והרשמה (2)'!$C$20:$N$520,2,0)," ")," ")</f>
        <v xml:space="preserve"> </v>
      </c>
      <c r="D1314" s="695"/>
      <c r="E1314" s="696"/>
      <c r="F1314" s="696"/>
      <c r="G1314" s="696"/>
      <c r="H1314" s="696"/>
      <c r="I1314" s="1050" t="str">
        <f t="shared" si="302"/>
        <v/>
      </c>
      <c r="J1314" s="696"/>
      <c r="K1314" s="697"/>
      <c r="L1314" s="696"/>
      <c r="M1314" s="198" t="str">
        <f t="shared" si="303"/>
        <v/>
      </c>
      <c r="N1314" s="369" t="str">
        <f t="shared" si="304"/>
        <v/>
      </c>
      <c r="O1314" s="183" t="str">
        <f t="shared" si="305"/>
        <v/>
      </c>
      <c r="P1314" s="199" t="str">
        <f t="shared" si="306"/>
        <v/>
      </c>
      <c r="Q1314" s="199" t="str">
        <f>IF(B1314="","",IFERROR(IF('עלויות כח אדם (6)'!J1314&gt;=VLOOKUP(I1314,'סיווג התפקידים והעלויות'!$B$23:$C$32,2,0),"תקין","לא תקין"),""))</f>
        <v/>
      </c>
      <c r="R1314" s="199" t="str">
        <f t="shared" si="307"/>
        <v/>
      </c>
      <c r="S1314" s="199" t="str">
        <f t="shared" si="308"/>
        <v/>
      </c>
      <c r="T1314" s="199" t="str">
        <f t="shared" si="316"/>
        <v/>
      </c>
      <c r="U1314" s="199" t="str">
        <f t="shared" si="309"/>
        <v/>
      </c>
      <c r="V1314" s="989"/>
      <c r="X1314" s="374" t="str">
        <f t="shared" si="310"/>
        <v/>
      </c>
      <c r="Y1314" s="375" t="str">
        <f t="shared" si="311"/>
        <v/>
      </c>
      <c r="Z1314" s="374" t="str">
        <f t="shared" si="312"/>
        <v/>
      </c>
      <c r="AA1314" s="374" t="b">
        <f t="shared" si="313"/>
        <v>1</v>
      </c>
      <c r="AB1314" s="374">
        <f>COUNTIFS(B:B,B1314,H:H,'סיווג התפקידים והעלויות'!$C$2)</f>
        <v>0</v>
      </c>
      <c r="AC1314" s="374">
        <f>COUNTIFS(B:B,B1314,H:H,'סיווג התפקידים והעלויות'!$D$2)</f>
        <v>0</v>
      </c>
      <c r="AD1314" s="374" t="str">
        <f>IF(OR(AND(H1314='סיווג התפקידים והעלויות'!$A$2,I1314='סיווג התפקידים והעלויות'!$A$3),'עלויות כח אדם (6)'!H1314='סיווג התפקידים והעלויות'!$C$2,'עלויות כח אדם (6)'!H1314='סיווג התפקידים והעלויות'!$D$2),IF('עלויות כח אדם (6)'!J1314&lt;75,"לא תקין","תקין"),"")</f>
        <v/>
      </c>
      <c r="AE1314" s="374" t="str">
        <f t="shared" si="314"/>
        <v/>
      </c>
      <c r="AF1314" s="532" t="str">
        <f t="shared" si="315"/>
        <v/>
      </c>
    </row>
    <row r="1315" spans="2:32" x14ac:dyDescent="0.25">
      <c r="B1315" s="695"/>
      <c r="C1315" s="197" t="str">
        <f>IF(B1315&lt;&gt;"",IFERROR(VLOOKUP(B:B,'מצבת והרשמה (2)'!$C$20:$N$520,2,0)," ")," ")</f>
        <v xml:space="preserve"> </v>
      </c>
      <c r="D1315" s="695"/>
      <c r="E1315" s="696"/>
      <c r="F1315" s="696"/>
      <c r="G1315" s="696"/>
      <c r="H1315" s="696"/>
      <c r="I1315" s="1050" t="str">
        <f t="shared" si="302"/>
        <v/>
      </c>
      <c r="J1315" s="696"/>
      <c r="K1315" s="697"/>
      <c r="L1315" s="696"/>
      <c r="M1315" s="198" t="str">
        <f t="shared" si="303"/>
        <v/>
      </c>
      <c r="N1315" s="369" t="str">
        <f t="shared" si="304"/>
        <v/>
      </c>
      <c r="O1315" s="183" t="str">
        <f t="shared" si="305"/>
        <v/>
      </c>
      <c r="P1315" s="199" t="str">
        <f t="shared" si="306"/>
        <v/>
      </c>
      <c r="Q1315" s="199" t="str">
        <f>IF(B1315="","",IFERROR(IF('עלויות כח אדם (6)'!J1315&gt;=VLOOKUP(I1315,'סיווג התפקידים והעלויות'!$B$23:$C$32,2,0),"תקין","לא תקין"),""))</f>
        <v/>
      </c>
      <c r="R1315" s="199" t="str">
        <f t="shared" si="307"/>
        <v/>
      </c>
      <c r="S1315" s="199" t="str">
        <f t="shared" si="308"/>
        <v/>
      </c>
      <c r="T1315" s="199" t="str">
        <f t="shared" si="316"/>
        <v/>
      </c>
      <c r="U1315" s="199" t="str">
        <f t="shared" si="309"/>
        <v/>
      </c>
      <c r="V1315" s="989"/>
      <c r="X1315" s="374" t="str">
        <f t="shared" si="310"/>
        <v/>
      </c>
      <c r="Y1315" s="375" t="str">
        <f t="shared" si="311"/>
        <v/>
      </c>
      <c r="Z1315" s="374" t="str">
        <f t="shared" si="312"/>
        <v/>
      </c>
      <c r="AA1315" s="374" t="b">
        <f t="shared" si="313"/>
        <v>1</v>
      </c>
      <c r="AB1315" s="374">
        <f>COUNTIFS(B:B,B1315,H:H,'סיווג התפקידים והעלויות'!$C$2)</f>
        <v>0</v>
      </c>
      <c r="AC1315" s="374">
        <f>COUNTIFS(B:B,B1315,H:H,'סיווג התפקידים והעלויות'!$D$2)</f>
        <v>0</v>
      </c>
      <c r="AD1315" s="374" t="str">
        <f>IF(OR(AND(H1315='סיווג התפקידים והעלויות'!$A$2,I1315='סיווג התפקידים והעלויות'!$A$3),'עלויות כח אדם (6)'!H1315='סיווג התפקידים והעלויות'!$C$2,'עלויות כח אדם (6)'!H1315='סיווג התפקידים והעלויות'!$D$2),IF('עלויות כח אדם (6)'!J1315&lt;75,"לא תקין","תקין"),"")</f>
        <v/>
      </c>
      <c r="AE1315" s="374" t="str">
        <f t="shared" si="314"/>
        <v/>
      </c>
      <c r="AF1315" s="532" t="str">
        <f t="shared" si="315"/>
        <v/>
      </c>
    </row>
    <row r="1316" spans="2:32" x14ac:dyDescent="0.25">
      <c r="B1316" s="695"/>
      <c r="C1316" s="197" t="str">
        <f>IF(B1316&lt;&gt;"",IFERROR(VLOOKUP(B:B,'מצבת והרשמה (2)'!$C$20:$N$520,2,0)," ")," ")</f>
        <v xml:space="preserve"> </v>
      </c>
      <c r="D1316" s="695"/>
      <c r="E1316" s="696"/>
      <c r="F1316" s="696"/>
      <c r="G1316" s="696"/>
      <c r="H1316" s="696"/>
      <c r="I1316" s="1050" t="str">
        <f t="shared" si="302"/>
        <v/>
      </c>
      <c r="J1316" s="696"/>
      <c r="K1316" s="697"/>
      <c r="L1316" s="696"/>
      <c r="M1316" s="198" t="str">
        <f t="shared" si="303"/>
        <v/>
      </c>
      <c r="N1316" s="369" t="str">
        <f t="shared" si="304"/>
        <v/>
      </c>
      <c r="O1316" s="183" t="str">
        <f t="shared" si="305"/>
        <v/>
      </c>
      <c r="P1316" s="199" t="str">
        <f t="shared" si="306"/>
        <v/>
      </c>
      <c r="Q1316" s="199" t="str">
        <f>IF(B1316="","",IFERROR(IF('עלויות כח אדם (6)'!J1316&gt;=VLOOKUP(I1316,'סיווג התפקידים והעלויות'!$B$23:$C$32,2,0),"תקין","לא תקין"),""))</f>
        <v/>
      </c>
      <c r="R1316" s="199" t="str">
        <f t="shared" si="307"/>
        <v/>
      </c>
      <c r="S1316" s="199" t="str">
        <f t="shared" si="308"/>
        <v/>
      </c>
      <c r="T1316" s="199" t="str">
        <f t="shared" si="316"/>
        <v/>
      </c>
      <c r="U1316" s="199" t="str">
        <f t="shared" si="309"/>
        <v/>
      </c>
      <c r="V1316" s="989"/>
      <c r="X1316" s="374" t="str">
        <f t="shared" si="310"/>
        <v/>
      </c>
      <c r="Y1316" s="375" t="str">
        <f t="shared" si="311"/>
        <v/>
      </c>
      <c r="Z1316" s="374" t="str">
        <f t="shared" si="312"/>
        <v/>
      </c>
      <c r="AA1316" s="374" t="b">
        <f t="shared" si="313"/>
        <v>1</v>
      </c>
      <c r="AB1316" s="374">
        <f>COUNTIFS(B:B,B1316,H:H,'סיווג התפקידים והעלויות'!$C$2)</f>
        <v>0</v>
      </c>
      <c r="AC1316" s="374">
        <f>COUNTIFS(B:B,B1316,H:H,'סיווג התפקידים והעלויות'!$D$2)</f>
        <v>0</v>
      </c>
      <c r="AD1316" s="374" t="str">
        <f>IF(OR(AND(H1316='סיווג התפקידים והעלויות'!$A$2,I1316='סיווג התפקידים והעלויות'!$A$3),'עלויות כח אדם (6)'!H1316='סיווג התפקידים והעלויות'!$C$2,'עלויות כח אדם (6)'!H1316='סיווג התפקידים והעלויות'!$D$2),IF('עלויות כח אדם (6)'!J1316&lt;75,"לא תקין","תקין"),"")</f>
        <v/>
      </c>
      <c r="AE1316" s="374" t="str">
        <f t="shared" si="314"/>
        <v/>
      </c>
      <c r="AF1316" s="532" t="str">
        <f t="shared" si="315"/>
        <v/>
      </c>
    </row>
    <row r="1317" spans="2:32" x14ac:dyDescent="0.25">
      <c r="B1317" s="695"/>
      <c r="C1317" s="197" t="str">
        <f>IF(B1317&lt;&gt;"",IFERROR(VLOOKUP(B:B,'מצבת והרשמה (2)'!$C$20:$N$520,2,0)," ")," ")</f>
        <v xml:space="preserve"> </v>
      </c>
      <c r="D1317" s="695"/>
      <c r="E1317" s="696"/>
      <c r="F1317" s="696"/>
      <c r="G1317" s="696"/>
      <c r="H1317" s="696"/>
      <c r="I1317" s="1050" t="str">
        <f t="shared" si="302"/>
        <v/>
      </c>
      <c r="J1317" s="696"/>
      <c r="K1317" s="697"/>
      <c r="L1317" s="696"/>
      <c r="M1317" s="198" t="str">
        <f t="shared" si="303"/>
        <v/>
      </c>
      <c r="N1317" s="369" t="str">
        <f t="shared" si="304"/>
        <v/>
      </c>
      <c r="O1317" s="183" t="str">
        <f t="shared" si="305"/>
        <v/>
      </c>
      <c r="P1317" s="199" t="str">
        <f t="shared" si="306"/>
        <v/>
      </c>
      <c r="Q1317" s="199" t="str">
        <f>IF(B1317="","",IFERROR(IF('עלויות כח אדם (6)'!J1317&gt;=VLOOKUP(I1317,'סיווג התפקידים והעלויות'!$B$23:$C$32,2,0),"תקין","לא תקין"),""))</f>
        <v/>
      </c>
      <c r="R1317" s="199" t="str">
        <f t="shared" si="307"/>
        <v/>
      </c>
      <c r="S1317" s="199" t="str">
        <f t="shared" si="308"/>
        <v/>
      </c>
      <c r="T1317" s="199" t="str">
        <f t="shared" si="316"/>
        <v/>
      </c>
      <c r="U1317" s="199" t="str">
        <f t="shared" si="309"/>
        <v/>
      </c>
      <c r="V1317" s="989"/>
      <c r="X1317" s="374" t="str">
        <f t="shared" si="310"/>
        <v/>
      </c>
      <c r="Y1317" s="375" t="str">
        <f t="shared" si="311"/>
        <v/>
      </c>
      <c r="Z1317" s="374" t="str">
        <f t="shared" si="312"/>
        <v/>
      </c>
      <c r="AA1317" s="374" t="b">
        <f t="shared" si="313"/>
        <v>1</v>
      </c>
      <c r="AB1317" s="374">
        <f>COUNTIFS(B:B,B1317,H:H,'סיווג התפקידים והעלויות'!$C$2)</f>
        <v>0</v>
      </c>
      <c r="AC1317" s="374">
        <f>COUNTIFS(B:B,B1317,H:H,'סיווג התפקידים והעלויות'!$D$2)</f>
        <v>0</v>
      </c>
      <c r="AD1317" s="374" t="str">
        <f>IF(OR(AND(H1317='סיווג התפקידים והעלויות'!$A$2,I1317='סיווג התפקידים והעלויות'!$A$3),'עלויות כח אדם (6)'!H1317='סיווג התפקידים והעלויות'!$C$2,'עלויות כח אדם (6)'!H1317='סיווג התפקידים והעלויות'!$D$2),IF('עלויות כח אדם (6)'!J1317&lt;75,"לא תקין","תקין"),"")</f>
        <v/>
      </c>
      <c r="AE1317" s="374" t="str">
        <f t="shared" si="314"/>
        <v/>
      </c>
      <c r="AF1317" s="532" t="str">
        <f t="shared" si="315"/>
        <v/>
      </c>
    </row>
    <row r="1318" spans="2:32" x14ac:dyDescent="0.25">
      <c r="B1318" s="695"/>
      <c r="C1318" s="197" t="str">
        <f>IF(B1318&lt;&gt;"",IFERROR(VLOOKUP(B:B,'מצבת והרשמה (2)'!$C$20:$N$520,2,0)," ")," ")</f>
        <v xml:space="preserve"> </v>
      </c>
      <c r="D1318" s="695"/>
      <c r="E1318" s="696"/>
      <c r="F1318" s="696"/>
      <c r="G1318" s="696"/>
      <c r="H1318" s="696"/>
      <c r="I1318" s="1050" t="str">
        <f t="shared" si="302"/>
        <v/>
      </c>
      <c r="J1318" s="696"/>
      <c r="K1318" s="697"/>
      <c r="L1318" s="696"/>
      <c r="M1318" s="198" t="str">
        <f t="shared" si="303"/>
        <v/>
      </c>
      <c r="N1318" s="369" t="str">
        <f t="shared" si="304"/>
        <v/>
      </c>
      <c r="O1318" s="183" t="str">
        <f t="shared" si="305"/>
        <v/>
      </c>
      <c r="P1318" s="199" t="str">
        <f t="shared" si="306"/>
        <v/>
      </c>
      <c r="Q1318" s="199" t="str">
        <f>IF(B1318="","",IFERROR(IF('עלויות כח אדם (6)'!J1318&gt;=VLOOKUP(I1318,'סיווג התפקידים והעלויות'!$B$23:$C$32,2,0),"תקין","לא תקין"),""))</f>
        <v/>
      </c>
      <c r="R1318" s="199" t="str">
        <f t="shared" si="307"/>
        <v/>
      </c>
      <c r="S1318" s="199" t="str">
        <f t="shared" si="308"/>
        <v/>
      </c>
      <c r="T1318" s="199" t="str">
        <f t="shared" si="316"/>
        <v/>
      </c>
      <c r="U1318" s="199" t="str">
        <f t="shared" si="309"/>
        <v/>
      </c>
      <c r="V1318" s="989"/>
      <c r="X1318" s="374" t="str">
        <f t="shared" si="310"/>
        <v/>
      </c>
      <c r="Y1318" s="375" t="str">
        <f t="shared" si="311"/>
        <v/>
      </c>
      <c r="Z1318" s="374" t="str">
        <f t="shared" si="312"/>
        <v/>
      </c>
      <c r="AA1318" s="374" t="b">
        <f t="shared" si="313"/>
        <v>1</v>
      </c>
      <c r="AB1318" s="374">
        <f>COUNTIFS(B:B,B1318,H:H,'סיווג התפקידים והעלויות'!$C$2)</f>
        <v>0</v>
      </c>
      <c r="AC1318" s="374">
        <f>COUNTIFS(B:B,B1318,H:H,'סיווג התפקידים והעלויות'!$D$2)</f>
        <v>0</v>
      </c>
      <c r="AD1318" s="374" t="str">
        <f>IF(OR(AND(H1318='סיווג התפקידים והעלויות'!$A$2,I1318='סיווג התפקידים והעלויות'!$A$3),'עלויות כח אדם (6)'!H1318='סיווג התפקידים והעלויות'!$C$2,'עלויות כח אדם (6)'!H1318='סיווג התפקידים והעלויות'!$D$2),IF('עלויות כח אדם (6)'!J1318&lt;75,"לא תקין","תקין"),"")</f>
        <v/>
      </c>
      <c r="AE1318" s="374" t="str">
        <f t="shared" si="314"/>
        <v/>
      </c>
      <c r="AF1318" s="532" t="str">
        <f t="shared" si="315"/>
        <v/>
      </c>
    </row>
    <row r="1319" spans="2:32" x14ac:dyDescent="0.25">
      <c r="B1319" s="695"/>
      <c r="C1319" s="197" t="str">
        <f>IF(B1319&lt;&gt;"",IFERROR(VLOOKUP(B:B,'מצבת והרשמה (2)'!$C$20:$N$520,2,0)," ")," ")</f>
        <v xml:space="preserve"> </v>
      </c>
      <c r="D1319" s="695"/>
      <c r="E1319" s="696"/>
      <c r="F1319" s="696"/>
      <c r="G1319" s="696"/>
      <c r="H1319" s="696"/>
      <c r="I1319" s="1050" t="str">
        <f t="shared" si="302"/>
        <v/>
      </c>
      <c r="J1319" s="696"/>
      <c r="K1319" s="697"/>
      <c r="L1319" s="696"/>
      <c r="M1319" s="198" t="str">
        <f t="shared" si="303"/>
        <v/>
      </c>
      <c r="N1319" s="369" t="str">
        <f t="shared" si="304"/>
        <v/>
      </c>
      <c r="O1319" s="183" t="str">
        <f t="shared" si="305"/>
        <v/>
      </c>
      <c r="P1319" s="199" t="str">
        <f t="shared" si="306"/>
        <v/>
      </c>
      <c r="Q1319" s="199" t="str">
        <f>IF(B1319="","",IFERROR(IF('עלויות כח אדם (6)'!J1319&gt;=VLOOKUP(I1319,'סיווג התפקידים והעלויות'!$B$23:$C$32,2,0),"תקין","לא תקין"),""))</f>
        <v/>
      </c>
      <c r="R1319" s="199" t="str">
        <f t="shared" si="307"/>
        <v/>
      </c>
      <c r="S1319" s="199" t="str">
        <f t="shared" si="308"/>
        <v/>
      </c>
      <c r="T1319" s="199" t="str">
        <f t="shared" si="316"/>
        <v/>
      </c>
      <c r="U1319" s="199" t="str">
        <f t="shared" si="309"/>
        <v/>
      </c>
      <c r="V1319" s="989"/>
      <c r="X1319" s="374" t="str">
        <f t="shared" si="310"/>
        <v/>
      </c>
      <c r="Y1319" s="375" t="str">
        <f t="shared" si="311"/>
        <v/>
      </c>
      <c r="Z1319" s="374" t="str">
        <f t="shared" si="312"/>
        <v/>
      </c>
      <c r="AA1319" s="374" t="b">
        <f t="shared" si="313"/>
        <v>1</v>
      </c>
      <c r="AB1319" s="374">
        <f>COUNTIFS(B:B,B1319,H:H,'סיווג התפקידים והעלויות'!$C$2)</f>
        <v>0</v>
      </c>
      <c r="AC1319" s="374">
        <f>COUNTIFS(B:B,B1319,H:H,'סיווג התפקידים והעלויות'!$D$2)</f>
        <v>0</v>
      </c>
      <c r="AD1319" s="374" t="str">
        <f>IF(OR(AND(H1319='סיווג התפקידים והעלויות'!$A$2,I1319='סיווג התפקידים והעלויות'!$A$3),'עלויות כח אדם (6)'!H1319='סיווג התפקידים והעלויות'!$C$2,'עלויות כח אדם (6)'!H1319='סיווג התפקידים והעלויות'!$D$2),IF('עלויות כח אדם (6)'!J1319&lt;75,"לא תקין","תקין"),"")</f>
        <v/>
      </c>
      <c r="AE1319" s="374" t="str">
        <f t="shared" si="314"/>
        <v/>
      </c>
      <c r="AF1319" s="532" t="str">
        <f t="shared" si="315"/>
        <v/>
      </c>
    </row>
    <row r="1320" spans="2:32" x14ac:dyDescent="0.25">
      <c r="B1320" s="695"/>
      <c r="C1320" s="197" t="str">
        <f>IF(B1320&lt;&gt;"",IFERROR(VLOOKUP(B:B,'מצבת והרשמה (2)'!$C$20:$N$520,2,0)," ")," ")</f>
        <v xml:space="preserve"> </v>
      </c>
      <c r="D1320" s="695"/>
      <c r="E1320" s="696"/>
      <c r="F1320" s="696"/>
      <c r="G1320" s="696"/>
      <c r="H1320" s="696"/>
      <c r="I1320" s="1050" t="str">
        <f t="shared" si="302"/>
        <v/>
      </c>
      <c r="J1320" s="696"/>
      <c r="K1320" s="697"/>
      <c r="L1320" s="696"/>
      <c r="M1320" s="198" t="str">
        <f t="shared" si="303"/>
        <v/>
      </c>
      <c r="N1320" s="369" t="str">
        <f t="shared" si="304"/>
        <v/>
      </c>
      <c r="O1320" s="183" t="str">
        <f t="shared" si="305"/>
        <v/>
      </c>
      <c r="P1320" s="199" t="str">
        <f t="shared" si="306"/>
        <v/>
      </c>
      <c r="Q1320" s="199" t="str">
        <f>IF(B1320="","",IFERROR(IF('עלויות כח אדם (6)'!J1320&gt;=VLOOKUP(I1320,'סיווג התפקידים והעלויות'!$B$23:$C$32,2,0),"תקין","לא תקין"),""))</f>
        <v/>
      </c>
      <c r="R1320" s="199" t="str">
        <f t="shared" si="307"/>
        <v/>
      </c>
      <c r="S1320" s="199" t="str">
        <f t="shared" si="308"/>
        <v/>
      </c>
      <c r="T1320" s="199" t="str">
        <f t="shared" si="316"/>
        <v/>
      </c>
      <c r="U1320" s="199" t="str">
        <f t="shared" si="309"/>
        <v/>
      </c>
      <c r="V1320" s="989"/>
      <c r="X1320" s="374" t="str">
        <f t="shared" si="310"/>
        <v/>
      </c>
      <c r="Y1320" s="375" t="str">
        <f t="shared" si="311"/>
        <v/>
      </c>
      <c r="Z1320" s="374" t="str">
        <f t="shared" si="312"/>
        <v/>
      </c>
      <c r="AA1320" s="374" t="b">
        <f t="shared" si="313"/>
        <v>1</v>
      </c>
      <c r="AB1320" s="374">
        <f>COUNTIFS(B:B,B1320,H:H,'סיווג התפקידים והעלויות'!$C$2)</f>
        <v>0</v>
      </c>
      <c r="AC1320" s="374">
        <f>COUNTIFS(B:B,B1320,H:H,'סיווג התפקידים והעלויות'!$D$2)</f>
        <v>0</v>
      </c>
      <c r="AD1320" s="374" t="str">
        <f>IF(OR(AND(H1320='סיווג התפקידים והעלויות'!$A$2,I1320='סיווג התפקידים והעלויות'!$A$3),'עלויות כח אדם (6)'!H1320='סיווג התפקידים והעלויות'!$C$2,'עלויות כח אדם (6)'!H1320='סיווג התפקידים והעלויות'!$D$2),IF('עלויות כח אדם (6)'!J1320&lt;75,"לא תקין","תקין"),"")</f>
        <v/>
      </c>
      <c r="AE1320" s="374" t="str">
        <f t="shared" si="314"/>
        <v/>
      </c>
      <c r="AF1320" s="532" t="str">
        <f t="shared" si="315"/>
        <v/>
      </c>
    </row>
    <row r="1321" spans="2:32" x14ac:dyDescent="0.25">
      <c r="B1321" s="695"/>
      <c r="C1321" s="197" t="str">
        <f>IF(B1321&lt;&gt;"",IFERROR(VLOOKUP(B:B,'מצבת והרשמה (2)'!$C$20:$N$520,2,0)," ")," ")</f>
        <v xml:space="preserve"> </v>
      </c>
      <c r="D1321" s="695"/>
      <c r="E1321" s="696"/>
      <c r="F1321" s="696"/>
      <c r="G1321" s="696"/>
      <c r="H1321" s="696"/>
      <c r="I1321" s="1050" t="str">
        <f t="shared" si="302"/>
        <v/>
      </c>
      <c r="J1321" s="696"/>
      <c r="K1321" s="697"/>
      <c r="L1321" s="696"/>
      <c r="M1321" s="198" t="str">
        <f t="shared" si="303"/>
        <v/>
      </c>
      <c r="N1321" s="369" t="str">
        <f t="shared" si="304"/>
        <v/>
      </c>
      <c r="O1321" s="183" t="str">
        <f t="shared" si="305"/>
        <v/>
      </c>
      <c r="P1321" s="199" t="str">
        <f t="shared" si="306"/>
        <v/>
      </c>
      <c r="Q1321" s="199" t="str">
        <f>IF(B1321="","",IFERROR(IF('עלויות כח אדם (6)'!J1321&gt;=VLOOKUP(I1321,'סיווג התפקידים והעלויות'!$B$23:$C$32,2,0),"תקין","לא תקין"),""))</f>
        <v/>
      </c>
      <c r="R1321" s="199" t="str">
        <f t="shared" si="307"/>
        <v/>
      </c>
      <c r="S1321" s="199" t="str">
        <f t="shared" si="308"/>
        <v/>
      </c>
      <c r="T1321" s="199" t="str">
        <f t="shared" si="316"/>
        <v/>
      </c>
      <c r="U1321" s="199" t="str">
        <f t="shared" si="309"/>
        <v/>
      </c>
      <c r="V1321" s="989"/>
      <c r="X1321" s="374" t="str">
        <f t="shared" si="310"/>
        <v/>
      </c>
      <c r="Y1321" s="375" t="str">
        <f t="shared" si="311"/>
        <v/>
      </c>
      <c r="Z1321" s="374" t="str">
        <f t="shared" si="312"/>
        <v/>
      </c>
      <c r="AA1321" s="374" t="b">
        <f t="shared" si="313"/>
        <v>1</v>
      </c>
      <c r="AB1321" s="374">
        <f>COUNTIFS(B:B,B1321,H:H,'סיווג התפקידים והעלויות'!$C$2)</f>
        <v>0</v>
      </c>
      <c r="AC1321" s="374">
        <f>COUNTIFS(B:B,B1321,H:H,'סיווג התפקידים והעלויות'!$D$2)</f>
        <v>0</v>
      </c>
      <c r="AD1321" s="374" t="str">
        <f>IF(OR(AND(H1321='סיווג התפקידים והעלויות'!$A$2,I1321='סיווג התפקידים והעלויות'!$A$3),'עלויות כח אדם (6)'!H1321='סיווג התפקידים והעלויות'!$C$2,'עלויות כח אדם (6)'!H1321='סיווג התפקידים והעלויות'!$D$2),IF('עלויות כח אדם (6)'!J1321&lt;75,"לא תקין","תקין"),"")</f>
        <v/>
      </c>
      <c r="AE1321" s="374" t="str">
        <f t="shared" si="314"/>
        <v/>
      </c>
      <c r="AF1321" s="532" t="str">
        <f t="shared" si="315"/>
        <v/>
      </c>
    </row>
    <row r="1322" spans="2:32" x14ac:dyDescent="0.25">
      <c r="B1322" s="695"/>
      <c r="C1322" s="197" t="str">
        <f>IF(B1322&lt;&gt;"",IFERROR(VLOOKUP(B:B,'מצבת והרשמה (2)'!$C$20:$N$520,2,0)," ")," ")</f>
        <v xml:space="preserve"> </v>
      </c>
      <c r="D1322" s="695"/>
      <c r="E1322" s="696"/>
      <c r="F1322" s="696"/>
      <c r="G1322" s="696"/>
      <c r="H1322" s="696"/>
      <c r="I1322" s="1050" t="str">
        <f t="shared" si="302"/>
        <v/>
      </c>
      <c r="J1322" s="696"/>
      <c r="K1322" s="697"/>
      <c r="L1322" s="696"/>
      <c r="M1322" s="198" t="str">
        <f t="shared" si="303"/>
        <v/>
      </c>
      <c r="N1322" s="369" t="str">
        <f t="shared" si="304"/>
        <v/>
      </c>
      <c r="O1322" s="183" t="str">
        <f t="shared" si="305"/>
        <v/>
      </c>
      <c r="P1322" s="199" t="str">
        <f t="shared" si="306"/>
        <v/>
      </c>
      <c r="Q1322" s="199" t="str">
        <f>IF(B1322="","",IFERROR(IF('עלויות כח אדם (6)'!J1322&gt;=VLOOKUP(I1322,'סיווג התפקידים והעלויות'!$B$23:$C$32,2,0),"תקין","לא תקין"),""))</f>
        <v/>
      </c>
      <c r="R1322" s="199" t="str">
        <f t="shared" si="307"/>
        <v/>
      </c>
      <c r="S1322" s="199" t="str">
        <f t="shared" si="308"/>
        <v/>
      </c>
      <c r="T1322" s="199" t="str">
        <f t="shared" si="316"/>
        <v/>
      </c>
      <c r="U1322" s="199" t="str">
        <f t="shared" si="309"/>
        <v/>
      </c>
      <c r="V1322" s="989"/>
      <c r="X1322" s="374" t="str">
        <f t="shared" si="310"/>
        <v/>
      </c>
      <c r="Y1322" s="375" t="str">
        <f t="shared" si="311"/>
        <v/>
      </c>
      <c r="Z1322" s="374" t="str">
        <f t="shared" si="312"/>
        <v/>
      </c>
      <c r="AA1322" s="374" t="b">
        <f t="shared" si="313"/>
        <v>1</v>
      </c>
      <c r="AB1322" s="374">
        <f>COUNTIFS(B:B,B1322,H:H,'סיווג התפקידים והעלויות'!$C$2)</f>
        <v>0</v>
      </c>
      <c r="AC1322" s="374">
        <f>COUNTIFS(B:B,B1322,H:H,'סיווג התפקידים והעלויות'!$D$2)</f>
        <v>0</v>
      </c>
      <c r="AD1322" s="374" t="str">
        <f>IF(OR(AND(H1322='סיווג התפקידים והעלויות'!$A$2,I1322='סיווג התפקידים והעלויות'!$A$3),'עלויות כח אדם (6)'!H1322='סיווג התפקידים והעלויות'!$C$2,'עלויות כח אדם (6)'!H1322='סיווג התפקידים והעלויות'!$D$2),IF('עלויות כח אדם (6)'!J1322&lt;75,"לא תקין","תקין"),"")</f>
        <v/>
      </c>
      <c r="AE1322" s="374" t="str">
        <f t="shared" si="314"/>
        <v/>
      </c>
      <c r="AF1322" s="532" t="str">
        <f t="shared" si="315"/>
        <v/>
      </c>
    </row>
    <row r="1323" spans="2:32" x14ac:dyDescent="0.25">
      <c r="B1323" s="695"/>
      <c r="C1323" s="197" t="str">
        <f>IF(B1323&lt;&gt;"",IFERROR(VLOOKUP(B:B,'מצבת והרשמה (2)'!$C$20:$N$520,2,0)," ")," ")</f>
        <v xml:space="preserve"> </v>
      </c>
      <c r="D1323" s="695"/>
      <c r="E1323" s="696"/>
      <c r="F1323" s="696"/>
      <c r="G1323" s="696"/>
      <c r="H1323" s="696"/>
      <c r="I1323" s="1050" t="str">
        <f t="shared" si="302"/>
        <v/>
      </c>
      <c r="J1323" s="696"/>
      <c r="K1323" s="697"/>
      <c r="L1323" s="696"/>
      <c r="M1323" s="198" t="str">
        <f t="shared" si="303"/>
        <v/>
      </c>
      <c r="N1323" s="369" t="str">
        <f t="shared" si="304"/>
        <v/>
      </c>
      <c r="O1323" s="183" t="str">
        <f t="shared" si="305"/>
        <v/>
      </c>
      <c r="P1323" s="199" t="str">
        <f t="shared" si="306"/>
        <v/>
      </c>
      <c r="Q1323" s="199" t="str">
        <f>IF(B1323="","",IFERROR(IF('עלויות כח אדם (6)'!J1323&gt;=VLOOKUP(I1323,'סיווג התפקידים והעלויות'!$B$23:$C$32,2,0),"תקין","לא תקין"),""))</f>
        <v/>
      </c>
      <c r="R1323" s="199" t="str">
        <f t="shared" si="307"/>
        <v/>
      </c>
      <c r="S1323" s="199" t="str">
        <f t="shared" si="308"/>
        <v/>
      </c>
      <c r="T1323" s="199" t="str">
        <f t="shared" si="316"/>
        <v/>
      </c>
      <c r="U1323" s="199" t="str">
        <f t="shared" si="309"/>
        <v/>
      </c>
      <c r="V1323" s="989"/>
      <c r="X1323" s="374" t="str">
        <f t="shared" si="310"/>
        <v/>
      </c>
      <c r="Y1323" s="375" t="str">
        <f t="shared" si="311"/>
        <v/>
      </c>
      <c r="Z1323" s="374" t="str">
        <f t="shared" si="312"/>
        <v/>
      </c>
      <c r="AA1323" s="374" t="b">
        <f t="shared" si="313"/>
        <v>1</v>
      </c>
      <c r="AB1323" s="374">
        <f>COUNTIFS(B:B,B1323,H:H,'סיווג התפקידים והעלויות'!$C$2)</f>
        <v>0</v>
      </c>
      <c r="AC1323" s="374">
        <f>COUNTIFS(B:B,B1323,H:H,'סיווג התפקידים והעלויות'!$D$2)</f>
        <v>0</v>
      </c>
      <c r="AD1323" s="374" t="str">
        <f>IF(OR(AND(H1323='סיווג התפקידים והעלויות'!$A$2,I1323='סיווג התפקידים והעלויות'!$A$3),'עלויות כח אדם (6)'!H1323='סיווג התפקידים והעלויות'!$C$2,'עלויות כח אדם (6)'!H1323='סיווג התפקידים והעלויות'!$D$2),IF('עלויות כח אדם (6)'!J1323&lt;75,"לא תקין","תקין"),"")</f>
        <v/>
      </c>
      <c r="AE1323" s="374" t="str">
        <f t="shared" si="314"/>
        <v/>
      </c>
      <c r="AF1323" s="532" t="str">
        <f t="shared" si="315"/>
        <v/>
      </c>
    </row>
    <row r="1324" spans="2:32" x14ac:dyDescent="0.25">
      <c r="B1324" s="695"/>
      <c r="C1324" s="197" t="str">
        <f>IF(B1324&lt;&gt;"",IFERROR(VLOOKUP(B:B,'מצבת והרשמה (2)'!$C$20:$N$520,2,0)," ")," ")</f>
        <v xml:space="preserve"> </v>
      </c>
      <c r="D1324" s="695"/>
      <c r="E1324" s="696"/>
      <c r="F1324" s="696"/>
      <c r="G1324" s="696"/>
      <c r="H1324" s="696"/>
      <c r="I1324" s="1050" t="str">
        <f t="shared" si="302"/>
        <v/>
      </c>
      <c r="J1324" s="696"/>
      <c r="K1324" s="697"/>
      <c r="L1324" s="696"/>
      <c r="M1324" s="198" t="str">
        <f t="shared" si="303"/>
        <v/>
      </c>
      <c r="N1324" s="369" t="str">
        <f t="shared" si="304"/>
        <v/>
      </c>
      <c r="O1324" s="183" t="str">
        <f t="shared" si="305"/>
        <v/>
      </c>
      <c r="P1324" s="199" t="str">
        <f t="shared" si="306"/>
        <v/>
      </c>
      <c r="Q1324" s="199" t="str">
        <f>IF(B1324="","",IFERROR(IF('עלויות כח אדם (6)'!J1324&gt;=VLOOKUP(I1324,'סיווג התפקידים והעלויות'!$B$23:$C$32,2,0),"תקין","לא תקין"),""))</f>
        <v/>
      </c>
      <c r="R1324" s="199" t="str">
        <f t="shared" si="307"/>
        <v/>
      </c>
      <c r="S1324" s="199" t="str">
        <f t="shared" si="308"/>
        <v/>
      </c>
      <c r="T1324" s="199" t="str">
        <f t="shared" si="316"/>
        <v/>
      </c>
      <c r="U1324" s="199" t="str">
        <f t="shared" si="309"/>
        <v/>
      </c>
      <c r="V1324" s="989"/>
      <c r="X1324" s="374" t="str">
        <f t="shared" si="310"/>
        <v/>
      </c>
      <c r="Y1324" s="375" t="str">
        <f t="shared" si="311"/>
        <v/>
      </c>
      <c r="Z1324" s="374" t="str">
        <f t="shared" si="312"/>
        <v/>
      </c>
      <c r="AA1324" s="374" t="b">
        <f t="shared" si="313"/>
        <v>1</v>
      </c>
      <c r="AB1324" s="374">
        <f>COUNTIFS(B:B,B1324,H:H,'סיווג התפקידים והעלויות'!$C$2)</f>
        <v>0</v>
      </c>
      <c r="AC1324" s="374">
        <f>COUNTIFS(B:B,B1324,H:H,'סיווג התפקידים והעלויות'!$D$2)</f>
        <v>0</v>
      </c>
      <c r="AD1324" s="374" t="str">
        <f>IF(OR(AND(H1324='סיווג התפקידים והעלויות'!$A$2,I1324='סיווג התפקידים והעלויות'!$A$3),'עלויות כח אדם (6)'!H1324='סיווג התפקידים והעלויות'!$C$2,'עלויות כח אדם (6)'!H1324='סיווג התפקידים והעלויות'!$D$2),IF('עלויות כח אדם (6)'!J1324&lt;75,"לא תקין","תקין"),"")</f>
        <v/>
      </c>
      <c r="AE1324" s="374" t="str">
        <f t="shared" si="314"/>
        <v/>
      </c>
      <c r="AF1324" s="532" t="str">
        <f t="shared" si="315"/>
        <v/>
      </c>
    </row>
    <row r="1325" spans="2:32" x14ac:dyDescent="0.25">
      <c r="B1325" s="695"/>
      <c r="C1325" s="197" t="str">
        <f>IF(B1325&lt;&gt;"",IFERROR(VLOOKUP(B:B,'מצבת והרשמה (2)'!$C$20:$N$520,2,0)," ")," ")</f>
        <v xml:space="preserve"> </v>
      </c>
      <c r="D1325" s="695"/>
      <c r="E1325" s="696"/>
      <c r="F1325" s="696"/>
      <c r="G1325" s="696"/>
      <c r="H1325" s="696"/>
      <c r="I1325" s="1050" t="str">
        <f t="shared" si="302"/>
        <v/>
      </c>
      <c r="J1325" s="696"/>
      <c r="K1325" s="697"/>
      <c r="L1325" s="696"/>
      <c r="M1325" s="198" t="str">
        <f t="shared" si="303"/>
        <v/>
      </c>
      <c r="N1325" s="369" t="str">
        <f t="shared" si="304"/>
        <v/>
      </c>
      <c r="O1325" s="183" t="str">
        <f t="shared" si="305"/>
        <v/>
      </c>
      <c r="P1325" s="199" t="str">
        <f t="shared" si="306"/>
        <v/>
      </c>
      <c r="Q1325" s="199" t="str">
        <f>IF(B1325="","",IFERROR(IF('עלויות כח אדם (6)'!J1325&gt;=VLOOKUP(I1325,'סיווג התפקידים והעלויות'!$B$23:$C$32,2,0),"תקין","לא תקין"),""))</f>
        <v/>
      </c>
      <c r="R1325" s="199" t="str">
        <f t="shared" si="307"/>
        <v/>
      </c>
      <c r="S1325" s="199" t="str">
        <f t="shared" si="308"/>
        <v/>
      </c>
      <c r="T1325" s="199" t="str">
        <f t="shared" si="316"/>
        <v/>
      </c>
      <c r="U1325" s="199" t="str">
        <f t="shared" si="309"/>
        <v/>
      </c>
      <c r="V1325" s="989"/>
      <c r="X1325" s="374" t="str">
        <f t="shared" si="310"/>
        <v/>
      </c>
      <c r="Y1325" s="375" t="str">
        <f t="shared" si="311"/>
        <v/>
      </c>
      <c r="Z1325" s="374" t="str">
        <f t="shared" si="312"/>
        <v/>
      </c>
      <c r="AA1325" s="374" t="b">
        <f t="shared" si="313"/>
        <v>1</v>
      </c>
      <c r="AB1325" s="374">
        <f>COUNTIFS(B:B,B1325,H:H,'סיווג התפקידים והעלויות'!$C$2)</f>
        <v>0</v>
      </c>
      <c r="AC1325" s="374">
        <f>COUNTIFS(B:B,B1325,H:H,'סיווג התפקידים והעלויות'!$D$2)</f>
        <v>0</v>
      </c>
      <c r="AD1325" s="374" t="str">
        <f>IF(OR(AND(H1325='סיווג התפקידים והעלויות'!$A$2,I1325='סיווג התפקידים והעלויות'!$A$3),'עלויות כח אדם (6)'!H1325='סיווג התפקידים והעלויות'!$C$2,'עלויות כח אדם (6)'!H1325='סיווג התפקידים והעלויות'!$D$2),IF('עלויות כח אדם (6)'!J1325&lt;75,"לא תקין","תקין"),"")</f>
        <v/>
      </c>
      <c r="AE1325" s="374" t="str">
        <f t="shared" si="314"/>
        <v/>
      </c>
      <c r="AF1325" s="532" t="str">
        <f t="shared" si="315"/>
        <v/>
      </c>
    </row>
    <row r="1326" spans="2:32" x14ac:dyDescent="0.25">
      <c r="B1326" s="695"/>
      <c r="C1326" s="197" t="str">
        <f>IF(B1326&lt;&gt;"",IFERROR(VLOOKUP(B:B,'מצבת והרשמה (2)'!$C$20:$N$520,2,0)," ")," ")</f>
        <v xml:space="preserve"> </v>
      </c>
      <c r="D1326" s="695"/>
      <c r="E1326" s="696"/>
      <c r="F1326" s="696"/>
      <c r="G1326" s="696"/>
      <c r="H1326" s="696"/>
      <c r="I1326" s="1050" t="str">
        <f t="shared" si="302"/>
        <v/>
      </c>
      <c r="J1326" s="696"/>
      <c r="K1326" s="697"/>
      <c r="L1326" s="696"/>
      <c r="M1326" s="198" t="str">
        <f t="shared" si="303"/>
        <v/>
      </c>
      <c r="N1326" s="369" t="str">
        <f t="shared" si="304"/>
        <v/>
      </c>
      <c r="O1326" s="183" t="str">
        <f t="shared" si="305"/>
        <v/>
      </c>
      <c r="P1326" s="199" t="str">
        <f t="shared" si="306"/>
        <v/>
      </c>
      <c r="Q1326" s="199" t="str">
        <f>IF(B1326="","",IFERROR(IF('עלויות כח אדם (6)'!J1326&gt;=VLOOKUP(I1326,'סיווג התפקידים והעלויות'!$B$23:$C$32,2,0),"תקין","לא תקין"),""))</f>
        <v/>
      </c>
      <c r="R1326" s="199" t="str">
        <f t="shared" si="307"/>
        <v/>
      </c>
      <c r="S1326" s="199" t="str">
        <f t="shared" si="308"/>
        <v/>
      </c>
      <c r="T1326" s="199" t="str">
        <f t="shared" si="316"/>
        <v/>
      </c>
      <c r="U1326" s="199" t="str">
        <f t="shared" si="309"/>
        <v/>
      </c>
      <c r="V1326" s="989"/>
      <c r="X1326" s="374" t="str">
        <f t="shared" si="310"/>
        <v/>
      </c>
      <c r="Y1326" s="375" t="str">
        <f t="shared" si="311"/>
        <v/>
      </c>
      <c r="Z1326" s="374" t="str">
        <f t="shared" si="312"/>
        <v/>
      </c>
      <c r="AA1326" s="374" t="b">
        <f t="shared" si="313"/>
        <v>1</v>
      </c>
      <c r="AB1326" s="374">
        <f>COUNTIFS(B:B,B1326,H:H,'סיווג התפקידים והעלויות'!$C$2)</f>
        <v>0</v>
      </c>
      <c r="AC1326" s="374">
        <f>COUNTIFS(B:B,B1326,H:H,'סיווג התפקידים והעלויות'!$D$2)</f>
        <v>0</v>
      </c>
      <c r="AD1326" s="374" t="str">
        <f>IF(OR(AND(H1326='סיווג התפקידים והעלויות'!$A$2,I1326='סיווג התפקידים והעלויות'!$A$3),'עלויות כח אדם (6)'!H1326='סיווג התפקידים והעלויות'!$C$2,'עלויות כח אדם (6)'!H1326='סיווג התפקידים והעלויות'!$D$2),IF('עלויות כח אדם (6)'!J1326&lt;75,"לא תקין","תקין"),"")</f>
        <v/>
      </c>
      <c r="AE1326" s="374" t="str">
        <f t="shared" si="314"/>
        <v/>
      </c>
      <c r="AF1326" s="532" t="str">
        <f t="shared" si="315"/>
        <v/>
      </c>
    </row>
    <row r="1327" spans="2:32" x14ac:dyDescent="0.25">
      <c r="B1327" s="695"/>
      <c r="C1327" s="197" t="str">
        <f>IF(B1327&lt;&gt;"",IFERROR(VLOOKUP(B:B,'מצבת והרשמה (2)'!$C$20:$N$520,2,0)," ")," ")</f>
        <v xml:space="preserve"> </v>
      </c>
      <c r="D1327" s="695"/>
      <c r="E1327" s="696"/>
      <c r="F1327" s="696"/>
      <c r="G1327" s="696"/>
      <c r="H1327" s="696"/>
      <c r="I1327" s="1050" t="str">
        <f t="shared" si="302"/>
        <v/>
      </c>
      <c r="J1327" s="696"/>
      <c r="K1327" s="697"/>
      <c r="L1327" s="696"/>
      <c r="M1327" s="198" t="str">
        <f t="shared" si="303"/>
        <v/>
      </c>
      <c r="N1327" s="369" t="str">
        <f t="shared" si="304"/>
        <v/>
      </c>
      <c r="O1327" s="183" t="str">
        <f t="shared" si="305"/>
        <v/>
      </c>
      <c r="P1327" s="199" t="str">
        <f t="shared" si="306"/>
        <v/>
      </c>
      <c r="Q1327" s="199" t="str">
        <f>IF(B1327="","",IFERROR(IF('עלויות כח אדם (6)'!J1327&gt;=VLOOKUP(I1327,'סיווג התפקידים והעלויות'!$B$23:$C$32,2,0),"תקין","לא תקין"),""))</f>
        <v/>
      </c>
      <c r="R1327" s="199" t="str">
        <f t="shared" si="307"/>
        <v/>
      </c>
      <c r="S1327" s="199" t="str">
        <f t="shared" si="308"/>
        <v/>
      </c>
      <c r="T1327" s="199" t="str">
        <f t="shared" si="316"/>
        <v/>
      </c>
      <c r="U1327" s="199" t="str">
        <f t="shared" si="309"/>
        <v/>
      </c>
      <c r="V1327" s="989"/>
      <c r="X1327" s="374" t="str">
        <f t="shared" si="310"/>
        <v/>
      </c>
      <c r="Y1327" s="375" t="str">
        <f t="shared" si="311"/>
        <v/>
      </c>
      <c r="Z1327" s="374" t="str">
        <f t="shared" si="312"/>
        <v/>
      </c>
      <c r="AA1327" s="374" t="b">
        <f t="shared" si="313"/>
        <v>1</v>
      </c>
      <c r="AB1327" s="374">
        <f>COUNTIFS(B:B,B1327,H:H,'סיווג התפקידים והעלויות'!$C$2)</f>
        <v>0</v>
      </c>
      <c r="AC1327" s="374">
        <f>COUNTIFS(B:B,B1327,H:H,'סיווג התפקידים והעלויות'!$D$2)</f>
        <v>0</v>
      </c>
      <c r="AD1327" s="374" t="str">
        <f>IF(OR(AND(H1327='סיווג התפקידים והעלויות'!$A$2,I1327='סיווג התפקידים והעלויות'!$A$3),'עלויות כח אדם (6)'!H1327='סיווג התפקידים והעלויות'!$C$2,'עלויות כח אדם (6)'!H1327='סיווג התפקידים והעלויות'!$D$2),IF('עלויות כח אדם (6)'!J1327&lt;75,"לא תקין","תקין"),"")</f>
        <v/>
      </c>
      <c r="AE1327" s="374" t="str">
        <f t="shared" si="314"/>
        <v/>
      </c>
      <c r="AF1327" s="532" t="str">
        <f t="shared" si="315"/>
        <v/>
      </c>
    </row>
    <row r="1328" spans="2:32" x14ac:dyDescent="0.25">
      <c r="B1328" s="695"/>
      <c r="C1328" s="197" t="str">
        <f>IF(B1328&lt;&gt;"",IFERROR(VLOOKUP(B:B,'מצבת והרשמה (2)'!$C$20:$N$520,2,0)," ")," ")</f>
        <v xml:space="preserve"> </v>
      </c>
      <c r="D1328" s="695"/>
      <c r="E1328" s="696"/>
      <c r="F1328" s="696"/>
      <c r="G1328" s="696"/>
      <c r="H1328" s="696"/>
      <c r="I1328" s="1050" t="str">
        <f t="shared" si="302"/>
        <v/>
      </c>
      <c r="J1328" s="696"/>
      <c r="K1328" s="697"/>
      <c r="L1328" s="696"/>
      <c r="M1328" s="198" t="str">
        <f t="shared" si="303"/>
        <v/>
      </c>
      <c r="N1328" s="369" t="str">
        <f t="shared" si="304"/>
        <v/>
      </c>
      <c r="O1328" s="183" t="str">
        <f t="shared" si="305"/>
        <v/>
      </c>
      <c r="P1328" s="199" t="str">
        <f t="shared" si="306"/>
        <v/>
      </c>
      <c r="Q1328" s="199" t="str">
        <f>IF(B1328="","",IFERROR(IF('עלויות כח אדם (6)'!J1328&gt;=VLOOKUP(I1328,'סיווג התפקידים והעלויות'!$B$23:$C$32,2,0),"תקין","לא תקין"),""))</f>
        <v/>
      </c>
      <c r="R1328" s="199" t="str">
        <f t="shared" si="307"/>
        <v/>
      </c>
      <c r="S1328" s="199" t="str">
        <f t="shared" si="308"/>
        <v/>
      </c>
      <c r="T1328" s="199" t="str">
        <f t="shared" si="316"/>
        <v/>
      </c>
      <c r="U1328" s="199" t="str">
        <f t="shared" si="309"/>
        <v/>
      </c>
      <c r="V1328" s="989"/>
      <c r="X1328" s="374" t="str">
        <f t="shared" si="310"/>
        <v/>
      </c>
      <c r="Y1328" s="375" t="str">
        <f t="shared" si="311"/>
        <v/>
      </c>
      <c r="Z1328" s="374" t="str">
        <f t="shared" si="312"/>
        <v/>
      </c>
      <c r="AA1328" s="374" t="b">
        <f t="shared" si="313"/>
        <v>1</v>
      </c>
      <c r="AB1328" s="374">
        <f>COUNTIFS(B:B,B1328,H:H,'סיווג התפקידים והעלויות'!$C$2)</f>
        <v>0</v>
      </c>
      <c r="AC1328" s="374">
        <f>COUNTIFS(B:B,B1328,H:H,'סיווג התפקידים והעלויות'!$D$2)</f>
        <v>0</v>
      </c>
      <c r="AD1328" s="374" t="str">
        <f>IF(OR(AND(H1328='סיווג התפקידים והעלויות'!$A$2,I1328='סיווג התפקידים והעלויות'!$A$3),'עלויות כח אדם (6)'!H1328='סיווג התפקידים והעלויות'!$C$2,'עלויות כח אדם (6)'!H1328='סיווג התפקידים והעלויות'!$D$2),IF('עלויות כח אדם (6)'!J1328&lt;75,"לא תקין","תקין"),"")</f>
        <v/>
      </c>
      <c r="AE1328" s="374" t="str">
        <f t="shared" si="314"/>
        <v/>
      </c>
      <c r="AF1328" s="532" t="str">
        <f t="shared" si="315"/>
        <v/>
      </c>
    </row>
    <row r="1329" spans="2:32" x14ac:dyDescent="0.25">
      <c r="B1329" s="695"/>
      <c r="C1329" s="197" t="str">
        <f>IF(B1329&lt;&gt;"",IFERROR(VLOOKUP(B:B,'מצבת והרשמה (2)'!$C$20:$N$520,2,0)," ")," ")</f>
        <v xml:space="preserve"> </v>
      </c>
      <c r="D1329" s="695"/>
      <c r="E1329" s="696"/>
      <c r="F1329" s="696"/>
      <c r="G1329" s="696"/>
      <c r="H1329" s="696"/>
      <c r="I1329" s="1050" t="str">
        <f t="shared" si="302"/>
        <v/>
      </c>
      <c r="J1329" s="696"/>
      <c r="K1329" s="697"/>
      <c r="L1329" s="696"/>
      <c r="M1329" s="198" t="str">
        <f t="shared" si="303"/>
        <v/>
      </c>
      <c r="N1329" s="369" t="str">
        <f t="shared" si="304"/>
        <v/>
      </c>
      <c r="O1329" s="183" t="str">
        <f t="shared" si="305"/>
        <v/>
      </c>
      <c r="P1329" s="199" t="str">
        <f t="shared" si="306"/>
        <v/>
      </c>
      <c r="Q1329" s="199" t="str">
        <f>IF(B1329="","",IFERROR(IF('עלויות כח אדם (6)'!J1329&gt;=VLOOKUP(I1329,'סיווג התפקידים והעלויות'!$B$23:$C$32,2,0),"תקין","לא תקין"),""))</f>
        <v/>
      </c>
      <c r="R1329" s="199" t="str">
        <f t="shared" si="307"/>
        <v/>
      </c>
      <c r="S1329" s="199" t="str">
        <f t="shared" si="308"/>
        <v/>
      </c>
      <c r="T1329" s="199" t="str">
        <f t="shared" si="316"/>
        <v/>
      </c>
      <c r="U1329" s="199" t="str">
        <f t="shared" si="309"/>
        <v/>
      </c>
      <c r="V1329" s="989"/>
      <c r="X1329" s="374" t="str">
        <f t="shared" si="310"/>
        <v/>
      </c>
      <c r="Y1329" s="375" t="str">
        <f t="shared" si="311"/>
        <v/>
      </c>
      <c r="Z1329" s="374" t="str">
        <f t="shared" si="312"/>
        <v/>
      </c>
      <c r="AA1329" s="374" t="b">
        <f t="shared" si="313"/>
        <v>1</v>
      </c>
      <c r="AB1329" s="374">
        <f>COUNTIFS(B:B,B1329,H:H,'סיווג התפקידים והעלויות'!$C$2)</f>
        <v>0</v>
      </c>
      <c r="AC1329" s="374">
        <f>COUNTIFS(B:B,B1329,H:H,'סיווג התפקידים והעלויות'!$D$2)</f>
        <v>0</v>
      </c>
      <c r="AD1329" s="374" t="str">
        <f>IF(OR(AND(H1329='סיווג התפקידים והעלויות'!$A$2,I1329='סיווג התפקידים והעלויות'!$A$3),'עלויות כח אדם (6)'!H1329='סיווג התפקידים והעלויות'!$C$2,'עלויות כח אדם (6)'!H1329='סיווג התפקידים והעלויות'!$D$2),IF('עלויות כח אדם (6)'!J1329&lt;75,"לא תקין","תקין"),"")</f>
        <v/>
      </c>
      <c r="AE1329" s="374" t="str">
        <f t="shared" si="314"/>
        <v/>
      </c>
      <c r="AF1329" s="532" t="str">
        <f t="shared" si="315"/>
        <v/>
      </c>
    </row>
    <row r="1330" spans="2:32" x14ac:dyDescent="0.25">
      <c r="B1330" s="695"/>
      <c r="C1330" s="197" t="str">
        <f>IF(B1330&lt;&gt;"",IFERROR(VLOOKUP(B:B,'מצבת והרשמה (2)'!$C$20:$N$520,2,0)," ")," ")</f>
        <v xml:space="preserve"> </v>
      </c>
      <c r="D1330" s="695"/>
      <c r="E1330" s="696"/>
      <c r="F1330" s="696"/>
      <c r="G1330" s="696"/>
      <c r="H1330" s="696"/>
      <c r="I1330" s="1050" t="str">
        <f t="shared" si="302"/>
        <v/>
      </c>
      <c r="J1330" s="696"/>
      <c r="K1330" s="697"/>
      <c r="L1330" s="696"/>
      <c r="M1330" s="198" t="str">
        <f t="shared" si="303"/>
        <v/>
      </c>
      <c r="N1330" s="369" t="str">
        <f t="shared" si="304"/>
        <v/>
      </c>
      <c r="O1330" s="183" t="str">
        <f t="shared" si="305"/>
        <v/>
      </c>
      <c r="P1330" s="199" t="str">
        <f t="shared" si="306"/>
        <v/>
      </c>
      <c r="Q1330" s="199" t="str">
        <f>IF(B1330="","",IFERROR(IF('עלויות כח אדם (6)'!J1330&gt;=VLOOKUP(I1330,'סיווג התפקידים והעלויות'!$B$23:$C$32,2,0),"תקין","לא תקין"),""))</f>
        <v/>
      </c>
      <c r="R1330" s="199" t="str">
        <f t="shared" si="307"/>
        <v/>
      </c>
      <c r="S1330" s="199" t="str">
        <f t="shared" si="308"/>
        <v/>
      </c>
      <c r="T1330" s="199" t="str">
        <f t="shared" si="316"/>
        <v/>
      </c>
      <c r="U1330" s="199" t="str">
        <f t="shared" si="309"/>
        <v/>
      </c>
      <c r="V1330" s="989"/>
      <c r="X1330" s="374" t="str">
        <f t="shared" si="310"/>
        <v/>
      </c>
      <c r="Y1330" s="375" t="str">
        <f t="shared" si="311"/>
        <v/>
      </c>
      <c r="Z1330" s="374" t="str">
        <f t="shared" si="312"/>
        <v/>
      </c>
      <c r="AA1330" s="374" t="b">
        <f t="shared" si="313"/>
        <v>1</v>
      </c>
      <c r="AB1330" s="374">
        <f>COUNTIFS(B:B,B1330,H:H,'סיווג התפקידים והעלויות'!$C$2)</f>
        <v>0</v>
      </c>
      <c r="AC1330" s="374">
        <f>COUNTIFS(B:B,B1330,H:H,'סיווג התפקידים והעלויות'!$D$2)</f>
        <v>0</v>
      </c>
      <c r="AD1330" s="374" t="str">
        <f>IF(OR(AND(H1330='סיווג התפקידים והעלויות'!$A$2,I1330='סיווג התפקידים והעלויות'!$A$3),'עלויות כח אדם (6)'!H1330='סיווג התפקידים והעלויות'!$C$2,'עלויות כח אדם (6)'!H1330='סיווג התפקידים והעלויות'!$D$2),IF('עלויות כח אדם (6)'!J1330&lt;75,"לא תקין","תקין"),"")</f>
        <v/>
      </c>
      <c r="AE1330" s="374" t="str">
        <f t="shared" si="314"/>
        <v/>
      </c>
      <c r="AF1330" s="532" t="str">
        <f t="shared" si="315"/>
        <v/>
      </c>
    </row>
    <row r="1331" spans="2:32" x14ac:dyDescent="0.25">
      <c r="B1331" s="695"/>
      <c r="C1331" s="197" t="str">
        <f>IF(B1331&lt;&gt;"",IFERROR(VLOOKUP(B:B,'מצבת והרשמה (2)'!$C$20:$N$520,2,0)," ")," ")</f>
        <v xml:space="preserve"> </v>
      </c>
      <c r="D1331" s="695"/>
      <c r="E1331" s="696"/>
      <c r="F1331" s="696"/>
      <c r="G1331" s="696"/>
      <c r="H1331" s="696"/>
      <c r="I1331" s="1050" t="str">
        <f t="shared" si="302"/>
        <v/>
      </c>
      <c r="J1331" s="696"/>
      <c r="K1331" s="697"/>
      <c r="L1331" s="696"/>
      <c r="M1331" s="198" t="str">
        <f t="shared" si="303"/>
        <v/>
      </c>
      <c r="N1331" s="369" t="str">
        <f t="shared" si="304"/>
        <v/>
      </c>
      <c r="O1331" s="183" t="str">
        <f t="shared" si="305"/>
        <v/>
      </c>
      <c r="P1331" s="199" t="str">
        <f t="shared" si="306"/>
        <v/>
      </c>
      <c r="Q1331" s="199" t="str">
        <f>IF(B1331="","",IFERROR(IF('עלויות כח אדם (6)'!J1331&gt;=VLOOKUP(I1331,'סיווג התפקידים והעלויות'!$B$23:$C$32,2,0),"תקין","לא תקין"),""))</f>
        <v/>
      </c>
      <c r="R1331" s="199" t="str">
        <f t="shared" si="307"/>
        <v/>
      </c>
      <c r="S1331" s="199" t="str">
        <f t="shared" si="308"/>
        <v/>
      </c>
      <c r="T1331" s="199" t="str">
        <f t="shared" si="316"/>
        <v/>
      </c>
      <c r="U1331" s="199" t="str">
        <f t="shared" si="309"/>
        <v/>
      </c>
      <c r="V1331" s="989"/>
      <c r="X1331" s="374" t="str">
        <f t="shared" si="310"/>
        <v/>
      </c>
      <c r="Y1331" s="375" t="str">
        <f t="shared" si="311"/>
        <v/>
      </c>
      <c r="Z1331" s="374" t="str">
        <f t="shared" si="312"/>
        <v/>
      </c>
      <c r="AA1331" s="374" t="b">
        <f t="shared" si="313"/>
        <v>1</v>
      </c>
      <c r="AB1331" s="374">
        <f>COUNTIFS(B:B,B1331,H:H,'סיווג התפקידים והעלויות'!$C$2)</f>
        <v>0</v>
      </c>
      <c r="AC1331" s="374">
        <f>COUNTIFS(B:B,B1331,H:H,'סיווג התפקידים והעלויות'!$D$2)</f>
        <v>0</v>
      </c>
      <c r="AD1331" s="374" t="str">
        <f>IF(OR(AND(H1331='סיווג התפקידים והעלויות'!$A$2,I1331='סיווג התפקידים והעלויות'!$A$3),'עלויות כח אדם (6)'!H1331='סיווג התפקידים והעלויות'!$C$2,'עלויות כח אדם (6)'!H1331='סיווג התפקידים והעלויות'!$D$2),IF('עלויות כח אדם (6)'!J1331&lt;75,"לא תקין","תקין"),"")</f>
        <v/>
      </c>
      <c r="AE1331" s="374" t="str">
        <f t="shared" si="314"/>
        <v/>
      </c>
      <c r="AF1331" s="532" t="str">
        <f t="shared" si="315"/>
        <v/>
      </c>
    </row>
    <row r="1332" spans="2:32" x14ac:dyDescent="0.25">
      <c r="B1332" s="695"/>
      <c r="C1332" s="197" t="str">
        <f>IF(B1332&lt;&gt;"",IFERROR(VLOOKUP(B:B,'מצבת והרשמה (2)'!$C$20:$N$520,2,0)," ")," ")</f>
        <v xml:space="preserve"> </v>
      </c>
      <c r="D1332" s="695"/>
      <c r="E1332" s="696"/>
      <c r="F1332" s="696"/>
      <c r="G1332" s="696"/>
      <c r="H1332" s="696"/>
      <c r="I1332" s="1050" t="str">
        <f t="shared" si="302"/>
        <v/>
      </c>
      <c r="J1332" s="696"/>
      <c r="K1332" s="697"/>
      <c r="L1332" s="696"/>
      <c r="M1332" s="198" t="str">
        <f t="shared" si="303"/>
        <v/>
      </c>
      <c r="N1332" s="369" t="str">
        <f t="shared" si="304"/>
        <v/>
      </c>
      <c r="O1332" s="183" t="str">
        <f t="shared" si="305"/>
        <v/>
      </c>
      <c r="P1332" s="199" t="str">
        <f t="shared" si="306"/>
        <v/>
      </c>
      <c r="Q1332" s="199" t="str">
        <f>IF(B1332="","",IFERROR(IF('עלויות כח אדם (6)'!J1332&gt;=VLOOKUP(I1332,'סיווג התפקידים והעלויות'!$B$23:$C$32,2,0),"תקין","לא תקין"),""))</f>
        <v/>
      </c>
      <c r="R1332" s="199" t="str">
        <f t="shared" si="307"/>
        <v/>
      </c>
      <c r="S1332" s="199" t="str">
        <f t="shared" si="308"/>
        <v/>
      </c>
      <c r="T1332" s="199" t="str">
        <f t="shared" si="316"/>
        <v/>
      </c>
      <c r="U1332" s="199" t="str">
        <f t="shared" si="309"/>
        <v/>
      </c>
      <c r="V1332" s="989"/>
      <c r="X1332" s="374" t="str">
        <f t="shared" si="310"/>
        <v/>
      </c>
      <c r="Y1332" s="375" t="str">
        <f t="shared" si="311"/>
        <v/>
      </c>
      <c r="Z1332" s="374" t="str">
        <f t="shared" si="312"/>
        <v/>
      </c>
      <c r="AA1332" s="374" t="b">
        <f t="shared" si="313"/>
        <v>1</v>
      </c>
      <c r="AB1332" s="374">
        <f>COUNTIFS(B:B,B1332,H:H,'סיווג התפקידים והעלויות'!$C$2)</f>
        <v>0</v>
      </c>
      <c r="AC1332" s="374">
        <f>COUNTIFS(B:B,B1332,H:H,'סיווג התפקידים והעלויות'!$D$2)</f>
        <v>0</v>
      </c>
      <c r="AD1332" s="374" t="str">
        <f>IF(OR(AND(H1332='סיווג התפקידים והעלויות'!$A$2,I1332='סיווג התפקידים והעלויות'!$A$3),'עלויות כח אדם (6)'!H1332='סיווג התפקידים והעלויות'!$C$2,'עלויות כח אדם (6)'!H1332='סיווג התפקידים והעלויות'!$D$2),IF('עלויות כח אדם (6)'!J1332&lt;75,"לא תקין","תקין"),"")</f>
        <v/>
      </c>
      <c r="AE1332" s="374" t="str">
        <f t="shared" si="314"/>
        <v/>
      </c>
      <c r="AF1332" s="532" t="str">
        <f t="shared" si="315"/>
        <v/>
      </c>
    </row>
    <row r="1333" spans="2:32" x14ac:dyDescent="0.25">
      <c r="B1333" s="695"/>
      <c r="C1333" s="197" t="str">
        <f>IF(B1333&lt;&gt;"",IFERROR(VLOOKUP(B:B,'מצבת והרשמה (2)'!$C$20:$N$520,2,0)," ")," ")</f>
        <v xml:space="preserve"> </v>
      </c>
      <c r="D1333" s="695"/>
      <c r="E1333" s="696"/>
      <c r="F1333" s="696"/>
      <c r="G1333" s="696"/>
      <c r="H1333" s="696"/>
      <c r="I1333" s="1050" t="str">
        <f t="shared" si="302"/>
        <v/>
      </c>
      <c r="J1333" s="696"/>
      <c r="K1333" s="697"/>
      <c r="L1333" s="696"/>
      <c r="M1333" s="198" t="str">
        <f t="shared" si="303"/>
        <v/>
      </c>
      <c r="N1333" s="369" t="str">
        <f t="shared" si="304"/>
        <v/>
      </c>
      <c r="O1333" s="183" t="str">
        <f t="shared" si="305"/>
        <v/>
      </c>
      <c r="P1333" s="199" t="str">
        <f t="shared" si="306"/>
        <v/>
      </c>
      <c r="Q1333" s="199" t="str">
        <f>IF(B1333="","",IFERROR(IF('עלויות כח אדם (6)'!J1333&gt;=VLOOKUP(I1333,'סיווג התפקידים והעלויות'!$B$23:$C$32,2,0),"תקין","לא תקין"),""))</f>
        <v/>
      </c>
      <c r="R1333" s="199" t="str">
        <f t="shared" si="307"/>
        <v/>
      </c>
      <c r="S1333" s="199" t="str">
        <f t="shared" si="308"/>
        <v/>
      </c>
      <c r="T1333" s="199" t="str">
        <f t="shared" si="316"/>
        <v/>
      </c>
      <c r="U1333" s="199" t="str">
        <f t="shared" si="309"/>
        <v/>
      </c>
      <c r="V1333" s="989"/>
      <c r="X1333" s="374" t="str">
        <f t="shared" si="310"/>
        <v/>
      </c>
      <c r="Y1333" s="375" t="str">
        <f t="shared" si="311"/>
        <v/>
      </c>
      <c r="Z1333" s="374" t="str">
        <f t="shared" si="312"/>
        <v/>
      </c>
      <c r="AA1333" s="374" t="b">
        <f t="shared" si="313"/>
        <v>1</v>
      </c>
      <c r="AB1333" s="374">
        <f>COUNTIFS(B:B,B1333,H:H,'סיווג התפקידים והעלויות'!$C$2)</f>
        <v>0</v>
      </c>
      <c r="AC1333" s="374">
        <f>COUNTIFS(B:B,B1333,H:H,'סיווג התפקידים והעלויות'!$D$2)</f>
        <v>0</v>
      </c>
      <c r="AD1333" s="374" t="str">
        <f>IF(OR(AND(H1333='סיווג התפקידים והעלויות'!$A$2,I1333='סיווג התפקידים והעלויות'!$A$3),'עלויות כח אדם (6)'!H1333='סיווג התפקידים והעלויות'!$C$2,'עלויות כח אדם (6)'!H1333='סיווג התפקידים והעלויות'!$D$2),IF('עלויות כח אדם (6)'!J1333&lt;75,"לא תקין","תקין"),"")</f>
        <v/>
      </c>
      <c r="AE1333" s="374" t="str">
        <f t="shared" si="314"/>
        <v/>
      </c>
      <c r="AF1333" s="532" t="str">
        <f t="shared" si="315"/>
        <v/>
      </c>
    </row>
    <row r="1334" spans="2:32" x14ac:dyDescent="0.25">
      <c r="B1334" s="695"/>
      <c r="C1334" s="197" t="str">
        <f>IF(B1334&lt;&gt;"",IFERROR(VLOOKUP(B:B,'מצבת והרשמה (2)'!$C$20:$N$520,2,0)," ")," ")</f>
        <v xml:space="preserve"> </v>
      </c>
      <c r="D1334" s="695"/>
      <c r="E1334" s="696"/>
      <c r="F1334" s="696"/>
      <c r="G1334" s="696"/>
      <c r="H1334" s="696"/>
      <c r="I1334" s="1050" t="str">
        <f t="shared" si="302"/>
        <v/>
      </c>
      <c r="J1334" s="696"/>
      <c r="K1334" s="697"/>
      <c r="L1334" s="696"/>
      <c r="M1334" s="198" t="str">
        <f t="shared" si="303"/>
        <v/>
      </c>
      <c r="N1334" s="369" t="str">
        <f t="shared" si="304"/>
        <v/>
      </c>
      <c r="O1334" s="183" t="str">
        <f t="shared" si="305"/>
        <v/>
      </c>
      <c r="P1334" s="199" t="str">
        <f t="shared" si="306"/>
        <v/>
      </c>
      <c r="Q1334" s="199" t="str">
        <f>IF(B1334="","",IFERROR(IF('עלויות כח אדם (6)'!J1334&gt;=VLOOKUP(I1334,'סיווג התפקידים והעלויות'!$B$23:$C$32,2,0),"תקין","לא תקין"),""))</f>
        <v/>
      </c>
      <c r="R1334" s="199" t="str">
        <f t="shared" si="307"/>
        <v/>
      </c>
      <c r="S1334" s="199" t="str">
        <f t="shared" si="308"/>
        <v/>
      </c>
      <c r="T1334" s="199" t="str">
        <f t="shared" si="316"/>
        <v/>
      </c>
      <c r="U1334" s="199" t="str">
        <f t="shared" si="309"/>
        <v/>
      </c>
      <c r="V1334" s="989"/>
      <c r="X1334" s="374" t="str">
        <f t="shared" si="310"/>
        <v/>
      </c>
      <c r="Y1334" s="375" t="str">
        <f t="shared" si="311"/>
        <v/>
      </c>
      <c r="Z1334" s="374" t="str">
        <f t="shared" si="312"/>
        <v/>
      </c>
      <c r="AA1334" s="374" t="b">
        <f t="shared" si="313"/>
        <v>1</v>
      </c>
      <c r="AB1334" s="374">
        <f>COUNTIFS(B:B,B1334,H:H,'סיווג התפקידים והעלויות'!$C$2)</f>
        <v>0</v>
      </c>
      <c r="AC1334" s="374">
        <f>COUNTIFS(B:B,B1334,H:H,'סיווג התפקידים והעלויות'!$D$2)</f>
        <v>0</v>
      </c>
      <c r="AD1334" s="374" t="str">
        <f>IF(OR(AND(H1334='סיווג התפקידים והעלויות'!$A$2,I1334='סיווג התפקידים והעלויות'!$A$3),'עלויות כח אדם (6)'!H1334='סיווג התפקידים והעלויות'!$C$2,'עלויות כח אדם (6)'!H1334='סיווג התפקידים והעלויות'!$D$2),IF('עלויות כח אדם (6)'!J1334&lt;75,"לא תקין","תקין"),"")</f>
        <v/>
      </c>
      <c r="AE1334" s="374" t="str">
        <f t="shared" si="314"/>
        <v/>
      </c>
      <c r="AF1334" s="532" t="str">
        <f t="shared" si="315"/>
        <v/>
      </c>
    </row>
    <row r="1335" spans="2:32" x14ac:dyDescent="0.25">
      <c r="B1335" s="695"/>
      <c r="C1335" s="197" t="str">
        <f>IF(B1335&lt;&gt;"",IFERROR(VLOOKUP(B:B,'מצבת והרשמה (2)'!$C$20:$N$520,2,0)," ")," ")</f>
        <v xml:space="preserve"> </v>
      </c>
      <c r="D1335" s="695"/>
      <c r="E1335" s="696"/>
      <c r="F1335" s="696"/>
      <c r="G1335" s="696"/>
      <c r="H1335" s="696"/>
      <c r="I1335" s="1050" t="str">
        <f t="shared" si="302"/>
        <v/>
      </c>
      <c r="J1335" s="696"/>
      <c r="K1335" s="697"/>
      <c r="L1335" s="696"/>
      <c r="M1335" s="198" t="str">
        <f t="shared" si="303"/>
        <v/>
      </c>
      <c r="N1335" s="369" t="str">
        <f t="shared" si="304"/>
        <v/>
      </c>
      <c r="O1335" s="183" t="str">
        <f t="shared" si="305"/>
        <v/>
      </c>
      <c r="P1335" s="199" t="str">
        <f t="shared" si="306"/>
        <v/>
      </c>
      <c r="Q1335" s="199" t="str">
        <f>IF(B1335="","",IFERROR(IF('עלויות כח אדם (6)'!J1335&gt;=VLOOKUP(I1335,'סיווג התפקידים והעלויות'!$B$23:$C$32,2,0),"תקין","לא תקין"),""))</f>
        <v/>
      </c>
      <c r="R1335" s="199" t="str">
        <f t="shared" si="307"/>
        <v/>
      </c>
      <c r="S1335" s="199" t="str">
        <f t="shared" si="308"/>
        <v/>
      </c>
      <c r="T1335" s="199" t="str">
        <f t="shared" si="316"/>
        <v/>
      </c>
      <c r="U1335" s="199" t="str">
        <f t="shared" si="309"/>
        <v/>
      </c>
      <c r="V1335" s="989"/>
      <c r="X1335" s="374" t="str">
        <f t="shared" si="310"/>
        <v/>
      </c>
      <c r="Y1335" s="375" t="str">
        <f t="shared" si="311"/>
        <v/>
      </c>
      <c r="Z1335" s="374" t="str">
        <f t="shared" si="312"/>
        <v/>
      </c>
      <c r="AA1335" s="374" t="b">
        <f t="shared" si="313"/>
        <v>1</v>
      </c>
      <c r="AB1335" s="374">
        <f>COUNTIFS(B:B,B1335,H:H,'סיווג התפקידים והעלויות'!$C$2)</f>
        <v>0</v>
      </c>
      <c r="AC1335" s="374">
        <f>COUNTIFS(B:B,B1335,H:H,'סיווג התפקידים והעלויות'!$D$2)</f>
        <v>0</v>
      </c>
      <c r="AD1335" s="374" t="str">
        <f>IF(OR(AND(H1335='סיווג התפקידים והעלויות'!$A$2,I1335='סיווג התפקידים והעלויות'!$A$3),'עלויות כח אדם (6)'!H1335='סיווג התפקידים והעלויות'!$C$2,'עלויות כח אדם (6)'!H1335='סיווג התפקידים והעלויות'!$D$2),IF('עלויות כח אדם (6)'!J1335&lt;75,"לא תקין","תקין"),"")</f>
        <v/>
      </c>
      <c r="AE1335" s="374" t="str">
        <f t="shared" si="314"/>
        <v/>
      </c>
      <c r="AF1335" s="532" t="str">
        <f t="shared" si="315"/>
        <v/>
      </c>
    </row>
    <row r="1336" spans="2:32" x14ac:dyDescent="0.25">
      <c r="B1336" s="695"/>
      <c r="C1336" s="197" t="str">
        <f>IF(B1336&lt;&gt;"",IFERROR(VLOOKUP(B:B,'מצבת והרשמה (2)'!$C$20:$N$520,2,0)," ")," ")</f>
        <v xml:space="preserve"> </v>
      </c>
      <c r="D1336" s="695"/>
      <c r="E1336" s="696"/>
      <c r="F1336" s="696"/>
      <c r="G1336" s="696"/>
      <c r="H1336" s="696"/>
      <c r="I1336" s="1050" t="str">
        <f t="shared" si="302"/>
        <v/>
      </c>
      <c r="J1336" s="696"/>
      <c r="K1336" s="697"/>
      <c r="L1336" s="696"/>
      <c r="M1336" s="198" t="str">
        <f t="shared" si="303"/>
        <v/>
      </c>
      <c r="N1336" s="369" t="str">
        <f t="shared" si="304"/>
        <v/>
      </c>
      <c r="O1336" s="183" t="str">
        <f t="shared" si="305"/>
        <v/>
      </c>
      <c r="P1336" s="199" t="str">
        <f t="shared" si="306"/>
        <v/>
      </c>
      <c r="Q1336" s="199" t="str">
        <f>IF(B1336="","",IFERROR(IF('עלויות כח אדם (6)'!J1336&gt;=VLOOKUP(I1336,'סיווג התפקידים והעלויות'!$B$23:$C$32,2,0),"תקין","לא תקין"),""))</f>
        <v/>
      </c>
      <c r="R1336" s="199" t="str">
        <f t="shared" si="307"/>
        <v/>
      </c>
      <c r="S1336" s="199" t="str">
        <f t="shared" si="308"/>
        <v/>
      </c>
      <c r="T1336" s="199" t="str">
        <f t="shared" si="316"/>
        <v/>
      </c>
      <c r="U1336" s="199" t="str">
        <f t="shared" si="309"/>
        <v/>
      </c>
      <c r="V1336" s="989"/>
      <c r="X1336" s="374" t="str">
        <f t="shared" si="310"/>
        <v/>
      </c>
      <c r="Y1336" s="375" t="str">
        <f t="shared" si="311"/>
        <v/>
      </c>
      <c r="Z1336" s="374" t="str">
        <f t="shared" si="312"/>
        <v/>
      </c>
      <c r="AA1336" s="374" t="b">
        <f t="shared" si="313"/>
        <v>1</v>
      </c>
      <c r="AB1336" s="374">
        <f>COUNTIFS(B:B,B1336,H:H,'סיווג התפקידים והעלויות'!$C$2)</f>
        <v>0</v>
      </c>
      <c r="AC1336" s="374">
        <f>COUNTIFS(B:B,B1336,H:H,'סיווג התפקידים והעלויות'!$D$2)</f>
        <v>0</v>
      </c>
      <c r="AD1336" s="374" t="str">
        <f>IF(OR(AND(H1336='סיווג התפקידים והעלויות'!$A$2,I1336='סיווג התפקידים והעלויות'!$A$3),'עלויות כח אדם (6)'!H1336='סיווג התפקידים והעלויות'!$C$2,'עלויות כח אדם (6)'!H1336='סיווג התפקידים והעלויות'!$D$2),IF('עלויות כח אדם (6)'!J1336&lt;75,"לא תקין","תקין"),"")</f>
        <v/>
      </c>
      <c r="AE1336" s="374" t="str">
        <f t="shared" si="314"/>
        <v/>
      </c>
      <c r="AF1336" s="532" t="str">
        <f t="shared" si="315"/>
        <v/>
      </c>
    </row>
    <row r="1337" spans="2:32" x14ac:dyDescent="0.25">
      <c r="B1337" s="695"/>
      <c r="C1337" s="197" t="str">
        <f>IF(B1337&lt;&gt;"",IFERROR(VLOOKUP(B:B,'מצבת והרשמה (2)'!$C$20:$N$520,2,0)," ")," ")</f>
        <v xml:space="preserve"> </v>
      </c>
      <c r="D1337" s="695"/>
      <c r="E1337" s="696"/>
      <c r="F1337" s="696"/>
      <c r="G1337" s="696"/>
      <c r="H1337" s="696"/>
      <c r="I1337" s="1050" t="str">
        <f t="shared" si="302"/>
        <v/>
      </c>
      <c r="J1337" s="696"/>
      <c r="K1337" s="697"/>
      <c r="L1337" s="696"/>
      <c r="M1337" s="198" t="str">
        <f t="shared" si="303"/>
        <v/>
      </c>
      <c r="N1337" s="369" t="str">
        <f t="shared" si="304"/>
        <v/>
      </c>
      <c r="O1337" s="183" t="str">
        <f t="shared" si="305"/>
        <v/>
      </c>
      <c r="P1337" s="199" t="str">
        <f t="shared" si="306"/>
        <v/>
      </c>
      <c r="Q1337" s="199" t="str">
        <f>IF(B1337="","",IFERROR(IF('עלויות כח אדם (6)'!J1337&gt;=VLOOKUP(I1337,'סיווג התפקידים והעלויות'!$B$23:$C$32,2,0),"תקין","לא תקין"),""))</f>
        <v/>
      </c>
      <c r="R1337" s="199" t="str">
        <f t="shared" si="307"/>
        <v/>
      </c>
      <c r="S1337" s="199" t="str">
        <f t="shared" si="308"/>
        <v/>
      </c>
      <c r="T1337" s="199" t="str">
        <f t="shared" si="316"/>
        <v/>
      </c>
      <c r="U1337" s="199" t="str">
        <f t="shared" si="309"/>
        <v/>
      </c>
      <c r="V1337" s="989"/>
      <c r="X1337" s="374" t="str">
        <f t="shared" si="310"/>
        <v/>
      </c>
      <c r="Y1337" s="375" t="str">
        <f t="shared" si="311"/>
        <v/>
      </c>
      <c r="Z1337" s="374" t="str">
        <f t="shared" si="312"/>
        <v/>
      </c>
      <c r="AA1337" s="374" t="b">
        <f t="shared" si="313"/>
        <v>1</v>
      </c>
      <c r="AB1337" s="374">
        <f>COUNTIFS(B:B,B1337,H:H,'סיווג התפקידים והעלויות'!$C$2)</f>
        <v>0</v>
      </c>
      <c r="AC1337" s="374">
        <f>COUNTIFS(B:B,B1337,H:H,'סיווג התפקידים והעלויות'!$D$2)</f>
        <v>0</v>
      </c>
      <c r="AD1337" s="374" t="str">
        <f>IF(OR(AND(H1337='סיווג התפקידים והעלויות'!$A$2,I1337='סיווג התפקידים והעלויות'!$A$3),'עלויות כח אדם (6)'!H1337='סיווג התפקידים והעלויות'!$C$2,'עלויות כח אדם (6)'!H1337='סיווג התפקידים והעלויות'!$D$2),IF('עלויות כח אדם (6)'!J1337&lt;75,"לא תקין","תקין"),"")</f>
        <v/>
      </c>
      <c r="AE1337" s="374" t="str">
        <f t="shared" si="314"/>
        <v/>
      </c>
      <c r="AF1337" s="532" t="str">
        <f t="shared" si="315"/>
        <v/>
      </c>
    </row>
    <row r="1338" spans="2:32" x14ac:dyDescent="0.25">
      <c r="B1338" s="695"/>
      <c r="C1338" s="197" t="str">
        <f>IF(B1338&lt;&gt;"",IFERROR(VLOOKUP(B:B,'מצבת והרשמה (2)'!$C$20:$N$520,2,0)," ")," ")</f>
        <v xml:space="preserve"> </v>
      </c>
      <c r="D1338" s="695"/>
      <c r="E1338" s="696"/>
      <c r="F1338" s="696"/>
      <c r="G1338" s="696"/>
      <c r="H1338" s="696"/>
      <c r="I1338" s="1050" t="str">
        <f t="shared" si="302"/>
        <v/>
      </c>
      <c r="J1338" s="696"/>
      <c r="K1338" s="697"/>
      <c r="L1338" s="696"/>
      <c r="M1338" s="198" t="str">
        <f t="shared" si="303"/>
        <v/>
      </c>
      <c r="N1338" s="369" t="str">
        <f t="shared" si="304"/>
        <v/>
      </c>
      <c r="O1338" s="183" t="str">
        <f t="shared" si="305"/>
        <v/>
      </c>
      <c r="P1338" s="199" t="str">
        <f t="shared" si="306"/>
        <v/>
      </c>
      <c r="Q1338" s="199" t="str">
        <f>IF(B1338="","",IFERROR(IF('עלויות כח אדם (6)'!J1338&gt;=VLOOKUP(I1338,'סיווג התפקידים והעלויות'!$B$23:$C$32,2,0),"תקין","לא תקין"),""))</f>
        <v/>
      </c>
      <c r="R1338" s="199" t="str">
        <f t="shared" si="307"/>
        <v/>
      </c>
      <c r="S1338" s="199" t="str">
        <f t="shared" si="308"/>
        <v/>
      </c>
      <c r="T1338" s="199" t="str">
        <f t="shared" si="316"/>
        <v/>
      </c>
      <c r="U1338" s="199" t="str">
        <f t="shared" si="309"/>
        <v/>
      </c>
      <c r="V1338" s="989"/>
      <c r="X1338" s="374" t="str">
        <f t="shared" si="310"/>
        <v/>
      </c>
      <c r="Y1338" s="375" t="str">
        <f t="shared" si="311"/>
        <v/>
      </c>
      <c r="Z1338" s="374" t="str">
        <f t="shared" si="312"/>
        <v/>
      </c>
      <c r="AA1338" s="374" t="b">
        <f t="shared" si="313"/>
        <v>1</v>
      </c>
      <c r="AB1338" s="374">
        <f>COUNTIFS(B:B,B1338,H:H,'סיווג התפקידים והעלויות'!$C$2)</f>
        <v>0</v>
      </c>
      <c r="AC1338" s="374">
        <f>COUNTIFS(B:B,B1338,H:H,'סיווג התפקידים והעלויות'!$D$2)</f>
        <v>0</v>
      </c>
      <c r="AD1338" s="374" t="str">
        <f>IF(OR(AND(H1338='סיווג התפקידים והעלויות'!$A$2,I1338='סיווג התפקידים והעלויות'!$A$3),'עלויות כח אדם (6)'!H1338='סיווג התפקידים והעלויות'!$C$2,'עלויות כח אדם (6)'!H1338='סיווג התפקידים והעלויות'!$D$2),IF('עלויות כח אדם (6)'!J1338&lt;75,"לא תקין","תקין"),"")</f>
        <v/>
      </c>
      <c r="AE1338" s="374" t="str">
        <f t="shared" si="314"/>
        <v/>
      </c>
      <c r="AF1338" s="532" t="str">
        <f t="shared" si="315"/>
        <v/>
      </c>
    </row>
    <row r="1339" spans="2:32" x14ac:dyDescent="0.25">
      <c r="B1339" s="695"/>
      <c r="C1339" s="197" t="str">
        <f>IF(B1339&lt;&gt;"",IFERROR(VLOOKUP(B:B,'מצבת והרשמה (2)'!$C$20:$N$520,2,0)," ")," ")</f>
        <v xml:space="preserve"> </v>
      </c>
      <c r="D1339" s="695"/>
      <c r="E1339" s="696"/>
      <c r="F1339" s="696"/>
      <c r="G1339" s="696"/>
      <c r="H1339" s="696"/>
      <c r="I1339" s="1050" t="str">
        <f t="shared" si="302"/>
        <v/>
      </c>
      <c r="J1339" s="696"/>
      <c r="K1339" s="697"/>
      <c r="L1339" s="696"/>
      <c r="M1339" s="198" t="str">
        <f t="shared" si="303"/>
        <v/>
      </c>
      <c r="N1339" s="369" t="str">
        <f t="shared" si="304"/>
        <v/>
      </c>
      <c r="O1339" s="183" t="str">
        <f t="shared" si="305"/>
        <v/>
      </c>
      <c r="P1339" s="199" t="str">
        <f t="shared" si="306"/>
        <v/>
      </c>
      <c r="Q1339" s="199" t="str">
        <f>IF(B1339="","",IFERROR(IF('עלויות כח אדם (6)'!J1339&gt;=VLOOKUP(I1339,'סיווג התפקידים והעלויות'!$B$23:$C$32,2,0),"תקין","לא תקין"),""))</f>
        <v/>
      </c>
      <c r="R1339" s="199" t="str">
        <f t="shared" si="307"/>
        <v/>
      </c>
      <c r="S1339" s="199" t="str">
        <f t="shared" si="308"/>
        <v/>
      </c>
      <c r="T1339" s="199" t="str">
        <f t="shared" si="316"/>
        <v/>
      </c>
      <c r="U1339" s="199" t="str">
        <f t="shared" si="309"/>
        <v/>
      </c>
      <c r="V1339" s="989"/>
      <c r="X1339" s="374" t="str">
        <f t="shared" si="310"/>
        <v/>
      </c>
      <c r="Y1339" s="375" t="str">
        <f t="shared" si="311"/>
        <v/>
      </c>
      <c r="Z1339" s="374" t="str">
        <f t="shared" si="312"/>
        <v/>
      </c>
      <c r="AA1339" s="374" t="b">
        <f t="shared" si="313"/>
        <v>1</v>
      </c>
      <c r="AB1339" s="374">
        <f>COUNTIFS(B:B,B1339,H:H,'סיווג התפקידים והעלויות'!$C$2)</f>
        <v>0</v>
      </c>
      <c r="AC1339" s="374">
        <f>COUNTIFS(B:B,B1339,H:H,'סיווג התפקידים והעלויות'!$D$2)</f>
        <v>0</v>
      </c>
      <c r="AD1339" s="374" t="str">
        <f>IF(OR(AND(H1339='סיווג התפקידים והעלויות'!$A$2,I1339='סיווג התפקידים והעלויות'!$A$3),'עלויות כח אדם (6)'!H1339='סיווג התפקידים והעלויות'!$C$2,'עלויות כח אדם (6)'!H1339='סיווג התפקידים והעלויות'!$D$2),IF('עלויות כח אדם (6)'!J1339&lt;75,"לא תקין","תקין"),"")</f>
        <v/>
      </c>
      <c r="AE1339" s="374" t="str">
        <f t="shared" si="314"/>
        <v/>
      </c>
      <c r="AF1339" s="532" t="str">
        <f t="shared" si="315"/>
        <v/>
      </c>
    </row>
    <row r="1340" spans="2:32" x14ac:dyDescent="0.25">
      <c r="B1340" s="695"/>
      <c r="C1340" s="197" t="str">
        <f>IF(B1340&lt;&gt;"",IFERROR(VLOOKUP(B:B,'מצבת והרשמה (2)'!$C$20:$N$520,2,0)," ")," ")</f>
        <v xml:space="preserve"> </v>
      </c>
      <c r="D1340" s="695"/>
      <c r="E1340" s="696"/>
      <c r="F1340" s="696"/>
      <c r="G1340" s="696"/>
      <c r="H1340" s="696"/>
      <c r="I1340" s="1050" t="str">
        <f t="shared" si="302"/>
        <v/>
      </c>
      <c r="J1340" s="696"/>
      <c r="K1340" s="697"/>
      <c r="L1340" s="696"/>
      <c r="M1340" s="198" t="str">
        <f t="shared" si="303"/>
        <v/>
      </c>
      <c r="N1340" s="369" t="str">
        <f t="shared" si="304"/>
        <v/>
      </c>
      <c r="O1340" s="183" t="str">
        <f t="shared" si="305"/>
        <v/>
      </c>
      <c r="P1340" s="199" t="str">
        <f t="shared" si="306"/>
        <v/>
      </c>
      <c r="Q1340" s="199" t="str">
        <f>IF(B1340="","",IFERROR(IF('עלויות כח אדם (6)'!J1340&gt;=VLOOKUP(I1340,'סיווג התפקידים והעלויות'!$B$23:$C$32,2,0),"תקין","לא תקין"),""))</f>
        <v/>
      </c>
      <c r="R1340" s="199" t="str">
        <f t="shared" si="307"/>
        <v/>
      </c>
      <c r="S1340" s="199" t="str">
        <f t="shared" si="308"/>
        <v/>
      </c>
      <c r="T1340" s="199" t="str">
        <f t="shared" si="316"/>
        <v/>
      </c>
      <c r="U1340" s="199" t="str">
        <f t="shared" si="309"/>
        <v/>
      </c>
      <c r="V1340" s="989"/>
      <c r="X1340" s="374" t="str">
        <f t="shared" si="310"/>
        <v/>
      </c>
      <c r="Y1340" s="375" t="str">
        <f t="shared" si="311"/>
        <v/>
      </c>
      <c r="Z1340" s="374" t="str">
        <f t="shared" si="312"/>
        <v/>
      </c>
      <c r="AA1340" s="374" t="b">
        <f t="shared" si="313"/>
        <v>1</v>
      </c>
      <c r="AB1340" s="374">
        <f>COUNTIFS(B:B,B1340,H:H,'סיווג התפקידים והעלויות'!$C$2)</f>
        <v>0</v>
      </c>
      <c r="AC1340" s="374">
        <f>COUNTIFS(B:B,B1340,H:H,'סיווג התפקידים והעלויות'!$D$2)</f>
        <v>0</v>
      </c>
      <c r="AD1340" s="374" t="str">
        <f>IF(OR(AND(H1340='סיווג התפקידים והעלויות'!$A$2,I1340='סיווג התפקידים והעלויות'!$A$3),'עלויות כח אדם (6)'!H1340='סיווג התפקידים והעלויות'!$C$2,'עלויות כח אדם (6)'!H1340='סיווג התפקידים והעלויות'!$D$2),IF('עלויות כח אדם (6)'!J1340&lt;75,"לא תקין","תקין"),"")</f>
        <v/>
      </c>
      <c r="AE1340" s="374" t="str">
        <f t="shared" si="314"/>
        <v/>
      </c>
      <c r="AF1340" s="532" t="str">
        <f t="shared" si="315"/>
        <v/>
      </c>
    </row>
    <row r="1341" spans="2:32" x14ac:dyDescent="0.25">
      <c r="B1341" s="695"/>
      <c r="C1341" s="197" t="str">
        <f>IF(B1341&lt;&gt;"",IFERROR(VLOOKUP(B:B,'מצבת והרשמה (2)'!$C$20:$N$520,2,0)," ")," ")</f>
        <v xml:space="preserve"> </v>
      </c>
      <c r="D1341" s="695"/>
      <c r="E1341" s="696"/>
      <c r="F1341" s="696"/>
      <c r="G1341" s="696"/>
      <c r="H1341" s="696"/>
      <c r="I1341" s="1050" t="str">
        <f t="shared" si="302"/>
        <v/>
      </c>
      <c r="J1341" s="696"/>
      <c r="K1341" s="697"/>
      <c r="L1341" s="696"/>
      <c r="M1341" s="198" t="str">
        <f t="shared" si="303"/>
        <v/>
      </c>
      <c r="N1341" s="369" t="str">
        <f t="shared" si="304"/>
        <v/>
      </c>
      <c r="O1341" s="183" t="str">
        <f t="shared" si="305"/>
        <v/>
      </c>
      <c r="P1341" s="199" t="str">
        <f t="shared" si="306"/>
        <v/>
      </c>
      <c r="Q1341" s="199" t="str">
        <f>IF(B1341="","",IFERROR(IF('עלויות כח אדם (6)'!J1341&gt;=VLOOKUP(I1341,'סיווג התפקידים והעלויות'!$B$23:$C$32,2,0),"תקין","לא תקין"),""))</f>
        <v/>
      </c>
      <c r="R1341" s="199" t="str">
        <f t="shared" si="307"/>
        <v/>
      </c>
      <c r="S1341" s="199" t="str">
        <f t="shared" si="308"/>
        <v/>
      </c>
      <c r="T1341" s="199" t="str">
        <f t="shared" si="316"/>
        <v/>
      </c>
      <c r="U1341" s="199" t="str">
        <f t="shared" si="309"/>
        <v/>
      </c>
      <c r="V1341" s="989"/>
      <c r="X1341" s="374" t="str">
        <f t="shared" si="310"/>
        <v/>
      </c>
      <c r="Y1341" s="375" t="str">
        <f t="shared" si="311"/>
        <v/>
      </c>
      <c r="Z1341" s="374" t="str">
        <f t="shared" si="312"/>
        <v/>
      </c>
      <c r="AA1341" s="374" t="b">
        <f t="shared" si="313"/>
        <v>1</v>
      </c>
      <c r="AB1341" s="374">
        <f>COUNTIFS(B:B,B1341,H:H,'סיווג התפקידים והעלויות'!$C$2)</f>
        <v>0</v>
      </c>
      <c r="AC1341" s="374">
        <f>COUNTIFS(B:B,B1341,H:H,'סיווג התפקידים והעלויות'!$D$2)</f>
        <v>0</v>
      </c>
      <c r="AD1341" s="374" t="str">
        <f>IF(OR(AND(H1341='סיווג התפקידים והעלויות'!$A$2,I1341='סיווג התפקידים והעלויות'!$A$3),'עלויות כח אדם (6)'!H1341='סיווג התפקידים והעלויות'!$C$2,'עלויות כח אדם (6)'!H1341='סיווג התפקידים והעלויות'!$D$2),IF('עלויות כח אדם (6)'!J1341&lt;75,"לא תקין","תקין"),"")</f>
        <v/>
      </c>
      <c r="AE1341" s="374" t="str">
        <f t="shared" si="314"/>
        <v/>
      </c>
      <c r="AF1341" s="532" t="str">
        <f t="shared" si="315"/>
        <v/>
      </c>
    </row>
    <row r="1342" spans="2:32" x14ac:dyDescent="0.25">
      <c r="B1342" s="695"/>
      <c r="C1342" s="197" t="str">
        <f>IF(B1342&lt;&gt;"",IFERROR(VLOOKUP(B:B,'מצבת והרשמה (2)'!$C$20:$N$520,2,0)," ")," ")</f>
        <v xml:space="preserve"> </v>
      </c>
      <c r="D1342" s="695"/>
      <c r="E1342" s="696"/>
      <c r="F1342" s="696"/>
      <c r="G1342" s="696"/>
      <c r="H1342" s="696"/>
      <c r="I1342" s="1050" t="str">
        <f t="shared" si="302"/>
        <v/>
      </c>
      <c r="J1342" s="696"/>
      <c r="K1342" s="697"/>
      <c r="L1342" s="696"/>
      <c r="M1342" s="198" t="str">
        <f t="shared" si="303"/>
        <v/>
      </c>
      <c r="N1342" s="369" t="str">
        <f t="shared" si="304"/>
        <v/>
      </c>
      <c r="O1342" s="183" t="str">
        <f t="shared" si="305"/>
        <v/>
      </c>
      <c r="P1342" s="199" t="str">
        <f t="shared" si="306"/>
        <v/>
      </c>
      <c r="Q1342" s="199" t="str">
        <f>IF(B1342="","",IFERROR(IF('עלויות כח אדם (6)'!J1342&gt;=VLOOKUP(I1342,'סיווג התפקידים והעלויות'!$B$23:$C$32,2,0),"תקין","לא תקין"),""))</f>
        <v/>
      </c>
      <c r="R1342" s="199" t="str">
        <f t="shared" si="307"/>
        <v/>
      </c>
      <c r="S1342" s="199" t="str">
        <f t="shared" si="308"/>
        <v/>
      </c>
      <c r="T1342" s="199" t="str">
        <f t="shared" si="316"/>
        <v/>
      </c>
      <c r="U1342" s="199" t="str">
        <f t="shared" si="309"/>
        <v/>
      </c>
      <c r="V1342" s="989"/>
      <c r="X1342" s="374" t="str">
        <f t="shared" si="310"/>
        <v/>
      </c>
      <c r="Y1342" s="375" t="str">
        <f t="shared" si="311"/>
        <v/>
      </c>
      <c r="Z1342" s="374" t="str">
        <f t="shared" si="312"/>
        <v/>
      </c>
      <c r="AA1342" s="374" t="b">
        <f t="shared" si="313"/>
        <v>1</v>
      </c>
      <c r="AB1342" s="374">
        <f>COUNTIFS(B:B,B1342,H:H,'סיווג התפקידים והעלויות'!$C$2)</f>
        <v>0</v>
      </c>
      <c r="AC1342" s="374">
        <f>COUNTIFS(B:B,B1342,H:H,'סיווג התפקידים והעלויות'!$D$2)</f>
        <v>0</v>
      </c>
      <c r="AD1342" s="374" t="str">
        <f>IF(OR(AND(H1342='סיווג התפקידים והעלויות'!$A$2,I1342='סיווג התפקידים והעלויות'!$A$3),'עלויות כח אדם (6)'!H1342='סיווג התפקידים והעלויות'!$C$2,'עלויות כח אדם (6)'!H1342='סיווג התפקידים והעלויות'!$D$2),IF('עלויות כח אדם (6)'!J1342&lt;75,"לא תקין","תקין"),"")</f>
        <v/>
      </c>
      <c r="AE1342" s="374" t="str">
        <f t="shared" si="314"/>
        <v/>
      </c>
      <c r="AF1342" s="532" t="str">
        <f t="shared" si="315"/>
        <v/>
      </c>
    </row>
    <row r="1343" spans="2:32" x14ac:dyDescent="0.25">
      <c r="B1343" s="695"/>
      <c r="C1343" s="197" t="str">
        <f>IF(B1343&lt;&gt;"",IFERROR(VLOOKUP(B:B,'מצבת והרשמה (2)'!$C$20:$N$520,2,0)," ")," ")</f>
        <v xml:space="preserve"> </v>
      </c>
      <c r="D1343" s="695"/>
      <c r="E1343" s="696"/>
      <c r="F1343" s="696"/>
      <c r="G1343" s="696"/>
      <c r="H1343" s="696"/>
      <c r="I1343" s="1050" t="str">
        <f t="shared" si="302"/>
        <v/>
      </c>
      <c r="J1343" s="696"/>
      <c r="K1343" s="697"/>
      <c r="L1343" s="696"/>
      <c r="M1343" s="198" t="str">
        <f t="shared" si="303"/>
        <v/>
      </c>
      <c r="N1343" s="369" t="str">
        <f t="shared" si="304"/>
        <v/>
      </c>
      <c r="O1343" s="183" t="str">
        <f t="shared" si="305"/>
        <v/>
      </c>
      <c r="P1343" s="199" t="str">
        <f t="shared" si="306"/>
        <v/>
      </c>
      <c r="Q1343" s="199" t="str">
        <f>IF(B1343="","",IFERROR(IF('עלויות כח אדם (6)'!J1343&gt;=VLOOKUP(I1343,'סיווג התפקידים והעלויות'!$B$23:$C$32,2,0),"תקין","לא תקין"),""))</f>
        <v/>
      </c>
      <c r="R1343" s="199" t="str">
        <f t="shared" si="307"/>
        <v/>
      </c>
      <c r="S1343" s="199" t="str">
        <f t="shared" si="308"/>
        <v/>
      </c>
      <c r="T1343" s="199" t="str">
        <f t="shared" si="316"/>
        <v/>
      </c>
      <c r="U1343" s="199" t="str">
        <f t="shared" si="309"/>
        <v/>
      </c>
      <c r="V1343" s="989"/>
      <c r="X1343" s="374" t="str">
        <f t="shared" si="310"/>
        <v/>
      </c>
      <c r="Y1343" s="375" t="str">
        <f t="shared" si="311"/>
        <v/>
      </c>
      <c r="Z1343" s="374" t="str">
        <f t="shared" si="312"/>
        <v/>
      </c>
      <c r="AA1343" s="374" t="b">
        <f t="shared" si="313"/>
        <v>1</v>
      </c>
      <c r="AB1343" s="374">
        <f>COUNTIFS(B:B,B1343,H:H,'סיווג התפקידים והעלויות'!$C$2)</f>
        <v>0</v>
      </c>
      <c r="AC1343" s="374">
        <f>COUNTIFS(B:B,B1343,H:H,'סיווג התפקידים והעלויות'!$D$2)</f>
        <v>0</v>
      </c>
      <c r="AD1343" s="374" t="str">
        <f>IF(OR(AND(H1343='סיווג התפקידים והעלויות'!$A$2,I1343='סיווג התפקידים והעלויות'!$A$3),'עלויות כח אדם (6)'!H1343='סיווג התפקידים והעלויות'!$C$2,'עלויות כח אדם (6)'!H1343='סיווג התפקידים והעלויות'!$D$2),IF('עלויות כח אדם (6)'!J1343&lt;75,"לא תקין","תקין"),"")</f>
        <v/>
      </c>
      <c r="AE1343" s="374" t="str">
        <f t="shared" si="314"/>
        <v/>
      </c>
      <c r="AF1343" s="532" t="str">
        <f t="shared" si="315"/>
        <v/>
      </c>
    </row>
    <row r="1344" spans="2:32" x14ac:dyDescent="0.25">
      <c r="B1344" s="695"/>
      <c r="C1344" s="197" t="str">
        <f>IF(B1344&lt;&gt;"",IFERROR(VLOOKUP(B:B,'מצבת והרשמה (2)'!$C$20:$N$520,2,0)," ")," ")</f>
        <v xml:space="preserve"> </v>
      </c>
      <c r="D1344" s="695"/>
      <c r="E1344" s="696"/>
      <c r="F1344" s="696"/>
      <c r="G1344" s="696"/>
      <c r="H1344" s="696"/>
      <c r="I1344" s="1050" t="str">
        <f t="shared" si="302"/>
        <v/>
      </c>
      <c r="J1344" s="696"/>
      <c r="K1344" s="697"/>
      <c r="L1344" s="696"/>
      <c r="M1344" s="198" t="str">
        <f t="shared" si="303"/>
        <v/>
      </c>
      <c r="N1344" s="369" t="str">
        <f t="shared" si="304"/>
        <v/>
      </c>
      <c r="O1344" s="183" t="str">
        <f t="shared" si="305"/>
        <v/>
      </c>
      <c r="P1344" s="199" t="str">
        <f t="shared" si="306"/>
        <v/>
      </c>
      <c r="Q1344" s="199" t="str">
        <f>IF(B1344="","",IFERROR(IF('עלויות כח אדם (6)'!J1344&gt;=VLOOKUP(I1344,'סיווג התפקידים והעלויות'!$B$23:$C$32,2,0),"תקין","לא תקין"),""))</f>
        <v/>
      </c>
      <c r="R1344" s="199" t="str">
        <f t="shared" si="307"/>
        <v/>
      </c>
      <c r="S1344" s="199" t="str">
        <f t="shared" si="308"/>
        <v/>
      </c>
      <c r="T1344" s="199" t="str">
        <f t="shared" si="316"/>
        <v/>
      </c>
      <c r="U1344" s="199" t="str">
        <f t="shared" si="309"/>
        <v/>
      </c>
      <c r="V1344" s="989"/>
      <c r="X1344" s="374" t="str">
        <f t="shared" si="310"/>
        <v/>
      </c>
      <c r="Y1344" s="375" t="str">
        <f t="shared" si="311"/>
        <v/>
      </c>
      <c r="Z1344" s="374" t="str">
        <f t="shared" si="312"/>
        <v/>
      </c>
      <c r="AA1344" s="374" t="b">
        <f t="shared" si="313"/>
        <v>1</v>
      </c>
      <c r="AB1344" s="374">
        <f>COUNTIFS(B:B,B1344,H:H,'סיווג התפקידים והעלויות'!$C$2)</f>
        <v>0</v>
      </c>
      <c r="AC1344" s="374">
        <f>COUNTIFS(B:B,B1344,H:H,'סיווג התפקידים והעלויות'!$D$2)</f>
        <v>0</v>
      </c>
      <c r="AD1344" s="374" t="str">
        <f>IF(OR(AND(H1344='סיווג התפקידים והעלויות'!$A$2,I1344='סיווג התפקידים והעלויות'!$A$3),'עלויות כח אדם (6)'!H1344='סיווג התפקידים והעלויות'!$C$2,'עלויות כח אדם (6)'!H1344='סיווג התפקידים והעלויות'!$D$2),IF('עלויות כח אדם (6)'!J1344&lt;75,"לא תקין","תקין"),"")</f>
        <v/>
      </c>
      <c r="AE1344" s="374" t="str">
        <f t="shared" si="314"/>
        <v/>
      </c>
      <c r="AF1344" s="532" t="str">
        <f t="shared" si="315"/>
        <v/>
      </c>
    </row>
    <row r="1345" spans="2:32" x14ac:dyDescent="0.25">
      <c r="B1345" s="695"/>
      <c r="C1345" s="197" t="str">
        <f>IF(B1345&lt;&gt;"",IFERROR(VLOOKUP(B:B,'מצבת והרשמה (2)'!$C$20:$N$520,2,0)," ")," ")</f>
        <v xml:space="preserve"> </v>
      </c>
      <c r="D1345" s="695"/>
      <c r="E1345" s="696"/>
      <c r="F1345" s="696"/>
      <c r="G1345" s="696"/>
      <c r="H1345" s="696"/>
      <c r="I1345" s="1050" t="str">
        <f t="shared" si="302"/>
        <v/>
      </c>
      <c r="J1345" s="696"/>
      <c r="K1345" s="697"/>
      <c r="L1345" s="696"/>
      <c r="M1345" s="198" t="str">
        <f t="shared" si="303"/>
        <v/>
      </c>
      <c r="N1345" s="369" t="str">
        <f t="shared" si="304"/>
        <v/>
      </c>
      <c r="O1345" s="183" t="str">
        <f t="shared" si="305"/>
        <v/>
      </c>
      <c r="P1345" s="199" t="str">
        <f t="shared" si="306"/>
        <v/>
      </c>
      <c r="Q1345" s="199" t="str">
        <f>IF(B1345="","",IFERROR(IF('עלויות כח אדם (6)'!J1345&gt;=VLOOKUP(I1345,'סיווג התפקידים והעלויות'!$B$23:$C$32,2,0),"תקין","לא תקין"),""))</f>
        <v/>
      </c>
      <c r="R1345" s="199" t="str">
        <f t="shared" si="307"/>
        <v/>
      </c>
      <c r="S1345" s="199" t="str">
        <f t="shared" si="308"/>
        <v/>
      </c>
      <c r="T1345" s="199" t="str">
        <f t="shared" si="316"/>
        <v/>
      </c>
      <c r="U1345" s="199" t="str">
        <f t="shared" si="309"/>
        <v/>
      </c>
      <c r="V1345" s="989"/>
      <c r="X1345" s="374" t="str">
        <f t="shared" si="310"/>
        <v/>
      </c>
      <c r="Y1345" s="375" t="str">
        <f t="shared" si="311"/>
        <v/>
      </c>
      <c r="Z1345" s="374" t="str">
        <f t="shared" si="312"/>
        <v/>
      </c>
      <c r="AA1345" s="374" t="b">
        <f t="shared" si="313"/>
        <v>1</v>
      </c>
      <c r="AB1345" s="374">
        <f>COUNTIFS(B:B,B1345,H:H,'סיווג התפקידים והעלויות'!$C$2)</f>
        <v>0</v>
      </c>
      <c r="AC1345" s="374">
        <f>COUNTIFS(B:B,B1345,H:H,'סיווג התפקידים והעלויות'!$D$2)</f>
        <v>0</v>
      </c>
      <c r="AD1345" s="374" t="str">
        <f>IF(OR(AND(H1345='סיווג התפקידים והעלויות'!$A$2,I1345='סיווג התפקידים והעלויות'!$A$3),'עלויות כח אדם (6)'!H1345='סיווג התפקידים והעלויות'!$C$2,'עלויות כח אדם (6)'!H1345='סיווג התפקידים והעלויות'!$D$2),IF('עלויות כח אדם (6)'!J1345&lt;75,"לא תקין","תקין"),"")</f>
        <v/>
      </c>
      <c r="AE1345" s="374" t="str">
        <f t="shared" si="314"/>
        <v/>
      </c>
      <c r="AF1345" s="532" t="str">
        <f t="shared" si="315"/>
        <v/>
      </c>
    </row>
    <row r="1346" spans="2:32" x14ac:dyDescent="0.25">
      <c r="B1346" s="695"/>
      <c r="C1346" s="197" t="str">
        <f>IF(B1346&lt;&gt;"",IFERROR(VLOOKUP(B:B,'מצבת והרשמה (2)'!$C$20:$N$520,2,0)," ")," ")</f>
        <v xml:space="preserve"> </v>
      </c>
      <c r="D1346" s="695"/>
      <c r="E1346" s="696"/>
      <c r="F1346" s="696"/>
      <c r="G1346" s="696"/>
      <c r="H1346" s="696"/>
      <c r="I1346" s="1050" t="str">
        <f t="shared" si="302"/>
        <v/>
      </c>
      <c r="J1346" s="696"/>
      <c r="K1346" s="697"/>
      <c r="L1346" s="696"/>
      <c r="M1346" s="198" t="str">
        <f t="shared" si="303"/>
        <v/>
      </c>
      <c r="N1346" s="369" t="str">
        <f t="shared" si="304"/>
        <v/>
      </c>
      <c r="O1346" s="183" t="str">
        <f t="shared" si="305"/>
        <v/>
      </c>
      <c r="P1346" s="199" t="str">
        <f t="shared" si="306"/>
        <v/>
      </c>
      <c r="Q1346" s="199" t="str">
        <f>IF(B1346="","",IFERROR(IF('עלויות כח אדם (6)'!J1346&gt;=VLOOKUP(I1346,'סיווג התפקידים והעלויות'!$B$23:$C$32,2,0),"תקין","לא תקין"),""))</f>
        <v/>
      </c>
      <c r="R1346" s="199" t="str">
        <f t="shared" si="307"/>
        <v/>
      </c>
      <c r="S1346" s="199" t="str">
        <f t="shared" si="308"/>
        <v/>
      </c>
      <c r="T1346" s="199" t="str">
        <f t="shared" si="316"/>
        <v/>
      </c>
      <c r="U1346" s="199" t="str">
        <f t="shared" si="309"/>
        <v/>
      </c>
      <c r="V1346" s="989"/>
      <c r="X1346" s="374" t="str">
        <f t="shared" si="310"/>
        <v/>
      </c>
      <c r="Y1346" s="375" t="str">
        <f t="shared" si="311"/>
        <v/>
      </c>
      <c r="Z1346" s="374" t="str">
        <f t="shared" si="312"/>
        <v/>
      </c>
      <c r="AA1346" s="374" t="b">
        <f t="shared" si="313"/>
        <v>1</v>
      </c>
      <c r="AB1346" s="374">
        <f>COUNTIFS(B:B,B1346,H:H,'סיווג התפקידים והעלויות'!$C$2)</f>
        <v>0</v>
      </c>
      <c r="AC1346" s="374">
        <f>COUNTIFS(B:B,B1346,H:H,'סיווג התפקידים והעלויות'!$D$2)</f>
        <v>0</v>
      </c>
      <c r="AD1346" s="374" t="str">
        <f>IF(OR(AND(H1346='סיווג התפקידים והעלויות'!$A$2,I1346='סיווג התפקידים והעלויות'!$A$3),'עלויות כח אדם (6)'!H1346='סיווג התפקידים והעלויות'!$C$2,'עלויות כח אדם (6)'!H1346='סיווג התפקידים והעלויות'!$D$2),IF('עלויות כח אדם (6)'!J1346&lt;75,"לא תקין","תקין"),"")</f>
        <v/>
      </c>
      <c r="AE1346" s="374" t="str">
        <f t="shared" si="314"/>
        <v/>
      </c>
      <c r="AF1346" s="532" t="str">
        <f t="shared" si="315"/>
        <v/>
      </c>
    </row>
    <row r="1347" spans="2:32" x14ac:dyDescent="0.25">
      <c r="B1347" s="695"/>
      <c r="C1347" s="197" t="str">
        <f>IF(B1347&lt;&gt;"",IFERROR(VLOOKUP(B:B,'מצבת והרשמה (2)'!$C$20:$N$520,2,0)," ")," ")</f>
        <v xml:space="preserve"> </v>
      </c>
      <c r="D1347" s="695"/>
      <c r="E1347" s="696"/>
      <c r="F1347" s="696"/>
      <c r="G1347" s="696"/>
      <c r="H1347" s="696"/>
      <c r="I1347" s="1050" t="str">
        <f t="shared" si="302"/>
        <v/>
      </c>
      <c r="J1347" s="696"/>
      <c r="K1347" s="697"/>
      <c r="L1347" s="696"/>
      <c r="M1347" s="198" t="str">
        <f t="shared" si="303"/>
        <v/>
      </c>
      <c r="N1347" s="369" t="str">
        <f t="shared" si="304"/>
        <v/>
      </c>
      <c r="O1347" s="183" t="str">
        <f t="shared" si="305"/>
        <v/>
      </c>
      <c r="P1347" s="199" t="str">
        <f t="shared" si="306"/>
        <v/>
      </c>
      <c r="Q1347" s="199" t="str">
        <f>IF(B1347="","",IFERROR(IF('עלויות כח אדם (6)'!J1347&gt;=VLOOKUP(I1347,'סיווג התפקידים והעלויות'!$B$23:$C$32,2,0),"תקין","לא תקין"),""))</f>
        <v/>
      </c>
      <c r="R1347" s="199" t="str">
        <f t="shared" si="307"/>
        <v/>
      </c>
      <c r="S1347" s="199" t="str">
        <f t="shared" si="308"/>
        <v/>
      </c>
      <c r="T1347" s="199" t="str">
        <f t="shared" si="316"/>
        <v/>
      </c>
      <c r="U1347" s="199" t="str">
        <f t="shared" si="309"/>
        <v/>
      </c>
      <c r="V1347" s="989"/>
      <c r="X1347" s="374" t="str">
        <f t="shared" si="310"/>
        <v/>
      </c>
      <c r="Y1347" s="375" t="str">
        <f t="shared" si="311"/>
        <v/>
      </c>
      <c r="Z1347" s="374" t="str">
        <f t="shared" si="312"/>
        <v/>
      </c>
      <c r="AA1347" s="374" t="b">
        <f t="shared" si="313"/>
        <v>1</v>
      </c>
      <c r="AB1347" s="374">
        <f>COUNTIFS(B:B,B1347,H:H,'סיווג התפקידים והעלויות'!$C$2)</f>
        <v>0</v>
      </c>
      <c r="AC1347" s="374">
        <f>COUNTIFS(B:B,B1347,H:H,'סיווג התפקידים והעלויות'!$D$2)</f>
        <v>0</v>
      </c>
      <c r="AD1347" s="374" t="str">
        <f>IF(OR(AND(H1347='סיווג התפקידים והעלויות'!$A$2,I1347='סיווג התפקידים והעלויות'!$A$3),'עלויות כח אדם (6)'!H1347='סיווג התפקידים והעלויות'!$C$2,'עלויות כח אדם (6)'!H1347='סיווג התפקידים והעלויות'!$D$2),IF('עלויות כח אדם (6)'!J1347&lt;75,"לא תקין","תקין"),"")</f>
        <v/>
      </c>
      <c r="AE1347" s="374" t="str">
        <f t="shared" si="314"/>
        <v/>
      </c>
      <c r="AF1347" s="532" t="str">
        <f t="shared" si="315"/>
        <v/>
      </c>
    </row>
    <row r="1348" spans="2:32" x14ac:dyDescent="0.25">
      <c r="B1348" s="695"/>
      <c r="C1348" s="197" t="str">
        <f>IF(B1348&lt;&gt;"",IFERROR(VLOOKUP(B:B,'מצבת והרשמה (2)'!$C$20:$N$520,2,0)," ")," ")</f>
        <v xml:space="preserve"> </v>
      </c>
      <c r="D1348" s="695"/>
      <c r="E1348" s="696"/>
      <c r="F1348" s="696"/>
      <c r="G1348" s="696"/>
      <c r="H1348" s="696"/>
      <c r="I1348" s="1050" t="str">
        <f t="shared" si="302"/>
        <v/>
      </c>
      <c r="J1348" s="696"/>
      <c r="K1348" s="697"/>
      <c r="L1348" s="696"/>
      <c r="M1348" s="198" t="str">
        <f t="shared" si="303"/>
        <v/>
      </c>
      <c r="N1348" s="369" t="str">
        <f t="shared" si="304"/>
        <v/>
      </c>
      <c r="O1348" s="183" t="str">
        <f t="shared" si="305"/>
        <v/>
      </c>
      <c r="P1348" s="199" t="str">
        <f t="shared" si="306"/>
        <v/>
      </c>
      <c r="Q1348" s="199" t="str">
        <f>IF(B1348="","",IFERROR(IF('עלויות כח אדם (6)'!J1348&gt;=VLOOKUP(I1348,'סיווג התפקידים והעלויות'!$B$23:$C$32,2,0),"תקין","לא תקין"),""))</f>
        <v/>
      </c>
      <c r="R1348" s="199" t="str">
        <f t="shared" si="307"/>
        <v/>
      </c>
      <c r="S1348" s="199" t="str">
        <f t="shared" si="308"/>
        <v/>
      </c>
      <c r="T1348" s="199" t="str">
        <f t="shared" si="316"/>
        <v/>
      </c>
      <c r="U1348" s="199" t="str">
        <f t="shared" si="309"/>
        <v/>
      </c>
      <c r="V1348" s="989"/>
      <c r="X1348" s="374" t="str">
        <f t="shared" si="310"/>
        <v/>
      </c>
      <c r="Y1348" s="375" t="str">
        <f t="shared" si="311"/>
        <v/>
      </c>
      <c r="Z1348" s="374" t="str">
        <f t="shared" si="312"/>
        <v/>
      </c>
      <c r="AA1348" s="374" t="b">
        <f t="shared" si="313"/>
        <v>1</v>
      </c>
      <c r="AB1348" s="374">
        <f>COUNTIFS(B:B,B1348,H:H,'סיווג התפקידים והעלויות'!$C$2)</f>
        <v>0</v>
      </c>
      <c r="AC1348" s="374">
        <f>COUNTIFS(B:B,B1348,H:H,'סיווג התפקידים והעלויות'!$D$2)</f>
        <v>0</v>
      </c>
      <c r="AD1348" s="374" t="str">
        <f>IF(OR(AND(H1348='סיווג התפקידים והעלויות'!$A$2,I1348='סיווג התפקידים והעלויות'!$A$3),'עלויות כח אדם (6)'!H1348='סיווג התפקידים והעלויות'!$C$2,'עלויות כח אדם (6)'!H1348='סיווג התפקידים והעלויות'!$D$2),IF('עלויות כח אדם (6)'!J1348&lt;75,"לא תקין","תקין"),"")</f>
        <v/>
      </c>
      <c r="AE1348" s="374" t="str">
        <f t="shared" si="314"/>
        <v/>
      </c>
      <c r="AF1348" s="532" t="str">
        <f t="shared" si="315"/>
        <v/>
      </c>
    </row>
    <row r="1349" spans="2:32" x14ac:dyDescent="0.25">
      <c r="B1349" s="695"/>
      <c r="C1349" s="197" t="str">
        <f>IF(B1349&lt;&gt;"",IFERROR(VLOOKUP(B:B,'מצבת והרשמה (2)'!$C$20:$N$520,2,0)," ")," ")</f>
        <v xml:space="preserve"> </v>
      </c>
      <c r="D1349" s="695"/>
      <c r="E1349" s="696"/>
      <c r="F1349" s="696"/>
      <c r="G1349" s="696"/>
      <c r="H1349" s="696"/>
      <c r="I1349" s="1050" t="str">
        <f t="shared" si="302"/>
        <v/>
      </c>
      <c r="J1349" s="696"/>
      <c r="K1349" s="697"/>
      <c r="L1349" s="696"/>
      <c r="M1349" s="198" t="str">
        <f t="shared" si="303"/>
        <v/>
      </c>
      <c r="N1349" s="369" t="str">
        <f t="shared" si="304"/>
        <v/>
      </c>
      <c r="O1349" s="183" t="str">
        <f t="shared" si="305"/>
        <v/>
      </c>
      <c r="P1349" s="199" t="str">
        <f t="shared" si="306"/>
        <v/>
      </c>
      <c r="Q1349" s="199" t="str">
        <f>IF(B1349="","",IFERROR(IF('עלויות כח אדם (6)'!J1349&gt;=VLOOKUP(I1349,'סיווג התפקידים והעלויות'!$B$23:$C$32,2,0),"תקין","לא תקין"),""))</f>
        <v/>
      </c>
      <c r="R1349" s="199" t="str">
        <f t="shared" si="307"/>
        <v/>
      </c>
      <c r="S1349" s="199" t="str">
        <f t="shared" si="308"/>
        <v/>
      </c>
      <c r="T1349" s="199" t="str">
        <f t="shared" si="316"/>
        <v/>
      </c>
      <c r="U1349" s="199" t="str">
        <f t="shared" si="309"/>
        <v/>
      </c>
      <c r="V1349" s="989"/>
      <c r="X1349" s="374" t="str">
        <f t="shared" si="310"/>
        <v/>
      </c>
      <c r="Y1349" s="375" t="str">
        <f t="shared" si="311"/>
        <v/>
      </c>
      <c r="Z1349" s="374" t="str">
        <f t="shared" si="312"/>
        <v/>
      </c>
      <c r="AA1349" s="374" t="b">
        <f t="shared" si="313"/>
        <v>1</v>
      </c>
      <c r="AB1349" s="374">
        <f>COUNTIFS(B:B,B1349,H:H,'סיווג התפקידים והעלויות'!$C$2)</f>
        <v>0</v>
      </c>
      <c r="AC1349" s="374">
        <f>COUNTIFS(B:B,B1349,H:H,'סיווג התפקידים והעלויות'!$D$2)</f>
        <v>0</v>
      </c>
      <c r="AD1349" s="374" t="str">
        <f>IF(OR(AND(H1349='סיווג התפקידים והעלויות'!$A$2,I1349='סיווג התפקידים והעלויות'!$A$3),'עלויות כח אדם (6)'!H1349='סיווג התפקידים והעלויות'!$C$2,'עלויות כח אדם (6)'!H1349='סיווג התפקידים והעלויות'!$D$2),IF('עלויות כח אדם (6)'!J1349&lt;75,"לא תקין","תקין"),"")</f>
        <v/>
      </c>
      <c r="AE1349" s="374" t="str">
        <f t="shared" si="314"/>
        <v/>
      </c>
      <c r="AF1349" s="532" t="str">
        <f t="shared" si="315"/>
        <v/>
      </c>
    </row>
    <row r="1350" spans="2:32" x14ac:dyDescent="0.25">
      <c r="B1350" s="695"/>
      <c r="C1350" s="197" t="str">
        <f>IF(B1350&lt;&gt;"",IFERROR(VLOOKUP(B:B,'מצבת והרשמה (2)'!$C$20:$N$520,2,0)," ")," ")</f>
        <v xml:space="preserve"> </v>
      </c>
      <c r="D1350" s="695"/>
      <c r="E1350" s="696"/>
      <c r="F1350" s="696"/>
      <c r="G1350" s="696"/>
      <c r="H1350" s="696"/>
      <c r="I1350" s="1050" t="str">
        <f t="shared" si="302"/>
        <v/>
      </c>
      <c r="J1350" s="696"/>
      <c r="K1350" s="697"/>
      <c r="L1350" s="696"/>
      <c r="M1350" s="198" t="str">
        <f t="shared" si="303"/>
        <v/>
      </c>
      <c r="N1350" s="369" t="str">
        <f t="shared" si="304"/>
        <v/>
      </c>
      <c r="O1350" s="183" t="str">
        <f t="shared" si="305"/>
        <v/>
      </c>
      <c r="P1350" s="199" t="str">
        <f t="shared" si="306"/>
        <v/>
      </c>
      <c r="Q1350" s="199" t="str">
        <f>IF(B1350="","",IFERROR(IF('עלויות כח אדם (6)'!J1350&gt;=VLOOKUP(I1350,'סיווג התפקידים והעלויות'!$B$23:$C$32,2,0),"תקין","לא תקין"),""))</f>
        <v/>
      </c>
      <c r="R1350" s="199" t="str">
        <f t="shared" si="307"/>
        <v/>
      </c>
      <c r="S1350" s="199" t="str">
        <f t="shared" si="308"/>
        <v/>
      </c>
      <c r="T1350" s="199" t="str">
        <f t="shared" si="316"/>
        <v/>
      </c>
      <c r="U1350" s="199" t="str">
        <f t="shared" si="309"/>
        <v/>
      </c>
      <c r="V1350" s="989"/>
      <c r="X1350" s="374" t="str">
        <f t="shared" si="310"/>
        <v/>
      </c>
      <c r="Y1350" s="375" t="str">
        <f t="shared" si="311"/>
        <v/>
      </c>
      <c r="Z1350" s="374" t="str">
        <f t="shared" si="312"/>
        <v/>
      </c>
      <c r="AA1350" s="374" t="b">
        <f t="shared" si="313"/>
        <v>1</v>
      </c>
      <c r="AB1350" s="374">
        <f>COUNTIFS(B:B,B1350,H:H,'סיווג התפקידים והעלויות'!$C$2)</f>
        <v>0</v>
      </c>
      <c r="AC1350" s="374">
        <f>COUNTIFS(B:B,B1350,H:H,'סיווג התפקידים והעלויות'!$D$2)</f>
        <v>0</v>
      </c>
      <c r="AD1350" s="374" t="str">
        <f>IF(OR(AND(H1350='סיווג התפקידים והעלויות'!$A$2,I1350='סיווג התפקידים והעלויות'!$A$3),'עלויות כח אדם (6)'!H1350='סיווג התפקידים והעלויות'!$C$2,'עלויות כח אדם (6)'!H1350='סיווג התפקידים והעלויות'!$D$2),IF('עלויות כח אדם (6)'!J1350&lt;75,"לא תקין","תקין"),"")</f>
        <v/>
      </c>
      <c r="AE1350" s="374" t="str">
        <f t="shared" si="314"/>
        <v/>
      </c>
      <c r="AF1350" s="532" t="str">
        <f t="shared" si="315"/>
        <v/>
      </c>
    </row>
    <row r="1351" spans="2:32" x14ac:dyDescent="0.25">
      <c r="B1351" s="695"/>
      <c r="C1351" s="197" t="str">
        <f>IF(B1351&lt;&gt;"",IFERROR(VLOOKUP(B:B,'מצבת והרשמה (2)'!$C$20:$N$520,2,0)," ")," ")</f>
        <v xml:space="preserve"> </v>
      </c>
      <c r="D1351" s="695"/>
      <c r="E1351" s="696"/>
      <c r="F1351" s="696"/>
      <c r="G1351" s="696"/>
      <c r="H1351" s="696"/>
      <c r="I1351" s="1050" t="str">
        <f t="shared" si="302"/>
        <v/>
      </c>
      <c r="J1351" s="696"/>
      <c r="K1351" s="697"/>
      <c r="L1351" s="696"/>
      <c r="M1351" s="198" t="str">
        <f t="shared" si="303"/>
        <v/>
      </c>
      <c r="N1351" s="369" t="str">
        <f t="shared" si="304"/>
        <v/>
      </c>
      <c r="O1351" s="183" t="str">
        <f t="shared" si="305"/>
        <v/>
      </c>
      <c r="P1351" s="199" t="str">
        <f t="shared" si="306"/>
        <v/>
      </c>
      <c r="Q1351" s="199" t="str">
        <f>IF(B1351="","",IFERROR(IF('עלויות כח אדם (6)'!J1351&gt;=VLOOKUP(I1351,'סיווג התפקידים והעלויות'!$B$23:$C$32,2,0),"תקין","לא תקין"),""))</f>
        <v/>
      </c>
      <c r="R1351" s="199" t="str">
        <f t="shared" si="307"/>
        <v/>
      </c>
      <c r="S1351" s="199" t="str">
        <f t="shared" si="308"/>
        <v/>
      </c>
      <c r="T1351" s="199" t="str">
        <f t="shared" si="316"/>
        <v/>
      </c>
      <c r="U1351" s="199" t="str">
        <f t="shared" si="309"/>
        <v/>
      </c>
      <c r="V1351" s="989"/>
      <c r="X1351" s="374" t="str">
        <f t="shared" si="310"/>
        <v/>
      </c>
      <c r="Y1351" s="375" t="str">
        <f t="shared" si="311"/>
        <v/>
      </c>
      <c r="Z1351" s="374" t="str">
        <f t="shared" si="312"/>
        <v/>
      </c>
      <c r="AA1351" s="374" t="b">
        <f t="shared" si="313"/>
        <v>1</v>
      </c>
      <c r="AB1351" s="374">
        <f>COUNTIFS(B:B,B1351,H:H,'סיווג התפקידים והעלויות'!$C$2)</f>
        <v>0</v>
      </c>
      <c r="AC1351" s="374">
        <f>COUNTIFS(B:B,B1351,H:H,'סיווג התפקידים והעלויות'!$D$2)</f>
        <v>0</v>
      </c>
      <c r="AD1351" s="374" t="str">
        <f>IF(OR(AND(H1351='סיווג התפקידים והעלויות'!$A$2,I1351='סיווג התפקידים והעלויות'!$A$3),'עלויות כח אדם (6)'!H1351='סיווג התפקידים והעלויות'!$C$2,'עלויות כח אדם (6)'!H1351='סיווג התפקידים והעלויות'!$D$2),IF('עלויות כח אדם (6)'!J1351&lt;75,"לא תקין","תקין"),"")</f>
        <v/>
      </c>
      <c r="AE1351" s="374" t="str">
        <f t="shared" si="314"/>
        <v/>
      </c>
      <c r="AF1351" s="532" t="str">
        <f t="shared" si="315"/>
        <v/>
      </c>
    </row>
    <row r="1352" spans="2:32" x14ac:dyDescent="0.25">
      <c r="B1352" s="695"/>
      <c r="C1352" s="197" t="str">
        <f>IF(B1352&lt;&gt;"",IFERROR(VLOOKUP(B:B,'מצבת והרשמה (2)'!$C$20:$N$520,2,0)," ")," ")</f>
        <v xml:space="preserve"> </v>
      </c>
      <c r="D1352" s="695"/>
      <c r="E1352" s="696"/>
      <c r="F1352" s="696"/>
      <c r="G1352" s="696"/>
      <c r="H1352" s="696"/>
      <c r="I1352" s="1050" t="str">
        <f t="shared" si="302"/>
        <v/>
      </c>
      <c r="J1352" s="696"/>
      <c r="K1352" s="697"/>
      <c r="L1352" s="696"/>
      <c r="M1352" s="198" t="str">
        <f t="shared" si="303"/>
        <v/>
      </c>
      <c r="N1352" s="369" t="str">
        <f t="shared" si="304"/>
        <v/>
      </c>
      <c r="O1352" s="183" t="str">
        <f t="shared" si="305"/>
        <v/>
      </c>
      <c r="P1352" s="199" t="str">
        <f t="shared" si="306"/>
        <v/>
      </c>
      <c r="Q1352" s="199" t="str">
        <f>IF(B1352="","",IFERROR(IF('עלויות כח אדם (6)'!J1352&gt;=VLOOKUP(I1352,'סיווג התפקידים והעלויות'!$B$23:$C$32,2,0),"תקין","לא תקין"),""))</f>
        <v/>
      </c>
      <c r="R1352" s="199" t="str">
        <f t="shared" si="307"/>
        <v/>
      </c>
      <c r="S1352" s="199" t="str">
        <f t="shared" si="308"/>
        <v/>
      </c>
      <c r="T1352" s="199" t="str">
        <f t="shared" si="316"/>
        <v/>
      </c>
      <c r="U1352" s="199" t="str">
        <f t="shared" si="309"/>
        <v/>
      </c>
      <c r="V1352" s="989"/>
      <c r="X1352" s="374" t="str">
        <f t="shared" si="310"/>
        <v/>
      </c>
      <c r="Y1352" s="375" t="str">
        <f t="shared" si="311"/>
        <v/>
      </c>
      <c r="Z1352" s="374" t="str">
        <f t="shared" si="312"/>
        <v/>
      </c>
      <c r="AA1352" s="374" t="b">
        <f t="shared" si="313"/>
        <v>1</v>
      </c>
      <c r="AB1352" s="374">
        <f>COUNTIFS(B:B,B1352,H:H,'סיווג התפקידים והעלויות'!$C$2)</f>
        <v>0</v>
      </c>
      <c r="AC1352" s="374">
        <f>COUNTIFS(B:B,B1352,H:H,'סיווג התפקידים והעלויות'!$D$2)</f>
        <v>0</v>
      </c>
      <c r="AD1352" s="374" t="str">
        <f>IF(OR(AND(H1352='סיווג התפקידים והעלויות'!$A$2,I1352='סיווג התפקידים והעלויות'!$A$3),'עלויות כח אדם (6)'!H1352='סיווג התפקידים והעלויות'!$C$2,'עלויות כח אדם (6)'!H1352='סיווג התפקידים והעלויות'!$D$2),IF('עלויות כח אדם (6)'!J1352&lt;75,"לא תקין","תקין"),"")</f>
        <v/>
      </c>
      <c r="AE1352" s="374" t="str">
        <f t="shared" si="314"/>
        <v/>
      </c>
      <c r="AF1352" s="532" t="str">
        <f t="shared" si="315"/>
        <v/>
      </c>
    </row>
    <row r="1353" spans="2:32" x14ac:dyDescent="0.25">
      <c r="B1353" s="695"/>
      <c r="C1353" s="197" t="str">
        <f>IF(B1353&lt;&gt;"",IFERROR(VLOOKUP(B:B,'מצבת והרשמה (2)'!$C$20:$N$520,2,0)," ")," ")</f>
        <v xml:space="preserve"> </v>
      </c>
      <c r="D1353" s="695"/>
      <c r="E1353" s="696"/>
      <c r="F1353" s="696"/>
      <c r="G1353" s="696"/>
      <c r="H1353" s="696"/>
      <c r="I1353" s="1050" t="str">
        <f t="shared" si="302"/>
        <v/>
      </c>
      <c r="J1353" s="696"/>
      <c r="K1353" s="697"/>
      <c r="L1353" s="696"/>
      <c r="M1353" s="198" t="str">
        <f t="shared" si="303"/>
        <v/>
      </c>
      <c r="N1353" s="369" t="str">
        <f t="shared" si="304"/>
        <v/>
      </c>
      <c r="O1353" s="183" t="str">
        <f t="shared" si="305"/>
        <v/>
      </c>
      <c r="P1353" s="199" t="str">
        <f t="shared" si="306"/>
        <v/>
      </c>
      <c r="Q1353" s="199" t="str">
        <f>IF(B1353="","",IFERROR(IF('עלויות כח אדם (6)'!J1353&gt;=VLOOKUP(I1353,'סיווג התפקידים והעלויות'!$B$23:$C$32,2,0),"תקין","לא תקין"),""))</f>
        <v/>
      </c>
      <c r="R1353" s="199" t="str">
        <f t="shared" si="307"/>
        <v/>
      </c>
      <c r="S1353" s="199" t="str">
        <f t="shared" si="308"/>
        <v/>
      </c>
      <c r="T1353" s="199" t="str">
        <f t="shared" si="316"/>
        <v/>
      </c>
      <c r="U1353" s="199" t="str">
        <f t="shared" si="309"/>
        <v/>
      </c>
      <c r="V1353" s="989"/>
      <c r="X1353" s="374" t="str">
        <f t="shared" si="310"/>
        <v/>
      </c>
      <c r="Y1353" s="375" t="str">
        <f t="shared" si="311"/>
        <v/>
      </c>
      <c r="Z1353" s="374" t="str">
        <f t="shared" si="312"/>
        <v/>
      </c>
      <c r="AA1353" s="374" t="b">
        <f t="shared" si="313"/>
        <v>1</v>
      </c>
      <c r="AB1353" s="374">
        <f>COUNTIFS(B:B,B1353,H:H,'סיווג התפקידים והעלויות'!$C$2)</f>
        <v>0</v>
      </c>
      <c r="AC1353" s="374">
        <f>COUNTIFS(B:B,B1353,H:H,'סיווג התפקידים והעלויות'!$D$2)</f>
        <v>0</v>
      </c>
      <c r="AD1353" s="374" t="str">
        <f>IF(OR(AND(H1353='סיווג התפקידים והעלויות'!$A$2,I1353='סיווג התפקידים והעלויות'!$A$3),'עלויות כח אדם (6)'!H1353='סיווג התפקידים והעלויות'!$C$2,'עלויות כח אדם (6)'!H1353='סיווג התפקידים והעלויות'!$D$2),IF('עלויות כח אדם (6)'!J1353&lt;75,"לא תקין","תקין"),"")</f>
        <v/>
      </c>
      <c r="AE1353" s="374" t="str">
        <f t="shared" si="314"/>
        <v/>
      </c>
      <c r="AF1353" s="532" t="str">
        <f t="shared" si="315"/>
        <v/>
      </c>
    </row>
    <row r="1354" spans="2:32" x14ac:dyDescent="0.25">
      <c r="B1354" s="695"/>
      <c r="C1354" s="197" t="str">
        <f>IF(B1354&lt;&gt;"",IFERROR(VLOOKUP(B:B,'מצבת והרשמה (2)'!$C$20:$N$520,2,0)," ")," ")</f>
        <v xml:space="preserve"> </v>
      </c>
      <c r="D1354" s="695"/>
      <c r="E1354" s="696"/>
      <c r="F1354" s="696"/>
      <c r="G1354" s="696"/>
      <c r="H1354" s="696"/>
      <c r="I1354" s="1050" t="str">
        <f t="shared" si="302"/>
        <v/>
      </c>
      <c r="J1354" s="696"/>
      <c r="K1354" s="697"/>
      <c r="L1354" s="696"/>
      <c r="M1354" s="198" t="str">
        <f t="shared" si="303"/>
        <v/>
      </c>
      <c r="N1354" s="369" t="str">
        <f t="shared" si="304"/>
        <v/>
      </c>
      <c r="O1354" s="183" t="str">
        <f t="shared" si="305"/>
        <v/>
      </c>
      <c r="P1354" s="199" t="str">
        <f t="shared" si="306"/>
        <v/>
      </c>
      <c r="Q1354" s="199" t="str">
        <f>IF(B1354="","",IFERROR(IF('עלויות כח אדם (6)'!J1354&gt;=VLOOKUP(I1354,'סיווג התפקידים והעלויות'!$B$23:$C$32,2,0),"תקין","לא תקין"),""))</f>
        <v/>
      </c>
      <c r="R1354" s="199" t="str">
        <f t="shared" si="307"/>
        <v/>
      </c>
      <c r="S1354" s="199" t="str">
        <f t="shared" si="308"/>
        <v/>
      </c>
      <c r="T1354" s="199" t="str">
        <f t="shared" si="316"/>
        <v/>
      </c>
      <c r="U1354" s="199" t="str">
        <f t="shared" si="309"/>
        <v/>
      </c>
      <c r="V1354" s="989"/>
      <c r="X1354" s="374" t="str">
        <f t="shared" si="310"/>
        <v/>
      </c>
      <c r="Y1354" s="375" t="str">
        <f t="shared" si="311"/>
        <v/>
      </c>
      <c r="Z1354" s="374" t="str">
        <f t="shared" si="312"/>
        <v/>
      </c>
      <c r="AA1354" s="374" t="b">
        <f t="shared" si="313"/>
        <v>1</v>
      </c>
      <c r="AB1354" s="374">
        <f>COUNTIFS(B:B,B1354,H:H,'סיווג התפקידים והעלויות'!$C$2)</f>
        <v>0</v>
      </c>
      <c r="AC1354" s="374">
        <f>COUNTIFS(B:B,B1354,H:H,'סיווג התפקידים והעלויות'!$D$2)</f>
        <v>0</v>
      </c>
      <c r="AD1354" s="374" t="str">
        <f>IF(OR(AND(H1354='סיווג התפקידים והעלויות'!$A$2,I1354='סיווג התפקידים והעלויות'!$A$3),'עלויות כח אדם (6)'!H1354='סיווג התפקידים והעלויות'!$C$2,'עלויות כח אדם (6)'!H1354='סיווג התפקידים והעלויות'!$D$2),IF('עלויות כח אדם (6)'!J1354&lt;75,"לא תקין","תקין"),"")</f>
        <v/>
      </c>
      <c r="AE1354" s="374" t="str">
        <f t="shared" si="314"/>
        <v/>
      </c>
      <c r="AF1354" s="532" t="str">
        <f t="shared" si="315"/>
        <v/>
      </c>
    </row>
    <row r="1355" spans="2:32" x14ac:dyDescent="0.25">
      <c r="B1355" s="695"/>
      <c r="C1355" s="197" t="str">
        <f>IF(B1355&lt;&gt;"",IFERROR(VLOOKUP(B:B,'מצבת והרשמה (2)'!$C$20:$N$520,2,0)," ")," ")</f>
        <v xml:space="preserve"> </v>
      </c>
      <c r="D1355" s="695"/>
      <c r="E1355" s="696"/>
      <c r="F1355" s="696"/>
      <c r="G1355" s="696"/>
      <c r="H1355" s="696"/>
      <c r="I1355" s="1050" t="str">
        <f t="shared" si="302"/>
        <v/>
      </c>
      <c r="J1355" s="696"/>
      <c r="K1355" s="697"/>
      <c r="L1355" s="696"/>
      <c r="M1355" s="198" t="str">
        <f t="shared" si="303"/>
        <v/>
      </c>
      <c r="N1355" s="369" t="str">
        <f t="shared" si="304"/>
        <v/>
      </c>
      <c r="O1355" s="183" t="str">
        <f t="shared" si="305"/>
        <v/>
      </c>
      <c r="P1355" s="199" t="str">
        <f t="shared" si="306"/>
        <v/>
      </c>
      <c r="Q1355" s="199" t="str">
        <f>IF(B1355="","",IFERROR(IF('עלויות כח אדם (6)'!J1355&gt;=VLOOKUP(I1355,'סיווג התפקידים והעלויות'!$B$23:$C$32,2,0),"תקין","לא תקין"),""))</f>
        <v/>
      </c>
      <c r="R1355" s="199" t="str">
        <f t="shared" si="307"/>
        <v/>
      </c>
      <c r="S1355" s="199" t="str">
        <f t="shared" si="308"/>
        <v/>
      </c>
      <c r="T1355" s="199" t="str">
        <f t="shared" si="316"/>
        <v/>
      </c>
      <c r="U1355" s="199" t="str">
        <f t="shared" si="309"/>
        <v/>
      </c>
      <c r="V1355" s="989"/>
      <c r="X1355" s="374" t="str">
        <f t="shared" si="310"/>
        <v/>
      </c>
      <c r="Y1355" s="375" t="str">
        <f t="shared" si="311"/>
        <v/>
      </c>
      <c r="Z1355" s="374" t="str">
        <f t="shared" si="312"/>
        <v/>
      </c>
      <c r="AA1355" s="374" t="b">
        <f t="shared" si="313"/>
        <v>1</v>
      </c>
      <c r="AB1355" s="374">
        <f>COUNTIFS(B:B,B1355,H:H,'סיווג התפקידים והעלויות'!$C$2)</f>
        <v>0</v>
      </c>
      <c r="AC1355" s="374">
        <f>COUNTIFS(B:B,B1355,H:H,'סיווג התפקידים והעלויות'!$D$2)</f>
        <v>0</v>
      </c>
      <c r="AD1355" s="374" t="str">
        <f>IF(OR(AND(H1355='סיווג התפקידים והעלויות'!$A$2,I1355='סיווג התפקידים והעלויות'!$A$3),'עלויות כח אדם (6)'!H1355='סיווג התפקידים והעלויות'!$C$2,'עלויות כח אדם (6)'!H1355='סיווג התפקידים והעלויות'!$D$2),IF('עלויות כח אדם (6)'!J1355&lt;75,"לא תקין","תקין"),"")</f>
        <v/>
      </c>
      <c r="AE1355" s="374" t="str">
        <f t="shared" si="314"/>
        <v/>
      </c>
      <c r="AF1355" s="532" t="str">
        <f t="shared" si="315"/>
        <v/>
      </c>
    </row>
    <row r="1356" spans="2:32" x14ac:dyDescent="0.25">
      <c r="B1356" s="695"/>
      <c r="C1356" s="197" t="str">
        <f>IF(B1356&lt;&gt;"",IFERROR(VLOOKUP(B:B,'מצבת והרשמה (2)'!$C$20:$N$520,2,0)," ")," ")</f>
        <v xml:space="preserve"> </v>
      </c>
      <c r="D1356" s="695"/>
      <c r="E1356" s="696"/>
      <c r="F1356" s="696"/>
      <c r="G1356" s="696"/>
      <c r="H1356" s="696"/>
      <c r="I1356" s="1050" t="str">
        <f t="shared" si="302"/>
        <v/>
      </c>
      <c r="J1356" s="696"/>
      <c r="K1356" s="697"/>
      <c r="L1356" s="696"/>
      <c r="M1356" s="198" t="str">
        <f t="shared" si="303"/>
        <v/>
      </c>
      <c r="N1356" s="369" t="str">
        <f t="shared" si="304"/>
        <v/>
      </c>
      <c r="O1356" s="183" t="str">
        <f t="shared" si="305"/>
        <v/>
      </c>
      <c r="P1356" s="199" t="str">
        <f t="shared" si="306"/>
        <v/>
      </c>
      <c r="Q1356" s="199" t="str">
        <f>IF(B1356="","",IFERROR(IF('עלויות כח אדם (6)'!J1356&gt;=VLOOKUP(I1356,'סיווג התפקידים והעלויות'!$B$23:$C$32,2,0),"תקין","לא תקין"),""))</f>
        <v/>
      </c>
      <c r="R1356" s="199" t="str">
        <f t="shared" si="307"/>
        <v/>
      </c>
      <c r="S1356" s="199" t="str">
        <f t="shared" si="308"/>
        <v/>
      </c>
      <c r="T1356" s="199" t="str">
        <f t="shared" si="316"/>
        <v/>
      </c>
      <c r="U1356" s="199" t="str">
        <f t="shared" si="309"/>
        <v/>
      </c>
      <c r="V1356" s="989"/>
      <c r="X1356" s="374" t="str">
        <f t="shared" si="310"/>
        <v/>
      </c>
      <c r="Y1356" s="375" t="str">
        <f t="shared" si="311"/>
        <v/>
      </c>
      <c r="Z1356" s="374" t="str">
        <f t="shared" si="312"/>
        <v/>
      </c>
      <c r="AA1356" s="374" t="b">
        <f t="shared" si="313"/>
        <v>1</v>
      </c>
      <c r="AB1356" s="374">
        <f>COUNTIFS(B:B,B1356,H:H,'סיווג התפקידים והעלויות'!$C$2)</f>
        <v>0</v>
      </c>
      <c r="AC1356" s="374">
        <f>COUNTIFS(B:B,B1356,H:H,'סיווג התפקידים והעלויות'!$D$2)</f>
        <v>0</v>
      </c>
      <c r="AD1356" s="374" t="str">
        <f>IF(OR(AND(H1356='סיווג התפקידים והעלויות'!$A$2,I1356='סיווג התפקידים והעלויות'!$A$3),'עלויות כח אדם (6)'!H1356='סיווג התפקידים והעלויות'!$C$2,'עלויות כח אדם (6)'!H1356='סיווג התפקידים והעלויות'!$D$2),IF('עלויות כח אדם (6)'!J1356&lt;75,"לא תקין","תקין"),"")</f>
        <v/>
      </c>
      <c r="AE1356" s="374" t="str">
        <f t="shared" si="314"/>
        <v/>
      </c>
      <c r="AF1356" s="532" t="str">
        <f t="shared" si="315"/>
        <v/>
      </c>
    </row>
    <row r="1357" spans="2:32" x14ac:dyDescent="0.25">
      <c r="B1357" s="695"/>
      <c r="C1357" s="197" t="str">
        <f>IF(B1357&lt;&gt;"",IFERROR(VLOOKUP(B:B,'מצבת והרשמה (2)'!$C$20:$N$520,2,0)," ")," ")</f>
        <v xml:space="preserve"> </v>
      </c>
      <c r="D1357" s="695"/>
      <c r="E1357" s="696"/>
      <c r="F1357" s="696"/>
      <c r="G1357" s="696"/>
      <c r="H1357" s="696"/>
      <c r="I1357" s="1050" t="str">
        <f t="shared" si="302"/>
        <v/>
      </c>
      <c r="J1357" s="696"/>
      <c r="K1357" s="697"/>
      <c r="L1357" s="696"/>
      <c r="M1357" s="198" t="str">
        <f t="shared" si="303"/>
        <v/>
      </c>
      <c r="N1357" s="369" t="str">
        <f t="shared" si="304"/>
        <v/>
      </c>
      <c r="O1357" s="183" t="str">
        <f t="shared" si="305"/>
        <v/>
      </c>
      <c r="P1357" s="199" t="str">
        <f t="shared" si="306"/>
        <v/>
      </c>
      <c r="Q1357" s="199" t="str">
        <f>IF(B1357="","",IFERROR(IF('עלויות כח אדם (6)'!J1357&gt;=VLOOKUP(I1357,'סיווג התפקידים והעלויות'!$B$23:$C$32,2,0),"תקין","לא תקין"),""))</f>
        <v/>
      </c>
      <c r="R1357" s="199" t="str">
        <f t="shared" si="307"/>
        <v/>
      </c>
      <c r="S1357" s="199" t="str">
        <f t="shared" si="308"/>
        <v/>
      </c>
      <c r="T1357" s="199" t="str">
        <f t="shared" si="316"/>
        <v/>
      </c>
      <c r="U1357" s="199" t="str">
        <f t="shared" si="309"/>
        <v/>
      </c>
      <c r="V1357" s="989"/>
      <c r="X1357" s="374" t="str">
        <f t="shared" si="310"/>
        <v/>
      </c>
      <c r="Y1357" s="375" t="str">
        <f t="shared" si="311"/>
        <v/>
      </c>
      <c r="Z1357" s="374" t="str">
        <f t="shared" si="312"/>
        <v/>
      </c>
      <c r="AA1357" s="374" t="b">
        <f t="shared" si="313"/>
        <v>1</v>
      </c>
      <c r="AB1357" s="374">
        <f>COUNTIFS(B:B,B1357,H:H,'סיווג התפקידים והעלויות'!$C$2)</f>
        <v>0</v>
      </c>
      <c r="AC1357" s="374">
        <f>COUNTIFS(B:B,B1357,H:H,'סיווג התפקידים והעלויות'!$D$2)</f>
        <v>0</v>
      </c>
      <c r="AD1357" s="374" t="str">
        <f>IF(OR(AND(H1357='סיווג התפקידים והעלויות'!$A$2,I1357='סיווג התפקידים והעלויות'!$A$3),'עלויות כח אדם (6)'!H1357='סיווג התפקידים והעלויות'!$C$2,'עלויות כח אדם (6)'!H1357='סיווג התפקידים והעלויות'!$D$2),IF('עלויות כח אדם (6)'!J1357&lt;75,"לא תקין","תקין"),"")</f>
        <v/>
      </c>
      <c r="AE1357" s="374" t="str">
        <f t="shared" si="314"/>
        <v/>
      </c>
      <c r="AF1357" s="532" t="str">
        <f t="shared" si="315"/>
        <v/>
      </c>
    </row>
    <row r="1358" spans="2:32" x14ac:dyDescent="0.25">
      <c r="B1358" s="695"/>
      <c r="C1358" s="197" t="str">
        <f>IF(B1358&lt;&gt;"",IFERROR(VLOOKUP(B:B,'מצבת והרשמה (2)'!$C$20:$N$520,2,0)," ")," ")</f>
        <v xml:space="preserve"> </v>
      </c>
      <c r="D1358" s="695"/>
      <c r="E1358" s="696"/>
      <c r="F1358" s="696"/>
      <c r="G1358" s="696"/>
      <c r="H1358" s="696"/>
      <c r="I1358" s="1050" t="str">
        <f t="shared" si="302"/>
        <v/>
      </c>
      <c r="J1358" s="696"/>
      <c r="K1358" s="697"/>
      <c r="L1358" s="696"/>
      <c r="M1358" s="198" t="str">
        <f t="shared" si="303"/>
        <v/>
      </c>
      <c r="N1358" s="369" t="str">
        <f t="shared" si="304"/>
        <v/>
      </c>
      <c r="O1358" s="183" t="str">
        <f t="shared" si="305"/>
        <v/>
      </c>
      <c r="P1358" s="199" t="str">
        <f t="shared" si="306"/>
        <v/>
      </c>
      <c r="Q1358" s="199" t="str">
        <f>IF(B1358="","",IFERROR(IF('עלויות כח אדם (6)'!J1358&gt;=VLOOKUP(I1358,'סיווג התפקידים והעלויות'!$B$23:$C$32,2,0),"תקין","לא תקין"),""))</f>
        <v/>
      </c>
      <c r="R1358" s="199" t="str">
        <f t="shared" si="307"/>
        <v/>
      </c>
      <c r="S1358" s="199" t="str">
        <f t="shared" si="308"/>
        <v/>
      </c>
      <c r="T1358" s="199" t="str">
        <f t="shared" si="316"/>
        <v/>
      </c>
      <c r="U1358" s="199" t="str">
        <f t="shared" si="309"/>
        <v/>
      </c>
      <c r="V1358" s="989"/>
      <c r="X1358" s="374" t="str">
        <f t="shared" si="310"/>
        <v/>
      </c>
      <c r="Y1358" s="375" t="str">
        <f t="shared" si="311"/>
        <v/>
      </c>
      <c r="Z1358" s="374" t="str">
        <f t="shared" si="312"/>
        <v/>
      </c>
      <c r="AA1358" s="374" t="b">
        <f t="shared" si="313"/>
        <v>1</v>
      </c>
      <c r="AB1358" s="374">
        <f>COUNTIFS(B:B,B1358,H:H,'סיווג התפקידים והעלויות'!$C$2)</f>
        <v>0</v>
      </c>
      <c r="AC1358" s="374">
        <f>COUNTIFS(B:B,B1358,H:H,'סיווג התפקידים והעלויות'!$D$2)</f>
        <v>0</v>
      </c>
      <c r="AD1358" s="374" t="str">
        <f>IF(OR(AND(H1358='סיווג התפקידים והעלויות'!$A$2,I1358='סיווג התפקידים והעלויות'!$A$3),'עלויות כח אדם (6)'!H1358='סיווג התפקידים והעלויות'!$C$2,'עלויות כח אדם (6)'!H1358='סיווג התפקידים והעלויות'!$D$2),IF('עלויות כח אדם (6)'!J1358&lt;75,"לא תקין","תקין"),"")</f>
        <v/>
      </c>
      <c r="AE1358" s="374" t="str">
        <f t="shared" si="314"/>
        <v/>
      </c>
      <c r="AF1358" s="532" t="str">
        <f t="shared" si="315"/>
        <v/>
      </c>
    </row>
    <row r="1359" spans="2:32" x14ac:dyDescent="0.25">
      <c r="B1359" s="695"/>
      <c r="C1359" s="197" t="str">
        <f>IF(B1359&lt;&gt;"",IFERROR(VLOOKUP(B:B,'מצבת והרשמה (2)'!$C$20:$N$520,2,0)," ")," ")</f>
        <v xml:space="preserve"> </v>
      </c>
      <c r="D1359" s="695"/>
      <c r="E1359" s="696"/>
      <c r="F1359" s="696"/>
      <c r="G1359" s="696"/>
      <c r="H1359" s="696"/>
      <c r="I1359" s="1050" t="str">
        <f t="shared" ref="I1359:I1422" si="317">SUBSTITUTE(IFERROR(IF(H1359="מדצ","מדצ/ית",IF(H1359="סגנית רכזת מעל 150","סגנ/ית רכז/ת&gt;150",IF(H1359="רכזת תכנית בבית הספר","רכז/ת תכנית בבית הספר"))),""),"FALSE","")</f>
        <v/>
      </c>
      <c r="J1359" s="696"/>
      <c r="K1359" s="697"/>
      <c r="L1359" s="696"/>
      <c r="M1359" s="198" t="str">
        <f t="shared" ref="M1359:M1422" si="318">IF(AND(L1359&gt;0,K1359&gt;0),K1359*L1359,"")</f>
        <v/>
      </c>
      <c r="N1359" s="369" t="str">
        <f t="shared" ref="N1359:N1422" si="319">TEXT(LEFT(H1359,2),0)</f>
        <v/>
      </c>
      <c r="O1359" s="183" t="str">
        <f t="shared" ref="O1359:O1422" si="320">IF(ISNUMBER(M1359&gt;0),IF(ISBLANK(B1359),"יש להזין סמל מוסד בעמודה B",""),"")</f>
        <v/>
      </c>
      <c r="P1359" s="199" t="str">
        <f t="shared" ref="P1359:P1422" si="321">IF(B1359="","",IF(AA1359=FALSE,"לא תקין","תקין"))</f>
        <v/>
      </c>
      <c r="Q1359" s="199" t="str">
        <f>IF(B1359="","",IFERROR(IF('עלויות כח אדם (6)'!J1359&gt;=VLOOKUP(I1359,'סיווג התפקידים והעלויות'!$B$23:$C$32,2,0),"תקין","לא תקין"),""))</f>
        <v/>
      </c>
      <c r="R1359" s="199" t="str">
        <f t="shared" ref="R1359:R1422" si="322">IF(B1359="","",IF(OR(Y1359&lt;100%,Y1359&gt;140%),"לא תקין","תקין"))</f>
        <v/>
      </c>
      <c r="S1359" s="199" t="str">
        <f t="shared" ref="S1359:S1422" si="323">IF(B1359="","",IFERROR(IF(J1359&gt;120,"לא תקין","תקין"),""))</f>
        <v/>
      </c>
      <c r="T1359" s="199" t="str">
        <f t="shared" si="316"/>
        <v/>
      </c>
      <c r="U1359" s="199" t="str">
        <f t="shared" ref="U1359:U1422" si="324">IF(B1359="","",IF(Z1359&gt;1,IF(SUMIF(D:D,D1359,L:L)&gt;90,"לא תקין","תקין"),"תקין"))</f>
        <v/>
      </c>
      <c r="V1359" s="989"/>
      <c r="X1359" s="374" t="str">
        <f t="shared" ref="X1359:X1422" si="325">IF(B1359="","",IF(OR(R1359="לא תקין",S1359="לא תקין",T1359="לא תקין",,U1359="לא תקין"),"לא תקין","תקין"))</f>
        <v/>
      </c>
      <c r="Y1359" s="375" t="str">
        <f t="shared" ref="Y1359:Y1422" si="326">IFERROR(IF(B1359="","",K1359/J1359),"")</f>
        <v/>
      </c>
      <c r="Z1359" s="374" t="str">
        <f t="shared" ref="Z1359:Z1422" si="327">IF(B1359="","",COUNTIF(D:D,D1359))</f>
        <v/>
      </c>
      <c r="AA1359" s="374" t="b">
        <f t="shared" ref="AA1359:AA1422" si="328">MOD(MID(REPT(0,9-LEN(D1359))&amp;D1359,1,1)+MID("0246813579",MID(REPT(0,9-LEN(D1359))&amp;D1359,2,1)+1,1)+MID(REPT(0,9-LEN(D1359))&amp;D1359,3,1)+MID("0246813579",MID(REPT(0,9-LEN(D1359))&amp;D1359,4,1)+1,1)+MID(REPT(0,9-LEN(D1359))&amp;D1359,5,1)+MID("0246813579",MID(REPT(0,9-LEN(D1359))&amp;D1359,6,1)+1,1)+MID(REPT(0,9-LEN(D1359))&amp;D1359,7,1)+MID("0246813579",MID(REPT(0,9-LEN(D1359))&amp;D1359,8,1)+1,1)+MID(REPT(0,9-LEN(D1359))&amp;D1359,9,1),10)=0</f>
        <v>1</v>
      </c>
      <c r="AB1359" s="374">
        <f>COUNTIFS(B:B,B1359,H:H,'סיווג התפקידים והעלויות'!$C$2)</f>
        <v>0</v>
      </c>
      <c r="AC1359" s="374">
        <f>COUNTIFS(B:B,B1359,H:H,'סיווג התפקידים והעלויות'!$D$2)</f>
        <v>0</v>
      </c>
      <c r="AD1359" s="374" t="str">
        <f>IF(OR(AND(H1359='סיווג התפקידים והעלויות'!$A$2,I1359='סיווג התפקידים והעלויות'!$A$3),'עלויות כח אדם (6)'!H1359='סיווג התפקידים והעלויות'!$C$2,'עלויות כח אדם (6)'!H1359='סיווג התפקידים והעלויות'!$D$2),IF('עלויות כח אדם (6)'!J1359&lt;75,"לא תקין","תקין"),"")</f>
        <v/>
      </c>
      <c r="AE1359" s="374" t="str">
        <f t="shared" ref="AE1359:AE1422" si="329">IF(B1359&lt;&gt;"",B1359&amp;H1359,"")</f>
        <v/>
      </c>
      <c r="AF1359" s="532" t="str">
        <f t="shared" ref="AF1359:AF1422" si="330">M1359</f>
        <v/>
      </c>
    </row>
    <row r="1360" spans="2:32" x14ac:dyDescent="0.25">
      <c r="B1360" s="695"/>
      <c r="C1360" s="197" t="str">
        <f>IF(B1360&lt;&gt;"",IFERROR(VLOOKUP(B:B,'מצבת והרשמה (2)'!$C$20:$N$520,2,0)," ")," ")</f>
        <v xml:space="preserve"> </v>
      </c>
      <c r="D1360" s="695"/>
      <c r="E1360" s="696"/>
      <c r="F1360" s="696"/>
      <c r="G1360" s="696"/>
      <c r="H1360" s="696"/>
      <c r="I1360" s="1050" t="str">
        <f t="shared" si="317"/>
        <v/>
      </c>
      <c r="J1360" s="696"/>
      <c r="K1360" s="697"/>
      <c r="L1360" s="696"/>
      <c r="M1360" s="198" t="str">
        <f t="shared" si="318"/>
        <v/>
      </c>
      <c r="N1360" s="369" t="str">
        <f t="shared" si="319"/>
        <v/>
      </c>
      <c r="O1360" s="183" t="str">
        <f t="shared" si="320"/>
        <v/>
      </c>
      <c r="P1360" s="199" t="str">
        <f t="shared" si="321"/>
        <v/>
      </c>
      <c r="Q1360" s="199" t="str">
        <f>IF(B1360="","",IFERROR(IF('עלויות כח אדם (6)'!J1360&gt;=VLOOKUP(I1360,'סיווג התפקידים והעלויות'!$B$23:$C$32,2,0),"תקין","לא תקין"),""))</f>
        <v/>
      </c>
      <c r="R1360" s="199" t="str">
        <f t="shared" si="322"/>
        <v/>
      </c>
      <c r="S1360" s="199" t="str">
        <f t="shared" si="323"/>
        <v/>
      </c>
      <c r="T1360" s="199" t="str">
        <f t="shared" ref="T1360:T1423" si="331">IF(B1360="","",IF(H1360="","יש להזין איש צוות",IF(OR(H1360="מורה",H1360="גננת",H1360="רכז גן",H1360="רכזת גן",H1360="סייעת",H1360="מדצית",H1360="מדצ",H1360="מדריך",H1360="מדריכה",H1360="תוספת כח אדם"),IF(L1360&lt;=90,"תקין","לא תקין"),IF(OR(H1360="רכז בית ספר",H1360="רכזת תכנית בבית הספר",H1360="רכזת בית ספר"),IF(L1360&lt;=137,"תקין","לא תקין"),IF(OR(H1360="סגנית רכזת מעל 150",H1360="סגן רכז"),IF(L1360&lt;=93,"תקין","לא תקין"),"לא תקין")))))</f>
        <v/>
      </c>
      <c r="U1360" s="199" t="str">
        <f t="shared" si="324"/>
        <v/>
      </c>
      <c r="V1360" s="989"/>
      <c r="X1360" s="374" t="str">
        <f t="shared" si="325"/>
        <v/>
      </c>
      <c r="Y1360" s="375" t="str">
        <f t="shared" si="326"/>
        <v/>
      </c>
      <c r="Z1360" s="374" t="str">
        <f t="shared" si="327"/>
        <v/>
      </c>
      <c r="AA1360" s="374" t="b">
        <f t="shared" si="328"/>
        <v>1</v>
      </c>
      <c r="AB1360" s="374">
        <f>COUNTIFS(B:B,B1360,H:H,'סיווג התפקידים והעלויות'!$C$2)</f>
        <v>0</v>
      </c>
      <c r="AC1360" s="374">
        <f>COUNTIFS(B:B,B1360,H:H,'סיווג התפקידים והעלויות'!$D$2)</f>
        <v>0</v>
      </c>
      <c r="AD1360" s="374" t="str">
        <f>IF(OR(AND(H1360='סיווג התפקידים והעלויות'!$A$2,I1360='סיווג התפקידים והעלויות'!$A$3),'עלויות כח אדם (6)'!H1360='סיווג התפקידים והעלויות'!$C$2,'עלויות כח אדם (6)'!H1360='סיווג התפקידים והעלויות'!$D$2),IF('עלויות כח אדם (6)'!J1360&lt;75,"לא תקין","תקין"),"")</f>
        <v/>
      </c>
      <c r="AE1360" s="374" t="str">
        <f t="shared" si="329"/>
        <v/>
      </c>
      <c r="AF1360" s="532" t="str">
        <f t="shared" si="330"/>
        <v/>
      </c>
    </row>
    <row r="1361" spans="2:32" x14ac:dyDescent="0.25">
      <c r="B1361" s="695"/>
      <c r="C1361" s="197" t="str">
        <f>IF(B1361&lt;&gt;"",IFERROR(VLOOKUP(B:B,'מצבת והרשמה (2)'!$C$20:$N$520,2,0)," ")," ")</f>
        <v xml:space="preserve"> </v>
      </c>
      <c r="D1361" s="695"/>
      <c r="E1361" s="696"/>
      <c r="F1361" s="696"/>
      <c r="G1361" s="696"/>
      <c r="H1361" s="696"/>
      <c r="I1361" s="1050" t="str">
        <f t="shared" si="317"/>
        <v/>
      </c>
      <c r="J1361" s="696"/>
      <c r="K1361" s="697"/>
      <c r="L1361" s="696"/>
      <c r="M1361" s="198" t="str">
        <f t="shared" si="318"/>
        <v/>
      </c>
      <c r="N1361" s="369" t="str">
        <f t="shared" si="319"/>
        <v/>
      </c>
      <c r="O1361" s="183" t="str">
        <f t="shared" si="320"/>
        <v/>
      </c>
      <c r="P1361" s="199" t="str">
        <f t="shared" si="321"/>
        <v/>
      </c>
      <c r="Q1361" s="199" t="str">
        <f>IF(B1361="","",IFERROR(IF('עלויות כח אדם (6)'!J1361&gt;=VLOOKUP(I1361,'סיווג התפקידים והעלויות'!$B$23:$C$32,2,0),"תקין","לא תקין"),""))</f>
        <v/>
      </c>
      <c r="R1361" s="199" t="str">
        <f t="shared" si="322"/>
        <v/>
      </c>
      <c r="S1361" s="199" t="str">
        <f t="shared" si="323"/>
        <v/>
      </c>
      <c r="T1361" s="199" t="str">
        <f t="shared" si="331"/>
        <v/>
      </c>
      <c r="U1361" s="199" t="str">
        <f t="shared" si="324"/>
        <v/>
      </c>
      <c r="V1361" s="989"/>
      <c r="X1361" s="374" t="str">
        <f t="shared" si="325"/>
        <v/>
      </c>
      <c r="Y1361" s="375" t="str">
        <f t="shared" si="326"/>
        <v/>
      </c>
      <c r="Z1361" s="374" t="str">
        <f t="shared" si="327"/>
        <v/>
      </c>
      <c r="AA1361" s="374" t="b">
        <f t="shared" si="328"/>
        <v>1</v>
      </c>
      <c r="AB1361" s="374">
        <f>COUNTIFS(B:B,B1361,H:H,'סיווג התפקידים והעלויות'!$C$2)</f>
        <v>0</v>
      </c>
      <c r="AC1361" s="374">
        <f>COUNTIFS(B:B,B1361,H:H,'סיווג התפקידים והעלויות'!$D$2)</f>
        <v>0</v>
      </c>
      <c r="AD1361" s="374" t="str">
        <f>IF(OR(AND(H1361='סיווג התפקידים והעלויות'!$A$2,I1361='סיווג התפקידים והעלויות'!$A$3),'עלויות כח אדם (6)'!H1361='סיווג התפקידים והעלויות'!$C$2,'עלויות כח אדם (6)'!H1361='סיווג התפקידים והעלויות'!$D$2),IF('עלויות כח אדם (6)'!J1361&lt;75,"לא תקין","תקין"),"")</f>
        <v/>
      </c>
      <c r="AE1361" s="374" t="str">
        <f t="shared" si="329"/>
        <v/>
      </c>
      <c r="AF1361" s="532" t="str">
        <f t="shared" si="330"/>
        <v/>
      </c>
    </row>
    <row r="1362" spans="2:32" x14ac:dyDescent="0.25">
      <c r="B1362" s="695"/>
      <c r="C1362" s="197" t="str">
        <f>IF(B1362&lt;&gt;"",IFERROR(VLOOKUP(B:B,'מצבת והרשמה (2)'!$C$20:$N$520,2,0)," ")," ")</f>
        <v xml:space="preserve"> </v>
      </c>
      <c r="D1362" s="695"/>
      <c r="E1362" s="696"/>
      <c r="F1362" s="696"/>
      <c r="G1362" s="696"/>
      <c r="H1362" s="696"/>
      <c r="I1362" s="1050" t="str">
        <f t="shared" si="317"/>
        <v/>
      </c>
      <c r="J1362" s="696"/>
      <c r="K1362" s="697"/>
      <c r="L1362" s="696"/>
      <c r="M1362" s="198" t="str">
        <f t="shared" si="318"/>
        <v/>
      </c>
      <c r="N1362" s="369" t="str">
        <f t="shared" si="319"/>
        <v/>
      </c>
      <c r="O1362" s="183" t="str">
        <f t="shared" si="320"/>
        <v/>
      </c>
      <c r="P1362" s="199" t="str">
        <f t="shared" si="321"/>
        <v/>
      </c>
      <c r="Q1362" s="199" t="str">
        <f>IF(B1362="","",IFERROR(IF('עלויות כח אדם (6)'!J1362&gt;=VLOOKUP(I1362,'סיווג התפקידים והעלויות'!$B$23:$C$32,2,0),"תקין","לא תקין"),""))</f>
        <v/>
      </c>
      <c r="R1362" s="199" t="str">
        <f t="shared" si="322"/>
        <v/>
      </c>
      <c r="S1362" s="199" t="str">
        <f t="shared" si="323"/>
        <v/>
      </c>
      <c r="T1362" s="199" t="str">
        <f t="shared" si="331"/>
        <v/>
      </c>
      <c r="U1362" s="199" t="str">
        <f t="shared" si="324"/>
        <v/>
      </c>
      <c r="V1362" s="989"/>
      <c r="X1362" s="374" t="str">
        <f t="shared" si="325"/>
        <v/>
      </c>
      <c r="Y1362" s="375" t="str">
        <f t="shared" si="326"/>
        <v/>
      </c>
      <c r="Z1362" s="374" t="str">
        <f t="shared" si="327"/>
        <v/>
      </c>
      <c r="AA1362" s="374" t="b">
        <f t="shared" si="328"/>
        <v>1</v>
      </c>
      <c r="AB1362" s="374">
        <f>COUNTIFS(B:B,B1362,H:H,'סיווג התפקידים והעלויות'!$C$2)</f>
        <v>0</v>
      </c>
      <c r="AC1362" s="374">
        <f>COUNTIFS(B:B,B1362,H:H,'סיווג התפקידים והעלויות'!$D$2)</f>
        <v>0</v>
      </c>
      <c r="AD1362" s="374" t="str">
        <f>IF(OR(AND(H1362='סיווג התפקידים והעלויות'!$A$2,I1362='סיווג התפקידים והעלויות'!$A$3),'עלויות כח אדם (6)'!H1362='סיווג התפקידים והעלויות'!$C$2,'עלויות כח אדם (6)'!H1362='סיווג התפקידים והעלויות'!$D$2),IF('עלויות כח אדם (6)'!J1362&lt;75,"לא תקין","תקין"),"")</f>
        <v/>
      </c>
      <c r="AE1362" s="374" t="str">
        <f t="shared" si="329"/>
        <v/>
      </c>
      <c r="AF1362" s="532" t="str">
        <f t="shared" si="330"/>
        <v/>
      </c>
    </row>
    <row r="1363" spans="2:32" x14ac:dyDescent="0.25">
      <c r="B1363" s="695"/>
      <c r="C1363" s="197" t="str">
        <f>IF(B1363&lt;&gt;"",IFERROR(VLOOKUP(B:B,'מצבת והרשמה (2)'!$C$20:$N$520,2,0)," ")," ")</f>
        <v xml:space="preserve"> </v>
      </c>
      <c r="D1363" s="695"/>
      <c r="E1363" s="696"/>
      <c r="F1363" s="696"/>
      <c r="G1363" s="696"/>
      <c r="H1363" s="696"/>
      <c r="I1363" s="1050" t="str">
        <f t="shared" si="317"/>
        <v/>
      </c>
      <c r="J1363" s="696"/>
      <c r="K1363" s="697"/>
      <c r="L1363" s="696"/>
      <c r="M1363" s="198" t="str">
        <f t="shared" si="318"/>
        <v/>
      </c>
      <c r="N1363" s="369" t="str">
        <f t="shared" si="319"/>
        <v/>
      </c>
      <c r="O1363" s="183" t="str">
        <f t="shared" si="320"/>
        <v/>
      </c>
      <c r="P1363" s="199" t="str">
        <f t="shared" si="321"/>
        <v/>
      </c>
      <c r="Q1363" s="199" t="str">
        <f>IF(B1363="","",IFERROR(IF('עלויות כח אדם (6)'!J1363&gt;=VLOOKUP(I1363,'סיווג התפקידים והעלויות'!$B$23:$C$32,2,0),"תקין","לא תקין"),""))</f>
        <v/>
      </c>
      <c r="R1363" s="199" t="str">
        <f t="shared" si="322"/>
        <v/>
      </c>
      <c r="S1363" s="199" t="str">
        <f t="shared" si="323"/>
        <v/>
      </c>
      <c r="T1363" s="199" t="str">
        <f t="shared" si="331"/>
        <v/>
      </c>
      <c r="U1363" s="199" t="str">
        <f t="shared" si="324"/>
        <v/>
      </c>
      <c r="V1363" s="989"/>
      <c r="X1363" s="374" t="str">
        <f t="shared" si="325"/>
        <v/>
      </c>
      <c r="Y1363" s="375" t="str">
        <f t="shared" si="326"/>
        <v/>
      </c>
      <c r="Z1363" s="374" t="str">
        <f t="shared" si="327"/>
        <v/>
      </c>
      <c r="AA1363" s="374" t="b">
        <f t="shared" si="328"/>
        <v>1</v>
      </c>
      <c r="AB1363" s="374">
        <f>COUNTIFS(B:B,B1363,H:H,'סיווג התפקידים והעלויות'!$C$2)</f>
        <v>0</v>
      </c>
      <c r="AC1363" s="374">
        <f>COUNTIFS(B:B,B1363,H:H,'סיווג התפקידים והעלויות'!$D$2)</f>
        <v>0</v>
      </c>
      <c r="AD1363" s="374" t="str">
        <f>IF(OR(AND(H1363='סיווג התפקידים והעלויות'!$A$2,I1363='סיווג התפקידים והעלויות'!$A$3),'עלויות כח אדם (6)'!H1363='סיווג התפקידים והעלויות'!$C$2,'עלויות כח אדם (6)'!H1363='סיווג התפקידים והעלויות'!$D$2),IF('עלויות כח אדם (6)'!J1363&lt;75,"לא תקין","תקין"),"")</f>
        <v/>
      </c>
      <c r="AE1363" s="374" t="str">
        <f t="shared" si="329"/>
        <v/>
      </c>
      <c r="AF1363" s="532" t="str">
        <f t="shared" si="330"/>
        <v/>
      </c>
    </row>
    <row r="1364" spans="2:32" x14ac:dyDescent="0.25">
      <c r="B1364" s="695"/>
      <c r="C1364" s="197" t="str">
        <f>IF(B1364&lt;&gt;"",IFERROR(VLOOKUP(B:B,'מצבת והרשמה (2)'!$C$20:$N$520,2,0)," ")," ")</f>
        <v xml:space="preserve"> </v>
      </c>
      <c r="D1364" s="695"/>
      <c r="E1364" s="696"/>
      <c r="F1364" s="696"/>
      <c r="G1364" s="696"/>
      <c r="H1364" s="696"/>
      <c r="I1364" s="1050" t="str">
        <f t="shared" si="317"/>
        <v/>
      </c>
      <c r="J1364" s="696"/>
      <c r="K1364" s="697"/>
      <c r="L1364" s="696"/>
      <c r="M1364" s="198" t="str">
        <f t="shared" si="318"/>
        <v/>
      </c>
      <c r="N1364" s="369" t="str">
        <f t="shared" si="319"/>
        <v/>
      </c>
      <c r="O1364" s="183" t="str">
        <f t="shared" si="320"/>
        <v/>
      </c>
      <c r="P1364" s="199" t="str">
        <f t="shared" si="321"/>
        <v/>
      </c>
      <c r="Q1364" s="199" t="str">
        <f>IF(B1364="","",IFERROR(IF('עלויות כח אדם (6)'!J1364&gt;=VLOOKUP(I1364,'סיווג התפקידים והעלויות'!$B$23:$C$32,2,0),"תקין","לא תקין"),""))</f>
        <v/>
      </c>
      <c r="R1364" s="199" t="str">
        <f t="shared" si="322"/>
        <v/>
      </c>
      <c r="S1364" s="199" t="str">
        <f t="shared" si="323"/>
        <v/>
      </c>
      <c r="T1364" s="199" t="str">
        <f t="shared" si="331"/>
        <v/>
      </c>
      <c r="U1364" s="199" t="str">
        <f t="shared" si="324"/>
        <v/>
      </c>
      <c r="V1364" s="989"/>
      <c r="X1364" s="374" t="str">
        <f t="shared" si="325"/>
        <v/>
      </c>
      <c r="Y1364" s="375" t="str">
        <f t="shared" si="326"/>
        <v/>
      </c>
      <c r="Z1364" s="374" t="str">
        <f t="shared" si="327"/>
        <v/>
      </c>
      <c r="AA1364" s="374" t="b">
        <f t="shared" si="328"/>
        <v>1</v>
      </c>
      <c r="AB1364" s="374">
        <f>COUNTIFS(B:B,B1364,H:H,'סיווג התפקידים והעלויות'!$C$2)</f>
        <v>0</v>
      </c>
      <c r="AC1364" s="374">
        <f>COUNTIFS(B:B,B1364,H:H,'סיווג התפקידים והעלויות'!$D$2)</f>
        <v>0</v>
      </c>
      <c r="AD1364" s="374" t="str">
        <f>IF(OR(AND(H1364='סיווג התפקידים והעלויות'!$A$2,I1364='סיווג התפקידים והעלויות'!$A$3),'עלויות כח אדם (6)'!H1364='סיווג התפקידים והעלויות'!$C$2,'עלויות כח אדם (6)'!H1364='סיווג התפקידים והעלויות'!$D$2),IF('עלויות כח אדם (6)'!J1364&lt;75,"לא תקין","תקין"),"")</f>
        <v/>
      </c>
      <c r="AE1364" s="374" t="str">
        <f t="shared" si="329"/>
        <v/>
      </c>
      <c r="AF1364" s="532" t="str">
        <f t="shared" si="330"/>
        <v/>
      </c>
    </row>
    <row r="1365" spans="2:32" x14ac:dyDescent="0.25">
      <c r="B1365" s="695"/>
      <c r="C1365" s="197" t="str">
        <f>IF(B1365&lt;&gt;"",IFERROR(VLOOKUP(B:B,'מצבת והרשמה (2)'!$C$20:$N$520,2,0)," ")," ")</f>
        <v xml:space="preserve"> </v>
      </c>
      <c r="D1365" s="695"/>
      <c r="E1365" s="696"/>
      <c r="F1365" s="696"/>
      <c r="G1365" s="696"/>
      <c r="H1365" s="696"/>
      <c r="I1365" s="1050" t="str">
        <f t="shared" si="317"/>
        <v/>
      </c>
      <c r="J1365" s="696"/>
      <c r="K1365" s="697"/>
      <c r="L1365" s="696"/>
      <c r="M1365" s="198" t="str">
        <f t="shared" si="318"/>
        <v/>
      </c>
      <c r="N1365" s="369" t="str">
        <f t="shared" si="319"/>
        <v/>
      </c>
      <c r="O1365" s="183" t="str">
        <f t="shared" si="320"/>
        <v/>
      </c>
      <c r="P1365" s="199" t="str">
        <f t="shared" si="321"/>
        <v/>
      </c>
      <c r="Q1365" s="199" t="str">
        <f>IF(B1365="","",IFERROR(IF('עלויות כח אדם (6)'!J1365&gt;=VLOOKUP(I1365,'סיווג התפקידים והעלויות'!$B$23:$C$32,2,0),"תקין","לא תקין"),""))</f>
        <v/>
      </c>
      <c r="R1365" s="199" t="str">
        <f t="shared" si="322"/>
        <v/>
      </c>
      <c r="S1365" s="199" t="str">
        <f t="shared" si="323"/>
        <v/>
      </c>
      <c r="T1365" s="199" t="str">
        <f t="shared" si="331"/>
        <v/>
      </c>
      <c r="U1365" s="199" t="str">
        <f t="shared" si="324"/>
        <v/>
      </c>
      <c r="V1365" s="989"/>
      <c r="X1365" s="374" t="str">
        <f t="shared" si="325"/>
        <v/>
      </c>
      <c r="Y1365" s="375" t="str">
        <f t="shared" si="326"/>
        <v/>
      </c>
      <c r="Z1365" s="374" t="str">
        <f t="shared" si="327"/>
        <v/>
      </c>
      <c r="AA1365" s="374" t="b">
        <f t="shared" si="328"/>
        <v>1</v>
      </c>
      <c r="AB1365" s="374">
        <f>COUNTIFS(B:B,B1365,H:H,'סיווג התפקידים והעלויות'!$C$2)</f>
        <v>0</v>
      </c>
      <c r="AC1365" s="374">
        <f>COUNTIFS(B:B,B1365,H:H,'סיווג התפקידים והעלויות'!$D$2)</f>
        <v>0</v>
      </c>
      <c r="AD1365" s="374" t="str">
        <f>IF(OR(AND(H1365='סיווג התפקידים והעלויות'!$A$2,I1365='סיווג התפקידים והעלויות'!$A$3),'עלויות כח אדם (6)'!H1365='סיווג התפקידים והעלויות'!$C$2,'עלויות כח אדם (6)'!H1365='סיווג התפקידים והעלויות'!$D$2),IF('עלויות כח אדם (6)'!J1365&lt;75,"לא תקין","תקין"),"")</f>
        <v/>
      </c>
      <c r="AE1365" s="374" t="str">
        <f t="shared" si="329"/>
        <v/>
      </c>
      <c r="AF1365" s="532" t="str">
        <f t="shared" si="330"/>
        <v/>
      </c>
    </row>
    <row r="1366" spans="2:32" x14ac:dyDescent="0.25">
      <c r="B1366" s="695"/>
      <c r="C1366" s="197" t="str">
        <f>IF(B1366&lt;&gt;"",IFERROR(VLOOKUP(B:B,'מצבת והרשמה (2)'!$C$20:$N$520,2,0)," ")," ")</f>
        <v xml:space="preserve"> </v>
      </c>
      <c r="D1366" s="695"/>
      <c r="E1366" s="696"/>
      <c r="F1366" s="696"/>
      <c r="G1366" s="696"/>
      <c r="H1366" s="696"/>
      <c r="I1366" s="1050" t="str">
        <f t="shared" si="317"/>
        <v/>
      </c>
      <c r="J1366" s="696"/>
      <c r="K1366" s="697"/>
      <c r="L1366" s="696"/>
      <c r="M1366" s="198" t="str">
        <f t="shared" si="318"/>
        <v/>
      </c>
      <c r="N1366" s="369" t="str">
        <f t="shared" si="319"/>
        <v/>
      </c>
      <c r="O1366" s="183" t="str">
        <f t="shared" si="320"/>
        <v/>
      </c>
      <c r="P1366" s="199" t="str">
        <f t="shared" si="321"/>
        <v/>
      </c>
      <c r="Q1366" s="199" t="str">
        <f>IF(B1366="","",IFERROR(IF('עלויות כח אדם (6)'!J1366&gt;=VLOOKUP(I1366,'סיווג התפקידים והעלויות'!$B$23:$C$32,2,0),"תקין","לא תקין"),""))</f>
        <v/>
      </c>
      <c r="R1366" s="199" t="str">
        <f t="shared" si="322"/>
        <v/>
      </c>
      <c r="S1366" s="199" t="str">
        <f t="shared" si="323"/>
        <v/>
      </c>
      <c r="T1366" s="199" t="str">
        <f t="shared" si="331"/>
        <v/>
      </c>
      <c r="U1366" s="199" t="str">
        <f t="shared" si="324"/>
        <v/>
      </c>
      <c r="V1366" s="989"/>
      <c r="X1366" s="374" t="str">
        <f t="shared" si="325"/>
        <v/>
      </c>
      <c r="Y1366" s="375" t="str">
        <f t="shared" si="326"/>
        <v/>
      </c>
      <c r="Z1366" s="374" t="str">
        <f t="shared" si="327"/>
        <v/>
      </c>
      <c r="AA1366" s="374" t="b">
        <f t="shared" si="328"/>
        <v>1</v>
      </c>
      <c r="AB1366" s="374">
        <f>COUNTIFS(B:B,B1366,H:H,'סיווג התפקידים והעלויות'!$C$2)</f>
        <v>0</v>
      </c>
      <c r="AC1366" s="374">
        <f>COUNTIFS(B:B,B1366,H:H,'סיווג התפקידים והעלויות'!$D$2)</f>
        <v>0</v>
      </c>
      <c r="AD1366" s="374" t="str">
        <f>IF(OR(AND(H1366='סיווג התפקידים והעלויות'!$A$2,I1366='סיווג התפקידים והעלויות'!$A$3),'עלויות כח אדם (6)'!H1366='סיווג התפקידים והעלויות'!$C$2,'עלויות כח אדם (6)'!H1366='סיווג התפקידים והעלויות'!$D$2),IF('עלויות כח אדם (6)'!J1366&lt;75,"לא תקין","תקין"),"")</f>
        <v/>
      </c>
      <c r="AE1366" s="374" t="str">
        <f t="shared" si="329"/>
        <v/>
      </c>
      <c r="AF1366" s="532" t="str">
        <f t="shared" si="330"/>
        <v/>
      </c>
    </row>
    <row r="1367" spans="2:32" x14ac:dyDescent="0.25">
      <c r="B1367" s="695"/>
      <c r="C1367" s="197" t="str">
        <f>IF(B1367&lt;&gt;"",IFERROR(VLOOKUP(B:B,'מצבת והרשמה (2)'!$C$20:$N$520,2,0)," ")," ")</f>
        <v xml:space="preserve"> </v>
      </c>
      <c r="D1367" s="695"/>
      <c r="E1367" s="696"/>
      <c r="F1367" s="696"/>
      <c r="G1367" s="696"/>
      <c r="H1367" s="696"/>
      <c r="I1367" s="1050" t="str">
        <f t="shared" si="317"/>
        <v/>
      </c>
      <c r="J1367" s="696"/>
      <c r="K1367" s="697"/>
      <c r="L1367" s="696"/>
      <c r="M1367" s="198" t="str">
        <f t="shared" si="318"/>
        <v/>
      </c>
      <c r="N1367" s="369" t="str">
        <f t="shared" si="319"/>
        <v/>
      </c>
      <c r="O1367" s="183" t="str">
        <f t="shared" si="320"/>
        <v/>
      </c>
      <c r="P1367" s="199" t="str">
        <f t="shared" si="321"/>
        <v/>
      </c>
      <c r="Q1367" s="199" t="str">
        <f>IF(B1367="","",IFERROR(IF('עלויות כח אדם (6)'!J1367&gt;=VLOOKUP(I1367,'סיווג התפקידים והעלויות'!$B$23:$C$32,2,0),"תקין","לא תקין"),""))</f>
        <v/>
      </c>
      <c r="R1367" s="199" t="str">
        <f t="shared" si="322"/>
        <v/>
      </c>
      <c r="S1367" s="199" t="str">
        <f t="shared" si="323"/>
        <v/>
      </c>
      <c r="T1367" s="199" t="str">
        <f t="shared" si="331"/>
        <v/>
      </c>
      <c r="U1367" s="199" t="str">
        <f t="shared" si="324"/>
        <v/>
      </c>
      <c r="V1367" s="989"/>
      <c r="X1367" s="374" t="str">
        <f t="shared" si="325"/>
        <v/>
      </c>
      <c r="Y1367" s="375" t="str">
        <f t="shared" si="326"/>
        <v/>
      </c>
      <c r="Z1367" s="374" t="str">
        <f t="shared" si="327"/>
        <v/>
      </c>
      <c r="AA1367" s="374" t="b">
        <f t="shared" si="328"/>
        <v>1</v>
      </c>
      <c r="AB1367" s="374">
        <f>COUNTIFS(B:B,B1367,H:H,'סיווג התפקידים והעלויות'!$C$2)</f>
        <v>0</v>
      </c>
      <c r="AC1367" s="374">
        <f>COUNTIFS(B:B,B1367,H:H,'סיווג התפקידים והעלויות'!$D$2)</f>
        <v>0</v>
      </c>
      <c r="AD1367" s="374" t="str">
        <f>IF(OR(AND(H1367='סיווג התפקידים והעלויות'!$A$2,I1367='סיווג התפקידים והעלויות'!$A$3),'עלויות כח אדם (6)'!H1367='סיווג התפקידים והעלויות'!$C$2,'עלויות כח אדם (6)'!H1367='סיווג התפקידים והעלויות'!$D$2),IF('עלויות כח אדם (6)'!J1367&lt;75,"לא תקין","תקין"),"")</f>
        <v/>
      </c>
      <c r="AE1367" s="374" t="str">
        <f t="shared" si="329"/>
        <v/>
      </c>
      <c r="AF1367" s="532" t="str">
        <f t="shared" si="330"/>
        <v/>
      </c>
    </row>
    <row r="1368" spans="2:32" x14ac:dyDescent="0.25">
      <c r="B1368" s="695"/>
      <c r="C1368" s="197" t="str">
        <f>IF(B1368&lt;&gt;"",IFERROR(VLOOKUP(B:B,'מצבת והרשמה (2)'!$C$20:$N$520,2,0)," ")," ")</f>
        <v xml:space="preserve"> </v>
      </c>
      <c r="D1368" s="695"/>
      <c r="E1368" s="696"/>
      <c r="F1368" s="696"/>
      <c r="G1368" s="696"/>
      <c r="H1368" s="696"/>
      <c r="I1368" s="1050" t="str">
        <f t="shared" si="317"/>
        <v/>
      </c>
      <c r="J1368" s="696"/>
      <c r="K1368" s="697"/>
      <c r="L1368" s="696"/>
      <c r="M1368" s="198" t="str">
        <f t="shared" si="318"/>
        <v/>
      </c>
      <c r="N1368" s="369" t="str">
        <f t="shared" si="319"/>
        <v/>
      </c>
      <c r="O1368" s="183" t="str">
        <f t="shared" si="320"/>
        <v/>
      </c>
      <c r="P1368" s="199" t="str">
        <f t="shared" si="321"/>
        <v/>
      </c>
      <c r="Q1368" s="199" t="str">
        <f>IF(B1368="","",IFERROR(IF('עלויות כח אדם (6)'!J1368&gt;=VLOOKUP(I1368,'סיווג התפקידים והעלויות'!$B$23:$C$32,2,0),"תקין","לא תקין"),""))</f>
        <v/>
      </c>
      <c r="R1368" s="199" t="str">
        <f t="shared" si="322"/>
        <v/>
      </c>
      <c r="S1368" s="199" t="str">
        <f t="shared" si="323"/>
        <v/>
      </c>
      <c r="T1368" s="199" t="str">
        <f t="shared" si="331"/>
        <v/>
      </c>
      <c r="U1368" s="199" t="str">
        <f t="shared" si="324"/>
        <v/>
      </c>
      <c r="V1368" s="989"/>
      <c r="X1368" s="374" t="str">
        <f t="shared" si="325"/>
        <v/>
      </c>
      <c r="Y1368" s="375" t="str">
        <f t="shared" si="326"/>
        <v/>
      </c>
      <c r="Z1368" s="374" t="str">
        <f t="shared" si="327"/>
        <v/>
      </c>
      <c r="AA1368" s="374" t="b">
        <f t="shared" si="328"/>
        <v>1</v>
      </c>
      <c r="AB1368" s="374">
        <f>COUNTIFS(B:B,B1368,H:H,'סיווג התפקידים והעלויות'!$C$2)</f>
        <v>0</v>
      </c>
      <c r="AC1368" s="374">
        <f>COUNTIFS(B:B,B1368,H:H,'סיווג התפקידים והעלויות'!$D$2)</f>
        <v>0</v>
      </c>
      <c r="AD1368" s="374" t="str">
        <f>IF(OR(AND(H1368='סיווג התפקידים והעלויות'!$A$2,I1368='סיווג התפקידים והעלויות'!$A$3),'עלויות כח אדם (6)'!H1368='סיווג התפקידים והעלויות'!$C$2,'עלויות כח אדם (6)'!H1368='סיווג התפקידים והעלויות'!$D$2),IF('עלויות כח אדם (6)'!J1368&lt;75,"לא תקין","תקין"),"")</f>
        <v/>
      </c>
      <c r="AE1368" s="374" t="str">
        <f t="shared" si="329"/>
        <v/>
      </c>
      <c r="AF1368" s="532" t="str">
        <f t="shared" si="330"/>
        <v/>
      </c>
    </row>
    <row r="1369" spans="2:32" x14ac:dyDescent="0.25">
      <c r="B1369" s="695"/>
      <c r="C1369" s="197" t="str">
        <f>IF(B1369&lt;&gt;"",IFERROR(VLOOKUP(B:B,'מצבת והרשמה (2)'!$C$20:$N$520,2,0)," ")," ")</f>
        <v xml:space="preserve"> </v>
      </c>
      <c r="D1369" s="695"/>
      <c r="E1369" s="696"/>
      <c r="F1369" s="696"/>
      <c r="G1369" s="696"/>
      <c r="H1369" s="696"/>
      <c r="I1369" s="1050" t="str">
        <f t="shared" si="317"/>
        <v/>
      </c>
      <c r="J1369" s="696"/>
      <c r="K1369" s="697"/>
      <c r="L1369" s="696"/>
      <c r="M1369" s="198" t="str">
        <f t="shared" si="318"/>
        <v/>
      </c>
      <c r="N1369" s="369" t="str">
        <f t="shared" si="319"/>
        <v/>
      </c>
      <c r="O1369" s="183" t="str">
        <f t="shared" si="320"/>
        <v/>
      </c>
      <c r="P1369" s="199" t="str">
        <f t="shared" si="321"/>
        <v/>
      </c>
      <c r="Q1369" s="199" t="str">
        <f>IF(B1369="","",IFERROR(IF('עלויות כח אדם (6)'!J1369&gt;=VLOOKUP(I1369,'סיווג התפקידים והעלויות'!$B$23:$C$32,2,0),"תקין","לא תקין"),""))</f>
        <v/>
      </c>
      <c r="R1369" s="199" t="str">
        <f t="shared" si="322"/>
        <v/>
      </c>
      <c r="S1369" s="199" t="str">
        <f t="shared" si="323"/>
        <v/>
      </c>
      <c r="T1369" s="199" t="str">
        <f t="shared" si="331"/>
        <v/>
      </c>
      <c r="U1369" s="199" t="str">
        <f t="shared" si="324"/>
        <v/>
      </c>
      <c r="V1369" s="989"/>
      <c r="X1369" s="374" t="str">
        <f t="shared" si="325"/>
        <v/>
      </c>
      <c r="Y1369" s="375" t="str">
        <f t="shared" si="326"/>
        <v/>
      </c>
      <c r="Z1369" s="374" t="str">
        <f t="shared" si="327"/>
        <v/>
      </c>
      <c r="AA1369" s="374" t="b">
        <f t="shared" si="328"/>
        <v>1</v>
      </c>
      <c r="AB1369" s="374">
        <f>COUNTIFS(B:B,B1369,H:H,'סיווג התפקידים והעלויות'!$C$2)</f>
        <v>0</v>
      </c>
      <c r="AC1369" s="374">
        <f>COUNTIFS(B:B,B1369,H:H,'סיווג התפקידים והעלויות'!$D$2)</f>
        <v>0</v>
      </c>
      <c r="AD1369" s="374" t="str">
        <f>IF(OR(AND(H1369='סיווג התפקידים והעלויות'!$A$2,I1369='סיווג התפקידים והעלויות'!$A$3),'עלויות כח אדם (6)'!H1369='סיווג התפקידים והעלויות'!$C$2,'עלויות כח אדם (6)'!H1369='סיווג התפקידים והעלויות'!$D$2),IF('עלויות כח אדם (6)'!J1369&lt;75,"לא תקין","תקין"),"")</f>
        <v/>
      </c>
      <c r="AE1369" s="374" t="str">
        <f t="shared" si="329"/>
        <v/>
      </c>
      <c r="AF1369" s="532" t="str">
        <f t="shared" si="330"/>
        <v/>
      </c>
    </row>
    <row r="1370" spans="2:32" x14ac:dyDescent="0.25">
      <c r="B1370" s="695"/>
      <c r="C1370" s="197" t="str">
        <f>IF(B1370&lt;&gt;"",IFERROR(VLOOKUP(B:B,'מצבת והרשמה (2)'!$C$20:$N$520,2,0)," ")," ")</f>
        <v xml:space="preserve"> </v>
      </c>
      <c r="D1370" s="695"/>
      <c r="E1370" s="696"/>
      <c r="F1370" s="696"/>
      <c r="G1370" s="696"/>
      <c r="H1370" s="696"/>
      <c r="I1370" s="1050" t="str">
        <f t="shared" si="317"/>
        <v/>
      </c>
      <c r="J1370" s="696"/>
      <c r="K1370" s="697"/>
      <c r="L1370" s="696"/>
      <c r="M1370" s="198" t="str">
        <f t="shared" si="318"/>
        <v/>
      </c>
      <c r="N1370" s="369" t="str">
        <f t="shared" si="319"/>
        <v/>
      </c>
      <c r="O1370" s="183" t="str">
        <f t="shared" si="320"/>
        <v/>
      </c>
      <c r="P1370" s="199" t="str">
        <f t="shared" si="321"/>
        <v/>
      </c>
      <c r="Q1370" s="199" t="str">
        <f>IF(B1370="","",IFERROR(IF('עלויות כח אדם (6)'!J1370&gt;=VLOOKUP(I1370,'סיווג התפקידים והעלויות'!$B$23:$C$32,2,0),"תקין","לא תקין"),""))</f>
        <v/>
      </c>
      <c r="R1370" s="199" t="str">
        <f t="shared" si="322"/>
        <v/>
      </c>
      <c r="S1370" s="199" t="str">
        <f t="shared" si="323"/>
        <v/>
      </c>
      <c r="T1370" s="199" t="str">
        <f t="shared" si="331"/>
        <v/>
      </c>
      <c r="U1370" s="199" t="str">
        <f t="shared" si="324"/>
        <v/>
      </c>
      <c r="V1370" s="989"/>
      <c r="X1370" s="374" t="str">
        <f t="shared" si="325"/>
        <v/>
      </c>
      <c r="Y1370" s="375" t="str">
        <f t="shared" si="326"/>
        <v/>
      </c>
      <c r="Z1370" s="374" t="str">
        <f t="shared" si="327"/>
        <v/>
      </c>
      <c r="AA1370" s="374" t="b">
        <f t="shared" si="328"/>
        <v>1</v>
      </c>
      <c r="AB1370" s="374">
        <f>COUNTIFS(B:B,B1370,H:H,'סיווג התפקידים והעלויות'!$C$2)</f>
        <v>0</v>
      </c>
      <c r="AC1370" s="374">
        <f>COUNTIFS(B:B,B1370,H:H,'סיווג התפקידים והעלויות'!$D$2)</f>
        <v>0</v>
      </c>
      <c r="AD1370" s="374" t="str">
        <f>IF(OR(AND(H1370='סיווג התפקידים והעלויות'!$A$2,I1370='סיווג התפקידים והעלויות'!$A$3),'עלויות כח אדם (6)'!H1370='סיווג התפקידים והעלויות'!$C$2,'עלויות כח אדם (6)'!H1370='סיווג התפקידים והעלויות'!$D$2),IF('עלויות כח אדם (6)'!J1370&lt;75,"לא תקין","תקין"),"")</f>
        <v/>
      </c>
      <c r="AE1370" s="374" t="str">
        <f t="shared" si="329"/>
        <v/>
      </c>
      <c r="AF1370" s="532" t="str">
        <f t="shared" si="330"/>
        <v/>
      </c>
    </row>
    <row r="1371" spans="2:32" x14ac:dyDescent="0.25">
      <c r="B1371" s="695"/>
      <c r="C1371" s="197" t="str">
        <f>IF(B1371&lt;&gt;"",IFERROR(VLOOKUP(B:B,'מצבת והרשמה (2)'!$C$20:$N$520,2,0)," ")," ")</f>
        <v xml:space="preserve"> </v>
      </c>
      <c r="D1371" s="695"/>
      <c r="E1371" s="696"/>
      <c r="F1371" s="696"/>
      <c r="G1371" s="696"/>
      <c r="H1371" s="696"/>
      <c r="I1371" s="1050" t="str">
        <f t="shared" si="317"/>
        <v/>
      </c>
      <c r="J1371" s="696"/>
      <c r="K1371" s="697"/>
      <c r="L1371" s="696"/>
      <c r="M1371" s="198" t="str">
        <f t="shared" si="318"/>
        <v/>
      </c>
      <c r="N1371" s="369" t="str">
        <f t="shared" si="319"/>
        <v/>
      </c>
      <c r="O1371" s="183" t="str">
        <f t="shared" si="320"/>
        <v/>
      </c>
      <c r="P1371" s="199" t="str">
        <f t="shared" si="321"/>
        <v/>
      </c>
      <c r="Q1371" s="199" t="str">
        <f>IF(B1371="","",IFERROR(IF('עלויות כח אדם (6)'!J1371&gt;=VLOOKUP(I1371,'סיווג התפקידים והעלויות'!$B$23:$C$32,2,0),"תקין","לא תקין"),""))</f>
        <v/>
      </c>
      <c r="R1371" s="199" t="str">
        <f t="shared" si="322"/>
        <v/>
      </c>
      <c r="S1371" s="199" t="str">
        <f t="shared" si="323"/>
        <v/>
      </c>
      <c r="T1371" s="199" t="str">
        <f t="shared" si="331"/>
        <v/>
      </c>
      <c r="U1371" s="199" t="str">
        <f t="shared" si="324"/>
        <v/>
      </c>
      <c r="V1371" s="989"/>
      <c r="X1371" s="374" t="str">
        <f t="shared" si="325"/>
        <v/>
      </c>
      <c r="Y1371" s="375" t="str">
        <f t="shared" si="326"/>
        <v/>
      </c>
      <c r="Z1371" s="374" t="str">
        <f t="shared" si="327"/>
        <v/>
      </c>
      <c r="AA1371" s="374" t="b">
        <f t="shared" si="328"/>
        <v>1</v>
      </c>
      <c r="AB1371" s="374">
        <f>COUNTIFS(B:B,B1371,H:H,'סיווג התפקידים והעלויות'!$C$2)</f>
        <v>0</v>
      </c>
      <c r="AC1371" s="374">
        <f>COUNTIFS(B:B,B1371,H:H,'סיווג התפקידים והעלויות'!$D$2)</f>
        <v>0</v>
      </c>
      <c r="AD1371" s="374" t="str">
        <f>IF(OR(AND(H1371='סיווג התפקידים והעלויות'!$A$2,I1371='סיווג התפקידים והעלויות'!$A$3),'עלויות כח אדם (6)'!H1371='סיווג התפקידים והעלויות'!$C$2,'עלויות כח אדם (6)'!H1371='סיווג התפקידים והעלויות'!$D$2),IF('עלויות כח אדם (6)'!J1371&lt;75,"לא תקין","תקין"),"")</f>
        <v/>
      </c>
      <c r="AE1371" s="374" t="str">
        <f t="shared" si="329"/>
        <v/>
      </c>
      <c r="AF1371" s="532" t="str">
        <f t="shared" si="330"/>
        <v/>
      </c>
    </row>
    <row r="1372" spans="2:32" x14ac:dyDescent="0.25">
      <c r="B1372" s="695"/>
      <c r="C1372" s="197" t="str">
        <f>IF(B1372&lt;&gt;"",IFERROR(VLOOKUP(B:B,'מצבת והרשמה (2)'!$C$20:$N$520,2,0)," ")," ")</f>
        <v xml:space="preserve"> </v>
      </c>
      <c r="D1372" s="695"/>
      <c r="E1372" s="696"/>
      <c r="F1372" s="696"/>
      <c r="G1372" s="696"/>
      <c r="H1372" s="696"/>
      <c r="I1372" s="1050" t="str">
        <f t="shared" si="317"/>
        <v/>
      </c>
      <c r="J1372" s="696"/>
      <c r="K1372" s="697"/>
      <c r="L1372" s="696"/>
      <c r="M1372" s="198" t="str">
        <f t="shared" si="318"/>
        <v/>
      </c>
      <c r="N1372" s="369" t="str">
        <f t="shared" si="319"/>
        <v/>
      </c>
      <c r="O1372" s="183" t="str">
        <f t="shared" si="320"/>
        <v/>
      </c>
      <c r="P1372" s="199" t="str">
        <f t="shared" si="321"/>
        <v/>
      </c>
      <c r="Q1372" s="199" t="str">
        <f>IF(B1372="","",IFERROR(IF('עלויות כח אדם (6)'!J1372&gt;=VLOOKUP(I1372,'סיווג התפקידים והעלויות'!$B$23:$C$32,2,0),"תקין","לא תקין"),""))</f>
        <v/>
      </c>
      <c r="R1372" s="199" t="str">
        <f t="shared" si="322"/>
        <v/>
      </c>
      <c r="S1372" s="199" t="str">
        <f t="shared" si="323"/>
        <v/>
      </c>
      <c r="T1372" s="199" t="str">
        <f t="shared" si="331"/>
        <v/>
      </c>
      <c r="U1372" s="199" t="str">
        <f t="shared" si="324"/>
        <v/>
      </c>
      <c r="V1372" s="989"/>
      <c r="X1372" s="374" t="str">
        <f t="shared" si="325"/>
        <v/>
      </c>
      <c r="Y1372" s="375" t="str">
        <f t="shared" si="326"/>
        <v/>
      </c>
      <c r="Z1372" s="374" t="str">
        <f t="shared" si="327"/>
        <v/>
      </c>
      <c r="AA1372" s="374" t="b">
        <f t="shared" si="328"/>
        <v>1</v>
      </c>
      <c r="AB1372" s="374">
        <f>COUNTIFS(B:B,B1372,H:H,'סיווג התפקידים והעלויות'!$C$2)</f>
        <v>0</v>
      </c>
      <c r="AC1372" s="374">
        <f>COUNTIFS(B:B,B1372,H:H,'סיווג התפקידים והעלויות'!$D$2)</f>
        <v>0</v>
      </c>
      <c r="AD1372" s="374" t="str">
        <f>IF(OR(AND(H1372='סיווג התפקידים והעלויות'!$A$2,I1372='סיווג התפקידים והעלויות'!$A$3),'עלויות כח אדם (6)'!H1372='סיווג התפקידים והעלויות'!$C$2,'עלויות כח אדם (6)'!H1372='סיווג התפקידים והעלויות'!$D$2),IF('עלויות כח אדם (6)'!J1372&lt;75,"לא תקין","תקין"),"")</f>
        <v/>
      </c>
      <c r="AE1372" s="374" t="str">
        <f t="shared" si="329"/>
        <v/>
      </c>
      <c r="AF1372" s="532" t="str">
        <f t="shared" si="330"/>
        <v/>
      </c>
    </row>
    <row r="1373" spans="2:32" x14ac:dyDescent="0.25">
      <c r="B1373" s="695"/>
      <c r="C1373" s="197" t="str">
        <f>IF(B1373&lt;&gt;"",IFERROR(VLOOKUP(B:B,'מצבת והרשמה (2)'!$C$20:$N$520,2,0)," ")," ")</f>
        <v xml:space="preserve"> </v>
      </c>
      <c r="D1373" s="695"/>
      <c r="E1373" s="696"/>
      <c r="F1373" s="696"/>
      <c r="G1373" s="696"/>
      <c r="H1373" s="696"/>
      <c r="I1373" s="1050" t="str">
        <f t="shared" si="317"/>
        <v/>
      </c>
      <c r="J1373" s="696"/>
      <c r="K1373" s="697"/>
      <c r="L1373" s="696"/>
      <c r="M1373" s="198" t="str">
        <f t="shared" si="318"/>
        <v/>
      </c>
      <c r="N1373" s="369" t="str">
        <f t="shared" si="319"/>
        <v/>
      </c>
      <c r="O1373" s="183" t="str">
        <f t="shared" si="320"/>
        <v/>
      </c>
      <c r="P1373" s="199" t="str">
        <f t="shared" si="321"/>
        <v/>
      </c>
      <c r="Q1373" s="199" t="str">
        <f>IF(B1373="","",IFERROR(IF('עלויות כח אדם (6)'!J1373&gt;=VLOOKUP(I1373,'סיווג התפקידים והעלויות'!$B$23:$C$32,2,0),"תקין","לא תקין"),""))</f>
        <v/>
      </c>
      <c r="R1373" s="199" t="str">
        <f t="shared" si="322"/>
        <v/>
      </c>
      <c r="S1373" s="199" t="str">
        <f t="shared" si="323"/>
        <v/>
      </c>
      <c r="T1373" s="199" t="str">
        <f t="shared" si="331"/>
        <v/>
      </c>
      <c r="U1373" s="199" t="str">
        <f t="shared" si="324"/>
        <v/>
      </c>
      <c r="V1373" s="989"/>
      <c r="X1373" s="374" t="str">
        <f t="shared" si="325"/>
        <v/>
      </c>
      <c r="Y1373" s="375" t="str">
        <f t="shared" si="326"/>
        <v/>
      </c>
      <c r="Z1373" s="374" t="str">
        <f t="shared" si="327"/>
        <v/>
      </c>
      <c r="AA1373" s="374" t="b">
        <f t="shared" si="328"/>
        <v>1</v>
      </c>
      <c r="AB1373" s="374">
        <f>COUNTIFS(B:B,B1373,H:H,'סיווג התפקידים והעלויות'!$C$2)</f>
        <v>0</v>
      </c>
      <c r="AC1373" s="374">
        <f>COUNTIFS(B:B,B1373,H:H,'סיווג התפקידים והעלויות'!$D$2)</f>
        <v>0</v>
      </c>
      <c r="AD1373" s="374" t="str">
        <f>IF(OR(AND(H1373='סיווג התפקידים והעלויות'!$A$2,I1373='סיווג התפקידים והעלויות'!$A$3),'עלויות כח אדם (6)'!H1373='סיווג התפקידים והעלויות'!$C$2,'עלויות כח אדם (6)'!H1373='סיווג התפקידים והעלויות'!$D$2),IF('עלויות כח אדם (6)'!J1373&lt;75,"לא תקין","תקין"),"")</f>
        <v/>
      </c>
      <c r="AE1373" s="374" t="str">
        <f t="shared" si="329"/>
        <v/>
      </c>
      <c r="AF1373" s="532" t="str">
        <f t="shared" si="330"/>
        <v/>
      </c>
    </row>
    <row r="1374" spans="2:32" x14ac:dyDescent="0.25">
      <c r="B1374" s="695"/>
      <c r="C1374" s="197" t="str">
        <f>IF(B1374&lt;&gt;"",IFERROR(VLOOKUP(B:B,'מצבת והרשמה (2)'!$C$20:$N$520,2,0)," ")," ")</f>
        <v xml:space="preserve"> </v>
      </c>
      <c r="D1374" s="695"/>
      <c r="E1374" s="696"/>
      <c r="F1374" s="696"/>
      <c r="G1374" s="696"/>
      <c r="H1374" s="696"/>
      <c r="I1374" s="1050" t="str">
        <f t="shared" si="317"/>
        <v/>
      </c>
      <c r="J1374" s="696"/>
      <c r="K1374" s="697"/>
      <c r="L1374" s="696"/>
      <c r="M1374" s="198" t="str">
        <f t="shared" si="318"/>
        <v/>
      </c>
      <c r="N1374" s="369" t="str">
        <f t="shared" si="319"/>
        <v/>
      </c>
      <c r="O1374" s="183" t="str">
        <f t="shared" si="320"/>
        <v/>
      </c>
      <c r="P1374" s="199" t="str">
        <f t="shared" si="321"/>
        <v/>
      </c>
      <c r="Q1374" s="199" t="str">
        <f>IF(B1374="","",IFERROR(IF('עלויות כח אדם (6)'!J1374&gt;=VLOOKUP(I1374,'סיווג התפקידים והעלויות'!$B$23:$C$32,2,0),"תקין","לא תקין"),""))</f>
        <v/>
      </c>
      <c r="R1374" s="199" t="str">
        <f t="shared" si="322"/>
        <v/>
      </c>
      <c r="S1374" s="199" t="str">
        <f t="shared" si="323"/>
        <v/>
      </c>
      <c r="T1374" s="199" t="str">
        <f t="shared" si="331"/>
        <v/>
      </c>
      <c r="U1374" s="199" t="str">
        <f t="shared" si="324"/>
        <v/>
      </c>
      <c r="V1374" s="989"/>
      <c r="X1374" s="374" t="str">
        <f t="shared" si="325"/>
        <v/>
      </c>
      <c r="Y1374" s="375" t="str">
        <f t="shared" si="326"/>
        <v/>
      </c>
      <c r="Z1374" s="374" t="str">
        <f t="shared" si="327"/>
        <v/>
      </c>
      <c r="AA1374" s="374" t="b">
        <f t="shared" si="328"/>
        <v>1</v>
      </c>
      <c r="AB1374" s="374">
        <f>COUNTIFS(B:B,B1374,H:H,'סיווג התפקידים והעלויות'!$C$2)</f>
        <v>0</v>
      </c>
      <c r="AC1374" s="374">
        <f>COUNTIFS(B:B,B1374,H:H,'סיווג התפקידים והעלויות'!$D$2)</f>
        <v>0</v>
      </c>
      <c r="AD1374" s="374" t="str">
        <f>IF(OR(AND(H1374='סיווג התפקידים והעלויות'!$A$2,I1374='סיווג התפקידים והעלויות'!$A$3),'עלויות כח אדם (6)'!H1374='סיווג התפקידים והעלויות'!$C$2,'עלויות כח אדם (6)'!H1374='סיווג התפקידים והעלויות'!$D$2),IF('עלויות כח אדם (6)'!J1374&lt;75,"לא תקין","תקין"),"")</f>
        <v/>
      </c>
      <c r="AE1374" s="374" t="str">
        <f t="shared" si="329"/>
        <v/>
      </c>
      <c r="AF1374" s="532" t="str">
        <f t="shared" si="330"/>
        <v/>
      </c>
    </row>
    <row r="1375" spans="2:32" x14ac:dyDescent="0.25">
      <c r="B1375" s="695"/>
      <c r="C1375" s="197" t="str">
        <f>IF(B1375&lt;&gt;"",IFERROR(VLOOKUP(B:B,'מצבת והרשמה (2)'!$C$20:$N$520,2,0)," ")," ")</f>
        <v xml:space="preserve"> </v>
      </c>
      <c r="D1375" s="695"/>
      <c r="E1375" s="696"/>
      <c r="F1375" s="696"/>
      <c r="G1375" s="696"/>
      <c r="H1375" s="696"/>
      <c r="I1375" s="1050" t="str">
        <f t="shared" si="317"/>
        <v/>
      </c>
      <c r="J1375" s="696"/>
      <c r="K1375" s="697"/>
      <c r="L1375" s="696"/>
      <c r="M1375" s="198" t="str">
        <f t="shared" si="318"/>
        <v/>
      </c>
      <c r="N1375" s="369" t="str">
        <f t="shared" si="319"/>
        <v/>
      </c>
      <c r="O1375" s="183" t="str">
        <f t="shared" si="320"/>
        <v/>
      </c>
      <c r="P1375" s="199" t="str">
        <f t="shared" si="321"/>
        <v/>
      </c>
      <c r="Q1375" s="199" t="str">
        <f>IF(B1375="","",IFERROR(IF('עלויות כח אדם (6)'!J1375&gt;=VLOOKUP(I1375,'סיווג התפקידים והעלויות'!$B$23:$C$32,2,0),"תקין","לא תקין"),""))</f>
        <v/>
      </c>
      <c r="R1375" s="199" t="str">
        <f t="shared" si="322"/>
        <v/>
      </c>
      <c r="S1375" s="199" t="str">
        <f t="shared" si="323"/>
        <v/>
      </c>
      <c r="T1375" s="199" t="str">
        <f t="shared" si="331"/>
        <v/>
      </c>
      <c r="U1375" s="199" t="str">
        <f t="shared" si="324"/>
        <v/>
      </c>
      <c r="V1375" s="989"/>
      <c r="X1375" s="374" t="str">
        <f t="shared" si="325"/>
        <v/>
      </c>
      <c r="Y1375" s="375" t="str">
        <f t="shared" si="326"/>
        <v/>
      </c>
      <c r="Z1375" s="374" t="str">
        <f t="shared" si="327"/>
        <v/>
      </c>
      <c r="AA1375" s="374" t="b">
        <f t="shared" si="328"/>
        <v>1</v>
      </c>
      <c r="AB1375" s="374">
        <f>COUNTIFS(B:B,B1375,H:H,'סיווג התפקידים והעלויות'!$C$2)</f>
        <v>0</v>
      </c>
      <c r="AC1375" s="374">
        <f>COUNTIFS(B:B,B1375,H:H,'סיווג התפקידים והעלויות'!$D$2)</f>
        <v>0</v>
      </c>
      <c r="AD1375" s="374" t="str">
        <f>IF(OR(AND(H1375='סיווג התפקידים והעלויות'!$A$2,I1375='סיווג התפקידים והעלויות'!$A$3),'עלויות כח אדם (6)'!H1375='סיווג התפקידים והעלויות'!$C$2,'עלויות כח אדם (6)'!H1375='סיווג התפקידים והעלויות'!$D$2),IF('עלויות כח אדם (6)'!J1375&lt;75,"לא תקין","תקין"),"")</f>
        <v/>
      </c>
      <c r="AE1375" s="374" t="str">
        <f t="shared" si="329"/>
        <v/>
      </c>
      <c r="AF1375" s="532" t="str">
        <f t="shared" si="330"/>
        <v/>
      </c>
    </row>
    <row r="1376" spans="2:32" x14ac:dyDescent="0.25">
      <c r="B1376" s="695"/>
      <c r="C1376" s="197" t="str">
        <f>IF(B1376&lt;&gt;"",IFERROR(VLOOKUP(B:B,'מצבת והרשמה (2)'!$C$20:$N$520,2,0)," ")," ")</f>
        <v xml:space="preserve"> </v>
      </c>
      <c r="D1376" s="695"/>
      <c r="E1376" s="696"/>
      <c r="F1376" s="696"/>
      <c r="G1376" s="696"/>
      <c r="H1376" s="696"/>
      <c r="I1376" s="1050" t="str">
        <f t="shared" si="317"/>
        <v/>
      </c>
      <c r="J1376" s="696"/>
      <c r="K1376" s="697"/>
      <c r="L1376" s="696"/>
      <c r="M1376" s="198" t="str">
        <f t="shared" si="318"/>
        <v/>
      </c>
      <c r="N1376" s="369" t="str">
        <f t="shared" si="319"/>
        <v/>
      </c>
      <c r="O1376" s="183" t="str">
        <f t="shared" si="320"/>
        <v/>
      </c>
      <c r="P1376" s="199" t="str">
        <f t="shared" si="321"/>
        <v/>
      </c>
      <c r="Q1376" s="199" t="str">
        <f>IF(B1376="","",IFERROR(IF('עלויות כח אדם (6)'!J1376&gt;=VLOOKUP(I1376,'סיווג התפקידים והעלויות'!$B$23:$C$32,2,0),"תקין","לא תקין"),""))</f>
        <v/>
      </c>
      <c r="R1376" s="199" t="str">
        <f t="shared" si="322"/>
        <v/>
      </c>
      <c r="S1376" s="199" t="str">
        <f t="shared" si="323"/>
        <v/>
      </c>
      <c r="T1376" s="199" t="str">
        <f t="shared" si="331"/>
        <v/>
      </c>
      <c r="U1376" s="199" t="str">
        <f t="shared" si="324"/>
        <v/>
      </c>
      <c r="V1376" s="989"/>
      <c r="X1376" s="374" t="str">
        <f t="shared" si="325"/>
        <v/>
      </c>
      <c r="Y1376" s="375" t="str">
        <f t="shared" si="326"/>
        <v/>
      </c>
      <c r="Z1376" s="374" t="str">
        <f t="shared" si="327"/>
        <v/>
      </c>
      <c r="AA1376" s="374" t="b">
        <f t="shared" si="328"/>
        <v>1</v>
      </c>
      <c r="AB1376" s="374">
        <f>COUNTIFS(B:B,B1376,H:H,'סיווג התפקידים והעלויות'!$C$2)</f>
        <v>0</v>
      </c>
      <c r="AC1376" s="374">
        <f>COUNTIFS(B:B,B1376,H:H,'סיווג התפקידים והעלויות'!$D$2)</f>
        <v>0</v>
      </c>
      <c r="AD1376" s="374" t="str">
        <f>IF(OR(AND(H1376='סיווג התפקידים והעלויות'!$A$2,I1376='סיווג התפקידים והעלויות'!$A$3),'עלויות כח אדם (6)'!H1376='סיווג התפקידים והעלויות'!$C$2,'עלויות כח אדם (6)'!H1376='סיווג התפקידים והעלויות'!$D$2),IF('עלויות כח אדם (6)'!J1376&lt;75,"לא תקין","תקין"),"")</f>
        <v/>
      </c>
      <c r="AE1376" s="374" t="str">
        <f t="shared" si="329"/>
        <v/>
      </c>
      <c r="AF1376" s="532" t="str">
        <f t="shared" si="330"/>
        <v/>
      </c>
    </row>
    <row r="1377" spans="2:32" x14ac:dyDescent="0.25">
      <c r="B1377" s="695"/>
      <c r="C1377" s="197" t="str">
        <f>IF(B1377&lt;&gt;"",IFERROR(VLOOKUP(B:B,'מצבת והרשמה (2)'!$C$20:$N$520,2,0)," ")," ")</f>
        <v xml:space="preserve"> </v>
      </c>
      <c r="D1377" s="695"/>
      <c r="E1377" s="696"/>
      <c r="F1377" s="696"/>
      <c r="G1377" s="696"/>
      <c r="H1377" s="696"/>
      <c r="I1377" s="1050" t="str">
        <f t="shared" si="317"/>
        <v/>
      </c>
      <c r="J1377" s="696"/>
      <c r="K1377" s="697"/>
      <c r="L1377" s="696"/>
      <c r="M1377" s="198" t="str">
        <f t="shared" si="318"/>
        <v/>
      </c>
      <c r="N1377" s="369" t="str">
        <f t="shared" si="319"/>
        <v/>
      </c>
      <c r="O1377" s="183" t="str">
        <f t="shared" si="320"/>
        <v/>
      </c>
      <c r="P1377" s="199" t="str">
        <f t="shared" si="321"/>
        <v/>
      </c>
      <c r="Q1377" s="199" t="str">
        <f>IF(B1377="","",IFERROR(IF('עלויות כח אדם (6)'!J1377&gt;=VLOOKUP(I1377,'סיווג התפקידים והעלויות'!$B$23:$C$32,2,0),"תקין","לא תקין"),""))</f>
        <v/>
      </c>
      <c r="R1377" s="199" t="str">
        <f t="shared" si="322"/>
        <v/>
      </c>
      <c r="S1377" s="199" t="str">
        <f t="shared" si="323"/>
        <v/>
      </c>
      <c r="T1377" s="199" t="str">
        <f t="shared" si="331"/>
        <v/>
      </c>
      <c r="U1377" s="199" t="str">
        <f t="shared" si="324"/>
        <v/>
      </c>
      <c r="V1377" s="989"/>
      <c r="X1377" s="374" t="str">
        <f t="shared" si="325"/>
        <v/>
      </c>
      <c r="Y1377" s="375" t="str">
        <f t="shared" si="326"/>
        <v/>
      </c>
      <c r="Z1377" s="374" t="str">
        <f t="shared" si="327"/>
        <v/>
      </c>
      <c r="AA1377" s="374" t="b">
        <f t="shared" si="328"/>
        <v>1</v>
      </c>
      <c r="AB1377" s="374">
        <f>COUNTIFS(B:B,B1377,H:H,'סיווג התפקידים והעלויות'!$C$2)</f>
        <v>0</v>
      </c>
      <c r="AC1377" s="374">
        <f>COUNTIFS(B:B,B1377,H:H,'סיווג התפקידים והעלויות'!$D$2)</f>
        <v>0</v>
      </c>
      <c r="AD1377" s="374" t="str">
        <f>IF(OR(AND(H1377='סיווג התפקידים והעלויות'!$A$2,I1377='סיווג התפקידים והעלויות'!$A$3),'עלויות כח אדם (6)'!H1377='סיווג התפקידים והעלויות'!$C$2,'עלויות כח אדם (6)'!H1377='סיווג התפקידים והעלויות'!$D$2),IF('עלויות כח אדם (6)'!J1377&lt;75,"לא תקין","תקין"),"")</f>
        <v/>
      </c>
      <c r="AE1377" s="374" t="str">
        <f t="shared" si="329"/>
        <v/>
      </c>
      <c r="AF1377" s="532" t="str">
        <f t="shared" si="330"/>
        <v/>
      </c>
    </row>
    <row r="1378" spans="2:32" x14ac:dyDescent="0.25">
      <c r="B1378" s="695"/>
      <c r="C1378" s="197" t="str">
        <f>IF(B1378&lt;&gt;"",IFERROR(VLOOKUP(B:B,'מצבת והרשמה (2)'!$C$20:$N$520,2,0)," ")," ")</f>
        <v xml:space="preserve"> </v>
      </c>
      <c r="D1378" s="695"/>
      <c r="E1378" s="696"/>
      <c r="F1378" s="696"/>
      <c r="G1378" s="696"/>
      <c r="H1378" s="696"/>
      <c r="I1378" s="1050" t="str">
        <f t="shared" si="317"/>
        <v/>
      </c>
      <c r="J1378" s="696"/>
      <c r="K1378" s="697"/>
      <c r="L1378" s="696"/>
      <c r="M1378" s="198" t="str">
        <f t="shared" si="318"/>
        <v/>
      </c>
      <c r="N1378" s="369" t="str">
        <f t="shared" si="319"/>
        <v/>
      </c>
      <c r="O1378" s="183" t="str">
        <f t="shared" si="320"/>
        <v/>
      </c>
      <c r="P1378" s="199" t="str">
        <f t="shared" si="321"/>
        <v/>
      </c>
      <c r="Q1378" s="199" t="str">
        <f>IF(B1378="","",IFERROR(IF('עלויות כח אדם (6)'!J1378&gt;=VLOOKUP(I1378,'סיווג התפקידים והעלויות'!$B$23:$C$32,2,0),"תקין","לא תקין"),""))</f>
        <v/>
      </c>
      <c r="R1378" s="199" t="str">
        <f t="shared" si="322"/>
        <v/>
      </c>
      <c r="S1378" s="199" t="str">
        <f t="shared" si="323"/>
        <v/>
      </c>
      <c r="T1378" s="199" t="str">
        <f t="shared" si="331"/>
        <v/>
      </c>
      <c r="U1378" s="199" t="str">
        <f t="shared" si="324"/>
        <v/>
      </c>
      <c r="V1378" s="989"/>
      <c r="X1378" s="374" t="str">
        <f t="shared" si="325"/>
        <v/>
      </c>
      <c r="Y1378" s="375" t="str">
        <f t="shared" si="326"/>
        <v/>
      </c>
      <c r="Z1378" s="374" t="str">
        <f t="shared" si="327"/>
        <v/>
      </c>
      <c r="AA1378" s="374" t="b">
        <f t="shared" si="328"/>
        <v>1</v>
      </c>
      <c r="AB1378" s="374">
        <f>COUNTIFS(B:B,B1378,H:H,'סיווג התפקידים והעלויות'!$C$2)</f>
        <v>0</v>
      </c>
      <c r="AC1378" s="374">
        <f>COUNTIFS(B:B,B1378,H:H,'סיווג התפקידים והעלויות'!$D$2)</f>
        <v>0</v>
      </c>
      <c r="AD1378" s="374" t="str">
        <f>IF(OR(AND(H1378='סיווג התפקידים והעלויות'!$A$2,I1378='סיווג התפקידים והעלויות'!$A$3),'עלויות כח אדם (6)'!H1378='סיווג התפקידים והעלויות'!$C$2,'עלויות כח אדם (6)'!H1378='סיווג התפקידים והעלויות'!$D$2),IF('עלויות כח אדם (6)'!J1378&lt;75,"לא תקין","תקין"),"")</f>
        <v/>
      </c>
      <c r="AE1378" s="374" t="str">
        <f t="shared" si="329"/>
        <v/>
      </c>
      <c r="AF1378" s="532" t="str">
        <f t="shared" si="330"/>
        <v/>
      </c>
    </row>
    <row r="1379" spans="2:32" x14ac:dyDescent="0.25">
      <c r="B1379" s="695"/>
      <c r="C1379" s="197" t="str">
        <f>IF(B1379&lt;&gt;"",IFERROR(VLOOKUP(B:B,'מצבת והרשמה (2)'!$C$20:$N$520,2,0)," ")," ")</f>
        <v xml:space="preserve"> </v>
      </c>
      <c r="D1379" s="695"/>
      <c r="E1379" s="696"/>
      <c r="F1379" s="696"/>
      <c r="G1379" s="696"/>
      <c r="H1379" s="696"/>
      <c r="I1379" s="1050" t="str">
        <f t="shared" si="317"/>
        <v/>
      </c>
      <c r="J1379" s="696"/>
      <c r="K1379" s="697"/>
      <c r="L1379" s="696"/>
      <c r="M1379" s="198" t="str">
        <f t="shared" si="318"/>
        <v/>
      </c>
      <c r="N1379" s="369" t="str">
        <f t="shared" si="319"/>
        <v/>
      </c>
      <c r="O1379" s="183" t="str">
        <f t="shared" si="320"/>
        <v/>
      </c>
      <c r="P1379" s="199" t="str">
        <f t="shared" si="321"/>
        <v/>
      </c>
      <c r="Q1379" s="199" t="str">
        <f>IF(B1379="","",IFERROR(IF('עלויות כח אדם (6)'!J1379&gt;=VLOOKUP(I1379,'סיווג התפקידים והעלויות'!$B$23:$C$32,2,0),"תקין","לא תקין"),""))</f>
        <v/>
      </c>
      <c r="R1379" s="199" t="str">
        <f t="shared" si="322"/>
        <v/>
      </c>
      <c r="S1379" s="199" t="str">
        <f t="shared" si="323"/>
        <v/>
      </c>
      <c r="T1379" s="199" t="str">
        <f t="shared" si="331"/>
        <v/>
      </c>
      <c r="U1379" s="199" t="str">
        <f t="shared" si="324"/>
        <v/>
      </c>
      <c r="V1379" s="989"/>
      <c r="X1379" s="374" t="str">
        <f t="shared" si="325"/>
        <v/>
      </c>
      <c r="Y1379" s="375" t="str">
        <f t="shared" si="326"/>
        <v/>
      </c>
      <c r="Z1379" s="374" t="str">
        <f t="shared" si="327"/>
        <v/>
      </c>
      <c r="AA1379" s="374" t="b">
        <f t="shared" si="328"/>
        <v>1</v>
      </c>
      <c r="AB1379" s="374">
        <f>COUNTIFS(B:B,B1379,H:H,'סיווג התפקידים והעלויות'!$C$2)</f>
        <v>0</v>
      </c>
      <c r="AC1379" s="374">
        <f>COUNTIFS(B:B,B1379,H:H,'סיווג התפקידים והעלויות'!$D$2)</f>
        <v>0</v>
      </c>
      <c r="AD1379" s="374" t="str">
        <f>IF(OR(AND(H1379='סיווג התפקידים והעלויות'!$A$2,I1379='סיווג התפקידים והעלויות'!$A$3),'עלויות כח אדם (6)'!H1379='סיווג התפקידים והעלויות'!$C$2,'עלויות כח אדם (6)'!H1379='סיווג התפקידים והעלויות'!$D$2),IF('עלויות כח אדם (6)'!J1379&lt;75,"לא תקין","תקין"),"")</f>
        <v/>
      </c>
      <c r="AE1379" s="374" t="str">
        <f t="shared" si="329"/>
        <v/>
      </c>
      <c r="AF1379" s="532" t="str">
        <f t="shared" si="330"/>
        <v/>
      </c>
    </row>
    <row r="1380" spans="2:32" x14ac:dyDescent="0.25">
      <c r="B1380" s="695"/>
      <c r="C1380" s="197" t="str">
        <f>IF(B1380&lt;&gt;"",IFERROR(VLOOKUP(B:B,'מצבת והרשמה (2)'!$C$20:$N$520,2,0)," ")," ")</f>
        <v xml:space="preserve"> </v>
      </c>
      <c r="D1380" s="695"/>
      <c r="E1380" s="696"/>
      <c r="F1380" s="696"/>
      <c r="G1380" s="696"/>
      <c r="H1380" s="696"/>
      <c r="I1380" s="1050" t="str">
        <f t="shared" si="317"/>
        <v/>
      </c>
      <c r="J1380" s="696"/>
      <c r="K1380" s="697"/>
      <c r="L1380" s="696"/>
      <c r="M1380" s="198" t="str">
        <f t="shared" si="318"/>
        <v/>
      </c>
      <c r="N1380" s="369" t="str">
        <f t="shared" si="319"/>
        <v/>
      </c>
      <c r="O1380" s="183" t="str">
        <f t="shared" si="320"/>
        <v/>
      </c>
      <c r="P1380" s="199" t="str">
        <f t="shared" si="321"/>
        <v/>
      </c>
      <c r="Q1380" s="199" t="str">
        <f>IF(B1380="","",IFERROR(IF('עלויות כח אדם (6)'!J1380&gt;=VLOOKUP(I1380,'סיווג התפקידים והעלויות'!$B$23:$C$32,2,0),"תקין","לא תקין"),""))</f>
        <v/>
      </c>
      <c r="R1380" s="199" t="str">
        <f t="shared" si="322"/>
        <v/>
      </c>
      <c r="S1380" s="199" t="str">
        <f t="shared" si="323"/>
        <v/>
      </c>
      <c r="T1380" s="199" t="str">
        <f t="shared" si="331"/>
        <v/>
      </c>
      <c r="U1380" s="199" t="str">
        <f t="shared" si="324"/>
        <v/>
      </c>
      <c r="V1380" s="989"/>
      <c r="X1380" s="374" t="str">
        <f t="shared" si="325"/>
        <v/>
      </c>
      <c r="Y1380" s="375" t="str">
        <f t="shared" si="326"/>
        <v/>
      </c>
      <c r="Z1380" s="374" t="str">
        <f t="shared" si="327"/>
        <v/>
      </c>
      <c r="AA1380" s="374" t="b">
        <f t="shared" si="328"/>
        <v>1</v>
      </c>
      <c r="AB1380" s="374">
        <f>COUNTIFS(B:B,B1380,H:H,'סיווג התפקידים והעלויות'!$C$2)</f>
        <v>0</v>
      </c>
      <c r="AC1380" s="374">
        <f>COUNTIFS(B:B,B1380,H:H,'סיווג התפקידים והעלויות'!$D$2)</f>
        <v>0</v>
      </c>
      <c r="AD1380" s="374" t="str">
        <f>IF(OR(AND(H1380='סיווג התפקידים והעלויות'!$A$2,I1380='סיווג התפקידים והעלויות'!$A$3),'עלויות כח אדם (6)'!H1380='סיווג התפקידים והעלויות'!$C$2,'עלויות כח אדם (6)'!H1380='סיווג התפקידים והעלויות'!$D$2),IF('עלויות כח אדם (6)'!J1380&lt;75,"לא תקין","תקין"),"")</f>
        <v/>
      </c>
      <c r="AE1380" s="374" t="str">
        <f t="shared" si="329"/>
        <v/>
      </c>
      <c r="AF1380" s="532" t="str">
        <f t="shared" si="330"/>
        <v/>
      </c>
    </row>
    <row r="1381" spans="2:32" x14ac:dyDescent="0.25">
      <c r="B1381" s="695"/>
      <c r="C1381" s="197" t="str">
        <f>IF(B1381&lt;&gt;"",IFERROR(VLOOKUP(B:B,'מצבת והרשמה (2)'!$C$20:$N$520,2,0)," ")," ")</f>
        <v xml:space="preserve"> </v>
      </c>
      <c r="D1381" s="695"/>
      <c r="E1381" s="696"/>
      <c r="F1381" s="696"/>
      <c r="G1381" s="696"/>
      <c r="H1381" s="696"/>
      <c r="I1381" s="1050" t="str">
        <f t="shared" si="317"/>
        <v/>
      </c>
      <c r="J1381" s="696"/>
      <c r="K1381" s="697"/>
      <c r="L1381" s="696"/>
      <c r="M1381" s="198" t="str">
        <f t="shared" si="318"/>
        <v/>
      </c>
      <c r="N1381" s="369" t="str">
        <f t="shared" si="319"/>
        <v/>
      </c>
      <c r="O1381" s="183" t="str">
        <f t="shared" si="320"/>
        <v/>
      </c>
      <c r="P1381" s="199" t="str">
        <f t="shared" si="321"/>
        <v/>
      </c>
      <c r="Q1381" s="199" t="str">
        <f>IF(B1381="","",IFERROR(IF('עלויות כח אדם (6)'!J1381&gt;=VLOOKUP(I1381,'סיווג התפקידים והעלויות'!$B$23:$C$32,2,0),"תקין","לא תקין"),""))</f>
        <v/>
      </c>
      <c r="R1381" s="199" t="str">
        <f t="shared" si="322"/>
        <v/>
      </c>
      <c r="S1381" s="199" t="str">
        <f t="shared" si="323"/>
        <v/>
      </c>
      <c r="T1381" s="199" t="str">
        <f t="shared" si="331"/>
        <v/>
      </c>
      <c r="U1381" s="199" t="str">
        <f t="shared" si="324"/>
        <v/>
      </c>
      <c r="V1381" s="989"/>
      <c r="X1381" s="374" t="str">
        <f t="shared" si="325"/>
        <v/>
      </c>
      <c r="Y1381" s="375" t="str">
        <f t="shared" si="326"/>
        <v/>
      </c>
      <c r="Z1381" s="374" t="str">
        <f t="shared" si="327"/>
        <v/>
      </c>
      <c r="AA1381" s="374" t="b">
        <f t="shared" si="328"/>
        <v>1</v>
      </c>
      <c r="AB1381" s="374">
        <f>COUNTIFS(B:B,B1381,H:H,'סיווג התפקידים והעלויות'!$C$2)</f>
        <v>0</v>
      </c>
      <c r="AC1381" s="374">
        <f>COUNTIFS(B:B,B1381,H:H,'סיווג התפקידים והעלויות'!$D$2)</f>
        <v>0</v>
      </c>
      <c r="AD1381" s="374" t="str">
        <f>IF(OR(AND(H1381='סיווג התפקידים והעלויות'!$A$2,I1381='סיווג התפקידים והעלויות'!$A$3),'עלויות כח אדם (6)'!H1381='סיווג התפקידים והעלויות'!$C$2,'עלויות כח אדם (6)'!H1381='סיווג התפקידים והעלויות'!$D$2),IF('עלויות כח אדם (6)'!J1381&lt;75,"לא תקין","תקין"),"")</f>
        <v/>
      </c>
      <c r="AE1381" s="374" t="str">
        <f t="shared" si="329"/>
        <v/>
      </c>
      <c r="AF1381" s="532" t="str">
        <f t="shared" si="330"/>
        <v/>
      </c>
    </row>
    <row r="1382" spans="2:32" x14ac:dyDescent="0.25">
      <c r="B1382" s="695"/>
      <c r="C1382" s="197" t="str">
        <f>IF(B1382&lt;&gt;"",IFERROR(VLOOKUP(B:B,'מצבת והרשמה (2)'!$C$20:$N$520,2,0)," ")," ")</f>
        <v xml:space="preserve"> </v>
      </c>
      <c r="D1382" s="695"/>
      <c r="E1382" s="696"/>
      <c r="F1382" s="696"/>
      <c r="G1382" s="696"/>
      <c r="H1382" s="696"/>
      <c r="I1382" s="1050" t="str">
        <f t="shared" si="317"/>
        <v/>
      </c>
      <c r="J1382" s="696"/>
      <c r="K1382" s="697"/>
      <c r="L1382" s="696"/>
      <c r="M1382" s="198" t="str">
        <f t="shared" si="318"/>
        <v/>
      </c>
      <c r="N1382" s="369" t="str">
        <f t="shared" si="319"/>
        <v/>
      </c>
      <c r="O1382" s="183" t="str">
        <f t="shared" si="320"/>
        <v/>
      </c>
      <c r="P1382" s="199" t="str">
        <f t="shared" si="321"/>
        <v/>
      </c>
      <c r="Q1382" s="199" t="str">
        <f>IF(B1382="","",IFERROR(IF('עלויות כח אדם (6)'!J1382&gt;=VLOOKUP(I1382,'סיווג התפקידים והעלויות'!$B$23:$C$32,2,0),"תקין","לא תקין"),""))</f>
        <v/>
      </c>
      <c r="R1382" s="199" t="str">
        <f t="shared" si="322"/>
        <v/>
      </c>
      <c r="S1382" s="199" t="str">
        <f t="shared" si="323"/>
        <v/>
      </c>
      <c r="T1382" s="199" t="str">
        <f t="shared" si="331"/>
        <v/>
      </c>
      <c r="U1382" s="199" t="str">
        <f t="shared" si="324"/>
        <v/>
      </c>
      <c r="V1382" s="989"/>
      <c r="X1382" s="374" t="str">
        <f t="shared" si="325"/>
        <v/>
      </c>
      <c r="Y1382" s="375" t="str">
        <f t="shared" si="326"/>
        <v/>
      </c>
      <c r="Z1382" s="374" t="str">
        <f t="shared" si="327"/>
        <v/>
      </c>
      <c r="AA1382" s="374" t="b">
        <f t="shared" si="328"/>
        <v>1</v>
      </c>
      <c r="AB1382" s="374">
        <f>COUNTIFS(B:B,B1382,H:H,'סיווג התפקידים והעלויות'!$C$2)</f>
        <v>0</v>
      </c>
      <c r="AC1382" s="374">
        <f>COUNTIFS(B:B,B1382,H:H,'סיווג התפקידים והעלויות'!$D$2)</f>
        <v>0</v>
      </c>
      <c r="AD1382" s="374" t="str">
        <f>IF(OR(AND(H1382='סיווג התפקידים והעלויות'!$A$2,I1382='סיווג התפקידים והעלויות'!$A$3),'עלויות כח אדם (6)'!H1382='סיווג התפקידים והעלויות'!$C$2,'עלויות כח אדם (6)'!H1382='סיווג התפקידים והעלויות'!$D$2),IF('עלויות כח אדם (6)'!J1382&lt;75,"לא תקין","תקין"),"")</f>
        <v/>
      </c>
      <c r="AE1382" s="374" t="str">
        <f t="shared" si="329"/>
        <v/>
      </c>
      <c r="AF1382" s="532" t="str">
        <f t="shared" si="330"/>
        <v/>
      </c>
    </row>
    <row r="1383" spans="2:32" x14ac:dyDescent="0.25">
      <c r="B1383" s="695"/>
      <c r="C1383" s="197" t="str">
        <f>IF(B1383&lt;&gt;"",IFERROR(VLOOKUP(B:B,'מצבת והרשמה (2)'!$C$20:$N$520,2,0)," ")," ")</f>
        <v xml:space="preserve"> </v>
      </c>
      <c r="D1383" s="695"/>
      <c r="E1383" s="696"/>
      <c r="F1383" s="696"/>
      <c r="G1383" s="696"/>
      <c r="H1383" s="696"/>
      <c r="I1383" s="1050" t="str">
        <f t="shared" si="317"/>
        <v/>
      </c>
      <c r="J1383" s="696"/>
      <c r="K1383" s="697"/>
      <c r="L1383" s="696"/>
      <c r="M1383" s="198" t="str">
        <f t="shared" si="318"/>
        <v/>
      </c>
      <c r="N1383" s="369" t="str">
        <f t="shared" si="319"/>
        <v/>
      </c>
      <c r="O1383" s="183" t="str">
        <f t="shared" si="320"/>
        <v/>
      </c>
      <c r="P1383" s="199" t="str">
        <f t="shared" si="321"/>
        <v/>
      </c>
      <c r="Q1383" s="199" t="str">
        <f>IF(B1383="","",IFERROR(IF('עלויות כח אדם (6)'!J1383&gt;=VLOOKUP(I1383,'סיווג התפקידים והעלויות'!$B$23:$C$32,2,0),"תקין","לא תקין"),""))</f>
        <v/>
      </c>
      <c r="R1383" s="199" t="str">
        <f t="shared" si="322"/>
        <v/>
      </c>
      <c r="S1383" s="199" t="str">
        <f t="shared" si="323"/>
        <v/>
      </c>
      <c r="T1383" s="199" t="str">
        <f t="shared" si="331"/>
        <v/>
      </c>
      <c r="U1383" s="199" t="str">
        <f t="shared" si="324"/>
        <v/>
      </c>
      <c r="V1383" s="989"/>
      <c r="X1383" s="374" t="str">
        <f t="shared" si="325"/>
        <v/>
      </c>
      <c r="Y1383" s="375" t="str">
        <f t="shared" si="326"/>
        <v/>
      </c>
      <c r="Z1383" s="374" t="str">
        <f t="shared" si="327"/>
        <v/>
      </c>
      <c r="AA1383" s="374" t="b">
        <f t="shared" si="328"/>
        <v>1</v>
      </c>
      <c r="AB1383" s="374">
        <f>COUNTIFS(B:B,B1383,H:H,'סיווג התפקידים והעלויות'!$C$2)</f>
        <v>0</v>
      </c>
      <c r="AC1383" s="374">
        <f>COUNTIFS(B:B,B1383,H:H,'סיווג התפקידים והעלויות'!$D$2)</f>
        <v>0</v>
      </c>
      <c r="AD1383" s="374" t="str">
        <f>IF(OR(AND(H1383='סיווג התפקידים והעלויות'!$A$2,I1383='סיווג התפקידים והעלויות'!$A$3),'עלויות כח אדם (6)'!H1383='סיווג התפקידים והעלויות'!$C$2,'עלויות כח אדם (6)'!H1383='סיווג התפקידים והעלויות'!$D$2),IF('עלויות כח אדם (6)'!J1383&lt;75,"לא תקין","תקין"),"")</f>
        <v/>
      </c>
      <c r="AE1383" s="374" t="str">
        <f t="shared" si="329"/>
        <v/>
      </c>
      <c r="AF1383" s="532" t="str">
        <f t="shared" si="330"/>
        <v/>
      </c>
    </row>
    <row r="1384" spans="2:32" x14ac:dyDescent="0.25">
      <c r="B1384" s="695"/>
      <c r="C1384" s="197" t="str">
        <f>IF(B1384&lt;&gt;"",IFERROR(VLOOKUP(B:B,'מצבת והרשמה (2)'!$C$20:$N$520,2,0)," ")," ")</f>
        <v xml:space="preserve"> </v>
      </c>
      <c r="D1384" s="695"/>
      <c r="E1384" s="696"/>
      <c r="F1384" s="696"/>
      <c r="G1384" s="696"/>
      <c r="H1384" s="696"/>
      <c r="I1384" s="1050" t="str">
        <f t="shared" si="317"/>
        <v/>
      </c>
      <c r="J1384" s="696"/>
      <c r="K1384" s="697"/>
      <c r="L1384" s="696"/>
      <c r="M1384" s="198" t="str">
        <f t="shared" si="318"/>
        <v/>
      </c>
      <c r="N1384" s="369" t="str">
        <f t="shared" si="319"/>
        <v/>
      </c>
      <c r="O1384" s="183" t="str">
        <f t="shared" si="320"/>
        <v/>
      </c>
      <c r="P1384" s="199" t="str">
        <f t="shared" si="321"/>
        <v/>
      </c>
      <c r="Q1384" s="199" t="str">
        <f>IF(B1384="","",IFERROR(IF('עלויות כח אדם (6)'!J1384&gt;=VLOOKUP(I1384,'סיווג התפקידים והעלויות'!$B$23:$C$32,2,0),"תקין","לא תקין"),""))</f>
        <v/>
      </c>
      <c r="R1384" s="199" t="str">
        <f t="shared" si="322"/>
        <v/>
      </c>
      <c r="S1384" s="199" t="str">
        <f t="shared" si="323"/>
        <v/>
      </c>
      <c r="T1384" s="199" t="str">
        <f t="shared" si="331"/>
        <v/>
      </c>
      <c r="U1384" s="199" t="str">
        <f t="shared" si="324"/>
        <v/>
      </c>
      <c r="V1384" s="989"/>
      <c r="X1384" s="374" t="str">
        <f t="shared" si="325"/>
        <v/>
      </c>
      <c r="Y1384" s="375" t="str">
        <f t="shared" si="326"/>
        <v/>
      </c>
      <c r="Z1384" s="374" t="str">
        <f t="shared" si="327"/>
        <v/>
      </c>
      <c r="AA1384" s="374" t="b">
        <f t="shared" si="328"/>
        <v>1</v>
      </c>
      <c r="AB1384" s="374">
        <f>COUNTIFS(B:B,B1384,H:H,'סיווג התפקידים והעלויות'!$C$2)</f>
        <v>0</v>
      </c>
      <c r="AC1384" s="374">
        <f>COUNTIFS(B:B,B1384,H:H,'סיווג התפקידים והעלויות'!$D$2)</f>
        <v>0</v>
      </c>
      <c r="AD1384" s="374" t="str">
        <f>IF(OR(AND(H1384='סיווג התפקידים והעלויות'!$A$2,I1384='סיווג התפקידים והעלויות'!$A$3),'עלויות כח אדם (6)'!H1384='סיווג התפקידים והעלויות'!$C$2,'עלויות כח אדם (6)'!H1384='סיווג התפקידים והעלויות'!$D$2),IF('עלויות כח אדם (6)'!J1384&lt;75,"לא תקין","תקין"),"")</f>
        <v/>
      </c>
      <c r="AE1384" s="374" t="str">
        <f t="shared" si="329"/>
        <v/>
      </c>
      <c r="AF1384" s="532" t="str">
        <f t="shared" si="330"/>
        <v/>
      </c>
    </row>
    <row r="1385" spans="2:32" x14ac:dyDescent="0.25">
      <c r="B1385" s="695"/>
      <c r="C1385" s="197" t="str">
        <f>IF(B1385&lt;&gt;"",IFERROR(VLOOKUP(B:B,'מצבת והרשמה (2)'!$C$20:$N$520,2,0)," ")," ")</f>
        <v xml:space="preserve"> </v>
      </c>
      <c r="D1385" s="695"/>
      <c r="E1385" s="696"/>
      <c r="F1385" s="696"/>
      <c r="G1385" s="696"/>
      <c r="H1385" s="696"/>
      <c r="I1385" s="1050" t="str">
        <f t="shared" si="317"/>
        <v/>
      </c>
      <c r="J1385" s="696"/>
      <c r="K1385" s="697"/>
      <c r="L1385" s="696"/>
      <c r="M1385" s="198" t="str">
        <f t="shared" si="318"/>
        <v/>
      </c>
      <c r="N1385" s="369" t="str">
        <f t="shared" si="319"/>
        <v/>
      </c>
      <c r="O1385" s="183" t="str">
        <f t="shared" si="320"/>
        <v/>
      </c>
      <c r="P1385" s="199" t="str">
        <f t="shared" si="321"/>
        <v/>
      </c>
      <c r="Q1385" s="199" t="str">
        <f>IF(B1385="","",IFERROR(IF('עלויות כח אדם (6)'!J1385&gt;=VLOOKUP(I1385,'סיווג התפקידים והעלויות'!$B$23:$C$32,2,0),"תקין","לא תקין"),""))</f>
        <v/>
      </c>
      <c r="R1385" s="199" t="str">
        <f t="shared" si="322"/>
        <v/>
      </c>
      <c r="S1385" s="199" t="str">
        <f t="shared" si="323"/>
        <v/>
      </c>
      <c r="T1385" s="199" t="str">
        <f t="shared" si="331"/>
        <v/>
      </c>
      <c r="U1385" s="199" t="str">
        <f t="shared" si="324"/>
        <v/>
      </c>
      <c r="V1385" s="989"/>
      <c r="X1385" s="374" t="str">
        <f t="shared" si="325"/>
        <v/>
      </c>
      <c r="Y1385" s="375" t="str">
        <f t="shared" si="326"/>
        <v/>
      </c>
      <c r="Z1385" s="374" t="str">
        <f t="shared" si="327"/>
        <v/>
      </c>
      <c r="AA1385" s="374" t="b">
        <f t="shared" si="328"/>
        <v>1</v>
      </c>
      <c r="AB1385" s="374">
        <f>COUNTIFS(B:B,B1385,H:H,'סיווג התפקידים והעלויות'!$C$2)</f>
        <v>0</v>
      </c>
      <c r="AC1385" s="374">
        <f>COUNTIFS(B:B,B1385,H:H,'סיווג התפקידים והעלויות'!$D$2)</f>
        <v>0</v>
      </c>
      <c r="AD1385" s="374" t="str">
        <f>IF(OR(AND(H1385='סיווג התפקידים והעלויות'!$A$2,I1385='סיווג התפקידים והעלויות'!$A$3),'עלויות כח אדם (6)'!H1385='סיווג התפקידים והעלויות'!$C$2,'עלויות כח אדם (6)'!H1385='סיווג התפקידים והעלויות'!$D$2),IF('עלויות כח אדם (6)'!J1385&lt;75,"לא תקין","תקין"),"")</f>
        <v/>
      </c>
      <c r="AE1385" s="374" t="str">
        <f t="shared" si="329"/>
        <v/>
      </c>
      <c r="AF1385" s="532" t="str">
        <f t="shared" si="330"/>
        <v/>
      </c>
    </row>
    <row r="1386" spans="2:32" x14ac:dyDescent="0.25">
      <c r="B1386" s="695"/>
      <c r="C1386" s="197" t="str">
        <f>IF(B1386&lt;&gt;"",IFERROR(VLOOKUP(B:B,'מצבת והרשמה (2)'!$C$20:$N$520,2,0)," ")," ")</f>
        <v xml:space="preserve"> </v>
      </c>
      <c r="D1386" s="695"/>
      <c r="E1386" s="696"/>
      <c r="F1386" s="696"/>
      <c r="G1386" s="696"/>
      <c r="H1386" s="696"/>
      <c r="I1386" s="1050" t="str">
        <f t="shared" si="317"/>
        <v/>
      </c>
      <c r="J1386" s="696"/>
      <c r="K1386" s="697"/>
      <c r="L1386" s="696"/>
      <c r="M1386" s="198" t="str">
        <f t="shared" si="318"/>
        <v/>
      </c>
      <c r="N1386" s="369" t="str">
        <f t="shared" si="319"/>
        <v/>
      </c>
      <c r="O1386" s="183" t="str">
        <f t="shared" si="320"/>
        <v/>
      </c>
      <c r="P1386" s="199" t="str">
        <f t="shared" si="321"/>
        <v/>
      </c>
      <c r="Q1386" s="199" t="str">
        <f>IF(B1386="","",IFERROR(IF('עלויות כח אדם (6)'!J1386&gt;=VLOOKUP(I1386,'סיווג התפקידים והעלויות'!$B$23:$C$32,2,0),"תקין","לא תקין"),""))</f>
        <v/>
      </c>
      <c r="R1386" s="199" t="str">
        <f t="shared" si="322"/>
        <v/>
      </c>
      <c r="S1386" s="199" t="str">
        <f t="shared" si="323"/>
        <v/>
      </c>
      <c r="T1386" s="199" t="str">
        <f t="shared" si="331"/>
        <v/>
      </c>
      <c r="U1386" s="199" t="str">
        <f t="shared" si="324"/>
        <v/>
      </c>
      <c r="V1386" s="989"/>
      <c r="X1386" s="374" t="str">
        <f t="shared" si="325"/>
        <v/>
      </c>
      <c r="Y1386" s="375" t="str">
        <f t="shared" si="326"/>
        <v/>
      </c>
      <c r="Z1386" s="374" t="str">
        <f t="shared" si="327"/>
        <v/>
      </c>
      <c r="AA1386" s="374" t="b">
        <f t="shared" si="328"/>
        <v>1</v>
      </c>
      <c r="AB1386" s="374">
        <f>COUNTIFS(B:B,B1386,H:H,'סיווג התפקידים והעלויות'!$C$2)</f>
        <v>0</v>
      </c>
      <c r="AC1386" s="374">
        <f>COUNTIFS(B:B,B1386,H:H,'סיווג התפקידים והעלויות'!$D$2)</f>
        <v>0</v>
      </c>
      <c r="AD1386" s="374" t="str">
        <f>IF(OR(AND(H1386='סיווג התפקידים והעלויות'!$A$2,I1386='סיווג התפקידים והעלויות'!$A$3),'עלויות כח אדם (6)'!H1386='סיווג התפקידים והעלויות'!$C$2,'עלויות כח אדם (6)'!H1386='סיווג התפקידים והעלויות'!$D$2),IF('עלויות כח אדם (6)'!J1386&lt;75,"לא תקין","תקין"),"")</f>
        <v/>
      </c>
      <c r="AE1386" s="374" t="str">
        <f t="shared" si="329"/>
        <v/>
      </c>
      <c r="AF1386" s="532" t="str">
        <f t="shared" si="330"/>
        <v/>
      </c>
    </row>
    <row r="1387" spans="2:32" x14ac:dyDescent="0.25">
      <c r="B1387" s="695"/>
      <c r="C1387" s="197" t="str">
        <f>IF(B1387&lt;&gt;"",IFERROR(VLOOKUP(B:B,'מצבת והרשמה (2)'!$C$20:$N$520,2,0)," ")," ")</f>
        <v xml:space="preserve"> </v>
      </c>
      <c r="D1387" s="695"/>
      <c r="E1387" s="696"/>
      <c r="F1387" s="696"/>
      <c r="G1387" s="696"/>
      <c r="H1387" s="696"/>
      <c r="I1387" s="1050" t="str">
        <f t="shared" si="317"/>
        <v/>
      </c>
      <c r="J1387" s="696"/>
      <c r="K1387" s="697"/>
      <c r="L1387" s="696"/>
      <c r="M1387" s="198" t="str">
        <f t="shared" si="318"/>
        <v/>
      </c>
      <c r="N1387" s="369" t="str">
        <f t="shared" si="319"/>
        <v/>
      </c>
      <c r="O1387" s="183" t="str">
        <f t="shared" si="320"/>
        <v/>
      </c>
      <c r="P1387" s="199" t="str">
        <f t="shared" si="321"/>
        <v/>
      </c>
      <c r="Q1387" s="199" t="str">
        <f>IF(B1387="","",IFERROR(IF('עלויות כח אדם (6)'!J1387&gt;=VLOOKUP(I1387,'סיווג התפקידים והעלויות'!$B$23:$C$32,2,0),"תקין","לא תקין"),""))</f>
        <v/>
      </c>
      <c r="R1387" s="199" t="str">
        <f t="shared" si="322"/>
        <v/>
      </c>
      <c r="S1387" s="199" t="str">
        <f t="shared" si="323"/>
        <v/>
      </c>
      <c r="T1387" s="199" t="str">
        <f t="shared" si="331"/>
        <v/>
      </c>
      <c r="U1387" s="199" t="str">
        <f t="shared" si="324"/>
        <v/>
      </c>
      <c r="V1387" s="989"/>
      <c r="X1387" s="374" t="str">
        <f t="shared" si="325"/>
        <v/>
      </c>
      <c r="Y1387" s="375" t="str">
        <f t="shared" si="326"/>
        <v/>
      </c>
      <c r="Z1387" s="374" t="str">
        <f t="shared" si="327"/>
        <v/>
      </c>
      <c r="AA1387" s="374" t="b">
        <f t="shared" si="328"/>
        <v>1</v>
      </c>
      <c r="AB1387" s="374">
        <f>COUNTIFS(B:B,B1387,H:H,'סיווג התפקידים והעלויות'!$C$2)</f>
        <v>0</v>
      </c>
      <c r="AC1387" s="374">
        <f>COUNTIFS(B:B,B1387,H:H,'סיווג התפקידים והעלויות'!$D$2)</f>
        <v>0</v>
      </c>
      <c r="AD1387" s="374" t="str">
        <f>IF(OR(AND(H1387='סיווג התפקידים והעלויות'!$A$2,I1387='סיווג התפקידים והעלויות'!$A$3),'עלויות כח אדם (6)'!H1387='סיווג התפקידים והעלויות'!$C$2,'עלויות כח אדם (6)'!H1387='סיווג התפקידים והעלויות'!$D$2),IF('עלויות כח אדם (6)'!J1387&lt;75,"לא תקין","תקין"),"")</f>
        <v/>
      </c>
      <c r="AE1387" s="374" t="str">
        <f t="shared" si="329"/>
        <v/>
      </c>
      <c r="AF1387" s="532" t="str">
        <f t="shared" si="330"/>
        <v/>
      </c>
    </row>
    <row r="1388" spans="2:32" x14ac:dyDescent="0.25">
      <c r="B1388" s="695"/>
      <c r="C1388" s="197" t="str">
        <f>IF(B1388&lt;&gt;"",IFERROR(VLOOKUP(B:B,'מצבת והרשמה (2)'!$C$20:$N$520,2,0)," ")," ")</f>
        <v xml:space="preserve"> </v>
      </c>
      <c r="D1388" s="695"/>
      <c r="E1388" s="696"/>
      <c r="F1388" s="696"/>
      <c r="G1388" s="696"/>
      <c r="H1388" s="696"/>
      <c r="I1388" s="1050" t="str">
        <f t="shared" si="317"/>
        <v/>
      </c>
      <c r="J1388" s="696"/>
      <c r="K1388" s="697"/>
      <c r="L1388" s="696"/>
      <c r="M1388" s="198" t="str">
        <f t="shared" si="318"/>
        <v/>
      </c>
      <c r="N1388" s="369" t="str">
        <f t="shared" si="319"/>
        <v/>
      </c>
      <c r="O1388" s="183" t="str">
        <f t="shared" si="320"/>
        <v/>
      </c>
      <c r="P1388" s="199" t="str">
        <f t="shared" si="321"/>
        <v/>
      </c>
      <c r="Q1388" s="199" t="str">
        <f>IF(B1388="","",IFERROR(IF('עלויות כח אדם (6)'!J1388&gt;=VLOOKUP(I1388,'סיווג התפקידים והעלויות'!$B$23:$C$32,2,0),"תקין","לא תקין"),""))</f>
        <v/>
      </c>
      <c r="R1388" s="199" t="str">
        <f t="shared" si="322"/>
        <v/>
      </c>
      <c r="S1388" s="199" t="str">
        <f t="shared" si="323"/>
        <v/>
      </c>
      <c r="T1388" s="199" t="str">
        <f t="shared" si="331"/>
        <v/>
      </c>
      <c r="U1388" s="199" t="str">
        <f t="shared" si="324"/>
        <v/>
      </c>
      <c r="V1388" s="989"/>
      <c r="X1388" s="374" t="str">
        <f t="shared" si="325"/>
        <v/>
      </c>
      <c r="Y1388" s="375" t="str">
        <f t="shared" si="326"/>
        <v/>
      </c>
      <c r="Z1388" s="374" t="str">
        <f t="shared" si="327"/>
        <v/>
      </c>
      <c r="AA1388" s="374" t="b">
        <f t="shared" si="328"/>
        <v>1</v>
      </c>
      <c r="AB1388" s="374">
        <f>COUNTIFS(B:B,B1388,H:H,'סיווג התפקידים והעלויות'!$C$2)</f>
        <v>0</v>
      </c>
      <c r="AC1388" s="374">
        <f>COUNTIFS(B:B,B1388,H:H,'סיווג התפקידים והעלויות'!$D$2)</f>
        <v>0</v>
      </c>
      <c r="AD1388" s="374" t="str">
        <f>IF(OR(AND(H1388='סיווג התפקידים והעלויות'!$A$2,I1388='סיווג התפקידים והעלויות'!$A$3),'עלויות כח אדם (6)'!H1388='סיווג התפקידים והעלויות'!$C$2,'עלויות כח אדם (6)'!H1388='סיווג התפקידים והעלויות'!$D$2),IF('עלויות כח אדם (6)'!J1388&lt;75,"לא תקין","תקין"),"")</f>
        <v/>
      </c>
      <c r="AE1388" s="374" t="str">
        <f t="shared" si="329"/>
        <v/>
      </c>
      <c r="AF1388" s="532" t="str">
        <f t="shared" si="330"/>
        <v/>
      </c>
    </row>
    <row r="1389" spans="2:32" x14ac:dyDescent="0.25">
      <c r="B1389" s="695"/>
      <c r="C1389" s="197" t="str">
        <f>IF(B1389&lt;&gt;"",IFERROR(VLOOKUP(B:B,'מצבת והרשמה (2)'!$C$20:$N$520,2,0)," ")," ")</f>
        <v xml:space="preserve"> </v>
      </c>
      <c r="D1389" s="695"/>
      <c r="E1389" s="696"/>
      <c r="F1389" s="696"/>
      <c r="G1389" s="696"/>
      <c r="H1389" s="696"/>
      <c r="I1389" s="1050" t="str">
        <f t="shared" si="317"/>
        <v/>
      </c>
      <c r="J1389" s="696"/>
      <c r="K1389" s="697"/>
      <c r="L1389" s="696"/>
      <c r="M1389" s="198" t="str">
        <f t="shared" si="318"/>
        <v/>
      </c>
      <c r="N1389" s="369" t="str">
        <f t="shared" si="319"/>
        <v/>
      </c>
      <c r="O1389" s="183" t="str">
        <f t="shared" si="320"/>
        <v/>
      </c>
      <c r="P1389" s="199" t="str">
        <f t="shared" si="321"/>
        <v/>
      </c>
      <c r="Q1389" s="199" t="str">
        <f>IF(B1389="","",IFERROR(IF('עלויות כח אדם (6)'!J1389&gt;=VLOOKUP(I1389,'סיווג התפקידים והעלויות'!$B$23:$C$32,2,0),"תקין","לא תקין"),""))</f>
        <v/>
      </c>
      <c r="R1389" s="199" t="str">
        <f t="shared" si="322"/>
        <v/>
      </c>
      <c r="S1389" s="199" t="str">
        <f t="shared" si="323"/>
        <v/>
      </c>
      <c r="T1389" s="199" t="str">
        <f t="shared" si="331"/>
        <v/>
      </c>
      <c r="U1389" s="199" t="str">
        <f t="shared" si="324"/>
        <v/>
      </c>
      <c r="V1389" s="989"/>
      <c r="X1389" s="374" t="str">
        <f t="shared" si="325"/>
        <v/>
      </c>
      <c r="Y1389" s="375" t="str">
        <f t="shared" si="326"/>
        <v/>
      </c>
      <c r="Z1389" s="374" t="str">
        <f t="shared" si="327"/>
        <v/>
      </c>
      <c r="AA1389" s="374" t="b">
        <f t="shared" si="328"/>
        <v>1</v>
      </c>
      <c r="AB1389" s="374">
        <f>COUNTIFS(B:B,B1389,H:H,'סיווג התפקידים והעלויות'!$C$2)</f>
        <v>0</v>
      </c>
      <c r="AC1389" s="374">
        <f>COUNTIFS(B:B,B1389,H:H,'סיווג התפקידים והעלויות'!$D$2)</f>
        <v>0</v>
      </c>
      <c r="AD1389" s="374" t="str">
        <f>IF(OR(AND(H1389='סיווג התפקידים והעלויות'!$A$2,I1389='סיווג התפקידים והעלויות'!$A$3),'עלויות כח אדם (6)'!H1389='סיווג התפקידים והעלויות'!$C$2,'עלויות כח אדם (6)'!H1389='סיווג התפקידים והעלויות'!$D$2),IF('עלויות כח אדם (6)'!J1389&lt;75,"לא תקין","תקין"),"")</f>
        <v/>
      </c>
      <c r="AE1389" s="374" t="str">
        <f t="shared" si="329"/>
        <v/>
      </c>
      <c r="AF1389" s="532" t="str">
        <f t="shared" si="330"/>
        <v/>
      </c>
    </row>
    <row r="1390" spans="2:32" x14ac:dyDescent="0.25">
      <c r="B1390" s="695"/>
      <c r="C1390" s="197" t="str">
        <f>IF(B1390&lt;&gt;"",IFERROR(VLOOKUP(B:B,'מצבת והרשמה (2)'!$C$20:$N$520,2,0)," ")," ")</f>
        <v xml:space="preserve"> </v>
      </c>
      <c r="D1390" s="695"/>
      <c r="E1390" s="696"/>
      <c r="F1390" s="696"/>
      <c r="G1390" s="696"/>
      <c r="H1390" s="696"/>
      <c r="I1390" s="1050" t="str">
        <f t="shared" si="317"/>
        <v/>
      </c>
      <c r="J1390" s="696"/>
      <c r="K1390" s="697"/>
      <c r="L1390" s="696"/>
      <c r="M1390" s="198" t="str">
        <f t="shared" si="318"/>
        <v/>
      </c>
      <c r="N1390" s="369" t="str">
        <f t="shared" si="319"/>
        <v/>
      </c>
      <c r="O1390" s="183" t="str">
        <f t="shared" si="320"/>
        <v/>
      </c>
      <c r="P1390" s="199" t="str">
        <f t="shared" si="321"/>
        <v/>
      </c>
      <c r="Q1390" s="199" t="str">
        <f>IF(B1390="","",IFERROR(IF('עלויות כח אדם (6)'!J1390&gt;=VLOOKUP(I1390,'סיווג התפקידים והעלויות'!$B$23:$C$32,2,0),"תקין","לא תקין"),""))</f>
        <v/>
      </c>
      <c r="R1390" s="199" t="str">
        <f t="shared" si="322"/>
        <v/>
      </c>
      <c r="S1390" s="199" t="str">
        <f t="shared" si="323"/>
        <v/>
      </c>
      <c r="T1390" s="199" t="str">
        <f t="shared" si="331"/>
        <v/>
      </c>
      <c r="U1390" s="199" t="str">
        <f t="shared" si="324"/>
        <v/>
      </c>
      <c r="V1390" s="989"/>
      <c r="X1390" s="374" t="str">
        <f t="shared" si="325"/>
        <v/>
      </c>
      <c r="Y1390" s="375" t="str">
        <f t="shared" si="326"/>
        <v/>
      </c>
      <c r="Z1390" s="374" t="str">
        <f t="shared" si="327"/>
        <v/>
      </c>
      <c r="AA1390" s="374" t="b">
        <f t="shared" si="328"/>
        <v>1</v>
      </c>
      <c r="AB1390" s="374">
        <f>COUNTIFS(B:B,B1390,H:H,'סיווג התפקידים והעלויות'!$C$2)</f>
        <v>0</v>
      </c>
      <c r="AC1390" s="374">
        <f>COUNTIFS(B:B,B1390,H:H,'סיווג התפקידים והעלויות'!$D$2)</f>
        <v>0</v>
      </c>
      <c r="AD1390" s="374" t="str">
        <f>IF(OR(AND(H1390='סיווג התפקידים והעלויות'!$A$2,I1390='סיווג התפקידים והעלויות'!$A$3),'עלויות כח אדם (6)'!H1390='סיווג התפקידים והעלויות'!$C$2,'עלויות כח אדם (6)'!H1390='סיווג התפקידים והעלויות'!$D$2),IF('עלויות כח אדם (6)'!J1390&lt;75,"לא תקין","תקין"),"")</f>
        <v/>
      </c>
      <c r="AE1390" s="374" t="str">
        <f t="shared" si="329"/>
        <v/>
      </c>
      <c r="AF1390" s="532" t="str">
        <f t="shared" si="330"/>
        <v/>
      </c>
    </row>
    <row r="1391" spans="2:32" x14ac:dyDescent="0.25">
      <c r="B1391" s="695"/>
      <c r="C1391" s="197" t="str">
        <f>IF(B1391&lt;&gt;"",IFERROR(VLOOKUP(B:B,'מצבת והרשמה (2)'!$C$20:$N$520,2,0)," ")," ")</f>
        <v xml:space="preserve"> </v>
      </c>
      <c r="D1391" s="695"/>
      <c r="E1391" s="696"/>
      <c r="F1391" s="696"/>
      <c r="G1391" s="696"/>
      <c r="H1391" s="696"/>
      <c r="I1391" s="1050" t="str">
        <f t="shared" si="317"/>
        <v/>
      </c>
      <c r="J1391" s="696"/>
      <c r="K1391" s="697"/>
      <c r="L1391" s="696"/>
      <c r="M1391" s="198" t="str">
        <f t="shared" si="318"/>
        <v/>
      </c>
      <c r="N1391" s="369" t="str">
        <f t="shared" si="319"/>
        <v/>
      </c>
      <c r="O1391" s="183" t="str">
        <f t="shared" si="320"/>
        <v/>
      </c>
      <c r="P1391" s="199" t="str">
        <f t="shared" si="321"/>
        <v/>
      </c>
      <c r="Q1391" s="199" t="str">
        <f>IF(B1391="","",IFERROR(IF('עלויות כח אדם (6)'!J1391&gt;=VLOOKUP(I1391,'סיווג התפקידים והעלויות'!$B$23:$C$32,2,0),"תקין","לא תקין"),""))</f>
        <v/>
      </c>
      <c r="R1391" s="199" t="str">
        <f t="shared" si="322"/>
        <v/>
      </c>
      <c r="S1391" s="199" t="str">
        <f t="shared" si="323"/>
        <v/>
      </c>
      <c r="T1391" s="199" t="str">
        <f t="shared" si="331"/>
        <v/>
      </c>
      <c r="U1391" s="199" t="str">
        <f t="shared" si="324"/>
        <v/>
      </c>
      <c r="V1391" s="989"/>
      <c r="X1391" s="374" t="str">
        <f t="shared" si="325"/>
        <v/>
      </c>
      <c r="Y1391" s="375" t="str">
        <f t="shared" si="326"/>
        <v/>
      </c>
      <c r="Z1391" s="374" t="str">
        <f t="shared" si="327"/>
        <v/>
      </c>
      <c r="AA1391" s="374" t="b">
        <f t="shared" si="328"/>
        <v>1</v>
      </c>
      <c r="AB1391" s="374">
        <f>COUNTIFS(B:B,B1391,H:H,'סיווג התפקידים והעלויות'!$C$2)</f>
        <v>0</v>
      </c>
      <c r="AC1391" s="374">
        <f>COUNTIFS(B:B,B1391,H:H,'סיווג התפקידים והעלויות'!$D$2)</f>
        <v>0</v>
      </c>
      <c r="AD1391" s="374" t="str">
        <f>IF(OR(AND(H1391='סיווג התפקידים והעלויות'!$A$2,I1391='סיווג התפקידים והעלויות'!$A$3),'עלויות כח אדם (6)'!H1391='סיווג התפקידים והעלויות'!$C$2,'עלויות כח אדם (6)'!H1391='סיווג התפקידים והעלויות'!$D$2),IF('עלויות כח אדם (6)'!J1391&lt;75,"לא תקין","תקין"),"")</f>
        <v/>
      </c>
      <c r="AE1391" s="374" t="str">
        <f t="shared" si="329"/>
        <v/>
      </c>
      <c r="AF1391" s="532" t="str">
        <f t="shared" si="330"/>
        <v/>
      </c>
    </row>
    <row r="1392" spans="2:32" x14ac:dyDescent="0.25">
      <c r="B1392" s="695"/>
      <c r="C1392" s="197" t="str">
        <f>IF(B1392&lt;&gt;"",IFERROR(VLOOKUP(B:B,'מצבת והרשמה (2)'!$C$20:$N$520,2,0)," ")," ")</f>
        <v xml:space="preserve"> </v>
      </c>
      <c r="D1392" s="695"/>
      <c r="E1392" s="696"/>
      <c r="F1392" s="696"/>
      <c r="G1392" s="696"/>
      <c r="H1392" s="696"/>
      <c r="I1392" s="1050" t="str">
        <f t="shared" si="317"/>
        <v/>
      </c>
      <c r="J1392" s="696"/>
      <c r="K1392" s="697"/>
      <c r="L1392" s="696"/>
      <c r="M1392" s="198" t="str">
        <f t="shared" si="318"/>
        <v/>
      </c>
      <c r="N1392" s="369" t="str">
        <f t="shared" si="319"/>
        <v/>
      </c>
      <c r="O1392" s="183" t="str">
        <f t="shared" si="320"/>
        <v/>
      </c>
      <c r="P1392" s="199" t="str">
        <f t="shared" si="321"/>
        <v/>
      </c>
      <c r="Q1392" s="199" t="str">
        <f>IF(B1392="","",IFERROR(IF('עלויות כח אדם (6)'!J1392&gt;=VLOOKUP(I1392,'סיווג התפקידים והעלויות'!$B$23:$C$32,2,0),"תקין","לא תקין"),""))</f>
        <v/>
      </c>
      <c r="R1392" s="199" t="str">
        <f t="shared" si="322"/>
        <v/>
      </c>
      <c r="S1392" s="199" t="str">
        <f t="shared" si="323"/>
        <v/>
      </c>
      <c r="T1392" s="199" t="str">
        <f t="shared" si="331"/>
        <v/>
      </c>
      <c r="U1392" s="199" t="str">
        <f t="shared" si="324"/>
        <v/>
      </c>
      <c r="V1392" s="989"/>
      <c r="X1392" s="374" t="str">
        <f t="shared" si="325"/>
        <v/>
      </c>
      <c r="Y1392" s="375" t="str">
        <f t="shared" si="326"/>
        <v/>
      </c>
      <c r="Z1392" s="374" t="str">
        <f t="shared" si="327"/>
        <v/>
      </c>
      <c r="AA1392" s="374" t="b">
        <f t="shared" si="328"/>
        <v>1</v>
      </c>
      <c r="AB1392" s="374">
        <f>COUNTIFS(B:B,B1392,H:H,'סיווג התפקידים והעלויות'!$C$2)</f>
        <v>0</v>
      </c>
      <c r="AC1392" s="374">
        <f>COUNTIFS(B:B,B1392,H:H,'סיווג התפקידים והעלויות'!$D$2)</f>
        <v>0</v>
      </c>
      <c r="AD1392" s="374" t="str">
        <f>IF(OR(AND(H1392='סיווג התפקידים והעלויות'!$A$2,I1392='סיווג התפקידים והעלויות'!$A$3),'עלויות כח אדם (6)'!H1392='סיווג התפקידים והעלויות'!$C$2,'עלויות כח אדם (6)'!H1392='סיווג התפקידים והעלויות'!$D$2),IF('עלויות כח אדם (6)'!J1392&lt;75,"לא תקין","תקין"),"")</f>
        <v/>
      </c>
      <c r="AE1392" s="374" t="str">
        <f t="shared" si="329"/>
        <v/>
      </c>
      <c r="AF1392" s="532" t="str">
        <f t="shared" si="330"/>
        <v/>
      </c>
    </row>
    <row r="1393" spans="2:32" x14ac:dyDescent="0.25">
      <c r="B1393" s="695"/>
      <c r="C1393" s="197" t="str">
        <f>IF(B1393&lt;&gt;"",IFERROR(VLOOKUP(B:B,'מצבת והרשמה (2)'!$C$20:$N$520,2,0)," ")," ")</f>
        <v xml:space="preserve"> </v>
      </c>
      <c r="D1393" s="695"/>
      <c r="E1393" s="696"/>
      <c r="F1393" s="696"/>
      <c r="G1393" s="696"/>
      <c r="H1393" s="696"/>
      <c r="I1393" s="1050" t="str">
        <f t="shared" si="317"/>
        <v/>
      </c>
      <c r="J1393" s="696"/>
      <c r="K1393" s="697"/>
      <c r="L1393" s="696"/>
      <c r="M1393" s="198" t="str">
        <f t="shared" si="318"/>
        <v/>
      </c>
      <c r="N1393" s="369" t="str">
        <f t="shared" si="319"/>
        <v/>
      </c>
      <c r="O1393" s="183" t="str">
        <f t="shared" si="320"/>
        <v/>
      </c>
      <c r="P1393" s="199" t="str">
        <f t="shared" si="321"/>
        <v/>
      </c>
      <c r="Q1393" s="199" t="str">
        <f>IF(B1393="","",IFERROR(IF('עלויות כח אדם (6)'!J1393&gt;=VLOOKUP(I1393,'סיווג התפקידים והעלויות'!$B$23:$C$32,2,0),"תקין","לא תקין"),""))</f>
        <v/>
      </c>
      <c r="R1393" s="199" t="str">
        <f t="shared" si="322"/>
        <v/>
      </c>
      <c r="S1393" s="199" t="str">
        <f t="shared" si="323"/>
        <v/>
      </c>
      <c r="T1393" s="199" t="str">
        <f t="shared" si="331"/>
        <v/>
      </c>
      <c r="U1393" s="199" t="str">
        <f t="shared" si="324"/>
        <v/>
      </c>
      <c r="V1393" s="989"/>
      <c r="X1393" s="374" t="str">
        <f t="shared" si="325"/>
        <v/>
      </c>
      <c r="Y1393" s="375" t="str">
        <f t="shared" si="326"/>
        <v/>
      </c>
      <c r="Z1393" s="374" t="str">
        <f t="shared" si="327"/>
        <v/>
      </c>
      <c r="AA1393" s="374" t="b">
        <f t="shared" si="328"/>
        <v>1</v>
      </c>
      <c r="AB1393" s="374">
        <f>COUNTIFS(B:B,B1393,H:H,'סיווג התפקידים והעלויות'!$C$2)</f>
        <v>0</v>
      </c>
      <c r="AC1393" s="374">
        <f>COUNTIFS(B:B,B1393,H:H,'סיווג התפקידים והעלויות'!$D$2)</f>
        <v>0</v>
      </c>
      <c r="AD1393" s="374" t="str">
        <f>IF(OR(AND(H1393='סיווג התפקידים והעלויות'!$A$2,I1393='סיווג התפקידים והעלויות'!$A$3),'עלויות כח אדם (6)'!H1393='סיווג התפקידים והעלויות'!$C$2,'עלויות כח אדם (6)'!H1393='סיווג התפקידים והעלויות'!$D$2),IF('עלויות כח אדם (6)'!J1393&lt;75,"לא תקין","תקין"),"")</f>
        <v/>
      </c>
      <c r="AE1393" s="374" t="str">
        <f t="shared" si="329"/>
        <v/>
      </c>
      <c r="AF1393" s="532" t="str">
        <f t="shared" si="330"/>
        <v/>
      </c>
    </row>
    <row r="1394" spans="2:32" x14ac:dyDescent="0.25">
      <c r="B1394" s="695"/>
      <c r="C1394" s="197" t="str">
        <f>IF(B1394&lt;&gt;"",IFERROR(VLOOKUP(B:B,'מצבת והרשמה (2)'!$C$20:$N$520,2,0)," ")," ")</f>
        <v xml:space="preserve"> </v>
      </c>
      <c r="D1394" s="695"/>
      <c r="E1394" s="696"/>
      <c r="F1394" s="696"/>
      <c r="G1394" s="696"/>
      <c r="H1394" s="696"/>
      <c r="I1394" s="1050" t="str">
        <f t="shared" si="317"/>
        <v/>
      </c>
      <c r="J1394" s="696"/>
      <c r="K1394" s="697"/>
      <c r="L1394" s="696"/>
      <c r="M1394" s="198" t="str">
        <f t="shared" si="318"/>
        <v/>
      </c>
      <c r="N1394" s="369" t="str">
        <f t="shared" si="319"/>
        <v/>
      </c>
      <c r="O1394" s="183" t="str">
        <f t="shared" si="320"/>
        <v/>
      </c>
      <c r="P1394" s="199" t="str">
        <f t="shared" si="321"/>
        <v/>
      </c>
      <c r="Q1394" s="199" t="str">
        <f>IF(B1394="","",IFERROR(IF('עלויות כח אדם (6)'!J1394&gt;=VLOOKUP(I1394,'סיווג התפקידים והעלויות'!$B$23:$C$32,2,0),"תקין","לא תקין"),""))</f>
        <v/>
      </c>
      <c r="R1394" s="199" t="str">
        <f t="shared" si="322"/>
        <v/>
      </c>
      <c r="S1394" s="199" t="str">
        <f t="shared" si="323"/>
        <v/>
      </c>
      <c r="T1394" s="199" t="str">
        <f t="shared" si="331"/>
        <v/>
      </c>
      <c r="U1394" s="199" t="str">
        <f t="shared" si="324"/>
        <v/>
      </c>
      <c r="V1394" s="989"/>
      <c r="X1394" s="374" t="str">
        <f t="shared" si="325"/>
        <v/>
      </c>
      <c r="Y1394" s="375" t="str">
        <f t="shared" si="326"/>
        <v/>
      </c>
      <c r="Z1394" s="374" t="str">
        <f t="shared" si="327"/>
        <v/>
      </c>
      <c r="AA1394" s="374" t="b">
        <f t="shared" si="328"/>
        <v>1</v>
      </c>
      <c r="AB1394" s="374">
        <f>COUNTIFS(B:B,B1394,H:H,'סיווג התפקידים והעלויות'!$C$2)</f>
        <v>0</v>
      </c>
      <c r="AC1394" s="374">
        <f>COUNTIFS(B:B,B1394,H:H,'סיווג התפקידים והעלויות'!$D$2)</f>
        <v>0</v>
      </c>
      <c r="AD1394" s="374" t="str">
        <f>IF(OR(AND(H1394='סיווג התפקידים והעלויות'!$A$2,I1394='סיווג התפקידים והעלויות'!$A$3),'עלויות כח אדם (6)'!H1394='סיווג התפקידים והעלויות'!$C$2,'עלויות כח אדם (6)'!H1394='סיווג התפקידים והעלויות'!$D$2),IF('עלויות כח אדם (6)'!J1394&lt;75,"לא תקין","תקין"),"")</f>
        <v/>
      </c>
      <c r="AE1394" s="374" t="str">
        <f t="shared" si="329"/>
        <v/>
      </c>
      <c r="AF1394" s="532" t="str">
        <f t="shared" si="330"/>
        <v/>
      </c>
    </row>
    <row r="1395" spans="2:32" x14ac:dyDescent="0.25">
      <c r="B1395" s="695"/>
      <c r="C1395" s="197" t="str">
        <f>IF(B1395&lt;&gt;"",IFERROR(VLOOKUP(B:B,'מצבת והרשמה (2)'!$C$20:$N$520,2,0)," ")," ")</f>
        <v xml:space="preserve"> </v>
      </c>
      <c r="D1395" s="695"/>
      <c r="E1395" s="696"/>
      <c r="F1395" s="696"/>
      <c r="G1395" s="696"/>
      <c r="H1395" s="696"/>
      <c r="I1395" s="1050" t="str">
        <f t="shared" si="317"/>
        <v/>
      </c>
      <c r="J1395" s="696"/>
      <c r="K1395" s="697"/>
      <c r="L1395" s="696"/>
      <c r="M1395" s="198" t="str">
        <f t="shared" si="318"/>
        <v/>
      </c>
      <c r="N1395" s="369" t="str">
        <f t="shared" si="319"/>
        <v/>
      </c>
      <c r="O1395" s="183" t="str">
        <f t="shared" si="320"/>
        <v/>
      </c>
      <c r="P1395" s="199" t="str">
        <f t="shared" si="321"/>
        <v/>
      </c>
      <c r="Q1395" s="199" t="str">
        <f>IF(B1395="","",IFERROR(IF('עלויות כח אדם (6)'!J1395&gt;=VLOOKUP(I1395,'סיווג התפקידים והעלויות'!$B$23:$C$32,2,0),"תקין","לא תקין"),""))</f>
        <v/>
      </c>
      <c r="R1395" s="199" t="str">
        <f t="shared" si="322"/>
        <v/>
      </c>
      <c r="S1395" s="199" t="str">
        <f t="shared" si="323"/>
        <v/>
      </c>
      <c r="T1395" s="199" t="str">
        <f t="shared" si="331"/>
        <v/>
      </c>
      <c r="U1395" s="199" t="str">
        <f t="shared" si="324"/>
        <v/>
      </c>
      <c r="V1395" s="989"/>
      <c r="X1395" s="374" t="str">
        <f t="shared" si="325"/>
        <v/>
      </c>
      <c r="Y1395" s="375" t="str">
        <f t="shared" si="326"/>
        <v/>
      </c>
      <c r="Z1395" s="374" t="str">
        <f t="shared" si="327"/>
        <v/>
      </c>
      <c r="AA1395" s="374" t="b">
        <f t="shared" si="328"/>
        <v>1</v>
      </c>
      <c r="AB1395" s="374">
        <f>COUNTIFS(B:B,B1395,H:H,'סיווג התפקידים והעלויות'!$C$2)</f>
        <v>0</v>
      </c>
      <c r="AC1395" s="374">
        <f>COUNTIFS(B:B,B1395,H:H,'סיווג התפקידים והעלויות'!$D$2)</f>
        <v>0</v>
      </c>
      <c r="AD1395" s="374" t="str">
        <f>IF(OR(AND(H1395='סיווג התפקידים והעלויות'!$A$2,I1395='סיווג התפקידים והעלויות'!$A$3),'עלויות כח אדם (6)'!H1395='סיווג התפקידים והעלויות'!$C$2,'עלויות כח אדם (6)'!H1395='סיווג התפקידים והעלויות'!$D$2),IF('עלויות כח אדם (6)'!J1395&lt;75,"לא תקין","תקין"),"")</f>
        <v/>
      </c>
      <c r="AE1395" s="374" t="str">
        <f t="shared" si="329"/>
        <v/>
      </c>
      <c r="AF1395" s="532" t="str">
        <f t="shared" si="330"/>
        <v/>
      </c>
    </row>
    <row r="1396" spans="2:32" x14ac:dyDescent="0.25">
      <c r="B1396" s="695"/>
      <c r="C1396" s="197" t="str">
        <f>IF(B1396&lt;&gt;"",IFERROR(VLOOKUP(B:B,'מצבת והרשמה (2)'!$C$20:$N$520,2,0)," ")," ")</f>
        <v xml:space="preserve"> </v>
      </c>
      <c r="D1396" s="695"/>
      <c r="E1396" s="696"/>
      <c r="F1396" s="696"/>
      <c r="G1396" s="696"/>
      <c r="H1396" s="696"/>
      <c r="I1396" s="1050" t="str">
        <f t="shared" si="317"/>
        <v/>
      </c>
      <c r="J1396" s="696"/>
      <c r="K1396" s="697"/>
      <c r="L1396" s="696"/>
      <c r="M1396" s="198" t="str">
        <f t="shared" si="318"/>
        <v/>
      </c>
      <c r="N1396" s="369" t="str">
        <f t="shared" si="319"/>
        <v/>
      </c>
      <c r="O1396" s="183" t="str">
        <f t="shared" si="320"/>
        <v/>
      </c>
      <c r="P1396" s="199" t="str">
        <f t="shared" si="321"/>
        <v/>
      </c>
      <c r="Q1396" s="199" t="str">
        <f>IF(B1396="","",IFERROR(IF('עלויות כח אדם (6)'!J1396&gt;=VLOOKUP(I1396,'סיווג התפקידים והעלויות'!$B$23:$C$32,2,0),"תקין","לא תקין"),""))</f>
        <v/>
      </c>
      <c r="R1396" s="199" t="str">
        <f t="shared" si="322"/>
        <v/>
      </c>
      <c r="S1396" s="199" t="str">
        <f t="shared" si="323"/>
        <v/>
      </c>
      <c r="T1396" s="199" t="str">
        <f t="shared" si="331"/>
        <v/>
      </c>
      <c r="U1396" s="199" t="str">
        <f t="shared" si="324"/>
        <v/>
      </c>
      <c r="V1396" s="989"/>
      <c r="X1396" s="374" t="str">
        <f t="shared" si="325"/>
        <v/>
      </c>
      <c r="Y1396" s="375" t="str">
        <f t="shared" si="326"/>
        <v/>
      </c>
      <c r="Z1396" s="374" t="str">
        <f t="shared" si="327"/>
        <v/>
      </c>
      <c r="AA1396" s="374" t="b">
        <f t="shared" si="328"/>
        <v>1</v>
      </c>
      <c r="AB1396" s="374">
        <f>COUNTIFS(B:B,B1396,H:H,'סיווג התפקידים והעלויות'!$C$2)</f>
        <v>0</v>
      </c>
      <c r="AC1396" s="374">
        <f>COUNTIFS(B:B,B1396,H:H,'סיווג התפקידים והעלויות'!$D$2)</f>
        <v>0</v>
      </c>
      <c r="AD1396" s="374" t="str">
        <f>IF(OR(AND(H1396='סיווג התפקידים והעלויות'!$A$2,I1396='סיווג התפקידים והעלויות'!$A$3),'עלויות כח אדם (6)'!H1396='סיווג התפקידים והעלויות'!$C$2,'עלויות כח אדם (6)'!H1396='סיווג התפקידים והעלויות'!$D$2),IF('עלויות כח אדם (6)'!J1396&lt;75,"לא תקין","תקין"),"")</f>
        <v/>
      </c>
      <c r="AE1396" s="374" t="str">
        <f t="shared" si="329"/>
        <v/>
      </c>
      <c r="AF1396" s="532" t="str">
        <f t="shared" si="330"/>
        <v/>
      </c>
    </row>
    <row r="1397" spans="2:32" x14ac:dyDescent="0.25">
      <c r="B1397" s="695"/>
      <c r="C1397" s="197" t="str">
        <f>IF(B1397&lt;&gt;"",IFERROR(VLOOKUP(B:B,'מצבת והרשמה (2)'!$C$20:$N$520,2,0)," ")," ")</f>
        <v xml:space="preserve"> </v>
      </c>
      <c r="D1397" s="695"/>
      <c r="E1397" s="696"/>
      <c r="F1397" s="696"/>
      <c r="G1397" s="696"/>
      <c r="H1397" s="696"/>
      <c r="I1397" s="1050" t="str">
        <f t="shared" si="317"/>
        <v/>
      </c>
      <c r="J1397" s="696"/>
      <c r="K1397" s="697"/>
      <c r="L1397" s="696"/>
      <c r="M1397" s="198" t="str">
        <f t="shared" si="318"/>
        <v/>
      </c>
      <c r="N1397" s="369" t="str">
        <f t="shared" si="319"/>
        <v/>
      </c>
      <c r="O1397" s="183" t="str">
        <f t="shared" si="320"/>
        <v/>
      </c>
      <c r="P1397" s="199" t="str">
        <f t="shared" si="321"/>
        <v/>
      </c>
      <c r="Q1397" s="199" t="str">
        <f>IF(B1397="","",IFERROR(IF('עלויות כח אדם (6)'!J1397&gt;=VLOOKUP(I1397,'סיווג התפקידים והעלויות'!$B$23:$C$32,2,0),"תקין","לא תקין"),""))</f>
        <v/>
      </c>
      <c r="R1397" s="199" t="str">
        <f t="shared" si="322"/>
        <v/>
      </c>
      <c r="S1397" s="199" t="str">
        <f t="shared" si="323"/>
        <v/>
      </c>
      <c r="T1397" s="199" t="str">
        <f t="shared" si="331"/>
        <v/>
      </c>
      <c r="U1397" s="199" t="str">
        <f t="shared" si="324"/>
        <v/>
      </c>
      <c r="V1397" s="989"/>
      <c r="X1397" s="374" t="str">
        <f t="shared" si="325"/>
        <v/>
      </c>
      <c r="Y1397" s="375" t="str">
        <f t="shared" si="326"/>
        <v/>
      </c>
      <c r="Z1397" s="374" t="str">
        <f t="shared" si="327"/>
        <v/>
      </c>
      <c r="AA1397" s="374" t="b">
        <f t="shared" si="328"/>
        <v>1</v>
      </c>
      <c r="AB1397" s="374">
        <f>COUNTIFS(B:B,B1397,H:H,'סיווג התפקידים והעלויות'!$C$2)</f>
        <v>0</v>
      </c>
      <c r="AC1397" s="374">
        <f>COUNTIFS(B:B,B1397,H:H,'סיווג התפקידים והעלויות'!$D$2)</f>
        <v>0</v>
      </c>
      <c r="AD1397" s="374" t="str">
        <f>IF(OR(AND(H1397='סיווג התפקידים והעלויות'!$A$2,I1397='סיווג התפקידים והעלויות'!$A$3),'עלויות כח אדם (6)'!H1397='סיווג התפקידים והעלויות'!$C$2,'עלויות כח אדם (6)'!H1397='סיווג התפקידים והעלויות'!$D$2),IF('עלויות כח אדם (6)'!J1397&lt;75,"לא תקין","תקין"),"")</f>
        <v/>
      </c>
      <c r="AE1397" s="374" t="str">
        <f t="shared" si="329"/>
        <v/>
      </c>
      <c r="AF1397" s="532" t="str">
        <f t="shared" si="330"/>
        <v/>
      </c>
    </row>
    <row r="1398" spans="2:32" x14ac:dyDescent="0.25">
      <c r="B1398" s="695"/>
      <c r="C1398" s="197" t="str">
        <f>IF(B1398&lt;&gt;"",IFERROR(VLOOKUP(B:B,'מצבת והרשמה (2)'!$C$20:$N$520,2,0)," ")," ")</f>
        <v xml:space="preserve"> </v>
      </c>
      <c r="D1398" s="695"/>
      <c r="E1398" s="696"/>
      <c r="F1398" s="696"/>
      <c r="G1398" s="696"/>
      <c r="H1398" s="696"/>
      <c r="I1398" s="1050" t="str">
        <f t="shared" si="317"/>
        <v/>
      </c>
      <c r="J1398" s="696"/>
      <c r="K1398" s="697"/>
      <c r="L1398" s="696"/>
      <c r="M1398" s="198" t="str">
        <f t="shared" si="318"/>
        <v/>
      </c>
      <c r="N1398" s="369" t="str">
        <f t="shared" si="319"/>
        <v/>
      </c>
      <c r="O1398" s="183" t="str">
        <f t="shared" si="320"/>
        <v/>
      </c>
      <c r="P1398" s="199" t="str">
        <f t="shared" si="321"/>
        <v/>
      </c>
      <c r="Q1398" s="199" t="str">
        <f>IF(B1398="","",IFERROR(IF('עלויות כח אדם (6)'!J1398&gt;=VLOOKUP(I1398,'סיווג התפקידים והעלויות'!$B$23:$C$32,2,0),"תקין","לא תקין"),""))</f>
        <v/>
      </c>
      <c r="R1398" s="199" t="str">
        <f t="shared" si="322"/>
        <v/>
      </c>
      <c r="S1398" s="199" t="str">
        <f t="shared" si="323"/>
        <v/>
      </c>
      <c r="T1398" s="199" t="str">
        <f t="shared" si="331"/>
        <v/>
      </c>
      <c r="U1398" s="199" t="str">
        <f t="shared" si="324"/>
        <v/>
      </c>
      <c r="V1398" s="989"/>
      <c r="X1398" s="374" t="str">
        <f t="shared" si="325"/>
        <v/>
      </c>
      <c r="Y1398" s="375" t="str">
        <f t="shared" si="326"/>
        <v/>
      </c>
      <c r="Z1398" s="374" t="str">
        <f t="shared" si="327"/>
        <v/>
      </c>
      <c r="AA1398" s="374" t="b">
        <f t="shared" si="328"/>
        <v>1</v>
      </c>
      <c r="AB1398" s="374">
        <f>COUNTIFS(B:B,B1398,H:H,'סיווג התפקידים והעלויות'!$C$2)</f>
        <v>0</v>
      </c>
      <c r="AC1398" s="374">
        <f>COUNTIFS(B:B,B1398,H:H,'סיווג התפקידים והעלויות'!$D$2)</f>
        <v>0</v>
      </c>
      <c r="AD1398" s="374" t="str">
        <f>IF(OR(AND(H1398='סיווג התפקידים והעלויות'!$A$2,I1398='סיווג התפקידים והעלויות'!$A$3),'עלויות כח אדם (6)'!H1398='סיווג התפקידים והעלויות'!$C$2,'עלויות כח אדם (6)'!H1398='סיווג התפקידים והעלויות'!$D$2),IF('עלויות כח אדם (6)'!J1398&lt;75,"לא תקין","תקין"),"")</f>
        <v/>
      </c>
      <c r="AE1398" s="374" t="str">
        <f t="shared" si="329"/>
        <v/>
      </c>
      <c r="AF1398" s="532" t="str">
        <f t="shared" si="330"/>
        <v/>
      </c>
    </row>
    <row r="1399" spans="2:32" x14ac:dyDescent="0.25">
      <c r="B1399" s="695"/>
      <c r="C1399" s="197" t="str">
        <f>IF(B1399&lt;&gt;"",IFERROR(VLOOKUP(B:B,'מצבת והרשמה (2)'!$C$20:$N$520,2,0)," ")," ")</f>
        <v xml:space="preserve"> </v>
      </c>
      <c r="D1399" s="695"/>
      <c r="E1399" s="696"/>
      <c r="F1399" s="696"/>
      <c r="G1399" s="696"/>
      <c r="H1399" s="696"/>
      <c r="I1399" s="1050" t="str">
        <f t="shared" si="317"/>
        <v/>
      </c>
      <c r="J1399" s="696"/>
      <c r="K1399" s="697"/>
      <c r="L1399" s="696"/>
      <c r="M1399" s="198" t="str">
        <f t="shared" si="318"/>
        <v/>
      </c>
      <c r="N1399" s="369" t="str">
        <f t="shared" si="319"/>
        <v/>
      </c>
      <c r="O1399" s="183" t="str">
        <f t="shared" si="320"/>
        <v/>
      </c>
      <c r="P1399" s="199" t="str">
        <f t="shared" si="321"/>
        <v/>
      </c>
      <c r="Q1399" s="199" t="str">
        <f>IF(B1399="","",IFERROR(IF('עלויות כח אדם (6)'!J1399&gt;=VLOOKUP(I1399,'סיווג התפקידים והעלויות'!$B$23:$C$32,2,0),"תקין","לא תקין"),""))</f>
        <v/>
      </c>
      <c r="R1399" s="199" t="str">
        <f t="shared" si="322"/>
        <v/>
      </c>
      <c r="S1399" s="199" t="str">
        <f t="shared" si="323"/>
        <v/>
      </c>
      <c r="T1399" s="199" t="str">
        <f t="shared" si="331"/>
        <v/>
      </c>
      <c r="U1399" s="199" t="str">
        <f t="shared" si="324"/>
        <v/>
      </c>
      <c r="V1399" s="989"/>
      <c r="X1399" s="374" t="str">
        <f t="shared" si="325"/>
        <v/>
      </c>
      <c r="Y1399" s="375" t="str">
        <f t="shared" si="326"/>
        <v/>
      </c>
      <c r="Z1399" s="374" t="str">
        <f t="shared" si="327"/>
        <v/>
      </c>
      <c r="AA1399" s="374" t="b">
        <f t="shared" si="328"/>
        <v>1</v>
      </c>
      <c r="AB1399" s="374">
        <f>COUNTIFS(B:B,B1399,H:H,'סיווג התפקידים והעלויות'!$C$2)</f>
        <v>0</v>
      </c>
      <c r="AC1399" s="374">
        <f>COUNTIFS(B:B,B1399,H:H,'סיווג התפקידים והעלויות'!$D$2)</f>
        <v>0</v>
      </c>
      <c r="AD1399" s="374" t="str">
        <f>IF(OR(AND(H1399='סיווג התפקידים והעלויות'!$A$2,I1399='סיווג התפקידים והעלויות'!$A$3),'עלויות כח אדם (6)'!H1399='סיווג התפקידים והעלויות'!$C$2,'עלויות כח אדם (6)'!H1399='סיווג התפקידים והעלויות'!$D$2),IF('עלויות כח אדם (6)'!J1399&lt;75,"לא תקין","תקין"),"")</f>
        <v/>
      </c>
      <c r="AE1399" s="374" t="str">
        <f t="shared" si="329"/>
        <v/>
      </c>
      <c r="AF1399" s="532" t="str">
        <f t="shared" si="330"/>
        <v/>
      </c>
    </row>
    <row r="1400" spans="2:32" x14ac:dyDescent="0.25">
      <c r="B1400" s="695"/>
      <c r="C1400" s="197" t="str">
        <f>IF(B1400&lt;&gt;"",IFERROR(VLOOKUP(B:B,'מצבת והרשמה (2)'!$C$20:$N$520,2,0)," ")," ")</f>
        <v xml:space="preserve"> </v>
      </c>
      <c r="D1400" s="695"/>
      <c r="E1400" s="696"/>
      <c r="F1400" s="696"/>
      <c r="G1400" s="696"/>
      <c r="H1400" s="696"/>
      <c r="I1400" s="1050" t="str">
        <f t="shared" si="317"/>
        <v/>
      </c>
      <c r="J1400" s="696"/>
      <c r="K1400" s="697"/>
      <c r="L1400" s="696"/>
      <c r="M1400" s="198" t="str">
        <f t="shared" si="318"/>
        <v/>
      </c>
      <c r="N1400" s="369" t="str">
        <f t="shared" si="319"/>
        <v/>
      </c>
      <c r="O1400" s="183" t="str">
        <f t="shared" si="320"/>
        <v/>
      </c>
      <c r="P1400" s="199" t="str">
        <f t="shared" si="321"/>
        <v/>
      </c>
      <c r="Q1400" s="199" t="str">
        <f>IF(B1400="","",IFERROR(IF('עלויות כח אדם (6)'!J1400&gt;=VLOOKUP(I1400,'סיווג התפקידים והעלויות'!$B$23:$C$32,2,0),"תקין","לא תקין"),""))</f>
        <v/>
      </c>
      <c r="R1400" s="199" t="str">
        <f t="shared" si="322"/>
        <v/>
      </c>
      <c r="S1400" s="199" t="str">
        <f t="shared" si="323"/>
        <v/>
      </c>
      <c r="T1400" s="199" t="str">
        <f t="shared" si="331"/>
        <v/>
      </c>
      <c r="U1400" s="199" t="str">
        <f t="shared" si="324"/>
        <v/>
      </c>
      <c r="V1400" s="989"/>
      <c r="X1400" s="374" t="str">
        <f t="shared" si="325"/>
        <v/>
      </c>
      <c r="Y1400" s="375" t="str">
        <f t="shared" si="326"/>
        <v/>
      </c>
      <c r="Z1400" s="374" t="str">
        <f t="shared" si="327"/>
        <v/>
      </c>
      <c r="AA1400" s="374" t="b">
        <f t="shared" si="328"/>
        <v>1</v>
      </c>
      <c r="AB1400" s="374">
        <f>COUNTIFS(B:B,B1400,H:H,'סיווג התפקידים והעלויות'!$C$2)</f>
        <v>0</v>
      </c>
      <c r="AC1400" s="374">
        <f>COUNTIFS(B:B,B1400,H:H,'סיווג התפקידים והעלויות'!$D$2)</f>
        <v>0</v>
      </c>
      <c r="AD1400" s="374" t="str">
        <f>IF(OR(AND(H1400='סיווג התפקידים והעלויות'!$A$2,I1400='סיווג התפקידים והעלויות'!$A$3),'עלויות כח אדם (6)'!H1400='סיווג התפקידים והעלויות'!$C$2,'עלויות כח אדם (6)'!H1400='סיווג התפקידים והעלויות'!$D$2),IF('עלויות כח אדם (6)'!J1400&lt;75,"לא תקין","תקין"),"")</f>
        <v/>
      </c>
      <c r="AE1400" s="374" t="str">
        <f t="shared" si="329"/>
        <v/>
      </c>
      <c r="AF1400" s="532" t="str">
        <f t="shared" si="330"/>
        <v/>
      </c>
    </row>
    <row r="1401" spans="2:32" x14ac:dyDescent="0.25">
      <c r="B1401" s="695"/>
      <c r="C1401" s="197" t="str">
        <f>IF(B1401&lt;&gt;"",IFERROR(VLOOKUP(B:B,'מצבת והרשמה (2)'!$C$20:$N$520,2,0)," ")," ")</f>
        <v xml:space="preserve"> </v>
      </c>
      <c r="D1401" s="695"/>
      <c r="E1401" s="696"/>
      <c r="F1401" s="696"/>
      <c r="G1401" s="696"/>
      <c r="H1401" s="696"/>
      <c r="I1401" s="1050" t="str">
        <f t="shared" si="317"/>
        <v/>
      </c>
      <c r="J1401" s="696"/>
      <c r="K1401" s="697"/>
      <c r="L1401" s="696"/>
      <c r="M1401" s="198" t="str">
        <f t="shared" si="318"/>
        <v/>
      </c>
      <c r="N1401" s="369" t="str">
        <f t="shared" si="319"/>
        <v/>
      </c>
      <c r="O1401" s="183" t="str">
        <f t="shared" si="320"/>
        <v/>
      </c>
      <c r="P1401" s="199" t="str">
        <f t="shared" si="321"/>
        <v/>
      </c>
      <c r="Q1401" s="199" t="str">
        <f>IF(B1401="","",IFERROR(IF('עלויות כח אדם (6)'!J1401&gt;=VLOOKUP(I1401,'סיווג התפקידים והעלויות'!$B$23:$C$32,2,0),"תקין","לא תקין"),""))</f>
        <v/>
      </c>
      <c r="R1401" s="199" t="str">
        <f t="shared" si="322"/>
        <v/>
      </c>
      <c r="S1401" s="199" t="str">
        <f t="shared" si="323"/>
        <v/>
      </c>
      <c r="T1401" s="199" t="str">
        <f t="shared" si="331"/>
        <v/>
      </c>
      <c r="U1401" s="199" t="str">
        <f t="shared" si="324"/>
        <v/>
      </c>
      <c r="V1401" s="989"/>
      <c r="X1401" s="374" t="str">
        <f t="shared" si="325"/>
        <v/>
      </c>
      <c r="Y1401" s="375" t="str">
        <f t="shared" si="326"/>
        <v/>
      </c>
      <c r="Z1401" s="374" t="str">
        <f t="shared" si="327"/>
        <v/>
      </c>
      <c r="AA1401" s="374" t="b">
        <f t="shared" si="328"/>
        <v>1</v>
      </c>
      <c r="AB1401" s="374">
        <f>COUNTIFS(B:B,B1401,H:H,'סיווג התפקידים והעלויות'!$C$2)</f>
        <v>0</v>
      </c>
      <c r="AC1401" s="374">
        <f>COUNTIFS(B:B,B1401,H:H,'סיווג התפקידים והעלויות'!$D$2)</f>
        <v>0</v>
      </c>
      <c r="AD1401" s="374" t="str">
        <f>IF(OR(AND(H1401='סיווג התפקידים והעלויות'!$A$2,I1401='סיווג התפקידים והעלויות'!$A$3),'עלויות כח אדם (6)'!H1401='סיווג התפקידים והעלויות'!$C$2,'עלויות כח אדם (6)'!H1401='סיווג התפקידים והעלויות'!$D$2),IF('עלויות כח אדם (6)'!J1401&lt;75,"לא תקין","תקין"),"")</f>
        <v/>
      </c>
      <c r="AE1401" s="374" t="str">
        <f t="shared" si="329"/>
        <v/>
      </c>
      <c r="AF1401" s="532" t="str">
        <f t="shared" si="330"/>
        <v/>
      </c>
    </row>
    <row r="1402" spans="2:32" x14ac:dyDescent="0.25">
      <c r="B1402" s="695"/>
      <c r="C1402" s="197" t="str">
        <f>IF(B1402&lt;&gt;"",IFERROR(VLOOKUP(B:B,'מצבת והרשמה (2)'!$C$20:$N$520,2,0)," ")," ")</f>
        <v xml:space="preserve"> </v>
      </c>
      <c r="D1402" s="695"/>
      <c r="E1402" s="696"/>
      <c r="F1402" s="696"/>
      <c r="G1402" s="696"/>
      <c r="H1402" s="696"/>
      <c r="I1402" s="1050" t="str">
        <f t="shared" si="317"/>
        <v/>
      </c>
      <c r="J1402" s="696"/>
      <c r="K1402" s="697"/>
      <c r="L1402" s="696"/>
      <c r="M1402" s="198" t="str">
        <f t="shared" si="318"/>
        <v/>
      </c>
      <c r="N1402" s="369" t="str">
        <f t="shared" si="319"/>
        <v/>
      </c>
      <c r="O1402" s="183" t="str">
        <f t="shared" si="320"/>
        <v/>
      </c>
      <c r="P1402" s="199" t="str">
        <f t="shared" si="321"/>
        <v/>
      </c>
      <c r="Q1402" s="199" t="str">
        <f>IF(B1402="","",IFERROR(IF('עלויות כח אדם (6)'!J1402&gt;=VLOOKUP(I1402,'סיווג התפקידים והעלויות'!$B$23:$C$32,2,0),"תקין","לא תקין"),""))</f>
        <v/>
      </c>
      <c r="R1402" s="199" t="str">
        <f t="shared" si="322"/>
        <v/>
      </c>
      <c r="S1402" s="199" t="str">
        <f t="shared" si="323"/>
        <v/>
      </c>
      <c r="T1402" s="199" t="str">
        <f t="shared" si="331"/>
        <v/>
      </c>
      <c r="U1402" s="199" t="str">
        <f t="shared" si="324"/>
        <v/>
      </c>
      <c r="V1402" s="989"/>
      <c r="X1402" s="374" t="str">
        <f t="shared" si="325"/>
        <v/>
      </c>
      <c r="Y1402" s="375" t="str">
        <f t="shared" si="326"/>
        <v/>
      </c>
      <c r="Z1402" s="374" t="str">
        <f t="shared" si="327"/>
        <v/>
      </c>
      <c r="AA1402" s="374" t="b">
        <f t="shared" si="328"/>
        <v>1</v>
      </c>
      <c r="AB1402" s="374">
        <f>COUNTIFS(B:B,B1402,H:H,'סיווג התפקידים והעלויות'!$C$2)</f>
        <v>0</v>
      </c>
      <c r="AC1402" s="374">
        <f>COUNTIFS(B:B,B1402,H:H,'סיווג התפקידים והעלויות'!$D$2)</f>
        <v>0</v>
      </c>
      <c r="AD1402" s="374" t="str">
        <f>IF(OR(AND(H1402='סיווג התפקידים והעלויות'!$A$2,I1402='סיווג התפקידים והעלויות'!$A$3),'עלויות כח אדם (6)'!H1402='סיווג התפקידים והעלויות'!$C$2,'עלויות כח אדם (6)'!H1402='סיווג התפקידים והעלויות'!$D$2),IF('עלויות כח אדם (6)'!J1402&lt;75,"לא תקין","תקין"),"")</f>
        <v/>
      </c>
      <c r="AE1402" s="374" t="str">
        <f t="shared" si="329"/>
        <v/>
      </c>
      <c r="AF1402" s="532" t="str">
        <f t="shared" si="330"/>
        <v/>
      </c>
    </row>
    <row r="1403" spans="2:32" x14ac:dyDescent="0.25">
      <c r="B1403" s="695"/>
      <c r="C1403" s="197" t="str">
        <f>IF(B1403&lt;&gt;"",IFERROR(VLOOKUP(B:B,'מצבת והרשמה (2)'!$C$20:$N$520,2,0)," ")," ")</f>
        <v xml:space="preserve"> </v>
      </c>
      <c r="D1403" s="695"/>
      <c r="E1403" s="696"/>
      <c r="F1403" s="696"/>
      <c r="G1403" s="696"/>
      <c r="H1403" s="696"/>
      <c r="I1403" s="1050" t="str">
        <f t="shared" si="317"/>
        <v/>
      </c>
      <c r="J1403" s="696"/>
      <c r="K1403" s="697"/>
      <c r="L1403" s="696"/>
      <c r="M1403" s="198" t="str">
        <f t="shared" si="318"/>
        <v/>
      </c>
      <c r="N1403" s="369" t="str">
        <f t="shared" si="319"/>
        <v/>
      </c>
      <c r="O1403" s="183" t="str">
        <f t="shared" si="320"/>
        <v/>
      </c>
      <c r="P1403" s="199" t="str">
        <f t="shared" si="321"/>
        <v/>
      </c>
      <c r="Q1403" s="199" t="str">
        <f>IF(B1403="","",IFERROR(IF('עלויות כח אדם (6)'!J1403&gt;=VLOOKUP(I1403,'סיווג התפקידים והעלויות'!$B$23:$C$32,2,0),"תקין","לא תקין"),""))</f>
        <v/>
      </c>
      <c r="R1403" s="199" t="str">
        <f t="shared" si="322"/>
        <v/>
      </c>
      <c r="S1403" s="199" t="str">
        <f t="shared" si="323"/>
        <v/>
      </c>
      <c r="T1403" s="199" t="str">
        <f t="shared" si="331"/>
        <v/>
      </c>
      <c r="U1403" s="199" t="str">
        <f t="shared" si="324"/>
        <v/>
      </c>
      <c r="V1403" s="989"/>
      <c r="X1403" s="374" t="str">
        <f t="shared" si="325"/>
        <v/>
      </c>
      <c r="Y1403" s="375" t="str">
        <f t="shared" si="326"/>
        <v/>
      </c>
      <c r="Z1403" s="374" t="str">
        <f t="shared" si="327"/>
        <v/>
      </c>
      <c r="AA1403" s="374" t="b">
        <f t="shared" si="328"/>
        <v>1</v>
      </c>
      <c r="AB1403" s="374">
        <f>COUNTIFS(B:B,B1403,H:H,'סיווג התפקידים והעלויות'!$C$2)</f>
        <v>0</v>
      </c>
      <c r="AC1403" s="374">
        <f>COUNTIFS(B:B,B1403,H:H,'סיווג התפקידים והעלויות'!$D$2)</f>
        <v>0</v>
      </c>
      <c r="AD1403" s="374" t="str">
        <f>IF(OR(AND(H1403='סיווג התפקידים והעלויות'!$A$2,I1403='סיווג התפקידים והעלויות'!$A$3),'עלויות כח אדם (6)'!H1403='סיווג התפקידים והעלויות'!$C$2,'עלויות כח אדם (6)'!H1403='סיווג התפקידים והעלויות'!$D$2),IF('עלויות כח אדם (6)'!J1403&lt;75,"לא תקין","תקין"),"")</f>
        <v/>
      </c>
      <c r="AE1403" s="374" t="str">
        <f t="shared" si="329"/>
        <v/>
      </c>
      <c r="AF1403" s="532" t="str">
        <f t="shared" si="330"/>
        <v/>
      </c>
    </row>
    <row r="1404" spans="2:32" x14ac:dyDescent="0.25">
      <c r="B1404" s="695"/>
      <c r="C1404" s="197" t="str">
        <f>IF(B1404&lt;&gt;"",IFERROR(VLOOKUP(B:B,'מצבת והרשמה (2)'!$C$20:$N$520,2,0)," ")," ")</f>
        <v xml:space="preserve"> </v>
      </c>
      <c r="D1404" s="695"/>
      <c r="E1404" s="696"/>
      <c r="F1404" s="696"/>
      <c r="G1404" s="696"/>
      <c r="H1404" s="696"/>
      <c r="I1404" s="1050" t="str">
        <f t="shared" si="317"/>
        <v/>
      </c>
      <c r="J1404" s="696"/>
      <c r="K1404" s="697"/>
      <c r="L1404" s="696"/>
      <c r="M1404" s="198" t="str">
        <f t="shared" si="318"/>
        <v/>
      </c>
      <c r="N1404" s="369" t="str">
        <f t="shared" si="319"/>
        <v/>
      </c>
      <c r="O1404" s="183" t="str">
        <f t="shared" si="320"/>
        <v/>
      </c>
      <c r="P1404" s="199" t="str">
        <f t="shared" si="321"/>
        <v/>
      </c>
      <c r="Q1404" s="199" t="str">
        <f>IF(B1404="","",IFERROR(IF('עלויות כח אדם (6)'!J1404&gt;=VLOOKUP(I1404,'סיווג התפקידים והעלויות'!$B$23:$C$32,2,0),"תקין","לא תקין"),""))</f>
        <v/>
      </c>
      <c r="R1404" s="199" t="str">
        <f t="shared" si="322"/>
        <v/>
      </c>
      <c r="S1404" s="199" t="str">
        <f t="shared" si="323"/>
        <v/>
      </c>
      <c r="T1404" s="199" t="str">
        <f t="shared" si="331"/>
        <v/>
      </c>
      <c r="U1404" s="199" t="str">
        <f t="shared" si="324"/>
        <v/>
      </c>
      <c r="V1404" s="989"/>
      <c r="X1404" s="374" t="str">
        <f t="shared" si="325"/>
        <v/>
      </c>
      <c r="Y1404" s="375" t="str">
        <f t="shared" si="326"/>
        <v/>
      </c>
      <c r="Z1404" s="374" t="str">
        <f t="shared" si="327"/>
        <v/>
      </c>
      <c r="AA1404" s="374" t="b">
        <f t="shared" si="328"/>
        <v>1</v>
      </c>
      <c r="AB1404" s="374">
        <f>COUNTIFS(B:B,B1404,H:H,'סיווג התפקידים והעלויות'!$C$2)</f>
        <v>0</v>
      </c>
      <c r="AC1404" s="374">
        <f>COUNTIFS(B:B,B1404,H:H,'סיווג התפקידים והעלויות'!$D$2)</f>
        <v>0</v>
      </c>
      <c r="AD1404" s="374" t="str">
        <f>IF(OR(AND(H1404='סיווג התפקידים והעלויות'!$A$2,I1404='סיווג התפקידים והעלויות'!$A$3),'עלויות כח אדם (6)'!H1404='סיווג התפקידים והעלויות'!$C$2,'עלויות כח אדם (6)'!H1404='סיווג התפקידים והעלויות'!$D$2),IF('עלויות כח אדם (6)'!J1404&lt;75,"לא תקין","תקין"),"")</f>
        <v/>
      </c>
      <c r="AE1404" s="374" t="str">
        <f t="shared" si="329"/>
        <v/>
      </c>
      <c r="AF1404" s="532" t="str">
        <f t="shared" si="330"/>
        <v/>
      </c>
    </row>
    <row r="1405" spans="2:32" x14ac:dyDescent="0.25">
      <c r="B1405" s="695"/>
      <c r="C1405" s="197" t="str">
        <f>IF(B1405&lt;&gt;"",IFERROR(VLOOKUP(B:B,'מצבת והרשמה (2)'!$C$20:$N$520,2,0)," ")," ")</f>
        <v xml:space="preserve"> </v>
      </c>
      <c r="D1405" s="695"/>
      <c r="E1405" s="696"/>
      <c r="F1405" s="696"/>
      <c r="G1405" s="696"/>
      <c r="H1405" s="696"/>
      <c r="I1405" s="1050" t="str">
        <f t="shared" si="317"/>
        <v/>
      </c>
      <c r="J1405" s="696"/>
      <c r="K1405" s="697"/>
      <c r="L1405" s="696"/>
      <c r="M1405" s="198" t="str">
        <f t="shared" si="318"/>
        <v/>
      </c>
      <c r="N1405" s="369" t="str">
        <f t="shared" si="319"/>
        <v/>
      </c>
      <c r="O1405" s="183" t="str">
        <f t="shared" si="320"/>
        <v/>
      </c>
      <c r="P1405" s="199" t="str">
        <f t="shared" si="321"/>
        <v/>
      </c>
      <c r="Q1405" s="199" t="str">
        <f>IF(B1405="","",IFERROR(IF('עלויות כח אדם (6)'!J1405&gt;=VLOOKUP(I1405,'סיווג התפקידים והעלויות'!$B$23:$C$32,2,0),"תקין","לא תקין"),""))</f>
        <v/>
      </c>
      <c r="R1405" s="199" t="str">
        <f t="shared" si="322"/>
        <v/>
      </c>
      <c r="S1405" s="199" t="str">
        <f t="shared" si="323"/>
        <v/>
      </c>
      <c r="T1405" s="199" t="str">
        <f t="shared" si="331"/>
        <v/>
      </c>
      <c r="U1405" s="199" t="str">
        <f t="shared" si="324"/>
        <v/>
      </c>
      <c r="V1405" s="989"/>
      <c r="X1405" s="374" t="str">
        <f t="shared" si="325"/>
        <v/>
      </c>
      <c r="Y1405" s="375" t="str">
        <f t="shared" si="326"/>
        <v/>
      </c>
      <c r="Z1405" s="374" t="str">
        <f t="shared" si="327"/>
        <v/>
      </c>
      <c r="AA1405" s="374" t="b">
        <f t="shared" si="328"/>
        <v>1</v>
      </c>
      <c r="AB1405" s="374">
        <f>COUNTIFS(B:B,B1405,H:H,'סיווג התפקידים והעלויות'!$C$2)</f>
        <v>0</v>
      </c>
      <c r="AC1405" s="374">
        <f>COUNTIFS(B:B,B1405,H:H,'סיווג התפקידים והעלויות'!$D$2)</f>
        <v>0</v>
      </c>
      <c r="AD1405" s="374" t="str">
        <f>IF(OR(AND(H1405='סיווג התפקידים והעלויות'!$A$2,I1405='סיווג התפקידים והעלויות'!$A$3),'עלויות כח אדם (6)'!H1405='סיווג התפקידים והעלויות'!$C$2,'עלויות כח אדם (6)'!H1405='סיווג התפקידים והעלויות'!$D$2),IF('עלויות כח אדם (6)'!J1405&lt;75,"לא תקין","תקין"),"")</f>
        <v/>
      </c>
      <c r="AE1405" s="374" t="str">
        <f t="shared" si="329"/>
        <v/>
      </c>
      <c r="AF1405" s="532" t="str">
        <f t="shared" si="330"/>
        <v/>
      </c>
    </row>
    <row r="1406" spans="2:32" x14ac:dyDescent="0.25">
      <c r="B1406" s="695"/>
      <c r="C1406" s="197" t="str">
        <f>IF(B1406&lt;&gt;"",IFERROR(VLOOKUP(B:B,'מצבת והרשמה (2)'!$C$20:$N$520,2,0)," ")," ")</f>
        <v xml:space="preserve"> </v>
      </c>
      <c r="D1406" s="695"/>
      <c r="E1406" s="696"/>
      <c r="F1406" s="696"/>
      <c r="G1406" s="696"/>
      <c r="H1406" s="696"/>
      <c r="I1406" s="1050" t="str">
        <f t="shared" si="317"/>
        <v/>
      </c>
      <c r="J1406" s="696"/>
      <c r="K1406" s="697"/>
      <c r="L1406" s="696"/>
      <c r="M1406" s="198" t="str">
        <f t="shared" si="318"/>
        <v/>
      </c>
      <c r="N1406" s="369" t="str">
        <f t="shared" si="319"/>
        <v/>
      </c>
      <c r="O1406" s="183" t="str">
        <f t="shared" si="320"/>
        <v/>
      </c>
      <c r="P1406" s="199" t="str">
        <f t="shared" si="321"/>
        <v/>
      </c>
      <c r="Q1406" s="199" t="str">
        <f>IF(B1406="","",IFERROR(IF('עלויות כח אדם (6)'!J1406&gt;=VLOOKUP(I1406,'סיווג התפקידים והעלויות'!$B$23:$C$32,2,0),"תקין","לא תקין"),""))</f>
        <v/>
      </c>
      <c r="R1406" s="199" t="str">
        <f t="shared" si="322"/>
        <v/>
      </c>
      <c r="S1406" s="199" t="str">
        <f t="shared" si="323"/>
        <v/>
      </c>
      <c r="T1406" s="199" t="str">
        <f t="shared" si="331"/>
        <v/>
      </c>
      <c r="U1406" s="199" t="str">
        <f t="shared" si="324"/>
        <v/>
      </c>
      <c r="V1406" s="989"/>
      <c r="X1406" s="374" t="str">
        <f t="shared" si="325"/>
        <v/>
      </c>
      <c r="Y1406" s="375" t="str">
        <f t="shared" si="326"/>
        <v/>
      </c>
      <c r="Z1406" s="374" t="str">
        <f t="shared" si="327"/>
        <v/>
      </c>
      <c r="AA1406" s="374" t="b">
        <f t="shared" si="328"/>
        <v>1</v>
      </c>
      <c r="AB1406" s="374">
        <f>COUNTIFS(B:B,B1406,H:H,'סיווג התפקידים והעלויות'!$C$2)</f>
        <v>0</v>
      </c>
      <c r="AC1406" s="374">
        <f>COUNTIFS(B:B,B1406,H:H,'סיווג התפקידים והעלויות'!$D$2)</f>
        <v>0</v>
      </c>
      <c r="AD1406" s="374" t="str">
        <f>IF(OR(AND(H1406='סיווג התפקידים והעלויות'!$A$2,I1406='סיווג התפקידים והעלויות'!$A$3),'עלויות כח אדם (6)'!H1406='סיווג התפקידים והעלויות'!$C$2,'עלויות כח אדם (6)'!H1406='סיווג התפקידים והעלויות'!$D$2),IF('עלויות כח אדם (6)'!J1406&lt;75,"לא תקין","תקין"),"")</f>
        <v/>
      </c>
      <c r="AE1406" s="374" t="str">
        <f t="shared" si="329"/>
        <v/>
      </c>
      <c r="AF1406" s="532" t="str">
        <f t="shared" si="330"/>
        <v/>
      </c>
    </row>
    <row r="1407" spans="2:32" x14ac:dyDescent="0.25">
      <c r="B1407" s="695"/>
      <c r="C1407" s="197" t="str">
        <f>IF(B1407&lt;&gt;"",IFERROR(VLOOKUP(B:B,'מצבת והרשמה (2)'!$C$20:$N$520,2,0)," ")," ")</f>
        <v xml:space="preserve"> </v>
      </c>
      <c r="D1407" s="695"/>
      <c r="E1407" s="696"/>
      <c r="F1407" s="696"/>
      <c r="G1407" s="696"/>
      <c r="H1407" s="696"/>
      <c r="I1407" s="1050" t="str">
        <f t="shared" si="317"/>
        <v/>
      </c>
      <c r="J1407" s="696"/>
      <c r="K1407" s="697"/>
      <c r="L1407" s="696"/>
      <c r="M1407" s="198" t="str">
        <f t="shared" si="318"/>
        <v/>
      </c>
      <c r="N1407" s="369" t="str">
        <f t="shared" si="319"/>
        <v/>
      </c>
      <c r="O1407" s="183" t="str">
        <f t="shared" si="320"/>
        <v/>
      </c>
      <c r="P1407" s="199" t="str">
        <f t="shared" si="321"/>
        <v/>
      </c>
      <c r="Q1407" s="199" t="str">
        <f>IF(B1407="","",IFERROR(IF('עלויות כח אדם (6)'!J1407&gt;=VLOOKUP(I1407,'סיווג התפקידים והעלויות'!$B$23:$C$32,2,0),"תקין","לא תקין"),""))</f>
        <v/>
      </c>
      <c r="R1407" s="199" t="str">
        <f t="shared" si="322"/>
        <v/>
      </c>
      <c r="S1407" s="199" t="str">
        <f t="shared" si="323"/>
        <v/>
      </c>
      <c r="T1407" s="199" t="str">
        <f t="shared" si="331"/>
        <v/>
      </c>
      <c r="U1407" s="199" t="str">
        <f t="shared" si="324"/>
        <v/>
      </c>
      <c r="V1407" s="989"/>
      <c r="X1407" s="374" t="str">
        <f t="shared" si="325"/>
        <v/>
      </c>
      <c r="Y1407" s="375" t="str">
        <f t="shared" si="326"/>
        <v/>
      </c>
      <c r="Z1407" s="374" t="str">
        <f t="shared" si="327"/>
        <v/>
      </c>
      <c r="AA1407" s="374" t="b">
        <f t="shared" si="328"/>
        <v>1</v>
      </c>
      <c r="AB1407" s="374">
        <f>COUNTIFS(B:B,B1407,H:H,'סיווג התפקידים והעלויות'!$C$2)</f>
        <v>0</v>
      </c>
      <c r="AC1407" s="374">
        <f>COUNTIFS(B:B,B1407,H:H,'סיווג התפקידים והעלויות'!$D$2)</f>
        <v>0</v>
      </c>
      <c r="AD1407" s="374" t="str">
        <f>IF(OR(AND(H1407='סיווג התפקידים והעלויות'!$A$2,I1407='סיווג התפקידים והעלויות'!$A$3),'עלויות כח אדם (6)'!H1407='סיווג התפקידים והעלויות'!$C$2,'עלויות כח אדם (6)'!H1407='סיווג התפקידים והעלויות'!$D$2),IF('עלויות כח אדם (6)'!J1407&lt;75,"לא תקין","תקין"),"")</f>
        <v/>
      </c>
      <c r="AE1407" s="374" t="str">
        <f t="shared" si="329"/>
        <v/>
      </c>
      <c r="AF1407" s="532" t="str">
        <f t="shared" si="330"/>
        <v/>
      </c>
    </row>
    <row r="1408" spans="2:32" x14ac:dyDescent="0.25">
      <c r="B1408" s="695"/>
      <c r="C1408" s="197" t="str">
        <f>IF(B1408&lt;&gt;"",IFERROR(VLOOKUP(B:B,'מצבת והרשמה (2)'!$C$20:$N$520,2,0)," ")," ")</f>
        <v xml:space="preserve"> </v>
      </c>
      <c r="D1408" s="695"/>
      <c r="E1408" s="696"/>
      <c r="F1408" s="696"/>
      <c r="G1408" s="696"/>
      <c r="H1408" s="696"/>
      <c r="I1408" s="1050" t="str">
        <f t="shared" si="317"/>
        <v/>
      </c>
      <c r="J1408" s="696"/>
      <c r="K1408" s="697"/>
      <c r="L1408" s="696"/>
      <c r="M1408" s="198" t="str">
        <f t="shared" si="318"/>
        <v/>
      </c>
      <c r="N1408" s="369" t="str">
        <f t="shared" si="319"/>
        <v/>
      </c>
      <c r="O1408" s="183" t="str">
        <f t="shared" si="320"/>
        <v/>
      </c>
      <c r="P1408" s="199" t="str">
        <f t="shared" si="321"/>
        <v/>
      </c>
      <c r="Q1408" s="199" t="str">
        <f>IF(B1408="","",IFERROR(IF('עלויות כח אדם (6)'!J1408&gt;=VLOOKUP(I1408,'סיווג התפקידים והעלויות'!$B$23:$C$32,2,0),"תקין","לא תקין"),""))</f>
        <v/>
      </c>
      <c r="R1408" s="199" t="str">
        <f t="shared" si="322"/>
        <v/>
      </c>
      <c r="S1408" s="199" t="str">
        <f t="shared" si="323"/>
        <v/>
      </c>
      <c r="T1408" s="199" t="str">
        <f t="shared" si="331"/>
        <v/>
      </c>
      <c r="U1408" s="199" t="str">
        <f t="shared" si="324"/>
        <v/>
      </c>
      <c r="V1408" s="989"/>
      <c r="X1408" s="374" t="str">
        <f t="shared" si="325"/>
        <v/>
      </c>
      <c r="Y1408" s="375" t="str">
        <f t="shared" si="326"/>
        <v/>
      </c>
      <c r="Z1408" s="374" t="str">
        <f t="shared" si="327"/>
        <v/>
      </c>
      <c r="AA1408" s="374" t="b">
        <f t="shared" si="328"/>
        <v>1</v>
      </c>
      <c r="AB1408" s="374">
        <f>COUNTIFS(B:B,B1408,H:H,'סיווג התפקידים והעלויות'!$C$2)</f>
        <v>0</v>
      </c>
      <c r="AC1408" s="374">
        <f>COUNTIFS(B:B,B1408,H:H,'סיווג התפקידים והעלויות'!$D$2)</f>
        <v>0</v>
      </c>
      <c r="AD1408" s="374" t="str">
        <f>IF(OR(AND(H1408='סיווג התפקידים והעלויות'!$A$2,I1408='סיווג התפקידים והעלויות'!$A$3),'עלויות כח אדם (6)'!H1408='סיווג התפקידים והעלויות'!$C$2,'עלויות כח אדם (6)'!H1408='סיווג התפקידים והעלויות'!$D$2),IF('עלויות כח אדם (6)'!J1408&lt;75,"לא תקין","תקין"),"")</f>
        <v/>
      </c>
      <c r="AE1408" s="374" t="str">
        <f t="shared" si="329"/>
        <v/>
      </c>
      <c r="AF1408" s="532" t="str">
        <f t="shared" si="330"/>
        <v/>
      </c>
    </row>
    <row r="1409" spans="2:32" x14ac:dyDescent="0.25">
      <c r="B1409" s="695"/>
      <c r="C1409" s="197" t="str">
        <f>IF(B1409&lt;&gt;"",IFERROR(VLOOKUP(B:B,'מצבת והרשמה (2)'!$C$20:$N$520,2,0)," ")," ")</f>
        <v xml:space="preserve"> </v>
      </c>
      <c r="D1409" s="695"/>
      <c r="E1409" s="696"/>
      <c r="F1409" s="696"/>
      <c r="G1409" s="696"/>
      <c r="H1409" s="696"/>
      <c r="I1409" s="1050" t="str">
        <f t="shared" si="317"/>
        <v/>
      </c>
      <c r="J1409" s="696"/>
      <c r="K1409" s="697"/>
      <c r="L1409" s="696"/>
      <c r="M1409" s="198" t="str">
        <f t="shared" si="318"/>
        <v/>
      </c>
      <c r="N1409" s="369" t="str">
        <f t="shared" si="319"/>
        <v/>
      </c>
      <c r="O1409" s="183" t="str">
        <f t="shared" si="320"/>
        <v/>
      </c>
      <c r="P1409" s="199" t="str">
        <f t="shared" si="321"/>
        <v/>
      </c>
      <c r="Q1409" s="199" t="str">
        <f>IF(B1409="","",IFERROR(IF('עלויות כח אדם (6)'!J1409&gt;=VLOOKUP(I1409,'סיווג התפקידים והעלויות'!$B$23:$C$32,2,0),"תקין","לא תקין"),""))</f>
        <v/>
      </c>
      <c r="R1409" s="199" t="str">
        <f t="shared" si="322"/>
        <v/>
      </c>
      <c r="S1409" s="199" t="str">
        <f t="shared" si="323"/>
        <v/>
      </c>
      <c r="T1409" s="199" t="str">
        <f t="shared" si="331"/>
        <v/>
      </c>
      <c r="U1409" s="199" t="str">
        <f t="shared" si="324"/>
        <v/>
      </c>
      <c r="V1409" s="989"/>
      <c r="X1409" s="374" t="str">
        <f t="shared" si="325"/>
        <v/>
      </c>
      <c r="Y1409" s="375" t="str">
        <f t="shared" si="326"/>
        <v/>
      </c>
      <c r="Z1409" s="374" t="str">
        <f t="shared" si="327"/>
        <v/>
      </c>
      <c r="AA1409" s="374" t="b">
        <f t="shared" si="328"/>
        <v>1</v>
      </c>
      <c r="AB1409" s="374">
        <f>COUNTIFS(B:B,B1409,H:H,'סיווג התפקידים והעלויות'!$C$2)</f>
        <v>0</v>
      </c>
      <c r="AC1409" s="374">
        <f>COUNTIFS(B:B,B1409,H:H,'סיווג התפקידים והעלויות'!$D$2)</f>
        <v>0</v>
      </c>
      <c r="AD1409" s="374" t="str">
        <f>IF(OR(AND(H1409='סיווג התפקידים והעלויות'!$A$2,I1409='סיווג התפקידים והעלויות'!$A$3),'עלויות כח אדם (6)'!H1409='סיווג התפקידים והעלויות'!$C$2,'עלויות כח אדם (6)'!H1409='סיווג התפקידים והעלויות'!$D$2),IF('עלויות כח אדם (6)'!J1409&lt;75,"לא תקין","תקין"),"")</f>
        <v/>
      </c>
      <c r="AE1409" s="374" t="str">
        <f t="shared" si="329"/>
        <v/>
      </c>
      <c r="AF1409" s="532" t="str">
        <f t="shared" si="330"/>
        <v/>
      </c>
    </row>
    <row r="1410" spans="2:32" x14ac:dyDescent="0.25">
      <c r="B1410" s="695"/>
      <c r="C1410" s="197" t="str">
        <f>IF(B1410&lt;&gt;"",IFERROR(VLOOKUP(B:B,'מצבת והרשמה (2)'!$C$20:$N$520,2,0)," ")," ")</f>
        <v xml:space="preserve"> </v>
      </c>
      <c r="D1410" s="695"/>
      <c r="E1410" s="696"/>
      <c r="F1410" s="696"/>
      <c r="G1410" s="696"/>
      <c r="H1410" s="696"/>
      <c r="I1410" s="1050" t="str">
        <f t="shared" si="317"/>
        <v/>
      </c>
      <c r="J1410" s="696"/>
      <c r="K1410" s="697"/>
      <c r="L1410" s="696"/>
      <c r="M1410" s="198" t="str">
        <f t="shared" si="318"/>
        <v/>
      </c>
      <c r="N1410" s="369" t="str">
        <f t="shared" si="319"/>
        <v/>
      </c>
      <c r="O1410" s="183" t="str">
        <f t="shared" si="320"/>
        <v/>
      </c>
      <c r="P1410" s="199" t="str">
        <f t="shared" si="321"/>
        <v/>
      </c>
      <c r="Q1410" s="199" t="str">
        <f>IF(B1410="","",IFERROR(IF('עלויות כח אדם (6)'!J1410&gt;=VLOOKUP(I1410,'סיווג התפקידים והעלויות'!$B$23:$C$32,2,0),"תקין","לא תקין"),""))</f>
        <v/>
      </c>
      <c r="R1410" s="199" t="str">
        <f t="shared" si="322"/>
        <v/>
      </c>
      <c r="S1410" s="199" t="str">
        <f t="shared" si="323"/>
        <v/>
      </c>
      <c r="T1410" s="199" t="str">
        <f t="shared" si="331"/>
        <v/>
      </c>
      <c r="U1410" s="199" t="str">
        <f t="shared" si="324"/>
        <v/>
      </c>
      <c r="V1410" s="989"/>
      <c r="X1410" s="374" t="str">
        <f t="shared" si="325"/>
        <v/>
      </c>
      <c r="Y1410" s="375" t="str">
        <f t="shared" si="326"/>
        <v/>
      </c>
      <c r="Z1410" s="374" t="str">
        <f t="shared" si="327"/>
        <v/>
      </c>
      <c r="AA1410" s="374" t="b">
        <f t="shared" si="328"/>
        <v>1</v>
      </c>
      <c r="AB1410" s="374">
        <f>COUNTIFS(B:B,B1410,H:H,'סיווג התפקידים והעלויות'!$C$2)</f>
        <v>0</v>
      </c>
      <c r="AC1410" s="374">
        <f>COUNTIFS(B:B,B1410,H:H,'סיווג התפקידים והעלויות'!$D$2)</f>
        <v>0</v>
      </c>
      <c r="AD1410" s="374" t="str">
        <f>IF(OR(AND(H1410='סיווג התפקידים והעלויות'!$A$2,I1410='סיווג התפקידים והעלויות'!$A$3),'עלויות כח אדם (6)'!H1410='סיווג התפקידים והעלויות'!$C$2,'עלויות כח אדם (6)'!H1410='סיווג התפקידים והעלויות'!$D$2),IF('עלויות כח אדם (6)'!J1410&lt;75,"לא תקין","תקין"),"")</f>
        <v/>
      </c>
      <c r="AE1410" s="374" t="str">
        <f t="shared" si="329"/>
        <v/>
      </c>
      <c r="AF1410" s="532" t="str">
        <f t="shared" si="330"/>
        <v/>
      </c>
    </row>
    <row r="1411" spans="2:32" x14ac:dyDescent="0.25">
      <c r="B1411" s="695"/>
      <c r="C1411" s="197" t="str">
        <f>IF(B1411&lt;&gt;"",IFERROR(VLOOKUP(B:B,'מצבת והרשמה (2)'!$C$20:$N$520,2,0)," ")," ")</f>
        <v xml:space="preserve"> </v>
      </c>
      <c r="D1411" s="695"/>
      <c r="E1411" s="696"/>
      <c r="F1411" s="696"/>
      <c r="G1411" s="696"/>
      <c r="H1411" s="696"/>
      <c r="I1411" s="1050" t="str">
        <f t="shared" si="317"/>
        <v/>
      </c>
      <c r="J1411" s="696"/>
      <c r="K1411" s="697"/>
      <c r="L1411" s="696"/>
      <c r="M1411" s="198" t="str">
        <f t="shared" si="318"/>
        <v/>
      </c>
      <c r="N1411" s="369" t="str">
        <f t="shared" si="319"/>
        <v/>
      </c>
      <c r="O1411" s="183" t="str">
        <f t="shared" si="320"/>
        <v/>
      </c>
      <c r="P1411" s="199" t="str">
        <f t="shared" si="321"/>
        <v/>
      </c>
      <c r="Q1411" s="199" t="str">
        <f>IF(B1411="","",IFERROR(IF('עלויות כח אדם (6)'!J1411&gt;=VLOOKUP(I1411,'סיווג התפקידים והעלויות'!$B$23:$C$32,2,0),"תקין","לא תקין"),""))</f>
        <v/>
      </c>
      <c r="R1411" s="199" t="str">
        <f t="shared" si="322"/>
        <v/>
      </c>
      <c r="S1411" s="199" t="str">
        <f t="shared" si="323"/>
        <v/>
      </c>
      <c r="T1411" s="199" t="str">
        <f t="shared" si="331"/>
        <v/>
      </c>
      <c r="U1411" s="199" t="str">
        <f t="shared" si="324"/>
        <v/>
      </c>
      <c r="V1411" s="989"/>
      <c r="X1411" s="374" t="str">
        <f t="shared" si="325"/>
        <v/>
      </c>
      <c r="Y1411" s="375" t="str">
        <f t="shared" si="326"/>
        <v/>
      </c>
      <c r="Z1411" s="374" t="str">
        <f t="shared" si="327"/>
        <v/>
      </c>
      <c r="AA1411" s="374" t="b">
        <f t="shared" si="328"/>
        <v>1</v>
      </c>
      <c r="AB1411" s="374">
        <f>COUNTIFS(B:B,B1411,H:H,'סיווג התפקידים והעלויות'!$C$2)</f>
        <v>0</v>
      </c>
      <c r="AC1411" s="374">
        <f>COUNTIFS(B:B,B1411,H:H,'סיווג התפקידים והעלויות'!$D$2)</f>
        <v>0</v>
      </c>
      <c r="AD1411" s="374" t="str">
        <f>IF(OR(AND(H1411='סיווג התפקידים והעלויות'!$A$2,I1411='סיווג התפקידים והעלויות'!$A$3),'עלויות כח אדם (6)'!H1411='סיווג התפקידים והעלויות'!$C$2,'עלויות כח אדם (6)'!H1411='סיווג התפקידים והעלויות'!$D$2),IF('עלויות כח אדם (6)'!J1411&lt;75,"לא תקין","תקין"),"")</f>
        <v/>
      </c>
      <c r="AE1411" s="374" t="str">
        <f t="shared" si="329"/>
        <v/>
      </c>
      <c r="AF1411" s="532" t="str">
        <f t="shared" si="330"/>
        <v/>
      </c>
    </row>
    <row r="1412" spans="2:32" x14ac:dyDescent="0.25">
      <c r="B1412" s="695"/>
      <c r="C1412" s="197" t="str">
        <f>IF(B1412&lt;&gt;"",IFERROR(VLOOKUP(B:B,'מצבת והרשמה (2)'!$C$20:$N$520,2,0)," ")," ")</f>
        <v xml:space="preserve"> </v>
      </c>
      <c r="D1412" s="695"/>
      <c r="E1412" s="696"/>
      <c r="F1412" s="696"/>
      <c r="G1412" s="696"/>
      <c r="H1412" s="696"/>
      <c r="I1412" s="1050" t="str">
        <f t="shared" si="317"/>
        <v/>
      </c>
      <c r="J1412" s="696"/>
      <c r="K1412" s="697"/>
      <c r="L1412" s="696"/>
      <c r="M1412" s="198" t="str">
        <f t="shared" si="318"/>
        <v/>
      </c>
      <c r="N1412" s="369" t="str">
        <f t="shared" si="319"/>
        <v/>
      </c>
      <c r="O1412" s="183" t="str">
        <f t="shared" si="320"/>
        <v/>
      </c>
      <c r="P1412" s="199" t="str">
        <f t="shared" si="321"/>
        <v/>
      </c>
      <c r="Q1412" s="199" t="str">
        <f>IF(B1412="","",IFERROR(IF('עלויות כח אדם (6)'!J1412&gt;=VLOOKUP(I1412,'סיווג התפקידים והעלויות'!$B$23:$C$32,2,0),"תקין","לא תקין"),""))</f>
        <v/>
      </c>
      <c r="R1412" s="199" t="str">
        <f t="shared" si="322"/>
        <v/>
      </c>
      <c r="S1412" s="199" t="str">
        <f t="shared" si="323"/>
        <v/>
      </c>
      <c r="T1412" s="199" t="str">
        <f t="shared" si="331"/>
        <v/>
      </c>
      <c r="U1412" s="199" t="str">
        <f t="shared" si="324"/>
        <v/>
      </c>
      <c r="V1412" s="989"/>
      <c r="X1412" s="374" t="str">
        <f t="shared" si="325"/>
        <v/>
      </c>
      <c r="Y1412" s="375" t="str">
        <f t="shared" si="326"/>
        <v/>
      </c>
      <c r="Z1412" s="374" t="str">
        <f t="shared" si="327"/>
        <v/>
      </c>
      <c r="AA1412" s="374" t="b">
        <f t="shared" si="328"/>
        <v>1</v>
      </c>
      <c r="AB1412" s="374">
        <f>COUNTIFS(B:B,B1412,H:H,'סיווג התפקידים והעלויות'!$C$2)</f>
        <v>0</v>
      </c>
      <c r="AC1412" s="374">
        <f>COUNTIFS(B:B,B1412,H:H,'סיווג התפקידים והעלויות'!$D$2)</f>
        <v>0</v>
      </c>
      <c r="AD1412" s="374" t="str">
        <f>IF(OR(AND(H1412='סיווג התפקידים והעלויות'!$A$2,I1412='סיווג התפקידים והעלויות'!$A$3),'עלויות כח אדם (6)'!H1412='סיווג התפקידים והעלויות'!$C$2,'עלויות כח אדם (6)'!H1412='סיווג התפקידים והעלויות'!$D$2),IF('עלויות כח אדם (6)'!J1412&lt;75,"לא תקין","תקין"),"")</f>
        <v/>
      </c>
      <c r="AE1412" s="374" t="str">
        <f t="shared" si="329"/>
        <v/>
      </c>
      <c r="AF1412" s="532" t="str">
        <f t="shared" si="330"/>
        <v/>
      </c>
    </row>
    <row r="1413" spans="2:32" x14ac:dyDescent="0.25">
      <c r="B1413" s="695"/>
      <c r="C1413" s="197" t="str">
        <f>IF(B1413&lt;&gt;"",IFERROR(VLOOKUP(B:B,'מצבת והרשמה (2)'!$C$20:$N$520,2,0)," ")," ")</f>
        <v xml:space="preserve"> </v>
      </c>
      <c r="D1413" s="695"/>
      <c r="E1413" s="696"/>
      <c r="F1413" s="696"/>
      <c r="G1413" s="696"/>
      <c r="H1413" s="696"/>
      <c r="I1413" s="1050" t="str">
        <f t="shared" si="317"/>
        <v/>
      </c>
      <c r="J1413" s="696"/>
      <c r="K1413" s="697"/>
      <c r="L1413" s="696"/>
      <c r="M1413" s="198" t="str">
        <f t="shared" si="318"/>
        <v/>
      </c>
      <c r="N1413" s="369" t="str">
        <f t="shared" si="319"/>
        <v/>
      </c>
      <c r="O1413" s="183" t="str">
        <f t="shared" si="320"/>
        <v/>
      </c>
      <c r="P1413" s="199" t="str">
        <f t="shared" si="321"/>
        <v/>
      </c>
      <c r="Q1413" s="199" t="str">
        <f>IF(B1413="","",IFERROR(IF('עלויות כח אדם (6)'!J1413&gt;=VLOOKUP(I1413,'סיווג התפקידים והעלויות'!$B$23:$C$32,2,0),"תקין","לא תקין"),""))</f>
        <v/>
      </c>
      <c r="R1413" s="199" t="str">
        <f t="shared" si="322"/>
        <v/>
      </c>
      <c r="S1413" s="199" t="str">
        <f t="shared" si="323"/>
        <v/>
      </c>
      <c r="T1413" s="199" t="str">
        <f t="shared" si="331"/>
        <v/>
      </c>
      <c r="U1413" s="199" t="str">
        <f t="shared" si="324"/>
        <v/>
      </c>
      <c r="V1413" s="989"/>
      <c r="X1413" s="374" t="str">
        <f t="shared" si="325"/>
        <v/>
      </c>
      <c r="Y1413" s="375" t="str">
        <f t="shared" si="326"/>
        <v/>
      </c>
      <c r="Z1413" s="374" t="str">
        <f t="shared" si="327"/>
        <v/>
      </c>
      <c r="AA1413" s="374" t="b">
        <f t="shared" si="328"/>
        <v>1</v>
      </c>
      <c r="AB1413" s="374">
        <f>COUNTIFS(B:B,B1413,H:H,'סיווג התפקידים והעלויות'!$C$2)</f>
        <v>0</v>
      </c>
      <c r="AC1413" s="374">
        <f>COUNTIFS(B:B,B1413,H:H,'סיווג התפקידים והעלויות'!$D$2)</f>
        <v>0</v>
      </c>
      <c r="AD1413" s="374" t="str">
        <f>IF(OR(AND(H1413='סיווג התפקידים והעלויות'!$A$2,I1413='סיווג התפקידים והעלויות'!$A$3),'עלויות כח אדם (6)'!H1413='סיווג התפקידים והעלויות'!$C$2,'עלויות כח אדם (6)'!H1413='סיווג התפקידים והעלויות'!$D$2),IF('עלויות כח אדם (6)'!J1413&lt;75,"לא תקין","תקין"),"")</f>
        <v/>
      </c>
      <c r="AE1413" s="374" t="str">
        <f t="shared" si="329"/>
        <v/>
      </c>
      <c r="AF1413" s="532" t="str">
        <f t="shared" si="330"/>
        <v/>
      </c>
    </row>
    <row r="1414" spans="2:32" x14ac:dyDescent="0.25">
      <c r="B1414" s="695"/>
      <c r="C1414" s="197" t="str">
        <f>IF(B1414&lt;&gt;"",IFERROR(VLOOKUP(B:B,'מצבת והרשמה (2)'!$C$20:$N$520,2,0)," ")," ")</f>
        <v xml:space="preserve"> </v>
      </c>
      <c r="D1414" s="695"/>
      <c r="E1414" s="696"/>
      <c r="F1414" s="696"/>
      <c r="G1414" s="696"/>
      <c r="H1414" s="696"/>
      <c r="I1414" s="1050" t="str">
        <f t="shared" si="317"/>
        <v/>
      </c>
      <c r="J1414" s="696"/>
      <c r="K1414" s="697"/>
      <c r="L1414" s="696"/>
      <c r="M1414" s="198" t="str">
        <f t="shared" si="318"/>
        <v/>
      </c>
      <c r="N1414" s="369" t="str">
        <f t="shared" si="319"/>
        <v/>
      </c>
      <c r="O1414" s="183" t="str">
        <f t="shared" si="320"/>
        <v/>
      </c>
      <c r="P1414" s="199" t="str">
        <f t="shared" si="321"/>
        <v/>
      </c>
      <c r="Q1414" s="199" t="str">
        <f>IF(B1414="","",IFERROR(IF('עלויות כח אדם (6)'!J1414&gt;=VLOOKUP(I1414,'סיווג התפקידים והעלויות'!$B$23:$C$32,2,0),"תקין","לא תקין"),""))</f>
        <v/>
      </c>
      <c r="R1414" s="199" t="str">
        <f t="shared" si="322"/>
        <v/>
      </c>
      <c r="S1414" s="199" t="str">
        <f t="shared" si="323"/>
        <v/>
      </c>
      <c r="T1414" s="199" t="str">
        <f t="shared" si="331"/>
        <v/>
      </c>
      <c r="U1414" s="199" t="str">
        <f t="shared" si="324"/>
        <v/>
      </c>
      <c r="V1414" s="989"/>
      <c r="X1414" s="374" t="str">
        <f t="shared" si="325"/>
        <v/>
      </c>
      <c r="Y1414" s="375" t="str">
        <f t="shared" si="326"/>
        <v/>
      </c>
      <c r="Z1414" s="374" t="str">
        <f t="shared" si="327"/>
        <v/>
      </c>
      <c r="AA1414" s="374" t="b">
        <f t="shared" si="328"/>
        <v>1</v>
      </c>
      <c r="AB1414" s="374">
        <f>COUNTIFS(B:B,B1414,H:H,'סיווג התפקידים והעלויות'!$C$2)</f>
        <v>0</v>
      </c>
      <c r="AC1414" s="374">
        <f>COUNTIFS(B:B,B1414,H:H,'סיווג התפקידים והעלויות'!$D$2)</f>
        <v>0</v>
      </c>
      <c r="AD1414" s="374" t="str">
        <f>IF(OR(AND(H1414='סיווג התפקידים והעלויות'!$A$2,I1414='סיווג התפקידים והעלויות'!$A$3),'עלויות כח אדם (6)'!H1414='סיווג התפקידים והעלויות'!$C$2,'עלויות כח אדם (6)'!H1414='סיווג התפקידים והעלויות'!$D$2),IF('עלויות כח אדם (6)'!J1414&lt;75,"לא תקין","תקין"),"")</f>
        <v/>
      </c>
      <c r="AE1414" s="374" t="str">
        <f t="shared" si="329"/>
        <v/>
      </c>
      <c r="AF1414" s="532" t="str">
        <f t="shared" si="330"/>
        <v/>
      </c>
    </row>
    <row r="1415" spans="2:32" x14ac:dyDescent="0.25">
      <c r="B1415" s="695"/>
      <c r="C1415" s="197" t="str">
        <f>IF(B1415&lt;&gt;"",IFERROR(VLOOKUP(B:B,'מצבת והרשמה (2)'!$C$20:$N$520,2,0)," ")," ")</f>
        <v xml:space="preserve"> </v>
      </c>
      <c r="D1415" s="695"/>
      <c r="E1415" s="696"/>
      <c r="F1415" s="696"/>
      <c r="G1415" s="696"/>
      <c r="H1415" s="696"/>
      <c r="I1415" s="1050" t="str">
        <f t="shared" si="317"/>
        <v/>
      </c>
      <c r="J1415" s="696"/>
      <c r="K1415" s="697"/>
      <c r="L1415" s="696"/>
      <c r="M1415" s="198" t="str">
        <f t="shared" si="318"/>
        <v/>
      </c>
      <c r="N1415" s="369" t="str">
        <f t="shared" si="319"/>
        <v/>
      </c>
      <c r="O1415" s="183" t="str">
        <f t="shared" si="320"/>
        <v/>
      </c>
      <c r="P1415" s="199" t="str">
        <f t="shared" si="321"/>
        <v/>
      </c>
      <c r="Q1415" s="199" t="str">
        <f>IF(B1415="","",IFERROR(IF('עלויות כח אדם (6)'!J1415&gt;=VLOOKUP(I1415,'סיווג התפקידים והעלויות'!$B$23:$C$32,2,0),"תקין","לא תקין"),""))</f>
        <v/>
      </c>
      <c r="R1415" s="199" t="str">
        <f t="shared" si="322"/>
        <v/>
      </c>
      <c r="S1415" s="199" t="str">
        <f t="shared" si="323"/>
        <v/>
      </c>
      <c r="T1415" s="199" t="str">
        <f t="shared" si="331"/>
        <v/>
      </c>
      <c r="U1415" s="199" t="str">
        <f t="shared" si="324"/>
        <v/>
      </c>
      <c r="V1415" s="989"/>
      <c r="X1415" s="374" t="str">
        <f t="shared" si="325"/>
        <v/>
      </c>
      <c r="Y1415" s="375" t="str">
        <f t="shared" si="326"/>
        <v/>
      </c>
      <c r="Z1415" s="374" t="str">
        <f t="shared" si="327"/>
        <v/>
      </c>
      <c r="AA1415" s="374" t="b">
        <f t="shared" si="328"/>
        <v>1</v>
      </c>
      <c r="AB1415" s="374">
        <f>COUNTIFS(B:B,B1415,H:H,'סיווג התפקידים והעלויות'!$C$2)</f>
        <v>0</v>
      </c>
      <c r="AC1415" s="374">
        <f>COUNTIFS(B:B,B1415,H:H,'סיווג התפקידים והעלויות'!$D$2)</f>
        <v>0</v>
      </c>
      <c r="AD1415" s="374" t="str">
        <f>IF(OR(AND(H1415='סיווג התפקידים והעלויות'!$A$2,I1415='סיווג התפקידים והעלויות'!$A$3),'עלויות כח אדם (6)'!H1415='סיווג התפקידים והעלויות'!$C$2,'עלויות כח אדם (6)'!H1415='סיווג התפקידים והעלויות'!$D$2),IF('עלויות כח אדם (6)'!J1415&lt;75,"לא תקין","תקין"),"")</f>
        <v/>
      </c>
      <c r="AE1415" s="374" t="str">
        <f t="shared" si="329"/>
        <v/>
      </c>
      <c r="AF1415" s="532" t="str">
        <f t="shared" si="330"/>
        <v/>
      </c>
    </row>
    <row r="1416" spans="2:32" x14ac:dyDescent="0.25">
      <c r="B1416" s="695"/>
      <c r="C1416" s="197" t="str">
        <f>IF(B1416&lt;&gt;"",IFERROR(VLOOKUP(B:B,'מצבת והרשמה (2)'!$C$20:$N$520,2,0)," ")," ")</f>
        <v xml:space="preserve"> </v>
      </c>
      <c r="D1416" s="695"/>
      <c r="E1416" s="696"/>
      <c r="F1416" s="696"/>
      <c r="G1416" s="696"/>
      <c r="H1416" s="696"/>
      <c r="I1416" s="1050" t="str">
        <f t="shared" si="317"/>
        <v/>
      </c>
      <c r="J1416" s="696"/>
      <c r="K1416" s="697"/>
      <c r="L1416" s="696"/>
      <c r="M1416" s="198" t="str">
        <f t="shared" si="318"/>
        <v/>
      </c>
      <c r="N1416" s="369" t="str">
        <f t="shared" si="319"/>
        <v/>
      </c>
      <c r="O1416" s="183" t="str">
        <f t="shared" si="320"/>
        <v/>
      </c>
      <c r="P1416" s="199" t="str">
        <f t="shared" si="321"/>
        <v/>
      </c>
      <c r="Q1416" s="199" t="str">
        <f>IF(B1416="","",IFERROR(IF('עלויות כח אדם (6)'!J1416&gt;=VLOOKUP(I1416,'סיווג התפקידים והעלויות'!$B$23:$C$32,2,0),"תקין","לא תקין"),""))</f>
        <v/>
      </c>
      <c r="R1416" s="199" t="str">
        <f t="shared" si="322"/>
        <v/>
      </c>
      <c r="S1416" s="199" t="str">
        <f t="shared" si="323"/>
        <v/>
      </c>
      <c r="T1416" s="199" t="str">
        <f t="shared" si="331"/>
        <v/>
      </c>
      <c r="U1416" s="199" t="str">
        <f t="shared" si="324"/>
        <v/>
      </c>
      <c r="V1416" s="989"/>
      <c r="X1416" s="374" t="str">
        <f t="shared" si="325"/>
        <v/>
      </c>
      <c r="Y1416" s="375" t="str">
        <f t="shared" si="326"/>
        <v/>
      </c>
      <c r="Z1416" s="374" t="str">
        <f t="shared" si="327"/>
        <v/>
      </c>
      <c r="AA1416" s="374" t="b">
        <f t="shared" si="328"/>
        <v>1</v>
      </c>
      <c r="AB1416" s="374">
        <f>COUNTIFS(B:B,B1416,H:H,'סיווג התפקידים והעלויות'!$C$2)</f>
        <v>0</v>
      </c>
      <c r="AC1416" s="374">
        <f>COUNTIFS(B:B,B1416,H:H,'סיווג התפקידים והעלויות'!$D$2)</f>
        <v>0</v>
      </c>
      <c r="AD1416" s="374" t="str">
        <f>IF(OR(AND(H1416='סיווג התפקידים והעלויות'!$A$2,I1416='סיווג התפקידים והעלויות'!$A$3),'עלויות כח אדם (6)'!H1416='סיווג התפקידים והעלויות'!$C$2,'עלויות כח אדם (6)'!H1416='סיווג התפקידים והעלויות'!$D$2),IF('עלויות כח אדם (6)'!J1416&lt;75,"לא תקין","תקין"),"")</f>
        <v/>
      </c>
      <c r="AE1416" s="374" t="str">
        <f t="shared" si="329"/>
        <v/>
      </c>
      <c r="AF1416" s="532" t="str">
        <f t="shared" si="330"/>
        <v/>
      </c>
    </row>
    <row r="1417" spans="2:32" x14ac:dyDescent="0.25">
      <c r="B1417" s="695"/>
      <c r="C1417" s="197" t="str">
        <f>IF(B1417&lt;&gt;"",IFERROR(VLOOKUP(B:B,'מצבת והרשמה (2)'!$C$20:$N$520,2,0)," ")," ")</f>
        <v xml:space="preserve"> </v>
      </c>
      <c r="D1417" s="695"/>
      <c r="E1417" s="696"/>
      <c r="F1417" s="696"/>
      <c r="G1417" s="696"/>
      <c r="H1417" s="696"/>
      <c r="I1417" s="1050" t="str">
        <f t="shared" si="317"/>
        <v/>
      </c>
      <c r="J1417" s="696"/>
      <c r="K1417" s="697"/>
      <c r="L1417" s="696"/>
      <c r="M1417" s="198" t="str">
        <f t="shared" si="318"/>
        <v/>
      </c>
      <c r="N1417" s="369" t="str">
        <f t="shared" si="319"/>
        <v/>
      </c>
      <c r="O1417" s="183" t="str">
        <f t="shared" si="320"/>
        <v/>
      </c>
      <c r="P1417" s="199" t="str">
        <f t="shared" si="321"/>
        <v/>
      </c>
      <c r="Q1417" s="199" t="str">
        <f>IF(B1417="","",IFERROR(IF('עלויות כח אדם (6)'!J1417&gt;=VLOOKUP(I1417,'סיווג התפקידים והעלויות'!$B$23:$C$32,2,0),"תקין","לא תקין"),""))</f>
        <v/>
      </c>
      <c r="R1417" s="199" t="str">
        <f t="shared" si="322"/>
        <v/>
      </c>
      <c r="S1417" s="199" t="str">
        <f t="shared" si="323"/>
        <v/>
      </c>
      <c r="T1417" s="199" t="str">
        <f t="shared" si="331"/>
        <v/>
      </c>
      <c r="U1417" s="199" t="str">
        <f t="shared" si="324"/>
        <v/>
      </c>
      <c r="V1417" s="989"/>
      <c r="X1417" s="374" t="str">
        <f t="shared" si="325"/>
        <v/>
      </c>
      <c r="Y1417" s="375" t="str">
        <f t="shared" si="326"/>
        <v/>
      </c>
      <c r="Z1417" s="374" t="str">
        <f t="shared" si="327"/>
        <v/>
      </c>
      <c r="AA1417" s="374" t="b">
        <f t="shared" si="328"/>
        <v>1</v>
      </c>
      <c r="AB1417" s="374">
        <f>COUNTIFS(B:B,B1417,H:H,'סיווג התפקידים והעלויות'!$C$2)</f>
        <v>0</v>
      </c>
      <c r="AC1417" s="374">
        <f>COUNTIFS(B:B,B1417,H:H,'סיווג התפקידים והעלויות'!$D$2)</f>
        <v>0</v>
      </c>
      <c r="AD1417" s="374" t="str">
        <f>IF(OR(AND(H1417='סיווג התפקידים והעלויות'!$A$2,I1417='סיווג התפקידים והעלויות'!$A$3),'עלויות כח אדם (6)'!H1417='סיווג התפקידים והעלויות'!$C$2,'עלויות כח אדם (6)'!H1417='סיווג התפקידים והעלויות'!$D$2),IF('עלויות כח אדם (6)'!J1417&lt;75,"לא תקין","תקין"),"")</f>
        <v/>
      </c>
      <c r="AE1417" s="374" t="str">
        <f t="shared" si="329"/>
        <v/>
      </c>
      <c r="AF1417" s="532" t="str">
        <f t="shared" si="330"/>
        <v/>
      </c>
    </row>
    <row r="1418" spans="2:32" x14ac:dyDescent="0.25">
      <c r="B1418" s="695"/>
      <c r="C1418" s="197" t="str">
        <f>IF(B1418&lt;&gt;"",IFERROR(VLOOKUP(B:B,'מצבת והרשמה (2)'!$C$20:$N$520,2,0)," ")," ")</f>
        <v xml:space="preserve"> </v>
      </c>
      <c r="D1418" s="695"/>
      <c r="E1418" s="696"/>
      <c r="F1418" s="696"/>
      <c r="G1418" s="696"/>
      <c r="H1418" s="696"/>
      <c r="I1418" s="1050" t="str">
        <f t="shared" si="317"/>
        <v/>
      </c>
      <c r="J1418" s="696"/>
      <c r="K1418" s="697"/>
      <c r="L1418" s="696"/>
      <c r="M1418" s="198" t="str">
        <f t="shared" si="318"/>
        <v/>
      </c>
      <c r="N1418" s="369" t="str">
        <f t="shared" si="319"/>
        <v/>
      </c>
      <c r="O1418" s="183" t="str">
        <f t="shared" si="320"/>
        <v/>
      </c>
      <c r="P1418" s="199" t="str">
        <f t="shared" si="321"/>
        <v/>
      </c>
      <c r="Q1418" s="199" t="str">
        <f>IF(B1418="","",IFERROR(IF('עלויות כח אדם (6)'!J1418&gt;=VLOOKUP(I1418,'סיווג התפקידים והעלויות'!$B$23:$C$32,2,0),"תקין","לא תקין"),""))</f>
        <v/>
      </c>
      <c r="R1418" s="199" t="str">
        <f t="shared" si="322"/>
        <v/>
      </c>
      <c r="S1418" s="199" t="str">
        <f t="shared" si="323"/>
        <v/>
      </c>
      <c r="T1418" s="199" t="str">
        <f t="shared" si="331"/>
        <v/>
      </c>
      <c r="U1418" s="199" t="str">
        <f t="shared" si="324"/>
        <v/>
      </c>
      <c r="V1418" s="989"/>
      <c r="X1418" s="374" t="str">
        <f t="shared" si="325"/>
        <v/>
      </c>
      <c r="Y1418" s="375" t="str">
        <f t="shared" si="326"/>
        <v/>
      </c>
      <c r="Z1418" s="374" t="str">
        <f t="shared" si="327"/>
        <v/>
      </c>
      <c r="AA1418" s="374" t="b">
        <f t="shared" si="328"/>
        <v>1</v>
      </c>
      <c r="AB1418" s="374">
        <f>COUNTIFS(B:B,B1418,H:H,'סיווג התפקידים והעלויות'!$C$2)</f>
        <v>0</v>
      </c>
      <c r="AC1418" s="374">
        <f>COUNTIFS(B:B,B1418,H:H,'סיווג התפקידים והעלויות'!$D$2)</f>
        <v>0</v>
      </c>
      <c r="AD1418" s="374" t="str">
        <f>IF(OR(AND(H1418='סיווג התפקידים והעלויות'!$A$2,I1418='סיווג התפקידים והעלויות'!$A$3),'עלויות כח אדם (6)'!H1418='סיווג התפקידים והעלויות'!$C$2,'עלויות כח אדם (6)'!H1418='סיווג התפקידים והעלויות'!$D$2),IF('עלויות כח אדם (6)'!J1418&lt;75,"לא תקין","תקין"),"")</f>
        <v/>
      </c>
      <c r="AE1418" s="374" t="str">
        <f t="shared" si="329"/>
        <v/>
      </c>
      <c r="AF1418" s="532" t="str">
        <f t="shared" si="330"/>
        <v/>
      </c>
    </row>
    <row r="1419" spans="2:32" x14ac:dyDescent="0.25">
      <c r="B1419" s="695"/>
      <c r="C1419" s="197" t="str">
        <f>IF(B1419&lt;&gt;"",IFERROR(VLOOKUP(B:B,'מצבת והרשמה (2)'!$C$20:$N$520,2,0)," ")," ")</f>
        <v xml:space="preserve"> </v>
      </c>
      <c r="D1419" s="695"/>
      <c r="E1419" s="696"/>
      <c r="F1419" s="696"/>
      <c r="G1419" s="696"/>
      <c r="H1419" s="696"/>
      <c r="I1419" s="1050" t="str">
        <f t="shared" si="317"/>
        <v/>
      </c>
      <c r="J1419" s="696"/>
      <c r="K1419" s="697"/>
      <c r="L1419" s="696"/>
      <c r="M1419" s="198" t="str">
        <f t="shared" si="318"/>
        <v/>
      </c>
      <c r="N1419" s="369" t="str">
        <f t="shared" si="319"/>
        <v/>
      </c>
      <c r="O1419" s="183" t="str">
        <f t="shared" si="320"/>
        <v/>
      </c>
      <c r="P1419" s="199" t="str">
        <f t="shared" si="321"/>
        <v/>
      </c>
      <c r="Q1419" s="199" t="str">
        <f>IF(B1419="","",IFERROR(IF('עלויות כח אדם (6)'!J1419&gt;=VLOOKUP(I1419,'סיווג התפקידים והעלויות'!$B$23:$C$32,2,0),"תקין","לא תקין"),""))</f>
        <v/>
      </c>
      <c r="R1419" s="199" t="str">
        <f t="shared" si="322"/>
        <v/>
      </c>
      <c r="S1419" s="199" t="str">
        <f t="shared" si="323"/>
        <v/>
      </c>
      <c r="T1419" s="199" t="str">
        <f t="shared" si="331"/>
        <v/>
      </c>
      <c r="U1419" s="199" t="str">
        <f t="shared" si="324"/>
        <v/>
      </c>
      <c r="V1419" s="989"/>
      <c r="X1419" s="374" t="str">
        <f t="shared" si="325"/>
        <v/>
      </c>
      <c r="Y1419" s="375" t="str">
        <f t="shared" si="326"/>
        <v/>
      </c>
      <c r="Z1419" s="374" t="str">
        <f t="shared" si="327"/>
        <v/>
      </c>
      <c r="AA1419" s="374" t="b">
        <f t="shared" si="328"/>
        <v>1</v>
      </c>
      <c r="AB1419" s="374">
        <f>COUNTIFS(B:B,B1419,H:H,'סיווג התפקידים והעלויות'!$C$2)</f>
        <v>0</v>
      </c>
      <c r="AC1419" s="374">
        <f>COUNTIFS(B:B,B1419,H:H,'סיווג התפקידים והעלויות'!$D$2)</f>
        <v>0</v>
      </c>
      <c r="AD1419" s="374" t="str">
        <f>IF(OR(AND(H1419='סיווג התפקידים והעלויות'!$A$2,I1419='סיווג התפקידים והעלויות'!$A$3),'עלויות כח אדם (6)'!H1419='סיווג התפקידים והעלויות'!$C$2,'עלויות כח אדם (6)'!H1419='סיווג התפקידים והעלויות'!$D$2),IF('עלויות כח אדם (6)'!J1419&lt;75,"לא תקין","תקין"),"")</f>
        <v/>
      </c>
      <c r="AE1419" s="374" t="str">
        <f t="shared" si="329"/>
        <v/>
      </c>
      <c r="AF1419" s="532" t="str">
        <f t="shared" si="330"/>
        <v/>
      </c>
    </row>
    <row r="1420" spans="2:32" x14ac:dyDescent="0.25">
      <c r="B1420" s="695"/>
      <c r="C1420" s="197" t="str">
        <f>IF(B1420&lt;&gt;"",IFERROR(VLOOKUP(B:B,'מצבת והרשמה (2)'!$C$20:$N$520,2,0)," ")," ")</f>
        <v xml:space="preserve"> </v>
      </c>
      <c r="D1420" s="695"/>
      <c r="E1420" s="696"/>
      <c r="F1420" s="696"/>
      <c r="G1420" s="696"/>
      <c r="H1420" s="696"/>
      <c r="I1420" s="1050" t="str">
        <f t="shared" si="317"/>
        <v/>
      </c>
      <c r="J1420" s="696"/>
      <c r="K1420" s="697"/>
      <c r="L1420" s="696"/>
      <c r="M1420" s="198" t="str">
        <f t="shared" si="318"/>
        <v/>
      </c>
      <c r="N1420" s="369" t="str">
        <f t="shared" si="319"/>
        <v/>
      </c>
      <c r="O1420" s="183" t="str">
        <f t="shared" si="320"/>
        <v/>
      </c>
      <c r="P1420" s="199" t="str">
        <f t="shared" si="321"/>
        <v/>
      </c>
      <c r="Q1420" s="199" t="str">
        <f>IF(B1420="","",IFERROR(IF('עלויות כח אדם (6)'!J1420&gt;=VLOOKUP(I1420,'סיווג התפקידים והעלויות'!$B$23:$C$32,2,0),"תקין","לא תקין"),""))</f>
        <v/>
      </c>
      <c r="R1420" s="199" t="str">
        <f t="shared" si="322"/>
        <v/>
      </c>
      <c r="S1420" s="199" t="str">
        <f t="shared" si="323"/>
        <v/>
      </c>
      <c r="T1420" s="199" t="str">
        <f t="shared" si="331"/>
        <v/>
      </c>
      <c r="U1420" s="199" t="str">
        <f t="shared" si="324"/>
        <v/>
      </c>
      <c r="V1420" s="989"/>
      <c r="X1420" s="374" t="str">
        <f t="shared" si="325"/>
        <v/>
      </c>
      <c r="Y1420" s="375" t="str">
        <f t="shared" si="326"/>
        <v/>
      </c>
      <c r="Z1420" s="374" t="str">
        <f t="shared" si="327"/>
        <v/>
      </c>
      <c r="AA1420" s="374" t="b">
        <f t="shared" si="328"/>
        <v>1</v>
      </c>
      <c r="AB1420" s="374">
        <f>COUNTIFS(B:B,B1420,H:H,'סיווג התפקידים והעלויות'!$C$2)</f>
        <v>0</v>
      </c>
      <c r="AC1420" s="374">
        <f>COUNTIFS(B:B,B1420,H:H,'סיווג התפקידים והעלויות'!$D$2)</f>
        <v>0</v>
      </c>
      <c r="AD1420" s="374" t="str">
        <f>IF(OR(AND(H1420='סיווג התפקידים והעלויות'!$A$2,I1420='סיווג התפקידים והעלויות'!$A$3),'עלויות כח אדם (6)'!H1420='סיווג התפקידים והעלויות'!$C$2,'עלויות כח אדם (6)'!H1420='סיווג התפקידים והעלויות'!$D$2),IF('עלויות כח אדם (6)'!J1420&lt;75,"לא תקין","תקין"),"")</f>
        <v/>
      </c>
      <c r="AE1420" s="374" t="str">
        <f t="shared" si="329"/>
        <v/>
      </c>
      <c r="AF1420" s="532" t="str">
        <f t="shared" si="330"/>
        <v/>
      </c>
    </row>
    <row r="1421" spans="2:32" x14ac:dyDescent="0.25">
      <c r="B1421" s="695"/>
      <c r="C1421" s="197" t="str">
        <f>IF(B1421&lt;&gt;"",IFERROR(VLOOKUP(B:B,'מצבת והרשמה (2)'!$C$20:$N$520,2,0)," ")," ")</f>
        <v xml:space="preserve"> </v>
      </c>
      <c r="D1421" s="695"/>
      <c r="E1421" s="696"/>
      <c r="F1421" s="696"/>
      <c r="G1421" s="696"/>
      <c r="H1421" s="696"/>
      <c r="I1421" s="1050" t="str">
        <f t="shared" si="317"/>
        <v/>
      </c>
      <c r="J1421" s="696"/>
      <c r="K1421" s="697"/>
      <c r="L1421" s="696"/>
      <c r="M1421" s="198" t="str">
        <f t="shared" si="318"/>
        <v/>
      </c>
      <c r="N1421" s="369" t="str">
        <f t="shared" si="319"/>
        <v/>
      </c>
      <c r="O1421" s="183" t="str">
        <f t="shared" si="320"/>
        <v/>
      </c>
      <c r="P1421" s="199" t="str">
        <f t="shared" si="321"/>
        <v/>
      </c>
      <c r="Q1421" s="199" t="str">
        <f>IF(B1421="","",IFERROR(IF('עלויות כח אדם (6)'!J1421&gt;=VLOOKUP(I1421,'סיווג התפקידים והעלויות'!$B$23:$C$32,2,0),"תקין","לא תקין"),""))</f>
        <v/>
      </c>
      <c r="R1421" s="199" t="str">
        <f t="shared" si="322"/>
        <v/>
      </c>
      <c r="S1421" s="199" t="str">
        <f t="shared" si="323"/>
        <v/>
      </c>
      <c r="T1421" s="199" t="str">
        <f t="shared" si="331"/>
        <v/>
      </c>
      <c r="U1421" s="199" t="str">
        <f t="shared" si="324"/>
        <v/>
      </c>
      <c r="V1421" s="989"/>
      <c r="X1421" s="374" t="str">
        <f t="shared" si="325"/>
        <v/>
      </c>
      <c r="Y1421" s="375" t="str">
        <f t="shared" si="326"/>
        <v/>
      </c>
      <c r="Z1421" s="374" t="str">
        <f t="shared" si="327"/>
        <v/>
      </c>
      <c r="AA1421" s="374" t="b">
        <f t="shared" si="328"/>
        <v>1</v>
      </c>
      <c r="AB1421" s="374">
        <f>COUNTIFS(B:B,B1421,H:H,'סיווג התפקידים והעלויות'!$C$2)</f>
        <v>0</v>
      </c>
      <c r="AC1421" s="374">
        <f>COUNTIFS(B:B,B1421,H:H,'סיווג התפקידים והעלויות'!$D$2)</f>
        <v>0</v>
      </c>
      <c r="AD1421" s="374" t="str">
        <f>IF(OR(AND(H1421='סיווג התפקידים והעלויות'!$A$2,I1421='סיווג התפקידים והעלויות'!$A$3),'עלויות כח אדם (6)'!H1421='סיווג התפקידים והעלויות'!$C$2,'עלויות כח אדם (6)'!H1421='סיווג התפקידים והעלויות'!$D$2),IF('עלויות כח אדם (6)'!J1421&lt;75,"לא תקין","תקין"),"")</f>
        <v/>
      </c>
      <c r="AE1421" s="374" t="str">
        <f t="shared" si="329"/>
        <v/>
      </c>
      <c r="AF1421" s="532" t="str">
        <f t="shared" si="330"/>
        <v/>
      </c>
    </row>
    <row r="1422" spans="2:32" x14ac:dyDescent="0.25">
      <c r="B1422" s="695"/>
      <c r="C1422" s="197" t="str">
        <f>IF(B1422&lt;&gt;"",IFERROR(VLOOKUP(B:B,'מצבת והרשמה (2)'!$C$20:$N$520,2,0)," ")," ")</f>
        <v xml:space="preserve"> </v>
      </c>
      <c r="D1422" s="695"/>
      <c r="E1422" s="696"/>
      <c r="F1422" s="696"/>
      <c r="G1422" s="696"/>
      <c r="H1422" s="696"/>
      <c r="I1422" s="1050" t="str">
        <f t="shared" si="317"/>
        <v/>
      </c>
      <c r="J1422" s="696"/>
      <c r="K1422" s="697"/>
      <c r="L1422" s="696"/>
      <c r="M1422" s="198" t="str">
        <f t="shared" si="318"/>
        <v/>
      </c>
      <c r="N1422" s="369" t="str">
        <f t="shared" si="319"/>
        <v/>
      </c>
      <c r="O1422" s="183" t="str">
        <f t="shared" si="320"/>
        <v/>
      </c>
      <c r="P1422" s="199" t="str">
        <f t="shared" si="321"/>
        <v/>
      </c>
      <c r="Q1422" s="199" t="str">
        <f>IF(B1422="","",IFERROR(IF('עלויות כח אדם (6)'!J1422&gt;=VLOOKUP(I1422,'סיווג התפקידים והעלויות'!$B$23:$C$32,2,0),"תקין","לא תקין"),""))</f>
        <v/>
      </c>
      <c r="R1422" s="199" t="str">
        <f t="shared" si="322"/>
        <v/>
      </c>
      <c r="S1422" s="199" t="str">
        <f t="shared" si="323"/>
        <v/>
      </c>
      <c r="T1422" s="199" t="str">
        <f t="shared" si="331"/>
        <v/>
      </c>
      <c r="U1422" s="199" t="str">
        <f t="shared" si="324"/>
        <v/>
      </c>
      <c r="V1422" s="989"/>
      <c r="X1422" s="374" t="str">
        <f t="shared" si="325"/>
        <v/>
      </c>
      <c r="Y1422" s="375" t="str">
        <f t="shared" si="326"/>
        <v/>
      </c>
      <c r="Z1422" s="374" t="str">
        <f t="shared" si="327"/>
        <v/>
      </c>
      <c r="AA1422" s="374" t="b">
        <f t="shared" si="328"/>
        <v>1</v>
      </c>
      <c r="AB1422" s="374">
        <f>COUNTIFS(B:B,B1422,H:H,'סיווג התפקידים והעלויות'!$C$2)</f>
        <v>0</v>
      </c>
      <c r="AC1422" s="374">
        <f>COUNTIFS(B:B,B1422,H:H,'סיווג התפקידים והעלויות'!$D$2)</f>
        <v>0</v>
      </c>
      <c r="AD1422" s="374" t="str">
        <f>IF(OR(AND(H1422='סיווג התפקידים והעלויות'!$A$2,I1422='סיווג התפקידים והעלויות'!$A$3),'עלויות כח אדם (6)'!H1422='סיווג התפקידים והעלויות'!$C$2,'עלויות כח אדם (6)'!H1422='סיווג התפקידים והעלויות'!$D$2),IF('עלויות כח אדם (6)'!J1422&lt;75,"לא תקין","תקין"),"")</f>
        <v/>
      </c>
      <c r="AE1422" s="374" t="str">
        <f t="shared" si="329"/>
        <v/>
      </c>
      <c r="AF1422" s="532" t="str">
        <f t="shared" si="330"/>
        <v/>
      </c>
    </row>
    <row r="1423" spans="2:32" x14ac:dyDescent="0.25">
      <c r="B1423" s="695"/>
      <c r="C1423" s="197" t="str">
        <f>IF(B1423&lt;&gt;"",IFERROR(VLOOKUP(B:B,'מצבת והרשמה (2)'!$C$20:$N$520,2,0)," ")," ")</f>
        <v xml:space="preserve"> </v>
      </c>
      <c r="D1423" s="695"/>
      <c r="E1423" s="696"/>
      <c r="F1423" s="696"/>
      <c r="G1423" s="696"/>
      <c r="H1423" s="696"/>
      <c r="I1423" s="1050" t="str">
        <f t="shared" ref="I1423:I1486" si="332">SUBSTITUTE(IFERROR(IF(H1423="מדצ","מדצ/ית",IF(H1423="סגנית רכזת מעל 150","סגנ/ית רכז/ת&gt;150",IF(H1423="רכזת תכנית בבית הספר","רכז/ת תכנית בבית הספר"))),""),"FALSE","")</f>
        <v/>
      </c>
      <c r="J1423" s="696"/>
      <c r="K1423" s="697"/>
      <c r="L1423" s="696"/>
      <c r="M1423" s="198" t="str">
        <f t="shared" ref="M1423:M1486" si="333">IF(AND(L1423&gt;0,K1423&gt;0),K1423*L1423,"")</f>
        <v/>
      </c>
      <c r="N1423" s="369" t="str">
        <f t="shared" ref="N1423:N1486" si="334">TEXT(LEFT(H1423,2),0)</f>
        <v/>
      </c>
      <c r="O1423" s="183" t="str">
        <f t="shared" ref="O1423:O1486" si="335">IF(ISNUMBER(M1423&gt;0),IF(ISBLANK(B1423),"יש להזין סמל מוסד בעמודה B",""),"")</f>
        <v/>
      </c>
      <c r="P1423" s="199" t="str">
        <f t="shared" ref="P1423:P1486" si="336">IF(B1423="","",IF(AA1423=FALSE,"לא תקין","תקין"))</f>
        <v/>
      </c>
      <c r="Q1423" s="199" t="str">
        <f>IF(B1423="","",IFERROR(IF('עלויות כח אדם (6)'!J1423&gt;=VLOOKUP(I1423,'סיווג התפקידים והעלויות'!$B$23:$C$32,2,0),"תקין","לא תקין"),""))</f>
        <v/>
      </c>
      <c r="R1423" s="199" t="str">
        <f t="shared" ref="R1423:R1486" si="337">IF(B1423="","",IF(OR(Y1423&lt;100%,Y1423&gt;140%),"לא תקין","תקין"))</f>
        <v/>
      </c>
      <c r="S1423" s="199" t="str">
        <f t="shared" ref="S1423:S1486" si="338">IF(B1423="","",IFERROR(IF(J1423&gt;120,"לא תקין","תקין"),""))</f>
        <v/>
      </c>
      <c r="T1423" s="199" t="str">
        <f t="shared" si="331"/>
        <v/>
      </c>
      <c r="U1423" s="199" t="str">
        <f t="shared" ref="U1423:U1486" si="339">IF(B1423="","",IF(Z1423&gt;1,IF(SUMIF(D:D,D1423,L:L)&gt;90,"לא תקין","תקין"),"תקין"))</f>
        <v/>
      </c>
      <c r="V1423" s="989"/>
      <c r="X1423" s="374" t="str">
        <f t="shared" ref="X1423:X1486" si="340">IF(B1423="","",IF(OR(R1423="לא תקין",S1423="לא תקין",T1423="לא תקין",,U1423="לא תקין"),"לא תקין","תקין"))</f>
        <v/>
      </c>
      <c r="Y1423" s="375" t="str">
        <f t="shared" ref="Y1423:Y1486" si="341">IFERROR(IF(B1423="","",K1423/J1423),"")</f>
        <v/>
      </c>
      <c r="Z1423" s="374" t="str">
        <f t="shared" ref="Z1423:Z1486" si="342">IF(B1423="","",COUNTIF(D:D,D1423))</f>
        <v/>
      </c>
      <c r="AA1423" s="374" t="b">
        <f t="shared" ref="AA1423:AA1486" si="343">MOD(MID(REPT(0,9-LEN(D1423))&amp;D1423,1,1)+MID("0246813579",MID(REPT(0,9-LEN(D1423))&amp;D1423,2,1)+1,1)+MID(REPT(0,9-LEN(D1423))&amp;D1423,3,1)+MID("0246813579",MID(REPT(0,9-LEN(D1423))&amp;D1423,4,1)+1,1)+MID(REPT(0,9-LEN(D1423))&amp;D1423,5,1)+MID("0246813579",MID(REPT(0,9-LEN(D1423))&amp;D1423,6,1)+1,1)+MID(REPT(0,9-LEN(D1423))&amp;D1423,7,1)+MID("0246813579",MID(REPT(0,9-LEN(D1423))&amp;D1423,8,1)+1,1)+MID(REPT(0,9-LEN(D1423))&amp;D1423,9,1),10)=0</f>
        <v>1</v>
      </c>
      <c r="AB1423" s="374">
        <f>COUNTIFS(B:B,B1423,H:H,'סיווג התפקידים והעלויות'!$C$2)</f>
        <v>0</v>
      </c>
      <c r="AC1423" s="374">
        <f>COUNTIFS(B:B,B1423,H:H,'סיווג התפקידים והעלויות'!$D$2)</f>
        <v>0</v>
      </c>
      <c r="AD1423" s="374" t="str">
        <f>IF(OR(AND(H1423='סיווג התפקידים והעלויות'!$A$2,I1423='סיווג התפקידים והעלויות'!$A$3),'עלויות כח אדם (6)'!H1423='סיווג התפקידים והעלויות'!$C$2,'עלויות כח אדם (6)'!H1423='סיווג התפקידים והעלויות'!$D$2),IF('עלויות כח אדם (6)'!J1423&lt;75,"לא תקין","תקין"),"")</f>
        <v/>
      </c>
      <c r="AE1423" s="374" t="str">
        <f t="shared" ref="AE1423:AE1486" si="344">IF(B1423&lt;&gt;"",B1423&amp;H1423,"")</f>
        <v/>
      </c>
      <c r="AF1423" s="532" t="str">
        <f t="shared" ref="AF1423:AF1486" si="345">M1423</f>
        <v/>
      </c>
    </row>
    <row r="1424" spans="2:32" x14ac:dyDescent="0.25">
      <c r="B1424" s="695"/>
      <c r="C1424" s="197" t="str">
        <f>IF(B1424&lt;&gt;"",IFERROR(VLOOKUP(B:B,'מצבת והרשמה (2)'!$C$20:$N$520,2,0)," ")," ")</f>
        <v xml:space="preserve"> </v>
      </c>
      <c r="D1424" s="695"/>
      <c r="E1424" s="696"/>
      <c r="F1424" s="696"/>
      <c r="G1424" s="696"/>
      <c r="H1424" s="696"/>
      <c r="I1424" s="1050" t="str">
        <f t="shared" si="332"/>
        <v/>
      </c>
      <c r="J1424" s="696"/>
      <c r="K1424" s="697"/>
      <c r="L1424" s="696"/>
      <c r="M1424" s="198" t="str">
        <f t="shared" si="333"/>
        <v/>
      </c>
      <c r="N1424" s="369" t="str">
        <f t="shared" si="334"/>
        <v/>
      </c>
      <c r="O1424" s="183" t="str">
        <f t="shared" si="335"/>
        <v/>
      </c>
      <c r="P1424" s="199" t="str">
        <f t="shared" si="336"/>
        <v/>
      </c>
      <c r="Q1424" s="199" t="str">
        <f>IF(B1424="","",IFERROR(IF('עלויות כח אדם (6)'!J1424&gt;=VLOOKUP(I1424,'סיווג התפקידים והעלויות'!$B$23:$C$32,2,0),"תקין","לא תקין"),""))</f>
        <v/>
      </c>
      <c r="R1424" s="199" t="str">
        <f t="shared" si="337"/>
        <v/>
      </c>
      <c r="S1424" s="199" t="str">
        <f t="shared" si="338"/>
        <v/>
      </c>
      <c r="T1424" s="199" t="str">
        <f t="shared" ref="T1424:T1487" si="346">IF(B1424="","",IF(H1424="","יש להזין איש צוות",IF(OR(H1424="מורה",H1424="גננת",H1424="רכז גן",H1424="רכזת גן",H1424="סייעת",H1424="מדצית",H1424="מדצ",H1424="מדריך",H1424="מדריכה",H1424="תוספת כח אדם"),IF(L1424&lt;=90,"תקין","לא תקין"),IF(OR(H1424="רכז בית ספר",H1424="רכזת תכנית בבית הספר",H1424="רכזת בית ספר"),IF(L1424&lt;=137,"תקין","לא תקין"),IF(OR(H1424="סגנית רכזת מעל 150",H1424="סגן רכז"),IF(L1424&lt;=93,"תקין","לא תקין"),"לא תקין")))))</f>
        <v/>
      </c>
      <c r="U1424" s="199" t="str">
        <f t="shared" si="339"/>
        <v/>
      </c>
      <c r="V1424" s="989"/>
      <c r="X1424" s="374" t="str">
        <f t="shared" si="340"/>
        <v/>
      </c>
      <c r="Y1424" s="375" t="str">
        <f t="shared" si="341"/>
        <v/>
      </c>
      <c r="Z1424" s="374" t="str">
        <f t="shared" si="342"/>
        <v/>
      </c>
      <c r="AA1424" s="374" t="b">
        <f t="shared" si="343"/>
        <v>1</v>
      </c>
      <c r="AB1424" s="374">
        <f>COUNTIFS(B:B,B1424,H:H,'סיווג התפקידים והעלויות'!$C$2)</f>
        <v>0</v>
      </c>
      <c r="AC1424" s="374">
        <f>COUNTIFS(B:B,B1424,H:H,'סיווג התפקידים והעלויות'!$D$2)</f>
        <v>0</v>
      </c>
      <c r="AD1424" s="374" t="str">
        <f>IF(OR(AND(H1424='סיווג התפקידים והעלויות'!$A$2,I1424='סיווג התפקידים והעלויות'!$A$3),'עלויות כח אדם (6)'!H1424='סיווג התפקידים והעלויות'!$C$2,'עלויות כח אדם (6)'!H1424='סיווג התפקידים והעלויות'!$D$2),IF('עלויות כח אדם (6)'!J1424&lt;75,"לא תקין","תקין"),"")</f>
        <v/>
      </c>
      <c r="AE1424" s="374" t="str">
        <f t="shared" si="344"/>
        <v/>
      </c>
      <c r="AF1424" s="532" t="str">
        <f t="shared" si="345"/>
        <v/>
      </c>
    </row>
    <row r="1425" spans="2:32" x14ac:dyDescent="0.25">
      <c r="B1425" s="695"/>
      <c r="C1425" s="197" t="str">
        <f>IF(B1425&lt;&gt;"",IFERROR(VLOOKUP(B:B,'מצבת והרשמה (2)'!$C$20:$N$520,2,0)," ")," ")</f>
        <v xml:space="preserve"> </v>
      </c>
      <c r="D1425" s="695"/>
      <c r="E1425" s="696"/>
      <c r="F1425" s="696"/>
      <c r="G1425" s="696"/>
      <c r="H1425" s="696"/>
      <c r="I1425" s="1050" t="str">
        <f t="shared" si="332"/>
        <v/>
      </c>
      <c r="J1425" s="696"/>
      <c r="K1425" s="697"/>
      <c r="L1425" s="696"/>
      <c r="M1425" s="198" t="str">
        <f t="shared" si="333"/>
        <v/>
      </c>
      <c r="N1425" s="369" t="str">
        <f t="shared" si="334"/>
        <v/>
      </c>
      <c r="O1425" s="183" t="str">
        <f t="shared" si="335"/>
        <v/>
      </c>
      <c r="P1425" s="199" t="str">
        <f t="shared" si="336"/>
        <v/>
      </c>
      <c r="Q1425" s="199" t="str">
        <f>IF(B1425="","",IFERROR(IF('עלויות כח אדם (6)'!J1425&gt;=VLOOKUP(I1425,'סיווג התפקידים והעלויות'!$B$23:$C$32,2,0),"תקין","לא תקין"),""))</f>
        <v/>
      </c>
      <c r="R1425" s="199" t="str">
        <f t="shared" si="337"/>
        <v/>
      </c>
      <c r="S1425" s="199" t="str">
        <f t="shared" si="338"/>
        <v/>
      </c>
      <c r="T1425" s="199" t="str">
        <f t="shared" si="346"/>
        <v/>
      </c>
      <c r="U1425" s="199" t="str">
        <f t="shared" si="339"/>
        <v/>
      </c>
      <c r="V1425" s="989"/>
      <c r="X1425" s="374" t="str">
        <f t="shared" si="340"/>
        <v/>
      </c>
      <c r="Y1425" s="375" t="str">
        <f t="shared" si="341"/>
        <v/>
      </c>
      <c r="Z1425" s="374" t="str">
        <f t="shared" si="342"/>
        <v/>
      </c>
      <c r="AA1425" s="374" t="b">
        <f t="shared" si="343"/>
        <v>1</v>
      </c>
      <c r="AB1425" s="374">
        <f>COUNTIFS(B:B,B1425,H:H,'סיווג התפקידים והעלויות'!$C$2)</f>
        <v>0</v>
      </c>
      <c r="AC1425" s="374">
        <f>COUNTIFS(B:B,B1425,H:H,'סיווג התפקידים והעלויות'!$D$2)</f>
        <v>0</v>
      </c>
      <c r="AD1425" s="374" t="str">
        <f>IF(OR(AND(H1425='סיווג התפקידים והעלויות'!$A$2,I1425='סיווג התפקידים והעלויות'!$A$3),'עלויות כח אדם (6)'!H1425='סיווג התפקידים והעלויות'!$C$2,'עלויות כח אדם (6)'!H1425='סיווג התפקידים והעלויות'!$D$2),IF('עלויות כח אדם (6)'!J1425&lt;75,"לא תקין","תקין"),"")</f>
        <v/>
      </c>
      <c r="AE1425" s="374" t="str">
        <f t="shared" si="344"/>
        <v/>
      </c>
      <c r="AF1425" s="532" t="str">
        <f t="shared" si="345"/>
        <v/>
      </c>
    </row>
    <row r="1426" spans="2:32" x14ac:dyDescent="0.25">
      <c r="B1426" s="695"/>
      <c r="C1426" s="197" t="str">
        <f>IF(B1426&lt;&gt;"",IFERROR(VLOOKUP(B:B,'מצבת והרשמה (2)'!$C$20:$N$520,2,0)," ")," ")</f>
        <v xml:space="preserve"> </v>
      </c>
      <c r="D1426" s="695"/>
      <c r="E1426" s="696"/>
      <c r="F1426" s="696"/>
      <c r="G1426" s="696"/>
      <c r="H1426" s="696"/>
      <c r="I1426" s="1050" t="str">
        <f t="shared" si="332"/>
        <v/>
      </c>
      <c r="J1426" s="696"/>
      <c r="K1426" s="697"/>
      <c r="L1426" s="696"/>
      <c r="M1426" s="198" t="str">
        <f t="shared" si="333"/>
        <v/>
      </c>
      <c r="N1426" s="369" t="str">
        <f t="shared" si="334"/>
        <v/>
      </c>
      <c r="O1426" s="183" t="str">
        <f t="shared" si="335"/>
        <v/>
      </c>
      <c r="P1426" s="199" t="str">
        <f t="shared" si="336"/>
        <v/>
      </c>
      <c r="Q1426" s="199" t="str">
        <f>IF(B1426="","",IFERROR(IF('עלויות כח אדם (6)'!J1426&gt;=VLOOKUP(I1426,'סיווג התפקידים והעלויות'!$B$23:$C$32,2,0),"תקין","לא תקין"),""))</f>
        <v/>
      </c>
      <c r="R1426" s="199" t="str">
        <f t="shared" si="337"/>
        <v/>
      </c>
      <c r="S1426" s="199" t="str">
        <f t="shared" si="338"/>
        <v/>
      </c>
      <c r="T1426" s="199" t="str">
        <f t="shared" si="346"/>
        <v/>
      </c>
      <c r="U1426" s="199" t="str">
        <f t="shared" si="339"/>
        <v/>
      </c>
      <c r="V1426" s="989"/>
      <c r="X1426" s="374" t="str">
        <f t="shared" si="340"/>
        <v/>
      </c>
      <c r="Y1426" s="375" t="str">
        <f t="shared" si="341"/>
        <v/>
      </c>
      <c r="Z1426" s="374" t="str">
        <f t="shared" si="342"/>
        <v/>
      </c>
      <c r="AA1426" s="374" t="b">
        <f t="shared" si="343"/>
        <v>1</v>
      </c>
      <c r="AB1426" s="374">
        <f>COUNTIFS(B:B,B1426,H:H,'סיווג התפקידים והעלויות'!$C$2)</f>
        <v>0</v>
      </c>
      <c r="AC1426" s="374">
        <f>COUNTIFS(B:B,B1426,H:H,'סיווג התפקידים והעלויות'!$D$2)</f>
        <v>0</v>
      </c>
      <c r="AD1426" s="374" t="str">
        <f>IF(OR(AND(H1426='סיווג התפקידים והעלויות'!$A$2,I1426='סיווג התפקידים והעלויות'!$A$3),'עלויות כח אדם (6)'!H1426='סיווג התפקידים והעלויות'!$C$2,'עלויות כח אדם (6)'!H1426='סיווג התפקידים והעלויות'!$D$2),IF('עלויות כח אדם (6)'!J1426&lt;75,"לא תקין","תקין"),"")</f>
        <v/>
      </c>
      <c r="AE1426" s="374" t="str">
        <f t="shared" si="344"/>
        <v/>
      </c>
      <c r="AF1426" s="532" t="str">
        <f t="shared" si="345"/>
        <v/>
      </c>
    </row>
    <row r="1427" spans="2:32" x14ac:dyDescent="0.25">
      <c r="B1427" s="695"/>
      <c r="C1427" s="197" t="str">
        <f>IF(B1427&lt;&gt;"",IFERROR(VLOOKUP(B:B,'מצבת והרשמה (2)'!$C$20:$N$520,2,0)," ")," ")</f>
        <v xml:space="preserve"> </v>
      </c>
      <c r="D1427" s="695"/>
      <c r="E1427" s="696"/>
      <c r="F1427" s="696"/>
      <c r="G1427" s="696"/>
      <c r="H1427" s="696"/>
      <c r="I1427" s="1050" t="str">
        <f t="shared" si="332"/>
        <v/>
      </c>
      <c r="J1427" s="696"/>
      <c r="K1427" s="697"/>
      <c r="L1427" s="696"/>
      <c r="M1427" s="198" t="str">
        <f t="shared" si="333"/>
        <v/>
      </c>
      <c r="N1427" s="369" t="str">
        <f t="shared" si="334"/>
        <v/>
      </c>
      <c r="O1427" s="183" t="str">
        <f t="shared" si="335"/>
        <v/>
      </c>
      <c r="P1427" s="199" t="str">
        <f t="shared" si="336"/>
        <v/>
      </c>
      <c r="Q1427" s="199" t="str">
        <f>IF(B1427="","",IFERROR(IF('עלויות כח אדם (6)'!J1427&gt;=VLOOKUP(I1427,'סיווג התפקידים והעלויות'!$B$23:$C$32,2,0),"תקין","לא תקין"),""))</f>
        <v/>
      </c>
      <c r="R1427" s="199" t="str">
        <f t="shared" si="337"/>
        <v/>
      </c>
      <c r="S1427" s="199" t="str">
        <f t="shared" si="338"/>
        <v/>
      </c>
      <c r="T1427" s="199" t="str">
        <f t="shared" si="346"/>
        <v/>
      </c>
      <c r="U1427" s="199" t="str">
        <f t="shared" si="339"/>
        <v/>
      </c>
      <c r="V1427" s="989"/>
      <c r="X1427" s="374" t="str">
        <f t="shared" si="340"/>
        <v/>
      </c>
      <c r="Y1427" s="375" t="str">
        <f t="shared" si="341"/>
        <v/>
      </c>
      <c r="Z1427" s="374" t="str">
        <f t="shared" si="342"/>
        <v/>
      </c>
      <c r="AA1427" s="374" t="b">
        <f t="shared" si="343"/>
        <v>1</v>
      </c>
      <c r="AB1427" s="374">
        <f>COUNTIFS(B:B,B1427,H:H,'סיווג התפקידים והעלויות'!$C$2)</f>
        <v>0</v>
      </c>
      <c r="AC1427" s="374">
        <f>COUNTIFS(B:B,B1427,H:H,'סיווג התפקידים והעלויות'!$D$2)</f>
        <v>0</v>
      </c>
      <c r="AD1427" s="374" t="str">
        <f>IF(OR(AND(H1427='סיווג התפקידים והעלויות'!$A$2,I1427='סיווג התפקידים והעלויות'!$A$3),'עלויות כח אדם (6)'!H1427='סיווג התפקידים והעלויות'!$C$2,'עלויות כח אדם (6)'!H1427='סיווג התפקידים והעלויות'!$D$2),IF('עלויות כח אדם (6)'!J1427&lt;75,"לא תקין","תקין"),"")</f>
        <v/>
      </c>
      <c r="AE1427" s="374" t="str">
        <f t="shared" si="344"/>
        <v/>
      </c>
      <c r="AF1427" s="532" t="str">
        <f t="shared" si="345"/>
        <v/>
      </c>
    </row>
    <row r="1428" spans="2:32" x14ac:dyDescent="0.25">
      <c r="B1428" s="695"/>
      <c r="C1428" s="197" t="str">
        <f>IF(B1428&lt;&gt;"",IFERROR(VLOOKUP(B:B,'מצבת והרשמה (2)'!$C$20:$N$520,2,0)," ")," ")</f>
        <v xml:space="preserve"> </v>
      </c>
      <c r="D1428" s="695"/>
      <c r="E1428" s="696"/>
      <c r="F1428" s="696"/>
      <c r="G1428" s="696"/>
      <c r="H1428" s="696"/>
      <c r="I1428" s="1050" t="str">
        <f t="shared" si="332"/>
        <v/>
      </c>
      <c r="J1428" s="696"/>
      <c r="K1428" s="697"/>
      <c r="L1428" s="696"/>
      <c r="M1428" s="198" t="str">
        <f t="shared" si="333"/>
        <v/>
      </c>
      <c r="N1428" s="369" t="str">
        <f t="shared" si="334"/>
        <v/>
      </c>
      <c r="O1428" s="183" t="str">
        <f t="shared" si="335"/>
        <v/>
      </c>
      <c r="P1428" s="199" t="str">
        <f t="shared" si="336"/>
        <v/>
      </c>
      <c r="Q1428" s="199" t="str">
        <f>IF(B1428="","",IFERROR(IF('עלויות כח אדם (6)'!J1428&gt;=VLOOKUP(I1428,'סיווג התפקידים והעלויות'!$B$23:$C$32,2,0),"תקין","לא תקין"),""))</f>
        <v/>
      </c>
      <c r="R1428" s="199" t="str">
        <f t="shared" si="337"/>
        <v/>
      </c>
      <c r="S1428" s="199" t="str">
        <f t="shared" si="338"/>
        <v/>
      </c>
      <c r="T1428" s="199" t="str">
        <f t="shared" si="346"/>
        <v/>
      </c>
      <c r="U1428" s="199" t="str">
        <f t="shared" si="339"/>
        <v/>
      </c>
      <c r="V1428" s="989"/>
      <c r="X1428" s="374" t="str">
        <f t="shared" si="340"/>
        <v/>
      </c>
      <c r="Y1428" s="375" t="str">
        <f t="shared" si="341"/>
        <v/>
      </c>
      <c r="Z1428" s="374" t="str">
        <f t="shared" si="342"/>
        <v/>
      </c>
      <c r="AA1428" s="374" t="b">
        <f t="shared" si="343"/>
        <v>1</v>
      </c>
      <c r="AB1428" s="374">
        <f>COUNTIFS(B:B,B1428,H:H,'סיווג התפקידים והעלויות'!$C$2)</f>
        <v>0</v>
      </c>
      <c r="AC1428" s="374">
        <f>COUNTIFS(B:B,B1428,H:H,'סיווג התפקידים והעלויות'!$D$2)</f>
        <v>0</v>
      </c>
      <c r="AD1428" s="374" t="str">
        <f>IF(OR(AND(H1428='סיווג התפקידים והעלויות'!$A$2,I1428='סיווג התפקידים והעלויות'!$A$3),'עלויות כח אדם (6)'!H1428='סיווג התפקידים והעלויות'!$C$2,'עלויות כח אדם (6)'!H1428='סיווג התפקידים והעלויות'!$D$2),IF('עלויות כח אדם (6)'!J1428&lt;75,"לא תקין","תקין"),"")</f>
        <v/>
      </c>
      <c r="AE1428" s="374" t="str">
        <f t="shared" si="344"/>
        <v/>
      </c>
      <c r="AF1428" s="532" t="str">
        <f t="shared" si="345"/>
        <v/>
      </c>
    </row>
    <row r="1429" spans="2:32" x14ac:dyDescent="0.25">
      <c r="B1429" s="695"/>
      <c r="C1429" s="197" t="str">
        <f>IF(B1429&lt;&gt;"",IFERROR(VLOOKUP(B:B,'מצבת והרשמה (2)'!$C$20:$N$520,2,0)," ")," ")</f>
        <v xml:space="preserve"> </v>
      </c>
      <c r="D1429" s="695"/>
      <c r="E1429" s="696"/>
      <c r="F1429" s="696"/>
      <c r="G1429" s="696"/>
      <c r="H1429" s="696"/>
      <c r="I1429" s="1050" t="str">
        <f t="shared" si="332"/>
        <v/>
      </c>
      <c r="J1429" s="696"/>
      <c r="K1429" s="697"/>
      <c r="L1429" s="696"/>
      <c r="M1429" s="198" t="str">
        <f t="shared" si="333"/>
        <v/>
      </c>
      <c r="N1429" s="369" t="str">
        <f t="shared" si="334"/>
        <v/>
      </c>
      <c r="O1429" s="183" t="str">
        <f t="shared" si="335"/>
        <v/>
      </c>
      <c r="P1429" s="199" t="str">
        <f t="shared" si="336"/>
        <v/>
      </c>
      <c r="Q1429" s="199" t="str">
        <f>IF(B1429="","",IFERROR(IF('עלויות כח אדם (6)'!J1429&gt;=VLOOKUP(I1429,'סיווג התפקידים והעלויות'!$B$23:$C$32,2,0),"תקין","לא תקין"),""))</f>
        <v/>
      </c>
      <c r="R1429" s="199" t="str">
        <f t="shared" si="337"/>
        <v/>
      </c>
      <c r="S1429" s="199" t="str">
        <f t="shared" si="338"/>
        <v/>
      </c>
      <c r="T1429" s="199" t="str">
        <f t="shared" si="346"/>
        <v/>
      </c>
      <c r="U1429" s="199" t="str">
        <f t="shared" si="339"/>
        <v/>
      </c>
      <c r="V1429" s="989"/>
      <c r="X1429" s="374" t="str">
        <f t="shared" si="340"/>
        <v/>
      </c>
      <c r="Y1429" s="375" t="str">
        <f t="shared" si="341"/>
        <v/>
      </c>
      <c r="Z1429" s="374" t="str">
        <f t="shared" si="342"/>
        <v/>
      </c>
      <c r="AA1429" s="374" t="b">
        <f t="shared" si="343"/>
        <v>1</v>
      </c>
      <c r="AB1429" s="374">
        <f>COUNTIFS(B:B,B1429,H:H,'סיווג התפקידים והעלויות'!$C$2)</f>
        <v>0</v>
      </c>
      <c r="AC1429" s="374">
        <f>COUNTIFS(B:B,B1429,H:H,'סיווג התפקידים והעלויות'!$D$2)</f>
        <v>0</v>
      </c>
      <c r="AD1429" s="374" t="str">
        <f>IF(OR(AND(H1429='סיווג התפקידים והעלויות'!$A$2,I1429='סיווג התפקידים והעלויות'!$A$3),'עלויות כח אדם (6)'!H1429='סיווג התפקידים והעלויות'!$C$2,'עלויות כח אדם (6)'!H1429='סיווג התפקידים והעלויות'!$D$2),IF('עלויות כח אדם (6)'!J1429&lt;75,"לא תקין","תקין"),"")</f>
        <v/>
      </c>
      <c r="AE1429" s="374" t="str">
        <f t="shared" si="344"/>
        <v/>
      </c>
      <c r="AF1429" s="532" t="str">
        <f t="shared" si="345"/>
        <v/>
      </c>
    </row>
    <row r="1430" spans="2:32" x14ac:dyDescent="0.25">
      <c r="B1430" s="695"/>
      <c r="C1430" s="197" t="str">
        <f>IF(B1430&lt;&gt;"",IFERROR(VLOOKUP(B:B,'מצבת והרשמה (2)'!$C$20:$N$520,2,0)," ")," ")</f>
        <v xml:space="preserve"> </v>
      </c>
      <c r="D1430" s="695"/>
      <c r="E1430" s="696"/>
      <c r="F1430" s="696"/>
      <c r="G1430" s="696"/>
      <c r="H1430" s="696"/>
      <c r="I1430" s="1050" t="str">
        <f t="shared" si="332"/>
        <v/>
      </c>
      <c r="J1430" s="696"/>
      <c r="K1430" s="697"/>
      <c r="L1430" s="696"/>
      <c r="M1430" s="198" t="str">
        <f t="shared" si="333"/>
        <v/>
      </c>
      <c r="N1430" s="369" t="str">
        <f t="shared" si="334"/>
        <v/>
      </c>
      <c r="O1430" s="183" t="str">
        <f t="shared" si="335"/>
        <v/>
      </c>
      <c r="P1430" s="199" t="str">
        <f t="shared" si="336"/>
        <v/>
      </c>
      <c r="Q1430" s="199" t="str">
        <f>IF(B1430="","",IFERROR(IF('עלויות כח אדם (6)'!J1430&gt;=VLOOKUP(I1430,'סיווג התפקידים והעלויות'!$B$23:$C$32,2,0),"תקין","לא תקין"),""))</f>
        <v/>
      </c>
      <c r="R1430" s="199" t="str">
        <f t="shared" si="337"/>
        <v/>
      </c>
      <c r="S1430" s="199" t="str">
        <f t="shared" si="338"/>
        <v/>
      </c>
      <c r="T1430" s="199" t="str">
        <f t="shared" si="346"/>
        <v/>
      </c>
      <c r="U1430" s="199" t="str">
        <f t="shared" si="339"/>
        <v/>
      </c>
      <c r="V1430" s="989"/>
      <c r="X1430" s="374" t="str">
        <f t="shared" si="340"/>
        <v/>
      </c>
      <c r="Y1430" s="375" t="str">
        <f t="shared" si="341"/>
        <v/>
      </c>
      <c r="Z1430" s="374" t="str">
        <f t="shared" si="342"/>
        <v/>
      </c>
      <c r="AA1430" s="374" t="b">
        <f t="shared" si="343"/>
        <v>1</v>
      </c>
      <c r="AB1430" s="374">
        <f>COUNTIFS(B:B,B1430,H:H,'סיווג התפקידים והעלויות'!$C$2)</f>
        <v>0</v>
      </c>
      <c r="AC1430" s="374">
        <f>COUNTIFS(B:B,B1430,H:H,'סיווג התפקידים והעלויות'!$D$2)</f>
        <v>0</v>
      </c>
      <c r="AD1430" s="374" t="str">
        <f>IF(OR(AND(H1430='סיווג התפקידים והעלויות'!$A$2,I1430='סיווג התפקידים והעלויות'!$A$3),'עלויות כח אדם (6)'!H1430='סיווג התפקידים והעלויות'!$C$2,'עלויות כח אדם (6)'!H1430='סיווג התפקידים והעלויות'!$D$2),IF('עלויות כח אדם (6)'!J1430&lt;75,"לא תקין","תקין"),"")</f>
        <v/>
      </c>
      <c r="AE1430" s="374" t="str">
        <f t="shared" si="344"/>
        <v/>
      </c>
      <c r="AF1430" s="532" t="str">
        <f t="shared" si="345"/>
        <v/>
      </c>
    </row>
    <row r="1431" spans="2:32" x14ac:dyDescent="0.25">
      <c r="B1431" s="695"/>
      <c r="C1431" s="197" t="str">
        <f>IF(B1431&lt;&gt;"",IFERROR(VLOOKUP(B:B,'מצבת והרשמה (2)'!$C$20:$N$520,2,0)," ")," ")</f>
        <v xml:space="preserve"> </v>
      </c>
      <c r="D1431" s="695"/>
      <c r="E1431" s="696"/>
      <c r="F1431" s="696"/>
      <c r="G1431" s="696"/>
      <c r="H1431" s="696"/>
      <c r="I1431" s="1050" t="str">
        <f t="shared" si="332"/>
        <v/>
      </c>
      <c r="J1431" s="696"/>
      <c r="K1431" s="697"/>
      <c r="L1431" s="696"/>
      <c r="M1431" s="198" t="str">
        <f t="shared" si="333"/>
        <v/>
      </c>
      <c r="N1431" s="369" t="str">
        <f t="shared" si="334"/>
        <v/>
      </c>
      <c r="O1431" s="183" t="str">
        <f t="shared" si="335"/>
        <v/>
      </c>
      <c r="P1431" s="199" t="str">
        <f t="shared" si="336"/>
        <v/>
      </c>
      <c r="Q1431" s="199" t="str">
        <f>IF(B1431="","",IFERROR(IF('עלויות כח אדם (6)'!J1431&gt;=VLOOKUP(I1431,'סיווג התפקידים והעלויות'!$B$23:$C$32,2,0),"תקין","לא תקין"),""))</f>
        <v/>
      </c>
      <c r="R1431" s="199" t="str">
        <f t="shared" si="337"/>
        <v/>
      </c>
      <c r="S1431" s="199" t="str">
        <f t="shared" si="338"/>
        <v/>
      </c>
      <c r="T1431" s="199" t="str">
        <f t="shared" si="346"/>
        <v/>
      </c>
      <c r="U1431" s="199" t="str">
        <f t="shared" si="339"/>
        <v/>
      </c>
      <c r="V1431" s="989"/>
      <c r="X1431" s="374" t="str">
        <f t="shared" si="340"/>
        <v/>
      </c>
      <c r="Y1431" s="375" t="str">
        <f t="shared" si="341"/>
        <v/>
      </c>
      <c r="Z1431" s="374" t="str">
        <f t="shared" si="342"/>
        <v/>
      </c>
      <c r="AA1431" s="374" t="b">
        <f t="shared" si="343"/>
        <v>1</v>
      </c>
      <c r="AB1431" s="374">
        <f>COUNTIFS(B:B,B1431,H:H,'סיווג התפקידים והעלויות'!$C$2)</f>
        <v>0</v>
      </c>
      <c r="AC1431" s="374">
        <f>COUNTIFS(B:B,B1431,H:H,'סיווג התפקידים והעלויות'!$D$2)</f>
        <v>0</v>
      </c>
      <c r="AD1431" s="374" t="str">
        <f>IF(OR(AND(H1431='סיווג התפקידים והעלויות'!$A$2,I1431='סיווג התפקידים והעלויות'!$A$3),'עלויות כח אדם (6)'!H1431='סיווג התפקידים והעלויות'!$C$2,'עלויות כח אדם (6)'!H1431='סיווג התפקידים והעלויות'!$D$2),IF('עלויות כח אדם (6)'!J1431&lt;75,"לא תקין","תקין"),"")</f>
        <v/>
      </c>
      <c r="AE1431" s="374" t="str">
        <f t="shared" si="344"/>
        <v/>
      </c>
      <c r="AF1431" s="532" t="str">
        <f t="shared" si="345"/>
        <v/>
      </c>
    </row>
    <row r="1432" spans="2:32" x14ac:dyDescent="0.25">
      <c r="B1432" s="695"/>
      <c r="C1432" s="197" t="str">
        <f>IF(B1432&lt;&gt;"",IFERROR(VLOOKUP(B:B,'מצבת והרשמה (2)'!$C$20:$N$520,2,0)," ")," ")</f>
        <v xml:space="preserve"> </v>
      </c>
      <c r="D1432" s="695"/>
      <c r="E1432" s="696"/>
      <c r="F1432" s="696"/>
      <c r="G1432" s="696"/>
      <c r="H1432" s="696"/>
      <c r="I1432" s="1050" t="str">
        <f t="shared" si="332"/>
        <v/>
      </c>
      <c r="J1432" s="696"/>
      <c r="K1432" s="697"/>
      <c r="L1432" s="696"/>
      <c r="M1432" s="198" t="str">
        <f t="shared" si="333"/>
        <v/>
      </c>
      <c r="N1432" s="369" t="str">
        <f t="shared" si="334"/>
        <v/>
      </c>
      <c r="O1432" s="183" t="str">
        <f t="shared" si="335"/>
        <v/>
      </c>
      <c r="P1432" s="199" t="str">
        <f t="shared" si="336"/>
        <v/>
      </c>
      <c r="Q1432" s="199" t="str">
        <f>IF(B1432="","",IFERROR(IF('עלויות כח אדם (6)'!J1432&gt;=VLOOKUP(I1432,'סיווג התפקידים והעלויות'!$B$23:$C$32,2,0),"תקין","לא תקין"),""))</f>
        <v/>
      </c>
      <c r="R1432" s="199" t="str">
        <f t="shared" si="337"/>
        <v/>
      </c>
      <c r="S1432" s="199" t="str">
        <f t="shared" si="338"/>
        <v/>
      </c>
      <c r="T1432" s="199" t="str">
        <f t="shared" si="346"/>
        <v/>
      </c>
      <c r="U1432" s="199" t="str">
        <f t="shared" si="339"/>
        <v/>
      </c>
      <c r="V1432" s="989"/>
      <c r="X1432" s="374" t="str">
        <f t="shared" si="340"/>
        <v/>
      </c>
      <c r="Y1432" s="375" t="str">
        <f t="shared" si="341"/>
        <v/>
      </c>
      <c r="Z1432" s="374" t="str">
        <f t="shared" si="342"/>
        <v/>
      </c>
      <c r="AA1432" s="374" t="b">
        <f t="shared" si="343"/>
        <v>1</v>
      </c>
      <c r="AB1432" s="374">
        <f>COUNTIFS(B:B,B1432,H:H,'סיווג התפקידים והעלויות'!$C$2)</f>
        <v>0</v>
      </c>
      <c r="AC1432" s="374">
        <f>COUNTIFS(B:B,B1432,H:H,'סיווג התפקידים והעלויות'!$D$2)</f>
        <v>0</v>
      </c>
      <c r="AD1432" s="374" t="str">
        <f>IF(OR(AND(H1432='סיווג התפקידים והעלויות'!$A$2,I1432='סיווג התפקידים והעלויות'!$A$3),'עלויות כח אדם (6)'!H1432='סיווג התפקידים והעלויות'!$C$2,'עלויות כח אדם (6)'!H1432='סיווג התפקידים והעלויות'!$D$2),IF('עלויות כח אדם (6)'!J1432&lt;75,"לא תקין","תקין"),"")</f>
        <v/>
      </c>
      <c r="AE1432" s="374" t="str">
        <f t="shared" si="344"/>
        <v/>
      </c>
      <c r="AF1432" s="532" t="str">
        <f t="shared" si="345"/>
        <v/>
      </c>
    </row>
    <row r="1433" spans="2:32" x14ac:dyDescent="0.25">
      <c r="B1433" s="695"/>
      <c r="C1433" s="197" t="str">
        <f>IF(B1433&lt;&gt;"",IFERROR(VLOOKUP(B:B,'מצבת והרשמה (2)'!$C$20:$N$520,2,0)," ")," ")</f>
        <v xml:space="preserve"> </v>
      </c>
      <c r="D1433" s="695"/>
      <c r="E1433" s="696"/>
      <c r="F1433" s="696"/>
      <c r="G1433" s="696"/>
      <c r="H1433" s="696"/>
      <c r="I1433" s="1050" t="str">
        <f t="shared" si="332"/>
        <v/>
      </c>
      <c r="J1433" s="696"/>
      <c r="K1433" s="697"/>
      <c r="L1433" s="696"/>
      <c r="M1433" s="198" t="str">
        <f t="shared" si="333"/>
        <v/>
      </c>
      <c r="N1433" s="369" t="str">
        <f t="shared" si="334"/>
        <v/>
      </c>
      <c r="O1433" s="183" t="str">
        <f t="shared" si="335"/>
        <v/>
      </c>
      <c r="P1433" s="199" t="str">
        <f t="shared" si="336"/>
        <v/>
      </c>
      <c r="Q1433" s="199" t="str">
        <f>IF(B1433="","",IFERROR(IF('עלויות כח אדם (6)'!J1433&gt;=VLOOKUP(I1433,'סיווג התפקידים והעלויות'!$B$23:$C$32,2,0),"תקין","לא תקין"),""))</f>
        <v/>
      </c>
      <c r="R1433" s="199" t="str">
        <f t="shared" si="337"/>
        <v/>
      </c>
      <c r="S1433" s="199" t="str">
        <f t="shared" si="338"/>
        <v/>
      </c>
      <c r="T1433" s="199" t="str">
        <f t="shared" si="346"/>
        <v/>
      </c>
      <c r="U1433" s="199" t="str">
        <f t="shared" si="339"/>
        <v/>
      </c>
      <c r="V1433" s="989"/>
      <c r="X1433" s="374" t="str">
        <f t="shared" si="340"/>
        <v/>
      </c>
      <c r="Y1433" s="375" t="str">
        <f t="shared" si="341"/>
        <v/>
      </c>
      <c r="Z1433" s="374" t="str">
        <f t="shared" si="342"/>
        <v/>
      </c>
      <c r="AA1433" s="374" t="b">
        <f t="shared" si="343"/>
        <v>1</v>
      </c>
      <c r="AB1433" s="374">
        <f>COUNTIFS(B:B,B1433,H:H,'סיווג התפקידים והעלויות'!$C$2)</f>
        <v>0</v>
      </c>
      <c r="AC1433" s="374">
        <f>COUNTIFS(B:B,B1433,H:H,'סיווג התפקידים והעלויות'!$D$2)</f>
        <v>0</v>
      </c>
      <c r="AD1433" s="374" t="str">
        <f>IF(OR(AND(H1433='סיווג התפקידים והעלויות'!$A$2,I1433='סיווג התפקידים והעלויות'!$A$3),'עלויות כח אדם (6)'!H1433='סיווג התפקידים והעלויות'!$C$2,'עלויות כח אדם (6)'!H1433='סיווג התפקידים והעלויות'!$D$2),IF('עלויות כח אדם (6)'!J1433&lt;75,"לא תקין","תקין"),"")</f>
        <v/>
      </c>
      <c r="AE1433" s="374" t="str">
        <f t="shared" si="344"/>
        <v/>
      </c>
      <c r="AF1433" s="532" t="str">
        <f t="shared" si="345"/>
        <v/>
      </c>
    </row>
    <row r="1434" spans="2:32" x14ac:dyDescent="0.25">
      <c r="B1434" s="695"/>
      <c r="C1434" s="197" t="str">
        <f>IF(B1434&lt;&gt;"",IFERROR(VLOOKUP(B:B,'מצבת והרשמה (2)'!$C$20:$N$520,2,0)," ")," ")</f>
        <v xml:space="preserve"> </v>
      </c>
      <c r="D1434" s="695"/>
      <c r="E1434" s="696"/>
      <c r="F1434" s="696"/>
      <c r="G1434" s="696"/>
      <c r="H1434" s="696"/>
      <c r="I1434" s="1050" t="str">
        <f t="shared" si="332"/>
        <v/>
      </c>
      <c r="J1434" s="696"/>
      <c r="K1434" s="697"/>
      <c r="L1434" s="696"/>
      <c r="M1434" s="198" t="str">
        <f t="shared" si="333"/>
        <v/>
      </c>
      <c r="N1434" s="369" t="str">
        <f t="shared" si="334"/>
        <v/>
      </c>
      <c r="O1434" s="183" t="str">
        <f t="shared" si="335"/>
        <v/>
      </c>
      <c r="P1434" s="199" t="str">
        <f t="shared" si="336"/>
        <v/>
      </c>
      <c r="Q1434" s="199" t="str">
        <f>IF(B1434="","",IFERROR(IF('עלויות כח אדם (6)'!J1434&gt;=VLOOKUP(I1434,'סיווג התפקידים והעלויות'!$B$23:$C$32,2,0),"תקין","לא תקין"),""))</f>
        <v/>
      </c>
      <c r="R1434" s="199" t="str">
        <f t="shared" si="337"/>
        <v/>
      </c>
      <c r="S1434" s="199" t="str">
        <f t="shared" si="338"/>
        <v/>
      </c>
      <c r="T1434" s="199" t="str">
        <f t="shared" si="346"/>
        <v/>
      </c>
      <c r="U1434" s="199" t="str">
        <f t="shared" si="339"/>
        <v/>
      </c>
      <c r="V1434" s="989"/>
      <c r="X1434" s="374" t="str">
        <f t="shared" si="340"/>
        <v/>
      </c>
      <c r="Y1434" s="375" t="str">
        <f t="shared" si="341"/>
        <v/>
      </c>
      <c r="Z1434" s="374" t="str">
        <f t="shared" si="342"/>
        <v/>
      </c>
      <c r="AA1434" s="374" t="b">
        <f t="shared" si="343"/>
        <v>1</v>
      </c>
      <c r="AB1434" s="374">
        <f>COUNTIFS(B:B,B1434,H:H,'סיווג התפקידים והעלויות'!$C$2)</f>
        <v>0</v>
      </c>
      <c r="AC1434" s="374">
        <f>COUNTIFS(B:B,B1434,H:H,'סיווג התפקידים והעלויות'!$D$2)</f>
        <v>0</v>
      </c>
      <c r="AD1434" s="374" t="str">
        <f>IF(OR(AND(H1434='סיווג התפקידים והעלויות'!$A$2,I1434='סיווג התפקידים והעלויות'!$A$3),'עלויות כח אדם (6)'!H1434='סיווג התפקידים והעלויות'!$C$2,'עלויות כח אדם (6)'!H1434='סיווג התפקידים והעלויות'!$D$2),IF('עלויות כח אדם (6)'!J1434&lt;75,"לא תקין","תקין"),"")</f>
        <v/>
      </c>
      <c r="AE1434" s="374" t="str">
        <f t="shared" si="344"/>
        <v/>
      </c>
      <c r="AF1434" s="532" t="str">
        <f t="shared" si="345"/>
        <v/>
      </c>
    </row>
    <row r="1435" spans="2:32" x14ac:dyDescent="0.25">
      <c r="B1435" s="695"/>
      <c r="C1435" s="197" t="str">
        <f>IF(B1435&lt;&gt;"",IFERROR(VLOOKUP(B:B,'מצבת והרשמה (2)'!$C$20:$N$520,2,0)," ")," ")</f>
        <v xml:space="preserve"> </v>
      </c>
      <c r="D1435" s="695"/>
      <c r="E1435" s="696"/>
      <c r="F1435" s="696"/>
      <c r="G1435" s="696"/>
      <c r="H1435" s="696"/>
      <c r="I1435" s="1050" t="str">
        <f t="shared" si="332"/>
        <v/>
      </c>
      <c r="J1435" s="696"/>
      <c r="K1435" s="697"/>
      <c r="L1435" s="696"/>
      <c r="M1435" s="198" t="str">
        <f t="shared" si="333"/>
        <v/>
      </c>
      <c r="N1435" s="369" t="str">
        <f t="shared" si="334"/>
        <v/>
      </c>
      <c r="O1435" s="183" t="str">
        <f t="shared" si="335"/>
        <v/>
      </c>
      <c r="P1435" s="199" t="str">
        <f t="shared" si="336"/>
        <v/>
      </c>
      <c r="Q1435" s="199" t="str">
        <f>IF(B1435="","",IFERROR(IF('עלויות כח אדם (6)'!J1435&gt;=VLOOKUP(I1435,'סיווג התפקידים והעלויות'!$B$23:$C$32,2,0),"תקין","לא תקין"),""))</f>
        <v/>
      </c>
      <c r="R1435" s="199" t="str">
        <f t="shared" si="337"/>
        <v/>
      </c>
      <c r="S1435" s="199" t="str">
        <f t="shared" si="338"/>
        <v/>
      </c>
      <c r="T1435" s="199" t="str">
        <f t="shared" si="346"/>
        <v/>
      </c>
      <c r="U1435" s="199" t="str">
        <f t="shared" si="339"/>
        <v/>
      </c>
      <c r="V1435" s="989"/>
      <c r="X1435" s="374" t="str">
        <f t="shared" si="340"/>
        <v/>
      </c>
      <c r="Y1435" s="375" t="str">
        <f t="shared" si="341"/>
        <v/>
      </c>
      <c r="Z1435" s="374" t="str">
        <f t="shared" si="342"/>
        <v/>
      </c>
      <c r="AA1435" s="374" t="b">
        <f t="shared" si="343"/>
        <v>1</v>
      </c>
      <c r="AB1435" s="374">
        <f>COUNTIFS(B:B,B1435,H:H,'סיווג התפקידים והעלויות'!$C$2)</f>
        <v>0</v>
      </c>
      <c r="AC1435" s="374">
        <f>COUNTIFS(B:B,B1435,H:H,'סיווג התפקידים והעלויות'!$D$2)</f>
        <v>0</v>
      </c>
      <c r="AD1435" s="374" t="str">
        <f>IF(OR(AND(H1435='סיווג התפקידים והעלויות'!$A$2,I1435='סיווג התפקידים והעלויות'!$A$3),'עלויות כח אדם (6)'!H1435='סיווג התפקידים והעלויות'!$C$2,'עלויות כח אדם (6)'!H1435='סיווג התפקידים והעלויות'!$D$2),IF('עלויות כח אדם (6)'!J1435&lt;75,"לא תקין","תקין"),"")</f>
        <v/>
      </c>
      <c r="AE1435" s="374" t="str">
        <f t="shared" si="344"/>
        <v/>
      </c>
      <c r="AF1435" s="532" t="str">
        <f t="shared" si="345"/>
        <v/>
      </c>
    </row>
    <row r="1436" spans="2:32" x14ac:dyDescent="0.25">
      <c r="B1436" s="695"/>
      <c r="C1436" s="197" t="str">
        <f>IF(B1436&lt;&gt;"",IFERROR(VLOOKUP(B:B,'מצבת והרשמה (2)'!$C$20:$N$520,2,0)," ")," ")</f>
        <v xml:space="preserve"> </v>
      </c>
      <c r="D1436" s="695"/>
      <c r="E1436" s="696"/>
      <c r="F1436" s="696"/>
      <c r="G1436" s="696"/>
      <c r="H1436" s="696"/>
      <c r="I1436" s="1050" t="str">
        <f t="shared" si="332"/>
        <v/>
      </c>
      <c r="J1436" s="696"/>
      <c r="K1436" s="697"/>
      <c r="L1436" s="696"/>
      <c r="M1436" s="198" t="str">
        <f t="shared" si="333"/>
        <v/>
      </c>
      <c r="N1436" s="369" t="str">
        <f t="shared" si="334"/>
        <v/>
      </c>
      <c r="O1436" s="183" t="str">
        <f t="shared" si="335"/>
        <v/>
      </c>
      <c r="P1436" s="199" t="str">
        <f t="shared" si="336"/>
        <v/>
      </c>
      <c r="Q1436" s="199" t="str">
        <f>IF(B1436="","",IFERROR(IF('עלויות כח אדם (6)'!J1436&gt;=VLOOKUP(I1436,'סיווג התפקידים והעלויות'!$B$23:$C$32,2,0),"תקין","לא תקין"),""))</f>
        <v/>
      </c>
      <c r="R1436" s="199" t="str">
        <f t="shared" si="337"/>
        <v/>
      </c>
      <c r="S1436" s="199" t="str">
        <f t="shared" si="338"/>
        <v/>
      </c>
      <c r="T1436" s="199" t="str">
        <f t="shared" si="346"/>
        <v/>
      </c>
      <c r="U1436" s="199" t="str">
        <f t="shared" si="339"/>
        <v/>
      </c>
      <c r="V1436" s="989"/>
      <c r="X1436" s="374" t="str">
        <f t="shared" si="340"/>
        <v/>
      </c>
      <c r="Y1436" s="375" t="str">
        <f t="shared" si="341"/>
        <v/>
      </c>
      <c r="Z1436" s="374" t="str">
        <f t="shared" si="342"/>
        <v/>
      </c>
      <c r="AA1436" s="374" t="b">
        <f t="shared" si="343"/>
        <v>1</v>
      </c>
      <c r="AB1436" s="374">
        <f>COUNTIFS(B:B,B1436,H:H,'סיווג התפקידים והעלויות'!$C$2)</f>
        <v>0</v>
      </c>
      <c r="AC1436" s="374">
        <f>COUNTIFS(B:B,B1436,H:H,'סיווג התפקידים והעלויות'!$D$2)</f>
        <v>0</v>
      </c>
      <c r="AD1436" s="374" t="str">
        <f>IF(OR(AND(H1436='סיווג התפקידים והעלויות'!$A$2,I1436='סיווג התפקידים והעלויות'!$A$3),'עלויות כח אדם (6)'!H1436='סיווג התפקידים והעלויות'!$C$2,'עלויות כח אדם (6)'!H1436='סיווג התפקידים והעלויות'!$D$2),IF('עלויות כח אדם (6)'!J1436&lt;75,"לא תקין","תקין"),"")</f>
        <v/>
      </c>
      <c r="AE1436" s="374" t="str">
        <f t="shared" si="344"/>
        <v/>
      </c>
      <c r="AF1436" s="532" t="str">
        <f t="shared" si="345"/>
        <v/>
      </c>
    </row>
    <row r="1437" spans="2:32" x14ac:dyDescent="0.25">
      <c r="B1437" s="695"/>
      <c r="C1437" s="197" t="str">
        <f>IF(B1437&lt;&gt;"",IFERROR(VLOOKUP(B:B,'מצבת והרשמה (2)'!$C$20:$N$520,2,0)," ")," ")</f>
        <v xml:space="preserve"> </v>
      </c>
      <c r="D1437" s="695"/>
      <c r="E1437" s="696"/>
      <c r="F1437" s="696"/>
      <c r="G1437" s="696"/>
      <c r="H1437" s="696"/>
      <c r="I1437" s="1050" t="str">
        <f t="shared" si="332"/>
        <v/>
      </c>
      <c r="J1437" s="696"/>
      <c r="K1437" s="697"/>
      <c r="L1437" s="696"/>
      <c r="M1437" s="198" t="str">
        <f t="shared" si="333"/>
        <v/>
      </c>
      <c r="N1437" s="369" t="str">
        <f t="shared" si="334"/>
        <v/>
      </c>
      <c r="O1437" s="183" t="str">
        <f t="shared" si="335"/>
        <v/>
      </c>
      <c r="P1437" s="199" t="str">
        <f t="shared" si="336"/>
        <v/>
      </c>
      <c r="Q1437" s="199" t="str">
        <f>IF(B1437="","",IFERROR(IF('עלויות כח אדם (6)'!J1437&gt;=VLOOKUP(I1437,'סיווג התפקידים והעלויות'!$B$23:$C$32,2,0),"תקין","לא תקין"),""))</f>
        <v/>
      </c>
      <c r="R1437" s="199" t="str">
        <f t="shared" si="337"/>
        <v/>
      </c>
      <c r="S1437" s="199" t="str">
        <f t="shared" si="338"/>
        <v/>
      </c>
      <c r="T1437" s="199" t="str">
        <f t="shared" si="346"/>
        <v/>
      </c>
      <c r="U1437" s="199" t="str">
        <f t="shared" si="339"/>
        <v/>
      </c>
      <c r="V1437" s="989"/>
      <c r="X1437" s="374" t="str">
        <f t="shared" si="340"/>
        <v/>
      </c>
      <c r="Y1437" s="375" t="str">
        <f t="shared" si="341"/>
        <v/>
      </c>
      <c r="Z1437" s="374" t="str">
        <f t="shared" si="342"/>
        <v/>
      </c>
      <c r="AA1437" s="374" t="b">
        <f t="shared" si="343"/>
        <v>1</v>
      </c>
      <c r="AB1437" s="374">
        <f>COUNTIFS(B:B,B1437,H:H,'סיווג התפקידים והעלויות'!$C$2)</f>
        <v>0</v>
      </c>
      <c r="AC1437" s="374">
        <f>COUNTIFS(B:B,B1437,H:H,'סיווג התפקידים והעלויות'!$D$2)</f>
        <v>0</v>
      </c>
      <c r="AD1437" s="374" t="str">
        <f>IF(OR(AND(H1437='סיווג התפקידים והעלויות'!$A$2,I1437='סיווג התפקידים והעלויות'!$A$3),'עלויות כח אדם (6)'!H1437='סיווג התפקידים והעלויות'!$C$2,'עלויות כח אדם (6)'!H1437='סיווג התפקידים והעלויות'!$D$2),IF('עלויות כח אדם (6)'!J1437&lt;75,"לא תקין","תקין"),"")</f>
        <v/>
      </c>
      <c r="AE1437" s="374" t="str">
        <f t="shared" si="344"/>
        <v/>
      </c>
      <c r="AF1437" s="532" t="str">
        <f t="shared" si="345"/>
        <v/>
      </c>
    </row>
    <row r="1438" spans="2:32" x14ac:dyDescent="0.25">
      <c r="B1438" s="695"/>
      <c r="C1438" s="197" t="str">
        <f>IF(B1438&lt;&gt;"",IFERROR(VLOOKUP(B:B,'מצבת והרשמה (2)'!$C$20:$N$520,2,0)," ")," ")</f>
        <v xml:space="preserve"> </v>
      </c>
      <c r="D1438" s="695"/>
      <c r="E1438" s="696"/>
      <c r="F1438" s="696"/>
      <c r="G1438" s="696"/>
      <c r="H1438" s="696"/>
      <c r="I1438" s="1050" t="str">
        <f t="shared" si="332"/>
        <v/>
      </c>
      <c r="J1438" s="696"/>
      <c r="K1438" s="697"/>
      <c r="L1438" s="696"/>
      <c r="M1438" s="198" t="str">
        <f t="shared" si="333"/>
        <v/>
      </c>
      <c r="N1438" s="369" t="str">
        <f t="shared" si="334"/>
        <v/>
      </c>
      <c r="O1438" s="183" t="str">
        <f t="shared" si="335"/>
        <v/>
      </c>
      <c r="P1438" s="199" t="str">
        <f t="shared" si="336"/>
        <v/>
      </c>
      <c r="Q1438" s="199" t="str">
        <f>IF(B1438="","",IFERROR(IF('עלויות כח אדם (6)'!J1438&gt;=VLOOKUP(I1438,'סיווג התפקידים והעלויות'!$B$23:$C$32,2,0),"תקין","לא תקין"),""))</f>
        <v/>
      </c>
      <c r="R1438" s="199" t="str">
        <f t="shared" si="337"/>
        <v/>
      </c>
      <c r="S1438" s="199" t="str">
        <f t="shared" si="338"/>
        <v/>
      </c>
      <c r="T1438" s="199" t="str">
        <f t="shared" si="346"/>
        <v/>
      </c>
      <c r="U1438" s="199" t="str">
        <f t="shared" si="339"/>
        <v/>
      </c>
      <c r="V1438" s="989"/>
      <c r="X1438" s="374" t="str">
        <f t="shared" si="340"/>
        <v/>
      </c>
      <c r="Y1438" s="375" t="str">
        <f t="shared" si="341"/>
        <v/>
      </c>
      <c r="Z1438" s="374" t="str">
        <f t="shared" si="342"/>
        <v/>
      </c>
      <c r="AA1438" s="374" t="b">
        <f t="shared" si="343"/>
        <v>1</v>
      </c>
      <c r="AB1438" s="374">
        <f>COUNTIFS(B:B,B1438,H:H,'סיווג התפקידים והעלויות'!$C$2)</f>
        <v>0</v>
      </c>
      <c r="AC1438" s="374">
        <f>COUNTIFS(B:B,B1438,H:H,'סיווג התפקידים והעלויות'!$D$2)</f>
        <v>0</v>
      </c>
      <c r="AD1438" s="374" t="str">
        <f>IF(OR(AND(H1438='סיווג התפקידים והעלויות'!$A$2,I1438='סיווג התפקידים והעלויות'!$A$3),'עלויות כח אדם (6)'!H1438='סיווג התפקידים והעלויות'!$C$2,'עלויות כח אדם (6)'!H1438='סיווג התפקידים והעלויות'!$D$2),IF('עלויות כח אדם (6)'!J1438&lt;75,"לא תקין","תקין"),"")</f>
        <v/>
      </c>
      <c r="AE1438" s="374" t="str">
        <f t="shared" si="344"/>
        <v/>
      </c>
      <c r="AF1438" s="532" t="str">
        <f t="shared" si="345"/>
        <v/>
      </c>
    </row>
    <row r="1439" spans="2:32" x14ac:dyDescent="0.25">
      <c r="B1439" s="695"/>
      <c r="C1439" s="197" t="str">
        <f>IF(B1439&lt;&gt;"",IFERROR(VLOOKUP(B:B,'מצבת והרשמה (2)'!$C$20:$N$520,2,0)," ")," ")</f>
        <v xml:space="preserve"> </v>
      </c>
      <c r="D1439" s="695"/>
      <c r="E1439" s="696"/>
      <c r="F1439" s="696"/>
      <c r="G1439" s="696"/>
      <c r="H1439" s="696"/>
      <c r="I1439" s="1050" t="str">
        <f t="shared" si="332"/>
        <v/>
      </c>
      <c r="J1439" s="696"/>
      <c r="K1439" s="697"/>
      <c r="L1439" s="696"/>
      <c r="M1439" s="198" t="str">
        <f t="shared" si="333"/>
        <v/>
      </c>
      <c r="N1439" s="369" t="str">
        <f t="shared" si="334"/>
        <v/>
      </c>
      <c r="O1439" s="183" t="str">
        <f t="shared" si="335"/>
        <v/>
      </c>
      <c r="P1439" s="199" t="str">
        <f t="shared" si="336"/>
        <v/>
      </c>
      <c r="Q1439" s="199" t="str">
        <f>IF(B1439="","",IFERROR(IF('עלויות כח אדם (6)'!J1439&gt;=VLOOKUP(I1439,'סיווג התפקידים והעלויות'!$B$23:$C$32,2,0),"תקין","לא תקין"),""))</f>
        <v/>
      </c>
      <c r="R1439" s="199" t="str">
        <f t="shared" si="337"/>
        <v/>
      </c>
      <c r="S1439" s="199" t="str">
        <f t="shared" si="338"/>
        <v/>
      </c>
      <c r="T1439" s="199" t="str">
        <f t="shared" si="346"/>
        <v/>
      </c>
      <c r="U1439" s="199" t="str">
        <f t="shared" si="339"/>
        <v/>
      </c>
      <c r="V1439" s="989"/>
      <c r="X1439" s="374" t="str">
        <f t="shared" si="340"/>
        <v/>
      </c>
      <c r="Y1439" s="375" t="str">
        <f t="shared" si="341"/>
        <v/>
      </c>
      <c r="Z1439" s="374" t="str">
        <f t="shared" si="342"/>
        <v/>
      </c>
      <c r="AA1439" s="374" t="b">
        <f t="shared" si="343"/>
        <v>1</v>
      </c>
      <c r="AB1439" s="374">
        <f>COUNTIFS(B:B,B1439,H:H,'סיווג התפקידים והעלויות'!$C$2)</f>
        <v>0</v>
      </c>
      <c r="AC1439" s="374">
        <f>COUNTIFS(B:B,B1439,H:H,'סיווג התפקידים והעלויות'!$D$2)</f>
        <v>0</v>
      </c>
      <c r="AD1439" s="374" t="str">
        <f>IF(OR(AND(H1439='סיווג התפקידים והעלויות'!$A$2,I1439='סיווג התפקידים והעלויות'!$A$3),'עלויות כח אדם (6)'!H1439='סיווג התפקידים והעלויות'!$C$2,'עלויות כח אדם (6)'!H1439='סיווג התפקידים והעלויות'!$D$2),IF('עלויות כח אדם (6)'!J1439&lt;75,"לא תקין","תקין"),"")</f>
        <v/>
      </c>
      <c r="AE1439" s="374" t="str">
        <f t="shared" si="344"/>
        <v/>
      </c>
      <c r="AF1439" s="532" t="str">
        <f t="shared" si="345"/>
        <v/>
      </c>
    </row>
    <row r="1440" spans="2:32" x14ac:dyDescent="0.25">
      <c r="B1440" s="695"/>
      <c r="C1440" s="197" t="str">
        <f>IF(B1440&lt;&gt;"",IFERROR(VLOOKUP(B:B,'מצבת והרשמה (2)'!$C$20:$N$520,2,0)," ")," ")</f>
        <v xml:space="preserve"> </v>
      </c>
      <c r="D1440" s="695"/>
      <c r="E1440" s="696"/>
      <c r="F1440" s="696"/>
      <c r="G1440" s="696"/>
      <c r="H1440" s="696"/>
      <c r="I1440" s="1050" t="str">
        <f t="shared" si="332"/>
        <v/>
      </c>
      <c r="J1440" s="696"/>
      <c r="K1440" s="697"/>
      <c r="L1440" s="696"/>
      <c r="M1440" s="198" t="str">
        <f t="shared" si="333"/>
        <v/>
      </c>
      <c r="N1440" s="369" t="str">
        <f t="shared" si="334"/>
        <v/>
      </c>
      <c r="O1440" s="183" t="str">
        <f t="shared" si="335"/>
        <v/>
      </c>
      <c r="P1440" s="199" t="str">
        <f t="shared" si="336"/>
        <v/>
      </c>
      <c r="Q1440" s="199" t="str">
        <f>IF(B1440="","",IFERROR(IF('עלויות כח אדם (6)'!J1440&gt;=VLOOKUP(I1440,'סיווג התפקידים והעלויות'!$B$23:$C$32,2,0),"תקין","לא תקין"),""))</f>
        <v/>
      </c>
      <c r="R1440" s="199" t="str">
        <f t="shared" si="337"/>
        <v/>
      </c>
      <c r="S1440" s="199" t="str">
        <f t="shared" si="338"/>
        <v/>
      </c>
      <c r="T1440" s="199" t="str">
        <f t="shared" si="346"/>
        <v/>
      </c>
      <c r="U1440" s="199" t="str">
        <f t="shared" si="339"/>
        <v/>
      </c>
      <c r="V1440" s="989"/>
      <c r="X1440" s="374" t="str">
        <f t="shared" si="340"/>
        <v/>
      </c>
      <c r="Y1440" s="375" t="str">
        <f t="shared" si="341"/>
        <v/>
      </c>
      <c r="Z1440" s="374" t="str">
        <f t="shared" si="342"/>
        <v/>
      </c>
      <c r="AA1440" s="374" t="b">
        <f t="shared" si="343"/>
        <v>1</v>
      </c>
      <c r="AB1440" s="374">
        <f>COUNTIFS(B:B,B1440,H:H,'סיווג התפקידים והעלויות'!$C$2)</f>
        <v>0</v>
      </c>
      <c r="AC1440" s="374">
        <f>COUNTIFS(B:B,B1440,H:H,'סיווג התפקידים והעלויות'!$D$2)</f>
        <v>0</v>
      </c>
      <c r="AD1440" s="374" t="str">
        <f>IF(OR(AND(H1440='סיווג התפקידים והעלויות'!$A$2,I1440='סיווג התפקידים והעלויות'!$A$3),'עלויות כח אדם (6)'!H1440='סיווג התפקידים והעלויות'!$C$2,'עלויות כח אדם (6)'!H1440='סיווג התפקידים והעלויות'!$D$2),IF('עלויות כח אדם (6)'!J1440&lt;75,"לא תקין","תקין"),"")</f>
        <v/>
      </c>
      <c r="AE1440" s="374" t="str">
        <f t="shared" si="344"/>
        <v/>
      </c>
      <c r="AF1440" s="532" t="str">
        <f t="shared" si="345"/>
        <v/>
      </c>
    </row>
    <row r="1441" spans="2:32" x14ac:dyDescent="0.25">
      <c r="B1441" s="695"/>
      <c r="C1441" s="197" t="str">
        <f>IF(B1441&lt;&gt;"",IFERROR(VLOOKUP(B:B,'מצבת והרשמה (2)'!$C$20:$N$520,2,0)," ")," ")</f>
        <v xml:space="preserve"> </v>
      </c>
      <c r="D1441" s="695"/>
      <c r="E1441" s="696"/>
      <c r="F1441" s="696"/>
      <c r="G1441" s="696"/>
      <c r="H1441" s="696"/>
      <c r="I1441" s="1050" t="str">
        <f t="shared" si="332"/>
        <v/>
      </c>
      <c r="J1441" s="696"/>
      <c r="K1441" s="697"/>
      <c r="L1441" s="696"/>
      <c r="M1441" s="198" t="str">
        <f t="shared" si="333"/>
        <v/>
      </c>
      <c r="N1441" s="369" t="str">
        <f t="shared" si="334"/>
        <v/>
      </c>
      <c r="O1441" s="183" t="str">
        <f t="shared" si="335"/>
        <v/>
      </c>
      <c r="P1441" s="199" t="str">
        <f t="shared" si="336"/>
        <v/>
      </c>
      <c r="Q1441" s="199" t="str">
        <f>IF(B1441="","",IFERROR(IF('עלויות כח אדם (6)'!J1441&gt;=VLOOKUP(I1441,'סיווג התפקידים והעלויות'!$B$23:$C$32,2,0),"תקין","לא תקין"),""))</f>
        <v/>
      </c>
      <c r="R1441" s="199" t="str">
        <f t="shared" si="337"/>
        <v/>
      </c>
      <c r="S1441" s="199" t="str">
        <f t="shared" si="338"/>
        <v/>
      </c>
      <c r="T1441" s="199" t="str">
        <f t="shared" si="346"/>
        <v/>
      </c>
      <c r="U1441" s="199" t="str">
        <f t="shared" si="339"/>
        <v/>
      </c>
      <c r="V1441" s="989"/>
      <c r="X1441" s="374" t="str">
        <f t="shared" si="340"/>
        <v/>
      </c>
      <c r="Y1441" s="375" t="str">
        <f t="shared" si="341"/>
        <v/>
      </c>
      <c r="Z1441" s="374" t="str">
        <f t="shared" si="342"/>
        <v/>
      </c>
      <c r="AA1441" s="374" t="b">
        <f t="shared" si="343"/>
        <v>1</v>
      </c>
      <c r="AB1441" s="374">
        <f>COUNTIFS(B:B,B1441,H:H,'סיווג התפקידים והעלויות'!$C$2)</f>
        <v>0</v>
      </c>
      <c r="AC1441" s="374">
        <f>COUNTIFS(B:B,B1441,H:H,'סיווג התפקידים והעלויות'!$D$2)</f>
        <v>0</v>
      </c>
      <c r="AD1441" s="374" t="str">
        <f>IF(OR(AND(H1441='סיווג התפקידים והעלויות'!$A$2,I1441='סיווג התפקידים והעלויות'!$A$3),'עלויות כח אדם (6)'!H1441='סיווג התפקידים והעלויות'!$C$2,'עלויות כח אדם (6)'!H1441='סיווג התפקידים והעלויות'!$D$2),IF('עלויות כח אדם (6)'!J1441&lt;75,"לא תקין","תקין"),"")</f>
        <v/>
      </c>
      <c r="AE1441" s="374" t="str">
        <f t="shared" si="344"/>
        <v/>
      </c>
      <c r="AF1441" s="532" t="str">
        <f t="shared" si="345"/>
        <v/>
      </c>
    </row>
    <row r="1442" spans="2:32" x14ac:dyDescent="0.25">
      <c r="B1442" s="695"/>
      <c r="C1442" s="197" t="str">
        <f>IF(B1442&lt;&gt;"",IFERROR(VLOOKUP(B:B,'מצבת והרשמה (2)'!$C$20:$N$520,2,0)," ")," ")</f>
        <v xml:space="preserve"> </v>
      </c>
      <c r="D1442" s="695"/>
      <c r="E1442" s="696"/>
      <c r="F1442" s="696"/>
      <c r="G1442" s="696"/>
      <c r="H1442" s="696"/>
      <c r="I1442" s="1050" t="str">
        <f t="shared" si="332"/>
        <v/>
      </c>
      <c r="J1442" s="696"/>
      <c r="K1442" s="697"/>
      <c r="L1442" s="696"/>
      <c r="M1442" s="198" t="str">
        <f t="shared" si="333"/>
        <v/>
      </c>
      <c r="N1442" s="369" t="str">
        <f t="shared" si="334"/>
        <v/>
      </c>
      <c r="O1442" s="183" t="str">
        <f t="shared" si="335"/>
        <v/>
      </c>
      <c r="P1442" s="199" t="str">
        <f t="shared" si="336"/>
        <v/>
      </c>
      <c r="Q1442" s="199" t="str">
        <f>IF(B1442="","",IFERROR(IF('עלויות כח אדם (6)'!J1442&gt;=VLOOKUP(I1442,'סיווג התפקידים והעלויות'!$B$23:$C$32,2,0),"תקין","לא תקין"),""))</f>
        <v/>
      </c>
      <c r="R1442" s="199" t="str">
        <f t="shared" si="337"/>
        <v/>
      </c>
      <c r="S1442" s="199" t="str">
        <f t="shared" si="338"/>
        <v/>
      </c>
      <c r="T1442" s="199" t="str">
        <f t="shared" si="346"/>
        <v/>
      </c>
      <c r="U1442" s="199" t="str">
        <f t="shared" si="339"/>
        <v/>
      </c>
      <c r="V1442" s="989"/>
      <c r="X1442" s="374" t="str">
        <f t="shared" si="340"/>
        <v/>
      </c>
      <c r="Y1442" s="375" t="str">
        <f t="shared" si="341"/>
        <v/>
      </c>
      <c r="Z1442" s="374" t="str">
        <f t="shared" si="342"/>
        <v/>
      </c>
      <c r="AA1442" s="374" t="b">
        <f t="shared" si="343"/>
        <v>1</v>
      </c>
      <c r="AB1442" s="374">
        <f>COUNTIFS(B:B,B1442,H:H,'סיווג התפקידים והעלויות'!$C$2)</f>
        <v>0</v>
      </c>
      <c r="AC1442" s="374">
        <f>COUNTIFS(B:B,B1442,H:H,'סיווג התפקידים והעלויות'!$D$2)</f>
        <v>0</v>
      </c>
      <c r="AD1442" s="374" t="str">
        <f>IF(OR(AND(H1442='סיווג התפקידים והעלויות'!$A$2,I1442='סיווג התפקידים והעלויות'!$A$3),'עלויות כח אדם (6)'!H1442='סיווג התפקידים והעלויות'!$C$2,'עלויות כח אדם (6)'!H1442='סיווג התפקידים והעלויות'!$D$2),IF('עלויות כח אדם (6)'!J1442&lt;75,"לא תקין","תקין"),"")</f>
        <v/>
      </c>
      <c r="AE1442" s="374" t="str">
        <f t="shared" si="344"/>
        <v/>
      </c>
      <c r="AF1442" s="532" t="str">
        <f t="shared" si="345"/>
        <v/>
      </c>
    </row>
    <row r="1443" spans="2:32" x14ac:dyDescent="0.25">
      <c r="B1443" s="695"/>
      <c r="C1443" s="197" t="str">
        <f>IF(B1443&lt;&gt;"",IFERROR(VLOOKUP(B:B,'מצבת והרשמה (2)'!$C$20:$N$520,2,0)," ")," ")</f>
        <v xml:space="preserve"> </v>
      </c>
      <c r="D1443" s="695"/>
      <c r="E1443" s="696"/>
      <c r="F1443" s="696"/>
      <c r="G1443" s="696"/>
      <c r="H1443" s="696"/>
      <c r="I1443" s="1050" t="str">
        <f t="shared" si="332"/>
        <v/>
      </c>
      <c r="J1443" s="696"/>
      <c r="K1443" s="697"/>
      <c r="L1443" s="696"/>
      <c r="M1443" s="198" t="str">
        <f t="shared" si="333"/>
        <v/>
      </c>
      <c r="N1443" s="369" t="str">
        <f t="shared" si="334"/>
        <v/>
      </c>
      <c r="O1443" s="183" t="str">
        <f t="shared" si="335"/>
        <v/>
      </c>
      <c r="P1443" s="199" t="str">
        <f t="shared" si="336"/>
        <v/>
      </c>
      <c r="Q1443" s="199" t="str">
        <f>IF(B1443="","",IFERROR(IF('עלויות כח אדם (6)'!J1443&gt;=VLOOKUP(I1443,'סיווג התפקידים והעלויות'!$B$23:$C$32,2,0),"תקין","לא תקין"),""))</f>
        <v/>
      </c>
      <c r="R1443" s="199" t="str">
        <f t="shared" si="337"/>
        <v/>
      </c>
      <c r="S1443" s="199" t="str">
        <f t="shared" si="338"/>
        <v/>
      </c>
      <c r="T1443" s="199" t="str">
        <f t="shared" si="346"/>
        <v/>
      </c>
      <c r="U1443" s="199" t="str">
        <f t="shared" si="339"/>
        <v/>
      </c>
      <c r="V1443" s="989"/>
      <c r="X1443" s="374" t="str">
        <f t="shared" si="340"/>
        <v/>
      </c>
      <c r="Y1443" s="375" t="str">
        <f t="shared" si="341"/>
        <v/>
      </c>
      <c r="Z1443" s="374" t="str">
        <f t="shared" si="342"/>
        <v/>
      </c>
      <c r="AA1443" s="374" t="b">
        <f t="shared" si="343"/>
        <v>1</v>
      </c>
      <c r="AB1443" s="374">
        <f>COUNTIFS(B:B,B1443,H:H,'סיווג התפקידים והעלויות'!$C$2)</f>
        <v>0</v>
      </c>
      <c r="AC1443" s="374">
        <f>COUNTIFS(B:B,B1443,H:H,'סיווג התפקידים והעלויות'!$D$2)</f>
        <v>0</v>
      </c>
      <c r="AD1443" s="374" t="str">
        <f>IF(OR(AND(H1443='סיווג התפקידים והעלויות'!$A$2,I1443='סיווג התפקידים והעלויות'!$A$3),'עלויות כח אדם (6)'!H1443='סיווג התפקידים והעלויות'!$C$2,'עלויות כח אדם (6)'!H1443='סיווג התפקידים והעלויות'!$D$2),IF('עלויות כח אדם (6)'!J1443&lt;75,"לא תקין","תקין"),"")</f>
        <v/>
      </c>
      <c r="AE1443" s="374" t="str">
        <f t="shared" si="344"/>
        <v/>
      </c>
      <c r="AF1443" s="532" t="str">
        <f t="shared" si="345"/>
        <v/>
      </c>
    </row>
    <row r="1444" spans="2:32" x14ac:dyDescent="0.25">
      <c r="B1444" s="695"/>
      <c r="C1444" s="197" t="str">
        <f>IF(B1444&lt;&gt;"",IFERROR(VLOOKUP(B:B,'מצבת והרשמה (2)'!$C$20:$N$520,2,0)," ")," ")</f>
        <v xml:space="preserve"> </v>
      </c>
      <c r="D1444" s="695"/>
      <c r="E1444" s="696"/>
      <c r="F1444" s="696"/>
      <c r="G1444" s="696"/>
      <c r="H1444" s="696"/>
      <c r="I1444" s="1050" t="str">
        <f t="shared" si="332"/>
        <v/>
      </c>
      <c r="J1444" s="696"/>
      <c r="K1444" s="697"/>
      <c r="L1444" s="696"/>
      <c r="M1444" s="198" t="str">
        <f t="shared" si="333"/>
        <v/>
      </c>
      <c r="N1444" s="369" t="str">
        <f t="shared" si="334"/>
        <v/>
      </c>
      <c r="O1444" s="183" t="str">
        <f t="shared" si="335"/>
        <v/>
      </c>
      <c r="P1444" s="199" t="str">
        <f t="shared" si="336"/>
        <v/>
      </c>
      <c r="Q1444" s="199" t="str">
        <f>IF(B1444="","",IFERROR(IF('עלויות כח אדם (6)'!J1444&gt;=VLOOKUP(I1444,'סיווג התפקידים והעלויות'!$B$23:$C$32,2,0),"תקין","לא תקין"),""))</f>
        <v/>
      </c>
      <c r="R1444" s="199" t="str">
        <f t="shared" si="337"/>
        <v/>
      </c>
      <c r="S1444" s="199" t="str">
        <f t="shared" si="338"/>
        <v/>
      </c>
      <c r="T1444" s="199" t="str">
        <f t="shared" si="346"/>
        <v/>
      </c>
      <c r="U1444" s="199" t="str">
        <f t="shared" si="339"/>
        <v/>
      </c>
      <c r="V1444" s="989"/>
      <c r="X1444" s="374" t="str">
        <f t="shared" si="340"/>
        <v/>
      </c>
      <c r="Y1444" s="375" t="str">
        <f t="shared" si="341"/>
        <v/>
      </c>
      <c r="Z1444" s="374" t="str">
        <f t="shared" si="342"/>
        <v/>
      </c>
      <c r="AA1444" s="374" t="b">
        <f t="shared" si="343"/>
        <v>1</v>
      </c>
      <c r="AB1444" s="374">
        <f>COUNTIFS(B:B,B1444,H:H,'סיווג התפקידים והעלויות'!$C$2)</f>
        <v>0</v>
      </c>
      <c r="AC1444" s="374">
        <f>COUNTIFS(B:B,B1444,H:H,'סיווג התפקידים והעלויות'!$D$2)</f>
        <v>0</v>
      </c>
      <c r="AD1444" s="374" t="str">
        <f>IF(OR(AND(H1444='סיווג התפקידים והעלויות'!$A$2,I1444='סיווג התפקידים והעלויות'!$A$3),'עלויות כח אדם (6)'!H1444='סיווג התפקידים והעלויות'!$C$2,'עלויות כח אדם (6)'!H1444='סיווג התפקידים והעלויות'!$D$2),IF('עלויות כח אדם (6)'!J1444&lt;75,"לא תקין","תקין"),"")</f>
        <v/>
      </c>
      <c r="AE1444" s="374" t="str">
        <f t="shared" si="344"/>
        <v/>
      </c>
      <c r="AF1444" s="532" t="str">
        <f t="shared" si="345"/>
        <v/>
      </c>
    </row>
    <row r="1445" spans="2:32" x14ac:dyDescent="0.25">
      <c r="B1445" s="695"/>
      <c r="C1445" s="197" t="str">
        <f>IF(B1445&lt;&gt;"",IFERROR(VLOOKUP(B:B,'מצבת והרשמה (2)'!$C$20:$N$520,2,0)," ")," ")</f>
        <v xml:space="preserve"> </v>
      </c>
      <c r="D1445" s="695"/>
      <c r="E1445" s="696"/>
      <c r="F1445" s="696"/>
      <c r="G1445" s="696"/>
      <c r="H1445" s="696"/>
      <c r="I1445" s="1050" t="str">
        <f t="shared" si="332"/>
        <v/>
      </c>
      <c r="J1445" s="696"/>
      <c r="K1445" s="697"/>
      <c r="L1445" s="696"/>
      <c r="M1445" s="198" t="str">
        <f t="shared" si="333"/>
        <v/>
      </c>
      <c r="N1445" s="369" t="str">
        <f t="shared" si="334"/>
        <v/>
      </c>
      <c r="O1445" s="183" t="str">
        <f t="shared" si="335"/>
        <v/>
      </c>
      <c r="P1445" s="199" t="str">
        <f t="shared" si="336"/>
        <v/>
      </c>
      <c r="Q1445" s="199" t="str">
        <f>IF(B1445="","",IFERROR(IF('עלויות כח אדם (6)'!J1445&gt;=VLOOKUP(I1445,'סיווג התפקידים והעלויות'!$B$23:$C$32,2,0),"תקין","לא תקין"),""))</f>
        <v/>
      </c>
      <c r="R1445" s="199" t="str">
        <f t="shared" si="337"/>
        <v/>
      </c>
      <c r="S1445" s="199" t="str">
        <f t="shared" si="338"/>
        <v/>
      </c>
      <c r="T1445" s="199" t="str">
        <f t="shared" si="346"/>
        <v/>
      </c>
      <c r="U1445" s="199" t="str">
        <f t="shared" si="339"/>
        <v/>
      </c>
      <c r="V1445" s="989"/>
      <c r="X1445" s="374" t="str">
        <f t="shared" si="340"/>
        <v/>
      </c>
      <c r="Y1445" s="375" t="str">
        <f t="shared" si="341"/>
        <v/>
      </c>
      <c r="Z1445" s="374" t="str">
        <f t="shared" si="342"/>
        <v/>
      </c>
      <c r="AA1445" s="374" t="b">
        <f t="shared" si="343"/>
        <v>1</v>
      </c>
      <c r="AB1445" s="374">
        <f>COUNTIFS(B:B,B1445,H:H,'סיווג התפקידים והעלויות'!$C$2)</f>
        <v>0</v>
      </c>
      <c r="AC1445" s="374">
        <f>COUNTIFS(B:B,B1445,H:H,'סיווג התפקידים והעלויות'!$D$2)</f>
        <v>0</v>
      </c>
      <c r="AD1445" s="374" t="str">
        <f>IF(OR(AND(H1445='סיווג התפקידים והעלויות'!$A$2,I1445='סיווג התפקידים והעלויות'!$A$3),'עלויות כח אדם (6)'!H1445='סיווג התפקידים והעלויות'!$C$2,'עלויות כח אדם (6)'!H1445='סיווג התפקידים והעלויות'!$D$2),IF('עלויות כח אדם (6)'!J1445&lt;75,"לא תקין","תקין"),"")</f>
        <v/>
      </c>
      <c r="AE1445" s="374" t="str">
        <f t="shared" si="344"/>
        <v/>
      </c>
      <c r="AF1445" s="532" t="str">
        <f t="shared" si="345"/>
        <v/>
      </c>
    </row>
    <row r="1446" spans="2:32" x14ac:dyDescent="0.25">
      <c r="B1446" s="695"/>
      <c r="C1446" s="197" t="str">
        <f>IF(B1446&lt;&gt;"",IFERROR(VLOOKUP(B:B,'מצבת והרשמה (2)'!$C$20:$N$520,2,0)," ")," ")</f>
        <v xml:space="preserve"> </v>
      </c>
      <c r="D1446" s="695"/>
      <c r="E1446" s="696"/>
      <c r="F1446" s="696"/>
      <c r="G1446" s="696"/>
      <c r="H1446" s="696"/>
      <c r="I1446" s="1050" t="str">
        <f t="shared" si="332"/>
        <v/>
      </c>
      <c r="J1446" s="696"/>
      <c r="K1446" s="697"/>
      <c r="L1446" s="696"/>
      <c r="M1446" s="198" t="str">
        <f t="shared" si="333"/>
        <v/>
      </c>
      <c r="N1446" s="369" t="str">
        <f t="shared" si="334"/>
        <v/>
      </c>
      <c r="O1446" s="183" t="str">
        <f t="shared" si="335"/>
        <v/>
      </c>
      <c r="P1446" s="199" t="str">
        <f t="shared" si="336"/>
        <v/>
      </c>
      <c r="Q1446" s="199" t="str">
        <f>IF(B1446="","",IFERROR(IF('עלויות כח אדם (6)'!J1446&gt;=VLOOKUP(I1446,'סיווג התפקידים והעלויות'!$B$23:$C$32,2,0),"תקין","לא תקין"),""))</f>
        <v/>
      </c>
      <c r="R1446" s="199" t="str">
        <f t="shared" si="337"/>
        <v/>
      </c>
      <c r="S1446" s="199" t="str">
        <f t="shared" si="338"/>
        <v/>
      </c>
      <c r="T1446" s="199" t="str">
        <f t="shared" si="346"/>
        <v/>
      </c>
      <c r="U1446" s="199" t="str">
        <f t="shared" si="339"/>
        <v/>
      </c>
      <c r="V1446" s="989"/>
      <c r="X1446" s="374" t="str">
        <f t="shared" si="340"/>
        <v/>
      </c>
      <c r="Y1446" s="375" t="str">
        <f t="shared" si="341"/>
        <v/>
      </c>
      <c r="Z1446" s="374" t="str">
        <f t="shared" si="342"/>
        <v/>
      </c>
      <c r="AA1446" s="374" t="b">
        <f t="shared" si="343"/>
        <v>1</v>
      </c>
      <c r="AB1446" s="374">
        <f>COUNTIFS(B:B,B1446,H:H,'סיווג התפקידים והעלויות'!$C$2)</f>
        <v>0</v>
      </c>
      <c r="AC1446" s="374">
        <f>COUNTIFS(B:B,B1446,H:H,'סיווג התפקידים והעלויות'!$D$2)</f>
        <v>0</v>
      </c>
      <c r="AD1446" s="374" t="str">
        <f>IF(OR(AND(H1446='סיווג התפקידים והעלויות'!$A$2,I1446='סיווג התפקידים והעלויות'!$A$3),'עלויות כח אדם (6)'!H1446='סיווג התפקידים והעלויות'!$C$2,'עלויות כח אדם (6)'!H1446='סיווג התפקידים והעלויות'!$D$2),IF('עלויות כח אדם (6)'!J1446&lt;75,"לא תקין","תקין"),"")</f>
        <v/>
      </c>
      <c r="AE1446" s="374" t="str">
        <f t="shared" si="344"/>
        <v/>
      </c>
      <c r="AF1446" s="532" t="str">
        <f t="shared" si="345"/>
        <v/>
      </c>
    </row>
    <row r="1447" spans="2:32" x14ac:dyDescent="0.25">
      <c r="B1447" s="695"/>
      <c r="C1447" s="197" t="str">
        <f>IF(B1447&lt;&gt;"",IFERROR(VLOOKUP(B:B,'מצבת והרשמה (2)'!$C$20:$N$520,2,0)," ")," ")</f>
        <v xml:space="preserve"> </v>
      </c>
      <c r="D1447" s="695"/>
      <c r="E1447" s="696"/>
      <c r="F1447" s="696"/>
      <c r="G1447" s="696"/>
      <c r="H1447" s="696"/>
      <c r="I1447" s="1050" t="str">
        <f t="shared" si="332"/>
        <v/>
      </c>
      <c r="J1447" s="696"/>
      <c r="K1447" s="697"/>
      <c r="L1447" s="696"/>
      <c r="M1447" s="198" t="str">
        <f t="shared" si="333"/>
        <v/>
      </c>
      <c r="N1447" s="369" t="str">
        <f t="shared" si="334"/>
        <v/>
      </c>
      <c r="O1447" s="183" t="str">
        <f t="shared" si="335"/>
        <v/>
      </c>
      <c r="P1447" s="199" t="str">
        <f t="shared" si="336"/>
        <v/>
      </c>
      <c r="Q1447" s="199" t="str">
        <f>IF(B1447="","",IFERROR(IF('עלויות כח אדם (6)'!J1447&gt;=VLOOKUP(I1447,'סיווג התפקידים והעלויות'!$B$23:$C$32,2,0),"תקין","לא תקין"),""))</f>
        <v/>
      </c>
      <c r="R1447" s="199" t="str">
        <f t="shared" si="337"/>
        <v/>
      </c>
      <c r="S1447" s="199" t="str">
        <f t="shared" si="338"/>
        <v/>
      </c>
      <c r="T1447" s="199" t="str">
        <f t="shared" si="346"/>
        <v/>
      </c>
      <c r="U1447" s="199" t="str">
        <f t="shared" si="339"/>
        <v/>
      </c>
      <c r="V1447" s="989"/>
      <c r="X1447" s="374" t="str">
        <f t="shared" si="340"/>
        <v/>
      </c>
      <c r="Y1447" s="375" t="str">
        <f t="shared" si="341"/>
        <v/>
      </c>
      <c r="Z1447" s="374" t="str">
        <f t="shared" si="342"/>
        <v/>
      </c>
      <c r="AA1447" s="374" t="b">
        <f t="shared" si="343"/>
        <v>1</v>
      </c>
      <c r="AB1447" s="374">
        <f>COUNTIFS(B:B,B1447,H:H,'סיווג התפקידים והעלויות'!$C$2)</f>
        <v>0</v>
      </c>
      <c r="AC1447" s="374">
        <f>COUNTIFS(B:B,B1447,H:H,'סיווג התפקידים והעלויות'!$D$2)</f>
        <v>0</v>
      </c>
      <c r="AD1447" s="374" t="str">
        <f>IF(OR(AND(H1447='סיווג התפקידים והעלויות'!$A$2,I1447='סיווג התפקידים והעלויות'!$A$3),'עלויות כח אדם (6)'!H1447='סיווג התפקידים והעלויות'!$C$2,'עלויות כח אדם (6)'!H1447='סיווג התפקידים והעלויות'!$D$2),IF('עלויות כח אדם (6)'!J1447&lt;75,"לא תקין","תקין"),"")</f>
        <v/>
      </c>
      <c r="AE1447" s="374" t="str">
        <f t="shared" si="344"/>
        <v/>
      </c>
      <c r="AF1447" s="532" t="str">
        <f t="shared" si="345"/>
        <v/>
      </c>
    </row>
    <row r="1448" spans="2:32" x14ac:dyDescent="0.25">
      <c r="B1448" s="695"/>
      <c r="C1448" s="197" t="str">
        <f>IF(B1448&lt;&gt;"",IFERROR(VLOOKUP(B:B,'מצבת והרשמה (2)'!$C$20:$N$520,2,0)," ")," ")</f>
        <v xml:space="preserve"> </v>
      </c>
      <c r="D1448" s="695"/>
      <c r="E1448" s="696"/>
      <c r="F1448" s="696"/>
      <c r="G1448" s="696"/>
      <c r="H1448" s="696"/>
      <c r="I1448" s="1050" t="str">
        <f t="shared" si="332"/>
        <v/>
      </c>
      <c r="J1448" s="696"/>
      <c r="K1448" s="697"/>
      <c r="L1448" s="696"/>
      <c r="M1448" s="198" t="str">
        <f t="shared" si="333"/>
        <v/>
      </c>
      <c r="N1448" s="369" t="str">
        <f t="shared" si="334"/>
        <v/>
      </c>
      <c r="O1448" s="183" t="str">
        <f t="shared" si="335"/>
        <v/>
      </c>
      <c r="P1448" s="199" t="str">
        <f t="shared" si="336"/>
        <v/>
      </c>
      <c r="Q1448" s="199" t="str">
        <f>IF(B1448="","",IFERROR(IF('עלויות כח אדם (6)'!J1448&gt;=VLOOKUP(I1448,'סיווג התפקידים והעלויות'!$B$23:$C$32,2,0),"תקין","לא תקין"),""))</f>
        <v/>
      </c>
      <c r="R1448" s="199" t="str">
        <f t="shared" si="337"/>
        <v/>
      </c>
      <c r="S1448" s="199" t="str">
        <f t="shared" si="338"/>
        <v/>
      </c>
      <c r="T1448" s="199" t="str">
        <f t="shared" si="346"/>
        <v/>
      </c>
      <c r="U1448" s="199" t="str">
        <f t="shared" si="339"/>
        <v/>
      </c>
      <c r="V1448" s="989"/>
      <c r="X1448" s="374" t="str">
        <f t="shared" si="340"/>
        <v/>
      </c>
      <c r="Y1448" s="375" t="str">
        <f t="shared" si="341"/>
        <v/>
      </c>
      <c r="Z1448" s="374" t="str">
        <f t="shared" si="342"/>
        <v/>
      </c>
      <c r="AA1448" s="374" t="b">
        <f t="shared" si="343"/>
        <v>1</v>
      </c>
      <c r="AB1448" s="374">
        <f>COUNTIFS(B:B,B1448,H:H,'סיווג התפקידים והעלויות'!$C$2)</f>
        <v>0</v>
      </c>
      <c r="AC1448" s="374">
        <f>COUNTIFS(B:B,B1448,H:H,'סיווג התפקידים והעלויות'!$D$2)</f>
        <v>0</v>
      </c>
      <c r="AD1448" s="374" t="str">
        <f>IF(OR(AND(H1448='סיווג התפקידים והעלויות'!$A$2,I1448='סיווג התפקידים והעלויות'!$A$3),'עלויות כח אדם (6)'!H1448='סיווג התפקידים והעלויות'!$C$2,'עלויות כח אדם (6)'!H1448='סיווג התפקידים והעלויות'!$D$2),IF('עלויות כח אדם (6)'!J1448&lt;75,"לא תקין","תקין"),"")</f>
        <v/>
      </c>
      <c r="AE1448" s="374" t="str">
        <f t="shared" si="344"/>
        <v/>
      </c>
      <c r="AF1448" s="532" t="str">
        <f t="shared" si="345"/>
        <v/>
      </c>
    </row>
    <row r="1449" spans="2:32" x14ac:dyDescent="0.25">
      <c r="B1449" s="695"/>
      <c r="C1449" s="197" t="str">
        <f>IF(B1449&lt;&gt;"",IFERROR(VLOOKUP(B:B,'מצבת והרשמה (2)'!$C$20:$N$520,2,0)," ")," ")</f>
        <v xml:space="preserve"> </v>
      </c>
      <c r="D1449" s="695"/>
      <c r="E1449" s="696"/>
      <c r="F1449" s="696"/>
      <c r="G1449" s="696"/>
      <c r="H1449" s="696"/>
      <c r="I1449" s="1050" t="str">
        <f t="shared" si="332"/>
        <v/>
      </c>
      <c r="J1449" s="696"/>
      <c r="K1449" s="697"/>
      <c r="L1449" s="696"/>
      <c r="M1449" s="198" t="str">
        <f t="shared" si="333"/>
        <v/>
      </c>
      <c r="N1449" s="369" t="str">
        <f t="shared" si="334"/>
        <v/>
      </c>
      <c r="O1449" s="183" t="str">
        <f t="shared" si="335"/>
        <v/>
      </c>
      <c r="P1449" s="199" t="str">
        <f t="shared" si="336"/>
        <v/>
      </c>
      <c r="Q1449" s="199" t="str">
        <f>IF(B1449="","",IFERROR(IF('עלויות כח אדם (6)'!J1449&gt;=VLOOKUP(I1449,'סיווג התפקידים והעלויות'!$B$23:$C$32,2,0),"תקין","לא תקין"),""))</f>
        <v/>
      </c>
      <c r="R1449" s="199" t="str">
        <f t="shared" si="337"/>
        <v/>
      </c>
      <c r="S1449" s="199" t="str">
        <f t="shared" si="338"/>
        <v/>
      </c>
      <c r="T1449" s="199" t="str">
        <f t="shared" si="346"/>
        <v/>
      </c>
      <c r="U1449" s="199" t="str">
        <f t="shared" si="339"/>
        <v/>
      </c>
      <c r="V1449" s="989"/>
      <c r="X1449" s="374" t="str">
        <f t="shared" si="340"/>
        <v/>
      </c>
      <c r="Y1449" s="375" t="str">
        <f t="shared" si="341"/>
        <v/>
      </c>
      <c r="Z1449" s="374" t="str">
        <f t="shared" si="342"/>
        <v/>
      </c>
      <c r="AA1449" s="374" t="b">
        <f t="shared" si="343"/>
        <v>1</v>
      </c>
      <c r="AB1449" s="374">
        <f>COUNTIFS(B:B,B1449,H:H,'סיווג התפקידים והעלויות'!$C$2)</f>
        <v>0</v>
      </c>
      <c r="AC1449" s="374">
        <f>COUNTIFS(B:B,B1449,H:H,'סיווג התפקידים והעלויות'!$D$2)</f>
        <v>0</v>
      </c>
      <c r="AD1449" s="374" t="str">
        <f>IF(OR(AND(H1449='סיווג התפקידים והעלויות'!$A$2,I1449='סיווג התפקידים והעלויות'!$A$3),'עלויות כח אדם (6)'!H1449='סיווג התפקידים והעלויות'!$C$2,'עלויות כח אדם (6)'!H1449='סיווג התפקידים והעלויות'!$D$2),IF('עלויות כח אדם (6)'!J1449&lt;75,"לא תקין","תקין"),"")</f>
        <v/>
      </c>
      <c r="AE1449" s="374" t="str">
        <f t="shared" si="344"/>
        <v/>
      </c>
      <c r="AF1449" s="532" t="str">
        <f t="shared" si="345"/>
        <v/>
      </c>
    </row>
    <row r="1450" spans="2:32" x14ac:dyDescent="0.25">
      <c r="B1450" s="695"/>
      <c r="C1450" s="197" t="str">
        <f>IF(B1450&lt;&gt;"",IFERROR(VLOOKUP(B:B,'מצבת והרשמה (2)'!$C$20:$N$520,2,0)," ")," ")</f>
        <v xml:space="preserve"> </v>
      </c>
      <c r="D1450" s="695"/>
      <c r="E1450" s="696"/>
      <c r="F1450" s="696"/>
      <c r="G1450" s="696"/>
      <c r="H1450" s="696"/>
      <c r="I1450" s="1050" t="str">
        <f t="shared" si="332"/>
        <v/>
      </c>
      <c r="J1450" s="696"/>
      <c r="K1450" s="697"/>
      <c r="L1450" s="696"/>
      <c r="M1450" s="198" t="str">
        <f t="shared" si="333"/>
        <v/>
      </c>
      <c r="N1450" s="369" t="str">
        <f t="shared" si="334"/>
        <v/>
      </c>
      <c r="O1450" s="183" t="str">
        <f t="shared" si="335"/>
        <v/>
      </c>
      <c r="P1450" s="199" t="str">
        <f t="shared" si="336"/>
        <v/>
      </c>
      <c r="Q1450" s="199" t="str">
        <f>IF(B1450="","",IFERROR(IF('עלויות כח אדם (6)'!J1450&gt;=VLOOKUP(I1450,'סיווג התפקידים והעלויות'!$B$23:$C$32,2,0),"תקין","לא תקין"),""))</f>
        <v/>
      </c>
      <c r="R1450" s="199" t="str">
        <f t="shared" si="337"/>
        <v/>
      </c>
      <c r="S1450" s="199" t="str">
        <f t="shared" si="338"/>
        <v/>
      </c>
      <c r="T1450" s="199" t="str">
        <f t="shared" si="346"/>
        <v/>
      </c>
      <c r="U1450" s="199" t="str">
        <f t="shared" si="339"/>
        <v/>
      </c>
      <c r="V1450" s="989"/>
      <c r="X1450" s="374" t="str">
        <f t="shared" si="340"/>
        <v/>
      </c>
      <c r="Y1450" s="375" t="str">
        <f t="shared" si="341"/>
        <v/>
      </c>
      <c r="Z1450" s="374" t="str">
        <f t="shared" si="342"/>
        <v/>
      </c>
      <c r="AA1450" s="374" t="b">
        <f t="shared" si="343"/>
        <v>1</v>
      </c>
      <c r="AB1450" s="374">
        <f>COUNTIFS(B:B,B1450,H:H,'סיווג התפקידים והעלויות'!$C$2)</f>
        <v>0</v>
      </c>
      <c r="AC1450" s="374">
        <f>COUNTIFS(B:B,B1450,H:H,'סיווג התפקידים והעלויות'!$D$2)</f>
        <v>0</v>
      </c>
      <c r="AD1450" s="374" t="str">
        <f>IF(OR(AND(H1450='סיווג התפקידים והעלויות'!$A$2,I1450='סיווג התפקידים והעלויות'!$A$3),'עלויות כח אדם (6)'!H1450='סיווג התפקידים והעלויות'!$C$2,'עלויות כח אדם (6)'!H1450='סיווג התפקידים והעלויות'!$D$2),IF('עלויות כח אדם (6)'!J1450&lt;75,"לא תקין","תקין"),"")</f>
        <v/>
      </c>
      <c r="AE1450" s="374" t="str">
        <f t="shared" si="344"/>
        <v/>
      </c>
      <c r="AF1450" s="532" t="str">
        <f t="shared" si="345"/>
        <v/>
      </c>
    </row>
    <row r="1451" spans="2:32" x14ac:dyDescent="0.25">
      <c r="B1451" s="695"/>
      <c r="C1451" s="197" t="str">
        <f>IF(B1451&lt;&gt;"",IFERROR(VLOOKUP(B:B,'מצבת והרשמה (2)'!$C$20:$N$520,2,0)," ")," ")</f>
        <v xml:space="preserve"> </v>
      </c>
      <c r="D1451" s="695"/>
      <c r="E1451" s="696"/>
      <c r="F1451" s="696"/>
      <c r="G1451" s="696"/>
      <c r="H1451" s="696"/>
      <c r="I1451" s="1050" t="str">
        <f t="shared" si="332"/>
        <v/>
      </c>
      <c r="J1451" s="696"/>
      <c r="K1451" s="697"/>
      <c r="L1451" s="696"/>
      <c r="M1451" s="198" t="str">
        <f t="shared" si="333"/>
        <v/>
      </c>
      <c r="N1451" s="369" t="str">
        <f t="shared" si="334"/>
        <v/>
      </c>
      <c r="O1451" s="183" t="str">
        <f t="shared" si="335"/>
        <v/>
      </c>
      <c r="P1451" s="199" t="str">
        <f t="shared" si="336"/>
        <v/>
      </c>
      <c r="Q1451" s="199" t="str">
        <f>IF(B1451="","",IFERROR(IF('עלויות כח אדם (6)'!J1451&gt;=VLOOKUP(I1451,'סיווג התפקידים והעלויות'!$B$23:$C$32,2,0),"תקין","לא תקין"),""))</f>
        <v/>
      </c>
      <c r="R1451" s="199" t="str">
        <f t="shared" si="337"/>
        <v/>
      </c>
      <c r="S1451" s="199" t="str">
        <f t="shared" si="338"/>
        <v/>
      </c>
      <c r="T1451" s="199" t="str">
        <f t="shared" si="346"/>
        <v/>
      </c>
      <c r="U1451" s="199" t="str">
        <f t="shared" si="339"/>
        <v/>
      </c>
      <c r="V1451" s="989"/>
      <c r="X1451" s="374" t="str">
        <f t="shared" si="340"/>
        <v/>
      </c>
      <c r="Y1451" s="375" t="str">
        <f t="shared" si="341"/>
        <v/>
      </c>
      <c r="Z1451" s="374" t="str">
        <f t="shared" si="342"/>
        <v/>
      </c>
      <c r="AA1451" s="374" t="b">
        <f t="shared" si="343"/>
        <v>1</v>
      </c>
      <c r="AB1451" s="374">
        <f>COUNTIFS(B:B,B1451,H:H,'סיווג התפקידים והעלויות'!$C$2)</f>
        <v>0</v>
      </c>
      <c r="AC1451" s="374">
        <f>COUNTIFS(B:B,B1451,H:H,'סיווג התפקידים והעלויות'!$D$2)</f>
        <v>0</v>
      </c>
      <c r="AD1451" s="374" t="str">
        <f>IF(OR(AND(H1451='סיווג התפקידים והעלויות'!$A$2,I1451='סיווג התפקידים והעלויות'!$A$3),'עלויות כח אדם (6)'!H1451='סיווג התפקידים והעלויות'!$C$2,'עלויות כח אדם (6)'!H1451='סיווג התפקידים והעלויות'!$D$2),IF('עלויות כח אדם (6)'!J1451&lt;75,"לא תקין","תקין"),"")</f>
        <v/>
      </c>
      <c r="AE1451" s="374" t="str">
        <f t="shared" si="344"/>
        <v/>
      </c>
      <c r="AF1451" s="532" t="str">
        <f t="shared" si="345"/>
        <v/>
      </c>
    </row>
    <row r="1452" spans="2:32" x14ac:dyDescent="0.25">
      <c r="B1452" s="695"/>
      <c r="C1452" s="197" t="str">
        <f>IF(B1452&lt;&gt;"",IFERROR(VLOOKUP(B:B,'מצבת והרשמה (2)'!$C$20:$N$520,2,0)," ")," ")</f>
        <v xml:space="preserve"> </v>
      </c>
      <c r="D1452" s="695"/>
      <c r="E1452" s="696"/>
      <c r="F1452" s="696"/>
      <c r="G1452" s="696"/>
      <c r="H1452" s="696"/>
      <c r="I1452" s="1050" t="str">
        <f t="shared" si="332"/>
        <v/>
      </c>
      <c r="J1452" s="696"/>
      <c r="K1452" s="697"/>
      <c r="L1452" s="696"/>
      <c r="M1452" s="198" t="str">
        <f t="shared" si="333"/>
        <v/>
      </c>
      <c r="N1452" s="369" t="str">
        <f t="shared" si="334"/>
        <v/>
      </c>
      <c r="O1452" s="183" t="str">
        <f t="shared" si="335"/>
        <v/>
      </c>
      <c r="P1452" s="199" t="str">
        <f t="shared" si="336"/>
        <v/>
      </c>
      <c r="Q1452" s="199" t="str">
        <f>IF(B1452="","",IFERROR(IF('עלויות כח אדם (6)'!J1452&gt;=VLOOKUP(I1452,'סיווג התפקידים והעלויות'!$B$23:$C$32,2,0),"תקין","לא תקין"),""))</f>
        <v/>
      </c>
      <c r="R1452" s="199" t="str">
        <f t="shared" si="337"/>
        <v/>
      </c>
      <c r="S1452" s="199" t="str">
        <f t="shared" si="338"/>
        <v/>
      </c>
      <c r="T1452" s="199" t="str">
        <f t="shared" si="346"/>
        <v/>
      </c>
      <c r="U1452" s="199" t="str">
        <f t="shared" si="339"/>
        <v/>
      </c>
      <c r="V1452" s="989"/>
      <c r="X1452" s="374" t="str">
        <f t="shared" si="340"/>
        <v/>
      </c>
      <c r="Y1452" s="375" t="str">
        <f t="shared" si="341"/>
        <v/>
      </c>
      <c r="Z1452" s="374" t="str">
        <f t="shared" si="342"/>
        <v/>
      </c>
      <c r="AA1452" s="374" t="b">
        <f t="shared" si="343"/>
        <v>1</v>
      </c>
      <c r="AB1452" s="374">
        <f>COUNTIFS(B:B,B1452,H:H,'סיווג התפקידים והעלויות'!$C$2)</f>
        <v>0</v>
      </c>
      <c r="AC1452" s="374">
        <f>COUNTIFS(B:B,B1452,H:H,'סיווג התפקידים והעלויות'!$D$2)</f>
        <v>0</v>
      </c>
      <c r="AD1452" s="374" t="str">
        <f>IF(OR(AND(H1452='סיווג התפקידים והעלויות'!$A$2,I1452='סיווג התפקידים והעלויות'!$A$3),'עלויות כח אדם (6)'!H1452='סיווג התפקידים והעלויות'!$C$2,'עלויות כח אדם (6)'!H1452='סיווג התפקידים והעלויות'!$D$2),IF('עלויות כח אדם (6)'!J1452&lt;75,"לא תקין","תקין"),"")</f>
        <v/>
      </c>
      <c r="AE1452" s="374" t="str">
        <f t="shared" si="344"/>
        <v/>
      </c>
      <c r="AF1452" s="532" t="str">
        <f t="shared" si="345"/>
        <v/>
      </c>
    </row>
    <row r="1453" spans="2:32" x14ac:dyDescent="0.25">
      <c r="B1453" s="695"/>
      <c r="C1453" s="197" t="str">
        <f>IF(B1453&lt;&gt;"",IFERROR(VLOOKUP(B:B,'מצבת והרשמה (2)'!$C$20:$N$520,2,0)," ")," ")</f>
        <v xml:space="preserve"> </v>
      </c>
      <c r="D1453" s="695"/>
      <c r="E1453" s="696"/>
      <c r="F1453" s="696"/>
      <c r="G1453" s="696"/>
      <c r="H1453" s="696"/>
      <c r="I1453" s="1050" t="str">
        <f t="shared" si="332"/>
        <v/>
      </c>
      <c r="J1453" s="696"/>
      <c r="K1453" s="697"/>
      <c r="L1453" s="696"/>
      <c r="M1453" s="198" t="str">
        <f t="shared" si="333"/>
        <v/>
      </c>
      <c r="N1453" s="369" t="str">
        <f t="shared" si="334"/>
        <v/>
      </c>
      <c r="O1453" s="183" t="str">
        <f t="shared" si="335"/>
        <v/>
      </c>
      <c r="P1453" s="199" t="str">
        <f t="shared" si="336"/>
        <v/>
      </c>
      <c r="Q1453" s="199" t="str">
        <f>IF(B1453="","",IFERROR(IF('עלויות כח אדם (6)'!J1453&gt;=VLOOKUP(I1453,'סיווג התפקידים והעלויות'!$B$23:$C$32,2,0),"תקין","לא תקין"),""))</f>
        <v/>
      </c>
      <c r="R1453" s="199" t="str">
        <f t="shared" si="337"/>
        <v/>
      </c>
      <c r="S1453" s="199" t="str">
        <f t="shared" si="338"/>
        <v/>
      </c>
      <c r="T1453" s="199" t="str">
        <f t="shared" si="346"/>
        <v/>
      </c>
      <c r="U1453" s="199" t="str">
        <f t="shared" si="339"/>
        <v/>
      </c>
      <c r="V1453" s="989"/>
      <c r="X1453" s="374" t="str">
        <f t="shared" si="340"/>
        <v/>
      </c>
      <c r="Y1453" s="375" t="str">
        <f t="shared" si="341"/>
        <v/>
      </c>
      <c r="Z1453" s="374" t="str">
        <f t="shared" si="342"/>
        <v/>
      </c>
      <c r="AA1453" s="374" t="b">
        <f t="shared" si="343"/>
        <v>1</v>
      </c>
      <c r="AB1453" s="374">
        <f>COUNTIFS(B:B,B1453,H:H,'סיווג התפקידים והעלויות'!$C$2)</f>
        <v>0</v>
      </c>
      <c r="AC1453" s="374">
        <f>COUNTIFS(B:B,B1453,H:H,'סיווג התפקידים והעלויות'!$D$2)</f>
        <v>0</v>
      </c>
      <c r="AD1453" s="374" t="str">
        <f>IF(OR(AND(H1453='סיווג התפקידים והעלויות'!$A$2,I1453='סיווג התפקידים והעלויות'!$A$3),'עלויות כח אדם (6)'!H1453='סיווג התפקידים והעלויות'!$C$2,'עלויות כח אדם (6)'!H1453='סיווג התפקידים והעלויות'!$D$2),IF('עלויות כח אדם (6)'!J1453&lt;75,"לא תקין","תקין"),"")</f>
        <v/>
      </c>
      <c r="AE1453" s="374" t="str">
        <f t="shared" si="344"/>
        <v/>
      </c>
      <c r="AF1453" s="532" t="str">
        <f t="shared" si="345"/>
        <v/>
      </c>
    </row>
    <row r="1454" spans="2:32" x14ac:dyDescent="0.25">
      <c r="B1454" s="695"/>
      <c r="C1454" s="197" t="str">
        <f>IF(B1454&lt;&gt;"",IFERROR(VLOOKUP(B:B,'מצבת והרשמה (2)'!$C$20:$N$520,2,0)," ")," ")</f>
        <v xml:space="preserve"> </v>
      </c>
      <c r="D1454" s="695"/>
      <c r="E1454" s="696"/>
      <c r="F1454" s="696"/>
      <c r="G1454" s="696"/>
      <c r="H1454" s="696"/>
      <c r="I1454" s="1050" t="str">
        <f t="shared" si="332"/>
        <v/>
      </c>
      <c r="J1454" s="696"/>
      <c r="K1454" s="697"/>
      <c r="L1454" s="696"/>
      <c r="M1454" s="198" t="str">
        <f t="shared" si="333"/>
        <v/>
      </c>
      <c r="N1454" s="369" t="str">
        <f t="shared" si="334"/>
        <v/>
      </c>
      <c r="O1454" s="183" t="str">
        <f t="shared" si="335"/>
        <v/>
      </c>
      <c r="P1454" s="199" t="str">
        <f t="shared" si="336"/>
        <v/>
      </c>
      <c r="Q1454" s="199" t="str">
        <f>IF(B1454="","",IFERROR(IF('עלויות כח אדם (6)'!J1454&gt;=VLOOKUP(I1454,'סיווג התפקידים והעלויות'!$B$23:$C$32,2,0),"תקין","לא תקין"),""))</f>
        <v/>
      </c>
      <c r="R1454" s="199" t="str">
        <f t="shared" si="337"/>
        <v/>
      </c>
      <c r="S1454" s="199" t="str">
        <f t="shared" si="338"/>
        <v/>
      </c>
      <c r="T1454" s="199" t="str">
        <f t="shared" si="346"/>
        <v/>
      </c>
      <c r="U1454" s="199" t="str">
        <f t="shared" si="339"/>
        <v/>
      </c>
      <c r="V1454" s="989"/>
      <c r="X1454" s="374" t="str">
        <f t="shared" si="340"/>
        <v/>
      </c>
      <c r="Y1454" s="375" t="str">
        <f t="shared" si="341"/>
        <v/>
      </c>
      <c r="Z1454" s="374" t="str">
        <f t="shared" si="342"/>
        <v/>
      </c>
      <c r="AA1454" s="374" t="b">
        <f t="shared" si="343"/>
        <v>1</v>
      </c>
      <c r="AB1454" s="374">
        <f>COUNTIFS(B:B,B1454,H:H,'סיווג התפקידים והעלויות'!$C$2)</f>
        <v>0</v>
      </c>
      <c r="AC1454" s="374">
        <f>COUNTIFS(B:B,B1454,H:H,'סיווג התפקידים והעלויות'!$D$2)</f>
        <v>0</v>
      </c>
      <c r="AD1454" s="374" t="str">
        <f>IF(OR(AND(H1454='סיווג התפקידים והעלויות'!$A$2,I1454='סיווג התפקידים והעלויות'!$A$3),'עלויות כח אדם (6)'!H1454='סיווג התפקידים והעלויות'!$C$2,'עלויות כח אדם (6)'!H1454='סיווג התפקידים והעלויות'!$D$2),IF('עלויות כח אדם (6)'!J1454&lt;75,"לא תקין","תקין"),"")</f>
        <v/>
      </c>
      <c r="AE1454" s="374" t="str">
        <f t="shared" si="344"/>
        <v/>
      </c>
      <c r="AF1454" s="532" t="str">
        <f t="shared" si="345"/>
        <v/>
      </c>
    </row>
    <row r="1455" spans="2:32" x14ac:dyDescent="0.25">
      <c r="B1455" s="695"/>
      <c r="C1455" s="197" t="str">
        <f>IF(B1455&lt;&gt;"",IFERROR(VLOOKUP(B:B,'מצבת והרשמה (2)'!$C$20:$N$520,2,0)," ")," ")</f>
        <v xml:space="preserve"> </v>
      </c>
      <c r="D1455" s="695"/>
      <c r="E1455" s="696"/>
      <c r="F1455" s="696"/>
      <c r="G1455" s="696"/>
      <c r="H1455" s="696"/>
      <c r="I1455" s="1050" t="str">
        <f t="shared" si="332"/>
        <v/>
      </c>
      <c r="J1455" s="696"/>
      <c r="K1455" s="697"/>
      <c r="L1455" s="696"/>
      <c r="M1455" s="198" t="str">
        <f t="shared" si="333"/>
        <v/>
      </c>
      <c r="N1455" s="369" t="str">
        <f t="shared" si="334"/>
        <v/>
      </c>
      <c r="O1455" s="183" t="str">
        <f t="shared" si="335"/>
        <v/>
      </c>
      <c r="P1455" s="199" t="str">
        <f t="shared" si="336"/>
        <v/>
      </c>
      <c r="Q1455" s="199" t="str">
        <f>IF(B1455="","",IFERROR(IF('עלויות כח אדם (6)'!J1455&gt;=VLOOKUP(I1455,'סיווג התפקידים והעלויות'!$B$23:$C$32,2,0),"תקין","לא תקין"),""))</f>
        <v/>
      </c>
      <c r="R1455" s="199" t="str">
        <f t="shared" si="337"/>
        <v/>
      </c>
      <c r="S1455" s="199" t="str">
        <f t="shared" si="338"/>
        <v/>
      </c>
      <c r="T1455" s="199" t="str">
        <f t="shared" si="346"/>
        <v/>
      </c>
      <c r="U1455" s="199" t="str">
        <f t="shared" si="339"/>
        <v/>
      </c>
      <c r="V1455" s="989"/>
      <c r="X1455" s="374" t="str">
        <f t="shared" si="340"/>
        <v/>
      </c>
      <c r="Y1455" s="375" t="str">
        <f t="shared" si="341"/>
        <v/>
      </c>
      <c r="Z1455" s="374" t="str">
        <f t="shared" si="342"/>
        <v/>
      </c>
      <c r="AA1455" s="374" t="b">
        <f t="shared" si="343"/>
        <v>1</v>
      </c>
      <c r="AB1455" s="374">
        <f>COUNTIFS(B:B,B1455,H:H,'סיווג התפקידים והעלויות'!$C$2)</f>
        <v>0</v>
      </c>
      <c r="AC1455" s="374">
        <f>COUNTIFS(B:B,B1455,H:H,'סיווג התפקידים והעלויות'!$D$2)</f>
        <v>0</v>
      </c>
      <c r="AD1455" s="374" t="str">
        <f>IF(OR(AND(H1455='סיווג התפקידים והעלויות'!$A$2,I1455='סיווג התפקידים והעלויות'!$A$3),'עלויות כח אדם (6)'!H1455='סיווג התפקידים והעלויות'!$C$2,'עלויות כח אדם (6)'!H1455='סיווג התפקידים והעלויות'!$D$2),IF('עלויות כח אדם (6)'!J1455&lt;75,"לא תקין","תקין"),"")</f>
        <v/>
      </c>
      <c r="AE1455" s="374" t="str">
        <f t="shared" si="344"/>
        <v/>
      </c>
      <c r="AF1455" s="532" t="str">
        <f t="shared" si="345"/>
        <v/>
      </c>
    </row>
    <row r="1456" spans="2:32" x14ac:dyDescent="0.25">
      <c r="B1456" s="695"/>
      <c r="C1456" s="197" t="str">
        <f>IF(B1456&lt;&gt;"",IFERROR(VLOOKUP(B:B,'מצבת והרשמה (2)'!$C$20:$N$520,2,0)," ")," ")</f>
        <v xml:space="preserve"> </v>
      </c>
      <c r="D1456" s="695"/>
      <c r="E1456" s="696"/>
      <c r="F1456" s="696"/>
      <c r="G1456" s="696"/>
      <c r="H1456" s="696"/>
      <c r="I1456" s="1050" t="str">
        <f t="shared" si="332"/>
        <v/>
      </c>
      <c r="J1456" s="696"/>
      <c r="K1456" s="697"/>
      <c r="L1456" s="696"/>
      <c r="M1456" s="198" t="str">
        <f t="shared" si="333"/>
        <v/>
      </c>
      <c r="N1456" s="369" t="str">
        <f t="shared" si="334"/>
        <v/>
      </c>
      <c r="O1456" s="183" t="str">
        <f t="shared" si="335"/>
        <v/>
      </c>
      <c r="P1456" s="199" t="str">
        <f t="shared" si="336"/>
        <v/>
      </c>
      <c r="Q1456" s="199" t="str">
        <f>IF(B1456="","",IFERROR(IF('עלויות כח אדם (6)'!J1456&gt;=VLOOKUP(I1456,'סיווג התפקידים והעלויות'!$B$23:$C$32,2,0),"תקין","לא תקין"),""))</f>
        <v/>
      </c>
      <c r="R1456" s="199" t="str">
        <f t="shared" si="337"/>
        <v/>
      </c>
      <c r="S1456" s="199" t="str">
        <f t="shared" si="338"/>
        <v/>
      </c>
      <c r="T1456" s="199" t="str">
        <f t="shared" si="346"/>
        <v/>
      </c>
      <c r="U1456" s="199" t="str">
        <f t="shared" si="339"/>
        <v/>
      </c>
      <c r="V1456" s="989"/>
      <c r="X1456" s="374" t="str">
        <f t="shared" si="340"/>
        <v/>
      </c>
      <c r="Y1456" s="375" t="str">
        <f t="shared" si="341"/>
        <v/>
      </c>
      <c r="Z1456" s="374" t="str">
        <f t="shared" si="342"/>
        <v/>
      </c>
      <c r="AA1456" s="374" t="b">
        <f t="shared" si="343"/>
        <v>1</v>
      </c>
      <c r="AB1456" s="374">
        <f>COUNTIFS(B:B,B1456,H:H,'סיווג התפקידים והעלויות'!$C$2)</f>
        <v>0</v>
      </c>
      <c r="AC1456" s="374">
        <f>COUNTIFS(B:B,B1456,H:H,'סיווג התפקידים והעלויות'!$D$2)</f>
        <v>0</v>
      </c>
      <c r="AD1456" s="374" t="str">
        <f>IF(OR(AND(H1456='סיווג התפקידים והעלויות'!$A$2,I1456='סיווג התפקידים והעלויות'!$A$3),'עלויות כח אדם (6)'!H1456='סיווג התפקידים והעלויות'!$C$2,'עלויות כח אדם (6)'!H1456='סיווג התפקידים והעלויות'!$D$2),IF('עלויות כח אדם (6)'!J1456&lt;75,"לא תקין","תקין"),"")</f>
        <v/>
      </c>
      <c r="AE1456" s="374" t="str">
        <f t="shared" si="344"/>
        <v/>
      </c>
      <c r="AF1456" s="532" t="str">
        <f t="shared" si="345"/>
        <v/>
      </c>
    </row>
    <row r="1457" spans="2:32" x14ac:dyDescent="0.25">
      <c r="B1457" s="695"/>
      <c r="C1457" s="197" t="str">
        <f>IF(B1457&lt;&gt;"",IFERROR(VLOOKUP(B:B,'מצבת והרשמה (2)'!$C$20:$N$520,2,0)," ")," ")</f>
        <v xml:space="preserve"> </v>
      </c>
      <c r="D1457" s="695"/>
      <c r="E1457" s="696"/>
      <c r="F1457" s="696"/>
      <c r="G1457" s="696"/>
      <c r="H1457" s="696"/>
      <c r="I1457" s="1050" t="str">
        <f t="shared" si="332"/>
        <v/>
      </c>
      <c r="J1457" s="696"/>
      <c r="K1457" s="697"/>
      <c r="L1457" s="696"/>
      <c r="M1457" s="198" t="str">
        <f t="shared" si="333"/>
        <v/>
      </c>
      <c r="N1457" s="369" t="str">
        <f t="shared" si="334"/>
        <v/>
      </c>
      <c r="O1457" s="183" t="str">
        <f t="shared" si="335"/>
        <v/>
      </c>
      <c r="P1457" s="199" t="str">
        <f t="shared" si="336"/>
        <v/>
      </c>
      <c r="Q1457" s="199" t="str">
        <f>IF(B1457="","",IFERROR(IF('עלויות כח אדם (6)'!J1457&gt;=VLOOKUP(I1457,'סיווג התפקידים והעלויות'!$B$23:$C$32,2,0),"תקין","לא תקין"),""))</f>
        <v/>
      </c>
      <c r="R1457" s="199" t="str">
        <f t="shared" si="337"/>
        <v/>
      </c>
      <c r="S1457" s="199" t="str">
        <f t="shared" si="338"/>
        <v/>
      </c>
      <c r="T1457" s="199" t="str">
        <f t="shared" si="346"/>
        <v/>
      </c>
      <c r="U1457" s="199" t="str">
        <f t="shared" si="339"/>
        <v/>
      </c>
      <c r="V1457" s="989"/>
      <c r="X1457" s="374" t="str">
        <f t="shared" si="340"/>
        <v/>
      </c>
      <c r="Y1457" s="375" t="str">
        <f t="shared" si="341"/>
        <v/>
      </c>
      <c r="Z1457" s="374" t="str">
        <f t="shared" si="342"/>
        <v/>
      </c>
      <c r="AA1457" s="374" t="b">
        <f t="shared" si="343"/>
        <v>1</v>
      </c>
      <c r="AB1457" s="374">
        <f>COUNTIFS(B:B,B1457,H:H,'סיווג התפקידים והעלויות'!$C$2)</f>
        <v>0</v>
      </c>
      <c r="AC1457" s="374">
        <f>COUNTIFS(B:B,B1457,H:H,'סיווג התפקידים והעלויות'!$D$2)</f>
        <v>0</v>
      </c>
      <c r="AD1457" s="374" t="str">
        <f>IF(OR(AND(H1457='סיווג התפקידים והעלויות'!$A$2,I1457='סיווג התפקידים והעלויות'!$A$3),'עלויות כח אדם (6)'!H1457='סיווג התפקידים והעלויות'!$C$2,'עלויות כח אדם (6)'!H1457='סיווג התפקידים והעלויות'!$D$2),IF('עלויות כח אדם (6)'!J1457&lt;75,"לא תקין","תקין"),"")</f>
        <v/>
      </c>
      <c r="AE1457" s="374" t="str">
        <f t="shared" si="344"/>
        <v/>
      </c>
      <c r="AF1457" s="532" t="str">
        <f t="shared" si="345"/>
        <v/>
      </c>
    </row>
    <row r="1458" spans="2:32" x14ac:dyDescent="0.25">
      <c r="B1458" s="695"/>
      <c r="C1458" s="197" t="str">
        <f>IF(B1458&lt;&gt;"",IFERROR(VLOOKUP(B:B,'מצבת והרשמה (2)'!$C$20:$N$520,2,0)," ")," ")</f>
        <v xml:space="preserve"> </v>
      </c>
      <c r="D1458" s="695"/>
      <c r="E1458" s="696"/>
      <c r="F1458" s="696"/>
      <c r="G1458" s="696"/>
      <c r="H1458" s="696"/>
      <c r="I1458" s="1050" t="str">
        <f t="shared" si="332"/>
        <v/>
      </c>
      <c r="J1458" s="696"/>
      <c r="K1458" s="697"/>
      <c r="L1458" s="696"/>
      <c r="M1458" s="198" t="str">
        <f t="shared" si="333"/>
        <v/>
      </c>
      <c r="N1458" s="369" t="str">
        <f t="shared" si="334"/>
        <v/>
      </c>
      <c r="O1458" s="183" t="str">
        <f t="shared" si="335"/>
        <v/>
      </c>
      <c r="P1458" s="199" t="str">
        <f t="shared" si="336"/>
        <v/>
      </c>
      <c r="Q1458" s="199" t="str">
        <f>IF(B1458="","",IFERROR(IF('עלויות כח אדם (6)'!J1458&gt;=VLOOKUP(I1458,'סיווג התפקידים והעלויות'!$B$23:$C$32,2,0),"תקין","לא תקין"),""))</f>
        <v/>
      </c>
      <c r="R1458" s="199" t="str">
        <f t="shared" si="337"/>
        <v/>
      </c>
      <c r="S1458" s="199" t="str">
        <f t="shared" si="338"/>
        <v/>
      </c>
      <c r="T1458" s="199" t="str">
        <f t="shared" si="346"/>
        <v/>
      </c>
      <c r="U1458" s="199" t="str">
        <f t="shared" si="339"/>
        <v/>
      </c>
      <c r="V1458" s="989"/>
      <c r="X1458" s="374" t="str">
        <f t="shared" si="340"/>
        <v/>
      </c>
      <c r="Y1458" s="375" t="str">
        <f t="shared" si="341"/>
        <v/>
      </c>
      <c r="Z1458" s="374" t="str">
        <f t="shared" si="342"/>
        <v/>
      </c>
      <c r="AA1458" s="374" t="b">
        <f t="shared" si="343"/>
        <v>1</v>
      </c>
      <c r="AB1458" s="374">
        <f>COUNTIFS(B:B,B1458,H:H,'סיווג התפקידים והעלויות'!$C$2)</f>
        <v>0</v>
      </c>
      <c r="AC1458" s="374">
        <f>COUNTIFS(B:B,B1458,H:H,'סיווג התפקידים והעלויות'!$D$2)</f>
        <v>0</v>
      </c>
      <c r="AD1458" s="374" t="str">
        <f>IF(OR(AND(H1458='סיווג התפקידים והעלויות'!$A$2,I1458='סיווג התפקידים והעלויות'!$A$3),'עלויות כח אדם (6)'!H1458='סיווג התפקידים והעלויות'!$C$2,'עלויות כח אדם (6)'!H1458='סיווג התפקידים והעלויות'!$D$2),IF('עלויות כח אדם (6)'!J1458&lt;75,"לא תקין","תקין"),"")</f>
        <v/>
      </c>
      <c r="AE1458" s="374" t="str">
        <f t="shared" si="344"/>
        <v/>
      </c>
      <c r="AF1458" s="532" t="str">
        <f t="shared" si="345"/>
        <v/>
      </c>
    </row>
    <row r="1459" spans="2:32" x14ac:dyDescent="0.25">
      <c r="B1459" s="695"/>
      <c r="C1459" s="197" t="str">
        <f>IF(B1459&lt;&gt;"",IFERROR(VLOOKUP(B:B,'מצבת והרשמה (2)'!$C$20:$N$520,2,0)," ")," ")</f>
        <v xml:space="preserve"> </v>
      </c>
      <c r="D1459" s="695"/>
      <c r="E1459" s="696"/>
      <c r="F1459" s="696"/>
      <c r="G1459" s="696"/>
      <c r="H1459" s="696"/>
      <c r="I1459" s="1050" t="str">
        <f t="shared" si="332"/>
        <v/>
      </c>
      <c r="J1459" s="696"/>
      <c r="K1459" s="697"/>
      <c r="L1459" s="696"/>
      <c r="M1459" s="198" t="str">
        <f t="shared" si="333"/>
        <v/>
      </c>
      <c r="N1459" s="369" t="str">
        <f t="shared" si="334"/>
        <v/>
      </c>
      <c r="O1459" s="183" t="str">
        <f t="shared" si="335"/>
        <v/>
      </c>
      <c r="P1459" s="199" t="str">
        <f t="shared" si="336"/>
        <v/>
      </c>
      <c r="Q1459" s="199" t="str">
        <f>IF(B1459="","",IFERROR(IF('עלויות כח אדם (6)'!J1459&gt;=VLOOKUP(I1459,'סיווג התפקידים והעלויות'!$B$23:$C$32,2,0),"תקין","לא תקין"),""))</f>
        <v/>
      </c>
      <c r="R1459" s="199" t="str">
        <f t="shared" si="337"/>
        <v/>
      </c>
      <c r="S1459" s="199" t="str">
        <f t="shared" si="338"/>
        <v/>
      </c>
      <c r="T1459" s="199" t="str">
        <f t="shared" si="346"/>
        <v/>
      </c>
      <c r="U1459" s="199" t="str">
        <f t="shared" si="339"/>
        <v/>
      </c>
      <c r="V1459" s="989"/>
      <c r="X1459" s="374" t="str">
        <f t="shared" si="340"/>
        <v/>
      </c>
      <c r="Y1459" s="375" t="str">
        <f t="shared" si="341"/>
        <v/>
      </c>
      <c r="Z1459" s="374" t="str">
        <f t="shared" si="342"/>
        <v/>
      </c>
      <c r="AA1459" s="374" t="b">
        <f t="shared" si="343"/>
        <v>1</v>
      </c>
      <c r="AB1459" s="374">
        <f>COUNTIFS(B:B,B1459,H:H,'סיווג התפקידים והעלויות'!$C$2)</f>
        <v>0</v>
      </c>
      <c r="AC1459" s="374">
        <f>COUNTIFS(B:B,B1459,H:H,'סיווג התפקידים והעלויות'!$D$2)</f>
        <v>0</v>
      </c>
      <c r="AD1459" s="374" t="str">
        <f>IF(OR(AND(H1459='סיווג התפקידים והעלויות'!$A$2,I1459='סיווג התפקידים והעלויות'!$A$3),'עלויות כח אדם (6)'!H1459='סיווג התפקידים והעלויות'!$C$2,'עלויות כח אדם (6)'!H1459='סיווג התפקידים והעלויות'!$D$2),IF('עלויות כח אדם (6)'!J1459&lt;75,"לא תקין","תקין"),"")</f>
        <v/>
      </c>
      <c r="AE1459" s="374" t="str">
        <f t="shared" si="344"/>
        <v/>
      </c>
      <c r="AF1459" s="532" t="str">
        <f t="shared" si="345"/>
        <v/>
      </c>
    </row>
    <row r="1460" spans="2:32" x14ac:dyDescent="0.25">
      <c r="B1460" s="695"/>
      <c r="C1460" s="197" t="str">
        <f>IF(B1460&lt;&gt;"",IFERROR(VLOOKUP(B:B,'מצבת והרשמה (2)'!$C$20:$N$520,2,0)," ")," ")</f>
        <v xml:space="preserve"> </v>
      </c>
      <c r="D1460" s="695"/>
      <c r="E1460" s="696"/>
      <c r="F1460" s="696"/>
      <c r="G1460" s="696"/>
      <c r="H1460" s="696"/>
      <c r="I1460" s="1050" t="str">
        <f t="shared" si="332"/>
        <v/>
      </c>
      <c r="J1460" s="696"/>
      <c r="K1460" s="697"/>
      <c r="L1460" s="696"/>
      <c r="M1460" s="198" t="str">
        <f t="shared" si="333"/>
        <v/>
      </c>
      <c r="N1460" s="369" t="str">
        <f t="shared" si="334"/>
        <v/>
      </c>
      <c r="O1460" s="183" t="str">
        <f t="shared" si="335"/>
        <v/>
      </c>
      <c r="P1460" s="199" t="str">
        <f t="shared" si="336"/>
        <v/>
      </c>
      <c r="Q1460" s="199" t="str">
        <f>IF(B1460="","",IFERROR(IF('עלויות כח אדם (6)'!J1460&gt;=VLOOKUP(I1460,'סיווג התפקידים והעלויות'!$B$23:$C$32,2,0),"תקין","לא תקין"),""))</f>
        <v/>
      </c>
      <c r="R1460" s="199" t="str">
        <f t="shared" si="337"/>
        <v/>
      </c>
      <c r="S1460" s="199" t="str">
        <f t="shared" si="338"/>
        <v/>
      </c>
      <c r="T1460" s="199" t="str">
        <f t="shared" si="346"/>
        <v/>
      </c>
      <c r="U1460" s="199" t="str">
        <f t="shared" si="339"/>
        <v/>
      </c>
      <c r="V1460" s="989"/>
      <c r="X1460" s="374" t="str">
        <f t="shared" si="340"/>
        <v/>
      </c>
      <c r="Y1460" s="375" t="str">
        <f t="shared" si="341"/>
        <v/>
      </c>
      <c r="Z1460" s="374" t="str">
        <f t="shared" si="342"/>
        <v/>
      </c>
      <c r="AA1460" s="374" t="b">
        <f t="shared" si="343"/>
        <v>1</v>
      </c>
      <c r="AB1460" s="374">
        <f>COUNTIFS(B:B,B1460,H:H,'סיווג התפקידים והעלויות'!$C$2)</f>
        <v>0</v>
      </c>
      <c r="AC1460" s="374">
        <f>COUNTIFS(B:B,B1460,H:H,'סיווג התפקידים והעלויות'!$D$2)</f>
        <v>0</v>
      </c>
      <c r="AD1460" s="374" t="str">
        <f>IF(OR(AND(H1460='סיווג התפקידים והעלויות'!$A$2,I1460='סיווג התפקידים והעלויות'!$A$3),'עלויות כח אדם (6)'!H1460='סיווג התפקידים והעלויות'!$C$2,'עלויות כח אדם (6)'!H1460='סיווג התפקידים והעלויות'!$D$2),IF('עלויות כח אדם (6)'!J1460&lt;75,"לא תקין","תקין"),"")</f>
        <v/>
      </c>
      <c r="AE1460" s="374" t="str">
        <f t="shared" si="344"/>
        <v/>
      </c>
      <c r="AF1460" s="532" t="str">
        <f t="shared" si="345"/>
        <v/>
      </c>
    </row>
    <row r="1461" spans="2:32" x14ac:dyDescent="0.25">
      <c r="B1461" s="695"/>
      <c r="C1461" s="197" t="str">
        <f>IF(B1461&lt;&gt;"",IFERROR(VLOOKUP(B:B,'מצבת והרשמה (2)'!$C$20:$N$520,2,0)," ")," ")</f>
        <v xml:space="preserve"> </v>
      </c>
      <c r="D1461" s="695"/>
      <c r="E1461" s="696"/>
      <c r="F1461" s="696"/>
      <c r="G1461" s="696"/>
      <c r="H1461" s="696"/>
      <c r="I1461" s="1050" t="str">
        <f t="shared" si="332"/>
        <v/>
      </c>
      <c r="J1461" s="696"/>
      <c r="K1461" s="697"/>
      <c r="L1461" s="696"/>
      <c r="M1461" s="198" t="str">
        <f t="shared" si="333"/>
        <v/>
      </c>
      <c r="N1461" s="369" t="str">
        <f t="shared" si="334"/>
        <v/>
      </c>
      <c r="O1461" s="183" t="str">
        <f t="shared" si="335"/>
        <v/>
      </c>
      <c r="P1461" s="199" t="str">
        <f t="shared" si="336"/>
        <v/>
      </c>
      <c r="Q1461" s="199" t="str">
        <f>IF(B1461="","",IFERROR(IF('עלויות כח אדם (6)'!J1461&gt;=VLOOKUP(I1461,'סיווג התפקידים והעלויות'!$B$23:$C$32,2,0),"תקין","לא תקין"),""))</f>
        <v/>
      </c>
      <c r="R1461" s="199" t="str">
        <f t="shared" si="337"/>
        <v/>
      </c>
      <c r="S1461" s="199" t="str">
        <f t="shared" si="338"/>
        <v/>
      </c>
      <c r="T1461" s="199" t="str">
        <f t="shared" si="346"/>
        <v/>
      </c>
      <c r="U1461" s="199" t="str">
        <f t="shared" si="339"/>
        <v/>
      </c>
      <c r="V1461" s="989"/>
      <c r="X1461" s="374" t="str">
        <f t="shared" si="340"/>
        <v/>
      </c>
      <c r="Y1461" s="375" t="str">
        <f t="shared" si="341"/>
        <v/>
      </c>
      <c r="Z1461" s="374" t="str">
        <f t="shared" si="342"/>
        <v/>
      </c>
      <c r="AA1461" s="374" t="b">
        <f t="shared" si="343"/>
        <v>1</v>
      </c>
      <c r="AB1461" s="374">
        <f>COUNTIFS(B:B,B1461,H:H,'סיווג התפקידים והעלויות'!$C$2)</f>
        <v>0</v>
      </c>
      <c r="AC1461" s="374">
        <f>COUNTIFS(B:B,B1461,H:H,'סיווג התפקידים והעלויות'!$D$2)</f>
        <v>0</v>
      </c>
      <c r="AD1461" s="374" t="str">
        <f>IF(OR(AND(H1461='סיווג התפקידים והעלויות'!$A$2,I1461='סיווג התפקידים והעלויות'!$A$3),'עלויות כח אדם (6)'!H1461='סיווג התפקידים והעלויות'!$C$2,'עלויות כח אדם (6)'!H1461='סיווג התפקידים והעלויות'!$D$2),IF('עלויות כח אדם (6)'!J1461&lt;75,"לא תקין","תקין"),"")</f>
        <v/>
      </c>
      <c r="AE1461" s="374" t="str">
        <f t="shared" si="344"/>
        <v/>
      </c>
      <c r="AF1461" s="532" t="str">
        <f t="shared" si="345"/>
        <v/>
      </c>
    </row>
    <row r="1462" spans="2:32" x14ac:dyDescent="0.25">
      <c r="B1462" s="695"/>
      <c r="C1462" s="197" t="str">
        <f>IF(B1462&lt;&gt;"",IFERROR(VLOOKUP(B:B,'מצבת והרשמה (2)'!$C$20:$N$520,2,0)," ")," ")</f>
        <v xml:space="preserve"> </v>
      </c>
      <c r="D1462" s="695"/>
      <c r="E1462" s="696"/>
      <c r="F1462" s="696"/>
      <c r="G1462" s="696"/>
      <c r="H1462" s="696"/>
      <c r="I1462" s="1050" t="str">
        <f t="shared" si="332"/>
        <v/>
      </c>
      <c r="J1462" s="696"/>
      <c r="K1462" s="697"/>
      <c r="L1462" s="696"/>
      <c r="M1462" s="198" t="str">
        <f t="shared" si="333"/>
        <v/>
      </c>
      <c r="N1462" s="369" t="str">
        <f t="shared" si="334"/>
        <v/>
      </c>
      <c r="O1462" s="183" t="str">
        <f t="shared" si="335"/>
        <v/>
      </c>
      <c r="P1462" s="199" t="str">
        <f t="shared" si="336"/>
        <v/>
      </c>
      <c r="Q1462" s="199" t="str">
        <f>IF(B1462="","",IFERROR(IF('עלויות כח אדם (6)'!J1462&gt;=VLOOKUP(I1462,'סיווג התפקידים והעלויות'!$B$23:$C$32,2,0),"תקין","לא תקין"),""))</f>
        <v/>
      </c>
      <c r="R1462" s="199" t="str">
        <f t="shared" si="337"/>
        <v/>
      </c>
      <c r="S1462" s="199" t="str">
        <f t="shared" si="338"/>
        <v/>
      </c>
      <c r="T1462" s="199" t="str">
        <f t="shared" si="346"/>
        <v/>
      </c>
      <c r="U1462" s="199" t="str">
        <f t="shared" si="339"/>
        <v/>
      </c>
      <c r="V1462" s="989"/>
      <c r="X1462" s="374" t="str">
        <f t="shared" si="340"/>
        <v/>
      </c>
      <c r="Y1462" s="375" t="str">
        <f t="shared" si="341"/>
        <v/>
      </c>
      <c r="Z1462" s="374" t="str">
        <f t="shared" si="342"/>
        <v/>
      </c>
      <c r="AA1462" s="374" t="b">
        <f t="shared" si="343"/>
        <v>1</v>
      </c>
      <c r="AB1462" s="374">
        <f>COUNTIFS(B:B,B1462,H:H,'סיווג התפקידים והעלויות'!$C$2)</f>
        <v>0</v>
      </c>
      <c r="AC1462" s="374">
        <f>COUNTIFS(B:B,B1462,H:H,'סיווג התפקידים והעלויות'!$D$2)</f>
        <v>0</v>
      </c>
      <c r="AD1462" s="374" t="str">
        <f>IF(OR(AND(H1462='סיווג התפקידים והעלויות'!$A$2,I1462='סיווג התפקידים והעלויות'!$A$3),'עלויות כח אדם (6)'!H1462='סיווג התפקידים והעלויות'!$C$2,'עלויות כח אדם (6)'!H1462='סיווג התפקידים והעלויות'!$D$2),IF('עלויות כח אדם (6)'!J1462&lt;75,"לא תקין","תקין"),"")</f>
        <v/>
      </c>
      <c r="AE1462" s="374" t="str">
        <f t="shared" si="344"/>
        <v/>
      </c>
      <c r="AF1462" s="532" t="str">
        <f t="shared" si="345"/>
        <v/>
      </c>
    </row>
    <row r="1463" spans="2:32" x14ac:dyDescent="0.25">
      <c r="B1463" s="695"/>
      <c r="C1463" s="197" t="str">
        <f>IF(B1463&lt;&gt;"",IFERROR(VLOOKUP(B:B,'מצבת והרשמה (2)'!$C$20:$N$520,2,0)," ")," ")</f>
        <v xml:space="preserve"> </v>
      </c>
      <c r="D1463" s="695"/>
      <c r="E1463" s="696"/>
      <c r="F1463" s="696"/>
      <c r="G1463" s="696"/>
      <c r="H1463" s="696"/>
      <c r="I1463" s="1050" t="str">
        <f t="shared" si="332"/>
        <v/>
      </c>
      <c r="J1463" s="696"/>
      <c r="K1463" s="697"/>
      <c r="L1463" s="696"/>
      <c r="M1463" s="198" t="str">
        <f t="shared" si="333"/>
        <v/>
      </c>
      <c r="N1463" s="369" t="str">
        <f t="shared" si="334"/>
        <v/>
      </c>
      <c r="O1463" s="183" t="str">
        <f t="shared" si="335"/>
        <v/>
      </c>
      <c r="P1463" s="199" t="str">
        <f t="shared" si="336"/>
        <v/>
      </c>
      <c r="Q1463" s="199" t="str">
        <f>IF(B1463="","",IFERROR(IF('עלויות כח אדם (6)'!J1463&gt;=VLOOKUP(I1463,'סיווג התפקידים והעלויות'!$B$23:$C$32,2,0),"תקין","לא תקין"),""))</f>
        <v/>
      </c>
      <c r="R1463" s="199" t="str">
        <f t="shared" si="337"/>
        <v/>
      </c>
      <c r="S1463" s="199" t="str">
        <f t="shared" si="338"/>
        <v/>
      </c>
      <c r="T1463" s="199" t="str">
        <f t="shared" si="346"/>
        <v/>
      </c>
      <c r="U1463" s="199" t="str">
        <f t="shared" si="339"/>
        <v/>
      </c>
      <c r="V1463" s="989"/>
      <c r="X1463" s="374" t="str">
        <f t="shared" si="340"/>
        <v/>
      </c>
      <c r="Y1463" s="375" t="str">
        <f t="shared" si="341"/>
        <v/>
      </c>
      <c r="Z1463" s="374" t="str">
        <f t="shared" si="342"/>
        <v/>
      </c>
      <c r="AA1463" s="374" t="b">
        <f t="shared" si="343"/>
        <v>1</v>
      </c>
      <c r="AB1463" s="374">
        <f>COUNTIFS(B:B,B1463,H:H,'סיווג התפקידים והעלויות'!$C$2)</f>
        <v>0</v>
      </c>
      <c r="AC1463" s="374">
        <f>COUNTIFS(B:B,B1463,H:H,'סיווג התפקידים והעלויות'!$D$2)</f>
        <v>0</v>
      </c>
      <c r="AD1463" s="374" t="str">
        <f>IF(OR(AND(H1463='סיווג התפקידים והעלויות'!$A$2,I1463='סיווג התפקידים והעלויות'!$A$3),'עלויות כח אדם (6)'!H1463='סיווג התפקידים והעלויות'!$C$2,'עלויות כח אדם (6)'!H1463='סיווג התפקידים והעלויות'!$D$2),IF('עלויות כח אדם (6)'!J1463&lt;75,"לא תקין","תקין"),"")</f>
        <v/>
      </c>
      <c r="AE1463" s="374" t="str">
        <f t="shared" si="344"/>
        <v/>
      </c>
      <c r="AF1463" s="532" t="str">
        <f t="shared" si="345"/>
        <v/>
      </c>
    </row>
    <row r="1464" spans="2:32" x14ac:dyDescent="0.25">
      <c r="B1464" s="695"/>
      <c r="C1464" s="197" t="str">
        <f>IF(B1464&lt;&gt;"",IFERROR(VLOOKUP(B:B,'מצבת והרשמה (2)'!$C$20:$N$520,2,0)," ")," ")</f>
        <v xml:space="preserve"> </v>
      </c>
      <c r="D1464" s="695"/>
      <c r="E1464" s="696"/>
      <c r="F1464" s="696"/>
      <c r="G1464" s="696"/>
      <c r="H1464" s="696"/>
      <c r="I1464" s="1050" t="str">
        <f t="shared" si="332"/>
        <v/>
      </c>
      <c r="J1464" s="696"/>
      <c r="K1464" s="697"/>
      <c r="L1464" s="696"/>
      <c r="M1464" s="198" t="str">
        <f t="shared" si="333"/>
        <v/>
      </c>
      <c r="N1464" s="369" t="str">
        <f t="shared" si="334"/>
        <v/>
      </c>
      <c r="O1464" s="183" t="str">
        <f t="shared" si="335"/>
        <v/>
      </c>
      <c r="P1464" s="199" t="str">
        <f t="shared" si="336"/>
        <v/>
      </c>
      <c r="Q1464" s="199" t="str">
        <f>IF(B1464="","",IFERROR(IF('עלויות כח אדם (6)'!J1464&gt;=VLOOKUP(I1464,'סיווג התפקידים והעלויות'!$B$23:$C$32,2,0),"תקין","לא תקין"),""))</f>
        <v/>
      </c>
      <c r="R1464" s="199" t="str">
        <f t="shared" si="337"/>
        <v/>
      </c>
      <c r="S1464" s="199" t="str">
        <f t="shared" si="338"/>
        <v/>
      </c>
      <c r="T1464" s="199" t="str">
        <f t="shared" si="346"/>
        <v/>
      </c>
      <c r="U1464" s="199" t="str">
        <f t="shared" si="339"/>
        <v/>
      </c>
      <c r="V1464" s="989"/>
      <c r="X1464" s="374" t="str">
        <f t="shared" si="340"/>
        <v/>
      </c>
      <c r="Y1464" s="375" t="str">
        <f t="shared" si="341"/>
        <v/>
      </c>
      <c r="Z1464" s="374" t="str">
        <f t="shared" si="342"/>
        <v/>
      </c>
      <c r="AA1464" s="374" t="b">
        <f t="shared" si="343"/>
        <v>1</v>
      </c>
      <c r="AB1464" s="374">
        <f>COUNTIFS(B:B,B1464,H:H,'סיווג התפקידים והעלויות'!$C$2)</f>
        <v>0</v>
      </c>
      <c r="AC1464" s="374">
        <f>COUNTIFS(B:B,B1464,H:H,'סיווג התפקידים והעלויות'!$D$2)</f>
        <v>0</v>
      </c>
      <c r="AD1464" s="374" t="str">
        <f>IF(OR(AND(H1464='סיווג התפקידים והעלויות'!$A$2,I1464='סיווג התפקידים והעלויות'!$A$3),'עלויות כח אדם (6)'!H1464='סיווג התפקידים והעלויות'!$C$2,'עלויות כח אדם (6)'!H1464='סיווג התפקידים והעלויות'!$D$2),IF('עלויות כח אדם (6)'!J1464&lt;75,"לא תקין","תקין"),"")</f>
        <v/>
      </c>
      <c r="AE1464" s="374" t="str">
        <f t="shared" si="344"/>
        <v/>
      </c>
      <c r="AF1464" s="532" t="str">
        <f t="shared" si="345"/>
        <v/>
      </c>
    </row>
    <row r="1465" spans="2:32" x14ac:dyDescent="0.25">
      <c r="B1465" s="695"/>
      <c r="C1465" s="197" t="str">
        <f>IF(B1465&lt;&gt;"",IFERROR(VLOOKUP(B:B,'מצבת והרשמה (2)'!$C$20:$N$520,2,0)," ")," ")</f>
        <v xml:space="preserve"> </v>
      </c>
      <c r="D1465" s="695"/>
      <c r="E1465" s="696"/>
      <c r="F1465" s="696"/>
      <c r="G1465" s="696"/>
      <c r="H1465" s="696"/>
      <c r="I1465" s="1050" t="str">
        <f t="shared" si="332"/>
        <v/>
      </c>
      <c r="J1465" s="696"/>
      <c r="K1465" s="697"/>
      <c r="L1465" s="696"/>
      <c r="M1465" s="198" t="str">
        <f t="shared" si="333"/>
        <v/>
      </c>
      <c r="N1465" s="369" t="str">
        <f t="shared" si="334"/>
        <v/>
      </c>
      <c r="O1465" s="183" t="str">
        <f t="shared" si="335"/>
        <v/>
      </c>
      <c r="P1465" s="199" t="str">
        <f t="shared" si="336"/>
        <v/>
      </c>
      <c r="Q1465" s="199" t="str">
        <f>IF(B1465="","",IFERROR(IF('עלויות כח אדם (6)'!J1465&gt;=VLOOKUP(I1465,'סיווג התפקידים והעלויות'!$B$23:$C$32,2,0),"תקין","לא תקין"),""))</f>
        <v/>
      </c>
      <c r="R1465" s="199" t="str">
        <f t="shared" si="337"/>
        <v/>
      </c>
      <c r="S1465" s="199" t="str">
        <f t="shared" si="338"/>
        <v/>
      </c>
      <c r="T1465" s="199" t="str">
        <f t="shared" si="346"/>
        <v/>
      </c>
      <c r="U1465" s="199" t="str">
        <f t="shared" si="339"/>
        <v/>
      </c>
      <c r="V1465" s="989"/>
      <c r="X1465" s="374" t="str">
        <f t="shared" si="340"/>
        <v/>
      </c>
      <c r="Y1465" s="375" t="str">
        <f t="shared" si="341"/>
        <v/>
      </c>
      <c r="Z1465" s="374" t="str">
        <f t="shared" si="342"/>
        <v/>
      </c>
      <c r="AA1465" s="374" t="b">
        <f t="shared" si="343"/>
        <v>1</v>
      </c>
      <c r="AB1465" s="374">
        <f>COUNTIFS(B:B,B1465,H:H,'סיווג התפקידים והעלויות'!$C$2)</f>
        <v>0</v>
      </c>
      <c r="AC1465" s="374">
        <f>COUNTIFS(B:B,B1465,H:H,'סיווג התפקידים והעלויות'!$D$2)</f>
        <v>0</v>
      </c>
      <c r="AD1465" s="374" t="str">
        <f>IF(OR(AND(H1465='סיווג התפקידים והעלויות'!$A$2,I1465='סיווג התפקידים והעלויות'!$A$3),'עלויות כח אדם (6)'!H1465='סיווג התפקידים והעלויות'!$C$2,'עלויות כח אדם (6)'!H1465='סיווג התפקידים והעלויות'!$D$2),IF('עלויות כח אדם (6)'!J1465&lt;75,"לא תקין","תקין"),"")</f>
        <v/>
      </c>
      <c r="AE1465" s="374" t="str">
        <f t="shared" si="344"/>
        <v/>
      </c>
      <c r="AF1465" s="532" t="str">
        <f t="shared" si="345"/>
        <v/>
      </c>
    </row>
    <row r="1466" spans="2:32" x14ac:dyDescent="0.25">
      <c r="B1466" s="695"/>
      <c r="C1466" s="197" t="str">
        <f>IF(B1466&lt;&gt;"",IFERROR(VLOOKUP(B:B,'מצבת והרשמה (2)'!$C$20:$N$520,2,0)," ")," ")</f>
        <v xml:space="preserve"> </v>
      </c>
      <c r="D1466" s="695"/>
      <c r="E1466" s="696"/>
      <c r="F1466" s="696"/>
      <c r="G1466" s="696"/>
      <c r="H1466" s="696"/>
      <c r="I1466" s="1050" t="str">
        <f t="shared" si="332"/>
        <v/>
      </c>
      <c r="J1466" s="696"/>
      <c r="K1466" s="697"/>
      <c r="L1466" s="696"/>
      <c r="M1466" s="198" t="str">
        <f t="shared" si="333"/>
        <v/>
      </c>
      <c r="N1466" s="369" t="str">
        <f t="shared" si="334"/>
        <v/>
      </c>
      <c r="O1466" s="183" t="str">
        <f t="shared" si="335"/>
        <v/>
      </c>
      <c r="P1466" s="199" t="str">
        <f t="shared" si="336"/>
        <v/>
      </c>
      <c r="Q1466" s="199" t="str">
        <f>IF(B1466="","",IFERROR(IF('עלויות כח אדם (6)'!J1466&gt;=VLOOKUP(I1466,'סיווג התפקידים והעלויות'!$B$23:$C$32,2,0),"תקין","לא תקין"),""))</f>
        <v/>
      </c>
      <c r="R1466" s="199" t="str">
        <f t="shared" si="337"/>
        <v/>
      </c>
      <c r="S1466" s="199" t="str">
        <f t="shared" si="338"/>
        <v/>
      </c>
      <c r="T1466" s="199" t="str">
        <f t="shared" si="346"/>
        <v/>
      </c>
      <c r="U1466" s="199" t="str">
        <f t="shared" si="339"/>
        <v/>
      </c>
      <c r="V1466" s="989"/>
      <c r="X1466" s="374" t="str">
        <f t="shared" si="340"/>
        <v/>
      </c>
      <c r="Y1466" s="375" t="str">
        <f t="shared" si="341"/>
        <v/>
      </c>
      <c r="Z1466" s="374" t="str">
        <f t="shared" si="342"/>
        <v/>
      </c>
      <c r="AA1466" s="374" t="b">
        <f t="shared" si="343"/>
        <v>1</v>
      </c>
      <c r="AB1466" s="374">
        <f>COUNTIFS(B:B,B1466,H:H,'סיווג התפקידים והעלויות'!$C$2)</f>
        <v>0</v>
      </c>
      <c r="AC1466" s="374">
        <f>COUNTIFS(B:B,B1466,H:H,'סיווג התפקידים והעלויות'!$D$2)</f>
        <v>0</v>
      </c>
      <c r="AD1466" s="374" t="str">
        <f>IF(OR(AND(H1466='סיווג התפקידים והעלויות'!$A$2,I1466='סיווג התפקידים והעלויות'!$A$3),'עלויות כח אדם (6)'!H1466='סיווג התפקידים והעלויות'!$C$2,'עלויות כח אדם (6)'!H1466='סיווג התפקידים והעלויות'!$D$2),IF('עלויות כח אדם (6)'!J1466&lt;75,"לא תקין","תקין"),"")</f>
        <v/>
      </c>
      <c r="AE1466" s="374" t="str">
        <f t="shared" si="344"/>
        <v/>
      </c>
      <c r="AF1466" s="532" t="str">
        <f t="shared" si="345"/>
        <v/>
      </c>
    </row>
    <row r="1467" spans="2:32" x14ac:dyDescent="0.25">
      <c r="B1467" s="695"/>
      <c r="C1467" s="197" t="str">
        <f>IF(B1467&lt;&gt;"",IFERROR(VLOOKUP(B:B,'מצבת והרשמה (2)'!$C$20:$N$520,2,0)," ")," ")</f>
        <v xml:space="preserve"> </v>
      </c>
      <c r="D1467" s="695"/>
      <c r="E1467" s="696"/>
      <c r="F1467" s="696"/>
      <c r="G1467" s="696"/>
      <c r="H1467" s="696"/>
      <c r="I1467" s="1050" t="str">
        <f t="shared" si="332"/>
        <v/>
      </c>
      <c r="J1467" s="696"/>
      <c r="K1467" s="697"/>
      <c r="L1467" s="696"/>
      <c r="M1467" s="198" t="str">
        <f t="shared" si="333"/>
        <v/>
      </c>
      <c r="N1467" s="369" t="str">
        <f t="shared" si="334"/>
        <v/>
      </c>
      <c r="O1467" s="183" t="str">
        <f t="shared" si="335"/>
        <v/>
      </c>
      <c r="P1467" s="199" t="str">
        <f t="shared" si="336"/>
        <v/>
      </c>
      <c r="Q1467" s="199" t="str">
        <f>IF(B1467="","",IFERROR(IF('עלויות כח אדם (6)'!J1467&gt;=VLOOKUP(I1467,'סיווג התפקידים והעלויות'!$B$23:$C$32,2,0),"תקין","לא תקין"),""))</f>
        <v/>
      </c>
      <c r="R1467" s="199" t="str">
        <f t="shared" si="337"/>
        <v/>
      </c>
      <c r="S1467" s="199" t="str">
        <f t="shared" si="338"/>
        <v/>
      </c>
      <c r="T1467" s="199" t="str">
        <f t="shared" si="346"/>
        <v/>
      </c>
      <c r="U1467" s="199" t="str">
        <f t="shared" si="339"/>
        <v/>
      </c>
      <c r="V1467" s="989"/>
      <c r="X1467" s="374" t="str">
        <f t="shared" si="340"/>
        <v/>
      </c>
      <c r="Y1467" s="375" t="str">
        <f t="shared" si="341"/>
        <v/>
      </c>
      <c r="Z1467" s="374" t="str">
        <f t="shared" si="342"/>
        <v/>
      </c>
      <c r="AA1467" s="374" t="b">
        <f t="shared" si="343"/>
        <v>1</v>
      </c>
      <c r="AB1467" s="374">
        <f>COUNTIFS(B:B,B1467,H:H,'סיווג התפקידים והעלויות'!$C$2)</f>
        <v>0</v>
      </c>
      <c r="AC1467" s="374">
        <f>COUNTIFS(B:B,B1467,H:H,'סיווג התפקידים והעלויות'!$D$2)</f>
        <v>0</v>
      </c>
      <c r="AD1467" s="374" t="str">
        <f>IF(OR(AND(H1467='סיווג התפקידים והעלויות'!$A$2,I1467='סיווג התפקידים והעלויות'!$A$3),'עלויות כח אדם (6)'!H1467='סיווג התפקידים והעלויות'!$C$2,'עלויות כח אדם (6)'!H1467='סיווג התפקידים והעלויות'!$D$2),IF('עלויות כח אדם (6)'!J1467&lt;75,"לא תקין","תקין"),"")</f>
        <v/>
      </c>
      <c r="AE1467" s="374" t="str">
        <f t="shared" si="344"/>
        <v/>
      </c>
      <c r="AF1467" s="532" t="str">
        <f t="shared" si="345"/>
        <v/>
      </c>
    </row>
    <row r="1468" spans="2:32" x14ac:dyDescent="0.25">
      <c r="B1468" s="695"/>
      <c r="C1468" s="197" t="str">
        <f>IF(B1468&lt;&gt;"",IFERROR(VLOOKUP(B:B,'מצבת והרשמה (2)'!$C$20:$N$520,2,0)," ")," ")</f>
        <v xml:space="preserve"> </v>
      </c>
      <c r="D1468" s="695"/>
      <c r="E1468" s="696"/>
      <c r="F1468" s="696"/>
      <c r="G1468" s="696"/>
      <c r="H1468" s="696"/>
      <c r="I1468" s="1050" t="str">
        <f t="shared" si="332"/>
        <v/>
      </c>
      <c r="J1468" s="696"/>
      <c r="K1468" s="697"/>
      <c r="L1468" s="696"/>
      <c r="M1468" s="198" t="str">
        <f t="shared" si="333"/>
        <v/>
      </c>
      <c r="N1468" s="369" t="str">
        <f t="shared" si="334"/>
        <v/>
      </c>
      <c r="O1468" s="183" t="str">
        <f t="shared" si="335"/>
        <v/>
      </c>
      <c r="P1468" s="199" t="str">
        <f t="shared" si="336"/>
        <v/>
      </c>
      <c r="Q1468" s="199" t="str">
        <f>IF(B1468="","",IFERROR(IF('עלויות כח אדם (6)'!J1468&gt;=VLOOKUP(I1468,'סיווג התפקידים והעלויות'!$B$23:$C$32,2,0),"תקין","לא תקין"),""))</f>
        <v/>
      </c>
      <c r="R1468" s="199" t="str">
        <f t="shared" si="337"/>
        <v/>
      </c>
      <c r="S1468" s="199" t="str">
        <f t="shared" si="338"/>
        <v/>
      </c>
      <c r="T1468" s="199" t="str">
        <f t="shared" si="346"/>
        <v/>
      </c>
      <c r="U1468" s="199" t="str">
        <f t="shared" si="339"/>
        <v/>
      </c>
      <c r="V1468" s="989"/>
      <c r="X1468" s="374" t="str">
        <f t="shared" si="340"/>
        <v/>
      </c>
      <c r="Y1468" s="375" t="str">
        <f t="shared" si="341"/>
        <v/>
      </c>
      <c r="Z1468" s="374" t="str">
        <f t="shared" si="342"/>
        <v/>
      </c>
      <c r="AA1468" s="374" t="b">
        <f t="shared" si="343"/>
        <v>1</v>
      </c>
      <c r="AB1468" s="374">
        <f>COUNTIFS(B:B,B1468,H:H,'סיווג התפקידים והעלויות'!$C$2)</f>
        <v>0</v>
      </c>
      <c r="AC1468" s="374">
        <f>COUNTIFS(B:B,B1468,H:H,'סיווג התפקידים והעלויות'!$D$2)</f>
        <v>0</v>
      </c>
      <c r="AD1468" s="374" t="str">
        <f>IF(OR(AND(H1468='סיווג התפקידים והעלויות'!$A$2,I1468='סיווג התפקידים והעלויות'!$A$3),'עלויות כח אדם (6)'!H1468='סיווג התפקידים והעלויות'!$C$2,'עלויות כח אדם (6)'!H1468='סיווג התפקידים והעלויות'!$D$2),IF('עלויות כח אדם (6)'!J1468&lt;75,"לא תקין","תקין"),"")</f>
        <v/>
      </c>
      <c r="AE1468" s="374" t="str">
        <f t="shared" si="344"/>
        <v/>
      </c>
      <c r="AF1468" s="532" t="str">
        <f t="shared" si="345"/>
        <v/>
      </c>
    </row>
    <row r="1469" spans="2:32" x14ac:dyDescent="0.25">
      <c r="B1469" s="695"/>
      <c r="C1469" s="197" t="str">
        <f>IF(B1469&lt;&gt;"",IFERROR(VLOOKUP(B:B,'מצבת והרשמה (2)'!$C$20:$N$520,2,0)," ")," ")</f>
        <v xml:space="preserve"> </v>
      </c>
      <c r="D1469" s="695"/>
      <c r="E1469" s="696"/>
      <c r="F1469" s="696"/>
      <c r="G1469" s="696"/>
      <c r="H1469" s="696"/>
      <c r="I1469" s="1050" t="str">
        <f t="shared" si="332"/>
        <v/>
      </c>
      <c r="J1469" s="696"/>
      <c r="K1469" s="697"/>
      <c r="L1469" s="696"/>
      <c r="M1469" s="198" t="str">
        <f t="shared" si="333"/>
        <v/>
      </c>
      <c r="N1469" s="369" t="str">
        <f t="shared" si="334"/>
        <v/>
      </c>
      <c r="O1469" s="183" t="str">
        <f t="shared" si="335"/>
        <v/>
      </c>
      <c r="P1469" s="199" t="str">
        <f t="shared" si="336"/>
        <v/>
      </c>
      <c r="Q1469" s="199" t="str">
        <f>IF(B1469="","",IFERROR(IF('עלויות כח אדם (6)'!J1469&gt;=VLOOKUP(I1469,'סיווג התפקידים והעלויות'!$B$23:$C$32,2,0),"תקין","לא תקין"),""))</f>
        <v/>
      </c>
      <c r="R1469" s="199" t="str">
        <f t="shared" si="337"/>
        <v/>
      </c>
      <c r="S1469" s="199" t="str">
        <f t="shared" si="338"/>
        <v/>
      </c>
      <c r="T1469" s="199" t="str">
        <f t="shared" si="346"/>
        <v/>
      </c>
      <c r="U1469" s="199" t="str">
        <f t="shared" si="339"/>
        <v/>
      </c>
      <c r="V1469" s="989"/>
      <c r="X1469" s="374" t="str">
        <f t="shared" si="340"/>
        <v/>
      </c>
      <c r="Y1469" s="375" t="str">
        <f t="shared" si="341"/>
        <v/>
      </c>
      <c r="Z1469" s="374" t="str">
        <f t="shared" si="342"/>
        <v/>
      </c>
      <c r="AA1469" s="374" t="b">
        <f t="shared" si="343"/>
        <v>1</v>
      </c>
      <c r="AB1469" s="374">
        <f>COUNTIFS(B:B,B1469,H:H,'סיווג התפקידים והעלויות'!$C$2)</f>
        <v>0</v>
      </c>
      <c r="AC1469" s="374">
        <f>COUNTIFS(B:B,B1469,H:H,'סיווג התפקידים והעלויות'!$D$2)</f>
        <v>0</v>
      </c>
      <c r="AD1469" s="374" t="str">
        <f>IF(OR(AND(H1469='סיווג התפקידים והעלויות'!$A$2,I1469='סיווג התפקידים והעלויות'!$A$3),'עלויות כח אדם (6)'!H1469='סיווג התפקידים והעלויות'!$C$2,'עלויות כח אדם (6)'!H1469='סיווג התפקידים והעלויות'!$D$2),IF('עלויות כח אדם (6)'!J1469&lt;75,"לא תקין","תקין"),"")</f>
        <v/>
      </c>
      <c r="AE1469" s="374" t="str">
        <f t="shared" si="344"/>
        <v/>
      </c>
      <c r="AF1469" s="532" t="str">
        <f t="shared" si="345"/>
        <v/>
      </c>
    </row>
    <row r="1470" spans="2:32" x14ac:dyDescent="0.25">
      <c r="B1470" s="695"/>
      <c r="C1470" s="197" t="str">
        <f>IF(B1470&lt;&gt;"",IFERROR(VLOOKUP(B:B,'מצבת והרשמה (2)'!$C$20:$N$520,2,0)," ")," ")</f>
        <v xml:space="preserve"> </v>
      </c>
      <c r="D1470" s="695"/>
      <c r="E1470" s="696"/>
      <c r="F1470" s="696"/>
      <c r="G1470" s="696"/>
      <c r="H1470" s="696"/>
      <c r="I1470" s="1050" t="str">
        <f t="shared" si="332"/>
        <v/>
      </c>
      <c r="J1470" s="696"/>
      <c r="K1470" s="697"/>
      <c r="L1470" s="696"/>
      <c r="M1470" s="198" t="str">
        <f t="shared" si="333"/>
        <v/>
      </c>
      <c r="N1470" s="369" t="str">
        <f t="shared" si="334"/>
        <v/>
      </c>
      <c r="O1470" s="183" t="str">
        <f t="shared" si="335"/>
        <v/>
      </c>
      <c r="P1470" s="199" t="str">
        <f t="shared" si="336"/>
        <v/>
      </c>
      <c r="Q1470" s="199" t="str">
        <f>IF(B1470="","",IFERROR(IF('עלויות כח אדם (6)'!J1470&gt;=VLOOKUP(I1470,'סיווג התפקידים והעלויות'!$B$23:$C$32,2,0),"תקין","לא תקין"),""))</f>
        <v/>
      </c>
      <c r="R1470" s="199" t="str">
        <f t="shared" si="337"/>
        <v/>
      </c>
      <c r="S1470" s="199" t="str">
        <f t="shared" si="338"/>
        <v/>
      </c>
      <c r="T1470" s="199" t="str">
        <f t="shared" si="346"/>
        <v/>
      </c>
      <c r="U1470" s="199" t="str">
        <f t="shared" si="339"/>
        <v/>
      </c>
      <c r="V1470" s="989"/>
      <c r="X1470" s="374" t="str">
        <f t="shared" si="340"/>
        <v/>
      </c>
      <c r="Y1470" s="375" t="str">
        <f t="shared" si="341"/>
        <v/>
      </c>
      <c r="Z1470" s="374" t="str">
        <f t="shared" si="342"/>
        <v/>
      </c>
      <c r="AA1470" s="374" t="b">
        <f t="shared" si="343"/>
        <v>1</v>
      </c>
      <c r="AB1470" s="374">
        <f>COUNTIFS(B:B,B1470,H:H,'סיווג התפקידים והעלויות'!$C$2)</f>
        <v>0</v>
      </c>
      <c r="AC1470" s="374">
        <f>COUNTIFS(B:B,B1470,H:H,'סיווג התפקידים והעלויות'!$D$2)</f>
        <v>0</v>
      </c>
      <c r="AD1470" s="374" t="str">
        <f>IF(OR(AND(H1470='סיווג התפקידים והעלויות'!$A$2,I1470='סיווג התפקידים והעלויות'!$A$3),'עלויות כח אדם (6)'!H1470='סיווג התפקידים והעלויות'!$C$2,'עלויות כח אדם (6)'!H1470='סיווג התפקידים והעלויות'!$D$2),IF('עלויות כח אדם (6)'!J1470&lt;75,"לא תקין","תקין"),"")</f>
        <v/>
      </c>
      <c r="AE1470" s="374" t="str">
        <f t="shared" si="344"/>
        <v/>
      </c>
      <c r="AF1470" s="532" t="str">
        <f t="shared" si="345"/>
        <v/>
      </c>
    </row>
    <row r="1471" spans="2:32" x14ac:dyDescent="0.25">
      <c r="B1471" s="695"/>
      <c r="C1471" s="197" t="str">
        <f>IF(B1471&lt;&gt;"",IFERROR(VLOOKUP(B:B,'מצבת והרשמה (2)'!$C$20:$N$520,2,0)," ")," ")</f>
        <v xml:space="preserve"> </v>
      </c>
      <c r="D1471" s="695"/>
      <c r="E1471" s="696"/>
      <c r="F1471" s="696"/>
      <c r="G1471" s="696"/>
      <c r="H1471" s="696"/>
      <c r="I1471" s="1050" t="str">
        <f t="shared" si="332"/>
        <v/>
      </c>
      <c r="J1471" s="696"/>
      <c r="K1471" s="697"/>
      <c r="L1471" s="696"/>
      <c r="M1471" s="198" t="str">
        <f t="shared" si="333"/>
        <v/>
      </c>
      <c r="N1471" s="369" t="str">
        <f t="shared" si="334"/>
        <v/>
      </c>
      <c r="O1471" s="183" t="str">
        <f t="shared" si="335"/>
        <v/>
      </c>
      <c r="P1471" s="199" t="str">
        <f t="shared" si="336"/>
        <v/>
      </c>
      <c r="Q1471" s="199" t="str">
        <f>IF(B1471="","",IFERROR(IF('עלויות כח אדם (6)'!J1471&gt;=VLOOKUP(I1471,'סיווג התפקידים והעלויות'!$B$23:$C$32,2,0),"תקין","לא תקין"),""))</f>
        <v/>
      </c>
      <c r="R1471" s="199" t="str">
        <f t="shared" si="337"/>
        <v/>
      </c>
      <c r="S1471" s="199" t="str">
        <f t="shared" si="338"/>
        <v/>
      </c>
      <c r="T1471" s="199" t="str">
        <f t="shared" si="346"/>
        <v/>
      </c>
      <c r="U1471" s="199" t="str">
        <f t="shared" si="339"/>
        <v/>
      </c>
      <c r="V1471" s="989"/>
      <c r="X1471" s="374" t="str">
        <f t="shared" si="340"/>
        <v/>
      </c>
      <c r="Y1471" s="375" t="str">
        <f t="shared" si="341"/>
        <v/>
      </c>
      <c r="Z1471" s="374" t="str">
        <f t="shared" si="342"/>
        <v/>
      </c>
      <c r="AA1471" s="374" t="b">
        <f t="shared" si="343"/>
        <v>1</v>
      </c>
      <c r="AB1471" s="374">
        <f>COUNTIFS(B:B,B1471,H:H,'סיווג התפקידים והעלויות'!$C$2)</f>
        <v>0</v>
      </c>
      <c r="AC1471" s="374">
        <f>COUNTIFS(B:B,B1471,H:H,'סיווג התפקידים והעלויות'!$D$2)</f>
        <v>0</v>
      </c>
      <c r="AD1471" s="374" t="str">
        <f>IF(OR(AND(H1471='סיווג התפקידים והעלויות'!$A$2,I1471='סיווג התפקידים והעלויות'!$A$3),'עלויות כח אדם (6)'!H1471='סיווג התפקידים והעלויות'!$C$2,'עלויות כח אדם (6)'!H1471='סיווג התפקידים והעלויות'!$D$2),IF('עלויות כח אדם (6)'!J1471&lt;75,"לא תקין","תקין"),"")</f>
        <v/>
      </c>
      <c r="AE1471" s="374" t="str">
        <f t="shared" si="344"/>
        <v/>
      </c>
      <c r="AF1471" s="532" t="str">
        <f t="shared" si="345"/>
        <v/>
      </c>
    </row>
    <row r="1472" spans="2:32" x14ac:dyDescent="0.25">
      <c r="B1472" s="695"/>
      <c r="C1472" s="197" t="str">
        <f>IF(B1472&lt;&gt;"",IFERROR(VLOOKUP(B:B,'מצבת והרשמה (2)'!$C$20:$N$520,2,0)," ")," ")</f>
        <v xml:space="preserve"> </v>
      </c>
      <c r="D1472" s="695"/>
      <c r="E1472" s="696"/>
      <c r="F1472" s="696"/>
      <c r="G1472" s="696"/>
      <c r="H1472" s="696"/>
      <c r="I1472" s="1050" t="str">
        <f t="shared" si="332"/>
        <v/>
      </c>
      <c r="J1472" s="696"/>
      <c r="K1472" s="697"/>
      <c r="L1472" s="696"/>
      <c r="M1472" s="198" t="str">
        <f t="shared" si="333"/>
        <v/>
      </c>
      <c r="N1472" s="369" t="str">
        <f t="shared" si="334"/>
        <v/>
      </c>
      <c r="O1472" s="183" t="str">
        <f t="shared" si="335"/>
        <v/>
      </c>
      <c r="P1472" s="199" t="str">
        <f t="shared" si="336"/>
        <v/>
      </c>
      <c r="Q1472" s="199" t="str">
        <f>IF(B1472="","",IFERROR(IF('עלויות כח אדם (6)'!J1472&gt;=VLOOKUP(I1472,'סיווג התפקידים והעלויות'!$B$23:$C$32,2,0),"תקין","לא תקין"),""))</f>
        <v/>
      </c>
      <c r="R1472" s="199" t="str">
        <f t="shared" si="337"/>
        <v/>
      </c>
      <c r="S1472" s="199" t="str">
        <f t="shared" si="338"/>
        <v/>
      </c>
      <c r="T1472" s="199" t="str">
        <f t="shared" si="346"/>
        <v/>
      </c>
      <c r="U1472" s="199" t="str">
        <f t="shared" si="339"/>
        <v/>
      </c>
      <c r="V1472" s="989"/>
      <c r="X1472" s="374" t="str">
        <f t="shared" si="340"/>
        <v/>
      </c>
      <c r="Y1472" s="375" t="str">
        <f t="shared" si="341"/>
        <v/>
      </c>
      <c r="Z1472" s="374" t="str">
        <f t="shared" si="342"/>
        <v/>
      </c>
      <c r="AA1472" s="374" t="b">
        <f t="shared" si="343"/>
        <v>1</v>
      </c>
      <c r="AB1472" s="374">
        <f>COUNTIFS(B:B,B1472,H:H,'סיווג התפקידים והעלויות'!$C$2)</f>
        <v>0</v>
      </c>
      <c r="AC1472" s="374">
        <f>COUNTIFS(B:B,B1472,H:H,'סיווג התפקידים והעלויות'!$D$2)</f>
        <v>0</v>
      </c>
      <c r="AD1472" s="374" t="str">
        <f>IF(OR(AND(H1472='סיווג התפקידים והעלויות'!$A$2,I1472='סיווג התפקידים והעלויות'!$A$3),'עלויות כח אדם (6)'!H1472='סיווג התפקידים והעלויות'!$C$2,'עלויות כח אדם (6)'!H1472='סיווג התפקידים והעלויות'!$D$2),IF('עלויות כח אדם (6)'!J1472&lt;75,"לא תקין","תקין"),"")</f>
        <v/>
      </c>
      <c r="AE1472" s="374" t="str">
        <f t="shared" si="344"/>
        <v/>
      </c>
      <c r="AF1472" s="532" t="str">
        <f t="shared" si="345"/>
        <v/>
      </c>
    </row>
    <row r="1473" spans="2:32" x14ac:dyDescent="0.25">
      <c r="B1473" s="695"/>
      <c r="C1473" s="197" t="str">
        <f>IF(B1473&lt;&gt;"",IFERROR(VLOOKUP(B:B,'מצבת והרשמה (2)'!$C$20:$N$520,2,0)," ")," ")</f>
        <v xml:space="preserve"> </v>
      </c>
      <c r="D1473" s="695"/>
      <c r="E1473" s="696"/>
      <c r="F1473" s="696"/>
      <c r="G1473" s="696"/>
      <c r="H1473" s="696"/>
      <c r="I1473" s="1050" t="str">
        <f t="shared" si="332"/>
        <v/>
      </c>
      <c r="J1473" s="696"/>
      <c r="K1473" s="697"/>
      <c r="L1473" s="696"/>
      <c r="M1473" s="198" t="str">
        <f t="shared" si="333"/>
        <v/>
      </c>
      <c r="N1473" s="369" t="str">
        <f t="shared" si="334"/>
        <v/>
      </c>
      <c r="O1473" s="183" t="str">
        <f t="shared" si="335"/>
        <v/>
      </c>
      <c r="P1473" s="199" t="str">
        <f t="shared" si="336"/>
        <v/>
      </c>
      <c r="Q1473" s="199" t="str">
        <f>IF(B1473="","",IFERROR(IF('עלויות כח אדם (6)'!J1473&gt;=VLOOKUP(I1473,'סיווג התפקידים והעלויות'!$B$23:$C$32,2,0),"תקין","לא תקין"),""))</f>
        <v/>
      </c>
      <c r="R1473" s="199" t="str">
        <f t="shared" si="337"/>
        <v/>
      </c>
      <c r="S1473" s="199" t="str">
        <f t="shared" si="338"/>
        <v/>
      </c>
      <c r="T1473" s="199" t="str">
        <f t="shared" si="346"/>
        <v/>
      </c>
      <c r="U1473" s="199" t="str">
        <f t="shared" si="339"/>
        <v/>
      </c>
      <c r="V1473" s="989"/>
      <c r="X1473" s="374" t="str">
        <f t="shared" si="340"/>
        <v/>
      </c>
      <c r="Y1473" s="375" t="str">
        <f t="shared" si="341"/>
        <v/>
      </c>
      <c r="Z1473" s="374" t="str">
        <f t="shared" si="342"/>
        <v/>
      </c>
      <c r="AA1473" s="374" t="b">
        <f t="shared" si="343"/>
        <v>1</v>
      </c>
      <c r="AB1473" s="374">
        <f>COUNTIFS(B:B,B1473,H:H,'סיווג התפקידים והעלויות'!$C$2)</f>
        <v>0</v>
      </c>
      <c r="AC1473" s="374">
        <f>COUNTIFS(B:B,B1473,H:H,'סיווג התפקידים והעלויות'!$D$2)</f>
        <v>0</v>
      </c>
      <c r="AD1473" s="374" t="str">
        <f>IF(OR(AND(H1473='סיווג התפקידים והעלויות'!$A$2,I1473='סיווג התפקידים והעלויות'!$A$3),'עלויות כח אדם (6)'!H1473='סיווג התפקידים והעלויות'!$C$2,'עלויות כח אדם (6)'!H1473='סיווג התפקידים והעלויות'!$D$2),IF('עלויות כח אדם (6)'!J1473&lt;75,"לא תקין","תקין"),"")</f>
        <v/>
      </c>
      <c r="AE1473" s="374" t="str">
        <f t="shared" si="344"/>
        <v/>
      </c>
      <c r="AF1473" s="532" t="str">
        <f t="shared" si="345"/>
        <v/>
      </c>
    </row>
    <row r="1474" spans="2:32" x14ac:dyDescent="0.25">
      <c r="B1474" s="695"/>
      <c r="C1474" s="197" t="str">
        <f>IF(B1474&lt;&gt;"",IFERROR(VLOOKUP(B:B,'מצבת והרשמה (2)'!$C$20:$N$520,2,0)," ")," ")</f>
        <v xml:space="preserve"> </v>
      </c>
      <c r="D1474" s="695"/>
      <c r="E1474" s="696"/>
      <c r="F1474" s="696"/>
      <c r="G1474" s="696"/>
      <c r="H1474" s="696"/>
      <c r="I1474" s="1050" t="str">
        <f t="shared" si="332"/>
        <v/>
      </c>
      <c r="J1474" s="696"/>
      <c r="K1474" s="697"/>
      <c r="L1474" s="696"/>
      <c r="M1474" s="198" t="str">
        <f t="shared" si="333"/>
        <v/>
      </c>
      <c r="N1474" s="369" t="str">
        <f t="shared" si="334"/>
        <v/>
      </c>
      <c r="O1474" s="183" t="str">
        <f t="shared" si="335"/>
        <v/>
      </c>
      <c r="P1474" s="199" t="str">
        <f t="shared" si="336"/>
        <v/>
      </c>
      <c r="Q1474" s="199" t="str">
        <f>IF(B1474="","",IFERROR(IF('עלויות כח אדם (6)'!J1474&gt;=VLOOKUP(I1474,'סיווג התפקידים והעלויות'!$B$23:$C$32,2,0),"תקין","לא תקין"),""))</f>
        <v/>
      </c>
      <c r="R1474" s="199" t="str">
        <f t="shared" si="337"/>
        <v/>
      </c>
      <c r="S1474" s="199" t="str">
        <f t="shared" si="338"/>
        <v/>
      </c>
      <c r="T1474" s="199" t="str">
        <f t="shared" si="346"/>
        <v/>
      </c>
      <c r="U1474" s="199" t="str">
        <f t="shared" si="339"/>
        <v/>
      </c>
      <c r="V1474" s="989"/>
      <c r="X1474" s="374" t="str">
        <f t="shared" si="340"/>
        <v/>
      </c>
      <c r="Y1474" s="375" t="str">
        <f t="shared" si="341"/>
        <v/>
      </c>
      <c r="Z1474" s="374" t="str">
        <f t="shared" si="342"/>
        <v/>
      </c>
      <c r="AA1474" s="374" t="b">
        <f t="shared" si="343"/>
        <v>1</v>
      </c>
      <c r="AB1474" s="374">
        <f>COUNTIFS(B:B,B1474,H:H,'סיווג התפקידים והעלויות'!$C$2)</f>
        <v>0</v>
      </c>
      <c r="AC1474" s="374">
        <f>COUNTIFS(B:B,B1474,H:H,'סיווג התפקידים והעלויות'!$D$2)</f>
        <v>0</v>
      </c>
      <c r="AD1474" s="374" t="str">
        <f>IF(OR(AND(H1474='סיווג התפקידים והעלויות'!$A$2,I1474='סיווג התפקידים והעלויות'!$A$3),'עלויות כח אדם (6)'!H1474='סיווג התפקידים והעלויות'!$C$2,'עלויות כח אדם (6)'!H1474='סיווג התפקידים והעלויות'!$D$2),IF('עלויות כח אדם (6)'!J1474&lt;75,"לא תקין","תקין"),"")</f>
        <v/>
      </c>
      <c r="AE1474" s="374" t="str">
        <f t="shared" si="344"/>
        <v/>
      </c>
      <c r="AF1474" s="532" t="str">
        <f t="shared" si="345"/>
        <v/>
      </c>
    </row>
    <row r="1475" spans="2:32" x14ac:dyDescent="0.25">
      <c r="B1475" s="695"/>
      <c r="C1475" s="197" t="str">
        <f>IF(B1475&lt;&gt;"",IFERROR(VLOOKUP(B:B,'מצבת והרשמה (2)'!$C$20:$N$520,2,0)," ")," ")</f>
        <v xml:space="preserve"> </v>
      </c>
      <c r="D1475" s="695"/>
      <c r="E1475" s="696"/>
      <c r="F1475" s="696"/>
      <c r="G1475" s="696"/>
      <c r="H1475" s="696"/>
      <c r="I1475" s="1050" t="str">
        <f t="shared" si="332"/>
        <v/>
      </c>
      <c r="J1475" s="696"/>
      <c r="K1475" s="697"/>
      <c r="L1475" s="696"/>
      <c r="M1475" s="198" t="str">
        <f t="shared" si="333"/>
        <v/>
      </c>
      <c r="N1475" s="369" t="str">
        <f t="shared" si="334"/>
        <v/>
      </c>
      <c r="O1475" s="183" t="str">
        <f t="shared" si="335"/>
        <v/>
      </c>
      <c r="P1475" s="199" t="str">
        <f t="shared" si="336"/>
        <v/>
      </c>
      <c r="Q1475" s="199" t="str">
        <f>IF(B1475="","",IFERROR(IF('עלויות כח אדם (6)'!J1475&gt;=VLOOKUP(I1475,'סיווג התפקידים והעלויות'!$B$23:$C$32,2,0),"תקין","לא תקין"),""))</f>
        <v/>
      </c>
      <c r="R1475" s="199" t="str">
        <f t="shared" si="337"/>
        <v/>
      </c>
      <c r="S1475" s="199" t="str">
        <f t="shared" si="338"/>
        <v/>
      </c>
      <c r="T1475" s="199" t="str">
        <f t="shared" si="346"/>
        <v/>
      </c>
      <c r="U1475" s="199" t="str">
        <f t="shared" si="339"/>
        <v/>
      </c>
      <c r="V1475" s="989"/>
      <c r="X1475" s="374" t="str">
        <f t="shared" si="340"/>
        <v/>
      </c>
      <c r="Y1475" s="375" t="str">
        <f t="shared" si="341"/>
        <v/>
      </c>
      <c r="Z1475" s="374" t="str">
        <f t="shared" si="342"/>
        <v/>
      </c>
      <c r="AA1475" s="374" t="b">
        <f t="shared" si="343"/>
        <v>1</v>
      </c>
      <c r="AB1475" s="374">
        <f>COUNTIFS(B:B,B1475,H:H,'סיווג התפקידים והעלויות'!$C$2)</f>
        <v>0</v>
      </c>
      <c r="AC1475" s="374">
        <f>COUNTIFS(B:B,B1475,H:H,'סיווג התפקידים והעלויות'!$D$2)</f>
        <v>0</v>
      </c>
      <c r="AD1475" s="374" t="str">
        <f>IF(OR(AND(H1475='סיווג התפקידים והעלויות'!$A$2,I1475='סיווג התפקידים והעלויות'!$A$3),'עלויות כח אדם (6)'!H1475='סיווג התפקידים והעלויות'!$C$2,'עלויות כח אדם (6)'!H1475='סיווג התפקידים והעלויות'!$D$2),IF('עלויות כח אדם (6)'!J1475&lt;75,"לא תקין","תקין"),"")</f>
        <v/>
      </c>
      <c r="AE1475" s="374" t="str">
        <f t="shared" si="344"/>
        <v/>
      </c>
      <c r="AF1475" s="532" t="str">
        <f t="shared" si="345"/>
        <v/>
      </c>
    </row>
    <row r="1476" spans="2:32" x14ac:dyDescent="0.25">
      <c r="B1476" s="695"/>
      <c r="C1476" s="197" t="str">
        <f>IF(B1476&lt;&gt;"",IFERROR(VLOOKUP(B:B,'מצבת והרשמה (2)'!$C$20:$N$520,2,0)," ")," ")</f>
        <v xml:space="preserve"> </v>
      </c>
      <c r="D1476" s="695"/>
      <c r="E1476" s="696"/>
      <c r="F1476" s="696"/>
      <c r="G1476" s="696"/>
      <c r="H1476" s="696"/>
      <c r="I1476" s="1050" t="str">
        <f t="shared" si="332"/>
        <v/>
      </c>
      <c r="J1476" s="696"/>
      <c r="K1476" s="697"/>
      <c r="L1476" s="696"/>
      <c r="M1476" s="198" t="str">
        <f t="shared" si="333"/>
        <v/>
      </c>
      <c r="N1476" s="369" t="str">
        <f t="shared" si="334"/>
        <v/>
      </c>
      <c r="O1476" s="183" t="str">
        <f t="shared" si="335"/>
        <v/>
      </c>
      <c r="P1476" s="199" t="str">
        <f t="shared" si="336"/>
        <v/>
      </c>
      <c r="Q1476" s="199" t="str">
        <f>IF(B1476="","",IFERROR(IF('עלויות כח אדם (6)'!J1476&gt;=VLOOKUP(I1476,'סיווג התפקידים והעלויות'!$B$23:$C$32,2,0),"תקין","לא תקין"),""))</f>
        <v/>
      </c>
      <c r="R1476" s="199" t="str">
        <f t="shared" si="337"/>
        <v/>
      </c>
      <c r="S1476" s="199" t="str">
        <f t="shared" si="338"/>
        <v/>
      </c>
      <c r="T1476" s="199" t="str">
        <f t="shared" si="346"/>
        <v/>
      </c>
      <c r="U1476" s="199" t="str">
        <f t="shared" si="339"/>
        <v/>
      </c>
      <c r="V1476" s="989"/>
      <c r="X1476" s="374" t="str">
        <f t="shared" si="340"/>
        <v/>
      </c>
      <c r="Y1476" s="375" t="str">
        <f t="shared" si="341"/>
        <v/>
      </c>
      <c r="Z1476" s="374" t="str">
        <f t="shared" si="342"/>
        <v/>
      </c>
      <c r="AA1476" s="374" t="b">
        <f t="shared" si="343"/>
        <v>1</v>
      </c>
      <c r="AB1476" s="374">
        <f>COUNTIFS(B:B,B1476,H:H,'סיווג התפקידים והעלויות'!$C$2)</f>
        <v>0</v>
      </c>
      <c r="AC1476" s="374">
        <f>COUNTIFS(B:B,B1476,H:H,'סיווג התפקידים והעלויות'!$D$2)</f>
        <v>0</v>
      </c>
      <c r="AD1476" s="374" t="str">
        <f>IF(OR(AND(H1476='סיווג התפקידים והעלויות'!$A$2,I1476='סיווג התפקידים והעלויות'!$A$3),'עלויות כח אדם (6)'!H1476='סיווג התפקידים והעלויות'!$C$2,'עלויות כח אדם (6)'!H1476='סיווג התפקידים והעלויות'!$D$2),IF('עלויות כח אדם (6)'!J1476&lt;75,"לא תקין","תקין"),"")</f>
        <v/>
      </c>
      <c r="AE1476" s="374" t="str">
        <f t="shared" si="344"/>
        <v/>
      </c>
      <c r="AF1476" s="532" t="str">
        <f t="shared" si="345"/>
        <v/>
      </c>
    </row>
    <row r="1477" spans="2:32" x14ac:dyDescent="0.25">
      <c r="B1477" s="695"/>
      <c r="C1477" s="197" t="str">
        <f>IF(B1477&lt;&gt;"",IFERROR(VLOOKUP(B:B,'מצבת והרשמה (2)'!$C$20:$N$520,2,0)," ")," ")</f>
        <v xml:space="preserve"> </v>
      </c>
      <c r="D1477" s="695"/>
      <c r="E1477" s="696"/>
      <c r="F1477" s="696"/>
      <c r="G1477" s="696"/>
      <c r="H1477" s="696"/>
      <c r="I1477" s="1050" t="str">
        <f t="shared" si="332"/>
        <v/>
      </c>
      <c r="J1477" s="696"/>
      <c r="K1477" s="697"/>
      <c r="L1477" s="696"/>
      <c r="M1477" s="198" t="str">
        <f t="shared" si="333"/>
        <v/>
      </c>
      <c r="N1477" s="369" t="str">
        <f t="shared" si="334"/>
        <v/>
      </c>
      <c r="O1477" s="183" t="str">
        <f t="shared" si="335"/>
        <v/>
      </c>
      <c r="P1477" s="199" t="str">
        <f t="shared" si="336"/>
        <v/>
      </c>
      <c r="Q1477" s="199" t="str">
        <f>IF(B1477="","",IFERROR(IF('עלויות כח אדם (6)'!J1477&gt;=VLOOKUP(I1477,'סיווג התפקידים והעלויות'!$B$23:$C$32,2,0),"תקין","לא תקין"),""))</f>
        <v/>
      </c>
      <c r="R1477" s="199" t="str">
        <f t="shared" si="337"/>
        <v/>
      </c>
      <c r="S1477" s="199" t="str">
        <f t="shared" si="338"/>
        <v/>
      </c>
      <c r="T1477" s="199" t="str">
        <f t="shared" si="346"/>
        <v/>
      </c>
      <c r="U1477" s="199" t="str">
        <f t="shared" si="339"/>
        <v/>
      </c>
      <c r="V1477" s="989"/>
      <c r="X1477" s="374" t="str">
        <f t="shared" si="340"/>
        <v/>
      </c>
      <c r="Y1477" s="375" t="str">
        <f t="shared" si="341"/>
        <v/>
      </c>
      <c r="Z1477" s="374" t="str">
        <f t="shared" si="342"/>
        <v/>
      </c>
      <c r="AA1477" s="374" t="b">
        <f t="shared" si="343"/>
        <v>1</v>
      </c>
      <c r="AB1477" s="374">
        <f>COUNTIFS(B:B,B1477,H:H,'סיווג התפקידים והעלויות'!$C$2)</f>
        <v>0</v>
      </c>
      <c r="AC1477" s="374">
        <f>COUNTIFS(B:B,B1477,H:H,'סיווג התפקידים והעלויות'!$D$2)</f>
        <v>0</v>
      </c>
      <c r="AD1477" s="374" t="str">
        <f>IF(OR(AND(H1477='סיווג התפקידים והעלויות'!$A$2,I1477='סיווג התפקידים והעלויות'!$A$3),'עלויות כח אדם (6)'!H1477='סיווג התפקידים והעלויות'!$C$2,'עלויות כח אדם (6)'!H1477='סיווג התפקידים והעלויות'!$D$2),IF('עלויות כח אדם (6)'!J1477&lt;75,"לא תקין","תקין"),"")</f>
        <v/>
      </c>
      <c r="AE1477" s="374" t="str">
        <f t="shared" si="344"/>
        <v/>
      </c>
      <c r="AF1477" s="532" t="str">
        <f t="shared" si="345"/>
        <v/>
      </c>
    </row>
    <row r="1478" spans="2:32" x14ac:dyDescent="0.25">
      <c r="B1478" s="695"/>
      <c r="C1478" s="197" t="str">
        <f>IF(B1478&lt;&gt;"",IFERROR(VLOOKUP(B:B,'מצבת והרשמה (2)'!$C$20:$N$520,2,0)," ")," ")</f>
        <v xml:space="preserve"> </v>
      </c>
      <c r="D1478" s="695"/>
      <c r="E1478" s="696"/>
      <c r="F1478" s="696"/>
      <c r="G1478" s="696"/>
      <c r="H1478" s="696"/>
      <c r="I1478" s="1050" t="str">
        <f t="shared" si="332"/>
        <v/>
      </c>
      <c r="J1478" s="696"/>
      <c r="K1478" s="697"/>
      <c r="L1478" s="696"/>
      <c r="M1478" s="198" t="str">
        <f t="shared" si="333"/>
        <v/>
      </c>
      <c r="N1478" s="369" t="str">
        <f t="shared" si="334"/>
        <v/>
      </c>
      <c r="O1478" s="183" t="str">
        <f t="shared" si="335"/>
        <v/>
      </c>
      <c r="P1478" s="199" t="str">
        <f t="shared" si="336"/>
        <v/>
      </c>
      <c r="Q1478" s="199" t="str">
        <f>IF(B1478="","",IFERROR(IF('עלויות כח אדם (6)'!J1478&gt;=VLOOKUP(I1478,'סיווג התפקידים והעלויות'!$B$23:$C$32,2,0),"תקין","לא תקין"),""))</f>
        <v/>
      </c>
      <c r="R1478" s="199" t="str">
        <f t="shared" si="337"/>
        <v/>
      </c>
      <c r="S1478" s="199" t="str">
        <f t="shared" si="338"/>
        <v/>
      </c>
      <c r="T1478" s="199" t="str">
        <f t="shared" si="346"/>
        <v/>
      </c>
      <c r="U1478" s="199" t="str">
        <f t="shared" si="339"/>
        <v/>
      </c>
      <c r="V1478" s="989"/>
      <c r="X1478" s="374" t="str">
        <f t="shared" si="340"/>
        <v/>
      </c>
      <c r="Y1478" s="375" t="str">
        <f t="shared" si="341"/>
        <v/>
      </c>
      <c r="Z1478" s="374" t="str">
        <f t="shared" si="342"/>
        <v/>
      </c>
      <c r="AA1478" s="374" t="b">
        <f t="shared" si="343"/>
        <v>1</v>
      </c>
      <c r="AB1478" s="374">
        <f>COUNTIFS(B:B,B1478,H:H,'סיווג התפקידים והעלויות'!$C$2)</f>
        <v>0</v>
      </c>
      <c r="AC1478" s="374">
        <f>COUNTIFS(B:B,B1478,H:H,'סיווג התפקידים והעלויות'!$D$2)</f>
        <v>0</v>
      </c>
      <c r="AD1478" s="374" t="str">
        <f>IF(OR(AND(H1478='סיווג התפקידים והעלויות'!$A$2,I1478='סיווג התפקידים והעלויות'!$A$3),'עלויות כח אדם (6)'!H1478='סיווג התפקידים והעלויות'!$C$2,'עלויות כח אדם (6)'!H1478='סיווג התפקידים והעלויות'!$D$2),IF('עלויות כח אדם (6)'!J1478&lt;75,"לא תקין","תקין"),"")</f>
        <v/>
      </c>
      <c r="AE1478" s="374" t="str">
        <f t="shared" si="344"/>
        <v/>
      </c>
      <c r="AF1478" s="532" t="str">
        <f t="shared" si="345"/>
        <v/>
      </c>
    </row>
    <row r="1479" spans="2:32" x14ac:dyDescent="0.25">
      <c r="B1479" s="695"/>
      <c r="C1479" s="197" t="str">
        <f>IF(B1479&lt;&gt;"",IFERROR(VLOOKUP(B:B,'מצבת והרשמה (2)'!$C$20:$N$520,2,0)," ")," ")</f>
        <v xml:space="preserve"> </v>
      </c>
      <c r="D1479" s="695"/>
      <c r="E1479" s="696"/>
      <c r="F1479" s="696"/>
      <c r="G1479" s="696"/>
      <c r="H1479" s="696"/>
      <c r="I1479" s="1050" t="str">
        <f t="shared" si="332"/>
        <v/>
      </c>
      <c r="J1479" s="696"/>
      <c r="K1479" s="697"/>
      <c r="L1479" s="696"/>
      <c r="M1479" s="198" t="str">
        <f t="shared" si="333"/>
        <v/>
      </c>
      <c r="N1479" s="369" t="str">
        <f t="shared" si="334"/>
        <v/>
      </c>
      <c r="O1479" s="183" t="str">
        <f t="shared" si="335"/>
        <v/>
      </c>
      <c r="P1479" s="199" t="str">
        <f t="shared" si="336"/>
        <v/>
      </c>
      <c r="Q1479" s="199" t="str">
        <f>IF(B1479="","",IFERROR(IF('עלויות כח אדם (6)'!J1479&gt;=VLOOKUP(I1479,'סיווג התפקידים והעלויות'!$B$23:$C$32,2,0),"תקין","לא תקין"),""))</f>
        <v/>
      </c>
      <c r="R1479" s="199" t="str">
        <f t="shared" si="337"/>
        <v/>
      </c>
      <c r="S1479" s="199" t="str">
        <f t="shared" si="338"/>
        <v/>
      </c>
      <c r="T1479" s="199" t="str">
        <f t="shared" si="346"/>
        <v/>
      </c>
      <c r="U1479" s="199" t="str">
        <f t="shared" si="339"/>
        <v/>
      </c>
      <c r="V1479" s="989"/>
      <c r="X1479" s="374" t="str">
        <f t="shared" si="340"/>
        <v/>
      </c>
      <c r="Y1479" s="375" t="str">
        <f t="shared" si="341"/>
        <v/>
      </c>
      <c r="Z1479" s="374" t="str">
        <f t="shared" si="342"/>
        <v/>
      </c>
      <c r="AA1479" s="374" t="b">
        <f t="shared" si="343"/>
        <v>1</v>
      </c>
      <c r="AB1479" s="374">
        <f>COUNTIFS(B:B,B1479,H:H,'סיווג התפקידים והעלויות'!$C$2)</f>
        <v>0</v>
      </c>
      <c r="AC1479" s="374">
        <f>COUNTIFS(B:B,B1479,H:H,'סיווג התפקידים והעלויות'!$D$2)</f>
        <v>0</v>
      </c>
      <c r="AD1479" s="374" t="str">
        <f>IF(OR(AND(H1479='סיווג התפקידים והעלויות'!$A$2,I1479='סיווג התפקידים והעלויות'!$A$3),'עלויות כח אדם (6)'!H1479='סיווג התפקידים והעלויות'!$C$2,'עלויות כח אדם (6)'!H1479='סיווג התפקידים והעלויות'!$D$2),IF('עלויות כח אדם (6)'!J1479&lt;75,"לא תקין","תקין"),"")</f>
        <v/>
      </c>
      <c r="AE1479" s="374" t="str">
        <f t="shared" si="344"/>
        <v/>
      </c>
      <c r="AF1479" s="532" t="str">
        <f t="shared" si="345"/>
        <v/>
      </c>
    </row>
    <row r="1480" spans="2:32" x14ac:dyDescent="0.25">
      <c r="B1480" s="695"/>
      <c r="C1480" s="197" t="str">
        <f>IF(B1480&lt;&gt;"",IFERROR(VLOOKUP(B:B,'מצבת והרשמה (2)'!$C$20:$N$520,2,0)," ")," ")</f>
        <v xml:space="preserve"> </v>
      </c>
      <c r="D1480" s="695"/>
      <c r="E1480" s="696"/>
      <c r="F1480" s="696"/>
      <c r="G1480" s="696"/>
      <c r="H1480" s="696"/>
      <c r="I1480" s="1050" t="str">
        <f t="shared" si="332"/>
        <v/>
      </c>
      <c r="J1480" s="696"/>
      <c r="K1480" s="697"/>
      <c r="L1480" s="696"/>
      <c r="M1480" s="198" t="str">
        <f t="shared" si="333"/>
        <v/>
      </c>
      <c r="N1480" s="369" t="str">
        <f t="shared" si="334"/>
        <v/>
      </c>
      <c r="O1480" s="183" t="str">
        <f t="shared" si="335"/>
        <v/>
      </c>
      <c r="P1480" s="199" t="str">
        <f t="shared" si="336"/>
        <v/>
      </c>
      <c r="Q1480" s="199" t="str">
        <f>IF(B1480="","",IFERROR(IF('עלויות כח אדם (6)'!J1480&gt;=VLOOKUP(I1480,'סיווג התפקידים והעלויות'!$B$23:$C$32,2,0),"תקין","לא תקין"),""))</f>
        <v/>
      </c>
      <c r="R1480" s="199" t="str">
        <f t="shared" si="337"/>
        <v/>
      </c>
      <c r="S1480" s="199" t="str">
        <f t="shared" si="338"/>
        <v/>
      </c>
      <c r="T1480" s="199" t="str">
        <f t="shared" si="346"/>
        <v/>
      </c>
      <c r="U1480" s="199" t="str">
        <f t="shared" si="339"/>
        <v/>
      </c>
      <c r="V1480" s="989"/>
      <c r="X1480" s="374" t="str">
        <f t="shared" si="340"/>
        <v/>
      </c>
      <c r="Y1480" s="375" t="str">
        <f t="shared" si="341"/>
        <v/>
      </c>
      <c r="Z1480" s="374" t="str">
        <f t="shared" si="342"/>
        <v/>
      </c>
      <c r="AA1480" s="374" t="b">
        <f t="shared" si="343"/>
        <v>1</v>
      </c>
      <c r="AB1480" s="374">
        <f>COUNTIFS(B:B,B1480,H:H,'סיווג התפקידים והעלויות'!$C$2)</f>
        <v>0</v>
      </c>
      <c r="AC1480" s="374">
        <f>COUNTIFS(B:B,B1480,H:H,'סיווג התפקידים והעלויות'!$D$2)</f>
        <v>0</v>
      </c>
      <c r="AD1480" s="374" t="str">
        <f>IF(OR(AND(H1480='סיווג התפקידים והעלויות'!$A$2,I1480='סיווג התפקידים והעלויות'!$A$3),'עלויות כח אדם (6)'!H1480='סיווג התפקידים והעלויות'!$C$2,'עלויות כח אדם (6)'!H1480='סיווג התפקידים והעלויות'!$D$2),IF('עלויות כח אדם (6)'!J1480&lt;75,"לא תקין","תקין"),"")</f>
        <v/>
      </c>
      <c r="AE1480" s="374" t="str">
        <f t="shared" si="344"/>
        <v/>
      </c>
      <c r="AF1480" s="532" t="str">
        <f t="shared" si="345"/>
        <v/>
      </c>
    </row>
    <row r="1481" spans="2:32" x14ac:dyDescent="0.25">
      <c r="B1481" s="695"/>
      <c r="C1481" s="197" t="str">
        <f>IF(B1481&lt;&gt;"",IFERROR(VLOOKUP(B:B,'מצבת והרשמה (2)'!$C$20:$N$520,2,0)," ")," ")</f>
        <v xml:space="preserve"> </v>
      </c>
      <c r="D1481" s="695"/>
      <c r="E1481" s="696"/>
      <c r="F1481" s="696"/>
      <c r="G1481" s="696"/>
      <c r="H1481" s="696"/>
      <c r="I1481" s="1050" t="str">
        <f t="shared" si="332"/>
        <v/>
      </c>
      <c r="J1481" s="696"/>
      <c r="K1481" s="697"/>
      <c r="L1481" s="696"/>
      <c r="M1481" s="198" t="str">
        <f t="shared" si="333"/>
        <v/>
      </c>
      <c r="N1481" s="369" t="str">
        <f t="shared" si="334"/>
        <v/>
      </c>
      <c r="O1481" s="183" t="str">
        <f t="shared" si="335"/>
        <v/>
      </c>
      <c r="P1481" s="199" t="str">
        <f t="shared" si="336"/>
        <v/>
      </c>
      <c r="Q1481" s="199" t="str">
        <f>IF(B1481="","",IFERROR(IF('עלויות כח אדם (6)'!J1481&gt;=VLOOKUP(I1481,'סיווג התפקידים והעלויות'!$B$23:$C$32,2,0),"תקין","לא תקין"),""))</f>
        <v/>
      </c>
      <c r="R1481" s="199" t="str">
        <f t="shared" si="337"/>
        <v/>
      </c>
      <c r="S1481" s="199" t="str">
        <f t="shared" si="338"/>
        <v/>
      </c>
      <c r="T1481" s="199" t="str">
        <f t="shared" si="346"/>
        <v/>
      </c>
      <c r="U1481" s="199" t="str">
        <f t="shared" si="339"/>
        <v/>
      </c>
      <c r="V1481" s="989"/>
      <c r="X1481" s="374" t="str">
        <f t="shared" si="340"/>
        <v/>
      </c>
      <c r="Y1481" s="375" t="str">
        <f t="shared" si="341"/>
        <v/>
      </c>
      <c r="Z1481" s="374" t="str">
        <f t="shared" si="342"/>
        <v/>
      </c>
      <c r="AA1481" s="374" t="b">
        <f t="shared" si="343"/>
        <v>1</v>
      </c>
      <c r="AB1481" s="374">
        <f>COUNTIFS(B:B,B1481,H:H,'סיווג התפקידים והעלויות'!$C$2)</f>
        <v>0</v>
      </c>
      <c r="AC1481" s="374">
        <f>COUNTIFS(B:B,B1481,H:H,'סיווג התפקידים והעלויות'!$D$2)</f>
        <v>0</v>
      </c>
      <c r="AD1481" s="374" t="str">
        <f>IF(OR(AND(H1481='סיווג התפקידים והעלויות'!$A$2,I1481='סיווג התפקידים והעלויות'!$A$3),'עלויות כח אדם (6)'!H1481='סיווג התפקידים והעלויות'!$C$2,'עלויות כח אדם (6)'!H1481='סיווג התפקידים והעלויות'!$D$2),IF('עלויות כח אדם (6)'!J1481&lt;75,"לא תקין","תקין"),"")</f>
        <v/>
      </c>
      <c r="AE1481" s="374" t="str">
        <f t="shared" si="344"/>
        <v/>
      </c>
      <c r="AF1481" s="532" t="str">
        <f t="shared" si="345"/>
        <v/>
      </c>
    </row>
    <row r="1482" spans="2:32" x14ac:dyDescent="0.25">
      <c r="B1482" s="695"/>
      <c r="C1482" s="197" t="str">
        <f>IF(B1482&lt;&gt;"",IFERROR(VLOOKUP(B:B,'מצבת והרשמה (2)'!$C$20:$N$520,2,0)," ")," ")</f>
        <v xml:space="preserve"> </v>
      </c>
      <c r="D1482" s="695"/>
      <c r="E1482" s="696"/>
      <c r="F1482" s="696"/>
      <c r="G1482" s="696"/>
      <c r="H1482" s="696"/>
      <c r="I1482" s="1050" t="str">
        <f t="shared" si="332"/>
        <v/>
      </c>
      <c r="J1482" s="696"/>
      <c r="K1482" s="697"/>
      <c r="L1482" s="696"/>
      <c r="M1482" s="198" t="str">
        <f t="shared" si="333"/>
        <v/>
      </c>
      <c r="N1482" s="369" t="str">
        <f t="shared" si="334"/>
        <v/>
      </c>
      <c r="O1482" s="183" t="str">
        <f t="shared" si="335"/>
        <v/>
      </c>
      <c r="P1482" s="199" t="str">
        <f t="shared" si="336"/>
        <v/>
      </c>
      <c r="Q1482" s="199" t="str">
        <f>IF(B1482="","",IFERROR(IF('עלויות כח אדם (6)'!J1482&gt;=VLOOKUP(I1482,'סיווג התפקידים והעלויות'!$B$23:$C$32,2,0),"תקין","לא תקין"),""))</f>
        <v/>
      </c>
      <c r="R1482" s="199" t="str">
        <f t="shared" si="337"/>
        <v/>
      </c>
      <c r="S1482" s="199" t="str">
        <f t="shared" si="338"/>
        <v/>
      </c>
      <c r="T1482" s="199" t="str">
        <f t="shared" si="346"/>
        <v/>
      </c>
      <c r="U1482" s="199" t="str">
        <f t="shared" si="339"/>
        <v/>
      </c>
      <c r="V1482" s="989"/>
      <c r="X1482" s="374" t="str">
        <f t="shared" si="340"/>
        <v/>
      </c>
      <c r="Y1482" s="375" t="str">
        <f t="shared" si="341"/>
        <v/>
      </c>
      <c r="Z1482" s="374" t="str">
        <f t="shared" si="342"/>
        <v/>
      </c>
      <c r="AA1482" s="374" t="b">
        <f t="shared" si="343"/>
        <v>1</v>
      </c>
      <c r="AB1482" s="374">
        <f>COUNTIFS(B:B,B1482,H:H,'סיווג התפקידים והעלויות'!$C$2)</f>
        <v>0</v>
      </c>
      <c r="AC1482" s="374">
        <f>COUNTIFS(B:B,B1482,H:H,'סיווג התפקידים והעלויות'!$D$2)</f>
        <v>0</v>
      </c>
      <c r="AD1482" s="374" t="str">
        <f>IF(OR(AND(H1482='סיווג התפקידים והעלויות'!$A$2,I1482='סיווג התפקידים והעלויות'!$A$3),'עלויות כח אדם (6)'!H1482='סיווג התפקידים והעלויות'!$C$2,'עלויות כח אדם (6)'!H1482='סיווג התפקידים והעלויות'!$D$2),IF('עלויות כח אדם (6)'!J1482&lt;75,"לא תקין","תקין"),"")</f>
        <v/>
      </c>
      <c r="AE1482" s="374" t="str">
        <f t="shared" si="344"/>
        <v/>
      </c>
      <c r="AF1482" s="532" t="str">
        <f t="shared" si="345"/>
        <v/>
      </c>
    </row>
    <row r="1483" spans="2:32" x14ac:dyDescent="0.25">
      <c r="B1483" s="695"/>
      <c r="C1483" s="197" t="str">
        <f>IF(B1483&lt;&gt;"",IFERROR(VLOOKUP(B:B,'מצבת והרשמה (2)'!$C$20:$N$520,2,0)," ")," ")</f>
        <v xml:space="preserve"> </v>
      </c>
      <c r="D1483" s="695"/>
      <c r="E1483" s="696"/>
      <c r="F1483" s="696"/>
      <c r="G1483" s="696"/>
      <c r="H1483" s="696"/>
      <c r="I1483" s="1050" t="str">
        <f t="shared" si="332"/>
        <v/>
      </c>
      <c r="J1483" s="696"/>
      <c r="K1483" s="697"/>
      <c r="L1483" s="696"/>
      <c r="M1483" s="198" t="str">
        <f t="shared" si="333"/>
        <v/>
      </c>
      <c r="N1483" s="369" t="str">
        <f t="shared" si="334"/>
        <v/>
      </c>
      <c r="O1483" s="183" t="str">
        <f t="shared" si="335"/>
        <v/>
      </c>
      <c r="P1483" s="199" t="str">
        <f t="shared" si="336"/>
        <v/>
      </c>
      <c r="Q1483" s="199" t="str">
        <f>IF(B1483="","",IFERROR(IF('עלויות כח אדם (6)'!J1483&gt;=VLOOKUP(I1483,'סיווג התפקידים והעלויות'!$B$23:$C$32,2,0),"תקין","לא תקין"),""))</f>
        <v/>
      </c>
      <c r="R1483" s="199" t="str">
        <f t="shared" si="337"/>
        <v/>
      </c>
      <c r="S1483" s="199" t="str">
        <f t="shared" si="338"/>
        <v/>
      </c>
      <c r="T1483" s="199" t="str">
        <f t="shared" si="346"/>
        <v/>
      </c>
      <c r="U1483" s="199" t="str">
        <f t="shared" si="339"/>
        <v/>
      </c>
      <c r="V1483" s="989"/>
      <c r="X1483" s="374" t="str">
        <f t="shared" si="340"/>
        <v/>
      </c>
      <c r="Y1483" s="375" t="str">
        <f t="shared" si="341"/>
        <v/>
      </c>
      <c r="Z1483" s="374" t="str">
        <f t="shared" si="342"/>
        <v/>
      </c>
      <c r="AA1483" s="374" t="b">
        <f t="shared" si="343"/>
        <v>1</v>
      </c>
      <c r="AB1483" s="374">
        <f>COUNTIFS(B:B,B1483,H:H,'סיווג התפקידים והעלויות'!$C$2)</f>
        <v>0</v>
      </c>
      <c r="AC1483" s="374">
        <f>COUNTIFS(B:B,B1483,H:H,'סיווג התפקידים והעלויות'!$D$2)</f>
        <v>0</v>
      </c>
      <c r="AD1483" s="374" t="str">
        <f>IF(OR(AND(H1483='סיווג התפקידים והעלויות'!$A$2,I1483='סיווג התפקידים והעלויות'!$A$3),'עלויות כח אדם (6)'!H1483='סיווג התפקידים והעלויות'!$C$2,'עלויות כח אדם (6)'!H1483='סיווג התפקידים והעלויות'!$D$2),IF('עלויות כח אדם (6)'!J1483&lt;75,"לא תקין","תקין"),"")</f>
        <v/>
      </c>
      <c r="AE1483" s="374" t="str">
        <f t="shared" si="344"/>
        <v/>
      </c>
      <c r="AF1483" s="532" t="str">
        <f t="shared" si="345"/>
        <v/>
      </c>
    </row>
    <row r="1484" spans="2:32" x14ac:dyDescent="0.25">
      <c r="B1484" s="695"/>
      <c r="C1484" s="197" t="str">
        <f>IF(B1484&lt;&gt;"",IFERROR(VLOOKUP(B:B,'מצבת והרשמה (2)'!$C$20:$N$520,2,0)," ")," ")</f>
        <v xml:space="preserve"> </v>
      </c>
      <c r="D1484" s="695"/>
      <c r="E1484" s="696"/>
      <c r="F1484" s="696"/>
      <c r="G1484" s="696"/>
      <c r="H1484" s="696"/>
      <c r="I1484" s="1050" t="str">
        <f t="shared" si="332"/>
        <v/>
      </c>
      <c r="J1484" s="696"/>
      <c r="K1484" s="697"/>
      <c r="L1484" s="696"/>
      <c r="M1484" s="198" t="str">
        <f t="shared" si="333"/>
        <v/>
      </c>
      <c r="N1484" s="369" t="str">
        <f t="shared" si="334"/>
        <v/>
      </c>
      <c r="O1484" s="183" t="str">
        <f t="shared" si="335"/>
        <v/>
      </c>
      <c r="P1484" s="199" t="str">
        <f t="shared" si="336"/>
        <v/>
      </c>
      <c r="Q1484" s="199" t="str">
        <f>IF(B1484="","",IFERROR(IF('עלויות כח אדם (6)'!J1484&gt;=VLOOKUP(I1484,'סיווג התפקידים והעלויות'!$B$23:$C$32,2,0),"תקין","לא תקין"),""))</f>
        <v/>
      </c>
      <c r="R1484" s="199" t="str">
        <f t="shared" si="337"/>
        <v/>
      </c>
      <c r="S1484" s="199" t="str">
        <f t="shared" si="338"/>
        <v/>
      </c>
      <c r="T1484" s="199" t="str">
        <f t="shared" si="346"/>
        <v/>
      </c>
      <c r="U1484" s="199" t="str">
        <f t="shared" si="339"/>
        <v/>
      </c>
      <c r="V1484" s="989"/>
      <c r="X1484" s="374" t="str">
        <f t="shared" si="340"/>
        <v/>
      </c>
      <c r="Y1484" s="375" t="str">
        <f t="shared" si="341"/>
        <v/>
      </c>
      <c r="Z1484" s="374" t="str">
        <f t="shared" si="342"/>
        <v/>
      </c>
      <c r="AA1484" s="374" t="b">
        <f t="shared" si="343"/>
        <v>1</v>
      </c>
      <c r="AB1484" s="374">
        <f>COUNTIFS(B:B,B1484,H:H,'סיווג התפקידים והעלויות'!$C$2)</f>
        <v>0</v>
      </c>
      <c r="AC1484" s="374">
        <f>COUNTIFS(B:B,B1484,H:H,'סיווג התפקידים והעלויות'!$D$2)</f>
        <v>0</v>
      </c>
      <c r="AD1484" s="374" t="str">
        <f>IF(OR(AND(H1484='סיווג התפקידים והעלויות'!$A$2,I1484='סיווג התפקידים והעלויות'!$A$3),'עלויות כח אדם (6)'!H1484='סיווג התפקידים והעלויות'!$C$2,'עלויות כח אדם (6)'!H1484='סיווג התפקידים והעלויות'!$D$2),IF('עלויות כח אדם (6)'!J1484&lt;75,"לא תקין","תקין"),"")</f>
        <v/>
      </c>
      <c r="AE1484" s="374" t="str">
        <f t="shared" si="344"/>
        <v/>
      </c>
      <c r="AF1484" s="532" t="str">
        <f t="shared" si="345"/>
        <v/>
      </c>
    </row>
    <row r="1485" spans="2:32" x14ac:dyDescent="0.25">
      <c r="B1485" s="695"/>
      <c r="C1485" s="197" t="str">
        <f>IF(B1485&lt;&gt;"",IFERROR(VLOOKUP(B:B,'מצבת והרשמה (2)'!$C$20:$N$520,2,0)," ")," ")</f>
        <v xml:space="preserve"> </v>
      </c>
      <c r="D1485" s="695"/>
      <c r="E1485" s="696"/>
      <c r="F1485" s="696"/>
      <c r="G1485" s="696"/>
      <c r="H1485" s="696"/>
      <c r="I1485" s="1050" t="str">
        <f t="shared" si="332"/>
        <v/>
      </c>
      <c r="J1485" s="696"/>
      <c r="K1485" s="697"/>
      <c r="L1485" s="696"/>
      <c r="M1485" s="198" t="str">
        <f t="shared" si="333"/>
        <v/>
      </c>
      <c r="N1485" s="369" t="str">
        <f t="shared" si="334"/>
        <v/>
      </c>
      <c r="O1485" s="183" t="str">
        <f t="shared" si="335"/>
        <v/>
      </c>
      <c r="P1485" s="199" t="str">
        <f t="shared" si="336"/>
        <v/>
      </c>
      <c r="Q1485" s="199" t="str">
        <f>IF(B1485="","",IFERROR(IF('עלויות כח אדם (6)'!J1485&gt;=VLOOKUP(I1485,'סיווג התפקידים והעלויות'!$B$23:$C$32,2,0),"תקין","לא תקין"),""))</f>
        <v/>
      </c>
      <c r="R1485" s="199" t="str">
        <f t="shared" si="337"/>
        <v/>
      </c>
      <c r="S1485" s="199" t="str">
        <f t="shared" si="338"/>
        <v/>
      </c>
      <c r="T1485" s="199" t="str">
        <f t="shared" si="346"/>
        <v/>
      </c>
      <c r="U1485" s="199" t="str">
        <f t="shared" si="339"/>
        <v/>
      </c>
      <c r="V1485" s="989"/>
      <c r="X1485" s="374" t="str">
        <f t="shared" si="340"/>
        <v/>
      </c>
      <c r="Y1485" s="375" t="str">
        <f t="shared" si="341"/>
        <v/>
      </c>
      <c r="Z1485" s="374" t="str">
        <f t="shared" si="342"/>
        <v/>
      </c>
      <c r="AA1485" s="374" t="b">
        <f t="shared" si="343"/>
        <v>1</v>
      </c>
      <c r="AB1485" s="374">
        <f>COUNTIFS(B:B,B1485,H:H,'סיווג התפקידים והעלויות'!$C$2)</f>
        <v>0</v>
      </c>
      <c r="AC1485" s="374">
        <f>COUNTIFS(B:B,B1485,H:H,'סיווג התפקידים והעלויות'!$D$2)</f>
        <v>0</v>
      </c>
      <c r="AD1485" s="374" t="str">
        <f>IF(OR(AND(H1485='סיווג התפקידים והעלויות'!$A$2,I1485='סיווג התפקידים והעלויות'!$A$3),'עלויות כח אדם (6)'!H1485='סיווג התפקידים והעלויות'!$C$2,'עלויות כח אדם (6)'!H1485='סיווג התפקידים והעלויות'!$D$2),IF('עלויות כח אדם (6)'!J1485&lt;75,"לא תקין","תקין"),"")</f>
        <v/>
      </c>
      <c r="AE1485" s="374" t="str">
        <f t="shared" si="344"/>
        <v/>
      </c>
      <c r="AF1485" s="532" t="str">
        <f t="shared" si="345"/>
        <v/>
      </c>
    </row>
    <row r="1486" spans="2:32" x14ac:dyDescent="0.25">
      <c r="B1486" s="695"/>
      <c r="C1486" s="197" t="str">
        <f>IF(B1486&lt;&gt;"",IFERROR(VLOOKUP(B:B,'מצבת והרשמה (2)'!$C$20:$N$520,2,0)," ")," ")</f>
        <v xml:space="preserve"> </v>
      </c>
      <c r="D1486" s="695"/>
      <c r="E1486" s="696"/>
      <c r="F1486" s="696"/>
      <c r="G1486" s="696"/>
      <c r="H1486" s="696"/>
      <c r="I1486" s="1050" t="str">
        <f t="shared" si="332"/>
        <v/>
      </c>
      <c r="J1486" s="696"/>
      <c r="K1486" s="697"/>
      <c r="L1486" s="696"/>
      <c r="M1486" s="198" t="str">
        <f t="shared" si="333"/>
        <v/>
      </c>
      <c r="N1486" s="369" t="str">
        <f t="shared" si="334"/>
        <v/>
      </c>
      <c r="O1486" s="183" t="str">
        <f t="shared" si="335"/>
        <v/>
      </c>
      <c r="P1486" s="199" t="str">
        <f t="shared" si="336"/>
        <v/>
      </c>
      <c r="Q1486" s="199" t="str">
        <f>IF(B1486="","",IFERROR(IF('עלויות כח אדם (6)'!J1486&gt;=VLOOKUP(I1486,'סיווג התפקידים והעלויות'!$B$23:$C$32,2,0),"תקין","לא תקין"),""))</f>
        <v/>
      </c>
      <c r="R1486" s="199" t="str">
        <f t="shared" si="337"/>
        <v/>
      </c>
      <c r="S1486" s="199" t="str">
        <f t="shared" si="338"/>
        <v/>
      </c>
      <c r="T1486" s="199" t="str">
        <f t="shared" si="346"/>
        <v/>
      </c>
      <c r="U1486" s="199" t="str">
        <f t="shared" si="339"/>
        <v/>
      </c>
      <c r="V1486" s="989"/>
      <c r="X1486" s="374" t="str">
        <f t="shared" si="340"/>
        <v/>
      </c>
      <c r="Y1486" s="375" t="str">
        <f t="shared" si="341"/>
        <v/>
      </c>
      <c r="Z1486" s="374" t="str">
        <f t="shared" si="342"/>
        <v/>
      </c>
      <c r="AA1486" s="374" t="b">
        <f t="shared" si="343"/>
        <v>1</v>
      </c>
      <c r="AB1486" s="374">
        <f>COUNTIFS(B:B,B1486,H:H,'סיווג התפקידים והעלויות'!$C$2)</f>
        <v>0</v>
      </c>
      <c r="AC1486" s="374">
        <f>COUNTIFS(B:B,B1486,H:H,'סיווג התפקידים והעלויות'!$D$2)</f>
        <v>0</v>
      </c>
      <c r="AD1486" s="374" t="str">
        <f>IF(OR(AND(H1486='סיווג התפקידים והעלויות'!$A$2,I1486='סיווג התפקידים והעלויות'!$A$3),'עלויות כח אדם (6)'!H1486='סיווג התפקידים והעלויות'!$C$2,'עלויות כח אדם (6)'!H1486='סיווג התפקידים והעלויות'!$D$2),IF('עלויות כח אדם (6)'!J1486&lt;75,"לא תקין","תקין"),"")</f>
        <v/>
      </c>
      <c r="AE1486" s="374" t="str">
        <f t="shared" si="344"/>
        <v/>
      </c>
      <c r="AF1486" s="532" t="str">
        <f t="shared" si="345"/>
        <v/>
      </c>
    </row>
    <row r="1487" spans="2:32" x14ac:dyDescent="0.25">
      <c r="B1487" s="695"/>
      <c r="C1487" s="197" t="str">
        <f>IF(B1487&lt;&gt;"",IFERROR(VLOOKUP(B:B,'מצבת והרשמה (2)'!$C$20:$N$520,2,0)," ")," ")</f>
        <v xml:space="preserve"> </v>
      </c>
      <c r="D1487" s="695"/>
      <c r="E1487" s="696"/>
      <c r="F1487" s="696"/>
      <c r="G1487" s="696"/>
      <c r="H1487" s="696"/>
      <c r="I1487" s="1050" t="str">
        <f t="shared" ref="I1487:I1550" si="347">SUBSTITUTE(IFERROR(IF(H1487="מדצ","מדצ/ית",IF(H1487="סגנית רכזת מעל 150","סגנ/ית רכז/ת&gt;150",IF(H1487="רכזת תכנית בבית הספר","רכז/ת תכנית בבית הספר"))),""),"FALSE","")</f>
        <v/>
      </c>
      <c r="J1487" s="696"/>
      <c r="K1487" s="697"/>
      <c r="L1487" s="696"/>
      <c r="M1487" s="198" t="str">
        <f t="shared" ref="M1487:M1550" si="348">IF(AND(L1487&gt;0,K1487&gt;0),K1487*L1487,"")</f>
        <v/>
      </c>
      <c r="N1487" s="369" t="str">
        <f t="shared" ref="N1487:N1550" si="349">TEXT(LEFT(H1487,2),0)</f>
        <v/>
      </c>
      <c r="O1487" s="183" t="str">
        <f t="shared" ref="O1487:O1550" si="350">IF(ISNUMBER(M1487&gt;0),IF(ISBLANK(B1487),"יש להזין סמל מוסד בעמודה B",""),"")</f>
        <v/>
      </c>
      <c r="P1487" s="199" t="str">
        <f t="shared" ref="P1487:P1550" si="351">IF(B1487="","",IF(AA1487=FALSE,"לא תקין","תקין"))</f>
        <v/>
      </c>
      <c r="Q1487" s="199" t="str">
        <f>IF(B1487="","",IFERROR(IF('עלויות כח אדם (6)'!J1487&gt;=VLOOKUP(I1487,'סיווג התפקידים והעלויות'!$B$23:$C$32,2,0),"תקין","לא תקין"),""))</f>
        <v/>
      </c>
      <c r="R1487" s="199" t="str">
        <f t="shared" ref="R1487:R1550" si="352">IF(B1487="","",IF(OR(Y1487&lt;100%,Y1487&gt;140%),"לא תקין","תקין"))</f>
        <v/>
      </c>
      <c r="S1487" s="199" t="str">
        <f t="shared" ref="S1487:S1550" si="353">IF(B1487="","",IFERROR(IF(J1487&gt;120,"לא תקין","תקין"),""))</f>
        <v/>
      </c>
      <c r="T1487" s="199" t="str">
        <f t="shared" si="346"/>
        <v/>
      </c>
      <c r="U1487" s="199" t="str">
        <f t="shared" ref="U1487:U1550" si="354">IF(B1487="","",IF(Z1487&gt;1,IF(SUMIF(D:D,D1487,L:L)&gt;90,"לא תקין","תקין"),"תקין"))</f>
        <v/>
      </c>
      <c r="V1487" s="989"/>
      <c r="X1487" s="374" t="str">
        <f t="shared" ref="X1487:X1550" si="355">IF(B1487="","",IF(OR(R1487="לא תקין",S1487="לא תקין",T1487="לא תקין",,U1487="לא תקין"),"לא תקין","תקין"))</f>
        <v/>
      </c>
      <c r="Y1487" s="375" t="str">
        <f t="shared" ref="Y1487:Y1550" si="356">IFERROR(IF(B1487="","",K1487/J1487),"")</f>
        <v/>
      </c>
      <c r="Z1487" s="374" t="str">
        <f t="shared" ref="Z1487:Z1550" si="357">IF(B1487="","",COUNTIF(D:D,D1487))</f>
        <v/>
      </c>
      <c r="AA1487" s="374" t="b">
        <f t="shared" ref="AA1487:AA1550" si="358">MOD(MID(REPT(0,9-LEN(D1487))&amp;D1487,1,1)+MID("0246813579",MID(REPT(0,9-LEN(D1487))&amp;D1487,2,1)+1,1)+MID(REPT(0,9-LEN(D1487))&amp;D1487,3,1)+MID("0246813579",MID(REPT(0,9-LEN(D1487))&amp;D1487,4,1)+1,1)+MID(REPT(0,9-LEN(D1487))&amp;D1487,5,1)+MID("0246813579",MID(REPT(0,9-LEN(D1487))&amp;D1487,6,1)+1,1)+MID(REPT(0,9-LEN(D1487))&amp;D1487,7,1)+MID("0246813579",MID(REPT(0,9-LEN(D1487))&amp;D1487,8,1)+1,1)+MID(REPT(0,9-LEN(D1487))&amp;D1487,9,1),10)=0</f>
        <v>1</v>
      </c>
      <c r="AB1487" s="374">
        <f>COUNTIFS(B:B,B1487,H:H,'סיווג התפקידים והעלויות'!$C$2)</f>
        <v>0</v>
      </c>
      <c r="AC1487" s="374">
        <f>COUNTIFS(B:B,B1487,H:H,'סיווג התפקידים והעלויות'!$D$2)</f>
        <v>0</v>
      </c>
      <c r="AD1487" s="374" t="str">
        <f>IF(OR(AND(H1487='סיווג התפקידים והעלויות'!$A$2,I1487='סיווג התפקידים והעלויות'!$A$3),'עלויות כח אדם (6)'!H1487='סיווג התפקידים והעלויות'!$C$2,'עלויות כח אדם (6)'!H1487='סיווג התפקידים והעלויות'!$D$2),IF('עלויות כח אדם (6)'!J1487&lt;75,"לא תקין","תקין"),"")</f>
        <v/>
      </c>
      <c r="AE1487" s="374" t="str">
        <f t="shared" ref="AE1487:AE1550" si="359">IF(B1487&lt;&gt;"",B1487&amp;H1487,"")</f>
        <v/>
      </c>
      <c r="AF1487" s="532" t="str">
        <f t="shared" ref="AF1487:AF1550" si="360">M1487</f>
        <v/>
      </c>
    </row>
    <row r="1488" spans="2:32" x14ac:dyDescent="0.25">
      <c r="B1488" s="695"/>
      <c r="C1488" s="197" t="str">
        <f>IF(B1488&lt;&gt;"",IFERROR(VLOOKUP(B:B,'מצבת והרשמה (2)'!$C$20:$N$520,2,0)," ")," ")</f>
        <v xml:space="preserve"> </v>
      </c>
      <c r="D1488" s="695"/>
      <c r="E1488" s="696"/>
      <c r="F1488" s="696"/>
      <c r="G1488" s="696"/>
      <c r="H1488" s="696"/>
      <c r="I1488" s="1050" t="str">
        <f t="shared" si="347"/>
        <v/>
      </c>
      <c r="J1488" s="696"/>
      <c r="K1488" s="697"/>
      <c r="L1488" s="696"/>
      <c r="M1488" s="198" t="str">
        <f t="shared" si="348"/>
        <v/>
      </c>
      <c r="N1488" s="369" t="str">
        <f t="shared" si="349"/>
        <v/>
      </c>
      <c r="O1488" s="183" t="str">
        <f t="shared" si="350"/>
        <v/>
      </c>
      <c r="P1488" s="199" t="str">
        <f t="shared" si="351"/>
        <v/>
      </c>
      <c r="Q1488" s="199" t="str">
        <f>IF(B1488="","",IFERROR(IF('עלויות כח אדם (6)'!J1488&gt;=VLOOKUP(I1488,'סיווג התפקידים והעלויות'!$B$23:$C$32,2,0),"תקין","לא תקין"),""))</f>
        <v/>
      </c>
      <c r="R1488" s="199" t="str">
        <f t="shared" si="352"/>
        <v/>
      </c>
      <c r="S1488" s="199" t="str">
        <f t="shared" si="353"/>
        <v/>
      </c>
      <c r="T1488" s="199" t="str">
        <f t="shared" ref="T1488:T1551" si="361">IF(B1488="","",IF(H1488="","יש להזין איש צוות",IF(OR(H1488="מורה",H1488="גננת",H1488="רכז גן",H1488="רכזת גן",H1488="סייעת",H1488="מדצית",H1488="מדצ",H1488="מדריך",H1488="מדריכה",H1488="תוספת כח אדם"),IF(L1488&lt;=90,"תקין","לא תקין"),IF(OR(H1488="רכז בית ספר",H1488="רכזת תכנית בבית הספר",H1488="רכזת בית ספר"),IF(L1488&lt;=137,"תקין","לא תקין"),IF(OR(H1488="סגנית רכזת מעל 150",H1488="סגן רכז"),IF(L1488&lt;=93,"תקין","לא תקין"),"לא תקין")))))</f>
        <v/>
      </c>
      <c r="U1488" s="199" t="str">
        <f t="shared" si="354"/>
        <v/>
      </c>
      <c r="V1488" s="989"/>
      <c r="X1488" s="374" t="str">
        <f t="shared" si="355"/>
        <v/>
      </c>
      <c r="Y1488" s="375" t="str">
        <f t="shared" si="356"/>
        <v/>
      </c>
      <c r="Z1488" s="374" t="str">
        <f t="shared" si="357"/>
        <v/>
      </c>
      <c r="AA1488" s="374" t="b">
        <f t="shared" si="358"/>
        <v>1</v>
      </c>
      <c r="AB1488" s="374">
        <f>COUNTIFS(B:B,B1488,H:H,'סיווג התפקידים והעלויות'!$C$2)</f>
        <v>0</v>
      </c>
      <c r="AC1488" s="374">
        <f>COUNTIFS(B:B,B1488,H:H,'סיווג התפקידים והעלויות'!$D$2)</f>
        <v>0</v>
      </c>
      <c r="AD1488" s="374" t="str">
        <f>IF(OR(AND(H1488='סיווג התפקידים והעלויות'!$A$2,I1488='סיווג התפקידים והעלויות'!$A$3),'עלויות כח אדם (6)'!H1488='סיווג התפקידים והעלויות'!$C$2,'עלויות כח אדם (6)'!H1488='סיווג התפקידים והעלויות'!$D$2),IF('עלויות כח אדם (6)'!J1488&lt;75,"לא תקין","תקין"),"")</f>
        <v/>
      </c>
      <c r="AE1488" s="374" t="str">
        <f t="shared" si="359"/>
        <v/>
      </c>
      <c r="AF1488" s="532" t="str">
        <f t="shared" si="360"/>
        <v/>
      </c>
    </row>
    <row r="1489" spans="2:32" x14ac:dyDescent="0.25">
      <c r="B1489" s="695"/>
      <c r="C1489" s="197" t="str">
        <f>IF(B1489&lt;&gt;"",IFERROR(VLOOKUP(B:B,'מצבת והרשמה (2)'!$C$20:$N$520,2,0)," ")," ")</f>
        <v xml:space="preserve"> </v>
      </c>
      <c r="D1489" s="695"/>
      <c r="E1489" s="696"/>
      <c r="F1489" s="696"/>
      <c r="G1489" s="696"/>
      <c r="H1489" s="696"/>
      <c r="I1489" s="1050" t="str">
        <f t="shared" si="347"/>
        <v/>
      </c>
      <c r="J1489" s="696"/>
      <c r="K1489" s="697"/>
      <c r="L1489" s="696"/>
      <c r="M1489" s="198" t="str">
        <f t="shared" si="348"/>
        <v/>
      </c>
      <c r="N1489" s="369" t="str">
        <f t="shared" si="349"/>
        <v/>
      </c>
      <c r="O1489" s="183" t="str">
        <f t="shared" si="350"/>
        <v/>
      </c>
      <c r="P1489" s="199" t="str">
        <f t="shared" si="351"/>
        <v/>
      </c>
      <c r="Q1489" s="199" t="str">
        <f>IF(B1489="","",IFERROR(IF('עלויות כח אדם (6)'!J1489&gt;=VLOOKUP(I1489,'סיווג התפקידים והעלויות'!$B$23:$C$32,2,0),"תקין","לא תקין"),""))</f>
        <v/>
      </c>
      <c r="R1489" s="199" t="str">
        <f t="shared" si="352"/>
        <v/>
      </c>
      <c r="S1489" s="199" t="str">
        <f t="shared" si="353"/>
        <v/>
      </c>
      <c r="T1489" s="199" t="str">
        <f t="shared" si="361"/>
        <v/>
      </c>
      <c r="U1489" s="199" t="str">
        <f t="shared" si="354"/>
        <v/>
      </c>
      <c r="V1489" s="989"/>
      <c r="X1489" s="374" t="str">
        <f t="shared" si="355"/>
        <v/>
      </c>
      <c r="Y1489" s="375" t="str">
        <f t="shared" si="356"/>
        <v/>
      </c>
      <c r="Z1489" s="374" t="str">
        <f t="shared" si="357"/>
        <v/>
      </c>
      <c r="AA1489" s="374" t="b">
        <f t="shared" si="358"/>
        <v>1</v>
      </c>
      <c r="AB1489" s="374">
        <f>COUNTIFS(B:B,B1489,H:H,'סיווג התפקידים והעלויות'!$C$2)</f>
        <v>0</v>
      </c>
      <c r="AC1489" s="374">
        <f>COUNTIFS(B:B,B1489,H:H,'סיווג התפקידים והעלויות'!$D$2)</f>
        <v>0</v>
      </c>
      <c r="AD1489" s="374" t="str">
        <f>IF(OR(AND(H1489='סיווג התפקידים והעלויות'!$A$2,I1489='סיווג התפקידים והעלויות'!$A$3),'עלויות כח אדם (6)'!H1489='סיווג התפקידים והעלויות'!$C$2,'עלויות כח אדם (6)'!H1489='סיווג התפקידים והעלויות'!$D$2),IF('עלויות כח אדם (6)'!J1489&lt;75,"לא תקין","תקין"),"")</f>
        <v/>
      </c>
      <c r="AE1489" s="374" t="str">
        <f t="shared" si="359"/>
        <v/>
      </c>
      <c r="AF1489" s="532" t="str">
        <f t="shared" si="360"/>
        <v/>
      </c>
    </row>
    <row r="1490" spans="2:32" x14ac:dyDescent="0.25">
      <c r="B1490" s="695"/>
      <c r="C1490" s="197" t="str">
        <f>IF(B1490&lt;&gt;"",IFERROR(VLOOKUP(B:B,'מצבת והרשמה (2)'!$C$20:$N$520,2,0)," ")," ")</f>
        <v xml:space="preserve"> </v>
      </c>
      <c r="D1490" s="695"/>
      <c r="E1490" s="696"/>
      <c r="F1490" s="696"/>
      <c r="G1490" s="696"/>
      <c r="H1490" s="696"/>
      <c r="I1490" s="1050" t="str">
        <f t="shared" si="347"/>
        <v/>
      </c>
      <c r="J1490" s="696"/>
      <c r="K1490" s="697"/>
      <c r="L1490" s="696"/>
      <c r="M1490" s="198" t="str">
        <f t="shared" si="348"/>
        <v/>
      </c>
      <c r="N1490" s="369" t="str">
        <f t="shared" si="349"/>
        <v/>
      </c>
      <c r="O1490" s="183" t="str">
        <f t="shared" si="350"/>
        <v/>
      </c>
      <c r="P1490" s="199" t="str">
        <f t="shared" si="351"/>
        <v/>
      </c>
      <c r="Q1490" s="199" t="str">
        <f>IF(B1490="","",IFERROR(IF('עלויות כח אדם (6)'!J1490&gt;=VLOOKUP(I1490,'סיווג התפקידים והעלויות'!$B$23:$C$32,2,0),"תקין","לא תקין"),""))</f>
        <v/>
      </c>
      <c r="R1490" s="199" t="str">
        <f t="shared" si="352"/>
        <v/>
      </c>
      <c r="S1490" s="199" t="str">
        <f t="shared" si="353"/>
        <v/>
      </c>
      <c r="T1490" s="199" t="str">
        <f t="shared" si="361"/>
        <v/>
      </c>
      <c r="U1490" s="199" t="str">
        <f t="shared" si="354"/>
        <v/>
      </c>
      <c r="V1490" s="989"/>
      <c r="X1490" s="374" t="str">
        <f t="shared" si="355"/>
        <v/>
      </c>
      <c r="Y1490" s="375" t="str">
        <f t="shared" si="356"/>
        <v/>
      </c>
      <c r="Z1490" s="374" t="str">
        <f t="shared" si="357"/>
        <v/>
      </c>
      <c r="AA1490" s="374" t="b">
        <f t="shared" si="358"/>
        <v>1</v>
      </c>
      <c r="AB1490" s="374">
        <f>COUNTIFS(B:B,B1490,H:H,'סיווג התפקידים והעלויות'!$C$2)</f>
        <v>0</v>
      </c>
      <c r="AC1490" s="374">
        <f>COUNTIFS(B:B,B1490,H:H,'סיווג התפקידים והעלויות'!$D$2)</f>
        <v>0</v>
      </c>
      <c r="AD1490" s="374" t="str">
        <f>IF(OR(AND(H1490='סיווג התפקידים והעלויות'!$A$2,I1490='סיווג התפקידים והעלויות'!$A$3),'עלויות כח אדם (6)'!H1490='סיווג התפקידים והעלויות'!$C$2,'עלויות כח אדם (6)'!H1490='סיווג התפקידים והעלויות'!$D$2),IF('עלויות כח אדם (6)'!J1490&lt;75,"לא תקין","תקין"),"")</f>
        <v/>
      </c>
      <c r="AE1490" s="374" t="str">
        <f t="shared" si="359"/>
        <v/>
      </c>
      <c r="AF1490" s="532" t="str">
        <f t="shared" si="360"/>
        <v/>
      </c>
    </row>
    <row r="1491" spans="2:32" x14ac:dyDescent="0.25">
      <c r="B1491" s="695"/>
      <c r="C1491" s="197" t="str">
        <f>IF(B1491&lt;&gt;"",IFERROR(VLOOKUP(B:B,'מצבת והרשמה (2)'!$C$20:$N$520,2,0)," ")," ")</f>
        <v xml:space="preserve"> </v>
      </c>
      <c r="D1491" s="695"/>
      <c r="E1491" s="696"/>
      <c r="F1491" s="696"/>
      <c r="G1491" s="696"/>
      <c r="H1491" s="696"/>
      <c r="I1491" s="1050" t="str">
        <f t="shared" si="347"/>
        <v/>
      </c>
      <c r="J1491" s="696"/>
      <c r="K1491" s="697"/>
      <c r="L1491" s="696"/>
      <c r="M1491" s="198" t="str">
        <f t="shared" si="348"/>
        <v/>
      </c>
      <c r="N1491" s="369" t="str">
        <f t="shared" si="349"/>
        <v/>
      </c>
      <c r="O1491" s="183" t="str">
        <f t="shared" si="350"/>
        <v/>
      </c>
      <c r="P1491" s="199" t="str">
        <f t="shared" si="351"/>
        <v/>
      </c>
      <c r="Q1491" s="199" t="str">
        <f>IF(B1491="","",IFERROR(IF('עלויות כח אדם (6)'!J1491&gt;=VLOOKUP(I1491,'סיווג התפקידים והעלויות'!$B$23:$C$32,2,0),"תקין","לא תקין"),""))</f>
        <v/>
      </c>
      <c r="R1491" s="199" t="str">
        <f t="shared" si="352"/>
        <v/>
      </c>
      <c r="S1491" s="199" t="str">
        <f t="shared" si="353"/>
        <v/>
      </c>
      <c r="T1491" s="199" t="str">
        <f t="shared" si="361"/>
        <v/>
      </c>
      <c r="U1491" s="199" t="str">
        <f t="shared" si="354"/>
        <v/>
      </c>
      <c r="V1491" s="989"/>
      <c r="X1491" s="374" t="str">
        <f t="shared" si="355"/>
        <v/>
      </c>
      <c r="Y1491" s="375" t="str">
        <f t="shared" si="356"/>
        <v/>
      </c>
      <c r="Z1491" s="374" t="str">
        <f t="shared" si="357"/>
        <v/>
      </c>
      <c r="AA1491" s="374" t="b">
        <f t="shared" si="358"/>
        <v>1</v>
      </c>
      <c r="AB1491" s="374">
        <f>COUNTIFS(B:B,B1491,H:H,'סיווג התפקידים והעלויות'!$C$2)</f>
        <v>0</v>
      </c>
      <c r="AC1491" s="374">
        <f>COUNTIFS(B:B,B1491,H:H,'סיווג התפקידים והעלויות'!$D$2)</f>
        <v>0</v>
      </c>
      <c r="AD1491" s="374" t="str">
        <f>IF(OR(AND(H1491='סיווג התפקידים והעלויות'!$A$2,I1491='סיווג התפקידים והעלויות'!$A$3),'עלויות כח אדם (6)'!H1491='סיווג התפקידים והעלויות'!$C$2,'עלויות כח אדם (6)'!H1491='סיווג התפקידים והעלויות'!$D$2),IF('עלויות כח אדם (6)'!J1491&lt;75,"לא תקין","תקין"),"")</f>
        <v/>
      </c>
      <c r="AE1491" s="374" t="str">
        <f t="shared" si="359"/>
        <v/>
      </c>
      <c r="AF1491" s="532" t="str">
        <f t="shared" si="360"/>
        <v/>
      </c>
    </row>
    <row r="1492" spans="2:32" x14ac:dyDescent="0.25">
      <c r="B1492" s="695"/>
      <c r="C1492" s="197" t="str">
        <f>IF(B1492&lt;&gt;"",IFERROR(VLOOKUP(B:B,'מצבת והרשמה (2)'!$C$20:$N$520,2,0)," ")," ")</f>
        <v xml:space="preserve"> </v>
      </c>
      <c r="D1492" s="695"/>
      <c r="E1492" s="696"/>
      <c r="F1492" s="696"/>
      <c r="G1492" s="696"/>
      <c r="H1492" s="696"/>
      <c r="I1492" s="1050" t="str">
        <f t="shared" si="347"/>
        <v/>
      </c>
      <c r="J1492" s="696"/>
      <c r="K1492" s="697"/>
      <c r="L1492" s="696"/>
      <c r="M1492" s="198" t="str">
        <f t="shared" si="348"/>
        <v/>
      </c>
      <c r="N1492" s="369" t="str">
        <f t="shared" si="349"/>
        <v/>
      </c>
      <c r="O1492" s="183" t="str">
        <f t="shared" si="350"/>
        <v/>
      </c>
      <c r="P1492" s="199" t="str">
        <f t="shared" si="351"/>
        <v/>
      </c>
      <c r="Q1492" s="199" t="str">
        <f>IF(B1492="","",IFERROR(IF('עלויות כח אדם (6)'!J1492&gt;=VLOOKUP(I1492,'סיווג התפקידים והעלויות'!$B$23:$C$32,2,0),"תקין","לא תקין"),""))</f>
        <v/>
      </c>
      <c r="R1492" s="199" t="str">
        <f t="shared" si="352"/>
        <v/>
      </c>
      <c r="S1492" s="199" t="str">
        <f t="shared" si="353"/>
        <v/>
      </c>
      <c r="T1492" s="199" t="str">
        <f t="shared" si="361"/>
        <v/>
      </c>
      <c r="U1492" s="199" t="str">
        <f t="shared" si="354"/>
        <v/>
      </c>
      <c r="V1492" s="989"/>
      <c r="X1492" s="374" t="str">
        <f t="shared" si="355"/>
        <v/>
      </c>
      <c r="Y1492" s="375" t="str">
        <f t="shared" si="356"/>
        <v/>
      </c>
      <c r="Z1492" s="374" t="str">
        <f t="shared" si="357"/>
        <v/>
      </c>
      <c r="AA1492" s="374" t="b">
        <f t="shared" si="358"/>
        <v>1</v>
      </c>
      <c r="AB1492" s="374">
        <f>COUNTIFS(B:B,B1492,H:H,'סיווג התפקידים והעלויות'!$C$2)</f>
        <v>0</v>
      </c>
      <c r="AC1492" s="374">
        <f>COUNTIFS(B:B,B1492,H:H,'סיווג התפקידים והעלויות'!$D$2)</f>
        <v>0</v>
      </c>
      <c r="AD1492" s="374" t="str">
        <f>IF(OR(AND(H1492='סיווג התפקידים והעלויות'!$A$2,I1492='סיווג התפקידים והעלויות'!$A$3),'עלויות כח אדם (6)'!H1492='סיווג התפקידים והעלויות'!$C$2,'עלויות כח אדם (6)'!H1492='סיווג התפקידים והעלויות'!$D$2),IF('עלויות כח אדם (6)'!J1492&lt;75,"לא תקין","תקין"),"")</f>
        <v/>
      </c>
      <c r="AE1492" s="374" t="str">
        <f t="shared" si="359"/>
        <v/>
      </c>
      <c r="AF1492" s="532" t="str">
        <f t="shared" si="360"/>
        <v/>
      </c>
    </row>
    <row r="1493" spans="2:32" x14ac:dyDescent="0.25">
      <c r="B1493" s="695"/>
      <c r="C1493" s="197" t="str">
        <f>IF(B1493&lt;&gt;"",IFERROR(VLOOKUP(B:B,'מצבת והרשמה (2)'!$C$20:$N$520,2,0)," ")," ")</f>
        <v xml:space="preserve"> </v>
      </c>
      <c r="D1493" s="695"/>
      <c r="E1493" s="696"/>
      <c r="F1493" s="696"/>
      <c r="G1493" s="696"/>
      <c r="H1493" s="696"/>
      <c r="I1493" s="1050" t="str">
        <f t="shared" si="347"/>
        <v/>
      </c>
      <c r="J1493" s="696"/>
      <c r="K1493" s="697"/>
      <c r="L1493" s="696"/>
      <c r="M1493" s="198" t="str">
        <f t="shared" si="348"/>
        <v/>
      </c>
      <c r="N1493" s="369" t="str">
        <f t="shared" si="349"/>
        <v/>
      </c>
      <c r="O1493" s="183" t="str">
        <f t="shared" si="350"/>
        <v/>
      </c>
      <c r="P1493" s="199" t="str">
        <f t="shared" si="351"/>
        <v/>
      </c>
      <c r="Q1493" s="199" t="str">
        <f>IF(B1493="","",IFERROR(IF('עלויות כח אדם (6)'!J1493&gt;=VLOOKUP(I1493,'סיווג התפקידים והעלויות'!$B$23:$C$32,2,0),"תקין","לא תקין"),""))</f>
        <v/>
      </c>
      <c r="R1493" s="199" t="str">
        <f t="shared" si="352"/>
        <v/>
      </c>
      <c r="S1493" s="199" t="str">
        <f t="shared" si="353"/>
        <v/>
      </c>
      <c r="T1493" s="199" t="str">
        <f t="shared" si="361"/>
        <v/>
      </c>
      <c r="U1493" s="199" t="str">
        <f t="shared" si="354"/>
        <v/>
      </c>
      <c r="V1493" s="989"/>
      <c r="X1493" s="374" t="str">
        <f t="shared" si="355"/>
        <v/>
      </c>
      <c r="Y1493" s="375" t="str">
        <f t="shared" si="356"/>
        <v/>
      </c>
      <c r="Z1493" s="374" t="str">
        <f t="shared" si="357"/>
        <v/>
      </c>
      <c r="AA1493" s="374" t="b">
        <f t="shared" si="358"/>
        <v>1</v>
      </c>
      <c r="AB1493" s="374">
        <f>COUNTIFS(B:B,B1493,H:H,'סיווג התפקידים והעלויות'!$C$2)</f>
        <v>0</v>
      </c>
      <c r="AC1493" s="374">
        <f>COUNTIFS(B:B,B1493,H:H,'סיווג התפקידים והעלויות'!$D$2)</f>
        <v>0</v>
      </c>
      <c r="AD1493" s="374" t="str">
        <f>IF(OR(AND(H1493='סיווג התפקידים והעלויות'!$A$2,I1493='סיווג התפקידים והעלויות'!$A$3),'עלויות כח אדם (6)'!H1493='סיווג התפקידים והעלויות'!$C$2,'עלויות כח אדם (6)'!H1493='סיווג התפקידים והעלויות'!$D$2),IF('עלויות כח אדם (6)'!J1493&lt;75,"לא תקין","תקין"),"")</f>
        <v/>
      </c>
      <c r="AE1493" s="374" t="str">
        <f t="shared" si="359"/>
        <v/>
      </c>
      <c r="AF1493" s="532" t="str">
        <f t="shared" si="360"/>
        <v/>
      </c>
    </row>
    <row r="1494" spans="2:32" x14ac:dyDescent="0.25">
      <c r="B1494" s="695"/>
      <c r="C1494" s="197" t="str">
        <f>IF(B1494&lt;&gt;"",IFERROR(VLOOKUP(B:B,'מצבת והרשמה (2)'!$C$20:$N$520,2,0)," ")," ")</f>
        <v xml:space="preserve"> </v>
      </c>
      <c r="D1494" s="695"/>
      <c r="E1494" s="696"/>
      <c r="F1494" s="696"/>
      <c r="G1494" s="696"/>
      <c r="H1494" s="696"/>
      <c r="I1494" s="1050" t="str">
        <f t="shared" si="347"/>
        <v/>
      </c>
      <c r="J1494" s="696"/>
      <c r="K1494" s="697"/>
      <c r="L1494" s="696"/>
      <c r="M1494" s="198" t="str">
        <f t="shared" si="348"/>
        <v/>
      </c>
      <c r="N1494" s="369" t="str">
        <f t="shared" si="349"/>
        <v/>
      </c>
      <c r="O1494" s="183" t="str">
        <f t="shared" si="350"/>
        <v/>
      </c>
      <c r="P1494" s="199" t="str">
        <f t="shared" si="351"/>
        <v/>
      </c>
      <c r="Q1494" s="199" t="str">
        <f>IF(B1494="","",IFERROR(IF('עלויות כח אדם (6)'!J1494&gt;=VLOOKUP(I1494,'סיווג התפקידים והעלויות'!$B$23:$C$32,2,0),"תקין","לא תקין"),""))</f>
        <v/>
      </c>
      <c r="R1494" s="199" t="str">
        <f t="shared" si="352"/>
        <v/>
      </c>
      <c r="S1494" s="199" t="str">
        <f t="shared" si="353"/>
        <v/>
      </c>
      <c r="T1494" s="199" t="str">
        <f t="shared" si="361"/>
        <v/>
      </c>
      <c r="U1494" s="199" t="str">
        <f t="shared" si="354"/>
        <v/>
      </c>
      <c r="V1494" s="989"/>
      <c r="X1494" s="374" t="str">
        <f t="shared" si="355"/>
        <v/>
      </c>
      <c r="Y1494" s="375" t="str">
        <f t="shared" si="356"/>
        <v/>
      </c>
      <c r="Z1494" s="374" t="str">
        <f t="shared" si="357"/>
        <v/>
      </c>
      <c r="AA1494" s="374" t="b">
        <f t="shared" si="358"/>
        <v>1</v>
      </c>
      <c r="AB1494" s="374">
        <f>COUNTIFS(B:B,B1494,H:H,'סיווג התפקידים והעלויות'!$C$2)</f>
        <v>0</v>
      </c>
      <c r="AC1494" s="374">
        <f>COUNTIFS(B:B,B1494,H:H,'סיווג התפקידים והעלויות'!$D$2)</f>
        <v>0</v>
      </c>
      <c r="AD1494" s="374" t="str">
        <f>IF(OR(AND(H1494='סיווג התפקידים והעלויות'!$A$2,I1494='סיווג התפקידים והעלויות'!$A$3),'עלויות כח אדם (6)'!H1494='סיווג התפקידים והעלויות'!$C$2,'עלויות כח אדם (6)'!H1494='סיווג התפקידים והעלויות'!$D$2),IF('עלויות כח אדם (6)'!J1494&lt;75,"לא תקין","תקין"),"")</f>
        <v/>
      </c>
      <c r="AE1494" s="374" t="str">
        <f t="shared" si="359"/>
        <v/>
      </c>
      <c r="AF1494" s="532" t="str">
        <f t="shared" si="360"/>
        <v/>
      </c>
    </row>
    <row r="1495" spans="2:32" x14ac:dyDescent="0.25">
      <c r="B1495" s="695"/>
      <c r="C1495" s="197" t="str">
        <f>IF(B1495&lt;&gt;"",IFERROR(VLOOKUP(B:B,'מצבת והרשמה (2)'!$C$20:$N$520,2,0)," ")," ")</f>
        <v xml:space="preserve"> </v>
      </c>
      <c r="D1495" s="695"/>
      <c r="E1495" s="696"/>
      <c r="F1495" s="696"/>
      <c r="G1495" s="696"/>
      <c r="H1495" s="696"/>
      <c r="I1495" s="1050" t="str">
        <f t="shared" si="347"/>
        <v/>
      </c>
      <c r="J1495" s="696"/>
      <c r="K1495" s="697"/>
      <c r="L1495" s="696"/>
      <c r="M1495" s="198" t="str">
        <f t="shared" si="348"/>
        <v/>
      </c>
      <c r="N1495" s="369" t="str">
        <f t="shared" si="349"/>
        <v/>
      </c>
      <c r="O1495" s="183" t="str">
        <f t="shared" si="350"/>
        <v/>
      </c>
      <c r="P1495" s="199" t="str">
        <f t="shared" si="351"/>
        <v/>
      </c>
      <c r="Q1495" s="199" t="str">
        <f>IF(B1495="","",IFERROR(IF('עלויות כח אדם (6)'!J1495&gt;=VLOOKUP(I1495,'סיווג התפקידים והעלויות'!$B$23:$C$32,2,0),"תקין","לא תקין"),""))</f>
        <v/>
      </c>
      <c r="R1495" s="199" t="str">
        <f t="shared" si="352"/>
        <v/>
      </c>
      <c r="S1495" s="199" t="str">
        <f t="shared" si="353"/>
        <v/>
      </c>
      <c r="T1495" s="199" t="str">
        <f t="shared" si="361"/>
        <v/>
      </c>
      <c r="U1495" s="199" t="str">
        <f t="shared" si="354"/>
        <v/>
      </c>
      <c r="V1495" s="989"/>
      <c r="X1495" s="374" t="str">
        <f t="shared" si="355"/>
        <v/>
      </c>
      <c r="Y1495" s="375" t="str">
        <f t="shared" si="356"/>
        <v/>
      </c>
      <c r="Z1495" s="374" t="str">
        <f t="shared" si="357"/>
        <v/>
      </c>
      <c r="AA1495" s="374" t="b">
        <f t="shared" si="358"/>
        <v>1</v>
      </c>
      <c r="AB1495" s="374">
        <f>COUNTIFS(B:B,B1495,H:H,'סיווג התפקידים והעלויות'!$C$2)</f>
        <v>0</v>
      </c>
      <c r="AC1495" s="374">
        <f>COUNTIFS(B:B,B1495,H:H,'סיווג התפקידים והעלויות'!$D$2)</f>
        <v>0</v>
      </c>
      <c r="AD1495" s="374" t="str">
        <f>IF(OR(AND(H1495='סיווג התפקידים והעלויות'!$A$2,I1495='סיווג התפקידים והעלויות'!$A$3),'עלויות כח אדם (6)'!H1495='סיווג התפקידים והעלויות'!$C$2,'עלויות כח אדם (6)'!H1495='סיווג התפקידים והעלויות'!$D$2),IF('עלויות כח אדם (6)'!J1495&lt;75,"לא תקין","תקין"),"")</f>
        <v/>
      </c>
      <c r="AE1495" s="374" t="str">
        <f t="shared" si="359"/>
        <v/>
      </c>
      <c r="AF1495" s="532" t="str">
        <f t="shared" si="360"/>
        <v/>
      </c>
    </row>
    <row r="1496" spans="2:32" x14ac:dyDescent="0.25">
      <c r="B1496" s="695"/>
      <c r="C1496" s="197" t="str">
        <f>IF(B1496&lt;&gt;"",IFERROR(VLOOKUP(B:B,'מצבת והרשמה (2)'!$C$20:$N$520,2,0)," ")," ")</f>
        <v xml:space="preserve"> </v>
      </c>
      <c r="D1496" s="695"/>
      <c r="E1496" s="696"/>
      <c r="F1496" s="696"/>
      <c r="G1496" s="696"/>
      <c r="H1496" s="696"/>
      <c r="I1496" s="1050" t="str">
        <f t="shared" si="347"/>
        <v/>
      </c>
      <c r="J1496" s="696"/>
      <c r="K1496" s="697"/>
      <c r="L1496" s="696"/>
      <c r="M1496" s="198" t="str">
        <f t="shared" si="348"/>
        <v/>
      </c>
      <c r="N1496" s="369" t="str">
        <f t="shared" si="349"/>
        <v/>
      </c>
      <c r="O1496" s="183" t="str">
        <f t="shared" si="350"/>
        <v/>
      </c>
      <c r="P1496" s="199" t="str">
        <f t="shared" si="351"/>
        <v/>
      </c>
      <c r="Q1496" s="199" t="str">
        <f>IF(B1496="","",IFERROR(IF('עלויות כח אדם (6)'!J1496&gt;=VLOOKUP(I1496,'סיווג התפקידים והעלויות'!$B$23:$C$32,2,0),"תקין","לא תקין"),""))</f>
        <v/>
      </c>
      <c r="R1496" s="199" t="str">
        <f t="shared" si="352"/>
        <v/>
      </c>
      <c r="S1496" s="199" t="str">
        <f t="shared" si="353"/>
        <v/>
      </c>
      <c r="T1496" s="199" t="str">
        <f t="shared" si="361"/>
        <v/>
      </c>
      <c r="U1496" s="199" t="str">
        <f t="shared" si="354"/>
        <v/>
      </c>
      <c r="V1496" s="989"/>
      <c r="X1496" s="374" t="str">
        <f t="shared" si="355"/>
        <v/>
      </c>
      <c r="Y1496" s="375" t="str">
        <f t="shared" si="356"/>
        <v/>
      </c>
      <c r="Z1496" s="374" t="str">
        <f t="shared" si="357"/>
        <v/>
      </c>
      <c r="AA1496" s="374" t="b">
        <f t="shared" si="358"/>
        <v>1</v>
      </c>
      <c r="AB1496" s="374">
        <f>COUNTIFS(B:B,B1496,H:H,'סיווג התפקידים והעלויות'!$C$2)</f>
        <v>0</v>
      </c>
      <c r="AC1496" s="374">
        <f>COUNTIFS(B:B,B1496,H:H,'סיווג התפקידים והעלויות'!$D$2)</f>
        <v>0</v>
      </c>
      <c r="AD1496" s="374" t="str">
        <f>IF(OR(AND(H1496='סיווג התפקידים והעלויות'!$A$2,I1496='סיווג התפקידים והעלויות'!$A$3),'עלויות כח אדם (6)'!H1496='סיווג התפקידים והעלויות'!$C$2,'עלויות כח אדם (6)'!H1496='סיווג התפקידים והעלויות'!$D$2),IF('עלויות כח אדם (6)'!J1496&lt;75,"לא תקין","תקין"),"")</f>
        <v/>
      </c>
      <c r="AE1496" s="374" t="str">
        <f t="shared" si="359"/>
        <v/>
      </c>
      <c r="AF1496" s="532" t="str">
        <f t="shared" si="360"/>
        <v/>
      </c>
    </row>
    <row r="1497" spans="2:32" x14ac:dyDescent="0.25">
      <c r="B1497" s="695"/>
      <c r="C1497" s="197" t="str">
        <f>IF(B1497&lt;&gt;"",IFERROR(VLOOKUP(B:B,'מצבת והרשמה (2)'!$C$20:$N$520,2,0)," ")," ")</f>
        <v xml:space="preserve"> </v>
      </c>
      <c r="D1497" s="695"/>
      <c r="E1497" s="696"/>
      <c r="F1497" s="696"/>
      <c r="G1497" s="696"/>
      <c r="H1497" s="696"/>
      <c r="I1497" s="1050" t="str">
        <f t="shared" si="347"/>
        <v/>
      </c>
      <c r="J1497" s="696"/>
      <c r="K1497" s="697"/>
      <c r="L1497" s="696"/>
      <c r="M1497" s="198" t="str">
        <f t="shared" si="348"/>
        <v/>
      </c>
      <c r="N1497" s="369" t="str">
        <f t="shared" si="349"/>
        <v/>
      </c>
      <c r="O1497" s="183" t="str">
        <f t="shared" si="350"/>
        <v/>
      </c>
      <c r="P1497" s="199" t="str">
        <f t="shared" si="351"/>
        <v/>
      </c>
      <c r="Q1497" s="199" t="str">
        <f>IF(B1497="","",IFERROR(IF('עלויות כח אדם (6)'!J1497&gt;=VLOOKUP(I1497,'סיווג התפקידים והעלויות'!$B$23:$C$32,2,0),"תקין","לא תקין"),""))</f>
        <v/>
      </c>
      <c r="R1497" s="199" t="str">
        <f t="shared" si="352"/>
        <v/>
      </c>
      <c r="S1497" s="199" t="str">
        <f t="shared" si="353"/>
        <v/>
      </c>
      <c r="T1497" s="199" t="str">
        <f t="shared" si="361"/>
        <v/>
      </c>
      <c r="U1497" s="199" t="str">
        <f t="shared" si="354"/>
        <v/>
      </c>
      <c r="V1497" s="989"/>
      <c r="X1497" s="374" t="str">
        <f t="shared" si="355"/>
        <v/>
      </c>
      <c r="Y1497" s="375" t="str">
        <f t="shared" si="356"/>
        <v/>
      </c>
      <c r="Z1497" s="374" t="str">
        <f t="shared" si="357"/>
        <v/>
      </c>
      <c r="AA1497" s="374" t="b">
        <f t="shared" si="358"/>
        <v>1</v>
      </c>
      <c r="AB1497" s="374">
        <f>COUNTIFS(B:B,B1497,H:H,'סיווג התפקידים והעלויות'!$C$2)</f>
        <v>0</v>
      </c>
      <c r="AC1497" s="374">
        <f>COUNTIFS(B:B,B1497,H:H,'סיווג התפקידים והעלויות'!$D$2)</f>
        <v>0</v>
      </c>
      <c r="AD1497" s="374" t="str">
        <f>IF(OR(AND(H1497='סיווג התפקידים והעלויות'!$A$2,I1497='סיווג התפקידים והעלויות'!$A$3),'עלויות כח אדם (6)'!H1497='סיווג התפקידים והעלויות'!$C$2,'עלויות כח אדם (6)'!H1497='סיווג התפקידים והעלויות'!$D$2),IF('עלויות כח אדם (6)'!J1497&lt;75,"לא תקין","תקין"),"")</f>
        <v/>
      </c>
      <c r="AE1497" s="374" t="str">
        <f t="shared" si="359"/>
        <v/>
      </c>
      <c r="AF1497" s="532" t="str">
        <f t="shared" si="360"/>
        <v/>
      </c>
    </row>
    <row r="1498" spans="2:32" x14ac:dyDescent="0.25">
      <c r="B1498" s="695"/>
      <c r="C1498" s="197" t="str">
        <f>IF(B1498&lt;&gt;"",IFERROR(VLOOKUP(B:B,'מצבת והרשמה (2)'!$C$20:$N$520,2,0)," ")," ")</f>
        <v xml:space="preserve"> </v>
      </c>
      <c r="D1498" s="695"/>
      <c r="E1498" s="696"/>
      <c r="F1498" s="696"/>
      <c r="G1498" s="696"/>
      <c r="H1498" s="696"/>
      <c r="I1498" s="1050" t="str">
        <f t="shared" si="347"/>
        <v/>
      </c>
      <c r="J1498" s="696"/>
      <c r="K1498" s="697"/>
      <c r="L1498" s="696"/>
      <c r="M1498" s="198" t="str">
        <f t="shared" si="348"/>
        <v/>
      </c>
      <c r="N1498" s="369" t="str">
        <f t="shared" si="349"/>
        <v/>
      </c>
      <c r="O1498" s="183" t="str">
        <f t="shared" si="350"/>
        <v/>
      </c>
      <c r="P1498" s="199" t="str">
        <f t="shared" si="351"/>
        <v/>
      </c>
      <c r="Q1498" s="199" t="str">
        <f>IF(B1498="","",IFERROR(IF('עלויות כח אדם (6)'!J1498&gt;=VLOOKUP(I1498,'סיווג התפקידים והעלויות'!$B$23:$C$32,2,0),"תקין","לא תקין"),""))</f>
        <v/>
      </c>
      <c r="R1498" s="199" t="str">
        <f t="shared" si="352"/>
        <v/>
      </c>
      <c r="S1498" s="199" t="str">
        <f t="shared" si="353"/>
        <v/>
      </c>
      <c r="T1498" s="199" t="str">
        <f t="shared" si="361"/>
        <v/>
      </c>
      <c r="U1498" s="199" t="str">
        <f t="shared" si="354"/>
        <v/>
      </c>
      <c r="V1498" s="989"/>
      <c r="X1498" s="374" t="str">
        <f t="shared" si="355"/>
        <v/>
      </c>
      <c r="Y1498" s="375" t="str">
        <f t="shared" si="356"/>
        <v/>
      </c>
      <c r="Z1498" s="374" t="str">
        <f t="shared" si="357"/>
        <v/>
      </c>
      <c r="AA1498" s="374" t="b">
        <f t="shared" si="358"/>
        <v>1</v>
      </c>
      <c r="AB1498" s="374">
        <f>COUNTIFS(B:B,B1498,H:H,'סיווג התפקידים והעלויות'!$C$2)</f>
        <v>0</v>
      </c>
      <c r="AC1498" s="374">
        <f>COUNTIFS(B:B,B1498,H:H,'סיווג התפקידים והעלויות'!$D$2)</f>
        <v>0</v>
      </c>
      <c r="AD1498" s="374" t="str">
        <f>IF(OR(AND(H1498='סיווג התפקידים והעלויות'!$A$2,I1498='סיווג התפקידים והעלויות'!$A$3),'עלויות כח אדם (6)'!H1498='סיווג התפקידים והעלויות'!$C$2,'עלויות כח אדם (6)'!H1498='סיווג התפקידים והעלויות'!$D$2),IF('עלויות כח אדם (6)'!J1498&lt;75,"לא תקין","תקין"),"")</f>
        <v/>
      </c>
      <c r="AE1498" s="374" t="str">
        <f t="shared" si="359"/>
        <v/>
      </c>
      <c r="AF1498" s="532" t="str">
        <f t="shared" si="360"/>
        <v/>
      </c>
    </row>
    <row r="1499" spans="2:32" x14ac:dyDescent="0.25">
      <c r="B1499" s="695"/>
      <c r="C1499" s="197" t="str">
        <f>IF(B1499&lt;&gt;"",IFERROR(VLOOKUP(B:B,'מצבת והרשמה (2)'!$C$20:$N$520,2,0)," ")," ")</f>
        <v xml:space="preserve"> </v>
      </c>
      <c r="D1499" s="695"/>
      <c r="E1499" s="696"/>
      <c r="F1499" s="696"/>
      <c r="G1499" s="696"/>
      <c r="H1499" s="696"/>
      <c r="I1499" s="1050" t="str">
        <f t="shared" si="347"/>
        <v/>
      </c>
      <c r="J1499" s="696"/>
      <c r="K1499" s="697"/>
      <c r="L1499" s="696"/>
      <c r="M1499" s="198" t="str">
        <f t="shared" si="348"/>
        <v/>
      </c>
      <c r="N1499" s="369" t="str">
        <f t="shared" si="349"/>
        <v/>
      </c>
      <c r="O1499" s="183" t="str">
        <f t="shared" si="350"/>
        <v/>
      </c>
      <c r="P1499" s="199" t="str">
        <f t="shared" si="351"/>
        <v/>
      </c>
      <c r="Q1499" s="199" t="str">
        <f>IF(B1499="","",IFERROR(IF('עלויות כח אדם (6)'!J1499&gt;=VLOOKUP(I1499,'סיווג התפקידים והעלויות'!$B$23:$C$32,2,0),"תקין","לא תקין"),""))</f>
        <v/>
      </c>
      <c r="R1499" s="199" t="str">
        <f t="shared" si="352"/>
        <v/>
      </c>
      <c r="S1499" s="199" t="str">
        <f t="shared" si="353"/>
        <v/>
      </c>
      <c r="T1499" s="199" t="str">
        <f t="shared" si="361"/>
        <v/>
      </c>
      <c r="U1499" s="199" t="str">
        <f t="shared" si="354"/>
        <v/>
      </c>
      <c r="V1499" s="989"/>
      <c r="X1499" s="374" t="str">
        <f t="shared" si="355"/>
        <v/>
      </c>
      <c r="Y1499" s="375" t="str">
        <f t="shared" si="356"/>
        <v/>
      </c>
      <c r="Z1499" s="374" t="str">
        <f t="shared" si="357"/>
        <v/>
      </c>
      <c r="AA1499" s="374" t="b">
        <f t="shared" si="358"/>
        <v>1</v>
      </c>
      <c r="AB1499" s="374">
        <f>COUNTIFS(B:B,B1499,H:H,'סיווג התפקידים והעלויות'!$C$2)</f>
        <v>0</v>
      </c>
      <c r="AC1499" s="374">
        <f>COUNTIFS(B:B,B1499,H:H,'סיווג התפקידים והעלויות'!$D$2)</f>
        <v>0</v>
      </c>
      <c r="AD1499" s="374" t="str">
        <f>IF(OR(AND(H1499='סיווג התפקידים והעלויות'!$A$2,I1499='סיווג התפקידים והעלויות'!$A$3),'עלויות כח אדם (6)'!H1499='סיווג התפקידים והעלויות'!$C$2,'עלויות כח אדם (6)'!H1499='סיווג התפקידים והעלויות'!$D$2),IF('עלויות כח אדם (6)'!J1499&lt;75,"לא תקין","תקין"),"")</f>
        <v/>
      </c>
      <c r="AE1499" s="374" t="str">
        <f t="shared" si="359"/>
        <v/>
      </c>
      <c r="AF1499" s="532" t="str">
        <f t="shared" si="360"/>
        <v/>
      </c>
    </row>
    <row r="1500" spans="2:32" x14ac:dyDescent="0.25">
      <c r="B1500" s="695"/>
      <c r="C1500" s="197" t="str">
        <f>IF(B1500&lt;&gt;"",IFERROR(VLOOKUP(B:B,'מצבת והרשמה (2)'!$C$20:$N$520,2,0)," ")," ")</f>
        <v xml:space="preserve"> </v>
      </c>
      <c r="D1500" s="695"/>
      <c r="E1500" s="696"/>
      <c r="F1500" s="696"/>
      <c r="G1500" s="696"/>
      <c r="H1500" s="696"/>
      <c r="I1500" s="1050" t="str">
        <f t="shared" si="347"/>
        <v/>
      </c>
      <c r="J1500" s="696"/>
      <c r="K1500" s="697"/>
      <c r="L1500" s="696"/>
      <c r="M1500" s="198" t="str">
        <f t="shared" si="348"/>
        <v/>
      </c>
      <c r="N1500" s="369" t="str">
        <f t="shared" si="349"/>
        <v/>
      </c>
      <c r="O1500" s="183" t="str">
        <f t="shared" si="350"/>
        <v/>
      </c>
      <c r="P1500" s="199" t="str">
        <f t="shared" si="351"/>
        <v/>
      </c>
      <c r="Q1500" s="199" t="str">
        <f>IF(B1500="","",IFERROR(IF('עלויות כח אדם (6)'!J1500&gt;=VLOOKUP(I1500,'סיווג התפקידים והעלויות'!$B$23:$C$32,2,0),"תקין","לא תקין"),""))</f>
        <v/>
      </c>
      <c r="R1500" s="199" t="str">
        <f t="shared" si="352"/>
        <v/>
      </c>
      <c r="S1500" s="199" t="str">
        <f t="shared" si="353"/>
        <v/>
      </c>
      <c r="T1500" s="199" t="str">
        <f t="shared" si="361"/>
        <v/>
      </c>
      <c r="U1500" s="199" t="str">
        <f t="shared" si="354"/>
        <v/>
      </c>
      <c r="V1500" s="989"/>
      <c r="X1500" s="374" t="str">
        <f t="shared" si="355"/>
        <v/>
      </c>
      <c r="Y1500" s="375" t="str">
        <f t="shared" si="356"/>
        <v/>
      </c>
      <c r="Z1500" s="374" t="str">
        <f t="shared" si="357"/>
        <v/>
      </c>
      <c r="AA1500" s="374" t="b">
        <f t="shared" si="358"/>
        <v>1</v>
      </c>
      <c r="AB1500" s="374">
        <f>COUNTIFS(B:B,B1500,H:H,'סיווג התפקידים והעלויות'!$C$2)</f>
        <v>0</v>
      </c>
      <c r="AC1500" s="374">
        <f>COUNTIFS(B:B,B1500,H:H,'סיווג התפקידים והעלויות'!$D$2)</f>
        <v>0</v>
      </c>
      <c r="AD1500" s="374" t="str">
        <f>IF(OR(AND(H1500='סיווג התפקידים והעלויות'!$A$2,I1500='סיווג התפקידים והעלויות'!$A$3),'עלויות כח אדם (6)'!H1500='סיווג התפקידים והעלויות'!$C$2,'עלויות כח אדם (6)'!H1500='סיווג התפקידים והעלויות'!$D$2),IF('עלויות כח אדם (6)'!J1500&lt;75,"לא תקין","תקין"),"")</f>
        <v/>
      </c>
      <c r="AE1500" s="374" t="str">
        <f t="shared" si="359"/>
        <v/>
      </c>
      <c r="AF1500" s="532" t="str">
        <f t="shared" si="360"/>
        <v/>
      </c>
    </row>
    <row r="1501" spans="2:32" x14ac:dyDescent="0.25">
      <c r="B1501" s="695"/>
      <c r="C1501" s="197" t="str">
        <f>IF(B1501&lt;&gt;"",IFERROR(VLOOKUP(B:B,'מצבת והרשמה (2)'!$C$20:$N$520,2,0)," ")," ")</f>
        <v xml:space="preserve"> </v>
      </c>
      <c r="D1501" s="695"/>
      <c r="E1501" s="696"/>
      <c r="F1501" s="696"/>
      <c r="G1501" s="696"/>
      <c r="H1501" s="696"/>
      <c r="I1501" s="1050" t="str">
        <f t="shared" si="347"/>
        <v/>
      </c>
      <c r="J1501" s="696"/>
      <c r="K1501" s="697"/>
      <c r="L1501" s="696"/>
      <c r="M1501" s="198" t="str">
        <f t="shared" si="348"/>
        <v/>
      </c>
      <c r="N1501" s="369" t="str">
        <f t="shared" si="349"/>
        <v/>
      </c>
      <c r="O1501" s="183" t="str">
        <f t="shared" si="350"/>
        <v/>
      </c>
      <c r="P1501" s="199" t="str">
        <f t="shared" si="351"/>
        <v/>
      </c>
      <c r="Q1501" s="199" t="str">
        <f>IF(B1501="","",IFERROR(IF('עלויות כח אדם (6)'!J1501&gt;=VLOOKUP(I1501,'סיווג התפקידים והעלויות'!$B$23:$C$32,2,0),"תקין","לא תקין"),""))</f>
        <v/>
      </c>
      <c r="R1501" s="199" t="str">
        <f t="shared" si="352"/>
        <v/>
      </c>
      <c r="S1501" s="199" t="str">
        <f t="shared" si="353"/>
        <v/>
      </c>
      <c r="T1501" s="199" t="str">
        <f t="shared" si="361"/>
        <v/>
      </c>
      <c r="U1501" s="199" t="str">
        <f t="shared" si="354"/>
        <v/>
      </c>
      <c r="V1501" s="989"/>
      <c r="X1501" s="374" t="str">
        <f t="shared" si="355"/>
        <v/>
      </c>
      <c r="Y1501" s="375" t="str">
        <f t="shared" si="356"/>
        <v/>
      </c>
      <c r="Z1501" s="374" t="str">
        <f t="shared" si="357"/>
        <v/>
      </c>
      <c r="AA1501" s="374" t="b">
        <f t="shared" si="358"/>
        <v>1</v>
      </c>
      <c r="AB1501" s="374">
        <f>COUNTIFS(B:B,B1501,H:H,'סיווג התפקידים והעלויות'!$C$2)</f>
        <v>0</v>
      </c>
      <c r="AC1501" s="374">
        <f>COUNTIFS(B:B,B1501,H:H,'סיווג התפקידים והעלויות'!$D$2)</f>
        <v>0</v>
      </c>
      <c r="AD1501" s="374" t="str">
        <f>IF(OR(AND(H1501='סיווג התפקידים והעלויות'!$A$2,I1501='סיווג התפקידים והעלויות'!$A$3),'עלויות כח אדם (6)'!H1501='סיווג התפקידים והעלויות'!$C$2,'עלויות כח אדם (6)'!H1501='סיווג התפקידים והעלויות'!$D$2),IF('עלויות כח אדם (6)'!J1501&lt;75,"לא תקין","תקין"),"")</f>
        <v/>
      </c>
      <c r="AE1501" s="374" t="str">
        <f t="shared" si="359"/>
        <v/>
      </c>
      <c r="AF1501" s="532" t="str">
        <f t="shared" si="360"/>
        <v/>
      </c>
    </row>
    <row r="1502" spans="2:32" x14ac:dyDescent="0.25">
      <c r="B1502" s="695"/>
      <c r="C1502" s="197" t="str">
        <f>IF(B1502&lt;&gt;"",IFERROR(VLOOKUP(B:B,'מצבת והרשמה (2)'!$C$20:$N$520,2,0)," ")," ")</f>
        <v xml:space="preserve"> </v>
      </c>
      <c r="D1502" s="695"/>
      <c r="E1502" s="696"/>
      <c r="F1502" s="696"/>
      <c r="G1502" s="696"/>
      <c r="H1502" s="696"/>
      <c r="I1502" s="1050" t="str">
        <f t="shared" si="347"/>
        <v/>
      </c>
      <c r="J1502" s="696"/>
      <c r="K1502" s="697"/>
      <c r="L1502" s="696"/>
      <c r="M1502" s="198" t="str">
        <f t="shared" si="348"/>
        <v/>
      </c>
      <c r="N1502" s="369" t="str">
        <f t="shared" si="349"/>
        <v/>
      </c>
      <c r="O1502" s="183" t="str">
        <f t="shared" si="350"/>
        <v/>
      </c>
      <c r="P1502" s="199" t="str">
        <f t="shared" si="351"/>
        <v/>
      </c>
      <c r="Q1502" s="199" t="str">
        <f>IF(B1502="","",IFERROR(IF('עלויות כח אדם (6)'!J1502&gt;=VLOOKUP(I1502,'סיווג התפקידים והעלויות'!$B$23:$C$32,2,0),"תקין","לא תקין"),""))</f>
        <v/>
      </c>
      <c r="R1502" s="199" t="str">
        <f t="shared" si="352"/>
        <v/>
      </c>
      <c r="S1502" s="199" t="str">
        <f t="shared" si="353"/>
        <v/>
      </c>
      <c r="T1502" s="199" t="str">
        <f t="shared" si="361"/>
        <v/>
      </c>
      <c r="U1502" s="199" t="str">
        <f t="shared" si="354"/>
        <v/>
      </c>
      <c r="V1502" s="989"/>
      <c r="X1502" s="374" t="str">
        <f t="shared" si="355"/>
        <v/>
      </c>
      <c r="Y1502" s="375" t="str">
        <f t="shared" si="356"/>
        <v/>
      </c>
      <c r="Z1502" s="374" t="str">
        <f t="shared" si="357"/>
        <v/>
      </c>
      <c r="AA1502" s="374" t="b">
        <f t="shared" si="358"/>
        <v>1</v>
      </c>
      <c r="AB1502" s="374">
        <f>COUNTIFS(B:B,B1502,H:H,'סיווג התפקידים והעלויות'!$C$2)</f>
        <v>0</v>
      </c>
      <c r="AC1502" s="374">
        <f>COUNTIFS(B:B,B1502,H:H,'סיווג התפקידים והעלויות'!$D$2)</f>
        <v>0</v>
      </c>
      <c r="AD1502" s="374" t="str">
        <f>IF(OR(AND(H1502='סיווג התפקידים והעלויות'!$A$2,I1502='סיווג התפקידים והעלויות'!$A$3),'עלויות כח אדם (6)'!H1502='סיווג התפקידים והעלויות'!$C$2,'עלויות כח אדם (6)'!H1502='סיווג התפקידים והעלויות'!$D$2),IF('עלויות כח אדם (6)'!J1502&lt;75,"לא תקין","תקין"),"")</f>
        <v/>
      </c>
      <c r="AE1502" s="374" t="str">
        <f t="shared" si="359"/>
        <v/>
      </c>
      <c r="AF1502" s="532" t="str">
        <f t="shared" si="360"/>
        <v/>
      </c>
    </row>
    <row r="1503" spans="2:32" x14ac:dyDescent="0.25">
      <c r="B1503" s="695"/>
      <c r="C1503" s="197" t="str">
        <f>IF(B1503&lt;&gt;"",IFERROR(VLOOKUP(B:B,'מצבת והרשמה (2)'!$C$20:$N$520,2,0)," ")," ")</f>
        <v xml:space="preserve"> </v>
      </c>
      <c r="D1503" s="695"/>
      <c r="E1503" s="696"/>
      <c r="F1503" s="696"/>
      <c r="G1503" s="696"/>
      <c r="H1503" s="696"/>
      <c r="I1503" s="1050" t="str">
        <f t="shared" si="347"/>
        <v/>
      </c>
      <c r="J1503" s="696"/>
      <c r="K1503" s="697"/>
      <c r="L1503" s="696"/>
      <c r="M1503" s="198" t="str">
        <f t="shared" si="348"/>
        <v/>
      </c>
      <c r="N1503" s="369" t="str">
        <f t="shared" si="349"/>
        <v/>
      </c>
      <c r="O1503" s="183" t="str">
        <f t="shared" si="350"/>
        <v/>
      </c>
      <c r="P1503" s="199" t="str">
        <f t="shared" si="351"/>
        <v/>
      </c>
      <c r="Q1503" s="199" t="str">
        <f>IF(B1503="","",IFERROR(IF('עלויות כח אדם (6)'!J1503&gt;=VLOOKUP(I1503,'סיווג התפקידים והעלויות'!$B$23:$C$32,2,0),"תקין","לא תקין"),""))</f>
        <v/>
      </c>
      <c r="R1503" s="199" t="str">
        <f t="shared" si="352"/>
        <v/>
      </c>
      <c r="S1503" s="199" t="str">
        <f t="shared" si="353"/>
        <v/>
      </c>
      <c r="T1503" s="199" t="str">
        <f t="shared" si="361"/>
        <v/>
      </c>
      <c r="U1503" s="199" t="str">
        <f t="shared" si="354"/>
        <v/>
      </c>
      <c r="V1503" s="989"/>
      <c r="X1503" s="374" t="str">
        <f t="shared" si="355"/>
        <v/>
      </c>
      <c r="Y1503" s="375" t="str">
        <f t="shared" si="356"/>
        <v/>
      </c>
      <c r="Z1503" s="374" t="str">
        <f t="shared" si="357"/>
        <v/>
      </c>
      <c r="AA1503" s="374" t="b">
        <f t="shared" si="358"/>
        <v>1</v>
      </c>
      <c r="AB1503" s="374">
        <f>COUNTIFS(B:B,B1503,H:H,'סיווג התפקידים והעלויות'!$C$2)</f>
        <v>0</v>
      </c>
      <c r="AC1503" s="374">
        <f>COUNTIFS(B:B,B1503,H:H,'סיווג התפקידים והעלויות'!$D$2)</f>
        <v>0</v>
      </c>
      <c r="AD1503" s="374" t="str">
        <f>IF(OR(AND(H1503='סיווג התפקידים והעלויות'!$A$2,I1503='סיווג התפקידים והעלויות'!$A$3),'עלויות כח אדם (6)'!H1503='סיווג התפקידים והעלויות'!$C$2,'עלויות כח אדם (6)'!H1503='סיווג התפקידים והעלויות'!$D$2),IF('עלויות כח אדם (6)'!J1503&lt;75,"לא תקין","תקין"),"")</f>
        <v/>
      </c>
      <c r="AE1503" s="374" t="str">
        <f t="shared" si="359"/>
        <v/>
      </c>
      <c r="AF1503" s="532" t="str">
        <f t="shared" si="360"/>
        <v/>
      </c>
    </row>
    <row r="1504" spans="2:32" x14ac:dyDescent="0.25">
      <c r="B1504" s="695"/>
      <c r="C1504" s="197" t="str">
        <f>IF(B1504&lt;&gt;"",IFERROR(VLOOKUP(B:B,'מצבת והרשמה (2)'!$C$20:$N$520,2,0)," ")," ")</f>
        <v xml:space="preserve"> </v>
      </c>
      <c r="D1504" s="695"/>
      <c r="E1504" s="696"/>
      <c r="F1504" s="696"/>
      <c r="G1504" s="696"/>
      <c r="H1504" s="696"/>
      <c r="I1504" s="1050" t="str">
        <f t="shared" si="347"/>
        <v/>
      </c>
      <c r="J1504" s="696"/>
      <c r="K1504" s="697"/>
      <c r="L1504" s="696"/>
      <c r="M1504" s="198" t="str">
        <f t="shared" si="348"/>
        <v/>
      </c>
      <c r="N1504" s="369" t="str">
        <f t="shared" si="349"/>
        <v/>
      </c>
      <c r="O1504" s="183" t="str">
        <f t="shared" si="350"/>
        <v/>
      </c>
      <c r="P1504" s="199" t="str">
        <f t="shared" si="351"/>
        <v/>
      </c>
      <c r="Q1504" s="199" t="str">
        <f>IF(B1504="","",IFERROR(IF('עלויות כח אדם (6)'!J1504&gt;=VLOOKUP(I1504,'סיווג התפקידים והעלויות'!$B$23:$C$32,2,0),"תקין","לא תקין"),""))</f>
        <v/>
      </c>
      <c r="R1504" s="199" t="str">
        <f t="shared" si="352"/>
        <v/>
      </c>
      <c r="S1504" s="199" t="str">
        <f t="shared" si="353"/>
        <v/>
      </c>
      <c r="T1504" s="199" t="str">
        <f t="shared" si="361"/>
        <v/>
      </c>
      <c r="U1504" s="199" t="str">
        <f t="shared" si="354"/>
        <v/>
      </c>
      <c r="V1504" s="989"/>
      <c r="X1504" s="374" t="str">
        <f t="shared" si="355"/>
        <v/>
      </c>
      <c r="Y1504" s="375" t="str">
        <f t="shared" si="356"/>
        <v/>
      </c>
      <c r="Z1504" s="374" t="str">
        <f t="shared" si="357"/>
        <v/>
      </c>
      <c r="AA1504" s="374" t="b">
        <f t="shared" si="358"/>
        <v>1</v>
      </c>
      <c r="AB1504" s="374">
        <f>COUNTIFS(B:B,B1504,H:H,'סיווג התפקידים והעלויות'!$C$2)</f>
        <v>0</v>
      </c>
      <c r="AC1504" s="374">
        <f>COUNTIFS(B:B,B1504,H:H,'סיווג התפקידים והעלויות'!$D$2)</f>
        <v>0</v>
      </c>
      <c r="AD1504" s="374" t="str">
        <f>IF(OR(AND(H1504='סיווג התפקידים והעלויות'!$A$2,I1504='סיווג התפקידים והעלויות'!$A$3),'עלויות כח אדם (6)'!H1504='סיווג התפקידים והעלויות'!$C$2,'עלויות כח אדם (6)'!H1504='סיווג התפקידים והעלויות'!$D$2),IF('עלויות כח אדם (6)'!J1504&lt;75,"לא תקין","תקין"),"")</f>
        <v/>
      </c>
      <c r="AE1504" s="374" t="str">
        <f t="shared" si="359"/>
        <v/>
      </c>
      <c r="AF1504" s="532" t="str">
        <f t="shared" si="360"/>
        <v/>
      </c>
    </row>
    <row r="1505" spans="2:32" x14ac:dyDescent="0.25">
      <c r="B1505" s="695"/>
      <c r="C1505" s="197" t="str">
        <f>IF(B1505&lt;&gt;"",IFERROR(VLOOKUP(B:B,'מצבת והרשמה (2)'!$C$20:$N$520,2,0)," ")," ")</f>
        <v xml:space="preserve"> </v>
      </c>
      <c r="D1505" s="695"/>
      <c r="E1505" s="696"/>
      <c r="F1505" s="696"/>
      <c r="G1505" s="696"/>
      <c r="H1505" s="696"/>
      <c r="I1505" s="1050" t="str">
        <f t="shared" si="347"/>
        <v/>
      </c>
      <c r="J1505" s="696"/>
      <c r="K1505" s="697"/>
      <c r="L1505" s="696"/>
      <c r="M1505" s="198" t="str">
        <f t="shared" si="348"/>
        <v/>
      </c>
      <c r="N1505" s="369" t="str">
        <f t="shared" si="349"/>
        <v/>
      </c>
      <c r="O1505" s="183" t="str">
        <f t="shared" si="350"/>
        <v/>
      </c>
      <c r="P1505" s="199" t="str">
        <f t="shared" si="351"/>
        <v/>
      </c>
      <c r="Q1505" s="199" t="str">
        <f>IF(B1505="","",IFERROR(IF('עלויות כח אדם (6)'!J1505&gt;=VLOOKUP(I1505,'סיווג התפקידים והעלויות'!$B$23:$C$32,2,0),"תקין","לא תקין"),""))</f>
        <v/>
      </c>
      <c r="R1505" s="199" t="str">
        <f t="shared" si="352"/>
        <v/>
      </c>
      <c r="S1505" s="199" t="str">
        <f t="shared" si="353"/>
        <v/>
      </c>
      <c r="T1505" s="199" t="str">
        <f t="shared" si="361"/>
        <v/>
      </c>
      <c r="U1505" s="199" t="str">
        <f t="shared" si="354"/>
        <v/>
      </c>
      <c r="V1505" s="989"/>
      <c r="X1505" s="374" t="str">
        <f t="shared" si="355"/>
        <v/>
      </c>
      <c r="Y1505" s="375" t="str">
        <f t="shared" si="356"/>
        <v/>
      </c>
      <c r="Z1505" s="374" t="str">
        <f t="shared" si="357"/>
        <v/>
      </c>
      <c r="AA1505" s="374" t="b">
        <f t="shared" si="358"/>
        <v>1</v>
      </c>
      <c r="AB1505" s="374">
        <f>COUNTIFS(B:B,B1505,H:H,'סיווג התפקידים והעלויות'!$C$2)</f>
        <v>0</v>
      </c>
      <c r="AC1505" s="374">
        <f>COUNTIFS(B:B,B1505,H:H,'סיווג התפקידים והעלויות'!$D$2)</f>
        <v>0</v>
      </c>
      <c r="AD1505" s="374" t="str">
        <f>IF(OR(AND(H1505='סיווג התפקידים והעלויות'!$A$2,I1505='סיווג התפקידים והעלויות'!$A$3),'עלויות כח אדם (6)'!H1505='סיווג התפקידים והעלויות'!$C$2,'עלויות כח אדם (6)'!H1505='סיווג התפקידים והעלויות'!$D$2),IF('עלויות כח אדם (6)'!J1505&lt;75,"לא תקין","תקין"),"")</f>
        <v/>
      </c>
      <c r="AE1505" s="374" t="str">
        <f t="shared" si="359"/>
        <v/>
      </c>
      <c r="AF1505" s="532" t="str">
        <f t="shared" si="360"/>
        <v/>
      </c>
    </row>
    <row r="1506" spans="2:32" x14ac:dyDescent="0.25">
      <c r="B1506" s="695"/>
      <c r="C1506" s="197" t="str">
        <f>IF(B1506&lt;&gt;"",IFERROR(VLOOKUP(B:B,'מצבת והרשמה (2)'!$C$20:$N$520,2,0)," ")," ")</f>
        <v xml:space="preserve"> </v>
      </c>
      <c r="D1506" s="695"/>
      <c r="E1506" s="696"/>
      <c r="F1506" s="696"/>
      <c r="G1506" s="696"/>
      <c r="H1506" s="696"/>
      <c r="I1506" s="1050" t="str">
        <f t="shared" si="347"/>
        <v/>
      </c>
      <c r="J1506" s="696"/>
      <c r="K1506" s="697"/>
      <c r="L1506" s="696"/>
      <c r="M1506" s="198" t="str">
        <f t="shared" si="348"/>
        <v/>
      </c>
      <c r="N1506" s="369" t="str">
        <f t="shared" si="349"/>
        <v/>
      </c>
      <c r="O1506" s="183" t="str">
        <f t="shared" si="350"/>
        <v/>
      </c>
      <c r="P1506" s="199" t="str">
        <f t="shared" si="351"/>
        <v/>
      </c>
      <c r="Q1506" s="199" t="str">
        <f>IF(B1506="","",IFERROR(IF('עלויות כח אדם (6)'!J1506&gt;=VLOOKUP(I1506,'סיווג התפקידים והעלויות'!$B$23:$C$32,2,0),"תקין","לא תקין"),""))</f>
        <v/>
      </c>
      <c r="R1506" s="199" t="str">
        <f t="shared" si="352"/>
        <v/>
      </c>
      <c r="S1506" s="199" t="str">
        <f t="shared" si="353"/>
        <v/>
      </c>
      <c r="T1506" s="199" t="str">
        <f t="shared" si="361"/>
        <v/>
      </c>
      <c r="U1506" s="199" t="str">
        <f t="shared" si="354"/>
        <v/>
      </c>
      <c r="V1506" s="989"/>
      <c r="X1506" s="374" t="str">
        <f t="shared" si="355"/>
        <v/>
      </c>
      <c r="Y1506" s="375" t="str">
        <f t="shared" si="356"/>
        <v/>
      </c>
      <c r="Z1506" s="374" t="str">
        <f t="shared" si="357"/>
        <v/>
      </c>
      <c r="AA1506" s="374" t="b">
        <f t="shared" si="358"/>
        <v>1</v>
      </c>
      <c r="AB1506" s="374">
        <f>COUNTIFS(B:B,B1506,H:H,'סיווג התפקידים והעלויות'!$C$2)</f>
        <v>0</v>
      </c>
      <c r="AC1506" s="374">
        <f>COUNTIFS(B:B,B1506,H:H,'סיווג התפקידים והעלויות'!$D$2)</f>
        <v>0</v>
      </c>
      <c r="AD1506" s="374" t="str">
        <f>IF(OR(AND(H1506='סיווג התפקידים והעלויות'!$A$2,I1506='סיווג התפקידים והעלויות'!$A$3),'עלויות כח אדם (6)'!H1506='סיווג התפקידים והעלויות'!$C$2,'עלויות כח אדם (6)'!H1506='סיווג התפקידים והעלויות'!$D$2),IF('עלויות כח אדם (6)'!J1506&lt;75,"לא תקין","תקין"),"")</f>
        <v/>
      </c>
      <c r="AE1506" s="374" t="str">
        <f t="shared" si="359"/>
        <v/>
      </c>
      <c r="AF1506" s="532" t="str">
        <f t="shared" si="360"/>
        <v/>
      </c>
    </row>
    <row r="1507" spans="2:32" x14ac:dyDescent="0.25">
      <c r="B1507" s="695"/>
      <c r="C1507" s="197" t="str">
        <f>IF(B1507&lt;&gt;"",IFERROR(VLOOKUP(B:B,'מצבת והרשמה (2)'!$C$20:$N$520,2,0)," ")," ")</f>
        <v xml:space="preserve"> </v>
      </c>
      <c r="D1507" s="695"/>
      <c r="E1507" s="696"/>
      <c r="F1507" s="696"/>
      <c r="G1507" s="696"/>
      <c r="H1507" s="696"/>
      <c r="I1507" s="1050" t="str">
        <f t="shared" si="347"/>
        <v/>
      </c>
      <c r="J1507" s="696"/>
      <c r="K1507" s="697"/>
      <c r="L1507" s="696"/>
      <c r="M1507" s="198" t="str">
        <f t="shared" si="348"/>
        <v/>
      </c>
      <c r="N1507" s="369" t="str">
        <f t="shared" si="349"/>
        <v/>
      </c>
      <c r="O1507" s="183" t="str">
        <f t="shared" si="350"/>
        <v/>
      </c>
      <c r="P1507" s="199" t="str">
        <f t="shared" si="351"/>
        <v/>
      </c>
      <c r="Q1507" s="199" t="str">
        <f>IF(B1507="","",IFERROR(IF('עלויות כח אדם (6)'!J1507&gt;=VLOOKUP(I1507,'סיווג התפקידים והעלויות'!$B$23:$C$32,2,0),"תקין","לא תקין"),""))</f>
        <v/>
      </c>
      <c r="R1507" s="199" t="str">
        <f t="shared" si="352"/>
        <v/>
      </c>
      <c r="S1507" s="199" t="str">
        <f t="shared" si="353"/>
        <v/>
      </c>
      <c r="T1507" s="199" t="str">
        <f t="shared" si="361"/>
        <v/>
      </c>
      <c r="U1507" s="199" t="str">
        <f t="shared" si="354"/>
        <v/>
      </c>
      <c r="V1507" s="989"/>
      <c r="X1507" s="374" t="str">
        <f t="shared" si="355"/>
        <v/>
      </c>
      <c r="Y1507" s="375" t="str">
        <f t="shared" si="356"/>
        <v/>
      </c>
      <c r="Z1507" s="374" t="str">
        <f t="shared" si="357"/>
        <v/>
      </c>
      <c r="AA1507" s="374" t="b">
        <f t="shared" si="358"/>
        <v>1</v>
      </c>
      <c r="AB1507" s="374">
        <f>COUNTIFS(B:B,B1507,H:H,'סיווג התפקידים והעלויות'!$C$2)</f>
        <v>0</v>
      </c>
      <c r="AC1507" s="374">
        <f>COUNTIFS(B:B,B1507,H:H,'סיווג התפקידים והעלויות'!$D$2)</f>
        <v>0</v>
      </c>
      <c r="AD1507" s="374" t="str">
        <f>IF(OR(AND(H1507='סיווג התפקידים והעלויות'!$A$2,I1507='סיווג התפקידים והעלויות'!$A$3),'עלויות כח אדם (6)'!H1507='סיווג התפקידים והעלויות'!$C$2,'עלויות כח אדם (6)'!H1507='סיווג התפקידים והעלויות'!$D$2),IF('עלויות כח אדם (6)'!J1507&lt;75,"לא תקין","תקין"),"")</f>
        <v/>
      </c>
      <c r="AE1507" s="374" t="str">
        <f t="shared" si="359"/>
        <v/>
      </c>
      <c r="AF1507" s="532" t="str">
        <f t="shared" si="360"/>
        <v/>
      </c>
    </row>
    <row r="1508" spans="2:32" x14ac:dyDescent="0.25">
      <c r="B1508" s="695"/>
      <c r="C1508" s="197" t="str">
        <f>IF(B1508&lt;&gt;"",IFERROR(VLOOKUP(B:B,'מצבת והרשמה (2)'!$C$20:$N$520,2,0)," ")," ")</f>
        <v xml:space="preserve"> </v>
      </c>
      <c r="D1508" s="695"/>
      <c r="E1508" s="696"/>
      <c r="F1508" s="696"/>
      <c r="G1508" s="696"/>
      <c r="H1508" s="696"/>
      <c r="I1508" s="1050" t="str">
        <f t="shared" si="347"/>
        <v/>
      </c>
      <c r="J1508" s="696"/>
      <c r="K1508" s="697"/>
      <c r="L1508" s="696"/>
      <c r="M1508" s="198" t="str">
        <f t="shared" si="348"/>
        <v/>
      </c>
      <c r="N1508" s="369" t="str">
        <f t="shared" si="349"/>
        <v/>
      </c>
      <c r="O1508" s="183" t="str">
        <f t="shared" si="350"/>
        <v/>
      </c>
      <c r="P1508" s="199" t="str">
        <f t="shared" si="351"/>
        <v/>
      </c>
      <c r="Q1508" s="199" t="str">
        <f>IF(B1508="","",IFERROR(IF('עלויות כח אדם (6)'!J1508&gt;=VLOOKUP(I1508,'סיווג התפקידים והעלויות'!$B$23:$C$32,2,0),"תקין","לא תקין"),""))</f>
        <v/>
      </c>
      <c r="R1508" s="199" t="str">
        <f t="shared" si="352"/>
        <v/>
      </c>
      <c r="S1508" s="199" t="str">
        <f t="shared" si="353"/>
        <v/>
      </c>
      <c r="T1508" s="199" t="str">
        <f t="shared" si="361"/>
        <v/>
      </c>
      <c r="U1508" s="199" t="str">
        <f t="shared" si="354"/>
        <v/>
      </c>
      <c r="V1508" s="989"/>
      <c r="X1508" s="374" t="str">
        <f t="shared" si="355"/>
        <v/>
      </c>
      <c r="Y1508" s="375" t="str">
        <f t="shared" si="356"/>
        <v/>
      </c>
      <c r="Z1508" s="374" t="str">
        <f t="shared" si="357"/>
        <v/>
      </c>
      <c r="AA1508" s="374" t="b">
        <f t="shared" si="358"/>
        <v>1</v>
      </c>
      <c r="AB1508" s="374">
        <f>COUNTIFS(B:B,B1508,H:H,'סיווג התפקידים והעלויות'!$C$2)</f>
        <v>0</v>
      </c>
      <c r="AC1508" s="374">
        <f>COUNTIFS(B:B,B1508,H:H,'סיווג התפקידים והעלויות'!$D$2)</f>
        <v>0</v>
      </c>
      <c r="AD1508" s="374" t="str">
        <f>IF(OR(AND(H1508='סיווג התפקידים והעלויות'!$A$2,I1508='סיווג התפקידים והעלויות'!$A$3),'עלויות כח אדם (6)'!H1508='סיווג התפקידים והעלויות'!$C$2,'עלויות כח אדם (6)'!H1508='סיווג התפקידים והעלויות'!$D$2),IF('עלויות כח אדם (6)'!J1508&lt;75,"לא תקין","תקין"),"")</f>
        <v/>
      </c>
      <c r="AE1508" s="374" t="str">
        <f t="shared" si="359"/>
        <v/>
      </c>
      <c r="AF1508" s="532" t="str">
        <f t="shared" si="360"/>
        <v/>
      </c>
    </row>
    <row r="1509" spans="2:32" x14ac:dyDescent="0.25">
      <c r="B1509" s="695"/>
      <c r="C1509" s="197" t="str">
        <f>IF(B1509&lt;&gt;"",IFERROR(VLOOKUP(B:B,'מצבת והרשמה (2)'!$C$20:$N$520,2,0)," ")," ")</f>
        <v xml:space="preserve"> </v>
      </c>
      <c r="D1509" s="695"/>
      <c r="E1509" s="696"/>
      <c r="F1509" s="696"/>
      <c r="G1509" s="696"/>
      <c r="H1509" s="696"/>
      <c r="I1509" s="1050" t="str">
        <f t="shared" si="347"/>
        <v/>
      </c>
      <c r="J1509" s="696"/>
      <c r="K1509" s="697"/>
      <c r="L1509" s="696"/>
      <c r="M1509" s="198" t="str">
        <f t="shared" si="348"/>
        <v/>
      </c>
      <c r="N1509" s="369" t="str">
        <f t="shared" si="349"/>
        <v/>
      </c>
      <c r="O1509" s="183" t="str">
        <f t="shared" si="350"/>
        <v/>
      </c>
      <c r="P1509" s="199" t="str">
        <f t="shared" si="351"/>
        <v/>
      </c>
      <c r="Q1509" s="199" t="str">
        <f>IF(B1509="","",IFERROR(IF('עלויות כח אדם (6)'!J1509&gt;=VLOOKUP(I1509,'סיווג התפקידים והעלויות'!$B$23:$C$32,2,0),"תקין","לא תקין"),""))</f>
        <v/>
      </c>
      <c r="R1509" s="199" t="str">
        <f t="shared" si="352"/>
        <v/>
      </c>
      <c r="S1509" s="199" t="str">
        <f t="shared" si="353"/>
        <v/>
      </c>
      <c r="T1509" s="199" t="str">
        <f t="shared" si="361"/>
        <v/>
      </c>
      <c r="U1509" s="199" t="str">
        <f t="shared" si="354"/>
        <v/>
      </c>
      <c r="V1509" s="989"/>
      <c r="X1509" s="374" t="str">
        <f t="shared" si="355"/>
        <v/>
      </c>
      <c r="Y1509" s="375" t="str">
        <f t="shared" si="356"/>
        <v/>
      </c>
      <c r="Z1509" s="374" t="str">
        <f t="shared" si="357"/>
        <v/>
      </c>
      <c r="AA1509" s="374" t="b">
        <f t="shared" si="358"/>
        <v>1</v>
      </c>
      <c r="AB1509" s="374">
        <f>COUNTIFS(B:B,B1509,H:H,'סיווג התפקידים והעלויות'!$C$2)</f>
        <v>0</v>
      </c>
      <c r="AC1509" s="374">
        <f>COUNTIFS(B:B,B1509,H:H,'סיווג התפקידים והעלויות'!$D$2)</f>
        <v>0</v>
      </c>
      <c r="AD1509" s="374" t="str">
        <f>IF(OR(AND(H1509='סיווג התפקידים והעלויות'!$A$2,I1509='סיווג התפקידים והעלויות'!$A$3),'עלויות כח אדם (6)'!H1509='סיווג התפקידים והעלויות'!$C$2,'עלויות כח אדם (6)'!H1509='סיווג התפקידים והעלויות'!$D$2),IF('עלויות כח אדם (6)'!J1509&lt;75,"לא תקין","תקין"),"")</f>
        <v/>
      </c>
      <c r="AE1509" s="374" t="str">
        <f t="shared" si="359"/>
        <v/>
      </c>
      <c r="AF1509" s="532" t="str">
        <f t="shared" si="360"/>
        <v/>
      </c>
    </row>
    <row r="1510" spans="2:32" x14ac:dyDescent="0.25">
      <c r="B1510" s="695"/>
      <c r="C1510" s="197" t="str">
        <f>IF(B1510&lt;&gt;"",IFERROR(VLOOKUP(B:B,'מצבת והרשמה (2)'!$C$20:$N$520,2,0)," ")," ")</f>
        <v xml:space="preserve"> </v>
      </c>
      <c r="D1510" s="695"/>
      <c r="E1510" s="696"/>
      <c r="F1510" s="696"/>
      <c r="G1510" s="696"/>
      <c r="H1510" s="696"/>
      <c r="I1510" s="1050" t="str">
        <f t="shared" si="347"/>
        <v/>
      </c>
      <c r="J1510" s="696"/>
      <c r="K1510" s="697"/>
      <c r="L1510" s="696"/>
      <c r="M1510" s="198" t="str">
        <f t="shared" si="348"/>
        <v/>
      </c>
      <c r="N1510" s="369" t="str">
        <f t="shared" si="349"/>
        <v/>
      </c>
      <c r="O1510" s="183" t="str">
        <f t="shared" si="350"/>
        <v/>
      </c>
      <c r="P1510" s="199" t="str">
        <f t="shared" si="351"/>
        <v/>
      </c>
      <c r="Q1510" s="199" t="str">
        <f>IF(B1510="","",IFERROR(IF('עלויות כח אדם (6)'!J1510&gt;=VLOOKUP(I1510,'סיווג התפקידים והעלויות'!$B$23:$C$32,2,0),"תקין","לא תקין"),""))</f>
        <v/>
      </c>
      <c r="R1510" s="199" t="str">
        <f t="shared" si="352"/>
        <v/>
      </c>
      <c r="S1510" s="199" t="str">
        <f t="shared" si="353"/>
        <v/>
      </c>
      <c r="T1510" s="199" t="str">
        <f t="shared" si="361"/>
        <v/>
      </c>
      <c r="U1510" s="199" t="str">
        <f t="shared" si="354"/>
        <v/>
      </c>
      <c r="V1510" s="989"/>
      <c r="X1510" s="374" t="str">
        <f t="shared" si="355"/>
        <v/>
      </c>
      <c r="Y1510" s="375" t="str">
        <f t="shared" si="356"/>
        <v/>
      </c>
      <c r="Z1510" s="374" t="str">
        <f t="shared" si="357"/>
        <v/>
      </c>
      <c r="AA1510" s="374" t="b">
        <f t="shared" si="358"/>
        <v>1</v>
      </c>
      <c r="AB1510" s="374">
        <f>COUNTIFS(B:B,B1510,H:H,'סיווג התפקידים והעלויות'!$C$2)</f>
        <v>0</v>
      </c>
      <c r="AC1510" s="374">
        <f>COUNTIFS(B:B,B1510,H:H,'סיווג התפקידים והעלויות'!$D$2)</f>
        <v>0</v>
      </c>
      <c r="AD1510" s="374" t="str">
        <f>IF(OR(AND(H1510='סיווג התפקידים והעלויות'!$A$2,I1510='סיווג התפקידים והעלויות'!$A$3),'עלויות כח אדם (6)'!H1510='סיווג התפקידים והעלויות'!$C$2,'עלויות כח אדם (6)'!H1510='סיווג התפקידים והעלויות'!$D$2),IF('עלויות כח אדם (6)'!J1510&lt;75,"לא תקין","תקין"),"")</f>
        <v/>
      </c>
      <c r="AE1510" s="374" t="str">
        <f t="shared" si="359"/>
        <v/>
      </c>
      <c r="AF1510" s="532" t="str">
        <f t="shared" si="360"/>
        <v/>
      </c>
    </row>
    <row r="1511" spans="2:32" x14ac:dyDescent="0.25">
      <c r="B1511" s="695"/>
      <c r="C1511" s="197" t="str">
        <f>IF(B1511&lt;&gt;"",IFERROR(VLOOKUP(B:B,'מצבת והרשמה (2)'!$C$20:$N$520,2,0)," ")," ")</f>
        <v xml:space="preserve"> </v>
      </c>
      <c r="D1511" s="695"/>
      <c r="E1511" s="696"/>
      <c r="F1511" s="696"/>
      <c r="G1511" s="696"/>
      <c r="H1511" s="696"/>
      <c r="I1511" s="1050" t="str">
        <f t="shared" si="347"/>
        <v/>
      </c>
      <c r="J1511" s="696"/>
      <c r="K1511" s="697"/>
      <c r="L1511" s="696"/>
      <c r="M1511" s="198" t="str">
        <f t="shared" si="348"/>
        <v/>
      </c>
      <c r="N1511" s="369" t="str">
        <f t="shared" si="349"/>
        <v/>
      </c>
      <c r="O1511" s="183" t="str">
        <f t="shared" si="350"/>
        <v/>
      </c>
      <c r="P1511" s="199" t="str">
        <f t="shared" si="351"/>
        <v/>
      </c>
      <c r="Q1511" s="199" t="str">
        <f>IF(B1511="","",IFERROR(IF('עלויות כח אדם (6)'!J1511&gt;=VLOOKUP(I1511,'סיווג התפקידים והעלויות'!$B$23:$C$32,2,0),"תקין","לא תקין"),""))</f>
        <v/>
      </c>
      <c r="R1511" s="199" t="str">
        <f t="shared" si="352"/>
        <v/>
      </c>
      <c r="S1511" s="199" t="str">
        <f t="shared" si="353"/>
        <v/>
      </c>
      <c r="T1511" s="199" t="str">
        <f t="shared" si="361"/>
        <v/>
      </c>
      <c r="U1511" s="199" t="str">
        <f t="shared" si="354"/>
        <v/>
      </c>
      <c r="V1511" s="989"/>
      <c r="X1511" s="374" t="str">
        <f t="shared" si="355"/>
        <v/>
      </c>
      <c r="Y1511" s="375" t="str">
        <f t="shared" si="356"/>
        <v/>
      </c>
      <c r="Z1511" s="374" t="str">
        <f t="shared" si="357"/>
        <v/>
      </c>
      <c r="AA1511" s="374" t="b">
        <f t="shared" si="358"/>
        <v>1</v>
      </c>
      <c r="AB1511" s="374">
        <f>COUNTIFS(B:B,B1511,H:H,'סיווג התפקידים והעלויות'!$C$2)</f>
        <v>0</v>
      </c>
      <c r="AC1511" s="374">
        <f>COUNTIFS(B:B,B1511,H:H,'סיווג התפקידים והעלויות'!$D$2)</f>
        <v>0</v>
      </c>
      <c r="AD1511" s="374" t="str">
        <f>IF(OR(AND(H1511='סיווג התפקידים והעלויות'!$A$2,I1511='סיווג התפקידים והעלויות'!$A$3),'עלויות כח אדם (6)'!H1511='סיווג התפקידים והעלויות'!$C$2,'עלויות כח אדם (6)'!H1511='סיווג התפקידים והעלויות'!$D$2),IF('עלויות כח אדם (6)'!J1511&lt;75,"לא תקין","תקין"),"")</f>
        <v/>
      </c>
      <c r="AE1511" s="374" t="str">
        <f t="shared" si="359"/>
        <v/>
      </c>
      <c r="AF1511" s="532" t="str">
        <f t="shared" si="360"/>
        <v/>
      </c>
    </row>
    <row r="1512" spans="2:32" x14ac:dyDescent="0.25">
      <c r="B1512" s="695"/>
      <c r="C1512" s="197" t="str">
        <f>IF(B1512&lt;&gt;"",IFERROR(VLOOKUP(B:B,'מצבת והרשמה (2)'!$C$20:$N$520,2,0)," ")," ")</f>
        <v xml:space="preserve"> </v>
      </c>
      <c r="D1512" s="695"/>
      <c r="E1512" s="696"/>
      <c r="F1512" s="696"/>
      <c r="G1512" s="696"/>
      <c r="H1512" s="696"/>
      <c r="I1512" s="1050" t="str">
        <f t="shared" si="347"/>
        <v/>
      </c>
      <c r="J1512" s="696"/>
      <c r="K1512" s="697"/>
      <c r="L1512" s="696"/>
      <c r="M1512" s="198" t="str">
        <f t="shared" si="348"/>
        <v/>
      </c>
      <c r="N1512" s="369" t="str">
        <f t="shared" si="349"/>
        <v/>
      </c>
      <c r="O1512" s="183" t="str">
        <f t="shared" si="350"/>
        <v/>
      </c>
      <c r="P1512" s="199" t="str">
        <f t="shared" si="351"/>
        <v/>
      </c>
      <c r="Q1512" s="199" t="str">
        <f>IF(B1512="","",IFERROR(IF('עלויות כח אדם (6)'!J1512&gt;=VLOOKUP(I1512,'סיווג התפקידים והעלויות'!$B$23:$C$32,2,0),"תקין","לא תקין"),""))</f>
        <v/>
      </c>
      <c r="R1512" s="199" t="str">
        <f t="shared" si="352"/>
        <v/>
      </c>
      <c r="S1512" s="199" t="str">
        <f t="shared" si="353"/>
        <v/>
      </c>
      <c r="T1512" s="199" t="str">
        <f t="shared" si="361"/>
        <v/>
      </c>
      <c r="U1512" s="199" t="str">
        <f t="shared" si="354"/>
        <v/>
      </c>
      <c r="V1512" s="989"/>
      <c r="X1512" s="374" t="str">
        <f t="shared" si="355"/>
        <v/>
      </c>
      <c r="Y1512" s="375" t="str">
        <f t="shared" si="356"/>
        <v/>
      </c>
      <c r="Z1512" s="374" t="str">
        <f t="shared" si="357"/>
        <v/>
      </c>
      <c r="AA1512" s="374" t="b">
        <f t="shared" si="358"/>
        <v>1</v>
      </c>
      <c r="AB1512" s="374">
        <f>COUNTIFS(B:B,B1512,H:H,'סיווג התפקידים והעלויות'!$C$2)</f>
        <v>0</v>
      </c>
      <c r="AC1512" s="374">
        <f>COUNTIFS(B:B,B1512,H:H,'סיווג התפקידים והעלויות'!$D$2)</f>
        <v>0</v>
      </c>
      <c r="AD1512" s="374" t="str">
        <f>IF(OR(AND(H1512='סיווג התפקידים והעלויות'!$A$2,I1512='סיווג התפקידים והעלויות'!$A$3),'עלויות כח אדם (6)'!H1512='סיווג התפקידים והעלויות'!$C$2,'עלויות כח אדם (6)'!H1512='סיווג התפקידים והעלויות'!$D$2),IF('עלויות כח אדם (6)'!J1512&lt;75,"לא תקין","תקין"),"")</f>
        <v/>
      </c>
      <c r="AE1512" s="374" t="str">
        <f t="shared" si="359"/>
        <v/>
      </c>
      <c r="AF1512" s="532" t="str">
        <f t="shared" si="360"/>
        <v/>
      </c>
    </row>
    <row r="1513" spans="2:32" x14ac:dyDescent="0.25">
      <c r="B1513" s="695"/>
      <c r="C1513" s="197" t="str">
        <f>IF(B1513&lt;&gt;"",IFERROR(VLOOKUP(B:B,'מצבת והרשמה (2)'!$C$20:$N$520,2,0)," ")," ")</f>
        <v xml:space="preserve"> </v>
      </c>
      <c r="D1513" s="695"/>
      <c r="E1513" s="696"/>
      <c r="F1513" s="696"/>
      <c r="G1513" s="696"/>
      <c r="H1513" s="696"/>
      <c r="I1513" s="1050" t="str">
        <f t="shared" si="347"/>
        <v/>
      </c>
      <c r="J1513" s="696"/>
      <c r="K1513" s="697"/>
      <c r="L1513" s="696"/>
      <c r="M1513" s="198" t="str">
        <f t="shared" si="348"/>
        <v/>
      </c>
      <c r="N1513" s="369" t="str">
        <f t="shared" si="349"/>
        <v/>
      </c>
      <c r="O1513" s="183" t="str">
        <f t="shared" si="350"/>
        <v/>
      </c>
      <c r="P1513" s="199" t="str">
        <f t="shared" si="351"/>
        <v/>
      </c>
      <c r="Q1513" s="199" t="str">
        <f>IF(B1513="","",IFERROR(IF('עלויות כח אדם (6)'!J1513&gt;=VLOOKUP(I1513,'סיווג התפקידים והעלויות'!$B$23:$C$32,2,0),"תקין","לא תקין"),""))</f>
        <v/>
      </c>
      <c r="R1513" s="199" t="str">
        <f t="shared" si="352"/>
        <v/>
      </c>
      <c r="S1513" s="199" t="str">
        <f t="shared" si="353"/>
        <v/>
      </c>
      <c r="T1513" s="199" t="str">
        <f t="shared" si="361"/>
        <v/>
      </c>
      <c r="U1513" s="199" t="str">
        <f t="shared" si="354"/>
        <v/>
      </c>
      <c r="V1513" s="989"/>
      <c r="X1513" s="374" t="str">
        <f t="shared" si="355"/>
        <v/>
      </c>
      <c r="Y1513" s="375" t="str">
        <f t="shared" si="356"/>
        <v/>
      </c>
      <c r="Z1513" s="374" t="str">
        <f t="shared" si="357"/>
        <v/>
      </c>
      <c r="AA1513" s="374" t="b">
        <f t="shared" si="358"/>
        <v>1</v>
      </c>
      <c r="AB1513" s="374">
        <f>COUNTIFS(B:B,B1513,H:H,'סיווג התפקידים והעלויות'!$C$2)</f>
        <v>0</v>
      </c>
      <c r="AC1513" s="374">
        <f>COUNTIFS(B:B,B1513,H:H,'סיווג התפקידים והעלויות'!$D$2)</f>
        <v>0</v>
      </c>
      <c r="AD1513" s="374" t="str">
        <f>IF(OR(AND(H1513='סיווג התפקידים והעלויות'!$A$2,I1513='סיווג התפקידים והעלויות'!$A$3),'עלויות כח אדם (6)'!H1513='סיווג התפקידים והעלויות'!$C$2,'עלויות כח אדם (6)'!H1513='סיווג התפקידים והעלויות'!$D$2),IF('עלויות כח אדם (6)'!J1513&lt;75,"לא תקין","תקין"),"")</f>
        <v/>
      </c>
      <c r="AE1513" s="374" t="str">
        <f t="shared" si="359"/>
        <v/>
      </c>
      <c r="AF1513" s="532" t="str">
        <f t="shared" si="360"/>
        <v/>
      </c>
    </row>
    <row r="1514" spans="2:32" x14ac:dyDescent="0.25">
      <c r="B1514" s="695"/>
      <c r="C1514" s="197" t="str">
        <f>IF(B1514&lt;&gt;"",IFERROR(VLOOKUP(B:B,'מצבת והרשמה (2)'!$C$20:$N$520,2,0)," ")," ")</f>
        <v xml:space="preserve"> </v>
      </c>
      <c r="D1514" s="695"/>
      <c r="E1514" s="696"/>
      <c r="F1514" s="696"/>
      <c r="G1514" s="696"/>
      <c r="H1514" s="696"/>
      <c r="I1514" s="1050" t="str">
        <f t="shared" si="347"/>
        <v/>
      </c>
      <c r="J1514" s="696"/>
      <c r="K1514" s="697"/>
      <c r="L1514" s="696"/>
      <c r="M1514" s="198" t="str">
        <f t="shared" si="348"/>
        <v/>
      </c>
      <c r="N1514" s="369" t="str">
        <f t="shared" si="349"/>
        <v/>
      </c>
      <c r="O1514" s="183" t="str">
        <f t="shared" si="350"/>
        <v/>
      </c>
      <c r="P1514" s="199" t="str">
        <f t="shared" si="351"/>
        <v/>
      </c>
      <c r="Q1514" s="199" t="str">
        <f>IF(B1514="","",IFERROR(IF('עלויות כח אדם (6)'!J1514&gt;=VLOOKUP(I1514,'סיווג התפקידים והעלויות'!$B$23:$C$32,2,0),"תקין","לא תקין"),""))</f>
        <v/>
      </c>
      <c r="R1514" s="199" t="str">
        <f t="shared" si="352"/>
        <v/>
      </c>
      <c r="S1514" s="199" t="str">
        <f t="shared" si="353"/>
        <v/>
      </c>
      <c r="T1514" s="199" t="str">
        <f t="shared" si="361"/>
        <v/>
      </c>
      <c r="U1514" s="199" t="str">
        <f t="shared" si="354"/>
        <v/>
      </c>
      <c r="V1514" s="989"/>
      <c r="X1514" s="374" t="str">
        <f t="shared" si="355"/>
        <v/>
      </c>
      <c r="Y1514" s="375" t="str">
        <f t="shared" si="356"/>
        <v/>
      </c>
      <c r="Z1514" s="374" t="str">
        <f t="shared" si="357"/>
        <v/>
      </c>
      <c r="AA1514" s="374" t="b">
        <f t="shared" si="358"/>
        <v>1</v>
      </c>
      <c r="AB1514" s="374">
        <f>COUNTIFS(B:B,B1514,H:H,'סיווג התפקידים והעלויות'!$C$2)</f>
        <v>0</v>
      </c>
      <c r="AC1514" s="374">
        <f>COUNTIFS(B:B,B1514,H:H,'סיווג התפקידים והעלויות'!$D$2)</f>
        <v>0</v>
      </c>
      <c r="AD1514" s="374" t="str">
        <f>IF(OR(AND(H1514='סיווג התפקידים והעלויות'!$A$2,I1514='סיווג התפקידים והעלויות'!$A$3),'עלויות כח אדם (6)'!H1514='סיווג התפקידים והעלויות'!$C$2,'עלויות כח אדם (6)'!H1514='סיווג התפקידים והעלויות'!$D$2),IF('עלויות כח אדם (6)'!J1514&lt;75,"לא תקין","תקין"),"")</f>
        <v/>
      </c>
      <c r="AE1514" s="374" t="str">
        <f t="shared" si="359"/>
        <v/>
      </c>
      <c r="AF1514" s="532" t="str">
        <f t="shared" si="360"/>
        <v/>
      </c>
    </row>
    <row r="1515" spans="2:32" x14ac:dyDescent="0.25">
      <c r="B1515" s="695"/>
      <c r="C1515" s="197" t="str">
        <f>IF(B1515&lt;&gt;"",IFERROR(VLOOKUP(B:B,'מצבת והרשמה (2)'!$C$20:$N$520,2,0)," ")," ")</f>
        <v xml:space="preserve"> </v>
      </c>
      <c r="D1515" s="695"/>
      <c r="E1515" s="696"/>
      <c r="F1515" s="696"/>
      <c r="G1515" s="696"/>
      <c r="H1515" s="696"/>
      <c r="I1515" s="1050" t="str">
        <f t="shared" si="347"/>
        <v/>
      </c>
      <c r="J1515" s="696"/>
      <c r="K1515" s="697"/>
      <c r="L1515" s="696"/>
      <c r="M1515" s="198" t="str">
        <f t="shared" si="348"/>
        <v/>
      </c>
      <c r="N1515" s="369" t="str">
        <f t="shared" si="349"/>
        <v/>
      </c>
      <c r="O1515" s="183" t="str">
        <f t="shared" si="350"/>
        <v/>
      </c>
      <c r="P1515" s="199" t="str">
        <f t="shared" si="351"/>
        <v/>
      </c>
      <c r="Q1515" s="199" t="str">
        <f>IF(B1515="","",IFERROR(IF('עלויות כח אדם (6)'!J1515&gt;=VLOOKUP(I1515,'סיווג התפקידים והעלויות'!$B$23:$C$32,2,0),"תקין","לא תקין"),""))</f>
        <v/>
      </c>
      <c r="R1515" s="199" t="str">
        <f t="shared" si="352"/>
        <v/>
      </c>
      <c r="S1515" s="199" t="str">
        <f t="shared" si="353"/>
        <v/>
      </c>
      <c r="T1515" s="199" t="str">
        <f t="shared" si="361"/>
        <v/>
      </c>
      <c r="U1515" s="199" t="str">
        <f t="shared" si="354"/>
        <v/>
      </c>
      <c r="V1515" s="989"/>
      <c r="X1515" s="374" t="str">
        <f t="shared" si="355"/>
        <v/>
      </c>
      <c r="Y1515" s="375" t="str">
        <f t="shared" si="356"/>
        <v/>
      </c>
      <c r="Z1515" s="374" t="str">
        <f t="shared" si="357"/>
        <v/>
      </c>
      <c r="AA1515" s="374" t="b">
        <f t="shared" si="358"/>
        <v>1</v>
      </c>
      <c r="AB1515" s="374">
        <f>COUNTIFS(B:B,B1515,H:H,'סיווג התפקידים והעלויות'!$C$2)</f>
        <v>0</v>
      </c>
      <c r="AC1515" s="374">
        <f>COUNTIFS(B:B,B1515,H:H,'סיווג התפקידים והעלויות'!$D$2)</f>
        <v>0</v>
      </c>
      <c r="AD1515" s="374" t="str">
        <f>IF(OR(AND(H1515='סיווג התפקידים והעלויות'!$A$2,I1515='סיווג התפקידים והעלויות'!$A$3),'עלויות כח אדם (6)'!H1515='סיווג התפקידים והעלויות'!$C$2,'עלויות כח אדם (6)'!H1515='סיווג התפקידים והעלויות'!$D$2),IF('עלויות כח אדם (6)'!J1515&lt;75,"לא תקין","תקין"),"")</f>
        <v/>
      </c>
      <c r="AE1515" s="374" t="str">
        <f t="shared" si="359"/>
        <v/>
      </c>
      <c r="AF1515" s="532" t="str">
        <f t="shared" si="360"/>
        <v/>
      </c>
    </row>
    <row r="1516" spans="2:32" x14ac:dyDescent="0.25">
      <c r="B1516" s="695"/>
      <c r="C1516" s="197" t="str">
        <f>IF(B1516&lt;&gt;"",IFERROR(VLOOKUP(B:B,'מצבת והרשמה (2)'!$C$20:$N$520,2,0)," ")," ")</f>
        <v xml:space="preserve"> </v>
      </c>
      <c r="D1516" s="695"/>
      <c r="E1516" s="696"/>
      <c r="F1516" s="696"/>
      <c r="G1516" s="696"/>
      <c r="H1516" s="696"/>
      <c r="I1516" s="1050" t="str">
        <f t="shared" si="347"/>
        <v/>
      </c>
      <c r="J1516" s="696"/>
      <c r="K1516" s="697"/>
      <c r="L1516" s="696"/>
      <c r="M1516" s="198" t="str">
        <f t="shared" si="348"/>
        <v/>
      </c>
      <c r="N1516" s="369" t="str">
        <f t="shared" si="349"/>
        <v/>
      </c>
      <c r="O1516" s="183" t="str">
        <f t="shared" si="350"/>
        <v/>
      </c>
      <c r="P1516" s="199" t="str">
        <f t="shared" si="351"/>
        <v/>
      </c>
      <c r="Q1516" s="199" t="str">
        <f>IF(B1516="","",IFERROR(IF('עלויות כח אדם (6)'!J1516&gt;=VLOOKUP(I1516,'סיווג התפקידים והעלויות'!$B$23:$C$32,2,0),"תקין","לא תקין"),""))</f>
        <v/>
      </c>
      <c r="R1516" s="199" t="str">
        <f t="shared" si="352"/>
        <v/>
      </c>
      <c r="S1516" s="199" t="str">
        <f t="shared" si="353"/>
        <v/>
      </c>
      <c r="T1516" s="199" t="str">
        <f t="shared" si="361"/>
        <v/>
      </c>
      <c r="U1516" s="199" t="str">
        <f t="shared" si="354"/>
        <v/>
      </c>
      <c r="V1516" s="989"/>
      <c r="X1516" s="374" t="str">
        <f t="shared" si="355"/>
        <v/>
      </c>
      <c r="Y1516" s="375" t="str">
        <f t="shared" si="356"/>
        <v/>
      </c>
      <c r="Z1516" s="374" t="str">
        <f t="shared" si="357"/>
        <v/>
      </c>
      <c r="AA1516" s="374" t="b">
        <f t="shared" si="358"/>
        <v>1</v>
      </c>
      <c r="AB1516" s="374">
        <f>COUNTIFS(B:B,B1516,H:H,'סיווג התפקידים והעלויות'!$C$2)</f>
        <v>0</v>
      </c>
      <c r="AC1516" s="374">
        <f>COUNTIFS(B:B,B1516,H:H,'סיווג התפקידים והעלויות'!$D$2)</f>
        <v>0</v>
      </c>
      <c r="AD1516" s="374" t="str">
        <f>IF(OR(AND(H1516='סיווג התפקידים והעלויות'!$A$2,I1516='סיווג התפקידים והעלויות'!$A$3),'עלויות כח אדם (6)'!H1516='סיווג התפקידים והעלויות'!$C$2,'עלויות כח אדם (6)'!H1516='סיווג התפקידים והעלויות'!$D$2),IF('עלויות כח אדם (6)'!J1516&lt;75,"לא תקין","תקין"),"")</f>
        <v/>
      </c>
      <c r="AE1516" s="374" t="str">
        <f t="shared" si="359"/>
        <v/>
      </c>
      <c r="AF1516" s="532" t="str">
        <f t="shared" si="360"/>
        <v/>
      </c>
    </row>
    <row r="1517" spans="2:32" x14ac:dyDescent="0.25">
      <c r="B1517" s="695"/>
      <c r="C1517" s="197" t="str">
        <f>IF(B1517&lt;&gt;"",IFERROR(VLOOKUP(B:B,'מצבת והרשמה (2)'!$C$20:$N$520,2,0)," ")," ")</f>
        <v xml:space="preserve"> </v>
      </c>
      <c r="D1517" s="695"/>
      <c r="E1517" s="696"/>
      <c r="F1517" s="696"/>
      <c r="G1517" s="696"/>
      <c r="H1517" s="696"/>
      <c r="I1517" s="1050" t="str">
        <f t="shared" si="347"/>
        <v/>
      </c>
      <c r="J1517" s="696"/>
      <c r="K1517" s="697"/>
      <c r="L1517" s="696"/>
      <c r="M1517" s="198" t="str">
        <f t="shared" si="348"/>
        <v/>
      </c>
      <c r="N1517" s="369" t="str">
        <f t="shared" si="349"/>
        <v/>
      </c>
      <c r="O1517" s="183" t="str">
        <f t="shared" si="350"/>
        <v/>
      </c>
      <c r="P1517" s="199" t="str">
        <f t="shared" si="351"/>
        <v/>
      </c>
      <c r="Q1517" s="199" t="str">
        <f>IF(B1517="","",IFERROR(IF('עלויות כח אדם (6)'!J1517&gt;=VLOOKUP(I1517,'סיווג התפקידים והעלויות'!$B$23:$C$32,2,0),"תקין","לא תקין"),""))</f>
        <v/>
      </c>
      <c r="R1517" s="199" t="str">
        <f t="shared" si="352"/>
        <v/>
      </c>
      <c r="S1517" s="199" t="str">
        <f t="shared" si="353"/>
        <v/>
      </c>
      <c r="T1517" s="199" t="str">
        <f t="shared" si="361"/>
        <v/>
      </c>
      <c r="U1517" s="199" t="str">
        <f t="shared" si="354"/>
        <v/>
      </c>
      <c r="V1517" s="989"/>
      <c r="X1517" s="374" t="str">
        <f t="shared" si="355"/>
        <v/>
      </c>
      <c r="Y1517" s="375" t="str">
        <f t="shared" si="356"/>
        <v/>
      </c>
      <c r="Z1517" s="374" t="str">
        <f t="shared" si="357"/>
        <v/>
      </c>
      <c r="AA1517" s="374" t="b">
        <f t="shared" si="358"/>
        <v>1</v>
      </c>
      <c r="AB1517" s="374">
        <f>COUNTIFS(B:B,B1517,H:H,'סיווג התפקידים והעלויות'!$C$2)</f>
        <v>0</v>
      </c>
      <c r="AC1517" s="374">
        <f>COUNTIFS(B:B,B1517,H:H,'סיווג התפקידים והעלויות'!$D$2)</f>
        <v>0</v>
      </c>
      <c r="AD1517" s="374" t="str">
        <f>IF(OR(AND(H1517='סיווג התפקידים והעלויות'!$A$2,I1517='סיווג התפקידים והעלויות'!$A$3),'עלויות כח אדם (6)'!H1517='סיווג התפקידים והעלויות'!$C$2,'עלויות כח אדם (6)'!H1517='סיווג התפקידים והעלויות'!$D$2),IF('עלויות כח אדם (6)'!J1517&lt;75,"לא תקין","תקין"),"")</f>
        <v/>
      </c>
      <c r="AE1517" s="374" t="str">
        <f t="shared" si="359"/>
        <v/>
      </c>
      <c r="AF1517" s="532" t="str">
        <f t="shared" si="360"/>
        <v/>
      </c>
    </row>
    <row r="1518" spans="2:32" x14ac:dyDescent="0.25">
      <c r="B1518" s="695"/>
      <c r="C1518" s="197" t="str">
        <f>IF(B1518&lt;&gt;"",IFERROR(VLOOKUP(B:B,'מצבת והרשמה (2)'!$C$20:$N$520,2,0)," ")," ")</f>
        <v xml:space="preserve"> </v>
      </c>
      <c r="D1518" s="695"/>
      <c r="E1518" s="696"/>
      <c r="F1518" s="696"/>
      <c r="G1518" s="696"/>
      <c r="H1518" s="696"/>
      <c r="I1518" s="1050" t="str">
        <f t="shared" si="347"/>
        <v/>
      </c>
      <c r="J1518" s="696"/>
      <c r="K1518" s="697"/>
      <c r="L1518" s="696"/>
      <c r="M1518" s="198" t="str">
        <f t="shared" si="348"/>
        <v/>
      </c>
      <c r="N1518" s="369" t="str">
        <f t="shared" si="349"/>
        <v/>
      </c>
      <c r="O1518" s="183" t="str">
        <f t="shared" si="350"/>
        <v/>
      </c>
      <c r="P1518" s="199" t="str">
        <f t="shared" si="351"/>
        <v/>
      </c>
      <c r="Q1518" s="199" t="str">
        <f>IF(B1518="","",IFERROR(IF('עלויות כח אדם (6)'!J1518&gt;=VLOOKUP(I1518,'סיווג התפקידים והעלויות'!$B$23:$C$32,2,0),"תקין","לא תקין"),""))</f>
        <v/>
      </c>
      <c r="R1518" s="199" t="str">
        <f t="shared" si="352"/>
        <v/>
      </c>
      <c r="S1518" s="199" t="str">
        <f t="shared" si="353"/>
        <v/>
      </c>
      <c r="T1518" s="199" t="str">
        <f t="shared" si="361"/>
        <v/>
      </c>
      <c r="U1518" s="199" t="str">
        <f t="shared" si="354"/>
        <v/>
      </c>
      <c r="V1518" s="989"/>
      <c r="X1518" s="374" t="str">
        <f t="shared" si="355"/>
        <v/>
      </c>
      <c r="Y1518" s="375" t="str">
        <f t="shared" si="356"/>
        <v/>
      </c>
      <c r="Z1518" s="374" t="str">
        <f t="shared" si="357"/>
        <v/>
      </c>
      <c r="AA1518" s="374" t="b">
        <f t="shared" si="358"/>
        <v>1</v>
      </c>
      <c r="AB1518" s="374">
        <f>COUNTIFS(B:B,B1518,H:H,'סיווג התפקידים והעלויות'!$C$2)</f>
        <v>0</v>
      </c>
      <c r="AC1518" s="374">
        <f>COUNTIFS(B:B,B1518,H:H,'סיווג התפקידים והעלויות'!$D$2)</f>
        <v>0</v>
      </c>
      <c r="AD1518" s="374" t="str">
        <f>IF(OR(AND(H1518='סיווג התפקידים והעלויות'!$A$2,I1518='סיווג התפקידים והעלויות'!$A$3),'עלויות כח אדם (6)'!H1518='סיווג התפקידים והעלויות'!$C$2,'עלויות כח אדם (6)'!H1518='סיווג התפקידים והעלויות'!$D$2),IF('עלויות כח אדם (6)'!J1518&lt;75,"לא תקין","תקין"),"")</f>
        <v/>
      </c>
      <c r="AE1518" s="374" t="str">
        <f t="shared" si="359"/>
        <v/>
      </c>
      <c r="AF1518" s="532" t="str">
        <f t="shared" si="360"/>
        <v/>
      </c>
    </row>
    <row r="1519" spans="2:32" x14ac:dyDescent="0.25">
      <c r="B1519" s="695"/>
      <c r="C1519" s="197" t="str">
        <f>IF(B1519&lt;&gt;"",IFERROR(VLOOKUP(B:B,'מצבת והרשמה (2)'!$C$20:$N$520,2,0)," ")," ")</f>
        <v xml:space="preserve"> </v>
      </c>
      <c r="D1519" s="695"/>
      <c r="E1519" s="696"/>
      <c r="F1519" s="696"/>
      <c r="G1519" s="696"/>
      <c r="H1519" s="696"/>
      <c r="I1519" s="1050" t="str">
        <f t="shared" si="347"/>
        <v/>
      </c>
      <c r="J1519" s="696"/>
      <c r="K1519" s="697"/>
      <c r="L1519" s="696"/>
      <c r="M1519" s="198" t="str">
        <f t="shared" si="348"/>
        <v/>
      </c>
      <c r="N1519" s="369" t="str">
        <f t="shared" si="349"/>
        <v/>
      </c>
      <c r="O1519" s="183" t="str">
        <f t="shared" si="350"/>
        <v/>
      </c>
      <c r="P1519" s="199" t="str">
        <f t="shared" si="351"/>
        <v/>
      </c>
      <c r="Q1519" s="199" t="str">
        <f>IF(B1519="","",IFERROR(IF('עלויות כח אדם (6)'!J1519&gt;=VLOOKUP(I1519,'סיווג התפקידים והעלויות'!$B$23:$C$32,2,0),"תקין","לא תקין"),""))</f>
        <v/>
      </c>
      <c r="R1519" s="199" t="str">
        <f t="shared" si="352"/>
        <v/>
      </c>
      <c r="S1519" s="199" t="str">
        <f t="shared" si="353"/>
        <v/>
      </c>
      <c r="T1519" s="199" t="str">
        <f t="shared" si="361"/>
        <v/>
      </c>
      <c r="U1519" s="199" t="str">
        <f t="shared" si="354"/>
        <v/>
      </c>
      <c r="V1519" s="989"/>
      <c r="X1519" s="374" t="str">
        <f t="shared" si="355"/>
        <v/>
      </c>
      <c r="Y1519" s="375" t="str">
        <f t="shared" si="356"/>
        <v/>
      </c>
      <c r="Z1519" s="374" t="str">
        <f t="shared" si="357"/>
        <v/>
      </c>
      <c r="AA1519" s="374" t="b">
        <f t="shared" si="358"/>
        <v>1</v>
      </c>
      <c r="AB1519" s="374">
        <f>COUNTIFS(B:B,B1519,H:H,'סיווג התפקידים והעלויות'!$C$2)</f>
        <v>0</v>
      </c>
      <c r="AC1519" s="374">
        <f>COUNTIFS(B:B,B1519,H:H,'סיווג התפקידים והעלויות'!$D$2)</f>
        <v>0</v>
      </c>
      <c r="AD1519" s="374" t="str">
        <f>IF(OR(AND(H1519='סיווג התפקידים והעלויות'!$A$2,I1519='סיווג התפקידים והעלויות'!$A$3),'עלויות כח אדם (6)'!H1519='סיווג התפקידים והעלויות'!$C$2,'עלויות כח אדם (6)'!H1519='סיווג התפקידים והעלויות'!$D$2),IF('עלויות כח אדם (6)'!J1519&lt;75,"לא תקין","תקין"),"")</f>
        <v/>
      </c>
      <c r="AE1519" s="374" t="str">
        <f t="shared" si="359"/>
        <v/>
      </c>
      <c r="AF1519" s="532" t="str">
        <f t="shared" si="360"/>
        <v/>
      </c>
    </row>
    <row r="1520" spans="2:32" x14ac:dyDescent="0.25">
      <c r="B1520" s="695"/>
      <c r="C1520" s="197" t="str">
        <f>IF(B1520&lt;&gt;"",IFERROR(VLOOKUP(B:B,'מצבת והרשמה (2)'!$C$20:$N$520,2,0)," ")," ")</f>
        <v xml:space="preserve"> </v>
      </c>
      <c r="D1520" s="695"/>
      <c r="E1520" s="696"/>
      <c r="F1520" s="696"/>
      <c r="G1520" s="696"/>
      <c r="H1520" s="696"/>
      <c r="I1520" s="1050" t="str">
        <f t="shared" si="347"/>
        <v/>
      </c>
      <c r="J1520" s="696"/>
      <c r="K1520" s="697"/>
      <c r="L1520" s="696"/>
      <c r="M1520" s="198" t="str">
        <f t="shared" si="348"/>
        <v/>
      </c>
      <c r="N1520" s="369" t="str">
        <f t="shared" si="349"/>
        <v/>
      </c>
      <c r="O1520" s="183" t="str">
        <f t="shared" si="350"/>
        <v/>
      </c>
      <c r="P1520" s="199" t="str">
        <f t="shared" si="351"/>
        <v/>
      </c>
      <c r="Q1520" s="199" t="str">
        <f>IF(B1520="","",IFERROR(IF('עלויות כח אדם (6)'!J1520&gt;=VLOOKUP(I1520,'סיווג התפקידים והעלויות'!$B$23:$C$32,2,0),"תקין","לא תקין"),""))</f>
        <v/>
      </c>
      <c r="R1520" s="199" t="str">
        <f t="shared" si="352"/>
        <v/>
      </c>
      <c r="S1520" s="199" t="str">
        <f t="shared" si="353"/>
        <v/>
      </c>
      <c r="T1520" s="199" t="str">
        <f t="shared" si="361"/>
        <v/>
      </c>
      <c r="U1520" s="199" t="str">
        <f t="shared" si="354"/>
        <v/>
      </c>
      <c r="V1520" s="989"/>
      <c r="X1520" s="374" t="str">
        <f t="shared" si="355"/>
        <v/>
      </c>
      <c r="Y1520" s="375" t="str">
        <f t="shared" si="356"/>
        <v/>
      </c>
      <c r="Z1520" s="374" t="str">
        <f t="shared" si="357"/>
        <v/>
      </c>
      <c r="AA1520" s="374" t="b">
        <f t="shared" si="358"/>
        <v>1</v>
      </c>
      <c r="AB1520" s="374">
        <f>COUNTIFS(B:B,B1520,H:H,'סיווג התפקידים והעלויות'!$C$2)</f>
        <v>0</v>
      </c>
      <c r="AC1520" s="374">
        <f>COUNTIFS(B:B,B1520,H:H,'סיווג התפקידים והעלויות'!$D$2)</f>
        <v>0</v>
      </c>
      <c r="AD1520" s="374" t="str">
        <f>IF(OR(AND(H1520='סיווג התפקידים והעלויות'!$A$2,I1520='סיווג התפקידים והעלויות'!$A$3),'עלויות כח אדם (6)'!H1520='סיווג התפקידים והעלויות'!$C$2,'עלויות כח אדם (6)'!H1520='סיווג התפקידים והעלויות'!$D$2),IF('עלויות כח אדם (6)'!J1520&lt;75,"לא תקין","תקין"),"")</f>
        <v/>
      </c>
      <c r="AE1520" s="374" t="str">
        <f t="shared" si="359"/>
        <v/>
      </c>
      <c r="AF1520" s="532" t="str">
        <f t="shared" si="360"/>
        <v/>
      </c>
    </row>
    <row r="1521" spans="2:32" x14ac:dyDescent="0.25">
      <c r="B1521" s="695"/>
      <c r="C1521" s="197" t="str">
        <f>IF(B1521&lt;&gt;"",IFERROR(VLOOKUP(B:B,'מצבת והרשמה (2)'!$C$20:$N$520,2,0)," ")," ")</f>
        <v xml:space="preserve"> </v>
      </c>
      <c r="D1521" s="695"/>
      <c r="E1521" s="696"/>
      <c r="F1521" s="696"/>
      <c r="G1521" s="696"/>
      <c r="H1521" s="696"/>
      <c r="I1521" s="1050" t="str">
        <f t="shared" si="347"/>
        <v/>
      </c>
      <c r="J1521" s="696"/>
      <c r="K1521" s="697"/>
      <c r="L1521" s="696"/>
      <c r="M1521" s="198" t="str">
        <f t="shared" si="348"/>
        <v/>
      </c>
      <c r="N1521" s="369" t="str">
        <f t="shared" si="349"/>
        <v/>
      </c>
      <c r="O1521" s="183" t="str">
        <f t="shared" si="350"/>
        <v/>
      </c>
      <c r="P1521" s="199" t="str">
        <f t="shared" si="351"/>
        <v/>
      </c>
      <c r="Q1521" s="199" t="str">
        <f>IF(B1521="","",IFERROR(IF('עלויות כח אדם (6)'!J1521&gt;=VLOOKUP(I1521,'סיווג התפקידים והעלויות'!$B$23:$C$32,2,0),"תקין","לא תקין"),""))</f>
        <v/>
      </c>
      <c r="R1521" s="199" t="str">
        <f t="shared" si="352"/>
        <v/>
      </c>
      <c r="S1521" s="199" t="str">
        <f t="shared" si="353"/>
        <v/>
      </c>
      <c r="T1521" s="199" t="str">
        <f t="shared" si="361"/>
        <v/>
      </c>
      <c r="U1521" s="199" t="str">
        <f t="shared" si="354"/>
        <v/>
      </c>
      <c r="V1521" s="989"/>
      <c r="X1521" s="374" t="str">
        <f t="shared" si="355"/>
        <v/>
      </c>
      <c r="Y1521" s="375" t="str">
        <f t="shared" si="356"/>
        <v/>
      </c>
      <c r="Z1521" s="374" t="str">
        <f t="shared" si="357"/>
        <v/>
      </c>
      <c r="AA1521" s="374" t="b">
        <f t="shared" si="358"/>
        <v>1</v>
      </c>
      <c r="AB1521" s="374">
        <f>COUNTIFS(B:B,B1521,H:H,'סיווג התפקידים והעלויות'!$C$2)</f>
        <v>0</v>
      </c>
      <c r="AC1521" s="374">
        <f>COUNTIFS(B:B,B1521,H:H,'סיווג התפקידים והעלויות'!$D$2)</f>
        <v>0</v>
      </c>
      <c r="AD1521" s="374" t="str">
        <f>IF(OR(AND(H1521='סיווג התפקידים והעלויות'!$A$2,I1521='סיווג התפקידים והעלויות'!$A$3),'עלויות כח אדם (6)'!H1521='סיווג התפקידים והעלויות'!$C$2,'עלויות כח אדם (6)'!H1521='סיווג התפקידים והעלויות'!$D$2),IF('עלויות כח אדם (6)'!J1521&lt;75,"לא תקין","תקין"),"")</f>
        <v/>
      </c>
      <c r="AE1521" s="374" t="str">
        <f t="shared" si="359"/>
        <v/>
      </c>
      <c r="AF1521" s="532" t="str">
        <f t="shared" si="360"/>
        <v/>
      </c>
    </row>
    <row r="1522" spans="2:32" x14ac:dyDescent="0.25">
      <c r="B1522" s="695"/>
      <c r="C1522" s="197" t="str">
        <f>IF(B1522&lt;&gt;"",IFERROR(VLOOKUP(B:B,'מצבת והרשמה (2)'!$C$20:$N$520,2,0)," ")," ")</f>
        <v xml:space="preserve"> </v>
      </c>
      <c r="D1522" s="695"/>
      <c r="E1522" s="696"/>
      <c r="F1522" s="696"/>
      <c r="G1522" s="696"/>
      <c r="H1522" s="696"/>
      <c r="I1522" s="1050" t="str">
        <f t="shared" si="347"/>
        <v/>
      </c>
      <c r="J1522" s="696"/>
      <c r="K1522" s="697"/>
      <c r="L1522" s="696"/>
      <c r="M1522" s="198" t="str">
        <f t="shared" si="348"/>
        <v/>
      </c>
      <c r="N1522" s="369" t="str">
        <f t="shared" si="349"/>
        <v/>
      </c>
      <c r="O1522" s="183" t="str">
        <f t="shared" si="350"/>
        <v/>
      </c>
      <c r="P1522" s="199" t="str">
        <f t="shared" si="351"/>
        <v/>
      </c>
      <c r="Q1522" s="199" t="str">
        <f>IF(B1522="","",IFERROR(IF('עלויות כח אדם (6)'!J1522&gt;=VLOOKUP(I1522,'סיווג התפקידים והעלויות'!$B$23:$C$32,2,0),"תקין","לא תקין"),""))</f>
        <v/>
      </c>
      <c r="R1522" s="199" t="str">
        <f t="shared" si="352"/>
        <v/>
      </c>
      <c r="S1522" s="199" t="str">
        <f t="shared" si="353"/>
        <v/>
      </c>
      <c r="T1522" s="199" t="str">
        <f t="shared" si="361"/>
        <v/>
      </c>
      <c r="U1522" s="199" t="str">
        <f t="shared" si="354"/>
        <v/>
      </c>
      <c r="V1522" s="989"/>
      <c r="X1522" s="374" t="str">
        <f t="shared" si="355"/>
        <v/>
      </c>
      <c r="Y1522" s="375" t="str">
        <f t="shared" si="356"/>
        <v/>
      </c>
      <c r="Z1522" s="374" t="str">
        <f t="shared" si="357"/>
        <v/>
      </c>
      <c r="AA1522" s="374" t="b">
        <f t="shared" si="358"/>
        <v>1</v>
      </c>
      <c r="AB1522" s="374">
        <f>COUNTIFS(B:B,B1522,H:H,'סיווג התפקידים והעלויות'!$C$2)</f>
        <v>0</v>
      </c>
      <c r="AC1522" s="374">
        <f>COUNTIFS(B:B,B1522,H:H,'סיווג התפקידים והעלויות'!$D$2)</f>
        <v>0</v>
      </c>
      <c r="AD1522" s="374" t="str">
        <f>IF(OR(AND(H1522='סיווג התפקידים והעלויות'!$A$2,I1522='סיווג התפקידים והעלויות'!$A$3),'עלויות כח אדם (6)'!H1522='סיווג התפקידים והעלויות'!$C$2,'עלויות כח אדם (6)'!H1522='סיווג התפקידים והעלויות'!$D$2),IF('עלויות כח אדם (6)'!J1522&lt;75,"לא תקין","תקין"),"")</f>
        <v/>
      </c>
      <c r="AE1522" s="374" t="str">
        <f t="shared" si="359"/>
        <v/>
      </c>
      <c r="AF1522" s="532" t="str">
        <f t="shared" si="360"/>
        <v/>
      </c>
    </row>
    <row r="1523" spans="2:32" x14ac:dyDescent="0.25">
      <c r="B1523" s="695"/>
      <c r="C1523" s="197" t="str">
        <f>IF(B1523&lt;&gt;"",IFERROR(VLOOKUP(B:B,'מצבת והרשמה (2)'!$C$20:$N$520,2,0)," ")," ")</f>
        <v xml:space="preserve"> </v>
      </c>
      <c r="D1523" s="695"/>
      <c r="E1523" s="696"/>
      <c r="F1523" s="696"/>
      <c r="G1523" s="696"/>
      <c r="H1523" s="696"/>
      <c r="I1523" s="1050" t="str">
        <f t="shared" si="347"/>
        <v/>
      </c>
      <c r="J1523" s="696"/>
      <c r="K1523" s="697"/>
      <c r="L1523" s="696"/>
      <c r="M1523" s="198" t="str">
        <f t="shared" si="348"/>
        <v/>
      </c>
      <c r="N1523" s="369" t="str">
        <f t="shared" si="349"/>
        <v/>
      </c>
      <c r="O1523" s="183" t="str">
        <f t="shared" si="350"/>
        <v/>
      </c>
      <c r="P1523" s="199" t="str">
        <f t="shared" si="351"/>
        <v/>
      </c>
      <c r="Q1523" s="199" t="str">
        <f>IF(B1523="","",IFERROR(IF('עלויות כח אדם (6)'!J1523&gt;=VLOOKUP(I1523,'סיווג התפקידים והעלויות'!$B$23:$C$32,2,0),"תקין","לא תקין"),""))</f>
        <v/>
      </c>
      <c r="R1523" s="199" t="str">
        <f t="shared" si="352"/>
        <v/>
      </c>
      <c r="S1523" s="199" t="str">
        <f t="shared" si="353"/>
        <v/>
      </c>
      <c r="T1523" s="199" t="str">
        <f t="shared" si="361"/>
        <v/>
      </c>
      <c r="U1523" s="199" t="str">
        <f t="shared" si="354"/>
        <v/>
      </c>
      <c r="V1523" s="989"/>
      <c r="X1523" s="374" t="str">
        <f t="shared" si="355"/>
        <v/>
      </c>
      <c r="Y1523" s="375" t="str">
        <f t="shared" si="356"/>
        <v/>
      </c>
      <c r="Z1523" s="374" t="str">
        <f t="shared" si="357"/>
        <v/>
      </c>
      <c r="AA1523" s="374" t="b">
        <f t="shared" si="358"/>
        <v>1</v>
      </c>
      <c r="AB1523" s="374">
        <f>COUNTIFS(B:B,B1523,H:H,'סיווג התפקידים והעלויות'!$C$2)</f>
        <v>0</v>
      </c>
      <c r="AC1523" s="374">
        <f>COUNTIFS(B:B,B1523,H:H,'סיווג התפקידים והעלויות'!$D$2)</f>
        <v>0</v>
      </c>
      <c r="AD1523" s="374" t="str">
        <f>IF(OR(AND(H1523='סיווג התפקידים והעלויות'!$A$2,I1523='סיווג התפקידים והעלויות'!$A$3),'עלויות כח אדם (6)'!H1523='סיווג התפקידים והעלויות'!$C$2,'עלויות כח אדם (6)'!H1523='סיווג התפקידים והעלויות'!$D$2),IF('עלויות כח אדם (6)'!J1523&lt;75,"לא תקין","תקין"),"")</f>
        <v/>
      </c>
      <c r="AE1523" s="374" t="str">
        <f t="shared" si="359"/>
        <v/>
      </c>
      <c r="AF1523" s="532" t="str">
        <f t="shared" si="360"/>
        <v/>
      </c>
    </row>
    <row r="1524" spans="2:32" x14ac:dyDescent="0.25">
      <c r="B1524" s="695"/>
      <c r="C1524" s="197" t="str">
        <f>IF(B1524&lt;&gt;"",IFERROR(VLOOKUP(B:B,'מצבת והרשמה (2)'!$C$20:$N$520,2,0)," ")," ")</f>
        <v xml:space="preserve"> </v>
      </c>
      <c r="D1524" s="695"/>
      <c r="E1524" s="696"/>
      <c r="F1524" s="696"/>
      <c r="G1524" s="696"/>
      <c r="H1524" s="696"/>
      <c r="I1524" s="1050" t="str">
        <f t="shared" si="347"/>
        <v/>
      </c>
      <c r="J1524" s="696"/>
      <c r="K1524" s="697"/>
      <c r="L1524" s="696"/>
      <c r="M1524" s="198" t="str">
        <f t="shared" si="348"/>
        <v/>
      </c>
      <c r="N1524" s="369" t="str">
        <f t="shared" si="349"/>
        <v/>
      </c>
      <c r="O1524" s="183" t="str">
        <f t="shared" si="350"/>
        <v/>
      </c>
      <c r="P1524" s="199" t="str">
        <f t="shared" si="351"/>
        <v/>
      </c>
      <c r="Q1524" s="199" t="str">
        <f>IF(B1524="","",IFERROR(IF('עלויות כח אדם (6)'!J1524&gt;=VLOOKUP(I1524,'סיווג התפקידים והעלויות'!$B$23:$C$32,2,0),"תקין","לא תקין"),""))</f>
        <v/>
      </c>
      <c r="R1524" s="199" t="str">
        <f t="shared" si="352"/>
        <v/>
      </c>
      <c r="S1524" s="199" t="str">
        <f t="shared" si="353"/>
        <v/>
      </c>
      <c r="T1524" s="199" t="str">
        <f t="shared" si="361"/>
        <v/>
      </c>
      <c r="U1524" s="199" t="str">
        <f t="shared" si="354"/>
        <v/>
      </c>
      <c r="V1524" s="989"/>
      <c r="X1524" s="374" t="str">
        <f t="shared" si="355"/>
        <v/>
      </c>
      <c r="Y1524" s="375" t="str">
        <f t="shared" si="356"/>
        <v/>
      </c>
      <c r="Z1524" s="374" t="str">
        <f t="shared" si="357"/>
        <v/>
      </c>
      <c r="AA1524" s="374" t="b">
        <f t="shared" si="358"/>
        <v>1</v>
      </c>
      <c r="AB1524" s="374">
        <f>COUNTIFS(B:B,B1524,H:H,'סיווג התפקידים והעלויות'!$C$2)</f>
        <v>0</v>
      </c>
      <c r="AC1524" s="374">
        <f>COUNTIFS(B:B,B1524,H:H,'סיווג התפקידים והעלויות'!$D$2)</f>
        <v>0</v>
      </c>
      <c r="AD1524" s="374" t="str">
        <f>IF(OR(AND(H1524='סיווג התפקידים והעלויות'!$A$2,I1524='סיווג התפקידים והעלויות'!$A$3),'עלויות כח אדם (6)'!H1524='סיווג התפקידים והעלויות'!$C$2,'עלויות כח אדם (6)'!H1524='סיווג התפקידים והעלויות'!$D$2),IF('עלויות כח אדם (6)'!J1524&lt;75,"לא תקין","תקין"),"")</f>
        <v/>
      </c>
      <c r="AE1524" s="374" t="str">
        <f t="shared" si="359"/>
        <v/>
      </c>
      <c r="AF1524" s="532" t="str">
        <f t="shared" si="360"/>
        <v/>
      </c>
    </row>
    <row r="1525" spans="2:32" x14ac:dyDescent="0.25">
      <c r="B1525" s="695"/>
      <c r="C1525" s="197" t="str">
        <f>IF(B1525&lt;&gt;"",IFERROR(VLOOKUP(B:B,'מצבת והרשמה (2)'!$C$20:$N$520,2,0)," ")," ")</f>
        <v xml:space="preserve"> </v>
      </c>
      <c r="D1525" s="695"/>
      <c r="E1525" s="696"/>
      <c r="F1525" s="696"/>
      <c r="G1525" s="696"/>
      <c r="H1525" s="696"/>
      <c r="I1525" s="1050" t="str">
        <f t="shared" si="347"/>
        <v/>
      </c>
      <c r="J1525" s="696"/>
      <c r="K1525" s="697"/>
      <c r="L1525" s="696"/>
      <c r="M1525" s="198" t="str">
        <f t="shared" si="348"/>
        <v/>
      </c>
      <c r="N1525" s="369" t="str">
        <f t="shared" si="349"/>
        <v/>
      </c>
      <c r="O1525" s="183" t="str">
        <f t="shared" si="350"/>
        <v/>
      </c>
      <c r="P1525" s="199" t="str">
        <f t="shared" si="351"/>
        <v/>
      </c>
      <c r="Q1525" s="199" t="str">
        <f>IF(B1525="","",IFERROR(IF('עלויות כח אדם (6)'!J1525&gt;=VLOOKUP(I1525,'סיווג התפקידים והעלויות'!$B$23:$C$32,2,0),"תקין","לא תקין"),""))</f>
        <v/>
      </c>
      <c r="R1525" s="199" t="str">
        <f t="shared" si="352"/>
        <v/>
      </c>
      <c r="S1525" s="199" t="str">
        <f t="shared" si="353"/>
        <v/>
      </c>
      <c r="T1525" s="199" t="str">
        <f t="shared" si="361"/>
        <v/>
      </c>
      <c r="U1525" s="199" t="str">
        <f t="shared" si="354"/>
        <v/>
      </c>
      <c r="V1525" s="989"/>
      <c r="X1525" s="374" t="str">
        <f t="shared" si="355"/>
        <v/>
      </c>
      <c r="Y1525" s="375" t="str">
        <f t="shared" si="356"/>
        <v/>
      </c>
      <c r="Z1525" s="374" t="str">
        <f t="shared" si="357"/>
        <v/>
      </c>
      <c r="AA1525" s="374" t="b">
        <f t="shared" si="358"/>
        <v>1</v>
      </c>
      <c r="AB1525" s="374">
        <f>COUNTIFS(B:B,B1525,H:H,'סיווג התפקידים והעלויות'!$C$2)</f>
        <v>0</v>
      </c>
      <c r="AC1525" s="374">
        <f>COUNTIFS(B:B,B1525,H:H,'סיווג התפקידים והעלויות'!$D$2)</f>
        <v>0</v>
      </c>
      <c r="AD1525" s="374" t="str">
        <f>IF(OR(AND(H1525='סיווג התפקידים והעלויות'!$A$2,I1525='סיווג התפקידים והעלויות'!$A$3),'עלויות כח אדם (6)'!H1525='סיווג התפקידים והעלויות'!$C$2,'עלויות כח אדם (6)'!H1525='סיווג התפקידים והעלויות'!$D$2),IF('עלויות כח אדם (6)'!J1525&lt;75,"לא תקין","תקין"),"")</f>
        <v/>
      </c>
      <c r="AE1525" s="374" t="str">
        <f t="shared" si="359"/>
        <v/>
      </c>
      <c r="AF1525" s="532" t="str">
        <f t="shared" si="360"/>
        <v/>
      </c>
    </row>
    <row r="1526" spans="2:32" x14ac:dyDescent="0.25">
      <c r="B1526" s="695"/>
      <c r="C1526" s="197" t="str">
        <f>IF(B1526&lt;&gt;"",IFERROR(VLOOKUP(B:B,'מצבת והרשמה (2)'!$C$20:$N$520,2,0)," ")," ")</f>
        <v xml:space="preserve"> </v>
      </c>
      <c r="D1526" s="695"/>
      <c r="E1526" s="696"/>
      <c r="F1526" s="696"/>
      <c r="G1526" s="696"/>
      <c r="H1526" s="696"/>
      <c r="I1526" s="1050" t="str">
        <f t="shared" si="347"/>
        <v/>
      </c>
      <c r="J1526" s="696"/>
      <c r="K1526" s="697"/>
      <c r="L1526" s="696"/>
      <c r="M1526" s="198" t="str">
        <f t="shared" si="348"/>
        <v/>
      </c>
      <c r="N1526" s="369" t="str">
        <f t="shared" si="349"/>
        <v/>
      </c>
      <c r="O1526" s="183" t="str">
        <f t="shared" si="350"/>
        <v/>
      </c>
      <c r="P1526" s="199" t="str">
        <f t="shared" si="351"/>
        <v/>
      </c>
      <c r="Q1526" s="199" t="str">
        <f>IF(B1526="","",IFERROR(IF('עלויות כח אדם (6)'!J1526&gt;=VLOOKUP(I1526,'סיווג התפקידים והעלויות'!$B$23:$C$32,2,0),"תקין","לא תקין"),""))</f>
        <v/>
      </c>
      <c r="R1526" s="199" t="str">
        <f t="shared" si="352"/>
        <v/>
      </c>
      <c r="S1526" s="199" t="str">
        <f t="shared" si="353"/>
        <v/>
      </c>
      <c r="T1526" s="199" t="str">
        <f t="shared" si="361"/>
        <v/>
      </c>
      <c r="U1526" s="199" t="str">
        <f t="shared" si="354"/>
        <v/>
      </c>
      <c r="V1526" s="989"/>
      <c r="X1526" s="374" t="str">
        <f t="shared" si="355"/>
        <v/>
      </c>
      <c r="Y1526" s="375" t="str">
        <f t="shared" si="356"/>
        <v/>
      </c>
      <c r="Z1526" s="374" t="str">
        <f t="shared" si="357"/>
        <v/>
      </c>
      <c r="AA1526" s="374" t="b">
        <f t="shared" si="358"/>
        <v>1</v>
      </c>
      <c r="AB1526" s="374">
        <f>COUNTIFS(B:B,B1526,H:H,'סיווג התפקידים והעלויות'!$C$2)</f>
        <v>0</v>
      </c>
      <c r="AC1526" s="374">
        <f>COUNTIFS(B:B,B1526,H:H,'סיווג התפקידים והעלויות'!$D$2)</f>
        <v>0</v>
      </c>
      <c r="AD1526" s="374" t="str">
        <f>IF(OR(AND(H1526='סיווג התפקידים והעלויות'!$A$2,I1526='סיווג התפקידים והעלויות'!$A$3),'עלויות כח אדם (6)'!H1526='סיווג התפקידים והעלויות'!$C$2,'עלויות כח אדם (6)'!H1526='סיווג התפקידים והעלויות'!$D$2),IF('עלויות כח אדם (6)'!J1526&lt;75,"לא תקין","תקין"),"")</f>
        <v/>
      </c>
      <c r="AE1526" s="374" t="str">
        <f t="shared" si="359"/>
        <v/>
      </c>
      <c r="AF1526" s="532" t="str">
        <f t="shared" si="360"/>
        <v/>
      </c>
    </row>
    <row r="1527" spans="2:32" x14ac:dyDescent="0.25">
      <c r="B1527" s="695"/>
      <c r="C1527" s="197" t="str">
        <f>IF(B1527&lt;&gt;"",IFERROR(VLOOKUP(B:B,'מצבת והרשמה (2)'!$C$20:$N$520,2,0)," ")," ")</f>
        <v xml:space="preserve"> </v>
      </c>
      <c r="D1527" s="695"/>
      <c r="E1527" s="696"/>
      <c r="F1527" s="696"/>
      <c r="G1527" s="696"/>
      <c r="H1527" s="696"/>
      <c r="I1527" s="1050" t="str">
        <f t="shared" si="347"/>
        <v/>
      </c>
      <c r="J1527" s="696"/>
      <c r="K1527" s="697"/>
      <c r="L1527" s="696"/>
      <c r="M1527" s="198" t="str">
        <f t="shared" si="348"/>
        <v/>
      </c>
      <c r="N1527" s="369" t="str">
        <f t="shared" si="349"/>
        <v/>
      </c>
      <c r="O1527" s="183" t="str">
        <f t="shared" si="350"/>
        <v/>
      </c>
      <c r="P1527" s="199" t="str">
        <f t="shared" si="351"/>
        <v/>
      </c>
      <c r="Q1527" s="199" t="str">
        <f>IF(B1527="","",IFERROR(IF('עלויות כח אדם (6)'!J1527&gt;=VLOOKUP(I1527,'סיווג התפקידים והעלויות'!$B$23:$C$32,2,0),"תקין","לא תקין"),""))</f>
        <v/>
      </c>
      <c r="R1527" s="199" t="str">
        <f t="shared" si="352"/>
        <v/>
      </c>
      <c r="S1527" s="199" t="str">
        <f t="shared" si="353"/>
        <v/>
      </c>
      <c r="T1527" s="199" t="str">
        <f t="shared" si="361"/>
        <v/>
      </c>
      <c r="U1527" s="199" t="str">
        <f t="shared" si="354"/>
        <v/>
      </c>
      <c r="V1527" s="989"/>
      <c r="X1527" s="374" t="str">
        <f t="shared" si="355"/>
        <v/>
      </c>
      <c r="Y1527" s="375" t="str">
        <f t="shared" si="356"/>
        <v/>
      </c>
      <c r="Z1527" s="374" t="str">
        <f t="shared" si="357"/>
        <v/>
      </c>
      <c r="AA1527" s="374" t="b">
        <f t="shared" si="358"/>
        <v>1</v>
      </c>
      <c r="AB1527" s="374">
        <f>COUNTIFS(B:B,B1527,H:H,'סיווג התפקידים והעלויות'!$C$2)</f>
        <v>0</v>
      </c>
      <c r="AC1527" s="374">
        <f>COUNTIFS(B:B,B1527,H:H,'סיווג התפקידים והעלויות'!$D$2)</f>
        <v>0</v>
      </c>
      <c r="AD1527" s="374" t="str">
        <f>IF(OR(AND(H1527='סיווג התפקידים והעלויות'!$A$2,I1527='סיווג התפקידים והעלויות'!$A$3),'עלויות כח אדם (6)'!H1527='סיווג התפקידים והעלויות'!$C$2,'עלויות כח אדם (6)'!H1527='סיווג התפקידים והעלויות'!$D$2),IF('עלויות כח אדם (6)'!J1527&lt;75,"לא תקין","תקין"),"")</f>
        <v/>
      </c>
      <c r="AE1527" s="374" t="str">
        <f t="shared" si="359"/>
        <v/>
      </c>
      <c r="AF1527" s="532" t="str">
        <f t="shared" si="360"/>
        <v/>
      </c>
    </row>
    <row r="1528" spans="2:32" x14ac:dyDescent="0.25">
      <c r="B1528" s="695"/>
      <c r="C1528" s="197" t="str">
        <f>IF(B1528&lt;&gt;"",IFERROR(VLOOKUP(B:B,'מצבת והרשמה (2)'!$C$20:$N$520,2,0)," ")," ")</f>
        <v xml:space="preserve"> </v>
      </c>
      <c r="D1528" s="695"/>
      <c r="E1528" s="696"/>
      <c r="F1528" s="696"/>
      <c r="G1528" s="696"/>
      <c r="H1528" s="696"/>
      <c r="I1528" s="1050" t="str">
        <f t="shared" si="347"/>
        <v/>
      </c>
      <c r="J1528" s="696"/>
      <c r="K1528" s="697"/>
      <c r="L1528" s="696"/>
      <c r="M1528" s="198" t="str">
        <f t="shared" si="348"/>
        <v/>
      </c>
      <c r="N1528" s="369" t="str">
        <f t="shared" si="349"/>
        <v/>
      </c>
      <c r="O1528" s="183" t="str">
        <f t="shared" si="350"/>
        <v/>
      </c>
      <c r="P1528" s="199" t="str">
        <f t="shared" si="351"/>
        <v/>
      </c>
      <c r="Q1528" s="199" t="str">
        <f>IF(B1528="","",IFERROR(IF('עלויות כח אדם (6)'!J1528&gt;=VLOOKUP(I1528,'סיווג התפקידים והעלויות'!$B$23:$C$32,2,0),"תקין","לא תקין"),""))</f>
        <v/>
      </c>
      <c r="R1528" s="199" t="str">
        <f t="shared" si="352"/>
        <v/>
      </c>
      <c r="S1528" s="199" t="str">
        <f t="shared" si="353"/>
        <v/>
      </c>
      <c r="T1528" s="199" t="str">
        <f t="shared" si="361"/>
        <v/>
      </c>
      <c r="U1528" s="199" t="str">
        <f t="shared" si="354"/>
        <v/>
      </c>
      <c r="V1528" s="989"/>
      <c r="X1528" s="374" t="str">
        <f t="shared" si="355"/>
        <v/>
      </c>
      <c r="Y1528" s="375" t="str">
        <f t="shared" si="356"/>
        <v/>
      </c>
      <c r="Z1528" s="374" t="str">
        <f t="shared" si="357"/>
        <v/>
      </c>
      <c r="AA1528" s="374" t="b">
        <f t="shared" si="358"/>
        <v>1</v>
      </c>
      <c r="AB1528" s="374">
        <f>COUNTIFS(B:B,B1528,H:H,'סיווג התפקידים והעלויות'!$C$2)</f>
        <v>0</v>
      </c>
      <c r="AC1528" s="374">
        <f>COUNTIFS(B:B,B1528,H:H,'סיווג התפקידים והעלויות'!$D$2)</f>
        <v>0</v>
      </c>
      <c r="AD1528" s="374" t="str">
        <f>IF(OR(AND(H1528='סיווג התפקידים והעלויות'!$A$2,I1528='סיווג התפקידים והעלויות'!$A$3),'עלויות כח אדם (6)'!H1528='סיווג התפקידים והעלויות'!$C$2,'עלויות כח אדם (6)'!H1528='סיווג התפקידים והעלויות'!$D$2),IF('עלויות כח אדם (6)'!J1528&lt;75,"לא תקין","תקין"),"")</f>
        <v/>
      </c>
      <c r="AE1528" s="374" t="str">
        <f t="shared" si="359"/>
        <v/>
      </c>
      <c r="AF1528" s="532" t="str">
        <f t="shared" si="360"/>
        <v/>
      </c>
    </row>
    <row r="1529" spans="2:32" x14ac:dyDescent="0.25">
      <c r="B1529" s="695"/>
      <c r="C1529" s="197" t="str">
        <f>IF(B1529&lt;&gt;"",IFERROR(VLOOKUP(B:B,'מצבת והרשמה (2)'!$C$20:$N$520,2,0)," ")," ")</f>
        <v xml:space="preserve"> </v>
      </c>
      <c r="D1529" s="695"/>
      <c r="E1529" s="696"/>
      <c r="F1529" s="696"/>
      <c r="G1529" s="696"/>
      <c r="H1529" s="696"/>
      <c r="I1529" s="1050" t="str">
        <f t="shared" si="347"/>
        <v/>
      </c>
      <c r="J1529" s="696"/>
      <c r="K1529" s="697"/>
      <c r="L1529" s="696"/>
      <c r="M1529" s="198" t="str">
        <f t="shared" si="348"/>
        <v/>
      </c>
      <c r="N1529" s="369" t="str">
        <f t="shared" si="349"/>
        <v/>
      </c>
      <c r="O1529" s="183" t="str">
        <f t="shared" si="350"/>
        <v/>
      </c>
      <c r="P1529" s="199" t="str">
        <f t="shared" si="351"/>
        <v/>
      </c>
      <c r="Q1529" s="199" t="str">
        <f>IF(B1529="","",IFERROR(IF('עלויות כח אדם (6)'!J1529&gt;=VLOOKUP(I1529,'סיווג התפקידים והעלויות'!$B$23:$C$32,2,0),"תקין","לא תקין"),""))</f>
        <v/>
      </c>
      <c r="R1529" s="199" t="str">
        <f t="shared" si="352"/>
        <v/>
      </c>
      <c r="S1529" s="199" t="str">
        <f t="shared" si="353"/>
        <v/>
      </c>
      <c r="T1529" s="199" t="str">
        <f t="shared" si="361"/>
        <v/>
      </c>
      <c r="U1529" s="199" t="str">
        <f t="shared" si="354"/>
        <v/>
      </c>
      <c r="V1529" s="989"/>
      <c r="X1529" s="374" t="str">
        <f t="shared" si="355"/>
        <v/>
      </c>
      <c r="Y1529" s="375" t="str">
        <f t="shared" si="356"/>
        <v/>
      </c>
      <c r="Z1529" s="374" t="str">
        <f t="shared" si="357"/>
        <v/>
      </c>
      <c r="AA1529" s="374" t="b">
        <f t="shared" si="358"/>
        <v>1</v>
      </c>
      <c r="AB1529" s="374">
        <f>COUNTIFS(B:B,B1529,H:H,'סיווג התפקידים והעלויות'!$C$2)</f>
        <v>0</v>
      </c>
      <c r="AC1529" s="374">
        <f>COUNTIFS(B:B,B1529,H:H,'סיווג התפקידים והעלויות'!$D$2)</f>
        <v>0</v>
      </c>
      <c r="AD1529" s="374" t="str">
        <f>IF(OR(AND(H1529='סיווג התפקידים והעלויות'!$A$2,I1529='סיווג התפקידים והעלויות'!$A$3),'עלויות כח אדם (6)'!H1529='סיווג התפקידים והעלויות'!$C$2,'עלויות כח אדם (6)'!H1529='סיווג התפקידים והעלויות'!$D$2),IF('עלויות כח אדם (6)'!J1529&lt;75,"לא תקין","תקין"),"")</f>
        <v/>
      </c>
      <c r="AE1529" s="374" t="str">
        <f t="shared" si="359"/>
        <v/>
      </c>
      <c r="AF1529" s="532" t="str">
        <f t="shared" si="360"/>
        <v/>
      </c>
    </row>
    <row r="1530" spans="2:32" x14ac:dyDescent="0.25">
      <c r="B1530" s="695"/>
      <c r="C1530" s="197" t="str">
        <f>IF(B1530&lt;&gt;"",IFERROR(VLOOKUP(B:B,'מצבת והרשמה (2)'!$C$20:$N$520,2,0)," ")," ")</f>
        <v xml:space="preserve"> </v>
      </c>
      <c r="D1530" s="695"/>
      <c r="E1530" s="696"/>
      <c r="F1530" s="696"/>
      <c r="G1530" s="696"/>
      <c r="H1530" s="696"/>
      <c r="I1530" s="1050" t="str">
        <f t="shared" si="347"/>
        <v/>
      </c>
      <c r="J1530" s="696"/>
      <c r="K1530" s="697"/>
      <c r="L1530" s="696"/>
      <c r="M1530" s="198" t="str">
        <f t="shared" si="348"/>
        <v/>
      </c>
      <c r="N1530" s="369" t="str">
        <f t="shared" si="349"/>
        <v/>
      </c>
      <c r="O1530" s="183" t="str">
        <f t="shared" si="350"/>
        <v/>
      </c>
      <c r="P1530" s="199" t="str">
        <f t="shared" si="351"/>
        <v/>
      </c>
      <c r="Q1530" s="199" t="str">
        <f>IF(B1530="","",IFERROR(IF('עלויות כח אדם (6)'!J1530&gt;=VLOOKUP(I1530,'סיווג התפקידים והעלויות'!$B$23:$C$32,2,0),"תקין","לא תקין"),""))</f>
        <v/>
      </c>
      <c r="R1530" s="199" t="str">
        <f t="shared" si="352"/>
        <v/>
      </c>
      <c r="S1530" s="199" t="str">
        <f t="shared" si="353"/>
        <v/>
      </c>
      <c r="T1530" s="199" t="str">
        <f t="shared" si="361"/>
        <v/>
      </c>
      <c r="U1530" s="199" t="str">
        <f t="shared" si="354"/>
        <v/>
      </c>
      <c r="V1530" s="989"/>
      <c r="X1530" s="374" t="str">
        <f t="shared" si="355"/>
        <v/>
      </c>
      <c r="Y1530" s="375" t="str">
        <f t="shared" si="356"/>
        <v/>
      </c>
      <c r="Z1530" s="374" t="str">
        <f t="shared" si="357"/>
        <v/>
      </c>
      <c r="AA1530" s="374" t="b">
        <f t="shared" si="358"/>
        <v>1</v>
      </c>
      <c r="AB1530" s="374">
        <f>COUNTIFS(B:B,B1530,H:H,'סיווג התפקידים והעלויות'!$C$2)</f>
        <v>0</v>
      </c>
      <c r="AC1530" s="374">
        <f>COUNTIFS(B:B,B1530,H:H,'סיווג התפקידים והעלויות'!$D$2)</f>
        <v>0</v>
      </c>
      <c r="AD1530" s="374" t="str">
        <f>IF(OR(AND(H1530='סיווג התפקידים והעלויות'!$A$2,I1530='סיווג התפקידים והעלויות'!$A$3),'עלויות כח אדם (6)'!H1530='סיווג התפקידים והעלויות'!$C$2,'עלויות כח אדם (6)'!H1530='סיווג התפקידים והעלויות'!$D$2),IF('עלויות כח אדם (6)'!J1530&lt;75,"לא תקין","תקין"),"")</f>
        <v/>
      </c>
      <c r="AE1530" s="374" t="str">
        <f t="shared" si="359"/>
        <v/>
      </c>
      <c r="AF1530" s="532" t="str">
        <f t="shared" si="360"/>
        <v/>
      </c>
    </row>
    <row r="1531" spans="2:32" x14ac:dyDescent="0.25">
      <c r="B1531" s="695"/>
      <c r="C1531" s="197" t="str">
        <f>IF(B1531&lt;&gt;"",IFERROR(VLOOKUP(B:B,'מצבת והרשמה (2)'!$C$20:$N$520,2,0)," ")," ")</f>
        <v xml:space="preserve"> </v>
      </c>
      <c r="D1531" s="695"/>
      <c r="E1531" s="696"/>
      <c r="F1531" s="696"/>
      <c r="G1531" s="696"/>
      <c r="H1531" s="696"/>
      <c r="I1531" s="1050" t="str">
        <f t="shared" si="347"/>
        <v/>
      </c>
      <c r="J1531" s="696"/>
      <c r="K1531" s="697"/>
      <c r="L1531" s="696"/>
      <c r="M1531" s="198" t="str">
        <f t="shared" si="348"/>
        <v/>
      </c>
      <c r="N1531" s="369" t="str">
        <f t="shared" si="349"/>
        <v/>
      </c>
      <c r="O1531" s="183" t="str">
        <f t="shared" si="350"/>
        <v/>
      </c>
      <c r="P1531" s="199" t="str">
        <f t="shared" si="351"/>
        <v/>
      </c>
      <c r="Q1531" s="199" t="str">
        <f>IF(B1531="","",IFERROR(IF('עלויות כח אדם (6)'!J1531&gt;=VLOOKUP(I1531,'סיווג התפקידים והעלויות'!$B$23:$C$32,2,0),"תקין","לא תקין"),""))</f>
        <v/>
      </c>
      <c r="R1531" s="199" t="str">
        <f t="shared" si="352"/>
        <v/>
      </c>
      <c r="S1531" s="199" t="str">
        <f t="shared" si="353"/>
        <v/>
      </c>
      <c r="T1531" s="199" t="str">
        <f t="shared" si="361"/>
        <v/>
      </c>
      <c r="U1531" s="199" t="str">
        <f t="shared" si="354"/>
        <v/>
      </c>
      <c r="V1531" s="989"/>
      <c r="X1531" s="374" t="str">
        <f t="shared" si="355"/>
        <v/>
      </c>
      <c r="Y1531" s="375" t="str">
        <f t="shared" si="356"/>
        <v/>
      </c>
      <c r="Z1531" s="374" t="str">
        <f t="shared" si="357"/>
        <v/>
      </c>
      <c r="AA1531" s="374" t="b">
        <f t="shared" si="358"/>
        <v>1</v>
      </c>
      <c r="AB1531" s="374">
        <f>COUNTIFS(B:B,B1531,H:H,'סיווג התפקידים והעלויות'!$C$2)</f>
        <v>0</v>
      </c>
      <c r="AC1531" s="374">
        <f>COUNTIFS(B:B,B1531,H:H,'סיווג התפקידים והעלויות'!$D$2)</f>
        <v>0</v>
      </c>
      <c r="AD1531" s="374" t="str">
        <f>IF(OR(AND(H1531='סיווג התפקידים והעלויות'!$A$2,I1531='סיווג התפקידים והעלויות'!$A$3),'עלויות כח אדם (6)'!H1531='סיווג התפקידים והעלויות'!$C$2,'עלויות כח אדם (6)'!H1531='סיווג התפקידים והעלויות'!$D$2),IF('עלויות כח אדם (6)'!J1531&lt;75,"לא תקין","תקין"),"")</f>
        <v/>
      </c>
      <c r="AE1531" s="374" t="str">
        <f t="shared" si="359"/>
        <v/>
      </c>
      <c r="AF1531" s="532" t="str">
        <f t="shared" si="360"/>
        <v/>
      </c>
    </row>
    <row r="1532" spans="2:32" x14ac:dyDescent="0.25">
      <c r="B1532" s="695"/>
      <c r="C1532" s="197" t="str">
        <f>IF(B1532&lt;&gt;"",IFERROR(VLOOKUP(B:B,'מצבת והרשמה (2)'!$C$20:$N$520,2,0)," ")," ")</f>
        <v xml:space="preserve"> </v>
      </c>
      <c r="D1532" s="695"/>
      <c r="E1532" s="696"/>
      <c r="F1532" s="696"/>
      <c r="G1532" s="696"/>
      <c r="H1532" s="696"/>
      <c r="I1532" s="1050" t="str">
        <f t="shared" si="347"/>
        <v/>
      </c>
      <c r="J1532" s="696"/>
      <c r="K1532" s="697"/>
      <c r="L1532" s="696"/>
      <c r="M1532" s="198" t="str">
        <f t="shared" si="348"/>
        <v/>
      </c>
      <c r="N1532" s="369" t="str">
        <f t="shared" si="349"/>
        <v/>
      </c>
      <c r="O1532" s="183" t="str">
        <f t="shared" si="350"/>
        <v/>
      </c>
      <c r="P1532" s="199" t="str">
        <f t="shared" si="351"/>
        <v/>
      </c>
      <c r="Q1532" s="199" t="str">
        <f>IF(B1532="","",IFERROR(IF('עלויות כח אדם (6)'!J1532&gt;=VLOOKUP(I1532,'סיווג התפקידים והעלויות'!$B$23:$C$32,2,0),"תקין","לא תקין"),""))</f>
        <v/>
      </c>
      <c r="R1532" s="199" t="str">
        <f t="shared" si="352"/>
        <v/>
      </c>
      <c r="S1532" s="199" t="str">
        <f t="shared" si="353"/>
        <v/>
      </c>
      <c r="T1532" s="199" t="str">
        <f t="shared" si="361"/>
        <v/>
      </c>
      <c r="U1532" s="199" t="str">
        <f t="shared" si="354"/>
        <v/>
      </c>
      <c r="V1532" s="989"/>
      <c r="X1532" s="374" t="str">
        <f t="shared" si="355"/>
        <v/>
      </c>
      <c r="Y1532" s="375" t="str">
        <f t="shared" si="356"/>
        <v/>
      </c>
      <c r="Z1532" s="374" t="str">
        <f t="shared" si="357"/>
        <v/>
      </c>
      <c r="AA1532" s="374" t="b">
        <f t="shared" si="358"/>
        <v>1</v>
      </c>
      <c r="AB1532" s="374">
        <f>COUNTIFS(B:B,B1532,H:H,'סיווג התפקידים והעלויות'!$C$2)</f>
        <v>0</v>
      </c>
      <c r="AC1532" s="374">
        <f>COUNTIFS(B:B,B1532,H:H,'סיווג התפקידים והעלויות'!$D$2)</f>
        <v>0</v>
      </c>
      <c r="AD1532" s="374" t="str">
        <f>IF(OR(AND(H1532='סיווג התפקידים והעלויות'!$A$2,I1532='סיווג התפקידים והעלויות'!$A$3),'עלויות כח אדם (6)'!H1532='סיווג התפקידים והעלויות'!$C$2,'עלויות כח אדם (6)'!H1532='סיווג התפקידים והעלויות'!$D$2),IF('עלויות כח אדם (6)'!J1532&lt;75,"לא תקין","תקין"),"")</f>
        <v/>
      </c>
      <c r="AE1532" s="374" t="str">
        <f t="shared" si="359"/>
        <v/>
      </c>
      <c r="AF1532" s="532" t="str">
        <f t="shared" si="360"/>
        <v/>
      </c>
    </row>
    <row r="1533" spans="2:32" x14ac:dyDescent="0.25">
      <c r="B1533" s="695"/>
      <c r="C1533" s="197" t="str">
        <f>IF(B1533&lt;&gt;"",IFERROR(VLOOKUP(B:B,'מצבת והרשמה (2)'!$C$20:$N$520,2,0)," ")," ")</f>
        <v xml:space="preserve"> </v>
      </c>
      <c r="D1533" s="695"/>
      <c r="E1533" s="696"/>
      <c r="F1533" s="696"/>
      <c r="G1533" s="696"/>
      <c r="H1533" s="696"/>
      <c r="I1533" s="1050" t="str">
        <f t="shared" si="347"/>
        <v/>
      </c>
      <c r="J1533" s="696"/>
      <c r="K1533" s="697"/>
      <c r="L1533" s="696"/>
      <c r="M1533" s="198" t="str">
        <f t="shared" si="348"/>
        <v/>
      </c>
      <c r="N1533" s="369" t="str">
        <f t="shared" si="349"/>
        <v/>
      </c>
      <c r="O1533" s="183" t="str">
        <f t="shared" si="350"/>
        <v/>
      </c>
      <c r="P1533" s="199" t="str">
        <f t="shared" si="351"/>
        <v/>
      </c>
      <c r="Q1533" s="199" t="str">
        <f>IF(B1533="","",IFERROR(IF('עלויות כח אדם (6)'!J1533&gt;=VLOOKUP(I1533,'סיווג התפקידים והעלויות'!$B$23:$C$32,2,0),"תקין","לא תקין"),""))</f>
        <v/>
      </c>
      <c r="R1533" s="199" t="str">
        <f t="shared" si="352"/>
        <v/>
      </c>
      <c r="S1533" s="199" t="str">
        <f t="shared" si="353"/>
        <v/>
      </c>
      <c r="T1533" s="199" t="str">
        <f t="shared" si="361"/>
        <v/>
      </c>
      <c r="U1533" s="199" t="str">
        <f t="shared" si="354"/>
        <v/>
      </c>
      <c r="V1533" s="989"/>
      <c r="X1533" s="374" t="str">
        <f t="shared" si="355"/>
        <v/>
      </c>
      <c r="Y1533" s="375" t="str">
        <f t="shared" si="356"/>
        <v/>
      </c>
      <c r="Z1533" s="374" t="str">
        <f t="shared" si="357"/>
        <v/>
      </c>
      <c r="AA1533" s="374" t="b">
        <f t="shared" si="358"/>
        <v>1</v>
      </c>
      <c r="AB1533" s="374">
        <f>COUNTIFS(B:B,B1533,H:H,'סיווג התפקידים והעלויות'!$C$2)</f>
        <v>0</v>
      </c>
      <c r="AC1533" s="374">
        <f>COUNTIFS(B:B,B1533,H:H,'סיווג התפקידים והעלויות'!$D$2)</f>
        <v>0</v>
      </c>
      <c r="AD1533" s="374" t="str">
        <f>IF(OR(AND(H1533='סיווג התפקידים והעלויות'!$A$2,I1533='סיווג התפקידים והעלויות'!$A$3),'עלויות כח אדם (6)'!H1533='סיווג התפקידים והעלויות'!$C$2,'עלויות כח אדם (6)'!H1533='סיווג התפקידים והעלויות'!$D$2),IF('עלויות כח אדם (6)'!J1533&lt;75,"לא תקין","תקין"),"")</f>
        <v/>
      </c>
      <c r="AE1533" s="374" t="str">
        <f t="shared" si="359"/>
        <v/>
      </c>
      <c r="AF1533" s="532" t="str">
        <f t="shared" si="360"/>
        <v/>
      </c>
    </row>
    <row r="1534" spans="2:32" x14ac:dyDescent="0.25">
      <c r="B1534" s="695"/>
      <c r="C1534" s="197" t="str">
        <f>IF(B1534&lt;&gt;"",IFERROR(VLOOKUP(B:B,'מצבת והרשמה (2)'!$C$20:$N$520,2,0)," ")," ")</f>
        <v xml:space="preserve"> </v>
      </c>
      <c r="D1534" s="695"/>
      <c r="E1534" s="696"/>
      <c r="F1534" s="696"/>
      <c r="G1534" s="696"/>
      <c r="H1534" s="696"/>
      <c r="I1534" s="1050" t="str">
        <f t="shared" si="347"/>
        <v/>
      </c>
      <c r="J1534" s="696"/>
      <c r="K1534" s="697"/>
      <c r="L1534" s="696"/>
      <c r="M1534" s="198" t="str">
        <f t="shared" si="348"/>
        <v/>
      </c>
      <c r="N1534" s="369" t="str">
        <f t="shared" si="349"/>
        <v/>
      </c>
      <c r="O1534" s="183" t="str">
        <f t="shared" si="350"/>
        <v/>
      </c>
      <c r="P1534" s="199" t="str">
        <f t="shared" si="351"/>
        <v/>
      </c>
      <c r="Q1534" s="199" t="str">
        <f>IF(B1534="","",IFERROR(IF('עלויות כח אדם (6)'!J1534&gt;=VLOOKUP(I1534,'סיווג התפקידים והעלויות'!$B$23:$C$32,2,0),"תקין","לא תקין"),""))</f>
        <v/>
      </c>
      <c r="R1534" s="199" t="str">
        <f t="shared" si="352"/>
        <v/>
      </c>
      <c r="S1534" s="199" t="str">
        <f t="shared" si="353"/>
        <v/>
      </c>
      <c r="T1534" s="199" t="str">
        <f t="shared" si="361"/>
        <v/>
      </c>
      <c r="U1534" s="199" t="str">
        <f t="shared" si="354"/>
        <v/>
      </c>
      <c r="V1534" s="989"/>
      <c r="X1534" s="374" t="str">
        <f t="shared" si="355"/>
        <v/>
      </c>
      <c r="Y1534" s="375" t="str">
        <f t="shared" si="356"/>
        <v/>
      </c>
      <c r="Z1534" s="374" t="str">
        <f t="shared" si="357"/>
        <v/>
      </c>
      <c r="AA1534" s="374" t="b">
        <f t="shared" si="358"/>
        <v>1</v>
      </c>
      <c r="AB1534" s="374">
        <f>COUNTIFS(B:B,B1534,H:H,'סיווג התפקידים והעלויות'!$C$2)</f>
        <v>0</v>
      </c>
      <c r="AC1534" s="374">
        <f>COUNTIFS(B:B,B1534,H:H,'סיווג התפקידים והעלויות'!$D$2)</f>
        <v>0</v>
      </c>
      <c r="AD1534" s="374" t="str">
        <f>IF(OR(AND(H1534='סיווג התפקידים והעלויות'!$A$2,I1534='סיווג התפקידים והעלויות'!$A$3),'עלויות כח אדם (6)'!H1534='סיווג התפקידים והעלויות'!$C$2,'עלויות כח אדם (6)'!H1534='סיווג התפקידים והעלויות'!$D$2),IF('עלויות כח אדם (6)'!J1534&lt;75,"לא תקין","תקין"),"")</f>
        <v/>
      </c>
      <c r="AE1534" s="374" t="str">
        <f t="shared" si="359"/>
        <v/>
      </c>
      <c r="AF1534" s="532" t="str">
        <f t="shared" si="360"/>
        <v/>
      </c>
    </row>
    <row r="1535" spans="2:32" x14ac:dyDescent="0.25">
      <c r="B1535" s="695"/>
      <c r="C1535" s="197" t="str">
        <f>IF(B1535&lt;&gt;"",IFERROR(VLOOKUP(B:B,'מצבת והרשמה (2)'!$C$20:$N$520,2,0)," ")," ")</f>
        <v xml:space="preserve"> </v>
      </c>
      <c r="D1535" s="695"/>
      <c r="E1535" s="696"/>
      <c r="F1535" s="696"/>
      <c r="G1535" s="696"/>
      <c r="H1535" s="696"/>
      <c r="I1535" s="1050" t="str">
        <f t="shared" si="347"/>
        <v/>
      </c>
      <c r="J1535" s="696"/>
      <c r="K1535" s="697"/>
      <c r="L1535" s="696"/>
      <c r="M1535" s="198" t="str">
        <f t="shared" si="348"/>
        <v/>
      </c>
      <c r="N1535" s="369" t="str">
        <f t="shared" si="349"/>
        <v/>
      </c>
      <c r="O1535" s="183" t="str">
        <f t="shared" si="350"/>
        <v/>
      </c>
      <c r="P1535" s="199" t="str">
        <f t="shared" si="351"/>
        <v/>
      </c>
      <c r="Q1535" s="199" t="str">
        <f>IF(B1535="","",IFERROR(IF('עלויות כח אדם (6)'!J1535&gt;=VLOOKUP(I1535,'סיווג התפקידים והעלויות'!$B$23:$C$32,2,0),"תקין","לא תקין"),""))</f>
        <v/>
      </c>
      <c r="R1535" s="199" t="str">
        <f t="shared" si="352"/>
        <v/>
      </c>
      <c r="S1535" s="199" t="str">
        <f t="shared" si="353"/>
        <v/>
      </c>
      <c r="T1535" s="199" t="str">
        <f t="shared" si="361"/>
        <v/>
      </c>
      <c r="U1535" s="199" t="str">
        <f t="shared" si="354"/>
        <v/>
      </c>
      <c r="V1535" s="989"/>
      <c r="X1535" s="374" t="str">
        <f t="shared" si="355"/>
        <v/>
      </c>
      <c r="Y1535" s="375" t="str">
        <f t="shared" si="356"/>
        <v/>
      </c>
      <c r="Z1535" s="374" t="str">
        <f t="shared" si="357"/>
        <v/>
      </c>
      <c r="AA1535" s="374" t="b">
        <f t="shared" si="358"/>
        <v>1</v>
      </c>
      <c r="AB1535" s="374">
        <f>COUNTIFS(B:B,B1535,H:H,'סיווג התפקידים והעלויות'!$C$2)</f>
        <v>0</v>
      </c>
      <c r="AC1535" s="374">
        <f>COUNTIFS(B:B,B1535,H:H,'סיווג התפקידים והעלויות'!$D$2)</f>
        <v>0</v>
      </c>
      <c r="AD1535" s="374" t="str">
        <f>IF(OR(AND(H1535='סיווג התפקידים והעלויות'!$A$2,I1535='סיווג התפקידים והעלויות'!$A$3),'עלויות כח אדם (6)'!H1535='סיווג התפקידים והעלויות'!$C$2,'עלויות כח אדם (6)'!H1535='סיווג התפקידים והעלויות'!$D$2),IF('עלויות כח אדם (6)'!J1535&lt;75,"לא תקין","תקין"),"")</f>
        <v/>
      </c>
      <c r="AE1535" s="374" t="str">
        <f t="shared" si="359"/>
        <v/>
      </c>
      <c r="AF1535" s="532" t="str">
        <f t="shared" si="360"/>
        <v/>
      </c>
    </row>
    <row r="1536" spans="2:32" x14ac:dyDescent="0.25">
      <c r="B1536" s="695"/>
      <c r="C1536" s="197" t="str">
        <f>IF(B1536&lt;&gt;"",IFERROR(VLOOKUP(B:B,'מצבת והרשמה (2)'!$C$20:$N$520,2,0)," ")," ")</f>
        <v xml:space="preserve"> </v>
      </c>
      <c r="D1536" s="695"/>
      <c r="E1536" s="696"/>
      <c r="F1536" s="696"/>
      <c r="G1536" s="696"/>
      <c r="H1536" s="696"/>
      <c r="I1536" s="1050" t="str">
        <f t="shared" si="347"/>
        <v/>
      </c>
      <c r="J1536" s="696"/>
      <c r="K1536" s="697"/>
      <c r="L1536" s="696"/>
      <c r="M1536" s="198" t="str">
        <f t="shared" si="348"/>
        <v/>
      </c>
      <c r="N1536" s="369" t="str">
        <f t="shared" si="349"/>
        <v/>
      </c>
      <c r="O1536" s="183" t="str">
        <f t="shared" si="350"/>
        <v/>
      </c>
      <c r="P1536" s="199" t="str">
        <f t="shared" si="351"/>
        <v/>
      </c>
      <c r="Q1536" s="199" t="str">
        <f>IF(B1536="","",IFERROR(IF('עלויות כח אדם (6)'!J1536&gt;=VLOOKUP(I1536,'סיווג התפקידים והעלויות'!$B$23:$C$32,2,0),"תקין","לא תקין"),""))</f>
        <v/>
      </c>
      <c r="R1536" s="199" t="str">
        <f t="shared" si="352"/>
        <v/>
      </c>
      <c r="S1536" s="199" t="str">
        <f t="shared" si="353"/>
        <v/>
      </c>
      <c r="T1536" s="199" t="str">
        <f t="shared" si="361"/>
        <v/>
      </c>
      <c r="U1536" s="199" t="str">
        <f t="shared" si="354"/>
        <v/>
      </c>
      <c r="V1536" s="989"/>
      <c r="X1536" s="374" t="str">
        <f t="shared" si="355"/>
        <v/>
      </c>
      <c r="Y1536" s="375" t="str">
        <f t="shared" si="356"/>
        <v/>
      </c>
      <c r="Z1536" s="374" t="str">
        <f t="shared" si="357"/>
        <v/>
      </c>
      <c r="AA1536" s="374" t="b">
        <f t="shared" si="358"/>
        <v>1</v>
      </c>
      <c r="AB1536" s="374">
        <f>COUNTIFS(B:B,B1536,H:H,'סיווג התפקידים והעלויות'!$C$2)</f>
        <v>0</v>
      </c>
      <c r="AC1536" s="374">
        <f>COUNTIFS(B:B,B1536,H:H,'סיווג התפקידים והעלויות'!$D$2)</f>
        <v>0</v>
      </c>
      <c r="AD1536" s="374" t="str">
        <f>IF(OR(AND(H1536='סיווג התפקידים והעלויות'!$A$2,I1536='סיווג התפקידים והעלויות'!$A$3),'עלויות כח אדם (6)'!H1536='סיווג התפקידים והעלויות'!$C$2,'עלויות כח אדם (6)'!H1536='סיווג התפקידים והעלויות'!$D$2),IF('עלויות כח אדם (6)'!J1536&lt;75,"לא תקין","תקין"),"")</f>
        <v/>
      </c>
      <c r="AE1536" s="374" t="str">
        <f t="shared" si="359"/>
        <v/>
      </c>
      <c r="AF1536" s="532" t="str">
        <f t="shared" si="360"/>
        <v/>
      </c>
    </row>
    <row r="1537" spans="2:32" x14ac:dyDescent="0.25">
      <c r="B1537" s="695"/>
      <c r="C1537" s="197" t="str">
        <f>IF(B1537&lt;&gt;"",IFERROR(VLOOKUP(B:B,'מצבת והרשמה (2)'!$C$20:$N$520,2,0)," ")," ")</f>
        <v xml:space="preserve"> </v>
      </c>
      <c r="D1537" s="695"/>
      <c r="E1537" s="696"/>
      <c r="F1537" s="696"/>
      <c r="G1537" s="696"/>
      <c r="H1537" s="696"/>
      <c r="I1537" s="1050" t="str">
        <f t="shared" si="347"/>
        <v/>
      </c>
      <c r="J1537" s="696"/>
      <c r="K1537" s="697"/>
      <c r="L1537" s="696"/>
      <c r="M1537" s="198" t="str">
        <f t="shared" si="348"/>
        <v/>
      </c>
      <c r="N1537" s="369" t="str">
        <f t="shared" si="349"/>
        <v/>
      </c>
      <c r="O1537" s="183" t="str">
        <f t="shared" si="350"/>
        <v/>
      </c>
      <c r="P1537" s="199" t="str">
        <f t="shared" si="351"/>
        <v/>
      </c>
      <c r="Q1537" s="199" t="str">
        <f>IF(B1537="","",IFERROR(IF('עלויות כח אדם (6)'!J1537&gt;=VLOOKUP(I1537,'סיווג התפקידים והעלויות'!$B$23:$C$32,2,0),"תקין","לא תקין"),""))</f>
        <v/>
      </c>
      <c r="R1537" s="199" t="str">
        <f t="shared" si="352"/>
        <v/>
      </c>
      <c r="S1537" s="199" t="str">
        <f t="shared" si="353"/>
        <v/>
      </c>
      <c r="T1537" s="199" t="str">
        <f t="shared" si="361"/>
        <v/>
      </c>
      <c r="U1537" s="199" t="str">
        <f t="shared" si="354"/>
        <v/>
      </c>
      <c r="V1537" s="989"/>
      <c r="X1537" s="374" t="str">
        <f t="shared" si="355"/>
        <v/>
      </c>
      <c r="Y1537" s="375" t="str">
        <f t="shared" si="356"/>
        <v/>
      </c>
      <c r="Z1537" s="374" t="str">
        <f t="shared" si="357"/>
        <v/>
      </c>
      <c r="AA1537" s="374" t="b">
        <f t="shared" si="358"/>
        <v>1</v>
      </c>
      <c r="AB1537" s="374">
        <f>COUNTIFS(B:B,B1537,H:H,'סיווג התפקידים והעלויות'!$C$2)</f>
        <v>0</v>
      </c>
      <c r="AC1537" s="374">
        <f>COUNTIFS(B:B,B1537,H:H,'סיווג התפקידים והעלויות'!$D$2)</f>
        <v>0</v>
      </c>
      <c r="AD1537" s="374" t="str">
        <f>IF(OR(AND(H1537='סיווג התפקידים והעלויות'!$A$2,I1537='סיווג התפקידים והעלויות'!$A$3),'עלויות כח אדם (6)'!H1537='סיווג התפקידים והעלויות'!$C$2,'עלויות כח אדם (6)'!H1537='סיווג התפקידים והעלויות'!$D$2),IF('עלויות כח אדם (6)'!J1537&lt;75,"לא תקין","תקין"),"")</f>
        <v/>
      </c>
      <c r="AE1537" s="374" t="str">
        <f t="shared" si="359"/>
        <v/>
      </c>
      <c r="AF1537" s="532" t="str">
        <f t="shared" si="360"/>
        <v/>
      </c>
    </row>
    <row r="1538" spans="2:32" x14ac:dyDescent="0.25">
      <c r="B1538" s="695"/>
      <c r="C1538" s="197" t="str">
        <f>IF(B1538&lt;&gt;"",IFERROR(VLOOKUP(B:B,'מצבת והרשמה (2)'!$C$20:$N$520,2,0)," ")," ")</f>
        <v xml:space="preserve"> </v>
      </c>
      <c r="D1538" s="695"/>
      <c r="E1538" s="696"/>
      <c r="F1538" s="696"/>
      <c r="G1538" s="696"/>
      <c r="H1538" s="696"/>
      <c r="I1538" s="1050" t="str">
        <f t="shared" si="347"/>
        <v/>
      </c>
      <c r="J1538" s="696"/>
      <c r="K1538" s="697"/>
      <c r="L1538" s="696"/>
      <c r="M1538" s="198" t="str">
        <f t="shared" si="348"/>
        <v/>
      </c>
      <c r="N1538" s="369" t="str">
        <f t="shared" si="349"/>
        <v/>
      </c>
      <c r="O1538" s="183" t="str">
        <f t="shared" si="350"/>
        <v/>
      </c>
      <c r="P1538" s="199" t="str">
        <f t="shared" si="351"/>
        <v/>
      </c>
      <c r="Q1538" s="199" t="str">
        <f>IF(B1538="","",IFERROR(IF('עלויות כח אדם (6)'!J1538&gt;=VLOOKUP(I1538,'סיווג התפקידים והעלויות'!$B$23:$C$32,2,0),"תקין","לא תקין"),""))</f>
        <v/>
      </c>
      <c r="R1538" s="199" t="str">
        <f t="shared" si="352"/>
        <v/>
      </c>
      <c r="S1538" s="199" t="str">
        <f t="shared" si="353"/>
        <v/>
      </c>
      <c r="T1538" s="199" t="str">
        <f t="shared" si="361"/>
        <v/>
      </c>
      <c r="U1538" s="199" t="str">
        <f t="shared" si="354"/>
        <v/>
      </c>
      <c r="V1538" s="989"/>
      <c r="X1538" s="374" t="str">
        <f t="shared" si="355"/>
        <v/>
      </c>
      <c r="Y1538" s="375" t="str">
        <f t="shared" si="356"/>
        <v/>
      </c>
      <c r="Z1538" s="374" t="str">
        <f t="shared" si="357"/>
        <v/>
      </c>
      <c r="AA1538" s="374" t="b">
        <f t="shared" si="358"/>
        <v>1</v>
      </c>
      <c r="AB1538" s="374">
        <f>COUNTIFS(B:B,B1538,H:H,'סיווג התפקידים והעלויות'!$C$2)</f>
        <v>0</v>
      </c>
      <c r="AC1538" s="374">
        <f>COUNTIFS(B:B,B1538,H:H,'סיווג התפקידים והעלויות'!$D$2)</f>
        <v>0</v>
      </c>
      <c r="AD1538" s="374" t="str">
        <f>IF(OR(AND(H1538='סיווג התפקידים והעלויות'!$A$2,I1538='סיווג התפקידים והעלויות'!$A$3),'עלויות כח אדם (6)'!H1538='סיווג התפקידים והעלויות'!$C$2,'עלויות כח אדם (6)'!H1538='סיווג התפקידים והעלויות'!$D$2),IF('עלויות כח אדם (6)'!J1538&lt;75,"לא תקין","תקין"),"")</f>
        <v/>
      </c>
      <c r="AE1538" s="374" t="str">
        <f t="shared" si="359"/>
        <v/>
      </c>
      <c r="AF1538" s="532" t="str">
        <f t="shared" si="360"/>
        <v/>
      </c>
    </row>
    <row r="1539" spans="2:32" x14ac:dyDescent="0.25">
      <c r="B1539" s="695"/>
      <c r="C1539" s="197" t="str">
        <f>IF(B1539&lt;&gt;"",IFERROR(VLOOKUP(B:B,'מצבת והרשמה (2)'!$C$20:$N$520,2,0)," ")," ")</f>
        <v xml:space="preserve"> </v>
      </c>
      <c r="D1539" s="695"/>
      <c r="E1539" s="696"/>
      <c r="F1539" s="696"/>
      <c r="G1539" s="696"/>
      <c r="H1539" s="696"/>
      <c r="I1539" s="1050" t="str">
        <f t="shared" si="347"/>
        <v/>
      </c>
      <c r="J1539" s="696"/>
      <c r="K1539" s="697"/>
      <c r="L1539" s="696"/>
      <c r="M1539" s="198" t="str">
        <f t="shared" si="348"/>
        <v/>
      </c>
      <c r="N1539" s="369" t="str">
        <f t="shared" si="349"/>
        <v/>
      </c>
      <c r="O1539" s="183" t="str">
        <f t="shared" si="350"/>
        <v/>
      </c>
      <c r="P1539" s="199" t="str">
        <f t="shared" si="351"/>
        <v/>
      </c>
      <c r="Q1539" s="199" t="str">
        <f>IF(B1539="","",IFERROR(IF('עלויות כח אדם (6)'!J1539&gt;=VLOOKUP(I1539,'סיווג התפקידים והעלויות'!$B$23:$C$32,2,0),"תקין","לא תקין"),""))</f>
        <v/>
      </c>
      <c r="R1539" s="199" t="str">
        <f t="shared" si="352"/>
        <v/>
      </c>
      <c r="S1539" s="199" t="str">
        <f t="shared" si="353"/>
        <v/>
      </c>
      <c r="T1539" s="199" t="str">
        <f t="shared" si="361"/>
        <v/>
      </c>
      <c r="U1539" s="199" t="str">
        <f t="shared" si="354"/>
        <v/>
      </c>
      <c r="V1539" s="989"/>
      <c r="X1539" s="374" t="str">
        <f t="shared" si="355"/>
        <v/>
      </c>
      <c r="Y1539" s="375" t="str">
        <f t="shared" si="356"/>
        <v/>
      </c>
      <c r="Z1539" s="374" t="str">
        <f t="shared" si="357"/>
        <v/>
      </c>
      <c r="AA1539" s="374" t="b">
        <f t="shared" si="358"/>
        <v>1</v>
      </c>
      <c r="AB1539" s="374">
        <f>COUNTIFS(B:B,B1539,H:H,'סיווג התפקידים והעלויות'!$C$2)</f>
        <v>0</v>
      </c>
      <c r="AC1539" s="374">
        <f>COUNTIFS(B:B,B1539,H:H,'סיווג התפקידים והעלויות'!$D$2)</f>
        <v>0</v>
      </c>
      <c r="AD1539" s="374" t="str">
        <f>IF(OR(AND(H1539='סיווג התפקידים והעלויות'!$A$2,I1539='סיווג התפקידים והעלויות'!$A$3),'עלויות כח אדם (6)'!H1539='סיווג התפקידים והעלויות'!$C$2,'עלויות כח אדם (6)'!H1539='סיווג התפקידים והעלויות'!$D$2),IF('עלויות כח אדם (6)'!J1539&lt;75,"לא תקין","תקין"),"")</f>
        <v/>
      </c>
      <c r="AE1539" s="374" t="str">
        <f t="shared" si="359"/>
        <v/>
      </c>
      <c r="AF1539" s="532" t="str">
        <f t="shared" si="360"/>
        <v/>
      </c>
    </row>
    <row r="1540" spans="2:32" x14ac:dyDescent="0.25">
      <c r="B1540" s="695"/>
      <c r="C1540" s="197" t="str">
        <f>IF(B1540&lt;&gt;"",IFERROR(VLOOKUP(B:B,'מצבת והרשמה (2)'!$C$20:$N$520,2,0)," ")," ")</f>
        <v xml:space="preserve"> </v>
      </c>
      <c r="D1540" s="695"/>
      <c r="E1540" s="696"/>
      <c r="F1540" s="696"/>
      <c r="G1540" s="696"/>
      <c r="H1540" s="696"/>
      <c r="I1540" s="1050" t="str">
        <f t="shared" si="347"/>
        <v/>
      </c>
      <c r="J1540" s="696"/>
      <c r="K1540" s="697"/>
      <c r="L1540" s="696"/>
      <c r="M1540" s="198" t="str">
        <f t="shared" si="348"/>
        <v/>
      </c>
      <c r="N1540" s="369" t="str">
        <f t="shared" si="349"/>
        <v/>
      </c>
      <c r="O1540" s="183" t="str">
        <f t="shared" si="350"/>
        <v/>
      </c>
      <c r="P1540" s="199" t="str">
        <f t="shared" si="351"/>
        <v/>
      </c>
      <c r="Q1540" s="199" t="str">
        <f>IF(B1540="","",IFERROR(IF('עלויות כח אדם (6)'!J1540&gt;=VLOOKUP(I1540,'סיווג התפקידים והעלויות'!$B$23:$C$32,2,0),"תקין","לא תקין"),""))</f>
        <v/>
      </c>
      <c r="R1540" s="199" t="str">
        <f t="shared" si="352"/>
        <v/>
      </c>
      <c r="S1540" s="199" t="str">
        <f t="shared" si="353"/>
        <v/>
      </c>
      <c r="T1540" s="199" t="str">
        <f t="shared" si="361"/>
        <v/>
      </c>
      <c r="U1540" s="199" t="str">
        <f t="shared" si="354"/>
        <v/>
      </c>
      <c r="V1540" s="989"/>
      <c r="X1540" s="374" t="str">
        <f t="shared" si="355"/>
        <v/>
      </c>
      <c r="Y1540" s="375" t="str">
        <f t="shared" si="356"/>
        <v/>
      </c>
      <c r="Z1540" s="374" t="str">
        <f t="shared" si="357"/>
        <v/>
      </c>
      <c r="AA1540" s="374" t="b">
        <f t="shared" si="358"/>
        <v>1</v>
      </c>
      <c r="AB1540" s="374">
        <f>COUNTIFS(B:B,B1540,H:H,'סיווג התפקידים והעלויות'!$C$2)</f>
        <v>0</v>
      </c>
      <c r="AC1540" s="374">
        <f>COUNTIFS(B:B,B1540,H:H,'סיווג התפקידים והעלויות'!$D$2)</f>
        <v>0</v>
      </c>
      <c r="AD1540" s="374" t="str">
        <f>IF(OR(AND(H1540='סיווג התפקידים והעלויות'!$A$2,I1540='סיווג התפקידים והעלויות'!$A$3),'עלויות כח אדם (6)'!H1540='סיווג התפקידים והעלויות'!$C$2,'עלויות כח אדם (6)'!H1540='סיווג התפקידים והעלויות'!$D$2),IF('עלויות כח אדם (6)'!J1540&lt;75,"לא תקין","תקין"),"")</f>
        <v/>
      </c>
      <c r="AE1540" s="374" t="str">
        <f t="shared" si="359"/>
        <v/>
      </c>
      <c r="AF1540" s="532" t="str">
        <f t="shared" si="360"/>
        <v/>
      </c>
    </row>
    <row r="1541" spans="2:32" x14ac:dyDescent="0.25">
      <c r="B1541" s="695"/>
      <c r="C1541" s="197" t="str">
        <f>IF(B1541&lt;&gt;"",IFERROR(VLOOKUP(B:B,'מצבת והרשמה (2)'!$C$20:$N$520,2,0)," ")," ")</f>
        <v xml:space="preserve"> </v>
      </c>
      <c r="D1541" s="695"/>
      <c r="E1541" s="696"/>
      <c r="F1541" s="696"/>
      <c r="G1541" s="696"/>
      <c r="H1541" s="696"/>
      <c r="I1541" s="1050" t="str">
        <f t="shared" si="347"/>
        <v/>
      </c>
      <c r="J1541" s="696"/>
      <c r="K1541" s="697"/>
      <c r="L1541" s="696"/>
      <c r="M1541" s="198" t="str">
        <f t="shared" si="348"/>
        <v/>
      </c>
      <c r="N1541" s="369" t="str">
        <f t="shared" si="349"/>
        <v/>
      </c>
      <c r="O1541" s="183" t="str">
        <f t="shared" si="350"/>
        <v/>
      </c>
      <c r="P1541" s="199" t="str">
        <f t="shared" si="351"/>
        <v/>
      </c>
      <c r="Q1541" s="199" t="str">
        <f>IF(B1541="","",IFERROR(IF('עלויות כח אדם (6)'!J1541&gt;=VLOOKUP(I1541,'סיווג התפקידים והעלויות'!$B$23:$C$32,2,0),"תקין","לא תקין"),""))</f>
        <v/>
      </c>
      <c r="R1541" s="199" t="str">
        <f t="shared" si="352"/>
        <v/>
      </c>
      <c r="S1541" s="199" t="str">
        <f t="shared" si="353"/>
        <v/>
      </c>
      <c r="T1541" s="199" t="str">
        <f t="shared" si="361"/>
        <v/>
      </c>
      <c r="U1541" s="199" t="str">
        <f t="shared" si="354"/>
        <v/>
      </c>
      <c r="V1541" s="989"/>
      <c r="X1541" s="374" t="str">
        <f t="shared" si="355"/>
        <v/>
      </c>
      <c r="Y1541" s="375" t="str">
        <f t="shared" si="356"/>
        <v/>
      </c>
      <c r="Z1541" s="374" t="str">
        <f t="shared" si="357"/>
        <v/>
      </c>
      <c r="AA1541" s="374" t="b">
        <f t="shared" si="358"/>
        <v>1</v>
      </c>
      <c r="AB1541" s="374">
        <f>COUNTIFS(B:B,B1541,H:H,'סיווג התפקידים והעלויות'!$C$2)</f>
        <v>0</v>
      </c>
      <c r="AC1541" s="374">
        <f>COUNTIFS(B:B,B1541,H:H,'סיווג התפקידים והעלויות'!$D$2)</f>
        <v>0</v>
      </c>
      <c r="AD1541" s="374" t="str">
        <f>IF(OR(AND(H1541='סיווג התפקידים והעלויות'!$A$2,I1541='סיווג התפקידים והעלויות'!$A$3),'עלויות כח אדם (6)'!H1541='סיווג התפקידים והעלויות'!$C$2,'עלויות כח אדם (6)'!H1541='סיווג התפקידים והעלויות'!$D$2),IF('עלויות כח אדם (6)'!J1541&lt;75,"לא תקין","תקין"),"")</f>
        <v/>
      </c>
      <c r="AE1541" s="374" t="str">
        <f t="shared" si="359"/>
        <v/>
      </c>
      <c r="AF1541" s="532" t="str">
        <f t="shared" si="360"/>
        <v/>
      </c>
    </row>
    <row r="1542" spans="2:32" x14ac:dyDescent="0.25">
      <c r="B1542" s="695"/>
      <c r="C1542" s="197" t="str">
        <f>IF(B1542&lt;&gt;"",IFERROR(VLOOKUP(B:B,'מצבת והרשמה (2)'!$C$20:$N$520,2,0)," ")," ")</f>
        <v xml:space="preserve"> </v>
      </c>
      <c r="D1542" s="695"/>
      <c r="E1542" s="696"/>
      <c r="F1542" s="696"/>
      <c r="G1542" s="696"/>
      <c r="H1542" s="696"/>
      <c r="I1542" s="1050" t="str">
        <f t="shared" si="347"/>
        <v/>
      </c>
      <c r="J1542" s="696"/>
      <c r="K1542" s="697"/>
      <c r="L1542" s="696"/>
      <c r="M1542" s="198" t="str">
        <f t="shared" si="348"/>
        <v/>
      </c>
      <c r="N1542" s="369" t="str">
        <f t="shared" si="349"/>
        <v/>
      </c>
      <c r="O1542" s="183" t="str">
        <f t="shared" si="350"/>
        <v/>
      </c>
      <c r="P1542" s="199" t="str">
        <f t="shared" si="351"/>
        <v/>
      </c>
      <c r="Q1542" s="199" t="str">
        <f>IF(B1542="","",IFERROR(IF('עלויות כח אדם (6)'!J1542&gt;=VLOOKUP(I1542,'סיווג התפקידים והעלויות'!$B$23:$C$32,2,0),"תקין","לא תקין"),""))</f>
        <v/>
      </c>
      <c r="R1542" s="199" t="str">
        <f t="shared" si="352"/>
        <v/>
      </c>
      <c r="S1542" s="199" t="str">
        <f t="shared" si="353"/>
        <v/>
      </c>
      <c r="T1542" s="199" t="str">
        <f t="shared" si="361"/>
        <v/>
      </c>
      <c r="U1542" s="199" t="str">
        <f t="shared" si="354"/>
        <v/>
      </c>
      <c r="V1542" s="989"/>
      <c r="X1542" s="374" t="str">
        <f t="shared" si="355"/>
        <v/>
      </c>
      <c r="Y1542" s="375" t="str">
        <f t="shared" si="356"/>
        <v/>
      </c>
      <c r="Z1542" s="374" t="str">
        <f t="shared" si="357"/>
        <v/>
      </c>
      <c r="AA1542" s="374" t="b">
        <f t="shared" si="358"/>
        <v>1</v>
      </c>
      <c r="AB1542" s="374">
        <f>COUNTIFS(B:B,B1542,H:H,'סיווג התפקידים והעלויות'!$C$2)</f>
        <v>0</v>
      </c>
      <c r="AC1542" s="374">
        <f>COUNTIFS(B:B,B1542,H:H,'סיווג התפקידים והעלויות'!$D$2)</f>
        <v>0</v>
      </c>
      <c r="AD1542" s="374" t="str">
        <f>IF(OR(AND(H1542='סיווג התפקידים והעלויות'!$A$2,I1542='סיווג התפקידים והעלויות'!$A$3),'עלויות כח אדם (6)'!H1542='סיווג התפקידים והעלויות'!$C$2,'עלויות כח אדם (6)'!H1542='סיווג התפקידים והעלויות'!$D$2),IF('עלויות כח אדם (6)'!J1542&lt;75,"לא תקין","תקין"),"")</f>
        <v/>
      </c>
      <c r="AE1542" s="374" t="str">
        <f t="shared" si="359"/>
        <v/>
      </c>
      <c r="AF1542" s="532" t="str">
        <f t="shared" si="360"/>
        <v/>
      </c>
    </row>
    <row r="1543" spans="2:32" x14ac:dyDescent="0.25">
      <c r="B1543" s="695"/>
      <c r="C1543" s="197" t="str">
        <f>IF(B1543&lt;&gt;"",IFERROR(VLOOKUP(B:B,'מצבת והרשמה (2)'!$C$20:$N$520,2,0)," ")," ")</f>
        <v xml:space="preserve"> </v>
      </c>
      <c r="D1543" s="695"/>
      <c r="E1543" s="696"/>
      <c r="F1543" s="696"/>
      <c r="G1543" s="696"/>
      <c r="H1543" s="696"/>
      <c r="I1543" s="1050" t="str">
        <f t="shared" si="347"/>
        <v/>
      </c>
      <c r="J1543" s="696"/>
      <c r="K1543" s="697"/>
      <c r="L1543" s="696"/>
      <c r="M1543" s="198" t="str">
        <f t="shared" si="348"/>
        <v/>
      </c>
      <c r="N1543" s="369" t="str">
        <f t="shared" si="349"/>
        <v/>
      </c>
      <c r="O1543" s="183" t="str">
        <f t="shared" si="350"/>
        <v/>
      </c>
      <c r="P1543" s="199" t="str">
        <f t="shared" si="351"/>
        <v/>
      </c>
      <c r="Q1543" s="199" t="str">
        <f>IF(B1543="","",IFERROR(IF('עלויות כח אדם (6)'!J1543&gt;=VLOOKUP(I1543,'סיווג התפקידים והעלויות'!$B$23:$C$32,2,0),"תקין","לא תקין"),""))</f>
        <v/>
      </c>
      <c r="R1543" s="199" t="str">
        <f t="shared" si="352"/>
        <v/>
      </c>
      <c r="S1543" s="199" t="str">
        <f t="shared" si="353"/>
        <v/>
      </c>
      <c r="T1543" s="199" t="str">
        <f t="shared" si="361"/>
        <v/>
      </c>
      <c r="U1543" s="199" t="str">
        <f t="shared" si="354"/>
        <v/>
      </c>
      <c r="V1543" s="989"/>
      <c r="X1543" s="374" t="str">
        <f t="shared" si="355"/>
        <v/>
      </c>
      <c r="Y1543" s="375" t="str">
        <f t="shared" si="356"/>
        <v/>
      </c>
      <c r="Z1543" s="374" t="str">
        <f t="shared" si="357"/>
        <v/>
      </c>
      <c r="AA1543" s="374" t="b">
        <f t="shared" si="358"/>
        <v>1</v>
      </c>
      <c r="AB1543" s="374">
        <f>COUNTIFS(B:B,B1543,H:H,'סיווג התפקידים והעלויות'!$C$2)</f>
        <v>0</v>
      </c>
      <c r="AC1543" s="374">
        <f>COUNTIFS(B:B,B1543,H:H,'סיווג התפקידים והעלויות'!$D$2)</f>
        <v>0</v>
      </c>
      <c r="AD1543" s="374" t="str">
        <f>IF(OR(AND(H1543='סיווג התפקידים והעלויות'!$A$2,I1543='סיווג התפקידים והעלויות'!$A$3),'עלויות כח אדם (6)'!H1543='סיווג התפקידים והעלויות'!$C$2,'עלויות כח אדם (6)'!H1543='סיווג התפקידים והעלויות'!$D$2),IF('עלויות כח אדם (6)'!J1543&lt;75,"לא תקין","תקין"),"")</f>
        <v/>
      </c>
      <c r="AE1543" s="374" t="str">
        <f t="shared" si="359"/>
        <v/>
      </c>
      <c r="AF1543" s="532" t="str">
        <f t="shared" si="360"/>
        <v/>
      </c>
    </row>
    <row r="1544" spans="2:32" x14ac:dyDescent="0.25">
      <c r="B1544" s="695"/>
      <c r="C1544" s="197" t="str">
        <f>IF(B1544&lt;&gt;"",IFERROR(VLOOKUP(B:B,'מצבת והרשמה (2)'!$C$20:$N$520,2,0)," ")," ")</f>
        <v xml:space="preserve"> </v>
      </c>
      <c r="D1544" s="695"/>
      <c r="E1544" s="696"/>
      <c r="F1544" s="696"/>
      <c r="G1544" s="696"/>
      <c r="H1544" s="696"/>
      <c r="I1544" s="1050" t="str">
        <f t="shared" si="347"/>
        <v/>
      </c>
      <c r="J1544" s="696"/>
      <c r="K1544" s="697"/>
      <c r="L1544" s="696"/>
      <c r="M1544" s="198" t="str">
        <f t="shared" si="348"/>
        <v/>
      </c>
      <c r="N1544" s="369" t="str">
        <f t="shared" si="349"/>
        <v/>
      </c>
      <c r="O1544" s="183" t="str">
        <f t="shared" si="350"/>
        <v/>
      </c>
      <c r="P1544" s="199" t="str">
        <f t="shared" si="351"/>
        <v/>
      </c>
      <c r="Q1544" s="199" t="str">
        <f>IF(B1544="","",IFERROR(IF('עלויות כח אדם (6)'!J1544&gt;=VLOOKUP(I1544,'סיווג התפקידים והעלויות'!$B$23:$C$32,2,0),"תקין","לא תקין"),""))</f>
        <v/>
      </c>
      <c r="R1544" s="199" t="str">
        <f t="shared" si="352"/>
        <v/>
      </c>
      <c r="S1544" s="199" t="str">
        <f t="shared" si="353"/>
        <v/>
      </c>
      <c r="T1544" s="199" t="str">
        <f t="shared" si="361"/>
        <v/>
      </c>
      <c r="U1544" s="199" t="str">
        <f t="shared" si="354"/>
        <v/>
      </c>
      <c r="V1544" s="989"/>
      <c r="X1544" s="374" t="str">
        <f t="shared" si="355"/>
        <v/>
      </c>
      <c r="Y1544" s="375" t="str">
        <f t="shared" si="356"/>
        <v/>
      </c>
      <c r="Z1544" s="374" t="str">
        <f t="shared" si="357"/>
        <v/>
      </c>
      <c r="AA1544" s="374" t="b">
        <f t="shared" si="358"/>
        <v>1</v>
      </c>
      <c r="AB1544" s="374">
        <f>COUNTIFS(B:B,B1544,H:H,'סיווג התפקידים והעלויות'!$C$2)</f>
        <v>0</v>
      </c>
      <c r="AC1544" s="374">
        <f>COUNTIFS(B:B,B1544,H:H,'סיווג התפקידים והעלויות'!$D$2)</f>
        <v>0</v>
      </c>
      <c r="AD1544" s="374" t="str">
        <f>IF(OR(AND(H1544='סיווג התפקידים והעלויות'!$A$2,I1544='סיווג התפקידים והעלויות'!$A$3),'עלויות כח אדם (6)'!H1544='סיווג התפקידים והעלויות'!$C$2,'עלויות כח אדם (6)'!H1544='סיווג התפקידים והעלויות'!$D$2),IF('עלויות כח אדם (6)'!J1544&lt;75,"לא תקין","תקין"),"")</f>
        <v/>
      </c>
      <c r="AE1544" s="374" t="str">
        <f t="shared" si="359"/>
        <v/>
      </c>
      <c r="AF1544" s="532" t="str">
        <f t="shared" si="360"/>
        <v/>
      </c>
    </row>
    <row r="1545" spans="2:32" x14ac:dyDescent="0.25">
      <c r="B1545" s="695"/>
      <c r="C1545" s="197" t="str">
        <f>IF(B1545&lt;&gt;"",IFERROR(VLOOKUP(B:B,'מצבת והרשמה (2)'!$C$20:$N$520,2,0)," ")," ")</f>
        <v xml:space="preserve"> </v>
      </c>
      <c r="D1545" s="695"/>
      <c r="E1545" s="696"/>
      <c r="F1545" s="696"/>
      <c r="G1545" s="696"/>
      <c r="H1545" s="696"/>
      <c r="I1545" s="1050" t="str">
        <f t="shared" si="347"/>
        <v/>
      </c>
      <c r="J1545" s="696"/>
      <c r="K1545" s="697"/>
      <c r="L1545" s="696"/>
      <c r="M1545" s="198" t="str">
        <f t="shared" si="348"/>
        <v/>
      </c>
      <c r="N1545" s="369" t="str">
        <f t="shared" si="349"/>
        <v/>
      </c>
      <c r="O1545" s="183" t="str">
        <f t="shared" si="350"/>
        <v/>
      </c>
      <c r="P1545" s="199" t="str">
        <f t="shared" si="351"/>
        <v/>
      </c>
      <c r="Q1545" s="199" t="str">
        <f>IF(B1545="","",IFERROR(IF('עלויות כח אדם (6)'!J1545&gt;=VLOOKUP(I1545,'סיווג התפקידים והעלויות'!$B$23:$C$32,2,0),"תקין","לא תקין"),""))</f>
        <v/>
      </c>
      <c r="R1545" s="199" t="str">
        <f t="shared" si="352"/>
        <v/>
      </c>
      <c r="S1545" s="199" t="str">
        <f t="shared" si="353"/>
        <v/>
      </c>
      <c r="T1545" s="199" t="str">
        <f t="shared" si="361"/>
        <v/>
      </c>
      <c r="U1545" s="199" t="str">
        <f t="shared" si="354"/>
        <v/>
      </c>
      <c r="V1545" s="989"/>
      <c r="X1545" s="374" t="str">
        <f t="shared" si="355"/>
        <v/>
      </c>
      <c r="Y1545" s="375" t="str">
        <f t="shared" si="356"/>
        <v/>
      </c>
      <c r="Z1545" s="374" t="str">
        <f t="shared" si="357"/>
        <v/>
      </c>
      <c r="AA1545" s="374" t="b">
        <f t="shared" si="358"/>
        <v>1</v>
      </c>
      <c r="AB1545" s="374">
        <f>COUNTIFS(B:B,B1545,H:H,'סיווג התפקידים והעלויות'!$C$2)</f>
        <v>0</v>
      </c>
      <c r="AC1545" s="374">
        <f>COUNTIFS(B:B,B1545,H:H,'סיווג התפקידים והעלויות'!$D$2)</f>
        <v>0</v>
      </c>
      <c r="AD1545" s="374" t="str">
        <f>IF(OR(AND(H1545='סיווג התפקידים והעלויות'!$A$2,I1545='סיווג התפקידים והעלויות'!$A$3),'עלויות כח אדם (6)'!H1545='סיווג התפקידים והעלויות'!$C$2,'עלויות כח אדם (6)'!H1545='סיווג התפקידים והעלויות'!$D$2),IF('עלויות כח אדם (6)'!J1545&lt;75,"לא תקין","תקין"),"")</f>
        <v/>
      </c>
      <c r="AE1545" s="374" t="str">
        <f t="shared" si="359"/>
        <v/>
      </c>
      <c r="AF1545" s="532" t="str">
        <f t="shared" si="360"/>
        <v/>
      </c>
    </row>
    <row r="1546" spans="2:32" x14ac:dyDescent="0.25">
      <c r="B1546" s="695"/>
      <c r="C1546" s="197" t="str">
        <f>IF(B1546&lt;&gt;"",IFERROR(VLOOKUP(B:B,'מצבת והרשמה (2)'!$C$20:$N$520,2,0)," ")," ")</f>
        <v xml:space="preserve"> </v>
      </c>
      <c r="D1546" s="695"/>
      <c r="E1546" s="696"/>
      <c r="F1546" s="696"/>
      <c r="G1546" s="696"/>
      <c r="H1546" s="696"/>
      <c r="I1546" s="1050" t="str">
        <f t="shared" si="347"/>
        <v/>
      </c>
      <c r="J1546" s="696"/>
      <c r="K1546" s="697"/>
      <c r="L1546" s="696"/>
      <c r="M1546" s="198" t="str">
        <f t="shared" si="348"/>
        <v/>
      </c>
      <c r="N1546" s="369" t="str">
        <f t="shared" si="349"/>
        <v/>
      </c>
      <c r="O1546" s="183" t="str">
        <f t="shared" si="350"/>
        <v/>
      </c>
      <c r="P1546" s="199" t="str">
        <f t="shared" si="351"/>
        <v/>
      </c>
      <c r="Q1546" s="199" t="str">
        <f>IF(B1546="","",IFERROR(IF('עלויות כח אדם (6)'!J1546&gt;=VLOOKUP(I1546,'סיווג התפקידים והעלויות'!$B$23:$C$32,2,0),"תקין","לא תקין"),""))</f>
        <v/>
      </c>
      <c r="R1546" s="199" t="str">
        <f t="shared" si="352"/>
        <v/>
      </c>
      <c r="S1546" s="199" t="str">
        <f t="shared" si="353"/>
        <v/>
      </c>
      <c r="T1546" s="199" t="str">
        <f t="shared" si="361"/>
        <v/>
      </c>
      <c r="U1546" s="199" t="str">
        <f t="shared" si="354"/>
        <v/>
      </c>
      <c r="V1546" s="989"/>
      <c r="X1546" s="374" t="str">
        <f t="shared" si="355"/>
        <v/>
      </c>
      <c r="Y1546" s="375" t="str">
        <f t="shared" si="356"/>
        <v/>
      </c>
      <c r="Z1546" s="374" t="str">
        <f t="shared" si="357"/>
        <v/>
      </c>
      <c r="AA1546" s="374" t="b">
        <f t="shared" si="358"/>
        <v>1</v>
      </c>
      <c r="AB1546" s="374">
        <f>COUNTIFS(B:B,B1546,H:H,'סיווג התפקידים והעלויות'!$C$2)</f>
        <v>0</v>
      </c>
      <c r="AC1546" s="374">
        <f>COUNTIFS(B:B,B1546,H:H,'סיווג התפקידים והעלויות'!$D$2)</f>
        <v>0</v>
      </c>
      <c r="AD1546" s="374" t="str">
        <f>IF(OR(AND(H1546='סיווג התפקידים והעלויות'!$A$2,I1546='סיווג התפקידים והעלויות'!$A$3),'עלויות כח אדם (6)'!H1546='סיווג התפקידים והעלויות'!$C$2,'עלויות כח אדם (6)'!H1546='סיווג התפקידים והעלויות'!$D$2),IF('עלויות כח אדם (6)'!J1546&lt;75,"לא תקין","תקין"),"")</f>
        <v/>
      </c>
      <c r="AE1546" s="374" t="str">
        <f t="shared" si="359"/>
        <v/>
      </c>
      <c r="AF1546" s="532" t="str">
        <f t="shared" si="360"/>
        <v/>
      </c>
    </row>
    <row r="1547" spans="2:32" x14ac:dyDescent="0.25">
      <c r="B1547" s="695"/>
      <c r="C1547" s="197" t="str">
        <f>IF(B1547&lt;&gt;"",IFERROR(VLOOKUP(B:B,'מצבת והרשמה (2)'!$C$20:$N$520,2,0)," ")," ")</f>
        <v xml:space="preserve"> </v>
      </c>
      <c r="D1547" s="695"/>
      <c r="E1547" s="696"/>
      <c r="F1547" s="696"/>
      <c r="G1547" s="696"/>
      <c r="H1547" s="696"/>
      <c r="I1547" s="1050" t="str">
        <f t="shared" si="347"/>
        <v/>
      </c>
      <c r="J1547" s="696"/>
      <c r="K1547" s="697"/>
      <c r="L1547" s="696"/>
      <c r="M1547" s="198" t="str">
        <f t="shared" si="348"/>
        <v/>
      </c>
      <c r="N1547" s="369" t="str">
        <f t="shared" si="349"/>
        <v/>
      </c>
      <c r="O1547" s="183" t="str">
        <f t="shared" si="350"/>
        <v/>
      </c>
      <c r="P1547" s="199" t="str">
        <f t="shared" si="351"/>
        <v/>
      </c>
      <c r="Q1547" s="199" t="str">
        <f>IF(B1547="","",IFERROR(IF('עלויות כח אדם (6)'!J1547&gt;=VLOOKUP(I1547,'סיווג התפקידים והעלויות'!$B$23:$C$32,2,0),"תקין","לא תקין"),""))</f>
        <v/>
      </c>
      <c r="R1547" s="199" t="str">
        <f t="shared" si="352"/>
        <v/>
      </c>
      <c r="S1547" s="199" t="str">
        <f t="shared" si="353"/>
        <v/>
      </c>
      <c r="T1547" s="199" t="str">
        <f t="shared" si="361"/>
        <v/>
      </c>
      <c r="U1547" s="199" t="str">
        <f t="shared" si="354"/>
        <v/>
      </c>
      <c r="V1547" s="989"/>
      <c r="X1547" s="374" t="str">
        <f t="shared" si="355"/>
        <v/>
      </c>
      <c r="Y1547" s="375" t="str">
        <f t="shared" si="356"/>
        <v/>
      </c>
      <c r="Z1547" s="374" t="str">
        <f t="shared" si="357"/>
        <v/>
      </c>
      <c r="AA1547" s="374" t="b">
        <f t="shared" si="358"/>
        <v>1</v>
      </c>
      <c r="AB1547" s="374">
        <f>COUNTIFS(B:B,B1547,H:H,'סיווג התפקידים והעלויות'!$C$2)</f>
        <v>0</v>
      </c>
      <c r="AC1547" s="374">
        <f>COUNTIFS(B:B,B1547,H:H,'סיווג התפקידים והעלויות'!$D$2)</f>
        <v>0</v>
      </c>
      <c r="AD1547" s="374" t="str">
        <f>IF(OR(AND(H1547='סיווג התפקידים והעלויות'!$A$2,I1547='סיווג התפקידים והעלויות'!$A$3),'עלויות כח אדם (6)'!H1547='סיווג התפקידים והעלויות'!$C$2,'עלויות כח אדם (6)'!H1547='סיווג התפקידים והעלויות'!$D$2),IF('עלויות כח אדם (6)'!J1547&lt;75,"לא תקין","תקין"),"")</f>
        <v/>
      </c>
      <c r="AE1547" s="374" t="str">
        <f t="shared" si="359"/>
        <v/>
      </c>
      <c r="AF1547" s="532" t="str">
        <f t="shared" si="360"/>
        <v/>
      </c>
    </row>
    <row r="1548" spans="2:32" x14ac:dyDescent="0.25">
      <c r="B1548" s="695"/>
      <c r="C1548" s="197" t="str">
        <f>IF(B1548&lt;&gt;"",IFERROR(VLOOKUP(B:B,'מצבת והרשמה (2)'!$C$20:$N$520,2,0)," ")," ")</f>
        <v xml:space="preserve"> </v>
      </c>
      <c r="D1548" s="695"/>
      <c r="E1548" s="696"/>
      <c r="F1548" s="696"/>
      <c r="G1548" s="696"/>
      <c r="H1548" s="696"/>
      <c r="I1548" s="1050" t="str">
        <f t="shared" si="347"/>
        <v/>
      </c>
      <c r="J1548" s="696"/>
      <c r="K1548" s="697"/>
      <c r="L1548" s="696"/>
      <c r="M1548" s="198" t="str">
        <f t="shared" si="348"/>
        <v/>
      </c>
      <c r="N1548" s="369" t="str">
        <f t="shared" si="349"/>
        <v/>
      </c>
      <c r="O1548" s="183" t="str">
        <f t="shared" si="350"/>
        <v/>
      </c>
      <c r="P1548" s="199" t="str">
        <f t="shared" si="351"/>
        <v/>
      </c>
      <c r="Q1548" s="199" t="str">
        <f>IF(B1548="","",IFERROR(IF('עלויות כח אדם (6)'!J1548&gt;=VLOOKUP(I1548,'סיווג התפקידים והעלויות'!$B$23:$C$32,2,0),"תקין","לא תקין"),""))</f>
        <v/>
      </c>
      <c r="R1548" s="199" t="str">
        <f t="shared" si="352"/>
        <v/>
      </c>
      <c r="S1548" s="199" t="str">
        <f t="shared" si="353"/>
        <v/>
      </c>
      <c r="T1548" s="199" t="str">
        <f t="shared" si="361"/>
        <v/>
      </c>
      <c r="U1548" s="199" t="str">
        <f t="shared" si="354"/>
        <v/>
      </c>
      <c r="V1548" s="989"/>
      <c r="X1548" s="374" t="str">
        <f t="shared" si="355"/>
        <v/>
      </c>
      <c r="Y1548" s="375" t="str">
        <f t="shared" si="356"/>
        <v/>
      </c>
      <c r="Z1548" s="374" t="str">
        <f t="shared" si="357"/>
        <v/>
      </c>
      <c r="AA1548" s="374" t="b">
        <f t="shared" si="358"/>
        <v>1</v>
      </c>
      <c r="AB1548" s="374">
        <f>COUNTIFS(B:B,B1548,H:H,'סיווג התפקידים והעלויות'!$C$2)</f>
        <v>0</v>
      </c>
      <c r="AC1548" s="374">
        <f>COUNTIFS(B:B,B1548,H:H,'סיווג התפקידים והעלויות'!$D$2)</f>
        <v>0</v>
      </c>
      <c r="AD1548" s="374" t="str">
        <f>IF(OR(AND(H1548='סיווג התפקידים והעלויות'!$A$2,I1548='סיווג התפקידים והעלויות'!$A$3),'עלויות כח אדם (6)'!H1548='סיווג התפקידים והעלויות'!$C$2,'עלויות כח אדם (6)'!H1548='סיווג התפקידים והעלויות'!$D$2),IF('עלויות כח אדם (6)'!J1548&lt;75,"לא תקין","תקין"),"")</f>
        <v/>
      </c>
      <c r="AE1548" s="374" t="str">
        <f t="shared" si="359"/>
        <v/>
      </c>
      <c r="AF1548" s="532" t="str">
        <f t="shared" si="360"/>
        <v/>
      </c>
    </row>
    <row r="1549" spans="2:32" x14ac:dyDescent="0.25">
      <c r="B1549" s="695"/>
      <c r="C1549" s="197" t="str">
        <f>IF(B1549&lt;&gt;"",IFERROR(VLOOKUP(B:B,'מצבת והרשמה (2)'!$C$20:$N$520,2,0)," ")," ")</f>
        <v xml:space="preserve"> </v>
      </c>
      <c r="D1549" s="695"/>
      <c r="E1549" s="696"/>
      <c r="F1549" s="696"/>
      <c r="G1549" s="696"/>
      <c r="H1549" s="696"/>
      <c r="I1549" s="1050" t="str">
        <f t="shared" si="347"/>
        <v/>
      </c>
      <c r="J1549" s="696"/>
      <c r="K1549" s="697"/>
      <c r="L1549" s="696"/>
      <c r="M1549" s="198" t="str">
        <f t="shared" si="348"/>
        <v/>
      </c>
      <c r="N1549" s="369" t="str">
        <f t="shared" si="349"/>
        <v/>
      </c>
      <c r="O1549" s="183" t="str">
        <f t="shared" si="350"/>
        <v/>
      </c>
      <c r="P1549" s="199" t="str">
        <f t="shared" si="351"/>
        <v/>
      </c>
      <c r="Q1549" s="199" t="str">
        <f>IF(B1549="","",IFERROR(IF('עלויות כח אדם (6)'!J1549&gt;=VLOOKUP(I1549,'סיווג התפקידים והעלויות'!$B$23:$C$32,2,0),"תקין","לא תקין"),""))</f>
        <v/>
      </c>
      <c r="R1549" s="199" t="str">
        <f t="shared" si="352"/>
        <v/>
      </c>
      <c r="S1549" s="199" t="str">
        <f t="shared" si="353"/>
        <v/>
      </c>
      <c r="T1549" s="199" t="str">
        <f t="shared" si="361"/>
        <v/>
      </c>
      <c r="U1549" s="199" t="str">
        <f t="shared" si="354"/>
        <v/>
      </c>
      <c r="V1549" s="989"/>
      <c r="X1549" s="374" t="str">
        <f t="shared" si="355"/>
        <v/>
      </c>
      <c r="Y1549" s="375" t="str">
        <f t="shared" si="356"/>
        <v/>
      </c>
      <c r="Z1549" s="374" t="str">
        <f t="shared" si="357"/>
        <v/>
      </c>
      <c r="AA1549" s="374" t="b">
        <f t="shared" si="358"/>
        <v>1</v>
      </c>
      <c r="AB1549" s="374">
        <f>COUNTIFS(B:B,B1549,H:H,'סיווג התפקידים והעלויות'!$C$2)</f>
        <v>0</v>
      </c>
      <c r="AC1549" s="374">
        <f>COUNTIFS(B:B,B1549,H:H,'סיווג התפקידים והעלויות'!$D$2)</f>
        <v>0</v>
      </c>
      <c r="AD1549" s="374" t="str">
        <f>IF(OR(AND(H1549='סיווג התפקידים והעלויות'!$A$2,I1549='סיווג התפקידים והעלויות'!$A$3),'עלויות כח אדם (6)'!H1549='סיווג התפקידים והעלויות'!$C$2,'עלויות כח אדם (6)'!H1549='סיווג התפקידים והעלויות'!$D$2),IF('עלויות כח אדם (6)'!J1549&lt;75,"לא תקין","תקין"),"")</f>
        <v/>
      </c>
      <c r="AE1549" s="374" t="str">
        <f t="shared" si="359"/>
        <v/>
      </c>
      <c r="AF1549" s="532" t="str">
        <f t="shared" si="360"/>
        <v/>
      </c>
    </row>
    <row r="1550" spans="2:32" x14ac:dyDescent="0.25">
      <c r="B1550" s="695"/>
      <c r="C1550" s="197" t="str">
        <f>IF(B1550&lt;&gt;"",IFERROR(VLOOKUP(B:B,'מצבת והרשמה (2)'!$C$20:$N$520,2,0)," ")," ")</f>
        <v xml:space="preserve"> </v>
      </c>
      <c r="D1550" s="695"/>
      <c r="E1550" s="696"/>
      <c r="F1550" s="696"/>
      <c r="G1550" s="696"/>
      <c r="H1550" s="696"/>
      <c r="I1550" s="1050" t="str">
        <f t="shared" si="347"/>
        <v/>
      </c>
      <c r="J1550" s="696"/>
      <c r="K1550" s="697"/>
      <c r="L1550" s="696"/>
      <c r="M1550" s="198" t="str">
        <f t="shared" si="348"/>
        <v/>
      </c>
      <c r="N1550" s="369" t="str">
        <f t="shared" si="349"/>
        <v/>
      </c>
      <c r="O1550" s="183" t="str">
        <f t="shared" si="350"/>
        <v/>
      </c>
      <c r="P1550" s="199" t="str">
        <f t="shared" si="351"/>
        <v/>
      </c>
      <c r="Q1550" s="199" t="str">
        <f>IF(B1550="","",IFERROR(IF('עלויות כח אדם (6)'!J1550&gt;=VLOOKUP(I1550,'סיווג התפקידים והעלויות'!$B$23:$C$32,2,0),"תקין","לא תקין"),""))</f>
        <v/>
      </c>
      <c r="R1550" s="199" t="str">
        <f t="shared" si="352"/>
        <v/>
      </c>
      <c r="S1550" s="199" t="str">
        <f t="shared" si="353"/>
        <v/>
      </c>
      <c r="T1550" s="199" t="str">
        <f t="shared" si="361"/>
        <v/>
      </c>
      <c r="U1550" s="199" t="str">
        <f t="shared" si="354"/>
        <v/>
      </c>
      <c r="V1550" s="989"/>
      <c r="X1550" s="374" t="str">
        <f t="shared" si="355"/>
        <v/>
      </c>
      <c r="Y1550" s="375" t="str">
        <f t="shared" si="356"/>
        <v/>
      </c>
      <c r="Z1550" s="374" t="str">
        <f t="shared" si="357"/>
        <v/>
      </c>
      <c r="AA1550" s="374" t="b">
        <f t="shared" si="358"/>
        <v>1</v>
      </c>
      <c r="AB1550" s="374">
        <f>COUNTIFS(B:B,B1550,H:H,'סיווג התפקידים והעלויות'!$C$2)</f>
        <v>0</v>
      </c>
      <c r="AC1550" s="374">
        <f>COUNTIFS(B:B,B1550,H:H,'סיווג התפקידים והעלויות'!$D$2)</f>
        <v>0</v>
      </c>
      <c r="AD1550" s="374" t="str">
        <f>IF(OR(AND(H1550='סיווג התפקידים והעלויות'!$A$2,I1550='סיווג התפקידים והעלויות'!$A$3),'עלויות כח אדם (6)'!H1550='סיווג התפקידים והעלויות'!$C$2,'עלויות כח אדם (6)'!H1550='סיווג התפקידים והעלויות'!$D$2),IF('עלויות כח אדם (6)'!J1550&lt;75,"לא תקין","תקין"),"")</f>
        <v/>
      </c>
      <c r="AE1550" s="374" t="str">
        <f t="shared" si="359"/>
        <v/>
      </c>
      <c r="AF1550" s="532" t="str">
        <f t="shared" si="360"/>
        <v/>
      </c>
    </row>
    <row r="1551" spans="2:32" x14ac:dyDescent="0.25">
      <c r="B1551" s="695"/>
      <c r="C1551" s="197" t="str">
        <f>IF(B1551&lt;&gt;"",IFERROR(VLOOKUP(B:B,'מצבת והרשמה (2)'!$C$20:$N$520,2,0)," ")," ")</f>
        <v xml:space="preserve"> </v>
      </c>
      <c r="D1551" s="695"/>
      <c r="E1551" s="696"/>
      <c r="F1551" s="696"/>
      <c r="G1551" s="696"/>
      <c r="H1551" s="696"/>
      <c r="I1551" s="1050" t="str">
        <f t="shared" ref="I1551:I1614" si="362">SUBSTITUTE(IFERROR(IF(H1551="מדצ","מדצ/ית",IF(H1551="סגנית רכזת מעל 150","סגנ/ית רכז/ת&gt;150",IF(H1551="רכזת תכנית בבית הספר","רכז/ת תכנית בבית הספר"))),""),"FALSE","")</f>
        <v/>
      </c>
      <c r="J1551" s="696"/>
      <c r="K1551" s="697"/>
      <c r="L1551" s="696"/>
      <c r="M1551" s="198" t="str">
        <f t="shared" ref="M1551:M1614" si="363">IF(AND(L1551&gt;0,K1551&gt;0),K1551*L1551,"")</f>
        <v/>
      </c>
      <c r="N1551" s="369" t="str">
        <f t="shared" ref="N1551:N1614" si="364">TEXT(LEFT(H1551,2),0)</f>
        <v/>
      </c>
      <c r="O1551" s="183" t="str">
        <f t="shared" ref="O1551:O1614" si="365">IF(ISNUMBER(M1551&gt;0),IF(ISBLANK(B1551),"יש להזין סמל מוסד בעמודה B",""),"")</f>
        <v/>
      </c>
      <c r="P1551" s="199" t="str">
        <f t="shared" ref="P1551:P1614" si="366">IF(B1551="","",IF(AA1551=FALSE,"לא תקין","תקין"))</f>
        <v/>
      </c>
      <c r="Q1551" s="199" t="str">
        <f>IF(B1551="","",IFERROR(IF('עלויות כח אדם (6)'!J1551&gt;=VLOOKUP(I1551,'סיווג התפקידים והעלויות'!$B$23:$C$32,2,0),"תקין","לא תקין"),""))</f>
        <v/>
      </c>
      <c r="R1551" s="199" t="str">
        <f t="shared" ref="R1551:R1614" si="367">IF(B1551="","",IF(OR(Y1551&lt;100%,Y1551&gt;140%),"לא תקין","תקין"))</f>
        <v/>
      </c>
      <c r="S1551" s="199" t="str">
        <f t="shared" ref="S1551:S1614" si="368">IF(B1551="","",IFERROR(IF(J1551&gt;120,"לא תקין","תקין"),""))</f>
        <v/>
      </c>
      <c r="T1551" s="199" t="str">
        <f t="shared" si="361"/>
        <v/>
      </c>
      <c r="U1551" s="199" t="str">
        <f t="shared" ref="U1551:U1614" si="369">IF(B1551="","",IF(Z1551&gt;1,IF(SUMIF(D:D,D1551,L:L)&gt;90,"לא תקין","תקין"),"תקין"))</f>
        <v/>
      </c>
      <c r="V1551" s="989"/>
      <c r="X1551" s="374" t="str">
        <f t="shared" ref="X1551:X1614" si="370">IF(B1551="","",IF(OR(R1551="לא תקין",S1551="לא תקין",T1551="לא תקין",,U1551="לא תקין"),"לא תקין","תקין"))</f>
        <v/>
      </c>
      <c r="Y1551" s="375" t="str">
        <f t="shared" ref="Y1551:Y1614" si="371">IFERROR(IF(B1551="","",K1551/J1551),"")</f>
        <v/>
      </c>
      <c r="Z1551" s="374" t="str">
        <f t="shared" ref="Z1551:Z1614" si="372">IF(B1551="","",COUNTIF(D:D,D1551))</f>
        <v/>
      </c>
      <c r="AA1551" s="374" t="b">
        <f t="shared" ref="AA1551:AA1614" si="373">MOD(MID(REPT(0,9-LEN(D1551))&amp;D1551,1,1)+MID("0246813579",MID(REPT(0,9-LEN(D1551))&amp;D1551,2,1)+1,1)+MID(REPT(0,9-LEN(D1551))&amp;D1551,3,1)+MID("0246813579",MID(REPT(0,9-LEN(D1551))&amp;D1551,4,1)+1,1)+MID(REPT(0,9-LEN(D1551))&amp;D1551,5,1)+MID("0246813579",MID(REPT(0,9-LEN(D1551))&amp;D1551,6,1)+1,1)+MID(REPT(0,9-LEN(D1551))&amp;D1551,7,1)+MID("0246813579",MID(REPT(0,9-LEN(D1551))&amp;D1551,8,1)+1,1)+MID(REPT(0,9-LEN(D1551))&amp;D1551,9,1),10)=0</f>
        <v>1</v>
      </c>
      <c r="AB1551" s="374">
        <f>COUNTIFS(B:B,B1551,H:H,'סיווג התפקידים והעלויות'!$C$2)</f>
        <v>0</v>
      </c>
      <c r="AC1551" s="374">
        <f>COUNTIFS(B:B,B1551,H:H,'סיווג התפקידים והעלויות'!$D$2)</f>
        <v>0</v>
      </c>
      <c r="AD1551" s="374" t="str">
        <f>IF(OR(AND(H1551='סיווג התפקידים והעלויות'!$A$2,I1551='סיווג התפקידים והעלויות'!$A$3),'עלויות כח אדם (6)'!H1551='סיווג התפקידים והעלויות'!$C$2,'עלויות כח אדם (6)'!H1551='סיווג התפקידים והעלויות'!$D$2),IF('עלויות כח אדם (6)'!J1551&lt;75,"לא תקין","תקין"),"")</f>
        <v/>
      </c>
      <c r="AE1551" s="374" t="str">
        <f t="shared" ref="AE1551:AE1614" si="374">IF(B1551&lt;&gt;"",B1551&amp;H1551,"")</f>
        <v/>
      </c>
      <c r="AF1551" s="532" t="str">
        <f t="shared" ref="AF1551:AF1614" si="375">M1551</f>
        <v/>
      </c>
    </row>
    <row r="1552" spans="2:32" x14ac:dyDescent="0.25">
      <c r="B1552" s="695"/>
      <c r="C1552" s="197" t="str">
        <f>IF(B1552&lt;&gt;"",IFERROR(VLOOKUP(B:B,'מצבת והרשמה (2)'!$C$20:$N$520,2,0)," ")," ")</f>
        <v xml:space="preserve"> </v>
      </c>
      <c r="D1552" s="695"/>
      <c r="E1552" s="696"/>
      <c r="F1552" s="696"/>
      <c r="G1552" s="696"/>
      <c r="H1552" s="696"/>
      <c r="I1552" s="1050" t="str">
        <f t="shared" si="362"/>
        <v/>
      </c>
      <c r="J1552" s="696"/>
      <c r="K1552" s="697"/>
      <c r="L1552" s="696"/>
      <c r="M1552" s="198" t="str">
        <f t="shared" si="363"/>
        <v/>
      </c>
      <c r="N1552" s="369" t="str">
        <f t="shared" si="364"/>
        <v/>
      </c>
      <c r="O1552" s="183" t="str">
        <f t="shared" si="365"/>
        <v/>
      </c>
      <c r="P1552" s="199" t="str">
        <f t="shared" si="366"/>
        <v/>
      </c>
      <c r="Q1552" s="199" t="str">
        <f>IF(B1552="","",IFERROR(IF('עלויות כח אדם (6)'!J1552&gt;=VLOOKUP(I1552,'סיווג התפקידים והעלויות'!$B$23:$C$32,2,0),"תקין","לא תקין"),""))</f>
        <v/>
      </c>
      <c r="R1552" s="199" t="str">
        <f t="shared" si="367"/>
        <v/>
      </c>
      <c r="S1552" s="199" t="str">
        <f t="shared" si="368"/>
        <v/>
      </c>
      <c r="T1552" s="199" t="str">
        <f t="shared" ref="T1552:T1615" si="376">IF(B1552="","",IF(H1552="","יש להזין איש צוות",IF(OR(H1552="מורה",H1552="גננת",H1552="רכז גן",H1552="רכזת גן",H1552="סייעת",H1552="מדצית",H1552="מדצ",H1552="מדריך",H1552="מדריכה",H1552="תוספת כח אדם"),IF(L1552&lt;=90,"תקין","לא תקין"),IF(OR(H1552="רכז בית ספר",H1552="רכזת תכנית בבית הספר",H1552="רכזת בית ספר"),IF(L1552&lt;=137,"תקין","לא תקין"),IF(OR(H1552="סגנית רכזת מעל 150",H1552="סגן רכז"),IF(L1552&lt;=93,"תקין","לא תקין"),"לא תקין")))))</f>
        <v/>
      </c>
      <c r="U1552" s="199" t="str">
        <f t="shared" si="369"/>
        <v/>
      </c>
      <c r="V1552" s="989"/>
      <c r="X1552" s="374" t="str">
        <f t="shared" si="370"/>
        <v/>
      </c>
      <c r="Y1552" s="375" t="str">
        <f t="shared" si="371"/>
        <v/>
      </c>
      <c r="Z1552" s="374" t="str">
        <f t="shared" si="372"/>
        <v/>
      </c>
      <c r="AA1552" s="374" t="b">
        <f t="shared" si="373"/>
        <v>1</v>
      </c>
      <c r="AB1552" s="374">
        <f>COUNTIFS(B:B,B1552,H:H,'סיווג התפקידים והעלויות'!$C$2)</f>
        <v>0</v>
      </c>
      <c r="AC1552" s="374">
        <f>COUNTIFS(B:B,B1552,H:H,'סיווג התפקידים והעלויות'!$D$2)</f>
        <v>0</v>
      </c>
      <c r="AD1552" s="374" t="str">
        <f>IF(OR(AND(H1552='סיווג התפקידים והעלויות'!$A$2,I1552='סיווג התפקידים והעלויות'!$A$3),'עלויות כח אדם (6)'!H1552='סיווג התפקידים והעלויות'!$C$2,'עלויות כח אדם (6)'!H1552='סיווג התפקידים והעלויות'!$D$2),IF('עלויות כח אדם (6)'!J1552&lt;75,"לא תקין","תקין"),"")</f>
        <v/>
      </c>
      <c r="AE1552" s="374" t="str">
        <f t="shared" si="374"/>
        <v/>
      </c>
      <c r="AF1552" s="532" t="str">
        <f t="shared" si="375"/>
        <v/>
      </c>
    </row>
    <row r="1553" spans="2:32" x14ac:dyDescent="0.25">
      <c r="B1553" s="695"/>
      <c r="C1553" s="197" t="str">
        <f>IF(B1553&lt;&gt;"",IFERROR(VLOOKUP(B:B,'מצבת והרשמה (2)'!$C$20:$N$520,2,0)," ")," ")</f>
        <v xml:space="preserve"> </v>
      </c>
      <c r="D1553" s="695"/>
      <c r="E1553" s="696"/>
      <c r="F1553" s="696"/>
      <c r="G1553" s="696"/>
      <c r="H1553" s="696"/>
      <c r="I1553" s="1050" t="str">
        <f t="shared" si="362"/>
        <v/>
      </c>
      <c r="J1553" s="696"/>
      <c r="K1553" s="697"/>
      <c r="L1553" s="696"/>
      <c r="M1553" s="198" t="str">
        <f t="shared" si="363"/>
        <v/>
      </c>
      <c r="N1553" s="369" t="str">
        <f t="shared" si="364"/>
        <v/>
      </c>
      <c r="O1553" s="183" t="str">
        <f t="shared" si="365"/>
        <v/>
      </c>
      <c r="P1553" s="199" t="str">
        <f t="shared" si="366"/>
        <v/>
      </c>
      <c r="Q1553" s="199" t="str">
        <f>IF(B1553="","",IFERROR(IF('עלויות כח אדם (6)'!J1553&gt;=VLOOKUP(I1553,'סיווג התפקידים והעלויות'!$B$23:$C$32,2,0),"תקין","לא תקין"),""))</f>
        <v/>
      </c>
      <c r="R1553" s="199" t="str">
        <f t="shared" si="367"/>
        <v/>
      </c>
      <c r="S1553" s="199" t="str">
        <f t="shared" si="368"/>
        <v/>
      </c>
      <c r="T1553" s="199" t="str">
        <f t="shared" si="376"/>
        <v/>
      </c>
      <c r="U1553" s="199" t="str">
        <f t="shared" si="369"/>
        <v/>
      </c>
      <c r="V1553" s="989"/>
      <c r="X1553" s="374" t="str">
        <f t="shared" si="370"/>
        <v/>
      </c>
      <c r="Y1553" s="375" t="str">
        <f t="shared" si="371"/>
        <v/>
      </c>
      <c r="Z1553" s="374" t="str">
        <f t="shared" si="372"/>
        <v/>
      </c>
      <c r="AA1553" s="374" t="b">
        <f t="shared" si="373"/>
        <v>1</v>
      </c>
      <c r="AB1553" s="374">
        <f>COUNTIFS(B:B,B1553,H:H,'סיווג התפקידים והעלויות'!$C$2)</f>
        <v>0</v>
      </c>
      <c r="AC1553" s="374">
        <f>COUNTIFS(B:B,B1553,H:H,'סיווג התפקידים והעלויות'!$D$2)</f>
        <v>0</v>
      </c>
      <c r="AD1553" s="374" t="str">
        <f>IF(OR(AND(H1553='סיווג התפקידים והעלויות'!$A$2,I1553='סיווג התפקידים והעלויות'!$A$3),'עלויות כח אדם (6)'!H1553='סיווג התפקידים והעלויות'!$C$2,'עלויות כח אדם (6)'!H1553='סיווג התפקידים והעלויות'!$D$2),IF('עלויות כח אדם (6)'!J1553&lt;75,"לא תקין","תקין"),"")</f>
        <v/>
      </c>
      <c r="AE1553" s="374" t="str">
        <f t="shared" si="374"/>
        <v/>
      </c>
      <c r="AF1553" s="532" t="str">
        <f t="shared" si="375"/>
        <v/>
      </c>
    </row>
    <row r="1554" spans="2:32" x14ac:dyDescent="0.25">
      <c r="B1554" s="695"/>
      <c r="C1554" s="197" t="str">
        <f>IF(B1554&lt;&gt;"",IFERROR(VLOOKUP(B:B,'מצבת והרשמה (2)'!$C$20:$N$520,2,0)," ")," ")</f>
        <v xml:space="preserve"> </v>
      </c>
      <c r="D1554" s="695"/>
      <c r="E1554" s="696"/>
      <c r="F1554" s="696"/>
      <c r="G1554" s="696"/>
      <c r="H1554" s="696"/>
      <c r="I1554" s="1050" t="str">
        <f t="shared" si="362"/>
        <v/>
      </c>
      <c r="J1554" s="696"/>
      <c r="K1554" s="697"/>
      <c r="L1554" s="696"/>
      <c r="M1554" s="198" t="str">
        <f t="shared" si="363"/>
        <v/>
      </c>
      <c r="N1554" s="369" t="str">
        <f t="shared" si="364"/>
        <v/>
      </c>
      <c r="O1554" s="183" t="str">
        <f t="shared" si="365"/>
        <v/>
      </c>
      <c r="P1554" s="199" t="str">
        <f t="shared" si="366"/>
        <v/>
      </c>
      <c r="Q1554" s="199" t="str">
        <f>IF(B1554="","",IFERROR(IF('עלויות כח אדם (6)'!J1554&gt;=VLOOKUP(I1554,'סיווג התפקידים והעלויות'!$B$23:$C$32,2,0),"תקין","לא תקין"),""))</f>
        <v/>
      </c>
      <c r="R1554" s="199" t="str">
        <f t="shared" si="367"/>
        <v/>
      </c>
      <c r="S1554" s="199" t="str">
        <f t="shared" si="368"/>
        <v/>
      </c>
      <c r="T1554" s="199" t="str">
        <f t="shared" si="376"/>
        <v/>
      </c>
      <c r="U1554" s="199" t="str">
        <f t="shared" si="369"/>
        <v/>
      </c>
      <c r="V1554" s="989"/>
      <c r="X1554" s="374" t="str">
        <f t="shared" si="370"/>
        <v/>
      </c>
      <c r="Y1554" s="375" t="str">
        <f t="shared" si="371"/>
        <v/>
      </c>
      <c r="Z1554" s="374" t="str">
        <f t="shared" si="372"/>
        <v/>
      </c>
      <c r="AA1554" s="374" t="b">
        <f t="shared" si="373"/>
        <v>1</v>
      </c>
      <c r="AB1554" s="374">
        <f>COUNTIFS(B:B,B1554,H:H,'סיווג התפקידים והעלויות'!$C$2)</f>
        <v>0</v>
      </c>
      <c r="AC1554" s="374">
        <f>COUNTIFS(B:B,B1554,H:H,'סיווג התפקידים והעלויות'!$D$2)</f>
        <v>0</v>
      </c>
      <c r="AD1554" s="374" t="str">
        <f>IF(OR(AND(H1554='סיווג התפקידים והעלויות'!$A$2,I1554='סיווג התפקידים והעלויות'!$A$3),'עלויות כח אדם (6)'!H1554='סיווג התפקידים והעלויות'!$C$2,'עלויות כח אדם (6)'!H1554='סיווג התפקידים והעלויות'!$D$2),IF('עלויות כח אדם (6)'!J1554&lt;75,"לא תקין","תקין"),"")</f>
        <v/>
      </c>
      <c r="AE1554" s="374" t="str">
        <f t="shared" si="374"/>
        <v/>
      </c>
      <c r="AF1554" s="532" t="str">
        <f t="shared" si="375"/>
        <v/>
      </c>
    </row>
    <row r="1555" spans="2:32" x14ac:dyDescent="0.25">
      <c r="B1555" s="695"/>
      <c r="C1555" s="197" t="str">
        <f>IF(B1555&lt;&gt;"",IFERROR(VLOOKUP(B:B,'מצבת והרשמה (2)'!$C$20:$N$520,2,0)," ")," ")</f>
        <v xml:space="preserve"> </v>
      </c>
      <c r="D1555" s="695"/>
      <c r="E1555" s="696"/>
      <c r="F1555" s="696"/>
      <c r="G1555" s="696"/>
      <c r="H1555" s="696"/>
      <c r="I1555" s="1050" t="str">
        <f t="shared" si="362"/>
        <v/>
      </c>
      <c r="J1555" s="696"/>
      <c r="K1555" s="697"/>
      <c r="L1555" s="696"/>
      <c r="M1555" s="198" t="str">
        <f t="shared" si="363"/>
        <v/>
      </c>
      <c r="N1555" s="369" t="str">
        <f t="shared" si="364"/>
        <v/>
      </c>
      <c r="O1555" s="183" t="str">
        <f t="shared" si="365"/>
        <v/>
      </c>
      <c r="P1555" s="199" t="str">
        <f t="shared" si="366"/>
        <v/>
      </c>
      <c r="Q1555" s="199" t="str">
        <f>IF(B1555="","",IFERROR(IF('עלויות כח אדם (6)'!J1555&gt;=VLOOKUP(I1555,'סיווג התפקידים והעלויות'!$B$23:$C$32,2,0),"תקין","לא תקין"),""))</f>
        <v/>
      </c>
      <c r="R1555" s="199" t="str">
        <f t="shared" si="367"/>
        <v/>
      </c>
      <c r="S1555" s="199" t="str">
        <f t="shared" si="368"/>
        <v/>
      </c>
      <c r="T1555" s="199" t="str">
        <f t="shared" si="376"/>
        <v/>
      </c>
      <c r="U1555" s="199" t="str">
        <f t="shared" si="369"/>
        <v/>
      </c>
      <c r="V1555" s="989"/>
      <c r="X1555" s="374" t="str">
        <f t="shared" si="370"/>
        <v/>
      </c>
      <c r="Y1555" s="375" t="str">
        <f t="shared" si="371"/>
        <v/>
      </c>
      <c r="Z1555" s="374" t="str">
        <f t="shared" si="372"/>
        <v/>
      </c>
      <c r="AA1555" s="374" t="b">
        <f t="shared" si="373"/>
        <v>1</v>
      </c>
      <c r="AB1555" s="374">
        <f>COUNTIFS(B:B,B1555,H:H,'סיווג התפקידים והעלויות'!$C$2)</f>
        <v>0</v>
      </c>
      <c r="AC1555" s="374">
        <f>COUNTIFS(B:B,B1555,H:H,'סיווג התפקידים והעלויות'!$D$2)</f>
        <v>0</v>
      </c>
      <c r="AD1555" s="374" t="str">
        <f>IF(OR(AND(H1555='סיווג התפקידים והעלויות'!$A$2,I1555='סיווג התפקידים והעלויות'!$A$3),'עלויות כח אדם (6)'!H1555='סיווג התפקידים והעלויות'!$C$2,'עלויות כח אדם (6)'!H1555='סיווג התפקידים והעלויות'!$D$2),IF('עלויות כח אדם (6)'!J1555&lt;75,"לא תקין","תקין"),"")</f>
        <v/>
      </c>
      <c r="AE1555" s="374" t="str">
        <f t="shared" si="374"/>
        <v/>
      </c>
      <c r="AF1555" s="532" t="str">
        <f t="shared" si="375"/>
        <v/>
      </c>
    </row>
    <row r="1556" spans="2:32" x14ac:dyDescent="0.25">
      <c r="B1556" s="695"/>
      <c r="C1556" s="197" t="str">
        <f>IF(B1556&lt;&gt;"",IFERROR(VLOOKUP(B:B,'מצבת והרשמה (2)'!$C$20:$N$520,2,0)," ")," ")</f>
        <v xml:space="preserve"> </v>
      </c>
      <c r="D1556" s="695"/>
      <c r="E1556" s="696"/>
      <c r="F1556" s="696"/>
      <c r="G1556" s="696"/>
      <c r="H1556" s="696"/>
      <c r="I1556" s="1050" t="str">
        <f t="shared" si="362"/>
        <v/>
      </c>
      <c r="J1556" s="696"/>
      <c r="K1556" s="697"/>
      <c r="L1556" s="696"/>
      <c r="M1556" s="198" t="str">
        <f t="shared" si="363"/>
        <v/>
      </c>
      <c r="N1556" s="369" t="str">
        <f t="shared" si="364"/>
        <v/>
      </c>
      <c r="O1556" s="183" t="str">
        <f t="shared" si="365"/>
        <v/>
      </c>
      <c r="P1556" s="199" t="str">
        <f t="shared" si="366"/>
        <v/>
      </c>
      <c r="Q1556" s="199" t="str">
        <f>IF(B1556="","",IFERROR(IF('עלויות כח אדם (6)'!J1556&gt;=VLOOKUP(I1556,'סיווג התפקידים והעלויות'!$B$23:$C$32,2,0),"תקין","לא תקין"),""))</f>
        <v/>
      </c>
      <c r="R1556" s="199" t="str">
        <f t="shared" si="367"/>
        <v/>
      </c>
      <c r="S1556" s="199" t="str">
        <f t="shared" si="368"/>
        <v/>
      </c>
      <c r="T1556" s="199" t="str">
        <f t="shared" si="376"/>
        <v/>
      </c>
      <c r="U1556" s="199" t="str">
        <f t="shared" si="369"/>
        <v/>
      </c>
      <c r="V1556" s="989"/>
      <c r="X1556" s="374" t="str">
        <f t="shared" si="370"/>
        <v/>
      </c>
      <c r="Y1556" s="375" t="str">
        <f t="shared" si="371"/>
        <v/>
      </c>
      <c r="Z1556" s="374" t="str">
        <f t="shared" si="372"/>
        <v/>
      </c>
      <c r="AA1556" s="374" t="b">
        <f t="shared" si="373"/>
        <v>1</v>
      </c>
      <c r="AB1556" s="374">
        <f>COUNTIFS(B:B,B1556,H:H,'סיווג התפקידים והעלויות'!$C$2)</f>
        <v>0</v>
      </c>
      <c r="AC1556" s="374">
        <f>COUNTIFS(B:B,B1556,H:H,'סיווג התפקידים והעלויות'!$D$2)</f>
        <v>0</v>
      </c>
      <c r="AD1556" s="374" t="str">
        <f>IF(OR(AND(H1556='סיווג התפקידים והעלויות'!$A$2,I1556='סיווג התפקידים והעלויות'!$A$3),'עלויות כח אדם (6)'!H1556='סיווג התפקידים והעלויות'!$C$2,'עלויות כח אדם (6)'!H1556='סיווג התפקידים והעלויות'!$D$2),IF('עלויות כח אדם (6)'!J1556&lt;75,"לא תקין","תקין"),"")</f>
        <v/>
      </c>
      <c r="AE1556" s="374" t="str">
        <f t="shared" si="374"/>
        <v/>
      </c>
      <c r="AF1556" s="532" t="str">
        <f t="shared" si="375"/>
        <v/>
      </c>
    </row>
    <row r="1557" spans="2:32" x14ac:dyDescent="0.25">
      <c r="B1557" s="695"/>
      <c r="C1557" s="197" t="str">
        <f>IF(B1557&lt;&gt;"",IFERROR(VLOOKUP(B:B,'מצבת והרשמה (2)'!$C$20:$N$520,2,0)," ")," ")</f>
        <v xml:space="preserve"> </v>
      </c>
      <c r="D1557" s="695"/>
      <c r="E1557" s="696"/>
      <c r="F1557" s="696"/>
      <c r="G1557" s="696"/>
      <c r="H1557" s="696"/>
      <c r="I1557" s="1050" t="str">
        <f t="shared" si="362"/>
        <v/>
      </c>
      <c r="J1557" s="696"/>
      <c r="K1557" s="697"/>
      <c r="L1557" s="696"/>
      <c r="M1557" s="198" t="str">
        <f t="shared" si="363"/>
        <v/>
      </c>
      <c r="N1557" s="369" t="str">
        <f t="shared" si="364"/>
        <v/>
      </c>
      <c r="O1557" s="183" t="str">
        <f t="shared" si="365"/>
        <v/>
      </c>
      <c r="P1557" s="199" t="str">
        <f t="shared" si="366"/>
        <v/>
      </c>
      <c r="Q1557" s="199" t="str">
        <f>IF(B1557="","",IFERROR(IF('עלויות כח אדם (6)'!J1557&gt;=VLOOKUP(I1557,'סיווג התפקידים והעלויות'!$B$23:$C$32,2,0),"תקין","לא תקין"),""))</f>
        <v/>
      </c>
      <c r="R1557" s="199" t="str">
        <f t="shared" si="367"/>
        <v/>
      </c>
      <c r="S1557" s="199" t="str">
        <f t="shared" si="368"/>
        <v/>
      </c>
      <c r="T1557" s="199" t="str">
        <f t="shared" si="376"/>
        <v/>
      </c>
      <c r="U1557" s="199" t="str">
        <f t="shared" si="369"/>
        <v/>
      </c>
      <c r="V1557" s="989"/>
      <c r="X1557" s="374" t="str">
        <f t="shared" si="370"/>
        <v/>
      </c>
      <c r="Y1557" s="375" t="str">
        <f t="shared" si="371"/>
        <v/>
      </c>
      <c r="Z1557" s="374" t="str">
        <f t="shared" si="372"/>
        <v/>
      </c>
      <c r="AA1557" s="374" t="b">
        <f t="shared" si="373"/>
        <v>1</v>
      </c>
      <c r="AB1557" s="374">
        <f>COUNTIFS(B:B,B1557,H:H,'סיווג התפקידים והעלויות'!$C$2)</f>
        <v>0</v>
      </c>
      <c r="AC1557" s="374">
        <f>COUNTIFS(B:B,B1557,H:H,'סיווג התפקידים והעלויות'!$D$2)</f>
        <v>0</v>
      </c>
      <c r="AD1557" s="374" t="str">
        <f>IF(OR(AND(H1557='סיווג התפקידים והעלויות'!$A$2,I1557='סיווג התפקידים והעלויות'!$A$3),'עלויות כח אדם (6)'!H1557='סיווג התפקידים והעלויות'!$C$2,'עלויות כח אדם (6)'!H1557='סיווג התפקידים והעלויות'!$D$2),IF('עלויות כח אדם (6)'!J1557&lt;75,"לא תקין","תקין"),"")</f>
        <v/>
      </c>
      <c r="AE1557" s="374" t="str">
        <f t="shared" si="374"/>
        <v/>
      </c>
      <c r="AF1557" s="532" t="str">
        <f t="shared" si="375"/>
        <v/>
      </c>
    </row>
    <row r="1558" spans="2:32" x14ac:dyDescent="0.25">
      <c r="B1558" s="695"/>
      <c r="C1558" s="197" t="str">
        <f>IF(B1558&lt;&gt;"",IFERROR(VLOOKUP(B:B,'מצבת והרשמה (2)'!$C$20:$N$520,2,0)," ")," ")</f>
        <v xml:space="preserve"> </v>
      </c>
      <c r="D1558" s="695"/>
      <c r="E1558" s="696"/>
      <c r="F1558" s="696"/>
      <c r="G1558" s="696"/>
      <c r="H1558" s="696"/>
      <c r="I1558" s="1050" t="str">
        <f t="shared" si="362"/>
        <v/>
      </c>
      <c r="J1558" s="696"/>
      <c r="K1558" s="697"/>
      <c r="L1558" s="696"/>
      <c r="M1558" s="198" t="str">
        <f t="shared" si="363"/>
        <v/>
      </c>
      <c r="N1558" s="369" t="str">
        <f t="shared" si="364"/>
        <v/>
      </c>
      <c r="O1558" s="183" t="str">
        <f t="shared" si="365"/>
        <v/>
      </c>
      <c r="P1558" s="199" t="str">
        <f t="shared" si="366"/>
        <v/>
      </c>
      <c r="Q1558" s="199" t="str">
        <f>IF(B1558="","",IFERROR(IF('עלויות כח אדם (6)'!J1558&gt;=VLOOKUP(I1558,'סיווג התפקידים והעלויות'!$B$23:$C$32,2,0),"תקין","לא תקין"),""))</f>
        <v/>
      </c>
      <c r="R1558" s="199" t="str">
        <f t="shared" si="367"/>
        <v/>
      </c>
      <c r="S1558" s="199" t="str">
        <f t="shared" si="368"/>
        <v/>
      </c>
      <c r="T1558" s="199" t="str">
        <f t="shared" si="376"/>
        <v/>
      </c>
      <c r="U1558" s="199" t="str">
        <f t="shared" si="369"/>
        <v/>
      </c>
      <c r="V1558" s="989"/>
      <c r="X1558" s="374" t="str">
        <f t="shared" si="370"/>
        <v/>
      </c>
      <c r="Y1558" s="375" t="str">
        <f t="shared" si="371"/>
        <v/>
      </c>
      <c r="Z1558" s="374" t="str">
        <f t="shared" si="372"/>
        <v/>
      </c>
      <c r="AA1558" s="374" t="b">
        <f t="shared" si="373"/>
        <v>1</v>
      </c>
      <c r="AB1558" s="374">
        <f>COUNTIFS(B:B,B1558,H:H,'סיווג התפקידים והעלויות'!$C$2)</f>
        <v>0</v>
      </c>
      <c r="AC1558" s="374">
        <f>COUNTIFS(B:B,B1558,H:H,'סיווג התפקידים והעלויות'!$D$2)</f>
        <v>0</v>
      </c>
      <c r="AD1558" s="374" t="str">
        <f>IF(OR(AND(H1558='סיווג התפקידים והעלויות'!$A$2,I1558='סיווג התפקידים והעלויות'!$A$3),'עלויות כח אדם (6)'!H1558='סיווג התפקידים והעלויות'!$C$2,'עלויות כח אדם (6)'!H1558='סיווג התפקידים והעלויות'!$D$2),IF('עלויות כח אדם (6)'!J1558&lt;75,"לא תקין","תקין"),"")</f>
        <v/>
      </c>
      <c r="AE1558" s="374" t="str">
        <f t="shared" si="374"/>
        <v/>
      </c>
      <c r="AF1558" s="532" t="str">
        <f t="shared" si="375"/>
        <v/>
      </c>
    </row>
    <row r="1559" spans="2:32" x14ac:dyDescent="0.25">
      <c r="B1559" s="695"/>
      <c r="C1559" s="197" t="str">
        <f>IF(B1559&lt;&gt;"",IFERROR(VLOOKUP(B:B,'מצבת והרשמה (2)'!$C$20:$N$520,2,0)," ")," ")</f>
        <v xml:space="preserve"> </v>
      </c>
      <c r="D1559" s="695"/>
      <c r="E1559" s="696"/>
      <c r="F1559" s="696"/>
      <c r="G1559" s="696"/>
      <c r="H1559" s="696"/>
      <c r="I1559" s="1050" t="str">
        <f t="shared" si="362"/>
        <v/>
      </c>
      <c r="J1559" s="696"/>
      <c r="K1559" s="697"/>
      <c r="L1559" s="696"/>
      <c r="M1559" s="198" t="str">
        <f t="shared" si="363"/>
        <v/>
      </c>
      <c r="N1559" s="369" t="str">
        <f t="shared" si="364"/>
        <v/>
      </c>
      <c r="O1559" s="183" t="str">
        <f t="shared" si="365"/>
        <v/>
      </c>
      <c r="P1559" s="199" t="str">
        <f t="shared" si="366"/>
        <v/>
      </c>
      <c r="Q1559" s="199" t="str">
        <f>IF(B1559="","",IFERROR(IF('עלויות כח אדם (6)'!J1559&gt;=VLOOKUP(I1559,'סיווג התפקידים והעלויות'!$B$23:$C$32,2,0),"תקין","לא תקין"),""))</f>
        <v/>
      </c>
      <c r="R1559" s="199" t="str">
        <f t="shared" si="367"/>
        <v/>
      </c>
      <c r="S1559" s="199" t="str">
        <f t="shared" si="368"/>
        <v/>
      </c>
      <c r="T1559" s="199" t="str">
        <f t="shared" si="376"/>
        <v/>
      </c>
      <c r="U1559" s="199" t="str">
        <f t="shared" si="369"/>
        <v/>
      </c>
      <c r="V1559" s="989"/>
      <c r="X1559" s="374" t="str">
        <f t="shared" si="370"/>
        <v/>
      </c>
      <c r="Y1559" s="375" t="str">
        <f t="shared" si="371"/>
        <v/>
      </c>
      <c r="Z1559" s="374" t="str">
        <f t="shared" si="372"/>
        <v/>
      </c>
      <c r="AA1559" s="374" t="b">
        <f t="shared" si="373"/>
        <v>1</v>
      </c>
      <c r="AB1559" s="374">
        <f>COUNTIFS(B:B,B1559,H:H,'סיווג התפקידים והעלויות'!$C$2)</f>
        <v>0</v>
      </c>
      <c r="AC1559" s="374">
        <f>COUNTIFS(B:B,B1559,H:H,'סיווג התפקידים והעלויות'!$D$2)</f>
        <v>0</v>
      </c>
      <c r="AD1559" s="374" t="str">
        <f>IF(OR(AND(H1559='סיווג התפקידים והעלויות'!$A$2,I1559='סיווג התפקידים והעלויות'!$A$3),'עלויות כח אדם (6)'!H1559='סיווג התפקידים והעלויות'!$C$2,'עלויות כח אדם (6)'!H1559='סיווג התפקידים והעלויות'!$D$2),IF('עלויות כח אדם (6)'!J1559&lt;75,"לא תקין","תקין"),"")</f>
        <v/>
      </c>
      <c r="AE1559" s="374" t="str">
        <f t="shared" si="374"/>
        <v/>
      </c>
      <c r="AF1559" s="532" t="str">
        <f t="shared" si="375"/>
        <v/>
      </c>
    </row>
    <row r="1560" spans="2:32" x14ac:dyDescent="0.25">
      <c r="B1560" s="695"/>
      <c r="C1560" s="197" t="str">
        <f>IF(B1560&lt;&gt;"",IFERROR(VLOOKUP(B:B,'מצבת והרשמה (2)'!$C$20:$N$520,2,0)," ")," ")</f>
        <v xml:space="preserve"> </v>
      </c>
      <c r="D1560" s="695"/>
      <c r="E1560" s="696"/>
      <c r="F1560" s="696"/>
      <c r="G1560" s="696"/>
      <c r="H1560" s="696"/>
      <c r="I1560" s="1050" t="str">
        <f t="shared" si="362"/>
        <v/>
      </c>
      <c r="J1560" s="696"/>
      <c r="K1560" s="697"/>
      <c r="L1560" s="696"/>
      <c r="M1560" s="198" t="str">
        <f t="shared" si="363"/>
        <v/>
      </c>
      <c r="N1560" s="369" t="str">
        <f t="shared" si="364"/>
        <v/>
      </c>
      <c r="O1560" s="183" t="str">
        <f t="shared" si="365"/>
        <v/>
      </c>
      <c r="P1560" s="199" t="str">
        <f t="shared" si="366"/>
        <v/>
      </c>
      <c r="Q1560" s="199" t="str">
        <f>IF(B1560="","",IFERROR(IF('עלויות כח אדם (6)'!J1560&gt;=VLOOKUP(I1560,'סיווג התפקידים והעלויות'!$B$23:$C$32,2,0),"תקין","לא תקין"),""))</f>
        <v/>
      </c>
      <c r="R1560" s="199" t="str">
        <f t="shared" si="367"/>
        <v/>
      </c>
      <c r="S1560" s="199" t="str">
        <f t="shared" si="368"/>
        <v/>
      </c>
      <c r="T1560" s="199" t="str">
        <f t="shared" si="376"/>
        <v/>
      </c>
      <c r="U1560" s="199" t="str">
        <f t="shared" si="369"/>
        <v/>
      </c>
      <c r="V1560" s="989"/>
      <c r="X1560" s="374" t="str">
        <f t="shared" si="370"/>
        <v/>
      </c>
      <c r="Y1560" s="375" t="str">
        <f t="shared" si="371"/>
        <v/>
      </c>
      <c r="Z1560" s="374" t="str">
        <f t="shared" si="372"/>
        <v/>
      </c>
      <c r="AA1560" s="374" t="b">
        <f t="shared" si="373"/>
        <v>1</v>
      </c>
      <c r="AB1560" s="374">
        <f>COUNTIFS(B:B,B1560,H:H,'סיווג התפקידים והעלויות'!$C$2)</f>
        <v>0</v>
      </c>
      <c r="AC1560" s="374">
        <f>COUNTIFS(B:B,B1560,H:H,'סיווג התפקידים והעלויות'!$D$2)</f>
        <v>0</v>
      </c>
      <c r="AD1560" s="374" t="str">
        <f>IF(OR(AND(H1560='סיווג התפקידים והעלויות'!$A$2,I1560='סיווג התפקידים והעלויות'!$A$3),'עלויות כח אדם (6)'!H1560='סיווג התפקידים והעלויות'!$C$2,'עלויות כח אדם (6)'!H1560='סיווג התפקידים והעלויות'!$D$2),IF('עלויות כח אדם (6)'!J1560&lt;75,"לא תקין","תקין"),"")</f>
        <v/>
      </c>
      <c r="AE1560" s="374" t="str">
        <f t="shared" si="374"/>
        <v/>
      </c>
      <c r="AF1560" s="532" t="str">
        <f t="shared" si="375"/>
        <v/>
      </c>
    </row>
    <row r="1561" spans="2:32" x14ac:dyDescent="0.25">
      <c r="B1561" s="695"/>
      <c r="C1561" s="197" t="str">
        <f>IF(B1561&lt;&gt;"",IFERROR(VLOOKUP(B:B,'מצבת והרשמה (2)'!$C$20:$N$520,2,0)," ")," ")</f>
        <v xml:space="preserve"> </v>
      </c>
      <c r="D1561" s="695"/>
      <c r="E1561" s="696"/>
      <c r="F1561" s="696"/>
      <c r="G1561" s="696"/>
      <c r="H1561" s="696"/>
      <c r="I1561" s="1050" t="str">
        <f t="shared" si="362"/>
        <v/>
      </c>
      <c r="J1561" s="696"/>
      <c r="K1561" s="697"/>
      <c r="L1561" s="696"/>
      <c r="M1561" s="198" t="str">
        <f t="shared" si="363"/>
        <v/>
      </c>
      <c r="N1561" s="369" t="str">
        <f t="shared" si="364"/>
        <v/>
      </c>
      <c r="O1561" s="183" t="str">
        <f t="shared" si="365"/>
        <v/>
      </c>
      <c r="P1561" s="199" t="str">
        <f t="shared" si="366"/>
        <v/>
      </c>
      <c r="Q1561" s="199" t="str">
        <f>IF(B1561="","",IFERROR(IF('עלויות כח אדם (6)'!J1561&gt;=VLOOKUP(I1561,'סיווג התפקידים והעלויות'!$B$23:$C$32,2,0),"תקין","לא תקין"),""))</f>
        <v/>
      </c>
      <c r="R1561" s="199" t="str">
        <f t="shared" si="367"/>
        <v/>
      </c>
      <c r="S1561" s="199" t="str">
        <f t="shared" si="368"/>
        <v/>
      </c>
      <c r="T1561" s="199" t="str">
        <f t="shared" si="376"/>
        <v/>
      </c>
      <c r="U1561" s="199" t="str">
        <f t="shared" si="369"/>
        <v/>
      </c>
      <c r="V1561" s="989"/>
      <c r="X1561" s="374" t="str">
        <f t="shared" si="370"/>
        <v/>
      </c>
      <c r="Y1561" s="375" t="str">
        <f t="shared" si="371"/>
        <v/>
      </c>
      <c r="Z1561" s="374" t="str">
        <f t="shared" si="372"/>
        <v/>
      </c>
      <c r="AA1561" s="374" t="b">
        <f t="shared" si="373"/>
        <v>1</v>
      </c>
      <c r="AB1561" s="374">
        <f>COUNTIFS(B:B,B1561,H:H,'סיווג התפקידים והעלויות'!$C$2)</f>
        <v>0</v>
      </c>
      <c r="AC1561" s="374">
        <f>COUNTIFS(B:B,B1561,H:H,'סיווג התפקידים והעלויות'!$D$2)</f>
        <v>0</v>
      </c>
      <c r="AD1561" s="374" t="str">
        <f>IF(OR(AND(H1561='סיווג התפקידים והעלויות'!$A$2,I1561='סיווג התפקידים והעלויות'!$A$3),'עלויות כח אדם (6)'!H1561='סיווג התפקידים והעלויות'!$C$2,'עלויות כח אדם (6)'!H1561='סיווג התפקידים והעלויות'!$D$2),IF('עלויות כח אדם (6)'!J1561&lt;75,"לא תקין","תקין"),"")</f>
        <v/>
      </c>
      <c r="AE1561" s="374" t="str">
        <f t="shared" si="374"/>
        <v/>
      </c>
      <c r="AF1561" s="532" t="str">
        <f t="shared" si="375"/>
        <v/>
      </c>
    </row>
    <row r="1562" spans="2:32" x14ac:dyDescent="0.25">
      <c r="B1562" s="695"/>
      <c r="C1562" s="197" t="str">
        <f>IF(B1562&lt;&gt;"",IFERROR(VLOOKUP(B:B,'מצבת והרשמה (2)'!$C$20:$N$520,2,0)," ")," ")</f>
        <v xml:space="preserve"> </v>
      </c>
      <c r="D1562" s="695"/>
      <c r="E1562" s="696"/>
      <c r="F1562" s="696"/>
      <c r="G1562" s="696"/>
      <c r="H1562" s="696"/>
      <c r="I1562" s="1050" t="str">
        <f t="shared" si="362"/>
        <v/>
      </c>
      <c r="J1562" s="696"/>
      <c r="K1562" s="697"/>
      <c r="L1562" s="696"/>
      <c r="M1562" s="198" t="str">
        <f t="shared" si="363"/>
        <v/>
      </c>
      <c r="N1562" s="369" t="str">
        <f t="shared" si="364"/>
        <v/>
      </c>
      <c r="O1562" s="183" t="str">
        <f t="shared" si="365"/>
        <v/>
      </c>
      <c r="P1562" s="199" t="str">
        <f t="shared" si="366"/>
        <v/>
      </c>
      <c r="Q1562" s="199" t="str">
        <f>IF(B1562="","",IFERROR(IF('עלויות כח אדם (6)'!J1562&gt;=VLOOKUP(I1562,'סיווג התפקידים והעלויות'!$B$23:$C$32,2,0),"תקין","לא תקין"),""))</f>
        <v/>
      </c>
      <c r="R1562" s="199" t="str">
        <f t="shared" si="367"/>
        <v/>
      </c>
      <c r="S1562" s="199" t="str">
        <f t="shared" si="368"/>
        <v/>
      </c>
      <c r="T1562" s="199" t="str">
        <f t="shared" si="376"/>
        <v/>
      </c>
      <c r="U1562" s="199" t="str">
        <f t="shared" si="369"/>
        <v/>
      </c>
      <c r="V1562" s="989"/>
      <c r="X1562" s="374" t="str">
        <f t="shared" si="370"/>
        <v/>
      </c>
      <c r="Y1562" s="375" t="str">
        <f t="shared" si="371"/>
        <v/>
      </c>
      <c r="Z1562" s="374" t="str">
        <f t="shared" si="372"/>
        <v/>
      </c>
      <c r="AA1562" s="374" t="b">
        <f t="shared" si="373"/>
        <v>1</v>
      </c>
      <c r="AB1562" s="374">
        <f>COUNTIFS(B:B,B1562,H:H,'סיווג התפקידים והעלויות'!$C$2)</f>
        <v>0</v>
      </c>
      <c r="AC1562" s="374">
        <f>COUNTIFS(B:B,B1562,H:H,'סיווג התפקידים והעלויות'!$D$2)</f>
        <v>0</v>
      </c>
      <c r="AD1562" s="374" t="str">
        <f>IF(OR(AND(H1562='סיווג התפקידים והעלויות'!$A$2,I1562='סיווג התפקידים והעלויות'!$A$3),'עלויות כח אדם (6)'!H1562='סיווג התפקידים והעלויות'!$C$2,'עלויות כח אדם (6)'!H1562='סיווג התפקידים והעלויות'!$D$2),IF('עלויות כח אדם (6)'!J1562&lt;75,"לא תקין","תקין"),"")</f>
        <v/>
      </c>
      <c r="AE1562" s="374" t="str">
        <f t="shared" si="374"/>
        <v/>
      </c>
      <c r="AF1562" s="532" t="str">
        <f t="shared" si="375"/>
        <v/>
      </c>
    </row>
    <row r="1563" spans="2:32" x14ac:dyDescent="0.25">
      <c r="B1563" s="695"/>
      <c r="C1563" s="197" t="str">
        <f>IF(B1563&lt;&gt;"",IFERROR(VLOOKUP(B:B,'מצבת והרשמה (2)'!$C$20:$N$520,2,0)," ")," ")</f>
        <v xml:space="preserve"> </v>
      </c>
      <c r="D1563" s="695"/>
      <c r="E1563" s="696"/>
      <c r="F1563" s="696"/>
      <c r="G1563" s="696"/>
      <c r="H1563" s="696"/>
      <c r="I1563" s="1050" t="str">
        <f t="shared" si="362"/>
        <v/>
      </c>
      <c r="J1563" s="696"/>
      <c r="K1563" s="697"/>
      <c r="L1563" s="696"/>
      <c r="M1563" s="198" t="str">
        <f t="shared" si="363"/>
        <v/>
      </c>
      <c r="N1563" s="369" t="str">
        <f t="shared" si="364"/>
        <v/>
      </c>
      <c r="O1563" s="183" t="str">
        <f t="shared" si="365"/>
        <v/>
      </c>
      <c r="P1563" s="199" t="str">
        <f t="shared" si="366"/>
        <v/>
      </c>
      <c r="Q1563" s="199" t="str">
        <f>IF(B1563="","",IFERROR(IF('עלויות כח אדם (6)'!J1563&gt;=VLOOKUP(I1563,'סיווג התפקידים והעלויות'!$B$23:$C$32,2,0),"תקין","לא תקין"),""))</f>
        <v/>
      </c>
      <c r="R1563" s="199" t="str">
        <f t="shared" si="367"/>
        <v/>
      </c>
      <c r="S1563" s="199" t="str">
        <f t="shared" si="368"/>
        <v/>
      </c>
      <c r="T1563" s="199" t="str">
        <f t="shared" si="376"/>
        <v/>
      </c>
      <c r="U1563" s="199" t="str">
        <f t="shared" si="369"/>
        <v/>
      </c>
      <c r="V1563" s="989"/>
      <c r="X1563" s="374" t="str">
        <f t="shared" si="370"/>
        <v/>
      </c>
      <c r="Y1563" s="375" t="str">
        <f t="shared" si="371"/>
        <v/>
      </c>
      <c r="Z1563" s="374" t="str">
        <f t="shared" si="372"/>
        <v/>
      </c>
      <c r="AA1563" s="374" t="b">
        <f t="shared" si="373"/>
        <v>1</v>
      </c>
      <c r="AB1563" s="374">
        <f>COUNTIFS(B:B,B1563,H:H,'סיווג התפקידים והעלויות'!$C$2)</f>
        <v>0</v>
      </c>
      <c r="AC1563" s="374">
        <f>COUNTIFS(B:B,B1563,H:H,'סיווג התפקידים והעלויות'!$D$2)</f>
        <v>0</v>
      </c>
      <c r="AD1563" s="374" t="str">
        <f>IF(OR(AND(H1563='סיווג התפקידים והעלויות'!$A$2,I1563='סיווג התפקידים והעלויות'!$A$3),'עלויות כח אדם (6)'!H1563='סיווג התפקידים והעלויות'!$C$2,'עלויות כח אדם (6)'!H1563='סיווג התפקידים והעלויות'!$D$2),IF('עלויות כח אדם (6)'!J1563&lt;75,"לא תקין","תקין"),"")</f>
        <v/>
      </c>
      <c r="AE1563" s="374" t="str">
        <f t="shared" si="374"/>
        <v/>
      </c>
      <c r="AF1563" s="532" t="str">
        <f t="shared" si="375"/>
        <v/>
      </c>
    </row>
    <row r="1564" spans="2:32" x14ac:dyDescent="0.25">
      <c r="B1564" s="695"/>
      <c r="C1564" s="197" t="str">
        <f>IF(B1564&lt;&gt;"",IFERROR(VLOOKUP(B:B,'מצבת והרשמה (2)'!$C$20:$N$520,2,0)," ")," ")</f>
        <v xml:space="preserve"> </v>
      </c>
      <c r="D1564" s="695"/>
      <c r="E1564" s="696"/>
      <c r="F1564" s="696"/>
      <c r="G1564" s="696"/>
      <c r="H1564" s="696"/>
      <c r="I1564" s="1050" t="str">
        <f t="shared" si="362"/>
        <v/>
      </c>
      <c r="J1564" s="696"/>
      <c r="K1564" s="697"/>
      <c r="L1564" s="696"/>
      <c r="M1564" s="198" t="str">
        <f t="shared" si="363"/>
        <v/>
      </c>
      <c r="N1564" s="369" t="str">
        <f t="shared" si="364"/>
        <v/>
      </c>
      <c r="O1564" s="183" t="str">
        <f t="shared" si="365"/>
        <v/>
      </c>
      <c r="P1564" s="199" t="str">
        <f t="shared" si="366"/>
        <v/>
      </c>
      <c r="Q1564" s="199" t="str">
        <f>IF(B1564="","",IFERROR(IF('עלויות כח אדם (6)'!J1564&gt;=VLOOKUP(I1564,'סיווג התפקידים והעלויות'!$B$23:$C$32,2,0),"תקין","לא תקין"),""))</f>
        <v/>
      </c>
      <c r="R1564" s="199" t="str">
        <f t="shared" si="367"/>
        <v/>
      </c>
      <c r="S1564" s="199" t="str">
        <f t="shared" si="368"/>
        <v/>
      </c>
      <c r="T1564" s="199" t="str">
        <f t="shared" si="376"/>
        <v/>
      </c>
      <c r="U1564" s="199" t="str">
        <f t="shared" si="369"/>
        <v/>
      </c>
      <c r="V1564" s="989"/>
      <c r="X1564" s="374" t="str">
        <f t="shared" si="370"/>
        <v/>
      </c>
      <c r="Y1564" s="375" t="str">
        <f t="shared" si="371"/>
        <v/>
      </c>
      <c r="Z1564" s="374" t="str">
        <f t="shared" si="372"/>
        <v/>
      </c>
      <c r="AA1564" s="374" t="b">
        <f t="shared" si="373"/>
        <v>1</v>
      </c>
      <c r="AB1564" s="374">
        <f>COUNTIFS(B:B,B1564,H:H,'סיווג התפקידים והעלויות'!$C$2)</f>
        <v>0</v>
      </c>
      <c r="AC1564" s="374">
        <f>COUNTIFS(B:B,B1564,H:H,'סיווג התפקידים והעלויות'!$D$2)</f>
        <v>0</v>
      </c>
      <c r="AD1564" s="374" t="str">
        <f>IF(OR(AND(H1564='סיווג התפקידים והעלויות'!$A$2,I1564='סיווג התפקידים והעלויות'!$A$3),'עלויות כח אדם (6)'!H1564='סיווג התפקידים והעלויות'!$C$2,'עלויות כח אדם (6)'!H1564='סיווג התפקידים והעלויות'!$D$2),IF('עלויות כח אדם (6)'!J1564&lt;75,"לא תקין","תקין"),"")</f>
        <v/>
      </c>
      <c r="AE1564" s="374" t="str">
        <f t="shared" si="374"/>
        <v/>
      </c>
      <c r="AF1564" s="532" t="str">
        <f t="shared" si="375"/>
        <v/>
      </c>
    </row>
    <row r="1565" spans="2:32" x14ac:dyDescent="0.25">
      <c r="B1565" s="695"/>
      <c r="C1565" s="197" t="str">
        <f>IF(B1565&lt;&gt;"",IFERROR(VLOOKUP(B:B,'מצבת והרשמה (2)'!$C$20:$N$520,2,0)," ")," ")</f>
        <v xml:space="preserve"> </v>
      </c>
      <c r="D1565" s="695"/>
      <c r="E1565" s="696"/>
      <c r="F1565" s="696"/>
      <c r="G1565" s="696"/>
      <c r="H1565" s="696"/>
      <c r="I1565" s="1050" t="str">
        <f t="shared" si="362"/>
        <v/>
      </c>
      <c r="J1565" s="696"/>
      <c r="K1565" s="697"/>
      <c r="L1565" s="696"/>
      <c r="M1565" s="198" t="str">
        <f t="shared" si="363"/>
        <v/>
      </c>
      <c r="N1565" s="369" t="str">
        <f t="shared" si="364"/>
        <v/>
      </c>
      <c r="O1565" s="183" t="str">
        <f t="shared" si="365"/>
        <v/>
      </c>
      <c r="P1565" s="199" t="str">
        <f t="shared" si="366"/>
        <v/>
      </c>
      <c r="Q1565" s="199" t="str">
        <f>IF(B1565="","",IFERROR(IF('עלויות כח אדם (6)'!J1565&gt;=VLOOKUP(I1565,'סיווג התפקידים והעלויות'!$B$23:$C$32,2,0),"תקין","לא תקין"),""))</f>
        <v/>
      </c>
      <c r="R1565" s="199" t="str">
        <f t="shared" si="367"/>
        <v/>
      </c>
      <c r="S1565" s="199" t="str">
        <f t="shared" si="368"/>
        <v/>
      </c>
      <c r="T1565" s="199" t="str">
        <f t="shared" si="376"/>
        <v/>
      </c>
      <c r="U1565" s="199" t="str">
        <f t="shared" si="369"/>
        <v/>
      </c>
      <c r="V1565" s="989"/>
      <c r="X1565" s="374" t="str">
        <f t="shared" si="370"/>
        <v/>
      </c>
      <c r="Y1565" s="375" t="str">
        <f t="shared" si="371"/>
        <v/>
      </c>
      <c r="Z1565" s="374" t="str">
        <f t="shared" si="372"/>
        <v/>
      </c>
      <c r="AA1565" s="374" t="b">
        <f t="shared" si="373"/>
        <v>1</v>
      </c>
      <c r="AB1565" s="374">
        <f>COUNTIFS(B:B,B1565,H:H,'סיווג התפקידים והעלויות'!$C$2)</f>
        <v>0</v>
      </c>
      <c r="AC1565" s="374">
        <f>COUNTIFS(B:B,B1565,H:H,'סיווג התפקידים והעלויות'!$D$2)</f>
        <v>0</v>
      </c>
      <c r="AD1565" s="374" t="str">
        <f>IF(OR(AND(H1565='סיווג התפקידים והעלויות'!$A$2,I1565='סיווג התפקידים והעלויות'!$A$3),'עלויות כח אדם (6)'!H1565='סיווג התפקידים והעלויות'!$C$2,'עלויות כח אדם (6)'!H1565='סיווג התפקידים והעלויות'!$D$2),IF('עלויות כח אדם (6)'!J1565&lt;75,"לא תקין","תקין"),"")</f>
        <v/>
      </c>
      <c r="AE1565" s="374" t="str">
        <f t="shared" si="374"/>
        <v/>
      </c>
      <c r="AF1565" s="532" t="str">
        <f t="shared" si="375"/>
        <v/>
      </c>
    </row>
    <row r="1566" spans="2:32" x14ac:dyDescent="0.25">
      <c r="B1566" s="695"/>
      <c r="C1566" s="197" t="str">
        <f>IF(B1566&lt;&gt;"",IFERROR(VLOOKUP(B:B,'מצבת והרשמה (2)'!$C$20:$N$520,2,0)," ")," ")</f>
        <v xml:space="preserve"> </v>
      </c>
      <c r="D1566" s="695"/>
      <c r="E1566" s="696"/>
      <c r="F1566" s="696"/>
      <c r="G1566" s="696"/>
      <c r="H1566" s="696"/>
      <c r="I1566" s="1050" t="str">
        <f t="shared" si="362"/>
        <v/>
      </c>
      <c r="J1566" s="696"/>
      <c r="K1566" s="697"/>
      <c r="L1566" s="696"/>
      <c r="M1566" s="198" t="str">
        <f t="shared" si="363"/>
        <v/>
      </c>
      <c r="N1566" s="369" t="str">
        <f t="shared" si="364"/>
        <v/>
      </c>
      <c r="O1566" s="183" t="str">
        <f t="shared" si="365"/>
        <v/>
      </c>
      <c r="P1566" s="199" t="str">
        <f t="shared" si="366"/>
        <v/>
      </c>
      <c r="Q1566" s="199" t="str">
        <f>IF(B1566="","",IFERROR(IF('עלויות כח אדם (6)'!J1566&gt;=VLOOKUP(I1566,'סיווג התפקידים והעלויות'!$B$23:$C$32,2,0),"תקין","לא תקין"),""))</f>
        <v/>
      </c>
      <c r="R1566" s="199" t="str">
        <f t="shared" si="367"/>
        <v/>
      </c>
      <c r="S1566" s="199" t="str">
        <f t="shared" si="368"/>
        <v/>
      </c>
      <c r="T1566" s="199" t="str">
        <f t="shared" si="376"/>
        <v/>
      </c>
      <c r="U1566" s="199" t="str">
        <f t="shared" si="369"/>
        <v/>
      </c>
      <c r="V1566" s="989"/>
      <c r="X1566" s="374" t="str">
        <f t="shared" si="370"/>
        <v/>
      </c>
      <c r="Y1566" s="375" t="str">
        <f t="shared" si="371"/>
        <v/>
      </c>
      <c r="Z1566" s="374" t="str">
        <f t="shared" si="372"/>
        <v/>
      </c>
      <c r="AA1566" s="374" t="b">
        <f t="shared" si="373"/>
        <v>1</v>
      </c>
      <c r="AB1566" s="374">
        <f>COUNTIFS(B:B,B1566,H:H,'סיווג התפקידים והעלויות'!$C$2)</f>
        <v>0</v>
      </c>
      <c r="AC1566" s="374">
        <f>COUNTIFS(B:B,B1566,H:H,'סיווג התפקידים והעלויות'!$D$2)</f>
        <v>0</v>
      </c>
      <c r="AD1566" s="374" t="str">
        <f>IF(OR(AND(H1566='סיווג התפקידים והעלויות'!$A$2,I1566='סיווג התפקידים והעלויות'!$A$3),'עלויות כח אדם (6)'!H1566='סיווג התפקידים והעלויות'!$C$2,'עלויות כח אדם (6)'!H1566='סיווג התפקידים והעלויות'!$D$2),IF('עלויות כח אדם (6)'!J1566&lt;75,"לא תקין","תקין"),"")</f>
        <v/>
      </c>
      <c r="AE1566" s="374" t="str">
        <f t="shared" si="374"/>
        <v/>
      </c>
      <c r="AF1566" s="532" t="str">
        <f t="shared" si="375"/>
        <v/>
      </c>
    </row>
    <row r="1567" spans="2:32" x14ac:dyDescent="0.25">
      <c r="B1567" s="695"/>
      <c r="C1567" s="197" t="str">
        <f>IF(B1567&lt;&gt;"",IFERROR(VLOOKUP(B:B,'מצבת והרשמה (2)'!$C$20:$N$520,2,0)," ")," ")</f>
        <v xml:space="preserve"> </v>
      </c>
      <c r="D1567" s="695"/>
      <c r="E1567" s="696"/>
      <c r="F1567" s="696"/>
      <c r="G1567" s="696"/>
      <c r="H1567" s="696"/>
      <c r="I1567" s="1050" t="str">
        <f t="shared" si="362"/>
        <v/>
      </c>
      <c r="J1567" s="696"/>
      <c r="K1567" s="697"/>
      <c r="L1567" s="696"/>
      <c r="M1567" s="198" t="str">
        <f t="shared" si="363"/>
        <v/>
      </c>
      <c r="N1567" s="369" t="str">
        <f t="shared" si="364"/>
        <v/>
      </c>
      <c r="O1567" s="183" t="str">
        <f t="shared" si="365"/>
        <v/>
      </c>
      <c r="P1567" s="199" t="str">
        <f t="shared" si="366"/>
        <v/>
      </c>
      <c r="Q1567" s="199" t="str">
        <f>IF(B1567="","",IFERROR(IF('עלויות כח אדם (6)'!J1567&gt;=VLOOKUP(I1567,'סיווג התפקידים והעלויות'!$B$23:$C$32,2,0),"תקין","לא תקין"),""))</f>
        <v/>
      </c>
      <c r="R1567" s="199" t="str">
        <f t="shared" si="367"/>
        <v/>
      </c>
      <c r="S1567" s="199" t="str">
        <f t="shared" si="368"/>
        <v/>
      </c>
      <c r="T1567" s="199" t="str">
        <f t="shared" si="376"/>
        <v/>
      </c>
      <c r="U1567" s="199" t="str">
        <f t="shared" si="369"/>
        <v/>
      </c>
      <c r="V1567" s="989"/>
      <c r="X1567" s="374" t="str">
        <f t="shared" si="370"/>
        <v/>
      </c>
      <c r="Y1567" s="375" t="str">
        <f t="shared" si="371"/>
        <v/>
      </c>
      <c r="Z1567" s="374" t="str">
        <f t="shared" si="372"/>
        <v/>
      </c>
      <c r="AA1567" s="374" t="b">
        <f t="shared" si="373"/>
        <v>1</v>
      </c>
      <c r="AB1567" s="374">
        <f>COUNTIFS(B:B,B1567,H:H,'סיווג התפקידים והעלויות'!$C$2)</f>
        <v>0</v>
      </c>
      <c r="AC1567" s="374">
        <f>COUNTIFS(B:B,B1567,H:H,'סיווג התפקידים והעלויות'!$D$2)</f>
        <v>0</v>
      </c>
      <c r="AD1567" s="374" t="str">
        <f>IF(OR(AND(H1567='סיווג התפקידים והעלויות'!$A$2,I1567='סיווג התפקידים והעלויות'!$A$3),'עלויות כח אדם (6)'!H1567='סיווג התפקידים והעלויות'!$C$2,'עלויות כח אדם (6)'!H1567='סיווג התפקידים והעלויות'!$D$2),IF('עלויות כח אדם (6)'!J1567&lt;75,"לא תקין","תקין"),"")</f>
        <v/>
      </c>
      <c r="AE1567" s="374" t="str">
        <f t="shared" si="374"/>
        <v/>
      </c>
      <c r="AF1567" s="532" t="str">
        <f t="shared" si="375"/>
        <v/>
      </c>
    </row>
    <row r="1568" spans="2:32" x14ac:dyDescent="0.25">
      <c r="B1568" s="695"/>
      <c r="C1568" s="197" t="str">
        <f>IF(B1568&lt;&gt;"",IFERROR(VLOOKUP(B:B,'מצבת והרשמה (2)'!$C$20:$N$520,2,0)," ")," ")</f>
        <v xml:space="preserve"> </v>
      </c>
      <c r="D1568" s="695"/>
      <c r="E1568" s="696"/>
      <c r="F1568" s="696"/>
      <c r="G1568" s="696"/>
      <c r="H1568" s="696"/>
      <c r="I1568" s="1050" t="str">
        <f t="shared" si="362"/>
        <v/>
      </c>
      <c r="J1568" s="696"/>
      <c r="K1568" s="697"/>
      <c r="L1568" s="696"/>
      <c r="M1568" s="198" t="str">
        <f t="shared" si="363"/>
        <v/>
      </c>
      <c r="N1568" s="369" t="str">
        <f t="shared" si="364"/>
        <v/>
      </c>
      <c r="O1568" s="183" t="str">
        <f t="shared" si="365"/>
        <v/>
      </c>
      <c r="P1568" s="199" t="str">
        <f t="shared" si="366"/>
        <v/>
      </c>
      <c r="Q1568" s="199" t="str">
        <f>IF(B1568="","",IFERROR(IF('עלויות כח אדם (6)'!J1568&gt;=VLOOKUP(I1568,'סיווג התפקידים והעלויות'!$B$23:$C$32,2,0),"תקין","לא תקין"),""))</f>
        <v/>
      </c>
      <c r="R1568" s="199" t="str">
        <f t="shared" si="367"/>
        <v/>
      </c>
      <c r="S1568" s="199" t="str">
        <f t="shared" si="368"/>
        <v/>
      </c>
      <c r="T1568" s="199" t="str">
        <f t="shared" si="376"/>
        <v/>
      </c>
      <c r="U1568" s="199" t="str">
        <f t="shared" si="369"/>
        <v/>
      </c>
      <c r="V1568" s="989"/>
      <c r="X1568" s="374" t="str">
        <f t="shared" si="370"/>
        <v/>
      </c>
      <c r="Y1568" s="375" t="str">
        <f t="shared" si="371"/>
        <v/>
      </c>
      <c r="Z1568" s="374" t="str">
        <f t="shared" si="372"/>
        <v/>
      </c>
      <c r="AA1568" s="374" t="b">
        <f t="shared" si="373"/>
        <v>1</v>
      </c>
      <c r="AB1568" s="374">
        <f>COUNTIFS(B:B,B1568,H:H,'סיווג התפקידים והעלויות'!$C$2)</f>
        <v>0</v>
      </c>
      <c r="AC1568" s="374">
        <f>COUNTIFS(B:B,B1568,H:H,'סיווג התפקידים והעלויות'!$D$2)</f>
        <v>0</v>
      </c>
      <c r="AD1568" s="374" t="str">
        <f>IF(OR(AND(H1568='סיווג התפקידים והעלויות'!$A$2,I1568='סיווג התפקידים והעלויות'!$A$3),'עלויות כח אדם (6)'!H1568='סיווג התפקידים והעלויות'!$C$2,'עלויות כח אדם (6)'!H1568='סיווג התפקידים והעלויות'!$D$2),IF('עלויות כח אדם (6)'!J1568&lt;75,"לא תקין","תקין"),"")</f>
        <v/>
      </c>
      <c r="AE1568" s="374" t="str">
        <f t="shared" si="374"/>
        <v/>
      </c>
      <c r="AF1568" s="532" t="str">
        <f t="shared" si="375"/>
        <v/>
      </c>
    </row>
    <row r="1569" spans="2:32" x14ac:dyDescent="0.25">
      <c r="B1569" s="695"/>
      <c r="C1569" s="197" t="str">
        <f>IF(B1569&lt;&gt;"",IFERROR(VLOOKUP(B:B,'מצבת והרשמה (2)'!$C$20:$N$520,2,0)," ")," ")</f>
        <v xml:space="preserve"> </v>
      </c>
      <c r="D1569" s="695"/>
      <c r="E1569" s="696"/>
      <c r="F1569" s="696"/>
      <c r="G1569" s="696"/>
      <c r="H1569" s="696"/>
      <c r="I1569" s="1050" t="str">
        <f t="shared" si="362"/>
        <v/>
      </c>
      <c r="J1569" s="696"/>
      <c r="K1569" s="697"/>
      <c r="L1569" s="696"/>
      <c r="M1569" s="198" t="str">
        <f t="shared" si="363"/>
        <v/>
      </c>
      <c r="N1569" s="369" t="str">
        <f t="shared" si="364"/>
        <v/>
      </c>
      <c r="O1569" s="183" t="str">
        <f t="shared" si="365"/>
        <v/>
      </c>
      <c r="P1569" s="199" t="str">
        <f t="shared" si="366"/>
        <v/>
      </c>
      <c r="Q1569" s="199" t="str">
        <f>IF(B1569="","",IFERROR(IF('עלויות כח אדם (6)'!J1569&gt;=VLOOKUP(I1569,'סיווג התפקידים והעלויות'!$B$23:$C$32,2,0),"תקין","לא תקין"),""))</f>
        <v/>
      </c>
      <c r="R1569" s="199" t="str">
        <f t="shared" si="367"/>
        <v/>
      </c>
      <c r="S1569" s="199" t="str">
        <f t="shared" si="368"/>
        <v/>
      </c>
      <c r="T1569" s="199" t="str">
        <f t="shared" si="376"/>
        <v/>
      </c>
      <c r="U1569" s="199" t="str">
        <f t="shared" si="369"/>
        <v/>
      </c>
      <c r="V1569" s="989"/>
      <c r="X1569" s="374" t="str">
        <f t="shared" si="370"/>
        <v/>
      </c>
      <c r="Y1569" s="375" t="str">
        <f t="shared" si="371"/>
        <v/>
      </c>
      <c r="Z1569" s="374" t="str">
        <f t="shared" si="372"/>
        <v/>
      </c>
      <c r="AA1569" s="374" t="b">
        <f t="shared" si="373"/>
        <v>1</v>
      </c>
      <c r="AB1569" s="374">
        <f>COUNTIFS(B:B,B1569,H:H,'סיווג התפקידים והעלויות'!$C$2)</f>
        <v>0</v>
      </c>
      <c r="AC1569" s="374">
        <f>COUNTIFS(B:B,B1569,H:H,'סיווג התפקידים והעלויות'!$D$2)</f>
        <v>0</v>
      </c>
      <c r="AD1569" s="374" t="str">
        <f>IF(OR(AND(H1569='סיווג התפקידים והעלויות'!$A$2,I1569='סיווג התפקידים והעלויות'!$A$3),'עלויות כח אדם (6)'!H1569='סיווג התפקידים והעלויות'!$C$2,'עלויות כח אדם (6)'!H1569='סיווג התפקידים והעלויות'!$D$2),IF('עלויות כח אדם (6)'!J1569&lt;75,"לא תקין","תקין"),"")</f>
        <v/>
      </c>
      <c r="AE1569" s="374" t="str">
        <f t="shared" si="374"/>
        <v/>
      </c>
      <c r="AF1569" s="532" t="str">
        <f t="shared" si="375"/>
        <v/>
      </c>
    </row>
    <row r="1570" spans="2:32" x14ac:dyDescent="0.25">
      <c r="B1570" s="695"/>
      <c r="C1570" s="197" t="str">
        <f>IF(B1570&lt;&gt;"",IFERROR(VLOOKUP(B:B,'מצבת והרשמה (2)'!$C$20:$N$520,2,0)," ")," ")</f>
        <v xml:space="preserve"> </v>
      </c>
      <c r="D1570" s="695"/>
      <c r="E1570" s="696"/>
      <c r="F1570" s="696"/>
      <c r="G1570" s="696"/>
      <c r="H1570" s="696"/>
      <c r="I1570" s="1050" t="str">
        <f t="shared" si="362"/>
        <v/>
      </c>
      <c r="J1570" s="696"/>
      <c r="K1570" s="697"/>
      <c r="L1570" s="696"/>
      <c r="M1570" s="198" t="str">
        <f t="shared" si="363"/>
        <v/>
      </c>
      <c r="N1570" s="369" t="str">
        <f t="shared" si="364"/>
        <v/>
      </c>
      <c r="O1570" s="183" t="str">
        <f t="shared" si="365"/>
        <v/>
      </c>
      <c r="P1570" s="199" t="str">
        <f t="shared" si="366"/>
        <v/>
      </c>
      <c r="Q1570" s="199" t="str">
        <f>IF(B1570="","",IFERROR(IF('עלויות כח אדם (6)'!J1570&gt;=VLOOKUP(I1570,'סיווג התפקידים והעלויות'!$B$23:$C$32,2,0),"תקין","לא תקין"),""))</f>
        <v/>
      </c>
      <c r="R1570" s="199" t="str">
        <f t="shared" si="367"/>
        <v/>
      </c>
      <c r="S1570" s="199" t="str">
        <f t="shared" si="368"/>
        <v/>
      </c>
      <c r="T1570" s="199" t="str">
        <f t="shared" si="376"/>
        <v/>
      </c>
      <c r="U1570" s="199" t="str">
        <f t="shared" si="369"/>
        <v/>
      </c>
      <c r="V1570" s="989"/>
      <c r="X1570" s="374" t="str">
        <f t="shared" si="370"/>
        <v/>
      </c>
      <c r="Y1570" s="375" t="str">
        <f t="shared" si="371"/>
        <v/>
      </c>
      <c r="Z1570" s="374" t="str">
        <f t="shared" si="372"/>
        <v/>
      </c>
      <c r="AA1570" s="374" t="b">
        <f t="shared" si="373"/>
        <v>1</v>
      </c>
      <c r="AB1570" s="374">
        <f>COUNTIFS(B:B,B1570,H:H,'סיווג התפקידים והעלויות'!$C$2)</f>
        <v>0</v>
      </c>
      <c r="AC1570" s="374">
        <f>COUNTIFS(B:B,B1570,H:H,'סיווג התפקידים והעלויות'!$D$2)</f>
        <v>0</v>
      </c>
      <c r="AD1570" s="374" t="str">
        <f>IF(OR(AND(H1570='סיווג התפקידים והעלויות'!$A$2,I1570='סיווג התפקידים והעלויות'!$A$3),'עלויות כח אדם (6)'!H1570='סיווג התפקידים והעלויות'!$C$2,'עלויות כח אדם (6)'!H1570='סיווג התפקידים והעלויות'!$D$2),IF('עלויות כח אדם (6)'!J1570&lt;75,"לא תקין","תקין"),"")</f>
        <v/>
      </c>
      <c r="AE1570" s="374" t="str">
        <f t="shared" si="374"/>
        <v/>
      </c>
      <c r="AF1570" s="532" t="str">
        <f t="shared" si="375"/>
        <v/>
      </c>
    </row>
    <row r="1571" spans="2:32" x14ac:dyDescent="0.25">
      <c r="B1571" s="695"/>
      <c r="C1571" s="197" t="str">
        <f>IF(B1571&lt;&gt;"",IFERROR(VLOOKUP(B:B,'מצבת והרשמה (2)'!$C$20:$N$520,2,0)," ")," ")</f>
        <v xml:space="preserve"> </v>
      </c>
      <c r="D1571" s="695"/>
      <c r="E1571" s="696"/>
      <c r="F1571" s="696"/>
      <c r="G1571" s="696"/>
      <c r="H1571" s="696"/>
      <c r="I1571" s="1050" t="str">
        <f t="shared" si="362"/>
        <v/>
      </c>
      <c r="J1571" s="696"/>
      <c r="K1571" s="697"/>
      <c r="L1571" s="696"/>
      <c r="M1571" s="198" t="str">
        <f t="shared" si="363"/>
        <v/>
      </c>
      <c r="N1571" s="369" t="str">
        <f t="shared" si="364"/>
        <v/>
      </c>
      <c r="O1571" s="183" t="str">
        <f t="shared" si="365"/>
        <v/>
      </c>
      <c r="P1571" s="199" t="str">
        <f t="shared" si="366"/>
        <v/>
      </c>
      <c r="Q1571" s="199" t="str">
        <f>IF(B1571="","",IFERROR(IF('עלויות כח אדם (6)'!J1571&gt;=VLOOKUP(I1571,'סיווג התפקידים והעלויות'!$B$23:$C$32,2,0),"תקין","לא תקין"),""))</f>
        <v/>
      </c>
      <c r="R1571" s="199" t="str">
        <f t="shared" si="367"/>
        <v/>
      </c>
      <c r="S1571" s="199" t="str">
        <f t="shared" si="368"/>
        <v/>
      </c>
      <c r="T1571" s="199" t="str">
        <f t="shared" si="376"/>
        <v/>
      </c>
      <c r="U1571" s="199" t="str">
        <f t="shared" si="369"/>
        <v/>
      </c>
      <c r="V1571" s="989"/>
      <c r="X1571" s="374" t="str">
        <f t="shared" si="370"/>
        <v/>
      </c>
      <c r="Y1571" s="375" t="str">
        <f t="shared" si="371"/>
        <v/>
      </c>
      <c r="Z1571" s="374" t="str">
        <f t="shared" si="372"/>
        <v/>
      </c>
      <c r="AA1571" s="374" t="b">
        <f t="shared" si="373"/>
        <v>1</v>
      </c>
      <c r="AB1571" s="374">
        <f>COUNTIFS(B:B,B1571,H:H,'סיווג התפקידים והעלויות'!$C$2)</f>
        <v>0</v>
      </c>
      <c r="AC1571" s="374">
        <f>COUNTIFS(B:B,B1571,H:H,'סיווג התפקידים והעלויות'!$D$2)</f>
        <v>0</v>
      </c>
      <c r="AD1571" s="374" t="str">
        <f>IF(OR(AND(H1571='סיווג התפקידים והעלויות'!$A$2,I1571='סיווג התפקידים והעלויות'!$A$3),'עלויות כח אדם (6)'!H1571='סיווג התפקידים והעלויות'!$C$2,'עלויות כח אדם (6)'!H1571='סיווג התפקידים והעלויות'!$D$2),IF('עלויות כח אדם (6)'!J1571&lt;75,"לא תקין","תקין"),"")</f>
        <v/>
      </c>
      <c r="AE1571" s="374" t="str">
        <f t="shared" si="374"/>
        <v/>
      </c>
      <c r="AF1571" s="532" t="str">
        <f t="shared" si="375"/>
        <v/>
      </c>
    </row>
    <row r="1572" spans="2:32" x14ac:dyDescent="0.25">
      <c r="B1572" s="695"/>
      <c r="C1572" s="197" t="str">
        <f>IF(B1572&lt;&gt;"",IFERROR(VLOOKUP(B:B,'מצבת והרשמה (2)'!$C$20:$N$520,2,0)," ")," ")</f>
        <v xml:space="preserve"> </v>
      </c>
      <c r="D1572" s="695"/>
      <c r="E1572" s="696"/>
      <c r="F1572" s="696"/>
      <c r="G1572" s="696"/>
      <c r="H1572" s="696"/>
      <c r="I1572" s="1050" t="str">
        <f t="shared" si="362"/>
        <v/>
      </c>
      <c r="J1572" s="696"/>
      <c r="K1572" s="697"/>
      <c r="L1572" s="696"/>
      <c r="M1572" s="198" t="str">
        <f t="shared" si="363"/>
        <v/>
      </c>
      <c r="N1572" s="369" t="str">
        <f t="shared" si="364"/>
        <v/>
      </c>
      <c r="O1572" s="183" t="str">
        <f t="shared" si="365"/>
        <v/>
      </c>
      <c r="P1572" s="199" t="str">
        <f t="shared" si="366"/>
        <v/>
      </c>
      <c r="Q1572" s="199" t="str">
        <f>IF(B1572="","",IFERROR(IF('עלויות כח אדם (6)'!J1572&gt;=VLOOKUP(I1572,'סיווג התפקידים והעלויות'!$B$23:$C$32,2,0),"תקין","לא תקין"),""))</f>
        <v/>
      </c>
      <c r="R1572" s="199" t="str">
        <f t="shared" si="367"/>
        <v/>
      </c>
      <c r="S1572" s="199" t="str">
        <f t="shared" si="368"/>
        <v/>
      </c>
      <c r="T1572" s="199" t="str">
        <f t="shared" si="376"/>
        <v/>
      </c>
      <c r="U1572" s="199" t="str">
        <f t="shared" si="369"/>
        <v/>
      </c>
      <c r="V1572" s="989"/>
      <c r="X1572" s="374" t="str">
        <f t="shared" si="370"/>
        <v/>
      </c>
      <c r="Y1572" s="375" t="str">
        <f t="shared" si="371"/>
        <v/>
      </c>
      <c r="Z1572" s="374" t="str">
        <f t="shared" si="372"/>
        <v/>
      </c>
      <c r="AA1572" s="374" t="b">
        <f t="shared" si="373"/>
        <v>1</v>
      </c>
      <c r="AB1572" s="374">
        <f>COUNTIFS(B:B,B1572,H:H,'סיווג התפקידים והעלויות'!$C$2)</f>
        <v>0</v>
      </c>
      <c r="AC1572" s="374">
        <f>COUNTIFS(B:B,B1572,H:H,'סיווג התפקידים והעלויות'!$D$2)</f>
        <v>0</v>
      </c>
      <c r="AD1572" s="374" t="str">
        <f>IF(OR(AND(H1572='סיווג התפקידים והעלויות'!$A$2,I1572='סיווג התפקידים והעלויות'!$A$3),'עלויות כח אדם (6)'!H1572='סיווג התפקידים והעלויות'!$C$2,'עלויות כח אדם (6)'!H1572='סיווג התפקידים והעלויות'!$D$2),IF('עלויות כח אדם (6)'!J1572&lt;75,"לא תקין","תקין"),"")</f>
        <v/>
      </c>
      <c r="AE1572" s="374" t="str">
        <f t="shared" si="374"/>
        <v/>
      </c>
      <c r="AF1572" s="532" t="str">
        <f t="shared" si="375"/>
        <v/>
      </c>
    </row>
    <row r="1573" spans="2:32" x14ac:dyDescent="0.25">
      <c r="B1573" s="695"/>
      <c r="C1573" s="197" t="str">
        <f>IF(B1573&lt;&gt;"",IFERROR(VLOOKUP(B:B,'מצבת והרשמה (2)'!$C$20:$N$520,2,0)," ")," ")</f>
        <v xml:space="preserve"> </v>
      </c>
      <c r="D1573" s="695"/>
      <c r="E1573" s="696"/>
      <c r="F1573" s="696"/>
      <c r="G1573" s="696"/>
      <c r="H1573" s="696"/>
      <c r="I1573" s="1050" t="str">
        <f t="shared" si="362"/>
        <v/>
      </c>
      <c r="J1573" s="696"/>
      <c r="K1573" s="697"/>
      <c r="L1573" s="696"/>
      <c r="M1573" s="198" t="str">
        <f t="shared" si="363"/>
        <v/>
      </c>
      <c r="N1573" s="369" t="str">
        <f t="shared" si="364"/>
        <v/>
      </c>
      <c r="O1573" s="183" t="str">
        <f t="shared" si="365"/>
        <v/>
      </c>
      <c r="P1573" s="199" t="str">
        <f t="shared" si="366"/>
        <v/>
      </c>
      <c r="Q1573" s="199" t="str">
        <f>IF(B1573="","",IFERROR(IF('עלויות כח אדם (6)'!J1573&gt;=VLOOKUP(I1573,'סיווג התפקידים והעלויות'!$B$23:$C$32,2,0),"תקין","לא תקין"),""))</f>
        <v/>
      </c>
      <c r="R1573" s="199" t="str">
        <f t="shared" si="367"/>
        <v/>
      </c>
      <c r="S1573" s="199" t="str">
        <f t="shared" si="368"/>
        <v/>
      </c>
      <c r="T1573" s="199" t="str">
        <f t="shared" si="376"/>
        <v/>
      </c>
      <c r="U1573" s="199" t="str">
        <f t="shared" si="369"/>
        <v/>
      </c>
      <c r="V1573" s="989"/>
      <c r="X1573" s="374" t="str">
        <f t="shared" si="370"/>
        <v/>
      </c>
      <c r="Y1573" s="375" t="str">
        <f t="shared" si="371"/>
        <v/>
      </c>
      <c r="Z1573" s="374" t="str">
        <f t="shared" si="372"/>
        <v/>
      </c>
      <c r="AA1573" s="374" t="b">
        <f t="shared" si="373"/>
        <v>1</v>
      </c>
      <c r="AB1573" s="374">
        <f>COUNTIFS(B:B,B1573,H:H,'סיווג התפקידים והעלויות'!$C$2)</f>
        <v>0</v>
      </c>
      <c r="AC1573" s="374">
        <f>COUNTIFS(B:B,B1573,H:H,'סיווג התפקידים והעלויות'!$D$2)</f>
        <v>0</v>
      </c>
      <c r="AD1573" s="374" t="str">
        <f>IF(OR(AND(H1573='סיווג התפקידים והעלויות'!$A$2,I1573='סיווג התפקידים והעלויות'!$A$3),'עלויות כח אדם (6)'!H1573='סיווג התפקידים והעלויות'!$C$2,'עלויות כח אדם (6)'!H1573='סיווג התפקידים והעלויות'!$D$2),IF('עלויות כח אדם (6)'!J1573&lt;75,"לא תקין","תקין"),"")</f>
        <v/>
      </c>
      <c r="AE1573" s="374" t="str">
        <f t="shared" si="374"/>
        <v/>
      </c>
      <c r="AF1573" s="532" t="str">
        <f t="shared" si="375"/>
        <v/>
      </c>
    </row>
    <row r="1574" spans="2:32" x14ac:dyDescent="0.25">
      <c r="B1574" s="695"/>
      <c r="C1574" s="197" t="str">
        <f>IF(B1574&lt;&gt;"",IFERROR(VLOOKUP(B:B,'מצבת והרשמה (2)'!$C$20:$N$520,2,0)," ")," ")</f>
        <v xml:space="preserve"> </v>
      </c>
      <c r="D1574" s="695"/>
      <c r="E1574" s="696"/>
      <c r="F1574" s="696"/>
      <c r="G1574" s="696"/>
      <c r="H1574" s="696"/>
      <c r="I1574" s="1050" t="str">
        <f t="shared" si="362"/>
        <v/>
      </c>
      <c r="J1574" s="696"/>
      <c r="K1574" s="697"/>
      <c r="L1574" s="696"/>
      <c r="M1574" s="198" t="str">
        <f t="shared" si="363"/>
        <v/>
      </c>
      <c r="N1574" s="369" t="str">
        <f t="shared" si="364"/>
        <v/>
      </c>
      <c r="O1574" s="183" t="str">
        <f t="shared" si="365"/>
        <v/>
      </c>
      <c r="P1574" s="199" t="str">
        <f t="shared" si="366"/>
        <v/>
      </c>
      <c r="Q1574" s="199" t="str">
        <f>IF(B1574="","",IFERROR(IF('עלויות כח אדם (6)'!J1574&gt;=VLOOKUP(I1574,'סיווג התפקידים והעלויות'!$B$23:$C$32,2,0),"תקין","לא תקין"),""))</f>
        <v/>
      </c>
      <c r="R1574" s="199" t="str">
        <f t="shared" si="367"/>
        <v/>
      </c>
      <c r="S1574" s="199" t="str">
        <f t="shared" si="368"/>
        <v/>
      </c>
      <c r="T1574" s="199" t="str">
        <f t="shared" si="376"/>
        <v/>
      </c>
      <c r="U1574" s="199" t="str">
        <f t="shared" si="369"/>
        <v/>
      </c>
      <c r="V1574" s="989"/>
      <c r="X1574" s="374" t="str">
        <f t="shared" si="370"/>
        <v/>
      </c>
      <c r="Y1574" s="375" t="str">
        <f t="shared" si="371"/>
        <v/>
      </c>
      <c r="Z1574" s="374" t="str">
        <f t="shared" si="372"/>
        <v/>
      </c>
      <c r="AA1574" s="374" t="b">
        <f t="shared" si="373"/>
        <v>1</v>
      </c>
      <c r="AB1574" s="374">
        <f>COUNTIFS(B:B,B1574,H:H,'סיווג התפקידים והעלויות'!$C$2)</f>
        <v>0</v>
      </c>
      <c r="AC1574" s="374">
        <f>COUNTIFS(B:B,B1574,H:H,'סיווג התפקידים והעלויות'!$D$2)</f>
        <v>0</v>
      </c>
      <c r="AD1574" s="374" t="str">
        <f>IF(OR(AND(H1574='סיווג התפקידים והעלויות'!$A$2,I1574='סיווג התפקידים והעלויות'!$A$3),'עלויות כח אדם (6)'!H1574='סיווג התפקידים והעלויות'!$C$2,'עלויות כח אדם (6)'!H1574='סיווג התפקידים והעלויות'!$D$2),IF('עלויות כח אדם (6)'!J1574&lt;75,"לא תקין","תקין"),"")</f>
        <v/>
      </c>
      <c r="AE1574" s="374" t="str">
        <f t="shared" si="374"/>
        <v/>
      </c>
      <c r="AF1574" s="532" t="str">
        <f t="shared" si="375"/>
        <v/>
      </c>
    </row>
    <row r="1575" spans="2:32" x14ac:dyDescent="0.25">
      <c r="B1575" s="695"/>
      <c r="C1575" s="197" t="str">
        <f>IF(B1575&lt;&gt;"",IFERROR(VLOOKUP(B:B,'מצבת והרשמה (2)'!$C$20:$N$520,2,0)," ")," ")</f>
        <v xml:space="preserve"> </v>
      </c>
      <c r="D1575" s="695"/>
      <c r="E1575" s="696"/>
      <c r="F1575" s="696"/>
      <c r="G1575" s="696"/>
      <c r="H1575" s="696"/>
      <c r="I1575" s="1050" t="str">
        <f t="shared" si="362"/>
        <v/>
      </c>
      <c r="J1575" s="696"/>
      <c r="K1575" s="697"/>
      <c r="L1575" s="696"/>
      <c r="M1575" s="198" t="str">
        <f t="shared" si="363"/>
        <v/>
      </c>
      <c r="N1575" s="369" t="str">
        <f t="shared" si="364"/>
        <v/>
      </c>
      <c r="O1575" s="183" t="str">
        <f t="shared" si="365"/>
        <v/>
      </c>
      <c r="P1575" s="199" t="str">
        <f t="shared" si="366"/>
        <v/>
      </c>
      <c r="Q1575" s="199" t="str">
        <f>IF(B1575="","",IFERROR(IF('עלויות כח אדם (6)'!J1575&gt;=VLOOKUP(I1575,'סיווג התפקידים והעלויות'!$B$23:$C$32,2,0),"תקין","לא תקין"),""))</f>
        <v/>
      </c>
      <c r="R1575" s="199" t="str">
        <f t="shared" si="367"/>
        <v/>
      </c>
      <c r="S1575" s="199" t="str">
        <f t="shared" si="368"/>
        <v/>
      </c>
      <c r="T1575" s="199" t="str">
        <f t="shared" si="376"/>
        <v/>
      </c>
      <c r="U1575" s="199" t="str">
        <f t="shared" si="369"/>
        <v/>
      </c>
      <c r="V1575" s="989"/>
      <c r="X1575" s="374" t="str">
        <f t="shared" si="370"/>
        <v/>
      </c>
      <c r="Y1575" s="375" t="str">
        <f t="shared" si="371"/>
        <v/>
      </c>
      <c r="Z1575" s="374" t="str">
        <f t="shared" si="372"/>
        <v/>
      </c>
      <c r="AA1575" s="374" t="b">
        <f t="shared" si="373"/>
        <v>1</v>
      </c>
      <c r="AB1575" s="374">
        <f>COUNTIFS(B:B,B1575,H:H,'סיווג התפקידים והעלויות'!$C$2)</f>
        <v>0</v>
      </c>
      <c r="AC1575" s="374">
        <f>COUNTIFS(B:B,B1575,H:H,'סיווג התפקידים והעלויות'!$D$2)</f>
        <v>0</v>
      </c>
      <c r="AD1575" s="374" t="str">
        <f>IF(OR(AND(H1575='סיווג התפקידים והעלויות'!$A$2,I1575='סיווג התפקידים והעלויות'!$A$3),'עלויות כח אדם (6)'!H1575='סיווג התפקידים והעלויות'!$C$2,'עלויות כח אדם (6)'!H1575='סיווג התפקידים והעלויות'!$D$2),IF('עלויות כח אדם (6)'!J1575&lt;75,"לא תקין","תקין"),"")</f>
        <v/>
      </c>
      <c r="AE1575" s="374" t="str">
        <f t="shared" si="374"/>
        <v/>
      </c>
      <c r="AF1575" s="532" t="str">
        <f t="shared" si="375"/>
        <v/>
      </c>
    </row>
    <row r="1576" spans="2:32" x14ac:dyDescent="0.25">
      <c r="B1576" s="695"/>
      <c r="C1576" s="197" t="str">
        <f>IF(B1576&lt;&gt;"",IFERROR(VLOOKUP(B:B,'מצבת והרשמה (2)'!$C$20:$N$520,2,0)," ")," ")</f>
        <v xml:space="preserve"> </v>
      </c>
      <c r="D1576" s="695"/>
      <c r="E1576" s="696"/>
      <c r="F1576" s="696"/>
      <c r="G1576" s="696"/>
      <c r="H1576" s="696"/>
      <c r="I1576" s="1050" t="str">
        <f t="shared" si="362"/>
        <v/>
      </c>
      <c r="J1576" s="696"/>
      <c r="K1576" s="697"/>
      <c r="L1576" s="696"/>
      <c r="M1576" s="198" t="str">
        <f t="shared" si="363"/>
        <v/>
      </c>
      <c r="N1576" s="369" t="str">
        <f t="shared" si="364"/>
        <v/>
      </c>
      <c r="O1576" s="183" t="str">
        <f t="shared" si="365"/>
        <v/>
      </c>
      <c r="P1576" s="199" t="str">
        <f t="shared" si="366"/>
        <v/>
      </c>
      <c r="Q1576" s="199" t="str">
        <f>IF(B1576="","",IFERROR(IF('עלויות כח אדם (6)'!J1576&gt;=VLOOKUP(I1576,'סיווג התפקידים והעלויות'!$B$23:$C$32,2,0),"תקין","לא תקין"),""))</f>
        <v/>
      </c>
      <c r="R1576" s="199" t="str">
        <f t="shared" si="367"/>
        <v/>
      </c>
      <c r="S1576" s="199" t="str">
        <f t="shared" si="368"/>
        <v/>
      </c>
      <c r="T1576" s="199" t="str">
        <f t="shared" si="376"/>
        <v/>
      </c>
      <c r="U1576" s="199" t="str">
        <f t="shared" si="369"/>
        <v/>
      </c>
      <c r="V1576" s="989"/>
      <c r="X1576" s="374" t="str">
        <f t="shared" si="370"/>
        <v/>
      </c>
      <c r="Y1576" s="375" t="str">
        <f t="shared" si="371"/>
        <v/>
      </c>
      <c r="Z1576" s="374" t="str">
        <f t="shared" si="372"/>
        <v/>
      </c>
      <c r="AA1576" s="374" t="b">
        <f t="shared" si="373"/>
        <v>1</v>
      </c>
      <c r="AB1576" s="374">
        <f>COUNTIFS(B:B,B1576,H:H,'סיווג התפקידים והעלויות'!$C$2)</f>
        <v>0</v>
      </c>
      <c r="AC1576" s="374">
        <f>COUNTIFS(B:B,B1576,H:H,'סיווג התפקידים והעלויות'!$D$2)</f>
        <v>0</v>
      </c>
      <c r="AD1576" s="374" t="str">
        <f>IF(OR(AND(H1576='סיווג התפקידים והעלויות'!$A$2,I1576='סיווג התפקידים והעלויות'!$A$3),'עלויות כח אדם (6)'!H1576='סיווג התפקידים והעלויות'!$C$2,'עלויות כח אדם (6)'!H1576='סיווג התפקידים והעלויות'!$D$2),IF('עלויות כח אדם (6)'!J1576&lt;75,"לא תקין","תקין"),"")</f>
        <v/>
      </c>
      <c r="AE1576" s="374" t="str">
        <f t="shared" si="374"/>
        <v/>
      </c>
      <c r="AF1576" s="532" t="str">
        <f t="shared" si="375"/>
        <v/>
      </c>
    </row>
    <row r="1577" spans="2:32" x14ac:dyDescent="0.25">
      <c r="B1577" s="695"/>
      <c r="C1577" s="197" t="str">
        <f>IF(B1577&lt;&gt;"",IFERROR(VLOOKUP(B:B,'מצבת והרשמה (2)'!$C$20:$N$520,2,0)," ")," ")</f>
        <v xml:space="preserve"> </v>
      </c>
      <c r="D1577" s="695"/>
      <c r="E1577" s="696"/>
      <c r="F1577" s="696"/>
      <c r="G1577" s="696"/>
      <c r="H1577" s="696"/>
      <c r="I1577" s="1050" t="str">
        <f t="shared" si="362"/>
        <v/>
      </c>
      <c r="J1577" s="696"/>
      <c r="K1577" s="697"/>
      <c r="L1577" s="696"/>
      <c r="M1577" s="198" t="str">
        <f t="shared" si="363"/>
        <v/>
      </c>
      <c r="N1577" s="369" t="str">
        <f t="shared" si="364"/>
        <v/>
      </c>
      <c r="O1577" s="183" t="str">
        <f t="shared" si="365"/>
        <v/>
      </c>
      <c r="P1577" s="199" t="str">
        <f t="shared" si="366"/>
        <v/>
      </c>
      <c r="Q1577" s="199" t="str">
        <f>IF(B1577="","",IFERROR(IF('עלויות כח אדם (6)'!J1577&gt;=VLOOKUP(I1577,'סיווג התפקידים והעלויות'!$B$23:$C$32,2,0),"תקין","לא תקין"),""))</f>
        <v/>
      </c>
      <c r="R1577" s="199" t="str">
        <f t="shared" si="367"/>
        <v/>
      </c>
      <c r="S1577" s="199" t="str">
        <f t="shared" si="368"/>
        <v/>
      </c>
      <c r="T1577" s="199" t="str">
        <f t="shared" si="376"/>
        <v/>
      </c>
      <c r="U1577" s="199" t="str">
        <f t="shared" si="369"/>
        <v/>
      </c>
      <c r="V1577" s="989"/>
      <c r="X1577" s="374" t="str">
        <f t="shared" si="370"/>
        <v/>
      </c>
      <c r="Y1577" s="375" t="str">
        <f t="shared" si="371"/>
        <v/>
      </c>
      <c r="Z1577" s="374" t="str">
        <f t="shared" si="372"/>
        <v/>
      </c>
      <c r="AA1577" s="374" t="b">
        <f t="shared" si="373"/>
        <v>1</v>
      </c>
      <c r="AB1577" s="374">
        <f>COUNTIFS(B:B,B1577,H:H,'סיווג התפקידים והעלויות'!$C$2)</f>
        <v>0</v>
      </c>
      <c r="AC1577" s="374">
        <f>COUNTIFS(B:B,B1577,H:H,'סיווג התפקידים והעלויות'!$D$2)</f>
        <v>0</v>
      </c>
      <c r="AD1577" s="374" t="str">
        <f>IF(OR(AND(H1577='סיווג התפקידים והעלויות'!$A$2,I1577='סיווג התפקידים והעלויות'!$A$3),'עלויות כח אדם (6)'!H1577='סיווג התפקידים והעלויות'!$C$2,'עלויות כח אדם (6)'!H1577='סיווג התפקידים והעלויות'!$D$2),IF('עלויות כח אדם (6)'!J1577&lt;75,"לא תקין","תקין"),"")</f>
        <v/>
      </c>
      <c r="AE1577" s="374" t="str">
        <f t="shared" si="374"/>
        <v/>
      </c>
      <c r="AF1577" s="532" t="str">
        <f t="shared" si="375"/>
        <v/>
      </c>
    </row>
    <row r="1578" spans="2:32" x14ac:dyDescent="0.25">
      <c r="B1578" s="695"/>
      <c r="C1578" s="197" t="str">
        <f>IF(B1578&lt;&gt;"",IFERROR(VLOOKUP(B:B,'מצבת והרשמה (2)'!$C$20:$N$520,2,0)," ")," ")</f>
        <v xml:space="preserve"> </v>
      </c>
      <c r="D1578" s="695"/>
      <c r="E1578" s="696"/>
      <c r="F1578" s="696"/>
      <c r="G1578" s="696"/>
      <c r="H1578" s="696"/>
      <c r="I1578" s="1050" t="str">
        <f t="shared" si="362"/>
        <v/>
      </c>
      <c r="J1578" s="696"/>
      <c r="K1578" s="697"/>
      <c r="L1578" s="696"/>
      <c r="M1578" s="198" t="str">
        <f t="shared" si="363"/>
        <v/>
      </c>
      <c r="N1578" s="369" t="str">
        <f t="shared" si="364"/>
        <v/>
      </c>
      <c r="O1578" s="183" t="str">
        <f t="shared" si="365"/>
        <v/>
      </c>
      <c r="P1578" s="199" t="str">
        <f t="shared" si="366"/>
        <v/>
      </c>
      <c r="Q1578" s="199" t="str">
        <f>IF(B1578="","",IFERROR(IF('עלויות כח אדם (6)'!J1578&gt;=VLOOKUP(I1578,'סיווג התפקידים והעלויות'!$B$23:$C$32,2,0),"תקין","לא תקין"),""))</f>
        <v/>
      </c>
      <c r="R1578" s="199" t="str">
        <f t="shared" si="367"/>
        <v/>
      </c>
      <c r="S1578" s="199" t="str">
        <f t="shared" si="368"/>
        <v/>
      </c>
      <c r="T1578" s="199" t="str">
        <f t="shared" si="376"/>
        <v/>
      </c>
      <c r="U1578" s="199" t="str">
        <f t="shared" si="369"/>
        <v/>
      </c>
      <c r="V1578" s="989"/>
      <c r="X1578" s="374" t="str">
        <f t="shared" si="370"/>
        <v/>
      </c>
      <c r="Y1578" s="375" t="str">
        <f t="shared" si="371"/>
        <v/>
      </c>
      <c r="Z1578" s="374" t="str">
        <f t="shared" si="372"/>
        <v/>
      </c>
      <c r="AA1578" s="374" t="b">
        <f t="shared" si="373"/>
        <v>1</v>
      </c>
      <c r="AB1578" s="374">
        <f>COUNTIFS(B:B,B1578,H:H,'סיווג התפקידים והעלויות'!$C$2)</f>
        <v>0</v>
      </c>
      <c r="AC1578" s="374">
        <f>COUNTIFS(B:B,B1578,H:H,'סיווג התפקידים והעלויות'!$D$2)</f>
        <v>0</v>
      </c>
      <c r="AD1578" s="374" t="str">
        <f>IF(OR(AND(H1578='סיווג התפקידים והעלויות'!$A$2,I1578='סיווג התפקידים והעלויות'!$A$3),'עלויות כח אדם (6)'!H1578='סיווג התפקידים והעלויות'!$C$2,'עלויות כח אדם (6)'!H1578='סיווג התפקידים והעלויות'!$D$2),IF('עלויות כח אדם (6)'!J1578&lt;75,"לא תקין","תקין"),"")</f>
        <v/>
      </c>
      <c r="AE1578" s="374" t="str">
        <f t="shared" si="374"/>
        <v/>
      </c>
      <c r="AF1578" s="532" t="str">
        <f t="shared" si="375"/>
        <v/>
      </c>
    </row>
    <row r="1579" spans="2:32" x14ac:dyDescent="0.25">
      <c r="B1579" s="695"/>
      <c r="C1579" s="197" t="str">
        <f>IF(B1579&lt;&gt;"",IFERROR(VLOOKUP(B:B,'מצבת והרשמה (2)'!$C$20:$N$520,2,0)," ")," ")</f>
        <v xml:space="preserve"> </v>
      </c>
      <c r="D1579" s="695"/>
      <c r="E1579" s="696"/>
      <c r="F1579" s="696"/>
      <c r="G1579" s="696"/>
      <c r="H1579" s="696"/>
      <c r="I1579" s="1050" t="str">
        <f t="shared" si="362"/>
        <v/>
      </c>
      <c r="J1579" s="696"/>
      <c r="K1579" s="697"/>
      <c r="L1579" s="696"/>
      <c r="M1579" s="198" t="str">
        <f t="shared" si="363"/>
        <v/>
      </c>
      <c r="N1579" s="369" t="str">
        <f t="shared" si="364"/>
        <v/>
      </c>
      <c r="O1579" s="183" t="str">
        <f t="shared" si="365"/>
        <v/>
      </c>
      <c r="P1579" s="199" t="str">
        <f t="shared" si="366"/>
        <v/>
      </c>
      <c r="Q1579" s="199" t="str">
        <f>IF(B1579="","",IFERROR(IF('עלויות כח אדם (6)'!J1579&gt;=VLOOKUP(I1579,'סיווג התפקידים והעלויות'!$B$23:$C$32,2,0),"תקין","לא תקין"),""))</f>
        <v/>
      </c>
      <c r="R1579" s="199" t="str">
        <f t="shared" si="367"/>
        <v/>
      </c>
      <c r="S1579" s="199" t="str">
        <f t="shared" si="368"/>
        <v/>
      </c>
      <c r="T1579" s="199" t="str">
        <f t="shared" si="376"/>
        <v/>
      </c>
      <c r="U1579" s="199" t="str">
        <f t="shared" si="369"/>
        <v/>
      </c>
      <c r="V1579" s="989"/>
      <c r="X1579" s="374" t="str">
        <f t="shared" si="370"/>
        <v/>
      </c>
      <c r="Y1579" s="375" t="str">
        <f t="shared" si="371"/>
        <v/>
      </c>
      <c r="Z1579" s="374" t="str">
        <f t="shared" si="372"/>
        <v/>
      </c>
      <c r="AA1579" s="374" t="b">
        <f t="shared" si="373"/>
        <v>1</v>
      </c>
      <c r="AB1579" s="374">
        <f>COUNTIFS(B:B,B1579,H:H,'סיווג התפקידים והעלויות'!$C$2)</f>
        <v>0</v>
      </c>
      <c r="AC1579" s="374">
        <f>COUNTIFS(B:B,B1579,H:H,'סיווג התפקידים והעלויות'!$D$2)</f>
        <v>0</v>
      </c>
      <c r="AD1579" s="374" t="str">
        <f>IF(OR(AND(H1579='סיווג התפקידים והעלויות'!$A$2,I1579='סיווג התפקידים והעלויות'!$A$3),'עלויות כח אדם (6)'!H1579='סיווג התפקידים והעלויות'!$C$2,'עלויות כח אדם (6)'!H1579='סיווג התפקידים והעלויות'!$D$2),IF('עלויות כח אדם (6)'!J1579&lt;75,"לא תקין","תקין"),"")</f>
        <v/>
      </c>
      <c r="AE1579" s="374" t="str">
        <f t="shared" si="374"/>
        <v/>
      </c>
      <c r="AF1579" s="532" t="str">
        <f t="shared" si="375"/>
        <v/>
      </c>
    </row>
    <row r="1580" spans="2:32" x14ac:dyDescent="0.25">
      <c r="B1580" s="695"/>
      <c r="C1580" s="197" t="str">
        <f>IF(B1580&lt;&gt;"",IFERROR(VLOOKUP(B:B,'מצבת והרשמה (2)'!$C$20:$N$520,2,0)," ")," ")</f>
        <v xml:space="preserve"> </v>
      </c>
      <c r="D1580" s="695"/>
      <c r="E1580" s="696"/>
      <c r="F1580" s="696"/>
      <c r="G1580" s="696"/>
      <c r="H1580" s="696"/>
      <c r="I1580" s="1050" t="str">
        <f t="shared" si="362"/>
        <v/>
      </c>
      <c r="J1580" s="696"/>
      <c r="K1580" s="697"/>
      <c r="L1580" s="696"/>
      <c r="M1580" s="198" t="str">
        <f t="shared" si="363"/>
        <v/>
      </c>
      <c r="N1580" s="369" t="str">
        <f t="shared" si="364"/>
        <v/>
      </c>
      <c r="O1580" s="183" t="str">
        <f t="shared" si="365"/>
        <v/>
      </c>
      <c r="P1580" s="199" t="str">
        <f t="shared" si="366"/>
        <v/>
      </c>
      <c r="Q1580" s="199" t="str">
        <f>IF(B1580="","",IFERROR(IF('עלויות כח אדם (6)'!J1580&gt;=VLOOKUP(I1580,'סיווג התפקידים והעלויות'!$B$23:$C$32,2,0),"תקין","לא תקין"),""))</f>
        <v/>
      </c>
      <c r="R1580" s="199" t="str">
        <f t="shared" si="367"/>
        <v/>
      </c>
      <c r="S1580" s="199" t="str">
        <f t="shared" si="368"/>
        <v/>
      </c>
      <c r="T1580" s="199" t="str">
        <f t="shared" si="376"/>
        <v/>
      </c>
      <c r="U1580" s="199" t="str">
        <f t="shared" si="369"/>
        <v/>
      </c>
      <c r="V1580" s="989"/>
      <c r="X1580" s="374" t="str">
        <f t="shared" si="370"/>
        <v/>
      </c>
      <c r="Y1580" s="375" t="str">
        <f t="shared" si="371"/>
        <v/>
      </c>
      <c r="Z1580" s="374" t="str">
        <f t="shared" si="372"/>
        <v/>
      </c>
      <c r="AA1580" s="374" t="b">
        <f t="shared" si="373"/>
        <v>1</v>
      </c>
      <c r="AB1580" s="374">
        <f>COUNTIFS(B:B,B1580,H:H,'סיווג התפקידים והעלויות'!$C$2)</f>
        <v>0</v>
      </c>
      <c r="AC1580" s="374">
        <f>COUNTIFS(B:B,B1580,H:H,'סיווג התפקידים והעלויות'!$D$2)</f>
        <v>0</v>
      </c>
      <c r="AD1580" s="374" t="str">
        <f>IF(OR(AND(H1580='סיווג התפקידים והעלויות'!$A$2,I1580='סיווג התפקידים והעלויות'!$A$3),'עלויות כח אדם (6)'!H1580='סיווג התפקידים והעלויות'!$C$2,'עלויות כח אדם (6)'!H1580='סיווג התפקידים והעלויות'!$D$2),IF('עלויות כח אדם (6)'!J1580&lt;75,"לא תקין","תקין"),"")</f>
        <v/>
      </c>
      <c r="AE1580" s="374" t="str">
        <f t="shared" si="374"/>
        <v/>
      </c>
      <c r="AF1580" s="532" t="str">
        <f t="shared" si="375"/>
        <v/>
      </c>
    </row>
    <row r="1581" spans="2:32" x14ac:dyDescent="0.25">
      <c r="B1581" s="695"/>
      <c r="C1581" s="197" t="str">
        <f>IF(B1581&lt;&gt;"",IFERROR(VLOOKUP(B:B,'מצבת והרשמה (2)'!$C$20:$N$520,2,0)," ")," ")</f>
        <v xml:space="preserve"> </v>
      </c>
      <c r="D1581" s="695"/>
      <c r="E1581" s="696"/>
      <c r="F1581" s="696"/>
      <c r="G1581" s="696"/>
      <c r="H1581" s="696"/>
      <c r="I1581" s="1050" t="str">
        <f t="shared" si="362"/>
        <v/>
      </c>
      <c r="J1581" s="696"/>
      <c r="K1581" s="697"/>
      <c r="L1581" s="696"/>
      <c r="M1581" s="198" t="str">
        <f t="shared" si="363"/>
        <v/>
      </c>
      <c r="N1581" s="369" t="str">
        <f t="shared" si="364"/>
        <v/>
      </c>
      <c r="O1581" s="183" t="str">
        <f t="shared" si="365"/>
        <v/>
      </c>
      <c r="P1581" s="199" t="str">
        <f t="shared" si="366"/>
        <v/>
      </c>
      <c r="Q1581" s="199" t="str">
        <f>IF(B1581="","",IFERROR(IF('עלויות כח אדם (6)'!J1581&gt;=VLOOKUP(I1581,'סיווג התפקידים והעלויות'!$B$23:$C$32,2,0),"תקין","לא תקין"),""))</f>
        <v/>
      </c>
      <c r="R1581" s="199" t="str">
        <f t="shared" si="367"/>
        <v/>
      </c>
      <c r="S1581" s="199" t="str">
        <f t="shared" si="368"/>
        <v/>
      </c>
      <c r="T1581" s="199" t="str">
        <f t="shared" si="376"/>
        <v/>
      </c>
      <c r="U1581" s="199" t="str">
        <f t="shared" si="369"/>
        <v/>
      </c>
      <c r="V1581" s="989"/>
      <c r="X1581" s="374" t="str">
        <f t="shared" si="370"/>
        <v/>
      </c>
      <c r="Y1581" s="375" t="str">
        <f t="shared" si="371"/>
        <v/>
      </c>
      <c r="Z1581" s="374" t="str">
        <f t="shared" si="372"/>
        <v/>
      </c>
      <c r="AA1581" s="374" t="b">
        <f t="shared" si="373"/>
        <v>1</v>
      </c>
      <c r="AB1581" s="374">
        <f>COUNTIFS(B:B,B1581,H:H,'סיווג התפקידים והעלויות'!$C$2)</f>
        <v>0</v>
      </c>
      <c r="AC1581" s="374">
        <f>COUNTIFS(B:B,B1581,H:H,'סיווג התפקידים והעלויות'!$D$2)</f>
        <v>0</v>
      </c>
      <c r="AD1581" s="374" t="str">
        <f>IF(OR(AND(H1581='סיווג התפקידים והעלויות'!$A$2,I1581='סיווג התפקידים והעלויות'!$A$3),'עלויות כח אדם (6)'!H1581='סיווג התפקידים והעלויות'!$C$2,'עלויות כח אדם (6)'!H1581='סיווג התפקידים והעלויות'!$D$2),IF('עלויות כח אדם (6)'!J1581&lt;75,"לא תקין","תקין"),"")</f>
        <v/>
      </c>
      <c r="AE1581" s="374" t="str">
        <f t="shared" si="374"/>
        <v/>
      </c>
      <c r="AF1581" s="532" t="str">
        <f t="shared" si="375"/>
        <v/>
      </c>
    </row>
    <row r="1582" spans="2:32" x14ac:dyDescent="0.25">
      <c r="B1582" s="695"/>
      <c r="C1582" s="197" t="str">
        <f>IF(B1582&lt;&gt;"",IFERROR(VLOOKUP(B:B,'מצבת והרשמה (2)'!$C$20:$N$520,2,0)," ")," ")</f>
        <v xml:space="preserve"> </v>
      </c>
      <c r="D1582" s="695"/>
      <c r="E1582" s="696"/>
      <c r="F1582" s="696"/>
      <c r="G1582" s="696"/>
      <c r="H1582" s="696"/>
      <c r="I1582" s="1050" t="str">
        <f t="shared" si="362"/>
        <v/>
      </c>
      <c r="J1582" s="696"/>
      <c r="K1582" s="697"/>
      <c r="L1582" s="696"/>
      <c r="M1582" s="198" t="str">
        <f t="shared" si="363"/>
        <v/>
      </c>
      <c r="N1582" s="369" t="str">
        <f t="shared" si="364"/>
        <v/>
      </c>
      <c r="O1582" s="183" t="str">
        <f t="shared" si="365"/>
        <v/>
      </c>
      <c r="P1582" s="199" t="str">
        <f t="shared" si="366"/>
        <v/>
      </c>
      <c r="Q1582" s="199" t="str">
        <f>IF(B1582="","",IFERROR(IF('עלויות כח אדם (6)'!J1582&gt;=VLOOKUP(I1582,'סיווג התפקידים והעלויות'!$B$23:$C$32,2,0),"תקין","לא תקין"),""))</f>
        <v/>
      </c>
      <c r="R1582" s="199" t="str">
        <f t="shared" si="367"/>
        <v/>
      </c>
      <c r="S1582" s="199" t="str">
        <f t="shared" si="368"/>
        <v/>
      </c>
      <c r="T1582" s="199" t="str">
        <f t="shared" si="376"/>
        <v/>
      </c>
      <c r="U1582" s="199" t="str">
        <f t="shared" si="369"/>
        <v/>
      </c>
      <c r="V1582" s="989"/>
      <c r="X1582" s="374" t="str">
        <f t="shared" si="370"/>
        <v/>
      </c>
      <c r="Y1582" s="375" t="str">
        <f t="shared" si="371"/>
        <v/>
      </c>
      <c r="Z1582" s="374" t="str">
        <f t="shared" si="372"/>
        <v/>
      </c>
      <c r="AA1582" s="374" t="b">
        <f t="shared" si="373"/>
        <v>1</v>
      </c>
      <c r="AB1582" s="374">
        <f>COUNTIFS(B:B,B1582,H:H,'סיווג התפקידים והעלויות'!$C$2)</f>
        <v>0</v>
      </c>
      <c r="AC1582" s="374">
        <f>COUNTIFS(B:B,B1582,H:H,'סיווג התפקידים והעלויות'!$D$2)</f>
        <v>0</v>
      </c>
      <c r="AD1582" s="374" t="str">
        <f>IF(OR(AND(H1582='סיווג התפקידים והעלויות'!$A$2,I1582='סיווג התפקידים והעלויות'!$A$3),'עלויות כח אדם (6)'!H1582='סיווג התפקידים והעלויות'!$C$2,'עלויות כח אדם (6)'!H1582='סיווג התפקידים והעלויות'!$D$2),IF('עלויות כח אדם (6)'!J1582&lt;75,"לא תקין","תקין"),"")</f>
        <v/>
      </c>
      <c r="AE1582" s="374" t="str">
        <f t="shared" si="374"/>
        <v/>
      </c>
      <c r="AF1582" s="532" t="str">
        <f t="shared" si="375"/>
        <v/>
      </c>
    </row>
    <row r="1583" spans="2:32" x14ac:dyDescent="0.25">
      <c r="B1583" s="695"/>
      <c r="C1583" s="197" t="str">
        <f>IF(B1583&lt;&gt;"",IFERROR(VLOOKUP(B:B,'מצבת והרשמה (2)'!$C$20:$N$520,2,0)," ")," ")</f>
        <v xml:space="preserve"> </v>
      </c>
      <c r="D1583" s="695"/>
      <c r="E1583" s="696"/>
      <c r="F1583" s="696"/>
      <c r="G1583" s="696"/>
      <c r="H1583" s="696"/>
      <c r="I1583" s="1050" t="str">
        <f t="shared" si="362"/>
        <v/>
      </c>
      <c r="J1583" s="696"/>
      <c r="K1583" s="697"/>
      <c r="L1583" s="696"/>
      <c r="M1583" s="198" t="str">
        <f t="shared" si="363"/>
        <v/>
      </c>
      <c r="N1583" s="369" t="str">
        <f t="shared" si="364"/>
        <v/>
      </c>
      <c r="O1583" s="183" t="str">
        <f t="shared" si="365"/>
        <v/>
      </c>
      <c r="P1583" s="199" t="str">
        <f t="shared" si="366"/>
        <v/>
      </c>
      <c r="Q1583" s="199" t="str">
        <f>IF(B1583="","",IFERROR(IF('עלויות כח אדם (6)'!J1583&gt;=VLOOKUP(I1583,'סיווג התפקידים והעלויות'!$B$23:$C$32,2,0),"תקין","לא תקין"),""))</f>
        <v/>
      </c>
      <c r="R1583" s="199" t="str">
        <f t="shared" si="367"/>
        <v/>
      </c>
      <c r="S1583" s="199" t="str">
        <f t="shared" si="368"/>
        <v/>
      </c>
      <c r="T1583" s="199" t="str">
        <f t="shared" si="376"/>
        <v/>
      </c>
      <c r="U1583" s="199" t="str">
        <f t="shared" si="369"/>
        <v/>
      </c>
      <c r="V1583" s="989"/>
      <c r="X1583" s="374" t="str">
        <f t="shared" si="370"/>
        <v/>
      </c>
      <c r="Y1583" s="375" t="str">
        <f t="shared" si="371"/>
        <v/>
      </c>
      <c r="Z1583" s="374" t="str">
        <f t="shared" si="372"/>
        <v/>
      </c>
      <c r="AA1583" s="374" t="b">
        <f t="shared" si="373"/>
        <v>1</v>
      </c>
      <c r="AB1583" s="374">
        <f>COUNTIFS(B:B,B1583,H:H,'סיווג התפקידים והעלויות'!$C$2)</f>
        <v>0</v>
      </c>
      <c r="AC1583" s="374">
        <f>COUNTIFS(B:B,B1583,H:H,'סיווג התפקידים והעלויות'!$D$2)</f>
        <v>0</v>
      </c>
      <c r="AD1583" s="374" t="str">
        <f>IF(OR(AND(H1583='סיווג התפקידים והעלויות'!$A$2,I1583='סיווג התפקידים והעלויות'!$A$3),'עלויות כח אדם (6)'!H1583='סיווג התפקידים והעלויות'!$C$2,'עלויות כח אדם (6)'!H1583='סיווג התפקידים והעלויות'!$D$2),IF('עלויות כח אדם (6)'!J1583&lt;75,"לא תקין","תקין"),"")</f>
        <v/>
      </c>
      <c r="AE1583" s="374" t="str">
        <f t="shared" si="374"/>
        <v/>
      </c>
      <c r="AF1583" s="532" t="str">
        <f t="shared" si="375"/>
        <v/>
      </c>
    </row>
    <row r="1584" spans="2:32" x14ac:dyDescent="0.25">
      <c r="B1584" s="695"/>
      <c r="C1584" s="197" t="str">
        <f>IF(B1584&lt;&gt;"",IFERROR(VLOOKUP(B:B,'מצבת והרשמה (2)'!$C$20:$N$520,2,0)," ")," ")</f>
        <v xml:space="preserve"> </v>
      </c>
      <c r="D1584" s="695"/>
      <c r="E1584" s="696"/>
      <c r="F1584" s="696"/>
      <c r="G1584" s="696"/>
      <c r="H1584" s="696"/>
      <c r="I1584" s="1050" t="str">
        <f t="shared" si="362"/>
        <v/>
      </c>
      <c r="J1584" s="696"/>
      <c r="K1584" s="697"/>
      <c r="L1584" s="696"/>
      <c r="M1584" s="198" t="str">
        <f t="shared" si="363"/>
        <v/>
      </c>
      <c r="N1584" s="369" t="str">
        <f t="shared" si="364"/>
        <v/>
      </c>
      <c r="O1584" s="183" t="str">
        <f t="shared" si="365"/>
        <v/>
      </c>
      <c r="P1584" s="199" t="str">
        <f t="shared" si="366"/>
        <v/>
      </c>
      <c r="Q1584" s="199" t="str">
        <f>IF(B1584="","",IFERROR(IF('עלויות כח אדם (6)'!J1584&gt;=VLOOKUP(I1584,'סיווג התפקידים והעלויות'!$B$23:$C$32,2,0),"תקין","לא תקין"),""))</f>
        <v/>
      </c>
      <c r="R1584" s="199" t="str">
        <f t="shared" si="367"/>
        <v/>
      </c>
      <c r="S1584" s="199" t="str">
        <f t="shared" si="368"/>
        <v/>
      </c>
      <c r="T1584" s="199" t="str">
        <f t="shared" si="376"/>
        <v/>
      </c>
      <c r="U1584" s="199" t="str">
        <f t="shared" si="369"/>
        <v/>
      </c>
      <c r="V1584" s="989"/>
      <c r="X1584" s="374" t="str">
        <f t="shared" si="370"/>
        <v/>
      </c>
      <c r="Y1584" s="375" t="str">
        <f t="shared" si="371"/>
        <v/>
      </c>
      <c r="Z1584" s="374" t="str">
        <f t="shared" si="372"/>
        <v/>
      </c>
      <c r="AA1584" s="374" t="b">
        <f t="shared" si="373"/>
        <v>1</v>
      </c>
      <c r="AB1584" s="374">
        <f>COUNTIFS(B:B,B1584,H:H,'סיווג התפקידים והעלויות'!$C$2)</f>
        <v>0</v>
      </c>
      <c r="AC1584" s="374">
        <f>COUNTIFS(B:B,B1584,H:H,'סיווג התפקידים והעלויות'!$D$2)</f>
        <v>0</v>
      </c>
      <c r="AD1584" s="374" t="str">
        <f>IF(OR(AND(H1584='סיווג התפקידים והעלויות'!$A$2,I1584='סיווג התפקידים והעלויות'!$A$3),'עלויות כח אדם (6)'!H1584='סיווג התפקידים והעלויות'!$C$2,'עלויות כח אדם (6)'!H1584='סיווג התפקידים והעלויות'!$D$2),IF('עלויות כח אדם (6)'!J1584&lt;75,"לא תקין","תקין"),"")</f>
        <v/>
      </c>
      <c r="AE1584" s="374" t="str">
        <f t="shared" si="374"/>
        <v/>
      </c>
      <c r="AF1584" s="532" t="str">
        <f t="shared" si="375"/>
        <v/>
      </c>
    </row>
    <row r="1585" spans="2:32" x14ac:dyDescent="0.25">
      <c r="B1585" s="695"/>
      <c r="C1585" s="197" t="str">
        <f>IF(B1585&lt;&gt;"",IFERROR(VLOOKUP(B:B,'מצבת והרשמה (2)'!$C$20:$N$520,2,0)," ")," ")</f>
        <v xml:space="preserve"> </v>
      </c>
      <c r="D1585" s="695"/>
      <c r="E1585" s="696"/>
      <c r="F1585" s="696"/>
      <c r="G1585" s="696"/>
      <c r="H1585" s="696"/>
      <c r="I1585" s="1050" t="str">
        <f t="shared" si="362"/>
        <v/>
      </c>
      <c r="J1585" s="696"/>
      <c r="K1585" s="697"/>
      <c r="L1585" s="696"/>
      <c r="M1585" s="198" t="str">
        <f t="shared" si="363"/>
        <v/>
      </c>
      <c r="N1585" s="369" t="str">
        <f t="shared" si="364"/>
        <v/>
      </c>
      <c r="O1585" s="183" t="str">
        <f t="shared" si="365"/>
        <v/>
      </c>
      <c r="P1585" s="199" t="str">
        <f t="shared" si="366"/>
        <v/>
      </c>
      <c r="Q1585" s="199" t="str">
        <f>IF(B1585="","",IFERROR(IF('עלויות כח אדם (6)'!J1585&gt;=VLOOKUP(I1585,'סיווג התפקידים והעלויות'!$B$23:$C$32,2,0),"תקין","לא תקין"),""))</f>
        <v/>
      </c>
      <c r="R1585" s="199" t="str">
        <f t="shared" si="367"/>
        <v/>
      </c>
      <c r="S1585" s="199" t="str">
        <f t="shared" si="368"/>
        <v/>
      </c>
      <c r="T1585" s="199" t="str">
        <f t="shared" si="376"/>
        <v/>
      </c>
      <c r="U1585" s="199" t="str">
        <f t="shared" si="369"/>
        <v/>
      </c>
      <c r="V1585" s="989"/>
      <c r="X1585" s="374" t="str">
        <f t="shared" si="370"/>
        <v/>
      </c>
      <c r="Y1585" s="375" t="str">
        <f t="shared" si="371"/>
        <v/>
      </c>
      <c r="Z1585" s="374" t="str">
        <f t="shared" si="372"/>
        <v/>
      </c>
      <c r="AA1585" s="374" t="b">
        <f t="shared" si="373"/>
        <v>1</v>
      </c>
      <c r="AB1585" s="374">
        <f>COUNTIFS(B:B,B1585,H:H,'סיווג התפקידים והעלויות'!$C$2)</f>
        <v>0</v>
      </c>
      <c r="AC1585" s="374">
        <f>COUNTIFS(B:B,B1585,H:H,'סיווג התפקידים והעלויות'!$D$2)</f>
        <v>0</v>
      </c>
      <c r="AD1585" s="374" t="str">
        <f>IF(OR(AND(H1585='סיווג התפקידים והעלויות'!$A$2,I1585='סיווג התפקידים והעלויות'!$A$3),'עלויות כח אדם (6)'!H1585='סיווג התפקידים והעלויות'!$C$2,'עלויות כח אדם (6)'!H1585='סיווג התפקידים והעלויות'!$D$2),IF('עלויות כח אדם (6)'!J1585&lt;75,"לא תקין","תקין"),"")</f>
        <v/>
      </c>
      <c r="AE1585" s="374" t="str">
        <f t="shared" si="374"/>
        <v/>
      </c>
      <c r="AF1585" s="532" t="str">
        <f t="shared" si="375"/>
        <v/>
      </c>
    </row>
    <row r="1586" spans="2:32" x14ac:dyDescent="0.25">
      <c r="B1586" s="695"/>
      <c r="C1586" s="197" t="str">
        <f>IF(B1586&lt;&gt;"",IFERROR(VLOOKUP(B:B,'מצבת והרשמה (2)'!$C$20:$N$520,2,0)," ")," ")</f>
        <v xml:space="preserve"> </v>
      </c>
      <c r="D1586" s="695"/>
      <c r="E1586" s="696"/>
      <c r="F1586" s="696"/>
      <c r="G1586" s="696"/>
      <c r="H1586" s="696"/>
      <c r="I1586" s="1050" t="str">
        <f t="shared" si="362"/>
        <v/>
      </c>
      <c r="J1586" s="696"/>
      <c r="K1586" s="697"/>
      <c r="L1586" s="696"/>
      <c r="M1586" s="198" t="str">
        <f t="shared" si="363"/>
        <v/>
      </c>
      <c r="N1586" s="369" t="str">
        <f t="shared" si="364"/>
        <v/>
      </c>
      <c r="O1586" s="183" t="str">
        <f t="shared" si="365"/>
        <v/>
      </c>
      <c r="P1586" s="199" t="str">
        <f t="shared" si="366"/>
        <v/>
      </c>
      <c r="Q1586" s="199" t="str">
        <f>IF(B1586="","",IFERROR(IF('עלויות כח אדם (6)'!J1586&gt;=VLOOKUP(I1586,'סיווג התפקידים והעלויות'!$B$23:$C$32,2,0),"תקין","לא תקין"),""))</f>
        <v/>
      </c>
      <c r="R1586" s="199" t="str">
        <f t="shared" si="367"/>
        <v/>
      </c>
      <c r="S1586" s="199" t="str">
        <f t="shared" si="368"/>
        <v/>
      </c>
      <c r="T1586" s="199" t="str">
        <f t="shared" si="376"/>
        <v/>
      </c>
      <c r="U1586" s="199" t="str">
        <f t="shared" si="369"/>
        <v/>
      </c>
      <c r="V1586" s="989"/>
      <c r="X1586" s="374" t="str">
        <f t="shared" si="370"/>
        <v/>
      </c>
      <c r="Y1586" s="375" t="str">
        <f t="shared" si="371"/>
        <v/>
      </c>
      <c r="Z1586" s="374" t="str">
        <f t="shared" si="372"/>
        <v/>
      </c>
      <c r="AA1586" s="374" t="b">
        <f t="shared" si="373"/>
        <v>1</v>
      </c>
      <c r="AB1586" s="374">
        <f>COUNTIFS(B:B,B1586,H:H,'סיווג התפקידים והעלויות'!$C$2)</f>
        <v>0</v>
      </c>
      <c r="AC1586" s="374">
        <f>COUNTIFS(B:B,B1586,H:H,'סיווג התפקידים והעלויות'!$D$2)</f>
        <v>0</v>
      </c>
      <c r="AD1586" s="374" t="str">
        <f>IF(OR(AND(H1586='סיווג התפקידים והעלויות'!$A$2,I1586='סיווג התפקידים והעלויות'!$A$3),'עלויות כח אדם (6)'!H1586='סיווג התפקידים והעלויות'!$C$2,'עלויות כח אדם (6)'!H1586='סיווג התפקידים והעלויות'!$D$2),IF('עלויות כח אדם (6)'!J1586&lt;75,"לא תקין","תקין"),"")</f>
        <v/>
      </c>
      <c r="AE1586" s="374" t="str">
        <f t="shared" si="374"/>
        <v/>
      </c>
      <c r="AF1586" s="532" t="str">
        <f t="shared" si="375"/>
        <v/>
      </c>
    </row>
    <row r="1587" spans="2:32" x14ac:dyDescent="0.25">
      <c r="B1587" s="695"/>
      <c r="C1587" s="197" t="str">
        <f>IF(B1587&lt;&gt;"",IFERROR(VLOOKUP(B:B,'מצבת והרשמה (2)'!$C$20:$N$520,2,0)," ")," ")</f>
        <v xml:space="preserve"> </v>
      </c>
      <c r="D1587" s="695"/>
      <c r="E1587" s="696"/>
      <c r="F1587" s="696"/>
      <c r="G1587" s="696"/>
      <c r="H1587" s="696"/>
      <c r="I1587" s="1050" t="str">
        <f t="shared" si="362"/>
        <v/>
      </c>
      <c r="J1587" s="696"/>
      <c r="K1587" s="697"/>
      <c r="L1587" s="696"/>
      <c r="M1587" s="198" t="str">
        <f t="shared" si="363"/>
        <v/>
      </c>
      <c r="N1587" s="369" t="str">
        <f t="shared" si="364"/>
        <v/>
      </c>
      <c r="O1587" s="183" t="str">
        <f t="shared" si="365"/>
        <v/>
      </c>
      <c r="P1587" s="199" t="str">
        <f t="shared" si="366"/>
        <v/>
      </c>
      <c r="Q1587" s="199" t="str">
        <f>IF(B1587="","",IFERROR(IF('עלויות כח אדם (6)'!J1587&gt;=VLOOKUP(I1587,'סיווג התפקידים והעלויות'!$B$23:$C$32,2,0),"תקין","לא תקין"),""))</f>
        <v/>
      </c>
      <c r="R1587" s="199" t="str">
        <f t="shared" si="367"/>
        <v/>
      </c>
      <c r="S1587" s="199" t="str">
        <f t="shared" si="368"/>
        <v/>
      </c>
      <c r="T1587" s="199" t="str">
        <f t="shared" si="376"/>
        <v/>
      </c>
      <c r="U1587" s="199" t="str">
        <f t="shared" si="369"/>
        <v/>
      </c>
      <c r="V1587" s="989"/>
      <c r="X1587" s="374" t="str">
        <f t="shared" si="370"/>
        <v/>
      </c>
      <c r="Y1587" s="375" t="str">
        <f t="shared" si="371"/>
        <v/>
      </c>
      <c r="Z1587" s="374" t="str">
        <f t="shared" si="372"/>
        <v/>
      </c>
      <c r="AA1587" s="374" t="b">
        <f t="shared" si="373"/>
        <v>1</v>
      </c>
      <c r="AB1587" s="374">
        <f>COUNTIFS(B:B,B1587,H:H,'סיווג התפקידים והעלויות'!$C$2)</f>
        <v>0</v>
      </c>
      <c r="AC1587" s="374">
        <f>COUNTIFS(B:B,B1587,H:H,'סיווג התפקידים והעלויות'!$D$2)</f>
        <v>0</v>
      </c>
      <c r="AD1587" s="374" t="str">
        <f>IF(OR(AND(H1587='סיווג התפקידים והעלויות'!$A$2,I1587='סיווג התפקידים והעלויות'!$A$3),'עלויות כח אדם (6)'!H1587='סיווג התפקידים והעלויות'!$C$2,'עלויות כח אדם (6)'!H1587='סיווג התפקידים והעלויות'!$D$2),IF('עלויות כח אדם (6)'!J1587&lt;75,"לא תקין","תקין"),"")</f>
        <v/>
      </c>
      <c r="AE1587" s="374" t="str">
        <f t="shared" si="374"/>
        <v/>
      </c>
      <c r="AF1587" s="532" t="str">
        <f t="shared" si="375"/>
        <v/>
      </c>
    </row>
    <row r="1588" spans="2:32" x14ac:dyDescent="0.25">
      <c r="B1588" s="695"/>
      <c r="C1588" s="197" t="str">
        <f>IF(B1588&lt;&gt;"",IFERROR(VLOOKUP(B:B,'מצבת והרשמה (2)'!$C$20:$N$520,2,0)," ")," ")</f>
        <v xml:space="preserve"> </v>
      </c>
      <c r="D1588" s="695"/>
      <c r="E1588" s="696"/>
      <c r="F1588" s="696"/>
      <c r="G1588" s="696"/>
      <c r="H1588" s="696"/>
      <c r="I1588" s="1050" t="str">
        <f t="shared" si="362"/>
        <v/>
      </c>
      <c r="J1588" s="696"/>
      <c r="K1588" s="697"/>
      <c r="L1588" s="696"/>
      <c r="M1588" s="198" t="str">
        <f t="shared" si="363"/>
        <v/>
      </c>
      <c r="N1588" s="369" t="str">
        <f t="shared" si="364"/>
        <v/>
      </c>
      <c r="O1588" s="183" t="str">
        <f t="shared" si="365"/>
        <v/>
      </c>
      <c r="P1588" s="199" t="str">
        <f t="shared" si="366"/>
        <v/>
      </c>
      <c r="Q1588" s="199" t="str">
        <f>IF(B1588="","",IFERROR(IF('עלויות כח אדם (6)'!J1588&gt;=VLOOKUP(I1588,'סיווג התפקידים והעלויות'!$B$23:$C$32,2,0),"תקין","לא תקין"),""))</f>
        <v/>
      </c>
      <c r="R1588" s="199" t="str">
        <f t="shared" si="367"/>
        <v/>
      </c>
      <c r="S1588" s="199" t="str">
        <f t="shared" si="368"/>
        <v/>
      </c>
      <c r="T1588" s="199" t="str">
        <f t="shared" si="376"/>
        <v/>
      </c>
      <c r="U1588" s="199" t="str">
        <f t="shared" si="369"/>
        <v/>
      </c>
      <c r="V1588" s="989"/>
      <c r="X1588" s="374" t="str">
        <f t="shared" si="370"/>
        <v/>
      </c>
      <c r="Y1588" s="375" t="str">
        <f t="shared" si="371"/>
        <v/>
      </c>
      <c r="Z1588" s="374" t="str">
        <f t="shared" si="372"/>
        <v/>
      </c>
      <c r="AA1588" s="374" t="b">
        <f t="shared" si="373"/>
        <v>1</v>
      </c>
      <c r="AB1588" s="374">
        <f>COUNTIFS(B:B,B1588,H:H,'סיווג התפקידים והעלויות'!$C$2)</f>
        <v>0</v>
      </c>
      <c r="AC1588" s="374">
        <f>COUNTIFS(B:B,B1588,H:H,'סיווג התפקידים והעלויות'!$D$2)</f>
        <v>0</v>
      </c>
      <c r="AD1588" s="374" t="str">
        <f>IF(OR(AND(H1588='סיווג התפקידים והעלויות'!$A$2,I1588='סיווג התפקידים והעלויות'!$A$3),'עלויות כח אדם (6)'!H1588='סיווג התפקידים והעלויות'!$C$2,'עלויות כח אדם (6)'!H1588='סיווג התפקידים והעלויות'!$D$2),IF('עלויות כח אדם (6)'!J1588&lt;75,"לא תקין","תקין"),"")</f>
        <v/>
      </c>
      <c r="AE1588" s="374" t="str">
        <f t="shared" si="374"/>
        <v/>
      </c>
      <c r="AF1588" s="532" t="str">
        <f t="shared" si="375"/>
        <v/>
      </c>
    </row>
    <row r="1589" spans="2:32" x14ac:dyDescent="0.25">
      <c r="B1589" s="695"/>
      <c r="C1589" s="197" t="str">
        <f>IF(B1589&lt;&gt;"",IFERROR(VLOOKUP(B:B,'מצבת והרשמה (2)'!$C$20:$N$520,2,0)," ")," ")</f>
        <v xml:space="preserve"> </v>
      </c>
      <c r="D1589" s="695"/>
      <c r="E1589" s="696"/>
      <c r="F1589" s="696"/>
      <c r="G1589" s="696"/>
      <c r="H1589" s="696"/>
      <c r="I1589" s="1050" t="str">
        <f t="shared" si="362"/>
        <v/>
      </c>
      <c r="J1589" s="696"/>
      <c r="K1589" s="697"/>
      <c r="L1589" s="696"/>
      <c r="M1589" s="198" t="str">
        <f t="shared" si="363"/>
        <v/>
      </c>
      <c r="N1589" s="369" t="str">
        <f t="shared" si="364"/>
        <v/>
      </c>
      <c r="O1589" s="183" t="str">
        <f t="shared" si="365"/>
        <v/>
      </c>
      <c r="P1589" s="199" t="str">
        <f t="shared" si="366"/>
        <v/>
      </c>
      <c r="Q1589" s="199" t="str">
        <f>IF(B1589="","",IFERROR(IF('עלויות כח אדם (6)'!J1589&gt;=VLOOKUP(I1589,'סיווג התפקידים והעלויות'!$B$23:$C$32,2,0),"תקין","לא תקין"),""))</f>
        <v/>
      </c>
      <c r="R1589" s="199" t="str">
        <f t="shared" si="367"/>
        <v/>
      </c>
      <c r="S1589" s="199" t="str">
        <f t="shared" si="368"/>
        <v/>
      </c>
      <c r="T1589" s="199" t="str">
        <f t="shared" si="376"/>
        <v/>
      </c>
      <c r="U1589" s="199" t="str">
        <f t="shared" si="369"/>
        <v/>
      </c>
      <c r="V1589" s="989"/>
      <c r="X1589" s="374" t="str">
        <f t="shared" si="370"/>
        <v/>
      </c>
      <c r="Y1589" s="375" t="str">
        <f t="shared" si="371"/>
        <v/>
      </c>
      <c r="Z1589" s="374" t="str">
        <f t="shared" si="372"/>
        <v/>
      </c>
      <c r="AA1589" s="374" t="b">
        <f t="shared" si="373"/>
        <v>1</v>
      </c>
      <c r="AB1589" s="374">
        <f>COUNTIFS(B:B,B1589,H:H,'סיווג התפקידים והעלויות'!$C$2)</f>
        <v>0</v>
      </c>
      <c r="AC1589" s="374">
        <f>COUNTIFS(B:B,B1589,H:H,'סיווג התפקידים והעלויות'!$D$2)</f>
        <v>0</v>
      </c>
      <c r="AD1589" s="374" t="str">
        <f>IF(OR(AND(H1589='סיווג התפקידים והעלויות'!$A$2,I1589='סיווג התפקידים והעלויות'!$A$3),'עלויות כח אדם (6)'!H1589='סיווג התפקידים והעלויות'!$C$2,'עלויות כח אדם (6)'!H1589='סיווג התפקידים והעלויות'!$D$2),IF('עלויות כח אדם (6)'!J1589&lt;75,"לא תקין","תקין"),"")</f>
        <v/>
      </c>
      <c r="AE1589" s="374" t="str">
        <f t="shared" si="374"/>
        <v/>
      </c>
      <c r="AF1589" s="532" t="str">
        <f t="shared" si="375"/>
        <v/>
      </c>
    </row>
    <row r="1590" spans="2:32" x14ac:dyDescent="0.25">
      <c r="B1590" s="695"/>
      <c r="C1590" s="197" t="str">
        <f>IF(B1590&lt;&gt;"",IFERROR(VLOOKUP(B:B,'מצבת והרשמה (2)'!$C$20:$N$520,2,0)," ")," ")</f>
        <v xml:space="preserve"> </v>
      </c>
      <c r="D1590" s="695"/>
      <c r="E1590" s="696"/>
      <c r="F1590" s="696"/>
      <c r="G1590" s="696"/>
      <c r="H1590" s="696"/>
      <c r="I1590" s="1050" t="str">
        <f t="shared" si="362"/>
        <v/>
      </c>
      <c r="J1590" s="696"/>
      <c r="K1590" s="697"/>
      <c r="L1590" s="696"/>
      <c r="M1590" s="198" t="str">
        <f t="shared" si="363"/>
        <v/>
      </c>
      <c r="N1590" s="369" t="str">
        <f t="shared" si="364"/>
        <v/>
      </c>
      <c r="O1590" s="183" t="str">
        <f t="shared" si="365"/>
        <v/>
      </c>
      <c r="P1590" s="199" t="str">
        <f t="shared" si="366"/>
        <v/>
      </c>
      <c r="Q1590" s="199" t="str">
        <f>IF(B1590="","",IFERROR(IF('עלויות כח אדם (6)'!J1590&gt;=VLOOKUP(I1590,'סיווג התפקידים והעלויות'!$B$23:$C$32,2,0),"תקין","לא תקין"),""))</f>
        <v/>
      </c>
      <c r="R1590" s="199" t="str">
        <f t="shared" si="367"/>
        <v/>
      </c>
      <c r="S1590" s="199" t="str">
        <f t="shared" si="368"/>
        <v/>
      </c>
      <c r="T1590" s="199" t="str">
        <f t="shared" si="376"/>
        <v/>
      </c>
      <c r="U1590" s="199" t="str">
        <f t="shared" si="369"/>
        <v/>
      </c>
      <c r="V1590" s="989"/>
      <c r="X1590" s="374" t="str">
        <f t="shared" si="370"/>
        <v/>
      </c>
      <c r="Y1590" s="375" t="str">
        <f t="shared" si="371"/>
        <v/>
      </c>
      <c r="Z1590" s="374" t="str">
        <f t="shared" si="372"/>
        <v/>
      </c>
      <c r="AA1590" s="374" t="b">
        <f t="shared" si="373"/>
        <v>1</v>
      </c>
      <c r="AB1590" s="374">
        <f>COUNTIFS(B:B,B1590,H:H,'סיווג התפקידים והעלויות'!$C$2)</f>
        <v>0</v>
      </c>
      <c r="AC1590" s="374">
        <f>COUNTIFS(B:B,B1590,H:H,'סיווג התפקידים והעלויות'!$D$2)</f>
        <v>0</v>
      </c>
      <c r="AD1590" s="374" t="str">
        <f>IF(OR(AND(H1590='סיווג התפקידים והעלויות'!$A$2,I1590='סיווג התפקידים והעלויות'!$A$3),'עלויות כח אדם (6)'!H1590='סיווג התפקידים והעלויות'!$C$2,'עלויות כח אדם (6)'!H1590='סיווג התפקידים והעלויות'!$D$2),IF('עלויות כח אדם (6)'!J1590&lt;75,"לא תקין","תקין"),"")</f>
        <v/>
      </c>
      <c r="AE1590" s="374" t="str">
        <f t="shared" si="374"/>
        <v/>
      </c>
      <c r="AF1590" s="532" t="str">
        <f t="shared" si="375"/>
        <v/>
      </c>
    </row>
    <row r="1591" spans="2:32" x14ac:dyDescent="0.25">
      <c r="B1591" s="695"/>
      <c r="C1591" s="197" t="str">
        <f>IF(B1591&lt;&gt;"",IFERROR(VLOOKUP(B:B,'מצבת והרשמה (2)'!$C$20:$N$520,2,0)," ")," ")</f>
        <v xml:space="preserve"> </v>
      </c>
      <c r="D1591" s="695"/>
      <c r="E1591" s="696"/>
      <c r="F1591" s="696"/>
      <c r="G1591" s="696"/>
      <c r="H1591" s="696"/>
      <c r="I1591" s="1050" t="str">
        <f t="shared" si="362"/>
        <v/>
      </c>
      <c r="J1591" s="696"/>
      <c r="K1591" s="697"/>
      <c r="L1591" s="696"/>
      <c r="M1591" s="198" t="str">
        <f t="shared" si="363"/>
        <v/>
      </c>
      <c r="N1591" s="369" t="str">
        <f t="shared" si="364"/>
        <v/>
      </c>
      <c r="O1591" s="183" t="str">
        <f t="shared" si="365"/>
        <v/>
      </c>
      <c r="P1591" s="199" t="str">
        <f t="shared" si="366"/>
        <v/>
      </c>
      <c r="Q1591" s="199" t="str">
        <f>IF(B1591="","",IFERROR(IF('עלויות כח אדם (6)'!J1591&gt;=VLOOKUP(I1591,'סיווג התפקידים והעלויות'!$B$23:$C$32,2,0),"תקין","לא תקין"),""))</f>
        <v/>
      </c>
      <c r="R1591" s="199" t="str">
        <f t="shared" si="367"/>
        <v/>
      </c>
      <c r="S1591" s="199" t="str">
        <f t="shared" si="368"/>
        <v/>
      </c>
      <c r="T1591" s="199" t="str">
        <f t="shared" si="376"/>
        <v/>
      </c>
      <c r="U1591" s="199" t="str">
        <f t="shared" si="369"/>
        <v/>
      </c>
      <c r="V1591" s="989"/>
      <c r="X1591" s="374" t="str">
        <f t="shared" si="370"/>
        <v/>
      </c>
      <c r="Y1591" s="375" t="str">
        <f t="shared" si="371"/>
        <v/>
      </c>
      <c r="Z1591" s="374" t="str">
        <f t="shared" si="372"/>
        <v/>
      </c>
      <c r="AA1591" s="374" t="b">
        <f t="shared" si="373"/>
        <v>1</v>
      </c>
      <c r="AB1591" s="374">
        <f>COUNTIFS(B:B,B1591,H:H,'סיווג התפקידים והעלויות'!$C$2)</f>
        <v>0</v>
      </c>
      <c r="AC1591" s="374">
        <f>COUNTIFS(B:B,B1591,H:H,'סיווג התפקידים והעלויות'!$D$2)</f>
        <v>0</v>
      </c>
      <c r="AD1591" s="374" t="str">
        <f>IF(OR(AND(H1591='סיווג התפקידים והעלויות'!$A$2,I1591='סיווג התפקידים והעלויות'!$A$3),'עלויות כח אדם (6)'!H1591='סיווג התפקידים והעלויות'!$C$2,'עלויות כח אדם (6)'!H1591='סיווג התפקידים והעלויות'!$D$2),IF('עלויות כח אדם (6)'!J1591&lt;75,"לא תקין","תקין"),"")</f>
        <v/>
      </c>
      <c r="AE1591" s="374" t="str">
        <f t="shared" si="374"/>
        <v/>
      </c>
      <c r="AF1591" s="532" t="str">
        <f t="shared" si="375"/>
        <v/>
      </c>
    </row>
    <row r="1592" spans="2:32" x14ac:dyDescent="0.25">
      <c r="B1592" s="695"/>
      <c r="C1592" s="197" t="str">
        <f>IF(B1592&lt;&gt;"",IFERROR(VLOOKUP(B:B,'מצבת והרשמה (2)'!$C$20:$N$520,2,0)," ")," ")</f>
        <v xml:space="preserve"> </v>
      </c>
      <c r="D1592" s="695"/>
      <c r="E1592" s="696"/>
      <c r="F1592" s="696"/>
      <c r="G1592" s="696"/>
      <c r="H1592" s="696"/>
      <c r="I1592" s="1050" t="str">
        <f t="shared" si="362"/>
        <v/>
      </c>
      <c r="J1592" s="696"/>
      <c r="K1592" s="697"/>
      <c r="L1592" s="696"/>
      <c r="M1592" s="198" t="str">
        <f t="shared" si="363"/>
        <v/>
      </c>
      <c r="N1592" s="369" t="str">
        <f t="shared" si="364"/>
        <v/>
      </c>
      <c r="O1592" s="183" t="str">
        <f t="shared" si="365"/>
        <v/>
      </c>
      <c r="P1592" s="199" t="str">
        <f t="shared" si="366"/>
        <v/>
      </c>
      <c r="Q1592" s="199" t="str">
        <f>IF(B1592="","",IFERROR(IF('עלויות כח אדם (6)'!J1592&gt;=VLOOKUP(I1592,'סיווג התפקידים והעלויות'!$B$23:$C$32,2,0),"תקין","לא תקין"),""))</f>
        <v/>
      </c>
      <c r="R1592" s="199" t="str">
        <f t="shared" si="367"/>
        <v/>
      </c>
      <c r="S1592" s="199" t="str">
        <f t="shared" si="368"/>
        <v/>
      </c>
      <c r="T1592" s="199" t="str">
        <f t="shared" si="376"/>
        <v/>
      </c>
      <c r="U1592" s="199" t="str">
        <f t="shared" si="369"/>
        <v/>
      </c>
      <c r="V1592" s="989"/>
      <c r="X1592" s="374" t="str">
        <f t="shared" si="370"/>
        <v/>
      </c>
      <c r="Y1592" s="375" t="str">
        <f t="shared" si="371"/>
        <v/>
      </c>
      <c r="Z1592" s="374" t="str">
        <f t="shared" si="372"/>
        <v/>
      </c>
      <c r="AA1592" s="374" t="b">
        <f t="shared" si="373"/>
        <v>1</v>
      </c>
      <c r="AB1592" s="374">
        <f>COUNTIFS(B:B,B1592,H:H,'סיווג התפקידים והעלויות'!$C$2)</f>
        <v>0</v>
      </c>
      <c r="AC1592" s="374">
        <f>COUNTIFS(B:B,B1592,H:H,'סיווג התפקידים והעלויות'!$D$2)</f>
        <v>0</v>
      </c>
      <c r="AD1592" s="374" t="str">
        <f>IF(OR(AND(H1592='סיווג התפקידים והעלויות'!$A$2,I1592='סיווג התפקידים והעלויות'!$A$3),'עלויות כח אדם (6)'!H1592='סיווג התפקידים והעלויות'!$C$2,'עלויות כח אדם (6)'!H1592='סיווג התפקידים והעלויות'!$D$2),IF('עלויות כח אדם (6)'!J1592&lt;75,"לא תקין","תקין"),"")</f>
        <v/>
      </c>
      <c r="AE1592" s="374" t="str">
        <f t="shared" si="374"/>
        <v/>
      </c>
      <c r="AF1592" s="532" t="str">
        <f t="shared" si="375"/>
        <v/>
      </c>
    </row>
    <row r="1593" spans="2:32" x14ac:dyDescent="0.25">
      <c r="B1593" s="695"/>
      <c r="C1593" s="197" t="str">
        <f>IF(B1593&lt;&gt;"",IFERROR(VLOOKUP(B:B,'מצבת והרשמה (2)'!$C$20:$N$520,2,0)," ")," ")</f>
        <v xml:space="preserve"> </v>
      </c>
      <c r="D1593" s="695"/>
      <c r="E1593" s="696"/>
      <c r="F1593" s="696"/>
      <c r="G1593" s="696"/>
      <c r="H1593" s="696"/>
      <c r="I1593" s="1050" t="str">
        <f t="shared" si="362"/>
        <v/>
      </c>
      <c r="J1593" s="696"/>
      <c r="K1593" s="697"/>
      <c r="L1593" s="696"/>
      <c r="M1593" s="198" t="str">
        <f t="shared" si="363"/>
        <v/>
      </c>
      <c r="N1593" s="369" t="str">
        <f t="shared" si="364"/>
        <v/>
      </c>
      <c r="O1593" s="183" t="str">
        <f t="shared" si="365"/>
        <v/>
      </c>
      <c r="P1593" s="199" t="str">
        <f t="shared" si="366"/>
        <v/>
      </c>
      <c r="Q1593" s="199" t="str">
        <f>IF(B1593="","",IFERROR(IF('עלויות כח אדם (6)'!J1593&gt;=VLOOKUP(I1593,'סיווג התפקידים והעלויות'!$B$23:$C$32,2,0),"תקין","לא תקין"),""))</f>
        <v/>
      </c>
      <c r="R1593" s="199" t="str">
        <f t="shared" si="367"/>
        <v/>
      </c>
      <c r="S1593" s="199" t="str">
        <f t="shared" si="368"/>
        <v/>
      </c>
      <c r="T1593" s="199" t="str">
        <f t="shared" si="376"/>
        <v/>
      </c>
      <c r="U1593" s="199" t="str">
        <f t="shared" si="369"/>
        <v/>
      </c>
      <c r="V1593" s="989"/>
      <c r="X1593" s="374" t="str">
        <f t="shared" si="370"/>
        <v/>
      </c>
      <c r="Y1593" s="375" t="str">
        <f t="shared" si="371"/>
        <v/>
      </c>
      <c r="Z1593" s="374" t="str">
        <f t="shared" si="372"/>
        <v/>
      </c>
      <c r="AA1593" s="374" t="b">
        <f t="shared" si="373"/>
        <v>1</v>
      </c>
      <c r="AB1593" s="374">
        <f>COUNTIFS(B:B,B1593,H:H,'סיווג התפקידים והעלויות'!$C$2)</f>
        <v>0</v>
      </c>
      <c r="AC1593" s="374">
        <f>COUNTIFS(B:B,B1593,H:H,'סיווג התפקידים והעלויות'!$D$2)</f>
        <v>0</v>
      </c>
      <c r="AD1593" s="374" t="str">
        <f>IF(OR(AND(H1593='סיווג התפקידים והעלויות'!$A$2,I1593='סיווג התפקידים והעלויות'!$A$3),'עלויות כח אדם (6)'!H1593='סיווג התפקידים והעלויות'!$C$2,'עלויות כח אדם (6)'!H1593='סיווג התפקידים והעלויות'!$D$2),IF('עלויות כח אדם (6)'!J1593&lt;75,"לא תקין","תקין"),"")</f>
        <v/>
      </c>
      <c r="AE1593" s="374" t="str">
        <f t="shared" si="374"/>
        <v/>
      </c>
      <c r="AF1593" s="532" t="str">
        <f t="shared" si="375"/>
        <v/>
      </c>
    </row>
    <row r="1594" spans="2:32" x14ac:dyDescent="0.25">
      <c r="B1594" s="695"/>
      <c r="C1594" s="197" t="str">
        <f>IF(B1594&lt;&gt;"",IFERROR(VLOOKUP(B:B,'מצבת והרשמה (2)'!$C$20:$N$520,2,0)," ")," ")</f>
        <v xml:space="preserve"> </v>
      </c>
      <c r="D1594" s="695"/>
      <c r="E1594" s="696"/>
      <c r="F1594" s="696"/>
      <c r="G1594" s="696"/>
      <c r="H1594" s="696"/>
      <c r="I1594" s="1050" t="str">
        <f t="shared" si="362"/>
        <v/>
      </c>
      <c r="J1594" s="696"/>
      <c r="K1594" s="697"/>
      <c r="L1594" s="696"/>
      <c r="M1594" s="198" t="str">
        <f t="shared" si="363"/>
        <v/>
      </c>
      <c r="N1594" s="369" t="str">
        <f t="shared" si="364"/>
        <v/>
      </c>
      <c r="O1594" s="183" t="str">
        <f t="shared" si="365"/>
        <v/>
      </c>
      <c r="P1594" s="199" t="str">
        <f t="shared" si="366"/>
        <v/>
      </c>
      <c r="Q1594" s="199" t="str">
        <f>IF(B1594="","",IFERROR(IF('עלויות כח אדם (6)'!J1594&gt;=VLOOKUP(I1594,'סיווג התפקידים והעלויות'!$B$23:$C$32,2,0),"תקין","לא תקין"),""))</f>
        <v/>
      </c>
      <c r="R1594" s="199" t="str">
        <f t="shared" si="367"/>
        <v/>
      </c>
      <c r="S1594" s="199" t="str">
        <f t="shared" si="368"/>
        <v/>
      </c>
      <c r="T1594" s="199" t="str">
        <f t="shared" si="376"/>
        <v/>
      </c>
      <c r="U1594" s="199" t="str">
        <f t="shared" si="369"/>
        <v/>
      </c>
      <c r="V1594" s="989"/>
      <c r="X1594" s="374" t="str">
        <f t="shared" si="370"/>
        <v/>
      </c>
      <c r="Y1594" s="375" t="str">
        <f t="shared" si="371"/>
        <v/>
      </c>
      <c r="Z1594" s="374" t="str">
        <f t="shared" si="372"/>
        <v/>
      </c>
      <c r="AA1594" s="374" t="b">
        <f t="shared" si="373"/>
        <v>1</v>
      </c>
      <c r="AB1594" s="374">
        <f>COUNTIFS(B:B,B1594,H:H,'סיווג התפקידים והעלויות'!$C$2)</f>
        <v>0</v>
      </c>
      <c r="AC1594" s="374">
        <f>COUNTIFS(B:B,B1594,H:H,'סיווג התפקידים והעלויות'!$D$2)</f>
        <v>0</v>
      </c>
      <c r="AD1594" s="374" t="str">
        <f>IF(OR(AND(H1594='סיווג התפקידים והעלויות'!$A$2,I1594='סיווג התפקידים והעלויות'!$A$3),'עלויות כח אדם (6)'!H1594='סיווג התפקידים והעלויות'!$C$2,'עלויות כח אדם (6)'!H1594='סיווג התפקידים והעלויות'!$D$2),IF('עלויות כח אדם (6)'!J1594&lt;75,"לא תקין","תקין"),"")</f>
        <v/>
      </c>
      <c r="AE1594" s="374" t="str">
        <f t="shared" si="374"/>
        <v/>
      </c>
      <c r="AF1594" s="532" t="str">
        <f t="shared" si="375"/>
        <v/>
      </c>
    </row>
    <row r="1595" spans="2:32" x14ac:dyDescent="0.25">
      <c r="B1595" s="695"/>
      <c r="C1595" s="197" t="str">
        <f>IF(B1595&lt;&gt;"",IFERROR(VLOOKUP(B:B,'מצבת והרשמה (2)'!$C$20:$N$520,2,0)," ")," ")</f>
        <v xml:space="preserve"> </v>
      </c>
      <c r="D1595" s="695"/>
      <c r="E1595" s="696"/>
      <c r="F1595" s="696"/>
      <c r="G1595" s="696"/>
      <c r="H1595" s="696"/>
      <c r="I1595" s="1050" t="str">
        <f t="shared" si="362"/>
        <v/>
      </c>
      <c r="J1595" s="696"/>
      <c r="K1595" s="697"/>
      <c r="L1595" s="696"/>
      <c r="M1595" s="198" t="str">
        <f t="shared" si="363"/>
        <v/>
      </c>
      <c r="N1595" s="369" t="str">
        <f t="shared" si="364"/>
        <v/>
      </c>
      <c r="O1595" s="183" t="str">
        <f t="shared" si="365"/>
        <v/>
      </c>
      <c r="P1595" s="199" t="str">
        <f t="shared" si="366"/>
        <v/>
      </c>
      <c r="Q1595" s="199" t="str">
        <f>IF(B1595="","",IFERROR(IF('עלויות כח אדם (6)'!J1595&gt;=VLOOKUP(I1595,'סיווג התפקידים והעלויות'!$B$23:$C$32,2,0),"תקין","לא תקין"),""))</f>
        <v/>
      </c>
      <c r="R1595" s="199" t="str">
        <f t="shared" si="367"/>
        <v/>
      </c>
      <c r="S1595" s="199" t="str">
        <f t="shared" si="368"/>
        <v/>
      </c>
      <c r="T1595" s="199" t="str">
        <f t="shared" si="376"/>
        <v/>
      </c>
      <c r="U1595" s="199" t="str">
        <f t="shared" si="369"/>
        <v/>
      </c>
      <c r="V1595" s="989"/>
      <c r="X1595" s="374" t="str">
        <f t="shared" si="370"/>
        <v/>
      </c>
      <c r="Y1595" s="375" t="str">
        <f t="shared" si="371"/>
        <v/>
      </c>
      <c r="Z1595" s="374" t="str">
        <f t="shared" si="372"/>
        <v/>
      </c>
      <c r="AA1595" s="374" t="b">
        <f t="shared" si="373"/>
        <v>1</v>
      </c>
      <c r="AB1595" s="374">
        <f>COUNTIFS(B:B,B1595,H:H,'סיווג התפקידים והעלויות'!$C$2)</f>
        <v>0</v>
      </c>
      <c r="AC1595" s="374">
        <f>COUNTIFS(B:B,B1595,H:H,'סיווג התפקידים והעלויות'!$D$2)</f>
        <v>0</v>
      </c>
      <c r="AD1595" s="374" t="str">
        <f>IF(OR(AND(H1595='סיווג התפקידים והעלויות'!$A$2,I1595='סיווג התפקידים והעלויות'!$A$3),'עלויות כח אדם (6)'!H1595='סיווג התפקידים והעלויות'!$C$2,'עלויות כח אדם (6)'!H1595='סיווג התפקידים והעלויות'!$D$2),IF('עלויות כח אדם (6)'!J1595&lt;75,"לא תקין","תקין"),"")</f>
        <v/>
      </c>
      <c r="AE1595" s="374" t="str">
        <f t="shared" si="374"/>
        <v/>
      </c>
      <c r="AF1595" s="532" t="str">
        <f t="shared" si="375"/>
        <v/>
      </c>
    </row>
    <row r="1596" spans="2:32" x14ac:dyDescent="0.25">
      <c r="B1596" s="695"/>
      <c r="C1596" s="197" t="str">
        <f>IF(B1596&lt;&gt;"",IFERROR(VLOOKUP(B:B,'מצבת והרשמה (2)'!$C$20:$N$520,2,0)," ")," ")</f>
        <v xml:space="preserve"> </v>
      </c>
      <c r="D1596" s="695"/>
      <c r="E1596" s="696"/>
      <c r="F1596" s="696"/>
      <c r="G1596" s="696"/>
      <c r="H1596" s="696"/>
      <c r="I1596" s="1050" t="str">
        <f t="shared" si="362"/>
        <v/>
      </c>
      <c r="J1596" s="696"/>
      <c r="K1596" s="697"/>
      <c r="L1596" s="696"/>
      <c r="M1596" s="198" t="str">
        <f t="shared" si="363"/>
        <v/>
      </c>
      <c r="N1596" s="369" t="str">
        <f t="shared" si="364"/>
        <v/>
      </c>
      <c r="O1596" s="183" t="str">
        <f t="shared" si="365"/>
        <v/>
      </c>
      <c r="P1596" s="199" t="str">
        <f t="shared" si="366"/>
        <v/>
      </c>
      <c r="Q1596" s="199" t="str">
        <f>IF(B1596="","",IFERROR(IF('עלויות כח אדם (6)'!J1596&gt;=VLOOKUP(I1596,'סיווג התפקידים והעלויות'!$B$23:$C$32,2,0),"תקין","לא תקין"),""))</f>
        <v/>
      </c>
      <c r="R1596" s="199" t="str">
        <f t="shared" si="367"/>
        <v/>
      </c>
      <c r="S1596" s="199" t="str">
        <f t="shared" si="368"/>
        <v/>
      </c>
      <c r="T1596" s="199" t="str">
        <f t="shared" si="376"/>
        <v/>
      </c>
      <c r="U1596" s="199" t="str">
        <f t="shared" si="369"/>
        <v/>
      </c>
      <c r="V1596" s="989"/>
      <c r="X1596" s="374" t="str">
        <f t="shared" si="370"/>
        <v/>
      </c>
      <c r="Y1596" s="375" t="str">
        <f t="shared" si="371"/>
        <v/>
      </c>
      <c r="Z1596" s="374" t="str">
        <f t="shared" si="372"/>
        <v/>
      </c>
      <c r="AA1596" s="374" t="b">
        <f t="shared" si="373"/>
        <v>1</v>
      </c>
      <c r="AB1596" s="374">
        <f>COUNTIFS(B:B,B1596,H:H,'סיווג התפקידים והעלויות'!$C$2)</f>
        <v>0</v>
      </c>
      <c r="AC1596" s="374">
        <f>COUNTIFS(B:B,B1596,H:H,'סיווג התפקידים והעלויות'!$D$2)</f>
        <v>0</v>
      </c>
      <c r="AD1596" s="374" t="str">
        <f>IF(OR(AND(H1596='סיווג התפקידים והעלויות'!$A$2,I1596='סיווג התפקידים והעלויות'!$A$3),'עלויות כח אדם (6)'!H1596='סיווג התפקידים והעלויות'!$C$2,'עלויות כח אדם (6)'!H1596='סיווג התפקידים והעלויות'!$D$2),IF('עלויות כח אדם (6)'!J1596&lt;75,"לא תקין","תקין"),"")</f>
        <v/>
      </c>
      <c r="AE1596" s="374" t="str">
        <f t="shared" si="374"/>
        <v/>
      </c>
      <c r="AF1596" s="532" t="str">
        <f t="shared" si="375"/>
        <v/>
      </c>
    </row>
    <row r="1597" spans="2:32" x14ac:dyDescent="0.25">
      <c r="B1597" s="695"/>
      <c r="C1597" s="197" t="str">
        <f>IF(B1597&lt;&gt;"",IFERROR(VLOOKUP(B:B,'מצבת והרשמה (2)'!$C$20:$N$520,2,0)," ")," ")</f>
        <v xml:space="preserve"> </v>
      </c>
      <c r="D1597" s="695"/>
      <c r="E1597" s="696"/>
      <c r="F1597" s="696"/>
      <c r="G1597" s="696"/>
      <c r="H1597" s="696"/>
      <c r="I1597" s="1050" t="str">
        <f t="shared" si="362"/>
        <v/>
      </c>
      <c r="J1597" s="696"/>
      <c r="K1597" s="697"/>
      <c r="L1597" s="696"/>
      <c r="M1597" s="198" t="str">
        <f t="shared" si="363"/>
        <v/>
      </c>
      <c r="N1597" s="369" t="str">
        <f t="shared" si="364"/>
        <v/>
      </c>
      <c r="O1597" s="183" t="str">
        <f t="shared" si="365"/>
        <v/>
      </c>
      <c r="P1597" s="199" t="str">
        <f t="shared" si="366"/>
        <v/>
      </c>
      <c r="Q1597" s="199" t="str">
        <f>IF(B1597="","",IFERROR(IF('עלויות כח אדם (6)'!J1597&gt;=VLOOKUP(I1597,'סיווג התפקידים והעלויות'!$B$23:$C$32,2,0),"תקין","לא תקין"),""))</f>
        <v/>
      </c>
      <c r="R1597" s="199" t="str">
        <f t="shared" si="367"/>
        <v/>
      </c>
      <c r="S1597" s="199" t="str">
        <f t="shared" si="368"/>
        <v/>
      </c>
      <c r="T1597" s="199" t="str">
        <f t="shared" si="376"/>
        <v/>
      </c>
      <c r="U1597" s="199" t="str">
        <f t="shared" si="369"/>
        <v/>
      </c>
      <c r="V1597" s="989"/>
      <c r="X1597" s="374" t="str">
        <f t="shared" si="370"/>
        <v/>
      </c>
      <c r="Y1597" s="375" t="str">
        <f t="shared" si="371"/>
        <v/>
      </c>
      <c r="Z1597" s="374" t="str">
        <f t="shared" si="372"/>
        <v/>
      </c>
      <c r="AA1597" s="374" t="b">
        <f t="shared" si="373"/>
        <v>1</v>
      </c>
      <c r="AB1597" s="374">
        <f>COUNTIFS(B:B,B1597,H:H,'סיווג התפקידים והעלויות'!$C$2)</f>
        <v>0</v>
      </c>
      <c r="AC1597" s="374">
        <f>COUNTIFS(B:B,B1597,H:H,'סיווג התפקידים והעלויות'!$D$2)</f>
        <v>0</v>
      </c>
      <c r="AD1597" s="374" t="str">
        <f>IF(OR(AND(H1597='סיווג התפקידים והעלויות'!$A$2,I1597='סיווג התפקידים והעלויות'!$A$3),'עלויות כח אדם (6)'!H1597='סיווג התפקידים והעלויות'!$C$2,'עלויות כח אדם (6)'!H1597='סיווג התפקידים והעלויות'!$D$2),IF('עלויות כח אדם (6)'!J1597&lt;75,"לא תקין","תקין"),"")</f>
        <v/>
      </c>
      <c r="AE1597" s="374" t="str">
        <f t="shared" si="374"/>
        <v/>
      </c>
      <c r="AF1597" s="532" t="str">
        <f t="shared" si="375"/>
        <v/>
      </c>
    </row>
    <row r="1598" spans="2:32" x14ac:dyDescent="0.25">
      <c r="B1598" s="695"/>
      <c r="C1598" s="197" t="str">
        <f>IF(B1598&lt;&gt;"",IFERROR(VLOOKUP(B:B,'מצבת והרשמה (2)'!$C$20:$N$520,2,0)," ")," ")</f>
        <v xml:space="preserve"> </v>
      </c>
      <c r="D1598" s="695"/>
      <c r="E1598" s="696"/>
      <c r="F1598" s="696"/>
      <c r="G1598" s="696"/>
      <c r="H1598" s="696"/>
      <c r="I1598" s="1050" t="str">
        <f t="shared" si="362"/>
        <v/>
      </c>
      <c r="J1598" s="696"/>
      <c r="K1598" s="697"/>
      <c r="L1598" s="696"/>
      <c r="M1598" s="198" t="str">
        <f t="shared" si="363"/>
        <v/>
      </c>
      <c r="N1598" s="369" t="str">
        <f t="shared" si="364"/>
        <v/>
      </c>
      <c r="O1598" s="183" t="str">
        <f t="shared" si="365"/>
        <v/>
      </c>
      <c r="P1598" s="199" t="str">
        <f t="shared" si="366"/>
        <v/>
      </c>
      <c r="Q1598" s="199" t="str">
        <f>IF(B1598="","",IFERROR(IF('עלויות כח אדם (6)'!J1598&gt;=VLOOKUP(I1598,'סיווג התפקידים והעלויות'!$B$23:$C$32,2,0),"תקין","לא תקין"),""))</f>
        <v/>
      </c>
      <c r="R1598" s="199" t="str">
        <f t="shared" si="367"/>
        <v/>
      </c>
      <c r="S1598" s="199" t="str">
        <f t="shared" si="368"/>
        <v/>
      </c>
      <c r="T1598" s="199" t="str">
        <f t="shared" si="376"/>
        <v/>
      </c>
      <c r="U1598" s="199" t="str">
        <f t="shared" si="369"/>
        <v/>
      </c>
      <c r="V1598" s="989"/>
      <c r="X1598" s="374" t="str">
        <f t="shared" si="370"/>
        <v/>
      </c>
      <c r="Y1598" s="375" t="str">
        <f t="shared" si="371"/>
        <v/>
      </c>
      <c r="Z1598" s="374" t="str">
        <f t="shared" si="372"/>
        <v/>
      </c>
      <c r="AA1598" s="374" t="b">
        <f t="shared" si="373"/>
        <v>1</v>
      </c>
      <c r="AB1598" s="374">
        <f>COUNTIFS(B:B,B1598,H:H,'סיווג התפקידים והעלויות'!$C$2)</f>
        <v>0</v>
      </c>
      <c r="AC1598" s="374">
        <f>COUNTIFS(B:B,B1598,H:H,'סיווג התפקידים והעלויות'!$D$2)</f>
        <v>0</v>
      </c>
      <c r="AD1598" s="374" t="str">
        <f>IF(OR(AND(H1598='סיווג התפקידים והעלויות'!$A$2,I1598='סיווג התפקידים והעלויות'!$A$3),'עלויות כח אדם (6)'!H1598='סיווג התפקידים והעלויות'!$C$2,'עלויות כח אדם (6)'!H1598='סיווג התפקידים והעלויות'!$D$2),IF('עלויות כח אדם (6)'!J1598&lt;75,"לא תקין","תקין"),"")</f>
        <v/>
      </c>
      <c r="AE1598" s="374" t="str">
        <f t="shared" si="374"/>
        <v/>
      </c>
      <c r="AF1598" s="532" t="str">
        <f t="shared" si="375"/>
        <v/>
      </c>
    </row>
    <row r="1599" spans="2:32" x14ac:dyDescent="0.25">
      <c r="B1599" s="695"/>
      <c r="C1599" s="197" t="str">
        <f>IF(B1599&lt;&gt;"",IFERROR(VLOOKUP(B:B,'מצבת והרשמה (2)'!$C$20:$N$520,2,0)," ")," ")</f>
        <v xml:space="preserve"> </v>
      </c>
      <c r="D1599" s="695"/>
      <c r="E1599" s="696"/>
      <c r="F1599" s="696"/>
      <c r="G1599" s="696"/>
      <c r="H1599" s="696"/>
      <c r="I1599" s="1050" t="str">
        <f t="shared" si="362"/>
        <v/>
      </c>
      <c r="J1599" s="696"/>
      <c r="K1599" s="697"/>
      <c r="L1599" s="696"/>
      <c r="M1599" s="198" t="str">
        <f t="shared" si="363"/>
        <v/>
      </c>
      <c r="N1599" s="369" t="str">
        <f t="shared" si="364"/>
        <v/>
      </c>
      <c r="O1599" s="183" t="str">
        <f t="shared" si="365"/>
        <v/>
      </c>
      <c r="P1599" s="199" t="str">
        <f t="shared" si="366"/>
        <v/>
      </c>
      <c r="Q1599" s="199" t="str">
        <f>IF(B1599="","",IFERROR(IF('עלויות כח אדם (6)'!J1599&gt;=VLOOKUP(I1599,'סיווג התפקידים והעלויות'!$B$23:$C$32,2,0),"תקין","לא תקין"),""))</f>
        <v/>
      </c>
      <c r="R1599" s="199" t="str">
        <f t="shared" si="367"/>
        <v/>
      </c>
      <c r="S1599" s="199" t="str">
        <f t="shared" si="368"/>
        <v/>
      </c>
      <c r="T1599" s="199" t="str">
        <f t="shared" si="376"/>
        <v/>
      </c>
      <c r="U1599" s="199" t="str">
        <f t="shared" si="369"/>
        <v/>
      </c>
      <c r="V1599" s="989"/>
      <c r="X1599" s="374" t="str">
        <f t="shared" si="370"/>
        <v/>
      </c>
      <c r="Y1599" s="375" t="str">
        <f t="shared" si="371"/>
        <v/>
      </c>
      <c r="Z1599" s="374" t="str">
        <f t="shared" si="372"/>
        <v/>
      </c>
      <c r="AA1599" s="374" t="b">
        <f t="shared" si="373"/>
        <v>1</v>
      </c>
      <c r="AB1599" s="374">
        <f>COUNTIFS(B:B,B1599,H:H,'סיווג התפקידים והעלויות'!$C$2)</f>
        <v>0</v>
      </c>
      <c r="AC1599" s="374">
        <f>COUNTIFS(B:B,B1599,H:H,'סיווג התפקידים והעלויות'!$D$2)</f>
        <v>0</v>
      </c>
      <c r="AD1599" s="374" t="str">
        <f>IF(OR(AND(H1599='סיווג התפקידים והעלויות'!$A$2,I1599='סיווג התפקידים והעלויות'!$A$3),'עלויות כח אדם (6)'!H1599='סיווג התפקידים והעלויות'!$C$2,'עלויות כח אדם (6)'!H1599='סיווג התפקידים והעלויות'!$D$2),IF('עלויות כח אדם (6)'!J1599&lt;75,"לא תקין","תקין"),"")</f>
        <v/>
      </c>
      <c r="AE1599" s="374" t="str">
        <f t="shared" si="374"/>
        <v/>
      </c>
      <c r="AF1599" s="532" t="str">
        <f t="shared" si="375"/>
        <v/>
      </c>
    </row>
    <row r="1600" spans="2:32" x14ac:dyDescent="0.25">
      <c r="B1600" s="695"/>
      <c r="C1600" s="197" t="str">
        <f>IF(B1600&lt;&gt;"",IFERROR(VLOOKUP(B:B,'מצבת והרשמה (2)'!$C$20:$N$520,2,0)," ")," ")</f>
        <v xml:space="preserve"> </v>
      </c>
      <c r="D1600" s="695"/>
      <c r="E1600" s="696"/>
      <c r="F1600" s="696"/>
      <c r="G1600" s="696"/>
      <c r="H1600" s="696"/>
      <c r="I1600" s="1050" t="str">
        <f t="shared" si="362"/>
        <v/>
      </c>
      <c r="J1600" s="696"/>
      <c r="K1600" s="697"/>
      <c r="L1600" s="696"/>
      <c r="M1600" s="198" t="str">
        <f t="shared" si="363"/>
        <v/>
      </c>
      <c r="N1600" s="369" t="str">
        <f t="shared" si="364"/>
        <v/>
      </c>
      <c r="O1600" s="183" t="str">
        <f t="shared" si="365"/>
        <v/>
      </c>
      <c r="P1600" s="199" t="str">
        <f t="shared" si="366"/>
        <v/>
      </c>
      <c r="Q1600" s="199" t="str">
        <f>IF(B1600="","",IFERROR(IF('עלויות כח אדם (6)'!J1600&gt;=VLOOKUP(I1600,'סיווג התפקידים והעלויות'!$B$23:$C$32,2,0),"תקין","לא תקין"),""))</f>
        <v/>
      </c>
      <c r="R1600" s="199" t="str">
        <f t="shared" si="367"/>
        <v/>
      </c>
      <c r="S1600" s="199" t="str">
        <f t="shared" si="368"/>
        <v/>
      </c>
      <c r="T1600" s="199" t="str">
        <f t="shared" si="376"/>
        <v/>
      </c>
      <c r="U1600" s="199" t="str">
        <f t="shared" si="369"/>
        <v/>
      </c>
      <c r="V1600" s="989"/>
      <c r="X1600" s="374" t="str">
        <f t="shared" si="370"/>
        <v/>
      </c>
      <c r="Y1600" s="375" t="str">
        <f t="shared" si="371"/>
        <v/>
      </c>
      <c r="Z1600" s="374" t="str">
        <f t="shared" si="372"/>
        <v/>
      </c>
      <c r="AA1600" s="374" t="b">
        <f t="shared" si="373"/>
        <v>1</v>
      </c>
      <c r="AB1600" s="374">
        <f>COUNTIFS(B:B,B1600,H:H,'סיווג התפקידים והעלויות'!$C$2)</f>
        <v>0</v>
      </c>
      <c r="AC1600" s="374">
        <f>COUNTIFS(B:B,B1600,H:H,'סיווג התפקידים והעלויות'!$D$2)</f>
        <v>0</v>
      </c>
      <c r="AD1600" s="374" t="str">
        <f>IF(OR(AND(H1600='סיווג התפקידים והעלויות'!$A$2,I1600='סיווג התפקידים והעלויות'!$A$3),'עלויות כח אדם (6)'!H1600='סיווג התפקידים והעלויות'!$C$2,'עלויות כח אדם (6)'!H1600='סיווג התפקידים והעלויות'!$D$2),IF('עלויות כח אדם (6)'!J1600&lt;75,"לא תקין","תקין"),"")</f>
        <v/>
      </c>
      <c r="AE1600" s="374" t="str">
        <f t="shared" si="374"/>
        <v/>
      </c>
      <c r="AF1600" s="532" t="str">
        <f t="shared" si="375"/>
        <v/>
      </c>
    </row>
    <row r="1601" spans="2:32" x14ac:dyDescent="0.25">
      <c r="B1601" s="695"/>
      <c r="C1601" s="197" t="str">
        <f>IF(B1601&lt;&gt;"",IFERROR(VLOOKUP(B:B,'מצבת והרשמה (2)'!$C$20:$N$520,2,0)," ")," ")</f>
        <v xml:space="preserve"> </v>
      </c>
      <c r="D1601" s="695"/>
      <c r="E1601" s="696"/>
      <c r="F1601" s="696"/>
      <c r="G1601" s="696"/>
      <c r="H1601" s="696"/>
      <c r="I1601" s="1050" t="str">
        <f t="shared" si="362"/>
        <v/>
      </c>
      <c r="J1601" s="696"/>
      <c r="K1601" s="697"/>
      <c r="L1601" s="696"/>
      <c r="M1601" s="198" t="str">
        <f t="shared" si="363"/>
        <v/>
      </c>
      <c r="N1601" s="369" t="str">
        <f t="shared" si="364"/>
        <v/>
      </c>
      <c r="O1601" s="183" t="str">
        <f t="shared" si="365"/>
        <v/>
      </c>
      <c r="P1601" s="199" t="str">
        <f t="shared" si="366"/>
        <v/>
      </c>
      <c r="Q1601" s="199" t="str">
        <f>IF(B1601="","",IFERROR(IF('עלויות כח אדם (6)'!J1601&gt;=VLOOKUP(I1601,'סיווג התפקידים והעלויות'!$B$23:$C$32,2,0),"תקין","לא תקין"),""))</f>
        <v/>
      </c>
      <c r="R1601" s="199" t="str">
        <f t="shared" si="367"/>
        <v/>
      </c>
      <c r="S1601" s="199" t="str">
        <f t="shared" si="368"/>
        <v/>
      </c>
      <c r="T1601" s="199" t="str">
        <f t="shared" si="376"/>
        <v/>
      </c>
      <c r="U1601" s="199" t="str">
        <f t="shared" si="369"/>
        <v/>
      </c>
      <c r="V1601" s="989"/>
      <c r="X1601" s="374" t="str">
        <f t="shared" si="370"/>
        <v/>
      </c>
      <c r="Y1601" s="375" t="str">
        <f t="shared" si="371"/>
        <v/>
      </c>
      <c r="Z1601" s="374" t="str">
        <f t="shared" si="372"/>
        <v/>
      </c>
      <c r="AA1601" s="374" t="b">
        <f t="shared" si="373"/>
        <v>1</v>
      </c>
      <c r="AB1601" s="374">
        <f>COUNTIFS(B:B,B1601,H:H,'סיווג התפקידים והעלויות'!$C$2)</f>
        <v>0</v>
      </c>
      <c r="AC1601" s="374">
        <f>COUNTIFS(B:B,B1601,H:H,'סיווג התפקידים והעלויות'!$D$2)</f>
        <v>0</v>
      </c>
      <c r="AD1601" s="374" t="str">
        <f>IF(OR(AND(H1601='סיווג התפקידים והעלויות'!$A$2,I1601='סיווג התפקידים והעלויות'!$A$3),'עלויות כח אדם (6)'!H1601='סיווג התפקידים והעלויות'!$C$2,'עלויות כח אדם (6)'!H1601='סיווג התפקידים והעלויות'!$D$2),IF('עלויות כח אדם (6)'!J1601&lt;75,"לא תקין","תקין"),"")</f>
        <v/>
      </c>
      <c r="AE1601" s="374" t="str">
        <f t="shared" si="374"/>
        <v/>
      </c>
      <c r="AF1601" s="532" t="str">
        <f t="shared" si="375"/>
        <v/>
      </c>
    </row>
    <row r="1602" spans="2:32" x14ac:dyDescent="0.25">
      <c r="B1602" s="695"/>
      <c r="C1602" s="197" t="str">
        <f>IF(B1602&lt;&gt;"",IFERROR(VLOOKUP(B:B,'מצבת והרשמה (2)'!$C$20:$N$520,2,0)," ")," ")</f>
        <v xml:space="preserve"> </v>
      </c>
      <c r="D1602" s="695"/>
      <c r="E1602" s="696"/>
      <c r="F1602" s="696"/>
      <c r="G1602" s="696"/>
      <c r="H1602" s="696"/>
      <c r="I1602" s="1050" t="str">
        <f t="shared" si="362"/>
        <v/>
      </c>
      <c r="J1602" s="696"/>
      <c r="K1602" s="697"/>
      <c r="L1602" s="696"/>
      <c r="M1602" s="198" t="str">
        <f t="shared" si="363"/>
        <v/>
      </c>
      <c r="N1602" s="369" t="str">
        <f t="shared" si="364"/>
        <v/>
      </c>
      <c r="O1602" s="183" t="str">
        <f t="shared" si="365"/>
        <v/>
      </c>
      <c r="P1602" s="199" t="str">
        <f t="shared" si="366"/>
        <v/>
      </c>
      <c r="Q1602" s="199" t="str">
        <f>IF(B1602="","",IFERROR(IF('עלויות כח אדם (6)'!J1602&gt;=VLOOKUP(I1602,'סיווג התפקידים והעלויות'!$B$23:$C$32,2,0),"תקין","לא תקין"),""))</f>
        <v/>
      </c>
      <c r="R1602" s="199" t="str">
        <f t="shared" si="367"/>
        <v/>
      </c>
      <c r="S1602" s="199" t="str">
        <f t="shared" si="368"/>
        <v/>
      </c>
      <c r="T1602" s="199" t="str">
        <f t="shared" si="376"/>
        <v/>
      </c>
      <c r="U1602" s="199" t="str">
        <f t="shared" si="369"/>
        <v/>
      </c>
      <c r="V1602" s="989"/>
      <c r="X1602" s="374" t="str">
        <f t="shared" si="370"/>
        <v/>
      </c>
      <c r="Y1602" s="375" t="str">
        <f t="shared" si="371"/>
        <v/>
      </c>
      <c r="Z1602" s="374" t="str">
        <f t="shared" si="372"/>
        <v/>
      </c>
      <c r="AA1602" s="374" t="b">
        <f t="shared" si="373"/>
        <v>1</v>
      </c>
      <c r="AB1602" s="374">
        <f>COUNTIFS(B:B,B1602,H:H,'סיווג התפקידים והעלויות'!$C$2)</f>
        <v>0</v>
      </c>
      <c r="AC1602" s="374">
        <f>COUNTIFS(B:B,B1602,H:H,'סיווג התפקידים והעלויות'!$D$2)</f>
        <v>0</v>
      </c>
      <c r="AD1602" s="374" t="str">
        <f>IF(OR(AND(H1602='סיווג התפקידים והעלויות'!$A$2,I1602='סיווג התפקידים והעלויות'!$A$3),'עלויות כח אדם (6)'!H1602='סיווג התפקידים והעלויות'!$C$2,'עלויות כח אדם (6)'!H1602='סיווג התפקידים והעלויות'!$D$2),IF('עלויות כח אדם (6)'!J1602&lt;75,"לא תקין","תקין"),"")</f>
        <v/>
      </c>
      <c r="AE1602" s="374" t="str">
        <f t="shared" si="374"/>
        <v/>
      </c>
      <c r="AF1602" s="532" t="str">
        <f t="shared" si="375"/>
        <v/>
      </c>
    </row>
    <row r="1603" spans="2:32" x14ac:dyDescent="0.25">
      <c r="B1603" s="695"/>
      <c r="C1603" s="197" t="str">
        <f>IF(B1603&lt;&gt;"",IFERROR(VLOOKUP(B:B,'מצבת והרשמה (2)'!$C$20:$N$520,2,0)," ")," ")</f>
        <v xml:space="preserve"> </v>
      </c>
      <c r="D1603" s="695"/>
      <c r="E1603" s="696"/>
      <c r="F1603" s="696"/>
      <c r="G1603" s="696"/>
      <c r="H1603" s="696"/>
      <c r="I1603" s="1050" t="str">
        <f t="shared" si="362"/>
        <v/>
      </c>
      <c r="J1603" s="696"/>
      <c r="K1603" s="697"/>
      <c r="L1603" s="696"/>
      <c r="M1603" s="198" t="str">
        <f t="shared" si="363"/>
        <v/>
      </c>
      <c r="N1603" s="369" t="str">
        <f t="shared" si="364"/>
        <v/>
      </c>
      <c r="O1603" s="183" t="str">
        <f t="shared" si="365"/>
        <v/>
      </c>
      <c r="P1603" s="199" t="str">
        <f t="shared" si="366"/>
        <v/>
      </c>
      <c r="Q1603" s="199" t="str">
        <f>IF(B1603="","",IFERROR(IF('עלויות כח אדם (6)'!J1603&gt;=VLOOKUP(I1603,'סיווג התפקידים והעלויות'!$B$23:$C$32,2,0),"תקין","לא תקין"),""))</f>
        <v/>
      </c>
      <c r="R1603" s="199" t="str">
        <f t="shared" si="367"/>
        <v/>
      </c>
      <c r="S1603" s="199" t="str">
        <f t="shared" si="368"/>
        <v/>
      </c>
      <c r="T1603" s="199" t="str">
        <f t="shared" si="376"/>
        <v/>
      </c>
      <c r="U1603" s="199" t="str">
        <f t="shared" si="369"/>
        <v/>
      </c>
      <c r="V1603" s="989"/>
      <c r="X1603" s="374" t="str">
        <f t="shared" si="370"/>
        <v/>
      </c>
      <c r="Y1603" s="375" t="str">
        <f t="shared" si="371"/>
        <v/>
      </c>
      <c r="Z1603" s="374" t="str">
        <f t="shared" si="372"/>
        <v/>
      </c>
      <c r="AA1603" s="374" t="b">
        <f t="shared" si="373"/>
        <v>1</v>
      </c>
      <c r="AB1603" s="374">
        <f>COUNTIFS(B:B,B1603,H:H,'סיווג התפקידים והעלויות'!$C$2)</f>
        <v>0</v>
      </c>
      <c r="AC1603" s="374">
        <f>COUNTIFS(B:B,B1603,H:H,'סיווג התפקידים והעלויות'!$D$2)</f>
        <v>0</v>
      </c>
      <c r="AD1603" s="374" t="str">
        <f>IF(OR(AND(H1603='סיווג התפקידים והעלויות'!$A$2,I1603='סיווג התפקידים והעלויות'!$A$3),'עלויות כח אדם (6)'!H1603='סיווג התפקידים והעלויות'!$C$2,'עלויות כח אדם (6)'!H1603='סיווג התפקידים והעלויות'!$D$2),IF('עלויות כח אדם (6)'!J1603&lt;75,"לא תקין","תקין"),"")</f>
        <v/>
      </c>
      <c r="AE1603" s="374" t="str">
        <f t="shared" si="374"/>
        <v/>
      </c>
      <c r="AF1603" s="532" t="str">
        <f t="shared" si="375"/>
        <v/>
      </c>
    </row>
    <row r="1604" spans="2:32" x14ac:dyDescent="0.25">
      <c r="B1604" s="695"/>
      <c r="C1604" s="197" t="str">
        <f>IF(B1604&lt;&gt;"",IFERROR(VLOOKUP(B:B,'מצבת והרשמה (2)'!$C$20:$N$520,2,0)," ")," ")</f>
        <v xml:space="preserve"> </v>
      </c>
      <c r="D1604" s="695"/>
      <c r="E1604" s="696"/>
      <c r="F1604" s="696"/>
      <c r="G1604" s="696"/>
      <c r="H1604" s="696"/>
      <c r="I1604" s="1050" t="str">
        <f t="shared" si="362"/>
        <v/>
      </c>
      <c r="J1604" s="696"/>
      <c r="K1604" s="697"/>
      <c r="L1604" s="696"/>
      <c r="M1604" s="198" t="str">
        <f t="shared" si="363"/>
        <v/>
      </c>
      <c r="N1604" s="369" t="str">
        <f t="shared" si="364"/>
        <v/>
      </c>
      <c r="O1604" s="183" t="str">
        <f t="shared" si="365"/>
        <v/>
      </c>
      <c r="P1604" s="199" t="str">
        <f t="shared" si="366"/>
        <v/>
      </c>
      <c r="Q1604" s="199" t="str">
        <f>IF(B1604="","",IFERROR(IF('עלויות כח אדם (6)'!J1604&gt;=VLOOKUP(I1604,'סיווג התפקידים והעלויות'!$B$23:$C$32,2,0),"תקין","לא תקין"),""))</f>
        <v/>
      </c>
      <c r="R1604" s="199" t="str">
        <f t="shared" si="367"/>
        <v/>
      </c>
      <c r="S1604" s="199" t="str">
        <f t="shared" si="368"/>
        <v/>
      </c>
      <c r="T1604" s="199" t="str">
        <f t="shared" si="376"/>
        <v/>
      </c>
      <c r="U1604" s="199" t="str">
        <f t="shared" si="369"/>
        <v/>
      </c>
      <c r="V1604" s="989"/>
      <c r="X1604" s="374" t="str">
        <f t="shared" si="370"/>
        <v/>
      </c>
      <c r="Y1604" s="375" t="str">
        <f t="shared" si="371"/>
        <v/>
      </c>
      <c r="Z1604" s="374" t="str">
        <f t="shared" si="372"/>
        <v/>
      </c>
      <c r="AA1604" s="374" t="b">
        <f t="shared" si="373"/>
        <v>1</v>
      </c>
      <c r="AB1604" s="374">
        <f>COUNTIFS(B:B,B1604,H:H,'סיווג התפקידים והעלויות'!$C$2)</f>
        <v>0</v>
      </c>
      <c r="AC1604" s="374">
        <f>COUNTIFS(B:B,B1604,H:H,'סיווג התפקידים והעלויות'!$D$2)</f>
        <v>0</v>
      </c>
      <c r="AD1604" s="374" t="str">
        <f>IF(OR(AND(H1604='סיווג התפקידים והעלויות'!$A$2,I1604='סיווג התפקידים והעלויות'!$A$3),'עלויות כח אדם (6)'!H1604='סיווג התפקידים והעלויות'!$C$2,'עלויות כח אדם (6)'!H1604='סיווג התפקידים והעלויות'!$D$2),IF('עלויות כח אדם (6)'!J1604&lt;75,"לא תקין","תקין"),"")</f>
        <v/>
      </c>
      <c r="AE1604" s="374" t="str">
        <f t="shared" si="374"/>
        <v/>
      </c>
      <c r="AF1604" s="532" t="str">
        <f t="shared" si="375"/>
        <v/>
      </c>
    </row>
    <row r="1605" spans="2:32" x14ac:dyDescent="0.25">
      <c r="B1605" s="695"/>
      <c r="C1605" s="197" t="str">
        <f>IF(B1605&lt;&gt;"",IFERROR(VLOOKUP(B:B,'מצבת והרשמה (2)'!$C$20:$N$520,2,0)," ")," ")</f>
        <v xml:space="preserve"> </v>
      </c>
      <c r="D1605" s="695"/>
      <c r="E1605" s="696"/>
      <c r="F1605" s="696"/>
      <c r="G1605" s="696"/>
      <c r="H1605" s="696"/>
      <c r="I1605" s="1050" t="str">
        <f t="shared" si="362"/>
        <v/>
      </c>
      <c r="J1605" s="696"/>
      <c r="K1605" s="697"/>
      <c r="L1605" s="696"/>
      <c r="M1605" s="198" t="str">
        <f t="shared" si="363"/>
        <v/>
      </c>
      <c r="N1605" s="369" t="str">
        <f t="shared" si="364"/>
        <v/>
      </c>
      <c r="O1605" s="183" t="str">
        <f t="shared" si="365"/>
        <v/>
      </c>
      <c r="P1605" s="199" t="str">
        <f t="shared" si="366"/>
        <v/>
      </c>
      <c r="Q1605" s="199" t="str">
        <f>IF(B1605="","",IFERROR(IF('עלויות כח אדם (6)'!J1605&gt;=VLOOKUP(I1605,'סיווג התפקידים והעלויות'!$B$23:$C$32,2,0),"תקין","לא תקין"),""))</f>
        <v/>
      </c>
      <c r="R1605" s="199" t="str">
        <f t="shared" si="367"/>
        <v/>
      </c>
      <c r="S1605" s="199" t="str">
        <f t="shared" si="368"/>
        <v/>
      </c>
      <c r="T1605" s="199" t="str">
        <f t="shared" si="376"/>
        <v/>
      </c>
      <c r="U1605" s="199" t="str">
        <f t="shared" si="369"/>
        <v/>
      </c>
      <c r="V1605" s="989"/>
      <c r="X1605" s="374" t="str">
        <f t="shared" si="370"/>
        <v/>
      </c>
      <c r="Y1605" s="375" t="str">
        <f t="shared" si="371"/>
        <v/>
      </c>
      <c r="Z1605" s="374" t="str">
        <f t="shared" si="372"/>
        <v/>
      </c>
      <c r="AA1605" s="374" t="b">
        <f t="shared" si="373"/>
        <v>1</v>
      </c>
      <c r="AB1605" s="374">
        <f>COUNTIFS(B:B,B1605,H:H,'סיווג התפקידים והעלויות'!$C$2)</f>
        <v>0</v>
      </c>
      <c r="AC1605" s="374">
        <f>COUNTIFS(B:B,B1605,H:H,'סיווג התפקידים והעלויות'!$D$2)</f>
        <v>0</v>
      </c>
      <c r="AD1605" s="374" t="str">
        <f>IF(OR(AND(H1605='סיווג התפקידים והעלויות'!$A$2,I1605='סיווג התפקידים והעלויות'!$A$3),'עלויות כח אדם (6)'!H1605='סיווג התפקידים והעלויות'!$C$2,'עלויות כח אדם (6)'!H1605='סיווג התפקידים והעלויות'!$D$2),IF('עלויות כח אדם (6)'!J1605&lt;75,"לא תקין","תקין"),"")</f>
        <v/>
      </c>
      <c r="AE1605" s="374" t="str">
        <f t="shared" si="374"/>
        <v/>
      </c>
      <c r="AF1605" s="532" t="str">
        <f t="shared" si="375"/>
        <v/>
      </c>
    </row>
    <row r="1606" spans="2:32" x14ac:dyDescent="0.25">
      <c r="B1606" s="695"/>
      <c r="C1606" s="197" t="str">
        <f>IF(B1606&lt;&gt;"",IFERROR(VLOOKUP(B:B,'מצבת והרשמה (2)'!$C$20:$N$520,2,0)," ")," ")</f>
        <v xml:space="preserve"> </v>
      </c>
      <c r="D1606" s="695"/>
      <c r="E1606" s="696"/>
      <c r="F1606" s="696"/>
      <c r="G1606" s="696"/>
      <c r="H1606" s="696"/>
      <c r="I1606" s="1050" t="str">
        <f t="shared" si="362"/>
        <v/>
      </c>
      <c r="J1606" s="696"/>
      <c r="K1606" s="697"/>
      <c r="L1606" s="696"/>
      <c r="M1606" s="198" t="str">
        <f t="shared" si="363"/>
        <v/>
      </c>
      <c r="N1606" s="369" t="str">
        <f t="shared" si="364"/>
        <v/>
      </c>
      <c r="O1606" s="183" t="str">
        <f t="shared" si="365"/>
        <v/>
      </c>
      <c r="P1606" s="199" t="str">
        <f t="shared" si="366"/>
        <v/>
      </c>
      <c r="Q1606" s="199" t="str">
        <f>IF(B1606="","",IFERROR(IF('עלויות כח אדם (6)'!J1606&gt;=VLOOKUP(I1606,'סיווג התפקידים והעלויות'!$B$23:$C$32,2,0),"תקין","לא תקין"),""))</f>
        <v/>
      </c>
      <c r="R1606" s="199" t="str">
        <f t="shared" si="367"/>
        <v/>
      </c>
      <c r="S1606" s="199" t="str">
        <f t="shared" si="368"/>
        <v/>
      </c>
      <c r="T1606" s="199" t="str">
        <f t="shared" si="376"/>
        <v/>
      </c>
      <c r="U1606" s="199" t="str">
        <f t="shared" si="369"/>
        <v/>
      </c>
      <c r="V1606" s="989"/>
      <c r="X1606" s="374" t="str">
        <f t="shared" si="370"/>
        <v/>
      </c>
      <c r="Y1606" s="375" t="str">
        <f t="shared" si="371"/>
        <v/>
      </c>
      <c r="Z1606" s="374" t="str">
        <f t="shared" si="372"/>
        <v/>
      </c>
      <c r="AA1606" s="374" t="b">
        <f t="shared" si="373"/>
        <v>1</v>
      </c>
      <c r="AB1606" s="374">
        <f>COUNTIFS(B:B,B1606,H:H,'סיווג התפקידים והעלויות'!$C$2)</f>
        <v>0</v>
      </c>
      <c r="AC1606" s="374">
        <f>COUNTIFS(B:B,B1606,H:H,'סיווג התפקידים והעלויות'!$D$2)</f>
        <v>0</v>
      </c>
      <c r="AD1606" s="374" t="str">
        <f>IF(OR(AND(H1606='סיווג התפקידים והעלויות'!$A$2,I1606='סיווג התפקידים והעלויות'!$A$3),'עלויות כח אדם (6)'!H1606='סיווג התפקידים והעלויות'!$C$2,'עלויות כח אדם (6)'!H1606='סיווג התפקידים והעלויות'!$D$2),IF('עלויות כח אדם (6)'!J1606&lt;75,"לא תקין","תקין"),"")</f>
        <v/>
      </c>
      <c r="AE1606" s="374" t="str">
        <f t="shared" si="374"/>
        <v/>
      </c>
      <c r="AF1606" s="532" t="str">
        <f t="shared" si="375"/>
        <v/>
      </c>
    </row>
    <row r="1607" spans="2:32" x14ac:dyDescent="0.25">
      <c r="B1607" s="695"/>
      <c r="C1607" s="197" t="str">
        <f>IF(B1607&lt;&gt;"",IFERROR(VLOOKUP(B:B,'מצבת והרשמה (2)'!$C$20:$N$520,2,0)," ")," ")</f>
        <v xml:space="preserve"> </v>
      </c>
      <c r="D1607" s="695"/>
      <c r="E1607" s="696"/>
      <c r="F1607" s="696"/>
      <c r="G1607" s="696"/>
      <c r="H1607" s="696"/>
      <c r="I1607" s="1050" t="str">
        <f t="shared" si="362"/>
        <v/>
      </c>
      <c r="J1607" s="696"/>
      <c r="K1607" s="697"/>
      <c r="L1607" s="696"/>
      <c r="M1607" s="198" t="str">
        <f t="shared" si="363"/>
        <v/>
      </c>
      <c r="N1607" s="369" t="str">
        <f t="shared" si="364"/>
        <v/>
      </c>
      <c r="O1607" s="183" t="str">
        <f t="shared" si="365"/>
        <v/>
      </c>
      <c r="P1607" s="199" t="str">
        <f t="shared" si="366"/>
        <v/>
      </c>
      <c r="Q1607" s="199" t="str">
        <f>IF(B1607="","",IFERROR(IF('עלויות כח אדם (6)'!J1607&gt;=VLOOKUP(I1607,'סיווג התפקידים והעלויות'!$B$23:$C$32,2,0),"תקין","לא תקין"),""))</f>
        <v/>
      </c>
      <c r="R1607" s="199" t="str">
        <f t="shared" si="367"/>
        <v/>
      </c>
      <c r="S1607" s="199" t="str">
        <f t="shared" si="368"/>
        <v/>
      </c>
      <c r="T1607" s="199" t="str">
        <f t="shared" si="376"/>
        <v/>
      </c>
      <c r="U1607" s="199" t="str">
        <f t="shared" si="369"/>
        <v/>
      </c>
      <c r="V1607" s="989"/>
      <c r="X1607" s="374" t="str">
        <f t="shared" si="370"/>
        <v/>
      </c>
      <c r="Y1607" s="375" t="str">
        <f t="shared" si="371"/>
        <v/>
      </c>
      <c r="Z1607" s="374" t="str">
        <f t="shared" si="372"/>
        <v/>
      </c>
      <c r="AA1607" s="374" t="b">
        <f t="shared" si="373"/>
        <v>1</v>
      </c>
      <c r="AB1607" s="374">
        <f>COUNTIFS(B:B,B1607,H:H,'סיווג התפקידים והעלויות'!$C$2)</f>
        <v>0</v>
      </c>
      <c r="AC1607" s="374">
        <f>COUNTIFS(B:B,B1607,H:H,'סיווג התפקידים והעלויות'!$D$2)</f>
        <v>0</v>
      </c>
      <c r="AD1607" s="374" t="str">
        <f>IF(OR(AND(H1607='סיווג התפקידים והעלויות'!$A$2,I1607='סיווג התפקידים והעלויות'!$A$3),'עלויות כח אדם (6)'!H1607='סיווג התפקידים והעלויות'!$C$2,'עלויות כח אדם (6)'!H1607='סיווג התפקידים והעלויות'!$D$2),IF('עלויות כח אדם (6)'!J1607&lt;75,"לא תקין","תקין"),"")</f>
        <v/>
      </c>
      <c r="AE1607" s="374" t="str">
        <f t="shared" si="374"/>
        <v/>
      </c>
      <c r="AF1607" s="532" t="str">
        <f t="shared" si="375"/>
        <v/>
      </c>
    </row>
    <row r="1608" spans="2:32" x14ac:dyDescent="0.25">
      <c r="B1608" s="695"/>
      <c r="C1608" s="197" t="str">
        <f>IF(B1608&lt;&gt;"",IFERROR(VLOOKUP(B:B,'מצבת והרשמה (2)'!$C$20:$N$520,2,0)," ")," ")</f>
        <v xml:space="preserve"> </v>
      </c>
      <c r="D1608" s="695"/>
      <c r="E1608" s="696"/>
      <c r="F1608" s="696"/>
      <c r="G1608" s="696"/>
      <c r="H1608" s="696"/>
      <c r="I1608" s="1050" t="str">
        <f t="shared" si="362"/>
        <v/>
      </c>
      <c r="J1608" s="696"/>
      <c r="K1608" s="697"/>
      <c r="L1608" s="696"/>
      <c r="M1608" s="198" t="str">
        <f t="shared" si="363"/>
        <v/>
      </c>
      <c r="N1608" s="369" t="str">
        <f t="shared" si="364"/>
        <v/>
      </c>
      <c r="O1608" s="183" t="str">
        <f t="shared" si="365"/>
        <v/>
      </c>
      <c r="P1608" s="199" t="str">
        <f t="shared" si="366"/>
        <v/>
      </c>
      <c r="Q1608" s="199" t="str">
        <f>IF(B1608="","",IFERROR(IF('עלויות כח אדם (6)'!J1608&gt;=VLOOKUP(I1608,'סיווג התפקידים והעלויות'!$B$23:$C$32,2,0),"תקין","לא תקין"),""))</f>
        <v/>
      </c>
      <c r="R1608" s="199" t="str">
        <f t="shared" si="367"/>
        <v/>
      </c>
      <c r="S1608" s="199" t="str">
        <f t="shared" si="368"/>
        <v/>
      </c>
      <c r="T1608" s="199" t="str">
        <f t="shared" si="376"/>
        <v/>
      </c>
      <c r="U1608" s="199" t="str">
        <f t="shared" si="369"/>
        <v/>
      </c>
      <c r="V1608" s="989"/>
      <c r="X1608" s="374" t="str">
        <f t="shared" si="370"/>
        <v/>
      </c>
      <c r="Y1608" s="375" t="str">
        <f t="shared" si="371"/>
        <v/>
      </c>
      <c r="Z1608" s="374" t="str">
        <f t="shared" si="372"/>
        <v/>
      </c>
      <c r="AA1608" s="374" t="b">
        <f t="shared" si="373"/>
        <v>1</v>
      </c>
      <c r="AB1608" s="374">
        <f>COUNTIFS(B:B,B1608,H:H,'סיווג התפקידים והעלויות'!$C$2)</f>
        <v>0</v>
      </c>
      <c r="AC1608" s="374">
        <f>COUNTIFS(B:B,B1608,H:H,'סיווג התפקידים והעלויות'!$D$2)</f>
        <v>0</v>
      </c>
      <c r="AD1608" s="374" t="str">
        <f>IF(OR(AND(H1608='סיווג התפקידים והעלויות'!$A$2,I1608='סיווג התפקידים והעלויות'!$A$3),'עלויות כח אדם (6)'!H1608='סיווג התפקידים והעלויות'!$C$2,'עלויות כח אדם (6)'!H1608='סיווג התפקידים והעלויות'!$D$2),IF('עלויות כח אדם (6)'!J1608&lt;75,"לא תקין","תקין"),"")</f>
        <v/>
      </c>
      <c r="AE1608" s="374" t="str">
        <f t="shared" si="374"/>
        <v/>
      </c>
      <c r="AF1608" s="532" t="str">
        <f t="shared" si="375"/>
        <v/>
      </c>
    </row>
    <row r="1609" spans="2:32" x14ac:dyDescent="0.25">
      <c r="B1609" s="695"/>
      <c r="C1609" s="197" t="str">
        <f>IF(B1609&lt;&gt;"",IFERROR(VLOOKUP(B:B,'מצבת והרשמה (2)'!$C$20:$N$520,2,0)," ")," ")</f>
        <v xml:space="preserve"> </v>
      </c>
      <c r="D1609" s="695"/>
      <c r="E1609" s="696"/>
      <c r="F1609" s="696"/>
      <c r="G1609" s="696"/>
      <c r="H1609" s="696"/>
      <c r="I1609" s="1050" t="str">
        <f t="shared" si="362"/>
        <v/>
      </c>
      <c r="J1609" s="696"/>
      <c r="K1609" s="697"/>
      <c r="L1609" s="696"/>
      <c r="M1609" s="198" t="str">
        <f t="shared" si="363"/>
        <v/>
      </c>
      <c r="N1609" s="369" t="str">
        <f t="shared" si="364"/>
        <v/>
      </c>
      <c r="O1609" s="183" t="str">
        <f t="shared" si="365"/>
        <v/>
      </c>
      <c r="P1609" s="199" t="str">
        <f t="shared" si="366"/>
        <v/>
      </c>
      <c r="Q1609" s="199" t="str">
        <f>IF(B1609="","",IFERROR(IF('עלויות כח אדם (6)'!J1609&gt;=VLOOKUP(I1609,'סיווג התפקידים והעלויות'!$B$23:$C$32,2,0),"תקין","לא תקין"),""))</f>
        <v/>
      </c>
      <c r="R1609" s="199" t="str">
        <f t="shared" si="367"/>
        <v/>
      </c>
      <c r="S1609" s="199" t="str">
        <f t="shared" si="368"/>
        <v/>
      </c>
      <c r="T1609" s="199" t="str">
        <f t="shared" si="376"/>
        <v/>
      </c>
      <c r="U1609" s="199" t="str">
        <f t="shared" si="369"/>
        <v/>
      </c>
      <c r="V1609" s="989"/>
      <c r="X1609" s="374" t="str">
        <f t="shared" si="370"/>
        <v/>
      </c>
      <c r="Y1609" s="375" t="str">
        <f t="shared" si="371"/>
        <v/>
      </c>
      <c r="Z1609" s="374" t="str">
        <f t="shared" si="372"/>
        <v/>
      </c>
      <c r="AA1609" s="374" t="b">
        <f t="shared" si="373"/>
        <v>1</v>
      </c>
      <c r="AB1609" s="374">
        <f>COUNTIFS(B:B,B1609,H:H,'סיווג התפקידים והעלויות'!$C$2)</f>
        <v>0</v>
      </c>
      <c r="AC1609" s="374">
        <f>COUNTIFS(B:B,B1609,H:H,'סיווג התפקידים והעלויות'!$D$2)</f>
        <v>0</v>
      </c>
      <c r="AD1609" s="374" t="str">
        <f>IF(OR(AND(H1609='סיווג התפקידים והעלויות'!$A$2,I1609='סיווג התפקידים והעלויות'!$A$3),'עלויות כח אדם (6)'!H1609='סיווג התפקידים והעלויות'!$C$2,'עלויות כח אדם (6)'!H1609='סיווג התפקידים והעלויות'!$D$2),IF('עלויות כח אדם (6)'!J1609&lt;75,"לא תקין","תקין"),"")</f>
        <v/>
      </c>
      <c r="AE1609" s="374" t="str">
        <f t="shared" si="374"/>
        <v/>
      </c>
      <c r="AF1609" s="532" t="str">
        <f t="shared" si="375"/>
        <v/>
      </c>
    </row>
    <row r="1610" spans="2:32" x14ac:dyDescent="0.25">
      <c r="B1610" s="695"/>
      <c r="C1610" s="197" t="str">
        <f>IF(B1610&lt;&gt;"",IFERROR(VLOOKUP(B:B,'מצבת והרשמה (2)'!$C$20:$N$520,2,0)," ")," ")</f>
        <v xml:space="preserve"> </v>
      </c>
      <c r="D1610" s="695"/>
      <c r="E1610" s="696"/>
      <c r="F1610" s="696"/>
      <c r="G1610" s="696"/>
      <c r="H1610" s="696"/>
      <c r="I1610" s="1050" t="str">
        <f t="shared" si="362"/>
        <v/>
      </c>
      <c r="J1610" s="696"/>
      <c r="K1610" s="697"/>
      <c r="L1610" s="696"/>
      <c r="M1610" s="198" t="str">
        <f t="shared" si="363"/>
        <v/>
      </c>
      <c r="N1610" s="369" t="str">
        <f t="shared" si="364"/>
        <v/>
      </c>
      <c r="O1610" s="183" t="str">
        <f t="shared" si="365"/>
        <v/>
      </c>
      <c r="P1610" s="199" t="str">
        <f t="shared" si="366"/>
        <v/>
      </c>
      <c r="Q1610" s="199" t="str">
        <f>IF(B1610="","",IFERROR(IF('עלויות כח אדם (6)'!J1610&gt;=VLOOKUP(I1610,'סיווג התפקידים והעלויות'!$B$23:$C$32,2,0),"תקין","לא תקין"),""))</f>
        <v/>
      </c>
      <c r="R1610" s="199" t="str">
        <f t="shared" si="367"/>
        <v/>
      </c>
      <c r="S1610" s="199" t="str">
        <f t="shared" si="368"/>
        <v/>
      </c>
      <c r="T1610" s="199" t="str">
        <f t="shared" si="376"/>
        <v/>
      </c>
      <c r="U1610" s="199" t="str">
        <f t="shared" si="369"/>
        <v/>
      </c>
      <c r="V1610" s="989"/>
      <c r="X1610" s="374" t="str">
        <f t="shared" si="370"/>
        <v/>
      </c>
      <c r="Y1610" s="375" t="str">
        <f t="shared" si="371"/>
        <v/>
      </c>
      <c r="Z1610" s="374" t="str">
        <f t="shared" si="372"/>
        <v/>
      </c>
      <c r="AA1610" s="374" t="b">
        <f t="shared" si="373"/>
        <v>1</v>
      </c>
      <c r="AB1610" s="374">
        <f>COUNTIFS(B:B,B1610,H:H,'סיווג התפקידים והעלויות'!$C$2)</f>
        <v>0</v>
      </c>
      <c r="AC1610" s="374">
        <f>COUNTIFS(B:B,B1610,H:H,'סיווג התפקידים והעלויות'!$D$2)</f>
        <v>0</v>
      </c>
      <c r="AD1610" s="374" t="str">
        <f>IF(OR(AND(H1610='סיווג התפקידים והעלויות'!$A$2,I1610='סיווג התפקידים והעלויות'!$A$3),'עלויות כח אדם (6)'!H1610='סיווג התפקידים והעלויות'!$C$2,'עלויות כח אדם (6)'!H1610='סיווג התפקידים והעלויות'!$D$2),IF('עלויות כח אדם (6)'!J1610&lt;75,"לא תקין","תקין"),"")</f>
        <v/>
      </c>
      <c r="AE1610" s="374" t="str">
        <f t="shared" si="374"/>
        <v/>
      </c>
      <c r="AF1610" s="532" t="str">
        <f t="shared" si="375"/>
        <v/>
      </c>
    </row>
    <row r="1611" spans="2:32" x14ac:dyDescent="0.25">
      <c r="B1611" s="695"/>
      <c r="C1611" s="197" t="str">
        <f>IF(B1611&lt;&gt;"",IFERROR(VLOOKUP(B:B,'מצבת והרשמה (2)'!$C$20:$N$520,2,0)," ")," ")</f>
        <v xml:space="preserve"> </v>
      </c>
      <c r="D1611" s="695"/>
      <c r="E1611" s="696"/>
      <c r="F1611" s="696"/>
      <c r="G1611" s="696"/>
      <c r="H1611" s="696"/>
      <c r="I1611" s="1050" t="str">
        <f t="shared" si="362"/>
        <v/>
      </c>
      <c r="J1611" s="696"/>
      <c r="K1611" s="697"/>
      <c r="L1611" s="696"/>
      <c r="M1611" s="198" t="str">
        <f t="shared" si="363"/>
        <v/>
      </c>
      <c r="N1611" s="369" t="str">
        <f t="shared" si="364"/>
        <v/>
      </c>
      <c r="O1611" s="183" t="str">
        <f t="shared" si="365"/>
        <v/>
      </c>
      <c r="P1611" s="199" t="str">
        <f t="shared" si="366"/>
        <v/>
      </c>
      <c r="Q1611" s="199" t="str">
        <f>IF(B1611="","",IFERROR(IF('עלויות כח אדם (6)'!J1611&gt;=VLOOKUP(I1611,'סיווג התפקידים והעלויות'!$B$23:$C$32,2,0),"תקין","לא תקין"),""))</f>
        <v/>
      </c>
      <c r="R1611" s="199" t="str">
        <f t="shared" si="367"/>
        <v/>
      </c>
      <c r="S1611" s="199" t="str">
        <f t="shared" si="368"/>
        <v/>
      </c>
      <c r="T1611" s="199" t="str">
        <f t="shared" si="376"/>
        <v/>
      </c>
      <c r="U1611" s="199" t="str">
        <f t="shared" si="369"/>
        <v/>
      </c>
      <c r="V1611" s="989"/>
      <c r="X1611" s="374" t="str">
        <f t="shared" si="370"/>
        <v/>
      </c>
      <c r="Y1611" s="375" t="str">
        <f t="shared" si="371"/>
        <v/>
      </c>
      <c r="Z1611" s="374" t="str">
        <f t="shared" si="372"/>
        <v/>
      </c>
      <c r="AA1611" s="374" t="b">
        <f t="shared" si="373"/>
        <v>1</v>
      </c>
      <c r="AB1611" s="374">
        <f>COUNTIFS(B:B,B1611,H:H,'סיווג התפקידים והעלויות'!$C$2)</f>
        <v>0</v>
      </c>
      <c r="AC1611" s="374">
        <f>COUNTIFS(B:B,B1611,H:H,'סיווג התפקידים והעלויות'!$D$2)</f>
        <v>0</v>
      </c>
      <c r="AD1611" s="374" t="str">
        <f>IF(OR(AND(H1611='סיווג התפקידים והעלויות'!$A$2,I1611='סיווג התפקידים והעלויות'!$A$3),'עלויות כח אדם (6)'!H1611='סיווג התפקידים והעלויות'!$C$2,'עלויות כח אדם (6)'!H1611='סיווג התפקידים והעלויות'!$D$2),IF('עלויות כח אדם (6)'!J1611&lt;75,"לא תקין","תקין"),"")</f>
        <v/>
      </c>
      <c r="AE1611" s="374" t="str">
        <f t="shared" si="374"/>
        <v/>
      </c>
      <c r="AF1611" s="532" t="str">
        <f t="shared" si="375"/>
        <v/>
      </c>
    </row>
    <row r="1612" spans="2:32" x14ac:dyDescent="0.25">
      <c r="B1612" s="695"/>
      <c r="C1612" s="197" t="str">
        <f>IF(B1612&lt;&gt;"",IFERROR(VLOOKUP(B:B,'מצבת והרשמה (2)'!$C$20:$N$520,2,0)," ")," ")</f>
        <v xml:space="preserve"> </v>
      </c>
      <c r="D1612" s="695"/>
      <c r="E1612" s="696"/>
      <c r="F1612" s="696"/>
      <c r="G1612" s="696"/>
      <c r="H1612" s="696"/>
      <c r="I1612" s="1050" t="str">
        <f t="shared" si="362"/>
        <v/>
      </c>
      <c r="J1612" s="696"/>
      <c r="K1612" s="697"/>
      <c r="L1612" s="696"/>
      <c r="M1612" s="198" t="str">
        <f t="shared" si="363"/>
        <v/>
      </c>
      <c r="N1612" s="369" t="str">
        <f t="shared" si="364"/>
        <v/>
      </c>
      <c r="O1612" s="183" t="str">
        <f t="shared" si="365"/>
        <v/>
      </c>
      <c r="P1612" s="199" t="str">
        <f t="shared" si="366"/>
        <v/>
      </c>
      <c r="Q1612" s="199" t="str">
        <f>IF(B1612="","",IFERROR(IF('עלויות כח אדם (6)'!J1612&gt;=VLOOKUP(I1612,'סיווג התפקידים והעלויות'!$B$23:$C$32,2,0),"תקין","לא תקין"),""))</f>
        <v/>
      </c>
      <c r="R1612" s="199" t="str">
        <f t="shared" si="367"/>
        <v/>
      </c>
      <c r="S1612" s="199" t="str">
        <f t="shared" si="368"/>
        <v/>
      </c>
      <c r="T1612" s="199" t="str">
        <f t="shared" si="376"/>
        <v/>
      </c>
      <c r="U1612" s="199" t="str">
        <f t="shared" si="369"/>
        <v/>
      </c>
      <c r="V1612" s="989"/>
      <c r="X1612" s="374" t="str">
        <f t="shared" si="370"/>
        <v/>
      </c>
      <c r="Y1612" s="375" t="str">
        <f t="shared" si="371"/>
        <v/>
      </c>
      <c r="Z1612" s="374" t="str">
        <f t="shared" si="372"/>
        <v/>
      </c>
      <c r="AA1612" s="374" t="b">
        <f t="shared" si="373"/>
        <v>1</v>
      </c>
      <c r="AB1612" s="374">
        <f>COUNTIFS(B:B,B1612,H:H,'סיווג התפקידים והעלויות'!$C$2)</f>
        <v>0</v>
      </c>
      <c r="AC1612" s="374">
        <f>COUNTIFS(B:B,B1612,H:H,'סיווג התפקידים והעלויות'!$D$2)</f>
        <v>0</v>
      </c>
      <c r="AD1612" s="374" t="str">
        <f>IF(OR(AND(H1612='סיווג התפקידים והעלויות'!$A$2,I1612='סיווג התפקידים והעלויות'!$A$3),'עלויות כח אדם (6)'!H1612='סיווג התפקידים והעלויות'!$C$2,'עלויות כח אדם (6)'!H1612='סיווג התפקידים והעלויות'!$D$2),IF('עלויות כח אדם (6)'!J1612&lt;75,"לא תקין","תקין"),"")</f>
        <v/>
      </c>
      <c r="AE1612" s="374" t="str">
        <f t="shared" si="374"/>
        <v/>
      </c>
      <c r="AF1612" s="532" t="str">
        <f t="shared" si="375"/>
        <v/>
      </c>
    </row>
    <row r="1613" spans="2:32" x14ac:dyDescent="0.25">
      <c r="B1613" s="695"/>
      <c r="C1613" s="197" t="str">
        <f>IF(B1613&lt;&gt;"",IFERROR(VLOOKUP(B:B,'מצבת והרשמה (2)'!$C$20:$N$520,2,0)," ")," ")</f>
        <v xml:space="preserve"> </v>
      </c>
      <c r="D1613" s="695"/>
      <c r="E1613" s="696"/>
      <c r="F1613" s="696"/>
      <c r="G1613" s="696"/>
      <c r="H1613" s="696"/>
      <c r="I1613" s="1050" t="str">
        <f t="shared" si="362"/>
        <v/>
      </c>
      <c r="J1613" s="696"/>
      <c r="K1613" s="697"/>
      <c r="L1613" s="696"/>
      <c r="M1613" s="198" t="str">
        <f t="shared" si="363"/>
        <v/>
      </c>
      <c r="N1613" s="369" t="str">
        <f t="shared" si="364"/>
        <v/>
      </c>
      <c r="O1613" s="183" t="str">
        <f t="shared" si="365"/>
        <v/>
      </c>
      <c r="P1613" s="199" t="str">
        <f t="shared" si="366"/>
        <v/>
      </c>
      <c r="Q1613" s="199" t="str">
        <f>IF(B1613="","",IFERROR(IF('עלויות כח אדם (6)'!J1613&gt;=VLOOKUP(I1613,'סיווג התפקידים והעלויות'!$B$23:$C$32,2,0),"תקין","לא תקין"),""))</f>
        <v/>
      </c>
      <c r="R1613" s="199" t="str">
        <f t="shared" si="367"/>
        <v/>
      </c>
      <c r="S1613" s="199" t="str">
        <f t="shared" si="368"/>
        <v/>
      </c>
      <c r="T1613" s="199" t="str">
        <f t="shared" si="376"/>
        <v/>
      </c>
      <c r="U1613" s="199" t="str">
        <f t="shared" si="369"/>
        <v/>
      </c>
      <c r="V1613" s="989"/>
      <c r="X1613" s="374" t="str">
        <f t="shared" si="370"/>
        <v/>
      </c>
      <c r="Y1613" s="375" t="str">
        <f t="shared" si="371"/>
        <v/>
      </c>
      <c r="Z1613" s="374" t="str">
        <f t="shared" si="372"/>
        <v/>
      </c>
      <c r="AA1613" s="374" t="b">
        <f t="shared" si="373"/>
        <v>1</v>
      </c>
      <c r="AB1613" s="374">
        <f>COUNTIFS(B:B,B1613,H:H,'סיווג התפקידים והעלויות'!$C$2)</f>
        <v>0</v>
      </c>
      <c r="AC1613" s="374">
        <f>COUNTIFS(B:B,B1613,H:H,'סיווג התפקידים והעלויות'!$D$2)</f>
        <v>0</v>
      </c>
      <c r="AD1613" s="374" t="str">
        <f>IF(OR(AND(H1613='סיווג התפקידים והעלויות'!$A$2,I1613='סיווג התפקידים והעלויות'!$A$3),'עלויות כח אדם (6)'!H1613='סיווג התפקידים והעלויות'!$C$2,'עלויות כח אדם (6)'!H1613='סיווג התפקידים והעלויות'!$D$2),IF('עלויות כח אדם (6)'!J1613&lt;75,"לא תקין","תקין"),"")</f>
        <v/>
      </c>
      <c r="AE1613" s="374" t="str">
        <f t="shared" si="374"/>
        <v/>
      </c>
      <c r="AF1613" s="532" t="str">
        <f t="shared" si="375"/>
        <v/>
      </c>
    </row>
    <row r="1614" spans="2:32" x14ac:dyDescent="0.25">
      <c r="B1614" s="695"/>
      <c r="C1614" s="197" t="str">
        <f>IF(B1614&lt;&gt;"",IFERROR(VLOOKUP(B:B,'מצבת והרשמה (2)'!$C$20:$N$520,2,0)," ")," ")</f>
        <v xml:space="preserve"> </v>
      </c>
      <c r="D1614" s="695"/>
      <c r="E1614" s="696"/>
      <c r="F1614" s="696"/>
      <c r="G1614" s="696"/>
      <c r="H1614" s="696"/>
      <c r="I1614" s="1050" t="str">
        <f t="shared" si="362"/>
        <v/>
      </c>
      <c r="J1614" s="696"/>
      <c r="K1614" s="697"/>
      <c r="L1614" s="696"/>
      <c r="M1614" s="198" t="str">
        <f t="shared" si="363"/>
        <v/>
      </c>
      <c r="N1614" s="369" t="str">
        <f t="shared" si="364"/>
        <v/>
      </c>
      <c r="O1614" s="183" t="str">
        <f t="shared" si="365"/>
        <v/>
      </c>
      <c r="P1614" s="199" t="str">
        <f t="shared" si="366"/>
        <v/>
      </c>
      <c r="Q1614" s="199" t="str">
        <f>IF(B1614="","",IFERROR(IF('עלויות כח אדם (6)'!J1614&gt;=VLOOKUP(I1614,'סיווג התפקידים והעלויות'!$B$23:$C$32,2,0),"תקין","לא תקין"),""))</f>
        <v/>
      </c>
      <c r="R1614" s="199" t="str">
        <f t="shared" si="367"/>
        <v/>
      </c>
      <c r="S1614" s="199" t="str">
        <f t="shared" si="368"/>
        <v/>
      </c>
      <c r="T1614" s="199" t="str">
        <f t="shared" si="376"/>
        <v/>
      </c>
      <c r="U1614" s="199" t="str">
        <f t="shared" si="369"/>
        <v/>
      </c>
      <c r="V1614" s="989"/>
      <c r="X1614" s="374" t="str">
        <f t="shared" si="370"/>
        <v/>
      </c>
      <c r="Y1614" s="375" t="str">
        <f t="shared" si="371"/>
        <v/>
      </c>
      <c r="Z1614" s="374" t="str">
        <f t="shared" si="372"/>
        <v/>
      </c>
      <c r="AA1614" s="374" t="b">
        <f t="shared" si="373"/>
        <v>1</v>
      </c>
      <c r="AB1614" s="374">
        <f>COUNTIFS(B:B,B1614,H:H,'סיווג התפקידים והעלויות'!$C$2)</f>
        <v>0</v>
      </c>
      <c r="AC1614" s="374">
        <f>COUNTIFS(B:B,B1614,H:H,'סיווג התפקידים והעלויות'!$D$2)</f>
        <v>0</v>
      </c>
      <c r="AD1614" s="374" t="str">
        <f>IF(OR(AND(H1614='סיווג התפקידים והעלויות'!$A$2,I1614='סיווג התפקידים והעלויות'!$A$3),'עלויות כח אדם (6)'!H1614='סיווג התפקידים והעלויות'!$C$2,'עלויות כח אדם (6)'!H1614='סיווג התפקידים והעלויות'!$D$2),IF('עלויות כח אדם (6)'!J1614&lt;75,"לא תקין","תקין"),"")</f>
        <v/>
      </c>
      <c r="AE1614" s="374" t="str">
        <f t="shared" si="374"/>
        <v/>
      </c>
      <c r="AF1614" s="532" t="str">
        <f t="shared" si="375"/>
        <v/>
      </c>
    </row>
    <row r="1615" spans="2:32" x14ac:dyDescent="0.25">
      <c r="B1615" s="695"/>
      <c r="C1615" s="197" t="str">
        <f>IF(B1615&lt;&gt;"",IFERROR(VLOOKUP(B:B,'מצבת והרשמה (2)'!$C$20:$N$520,2,0)," ")," ")</f>
        <v xml:space="preserve"> </v>
      </c>
      <c r="D1615" s="695"/>
      <c r="E1615" s="696"/>
      <c r="F1615" s="696"/>
      <c r="G1615" s="696"/>
      <c r="H1615" s="696"/>
      <c r="I1615" s="1050" t="str">
        <f t="shared" ref="I1615:I1678" si="377">SUBSTITUTE(IFERROR(IF(H1615="מדצ","מדצ/ית",IF(H1615="סגנית רכזת מעל 150","סגנ/ית רכז/ת&gt;150",IF(H1615="רכזת תכנית בבית הספר","רכז/ת תכנית בבית הספר"))),""),"FALSE","")</f>
        <v/>
      </c>
      <c r="J1615" s="696"/>
      <c r="K1615" s="697"/>
      <c r="L1615" s="696"/>
      <c r="M1615" s="198" t="str">
        <f t="shared" ref="M1615:M1678" si="378">IF(AND(L1615&gt;0,K1615&gt;0),K1615*L1615,"")</f>
        <v/>
      </c>
      <c r="N1615" s="369" t="str">
        <f t="shared" ref="N1615:N1678" si="379">TEXT(LEFT(H1615,2),0)</f>
        <v/>
      </c>
      <c r="O1615" s="183" t="str">
        <f t="shared" ref="O1615:O1678" si="380">IF(ISNUMBER(M1615&gt;0),IF(ISBLANK(B1615),"יש להזין סמל מוסד בעמודה B",""),"")</f>
        <v/>
      </c>
      <c r="P1615" s="199" t="str">
        <f t="shared" ref="P1615:P1678" si="381">IF(B1615="","",IF(AA1615=FALSE,"לא תקין","תקין"))</f>
        <v/>
      </c>
      <c r="Q1615" s="199" t="str">
        <f>IF(B1615="","",IFERROR(IF('עלויות כח אדם (6)'!J1615&gt;=VLOOKUP(I1615,'סיווג התפקידים והעלויות'!$B$23:$C$32,2,0),"תקין","לא תקין"),""))</f>
        <v/>
      </c>
      <c r="R1615" s="199" t="str">
        <f t="shared" ref="R1615:R1678" si="382">IF(B1615="","",IF(OR(Y1615&lt;100%,Y1615&gt;140%),"לא תקין","תקין"))</f>
        <v/>
      </c>
      <c r="S1615" s="199" t="str">
        <f t="shared" ref="S1615:S1678" si="383">IF(B1615="","",IFERROR(IF(J1615&gt;120,"לא תקין","תקין"),""))</f>
        <v/>
      </c>
      <c r="T1615" s="199" t="str">
        <f t="shared" si="376"/>
        <v/>
      </c>
      <c r="U1615" s="199" t="str">
        <f t="shared" ref="U1615:U1678" si="384">IF(B1615="","",IF(Z1615&gt;1,IF(SUMIF(D:D,D1615,L:L)&gt;90,"לא תקין","תקין"),"תקין"))</f>
        <v/>
      </c>
      <c r="V1615" s="989"/>
      <c r="X1615" s="374" t="str">
        <f t="shared" ref="X1615:X1678" si="385">IF(B1615="","",IF(OR(R1615="לא תקין",S1615="לא תקין",T1615="לא תקין",,U1615="לא תקין"),"לא תקין","תקין"))</f>
        <v/>
      </c>
      <c r="Y1615" s="375" t="str">
        <f t="shared" ref="Y1615:Y1678" si="386">IFERROR(IF(B1615="","",K1615/J1615),"")</f>
        <v/>
      </c>
      <c r="Z1615" s="374" t="str">
        <f t="shared" ref="Z1615:Z1678" si="387">IF(B1615="","",COUNTIF(D:D,D1615))</f>
        <v/>
      </c>
      <c r="AA1615" s="374" t="b">
        <f t="shared" ref="AA1615:AA1678" si="388">MOD(MID(REPT(0,9-LEN(D1615))&amp;D1615,1,1)+MID("0246813579",MID(REPT(0,9-LEN(D1615))&amp;D1615,2,1)+1,1)+MID(REPT(0,9-LEN(D1615))&amp;D1615,3,1)+MID("0246813579",MID(REPT(0,9-LEN(D1615))&amp;D1615,4,1)+1,1)+MID(REPT(0,9-LEN(D1615))&amp;D1615,5,1)+MID("0246813579",MID(REPT(0,9-LEN(D1615))&amp;D1615,6,1)+1,1)+MID(REPT(0,9-LEN(D1615))&amp;D1615,7,1)+MID("0246813579",MID(REPT(0,9-LEN(D1615))&amp;D1615,8,1)+1,1)+MID(REPT(0,9-LEN(D1615))&amp;D1615,9,1),10)=0</f>
        <v>1</v>
      </c>
      <c r="AB1615" s="374">
        <f>COUNTIFS(B:B,B1615,H:H,'סיווג התפקידים והעלויות'!$C$2)</f>
        <v>0</v>
      </c>
      <c r="AC1615" s="374">
        <f>COUNTIFS(B:B,B1615,H:H,'סיווג התפקידים והעלויות'!$D$2)</f>
        <v>0</v>
      </c>
      <c r="AD1615" s="374" t="str">
        <f>IF(OR(AND(H1615='סיווג התפקידים והעלויות'!$A$2,I1615='סיווג התפקידים והעלויות'!$A$3),'עלויות כח אדם (6)'!H1615='סיווג התפקידים והעלויות'!$C$2,'עלויות כח אדם (6)'!H1615='סיווג התפקידים והעלויות'!$D$2),IF('עלויות כח אדם (6)'!J1615&lt;75,"לא תקין","תקין"),"")</f>
        <v/>
      </c>
      <c r="AE1615" s="374" t="str">
        <f t="shared" ref="AE1615:AE1678" si="389">IF(B1615&lt;&gt;"",B1615&amp;H1615,"")</f>
        <v/>
      </c>
      <c r="AF1615" s="532" t="str">
        <f t="shared" ref="AF1615:AF1678" si="390">M1615</f>
        <v/>
      </c>
    </row>
    <row r="1616" spans="2:32" x14ac:dyDescent="0.25">
      <c r="B1616" s="695"/>
      <c r="C1616" s="197" t="str">
        <f>IF(B1616&lt;&gt;"",IFERROR(VLOOKUP(B:B,'מצבת והרשמה (2)'!$C$20:$N$520,2,0)," ")," ")</f>
        <v xml:space="preserve"> </v>
      </c>
      <c r="D1616" s="695"/>
      <c r="E1616" s="696"/>
      <c r="F1616" s="696"/>
      <c r="G1616" s="696"/>
      <c r="H1616" s="696"/>
      <c r="I1616" s="1050" t="str">
        <f t="shared" si="377"/>
        <v/>
      </c>
      <c r="J1616" s="696"/>
      <c r="K1616" s="697"/>
      <c r="L1616" s="696"/>
      <c r="M1616" s="198" t="str">
        <f t="shared" si="378"/>
        <v/>
      </c>
      <c r="N1616" s="369" t="str">
        <f t="shared" si="379"/>
        <v/>
      </c>
      <c r="O1616" s="183" t="str">
        <f t="shared" si="380"/>
        <v/>
      </c>
      <c r="P1616" s="199" t="str">
        <f t="shared" si="381"/>
        <v/>
      </c>
      <c r="Q1616" s="199" t="str">
        <f>IF(B1616="","",IFERROR(IF('עלויות כח אדם (6)'!J1616&gt;=VLOOKUP(I1616,'סיווג התפקידים והעלויות'!$B$23:$C$32,2,0),"תקין","לא תקין"),""))</f>
        <v/>
      </c>
      <c r="R1616" s="199" t="str">
        <f t="shared" si="382"/>
        <v/>
      </c>
      <c r="S1616" s="199" t="str">
        <f t="shared" si="383"/>
        <v/>
      </c>
      <c r="T1616" s="199" t="str">
        <f t="shared" ref="T1616:T1679" si="391">IF(B1616="","",IF(H1616="","יש להזין איש צוות",IF(OR(H1616="מורה",H1616="גננת",H1616="רכז גן",H1616="רכזת גן",H1616="סייעת",H1616="מדצית",H1616="מדצ",H1616="מדריך",H1616="מדריכה",H1616="תוספת כח אדם"),IF(L1616&lt;=90,"תקין","לא תקין"),IF(OR(H1616="רכז בית ספר",H1616="רכזת תכנית בבית הספר",H1616="רכזת בית ספר"),IF(L1616&lt;=137,"תקין","לא תקין"),IF(OR(H1616="סגנית רכזת מעל 150",H1616="סגן רכז"),IF(L1616&lt;=93,"תקין","לא תקין"),"לא תקין")))))</f>
        <v/>
      </c>
      <c r="U1616" s="199" t="str">
        <f t="shared" si="384"/>
        <v/>
      </c>
      <c r="V1616" s="989"/>
      <c r="X1616" s="374" t="str">
        <f t="shared" si="385"/>
        <v/>
      </c>
      <c r="Y1616" s="375" t="str">
        <f t="shared" si="386"/>
        <v/>
      </c>
      <c r="Z1616" s="374" t="str">
        <f t="shared" si="387"/>
        <v/>
      </c>
      <c r="AA1616" s="374" t="b">
        <f t="shared" si="388"/>
        <v>1</v>
      </c>
      <c r="AB1616" s="374">
        <f>COUNTIFS(B:B,B1616,H:H,'סיווג התפקידים והעלויות'!$C$2)</f>
        <v>0</v>
      </c>
      <c r="AC1616" s="374">
        <f>COUNTIFS(B:B,B1616,H:H,'סיווג התפקידים והעלויות'!$D$2)</f>
        <v>0</v>
      </c>
      <c r="AD1616" s="374" t="str">
        <f>IF(OR(AND(H1616='סיווג התפקידים והעלויות'!$A$2,I1616='סיווג התפקידים והעלויות'!$A$3),'עלויות כח אדם (6)'!H1616='סיווג התפקידים והעלויות'!$C$2,'עלויות כח אדם (6)'!H1616='סיווג התפקידים והעלויות'!$D$2),IF('עלויות כח אדם (6)'!J1616&lt;75,"לא תקין","תקין"),"")</f>
        <v/>
      </c>
      <c r="AE1616" s="374" t="str">
        <f t="shared" si="389"/>
        <v/>
      </c>
      <c r="AF1616" s="532" t="str">
        <f t="shared" si="390"/>
        <v/>
      </c>
    </row>
    <row r="1617" spans="2:32" x14ac:dyDescent="0.25">
      <c r="B1617" s="695"/>
      <c r="C1617" s="197" t="str">
        <f>IF(B1617&lt;&gt;"",IFERROR(VLOOKUP(B:B,'מצבת והרשמה (2)'!$C$20:$N$520,2,0)," ")," ")</f>
        <v xml:space="preserve"> </v>
      </c>
      <c r="D1617" s="695"/>
      <c r="E1617" s="696"/>
      <c r="F1617" s="696"/>
      <c r="G1617" s="696"/>
      <c r="H1617" s="696"/>
      <c r="I1617" s="1050" t="str">
        <f t="shared" si="377"/>
        <v/>
      </c>
      <c r="J1617" s="696"/>
      <c r="K1617" s="697"/>
      <c r="L1617" s="696"/>
      <c r="M1617" s="198" t="str">
        <f t="shared" si="378"/>
        <v/>
      </c>
      <c r="N1617" s="369" t="str">
        <f t="shared" si="379"/>
        <v/>
      </c>
      <c r="O1617" s="183" t="str">
        <f t="shared" si="380"/>
        <v/>
      </c>
      <c r="P1617" s="199" t="str">
        <f t="shared" si="381"/>
        <v/>
      </c>
      <c r="Q1617" s="199" t="str">
        <f>IF(B1617="","",IFERROR(IF('עלויות כח אדם (6)'!J1617&gt;=VLOOKUP(I1617,'סיווג התפקידים והעלויות'!$B$23:$C$32,2,0),"תקין","לא תקין"),""))</f>
        <v/>
      </c>
      <c r="R1617" s="199" t="str">
        <f t="shared" si="382"/>
        <v/>
      </c>
      <c r="S1617" s="199" t="str">
        <f t="shared" si="383"/>
        <v/>
      </c>
      <c r="T1617" s="199" t="str">
        <f t="shared" si="391"/>
        <v/>
      </c>
      <c r="U1617" s="199" t="str">
        <f t="shared" si="384"/>
        <v/>
      </c>
      <c r="V1617" s="989"/>
      <c r="X1617" s="374" t="str">
        <f t="shared" si="385"/>
        <v/>
      </c>
      <c r="Y1617" s="375" t="str">
        <f t="shared" si="386"/>
        <v/>
      </c>
      <c r="Z1617" s="374" t="str">
        <f t="shared" si="387"/>
        <v/>
      </c>
      <c r="AA1617" s="374" t="b">
        <f t="shared" si="388"/>
        <v>1</v>
      </c>
      <c r="AB1617" s="374">
        <f>COUNTIFS(B:B,B1617,H:H,'סיווג התפקידים והעלויות'!$C$2)</f>
        <v>0</v>
      </c>
      <c r="AC1617" s="374">
        <f>COUNTIFS(B:B,B1617,H:H,'סיווג התפקידים והעלויות'!$D$2)</f>
        <v>0</v>
      </c>
      <c r="AD1617" s="374" t="str">
        <f>IF(OR(AND(H1617='סיווג התפקידים והעלויות'!$A$2,I1617='סיווג התפקידים והעלויות'!$A$3),'עלויות כח אדם (6)'!H1617='סיווג התפקידים והעלויות'!$C$2,'עלויות כח אדם (6)'!H1617='סיווג התפקידים והעלויות'!$D$2),IF('עלויות כח אדם (6)'!J1617&lt;75,"לא תקין","תקין"),"")</f>
        <v/>
      </c>
      <c r="AE1617" s="374" t="str">
        <f t="shared" si="389"/>
        <v/>
      </c>
      <c r="AF1617" s="532" t="str">
        <f t="shared" si="390"/>
        <v/>
      </c>
    </row>
    <row r="1618" spans="2:32" x14ac:dyDescent="0.25">
      <c r="B1618" s="695"/>
      <c r="C1618" s="197" t="str">
        <f>IF(B1618&lt;&gt;"",IFERROR(VLOOKUP(B:B,'מצבת והרשמה (2)'!$C$20:$N$520,2,0)," ")," ")</f>
        <v xml:space="preserve"> </v>
      </c>
      <c r="D1618" s="695"/>
      <c r="E1618" s="696"/>
      <c r="F1618" s="696"/>
      <c r="G1618" s="696"/>
      <c r="H1618" s="696"/>
      <c r="I1618" s="1050" t="str">
        <f t="shared" si="377"/>
        <v/>
      </c>
      <c r="J1618" s="696"/>
      <c r="K1618" s="697"/>
      <c r="L1618" s="696"/>
      <c r="M1618" s="198" t="str">
        <f t="shared" si="378"/>
        <v/>
      </c>
      <c r="N1618" s="369" t="str">
        <f t="shared" si="379"/>
        <v/>
      </c>
      <c r="O1618" s="183" t="str">
        <f t="shared" si="380"/>
        <v/>
      </c>
      <c r="P1618" s="199" t="str">
        <f t="shared" si="381"/>
        <v/>
      </c>
      <c r="Q1618" s="199" t="str">
        <f>IF(B1618="","",IFERROR(IF('עלויות כח אדם (6)'!J1618&gt;=VLOOKUP(I1618,'סיווג התפקידים והעלויות'!$B$23:$C$32,2,0),"תקין","לא תקין"),""))</f>
        <v/>
      </c>
      <c r="R1618" s="199" t="str">
        <f t="shared" si="382"/>
        <v/>
      </c>
      <c r="S1618" s="199" t="str">
        <f t="shared" si="383"/>
        <v/>
      </c>
      <c r="T1618" s="199" t="str">
        <f t="shared" si="391"/>
        <v/>
      </c>
      <c r="U1618" s="199" t="str">
        <f t="shared" si="384"/>
        <v/>
      </c>
      <c r="V1618" s="989"/>
      <c r="X1618" s="374" t="str">
        <f t="shared" si="385"/>
        <v/>
      </c>
      <c r="Y1618" s="375" t="str">
        <f t="shared" si="386"/>
        <v/>
      </c>
      <c r="Z1618" s="374" t="str">
        <f t="shared" si="387"/>
        <v/>
      </c>
      <c r="AA1618" s="374" t="b">
        <f t="shared" si="388"/>
        <v>1</v>
      </c>
      <c r="AB1618" s="374">
        <f>COUNTIFS(B:B,B1618,H:H,'סיווג התפקידים והעלויות'!$C$2)</f>
        <v>0</v>
      </c>
      <c r="AC1618" s="374">
        <f>COUNTIFS(B:B,B1618,H:H,'סיווג התפקידים והעלויות'!$D$2)</f>
        <v>0</v>
      </c>
      <c r="AD1618" s="374" t="str">
        <f>IF(OR(AND(H1618='סיווג התפקידים והעלויות'!$A$2,I1618='סיווג התפקידים והעלויות'!$A$3),'עלויות כח אדם (6)'!H1618='סיווג התפקידים והעלויות'!$C$2,'עלויות כח אדם (6)'!H1618='סיווג התפקידים והעלויות'!$D$2),IF('עלויות כח אדם (6)'!J1618&lt;75,"לא תקין","תקין"),"")</f>
        <v/>
      </c>
      <c r="AE1618" s="374" t="str">
        <f t="shared" si="389"/>
        <v/>
      </c>
      <c r="AF1618" s="532" t="str">
        <f t="shared" si="390"/>
        <v/>
      </c>
    </row>
    <row r="1619" spans="2:32" x14ac:dyDescent="0.25">
      <c r="B1619" s="695"/>
      <c r="C1619" s="197" t="str">
        <f>IF(B1619&lt;&gt;"",IFERROR(VLOOKUP(B:B,'מצבת והרשמה (2)'!$C$20:$N$520,2,0)," ")," ")</f>
        <v xml:space="preserve"> </v>
      </c>
      <c r="D1619" s="695"/>
      <c r="E1619" s="696"/>
      <c r="F1619" s="696"/>
      <c r="G1619" s="696"/>
      <c r="H1619" s="696"/>
      <c r="I1619" s="1050" t="str">
        <f t="shared" si="377"/>
        <v/>
      </c>
      <c r="J1619" s="696"/>
      <c r="K1619" s="697"/>
      <c r="L1619" s="696"/>
      <c r="M1619" s="198" t="str">
        <f t="shared" si="378"/>
        <v/>
      </c>
      <c r="N1619" s="369" t="str">
        <f t="shared" si="379"/>
        <v/>
      </c>
      <c r="O1619" s="183" t="str">
        <f t="shared" si="380"/>
        <v/>
      </c>
      <c r="P1619" s="199" t="str">
        <f t="shared" si="381"/>
        <v/>
      </c>
      <c r="Q1619" s="199" t="str">
        <f>IF(B1619="","",IFERROR(IF('עלויות כח אדם (6)'!J1619&gt;=VLOOKUP(I1619,'סיווג התפקידים והעלויות'!$B$23:$C$32,2,0),"תקין","לא תקין"),""))</f>
        <v/>
      </c>
      <c r="R1619" s="199" t="str">
        <f t="shared" si="382"/>
        <v/>
      </c>
      <c r="S1619" s="199" t="str">
        <f t="shared" si="383"/>
        <v/>
      </c>
      <c r="T1619" s="199" t="str">
        <f t="shared" si="391"/>
        <v/>
      </c>
      <c r="U1619" s="199" t="str">
        <f t="shared" si="384"/>
        <v/>
      </c>
      <c r="V1619" s="989"/>
      <c r="X1619" s="374" t="str">
        <f t="shared" si="385"/>
        <v/>
      </c>
      <c r="Y1619" s="375" t="str">
        <f t="shared" si="386"/>
        <v/>
      </c>
      <c r="Z1619" s="374" t="str">
        <f t="shared" si="387"/>
        <v/>
      </c>
      <c r="AA1619" s="374" t="b">
        <f t="shared" si="388"/>
        <v>1</v>
      </c>
      <c r="AB1619" s="374">
        <f>COUNTIFS(B:B,B1619,H:H,'סיווג התפקידים והעלויות'!$C$2)</f>
        <v>0</v>
      </c>
      <c r="AC1619" s="374">
        <f>COUNTIFS(B:B,B1619,H:H,'סיווג התפקידים והעלויות'!$D$2)</f>
        <v>0</v>
      </c>
      <c r="AD1619" s="374" t="str">
        <f>IF(OR(AND(H1619='סיווג התפקידים והעלויות'!$A$2,I1619='סיווג התפקידים והעלויות'!$A$3),'עלויות כח אדם (6)'!H1619='סיווג התפקידים והעלויות'!$C$2,'עלויות כח אדם (6)'!H1619='סיווג התפקידים והעלויות'!$D$2),IF('עלויות כח אדם (6)'!J1619&lt;75,"לא תקין","תקין"),"")</f>
        <v/>
      </c>
      <c r="AE1619" s="374" t="str">
        <f t="shared" si="389"/>
        <v/>
      </c>
      <c r="AF1619" s="532" t="str">
        <f t="shared" si="390"/>
        <v/>
      </c>
    </row>
    <row r="1620" spans="2:32" x14ac:dyDescent="0.25">
      <c r="B1620" s="695"/>
      <c r="C1620" s="197" t="str">
        <f>IF(B1620&lt;&gt;"",IFERROR(VLOOKUP(B:B,'מצבת והרשמה (2)'!$C$20:$N$520,2,0)," ")," ")</f>
        <v xml:space="preserve"> </v>
      </c>
      <c r="D1620" s="695"/>
      <c r="E1620" s="696"/>
      <c r="F1620" s="696"/>
      <c r="G1620" s="696"/>
      <c r="H1620" s="696"/>
      <c r="I1620" s="1050" t="str">
        <f t="shared" si="377"/>
        <v/>
      </c>
      <c r="J1620" s="696"/>
      <c r="K1620" s="697"/>
      <c r="L1620" s="696"/>
      <c r="M1620" s="198" t="str">
        <f t="shared" si="378"/>
        <v/>
      </c>
      <c r="N1620" s="369" t="str">
        <f t="shared" si="379"/>
        <v/>
      </c>
      <c r="O1620" s="183" t="str">
        <f t="shared" si="380"/>
        <v/>
      </c>
      <c r="P1620" s="199" t="str">
        <f t="shared" si="381"/>
        <v/>
      </c>
      <c r="Q1620" s="199" t="str">
        <f>IF(B1620="","",IFERROR(IF('עלויות כח אדם (6)'!J1620&gt;=VLOOKUP(I1620,'סיווג התפקידים והעלויות'!$B$23:$C$32,2,0),"תקין","לא תקין"),""))</f>
        <v/>
      </c>
      <c r="R1620" s="199" t="str">
        <f t="shared" si="382"/>
        <v/>
      </c>
      <c r="S1620" s="199" t="str">
        <f t="shared" si="383"/>
        <v/>
      </c>
      <c r="T1620" s="199" t="str">
        <f t="shared" si="391"/>
        <v/>
      </c>
      <c r="U1620" s="199" t="str">
        <f t="shared" si="384"/>
        <v/>
      </c>
      <c r="V1620" s="989"/>
      <c r="X1620" s="374" t="str">
        <f t="shared" si="385"/>
        <v/>
      </c>
      <c r="Y1620" s="375" t="str">
        <f t="shared" si="386"/>
        <v/>
      </c>
      <c r="Z1620" s="374" t="str">
        <f t="shared" si="387"/>
        <v/>
      </c>
      <c r="AA1620" s="374" t="b">
        <f t="shared" si="388"/>
        <v>1</v>
      </c>
      <c r="AB1620" s="374">
        <f>COUNTIFS(B:B,B1620,H:H,'סיווג התפקידים והעלויות'!$C$2)</f>
        <v>0</v>
      </c>
      <c r="AC1620" s="374">
        <f>COUNTIFS(B:B,B1620,H:H,'סיווג התפקידים והעלויות'!$D$2)</f>
        <v>0</v>
      </c>
      <c r="AD1620" s="374" t="str">
        <f>IF(OR(AND(H1620='סיווג התפקידים והעלויות'!$A$2,I1620='סיווג התפקידים והעלויות'!$A$3),'עלויות כח אדם (6)'!H1620='סיווג התפקידים והעלויות'!$C$2,'עלויות כח אדם (6)'!H1620='סיווג התפקידים והעלויות'!$D$2),IF('עלויות כח אדם (6)'!J1620&lt;75,"לא תקין","תקין"),"")</f>
        <v/>
      </c>
      <c r="AE1620" s="374" t="str">
        <f t="shared" si="389"/>
        <v/>
      </c>
      <c r="AF1620" s="532" t="str">
        <f t="shared" si="390"/>
        <v/>
      </c>
    </row>
    <row r="1621" spans="2:32" x14ac:dyDescent="0.25">
      <c r="B1621" s="695"/>
      <c r="C1621" s="197" t="str">
        <f>IF(B1621&lt;&gt;"",IFERROR(VLOOKUP(B:B,'מצבת והרשמה (2)'!$C$20:$N$520,2,0)," ")," ")</f>
        <v xml:space="preserve"> </v>
      </c>
      <c r="D1621" s="695"/>
      <c r="E1621" s="696"/>
      <c r="F1621" s="696"/>
      <c r="G1621" s="696"/>
      <c r="H1621" s="696"/>
      <c r="I1621" s="1050" t="str">
        <f t="shared" si="377"/>
        <v/>
      </c>
      <c r="J1621" s="696"/>
      <c r="K1621" s="697"/>
      <c r="L1621" s="696"/>
      <c r="M1621" s="198" t="str">
        <f t="shared" si="378"/>
        <v/>
      </c>
      <c r="N1621" s="369" t="str">
        <f t="shared" si="379"/>
        <v/>
      </c>
      <c r="O1621" s="183" t="str">
        <f t="shared" si="380"/>
        <v/>
      </c>
      <c r="P1621" s="199" t="str">
        <f t="shared" si="381"/>
        <v/>
      </c>
      <c r="Q1621" s="199" t="str">
        <f>IF(B1621="","",IFERROR(IF('עלויות כח אדם (6)'!J1621&gt;=VLOOKUP(I1621,'סיווג התפקידים והעלויות'!$B$23:$C$32,2,0),"תקין","לא תקין"),""))</f>
        <v/>
      </c>
      <c r="R1621" s="199" t="str">
        <f t="shared" si="382"/>
        <v/>
      </c>
      <c r="S1621" s="199" t="str">
        <f t="shared" si="383"/>
        <v/>
      </c>
      <c r="T1621" s="199" t="str">
        <f t="shared" si="391"/>
        <v/>
      </c>
      <c r="U1621" s="199" t="str">
        <f t="shared" si="384"/>
        <v/>
      </c>
      <c r="V1621" s="989"/>
      <c r="X1621" s="374" t="str">
        <f t="shared" si="385"/>
        <v/>
      </c>
      <c r="Y1621" s="375" t="str">
        <f t="shared" si="386"/>
        <v/>
      </c>
      <c r="Z1621" s="374" t="str">
        <f t="shared" si="387"/>
        <v/>
      </c>
      <c r="AA1621" s="374" t="b">
        <f t="shared" si="388"/>
        <v>1</v>
      </c>
      <c r="AB1621" s="374">
        <f>COUNTIFS(B:B,B1621,H:H,'סיווג התפקידים והעלויות'!$C$2)</f>
        <v>0</v>
      </c>
      <c r="AC1621" s="374">
        <f>COUNTIFS(B:B,B1621,H:H,'סיווג התפקידים והעלויות'!$D$2)</f>
        <v>0</v>
      </c>
      <c r="AD1621" s="374" t="str">
        <f>IF(OR(AND(H1621='סיווג התפקידים והעלויות'!$A$2,I1621='סיווג התפקידים והעלויות'!$A$3),'עלויות כח אדם (6)'!H1621='סיווג התפקידים והעלויות'!$C$2,'עלויות כח אדם (6)'!H1621='סיווג התפקידים והעלויות'!$D$2),IF('עלויות כח אדם (6)'!J1621&lt;75,"לא תקין","תקין"),"")</f>
        <v/>
      </c>
      <c r="AE1621" s="374" t="str">
        <f t="shared" si="389"/>
        <v/>
      </c>
      <c r="AF1621" s="532" t="str">
        <f t="shared" si="390"/>
        <v/>
      </c>
    </row>
    <row r="1622" spans="2:32" x14ac:dyDescent="0.25">
      <c r="B1622" s="695"/>
      <c r="C1622" s="197" t="str">
        <f>IF(B1622&lt;&gt;"",IFERROR(VLOOKUP(B:B,'מצבת והרשמה (2)'!$C$20:$N$520,2,0)," ")," ")</f>
        <v xml:space="preserve"> </v>
      </c>
      <c r="D1622" s="695"/>
      <c r="E1622" s="696"/>
      <c r="F1622" s="696"/>
      <c r="G1622" s="696"/>
      <c r="H1622" s="696"/>
      <c r="I1622" s="1050" t="str">
        <f t="shared" si="377"/>
        <v/>
      </c>
      <c r="J1622" s="696"/>
      <c r="K1622" s="697"/>
      <c r="L1622" s="696"/>
      <c r="M1622" s="198" t="str">
        <f t="shared" si="378"/>
        <v/>
      </c>
      <c r="N1622" s="369" t="str">
        <f t="shared" si="379"/>
        <v/>
      </c>
      <c r="O1622" s="183" t="str">
        <f t="shared" si="380"/>
        <v/>
      </c>
      <c r="P1622" s="199" t="str">
        <f t="shared" si="381"/>
        <v/>
      </c>
      <c r="Q1622" s="199" t="str">
        <f>IF(B1622="","",IFERROR(IF('עלויות כח אדם (6)'!J1622&gt;=VLOOKUP(I1622,'סיווג התפקידים והעלויות'!$B$23:$C$32,2,0),"תקין","לא תקין"),""))</f>
        <v/>
      </c>
      <c r="R1622" s="199" t="str">
        <f t="shared" si="382"/>
        <v/>
      </c>
      <c r="S1622" s="199" t="str">
        <f t="shared" si="383"/>
        <v/>
      </c>
      <c r="T1622" s="199" t="str">
        <f t="shared" si="391"/>
        <v/>
      </c>
      <c r="U1622" s="199" t="str">
        <f t="shared" si="384"/>
        <v/>
      </c>
      <c r="V1622" s="989"/>
      <c r="X1622" s="374" t="str">
        <f t="shared" si="385"/>
        <v/>
      </c>
      <c r="Y1622" s="375" t="str">
        <f t="shared" si="386"/>
        <v/>
      </c>
      <c r="Z1622" s="374" t="str">
        <f t="shared" si="387"/>
        <v/>
      </c>
      <c r="AA1622" s="374" t="b">
        <f t="shared" si="388"/>
        <v>1</v>
      </c>
      <c r="AB1622" s="374">
        <f>COUNTIFS(B:B,B1622,H:H,'סיווג התפקידים והעלויות'!$C$2)</f>
        <v>0</v>
      </c>
      <c r="AC1622" s="374">
        <f>COUNTIFS(B:B,B1622,H:H,'סיווג התפקידים והעלויות'!$D$2)</f>
        <v>0</v>
      </c>
      <c r="AD1622" s="374" t="str">
        <f>IF(OR(AND(H1622='סיווג התפקידים והעלויות'!$A$2,I1622='סיווג התפקידים והעלויות'!$A$3),'עלויות כח אדם (6)'!H1622='סיווג התפקידים והעלויות'!$C$2,'עלויות כח אדם (6)'!H1622='סיווג התפקידים והעלויות'!$D$2),IF('עלויות כח אדם (6)'!J1622&lt;75,"לא תקין","תקין"),"")</f>
        <v/>
      </c>
      <c r="AE1622" s="374" t="str">
        <f t="shared" si="389"/>
        <v/>
      </c>
      <c r="AF1622" s="532" t="str">
        <f t="shared" si="390"/>
        <v/>
      </c>
    </row>
    <row r="1623" spans="2:32" x14ac:dyDescent="0.25">
      <c r="B1623" s="695"/>
      <c r="C1623" s="197" t="str">
        <f>IF(B1623&lt;&gt;"",IFERROR(VLOOKUP(B:B,'מצבת והרשמה (2)'!$C$20:$N$520,2,0)," ")," ")</f>
        <v xml:space="preserve"> </v>
      </c>
      <c r="D1623" s="695"/>
      <c r="E1623" s="696"/>
      <c r="F1623" s="696"/>
      <c r="G1623" s="696"/>
      <c r="H1623" s="696"/>
      <c r="I1623" s="1050" t="str">
        <f t="shared" si="377"/>
        <v/>
      </c>
      <c r="J1623" s="696"/>
      <c r="K1623" s="697"/>
      <c r="L1623" s="696"/>
      <c r="M1623" s="198" t="str">
        <f t="shared" si="378"/>
        <v/>
      </c>
      <c r="N1623" s="369" t="str">
        <f t="shared" si="379"/>
        <v/>
      </c>
      <c r="O1623" s="183" t="str">
        <f t="shared" si="380"/>
        <v/>
      </c>
      <c r="P1623" s="199" t="str">
        <f t="shared" si="381"/>
        <v/>
      </c>
      <c r="Q1623" s="199" t="str">
        <f>IF(B1623="","",IFERROR(IF('עלויות כח אדם (6)'!J1623&gt;=VLOOKUP(I1623,'סיווג התפקידים והעלויות'!$B$23:$C$32,2,0),"תקין","לא תקין"),""))</f>
        <v/>
      </c>
      <c r="R1623" s="199" t="str">
        <f t="shared" si="382"/>
        <v/>
      </c>
      <c r="S1623" s="199" t="str">
        <f t="shared" si="383"/>
        <v/>
      </c>
      <c r="T1623" s="199" t="str">
        <f t="shared" si="391"/>
        <v/>
      </c>
      <c r="U1623" s="199" t="str">
        <f t="shared" si="384"/>
        <v/>
      </c>
      <c r="V1623" s="989"/>
      <c r="X1623" s="374" t="str">
        <f t="shared" si="385"/>
        <v/>
      </c>
      <c r="Y1623" s="375" t="str">
        <f t="shared" si="386"/>
        <v/>
      </c>
      <c r="Z1623" s="374" t="str">
        <f t="shared" si="387"/>
        <v/>
      </c>
      <c r="AA1623" s="374" t="b">
        <f t="shared" si="388"/>
        <v>1</v>
      </c>
      <c r="AB1623" s="374">
        <f>COUNTIFS(B:B,B1623,H:H,'סיווג התפקידים והעלויות'!$C$2)</f>
        <v>0</v>
      </c>
      <c r="AC1623" s="374">
        <f>COUNTIFS(B:B,B1623,H:H,'סיווג התפקידים והעלויות'!$D$2)</f>
        <v>0</v>
      </c>
      <c r="AD1623" s="374" t="str">
        <f>IF(OR(AND(H1623='סיווג התפקידים והעלויות'!$A$2,I1623='סיווג התפקידים והעלויות'!$A$3),'עלויות כח אדם (6)'!H1623='סיווג התפקידים והעלויות'!$C$2,'עלויות כח אדם (6)'!H1623='סיווג התפקידים והעלויות'!$D$2),IF('עלויות כח אדם (6)'!J1623&lt;75,"לא תקין","תקין"),"")</f>
        <v/>
      </c>
      <c r="AE1623" s="374" t="str">
        <f t="shared" si="389"/>
        <v/>
      </c>
      <c r="AF1623" s="532" t="str">
        <f t="shared" si="390"/>
        <v/>
      </c>
    </row>
    <row r="1624" spans="2:32" x14ac:dyDescent="0.25">
      <c r="B1624" s="695"/>
      <c r="C1624" s="197" t="str">
        <f>IF(B1624&lt;&gt;"",IFERROR(VLOOKUP(B:B,'מצבת והרשמה (2)'!$C$20:$N$520,2,0)," ")," ")</f>
        <v xml:space="preserve"> </v>
      </c>
      <c r="D1624" s="695"/>
      <c r="E1624" s="696"/>
      <c r="F1624" s="696"/>
      <c r="G1624" s="696"/>
      <c r="H1624" s="696"/>
      <c r="I1624" s="1050" t="str">
        <f t="shared" si="377"/>
        <v/>
      </c>
      <c r="J1624" s="696"/>
      <c r="K1624" s="697"/>
      <c r="L1624" s="696"/>
      <c r="M1624" s="198" t="str">
        <f t="shared" si="378"/>
        <v/>
      </c>
      <c r="N1624" s="369" t="str">
        <f t="shared" si="379"/>
        <v/>
      </c>
      <c r="O1624" s="183" t="str">
        <f t="shared" si="380"/>
        <v/>
      </c>
      <c r="P1624" s="199" t="str">
        <f t="shared" si="381"/>
        <v/>
      </c>
      <c r="Q1624" s="199" t="str">
        <f>IF(B1624="","",IFERROR(IF('עלויות כח אדם (6)'!J1624&gt;=VLOOKUP(I1624,'סיווג התפקידים והעלויות'!$B$23:$C$32,2,0),"תקין","לא תקין"),""))</f>
        <v/>
      </c>
      <c r="R1624" s="199" t="str">
        <f t="shared" si="382"/>
        <v/>
      </c>
      <c r="S1624" s="199" t="str">
        <f t="shared" si="383"/>
        <v/>
      </c>
      <c r="T1624" s="199" t="str">
        <f t="shared" si="391"/>
        <v/>
      </c>
      <c r="U1624" s="199" t="str">
        <f t="shared" si="384"/>
        <v/>
      </c>
      <c r="V1624" s="989"/>
      <c r="X1624" s="374" t="str">
        <f t="shared" si="385"/>
        <v/>
      </c>
      <c r="Y1624" s="375" t="str">
        <f t="shared" si="386"/>
        <v/>
      </c>
      <c r="Z1624" s="374" t="str">
        <f t="shared" si="387"/>
        <v/>
      </c>
      <c r="AA1624" s="374" t="b">
        <f t="shared" si="388"/>
        <v>1</v>
      </c>
      <c r="AB1624" s="374">
        <f>COUNTIFS(B:B,B1624,H:H,'סיווג התפקידים והעלויות'!$C$2)</f>
        <v>0</v>
      </c>
      <c r="AC1624" s="374">
        <f>COUNTIFS(B:B,B1624,H:H,'סיווג התפקידים והעלויות'!$D$2)</f>
        <v>0</v>
      </c>
      <c r="AD1624" s="374" t="str">
        <f>IF(OR(AND(H1624='סיווג התפקידים והעלויות'!$A$2,I1624='סיווג התפקידים והעלויות'!$A$3),'עלויות כח אדם (6)'!H1624='סיווג התפקידים והעלויות'!$C$2,'עלויות כח אדם (6)'!H1624='סיווג התפקידים והעלויות'!$D$2),IF('עלויות כח אדם (6)'!J1624&lt;75,"לא תקין","תקין"),"")</f>
        <v/>
      </c>
      <c r="AE1624" s="374" t="str">
        <f t="shared" si="389"/>
        <v/>
      </c>
      <c r="AF1624" s="532" t="str">
        <f t="shared" si="390"/>
        <v/>
      </c>
    </row>
    <row r="1625" spans="2:32" x14ac:dyDescent="0.25">
      <c r="B1625" s="695"/>
      <c r="C1625" s="197" t="str">
        <f>IF(B1625&lt;&gt;"",IFERROR(VLOOKUP(B:B,'מצבת והרשמה (2)'!$C$20:$N$520,2,0)," ")," ")</f>
        <v xml:space="preserve"> </v>
      </c>
      <c r="D1625" s="695"/>
      <c r="E1625" s="696"/>
      <c r="F1625" s="696"/>
      <c r="G1625" s="696"/>
      <c r="H1625" s="696"/>
      <c r="I1625" s="1050" t="str">
        <f t="shared" si="377"/>
        <v/>
      </c>
      <c r="J1625" s="696"/>
      <c r="K1625" s="697"/>
      <c r="L1625" s="696"/>
      <c r="M1625" s="198" t="str">
        <f t="shared" si="378"/>
        <v/>
      </c>
      <c r="N1625" s="369" t="str">
        <f t="shared" si="379"/>
        <v/>
      </c>
      <c r="O1625" s="183" t="str">
        <f t="shared" si="380"/>
        <v/>
      </c>
      <c r="P1625" s="199" t="str">
        <f t="shared" si="381"/>
        <v/>
      </c>
      <c r="Q1625" s="199" t="str">
        <f>IF(B1625="","",IFERROR(IF('עלויות כח אדם (6)'!J1625&gt;=VLOOKUP(I1625,'סיווג התפקידים והעלויות'!$B$23:$C$32,2,0),"תקין","לא תקין"),""))</f>
        <v/>
      </c>
      <c r="R1625" s="199" t="str">
        <f t="shared" si="382"/>
        <v/>
      </c>
      <c r="S1625" s="199" t="str">
        <f t="shared" si="383"/>
        <v/>
      </c>
      <c r="T1625" s="199" t="str">
        <f t="shared" si="391"/>
        <v/>
      </c>
      <c r="U1625" s="199" t="str">
        <f t="shared" si="384"/>
        <v/>
      </c>
      <c r="V1625" s="989"/>
      <c r="X1625" s="374" t="str">
        <f t="shared" si="385"/>
        <v/>
      </c>
      <c r="Y1625" s="375" t="str">
        <f t="shared" si="386"/>
        <v/>
      </c>
      <c r="Z1625" s="374" t="str">
        <f t="shared" si="387"/>
        <v/>
      </c>
      <c r="AA1625" s="374" t="b">
        <f t="shared" si="388"/>
        <v>1</v>
      </c>
      <c r="AB1625" s="374">
        <f>COUNTIFS(B:B,B1625,H:H,'סיווג התפקידים והעלויות'!$C$2)</f>
        <v>0</v>
      </c>
      <c r="AC1625" s="374">
        <f>COUNTIFS(B:B,B1625,H:H,'סיווג התפקידים והעלויות'!$D$2)</f>
        <v>0</v>
      </c>
      <c r="AD1625" s="374" t="str">
        <f>IF(OR(AND(H1625='סיווג התפקידים והעלויות'!$A$2,I1625='סיווג התפקידים והעלויות'!$A$3),'עלויות כח אדם (6)'!H1625='סיווג התפקידים והעלויות'!$C$2,'עלויות כח אדם (6)'!H1625='סיווג התפקידים והעלויות'!$D$2),IF('עלויות כח אדם (6)'!J1625&lt;75,"לא תקין","תקין"),"")</f>
        <v/>
      </c>
      <c r="AE1625" s="374" t="str">
        <f t="shared" si="389"/>
        <v/>
      </c>
      <c r="AF1625" s="532" t="str">
        <f t="shared" si="390"/>
        <v/>
      </c>
    </row>
    <row r="1626" spans="2:32" x14ac:dyDescent="0.25">
      <c r="B1626" s="695"/>
      <c r="C1626" s="197" t="str">
        <f>IF(B1626&lt;&gt;"",IFERROR(VLOOKUP(B:B,'מצבת והרשמה (2)'!$C$20:$N$520,2,0)," ")," ")</f>
        <v xml:space="preserve"> </v>
      </c>
      <c r="D1626" s="695"/>
      <c r="E1626" s="696"/>
      <c r="F1626" s="696"/>
      <c r="G1626" s="696"/>
      <c r="H1626" s="696"/>
      <c r="I1626" s="1050" t="str">
        <f t="shared" si="377"/>
        <v/>
      </c>
      <c r="J1626" s="696"/>
      <c r="K1626" s="697"/>
      <c r="L1626" s="696"/>
      <c r="M1626" s="198" t="str">
        <f t="shared" si="378"/>
        <v/>
      </c>
      <c r="N1626" s="369" t="str">
        <f t="shared" si="379"/>
        <v/>
      </c>
      <c r="O1626" s="183" t="str">
        <f t="shared" si="380"/>
        <v/>
      </c>
      <c r="P1626" s="199" t="str">
        <f t="shared" si="381"/>
        <v/>
      </c>
      <c r="Q1626" s="199" t="str">
        <f>IF(B1626="","",IFERROR(IF('עלויות כח אדם (6)'!J1626&gt;=VLOOKUP(I1626,'סיווג התפקידים והעלויות'!$B$23:$C$32,2,0),"תקין","לא תקין"),""))</f>
        <v/>
      </c>
      <c r="R1626" s="199" t="str">
        <f t="shared" si="382"/>
        <v/>
      </c>
      <c r="S1626" s="199" t="str">
        <f t="shared" si="383"/>
        <v/>
      </c>
      <c r="T1626" s="199" t="str">
        <f t="shared" si="391"/>
        <v/>
      </c>
      <c r="U1626" s="199" t="str">
        <f t="shared" si="384"/>
        <v/>
      </c>
      <c r="V1626" s="989"/>
      <c r="X1626" s="374" t="str">
        <f t="shared" si="385"/>
        <v/>
      </c>
      <c r="Y1626" s="375" t="str">
        <f t="shared" si="386"/>
        <v/>
      </c>
      <c r="Z1626" s="374" t="str">
        <f t="shared" si="387"/>
        <v/>
      </c>
      <c r="AA1626" s="374" t="b">
        <f t="shared" si="388"/>
        <v>1</v>
      </c>
      <c r="AB1626" s="374">
        <f>COUNTIFS(B:B,B1626,H:H,'סיווג התפקידים והעלויות'!$C$2)</f>
        <v>0</v>
      </c>
      <c r="AC1626" s="374">
        <f>COUNTIFS(B:B,B1626,H:H,'סיווג התפקידים והעלויות'!$D$2)</f>
        <v>0</v>
      </c>
      <c r="AD1626" s="374" t="str">
        <f>IF(OR(AND(H1626='סיווג התפקידים והעלויות'!$A$2,I1626='סיווג התפקידים והעלויות'!$A$3),'עלויות כח אדם (6)'!H1626='סיווג התפקידים והעלויות'!$C$2,'עלויות כח אדם (6)'!H1626='סיווג התפקידים והעלויות'!$D$2),IF('עלויות כח אדם (6)'!J1626&lt;75,"לא תקין","תקין"),"")</f>
        <v/>
      </c>
      <c r="AE1626" s="374" t="str">
        <f t="shared" si="389"/>
        <v/>
      </c>
      <c r="AF1626" s="532" t="str">
        <f t="shared" si="390"/>
        <v/>
      </c>
    </row>
    <row r="1627" spans="2:32" x14ac:dyDescent="0.25">
      <c r="B1627" s="695"/>
      <c r="C1627" s="197" t="str">
        <f>IF(B1627&lt;&gt;"",IFERROR(VLOOKUP(B:B,'מצבת והרשמה (2)'!$C$20:$N$520,2,0)," ")," ")</f>
        <v xml:space="preserve"> </v>
      </c>
      <c r="D1627" s="695"/>
      <c r="E1627" s="696"/>
      <c r="F1627" s="696"/>
      <c r="G1627" s="696"/>
      <c r="H1627" s="696"/>
      <c r="I1627" s="1050" t="str">
        <f t="shared" si="377"/>
        <v/>
      </c>
      <c r="J1627" s="696"/>
      <c r="K1627" s="697"/>
      <c r="L1627" s="696"/>
      <c r="M1627" s="198" t="str">
        <f t="shared" si="378"/>
        <v/>
      </c>
      <c r="N1627" s="369" t="str">
        <f t="shared" si="379"/>
        <v/>
      </c>
      <c r="O1627" s="183" t="str">
        <f t="shared" si="380"/>
        <v/>
      </c>
      <c r="P1627" s="199" t="str">
        <f t="shared" si="381"/>
        <v/>
      </c>
      <c r="Q1627" s="199" t="str">
        <f>IF(B1627="","",IFERROR(IF('עלויות כח אדם (6)'!J1627&gt;=VLOOKUP(I1627,'סיווג התפקידים והעלויות'!$B$23:$C$32,2,0),"תקין","לא תקין"),""))</f>
        <v/>
      </c>
      <c r="R1627" s="199" t="str">
        <f t="shared" si="382"/>
        <v/>
      </c>
      <c r="S1627" s="199" t="str">
        <f t="shared" si="383"/>
        <v/>
      </c>
      <c r="T1627" s="199" t="str">
        <f t="shared" si="391"/>
        <v/>
      </c>
      <c r="U1627" s="199" t="str">
        <f t="shared" si="384"/>
        <v/>
      </c>
      <c r="V1627" s="989"/>
      <c r="X1627" s="374" t="str">
        <f t="shared" si="385"/>
        <v/>
      </c>
      <c r="Y1627" s="375" t="str">
        <f t="shared" si="386"/>
        <v/>
      </c>
      <c r="Z1627" s="374" t="str">
        <f t="shared" si="387"/>
        <v/>
      </c>
      <c r="AA1627" s="374" t="b">
        <f t="shared" si="388"/>
        <v>1</v>
      </c>
      <c r="AB1627" s="374">
        <f>COUNTIFS(B:B,B1627,H:H,'סיווג התפקידים והעלויות'!$C$2)</f>
        <v>0</v>
      </c>
      <c r="AC1627" s="374">
        <f>COUNTIFS(B:B,B1627,H:H,'סיווג התפקידים והעלויות'!$D$2)</f>
        <v>0</v>
      </c>
      <c r="AD1627" s="374" t="str">
        <f>IF(OR(AND(H1627='סיווג התפקידים והעלויות'!$A$2,I1627='סיווג התפקידים והעלויות'!$A$3),'עלויות כח אדם (6)'!H1627='סיווג התפקידים והעלויות'!$C$2,'עלויות כח אדם (6)'!H1627='סיווג התפקידים והעלויות'!$D$2),IF('עלויות כח אדם (6)'!J1627&lt;75,"לא תקין","תקין"),"")</f>
        <v/>
      </c>
      <c r="AE1627" s="374" t="str">
        <f t="shared" si="389"/>
        <v/>
      </c>
      <c r="AF1627" s="532" t="str">
        <f t="shared" si="390"/>
        <v/>
      </c>
    </row>
    <row r="1628" spans="2:32" x14ac:dyDescent="0.25">
      <c r="B1628" s="695"/>
      <c r="C1628" s="197" t="str">
        <f>IF(B1628&lt;&gt;"",IFERROR(VLOOKUP(B:B,'מצבת והרשמה (2)'!$C$20:$N$520,2,0)," ")," ")</f>
        <v xml:space="preserve"> </v>
      </c>
      <c r="D1628" s="695"/>
      <c r="E1628" s="696"/>
      <c r="F1628" s="696"/>
      <c r="G1628" s="696"/>
      <c r="H1628" s="696"/>
      <c r="I1628" s="1050" t="str">
        <f t="shared" si="377"/>
        <v/>
      </c>
      <c r="J1628" s="696"/>
      <c r="K1628" s="697"/>
      <c r="L1628" s="696"/>
      <c r="M1628" s="198" t="str">
        <f t="shared" si="378"/>
        <v/>
      </c>
      <c r="N1628" s="369" t="str">
        <f t="shared" si="379"/>
        <v/>
      </c>
      <c r="O1628" s="183" t="str">
        <f t="shared" si="380"/>
        <v/>
      </c>
      <c r="P1628" s="199" t="str">
        <f t="shared" si="381"/>
        <v/>
      </c>
      <c r="Q1628" s="199" t="str">
        <f>IF(B1628="","",IFERROR(IF('עלויות כח אדם (6)'!J1628&gt;=VLOOKUP(I1628,'סיווג התפקידים והעלויות'!$B$23:$C$32,2,0),"תקין","לא תקין"),""))</f>
        <v/>
      </c>
      <c r="R1628" s="199" t="str">
        <f t="shared" si="382"/>
        <v/>
      </c>
      <c r="S1628" s="199" t="str">
        <f t="shared" si="383"/>
        <v/>
      </c>
      <c r="T1628" s="199" t="str">
        <f t="shared" si="391"/>
        <v/>
      </c>
      <c r="U1628" s="199" t="str">
        <f t="shared" si="384"/>
        <v/>
      </c>
      <c r="V1628" s="989"/>
      <c r="X1628" s="374" t="str">
        <f t="shared" si="385"/>
        <v/>
      </c>
      <c r="Y1628" s="375" t="str">
        <f t="shared" si="386"/>
        <v/>
      </c>
      <c r="Z1628" s="374" t="str">
        <f t="shared" si="387"/>
        <v/>
      </c>
      <c r="AA1628" s="374" t="b">
        <f t="shared" si="388"/>
        <v>1</v>
      </c>
      <c r="AB1628" s="374">
        <f>COUNTIFS(B:B,B1628,H:H,'סיווג התפקידים והעלויות'!$C$2)</f>
        <v>0</v>
      </c>
      <c r="AC1628" s="374">
        <f>COUNTIFS(B:B,B1628,H:H,'סיווג התפקידים והעלויות'!$D$2)</f>
        <v>0</v>
      </c>
      <c r="AD1628" s="374" t="str">
        <f>IF(OR(AND(H1628='סיווג התפקידים והעלויות'!$A$2,I1628='סיווג התפקידים והעלויות'!$A$3),'עלויות כח אדם (6)'!H1628='סיווג התפקידים והעלויות'!$C$2,'עלויות כח אדם (6)'!H1628='סיווג התפקידים והעלויות'!$D$2),IF('עלויות כח אדם (6)'!J1628&lt;75,"לא תקין","תקין"),"")</f>
        <v/>
      </c>
      <c r="AE1628" s="374" t="str">
        <f t="shared" si="389"/>
        <v/>
      </c>
      <c r="AF1628" s="532" t="str">
        <f t="shared" si="390"/>
        <v/>
      </c>
    </row>
    <row r="1629" spans="2:32" x14ac:dyDescent="0.25">
      <c r="B1629" s="695"/>
      <c r="C1629" s="197" t="str">
        <f>IF(B1629&lt;&gt;"",IFERROR(VLOOKUP(B:B,'מצבת והרשמה (2)'!$C$20:$N$520,2,0)," ")," ")</f>
        <v xml:space="preserve"> </v>
      </c>
      <c r="D1629" s="695"/>
      <c r="E1629" s="696"/>
      <c r="F1629" s="696"/>
      <c r="G1629" s="696"/>
      <c r="H1629" s="696"/>
      <c r="I1629" s="1050" t="str">
        <f t="shared" si="377"/>
        <v/>
      </c>
      <c r="J1629" s="696"/>
      <c r="K1629" s="697"/>
      <c r="L1629" s="696"/>
      <c r="M1629" s="198" t="str">
        <f t="shared" si="378"/>
        <v/>
      </c>
      <c r="N1629" s="369" t="str">
        <f t="shared" si="379"/>
        <v/>
      </c>
      <c r="O1629" s="183" t="str">
        <f t="shared" si="380"/>
        <v/>
      </c>
      <c r="P1629" s="199" t="str">
        <f t="shared" si="381"/>
        <v/>
      </c>
      <c r="Q1629" s="199" t="str">
        <f>IF(B1629="","",IFERROR(IF('עלויות כח אדם (6)'!J1629&gt;=VLOOKUP(I1629,'סיווג התפקידים והעלויות'!$B$23:$C$32,2,0),"תקין","לא תקין"),""))</f>
        <v/>
      </c>
      <c r="R1629" s="199" t="str">
        <f t="shared" si="382"/>
        <v/>
      </c>
      <c r="S1629" s="199" t="str">
        <f t="shared" si="383"/>
        <v/>
      </c>
      <c r="T1629" s="199" t="str">
        <f t="shared" si="391"/>
        <v/>
      </c>
      <c r="U1629" s="199" t="str">
        <f t="shared" si="384"/>
        <v/>
      </c>
      <c r="V1629" s="989"/>
      <c r="X1629" s="374" t="str">
        <f t="shared" si="385"/>
        <v/>
      </c>
      <c r="Y1629" s="375" t="str">
        <f t="shared" si="386"/>
        <v/>
      </c>
      <c r="Z1629" s="374" t="str">
        <f t="shared" si="387"/>
        <v/>
      </c>
      <c r="AA1629" s="374" t="b">
        <f t="shared" si="388"/>
        <v>1</v>
      </c>
      <c r="AB1629" s="374">
        <f>COUNTIFS(B:B,B1629,H:H,'סיווג התפקידים והעלויות'!$C$2)</f>
        <v>0</v>
      </c>
      <c r="AC1629" s="374">
        <f>COUNTIFS(B:B,B1629,H:H,'סיווג התפקידים והעלויות'!$D$2)</f>
        <v>0</v>
      </c>
      <c r="AD1629" s="374" t="str">
        <f>IF(OR(AND(H1629='סיווג התפקידים והעלויות'!$A$2,I1629='סיווג התפקידים והעלויות'!$A$3),'עלויות כח אדם (6)'!H1629='סיווג התפקידים והעלויות'!$C$2,'עלויות כח אדם (6)'!H1629='סיווג התפקידים והעלויות'!$D$2),IF('עלויות כח אדם (6)'!J1629&lt;75,"לא תקין","תקין"),"")</f>
        <v/>
      </c>
      <c r="AE1629" s="374" t="str">
        <f t="shared" si="389"/>
        <v/>
      </c>
      <c r="AF1629" s="532" t="str">
        <f t="shared" si="390"/>
        <v/>
      </c>
    </row>
    <row r="1630" spans="2:32" x14ac:dyDescent="0.25">
      <c r="B1630" s="695"/>
      <c r="C1630" s="197" t="str">
        <f>IF(B1630&lt;&gt;"",IFERROR(VLOOKUP(B:B,'מצבת והרשמה (2)'!$C$20:$N$520,2,0)," ")," ")</f>
        <v xml:space="preserve"> </v>
      </c>
      <c r="D1630" s="695"/>
      <c r="E1630" s="696"/>
      <c r="F1630" s="696"/>
      <c r="G1630" s="696"/>
      <c r="H1630" s="696"/>
      <c r="I1630" s="1050" t="str">
        <f t="shared" si="377"/>
        <v/>
      </c>
      <c r="J1630" s="696"/>
      <c r="K1630" s="697"/>
      <c r="L1630" s="696"/>
      <c r="M1630" s="198" t="str">
        <f t="shared" si="378"/>
        <v/>
      </c>
      <c r="N1630" s="369" t="str">
        <f t="shared" si="379"/>
        <v/>
      </c>
      <c r="O1630" s="183" t="str">
        <f t="shared" si="380"/>
        <v/>
      </c>
      <c r="P1630" s="199" t="str">
        <f t="shared" si="381"/>
        <v/>
      </c>
      <c r="Q1630" s="199" t="str">
        <f>IF(B1630="","",IFERROR(IF('עלויות כח אדם (6)'!J1630&gt;=VLOOKUP(I1630,'סיווג התפקידים והעלויות'!$B$23:$C$32,2,0),"תקין","לא תקין"),""))</f>
        <v/>
      </c>
      <c r="R1630" s="199" t="str">
        <f t="shared" si="382"/>
        <v/>
      </c>
      <c r="S1630" s="199" t="str">
        <f t="shared" si="383"/>
        <v/>
      </c>
      <c r="T1630" s="199" t="str">
        <f t="shared" si="391"/>
        <v/>
      </c>
      <c r="U1630" s="199" t="str">
        <f t="shared" si="384"/>
        <v/>
      </c>
      <c r="V1630" s="989"/>
      <c r="X1630" s="374" t="str">
        <f t="shared" si="385"/>
        <v/>
      </c>
      <c r="Y1630" s="375" t="str">
        <f t="shared" si="386"/>
        <v/>
      </c>
      <c r="Z1630" s="374" t="str">
        <f t="shared" si="387"/>
        <v/>
      </c>
      <c r="AA1630" s="374" t="b">
        <f t="shared" si="388"/>
        <v>1</v>
      </c>
      <c r="AB1630" s="374">
        <f>COUNTIFS(B:B,B1630,H:H,'סיווג התפקידים והעלויות'!$C$2)</f>
        <v>0</v>
      </c>
      <c r="AC1630" s="374">
        <f>COUNTIFS(B:B,B1630,H:H,'סיווג התפקידים והעלויות'!$D$2)</f>
        <v>0</v>
      </c>
      <c r="AD1630" s="374" t="str">
        <f>IF(OR(AND(H1630='סיווג התפקידים והעלויות'!$A$2,I1630='סיווג התפקידים והעלויות'!$A$3),'עלויות כח אדם (6)'!H1630='סיווג התפקידים והעלויות'!$C$2,'עלויות כח אדם (6)'!H1630='סיווג התפקידים והעלויות'!$D$2),IF('עלויות כח אדם (6)'!J1630&lt;75,"לא תקין","תקין"),"")</f>
        <v/>
      </c>
      <c r="AE1630" s="374" t="str">
        <f t="shared" si="389"/>
        <v/>
      </c>
      <c r="AF1630" s="532" t="str">
        <f t="shared" si="390"/>
        <v/>
      </c>
    </row>
    <row r="1631" spans="2:32" x14ac:dyDescent="0.25">
      <c r="B1631" s="695"/>
      <c r="C1631" s="197" t="str">
        <f>IF(B1631&lt;&gt;"",IFERROR(VLOOKUP(B:B,'מצבת והרשמה (2)'!$C$20:$N$520,2,0)," ")," ")</f>
        <v xml:space="preserve"> </v>
      </c>
      <c r="D1631" s="695"/>
      <c r="E1631" s="696"/>
      <c r="F1631" s="696"/>
      <c r="G1631" s="696"/>
      <c r="H1631" s="696"/>
      <c r="I1631" s="1050" t="str">
        <f t="shared" si="377"/>
        <v/>
      </c>
      <c r="J1631" s="696"/>
      <c r="K1631" s="697"/>
      <c r="L1631" s="696"/>
      <c r="M1631" s="198" t="str">
        <f t="shared" si="378"/>
        <v/>
      </c>
      <c r="N1631" s="369" t="str">
        <f t="shared" si="379"/>
        <v/>
      </c>
      <c r="O1631" s="183" t="str">
        <f t="shared" si="380"/>
        <v/>
      </c>
      <c r="P1631" s="199" t="str">
        <f t="shared" si="381"/>
        <v/>
      </c>
      <c r="Q1631" s="199" t="str">
        <f>IF(B1631="","",IFERROR(IF('עלויות כח אדם (6)'!J1631&gt;=VLOOKUP(I1631,'סיווג התפקידים והעלויות'!$B$23:$C$32,2,0),"תקין","לא תקין"),""))</f>
        <v/>
      </c>
      <c r="R1631" s="199" t="str">
        <f t="shared" si="382"/>
        <v/>
      </c>
      <c r="S1631" s="199" t="str">
        <f t="shared" si="383"/>
        <v/>
      </c>
      <c r="T1631" s="199" t="str">
        <f t="shared" si="391"/>
        <v/>
      </c>
      <c r="U1631" s="199" t="str">
        <f t="shared" si="384"/>
        <v/>
      </c>
      <c r="V1631" s="989"/>
      <c r="X1631" s="374" t="str">
        <f t="shared" si="385"/>
        <v/>
      </c>
      <c r="Y1631" s="375" t="str">
        <f t="shared" si="386"/>
        <v/>
      </c>
      <c r="Z1631" s="374" t="str">
        <f t="shared" si="387"/>
        <v/>
      </c>
      <c r="AA1631" s="374" t="b">
        <f t="shared" si="388"/>
        <v>1</v>
      </c>
      <c r="AB1631" s="374">
        <f>COUNTIFS(B:B,B1631,H:H,'סיווג התפקידים והעלויות'!$C$2)</f>
        <v>0</v>
      </c>
      <c r="AC1631" s="374">
        <f>COUNTIFS(B:B,B1631,H:H,'סיווג התפקידים והעלויות'!$D$2)</f>
        <v>0</v>
      </c>
      <c r="AD1631" s="374" t="str">
        <f>IF(OR(AND(H1631='סיווג התפקידים והעלויות'!$A$2,I1631='סיווג התפקידים והעלויות'!$A$3),'עלויות כח אדם (6)'!H1631='סיווג התפקידים והעלויות'!$C$2,'עלויות כח אדם (6)'!H1631='סיווג התפקידים והעלויות'!$D$2),IF('עלויות כח אדם (6)'!J1631&lt;75,"לא תקין","תקין"),"")</f>
        <v/>
      </c>
      <c r="AE1631" s="374" t="str">
        <f t="shared" si="389"/>
        <v/>
      </c>
      <c r="AF1631" s="532" t="str">
        <f t="shared" si="390"/>
        <v/>
      </c>
    </row>
    <row r="1632" spans="2:32" x14ac:dyDescent="0.25">
      <c r="B1632" s="695"/>
      <c r="C1632" s="197" t="str">
        <f>IF(B1632&lt;&gt;"",IFERROR(VLOOKUP(B:B,'מצבת והרשמה (2)'!$C$20:$N$520,2,0)," ")," ")</f>
        <v xml:space="preserve"> </v>
      </c>
      <c r="D1632" s="695"/>
      <c r="E1632" s="696"/>
      <c r="F1632" s="696"/>
      <c r="G1632" s="696"/>
      <c r="H1632" s="696"/>
      <c r="I1632" s="1050" t="str">
        <f t="shared" si="377"/>
        <v/>
      </c>
      <c r="J1632" s="696"/>
      <c r="K1632" s="697"/>
      <c r="L1632" s="696"/>
      <c r="M1632" s="198" t="str">
        <f t="shared" si="378"/>
        <v/>
      </c>
      <c r="N1632" s="369" t="str">
        <f t="shared" si="379"/>
        <v/>
      </c>
      <c r="O1632" s="183" t="str">
        <f t="shared" si="380"/>
        <v/>
      </c>
      <c r="P1632" s="199" t="str">
        <f t="shared" si="381"/>
        <v/>
      </c>
      <c r="Q1632" s="199" t="str">
        <f>IF(B1632="","",IFERROR(IF('עלויות כח אדם (6)'!J1632&gt;=VLOOKUP(I1632,'סיווג התפקידים והעלויות'!$B$23:$C$32,2,0),"תקין","לא תקין"),""))</f>
        <v/>
      </c>
      <c r="R1632" s="199" t="str">
        <f t="shared" si="382"/>
        <v/>
      </c>
      <c r="S1632" s="199" t="str">
        <f t="shared" si="383"/>
        <v/>
      </c>
      <c r="T1632" s="199" t="str">
        <f t="shared" si="391"/>
        <v/>
      </c>
      <c r="U1632" s="199" t="str">
        <f t="shared" si="384"/>
        <v/>
      </c>
      <c r="V1632" s="989"/>
      <c r="X1632" s="374" t="str">
        <f t="shared" si="385"/>
        <v/>
      </c>
      <c r="Y1632" s="375" t="str">
        <f t="shared" si="386"/>
        <v/>
      </c>
      <c r="Z1632" s="374" t="str">
        <f t="shared" si="387"/>
        <v/>
      </c>
      <c r="AA1632" s="374" t="b">
        <f t="shared" si="388"/>
        <v>1</v>
      </c>
      <c r="AB1632" s="374">
        <f>COUNTIFS(B:B,B1632,H:H,'סיווג התפקידים והעלויות'!$C$2)</f>
        <v>0</v>
      </c>
      <c r="AC1632" s="374">
        <f>COUNTIFS(B:B,B1632,H:H,'סיווג התפקידים והעלויות'!$D$2)</f>
        <v>0</v>
      </c>
      <c r="AD1632" s="374" t="str">
        <f>IF(OR(AND(H1632='סיווג התפקידים והעלויות'!$A$2,I1632='סיווג התפקידים והעלויות'!$A$3),'עלויות כח אדם (6)'!H1632='סיווג התפקידים והעלויות'!$C$2,'עלויות כח אדם (6)'!H1632='סיווג התפקידים והעלויות'!$D$2),IF('עלויות כח אדם (6)'!J1632&lt;75,"לא תקין","תקין"),"")</f>
        <v/>
      </c>
      <c r="AE1632" s="374" t="str">
        <f t="shared" si="389"/>
        <v/>
      </c>
      <c r="AF1632" s="532" t="str">
        <f t="shared" si="390"/>
        <v/>
      </c>
    </row>
    <row r="1633" spans="2:32" x14ac:dyDescent="0.25">
      <c r="B1633" s="695"/>
      <c r="C1633" s="197" t="str">
        <f>IF(B1633&lt;&gt;"",IFERROR(VLOOKUP(B:B,'מצבת והרשמה (2)'!$C$20:$N$520,2,0)," ")," ")</f>
        <v xml:space="preserve"> </v>
      </c>
      <c r="D1633" s="695"/>
      <c r="E1633" s="696"/>
      <c r="F1633" s="696"/>
      <c r="G1633" s="696"/>
      <c r="H1633" s="696"/>
      <c r="I1633" s="1050" t="str">
        <f t="shared" si="377"/>
        <v/>
      </c>
      <c r="J1633" s="696"/>
      <c r="K1633" s="697"/>
      <c r="L1633" s="696"/>
      <c r="M1633" s="198" t="str">
        <f t="shared" si="378"/>
        <v/>
      </c>
      <c r="N1633" s="369" t="str">
        <f t="shared" si="379"/>
        <v/>
      </c>
      <c r="O1633" s="183" t="str">
        <f t="shared" si="380"/>
        <v/>
      </c>
      <c r="P1633" s="199" t="str">
        <f t="shared" si="381"/>
        <v/>
      </c>
      <c r="Q1633" s="199" t="str">
        <f>IF(B1633="","",IFERROR(IF('עלויות כח אדם (6)'!J1633&gt;=VLOOKUP(I1633,'סיווג התפקידים והעלויות'!$B$23:$C$32,2,0),"תקין","לא תקין"),""))</f>
        <v/>
      </c>
      <c r="R1633" s="199" t="str">
        <f t="shared" si="382"/>
        <v/>
      </c>
      <c r="S1633" s="199" t="str">
        <f t="shared" si="383"/>
        <v/>
      </c>
      <c r="T1633" s="199" t="str">
        <f t="shared" si="391"/>
        <v/>
      </c>
      <c r="U1633" s="199" t="str">
        <f t="shared" si="384"/>
        <v/>
      </c>
      <c r="V1633" s="989"/>
      <c r="X1633" s="374" t="str">
        <f t="shared" si="385"/>
        <v/>
      </c>
      <c r="Y1633" s="375" t="str">
        <f t="shared" si="386"/>
        <v/>
      </c>
      <c r="Z1633" s="374" t="str">
        <f t="shared" si="387"/>
        <v/>
      </c>
      <c r="AA1633" s="374" t="b">
        <f t="shared" si="388"/>
        <v>1</v>
      </c>
      <c r="AB1633" s="374">
        <f>COUNTIFS(B:B,B1633,H:H,'סיווג התפקידים והעלויות'!$C$2)</f>
        <v>0</v>
      </c>
      <c r="AC1633" s="374">
        <f>COUNTIFS(B:B,B1633,H:H,'סיווג התפקידים והעלויות'!$D$2)</f>
        <v>0</v>
      </c>
      <c r="AD1633" s="374" t="str">
        <f>IF(OR(AND(H1633='סיווג התפקידים והעלויות'!$A$2,I1633='סיווג התפקידים והעלויות'!$A$3),'עלויות כח אדם (6)'!H1633='סיווג התפקידים והעלויות'!$C$2,'עלויות כח אדם (6)'!H1633='סיווג התפקידים והעלויות'!$D$2),IF('עלויות כח אדם (6)'!J1633&lt;75,"לא תקין","תקין"),"")</f>
        <v/>
      </c>
      <c r="AE1633" s="374" t="str">
        <f t="shared" si="389"/>
        <v/>
      </c>
      <c r="AF1633" s="532" t="str">
        <f t="shared" si="390"/>
        <v/>
      </c>
    </row>
    <row r="1634" spans="2:32" x14ac:dyDescent="0.25">
      <c r="B1634" s="695"/>
      <c r="C1634" s="197" t="str">
        <f>IF(B1634&lt;&gt;"",IFERROR(VLOOKUP(B:B,'מצבת והרשמה (2)'!$C$20:$N$520,2,0)," ")," ")</f>
        <v xml:space="preserve"> </v>
      </c>
      <c r="D1634" s="695"/>
      <c r="E1634" s="696"/>
      <c r="F1634" s="696"/>
      <c r="G1634" s="696"/>
      <c r="H1634" s="696"/>
      <c r="I1634" s="1050" t="str">
        <f t="shared" si="377"/>
        <v/>
      </c>
      <c r="J1634" s="696"/>
      <c r="K1634" s="697"/>
      <c r="L1634" s="696"/>
      <c r="M1634" s="198" t="str">
        <f t="shared" si="378"/>
        <v/>
      </c>
      <c r="N1634" s="369" t="str">
        <f t="shared" si="379"/>
        <v/>
      </c>
      <c r="O1634" s="183" t="str">
        <f t="shared" si="380"/>
        <v/>
      </c>
      <c r="P1634" s="199" t="str">
        <f t="shared" si="381"/>
        <v/>
      </c>
      <c r="Q1634" s="199" t="str">
        <f>IF(B1634="","",IFERROR(IF('עלויות כח אדם (6)'!J1634&gt;=VLOOKUP(I1634,'סיווג התפקידים והעלויות'!$B$23:$C$32,2,0),"תקין","לא תקין"),""))</f>
        <v/>
      </c>
      <c r="R1634" s="199" t="str">
        <f t="shared" si="382"/>
        <v/>
      </c>
      <c r="S1634" s="199" t="str">
        <f t="shared" si="383"/>
        <v/>
      </c>
      <c r="T1634" s="199" t="str">
        <f t="shared" si="391"/>
        <v/>
      </c>
      <c r="U1634" s="199" t="str">
        <f t="shared" si="384"/>
        <v/>
      </c>
      <c r="V1634" s="989"/>
      <c r="X1634" s="374" t="str">
        <f t="shared" si="385"/>
        <v/>
      </c>
      <c r="Y1634" s="375" t="str">
        <f t="shared" si="386"/>
        <v/>
      </c>
      <c r="Z1634" s="374" t="str">
        <f t="shared" si="387"/>
        <v/>
      </c>
      <c r="AA1634" s="374" t="b">
        <f t="shared" si="388"/>
        <v>1</v>
      </c>
      <c r="AB1634" s="374">
        <f>COUNTIFS(B:B,B1634,H:H,'סיווג התפקידים והעלויות'!$C$2)</f>
        <v>0</v>
      </c>
      <c r="AC1634" s="374">
        <f>COUNTIFS(B:B,B1634,H:H,'סיווג התפקידים והעלויות'!$D$2)</f>
        <v>0</v>
      </c>
      <c r="AD1634" s="374" t="str">
        <f>IF(OR(AND(H1634='סיווג התפקידים והעלויות'!$A$2,I1634='סיווג התפקידים והעלויות'!$A$3),'עלויות כח אדם (6)'!H1634='סיווג התפקידים והעלויות'!$C$2,'עלויות כח אדם (6)'!H1634='סיווג התפקידים והעלויות'!$D$2),IF('עלויות כח אדם (6)'!J1634&lt;75,"לא תקין","תקין"),"")</f>
        <v/>
      </c>
      <c r="AE1634" s="374" t="str">
        <f t="shared" si="389"/>
        <v/>
      </c>
      <c r="AF1634" s="532" t="str">
        <f t="shared" si="390"/>
        <v/>
      </c>
    </row>
    <row r="1635" spans="2:32" x14ac:dyDescent="0.25">
      <c r="B1635" s="695"/>
      <c r="C1635" s="197" t="str">
        <f>IF(B1635&lt;&gt;"",IFERROR(VLOOKUP(B:B,'מצבת והרשמה (2)'!$C$20:$N$520,2,0)," ")," ")</f>
        <v xml:space="preserve"> </v>
      </c>
      <c r="D1635" s="695"/>
      <c r="E1635" s="696"/>
      <c r="F1635" s="696"/>
      <c r="G1635" s="696"/>
      <c r="H1635" s="696"/>
      <c r="I1635" s="1050" t="str">
        <f t="shared" si="377"/>
        <v/>
      </c>
      <c r="J1635" s="696"/>
      <c r="K1635" s="697"/>
      <c r="L1635" s="696"/>
      <c r="M1635" s="198" t="str">
        <f t="shared" si="378"/>
        <v/>
      </c>
      <c r="N1635" s="369" t="str">
        <f t="shared" si="379"/>
        <v/>
      </c>
      <c r="O1635" s="183" t="str">
        <f t="shared" si="380"/>
        <v/>
      </c>
      <c r="P1635" s="199" t="str">
        <f t="shared" si="381"/>
        <v/>
      </c>
      <c r="Q1635" s="199" t="str">
        <f>IF(B1635="","",IFERROR(IF('עלויות כח אדם (6)'!J1635&gt;=VLOOKUP(I1635,'סיווג התפקידים והעלויות'!$B$23:$C$32,2,0),"תקין","לא תקין"),""))</f>
        <v/>
      </c>
      <c r="R1635" s="199" t="str">
        <f t="shared" si="382"/>
        <v/>
      </c>
      <c r="S1635" s="199" t="str">
        <f t="shared" si="383"/>
        <v/>
      </c>
      <c r="T1635" s="199" t="str">
        <f t="shared" si="391"/>
        <v/>
      </c>
      <c r="U1635" s="199" t="str">
        <f t="shared" si="384"/>
        <v/>
      </c>
      <c r="V1635" s="989"/>
      <c r="X1635" s="374" t="str">
        <f t="shared" si="385"/>
        <v/>
      </c>
      <c r="Y1635" s="375" t="str">
        <f t="shared" si="386"/>
        <v/>
      </c>
      <c r="Z1635" s="374" t="str">
        <f t="shared" si="387"/>
        <v/>
      </c>
      <c r="AA1635" s="374" t="b">
        <f t="shared" si="388"/>
        <v>1</v>
      </c>
      <c r="AB1635" s="374">
        <f>COUNTIFS(B:B,B1635,H:H,'סיווג התפקידים והעלויות'!$C$2)</f>
        <v>0</v>
      </c>
      <c r="AC1635" s="374">
        <f>COUNTIFS(B:B,B1635,H:H,'סיווג התפקידים והעלויות'!$D$2)</f>
        <v>0</v>
      </c>
      <c r="AD1635" s="374" t="str">
        <f>IF(OR(AND(H1635='סיווג התפקידים והעלויות'!$A$2,I1635='סיווג התפקידים והעלויות'!$A$3),'עלויות כח אדם (6)'!H1635='סיווג התפקידים והעלויות'!$C$2,'עלויות כח אדם (6)'!H1635='סיווג התפקידים והעלויות'!$D$2),IF('עלויות כח אדם (6)'!J1635&lt;75,"לא תקין","תקין"),"")</f>
        <v/>
      </c>
      <c r="AE1635" s="374" t="str">
        <f t="shared" si="389"/>
        <v/>
      </c>
      <c r="AF1635" s="532" t="str">
        <f t="shared" si="390"/>
        <v/>
      </c>
    </row>
    <row r="1636" spans="2:32" x14ac:dyDescent="0.25">
      <c r="B1636" s="695"/>
      <c r="C1636" s="197" t="str">
        <f>IF(B1636&lt;&gt;"",IFERROR(VLOOKUP(B:B,'מצבת והרשמה (2)'!$C$20:$N$520,2,0)," ")," ")</f>
        <v xml:space="preserve"> </v>
      </c>
      <c r="D1636" s="695"/>
      <c r="E1636" s="696"/>
      <c r="F1636" s="696"/>
      <c r="G1636" s="696"/>
      <c r="H1636" s="696"/>
      <c r="I1636" s="1050" t="str">
        <f t="shared" si="377"/>
        <v/>
      </c>
      <c r="J1636" s="696"/>
      <c r="K1636" s="697"/>
      <c r="L1636" s="696"/>
      <c r="M1636" s="198" t="str">
        <f t="shared" si="378"/>
        <v/>
      </c>
      <c r="N1636" s="369" t="str">
        <f t="shared" si="379"/>
        <v/>
      </c>
      <c r="O1636" s="183" t="str">
        <f t="shared" si="380"/>
        <v/>
      </c>
      <c r="P1636" s="199" t="str">
        <f t="shared" si="381"/>
        <v/>
      </c>
      <c r="Q1636" s="199" t="str">
        <f>IF(B1636="","",IFERROR(IF('עלויות כח אדם (6)'!J1636&gt;=VLOOKUP(I1636,'סיווג התפקידים והעלויות'!$B$23:$C$32,2,0),"תקין","לא תקין"),""))</f>
        <v/>
      </c>
      <c r="R1636" s="199" t="str">
        <f t="shared" si="382"/>
        <v/>
      </c>
      <c r="S1636" s="199" t="str">
        <f t="shared" si="383"/>
        <v/>
      </c>
      <c r="T1636" s="199" t="str">
        <f t="shared" si="391"/>
        <v/>
      </c>
      <c r="U1636" s="199" t="str">
        <f t="shared" si="384"/>
        <v/>
      </c>
      <c r="V1636" s="989"/>
      <c r="X1636" s="374" t="str">
        <f t="shared" si="385"/>
        <v/>
      </c>
      <c r="Y1636" s="375" t="str">
        <f t="shared" si="386"/>
        <v/>
      </c>
      <c r="Z1636" s="374" t="str">
        <f t="shared" si="387"/>
        <v/>
      </c>
      <c r="AA1636" s="374" t="b">
        <f t="shared" si="388"/>
        <v>1</v>
      </c>
      <c r="AB1636" s="374">
        <f>COUNTIFS(B:B,B1636,H:H,'סיווג התפקידים והעלויות'!$C$2)</f>
        <v>0</v>
      </c>
      <c r="AC1636" s="374">
        <f>COUNTIFS(B:B,B1636,H:H,'סיווג התפקידים והעלויות'!$D$2)</f>
        <v>0</v>
      </c>
      <c r="AD1636" s="374" t="str">
        <f>IF(OR(AND(H1636='סיווג התפקידים והעלויות'!$A$2,I1636='סיווג התפקידים והעלויות'!$A$3),'עלויות כח אדם (6)'!H1636='סיווג התפקידים והעלויות'!$C$2,'עלויות כח אדם (6)'!H1636='סיווג התפקידים והעלויות'!$D$2),IF('עלויות כח אדם (6)'!J1636&lt;75,"לא תקין","תקין"),"")</f>
        <v/>
      </c>
      <c r="AE1636" s="374" t="str">
        <f t="shared" si="389"/>
        <v/>
      </c>
      <c r="AF1636" s="532" t="str">
        <f t="shared" si="390"/>
        <v/>
      </c>
    </row>
    <row r="1637" spans="2:32" x14ac:dyDescent="0.25">
      <c r="B1637" s="695"/>
      <c r="C1637" s="197" t="str">
        <f>IF(B1637&lt;&gt;"",IFERROR(VLOOKUP(B:B,'מצבת והרשמה (2)'!$C$20:$N$520,2,0)," ")," ")</f>
        <v xml:space="preserve"> </v>
      </c>
      <c r="D1637" s="695"/>
      <c r="E1637" s="696"/>
      <c r="F1637" s="696"/>
      <c r="G1637" s="696"/>
      <c r="H1637" s="696"/>
      <c r="I1637" s="1050" t="str">
        <f t="shared" si="377"/>
        <v/>
      </c>
      <c r="J1637" s="696"/>
      <c r="K1637" s="697"/>
      <c r="L1637" s="696"/>
      <c r="M1637" s="198" t="str">
        <f t="shared" si="378"/>
        <v/>
      </c>
      <c r="N1637" s="369" t="str">
        <f t="shared" si="379"/>
        <v/>
      </c>
      <c r="O1637" s="183" t="str">
        <f t="shared" si="380"/>
        <v/>
      </c>
      <c r="P1637" s="199" t="str">
        <f t="shared" si="381"/>
        <v/>
      </c>
      <c r="Q1637" s="199" t="str">
        <f>IF(B1637="","",IFERROR(IF('עלויות כח אדם (6)'!J1637&gt;=VLOOKUP(I1637,'סיווג התפקידים והעלויות'!$B$23:$C$32,2,0),"תקין","לא תקין"),""))</f>
        <v/>
      </c>
      <c r="R1637" s="199" t="str">
        <f t="shared" si="382"/>
        <v/>
      </c>
      <c r="S1637" s="199" t="str">
        <f t="shared" si="383"/>
        <v/>
      </c>
      <c r="T1637" s="199" t="str">
        <f t="shared" si="391"/>
        <v/>
      </c>
      <c r="U1637" s="199" t="str">
        <f t="shared" si="384"/>
        <v/>
      </c>
      <c r="V1637" s="989"/>
      <c r="X1637" s="374" t="str">
        <f t="shared" si="385"/>
        <v/>
      </c>
      <c r="Y1637" s="375" t="str">
        <f t="shared" si="386"/>
        <v/>
      </c>
      <c r="Z1637" s="374" t="str">
        <f t="shared" si="387"/>
        <v/>
      </c>
      <c r="AA1637" s="374" t="b">
        <f t="shared" si="388"/>
        <v>1</v>
      </c>
      <c r="AB1637" s="374">
        <f>COUNTIFS(B:B,B1637,H:H,'סיווג התפקידים והעלויות'!$C$2)</f>
        <v>0</v>
      </c>
      <c r="AC1637" s="374">
        <f>COUNTIFS(B:B,B1637,H:H,'סיווג התפקידים והעלויות'!$D$2)</f>
        <v>0</v>
      </c>
      <c r="AD1637" s="374" t="str">
        <f>IF(OR(AND(H1637='סיווג התפקידים והעלויות'!$A$2,I1637='סיווג התפקידים והעלויות'!$A$3),'עלויות כח אדם (6)'!H1637='סיווג התפקידים והעלויות'!$C$2,'עלויות כח אדם (6)'!H1637='סיווג התפקידים והעלויות'!$D$2),IF('עלויות כח אדם (6)'!J1637&lt;75,"לא תקין","תקין"),"")</f>
        <v/>
      </c>
      <c r="AE1637" s="374" t="str">
        <f t="shared" si="389"/>
        <v/>
      </c>
      <c r="AF1637" s="532" t="str">
        <f t="shared" si="390"/>
        <v/>
      </c>
    </row>
    <row r="1638" spans="2:32" x14ac:dyDescent="0.25">
      <c r="B1638" s="695"/>
      <c r="C1638" s="197" t="str">
        <f>IF(B1638&lt;&gt;"",IFERROR(VLOOKUP(B:B,'מצבת והרשמה (2)'!$C$20:$N$520,2,0)," ")," ")</f>
        <v xml:space="preserve"> </v>
      </c>
      <c r="D1638" s="695"/>
      <c r="E1638" s="696"/>
      <c r="F1638" s="696"/>
      <c r="G1638" s="696"/>
      <c r="H1638" s="696"/>
      <c r="I1638" s="1050" t="str">
        <f t="shared" si="377"/>
        <v/>
      </c>
      <c r="J1638" s="696"/>
      <c r="K1638" s="697"/>
      <c r="L1638" s="696"/>
      <c r="M1638" s="198" t="str">
        <f t="shared" si="378"/>
        <v/>
      </c>
      <c r="N1638" s="369" t="str">
        <f t="shared" si="379"/>
        <v/>
      </c>
      <c r="O1638" s="183" t="str">
        <f t="shared" si="380"/>
        <v/>
      </c>
      <c r="P1638" s="199" t="str">
        <f t="shared" si="381"/>
        <v/>
      </c>
      <c r="Q1638" s="199" t="str">
        <f>IF(B1638="","",IFERROR(IF('עלויות כח אדם (6)'!J1638&gt;=VLOOKUP(I1638,'סיווג התפקידים והעלויות'!$B$23:$C$32,2,0),"תקין","לא תקין"),""))</f>
        <v/>
      </c>
      <c r="R1638" s="199" t="str">
        <f t="shared" si="382"/>
        <v/>
      </c>
      <c r="S1638" s="199" t="str">
        <f t="shared" si="383"/>
        <v/>
      </c>
      <c r="T1638" s="199" t="str">
        <f t="shared" si="391"/>
        <v/>
      </c>
      <c r="U1638" s="199" t="str">
        <f t="shared" si="384"/>
        <v/>
      </c>
      <c r="V1638" s="989"/>
      <c r="X1638" s="374" t="str">
        <f t="shared" si="385"/>
        <v/>
      </c>
      <c r="Y1638" s="375" t="str">
        <f t="shared" si="386"/>
        <v/>
      </c>
      <c r="Z1638" s="374" t="str">
        <f t="shared" si="387"/>
        <v/>
      </c>
      <c r="AA1638" s="374" t="b">
        <f t="shared" si="388"/>
        <v>1</v>
      </c>
      <c r="AB1638" s="374">
        <f>COUNTIFS(B:B,B1638,H:H,'סיווג התפקידים והעלויות'!$C$2)</f>
        <v>0</v>
      </c>
      <c r="AC1638" s="374">
        <f>COUNTIFS(B:B,B1638,H:H,'סיווג התפקידים והעלויות'!$D$2)</f>
        <v>0</v>
      </c>
      <c r="AD1638" s="374" t="str">
        <f>IF(OR(AND(H1638='סיווג התפקידים והעלויות'!$A$2,I1638='סיווג התפקידים והעלויות'!$A$3),'עלויות כח אדם (6)'!H1638='סיווג התפקידים והעלויות'!$C$2,'עלויות כח אדם (6)'!H1638='סיווג התפקידים והעלויות'!$D$2),IF('עלויות כח אדם (6)'!J1638&lt;75,"לא תקין","תקין"),"")</f>
        <v/>
      </c>
      <c r="AE1638" s="374" t="str">
        <f t="shared" si="389"/>
        <v/>
      </c>
      <c r="AF1638" s="532" t="str">
        <f t="shared" si="390"/>
        <v/>
      </c>
    </row>
    <row r="1639" spans="2:32" x14ac:dyDescent="0.25">
      <c r="B1639" s="695"/>
      <c r="C1639" s="197" t="str">
        <f>IF(B1639&lt;&gt;"",IFERROR(VLOOKUP(B:B,'מצבת והרשמה (2)'!$C$20:$N$520,2,0)," ")," ")</f>
        <v xml:space="preserve"> </v>
      </c>
      <c r="D1639" s="695"/>
      <c r="E1639" s="696"/>
      <c r="F1639" s="696"/>
      <c r="G1639" s="696"/>
      <c r="H1639" s="696"/>
      <c r="I1639" s="1050" t="str">
        <f t="shared" si="377"/>
        <v/>
      </c>
      <c r="J1639" s="696"/>
      <c r="K1639" s="697"/>
      <c r="L1639" s="696"/>
      <c r="M1639" s="198" t="str">
        <f t="shared" si="378"/>
        <v/>
      </c>
      <c r="N1639" s="369" t="str">
        <f t="shared" si="379"/>
        <v/>
      </c>
      <c r="O1639" s="183" t="str">
        <f t="shared" si="380"/>
        <v/>
      </c>
      <c r="P1639" s="199" t="str">
        <f t="shared" si="381"/>
        <v/>
      </c>
      <c r="Q1639" s="199" t="str">
        <f>IF(B1639="","",IFERROR(IF('עלויות כח אדם (6)'!J1639&gt;=VLOOKUP(I1639,'סיווג התפקידים והעלויות'!$B$23:$C$32,2,0),"תקין","לא תקין"),""))</f>
        <v/>
      </c>
      <c r="R1639" s="199" t="str">
        <f t="shared" si="382"/>
        <v/>
      </c>
      <c r="S1639" s="199" t="str">
        <f t="shared" si="383"/>
        <v/>
      </c>
      <c r="T1639" s="199" t="str">
        <f t="shared" si="391"/>
        <v/>
      </c>
      <c r="U1639" s="199" t="str">
        <f t="shared" si="384"/>
        <v/>
      </c>
      <c r="V1639" s="989"/>
      <c r="X1639" s="374" t="str">
        <f t="shared" si="385"/>
        <v/>
      </c>
      <c r="Y1639" s="375" t="str">
        <f t="shared" si="386"/>
        <v/>
      </c>
      <c r="Z1639" s="374" t="str">
        <f t="shared" si="387"/>
        <v/>
      </c>
      <c r="AA1639" s="374" t="b">
        <f t="shared" si="388"/>
        <v>1</v>
      </c>
      <c r="AB1639" s="374">
        <f>COUNTIFS(B:B,B1639,H:H,'סיווג התפקידים והעלויות'!$C$2)</f>
        <v>0</v>
      </c>
      <c r="AC1639" s="374">
        <f>COUNTIFS(B:B,B1639,H:H,'סיווג התפקידים והעלויות'!$D$2)</f>
        <v>0</v>
      </c>
      <c r="AD1639" s="374" t="str">
        <f>IF(OR(AND(H1639='סיווג התפקידים והעלויות'!$A$2,I1639='סיווג התפקידים והעלויות'!$A$3),'עלויות כח אדם (6)'!H1639='סיווג התפקידים והעלויות'!$C$2,'עלויות כח אדם (6)'!H1639='סיווג התפקידים והעלויות'!$D$2),IF('עלויות כח אדם (6)'!J1639&lt;75,"לא תקין","תקין"),"")</f>
        <v/>
      </c>
      <c r="AE1639" s="374" t="str">
        <f t="shared" si="389"/>
        <v/>
      </c>
      <c r="AF1639" s="532" t="str">
        <f t="shared" si="390"/>
        <v/>
      </c>
    </row>
    <row r="1640" spans="2:32" x14ac:dyDescent="0.25">
      <c r="B1640" s="695"/>
      <c r="C1640" s="197" t="str">
        <f>IF(B1640&lt;&gt;"",IFERROR(VLOOKUP(B:B,'מצבת והרשמה (2)'!$C$20:$N$520,2,0)," ")," ")</f>
        <v xml:space="preserve"> </v>
      </c>
      <c r="D1640" s="695"/>
      <c r="E1640" s="696"/>
      <c r="F1640" s="696"/>
      <c r="G1640" s="696"/>
      <c r="H1640" s="696"/>
      <c r="I1640" s="1050" t="str">
        <f t="shared" si="377"/>
        <v/>
      </c>
      <c r="J1640" s="696"/>
      <c r="K1640" s="697"/>
      <c r="L1640" s="696"/>
      <c r="M1640" s="198" t="str">
        <f t="shared" si="378"/>
        <v/>
      </c>
      <c r="N1640" s="369" t="str">
        <f t="shared" si="379"/>
        <v/>
      </c>
      <c r="O1640" s="183" t="str">
        <f t="shared" si="380"/>
        <v/>
      </c>
      <c r="P1640" s="199" t="str">
        <f t="shared" si="381"/>
        <v/>
      </c>
      <c r="Q1640" s="199" t="str">
        <f>IF(B1640="","",IFERROR(IF('עלויות כח אדם (6)'!J1640&gt;=VLOOKUP(I1640,'סיווג התפקידים והעלויות'!$B$23:$C$32,2,0),"תקין","לא תקין"),""))</f>
        <v/>
      </c>
      <c r="R1640" s="199" t="str">
        <f t="shared" si="382"/>
        <v/>
      </c>
      <c r="S1640" s="199" t="str">
        <f t="shared" si="383"/>
        <v/>
      </c>
      <c r="T1640" s="199" t="str">
        <f t="shared" si="391"/>
        <v/>
      </c>
      <c r="U1640" s="199" t="str">
        <f t="shared" si="384"/>
        <v/>
      </c>
      <c r="V1640" s="989"/>
      <c r="X1640" s="374" t="str">
        <f t="shared" si="385"/>
        <v/>
      </c>
      <c r="Y1640" s="375" t="str">
        <f t="shared" si="386"/>
        <v/>
      </c>
      <c r="Z1640" s="374" t="str">
        <f t="shared" si="387"/>
        <v/>
      </c>
      <c r="AA1640" s="374" t="b">
        <f t="shared" si="388"/>
        <v>1</v>
      </c>
      <c r="AB1640" s="374">
        <f>COUNTIFS(B:B,B1640,H:H,'סיווג התפקידים והעלויות'!$C$2)</f>
        <v>0</v>
      </c>
      <c r="AC1640" s="374">
        <f>COUNTIFS(B:B,B1640,H:H,'סיווג התפקידים והעלויות'!$D$2)</f>
        <v>0</v>
      </c>
      <c r="AD1640" s="374" t="str">
        <f>IF(OR(AND(H1640='סיווג התפקידים והעלויות'!$A$2,I1640='סיווג התפקידים והעלויות'!$A$3),'עלויות כח אדם (6)'!H1640='סיווג התפקידים והעלויות'!$C$2,'עלויות כח אדם (6)'!H1640='סיווג התפקידים והעלויות'!$D$2),IF('עלויות כח אדם (6)'!J1640&lt;75,"לא תקין","תקין"),"")</f>
        <v/>
      </c>
      <c r="AE1640" s="374" t="str">
        <f t="shared" si="389"/>
        <v/>
      </c>
      <c r="AF1640" s="532" t="str">
        <f t="shared" si="390"/>
        <v/>
      </c>
    </row>
    <row r="1641" spans="2:32" x14ac:dyDescent="0.25">
      <c r="B1641" s="695"/>
      <c r="C1641" s="197" t="str">
        <f>IF(B1641&lt;&gt;"",IFERROR(VLOOKUP(B:B,'מצבת והרשמה (2)'!$C$20:$N$520,2,0)," ")," ")</f>
        <v xml:space="preserve"> </v>
      </c>
      <c r="D1641" s="695"/>
      <c r="E1641" s="696"/>
      <c r="F1641" s="696"/>
      <c r="G1641" s="696"/>
      <c r="H1641" s="696"/>
      <c r="I1641" s="1050" t="str">
        <f t="shared" si="377"/>
        <v/>
      </c>
      <c r="J1641" s="696"/>
      <c r="K1641" s="697"/>
      <c r="L1641" s="696"/>
      <c r="M1641" s="198" t="str">
        <f t="shared" si="378"/>
        <v/>
      </c>
      <c r="N1641" s="369" t="str">
        <f t="shared" si="379"/>
        <v/>
      </c>
      <c r="O1641" s="183" t="str">
        <f t="shared" si="380"/>
        <v/>
      </c>
      <c r="P1641" s="199" t="str">
        <f t="shared" si="381"/>
        <v/>
      </c>
      <c r="Q1641" s="199" t="str">
        <f>IF(B1641="","",IFERROR(IF('עלויות כח אדם (6)'!J1641&gt;=VLOOKUP(I1641,'סיווג התפקידים והעלויות'!$B$23:$C$32,2,0),"תקין","לא תקין"),""))</f>
        <v/>
      </c>
      <c r="R1641" s="199" t="str">
        <f t="shared" si="382"/>
        <v/>
      </c>
      <c r="S1641" s="199" t="str">
        <f t="shared" si="383"/>
        <v/>
      </c>
      <c r="T1641" s="199" t="str">
        <f t="shared" si="391"/>
        <v/>
      </c>
      <c r="U1641" s="199" t="str">
        <f t="shared" si="384"/>
        <v/>
      </c>
      <c r="V1641" s="989"/>
      <c r="X1641" s="374" t="str">
        <f t="shared" si="385"/>
        <v/>
      </c>
      <c r="Y1641" s="375" t="str">
        <f t="shared" si="386"/>
        <v/>
      </c>
      <c r="Z1641" s="374" t="str">
        <f t="shared" si="387"/>
        <v/>
      </c>
      <c r="AA1641" s="374" t="b">
        <f t="shared" si="388"/>
        <v>1</v>
      </c>
      <c r="AB1641" s="374">
        <f>COUNTIFS(B:B,B1641,H:H,'סיווג התפקידים והעלויות'!$C$2)</f>
        <v>0</v>
      </c>
      <c r="AC1641" s="374">
        <f>COUNTIFS(B:B,B1641,H:H,'סיווג התפקידים והעלויות'!$D$2)</f>
        <v>0</v>
      </c>
      <c r="AD1641" s="374" t="str">
        <f>IF(OR(AND(H1641='סיווג התפקידים והעלויות'!$A$2,I1641='סיווג התפקידים והעלויות'!$A$3),'עלויות כח אדם (6)'!H1641='סיווג התפקידים והעלויות'!$C$2,'עלויות כח אדם (6)'!H1641='סיווג התפקידים והעלויות'!$D$2),IF('עלויות כח אדם (6)'!J1641&lt;75,"לא תקין","תקין"),"")</f>
        <v/>
      </c>
      <c r="AE1641" s="374" t="str">
        <f t="shared" si="389"/>
        <v/>
      </c>
      <c r="AF1641" s="532" t="str">
        <f t="shared" si="390"/>
        <v/>
      </c>
    </row>
    <row r="1642" spans="2:32" x14ac:dyDescent="0.25">
      <c r="B1642" s="695"/>
      <c r="C1642" s="197" t="str">
        <f>IF(B1642&lt;&gt;"",IFERROR(VLOOKUP(B:B,'מצבת והרשמה (2)'!$C$20:$N$520,2,0)," ")," ")</f>
        <v xml:space="preserve"> </v>
      </c>
      <c r="D1642" s="695"/>
      <c r="E1642" s="696"/>
      <c r="F1642" s="696"/>
      <c r="G1642" s="696"/>
      <c r="H1642" s="696"/>
      <c r="I1642" s="1050" t="str">
        <f t="shared" si="377"/>
        <v/>
      </c>
      <c r="J1642" s="696"/>
      <c r="K1642" s="697"/>
      <c r="L1642" s="696"/>
      <c r="M1642" s="198" t="str">
        <f t="shared" si="378"/>
        <v/>
      </c>
      <c r="N1642" s="369" t="str">
        <f t="shared" si="379"/>
        <v/>
      </c>
      <c r="O1642" s="183" t="str">
        <f t="shared" si="380"/>
        <v/>
      </c>
      <c r="P1642" s="199" t="str">
        <f t="shared" si="381"/>
        <v/>
      </c>
      <c r="Q1642" s="199" t="str">
        <f>IF(B1642="","",IFERROR(IF('עלויות כח אדם (6)'!J1642&gt;=VLOOKUP(I1642,'סיווג התפקידים והעלויות'!$B$23:$C$32,2,0),"תקין","לא תקין"),""))</f>
        <v/>
      </c>
      <c r="R1642" s="199" t="str">
        <f t="shared" si="382"/>
        <v/>
      </c>
      <c r="S1642" s="199" t="str">
        <f t="shared" si="383"/>
        <v/>
      </c>
      <c r="T1642" s="199" t="str">
        <f t="shared" si="391"/>
        <v/>
      </c>
      <c r="U1642" s="199" t="str">
        <f t="shared" si="384"/>
        <v/>
      </c>
      <c r="V1642" s="989"/>
      <c r="X1642" s="374" t="str">
        <f t="shared" si="385"/>
        <v/>
      </c>
      <c r="Y1642" s="375" t="str">
        <f t="shared" si="386"/>
        <v/>
      </c>
      <c r="Z1642" s="374" t="str">
        <f t="shared" si="387"/>
        <v/>
      </c>
      <c r="AA1642" s="374" t="b">
        <f t="shared" si="388"/>
        <v>1</v>
      </c>
      <c r="AB1642" s="374">
        <f>COUNTIFS(B:B,B1642,H:H,'סיווג התפקידים והעלויות'!$C$2)</f>
        <v>0</v>
      </c>
      <c r="AC1642" s="374">
        <f>COUNTIFS(B:B,B1642,H:H,'סיווג התפקידים והעלויות'!$D$2)</f>
        <v>0</v>
      </c>
      <c r="AD1642" s="374" t="str">
        <f>IF(OR(AND(H1642='סיווג התפקידים והעלויות'!$A$2,I1642='סיווג התפקידים והעלויות'!$A$3),'עלויות כח אדם (6)'!H1642='סיווג התפקידים והעלויות'!$C$2,'עלויות כח אדם (6)'!H1642='סיווג התפקידים והעלויות'!$D$2),IF('עלויות כח אדם (6)'!J1642&lt;75,"לא תקין","תקין"),"")</f>
        <v/>
      </c>
      <c r="AE1642" s="374" t="str">
        <f t="shared" si="389"/>
        <v/>
      </c>
      <c r="AF1642" s="532" t="str">
        <f t="shared" si="390"/>
        <v/>
      </c>
    </row>
    <row r="1643" spans="2:32" x14ac:dyDescent="0.25">
      <c r="B1643" s="695"/>
      <c r="C1643" s="197" t="str">
        <f>IF(B1643&lt;&gt;"",IFERROR(VLOOKUP(B:B,'מצבת והרשמה (2)'!$C$20:$N$520,2,0)," ")," ")</f>
        <v xml:space="preserve"> </v>
      </c>
      <c r="D1643" s="695"/>
      <c r="E1643" s="696"/>
      <c r="F1643" s="696"/>
      <c r="G1643" s="696"/>
      <c r="H1643" s="696"/>
      <c r="I1643" s="1050" t="str">
        <f t="shared" si="377"/>
        <v/>
      </c>
      <c r="J1643" s="696"/>
      <c r="K1643" s="697"/>
      <c r="L1643" s="696"/>
      <c r="M1643" s="198" t="str">
        <f t="shared" si="378"/>
        <v/>
      </c>
      <c r="N1643" s="369" t="str">
        <f t="shared" si="379"/>
        <v/>
      </c>
      <c r="O1643" s="183" t="str">
        <f t="shared" si="380"/>
        <v/>
      </c>
      <c r="P1643" s="199" t="str">
        <f t="shared" si="381"/>
        <v/>
      </c>
      <c r="Q1643" s="199" t="str">
        <f>IF(B1643="","",IFERROR(IF('עלויות כח אדם (6)'!J1643&gt;=VLOOKUP(I1643,'סיווג התפקידים והעלויות'!$B$23:$C$32,2,0),"תקין","לא תקין"),""))</f>
        <v/>
      </c>
      <c r="R1643" s="199" t="str">
        <f t="shared" si="382"/>
        <v/>
      </c>
      <c r="S1643" s="199" t="str">
        <f t="shared" si="383"/>
        <v/>
      </c>
      <c r="T1643" s="199" t="str">
        <f t="shared" si="391"/>
        <v/>
      </c>
      <c r="U1643" s="199" t="str">
        <f t="shared" si="384"/>
        <v/>
      </c>
      <c r="V1643" s="989"/>
      <c r="X1643" s="374" t="str">
        <f t="shared" si="385"/>
        <v/>
      </c>
      <c r="Y1643" s="375" t="str">
        <f t="shared" si="386"/>
        <v/>
      </c>
      <c r="Z1643" s="374" t="str">
        <f t="shared" si="387"/>
        <v/>
      </c>
      <c r="AA1643" s="374" t="b">
        <f t="shared" si="388"/>
        <v>1</v>
      </c>
      <c r="AB1643" s="374">
        <f>COUNTIFS(B:B,B1643,H:H,'סיווג התפקידים והעלויות'!$C$2)</f>
        <v>0</v>
      </c>
      <c r="AC1643" s="374">
        <f>COUNTIFS(B:B,B1643,H:H,'סיווג התפקידים והעלויות'!$D$2)</f>
        <v>0</v>
      </c>
      <c r="AD1643" s="374" t="str">
        <f>IF(OR(AND(H1643='סיווג התפקידים והעלויות'!$A$2,I1643='סיווג התפקידים והעלויות'!$A$3),'עלויות כח אדם (6)'!H1643='סיווג התפקידים והעלויות'!$C$2,'עלויות כח אדם (6)'!H1643='סיווג התפקידים והעלויות'!$D$2),IF('עלויות כח אדם (6)'!J1643&lt;75,"לא תקין","תקין"),"")</f>
        <v/>
      </c>
      <c r="AE1643" s="374" t="str">
        <f t="shared" si="389"/>
        <v/>
      </c>
      <c r="AF1643" s="532" t="str">
        <f t="shared" si="390"/>
        <v/>
      </c>
    </row>
    <row r="1644" spans="2:32" x14ac:dyDescent="0.25">
      <c r="B1644" s="695"/>
      <c r="C1644" s="197" t="str">
        <f>IF(B1644&lt;&gt;"",IFERROR(VLOOKUP(B:B,'מצבת והרשמה (2)'!$C$20:$N$520,2,0)," ")," ")</f>
        <v xml:space="preserve"> </v>
      </c>
      <c r="D1644" s="695"/>
      <c r="E1644" s="696"/>
      <c r="F1644" s="696"/>
      <c r="G1644" s="696"/>
      <c r="H1644" s="696"/>
      <c r="I1644" s="1050" t="str">
        <f t="shared" si="377"/>
        <v/>
      </c>
      <c r="J1644" s="696"/>
      <c r="K1644" s="697"/>
      <c r="L1644" s="696"/>
      <c r="M1644" s="198" t="str">
        <f t="shared" si="378"/>
        <v/>
      </c>
      <c r="N1644" s="369" t="str">
        <f t="shared" si="379"/>
        <v/>
      </c>
      <c r="O1644" s="183" t="str">
        <f t="shared" si="380"/>
        <v/>
      </c>
      <c r="P1644" s="199" t="str">
        <f t="shared" si="381"/>
        <v/>
      </c>
      <c r="Q1644" s="199" t="str">
        <f>IF(B1644="","",IFERROR(IF('עלויות כח אדם (6)'!J1644&gt;=VLOOKUP(I1644,'סיווג התפקידים והעלויות'!$B$23:$C$32,2,0),"תקין","לא תקין"),""))</f>
        <v/>
      </c>
      <c r="R1644" s="199" t="str">
        <f t="shared" si="382"/>
        <v/>
      </c>
      <c r="S1644" s="199" t="str">
        <f t="shared" si="383"/>
        <v/>
      </c>
      <c r="T1644" s="199" t="str">
        <f t="shared" si="391"/>
        <v/>
      </c>
      <c r="U1644" s="199" t="str">
        <f t="shared" si="384"/>
        <v/>
      </c>
      <c r="V1644" s="989"/>
      <c r="X1644" s="374" t="str">
        <f t="shared" si="385"/>
        <v/>
      </c>
      <c r="Y1644" s="375" t="str">
        <f t="shared" si="386"/>
        <v/>
      </c>
      <c r="Z1644" s="374" t="str">
        <f t="shared" si="387"/>
        <v/>
      </c>
      <c r="AA1644" s="374" t="b">
        <f t="shared" si="388"/>
        <v>1</v>
      </c>
      <c r="AB1644" s="374">
        <f>COUNTIFS(B:B,B1644,H:H,'סיווג התפקידים והעלויות'!$C$2)</f>
        <v>0</v>
      </c>
      <c r="AC1644" s="374">
        <f>COUNTIFS(B:B,B1644,H:H,'סיווג התפקידים והעלויות'!$D$2)</f>
        <v>0</v>
      </c>
      <c r="AD1644" s="374" t="str">
        <f>IF(OR(AND(H1644='סיווג התפקידים והעלויות'!$A$2,I1644='סיווג התפקידים והעלויות'!$A$3),'עלויות כח אדם (6)'!H1644='סיווג התפקידים והעלויות'!$C$2,'עלויות כח אדם (6)'!H1644='סיווג התפקידים והעלויות'!$D$2),IF('עלויות כח אדם (6)'!J1644&lt;75,"לא תקין","תקין"),"")</f>
        <v/>
      </c>
      <c r="AE1644" s="374" t="str">
        <f t="shared" si="389"/>
        <v/>
      </c>
      <c r="AF1644" s="532" t="str">
        <f t="shared" si="390"/>
        <v/>
      </c>
    </row>
    <row r="1645" spans="2:32" x14ac:dyDescent="0.25">
      <c r="B1645" s="695"/>
      <c r="C1645" s="197" t="str">
        <f>IF(B1645&lt;&gt;"",IFERROR(VLOOKUP(B:B,'מצבת והרשמה (2)'!$C$20:$N$520,2,0)," ")," ")</f>
        <v xml:space="preserve"> </v>
      </c>
      <c r="D1645" s="695"/>
      <c r="E1645" s="696"/>
      <c r="F1645" s="696"/>
      <c r="G1645" s="696"/>
      <c r="H1645" s="696"/>
      <c r="I1645" s="1050" t="str">
        <f t="shared" si="377"/>
        <v/>
      </c>
      <c r="J1645" s="696"/>
      <c r="K1645" s="697"/>
      <c r="L1645" s="696"/>
      <c r="M1645" s="198" t="str">
        <f t="shared" si="378"/>
        <v/>
      </c>
      <c r="N1645" s="369" t="str">
        <f t="shared" si="379"/>
        <v/>
      </c>
      <c r="O1645" s="183" t="str">
        <f t="shared" si="380"/>
        <v/>
      </c>
      <c r="P1645" s="199" t="str">
        <f t="shared" si="381"/>
        <v/>
      </c>
      <c r="Q1645" s="199" t="str">
        <f>IF(B1645="","",IFERROR(IF('עלויות כח אדם (6)'!J1645&gt;=VLOOKUP(I1645,'סיווג התפקידים והעלויות'!$B$23:$C$32,2,0),"תקין","לא תקין"),""))</f>
        <v/>
      </c>
      <c r="R1645" s="199" t="str">
        <f t="shared" si="382"/>
        <v/>
      </c>
      <c r="S1645" s="199" t="str">
        <f t="shared" si="383"/>
        <v/>
      </c>
      <c r="T1645" s="199" t="str">
        <f t="shared" si="391"/>
        <v/>
      </c>
      <c r="U1645" s="199" t="str">
        <f t="shared" si="384"/>
        <v/>
      </c>
      <c r="V1645" s="989"/>
      <c r="X1645" s="374" t="str">
        <f t="shared" si="385"/>
        <v/>
      </c>
      <c r="Y1645" s="375" t="str">
        <f t="shared" si="386"/>
        <v/>
      </c>
      <c r="Z1645" s="374" t="str">
        <f t="shared" si="387"/>
        <v/>
      </c>
      <c r="AA1645" s="374" t="b">
        <f t="shared" si="388"/>
        <v>1</v>
      </c>
      <c r="AB1645" s="374">
        <f>COUNTIFS(B:B,B1645,H:H,'סיווג התפקידים והעלויות'!$C$2)</f>
        <v>0</v>
      </c>
      <c r="AC1645" s="374">
        <f>COUNTIFS(B:B,B1645,H:H,'סיווג התפקידים והעלויות'!$D$2)</f>
        <v>0</v>
      </c>
      <c r="AD1645" s="374" t="str">
        <f>IF(OR(AND(H1645='סיווג התפקידים והעלויות'!$A$2,I1645='סיווג התפקידים והעלויות'!$A$3),'עלויות כח אדם (6)'!H1645='סיווג התפקידים והעלויות'!$C$2,'עלויות כח אדם (6)'!H1645='סיווג התפקידים והעלויות'!$D$2),IF('עלויות כח אדם (6)'!J1645&lt;75,"לא תקין","תקין"),"")</f>
        <v/>
      </c>
      <c r="AE1645" s="374" t="str">
        <f t="shared" si="389"/>
        <v/>
      </c>
      <c r="AF1645" s="532" t="str">
        <f t="shared" si="390"/>
        <v/>
      </c>
    </row>
    <row r="1646" spans="2:32" x14ac:dyDescent="0.25">
      <c r="B1646" s="695"/>
      <c r="C1646" s="197" t="str">
        <f>IF(B1646&lt;&gt;"",IFERROR(VLOOKUP(B:B,'מצבת והרשמה (2)'!$C$20:$N$520,2,0)," ")," ")</f>
        <v xml:space="preserve"> </v>
      </c>
      <c r="D1646" s="695"/>
      <c r="E1646" s="696"/>
      <c r="F1646" s="696"/>
      <c r="G1646" s="696"/>
      <c r="H1646" s="696"/>
      <c r="I1646" s="1050" t="str">
        <f t="shared" si="377"/>
        <v/>
      </c>
      <c r="J1646" s="696"/>
      <c r="K1646" s="697"/>
      <c r="L1646" s="696"/>
      <c r="M1646" s="198" t="str">
        <f t="shared" si="378"/>
        <v/>
      </c>
      <c r="N1646" s="369" t="str">
        <f t="shared" si="379"/>
        <v/>
      </c>
      <c r="O1646" s="183" t="str">
        <f t="shared" si="380"/>
        <v/>
      </c>
      <c r="P1646" s="199" t="str">
        <f t="shared" si="381"/>
        <v/>
      </c>
      <c r="Q1646" s="199" t="str">
        <f>IF(B1646="","",IFERROR(IF('עלויות כח אדם (6)'!J1646&gt;=VLOOKUP(I1646,'סיווג התפקידים והעלויות'!$B$23:$C$32,2,0),"תקין","לא תקין"),""))</f>
        <v/>
      </c>
      <c r="R1646" s="199" t="str">
        <f t="shared" si="382"/>
        <v/>
      </c>
      <c r="S1646" s="199" t="str">
        <f t="shared" si="383"/>
        <v/>
      </c>
      <c r="T1646" s="199" t="str">
        <f t="shared" si="391"/>
        <v/>
      </c>
      <c r="U1646" s="199" t="str">
        <f t="shared" si="384"/>
        <v/>
      </c>
      <c r="V1646" s="989"/>
      <c r="X1646" s="374" t="str">
        <f t="shared" si="385"/>
        <v/>
      </c>
      <c r="Y1646" s="375" t="str">
        <f t="shared" si="386"/>
        <v/>
      </c>
      <c r="Z1646" s="374" t="str">
        <f t="shared" si="387"/>
        <v/>
      </c>
      <c r="AA1646" s="374" t="b">
        <f t="shared" si="388"/>
        <v>1</v>
      </c>
      <c r="AB1646" s="374">
        <f>COUNTIFS(B:B,B1646,H:H,'סיווג התפקידים והעלויות'!$C$2)</f>
        <v>0</v>
      </c>
      <c r="AC1646" s="374">
        <f>COUNTIFS(B:B,B1646,H:H,'סיווג התפקידים והעלויות'!$D$2)</f>
        <v>0</v>
      </c>
      <c r="AD1646" s="374" t="str">
        <f>IF(OR(AND(H1646='סיווג התפקידים והעלויות'!$A$2,I1646='סיווג התפקידים והעלויות'!$A$3),'עלויות כח אדם (6)'!H1646='סיווג התפקידים והעלויות'!$C$2,'עלויות כח אדם (6)'!H1646='סיווג התפקידים והעלויות'!$D$2),IF('עלויות כח אדם (6)'!J1646&lt;75,"לא תקין","תקין"),"")</f>
        <v/>
      </c>
      <c r="AE1646" s="374" t="str">
        <f t="shared" si="389"/>
        <v/>
      </c>
      <c r="AF1646" s="532" t="str">
        <f t="shared" si="390"/>
        <v/>
      </c>
    </row>
    <row r="1647" spans="2:32" x14ac:dyDescent="0.25">
      <c r="B1647" s="695"/>
      <c r="C1647" s="197" t="str">
        <f>IF(B1647&lt;&gt;"",IFERROR(VLOOKUP(B:B,'מצבת והרשמה (2)'!$C$20:$N$520,2,0)," ")," ")</f>
        <v xml:space="preserve"> </v>
      </c>
      <c r="D1647" s="695"/>
      <c r="E1647" s="696"/>
      <c r="F1647" s="696"/>
      <c r="G1647" s="696"/>
      <c r="H1647" s="696"/>
      <c r="I1647" s="1050" t="str">
        <f t="shared" si="377"/>
        <v/>
      </c>
      <c r="J1647" s="696"/>
      <c r="K1647" s="697"/>
      <c r="L1647" s="696"/>
      <c r="M1647" s="198" t="str">
        <f t="shared" si="378"/>
        <v/>
      </c>
      <c r="N1647" s="369" t="str">
        <f t="shared" si="379"/>
        <v/>
      </c>
      <c r="O1647" s="183" t="str">
        <f t="shared" si="380"/>
        <v/>
      </c>
      <c r="P1647" s="199" t="str">
        <f t="shared" si="381"/>
        <v/>
      </c>
      <c r="Q1647" s="199" t="str">
        <f>IF(B1647="","",IFERROR(IF('עלויות כח אדם (6)'!J1647&gt;=VLOOKUP(I1647,'סיווג התפקידים והעלויות'!$B$23:$C$32,2,0),"תקין","לא תקין"),""))</f>
        <v/>
      </c>
      <c r="R1647" s="199" t="str">
        <f t="shared" si="382"/>
        <v/>
      </c>
      <c r="S1647" s="199" t="str">
        <f t="shared" si="383"/>
        <v/>
      </c>
      <c r="T1647" s="199" t="str">
        <f t="shared" si="391"/>
        <v/>
      </c>
      <c r="U1647" s="199" t="str">
        <f t="shared" si="384"/>
        <v/>
      </c>
      <c r="V1647" s="989"/>
      <c r="X1647" s="374" t="str">
        <f t="shared" si="385"/>
        <v/>
      </c>
      <c r="Y1647" s="375" t="str">
        <f t="shared" si="386"/>
        <v/>
      </c>
      <c r="Z1647" s="374" t="str">
        <f t="shared" si="387"/>
        <v/>
      </c>
      <c r="AA1647" s="374" t="b">
        <f t="shared" si="388"/>
        <v>1</v>
      </c>
      <c r="AB1647" s="374">
        <f>COUNTIFS(B:B,B1647,H:H,'סיווג התפקידים והעלויות'!$C$2)</f>
        <v>0</v>
      </c>
      <c r="AC1647" s="374">
        <f>COUNTIFS(B:B,B1647,H:H,'סיווג התפקידים והעלויות'!$D$2)</f>
        <v>0</v>
      </c>
      <c r="AD1647" s="374" t="str">
        <f>IF(OR(AND(H1647='סיווג התפקידים והעלויות'!$A$2,I1647='סיווג התפקידים והעלויות'!$A$3),'עלויות כח אדם (6)'!H1647='סיווג התפקידים והעלויות'!$C$2,'עלויות כח אדם (6)'!H1647='סיווג התפקידים והעלויות'!$D$2),IF('עלויות כח אדם (6)'!J1647&lt;75,"לא תקין","תקין"),"")</f>
        <v/>
      </c>
      <c r="AE1647" s="374" t="str">
        <f t="shared" si="389"/>
        <v/>
      </c>
      <c r="AF1647" s="532" t="str">
        <f t="shared" si="390"/>
        <v/>
      </c>
    </row>
    <row r="1648" spans="2:32" x14ac:dyDescent="0.25">
      <c r="B1648" s="695"/>
      <c r="C1648" s="197" t="str">
        <f>IF(B1648&lt;&gt;"",IFERROR(VLOOKUP(B:B,'מצבת והרשמה (2)'!$C$20:$N$520,2,0)," ")," ")</f>
        <v xml:space="preserve"> </v>
      </c>
      <c r="D1648" s="695"/>
      <c r="E1648" s="696"/>
      <c r="F1648" s="696"/>
      <c r="G1648" s="696"/>
      <c r="H1648" s="696"/>
      <c r="I1648" s="1050" t="str">
        <f t="shared" si="377"/>
        <v/>
      </c>
      <c r="J1648" s="696"/>
      <c r="K1648" s="697"/>
      <c r="L1648" s="696"/>
      <c r="M1648" s="198" t="str">
        <f t="shared" si="378"/>
        <v/>
      </c>
      <c r="N1648" s="369" t="str">
        <f t="shared" si="379"/>
        <v/>
      </c>
      <c r="O1648" s="183" t="str">
        <f t="shared" si="380"/>
        <v/>
      </c>
      <c r="P1648" s="199" t="str">
        <f t="shared" si="381"/>
        <v/>
      </c>
      <c r="Q1648" s="199" t="str">
        <f>IF(B1648="","",IFERROR(IF('עלויות כח אדם (6)'!J1648&gt;=VLOOKUP(I1648,'סיווג התפקידים והעלויות'!$B$23:$C$32,2,0),"תקין","לא תקין"),""))</f>
        <v/>
      </c>
      <c r="R1648" s="199" t="str">
        <f t="shared" si="382"/>
        <v/>
      </c>
      <c r="S1648" s="199" t="str">
        <f t="shared" si="383"/>
        <v/>
      </c>
      <c r="T1648" s="199" t="str">
        <f t="shared" si="391"/>
        <v/>
      </c>
      <c r="U1648" s="199" t="str">
        <f t="shared" si="384"/>
        <v/>
      </c>
      <c r="V1648" s="989"/>
      <c r="X1648" s="374" t="str">
        <f t="shared" si="385"/>
        <v/>
      </c>
      <c r="Y1648" s="375" t="str">
        <f t="shared" si="386"/>
        <v/>
      </c>
      <c r="Z1648" s="374" t="str">
        <f t="shared" si="387"/>
        <v/>
      </c>
      <c r="AA1648" s="374" t="b">
        <f t="shared" si="388"/>
        <v>1</v>
      </c>
      <c r="AB1648" s="374">
        <f>COUNTIFS(B:B,B1648,H:H,'סיווג התפקידים והעלויות'!$C$2)</f>
        <v>0</v>
      </c>
      <c r="AC1648" s="374">
        <f>COUNTIFS(B:B,B1648,H:H,'סיווג התפקידים והעלויות'!$D$2)</f>
        <v>0</v>
      </c>
      <c r="AD1648" s="374" t="str">
        <f>IF(OR(AND(H1648='סיווג התפקידים והעלויות'!$A$2,I1648='סיווג התפקידים והעלויות'!$A$3),'עלויות כח אדם (6)'!H1648='סיווג התפקידים והעלויות'!$C$2,'עלויות כח אדם (6)'!H1648='סיווג התפקידים והעלויות'!$D$2),IF('עלויות כח אדם (6)'!J1648&lt;75,"לא תקין","תקין"),"")</f>
        <v/>
      </c>
      <c r="AE1648" s="374" t="str">
        <f t="shared" si="389"/>
        <v/>
      </c>
      <c r="AF1648" s="532" t="str">
        <f t="shared" si="390"/>
        <v/>
      </c>
    </row>
    <row r="1649" spans="2:32" x14ac:dyDescent="0.25">
      <c r="B1649" s="695"/>
      <c r="C1649" s="197" t="str">
        <f>IF(B1649&lt;&gt;"",IFERROR(VLOOKUP(B:B,'מצבת והרשמה (2)'!$C$20:$N$520,2,0)," ")," ")</f>
        <v xml:space="preserve"> </v>
      </c>
      <c r="D1649" s="695"/>
      <c r="E1649" s="696"/>
      <c r="F1649" s="696"/>
      <c r="G1649" s="696"/>
      <c r="H1649" s="696"/>
      <c r="I1649" s="1050" t="str">
        <f t="shared" si="377"/>
        <v/>
      </c>
      <c r="J1649" s="696"/>
      <c r="K1649" s="697"/>
      <c r="L1649" s="696"/>
      <c r="M1649" s="198" t="str">
        <f t="shared" si="378"/>
        <v/>
      </c>
      <c r="N1649" s="369" t="str">
        <f t="shared" si="379"/>
        <v/>
      </c>
      <c r="O1649" s="183" t="str">
        <f t="shared" si="380"/>
        <v/>
      </c>
      <c r="P1649" s="199" t="str">
        <f t="shared" si="381"/>
        <v/>
      </c>
      <c r="Q1649" s="199" t="str">
        <f>IF(B1649="","",IFERROR(IF('עלויות כח אדם (6)'!J1649&gt;=VLOOKUP(I1649,'סיווג התפקידים והעלויות'!$B$23:$C$32,2,0),"תקין","לא תקין"),""))</f>
        <v/>
      </c>
      <c r="R1649" s="199" t="str">
        <f t="shared" si="382"/>
        <v/>
      </c>
      <c r="S1649" s="199" t="str">
        <f t="shared" si="383"/>
        <v/>
      </c>
      <c r="T1649" s="199" t="str">
        <f t="shared" si="391"/>
        <v/>
      </c>
      <c r="U1649" s="199" t="str">
        <f t="shared" si="384"/>
        <v/>
      </c>
      <c r="V1649" s="989"/>
      <c r="X1649" s="374" t="str">
        <f t="shared" si="385"/>
        <v/>
      </c>
      <c r="Y1649" s="375" t="str">
        <f t="shared" si="386"/>
        <v/>
      </c>
      <c r="Z1649" s="374" t="str">
        <f t="shared" si="387"/>
        <v/>
      </c>
      <c r="AA1649" s="374" t="b">
        <f t="shared" si="388"/>
        <v>1</v>
      </c>
      <c r="AB1649" s="374">
        <f>COUNTIFS(B:B,B1649,H:H,'סיווג התפקידים והעלויות'!$C$2)</f>
        <v>0</v>
      </c>
      <c r="AC1649" s="374">
        <f>COUNTIFS(B:B,B1649,H:H,'סיווג התפקידים והעלויות'!$D$2)</f>
        <v>0</v>
      </c>
      <c r="AD1649" s="374" t="str">
        <f>IF(OR(AND(H1649='סיווג התפקידים והעלויות'!$A$2,I1649='סיווג התפקידים והעלויות'!$A$3),'עלויות כח אדם (6)'!H1649='סיווג התפקידים והעלויות'!$C$2,'עלויות כח אדם (6)'!H1649='סיווג התפקידים והעלויות'!$D$2),IF('עלויות כח אדם (6)'!J1649&lt;75,"לא תקין","תקין"),"")</f>
        <v/>
      </c>
      <c r="AE1649" s="374" t="str">
        <f t="shared" si="389"/>
        <v/>
      </c>
      <c r="AF1649" s="532" t="str">
        <f t="shared" si="390"/>
        <v/>
      </c>
    </row>
    <row r="1650" spans="2:32" x14ac:dyDescent="0.25">
      <c r="B1650" s="695"/>
      <c r="C1650" s="197" t="str">
        <f>IF(B1650&lt;&gt;"",IFERROR(VLOOKUP(B:B,'מצבת והרשמה (2)'!$C$20:$N$520,2,0)," ")," ")</f>
        <v xml:space="preserve"> </v>
      </c>
      <c r="D1650" s="695"/>
      <c r="E1650" s="696"/>
      <c r="F1650" s="696"/>
      <c r="G1650" s="696"/>
      <c r="H1650" s="696"/>
      <c r="I1650" s="1050" t="str">
        <f t="shared" si="377"/>
        <v/>
      </c>
      <c r="J1650" s="696"/>
      <c r="K1650" s="697"/>
      <c r="L1650" s="696"/>
      <c r="M1650" s="198" t="str">
        <f t="shared" si="378"/>
        <v/>
      </c>
      <c r="N1650" s="369" t="str">
        <f t="shared" si="379"/>
        <v/>
      </c>
      <c r="O1650" s="183" t="str">
        <f t="shared" si="380"/>
        <v/>
      </c>
      <c r="P1650" s="199" t="str">
        <f t="shared" si="381"/>
        <v/>
      </c>
      <c r="Q1650" s="199" t="str">
        <f>IF(B1650="","",IFERROR(IF('עלויות כח אדם (6)'!J1650&gt;=VLOOKUP(I1650,'סיווג התפקידים והעלויות'!$B$23:$C$32,2,0),"תקין","לא תקין"),""))</f>
        <v/>
      </c>
      <c r="R1650" s="199" t="str">
        <f t="shared" si="382"/>
        <v/>
      </c>
      <c r="S1650" s="199" t="str">
        <f t="shared" si="383"/>
        <v/>
      </c>
      <c r="T1650" s="199" t="str">
        <f t="shared" si="391"/>
        <v/>
      </c>
      <c r="U1650" s="199" t="str">
        <f t="shared" si="384"/>
        <v/>
      </c>
      <c r="V1650" s="989"/>
      <c r="X1650" s="374" t="str">
        <f t="shared" si="385"/>
        <v/>
      </c>
      <c r="Y1650" s="375" t="str">
        <f t="shared" si="386"/>
        <v/>
      </c>
      <c r="Z1650" s="374" t="str">
        <f t="shared" si="387"/>
        <v/>
      </c>
      <c r="AA1650" s="374" t="b">
        <f t="shared" si="388"/>
        <v>1</v>
      </c>
      <c r="AB1650" s="374">
        <f>COUNTIFS(B:B,B1650,H:H,'סיווג התפקידים והעלויות'!$C$2)</f>
        <v>0</v>
      </c>
      <c r="AC1650" s="374">
        <f>COUNTIFS(B:B,B1650,H:H,'סיווג התפקידים והעלויות'!$D$2)</f>
        <v>0</v>
      </c>
      <c r="AD1650" s="374" t="str">
        <f>IF(OR(AND(H1650='סיווג התפקידים והעלויות'!$A$2,I1650='סיווג התפקידים והעלויות'!$A$3),'עלויות כח אדם (6)'!H1650='סיווג התפקידים והעלויות'!$C$2,'עלויות כח אדם (6)'!H1650='סיווג התפקידים והעלויות'!$D$2),IF('עלויות כח אדם (6)'!J1650&lt;75,"לא תקין","תקין"),"")</f>
        <v/>
      </c>
      <c r="AE1650" s="374" t="str">
        <f t="shared" si="389"/>
        <v/>
      </c>
      <c r="AF1650" s="532" t="str">
        <f t="shared" si="390"/>
        <v/>
      </c>
    </row>
    <row r="1651" spans="2:32" x14ac:dyDescent="0.25">
      <c r="B1651" s="695"/>
      <c r="C1651" s="197" t="str">
        <f>IF(B1651&lt;&gt;"",IFERROR(VLOOKUP(B:B,'מצבת והרשמה (2)'!$C$20:$N$520,2,0)," ")," ")</f>
        <v xml:space="preserve"> </v>
      </c>
      <c r="D1651" s="695"/>
      <c r="E1651" s="696"/>
      <c r="F1651" s="696"/>
      <c r="G1651" s="696"/>
      <c r="H1651" s="696"/>
      <c r="I1651" s="1050" t="str">
        <f t="shared" si="377"/>
        <v/>
      </c>
      <c r="J1651" s="696"/>
      <c r="K1651" s="697"/>
      <c r="L1651" s="696"/>
      <c r="M1651" s="198" t="str">
        <f t="shared" si="378"/>
        <v/>
      </c>
      <c r="N1651" s="369" t="str">
        <f t="shared" si="379"/>
        <v/>
      </c>
      <c r="O1651" s="183" t="str">
        <f t="shared" si="380"/>
        <v/>
      </c>
      <c r="P1651" s="199" t="str">
        <f t="shared" si="381"/>
        <v/>
      </c>
      <c r="Q1651" s="199" t="str">
        <f>IF(B1651="","",IFERROR(IF('עלויות כח אדם (6)'!J1651&gt;=VLOOKUP(I1651,'סיווג התפקידים והעלויות'!$B$23:$C$32,2,0),"תקין","לא תקין"),""))</f>
        <v/>
      </c>
      <c r="R1651" s="199" t="str">
        <f t="shared" si="382"/>
        <v/>
      </c>
      <c r="S1651" s="199" t="str">
        <f t="shared" si="383"/>
        <v/>
      </c>
      <c r="T1651" s="199" t="str">
        <f t="shared" si="391"/>
        <v/>
      </c>
      <c r="U1651" s="199" t="str">
        <f t="shared" si="384"/>
        <v/>
      </c>
      <c r="V1651" s="989"/>
      <c r="X1651" s="374" t="str">
        <f t="shared" si="385"/>
        <v/>
      </c>
      <c r="Y1651" s="375" t="str">
        <f t="shared" si="386"/>
        <v/>
      </c>
      <c r="Z1651" s="374" t="str">
        <f t="shared" si="387"/>
        <v/>
      </c>
      <c r="AA1651" s="374" t="b">
        <f t="shared" si="388"/>
        <v>1</v>
      </c>
      <c r="AB1651" s="374">
        <f>COUNTIFS(B:B,B1651,H:H,'סיווג התפקידים והעלויות'!$C$2)</f>
        <v>0</v>
      </c>
      <c r="AC1651" s="374">
        <f>COUNTIFS(B:B,B1651,H:H,'סיווג התפקידים והעלויות'!$D$2)</f>
        <v>0</v>
      </c>
      <c r="AD1651" s="374" t="str">
        <f>IF(OR(AND(H1651='סיווג התפקידים והעלויות'!$A$2,I1651='סיווג התפקידים והעלויות'!$A$3),'עלויות כח אדם (6)'!H1651='סיווג התפקידים והעלויות'!$C$2,'עלויות כח אדם (6)'!H1651='סיווג התפקידים והעלויות'!$D$2),IF('עלויות כח אדם (6)'!J1651&lt;75,"לא תקין","תקין"),"")</f>
        <v/>
      </c>
      <c r="AE1651" s="374" t="str">
        <f t="shared" si="389"/>
        <v/>
      </c>
      <c r="AF1651" s="532" t="str">
        <f t="shared" si="390"/>
        <v/>
      </c>
    </row>
    <row r="1652" spans="2:32" x14ac:dyDescent="0.25">
      <c r="B1652" s="695"/>
      <c r="C1652" s="197" t="str">
        <f>IF(B1652&lt;&gt;"",IFERROR(VLOOKUP(B:B,'מצבת והרשמה (2)'!$C$20:$N$520,2,0)," ")," ")</f>
        <v xml:space="preserve"> </v>
      </c>
      <c r="D1652" s="695"/>
      <c r="E1652" s="696"/>
      <c r="F1652" s="696"/>
      <c r="G1652" s="696"/>
      <c r="H1652" s="696"/>
      <c r="I1652" s="1050" t="str">
        <f t="shared" si="377"/>
        <v/>
      </c>
      <c r="J1652" s="696"/>
      <c r="K1652" s="697"/>
      <c r="L1652" s="696"/>
      <c r="M1652" s="198" t="str">
        <f t="shared" si="378"/>
        <v/>
      </c>
      <c r="N1652" s="369" t="str">
        <f t="shared" si="379"/>
        <v/>
      </c>
      <c r="O1652" s="183" t="str">
        <f t="shared" si="380"/>
        <v/>
      </c>
      <c r="P1652" s="199" t="str">
        <f t="shared" si="381"/>
        <v/>
      </c>
      <c r="Q1652" s="199" t="str">
        <f>IF(B1652="","",IFERROR(IF('עלויות כח אדם (6)'!J1652&gt;=VLOOKUP(I1652,'סיווג התפקידים והעלויות'!$B$23:$C$32,2,0),"תקין","לא תקין"),""))</f>
        <v/>
      </c>
      <c r="R1652" s="199" t="str">
        <f t="shared" si="382"/>
        <v/>
      </c>
      <c r="S1652" s="199" t="str">
        <f t="shared" si="383"/>
        <v/>
      </c>
      <c r="T1652" s="199" t="str">
        <f t="shared" si="391"/>
        <v/>
      </c>
      <c r="U1652" s="199" t="str">
        <f t="shared" si="384"/>
        <v/>
      </c>
      <c r="V1652" s="989"/>
      <c r="X1652" s="374" t="str">
        <f t="shared" si="385"/>
        <v/>
      </c>
      <c r="Y1652" s="375" t="str">
        <f t="shared" si="386"/>
        <v/>
      </c>
      <c r="Z1652" s="374" t="str">
        <f t="shared" si="387"/>
        <v/>
      </c>
      <c r="AA1652" s="374" t="b">
        <f t="shared" si="388"/>
        <v>1</v>
      </c>
      <c r="AB1652" s="374">
        <f>COUNTIFS(B:B,B1652,H:H,'סיווג התפקידים והעלויות'!$C$2)</f>
        <v>0</v>
      </c>
      <c r="AC1652" s="374">
        <f>COUNTIFS(B:B,B1652,H:H,'סיווג התפקידים והעלויות'!$D$2)</f>
        <v>0</v>
      </c>
      <c r="AD1652" s="374" t="str">
        <f>IF(OR(AND(H1652='סיווג התפקידים והעלויות'!$A$2,I1652='סיווג התפקידים והעלויות'!$A$3),'עלויות כח אדם (6)'!H1652='סיווג התפקידים והעלויות'!$C$2,'עלויות כח אדם (6)'!H1652='סיווג התפקידים והעלויות'!$D$2),IF('עלויות כח אדם (6)'!J1652&lt;75,"לא תקין","תקין"),"")</f>
        <v/>
      </c>
      <c r="AE1652" s="374" t="str">
        <f t="shared" si="389"/>
        <v/>
      </c>
      <c r="AF1652" s="532" t="str">
        <f t="shared" si="390"/>
        <v/>
      </c>
    </row>
    <row r="1653" spans="2:32" x14ac:dyDescent="0.25">
      <c r="B1653" s="695"/>
      <c r="C1653" s="197" t="str">
        <f>IF(B1653&lt;&gt;"",IFERROR(VLOOKUP(B:B,'מצבת והרשמה (2)'!$C$20:$N$520,2,0)," ")," ")</f>
        <v xml:space="preserve"> </v>
      </c>
      <c r="D1653" s="695"/>
      <c r="E1653" s="696"/>
      <c r="F1653" s="696"/>
      <c r="G1653" s="696"/>
      <c r="H1653" s="696"/>
      <c r="I1653" s="1050" t="str">
        <f t="shared" si="377"/>
        <v/>
      </c>
      <c r="J1653" s="696"/>
      <c r="K1653" s="697"/>
      <c r="L1653" s="696"/>
      <c r="M1653" s="198" t="str">
        <f t="shared" si="378"/>
        <v/>
      </c>
      <c r="N1653" s="369" t="str">
        <f t="shared" si="379"/>
        <v/>
      </c>
      <c r="O1653" s="183" t="str">
        <f t="shared" si="380"/>
        <v/>
      </c>
      <c r="P1653" s="199" t="str">
        <f t="shared" si="381"/>
        <v/>
      </c>
      <c r="Q1653" s="199" t="str">
        <f>IF(B1653="","",IFERROR(IF('עלויות כח אדם (6)'!J1653&gt;=VLOOKUP(I1653,'סיווג התפקידים והעלויות'!$B$23:$C$32,2,0),"תקין","לא תקין"),""))</f>
        <v/>
      </c>
      <c r="R1653" s="199" t="str">
        <f t="shared" si="382"/>
        <v/>
      </c>
      <c r="S1653" s="199" t="str">
        <f t="shared" si="383"/>
        <v/>
      </c>
      <c r="T1653" s="199" t="str">
        <f t="shared" si="391"/>
        <v/>
      </c>
      <c r="U1653" s="199" t="str">
        <f t="shared" si="384"/>
        <v/>
      </c>
      <c r="V1653" s="989"/>
      <c r="X1653" s="374" t="str">
        <f t="shared" si="385"/>
        <v/>
      </c>
      <c r="Y1653" s="375" t="str">
        <f t="shared" si="386"/>
        <v/>
      </c>
      <c r="Z1653" s="374" t="str">
        <f t="shared" si="387"/>
        <v/>
      </c>
      <c r="AA1653" s="374" t="b">
        <f t="shared" si="388"/>
        <v>1</v>
      </c>
      <c r="AB1653" s="374">
        <f>COUNTIFS(B:B,B1653,H:H,'סיווג התפקידים והעלויות'!$C$2)</f>
        <v>0</v>
      </c>
      <c r="AC1653" s="374">
        <f>COUNTIFS(B:B,B1653,H:H,'סיווג התפקידים והעלויות'!$D$2)</f>
        <v>0</v>
      </c>
      <c r="AD1653" s="374" t="str">
        <f>IF(OR(AND(H1653='סיווג התפקידים והעלויות'!$A$2,I1653='סיווג התפקידים והעלויות'!$A$3),'עלויות כח אדם (6)'!H1653='סיווג התפקידים והעלויות'!$C$2,'עלויות כח אדם (6)'!H1653='סיווג התפקידים והעלויות'!$D$2),IF('עלויות כח אדם (6)'!J1653&lt;75,"לא תקין","תקין"),"")</f>
        <v/>
      </c>
      <c r="AE1653" s="374" t="str">
        <f t="shared" si="389"/>
        <v/>
      </c>
      <c r="AF1653" s="532" t="str">
        <f t="shared" si="390"/>
        <v/>
      </c>
    </row>
    <row r="1654" spans="2:32" x14ac:dyDescent="0.25">
      <c r="B1654" s="695"/>
      <c r="C1654" s="197" t="str">
        <f>IF(B1654&lt;&gt;"",IFERROR(VLOOKUP(B:B,'מצבת והרשמה (2)'!$C$20:$N$520,2,0)," ")," ")</f>
        <v xml:space="preserve"> </v>
      </c>
      <c r="D1654" s="695"/>
      <c r="E1654" s="696"/>
      <c r="F1654" s="696"/>
      <c r="G1654" s="696"/>
      <c r="H1654" s="696"/>
      <c r="I1654" s="1050" t="str">
        <f t="shared" si="377"/>
        <v/>
      </c>
      <c r="J1654" s="696"/>
      <c r="K1654" s="697"/>
      <c r="L1654" s="696"/>
      <c r="M1654" s="198" t="str">
        <f t="shared" si="378"/>
        <v/>
      </c>
      <c r="N1654" s="369" t="str">
        <f t="shared" si="379"/>
        <v/>
      </c>
      <c r="O1654" s="183" t="str">
        <f t="shared" si="380"/>
        <v/>
      </c>
      <c r="P1654" s="199" t="str">
        <f t="shared" si="381"/>
        <v/>
      </c>
      <c r="Q1654" s="199" t="str">
        <f>IF(B1654="","",IFERROR(IF('עלויות כח אדם (6)'!J1654&gt;=VLOOKUP(I1654,'סיווג התפקידים והעלויות'!$B$23:$C$32,2,0),"תקין","לא תקין"),""))</f>
        <v/>
      </c>
      <c r="R1654" s="199" t="str">
        <f t="shared" si="382"/>
        <v/>
      </c>
      <c r="S1654" s="199" t="str">
        <f t="shared" si="383"/>
        <v/>
      </c>
      <c r="T1654" s="199" t="str">
        <f t="shared" si="391"/>
        <v/>
      </c>
      <c r="U1654" s="199" t="str">
        <f t="shared" si="384"/>
        <v/>
      </c>
      <c r="V1654" s="989"/>
      <c r="X1654" s="374" t="str">
        <f t="shared" si="385"/>
        <v/>
      </c>
      <c r="Y1654" s="375" t="str">
        <f t="shared" si="386"/>
        <v/>
      </c>
      <c r="Z1654" s="374" t="str">
        <f t="shared" si="387"/>
        <v/>
      </c>
      <c r="AA1654" s="374" t="b">
        <f t="shared" si="388"/>
        <v>1</v>
      </c>
      <c r="AB1654" s="374">
        <f>COUNTIFS(B:B,B1654,H:H,'סיווג התפקידים והעלויות'!$C$2)</f>
        <v>0</v>
      </c>
      <c r="AC1654" s="374">
        <f>COUNTIFS(B:B,B1654,H:H,'סיווג התפקידים והעלויות'!$D$2)</f>
        <v>0</v>
      </c>
      <c r="AD1654" s="374" t="str">
        <f>IF(OR(AND(H1654='סיווג התפקידים והעלויות'!$A$2,I1654='סיווג התפקידים והעלויות'!$A$3),'עלויות כח אדם (6)'!H1654='סיווג התפקידים והעלויות'!$C$2,'עלויות כח אדם (6)'!H1654='סיווג התפקידים והעלויות'!$D$2),IF('עלויות כח אדם (6)'!J1654&lt;75,"לא תקין","תקין"),"")</f>
        <v/>
      </c>
      <c r="AE1654" s="374" t="str">
        <f t="shared" si="389"/>
        <v/>
      </c>
      <c r="AF1654" s="532" t="str">
        <f t="shared" si="390"/>
        <v/>
      </c>
    </row>
    <row r="1655" spans="2:32" x14ac:dyDescent="0.25">
      <c r="B1655" s="695"/>
      <c r="C1655" s="197" t="str">
        <f>IF(B1655&lt;&gt;"",IFERROR(VLOOKUP(B:B,'מצבת והרשמה (2)'!$C$20:$N$520,2,0)," ")," ")</f>
        <v xml:space="preserve"> </v>
      </c>
      <c r="D1655" s="695"/>
      <c r="E1655" s="696"/>
      <c r="F1655" s="696"/>
      <c r="G1655" s="696"/>
      <c r="H1655" s="696"/>
      <c r="I1655" s="1050" t="str">
        <f t="shared" si="377"/>
        <v/>
      </c>
      <c r="J1655" s="696"/>
      <c r="K1655" s="697"/>
      <c r="L1655" s="696"/>
      <c r="M1655" s="198" t="str">
        <f t="shared" si="378"/>
        <v/>
      </c>
      <c r="N1655" s="369" t="str">
        <f t="shared" si="379"/>
        <v/>
      </c>
      <c r="O1655" s="183" t="str">
        <f t="shared" si="380"/>
        <v/>
      </c>
      <c r="P1655" s="199" t="str">
        <f t="shared" si="381"/>
        <v/>
      </c>
      <c r="Q1655" s="199" t="str">
        <f>IF(B1655="","",IFERROR(IF('עלויות כח אדם (6)'!J1655&gt;=VLOOKUP(I1655,'סיווג התפקידים והעלויות'!$B$23:$C$32,2,0),"תקין","לא תקין"),""))</f>
        <v/>
      </c>
      <c r="R1655" s="199" t="str">
        <f t="shared" si="382"/>
        <v/>
      </c>
      <c r="S1655" s="199" t="str">
        <f t="shared" si="383"/>
        <v/>
      </c>
      <c r="T1655" s="199" t="str">
        <f t="shared" si="391"/>
        <v/>
      </c>
      <c r="U1655" s="199" t="str">
        <f t="shared" si="384"/>
        <v/>
      </c>
      <c r="V1655" s="989"/>
      <c r="X1655" s="374" t="str">
        <f t="shared" si="385"/>
        <v/>
      </c>
      <c r="Y1655" s="375" t="str">
        <f t="shared" si="386"/>
        <v/>
      </c>
      <c r="Z1655" s="374" t="str">
        <f t="shared" si="387"/>
        <v/>
      </c>
      <c r="AA1655" s="374" t="b">
        <f t="shared" si="388"/>
        <v>1</v>
      </c>
      <c r="AB1655" s="374">
        <f>COUNTIFS(B:B,B1655,H:H,'סיווג התפקידים והעלויות'!$C$2)</f>
        <v>0</v>
      </c>
      <c r="AC1655" s="374">
        <f>COUNTIFS(B:B,B1655,H:H,'סיווג התפקידים והעלויות'!$D$2)</f>
        <v>0</v>
      </c>
      <c r="AD1655" s="374" t="str">
        <f>IF(OR(AND(H1655='סיווג התפקידים והעלויות'!$A$2,I1655='סיווג התפקידים והעלויות'!$A$3),'עלויות כח אדם (6)'!H1655='סיווג התפקידים והעלויות'!$C$2,'עלויות כח אדם (6)'!H1655='סיווג התפקידים והעלויות'!$D$2),IF('עלויות כח אדם (6)'!J1655&lt;75,"לא תקין","תקין"),"")</f>
        <v/>
      </c>
      <c r="AE1655" s="374" t="str">
        <f t="shared" si="389"/>
        <v/>
      </c>
      <c r="AF1655" s="532" t="str">
        <f t="shared" si="390"/>
        <v/>
      </c>
    </row>
    <row r="1656" spans="2:32" x14ac:dyDescent="0.25">
      <c r="B1656" s="695"/>
      <c r="C1656" s="197" t="str">
        <f>IF(B1656&lt;&gt;"",IFERROR(VLOOKUP(B:B,'מצבת והרשמה (2)'!$C$20:$N$520,2,0)," ")," ")</f>
        <v xml:space="preserve"> </v>
      </c>
      <c r="D1656" s="695"/>
      <c r="E1656" s="696"/>
      <c r="F1656" s="696"/>
      <c r="G1656" s="696"/>
      <c r="H1656" s="696"/>
      <c r="I1656" s="1050" t="str">
        <f t="shared" si="377"/>
        <v/>
      </c>
      <c r="J1656" s="696"/>
      <c r="K1656" s="697"/>
      <c r="L1656" s="696"/>
      <c r="M1656" s="198" t="str">
        <f t="shared" si="378"/>
        <v/>
      </c>
      <c r="N1656" s="369" t="str">
        <f t="shared" si="379"/>
        <v/>
      </c>
      <c r="O1656" s="183" t="str">
        <f t="shared" si="380"/>
        <v/>
      </c>
      <c r="P1656" s="199" t="str">
        <f t="shared" si="381"/>
        <v/>
      </c>
      <c r="Q1656" s="199" t="str">
        <f>IF(B1656="","",IFERROR(IF('עלויות כח אדם (6)'!J1656&gt;=VLOOKUP(I1656,'סיווג התפקידים והעלויות'!$B$23:$C$32,2,0),"תקין","לא תקין"),""))</f>
        <v/>
      </c>
      <c r="R1656" s="199" t="str">
        <f t="shared" si="382"/>
        <v/>
      </c>
      <c r="S1656" s="199" t="str">
        <f t="shared" si="383"/>
        <v/>
      </c>
      <c r="T1656" s="199" t="str">
        <f t="shared" si="391"/>
        <v/>
      </c>
      <c r="U1656" s="199" t="str">
        <f t="shared" si="384"/>
        <v/>
      </c>
      <c r="V1656" s="989"/>
      <c r="X1656" s="374" t="str">
        <f t="shared" si="385"/>
        <v/>
      </c>
      <c r="Y1656" s="375" t="str">
        <f t="shared" si="386"/>
        <v/>
      </c>
      <c r="Z1656" s="374" t="str">
        <f t="shared" si="387"/>
        <v/>
      </c>
      <c r="AA1656" s="374" t="b">
        <f t="shared" si="388"/>
        <v>1</v>
      </c>
      <c r="AB1656" s="374">
        <f>COUNTIFS(B:B,B1656,H:H,'סיווג התפקידים והעלויות'!$C$2)</f>
        <v>0</v>
      </c>
      <c r="AC1656" s="374">
        <f>COUNTIFS(B:B,B1656,H:H,'סיווג התפקידים והעלויות'!$D$2)</f>
        <v>0</v>
      </c>
      <c r="AD1656" s="374" t="str">
        <f>IF(OR(AND(H1656='סיווג התפקידים והעלויות'!$A$2,I1656='סיווג התפקידים והעלויות'!$A$3),'עלויות כח אדם (6)'!H1656='סיווג התפקידים והעלויות'!$C$2,'עלויות כח אדם (6)'!H1656='סיווג התפקידים והעלויות'!$D$2),IF('עלויות כח אדם (6)'!J1656&lt;75,"לא תקין","תקין"),"")</f>
        <v/>
      </c>
      <c r="AE1656" s="374" t="str">
        <f t="shared" si="389"/>
        <v/>
      </c>
      <c r="AF1656" s="532" t="str">
        <f t="shared" si="390"/>
        <v/>
      </c>
    </row>
    <row r="1657" spans="2:32" x14ac:dyDescent="0.25">
      <c r="B1657" s="695"/>
      <c r="C1657" s="197" t="str">
        <f>IF(B1657&lt;&gt;"",IFERROR(VLOOKUP(B:B,'מצבת והרשמה (2)'!$C$20:$N$520,2,0)," ")," ")</f>
        <v xml:space="preserve"> </v>
      </c>
      <c r="D1657" s="695"/>
      <c r="E1657" s="696"/>
      <c r="F1657" s="696"/>
      <c r="G1657" s="696"/>
      <c r="H1657" s="696"/>
      <c r="I1657" s="1050" t="str">
        <f t="shared" si="377"/>
        <v/>
      </c>
      <c r="J1657" s="696"/>
      <c r="K1657" s="697"/>
      <c r="L1657" s="696"/>
      <c r="M1657" s="198" t="str">
        <f t="shared" si="378"/>
        <v/>
      </c>
      <c r="N1657" s="369" t="str">
        <f t="shared" si="379"/>
        <v/>
      </c>
      <c r="O1657" s="183" t="str">
        <f t="shared" si="380"/>
        <v/>
      </c>
      <c r="P1657" s="199" t="str">
        <f t="shared" si="381"/>
        <v/>
      </c>
      <c r="Q1657" s="199" t="str">
        <f>IF(B1657="","",IFERROR(IF('עלויות כח אדם (6)'!J1657&gt;=VLOOKUP(I1657,'סיווג התפקידים והעלויות'!$B$23:$C$32,2,0),"תקין","לא תקין"),""))</f>
        <v/>
      </c>
      <c r="R1657" s="199" t="str">
        <f t="shared" si="382"/>
        <v/>
      </c>
      <c r="S1657" s="199" t="str">
        <f t="shared" si="383"/>
        <v/>
      </c>
      <c r="T1657" s="199" t="str">
        <f t="shared" si="391"/>
        <v/>
      </c>
      <c r="U1657" s="199" t="str">
        <f t="shared" si="384"/>
        <v/>
      </c>
      <c r="V1657" s="989"/>
      <c r="X1657" s="374" t="str">
        <f t="shared" si="385"/>
        <v/>
      </c>
      <c r="Y1657" s="375" t="str">
        <f t="shared" si="386"/>
        <v/>
      </c>
      <c r="Z1657" s="374" t="str">
        <f t="shared" si="387"/>
        <v/>
      </c>
      <c r="AA1657" s="374" t="b">
        <f t="shared" si="388"/>
        <v>1</v>
      </c>
      <c r="AB1657" s="374">
        <f>COUNTIFS(B:B,B1657,H:H,'סיווג התפקידים והעלויות'!$C$2)</f>
        <v>0</v>
      </c>
      <c r="AC1657" s="374">
        <f>COUNTIFS(B:B,B1657,H:H,'סיווג התפקידים והעלויות'!$D$2)</f>
        <v>0</v>
      </c>
      <c r="AD1657" s="374" t="str">
        <f>IF(OR(AND(H1657='סיווג התפקידים והעלויות'!$A$2,I1657='סיווג התפקידים והעלויות'!$A$3),'עלויות כח אדם (6)'!H1657='סיווג התפקידים והעלויות'!$C$2,'עלויות כח אדם (6)'!H1657='סיווג התפקידים והעלויות'!$D$2),IF('עלויות כח אדם (6)'!J1657&lt;75,"לא תקין","תקין"),"")</f>
        <v/>
      </c>
      <c r="AE1657" s="374" t="str">
        <f t="shared" si="389"/>
        <v/>
      </c>
      <c r="AF1657" s="532" t="str">
        <f t="shared" si="390"/>
        <v/>
      </c>
    </row>
    <row r="1658" spans="2:32" x14ac:dyDescent="0.25">
      <c r="B1658" s="695"/>
      <c r="C1658" s="197" t="str">
        <f>IF(B1658&lt;&gt;"",IFERROR(VLOOKUP(B:B,'מצבת והרשמה (2)'!$C$20:$N$520,2,0)," ")," ")</f>
        <v xml:space="preserve"> </v>
      </c>
      <c r="D1658" s="695"/>
      <c r="E1658" s="696"/>
      <c r="F1658" s="696"/>
      <c r="G1658" s="696"/>
      <c r="H1658" s="696"/>
      <c r="I1658" s="1050" t="str">
        <f t="shared" si="377"/>
        <v/>
      </c>
      <c r="J1658" s="696"/>
      <c r="K1658" s="697"/>
      <c r="L1658" s="696"/>
      <c r="M1658" s="198" t="str">
        <f t="shared" si="378"/>
        <v/>
      </c>
      <c r="N1658" s="369" t="str">
        <f t="shared" si="379"/>
        <v/>
      </c>
      <c r="O1658" s="183" t="str">
        <f t="shared" si="380"/>
        <v/>
      </c>
      <c r="P1658" s="199" t="str">
        <f t="shared" si="381"/>
        <v/>
      </c>
      <c r="Q1658" s="199" t="str">
        <f>IF(B1658="","",IFERROR(IF('עלויות כח אדם (6)'!J1658&gt;=VLOOKUP(I1658,'סיווג התפקידים והעלויות'!$B$23:$C$32,2,0),"תקין","לא תקין"),""))</f>
        <v/>
      </c>
      <c r="R1658" s="199" t="str">
        <f t="shared" si="382"/>
        <v/>
      </c>
      <c r="S1658" s="199" t="str">
        <f t="shared" si="383"/>
        <v/>
      </c>
      <c r="T1658" s="199" t="str">
        <f t="shared" si="391"/>
        <v/>
      </c>
      <c r="U1658" s="199" t="str">
        <f t="shared" si="384"/>
        <v/>
      </c>
      <c r="V1658" s="989"/>
      <c r="X1658" s="374" t="str">
        <f t="shared" si="385"/>
        <v/>
      </c>
      <c r="Y1658" s="375" t="str">
        <f t="shared" si="386"/>
        <v/>
      </c>
      <c r="Z1658" s="374" t="str">
        <f t="shared" si="387"/>
        <v/>
      </c>
      <c r="AA1658" s="374" t="b">
        <f t="shared" si="388"/>
        <v>1</v>
      </c>
      <c r="AB1658" s="374">
        <f>COUNTIFS(B:B,B1658,H:H,'סיווג התפקידים והעלויות'!$C$2)</f>
        <v>0</v>
      </c>
      <c r="AC1658" s="374">
        <f>COUNTIFS(B:B,B1658,H:H,'סיווג התפקידים והעלויות'!$D$2)</f>
        <v>0</v>
      </c>
      <c r="AD1658" s="374" t="str">
        <f>IF(OR(AND(H1658='סיווג התפקידים והעלויות'!$A$2,I1658='סיווג התפקידים והעלויות'!$A$3),'עלויות כח אדם (6)'!H1658='סיווג התפקידים והעלויות'!$C$2,'עלויות כח אדם (6)'!H1658='סיווג התפקידים והעלויות'!$D$2),IF('עלויות כח אדם (6)'!J1658&lt;75,"לא תקין","תקין"),"")</f>
        <v/>
      </c>
      <c r="AE1658" s="374" t="str">
        <f t="shared" si="389"/>
        <v/>
      </c>
      <c r="AF1658" s="532" t="str">
        <f t="shared" si="390"/>
        <v/>
      </c>
    </row>
    <row r="1659" spans="2:32" x14ac:dyDescent="0.25">
      <c r="B1659" s="695"/>
      <c r="C1659" s="197" t="str">
        <f>IF(B1659&lt;&gt;"",IFERROR(VLOOKUP(B:B,'מצבת והרשמה (2)'!$C$20:$N$520,2,0)," ")," ")</f>
        <v xml:space="preserve"> </v>
      </c>
      <c r="D1659" s="695"/>
      <c r="E1659" s="696"/>
      <c r="F1659" s="696"/>
      <c r="G1659" s="696"/>
      <c r="H1659" s="696"/>
      <c r="I1659" s="1050" t="str">
        <f t="shared" si="377"/>
        <v/>
      </c>
      <c r="J1659" s="696"/>
      <c r="K1659" s="697"/>
      <c r="L1659" s="696"/>
      <c r="M1659" s="198" t="str">
        <f t="shared" si="378"/>
        <v/>
      </c>
      <c r="N1659" s="369" t="str">
        <f t="shared" si="379"/>
        <v/>
      </c>
      <c r="O1659" s="183" t="str">
        <f t="shared" si="380"/>
        <v/>
      </c>
      <c r="P1659" s="199" t="str">
        <f t="shared" si="381"/>
        <v/>
      </c>
      <c r="Q1659" s="199" t="str">
        <f>IF(B1659="","",IFERROR(IF('עלויות כח אדם (6)'!J1659&gt;=VLOOKUP(I1659,'סיווג התפקידים והעלויות'!$B$23:$C$32,2,0),"תקין","לא תקין"),""))</f>
        <v/>
      </c>
      <c r="R1659" s="199" t="str">
        <f t="shared" si="382"/>
        <v/>
      </c>
      <c r="S1659" s="199" t="str">
        <f t="shared" si="383"/>
        <v/>
      </c>
      <c r="T1659" s="199" t="str">
        <f t="shared" si="391"/>
        <v/>
      </c>
      <c r="U1659" s="199" t="str">
        <f t="shared" si="384"/>
        <v/>
      </c>
      <c r="V1659" s="989"/>
      <c r="X1659" s="374" t="str">
        <f t="shared" si="385"/>
        <v/>
      </c>
      <c r="Y1659" s="375" t="str">
        <f t="shared" si="386"/>
        <v/>
      </c>
      <c r="Z1659" s="374" t="str">
        <f t="shared" si="387"/>
        <v/>
      </c>
      <c r="AA1659" s="374" t="b">
        <f t="shared" si="388"/>
        <v>1</v>
      </c>
      <c r="AB1659" s="374">
        <f>COUNTIFS(B:B,B1659,H:H,'סיווג התפקידים והעלויות'!$C$2)</f>
        <v>0</v>
      </c>
      <c r="AC1659" s="374">
        <f>COUNTIFS(B:B,B1659,H:H,'סיווג התפקידים והעלויות'!$D$2)</f>
        <v>0</v>
      </c>
      <c r="AD1659" s="374" t="str">
        <f>IF(OR(AND(H1659='סיווג התפקידים והעלויות'!$A$2,I1659='סיווג התפקידים והעלויות'!$A$3),'עלויות כח אדם (6)'!H1659='סיווג התפקידים והעלויות'!$C$2,'עלויות כח אדם (6)'!H1659='סיווג התפקידים והעלויות'!$D$2),IF('עלויות כח אדם (6)'!J1659&lt;75,"לא תקין","תקין"),"")</f>
        <v/>
      </c>
      <c r="AE1659" s="374" t="str">
        <f t="shared" si="389"/>
        <v/>
      </c>
      <c r="AF1659" s="532" t="str">
        <f t="shared" si="390"/>
        <v/>
      </c>
    </row>
    <row r="1660" spans="2:32" x14ac:dyDescent="0.25">
      <c r="B1660" s="695"/>
      <c r="C1660" s="197" t="str">
        <f>IF(B1660&lt;&gt;"",IFERROR(VLOOKUP(B:B,'מצבת והרשמה (2)'!$C$20:$N$520,2,0)," ")," ")</f>
        <v xml:space="preserve"> </v>
      </c>
      <c r="D1660" s="695"/>
      <c r="E1660" s="696"/>
      <c r="F1660" s="696"/>
      <c r="G1660" s="696"/>
      <c r="H1660" s="696"/>
      <c r="I1660" s="1050" t="str">
        <f t="shared" si="377"/>
        <v/>
      </c>
      <c r="J1660" s="696"/>
      <c r="K1660" s="697"/>
      <c r="L1660" s="696"/>
      <c r="M1660" s="198" t="str">
        <f t="shared" si="378"/>
        <v/>
      </c>
      <c r="N1660" s="369" t="str">
        <f t="shared" si="379"/>
        <v/>
      </c>
      <c r="O1660" s="183" t="str">
        <f t="shared" si="380"/>
        <v/>
      </c>
      <c r="P1660" s="199" t="str">
        <f t="shared" si="381"/>
        <v/>
      </c>
      <c r="Q1660" s="199" t="str">
        <f>IF(B1660="","",IFERROR(IF('עלויות כח אדם (6)'!J1660&gt;=VLOOKUP(I1660,'סיווג התפקידים והעלויות'!$B$23:$C$32,2,0),"תקין","לא תקין"),""))</f>
        <v/>
      </c>
      <c r="R1660" s="199" t="str">
        <f t="shared" si="382"/>
        <v/>
      </c>
      <c r="S1660" s="199" t="str">
        <f t="shared" si="383"/>
        <v/>
      </c>
      <c r="T1660" s="199" t="str">
        <f t="shared" si="391"/>
        <v/>
      </c>
      <c r="U1660" s="199" t="str">
        <f t="shared" si="384"/>
        <v/>
      </c>
      <c r="V1660" s="989"/>
      <c r="X1660" s="374" t="str">
        <f t="shared" si="385"/>
        <v/>
      </c>
      <c r="Y1660" s="375" t="str">
        <f t="shared" si="386"/>
        <v/>
      </c>
      <c r="Z1660" s="374" t="str">
        <f t="shared" si="387"/>
        <v/>
      </c>
      <c r="AA1660" s="374" t="b">
        <f t="shared" si="388"/>
        <v>1</v>
      </c>
      <c r="AB1660" s="374">
        <f>COUNTIFS(B:B,B1660,H:H,'סיווג התפקידים והעלויות'!$C$2)</f>
        <v>0</v>
      </c>
      <c r="AC1660" s="374">
        <f>COUNTIFS(B:B,B1660,H:H,'סיווג התפקידים והעלויות'!$D$2)</f>
        <v>0</v>
      </c>
      <c r="AD1660" s="374" t="str">
        <f>IF(OR(AND(H1660='סיווג התפקידים והעלויות'!$A$2,I1660='סיווג התפקידים והעלויות'!$A$3),'עלויות כח אדם (6)'!H1660='סיווג התפקידים והעלויות'!$C$2,'עלויות כח אדם (6)'!H1660='סיווג התפקידים והעלויות'!$D$2),IF('עלויות כח אדם (6)'!J1660&lt;75,"לא תקין","תקין"),"")</f>
        <v/>
      </c>
      <c r="AE1660" s="374" t="str">
        <f t="shared" si="389"/>
        <v/>
      </c>
      <c r="AF1660" s="532" t="str">
        <f t="shared" si="390"/>
        <v/>
      </c>
    </row>
    <row r="1661" spans="2:32" x14ac:dyDescent="0.25">
      <c r="B1661" s="695"/>
      <c r="C1661" s="197" t="str">
        <f>IF(B1661&lt;&gt;"",IFERROR(VLOOKUP(B:B,'מצבת והרשמה (2)'!$C$20:$N$520,2,0)," ")," ")</f>
        <v xml:space="preserve"> </v>
      </c>
      <c r="D1661" s="695"/>
      <c r="E1661" s="696"/>
      <c r="F1661" s="696"/>
      <c r="G1661" s="696"/>
      <c r="H1661" s="696"/>
      <c r="I1661" s="1050" t="str">
        <f t="shared" si="377"/>
        <v/>
      </c>
      <c r="J1661" s="696"/>
      <c r="K1661" s="697"/>
      <c r="L1661" s="696"/>
      <c r="M1661" s="198" t="str">
        <f t="shared" si="378"/>
        <v/>
      </c>
      <c r="N1661" s="369" t="str">
        <f t="shared" si="379"/>
        <v/>
      </c>
      <c r="O1661" s="183" t="str">
        <f t="shared" si="380"/>
        <v/>
      </c>
      <c r="P1661" s="199" t="str">
        <f t="shared" si="381"/>
        <v/>
      </c>
      <c r="Q1661" s="199" t="str">
        <f>IF(B1661="","",IFERROR(IF('עלויות כח אדם (6)'!J1661&gt;=VLOOKUP(I1661,'סיווג התפקידים והעלויות'!$B$23:$C$32,2,0),"תקין","לא תקין"),""))</f>
        <v/>
      </c>
      <c r="R1661" s="199" t="str">
        <f t="shared" si="382"/>
        <v/>
      </c>
      <c r="S1661" s="199" t="str">
        <f t="shared" si="383"/>
        <v/>
      </c>
      <c r="T1661" s="199" t="str">
        <f t="shared" si="391"/>
        <v/>
      </c>
      <c r="U1661" s="199" t="str">
        <f t="shared" si="384"/>
        <v/>
      </c>
      <c r="V1661" s="989"/>
      <c r="X1661" s="374" t="str">
        <f t="shared" si="385"/>
        <v/>
      </c>
      <c r="Y1661" s="375" t="str">
        <f t="shared" si="386"/>
        <v/>
      </c>
      <c r="Z1661" s="374" t="str">
        <f t="shared" si="387"/>
        <v/>
      </c>
      <c r="AA1661" s="374" t="b">
        <f t="shared" si="388"/>
        <v>1</v>
      </c>
      <c r="AB1661" s="374">
        <f>COUNTIFS(B:B,B1661,H:H,'סיווג התפקידים והעלויות'!$C$2)</f>
        <v>0</v>
      </c>
      <c r="AC1661" s="374">
        <f>COUNTIFS(B:B,B1661,H:H,'סיווג התפקידים והעלויות'!$D$2)</f>
        <v>0</v>
      </c>
      <c r="AD1661" s="374" t="str">
        <f>IF(OR(AND(H1661='סיווג התפקידים והעלויות'!$A$2,I1661='סיווג התפקידים והעלויות'!$A$3),'עלויות כח אדם (6)'!H1661='סיווג התפקידים והעלויות'!$C$2,'עלויות כח אדם (6)'!H1661='סיווג התפקידים והעלויות'!$D$2),IF('עלויות כח אדם (6)'!J1661&lt;75,"לא תקין","תקין"),"")</f>
        <v/>
      </c>
      <c r="AE1661" s="374" t="str">
        <f t="shared" si="389"/>
        <v/>
      </c>
      <c r="AF1661" s="532" t="str">
        <f t="shared" si="390"/>
        <v/>
      </c>
    </row>
    <row r="1662" spans="2:32" x14ac:dyDescent="0.25">
      <c r="B1662" s="695"/>
      <c r="C1662" s="197" t="str">
        <f>IF(B1662&lt;&gt;"",IFERROR(VLOOKUP(B:B,'מצבת והרשמה (2)'!$C$20:$N$520,2,0)," ")," ")</f>
        <v xml:space="preserve"> </v>
      </c>
      <c r="D1662" s="695"/>
      <c r="E1662" s="696"/>
      <c r="F1662" s="696"/>
      <c r="G1662" s="696"/>
      <c r="H1662" s="696"/>
      <c r="I1662" s="1050" t="str">
        <f t="shared" si="377"/>
        <v/>
      </c>
      <c r="J1662" s="696"/>
      <c r="K1662" s="697"/>
      <c r="L1662" s="696"/>
      <c r="M1662" s="198" t="str">
        <f t="shared" si="378"/>
        <v/>
      </c>
      <c r="N1662" s="369" t="str">
        <f t="shared" si="379"/>
        <v/>
      </c>
      <c r="O1662" s="183" t="str">
        <f t="shared" si="380"/>
        <v/>
      </c>
      <c r="P1662" s="199" t="str">
        <f t="shared" si="381"/>
        <v/>
      </c>
      <c r="Q1662" s="199" t="str">
        <f>IF(B1662="","",IFERROR(IF('עלויות כח אדם (6)'!J1662&gt;=VLOOKUP(I1662,'סיווג התפקידים והעלויות'!$B$23:$C$32,2,0),"תקין","לא תקין"),""))</f>
        <v/>
      </c>
      <c r="R1662" s="199" t="str">
        <f t="shared" si="382"/>
        <v/>
      </c>
      <c r="S1662" s="199" t="str">
        <f t="shared" si="383"/>
        <v/>
      </c>
      <c r="T1662" s="199" t="str">
        <f t="shared" si="391"/>
        <v/>
      </c>
      <c r="U1662" s="199" t="str">
        <f t="shared" si="384"/>
        <v/>
      </c>
      <c r="V1662" s="989"/>
      <c r="X1662" s="374" t="str">
        <f t="shared" si="385"/>
        <v/>
      </c>
      <c r="Y1662" s="375" t="str">
        <f t="shared" si="386"/>
        <v/>
      </c>
      <c r="Z1662" s="374" t="str">
        <f t="shared" si="387"/>
        <v/>
      </c>
      <c r="AA1662" s="374" t="b">
        <f t="shared" si="388"/>
        <v>1</v>
      </c>
      <c r="AB1662" s="374">
        <f>COUNTIFS(B:B,B1662,H:H,'סיווג התפקידים והעלויות'!$C$2)</f>
        <v>0</v>
      </c>
      <c r="AC1662" s="374">
        <f>COUNTIFS(B:B,B1662,H:H,'סיווג התפקידים והעלויות'!$D$2)</f>
        <v>0</v>
      </c>
      <c r="AD1662" s="374" t="str">
        <f>IF(OR(AND(H1662='סיווג התפקידים והעלויות'!$A$2,I1662='סיווג התפקידים והעלויות'!$A$3),'עלויות כח אדם (6)'!H1662='סיווג התפקידים והעלויות'!$C$2,'עלויות כח אדם (6)'!H1662='סיווג התפקידים והעלויות'!$D$2),IF('עלויות כח אדם (6)'!J1662&lt;75,"לא תקין","תקין"),"")</f>
        <v/>
      </c>
      <c r="AE1662" s="374" t="str">
        <f t="shared" si="389"/>
        <v/>
      </c>
      <c r="AF1662" s="532" t="str">
        <f t="shared" si="390"/>
        <v/>
      </c>
    </row>
    <row r="1663" spans="2:32" x14ac:dyDescent="0.25">
      <c r="B1663" s="695"/>
      <c r="C1663" s="197" t="str">
        <f>IF(B1663&lt;&gt;"",IFERROR(VLOOKUP(B:B,'מצבת והרשמה (2)'!$C$20:$N$520,2,0)," ")," ")</f>
        <v xml:space="preserve"> </v>
      </c>
      <c r="D1663" s="695"/>
      <c r="E1663" s="696"/>
      <c r="F1663" s="696"/>
      <c r="G1663" s="696"/>
      <c r="H1663" s="696"/>
      <c r="I1663" s="1050" t="str">
        <f t="shared" si="377"/>
        <v/>
      </c>
      <c r="J1663" s="696"/>
      <c r="K1663" s="697"/>
      <c r="L1663" s="696"/>
      <c r="M1663" s="198" t="str">
        <f t="shared" si="378"/>
        <v/>
      </c>
      <c r="N1663" s="369" t="str">
        <f t="shared" si="379"/>
        <v/>
      </c>
      <c r="O1663" s="183" t="str">
        <f t="shared" si="380"/>
        <v/>
      </c>
      <c r="P1663" s="199" t="str">
        <f t="shared" si="381"/>
        <v/>
      </c>
      <c r="Q1663" s="199" t="str">
        <f>IF(B1663="","",IFERROR(IF('עלויות כח אדם (6)'!J1663&gt;=VLOOKUP(I1663,'סיווג התפקידים והעלויות'!$B$23:$C$32,2,0),"תקין","לא תקין"),""))</f>
        <v/>
      </c>
      <c r="R1663" s="199" t="str">
        <f t="shared" si="382"/>
        <v/>
      </c>
      <c r="S1663" s="199" t="str">
        <f t="shared" si="383"/>
        <v/>
      </c>
      <c r="T1663" s="199" t="str">
        <f t="shared" si="391"/>
        <v/>
      </c>
      <c r="U1663" s="199" t="str">
        <f t="shared" si="384"/>
        <v/>
      </c>
      <c r="V1663" s="989"/>
      <c r="X1663" s="374" t="str">
        <f t="shared" si="385"/>
        <v/>
      </c>
      <c r="Y1663" s="375" t="str">
        <f t="shared" si="386"/>
        <v/>
      </c>
      <c r="Z1663" s="374" t="str">
        <f t="shared" si="387"/>
        <v/>
      </c>
      <c r="AA1663" s="374" t="b">
        <f t="shared" si="388"/>
        <v>1</v>
      </c>
      <c r="AB1663" s="374">
        <f>COUNTIFS(B:B,B1663,H:H,'סיווג התפקידים והעלויות'!$C$2)</f>
        <v>0</v>
      </c>
      <c r="AC1663" s="374">
        <f>COUNTIFS(B:B,B1663,H:H,'סיווג התפקידים והעלויות'!$D$2)</f>
        <v>0</v>
      </c>
      <c r="AD1663" s="374" t="str">
        <f>IF(OR(AND(H1663='סיווג התפקידים והעלויות'!$A$2,I1663='סיווג התפקידים והעלויות'!$A$3),'עלויות כח אדם (6)'!H1663='סיווג התפקידים והעלויות'!$C$2,'עלויות כח אדם (6)'!H1663='סיווג התפקידים והעלויות'!$D$2),IF('עלויות כח אדם (6)'!J1663&lt;75,"לא תקין","תקין"),"")</f>
        <v/>
      </c>
      <c r="AE1663" s="374" t="str">
        <f t="shared" si="389"/>
        <v/>
      </c>
      <c r="AF1663" s="532" t="str">
        <f t="shared" si="390"/>
        <v/>
      </c>
    </row>
    <row r="1664" spans="2:32" x14ac:dyDescent="0.25">
      <c r="B1664" s="695"/>
      <c r="C1664" s="197" t="str">
        <f>IF(B1664&lt;&gt;"",IFERROR(VLOOKUP(B:B,'מצבת והרשמה (2)'!$C$20:$N$520,2,0)," ")," ")</f>
        <v xml:space="preserve"> </v>
      </c>
      <c r="D1664" s="695"/>
      <c r="E1664" s="696"/>
      <c r="F1664" s="696"/>
      <c r="G1664" s="696"/>
      <c r="H1664" s="696"/>
      <c r="I1664" s="1050" t="str">
        <f t="shared" si="377"/>
        <v/>
      </c>
      <c r="J1664" s="696"/>
      <c r="K1664" s="697"/>
      <c r="L1664" s="696"/>
      <c r="M1664" s="198" t="str">
        <f t="shared" si="378"/>
        <v/>
      </c>
      <c r="N1664" s="369" t="str">
        <f t="shared" si="379"/>
        <v/>
      </c>
      <c r="O1664" s="183" t="str">
        <f t="shared" si="380"/>
        <v/>
      </c>
      <c r="P1664" s="199" t="str">
        <f t="shared" si="381"/>
        <v/>
      </c>
      <c r="Q1664" s="199" t="str">
        <f>IF(B1664="","",IFERROR(IF('עלויות כח אדם (6)'!J1664&gt;=VLOOKUP(I1664,'סיווג התפקידים והעלויות'!$B$23:$C$32,2,0),"תקין","לא תקין"),""))</f>
        <v/>
      </c>
      <c r="R1664" s="199" t="str">
        <f t="shared" si="382"/>
        <v/>
      </c>
      <c r="S1664" s="199" t="str">
        <f t="shared" si="383"/>
        <v/>
      </c>
      <c r="T1664" s="199" t="str">
        <f t="shared" si="391"/>
        <v/>
      </c>
      <c r="U1664" s="199" t="str">
        <f t="shared" si="384"/>
        <v/>
      </c>
      <c r="V1664" s="989"/>
      <c r="X1664" s="374" t="str">
        <f t="shared" si="385"/>
        <v/>
      </c>
      <c r="Y1664" s="375" t="str">
        <f t="shared" si="386"/>
        <v/>
      </c>
      <c r="Z1664" s="374" t="str">
        <f t="shared" si="387"/>
        <v/>
      </c>
      <c r="AA1664" s="374" t="b">
        <f t="shared" si="388"/>
        <v>1</v>
      </c>
      <c r="AB1664" s="374">
        <f>COUNTIFS(B:B,B1664,H:H,'סיווג התפקידים והעלויות'!$C$2)</f>
        <v>0</v>
      </c>
      <c r="AC1664" s="374">
        <f>COUNTIFS(B:B,B1664,H:H,'סיווג התפקידים והעלויות'!$D$2)</f>
        <v>0</v>
      </c>
      <c r="AD1664" s="374" t="str">
        <f>IF(OR(AND(H1664='סיווג התפקידים והעלויות'!$A$2,I1664='סיווג התפקידים והעלויות'!$A$3),'עלויות כח אדם (6)'!H1664='סיווג התפקידים והעלויות'!$C$2,'עלויות כח אדם (6)'!H1664='סיווג התפקידים והעלויות'!$D$2),IF('עלויות כח אדם (6)'!J1664&lt;75,"לא תקין","תקין"),"")</f>
        <v/>
      </c>
      <c r="AE1664" s="374" t="str">
        <f t="shared" si="389"/>
        <v/>
      </c>
      <c r="AF1664" s="532" t="str">
        <f t="shared" si="390"/>
        <v/>
      </c>
    </row>
    <row r="1665" spans="2:32" x14ac:dyDescent="0.25">
      <c r="B1665" s="695"/>
      <c r="C1665" s="197" t="str">
        <f>IF(B1665&lt;&gt;"",IFERROR(VLOOKUP(B:B,'מצבת והרשמה (2)'!$C$20:$N$520,2,0)," ")," ")</f>
        <v xml:space="preserve"> </v>
      </c>
      <c r="D1665" s="695"/>
      <c r="E1665" s="696"/>
      <c r="F1665" s="696"/>
      <c r="G1665" s="696"/>
      <c r="H1665" s="696"/>
      <c r="I1665" s="1050" t="str">
        <f t="shared" si="377"/>
        <v/>
      </c>
      <c r="J1665" s="696"/>
      <c r="K1665" s="697"/>
      <c r="L1665" s="696"/>
      <c r="M1665" s="198" t="str">
        <f t="shared" si="378"/>
        <v/>
      </c>
      <c r="N1665" s="369" t="str">
        <f t="shared" si="379"/>
        <v/>
      </c>
      <c r="O1665" s="183" t="str">
        <f t="shared" si="380"/>
        <v/>
      </c>
      <c r="P1665" s="199" t="str">
        <f t="shared" si="381"/>
        <v/>
      </c>
      <c r="Q1665" s="199" t="str">
        <f>IF(B1665="","",IFERROR(IF('עלויות כח אדם (6)'!J1665&gt;=VLOOKUP(I1665,'סיווג התפקידים והעלויות'!$B$23:$C$32,2,0),"תקין","לא תקין"),""))</f>
        <v/>
      </c>
      <c r="R1665" s="199" t="str">
        <f t="shared" si="382"/>
        <v/>
      </c>
      <c r="S1665" s="199" t="str">
        <f t="shared" si="383"/>
        <v/>
      </c>
      <c r="T1665" s="199" t="str">
        <f t="shared" si="391"/>
        <v/>
      </c>
      <c r="U1665" s="199" t="str">
        <f t="shared" si="384"/>
        <v/>
      </c>
      <c r="V1665" s="989"/>
      <c r="X1665" s="374" t="str">
        <f t="shared" si="385"/>
        <v/>
      </c>
      <c r="Y1665" s="375" t="str">
        <f t="shared" si="386"/>
        <v/>
      </c>
      <c r="Z1665" s="374" t="str">
        <f t="shared" si="387"/>
        <v/>
      </c>
      <c r="AA1665" s="374" t="b">
        <f t="shared" si="388"/>
        <v>1</v>
      </c>
      <c r="AB1665" s="374">
        <f>COUNTIFS(B:B,B1665,H:H,'סיווג התפקידים והעלויות'!$C$2)</f>
        <v>0</v>
      </c>
      <c r="AC1665" s="374">
        <f>COUNTIFS(B:B,B1665,H:H,'סיווג התפקידים והעלויות'!$D$2)</f>
        <v>0</v>
      </c>
      <c r="AD1665" s="374" t="str">
        <f>IF(OR(AND(H1665='סיווג התפקידים והעלויות'!$A$2,I1665='סיווג התפקידים והעלויות'!$A$3),'עלויות כח אדם (6)'!H1665='סיווג התפקידים והעלויות'!$C$2,'עלויות כח אדם (6)'!H1665='סיווג התפקידים והעלויות'!$D$2),IF('עלויות כח אדם (6)'!J1665&lt;75,"לא תקין","תקין"),"")</f>
        <v/>
      </c>
      <c r="AE1665" s="374" t="str">
        <f t="shared" si="389"/>
        <v/>
      </c>
      <c r="AF1665" s="532" t="str">
        <f t="shared" si="390"/>
        <v/>
      </c>
    </row>
    <row r="1666" spans="2:32" x14ac:dyDescent="0.25">
      <c r="B1666" s="695"/>
      <c r="C1666" s="197" t="str">
        <f>IF(B1666&lt;&gt;"",IFERROR(VLOOKUP(B:B,'מצבת והרשמה (2)'!$C$20:$N$520,2,0)," ")," ")</f>
        <v xml:space="preserve"> </v>
      </c>
      <c r="D1666" s="695"/>
      <c r="E1666" s="696"/>
      <c r="F1666" s="696"/>
      <c r="G1666" s="696"/>
      <c r="H1666" s="696"/>
      <c r="I1666" s="1050" t="str">
        <f t="shared" si="377"/>
        <v/>
      </c>
      <c r="J1666" s="696"/>
      <c r="K1666" s="697"/>
      <c r="L1666" s="696"/>
      <c r="M1666" s="198" t="str">
        <f t="shared" si="378"/>
        <v/>
      </c>
      <c r="N1666" s="369" t="str">
        <f t="shared" si="379"/>
        <v/>
      </c>
      <c r="O1666" s="183" t="str">
        <f t="shared" si="380"/>
        <v/>
      </c>
      <c r="P1666" s="199" t="str">
        <f t="shared" si="381"/>
        <v/>
      </c>
      <c r="Q1666" s="199" t="str">
        <f>IF(B1666="","",IFERROR(IF('עלויות כח אדם (6)'!J1666&gt;=VLOOKUP(I1666,'סיווג התפקידים והעלויות'!$B$23:$C$32,2,0),"תקין","לא תקין"),""))</f>
        <v/>
      </c>
      <c r="R1666" s="199" t="str">
        <f t="shared" si="382"/>
        <v/>
      </c>
      <c r="S1666" s="199" t="str">
        <f t="shared" si="383"/>
        <v/>
      </c>
      <c r="T1666" s="199" t="str">
        <f t="shared" si="391"/>
        <v/>
      </c>
      <c r="U1666" s="199" t="str">
        <f t="shared" si="384"/>
        <v/>
      </c>
      <c r="V1666" s="989"/>
      <c r="X1666" s="374" t="str">
        <f t="shared" si="385"/>
        <v/>
      </c>
      <c r="Y1666" s="375" t="str">
        <f t="shared" si="386"/>
        <v/>
      </c>
      <c r="Z1666" s="374" t="str">
        <f t="shared" si="387"/>
        <v/>
      </c>
      <c r="AA1666" s="374" t="b">
        <f t="shared" si="388"/>
        <v>1</v>
      </c>
      <c r="AB1666" s="374">
        <f>COUNTIFS(B:B,B1666,H:H,'סיווג התפקידים והעלויות'!$C$2)</f>
        <v>0</v>
      </c>
      <c r="AC1666" s="374">
        <f>COUNTIFS(B:B,B1666,H:H,'סיווג התפקידים והעלויות'!$D$2)</f>
        <v>0</v>
      </c>
      <c r="AD1666" s="374" t="str">
        <f>IF(OR(AND(H1666='סיווג התפקידים והעלויות'!$A$2,I1666='סיווג התפקידים והעלויות'!$A$3),'עלויות כח אדם (6)'!H1666='סיווג התפקידים והעלויות'!$C$2,'עלויות כח אדם (6)'!H1666='סיווג התפקידים והעלויות'!$D$2),IF('עלויות כח אדם (6)'!J1666&lt;75,"לא תקין","תקין"),"")</f>
        <v/>
      </c>
      <c r="AE1666" s="374" t="str">
        <f t="shared" si="389"/>
        <v/>
      </c>
      <c r="AF1666" s="532" t="str">
        <f t="shared" si="390"/>
        <v/>
      </c>
    </row>
    <row r="1667" spans="2:32" x14ac:dyDescent="0.25">
      <c r="B1667" s="695"/>
      <c r="C1667" s="197" t="str">
        <f>IF(B1667&lt;&gt;"",IFERROR(VLOOKUP(B:B,'מצבת והרשמה (2)'!$C$20:$N$520,2,0)," ")," ")</f>
        <v xml:space="preserve"> </v>
      </c>
      <c r="D1667" s="695"/>
      <c r="E1667" s="696"/>
      <c r="F1667" s="696"/>
      <c r="G1667" s="696"/>
      <c r="H1667" s="696"/>
      <c r="I1667" s="1050" t="str">
        <f t="shared" si="377"/>
        <v/>
      </c>
      <c r="J1667" s="696"/>
      <c r="K1667" s="697"/>
      <c r="L1667" s="696"/>
      <c r="M1667" s="198" t="str">
        <f t="shared" si="378"/>
        <v/>
      </c>
      <c r="N1667" s="369" t="str">
        <f t="shared" si="379"/>
        <v/>
      </c>
      <c r="O1667" s="183" t="str">
        <f t="shared" si="380"/>
        <v/>
      </c>
      <c r="P1667" s="199" t="str">
        <f t="shared" si="381"/>
        <v/>
      </c>
      <c r="Q1667" s="199" t="str">
        <f>IF(B1667="","",IFERROR(IF('עלויות כח אדם (6)'!J1667&gt;=VLOOKUP(I1667,'סיווג התפקידים והעלויות'!$B$23:$C$32,2,0),"תקין","לא תקין"),""))</f>
        <v/>
      </c>
      <c r="R1667" s="199" t="str">
        <f t="shared" si="382"/>
        <v/>
      </c>
      <c r="S1667" s="199" t="str">
        <f t="shared" si="383"/>
        <v/>
      </c>
      <c r="T1667" s="199" t="str">
        <f t="shared" si="391"/>
        <v/>
      </c>
      <c r="U1667" s="199" t="str">
        <f t="shared" si="384"/>
        <v/>
      </c>
      <c r="V1667" s="989"/>
      <c r="X1667" s="374" t="str">
        <f t="shared" si="385"/>
        <v/>
      </c>
      <c r="Y1667" s="375" t="str">
        <f t="shared" si="386"/>
        <v/>
      </c>
      <c r="Z1667" s="374" t="str">
        <f t="shared" si="387"/>
        <v/>
      </c>
      <c r="AA1667" s="374" t="b">
        <f t="shared" si="388"/>
        <v>1</v>
      </c>
      <c r="AB1667" s="374">
        <f>COUNTIFS(B:B,B1667,H:H,'סיווג התפקידים והעלויות'!$C$2)</f>
        <v>0</v>
      </c>
      <c r="AC1667" s="374">
        <f>COUNTIFS(B:B,B1667,H:H,'סיווג התפקידים והעלויות'!$D$2)</f>
        <v>0</v>
      </c>
      <c r="AD1667" s="374" t="str">
        <f>IF(OR(AND(H1667='סיווג התפקידים והעלויות'!$A$2,I1667='סיווג התפקידים והעלויות'!$A$3),'עלויות כח אדם (6)'!H1667='סיווג התפקידים והעלויות'!$C$2,'עלויות כח אדם (6)'!H1667='סיווג התפקידים והעלויות'!$D$2),IF('עלויות כח אדם (6)'!J1667&lt;75,"לא תקין","תקין"),"")</f>
        <v/>
      </c>
      <c r="AE1667" s="374" t="str">
        <f t="shared" si="389"/>
        <v/>
      </c>
      <c r="AF1667" s="532" t="str">
        <f t="shared" si="390"/>
        <v/>
      </c>
    </row>
    <row r="1668" spans="2:32" x14ac:dyDescent="0.25">
      <c r="B1668" s="695"/>
      <c r="C1668" s="197" t="str">
        <f>IF(B1668&lt;&gt;"",IFERROR(VLOOKUP(B:B,'מצבת והרשמה (2)'!$C$20:$N$520,2,0)," ")," ")</f>
        <v xml:space="preserve"> </v>
      </c>
      <c r="D1668" s="695"/>
      <c r="E1668" s="696"/>
      <c r="F1668" s="696"/>
      <c r="G1668" s="696"/>
      <c r="H1668" s="696"/>
      <c r="I1668" s="1050" t="str">
        <f t="shared" si="377"/>
        <v/>
      </c>
      <c r="J1668" s="696"/>
      <c r="K1668" s="697"/>
      <c r="L1668" s="696"/>
      <c r="M1668" s="198" t="str">
        <f t="shared" si="378"/>
        <v/>
      </c>
      <c r="N1668" s="369" t="str">
        <f t="shared" si="379"/>
        <v/>
      </c>
      <c r="O1668" s="183" t="str">
        <f t="shared" si="380"/>
        <v/>
      </c>
      <c r="P1668" s="199" t="str">
        <f t="shared" si="381"/>
        <v/>
      </c>
      <c r="Q1668" s="199" t="str">
        <f>IF(B1668="","",IFERROR(IF('עלויות כח אדם (6)'!J1668&gt;=VLOOKUP(I1668,'סיווג התפקידים והעלויות'!$B$23:$C$32,2,0),"תקין","לא תקין"),""))</f>
        <v/>
      </c>
      <c r="R1668" s="199" t="str">
        <f t="shared" si="382"/>
        <v/>
      </c>
      <c r="S1668" s="199" t="str">
        <f t="shared" si="383"/>
        <v/>
      </c>
      <c r="T1668" s="199" t="str">
        <f t="shared" si="391"/>
        <v/>
      </c>
      <c r="U1668" s="199" t="str">
        <f t="shared" si="384"/>
        <v/>
      </c>
      <c r="V1668" s="989"/>
      <c r="X1668" s="374" t="str">
        <f t="shared" si="385"/>
        <v/>
      </c>
      <c r="Y1668" s="375" t="str">
        <f t="shared" si="386"/>
        <v/>
      </c>
      <c r="Z1668" s="374" t="str">
        <f t="shared" si="387"/>
        <v/>
      </c>
      <c r="AA1668" s="374" t="b">
        <f t="shared" si="388"/>
        <v>1</v>
      </c>
      <c r="AB1668" s="374">
        <f>COUNTIFS(B:B,B1668,H:H,'סיווג התפקידים והעלויות'!$C$2)</f>
        <v>0</v>
      </c>
      <c r="AC1668" s="374">
        <f>COUNTIFS(B:B,B1668,H:H,'סיווג התפקידים והעלויות'!$D$2)</f>
        <v>0</v>
      </c>
      <c r="AD1668" s="374" t="str">
        <f>IF(OR(AND(H1668='סיווג התפקידים והעלויות'!$A$2,I1668='סיווג התפקידים והעלויות'!$A$3),'עלויות כח אדם (6)'!H1668='סיווג התפקידים והעלויות'!$C$2,'עלויות כח אדם (6)'!H1668='סיווג התפקידים והעלויות'!$D$2),IF('עלויות כח אדם (6)'!J1668&lt;75,"לא תקין","תקין"),"")</f>
        <v/>
      </c>
      <c r="AE1668" s="374" t="str">
        <f t="shared" si="389"/>
        <v/>
      </c>
      <c r="AF1668" s="532" t="str">
        <f t="shared" si="390"/>
        <v/>
      </c>
    </row>
    <row r="1669" spans="2:32" x14ac:dyDescent="0.25">
      <c r="B1669" s="695"/>
      <c r="C1669" s="197" t="str">
        <f>IF(B1669&lt;&gt;"",IFERROR(VLOOKUP(B:B,'מצבת והרשמה (2)'!$C$20:$N$520,2,0)," ")," ")</f>
        <v xml:space="preserve"> </v>
      </c>
      <c r="D1669" s="695"/>
      <c r="E1669" s="696"/>
      <c r="F1669" s="696"/>
      <c r="G1669" s="696"/>
      <c r="H1669" s="696"/>
      <c r="I1669" s="1050" t="str">
        <f t="shared" si="377"/>
        <v/>
      </c>
      <c r="J1669" s="696"/>
      <c r="K1669" s="697"/>
      <c r="L1669" s="696"/>
      <c r="M1669" s="198" t="str">
        <f t="shared" si="378"/>
        <v/>
      </c>
      <c r="N1669" s="369" t="str">
        <f t="shared" si="379"/>
        <v/>
      </c>
      <c r="O1669" s="183" t="str">
        <f t="shared" si="380"/>
        <v/>
      </c>
      <c r="P1669" s="199" t="str">
        <f t="shared" si="381"/>
        <v/>
      </c>
      <c r="Q1669" s="199" t="str">
        <f>IF(B1669="","",IFERROR(IF('עלויות כח אדם (6)'!J1669&gt;=VLOOKUP(I1669,'סיווג התפקידים והעלויות'!$B$23:$C$32,2,0),"תקין","לא תקין"),""))</f>
        <v/>
      </c>
      <c r="R1669" s="199" t="str">
        <f t="shared" si="382"/>
        <v/>
      </c>
      <c r="S1669" s="199" t="str">
        <f t="shared" si="383"/>
        <v/>
      </c>
      <c r="T1669" s="199" t="str">
        <f t="shared" si="391"/>
        <v/>
      </c>
      <c r="U1669" s="199" t="str">
        <f t="shared" si="384"/>
        <v/>
      </c>
      <c r="V1669" s="989"/>
      <c r="X1669" s="374" t="str">
        <f t="shared" si="385"/>
        <v/>
      </c>
      <c r="Y1669" s="375" t="str">
        <f t="shared" si="386"/>
        <v/>
      </c>
      <c r="Z1669" s="374" t="str">
        <f t="shared" si="387"/>
        <v/>
      </c>
      <c r="AA1669" s="374" t="b">
        <f t="shared" si="388"/>
        <v>1</v>
      </c>
      <c r="AB1669" s="374">
        <f>COUNTIFS(B:B,B1669,H:H,'סיווג התפקידים והעלויות'!$C$2)</f>
        <v>0</v>
      </c>
      <c r="AC1669" s="374">
        <f>COUNTIFS(B:B,B1669,H:H,'סיווג התפקידים והעלויות'!$D$2)</f>
        <v>0</v>
      </c>
      <c r="AD1669" s="374" t="str">
        <f>IF(OR(AND(H1669='סיווג התפקידים והעלויות'!$A$2,I1669='סיווג התפקידים והעלויות'!$A$3),'עלויות כח אדם (6)'!H1669='סיווג התפקידים והעלויות'!$C$2,'עלויות כח אדם (6)'!H1669='סיווג התפקידים והעלויות'!$D$2),IF('עלויות כח אדם (6)'!J1669&lt;75,"לא תקין","תקין"),"")</f>
        <v/>
      </c>
      <c r="AE1669" s="374" t="str">
        <f t="shared" si="389"/>
        <v/>
      </c>
      <c r="AF1669" s="532" t="str">
        <f t="shared" si="390"/>
        <v/>
      </c>
    </row>
    <row r="1670" spans="2:32" x14ac:dyDescent="0.25">
      <c r="B1670" s="695"/>
      <c r="C1670" s="197" t="str">
        <f>IF(B1670&lt;&gt;"",IFERROR(VLOOKUP(B:B,'מצבת והרשמה (2)'!$C$20:$N$520,2,0)," ")," ")</f>
        <v xml:space="preserve"> </v>
      </c>
      <c r="D1670" s="695"/>
      <c r="E1670" s="696"/>
      <c r="F1670" s="696"/>
      <c r="G1670" s="696"/>
      <c r="H1670" s="696"/>
      <c r="I1670" s="1050" t="str">
        <f t="shared" si="377"/>
        <v/>
      </c>
      <c r="J1670" s="696"/>
      <c r="K1670" s="697"/>
      <c r="L1670" s="696"/>
      <c r="M1670" s="198" t="str">
        <f t="shared" si="378"/>
        <v/>
      </c>
      <c r="N1670" s="369" t="str">
        <f t="shared" si="379"/>
        <v/>
      </c>
      <c r="O1670" s="183" t="str">
        <f t="shared" si="380"/>
        <v/>
      </c>
      <c r="P1670" s="199" t="str">
        <f t="shared" si="381"/>
        <v/>
      </c>
      <c r="Q1670" s="199" t="str">
        <f>IF(B1670="","",IFERROR(IF('עלויות כח אדם (6)'!J1670&gt;=VLOOKUP(I1670,'סיווג התפקידים והעלויות'!$B$23:$C$32,2,0),"תקין","לא תקין"),""))</f>
        <v/>
      </c>
      <c r="R1670" s="199" t="str">
        <f t="shared" si="382"/>
        <v/>
      </c>
      <c r="S1670" s="199" t="str">
        <f t="shared" si="383"/>
        <v/>
      </c>
      <c r="T1670" s="199" t="str">
        <f t="shared" si="391"/>
        <v/>
      </c>
      <c r="U1670" s="199" t="str">
        <f t="shared" si="384"/>
        <v/>
      </c>
      <c r="V1670" s="989"/>
      <c r="X1670" s="374" t="str">
        <f t="shared" si="385"/>
        <v/>
      </c>
      <c r="Y1670" s="375" t="str">
        <f t="shared" si="386"/>
        <v/>
      </c>
      <c r="Z1670" s="374" t="str">
        <f t="shared" si="387"/>
        <v/>
      </c>
      <c r="AA1670" s="374" t="b">
        <f t="shared" si="388"/>
        <v>1</v>
      </c>
      <c r="AB1670" s="374">
        <f>COUNTIFS(B:B,B1670,H:H,'סיווג התפקידים והעלויות'!$C$2)</f>
        <v>0</v>
      </c>
      <c r="AC1670" s="374">
        <f>COUNTIFS(B:B,B1670,H:H,'סיווג התפקידים והעלויות'!$D$2)</f>
        <v>0</v>
      </c>
      <c r="AD1670" s="374" t="str">
        <f>IF(OR(AND(H1670='סיווג התפקידים והעלויות'!$A$2,I1670='סיווג התפקידים והעלויות'!$A$3),'עלויות כח אדם (6)'!H1670='סיווג התפקידים והעלויות'!$C$2,'עלויות כח אדם (6)'!H1670='סיווג התפקידים והעלויות'!$D$2),IF('עלויות כח אדם (6)'!J1670&lt;75,"לא תקין","תקין"),"")</f>
        <v/>
      </c>
      <c r="AE1670" s="374" t="str">
        <f t="shared" si="389"/>
        <v/>
      </c>
      <c r="AF1670" s="532" t="str">
        <f t="shared" si="390"/>
        <v/>
      </c>
    </row>
    <row r="1671" spans="2:32" x14ac:dyDescent="0.25">
      <c r="B1671" s="695"/>
      <c r="C1671" s="197" t="str">
        <f>IF(B1671&lt;&gt;"",IFERROR(VLOOKUP(B:B,'מצבת והרשמה (2)'!$C$20:$N$520,2,0)," ")," ")</f>
        <v xml:space="preserve"> </v>
      </c>
      <c r="D1671" s="695"/>
      <c r="E1671" s="696"/>
      <c r="F1671" s="696"/>
      <c r="G1671" s="696"/>
      <c r="H1671" s="696"/>
      <c r="I1671" s="1050" t="str">
        <f t="shared" si="377"/>
        <v/>
      </c>
      <c r="J1671" s="696"/>
      <c r="K1671" s="697"/>
      <c r="L1671" s="696"/>
      <c r="M1671" s="198" t="str">
        <f t="shared" si="378"/>
        <v/>
      </c>
      <c r="N1671" s="369" t="str">
        <f t="shared" si="379"/>
        <v/>
      </c>
      <c r="O1671" s="183" t="str">
        <f t="shared" si="380"/>
        <v/>
      </c>
      <c r="P1671" s="199" t="str">
        <f t="shared" si="381"/>
        <v/>
      </c>
      <c r="Q1671" s="199" t="str">
        <f>IF(B1671="","",IFERROR(IF('עלויות כח אדם (6)'!J1671&gt;=VLOOKUP(I1671,'סיווג התפקידים והעלויות'!$B$23:$C$32,2,0),"תקין","לא תקין"),""))</f>
        <v/>
      </c>
      <c r="R1671" s="199" t="str">
        <f t="shared" si="382"/>
        <v/>
      </c>
      <c r="S1671" s="199" t="str">
        <f t="shared" si="383"/>
        <v/>
      </c>
      <c r="T1671" s="199" t="str">
        <f t="shared" si="391"/>
        <v/>
      </c>
      <c r="U1671" s="199" t="str">
        <f t="shared" si="384"/>
        <v/>
      </c>
      <c r="V1671" s="989"/>
      <c r="X1671" s="374" t="str">
        <f t="shared" si="385"/>
        <v/>
      </c>
      <c r="Y1671" s="375" t="str">
        <f t="shared" si="386"/>
        <v/>
      </c>
      <c r="Z1671" s="374" t="str">
        <f t="shared" si="387"/>
        <v/>
      </c>
      <c r="AA1671" s="374" t="b">
        <f t="shared" si="388"/>
        <v>1</v>
      </c>
      <c r="AB1671" s="374">
        <f>COUNTIFS(B:B,B1671,H:H,'סיווג התפקידים והעלויות'!$C$2)</f>
        <v>0</v>
      </c>
      <c r="AC1671" s="374">
        <f>COUNTIFS(B:B,B1671,H:H,'סיווג התפקידים והעלויות'!$D$2)</f>
        <v>0</v>
      </c>
      <c r="AD1671" s="374" t="str">
        <f>IF(OR(AND(H1671='סיווג התפקידים והעלויות'!$A$2,I1671='סיווג התפקידים והעלויות'!$A$3),'עלויות כח אדם (6)'!H1671='סיווג התפקידים והעלויות'!$C$2,'עלויות כח אדם (6)'!H1671='סיווג התפקידים והעלויות'!$D$2),IF('עלויות כח אדם (6)'!J1671&lt;75,"לא תקין","תקין"),"")</f>
        <v/>
      </c>
      <c r="AE1671" s="374" t="str">
        <f t="shared" si="389"/>
        <v/>
      </c>
      <c r="AF1671" s="532" t="str">
        <f t="shared" si="390"/>
        <v/>
      </c>
    </row>
    <row r="1672" spans="2:32" x14ac:dyDescent="0.25">
      <c r="B1672" s="695"/>
      <c r="C1672" s="197" t="str">
        <f>IF(B1672&lt;&gt;"",IFERROR(VLOOKUP(B:B,'מצבת והרשמה (2)'!$C$20:$N$520,2,0)," ")," ")</f>
        <v xml:space="preserve"> </v>
      </c>
      <c r="D1672" s="695"/>
      <c r="E1672" s="696"/>
      <c r="F1672" s="696"/>
      <c r="G1672" s="696"/>
      <c r="H1672" s="696"/>
      <c r="I1672" s="1050" t="str">
        <f t="shared" si="377"/>
        <v/>
      </c>
      <c r="J1672" s="696"/>
      <c r="K1672" s="697"/>
      <c r="L1672" s="696"/>
      <c r="M1672" s="198" t="str">
        <f t="shared" si="378"/>
        <v/>
      </c>
      <c r="N1672" s="369" t="str">
        <f t="shared" si="379"/>
        <v/>
      </c>
      <c r="O1672" s="183" t="str">
        <f t="shared" si="380"/>
        <v/>
      </c>
      <c r="P1672" s="199" t="str">
        <f t="shared" si="381"/>
        <v/>
      </c>
      <c r="Q1672" s="199" t="str">
        <f>IF(B1672="","",IFERROR(IF('עלויות כח אדם (6)'!J1672&gt;=VLOOKUP(I1672,'סיווג התפקידים והעלויות'!$B$23:$C$32,2,0),"תקין","לא תקין"),""))</f>
        <v/>
      </c>
      <c r="R1672" s="199" t="str">
        <f t="shared" si="382"/>
        <v/>
      </c>
      <c r="S1672" s="199" t="str">
        <f t="shared" si="383"/>
        <v/>
      </c>
      <c r="T1672" s="199" t="str">
        <f t="shared" si="391"/>
        <v/>
      </c>
      <c r="U1672" s="199" t="str">
        <f t="shared" si="384"/>
        <v/>
      </c>
      <c r="V1672" s="989"/>
      <c r="X1672" s="374" t="str">
        <f t="shared" si="385"/>
        <v/>
      </c>
      <c r="Y1672" s="375" t="str">
        <f t="shared" si="386"/>
        <v/>
      </c>
      <c r="Z1672" s="374" t="str">
        <f t="shared" si="387"/>
        <v/>
      </c>
      <c r="AA1672" s="374" t="b">
        <f t="shared" si="388"/>
        <v>1</v>
      </c>
      <c r="AB1672" s="374">
        <f>COUNTIFS(B:B,B1672,H:H,'סיווג התפקידים והעלויות'!$C$2)</f>
        <v>0</v>
      </c>
      <c r="AC1672" s="374">
        <f>COUNTIFS(B:B,B1672,H:H,'סיווג התפקידים והעלויות'!$D$2)</f>
        <v>0</v>
      </c>
      <c r="AD1672" s="374" t="str">
        <f>IF(OR(AND(H1672='סיווג התפקידים והעלויות'!$A$2,I1672='סיווג התפקידים והעלויות'!$A$3),'עלויות כח אדם (6)'!H1672='סיווג התפקידים והעלויות'!$C$2,'עלויות כח אדם (6)'!H1672='סיווג התפקידים והעלויות'!$D$2),IF('עלויות כח אדם (6)'!J1672&lt;75,"לא תקין","תקין"),"")</f>
        <v/>
      </c>
      <c r="AE1672" s="374" t="str">
        <f t="shared" si="389"/>
        <v/>
      </c>
      <c r="AF1672" s="532" t="str">
        <f t="shared" si="390"/>
        <v/>
      </c>
    </row>
    <row r="1673" spans="2:32" x14ac:dyDescent="0.25">
      <c r="B1673" s="695"/>
      <c r="C1673" s="197" t="str">
        <f>IF(B1673&lt;&gt;"",IFERROR(VLOOKUP(B:B,'מצבת והרשמה (2)'!$C$20:$N$520,2,0)," ")," ")</f>
        <v xml:space="preserve"> </v>
      </c>
      <c r="D1673" s="695"/>
      <c r="E1673" s="696"/>
      <c r="F1673" s="696"/>
      <c r="G1673" s="696"/>
      <c r="H1673" s="696"/>
      <c r="I1673" s="1050" t="str">
        <f t="shared" si="377"/>
        <v/>
      </c>
      <c r="J1673" s="696"/>
      <c r="K1673" s="697"/>
      <c r="L1673" s="696"/>
      <c r="M1673" s="198" t="str">
        <f t="shared" si="378"/>
        <v/>
      </c>
      <c r="N1673" s="369" t="str">
        <f t="shared" si="379"/>
        <v/>
      </c>
      <c r="O1673" s="183" t="str">
        <f t="shared" si="380"/>
        <v/>
      </c>
      <c r="P1673" s="199" t="str">
        <f t="shared" si="381"/>
        <v/>
      </c>
      <c r="Q1673" s="199" t="str">
        <f>IF(B1673="","",IFERROR(IF('עלויות כח אדם (6)'!J1673&gt;=VLOOKUP(I1673,'סיווג התפקידים והעלויות'!$B$23:$C$32,2,0),"תקין","לא תקין"),""))</f>
        <v/>
      </c>
      <c r="R1673" s="199" t="str">
        <f t="shared" si="382"/>
        <v/>
      </c>
      <c r="S1673" s="199" t="str">
        <f t="shared" si="383"/>
        <v/>
      </c>
      <c r="T1673" s="199" t="str">
        <f t="shared" si="391"/>
        <v/>
      </c>
      <c r="U1673" s="199" t="str">
        <f t="shared" si="384"/>
        <v/>
      </c>
      <c r="V1673" s="989"/>
      <c r="X1673" s="374" t="str">
        <f t="shared" si="385"/>
        <v/>
      </c>
      <c r="Y1673" s="375" t="str">
        <f t="shared" si="386"/>
        <v/>
      </c>
      <c r="Z1673" s="374" t="str">
        <f t="shared" si="387"/>
        <v/>
      </c>
      <c r="AA1673" s="374" t="b">
        <f t="shared" si="388"/>
        <v>1</v>
      </c>
      <c r="AB1673" s="374">
        <f>COUNTIFS(B:B,B1673,H:H,'סיווג התפקידים והעלויות'!$C$2)</f>
        <v>0</v>
      </c>
      <c r="AC1673" s="374">
        <f>COUNTIFS(B:B,B1673,H:H,'סיווג התפקידים והעלויות'!$D$2)</f>
        <v>0</v>
      </c>
      <c r="AD1673" s="374" t="str">
        <f>IF(OR(AND(H1673='סיווג התפקידים והעלויות'!$A$2,I1673='סיווג התפקידים והעלויות'!$A$3),'עלויות כח אדם (6)'!H1673='סיווג התפקידים והעלויות'!$C$2,'עלויות כח אדם (6)'!H1673='סיווג התפקידים והעלויות'!$D$2),IF('עלויות כח אדם (6)'!J1673&lt;75,"לא תקין","תקין"),"")</f>
        <v/>
      </c>
      <c r="AE1673" s="374" t="str">
        <f t="shared" si="389"/>
        <v/>
      </c>
      <c r="AF1673" s="532" t="str">
        <f t="shared" si="390"/>
        <v/>
      </c>
    </row>
    <row r="1674" spans="2:32" x14ac:dyDescent="0.25">
      <c r="B1674" s="695"/>
      <c r="C1674" s="197" t="str">
        <f>IF(B1674&lt;&gt;"",IFERROR(VLOOKUP(B:B,'מצבת והרשמה (2)'!$C$20:$N$520,2,0)," ")," ")</f>
        <v xml:space="preserve"> </v>
      </c>
      <c r="D1674" s="695"/>
      <c r="E1674" s="696"/>
      <c r="F1674" s="696"/>
      <c r="G1674" s="696"/>
      <c r="H1674" s="696"/>
      <c r="I1674" s="1050" t="str">
        <f t="shared" si="377"/>
        <v/>
      </c>
      <c r="J1674" s="696"/>
      <c r="K1674" s="697"/>
      <c r="L1674" s="696"/>
      <c r="M1674" s="198" t="str">
        <f t="shared" si="378"/>
        <v/>
      </c>
      <c r="N1674" s="369" t="str">
        <f t="shared" si="379"/>
        <v/>
      </c>
      <c r="O1674" s="183" t="str">
        <f t="shared" si="380"/>
        <v/>
      </c>
      <c r="P1674" s="199" t="str">
        <f t="shared" si="381"/>
        <v/>
      </c>
      <c r="Q1674" s="199" t="str">
        <f>IF(B1674="","",IFERROR(IF('עלויות כח אדם (6)'!J1674&gt;=VLOOKUP(I1674,'סיווג התפקידים והעלויות'!$B$23:$C$32,2,0),"תקין","לא תקין"),""))</f>
        <v/>
      </c>
      <c r="R1674" s="199" t="str">
        <f t="shared" si="382"/>
        <v/>
      </c>
      <c r="S1674" s="199" t="str">
        <f t="shared" si="383"/>
        <v/>
      </c>
      <c r="T1674" s="199" t="str">
        <f t="shared" si="391"/>
        <v/>
      </c>
      <c r="U1674" s="199" t="str">
        <f t="shared" si="384"/>
        <v/>
      </c>
      <c r="V1674" s="989"/>
      <c r="X1674" s="374" t="str">
        <f t="shared" si="385"/>
        <v/>
      </c>
      <c r="Y1674" s="375" t="str">
        <f t="shared" si="386"/>
        <v/>
      </c>
      <c r="Z1674" s="374" t="str">
        <f t="shared" si="387"/>
        <v/>
      </c>
      <c r="AA1674" s="374" t="b">
        <f t="shared" si="388"/>
        <v>1</v>
      </c>
      <c r="AB1674" s="374">
        <f>COUNTIFS(B:B,B1674,H:H,'סיווג התפקידים והעלויות'!$C$2)</f>
        <v>0</v>
      </c>
      <c r="AC1674" s="374">
        <f>COUNTIFS(B:B,B1674,H:H,'סיווג התפקידים והעלויות'!$D$2)</f>
        <v>0</v>
      </c>
      <c r="AD1674" s="374" t="str">
        <f>IF(OR(AND(H1674='סיווג התפקידים והעלויות'!$A$2,I1674='סיווג התפקידים והעלויות'!$A$3),'עלויות כח אדם (6)'!H1674='סיווג התפקידים והעלויות'!$C$2,'עלויות כח אדם (6)'!H1674='סיווג התפקידים והעלויות'!$D$2),IF('עלויות כח אדם (6)'!J1674&lt;75,"לא תקין","תקין"),"")</f>
        <v/>
      </c>
      <c r="AE1674" s="374" t="str">
        <f t="shared" si="389"/>
        <v/>
      </c>
      <c r="AF1674" s="532" t="str">
        <f t="shared" si="390"/>
        <v/>
      </c>
    </row>
    <row r="1675" spans="2:32" x14ac:dyDescent="0.25">
      <c r="B1675" s="695"/>
      <c r="C1675" s="197" t="str">
        <f>IF(B1675&lt;&gt;"",IFERROR(VLOOKUP(B:B,'מצבת והרשמה (2)'!$C$20:$N$520,2,0)," ")," ")</f>
        <v xml:space="preserve"> </v>
      </c>
      <c r="D1675" s="695"/>
      <c r="E1675" s="696"/>
      <c r="F1675" s="696"/>
      <c r="G1675" s="696"/>
      <c r="H1675" s="696"/>
      <c r="I1675" s="1050" t="str">
        <f t="shared" si="377"/>
        <v/>
      </c>
      <c r="J1675" s="696"/>
      <c r="K1675" s="697"/>
      <c r="L1675" s="696"/>
      <c r="M1675" s="198" t="str">
        <f t="shared" si="378"/>
        <v/>
      </c>
      <c r="N1675" s="369" t="str">
        <f t="shared" si="379"/>
        <v/>
      </c>
      <c r="O1675" s="183" t="str">
        <f t="shared" si="380"/>
        <v/>
      </c>
      <c r="P1675" s="199" t="str">
        <f t="shared" si="381"/>
        <v/>
      </c>
      <c r="Q1675" s="199" t="str">
        <f>IF(B1675="","",IFERROR(IF('עלויות כח אדם (6)'!J1675&gt;=VLOOKUP(I1675,'סיווג התפקידים והעלויות'!$B$23:$C$32,2,0),"תקין","לא תקין"),""))</f>
        <v/>
      </c>
      <c r="R1675" s="199" t="str">
        <f t="shared" si="382"/>
        <v/>
      </c>
      <c r="S1675" s="199" t="str">
        <f t="shared" si="383"/>
        <v/>
      </c>
      <c r="T1675" s="199" t="str">
        <f t="shared" si="391"/>
        <v/>
      </c>
      <c r="U1675" s="199" t="str">
        <f t="shared" si="384"/>
        <v/>
      </c>
      <c r="V1675" s="989"/>
      <c r="X1675" s="374" t="str">
        <f t="shared" si="385"/>
        <v/>
      </c>
      <c r="Y1675" s="375" t="str">
        <f t="shared" si="386"/>
        <v/>
      </c>
      <c r="Z1675" s="374" t="str">
        <f t="shared" si="387"/>
        <v/>
      </c>
      <c r="AA1675" s="374" t="b">
        <f t="shared" si="388"/>
        <v>1</v>
      </c>
      <c r="AB1675" s="374">
        <f>COUNTIFS(B:B,B1675,H:H,'סיווג התפקידים והעלויות'!$C$2)</f>
        <v>0</v>
      </c>
      <c r="AC1675" s="374">
        <f>COUNTIFS(B:B,B1675,H:H,'סיווג התפקידים והעלויות'!$D$2)</f>
        <v>0</v>
      </c>
      <c r="AD1675" s="374" t="str">
        <f>IF(OR(AND(H1675='סיווג התפקידים והעלויות'!$A$2,I1675='סיווג התפקידים והעלויות'!$A$3),'עלויות כח אדם (6)'!H1675='סיווג התפקידים והעלויות'!$C$2,'עלויות כח אדם (6)'!H1675='סיווג התפקידים והעלויות'!$D$2),IF('עלויות כח אדם (6)'!J1675&lt;75,"לא תקין","תקין"),"")</f>
        <v/>
      </c>
      <c r="AE1675" s="374" t="str">
        <f t="shared" si="389"/>
        <v/>
      </c>
      <c r="AF1675" s="532" t="str">
        <f t="shared" si="390"/>
        <v/>
      </c>
    </row>
    <row r="1676" spans="2:32" x14ac:dyDescent="0.25">
      <c r="B1676" s="695"/>
      <c r="C1676" s="197" t="str">
        <f>IF(B1676&lt;&gt;"",IFERROR(VLOOKUP(B:B,'מצבת והרשמה (2)'!$C$20:$N$520,2,0)," ")," ")</f>
        <v xml:space="preserve"> </v>
      </c>
      <c r="D1676" s="695"/>
      <c r="E1676" s="696"/>
      <c r="F1676" s="696"/>
      <c r="G1676" s="696"/>
      <c r="H1676" s="696"/>
      <c r="I1676" s="1050" t="str">
        <f t="shared" si="377"/>
        <v/>
      </c>
      <c r="J1676" s="696"/>
      <c r="K1676" s="697"/>
      <c r="L1676" s="696"/>
      <c r="M1676" s="198" t="str">
        <f t="shared" si="378"/>
        <v/>
      </c>
      <c r="N1676" s="369" t="str">
        <f t="shared" si="379"/>
        <v/>
      </c>
      <c r="O1676" s="183" t="str">
        <f t="shared" si="380"/>
        <v/>
      </c>
      <c r="P1676" s="199" t="str">
        <f t="shared" si="381"/>
        <v/>
      </c>
      <c r="Q1676" s="199" t="str">
        <f>IF(B1676="","",IFERROR(IF('עלויות כח אדם (6)'!J1676&gt;=VLOOKUP(I1676,'סיווג התפקידים והעלויות'!$B$23:$C$32,2,0),"תקין","לא תקין"),""))</f>
        <v/>
      </c>
      <c r="R1676" s="199" t="str">
        <f t="shared" si="382"/>
        <v/>
      </c>
      <c r="S1676" s="199" t="str">
        <f t="shared" si="383"/>
        <v/>
      </c>
      <c r="T1676" s="199" t="str">
        <f t="shared" si="391"/>
        <v/>
      </c>
      <c r="U1676" s="199" t="str">
        <f t="shared" si="384"/>
        <v/>
      </c>
      <c r="V1676" s="989"/>
      <c r="X1676" s="374" t="str">
        <f t="shared" si="385"/>
        <v/>
      </c>
      <c r="Y1676" s="375" t="str">
        <f t="shared" si="386"/>
        <v/>
      </c>
      <c r="Z1676" s="374" t="str">
        <f t="shared" si="387"/>
        <v/>
      </c>
      <c r="AA1676" s="374" t="b">
        <f t="shared" si="388"/>
        <v>1</v>
      </c>
      <c r="AB1676" s="374">
        <f>COUNTIFS(B:B,B1676,H:H,'סיווג התפקידים והעלויות'!$C$2)</f>
        <v>0</v>
      </c>
      <c r="AC1676" s="374">
        <f>COUNTIFS(B:B,B1676,H:H,'סיווג התפקידים והעלויות'!$D$2)</f>
        <v>0</v>
      </c>
      <c r="AD1676" s="374" t="str">
        <f>IF(OR(AND(H1676='סיווג התפקידים והעלויות'!$A$2,I1676='סיווג התפקידים והעלויות'!$A$3),'עלויות כח אדם (6)'!H1676='סיווג התפקידים והעלויות'!$C$2,'עלויות כח אדם (6)'!H1676='סיווג התפקידים והעלויות'!$D$2),IF('עלויות כח אדם (6)'!J1676&lt;75,"לא תקין","תקין"),"")</f>
        <v/>
      </c>
      <c r="AE1676" s="374" t="str">
        <f t="shared" si="389"/>
        <v/>
      </c>
      <c r="AF1676" s="532" t="str">
        <f t="shared" si="390"/>
        <v/>
      </c>
    </row>
    <row r="1677" spans="2:32" x14ac:dyDescent="0.25">
      <c r="B1677" s="695"/>
      <c r="C1677" s="197" t="str">
        <f>IF(B1677&lt;&gt;"",IFERROR(VLOOKUP(B:B,'מצבת והרשמה (2)'!$C$20:$N$520,2,0)," ")," ")</f>
        <v xml:space="preserve"> </v>
      </c>
      <c r="D1677" s="695"/>
      <c r="E1677" s="696"/>
      <c r="F1677" s="696"/>
      <c r="G1677" s="696"/>
      <c r="H1677" s="696"/>
      <c r="I1677" s="1050" t="str">
        <f t="shared" si="377"/>
        <v/>
      </c>
      <c r="J1677" s="696"/>
      <c r="K1677" s="697"/>
      <c r="L1677" s="696"/>
      <c r="M1677" s="198" t="str">
        <f t="shared" si="378"/>
        <v/>
      </c>
      <c r="N1677" s="369" t="str">
        <f t="shared" si="379"/>
        <v/>
      </c>
      <c r="O1677" s="183" t="str">
        <f t="shared" si="380"/>
        <v/>
      </c>
      <c r="P1677" s="199" t="str">
        <f t="shared" si="381"/>
        <v/>
      </c>
      <c r="Q1677" s="199" t="str">
        <f>IF(B1677="","",IFERROR(IF('עלויות כח אדם (6)'!J1677&gt;=VLOOKUP(I1677,'סיווג התפקידים והעלויות'!$B$23:$C$32,2,0),"תקין","לא תקין"),""))</f>
        <v/>
      </c>
      <c r="R1677" s="199" t="str">
        <f t="shared" si="382"/>
        <v/>
      </c>
      <c r="S1677" s="199" t="str">
        <f t="shared" si="383"/>
        <v/>
      </c>
      <c r="T1677" s="199" t="str">
        <f t="shared" si="391"/>
        <v/>
      </c>
      <c r="U1677" s="199" t="str">
        <f t="shared" si="384"/>
        <v/>
      </c>
      <c r="V1677" s="989"/>
      <c r="X1677" s="374" t="str">
        <f t="shared" si="385"/>
        <v/>
      </c>
      <c r="Y1677" s="375" t="str">
        <f t="shared" si="386"/>
        <v/>
      </c>
      <c r="Z1677" s="374" t="str">
        <f t="shared" si="387"/>
        <v/>
      </c>
      <c r="AA1677" s="374" t="b">
        <f t="shared" si="388"/>
        <v>1</v>
      </c>
      <c r="AB1677" s="374">
        <f>COUNTIFS(B:B,B1677,H:H,'סיווג התפקידים והעלויות'!$C$2)</f>
        <v>0</v>
      </c>
      <c r="AC1677" s="374">
        <f>COUNTIFS(B:B,B1677,H:H,'סיווג התפקידים והעלויות'!$D$2)</f>
        <v>0</v>
      </c>
      <c r="AD1677" s="374" t="str">
        <f>IF(OR(AND(H1677='סיווג התפקידים והעלויות'!$A$2,I1677='סיווג התפקידים והעלויות'!$A$3),'עלויות כח אדם (6)'!H1677='סיווג התפקידים והעלויות'!$C$2,'עלויות כח אדם (6)'!H1677='סיווג התפקידים והעלויות'!$D$2),IF('עלויות כח אדם (6)'!J1677&lt;75,"לא תקין","תקין"),"")</f>
        <v/>
      </c>
      <c r="AE1677" s="374" t="str">
        <f t="shared" si="389"/>
        <v/>
      </c>
      <c r="AF1677" s="532" t="str">
        <f t="shared" si="390"/>
        <v/>
      </c>
    </row>
    <row r="1678" spans="2:32" x14ac:dyDescent="0.25">
      <c r="B1678" s="695"/>
      <c r="C1678" s="197" t="str">
        <f>IF(B1678&lt;&gt;"",IFERROR(VLOOKUP(B:B,'מצבת והרשמה (2)'!$C$20:$N$520,2,0)," ")," ")</f>
        <v xml:space="preserve"> </v>
      </c>
      <c r="D1678" s="695"/>
      <c r="E1678" s="696"/>
      <c r="F1678" s="696"/>
      <c r="G1678" s="696"/>
      <c r="H1678" s="696"/>
      <c r="I1678" s="1050" t="str">
        <f t="shared" si="377"/>
        <v/>
      </c>
      <c r="J1678" s="696"/>
      <c r="K1678" s="697"/>
      <c r="L1678" s="696"/>
      <c r="M1678" s="198" t="str">
        <f t="shared" si="378"/>
        <v/>
      </c>
      <c r="N1678" s="369" t="str">
        <f t="shared" si="379"/>
        <v/>
      </c>
      <c r="O1678" s="183" t="str">
        <f t="shared" si="380"/>
        <v/>
      </c>
      <c r="P1678" s="199" t="str">
        <f t="shared" si="381"/>
        <v/>
      </c>
      <c r="Q1678" s="199" t="str">
        <f>IF(B1678="","",IFERROR(IF('עלויות כח אדם (6)'!J1678&gt;=VLOOKUP(I1678,'סיווג התפקידים והעלויות'!$B$23:$C$32,2,0),"תקין","לא תקין"),""))</f>
        <v/>
      </c>
      <c r="R1678" s="199" t="str">
        <f t="shared" si="382"/>
        <v/>
      </c>
      <c r="S1678" s="199" t="str">
        <f t="shared" si="383"/>
        <v/>
      </c>
      <c r="T1678" s="199" t="str">
        <f t="shared" si="391"/>
        <v/>
      </c>
      <c r="U1678" s="199" t="str">
        <f t="shared" si="384"/>
        <v/>
      </c>
      <c r="V1678" s="989"/>
      <c r="X1678" s="374" t="str">
        <f t="shared" si="385"/>
        <v/>
      </c>
      <c r="Y1678" s="375" t="str">
        <f t="shared" si="386"/>
        <v/>
      </c>
      <c r="Z1678" s="374" t="str">
        <f t="shared" si="387"/>
        <v/>
      </c>
      <c r="AA1678" s="374" t="b">
        <f t="shared" si="388"/>
        <v>1</v>
      </c>
      <c r="AB1678" s="374">
        <f>COUNTIFS(B:B,B1678,H:H,'סיווג התפקידים והעלויות'!$C$2)</f>
        <v>0</v>
      </c>
      <c r="AC1678" s="374">
        <f>COUNTIFS(B:B,B1678,H:H,'סיווג התפקידים והעלויות'!$D$2)</f>
        <v>0</v>
      </c>
      <c r="AD1678" s="374" t="str">
        <f>IF(OR(AND(H1678='סיווג התפקידים והעלויות'!$A$2,I1678='סיווג התפקידים והעלויות'!$A$3),'עלויות כח אדם (6)'!H1678='סיווג התפקידים והעלויות'!$C$2,'עלויות כח אדם (6)'!H1678='סיווג התפקידים והעלויות'!$D$2),IF('עלויות כח אדם (6)'!J1678&lt;75,"לא תקין","תקין"),"")</f>
        <v/>
      </c>
      <c r="AE1678" s="374" t="str">
        <f t="shared" si="389"/>
        <v/>
      </c>
      <c r="AF1678" s="532" t="str">
        <f t="shared" si="390"/>
        <v/>
      </c>
    </row>
    <row r="1679" spans="2:32" x14ac:dyDescent="0.25">
      <c r="B1679" s="695"/>
      <c r="C1679" s="197" t="str">
        <f>IF(B1679&lt;&gt;"",IFERROR(VLOOKUP(B:B,'מצבת והרשמה (2)'!$C$20:$N$520,2,0)," ")," ")</f>
        <v xml:space="preserve"> </v>
      </c>
      <c r="D1679" s="695"/>
      <c r="E1679" s="696"/>
      <c r="F1679" s="696"/>
      <c r="G1679" s="696"/>
      <c r="H1679" s="696"/>
      <c r="I1679" s="1050" t="str">
        <f t="shared" ref="I1679:I1742" si="392">SUBSTITUTE(IFERROR(IF(H1679="מדצ","מדצ/ית",IF(H1679="סגנית רכזת מעל 150","סגנ/ית רכז/ת&gt;150",IF(H1679="רכזת תכנית בבית הספר","רכז/ת תכנית בבית הספר"))),""),"FALSE","")</f>
        <v/>
      </c>
      <c r="J1679" s="696"/>
      <c r="K1679" s="697"/>
      <c r="L1679" s="696"/>
      <c r="M1679" s="198" t="str">
        <f t="shared" ref="M1679:M1742" si="393">IF(AND(L1679&gt;0,K1679&gt;0),K1679*L1679,"")</f>
        <v/>
      </c>
      <c r="N1679" s="369" t="str">
        <f t="shared" ref="N1679:N1742" si="394">TEXT(LEFT(H1679,2),0)</f>
        <v/>
      </c>
      <c r="O1679" s="183" t="str">
        <f t="shared" ref="O1679:O1742" si="395">IF(ISNUMBER(M1679&gt;0),IF(ISBLANK(B1679),"יש להזין סמל מוסד בעמודה B",""),"")</f>
        <v/>
      </c>
      <c r="P1679" s="199" t="str">
        <f t="shared" ref="P1679:P1742" si="396">IF(B1679="","",IF(AA1679=FALSE,"לא תקין","תקין"))</f>
        <v/>
      </c>
      <c r="Q1679" s="199" t="str">
        <f>IF(B1679="","",IFERROR(IF('עלויות כח אדם (6)'!J1679&gt;=VLOOKUP(I1679,'סיווג התפקידים והעלויות'!$B$23:$C$32,2,0),"תקין","לא תקין"),""))</f>
        <v/>
      </c>
      <c r="R1679" s="199" t="str">
        <f t="shared" ref="R1679:R1742" si="397">IF(B1679="","",IF(OR(Y1679&lt;100%,Y1679&gt;140%),"לא תקין","תקין"))</f>
        <v/>
      </c>
      <c r="S1679" s="199" t="str">
        <f t="shared" ref="S1679:S1742" si="398">IF(B1679="","",IFERROR(IF(J1679&gt;120,"לא תקין","תקין"),""))</f>
        <v/>
      </c>
      <c r="T1679" s="199" t="str">
        <f t="shared" si="391"/>
        <v/>
      </c>
      <c r="U1679" s="199" t="str">
        <f t="shared" ref="U1679:U1742" si="399">IF(B1679="","",IF(Z1679&gt;1,IF(SUMIF(D:D,D1679,L:L)&gt;90,"לא תקין","תקין"),"תקין"))</f>
        <v/>
      </c>
      <c r="V1679" s="989"/>
      <c r="X1679" s="374" t="str">
        <f t="shared" ref="X1679:X1742" si="400">IF(B1679="","",IF(OR(R1679="לא תקין",S1679="לא תקין",T1679="לא תקין",,U1679="לא תקין"),"לא תקין","תקין"))</f>
        <v/>
      </c>
      <c r="Y1679" s="375" t="str">
        <f t="shared" ref="Y1679:Y1742" si="401">IFERROR(IF(B1679="","",K1679/J1679),"")</f>
        <v/>
      </c>
      <c r="Z1679" s="374" t="str">
        <f t="shared" ref="Z1679:Z1742" si="402">IF(B1679="","",COUNTIF(D:D,D1679))</f>
        <v/>
      </c>
      <c r="AA1679" s="374" t="b">
        <f t="shared" ref="AA1679:AA1742" si="403">MOD(MID(REPT(0,9-LEN(D1679))&amp;D1679,1,1)+MID("0246813579",MID(REPT(0,9-LEN(D1679))&amp;D1679,2,1)+1,1)+MID(REPT(0,9-LEN(D1679))&amp;D1679,3,1)+MID("0246813579",MID(REPT(0,9-LEN(D1679))&amp;D1679,4,1)+1,1)+MID(REPT(0,9-LEN(D1679))&amp;D1679,5,1)+MID("0246813579",MID(REPT(0,9-LEN(D1679))&amp;D1679,6,1)+1,1)+MID(REPT(0,9-LEN(D1679))&amp;D1679,7,1)+MID("0246813579",MID(REPT(0,9-LEN(D1679))&amp;D1679,8,1)+1,1)+MID(REPT(0,9-LEN(D1679))&amp;D1679,9,1),10)=0</f>
        <v>1</v>
      </c>
      <c r="AB1679" s="374">
        <f>COUNTIFS(B:B,B1679,H:H,'סיווג התפקידים והעלויות'!$C$2)</f>
        <v>0</v>
      </c>
      <c r="AC1679" s="374">
        <f>COUNTIFS(B:B,B1679,H:H,'סיווג התפקידים והעלויות'!$D$2)</f>
        <v>0</v>
      </c>
      <c r="AD1679" s="374" t="str">
        <f>IF(OR(AND(H1679='סיווג התפקידים והעלויות'!$A$2,I1679='סיווג התפקידים והעלויות'!$A$3),'עלויות כח אדם (6)'!H1679='סיווג התפקידים והעלויות'!$C$2,'עלויות כח אדם (6)'!H1679='סיווג התפקידים והעלויות'!$D$2),IF('עלויות כח אדם (6)'!J1679&lt;75,"לא תקין","תקין"),"")</f>
        <v/>
      </c>
      <c r="AE1679" s="374" t="str">
        <f t="shared" ref="AE1679:AE1742" si="404">IF(B1679&lt;&gt;"",B1679&amp;H1679,"")</f>
        <v/>
      </c>
      <c r="AF1679" s="532" t="str">
        <f t="shared" ref="AF1679:AF1742" si="405">M1679</f>
        <v/>
      </c>
    </row>
    <row r="1680" spans="2:32" x14ac:dyDescent="0.25">
      <c r="B1680" s="695"/>
      <c r="C1680" s="197" t="str">
        <f>IF(B1680&lt;&gt;"",IFERROR(VLOOKUP(B:B,'מצבת והרשמה (2)'!$C$20:$N$520,2,0)," ")," ")</f>
        <v xml:space="preserve"> </v>
      </c>
      <c r="D1680" s="695"/>
      <c r="E1680" s="696"/>
      <c r="F1680" s="696"/>
      <c r="G1680" s="696"/>
      <c r="H1680" s="696"/>
      <c r="I1680" s="1050" t="str">
        <f t="shared" si="392"/>
        <v/>
      </c>
      <c r="J1680" s="696"/>
      <c r="K1680" s="697"/>
      <c r="L1680" s="696"/>
      <c r="M1680" s="198" t="str">
        <f t="shared" si="393"/>
        <v/>
      </c>
      <c r="N1680" s="369" t="str">
        <f t="shared" si="394"/>
        <v/>
      </c>
      <c r="O1680" s="183" t="str">
        <f t="shared" si="395"/>
        <v/>
      </c>
      <c r="P1680" s="199" t="str">
        <f t="shared" si="396"/>
        <v/>
      </c>
      <c r="Q1680" s="199" t="str">
        <f>IF(B1680="","",IFERROR(IF('עלויות כח אדם (6)'!J1680&gt;=VLOOKUP(I1680,'סיווג התפקידים והעלויות'!$B$23:$C$32,2,0),"תקין","לא תקין"),""))</f>
        <v/>
      </c>
      <c r="R1680" s="199" t="str">
        <f t="shared" si="397"/>
        <v/>
      </c>
      <c r="S1680" s="199" t="str">
        <f t="shared" si="398"/>
        <v/>
      </c>
      <c r="T1680" s="199" t="str">
        <f t="shared" ref="T1680:T1743" si="406">IF(B1680="","",IF(H1680="","יש להזין איש צוות",IF(OR(H1680="מורה",H1680="גננת",H1680="רכז גן",H1680="רכזת גן",H1680="סייעת",H1680="מדצית",H1680="מדצ",H1680="מדריך",H1680="מדריכה",H1680="תוספת כח אדם"),IF(L1680&lt;=90,"תקין","לא תקין"),IF(OR(H1680="רכז בית ספר",H1680="רכזת תכנית בבית הספר",H1680="רכזת בית ספר"),IF(L1680&lt;=137,"תקין","לא תקין"),IF(OR(H1680="סגנית רכזת מעל 150",H1680="סגן רכז"),IF(L1680&lt;=93,"תקין","לא תקין"),"לא תקין")))))</f>
        <v/>
      </c>
      <c r="U1680" s="199" t="str">
        <f t="shared" si="399"/>
        <v/>
      </c>
      <c r="V1680" s="989"/>
      <c r="X1680" s="374" t="str">
        <f t="shared" si="400"/>
        <v/>
      </c>
      <c r="Y1680" s="375" t="str">
        <f t="shared" si="401"/>
        <v/>
      </c>
      <c r="Z1680" s="374" t="str">
        <f t="shared" si="402"/>
        <v/>
      </c>
      <c r="AA1680" s="374" t="b">
        <f t="shared" si="403"/>
        <v>1</v>
      </c>
      <c r="AB1680" s="374">
        <f>COUNTIFS(B:B,B1680,H:H,'סיווג התפקידים והעלויות'!$C$2)</f>
        <v>0</v>
      </c>
      <c r="AC1680" s="374">
        <f>COUNTIFS(B:B,B1680,H:H,'סיווג התפקידים והעלויות'!$D$2)</f>
        <v>0</v>
      </c>
      <c r="AD1680" s="374" t="str">
        <f>IF(OR(AND(H1680='סיווג התפקידים והעלויות'!$A$2,I1680='סיווג התפקידים והעלויות'!$A$3),'עלויות כח אדם (6)'!H1680='סיווג התפקידים והעלויות'!$C$2,'עלויות כח אדם (6)'!H1680='סיווג התפקידים והעלויות'!$D$2),IF('עלויות כח אדם (6)'!J1680&lt;75,"לא תקין","תקין"),"")</f>
        <v/>
      </c>
      <c r="AE1680" s="374" t="str">
        <f t="shared" si="404"/>
        <v/>
      </c>
      <c r="AF1680" s="532" t="str">
        <f t="shared" si="405"/>
        <v/>
      </c>
    </row>
    <row r="1681" spans="2:32" x14ac:dyDescent="0.25">
      <c r="B1681" s="695"/>
      <c r="C1681" s="197" t="str">
        <f>IF(B1681&lt;&gt;"",IFERROR(VLOOKUP(B:B,'מצבת והרשמה (2)'!$C$20:$N$520,2,0)," ")," ")</f>
        <v xml:space="preserve"> </v>
      </c>
      <c r="D1681" s="695"/>
      <c r="E1681" s="696"/>
      <c r="F1681" s="696"/>
      <c r="G1681" s="696"/>
      <c r="H1681" s="696"/>
      <c r="I1681" s="1050" t="str">
        <f t="shared" si="392"/>
        <v/>
      </c>
      <c r="J1681" s="696"/>
      <c r="K1681" s="697"/>
      <c r="L1681" s="696"/>
      <c r="M1681" s="198" t="str">
        <f t="shared" si="393"/>
        <v/>
      </c>
      <c r="N1681" s="369" t="str">
        <f t="shared" si="394"/>
        <v/>
      </c>
      <c r="O1681" s="183" t="str">
        <f t="shared" si="395"/>
        <v/>
      </c>
      <c r="P1681" s="199" t="str">
        <f t="shared" si="396"/>
        <v/>
      </c>
      <c r="Q1681" s="199" t="str">
        <f>IF(B1681="","",IFERROR(IF('עלויות כח אדם (6)'!J1681&gt;=VLOOKUP(I1681,'סיווג התפקידים והעלויות'!$B$23:$C$32,2,0),"תקין","לא תקין"),""))</f>
        <v/>
      </c>
      <c r="R1681" s="199" t="str">
        <f t="shared" si="397"/>
        <v/>
      </c>
      <c r="S1681" s="199" t="str">
        <f t="shared" si="398"/>
        <v/>
      </c>
      <c r="T1681" s="199" t="str">
        <f t="shared" si="406"/>
        <v/>
      </c>
      <c r="U1681" s="199" t="str">
        <f t="shared" si="399"/>
        <v/>
      </c>
      <c r="V1681" s="989"/>
      <c r="X1681" s="374" t="str">
        <f t="shared" si="400"/>
        <v/>
      </c>
      <c r="Y1681" s="375" t="str">
        <f t="shared" si="401"/>
        <v/>
      </c>
      <c r="Z1681" s="374" t="str">
        <f t="shared" si="402"/>
        <v/>
      </c>
      <c r="AA1681" s="374" t="b">
        <f t="shared" si="403"/>
        <v>1</v>
      </c>
      <c r="AB1681" s="374">
        <f>COUNTIFS(B:B,B1681,H:H,'סיווג התפקידים והעלויות'!$C$2)</f>
        <v>0</v>
      </c>
      <c r="AC1681" s="374">
        <f>COUNTIFS(B:B,B1681,H:H,'סיווג התפקידים והעלויות'!$D$2)</f>
        <v>0</v>
      </c>
      <c r="AD1681" s="374" t="str">
        <f>IF(OR(AND(H1681='סיווג התפקידים והעלויות'!$A$2,I1681='סיווג התפקידים והעלויות'!$A$3),'עלויות כח אדם (6)'!H1681='סיווג התפקידים והעלויות'!$C$2,'עלויות כח אדם (6)'!H1681='סיווג התפקידים והעלויות'!$D$2),IF('עלויות כח אדם (6)'!J1681&lt;75,"לא תקין","תקין"),"")</f>
        <v/>
      </c>
      <c r="AE1681" s="374" t="str">
        <f t="shared" si="404"/>
        <v/>
      </c>
      <c r="AF1681" s="532" t="str">
        <f t="shared" si="405"/>
        <v/>
      </c>
    </row>
    <row r="1682" spans="2:32" x14ac:dyDescent="0.25">
      <c r="B1682" s="695"/>
      <c r="C1682" s="197" t="str">
        <f>IF(B1682&lt;&gt;"",IFERROR(VLOOKUP(B:B,'מצבת והרשמה (2)'!$C$20:$N$520,2,0)," ")," ")</f>
        <v xml:space="preserve"> </v>
      </c>
      <c r="D1682" s="695"/>
      <c r="E1682" s="696"/>
      <c r="F1682" s="696"/>
      <c r="G1682" s="696"/>
      <c r="H1682" s="696"/>
      <c r="I1682" s="1050" t="str">
        <f t="shared" si="392"/>
        <v/>
      </c>
      <c r="J1682" s="696"/>
      <c r="K1682" s="697"/>
      <c r="L1682" s="696"/>
      <c r="M1682" s="198" t="str">
        <f t="shared" si="393"/>
        <v/>
      </c>
      <c r="N1682" s="369" t="str">
        <f t="shared" si="394"/>
        <v/>
      </c>
      <c r="O1682" s="183" t="str">
        <f t="shared" si="395"/>
        <v/>
      </c>
      <c r="P1682" s="199" t="str">
        <f t="shared" si="396"/>
        <v/>
      </c>
      <c r="Q1682" s="199" t="str">
        <f>IF(B1682="","",IFERROR(IF('עלויות כח אדם (6)'!J1682&gt;=VLOOKUP(I1682,'סיווג התפקידים והעלויות'!$B$23:$C$32,2,0),"תקין","לא תקין"),""))</f>
        <v/>
      </c>
      <c r="R1682" s="199" t="str">
        <f t="shared" si="397"/>
        <v/>
      </c>
      <c r="S1682" s="199" t="str">
        <f t="shared" si="398"/>
        <v/>
      </c>
      <c r="T1682" s="199" t="str">
        <f t="shared" si="406"/>
        <v/>
      </c>
      <c r="U1682" s="199" t="str">
        <f t="shared" si="399"/>
        <v/>
      </c>
      <c r="V1682" s="989"/>
      <c r="X1682" s="374" t="str">
        <f t="shared" si="400"/>
        <v/>
      </c>
      <c r="Y1682" s="375" t="str">
        <f t="shared" si="401"/>
        <v/>
      </c>
      <c r="Z1682" s="374" t="str">
        <f t="shared" si="402"/>
        <v/>
      </c>
      <c r="AA1682" s="374" t="b">
        <f t="shared" si="403"/>
        <v>1</v>
      </c>
      <c r="AB1682" s="374">
        <f>COUNTIFS(B:B,B1682,H:H,'סיווג התפקידים והעלויות'!$C$2)</f>
        <v>0</v>
      </c>
      <c r="AC1682" s="374">
        <f>COUNTIFS(B:B,B1682,H:H,'סיווג התפקידים והעלויות'!$D$2)</f>
        <v>0</v>
      </c>
      <c r="AD1682" s="374" t="str">
        <f>IF(OR(AND(H1682='סיווג התפקידים והעלויות'!$A$2,I1682='סיווג התפקידים והעלויות'!$A$3),'עלויות כח אדם (6)'!H1682='סיווג התפקידים והעלויות'!$C$2,'עלויות כח אדם (6)'!H1682='סיווג התפקידים והעלויות'!$D$2),IF('עלויות כח אדם (6)'!J1682&lt;75,"לא תקין","תקין"),"")</f>
        <v/>
      </c>
      <c r="AE1682" s="374" t="str">
        <f t="shared" si="404"/>
        <v/>
      </c>
      <c r="AF1682" s="532" t="str">
        <f t="shared" si="405"/>
        <v/>
      </c>
    </row>
    <row r="1683" spans="2:32" x14ac:dyDescent="0.25">
      <c r="B1683" s="695"/>
      <c r="C1683" s="197" t="str">
        <f>IF(B1683&lt;&gt;"",IFERROR(VLOOKUP(B:B,'מצבת והרשמה (2)'!$C$20:$N$520,2,0)," ")," ")</f>
        <v xml:space="preserve"> </v>
      </c>
      <c r="D1683" s="695"/>
      <c r="E1683" s="696"/>
      <c r="F1683" s="696"/>
      <c r="G1683" s="696"/>
      <c r="H1683" s="696"/>
      <c r="I1683" s="1050" t="str">
        <f t="shared" si="392"/>
        <v/>
      </c>
      <c r="J1683" s="696"/>
      <c r="K1683" s="697"/>
      <c r="L1683" s="696"/>
      <c r="M1683" s="198" t="str">
        <f t="shared" si="393"/>
        <v/>
      </c>
      <c r="N1683" s="369" t="str">
        <f t="shared" si="394"/>
        <v/>
      </c>
      <c r="O1683" s="183" t="str">
        <f t="shared" si="395"/>
        <v/>
      </c>
      <c r="P1683" s="199" t="str">
        <f t="shared" si="396"/>
        <v/>
      </c>
      <c r="Q1683" s="199" t="str">
        <f>IF(B1683="","",IFERROR(IF('עלויות כח אדם (6)'!J1683&gt;=VLOOKUP(I1683,'סיווג התפקידים והעלויות'!$B$23:$C$32,2,0),"תקין","לא תקין"),""))</f>
        <v/>
      </c>
      <c r="R1683" s="199" t="str">
        <f t="shared" si="397"/>
        <v/>
      </c>
      <c r="S1683" s="199" t="str">
        <f t="shared" si="398"/>
        <v/>
      </c>
      <c r="T1683" s="199" t="str">
        <f t="shared" si="406"/>
        <v/>
      </c>
      <c r="U1683" s="199" t="str">
        <f t="shared" si="399"/>
        <v/>
      </c>
      <c r="V1683" s="989"/>
      <c r="X1683" s="374" t="str">
        <f t="shared" si="400"/>
        <v/>
      </c>
      <c r="Y1683" s="375" t="str">
        <f t="shared" si="401"/>
        <v/>
      </c>
      <c r="Z1683" s="374" t="str">
        <f t="shared" si="402"/>
        <v/>
      </c>
      <c r="AA1683" s="374" t="b">
        <f t="shared" si="403"/>
        <v>1</v>
      </c>
      <c r="AB1683" s="374">
        <f>COUNTIFS(B:B,B1683,H:H,'סיווג התפקידים והעלויות'!$C$2)</f>
        <v>0</v>
      </c>
      <c r="AC1683" s="374">
        <f>COUNTIFS(B:B,B1683,H:H,'סיווג התפקידים והעלויות'!$D$2)</f>
        <v>0</v>
      </c>
      <c r="AD1683" s="374" t="str">
        <f>IF(OR(AND(H1683='סיווג התפקידים והעלויות'!$A$2,I1683='סיווג התפקידים והעלויות'!$A$3),'עלויות כח אדם (6)'!H1683='סיווג התפקידים והעלויות'!$C$2,'עלויות כח אדם (6)'!H1683='סיווג התפקידים והעלויות'!$D$2),IF('עלויות כח אדם (6)'!J1683&lt;75,"לא תקין","תקין"),"")</f>
        <v/>
      </c>
      <c r="AE1683" s="374" t="str">
        <f t="shared" si="404"/>
        <v/>
      </c>
      <c r="AF1683" s="532" t="str">
        <f t="shared" si="405"/>
        <v/>
      </c>
    </row>
    <row r="1684" spans="2:32" x14ac:dyDescent="0.25">
      <c r="B1684" s="695"/>
      <c r="C1684" s="197" t="str">
        <f>IF(B1684&lt;&gt;"",IFERROR(VLOOKUP(B:B,'מצבת והרשמה (2)'!$C$20:$N$520,2,0)," ")," ")</f>
        <v xml:space="preserve"> </v>
      </c>
      <c r="D1684" s="695"/>
      <c r="E1684" s="696"/>
      <c r="F1684" s="696"/>
      <c r="G1684" s="696"/>
      <c r="H1684" s="696"/>
      <c r="I1684" s="1050" t="str">
        <f t="shared" si="392"/>
        <v/>
      </c>
      <c r="J1684" s="696"/>
      <c r="K1684" s="697"/>
      <c r="L1684" s="696"/>
      <c r="M1684" s="198" t="str">
        <f t="shared" si="393"/>
        <v/>
      </c>
      <c r="N1684" s="369" t="str">
        <f t="shared" si="394"/>
        <v/>
      </c>
      <c r="O1684" s="183" t="str">
        <f t="shared" si="395"/>
        <v/>
      </c>
      <c r="P1684" s="199" t="str">
        <f t="shared" si="396"/>
        <v/>
      </c>
      <c r="Q1684" s="199" t="str">
        <f>IF(B1684="","",IFERROR(IF('עלויות כח אדם (6)'!J1684&gt;=VLOOKUP(I1684,'סיווג התפקידים והעלויות'!$B$23:$C$32,2,0),"תקין","לא תקין"),""))</f>
        <v/>
      </c>
      <c r="R1684" s="199" t="str">
        <f t="shared" si="397"/>
        <v/>
      </c>
      <c r="S1684" s="199" t="str">
        <f t="shared" si="398"/>
        <v/>
      </c>
      <c r="T1684" s="199" t="str">
        <f t="shared" si="406"/>
        <v/>
      </c>
      <c r="U1684" s="199" t="str">
        <f t="shared" si="399"/>
        <v/>
      </c>
      <c r="V1684" s="989"/>
      <c r="X1684" s="374" t="str">
        <f t="shared" si="400"/>
        <v/>
      </c>
      <c r="Y1684" s="375" t="str">
        <f t="shared" si="401"/>
        <v/>
      </c>
      <c r="Z1684" s="374" t="str">
        <f t="shared" si="402"/>
        <v/>
      </c>
      <c r="AA1684" s="374" t="b">
        <f t="shared" si="403"/>
        <v>1</v>
      </c>
      <c r="AB1684" s="374">
        <f>COUNTIFS(B:B,B1684,H:H,'סיווג התפקידים והעלויות'!$C$2)</f>
        <v>0</v>
      </c>
      <c r="AC1684" s="374">
        <f>COUNTIFS(B:B,B1684,H:H,'סיווג התפקידים והעלויות'!$D$2)</f>
        <v>0</v>
      </c>
      <c r="AD1684" s="374" t="str">
        <f>IF(OR(AND(H1684='סיווג התפקידים והעלויות'!$A$2,I1684='סיווג התפקידים והעלויות'!$A$3),'עלויות כח אדם (6)'!H1684='סיווג התפקידים והעלויות'!$C$2,'עלויות כח אדם (6)'!H1684='סיווג התפקידים והעלויות'!$D$2),IF('עלויות כח אדם (6)'!J1684&lt;75,"לא תקין","תקין"),"")</f>
        <v/>
      </c>
      <c r="AE1684" s="374" t="str">
        <f t="shared" si="404"/>
        <v/>
      </c>
      <c r="AF1684" s="532" t="str">
        <f t="shared" si="405"/>
        <v/>
      </c>
    </row>
    <row r="1685" spans="2:32" x14ac:dyDescent="0.25">
      <c r="B1685" s="695"/>
      <c r="C1685" s="197" t="str">
        <f>IF(B1685&lt;&gt;"",IFERROR(VLOOKUP(B:B,'מצבת והרשמה (2)'!$C$20:$N$520,2,0)," ")," ")</f>
        <v xml:space="preserve"> </v>
      </c>
      <c r="D1685" s="695"/>
      <c r="E1685" s="696"/>
      <c r="F1685" s="696"/>
      <c r="G1685" s="696"/>
      <c r="H1685" s="696"/>
      <c r="I1685" s="1050" t="str">
        <f t="shared" si="392"/>
        <v/>
      </c>
      <c r="J1685" s="696"/>
      <c r="K1685" s="697"/>
      <c r="L1685" s="696"/>
      <c r="M1685" s="198" t="str">
        <f t="shared" si="393"/>
        <v/>
      </c>
      <c r="N1685" s="369" t="str">
        <f t="shared" si="394"/>
        <v/>
      </c>
      <c r="O1685" s="183" t="str">
        <f t="shared" si="395"/>
        <v/>
      </c>
      <c r="P1685" s="199" t="str">
        <f t="shared" si="396"/>
        <v/>
      </c>
      <c r="Q1685" s="199" t="str">
        <f>IF(B1685="","",IFERROR(IF('עלויות כח אדם (6)'!J1685&gt;=VLOOKUP(I1685,'סיווג התפקידים והעלויות'!$B$23:$C$32,2,0),"תקין","לא תקין"),""))</f>
        <v/>
      </c>
      <c r="R1685" s="199" t="str">
        <f t="shared" si="397"/>
        <v/>
      </c>
      <c r="S1685" s="199" t="str">
        <f t="shared" si="398"/>
        <v/>
      </c>
      <c r="T1685" s="199" t="str">
        <f t="shared" si="406"/>
        <v/>
      </c>
      <c r="U1685" s="199" t="str">
        <f t="shared" si="399"/>
        <v/>
      </c>
      <c r="V1685" s="989"/>
      <c r="X1685" s="374" t="str">
        <f t="shared" si="400"/>
        <v/>
      </c>
      <c r="Y1685" s="375" t="str">
        <f t="shared" si="401"/>
        <v/>
      </c>
      <c r="Z1685" s="374" t="str">
        <f t="shared" si="402"/>
        <v/>
      </c>
      <c r="AA1685" s="374" t="b">
        <f t="shared" si="403"/>
        <v>1</v>
      </c>
      <c r="AB1685" s="374">
        <f>COUNTIFS(B:B,B1685,H:H,'סיווג התפקידים והעלויות'!$C$2)</f>
        <v>0</v>
      </c>
      <c r="AC1685" s="374">
        <f>COUNTIFS(B:B,B1685,H:H,'סיווג התפקידים והעלויות'!$D$2)</f>
        <v>0</v>
      </c>
      <c r="AD1685" s="374" t="str">
        <f>IF(OR(AND(H1685='סיווג התפקידים והעלויות'!$A$2,I1685='סיווג התפקידים והעלויות'!$A$3),'עלויות כח אדם (6)'!H1685='סיווג התפקידים והעלויות'!$C$2,'עלויות כח אדם (6)'!H1685='סיווג התפקידים והעלויות'!$D$2),IF('עלויות כח אדם (6)'!J1685&lt;75,"לא תקין","תקין"),"")</f>
        <v/>
      </c>
      <c r="AE1685" s="374" t="str">
        <f t="shared" si="404"/>
        <v/>
      </c>
      <c r="AF1685" s="532" t="str">
        <f t="shared" si="405"/>
        <v/>
      </c>
    </row>
    <row r="1686" spans="2:32" x14ac:dyDescent="0.25">
      <c r="B1686" s="695"/>
      <c r="C1686" s="197" t="str">
        <f>IF(B1686&lt;&gt;"",IFERROR(VLOOKUP(B:B,'מצבת והרשמה (2)'!$C$20:$N$520,2,0)," ")," ")</f>
        <v xml:space="preserve"> </v>
      </c>
      <c r="D1686" s="695"/>
      <c r="E1686" s="696"/>
      <c r="F1686" s="696"/>
      <c r="G1686" s="696"/>
      <c r="H1686" s="696"/>
      <c r="I1686" s="1050" t="str">
        <f t="shared" si="392"/>
        <v/>
      </c>
      <c r="J1686" s="696"/>
      <c r="K1686" s="697"/>
      <c r="L1686" s="696"/>
      <c r="M1686" s="198" t="str">
        <f t="shared" si="393"/>
        <v/>
      </c>
      <c r="N1686" s="369" t="str">
        <f t="shared" si="394"/>
        <v/>
      </c>
      <c r="O1686" s="183" t="str">
        <f t="shared" si="395"/>
        <v/>
      </c>
      <c r="P1686" s="199" t="str">
        <f t="shared" si="396"/>
        <v/>
      </c>
      <c r="Q1686" s="199" t="str">
        <f>IF(B1686="","",IFERROR(IF('עלויות כח אדם (6)'!J1686&gt;=VLOOKUP(I1686,'סיווג התפקידים והעלויות'!$B$23:$C$32,2,0),"תקין","לא תקין"),""))</f>
        <v/>
      </c>
      <c r="R1686" s="199" t="str">
        <f t="shared" si="397"/>
        <v/>
      </c>
      <c r="S1686" s="199" t="str">
        <f t="shared" si="398"/>
        <v/>
      </c>
      <c r="T1686" s="199" t="str">
        <f t="shared" si="406"/>
        <v/>
      </c>
      <c r="U1686" s="199" t="str">
        <f t="shared" si="399"/>
        <v/>
      </c>
      <c r="V1686" s="989"/>
      <c r="X1686" s="374" t="str">
        <f t="shared" si="400"/>
        <v/>
      </c>
      <c r="Y1686" s="375" t="str">
        <f t="shared" si="401"/>
        <v/>
      </c>
      <c r="Z1686" s="374" t="str">
        <f t="shared" si="402"/>
        <v/>
      </c>
      <c r="AA1686" s="374" t="b">
        <f t="shared" si="403"/>
        <v>1</v>
      </c>
      <c r="AB1686" s="374">
        <f>COUNTIFS(B:B,B1686,H:H,'סיווג התפקידים והעלויות'!$C$2)</f>
        <v>0</v>
      </c>
      <c r="AC1686" s="374">
        <f>COUNTIFS(B:B,B1686,H:H,'סיווג התפקידים והעלויות'!$D$2)</f>
        <v>0</v>
      </c>
      <c r="AD1686" s="374" t="str">
        <f>IF(OR(AND(H1686='סיווג התפקידים והעלויות'!$A$2,I1686='סיווג התפקידים והעלויות'!$A$3),'עלויות כח אדם (6)'!H1686='סיווג התפקידים והעלויות'!$C$2,'עלויות כח אדם (6)'!H1686='סיווג התפקידים והעלויות'!$D$2),IF('עלויות כח אדם (6)'!J1686&lt;75,"לא תקין","תקין"),"")</f>
        <v/>
      </c>
      <c r="AE1686" s="374" t="str">
        <f t="shared" si="404"/>
        <v/>
      </c>
      <c r="AF1686" s="532" t="str">
        <f t="shared" si="405"/>
        <v/>
      </c>
    </row>
    <row r="1687" spans="2:32" x14ac:dyDescent="0.25">
      <c r="B1687" s="695"/>
      <c r="C1687" s="197" t="str">
        <f>IF(B1687&lt;&gt;"",IFERROR(VLOOKUP(B:B,'מצבת והרשמה (2)'!$C$20:$N$520,2,0)," ")," ")</f>
        <v xml:space="preserve"> </v>
      </c>
      <c r="D1687" s="695"/>
      <c r="E1687" s="696"/>
      <c r="F1687" s="696"/>
      <c r="G1687" s="696"/>
      <c r="H1687" s="696"/>
      <c r="I1687" s="1050" t="str">
        <f t="shared" si="392"/>
        <v/>
      </c>
      <c r="J1687" s="696"/>
      <c r="K1687" s="697"/>
      <c r="L1687" s="696"/>
      <c r="M1687" s="198" t="str">
        <f t="shared" si="393"/>
        <v/>
      </c>
      <c r="N1687" s="369" t="str">
        <f t="shared" si="394"/>
        <v/>
      </c>
      <c r="O1687" s="183" t="str">
        <f t="shared" si="395"/>
        <v/>
      </c>
      <c r="P1687" s="199" t="str">
        <f t="shared" si="396"/>
        <v/>
      </c>
      <c r="Q1687" s="199" t="str">
        <f>IF(B1687="","",IFERROR(IF('עלויות כח אדם (6)'!J1687&gt;=VLOOKUP(I1687,'סיווג התפקידים והעלויות'!$B$23:$C$32,2,0),"תקין","לא תקין"),""))</f>
        <v/>
      </c>
      <c r="R1687" s="199" t="str">
        <f t="shared" si="397"/>
        <v/>
      </c>
      <c r="S1687" s="199" t="str">
        <f t="shared" si="398"/>
        <v/>
      </c>
      <c r="T1687" s="199" t="str">
        <f t="shared" si="406"/>
        <v/>
      </c>
      <c r="U1687" s="199" t="str">
        <f t="shared" si="399"/>
        <v/>
      </c>
      <c r="V1687" s="989"/>
      <c r="X1687" s="374" t="str">
        <f t="shared" si="400"/>
        <v/>
      </c>
      <c r="Y1687" s="375" t="str">
        <f t="shared" si="401"/>
        <v/>
      </c>
      <c r="Z1687" s="374" t="str">
        <f t="shared" si="402"/>
        <v/>
      </c>
      <c r="AA1687" s="374" t="b">
        <f t="shared" si="403"/>
        <v>1</v>
      </c>
      <c r="AB1687" s="374">
        <f>COUNTIFS(B:B,B1687,H:H,'סיווג התפקידים והעלויות'!$C$2)</f>
        <v>0</v>
      </c>
      <c r="AC1687" s="374">
        <f>COUNTIFS(B:B,B1687,H:H,'סיווג התפקידים והעלויות'!$D$2)</f>
        <v>0</v>
      </c>
      <c r="AD1687" s="374" t="str">
        <f>IF(OR(AND(H1687='סיווג התפקידים והעלויות'!$A$2,I1687='סיווג התפקידים והעלויות'!$A$3),'עלויות כח אדם (6)'!H1687='סיווג התפקידים והעלויות'!$C$2,'עלויות כח אדם (6)'!H1687='סיווג התפקידים והעלויות'!$D$2),IF('עלויות כח אדם (6)'!J1687&lt;75,"לא תקין","תקין"),"")</f>
        <v/>
      </c>
      <c r="AE1687" s="374" t="str">
        <f t="shared" si="404"/>
        <v/>
      </c>
      <c r="AF1687" s="532" t="str">
        <f t="shared" si="405"/>
        <v/>
      </c>
    </row>
    <row r="1688" spans="2:32" x14ac:dyDescent="0.25">
      <c r="B1688" s="695"/>
      <c r="C1688" s="197" t="str">
        <f>IF(B1688&lt;&gt;"",IFERROR(VLOOKUP(B:B,'מצבת והרשמה (2)'!$C$20:$N$520,2,0)," ")," ")</f>
        <v xml:space="preserve"> </v>
      </c>
      <c r="D1688" s="695"/>
      <c r="E1688" s="696"/>
      <c r="F1688" s="696"/>
      <c r="G1688" s="696"/>
      <c r="H1688" s="696"/>
      <c r="I1688" s="1050" t="str">
        <f t="shared" si="392"/>
        <v/>
      </c>
      <c r="J1688" s="696"/>
      <c r="K1688" s="697"/>
      <c r="L1688" s="696"/>
      <c r="M1688" s="198" t="str">
        <f t="shared" si="393"/>
        <v/>
      </c>
      <c r="N1688" s="369" t="str">
        <f t="shared" si="394"/>
        <v/>
      </c>
      <c r="O1688" s="183" t="str">
        <f t="shared" si="395"/>
        <v/>
      </c>
      <c r="P1688" s="199" t="str">
        <f t="shared" si="396"/>
        <v/>
      </c>
      <c r="Q1688" s="199" t="str">
        <f>IF(B1688="","",IFERROR(IF('עלויות כח אדם (6)'!J1688&gt;=VLOOKUP(I1688,'סיווג התפקידים והעלויות'!$B$23:$C$32,2,0),"תקין","לא תקין"),""))</f>
        <v/>
      </c>
      <c r="R1688" s="199" t="str">
        <f t="shared" si="397"/>
        <v/>
      </c>
      <c r="S1688" s="199" t="str">
        <f t="shared" si="398"/>
        <v/>
      </c>
      <c r="T1688" s="199" t="str">
        <f t="shared" si="406"/>
        <v/>
      </c>
      <c r="U1688" s="199" t="str">
        <f t="shared" si="399"/>
        <v/>
      </c>
      <c r="V1688" s="989"/>
      <c r="X1688" s="374" t="str">
        <f t="shared" si="400"/>
        <v/>
      </c>
      <c r="Y1688" s="375" t="str">
        <f t="shared" si="401"/>
        <v/>
      </c>
      <c r="Z1688" s="374" t="str">
        <f t="shared" si="402"/>
        <v/>
      </c>
      <c r="AA1688" s="374" t="b">
        <f t="shared" si="403"/>
        <v>1</v>
      </c>
      <c r="AB1688" s="374">
        <f>COUNTIFS(B:B,B1688,H:H,'סיווג התפקידים והעלויות'!$C$2)</f>
        <v>0</v>
      </c>
      <c r="AC1688" s="374">
        <f>COUNTIFS(B:B,B1688,H:H,'סיווג התפקידים והעלויות'!$D$2)</f>
        <v>0</v>
      </c>
      <c r="AD1688" s="374" t="str">
        <f>IF(OR(AND(H1688='סיווג התפקידים והעלויות'!$A$2,I1688='סיווג התפקידים והעלויות'!$A$3),'עלויות כח אדם (6)'!H1688='סיווג התפקידים והעלויות'!$C$2,'עלויות כח אדם (6)'!H1688='סיווג התפקידים והעלויות'!$D$2),IF('עלויות כח אדם (6)'!J1688&lt;75,"לא תקין","תקין"),"")</f>
        <v/>
      </c>
      <c r="AE1688" s="374" t="str">
        <f t="shared" si="404"/>
        <v/>
      </c>
      <c r="AF1688" s="532" t="str">
        <f t="shared" si="405"/>
        <v/>
      </c>
    </row>
    <row r="1689" spans="2:32" x14ac:dyDescent="0.25">
      <c r="B1689" s="695"/>
      <c r="C1689" s="197" t="str">
        <f>IF(B1689&lt;&gt;"",IFERROR(VLOOKUP(B:B,'מצבת והרשמה (2)'!$C$20:$N$520,2,0)," ")," ")</f>
        <v xml:space="preserve"> </v>
      </c>
      <c r="D1689" s="695"/>
      <c r="E1689" s="696"/>
      <c r="F1689" s="696"/>
      <c r="G1689" s="696"/>
      <c r="H1689" s="696"/>
      <c r="I1689" s="1050" t="str">
        <f t="shared" si="392"/>
        <v/>
      </c>
      <c r="J1689" s="696"/>
      <c r="K1689" s="697"/>
      <c r="L1689" s="696"/>
      <c r="M1689" s="198" t="str">
        <f t="shared" si="393"/>
        <v/>
      </c>
      <c r="N1689" s="369" t="str">
        <f t="shared" si="394"/>
        <v/>
      </c>
      <c r="O1689" s="183" t="str">
        <f t="shared" si="395"/>
        <v/>
      </c>
      <c r="P1689" s="199" t="str">
        <f t="shared" si="396"/>
        <v/>
      </c>
      <c r="Q1689" s="199" t="str">
        <f>IF(B1689="","",IFERROR(IF('עלויות כח אדם (6)'!J1689&gt;=VLOOKUP(I1689,'סיווג התפקידים והעלויות'!$B$23:$C$32,2,0),"תקין","לא תקין"),""))</f>
        <v/>
      </c>
      <c r="R1689" s="199" t="str">
        <f t="shared" si="397"/>
        <v/>
      </c>
      <c r="S1689" s="199" t="str">
        <f t="shared" si="398"/>
        <v/>
      </c>
      <c r="T1689" s="199" t="str">
        <f t="shared" si="406"/>
        <v/>
      </c>
      <c r="U1689" s="199" t="str">
        <f t="shared" si="399"/>
        <v/>
      </c>
      <c r="V1689" s="989"/>
      <c r="X1689" s="374" t="str">
        <f t="shared" si="400"/>
        <v/>
      </c>
      <c r="Y1689" s="375" t="str">
        <f t="shared" si="401"/>
        <v/>
      </c>
      <c r="Z1689" s="374" t="str">
        <f t="shared" si="402"/>
        <v/>
      </c>
      <c r="AA1689" s="374" t="b">
        <f t="shared" si="403"/>
        <v>1</v>
      </c>
      <c r="AB1689" s="374">
        <f>COUNTIFS(B:B,B1689,H:H,'סיווג התפקידים והעלויות'!$C$2)</f>
        <v>0</v>
      </c>
      <c r="AC1689" s="374">
        <f>COUNTIFS(B:B,B1689,H:H,'סיווג התפקידים והעלויות'!$D$2)</f>
        <v>0</v>
      </c>
      <c r="AD1689" s="374" t="str">
        <f>IF(OR(AND(H1689='סיווג התפקידים והעלויות'!$A$2,I1689='סיווג התפקידים והעלויות'!$A$3),'עלויות כח אדם (6)'!H1689='סיווג התפקידים והעלויות'!$C$2,'עלויות כח אדם (6)'!H1689='סיווג התפקידים והעלויות'!$D$2),IF('עלויות כח אדם (6)'!J1689&lt;75,"לא תקין","תקין"),"")</f>
        <v/>
      </c>
      <c r="AE1689" s="374" t="str">
        <f t="shared" si="404"/>
        <v/>
      </c>
      <c r="AF1689" s="532" t="str">
        <f t="shared" si="405"/>
        <v/>
      </c>
    </row>
    <row r="1690" spans="2:32" x14ac:dyDescent="0.25">
      <c r="B1690" s="695"/>
      <c r="C1690" s="197" t="str">
        <f>IF(B1690&lt;&gt;"",IFERROR(VLOOKUP(B:B,'מצבת והרשמה (2)'!$C$20:$N$520,2,0)," ")," ")</f>
        <v xml:space="preserve"> </v>
      </c>
      <c r="D1690" s="695"/>
      <c r="E1690" s="696"/>
      <c r="F1690" s="696"/>
      <c r="G1690" s="696"/>
      <c r="H1690" s="696"/>
      <c r="I1690" s="1050" t="str">
        <f t="shared" si="392"/>
        <v/>
      </c>
      <c r="J1690" s="696"/>
      <c r="K1690" s="697"/>
      <c r="L1690" s="696"/>
      <c r="M1690" s="198" t="str">
        <f t="shared" si="393"/>
        <v/>
      </c>
      <c r="N1690" s="369" t="str">
        <f t="shared" si="394"/>
        <v/>
      </c>
      <c r="O1690" s="183" t="str">
        <f t="shared" si="395"/>
        <v/>
      </c>
      <c r="P1690" s="199" t="str">
        <f t="shared" si="396"/>
        <v/>
      </c>
      <c r="Q1690" s="199" t="str">
        <f>IF(B1690="","",IFERROR(IF('עלויות כח אדם (6)'!J1690&gt;=VLOOKUP(I1690,'סיווג התפקידים והעלויות'!$B$23:$C$32,2,0),"תקין","לא תקין"),""))</f>
        <v/>
      </c>
      <c r="R1690" s="199" t="str">
        <f t="shared" si="397"/>
        <v/>
      </c>
      <c r="S1690" s="199" t="str">
        <f t="shared" si="398"/>
        <v/>
      </c>
      <c r="T1690" s="199" t="str">
        <f t="shared" si="406"/>
        <v/>
      </c>
      <c r="U1690" s="199" t="str">
        <f t="shared" si="399"/>
        <v/>
      </c>
      <c r="V1690" s="989"/>
      <c r="X1690" s="374" t="str">
        <f t="shared" si="400"/>
        <v/>
      </c>
      <c r="Y1690" s="375" t="str">
        <f t="shared" si="401"/>
        <v/>
      </c>
      <c r="Z1690" s="374" t="str">
        <f t="shared" si="402"/>
        <v/>
      </c>
      <c r="AA1690" s="374" t="b">
        <f t="shared" si="403"/>
        <v>1</v>
      </c>
      <c r="AB1690" s="374">
        <f>COUNTIFS(B:B,B1690,H:H,'סיווג התפקידים והעלויות'!$C$2)</f>
        <v>0</v>
      </c>
      <c r="AC1690" s="374">
        <f>COUNTIFS(B:B,B1690,H:H,'סיווג התפקידים והעלויות'!$D$2)</f>
        <v>0</v>
      </c>
      <c r="AD1690" s="374" t="str">
        <f>IF(OR(AND(H1690='סיווג התפקידים והעלויות'!$A$2,I1690='סיווג התפקידים והעלויות'!$A$3),'עלויות כח אדם (6)'!H1690='סיווג התפקידים והעלויות'!$C$2,'עלויות כח אדם (6)'!H1690='סיווג התפקידים והעלויות'!$D$2),IF('עלויות כח אדם (6)'!J1690&lt;75,"לא תקין","תקין"),"")</f>
        <v/>
      </c>
      <c r="AE1690" s="374" t="str">
        <f t="shared" si="404"/>
        <v/>
      </c>
      <c r="AF1690" s="532" t="str">
        <f t="shared" si="405"/>
        <v/>
      </c>
    </row>
    <row r="1691" spans="2:32" x14ac:dyDescent="0.25">
      <c r="B1691" s="695"/>
      <c r="C1691" s="197" t="str">
        <f>IF(B1691&lt;&gt;"",IFERROR(VLOOKUP(B:B,'מצבת והרשמה (2)'!$C$20:$N$520,2,0)," ")," ")</f>
        <v xml:space="preserve"> </v>
      </c>
      <c r="D1691" s="695"/>
      <c r="E1691" s="696"/>
      <c r="F1691" s="696"/>
      <c r="G1691" s="696"/>
      <c r="H1691" s="696"/>
      <c r="I1691" s="1050" t="str">
        <f t="shared" si="392"/>
        <v/>
      </c>
      <c r="J1691" s="696"/>
      <c r="K1691" s="697"/>
      <c r="L1691" s="696"/>
      <c r="M1691" s="198" t="str">
        <f t="shared" si="393"/>
        <v/>
      </c>
      <c r="N1691" s="369" t="str">
        <f t="shared" si="394"/>
        <v/>
      </c>
      <c r="O1691" s="183" t="str">
        <f t="shared" si="395"/>
        <v/>
      </c>
      <c r="P1691" s="199" t="str">
        <f t="shared" si="396"/>
        <v/>
      </c>
      <c r="Q1691" s="199" t="str">
        <f>IF(B1691="","",IFERROR(IF('עלויות כח אדם (6)'!J1691&gt;=VLOOKUP(I1691,'סיווג התפקידים והעלויות'!$B$23:$C$32,2,0),"תקין","לא תקין"),""))</f>
        <v/>
      </c>
      <c r="R1691" s="199" t="str">
        <f t="shared" si="397"/>
        <v/>
      </c>
      <c r="S1691" s="199" t="str">
        <f t="shared" si="398"/>
        <v/>
      </c>
      <c r="T1691" s="199" t="str">
        <f t="shared" si="406"/>
        <v/>
      </c>
      <c r="U1691" s="199" t="str">
        <f t="shared" si="399"/>
        <v/>
      </c>
      <c r="V1691" s="989"/>
      <c r="X1691" s="374" t="str">
        <f t="shared" si="400"/>
        <v/>
      </c>
      <c r="Y1691" s="375" t="str">
        <f t="shared" si="401"/>
        <v/>
      </c>
      <c r="Z1691" s="374" t="str">
        <f t="shared" si="402"/>
        <v/>
      </c>
      <c r="AA1691" s="374" t="b">
        <f t="shared" si="403"/>
        <v>1</v>
      </c>
      <c r="AB1691" s="374">
        <f>COUNTIFS(B:B,B1691,H:H,'סיווג התפקידים והעלויות'!$C$2)</f>
        <v>0</v>
      </c>
      <c r="AC1691" s="374">
        <f>COUNTIFS(B:B,B1691,H:H,'סיווג התפקידים והעלויות'!$D$2)</f>
        <v>0</v>
      </c>
      <c r="AD1691" s="374" t="str">
        <f>IF(OR(AND(H1691='סיווג התפקידים והעלויות'!$A$2,I1691='סיווג התפקידים והעלויות'!$A$3),'עלויות כח אדם (6)'!H1691='סיווג התפקידים והעלויות'!$C$2,'עלויות כח אדם (6)'!H1691='סיווג התפקידים והעלויות'!$D$2),IF('עלויות כח אדם (6)'!J1691&lt;75,"לא תקין","תקין"),"")</f>
        <v/>
      </c>
      <c r="AE1691" s="374" t="str">
        <f t="shared" si="404"/>
        <v/>
      </c>
      <c r="AF1691" s="532" t="str">
        <f t="shared" si="405"/>
        <v/>
      </c>
    </row>
    <row r="1692" spans="2:32" x14ac:dyDescent="0.25">
      <c r="B1692" s="695"/>
      <c r="C1692" s="197" t="str">
        <f>IF(B1692&lt;&gt;"",IFERROR(VLOOKUP(B:B,'מצבת והרשמה (2)'!$C$20:$N$520,2,0)," ")," ")</f>
        <v xml:space="preserve"> </v>
      </c>
      <c r="D1692" s="695"/>
      <c r="E1692" s="696"/>
      <c r="F1692" s="696"/>
      <c r="G1692" s="696"/>
      <c r="H1692" s="696"/>
      <c r="I1692" s="1050" t="str">
        <f t="shared" si="392"/>
        <v/>
      </c>
      <c r="J1692" s="696"/>
      <c r="K1692" s="697"/>
      <c r="L1692" s="696"/>
      <c r="M1692" s="198" t="str">
        <f t="shared" si="393"/>
        <v/>
      </c>
      <c r="N1692" s="369" t="str">
        <f t="shared" si="394"/>
        <v/>
      </c>
      <c r="O1692" s="183" t="str">
        <f t="shared" si="395"/>
        <v/>
      </c>
      <c r="P1692" s="199" t="str">
        <f t="shared" si="396"/>
        <v/>
      </c>
      <c r="Q1692" s="199" t="str">
        <f>IF(B1692="","",IFERROR(IF('עלויות כח אדם (6)'!J1692&gt;=VLOOKUP(I1692,'סיווג התפקידים והעלויות'!$B$23:$C$32,2,0),"תקין","לא תקין"),""))</f>
        <v/>
      </c>
      <c r="R1692" s="199" t="str">
        <f t="shared" si="397"/>
        <v/>
      </c>
      <c r="S1692" s="199" t="str">
        <f t="shared" si="398"/>
        <v/>
      </c>
      <c r="T1692" s="199" t="str">
        <f t="shared" si="406"/>
        <v/>
      </c>
      <c r="U1692" s="199" t="str">
        <f t="shared" si="399"/>
        <v/>
      </c>
      <c r="V1692" s="989"/>
      <c r="X1692" s="374" t="str">
        <f t="shared" si="400"/>
        <v/>
      </c>
      <c r="Y1692" s="375" t="str">
        <f t="shared" si="401"/>
        <v/>
      </c>
      <c r="Z1692" s="374" t="str">
        <f t="shared" si="402"/>
        <v/>
      </c>
      <c r="AA1692" s="374" t="b">
        <f t="shared" si="403"/>
        <v>1</v>
      </c>
      <c r="AB1692" s="374">
        <f>COUNTIFS(B:B,B1692,H:H,'סיווג התפקידים והעלויות'!$C$2)</f>
        <v>0</v>
      </c>
      <c r="AC1692" s="374">
        <f>COUNTIFS(B:B,B1692,H:H,'סיווג התפקידים והעלויות'!$D$2)</f>
        <v>0</v>
      </c>
      <c r="AD1692" s="374" t="str">
        <f>IF(OR(AND(H1692='סיווג התפקידים והעלויות'!$A$2,I1692='סיווג התפקידים והעלויות'!$A$3),'עלויות כח אדם (6)'!H1692='סיווג התפקידים והעלויות'!$C$2,'עלויות כח אדם (6)'!H1692='סיווג התפקידים והעלויות'!$D$2),IF('עלויות כח אדם (6)'!J1692&lt;75,"לא תקין","תקין"),"")</f>
        <v/>
      </c>
      <c r="AE1692" s="374" t="str">
        <f t="shared" si="404"/>
        <v/>
      </c>
      <c r="AF1692" s="532" t="str">
        <f t="shared" si="405"/>
        <v/>
      </c>
    </row>
    <row r="1693" spans="2:32" x14ac:dyDescent="0.25">
      <c r="B1693" s="695"/>
      <c r="C1693" s="197" t="str">
        <f>IF(B1693&lt;&gt;"",IFERROR(VLOOKUP(B:B,'מצבת והרשמה (2)'!$C$20:$N$520,2,0)," ")," ")</f>
        <v xml:space="preserve"> </v>
      </c>
      <c r="D1693" s="695"/>
      <c r="E1693" s="696"/>
      <c r="F1693" s="696"/>
      <c r="G1693" s="696"/>
      <c r="H1693" s="696"/>
      <c r="I1693" s="1050" t="str">
        <f t="shared" si="392"/>
        <v/>
      </c>
      <c r="J1693" s="696"/>
      <c r="K1693" s="697"/>
      <c r="L1693" s="696"/>
      <c r="M1693" s="198" t="str">
        <f t="shared" si="393"/>
        <v/>
      </c>
      <c r="N1693" s="369" t="str">
        <f t="shared" si="394"/>
        <v/>
      </c>
      <c r="O1693" s="183" t="str">
        <f t="shared" si="395"/>
        <v/>
      </c>
      <c r="P1693" s="199" t="str">
        <f t="shared" si="396"/>
        <v/>
      </c>
      <c r="Q1693" s="199" t="str">
        <f>IF(B1693="","",IFERROR(IF('עלויות כח אדם (6)'!J1693&gt;=VLOOKUP(I1693,'סיווג התפקידים והעלויות'!$B$23:$C$32,2,0),"תקין","לא תקין"),""))</f>
        <v/>
      </c>
      <c r="R1693" s="199" t="str">
        <f t="shared" si="397"/>
        <v/>
      </c>
      <c r="S1693" s="199" t="str">
        <f t="shared" si="398"/>
        <v/>
      </c>
      <c r="T1693" s="199" t="str">
        <f t="shared" si="406"/>
        <v/>
      </c>
      <c r="U1693" s="199" t="str">
        <f t="shared" si="399"/>
        <v/>
      </c>
      <c r="V1693" s="989"/>
      <c r="X1693" s="374" t="str">
        <f t="shared" si="400"/>
        <v/>
      </c>
      <c r="Y1693" s="375" t="str">
        <f t="shared" si="401"/>
        <v/>
      </c>
      <c r="Z1693" s="374" t="str">
        <f t="shared" si="402"/>
        <v/>
      </c>
      <c r="AA1693" s="374" t="b">
        <f t="shared" si="403"/>
        <v>1</v>
      </c>
      <c r="AB1693" s="374">
        <f>COUNTIFS(B:B,B1693,H:H,'סיווג התפקידים והעלויות'!$C$2)</f>
        <v>0</v>
      </c>
      <c r="AC1693" s="374">
        <f>COUNTIFS(B:B,B1693,H:H,'סיווג התפקידים והעלויות'!$D$2)</f>
        <v>0</v>
      </c>
      <c r="AD1693" s="374" t="str">
        <f>IF(OR(AND(H1693='סיווג התפקידים והעלויות'!$A$2,I1693='סיווג התפקידים והעלויות'!$A$3),'עלויות כח אדם (6)'!H1693='סיווג התפקידים והעלויות'!$C$2,'עלויות כח אדם (6)'!H1693='סיווג התפקידים והעלויות'!$D$2),IF('עלויות כח אדם (6)'!J1693&lt;75,"לא תקין","תקין"),"")</f>
        <v/>
      </c>
      <c r="AE1693" s="374" t="str">
        <f t="shared" si="404"/>
        <v/>
      </c>
      <c r="AF1693" s="532" t="str">
        <f t="shared" si="405"/>
        <v/>
      </c>
    </row>
    <row r="1694" spans="2:32" x14ac:dyDescent="0.25">
      <c r="B1694" s="695"/>
      <c r="C1694" s="197" t="str">
        <f>IF(B1694&lt;&gt;"",IFERROR(VLOOKUP(B:B,'מצבת והרשמה (2)'!$C$20:$N$520,2,0)," ")," ")</f>
        <v xml:space="preserve"> </v>
      </c>
      <c r="D1694" s="695"/>
      <c r="E1694" s="696"/>
      <c r="F1694" s="696"/>
      <c r="G1694" s="696"/>
      <c r="H1694" s="696"/>
      <c r="I1694" s="1050" t="str">
        <f t="shared" si="392"/>
        <v/>
      </c>
      <c r="J1694" s="696"/>
      <c r="K1694" s="697"/>
      <c r="L1694" s="696"/>
      <c r="M1694" s="198" t="str">
        <f t="shared" si="393"/>
        <v/>
      </c>
      <c r="N1694" s="369" t="str">
        <f t="shared" si="394"/>
        <v/>
      </c>
      <c r="O1694" s="183" t="str">
        <f t="shared" si="395"/>
        <v/>
      </c>
      <c r="P1694" s="199" t="str">
        <f t="shared" si="396"/>
        <v/>
      </c>
      <c r="Q1694" s="199" t="str">
        <f>IF(B1694="","",IFERROR(IF('עלויות כח אדם (6)'!J1694&gt;=VLOOKUP(I1694,'סיווג התפקידים והעלויות'!$B$23:$C$32,2,0),"תקין","לא תקין"),""))</f>
        <v/>
      </c>
      <c r="R1694" s="199" t="str">
        <f t="shared" si="397"/>
        <v/>
      </c>
      <c r="S1694" s="199" t="str">
        <f t="shared" si="398"/>
        <v/>
      </c>
      <c r="T1694" s="199" t="str">
        <f t="shared" si="406"/>
        <v/>
      </c>
      <c r="U1694" s="199" t="str">
        <f t="shared" si="399"/>
        <v/>
      </c>
      <c r="V1694" s="989"/>
      <c r="X1694" s="374" t="str">
        <f t="shared" si="400"/>
        <v/>
      </c>
      <c r="Y1694" s="375" t="str">
        <f t="shared" si="401"/>
        <v/>
      </c>
      <c r="Z1694" s="374" t="str">
        <f t="shared" si="402"/>
        <v/>
      </c>
      <c r="AA1694" s="374" t="b">
        <f t="shared" si="403"/>
        <v>1</v>
      </c>
      <c r="AB1694" s="374">
        <f>COUNTIFS(B:B,B1694,H:H,'סיווג התפקידים והעלויות'!$C$2)</f>
        <v>0</v>
      </c>
      <c r="AC1694" s="374">
        <f>COUNTIFS(B:B,B1694,H:H,'סיווג התפקידים והעלויות'!$D$2)</f>
        <v>0</v>
      </c>
      <c r="AD1694" s="374" t="str">
        <f>IF(OR(AND(H1694='סיווג התפקידים והעלויות'!$A$2,I1694='סיווג התפקידים והעלויות'!$A$3),'עלויות כח אדם (6)'!H1694='סיווג התפקידים והעלויות'!$C$2,'עלויות כח אדם (6)'!H1694='סיווג התפקידים והעלויות'!$D$2),IF('עלויות כח אדם (6)'!J1694&lt;75,"לא תקין","תקין"),"")</f>
        <v/>
      </c>
      <c r="AE1694" s="374" t="str">
        <f t="shared" si="404"/>
        <v/>
      </c>
      <c r="AF1694" s="532" t="str">
        <f t="shared" si="405"/>
        <v/>
      </c>
    </row>
    <row r="1695" spans="2:32" x14ac:dyDescent="0.25">
      <c r="B1695" s="695"/>
      <c r="C1695" s="197" t="str">
        <f>IF(B1695&lt;&gt;"",IFERROR(VLOOKUP(B:B,'מצבת והרשמה (2)'!$C$20:$N$520,2,0)," ")," ")</f>
        <v xml:space="preserve"> </v>
      </c>
      <c r="D1695" s="695"/>
      <c r="E1695" s="696"/>
      <c r="F1695" s="696"/>
      <c r="G1695" s="696"/>
      <c r="H1695" s="696"/>
      <c r="I1695" s="1050" t="str">
        <f t="shared" si="392"/>
        <v/>
      </c>
      <c r="J1695" s="696"/>
      <c r="K1695" s="697"/>
      <c r="L1695" s="696"/>
      <c r="M1695" s="198" t="str">
        <f t="shared" si="393"/>
        <v/>
      </c>
      <c r="N1695" s="369" t="str">
        <f t="shared" si="394"/>
        <v/>
      </c>
      <c r="O1695" s="183" t="str">
        <f t="shared" si="395"/>
        <v/>
      </c>
      <c r="P1695" s="199" t="str">
        <f t="shared" si="396"/>
        <v/>
      </c>
      <c r="Q1695" s="199" t="str">
        <f>IF(B1695="","",IFERROR(IF('עלויות כח אדם (6)'!J1695&gt;=VLOOKUP(I1695,'סיווג התפקידים והעלויות'!$B$23:$C$32,2,0),"תקין","לא תקין"),""))</f>
        <v/>
      </c>
      <c r="R1695" s="199" t="str">
        <f t="shared" si="397"/>
        <v/>
      </c>
      <c r="S1695" s="199" t="str">
        <f t="shared" si="398"/>
        <v/>
      </c>
      <c r="T1695" s="199" t="str">
        <f t="shared" si="406"/>
        <v/>
      </c>
      <c r="U1695" s="199" t="str">
        <f t="shared" si="399"/>
        <v/>
      </c>
      <c r="V1695" s="989"/>
      <c r="X1695" s="374" t="str">
        <f t="shared" si="400"/>
        <v/>
      </c>
      <c r="Y1695" s="375" t="str">
        <f t="shared" si="401"/>
        <v/>
      </c>
      <c r="Z1695" s="374" t="str">
        <f t="shared" si="402"/>
        <v/>
      </c>
      <c r="AA1695" s="374" t="b">
        <f t="shared" si="403"/>
        <v>1</v>
      </c>
      <c r="AB1695" s="374">
        <f>COUNTIFS(B:B,B1695,H:H,'סיווג התפקידים והעלויות'!$C$2)</f>
        <v>0</v>
      </c>
      <c r="AC1695" s="374">
        <f>COUNTIFS(B:B,B1695,H:H,'סיווג התפקידים והעלויות'!$D$2)</f>
        <v>0</v>
      </c>
      <c r="AD1695" s="374" t="str">
        <f>IF(OR(AND(H1695='סיווג התפקידים והעלויות'!$A$2,I1695='סיווג התפקידים והעלויות'!$A$3),'עלויות כח אדם (6)'!H1695='סיווג התפקידים והעלויות'!$C$2,'עלויות כח אדם (6)'!H1695='סיווג התפקידים והעלויות'!$D$2),IF('עלויות כח אדם (6)'!J1695&lt;75,"לא תקין","תקין"),"")</f>
        <v/>
      </c>
      <c r="AE1695" s="374" t="str">
        <f t="shared" si="404"/>
        <v/>
      </c>
      <c r="AF1695" s="532" t="str">
        <f t="shared" si="405"/>
        <v/>
      </c>
    </row>
    <row r="1696" spans="2:32" x14ac:dyDescent="0.25">
      <c r="B1696" s="695"/>
      <c r="C1696" s="197" t="str">
        <f>IF(B1696&lt;&gt;"",IFERROR(VLOOKUP(B:B,'מצבת והרשמה (2)'!$C$20:$N$520,2,0)," ")," ")</f>
        <v xml:space="preserve"> </v>
      </c>
      <c r="D1696" s="695"/>
      <c r="E1696" s="696"/>
      <c r="F1696" s="696"/>
      <c r="G1696" s="696"/>
      <c r="H1696" s="696"/>
      <c r="I1696" s="1050" t="str">
        <f t="shared" si="392"/>
        <v/>
      </c>
      <c r="J1696" s="696"/>
      <c r="K1696" s="697"/>
      <c r="L1696" s="696"/>
      <c r="M1696" s="198" t="str">
        <f t="shared" si="393"/>
        <v/>
      </c>
      <c r="N1696" s="369" t="str">
        <f t="shared" si="394"/>
        <v/>
      </c>
      <c r="O1696" s="183" t="str">
        <f t="shared" si="395"/>
        <v/>
      </c>
      <c r="P1696" s="199" t="str">
        <f t="shared" si="396"/>
        <v/>
      </c>
      <c r="Q1696" s="199" t="str">
        <f>IF(B1696="","",IFERROR(IF('עלויות כח אדם (6)'!J1696&gt;=VLOOKUP(I1696,'סיווג התפקידים והעלויות'!$B$23:$C$32,2,0),"תקין","לא תקין"),""))</f>
        <v/>
      </c>
      <c r="R1696" s="199" t="str">
        <f t="shared" si="397"/>
        <v/>
      </c>
      <c r="S1696" s="199" t="str">
        <f t="shared" si="398"/>
        <v/>
      </c>
      <c r="T1696" s="199" t="str">
        <f t="shared" si="406"/>
        <v/>
      </c>
      <c r="U1696" s="199" t="str">
        <f t="shared" si="399"/>
        <v/>
      </c>
      <c r="V1696" s="989"/>
      <c r="X1696" s="374" t="str">
        <f t="shared" si="400"/>
        <v/>
      </c>
      <c r="Y1696" s="375" t="str">
        <f t="shared" si="401"/>
        <v/>
      </c>
      <c r="Z1696" s="374" t="str">
        <f t="shared" si="402"/>
        <v/>
      </c>
      <c r="AA1696" s="374" t="b">
        <f t="shared" si="403"/>
        <v>1</v>
      </c>
      <c r="AB1696" s="374">
        <f>COUNTIFS(B:B,B1696,H:H,'סיווג התפקידים והעלויות'!$C$2)</f>
        <v>0</v>
      </c>
      <c r="AC1696" s="374">
        <f>COUNTIFS(B:B,B1696,H:H,'סיווג התפקידים והעלויות'!$D$2)</f>
        <v>0</v>
      </c>
      <c r="AD1696" s="374" t="str">
        <f>IF(OR(AND(H1696='סיווג התפקידים והעלויות'!$A$2,I1696='סיווג התפקידים והעלויות'!$A$3),'עלויות כח אדם (6)'!H1696='סיווג התפקידים והעלויות'!$C$2,'עלויות כח אדם (6)'!H1696='סיווג התפקידים והעלויות'!$D$2),IF('עלויות כח אדם (6)'!J1696&lt;75,"לא תקין","תקין"),"")</f>
        <v/>
      </c>
      <c r="AE1696" s="374" t="str">
        <f t="shared" si="404"/>
        <v/>
      </c>
      <c r="AF1696" s="532" t="str">
        <f t="shared" si="405"/>
        <v/>
      </c>
    </row>
    <row r="1697" spans="2:32" x14ac:dyDescent="0.25">
      <c r="B1697" s="695"/>
      <c r="C1697" s="197" t="str">
        <f>IF(B1697&lt;&gt;"",IFERROR(VLOOKUP(B:B,'מצבת והרשמה (2)'!$C$20:$N$520,2,0)," ")," ")</f>
        <v xml:space="preserve"> </v>
      </c>
      <c r="D1697" s="695"/>
      <c r="E1697" s="696"/>
      <c r="F1697" s="696"/>
      <c r="G1697" s="696"/>
      <c r="H1697" s="696"/>
      <c r="I1697" s="1050" t="str">
        <f t="shared" si="392"/>
        <v/>
      </c>
      <c r="J1697" s="696"/>
      <c r="K1697" s="697"/>
      <c r="L1697" s="696"/>
      <c r="M1697" s="198" t="str">
        <f t="shared" si="393"/>
        <v/>
      </c>
      <c r="N1697" s="369" t="str">
        <f t="shared" si="394"/>
        <v/>
      </c>
      <c r="O1697" s="183" t="str">
        <f t="shared" si="395"/>
        <v/>
      </c>
      <c r="P1697" s="199" t="str">
        <f t="shared" si="396"/>
        <v/>
      </c>
      <c r="Q1697" s="199" t="str">
        <f>IF(B1697="","",IFERROR(IF('עלויות כח אדם (6)'!J1697&gt;=VLOOKUP(I1697,'סיווג התפקידים והעלויות'!$B$23:$C$32,2,0),"תקין","לא תקין"),""))</f>
        <v/>
      </c>
      <c r="R1697" s="199" t="str">
        <f t="shared" si="397"/>
        <v/>
      </c>
      <c r="S1697" s="199" t="str">
        <f t="shared" si="398"/>
        <v/>
      </c>
      <c r="T1697" s="199" t="str">
        <f t="shared" si="406"/>
        <v/>
      </c>
      <c r="U1697" s="199" t="str">
        <f t="shared" si="399"/>
        <v/>
      </c>
      <c r="V1697" s="989"/>
      <c r="X1697" s="374" t="str">
        <f t="shared" si="400"/>
        <v/>
      </c>
      <c r="Y1697" s="375" t="str">
        <f t="shared" si="401"/>
        <v/>
      </c>
      <c r="Z1697" s="374" t="str">
        <f t="shared" si="402"/>
        <v/>
      </c>
      <c r="AA1697" s="374" t="b">
        <f t="shared" si="403"/>
        <v>1</v>
      </c>
      <c r="AB1697" s="374">
        <f>COUNTIFS(B:B,B1697,H:H,'סיווג התפקידים והעלויות'!$C$2)</f>
        <v>0</v>
      </c>
      <c r="AC1697" s="374">
        <f>COUNTIFS(B:B,B1697,H:H,'סיווג התפקידים והעלויות'!$D$2)</f>
        <v>0</v>
      </c>
      <c r="AD1697" s="374" t="str">
        <f>IF(OR(AND(H1697='סיווג התפקידים והעלויות'!$A$2,I1697='סיווג התפקידים והעלויות'!$A$3),'עלויות כח אדם (6)'!H1697='סיווג התפקידים והעלויות'!$C$2,'עלויות כח אדם (6)'!H1697='סיווג התפקידים והעלויות'!$D$2),IF('עלויות כח אדם (6)'!J1697&lt;75,"לא תקין","תקין"),"")</f>
        <v/>
      </c>
      <c r="AE1697" s="374" t="str">
        <f t="shared" si="404"/>
        <v/>
      </c>
      <c r="AF1697" s="532" t="str">
        <f t="shared" si="405"/>
        <v/>
      </c>
    </row>
    <row r="1698" spans="2:32" x14ac:dyDescent="0.25">
      <c r="B1698" s="695"/>
      <c r="C1698" s="197" t="str">
        <f>IF(B1698&lt;&gt;"",IFERROR(VLOOKUP(B:B,'מצבת והרשמה (2)'!$C$20:$N$520,2,0)," ")," ")</f>
        <v xml:space="preserve"> </v>
      </c>
      <c r="D1698" s="695"/>
      <c r="E1698" s="696"/>
      <c r="F1698" s="696"/>
      <c r="G1698" s="696"/>
      <c r="H1698" s="696"/>
      <c r="I1698" s="1050" t="str">
        <f t="shared" si="392"/>
        <v/>
      </c>
      <c r="J1698" s="696"/>
      <c r="K1698" s="697"/>
      <c r="L1698" s="696"/>
      <c r="M1698" s="198" t="str">
        <f t="shared" si="393"/>
        <v/>
      </c>
      <c r="N1698" s="369" t="str">
        <f t="shared" si="394"/>
        <v/>
      </c>
      <c r="O1698" s="183" t="str">
        <f t="shared" si="395"/>
        <v/>
      </c>
      <c r="P1698" s="199" t="str">
        <f t="shared" si="396"/>
        <v/>
      </c>
      <c r="Q1698" s="199" t="str">
        <f>IF(B1698="","",IFERROR(IF('עלויות כח אדם (6)'!J1698&gt;=VLOOKUP(I1698,'סיווג התפקידים והעלויות'!$B$23:$C$32,2,0),"תקין","לא תקין"),""))</f>
        <v/>
      </c>
      <c r="R1698" s="199" t="str">
        <f t="shared" si="397"/>
        <v/>
      </c>
      <c r="S1698" s="199" t="str">
        <f t="shared" si="398"/>
        <v/>
      </c>
      <c r="T1698" s="199" t="str">
        <f t="shared" si="406"/>
        <v/>
      </c>
      <c r="U1698" s="199" t="str">
        <f t="shared" si="399"/>
        <v/>
      </c>
      <c r="V1698" s="989"/>
      <c r="X1698" s="374" t="str">
        <f t="shared" si="400"/>
        <v/>
      </c>
      <c r="Y1698" s="375" t="str">
        <f t="shared" si="401"/>
        <v/>
      </c>
      <c r="Z1698" s="374" t="str">
        <f t="shared" si="402"/>
        <v/>
      </c>
      <c r="AA1698" s="374" t="b">
        <f t="shared" si="403"/>
        <v>1</v>
      </c>
      <c r="AB1698" s="374">
        <f>COUNTIFS(B:B,B1698,H:H,'סיווג התפקידים והעלויות'!$C$2)</f>
        <v>0</v>
      </c>
      <c r="AC1698" s="374">
        <f>COUNTIFS(B:B,B1698,H:H,'סיווג התפקידים והעלויות'!$D$2)</f>
        <v>0</v>
      </c>
      <c r="AD1698" s="374" t="str">
        <f>IF(OR(AND(H1698='סיווג התפקידים והעלויות'!$A$2,I1698='סיווג התפקידים והעלויות'!$A$3),'עלויות כח אדם (6)'!H1698='סיווג התפקידים והעלויות'!$C$2,'עלויות כח אדם (6)'!H1698='סיווג התפקידים והעלויות'!$D$2),IF('עלויות כח אדם (6)'!J1698&lt;75,"לא תקין","תקין"),"")</f>
        <v/>
      </c>
      <c r="AE1698" s="374" t="str">
        <f t="shared" si="404"/>
        <v/>
      </c>
      <c r="AF1698" s="532" t="str">
        <f t="shared" si="405"/>
        <v/>
      </c>
    </row>
    <row r="1699" spans="2:32" x14ac:dyDescent="0.25">
      <c r="B1699" s="695"/>
      <c r="C1699" s="197" t="str">
        <f>IF(B1699&lt;&gt;"",IFERROR(VLOOKUP(B:B,'מצבת והרשמה (2)'!$C$20:$N$520,2,0)," ")," ")</f>
        <v xml:space="preserve"> </v>
      </c>
      <c r="D1699" s="695"/>
      <c r="E1699" s="696"/>
      <c r="F1699" s="696"/>
      <c r="G1699" s="696"/>
      <c r="H1699" s="696"/>
      <c r="I1699" s="1050" t="str">
        <f t="shared" si="392"/>
        <v/>
      </c>
      <c r="J1699" s="696"/>
      <c r="K1699" s="697"/>
      <c r="L1699" s="696"/>
      <c r="M1699" s="198" t="str">
        <f t="shared" si="393"/>
        <v/>
      </c>
      <c r="N1699" s="369" t="str">
        <f t="shared" si="394"/>
        <v/>
      </c>
      <c r="O1699" s="183" t="str">
        <f t="shared" si="395"/>
        <v/>
      </c>
      <c r="P1699" s="199" t="str">
        <f t="shared" si="396"/>
        <v/>
      </c>
      <c r="Q1699" s="199" t="str">
        <f>IF(B1699="","",IFERROR(IF('עלויות כח אדם (6)'!J1699&gt;=VLOOKUP(I1699,'סיווג התפקידים והעלויות'!$B$23:$C$32,2,0),"תקין","לא תקין"),""))</f>
        <v/>
      </c>
      <c r="R1699" s="199" t="str">
        <f t="shared" si="397"/>
        <v/>
      </c>
      <c r="S1699" s="199" t="str">
        <f t="shared" si="398"/>
        <v/>
      </c>
      <c r="T1699" s="199" t="str">
        <f t="shared" si="406"/>
        <v/>
      </c>
      <c r="U1699" s="199" t="str">
        <f t="shared" si="399"/>
        <v/>
      </c>
      <c r="V1699" s="989"/>
      <c r="X1699" s="374" t="str">
        <f t="shared" si="400"/>
        <v/>
      </c>
      <c r="Y1699" s="375" t="str">
        <f t="shared" si="401"/>
        <v/>
      </c>
      <c r="Z1699" s="374" t="str">
        <f t="shared" si="402"/>
        <v/>
      </c>
      <c r="AA1699" s="374" t="b">
        <f t="shared" si="403"/>
        <v>1</v>
      </c>
      <c r="AB1699" s="374">
        <f>COUNTIFS(B:B,B1699,H:H,'סיווג התפקידים והעלויות'!$C$2)</f>
        <v>0</v>
      </c>
      <c r="AC1699" s="374">
        <f>COUNTIFS(B:B,B1699,H:H,'סיווג התפקידים והעלויות'!$D$2)</f>
        <v>0</v>
      </c>
      <c r="AD1699" s="374" t="str">
        <f>IF(OR(AND(H1699='סיווג התפקידים והעלויות'!$A$2,I1699='סיווג התפקידים והעלויות'!$A$3),'עלויות כח אדם (6)'!H1699='סיווג התפקידים והעלויות'!$C$2,'עלויות כח אדם (6)'!H1699='סיווג התפקידים והעלויות'!$D$2),IF('עלויות כח אדם (6)'!J1699&lt;75,"לא תקין","תקין"),"")</f>
        <v/>
      </c>
      <c r="AE1699" s="374" t="str">
        <f t="shared" si="404"/>
        <v/>
      </c>
      <c r="AF1699" s="532" t="str">
        <f t="shared" si="405"/>
        <v/>
      </c>
    </row>
    <row r="1700" spans="2:32" x14ac:dyDescent="0.25">
      <c r="B1700" s="695"/>
      <c r="C1700" s="197" t="str">
        <f>IF(B1700&lt;&gt;"",IFERROR(VLOOKUP(B:B,'מצבת והרשמה (2)'!$C$20:$N$520,2,0)," ")," ")</f>
        <v xml:space="preserve"> </v>
      </c>
      <c r="D1700" s="695"/>
      <c r="E1700" s="696"/>
      <c r="F1700" s="696"/>
      <c r="G1700" s="696"/>
      <c r="H1700" s="696"/>
      <c r="I1700" s="1050" t="str">
        <f t="shared" si="392"/>
        <v/>
      </c>
      <c r="J1700" s="696"/>
      <c r="K1700" s="697"/>
      <c r="L1700" s="696"/>
      <c r="M1700" s="198" t="str">
        <f t="shared" si="393"/>
        <v/>
      </c>
      <c r="N1700" s="369" t="str">
        <f t="shared" si="394"/>
        <v/>
      </c>
      <c r="O1700" s="183" t="str">
        <f t="shared" si="395"/>
        <v/>
      </c>
      <c r="P1700" s="199" t="str">
        <f t="shared" si="396"/>
        <v/>
      </c>
      <c r="Q1700" s="199" t="str">
        <f>IF(B1700="","",IFERROR(IF('עלויות כח אדם (6)'!J1700&gt;=VLOOKUP(I1700,'סיווג התפקידים והעלויות'!$B$23:$C$32,2,0),"תקין","לא תקין"),""))</f>
        <v/>
      </c>
      <c r="R1700" s="199" t="str">
        <f t="shared" si="397"/>
        <v/>
      </c>
      <c r="S1700" s="199" t="str">
        <f t="shared" si="398"/>
        <v/>
      </c>
      <c r="T1700" s="199" t="str">
        <f t="shared" si="406"/>
        <v/>
      </c>
      <c r="U1700" s="199" t="str">
        <f t="shared" si="399"/>
        <v/>
      </c>
      <c r="V1700" s="989"/>
      <c r="X1700" s="374" t="str">
        <f t="shared" si="400"/>
        <v/>
      </c>
      <c r="Y1700" s="375" t="str">
        <f t="shared" si="401"/>
        <v/>
      </c>
      <c r="Z1700" s="374" t="str">
        <f t="shared" si="402"/>
        <v/>
      </c>
      <c r="AA1700" s="374" t="b">
        <f t="shared" si="403"/>
        <v>1</v>
      </c>
      <c r="AB1700" s="374">
        <f>COUNTIFS(B:B,B1700,H:H,'סיווג התפקידים והעלויות'!$C$2)</f>
        <v>0</v>
      </c>
      <c r="AC1700" s="374">
        <f>COUNTIFS(B:B,B1700,H:H,'סיווג התפקידים והעלויות'!$D$2)</f>
        <v>0</v>
      </c>
      <c r="AD1700" s="374" t="str">
        <f>IF(OR(AND(H1700='סיווג התפקידים והעלויות'!$A$2,I1700='סיווג התפקידים והעלויות'!$A$3),'עלויות כח אדם (6)'!H1700='סיווג התפקידים והעלויות'!$C$2,'עלויות כח אדם (6)'!H1700='סיווג התפקידים והעלויות'!$D$2),IF('עלויות כח אדם (6)'!J1700&lt;75,"לא תקין","תקין"),"")</f>
        <v/>
      </c>
      <c r="AE1700" s="374" t="str">
        <f t="shared" si="404"/>
        <v/>
      </c>
      <c r="AF1700" s="532" t="str">
        <f t="shared" si="405"/>
        <v/>
      </c>
    </row>
    <row r="1701" spans="2:32" x14ac:dyDescent="0.25">
      <c r="B1701" s="695"/>
      <c r="C1701" s="197" t="str">
        <f>IF(B1701&lt;&gt;"",IFERROR(VLOOKUP(B:B,'מצבת והרשמה (2)'!$C$20:$N$520,2,0)," ")," ")</f>
        <v xml:space="preserve"> </v>
      </c>
      <c r="D1701" s="695"/>
      <c r="E1701" s="696"/>
      <c r="F1701" s="696"/>
      <c r="G1701" s="696"/>
      <c r="H1701" s="696"/>
      <c r="I1701" s="1050" t="str">
        <f t="shared" si="392"/>
        <v/>
      </c>
      <c r="J1701" s="696"/>
      <c r="K1701" s="697"/>
      <c r="L1701" s="696"/>
      <c r="M1701" s="198" t="str">
        <f t="shared" si="393"/>
        <v/>
      </c>
      <c r="N1701" s="369" t="str">
        <f t="shared" si="394"/>
        <v/>
      </c>
      <c r="O1701" s="183" t="str">
        <f t="shared" si="395"/>
        <v/>
      </c>
      <c r="P1701" s="199" t="str">
        <f t="shared" si="396"/>
        <v/>
      </c>
      <c r="Q1701" s="199" t="str">
        <f>IF(B1701="","",IFERROR(IF('עלויות כח אדם (6)'!J1701&gt;=VLOOKUP(I1701,'סיווג התפקידים והעלויות'!$B$23:$C$32,2,0),"תקין","לא תקין"),""))</f>
        <v/>
      </c>
      <c r="R1701" s="199" t="str">
        <f t="shared" si="397"/>
        <v/>
      </c>
      <c r="S1701" s="199" t="str">
        <f t="shared" si="398"/>
        <v/>
      </c>
      <c r="T1701" s="199" t="str">
        <f t="shared" si="406"/>
        <v/>
      </c>
      <c r="U1701" s="199" t="str">
        <f t="shared" si="399"/>
        <v/>
      </c>
      <c r="V1701" s="989"/>
      <c r="X1701" s="374" t="str">
        <f t="shared" si="400"/>
        <v/>
      </c>
      <c r="Y1701" s="375" t="str">
        <f t="shared" si="401"/>
        <v/>
      </c>
      <c r="Z1701" s="374" t="str">
        <f t="shared" si="402"/>
        <v/>
      </c>
      <c r="AA1701" s="374" t="b">
        <f t="shared" si="403"/>
        <v>1</v>
      </c>
      <c r="AB1701" s="374">
        <f>COUNTIFS(B:B,B1701,H:H,'סיווג התפקידים והעלויות'!$C$2)</f>
        <v>0</v>
      </c>
      <c r="AC1701" s="374">
        <f>COUNTIFS(B:B,B1701,H:H,'סיווג התפקידים והעלויות'!$D$2)</f>
        <v>0</v>
      </c>
      <c r="AD1701" s="374" t="str">
        <f>IF(OR(AND(H1701='סיווג התפקידים והעלויות'!$A$2,I1701='סיווג התפקידים והעלויות'!$A$3),'עלויות כח אדם (6)'!H1701='סיווג התפקידים והעלויות'!$C$2,'עלויות כח אדם (6)'!H1701='סיווג התפקידים והעלויות'!$D$2),IF('עלויות כח אדם (6)'!J1701&lt;75,"לא תקין","תקין"),"")</f>
        <v/>
      </c>
      <c r="AE1701" s="374" t="str">
        <f t="shared" si="404"/>
        <v/>
      </c>
      <c r="AF1701" s="532" t="str">
        <f t="shared" si="405"/>
        <v/>
      </c>
    </row>
    <row r="1702" spans="2:32" x14ac:dyDescent="0.25">
      <c r="B1702" s="695"/>
      <c r="C1702" s="197" t="str">
        <f>IF(B1702&lt;&gt;"",IFERROR(VLOOKUP(B:B,'מצבת והרשמה (2)'!$C$20:$N$520,2,0)," ")," ")</f>
        <v xml:space="preserve"> </v>
      </c>
      <c r="D1702" s="695"/>
      <c r="E1702" s="696"/>
      <c r="F1702" s="696"/>
      <c r="G1702" s="696"/>
      <c r="H1702" s="696"/>
      <c r="I1702" s="1050" t="str">
        <f t="shared" si="392"/>
        <v/>
      </c>
      <c r="J1702" s="696"/>
      <c r="K1702" s="697"/>
      <c r="L1702" s="696"/>
      <c r="M1702" s="198" t="str">
        <f t="shared" si="393"/>
        <v/>
      </c>
      <c r="N1702" s="369" t="str">
        <f t="shared" si="394"/>
        <v/>
      </c>
      <c r="O1702" s="183" t="str">
        <f t="shared" si="395"/>
        <v/>
      </c>
      <c r="P1702" s="199" t="str">
        <f t="shared" si="396"/>
        <v/>
      </c>
      <c r="Q1702" s="199" t="str">
        <f>IF(B1702="","",IFERROR(IF('עלויות כח אדם (6)'!J1702&gt;=VLOOKUP(I1702,'סיווג התפקידים והעלויות'!$B$23:$C$32,2,0),"תקין","לא תקין"),""))</f>
        <v/>
      </c>
      <c r="R1702" s="199" t="str">
        <f t="shared" si="397"/>
        <v/>
      </c>
      <c r="S1702" s="199" t="str">
        <f t="shared" si="398"/>
        <v/>
      </c>
      <c r="T1702" s="199" t="str">
        <f t="shared" si="406"/>
        <v/>
      </c>
      <c r="U1702" s="199" t="str">
        <f t="shared" si="399"/>
        <v/>
      </c>
      <c r="V1702" s="989"/>
      <c r="X1702" s="374" t="str">
        <f t="shared" si="400"/>
        <v/>
      </c>
      <c r="Y1702" s="375" t="str">
        <f t="shared" si="401"/>
        <v/>
      </c>
      <c r="Z1702" s="374" t="str">
        <f t="shared" si="402"/>
        <v/>
      </c>
      <c r="AA1702" s="374" t="b">
        <f t="shared" si="403"/>
        <v>1</v>
      </c>
      <c r="AB1702" s="374">
        <f>COUNTIFS(B:B,B1702,H:H,'סיווג התפקידים והעלויות'!$C$2)</f>
        <v>0</v>
      </c>
      <c r="AC1702" s="374">
        <f>COUNTIFS(B:B,B1702,H:H,'סיווג התפקידים והעלויות'!$D$2)</f>
        <v>0</v>
      </c>
      <c r="AD1702" s="374" t="str">
        <f>IF(OR(AND(H1702='סיווג התפקידים והעלויות'!$A$2,I1702='סיווג התפקידים והעלויות'!$A$3),'עלויות כח אדם (6)'!H1702='סיווג התפקידים והעלויות'!$C$2,'עלויות כח אדם (6)'!H1702='סיווג התפקידים והעלויות'!$D$2),IF('עלויות כח אדם (6)'!J1702&lt;75,"לא תקין","תקין"),"")</f>
        <v/>
      </c>
      <c r="AE1702" s="374" t="str">
        <f t="shared" si="404"/>
        <v/>
      </c>
      <c r="AF1702" s="532" t="str">
        <f t="shared" si="405"/>
        <v/>
      </c>
    </row>
    <row r="1703" spans="2:32" x14ac:dyDescent="0.25">
      <c r="B1703" s="695"/>
      <c r="C1703" s="197" t="str">
        <f>IF(B1703&lt;&gt;"",IFERROR(VLOOKUP(B:B,'מצבת והרשמה (2)'!$C$20:$N$520,2,0)," ")," ")</f>
        <v xml:space="preserve"> </v>
      </c>
      <c r="D1703" s="695"/>
      <c r="E1703" s="696"/>
      <c r="F1703" s="696"/>
      <c r="G1703" s="696"/>
      <c r="H1703" s="696"/>
      <c r="I1703" s="1050" t="str">
        <f t="shared" si="392"/>
        <v/>
      </c>
      <c r="J1703" s="696"/>
      <c r="K1703" s="697"/>
      <c r="L1703" s="696"/>
      <c r="M1703" s="198" t="str">
        <f t="shared" si="393"/>
        <v/>
      </c>
      <c r="N1703" s="369" t="str">
        <f t="shared" si="394"/>
        <v/>
      </c>
      <c r="O1703" s="183" t="str">
        <f t="shared" si="395"/>
        <v/>
      </c>
      <c r="P1703" s="199" t="str">
        <f t="shared" si="396"/>
        <v/>
      </c>
      <c r="Q1703" s="199" t="str">
        <f>IF(B1703="","",IFERROR(IF('עלויות כח אדם (6)'!J1703&gt;=VLOOKUP(I1703,'סיווג התפקידים והעלויות'!$B$23:$C$32,2,0),"תקין","לא תקין"),""))</f>
        <v/>
      </c>
      <c r="R1703" s="199" t="str">
        <f t="shared" si="397"/>
        <v/>
      </c>
      <c r="S1703" s="199" t="str">
        <f t="shared" si="398"/>
        <v/>
      </c>
      <c r="T1703" s="199" t="str">
        <f t="shared" si="406"/>
        <v/>
      </c>
      <c r="U1703" s="199" t="str">
        <f t="shared" si="399"/>
        <v/>
      </c>
      <c r="V1703" s="989"/>
      <c r="X1703" s="374" t="str">
        <f t="shared" si="400"/>
        <v/>
      </c>
      <c r="Y1703" s="375" t="str">
        <f t="shared" si="401"/>
        <v/>
      </c>
      <c r="Z1703" s="374" t="str">
        <f t="shared" si="402"/>
        <v/>
      </c>
      <c r="AA1703" s="374" t="b">
        <f t="shared" si="403"/>
        <v>1</v>
      </c>
      <c r="AB1703" s="374">
        <f>COUNTIFS(B:B,B1703,H:H,'סיווג התפקידים והעלויות'!$C$2)</f>
        <v>0</v>
      </c>
      <c r="AC1703" s="374">
        <f>COUNTIFS(B:B,B1703,H:H,'סיווג התפקידים והעלויות'!$D$2)</f>
        <v>0</v>
      </c>
      <c r="AD1703" s="374" t="str">
        <f>IF(OR(AND(H1703='סיווג התפקידים והעלויות'!$A$2,I1703='סיווג התפקידים והעלויות'!$A$3),'עלויות כח אדם (6)'!H1703='סיווג התפקידים והעלויות'!$C$2,'עלויות כח אדם (6)'!H1703='סיווג התפקידים והעלויות'!$D$2),IF('עלויות כח אדם (6)'!J1703&lt;75,"לא תקין","תקין"),"")</f>
        <v/>
      </c>
      <c r="AE1703" s="374" t="str">
        <f t="shared" si="404"/>
        <v/>
      </c>
      <c r="AF1703" s="532" t="str">
        <f t="shared" si="405"/>
        <v/>
      </c>
    </row>
    <row r="1704" spans="2:32" x14ac:dyDescent="0.25">
      <c r="B1704" s="695"/>
      <c r="C1704" s="197" t="str">
        <f>IF(B1704&lt;&gt;"",IFERROR(VLOOKUP(B:B,'מצבת והרשמה (2)'!$C$20:$N$520,2,0)," ")," ")</f>
        <v xml:space="preserve"> </v>
      </c>
      <c r="D1704" s="695"/>
      <c r="E1704" s="696"/>
      <c r="F1704" s="696"/>
      <c r="G1704" s="696"/>
      <c r="H1704" s="696"/>
      <c r="I1704" s="1050" t="str">
        <f t="shared" si="392"/>
        <v/>
      </c>
      <c r="J1704" s="696"/>
      <c r="K1704" s="697"/>
      <c r="L1704" s="696"/>
      <c r="M1704" s="198" t="str">
        <f t="shared" si="393"/>
        <v/>
      </c>
      <c r="N1704" s="369" t="str">
        <f t="shared" si="394"/>
        <v/>
      </c>
      <c r="O1704" s="183" t="str">
        <f t="shared" si="395"/>
        <v/>
      </c>
      <c r="P1704" s="199" t="str">
        <f t="shared" si="396"/>
        <v/>
      </c>
      <c r="Q1704" s="199" t="str">
        <f>IF(B1704="","",IFERROR(IF('עלויות כח אדם (6)'!J1704&gt;=VLOOKUP(I1704,'סיווג התפקידים והעלויות'!$B$23:$C$32,2,0),"תקין","לא תקין"),""))</f>
        <v/>
      </c>
      <c r="R1704" s="199" t="str">
        <f t="shared" si="397"/>
        <v/>
      </c>
      <c r="S1704" s="199" t="str">
        <f t="shared" si="398"/>
        <v/>
      </c>
      <c r="T1704" s="199" t="str">
        <f t="shared" si="406"/>
        <v/>
      </c>
      <c r="U1704" s="199" t="str">
        <f t="shared" si="399"/>
        <v/>
      </c>
      <c r="V1704" s="989"/>
      <c r="X1704" s="374" t="str">
        <f t="shared" si="400"/>
        <v/>
      </c>
      <c r="Y1704" s="375" t="str">
        <f t="shared" si="401"/>
        <v/>
      </c>
      <c r="Z1704" s="374" t="str">
        <f t="shared" si="402"/>
        <v/>
      </c>
      <c r="AA1704" s="374" t="b">
        <f t="shared" si="403"/>
        <v>1</v>
      </c>
      <c r="AB1704" s="374">
        <f>COUNTIFS(B:B,B1704,H:H,'סיווג התפקידים והעלויות'!$C$2)</f>
        <v>0</v>
      </c>
      <c r="AC1704" s="374">
        <f>COUNTIFS(B:B,B1704,H:H,'סיווג התפקידים והעלויות'!$D$2)</f>
        <v>0</v>
      </c>
      <c r="AD1704" s="374" t="str">
        <f>IF(OR(AND(H1704='סיווג התפקידים והעלויות'!$A$2,I1704='סיווג התפקידים והעלויות'!$A$3),'עלויות כח אדם (6)'!H1704='סיווג התפקידים והעלויות'!$C$2,'עלויות כח אדם (6)'!H1704='סיווג התפקידים והעלויות'!$D$2),IF('עלויות כח אדם (6)'!J1704&lt;75,"לא תקין","תקין"),"")</f>
        <v/>
      </c>
      <c r="AE1704" s="374" t="str">
        <f t="shared" si="404"/>
        <v/>
      </c>
      <c r="AF1704" s="532" t="str">
        <f t="shared" si="405"/>
        <v/>
      </c>
    </row>
    <row r="1705" spans="2:32" x14ac:dyDescent="0.25">
      <c r="B1705" s="695"/>
      <c r="C1705" s="197" t="str">
        <f>IF(B1705&lt;&gt;"",IFERROR(VLOOKUP(B:B,'מצבת והרשמה (2)'!$C$20:$N$520,2,0)," ")," ")</f>
        <v xml:space="preserve"> </v>
      </c>
      <c r="D1705" s="695"/>
      <c r="E1705" s="696"/>
      <c r="F1705" s="696"/>
      <c r="G1705" s="696"/>
      <c r="H1705" s="696"/>
      <c r="I1705" s="1050" t="str">
        <f t="shared" si="392"/>
        <v/>
      </c>
      <c r="J1705" s="696"/>
      <c r="K1705" s="697"/>
      <c r="L1705" s="696"/>
      <c r="M1705" s="198" t="str">
        <f t="shared" si="393"/>
        <v/>
      </c>
      <c r="N1705" s="369" t="str">
        <f t="shared" si="394"/>
        <v/>
      </c>
      <c r="O1705" s="183" t="str">
        <f t="shared" si="395"/>
        <v/>
      </c>
      <c r="P1705" s="199" t="str">
        <f t="shared" si="396"/>
        <v/>
      </c>
      <c r="Q1705" s="199" t="str">
        <f>IF(B1705="","",IFERROR(IF('עלויות כח אדם (6)'!J1705&gt;=VLOOKUP(I1705,'סיווג התפקידים והעלויות'!$B$23:$C$32,2,0),"תקין","לא תקין"),""))</f>
        <v/>
      </c>
      <c r="R1705" s="199" t="str">
        <f t="shared" si="397"/>
        <v/>
      </c>
      <c r="S1705" s="199" t="str">
        <f t="shared" si="398"/>
        <v/>
      </c>
      <c r="T1705" s="199" t="str">
        <f t="shared" si="406"/>
        <v/>
      </c>
      <c r="U1705" s="199" t="str">
        <f t="shared" si="399"/>
        <v/>
      </c>
      <c r="V1705" s="989"/>
      <c r="X1705" s="374" t="str">
        <f t="shared" si="400"/>
        <v/>
      </c>
      <c r="Y1705" s="375" t="str">
        <f t="shared" si="401"/>
        <v/>
      </c>
      <c r="Z1705" s="374" t="str">
        <f t="shared" si="402"/>
        <v/>
      </c>
      <c r="AA1705" s="374" t="b">
        <f t="shared" si="403"/>
        <v>1</v>
      </c>
      <c r="AB1705" s="374">
        <f>COUNTIFS(B:B,B1705,H:H,'סיווג התפקידים והעלויות'!$C$2)</f>
        <v>0</v>
      </c>
      <c r="AC1705" s="374">
        <f>COUNTIFS(B:B,B1705,H:H,'סיווג התפקידים והעלויות'!$D$2)</f>
        <v>0</v>
      </c>
      <c r="AD1705" s="374" t="str">
        <f>IF(OR(AND(H1705='סיווג התפקידים והעלויות'!$A$2,I1705='סיווג התפקידים והעלויות'!$A$3),'עלויות כח אדם (6)'!H1705='סיווג התפקידים והעלויות'!$C$2,'עלויות כח אדם (6)'!H1705='סיווג התפקידים והעלויות'!$D$2),IF('עלויות כח אדם (6)'!J1705&lt;75,"לא תקין","תקין"),"")</f>
        <v/>
      </c>
      <c r="AE1705" s="374" t="str">
        <f t="shared" si="404"/>
        <v/>
      </c>
      <c r="AF1705" s="532" t="str">
        <f t="shared" si="405"/>
        <v/>
      </c>
    </row>
    <row r="1706" spans="2:32" x14ac:dyDescent="0.25">
      <c r="B1706" s="695"/>
      <c r="C1706" s="197" t="str">
        <f>IF(B1706&lt;&gt;"",IFERROR(VLOOKUP(B:B,'מצבת והרשמה (2)'!$C$20:$N$520,2,0)," ")," ")</f>
        <v xml:space="preserve"> </v>
      </c>
      <c r="D1706" s="695"/>
      <c r="E1706" s="696"/>
      <c r="F1706" s="696"/>
      <c r="G1706" s="696"/>
      <c r="H1706" s="696"/>
      <c r="I1706" s="1050" t="str">
        <f t="shared" si="392"/>
        <v/>
      </c>
      <c r="J1706" s="696"/>
      <c r="K1706" s="697"/>
      <c r="L1706" s="696"/>
      <c r="M1706" s="198" t="str">
        <f t="shared" si="393"/>
        <v/>
      </c>
      <c r="N1706" s="369" t="str">
        <f t="shared" si="394"/>
        <v/>
      </c>
      <c r="O1706" s="183" t="str">
        <f t="shared" si="395"/>
        <v/>
      </c>
      <c r="P1706" s="199" t="str">
        <f t="shared" si="396"/>
        <v/>
      </c>
      <c r="Q1706" s="199" t="str">
        <f>IF(B1706="","",IFERROR(IF('עלויות כח אדם (6)'!J1706&gt;=VLOOKUP(I1706,'סיווג התפקידים והעלויות'!$B$23:$C$32,2,0),"תקין","לא תקין"),""))</f>
        <v/>
      </c>
      <c r="R1706" s="199" t="str">
        <f t="shared" si="397"/>
        <v/>
      </c>
      <c r="S1706" s="199" t="str">
        <f t="shared" si="398"/>
        <v/>
      </c>
      <c r="T1706" s="199" t="str">
        <f t="shared" si="406"/>
        <v/>
      </c>
      <c r="U1706" s="199" t="str">
        <f t="shared" si="399"/>
        <v/>
      </c>
      <c r="V1706" s="989"/>
      <c r="X1706" s="374" t="str">
        <f t="shared" si="400"/>
        <v/>
      </c>
      <c r="Y1706" s="375" t="str">
        <f t="shared" si="401"/>
        <v/>
      </c>
      <c r="Z1706" s="374" t="str">
        <f t="shared" si="402"/>
        <v/>
      </c>
      <c r="AA1706" s="374" t="b">
        <f t="shared" si="403"/>
        <v>1</v>
      </c>
      <c r="AB1706" s="374">
        <f>COUNTIFS(B:B,B1706,H:H,'סיווג התפקידים והעלויות'!$C$2)</f>
        <v>0</v>
      </c>
      <c r="AC1706" s="374">
        <f>COUNTIFS(B:B,B1706,H:H,'סיווג התפקידים והעלויות'!$D$2)</f>
        <v>0</v>
      </c>
      <c r="AD1706" s="374" t="str">
        <f>IF(OR(AND(H1706='סיווג התפקידים והעלויות'!$A$2,I1706='סיווג התפקידים והעלויות'!$A$3),'עלויות כח אדם (6)'!H1706='סיווג התפקידים והעלויות'!$C$2,'עלויות כח אדם (6)'!H1706='סיווג התפקידים והעלויות'!$D$2),IF('עלויות כח אדם (6)'!J1706&lt;75,"לא תקין","תקין"),"")</f>
        <v/>
      </c>
      <c r="AE1706" s="374" t="str">
        <f t="shared" si="404"/>
        <v/>
      </c>
      <c r="AF1706" s="532" t="str">
        <f t="shared" si="405"/>
        <v/>
      </c>
    </row>
    <row r="1707" spans="2:32" x14ac:dyDescent="0.25">
      <c r="B1707" s="695"/>
      <c r="C1707" s="197" t="str">
        <f>IF(B1707&lt;&gt;"",IFERROR(VLOOKUP(B:B,'מצבת והרשמה (2)'!$C$20:$N$520,2,0)," ")," ")</f>
        <v xml:space="preserve"> </v>
      </c>
      <c r="D1707" s="695"/>
      <c r="E1707" s="696"/>
      <c r="F1707" s="696"/>
      <c r="G1707" s="696"/>
      <c r="H1707" s="696"/>
      <c r="I1707" s="1050" t="str">
        <f t="shared" si="392"/>
        <v/>
      </c>
      <c r="J1707" s="696"/>
      <c r="K1707" s="697"/>
      <c r="L1707" s="696"/>
      <c r="M1707" s="198" t="str">
        <f t="shared" si="393"/>
        <v/>
      </c>
      <c r="N1707" s="369" t="str">
        <f t="shared" si="394"/>
        <v/>
      </c>
      <c r="O1707" s="183" t="str">
        <f t="shared" si="395"/>
        <v/>
      </c>
      <c r="P1707" s="199" t="str">
        <f t="shared" si="396"/>
        <v/>
      </c>
      <c r="Q1707" s="199" t="str">
        <f>IF(B1707="","",IFERROR(IF('עלויות כח אדם (6)'!J1707&gt;=VLOOKUP(I1707,'סיווג התפקידים והעלויות'!$B$23:$C$32,2,0),"תקין","לא תקין"),""))</f>
        <v/>
      </c>
      <c r="R1707" s="199" t="str">
        <f t="shared" si="397"/>
        <v/>
      </c>
      <c r="S1707" s="199" t="str">
        <f t="shared" si="398"/>
        <v/>
      </c>
      <c r="T1707" s="199" t="str">
        <f t="shared" si="406"/>
        <v/>
      </c>
      <c r="U1707" s="199" t="str">
        <f t="shared" si="399"/>
        <v/>
      </c>
      <c r="V1707" s="989"/>
      <c r="X1707" s="374" t="str">
        <f t="shared" si="400"/>
        <v/>
      </c>
      <c r="Y1707" s="375" t="str">
        <f t="shared" si="401"/>
        <v/>
      </c>
      <c r="Z1707" s="374" t="str">
        <f t="shared" si="402"/>
        <v/>
      </c>
      <c r="AA1707" s="374" t="b">
        <f t="shared" si="403"/>
        <v>1</v>
      </c>
      <c r="AB1707" s="374">
        <f>COUNTIFS(B:B,B1707,H:H,'סיווג התפקידים והעלויות'!$C$2)</f>
        <v>0</v>
      </c>
      <c r="AC1707" s="374">
        <f>COUNTIFS(B:B,B1707,H:H,'סיווג התפקידים והעלויות'!$D$2)</f>
        <v>0</v>
      </c>
      <c r="AD1707" s="374" t="str">
        <f>IF(OR(AND(H1707='סיווג התפקידים והעלויות'!$A$2,I1707='סיווג התפקידים והעלויות'!$A$3),'עלויות כח אדם (6)'!H1707='סיווג התפקידים והעלויות'!$C$2,'עלויות כח אדם (6)'!H1707='סיווג התפקידים והעלויות'!$D$2),IF('עלויות כח אדם (6)'!J1707&lt;75,"לא תקין","תקין"),"")</f>
        <v/>
      </c>
      <c r="AE1707" s="374" t="str">
        <f t="shared" si="404"/>
        <v/>
      </c>
      <c r="AF1707" s="532" t="str">
        <f t="shared" si="405"/>
        <v/>
      </c>
    </row>
    <row r="1708" spans="2:32" x14ac:dyDescent="0.25">
      <c r="B1708" s="695"/>
      <c r="C1708" s="197" t="str">
        <f>IF(B1708&lt;&gt;"",IFERROR(VLOOKUP(B:B,'מצבת והרשמה (2)'!$C$20:$N$520,2,0)," ")," ")</f>
        <v xml:space="preserve"> </v>
      </c>
      <c r="D1708" s="695"/>
      <c r="E1708" s="696"/>
      <c r="F1708" s="696"/>
      <c r="G1708" s="696"/>
      <c r="H1708" s="696"/>
      <c r="I1708" s="1050" t="str">
        <f t="shared" si="392"/>
        <v/>
      </c>
      <c r="J1708" s="696"/>
      <c r="K1708" s="697"/>
      <c r="L1708" s="696"/>
      <c r="M1708" s="198" t="str">
        <f t="shared" si="393"/>
        <v/>
      </c>
      <c r="N1708" s="369" t="str">
        <f t="shared" si="394"/>
        <v/>
      </c>
      <c r="O1708" s="183" t="str">
        <f t="shared" si="395"/>
        <v/>
      </c>
      <c r="P1708" s="199" t="str">
        <f t="shared" si="396"/>
        <v/>
      </c>
      <c r="Q1708" s="199" t="str">
        <f>IF(B1708="","",IFERROR(IF('עלויות כח אדם (6)'!J1708&gt;=VLOOKUP(I1708,'סיווג התפקידים והעלויות'!$B$23:$C$32,2,0),"תקין","לא תקין"),""))</f>
        <v/>
      </c>
      <c r="R1708" s="199" t="str">
        <f t="shared" si="397"/>
        <v/>
      </c>
      <c r="S1708" s="199" t="str">
        <f t="shared" si="398"/>
        <v/>
      </c>
      <c r="T1708" s="199" t="str">
        <f t="shared" si="406"/>
        <v/>
      </c>
      <c r="U1708" s="199" t="str">
        <f t="shared" si="399"/>
        <v/>
      </c>
      <c r="V1708" s="989"/>
      <c r="X1708" s="374" t="str">
        <f t="shared" si="400"/>
        <v/>
      </c>
      <c r="Y1708" s="375" t="str">
        <f t="shared" si="401"/>
        <v/>
      </c>
      <c r="Z1708" s="374" t="str">
        <f t="shared" si="402"/>
        <v/>
      </c>
      <c r="AA1708" s="374" t="b">
        <f t="shared" si="403"/>
        <v>1</v>
      </c>
      <c r="AB1708" s="374">
        <f>COUNTIFS(B:B,B1708,H:H,'סיווג התפקידים והעלויות'!$C$2)</f>
        <v>0</v>
      </c>
      <c r="AC1708" s="374">
        <f>COUNTIFS(B:B,B1708,H:H,'סיווג התפקידים והעלויות'!$D$2)</f>
        <v>0</v>
      </c>
      <c r="AD1708" s="374" t="str">
        <f>IF(OR(AND(H1708='סיווג התפקידים והעלויות'!$A$2,I1708='סיווג התפקידים והעלויות'!$A$3),'עלויות כח אדם (6)'!H1708='סיווג התפקידים והעלויות'!$C$2,'עלויות כח אדם (6)'!H1708='סיווג התפקידים והעלויות'!$D$2),IF('עלויות כח אדם (6)'!J1708&lt;75,"לא תקין","תקין"),"")</f>
        <v/>
      </c>
      <c r="AE1708" s="374" t="str">
        <f t="shared" si="404"/>
        <v/>
      </c>
      <c r="AF1708" s="532" t="str">
        <f t="shared" si="405"/>
        <v/>
      </c>
    </row>
    <row r="1709" spans="2:32" x14ac:dyDescent="0.25">
      <c r="B1709" s="695"/>
      <c r="C1709" s="197" t="str">
        <f>IF(B1709&lt;&gt;"",IFERROR(VLOOKUP(B:B,'מצבת והרשמה (2)'!$C$20:$N$520,2,0)," ")," ")</f>
        <v xml:space="preserve"> </v>
      </c>
      <c r="D1709" s="695"/>
      <c r="E1709" s="696"/>
      <c r="F1709" s="696"/>
      <c r="G1709" s="696"/>
      <c r="H1709" s="696"/>
      <c r="I1709" s="1050" t="str">
        <f t="shared" si="392"/>
        <v/>
      </c>
      <c r="J1709" s="696"/>
      <c r="K1709" s="697"/>
      <c r="L1709" s="696"/>
      <c r="M1709" s="198" t="str">
        <f t="shared" si="393"/>
        <v/>
      </c>
      <c r="N1709" s="369" t="str">
        <f t="shared" si="394"/>
        <v/>
      </c>
      <c r="O1709" s="183" t="str">
        <f t="shared" si="395"/>
        <v/>
      </c>
      <c r="P1709" s="199" t="str">
        <f t="shared" si="396"/>
        <v/>
      </c>
      <c r="Q1709" s="199" t="str">
        <f>IF(B1709="","",IFERROR(IF('עלויות כח אדם (6)'!J1709&gt;=VLOOKUP(I1709,'סיווג התפקידים והעלויות'!$B$23:$C$32,2,0),"תקין","לא תקין"),""))</f>
        <v/>
      </c>
      <c r="R1709" s="199" t="str">
        <f t="shared" si="397"/>
        <v/>
      </c>
      <c r="S1709" s="199" t="str">
        <f t="shared" si="398"/>
        <v/>
      </c>
      <c r="T1709" s="199" t="str">
        <f t="shared" si="406"/>
        <v/>
      </c>
      <c r="U1709" s="199" t="str">
        <f t="shared" si="399"/>
        <v/>
      </c>
      <c r="V1709" s="989"/>
      <c r="X1709" s="374" t="str">
        <f t="shared" si="400"/>
        <v/>
      </c>
      <c r="Y1709" s="375" t="str">
        <f t="shared" si="401"/>
        <v/>
      </c>
      <c r="Z1709" s="374" t="str">
        <f t="shared" si="402"/>
        <v/>
      </c>
      <c r="AA1709" s="374" t="b">
        <f t="shared" si="403"/>
        <v>1</v>
      </c>
      <c r="AB1709" s="374">
        <f>COUNTIFS(B:B,B1709,H:H,'סיווג התפקידים והעלויות'!$C$2)</f>
        <v>0</v>
      </c>
      <c r="AC1709" s="374">
        <f>COUNTIFS(B:B,B1709,H:H,'סיווג התפקידים והעלויות'!$D$2)</f>
        <v>0</v>
      </c>
      <c r="AD1709" s="374" t="str">
        <f>IF(OR(AND(H1709='סיווג התפקידים והעלויות'!$A$2,I1709='סיווג התפקידים והעלויות'!$A$3),'עלויות כח אדם (6)'!H1709='סיווג התפקידים והעלויות'!$C$2,'עלויות כח אדם (6)'!H1709='סיווג התפקידים והעלויות'!$D$2),IF('עלויות כח אדם (6)'!J1709&lt;75,"לא תקין","תקין"),"")</f>
        <v/>
      </c>
      <c r="AE1709" s="374" t="str">
        <f t="shared" si="404"/>
        <v/>
      </c>
      <c r="AF1709" s="532" t="str">
        <f t="shared" si="405"/>
        <v/>
      </c>
    </row>
    <row r="1710" spans="2:32" x14ac:dyDescent="0.25">
      <c r="B1710" s="695"/>
      <c r="C1710" s="197" t="str">
        <f>IF(B1710&lt;&gt;"",IFERROR(VLOOKUP(B:B,'מצבת והרשמה (2)'!$C$20:$N$520,2,0)," ")," ")</f>
        <v xml:space="preserve"> </v>
      </c>
      <c r="D1710" s="695"/>
      <c r="E1710" s="696"/>
      <c r="F1710" s="696"/>
      <c r="G1710" s="696"/>
      <c r="H1710" s="696"/>
      <c r="I1710" s="1050" t="str">
        <f t="shared" si="392"/>
        <v/>
      </c>
      <c r="J1710" s="696"/>
      <c r="K1710" s="697"/>
      <c r="L1710" s="696"/>
      <c r="M1710" s="198" t="str">
        <f t="shared" si="393"/>
        <v/>
      </c>
      <c r="N1710" s="369" t="str">
        <f t="shared" si="394"/>
        <v/>
      </c>
      <c r="O1710" s="183" t="str">
        <f t="shared" si="395"/>
        <v/>
      </c>
      <c r="P1710" s="199" t="str">
        <f t="shared" si="396"/>
        <v/>
      </c>
      <c r="Q1710" s="199" t="str">
        <f>IF(B1710="","",IFERROR(IF('עלויות כח אדם (6)'!J1710&gt;=VLOOKUP(I1710,'סיווג התפקידים והעלויות'!$B$23:$C$32,2,0),"תקין","לא תקין"),""))</f>
        <v/>
      </c>
      <c r="R1710" s="199" t="str">
        <f t="shared" si="397"/>
        <v/>
      </c>
      <c r="S1710" s="199" t="str">
        <f t="shared" si="398"/>
        <v/>
      </c>
      <c r="T1710" s="199" t="str">
        <f t="shared" si="406"/>
        <v/>
      </c>
      <c r="U1710" s="199" t="str">
        <f t="shared" si="399"/>
        <v/>
      </c>
      <c r="V1710" s="989"/>
      <c r="X1710" s="374" t="str">
        <f t="shared" si="400"/>
        <v/>
      </c>
      <c r="Y1710" s="375" t="str">
        <f t="shared" si="401"/>
        <v/>
      </c>
      <c r="Z1710" s="374" t="str">
        <f t="shared" si="402"/>
        <v/>
      </c>
      <c r="AA1710" s="374" t="b">
        <f t="shared" si="403"/>
        <v>1</v>
      </c>
      <c r="AB1710" s="374">
        <f>COUNTIFS(B:B,B1710,H:H,'סיווג התפקידים והעלויות'!$C$2)</f>
        <v>0</v>
      </c>
      <c r="AC1710" s="374">
        <f>COUNTIFS(B:B,B1710,H:H,'סיווג התפקידים והעלויות'!$D$2)</f>
        <v>0</v>
      </c>
      <c r="AD1710" s="374" t="str">
        <f>IF(OR(AND(H1710='סיווג התפקידים והעלויות'!$A$2,I1710='סיווג התפקידים והעלויות'!$A$3),'עלויות כח אדם (6)'!H1710='סיווג התפקידים והעלויות'!$C$2,'עלויות כח אדם (6)'!H1710='סיווג התפקידים והעלויות'!$D$2),IF('עלויות כח אדם (6)'!J1710&lt;75,"לא תקין","תקין"),"")</f>
        <v/>
      </c>
      <c r="AE1710" s="374" t="str">
        <f t="shared" si="404"/>
        <v/>
      </c>
      <c r="AF1710" s="532" t="str">
        <f t="shared" si="405"/>
        <v/>
      </c>
    </row>
    <row r="1711" spans="2:32" x14ac:dyDescent="0.25">
      <c r="B1711" s="695"/>
      <c r="C1711" s="197" t="str">
        <f>IF(B1711&lt;&gt;"",IFERROR(VLOOKUP(B:B,'מצבת והרשמה (2)'!$C$20:$N$520,2,0)," ")," ")</f>
        <v xml:space="preserve"> </v>
      </c>
      <c r="D1711" s="695"/>
      <c r="E1711" s="696"/>
      <c r="F1711" s="696"/>
      <c r="G1711" s="696"/>
      <c r="H1711" s="696"/>
      <c r="I1711" s="1050" t="str">
        <f t="shared" si="392"/>
        <v/>
      </c>
      <c r="J1711" s="696"/>
      <c r="K1711" s="697"/>
      <c r="L1711" s="696"/>
      <c r="M1711" s="198" t="str">
        <f t="shared" si="393"/>
        <v/>
      </c>
      <c r="N1711" s="369" t="str">
        <f t="shared" si="394"/>
        <v/>
      </c>
      <c r="O1711" s="183" t="str">
        <f t="shared" si="395"/>
        <v/>
      </c>
      <c r="P1711" s="199" t="str">
        <f t="shared" si="396"/>
        <v/>
      </c>
      <c r="Q1711" s="199" t="str">
        <f>IF(B1711="","",IFERROR(IF('עלויות כח אדם (6)'!J1711&gt;=VLOOKUP(I1711,'סיווג התפקידים והעלויות'!$B$23:$C$32,2,0),"תקין","לא תקין"),""))</f>
        <v/>
      </c>
      <c r="R1711" s="199" t="str">
        <f t="shared" si="397"/>
        <v/>
      </c>
      <c r="S1711" s="199" t="str">
        <f t="shared" si="398"/>
        <v/>
      </c>
      <c r="T1711" s="199" t="str">
        <f t="shared" si="406"/>
        <v/>
      </c>
      <c r="U1711" s="199" t="str">
        <f t="shared" si="399"/>
        <v/>
      </c>
      <c r="V1711" s="989"/>
      <c r="X1711" s="374" t="str">
        <f t="shared" si="400"/>
        <v/>
      </c>
      <c r="Y1711" s="375" t="str">
        <f t="shared" si="401"/>
        <v/>
      </c>
      <c r="Z1711" s="374" t="str">
        <f t="shared" si="402"/>
        <v/>
      </c>
      <c r="AA1711" s="374" t="b">
        <f t="shared" si="403"/>
        <v>1</v>
      </c>
      <c r="AB1711" s="374">
        <f>COUNTIFS(B:B,B1711,H:H,'סיווג התפקידים והעלויות'!$C$2)</f>
        <v>0</v>
      </c>
      <c r="AC1711" s="374">
        <f>COUNTIFS(B:B,B1711,H:H,'סיווג התפקידים והעלויות'!$D$2)</f>
        <v>0</v>
      </c>
      <c r="AD1711" s="374" t="str">
        <f>IF(OR(AND(H1711='סיווג התפקידים והעלויות'!$A$2,I1711='סיווג התפקידים והעלויות'!$A$3),'עלויות כח אדם (6)'!H1711='סיווג התפקידים והעלויות'!$C$2,'עלויות כח אדם (6)'!H1711='סיווג התפקידים והעלויות'!$D$2),IF('עלויות כח אדם (6)'!J1711&lt;75,"לא תקין","תקין"),"")</f>
        <v/>
      </c>
      <c r="AE1711" s="374" t="str">
        <f t="shared" si="404"/>
        <v/>
      </c>
      <c r="AF1711" s="532" t="str">
        <f t="shared" si="405"/>
        <v/>
      </c>
    </row>
    <row r="1712" spans="2:32" x14ac:dyDescent="0.25">
      <c r="B1712" s="695"/>
      <c r="C1712" s="197" t="str">
        <f>IF(B1712&lt;&gt;"",IFERROR(VLOOKUP(B:B,'מצבת והרשמה (2)'!$C$20:$N$520,2,0)," ")," ")</f>
        <v xml:space="preserve"> </v>
      </c>
      <c r="D1712" s="695"/>
      <c r="E1712" s="696"/>
      <c r="F1712" s="696"/>
      <c r="G1712" s="696"/>
      <c r="H1712" s="696"/>
      <c r="I1712" s="1050" t="str">
        <f t="shared" si="392"/>
        <v/>
      </c>
      <c r="J1712" s="696"/>
      <c r="K1712" s="697"/>
      <c r="L1712" s="696"/>
      <c r="M1712" s="198" t="str">
        <f t="shared" si="393"/>
        <v/>
      </c>
      <c r="N1712" s="369" t="str">
        <f t="shared" si="394"/>
        <v/>
      </c>
      <c r="O1712" s="183" t="str">
        <f t="shared" si="395"/>
        <v/>
      </c>
      <c r="P1712" s="199" t="str">
        <f t="shared" si="396"/>
        <v/>
      </c>
      <c r="Q1712" s="199" t="str">
        <f>IF(B1712="","",IFERROR(IF('עלויות כח אדם (6)'!J1712&gt;=VLOOKUP(I1712,'סיווג התפקידים והעלויות'!$B$23:$C$32,2,0),"תקין","לא תקין"),""))</f>
        <v/>
      </c>
      <c r="R1712" s="199" t="str">
        <f t="shared" si="397"/>
        <v/>
      </c>
      <c r="S1712" s="199" t="str">
        <f t="shared" si="398"/>
        <v/>
      </c>
      <c r="T1712" s="199" t="str">
        <f t="shared" si="406"/>
        <v/>
      </c>
      <c r="U1712" s="199" t="str">
        <f t="shared" si="399"/>
        <v/>
      </c>
      <c r="V1712" s="989"/>
      <c r="X1712" s="374" t="str">
        <f t="shared" si="400"/>
        <v/>
      </c>
      <c r="Y1712" s="375" t="str">
        <f t="shared" si="401"/>
        <v/>
      </c>
      <c r="Z1712" s="374" t="str">
        <f t="shared" si="402"/>
        <v/>
      </c>
      <c r="AA1712" s="374" t="b">
        <f t="shared" si="403"/>
        <v>1</v>
      </c>
      <c r="AB1712" s="374">
        <f>COUNTIFS(B:B,B1712,H:H,'סיווג התפקידים והעלויות'!$C$2)</f>
        <v>0</v>
      </c>
      <c r="AC1712" s="374">
        <f>COUNTIFS(B:B,B1712,H:H,'סיווג התפקידים והעלויות'!$D$2)</f>
        <v>0</v>
      </c>
      <c r="AD1712" s="374" t="str">
        <f>IF(OR(AND(H1712='סיווג התפקידים והעלויות'!$A$2,I1712='סיווג התפקידים והעלויות'!$A$3),'עלויות כח אדם (6)'!H1712='סיווג התפקידים והעלויות'!$C$2,'עלויות כח אדם (6)'!H1712='סיווג התפקידים והעלויות'!$D$2),IF('עלויות כח אדם (6)'!J1712&lt;75,"לא תקין","תקין"),"")</f>
        <v/>
      </c>
      <c r="AE1712" s="374" t="str">
        <f t="shared" si="404"/>
        <v/>
      </c>
      <c r="AF1712" s="532" t="str">
        <f t="shared" si="405"/>
        <v/>
      </c>
    </row>
    <row r="1713" spans="2:32" x14ac:dyDescent="0.25">
      <c r="B1713" s="695"/>
      <c r="C1713" s="197" t="str">
        <f>IF(B1713&lt;&gt;"",IFERROR(VLOOKUP(B:B,'מצבת והרשמה (2)'!$C$20:$N$520,2,0)," ")," ")</f>
        <v xml:space="preserve"> </v>
      </c>
      <c r="D1713" s="695"/>
      <c r="E1713" s="696"/>
      <c r="F1713" s="696"/>
      <c r="G1713" s="696"/>
      <c r="H1713" s="696"/>
      <c r="I1713" s="1050" t="str">
        <f t="shared" si="392"/>
        <v/>
      </c>
      <c r="J1713" s="696"/>
      <c r="K1713" s="697"/>
      <c r="L1713" s="696"/>
      <c r="M1713" s="198" t="str">
        <f t="shared" si="393"/>
        <v/>
      </c>
      <c r="N1713" s="369" t="str">
        <f t="shared" si="394"/>
        <v/>
      </c>
      <c r="O1713" s="183" t="str">
        <f t="shared" si="395"/>
        <v/>
      </c>
      <c r="P1713" s="199" t="str">
        <f t="shared" si="396"/>
        <v/>
      </c>
      <c r="Q1713" s="199" t="str">
        <f>IF(B1713="","",IFERROR(IF('עלויות כח אדם (6)'!J1713&gt;=VLOOKUP(I1713,'סיווג התפקידים והעלויות'!$B$23:$C$32,2,0),"תקין","לא תקין"),""))</f>
        <v/>
      </c>
      <c r="R1713" s="199" t="str">
        <f t="shared" si="397"/>
        <v/>
      </c>
      <c r="S1713" s="199" t="str">
        <f t="shared" si="398"/>
        <v/>
      </c>
      <c r="T1713" s="199" t="str">
        <f t="shared" si="406"/>
        <v/>
      </c>
      <c r="U1713" s="199" t="str">
        <f t="shared" si="399"/>
        <v/>
      </c>
      <c r="V1713" s="989"/>
      <c r="X1713" s="374" t="str">
        <f t="shared" si="400"/>
        <v/>
      </c>
      <c r="Y1713" s="375" t="str">
        <f t="shared" si="401"/>
        <v/>
      </c>
      <c r="Z1713" s="374" t="str">
        <f t="shared" si="402"/>
        <v/>
      </c>
      <c r="AA1713" s="374" t="b">
        <f t="shared" si="403"/>
        <v>1</v>
      </c>
      <c r="AB1713" s="374">
        <f>COUNTIFS(B:B,B1713,H:H,'סיווג התפקידים והעלויות'!$C$2)</f>
        <v>0</v>
      </c>
      <c r="AC1713" s="374">
        <f>COUNTIFS(B:B,B1713,H:H,'סיווג התפקידים והעלויות'!$D$2)</f>
        <v>0</v>
      </c>
      <c r="AD1713" s="374" t="str">
        <f>IF(OR(AND(H1713='סיווג התפקידים והעלויות'!$A$2,I1713='סיווג התפקידים והעלויות'!$A$3),'עלויות כח אדם (6)'!H1713='סיווג התפקידים והעלויות'!$C$2,'עלויות כח אדם (6)'!H1713='סיווג התפקידים והעלויות'!$D$2),IF('עלויות כח אדם (6)'!J1713&lt;75,"לא תקין","תקין"),"")</f>
        <v/>
      </c>
      <c r="AE1713" s="374" t="str">
        <f t="shared" si="404"/>
        <v/>
      </c>
      <c r="AF1713" s="532" t="str">
        <f t="shared" si="405"/>
        <v/>
      </c>
    </row>
    <row r="1714" spans="2:32" x14ac:dyDescent="0.25">
      <c r="B1714" s="695"/>
      <c r="C1714" s="197" t="str">
        <f>IF(B1714&lt;&gt;"",IFERROR(VLOOKUP(B:B,'מצבת והרשמה (2)'!$C$20:$N$520,2,0)," ")," ")</f>
        <v xml:space="preserve"> </v>
      </c>
      <c r="D1714" s="695"/>
      <c r="E1714" s="696"/>
      <c r="F1714" s="696"/>
      <c r="G1714" s="696"/>
      <c r="H1714" s="696"/>
      <c r="I1714" s="1050" t="str">
        <f t="shared" si="392"/>
        <v/>
      </c>
      <c r="J1714" s="696"/>
      <c r="K1714" s="697"/>
      <c r="L1714" s="696"/>
      <c r="M1714" s="198" t="str">
        <f t="shared" si="393"/>
        <v/>
      </c>
      <c r="N1714" s="369" t="str">
        <f t="shared" si="394"/>
        <v/>
      </c>
      <c r="O1714" s="183" t="str">
        <f t="shared" si="395"/>
        <v/>
      </c>
      <c r="P1714" s="199" t="str">
        <f t="shared" si="396"/>
        <v/>
      </c>
      <c r="Q1714" s="199" t="str">
        <f>IF(B1714="","",IFERROR(IF('עלויות כח אדם (6)'!J1714&gt;=VLOOKUP(I1714,'סיווג התפקידים והעלויות'!$B$23:$C$32,2,0),"תקין","לא תקין"),""))</f>
        <v/>
      </c>
      <c r="R1714" s="199" t="str">
        <f t="shared" si="397"/>
        <v/>
      </c>
      <c r="S1714" s="199" t="str">
        <f t="shared" si="398"/>
        <v/>
      </c>
      <c r="T1714" s="199" t="str">
        <f t="shared" si="406"/>
        <v/>
      </c>
      <c r="U1714" s="199" t="str">
        <f t="shared" si="399"/>
        <v/>
      </c>
      <c r="V1714" s="989"/>
      <c r="X1714" s="374" t="str">
        <f t="shared" si="400"/>
        <v/>
      </c>
      <c r="Y1714" s="375" t="str">
        <f t="shared" si="401"/>
        <v/>
      </c>
      <c r="Z1714" s="374" t="str">
        <f t="shared" si="402"/>
        <v/>
      </c>
      <c r="AA1714" s="374" t="b">
        <f t="shared" si="403"/>
        <v>1</v>
      </c>
      <c r="AB1714" s="374">
        <f>COUNTIFS(B:B,B1714,H:H,'סיווג התפקידים והעלויות'!$C$2)</f>
        <v>0</v>
      </c>
      <c r="AC1714" s="374">
        <f>COUNTIFS(B:B,B1714,H:H,'סיווג התפקידים והעלויות'!$D$2)</f>
        <v>0</v>
      </c>
      <c r="AD1714" s="374" t="str">
        <f>IF(OR(AND(H1714='סיווג התפקידים והעלויות'!$A$2,I1714='סיווג התפקידים והעלויות'!$A$3),'עלויות כח אדם (6)'!H1714='סיווג התפקידים והעלויות'!$C$2,'עלויות כח אדם (6)'!H1714='סיווג התפקידים והעלויות'!$D$2),IF('עלויות כח אדם (6)'!J1714&lt;75,"לא תקין","תקין"),"")</f>
        <v/>
      </c>
      <c r="AE1714" s="374" t="str">
        <f t="shared" si="404"/>
        <v/>
      </c>
      <c r="AF1714" s="532" t="str">
        <f t="shared" si="405"/>
        <v/>
      </c>
    </row>
    <row r="1715" spans="2:32" x14ac:dyDescent="0.25">
      <c r="B1715" s="695"/>
      <c r="C1715" s="197" t="str">
        <f>IF(B1715&lt;&gt;"",IFERROR(VLOOKUP(B:B,'מצבת והרשמה (2)'!$C$20:$N$520,2,0)," ")," ")</f>
        <v xml:space="preserve"> </v>
      </c>
      <c r="D1715" s="695"/>
      <c r="E1715" s="696"/>
      <c r="F1715" s="696"/>
      <c r="G1715" s="696"/>
      <c r="H1715" s="696"/>
      <c r="I1715" s="1050" t="str">
        <f t="shared" si="392"/>
        <v/>
      </c>
      <c r="J1715" s="696"/>
      <c r="K1715" s="697"/>
      <c r="L1715" s="696"/>
      <c r="M1715" s="198" t="str">
        <f t="shared" si="393"/>
        <v/>
      </c>
      <c r="N1715" s="369" t="str">
        <f t="shared" si="394"/>
        <v/>
      </c>
      <c r="O1715" s="183" t="str">
        <f t="shared" si="395"/>
        <v/>
      </c>
      <c r="P1715" s="199" t="str">
        <f t="shared" si="396"/>
        <v/>
      </c>
      <c r="Q1715" s="199" t="str">
        <f>IF(B1715="","",IFERROR(IF('עלויות כח אדם (6)'!J1715&gt;=VLOOKUP(I1715,'סיווג התפקידים והעלויות'!$B$23:$C$32,2,0),"תקין","לא תקין"),""))</f>
        <v/>
      </c>
      <c r="R1715" s="199" t="str">
        <f t="shared" si="397"/>
        <v/>
      </c>
      <c r="S1715" s="199" t="str">
        <f t="shared" si="398"/>
        <v/>
      </c>
      <c r="T1715" s="199" t="str">
        <f t="shared" si="406"/>
        <v/>
      </c>
      <c r="U1715" s="199" t="str">
        <f t="shared" si="399"/>
        <v/>
      </c>
      <c r="V1715" s="989"/>
      <c r="X1715" s="374" t="str">
        <f t="shared" si="400"/>
        <v/>
      </c>
      <c r="Y1715" s="375" t="str">
        <f t="shared" si="401"/>
        <v/>
      </c>
      <c r="Z1715" s="374" t="str">
        <f t="shared" si="402"/>
        <v/>
      </c>
      <c r="AA1715" s="374" t="b">
        <f t="shared" si="403"/>
        <v>1</v>
      </c>
      <c r="AB1715" s="374">
        <f>COUNTIFS(B:B,B1715,H:H,'סיווג התפקידים והעלויות'!$C$2)</f>
        <v>0</v>
      </c>
      <c r="AC1715" s="374">
        <f>COUNTIFS(B:B,B1715,H:H,'סיווג התפקידים והעלויות'!$D$2)</f>
        <v>0</v>
      </c>
      <c r="AD1715" s="374" t="str">
        <f>IF(OR(AND(H1715='סיווג התפקידים והעלויות'!$A$2,I1715='סיווג התפקידים והעלויות'!$A$3),'עלויות כח אדם (6)'!H1715='סיווג התפקידים והעלויות'!$C$2,'עלויות כח אדם (6)'!H1715='סיווג התפקידים והעלויות'!$D$2),IF('עלויות כח אדם (6)'!J1715&lt;75,"לא תקין","תקין"),"")</f>
        <v/>
      </c>
      <c r="AE1715" s="374" t="str">
        <f t="shared" si="404"/>
        <v/>
      </c>
      <c r="AF1715" s="532" t="str">
        <f t="shared" si="405"/>
        <v/>
      </c>
    </row>
    <row r="1716" spans="2:32" x14ac:dyDescent="0.25">
      <c r="B1716" s="695"/>
      <c r="C1716" s="197" t="str">
        <f>IF(B1716&lt;&gt;"",IFERROR(VLOOKUP(B:B,'מצבת והרשמה (2)'!$C$20:$N$520,2,0)," ")," ")</f>
        <v xml:space="preserve"> </v>
      </c>
      <c r="D1716" s="695"/>
      <c r="E1716" s="696"/>
      <c r="F1716" s="696"/>
      <c r="G1716" s="696"/>
      <c r="H1716" s="696"/>
      <c r="I1716" s="1050" t="str">
        <f t="shared" si="392"/>
        <v/>
      </c>
      <c r="J1716" s="696"/>
      <c r="K1716" s="697"/>
      <c r="L1716" s="696"/>
      <c r="M1716" s="198" t="str">
        <f t="shared" si="393"/>
        <v/>
      </c>
      <c r="N1716" s="369" t="str">
        <f t="shared" si="394"/>
        <v/>
      </c>
      <c r="O1716" s="183" t="str">
        <f t="shared" si="395"/>
        <v/>
      </c>
      <c r="P1716" s="199" t="str">
        <f t="shared" si="396"/>
        <v/>
      </c>
      <c r="Q1716" s="199" t="str">
        <f>IF(B1716="","",IFERROR(IF('עלויות כח אדם (6)'!J1716&gt;=VLOOKUP(I1716,'סיווג התפקידים והעלויות'!$B$23:$C$32,2,0),"תקין","לא תקין"),""))</f>
        <v/>
      </c>
      <c r="R1716" s="199" t="str">
        <f t="shared" si="397"/>
        <v/>
      </c>
      <c r="S1716" s="199" t="str">
        <f t="shared" si="398"/>
        <v/>
      </c>
      <c r="T1716" s="199" t="str">
        <f t="shared" si="406"/>
        <v/>
      </c>
      <c r="U1716" s="199" t="str">
        <f t="shared" si="399"/>
        <v/>
      </c>
      <c r="V1716" s="989"/>
      <c r="X1716" s="374" t="str">
        <f t="shared" si="400"/>
        <v/>
      </c>
      <c r="Y1716" s="375" t="str">
        <f t="shared" si="401"/>
        <v/>
      </c>
      <c r="Z1716" s="374" t="str">
        <f t="shared" si="402"/>
        <v/>
      </c>
      <c r="AA1716" s="374" t="b">
        <f t="shared" si="403"/>
        <v>1</v>
      </c>
      <c r="AB1716" s="374">
        <f>COUNTIFS(B:B,B1716,H:H,'סיווג התפקידים והעלויות'!$C$2)</f>
        <v>0</v>
      </c>
      <c r="AC1716" s="374">
        <f>COUNTIFS(B:B,B1716,H:H,'סיווג התפקידים והעלויות'!$D$2)</f>
        <v>0</v>
      </c>
      <c r="AD1716" s="374" t="str">
        <f>IF(OR(AND(H1716='סיווג התפקידים והעלויות'!$A$2,I1716='סיווג התפקידים והעלויות'!$A$3),'עלויות כח אדם (6)'!H1716='סיווג התפקידים והעלויות'!$C$2,'עלויות כח אדם (6)'!H1716='סיווג התפקידים והעלויות'!$D$2),IF('עלויות כח אדם (6)'!J1716&lt;75,"לא תקין","תקין"),"")</f>
        <v/>
      </c>
      <c r="AE1716" s="374" t="str">
        <f t="shared" si="404"/>
        <v/>
      </c>
      <c r="AF1716" s="532" t="str">
        <f t="shared" si="405"/>
        <v/>
      </c>
    </row>
    <row r="1717" spans="2:32" x14ac:dyDescent="0.25">
      <c r="B1717" s="695"/>
      <c r="C1717" s="197" t="str">
        <f>IF(B1717&lt;&gt;"",IFERROR(VLOOKUP(B:B,'מצבת והרשמה (2)'!$C$20:$N$520,2,0)," ")," ")</f>
        <v xml:space="preserve"> </v>
      </c>
      <c r="D1717" s="695"/>
      <c r="E1717" s="696"/>
      <c r="F1717" s="696"/>
      <c r="G1717" s="696"/>
      <c r="H1717" s="696"/>
      <c r="I1717" s="1050" t="str">
        <f t="shared" si="392"/>
        <v/>
      </c>
      <c r="J1717" s="696"/>
      <c r="K1717" s="697"/>
      <c r="L1717" s="696"/>
      <c r="M1717" s="198" t="str">
        <f t="shared" si="393"/>
        <v/>
      </c>
      <c r="N1717" s="369" t="str">
        <f t="shared" si="394"/>
        <v/>
      </c>
      <c r="O1717" s="183" t="str">
        <f t="shared" si="395"/>
        <v/>
      </c>
      <c r="P1717" s="199" t="str">
        <f t="shared" si="396"/>
        <v/>
      </c>
      <c r="Q1717" s="199" t="str">
        <f>IF(B1717="","",IFERROR(IF('עלויות כח אדם (6)'!J1717&gt;=VLOOKUP(I1717,'סיווג התפקידים והעלויות'!$B$23:$C$32,2,0),"תקין","לא תקין"),""))</f>
        <v/>
      </c>
      <c r="R1717" s="199" t="str">
        <f t="shared" si="397"/>
        <v/>
      </c>
      <c r="S1717" s="199" t="str">
        <f t="shared" si="398"/>
        <v/>
      </c>
      <c r="T1717" s="199" t="str">
        <f t="shared" si="406"/>
        <v/>
      </c>
      <c r="U1717" s="199" t="str">
        <f t="shared" si="399"/>
        <v/>
      </c>
      <c r="V1717" s="989"/>
      <c r="X1717" s="374" t="str">
        <f t="shared" si="400"/>
        <v/>
      </c>
      <c r="Y1717" s="375" t="str">
        <f t="shared" si="401"/>
        <v/>
      </c>
      <c r="Z1717" s="374" t="str">
        <f t="shared" si="402"/>
        <v/>
      </c>
      <c r="AA1717" s="374" t="b">
        <f t="shared" si="403"/>
        <v>1</v>
      </c>
      <c r="AB1717" s="374">
        <f>COUNTIFS(B:B,B1717,H:H,'סיווג התפקידים והעלויות'!$C$2)</f>
        <v>0</v>
      </c>
      <c r="AC1717" s="374">
        <f>COUNTIFS(B:B,B1717,H:H,'סיווג התפקידים והעלויות'!$D$2)</f>
        <v>0</v>
      </c>
      <c r="AD1717" s="374" t="str">
        <f>IF(OR(AND(H1717='סיווג התפקידים והעלויות'!$A$2,I1717='סיווג התפקידים והעלויות'!$A$3),'עלויות כח אדם (6)'!H1717='סיווג התפקידים והעלויות'!$C$2,'עלויות כח אדם (6)'!H1717='סיווג התפקידים והעלויות'!$D$2),IF('עלויות כח אדם (6)'!J1717&lt;75,"לא תקין","תקין"),"")</f>
        <v/>
      </c>
      <c r="AE1717" s="374" t="str">
        <f t="shared" si="404"/>
        <v/>
      </c>
      <c r="AF1717" s="532" t="str">
        <f t="shared" si="405"/>
        <v/>
      </c>
    </row>
    <row r="1718" spans="2:32" x14ac:dyDescent="0.25">
      <c r="B1718" s="695"/>
      <c r="C1718" s="197" t="str">
        <f>IF(B1718&lt;&gt;"",IFERROR(VLOOKUP(B:B,'מצבת והרשמה (2)'!$C$20:$N$520,2,0)," ")," ")</f>
        <v xml:space="preserve"> </v>
      </c>
      <c r="D1718" s="695"/>
      <c r="E1718" s="696"/>
      <c r="F1718" s="696"/>
      <c r="G1718" s="696"/>
      <c r="H1718" s="696"/>
      <c r="I1718" s="1050" t="str">
        <f t="shared" si="392"/>
        <v/>
      </c>
      <c r="J1718" s="696"/>
      <c r="K1718" s="697"/>
      <c r="L1718" s="696"/>
      <c r="M1718" s="198" t="str">
        <f t="shared" si="393"/>
        <v/>
      </c>
      <c r="N1718" s="369" t="str">
        <f t="shared" si="394"/>
        <v/>
      </c>
      <c r="O1718" s="183" t="str">
        <f t="shared" si="395"/>
        <v/>
      </c>
      <c r="P1718" s="199" t="str">
        <f t="shared" si="396"/>
        <v/>
      </c>
      <c r="Q1718" s="199" t="str">
        <f>IF(B1718="","",IFERROR(IF('עלויות כח אדם (6)'!J1718&gt;=VLOOKUP(I1718,'סיווג התפקידים והעלויות'!$B$23:$C$32,2,0),"תקין","לא תקין"),""))</f>
        <v/>
      </c>
      <c r="R1718" s="199" t="str">
        <f t="shared" si="397"/>
        <v/>
      </c>
      <c r="S1718" s="199" t="str">
        <f t="shared" si="398"/>
        <v/>
      </c>
      <c r="T1718" s="199" t="str">
        <f t="shared" si="406"/>
        <v/>
      </c>
      <c r="U1718" s="199" t="str">
        <f t="shared" si="399"/>
        <v/>
      </c>
      <c r="V1718" s="989"/>
      <c r="X1718" s="374" t="str">
        <f t="shared" si="400"/>
        <v/>
      </c>
      <c r="Y1718" s="375" t="str">
        <f t="shared" si="401"/>
        <v/>
      </c>
      <c r="Z1718" s="374" t="str">
        <f t="shared" si="402"/>
        <v/>
      </c>
      <c r="AA1718" s="374" t="b">
        <f t="shared" si="403"/>
        <v>1</v>
      </c>
      <c r="AB1718" s="374">
        <f>COUNTIFS(B:B,B1718,H:H,'סיווג התפקידים והעלויות'!$C$2)</f>
        <v>0</v>
      </c>
      <c r="AC1718" s="374">
        <f>COUNTIFS(B:B,B1718,H:H,'סיווג התפקידים והעלויות'!$D$2)</f>
        <v>0</v>
      </c>
      <c r="AD1718" s="374" t="str">
        <f>IF(OR(AND(H1718='סיווג התפקידים והעלויות'!$A$2,I1718='סיווג התפקידים והעלויות'!$A$3),'עלויות כח אדם (6)'!H1718='סיווג התפקידים והעלויות'!$C$2,'עלויות כח אדם (6)'!H1718='סיווג התפקידים והעלויות'!$D$2),IF('עלויות כח אדם (6)'!J1718&lt;75,"לא תקין","תקין"),"")</f>
        <v/>
      </c>
      <c r="AE1718" s="374" t="str">
        <f t="shared" si="404"/>
        <v/>
      </c>
      <c r="AF1718" s="532" t="str">
        <f t="shared" si="405"/>
        <v/>
      </c>
    </row>
    <row r="1719" spans="2:32" x14ac:dyDescent="0.25">
      <c r="B1719" s="695"/>
      <c r="C1719" s="197" t="str">
        <f>IF(B1719&lt;&gt;"",IFERROR(VLOOKUP(B:B,'מצבת והרשמה (2)'!$C$20:$N$520,2,0)," ")," ")</f>
        <v xml:space="preserve"> </v>
      </c>
      <c r="D1719" s="695"/>
      <c r="E1719" s="696"/>
      <c r="F1719" s="696"/>
      <c r="G1719" s="696"/>
      <c r="H1719" s="696"/>
      <c r="I1719" s="1050" t="str">
        <f t="shared" si="392"/>
        <v/>
      </c>
      <c r="J1719" s="696"/>
      <c r="K1719" s="697"/>
      <c r="L1719" s="696"/>
      <c r="M1719" s="198" t="str">
        <f t="shared" si="393"/>
        <v/>
      </c>
      <c r="N1719" s="369" t="str">
        <f t="shared" si="394"/>
        <v/>
      </c>
      <c r="O1719" s="183" t="str">
        <f t="shared" si="395"/>
        <v/>
      </c>
      <c r="P1719" s="199" t="str">
        <f t="shared" si="396"/>
        <v/>
      </c>
      <c r="Q1719" s="199" t="str">
        <f>IF(B1719="","",IFERROR(IF('עלויות כח אדם (6)'!J1719&gt;=VLOOKUP(I1719,'סיווג התפקידים והעלויות'!$B$23:$C$32,2,0),"תקין","לא תקין"),""))</f>
        <v/>
      </c>
      <c r="R1719" s="199" t="str">
        <f t="shared" si="397"/>
        <v/>
      </c>
      <c r="S1719" s="199" t="str">
        <f t="shared" si="398"/>
        <v/>
      </c>
      <c r="T1719" s="199" t="str">
        <f t="shared" si="406"/>
        <v/>
      </c>
      <c r="U1719" s="199" t="str">
        <f t="shared" si="399"/>
        <v/>
      </c>
      <c r="V1719" s="989"/>
      <c r="X1719" s="374" t="str">
        <f t="shared" si="400"/>
        <v/>
      </c>
      <c r="Y1719" s="375" t="str">
        <f t="shared" si="401"/>
        <v/>
      </c>
      <c r="Z1719" s="374" t="str">
        <f t="shared" si="402"/>
        <v/>
      </c>
      <c r="AA1719" s="374" t="b">
        <f t="shared" si="403"/>
        <v>1</v>
      </c>
      <c r="AB1719" s="374">
        <f>COUNTIFS(B:B,B1719,H:H,'סיווג התפקידים והעלויות'!$C$2)</f>
        <v>0</v>
      </c>
      <c r="AC1719" s="374">
        <f>COUNTIFS(B:B,B1719,H:H,'סיווג התפקידים והעלויות'!$D$2)</f>
        <v>0</v>
      </c>
      <c r="AD1719" s="374" t="str">
        <f>IF(OR(AND(H1719='סיווג התפקידים והעלויות'!$A$2,I1719='סיווג התפקידים והעלויות'!$A$3),'עלויות כח אדם (6)'!H1719='סיווג התפקידים והעלויות'!$C$2,'עלויות כח אדם (6)'!H1719='סיווג התפקידים והעלויות'!$D$2),IF('עלויות כח אדם (6)'!J1719&lt;75,"לא תקין","תקין"),"")</f>
        <v/>
      </c>
      <c r="AE1719" s="374" t="str">
        <f t="shared" si="404"/>
        <v/>
      </c>
      <c r="AF1719" s="532" t="str">
        <f t="shared" si="405"/>
        <v/>
      </c>
    </row>
    <row r="1720" spans="2:32" x14ac:dyDescent="0.25">
      <c r="B1720" s="695"/>
      <c r="C1720" s="197" t="str">
        <f>IF(B1720&lt;&gt;"",IFERROR(VLOOKUP(B:B,'מצבת והרשמה (2)'!$C$20:$N$520,2,0)," ")," ")</f>
        <v xml:space="preserve"> </v>
      </c>
      <c r="D1720" s="695"/>
      <c r="E1720" s="696"/>
      <c r="F1720" s="696"/>
      <c r="G1720" s="696"/>
      <c r="H1720" s="696"/>
      <c r="I1720" s="1050" t="str">
        <f t="shared" si="392"/>
        <v/>
      </c>
      <c r="J1720" s="696"/>
      <c r="K1720" s="697"/>
      <c r="L1720" s="696"/>
      <c r="M1720" s="198" t="str">
        <f t="shared" si="393"/>
        <v/>
      </c>
      <c r="N1720" s="369" t="str">
        <f t="shared" si="394"/>
        <v/>
      </c>
      <c r="O1720" s="183" t="str">
        <f t="shared" si="395"/>
        <v/>
      </c>
      <c r="P1720" s="199" t="str">
        <f t="shared" si="396"/>
        <v/>
      </c>
      <c r="Q1720" s="199" t="str">
        <f>IF(B1720="","",IFERROR(IF('עלויות כח אדם (6)'!J1720&gt;=VLOOKUP(I1720,'סיווג התפקידים והעלויות'!$B$23:$C$32,2,0),"תקין","לא תקין"),""))</f>
        <v/>
      </c>
      <c r="R1720" s="199" t="str">
        <f t="shared" si="397"/>
        <v/>
      </c>
      <c r="S1720" s="199" t="str">
        <f t="shared" si="398"/>
        <v/>
      </c>
      <c r="T1720" s="199" t="str">
        <f t="shared" si="406"/>
        <v/>
      </c>
      <c r="U1720" s="199" t="str">
        <f t="shared" si="399"/>
        <v/>
      </c>
      <c r="V1720" s="989"/>
      <c r="X1720" s="374" t="str">
        <f t="shared" si="400"/>
        <v/>
      </c>
      <c r="Y1720" s="375" t="str">
        <f t="shared" si="401"/>
        <v/>
      </c>
      <c r="Z1720" s="374" t="str">
        <f t="shared" si="402"/>
        <v/>
      </c>
      <c r="AA1720" s="374" t="b">
        <f t="shared" si="403"/>
        <v>1</v>
      </c>
      <c r="AB1720" s="374">
        <f>COUNTIFS(B:B,B1720,H:H,'סיווג התפקידים והעלויות'!$C$2)</f>
        <v>0</v>
      </c>
      <c r="AC1720" s="374">
        <f>COUNTIFS(B:B,B1720,H:H,'סיווג התפקידים והעלויות'!$D$2)</f>
        <v>0</v>
      </c>
      <c r="AD1720" s="374" t="str">
        <f>IF(OR(AND(H1720='סיווג התפקידים והעלויות'!$A$2,I1720='סיווג התפקידים והעלויות'!$A$3),'עלויות כח אדם (6)'!H1720='סיווג התפקידים והעלויות'!$C$2,'עלויות כח אדם (6)'!H1720='סיווג התפקידים והעלויות'!$D$2),IF('עלויות כח אדם (6)'!J1720&lt;75,"לא תקין","תקין"),"")</f>
        <v/>
      </c>
      <c r="AE1720" s="374" t="str">
        <f t="shared" si="404"/>
        <v/>
      </c>
      <c r="AF1720" s="532" t="str">
        <f t="shared" si="405"/>
        <v/>
      </c>
    </row>
    <row r="1721" spans="2:32" x14ac:dyDescent="0.25">
      <c r="B1721" s="695"/>
      <c r="C1721" s="197" t="str">
        <f>IF(B1721&lt;&gt;"",IFERROR(VLOOKUP(B:B,'מצבת והרשמה (2)'!$C$20:$N$520,2,0)," ")," ")</f>
        <v xml:space="preserve"> </v>
      </c>
      <c r="D1721" s="695"/>
      <c r="E1721" s="696"/>
      <c r="F1721" s="696"/>
      <c r="G1721" s="696"/>
      <c r="H1721" s="696"/>
      <c r="I1721" s="1050" t="str">
        <f t="shared" si="392"/>
        <v/>
      </c>
      <c r="J1721" s="696"/>
      <c r="K1721" s="697"/>
      <c r="L1721" s="696"/>
      <c r="M1721" s="198" t="str">
        <f t="shared" si="393"/>
        <v/>
      </c>
      <c r="N1721" s="369" t="str">
        <f t="shared" si="394"/>
        <v/>
      </c>
      <c r="O1721" s="183" t="str">
        <f t="shared" si="395"/>
        <v/>
      </c>
      <c r="P1721" s="199" t="str">
        <f t="shared" si="396"/>
        <v/>
      </c>
      <c r="Q1721" s="199" t="str">
        <f>IF(B1721="","",IFERROR(IF('עלויות כח אדם (6)'!J1721&gt;=VLOOKUP(I1721,'סיווג התפקידים והעלויות'!$B$23:$C$32,2,0),"תקין","לא תקין"),""))</f>
        <v/>
      </c>
      <c r="R1721" s="199" t="str">
        <f t="shared" si="397"/>
        <v/>
      </c>
      <c r="S1721" s="199" t="str">
        <f t="shared" si="398"/>
        <v/>
      </c>
      <c r="T1721" s="199" t="str">
        <f t="shared" si="406"/>
        <v/>
      </c>
      <c r="U1721" s="199" t="str">
        <f t="shared" si="399"/>
        <v/>
      </c>
      <c r="V1721" s="989"/>
      <c r="X1721" s="374" t="str">
        <f t="shared" si="400"/>
        <v/>
      </c>
      <c r="Y1721" s="375" t="str">
        <f t="shared" si="401"/>
        <v/>
      </c>
      <c r="Z1721" s="374" t="str">
        <f t="shared" si="402"/>
        <v/>
      </c>
      <c r="AA1721" s="374" t="b">
        <f t="shared" si="403"/>
        <v>1</v>
      </c>
      <c r="AB1721" s="374">
        <f>COUNTIFS(B:B,B1721,H:H,'סיווג התפקידים והעלויות'!$C$2)</f>
        <v>0</v>
      </c>
      <c r="AC1721" s="374">
        <f>COUNTIFS(B:B,B1721,H:H,'סיווג התפקידים והעלויות'!$D$2)</f>
        <v>0</v>
      </c>
      <c r="AD1721" s="374" t="str">
        <f>IF(OR(AND(H1721='סיווג התפקידים והעלויות'!$A$2,I1721='סיווג התפקידים והעלויות'!$A$3),'עלויות כח אדם (6)'!H1721='סיווג התפקידים והעלויות'!$C$2,'עלויות כח אדם (6)'!H1721='סיווג התפקידים והעלויות'!$D$2),IF('עלויות כח אדם (6)'!J1721&lt;75,"לא תקין","תקין"),"")</f>
        <v/>
      </c>
      <c r="AE1721" s="374" t="str">
        <f t="shared" si="404"/>
        <v/>
      </c>
      <c r="AF1721" s="532" t="str">
        <f t="shared" si="405"/>
        <v/>
      </c>
    </row>
    <row r="1722" spans="2:32" x14ac:dyDescent="0.25">
      <c r="B1722" s="695"/>
      <c r="C1722" s="197" t="str">
        <f>IF(B1722&lt;&gt;"",IFERROR(VLOOKUP(B:B,'מצבת והרשמה (2)'!$C$20:$N$520,2,0)," ")," ")</f>
        <v xml:space="preserve"> </v>
      </c>
      <c r="D1722" s="695"/>
      <c r="E1722" s="696"/>
      <c r="F1722" s="696"/>
      <c r="G1722" s="696"/>
      <c r="H1722" s="696"/>
      <c r="I1722" s="1050" t="str">
        <f t="shared" si="392"/>
        <v/>
      </c>
      <c r="J1722" s="696"/>
      <c r="K1722" s="697"/>
      <c r="L1722" s="696"/>
      <c r="M1722" s="198" t="str">
        <f t="shared" si="393"/>
        <v/>
      </c>
      <c r="N1722" s="369" t="str">
        <f t="shared" si="394"/>
        <v/>
      </c>
      <c r="O1722" s="183" t="str">
        <f t="shared" si="395"/>
        <v/>
      </c>
      <c r="P1722" s="199" t="str">
        <f t="shared" si="396"/>
        <v/>
      </c>
      <c r="Q1722" s="199" t="str">
        <f>IF(B1722="","",IFERROR(IF('עלויות כח אדם (6)'!J1722&gt;=VLOOKUP(I1722,'סיווג התפקידים והעלויות'!$B$23:$C$32,2,0),"תקין","לא תקין"),""))</f>
        <v/>
      </c>
      <c r="R1722" s="199" t="str">
        <f t="shared" si="397"/>
        <v/>
      </c>
      <c r="S1722" s="199" t="str">
        <f t="shared" si="398"/>
        <v/>
      </c>
      <c r="T1722" s="199" t="str">
        <f t="shared" si="406"/>
        <v/>
      </c>
      <c r="U1722" s="199" t="str">
        <f t="shared" si="399"/>
        <v/>
      </c>
      <c r="V1722" s="989"/>
      <c r="X1722" s="374" t="str">
        <f t="shared" si="400"/>
        <v/>
      </c>
      <c r="Y1722" s="375" t="str">
        <f t="shared" si="401"/>
        <v/>
      </c>
      <c r="Z1722" s="374" t="str">
        <f t="shared" si="402"/>
        <v/>
      </c>
      <c r="AA1722" s="374" t="b">
        <f t="shared" si="403"/>
        <v>1</v>
      </c>
      <c r="AB1722" s="374">
        <f>COUNTIFS(B:B,B1722,H:H,'סיווג התפקידים והעלויות'!$C$2)</f>
        <v>0</v>
      </c>
      <c r="AC1722" s="374">
        <f>COUNTIFS(B:B,B1722,H:H,'סיווג התפקידים והעלויות'!$D$2)</f>
        <v>0</v>
      </c>
      <c r="AD1722" s="374" t="str">
        <f>IF(OR(AND(H1722='סיווג התפקידים והעלויות'!$A$2,I1722='סיווג התפקידים והעלויות'!$A$3),'עלויות כח אדם (6)'!H1722='סיווג התפקידים והעלויות'!$C$2,'עלויות כח אדם (6)'!H1722='סיווג התפקידים והעלויות'!$D$2),IF('עלויות כח אדם (6)'!J1722&lt;75,"לא תקין","תקין"),"")</f>
        <v/>
      </c>
      <c r="AE1722" s="374" t="str">
        <f t="shared" si="404"/>
        <v/>
      </c>
      <c r="AF1722" s="532" t="str">
        <f t="shared" si="405"/>
        <v/>
      </c>
    </row>
    <row r="1723" spans="2:32" x14ac:dyDescent="0.25">
      <c r="B1723" s="695"/>
      <c r="C1723" s="197" t="str">
        <f>IF(B1723&lt;&gt;"",IFERROR(VLOOKUP(B:B,'מצבת והרשמה (2)'!$C$20:$N$520,2,0)," ")," ")</f>
        <v xml:space="preserve"> </v>
      </c>
      <c r="D1723" s="695"/>
      <c r="E1723" s="696"/>
      <c r="F1723" s="696"/>
      <c r="G1723" s="696"/>
      <c r="H1723" s="696"/>
      <c r="I1723" s="1050" t="str">
        <f t="shared" si="392"/>
        <v/>
      </c>
      <c r="J1723" s="696"/>
      <c r="K1723" s="697"/>
      <c r="L1723" s="696"/>
      <c r="M1723" s="198" t="str">
        <f t="shared" si="393"/>
        <v/>
      </c>
      <c r="N1723" s="369" t="str">
        <f t="shared" si="394"/>
        <v/>
      </c>
      <c r="O1723" s="183" t="str">
        <f t="shared" si="395"/>
        <v/>
      </c>
      <c r="P1723" s="199" t="str">
        <f t="shared" si="396"/>
        <v/>
      </c>
      <c r="Q1723" s="199" t="str">
        <f>IF(B1723="","",IFERROR(IF('עלויות כח אדם (6)'!J1723&gt;=VLOOKUP(I1723,'סיווג התפקידים והעלויות'!$B$23:$C$32,2,0),"תקין","לא תקין"),""))</f>
        <v/>
      </c>
      <c r="R1723" s="199" t="str">
        <f t="shared" si="397"/>
        <v/>
      </c>
      <c r="S1723" s="199" t="str">
        <f t="shared" si="398"/>
        <v/>
      </c>
      <c r="T1723" s="199" t="str">
        <f t="shared" si="406"/>
        <v/>
      </c>
      <c r="U1723" s="199" t="str">
        <f t="shared" si="399"/>
        <v/>
      </c>
      <c r="V1723" s="989"/>
      <c r="X1723" s="374" t="str">
        <f t="shared" si="400"/>
        <v/>
      </c>
      <c r="Y1723" s="375" t="str">
        <f t="shared" si="401"/>
        <v/>
      </c>
      <c r="Z1723" s="374" t="str">
        <f t="shared" si="402"/>
        <v/>
      </c>
      <c r="AA1723" s="374" t="b">
        <f t="shared" si="403"/>
        <v>1</v>
      </c>
      <c r="AB1723" s="374">
        <f>COUNTIFS(B:B,B1723,H:H,'סיווג התפקידים והעלויות'!$C$2)</f>
        <v>0</v>
      </c>
      <c r="AC1723" s="374">
        <f>COUNTIFS(B:B,B1723,H:H,'סיווג התפקידים והעלויות'!$D$2)</f>
        <v>0</v>
      </c>
      <c r="AD1723" s="374" t="str">
        <f>IF(OR(AND(H1723='סיווג התפקידים והעלויות'!$A$2,I1723='סיווג התפקידים והעלויות'!$A$3),'עלויות כח אדם (6)'!H1723='סיווג התפקידים והעלויות'!$C$2,'עלויות כח אדם (6)'!H1723='סיווג התפקידים והעלויות'!$D$2),IF('עלויות כח אדם (6)'!J1723&lt;75,"לא תקין","תקין"),"")</f>
        <v/>
      </c>
      <c r="AE1723" s="374" t="str">
        <f t="shared" si="404"/>
        <v/>
      </c>
      <c r="AF1723" s="532" t="str">
        <f t="shared" si="405"/>
        <v/>
      </c>
    </row>
    <row r="1724" spans="2:32" x14ac:dyDescent="0.25">
      <c r="B1724" s="695"/>
      <c r="C1724" s="197" t="str">
        <f>IF(B1724&lt;&gt;"",IFERROR(VLOOKUP(B:B,'מצבת והרשמה (2)'!$C$20:$N$520,2,0)," ")," ")</f>
        <v xml:space="preserve"> </v>
      </c>
      <c r="D1724" s="695"/>
      <c r="E1724" s="696"/>
      <c r="F1724" s="696"/>
      <c r="G1724" s="696"/>
      <c r="H1724" s="696"/>
      <c r="I1724" s="1050" t="str">
        <f t="shared" si="392"/>
        <v/>
      </c>
      <c r="J1724" s="696"/>
      <c r="K1724" s="697"/>
      <c r="L1724" s="696"/>
      <c r="M1724" s="198" t="str">
        <f t="shared" si="393"/>
        <v/>
      </c>
      <c r="N1724" s="369" t="str">
        <f t="shared" si="394"/>
        <v/>
      </c>
      <c r="O1724" s="183" t="str">
        <f t="shared" si="395"/>
        <v/>
      </c>
      <c r="P1724" s="199" t="str">
        <f t="shared" si="396"/>
        <v/>
      </c>
      <c r="Q1724" s="199" t="str">
        <f>IF(B1724="","",IFERROR(IF('עלויות כח אדם (6)'!J1724&gt;=VLOOKUP(I1724,'סיווג התפקידים והעלויות'!$B$23:$C$32,2,0),"תקין","לא תקין"),""))</f>
        <v/>
      </c>
      <c r="R1724" s="199" t="str">
        <f t="shared" si="397"/>
        <v/>
      </c>
      <c r="S1724" s="199" t="str">
        <f t="shared" si="398"/>
        <v/>
      </c>
      <c r="T1724" s="199" t="str">
        <f t="shared" si="406"/>
        <v/>
      </c>
      <c r="U1724" s="199" t="str">
        <f t="shared" si="399"/>
        <v/>
      </c>
      <c r="V1724" s="989"/>
      <c r="X1724" s="374" t="str">
        <f t="shared" si="400"/>
        <v/>
      </c>
      <c r="Y1724" s="375" t="str">
        <f t="shared" si="401"/>
        <v/>
      </c>
      <c r="Z1724" s="374" t="str">
        <f t="shared" si="402"/>
        <v/>
      </c>
      <c r="AA1724" s="374" t="b">
        <f t="shared" si="403"/>
        <v>1</v>
      </c>
      <c r="AB1724" s="374">
        <f>COUNTIFS(B:B,B1724,H:H,'סיווג התפקידים והעלויות'!$C$2)</f>
        <v>0</v>
      </c>
      <c r="AC1724" s="374">
        <f>COUNTIFS(B:B,B1724,H:H,'סיווג התפקידים והעלויות'!$D$2)</f>
        <v>0</v>
      </c>
      <c r="AD1724" s="374" t="str">
        <f>IF(OR(AND(H1724='סיווג התפקידים והעלויות'!$A$2,I1724='סיווג התפקידים והעלויות'!$A$3),'עלויות כח אדם (6)'!H1724='סיווג התפקידים והעלויות'!$C$2,'עלויות כח אדם (6)'!H1724='סיווג התפקידים והעלויות'!$D$2),IF('עלויות כח אדם (6)'!J1724&lt;75,"לא תקין","תקין"),"")</f>
        <v/>
      </c>
      <c r="AE1724" s="374" t="str">
        <f t="shared" si="404"/>
        <v/>
      </c>
      <c r="AF1724" s="532" t="str">
        <f t="shared" si="405"/>
        <v/>
      </c>
    </row>
    <row r="1725" spans="2:32" x14ac:dyDescent="0.25">
      <c r="B1725" s="695"/>
      <c r="C1725" s="197" t="str">
        <f>IF(B1725&lt;&gt;"",IFERROR(VLOOKUP(B:B,'מצבת והרשמה (2)'!$C$20:$N$520,2,0)," ")," ")</f>
        <v xml:space="preserve"> </v>
      </c>
      <c r="D1725" s="695"/>
      <c r="E1725" s="696"/>
      <c r="F1725" s="696"/>
      <c r="G1725" s="696"/>
      <c r="H1725" s="696"/>
      <c r="I1725" s="1050" t="str">
        <f t="shared" si="392"/>
        <v/>
      </c>
      <c r="J1725" s="696"/>
      <c r="K1725" s="697"/>
      <c r="L1725" s="696"/>
      <c r="M1725" s="198" t="str">
        <f t="shared" si="393"/>
        <v/>
      </c>
      <c r="N1725" s="369" t="str">
        <f t="shared" si="394"/>
        <v/>
      </c>
      <c r="O1725" s="183" t="str">
        <f t="shared" si="395"/>
        <v/>
      </c>
      <c r="P1725" s="199" t="str">
        <f t="shared" si="396"/>
        <v/>
      </c>
      <c r="Q1725" s="199" t="str">
        <f>IF(B1725="","",IFERROR(IF('עלויות כח אדם (6)'!J1725&gt;=VLOOKUP(I1725,'סיווג התפקידים והעלויות'!$B$23:$C$32,2,0),"תקין","לא תקין"),""))</f>
        <v/>
      </c>
      <c r="R1725" s="199" t="str">
        <f t="shared" si="397"/>
        <v/>
      </c>
      <c r="S1725" s="199" t="str">
        <f t="shared" si="398"/>
        <v/>
      </c>
      <c r="T1725" s="199" t="str">
        <f t="shared" si="406"/>
        <v/>
      </c>
      <c r="U1725" s="199" t="str">
        <f t="shared" si="399"/>
        <v/>
      </c>
      <c r="V1725" s="989"/>
      <c r="X1725" s="374" t="str">
        <f t="shared" si="400"/>
        <v/>
      </c>
      <c r="Y1725" s="375" t="str">
        <f t="shared" si="401"/>
        <v/>
      </c>
      <c r="Z1725" s="374" t="str">
        <f t="shared" si="402"/>
        <v/>
      </c>
      <c r="AA1725" s="374" t="b">
        <f t="shared" si="403"/>
        <v>1</v>
      </c>
      <c r="AB1725" s="374">
        <f>COUNTIFS(B:B,B1725,H:H,'סיווג התפקידים והעלויות'!$C$2)</f>
        <v>0</v>
      </c>
      <c r="AC1725" s="374">
        <f>COUNTIFS(B:B,B1725,H:H,'סיווג התפקידים והעלויות'!$D$2)</f>
        <v>0</v>
      </c>
      <c r="AD1725" s="374" t="str">
        <f>IF(OR(AND(H1725='סיווג התפקידים והעלויות'!$A$2,I1725='סיווג התפקידים והעלויות'!$A$3),'עלויות כח אדם (6)'!H1725='סיווג התפקידים והעלויות'!$C$2,'עלויות כח אדם (6)'!H1725='סיווג התפקידים והעלויות'!$D$2),IF('עלויות כח אדם (6)'!J1725&lt;75,"לא תקין","תקין"),"")</f>
        <v/>
      </c>
      <c r="AE1725" s="374" t="str">
        <f t="shared" si="404"/>
        <v/>
      </c>
      <c r="AF1725" s="532" t="str">
        <f t="shared" si="405"/>
        <v/>
      </c>
    </row>
    <row r="1726" spans="2:32" x14ac:dyDescent="0.25">
      <c r="B1726" s="695"/>
      <c r="C1726" s="197" t="str">
        <f>IF(B1726&lt;&gt;"",IFERROR(VLOOKUP(B:B,'מצבת והרשמה (2)'!$C$20:$N$520,2,0)," ")," ")</f>
        <v xml:space="preserve"> </v>
      </c>
      <c r="D1726" s="695"/>
      <c r="E1726" s="696"/>
      <c r="F1726" s="696"/>
      <c r="G1726" s="696"/>
      <c r="H1726" s="696"/>
      <c r="I1726" s="1050" t="str">
        <f t="shared" si="392"/>
        <v/>
      </c>
      <c r="J1726" s="696"/>
      <c r="K1726" s="697"/>
      <c r="L1726" s="696"/>
      <c r="M1726" s="198" t="str">
        <f t="shared" si="393"/>
        <v/>
      </c>
      <c r="N1726" s="369" t="str">
        <f t="shared" si="394"/>
        <v/>
      </c>
      <c r="O1726" s="183" t="str">
        <f t="shared" si="395"/>
        <v/>
      </c>
      <c r="P1726" s="199" t="str">
        <f t="shared" si="396"/>
        <v/>
      </c>
      <c r="Q1726" s="199" t="str">
        <f>IF(B1726="","",IFERROR(IF('עלויות כח אדם (6)'!J1726&gt;=VLOOKUP(I1726,'סיווג התפקידים והעלויות'!$B$23:$C$32,2,0),"תקין","לא תקין"),""))</f>
        <v/>
      </c>
      <c r="R1726" s="199" t="str">
        <f t="shared" si="397"/>
        <v/>
      </c>
      <c r="S1726" s="199" t="str">
        <f t="shared" si="398"/>
        <v/>
      </c>
      <c r="T1726" s="199" t="str">
        <f t="shared" si="406"/>
        <v/>
      </c>
      <c r="U1726" s="199" t="str">
        <f t="shared" si="399"/>
        <v/>
      </c>
      <c r="V1726" s="989"/>
      <c r="X1726" s="374" t="str">
        <f t="shared" si="400"/>
        <v/>
      </c>
      <c r="Y1726" s="375" t="str">
        <f t="shared" si="401"/>
        <v/>
      </c>
      <c r="Z1726" s="374" t="str">
        <f t="shared" si="402"/>
        <v/>
      </c>
      <c r="AA1726" s="374" t="b">
        <f t="shared" si="403"/>
        <v>1</v>
      </c>
      <c r="AB1726" s="374">
        <f>COUNTIFS(B:B,B1726,H:H,'סיווג התפקידים והעלויות'!$C$2)</f>
        <v>0</v>
      </c>
      <c r="AC1726" s="374">
        <f>COUNTIFS(B:B,B1726,H:H,'סיווג התפקידים והעלויות'!$D$2)</f>
        <v>0</v>
      </c>
      <c r="AD1726" s="374" t="str">
        <f>IF(OR(AND(H1726='סיווג התפקידים והעלויות'!$A$2,I1726='סיווג התפקידים והעלויות'!$A$3),'עלויות כח אדם (6)'!H1726='סיווג התפקידים והעלויות'!$C$2,'עלויות כח אדם (6)'!H1726='סיווג התפקידים והעלויות'!$D$2),IF('עלויות כח אדם (6)'!J1726&lt;75,"לא תקין","תקין"),"")</f>
        <v/>
      </c>
      <c r="AE1726" s="374" t="str">
        <f t="shared" si="404"/>
        <v/>
      </c>
      <c r="AF1726" s="532" t="str">
        <f t="shared" si="405"/>
        <v/>
      </c>
    </row>
    <row r="1727" spans="2:32" x14ac:dyDescent="0.25">
      <c r="B1727" s="695"/>
      <c r="C1727" s="197" t="str">
        <f>IF(B1727&lt;&gt;"",IFERROR(VLOOKUP(B:B,'מצבת והרשמה (2)'!$C$20:$N$520,2,0)," ")," ")</f>
        <v xml:space="preserve"> </v>
      </c>
      <c r="D1727" s="695"/>
      <c r="E1727" s="696"/>
      <c r="F1727" s="696"/>
      <c r="G1727" s="696"/>
      <c r="H1727" s="696"/>
      <c r="I1727" s="1050" t="str">
        <f t="shared" si="392"/>
        <v/>
      </c>
      <c r="J1727" s="696"/>
      <c r="K1727" s="697"/>
      <c r="L1727" s="696"/>
      <c r="M1727" s="198" t="str">
        <f t="shared" si="393"/>
        <v/>
      </c>
      <c r="N1727" s="369" t="str">
        <f t="shared" si="394"/>
        <v/>
      </c>
      <c r="O1727" s="183" t="str">
        <f t="shared" si="395"/>
        <v/>
      </c>
      <c r="P1727" s="199" t="str">
        <f t="shared" si="396"/>
        <v/>
      </c>
      <c r="Q1727" s="199" t="str">
        <f>IF(B1727="","",IFERROR(IF('עלויות כח אדם (6)'!J1727&gt;=VLOOKUP(I1727,'סיווג התפקידים והעלויות'!$B$23:$C$32,2,0),"תקין","לא תקין"),""))</f>
        <v/>
      </c>
      <c r="R1727" s="199" t="str">
        <f t="shared" si="397"/>
        <v/>
      </c>
      <c r="S1727" s="199" t="str">
        <f t="shared" si="398"/>
        <v/>
      </c>
      <c r="T1727" s="199" t="str">
        <f t="shared" si="406"/>
        <v/>
      </c>
      <c r="U1727" s="199" t="str">
        <f t="shared" si="399"/>
        <v/>
      </c>
      <c r="V1727" s="989"/>
      <c r="X1727" s="374" t="str">
        <f t="shared" si="400"/>
        <v/>
      </c>
      <c r="Y1727" s="375" t="str">
        <f t="shared" si="401"/>
        <v/>
      </c>
      <c r="Z1727" s="374" t="str">
        <f t="shared" si="402"/>
        <v/>
      </c>
      <c r="AA1727" s="374" t="b">
        <f t="shared" si="403"/>
        <v>1</v>
      </c>
      <c r="AB1727" s="374">
        <f>COUNTIFS(B:B,B1727,H:H,'סיווג התפקידים והעלויות'!$C$2)</f>
        <v>0</v>
      </c>
      <c r="AC1727" s="374">
        <f>COUNTIFS(B:B,B1727,H:H,'סיווג התפקידים והעלויות'!$D$2)</f>
        <v>0</v>
      </c>
      <c r="AD1727" s="374" t="str">
        <f>IF(OR(AND(H1727='סיווג התפקידים והעלויות'!$A$2,I1727='סיווג התפקידים והעלויות'!$A$3),'עלויות כח אדם (6)'!H1727='סיווג התפקידים והעלויות'!$C$2,'עלויות כח אדם (6)'!H1727='סיווג התפקידים והעלויות'!$D$2),IF('עלויות כח אדם (6)'!J1727&lt;75,"לא תקין","תקין"),"")</f>
        <v/>
      </c>
      <c r="AE1727" s="374" t="str">
        <f t="shared" si="404"/>
        <v/>
      </c>
      <c r="AF1727" s="532" t="str">
        <f t="shared" si="405"/>
        <v/>
      </c>
    </row>
    <row r="1728" spans="2:32" x14ac:dyDescent="0.25">
      <c r="B1728" s="695"/>
      <c r="C1728" s="197" t="str">
        <f>IF(B1728&lt;&gt;"",IFERROR(VLOOKUP(B:B,'מצבת והרשמה (2)'!$C$20:$N$520,2,0)," ")," ")</f>
        <v xml:space="preserve"> </v>
      </c>
      <c r="D1728" s="695"/>
      <c r="E1728" s="696"/>
      <c r="F1728" s="696"/>
      <c r="G1728" s="696"/>
      <c r="H1728" s="696"/>
      <c r="I1728" s="1050" t="str">
        <f t="shared" si="392"/>
        <v/>
      </c>
      <c r="J1728" s="696"/>
      <c r="K1728" s="697"/>
      <c r="L1728" s="696"/>
      <c r="M1728" s="198" t="str">
        <f t="shared" si="393"/>
        <v/>
      </c>
      <c r="N1728" s="369" t="str">
        <f t="shared" si="394"/>
        <v/>
      </c>
      <c r="O1728" s="183" t="str">
        <f t="shared" si="395"/>
        <v/>
      </c>
      <c r="P1728" s="199" t="str">
        <f t="shared" si="396"/>
        <v/>
      </c>
      <c r="Q1728" s="199" t="str">
        <f>IF(B1728="","",IFERROR(IF('עלויות כח אדם (6)'!J1728&gt;=VLOOKUP(I1728,'סיווג התפקידים והעלויות'!$B$23:$C$32,2,0),"תקין","לא תקין"),""))</f>
        <v/>
      </c>
      <c r="R1728" s="199" t="str">
        <f t="shared" si="397"/>
        <v/>
      </c>
      <c r="S1728" s="199" t="str">
        <f t="shared" si="398"/>
        <v/>
      </c>
      <c r="T1728" s="199" t="str">
        <f t="shared" si="406"/>
        <v/>
      </c>
      <c r="U1728" s="199" t="str">
        <f t="shared" si="399"/>
        <v/>
      </c>
      <c r="V1728" s="989"/>
      <c r="X1728" s="374" t="str">
        <f t="shared" si="400"/>
        <v/>
      </c>
      <c r="Y1728" s="375" t="str">
        <f t="shared" si="401"/>
        <v/>
      </c>
      <c r="Z1728" s="374" t="str">
        <f t="shared" si="402"/>
        <v/>
      </c>
      <c r="AA1728" s="374" t="b">
        <f t="shared" si="403"/>
        <v>1</v>
      </c>
      <c r="AB1728" s="374">
        <f>COUNTIFS(B:B,B1728,H:H,'סיווג התפקידים והעלויות'!$C$2)</f>
        <v>0</v>
      </c>
      <c r="AC1728" s="374">
        <f>COUNTIFS(B:B,B1728,H:H,'סיווג התפקידים והעלויות'!$D$2)</f>
        <v>0</v>
      </c>
      <c r="AD1728" s="374" t="str">
        <f>IF(OR(AND(H1728='סיווג התפקידים והעלויות'!$A$2,I1728='סיווג התפקידים והעלויות'!$A$3),'עלויות כח אדם (6)'!H1728='סיווג התפקידים והעלויות'!$C$2,'עלויות כח אדם (6)'!H1728='סיווג התפקידים והעלויות'!$D$2),IF('עלויות כח אדם (6)'!J1728&lt;75,"לא תקין","תקין"),"")</f>
        <v/>
      </c>
      <c r="AE1728" s="374" t="str">
        <f t="shared" si="404"/>
        <v/>
      </c>
      <c r="AF1728" s="532" t="str">
        <f t="shared" si="405"/>
        <v/>
      </c>
    </row>
    <row r="1729" spans="2:32" x14ac:dyDescent="0.25">
      <c r="B1729" s="695"/>
      <c r="C1729" s="197" t="str">
        <f>IF(B1729&lt;&gt;"",IFERROR(VLOOKUP(B:B,'מצבת והרשמה (2)'!$C$20:$N$520,2,0)," ")," ")</f>
        <v xml:space="preserve"> </v>
      </c>
      <c r="D1729" s="695"/>
      <c r="E1729" s="696"/>
      <c r="F1729" s="696"/>
      <c r="G1729" s="696"/>
      <c r="H1729" s="696"/>
      <c r="I1729" s="1050" t="str">
        <f t="shared" si="392"/>
        <v/>
      </c>
      <c r="J1729" s="696"/>
      <c r="K1729" s="697"/>
      <c r="L1729" s="696"/>
      <c r="M1729" s="198" t="str">
        <f t="shared" si="393"/>
        <v/>
      </c>
      <c r="N1729" s="369" t="str">
        <f t="shared" si="394"/>
        <v/>
      </c>
      <c r="O1729" s="183" t="str">
        <f t="shared" si="395"/>
        <v/>
      </c>
      <c r="P1729" s="199" t="str">
        <f t="shared" si="396"/>
        <v/>
      </c>
      <c r="Q1729" s="199" t="str">
        <f>IF(B1729="","",IFERROR(IF('עלויות כח אדם (6)'!J1729&gt;=VLOOKUP(I1729,'סיווג התפקידים והעלויות'!$B$23:$C$32,2,0),"תקין","לא תקין"),""))</f>
        <v/>
      </c>
      <c r="R1729" s="199" t="str">
        <f t="shared" si="397"/>
        <v/>
      </c>
      <c r="S1729" s="199" t="str">
        <f t="shared" si="398"/>
        <v/>
      </c>
      <c r="T1729" s="199" t="str">
        <f t="shared" si="406"/>
        <v/>
      </c>
      <c r="U1729" s="199" t="str">
        <f t="shared" si="399"/>
        <v/>
      </c>
      <c r="V1729" s="989"/>
      <c r="X1729" s="374" t="str">
        <f t="shared" si="400"/>
        <v/>
      </c>
      <c r="Y1729" s="375" t="str">
        <f t="shared" si="401"/>
        <v/>
      </c>
      <c r="Z1729" s="374" t="str">
        <f t="shared" si="402"/>
        <v/>
      </c>
      <c r="AA1729" s="374" t="b">
        <f t="shared" si="403"/>
        <v>1</v>
      </c>
      <c r="AB1729" s="374">
        <f>COUNTIFS(B:B,B1729,H:H,'סיווג התפקידים והעלויות'!$C$2)</f>
        <v>0</v>
      </c>
      <c r="AC1729" s="374">
        <f>COUNTIFS(B:B,B1729,H:H,'סיווג התפקידים והעלויות'!$D$2)</f>
        <v>0</v>
      </c>
      <c r="AD1729" s="374" t="str">
        <f>IF(OR(AND(H1729='סיווג התפקידים והעלויות'!$A$2,I1729='סיווג התפקידים והעלויות'!$A$3),'עלויות כח אדם (6)'!H1729='סיווג התפקידים והעלויות'!$C$2,'עלויות כח אדם (6)'!H1729='סיווג התפקידים והעלויות'!$D$2),IF('עלויות כח אדם (6)'!J1729&lt;75,"לא תקין","תקין"),"")</f>
        <v/>
      </c>
      <c r="AE1729" s="374" t="str">
        <f t="shared" si="404"/>
        <v/>
      </c>
      <c r="AF1729" s="532" t="str">
        <f t="shared" si="405"/>
        <v/>
      </c>
    </row>
    <row r="1730" spans="2:32" x14ac:dyDescent="0.25">
      <c r="B1730" s="695"/>
      <c r="C1730" s="197" t="str">
        <f>IF(B1730&lt;&gt;"",IFERROR(VLOOKUP(B:B,'מצבת והרשמה (2)'!$C$20:$N$520,2,0)," ")," ")</f>
        <v xml:space="preserve"> </v>
      </c>
      <c r="D1730" s="695"/>
      <c r="E1730" s="696"/>
      <c r="F1730" s="696"/>
      <c r="G1730" s="696"/>
      <c r="H1730" s="696"/>
      <c r="I1730" s="1050" t="str">
        <f t="shared" si="392"/>
        <v/>
      </c>
      <c r="J1730" s="696"/>
      <c r="K1730" s="697"/>
      <c r="L1730" s="696"/>
      <c r="M1730" s="198" t="str">
        <f t="shared" si="393"/>
        <v/>
      </c>
      <c r="N1730" s="369" t="str">
        <f t="shared" si="394"/>
        <v/>
      </c>
      <c r="O1730" s="183" t="str">
        <f t="shared" si="395"/>
        <v/>
      </c>
      <c r="P1730" s="199" t="str">
        <f t="shared" si="396"/>
        <v/>
      </c>
      <c r="Q1730" s="199" t="str">
        <f>IF(B1730="","",IFERROR(IF('עלויות כח אדם (6)'!J1730&gt;=VLOOKUP(I1730,'סיווג התפקידים והעלויות'!$B$23:$C$32,2,0),"תקין","לא תקין"),""))</f>
        <v/>
      </c>
      <c r="R1730" s="199" t="str">
        <f t="shared" si="397"/>
        <v/>
      </c>
      <c r="S1730" s="199" t="str">
        <f t="shared" si="398"/>
        <v/>
      </c>
      <c r="T1730" s="199" t="str">
        <f t="shared" si="406"/>
        <v/>
      </c>
      <c r="U1730" s="199" t="str">
        <f t="shared" si="399"/>
        <v/>
      </c>
      <c r="V1730" s="989"/>
      <c r="X1730" s="374" t="str">
        <f t="shared" si="400"/>
        <v/>
      </c>
      <c r="Y1730" s="375" t="str">
        <f t="shared" si="401"/>
        <v/>
      </c>
      <c r="Z1730" s="374" t="str">
        <f t="shared" si="402"/>
        <v/>
      </c>
      <c r="AA1730" s="374" t="b">
        <f t="shared" si="403"/>
        <v>1</v>
      </c>
      <c r="AB1730" s="374">
        <f>COUNTIFS(B:B,B1730,H:H,'סיווג התפקידים והעלויות'!$C$2)</f>
        <v>0</v>
      </c>
      <c r="AC1730" s="374">
        <f>COUNTIFS(B:B,B1730,H:H,'סיווג התפקידים והעלויות'!$D$2)</f>
        <v>0</v>
      </c>
      <c r="AD1730" s="374" t="str">
        <f>IF(OR(AND(H1730='סיווג התפקידים והעלויות'!$A$2,I1730='סיווג התפקידים והעלויות'!$A$3),'עלויות כח אדם (6)'!H1730='סיווג התפקידים והעלויות'!$C$2,'עלויות כח אדם (6)'!H1730='סיווג התפקידים והעלויות'!$D$2),IF('עלויות כח אדם (6)'!J1730&lt;75,"לא תקין","תקין"),"")</f>
        <v/>
      </c>
      <c r="AE1730" s="374" t="str">
        <f t="shared" si="404"/>
        <v/>
      </c>
      <c r="AF1730" s="532" t="str">
        <f t="shared" si="405"/>
        <v/>
      </c>
    </row>
    <row r="1731" spans="2:32" x14ac:dyDescent="0.25">
      <c r="B1731" s="695"/>
      <c r="C1731" s="197" t="str">
        <f>IF(B1731&lt;&gt;"",IFERROR(VLOOKUP(B:B,'מצבת והרשמה (2)'!$C$20:$N$520,2,0)," ")," ")</f>
        <v xml:space="preserve"> </v>
      </c>
      <c r="D1731" s="695"/>
      <c r="E1731" s="696"/>
      <c r="F1731" s="696"/>
      <c r="G1731" s="696"/>
      <c r="H1731" s="696"/>
      <c r="I1731" s="1050" t="str">
        <f t="shared" si="392"/>
        <v/>
      </c>
      <c r="J1731" s="696"/>
      <c r="K1731" s="697"/>
      <c r="L1731" s="696"/>
      <c r="M1731" s="198" t="str">
        <f t="shared" si="393"/>
        <v/>
      </c>
      <c r="N1731" s="369" t="str">
        <f t="shared" si="394"/>
        <v/>
      </c>
      <c r="O1731" s="183" t="str">
        <f t="shared" si="395"/>
        <v/>
      </c>
      <c r="P1731" s="199" t="str">
        <f t="shared" si="396"/>
        <v/>
      </c>
      <c r="Q1731" s="199" t="str">
        <f>IF(B1731="","",IFERROR(IF('עלויות כח אדם (6)'!J1731&gt;=VLOOKUP(I1731,'סיווג התפקידים והעלויות'!$B$23:$C$32,2,0),"תקין","לא תקין"),""))</f>
        <v/>
      </c>
      <c r="R1731" s="199" t="str">
        <f t="shared" si="397"/>
        <v/>
      </c>
      <c r="S1731" s="199" t="str">
        <f t="shared" si="398"/>
        <v/>
      </c>
      <c r="T1731" s="199" t="str">
        <f t="shared" si="406"/>
        <v/>
      </c>
      <c r="U1731" s="199" t="str">
        <f t="shared" si="399"/>
        <v/>
      </c>
      <c r="V1731" s="989"/>
      <c r="X1731" s="374" t="str">
        <f t="shared" si="400"/>
        <v/>
      </c>
      <c r="Y1731" s="375" t="str">
        <f t="shared" si="401"/>
        <v/>
      </c>
      <c r="Z1731" s="374" t="str">
        <f t="shared" si="402"/>
        <v/>
      </c>
      <c r="AA1731" s="374" t="b">
        <f t="shared" si="403"/>
        <v>1</v>
      </c>
      <c r="AB1731" s="374">
        <f>COUNTIFS(B:B,B1731,H:H,'סיווג התפקידים והעלויות'!$C$2)</f>
        <v>0</v>
      </c>
      <c r="AC1731" s="374">
        <f>COUNTIFS(B:B,B1731,H:H,'סיווג התפקידים והעלויות'!$D$2)</f>
        <v>0</v>
      </c>
      <c r="AD1731" s="374" t="str">
        <f>IF(OR(AND(H1731='סיווג התפקידים והעלויות'!$A$2,I1731='סיווג התפקידים והעלויות'!$A$3),'עלויות כח אדם (6)'!H1731='סיווג התפקידים והעלויות'!$C$2,'עלויות כח אדם (6)'!H1731='סיווג התפקידים והעלויות'!$D$2),IF('עלויות כח אדם (6)'!J1731&lt;75,"לא תקין","תקין"),"")</f>
        <v/>
      </c>
      <c r="AE1731" s="374" t="str">
        <f t="shared" si="404"/>
        <v/>
      </c>
      <c r="AF1731" s="532" t="str">
        <f t="shared" si="405"/>
        <v/>
      </c>
    </row>
    <row r="1732" spans="2:32" x14ac:dyDescent="0.25">
      <c r="B1732" s="695"/>
      <c r="C1732" s="197" t="str">
        <f>IF(B1732&lt;&gt;"",IFERROR(VLOOKUP(B:B,'מצבת והרשמה (2)'!$C$20:$N$520,2,0)," ")," ")</f>
        <v xml:space="preserve"> </v>
      </c>
      <c r="D1732" s="695"/>
      <c r="E1732" s="696"/>
      <c r="F1732" s="696"/>
      <c r="G1732" s="696"/>
      <c r="H1732" s="696"/>
      <c r="I1732" s="1050" t="str">
        <f t="shared" si="392"/>
        <v/>
      </c>
      <c r="J1732" s="696"/>
      <c r="K1732" s="697"/>
      <c r="L1732" s="696"/>
      <c r="M1732" s="198" t="str">
        <f t="shared" si="393"/>
        <v/>
      </c>
      <c r="N1732" s="369" t="str">
        <f t="shared" si="394"/>
        <v/>
      </c>
      <c r="O1732" s="183" t="str">
        <f t="shared" si="395"/>
        <v/>
      </c>
      <c r="P1732" s="199" t="str">
        <f t="shared" si="396"/>
        <v/>
      </c>
      <c r="Q1732" s="199" t="str">
        <f>IF(B1732="","",IFERROR(IF('עלויות כח אדם (6)'!J1732&gt;=VLOOKUP(I1732,'סיווג התפקידים והעלויות'!$B$23:$C$32,2,0),"תקין","לא תקין"),""))</f>
        <v/>
      </c>
      <c r="R1732" s="199" t="str">
        <f t="shared" si="397"/>
        <v/>
      </c>
      <c r="S1732" s="199" t="str">
        <f t="shared" si="398"/>
        <v/>
      </c>
      <c r="T1732" s="199" t="str">
        <f t="shared" si="406"/>
        <v/>
      </c>
      <c r="U1732" s="199" t="str">
        <f t="shared" si="399"/>
        <v/>
      </c>
      <c r="V1732" s="989"/>
      <c r="X1732" s="374" t="str">
        <f t="shared" si="400"/>
        <v/>
      </c>
      <c r="Y1732" s="375" t="str">
        <f t="shared" si="401"/>
        <v/>
      </c>
      <c r="Z1732" s="374" t="str">
        <f t="shared" si="402"/>
        <v/>
      </c>
      <c r="AA1732" s="374" t="b">
        <f t="shared" si="403"/>
        <v>1</v>
      </c>
      <c r="AB1732" s="374">
        <f>COUNTIFS(B:B,B1732,H:H,'סיווג התפקידים והעלויות'!$C$2)</f>
        <v>0</v>
      </c>
      <c r="AC1732" s="374">
        <f>COUNTIFS(B:B,B1732,H:H,'סיווג התפקידים והעלויות'!$D$2)</f>
        <v>0</v>
      </c>
      <c r="AD1732" s="374" t="str">
        <f>IF(OR(AND(H1732='סיווג התפקידים והעלויות'!$A$2,I1732='סיווג התפקידים והעלויות'!$A$3),'עלויות כח אדם (6)'!H1732='סיווג התפקידים והעלויות'!$C$2,'עלויות כח אדם (6)'!H1732='סיווג התפקידים והעלויות'!$D$2),IF('עלויות כח אדם (6)'!J1732&lt;75,"לא תקין","תקין"),"")</f>
        <v/>
      </c>
      <c r="AE1732" s="374" t="str">
        <f t="shared" si="404"/>
        <v/>
      </c>
      <c r="AF1732" s="532" t="str">
        <f t="shared" si="405"/>
        <v/>
      </c>
    </row>
    <row r="1733" spans="2:32" x14ac:dyDescent="0.25">
      <c r="B1733" s="695"/>
      <c r="C1733" s="197" t="str">
        <f>IF(B1733&lt;&gt;"",IFERROR(VLOOKUP(B:B,'מצבת והרשמה (2)'!$C$20:$N$520,2,0)," ")," ")</f>
        <v xml:space="preserve"> </v>
      </c>
      <c r="D1733" s="695"/>
      <c r="E1733" s="696"/>
      <c r="F1733" s="696"/>
      <c r="G1733" s="696"/>
      <c r="H1733" s="696"/>
      <c r="I1733" s="1050" t="str">
        <f t="shared" si="392"/>
        <v/>
      </c>
      <c r="J1733" s="696"/>
      <c r="K1733" s="697"/>
      <c r="L1733" s="696"/>
      <c r="M1733" s="198" t="str">
        <f t="shared" si="393"/>
        <v/>
      </c>
      <c r="N1733" s="369" t="str">
        <f t="shared" si="394"/>
        <v/>
      </c>
      <c r="O1733" s="183" t="str">
        <f t="shared" si="395"/>
        <v/>
      </c>
      <c r="P1733" s="199" t="str">
        <f t="shared" si="396"/>
        <v/>
      </c>
      <c r="Q1733" s="199" t="str">
        <f>IF(B1733="","",IFERROR(IF('עלויות כח אדם (6)'!J1733&gt;=VLOOKUP(I1733,'סיווג התפקידים והעלויות'!$B$23:$C$32,2,0),"תקין","לא תקין"),""))</f>
        <v/>
      </c>
      <c r="R1733" s="199" t="str">
        <f t="shared" si="397"/>
        <v/>
      </c>
      <c r="S1733" s="199" t="str">
        <f t="shared" si="398"/>
        <v/>
      </c>
      <c r="T1733" s="199" t="str">
        <f t="shared" si="406"/>
        <v/>
      </c>
      <c r="U1733" s="199" t="str">
        <f t="shared" si="399"/>
        <v/>
      </c>
      <c r="V1733" s="989"/>
      <c r="X1733" s="374" t="str">
        <f t="shared" si="400"/>
        <v/>
      </c>
      <c r="Y1733" s="375" t="str">
        <f t="shared" si="401"/>
        <v/>
      </c>
      <c r="Z1733" s="374" t="str">
        <f t="shared" si="402"/>
        <v/>
      </c>
      <c r="AA1733" s="374" t="b">
        <f t="shared" si="403"/>
        <v>1</v>
      </c>
      <c r="AB1733" s="374">
        <f>COUNTIFS(B:B,B1733,H:H,'סיווג התפקידים והעלויות'!$C$2)</f>
        <v>0</v>
      </c>
      <c r="AC1733" s="374">
        <f>COUNTIFS(B:B,B1733,H:H,'סיווג התפקידים והעלויות'!$D$2)</f>
        <v>0</v>
      </c>
      <c r="AD1733" s="374" t="str">
        <f>IF(OR(AND(H1733='סיווג התפקידים והעלויות'!$A$2,I1733='סיווג התפקידים והעלויות'!$A$3),'עלויות כח אדם (6)'!H1733='סיווג התפקידים והעלויות'!$C$2,'עלויות כח אדם (6)'!H1733='סיווג התפקידים והעלויות'!$D$2),IF('עלויות כח אדם (6)'!J1733&lt;75,"לא תקין","תקין"),"")</f>
        <v/>
      </c>
      <c r="AE1733" s="374" t="str">
        <f t="shared" si="404"/>
        <v/>
      </c>
      <c r="AF1733" s="532" t="str">
        <f t="shared" si="405"/>
        <v/>
      </c>
    </row>
    <row r="1734" spans="2:32" x14ac:dyDescent="0.25">
      <c r="B1734" s="695"/>
      <c r="C1734" s="197" t="str">
        <f>IF(B1734&lt;&gt;"",IFERROR(VLOOKUP(B:B,'מצבת והרשמה (2)'!$C$20:$N$520,2,0)," ")," ")</f>
        <v xml:space="preserve"> </v>
      </c>
      <c r="D1734" s="695"/>
      <c r="E1734" s="696"/>
      <c r="F1734" s="696"/>
      <c r="G1734" s="696"/>
      <c r="H1734" s="696"/>
      <c r="I1734" s="1050" t="str">
        <f t="shared" si="392"/>
        <v/>
      </c>
      <c r="J1734" s="696"/>
      <c r="K1734" s="697"/>
      <c r="L1734" s="696"/>
      <c r="M1734" s="198" t="str">
        <f t="shared" si="393"/>
        <v/>
      </c>
      <c r="N1734" s="369" t="str">
        <f t="shared" si="394"/>
        <v/>
      </c>
      <c r="O1734" s="183" t="str">
        <f t="shared" si="395"/>
        <v/>
      </c>
      <c r="P1734" s="199" t="str">
        <f t="shared" si="396"/>
        <v/>
      </c>
      <c r="Q1734" s="199" t="str">
        <f>IF(B1734="","",IFERROR(IF('עלויות כח אדם (6)'!J1734&gt;=VLOOKUP(I1734,'סיווג התפקידים והעלויות'!$B$23:$C$32,2,0),"תקין","לא תקין"),""))</f>
        <v/>
      </c>
      <c r="R1734" s="199" t="str">
        <f t="shared" si="397"/>
        <v/>
      </c>
      <c r="S1734" s="199" t="str">
        <f t="shared" si="398"/>
        <v/>
      </c>
      <c r="T1734" s="199" t="str">
        <f t="shared" si="406"/>
        <v/>
      </c>
      <c r="U1734" s="199" t="str">
        <f t="shared" si="399"/>
        <v/>
      </c>
      <c r="V1734" s="989"/>
      <c r="X1734" s="374" t="str">
        <f t="shared" si="400"/>
        <v/>
      </c>
      <c r="Y1734" s="375" t="str">
        <f t="shared" si="401"/>
        <v/>
      </c>
      <c r="Z1734" s="374" t="str">
        <f t="shared" si="402"/>
        <v/>
      </c>
      <c r="AA1734" s="374" t="b">
        <f t="shared" si="403"/>
        <v>1</v>
      </c>
      <c r="AB1734" s="374">
        <f>COUNTIFS(B:B,B1734,H:H,'סיווג התפקידים והעלויות'!$C$2)</f>
        <v>0</v>
      </c>
      <c r="AC1734" s="374">
        <f>COUNTIFS(B:B,B1734,H:H,'סיווג התפקידים והעלויות'!$D$2)</f>
        <v>0</v>
      </c>
      <c r="AD1734" s="374" t="str">
        <f>IF(OR(AND(H1734='סיווג התפקידים והעלויות'!$A$2,I1734='סיווג התפקידים והעלויות'!$A$3),'עלויות כח אדם (6)'!H1734='סיווג התפקידים והעלויות'!$C$2,'עלויות כח אדם (6)'!H1734='סיווג התפקידים והעלויות'!$D$2),IF('עלויות כח אדם (6)'!J1734&lt;75,"לא תקין","תקין"),"")</f>
        <v/>
      </c>
      <c r="AE1734" s="374" t="str">
        <f t="shared" si="404"/>
        <v/>
      </c>
      <c r="AF1734" s="532" t="str">
        <f t="shared" si="405"/>
        <v/>
      </c>
    </row>
    <row r="1735" spans="2:32" x14ac:dyDescent="0.25">
      <c r="B1735" s="695"/>
      <c r="C1735" s="197" t="str">
        <f>IF(B1735&lt;&gt;"",IFERROR(VLOOKUP(B:B,'מצבת והרשמה (2)'!$C$20:$N$520,2,0)," ")," ")</f>
        <v xml:space="preserve"> </v>
      </c>
      <c r="D1735" s="695"/>
      <c r="E1735" s="696"/>
      <c r="F1735" s="696"/>
      <c r="G1735" s="696"/>
      <c r="H1735" s="696"/>
      <c r="I1735" s="1050" t="str">
        <f t="shared" si="392"/>
        <v/>
      </c>
      <c r="J1735" s="696"/>
      <c r="K1735" s="697"/>
      <c r="L1735" s="696"/>
      <c r="M1735" s="198" t="str">
        <f t="shared" si="393"/>
        <v/>
      </c>
      <c r="N1735" s="369" t="str">
        <f t="shared" si="394"/>
        <v/>
      </c>
      <c r="O1735" s="183" t="str">
        <f t="shared" si="395"/>
        <v/>
      </c>
      <c r="P1735" s="199" t="str">
        <f t="shared" si="396"/>
        <v/>
      </c>
      <c r="Q1735" s="199" t="str">
        <f>IF(B1735="","",IFERROR(IF('עלויות כח אדם (6)'!J1735&gt;=VLOOKUP(I1735,'סיווג התפקידים והעלויות'!$B$23:$C$32,2,0),"תקין","לא תקין"),""))</f>
        <v/>
      </c>
      <c r="R1735" s="199" t="str">
        <f t="shared" si="397"/>
        <v/>
      </c>
      <c r="S1735" s="199" t="str">
        <f t="shared" si="398"/>
        <v/>
      </c>
      <c r="T1735" s="199" t="str">
        <f t="shared" si="406"/>
        <v/>
      </c>
      <c r="U1735" s="199" t="str">
        <f t="shared" si="399"/>
        <v/>
      </c>
      <c r="V1735" s="989"/>
      <c r="X1735" s="374" t="str">
        <f t="shared" si="400"/>
        <v/>
      </c>
      <c r="Y1735" s="375" t="str">
        <f t="shared" si="401"/>
        <v/>
      </c>
      <c r="Z1735" s="374" t="str">
        <f t="shared" si="402"/>
        <v/>
      </c>
      <c r="AA1735" s="374" t="b">
        <f t="shared" si="403"/>
        <v>1</v>
      </c>
      <c r="AB1735" s="374">
        <f>COUNTIFS(B:B,B1735,H:H,'סיווג התפקידים והעלויות'!$C$2)</f>
        <v>0</v>
      </c>
      <c r="AC1735" s="374">
        <f>COUNTIFS(B:B,B1735,H:H,'סיווג התפקידים והעלויות'!$D$2)</f>
        <v>0</v>
      </c>
      <c r="AD1735" s="374" t="str">
        <f>IF(OR(AND(H1735='סיווג התפקידים והעלויות'!$A$2,I1735='סיווג התפקידים והעלויות'!$A$3),'עלויות כח אדם (6)'!H1735='סיווג התפקידים והעלויות'!$C$2,'עלויות כח אדם (6)'!H1735='סיווג התפקידים והעלויות'!$D$2),IF('עלויות כח אדם (6)'!J1735&lt;75,"לא תקין","תקין"),"")</f>
        <v/>
      </c>
      <c r="AE1735" s="374" t="str">
        <f t="shared" si="404"/>
        <v/>
      </c>
      <c r="AF1735" s="532" t="str">
        <f t="shared" si="405"/>
        <v/>
      </c>
    </row>
    <row r="1736" spans="2:32" x14ac:dyDescent="0.25">
      <c r="B1736" s="695"/>
      <c r="C1736" s="197" t="str">
        <f>IF(B1736&lt;&gt;"",IFERROR(VLOOKUP(B:B,'מצבת והרשמה (2)'!$C$20:$N$520,2,0)," ")," ")</f>
        <v xml:space="preserve"> </v>
      </c>
      <c r="D1736" s="695"/>
      <c r="E1736" s="696"/>
      <c r="F1736" s="696"/>
      <c r="G1736" s="696"/>
      <c r="H1736" s="696"/>
      <c r="I1736" s="1050" t="str">
        <f t="shared" si="392"/>
        <v/>
      </c>
      <c r="J1736" s="696"/>
      <c r="K1736" s="697"/>
      <c r="L1736" s="696"/>
      <c r="M1736" s="198" t="str">
        <f t="shared" si="393"/>
        <v/>
      </c>
      <c r="N1736" s="369" t="str">
        <f t="shared" si="394"/>
        <v/>
      </c>
      <c r="O1736" s="183" t="str">
        <f t="shared" si="395"/>
        <v/>
      </c>
      <c r="P1736" s="199" t="str">
        <f t="shared" si="396"/>
        <v/>
      </c>
      <c r="Q1736" s="199" t="str">
        <f>IF(B1736="","",IFERROR(IF('עלויות כח אדם (6)'!J1736&gt;=VLOOKUP(I1736,'סיווג התפקידים והעלויות'!$B$23:$C$32,2,0),"תקין","לא תקין"),""))</f>
        <v/>
      </c>
      <c r="R1736" s="199" t="str">
        <f t="shared" si="397"/>
        <v/>
      </c>
      <c r="S1736" s="199" t="str">
        <f t="shared" si="398"/>
        <v/>
      </c>
      <c r="T1736" s="199" t="str">
        <f t="shared" si="406"/>
        <v/>
      </c>
      <c r="U1736" s="199" t="str">
        <f t="shared" si="399"/>
        <v/>
      </c>
      <c r="V1736" s="989"/>
      <c r="X1736" s="374" t="str">
        <f t="shared" si="400"/>
        <v/>
      </c>
      <c r="Y1736" s="375" t="str">
        <f t="shared" si="401"/>
        <v/>
      </c>
      <c r="Z1736" s="374" t="str">
        <f t="shared" si="402"/>
        <v/>
      </c>
      <c r="AA1736" s="374" t="b">
        <f t="shared" si="403"/>
        <v>1</v>
      </c>
      <c r="AB1736" s="374">
        <f>COUNTIFS(B:B,B1736,H:H,'סיווג התפקידים והעלויות'!$C$2)</f>
        <v>0</v>
      </c>
      <c r="AC1736" s="374">
        <f>COUNTIFS(B:B,B1736,H:H,'סיווג התפקידים והעלויות'!$D$2)</f>
        <v>0</v>
      </c>
      <c r="AD1736" s="374" t="str">
        <f>IF(OR(AND(H1736='סיווג התפקידים והעלויות'!$A$2,I1736='סיווג התפקידים והעלויות'!$A$3),'עלויות כח אדם (6)'!H1736='סיווג התפקידים והעלויות'!$C$2,'עלויות כח אדם (6)'!H1736='סיווג התפקידים והעלויות'!$D$2),IF('עלויות כח אדם (6)'!J1736&lt;75,"לא תקין","תקין"),"")</f>
        <v/>
      </c>
      <c r="AE1736" s="374" t="str">
        <f t="shared" si="404"/>
        <v/>
      </c>
      <c r="AF1736" s="532" t="str">
        <f t="shared" si="405"/>
        <v/>
      </c>
    </row>
    <row r="1737" spans="2:32" x14ac:dyDescent="0.25">
      <c r="B1737" s="695"/>
      <c r="C1737" s="197" t="str">
        <f>IF(B1737&lt;&gt;"",IFERROR(VLOOKUP(B:B,'מצבת והרשמה (2)'!$C$20:$N$520,2,0)," ")," ")</f>
        <v xml:space="preserve"> </v>
      </c>
      <c r="D1737" s="695"/>
      <c r="E1737" s="696"/>
      <c r="F1737" s="696"/>
      <c r="G1737" s="696"/>
      <c r="H1737" s="696"/>
      <c r="I1737" s="1050" t="str">
        <f t="shared" si="392"/>
        <v/>
      </c>
      <c r="J1737" s="696"/>
      <c r="K1737" s="697"/>
      <c r="L1737" s="696"/>
      <c r="M1737" s="198" t="str">
        <f t="shared" si="393"/>
        <v/>
      </c>
      <c r="N1737" s="369" t="str">
        <f t="shared" si="394"/>
        <v/>
      </c>
      <c r="O1737" s="183" t="str">
        <f t="shared" si="395"/>
        <v/>
      </c>
      <c r="P1737" s="199" t="str">
        <f t="shared" si="396"/>
        <v/>
      </c>
      <c r="Q1737" s="199" t="str">
        <f>IF(B1737="","",IFERROR(IF('עלויות כח אדם (6)'!J1737&gt;=VLOOKUP(I1737,'סיווג התפקידים והעלויות'!$B$23:$C$32,2,0),"תקין","לא תקין"),""))</f>
        <v/>
      </c>
      <c r="R1737" s="199" t="str">
        <f t="shared" si="397"/>
        <v/>
      </c>
      <c r="S1737" s="199" t="str">
        <f t="shared" si="398"/>
        <v/>
      </c>
      <c r="T1737" s="199" t="str">
        <f t="shared" si="406"/>
        <v/>
      </c>
      <c r="U1737" s="199" t="str">
        <f t="shared" si="399"/>
        <v/>
      </c>
      <c r="V1737" s="989"/>
      <c r="X1737" s="374" t="str">
        <f t="shared" si="400"/>
        <v/>
      </c>
      <c r="Y1737" s="375" t="str">
        <f t="shared" si="401"/>
        <v/>
      </c>
      <c r="Z1737" s="374" t="str">
        <f t="shared" si="402"/>
        <v/>
      </c>
      <c r="AA1737" s="374" t="b">
        <f t="shared" si="403"/>
        <v>1</v>
      </c>
      <c r="AB1737" s="374">
        <f>COUNTIFS(B:B,B1737,H:H,'סיווג התפקידים והעלויות'!$C$2)</f>
        <v>0</v>
      </c>
      <c r="AC1737" s="374">
        <f>COUNTIFS(B:B,B1737,H:H,'סיווג התפקידים והעלויות'!$D$2)</f>
        <v>0</v>
      </c>
      <c r="AD1737" s="374" t="str">
        <f>IF(OR(AND(H1737='סיווג התפקידים והעלויות'!$A$2,I1737='סיווג התפקידים והעלויות'!$A$3),'עלויות כח אדם (6)'!H1737='סיווג התפקידים והעלויות'!$C$2,'עלויות כח אדם (6)'!H1737='סיווג התפקידים והעלויות'!$D$2),IF('עלויות כח אדם (6)'!J1737&lt;75,"לא תקין","תקין"),"")</f>
        <v/>
      </c>
      <c r="AE1737" s="374" t="str">
        <f t="shared" si="404"/>
        <v/>
      </c>
      <c r="AF1737" s="532" t="str">
        <f t="shared" si="405"/>
        <v/>
      </c>
    </row>
    <row r="1738" spans="2:32" x14ac:dyDescent="0.25">
      <c r="B1738" s="695"/>
      <c r="C1738" s="197" t="str">
        <f>IF(B1738&lt;&gt;"",IFERROR(VLOOKUP(B:B,'מצבת והרשמה (2)'!$C$20:$N$520,2,0)," ")," ")</f>
        <v xml:space="preserve"> </v>
      </c>
      <c r="D1738" s="695"/>
      <c r="E1738" s="696"/>
      <c r="F1738" s="696"/>
      <c r="G1738" s="696"/>
      <c r="H1738" s="696"/>
      <c r="I1738" s="1050" t="str">
        <f t="shared" si="392"/>
        <v/>
      </c>
      <c r="J1738" s="696"/>
      <c r="K1738" s="697"/>
      <c r="L1738" s="696"/>
      <c r="M1738" s="198" t="str">
        <f t="shared" si="393"/>
        <v/>
      </c>
      <c r="N1738" s="369" t="str">
        <f t="shared" si="394"/>
        <v/>
      </c>
      <c r="O1738" s="183" t="str">
        <f t="shared" si="395"/>
        <v/>
      </c>
      <c r="P1738" s="199" t="str">
        <f t="shared" si="396"/>
        <v/>
      </c>
      <c r="Q1738" s="199" t="str">
        <f>IF(B1738="","",IFERROR(IF('עלויות כח אדם (6)'!J1738&gt;=VLOOKUP(I1738,'סיווג התפקידים והעלויות'!$B$23:$C$32,2,0),"תקין","לא תקין"),""))</f>
        <v/>
      </c>
      <c r="R1738" s="199" t="str">
        <f t="shared" si="397"/>
        <v/>
      </c>
      <c r="S1738" s="199" t="str">
        <f t="shared" si="398"/>
        <v/>
      </c>
      <c r="T1738" s="199" t="str">
        <f t="shared" si="406"/>
        <v/>
      </c>
      <c r="U1738" s="199" t="str">
        <f t="shared" si="399"/>
        <v/>
      </c>
      <c r="V1738" s="989"/>
      <c r="X1738" s="374" t="str">
        <f t="shared" si="400"/>
        <v/>
      </c>
      <c r="Y1738" s="375" t="str">
        <f t="shared" si="401"/>
        <v/>
      </c>
      <c r="Z1738" s="374" t="str">
        <f t="shared" si="402"/>
        <v/>
      </c>
      <c r="AA1738" s="374" t="b">
        <f t="shared" si="403"/>
        <v>1</v>
      </c>
      <c r="AB1738" s="374">
        <f>COUNTIFS(B:B,B1738,H:H,'סיווג התפקידים והעלויות'!$C$2)</f>
        <v>0</v>
      </c>
      <c r="AC1738" s="374">
        <f>COUNTIFS(B:B,B1738,H:H,'סיווג התפקידים והעלויות'!$D$2)</f>
        <v>0</v>
      </c>
      <c r="AD1738" s="374" t="str">
        <f>IF(OR(AND(H1738='סיווג התפקידים והעלויות'!$A$2,I1738='סיווג התפקידים והעלויות'!$A$3),'עלויות כח אדם (6)'!H1738='סיווג התפקידים והעלויות'!$C$2,'עלויות כח אדם (6)'!H1738='סיווג התפקידים והעלויות'!$D$2),IF('עלויות כח אדם (6)'!J1738&lt;75,"לא תקין","תקין"),"")</f>
        <v/>
      </c>
      <c r="AE1738" s="374" t="str">
        <f t="shared" si="404"/>
        <v/>
      </c>
      <c r="AF1738" s="532" t="str">
        <f t="shared" si="405"/>
        <v/>
      </c>
    </row>
    <row r="1739" spans="2:32" x14ac:dyDescent="0.25">
      <c r="B1739" s="695"/>
      <c r="C1739" s="197" t="str">
        <f>IF(B1739&lt;&gt;"",IFERROR(VLOOKUP(B:B,'מצבת והרשמה (2)'!$C$20:$N$520,2,0)," ")," ")</f>
        <v xml:space="preserve"> </v>
      </c>
      <c r="D1739" s="695"/>
      <c r="E1739" s="696"/>
      <c r="F1739" s="696"/>
      <c r="G1739" s="696"/>
      <c r="H1739" s="696"/>
      <c r="I1739" s="1050" t="str">
        <f t="shared" si="392"/>
        <v/>
      </c>
      <c r="J1739" s="696"/>
      <c r="K1739" s="697"/>
      <c r="L1739" s="696"/>
      <c r="M1739" s="198" t="str">
        <f t="shared" si="393"/>
        <v/>
      </c>
      <c r="N1739" s="369" t="str">
        <f t="shared" si="394"/>
        <v/>
      </c>
      <c r="O1739" s="183" t="str">
        <f t="shared" si="395"/>
        <v/>
      </c>
      <c r="P1739" s="199" t="str">
        <f t="shared" si="396"/>
        <v/>
      </c>
      <c r="Q1739" s="199" t="str">
        <f>IF(B1739="","",IFERROR(IF('עלויות כח אדם (6)'!J1739&gt;=VLOOKUP(I1739,'סיווג התפקידים והעלויות'!$B$23:$C$32,2,0),"תקין","לא תקין"),""))</f>
        <v/>
      </c>
      <c r="R1739" s="199" t="str">
        <f t="shared" si="397"/>
        <v/>
      </c>
      <c r="S1739" s="199" t="str">
        <f t="shared" si="398"/>
        <v/>
      </c>
      <c r="T1739" s="199" t="str">
        <f t="shared" si="406"/>
        <v/>
      </c>
      <c r="U1739" s="199" t="str">
        <f t="shared" si="399"/>
        <v/>
      </c>
      <c r="V1739" s="989"/>
      <c r="X1739" s="374" t="str">
        <f t="shared" si="400"/>
        <v/>
      </c>
      <c r="Y1739" s="375" t="str">
        <f t="shared" si="401"/>
        <v/>
      </c>
      <c r="Z1739" s="374" t="str">
        <f t="shared" si="402"/>
        <v/>
      </c>
      <c r="AA1739" s="374" t="b">
        <f t="shared" si="403"/>
        <v>1</v>
      </c>
      <c r="AB1739" s="374">
        <f>COUNTIFS(B:B,B1739,H:H,'סיווג התפקידים והעלויות'!$C$2)</f>
        <v>0</v>
      </c>
      <c r="AC1739" s="374">
        <f>COUNTIFS(B:B,B1739,H:H,'סיווג התפקידים והעלויות'!$D$2)</f>
        <v>0</v>
      </c>
      <c r="AD1739" s="374" t="str">
        <f>IF(OR(AND(H1739='סיווג התפקידים והעלויות'!$A$2,I1739='סיווג התפקידים והעלויות'!$A$3),'עלויות כח אדם (6)'!H1739='סיווג התפקידים והעלויות'!$C$2,'עלויות כח אדם (6)'!H1739='סיווג התפקידים והעלויות'!$D$2),IF('עלויות כח אדם (6)'!J1739&lt;75,"לא תקין","תקין"),"")</f>
        <v/>
      </c>
      <c r="AE1739" s="374" t="str">
        <f t="shared" si="404"/>
        <v/>
      </c>
      <c r="AF1739" s="532" t="str">
        <f t="shared" si="405"/>
        <v/>
      </c>
    </row>
    <row r="1740" spans="2:32" x14ac:dyDescent="0.25">
      <c r="B1740" s="695"/>
      <c r="C1740" s="197" t="str">
        <f>IF(B1740&lt;&gt;"",IFERROR(VLOOKUP(B:B,'מצבת והרשמה (2)'!$C$20:$N$520,2,0)," ")," ")</f>
        <v xml:space="preserve"> </v>
      </c>
      <c r="D1740" s="695"/>
      <c r="E1740" s="696"/>
      <c r="F1740" s="696"/>
      <c r="G1740" s="696"/>
      <c r="H1740" s="696"/>
      <c r="I1740" s="1050" t="str">
        <f t="shared" si="392"/>
        <v/>
      </c>
      <c r="J1740" s="696"/>
      <c r="K1740" s="697"/>
      <c r="L1740" s="696"/>
      <c r="M1740" s="198" t="str">
        <f t="shared" si="393"/>
        <v/>
      </c>
      <c r="N1740" s="369" t="str">
        <f t="shared" si="394"/>
        <v/>
      </c>
      <c r="O1740" s="183" t="str">
        <f t="shared" si="395"/>
        <v/>
      </c>
      <c r="P1740" s="199" t="str">
        <f t="shared" si="396"/>
        <v/>
      </c>
      <c r="Q1740" s="199" t="str">
        <f>IF(B1740="","",IFERROR(IF('עלויות כח אדם (6)'!J1740&gt;=VLOOKUP(I1740,'סיווג התפקידים והעלויות'!$B$23:$C$32,2,0),"תקין","לא תקין"),""))</f>
        <v/>
      </c>
      <c r="R1740" s="199" t="str">
        <f t="shared" si="397"/>
        <v/>
      </c>
      <c r="S1740" s="199" t="str">
        <f t="shared" si="398"/>
        <v/>
      </c>
      <c r="T1740" s="199" t="str">
        <f t="shared" si="406"/>
        <v/>
      </c>
      <c r="U1740" s="199" t="str">
        <f t="shared" si="399"/>
        <v/>
      </c>
      <c r="V1740" s="989"/>
      <c r="X1740" s="374" t="str">
        <f t="shared" si="400"/>
        <v/>
      </c>
      <c r="Y1740" s="375" t="str">
        <f t="shared" si="401"/>
        <v/>
      </c>
      <c r="Z1740" s="374" t="str">
        <f t="shared" si="402"/>
        <v/>
      </c>
      <c r="AA1740" s="374" t="b">
        <f t="shared" si="403"/>
        <v>1</v>
      </c>
      <c r="AB1740" s="374">
        <f>COUNTIFS(B:B,B1740,H:H,'סיווג התפקידים והעלויות'!$C$2)</f>
        <v>0</v>
      </c>
      <c r="AC1740" s="374">
        <f>COUNTIFS(B:B,B1740,H:H,'סיווג התפקידים והעלויות'!$D$2)</f>
        <v>0</v>
      </c>
      <c r="AD1740" s="374" t="str">
        <f>IF(OR(AND(H1740='סיווג התפקידים והעלויות'!$A$2,I1740='סיווג התפקידים והעלויות'!$A$3),'עלויות כח אדם (6)'!H1740='סיווג התפקידים והעלויות'!$C$2,'עלויות כח אדם (6)'!H1740='סיווג התפקידים והעלויות'!$D$2),IF('עלויות כח אדם (6)'!J1740&lt;75,"לא תקין","תקין"),"")</f>
        <v/>
      </c>
      <c r="AE1740" s="374" t="str">
        <f t="shared" si="404"/>
        <v/>
      </c>
      <c r="AF1740" s="532" t="str">
        <f t="shared" si="405"/>
        <v/>
      </c>
    </row>
    <row r="1741" spans="2:32" x14ac:dyDescent="0.25">
      <c r="B1741" s="695"/>
      <c r="C1741" s="197" t="str">
        <f>IF(B1741&lt;&gt;"",IFERROR(VLOOKUP(B:B,'מצבת והרשמה (2)'!$C$20:$N$520,2,0)," ")," ")</f>
        <v xml:space="preserve"> </v>
      </c>
      <c r="D1741" s="695"/>
      <c r="E1741" s="696"/>
      <c r="F1741" s="696"/>
      <c r="G1741" s="696"/>
      <c r="H1741" s="696"/>
      <c r="I1741" s="1050" t="str">
        <f t="shared" si="392"/>
        <v/>
      </c>
      <c r="J1741" s="696"/>
      <c r="K1741" s="697"/>
      <c r="L1741" s="696"/>
      <c r="M1741" s="198" t="str">
        <f t="shared" si="393"/>
        <v/>
      </c>
      <c r="N1741" s="369" t="str">
        <f t="shared" si="394"/>
        <v/>
      </c>
      <c r="O1741" s="183" t="str">
        <f t="shared" si="395"/>
        <v/>
      </c>
      <c r="P1741" s="199" t="str">
        <f t="shared" si="396"/>
        <v/>
      </c>
      <c r="Q1741" s="199" t="str">
        <f>IF(B1741="","",IFERROR(IF('עלויות כח אדם (6)'!J1741&gt;=VLOOKUP(I1741,'סיווג התפקידים והעלויות'!$B$23:$C$32,2,0),"תקין","לא תקין"),""))</f>
        <v/>
      </c>
      <c r="R1741" s="199" t="str">
        <f t="shared" si="397"/>
        <v/>
      </c>
      <c r="S1741" s="199" t="str">
        <f t="shared" si="398"/>
        <v/>
      </c>
      <c r="T1741" s="199" t="str">
        <f t="shared" si="406"/>
        <v/>
      </c>
      <c r="U1741" s="199" t="str">
        <f t="shared" si="399"/>
        <v/>
      </c>
      <c r="V1741" s="989"/>
      <c r="X1741" s="374" t="str">
        <f t="shared" si="400"/>
        <v/>
      </c>
      <c r="Y1741" s="375" t="str">
        <f t="shared" si="401"/>
        <v/>
      </c>
      <c r="Z1741" s="374" t="str">
        <f t="shared" si="402"/>
        <v/>
      </c>
      <c r="AA1741" s="374" t="b">
        <f t="shared" si="403"/>
        <v>1</v>
      </c>
      <c r="AB1741" s="374">
        <f>COUNTIFS(B:B,B1741,H:H,'סיווג התפקידים והעלויות'!$C$2)</f>
        <v>0</v>
      </c>
      <c r="AC1741" s="374">
        <f>COUNTIFS(B:B,B1741,H:H,'סיווג התפקידים והעלויות'!$D$2)</f>
        <v>0</v>
      </c>
      <c r="AD1741" s="374" t="str">
        <f>IF(OR(AND(H1741='סיווג התפקידים והעלויות'!$A$2,I1741='סיווג התפקידים והעלויות'!$A$3),'עלויות כח אדם (6)'!H1741='סיווג התפקידים והעלויות'!$C$2,'עלויות כח אדם (6)'!H1741='סיווג התפקידים והעלויות'!$D$2),IF('עלויות כח אדם (6)'!J1741&lt;75,"לא תקין","תקין"),"")</f>
        <v/>
      </c>
      <c r="AE1741" s="374" t="str">
        <f t="shared" si="404"/>
        <v/>
      </c>
      <c r="AF1741" s="532" t="str">
        <f t="shared" si="405"/>
        <v/>
      </c>
    </row>
    <row r="1742" spans="2:32" x14ac:dyDescent="0.25">
      <c r="B1742" s="695"/>
      <c r="C1742" s="197" t="str">
        <f>IF(B1742&lt;&gt;"",IFERROR(VLOOKUP(B:B,'מצבת והרשמה (2)'!$C$20:$N$520,2,0)," ")," ")</f>
        <v xml:space="preserve"> </v>
      </c>
      <c r="D1742" s="695"/>
      <c r="E1742" s="696"/>
      <c r="F1742" s="696"/>
      <c r="G1742" s="696"/>
      <c r="H1742" s="696"/>
      <c r="I1742" s="1050" t="str">
        <f t="shared" si="392"/>
        <v/>
      </c>
      <c r="J1742" s="696"/>
      <c r="K1742" s="697"/>
      <c r="L1742" s="696"/>
      <c r="M1742" s="198" t="str">
        <f t="shared" si="393"/>
        <v/>
      </c>
      <c r="N1742" s="369" t="str">
        <f t="shared" si="394"/>
        <v/>
      </c>
      <c r="O1742" s="183" t="str">
        <f t="shared" si="395"/>
        <v/>
      </c>
      <c r="P1742" s="199" t="str">
        <f t="shared" si="396"/>
        <v/>
      </c>
      <c r="Q1742" s="199" t="str">
        <f>IF(B1742="","",IFERROR(IF('עלויות כח אדם (6)'!J1742&gt;=VLOOKUP(I1742,'סיווג התפקידים והעלויות'!$B$23:$C$32,2,0),"תקין","לא תקין"),""))</f>
        <v/>
      </c>
      <c r="R1742" s="199" t="str">
        <f t="shared" si="397"/>
        <v/>
      </c>
      <c r="S1742" s="199" t="str">
        <f t="shared" si="398"/>
        <v/>
      </c>
      <c r="T1742" s="199" t="str">
        <f t="shared" si="406"/>
        <v/>
      </c>
      <c r="U1742" s="199" t="str">
        <f t="shared" si="399"/>
        <v/>
      </c>
      <c r="V1742" s="989"/>
      <c r="X1742" s="374" t="str">
        <f t="shared" si="400"/>
        <v/>
      </c>
      <c r="Y1742" s="375" t="str">
        <f t="shared" si="401"/>
        <v/>
      </c>
      <c r="Z1742" s="374" t="str">
        <f t="shared" si="402"/>
        <v/>
      </c>
      <c r="AA1742" s="374" t="b">
        <f t="shared" si="403"/>
        <v>1</v>
      </c>
      <c r="AB1742" s="374">
        <f>COUNTIFS(B:B,B1742,H:H,'סיווג התפקידים והעלויות'!$C$2)</f>
        <v>0</v>
      </c>
      <c r="AC1742" s="374">
        <f>COUNTIFS(B:B,B1742,H:H,'סיווג התפקידים והעלויות'!$D$2)</f>
        <v>0</v>
      </c>
      <c r="AD1742" s="374" t="str">
        <f>IF(OR(AND(H1742='סיווג התפקידים והעלויות'!$A$2,I1742='סיווג התפקידים והעלויות'!$A$3),'עלויות כח אדם (6)'!H1742='סיווג התפקידים והעלויות'!$C$2,'עלויות כח אדם (6)'!H1742='סיווג התפקידים והעלויות'!$D$2),IF('עלויות כח אדם (6)'!J1742&lt;75,"לא תקין","תקין"),"")</f>
        <v/>
      </c>
      <c r="AE1742" s="374" t="str">
        <f t="shared" si="404"/>
        <v/>
      </c>
      <c r="AF1742" s="532" t="str">
        <f t="shared" si="405"/>
        <v/>
      </c>
    </row>
    <row r="1743" spans="2:32" x14ac:dyDescent="0.25">
      <c r="B1743" s="695"/>
      <c r="C1743" s="197" t="str">
        <f>IF(B1743&lt;&gt;"",IFERROR(VLOOKUP(B:B,'מצבת והרשמה (2)'!$C$20:$N$520,2,0)," ")," ")</f>
        <v xml:space="preserve"> </v>
      </c>
      <c r="D1743" s="695"/>
      <c r="E1743" s="696"/>
      <c r="F1743" s="696"/>
      <c r="G1743" s="696"/>
      <c r="H1743" s="696"/>
      <c r="I1743" s="1050" t="str">
        <f t="shared" ref="I1743:I1806" si="407">SUBSTITUTE(IFERROR(IF(H1743="מדצ","מדצ/ית",IF(H1743="סגנית רכזת מעל 150","סגנ/ית רכז/ת&gt;150",IF(H1743="רכזת תכנית בבית הספר","רכז/ת תכנית בבית הספר"))),""),"FALSE","")</f>
        <v/>
      </c>
      <c r="J1743" s="696"/>
      <c r="K1743" s="697"/>
      <c r="L1743" s="696"/>
      <c r="M1743" s="198" t="str">
        <f t="shared" ref="M1743:M1806" si="408">IF(AND(L1743&gt;0,K1743&gt;0),K1743*L1743,"")</f>
        <v/>
      </c>
      <c r="N1743" s="369" t="str">
        <f t="shared" ref="N1743:N1806" si="409">TEXT(LEFT(H1743,2),0)</f>
        <v/>
      </c>
      <c r="O1743" s="183" t="str">
        <f t="shared" ref="O1743:O1806" si="410">IF(ISNUMBER(M1743&gt;0),IF(ISBLANK(B1743),"יש להזין סמל מוסד בעמודה B",""),"")</f>
        <v/>
      </c>
      <c r="P1743" s="199" t="str">
        <f t="shared" ref="P1743:P1806" si="411">IF(B1743="","",IF(AA1743=FALSE,"לא תקין","תקין"))</f>
        <v/>
      </c>
      <c r="Q1743" s="199" t="str">
        <f>IF(B1743="","",IFERROR(IF('עלויות כח אדם (6)'!J1743&gt;=VLOOKUP(I1743,'סיווג התפקידים והעלויות'!$B$23:$C$32,2,0),"תקין","לא תקין"),""))</f>
        <v/>
      </c>
      <c r="R1743" s="199" t="str">
        <f t="shared" ref="R1743:R1806" si="412">IF(B1743="","",IF(OR(Y1743&lt;100%,Y1743&gt;140%),"לא תקין","תקין"))</f>
        <v/>
      </c>
      <c r="S1743" s="199" t="str">
        <f t="shared" ref="S1743:S1806" si="413">IF(B1743="","",IFERROR(IF(J1743&gt;120,"לא תקין","תקין"),""))</f>
        <v/>
      </c>
      <c r="T1743" s="199" t="str">
        <f t="shared" si="406"/>
        <v/>
      </c>
      <c r="U1743" s="199" t="str">
        <f t="shared" ref="U1743:U1806" si="414">IF(B1743="","",IF(Z1743&gt;1,IF(SUMIF(D:D,D1743,L:L)&gt;90,"לא תקין","תקין"),"תקין"))</f>
        <v/>
      </c>
      <c r="V1743" s="989"/>
      <c r="X1743" s="374" t="str">
        <f t="shared" ref="X1743:X1806" si="415">IF(B1743="","",IF(OR(R1743="לא תקין",S1743="לא תקין",T1743="לא תקין",,U1743="לא תקין"),"לא תקין","תקין"))</f>
        <v/>
      </c>
      <c r="Y1743" s="375" t="str">
        <f t="shared" ref="Y1743:Y1806" si="416">IFERROR(IF(B1743="","",K1743/J1743),"")</f>
        <v/>
      </c>
      <c r="Z1743" s="374" t="str">
        <f t="shared" ref="Z1743:Z1806" si="417">IF(B1743="","",COUNTIF(D:D,D1743))</f>
        <v/>
      </c>
      <c r="AA1743" s="374" t="b">
        <f t="shared" ref="AA1743:AA1806" si="418">MOD(MID(REPT(0,9-LEN(D1743))&amp;D1743,1,1)+MID("0246813579",MID(REPT(0,9-LEN(D1743))&amp;D1743,2,1)+1,1)+MID(REPT(0,9-LEN(D1743))&amp;D1743,3,1)+MID("0246813579",MID(REPT(0,9-LEN(D1743))&amp;D1743,4,1)+1,1)+MID(REPT(0,9-LEN(D1743))&amp;D1743,5,1)+MID("0246813579",MID(REPT(0,9-LEN(D1743))&amp;D1743,6,1)+1,1)+MID(REPT(0,9-LEN(D1743))&amp;D1743,7,1)+MID("0246813579",MID(REPT(0,9-LEN(D1743))&amp;D1743,8,1)+1,1)+MID(REPT(0,9-LEN(D1743))&amp;D1743,9,1),10)=0</f>
        <v>1</v>
      </c>
      <c r="AB1743" s="374">
        <f>COUNTIFS(B:B,B1743,H:H,'סיווג התפקידים והעלויות'!$C$2)</f>
        <v>0</v>
      </c>
      <c r="AC1743" s="374">
        <f>COUNTIFS(B:B,B1743,H:H,'סיווג התפקידים והעלויות'!$D$2)</f>
        <v>0</v>
      </c>
      <c r="AD1743" s="374" t="str">
        <f>IF(OR(AND(H1743='סיווג התפקידים והעלויות'!$A$2,I1743='סיווג התפקידים והעלויות'!$A$3),'עלויות כח אדם (6)'!H1743='סיווג התפקידים והעלויות'!$C$2,'עלויות כח אדם (6)'!H1743='סיווג התפקידים והעלויות'!$D$2),IF('עלויות כח אדם (6)'!J1743&lt;75,"לא תקין","תקין"),"")</f>
        <v/>
      </c>
      <c r="AE1743" s="374" t="str">
        <f t="shared" ref="AE1743:AE1806" si="419">IF(B1743&lt;&gt;"",B1743&amp;H1743,"")</f>
        <v/>
      </c>
      <c r="AF1743" s="532" t="str">
        <f t="shared" ref="AF1743:AF1806" si="420">M1743</f>
        <v/>
      </c>
    </row>
    <row r="1744" spans="2:32" x14ac:dyDescent="0.25">
      <c r="B1744" s="695"/>
      <c r="C1744" s="197" t="str">
        <f>IF(B1744&lt;&gt;"",IFERROR(VLOOKUP(B:B,'מצבת והרשמה (2)'!$C$20:$N$520,2,0)," ")," ")</f>
        <v xml:space="preserve"> </v>
      </c>
      <c r="D1744" s="695"/>
      <c r="E1744" s="696"/>
      <c r="F1744" s="696"/>
      <c r="G1744" s="696"/>
      <c r="H1744" s="696"/>
      <c r="I1744" s="1050" t="str">
        <f t="shared" si="407"/>
        <v/>
      </c>
      <c r="J1744" s="696"/>
      <c r="K1744" s="697"/>
      <c r="L1744" s="696"/>
      <c r="M1744" s="198" t="str">
        <f t="shared" si="408"/>
        <v/>
      </c>
      <c r="N1744" s="369" t="str">
        <f t="shared" si="409"/>
        <v/>
      </c>
      <c r="O1744" s="183" t="str">
        <f t="shared" si="410"/>
        <v/>
      </c>
      <c r="P1744" s="199" t="str">
        <f t="shared" si="411"/>
        <v/>
      </c>
      <c r="Q1744" s="199" t="str">
        <f>IF(B1744="","",IFERROR(IF('עלויות כח אדם (6)'!J1744&gt;=VLOOKUP(I1744,'סיווג התפקידים והעלויות'!$B$23:$C$32,2,0),"תקין","לא תקין"),""))</f>
        <v/>
      </c>
      <c r="R1744" s="199" t="str">
        <f t="shared" si="412"/>
        <v/>
      </c>
      <c r="S1744" s="199" t="str">
        <f t="shared" si="413"/>
        <v/>
      </c>
      <c r="T1744" s="199" t="str">
        <f t="shared" ref="T1744:T1807" si="421">IF(B1744="","",IF(H1744="","יש להזין איש צוות",IF(OR(H1744="מורה",H1744="גננת",H1744="רכז גן",H1744="רכזת גן",H1744="סייעת",H1744="מדצית",H1744="מדצ",H1744="מדריך",H1744="מדריכה",H1744="תוספת כח אדם"),IF(L1744&lt;=90,"תקין","לא תקין"),IF(OR(H1744="רכז בית ספר",H1744="רכזת תכנית בבית הספר",H1744="רכזת בית ספר"),IF(L1744&lt;=137,"תקין","לא תקין"),IF(OR(H1744="סגנית רכזת מעל 150",H1744="סגן רכז"),IF(L1744&lt;=93,"תקין","לא תקין"),"לא תקין")))))</f>
        <v/>
      </c>
      <c r="U1744" s="199" t="str">
        <f t="shared" si="414"/>
        <v/>
      </c>
      <c r="V1744" s="989"/>
      <c r="X1744" s="374" t="str">
        <f t="shared" si="415"/>
        <v/>
      </c>
      <c r="Y1744" s="375" t="str">
        <f t="shared" si="416"/>
        <v/>
      </c>
      <c r="Z1744" s="374" t="str">
        <f t="shared" si="417"/>
        <v/>
      </c>
      <c r="AA1744" s="374" t="b">
        <f t="shared" si="418"/>
        <v>1</v>
      </c>
      <c r="AB1744" s="374">
        <f>COUNTIFS(B:B,B1744,H:H,'סיווג התפקידים והעלויות'!$C$2)</f>
        <v>0</v>
      </c>
      <c r="AC1744" s="374">
        <f>COUNTIFS(B:B,B1744,H:H,'סיווג התפקידים והעלויות'!$D$2)</f>
        <v>0</v>
      </c>
      <c r="AD1744" s="374" t="str">
        <f>IF(OR(AND(H1744='סיווג התפקידים והעלויות'!$A$2,I1744='סיווג התפקידים והעלויות'!$A$3),'עלויות כח אדם (6)'!H1744='סיווג התפקידים והעלויות'!$C$2,'עלויות כח אדם (6)'!H1744='סיווג התפקידים והעלויות'!$D$2),IF('עלויות כח אדם (6)'!J1744&lt;75,"לא תקין","תקין"),"")</f>
        <v/>
      </c>
      <c r="AE1744" s="374" t="str">
        <f t="shared" si="419"/>
        <v/>
      </c>
      <c r="AF1744" s="532" t="str">
        <f t="shared" si="420"/>
        <v/>
      </c>
    </row>
    <row r="1745" spans="2:32" x14ac:dyDescent="0.25">
      <c r="B1745" s="695"/>
      <c r="C1745" s="197" t="str">
        <f>IF(B1745&lt;&gt;"",IFERROR(VLOOKUP(B:B,'מצבת והרשמה (2)'!$C$20:$N$520,2,0)," ")," ")</f>
        <v xml:space="preserve"> </v>
      </c>
      <c r="D1745" s="695"/>
      <c r="E1745" s="696"/>
      <c r="F1745" s="696"/>
      <c r="G1745" s="696"/>
      <c r="H1745" s="696"/>
      <c r="I1745" s="1050" t="str">
        <f t="shared" si="407"/>
        <v/>
      </c>
      <c r="J1745" s="696"/>
      <c r="K1745" s="697"/>
      <c r="L1745" s="696"/>
      <c r="M1745" s="198" t="str">
        <f t="shared" si="408"/>
        <v/>
      </c>
      <c r="N1745" s="369" t="str">
        <f t="shared" si="409"/>
        <v/>
      </c>
      <c r="O1745" s="183" t="str">
        <f t="shared" si="410"/>
        <v/>
      </c>
      <c r="P1745" s="199" t="str">
        <f t="shared" si="411"/>
        <v/>
      </c>
      <c r="Q1745" s="199" t="str">
        <f>IF(B1745="","",IFERROR(IF('עלויות כח אדם (6)'!J1745&gt;=VLOOKUP(I1745,'סיווג התפקידים והעלויות'!$B$23:$C$32,2,0),"תקין","לא תקין"),""))</f>
        <v/>
      </c>
      <c r="R1745" s="199" t="str">
        <f t="shared" si="412"/>
        <v/>
      </c>
      <c r="S1745" s="199" t="str">
        <f t="shared" si="413"/>
        <v/>
      </c>
      <c r="T1745" s="199" t="str">
        <f t="shared" si="421"/>
        <v/>
      </c>
      <c r="U1745" s="199" t="str">
        <f t="shared" si="414"/>
        <v/>
      </c>
      <c r="V1745" s="989"/>
      <c r="X1745" s="374" t="str">
        <f t="shared" si="415"/>
        <v/>
      </c>
      <c r="Y1745" s="375" t="str">
        <f t="shared" si="416"/>
        <v/>
      </c>
      <c r="Z1745" s="374" t="str">
        <f t="shared" si="417"/>
        <v/>
      </c>
      <c r="AA1745" s="374" t="b">
        <f t="shared" si="418"/>
        <v>1</v>
      </c>
      <c r="AB1745" s="374">
        <f>COUNTIFS(B:B,B1745,H:H,'סיווג התפקידים והעלויות'!$C$2)</f>
        <v>0</v>
      </c>
      <c r="AC1745" s="374">
        <f>COUNTIFS(B:B,B1745,H:H,'סיווג התפקידים והעלויות'!$D$2)</f>
        <v>0</v>
      </c>
      <c r="AD1745" s="374" t="str">
        <f>IF(OR(AND(H1745='סיווג התפקידים והעלויות'!$A$2,I1745='סיווג התפקידים והעלויות'!$A$3),'עלויות כח אדם (6)'!H1745='סיווג התפקידים והעלויות'!$C$2,'עלויות כח אדם (6)'!H1745='סיווג התפקידים והעלויות'!$D$2),IF('עלויות כח אדם (6)'!J1745&lt;75,"לא תקין","תקין"),"")</f>
        <v/>
      </c>
      <c r="AE1745" s="374" t="str">
        <f t="shared" si="419"/>
        <v/>
      </c>
      <c r="AF1745" s="532" t="str">
        <f t="shared" si="420"/>
        <v/>
      </c>
    </row>
    <row r="1746" spans="2:32" x14ac:dyDescent="0.25">
      <c r="B1746" s="695"/>
      <c r="C1746" s="197" t="str">
        <f>IF(B1746&lt;&gt;"",IFERROR(VLOOKUP(B:B,'מצבת והרשמה (2)'!$C$20:$N$520,2,0)," ")," ")</f>
        <v xml:space="preserve"> </v>
      </c>
      <c r="D1746" s="695"/>
      <c r="E1746" s="696"/>
      <c r="F1746" s="696"/>
      <c r="G1746" s="696"/>
      <c r="H1746" s="696"/>
      <c r="I1746" s="1050" t="str">
        <f t="shared" si="407"/>
        <v/>
      </c>
      <c r="J1746" s="696"/>
      <c r="K1746" s="697"/>
      <c r="L1746" s="696"/>
      <c r="M1746" s="198" t="str">
        <f t="shared" si="408"/>
        <v/>
      </c>
      <c r="N1746" s="369" t="str">
        <f t="shared" si="409"/>
        <v/>
      </c>
      <c r="O1746" s="183" t="str">
        <f t="shared" si="410"/>
        <v/>
      </c>
      <c r="P1746" s="199" t="str">
        <f t="shared" si="411"/>
        <v/>
      </c>
      <c r="Q1746" s="199" t="str">
        <f>IF(B1746="","",IFERROR(IF('עלויות כח אדם (6)'!J1746&gt;=VLOOKUP(I1746,'סיווג התפקידים והעלויות'!$B$23:$C$32,2,0),"תקין","לא תקין"),""))</f>
        <v/>
      </c>
      <c r="R1746" s="199" t="str">
        <f t="shared" si="412"/>
        <v/>
      </c>
      <c r="S1746" s="199" t="str">
        <f t="shared" si="413"/>
        <v/>
      </c>
      <c r="T1746" s="199" t="str">
        <f t="shared" si="421"/>
        <v/>
      </c>
      <c r="U1746" s="199" t="str">
        <f t="shared" si="414"/>
        <v/>
      </c>
      <c r="V1746" s="989"/>
      <c r="X1746" s="374" t="str">
        <f t="shared" si="415"/>
        <v/>
      </c>
      <c r="Y1746" s="375" t="str">
        <f t="shared" si="416"/>
        <v/>
      </c>
      <c r="Z1746" s="374" t="str">
        <f t="shared" si="417"/>
        <v/>
      </c>
      <c r="AA1746" s="374" t="b">
        <f t="shared" si="418"/>
        <v>1</v>
      </c>
      <c r="AB1746" s="374">
        <f>COUNTIFS(B:B,B1746,H:H,'סיווג התפקידים והעלויות'!$C$2)</f>
        <v>0</v>
      </c>
      <c r="AC1746" s="374">
        <f>COUNTIFS(B:B,B1746,H:H,'סיווג התפקידים והעלויות'!$D$2)</f>
        <v>0</v>
      </c>
      <c r="AD1746" s="374" t="str">
        <f>IF(OR(AND(H1746='סיווג התפקידים והעלויות'!$A$2,I1746='סיווג התפקידים והעלויות'!$A$3),'עלויות כח אדם (6)'!H1746='סיווג התפקידים והעלויות'!$C$2,'עלויות כח אדם (6)'!H1746='סיווג התפקידים והעלויות'!$D$2),IF('עלויות כח אדם (6)'!J1746&lt;75,"לא תקין","תקין"),"")</f>
        <v/>
      </c>
      <c r="AE1746" s="374" t="str">
        <f t="shared" si="419"/>
        <v/>
      </c>
      <c r="AF1746" s="532" t="str">
        <f t="shared" si="420"/>
        <v/>
      </c>
    </row>
    <row r="1747" spans="2:32" x14ac:dyDescent="0.25">
      <c r="B1747" s="695"/>
      <c r="C1747" s="197" t="str">
        <f>IF(B1747&lt;&gt;"",IFERROR(VLOOKUP(B:B,'מצבת והרשמה (2)'!$C$20:$N$520,2,0)," ")," ")</f>
        <v xml:space="preserve"> </v>
      </c>
      <c r="D1747" s="695"/>
      <c r="E1747" s="696"/>
      <c r="F1747" s="696"/>
      <c r="G1747" s="696"/>
      <c r="H1747" s="696"/>
      <c r="I1747" s="1050" t="str">
        <f t="shared" si="407"/>
        <v/>
      </c>
      <c r="J1747" s="696"/>
      <c r="K1747" s="697"/>
      <c r="L1747" s="696"/>
      <c r="M1747" s="198" t="str">
        <f t="shared" si="408"/>
        <v/>
      </c>
      <c r="N1747" s="369" t="str">
        <f t="shared" si="409"/>
        <v/>
      </c>
      <c r="O1747" s="183" t="str">
        <f t="shared" si="410"/>
        <v/>
      </c>
      <c r="P1747" s="199" t="str">
        <f t="shared" si="411"/>
        <v/>
      </c>
      <c r="Q1747" s="199" t="str">
        <f>IF(B1747="","",IFERROR(IF('עלויות כח אדם (6)'!J1747&gt;=VLOOKUP(I1747,'סיווג התפקידים והעלויות'!$B$23:$C$32,2,0),"תקין","לא תקין"),""))</f>
        <v/>
      </c>
      <c r="R1747" s="199" t="str">
        <f t="shared" si="412"/>
        <v/>
      </c>
      <c r="S1747" s="199" t="str">
        <f t="shared" si="413"/>
        <v/>
      </c>
      <c r="T1747" s="199" t="str">
        <f t="shared" si="421"/>
        <v/>
      </c>
      <c r="U1747" s="199" t="str">
        <f t="shared" si="414"/>
        <v/>
      </c>
      <c r="V1747" s="989"/>
      <c r="X1747" s="374" t="str">
        <f t="shared" si="415"/>
        <v/>
      </c>
      <c r="Y1747" s="375" t="str">
        <f t="shared" si="416"/>
        <v/>
      </c>
      <c r="Z1747" s="374" t="str">
        <f t="shared" si="417"/>
        <v/>
      </c>
      <c r="AA1747" s="374" t="b">
        <f t="shared" si="418"/>
        <v>1</v>
      </c>
      <c r="AB1747" s="374">
        <f>COUNTIFS(B:B,B1747,H:H,'סיווג התפקידים והעלויות'!$C$2)</f>
        <v>0</v>
      </c>
      <c r="AC1747" s="374">
        <f>COUNTIFS(B:B,B1747,H:H,'סיווג התפקידים והעלויות'!$D$2)</f>
        <v>0</v>
      </c>
      <c r="AD1747" s="374" t="str">
        <f>IF(OR(AND(H1747='סיווג התפקידים והעלויות'!$A$2,I1747='סיווג התפקידים והעלויות'!$A$3),'עלויות כח אדם (6)'!H1747='סיווג התפקידים והעלויות'!$C$2,'עלויות כח אדם (6)'!H1747='סיווג התפקידים והעלויות'!$D$2),IF('עלויות כח אדם (6)'!J1747&lt;75,"לא תקין","תקין"),"")</f>
        <v/>
      </c>
      <c r="AE1747" s="374" t="str">
        <f t="shared" si="419"/>
        <v/>
      </c>
      <c r="AF1747" s="532" t="str">
        <f t="shared" si="420"/>
        <v/>
      </c>
    </row>
    <row r="1748" spans="2:32" x14ac:dyDescent="0.25">
      <c r="B1748" s="695"/>
      <c r="C1748" s="197" t="str">
        <f>IF(B1748&lt;&gt;"",IFERROR(VLOOKUP(B:B,'מצבת והרשמה (2)'!$C$20:$N$520,2,0)," ")," ")</f>
        <v xml:space="preserve"> </v>
      </c>
      <c r="D1748" s="695"/>
      <c r="E1748" s="696"/>
      <c r="F1748" s="696"/>
      <c r="G1748" s="696"/>
      <c r="H1748" s="696"/>
      <c r="I1748" s="1050" t="str">
        <f t="shared" si="407"/>
        <v/>
      </c>
      <c r="J1748" s="696"/>
      <c r="K1748" s="697"/>
      <c r="L1748" s="696"/>
      <c r="M1748" s="198" t="str">
        <f t="shared" si="408"/>
        <v/>
      </c>
      <c r="N1748" s="369" t="str">
        <f t="shared" si="409"/>
        <v/>
      </c>
      <c r="O1748" s="183" t="str">
        <f t="shared" si="410"/>
        <v/>
      </c>
      <c r="P1748" s="199" t="str">
        <f t="shared" si="411"/>
        <v/>
      </c>
      <c r="Q1748" s="199" t="str">
        <f>IF(B1748="","",IFERROR(IF('עלויות כח אדם (6)'!J1748&gt;=VLOOKUP(I1748,'סיווג התפקידים והעלויות'!$B$23:$C$32,2,0),"תקין","לא תקין"),""))</f>
        <v/>
      </c>
      <c r="R1748" s="199" t="str">
        <f t="shared" si="412"/>
        <v/>
      </c>
      <c r="S1748" s="199" t="str">
        <f t="shared" si="413"/>
        <v/>
      </c>
      <c r="T1748" s="199" t="str">
        <f t="shared" si="421"/>
        <v/>
      </c>
      <c r="U1748" s="199" t="str">
        <f t="shared" si="414"/>
        <v/>
      </c>
      <c r="V1748" s="989"/>
      <c r="X1748" s="374" t="str">
        <f t="shared" si="415"/>
        <v/>
      </c>
      <c r="Y1748" s="375" t="str">
        <f t="shared" si="416"/>
        <v/>
      </c>
      <c r="Z1748" s="374" t="str">
        <f t="shared" si="417"/>
        <v/>
      </c>
      <c r="AA1748" s="374" t="b">
        <f t="shared" si="418"/>
        <v>1</v>
      </c>
      <c r="AB1748" s="374">
        <f>COUNTIFS(B:B,B1748,H:H,'סיווג התפקידים והעלויות'!$C$2)</f>
        <v>0</v>
      </c>
      <c r="AC1748" s="374">
        <f>COUNTIFS(B:B,B1748,H:H,'סיווג התפקידים והעלויות'!$D$2)</f>
        <v>0</v>
      </c>
      <c r="AD1748" s="374" t="str">
        <f>IF(OR(AND(H1748='סיווג התפקידים והעלויות'!$A$2,I1748='סיווג התפקידים והעלויות'!$A$3),'עלויות כח אדם (6)'!H1748='סיווג התפקידים והעלויות'!$C$2,'עלויות כח אדם (6)'!H1748='סיווג התפקידים והעלויות'!$D$2),IF('עלויות כח אדם (6)'!J1748&lt;75,"לא תקין","תקין"),"")</f>
        <v/>
      </c>
      <c r="AE1748" s="374" t="str">
        <f t="shared" si="419"/>
        <v/>
      </c>
      <c r="AF1748" s="532" t="str">
        <f t="shared" si="420"/>
        <v/>
      </c>
    </row>
    <row r="1749" spans="2:32" x14ac:dyDescent="0.25">
      <c r="B1749" s="695"/>
      <c r="C1749" s="197" t="str">
        <f>IF(B1749&lt;&gt;"",IFERROR(VLOOKUP(B:B,'מצבת והרשמה (2)'!$C$20:$N$520,2,0)," ")," ")</f>
        <v xml:space="preserve"> </v>
      </c>
      <c r="D1749" s="695"/>
      <c r="E1749" s="696"/>
      <c r="F1749" s="696"/>
      <c r="G1749" s="696"/>
      <c r="H1749" s="696"/>
      <c r="I1749" s="1050" t="str">
        <f t="shared" si="407"/>
        <v/>
      </c>
      <c r="J1749" s="696"/>
      <c r="K1749" s="697"/>
      <c r="L1749" s="696"/>
      <c r="M1749" s="198" t="str">
        <f t="shared" si="408"/>
        <v/>
      </c>
      <c r="N1749" s="369" t="str">
        <f t="shared" si="409"/>
        <v/>
      </c>
      <c r="O1749" s="183" t="str">
        <f t="shared" si="410"/>
        <v/>
      </c>
      <c r="P1749" s="199" t="str">
        <f t="shared" si="411"/>
        <v/>
      </c>
      <c r="Q1749" s="199" t="str">
        <f>IF(B1749="","",IFERROR(IF('עלויות כח אדם (6)'!J1749&gt;=VLOOKUP(I1749,'סיווג התפקידים והעלויות'!$B$23:$C$32,2,0),"תקין","לא תקין"),""))</f>
        <v/>
      </c>
      <c r="R1749" s="199" t="str">
        <f t="shared" si="412"/>
        <v/>
      </c>
      <c r="S1749" s="199" t="str">
        <f t="shared" si="413"/>
        <v/>
      </c>
      <c r="T1749" s="199" t="str">
        <f t="shared" si="421"/>
        <v/>
      </c>
      <c r="U1749" s="199" t="str">
        <f t="shared" si="414"/>
        <v/>
      </c>
      <c r="V1749" s="989"/>
      <c r="X1749" s="374" t="str">
        <f t="shared" si="415"/>
        <v/>
      </c>
      <c r="Y1749" s="375" t="str">
        <f t="shared" si="416"/>
        <v/>
      </c>
      <c r="Z1749" s="374" t="str">
        <f t="shared" si="417"/>
        <v/>
      </c>
      <c r="AA1749" s="374" t="b">
        <f t="shared" si="418"/>
        <v>1</v>
      </c>
      <c r="AB1749" s="374">
        <f>COUNTIFS(B:B,B1749,H:H,'סיווג התפקידים והעלויות'!$C$2)</f>
        <v>0</v>
      </c>
      <c r="AC1749" s="374">
        <f>COUNTIFS(B:B,B1749,H:H,'סיווג התפקידים והעלויות'!$D$2)</f>
        <v>0</v>
      </c>
      <c r="AD1749" s="374" t="str">
        <f>IF(OR(AND(H1749='סיווג התפקידים והעלויות'!$A$2,I1749='סיווג התפקידים והעלויות'!$A$3),'עלויות כח אדם (6)'!H1749='סיווג התפקידים והעלויות'!$C$2,'עלויות כח אדם (6)'!H1749='סיווג התפקידים והעלויות'!$D$2),IF('עלויות כח אדם (6)'!J1749&lt;75,"לא תקין","תקין"),"")</f>
        <v/>
      </c>
      <c r="AE1749" s="374" t="str">
        <f t="shared" si="419"/>
        <v/>
      </c>
      <c r="AF1749" s="532" t="str">
        <f t="shared" si="420"/>
        <v/>
      </c>
    </row>
    <row r="1750" spans="2:32" x14ac:dyDescent="0.25">
      <c r="B1750" s="695"/>
      <c r="C1750" s="197" t="str">
        <f>IF(B1750&lt;&gt;"",IFERROR(VLOOKUP(B:B,'מצבת והרשמה (2)'!$C$20:$N$520,2,0)," ")," ")</f>
        <v xml:space="preserve"> </v>
      </c>
      <c r="D1750" s="695"/>
      <c r="E1750" s="696"/>
      <c r="F1750" s="696"/>
      <c r="G1750" s="696"/>
      <c r="H1750" s="696"/>
      <c r="I1750" s="1050" t="str">
        <f t="shared" si="407"/>
        <v/>
      </c>
      <c r="J1750" s="696"/>
      <c r="K1750" s="697"/>
      <c r="L1750" s="696"/>
      <c r="M1750" s="198" t="str">
        <f t="shared" si="408"/>
        <v/>
      </c>
      <c r="N1750" s="369" t="str">
        <f t="shared" si="409"/>
        <v/>
      </c>
      <c r="O1750" s="183" t="str">
        <f t="shared" si="410"/>
        <v/>
      </c>
      <c r="P1750" s="199" t="str">
        <f t="shared" si="411"/>
        <v/>
      </c>
      <c r="Q1750" s="199" t="str">
        <f>IF(B1750="","",IFERROR(IF('עלויות כח אדם (6)'!J1750&gt;=VLOOKUP(I1750,'סיווג התפקידים והעלויות'!$B$23:$C$32,2,0),"תקין","לא תקין"),""))</f>
        <v/>
      </c>
      <c r="R1750" s="199" t="str">
        <f t="shared" si="412"/>
        <v/>
      </c>
      <c r="S1750" s="199" t="str">
        <f t="shared" si="413"/>
        <v/>
      </c>
      <c r="T1750" s="199" t="str">
        <f t="shared" si="421"/>
        <v/>
      </c>
      <c r="U1750" s="199" t="str">
        <f t="shared" si="414"/>
        <v/>
      </c>
      <c r="V1750" s="989"/>
      <c r="X1750" s="374" t="str">
        <f t="shared" si="415"/>
        <v/>
      </c>
      <c r="Y1750" s="375" t="str">
        <f t="shared" si="416"/>
        <v/>
      </c>
      <c r="Z1750" s="374" t="str">
        <f t="shared" si="417"/>
        <v/>
      </c>
      <c r="AA1750" s="374" t="b">
        <f t="shared" si="418"/>
        <v>1</v>
      </c>
      <c r="AB1750" s="374">
        <f>COUNTIFS(B:B,B1750,H:H,'סיווג התפקידים והעלויות'!$C$2)</f>
        <v>0</v>
      </c>
      <c r="AC1750" s="374">
        <f>COUNTIFS(B:B,B1750,H:H,'סיווג התפקידים והעלויות'!$D$2)</f>
        <v>0</v>
      </c>
      <c r="AD1750" s="374" t="str">
        <f>IF(OR(AND(H1750='סיווג התפקידים והעלויות'!$A$2,I1750='סיווג התפקידים והעלויות'!$A$3),'עלויות כח אדם (6)'!H1750='סיווג התפקידים והעלויות'!$C$2,'עלויות כח אדם (6)'!H1750='סיווג התפקידים והעלויות'!$D$2),IF('עלויות כח אדם (6)'!J1750&lt;75,"לא תקין","תקין"),"")</f>
        <v/>
      </c>
      <c r="AE1750" s="374" t="str">
        <f t="shared" si="419"/>
        <v/>
      </c>
      <c r="AF1750" s="532" t="str">
        <f t="shared" si="420"/>
        <v/>
      </c>
    </row>
    <row r="1751" spans="2:32" x14ac:dyDescent="0.25">
      <c r="B1751" s="695"/>
      <c r="C1751" s="197" t="str">
        <f>IF(B1751&lt;&gt;"",IFERROR(VLOOKUP(B:B,'מצבת והרשמה (2)'!$C$20:$N$520,2,0)," ")," ")</f>
        <v xml:space="preserve"> </v>
      </c>
      <c r="D1751" s="695"/>
      <c r="E1751" s="696"/>
      <c r="F1751" s="696"/>
      <c r="G1751" s="696"/>
      <c r="H1751" s="696"/>
      <c r="I1751" s="1050" t="str">
        <f t="shared" si="407"/>
        <v/>
      </c>
      <c r="J1751" s="696"/>
      <c r="K1751" s="697"/>
      <c r="L1751" s="696"/>
      <c r="M1751" s="198" t="str">
        <f t="shared" si="408"/>
        <v/>
      </c>
      <c r="N1751" s="369" t="str">
        <f t="shared" si="409"/>
        <v/>
      </c>
      <c r="O1751" s="183" t="str">
        <f t="shared" si="410"/>
        <v/>
      </c>
      <c r="P1751" s="199" t="str">
        <f t="shared" si="411"/>
        <v/>
      </c>
      <c r="Q1751" s="199" t="str">
        <f>IF(B1751="","",IFERROR(IF('עלויות כח אדם (6)'!J1751&gt;=VLOOKUP(I1751,'סיווג התפקידים והעלויות'!$B$23:$C$32,2,0),"תקין","לא תקין"),""))</f>
        <v/>
      </c>
      <c r="R1751" s="199" t="str">
        <f t="shared" si="412"/>
        <v/>
      </c>
      <c r="S1751" s="199" t="str">
        <f t="shared" si="413"/>
        <v/>
      </c>
      <c r="T1751" s="199" t="str">
        <f t="shared" si="421"/>
        <v/>
      </c>
      <c r="U1751" s="199" t="str">
        <f t="shared" si="414"/>
        <v/>
      </c>
      <c r="V1751" s="989"/>
      <c r="X1751" s="374" t="str">
        <f t="shared" si="415"/>
        <v/>
      </c>
      <c r="Y1751" s="375" t="str">
        <f t="shared" si="416"/>
        <v/>
      </c>
      <c r="Z1751" s="374" t="str">
        <f t="shared" si="417"/>
        <v/>
      </c>
      <c r="AA1751" s="374" t="b">
        <f t="shared" si="418"/>
        <v>1</v>
      </c>
      <c r="AB1751" s="374">
        <f>COUNTIFS(B:B,B1751,H:H,'סיווג התפקידים והעלויות'!$C$2)</f>
        <v>0</v>
      </c>
      <c r="AC1751" s="374">
        <f>COUNTIFS(B:B,B1751,H:H,'סיווג התפקידים והעלויות'!$D$2)</f>
        <v>0</v>
      </c>
      <c r="AD1751" s="374" t="str">
        <f>IF(OR(AND(H1751='סיווג התפקידים והעלויות'!$A$2,I1751='סיווג התפקידים והעלויות'!$A$3),'עלויות כח אדם (6)'!H1751='סיווג התפקידים והעלויות'!$C$2,'עלויות כח אדם (6)'!H1751='סיווג התפקידים והעלויות'!$D$2),IF('עלויות כח אדם (6)'!J1751&lt;75,"לא תקין","תקין"),"")</f>
        <v/>
      </c>
      <c r="AE1751" s="374" t="str">
        <f t="shared" si="419"/>
        <v/>
      </c>
      <c r="AF1751" s="532" t="str">
        <f t="shared" si="420"/>
        <v/>
      </c>
    </row>
    <row r="1752" spans="2:32" x14ac:dyDescent="0.25">
      <c r="B1752" s="695"/>
      <c r="C1752" s="197" t="str">
        <f>IF(B1752&lt;&gt;"",IFERROR(VLOOKUP(B:B,'מצבת והרשמה (2)'!$C$20:$N$520,2,0)," ")," ")</f>
        <v xml:space="preserve"> </v>
      </c>
      <c r="D1752" s="695"/>
      <c r="E1752" s="696"/>
      <c r="F1752" s="696"/>
      <c r="G1752" s="696"/>
      <c r="H1752" s="696"/>
      <c r="I1752" s="1050" t="str">
        <f t="shared" si="407"/>
        <v/>
      </c>
      <c r="J1752" s="696"/>
      <c r="K1752" s="697"/>
      <c r="L1752" s="696"/>
      <c r="M1752" s="198" t="str">
        <f t="shared" si="408"/>
        <v/>
      </c>
      <c r="N1752" s="369" t="str">
        <f t="shared" si="409"/>
        <v/>
      </c>
      <c r="O1752" s="183" t="str">
        <f t="shared" si="410"/>
        <v/>
      </c>
      <c r="P1752" s="199" t="str">
        <f t="shared" si="411"/>
        <v/>
      </c>
      <c r="Q1752" s="199" t="str">
        <f>IF(B1752="","",IFERROR(IF('עלויות כח אדם (6)'!J1752&gt;=VLOOKUP(I1752,'סיווג התפקידים והעלויות'!$B$23:$C$32,2,0),"תקין","לא תקין"),""))</f>
        <v/>
      </c>
      <c r="R1752" s="199" t="str">
        <f t="shared" si="412"/>
        <v/>
      </c>
      <c r="S1752" s="199" t="str">
        <f t="shared" si="413"/>
        <v/>
      </c>
      <c r="T1752" s="199" t="str">
        <f t="shared" si="421"/>
        <v/>
      </c>
      <c r="U1752" s="199" t="str">
        <f t="shared" si="414"/>
        <v/>
      </c>
      <c r="V1752" s="989"/>
      <c r="X1752" s="374" t="str">
        <f t="shared" si="415"/>
        <v/>
      </c>
      <c r="Y1752" s="375" t="str">
        <f t="shared" si="416"/>
        <v/>
      </c>
      <c r="Z1752" s="374" t="str">
        <f t="shared" si="417"/>
        <v/>
      </c>
      <c r="AA1752" s="374" t="b">
        <f t="shared" si="418"/>
        <v>1</v>
      </c>
      <c r="AB1752" s="374">
        <f>COUNTIFS(B:B,B1752,H:H,'סיווג התפקידים והעלויות'!$C$2)</f>
        <v>0</v>
      </c>
      <c r="AC1752" s="374">
        <f>COUNTIFS(B:B,B1752,H:H,'סיווג התפקידים והעלויות'!$D$2)</f>
        <v>0</v>
      </c>
      <c r="AD1752" s="374" t="str">
        <f>IF(OR(AND(H1752='סיווג התפקידים והעלויות'!$A$2,I1752='סיווג התפקידים והעלויות'!$A$3),'עלויות כח אדם (6)'!H1752='סיווג התפקידים והעלויות'!$C$2,'עלויות כח אדם (6)'!H1752='סיווג התפקידים והעלויות'!$D$2),IF('עלויות כח אדם (6)'!J1752&lt;75,"לא תקין","תקין"),"")</f>
        <v/>
      </c>
      <c r="AE1752" s="374" t="str">
        <f t="shared" si="419"/>
        <v/>
      </c>
      <c r="AF1752" s="532" t="str">
        <f t="shared" si="420"/>
        <v/>
      </c>
    </row>
    <row r="1753" spans="2:32" x14ac:dyDescent="0.25">
      <c r="B1753" s="695"/>
      <c r="C1753" s="197" t="str">
        <f>IF(B1753&lt;&gt;"",IFERROR(VLOOKUP(B:B,'מצבת והרשמה (2)'!$C$20:$N$520,2,0)," ")," ")</f>
        <v xml:space="preserve"> </v>
      </c>
      <c r="D1753" s="695"/>
      <c r="E1753" s="696"/>
      <c r="F1753" s="696"/>
      <c r="G1753" s="696"/>
      <c r="H1753" s="696"/>
      <c r="I1753" s="1050" t="str">
        <f t="shared" si="407"/>
        <v/>
      </c>
      <c r="J1753" s="696"/>
      <c r="K1753" s="697"/>
      <c r="L1753" s="696"/>
      <c r="M1753" s="198" t="str">
        <f t="shared" si="408"/>
        <v/>
      </c>
      <c r="N1753" s="369" t="str">
        <f t="shared" si="409"/>
        <v/>
      </c>
      <c r="O1753" s="183" t="str">
        <f t="shared" si="410"/>
        <v/>
      </c>
      <c r="P1753" s="199" t="str">
        <f t="shared" si="411"/>
        <v/>
      </c>
      <c r="Q1753" s="199" t="str">
        <f>IF(B1753="","",IFERROR(IF('עלויות כח אדם (6)'!J1753&gt;=VLOOKUP(I1753,'סיווג התפקידים והעלויות'!$B$23:$C$32,2,0),"תקין","לא תקין"),""))</f>
        <v/>
      </c>
      <c r="R1753" s="199" t="str">
        <f t="shared" si="412"/>
        <v/>
      </c>
      <c r="S1753" s="199" t="str">
        <f t="shared" si="413"/>
        <v/>
      </c>
      <c r="T1753" s="199" t="str">
        <f t="shared" si="421"/>
        <v/>
      </c>
      <c r="U1753" s="199" t="str">
        <f t="shared" si="414"/>
        <v/>
      </c>
      <c r="V1753" s="989"/>
      <c r="X1753" s="374" t="str">
        <f t="shared" si="415"/>
        <v/>
      </c>
      <c r="Y1753" s="375" t="str">
        <f t="shared" si="416"/>
        <v/>
      </c>
      <c r="Z1753" s="374" t="str">
        <f t="shared" si="417"/>
        <v/>
      </c>
      <c r="AA1753" s="374" t="b">
        <f t="shared" si="418"/>
        <v>1</v>
      </c>
      <c r="AB1753" s="374">
        <f>COUNTIFS(B:B,B1753,H:H,'סיווג התפקידים והעלויות'!$C$2)</f>
        <v>0</v>
      </c>
      <c r="AC1753" s="374">
        <f>COUNTIFS(B:B,B1753,H:H,'סיווג התפקידים והעלויות'!$D$2)</f>
        <v>0</v>
      </c>
      <c r="AD1753" s="374" t="str">
        <f>IF(OR(AND(H1753='סיווג התפקידים והעלויות'!$A$2,I1753='סיווג התפקידים והעלויות'!$A$3),'עלויות כח אדם (6)'!H1753='סיווג התפקידים והעלויות'!$C$2,'עלויות כח אדם (6)'!H1753='סיווג התפקידים והעלויות'!$D$2),IF('עלויות כח אדם (6)'!J1753&lt;75,"לא תקין","תקין"),"")</f>
        <v/>
      </c>
      <c r="AE1753" s="374" t="str">
        <f t="shared" si="419"/>
        <v/>
      </c>
      <c r="AF1753" s="532" t="str">
        <f t="shared" si="420"/>
        <v/>
      </c>
    </row>
    <row r="1754" spans="2:32" x14ac:dyDescent="0.25">
      <c r="B1754" s="695"/>
      <c r="C1754" s="197" t="str">
        <f>IF(B1754&lt;&gt;"",IFERROR(VLOOKUP(B:B,'מצבת והרשמה (2)'!$C$20:$N$520,2,0)," ")," ")</f>
        <v xml:space="preserve"> </v>
      </c>
      <c r="D1754" s="695"/>
      <c r="E1754" s="696"/>
      <c r="F1754" s="696"/>
      <c r="G1754" s="696"/>
      <c r="H1754" s="696"/>
      <c r="I1754" s="1050" t="str">
        <f t="shared" si="407"/>
        <v/>
      </c>
      <c r="J1754" s="696"/>
      <c r="K1754" s="697"/>
      <c r="L1754" s="696"/>
      <c r="M1754" s="198" t="str">
        <f t="shared" si="408"/>
        <v/>
      </c>
      <c r="N1754" s="369" t="str">
        <f t="shared" si="409"/>
        <v/>
      </c>
      <c r="O1754" s="183" t="str">
        <f t="shared" si="410"/>
        <v/>
      </c>
      <c r="P1754" s="199" t="str">
        <f t="shared" si="411"/>
        <v/>
      </c>
      <c r="Q1754" s="199" t="str">
        <f>IF(B1754="","",IFERROR(IF('עלויות כח אדם (6)'!J1754&gt;=VLOOKUP(I1754,'סיווג התפקידים והעלויות'!$B$23:$C$32,2,0),"תקין","לא תקין"),""))</f>
        <v/>
      </c>
      <c r="R1754" s="199" t="str">
        <f t="shared" si="412"/>
        <v/>
      </c>
      <c r="S1754" s="199" t="str">
        <f t="shared" si="413"/>
        <v/>
      </c>
      <c r="T1754" s="199" t="str">
        <f t="shared" si="421"/>
        <v/>
      </c>
      <c r="U1754" s="199" t="str">
        <f t="shared" si="414"/>
        <v/>
      </c>
      <c r="V1754" s="989"/>
      <c r="X1754" s="374" t="str">
        <f t="shared" si="415"/>
        <v/>
      </c>
      <c r="Y1754" s="375" t="str">
        <f t="shared" si="416"/>
        <v/>
      </c>
      <c r="Z1754" s="374" t="str">
        <f t="shared" si="417"/>
        <v/>
      </c>
      <c r="AA1754" s="374" t="b">
        <f t="shared" si="418"/>
        <v>1</v>
      </c>
      <c r="AB1754" s="374">
        <f>COUNTIFS(B:B,B1754,H:H,'סיווג התפקידים והעלויות'!$C$2)</f>
        <v>0</v>
      </c>
      <c r="AC1754" s="374">
        <f>COUNTIFS(B:B,B1754,H:H,'סיווג התפקידים והעלויות'!$D$2)</f>
        <v>0</v>
      </c>
      <c r="AD1754" s="374" t="str">
        <f>IF(OR(AND(H1754='סיווג התפקידים והעלויות'!$A$2,I1754='סיווג התפקידים והעלויות'!$A$3),'עלויות כח אדם (6)'!H1754='סיווג התפקידים והעלויות'!$C$2,'עלויות כח אדם (6)'!H1754='סיווג התפקידים והעלויות'!$D$2),IF('עלויות כח אדם (6)'!J1754&lt;75,"לא תקין","תקין"),"")</f>
        <v/>
      </c>
      <c r="AE1754" s="374" t="str">
        <f t="shared" si="419"/>
        <v/>
      </c>
      <c r="AF1754" s="532" t="str">
        <f t="shared" si="420"/>
        <v/>
      </c>
    </row>
    <row r="1755" spans="2:32" x14ac:dyDescent="0.25">
      <c r="B1755" s="695"/>
      <c r="C1755" s="197" t="str">
        <f>IF(B1755&lt;&gt;"",IFERROR(VLOOKUP(B:B,'מצבת והרשמה (2)'!$C$20:$N$520,2,0)," ")," ")</f>
        <v xml:space="preserve"> </v>
      </c>
      <c r="D1755" s="695"/>
      <c r="E1755" s="696"/>
      <c r="F1755" s="696"/>
      <c r="G1755" s="696"/>
      <c r="H1755" s="696"/>
      <c r="I1755" s="1050" t="str">
        <f t="shared" si="407"/>
        <v/>
      </c>
      <c r="J1755" s="696"/>
      <c r="K1755" s="697"/>
      <c r="L1755" s="696"/>
      <c r="M1755" s="198" t="str">
        <f t="shared" si="408"/>
        <v/>
      </c>
      <c r="N1755" s="369" t="str">
        <f t="shared" si="409"/>
        <v/>
      </c>
      <c r="O1755" s="183" t="str">
        <f t="shared" si="410"/>
        <v/>
      </c>
      <c r="P1755" s="199" t="str">
        <f t="shared" si="411"/>
        <v/>
      </c>
      <c r="Q1755" s="199" t="str">
        <f>IF(B1755="","",IFERROR(IF('עלויות כח אדם (6)'!J1755&gt;=VLOOKUP(I1755,'סיווג התפקידים והעלויות'!$B$23:$C$32,2,0),"תקין","לא תקין"),""))</f>
        <v/>
      </c>
      <c r="R1755" s="199" t="str">
        <f t="shared" si="412"/>
        <v/>
      </c>
      <c r="S1755" s="199" t="str">
        <f t="shared" si="413"/>
        <v/>
      </c>
      <c r="T1755" s="199" t="str">
        <f t="shared" si="421"/>
        <v/>
      </c>
      <c r="U1755" s="199" t="str">
        <f t="shared" si="414"/>
        <v/>
      </c>
      <c r="V1755" s="989"/>
      <c r="X1755" s="374" t="str">
        <f t="shared" si="415"/>
        <v/>
      </c>
      <c r="Y1755" s="375" t="str">
        <f t="shared" si="416"/>
        <v/>
      </c>
      <c r="Z1755" s="374" t="str">
        <f t="shared" si="417"/>
        <v/>
      </c>
      <c r="AA1755" s="374" t="b">
        <f t="shared" si="418"/>
        <v>1</v>
      </c>
      <c r="AB1755" s="374">
        <f>COUNTIFS(B:B,B1755,H:H,'סיווג התפקידים והעלויות'!$C$2)</f>
        <v>0</v>
      </c>
      <c r="AC1755" s="374">
        <f>COUNTIFS(B:B,B1755,H:H,'סיווג התפקידים והעלויות'!$D$2)</f>
        <v>0</v>
      </c>
      <c r="AD1755" s="374" t="str">
        <f>IF(OR(AND(H1755='סיווג התפקידים והעלויות'!$A$2,I1755='סיווג התפקידים והעלויות'!$A$3),'עלויות כח אדם (6)'!H1755='סיווג התפקידים והעלויות'!$C$2,'עלויות כח אדם (6)'!H1755='סיווג התפקידים והעלויות'!$D$2),IF('עלויות כח אדם (6)'!J1755&lt;75,"לא תקין","תקין"),"")</f>
        <v/>
      </c>
      <c r="AE1755" s="374" t="str">
        <f t="shared" si="419"/>
        <v/>
      </c>
      <c r="AF1755" s="532" t="str">
        <f t="shared" si="420"/>
        <v/>
      </c>
    </row>
    <row r="1756" spans="2:32" x14ac:dyDescent="0.25">
      <c r="B1756" s="695"/>
      <c r="C1756" s="197" t="str">
        <f>IF(B1756&lt;&gt;"",IFERROR(VLOOKUP(B:B,'מצבת והרשמה (2)'!$C$20:$N$520,2,0)," ")," ")</f>
        <v xml:space="preserve"> </v>
      </c>
      <c r="D1756" s="695"/>
      <c r="E1756" s="696"/>
      <c r="F1756" s="696"/>
      <c r="G1756" s="696"/>
      <c r="H1756" s="696"/>
      <c r="I1756" s="1050" t="str">
        <f t="shared" si="407"/>
        <v/>
      </c>
      <c r="J1756" s="696"/>
      <c r="K1756" s="697"/>
      <c r="L1756" s="696"/>
      <c r="M1756" s="198" t="str">
        <f t="shared" si="408"/>
        <v/>
      </c>
      <c r="N1756" s="369" t="str">
        <f t="shared" si="409"/>
        <v/>
      </c>
      <c r="O1756" s="183" t="str">
        <f t="shared" si="410"/>
        <v/>
      </c>
      <c r="P1756" s="199" t="str">
        <f t="shared" si="411"/>
        <v/>
      </c>
      <c r="Q1756" s="199" t="str">
        <f>IF(B1756="","",IFERROR(IF('עלויות כח אדם (6)'!J1756&gt;=VLOOKUP(I1756,'סיווג התפקידים והעלויות'!$B$23:$C$32,2,0),"תקין","לא תקין"),""))</f>
        <v/>
      </c>
      <c r="R1756" s="199" t="str">
        <f t="shared" si="412"/>
        <v/>
      </c>
      <c r="S1756" s="199" t="str">
        <f t="shared" si="413"/>
        <v/>
      </c>
      <c r="T1756" s="199" t="str">
        <f t="shared" si="421"/>
        <v/>
      </c>
      <c r="U1756" s="199" t="str">
        <f t="shared" si="414"/>
        <v/>
      </c>
      <c r="V1756" s="989"/>
      <c r="X1756" s="374" t="str">
        <f t="shared" si="415"/>
        <v/>
      </c>
      <c r="Y1756" s="375" t="str">
        <f t="shared" si="416"/>
        <v/>
      </c>
      <c r="Z1756" s="374" t="str">
        <f t="shared" si="417"/>
        <v/>
      </c>
      <c r="AA1756" s="374" t="b">
        <f t="shared" si="418"/>
        <v>1</v>
      </c>
      <c r="AB1756" s="374">
        <f>COUNTIFS(B:B,B1756,H:H,'סיווג התפקידים והעלויות'!$C$2)</f>
        <v>0</v>
      </c>
      <c r="AC1756" s="374">
        <f>COUNTIFS(B:B,B1756,H:H,'סיווג התפקידים והעלויות'!$D$2)</f>
        <v>0</v>
      </c>
      <c r="AD1756" s="374" t="str">
        <f>IF(OR(AND(H1756='סיווג התפקידים והעלויות'!$A$2,I1756='סיווג התפקידים והעלויות'!$A$3),'עלויות כח אדם (6)'!H1756='סיווג התפקידים והעלויות'!$C$2,'עלויות כח אדם (6)'!H1756='סיווג התפקידים והעלויות'!$D$2),IF('עלויות כח אדם (6)'!J1756&lt;75,"לא תקין","תקין"),"")</f>
        <v/>
      </c>
      <c r="AE1756" s="374" t="str">
        <f t="shared" si="419"/>
        <v/>
      </c>
      <c r="AF1756" s="532" t="str">
        <f t="shared" si="420"/>
        <v/>
      </c>
    </row>
    <row r="1757" spans="2:32" x14ac:dyDescent="0.25">
      <c r="B1757" s="695"/>
      <c r="C1757" s="197" t="str">
        <f>IF(B1757&lt;&gt;"",IFERROR(VLOOKUP(B:B,'מצבת והרשמה (2)'!$C$20:$N$520,2,0)," ")," ")</f>
        <v xml:space="preserve"> </v>
      </c>
      <c r="D1757" s="695"/>
      <c r="E1757" s="696"/>
      <c r="F1757" s="696"/>
      <c r="G1757" s="696"/>
      <c r="H1757" s="696"/>
      <c r="I1757" s="1050" t="str">
        <f t="shared" si="407"/>
        <v/>
      </c>
      <c r="J1757" s="696"/>
      <c r="K1757" s="697"/>
      <c r="L1757" s="696"/>
      <c r="M1757" s="198" t="str">
        <f t="shared" si="408"/>
        <v/>
      </c>
      <c r="N1757" s="369" t="str">
        <f t="shared" si="409"/>
        <v/>
      </c>
      <c r="O1757" s="183" t="str">
        <f t="shared" si="410"/>
        <v/>
      </c>
      <c r="P1757" s="199" t="str">
        <f t="shared" si="411"/>
        <v/>
      </c>
      <c r="Q1757" s="199" t="str">
        <f>IF(B1757="","",IFERROR(IF('עלויות כח אדם (6)'!J1757&gt;=VLOOKUP(I1757,'סיווג התפקידים והעלויות'!$B$23:$C$32,2,0),"תקין","לא תקין"),""))</f>
        <v/>
      </c>
      <c r="R1757" s="199" t="str">
        <f t="shared" si="412"/>
        <v/>
      </c>
      <c r="S1757" s="199" t="str">
        <f t="shared" si="413"/>
        <v/>
      </c>
      <c r="T1757" s="199" t="str">
        <f t="shared" si="421"/>
        <v/>
      </c>
      <c r="U1757" s="199" t="str">
        <f t="shared" si="414"/>
        <v/>
      </c>
      <c r="V1757" s="989"/>
      <c r="X1757" s="374" t="str">
        <f t="shared" si="415"/>
        <v/>
      </c>
      <c r="Y1757" s="375" t="str">
        <f t="shared" si="416"/>
        <v/>
      </c>
      <c r="Z1757" s="374" t="str">
        <f t="shared" si="417"/>
        <v/>
      </c>
      <c r="AA1757" s="374" t="b">
        <f t="shared" si="418"/>
        <v>1</v>
      </c>
      <c r="AB1757" s="374">
        <f>COUNTIFS(B:B,B1757,H:H,'סיווג התפקידים והעלויות'!$C$2)</f>
        <v>0</v>
      </c>
      <c r="AC1757" s="374">
        <f>COUNTIFS(B:B,B1757,H:H,'סיווג התפקידים והעלויות'!$D$2)</f>
        <v>0</v>
      </c>
      <c r="AD1757" s="374" t="str">
        <f>IF(OR(AND(H1757='סיווג התפקידים והעלויות'!$A$2,I1757='סיווג התפקידים והעלויות'!$A$3),'עלויות כח אדם (6)'!H1757='סיווג התפקידים והעלויות'!$C$2,'עלויות כח אדם (6)'!H1757='סיווג התפקידים והעלויות'!$D$2),IF('עלויות כח אדם (6)'!J1757&lt;75,"לא תקין","תקין"),"")</f>
        <v/>
      </c>
      <c r="AE1757" s="374" t="str">
        <f t="shared" si="419"/>
        <v/>
      </c>
      <c r="AF1757" s="532" t="str">
        <f t="shared" si="420"/>
        <v/>
      </c>
    </row>
    <row r="1758" spans="2:32" x14ac:dyDescent="0.25">
      <c r="B1758" s="695"/>
      <c r="C1758" s="197" t="str">
        <f>IF(B1758&lt;&gt;"",IFERROR(VLOOKUP(B:B,'מצבת והרשמה (2)'!$C$20:$N$520,2,0)," ")," ")</f>
        <v xml:space="preserve"> </v>
      </c>
      <c r="D1758" s="695"/>
      <c r="E1758" s="696"/>
      <c r="F1758" s="696"/>
      <c r="G1758" s="696"/>
      <c r="H1758" s="696"/>
      <c r="I1758" s="1050" t="str">
        <f t="shared" si="407"/>
        <v/>
      </c>
      <c r="J1758" s="696"/>
      <c r="K1758" s="697"/>
      <c r="L1758" s="696"/>
      <c r="M1758" s="198" t="str">
        <f t="shared" si="408"/>
        <v/>
      </c>
      <c r="N1758" s="369" t="str">
        <f t="shared" si="409"/>
        <v/>
      </c>
      <c r="O1758" s="183" t="str">
        <f t="shared" si="410"/>
        <v/>
      </c>
      <c r="P1758" s="199" t="str">
        <f t="shared" si="411"/>
        <v/>
      </c>
      <c r="Q1758" s="199" t="str">
        <f>IF(B1758="","",IFERROR(IF('עלויות כח אדם (6)'!J1758&gt;=VLOOKUP(I1758,'סיווג התפקידים והעלויות'!$B$23:$C$32,2,0),"תקין","לא תקין"),""))</f>
        <v/>
      </c>
      <c r="R1758" s="199" t="str">
        <f t="shared" si="412"/>
        <v/>
      </c>
      <c r="S1758" s="199" t="str">
        <f t="shared" si="413"/>
        <v/>
      </c>
      <c r="T1758" s="199" t="str">
        <f t="shared" si="421"/>
        <v/>
      </c>
      <c r="U1758" s="199" t="str">
        <f t="shared" si="414"/>
        <v/>
      </c>
      <c r="V1758" s="989"/>
      <c r="X1758" s="374" t="str">
        <f t="shared" si="415"/>
        <v/>
      </c>
      <c r="Y1758" s="375" t="str">
        <f t="shared" si="416"/>
        <v/>
      </c>
      <c r="Z1758" s="374" t="str">
        <f t="shared" si="417"/>
        <v/>
      </c>
      <c r="AA1758" s="374" t="b">
        <f t="shared" si="418"/>
        <v>1</v>
      </c>
      <c r="AB1758" s="374">
        <f>COUNTIFS(B:B,B1758,H:H,'סיווג התפקידים והעלויות'!$C$2)</f>
        <v>0</v>
      </c>
      <c r="AC1758" s="374">
        <f>COUNTIFS(B:B,B1758,H:H,'סיווג התפקידים והעלויות'!$D$2)</f>
        <v>0</v>
      </c>
      <c r="AD1758" s="374" t="str">
        <f>IF(OR(AND(H1758='סיווג התפקידים והעלויות'!$A$2,I1758='סיווג התפקידים והעלויות'!$A$3),'עלויות כח אדם (6)'!H1758='סיווג התפקידים והעלויות'!$C$2,'עלויות כח אדם (6)'!H1758='סיווג התפקידים והעלויות'!$D$2),IF('עלויות כח אדם (6)'!J1758&lt;75,"לא תקין","תקין"),"")</f>
        <v/>
      </c>
      <c r="AE1758" s="374" t="str">
        <f t="shared" si="419"/>
        <v/>
      </c>
      <c r="AF1758" s="532" t="str">
        <f t="shared" si="420"/>
        <v/>
      </c>
    </row>
    <row r="1759" spans="2:32" x14ac:dyDescent="0.25">
      <c r="B1759" s="695"/>
      <c r="C1759" s="197" t="str">
        <f>IF(B1759&lt;&gt;"",IFERROR(VLOOKUP(B:B,'מצבת והרשמה (2)'!$C$20:$N$520,2,0)," ")," ")</f>
        <v xml:space="preserve"> </v>
      </c>
      <c r="D1759" s="695"/>
      <c r="E1759" s="696"/>
      <c r="F1759" s="696"/>
      <c r="G1759" s="696"/>
      <c r="H1759" s="696"/>
      <c r="I1759" s="1050" t="str">
        <f t="shared" si="407"/>
        <v/>
      </c>
      <c r="J1759" s="696"/>
      <c r="K1759" s="697"/>
      <c r="L1759" s="696"/>
      <c r="M1759" s="198" t="str">
        <f t="shared" si="408"/>
        <v/>
      </c>
      <c r="N1759" s="369" t="str">
        <f t="shared" si="409"/>
        <v/>
      </c>
      <c r="O1759" s="183" t="str">
        <f t="shared" si="410"/>
        <v/>
      </c>
      <c r="P1759" s="199" t="str">
        <f t="shared" si="411"/>
        <v/>
      </c>
      <c r="Q1759" s="199" t="str">
        <f>IF(B1759="","",IFERROR(IF('עלויות כח אדם (6)'!J1759&gt;=VLOOKUP(I1759,'סיווג התפקידים והעלויות'!$B$23:$C$32,2,0),"תקין","לא תקין"),""))</f>
        <v/>
      </c>
      <c r="R1759" s="199" t="str">
        <f t="shared" si="412"/>
        <v/>
      </c>
      <c r="S1759" s="199" t="str">
        <f t="shared" si="413"/>
        <v/>
      </c>
      <c r="T1759" s="199" t="str">
        <f t="shared" si="421"/>
        <v/>
      </c>
      <c r="U1759" s="199" t="str">
        <f t="shared" si="414"/>
        <v/>
      </c>
      <c r="V1759" s="989"/>
      <c r="X1759" s="374" t="str">
        <f t="shared" si="415"/>
        <v/>
      </c>
      <c r="Y1759" s="375" t="str">
        <f t="shared" si="416"/>
        <v/>
      </c>
      <c r="Z1759" s="374" t="str">
        <f t="shared" si="417"/>
        <v/>
      </c>
      <c r="AA1759" s="374" t="b">
        <f t="shared" si="418"/>
        <v>1</v>
      </c>
      <c r="AB1759" s="374">
        <f>COUNTIFS(B:B,B1759,H:H,'סיווג התפקידים והעלויות'!$C$2)</f>
        <v>0</v>
      </c>
      <c r="AC1759" s="374">
        <f>COUNTIFS(B:B,B1759,H:H,'סיווג התפקידים והעלויות'!$D$2)</f>
        <v>0</v>
      </c>
      <c r="AD1759" s="374" t="str">
        <f>IF(OR(AND(H1759='סיווג התפקידים והעלויות'!$A$2,I1759='סיווג התפקידים והעלויות'!$A$3),'עלויות כח אדם (6)'!H1759='סיווג התפקידים והעלויות'!$C$2,'עלויות כח אדם (6)'!H1759='סיווג התפקידים והעלויות'!$D$2),IF('עלויות כח אדם (6)'!J1759&lt;75,"לא תקין","תקין"),"")</f>
        <v/>
      </c>
      <c r="AE1759" s="374" t="str">
        <f t="shared" si="419"/>
        <v/>
      </c>
      <c r="AF1759" s="532" t="str">
        <f t="shared" si="420"/>
        <v/>
      </c>
    </row>
    <row r="1760" spans="2:32" x14ac:dyDescent="0.25">
      <c r="B1760" s="695"/>
      <c r="C1760" s="197" t="str">
        <f>IF(B1760&lt;&gt;"",IFERROR(VLOOKUP(B:B,'מצבת והרשמה (2)'!$C$20:$N$520,2,0)," ")," ")</f>
        <v xml:space="preserve"> </v>
      </c>
      <c r="D1760" s="695"/>
      <c r="E1760" s="696"/>
      <c r="F1760" s="696"/>
      <c r="G1760" s="696"/>
      <c r="H1760" s="696"/>
      <c r="I1760" s="1050" t="str">
        <f t="shared" si="407"/>
        <v/>
      </c>
      <c r="J1760" s="696"/>
      <c r="K1760" s="697"/>
      <c r="L1760" s="696"/>
      <c r="M1760" s="198" t="str">
        <f t="shared" si="408"/>
        <v/>
      </c>
      <c r="N1760" s="369" t="str">
        <f t="shared" si="409"/>
        <v/>
      </c>
      <c r="O1760" s="183" t="str">
        <f t="shared" si="410"/>
        <v/>
      </c>
      <c r="P1760" s="199" t="str">
        <f t="shared" si="411"/>
        <v/>
      </c>
      <c r="Q1760" s="199" t="str">
        <f>IF(B1760="","",IFERROR(IF('עלויות כח אדם (6)'!J1760&gt;=VLOOKUP(I1760,'סיווג התפקידים והעלויות'!$B$23:$C$32,2,0),"תקין","לא תקין"),""))</f>
        <v/>
      </c>
      <c r="R1760" s="199" t="str">
        <f t="shared" si="412"/>
        <v/>
      </c>
      <c r="S1760" s="199" t="str">
        <f t="shared" si="413"/>
        <v/>
      </c>
      <c r="T1760" s="199" t="str">
        <f t="shared" si="421"/>
        <v/>
      </c>
      <c r="U1760" s="199" t="str">
        <f t="shared" si="414"/>
        <v/>
      </c>
      <c r="V1760" s="989"/>
      <c r="X1760" s="374" t="str">
        <f t="shared" si="415"/>
        <v/>
      </c>
      <c r="Y1760" s="375" t="str">
        <f t="shared" si="416"/>
        <v/>
      </c>
      <c r="Z1760" s="374" t="str">
        <f t="shared" si="417"/>
        <v/>
      </c>
      <c r="AA1760" s="374" t="b">
        <f t="shared" si="418"/>
        <v>1</v>
      </c>
      <c r="AB1760" s="374">
        <f>COUNTIFS(B:B,B1760,H:H,'סיווג התפקידים והעלויות'!$C$2)</f>
        <v>0</v>
      </c>
      <c r="AC1760" s="374">
        <f>COUNTIFS(B:B,B1760,H:H,'סיווג התפקידים והעלויות'!$D$2)</f>
        <v>0</v>
      </c>
      <c r="AD1760" s="374" t="str">
        <f>IF(OR(AND(H1760='סיווג התפקידים והעלויות'!$A$2,I1760='סיווג התפקידים והעלויות'!$A$3),'עלויות כח אדם (6)'!H1760='סיווג התפקידים והעלויות'!$C$2,'עלויות כח אדם (6)'!H1760='סיווג התפקידים והעלויות'!$D$2),IF('עלויות כח אדם (6)'!J1760&lt;75,"לא תקין","תקין"),"")</f>
        <v/>
      </c>
      <c r="AE1760" s="374" t="str">
        <f t="shared" si="419"/>
        <v/>
      </c>
      <c r="AF1760" s="532" t="str">
        <f t="shared" si="420"/>
        <v/>
      </c>
    </row>
    <row r="1761" spans="2:32" x14ac:dyDescent="0.25">
      <c r="B1761" s="695"/>
      <c r="C1761" s="197" t="str">
        <f>IF(B1761&lt;&gt;"",IFERROR(VLOOKUP(B:B,'מצבת והרשמה (2)'!$C$20:$N$520,2,0)," ")," ")</f>
        <v xml:space="preserve"> </v>
      </c>
      <c r="D1761" s="695"/>
      <c r="E1761" s="696"/>
      <c r="F1761" s="696"/>
      <c r="G1761" s="696"/>
      <c r="H1761" s="696"/>
      <c r="I1761" s="1050" t="str">
        <f t="shared" si="407"/>
        <v/>
      </c>
      <c r="J1761" s="696"/>
      <c r="K1761" s="697"/>
      <c r="L1761" s="696"/>
      <c r="M1761" s="198" t="str">
        <f t="shared" si="408"/>
        <v/>
      </c>
      <c r="N1761" s="369" t="str">
        <f t="shared" si="409"/>
        <v/>
      </c>
      <c r="O1761" s="183" t="str">
        <f t="shared" si="410"/>
        <v/>
      </c>
      <c r="P1761" s="199" t="str">
        <f t="shared" si="411"/>
        <v/>
      </c>
      <c r="Q1761" s="199" t="str">
        <f>IF(B1761="","",IFERROR(IF('עלויות כח אדם (6)'!J1761&gt;=VLOOKUP(I1761,'סיווג התפקידים והעלויות'!$B$23:$C$32,2,0),"תקין","לא תקין"),""))</f>
        <v/>
      </c>
      <c r="R1761" s="199" t="str">
        <f t="shared" si="412"/>
        <v/>
      </c>
      <c r="S1761" s="199" t="str">
        <f t="shared" si="413"/>
        <v/>
      </c>
      <c r="T1761" s="199" t="str">
        <f t="shared" si="421"/>
        <v/>
      </c>
      <c r="U1761" s="199" t="str">
        <f t="shared" si="414"/>
        <v/>
      </c>
      <c r="V1761" s="989"/>
      <c r="X1761" s="374" t="str">
        <f t="shared" si="415"/>
        <v/>
      </c>
      <c r="Y1761" s="375" t="str">
        <f t="shared" si="416"/>
        <v/>
      </c>
      <c r="Z1761" s="374" t="str">
        <f t="shared" si="417"/>
        <v/>
      </c>
      <c r="AA1761" s="374" t="b">
        <f t="shared" si="418"/>
        <v>1</v>
      </c>
      <c r="AB1761" s="374">
        <f>COUNTIFS(B:B,B1761,H:H,'סיווג התפקידים והעלויות'!$C$2)</f>
        <v>0</v>
      </c>
      <c r="AC1761" s="374">
        <f>COUNTIFS(B:B,B1761,H:H,'סיווג התפקידים והעלויות'!$D$2)</f>
        <v>0</v>
      </c>
      <c r="AD1761" s="374" t="str">
        <f>IF(OR(AND(H1761='סיווג התפקידים והעלויות'!$A$2,I1761='סיווג התפקידים והעלויות'!$A$3),'עלויות כח אדם (6)'!H1761='סיווג התפקידים והעלויות'!$C$2,'עלויות כח אדם (6)'!H1761='סיווג התפקידים והעלויות'!$D$2),IF('עלויות כח אדם (6)'!J1761&lt;75,"לא תקין","תקין"),"")</f>
        <v/>
      </c>
      <c r="AE1761" s="374" t="str">
        <f t="shared" si="419"/>
        <v/>
      </c>
      <c r="AF1761" s="532" t="str">
        <f t="shared" si="420"/>
        <v/>
      </c>
    </row>
    <row r="1762" spans="2:32" x14ac:dyDescent="0.25">
      <c r="B1762" s="695"/>
      <c r="C1762" s="197" t="str">
        <f>IF(B1762&lt;&gt;"",IFERROR(VLOOKUP(B:B,'מצבת והרשמה (2)'!$C$20:$N$520,2,0)," ")," ")</f>
        <v xml:space="preserve"> </v>
      </c>
      <c r="D1762" s="695"/>
      <c r="E1762" s="696"/>
      <c r="F1762" s="696"/>
      <c r="G1762" s="696"/>
      <c r="H1762" s="696"/>
      <c r="I1762" s="1050" t="str">
        <f t="shared" si="407"/>
        <v/>
      </c>
      <c r="J1762" s="696"/>
      <c r="K1762" s="697"/>
      <c r="L1762" s="696"/>
      <c r="M1762" s="198" t="str">
        <f t="shared" si="408"/>
        <v/>
      </c>
      <c r="N1762" s="369" t="str">
        <f t="shared" si="409"/>
        <v/>
      </c>
      <c r="O1762" s="183" t="str">
        <f t="shared" si="410"/>
        <v/>
      </c>
      <c r="P1762" s="199" t="str">
        <f t="shared" si="411"/>
        <v/>
      </c>
      <c r="Q1762" s="199" t="str">
        <f>IF(B1762="","",IFERROR(IF('עלויות כח אדם (6)'!J1762&gt;=VLOOKUP(I1762,'סיווג התפקידים והעלויות'!$B$23:$C$32,2,0),"תקין","לא תקין"),""))</f>
        <v/>
      </c>
      <c r="R1762" s="199" t="str">
        <f t="shared" si="412"/>
        <v/>
      </c>
      <c r="S1762" s="199" t="str">
        <f t="shared" si="413"/>
        <v/>
      </c>
      <c r="T1762" s="199" t="str">
        <f t="shared" si="421"/>
        <v/>
      </c>
      <c r="U1762" s="199" t="str">
        <f t="shared" si="414"/>
        <v/>
      </c>
      <c r="V1762" s="989"/>
      <c r="X1762" s="374" t="str">
        <f t="shared" si="415"/>
        <v/>
      </c>
      <c r="Y1762" s="375" t="str">
        <f t="shared" si="416"/>
        <v/>
      </c>
      <c r="Z1762" s="374" t="str">
        <f t="shared" si="417"/>
        <v/>
      </c>
      <c r="AA1762" s="374" t="b">
        <f t="shared" si="418"/>
        <v>1</v>
      </c>
      <c r="AB1762" s="374">
        <f>COUNTIFS(B:B,B1762,H:H,'סיווג התפקידים והעלויות'!$C$2)</f>
        <v>0</v>
      </c>
      <c r="AC1762" s="374">
        <f>COUNTIFS(B:B,B1762,H:H,'סיווג התפקידים והעלויות'!$D$2)</f>
        <v>0</v>
      </c>
      <c r="AD1762" s="374" t="str">
        <f>IF(OR(AND(H1762='סיווג התפקידים והעלויות'!$A$2,I1762='סיווג התפקידים והעלויות'!$A$3),'עלויות כח אדם (6)'!H1762='סיווג התפקידים והעלויות'!$C$2,'עלויות כח אדם (6)'!H1762='סיווג התפקידים והעלויות'!$D$2),IF('עלויות כח אדם (6)'!J1762&lt;75,"לא תקין","תקין"),"")</f>
        <v/>
      </c>
      <c r="AE1762" s="374" t="str">
        <f t="shared" si="419"/>
        <v/>
      </c>
      <c r="AF1762" s="532" t="str">
        <f t="shared" si="420"/>
        <v/>
      </c>
    </row>
    <row r="1763" spans="2:32" x14ac:dyDescent="0.25">
      <c r="B1763" s="695"/>
      <c r="C1763" s="197" t="str">
        <f>IF(B1763&lt;&gt;"",IFERROR(VLOOKUP(B:B,'מצבת והרשמה (2)'!$C$20:$N$520,2,0)," ")," ")</f>
        <v xml:space="preserve"> </v>
      </c>
      <c r="D1763" s="695"/>
      <c r="E1763" s="696"/>
      <c r="F1763" s="696"/>
      <c r="G1763" s="696"/>
      <c r="H1763" s="696"/>
      <c r="I1763" s="1050" t="str">
        <f t="shared" si="407"/>
        <v/>
      </c>
      <c r="J1763" s="696"/>
      <c r="K1763" s="697"/>
      <c r="L1763" s="696"/>
      <c r="M1763" s="198" t="str">
        <f t="shared" si="408"/>
        <v/>
      </c>
      <c r="N1763" s="369" t="str">
        <f t="shared" si="409"/>
        <v/>
      </c>
      <c r="O1763" s="183" t="str">
        <f t="shared" si="410"/>
        <v/>
      </c>
      <c r="P1763" s="199" t="str">
        <f t="shared" si="411"/>
        <v/>
      </c>
      <c r="Q1763" s="199" t="str">
        <f>IF(B1763="","",IFERROR(IF('עלויות כח אדם (6)'!J1763&gt;=VLOOKUP(I1763,'סיווג התפקידים והעלויות'!$B$23:$C$32,2,0),"תקין","לא תקין"),""))</f>
        <v/>
      </c>
      <c r="R1763" s="199" t="str">
        <f t="shared" si="412"/>
        <v/>
      </c>
      <c r="S1763" s="199" t="str">
        <f t="shared" si="413"/>
        <v/>
      </c>
      <c r="T1763" s="199" t="str">
        <f t="shared" si="421"/>
        <v/>
      </c>
      <c r="U1763" s="199" t="str">
        <f t="shared" si="414"/>
        <v/>
      </c>
      <c r="V1763" s="989"/>
      <c r="X1763" s="374" t="str">
        <f t="shared" si="415"/>
        <v/>
      </c>
      <c r="Y1763" s="375" t="str">
        <f t="shared" si="416"/>
        <v/>
      </c>
      <c r="Z1763" s="374" t="str">
        <f t="shared" si="417"/>
        <v/>
      </c>
      <c r="AA1763" s="374" t="b">
        <f t="shared" si="418"/>
        <v>1</v>
      </c>
      <c r="AB1763" s="374">
        <f>COUNTIFS(B:B,B1763,H:H,'סיווג התפקידים והעלויות'!$C$2)</f>
        <v>0</v>
      </c>
      <c r="AC1763" s="374">
        <f>COUNTIFS(B:B,B1763,H:H,'סיווג התפקידים והעלויות'!$D$2)</f>
        <v>0</v>
      </c>
      <c r="AD1763" s="374" t="str">
        <f>IF(OR(AND(H1763='סיווג התפקידים והעלויות'!$A$2,I1763='סיווג התפקידים והעלויות'!$A$3),'עלויות כח אדם (6)'!H1763='סיווג התפקידים והעלויות'!$C$2,'עלויות כח אדם (6)'!H1763='סיווג התפקידים והעלויות'!$D$2),IF('עלויות כח אדם (6)'!J1763&lt;75,"לא תקין","תקין"),"")</f>
        <v/>
      </c>
      <c r="AE1763" s="374" t="str">
        <f t="shared" si="419"/>
        <v/>
      </c>
      <c r="AF1763" s="532" t="str">
        <f t="shared" si="420"/>
        <v/>
      </c>
    </row>
    <row r="1764" spans="2:32" x14ac:dyDescent="0.25">
      <c r="B1764" s="695"/>
      <c r="C1764" s="197" t="str">
        <f>IF(B1764&lt;&gt;"",IFERROR(VLOOKUP(B:B,'מצבת והרשמה (2)'!$C$20:$N$520,2,0)," ")," ")</f>
        <v xml:space="preserve"> </v>
      </c>
      <c r="D1764" s="695"/>
      <c r="E1764" s="696"/>
      <c r="F1764" s="696"/>
      <c r="G1764" s="696"/>
      <c r="H1764" s="696"/>
      <c r="I1764" s="1050" t="str">
        <f t="shared" si="407"/>
        <v/>
      </c>
      <c r="J1764" s="696"/>
      <c r="K1764" s="697"/>
      <c r="L1764" s="696"/>
      <c r="M1764" s="198" t="str">
        <f t="shared" si="408"/>
        <v/>
      </c>
      <c r="N1764" s="369" t="str">
        <f t="shared" si="409"/>
        <v/>
      </c>
      <c r="O1764" s="183" t="str">
        <f t="shared" si="410"/>
        <v/>
      </c>
      <c r="P1764" s="199" t="str">
        <f t="shared" si="411"/>
        <v/>
      </c>
      <c r="Q1764" s="199" t="str">
        <f>IF(B1764="","",IFERROR(IF('עלויות כח אדם (6)'!J1764&gt;=VLOOKUP(I1764,'סיווג התפקידים והעלויות'!$B$23:$C$32,2,0),"תקין","לא תקין"),""))</f>
        <v/>
      </c>
      <c r="R1764" s="199" t="str">
        <f t="shared" si="412"/>
        <v/>
      </c>
      <c r="S1764" s="199" t="str">
        <f t="shared" si="413"/>
        <v/>
      </c>
      <c r="T1764" s="199" t="str">
        <f t="shared" si="421"/>
        <v/>
      </c>
      <c r="U1764" s="199" t="str">
        <f t="shared" si="414"/>
        <v/>
      </c>
      <c r="V1764" s="989"/>
      <c r="X1764" s="374" t="str">
        <f t="shared" si="415"/>
        <v/>
      </c>
      <c r="Y1764" s="375" t="str">
        <f t="shared" si="416"/>
        <v/>
      </c>
      <c r="Z1764" s="374" t="str">
        <f t="shared" si="417"/>
        <v/>
      </c>
      <c r="AA1764" s="374" t="b">
        <f t="shared" si="418"/>
        <v>1</v>
      </c>
      <c r="AB1764" s="374">
        <f>COUNTIFS(B:B,B1764,H:H,'סיווג התפקידים והעלויות'!$C$2)</f>
        <v>0</v>
      </c>
      <c r="AC1764" s="374">
        <f>COUNTIFS(B:B,B1764,H:H,'סיווג התפקידים והעלויות'!$D$2)</f>
        <v>0</v>
      </c>
      <c r="AD1764" s="374" t="str">
        <f>IF(OR(AND(H1764='סיווג התפקידים והעלויות'!$A$2,I1764='סיווג התפקידים והעלויות'!$A$3),'עלויות כח אדם (6)'!H1764='סיווג התפקידים והעלויות'!$C$2,'עלויות כח אדם (6)'!H1764='סיווג התפקידים והעלויות'!$D$2),IF('עלויות כח אדם (6)'!J1764&lt;75,"לא תקין","תקין"),"")</f>
        <v/>
      </c>
      <c r="AE1764" s="374" t="str">
        <f t="shared" si="419"/>
        <v/>
      </c>
      <c r="AF1764" s="532" t="str">
        <f t="shared" si="420"/>
        <v/>
      </c>
    </row>
    <row r="1765" spans="2:32" x14ac:dyDescent="0.25">
      <c r="B1765" s="695"/>
      <c r="C1765" s="197" t="str">
        <f>IF(B1765&lt;&gt;"",IFERROR(VLOOKUP(B:B,'מצבת והרשמה (2)'!$C$20:$N$520,2,0)," ")," ")</f>
        <v xml:space="preserve"> </v>
      </c>
      <c r="D1765" s="695"/>
      <c r="E1765" s="696"/>
      <c r="F1765" s="696"/>
      <c r="G1765" s="696"/>
      <c r="H1765" s="696"/>
      <c r="I1765" s="1050" t="str">
        <f t="shared" si="407"/>
        <v/>
      </c>
      <c r="J1765" s="696"/>
      <c r="K1765" s="697"/>
      <c r="L1765" s="696"/>
      <c r="M1765" s="198" t="str">
        <f t="shared" si="408"/>
        <v/>
      </c>
      <c r="N1765" s="369" t="str">
        <f t="shared" si="409"/>
        <v/>
      </c>
      <c r="O1765" s="183" t="str">
        <f t="shared" si="410"/>
        <v/>
      </c>
      <c r="P1765" s="199" t="str">
        <f t="shared" si="411"/>
        <v/>
      </c>
      <c r="Q1765" s="199" t="str">
        <f>IF(B1765="","",IFERROR(IF('עלויות כח אדם (6)'!J1765&gt;=VLOOKUP(I1765,'סיווג התפקידים והעלויות'!$B$23:$C$32,2,0),"תקין","לא תקין"),""))</f>
        <v/>
      </c>
      <c r="R1765" s="199" t="str">
        <f t="shared" si="412"/>
        <v/>
      </c>
      <c r="S1765" s="199" t="str">
        <f t="shared" si="413"/>
        <v/>
      </c>
      <c r="T1765" s="199" t="str">
        <f t="shared" si="421"/>
        <v/>
      </c>
      <c r="U1765" s="199" t="str">
        <f t="shared" si="414"/>
        <v/>
      </c>
      <c r="V1765" s="989"/>
      <c r="X1765" s="374" t="str">
        <f t="shared" si="415"/>
        <v/>
      </c>
      <c r="Y1765" s="375" t="str">
        <f t="shared" si="416"/>
        <v/>
      </c>
      <c r="Z1765" s="374" t="str">
        <f t="shared" si="417"/>
        <v/>
      </c>
      <c r="AA1765" s="374" t="b">
        <f t="shared" si="418"/>
        <v>1</v>
      </c>
      <c r="AB1765" s="374">
        <f>COUNTIFS(B:B,B1765,H:H,'סיווג התפקידים והעלויות'!$C$2)</f>
        <v>0</v>
      </c>
      <c r="AC1765" s="374">
        <f>COUNTIFS(B:B,B1765,H:H,'סיווג התפקידים והעלויות'!$D$2)</f>
        <v>0</v>
      </c>
      <c r="AD1765" s="374" t="str">
        <f>IF(OR(AND(H1765='סיווג התפקידים והעלויות'!$A$2,I1765='סיווג התפקידים והעלויות'!$A$3),'עלויות כח אדם (6)'!H1765='סיווג התפקידים והעלויות'!$C$2,'עלויות כח אדם (6)'!H1765='סיווג התפקידים והעלויות'!$D$2),IF('עלויות כח אדם (6)'!J1765&lt;75,"לא תקין","תקין"),"")</f>
        <v/>
      </c>
      <c r="AE1765" s="374" t="str">
        <f t="shared" si="419"/>
        <v/>
      </c>
      <c r="AF1765" s="532" t="str">
        <f t="shared" si="420"/>
        <v/>
      </c>
    </row>
    <row r="1766" spans="2:32" x14ac:dyDescent="0.25">
      <c r="B1766" s="695"/>
      <c r="C1766" s="197" t="str">
        <f>IF(B1766&lt;&gt;"",IFERROR(VLOOKUP(B:B,'מצבת והרשמה (2)'!$C$20:$N$520,2,0)," ")," ")</f>
        <v xml:space="preserve"> </v>
      </c>
      <c r="D1766" s="695"/>
      <c r="E1766" s="696"/>
      <c r="F1766" s="696"/>
      <c r="G1766" s="696"/>
      <c r="H1766" s="696"/>
      <c r="I1766" s="1050" t="str">
        <f t="shared" si="407"/>
        <v/>
      </c>
      <c r="J1766" s="696"/>
      <c r="K1766" s="697"/>
      <c r="L1766" s="696"/>
      <c r="M1766" s="198" t="str">
        <f t="shared" si="408"/>
        <v/>
      </c>
      <c r="N1766" s="369" t="str">
        <f t="shared" si="409"/>
        <v/>
      </c>
      <c r="O1766" s="183" t="str">
        <f t="shared" si="410"/>
        <v/>
      </c>
      <c r="P1766" s="199" t="str">
        <f t="shared" si="411"/>
        <v/>
      </c>
      <c r="Q1766" s="199" t="str">
        <f>IF(B1766="","",IFERROR(IF('עלויות כח אדם (6)'!J1766&gt;=VLOOKUP(I1766,'סיווג התפקידים והעלויות'!$B$23:$C$32,2,0),"תקין","לא תקין"),""))</f>
        <v/>
      </c>
      <c r="R1766" s="199" t="str">
        <f t="shared" si="412"/>
        <v/>
      </c>
      <c r="S1766" s="199" t="str">
        <f t="shared" si="413"/>
        <v/>
      </c>
      <c r="T1766" s="199" t="str">
        <f t="shared" si="421"/>
        <v/>
      </c>
      <c r="U1766" s="199" t="str">
        <f t="shared" si="414"/>
        <v/>
      </c>
      <c r="V1766" s="989"/>
      <c r="X1766" s="374" t="str">
        <f t="shared" si="415"/>
        <v/>
      </c>
      <c r="Y1766" s="375" t="str">
        <f t="shared" si="416"/>
        <v/>
      </c>
      <c r="Z1766" s="374" t="str">
        <f t="shared" si="417"/>
        <v/>
      </c>
      <c r="AA1766" s="374" t="b">
        <f t="shared" si="418"/>
        <v>1</v>
      </c>
      <c r="AB1766" s="374">
        <f>COUNTIFS(B:B,B1766,H:H,'סיווג התפקידים והעלויות'!$C$2)</f>
        <v>0</v>
      </c>
      <c r="AC1766" s="374">
        <f>COUNTIFS(B:B,B1766,H:H,'סיווג התפקידים והעלויות'!$D$2)</f>
        <v>0</v>
      </c>
      <c r="AD1766" s="374" t="str">
        <f>IF(OR(AND(H1766='סיווג התפקידים והעלויות'!$A$2,I1766='סיווג התפקידים והעלויות'!$A$3),'עלויות כח אדם (6)'!H1766='סיווג התפקידים והעלויות'!$C$2,'עלויות כח אדם (6)'!H1766='סיווג התפקידים והעלויות'!$D$2),IF('עלויות כח אדם (6)'!J1766&lt;75,"לא תקין","תקין"),"")</f>
        <v/>
      </c>
      <c r="AE1766" s="374" t="str">
        <f t="shared" si="419"/>
        <v/>
      </c>
      <c r="AF1766" s="532" t="str">
        <f t="shared" si="420"/>
        <v/>
      </c>
    </row>
    <row r="1767" spans="2:32" x14ac:dyDescent="0.25">
      <c r="B1767" s="695"/>
      <c r="C1767" s="197" t="str">
        <f>IF(B1767&lt;&gt;"",IFERROR(VLOOKUP(B:B,'מצבת והרשמה (2)'!$C$20:$N$520,2,0)," ")," ")</f>
        <v xml:space="preserve"> </v>
      </c>
      <c r="D1767" s="695"/>
      <c r="E1767" s="696"/>
      <c r="F1767" s="696"/>
      <c r="G1767" s="696"/>
      <c r="H1767" s="696"/>
      <c r="I1767" s="1050" t="str">
        <f t="shared" si="407"/>
        <v/>
      </c>
      <c r="J1767" s="696"/>
      <c r="K1767" s="697"/>
      <c r="L1767" s="696"/>
      <c r="M1767" s="198" t="str">
        <f t="shared" si="408"/>
        <v/>
      </c>
      <c r="N1767" s="369" t="str">
        <f t="shared" si="409"/>
        <v/>
      </c>
      <c r="O1767" s="183" t="str">
        <f t="shared" si="410"/>
        <v/>
      </c>
      <c r="P1767" s="199" t="str">
        <f t="shared" si="411"/>
        <v/>
      </c>
      <c r="Q1767" s="199" t="str">
        <f>IF(B1767="","",IFERROR(IF('עלויות כח אדם (6)'!J1767&gt;=VLOOKUP(I1767,'סיווג התפקידים והעלויות'!$B$23:$C$32,2,0),"תקין","לא תקין"),""))</f>
        <v/>
      </c>
      <c r="R1767" s="199" t="str">
        <f t="shared" si="412"/>
        <v/>
      </c>
      <c r="S1767" s="199" t="str">
        <f t="shared" si="413"/>
        <v/>
      </c>
      <c r="T1767" s="199" t="str">
        <f t="shared" si="421"/>
        <v/>
      </c>
      <c r="U1767" s="199" t="str">
        <f t="shared" si="414"/>
        <v/>
      </c>
      <c r="V1767" s="989"/>
      <c r="X1767" s="374" t="str">
        <f t="shared" si="415"/>
        <v/>
      </c>
      <c r="Y1767" s="375" t="str">
        <f t="shared" si="416"/>
        <v/>
      </c>
      <c r="Z1767" s="374" t="str">
        <f t="shared" si="417"/>
        <v/>
      </c>
      <c r="AA1767" s="374" t="b">
        <f t="shared" si="418"/>
        <v>1</v>
      </c>
      <c r="AB1767" s="374">
        <f>COUNTIFS(B:B,B1767,H:H,'סיווג התפקידים והעלויות'!$C$2)</f>
        <v>0</v>
      </c>
      <c r="AC1767" s="374">
        <f>COUNTIFS(B:B,B1767,H:H,'סיווג התפקידים והעלויות'!$D$2)</f>
        <v>0</v>
      </c>
      <c r="AD1767" s="374" t="str">
        <f>IF(OR(AND(H1767='סיווג התפקידים והעלויות'!$A$2,I1767='סיווג התפקידים והעלויות'!$A$3),'עלויות כח אדם (6)'!H1767='סיווג התפקידים והעלויות'!$C$2,'עלויות כח אדם (6)'!H1767='סיווג התפקידים והעלויות'!$D$2),IF('עלויות כח אדם (6)'!J1767&lt;75,"לא תקין","תקין"),"")</f>
        <v/>
      </c>
      <c r="AE1767" s="374" t="str">
        <f t="shared" si="419"/>
        <v/>
      </c>
      <c r="AF1767" s="532" t="str">
        <f t="shared" si="420"/>
        <v/>
      </c>
    </row>
    <row r="1768" spans="2:32" x14ac:dyDescent="0.25">
      <c r="B1768" s="695"/>
      <c r="C1768" s="197" t="str">
        <f>IF(B1768&lt;&gt;"",IFERROR(VLOOKUP(B:B,'מצבת והרשמה (2)'!$C$20:$N$520,2,0)," ")," ")</f>
        <v xml:space="preserve"> </v>
      </c>
      <c r="D1768" s="695"/>
      <c r="E1768" s="696"/>
      <c r="F1768" s="696"/>
      <c r="G1768" s="696"/>
      <c r="H1768" s="696"/>
      <c r="I1768" s="1050" t="str">
        <f t="shared" si="407"/>
        <v/>
      </c>
      <c r="J1768" s="696"/>
      <c r="K1768" s="697"/>
      <c r="L1768" s="696"/>
      <c r="M1768" s="198" t="str">
        <f t="shared" si="408"/>
        <v/>
      </c>
      <c r="N1768" s="369" t="str">
        <f t="shared" si="409"/>
        <v/>
      </c>
      <c r="O1768" s="183" t="str">
        <f t="shared" si="410"/>
        <v/>
      </c>
      <c r="P1768" s="199" t="str">
        <f t="shared" si="411"/>
        <v/>
      </c>
      <c r="Q1768" s="199" t="str">
        <f>IF(B1768="","",IFERROR(IF('עלויות כח אדם (6)'!J1768&gt;=VLOOKUP(I1768,'סיווג התפקידים והעלויות'!$B$23:$C$32,2,0),"תקין","לא תקין"),""))</f>
        <v/>
      </c>
      <c r="R1768" s="199" t="str">
        <f t="shared" si="412"/>
        <v/>
      </c>
      <c r="S1768" s="199" t="str">
        <f t="shared" si="413"/>
        <v/>
      </c>
      <c r="T1768" s="199" t="str">
        <f t="shared" si="421"/>
        <v/>
      </c>
      <c r="U1768" s="199" t="str">
        <f t="shared" si="414"/>
        <v/>
      </c>
      <c r="V1768" s="989"/>
      <c r="X1768" s="374" t="str">
        <f t="shared" si="415"/>
        <v/>
      </c>
      <c r="Y1768" s="375" t="str">
        <f t="shared" si="416"/>
        <v/>
      </c>
      <c r="Z1768" s="374" t="str">
        <f t="shared" si="417"/>
        <v/>
      </c>
      <c r="AA1768" s="374" t="b">
        <f t="shared" si="418"/>
        <v>1</v>
      </c>
      <c r="AB1768" s="374">
        <f>COUNTIFS(B:B,B1768,H:H,'סיווג התפקידים והעלויות'!$C$2)</f>
        <v>0</v>
      </c>
      <c r="AC1768" s="374">
        <f>COUNTIFS(B:B,B1768,H:H,'סיווג התפקידים והעלויות'!$D$2)</f>
        <v>0</v>
      </c>
      <c r="AD1768" s="374" t="str">
        <f>IF(OR(AND(H1768='סיווג התפקידים והעלויות'!$A$2,I1768='סיווג התפקידים והעלויות'!$A$3),'עלויות כח אדם (6)'!H1768='סיווג התפקידים והעלויות'!$C$2,'עלויות כח אדם (6)'!H1768='סיווג התפקידים והעלויות'!$D$2),IF('עלויות כח אדם (6)'!J1768&lt;75,"לא תקין","תקין"),"")</f>
        <v/>
      </c>
      <c r="AE1768" s="374" t="str">
        <f t="shared" si="419"/>
        <v/>
      </c>
      <c r="AF1768" s="532" t="str">
        <f t="shared" si="420"/>
        <v/>
      </c>
    </row>
    <row r="1769" spans="2:32" x14ac:dyDescent="0.25">
      <c r="B1769" s="695"/>
      <c r="C1769" s="197" t="str">
        <f>IF(B1769&lt;&gt;"",IFERROR(VLOOKUP(B:B,'מצבת והרשמה (2)'!$C$20:$N$520,2,0)," ")," ")</f>
        <v xml:space="preserve"> </v>
      </c>
      <c r="D1769" s="695"/>
      <c r="E1769" s="696"/>
      <c r="F1769" s="696"/>
      <c r="G1769" s="696"/>
      <c r="H1769" s="696"/>
      <c r="I1769" s="1050" t="str">
        <f t="shared" si="407"/>
        <v/>
      </c>
      <c r="J1769" s="696"/>
      <c r="K1769" s="697"/>
      <c r="L1769" s="696"/>
      <c r="M1769" s="198" t="str">
        <f t="shared" si="408"/>
        <v/>
      </c>
      <c r="N1769" s="369" t="str">
        <f t="shared" si="409"/>
        <v/>
      </c>
      <c r="O1769" s="183" t="str">
        <f t="shared" si="410"/>
        <v/>
      </c>
      <c r="P1769" s="199" t="str">
        <f t="shared" si="411"/>
        <v/>
      </c>
      <c r="Q1769" s="199" t="str">
        <f>IF(B1769="","",IFERROR(IF('עלויות כח אדם (6)'!J1769&gt;=VLOOKUP(I1769,'סיווג התפקידים והעלויות'!$B$23:$C$32,2,0),"תקין","לא תקין"),""))</f>
        <v/>
      </c>
      <c r="R1769" s="199" t="str">
        <f t="shared" si="412"/>
        <v/>
      </c>
      <c r="S1769" s="199" t="str">
        <f t="shared" si="413"/>
        <v/>
      </c>
      <c r="T1769" s="199" t="str">
        <f t="shared" si="421"/>
        <v/>
      </c>
      <c r="U1769" s="199" t="str">
        <f t="shared" si="414"/>
        <v/>
      </c>
      <c r="V1769" s="989"/>
      <c r="X1769" s="374" t="str">
        <f t="shared" si="415"/>
        <v/>
      </c>
      <c r="Y1769" s="375" t="str">
        <f t="shared" si="416"/>
        <v/>
      </c>
      <c r="Z1769" s="374" t="str">
        <f t="shared" si="417"/>
        <v/>
      </c>
      <c r="AA1769" s="374" t="b">
        <f t="shared" si="418"/>
        <v>1</v>
      </c>
      <c r="AB1769" s="374">
        <f>COUNTIFS(B:B,B1769,H:H,'סיווג התפקידים והעלויות'!$C$2)</f>
        <v>0</v>
      </c>
      <c r="AC1769" s="374">
        <f>COUNTIFS(B:B,B1769,H:H,'סיווג התפקידים והעלויות'!$D$2)</f>
        <v>0</v>
      </c>
      <c r="AD1769" s="374" t="str">
        <f>IF(OR(AND(H1769='סיווג התפקידים והעלויות'!$A$2,I1769='סיווג התפקידים והעלויות'!$A$3),'עלויות כח אדם (6)'!H1769='סיווג התפקידים והעלויות'!$C$2,'עלויות כח אדם (6)'!H1769='סיווג התפקידים והעלויות'!$D$2),IF('עלויות כח אדם (6)'!J1769&lt;75,"לא תקין","תקין"),"")</f>
        <v/>
      </c>
      <c r="AE1769" s="374" t="str">
        <f t="shared" si="419"/>
        <v/>
      </c>
      <c r="AF1769" s="532" t="str">
        <f t="shared" si="420"/>
        <v/>
      </c>
    </row>
    <row r="1770" spans="2:32" x14ac:dyDescent="0.25">
      <c r="B1770" s="695"/>
      <c r="C1770" s="197" t="str">
        <f>IF(B1770&lt;&gt;"",IFERROR(VLOOKUP(B:B,'מצבת והרשמה (2)'!$C$20:$N$520,2,0)," ")," ")</f>
        <v xml:space="preserve"> </v>
      </c>
      <c r="D1770" s="695"/>
      <c r="E1770" s="696"/>
      <c r="F1770" s="696"/>
      <c r="G1770" s="696"/>
      <c r="H1770" s="696"/>
      <c r="I1770" s="1050" t="str">
        <f t="shared" si="407"/>
        <v/>
      </c>
      <c r="J1770" s="696"/>
      <c r="K1770" s="697"/>
      <c r="L1770" s="696"/>
      <c r="M1770" s="198" t="str">
        <f t="shared" si="408"/>
        <v/>
      </c>
      <c r="N1770" s="369" t="str">
        <f t="shared" si="409"/>
        <v/>
      </c>
      <c r="O1770" s="183" t="str">
        <f t="shared" si="410"/>
        <v/>
      </c>
      <c r="P1770" s="199" t="str">
        <f t="shared" si="411"/>
        <v/>
      </c>
      <c r="Q1770" s="199" t="str">
        <f>IF(B1770="","",IFERROR(IF('עלויות כח אדם (6)'!J1770&gt;=VLOOKUP(I1770,'סיווג התפקידים והעלויות'!$B$23:$C$32,2,0),"תקין","לא תקין"),""))</f>
        <v/>
      </c>
      <c r="R1770" s="199" t="str">
        <f t="shared" si="412"/>
        <v/>
      </c>
      <c r="S1770" s="199" t="str">
        <f t="shared" si="413"/>
        <v/>
      </c>
      <c r="T1770" s="199" t="str">
        <f t="shared" si="421"/>
        <v/>
      </c>
      <c r="U1770" s="199" t="str">
        <f t="shared" si="414"/>
        <v/>
      </c>
      <c r="V1770" s="989"/>
      <c r="X1770" s="374" t="str">
        <f t="shared" si="415"/>
        <v/>
      </c>
      <c r="Y1770" s="375" t="str">
        <f t="shared" si="416"/>
        <v/>
      </c>
      <c r="Z1770" s="374" t="str">
        <f t="shared" si="417"/>
        <v/>
      </c>
      <c r="AA1770" s="374" t="b">
        <f t="shared" si="418"/>
        <v>1</v>
      </c>
      <c r="AB1770" s="374">
        <f>COUNTIFS(B:B,B1770,H:H,'סיווג התפקידים והעלויות'!$C$2)</f>
        <v>0</v>
      </c>
      <c r="AC1770" s="374">
        <f>COUNTIFS(B:B,B1770,H:H,'סיווג התפקידים והעלויות'!$D$2)</f>
        <v>0</v>
      </c>
      <c r="AD1770" s="374" t="str">
        <f>IF(OR(AND(H1770='סיווג התפקידים והעלויות'!$A$2,I1770='סיווג התפקידים והעלויות'!$A$3),'עלויות כח אדם (6)'!H1770='סיווג התפקידים והעלויות'!$C$2,'עלויות כח אדם (6)'!H1770='סיווג התפקידים והעלויות'!$D$2),IF('עלויות כח אדם (6)'!J1770&lt;75,"לא תקין","תקין"),"")</f>
        <v/>
      </c>
      <c r="AE1770" s="374" t="str">
        <f t="shared" si="419"/>
        <v/>
      </c>
      <c r="AF1770" s="532" t="str">
        <f t="shared" si="420"/>
        <v/>
      </c>
    </row>
    <row r="1771" spans="2:32" x14ac:dyDescent="0.25">
      <c r="B1771" s="695"/>
      <c r="C1771" s="197" t="str">
        <f>IF(B1771&lt;&gt;"",IFERROR(VLOOKUP(B:B,'מצבת והרשמה (2)'!$C$20:$N$520,2,0)," ")," ")</f>
        <v xml:space="preserve"> </v>
      </c>
      <c r="D1771" s="695"/>
      <c r="E1771" s="696"/>
      <c r="F1771" s="696"/>
      <c r="G1771" s="696"/>
      <c r="H1771" s="696"/>
      <c r="I1771" s="1050" t="str">
        <f t="shared" si="407"/>
        <v/>
      </c>
      <c r="J1771" s="696"/>
      <c r="K1771" s="697"/>
      <c r="L1771" s="696"/>
      <c r="M1771" s="198" t="str">
        <f t="shared" si="408"/>
        <v/>
      </c>
      <c r="N1771" s="369" t="str">
        <f t="shared" si="409"/>
        <v/>
      </c>
      <c r="O1771" s="183" t="str">
        <f t="shared" si="410"/>
        <v/>
      </c>
      <c r="P1771" s="199" t="str">
        <f t="shared" si="411"/>
        <v/>
      </c>
      <c r="Q1771" s="199" t="str">
        <f>IF(B1771="","",IFERROR(IF('עלויות כח אדם (6)'!J1771&gt;=VLOOKUP(I1771,'סיווג התפקידים והעלויות'!$B$23:$C$32,2,0),"תקין","לא תקין"),""))</f>
        <v/>
      </c>
      <c r="R1771" s="199" t="str">
        <f t="shared" si="412"/>
        <v/>
      </c>
      <c r="S1771" s="199" t="str">
        <f t="shared" si="413"/>
        <v/>
      </c>
      <c r="T1771" s="199" t="str">
        <f t="shared" si="421"/>
        <v/>
      </c>
      <c r="U1771" s="199" t="str">
        <f t="shared" si="414"/>
        <v/>
      </c>
      <c r="V1771" s="989"/>
      <c r="X1771" s="374" t="str">
        <f t="shared" si="415"/>
        <v/>
      </c>
      <c r="Y1771" s="375" t="str">
        <f t="shared" si="416"/>
        <v/>
      </c>
      <c r="Z1771" s="374" t="str">
        <f t="shared" si="417"/>
        <v/>
      </c>
      <c r="AA1771" s="374" t="b">
        <f t="shared" si="418"/>
        <v>1</v>
      </c>
      <c r="AB1771" s="374">
        <f>COUNTIFS(B:B,B1771,H:H,'סיווג התפקידים והעלויות'!$C$2)</f>
        <v>0</v>
      </c>
      <c r="AC1771" s="374">
        <f>COUNTIFS(B:B,B1771,H:H,'סיווג התפקידים והעלויות'!$D$2)</f>
        <v>0</v>
      </c>
      <c r="AD1771" s="374" t="str">
        <f>IF(OR(AND(H1771='סיווג התפקידים והעלויות'!$A$2,I1771='סיווג התפקידים והעלויות'!$A$3),'עלויות כח אדם (6)'!H1771='סיווג התפקידים והעלויות'!$C$2,'עלויות כח אדם (6)'!H1771='סיווג התפקידים והעלויות'!$D$2),IF('עלויות כח אדם (6)'!J1771&lt;75,"לא תקין","תקין"),"")</f>
        <v/>
      </c>
      <c r="AE1771" s="374" t="str">
        <f t="shared" si="419"/>
        <v/>
      </c>
      <c r="AF1771" s="532" t="str">
        <f t="shared" si="420"/>
        <v/>
      </c>
    </row>
    <row r="1772" spans="2:32" x14ac:dyDescent="0.25">
      <c r="B1772" s="695"/>
      <c r="C1772" s="197" t="str">
        <f>IF(B1772&lt;&gt;"",IFERROR(VLOOKUP(B:B,'מצבת והרשמה (2)'!$C$20:$N$520,2,0)," ")," ")</f>
        <v xml:space="preserve"> </v>
      </c>
      <c r="D1772" s="695"/>
      <c r="E1772" s="696"/>
      <c r="F1772" s="696"/>
      <c r="G1772" s="696"/>
      <c r="H1772" s="696"/>
      <c r="I1772" s="1050" t="str">
        <f t="shared" si="407"/>
        <v/>
      </c>
      <c r="J1772" s="696"/>
      <c r="K1772" s="697"/>
      <c r="L1772" s="696"/>
      <c r="M1772" s="198" t="str">
        <f t="shared" si="408"/>
        <v/>
      </c>
      <c r="N1772" s="369" t="str">
        <f t="shared" si="409"/>
        <v/>
      </c>
      <c r="O1772" s="183" t="str">
        <f t="shared" si="410"/>
        <v/>
      </c>
      <c r="P1772" s="199" t="str">
        <f t="shared" si="411"/>
        <v/>
      </c>
      <c r="Q1772" s="199" t="str">
        <f>IF(B1772="","",IFERROR(IF('עלויות כח אדם (6)'!J1772&gt;=VLOOKUP(I1772,'סיווג התפקידים והעלויות'!$B$23:$C$32,2,0),"תקין","לא תקין"),""))</f>
        <v/>
      </c>
      <c r="R1772" s="199" t="str">
        <f t="shared" si="412"/>
        <v/>
      </c>
      <c r="S1772" s="199" t="str">
        <f t="shared" si="413"/>
        <v/>
      </c>
      <c r="T1772" s="199" t="str">
        <f t="shared" si="421"/>
        <v/>
      </c>
      <c r="U1772" s="199" t="str">
        <f t="shared" si="414"/>
        <v/>
      </c>
      <c r="V1772" s="989"/>
      <c r="X1772" s="374" t="str">
        <f t="shared" si="415"/>
        <v/>
      </c>
      <c r="Y1772" s="375" t="str">
        <f t="shared" si="416"/>
        <v/>
      </c>
      <c r="Z1772" s="374" t="str">
        <f t="shared" si="417"/>
        <v/>
      </c>
      <c r="AA1772" s="374" t="b">
        <f t="shared" si="418"/>
        <v>1</v>
      </c>
      <c r="AB1772" s="374">
        <f>COUNTIFS(B:B,B1772,H:H,'סיווג התפקידים והעלויות'!$C$2)</f>
        <v>0</v>
      </c>
      <c r="AC1772" s="374">
        <f>COUNTIFS(B:B,B1772,H:H,'סיווג התפקידים והעלויות'!$D$2)</f>
        <v>0</v>
      </c>
      <c r="AD1772" s="374" t="str">
        <f>IF(OR(AND(H1772='סיווג התפקידים והעלויות'!$A$2,I1772='סיווג התפקידים והעלויות'!$A$3),'עלויות כח אדם (6)'!H1772='סיווג התפקידים והעלויות'!$C$2,'עלויות כח אדם (6)'!H1772='סיווג התפקידים והעלויות'!$D$2),IF('עלויות כח אדם (6)'!J1772&lt;75,"לא תקין","תקין"),"")</f>
        <v/>
      </c>
      <c r="AE1772" s="374" t="str">
        <f t="shared" si="419"/>
        <v/>
      </c>
      <c r="AF1772" s="532" t="str">
        <f t="shared" si="420"/>
        <v/>
      </c>
    </row>
    <row r="1773" spans="2:32" x14ac:dyDescent="0.25">
      <c r="B1773" s="695"/>
      <c r="C1773" s="197" t="str">
        <f>IF(B1773&lt;&gt;"",IFERROR(VLOOKUP(B:B,'מצבת והרשמה (2)'!$C$20:$N$520,2,0)," ")," ")</f>
        <v xml:space="preserve"> </v>
      </c>
      <c r="D1773" s="695"/>
      <c r="E1773" s="696"/>
      <c r="F1773" s="696"/>
      <c r="G1773" s="696"/>
      <c r="H1773" s="696"/>
      <c r="I1773" s="1050" t="str">
        <f t="shared" si="407"/>
        <v/>
      </c>
      <c r="J1773" s="696"/>
      <c r="K1773" s="697"/>
      <c r="L1773" s="696"/>
      <c r="M1773" s="198" t="str">
        <f t="shared" si="408"/>
        <v/>
      </c>
      <c r="N1773" s="369" t="str">
        <f t="shared" si="409"/>
        <v/>
      </c>
      <c r="O1773" s="183" t="str">
        <f t="shared" si="410"/>
        <v/>
      </c>
      <c r="P1773" s="199" t="str">
        <f t="shared" si="411"/>
        <v/>
      </c>
      <c r="Q1773" s="199" t="str">
        <f>IF(B1773="","",IFERROR(IF('עלויות כח אדם (6)'!J1773&gt;=VLOOKUP(I1773,'סיווג התפקידים והעלויות'!$B$23:$C$32,2,0),"תקין","לא תקין"),""))</f>
        <v/>
      </c>
      <c r="R1773" s="199" t="str">
        <f t="shared" si="412"/>
        <v/>
      </c>
      <c r="S1773" s="199" t="str">
        <f t="shared" si="413"/>
        <v/>
      </c>
      <c r="T1773" s="199" t="str">
        <f t="shared" si="421"/>
        <v/>
      </c>
      <c r="U1773" s="199" t="str">
        <f t="shared" si="414"/>
        <v/>
      </c>
      <c r="V1773" s="989"/>
      <c r="X1773" s="374" t="str">
        <f t="shared" si="415"/>
        <v/>
      </c>
      <c r="Y1773" s="375" t="str">
        <f t="shared" si="416"/>
        <v/>
      </c>
      <c r="Z1773" s="374" t="str">
        <f t="shared" si="417"/>
        <v/>
      </c>
      <c r="AA1773" s="374" t="b">
        <f t="shared" si="418"/>
        <v>1</v>
      </c>
      <c r="AB1773" s="374">
        <f>COUNTIFS(B:B,B1773,H:H,'סיווג התפקידים והעלויות'!$C$2)</f>
        <v>0</v>
      </c>
      <c r="AC1773" s="374">
        <f>COUNTIFS(B:B,B1773,H:H,'סיווג התפקידים והעלויות'!$D$2)</f>
        <v>0</v>
      </c>
      <c r="AD1773" s="374" t="str">
        <f>IF(OR(AND(H1773='סיווג התפקידים והעלויות'!$A$2,I1773='סיווג התפקידים והעלויות'!$A$3),'עלויות כח אדם (6)'!H1773='סיווג התפקידים והעלויות'!$C$2,'עלויות כח אדם (6)'!H1773='סיווג התפקידים והעלויות'!$D$2),IF('עלויות כח אדם (6)'!J1773&lt;75,"לא תקין","תקין"),"")</f>
        <v/>
      </c>
      <c r="AE1773" s="374" t="str">
        <f t="shared" si="419"/>
        <v/>
      </c>
      <c r="AF1773" s="532" t="str">
        <f t="shared" si="420"/>
        <v/>
      </c>
    </row>
    <row r="1774" spans="2:32" x14ac:dyDescent="0.25">
      <c r="B1774" s="695"/>
      <c r="C1774" s="197" t="str">
        <f>IF(B1774&lt;&gt;"",IFERROR(VLOOKUP(B:B,'מצבת והרשמה (2)'!$C$20:$N$520,2,0)," ")," ")</f>
        <v xml:space="preserve"> </v>
      </c>
      <c r="D1774" s="695"/>
      <c r="E1774" s="696"/>
      <c r="F1774" s="696"/>
      <c r="G1774" s="696"/>
      <c r="H1774" s="696"/>
      <c r="I1774" s="1050" t="str">
        <f t="shared" si="407"/>
        <v/>
      </c>
      <c r="J1774" s="696"/>
      <c r="K1774" s="697"/>
      <c r="L1774" s="696"/>
      <c r="M1774" s="198" t="str">
        <f t="shared" si="408"/>
        <v/>
      </c>
      <c r="N1774" s="369" t="str">
        <f t="shared" si="409"/>
        <v/>
      </c>
      <c r="O1774" s="183" t="str">
        <f t="shared" si="410"/>
        <v/>
      </c>
      <c r="P1774" s="199" t="str">
        <f t="shared" si="411"/>
        <v/>
      </c>
      <c r="Q1774" s="199" t="str">
        <f>IF(B1774="","",IFERROR(IF('עלויות כח אדם (6)'!J1774&gt;=VLOOKUP(I1774,'סיווג התפקידים והעלויות'!$B$23:$C$32,2,0),"תקין","לא תקין"),""))</f>
        <v/>
      </c>
      <c r="R1774" s="199" t="str">
        <f t="shared" si="412"/>
        <v/>
      </c>
      <c r="S1774" s="199" t="str">
        <f t="shared" si="413"/>
        <v/>
      </c>
      <c r="T1774" s="199" t="str">
        <f t="shared" si="421"/>
        <v/>
      </c>
      <c r="U1774" s="199" t="str">
        <f t="shared" si="414"/>
        <v/>
      </c>
      <c r="V1774" s="989"/>
      <c r="X1774" s="374" t="str">
        <f t="shared" si="415"/>
        <v/>
      </c>
      <c r="Y1774" s="375" t="str">
        <f t="shared" si="416"/>
        <v/>
      </c>
      <c r="Z1774" s="374" t="str">
        <f t="shared" si="417"/>
        <v/>
      </c>
      <c r="AA1774" s="374" t="b">
        <f t="shared" si="418"/>
        <v>1</v>
      </c>
      <c r="AB1774" s="374">
        <f>COUNTIFS(B:B,B1774,H:H,'סיווג התפקידים והעלויות'!$C$2)</f>
        <v>0</v>
      </c>
      <c r="AC1774" s="374">
        <f>COUNTIFS(B:B,B1774,H:H,'סיווג התפקידים והעלויות'!$D$2)</f>
        <v>0</v>
      </c>
      <c r="AD1774" s="374" t="str">
        <f>IF(OR(AND(H1774='סיווג התפקידים והעלויות'!$A$2,I1774='סיווג התפקידים והעלויות'!$A$3),'עלויות כח אדם (6)'!H1774='סיווג התפקידים והעלויות'!$C$2,'עלויות כח אדם (6)'!H1774='סיווג התפקידים והעלויות'!$D$2),IF('עלויות כח אדם (6)'!J1774&lt;75,"לא תקין","תקין"),"")</f>
        <v/>
      </c>
      <c r="AE1774" s="374" t="str">
        <f t="shared" si="419"/>
        <v/>
      </c>
      <c r="AF1774" s="532" t="str">
        <f t="shared" si="420"/>
        <v/>
      </c>
    </row>
    <row r="1775" spans="2:32" x14ac:dyDescent="0.25">
      <c r="B1775" s="695"/>
      <c r="C1775" s="197" t="str">
        <f>IF(B1775&lt;&gt;"",IFERROR(VLOOKUP(B:B,'מצבת והרשמה (2)'!$C$20:$N$520,2,0)," ")," ")</f>
        <v xml:space="preserve"> </v>
      </c>
      <c r="D1775" s="695"/>
      <c r="E1775" s="696"/>
      <c r="F1775" s="696"/>
      <c r="G1775" s="696"/>
      <c r="H1775" s="696"/>
      <c r="I1775" s="1050" t="str">
        <f t="shared" si="407"/>
        <v/>
      </c>
      <c r="J1775" s="696"/>
      <c r="K1775" s="697"/>
      <c r="L1775" s="696"/>
      <c r="M1775" s="198" t="str">
        <f t="shared" si="408"/>
        <v/>
      </c>
      <c r="N1775" s="369" t="str">
        <f t="shared" si="409"/>
        <v/>
      </c>
      <c r="O1775" s="183" t="str">
        <f t="shared" si="410"/>
        <v/>
      </c>
      <c r="P1775" s="199" t="str">
        <f t="shared" si="411"/>
        <v/>
      </c>
      <c r="Q1775" s="199" t="str">
        <f>IF(B1775="","",IFERROR(IF('עלויות כח אדם (6)'!J1775&gt;=VLOOKUP(I1775,'סיווג התפקידים והעלויות'!$B$23:$C$32,2,0),"תקין","לא תקין"),""))</f>
        <v/>
      </c>
      <c r="R1775" s="199" t="str">
        <f t="shared" si="412"/>
        <v/>
      </c>
      <c r="S1775" s="199" t="str">
        <f t="shared" si="413"/>
        <v/>
      </c>
      <c r="T1775" s="199" t="str">
        <f t="shared" si="421"/>
        <v/>
      </c>
      <c r="U1775" s="199" t="str">
        <f t="shared" si="414"/>
        <v/>
      </c>
      <c r="V1775" s="989"/>
      <c r="X1775" s="374" t="str">
        <f t="shared" si="415"/>
        <v/>
      </c>
      <c r="Y1775" s="375" t="str">
        <f t="shared" si="416"/>
        <v/>
      </c>
      <c r="Z1775" s="374" t="str">
        <f t="shared" si="417"/>
        <v/>
      </c>
      <c r="AA1775" s="374" t="b">
        <f t="shared" si="418"/>
        <v>1</v>
      </c>
      <c r="AB1775" s="374">
        <f>COUNTIFS(B:B,B1775,H:H,'סיווג התפקידים והעלויות'!$C$2)</f>
        <v>0</v>
      </c>
      <c r="AC1775" s="374">
        <f>COUNTIFS(B:B,B1775,H:H,'סיווג התפקידים והעלויות'!$D$2)</f>
        <v>0</v>
      </c>
      <c r="AD1775" s="374" t="str">
        <f>IF(OR(AND(H1775='סיווג התפקידים והעלויות'!$A$2,I1775='סיווג התפקידים והעלויות'!$A$3),'עלויות כח אדם (6)'!H1775='סיווג התפקידים והעלויות'!$C$2,'עלויות כח אדם (6)'!H1775='סיווג התפקידים והעלויות'!$D$2),IF('עלויות כח אדם (6)'!J1775&lt;75,"לא תקין","תקין"),"")</f>
        <v/>
      </c>
      <c r="AE1775" s="374" t="str">
        <f t="shared" si="419"/>
        <v/>
      </c>
      <c r="AF1775" s="532" t="str">
        <f t="shared" si="420"/>
        <v/>
      </c>
    </row>
    <row r="1776" spans="2:32" x14ac:dyDescent="0.25">
      <c r="B1776" s="695"/>
      <c r="C1776" s="197" t="str">
        <f>IF(B1776&lt;&gt;"",IFERROR(VLOOKUP(B:B,'מצבת והרשמה (2)'!$C$20:$N$520,2,0)," ")," ")</f>
        <v xml:space="preserve"> </v>
      </c>
      <c r="D1776" s="695"/>
      <c r="E1776" s="696"/>
      <c r="F1776" s="696"/>
      <c r="G1776" s="696"/>
      <c r="H1776" s="696"/>
      <c r="I1776" s="1050" t="str">
        <f t="shared" si="407"/>
        <v/>
      </c>
      <c r="J1776" s="696"/>
      <c r="K1776" s="697"/>
      <c r="L1776" s="696"/>
      <c r="M1776" s="198" t="str">
        <f t="shared" si="408"/>
        <v/>
      </c>
      <c r="N1776" s="369" t="str">
        <f t="shared" si="409"/>
        <v/>
      </c>
      <c r="O1776" s="183" t="str">
        <f t="shared" si="410"/>
        <v/>
      </c>
      <c r="P1776" s="199" t="str">
        <f t="shared" si="411"/>
        <v/>
      </c>
      <c r="Q1776" s="199" t="str">
        <f>IF(B1776="","",IFERROR(IF('עלויות כח אדם (6)'!J1776&gt;=VLOOKUP(I1776,'סיווג התפקידים והעלויות'!$B$23:$C$32,2,0),"תקין","לא תקין"),""))</f>
        <v/>
      </c>
      <c r="R1776" s="199" t="str">
        <f t="shared" si="412"/>
        <v/>
      </c>
      <c r="S1776" s="199" t="str">
        <f t="shared" si="413"/>
        <v/>
      </c>
      <c r="T1776" s="199" t="str">
        <f t="shared" si="421"/>
        <v/>
      </c>
      <c r="U1776" s="199" t="str">
        <f t="shared" si="414"/>
        <v/>
      </c>
      <c r="V1776" s="989"/>
      <c r="X1776" s="374" t="str">
        <f t="shared" si="415"/>
        <v/>
      </c>
      <c r="Y1776" s="375" t="str">
        <f t="shared" si="416"/>
        <v/>
      </c>
      <c r="Z1776" s="374" t="str">
        <f t="shared" si="417"/>
        <v/>
      </c>
      <c r="AA1776" s="374" t="b">
        <f t="shared" si="418"/>
        <v>1</v>
      </c>
      <c r="AB1776" s="374">
        <f>COUNTIFS(B:B,B1776,H:H,'סיווג התפקידים והעלויות'!$C$2)</f>
        <v>0</v>
      </c>
      <c r="AC1776" s="374">
        <f>COUNTIFS(B:B,B1776,H:H,'סיווג התפקידים והעלויות'!$D$2)</f>
        <v>0</v>
      </c>
      <c r="AD1776" s="374" t="str">
        <f>IF(OR(AND(H1776='סיווג התפקידים והעלויות'!$A$2,I1776='סיווג התפקידים והעלויות'!$A$3),'עלויות כח אדם (6)'!H1776='סיווג התפקידים והעלויות'!$C$2,'עלויות כח אדם (6)'!H1776='סיווג התפקידים והעלויות'!$D$2),IF('עלויות כח אדם (6)'!J1776&lt;75,"לא תקין","תקין"),"")</f>
        <v/>
      </c>
      <c r="AE1776" s="374" t="str">
        <f t="shared" si="419"/>
        <v/>
      </c>
      <c r="AF1776" s="532" t="str">
        <f t="shared" si="420"/>
        <v/>
      </c>
    </row>
    <row r="1777" spans="2:32" x14ac:dyDescent="0.25">
      <c r="B1777" s="695"/>
      <c r="C1777" s="197" t="str">
        <f>IF(B1777&lt;&gt;"",IFERROR(VLOOKUP(B:B,'מצבת והרשמה (2)'!$C$20:$N$520,2,0)," ")," ")</f>
        <v xml:space="preserve"> </v>
      </c>
      <c r="D1777" s="695"/>
      <c r="E1777" s="696"/>
      <c r="F1777" s="696"/>
      <c r="G1777" s="696"/>
      <c r="H1777" s="696"/>
      <c r="I1777" s="1050" t="str">
        <f t="shared" si="407"/>
        <v/>
      </c>
      <c r="J1777" s="696"/>
      <c r="K1777" s="697"/>
      <c r="L1777" s="696"/>
      <c r="M1777" s="198" t="str">
        <f t="shared" si="408"/>
        <v/>
      </c>
      <c r="N1777" s="369" t="str">
        <f t="shared" si="409"/>
        <v/>
      </c>
      <c r="O1777" s="183" t="str">
        <f t="shared" si="410"/>
        <v/>
      </c>
      <c r="P1777" s="199" t="str">
        <f t="shared" si="411"/>
        <v/>
      </c>
      <c r="Q1777" s="199" t="str">
        <f>IF(B1777="","",IFERROR(IF('עלויות כח אדם (6)'!J1777&gt;=VLOOKUP(I1777,'סיווג התפקידים והעלויות'!$B$23:$C$32,2,0),"תקין","לא תקין"),""))</f>
        <v/>
      </c>
      <c r="R1777" s="199" t="str">
        <f t="shared" si="412"/>
        <v/>
      </c>
      <c r="S1777" s="199" t="str">
        <f t="shared" si="413"/>
        <v/>
      </c>
      <c r="T1777" s="199" t="str">
        <f t="shared" si="421"/>
        <v/>
      </c>
      <c r="U1777" s="199" t="str">
        <f t="shared" si="414"/>
        <v/>
      </c>
      <c r="V1777" s="989"/>
      <c r="X1777" s="374" t="str">
        <f t="shared" si="415"/>
        <v/>
      </c>
      <c r="Y1777" s="375" t="str">
        <f t="shared" si="416"/>
        <v/>
      </c>
      <c r="Z1777" s="374" t="str">
        <f t="shared" si="417"/>
        <v/>
      </c>
      <c r="AA1777" s="374" t="b">
        <f t="shared" si="418"/>
        <v>1</v>
      </c>
      <c r="AB1777" s="374">
        <f>COUNTIFS(B:B,B1777,H:H,'סיווג התפקידים והעלויות'!$C$2)</f>
        <v>0</v>
      </c>
      <c r="AC1777" s="374">
        <f>COUNTIFS(B:B,B1777,H:H,'סיווג התפקידים והעלויות'!$D$2)</f>
        <v>0</v>
      </c>
      <c r="AD1777" s="374" t="str">
        <f>IF(OR(AND(H1777='סיווג התפקידים והעלויות'!$A$2,I1777='סיווג התפקידים והעלויות'!$A$3),'עלויות כח אדם (6)'!H1777='סיווג התפקידים והעלויות'!$C$2,'עלויות כח אדם (6)'!H1777='סיווג התפקידים והעלויות'!$D$2),IF('עלויות כח אדם (6)'!J1777&lt;75,"לא תקין","תקין"),"")</f>
        <v/>
      </c>
      <c r="AE1777" s="374" t="str">
        <f t="shared" si="419"/>
        <v/>
      </c>
      <c r="AF1777" s="532" t="str">
        <f t="shared" si="420"/>
        <v/>
      </c>
    </row>
    <row r="1778" spans="2:32" x14ac:dyDescent="0.25">
      <c r="B1778" s="695"/>
      <c r="C1778" s="197" t="str">
        <f>IF(B1778&lt;&gt;"",IFERROR(VLOOKUP(B:B,'מצבת והרשמה (2)'!$C$20:$N$520,2,0)," ")," ")</f>
        <v xml:space="preserve"> </v>
      </c>
      <c r="D1778" s="695"/>
      <c r="E1778" s="696"/>
      <c r="F1778" s="696"/>
      <c r="G1778" s="696"/>
      <c r="H1778" s="696"/>
      <c r="I1778" s="1050" t="str">
        <f t="shared" si="407"/>
        <v/>
      </c>
      <c r="J1778" s="696"/>
      <c r="K1778" s="697"/>
      <c r="L1778" s="696"/>
      <c r="M1778" s="198" t="str">
        <f t="shared" si="408"/>
        <v/>
      </c>
      <c r="N1778" s="369" t="str">
        <f t="shared" si="409"/>
        <v/>
      </c>
      <c r="O1778" s="183" t="str">
        <f t="shared" si="410"/>
        <v/>
      </c>
      <c r="P1778" s="199" t="str">
        <f t="shared" si="411"/>
        <v/>
      </c>
      <c r="Q1778" s="199" t="str">
        <f>IF(B1778="","",IFERROR(IF('עלויות כח אדם (6)'!J1778&gt;=VLOOKUP(I1778,'סיווג התפקידים והעלויות'!$B$23:$C$32,2,0),"תקין","לא תקין"),""))</f>
        <v/>
      </c>
      <c r="R1778" s="199" t="str">
        <f t="shared" si="412"/>
        <v/>
      </c>
      <c r="S1778" s="199" t="str">
        <f t="shared" si="413"/>
        <v/>
      </c>
      <c r="T1778" s="199" t="str">
        <f t="shared" si="421"/>
        <v/>
      </c>
      <c r="U1778" s="199" t="str">
        <f t="shared" si="414"/>
        <v/>
      </c>
      <c r="V1778" s="989"/>
      <c r="X1778" s="374" t="str">
        <f t="shared" si="415"/>
        <v/>
      </c>
      <c r="Y1778" s="375" t="str">
        <f t="shared" si="416"/>
        <v/>
      </c>
      <c r="Z1778" s="374" t="str">
        <f t="shared" si="417"/>
        <v/>
      </c>
      <c r="AA1778" s="374" t="b">
        <f t="shared" si="418"/>
        <v>1</v>
      </c>
      <c r="AB1778" s="374">
        <f>COUNTIFS(B:B,B1778,H:H,'סיווג התפקידים והעלויות'!$C$2)</f>
        <v>0</v>
      </c>
      <c r="AC1778" s="374">
        <f>COUNTIFS(B:B,B1778,H:H,'סיווג התפקידים והעלויות'!$D$2)</f>
        <v>0</v>
      </c>
      <c r="AD1778" s="374" t="str">
        <f>IF(OR(AND(H1778='סיווג התפקידים והעלויות'!$A$2,I1778='סיווג התפקידים והעלויות'!$A$3),'עלויות כח אדם (6)'!H1778='סיווג התפקידים והעלויות'!$C$2,'עלויות כח אדם (6)'!H1778='סיווג התפקידים והעלויות'!$D$2),IF('עלויות כח אדם (6)'!J1778&lt;75,"לא תקין","תקין"),"")</f>
        <v/>
      </c>
      <c r="AE1778" s="374" t="str">
        <f t="shared" si="419"/>
        <v/>
      </c>
      <c r="AF1778" s="532" t="str">
        <f t="shared" si="420"/>
        <v/>
      </c>
    </row>
    <row r="1779" spans="2:32" x14ac:dyDescent="0.25">
      <c r="B1779" s="695"/>
      <c r="C1779" s="197" t="str">
        <f>IF(B1779&lt;&gt;"",IFERROR(VLOOKUP(B:B,'מצבת והרשמה (2)'!$C$20:$N$520,2,0)," ")," ")</f>
        <v xml:space="preserve"> </v>
      </c>
      <c r="D1779" s="695"/>
      <c r="E1779" s="696"/>
      <c r="F1779" s="696"/>
      <c r="G1779" s="696"/>
      <c r="H1779" s="696"/>
      <c r="I1779" s="1050" t="str">
        <f t="shared" si="407"/>
        <v/>
      </c>
      <c r="J1779" s="696"/>
      <c r="K1779" s="697"/>
      <c r="L1779" s="696"/>
      <c r="M1779" s="198" t="str">
        <f t="shared" si="408"/>
        <v/>
      </c>
      <c r="N1779" s="369" t="str">
        <f t="shared" si="409"/>
        <v/>
      </c>
      <c r="O1779" s="183" t="str">
        <f t="shared" si="410"/>
        <v/>
      </c>
      <c r="P1779" s="199" t="str">
        <f t="shared" si="411"/>
        <v/>
      </c>
      <c r="Q1779" s="199" t="str">
        <f>IF(B1779="","",IFERROR(IF('עלויות כח אדם (6)'!J1779&gt;=VLOOKUP(I1779,'סיווג התפקידים והעלויות'!$B$23:$C$32,2,0),"תקין","לא תקין"),""))</f>
        <v/>
      </c>
      <c r="R1779" s="199" t="str">
        <f t="shared" si="412"/>
        <v/>
      </c>
      <c r="S1779" s="199" t="str">
        <f t="shared" si="413"/>
        <v/>
      </c>
      <c r="T1779" s="199" t="str">
        <f t="shared" si="421"/>
        <v/>
      </c>
      <c r="U1779" s="199" t="str">
        <f t="shared" si="414"/>
        <v/>
      </c>
      <c r="V1779" s="989"/>
      <c r="X1779" s="374" t="str">
        <f t="shared" si="415"/>
        <v/>
      </c>
      <c r="Y1779" s="375" t="str">
        <f t="shared" si="416"/>
        <v/>
      </c>
      <c r="Z1779" s="374" t="str">
        <f t="shared" si="417"/>
        <v/>
      </c>
      <c r="AA1779" s="374" t="b">
        <f t="shared" si="418"/>
        <v>1</v>
      </c>
      <c r="AB1779" s="374">
        <f>COUNTIFS(B:B,B1779,H:H,'סיווג התפקידים והעלויות'!$C$2)</f>
        <v>0</v>
      </c>
      <c r="AC1779" s="374">
        <f>COUNTIFS(B:B,B1779,H:H,'סיווג התפקידים והעלויות'!$D$2)</f>
        <v>0</v>
      </c>
      <c r="AD1779" s="374" t="str">
        <f>IF(OR(AND(H1779='סיווג התפקידים והעלויות'!$A$2,I1779='סיווג התפקידים והעלויות'!$A$3),'עלויות כח אדם (6)'!H1779='סיווג התפקידים והעלויות'!$C$2,'עלויות כח אדם (6)'!H1779='סיווג התפקידים והעלויות'!$D$2),IF('עלויות כח אדם (6)'!J1779&lt;75,"לא תקין","תקין"),"")</f>
        <v/>
      </c>
      <c r="AE1779" s="374" t="str">
        <f t="shared" si="419"/>
        <v/>
      </c>
      <c r="AF1779" s="532" t="str">
        <f t="shared" si="420"/>
        <v/>
      </c>
    </row>
    <row r="1780" spans="2:32" x14ac:dyDescent="0.25">
      <c r="B1780" s="695"/>
      <c r="C1780" s="197" t="str">
        <f>IF(B1780&lt;&gt;"",IFERROR(VLOOKUP(B:B,'מצבת והרשמה (2)'!$C$20:$N$520,2,0)," ")," ")</f>
        <v xml:space="preserve"> </v>
      </c>
      <c r="D1780" s="695"/>
      <c r="E1780" s="696"/>
      <c r="F1780" s="696"/>
      <c r="G1780" s="696"/>
      <c r="H1780" s="696"/>
      <c r="I1780" s="1050" t="str">
        <f t="shared" si="407"/>
        <v/>
      </c>
      <c r="J1780" s="696"/>
      <c r="K1780" s="697"/>
      <c r="L1780" s="696"/>
      <c r="M1780" s="198" t="str">
        <f t="shared" si="408"/>
        <v/>
      </c>
      <c r="N1780" s="369" t="str">
        <f t="shared" si="409"/>
        <v/>
      </c>
      <c r="O1780" s="183" t="str">
        <f t="shared" si="410"/>
        <v/>
      </c>
      <c r="P1780" s="199" t="str">
        <f t="shared" si="411"/>
        <v/>
      </c>
      <c r="Q1780" s="199" t="str">
        <f>IF(B1780="","",IFERROR(IF('עלויות כח אדם (6)'!J1780&gt;=VLOOKUP(I1780,'סיווג התפקידים והעלויות'!$B$23:$C$32,2,0),"תקין","לא תקין"),""))</f>
        <v/>
      </c>
      <c r="R1780" s="199" t="str">
        <f t="shared" si="412"/>
        <v/>
      </c>
      <c r="S1780" s="199" t="str">
        <f t="shared" si="413"/>
        <v/>
      </c>
      <c r="T1780" s="199" t="str">
        <f t="shared" si="421"/>
        <v/>
      </c>
      <c r="U1780" s="199" t="str">
        <f t="shared" si="414"/>
        <v/>
      </c>
      <c r="V1780" s="989"/>
      <c r="X1780" s="374" t="str">
        <f t="shared" si="415"/>
        <v/>
      </c>
      <c r="Y1780" s="375" t="str">
        <f t="shared" si="416"/>
        <v/>
      </c>
      <c r="Z1780" s="374" t="str">
        <f t="shared" si="417"/>
        <v/>
      </c>
      <c r="AA1780" s="374" t="b">
        <f t="shared" si="418"/>
        <v>1</v>
      </c>
      <c r="AB1780" s="374">
        <f>COUNTIFS(B:B,B1780,H:H,'סיווג התפקידים והעלויות'!$C$2)</f>
        <v>0</v>
      </c>
      <c r="AC1780" s="374">
        <f>COUNTIFS(B:B,B1780,H:H,'סיווג התפקידים והעלויות'!$D$2)</f>
        <v>0</v>
      </c>
      <c r="AD1780" s="374" t="str">
        <f>IF(OR(AND(H1780='סיווג התפקידים והעלויות'!$A$2,I1780='סיווג התפקידים והעלויות'!$A$3),'עלויות כח אדם (6)'!H1780='סיווג התפקידים והעלויות'!$C$2,'עלויות כח אדם (6)'!H1780='סיווג התפקידים והעלויות'!$D$2),IF('עלויות כח אדם (6)'!J1780&lt;75,"לא תקין","תקין"),"")</f>
        <v/>
      </c>
      <c r="AE1780" s="374" t="str">
        <f t="shared" si="419"/>
        <v/>
      </c>
      <c r="AF1780" s="532" t="str">
        <f t="shared" si="420"/>
        <v/>
      </c>
    </row>
    <row r="1781" spans="2:32" x14ac:dyDescent="0.25">
      <c r="B1781" s="695"/>
      <c r="C1781" s="197" t="str">
        <f>IF(B1781&lt;&gt;"",IFERROR(VLOOKUP(B:B,'מצבת והרשמה (2)'!$C$20:$N$520,2,0)," ")," ")</f>
        <v xml:space="preserve"> </v>
      </c>
      <c r="D1781" s="695"/>
      <c r="E1781" s="696"/>
      <c r="F1781" s="696"/>
      <c r="G1781" s="696"/>
      <c r="H1781" s="696"/>
      <c r="I1781" s="1050" t="str">
        <f t="shared" si="407"/>
        <v/>
      </c>
      <c r="J1781" s="696"/>
      <c r="K1781" s="697"/>
      <c r="L1781" s="696"/>
      <c r="M1781" s="198" t="str">
        <f t="shared" si="408"/>
        <v/>
      </c>
      <c r="N1781" s="369" t="str">
        <f t="shared" si="409"/>
        <v/>
      </c>
      <c r="O1781" s="183" t="str">
        <f t="shared" si="410"/>
        <v/>
      </c>
      <c r="P1781" s="199" t="str">
        <f t="shared" si="411"/>
        <v/>
      </c>
      <c r="Q1781" s="199" t="str">
        <f>IF(B1781="","",IFERROR(IF('עלויות כח אדם (6)'!J1781&gt;=VLOOKUP(I1781,'סיווג התפקידים והעלויות'!$B$23:$C$32,2,0),"תקין","לא תקין"),""))</f>
        <v/>
      </c>
      <c r="R1781" s="199" t="str">
        <f t="shared" si="412"/>
        <v/>
      </c>
      <c r="S1781" s="199" t="str">
        <f t="shared" si="413"/>
        <v/>
      </c>
      <c r="T1781" s="199" t="str">
        <f t="shared" si="421"/>
        <v/>
      </c>
      <c r="U1781" s="199" t="str">
        <f t="shared" si="414"/>
        <v/>
      </c>
      <c r="V1781" s="989"/>
      <c r="X1781" s="374" t="str">
        <f t="shared" si="415"/>
        <v/>
      </c>
      <c r="Y1781" s="375" t="str">
        <f t="shared" si="416"/>
        <v/>
      </c>
      <c r="Z1781" s="374" t="str">
        <f t="shared" si="417"/>
        <v/>
      </c>
      <c r="AA1781" s="374" t="b">
        <f t="shared" si="418"/>
        <v>1</v>
      </c>
      <c r="AB1781" s="374">
        <f>COUNTIFS(B:B,B1781,H:H,'סיווג התפקידים והעלויות'!$C$2)</f>
        <v>0</v>
      </c>
      <c r="AC1781" s="374">
        <f>COUNTIFS(B:B,B1781,H:H,'סיווג התפקידים והעלויות'!$D$2)</f>
        <v>0</v>
      </c>
      <c r="AD1781" s="374" t="str">
        <f>IF(OR(AND(H1781='סיווג התפקידים והעלויות'!$A$2,I1781='סיווג התפקידים והעלויות'!$A$3),'עלויות כח אדם (6)'!H1781='סיווג התפקידים והעלויות'!$C$2,'עלויות כח אדם (6)'!H1781='סיווג התפקידים והעלויות'!$D$2),IF('עלויות כח אדם (6)'!J1781&lt;75,"לא תקין","תקין"),"")</f>
        <v/>
      </c>
      <c r="AE1781" s="374" t="str">
        <f t="shared" si="419"/>
        <v/>
      </c>
      <c r="AF1781" s="532" t="str">
        <f t="shared" si="420"/>
        <v/>
      </c>
    </row>
    <row r="1782" spans="2:32" x14ac:dyDescent="0.25">
      <c r="B1782" s="695"/>
      <c r="C1782" s="197" t="str">
        <f>IF(B1782&lt;&gt;"",IFERROR(VLOOKUP(B:B,'מצבת והרשמה (2)'!$C$20:$N$520,2,0)," ")," ")</f>
        <v xml:space="preserve"> </v>
      </c>
      <c r="D1782" s="695"/>
      <c r="E1782" s="696"/>
      <c r="F1782" s="696"/>
      <c r="G1782" s="696"/>
      <c r="H1782" s="696"/>
      <c r="I1782" s="1050" t="str">
        <f t="shared" si="407"/>
        <v/>
      </c>
      <c r="J1782" s="696"/>
      <c r="K1782" s="697"/>
      <c r="L1782" s="696"/>
      <c r="M1782" s="198" t="str">
        <f t="shared" si="408"/>
        <v/>
      </c>
      <c r="N1782" s="369" t="str">
        <f t="shared" si="409"/>
        <v/>
      </c>
      <c r="O1782" s="183" t="str">
        <f t="shared" si="410"/>
        <v/>
      </c>
      <c r="P1782" s="199" t="str">
        <f t="shared" si="411"/>
        <v/>
      </c>
      <c r="Q1782" s="199" t="str">
        <f>IF(B1782="","",IFERROR(IF('עלויות כח אדם (6)'!J1782&gt;=VLOOKUP(I1782,'סיווג התפקידים והעלויות'!$B$23:$C$32,2,0),"תקין","לא תקין"),""))</f>
        <v/>
      </c>
      <c r="R1782" s="199" t="str">
        <f t="shared" si="412"/>
        <v/>
      </c>
      <c r="S1782" s="199" t="str">
        <f t="shared" si="413"/>
        <v/>
      </c>
      <c r="T1782" s="199" t="str">
        <f t="shared" si="421"/>
        <v/>
      </c>
      <c r="U1782" s="199" t="str">
        <f t="shared" si="414"/>
        <v/>
      </c>
      <c r="V1782" s="989"/>
      <c r="X1782" s="374" t="str">
        <f t="shared" si="415"/>
        <v/>
      </c>
      <c r="Y1782" s="375" t="str">
        <f t="shared" si="416"/>
        <v/>
      </c>
      <c r="Z1782" s="374" t="str">
        <f t="shared" si="417"/>
        <v/>
      </c>
      <c r="AA1782" s="374" t="b">
        <f t="shared" si="418"/>
        <v>1</v>
      </c>
      <c r="AB1782" s="374">
        <f>COUNTIFS(B:B,B1782,H:H,'סיווג התפקידים והעלויות'!$C$2)</f>
        <v>0</v>
      </c>
      <c r="AC1782" s="374">
        <f>COUNTIFS(B:B,B1782,H:H,'סיווג התפקידים והעלויות'!$D$2)</f>
        <v>0</v>
      </c>
      <c r="AD1782" s="374" t="str">
        <f>IF(OR(AND(H1782='סיווג התפקידים והעלויות'!$A$2,I1782='סיווג התפקידים והעלויות'!$A$3),'עלויות כח אדם (6)'!H1782='סיווג התפקידים והעלויות'!$C$2,'עלויות כח אדם (6)'!H1782='סיווג התפקידים והעלויות'!$D$2),IF('עלויות כח אדם (6)'!J1782&lt;75,"לא תקין","תקין"),"")</f>
        <v/>
      </c>
      <c r="AE1782" s="374" t="str">
        <f t="shared" si="419"/>
        <v/>
      </c>
      <c r="AF1782" s="532" t="str">
        <f t="shared" si="420"/>
        <v/>
      </c>
    </row>
    <row r="1783" spans="2:32" x14ac:dyDescent="0.25">
      <c r="B1783" s="695"/>
      <c r="C1783" s="197" t="str">
        <f>IF(B1783&lt;&gt;"",IFERROR(VLOOKUP(B:B,'מצבת והרשמה (2)'!$C$20:$N$520,2,0)," ")," ")</f>
        <v xml:space="preserve"> </v>
      </c>
      <c r="D1783" s="695"/>
      <c r="E1783" s="696"/>
      <c r="F1783" s="696"/>
      <c r="G1783" s="696"/>
      <c r="H1783" s="696"/>
      <c r="I1783" s="1050" t="str">
        <f t="shared" si="407"/>
        <v/>
      </c>
      <c r="J1783" s="696"/>
      <c r="K1783" s="697"/>
      <c r="L1783" s="696"/>
      <c r="M1783" s="198" t="str">
        <f t="shared" si="408"/>
        <v/>
      </c>
      <c r="N1783" s="369" t="str">
        <f t="shared" si="409"/>
        <v/>
      </c>
      <c r="O1783" s="183" t="str">
        <f t="shared" si="410"/>
        <v/>
      </c>
      <c r="P1783" s="199" t="str">
        <f t="shared" si="411"/>
        <v/>
      </c>
      <c r="Q1783" s="199" t="str">
        <f>IF(B1783="","",IFERROR(IF('עלויות כח אדם (6)'!J1783&gt;=VLOOKUP(I1783,'סיווג התפקידים והעלויות'!$B$23:$C$32,2,0),"תקין","לא תקין"),""))</f>
        <v/>
      </c>
      <c r="R1783" s="199" t="str">
        <f t="shared" si="412"/>
        <v/>
      </c>
      <c r="S1783" s="199" t="str">
        <f t="shared" si="413"/>
        <v/>
      </c>
      <c r="T1783" s="199" t="str">
        <f t="shared" si="421"/>
        <v/>
      </c>
      <c r="U1783" s="199" t="str">
        <f t="shared" si="414"/>
        <v/>
      </c>
      <c r="V1783" s="989"/>
      <c r="X1783" s="374" t="str">
        <f t="shared" si="415"/>
        <v/>
      </c>
      <c r="Y1783" s="375" t="str">
        <f t="shared" si="416"/>
        <v/>
      </c>
      <c r="Z1783" s="374" t="str">
        <f t="shared" si="417"/>
        <v/>
      </c>
      <c r="AA1783" s="374" t="b">
        <f t="shared" si="418"/>
        <v>1</v>
      </c>
      <c r="AB1783" s="374">
        <f>COUNTIFS(B:B,B1783,H:H,'סיווג התפקידים והעלויות'!$C$2)</f>
        <v>0</v>
      </c>
      <c r="AC1783" s="374">
        <f>COUNTIFS(B:B,B1783,H:H,'סיווג התפקידים והעלויות'!$D$2)</f>
        <v>0</v>
      </c>
      <c r="AD1783" s="374" t="str">
        <f>IF(OR(AND(H1783='סיווג התפקידים והעלויות'!$A$2,I1783='סיווג התפקידים והעלויות'!$A$3),'עלויות כח אדם (6)'!H1783='סיווג התפקידים והעלויות'!$C$2,'עלויות כח אדם (6)'!H1783='סיווג התפקידים והעלויות'!$D$2),IF('עלויות כח אדם (6)'!J1783&lt;75,"לא תקין","תקין"),"")</f>
        <v/>
      </c>
      <c r="AE1783" s="374" t="str">
        <f t="shared" si="419"/>
        <v/>
      </c>
      <c r="AF1783" s="532" t="str">
        <f t="shared" si="420"/>
        <v/>
      </c>
    </row>
    <row r="1784" spans="2:32" x14ac:dyDescent="0.25">
      <c r="B1784" s="695"/>
      <c r="C1784" s="197" t="str">
        <f>IF(B1784&lt;&gt;"",IFERROR(VLOOKUP(B:B,'מצבת והרשמה (2)'!$C$20:$N$520,2,0)," ")," ")</f>
        <v xml:space="preserve"> </v>
      </c>
      <c r="D1784" s="695"/>
      <c r="E1784" s="696"/>
      <c r="F1784" s="696"/>
      <c r="G1784" s="696"/>
      <c r="H1784" s="696"/>
      <c r="I1784" s="1050" t="str">
        <f t="shared" si="407"/>
        <v/>
      </c>
      <c r="J1784" s="696"/>
      <c r="K1784" s="697"/>
      <c r="L1784" s="696"/>
      <c r="M1784" s="198" t="str">
        <f t="shared" si="408"/>
        <v/>
      </c>
      <c r="N1784" s="369" t="str">
        <f t="shared" si="409"/>
        <v/>
      </c>
      <c r="O1784" s="183" t="str">
        <f t="shared" si="410"/>
        <v/>
      </c>
      <c r="P1784" s="199" t="str">
        <f t="shared" si="411"/>
        <v/>
      </c>
      <c r="Q1784" s="199" t="str">
        <f>IF(B1784="","",IFERROR(IF('עלויות כח אדם (6)'!J1784&gt;=VLOOKUP(I1784,'סיווג התפקידים והעלויות'!$B$23:$C$32,2,0),"תקין","לא תקין"),""))</f>
        <v/>
      </c>
      <c r="R1784" s="199" t="str">
        <f t="shared" si="412"/>
        <v/>
      </c>
      <c r="S1784" s="199" t="str">
        <f t="shared" si="413"/>
        <v/>
      </c>
      <c r="T1784" s="199" t="str">
        <f t="shared" si="421"/>
        <v/>
      </c>
      <c r="U1784" s="199" t="str">
        <f t="shared" si="414"/>
        <v/>
      </c>
      <c r="V1784" s="989"/>
      <c r="X1784" s="374" t="str">
        <f t="shared" si="415"/>
        <v/>
      </c>
      <c r="Y1784" s="375" t="str">
        <f t="shared" si="416"/>
        <v/>
      </c>
      <c r="Z1784" s="374" t="str">
        <f t="shared" si="417"/>
        <v/>
      </c>
      <c r="AA1784" s="374" t="b">
        <f t="shared" si="418"/>
        <v>1</v>
      </c>
      <c r="AB1784" s="374">
        <f>COUNTIFS(B:B,B1784,H:H,'סיווג התפקידים והעלויות'!$C$2)</f>
        <v>0</v>
      </c>
      <c r="AC1784" s="374">
        <f>COUNTIFS(B:B,B1784,H:H,'סיווג התפקידים והעלויות'!$D$2)</f>
        <v>0</v>
      </c>
      <c r="AD1784" s="374" t="str">
        <f>IF(OR(AND(H1784='סיווג התפקידים והעלויות'!$A$2,I1784='סיווג התפקידים והעלויות'!$A$3),'עלויות כח אדם (6)'!H1784='סיווג התפקידים והעלויות'!$C$2,'עלויות כח אדם (6)'!H1784='סיווג התפקידים והעלויות'!$D$2),IF('עלויות כח אדם (6)'!J1784&lt;75,"לא תקין","תקין"),"")</f>
        <v/>
      </c>
      <c r="AE1784" s="374" t="str">
        <f t="shared" si="419"/>
        <v/>
      </c>
      <c r="AF1784" s="532" t="str">
        <f t="shared" si="420"/>
        <v/>
      </c>
    </row>
    <row r="1785" spans="2:32" x14ac:dyDescent="0.25">
      <c r="B1785" s="695"/>
      <c r="C1785" s="197" t="str">
        <f>IF(B1785&lt;&gt;"",IFERROR(VLOOKUP(B:B,'מצבת והרשמה (2)'!$C$20:$N$520,2,0)," ")," ")</f>
        <v xml:space="preserve"> </v>
      </c>
      <c r="D1785" s="695"/>
      <c r="E1785" s="696"/>
      <c r="F1785" s="696"/>
      <c r="G1785" s="696"/>
      <c r="H1785" s="696"/>
      <c r="I1785" s="1050" t="str">
        <f t="shared" si="407"/>
        <v/>
      </c>
      <c r="J1785" s="696"/>
      <c r="K1785" s="697"/>
      <c r="L1785" s="696"/>
      <c r="M1785" s="198" t="str">
        <f t="shared" si="408"/>
        <v/>
      </c>
      <c r="N1785" s="369" t="str">
        <f t="shared" si="409"/>
        <v/>
      </c>
      <c r="O1785" s="183" t="str">
        <f t="shared" si="410"/>
        <v/>
      </c>
      <c r="P1785" s="199" t="str">
        <f t="shared" si="411"/>
        <v/>
      </c>
      <c r="Q1785" s="199" t="str">
        <f>IF(B1785="","",IFERROR(IF('עלויות כח אדם (6)'!J1785&gt;=VLOOKUP(I1785,'סיווג התפקידים והעלויות'!$B$23:$C$32,2,0),"תקין","לא תקין"),""))</f>
        <v/>
      </c>
      <c r="R1785" s="199" t="str">
        <f t="shared" si="412"/>
        <v/>
      </c>
      <c r="S1785" s="199" t="str">
        <f t="shared" si="413"/>
        <v/>
      </c>
      <c r="T1785" s="199" t="str">
        <f t="shared" si="421"/>
        <v/>
      </c>
      <c r="U1785" s="199" t="str">
        <f t="shared" si="414"/>
        <v/>
      </c>
      <c r="V1785" s="989"/>
      <c r="X1785" s="374" t="str">
        <f t="shared" si="415"/>
        <v/>
      </c>
      <c r="Y1785" s="375" t="str">
        <f t="shared" si="416"/>
        <v/>
      </c>
      <c r="Z1785" s="374" t="str">
        <f t="shared" si="417"/>
        <v/>
      </c>
      <c r="AA1785" s="374" t="b">
        <f t="shared" si="418"/>
        <v>1</v>
      </c>
      <c r="AB1785" s="374">
        <f>COUNTIFS(B:B,B1785,H:H,'סיווג התפקידים והעלויות'!$C$2)</f>
        <v>0</v>
      </c>
      <c r="AC1785" s="374">
        <f>COUNTIFS(B:B,B1785,H:H,'סיווג התפקידים והעלויות'!$D$2)</f>
        <v>0</v>
      </c>
      <c r="AD1785" s="374" t="str">
        <f>IF(OR(AND(H1785='סיווג התפקידים והעלויות'!$A$2,I1785='סיווג התפקידים והעלויות'!$A$3),'עלויות כח אדם (6)'!H1785='סיווג התפקידים והעלויות'!$C$2,'עלויות כח אדם (6)'!H1785='סיווג התפקידים והעלויות'!$D$2),IF('עלויות כח אדם (6)'!J1785&lt;75,"לא תקין","תקין"),"")</f>
        <v/>
      </c>
      <c r="AE1785" s="374" t="str">
        <f t="shared" si="419"/>
        <v/>
      </c>
      <c r="AF1785" s="532" t="str">
        <f t="shared" si="420"/>
        <v/>
      </c>
    </row>
    <row r="1786" spans="2:32" x14ac:dyDescent="0.25">
      <c r="B1786" s="695"/>
      <c r="C1786" s="197" t="str">
        <f>IF(B1786&lt;&gt;"",IFERROR(VLOOKUP(B:B,'מצבת והרשמה (2)'!$C$20:$N$520,2,0)," ")," ")</f>
        <v xml:space="preserve"> </v>
      </c>
      <c r="D1786" s="695"/>
      <c r="E1786" s="696"/>
      <c r="F1786" s="696"/>
      <c r="G1786" s="696"/>
      <c r="H1786" s="696"/>
      <c r="I1786" s="1050" t="str">
        <f t="shared" si="407"/>
        <v/>
      </c>
      <c r="J1786" s="696"/>
      <c r="K1786" s="697"/>
      <c r="L1786" s="696"/>
      <c r="M1786" s="198" t="str">
        <f t="shared" si="408"/>
        <v/>
      </c>
      <c r="N1786" s="369" t="str">
        <f t="shared" si="409"/>
        <v/>
      </c>
      <c r="O1786" s="183" t="str">
        <f t="shared" si="410"/>
        <v/>
      </c>
      <c r="P1786" s="199" t="str">
        <f t="shared" si="411"/>
        <v/>
      </c>
      <c r="Q1786" s="199" t="str">
        <f>IF(B1786="","",IFERROR(IF('עלויות כח אדם (6)'!J1786&gt;=VLOOKUP(I1786,'סיווג התפקידים והעלויות'!$B$23:$C$32,2,0),"תקין","לא תקין"),""))</f>
        <v/>
      </c>
      <c r="R1786" s="199" t="str">
        <f t="shared" si="412"/>
        <v/>
      </c>
      <c r="S1786" s="199" t="str">
        <f t="shared" si="413"/>
        <v/>
      </c>
      <c r="T1786" s="199" t="str">
        <f t="shared" si="421"/>
        <v/>
      </c>
      <c r="U1786" s="199" t="str">
        <f t="shared" si="414"/>
        <v/>
      </c>
      <c r="V1786" s="989"/>
      <c r="X1786" s="374" t="str">
        <f t="shared" si="415"/>
        <v/>
      </c>
      <c r="Y1786" s="375" t="str">
        <f t="shared" si="416"/>
        <v/>
      </c>
      <c r="Z1786" s="374" t="str">
        <f t="shared" si="417"/>
        <v/>
      </c>
      <c r="AA1786" s="374" t="b">
        <f t="shared" si="418"/>
        <v>1</v>
      </c>
      <c r="AB1786" s="374">
        <f>COUNTIFS(B:B,B1786,H:H,'סיווג התפקידים והעלויות'!$C$2)</f>
        <v>0</v>
      </c>
      <c r="AC1786" s="374">
        <f>COUNTIFS(B:B,B1786,H:H,'סיווג התפקידים והעלויות'!$D$2)</f>
        <v>0</v>
      </c>
      <c r="AD1786" s="374" t="str">
        <f>IF(OR(AND(H1786='סיווג התפקידים והעלויות'!$A$2,I1786='סיווג התפקידים והעלויות'!$A$3),'עלויות כח אדם (6)'!H1786='סיווג התפקידים והעלויות'!$C$2,'עלויות כח אדם (6)'!H1786='סיווג התפקידים והעלויות'!$D$2),IF('עלויות כח אדם (6)'!J1786&lt;75,"לא תקין","תקין"),"")</f>
        <v/>
      </c>
      <c r="AE1786" s="374" t="str">
        <f t="shared" si="419"/>
        <v/>
      </c>
      <c r="AF1786" s="532" t="str">
        <f t="shared" si="420"/>
        <v/>
      </c>
    </row>
    <row r="1787" spans="2:32" x14ac:dyDescent="0.25">
      <c r="B1787" s="695"/>
      <c r="C1787" s="197" t="str">
        <f>IF(B1787&lt;&gt;"",IFERROR(VLOOKUP(B:B,'מצבת והרשמה (2)'!$C$20:$N$520,2,0)," ")," ")</f>
        <v xml:space="preserve"> </v>
      </c>
      <c r="D1787" s="695"/>
      <c r="E1787" s="696"/>
      <c r="F1787" s="696"/>
      <c r="G1787" s="696"/>
      <c r="H1787" s="696"/>
      <c r="I1787" s="1050" t="str">
        <f t="shared" si="407"/>
        <v/>
      </c>
      <c r="J1787" s="696"/>
      <c r="K1787" s="697"/>
      <c r="L1787" s="696"/>
      <c r="M1787" s="198" t="str">
        <f t="shared" si="408"/>
        <v/>
      </c>
      <c r="N1787" s="369" t="str">
        <f t="shared" si="409"/>
        <v/>
      </c>
      <c r="O1787" s="183" t="str">
        <f t="shared" si="410"/>
        <v/>
      </c>
      <c r="P1787" s="199" t="str">
        <f t="shared" si="411"/>
        <v/>
      </c>
      <c r="Q1787" s="199" t="str">
        <f>IF(B1787="","",IFERROR(IF('עלויות כח אדם (6)'!J1787&gt;=VLOOKUP(I1787,'סיווג התפקידים והעלויות'!$B$23:$C$32,2,0),"תקין","לא תקין"),""))</f>
        <v/>
      </c>
      <c r="R1787" s="199" t="str">
        <f t="shared" si="412"/>
        <v/>
      </c>
      <c r="S1787" s="199" t="str">
        <f t="shared" si="413"/>
        <v/>
      </c>
      <c r="T1787" s="199" t="str">
        <f t="shared" si="421"/>
        <v/>
      </c>
      <c r="U1787" s="199" t="str">
        <f t="shared" si="414"/>
        <v/>
      </c>
      <c r="V1787" s="989"/>
      <c r="X1787" s="374" t="str">
        <f t="shared" si="415"/>
        <v/>
      </c>
      <c r="Y1787" s="375" t="str">
        <f t="shared" si="416"/>
        <v/>
      </c>
      <c r="Z1787" s="374" t="str">
        <f t="shared" si="417"/>
        <v/>
      </c>
      <c r="AA1787" s="374" t="b">
        <f t="shared" si="418"/>
        <v>1</v>
      </c>
      <c r="AB1787" s="374">
        <f>COUNTIFS(B:B,B1787,H:H,'סיווג התפקידים והעלויות'!$C$2)</f>
        <v>0</v>
      </c>
      <c r="AC1787" s="374">
        <f>COUNTIFS(B:B,B1787,H:H,'סיווג התפקידים והעלויות'!$D$2)</f>
        <v>0</v>
      </c>
      <c r="AD1787" s="374" t="str">
        <f>IF(OR(AND(H1787='סיווג התפקידים והעלויות'!$A$2,I1787='סיווג התפקידים והעלויות'!$A$3),'עלויות כח אדם (6)'!H1787='סיווג התפקידים והעלויות'!$C$2,'עלויות כח אדם (6)'!H1787='סיווג התפקידים והעלויות'!$D$2),IF('עלויות כח אדם (6)'!J1787&lt;75,"לא תקין","תקין"),"")</f>
        <v/>
      </c>
      <c r="AE1787" s="374" t="str">
        <f t="shared" si="419"/>
        <v/>
      </c>
      <c r="AF1787" s="532" t="str">
        <f t="shared" si="420"/>
        <v/>
      </c>
    </row>
    <row r="1788" spans="2:32" x14ac:dyDescent="0.25">
      <c r="B1788" s="695"/>
      <c r="C1788" s="197" t="str">
        <f>IF(B1788&lt;&gt;"",IFERROR(VLOOKUP(B:B,'מצבת והרשמה (2)'!$C$20:$N$520,2,0)," ")," ")</f>
        <v xml:space="preserve"> </v>
      </c>
      <c r="D1788" s="695"/>
      <c r="E1788" s="696"/>
      <c r="F1788" s="696"/>
      <c r="G1788" s="696"/>
      <c r="H1788" s="696"/>
      <c r="I1788" s="1050" t="str">
        <f t="shared" si="407"/>
        <v/>
      </c>
      <c r="J1788" s="696"/>
      <c r="K1788" s="697"/>
      <c r="L1788" s="696"/>
      <c r="M1788" s="198" t="str">
        <f t="shared" si="408"/>
        <v/>
      </c>
      <c r="N1788" s="369" t="str">
        <f t="shared" si="409"/>
        <v/>
      </c>
      <c r="O1788" s="183" t="str">
        <f t="shared" si="410"/>
        <v/>
      </c>
      <c r="P1788" s="199" t="str">
        <f t="shared" si="411"/>
        <v/>
      </c>
      <c r="Q1788" s="199" t="str">
        <f>IF(B1788="","",IFERROR(IF('עלויות כח אדם (6)'!J1788&gt;=VLOOKUP(I1788,'סיווג התפקידים והעלויות'!$B$23:$C$32,2,0),"תקין","לא תקין"),""))</f>
        <v/>
      </c>
      <c r="R1788" s="199" t="str">
        <f t="shared" si="412"/>
        <v/>
      </c>
      <c r="S1788" s="199" t="str">
        <f t="shared" si="413"/>
        <v/>
      </c>
      <c r="T1788" s="199" t="str">
        <f t="shared" si="421"/>
        <v/>
      </c>
      <c r="U1788" s="199" t="str">
        <f t="shared" si="414"/>
        <v/>
      </c>
      <c r="V1788" s="989"/>
      <c r="X1788" s="374" t="str">
        <f t="shared" si="415"/>
        <v/>
      </c>
      <c r="Y1788" s="375" t="str">
        <f t="shared" si="416"/>
        <v/>
      </c>
      <c r="Z1788" s="374" t="str">
        <f t="shared" si="417"/>
        <v/>
      </c>
      <c r="AA1788" s="374" t="b">
        <f t="shared" si="418"/>
        <v>1</v>
      </c>
      <c r="AB1788" s="374">
        <f>COUNTIFS(B:B,B1788,H:H,'סיווג התפקידים והעלויות'!$C$2)</f>
        <v>0</v>
      </c>
      <c r="AC1788" s="374">
        <f>COUNTIFS(B:B,B1788,H:H,'סיווג התפקידים והעלויות'!$D$2)</f>
        <v>0</v>
      </c>
      <c r="AD1788" s="374" t="str">
        <f>IF(OR(AND(H1788='סיווג התפקידים והעלויות'!$A$2,I1788='סיווג התפקידים והעלויות'!$A$3),'עלויות כח אדם (6)'!H1788='סיווג התפקידים והעלויות'!$C$2,'עלויות כח אדם (6)'!H1788='סיווג התפקידים והעלויות'!$D$2),IF('עלויות כח אדם (6)'!J1788&lt;75,"לא תקין","תקין"),"")</f>
        <v/>
      </c>
      <c r="AE1788" s="374" t="str">
        <f t="shared" si="419"/>
        <v/>
      </c>
      <c r="AF1788" s="532" t="str">
        <f t="shared" si="420"/>
        <v/>
      </c>
    </row>
    <row r="1789" spans="2:32" x14ac:dyDescent="0.25">
      <c r="B1789" s="695"/>
      <c r="C1789" s="197" t="str">
        <f>IF(B1789&lt;&gt;"",IFERROR(VLOOKUP(B:B,'מצבת והרשמה (2)'!$C$20:$N$520,2,0)," ")," ")</f>
        <v xml:space="preserve"> </v>
      </c>
      <c r="D1789" s="695"/>
      <c r="E1789" s="696"/>
      <c r="F1789" s="696"/>
      <c r="G1789" s="696"/>
      <c r="H1789" s="696"/>
      <c r="I1789" s="1050" t="str">
        <f t="shared" si="407"/>
        <v/>
      </c>
      <c r="J1789" s="696"/>
      <c r="K1789" s="697"/>
      <c r="L1789" s="696"/>
      <c r="M1789" s="198" t="str">
        <f t="shared" si="408"/>
        <v/>
      </c>
      <c r="N1789" s="369" t="str">
        <f t="shared" si="409"/>
        <v/>
      </c>
      <c r="O1789" s="183" t="str">
        <f t="shared" si="410"/>
        <v/>
      </c>
      <c r="P1789" s="199" t="str">
        <f t="shared" si="411"/>
        <v/>
      </c>
      <c r="Q1789" s="199" t="str">
        <f>IF(B1789="","",IFERROR(IF('עלויות כח אדם (6)'!J1789&gt;=VLOOKUP(I1789,'סיווג התפקידים והעלויות'!$B$23:$C$32,2,0),"תקין","לא תקין"),""))</f>
        <v/>
      </c>
      <c r="R1789" s="199" t="str">
        <f t="shared" si="412"/>
        <v/>
      </c>
      <c r="S1789" s="199" t="str">
        <f t="shared" si="413"/>
        <v/>
      </c>
      <c r="T1789" s="199" t="str">
        <f t="shared" si="421"/>
        <v/>
      </c>
      <c r="U1789" s="199" t="str">
        <f t="shared" si="414"/>
        <v/>
      </c>
      <c r="V1789" s="989"/>
      <c r="X1789" s="374" t="str">
        <f t="shared" si="415"/>
        <v/>
      </c>
      <c r="Y1789" s="375" t="str">
        <f t="shared" si="416"/>
        <v/>
      </c>
      <c r="Z1789" s="374" t="str">
        <f t="shared" si="417"/>
        <v/>
      </c>
      <c r="AA1789" s="374" t="b">
        <f t="shared" si="418"/>
        <v>1</v>
      </c>
      <c r="AB1789" s="374">
        <f>COUNTIFS(B:B,B1789,H:H,'סיווג התפקידים והעלויות'!$C$2)</f>
        <v>0</v>
      </c>
      <c r="AC1789" s="374">
        <f>COUNTIFS(B:B,B1789,H:H,'סיווג התפקידים והעלויות'!$D$2)</f>
        <v>0</v>
      </c>
      <c r="AD1789" s="374" t="str">
        <f>IF(OR(AND(H1789='סיווג התפקידים והעלויות'!$A$2,I1789='סיווג התפקידים והעלויות'!$A$3),'עלויות כח אדם (6)'!H1789='סיווג התפקידים והעלויות'!$C$2,'עלויות כח אדם (6)'!H1789='סיווג התפקידים והעלויות'!$D$2),IF('עלויות כח אדם (6)'!J1789&lt;75,"לא תקין","תקין"),"")</f>
        <v/>
      </c>
      <c r="AE1789" s="374" t="str">
        <f t="shared" si="419"/>
        <v/>
      </c>
      <c r="AF1789" s="532" t="str">
        <f t="shared" si="420"/>
        <v/>
      </c>
    </row>
    <row r="1790" spans="2:32" x14ac:dyDescent="0.25">
      <c r="B1790" s="695"/>
      <c r="C1790" s="197" t="str">
        <f>IF(B1790&lt;&gt;"",IFERROR(VLOOKUP(B:B,'מצבת והרשמה (2)'!$C$20:$N$520,2,0)," ")," ")</f>
        <v xml:space="preserve"> </v>
      </c>
      <c r="D1790" s="695"/>
      <c r="E1790" s="696"/>
      <c r="F1790" s="696"/>
      <c r="G1790" s="696"/>
      <c r="H1790" s="696"/>
      <c r="I1790" s="1050" t="str">
        <f t="shared" si="407"/>
        <v/>
      </c>
      <c r="J1790" s="696"/>
      <c r="K1790" s="697"/>
      <c r="L1790" s="696"/>
      <c r="M1790" s="198" t="str">
        <f t="shared" si="408"/>
        <v/>
      </c>
      <c r="N1790" s="369" t="str">
        <f t="shared" si="409"/>
        <v/>
      </c>
      <c r="O1790" s="183" t="str">
        <f t="shared" si="410"/>
        <v/>
      </c>
      <c r="P1790" s="199" t="str">
        <f t="shared" si="411"/>
        <v/>
      </c>
      <c r="Q1790" s="199" t="str">
        <f>IF(B1790="","",IFERROR(IF('עלויות כח אדם (6)'!J1790&gt;=VLOOKUP(I1790,'סיווג התפקידים והעלויות'!$B$23:$C$32,2,0),"תקין","לא תקין"),""))</f>
        <v/>
      </c>
      <c r="R1790" s="199" t="str">
        <f t="shared" si="412"/>
        <v/>
      </c>
      <c r="S1790" s="199" t="str">
        <f t="shared" si="413"/>
        <v/>
      </c>
      <c r="T1790" s="199" t="str">
        <f t="shared" si="421"/>
        <v/>
      </c>
      <c r="U1790" s="199" t="str">
        <f t="shared" si="414"/>
        <v/>
      </c>
      <c r="V1790" s="989"/>
      <c r="X1790" s="374" t="str">
        <f t="shared" si="415"/>
        <v/>
      </c>
      <c r="Y1790" s="375" t="str">
        <f t="shared" si="416"/>
        <v/>
      </c>
      <c r="Z1790" s="374" t="str">
        <f t="shared" si="417"/>
        <v/>
      </c>
      <c r="AA1790" s="374" t="b">
        <f t="shared" si="418"/>
        <v>1</v>
      </c>
      <c r="AB1790" s="374">
        <f>COUNTIFS(B:B,B1790,H:H,'סיווג התפקידים והעלויות'!$C$2)</f>
        <v>0</v>
      </c>
      <c r="AC1790" s="374">
        <f>COUNTIFS(B:B,B1790,H:H,'סיווג התפקידים והעלויות'!$D$2)</f>
        <v>0</v>
      </c>
      <c r="AD1790" s="374" t="str">
        <f>IF(OR(AND(H1790='סיווג התפקידים והעלויות'!$A$2,I1790='סיווג התפקידים והעלויות'!$A$3),'עלויות כח אדם (6)'!H1790='סיווג התפקידים והעלויות'!$C$2,'עלויות כח אדם (6)'!H1790='סיווג התפקידים והעלויות'!$D$2),IF('עלויות כח אדם (6)'!J1790&lt;75,"לא תקין","תקין"),"")</f>
        <v/>
      </c>
      <c r="AE1790" s="374" t="str">
        <f t="shared" si="419"/>
        <v/>
      </c>
      <c r="AF1790" s="532" t="str">
        <f t="shared" si="420"/>
        <v/>
      </c>
    </row>
    <row r="1791" spans="2:32" x14ac:dyDescent="0.25">
      <c r="B1791" s="695"/>
      <c r="C1791" s="197" t="str">
        <f>IF(B1791&lt;&gt;"",IFERROR(VLOOKUP(B:B,'מצבת והרשמה (2)'!$C$20:$N$520,2,0)," ")," ")</f>
        <v xml:space="preserve"> </v>
      </c>
      <c r="D1791" s="695"/>
      <c r="E1791" s="696"/>
      <c r="F1791" s="696"/>
      <c r="G1791" s="696"/>
      <c r="H1791" s="696"/>
      <c r="I1791" s="1050" t="str">
        <f t="shared" si="407"/>
        <v/>
      </c>
      <c r="J1791" s="696"/>
      <c r="K1791" s="697"/>
      <c r="L1791" s="696"/>
      <c r="M1791" s="198" t="str">
        <f t="shared" si="408"/>
        <v/>
      </c>
      <c r="N1791" s="369" t="str">
        <f t="shared" si="409"/>
        <v/>
      </c>
      <c r="O1791" s="183" t="str">
        <f t="shared" si="410"/>
        <v/>
      </c>
      <c r="P1791" s="199" t="str">
        <f t="shared" si="411"/>
        <v/>
      </c>
      <c r="Q1791" s="199" t="str">
        <f>IF(B1791="","",IFERROR(IF('עלויות כח אדם (6)'!J1791&gt;=VLOOKUP(I1791,'סיווג התפקידים והעלויות'!$B$23:$C$32,2,0),"תקין","לא תקין"),""))</f>
        <v/>
      </c>
      <c r="R1791" s="199" t="str">
        <f t="shared" si="412"/>
        <v/>
      </c>
      <c r="S1791" s="199" t="str">
        <f t="shared" si="413"/>
        <v/>
      </c>
      <c r="T1791" s="199" t="str">
        <f t="shared" si="421"/>
        <v/>
      </c>
      <c r="U1791" s="199" t="str">
        <f t="shared" si="414"/>
        <v/>
      </c>
      <c r="V1791" s="989"/>
      <c r="X1791" s="374" t="str">
        <f t="shared" si="415"/>
        <v/>
      </c>
      <c r="Y1791" s="375" t="str">
        <f t="shared" si="416"/>
        <v/>
      </c>
      <c r="Z1791" s="374" t="str">
        <f t="shared" si="417"/>
        <v/>
      </c>
      <c r="AA1791" s="374" t="b">
        <f t="shared" si="418"/>
        <v>1</v>
      </c>
      <c r="AB1791" s="374">
        <f>COUNTIFS(B:B,B1791,H:H,'סיווג התפקידים והעלויות'!$C$2)</f>
        <v>0</v>
      </c>
      <c r="AC1791" s="374">
        <f>COUNTIFS(B:B,B1791,H:H,'סיווג התפקידים והעלויות'!$D$2)</f>
        <v>0</v>
      </c>
      <c r="AD1791" s="374" t="str">
        <f>IF(OR(AND(H1791='סיווג התפקידים והעלויות'!$A$2,I1791='סיווג התפקידים והעלויות'!$A$3),'עלויות כח אדם (6)'!H1791='סיווג התפקידים והעלויות'!$C$2,'עלויות כח אדם (6)'!H1791='סיווג התפקידים והעלויות'!$D$2),IF('עלויות כח אדם (6)'!J1791&lt;75,"לא תקין","תקין"),"")</f>
        <v/>
      </c>
      <c r="AE1791" s="374" t="str">
        <f t="shared" si="419"/>
        <v/>
      </c>
      <c r="AF1791" s="532" t="str">
        <f t="shared" si="420"/>
        <v/>
      </c>
    </row>
    <row r="1792" spans="2:32" x14ac:dyDescent="0.25">
      <c r="B1792" s="695"/>
      <c r="C1792" s="197" t="str">
        <f>IF(B1792&lt;&gt;"",IFERROR(VLOOKUP(B:B,'מצבת והרשמה (2)'!$C$20:$N$520,2,0)," ")," ")</f>
        <v xml:space="preserve"> </v>
      </c>
      <c r="D1792" s="695"/>
      <c r="E1792" s="696"/>
      <c r="F1792" s="696"/>
      <c r="G1792" s="696"/>
      <c r="H1792" s="696"/>
      <c r="I1792" s="1050" t="str">
        <f t="shared" si="407"/>
        <v/>
      </c>
      <c r="J1792" s="696"/>
      <c r="K1792" s="697"/>
      <c r="L1792" s="696"/>
      <c r="M1792" s="198" t="str">
        <f t="shared" si="408"/>
        <v/>
      </c>
      <c r="N1792" s="369" t="str">
        <f t="shared" si="409"/>
        <v/>
      </c>
      <c r="O1792" s="183" t="str">
        <f t="shared" si="410"/>
        <v/>
      </c>
      <c r="P1792" s="199" t="str">
        <f t="shared" si="411"/>
        <v/>
      </c>
      <c r="Q1792" s="199" t="str">
        <f>IF(B1792="","",IFERROR(IF('עלויות כח אדם (6)'!J1792&gt;=VLOOKUP(I1792,'סיווג התפקידים והעלויות'!$B$23:$C$32,2,0),"תקין","לא תקין"),""))</f>
        <v/>
      </c>
      <c r="R1792" s="199" t="str">
        <f t="shared" si="412"/>
        <v/>
      </c>
      <c r="S1792" s="199" t="str">
        <f t="shared" si="413"/>
        <v/>
      </c>
      <c r="T1792" s="199" t="str">
        <f t="shared" si="421"/>
        <v/>
      </c>
      <c r="U1792" s="199" t="str">
        <f t="shared" si="414"/>
        <v/>
      </c>
      <c r="V1792" s="989"/>
      <c r="X1792" s="374" t="str">
        <f t="shared" si="415"/>
        <v/>
      </c>
      <c r="Y1792" s="375" t="str">
        <f t="shared" si="416"/>
        <v/>
      </c>
      <c r="Z1792" s="374" t="str">
        <f t="shared" si="417"/>
        <v/>
      </c>
      <c r="AA1792" s="374" t="b">
        <f t="shared" si="418"/>
        <v>1</v>
      </c>
      <c r="AB1792" s="374">
        <f>COUNTIFS(B:B,B1792,H:H,'סיווג התפקידים והעלויות'!$C$2)</f>
        <v>0</v>
      </c>
      <c r="AC1792" s="374">
        <f>COUNTIFS(B:B,B1792,H:H,'סיווג התפקידים והעלויות'!$D$2)</f>
        <v>0</v>
      </c>
      <c r="AD1792" s="374" t="str">
        <f>IF(OR(AND(H1792='סיווג התפקידים והעלויות'!$A$2,I1792='סיווג התפקידים והעלויות'!$A$3),'עלויות כח אדם (6)'!H1792='סיווג התפקידים והעלויות'!$C$2,'עלויות כח אדם (6)'!H1792='סיווג התפקידים והעלויות'!$D$2),IF('עלויות כח אדם (6)'!J1792&lt;75,"לא תקין","תקין"),"")</f>
        <v/>
      </c>
      <c r="AE1792" s="374" t="str">
        <f t="shared" si="419"/>
        <v/>
      </c>
      <c r="AF1792" s="532" t="str">
        <f t="shared" si="420"/>
        <v/>
      </c>
    </row>
    <row r="1793" spans="2:32" x14ac:dyDescent="0.25">
      <c r="B1793" s="695"/>
      <c r="C1793" s="197" t="str">
        <f>IF(B1793&lt;&gt;"",IFERROR(VLOOKUP(B:B,'מצבת והרשמה (2)'!$C$20:$N$520,2,0)," ")," ")</f>
        <v xml:space="preserve"> </v>
      </c>
      <c r="D1793" s="695"/>
      <c r="E1793" s="696"/>
      <c r="F1793" s="696"/>
      <c r="G1793" s="696"/>
      <c r="H1793" s="696"/>
      <c r="I1793" s="1050" t="str">
        <f t="shared" si="407"/>
        <v/>
      </c>
      <c r="J1793" s="696"/>
      <c r="K1793" s="697"/>
      <c r="L1793" s="696"/>
      <c r="M1793" s="198" t="str">
        <f t="shared" si="408"/>
        <v/>
      </c>
      <c r="N1793" s="369" t="str">
        <f t="shared" si="409"/>
        <v/>
      </c>
      <c r="O1793" s="183" t="str">
        <f t="shared" si="410"/>
        <v/>
      </c>
      <c r="P1793" s="199" t="str">
        <f t="shared" si="411"/>
        <v/>
      </c>
      <c r="Q1793" s="199" t="str">
        <f>IF(B1793="","",IFERROR(IF('עלויות כח אדם (6)'!J1793&gt;=VLOOKUP(I1793,'סיווג התפקידים והעלויות'!$B$23:$C$32,2,0),"תקין","לא תקין"),""))</f>
        <v/>
      </c>
      <c r="R1793" s="199" t="str">
        <f t="shared" si="412"/>
        <v/>
      </c>
      <c r="S1793" s="199" t="str">
        <f t="shared" si="413"/>
        <v/>
      </c>
      <c r="T1793" s="199" t="str">
        <f t="shared" si="421"/>
        <v/>
      </c>
      <c r="U1793" s="199" t="str">
        <f t="shared" si="414"/>
        <v/>
      </c>
      <c r="V1793" s="989"/>
      <c r="X1793" s="374" t="str">
        <f t="shared" si="415"/>
        <v/>
      </c>
      <c r="Y1793" s="375" t="str">
        <f t="shared" si="416"/>
        <v/>
      </c>
      <c r="Z1793" s="374" t="str">
        <f t="shared" si="417"/>
        <v/>
      </c>
      <c r="AA1793" s="374" t="b">
        <f t="shared" si="418"/>
        <v>1</v>
      </c>
      <c r="AB1793" s="374">
        <f>COUNTIFS(B:B,B1793,H:H,'סיווג התפקידים והעלויות'!$C$2)</f>
        <v>0</v>
      </c>
      <c r="AC1793" s="374">
        <f>COUNTIFS(B:B,B1793,H:H,'סיווג התפקידים והעלויות'!$D$2)</f>
        <v>0</v>
      </c>
      <c r="AD1793" s="374" t="str">
        <f>IF(OR(AND(H1793='סיווג התפקידים והעלויות'!$A$2,I1793='סיווג התפקידים והעלויות'!$A$3),'עלויות כח אדם (6)'!H1793='סיווג התפקידים והעלויות'!$C$2,'עלויות כח אדם (6)'!H1793='סיווג התפקידים והעלויות'!$D$2),IF('עלויות כח אדם (6)'!J1793&lt;75,"לא תקין","תקין"),"")</f>
        <v/>
      </c>
      <c r="AE1793" s="374" t="str">
        <f t="shared" si="419"/>
        <v/>
      </c>
      <c r="AF1793" s="532" t="str">
        <f t="shared" si="420"/>
        <v/>
      </c>
    </row>
    <row r="1794" spans="2:32" x14ac:dyDescent="0.25">
      <c r="B1794" s="695"/>
      <c r="C1794" s="197" t="str">
        <f>IF(B1794&lt;&gt;"",IFERROR(VLOOKUP(B:B,'מצבת והרשמה (2)'!$C$20:$N$520,2,0)," ")," ")</f>
        <v xml:space="preserve"> </v>
      </c>
      <c r="D1794" s="695"/>
      <c r="E1794" s="696"/>
      <c r="F1794" s="696"/>
      <c r="G1794" s="696"/>
      <c r="H1794" s="696"/>
      <c r="I1794" s="1050" t="str">
        <f t="shared" si="407"/>
        <v/>
      </c>
      <c r="J1794" s="696"/>
      <c r="K1794" s="697"/>
      <c r="L1794" s="696"/>
      <c r="M1794" s="198" t="str">
        <f t="shared" si="408"/>
        <v/>
      </c>
      <c r="N1794" s="369" t="str">
        <f t="shared" si="409"/>
        <v/>
      </c>
      <c r="O1794" s="183" t="str">
        <f t="shared" si="410"/>
        <v/>
      </c>
      <c r="P1794" s="199" t="str">
        <f t="shared" si="411"/>
        <v/>
      </c>
      <c r="Q1794" s="199" t="str">
        <f>IF(B1794="","",IFERROR(IF('עלויות כח אדם (6)'!J1794&gt;=VLOOKUP(I1794,'סיווג התפקידים והעלויות'!$B$23:$C$32,2,0),"תקין","לא תקין"),""))</f>
        <v/>
      </c>
      <c r="R1794" s="199" t="str">
        <f t="shared" si="412"/>
        <v/>
      </c>
      <c r="S1794" s="199" t="str">
        <f t="shared" si="413"/>
        <v/>
      </c>
      <c r="T1794" s="199" t="str">
        <f t="shared" si="421"/>
        <v/>
      </c>
      <c r="U1794" s="199" t="str">
        <f t="shared" si="414"/>
        <v/>
      </c>
      <c r="V1794" s="989"/>
      <c r="X1794" s="374" t="str">
        <f t="shared" si="415"/>
        <v/>
      </c>
      <c r="Y1794" s="375" t="str">
        <f t="shared" si="416"/>
        <v/>
      </c>
      <c r="Z1794" s="374" t="str">
        <f t="shared" si="417"/>
        <v/>
      </c>
      <c r="AA1794" s="374" t="b">
        <f t="shared" si="418"/>
        <v>1</v>
      </c>
      <c r="AB1794" s="374">
        <f>COUNTIFS(B:B,B1794,H:H,'סיווג התפקידים והעלויות'!$C$2)</f>
        <v>0</v>
      </c>
      <c r="AC1794" s="374">
        <f>COUNTIFS(B:B,B1794,H:H,'סיווג התפקידים והעלויות'!$D$2)</f>
        <v>0</v>
      </c>
      <c r="AD1794" s="374" t="str">
        <f>IF(OR(AND(H1794='סיווג התפקידים והעלויות'!$A$2,I1794='סיווג התפקידים והעלויות'!$A$3),'עלויות כח אדם (6)'!H1794='סיווג התפקידים והעלויות'!$C$2,'עלויות כח אדם (6)'!H1794='סיווג התפקידים והעלויות'!$D$2),IF('עלויות כח אדם (6)'!J1794&lt;75,"לא תקין","תקין"),"")</f>
        <v/>
      </c>
      <c r="AE1794" s="374" t="str">
        <f t="shared" si="419"/>
        <v/>
      </c>
      <c r="AF1794" s="532" t="str">
        <f t="shared" si="420"/>
        <v/>
      </c>
    </row>
    <row r="1795" spans="2:32" x14ac:dyDescent="0.25">
      <c r="B1795" s="695"/>
      <c r="C1795" s="197" t="str">
        <f>IF(B1795&lt;&gt;"",IFERROR(VLOOKUP(B:B,'מצבת והרשמה (2)'!$C$20:$N$520,2,0)," ")," ")</f>
        <v xml:space="preserve"> </v>
      </c>
      <c r="D1795" s="695"/>
      <c r="E1795" s="696"/>
      <c r="F1795" s="696"/>
      <c r="G1795" s="696"/>
      <c r="H1795" s="696"/>
      <c r="I1795" s="1050" t="str">
        <f t="shared" si="407"/>
        <v/>
      </c>
      <c r="J1795" s="696"/>
      <c r="K1795" s="697"/>
      <c r="L1795" s="696"/>
      <c r="M1795" s="198" t="str">
        <f t="shared" si="408"/>
        <v/>
      </c>
      <c r="N1795" s="369" t="str">
        <f t="shared" si="409"/>
        <v/>
      </c>
      <c r="O1795" s="183" t="str">
        <f t="shared" si="410"/>
        <v/>
      </c>
      <c r="P1795" s="199" t="str">
        <f t="shared" si="411"/>
        <v/>
      </c>
      <c r="Q1795" s="199" t="str">
        <f>IF(B1795="","",IFERROR(IF('עלויות כח אדם (6)'!J1795&gt;=VLOOKUP(I1795,'סיווג התפקידים והעלויות'!$B$23:$C$32,2,0),"תקין","לא תקין"),""))</f>
        <v/>
      </c>
      <c r="R1795" s="199" t="str">
        <f t="shared" si="412"/>
        <v/>
      </c>
      <c r="S1795" s="199" t="str">
        <f t="shared" si="413"/>
        <v/>
      </c>
      <c r="T1795" s="199" t="str">
        <f t="shared" si="421"/>
        <v/>
      </c>
      <c r="U1795" s="199" t="str">
        <f t="shared" si="414"/>
        <v/>
      </c>
      <c r="V1795" s="989"/>
      <c r="X1795" s="374" t="str">
        <f t="shared" si="415"/>
        <v/>
      </c>
      <c r="Y1795" s="375" t="str">
        <f t="shared" si="416"/>
        <v/>
      </c>
      <c r="Z1795" s="374" t="str">
        <f t="shared" si="417"/>
        <v/>
      </c>
      <c r="AA1795" s="374" t="b">
        <f t="shared" si="418"/>
        <v>1</v>
      </c>
      <c r="AB1795" s="374">
        <f>COUNTIFS(B:B,B1795,H:H,'סיווג התפקידים והעלויות'!$C$2)</f>
        <v>0</v>
      </c>
      <c r="AC1795" s="374">
        <f>COUNTIFS(B:B,B1795,H:H,'סיווג התפקידים והעלויות'!$D$2)</f>
        <v>0</v>
      </c>
      <c r="AD1795" s="374" t="str">
        <f>IF(OR(AND(H1795='סיווג התפקידים והעלויות'!$A$2,I1795='סיווג התפקידים והעלויות'!$A$3),'עלויות כח אדם (6)'!H1795='סיווג התפקידים והעלויות'!$C$2,'עלויות כח אדם (6)'!H1795='סיווג התפקידים והעלויות'!$D$2),IF('עלויות כח אדם (6)'!J1795&lt;75,"לא תקין","תקין"),"")</f>
        <v/>
      </c>
      <c r="AE1795" s="374" t="str">
        <f t="shared" si="419"/>
        <v/>
      </c>
      <c r="AF1795" s="532" t="str">
        <f t="shared" si="420"/>
        <v/>
      </c>
    </row>
    <row r="1796" spans="2:32" x14ac:dyDescent="0.25">
      <c r="B1796" s="695"/>
      <c r="C1796" s="197" t="str">
        <f>IF(B1796&lt;&gt;"",IFERROR(VLOOKUP(B:B,'מצבת והרשמה (2)'!$C$20:$N$520,2,0)," ")," ")</f>
        <v xml:space="preserve"> </v>
      </c>
      <c r="D1796" s="695"/>
      <c r="E1796" s="696"/>
      <c r="F1796" s="696"/>
      <c r="G1796" s="696"/>
      <c r="H1796" s="696"/>
      <c r="I1796" s="1050" t="str">
        <f t="shared" si="407"/>
        <v/>
      </c>
      <c r="J1796" s="696"/>
      <c r="K1796" s="697"/>
      <c r="L1796" s="696"/>
      <c r="M1796" s="198" t="str">
        <f t="shared" si="408"/>
        <v/>
      </c>
      <c r="N1796" s="369" t="str">
        <f t="shared" si="409"/>
        <v/>
      </c>
      <c r="O1796" s="183" t="str">
        <f t="shared" si="410"/>
        <v/>
      </c>
      <c r="P1796" s="199" t="str">
        <f t="shared" si="411"/>
        <v/>
      </c>
      <c r="Q1796" s="199" t="str">
        <f>IF(B1796="","",IFERROR(IF('עלויות כח אדם (6)'!J1796&gt;=VLOOKUP(I1796,'סיווג התפקידים והעלויות'!$B$23:$C$32,2,0),"תקין","לא תקין"),""))</f>
        <v/>
      </c>
      <c r="R1796" s="199" t="str">
        <f t="shared" si="412"/>
        <v/>
      </c>
      <c r="S1796" s="199" t="str">
        <f t="shared" si="413"/>
        <v/>
      </c>
      <c r="T1796" s="199" t="str">
        <f t="shared" si="421"/>
        <v/>
      </c>
      <c r="U1796" s="199" t="str">
        <f t="shared" si="414"/>
        <v/>
      </c>
      <c r="V1796" s="989"/>
      <c r="X1796" s="374" t="str">
        <f t="shared" si="415"/>
        <v/>
      </c>
      <c r="Y1796" s="375" t="str">
        <f t="shared" si="416"/>
        <v/>
      </c>
      <c r="Z1796" s="374" t="str">
        <f t="shared" si="417"/>
        <v/>
      </c>
      <c r="AA1796" s="374" t="b">
        <f t="shared" si="418"/>
        <v>1</v>
      </c>
      <c r="AB1796" s="374">
        <f>COUNTIFS(B:B,B1796,H:H,'סיווג התפקידים והעלויות'!$C$2)</f>
        <v>0</v>
      </c>
      <c r="AC1796" s="374">
        <f>COUNTIFS(B:B,B1796,H:H,'סיווג התפקידים והעלויות'!$D$2)</f>
        <v>0</v>
      </c>
      <c r="AD1796" s="374" t="str">
        <f>IF(OR(AND(H1796='סיווג התפקידים והעלויות'!$A$2,I1796='סיווג התפקידים והעלויות'!$A$3),'עלויות כח אדם (6)'!H1796='סיווג התפקידים והעלויות'!$C$2,'עלויות כח אדם (6)'!H1796='סיווג התפקידים והעלויות'!$D$2),IF('עלויות כח אדם (6)'!J1796&lt;75,"לא תקין","תקין"),"")</f>
        <v/>
      </c>
      <c r="AE1796" s="374" t="str">
        <f t="shared" si="419"/>
        <v/>
      </c>
      <c r="AF1796" s="532" t="str">
        <f t="shared" si="420"/>
        <v/>
      </c>
    </row>
    <row r="1797" spans="2:32" x14ac:dyDescent="0.25">
      <c r="B1797" s="695"/>
      <c r="C1797" s="197" t="str">
        <f>IF(B1797&lt;&gt;"",IFERROR(VLOOKUP(B:B,'מצבת והרשמה (2)'!$C$20:$N$520,2,0)," ")," ")</f>
        <v xml:space="preserve"> </v>
      </c>
      <c r="D1797" s="695"/>
      <c r="E1797" s="696"/>
      <c r="F1797" s="696"/>
      <c r="G1797" s="696"/>
      <c r="H1797" s="696"/>
      <c r="I1797" s="1050" t="str">
        <f t="shared" si="407"/>
        <v/>
      </c>
      <c r="J1797" s="696"/>
      <c r="K1797" s="697"/>
      <c r="L1797" s="696"/>
      <c r="M1797" s="198" t="str">
        <f t="shared" si="408"/>
        <v/>
      </c>
      <c r="N1797" s="369" t="str">
        <f t="shared" si="409"/>
        <v/>
      </c>
      <c r="O1797" s="183" t="str">
        <f t="shared" si="410"/>
        <v/>
      </c>
      <c r="P1797" s="199" t="str">
        <f t="shared" si="411"/>
        <v/>
      </c>
      <c r="Q1797" s="199" t="str">
        <f>IF(B1797="","",IFERROR(IF('עלויות כח אדם (6)'!J1797&gt;=VLOOKUP(I1797,'סיווג התפקידים והעלויות'!$B$23:$C$32,2,0),"תקין","לא תקין"),""))</f>
        <v/>
      </c>
      <c r="R1797" s="199" t="str">
        <f t="shared" si="412"/>
        <v/>
      </c>
      <c r="S1797" s="199" t="str">
        <f t="shared" si="413"/>
        <v/>
      </c>
      <c r="T1797" s="199" t="str">
        <f t="shared" si="421"/>
        <v/>
      </c>
      <c r="U1797" s="199" t="str">
        <f t="shared" si="414"/>
        <v/>
      </c>
      <c r="V1797" s="989"/>
      <c r="X1797" s="374" t="str">
        <f t="shared" si="415"/>
        <v/>
      </c>
      <c r="Y1797" s="375" t="str">
        <f t="shared" si="416"/>
        <v/>
      </c>
      <c r="Z1797" s="374" t="str">
        <f t="shared" si="417"/>
        <v/>
      </c>
      <c r="AA1797" s="374" t="b">
        <f t="shared" si="418"/>
        <v>1</v>
      </c>
      <c r="AB1797" s="374">
        <f>COUNTIFS(B:B,B1797,H:H,'סיווג התפקידים והעלויות'!$C$2)</f>
        <v>0</v>
      </c>
      <c r="AC1797" s="374">
        <f>COUNTIFS(B:B,B1797,H:H,'סיווג התפקידים והעלויות'!$D$2)</f>
        <v>0</v>
      </c>
      <c r="AD1797" s="374" t="str">
        <f>IF(OR(AND(H1797='סיווג התפקידים והעלויות'!$A$2,I1797='סיווג התפקידים והעלויות'!$A$3),'עלויות כח אדם (6)'!H1797='סיווג התפקידים והעלויות'!$C$2,'עלויות כח אדם (6)'!H1797='סיווג התפקידים והעלויות'!$D$2),IF('עלויות כח אדם (6)'!J1797&lt;75,"לא תקין","תקין"),"")</f>
        <v/>
      </c>
      <c r="AE1797" s="374" t="str">
        <f t="shared" si="419"/>
        <v/>
      </c>
      <c r="AF1797" s="532" t="str">
        <f t="shared" si="420"/>
        <v/>
      </c>
    </row>
    <row r="1798" spans="2:32" x14ac:dyDescent="0.25">
      <c r="B1798" s="695"/>
      <c r="C1798" s="197" t="str">
        <f>IF(B1798&lt;&gt;"",IFERROR(VLOOKUP(B:B,'מצבת והרשמה (2)'!$C$20:$N$520,2,0)," ")," ")</f>
        <v xml:space="preserve"> </v>
      </c>
      <c r="D1798" s="695"/>
      <c r="E1798" s="696"/>
      <c r="F1798" s="696"/>
      <c r="G1798" s="696"/>
      <c r="H1798" s="696"/>
      <c r="I1798" s="1050" t="str">
        <f t="shared" si="407"/>
        <v/>
      </c>
      <c r="J1798" s="696"/>
      <c r="K1798" s="697"/>
      <c r="L1798" s="696"/>
      <c r="M1798" s="198" t="str">
        <f t="shared" si="408"/>
        <v/>
      </c>
      <c r="N1798" s="369" t="str">
        <f t="shared" si="409"/>
        <v/>
      </c>
      <c r="O1798" s="183" t="str">
        <f t="shared" si="410"/>
        <v/>
      </c>
      <c r="P1798" s="199" t="str">
        <f t="shared" si="411"/>
        <v/>
      </c>
      <c r="Q1798" s="199" t="str">
        <f>IF(B1798="","",IFERROR(IF('עלויות כח אדם (6)'!J1798&gt;=VLOOKUP(I1798,'סיווג התפקידים והעלויות'!$B$23:$C$32,2,0),"תקין","לא תקין"),""))</f>
        <v/>
      </c>
      <c r="R1798" s="199" t="str">
        <f t="shared" si="412"/>
        <v/>
      </c>
      <c r="S1798" s="199" t="str">
        <f t="shared" si="413"/>
        <v/>
      </c>
      <c r="T1798" s="199" t="str">
        <f t="shared" si="421"/>
        <v/>
      </c>
      <c r="U1798" s="199" t="str">
        <f t="shared" si="414"/>
        <v/>
      </c>
      <c r="V1798" s="989"/>
      <c r="X1798" s="374" t="str">
        <f t="shared" si="415"/>
        <v/>
      </c>
      <c r="Y1798" s="375" t="str">
        <f t="shared" si="416"/>
        <v/>
      </c>
      <c r="Z1798" s="374" t="str">
        <f t="shared" si="417"/>
        <v/>
      </c>
      <c r="AA1798" s="374" t="b">
        <f t="shared" si="418"/>
        <v>1</v>
      </c>
      <c r="AB1798" s="374">
        <f>COUNTIFS(B:B,B1798,H:H,'סיווג התפקידים והעלויות'!$C$2)</f>
        <v>0</v>
      </c>
      <c r="AC1798" s="374">
        <f>COUNTIFS(B:B,B1798,H:H,'סיווג התפקידים והעלויות'!$D$2)</f>
        <v>0</v>
      </c>
      <c r="AD1798" s="374" t="str">
        <f>IF(OR(AND(H1798='סיווג התפקידים והעלויות'!$A$2,I1798='סיווג התפקידים והעלויות'!$A$3),'עלויות כח אדם (6)'!H1798='סיווג התפקידים והעלויות'!$C$2,'עלויות כח אדם (6)'!H1798='סיווג התפקידים והעלויות'!$D$2),IF('עלויות כח אדם (6)'!J1798&lt;75,"לא תקין","תקין"),"")</f>
        <v/>
      </c>
      <c r="AE1798" s="374" t="str">
        <f t="shared" si="419"/>
        <v/>
      </c>
      <c r="AF1798" s="532" t="str">
        <f t="shared" si="420"/>
        <v/>
      </c>
    </row>
    <row r="1799" spans="2:32" x14ac:dyDescent="0.25">
      <c r="B1799" s="695"/>
      <c r="C1799" s="197" t="str">
        <f>IF(B1799&lt;&gt;"",IFERROR(VLOOKUP(B:B,'מצבת והרשמה (2)'!$C$20:$N$520,2,0)," ")," ")</f>
        <v xml:space="preserve"> </v>
      </c>
      <c r="D1799" s="695"/>
      <c r="E1799" s="696"/>
      <c r="F1799" s="696"/>
      <c r="G1799" s="696"/>
      <c r="H1799" s="696"/>
      <c r="I1799" s="1050" t="str">
        <f t="shared" si="407"/>
        <v/>
      </c>
      <c r="J1799" s="696"/>
      <c r="K1799" s="697"/>
      <c r="L1799" s="696"/>
      <c r="M1799" s="198" t="str">
        <f t="shared" si="408"/>
        <v/>
      </c>
      <c r="N1799" s="369" t="str">
        <f t="shared" si="409"/>
        <v/>
      </c>
      <c r="O1799" s="183" t="str">
        <f t="shared" si="410"/>
        <v/>
      </c>
      <c r="P1799" s="199" t="str">
        <f t="shared" si="411"/>
        <v/>
      </c>
      <c r="Q1799" s="199" t="str">
        <f>IF(B1799="","",IFERROR(IF('עלויות כח אדם (6)'!J1799&gt;=VLOOKUP(I1799,'סיווג התפקידים והעלויות'!$B$23:$C$32,2,0),"תקין","לא תקין"),""))</f>
        <v/>
      </c>
      <c r="R1799" s="199" t="str">
        <f t="shared" si="412"/>
        <v/>
      </c>
      <c r="S1799" s="199" t="str">
        <f t="shared" si="413"/>
        <v/>
      </c>
      <c r="T1799" s="199" t="str">
        <f t="shared" si="421"/>
        <v/>
      </c>
      <c r="U1799" s="199" t="str">
        <f t="shared" si="414"/>
        <v/>
      </c>
      <c r="V1799" s="989"/>
      <c r="X1799" s="374" t="str">
        <f t="shared" si="415"/>
        <v/>
      </c>
      <c r="Y1799" s="375" t="str">
        <f t="shared" si="416"/>
        <v/>
      </c>
      <c r="Z1799" s="374" t="str">
        <f t="shared" si="417"/>
        <v/>
      </c>
      <c r="AA1799" s="374" t="b">
        <f t="shared" si="418"/>
        <v>1</v>
      </c>
      <c r="AB1799" s="374">
        <f>COUNTIFS(B:B,B1799,H:H,'סיווג התפקידים והעלויות'!$C$2)</f>
        <v>0</v>
      </c>
      <c r="AC1799" s="374">
        <f>COUNTIFS(B:B,B1799,H:H,'סיווג התפקידים והעלויות'!$D$2)</f>
        <v>0</v>
      </c>
      <c r="AD1799" s="374" t="str">
        <f>IF(OR(AND(H1799='סיווג התפקידים והעלויות'!$A$2,I1799='סיווג התפקידים והעלויות'!$A$3),'עלויות כח אדם (6)'!H1799='סיווג התפקידים והעלויות'!$C$2,'עלויות כח אדם (6)'!H1799='סיווג התפקידים והעלויות'!$D$2),IF('עלויות כח אדם (6)'!J1799&lt;75,"לא תקין","תקין"),"")</f>
        <v/>
      </c>
      <c r="AE1799" s="374" t="str">
        <f t="shared" si="419"/>
        <v/>
      </c>
      <c r="AF1799" s="532" t="str">
        <f t="shared" si="420"/>
        <v/>
      </c>
    </row>
    <row r="1800" spans="2:32" x14ac:dyDescent="0.25">
      <c r="B1800" s="695"/>
      <c r="C1800" s="197" t="str">
        <f>IF(B1800&lt;&gt;"",IFERROR(VLOOKUP(B:B,'מצבת והרשמה (2)'!$C$20:$N$520,2,0)," ")," ")</f>
        <v xml:space="preserve"> </v>
      </c>
      <c r="D1800" s="695"/>
      <c r="E1800" s="696"/>
      <c r="F1800" s="696"/>
      <c r="G1800" s="696"/>
      <c r="H1800" s="696"/>
      <c r="I1800" s="1050" t="str">
        <f t="shared" si="407"/>
        <v/>
      </c>
      <c r="J1800" s="696"/>
      <c r="K1800" s="697"/>
      <c r="L1800" s="696"/>
      <c r="M1800" s="198" t="str">
        <f t="shared" si="408"/>
        <v/>
      </c>
      <c r="N1800" s="369" t="str">
        <f t="shared" si="409"/>
        <v/>
      </c>
      <c r="O1800" s="183" t="str">
        <f t="shared" si="410"/>
        <v/>
      </c>
      <c r="P1800" s="199" t="str">
        <f t="shared" si="411"/>
        <v/>
      </c>
      <c r="Q1800" s="199" t="str">
        <f>IF(B1800="","",IFERROR(IF('עלויות כח אדם (6)'!J1800&gt;=VLOOKUP(I1800,'סיווג התפקידים והעלויות'!$B$23:$C$32,2,0),"תקין","לא תקין"),""))</f>
        <v/>
      </c>
      <c r="R1800" s="199" t="str">
        <f t="shared" si="412"/>
        <v/>
      </c>
      <c r="S1800" s="199" t="str">
        <f t="shared" si="413"/>
        <v/>
      </c>
      <c r="T1800" s="199" t="str">
        <f t="shared" si="421"/>
        <v/>
      </c>
      <c r="U1800" s="199" t="str">
        <f t="shared" si="414"/>
        <v/>
      </c>
      <c r="V1800" s="989"/>
      <c r="X1800" s="374" t="str">
        <f t="shared" si="415"/>
        <v/>
      </c>
      <c r="Y1800" s="375" t="str">
        <f t="shared" si="416"/>
        <v/>
      </c>
      <c r="Z1800" s="374" t="str">
        <f t="shared" si="417"/>
        <v/>
      </c>
      <c r="AA1800" s="374" t="b">
        <f t="shared" si="418"/>
        <v>1</v>
      </c>
      <c r="AB1800" s="374">
        <f>COUNTIFS(B:B,B1800,H:H,'סיווג התפקידים והעלויות'!$C$2)</f>
        <v>0</v>
      </c>
      <c r="AC1800" s="374">
        <f>COUNTIFS(B:B,B1800,H:H,'סיווג התפקידים והעלויות'!$D$2)</f>
        <v>0</v>
      </c>
      <c r="AD1800" s="374" t="str">
        <f>IF(OR(AND(H1800='סיווג התפקידים והעלויות'!$A$2,I1800='סיווג התפקידים והעלויות'!$A$3),'עלויות כח אדם (6)'!H1800='סיווג התפקידים והעלויות'!$C$2,'עלויות כח אדם (6)'!H1800='סיווג התפקידים והעלויות'!$D$2),IF('עלויות כח אדם (6)'!J1800&lt;75,"לא תקין","תקין"),"")</f>
        <v/>
      </c>
      <c r="AE1800" s="374" t="str">
        <f t="shared" si="419"/>
        <v/>
      </c>
      <c r="AF1800" s="532" t="str">
        <f t="shared" si="420"/>
        <v/>
      </c>
    </row>
    <row r="1801" spans="2:32" x14ac:dyDescent="0.25">
      <c r="B1801" s="695"/>
      <c r="C1801" s="197" t="str">
        <f>IF(B1801&lt;&gt;"",IFERROR(VLOOKUP(B:B,'מצבת והרשמה (2)'!$C$20:$N$520,2,0)," ")," ")</f>
        <v xml:space="preserve"> </v>
      </c>
      <c r="D1801" s="695"/>
      <c r="E1801" s="696"/>
      <c r="F1801" s="696"/>
      <c r="G1801" s="696"/>
      <c r="H1801" s="696"/>
      <c r="I1801" s="1050" t="str">
        <f t="shared" si="407"/>
        <v/>
      </c>
      <c r="J1801" s="696"/>
      <c r="K1801" s="697"/>
      <c r="L1801" s="696"/>
      <c r="M1801" s="198" t="str">
        <f t="shared" si="408"/>
        <v/>
      </c>
      <c r="N1801" s="369" t="str">
        <f t="shared" si="409"/>
        <v/>
      </c>
      <c r="O1801" s="183" t="str">
        <f t="shared" si="410"/>
        <v/>
      </c>
      <c r="P1801" s="199" t="str">
        <f t="shared" si="411"/>
        <v/>
      </c>
      <c r="Q1801" s="199" t="str">
        <f>IF(B1801="","",IFERROR(IF('עלויות כח אדם (6)'!J1801&gt;=VLOOKUP(I1801,'סיווג התפקידים והעלויות'!$B$23:$C$32,2,0),"תקין","לא תקין"),""))</f>
        <v/>
      </c>
      <c r="R1801" s="199" t="str">
        <f t="shared" si="412"/>
        <v/>
      </c>
      <c r="S1801" s="199" t="str">
        <f t="shared" si="413"/>
        <v/>
      </c>
      <c r="T1801" s="199" t="str">
        <f t="shared" si="421"/>
        <v/>
      </c>
      <c r="U1801" s="199" t="str">
        <f t="shared" si="414"/>
        <v/>
      </c>
      <c r="V1801" s="989"/>
      <c r="X1801" s="374" t="str">
        <f t="shared" si="415"/>
        <v/>
      </c>
      <c r="Y1801" s="375" t="str">
        <f t="shared" si="416"/>
        <v/>
      </c>
      <c r="Z1801" s="374" t="str">
        <f t="shared" si="417"/>
        <v/>
      </c>
      <c r="AA1801" s="374" t="b">
        <f t="shared" si="418"/>
        <v>1</v>
      </c>
      <c r="AB1801" s="374">
        <f>COUNTIFS(B:B,B1801,H:H,'סיווג התפקידים והעלויות'!$C$2)</f>
        <v>0</v>
      </c>
      <c r="AC1801" s="374">
        <f>COUNTIFS(B:B,B1801,H:H,'סיווג התפקידים והעלויות'!$D$2)</f>
        <v>0</v>
      </c>
      <c r="AD1801" s="374" t="str">
        <f>IF(OR(AND(H1801='סיווג התפקידים והעלויות'!$A$2,I1801='סיווג התפקידים והעלויות'!$A$3),'עלויות כח אדם (6)'!H1801='סיווג התפקידים והעלויות'!$C$2,'עלויות כח אדם (6)'!H1801='סיווג התפקידים והעלויות'!$D$2),IF('עלויות כח אדם (6)'!J1801&lt;75,"לא תקין","תקין"),"")</f>
        <v/>
      </c>
      <c r="AE1801" s="374" t="str">
        <f t="shared" si="419"/>
        <v/>
      </c>
      <c r="AF1801" s="532" t="str">
        <f t="shared" si="420"/>
        <v/>
      </c>
    </row>
    <row r="1802" spans="2:32" x14ac:dyDescent="0.25">
      <c r="B1802" s="695"/>
      <c r="C1802" s="197" t="str">
        <f>IF(B1802&lt;&gt;"",IFERROR(VLOOKUP(B:B,'מצבת והרשמה (2)'!$C$20:$N$520,2,0)," ")," ")</f>
        <v xml:space="preserve"> </v>
      </c>
      <c r="D1802" s="695"/>
      <c r="E1802" s="696"/>
      <c r="F1802" s="696"/>
      <c r="G1802" s="696"/>
      <c r="H1802" s="696"/>
      <c r="I1802" s="1050" t="str">
        <f t="shared" si="407"/>
        <v/>
      </c>
      <c r="J1802" s="696"/>
      <c r="K1802" s="697"/>
      <c r="L1802" s="696"/>
      <c r="M1802" s="198" t="str">
        <f t="shared" si="408"/>
        <v/>
      </c>
      <c r="N1802" s="369" t="str">
        <f t="shared" si="409"/>
        <v/>
      </c>
      <c r="O1802" s="183" t="str">
        <f t="shared" si="410"/>
        <v/>
      </c>
      <c r="P1802" s="199" t="str">
        <f t="shared" si="411"/>
        <v/>
      </c>
      <c r="Q1802" s="199" t="str">
        <f>IF(B1802="","",IFERROR(IF('עלויות כח אדם (6)'!J1802&gt;=VLOOKUP(I1802,'סיווג התפקידים והעלויות'!$B$23:$C$32,2,0),"תקין","לא תקין"),""))</f>
        <v/>
      </c>
      <c r="R1802" s="199" t="str">
        <f t="shared" si="412"/>
        <v/>
      </c>
      <c r="S1802" s="199" t="str">
        <f t="shared" si="413"/>
        <v/>
      </c>
      <c r="T1802" s="199" t="str">
        <f t="shared" si="421"/>
        <v/>
      </c>
      <c r="U1802" s="199" t="str">
        <f t="shared" si="414"/>
        <v/>
      </c>
      <c r="V1802" s="989"/>
      <c r="X1802" s="374" t="str">
        <f t="shared" si="415"/>
        <v/>
      </c>
      <c r="Y1802" s="375" t="str">
        <f t="shared" si="416"/>
        <v/>
      </c>
      <c r="Z1802" s="374" t="str">
        <f t="shared" si="417"/>
        <v/>
      </c>
      <c r="AA1802" s="374" t="b">
        <f t="shared" si="418"/>
        <v>1</v>
      </c>
      <c r="AB1802" s="374">
        <f>COUNTIFS(B:B,B1802,H:H,'סיווג התפקידים והעלויות'!$C$2)</f>
        <v>0</v>
      </c>
      <c r="AC1802" s="374">
        <f>COUNTIFS(B:B,B1802,H:H,'סיווג התפקידים והעלויות'!$D$2)</f>
        <v>0</v>
      </c>
      <c r="AD1802" s="374" t="str">
        <f>IF(OR(AND(H1802='סיווג התפקידים והעלויות'!$A$2,I1802='סיווג התפקידים והעלויות'!$A$3),'עלויות כח אדם (6)'!H1802='סיווג התפקידים והעלויות'!$C$2,'עלויות כח אדם (6)'!H1802='סיווג התפקידים והעלויות'!$D$2),IF('עלויות כח אדם (6)'!J1802&lt;75,"לא תקין","תקין"),"")</f>
        <v/>
      </c>
      <c r="AE1802" s="374" t="str">
        <f t="shared" si="419"/>
        <v/>
      </c>
      <c r="AF1802" s="532" t="str">
        <f t="shared" si="420"/>
        <v/>
      </c>
    </row>
    <row r="1803" spans="2:32" x14ac:dyDescent="0.25">
      <c r="B1803" s="695"/>
      <c r="C1803" s="197" t="str">
        <f>IF(B1803&lt;&gt;"",IFERROR(VLOOKUP(B:B,'מצבת והרשמה (2)'!$C$20:$N$520,2,0)," ")," ")</f>
        <v xml:space="preserve"> </v>
      </c>
      <c r="D1803" s="695"/>
      <c r="E1803" s="696"/>
      <c r="F1803" s="696"/>
      <c r="G1803" s="696"/>
      <c r="H1803" s="696"/>
      <c r="I1803" s="1050" t="str">
        <f t="shared" si="407"/>
        <v/>
      </c>
      <c r="J1803" s="696"/>
      <c r="K1803" s="697"/>
      <c r="L1803" s="696"/>
      <c r="M1803" s="198" t="str">
        <f t="shared" si="408"/>
        <v/>
      </c>
      <c r="N1803" s="369" t="str">
        <f t="shared" si="409"/>
        <v/>
      </c>
      <c r="O1803" s="183" t="str">
        <f t="shared" si="410"/>
        <v/>
      </c>
      <c r="P1803" s="199" t="str">
        <f t="shared" si="411"/>
        <v/>
      </c>
      <c r="Q1803" s="199" t="str">
        <f>IF(B1803="","",IFERROR(IF('עלויות כח אדם (6)'!J1803&gt;=VLOOKUP(I1803,'סיווג התפקידים והעלויות'!$B$23:$C$32,2,0),"תקין","לא תקין"),""))</f>
        <v/>
      </c>
      <c r="R1803" s="199" t="str">
        <f t="shared" si="412"/>
        <v/>
      </c>
      <c r="S1803" s="199" t="str">
        <f t="shared" si="413"/>
        <v/>
      </c>
      <c r="T1803" s="199" t="str">
        <f t="shared" si="421"/>
        <v/>
      </c>
      <c r="U1803" s="199" t="str">
        <f t="shared" si="414"/>
        <v/>
      </c>
      <c r="V1803" s="989"/>
      <c r="X1803" s="374" t="str">
        <f t="shared" si="415"/>
        <v/>
      </c>
      <c r="Y1803" s="375" t="str">
        <f t="shared" si="416"/>
        <v/>
      </c>
      <c r="Z1803" s="374" t="str">
        <f t="shared" si="417"/>
        <v/>
      </c>
      <c r="AA1803" s="374" t="b">
        <f t="shared" si="418"/>
        <v>1</v>
      </c>
      <c r="AB1803" s="374">
        <f>COUNTIFS(B:B,B1803,H:H,'סיווג התפקידים והעלויות'!$C$2)</f>
        <v>0</v>
      </c>
      <c r="AC1803" s="374">
        <f>COUNTIFS(B:B,B1803,H:H,'סיווג התפקידים והעלויות'!$D$2)</f>
        <v>0</v>
      </c>
      <c r="AD1803" s="374" t="str">
        <f>IF(OR(AND(H1803='סיווג התפקידים והעלויות'!$A$2,I1803='סיווג התפקידים והעלויות'!$A$3),'עלויות כח אדם (6)'!H1803='סיווג התפקידים והעלויות'!$C$2,'עלויות כח אדם (6)'!H1803='סיווג התפקידים והעלויות'!$D$2),IF('עלויות כח אדם (6)'!J1803&lt;75,"לא תקין","תקין"),"")</f>
        <v/>
      </c>
      <c r="AE1803" s="374" t="str">
        <f t="shared" si="419"/>
        <v/>
      </c>
      <c r="AF1803" s="532" t="str">
        <f t="shared" si="420"/>
        <v/>
      </c>
    </row>
    <row r="1804" spans="2:32" x14ac:dyDescent="0.25">
      <c r="B1804" s="695"/>
      <c r="C1804" s="197" t="str">
        <f>IF(B1804&lt;&gt;"",IFERROR(VLOOKUP(B:B,'מצבת והרשמה (2)'!$C$20:$N$520,2,0)," ")," ")</f>
        <v xml:space="preserve"> </v>
      </c>
      <c r="D1804" s="695"/>
      <c r="E1804" s="696"/>
      <c r="F1804" s="696"/>
      <c r="G1804" s="696"/>
      <c r="H1804" s="696"/>
      <c r="I1804" s="1050" t="str">
        <f t="shared" si="407"/>
        <v/>
      </c>
      <c r="J1804" s="696"/>
      <c r="K1804" s="697"/>
      <c r="L1804" s="696"/>
      <c r="M1804" s="198" t="str">
        <f t="shared" si="408"/>
        <v/>
      </c>
      <c r="N1804" s="369" t="str">
        <f t="shared" si="409"/>
        <v/>
      </c>
      <c r="O1804" s="183" t="str">
        <f t="shared" si="410"/>
        <v/>
      </c>
      <c r="P1804" s="199" t="str">
        <f t="shared" si="411"/>
        <v/>
      </c>
      <c r="Q1804" s="199" t="str">
        <f>IF(B1804="","",IFERROR(IF('עלויות כח אדם (6)'!J1804&gt;=VLOOKUP(I1804,'סיווג התפקידים והעלויות'!$B$23:$C$32,2,0),"תקין","לא תקין"),""))</f>
        <v/>
      </c>
      <c r="R1804" s="199" t="str">
        <f t="shared" si="412"/>
        <v/>
      </c>
      <c r="S1804" s="199" t="str">
        <f t="shared" si="413"/>
        <v/>
      </c>
      <c r="T1804" s="199" t="str">
        <f t="shared" si="421"/>
        <v/>
      </c>
      <c r="U1804" s="199" t="str">
        <f t="shared" si="414"/>
        <v/>
      </c>
      <c r="V1804" s="989"/>
      <c r="X1804" s="374" t="str">
        <f t="shared" si="415"/>
        <v/>
      </c>
      <c r="Y1804" s="375" t="str">
        <f t="shared" si="416"/>
        <v/>
      </c>
      <c r="Z1804" s="374" t="str">
        <f t="shared" si="417"/>
        <v/>
      </c>
      <c r="AA1804" s="374" t="b">
        <f t="shared" si="418"/>
        <v>1</v>
      </c>
      <c r="AB1804" s="374">
        <f>COUNTIFS(B:B,B1804,H:H,'סיווג התפקידים והעלויות'!$C$2)</f>
        <v>0</v>
      </c>
      <c r="AC1804" s="374">
        <f>COUNTIFS(B:B,B1804,H:H,'סיווג התפקידים והעלויות'!$D$2)</f>
        <v>0</v>
      </c>
      <c r="AD1804" s="374" t="str">
        <f>IF(OR(AND(H1804='סיווג התפקידים והעלויות'!$A$2,I1804='סיווג התפקידים והעלויות'!$A$3),'עלויות כח אדם (6)'!H1804='סיווג התפקידים והעלויות'!$C$2,'עלויות כח אדם (6)'!H1804='סיווג התפקידים והעלויות'!$D$2),IF('עלויות כח אדם (6)'!J1804&lt;75,"לא תקין","תקין"),"")</f>
        <v/>
      </c>
      <c r="AE1804" s="374" t="str">
        <f t="shared" si="419"/>
        <v/>
      </c>
      <c r="AF1804" s="532" t="str">
        <f t="shared" si="420"/>
        <v/>
      </c>
    </row>
    <row r="1805" spans="2:32" x14ac:dyDescent="0.25">
      <c r="B1805" s="695"/>
      <c r="C1805" s="197" t="str">
        <f>IF(B1805&lt;&gt;"",IFERROR(VLOOKUP(B:B,'מצבת והרשמה (2)'!$C$20:$N$520,2,0)," ")," ")</f>
        <v xml:space="preserve"> </v>
      </c>
      <c r="D1805" s="695"/>
      <c r="E1805" s="696"/>
      <c r="F1805" s="696"/>
      <c r="G1805" s="696"/>
      <c r="H1805" s="696"/>
      <c r="I1805" s="1050" t="str">
        <f t="shared" si="407"/>
        <v/>
      </c>
      <c r="J1805" s="696"/>
      <c r="K1805" s="697"/>
      <c r="L1805" s="696"/>
      <c r="M1805" s="198" t="str">
        <f t="shared" si="408"/>
        <v/>
      </c>
      <c r="N1805" s="369" t="str">
        <f t="shared" si="409"/>
        <v/>
      </c>
      <c r="O1805" s="183" t="str">
        <f t="shared" si="410"/>
        <v/>
      </c>
      <c r="P1805" s="199" t="str">
        <f t="shared" si="411"/>
        <v/>
      </c>
      <c r="Q1805" s="199" t="str">
        <f>IF(B1805="","",IFERROR(IF('עלויות כח אדם (6)'!J1805&gt;=VLOOKUP(I1805,'סיווג התפקידים והעלויות'!$B$23:$C$32,2,0),"תקין","לא תקין"),""))</f>
        <v/>
      </c>
      <c r="R1805" s="199" t="str">
        <f t="shared" si="412"/>
        <v/>
      </c>
      <c r="S1805" s="199" t="str">
        <f t="shared" si="413"/>
        <v/>
      </c>
      <c r="T1805" s="199" t="str">
        <f t="shared" si="421"/>
        <v/>
      </c>
      <c r="U1805" s="199" t="str">
        <f t="shared" si="414"/>
        <v/>
      </c>
      <c r="V1805" s="989"/>
      <c r="X1805" s="374" t="str">
        <f t="shared" si="415"/>
        <v/>
      </c>
      <c r="Y1805" s="375" t="str">
        <f t="shared" si="416"/>
        <v/>
      </c>
      <c r="Z1805" s="374" t="str">
        <f t="shared" si="417"/>
        <v/>
      </c>
      <c r="AA1805" s="374" t="b">
        <f t="shared" si="418"/>
        <v>1</v>
      </c>
      <c r="AB1805" s="374">
        <f>COUNTIFS(B:B,B1805,H:H,'סיווג התפקידים והעלויות'!$C$2)</f>
        <v>0</v>
      </c>
      <c r="AC1805" s="374">
        <f>COUNTIFS(B:B,B1805,H:H,'סיווג התפקידים והעלויות'!$D$2)</f>
        <v>0</v>
      </c>
      <c r="AD1805" s="374" t="str">
        <f>IF(OR(AND(H1805='סיווג התפקידים והעלויות'!$A$2,I1805='סיווג התפקידים והעלויות'!$A$3),'עלויות כח אדם (6)'!H1805='סיווג התפקידים והעלויות'!$C$2,'עלויות כח אדם (6)'!H1805='סיווג התפקידים והעלויות'!$D$2),IF('עלויות כח אדם (6)'!J1805&lt;75,"לא תקין","תקין"),"")</f>
        <v/>
      </c>
      <c r="AE1805" s="374" t="str">
        <f t="shared" si="419"/>
        <v/>
      </c>
      <c r="AF1805" s="532" t="str">
        <f t="shared" si="420"/>
        <v/>
      </c>
    </row>
    <row r="1806" spans="2:32" x14ac:dyDescent="0.25">
      <c r="B1806" s="695"/>
      <c r="C1806" s="197" t="str">
        <f>IF(B1806&lt;&gt;"",IFERROR(VLOOKUP(B:B,'מצבת והרשמה (2)'!$C$20:$N$520,2,0)," ")," ")</f>
        <v xml:space="preserve"> </v>
      </c>
      <c r="D1806" s="695"/>
      <c r="E1806" s="696"/>
      <c r="F1806" s="696"/>
      <c r="G1806" s="696"/>
      <c r="H1806" s="696"/>
      <c r="I1806" s="1050" t="str">
        <f t="shared" si="407"/>
        <v/>
      </c>
      <c r="J1806" s="696"/>
      <c r="K1806" s="697"/>
      <c r="L1806" s="696"/>
      <c r="M1806" s="198" t="str">
        <f t="shared" si="408"/>
        <v/>
      </c>
      <c r="N1806" s="369" t="str">
        <f t="shared" si="409"/>
        <v/>
      </c>
      <c r="O1806" s="183" t="str">
        <f t="shared" si="410"/>
        <v/>
      </c>
      <c r="P1806" s="199" t="str">
        <f t="shared" si="411"/>
        <v/>
      </c>
      <c r="Q1806" s="199" t="str">
        <f>IF(B1806="","",IFERROR(IF('עלויות כח אדם (6)'!J1806&gt;=VLOOKUP(I1806,'סיווג התפקידים והעלויות'!$B$23:$C$32,2,0),"תקין","לא תקין"),""))</f>
        <v/>
      </c>
      <c r="R1806" s="199" t="str">
        <f t="shared" si="412"/>
        <v/>
      </c>
      <c r="S1806" s="199" t="str">
        <f t="shared" si="413"/>
        <v/>
      </c>
      <c r="T1806" s="199" t="str">
        <f t="shared" si="421"/>
        <v/>
      </c>
      <c r="U1806" s="199" t="str">
        <f t="shared" si="414"/>
        <v/>
      </c>
      <c r="V1806" s="989"/>
      <c r="X1806" s="374" t="str">
        <f t="shared" si="415"/>
        <v/>
      </c>
      <c r="Y1806" s="375" t="str">
        <f t="shared" si="416"/>
        <v/>
      </c>
      <c r="Z1806" s="374" t="str">
        <f t="shared" si="417"/>
        <v/>
      </c>
      <c r="AA1806" s="374" t="b">
        <f t="shared" si="418"/>
        <v>1</v>
      </c>
      <c r="AB1806" s="374">
        <f>COUNTIFS(B:B,B1806,H:H,'סיווג התפקידים והעלויות'!$C$2)</f>
        <v>0</v>
      </c>
      <c r="AC1806" s="374">
        <f>COUNTIFS(B:B,B1806,H:H,'סיווג התפקידים והעלויות'!$D$2)</f>
        <v>0</v>
      </c>
      <c r="AD1806" s="374" t="str">
        <f>IF(OR(AND(H1806='סיווג התפקידים והעלויות'!$A$2,I1806='סיווג התפקידים והעלויות'!$A$3),'עלויות כח אדם (6)'!H1806='סיווג התפקידים והעלויות'!$C$2,'עלויות כח אדם (6)'!H1806='סיווג התפקידים והעלויות'!$D$2),IF('עלויות כח אדם (6)'!J1806&lt;75,"לא תקין","תקין"),"")</f>
        <v/>
      </c>
      <c r="AE1806" s="374" t="str">
        <f t="shared" si="419"/>
        <v/>
      </c>
      <c r="AF1806" s="532" t="str">
        <f t="shared" si="420"/>
        <v/>
      </c>
    </row>
    <row r="1807" spans="2:32" x14ac:dyDescent="0.25">
      <c r="B1807" s="695"/>
      <c r="C1807" s="197" t="str">
        <f>IF(B1807&lt;&gt;"",IFERROR(VLOOKUP(B:B,'מצבת והרשמה (2)'!$C$20:$N$520,2,0)," ")," ")</f>
        <v xml:space="preserve"> </v>
      </c>
      <c r="D1807" s="695"/>
      <c r="E1807" s="696"/>
      <c r="F1807" s="696"/>
      <c r="G1807" s="696"/>
      <c r="H1807" s="696"/>
      <c r="I1807" s="1050" t="str">
        <f t="shared" ref="I1807:I1870" si="422">SUBSTITUTE(IFERROR(IF(H1807="מדצ","מדצ/ית",IF(H1807="סגנית רכזת מעל 150","סגנ/ית רכז/ת&gt;150",IF(H1807="רכזת תכנית בבית הספר","רכז/ת תכנית בבית הספר"))),""),"FALSE","")</f>
        <v/>
      </c>
      <c r="J1807" s="696"/>
      <c r="K1807" s="697"/>
      <c r="L1807" s="696"/>
      <c r="M1807" s="198" t="str">
        <f t="shared" ref="M1807:M1870" si="423">IF(AND(L1807&gt;0,K1807&gt;0),K1807*L1807,"")</f>
        <v/>
      </c>
      <c r="N1807" s="369" t="str">
        <f t="shared" ref="N1807:N1870" si="424">TEXT(LEFT(H1807,2),0)</f>
        <v/>
      </c>
      <c r="O1807" s="183" t="str">
        <f t="shared" ref="O1807:O1870" si="425">IF(ISNUMBER(M1807&gt;0),IF(ISBLANK(B1807),"יש להזין סמל מוסד בעמודה B",""),"")</f>
        <v/>
      </c>
      <c r="P1807" s="199" t="str">
        <f t="shared" ref="P1807:P1870" si="426">IF(B1807="","",IF(AA1807=FALSE,"לא תקין","תקין"))</f>
        <v/>
      </c>
      <c r="Q1807" s="199" t="str">
        <f>IF(B1807="","",IFERROR(IF('עלויות כח אדם (6)'!J1807&gt;=VLOOKUP(I1807,'סיווג התפקידים והעלויות'!$B$23:$C$32,2,0),"תקין","לא תקין"),""))</f>
        <v/>
      </c>
      <c r="R1807" s="199" t="str">
        <f t="shared" ref="R1807:R1870" si="427">IF(B1807="","",IF(OR(Y1807&lt;100%,Y1807&gt;140%),"לא תקין","תקין"))</f>
        <v/>
      </c>
      <c r="S1807" s="199" t="str">
        <f t="shared" ref="S1807:S1870" si="428">IF(B1807="","",IFERROR(IF(J1807&gt;120,"לא תקין","תקין"),""))</f>
        <v/>
      </c>
      <c r="T1807" s="199" t="str">
        <f t="shared" si="421"/>
        <v/>
      </c>
      <c r="U1807" s="199" t="str">
        <f t="shared" ref="U1807:U1870" si="429">IF(B1807="","",IF(Z1807&gt;1,IF(SUMIF(D:D,D1807,L:L)&gt;90,"לא תקין","תקין"),"תקין"))</f>
        <v/>
      </c>
      <c r="V1807" s="989"/>
      <c r="X1807" s="374" t="str">
        <f t="shared" ref="X1807:X1870" si="430">IF(B1807="","",IF(OR(R1807="לא תקין",S1807="לא תקין",T1807="לא תקין",,U1807="לא תקין"),"לא תקין","תקין"))</f>
        <v/>
      </c>
      <c r="Y1807" s="375" t="str">
        <f t="shared" ref="Y1807:Y1870" si="431">IFERROR(IF(B1807="","",K1807/J1807),"")</f>
        <v/>
      </c>
      <c r="Z1807" s="374" t="str">
        <f t="shared" ref="Z1807:Z1870" si="432">IF(B1807="","",COUNTIF(D:D,D1807))</f>
        <v/>
      </c>
      <c r="AA1807" s="374" t="b">
        <f t="shared" ref="AA1807:AA1870" si="433">MOD(MID(REPT(0,9-LEN(D1807))&amp;D1807,1,1)+MID("0246813579",MID(REPT(0,9-LEN(D1807))&amp;D1807,2,1)+1,1)+MID(REPT(0,9-LEN(D1807))&amp;D1807,3,1)+MID("0246813579",MID(REPT(0,9-LEN(D1807))&amp;D1807,4,1)+1,1)+MID(REPT(0,9-LEN(D1807))&amp;D1807,5,1)+MID("0246813579",MID(REPT(0,9-LEN(D1807))&amp;D1807,6,1)+1,1)+MID(REPT(0,9-LEN(D1807))&amp;D1807,7,1)+MID("0246813579",MID(REPT(0,9-LEN(D1807))&amp;D1807,8,1)+1,1)+MID(REPT(0,9-LEN(D1807))&amp;D1807,9,1),10)=0</f>
        <v>1</v>
      </c>
      <c r="AB1807" s="374">
        <f>COUNTIFS(B:B,B1807,H:H,'סיווג התפקידים והעלויות'!$C$2)</f>
        <v>0</v>
      </c>
      <c r="AC1807" s="374">
        <f>COUNTIFS(B:B,B1807,H:H,'סיווג התפקידים והעלויות'!$D$2)</f>
        <v>0</v>
      </c>
      <c r="AD1807" s="374" t="str">
        <f>IF(OR(AND(H1807='סיווג התפקידים והעלויות'!$A$2,I1807='סיווג התפקידים והעלויות'!$A$3),'עלויות כח אדם (6)'!H1807='סיווג התפקידים והעלויות'!$C$2,'עלויות כח אדם (6)'!H1807='סיווג התפקידים והעלויות'!$D$2),IF('עלויות כח אדם (6)'!J1807&lt;75,"לא תקין","תקין"),"")</f>
        <v/>
      </c>
      <c r="AE1807" s="374" t="str">
        <f t="shared" ref="AE1807:AE1870" si="434">IF(B1807&lt;&gt;"",B1807&amp;H1807,"")</f>
        <v/>
      </c>
      <c r="AF1807" s="532" t="str">
        <f t="shared" ref="AF1807:AF1870" si="435">M1807</f>
        <v/>
      </c>
    </row>
    <row r="1808" spans="2:32" x14ac:dyDescent="0.25">
      <c r="B1808" s="695"/>
      <c r="C1808" s="197" t="str">
        <f>IF(B1808&lt;&gt;"",IFERROR(VLOOKUP(B:B,'מצבת והרשמה (2)'!$C$20:$N$520,2,0)," ")," ")</f>
        <v xml:space="preserve"> </v>
      </c>
      <c r="D1808" s="695"/>
      <c r="E1808" s="696"/>
      <c r="F1808" s="696"/>
      <c r="G1808" s="696"/>
      <c r="H1808" s="696"/>
      <c r="I1808" s="1050" t="str">
        <f t="shared" si="422"/>
        <v/>
      </c>
      <c r="J1808" s="696"/>
      <c r="K1808" s="697"/>
      <c r="L1808" s="696"/>
      <c r="M1808" s="198" t="str">
        <f t="shared" si="423"/>
        <v/>
      </c>
      <c r="N1808" s="369" t="str">
        <f t="shared" si="424"/>
        <v/>
      </c>
      <c r="O1808" s="183" t="str">
        <f t="shared" si="425"/>
        <v/>
      </c>
      <c r="P1808" s="199" t="str">
        <f t="shared" si="426"/>
        <v/>
      </c>
      <c r="Q1808" s="199" t="str">
        <f>IF(B1808="","",IFERROR(IF('עלויות כח אדם (6)'!J1808&gt;=VLOOKUP(I1808,'סיווג התפקידים והעלויות'!$B$23:$C$32,2,0),"תקין","לא תקין"),""))</f>
        <v/>
      </c>
      <c r="R1808" s="199" t="str">
        <f t="shared" si="427"/>
        <v/>
      </c>
      <c r="S1808" s="199" t="str">
        <f t="shared" si="428"/>
        <v/>
      </c>
      <c r="T1808" s="199" t="str">
        <f t="shared" ref="T1808:T1871" si="436">IF(B1808="","",IF(H1808="","יש להזין איש צוות",IF(OR(H1808="מורה",H1808="גננת",H1808="רכז גן",H1808="רכזת גן",H1808="סייעת",H1808="מדצית",H1808="מדצ",H1808="מדריך",H1808="מדריכה",H1808="תוספת כח אדם"),IF(L1808&lt;=90,"תקין","לא תקין"),IF(OR(H1808="רכז בית ספר",H1808="רכזת תכנית בבית הספר",H1808="רכזת בית ספר"),IF(L1808&lt;=137,"תקין","לא תקין"),IF(OR(H1808="סגנית רכזת מעל 150",H1808="סגן רכז"),IF(L1808&lt;=93,"תקין","לא תקין"),"לא תקין")))))</f>
        <v/>
      </c>
      <c r="U1808" s="199" t="str">
        <f t="shared" si="429"/>
        <v/>
      </c>
      <c r="V1808" s="989"/>
      <c r="X1808" s="374" t="str">
        <f t="shared" si="430"/>
        <v/>
      </c>
      <c r="Y1808" s="375" t="str">
        <f t="shared" si="431"/>
        <v/>
      </c>
      <c r="Z1808" s="374" t="str">
        <f t="shared" si="432"/>
        <v/>
      </c>
      <c r="AA1808" s="374" t="b">
        <f t="shared" si="433"/>
        <v>1</v>
      </c>
      <c r="AB1808" s="374">
        <f>COUNTIFS(B:B,B1808,H:H,'סיווג התפקידים והעלויות'!$C$2)</f>
        <v>0</v>
      </c>
      <c r="AC1808" s="374">
        <f>COUNTIFS(B:B,B1808,H:H,'סיווג התפקידים והעלויות'!$D$2)</f>
        <v>0</v>
      </c>
      <c r="AD1808" s="374" t="str">
        <f>IF(OR(AND(H1808='סיווג התפקידים והעלויות'!$A$2,I1808='סיווג התפקידים והעלויות'!$A$3),'עלויות כח אדם (6)'!H1808='סיווג התפקידים והעלויות'!$C$2,'עלויות כח אדם (6)'!H1808='סיווג התפקידים והעלויות'!$D$2),IF('עלויות כח אדם (6)'!J1808&lt;75,"לא תקין","תקין"),"")</f>
        <v/>
      </c>
      <c r="AE1808" s="374" t="str">
        <f t="shared" si="434"/>
        <v/>
      </c>
      <c r="AF1808" s="532" t="str">
        <f t="shared" si="435"/>
        <v/>
      </c>
    </row>
    <row r="1809" spans="2:32" x14ac:dyDescent="0.25">
      <c r="B1809" s="695"/>
      <c r="C1809" s="197" t="str">
        <f>IF(B1809&lt;&gt;"",IFERROR(VLOOKUP(B:B,'מצבת והרשמה (2)'!$C$20:$N$520,2,0)," ")," ")</f>
        <v xml:space="preserve"> </v>
      </c>
      <c r="D1809" s="695"/>
      <c r="E1809" s="696"/>
      <c r="F1809" s="696"/>
      <c r="G1809" s="696"/>
      <c r="H1809" s="696"/>
      <c r="I1809" s="1050" t="str">
        <f t="shared" si="422"/>
        <v/>
      </c>
      <c r="J1809" s="696"/>
      <c r="K1809" s="697"/>
      <c r="L1809" s="696"/>
      <c r="M1809" s="198" t="str">
        <f t="shared" si="423"/>
        <v/>
      </c>
      <c r="N1809" s="369" t="str">
        <f t="shared" si="424"/>
        <v/>
      </c>
      <c r="O1809" s="183" t="str">
        <f t="shared" si="425"/>
        <v/>
      </c>
      <c r="P1809" s="199" t="str">
        <f t="shared" si="426"/>
        <v/>
      </c>
      <c r="Q1809" s="199" t="str">
        <f>IF(B1809="","",IFERROR(IF('עלויות כח אדם (6)'!J1809&gt;=VLOOKUP(I1809,'סיווג התפקידים והעלויות'!$B$23:$C$32,2,0),"תקין","לא תקין"),""))</f>
        <v/>
      </c>
      <c r="R1809" s="199" t="str">
        <f t="shared" si="427"/>
        <v/>
      </c>
      <c r="S1809" s="199" t="str">
        <f t="shared" si="428"/>
        <v/>
      </c>
      <c r="T1809" s="199" t="str">
        <f t="shared" si="436"/>
        <v/>
      </c>
      <c r="U1809" s="199" t="str">
        <f t="shared" si="429"/>
        <v/>
      </c>
      <c r="V1809" s="989"/>
      <c r="X1809" s="374" t="str">
        <f t="shared" si="430"/>
        <v/>
      </c>
      <c r="Y1809" s="375" t="str">
        <f t="shared" si="431"/>
        <v/>
      </c>
      <c r="Z1809" s="374" t="str">
        <f t="shared" si="432"/>
        <v/>
      </c>
      <c r="AA1809" s="374" t="b">
        <f t="shared" si="433"/>
        <v>1</v>
      </c>
      <c r="AB1809" s="374">
        <f>COUNTIFS(B:B,B1809,H:H,'סיווג התפקידים והעלויות'!$C$2)</f>
        <v>0</v>
      </c>
      <c r="AC1809" s="374">
        <f>COUNTIFS(B:B,B1809,H:H,'סיווג התפקידים והעלויות'!$D$2)</f>
        <v>0</v>
      </c>
      <c r="AD1809" s="374" t="str">
        <f>IF(OR(AND(H1809='סיווג התפקידים והעלויות'!$A$2,I1809='סיווג התפקידים והעלויות'!$A$3),'עלויות כח אדם (6)'!H1809='סיווג התפקידים והעלויות'!$C$2,'עלויות כח אדם (6)'!H1809='סיווג התפקידים והעלויות'!$D$2),IF('עלויות כח אדם (6)'!J1809&lt;75,"לא תקין","תקין"),"")</f>
        <v/>
      </c>
      <c r="AE1809" s="374" t="str">
        <f t="shared" si="434"/>
        <v/>
      </c>
      <c r="AF1809" s="532" t="str">
        <f t="shared" si="435"/>
        <v/>
      </c>
    </row>
    <row r="1810" spans="2:32" x14ac:dyDescent="0.25">
      <c r="B1810" s="695"/>
      <c r="C1810" s="197" t="str">
        <f>IF(B1810&lt;&gt;"",IFERROR(VLOOKUP(B:B,'מצבת והרשמה (2)'!$C$20:$N$520,2,0)," ")," ")</f>
        <v xml:space="preserve"> </v>
      </c>
      <c r="D1810" s="695"/>
      <c r="E1810" s="696"/>
      <c r="F1810" s="696"/>
      <c r="G1810" s="696"/>
      <c r="H1810" s="696"/>
      <c r="I1810" s="1050" t="str">
        <f t="shared" si="422"/>
        <v/>
      </c>
      <c r="J1810" s="696"/>
      <c r="K1810" s="697"/>
      <c r="L1810" s="696"/>
      <c r="M1810" s="198" t="str">
        <f t="shared" si="423"/>
        <v/>
      </c>
      <c r="N1810" s="369" t="str">
        <f t="shared" si="424"/>
        <v/>
      </c>
      <c r="O1810" s="183" t="str">
        <f t="shared" si="425"/>
        <v/>
      </c>
      <c r="P1810" s="199" t="str">
        <f t="shared" si="426"/>
        <v/>
      </c>
      <c r="Q1810" s="199" t="str">
        <f>IF(B1810="","",IFERROR(IF('עלויות כח אדם (6)'!J1810&gt;=VLOOKUP(I1810,'סיווג התפקידים והעלויות'!$B$23:$C$32,2,0),"תקין","לא תקין"),""))</f>
        <v/>
      </c>
      <c r="R1810" s="199" t="str">
        <f t="shared" si="427"/>
        <v/>
      </c>
      <c r="S1810" s="199" t="str">
        <f t="shared" si="428"/>
        <v/>
      </c>
      <c r="T1810" s="199" t="str">
        <f t="shared" si="436"/>
        <v/>
      </c>
      <c r="U1810" s="199" t="str">
        <f t="shared" si="429"/>
        <v/>
      </c>
      <c r="V1810" s="989"/>
      <c r="X1810" s="374" t="str">
        <f t="shared" si="430"/>
        <v/>
      </c>
      <c r="Y1810" s="375" t="str">
        <f t="shared" si="431"/>
        <v/>
      </c>
      <c r="Z1810" s="374" t="str">
        <f t="shared" si="432"/>
        <v/>
      </c>
      <c r="AA1810" s="374" t="b">
        <f t="shared" si="433"/>
        <v>1</v>
      </c>
      <c r="AB1810" s="374">
        <f>COUNTIFS(B:B,B1810,H:H,'סיווג התפקידים והעלויות'!$C$2)</f>
        <v>0</v>
      </c>
      <c r="AC1810" s="374">
        <f>COUNTIFS(B:B,B1810,H:H,'סיווג התפקידים והעלויות'!$D$2)</f>
        <v>0</v>
      </c>
      <c r="AD1810" s="374" t="str">
        <f>IF(OR(AND(H1810='סיווג התפקידים והעלויות'!$A$2,I1810='סיווג התפקידים והעלויות'!$A$3),'עלויות כח אדם (6)'!H1810='סיווג התפקידים והעלויות'!$C$2,'עלויות כח אדם (6)'!H1810='סיווג התפקידים והעלויות'!$D$2),IF('עלויות כח אדם (6)'!J1810&lt;75,"לא תקין","תקין"),"")</f>
        <v/>
      </c>
      <c r="AE1810" s="374" t="str">
        <f t="shared" si="434"/>
        <v/>
      </c>
      <c r="AF1810" s="532" t="str">
        <f t="shared" si="435"/>
        <v/>
      </c>
    </row>
    <row r="1811" spans="2:32" x14ac:dyDescent="0.25">
      <c r="B1811" s="695"/>
      <c r="C1811" s="197" t="str">
        <f>IF(B1811&lt;&gt;"",IFERROR(VLOOKUP(B:B,'מצבת והרשמה (2)'!$C$20:$N$520,2,0)," ")," ")</f>
        <v xml:space="preserve"> </v>
      </c>
      <c r="D1811" s="695"/>
      <c r="E1811" s="696"/>
      <c r="F1811" s="696"/>
      <c r="G1811" s="696"/>
      <c r="H1811" s="696"/>
      <c r="I1811" s="1050" t="str">
        <f t="shared" si="422"/>
        <v/>
      </c>
      <c r="J1811" s="696"/>
      <c r="K1811" s="697"/>
      <c r="L1811" s="696"/>
      <c r="M1811" s="198" t="str">
        <f t="shared" si="423"/>
        <v/>
      </c>
      <c r="N1811" s="369" t="str">
        <f t="shared" si="424"/>
        <v/>
      </c>
      <c r="O1811" s="183" t="str">
        <f t="shared" si="425"/>
        <v/>
      </c>
      <c r="P1811" s="199" t="str">
        <f t="shared" si="426"/>
        <v/>
      </c>
      <c r="Q1811" s="199" t="str">
        <f>IF(B1811="","",IFERROR(IF('עלויות כח אדם (6)'!J1811&gt;=VLOOKUP(I1811,'סיווג התפקידים והעלויות'!$B$23:$C$32,2,0),"תקין","לא תקין"),""))</f>
        <v/>
      </c>
      <c r="R1811" s="199" t="str">
        <f t="shared" si="427"/>
        <v/>
      </c>
      <c r="S1811" s="199" t="str">
        <f t="shared" si="428"/>
        <v/>
      </c>
      <c r="T1811" s="199" t="str">
        <f t="shared" si="436"/>
        <v/>
      </c>
      <c r="U1811" s="199" t="str">
        <f t="shared" si="429"/>
        <v/>
      </c>
      <c r="V1811" s="989"/>
      <c r="X1811" s="374" t="str">
        <f t="shared" si="430"/>
        <v/>
      </c>
      <c r="Y1811" s="375" t="str">
        <f t="shared" si="431"/>
        <v/>
      </c>
      <c r="Z1811" s="374" t="str">
        <f t="shared" si="432"/>
        <v/>
      </c>
      <c r="AA1811" s="374" t="b">
        <f t="shared" si="433"/>
        <v>1</v>
      </c>
      <c r="AB1811" s="374">
        <f>COUNTIFS(B:B,B1811,H:H,'סיווג התפקידים והעלויות'!$C$2)</f>
        <v>0</v>
      </c>
      <c r="AC1811" s="374">
        <f>COUNTIFS(B:B,B1811,H:H,'סיווג התפקידים והעלויות'!$D$2)</f>
        <v>0</v>
      </c>
      <c r="AD1811" s="374" t="str">
        <f>IF(OR(AND(H1811='סיווג התפקידים והעלויות'!$A$2,I1811='סיווג התפקידים והעלויות'!$A$3),'עלויות כח אדם (6)'!H1811='סיווג התפקידים והעלויות'!$C$2,'עלויות כח אדם (6)'!H1811='סיווג התפקידים והעלויות'!$D$2),IF('עלויות כח אדם (6)'!J1811&lt;75,"לא תקין","תקין"),"")</f>
        <v/>
      </c>
      <c r="AE1811" s="374" t="str">
        <f t="shared" si="434"/>
        <v/>
      </c>
      <c r="AF1811" s="532" t="str">
        <f t="shared" si="435"/>
        <v/>
      </c>
    </row>
    <row r="1812" spans="2:32" x14ac:dyDescent="0.25">
      <c r="B1812" s="695"/>
      <c r="C1812" s="197" t="str">
        <f>IF(B1812&lt;&gt;"",IFERROR(VLOOKUP(B:B,'מצבת והרשמה (2)'!$C$20:$N$520,2,0)," ")," ")</f>
        <v xml:space="preserve"> </v>
      </c>
      <c r="D1812" s="695"/>
      <c r="E1812" s="696"/>
      <c r="F1812" s="696"/>
      <c r="G1812" s="696"/>
      <c r="H1812" s="696"/>
      <c r="I1812" s="1050" t="str">
        <f t="shared" si="422"/>
        <v/>
      </c>
      <c r="J1812" s="696"/>
      <c r="K1812" s="697"/>
      <c r="L1812" s="696"/>
      <c r="M1812" s="198" t="str">
        <f t="shared" si="423"/>
        <v/>
      </c>
      <c r="N1812" s="369" t="str">
        <f t="shared" si="424"/>
        <v/>
      </c>
      <c r="O1812" s="183" t="str">
        <f t="shared" si="425"/>
        <v/>
      </c>
      <c r="P1812" s="199" t="str">
        <f t="shared" si="426"/>
        <v/>
      </c>
      <c r="Q1812" s="199" t="str">
        <f>IF(B1812="","",IFERROR(IF('עלויות כח אדם (6)'!J1812&gt;=VLOOKUP(I1812,'סיווג התפקידים והעלויות'!$B$23:$C$32,2,0),"תקין","לא תקין"),""))</f>
        <v/>
      </c>
      <c r="R1812" s="199" t="str">
        <f t="shared" si="427"/>
        <v/>
      </c>
      <c r="S1812" s="199" t="str">
        <f t="shared" si="428"/>
        <v/>
      </c>
      <c r="T1812" s="199" t="str">
        <f t="shared" si="436"/>
        <v/>
      </c>
      <c r="U1812" s="199" t="str">
        <f t="shared" si="429"/>
        <v/>
      </c>
      <c r="V1812" s="989"/>
      <c r="X1812" s="374" t="str">
        <f t="shared" si="430"/>
        <v/>
      </c>
      <c r="Y1812" s="375" t="str">
        <f t="shared" si="431"/>
        <v/>
      </c>
      <c r="Z1812" s="374" t="str">
        <f t="shared" si="432"/>
        <v/>
      </c>
      <c r="AA1812" s="374" t="b">
        <f t="shared" si="433"/>
        <v>1</v>
      </c>
      <c r="AB1812" s="374">
        <f>COUNTIFS(B:B,B1812,H:H,'סיווג התפקידים והעלויות'!$C$2)</f>
        <v>0</v>
      </c>
      <c r="AC1812" s="374">
        <f>COUNTIFS(B:B,B1812,H:H,'סיווג התפקידים והעלויות'!$D$2)</f>
        <v>0</v>
      </c>
      <c r="AD1812" s="374" t="str">
        <f>IF(OR(AND(H1812='סיווג התפקידים והעלויות'!$A$2,I1812='סיווג התפקידים והעלויות'!$A$3),'עלויות כח אדם (6)'!H1812='סיווג התפקידים והעלויות'!$C$2,'עלויות כח אדם (6)'!H1812='סיווג התפקידים והעלויות'!$D$2),IF('עלויות כח אדם (6)'!J1812&lt;75,"לא תקין","תקין"),"")</f>
        <v/>
      </c>
      <c r="AE1812" s="374" t="str">
        <f t="shared" si="434"/>
        <v/>
      </c>
      <c r="AF1812" s="532" t="str">
        <f t="shared" si="435"/>
        <v/>
      </c>
    </row>
    <row r="1813" spans="2:32" x14ac:dyDescent="0.25">
      <c r="B1813" s="695"/>
      <c r="C1813" s="197" t="str">
        <f>IF(B1813&lt;&gt;"",IFERROR(VLOOKUP(B:B,'מצבת והרשמה (2)'!$C$20:$N$520,2,0)," ")," ")</f>
        <v xml:space="preserve"> </v>
      </c>
      <c r="D1813" s="695"/>
      <c r="E1813" s="696"/>
      <c r="F1813" s="696"/>
      <c r="G1813" s="696"/>
      <c r="H1813" s="696"/>
      <c r="I1813" s="1050" t="str">
        <f t="shared" si="422"/>
        <v/>
      </c>
      <c r="J1813" s="696"/>
      <c r="K1813" s="697"/>
      <c r="L1813" s="696"/>
      <c r="M1813" s="198" t="str">
        <f t="shared" si="423"/>
        <v/>
      </c>
      <c r="N1813" s="369" t="str">
        <f t="shared" si="424"/>
        <v/>
      </c>
      <c r="O1813" s="183" t="str">
        <f t="shared" si="425"/>
        <v/>
      </c>
      <c r="P1813" s="199" t="str">
        <f t="shared" si="426"/>
        <v/>
      </c>
      <c r="Q1813" s="199" t="str">
        <f>IF(B1813="","",IFERROR(IF('עלויות כח אדם (6)'!J1813&gt;=VLOOKUP(I1813,'סיווג התפקידים והעלויות'!$B$23:$C$32,2,0),"תקין","לא תקין"),""))</f>
        <v/>
      </c>
      <c r="R1813" s="199" t="str">
        <f t="shared" si="427"/>
        <v/>
      </c>
      <c r="S1813" s="199" t="str">
        <f t="shared" si="428"/>
        <v/>
      </c>
      <c r="T1813" s="199" t="str">
        <f t="shared" si="436"/>
        <v/>
      </c>
      <c r="U1813" s="199" t="str">
        <f t="shared" si="429"/>
        <v/>
      </c>
      <c r="V1813" s="989"/>
      <c r="X1813" s="374" t="str">
        <f t="shared" si="430"/>
        <v/>
      </c>
      <c r="Y1813" s="375" t="str">
        <f t="shared" si="431"/>
        <v/>
      </c>
      <c r="Z1813" s="374" t="str">
        <f t="shared" si="432"/>
        <v/>
      </c>
      <c r="AA1813" s="374" t="b">
        <f t="shared" si="433"/>
        <v>1</v>
      </c>
      <c r="AB1813" s="374">
        <f>COUNTIFS(B:B,B1813,H:H,'סיווג התפקידים והעלויות'!$C$2)</f>
        <v>0</v>
      </c>
      <c r="AC1813" s="374">
        <f>COUNTIFS(B:B,B1813,H:H,'סיווג התפקידים והעלויות'!$D$2)</f>
        <v>0</v>
      </c>
      <c r="AD1813" s="374" t="str">
        <f>IF(OR(AND(H1813='סיווג התפקידים והעלויות'!$A$2,I1813='סיווג התפקידים והעלויות'!$A$3),'עלויות כח אדם (6)'!H1813='סיווג התפקידים והעלויות'!$C$2,'עלויות כח אדם (6)'!H1813='סיווג התפקידים והעלויות'!$D$2),IF('עלויות כח אדם (6)'!J1813&lt;75,"לא תקין","תקין"),"")</f>
        <v/>
      </c>
      <c r="AE1813" s="374" t="str">
        <f t="shared" si="434"/>
        <v/>
      </c>
      <c r="AF1813" s="532" t="str">
        <f t="shared" si="435"/>
        <v/>
      </c>
    </row>
    <row r="1814" spans="2:32" x14ac:dyDescent="0.25">
      <c r="B1814" s="695"/>
      <c r="C1814" s="197" t="str">
        <f>IF(B1814&lt;&gt;"",IFERROR(VLOOKUP(B:B,'מצבת והרשמה (2)'!$C$20:$N$520,2,0)," ")," ")</f>
        <v xml:space="preserve"> </v>
      </c>
      <c r="D1814" s="695"/>
      <c r="E1814" s="696"/>
      <c r="F1814" s="696"/>
      <c r="G1814" s="696"/>
      <c r="H1814" s="696"/>
      <c r="I1814" s="1050" t="str">
        <f t="shared" si="422"/>
        <v/>
      </c>
      <c r="J1814" s="696"/>
      <c r="K1814" s="697"/>
      <c r="L1814" s="696"/>
      <c r="M1814" s="198" t="str">
        <f t="shared" si="423"/>
        <v/>
      </c>
      <c r="N1814" s="369" t="str">
        <f t="shared" si="424"/>
        <v/>
      </c>
      <c r="O1814" s="183" t="str">
        <f t="shared" si="425"/>
        <v/>
      </c>
      <c r="P1814" s="199" t="str">
        <f t="shared" si="426"/>
        <v/>
      </c>
      <c r="Q1814" s="199" t="str">
        <f>IF(B1814="","",IFERROR(IF('עלויות כח אדם (6)'!J1814&gt;=VLOOKUP(I1814,'סיווג התפקידים והעלויות'!$B$23:$C$32,2,0),"תקין","לא תקין"),""))</f>
        <v/>
      </c>
      <c r="R1814" s="199" t="str">
        <f t="shared" si="427"/>
        <v/>
      </c>
      <c r="S1814" s="199" t="str">
        <f t="shared" si="428"/>
        <v/>
      </c>
      <c r="T1814" s="199" t="str">
        <f t="shared" si="436"/>
        <v/>
      </c>
      <c r="U1814" s="199" t="str">
        <f t="shared" si="429"/>
        <v/>
      </c>
      <c r="V1814" s="989"/>
      <c r="X1814" s="374" t="str">
        <f t="shared" si="430"/>
        <v/>
      </c>
      <c r="Y1814" s="375" t="str">
        <f t="shared" si="431"/>
        <v/>
      </c>
      <c r="Z1814" s="374" t="str">
        <f t="shared" si="432"/>
        <v/>
      </c>
      <c r="AA1814" s="374" t="b">
        <f t="shared" si="433"/>
        <v>1</v>
      </c>
      <c r="AB1814" s="374">
        <f>COUNTIFS(B:B,B1814,H:H,'סיווג התפקידים והעלויות'!$C$2)</f>
        <v>0</v>
      </c>
      <c r="AC1814" s="374">
        <f>COUNTIFS(B:B,B1814,H:H,'סיווג התפקידים והעלויות'!$D$2)</f>
        <v>0</v>
      </c>
      <c r="AD1814" s="374" t="str">
        <f>IF(OR(AND(H1814='סיווג התפקידים והעלויות'!$A$2,I1814='סיווג התפקידים והעלויות'!$A$3),'עלויות כח אדם (6)'!H1814='סיווג התפקידים והעלויות'!$C$2,'עלויות כח אדם (6)'!H1814='סיווג התפקידים והעלויות'!$D$2),IF('עלויות כח אדם (6)'!J1814&lt;75,"לא תקין","תקין"),"")</f>
        <v/>
      </c>
      <c r="AE1814" s="374" t="str">
        <f t="shared" si="434"/>
        <v/>
      </c>
      <c r="AF1814" s="532" t="str">
        <f t="shared" si="435"/>
        <v/>
      </c>
    </row>
    <row r="1815" spans="2:32" x14ac:dyDescent="0.25">
      <c r="B1815" s="695"/>
      <c r="C1815" s="197" t="str">
        <f>IF(B1815&lt;&gt;"",IFERROR(VLOOKUP(B:B,'מצבת והרשמה (2)'!$C$20:$N$520,2,0)," ")," ")</f>
        <v xml:space="preserve"> </v>
      </c>
      <c r="D1815" s="695"/>
      <c r="E1815" s="696"/>
      <c r="F1815" s="696"/>
      <c r="G1815" s="696"/>
      <c r="H1815" s="696"/>
      <c r="I1815" s="1050" t="str">
        <f t="shared" si="422"/>
        <v/>
      </c>
      <c r="J1815" s="696"/>
      <c r="K1815" s="697"/>
      <c r="L1815" s="696"/>
      <c r="M1815" s="198" t="str">
        <f t="shared" si="423"/>
        <v/>
      </c>
      <c r="N1815" s="369" t="str">
        <f t="shared" si="424"/>
        <v/>
      </c>
      <c r="O1815" s="183" t="str">
        <f t="shared" si="425"/>
        <v/>
      </c>
      <c r="P1815" s="199" t="str">
        <f t="shared" si="426"/>
        <v/>
      </c>
      <c r="Q1815" s="199" t="str">
        <f>IF(B1815="","",IFERROR(IF('עלויות כח אדם (6)'!J1815&gt;=VLOOKUP(I1815,'סיווג התפקידים והעלויות'!$B$23:$C$32,2,0),"תקין","לא תקין"),""))</f>
        <v/>
      </c>
      <c r="R1815" s="199" t="str">
        <f t="shared" si="427"/>
        <v/>
      </c>
      <c r="S1815" s="199" t="str">
        <f t="shared" si="428"/>
        <v/>
      </c>
      <c r="T1815" s="199" t="str">
        <f t="shared" si="436"/>
        <v/>
      </c>
      <c r="U1815" s="199" t="str">
        <f t="shared" si="429"/>
        <v/>
      </c>
      <c r="V1815" s="989"/>
      <c r="X1815" s="374" t="str">
        <f t="shared" si="430"/>
        <v/>
      </c>
      <c r="Y1815" s="375" t="str">
        <f t="shared" si="431"/>
        <v/>
      </c>
      <c r="Z1815" s="374" t="str">
        <f t="shared" si="432"/>
        <v/>
      </c>
      <c r="AA1815" s="374" t="b">
        <f t="shared" si="433"/>
        <v>1</v>
      </c>
      <c r="AB1815" s="374">
        <f>COUNTIFS(B:B,B1815,H:H,'סיווג התפקידים והעלויות'!$C$2)</f>
        <v>0</v>
      </c>
      <c r="AC1815" s="374">
        <f>COUNTIFS(B:B,B1815,H:H,'סיווג התפקידים והעלויות'!$D$2)</f>
        <v>0</v>
      </c>
      <c r="AD1815" s="374" t="str">
        <f>IF(OR(AND(H1815='סיווג התפקידים והעלויות'!$A$2,I1815='סיווג התפקידים והעלויות'!$A$3),'עלויות כח אדם (6)'!H1815='סיווג התפקידים והעלויות'!$C$2,'עלויות כח אדם (6)'!H1815='סיווג התפקידים והעלויות'!$D$2),IF('עלויות כח אדם (6)'!J1815&lt;75,"לא תקין","תקין"),"")</f>
        <v/>
      </c>
      <c r="AE1815" s="374" t="str">
        <f t="shared" si="434"/>
        <v/>
      </c>
      <c r="AF1815" s="532" t="str">
        <f t="shared" si="435"/>
        <v/>
      </c>
    </row>
    <row r="1816" spans="2:32" x14ac:dyDescent="0.25">
      <c r="B1816" s="695"/>
      <c r="C1816" s="197" t="str">
        <f>IF(B1816&lt;&gt;"",IFERROR(VLOOKUP(B:B,'מצבת והרשמה (2)'!$C$20:$N$520,2,0)," ")," ")</f>
        <v xml:space="preserve"> </v>
      </c>
      <c r="D1816" s="695"/>
      <c r="E1816" s="696"/>
      <c r="F1816" s="696"/>
      <c r="G1816" s="696"/>
      <c r="H1816" s="696"/>
      <c r="I1816" s="1050" t="str">
        <f t="shared" si="422"/>
        <v/>
      </c>
      <c r="J1816" s="696"/>
      <c r="K1816" s="697"/>
      <c r="L1816" s="696"/>
      <c r="M1816" s="198" t="str">
        <f t="shared" si="423"/>
        <v/>
      </c>
      <c r="N1816" s="369" t="str">
        <f t="shared" si="424"/>
        <v/>
      </c>
      <c r="O1816" s="183" t="str">
        <f t="shared" si="425"/>
        <v/>
      </c>
      <c r="P1816" s="199" t="str">
        <f t="shared" si="426"/>
        <v/>
      </c>
      <c r="Q1816" s="199" t="str">
        <f>IF(B1816="","",IFERROR(IF('עלויות כח אדם (6)'!J1816&gt;=VLOOKUP(I1816,'סיווג התפקידים והעלויות'!$B$23:$C$32,2,0),"תקין","לא תקין"),""))</f>
        <v/>
      </c>
      <c r="R1816" s="199" t="str">
        <f t="shared" si="427"/>
        <v/>
      </c>
      <c r="S1816" s="199" t="str">
        <f t="shared" si="428"/>
        <v/>
      </c>
      <c r="T1816" s="199" t="str">
        <f t="shared" si="436"/>
        <v/>
      </c>
      <c r="U1816" s="199" t="str">
        <f t="shared" si="429"/>
        <v/>
      </c>
      <c r="V1816" s="989"/>
      <c r="X1816" s="374" t="str">
        <f t="shared" si="430"/>
        <v/>
      </c>
      <c r="Y1816" s="375" t="str">
        <f t="shared" si="431"/>
        <v/>
      </c>
      <c r="Z1816" s="374" t="str">
        <f t="shared" si="432"/>
        <v/>
      </c>
      <c r="AA1816" s="374" t="b">
        <f t="shared" si="433"/>
        <v>1</v>
      </c>
      <c r="AB1816" s="374">
        <f>COUNTIFS(B:B,B1816,H:H,'סיווג התפקידים והעלויות'!$C$2)</f>
        <v>0</v>
      </c>
      <c r="AC1816" s="374">
        <f>COUNTIFS(B:B,B1816,H:H,'סיווג התפקידים והעלויות'!$D$2)</f>
        <v>0</v>
      </c>
      <c r="AD1816" s="374" t="str">
        <f>IF(OR(AND(H1816='סיווג התפקידים והעלויות'!$A$2,I1816='סיווג התפקידים והעלויות'!$A$3),'עלויות כח אדם (6)'!H1816='סיווג התפקידים והעלויות'!$C$2,'עלויות כח אדם (6)'!H1816='סיווג התפקידים והעלויות'!$D$2),IF('עלויות כח אדם (6)'!J1816&lt;75,"לא תקין","תקין"),"")</f>
        <v/>
      </c>
      <c r="AE1816" s="374" t="str">
        <f t="shared" si="434"/>
        <v/>
      </c>
      <c r="AF1816" s="532" t="str">
        <f t="shared" si="435"/>
        <v/>
      </c>
    </row>
    <row r="1817" spans="2:32" x14ac:dyDescent="0.25">
      <c r="B1817" s="695"/>
      <c r="C1817" s="197" t="str">
        <f>IF(B1817&lt;&gt;"",IFERROR(VLOOKUP(B:B,'מצבת והרשמה (2)'!$C$20:$N$520,2,0)," ")," ")</f>
        <v xml:space="preserve"> </v>
      </c>
      <c r="D1817" s="695"/>
      <c r="E1817" s="696"/>
      <c r="F1817" s="696"/>
      <c r="G1817" s="696"/>
      <c r="H1817" s="696"/>
      <c r="I1817" s="1050" t="str">
        <f t="shared" si="422"/>
        <v/>
      </c>
      <c r="J1817" s="696"/>
      <c r="K1817" s="697"/>
      <c r="L1817" s="696"/>
      <c r="M1817" s="198" t="str">
        <f t="shared" si="423"/>
        <v/>
      </c>
      <c r="N1817" s="369" t="str">
        <f t="shared" si="424"/>
        <v/>
      </c>
      <c r="O1817" s="183" t="str">
        <f t="shared" si="425"/>
        <v/>
      </c>
      <c r="P1817" s="199" t="str">
        <f t="shared" si="426"/>
        <v/>
      </c>
      <c r="Q1817" s="199" t="str">
        <f>IF(B1817="","",IFERROR(IF('עלויות כח אדם (6)'!J1817&gt;=VLOOKUP(I1817,'סיווג התפקידים והעלויות'!$B$23:$C$32,2,0),"תקין","לא תקין"),""))</f>
        <v/>
      </c>
      <c r="R1817" s="199" t="str">
        <f t="shared" si="427"/>
        <v/>
      </c>
      <c r="S1817" s="199" t="str">
        <f t="shared" si="428"/>
        <v/>
      </c>
      <c r="T1817" s="199" t="str">
        <f t="shared" si="436"/>
        <v/>
      </c>
      <c r="U1817" s="199" t="str">
        <f t="shared" si="429"/>
        <v/>
      </c>
      <c r="V1817" s="989"/>
      <c r="X1817" s="374" t="str">
        <f t="shared" si="430"/>
        <v/>
      </c>
      <c r="Y1817" s="375" t="str">
        <f t="shared" si="431"/>
        <v/>
      </c>
      <c r="Z1817" s="374" t="str">
        <f t="shared" si="432"/>
        <v/>
      </c>
      <c r="AA1817" s="374" t="b">
        <f t="shared" si="433"/>
        <v>1</v>
      </c>
      <c r="AB1817" s="374">
        <f>COUNTIFS(B:B,B1817,H:H,'סיווג התפקידים והעלויות'!$C$2)</f>
        <v>0</v>
      </c>
      <c r="AC1817" s="374">
        <f>COUNTIFS(B:B,B1817,H:H,'סיווג התפקידים והעלויות'!$D$2)</f>
        <v>0</v>
      </c>
      <c r="AD1817" s="374" t="str">
        <f>IF(OR(AND(H1817='סיווג התפקידים והעלויות'!$A$2,I1817='סיווג התפקידים והעלויות'!$A$3),'עלויות כח אדם (6)'!H1817='סיווג התפקידים והעלויות'!$C$2,'עלויות כח אדם (6)'!H1817='סיווג התפקידים והעלויות'!$D$2),IF('עלויות כח אדם (6)'!J1817&lt;75,"לא תקין","תקין"),"")</f>
        <v/>
      </c>
      <c r="AE1817" s="374" t="str">
        <f t="shared" si="434"/>
        <v/>
      </c>
      <c r="AF1817" s="532" t="str">
        <f t="shared" si="435"/>
        <v/>
      </c>
    </row>
    <row r="1818" spans="2:32" x14ac:dyDescent="0.25">
      <c r="B1818" s="695"/>
      <c r="C1818" s="197" t="str">
        <f>IF(B1818&lt;&gt;"",IFERROR(VLOOKUP(B:B,'מצבת והרשמה (2)'!$C$20:$N$520,2,0)," ")," ")</f>
        <v xml:space="preserve"> </v>
      </c>
      <c r="D1818" s="695"/>
      <c r="E1818" s="696"/>
      <c r="F1818" s="696"/>
      <c r="G1818" s="696"/>
      <c r="H1818" s="696"/>
      <c r="I1818" s="1050" t="str">
        <f t="shared" si="422"/>
        <v/>
      </c>
      <c r="J1818" s="696"/>
      <c r="K1818" s="697"/>
      <c r="L1818" s="696"/>
      <c r="M1818" s="198" t="str">
        <f t="shared" si="423"/>
        <v/>
      </c>
      <c r="N1818" s="369" t="str">
        <f t="shared" si="424"/>
        <v/>
      </c>
      <c r="O1818" s="183" t="str">
        <f t="shared" si="425"/>
        <v/>
      </c>
      <c r="P1818" s="199" t="str">
        <f t="shared" si="426"/>
        <v/>
      </c>
      <c r="Q1818" s="199" t="str">
        <f>IF(B1818="","",IFERROR(IF('עלויות כח אדם (6)'!J1818&gt;=VLOOKUP(I1818,'סיווג התפקידים והעלויות'!$B$23:$C$32,2,0),"תקין","לא תקין"),""))</f>
        <v/>
      </c>
      <c r="R1818" s="199" t="str">
        <f t="shared" si="427"/>
        <v/>
      </c>
      <c r="S1818" s="199" t="str">
        <f t="shared" si="428"/>
        <v/>
      </c>
      <c r="T1818" s="199" t="str">
        <f t="shared" si="436"/>
        <v/>
      </c>
      <c r="U1818" s="199" t="str">
        <f t="shared" si="429"/>
        <v/>
      </c>
      <c r="V1818" s="989"/>
      <c r="X1818" s="374" t="str">
        <f t="shared" si="430"/>
        <v/>
      </c>
      <c r="Y1818" s="375" t="str">
        <f t="shared" si="431"/>
        <v/>
      </c>
      <c r="Z1818" s="374" t="str">
        <f t="shared" si="432"/>
        <v/>
      </c>
      <c r="AA1818" s="374" t="b">
        <f t="shared" si="433"/>
        <v>1</v>
      </c>
      <c r="AB1818" s="374">
        <f>COUNTIFS(B:B,B1818,H:H,'סיווג התפקידים והעלויות'!$C$2)</f>
        <v>0</v>
      </c>
      <c r="AC1818" s="374">
        <f>COUNTIFS(B:B,B1818,H:H,'סיווג התפקידים והעלויות'!$D$2)</f>
        <v>0</v>
      </c>
      <c r="AD1818" s="374" t="str">
        <f>IF(OR(AND(H1818='סיווג התפקידים והעלויות'!$A$2,I1818='סיווג התפקידים והעלויות'!$A$3),'עלויות כח אדם (6)'!H1818='סיווג התפקידים והעלויות'!$C$2,'עלויות כח אדם (6)'!H1818='סיווג התפקידים והעלויות'!$D$2),IF('עלויות כח אדם (6)'!J1818&lt;75,"לא תקין","תקין"),"")</f>
        <v/>
      </c>
      <c r="AE1818" s="374" t="str">
        <f t="shared" si="434"/>
        <v/>
      </c>
      <c r="AF1818" s="532" t="str">
        <f t="shared" si="435"/>
        <v/>
      </c>
    </row>
    <row r="1819" spans="2:32" x14ac:dyDescent="0.25">
      <c r="B1819" s="695"/>
      <c r="C1819" s="197" t="str">
        <f>IF(B1819&lt;&gt;"",IFERROR(VLOOKUP(B:B,'מצבת והרשמה (2)'!$C$20:$N$520,2,0)," ")," ")</f>
        <v xml:space="preserve"> </v>
      </c>
      <c r="D1819" s="695"/>
      <c r="E1819" s="696"/>
      <c r="F1819" s="696"/>
      <c r="G1819" s="696"/>
      <c r="H1819" s="696"/>
      <c r="I1819" s="1050" t="str">
        <f t="shared" si="422"/>
        <v/>
      </c>
      <c r="J1819" s="696"/>
      <c r="K1819" s="697"/>
      <c r="L1819" s="696"/>
      <c r="M1819" s="198" t="str">
        <f t="shared" si="423"/>
        <v/>
      </c>
      <c r="N1819" s="369" t="str">
        <f t="shared" si="424"/>
        <v/>
      </c>
      <c r="O1819" s="183" t="str">
        <f t="shared" si="425"/>
        <v/>
      </c>
      <c r="P1819" s="199" t="str">
        <f t="shared" si="426"/>
        <v/>
      </c>
      <c r="Q1819" s="199" t="str">
        <f>IF(B1819="","",IFERROR(IF('עלויות כח אדם (6)'!J1819&gt;=VLOOKUP(I1819,'סיווג התפקידים והעלויות'!$B$23:$C$32,2,0),"תקין","לא תקין"),""))</f>
        <v/>
      </c>
      <c r="R1819" s="199" t="str">
        <f t="shared" si="427"/>
        <v/>
      </c>
      <c r="S1819" s="199" t="str">
        <f t="shared" si="428"/>
        <v/>
      </c>
      <c r="T1819" s="199" t="str">
        <f t="shared" si="436"/>
        <v/>
      </c>
      <c r="U1819" s="199" t="str">
        <f t="shared" si="429"/>
        <v/>
      </c>
      <c r="V1819" s="989"/>
      <c r="X1819" s="374" t="str">
        <f t="shared" si="430"/>
        <v/>
      </c>
      <c r="Y1819" s="375" t="str">
        <f t="shared" si="431"/>
        <v/>
      </c>
      <c r="Z1819" s="374" t="str">
        <f t="shared" si="432"/>
        <v/>
      </c>
      <c r="AA1819" s="374" t="b">
        <f t="shared" si="433"/>
        <v>1</v>
      </c>
      <c r="AB1819" s="374">
        <f>COUNTIFS(B:B,B1819,H:H,'סיווג התפקידים והעלויות'!$C$2)</f>
        <v>0</v>
      </c>
      <c r="AC1819" s="374">
        <f>COUNTIFS(B:B,B1819,H:H,'סיווג התפקידים והעלויות'!$D$2)</f>
        <v>0</v>
      </c>
      <c r="AD1819" s="374" t="str">
        <f>IF(OR(AND(H1819='סיווג התפקידים והעלויות'!$A$2,I1819='סיווג התפקידים והעלויות'!$A$3),'עלויות כח אדם (6)'!H1819='סיווג התפקידים והעלויות'!$C$2,'עלויות כח אדם (6)'!H1819='סיווג התפקידים והעלויות'!$D$2),IF('עלויות כח אדם (6)'!J1819&lt;75,"לא תקין","תקין"),"")</f>
        <v/>
      </c>
      <c r="AE1819" s="374" t="str">
        <f t="shared" si="434"/>
        <v/>
      </c>
      <c r="AF1819" s="532" t="str">
        <f t="shared" si="435"/>
        <v/>
      </c>
    </row>
    <row r="1820" spans="2:32" x14ac:dyDescent="0.25">
      <c r="B1820" s="695"/>
      <c r="C1820" s="197" t="str">
        <f>IF(B1820&lt;&gt;"",IFERROR(VLOOKUP(B:B,'מצבת והרשמה (2)'!$C$20:$N$520,2,0)," ")," ")</f>
        <v xml:space="preserve"> </v>
      </c>
      <c r="D1820" s="695"/>
      <c r="E1820" s="696"/>
      <c r="F1820" s="696"/>
      <c r="G1820" s="696"/>
      <c r="H1820" s="696"/>
      <c r="I1820" s="1050" t="str">
        <f t="shared" si="422"/>
        <v/>
      </c>
      <c r="J1820" s="696"/>
      <c r="K1820" s="697"/>
      <c r="L1820" s="696"/>
      <c r="M1820" s="198" t="str">
        <f t="shared" si="423"/>
        <v/>
      </c>
      <c r="N1820" s="369" t="str">
        <f t="shared" si="424"/>
        <v/>
      </c>
      <c r="O1820" s="183" t="str">
        <f t="shared" si="425"/>
        <v/>
      </c>
      <c r="P1820" s="199" t="str">
        <f t="shared" si="426"/>
        <v/>
      </c>
      <c r="Q1820" s="199" t="str">
        <f>IF(B1820="","",IFERROR(IF('עלויות כח אדם (6)'!J1820&gt;=VLOOKUP(I1820,'סיווג התפקידים והעלויות'!$B$23:$C$32,2,0),"תקין","לא תקין"),""))</f>
        <v/>
      </c>
      <c r="R1820" s="199" t="str">
        <f t="shared" si="427"/>
        <v/>
      </c>
      <c r="S1820" s="199" t="str">
        <f t="shared" si="428"/>
        <v/>
      </c>
      <c r="T1820" s="199" t="str">
        <f t="shared" si="436"/>
        <v/>
      </c>
      <c r="U1820" s="199" t="str">
        <f t="shared" si="429"/>
        <v/>
      </c>
      <c r="V1820" s="989"/>
      <c r="X1820" s="374" t="str">
        <f t="shared" si="430"/>
        <v/>
      </c>
      <c r="Y1820" s="375" t="str">
        <f t="shared" si="431"/>
        <v/>
      </c>
      <c r="Z1820" s="374" t="str">
        <f t="shared" si="432"/>
        <v/>
      </c>
      <c r="AA1820" s="374" t="b">
        <f t="shared" si="433"/>
        <v>1</v>
      </c>
      <c r="AB1820" s="374">
        <f>COUNTIFS(B:B,B1820,H:H,'סיווג התפקידים והעלויות'!$C$2)</f>
        <v>0</v>
      </c>
      <c r="AC1820" s="374">
        <f>COUNTIFS(B:B,B1820,H:H,'סיווג התפקידים והעלויות'!$D$2)</f>
        <v>0</v>
      </c>
      <c r="AD1820" s="374" t="str">
        <f>IF(OR(AND(H1820='סיווג התפקידים והעלויות'!$A$2,I1820='סיווג התפקידים והעלויות'!$A$3),'עלויות כח אדם (6)'!H1820='סיווג התפקידים והעלויות'!$C$2,'עלויות כח אדם (6)'!H1820='סיווג התפקידים והעלויות'!$D$2),IF('עלויות כח אדם (6)'!J1820&lt;75,"לא תקין","תקין"),"")</f>
        <v/>
      </c>
      <c r="AE1820" s="374" t="str">
        <f t="shared" si="434"/>
        <v/>
      </c>
      <c r="AF1820" s="532" t="str">
        <f t="shared" si="435"/>
        <v/>
      </c>
    </row>
    <row r="1821" spans="2:32" x14ac:dyDescent="0.25">
      <c r="B1821" s="695"/>
      <c r="C1821" s="197" t="str">
        <f>IF(B1821&lt;&gt;"",IFERROR(VLOOKUP(B:B,'מצבת והרשמה (2)'!$C$20:$N$520,2,0)," ")," ")</f>
        <v xml:space="preserve"> </v>
      </c>
      <c r="D1821" s="695"/>
      <c r="E1821" s="696"/>
      <c r="F1821" s="696"/>
      <c r="G1821" s="696"/>
      <c r="H1821" s="696"/>
      <c r="I1821" s="1050" t="str">
        <f t="shared" si="422"/>
        <v/>
      </c>
      <c r="J1821" s="696"/>
      <c r="K1821" s="697"/>
      <c r="L1821" s="696"/>
      <c r="M1821" s="198" t="str">
        <f t="shared" si="423"/>
        <v/>
      </c>
      <c r="N1821" s="369" t="str">
        <f t="shared" si="424"/>
        <v/>
      </c>
      <c r="O1821" s="183" t="str">
        <f t="shared" si="425"/>
        <v/>
      </c>
      <c r="P1821" s="199" t="str">
        <f t="shared" si="426"/>
        <v/>
      </c>
      <c r="Q1821" s="199" t="str">
        <f>IF(B1821="","",IFERROR(IF('עלויות כח אדם (6)'!J1821&gt;=VLOOKUP(I1821,'סיווג התפקידים והעלויות'!$B$23:$C$32,2,0),"תקין","לא תקין"),""))</f>
        <v/>
      </c>
      <c r="R1821" s="199" t="str">
        <f t="shared" si="427"/>
        <v/>
      </c>
      <c r="S1821" s="199" t="str">
        <f t="shared" si="428"/>
        <v/>
      </c>
      <c r="T1821" s="199" t="str">
        <f t="shared" si="436"/>
        <v/>
      </c>
      <c r="U1821" s="199" t="str">
        <f t="shared" si="429"/>
        <v/>
      </c>
      <c r="V1821" s="989"/>
      <c r="X1821" s="374" t="str">
        <f t="shared" si="430"/>
        <v/>
      </c>
      <c r="Y1821" s="375" t="str">
        <f t="shared" si="431"/>
        <v/>
      </c>
      <c r="Z1821" s="374" t="str">
        <f t="shared" si="432"/>
        <v/>
      </c>
      <c r="AA1821" s="374" t="b">
        <f t="shared" si="433"/>
        <v>1</v>
      </c>
      <c r="AB1821" s="374">
        <f>COUNTIFS(B:B,B1821,H:H,'סיווג התפקידים והעלויות'!$C$2)</f>
        <v>0</v>
      </c>
      <c r="AC1821" s="374">
        <f>COUNTIFS(B:B,B1821,H:H,'סיווג התפקידים והעלויות'!$D$2)</f>
        <v>0</v>
      </c>
      <c r="AD1821" s="374" t="str">
        <f>IF(OR(AND(H1821='סיווג התפקידים והעלויות'!$A$2,I1821='סיווג התפקידים והעלויות'!$A$3),'עלויות כח אדם (6)'!H1821='סיווג התפקידים והעלויות'!$C$2,'עלויות כח אדם (6)'!H1821='סיווג התפקידים והעלויות'!$D$2),IF('עלויות כח אדם (6)'!J1821&lt;75,"לא תקין","תקין"),"")</f>
        <v/>
      </c>
      <c r="AE1821" s="374" t="str">
        <f t="shared" si="434"/>
        <v/>
      </c>
      <c r="AF1821" s="532" t="str">
        <f t="shared" si="435"/>
        <v/>
      </c>
    </row>
    <row r="1822" spans="2:32" x14ac:dyDescent="0.25">
      <c r="B1822" s="695"/>
      <c r="C1822" s="197" t="str">
        <f>IF(B1822&lt;&gt;"",IFERROR(VLOOKUP(B:B,'מצבת והרשמה (2)'!$C$20:$N$520,2,0)," ")," ")</f>
        <v xml:space="preserve"> </v>
      </c>
      <c r="D1822" s="695"/>
      <c r="E1822" s="696"/>
      <c r="F1822" s="696"/>
      <c r="G1822" s="696"/>
      <c r="H1822" s="696"/>
      <c r="I1822" s="1050" t="str">
        <f t="shared" si="422"/>
        <v/>
      </c>
      <c r="J1822" s="696"/>
      <c r="K1822" s="697"/>
      <c r="L1822" s="696"/>
      <c r="M1822" s="198" t="str">
        <f t="shared" si="423"/>
        <v/>
      </c>
      <c r="N1822" s="369" t="str">
        <f t="shared" si="424"/>
        <v/>
      </c>
      <c r="O1822" s="183" t="str">
        <f t="shared" si="425"/>
        <v/>
      </c>
      <c r="P1822" s="199" t="str">
        <f t="shared" si="426"/>
        <v/>
      </c>
      <c r="Q1822" s="199" t="str">
        <f>IF(B1822="","",IFERROR(IF('עלויות כח אדם (6)'!J1822&gt;=VLOOKUP(I1822,'סיווג התפקידים והעלויות'!$B$23:$C$32,2,0),"תקין","לא תקין"),""))</f>
        <v/>
      </c>
      <c r="R1822" s="199" t="str">
        <f t="shared" si="427"/>
        <v/>
      </c>
      <c r="S1822" s="199" t="str">
        <f t="shared" si="428"/>
        <v/>
      </c>
      <c r="T1822" s="199" t="str">
        <f t="shared" si="436"/>
        <v/>
      </c>
      <c r="U1822" s="199" t="str">
        <f t="shared" si="429"/>
        <v/>
      </c>
      <c r="V1822" s="989"/>
      <c r="X1822" s="374" t="str">
        <f t="shared" si="430"/>
        <v/>
      </c>
      <c r="Y1822" s="375" t="str">
        <f t="shared" si="431"/>
        <v/>
      </c>
      <c r="Z1822" s="374" t="str">
        <f t="shared" si="432"/>
        <v/>
      </c>
      <c r="AA1822" s="374" t="b">
        <f t="shared" si="433"/>
        <v>1</v>
      </c>
      <c r="AB1822" s="374">
        <f>COUNTIFS(B:B,B1822,H:H,'סיווג התפקידים והעלויות'!$C$2)</f>
        <v>0</v>
      </c>
      <c r="AC1822" s="374">
        <f>COUNTIFS(B:B,B1822,H:H,'סיווג התפקידים והעלויות'!$D$2)</f>
        <v>0</v>
      </c>
      <c r="AD1822" s="374" t="str">
        <f>IF(OR(AND(H1822='סיווג התפקידים והעלויות'!$A$2,I1822='סיווג התפקידים והעלויות'!$A$3),'עלויות כח אדם (6)'!H1822='סיווג התפקידים והעלויות'!$C$2,'עלויות כח אדם (6)'!H1822='סיווג התפקידים והעלויות'!$D$2),IF('עלויות כח אדם (6)'!J1822&lt;75,"לא תקין","תקין"),"")</f>
        <v/>
      </c>
      <c r="AE1822" s="374" t="str">
        <f t="shared" si="434"/>
        <v/>
      </c>
      <c r="AF1822" s="532" t="str">
        <f t="shared" si="435"/>
        <v/>
      </c>
    </row>
    <row r="1823" spans="2:32" x14ac:dyDescent="0.25">
      <c r="B1823" s="695"/>
      <c r="C1823" s="197" t="str">
        <f>IF(B1823&lt;&gt;"",IFERROR(VLOOKUP(B:B,'מצבת והרשמה (2)'!$C$20:$N$520,2,0)," ")," ")</f>
        <v xml:space="preserve"> </v>
      </c>
      <c r="D1823" s="695"/>
      <c r="E1823" s="696"/>
      <c r="F1823" s="696"/>
      <c r="G1823" s="696"/>
      <c r="H1823" s="696"/>
      <c r="I1823" s="1050" t="str">
        <f t="shared" si="422"/>
        <v/>
      </c>
      <c r="J1823" s="696"/>
      <c r="K1823" s="697"/>
      <c r="L1823" s="696"/>
      <c r="M1823" s="198" t="str">
        <f t="shared" si="423"/>
        <v/>
      </c>
      <c r="N1823" s="369" t="str">
        <f t="shared" si="424"/>
        <v/>
      </c>
      <c r="O1823" s="183" t="str">
        <f t="shared" si="425"/>
        <v/>
      </c>
      <c r="P1823" s="199" t="str">
        <f t="shared" si="426"/>
        <v/>
      </c>
      <c r="Q1823" s="199" t="str">
        <f>IF(B1823="","",IFERROR(IF('עלויות כח אדם (6)'!J1823&gt;=VLOOKUP(I1823,'סיווג התפקידים והעלויות'!$B$23:$C$32,2,0),"תקין","לא תקין"),""))</f>
        <v/>
      </c>
      <c r="R1823" s="199" t="str">
        <f t="shared" si="427"/>
        <v/>
      </c>
      <c r="S1823" s="199" t="str">
        <f t="shared" si="428"/>
        <v/>
      </c>
      <c r="T1823" s="199" t="str">
        <f t="shared" si="436"/>
        <v/>
      </c>
      <c r="U1823" s="199" t="str">
        <f t="shared" si="429"/>
        <v/>
      </c>
      <c r="V1823" s="989"/>
      <c r="X1823" s="374" t="str">
        <f t="shared" si="430"/>
        <v/>
      </c>
      <c r="Y1823" s="375" t="str">
        <f t="shared" si="431"/>
        <v/>
      </c>
      <c r="Z1823" s="374" t="str">
        <f t="shared" si="432"/>
        <v/>
      </c>
      <c r="AA1823" s="374" t="b">
        <f t="shared" si="433"/>
        <v>1</v>
      </c>
      <c r="AB1823" s="374">
        <f>COUNTIFS(B:B,B1823,H:H,'סיווג התפקידים והעלויות'!$C$2)</f>
        <v>0</v>
      </c>
      <c r="AC1823" s="374">
        <f>COUNTIFS(B:B,B1823,H:H,'סיווג התפקידים והעלויות'!$D$2)</f>
        <v>0</v>
      </c>
      <c r="AD1823" s="374" t="str">
        <f>IF(OR(AND(H1823='סיווג התפקידים והעלויות'!$A$2,I1823='סיווג התפקידים והעלויות'!$A$3),'עלויות כח אדם (6)'!H1823='סיווג התפקידים והעלויות'!$C$2,'עלויות כח אדם (6)'!H1823='סיווג התפקידים והעלויות'!$D$2),IF('עלויות כח אדם (6)'!J1823&lt;75,"לא תקין","תקין"),"")</f>
        <v/>
      </c>
      <c r="AE1823" s="374" t="str">
        <f t="shared" si="434"/>
        <v/>
      </c>
      <c r="AF1823" s="532" t="str">
        <f t="shared" si="435"/>
        <v/>
      </c>
    </row>
    <row r="1824" spans="2:32" x14ac:dyDescent="0.25">
      <c r="B1824" s="695"/>
      <c r="C1824" s="197" t="str">
        <f>IF(B1824&lt;&gt;"",IFERROR(VLOOKUP(B:B,'מצבת והרשמה (2)'!$C$20:$N$520,2,0)," ")," ")</f>
        <v xml:space="preserve"> </v>
      </c>
      <c r="D1824" s="695"/>
      <c r="E1824" s="696"/>
      <c r="F1824" s="696"/>
      <c r="G1824" s="696"/>
      <c r="H1824" s="696"/>
      <c r="I1824" s="1050" t="str">
        <f t="shared" si="422"/>
        <v/>
      </c>
      <c r="J1824" s="696"/>
      <c r="K1824" s="697"/>
      <c r="L1824" s="696"/>
      <c r="M1824" s="198" t="str">
        <f t="shared" si="423"/>
        <v/>
      </c>
      <c r="N1824" s="369" t="str">
        <f t="shared" si="424"/>
        <v/>
      </c>
      <c r="O1824" s="183" t="str">
        <f t="shared" si="425"/>
        <v/>
      </c>
      <c r="P1824" s="199" t="str">
        <f t="shared" si="426"/>
        <v/>
      </c>
      <c r="Q1824" s="199" t="str">
        <f>IF(B1824="","",IFERROR(IF('עלויות כח אדם (6)'!J1824&gt;=VLOOKUP(I1824,'סיווג התפקידים והעלויות'!$B$23:$C$32,2,0),"תקין","לא תקין"),""))</f>
        <v/>
      </c>
      <c r="R1824" s="199" t="str">
        <f t="shared" si="427"/>
        <v/>
      </c>
      <c r="S1824" s="199" t="str">
        <f t="shared" si="428"/>
        <v/>
      </c>
      <c r="T1824" s="199" t="str">
        <f t="shared" si="436"/>
        <v/>
      </c>
      <c r="U1824" s="199" t="str">
        <f t="shared" si="429"/>
        <v/>
      </c>
      <c r="V1824" s="989"/>
      <c r="X1824" s="374" t="str">
        <f t="shared" si="430"/>
        <v/>
      </c>
      <c r="Y1824" s="375" t="str">
        <f t="shared" si="431"/>
        <v/>
      </c>
      <c r="Z1824" s="374" t="str">
        <f t="shared" si="432"/>
        <v/>
      </c>
      <c r="AA1824" s="374" t="b">
        <f t="shared" si="433"/>
        <v>1</v>
      </c>
      <c r="AB1824" s="374">
        <f>COUNTIFS(B:B,B1824,H:H,'סיווג התפקידים והעלויות'!$C$2)</f>
        <v>0</v>
      </c>
      <c r="AC1824" s="374">
        <f>COUNTIFS(B:B,B1824,H:H,'סיווג התפקידים והעלויות'!$D$2)</f>
        <v>0</v>
      </c>
      <c r="AD1824" s="374" t="str">
        <f>IF(OR(AND(H1824='סיווג התפקידים והעלויות'!$A$2,I1824='סיווג התפקידים והעלויות'!$A$3),'עלויות כח אדם (6)'!H1824='סיווג התפקידים והעלויות'!$C$2,'עלויות כח אדם (6)'!H1824='סיווג התפקידים והעלויות'!$D$2),IF('עלויות כח אדם (6)'!J1824&lt;75,"לא תקין","תקין"),"")</f>
        <v/>
      </c>
      <c r="AE1824" s="374" t="str">
        <f t="shared" si="434"/>
        <v/>
      </c>
      <c r="AF1824" s="532" t="str">
        <f t="shared" si="435"/>
        <v/>
      </c>
    </row>
    <row r="1825" spans="2:32" x14ac:dyDescent="0.25">
      <c r="B1825" s="695"/>
      <c r="C1825" s="197" t="str">
        <f>IF(B1825&lt;&gt;"",IFERROR(VLOOKUP(B:B,'מצבת והרשמה (2)'!$C$20:$N$520,2,0)," ")," ")</f>
        <v xml:space="preserve"> </v>
      </c>
      <c r="D1825" s="695"/>
      <c r="E1825" s="696"/>
      <c r="F1825" s="696"/>
      <c r="G1825" s="696"/>
      <c r="H1825" s="696"/>
      <c r="I1825" s="1050" t="str">
        <f t="shared" si="422"/>
        <v/>
      </c>
      <c r="J1825" s="696"/>
      <c r="K1825" s="697"/>
      <c r="L1825" s="696"/>
      <c r="M1825" s="198" t="str">
        <f t="shared" si="423"/>
        <v/>
      </c>
      <c r="N1825" s="369" t="str">
        <f t="shared" si="424"/>
        <v/>
      </c>
      <c r="O1825" s="183" t="str">
        <f t="shared" si="425"/>
        <v/>
      </c>
      <c r="P1825" s="199" t="str">
        <f t="shared" si="426"/>
        <v/>
      </c>
      <c r="Q1825" s="199" t="str">
        <f>IF(B1825="","",IFERROR(IF('עלויות כח אדם (6)'!J1825&gt;=VLOOKUP(I1825,'סיווג התפקידים והעלויות'!$B$23:$C$32,2,0),"תקין","לא תקין"),""))</f>
        <v/>
      </c>
      <c r="R1825" s="199" t="str">
        <f t="shared" si="427"/>
        <v/>
      </c>
      <c r="S1825" s="199" t="str">
        <f t="shared" si="428"/>
        <v/>
      </c>
      <c r="T1825" s="199" t="str">
        <f t="shared" si="436"/>
        <v/>
      </c>
      <c r="U1825" s="199" t="str">
        <f t="shared" si="429"/>
        <v/>
      </c>
      <c r="V1825" s="989"/>
      <c r="X1825" s="374" t="str">
        <f t="shared" si="430"/>
        <v/>
      </c>
      <c r="Y1825" s="375" t="str">
        <f t="shared" si="431"/>
        <v/>
      </c>
      <c r="Z1825" s="374" t="str">
        <f t="shared" si="432"/>
        <v/>
      </c>
      <c r="AA1825" s="374" t="b">
        <f t="shared" si="433"/>
        <v>1</v>
      </c>
      <c r="AB1825" s="374">
        <f>COUNTIFS(B:B,B1825,H:H,'סיווג התפקידים והעלויות'!$C$2)</f>
        <v>0</v>
      </c>
      <c r="AC1825" s="374">
        <f>COUNTIFS(B:B,B1825,H:H,'סיווג התפקידים והעלויות'!$D$2)</f>
        <v>0</v>
      </c>
      <c r="AD1825" s="374" t="str">
        <f>IF(OR(AND(H1825='סיווג התפקידים והעלויות'!$A$2,I1825='סיווג התפקידים והעלויות'!$A$3),'עלויות כח אדם (6)'!H1825='סיווג התפקידים והעלויות'!$C$2,'עלויות כח אדם (6)'!H1825='סיווג התפקידים והעלויות'!$D$2),IF('עלויות כח אדם (6)'!J1825&lt;75,"לא תקין","תקין"),"")</f>
        <v/>
      </c>
      <c r="AE1825" s="374" t="str">
        <f t="shared" si="434"/>
        <v/>
      </c>
      <c r="AF1825" s="532" t="str">
        <f t="shared" si="435"/>
        <v/>
      </c>
    </row>
    <row r="1826" spans="2:32" x14ac:dyDescent="0.25">
      <c r="B1826" s="695"/>
      <c r="C1826" s="197" t="str">
        <f>IF(B1826&lt;&gt;"",IFERROR(VLOOKUP(B:B,'מצבת והרשמה (2)'!$C$20:$N$520,2,0)," ")," ")</f>
        <v xml:space="preserve"> </v>
      </c>
      <c r="D1826" s="695"/>
      <c r="E1826" s="696"/>
      <c r="F1826" s="696"/>
      <c r="G1826" s="696"/>
      <c r="H1826" s="696"/>
      <c r="I1826" s="1050" t="str">
        <f t="shared" si="422"/>
        <v/>
      </c>
      <c r="J1826" s="696"/>
      <c r="K1826" s="697"/>
      <c r="L1826" s="696"/>
      <c r="M1826" s="198" t="str">
        <f t="shared" si="423"/>
        <v/>
      </c>
      <c r="N1826" s="369" t="str">
        <f t="shared" si="424"/>
        <v/>
      </c>
      <c r="O1826" s="183" t="str">
        <f t="shared" si="425"/>
        <v/>
      </c>
      <c r="P1826" s="199" t="str">
        <f t="shared" si="426"/>
        <v/>
      </c>
      <c r="Q1826" s="199" t="str">
        <f>IF(B1826="","",IFERROR(IF('עלויות כח אדם (6)'!J1826&gt;=VLOOKUP(I1826,'סיווג התפקידים והעלויות'!$B$23:$C$32,2,0),"תקין","לא תקין"),""))</f>
        <v/>
      </c>
      <c r="R1826" s="199" t="str">
        <f t="shared" si="427"/>
        <v/>
      </c>
      <c r="S1826" s="199" t="str">
        <f t="shared" si="428"/>
        <v/>
      </c>
      <c r="T1826" s="199" t="str">
        <f t="shared" si="436"/>
        <v/>
      </c>
      <c r="U1826" s="199" t="str">
        <f t="shared" si="429"/>
        <v/>
      </c>
      <c r="V1826" s="989"/>
      <c r="X1826" s="374" t="str">
        <f t="shared" si="430"/>
        <v/>
      </c>
      <c r="Y1826" s="375" t="str">
        <f t="shared" si="431"/>
        <v/>
      </c>
      <c r="Z1826" s="374" t="str">
        <f t="shared" si="432"/>
        <v/>
      </c>
      <c r="AA1826" s="374" t="b">
        <f t="shared" si="433"/>
        <v>1</v>
      </c>
      <c r="AB1826" s="374">
        <f>COUNTIFS(B:B,B1826,H:H,'סיווג התפקידים והעלויות'!$C$2)</f>
        <v>0</v>
      </c>
      <c r="AC1826" s="374">
        <f>COUNTIFS(B:B,B1826,H:H,'סיווג התפקידים והעלויות'!$D$2)</f>
        <v>0</v>
      </c>
      <c r="AD1826" s="374" t="str">
        <f>IF(OR(AND(H1826='סיווג התפקידים והעלויות'!$A$2,I1826='סיווג התפקידים והעלויות'!$A$3),'עלויות כח אדם (6)'!H1826='סיווג התפקידים והעלויות'!$C$2,'עלויות כח אדם (6)'!H1826='סיווג התפקידים והעלויות'!$D$2),IF('עלויות כח אדם (6)'!J1826&lt;75,"לא תקין","תקין"),"")</f>
        <v/>
      </c>
      <c r="AE1826" s="374" t="str">
        <f t="shared" si="434"/>
        <v/>
      </c>
      <c r="AF1826" s="532" t="str">
        <f t="shared" si="435"/>
        <v/>
      </c>
    </row>
    <row r="1827" spans="2:32" x14ac:dyDescent="0.25">
      <c r="B1827" s="695"/>
      <c r="C1827" s="197" t="str">
        <f>IF(B1827&lt;&gt;"",IFERROR(VLOOKUP(B:B,'מצבת והרשמה (2)'!$C$20:$N$520,2,0)," ")," ")</f>
        <v xml:space="preserve"> </v>
      </c>
      <c r="D1827" s="695"/>
      <c r="E1827" s="696"/>
      <c r="F1827" s="696"/>
      <c r="G1827" s="696"/>
      <c r="H1827" s="696"/>
      <c r="I1827" s="1050" t="str">
        <f t="shared" si="422"/>
        <v/>
      </c>
      <c r="J1827" s="696"/>
      <c r="K1827" s="697"/>
      <c r="L1827" s="696"/>
      <c r="M1827" s="198" t="str">
        <f t="shared" si="423"/>
        <v/>
      </c>
      <c r="N1827" s="369" t="str">
        <f t="shared" si="424"/>
        <v/>
      </c>
      <c r="O1827" s="183" t="str">
        <f t="shared" si="425"/>
        <v/>
      </c>
      <c r="P1827" s="199" t="str">
        <f t="shared" si="426"/>
        <v/>
      </c>
      <c r="Q1827" s="199" t="str">
        <f>IF(B1827="","",IFERROR(IF('עלויות כח אדם (6)'!J1827&gt;=VLOOKUP(I1827,'סיווג התפקידים והעלויות'!$B$23:$C$32,2,0),"תקין","לא תקין"),""))</f>
        <v/>
      </c>
      <c r="R1827" s="199" t="str">
        <f t="shared" si="427"/>
        <v/>
      </c>
      <c r="S1827" s="199" t="str">
        <f t="shared" si="428"/>
        <v/>
      </c>
      <c r="T1827" s="199" t="str">
        <f t="shared" si="436"/>
        <v/>
      </c>
      <c r="U1827" s="199" t="str">
        <f t="shared" si="429"/>
        <v/>
      </c>
      <c r="V1827" s="989"/>
      <c r="X1827" s="374" t="str">
        <f t="shared" si="430"/>
        <v/>
      </c>
      <c r="Y1827" s="375" t="str">
        <f t="shared" si="431"/>
        <v/>
      </c>
      <c r="Z1827" s="374" t="str">
        <f t="shared" si="432"/>
        <v/>
      </c>
      <c r="AA1827" s="374" t="b">
        <f t="shared" si="433"/>
        <v>1</v>
      </c>
      <c r="AB1827" s="374">
        <f>COUNTIFS(B:B,B1827,H:H,'סיווג התפקידים והעלויות'!$C$2)</f>
        <v>0</v>
      </c>
      <c r="AC1827" s="374">
        <f>COUNTIFS(B:B,B1827,H:H,'סיווג התפקידים והעלויות'!$D$2)</f>
        <v>0</v>
      </c>
      <c r="AD1827" s="374" t="str">
        <f>IF(OR(AND(H1827='סיווג התפקידים והעלויות'!$A$2,I1827='סיווג התפקידים והעלויות'!$A$3),'עלויות כח אדם (6)'!H1827='סיווג התפקידים והעלויות'!$C$2,'עלויות כח אדם (6)'!H1827='סיווג התפקידים והעלויות'!$D$2),IF('עלויות כח אדם (6)'!J1827&lt;75,"לא תקין","תקין"),"")</f>
        <v/>
      </c>
      <c r="AE1827" s="374" t="str">
        <f t="shared" si="434"/>
        <v/>
      </c>
      <c r="AF1827" s="532" t="str">
        <f t="shared" si="435"/>
        <v/>
      </c>
    </row>
    <row r="1828" spans="2:32" x14ac:dyDescent="0.25">
      <c r="B1828" s="695"/>
      <c r="C1828" s="197" t="str">
        <f>IF(B1828&lt;&gt;"",IFERROR(VLOOKUP(B:B,'מצבת והרשמה (2)'!$C$20:$N$520,2,0)," ")," ")</f>
        <v xml:space="preserve"> </v>
      </c>
      <c r="D1828" s="695"/>
      <c r="E1828" s="696"/>
      <c r="F1828" s="696"/>
      <c r="G1828" s="696"/>
      <c r="H1828" s="696"/>
      <c r="I1828" s="1050" t="str">
        <f t="shared" si="422"/>
        <v/>
      </c>
      <c r="J1828" s="696"/>
      <c r="K1828" s="697"/>
      <c r="L1828" s="696"/>
      <c r="M1828" s="198" t="str">
        <f t="shared" si="423"/>
        <v/>
      </c>
      <c r="N1828" s="369" t="str">
        <f t="shared" si="424"/>
        <v/>
      </c>
      <c r="O1828" s="183" t="str">
        <f t="shared" si="425"/>
        <v/>
      </c>
      <c r="P1828" s="199" t="str">
        <f t="shared" si="426"/>
        <v/>
      </c>
      <c r="Q1828" s="199" t="str">
        <f>IF(B1828="","",IFERROR(IF('עלויות כח אדם (6)'!J1828&gt;=VLOOKUP(I1828,'סיווג התפקידים והעלויות'!$B$23:$C$32,2,0),"תקין","לא תקין"),""))</f>
        <v/>
      </c>
      <c r="R1828" s="199" t="str">
        <f t="shared" si="427"/>
        <v/>
      </c>
      <c r="S1828" s="199" t="str">
        <f t="shared" si="428"/>
        <v/>
      </c>
      <c r="T1828" s="199" t="str">
        <f t="shared" si="436"/>
        <v/>
      </c>
      <c r="U1828" s="199" t="str">
        <f t="shared" si="429"/>
        <v/>
      </c>
      <c r="V1828" s="989"/>
      <c r="X1828" s="374" t="str">
        <f t="shared" si="430"/>
        <v/>
      </c>
      <c r="Y1828" s="375" t="str">
        <f t="shared" si="431"/>
        <v/>
      </c>
      <c r="Z1828" s="374" t="str">
        <f t="shared" si="432"/>
        <v/>
      </c>
      <c r="AA1828" s="374" t="b">
        <f t="shared" si="433"/>
        <v>1</v>
      </c>
      <c r="AB1828" s="374">
        <f>COUNTIFS(B:B,B1828,H:H,'סיווג התפקידים והעלויות'!$C$2)</f>
        <v>0</v>
      </c>
      <c r="AC1828" s="374">
        <f>COUNTIFS(B:B,B1828,H:H,'סיווג התפקידים והעלויות'!$D$2)</f>
        <v>0</v>
      </c>
      <c r="AD1828" s="374" t="str">
        <f>IF(OR(AND(H1828='סיווג התפקידים והעלויות'!$A$2,I1828='סיווג התפקידים והעלויות'!$A$3),'עלויות כח אדם (6)'!H1828='סיווג התפקידים והעלויות'!$C$2,'עלויות כח אדם (6)'!H1828='סיווג התפקידים והעלויות'!$D$2),IF('עלויות כח אדם (6)'!J1828&lt;75,"לא תקין","תקין"),"")</f>
        <v/>
      </c>
      <c r="AE1828" s="374" t="str">
        <f t="shared" si="434"/>
        <v/>
      </c>
      <c r="AF1828" s="532" t="str">
        <f t="shared" si="435"/>
        <v/>
      </c>
    </row>
    <row r="1829" spans="2:32" x14ac:dyDescent="0.25">
      <c r="B1829" s="695"/>
      <c r="C1829" s="197" t="str">
        <f>IF(B1829&lt;&gt;"",IFERROR(VLOOKUP(B:B,'מצבת והרשמה (2)'!$C$20:$N$520,2,0)," ")," ")</f>
        <v xml:space="preserve"> </v>
      </c>
      <c r="D1829" s="695"/>
      <c r="E1829" s="696"/>
      <c r="F1829" s="696"/>
      <c r="G1829" s="696"/>
      <c r="H1829" s="696"/>
      <c r="I1829" s="1050" t="str">
        <f t="shared" si="422"/>
        <v/>
      </c>
      <c r="J1829" s="696"/>
      <c r="K1829" s="697"/>
      <c r="L1829" s="696"/>
      <c r="M1829" s="198" t="str">
        <f t="shared" si="423"/>
        <v/>
      </c>
      <c r="N1829" s="369" t="str">
        <f t="shared" si="424"/>
        <v/>
      </c>
      <c r="O1829" s="183" t="str">
        <f t="shared" si="425"/>
        <v/>
      </c>
      <c r="P1829" s="199" t="str">
        <f t="shared" si="426"/>
        <v/>
      </c>
      <c r="Q1829" s="199" t="str">
        <f>IF(B1829="","",IFERROR(IF('עלויות כח אדם (6)'!J1829&gt;=VLOOKUP(I1829,'סיווג התפקידים והעלויות'!$B$23:$C$32,2,0),"תקין","לא תקין"),""))</f>
        <v/>
      </c>
      <c r="R1829" s="199" t="str">
        <f t="shared" si="427"/>
        <v/>
      </c>
      <c r="S1829" s="199" t="str">
        <f t="shared" si="428"/>
        <v/>
      </c>
      <c r="T1829" s="199" t="str">
        <f t="shared" si="436"/>
        <v/>
      </c>
      <c r="U1829" s="199" t="str">
        <f t="shared" si="429"/>
        <v/>
      </c>
      <c r="V1829" s="989"/>
      <c r="X1829" s="374" t="str">
        <f t="shared" si="430"/>
        <v/>
      </c>
      <c r="Y1829" s="375" t="str">
        <f t="shared" si="431"/>
        <v/>
      </c>
      <c r="Z1829" s="374" t="str">
        <f t="shared" si="432"/>
        <v/>
      </c>
      <c r="AA1829" s="374" t="b">
        <f t="shared" si="433"/>
        <v>1</v>
      </c>
      <c r="AB1829" s="374">
        <f>COUNTIFS(B:B,B1829,H:H,'סיווג התפקידים והעלויות'!$C$2)</f>
        <v>0</v>
      </c>
      <c r="AC1829" s="374">
        <f>COUNTIFS(B:B,B1829,H:H,'סיווג התפקידים והעלויות'!$D$2)</f>
        <v>0</v>
      </c>
      <c r="AD1829" s="374" t="str">
        <f>IF(OR(AND(H1829='סיווג התפקידים והעלויות'!$A$2,I1829='סיווג התפקידים והעלויות'!$A$3),'עלויות כח אדם (6)'!H1829='סיווג התפקידים והעלויות'!$C$2,'עלויות כח אדם (6)'!H1829='סיווג התפקידים והעלויות'!$D$2),IF('עלויות כח אדם (6)'!J1829&lt;75,"לא תקין","תקין"),"")</f>
        <v/>
      </c>
      <c r="AE1829" s="374" t="str">
        <f t="shared" si="434"/>
        <v/>
      </c>
      <c r="AF1829" s="532" t="str">
        <f t="shared" si="435"/>
        <v/>
      </c>
    </row>
    <row r="1830" spans="2:32" x14ac:dyDescent="0.25">
      <c r="B1830" s="695"/>
      <c r="C1830" s="197" t="str">
        <f>IF(B1830&lt;&gt;"",IFERROR(VLOOKUP(B:B,'מצבת והרשמה (2)'!$C$20:$N$520,2,0)," ")," ")</f>
        <v xml:space="preserve"> </v>
      </c>
      <c r="D1830" s="695"/>
      <c r="E1830" s="696"/>
      <c r="F1830" s="696"/>
      <c r="G1830" s="696"/>
      <c r="H1830" s="696"/>
      <c r="I1830" s="1050" t="str">
        <f t="shared" si="422"/>
        <v/>
      </c>
      <c r="J1830" s="696"/>
      <c r="K1830" s="697"/>
      <c r="L1830" s="696"/>
      <c r="M1830" s="198" t="str">
        <f t="shared" si="423"/>
        <v/>
      </c>
      <c r="N1830" s="369" t="str">
        <f t="shared" si="424"/>
        <v/>
      </c>
      <c r="O1830" s="183" t="str">
        <f t="shared" si="425"/>
        <v/>
      </c>
      <c r="P1830" s="199" t="str">
        <f t="shared" si="426"/>
        <v/>
      </c>
      <c r="Q1830" s="199" t="str">
        <f>IF(B1830="","",IFERROR(IF('עלויות כח אדם (6)'!J1830&gt;=VLOOKUP(I1830,'סיווג התפקידים והעלויות'!$B$23:$C$32,2,0),"תקין","לא תקין"),""))</f>
        <v/>
      </c>
      <c r="R1830" s="199" t="str">
        <f t="shared" si="427"/>
        <v/>
      </c>
      <c r="S1830" s="199" t="str">
        <f t="shared" si="428"/>
        <v/>
      </c>
      <c r="T1830" s="199" t="str">
        <f t="shared" si="436"/>
        <v/>
      </c>
      <c r="U1830" s="199" t="str">
        <f t="shared" si="429"/>
        <v/>
      </c>
      <c r="V1830" s="989"/>
      <c r="X1830" s="374" t="str">
        <f t="shared" si="430"/>
        <v/>
      </c>
      <c r="Y1830" s="375" t="str">
        <f t="shared" si="431"/>
        <v/>
      </c>
      <c r="Z1830" s="374" t="str">
        <f t="shared" si="432"/>
        <v/>
      </c>
      <c r="AA1830" s="374" t="b">
        <f t="shared" si="433"/>
        <v>1</v>
      </c>
      <c r="AB1830" s="374">
        <f>COUNTIFS(B:B,B1830,H:H,'סיווג התפקידים והעלויות'!$C$2)</f>
        <v>0</v>
      </c>
      <c r="AC1830" s="374">
        <f>COUNTIFS(B:B,B1830,H:H,'סיווג התפקידים והעלויות'!$D$2)</f>
        <v>0</v>
      </c>
      <c r="AD1830" s="374" t="str">
        <f>IF(OR(AND(H1830='סיווג התפקידים והעלויות'!$A$2,I1830='סיווג התפקידים והעלויות'!$A$3),'עלויות כח אדם (6)'!H1830='סיווג התפקידים והעלויות'!$C$2,'עלויות כח אדם (6)'!H1830='סיווג התפקידים והעלויות'!$D$2),IF('עלויות כח אדם (6)'!J1830&lt;75,"לא תקין","תקין"),"")</f>
        <v/>
      </c>
      <c r="AE1830" s="374" t="str">
        <f t="shared" si="434"/>
        <v/>
      </c>
      <c r="AF1830" s="532" t="str">
        <f t="shared" si="435"/>
        <v/>
      </c>
    </row>
    <row r="1831" spans="2:32" x14ac:dyDescent="0.25">
      <c r="B1831" s="695"/>
      <c r="C1831" s="197" t="str">
        <f>IF(B1831&lt;&gt;"",IFERROR(VLOOKUP(B:B,'מצבת והרשמה (2)'!$C$20:$N$520,2,0)," ")," ")</f>
        <v xml:space="preserve"> </v>
      </c>
      <c r="D1831" s="695"/>
      <c r="E1831" s="696"/>
      <c r="F1831" s="696"/>
      <c r="G1831" s="696"/>
      <c r="H1831" s="696"/>
      <c r="I1831" s="1050" t="str">
        <f t="shared" si="422"/>
        <v/>
      </c>
      <c r="J1831" s="696"/>
      <c r="K1831" s="697"/>
      <c r="L1831" s="696"/>
      <c r="M1831" s="198" t="str">
        <f t="shared" si="423"/>
        <v/>
      </c>
      <c r="N1831" s="369" t="str">
        <f t="shared" si="424"/>
        <v/>
      </c>
      <c r="O1831" s="183" t="str">
        <f t="shared" si="425"/>
        <v/>
      </c>
      <c r="P1831" s="199" t="str">
        <f t="shared" si="426"/>
        <v/>
      </c>
      <c r="Q1831" s="199" t="str">
        <f>IF(B1831="","",IFERROR(IF('עלויות כח אדם (6)'!J1831&gt;=VLOOKUP(I1831,'סיווג התפקידים והעלויות'!$B$23:$C$32,2,0),"תקין","לא תקין"),""))</f>
        <v/>
      </c>
      <c r="R1831" s="199" t="str">
        <f t="shared" si="427"/>
        <v/>
      </c>
      <c r="S1831" s="199" t="str">
        <f t="shared" si="428"/>
        <v/>
      </c>
      <c r="T1831" s="199" t="str">
        <f t="shared" si="436"/>
        <v/>
      </c>
      <c r="U1831" s="199" t="str">
        <f t="shared" si="429"/>
        <v/>
      </c>
      <c r="V1831" s="989"/>
      <c r="X1831" s="374" t="str">
        <f t="shared" si="430"/>
        <v/>
      </c>
      <c r="Y1831" s="375" t="str">
        <f t="shared" si="431"/>
        <v/>
      </c>
      <c r="Z1831" s="374" t="str">
        <f t="shared" si="432"/>
        <v/>
      </c>
      <c r="AA1831" s="374" t="b">
        <f t="shared" si="433"/>
        <v>1</v>
      </c>
      <c r="AB1831" s="374">
        <f>COUNTIFS(B:B,B1831,H:H,'סיווג התפקידים והעלויות'!$C$2)</f>
        <v>0</v>
      </c>
      <c r="AC1831" s="374">
        <f>COUNTIFS(B:B,B1831,H:H,'סיווג התפקידים והעלויות'!$D$2)</f>
        <v>0</v>
      </c>
      <c r="AD1831" s="374" t="str">
        <f>IF(OR(AND(H1831='סיווג התפקידים והעלויות'!$A$2,I1831='סיווג התפקידים והעלויות'!$A$3),'עלויות כח אדם (6)'!H1831='סיווג התפקידים והעלויות'!$C$2,'עלויות כח אדם (6)'!H1831='סיווג התפקידים והעלויות'!$D$2),IF('עלויות כח אדם (6)'!J1831&lt;75,"לא תקין","תקין"),"")</f>
        <v/>
      </c>
      <c r="AE1831" s="374" t="str">
        <f t="shared" si="434"/>
        <v/>
      </c>
      <c r="AF1831" s="532" t="str">
        <f t="shared" si="435"/>
        <v/>
      </c>
    </row>
    <row r="1832" spans="2:32" x14ac:dyDescent="0.25">
      <c r="B1832" s="695"/>
      <c r="C1832" s="197" t="str">
        <f>IF(B1832&lt;&gt;"",IFERROR(VLOOKUP(B:B,'מצבת והרשמה (2)'!$C$20:$N$520,2,0)," ")," ")</f>
        <v xml:space="preserve"> </v>
      </c>
      <c r="D1832" s="695"/>
      <c r="E1832" s="696"/>
      <c r="F1832" s="696"/>
      <c r="G1832" s="696"/>
      <c r="H1832" s="696"/>
      <c r="I1832" s="1050" t="str">
        <f t="shared" si="422"/>
        <v/>
      </c>
      <c r="J1832" s="696"/>
      <c r="K1832" s="697"/>
      <c r="L1832" s="696"/>
      <c r="M1832" s="198" t="str">
        <f t="shared" si="423"/>
        <v/>
      </c>
      <c r="N1832" s="369" t="str">
        <f t="shared" si="424"/>
        <v/>
      </c>
      <c r="O1832" s="183" t="str">
        <f t="shared" si="425"/>
        <v/>
      </c>
      <c r="P1832" s="199" t="str">
        <f t="shared" si="426"/>
        <v/>
      </c>
      <c r="Q1832" s="199" t="str">
        <f>IF(B1832="","",IFERROR(IF('עלויות כח אדם (6)'!J1832&gt;=VLOOKUP(I1832,'סיווג התפקידים והעלויות'!$B$23:$C$32,2,0),"תקין","לא תקין"),""))</f>
        <v/>
      </c>
      <c r="R1832" s="199" t="str">
        <f t="shared" si="427"/>
        <v/>
      </c>
      <c r="S1832" s="199" t="str">
        <f t="shared" si="428"/>
        <v/>
      </c>
      <c r="T1832" s="199" t="str">
        <f t="shared" si="436"/>
        <v/>
      </c>
      <c r="U1832" s="199" t="str">
        <f t="shared" si="429"/>
        <v/>
      </c>
      <c r="V1832" s="989"/>
      <c r="X1832" s="374" t="str">
        <f t="shared" si="430"/>
        <v/>
      </c>
      <c r="Y1832" s="375" t="str">
        <f t="shared" si="431"/>
        <v/>
      </c>
      <c r="Z1832" s="374" t="str">
        <f t="shared" si="432"/>
        <v/>
      </c>
      <c r="AA1832" s="374" t="b">
        <f t="shared" si="433"/>
        <v>1</v>
      </c>
      <c r="AB1832" s="374">
        <f>COUNTIFS(B:B,B1832,H:H,'סיווג התפקידים והעלויות'!$C$2)</f>
        <v>0</v>
      </c>
      <c r="AC1832" s="374">
        <f>COUNTIFS(B:B,B1832,H:H,'סיווג התפקידים והעלויות'!$D$2)</f>
        <v>0</v>
      </c>
      <c r="AD1832" s="374" t="str">
        <f>IF(OR(AND(H1832='סיווג התפקידים והעלויות'!$A$2,I1832='סיווג התפקידים והעלויות'!$A$3),'עלויות כח אדם (6)'!H1832='סיווג התפקידים והעלויות'!$C$2,'עלויות כח אדם (6)'!H1832='סיווג התפקידים והעלויות'!$D$2),IF('עלויות כח אדם (6)'!J1832&lt;75,"לא תקין","תקין"),"")</f>
        <v/>
      </c>
      <c r="AE1832" s="374" t="str">
        <f t="shared" si="434"/>
        <v/>
      </c>
      <c r="AF1832" s="532" t="str">
        <f t="shared" si="435"/>
        <v/>
      </c>
    </row>
    <row r="1833" spans="2:32" x14ac:dyDescent="0.25">
      <c r="B1833" s="695"/>
      <c r="C1833" s="197" t="str">
        <f>IF(B1833&lt;&gt;"",IFERROR(VLOOKUP(B:B,'מצבת והרשמה (2)'!$C$20:$N$520,2,0)," ")," ")</f>
        <v xml:space="preserve"> </v>
      </c>
      <c r="D1833" s="695"/>
      <c r="E1833" s="696"/>
      <c r="F1833" s="696"/>
      <c r="G1833" s="696"/>
      <c r="H1833" s="696"/>
      <c r="I1833" s="1050" t="str">
        <f t="shared" si="422"/>
        <v/>
      </c>
      <c r="J1833" s="696"/>
      <c r="K1833" s="697"/>
      <c r="L1833" s="696"/>
      <c r="M1833" s="198" t="str">
        <f t="shared" si="423"/>
        <v/>
      </c>
      <c r="N1833" s="369" t="str">
        <f t="shared" si="424"/>
        <v/>
      </c>
      <c r="O1833" s="183" t="str">
        <f t="shared" si="425"/>
        <v/>
      </c>
      <c r="P1833" s="199" t="str">
        <f t="shared" si="426"/>
        <v/>
      </c>
      <c r="Q1833" s="199" t="str">
        <f>IF(B1833="","",IFERROR(IF('עלויות כח אדם (6)'!J1833&gt;=VLOOKUP(I1833,'סיווג התפקידים והעלויות'!$B$23:$C$32,2,0),"תקין","לא תקין"),""))</f>
        <v/>
      </c>
      <c r="R1833" s="199" t="str">
        <f t="shared" si="427"/>
        <v/>
      </c>
      <c r="S1833" s="199" t="str">
        <f t="shared" si="428"/>
        <v/>
      </c>
      <c r="T1833" s="199" t="str">
        <f t="shared" si="436"/>
        <v/>
      </c>
      <c r="U1833" s="199" t="str">
        <f t="shared" si="429"/>
        <v/>
      </c>
      <c r="V1833" s="989"/>
      <c r="X1833" s="374" t="str">
        <f t="shared" si="430"/>
        <v/>
      </c>
      <c r="Y1833" s="375" t="str">
        <f t="shared" si="431"/>
        <v/>
      </c>
      <c r="Z1833" s="374" t="str">
        <f t="shared" si="432"/>
        <v/>
      </c>
      <c r="AA1833" s="374" t="b">
        <f t="shared" si="433"/>
        <v>1</v>
      </c>
      <c r="AB1833" s="374">
        <f>COUNTIFS(B:B,B1833,H:H,'סיווג התפקידים והעלויות'!$C$2)</f>
        <v>0</v>
      </c>
      <c r="AC1833" s="374">
        <f>COUNTIFS(B:B,B1833,H:H,'סיווג התפקידים והעלויות'!$D$2)</f>
        <v>0</v>
      </c>
      <c r="AD1833" s="374" t="str">
        <f>IF(OR(AND(H1833='סיווג התפקידים והעלויות'!$A$2,I1833='סיווג התפקידים והעלויות'!$A$3),'עלויות כח אדם (6)'!H1833='סיווג התפקידים והעלויות'!$C$2,'עלויות כח אדם (6)'!H1833='סיווג התפקידים והעלויות'!$D$2),IF('עלויות כח אדם (6)'!J1833&lt;75,"לא תקין","תקין"),"")</f>
        <v/>
      </c>
      <c r="AE1833" s="374" t="str">
        <f t="shared" si="434"/>
        <v/>
      </c>
      <c r="AF1833" s="532" t="str">
        <f t="shared" si="435"/>
        <v/>
      </c>
    </row>
    <row r="1834" spans="2:32" x14ac:dyDescent="0.25">
      <c r="B1834" s="695"/>
      <c r="C1834" s="197" t="str">
        <f>IF(B1834&lt;&gt;"",IFERROR(VLOOKUP(B:B,'מצבת והרשמה (2)'!$C$20:$N$520,2,0)," ")," ")</f>
        <v xml:space="preserve"> </v>
      </c>
      <c r="D1834" s="695"/>
      <c r="E1834" s="696"/>
      <c r="F1834" s="696"/>
      <c r="G1834" s="696"/>
      <c r="H1834" s="696"/>
      <c r="I1834" s="1050" t="str">
        <f t="shared" si="422"/>
        <v/>
      </c>
      <c r="J1834" s="696"/>
      <c r="K1834" s="697"/>
      <c r="L1834" s="696"/>
      <c r="M1834" s="198" t="str">
        <f t="shared" si="423"/>
        <v/>
      </c>
      <c r="N1834" s="369" t="str">
        <f t="shared" si="424"/>
        <v/>
      </c>
      <c r="O1834" s="183" t="str">
        <f t="shared" si="425"/>
        <v/>
      </c>
      <c r="P1834" s="199" t="str">
        <f t="shared" si="426"/>
        <v/>
      </c>
      <c r="Q1834" s="199" t="str">
        <f>IF(B1834="","",IFERROR(IF('עלויות כח אדם (6)'!J1834&gt;=VLOOKUP(I1834,'סיווג התפקידים והעלויות'!$B$23:$C$32,2,0),"תקין","לא תקין"),""))</f>
        <v/>
      </c>
      <c r="R1834" s="199" t="str">
        <f t="shared" si="427"/>
        <v/>
      </c>
      <c r="S1834" s="199" t="str">
        <f t="shared" si="428"/>
        <v/>
      </c>
      <c r="T1834" s="199" t="str">
        <f t="shared" si="436"/>
        <v/>
      </c>
      <c r="U1834" s="199" t="str">
        <f t="shared" si="429"/>
        <v/>
      </c>
      <c r="V1834" s="989"/>
      <c r="X1834" s="374" t="str">
        <f t="shared" si="430"/>
        <v/>
      </c>
      <c r="Y1834" s="375" t="str">
        <f t="shared" si="431"/>
        <v/>
      </c>
      <c r="Z1834" s="374" t="str">
        <f t="shared" si="432"/>
        <v/>
      </c>
      <c r="AA1834" s="374" t="b">
        <f t="shared" si="433"/>
        <v>1</v>
      </c>
      <c r="AB1834" s="374">
        <f>COUNTIFS(B:B,B1834,H:H,'סיווג התפקידים והעלויות'!$C$2)</f>
        <v>0</v>
      </c>
      <c r="AC1834" s="374">
        <f>COUNTIFS(B:B,B1834,H:H,'סיווג התפקידים והעלויות'!$D$2)</f>
        <v>0</v>
      </c>
      <c r="AD1834" s="374" t="str">
        <f>IF(OR(AND(H1834='סיווג התפקידים והעלויות'!$A$2,I1834='סיווג התפקידים והעלויות'!$A$3),'עלויות כח אדם (6)'!H1834='סיווג התפקידים והעלויות'!$C$2,'עלויות כח אדם (6)'!H1834='סיווג התפקידים והעלויות'!$D$2),IF('עלויות כח אדם (6)'!J1834&lt;75,"לא תקין","תקין"),"")</f>
        <v/>
      </c>
      <c r="AE1834" s="374" t="str">
        <f t="shared" si="434"/>
        <v/>
      </c>
      <c r="AF1834" s="532" t="str">
        <f t="shared" si="435"/>
        <v/>
      </c>
    </row>
    <row r="1835" spans="2:32" x14ac:dyDescent="0.25">
      <c r="B1835" s="695"/>
      <c r="C1835" s="197" t="str">
        <f>IF(B1835&lt;&gt;"",IFERROR(VLOOKUP(B:B,'מצבת והרשמה (2)'!$C$20:$N$520,2,0)," ")," ")</f>
        <v xml:space="preserve"> </v>
      </c>
      <c r="D1835" s="695"/>
      <c r="E1835" s="696"/>
      <c r="F1835" s="696"/>
      <c r="G1835" s="696"/>
      <c r="H1835" s="696"/>
      <c r="I1835" s="1050" t="str">
        <f t="shared" si="422"/>
        <v/>
      </c>
      <c r="J1835" s="696"/>
      <c r="K1835" s="697"/>
      <c r="L1835" s="696"/>
      <c r="M1835" s="198" t="str">
        <f t="shared" si="423"/>
        <v/>
      </c>
      <c r="N1835" s="369" t="str">
        <f t="shared" si="424"/>
        <v/>
      </c>
      <c r="O1835" s="183" t="str">
        <f t="shared" si="425"/>
        <v/>
      </c>
      <c r="P1835" s="199" t="str">
        <f t="shared" si="426"/>
        <v/>
      </c>
      <c r="Q1835" s="199" t="str">
        <f>IF(B1835="","",IFERROR(IF('עלויות כח אדם (6)'!J1835&gt;=VLOOKUP(I1835,'סיווג התפקידים והעלויות'!$B$23:$C$32,2,0),"תקין","לא תקין"),""))</f>
        <v/>
      </c>
      <c r="R1835" s="199" t="str">
        <f t="shared" si="427"/>
        <v/>
      </c>
      <c r="S1835" s="199" t="str">
        <f t="shared" si="428"/>
        <v/>
      </c>
      <c r="T1835" s="199" t="str">
        <f t="shared" si="436"/>
        <v/>
      </c>
      <c r="U1835" s="199" t="str">
        <f t="shared" si="429"/>
        <v/>
      </c>
      <c r="V1835" s="989"/>
      <c r="X1835" s="374" t="str">
        <f t="shared" si="430"/>
        <v/>
      </c>
      <c r="Y1835" s="375" t="str">
        <f t="shared" si="431"/>
        <v/>
      </c>
      <c r="Z1835" s="374" t="str">
        <f t="shared" si="432"/>
        <v/>
      </c>
      <c r="AA1835" s="374" t="b">
        <f t="shared" si="433"/>
        <v>1</v>
      </c>
      <c r="AB1835" s="374">
        <f>COUNTIFS(B:B,B1835,H:H,'סיווג התפקידים והעלויות'!$C$2)</f>
        <v>0</v>
      </c>
      <c r="AC1835" s="374">
        <f>COUNTIFS(B:B,B1835,H:H,'סיווג התפקידים והעלויות'!$D$2)</f>
        <v>0</v>
      </c>
      <c r="AD1835" s="374" t="str">
        <f>IF(OR(AND(H1835='סיווג התפקידים והעלויות'!$A$2,I1835='סיווג התפקידים והעלויות'!$A$3),'עלויות כח אדם (6)'!H1835='סיווג התפקידים והעלויות'!$C$2,'עלויות כח אדם (6)'!H1835='סיווג התפקידים והעלויות'!$D$2),IF('עלויות כח אדם (6)'!J1835&lt;75,"לא תקין","תקין"),"")</f>
        <v/>
      </c>
      <c r="AE1835" s="374" t="str">
        <f t="shared" si="434"/>
        <v/>
      </c>
      <c r="AF1835" s="532" t="str">
        <f t="shared" si="435"/>
        <v/>
      </c>
    </row>
    <row r="1836" spans="2:32" x14ac:dyDescent="0.25">
      <c r="B1836" s="695"/>
      <c r="C1836" s="197" t="str">
        <f>IF(B1836&lt;&gt;"",IFERROR(VLOOKUP(B:B,'מצבת והרשמה (2)'!$C$20:$N$520,2,0)," ")," ")</f>
        <v xml:space="preserve"> </v>
      </c>
      <c r="D1836" s="695"/>
      <c r="E1836" s="696"/>
      <c r="F1836" s="696"/>
      <c r="G1836" s="696"/>
      <c r="H1836" s="696"/>
      <c r="I1836" s="1050" t="str">
        <f t="shared" si="422"/>
        <v/>
      </c>
      <c r="J1836" s="696"/>
      <c r="K1836" s="697"/>
      <c r="L1836" s="696"/>
      <c r="M1836" s="198" t="str">
        <f t="shared" si="423"/>
        <v/>
      </c>
      <c r="N1836" s="369" t="str">
        <f t="shared" si="424"/>
        <v/>
      </c>
      <c r="O1836" s="183" t="str">
        <f t="shared" si="425"/>
        <v/>
      </c>
      <c r="P1836" s="199" t="str">
        <f t="shared" si="426"/>
        <v/>
      </c>
      <c r="Q1836" s="199" t="str">
        <f>IF(B1836="","",IFERROR(IF('עלויות כח אדם (6)'!J1836&gt;=VLOOKUP(I1836,'סיווג התפקידים והעלויות'!$B$23:$C$32,2,0),"תקין","לא תקין"),""))</f>
        <v/>
      </c>
      <c r="R1836" s="199" t="str">
        <f t="shared" si="427"/>
        <v/>
      </c>
      <c r="S1836" s="199" t="str">
        <f t="shared" si="428"/>
        <v/>
      </c>
      <c r="T1836" s="199" t="str">
        <f t="shared" si="436"/>
        <v/>
      </c>
      <c r="U1836" s="199" t="str">
        <f t="shared" si="429"/>
        <v/>
      </c>
      <c r="V1836" s="989"/>
      <c r="X1836" s="374" t="str">
        <f t="shared" si="430"/>
        <v/>
      </c>
      <c r="Y1836" s="375" t="str">
        <f t="shared" si="431"/>
        <v/>
      </c>
      <c r="Z1836" s="374" t="str">
        <f t="shared" si="432"/>
        <v/>
      </c>
      <c r="AA1836" s="374" t="b">
        <f t="shared" si="433"/>
        <v>1</v>
      </c>
      <c r="AB1836" s="374">
        <f>COUNTIFS(B:B,B1836,H:H,'סיווג התפקידים והעלויות'!$C$2)</f>
        <v>0</v>
      </c>
      <c r="AC1836" s="374">
        <f>COUNTIFS(B:B,B1836,H:H,'סיווג התפקידים והעלויות'!$D$2)</f>
        <v>0</v>
      </c>
      <c r="AD1836" s="374" t="str">
        <f>IF(OR(AND(H1836='סיווג התפקידים והעלויות'!$A$2,I1836='סיווג התפקידים והעלויות'!$A$3),'עלויות כח אדם (6)'!H1836='סיווג התפקידים והעלויות'!$C$2,'עלויות כח אדם (6)'!H1836='סיווג התפקידים והעלויות'!$D$2),IF('עלויות כח אדם (6)'!J1836&lt;75,"לא תקין","תקין"),"")</f>
        <v/>
      </c>
      <c r="AE1836" s="374" t="str">
        <f t="shared" si="434"/>
        <v/>
      </c>
      <c r="AF1836" s="532" t="str">
        <f t="shared" si="435"/>
        <v/>
      </c>
    </row>
    <row r="1837" spans="2:32" x14ac:dyDescent="0.25">
      <c r="B1837" s="695"/>
      <c r="C1837" s="197" t="str">
        <f>IF(B1837&lt;&gt;"",IFERROR(VLOOKUP(B:B,'מצבת והרשמה (2)'!$C$20:$N$520,2,0)," ")," ")</f>
        <v xml:space="preserve"> </v>
      </c>
      <c r="D1837" s="695"/>
      <c r="E1837" s="696"/>
      <c r="F1837" s="696"/>
      <c r="G1837" s="696"/>
      <c r="H1837" s="696"/>
      <c r="I1837" s="1050" t="str">
        <f t="shared" si="422"/>
        <v/>
      </c>
      <c r="J1837" s="696"/>
      <c r="K1837" s="697"/>
      <c r="L1837" s="696"/>
      <c r="M1837" s="198" t="str">
        <f t="shared" si="423"/>
        <v/>
      </c>
      <c r="N1837" s="369" t="str">
        <f t="shared" si="424"/>
        <v/>
      </c>
      <c r="O1837" s="183" t="str">
        <f t="shared" si="425"/>
        <v/>
      </c>
      <c r="P1837" s="199" t="str">
        <f t="shared" si="426"/>
        <v/>
      </c>
      <c r="Q1837" s="199" t="str">
        <f>IF(B1837="","",IFERROR(IF('עלויות כח אדם (6)'!J1837&gt;=VLOOKUP(I1837,'סיווג התפקידים והעלויות'!$B$23:$C$32,2,0),"תקין","לא תקין"),""))</f>
        <v/>
      </c>
      <c r="R1837" s="199" t="str">
        <f t="shared" si="427"/>
        <v/>
      </c>
      <c r="S1837" s="199" t="str">
        <f t="shared" si="428"/>
        <v/>
      </c>
      <c r="T1837" s="199" t="str">
        <f t="shared" si="436"/>
        <v/>
      </c>
      <c r="U1837" s="199" t="str">
        <f t="shared" si="429"/>
        <v/>
      </c>
      <c r="V1837" s="989"/>
      <c r="X1837" s="374" t="str">
        <f t="shared" si="430"/>
        <v/>
      </c>
      <c r="Y1837" s="375" t="str">
        <f t="shared" si="431"/>
        <v/>
      </c>
      <c r="Z1837" s="374" t="str">
        <f t="shared" si="432"/>
        <v/>
      </c>
      <c r="AA1837" s="374" t="b">
        <f t="shared" si="433"/>
        <v>1</v>
      </c>
      <c r="AB1837" s="374">
        <f>COUNTIFS(B:B,B1837,H:H,'סיווג התפקידים והעלויות'!$C$2)</f>
        <v>0</v>
      </c>
      <c r="AC1837" s="374">
        <f>COUNTIFS(B:B,B1837,H:H,'סיווג התפקידים והעלויות'!$D$2)</f>
        <v>0</v>
      </c>
      <c r="AD1837" s="374" t="str">
        <f>IF(OR(AND(H1837='סיווג התפקידים והעלויות'!$A$2,I1837='סיווג התפקידים והעלויות'!$A$3),'עלויות כח אדם (6)'!H1837='סיווג התפקידים והעלויות'!$C$2,'עלויות כח אדם (6)'!H1837='סיווג התפקידים והעלויות'!$D$2),IF('עלויות כח אדם (6)'!J1837&lt;75,"לא תקין","תקין"),"")</f>
        <v/>
      </c>
      <c r="AE1837" s="374" t="str">
        <f t="shared" si="434"/>
        <v/>
      </c>
      <c r="AF1837" s="532" t="str">
        <f t="shared" si="435"/>
        <v/>
      </c>
    </row>
    <row r="1838" spans="2:32" x14ac:dyDescent="0.25">
      <c r="B1838" s="695"/>
      <c r="C1838" s="197" t="str">
        <f>IF(B1838&lt;&gt;"",IFERROR(VLOOKUP(B:B,'מצבת והרשמה (2)'!$C$20:$N$520,2,0)," ")," ")</f>
        <v xml:space="preserve"> </v>
      </c>
      <c r="D1838" s="695"/>
      <c r="E1838" s="696"/>
      <c r="F1838" s="696"/>
      <c r="G1838" s="696"/>
      <c r="H1838" s="696"/>
      <c r="I1838" s="1050" t="str">
        <f t="shared" si="422"/>
        <v/>
      </c>
      <c r="J1838" s="696"/>
      <c r="K1838" s="697"/>
      <c r="L1838" s="696"/>
      <c r="M1838" s="198" t="str">
        <f t="shared" si="423"/>
        <v/>
      </c>
      <c r="N1838" s="369" t="str">
        <f t="shared" si="424"/>
        <v/>
      </c>
      <c r="O1838" s="183" t="str">
        <f t="shared" si="425"/>
        <v/>
      </c>
      <c r="P1838" s="199" t="str">
        <f t="shared" si="426"/>
        <v/>
      </c>
      <c r="Q1838" s="199" t="str">
        <f>IF(B1838="","",IFERROR(IF('עלויות כח אדם (6)'!J1838&gt;=VLOOKUP(I1838,'סיווג התפקידים והעלויות'!$B$23:$C$32,2,0),"תקין","לא תקין"),""))</f>
        <v/>
      </c>
      <c r="R1838" s="199" t="str">
        <f t="shared" si="427"/>
        <v/>
      </c>
      <c r="S1838" s="199" t="str">
        <f t="shared" si="428"/>
        <v/>
      </c>
      <c r="T1838" s="199" t="str">
        <f t="shared" si="436"/>
        <v/>
      </c>
      <c r="U1838" s="199" t="str">
        <f t="shared" si="429"/>
        <v/>
      </c>
      <c r="V1838" s="989"/>
      <c r="X1838" s="374" t="str">
        <f t="shared" si="430"/>
        <v/>
      </c>
      <c r="Y1838" s="375" t="str">
        <f t="shared" si="431"/>
        <v/>
      </c>
      <c r="Z1838" s="374" t="str">
        <f t="shared" si="432"/>
        <v/>
      </c>
      <c r="AA1838" s="374" t="b">
        <f t="shared" si="433"/>
        <v>1</v>
      </c>
      <c r="AB1838" s="374">
        <f>COUNTIFS(B:B,B1838,H:H,'סיווג התפקידים והעלויות'!$C$2)</f>
        <v>0</v>
      </c>
      <c r="AC1838" s="374">
        <f>COUNTIFS(B:B,B1838,H:H,'סיווג התפקידים והעלויות'!$D$2)</f>
        <v>0</v>
      </c>
      <c r="AD1838" s="374" t="str">
        <f>IF(OR(AND(H1838='סיווג התפקידים והעלויות'!$A$2,I1838='סיווג התפקידים והעלויות'!$A$3),'עלויות כח אדם (6)'!H1838='סיווג התפקידים והעלויות'!$C$2,'עלויות כח אדם (6)'!H1838='סיווג התפקידים והעלויות'!$D$2),IF('עלויות כח אדם (6)'!J1838&lt;75,"לא תקין","תקין"),"")</f>
        <v/>
      </c>
      <c r="AE1838" s="374" t="str">
        <f t="shared" si="434"/>
        <v/>
      </c>
      <c r="AF1838" s="532" t="str">
        <f t="shared" si="435"/>
        <v/>
      </c>
    </row>
    <row r="1839" spans="2:32" x14ac:dyDescent="0.25">
      <c r="B1839" s="695"/>
      <c r="C1839" s="197" t="str">
        <f>IF(B1839&lt;&gt;"",IFERROR(VLOOKUP(B:B,'מצבת והרשמה (2)'!$C$20:$N$520,2,0)," ")," ")</f>
        <v xml:space="preserve"> </v>
      </c>
      <c r="D1839" s="695"/>
      <c r="E1839" s="696"/>
      <c r="F1839" s="696"/>
      <c r="G1839" s="696"/>
      <c r="H1839" s="696"/>
      <c r="I1839" s="1050" t="str">
        <f t="shared" si="422"/>
        <v/>
      </c>
      <c r="J1839" s="696"/>
      <c r="K1839" s="697"/>
      <c r="L1839" s="696"/>
      <c r="M1839" s="198" t="str">
        <f t="shared" si="423"/>
        <v/>
      </c>
      <c r="N1839" s="369" t="str">
        <f t="shared" si="424"/>
        <v/>
      </c>
      <c r="O1839" s="183" t="str">
        <f t="shared" si="425"/>
        <v/>
      </c>
      <c r="P1839" s="199" t="str">
        <f t="shared" si="426"/>
        <v/>
      </c>
      <c r="Q1839" s="199" t="str">
        <f>IF(B1839="","",IFERROR(IF('עלויות כח אדם (6)'!J1839&gt;=VLOOKUP(I1839,'סיווג התפקידים והעלויות'!$B$23:$C$32,2,0),"תקין","לא תקין"),""))</f>
        <v/>
      </c>
      <c r="R1839" s="199" t="str">
        <f t="shared" si="427"/>
        <v/>
      </c>
      <c r="S1839" s="199" t="str">
        <f t="shared" si="428"/>
        <v/>
      </c>
      <c r="T1839" s="199" t="str">
        <f t="shared" si="436"/>
        <v/>
      </c>
      <c r="U1839" s="199" t="str">
        <f t="shared" si="429"/>
        <v/>
      </c>
      <c r="V1839" s="989"/>
      <c r="X1839" s="374" t="str">
        <f t="shared" si="430"/>
        <v/>
      </c>
      <c r="Y1839" s="375" t="str">
        <f t="shared" si="431"/>
        <v/>
      </c>
      <c r="Z1839" s="374" t="str">
        <f t="shared" si="432"/>
        <v/>
      </c>
      <c r="AA1839" s="374" t="b">
        <f t="shared" si="433"/>
        <v>1</v>
      </c>
      <c r="AB1839" s="374">
        <f>COUNTIFS(B:B,B1839,H:H,'סיווג התפקידים והעלויות'!$C$2)</f>
        <v>0</v>
      </c>
      <c r="AC1839" s="374">
        <f>COUNTIFS(B:B,B1839,H:H,'סיווג התפקידים והעלויות'!$D$2)</f>
        <v>0</v>
      </c>
      <c r="AD1839" s="374" t="str">
        <f>IF(OR(AND(H1839='סיווג התפקידים והעלויות'!$A$2,I1839='סיווג התפקידים והעלויות'!$A$3),'עלויות כח אדם (6)'!H1839='סיווג התפקידים והעלויות'!$C$2,'עלויות כח אדם (6)'!H1839='סיווג התפקידים והעלויות'!$D$2),IF('עלויות כח אדם (6)'!J1839&lt;75,"לא תקין","תקין"),"")</f>
        <v/>
      </c>
      <c r="AE1839" s="374" t="str">
        <f t="shared" si="434"/>
        <v/>
      </c>
      <c r="AF1839" s="532" t="str">
        <f t="shared" si="435"/>
        <v/>
      </c>
    </row>
    <row r="1840" spans="2:32" x14ac:dyDescent="0.25">
      <c r="B1840" s="695"/>
      <c r="C1840" s="197" t="str">
        <f>IF(B1840&lt;&gt;"",IFERROR(VLOOKUP(B:B,'מצבת והרשמה (2)'!$C$20:$N$520,2,0)," ")," ")</f>
        <v xml:space="preserve"> </v>
      </c>
      <c r="D1840" s="695"/>
      <c r="E1840" s="696"/>
      <c r="F1840" s="696"/>
      <c r="G1840" s="696"/>
      <c r="H1840" s="696"/>
      <c r="I1840" s="1050" t="str">
        <f t="shared" si="422"/>
        <v/>
      </c>
      <c r="J1840" s="696"/>
      <c r="K1840" s="697"/>
      <c r="L1840" s="696"/>
      <c r="M1840" s="198" t="str">
        <f t="shared" si="423"/>
        <v/>
      </c>
      <c r="N1840" s="369" t="str">
        <f t="shared" si="424"/>
        <v/>
      </c>
      <c r="O1840" s="183" t="str">
        <f t="shared" si="425"/>
        <v/>
      </c>
      <c r="P1840" s="199" t="str">
        <f t="shared" si="426"/>
        <v/>
      </c>
      <c r="Q1840" s="199" t="str">
        <f>IF(B1840="","",IFERROR(IF('עלויות כח אדם (6)'!J1840&gt;=VLOOKUP(I1840,'סיווג התפקידים והעלויות'!$B$23:$C$32,2,0),"תקין","לא תקין"),""))</f>
        <v/>
      </c>
      <c r="R1840" s="199" t="str">
        <f t="shared" si="427"/>
        <v/>
      </c>
      <c r="S1840" s="199" t="str">
        <f t="shared" si="428"/>
        <v/>
      </c>
      <c r="T1840" s="199" t="str">
        <f t="shared" si="436"/>
        <v/>
      </c>
      <c r="U1840" s="199" t="str">
        <f t="shared" si="429"/>
        <v/>
      </c>
      <c r="V1840" s="989"/>
      <c r="X1840" s="374" t="str">
        <f t="shared" si="430"/>
        <v/>
      </c>
      <c r="Y1840" s="375" t="str">
        <f t="shared" si="431"/>
        <v/>
      </c>
      <c r="Z1840" s="374" t="str">
        <f t="shared" si="432"/>
        <v/>
      </c>
      <c r="AA1840" s="374" t="b">
        <f t="shared" si="433"/>
        <v>1</v>
      </c>
      <c r="AB1840" s="374">
        <f>COUNTIFS(B:B,B1840,H:H,'סיווג התפקידים והעלויות'!$C$2)</f>
        <v>0</v>
      </c>
      <c r="AC1840" s="374">
        <f>COUNTIFS(B:B,B1840,H:H,'סיווג התפקידים והעלויות'!$D$2)</f>
        <v>0</v>
      </c>
      <c r="AD1840" s="374" t="str">
        <f>IF(OR(AND(H1840='סיווג התפקידים והעלויות'!$A$2,I1840='סיווג התפקידים והעלויות'!$A$3),'עלויות כח אדם (6)'!H1840='סיווג התפקידים והעלויות'!$C$2,'עלויות כח אדם (6)'!H1840='סיווג התפקידים והעלויות'!$D$2),IF('עלויות כח אדם (6)'!J1840&lt;75,"לא תקין","תקין"),"")</f>
        <v/>
      </c>
      <c r="AE1840" s="374" t="str">
        <f t="shared" si="434"/>
        <v/>
      </c>
      <c r="AF1840" s="532" t="str">
        <f t="shared" si="435"/>
        <v/>
      </c>
    </row>
    <row r="1841" spans="2:32" x14ac:dyDescent="0.25">
      <c r="B1841" s="695"/>
      <c r="C1841" s="197" t="str">
        <f>IF(B1841&lt;&gt;"",IFERROR(VLOOKUP(B:B,'מצבת והרשמה (2)'!$C$20:$N$520,2,0)," ")," ")</f>
        <v xml:space="preserve"> </v>
      </c>
      <c r="D1841" s="695"/>
      <c r="E1841" s="696"/>
      <c r="F1841" s="696"/>
      <c r="G1841" s="696"/>
      <c r="H1841" s="696"/>
      <c r="I1841" s="1050" t="str">
        <f t="shared" si="422"/>
        <v/>
      </c>
      <c r="J1841" s="696"/>
      <c r="K1841" s="697"/>
      <c r="L1841" s="696"/>
      <c r="M1841" s="198" t="str">
        <f t="shared" si="423"/>
        <v/>
      </c>
      <c r="N1841" s="369" t="str">
        <f t="shared" si="424"/>
        <v/>
      </c>
      <c r="O1841" s="183" t="str">
        <f t="shared" si="425"/>
        <v/>
      </c>
      <c r="P1841" s="199" t="str">
        <f t="shared" si="426"/>
        <v/>
      </c>
      <c r="Q1841" s="199" t="str">
        <f>IF(B1841="","",IFERROR(IF('עלויות כח אדם (6)'!J1841&gt;=VLOOKUP(I1841,'סיווג התפקידים והעלויות'!$B$23:$C$32,2,0),"תקין","לא תקין"),""))</f>
        <v/>
      </c>
      <c r="R1841" s="199" t="str">
        <f t="shared" si="427"/>
        <v/>
      </c>
      <c r="S1841" s="199" t="str">
        <f t="shared" si="428"/>
        <v/>
      </c>
      <c r="T1841" s="199" t="str">
        <f t="shared" si="436"/>
        <v/>
      </c>
      <c r="U1841" s="199" t="str">
        <f t="shared" si="429"/>
        <v/>
      </c>
      <c r="V1841" s="989"/>
      <c r="X1841" s="374" t="str">
        <f t="shared" si="430"/>
        <v/>
      </c>
      <c r="Y1841" s="375" t="str">
        <f t="shared" si="431"/>
        <v/>
      </c>
      <c r="Z1841" s="374" t="str">
        <f t="shared" si="432"/>
        <v/>
      </c>
      <c r="AA1841" s="374" t="b">
        <f t="shared" si="433"/>
        <v>1</v>
      </c>
      <c r="AB1841" s="374">
        <f>COUNTIFS(B:B,B1841,H:H,'סיווג התפקידים והעלויות'!$C$2)</f>
        <v>0</v>
      </c>
      <c r="AC1841" s="374">
        <f>COUNTIFS(B:B,B1841,H:H,'סיווג התפקידים והעלויות'!$D$2)</f>
        <v>0</v>
      </c>
      <c r="AD1841" s="374" t="str">
        <f>IF(OR(AND(H1841='סיווג התפקידים והעלויות'!$A$2,I1841='סיווג התפקידים והעלויות'!$A$3),'עלויות כח אדם (6)'!H1841='סיווג התפקידים והעלויות'!$C$2,'עלויות כח אדם (6)'!H1841='סיווג התפקידים והעלויות'!$D$2),IF('עלויות כח אדם (6)'!J1841&lt;75,"לא תקין","תקין"),"")</f>
        <v/>
      </c>
      <c r="AE1841" s="374" t="str">
        <f t="shared" si="434"/>
        <v/>
      </c>
      <c r="AF1841" s="532" t="str">
        <f t="shared" si="435"/>
        <v/>
      </c>
    </row>
    <row r="1842" spans="2:32" x14ac:dyDescent="0.25">
      <c r="B1842" s="695"/>
      <c r="C1842" s="197" t="str">
        <f>IF(B1842&lt;&gt;"",IFERROR(VLOOKUP(B:B,'מצבת והרשמה (2)'!$C$20:$N$520,2,0)," ")," ")</f>
        <v xml:space="preserve"> </v>
      </c>
      <c r="D1842" s="695"/>
      <c r="E1842" s="696"/>
      <c r="F1842" s="696"/>
      <c r="G1842" s="696"/>
      <c r="H1842" s="696"/>
      <c r="I1842" s="1050" t="str">
        <f t="shared" si="422"/>
        <v/>
      </c>
      <c r="J1842" s="696"/>
      <c r="K1842" s="697"/>
      <c r="L1842" s="696"/>
      <c r="M1842" s="198" t="str">
        <f t="shared" si="423"/>
        <v/>
      </c>
      <c r="N1842" s="369" t="str">
        <f t="shared" si="424"/>
        <v/>
      </c>
      <c r="O1842" s="183" t="str">
        <f t="shared" si="425"/>
        <v/>
      </c>
      <c r="P1842" s="199" t="str">
        <f t="shared" si="426"/>
        <v/>
      </c>
      <c r="Q1842" s="199" t="str">
        <f>IF(B1842="","",IFERROR(IF('עלויות כח אדם (6)'!J1842&gt;=VLOOKUP(I1842,'סיווג התפקידים והעלויות'!$B$23:$C$32,2,0),"תקין","לא תקין"),""))</f>
        <v/>
      </c>
      <c r="R1842" s="199" t="str">
        <f t="shared" si="427"/>
        <v/>
      </c>
      <c r="S1842" s="199" t="str">
        <f t="shared" si="428"/>
        <v/>
      </c>
      <c r="T1842" s="199" t="str">
        <f t="shared" si="436"/>
        <v/>
      </c>
      <c r="U1842" s="199" t="str">
        <f t="shared" si="429"/>
        <v/>
      </c>
      <c r="V1842" s="989"/>
      <c r="X1842" s="374" t="str">
        <f t="shared" si="430"/>
        <v/>
      </c>
      <c r="Y1842" s="375" t="str">
        <f t="shared" si="431"/>
        <v/>
      </c>
      <c r="Z1842" s="374" t="str">
        <f t="shared" si="432"/>
        <v/>
      </c>
      <c r="AA1842" s="374" t="b">
        <f t="shared" si="433"/>
        <v>1</v>
      </c>
      <c r="AB1842" s="374">
        <f>COUNTIFS(B:B,B1842,H:H,'סיווג התפקידים והעלויות'!$C$2)</f>
        <v>0</v>
      </c>
      <c r="AC1842" s="374">
        <f>COUNTIFS(B:B,B1842,H:H,'סיווג התפקידים והעלויות'!$D$2)</f>
        <v>0</v>
      </c>
      <c r="AD1842" s="374" t="str">
        <f>IF(OR(AND(H1842='סיווג התפקידים והעלויות'!$A$2,I1842='סיווג התפקידים והעלויות'!$A$3),'עלויות כח אדם (6)'!H1842='סיווג התפקידים והעלויות'!$C$2,'עלויות כח אדם (6)'!H1842='סיווג התפקידים והעלויות'!$D$2),IF('עלויות כח אדם (6)'!J1842&lt;75,"לא תקין","תקין"),"")</f>
        <v/>
      </c>
      <c r="AE1842" s="374" t="str">
        <f t="shared" si="434"/>
        <v/>
      </c>
      <c r="AF1842" s="532" t="str">
        <f t="shared" si="435"/>
        <v/>
      </c>
    </row>
    <row r="1843" spans="2:32" x14ac:dyDescent="0.25">
      <c r="B1843" s="695"/>
      <c r="C1843" s="197" t="str">
        <f>IF(B1843&lt;&gt;"",IFERROR(VLOOKUP(B:B,'מצבת והרשמה (2)'!$C$20:$N$520,2,0)," ")," ")</f>
        <v xml:space="preserve"> </v>
      </c>
      <c r="D1843" s="695"/>
      <c r="E1843" s="696"/>
      <c r="F1843" s="696"/>
      <c r="G1843" s="696"/>
      <c r="H1843" s="696"/>
      <c r="I1843" s="1050" t="str">
        <f t="shared" si="422"/>
        <v/>
      </c>
      <c r="J1843" s="696"/>
      <c r="K1843" s="697"/>
      <c r="L1843" s="696"/>
      <c r="M1843" s="198" t="str">
        <f t="shared" si="423"/>
        <v/>
      </c>
      <c r="N1843" s="369" t="str">
        <f t="shared" si="424"/>
        <v/>
      </c>
      <c r="O1843" s="183" t="str">
        <f t="shared" si="425"/>
        <v/>
      </c>
      <c r="P1843" s="199" t="str">
        <f t="shared" si="426"/>
        <v/>
      </c>
      <c r="Q1843" s="199" t="str">
        <f>IF(B1843="","",IFERROR(IF('עלויות כח אדם (6)'!J1843&gt;=VLOOKUP(I1843,'סיווג התפקידים והעלויות'!$B$23:$C$32,2,0),"תקין","לא תקין"),""))</f>
        <v/>
      </c>
      <c r="R1843" s="199" t="str">
        <f t="shared" si="427"/>
        <v/>
      </c>
      <c r="S1843" s="199" t="str">
        <f t="shared" si="428"/>
        <v/>
      </c>
      <c r="T1843" s="199" t="str">
        <f t="shared" si="436"/>
        <v/>
      </c>
      <c r="U1843" s="199" t="str">
        <f t="shared" si="429"/>
        <v/>
      </c>
      <c r="V1843" s="989"/>
      <c r="X1843" s="374" t="str">
        <f t="shared" si="430"/>
        <v/>
      </c>
      <c r="Y1843" s="375" t="str">
        <f t="shared" si="431"/>
        <v/>
      </c>
      <c r="Z1843" s="374" t="str">
        <f t="shared" si="432"/>
        <v/>
      </c>
      <c r="AA1843" s="374" t="b">
        <f t="shared" si="433"/>
        <v>1</v>
      </c>
      <c r="AB1843" s="374">
        <f>COUNTIFS(B:B,B1843,H:H,'סיווג התפקידים והעלויות'!$C$2)</f>
        <v>0</v>
      </c>
      <c r="AC1843" s="374">
        <f>COUNTIFS(B:B,B1843,H:H,'סיווג התפקידים והעלויות'!$D$2)</f>
        <v>0</v>
      </c>
      <c r="AD1843" s="374" t="str">
        <f>IF(OR(AND(H1843='סיווג התפקידים והעלויות'!$A$2,I1843='סיווג התפקידים והעלויות'!$A$3),'עלויות כח אדם (6)'!H1843='סיווג התפקידים והעלויות'!$C$2,'עלויות כח אדם (6)'!H1843='סיווג התפקידים והעלויות'!$D$2),IF('עלויות כח אדם (6)'!J1843&lt;75,"לא תקין","תקין"),"")</f>
        <v/>
      </c>
      <c r="AE1843" s="374" t="str">
        <f t="shared" si="434"/>
        <v/>
      </c>
      <c r="AF1843" s="532" t="str">
        <f t="shared" si="435"/>
        <v/>
      </c>
    </row>
    <row r="1844" spans="2:32" x14ac:dyDescent="0.25">
      <c r="B1844" s="695"/>
      <c r="C1844" s="197" t="str">
        <f>IF(B1844&lt;&gt;"",IFERROR(VLOOKUP(B:B,'מצבת והרשמה (2)'!$C$20:$N$520,2,0)," ")," ")</f>
        <v xml:space="preserve"> </v>
      </c>
      <c r="D1844" s="695"/>
      <c r="E1844" s="696"/>
      <c r="F1844" s="696"/>
      <c r="G1844" s="696"/>
      <c r="H1844" s="696"/>
      <c r="I1844" s="1050" t="str">
        <f t="shared" si="422"/>
        <v/>
      </c>
      <c r="J1844" s="696"/>
      <c r="K1844" s="697"/>
      <c r="L1844" s="696"/>
      <c r="M1844" s="198" t="str">
        <f t="shared" si="423"/>
        <v/>
      </c>
      <c r="N1844" s="369" t="str">
        <f t="shared" si="424"/>
        <v/>
      </c>
      <c r="O1844" s="183" t="str">
        <f t="shared" si="425"/>
        <v/>
      </c>
      <c r="P1844" s="199" t="str">
        <f t="shared" si="426"/>
        <v/>
      </c>
      <c r="Q1844" s="199" t="str">
        <f>IF(B1844="","",IFERROR(IF('עלויות כח אדם (6)'!J1844&gt;=VLOOKUP(I1844,'סיווג התפקידים והעלויות'!$B$23:$C$32,2,0),"תקין","לא תקין"),""))</f>
        <v/>
      </c>
      <c r="R1844" s="199" t="str">
        <f t="shared" si="427"/>
        <v/>
      </c>
      <c r="S1844" s="199" t="str">
        <f t="shared" si="428"/>
        <v/>
      </c>
      <c r="T1844" s="199" t="str">
        <f t="shared" si="436"/>
        <v/>
      </c>
      <c r="U1844" s="199" t="str">
        <f t="shared" si="429"/>
        <v/>
      </c>
      <c r="V1844" s="989"/>
      <c r="X1844" s="374" t="str">
        <f t="shared" si="430"/>
        <v/>
      </c>
      <c r="Y1844" s="375" t="str">
        <f t="shared" si="431"/>
        <v/>
      </c>
      <c r="Z1844" s="374" t="str">
        <f t="shared" si="432"/>
        <v/>
      </c>
      <c r="AA1844" s="374" t="b">
        <f t="shared" si="433"/>
        <v>1</v>
      </c>
      <c r="AB1844" s="374">
        <f>COUNTIFS(B:B,B1844,H:H,'סיווג התפקידים והעלויות'!$C$2)</f>
        <v>0</v>
      </c>
      <c r="AC1844" s="374">
        <f>COUNTIFS(B:B,B1844,H:H,'סיווג התפקידים והעלויות'!$D$2)</f>
        <v>0</v>
      </c>
      <c r="AD1844" s="374" t="str">
        <f>IF(OR(AND(H1844='סיווג התפקידים והעלויות'!$A$2,I1844='סיווג התפקידים והעלויות'!$A$3),'עלויות כח אדם (6)'!H1844='סיווג התפקידים והעלויות'!$C$2,'עלויות כח אדם (6)'!H1844='סיווג התפקידים והעלויות'!$D$2),IF('עלויות כח אדם (6)'!J1844&lt;75,"לא תקין","תקין"),"")</f>
        <v/>
      </c>
      <c r="AE1844" s="374" t="str">
        <f t="shared" si="434"/>
        <v/>
      </c>
      <c r="AF1844" s="532" t="str">
        <f t="shared" si="435"/>
        <v/>
      </c>
    </row>
    <row r="1845" spans="2:32" x14ac:dyDescent="0.25">
      <c r="B1845" s="695"/>
      <c r="C1845" s="197" t="str">
        <f>IF(B1845&lt;&gt;"",IFERROR(VLOOKUP(B:B,'מצבת והרשמה (2)'!$C$20:$N$520,2,0)," ")," ")</f>
        <v xml:space="preserve"> </v>
      </c>
      <c r="D1845" s="695"/>
      <c r="E1845" s="696"/>
      <c r="F1845" s="696"/>
      <c r="G1845" s="696"/>
      <c r="H1845" s="696"/>
      <c r="I1845" s="1050" t="str">
        <f t="shared" si="422"/>
        <v/>
      </c>
      <c r="J1845" s="696"/>
      <c r="K1845" s="697"/>
      <c r="L1845" s="696"/>
      <c r="M1845" s="198" t="str">
        <f t="shared" si="423"/>
        <v/>
      </c>
      <c r="N1845" s="369" t="str">
        <f t="shared" si="424"/>
        <v/>
      </c>
      <c r="O1845" s="183" t="str">
        <f t="shared" si="425"/>
        <v/>
      </c>
      <c r="P1845" s="199" t="str">
        <f t="shared" si="426"/>
        <v/>
      </c>
      <c r="Q1845" s="199" t="str">
        <f>IF(B1845="","",IFERROR(IF('עלויות כח אדם (6)'!J1845&gt;=VLOOKUP(I1845,'סיווג התפקידים והעלויות'!$B$23:$C$32,2,0),"תקין","לא תקין"),""))</f>
        <v/>
      </c>
      <c r="R1845" s="199" t="str">
        <f t="shared" si="427"/>
        <v/>
      </c>
      <c r="S1845" s="199" t="str">
        <f t="shared" si="428"/>
        <v/>
      </c>
      <c r="T1845" s="199" t="str">
        <f t="shared" si="436"/>
        <v/>
      </c>
      <c r="U1845" s="199" t="str">
        <f t="shared" si="429"/>
        <v/>
      </c>
      <c r="V1845" s="989"/>
      <c r="X1845" s="374" t="str">
        <f t="shared" si="430"/>
        <v/>
      </c>
      <c r="Y1845" s="375" t="str">
        <f t="shared" si="431"/>
        <v/>
      </c>
      <c r="Z1845" s="374" t="str">
        <f t="shared" si="432"/>
        <v/>
      </c>
      <c r="AA1845" s="374" t="b">
        <f t="shared" si="433"/>
        <v>1</v>
      </c>
      <c r="AB1845" s="374">
        <f>COUNTIFS(B:B,B1845,H:H,'סיווג התפקידים והעלויות'!$C$2)</f>
        <v>0</v>
      </c>
      <c r="AC1845" s="374">
        <f>COUNTIFS(B:B,B1845,H:H,'סיווג התפקידים והעלויות'!$D$2)</f>
        <v>0</v>
      </c>
      <c r="AD1845" s="374" t="str">
        <f>IF(OR(AND(H1845='סיווג התפקידים והעלויות'!$A$2,I1845='סיווג התפקידים והעלויות'!$A$3),'עלויות כח אדם (6)'!H1845='סיווג התפקידים והעלויות'!$C$2,'עלויות כח אדם (6)'!H1845='סיווג התפקידים והעלויות'!$D$2),IF('עלויות כח אדם (6)'!J1845&lt;75,"לא תקין","תקין"),"")</f>
        <v/>
      </c>
      <c r="AE1845" s="374" t="str">
        <f t="shared" si="434"/>
        <v/>
      </c>
      <c r="AF1845" s="532" t="str">
        <f t="shared" si="435"/>
        <v/>
      </c>
    </row>
    <row r="1846" spans="2:32" x14ac:dyDescent="0.25">
      <c r="B1846" s="695"/>
      <c r="C1846" s="197" t="str">
        <f>IF(B1846&lt;&gt;"",IFERROR(VLOOKUP(B:B,'מצבת והרשמה (2)'!$C$20:$N$520,2,0)," ")," ")</f>
        <v xml:space="preserve"> </v>
      </c>
      <c r="D1846" s="695"/>
      <c r="E1846" s="696"/>
      <c r="F1846" s="696"/>
      <c r="G1846" s="696"/>
      <c r="H1846" s="696"/>
      <c r="I1846" s="1050" t="str">
        <f t="shared" si="422"/>
        <v/>
      </c>
      <c r="J1846" s="696"/>
      <c r="K1846" s="697"/>
      <c r="L1846" s="696"/>
      <c r="M1846" s="198" t="str">
        <f t="shared" si="423"/>
        <v/>
      </c>
      <c r="N1846" s="369" t="str">
        <f t="shared" si="424"/>
        <v/>
      </c>
      <c r="O1846" s="183" t="str">
        <f t="shared" si="425"/>
        <v/>
      </c>
      <c r="P1846" s="199" t="str">
        <f t="shared" si="426"/>
        <v/>
      </c>
      <c r="Q1846" s="199" t="str">
        <f>IF(B1846="","",IFERROR(IF('עלויות כח אדם (6)'!J1846&gt;=VLOOKUP(I1846,'סיווג התפקידים והעלויות'!$B$23:$C$32,2,0),"תקין","לא תקין"),""))</f>
        <v/>
      </c>
      <c r="R1846" s="199" t="str">
        <f t="shared" si="427"/>
        <v/>
      </c>
      <c r="S1846" s="199" t="str">
        <f t="shared" si="428"/>
        <v/>
      </c>
      <c r="T1846" s="199" t="str">
        <f t="shared" si="436"/>
        <v/>
      </c>
      <c r="U1846" s="199" t="str">
        <f t="shared" si="429"/>
        <v/>
      </c>
      <c r="V1846" s="989"/>
      <c r="X1846" s="374" t="str">
        <f t="shared" si="430"/>
        <v/>
      </c>
      <c r="Y1846" s="375" t="str">
        <f t="shared" si="431"/>
        <v/>
      </c>
      <c r="Z1846" s="374" t="str">
        <f t="shared" si="432"/>
        <v/>
      </c>
      <c r="AA1846" s="374" t="b">
        <f t="shared" si="433"/>
        <v>1</v>
      </c>
      <c r="AB1846" s="374">
        <f>COUNTIFS(B:B,B1846,H:H,'סיווג התפקידים והעלויות'!$C$2)</f>
        <v>0</v>
      </c>
      <c r="AC1846" s="374">
        <f>COUNTIFS(B:B,B1846,H:H,'סיווג התפקידים והעלויות'!$D$2)</f>
        <v>0</v>
      </c>
      <c r="AD1846" s="374" t="str">
        <f>IF(OR(AND(H1846='סיווג התפקידים והעלויות'!$A$2,I1846='סיווג התפקידים והעלויות'!$A$3),'עלויות כח אדם (6)'!H1846='סיווג התפקידים והעלויות'!$C$2,'עלויות כח אדם (6)'!H1846='סיווג התפקידים והעלויות'!$D$2),IF('עלויות כח אדם (6)'!J1846&lt;75,"לא תקין","תקין"),"")</f>
        <v/>
      </c>
      <c r="AE1846" s="374" t="str">
        <f t="shared" si="434"/>
        <v/>
      </c>
      <c r="AF1846" s="532" t="str">
        <f t="shared" si="435"/>
        <v/>
      </c>
    </row>
    <row r="1847" spans="2:32" x14ac:dyDescent="0.25">
      <c r="B1847" s="695"/>
      <c r="C1847" s="197" t="str">
        <f>IF(B1847&lt;&gt;"",IFERROR(VLOOKUP(B:B,'מצבת והרשמה (2)'!$C$20:$N$520,2,0)," ")," ")</f>
        <v xml:space="preserve"> </v>
      </c>
      <c r="D1847" s="695"/>
      <c r="E1847" s="696"/>
      <c r="F1847" s="696"/>
      <c r="G1847" s="696"/>
      <c r="H1847" s="696"/>
      <c r="I1847" s="1050" t="str">
        <f t="shared" si="422"/>
        <v/>
      </c>
      <c r="J1847" s="696"/>
      <c r="K1847" s="697"/>
      <c r="L1847" s="696"/>
      <c r="M1847" s="198" t="str">
        <f t="shared" si="423"/>
        <v/>
      </c>
      <c r="N1847" s="369" t="str">
        <f t="shared" si="424"/>
        <v/>
      </c>
      <c r="O1847" s="183" t="str">
        <f t="shared" si="425"/>
        <v/>
      </c>
      <c r="P1847" s="199" t="str">
        <f t="shared" si="426"/>
        <v/>
      </c>
      <c r="Q1847" s="199" t="str">
        <f>IF(B1847="","",IFERROR(IF('עלויות כח אדם (6)'!J1847&gt;=VLOOKUP(I1847,'סיווג התפקידים והעלויות'!$B$23:$C$32,2,0),"תקין","לא תקין"),""))</f>
        <v/>
      </c>
      <c r="R1847" s="199" t="str">
        <f t="shared" si="427"/>
        <v/>
      </c>
      <c r="S1847" s="199" t="str">
        <f t="shared" si="428"/>
        <v/>
      </c>
      <c r="T1847" s="199" t="str">
        <f t="shared" si="436"/>
        <v/>
      </c>
      <c r="U1847" s="199" t="str">
        <f t="shared" si="429"/>
        <v/>
      </c>
      <c r="V1847" s="989"/>
      <c r="X1847" s="374" t="str">
        <f t="shared" si="430"/>
        <v/>
      </c>
      <c r="Y1847" s="375" t="str">
        <f t="shared" si="431"/>
        <v/>
      </c>
      <c r="Z1847" s="374" t="str">
        <f t="shared" si="432"/>
        <v/>
      </c>
      <c r="AA1847" s="374" t="b">
        <f t="shared" si="433"/>
        <v>1</v>
      </c>
      <c r="AB1847" s="374">
        <f>COUNTIFS(B:B,B1847,H:H,'סיווג התפקידים והעלויות'!$C$2)</f>
        <v>0</v>
      </c>
      <c r="AC1847" s="374">
        <f>COUNTIFS(B:B,B1847,H:H,'סיווג התפקידים והעלויות'!$D$2)</f>
        <v>0</v>
      </c>
      <c r="AD1847" s="374" t="str">
        <f>IF(OR(AND(H1847='סיווג התפקידים והעלויות'!$A$2,I1847='סיווג התפקידים והעלויות'!$A$3),'עלויות כח אדם (6)'!H1847='סיווג התפקידים והעלויות'!$C$2,'עלויות כח אדם (6)'!H1847='סיווג התפקידים והעלויות'!$D$2),IF('עלויות כח אדם (6)'!J1847&lt;75,"לא תקין","תקין"),"")</f>
        <v/>
      </c>
      <c r="AE1847" s="374" t="str">
        <f t="shared" si="434"/>
        <v/>
      </c>
      <c r="AF1847" s="532" t="str">
        <f t="shared" si="435"/>
        <v/>
      </c>
    </row>
    <row r="1848" spans="2:32" x14ac:dyDescent="0.25">
      <c r="B1848" s="695"/>
      <c r="C1848" s="197" t="str">
        <f>IF(B1848&lt;&gt;"",IFERROR(VLOOKUP(B:B,'מצבת והרשמה (2)'!$C$20:$N$520,2,0)," ")," ")</f>
        <v xml:space="preserve"> </v>
      </c>
      <c r="D1848" s="695"/>
      <c r="E1848" s="696"/>
      <c r="F1848" s="696"/>
      <c r="G1848" s="696"/>
      <c r="H1848" s="696"/>
      <c r="I1848" s="1050" t="str">
        <f t="shared" si="422"/>
        <v/>
      </c>
      <c r="J1848" s="696"/>
      <c r="K1848" s="697"/>
      <c r="L1848" s="696"/>
      <c r="M1848" s="198" t="str">
        <f t="shared" si="423"/>
        <v/>
      </c>
      <c r="N1848" s="369" t="str">
        <f t="shared" si="424"/>
        <v/>
      </c>
      <c r="O1848" s="183" t="str">
        <f t="shared" si="425"/>
        <v/>
      </c>
      <c r="P1848" s="199" t="str">
        <f t="shared" si="426"/>
        <v/>
      </c>
      <c r="Q1848" s="199" t="str">
        <f>IF(B1848="","",IFERROR(IF('עלויות כח אדם (6)'!J1848&gt;=VLOOKUP(I1848,'סיווג התפקידים והעלויות'!$B$23:$C$32,2,0),"תקין","לא תקין"),""))</f>
        <v/>
      </c>
      <c r="R1848" s="199" t="str">
        <f t="shared" si="427"/>
        <v/>
      </c>
      <c r="S1848" s="199" t="str">
        <f t="shared" si="428"/>
        <v/>
      </c>
      <c r="T1848" s="199" t="str">
        <f t="shared" si="436"/>
        <v/>
      </c>
      <c r="U1848" s="199" t="str">
        <f t="shared" si="429"/>
        <v/>
      </c>
      <c r="V1848" s="989"/>
      <c r="X1848" s="374" t="str">
        <f t="shared" si="430"/>
        <v/>
      </c>
      <c r="Y1848" s="375" t="str">
        <f t="shared" si="431"/>
        <v/>
      </c>
      <c r="Z1848" s="374" t="str">
        <f t="shared" si="432"/>
        <v/>
      </c>
      <c r="AA1848" s="374" t="b">
        <f t="shared" si="433"/>
        <v>1</v>
      </c>
      <c r="AB1848" s="374">
        <f>COUNTIFS(B:B,B1848,H:H,'סיווג התפקידים והעלויות'!$C$2)</f>
        <v>0</v>
      </c>
      <c r="AC1848" s="374">
        <f>COUNTIFS(B:B,B1848,H:H,'סיווג התפקידים והעלויות'!$D$2)</f>
        <v>0</v>
      </c>
      <c r="AD1848" s="374" t="str">
        <f>IF(OR(AND(H1848='סיווג התפקידים והעלויות'!$A$2,I1848='סיווג התפקידים והעלויות'!$A$3),'עלויות כח אדם (6)'!H1848='סיווג התפקידים והעלויות'!$C$2,'עלויות כח אדם (6)'!H1848='סיווג התפקידים והעלויות'!$D$2),IF('עלויות כח אדם (6)'!J1848&lt;75,"לא תקין","תקין"),"")</f>
        <v/>
      </c>
      <c r="AE1848" s="374" t="str">
        <f t="shared" si="434"/>
        <v/>
      </c>
      <c r="AF1848" s="532" t="str">
        <f t="shared" si="435"/>
        <v/>
      </c>
    </row>
    <row r="1849" spans="2:32" x14ac:dyDescent="0.25">
      <c r="B1849" s="695"/>
      <c r="C1849" s="197" t="str">
        <f>IF(B1849&lt;&gt;"",IFERROR(VLOOKUP(B:B,'מצבת והרשמה (2)'!$C$20:$N$520,2,0)," ")," ")</f>
        <v xml:space="preserve"> </v>
      </c>
      <c r="D1849" s="695"/>
      <c r="E1849" s="696"/>
      <c r="F1849" s="696"/>
      <c r="G1849" s="696"/>
      <c r="H1849" s="696"/>
      <c r="I1849" s="1050" t="str">
        <f t="shared" si="422"/>
        <v/>
      </c>
      <c r="J1849" s="696"/>
      <c r="K1849" s="697"/>
      <c r="L1849" s="696"/>
      <c r="M1849" s="198" t="str">
        <f t="shared" si="423"/>
        <v/>
      </c>
      <c r="N1849" s="369" t="str">
        <f t="shared" si="424"/>
        <v/>
      </c>
      <c r="O1849" s="183" t="str">
        <f t="shared" si="425"/>
        <v/>
      </c>
      <c r="P1849" s="199" t="str">
        <f t="shared" si="426"/>
        <v/>
      </c>
      <c r="Q1849" s="199" t="str">
        <f>IF(B1849="","",IFERROR(IF('עלויות כח אדם (6)'!J1849&gt;=VLOOKUP(I1849,'סיווג התפקידים והעלויות'!$B$23:$C$32,2,0),"תקין","לא תקין"),""))</f>
        <v/>
      </c>
      <c r="R1849" s="199" t="str">
        <f t="shared" si="427"/>
        <v/>
      </c>
      <c r="S1849" s="199" t="str">
        <f t="shared" si="428"/>
        <v/>
      </c>
      <c r="T1849" s="199" t="str">
        <f t="shared" si="436"/>
        <v/>
      </c>
      <c r="U1849" s="199" t="str">
        <f t="shared" si="429"/>
        <v/>
      </c>
      <c r="V1849" s="989"/>
      <c r="X1849" s="374" t="str">
        <f t="shared" si="430"/>
        <v/>
      </c>
      <c r="Y1849" s="375" t="str">
        <f t="shared" si="431"/>
        <v/>
      </c>
      <c r="Z1849" s="374" t="str">
        <f t="shared" si="432"/>
        <v/>
      </c>
      <c r="AA1849" s="374" t="b">
        <f t="shared" si="433"/>
        <v>1</v>
      </c>
      <c r="AB1849" s="374">
        <f>COUNTIFS(B:B,B1849,H:H,'סיווג התפקידים והעלויות'!$C$2)</f>
        <v>0</v>
      </c>
      <c r="AC1849" s="374">
        <f>COUNTIFS(B:B,B1849,H:H,'סיווג התפקידים והעלויות'!$D$2)</f>
        <v>0</v>
      </c>
      <c r="AD1849" s="374" t="str">
        <f>IF(OR(AND(H1849='סיווג התפקידים והעלויות'!$A$2,I1849='סיווג התפקידים והעלויות'!$A$3),'עלויות כח אדם (6)'!H1849='סיווג התפקידים והעלויות'!$C$2,'עלויות כח אדם (6)'!H1849='סיווג התפקידים והעלויות'!$D$2),IF('עלויות כח אדם (6)'!J1849&lt;75,"לא תקין","תקין"),"")</f>
        <v/>
      </c>
      <c r="AE1849" s="374" t="str">
        <f t="shared" si="434"/>
        <v/>
      </c>
      <c r="AF1849" s="532" t="str">
        <f t="shared" si="435"/>
        <v/>
      </c>
    </row>
    <row r="1850" spans="2:32" x14ac:dyDescent="0.25">
      <c r="B1850" s="695"/>
      <c r="C1850" s="197" t="str">
        <f>IF(B1850&lt;&gt;"",IFERROR(VLOOKUP(B:B,'מצבת והרשמה (2)'!$C$20:$N$520,2,0)," ")," ")</f>
        <v xml:space="preserve"> </v>
      </c>
      <c r="D1850" s="695"/>
      <c r="E1850" s="696"/>
      <c r="F1850" s="696"/>
      <c r="G1850" s="696"/>
      <c r="H1850" s="696"/>
      <c r="I1850" s="1050" t="str">
        <f t="shared" si="422"/>
        <v/>
      </c>
      <c r="J1850" s="696"/>
      <c r="K1850" s="697"/>
      <c r="L1850" s="696"/>
      <c r="M1850" s="198" t="str">
        <f t="shared" si="423"/>
        <v/>
      </c>
      <c r="N1850" s="369" t="str">
        <f t="shared" si="424"/>
        <v/>
      </c>
      <c r="O1850" s="183" t="str">
        <f t="shared" si="425"/>
        <v/>
      </c>
      <c r="P1850" s="199" t="str">
        <f t="shared" si="426"/>
        <v/>
      </c>
      <c r="Q1850" s="199" t="str">
        <f>IF(B1850="","",IFERROR(IF('עלויות כח אדם (6)'!J1850&gt;=VLOOKUP(I1850,'סיווג התפקידים והעלויות'!$B$23:$C$32,2,0),"תקין","לא תקין"),""))</f>
        <v/>
      </c>
      <c r="R1850" s="199" t="str">
        <f t="shared" si="427"/>
        <v/>
      </c>
      <c r="S1850" s="199" t="str">
        <f t="shared" si="428"/>
        <v/>
      </c>
      <c r="T1850" s="199" t="str">
        <f t="shared" si="436"/>
        <v/>
      </c>
      <c r="U1850" s="199" t="str">
        <f t="shared" si="429"/>
        <v/>
      </c>
      <c r="V1850" s="989"/>
      <c r="X1850" s="374" t="str">
        <f t="shared" si="430"/>
        <v/>
      </c>
      <c r="Y1850" s="375" t="str">
        <f t="shared" si="431"/>
        <v/>
      </c>
      <c r="Z1850" s="374" t="str">
        <f t="shared" si="432"/>
        <v/>
      </c>
      <c r="AA1850" s="374" t="b">
        <f t="shared" si="433"/>
        <v>1</v>
      </c>
      <c r="AB1850" s="374">
        <f>COUNTIFS(B:B,B1850,H:H,'סיווג התפקידים והעלויות'!$C$2)</f>
        <v>0</v>
      </c>
      <c r="AC1850" s="374">
        <f>COUNTIFS(B:B,B1850,H:H,'סיווג התפקידים והעלויות'!$D$2)</f>
        <v>0</v>
      </c>
      <c r="AD1850" s="374" t="str">
        <f>IF(OR(AND(H1850='סיווג התפקידים והעלויות'!$A$2,I1850='סיווג התפקידים והעלויות'!$A$3),'עלויות כח אדם (6)'!H1850='סיווג התפקידים והעלויות'!$C$2,'עלויות כח אדם (6)'!H1850='סיווג התפקידים והעלויות'!$D$2),IF('עלויות כח אדם (6)'!J1850&lt;75,"לא תקין","תקין"),"")</f>
        <v/>
      </c>
      <c r="AE1850" s="374" t="str">
        <f t="shared" si="434"/>
        <v/>
      </c>
      <c r="AF1850" s="532" t="str">
        <f t="shared" si="435"/>
        <v/>
      </c>
    </row>
    <row r="1851" spans="2:32" x14ac:dyDescent="0.25">
      <c r="B1851" s="695"/>
      <c r="C1851" s="197" t="str">
        <f>IF(B1851&lt;&gt;"",IFERROR(VLOOKUP(B:B,'מצבת והרשמה (2)'!$C$20:$N$520,2,0)," ")," ")</f>
        <v xml:space="preserve"> </v>
      </c>
      <c r="D1851" s="695"/>
      <c r="E1851" s="696"/>
      <c r="F1851" s="696"/>
      <c r="G1851" s="696"/>
      <c r="H1851" s="696"/>
      <c r="I1851" s="1050" t="str">
        <f t="shared" si="422"/>
        <v/>
      </c>
      <c r="J1851" s="696"/>
      <c r="K1851" s="697"/>
      <c r="L1851" s="696"/>
      <c r="M1851" s="198" t="str">
        <f t="shared" si="423"/>
        <v/>
      </c>
      <c r="N1851" s="369" t="str">
        <f t="shared" si="424"/>
        <v/>
      </c>
      <c r="O1851" s="183" t="str">
        <f t="shared" si="425"/>
        <v/>
      </c>
      <c r="P1851" s="199" t="str">
        <f t="shared" si="426"/>
        <v/>
      </c>
      <c r="Q1851" s="199" t="str">
        <f>IF(B1851="","",IFERROR(IF('עלויות כח אדם (6)'!J1851&gt;=VLOOKUP(I1851,'סיווג התפקידים והעלויות'!$B$23:$C$32,2,0),"תקין","לא תקין"),""))</f>
        <v/>
      </c>
      <c r="R1851" s="199" t="str">
        <f t="shared" si="427"/>
        <v/>
      </c>
      <c r="S1851" s="199" t="str">
        <f t="shared" si="428"/>
        <v/>
      </c>
      <c r="T1851" s="199" t="str">
        <f t="shared" si="436"/>
        <v/>
      </c>
      <c r="U1851" s="199" t="str">
        <f t="shared" si="429"/>
        <v/>
      </c>
      <c r="V1851" s="989"/>
      <c r="X1851" s="374" t="str">
        <f t="shared" si="430"/>
        <v/>
      </c>
      <c r="Y1851" s="375" t="str">
        <f t="shared" si="431"/>
        <v/>
      </c>
      <c r="Z1851" s="374" t="str">
        <f t="shared" si="432"/>
        <v/>
      </c>
      <c r="AA1851" s="374" t="b">
        <f t="shared" si="433"/>
        <v>1</v>
      </c>
      <c r="AB1851" s="374">
        <f>COUNTIFS(B:B,B1851,H:H,'סיווג התפקידים והעלויות'!$C$2)</f>
        <v>0</v>
      </c>
      <c r="AC1851" s="374">
        <f>COUNTIFS(B:B,B1851,H:H,'סיווג התפקידים והעלויות'!$D$2)</f>
        <v>0</v>
      </c>
      <c r="AD1851" s="374" t="str">
        <f>IF(OR(AND(H1851='סיווג התפקידים והעלויות'!$A$2,I1851='סיווג התפקידים והעלויות'!$A$3),'עלויות כח אדם (6)'!H1851='סיווג התפקידים והעלויות'!$C$2,'עלויות כח אדם (6)'!H1851='סיווג התפקידים והעלויות'!$D$2),IF('עלויות כח אדם (6)'!J1851&lt;75,"לא תקין","תקין"),"")</f>
        <v/>
      </c>
      <c r="AE1851" s="374" t="str">
        <f t="shared" si="434"/>
        <v/>
      </c>
      <c r="AF1851" s="532" t="str">
        <f t="shared" si="435"/>
        <v/>
      </c>
    </row>
    <row r="1852" spans="2:32" x14ac:dyDescent="0.25">
      <c r="B1852" s="695"/>
      <c r="C1852" s="197" t="str">
        <f>IF(B1852&lt;&gt;"",IFERROR(VLOOKUP(B:B,'מצבת והרשמה (2)'!$C$20:$N$520,2,0)," ")," ")</f>
        <v xml:space="preserve"> </v>
      </c>
      <c r="D1852" s="695"/>
      <c r="E1852" s="696"/>
      <c r="F1852" s="696"/>
      <c r="G1852" s="696"/>
      <c r="H1852" s="696"/>
      <c r="I1852" s="1050" t="str">
        <f t="shared" si="422"/>
        <v/>
      </c>
      <c r="J1852" s="696"/>
      <c r="K1852" s="697"/>
      <c r="L1852" s="696"/>
      <c r="M1852" s="198" t="str">
        <f t="shared" si="423"/>
        <v/>
      </c>
      <c r="N1852" s="369" t="str">
        <f t="shared" si="424"/>
        <v/>
      </c>
      <c r="O1852" s="183" t="str">
        <f t="shared" si="425"/>
        <v/>
      </c>
      <c r="P1852" s="199" t="str">
        <f t="shared" si="426"/>
        <v/>
      </c>
      <c r="Q1852" s="199" t="str">
        <f>IF(B1852="","",IFERROR(IF('עלויות כח אדם (6)'!J1852&gt;=VLOOKUP(I1852,'סיווג התפקידים והעלויות'!$B$23:$C$32,2,0),"תקין","לא תקין"),""))</f>
        <v/>
      </c>
      <c r="R1852" s="199" t="str">
        <f t="shared" si="427"/>
        <v/>
      </c>
      <c r="S1852" s="199" t="str">
        <f t="shared" si="428"/>
        <v/>
      </c>
      <c r="T1852" s="199" t="str">
        <f t="shared" si="436"/>
        <v/>
      </c>
      <c r="U1852" s="199" t="str">
        <f t="shared" si="429"/>
        <v/>
      </c>
      <c r="V1852" s="989"/>
      <c r="X1852" s="374" t="str">
        <f t="shared" si="430"/>
        <v/>
      </c>
      <c r="Y1852" s="375" t="str">
        <f t="shared" si="431"/>
        <v/>
      </c>
      <c r="Z1852" s="374" t="str">
        <f t="shared" si="432"/>
        <v/>
      </c>
      <c r="AA1852" s="374" t="b">
        <f t="shared" si="433"/>
        <v>1</v>
      </c>
      <c r="AB1852" s="374">
        <f>COUNTIFS(B:B,B1852,H:H,'סיווג התפקידים והעלויות'!$C$2)</f>
        <v>0</v>
      </c>
      <c r="AC1852" s="374">
        <f>COUNTIFS(B:B,B1852,H:H,'סיווג התפקידים והעלויות'!$D$2)</f>
        <v>0</v>
      </c>
      <c r="AD1852" s="374" t="str">
        <f>IF(OR(AND(H1852='סיווג התפקידים והעלויות'!$A$2,I1852='סיווג התפקידים והעלויות'!$A$3),'עלויות כח אדם (6)'!H1852='סיווג התפקידים והעלויות'!$C$2,'עלויות כח אדם (6)'!H1852='סיווג התפקידים והעלויות'!$D$2),IF('עלויות כח אדם (6)'!J1852&lt;75,"לא תקין","תקין"),"")</f>
        <v/>
      </c>
      <c r="AE1852" s="374" t="str">
        <f t="shared" si="434"/>
        <v/>
      </c>
      <c r="AF1852" s="532" t="str">
        <f t="shared" si="435"/>
        <v/>
      </c>
    </row>
    <row r="1853" spans="2:32" x14ac:dyDescent="0.25">
      <c r="B1853" s="695"/>
      <c r="C1853" s="197" t="str">
        <f>IF(B1853&lt;&gt;"",IFERROR(VLOOKUP(B:B,'מצבת והרשמה (2)'!$C$20:$N$520,2,0)," ")," ")</f>
        <v xml:space="preserve"> </v>
      </c>
      <c r="D1853" s="695"/>
      <c r="E1853" s="696"/>
      <c r="F1853" s="696"/>
      <c r="G1853" s="696"/>
      <c r="H1853" s="696"/>
      <c r="I1853" s="1050" t="str">
        <f t="shared" si="422"/>
        <v/>
      </c>
      <c r="J1853" s="696"/>
      <c r="K1853" s="697"/>
      <c r="L1853" s="696"/>
      <c r="M1853" s="198" t="str">
        <f t="shared" si="423"/>
        <v/>
      </c>
      <c r="N1853" s="369" t="str">
        <f t="shared" si="424"/>
        <v/>
      </c>
      <c r="O1853" s="183" t="str">
        <f t="shared" si="425"/>
        <v/>
      </c>
      <c r="P1853" s="199" t="str">
        <f t="shared" si="426"/>
        <v/>
      </c>
      <c r="Q1853" s="199" t="str">
        <f>IF(B1853="","",IFERROR(IF('עלויות כח אדם (6)'!J1853&gt;=VLOOKUP(I1853,'סיווג התפקידים והעלויות'!$B$23:$C$32,2,0),"תקין","לא תקין"),""))</f>
        <v/>
      </c>
      <c r="R1853" s="199" t="str">
        <f t="shared" si="427"/>
        <v/>
      </c>
      <c r="S1853" s="199" t="str">
        <f t="shared" si="428"/>
        <v/>
      </c>
      <c r="T1853" s="199" t="str">
        <f t="shared" si="436"/>
        <v/>
      </c>
      <c r="U1853" s="199" t="str">
        <f t="shared" si="429"/>
        <v/>
      </c>
      <c r="V1853" s="989"/>
      <c r="X1853" s="374" t="str">
        <f t="shared" si="430"/>
        <v/>
      </c>
      <c r="Y1853" s="375" t="str">
        <f t="shared" si="431"/>
        <v/>
      </c>
      <c r="Z1853" s="374" t="str">
        <f t="shared" si="432"/>
        <v/>
      </c>
      <c r="AA1853" s="374" t="b">
        <f t="shared" si="433"/>
        <v>1</v>
      </c>
      <c r="AB1853" s="374">
        <f>COUNTIFS(B:B,B1853,H:H,'סיווג התפקידים והעלויות'!$C$2)</f>
        <v>0</v>
      </c>
      <c r="AC1853" s="374">
        <f>COUNTIFS(B:B,B1853,H:H,'סיווג התפקידים והעלויות'!$D$2)</f>
        <v>0</v>
      </c>
      <c r="AD1853" s="374" t="str">
        <f>IF(OR(AND(H1853='סיווג התפקידים והעלויות'!$A$2,I1853='סיווג התפקידים והעלויות'!$A$3),'עלויות כח אדם (6)'!H1853='סיווג התפקידים והעלויות'!$C$2,'עלויות כח אדם (6)'!H1853='סיווג התפקידים והעלויות'!$D$2),IF('עלויות כח אדם (6)'!J1853&lt;75,"לא תקין","תקין"),"")</f>
        <v/>
      </c>
      <c r="AE1853" s="374" t="str">
        <f t="shared" si="434"/>
        <v/>
      </c>
      <c r="AF1853" s="532" t="str">
        <f t="shared" si="435"/>
        <v/>
      </c>
    </row>
    <row r="1854" spans="2:32" x14ac:dyDescent="0.25">
      <c r="B1854" s="695"/>
      <c r="C1854" s="197" t="str">
        <f>IF(B1854&lt;&gt;"",IFERROR(VLOOKUP(B:B,'מצבת והרשמה (2)'!$C$20:$N$520,2,0)," ")," ")</f>
        <v xml:space="preserve"> </v>
      </c>
      <c r="D1854" s="695"/>
      <c r="E1854" s="696"/>
      <c r="F1854" s="696"/>
      <c r="G1854" s="696"/>
      <c r="H1854" s="696"/>
      <c r="I1854" s="1050" t="str">
        <f t="shared" si="422"/>
        <v/>
      </c>
      <c r="J1854" s="696"/>
      <c r="K1854" s="697"/>
      <c r="L1854" s="696"/>
      <c r="M1854" s="198" t="str">
        <f t="shared" si="423"/>
        <v/>
      </c>
      <c r="N1854" s="369" t="str">
        <f t="shared" si="424"/>
        <v/>
      </c>
      <c r="O1854" s="183" t="str">
        <f t="shared" si="425"/>
        <v/>
      </c>
      <c r="P1854" s="199" t="str">
        <f t="shared" si="426"/>
        <v/>
      </c>
      <c r="Q1854" s="199" t="str">
        <f>IF(B1854="","",IFERROR(IF('עלויות כח אדם (6)'!J1854&gt;=VLOOKUP(I1854,'סיווג התפקידים והעלויות'!$B$23:$C$32,2,0),"תקין","לא תקין"),""))</f>
        <v/>
      </c>
      <c r="R1854" s="199" t="str">
        <f t="shared" si="427"/>
        <v/>
      </c>
      <c r="S1854" s="199" t="str">
        <f t="shared" si="428"/>
        <v/>
      </c>
      <c r="T1854" s="199" t="str">
        <f t="shared" si="436"/>
        <v/>
      </c>
      <c r="U1854" s="199" t="str">
        <f t="shared" si="429"/>
        <v/>
      </c>
      <c r="V1854" s="989"/>
      <c r="X1854" s="374" t="str">
        <f t="shared" si="430"/>
        <v/>
      </c>
      <c r="Y1854" s="375" t="str">
        <f t="shared" si="431"/>
        <v/>
      </c>
      <c r="Z1854" s="374" t="str">
        <f t="shared" si="432"/>
        <v/>
      </c>
      <c r="AA1854" s="374" t="b">
        <f t="shared" si="433"/>
        <v>1</v>
      </c>
      <c r="AB1854" s="374">
        <f>COUNTIFS(B:B,B1854,H:H,'סיווג התפקידים והעלויות'!$C$2)</f>
        <v>0</v>
      </c>
      <c r="AC1854" s="374">
        <f>COUNTIFS(B:B,B1854,H:H,'סיווג התפקידים והעלויות'!$D$2)</f>
        <v>0</v>
      </c>
      <c r="AD1854" s="374" t="str">
        <f>IF(OR(AND(H1854='סיווג התפקידים והעלויות'!$A$2,I1854='סיווג התפקידים והעלויות'!$A$3),'עלויות כח אדם (6)'!H1854='סיווג התפקידים והעלויות'!$C$2,'עלויות כח אדם (6)'!H1854='סיווג התפקידים והעלויות'!$D$2),IF('עלויות כח אדם (6)'!J1854&lt;75,"לא תקין","תקין"),"")</f>
        <v/>
      </c>
      <c r="AE1854" s="374" t="str">
        <f t="shared" si="434"/>
        <v/>
      </c>
      <c r="AF1854" s="532" t="str">
        <f t="shared" si="435"/>
        <v/>
      </c>
    </row>
    <row r="1855" spans="2:32" x14ac:dyDescent="0.25">
      <c r="B1855" s="695"/>
      <c r="C1855" s="197" t="str">
        <f>IF(B1855&lt;&gt;"",IFERROR(VLOOKUP(B:B,'מצבת והרשמה (2)'!$C$20:$N$520,2,0)," ")," ")</f>
        <v xml:space="preserve"> </v>
      </c>
      <c r="D1855" s="695"/>
      <c r="E1855" s="696"/>
      <c r="F1855" s="696"/>
      <c r="G1855" s="696"/>
      <c r="H1855" s="696"/>
      <c r="I1855" s="1050" t="str">
        <f t="shared" si="422"/>
        <v/>
      </c>
      <c r="J1855" s="696"/>
      <c r="K1855" s="697"/>
      <c r="L1855" s="696"/>
      <c r="M1855" s="198" t="str">
        <f t="shared" si="423"/>
        <v/>
      </c>
      <c r="N1855" s="369" t="str">
        <f t="shared" si="424"/>
        <v/>
      </c>
      <c r="O1855" s="183" t="str">
        <f t="shared" si="425"/>
        <v/>
      </c>
      <c r="P1855" s="199" t="str">
        <f t="shared" si="426"/>
        <v/>
      </c>
      <c r="Q1855" s="199" t="str">
        <f>IF(B1855="","",IFERROR(IF('עלויות כח אדם (6)'!J1855&gt;=VLOOKUP(I1855,'סיווג התפקידים והעלויות'!$B$23:$C$32,2,0),"תקין","לא תקין"),""))</f>
        <v/>
      </c>
      <c r="R1855" s="199" t="str">
        <f t="shared" si="427"/>
        <v/>
      </c>
      <c r="S1855" s="199" t="str">
        <f t="shared" si="428"/>
        <v/>
      </c>
      <c r="T1855" s="199" t="str">
        <f t="shared" si="436"/>
        <v/>
      </c>
      <c r="U1855" s="199" t="str">
        <f t="shared" si="429"/>
        <v/>
      </c>
      <c r="V1855" s="989"/>
      <c r="X1855" s="374" t="str">
        <f t="shared" si="430"/>
        <v/>
      </c>
      <c r="Y1855" s="375" t="str">
        <f t="shared" si="431"/>
        <v/>
      </c>
      <c r="Z1855" s="374" t="str">
        <f t="shared" si="432"/>
        <v/>
      </c>
      <c r="AA1855" s="374" t="b">
        <f t="shared" si="433"/>
        <v>1</v>
      </c>
      <c r="AB1855" s="374">
        <f>COUNTIFS(B:B,B1855,H:H,'סיווג התפקידים והעלויות'!$C$2)</f>
        <v>0</v>
      </c>
      <c r="AC1855" s="374">
        <f>COUNTIFS(B:B,B1855,H:H,'סיווג התפקידים והעלויות'!$D$2)</f>
        <v>0</v>
      </c>
      <c r="AD1855" s="374" t="str">
        <f>IF(OR(AND(H1855='סיווג התפקידים והעלויות'!$A$2,I1855='סיווג התפקידים והעלויות'!$A$3),'עלויות כח אדם (6)'!H1855='סיווג התפקידים והעלויות'!$C$2,'עלויות כח אדם (6)'!H1855='סיווג התפקידים והעלויות'!$D$2),IF('עלויות כח אדם (6)'!J1855&lt;75,"לא תקין","תקין"),"")</f>
        <v/>
      </c>
      <c r="AE1855" s="374" t="str">
        <f t="shared" si="434"/>
        <v/>
      </c>
      <c r="AF1855" s="532" t="str">
        <f t="shared" si="435"/>
        <v/>
      </c>
    </row>
    <row r="1856" spans="2:32" x14ac:dyDescent="0.25">
      <c r="B1856" s="695"/>
      <c r="C1856" s="197" t="str">
        <f>IF(B1856&lt;&gt;"",IFERROR(VLOOKUP(B:B,'מצבת והרשמה (2)'!$C$20:$N$520,2,0)," ")," ")</f>
        <v xml:space="preserve"> </v>
      </c>
      <c r="D1856" s="695"/>
      <c r="E1856" s="696"/>
      <c r="F1856" s="696"/>
      <c r="G1856" s="696"/>
      <c r="H1856" s="696"/>
      <c r="I1856" s="1050" t="str">
        <f t="shared" si="422"/>
        <v/>
      </c>
      <c r="J1856" s="696"/>
      <c r="K1856" s="697"/>
      <c r="L1856" s="696"/>
      <c r="M1856" s="198" t="str">
        <f t="shared" si="423"/>
        <v/>
      </c>
      <c r="N1856" s="369" t="str">
        <f t="shared" si="424"/>
        <v/>
      </c>
      <c r="O1856" s="183" t="str">
        <f t="shared" si="425"/>
        <v/>
      </c>
      <c r="P1856" s="199" t="str">
        <f t="shared" si="426"/>
        <v/>
      </c>
      <c r="Q1856" s="199" t="str">
        <f>IF(B1856="","",IFERROR(IF('עלויות כח אדם (6)'!J1856&gt;=VLOOKUP(I1856,'סיווג התפקידים והעלויות'!$B$23:$C$32,2,0),"תקין","לא תקין"),""))</f>
        <v/>
      </c>
      <c r="R1856" s="199" t="str">
        <f t="shared" si="427"/>
        <v/>
      </c>
      <c r="S1856" s="199" t="str">
        <f t="shared" si="428"/>
        <v/>
      </c>
      <c r="T1856" s="199" t="str">
        <f t="shared" si="436"/>
        <v/>
      </c>
      <c r="U1856" s="199" t="str">
        <f t="shared" si="429"/>
        <v/>
      </c>
      <c r="V1856" s="989"/>
      <c r="X1856" s="374" t="str">
        <f t="shared" si="430"/>
        <v/>
      </c>
      <c r="Y1856" s="375" t="str">
        <f t="shared" si="431"/>
        <v/>
      </c>
      <c r="Z1856" s="374" t="str">
        <f t="shared" si="432"/>
        <v/>
      </c>
      <c r="AA1856" s="374" t="b">
        <f t="shared" si="433"/>
        <v>1</v>
      </c>
      <c r="AB1856" s="374">
        <f>COUNTIFS(B:B,B1856,H:H,'סיווג התפקידים והעלויות'!$C$2)</f>
        <v>0</v>
      </c>
      <c r="AC1856" s="374">
        <f>COUNTIFS(B:B,B1856,H:H,'סיווג התפקידים והעלויות'!$D$2)</f>
        <v>0</v>
      </c>
      <c r="AD1856" s="374" t="str">
        <f>IF(OR(AND(H1856='סיווג התפקידים והעלויות'!$A$2,I1856='סיווג התפקידים והעלויות'!$A$3),'עלויות כח אדם (6)'!H1856='סיווג התפקידים והעלויות'!$C$2,'עלויות כח אדם (6)'!H1856='סיווג התפקידים והעלויות'!$D$2),IF('עלויות כח אדם (6)'!J1856&lt;75,"לא תקין","תקין"),"")</f>
        <v/>
      </c>
      <c r="AE1856" s="374" t="str">
        <f t="shared" si="434"/>
        <v/>
      </c>
      <c r="AF1856" s="532" t="str">
        <f t="shared" si="435"/>
        <v/>
      </c>
    </row>
    <row r="1857" spans="2:32" x14ac:dyDescent="0.25">
      <c r="B1857" s="695"/>
      <c r="C1857" s="197" t="str">
        <f>IF(B1857&lt;&gt;"",IFERROR(VLOOKUP(B:B,'מצבת והרשמה (2)'!$C$20:$N$520,2,0)," ")," ")</f>
        <v xml:space="preserve"> </v>
      </c>
      <c r="D1857" s="695"/>
      <c r="E1857" s="696"/>
      <c r="F1857" s="696"/>
      <c r="G1857" s="696"/>
      <c r="H1857" s="696"/>
      <c r="I1857" s="1050" t="str">
        <f t="shared" si="422"/>
        <v/>
      </c>
      <c r="J1857" s="696"/>
      <c r="K1857" s="697"/>
      <c r="L1857" s="696"/>
      <c r="M1857" s="198" t="str">
        <f t="shared" si="423"/>
        <v/>
      </c>
      <c r="N1857" s="369" t="str">
        <f t="shared" si="424"/>
        <v/>
      </c>
      <c r="O1857" s="183" t="str">
        <f t="shared" si="425"/>
        <v/>
      </c>
      <c r="P1857" s="199" t="str">
        <f t="shared" si="426"/>
        <v/>
      </c>
      <c r="Q1857" s="199" t="str">
        <f>IF(B1857="","",IFERROR(IF('עלויות כח אדם (6)'!J1857&gt;=VLOOKUP(I1857,'סיווג התפקידים והעלויות'!$B$23:$C$32,2,0),"תקין","לא תקין"),""))</f>
        <v/>
      </c>
      <c r="R1857" s="199" t="str">
        <f t="shared" si="427"/>
        <v/>
      </c>
      <c r="S1857" s="199" t="str">
        <f t="shared" si="428"/>
        <v/>
      </c>
      <c r="T1857" s="199" t="str">
        <f t="shared" si="436"/>
        <v/>
      </c>
      <c r="U1857" s="199" t="str">
        <f t="shared" si="429"/>
        <v/>
      </c>
      <c r="V1857" s="989"/>
      <c r="X1857" s="374" t="str">
        <f t="shared" si="430"/>
        <v/>
      </c>
      <c r="Y1857" s="375" t="str">
        <f t="shared" si="431"/>
        <v/>
      </c>
      <c r="Z1857" s="374" t="str">
        <f t="shared" si="432"/>
        <v/>
      </c>
      <c r="AA1857" s="374" t="b">
        <f t="shared" si="433"/>
        <v>1</v>
      </c>
      <c r="AB1857" s="374">
        <f>COUNTIFS(B:B,B1857,H:H,'סיווג התפקידים והעלויות'!$C$2)</f>
        <v>0</v>
      </c>
      <c r="AC1857" s="374">
        <f>COUNTIFS(B:B,B1857,H:H,'סיווג התפקידים והעלויות'!$D$2)</f>
        <v>0</v>
      </c>
      <c r="AD1857" s="374" t="str">
        <f>IF(OR(AND(H1857='סיווג התפקידים והעלויות'!$A$2,I1857='סיווג התפקידים והעלויות'!$A$3),'עלויות כח אדם (6)'!H1857='סיווג התפקידים והעלויות'!$C$2,'עלויות כח אדם (6)'!H1857='סיווג התפקידים והעלויות'!$D$2),IF('עלויות כח אדם (6)'!J1857&lt;75,"לא תקין","תקין"),"")</f>
        <v/>
      </c>
      <c r="AE1857" s="374" t="str">
        <f t="shared" si="434"/>
        <v/>
      </c>
      <c r="AF1857" s="532" t="str">
        <f t="shared" si="435"/>
        <v/>
      </c>
    </row>
    <row r="1858" spans="2:32" x14ac:dyDescent="0.25">
      <c r="B1858" s="695"/>
      <c r="C1858" s="197" t="str">
        <f>IF(B1858&lt;&gt;"",IFERROR(VLOOKUP(B:B,'מצבת והרשמה (2)'!$C$20:$N$520,2,0)," ")," ")</f>
        <v xml:space="preserve"> </v>
      </c>
      <c r="D1858" s="695"/>
      <c r="E1858" s="696"/>
      <c r="F1858" s="696"/>
      <c r="G1858" s="696"/>
      <c r="H1858" s="696"/>
      <c r="I1858" s="1050" t="str">
        <f t="shared" si="422"/>
        <v/>
      </c>
      <c r="J1858" s="696"/>
      <c r="K1858" s="697"/>
      <c r="L1858" s="696"/>
      <c r="M1858" s="198" t="str">
        <f t="shared" si="423"/>
        <v/>
      </c>
      <c r="N1858" s="369" t="str">
        <f t="shared" si="424"/>
        <v/>
      </c>
      <c r="O1858" s="183" t="str">
        <f t="shared" si="425"/>
        <v/>
      </c>
      <c r="P1858" s="199" t="str">
        <f t="shared" si="426"/>
        <v/>
      </c>
      <c r="Q1858" s="199" t="str">
        <f>IF(B1858="","",IFERROR(IF('עלויות כח אדם (6)'!J1858&gt;=VLOOKUP(I1858,'סיווג התפקידים והעלויות'!$B$23:$C$32,2,0),"תקין","לא תקין"),""))</f>
        <v/>
      </c>
      <c r="R1858" s="199" t="str">
        <f t="shared" si="427"/>
        <v/>
      </c>
      <c r="S1858" s="199" t="str">
        <f t="shared" si="428"/>
        <v/>
      </c>
      <c r="T1858" s="199" t="str">
        <f t="shared" si="436"/>
        <v/>
      </c>
      <c r="U1858" s="199" t="str">
        <f t="shared" si="429"/>
        <v/>
      </c>
      <c r="V1858" s="989"/>
      <c r="X1858" s="374" t="str">
        <f t="shared" si="430"/>
        <v/>
      </c>
      <c r="Y1858" s="375" t="str">
        <f t="shared" si="431"/>
        <v/>
      </c>
      <c r="Z1858" s="374" t="str">
        <f t="shared" si="432"/>
        <v/>
      </c>
      <c r="AA1858" s="374" t="b">
        <f t="shared" si="433"/>
        <v>1</v>
      </c>
      <c r="AB1858" s="374">
        <f>COUNTIFS(B:B,B1858,H:H,'סיווג התפקידים והעלויות'!$C$2)</f>
        <v>0</v>
      </c>
      <c r="AC1858" s="374">
        <f>COUNTIFS(B:B,B1858,H:H,'סיווג התפקידים והעלויות'!$D$2)</f>
        <v>0</v>
      </c>
      <c r="AD1858" s="374" t="str">
        <f>IF(OR(AND(H1858='סיווג התפקידים והעלויות'!$A$2,I1858='סיווג התפקידים והעלויות'!$A$3),'עלויות כח אדם (6)'!H1858='סיווג התפקידים והעלויות'!$C$2,'עלויות כח אדם (6)'!H1858='סיווג התפקידים והעלויות'!$D$2),IF('עלויות כח אדם (6)'!J1858&lt;75,"לא תקין","תקין"),"")</f>
        <v/>
      </c>
      <c r="AE1858" s="374" t="str">
        <f t="shared" si="434"/>
        <v/>
      </c>
      <c r="AF1858" s="532" t="str">
        <f t="shared" si="435"/>
        <v/>
      </c>
    </row>
    <row r="1859" spans="2:32" x14ac:dyDescent="0.25">
      <c r="B1859" s="695"/>
      <c r="C1859" s="197" t="str">
        <f>IF(B1859&lt;&gt;"",IFERROR(VLOOKUP(B:B,'מצבת והרשמה (2)'!$C$20:$N$520,2,0)," ")," ")</f>
        <v xml:space="preserve"> </v>
      </c>
      <c r="D1859" s="695"/>
      <c r="E1859" s="696"/>
      <c r="F1859" s="696"/>
      <c r="G1859" s="696"/>
      <c r="H1859" s="696"/>
      <c r="I1859" s="1050" t="str">
        <f t="shared" si="422"/>
        <v/>
      </c>
      <c r="J1859" s="696"/>
      <c r="K1859" s="697"/>
      <c r="L1859" s="696"/>
      <c r="M1859" s="198" t="str">
        <f t="shared" si="423"/>
        <v/>
      </c>
      <c r="N1859" s="369" t="str">
        <f t="shared" si="424"/>
        <v/>
      </c>
      <c r="O1859" s="183" t="str">
        <f t="shared" si="425"/>
        <v/>
      </c>
      <c r="P1859" s="199" t="str">
        <f t="shared" si="426"/>
        <v/>
      </c>
      <c r="Q1859" s="199" t="str">
        <f>IF(B1859="","",IFERROR(IF('עלויות כח אדם (6)'!J1859&gt;=VLOOKUP(I1859,'סיווג התפקידים והעלויות'!$B$23:$C$32,2,0),"תקין","לא תקין"),""))</f>
        <v/>
      </c>
      <c r="R1859" s="199" t="str">
        <f t="shared" si="427"/>
        <v/>
      </c>
      <c r="S1859" s="199" t="str">
        <f t="shared" si="428"/>
        <v/>
      </c>
      <c r="T1859" s="199" t="str">
        <f t="shared" si="436"/>
        <v/>
      </c>
      <c r="U1859" s="199" t="str">
        <f t="shared" si="429"/>
        <v/>
      </c>
      <c r="V1859" s="989"/>
      <c r="X1859" s="374" t="str">
        <f t="shared" si="430"/>
        <v/>
      </c>
      <c r="Y1859" s="375" t="str">
        <f t="shared" si="431"/>
        <v/>
      </c>
      <c r="Z1859" s="374" t="str">
        <f t="shared" si="432"/>
        <v/>
      </c>
      <c r="AA1859" s="374" t="b">
        <f t="shared" si="433"/>
        <v>1</v>
      </c>
      <c r="AB1859" s="374">
        <f>COUNTIFS(B:B,B1859,H:H,'סיווג התפקידים והעלויות'!$C$2)</f>
        <v>0</v>
      </c>
      <c r="AC1859" s="374">
        <f>COUNTIFS(B:B,B1859,H:H,'סיווג התפקידים והעלויות'!$D$2)</f>
        <v>0</v>
      </c>
      <c r="AD1859" s="374" t="str">
        <f>IF(OR(AND(H1859='סיווג התפקידים והעלויות'!$A$2,I1859='סיווג התפקידים והעלויות'!$A$3),'עלויות כח אדם (6)'!H1859='סיווג התפקידים והעלויות'!$C$2,'עלויות כח אדם (6)'!H1859='סיווג התפקידים והעלויות'!$D$2),IF('עלויות כח אדם (6)'!J1859&lt;75,"לא תקין","תקין"),"")</f>
        <v/>
      </c>
      <c r="AE1859" s="374" t="str">
        <f t="shared" si="434"/>
        <v/>
      </c>
      <c r="AF1859" s="532" t="str">
        <f t="shared" si="435"/>
        <v/>
      </c>
    </row>
    <row r="1860" spans="2:32" x14ac:dyDescent="0.25">
      <c r="B1860" s="695"/>
      <c r="C1860" s="197" t="str">
        <f>IF(B1860&lt;&gt;"",IFERROR(VLOOKUP(B:B,'מצבת והרשמה (2)'!$C$20:$N$520,2,0)," ")," ")</f>
        <v xml:space="preserve"> </v>
      </c>
      <c r="D1860" s="695"/>
      <c r="E1860" s="696"/>
      <c r="F1860" s="696"/>
      <c r="G1860" s="696"/>
      <c r="H1860" s="696"/>
      <c r="I1860" s="1050" t="str">
        <f t="shared" si="422"/>
        <v/>
      </c>
      <c r="J1860" s="696"/>
      <c r="K1860" s="697"/>
      <c r="L1860" s="696"/>
      <c r="M1860" s="198" t="str">
        <f t="shared" si="423"/>
        <v/>
      </c>
      <c r="N1860" s="369" t="str">
        <f t="shared" si="424"/>
        <v/>
      </c>
      <c r="O1860" s="183" t="str">
        <f t="shared" si="425"/>
        <v/>
      </c>
      <c r="P1860" s="199" t="str">
        <f t="shared" si="426"/>
        <v/>
      </c>
      <c r="Q1860" s="199" t="str">
        <f>IF(B1860="","",IFERROR(IF('עלויות כח אדם (6)'!J1860&gt;=VLOOKUP(I1860,'סיווג התפקידים והעלויות'!$B$23:$C$32,2,0),"תקין","לא תקין"),""))</f>
        <v/>
      </c>
      <c r="R1860" s="199" t="str">
        <f t="shared" si="427"/>
        <v/>
      </c>
      <c r="S1860" s="199" t="str">
        <f t="shared" si="428"/>
        <v/>
      </c>
      <c r="T1860" s="199" t="str">
        <f t="shared" si="436"/>
        <v/>
      </c>
      <c r="U1860" s="199" t="str">
        <f t="shared" si="429"/>
        <v/>
      </c>
      <c r="V1860" s="989"/>
      <c r="X1860" s="374" t="str">
        <f t="shared" si="430"/>
        <v/>
      </c>
      <c r="Y1860" s="375" t="str">
        <f t="shared" si="431"/>
        <v/>
      </c>
      <c r="Z1860" s="374" t="str">
        <f t="shared" si="432"/>
        <v/>
      </c>
      <c r="AA1860" s="374" t="b">
        <f t="shared" si="433"/>
        <v>1</v>
      </c>
      <c r="AB1860" s="374">
        <f>COUNTIFS(B:B,B1860,H:H,'סיווג התפקידים והעלויות'!$C$2)</f>
        <v>0</v>
      </c>
      <c r="AC1860" s="374">
        <f>COUNTIFS(B:B,B1860,H:H,'סיווג התפקידים והעלויות'!$D$2)</f>
        <v>0</v>
      </c>
      <c r="AD1860" s="374" t="str">
        <f>IF(OR(AND(H1860='סיווג התפקידים והעלויות'!$A$2,I1860='סיווג התפקידים והעלויות'!$A$3),'עלויות כח אדם (6)'!H1860='סיווג התפקידים והעלויות'!$C$2,'עלויות כח אדם (6)'!H1860='סיווג התפקידים והעלויות'!$D$2),IF('עלויות כח אדם (6)'!J1860&lt;75,"לא תקין","תקין"),"")</f>
        <v/>
      </c>
      <c r="AE1860" s="374" t="str">
        <f t="shared" si="434"/>
        <v/>
      </c>
      <c r="AF1860" s="532" t="str">
        <f t="shared" si="435"/>
        <v/>
      </c>
    </row>
    <row r="1861" spans="2:32" x14ac:dyDescent="0.25">
      <c r="B1861" s="695"/>
      <c r="C1861" s="197" t="str">
        <f>IF(B1861&lt;&gt;"",IFERROR(VLOOKUP(B:B,'מצבת והרשמה (2)'!$C$20:$N$520,2,0)," ")," ")</f>
        <v xml:space="preserve"> </v>
      </c>
      <c r="D1861" s="695"/>
      <c r="E1861" s="696"/>
      <c r="F1861" s="696"/>
      <c r="G1861" s="696"/>
      <c r="H1861" s="696"/>
      <c r="I1861" s="1050" t="str">
        <f t="shared" si="422"/>
        <v/>
      </c>
      <c r="J1861" s="696"/>
      <c r="K1861" s="697"/>
      <c r="L1861" s="696"/>
      <c r="M1861" s="198" t="str">
        <f t="shared" si="423"/>
        <v/>
      </c>
      <c r="N1861" s="369" t="str">
        <f t="shared" si="424"/>
        <v/>
      </c>
      <c r="O1861" s="183" t="str">
        <f t="shared" si="425"/>
        <v/>
      </c>
      <c r="P1861" s="199" t="str">
        <f t="shared" si="426"/>
        <v/>
      </c>
      <c r="Q1861" s="199" t="str">
        <f>IF(B1861="","",IFERROR(IF('עלויות כח אדם (6)'!J1861&gt;=VLOOKUP(I1861,'סיווג התפקידים והעלויות'!$B$23:$C$32,2,0),"תקין","לא תקין"),""))</f>
        <v/>
      </c>
      <c r="R1861" s="199" t="str">
        <f t="shared" si="427"/>
        <v/>
      </c>
      <c r="S1861" s="199" t="str">
        <f t="shared" si="428"/>
        <v/>
      </c>
      <c r="T1861" s="199" t="str">
        <f t="shared" si="436"/>
        <v/>
      </c>
      <c r="U1861" s="199" t="str">
        <f t="shared" si="429"/>
        <v/>
      </c>
      <c r="V1861" s="989"/>
      <c r="X1861" s="374" t="str">
        <f t="shared" si="430"/>
        <v/>
      </c>
      <c r="Y1861" s="375" t="str">
        <f t="shared" si="431"/>
        <v/>
      </c>
      <c r="Z1861" s="374" t="str">
        <f t="shared" si="432"/>
        <v/>
      </c>
      <c r="AA1861" s="374" t="b">
        <f t="shared" si="433"/>
        <v>1</v>
      </c>
      <c r="AB1861" s="374">
        <f>COUNTIFS(B:B,B1861,H:H,'סיווג התפקידים והעלויות'!$C$2)</f>
        <v>0</v>
      </c>
      <c r="AC1861" s="374">
        <f>COUNTIFS(B:B,B1861,H:H,'סיווג התפקידים והעלויות'!$D$2)</f>
        <v>0</v>
      </c>
      <c r="AD1861" s="374" t="str">
        <f>IF(OR(AND(H1861='סיווג התפקידים והעלויות'!$A$2,I1861='סיווג התפקידים והעלויות'!$A$3),'עלויות כח אדם (6)'!H1861='סיווג התפקידים והעלויות'!$C$2,'עלויות כח אדם (6)'!H1861='סיווג התפקידים והעלויות'!$D$2),IF('עלויות כח אדם (6)'!J1861&lt;75,"לא תקין","תקין"),"")</f>
        <v/>
      </c>
      <c r="AE1861" s="374" t="str">
        <f t="shared" si="434"/>
        <v/>
      </c>
      <c r="AF1861" s="532" t="str">
        <f t="shared" si="435"/>
        <v/>
      </c>
    </row>
    <row r="1862" spans="2:32" x14ac:dyDescent="0.25">
      <c r="B1862" s="695"/>
      <c r="C1862" s="197" t="str">
        <f>IF(B1862&lt;&gt;"",IFERROR(VLOOKUP(B:B,'מצבת והרשמה (2)'!$C$20:$N$520,2,0)," ")," ")</f>
        <v xml:space="preserve"> </v>
      </c>
      <c r="D1862" s="695"/>
      <c r="E1862" s="696"/>
      <c r="F1862" s="696"/>
      <c r="G1862" s="696"/>
      <c r="H1862" s="696"/>
      <c r="I1862" s="1050" t="str">
        <f t="shared" si="422"/>
        <v/>
      </c>
      <c r="J1862" s="696"/>
      <c r="K1862" s="697"/>
      <c r="L1862" s="696"/>
      <c r="M1862" s="198" t="str">
        <f t="shared" si="423"/>
        <v/>
      </c>
      <c r="N1862" s="369" t="str">
        <f t="shared" si="424"/>
        <v/>
      </c>
      <c r="O1862" s="183" t="str">
        <f t="shared" si="425"/>
        <v/>
      </c>
      <c r="P1862" s="199" t="str">
        <f t="shared" si="426"/>
        <v/>
      </c>
      <c r="Q1862" s="199" t="str">
        <f>IF(B1862="","",IFERROR(IF('עלויות כח אדם (6)'!J1862&gt;=VLOOKUP(I1862,'סיווג התפקידים והעלויות'!$B$23:$C$32,2,0),"תקין","לא תקין"),""))</f>
        <v/>
      </c>
      <c r="R1862" s="199" t="str">
        <f t="shared" si="427"/>
        <v/>
      </c>
      <c r="S1862" s="199" t="str">
        <f t="shared" si="428"/>
        <v/>
      </c>
      <c r="T1862" s="199" t="str">
        <f t="shared" si="436"/>
        <v/>
      </c>
      <c r="U1862" s="199" t="str">
        <f t="shared" si="429"/>
        <v/>
      </c>
      <c r="V1862" s="989"/>
      <c r="X1862" s="374" t="str">
        <f t="shared" si="430"/>
        <v/>
      </c>
      <c r="Y1862" s="375" t="str">
        <f t="shared" si="431"/>
        <v/>
      </c>
      <c r="Z1862" s="374" t="str">
        <f t="shared" si="432"/>
        <v/>
      </c>
      <c r="AA1862" s="374" t="b">
        <f t="shared" si="433"/>
        <v>1</v>
      </c>
      <c r="AB1862" s="374">
        <f>COUNTIFS(B:B,B1862,H:H,'סיווג התפקידים והעלויות'!$C$2)</f>
        <v>0</v>
      </c>
      <c r="AC1862" s="374">
        <f>COUNTIFS(B:B,B1862,H:H,'סיווג התפקידים והעלויות'!$D$2)</f>
        <v>0</v>
      </c>
      <c r="AD1862" s="374" t="str">
        <f>IF(OR(AND(H1862='סיווג התפקידים והעלויות'!$A$2,I1862='סיווג התפקידים והעלויות'!$A$3),'עלויות כח אדם (6)'!H1862='סיווג התפקידים והעלויות'!$C$2,'עלויות כח אדם (6)'!H1862='סיווג התפקידים והעלויות'!$D$2),IF('עלויות כח אדם (6)'!J1862&lt;75,"לא תקין","תקין"),"")</f>
        <v/>
      </c>
      <c r="AE1862" s="374" t="str">
        <f t="shared" si="434"/>
        <v/>
      </c>
      <c r="AF1862" s="532" t="str">
        <f t="shared" si="435"/>
        <v/>
      </c>
    </row>
    <row r="1863" spans="2:32" x14ac:dyDescent="0.25">
      <c r="B1863" s="695"/>
      <c r="C1863" s="197" t="str">
        <f>IF(B1863&lt;&gt;"",IFERROR(VLOOKUP(B:B,'מצבת והרשמה (2)'!$C$20:$N$520,2,0)," ")," ")</f>
        <v xml:space="preserve"> </v>
      </c>
      <c r="D1863" s="695"/>
      <c r="E1863" s="696"/>
      <c r="F1863" s="696"/>
      <c r="G1863" s="696"/>
      <c r="H1863" s="696"/>
      <c r="I1863" s="1050" t="str">
        <f t="shared" si="422"/>
        <v/>
      </c>
      <c r="J1863" s="696"/>
      <c r="K1863" s="697"/>
      <c r="L1863" s="696"/>
      <c r="M1863" s="198" t="str">
        <f t="shared" si="423"/>
        <v/>
      </c>
      <c r="N1863" s="369" t="str">
        <f t="shared" si="424"/>
        <v/>
      </c>
      <c r="O1863" s="183" t="str">
        <f t="shared" si="425"/>
        <v/>
      </c>
      <c r="P1863" s="199" t="str">
        <f t="shared" si="426"/>
        <v/>
      </c>
      <c r="Q1863" s="199" t="str">
        <f>IF(B1863="","",IFERROR(IF('עלויות כח אדם (6)'!J1863&gt;=VLOOKUP(I1863,'סיווג התפקידים והעלויות'!$B$23:$C$32,2,0),"תקין","לא תקין"),""))</f>
        <v/>
      </c>
      <c r="R1863" s="199" t="str">
        <f t="shared" si="427"/>
        <v/>
      </c>
      <c r="S1863" s="199" t="str">
        <f t="shared" si="428"/>
        <v/>
      </c>
      <c r="T1863" s="199" t="str">
        <f t="shared" si="436"/>
        <v/>
      </c>
      <c r="U1863" s="199" t="str">
        <f t="shared" si="429"/>
        <v/>
      </c>
      <c r="V1863" s="989"/>
      <c r="X1863" s="374" t="str">
        <f t="shared" si="430"/>
        <v/>
      </c>
      <c r="Y1863" s="375" t="str">
        <f t="shared" si="431"/>
        <v/>
      </c>
      <c r="Z1863" s="374" t="str">
        <f t="shared" si="432"/>
        <v/>
      </c>
      <c r="AA1863" s="374" t="b">
        <f t="shared" si="433"/>
        <v>1</v>
      </c>
      <c r="AB1863" s="374">
        <f>COUNTIFS(B:B,B1863,H:H,'סיווג התפקידים והעלויות'!$C$2)</f>
        <v>0</v>
      </c>
      <c r="AC1863" s="374">
        <f>COUNTIFS(B:B,B1863,H:H,'סיווג התפקידים והעלויות'!$D$2)</f>
        <v>0</v>
      </c>
      <c r="AD1863" s="374" t="str">
        <f>IF(OR(AND(H1863='סיווג התפקידים והעלויות'!$A$2,I1863='סיווג התפקידים והעלויות'!$A$3),'עלויות כח אדם (6)'!H1863='סיווג התפקידים והעלויות'!$C$2,'עלויות כח אדם (6)'!H1863='סיווג התפקידים והעלויות'!$D$2),IF('עלויות כח אדם (6)'!J1863&lt;75,"לא תקין","תקין"),"")</f>
        <v/>
      </c>
      <c r="AE1863" s="374" t="str">
        <f t="shared" si="434"/>
        <v/>
      </c>
      <c r="AF1863" s="532" t="str">
        <f t="shared" si="435"/>
        <v/>
      </c>
    </row>
    <row r="1864" spans="2:32" x14ac:dyDescent="0.25">
      <c r="B1864" s="695"/>
      <c r="C1864" s="197" t="str">
        <f>IF(B1864&lt;&gt;"",IFERROR(VLOOKUP(B:B,'מצבת והרשמה (2)'!$C$20:$N$520,2,0)," ")," ")</f>
        <v xml:space="preserve"> </v>
      </c>
      <c r="D1864" s="695"/>
      <c r="E1864" s="696"/>
      <c r="F1864" s="696"/>
      <c r="G1864" s="696"/>
      <c r="H1864" s="696"/>
      <c r="I1864" s="1050" t="str">
        <f t="shared" si="422"/>
        <v/>
      </c>
      <c r="J1864" s="696"/>
      <c r="K1864" s="697"/>
      <c r="L1864" s="696"/>
      <c r="M1864" s="198" t="str">
        <f t="shared" si="423"/>
        <v/>
      </c>
      <c r="N1864" s="369" t="str">
        <f t="shared" si="424"/>
        <v/>
      </c>
      <c r="O1864" s="183" t="str">
        <f t="shared" si="425"/>
        <v/>
      </c>
      <c r="P1864" s="199" t="str">
        <f t="shared" si="426"/>
        <v/>
      </c>
      <c r="Q1864" s="199" t="str">
        <f>IF(B1864="","",IFERROR(IF('עלויות כח אדם (6)'!J1864&gt;=VLOOKUP(I1864,'סיווג התפקידים והעלויות'!$B$23:$C$32,2,0),"תקין","לא תקין"),""))</f>
        <v/>
      </c>
      <c r="R1864" s="199" t="str">
        <f t="shared" si="427"/>
        <v/>
      </c>
      <c r="S1864" s="199" t="str">
        <f t="shared" si="428"/>
        <v/>
      </c>
      <c r="T1864" s="199" t="str">
        <f t="shared" si="436"/>
        <v/>
      </c>
      <c r="U1864" s="199" t="str">
        <f t="shared" si="429"/>
        <v/>
      </c>
      <c r="V1864" s="989"/>
      <c r="X1864" s="374" t="str">
        <f t="shared" si="430"/>
        <v/>
      </c>
      <c r="Y1864" s="375" t="str">
        <f t="shared" si="431"/>
        <v/>
      </c>
      <c r="Z1864" s="374" t="str">
        <f t="shared" si="432"/>
        <v/>
      </c>
      <c r="AA1864" s="374" t="b">
        <f t="shared" si="433"/>
        <v>1</v>
      </c>
      <c r="AB1864" s="374">
        <f>COUNTIFS(B:B,B1864,H:H,'סיווג התפקידים והעלויות'!$C$2)</f>
        <v>0</v>
      </c>
      <c r="AC1864" s="374">
        <f>COUNTIFS(B:B,B1864,H:H,'סיווג התפקידים והעלויות'!$D$2)</f>
        <v>0</v>
      </c>
      <c r="AD1864" s="374" t="str">
        <f>IF(OR(AND(H1864='סיווג התפקידים והעלויות'!$A$2,I1864='סיווג התפקידים והעלויות'!$A$3),'עלויות כח אדם (6)'!H1864='סיווג התפקידים והעלויות'!$C$2,'עלויות כח אדם (6)'!H1864='סיווג התפקידים והעלויות'!$D$2),IF('עלויות כח אדם (6)'!J1864&lt;75,"לא תקין","תקין"),"")</f>
        <v/>
      </c>
      <c r="AE1864" s="374" t="str">
        <f t="shared" si="434"/>
        <v/>
      </c>
      <c r="AF1864" s="532" t="str">
        <f t="shared" si="435"/>
        <v/>
      </c>
    </row>
    <row r="1865" spans="2:32" x14ac:dyDescent="0.25">
      <c r="B1865" s="695"/>
      <c r="C1865" s="197" t="str">
        <f>IF(B1865&lt;&gt;"",IFERROR(VLOOKUP(B:B,'מצבת והרשמה (2)'!$C$20:$N$520,2,0)," ")," ")</f>
        <v xml:space="preserve"> </v>
      </c>
      <c r="D1865" s="695"/>
      <c r="E1865" s="696"/>
      <c r="F1865" s="696"/>
      <c r="G1865" s="696"/>
      <c r="H1865" s="696"/>
      <c r="I1865" s="1050" t="str">
        <f t="shared" si="422"/>
        <v/>
      </c>
      <c r="J1865" s="696"/>
      <c r="K1865" s="697"/>
      <c r="L1865" s="696"/>
      <c r="M1865" s="198" t="str">
        <f t="shared" si="423"/>
        <v/>
      </c>
      <c r="N1865" s="369" t="str">
        <f t="shared" si="424"/>
        <v/>
      </c>
      <c r="O1865" s="183" t="str">
        <f t="shared" si="425"/>
        <v/>
      </c>
      <c r="P1865" s="199" t="str">
        <f t="shared" si="426"/>
        <v/>
      </c>
      <c r="Q1865" s="199" t="str">
        <f>IF(B1865="","",IFERROR(IF('עלויות כח אדם (6)'!J1865&gt;=VLOOKUP(I1865,'סיווג התפקידים והעלויות'!$B$23:$C$32,2,0),"תקין","לא תקין"),""))</f>
        <v/>
      </c>
      <c r="R1865" s="199" t="str">
        <f t="shared" si="427"/>
        <v/>
      </c>
      <c r="S1865" s="199" t="str">
        <f t="shared" si="428"/>
        <v/>
      </c>
      <c r="T1865" s="199" t="str">
        <f t="shared" si="436"/>
        <v/>
      </c>
      <c r="U1865" s="199" t="str">
        <f t="shared" si="429"/>
        <v/>
      </c>
      <c r="V1865" s="989"/>
      <c r="X1865" s="374" t="str">
        <f t="shared" si="430"/>
        <v/>
      </c>
      <c r="Y1865" s="375" t="str">
        <f t="shared" si="431"/>
        <v/>
      </c>
      <c r="Z1865" s="374" t="str">
        <f t="shared" si="432"/>
        <v/>
      </c>
      <c r="AA1865" s="374" t="b">
        <f t="shared" si="433"/>
        <v>1</v>
      </c>
      <c r="AB1865" s="374">
        <f>COUNTIFS(B:B,B1865,H:H,'סיווג התפקידים והעלויות'!$C$2)</f>
        <v>0</v>
      </c>
      <c r="AC1865" s="374">
        <f>COUNTIFS(B:B,B1865,H:H,'סיווג התפקידים והעלויות'!$D$2)</f>
        <v>0</v>
      </c>
      <c r="AD1865" s="374" t="str">
        <f>IF(OR(AND(H1865='סיווג התפקידים והעלויות'!$A$2,I1865='סיווג התפקידים והעלויות'!$A$3),'עלויות כח אדם (6)'!H1865='סיווג התפקידים והעלויות'!$C$2,'עלויות כח אדם (6)'!H1865='סיווג התפקידים והעלויות'!$D$2),IF('עלויות כח אדם (6)'!J1865&lt;75,"לא תקין","תקין"),"")</f>
        <v/>
      </c>
      <c r="AE1865" s="374" t="str">
        <f t="shared" si="434"/>
        <v/>
      </c>
      <c r="AF1865" s="532" t="str">
        <f t="shared" si="435"/>
        <v/>
      </c>
    </row>
    <row r="1866" spans="2:32" x14ac:dyDescent="0.25">
      <c r="B1866" s="695"/>
      <c r="C1866" s="197" t="str">
        <f>IF(B1866&lt;&gt;"",IFERROR(VLOOKUP(B:B,'מצבת והרשמה (2)'!$C$20:$N$520,2,0)," ")," ")</f>
        <v xml:space="preserve"> </v>
      </c>
      <c r="D1866" s="695"/>
      <c r="E1866" s="696"/>
      <c r="F1866" s="696"/>
      <c r="G1866" s="696"/>
      <c r="H1866" s="696"/>
      <c r="I1866" s="1050" t="str">
        <f t="shared" si="422"/>
        <v/>
      </c>
      <c r="J1866" s="696"/>
      <c r="K1866" s="697"/>
      <c r="L1866" s="696"/>
      <c r="M1866" s="198" t="str">
        <f t="shared" si="423"/>
        <v/>
      </c>
      <c r="N1866" s="369" t="str">
        <f t="shared" si="424"/>
        <v/>
      </c>
      <c r="O1866" s="183" t="str">
        <f t="shared" si="425"/>
        <v/>
      </c>
      <c r="P1866" s="199" t="str">
        <f t="shared" si="426"/>
        <v/>
      </c>
      <c r="Q1866" s="199" t="str">
        <f>IF(B1866="","",IFERROR(IF('עלויות כח אדם (6)'!J1866&gt;=VLOOKUP(I1866,'סיווג התפקידים והעלויות'!$B$23:$C$32,2,0),"תקין","לא תקין"),""))</f>
        <v/>
      </c>
      <c r="R1866" s="199" t="str">
        <f t="shared" si="427"/>
        <v/>
      </c>
      <c r="S1866" s="199" t="str">
        <f t="shared" si="428"/>
        <v/>
      </c>
      <c r="T1866" s="199" t="str">
        <f t="shared" si="436"/>
        <v/>
      </c>
      <c r="U1866" s="199" t="str">
        <f t="shared" si="429"/>
        <v/>
      </c>
      <c r="V1866" s="989"/>
      <c r="X1866" s="374" t="str">
        <f t="shared" si="430"/>
        <v/>
      </c>
      <c r="Y1866" s="375" t="str">
        <f t="shared" si="431"/>
        <v/>
      </c>
      <c r="Z1866" s="374" t="str">
        <f t="shared" si="432"/>
        <v/>
      </c>
      <c r="AA1866" s="374" t="b">
        <f t="shared" si="433"/>
        <v>1</v>
      </c>
      <c r="AB1866" s="374">
        <f>COUNTIFS(B:B,B1866,H:H,'סיווג התפקידים והעלויות'!$C$2)</f>
        <v>0</v>
      </c>
      <c r="AC1866" s="374">
        <f>COUNTIFS(B:B,B1866,H:H,'סיווג התפקידים והעלויות'!$D$2)</f>
        <v>0</v>
      </c>
      <c r="AD1866" s="374" t="str">
        <f>IF(OR(AND(H1866='סיווג התפקידים והעלויות'!$A$2,I1866='סיווג התפקידים והעלויות'!$A$3),'עלויות כח אדם (6)'!H1866='סיווג התפקידים והעלויות'!$C$2,'עלויות כח אדם (6)'!H1866='סיווג התפקידים והעלויות'!$D$2),IF('עלויות כח אדם (6)'!J1866&lt;75,"לא תקין","תקין"),"")</f>
        <v/>
      </c>
      <c r="AE1866" s="374" t="str">
        <f t="shared" si="434"/>
        <v/>
      </c>
      <c r="AF1866" s="532" t="str">
        <f t="shared" si="435"/>
        <v/>
      </c>
    </row>
    <row r="1867" spans="2:32" x14ac:dyDescent="0.25">
      <c r="B1867" s="695"/>
      <c r="C1867" s="197" t="str">
        <f>IF(B1867&lt;&gt;"",IFERROR(VLOOKUP(B:B,'מצבת והרשמה (2)'!$C$20:$N$520,2,0)," ")," ")</f>
        <v xml:space="preserve"> </v>
      </c>
      <c r="D1867" s="695"/>
      <c r="E1867" s="696"/>
      <c r="F1867" s="696"/>
      <c r="G1867" s="696"/>
      <c r="H1867" s="696"/>
      <c r="I1867" s="1050" t="str">
        <f t="shared" si="422"/>
        <v/>
      </c>
      <c r="J1867" s="696"/>
      <c r="K1867" s="697"/>
      <c r="L1867" s="696"/>
      <c r="M1867" s="198" t="str">
        <f t="shared" si="423"/>
        <v/>
      </c>
      <c r="N1867" s="369" t="str">
        <f t="shared" si="424"/>
        <v/>
      </c>
      <c r="O1867" s="183" t="str">
        <f t="shared" si="425"/>
        <v/>
      </c>
      <c r="P1867" s="199" t="str">
        <f t="shared" si="426"/>
        <v/>
      </c>
      <c r="Q1867" s="199" t="str">
        <f>IF(B1867="","",IFERROR(IF('עלויות כח אדם (6)'!J1867&gt;=VLOOKUP(I1867,'סיווג התפקידים והעלויות'!$B$23:$C$32,2,0),"תקין","לא תקין"),""))</f>
        <v/>
      </c>
      <c r="R1867" s="199" t="str">
        <f t="shared" si="427"/>
        <v/>
      </c>
      <c r="S1867" s="199" t="str">
        <f t="shared" si="428"/>
        <v/>
      </c>
      <c r="T1867" s="199" t="str">
        <f t="shared" si="436"/>
        <v/>
      </c>
      <c r="U1867" s="199" t="str">
        <f t="shared" si="429"/>
        <v/>
      </c>
      <c r="V1867" s="989"/>
      <c r="X1867" s="374" t="str">
        <f t="shared" si="430"/>
        <v/>
      </c>
      <c r="Y1867" s="375" t="str">
        <f t="shared" si="431"/>
        <v/>
      </c>
      <c r="Z1867" s="374" t="str">
        <f t="shared" si="432"/>
        <v/>
      </c>
      <c r="AA1867" s="374" t="b">
        <f t="shared" si="433"/>
        <v>1</v>
      </c>
      <c r="AB1867" s="374">
        <f>COUNTIFS(B:B,B1867,H:H,'סיווג התפקידים והעלויות'!$C$2)</f>
        <v>0</v>
      </c>
      <c r="AC1867" s="374">
        <f>COUNTIFS(B:B,B1867,H:H,'סיווג התפקידים והעלויות'!$D$2)</f>
        <v>0</v>
      </c>
      <c r="AD1867" s="374" t="str">
        <f>IF(OR(AND(H1867='סיווג התפקידים והעלויות'!$A$2,I1867='סיווג התפקידים והעלויות'!$A$3),'עלויות כח אדם (6)'!H1867='סיווג התפקידים והעלויות'!$C$2,'עלויות כח אדם (6)'!H1867='סיווג התפקידים והעלויות'!$D$2),IF('עלויות כח אדם (6)'!J1867&lt;75,"לא תקין","תקין"),"")</f>
        <v/>
      </c>
      <c r="AE1867" s="374" t="str">
        <f t="shared" si="434"/>
        <v/>
      </c>
      <c r="AF1867" s="532" t="str">
        <f t="shared" si="435"/>
        <v/>
      </c>
    </row>
    <row r="1868" spans="2:32" x14ac:dyDescent="0.25">
      <c r="B1868" s="695"/>
      <c r="C1868" s="197" t="str">
        <f>IF(B1868&lt;&gt;"",IFERROR(VLOOKUP(B:B,'מצבת והרשמה (2)'!$C$20:$N$520,2,0)," ")," ")</f>
        <v xml:space="preserve"> </v>
      </c>
      <c r="D1868" s="695"/>
      <c r="E1868" s="696"/>
      <c r="F1868" s="696"/>
      <c r="G1868" s="696"/>
      <c r="H1868" s="696"/>
      <c r="I1868" s="1050" t="str">
        <f t="shared" si="422"/>
        <v/>
      </c>
      <c r="J1868" s="696"/>
      <c r="K1868" s="697"/>
      <c r="L1868" s="696"/>
      <c r="M1868" s="198" t="str">
        <f t="shared" si="423"/>
        <v/>
      </c>
      <c r="N1868" s="369" t="str">
        <f t="shared" si="424"/>
        <v/>
      </c>
      <c r="O1868" s="183" t="str">
        <f t="shared" si="425"/>
        <v/>
      </c>
      <c r="P1868" s="199" t="str">
        <f t="shared" si="426"/>
        <v/>
      </c>
      <c r="Q1868" s="199" t="str">
        <f>IF(B1868="","",IFERROR(IF('עלויות כח אדם (6)'!J1868&gt;=VLOOKUP(I1868,'סיווג התפקידים והעלויות'!$B$23:$C$32,2,0),"תקין","לא תקין"),""))</f>
        <v/>
      </c>
      <c r="R1868" s="199" t="str">
        <f t="shared" si="427"/>
        <v/>
      </c>
      <c r="S1868" s="199" t="str">
        <f t="shared" si="428"/>
        <v/>
      </c>
      <c r="T1868" s="199" t="str">
        <f t="shared" si="436"/>
        <v/>
      </c>
      <c r="U1868" s="199" t="str">
        <f t="shared" si="429"/>
        <v/>
      </c>
      <c r="V1868" s="989"/>
      <c r="X1868" s="374" t="str">
        <f t="shared" si="430"/>
        <v/>
      </c>
      <c r="Y1868" s="375" t="str">
        <f t="shared" si="431"/>
        <v/>
      </c>
      <c r="Z1868" s="374" t="str">
        <f t="shared" si="432"/>
        <v/>
      </c>
      <c r="AA1868" s="374" t="b">
        <f t="shared" si="433"/>
        <v>1</v>
      </c>
      <c r="AB1868" s="374">
        <f>COUNTIFS(B:B,B1868,H:H,'סיווג התפקידים והעלויות'!$C$2)</f>
        <v>0</v>
      </c>
      <c r="AC1868" s="374">
        <f>COUNTIFS(B:B,B1868,H:H,'סיווג התפקידים והעלויות'!$D$2)</f>
        <v>0</v>
      </c>
      <c r="AD1868" s="374" t="str">
        <f>IF(OR(AND(H1868='סיווג התפקידים והעלויות'!$A$2,I1868='סיווג התפקידים והעלויות'!$A$3),'עלויות כח אדם (6)'!H1868='סיווג התפקידים והעלויות'!$C$2,'עלויות כח אדם (6)'!H1868='סיווג התפקידים והעלויות'!$D$2),IF('עלויות כח אדם (6)'!J1868&lt;75,"לא תקין","תקין"),"")</f>
        <v/>
      </c>
      <c r="AE1868" s="374" t="str">
        <f t="shared" si="434"/>
        <v/>
      </c>
      <c r="AF1868" s="532" t="str">
        <f t="shared" si="435"/>
        <v/>
      </c>
    </row>
    <row r="1869" spans="2:32" x14ac:dyDescent="0.25">
      <c r="B1869" s="695"/>
      <c r="C1869" s="197" t="str">
        <f>IF(B1869&lt;&gt;"",IFERROR(VLOOKUP(B:B,'מצבת והרשמה (2)'!$C$20:$N$520,2,0)," ")," ")</f>
        <v xml:space="preserve"> </v>
      </c>
      <c r="D1869" s="695"/>
      <c r="E1869" s="696"/>
      <c r="F1869" s="696"/>
      <c r="G1869" s="696"/>
      <c r="H1869" s="696"/>
      <c r="I1869" s="1050" t="str">
        <f t="shared" si="422"/>
        <v/>
      </c>
      <c r="J1869" s="696"/>
      <c r="K1869" s="697"/>
      <c r="L1869" s="696"/>
      <c r="M1869" s="198" t="str">
        <f t="shared" si="423"/>
        <v/>
      </c>
      <c r="N1869" s="369" t="str">
        <f t="shared" si="424"/>
        <v/>
      </c>
      <c r="O1869" s="183" t="str">
        <f t="shared" si="425"/>
        <v/>
      </c>
      <c r="P1869" s="199" t="str">
        <f t="shared" si="426"/>
        <v/>
      </c>
      <c r="Q1869" s="199" t="str">
        <f>IF(B1869="","",IFERROR(IF('עלויות כח אדם (6)'!J1869&gt;=VLOOKUP(I1869,'סיווג התפקידים והעלויות'!$B$23:$C$32,2,0),"תקין","לא תקין"),""))</f>
        <v/>
      </c>
      <c r="R1869" s="199" t="str">
        <f t="shared" si="427"/>
        <v/>
      </c>
      <c r="S1869" s="199" t="str">
        <f t="shared" si="428"/>
        <v/>
      </c>
      <c r="T1869" s="199" t="str">
        <f t="shared" si="436"/>
        <v/>
      </c>
      <c r="U1869" s="199" t="str">
        <f t="shared" si="429"/>
        <v/>
      </c>
      <c r="V1869" s="989"/>
      <c r="X1869" s="374" t="str">
        <f t="shared" si="430"/>
        <v/>
      </c>
      <c r="Y1869" s="375" t="str">
        <f t="shared" si="431"/>
        <v/>
      </c>
      <c r="Z1869" s="374" t="str">
        <f t="shared" si="432"/>
        <v/>
      </c>
      <c r="AA1869" s="374" t="b">
        <f t="shared" si="433"/>
        <v>1</v>
      </c>
      <c r="AB1869" s="374">
        <f>COUNTIFS(B:B,B1869,H:H,'סיווג התפקידים והעלויות'!$C$2)</f>
        <v>0</v>
      </c>
      <c r="AC1869" s="374">
        <f>COUNTIFS(B:B,B1869,H:H,'סיווג התפקידים והעלויות'!$D$2)</f>
        <v>0</v>
      </c>
      <c r="AD1869" s="374" t="str">
        <f>IF(OR(AND(H1869='סיווג התפקידים והעלויות'!$A$2,I1869='סיווג התפקידים והעלויות'!$A$3),'עלויות כח אדם (6)'!H1869='סיווג התפקידים והעלויות'!$C$2,'עלויות כח אדם (6)'!H1869='סיווג התפקידים והעלויות'!$D$2),IF('עלויות כח אדם (6)'!J1869&lt;75,"לא תקין","תקין"),"")</f>
        <v/>
      </c>
      <c r="AE1869" s="374" t="str">
        <f t="shared" si="434"/>
        <v/>
      </c>
      <c r="AF1869" s="532" t="str">
        <f t="shared" si="435"/>
        <v/>
      </c>
    </row>
    <row r="1870" spans="2:32" x14ac:dyDescent="0.25">
      <c r="B1870" s="695"/>
      <c r="C1870" s="197" t="str">
        <f>IF(B1870&lt;&gt;"",IFERROR(VLOOKUP(B:B,'מצבת והרשמה (2)'!$C$20:$N$520,2,0)," ")," ")</f>
        <v xml:space="preserve"> </v>
      </c>
      <c r="D1870" s="695"/>
      <c r="E1870" s="696"/>
      <c r="F1870" s="696"/>
      <c r="G1870" s="696"/>
      <c r="H1870" s="696"/>
      <c r="I1870" s="1050" t="str">
        <f t="shared" si="422"/>
        <v/>
      </c>
      <c r="J1870" s="696"/>
      <c r="K1870" s="697"/>
      <c r="L1870" s="696"/>
      <c r="M1870" s="198" t="str">
        <f t="shared" si="423"/>
        <v/>
      </c>
      <c r="N1870" s="369" t="str">
        <f t="shared" si="424"/>
        <v/>
      </c>
      <c r="O1870" s="183" t="str">
        <f t="shared" si="425"/>
        <v/>
      </c>
      <c r="P1870" s="199" t="str">
        <f t="shared" si="426"/>
        <v/>
      </c>
      <c r="Q1870" s="199" t="str">
        <f>IF(B1870="","",IFERROR(IF('עלויות כח אדם (6)'!J1870&gt;=VLOOKUP(I1870,'סיווג התפקידים והעלויות'!$B$23:$C$32,2,0),"תקין","לא תקין"),""))</f>
        <v/>
      </c>
      <c r="R1870" s="199" t="str">
        <f t="shared" si="427"/>
        <v/>
      </c>
      <c r="S1870" s="199" t="str">
        <f t="shared" si="428"/>
        <v/>
      </c>
      <c r="T1870" s="199" t="str">
        <f t="shared" si="436"/>
        <v/>
      </c>
      <c r="U1870" s="199" t="str">
        <f t="shared" si="429"/>
        <v/>
      </c>
      <c r="V1870" s="989"/>
      <c r="X1870" s="374" t="str">
        <f t="shared" si="430"/>
        <v/>
      </c>
      <c r="Y1870" s="375" t="str">
        <f t="shared" si="431"/>
        <v/>
      </c>
      <c r="Z1870" s="374" t="str">
        <f t="shared" si="432"/>
        <v/>
      </c>
      <c r="AA1870" s="374" t="b">
        <f t="shared" si="433"/>
        <v>1</v>
      </c>
      <c r="AB1870" s="374">
        <f>COUNTIFS(B:B,B1870,H:H,'סיווג התפקידים והעלויות'!$C$2)</f>
        <v>0</v>
      </c>
      <c r="AC1870" s="374">
        <f>COUNTIFS(B:B,B1870,H:H,'סיווג התפקידים והעלויות'!$D$2)</f>
        <v>0</v>
      </c>
      <c r="AD1870" s="374" t="str">
        <f>IF(OR(AND(H1870='סיווג התפקידים והעלויות'!$A$2,I1870='סיווג התפקידים והעלויות'!$A$3),'עלויות כח אדם (6)'!H1870='סיווג התפקידים והעלויות'!$C$2,'עלויות כח אדם (6)'!H1870='סיווג התפקידים והעלויות'!$D$2),IF('עלויות כח אדם (6)'!J1870&lt;75,"לא תקין","תקין"),"")</f>
        <v/>
      </c>
      <c r="AE1870" s="374" t="str">
        <f t="shared" si="434"/>
        <v/>
      </c>
      <c r="AF1870" s="532" t="str">
        <f t="shared" si="435"/>
        <v/>
      </c>
    </row>
    <row r="1871" spans="2:32" x14ac:dyDescent="0.25">
      <c r="B1871" s="695"/>
      <c r="C1871" s="197" t="str">
        <f>IF(B1871&lt;&gt;"",IFERROR(VLOOKUP(B:B,'מצבת והרשמה (2)'!$C$20:$N$520,2,0)," ")," ")</f>
        <v xml:space="preserve"> </v>
      </c>
      <c r="D1871" s="695"/>
      <c r="E1871" s="696"/>
      <c r="F1871" s="696"/>
      <c r="G1871" s="696"/>
      <c r="H1871" s="696"/>
      <c r="I1871" s="1050" t="str">
        <f t="shared" ref="I1871:I1934" si="437">SUBSTITUTE(IFERROR(IF(H1871="מדצ","מדצ/ית",IF(H1871="סגנית רכזת מעל 150","סגנ/ית רכז/ת&gt;150",IF(H1871="רכזת תכנית בבית הספר","רכז/ת תכנית בבית הספר"))),""),"FALSE","")</f>
        <v/>
      </c>
      <c r="J1871" s="696"/>
      <c r="K1871" s="697"/>
      <c r="L1871" s="696"/>
      <c r="M1871" s="198" t="str">
        <f t="shared" ref="M1871:M1934" si="438">IF(AND(L1871&gt;0,K1871&gt;0),K1871*L1871,"")</f>
        <v/>
      </c>
      <c r="N1871" s="369" t="str">
        <f t="shared" ref="N1871:N1934" si="439">TEXT(LEFT(H1871,2),0)</f>
        <v/>
      </c>
      <c r="O1871" s="183" t="str">
        <f t="shared" ref="O1871:O1934" si="440">IF(ISNUMBER(M1871&gt;0),IF(ISBLANK(B1871),"יש להזין סמל מוסד בעמודה B",""),"")</f>
        <v/>
      </c>
      <c r="P1871" s="199" t="str">
        <f t="shared" ref="P1871:P1934" si="441">IF(B1871="","",IF(AA1871=FALSE,"לא תקין","תקין"))</f>
        <v/>
      </c>
      <c r="Q1871" s="199" t="str">
        <f>IF(B1871="","",IFERROR(IF('עלויות כח אדם (6)'!J1871&gt;=VLOOKUP(I1871,'סיווג התפקידים והעלויות'!$B$23:$C$32,2,0),"תקין","לא תקין"),""))</f>
        <v/>
      </c>
      <c r="R1871" s="199" t="str">
        <f t="shared" ref="R1871:R1934" si="442">IF(B1871="","",IF(OR(Y1871&lt;100%,Y1871&gt;140%),"לא תקין","תקין"))</f>
        <v/>
      </c>
      <c r="S1871" s="199" t="str">
        <f t="shared" ref="S1871:S1934" si="443">IF(B1871="","",IFERROR(IF(J1871&gt;120,"לא תקין","תקין"),""))</f>
        <v/>
      </c>
      <c r="T1871" s="199" t="str">
        <f t="shared" si="436"/>
        <v/>
      </c>
      <c r="U1871" s="199" t="str">
        <f t="shared" ref="U1871:U1934" si="444">IF(B1871="","",IF(Z1871&gt;1,IF(SUMIF(D:D,D1871,L:L)&gt;90,"לא תקין","תקין"),"תקין"))</f>
        <v/>
      </c>
      <c r="V1871" s="989"/>
      <c r="X1871" s="374" t="str">
        <f t="shared" ref="X1871:X1934" si="445">IF(B1871="","",IF(OR(R1871="לא תקין",S1871="לא תקין",T1871="לא תקין",,U1871="לא תקין"),"לא תקין","תקין"))</f>
        <v/>
      </c>
      <c r="Y1871" s="375" t="str">
        <f t="shared" ref="Y1871:Y1934" si="446">IFERROR(IF(B1871="","",K1871/J1871),"")</f>
        <v/>
      </c>
      <c r="Z1871" s="374" t="str">
        <f t="shared" ref="Z1871:Z1934" si="447">IF(B1871="","",COUNTIF(D:D,D1871))</f>
        <v/>
      </c>
      <c r="AA1871" s="374" t="b">
        <f t="shared" ref="AA1871:AA1934" si="448">MOD(MID(REPT(0,9-LEN(D1871))&amp;D1871,1,1)+MID("0246813579",MID(REPT(0,9-LEN(D1871))&amp;D1871,2,1)+1,1)+MID(REPT(0,9-LEN(D1871))&amp;D1871,3,1)+MID("0246813579",MID(REPT(0,9-LEN(D1871))&amp;D1871,4,1)+1,1)+MID(REPT(0,9-LEN(D1871))&amp;D1871,5,1)+MID("0246813579",MID(REPT(0,9-LEN(D1871))&amp;D1871,6,1)+1,1)+MID(REPT(0,9-LEN(D1871))&amp;D1871,7,1)+MID("0246813579",MID(REPT(0,9-LEN(D1871))&amp;D1871,8,1)+1,1)+MID(REPT(0,9-LEN(D1871))&amp;D1871,9,1),10)=0</f>
        <v>1</v>
      </c>
      <c r="AB1871" s="374">
        <f>COUNTIFS(B:B,B1871,H:H,'סיווג התפקידים והעלויות'!$C$2)</f>
        <v>0</v>
      </c>
      <c r="AC1871" s="374">
        <f>COUNTIFS(B:B,B1871,H:H,'סיווג התפקידים והעלויות'!$D$2)</f>
        <v>0</v>
      </c>
      <c r="AD1871" s="374" t="str">
        <f>IF(OR(AND(H1871='סיווג התפקידים והעלויות'!$A$2,I1871='סיווג התפקידים והעלויות'!$A$3),'עלויות כח אדם (6)'!H1871='סיווג התפקידים והעלויות'!$C$2,'עלויות כח אדם (6)'!H1871='סיווג התפקידים והעלויות'!$D$2),IF('עלויות כח אדם (6)'!J1871&lt;75,"לא תקין","תקין"),"")</f>
        <v/>
      </c>
      <c r="AE1871" s="374" t="str">
        <f t="shared" ref="AE1871:AE1934" si="449">IF(B1871&lt;&gt;"",B1871&amp;H1871,"")</f>
        <v/>
      </c>
      <c r="AF1871" s="532" t="str">
        <f t="shared" ref="AF1871:AF1934" si="450">M1871</f>
        <v/>
      </c>
    </row>
    <row r="1872" spans="2:32" x14ac:dyDescent="0.25">
      <c r="B1872" s="695"/>
      <c r="C1872" s="197" t="str">
        <f>IF(B1872&lt;&gt;"",IFERROR(VLOOKUP(B:B,'מצבת והרשמה (2)'!$C$20:$N$520,2,0)," ")," ")</f>
        <v xml:space="preserve"> </v>
      </c>
      <c r="D1872" s="695"/>
      <c r="E1872" s="696"/>
      <c r="F1872" s="696"/>
      <c r="G1872" s="696"/>
      <c r="H1872" s="696"/>
      <c r="I1872" s="1050" t="str">
        <f t="shared" si="437"/>
        <v/>
      </c>
      <c r="J1872" s="696"/>
      <c r="K1872" s="697"/>
      <c r="L1872" s="696"/>
      <c r="M1872" s="198" t="str">
        <f t="shared" si="438"/>
        <v/>
      </c>
      <c r="N1872" s="369" t="str">
        <f t="shared" si="439"/>
        <v/>
      </c>
      <c r="O1872" s="183" t="str">
        <f t="shared" si="440"/>
        <v/>
      </c>
      <c r="P1872" s="199" t="str">
        <f t="shared" si="441"/>
        <v/>
      </c>
      <c r="Q1872" s="199" t="str">
        <f>IF(B1872="","",IFERROR(IF('עלויות כח אדם (6)'!J1872&gt;=VLOOKUP(I1872,'סיווג התפקידים והעלויות'!$B$23:$C$32,2,0),"תקין","לא תקין"),""))</f>
        <v/>
      </c>
      <c r="R1872" s="199" t="str">
        <f t="shared" si="442"/>
        <v/>
      </c>
      <c r="S1872" s="199" t="str">
        <f t="shared" si="443"/>
        <v/>
      </c>
      <c r="T1872" s="199" t="str">
        <f t="shared" ref="T1872:T1935" si="451">IF(B1872="","",IF(H1872="","יש להזין איש צוות",IF(OR(H1872="מורה",H1872="גננת",H1872="רכז גן",H1872="רכזת גן",H1872="סייעת",H1872="מדצית",H1872="מדצ",H1872="מדריך",H1872="מדריכה",H1872="תוספת כח אדם"),IF(L1872&lt;=90,"תקין","לא תקין"),IF(OR(H1872="רכז בית ספר",H1872="רכזת תכנית בבית הספר",H1872="רכזת בית ספר"),IF(L1872&lt;=137,"תקין","לא תקין"),IF(OR(H1872="סגנית רכזת מעל 150",H1872="סגן רכז"),IF(L1872&lt;=93,"תקין","לא תקין"),"לא תקין")))))</f>
        <v/>
      </c>
      <c r="U1872" s="199" t="str">
        <f t="shared" si="444"/>
        <v/>
      </c>
      <c r="V1872" s="989"/>
      <c r="X1872" s="374" t="str">
        <f t="shared" si="445"/>
        <v/>
      </c>
      <c r="Y1872" s="375" t="str">
        <f t="shared" si="446"/>
        <v/>
      </c>
      <c r="Z1872" s="374" t="str">
        <f t="shared" si="447"/>
        <v/>
      </c>
      <c r="AA1872" s="374" t="b">
        <f t="shared" si="448"/>
        <v>1</v>
      </c>
      <c r="AB1872" s="374">
        <f>COUNTIFS(B:B,B1872,H:H,'סיווג התפקידים והעלויות'!$C$2)</f>
        <v>0</v>
      </c>
      <c r="AC1872" s="374">
        <f>COUNTIFS(B:B,B1872,H:H,'סיווג התפקידים והעלויות'!$D$2)</f>
        <v>0</v>
      </c>
      <c r="AD1872" s="374" t="str">
        <f>IF(OR(AND(H1872='סיווג התפקידים והעלויות'!$A$2,I1872='סיווג התפקידים והעלויות'!$A$3),'עלויות כח אדם (6)'!H1872='סיווג התפקידים והעלויות'!$C$2,'עלויות כח אדם (6)'!H1872='סיווג התפקידים והעלויות'!$D$2),IF('עלויות כח אדם (6)'!J1872&lt;75,"לא תקין","תקין"),"")</f>
        <v/>
      </c>
      <c r="AE1872" s="374" t="str">
        <f t="shared" si="449"/>
        <v/>
      </c>
      <c r="AF1872" s="532" t="str">
        <f t="shared" si="450"/>
        <v/>
      </c>
    </row>
    <row r="1873" spans="2:32" x14ac:dyDescent="0.25">
      <c r="B1873" s="695"/>
      <c r="C1873" s="197" t="str">
        <f>IF(B1873&lt;&gt;"",IFERROR(VLOOKUP(B:B,'מצבת והרשמה (2)'!$C$20:$N$520,2,0)," ")," ")</f>
        <v xml:space="preserve"> </v>
      </c>
      <c r="D1873" s="695"/>
      <c r="E1873" s="696"/>
      <c r="F1873" s="696"/>
      <c r="G1873" s="696"/>
      <c r="H1873" s="696"/>
      <c r="I1873" s="1050" t="str">
        <f t="shared" si="437"/>
        <v/>
      </c>
      <c r="J1873" s="696"/>
      <c r="K1873" s="697"/>
      <c r="L1873" s="696"/>
      <c r="M1873" s="198" t="str">
        <f t="shared" si="438"/>
        <v/>
      </c>
      <c r="N1873" s="369" t="str">
        <f t="shared" si="439"/>
        <v/>
      </c>
      <c r="O1873" s="183" t="str">
        <f t="shared" si="440"/>
        <v/>
      </c>
      <c r="P1873" s="199" t="str">
        <f t="shared" si="441"/>
        <v/>
      </c>
      <c r="Q1873" s="199" t="str">
        <f>IF(B1873="","",IFERROR(IF('עלויות כח אדם (6)'!J1873&gt;=VLOOKUP(I1873,'סיווג התפקידים והעלויות'!$B$23:$C$32,2,0),"תקין","לא תקין"),""))</f>
        <v/>
      </c>
      <c r="R1873" s="199" t="str">
        <f t="shared" si="442"/>
        <v/>
      </c>
      <c r="S1873" s="199" t="str">
        <f t="shared" si="443"/>
        <v/>
      </c>
      <c r="T1873" s="199" t="str">
        <f t="shared" si="451"/>
        <v/>
      </c>
      <c r="U1873" s="199" t="str">
        <f t="shared" si="444"/>
        <v/>
      </c>
      <c r="V1873" s="989"/>
      <c r="X1873" s="374" t="str">
        <f t="shared" si="445"/>
        <v/>
      </c>
      <c r="Y1873" s="375" t="str">
        <f t="shared" si="446"/>
        <v/>
      </c>
      <c r="Z1873" s="374" t="str">
        <f t="shared" si="447"/>
        <v/>
      </c>
      <c r="AA1873" s="374" t="b">
        <f t="shared" si="448"/>
        <v>1</v>
      </c>
      <c r="AB1873" s="374">
        <f>COUNTIFS(B:B,B1873,H:H,'סיווג התפקידים והעלויות'!$C$2)</f>
        <v>0</v>
      </c>
      <c r="AC1873" s="374">
        <f>COUNTIFS(B:B,B1873,H:H,'סיווג התפקידים והעלויות'!$D$2)</f>
        <v>0</v>
      </c>
      <c r="AD1873" s="374" t="str">
        <f>IF(OR(AND(H1873='סיווג התפקידים והעלויות'!$A$2,I1873='סיווג התפקידים והעלויות'!$A$3),'עלויות כח אדם (6)'!H1873='סיווג התפקידים והעלויות'!$C$2,'עלויות כח אדם (6)'!H1873='סיווג התפקידים והעלויות'!$D$2),IF('עלויות כח אדם (6)'!J1873&lt;75,"לא תקין","תקין"),"")</f>
        <v/>
      </c>
      <c r="AE1873" s="374" t="str">
        <f t="shared" si="449"/>
        <v/>
      </c>
      <c r="AF1873" s="532" t="str">
        <f t="shared" si="450"/>
        <v/>
      </c>
    </row>
    <row r="1874" spans="2:32" x14ac:dyDescent="0.25">
      <c r="B1874" s="695"/>
      <c r="C1874" s="197" t="str">
        <f>IF(B1874&lt;&gt;"",IFERROR(VLOOKUP(B:B,'מצבת והרשמה (2)'!$C$20:$N$520,2,0)," ")," ")</f>
        <v xml:space="preserve"> </v>
      </c>
      <c r="D1874" s="695"/>
      <c r="E1874" s="696"/>
      <c r="F1874" s="696"/>
      <c r="G1874" s="696"/>
      <c r="H1874" s="696"/>
      <c r="I1874" s="1050" t="str">
        <f t="shared" si="437"/>
        <v/>
      </c>
      <c r="J1874" s="696"/>
      <c r="K1874" s="697"/>
      <c r="L1874" s="696"/>
      <c r="M1874" s="198" t="str">
        <f t="shared" si="438"/>
        <v/>
      </c>
      <c r="N1874" s="369" t="str">
        <f t="shared" si="439"/>
        <v/>
      </c>
      <c r="O1874" s="183" t="str">
        <f t="shared" si="440"/>
        <v/>
      </c>
      <c r="P1874" s="199" t="str">
        <f t="shared" si="441"/>
        <v/>
      </c>
      <c r="Q1874" s="199" t="str">
        <f>IF(B1874="","",IFERROR(IF('עלויות כח אדם (6)'!J1874&gt;=VLOOKUP(I1874,'סיווג התפקידים והעלויות'!$B$23:$C$32,2,0),"תקין","לא תקין"),""))</f>
        <v/>
      </c>
      <c r="R1874" s="199" t="str">
        <f t="shared" si="442"/>
        <v/>
      </c>
      <c r="S1874" s="199" t="str">
        <f t="shared" si="443"/>
        <v/>
      </c>
      <c r="T1874" s="199" t="str">
        <f t="shared" si="451"/>
        <v/>
      </c>
      <c r="U1874" s="199" t="str">
        <f t="shared" si="444"/>
        <v/>
      </c>
      <c r="V1874" s="989"/>
      <c r="X1874" s="374" t="str">
        <f t="shared" si="445"/>
        <v/>
      </c>
      <c r="Y1874" s="375" t="str">
        <f t="shared" si="446"/>
        <v/>
      </c>
      <c r="Z1874" s="374" t="str">
        <f t="shared" si="447"/>
        <v/>
      </c>
      <c r="AA1874" s="374" t="b">
        <f t="shared" si="448"/>
        <v>1</v>
      </c>
      <c r="AB1874" s="374">
        <f>COUNTIFS(B:B,B1874,H:H,'סיווג התפקידים והעלויות'!$C$2)</f>
        <v>0</v>
      </c>
      <c r="AC1874" s="374">
        <f>COUNTIFS(B:B,B1874,H:H,'סיווג התפקידים והעלויות'!$D$2)</f>
        <v>0</v>
      </c>
      <c r="AD1874" s="374" t="str">
        <f>IF(OR(AND(H1874='סיווג התפקידים והעלויות'!$A$2,I1874='סיווג התפקידים והעלויות'!$A$3),'עלויות כח אדם (6)'!H1874='סיווג התפקידים והעלויות'!$C$2,'עלויות כח אדם (6)'!H1874='סיווג התפקידים והעלויות'!$D$2),IF('עלויות כח אדם (6)'!J1874&lt;75,"לא תקין","תקין"),"")</f>
        <v/>
      </c>
      <c r="AE1874" s="374" t="str">
        <f t="shared" si="449"/>
        <v/>
      </c>
      <c r="AF1874" s="532" t="str">
        <f t="shared" si="450"/>
        <v/>
      </c>
    </row>
    <row r="1875" spans="2:32" x14ac:dyDescent="0.25">
      <c r="B1875" s="695"/>
      <c r="C1875" s="197" t="str">
        <f>IF(B1875&lt;&gt;"",IFERROR(VLOOKUP(B:B,'מצבת והרשמה (2)'!$C$20:$N$520,2,0)," ")," ")</f>
        <v xml:space="preserve"> </v>
      </c>
      <c r="D1875" s="695"/>
      <c r="E1875" s="696"/>
      <c r="F1875" s="696"/>
      <c r="G1875" s="696"/>
      <c r="H1875" s="696"/>
      <c r="I1875" s="1050" t="str">
        <f t="shared" si="437"/>
        <v/>
      </c>
      <c r="J1875" s="696"/>
      <c r="K1875" s="697"/>
      <c r="L1875" s="696"/>
      <c r="M1875" s="198" t="str">
        <f t="shared" si="438"/>
        <v/>
      </c>
      <c r="N1875" s="369" t="str">
        <f t="shared" si="439"/>
        <v/>
      </c>
      <c r="O1875" s="183" t="str">
        <f t="shared" si="440"/>
        <v/>
      </c>
      <c r="P1875" s="199" t="str">
        <f t="shared" si="441"/>
        <v/>
      </c>
      <c r="Q1875" s="199" t="str">
        <f>IF(B1875="","",IFERROR(IF('עלויות כח אדם (6)'!J1875&gt;=VLOOKUP(I1875,'סיווג התפקידים והעלויות'!$B$23:$C$32,2,0),"תקין","לא תקין"),""))</f>
        <v/>
      </c>
      <c r="R1875" s="199" t="str">
        <f t="shared" si="442"/>
        <v/>
      </c>
      <c r="S1875" s="199" t="str">
        <f t="shared" si="443"/>
        <v/>
      </c>
      <c r="T1875" s="199" t="str">
        <f t="shared" si="451"/>
        <v/>
      </c>
      <c r="U1875" s="199" t="str">
        <f t="shared" si="444"/>
        <v/>
      </c>
      <c r="V1875" s="989"/>
      <c r="X1875" s="374" t="str">
        <f t="shared" si="445"/>
        <v/>
      </c>
      <c r="Y1875" s="375" t="str">
        <f t="shared" si="446"/>
        <v/>
      </c>
      <c r="Z1875" s="374" t="str">
        <f t="shared" si="447"/>
        <v/>
      </c>
      <c r="AA1875" s="374" t="b">
        <f t="shared" si="448"/>
        <v>1</v>
      </c>
      <c r="AB1875" s="374">
        <f>COUNTIFS(B:B,B1875,H:H,'סיווג התפקידים והעלויות'!$C$2)</f>
        <v>0</v>
      </c>
      <c r="AC1875" s="374">
        <f>COUNTIFS(B:B,B1875,H:H,'סיווג התפקידים והעלויות'!$D$2)</f>
        <v>0</v>
      </c>
      <c r="AD1875" s="374" t="str">
        <f>IF(OR(AND(H1875='סיווג התפקידים והעלויות'!$A$2,I1875='סיווג התפקידים והעלויות'!$A$3),'עלויות כח אדם (6)'!H1875='סיווג התפקידים והעלויות'!$C$2,'עלויות כח אדם (6)'!H1875='סיווג התפקידים והעלויות'!$D$2),IF('עלויות כח אדם (6)'!J1875&lt;75,"לא תקין","תקין"),"")</f>
        <v/>
      </c>
      <c r="AE1875" s="374" t="str">
        <f t="shared" si="449"/>
        <v/>
      </c>
      <c r="AF1875" s="532" t="str">
        <f t="shared" si="450"/>
        <v/>
      </c>
    </row>
    <row r="1876" spans="2:32" x14ac:dyDescent="0.25">
      <c r="B1876" s="695"/>
      <c r="C1876" s="197" t="str">
        <f>IF(B1876&lt;&gt;"",IFERROR(VLOOKUP(B:B,'מצבת והרשמה (2)'!$C$20:$N$520,2,0)," ")," ")</f>
        <v xml:space="preserve"> </v>
      </c>
      <c r="D1876" s="695"/>
      <c r="E1876" s="696"/>
      <c r="F1876" s="696"/>
      <c r="G1876" s="696"/>
      <c r="H1876" s="696"/>
      <c r="I1876" s="1050" t="str">
        <f t="shared" si="437"/>
        <v/>
      </c>
      <c r="J1876" s="696"/>
      <c r="K1876" s="697"/>
      <c r="L1876" s="696"/>
      <c r="M1876" s="198" t="str">
        <f t="shared" si="438"/>
        <v/>
      </c>
      <c r="N1876" s="369" t="str">
        <f t="shared" si="439"/>
        <v/>
      </c>
      <c r="O1876" s="183" t="str">
        <f t="shared" si="440"/>
        <v/>
      </c>
      <c r="P1876" s="199" t="str">
        <f t="shared" si="441"/>
        <v/>
      </c>
      <c r="Q1876" s="199" t="str">
        <f>IF(B1876="","",IFERROR(IF('עלויות כח אדם (6)'!J1876&gt;=VLOOKUP(I1876,'סיווג התפקידים והעלויות'!$B$23:$C$32,2,0),"תקין","לא תקין"),""))</f>
        <v/>
      </c>
      <c r="R1876" s="199" t="str">
        <f t="shared" si="442"/>
        <v/>
      </c>
      <c r="S1876" s="199" t="str">
        <f t="shared" si="443"/>
        <v/>
      </c>
      <c r="T1876" s="199" t="str">
        <f t="shared" si="451"/>
        <v/>
      </c>
      <c r="U1876" s="199" t="str">
        <f t="shared" si="444"/>
        <v/>
      </c>
      <c r="V1876" s="989"/>
      <c r="X1876" s="374" t="str">
        <f t="shared" si="445"/>
        <v/>
      </c>
      <c r="Y1876" s="375" t="str">
        <f t="shared" si="446"/>
        <v/>
      </c>
      <c r="Z1876" s="374" t="str">
        <f t="shared" si="447"/>
        <v/>
      </c>
      <c r="AA1876" s="374" t="b">
        <f t="shared" si="448"/>
        <v>1</v>
      </c>
      <c r="AB1876" s="374">
        <f>COUNTIFS(B:B,B1876,H:H,'סיווג התפקידים והעלויות'!$C$2)</f>
        <v>0</v>
      </c>
      <c r="AC1876" s="374">
        <f>COUNTIFS(B:B,B1876,H:H,'סיווג התפקידים והעלויות'!$D$2)</f>
        <v>0</v>
      </c>
      <c r="AD1876" s="374" t="str">
        <f>IF(OR(AND(H1876='סיווג התפקידים והעלויות'!$A$2,I1876='סיווג התפקידים והעלויות'!$A$3),'עלויות כח אדם (6)'!H1876='סיווג התפקידים והעלויות'!$C$2,'עלויות כח אדם (6)'!H1876='סיווג התפקידים והעלויות'!$D$2),IF('עלויות כח אדם (6)'!J1876&lt;75,"לא תקין","תקין"),"")</f>
        <v/>
      </c>
      <c r="AE1876" s="374" t="str">
        <f t="shared" si="449"/>
        <v/>
      </c>
      <c r="AF1876" s="532" t="str">
        <f t="shared" si="450"/>
        <v/>
      </c>
    </row>
    <row r="1877" spans="2:32" x14ac:dyDescent="0.25">
      <c r="B1877" s="695"/>
      <c r="C1877" s="197" t="str">
        <f>IF(B1877&lt;&gt;"",IFERROR(VLOOKUP(B:B,'מצבת והרשמה (2)'!$C$20:$N$520,2,0)," ")," ")</f>
        <v xml:space="preserve"> </v>
      </c>
      <c r="D1877" s="695"/>
      <c r="E1877" s="696"/>
      <c r="F1877" s="696"/>
      <c r="G1877" s="696"/>
      <c r="H1877" s="696"/>
      <c r="I1877" s="1050" t="str">
        <f t="shared" si="437"/>
        <v/>
      </c>
      <c r="J1877" s="696"/>
      <c r="K1877" s="697"/>
      <c r="L1877" s="696"/>
      <c r="M1877" s="198" t="str">
        <f t="shared" si="438"/>
        <v/>
      </c>
      <c r="N1877" s="369" t="str">
        <f t="shared" si="439"/>
        <v/>
      </c>
      <c r="O1877" s="183" t="str">
        <f t="shared" si="440"/>
        <v/>
      </c>
      <c r="P1877" s="199" t="str">
        <f t="shared" si="441"/>
        <v/>
      </c>
      <c r="Q1877" s="199" t="str">
        <f>IF(B1877="","",IFERROR(IF('עלויות כח אדם (6)'!J1877&gt;=VLOOKUP(I1877,'סיווג התפקידים והעלויות'!$B$23:$C$32,2,0),"תקין","לא תקין"),""))</f>
        <v/>
      </c>
      <c r="R1877" s="199" t="str">
        <f t="shared" si="442"/>
        <v/>
      </c>
      <c r="S1877" s="199" t="str">
        <f t="shared" si="443"/>
        <v/>
      </c>
      <c r="T1877" s="199" t="str">
        <f t="shared" si="451"/>
        <v/>
      </c>
      <c r="U1877" s="199" t="str">
        <f t="shared" si="444"/>
        <v/>
      </c>
      <c r="V1877" s="989"/>
      <c r="X1877" s="374" t="str">
        <f t="shared" si="445"/>
        <v/>
      </c>
      <c r="Y1877" s="375" t="str">
        <f t="shared" si="446"/>
        <v/>
      </c>
      <c r="Z1877" s="374" t="str">
        <f t="shared" si="447"/>
        <v/>
      </c>
      <c r="AA1877" s="374" t="b">
        <f t="shared" si="448"/>
        <v>1</v>
      </c>
      <c r="AB1877" s="374">
        <f>COUNTIFS(B:B,B1877,H:H,'סיווג התפקידים והעלויות'!$C$2)</f>
        <v>0</v>
      </c>
      <c r="AC1877" s="374">
        <f>COUNTIFS(B:B,B1877,H:H,'סיווג התפקידים והעלויות'!$D$2)</f>
        <v>0</v>
      </c>
      <c r="AD1877" s="374" t="str">
        <f>IF(OR(AND(H1877='סיווג התפקידים והעלויות'!$A$2,I1877='סיווג התפקידים והעלויות'!$A$3),'עלויות כח אדם (6)'!H1877='סיווג התפקידים והעלויות'!$C$2,'עלויות כח אדם (6)'!H1877='סיווג התפקידים והעלויות'!$D$2),IF('עלויות כח אדם (6)'!J1877&lt;75,"לא תקין","תקין"),"")</f>
        <v/>
      </c>
      <c r="AE1877" s="374" t="str">
        <f t="shared" si="449"/>
        <v/>
      </c>
      <c r="AF1877" s="532" t="str">
        <f t="shared" si="450"/>
        <v/>
      </c>
    </row>
    <row r="1878" spans="2:32" x14ac:dyDescent="0.25">
      <c r="B1878" s="695"/>
      <c r="C1878" s="197" t="str">
        <f>IF(B1878&lt;&gt;"",IFERROR(VLOOKUP(B:B,'מצבת והרשמה (2)'!$C$20:$N$520,2,0)," ")," ")</f>
        <v xml:space="preserve"> </v>
      </c>
      <c r="D1878" s="695"/>
      <c r="E1878" s="696"/>
      <c r="F1878" s="696"/>
      <c r="G1878" s="696"/>
      <c r="H1878" s="696"/>
      <c r="I1878" s="1050" t="str">
        <f t="shared" si="437"/>
        <v/>
      </c>
      <c r="J1878" s="696"/>
      <c r="K1878" s="697"/>
      <c r="L1878" s="696"/>
      <c r="M1878" s="198" t="str">
        <f t="shared" si="438"/>
        <v/>
      </c>
      <c r="N1878" s="369" t="str">
        <f t="shared" si="439"/>
        <v/>
      </c>
      <c r="O1878" s="183" t="str">
        <f t="shared" si="440"/>
        <v/>
      </c>
      <c r="P1878" s="199" t="str">
        <f t="shared" si="441"/>
        <v/>
      </c>
      <c r="Q1878" s="199" t="str">
        <f>IF(B1878="","",IFERROR(IF('עלויות כח אדם (6)'!J1878&gt;=VLOOKUP(I1878,'סיווג התפקידים והעלויות'!$B$23:$C$32,2,0),"תקין","לא תקין"),""))</f>
        <v/>
      </c>
      <c r="R1878" s="199" t="str">
        <f t="shared" si="442"/>
        <v/>
      </c>
      <c r="S1878" s="199" t="str">
        <f t="shared" si="443"/>
        <v/>
      </c>
      <c r="T1878" s="199" t="str">
        <f t="shared" si="451"/>
        <v/>
      </c>
      <c r="U1878" s="199" t="str">
        <f t="shared" si="444"/>
        <v/>
      </c>
      <c r="V1878" s="989"/>
      <c r="X1878" s="374" t="str">
        <f t="shared" si="445"/>
        <v/>
      </c>
      <c r="Y1878" s="375" t="str">
        <f t="shared" si="446"/>
        <v/>
      </c>
      <c r="Z1878" s="374" t="str">
        <f t="shared" si="447"/>
        <v/>
      </c>
      <c r="AA1878" s="374" t="b">
        <f t="shared" si="448"/>
        <v>1</v>
      </c>
      <c r="AB1878" s="374">
        <f>COUNTIFS(B:B,B1878,H:H,'סיווג התפקידים והעלויות'!$C$2)</f>
        <v>0</v>
      </c>
      <c r="AC1878" s="374">
        <f>COUNTIFS(B:B,B1878,H:H,'סיווג התפקידים והעלויות'!$D$2)</f>
        <v>0</v>
      </c>
      <c r="AD1878" s="374" t="str">
        <f>IF(OR(AND(H1878='סיווג התפקידים והעלויות'!$A$2,I1878='סיווג התפקידים והעלויות'!$A$3),'עלויות כח אדם (6)'!H1878='סיווג התפקידים והעלויות'!$C$2,'עלויות כח אדם (6)'!H1878='סיווג התפקידים והעלויות'!$D$2),IF('עלויות כח אדם (6)'!J1878&lt;75,"לא תקין","תקין"),"")</f>
        <v/>
      </c>
      <c r="AE1878" s="374" t="str">
        <f t="shared" si="449"/>
        <v/>
      </c>
      <c r="AF1878" s="532" t="str">
        <f t="shared" si="450"/>
        <v/>
      </c>
    </row>
    <row r="1879" spans="2:32" x14ac:dyDescent="0.25">
      <c r="B1879" s="695"/>
      <c r="C1879" s="197" t="str">
        <f>IF(B1879&lt;&gt;"",IFERROR(VLOOKUP(B:B,'מצבת והרשמה (2)'!$C$20:$N$520,2,0)," ")," ")</f>
        <v xml:space="preserve"> </v>
      </c>
      <c r="D1879" s="695"/>
      <c r="E1879" s="696"/>
      <c r="F1879" s="696"/>
      <c r="G1879" s="696"/>
      <c r="H1879" s="696"/>
      <c r="I1879" s="1050" t="str">
        <f t="shared" si="437"/>
        <v/>
      </c>
      <c r="J1879" s="696"/>
      <c r="K1879" s="697"/>
      <c r="L1879" s="696"/>
      <c r="M1879" s="198" t="str">
        <f t="shared" si="438"/>
        <v/>
      </c>
      <c r="N1879" s="369" t="str">
        <f t="shared" si="439"/>
        <v/>
      </c>
      <c r="O1879" s="183" t="str">
        <f t="shared" si="440"/>
        <v/>
      </c>
      <c r="P1879" s="199" t="str">
        <f t="shared" si="441"/>
        <v/>
      </c>
      <c r="Q1879" s="199" t="str">
        <f>IF(B1879="","",IFERROR(IF('עלויות כח אדם (6)'!J1879&gt;=VLOOKUP(I1879,'סיווג התפקידים והעלויות'!$B$23:$C$32,2,0),"תקין","לא תקין"),""))</f>
        <v/>
      </c>
      <c r="R1879" s="199" t="str">
        <f t="shared" si="442"/>
        <v/>
      </c>
      <c r="S1879" s="199" t="str">
        <f t="shared" si="443"/>
        <v/>
      </c>
      <c r="T1879" s="199" t="str">
        <f t="shared" si="451"/>
        <v/>
      </c>
      <c r="U1879" s="199" t="str">
        <f t="shared" si="444"/>
        <v/>
      </c>
      <c r="V1879" s="989"/>
      <c r="X1879" s="374" t="str">
        <f t="shared" si="445"/>
        <v/>
      </c>
      <c r="Y1879" s="375" t="str">
        <f t="shared" si="446"/>
        <v/>
      </c>
      <c r="Z1879" s="374" t="str">
        <f t="shared" si="447"/>
        <v/>
      </c>
      <c r="AA1879" s="374" t="b">
        <f t="shared" si="448"/>
        <v>1</v>
      </c>
      <c r="AB1879" s="374">
        <f>COUNTIFS(B:B,B1879,H:H,'סיווג התפקידים והעלויות'!$C$2)</f>
        <v>0</v>
      </c>
      <c r="AC1879" s="374">
        <f>COUNTIFS(B:B,B1879,H:H,'סיווג התפקידים והעלויות'!$D$2)</f>
        <v>0</v>
      </c>
      <c r="AD1879" s="374" t="str">
        <f>IF(OR(AND(H1879='סיווג התפקידים והעלויות'!$A$2,I1879='סיווג התפקידים והעלויות'!$A$3),'עלויות כח אדם (6)'!H1879='סיווג התפקידים והעלויות'!$C$2,'עלויות כח אדם (6)'!H1879='סיווג התפקידים והעלויות'!$D$2),IF('עלויות כח אדם (6)'!J1879&lt;75,"לא תקין","תקין"),"")</f>
        <v/>
      </c>
      <c r="AE1879" s="374" t="str">
        <f t="shared" si="449"/>
        <v/>
      </c>
      <c r="AF1879" s="532" t="str">
        <f t="shared" si="450"/>
        <v/>
      </c>
    </row>
    <row r="1880" spans="2:32" x14ac:dyDescent="0.25">
      <c r="B1880" s="695"/>
      <c r="C1880" s="197" t="str">
        <f>IF(B1880&lt;&gt;"",IFERROR(VLOOKUP(B:B,'מצבת והרשמה (2)'!$C$20:$N$520,2,0)," ")," ")</f>
        <v xml:space="preserve"> </v>
      </c>
      <c r="D1880" s="695"/>
      <c r="E1880" s="696"/>
      <c r="F1880" s="696"/>
      <c r="G1880" s="696"/>
      <c r="H1880" s="696"/>
      <c r="I1880" s="1050" t="str">
        <f t="shared" si="437"/>
        <v/>
      </c>
      <c r="J1880" s="696"/>
      <c r="K1880" s="697"/>
      <c r="L1880" s="696"/>
      <c r="M1880" s="198" t="str">
        <f t="shared" si="438"/>
        <v/>
      </c>
      <c r="N1880" s="369" t="str">
        <f t="shared" si="439"/>
        <v/>
      </c>
      <c r="O1880" s="183" t="str">
        <f t="shared" si="440"/>
        <v/>
      </c>
      <c r="P1880" s="199" t="str">
        <f t="shared" si="441"/>
        <v/>
      </c>
      <c r="Q1880" s="199" t="str">
        <f>IF(B1880="","",IFERROR(IF('עלויות כח אדם (6)'!J1880&gt;=VLOOKUP(I1880,'סיווג התפקידים והעלויות'!$B$23:$C$32,2,0),"תקין","לא תקין"),""))</f>
        <v/>
      </c>
      <c r="R1880" s="199" t="str">
        <f t="shared" si="442"/>
        <v/>
      </c>
      <c r="S1880" s="199" t="str">
        <f t="shared" si="443"/>
        <v/>
      </c>
      <c r="T1880" s="199" t="str">
        <f t="shared" si="451"/>
        <v/>
      </c>
      <c r="U1880" s="199" t="str">
        <f t="shared" si="444"/>
        <v/>
      </c>
      <c r="V1880" s="989"/>
      <c r="X1880" s="374" t="str">
        <f t="shared" si="445"/>
        <v/>
      </c>
      <c r="Y1880" s="375" t="str">
        <f t="shared" si="446"/>
        <v/>
      </c>
      <c r="Z1880" s="374" t="str">
        <f t="shared" si="447"/>
        <v/>
      </c>
      <c r="AA1880" s="374" t="b">
        <f t="shared" si="448"/>
        <v>1</v>
      </c>
      <c r="AB1880" s="374">
        <f>COUNTIFS(B:B,B1880,H:H,'סיווג התפקידים והעלויות'!$C$2)</f>
        <v>0</v>
      </c>
      <c r="AC1880" s="374">
        <f>COUNTIFS(B:B,B1880,H:H,'סיווג התפקידים והעלויות'!$D$2)</f>
        <v>0</v>
      </c>
      <c r="AD1880" s="374" t="str">
        <f>IF(OR(AND(H1880='סיווג התפקידים והעלויות'!$A$2,I1880='סיווג התפקידים והעלויות'!$A$3),'עלויות כח אדם (6)'!H1880='סיווג התפקידים והעלויות'!$C$2,'עלויות כח אדם (6)'!H1880='סיווג התפקידים והעלויות'!$D$2),IF('עלויות כח אדם (6)'!J1880&lt;75,"לא תקין","תקין"),"")</f>
        <v/>
      </c>
      <c r="AE1880" s="374" t="str">
        <f t="shared" si="449"/>
        <v/>
      </c>
      <c r="AF1880" s="532" t="str">
        <f t="shared" si="450"/>
        <v/>
      </c>
    </row>
    <row r="1881" spans="2:32" x14ac:dyDescent="0.25">
      <c r="B1881" s="695"/>
      <c r="C1881" s="197" t="str">
        <f>IF(B1881&lt;&gt;"",IFERROR(VLOOKUP(B:B,'מצבת והרשמה (2)'!$C$20:$N$520,2,0)," ")," ")</f>
        <v xml:space="preserve"> </v>
      </c>
      <c r="D1881" s="695"/>
      <c r="E1881" s="696"/>
      <c r="F1881" s="696"/>
      <c r="G1881" s="696"/>
      <c r="H1881" s="696"/>
      <c r="I1881" s="1050" t="str">
        <f t="shared" si="437"/>
        <v/>
      </c>
      <c r="J1881" s="696"/>
      <c r="K1881" s="697"/>
      <c r="L1881" s="696"/>
      <c r="M1881" s="198" t="str">
        <f t="shared" si="438"/>
        <v/>
      </c>
      <c r="N1881" s="369" t="str">
        <f t="shared" si="439"/>
        <v/>
      </c>
      <c r="O1881" s="183" t="str">
        <f t="shared" si="440"/>
        <v/>
      </c>
      <c r="P1881" s="199" t="str">
        <f t="shared" si="441"/>
        <v/>
      </c>
      <c r="Q1881" s="199" t="str">
        <f>IF(B1881="","",IFERROR(IF('עלויות כח אדם (6)'!J1881&gt;=VLOOKUP(I1881,'סיווג התפקידים והעלויות'!$B$23:$C$32,2,0),"תקין","לא תקין"),""))</f>
        <v/>
      </c>
      <c r="R1881" s="199" t="str">
        <f t="shared" si="442"/>
        <v/>
      </c>
      <c r="S1881" s="199" t="str">
        <f t="shared" si="443"/>
        <v/>
      </c>
      <c r="T1881" s="199" t="str">
        <f t="shared" si="451"/>
        <v/>
      </c>
      <c r="U1881" s="199" t="str">
        <f t="shared" si="444"/>
        <v/>
      </c>
      <c r="V1881" s="989"/>
      <c r="X1881" s="374" t="str">
        <f t="shared" si="445"/>
        <v/>
      </c>
      <c r="Y1881" s="375" t="str">
        <f t="shared" si="446"/>
        <v/>
      </c>
      <c r="Z1881" s="374" t="str">
        <f t="shared" si="447"/>
        <v/>
      </c>
      <c r="AA1881" s="374" t="b">
        <f t="shared" si="448"/>
        <v>1</v>
      </c>
      <c r="AB1881" s="374">
        <f>COUNTIFS(B:B,B1881,H:H,'סיווג התפקידים והעלויות'!$C$2)</f>
        <v>0</v>
      </c>
      <c r="AC1881" s="374">
        <f>COUNTIFS(B:B,B1881,H:H,'סיווג התפקידים והעלויות'!$D$2)</f>
        <v>0</v>
      </c>
      <c r="AD1881" s="374" t="str">
        <f>IF(OR(AND(H1881='סיווג התפקידים והעלויות'!$A$2,I1881='סיווג התפקידים והעלויות'!$A$3),'עלויות כח אדם (6)'!H1881='סיווג התפקידים והעלויות'!$C$2,'עלויות כח אדם (6)'!H1881='סיווג התפקידים והעלויות'!$D$2),IF('עלויות כח אדם (6)'!J1881&lt;75,"לא תקין","תקין"),"")</f>
        <v/>
      </c>
      <c r="AE1881" s="374" t="str">
        <f t="shared" si="449"/>
        <v/>
      </c>
      <c r="AF1881" s="532" t="str">
        <f t="shared" si="450"/>
        <v/>
      </c>
    </row>
    <row r="1882" spans="2:32" x14ac:dyDescent="0.25">
      <c r="B1882" s="695"/>
      <c r="C1882" s="197" t="str">
        <f>IF(B1882&lt;&gt;"",IFERROR(VLOOKUP(B:B,'מצבת והרשמה (2)'!$C$20:$N$520,2,0)," ")," ")</f>
        <v xml:space="preserve"> </v>
      </c>
      <c r="D1882" s="695"/>
      <c r="E1882" s="696"/>
      <c r="F1882" s="696"/>
      <c r="G1882" s="696"/>
      <c r="H1882" s="696"/>
      <c r="I1882" s="1050" t="str">
        <f t="shared" si="437"/>
        <v/>
      </c>
      <c r="J1882" s="696"/>
      <c r="K1882" s="697"/>
      <c r="L1882" s="696"/>
      <c r="M1882" s="198" t="str">
        <f t="shared" si="438"/>
        <v/>
      </c>
      <c r="N1882" s="369" t="str">
        <f t="shared" si="439"/>
        <v/>
      </c>
      <c r="O1882" s="183" t="str">
        <f t="shared" si="440"/>
        <v/>
      </c>
      <c r="P1882" s="199" t="str">
        <f t="shared" si="441"/>
        <v/>
      </c>
      <c r="Q1882" s="199" t="str">
        <f>IF(B1882="","",IFERROR(IF('עלויות כח אדם (6)'!J1882&gt;=VLOOKUP(I1882,'סיווג התפקידים והעלויות'!$B$23:$C$32,2,0),"תקין","לא תקין"),""))</f>
        <v/>
      </c>
      <c r="R1882" s="199" t="str">
        <f t="shared" si="442"/>
        <v/>
      </c>
      <c r="S1882" s="199" t="str">
        <f t="shared" si="443"/>
        <v/>
      </c>
      <c r="T1882" s="199" t="str">
        <f t="shared" si="451"/>
        <v/>
      </c>
      <c r="U1882" s="199" t="str">
        <f t="shared" si="444"/>
        <v/>
      </c>
      <c r="V1882" s="989"/>
      <c r="X1882" s="374" t="str">
        <f t="shared" si="445"/>
        <v/>
      </c>
      <c r="Y1882" s="375" t="str">
        <f t="shared" si="446"/>
        <v/>
      </c>
      <c r="Z1882" s="374" t="str">
        <f t="shared" si="447"/>
        <v/>
      </c>
      <c r="AA1882" s="374" t="b">
        <f t="shared" si="448"/>
        <v>1</v>
      </c>
      <c r="AB1882" s="374">
        <f>COUNTIFS(B:B,B1882,H:H,'סיווג התפקידים והעלויות'!$C$2)</f>
        <v>0</v>
      </c>
      <c r="AC1882" s="374">
        <f>COUNTIFS(B:B,B1882,H:H,'סיווג התפקידים והעלויות'!$D$2)</f>
        <v>0</v>
      </c>
      <c r="AD1882" s="374" t="str">
        <f>IF(OR(AND(H1882='סיווג התפקידים והעלויות'!$A$2,I1882='סיווג התפקידים והעלויות'!$A$3),'עלויות כח אדם (6)'!H1882='סיווג התפקידים והעלויות'!$C$2,'עלויות כח אדם (6)'!H1882='סיווג התפקידים והעלויות'!$D$2),IF('עלויות כח אדם (6)'!J1882&lt;75,"לא תקין","תקין"),"")</f>
        <v/>
      </c>
      <c r="AE1882" s="374" t="str">
        <f t="shared" si="449"/>
        <v/>
      </c>
      <c r="AF1882" s="532" t="str">
        <f t="shared" si="450"/>
        <v/>
      </c>
    </row>
    <row r="1883" spans="2:32" x14ac:dyDescent="0.25">
      <c r="B1883" s="695"/>
      <c r="C1883" s="197" t="str">
        <f>IF(B1883&lt;&gt;"",IFERROR(VLOOKUP(B:B,'מצבת והרשמה (2)'!$C$20:$N$520,2,0)," ")," ")</f>
        <v xml:space="preserve"> </v>
      </c>
      <c r="D1883" s="695"/>
      <c r="E1883" s="696"/>
      <c r="F1883" s="696"/>
      <c r="G1883" s="696"/>
      <c r="H1883" s="696"/>
      <c r="I1883" s="1050" t="str">
        <f t="shared" si="437"/>
        <v/>
      </c>
      <c r="J1883" s="696"/>
      <c r="K1883" s="697"/>
      <c r="L1883" s="696"/>
      <c r="M1883" s="198" t="str">
        <f t="shared" si="438"/>
        <v/>
      </c>
      <c r="N1883" s="369" t="str">
        <f t="shared" si="439"/>
        <v/>
      </c>
      <c r="O1883" s="183" t="str">
        <f t="shared" si="440"/>
        <v/>
      </c>
      <c r="P1883" s="199" t="str">
        <f t="shared" si="441"/>
        <v/>
      </c>
      <c r="Q1883" s="199" t="str">
        <f>IF(B1883="","",IFERROR(IF('עלויות כח אדם (6)'!J1883&gt;=VLOOKUP(I1883,'סיווג התפקידים והעלויות'!$B$23:$C$32,2,0),"תקין","לא תקין"),""))</f>
        <v/>
      </c>
      <c r="R1883" s="199" t="str">
        <f t="shared" si="442"/>
        <v/>
      </c>
      <c r="S1883" s="199" t="str">
        <f t="shared" si="443"/>
        <v/>
      </c>
      <c r="T1883" s="199" t="str">
        <f t="shared" si="451"/>
        <v/>
      </c>
      <c r="U1883" s="199" t="str">
        <f t="shared" si="444"/>
        <v/>
      </c>
      <c r="V1883" s="989"/>
      <c r="X1883" s="374" t="str">
        <f t="shared" si="445"/>
        <v/>
      </c>
      <c r="Y1883" s="375" t="str">
        <f t="shared" si="446"/>
        <v/>
      </c>
      <c r="Z1883" s="374" t="str">
        <f t="shared" si="447"/>
        <v/>
      </c>
      <c r="AA1883" s="374" t="b">
        <f t="shared" si="448"/>
        <v>1</v>
      </c>
      <c r="AB1883" s="374">
        <f>COUNTIFS(B:B,B1883,H:H,'סיווג התפקידים והעלויות'!$C$2)</f>
        <v>0</v>
      </c>
      <c r="AC1883" s="374">
        <f>COUNTIFS(B:B,B1883,H:H,'סיווג התפקידים והעלויות'!$D$2)</f>
        <v>0</v>
      </c>
      <c r="AD1883" s="374" t="str">
        <f>IF(OR(AND(H1883='סיווג התפקידים והעלויות'!$A$2,I1883='סיווג התפקידים והעלויות'!$A$3),'עלויות כח אדם (6)'!H1883='סיווג התפקידים והעלויות'!$C$2,'עלויות כח אדם (6)'!H1883='סיווג התפקידים והעלויות'!$D$2),IF('עלויות כח אדם (6)'!J1883&lt;75,"לא תקין","תקין"),"")</f>
        <v/>
      </c>
      <c r="AE1883" s="374" t="str">
        <f t="shared" si="449"/>
        <v/>
      </c>
      <c r="AF1883" s="532" t="str">
        <f t="shared" si="450"/>
        <v/>
      </c>
    </row>
    <row r="1884" spans="2:32" x14ac:dyDescent="0.25">
      <c r="B1884" s="695"/>
      <c r="C1884" s="197" t="str">
        <f>IF(B1884&lt;&gt;"",IFERROR(VLOOKUP(B:B,'מצבת והרשמה (2)'!$C$20:$N$520,2,0)," ")," ")</f>
        <v xml:space="preserve"> </v>
      </c>
      <c r="D1884" s="695"/>
      <c r="E1884" s="696"/>
      <c r="F1884" s="696"/>
      <c r="G1884" s="696"/>
      <c r="H1884" s="696"/>
      <c r="I1884" s="1050" t="str">
        <f t="shared" si="437"/>
        <v/>
      </c>
      <c r="J1884" s="696"/>
      <c r="K1884" s="697"/>
      <c r="L1884" s="696"/>
      <c r="M1884" s="198" t="str">
        <f t="shared" si="438"/>
        <v/>
      </c>
      <c r="N1884" s="369" t="str">
        <f t="shared" si="439"/>
        <v/>
      </c>
      <c r="O1884" s="183" t="str">
        <f t="shared" si="440"/>
        <v/>
      </c>
      <c r="P1884" s="199" t="str">
        <f t="shared" si="441"/>
        <v/>
      </c>
      <c r="Q1884" s="199" t="str">
        <f>IF(B1884="","",IFERROR(IF('עלויות כח אדם (6)'!J1884&gt;=VLOOKUP(I1884,'סיווג התפקידים והעלויות'!$B$23:$C$32,2,0),"תקין","לא תקין"),""))</f>
        <v/>
      </c>
      <c r="R1884" s="199" t="str">
        <f t="shared" si="442"/>
        <v/>
      </c>
      <c r="S1884" s="199" t="str">
        <f t="shared" si="443"/>
        <v/>
      </c>
      <c r="T1884" s="199" t="str">
        <f t="shared" si="451"/>
        <v/>
      </c>
      <c r="U1884" s="199" t="str">
        <f t="shared" si="444"/>
        <v/>
      </c>
      <c r="V1884" s="989"/>
      <c r="X1884" s="374" t="str">
        <f t="shared" si="445"/>
        <v/>
      </c>
      <c r="Y1884" s="375" t="str">
        <f t="shared" si="446"/>
        <v/>
      </c>
      <c r="Z1884" s="374" t="str">
        <f t="shared" si="447"/>
        <v/>
      </c>
      <c r="AA1884" s="374" t="b">
        <f t="shared" si="448"/>
        <v>1</v>
      </c>
      <c r="AB1884" s="374">
        <f>COUNTIFS(B:B,B1884,H:H,'סיווג התפקידים והעלויות'!$C$2)</f>
        <v>0</v>
      </c>
      <c r="AC1884" s="374">
        <f>COUNTIFS(B:B,B1884,H:H,'סיווג התפקידים והעלויות'!$D$2)</f>
        <v>0</v>
      </c>
      <c r="AD1884" s="374" t="str">
        <f>IF(OR(AND(H1884='סיווג התפקידים והעלויות'!$A$2,I1884='סיווג התפקידים והעלויות'!$A$3),'עלויות כח אדם (6)'!H1884='סיווג התפקידים והעלויות'!$C$2,'עלויות כח אדם (6)'!H1884='סיווג התפקידים והעלויות'!$D$2),IF('עלויות כח אדם (6)'!J1884&lt;75,"לא תקין","תקין"),"")</f>
        <v/>
      </c>
      <c r="AE1884" s="374" t="str">
        <f t="shared" si="449"/>
        <v/>
      </c>
      <c r="AF1884" s="532" t="str">
        <f t="shared" si="450"/>
        <v/>
      </c>
    </row>
    <row r="1885" spans="2:32" x14ac:dyDescent="0.25">
      <c r="B1885" s="695"/>
      <c r="C1885" s="197" t="str">
        <f>IF(B1885&lt;&gt;"",IFERROR(VLOOKUP(B:B,'מצבת והרשמה (2)'!$C$20:$N$520,2,0)," ")," ")</f>
        <v xml:space="preserve"> </v>
      </c>
      <c r="D1885" s="695"/>
      <c r="E1885" s="696"/>
      <c r="F1885" s="696"/>
      <c r="G1885" s="696"/>
      <c r="H1885" s="696"/>
      <c r="I1885" s="1050" t="str">
        <f t="shared" si="437"/>
        <v/>
      </c>
      <c r="J1885" s="696"/>
      <c r="K1885" s="697"/>
      <c r="L1885" s="696"/>
      <c r="M1885" s="198" t="str">
        <f t="shared" si="438"/>
        <v/>
      </c>
      <c r="N1885" s="369" t="str">
        <f t="shared" si="439"/>
        <v/>
      </c>
      <c r="O1885" s="183" t="str">
        <f t="shared" si="440"/>
        <v/>
      </c>
      <c r="P1885" s="199" t="str">
        <f t="shared" si="441"/>
        <v/>
      </c>
      <c r="Q1885" s="199" t="str">
        <f>IF(B1885="","",IFERROR(IF('עלויות כח אדם (6)'!J1885&gt;=VLOOKUP(I1885,'סיווג התפקידים והעלויות'!$B$23:$C$32,2,0),"תקין","לא תקין"),""))</f>
        <v/>
      </c>
      <c r="R1885" s="199" t="str">
        <f t="shared" si="442"/>
        <v/>
      </c>
      <c r="S1885" s="199" t="str">
        <f t="shared" si="443"/>
        <v/>
      </c>
      <c r="T1885" s="199" t="str">
        <f t="shared" si="451"/>
        <v/>
      </c>
      <c r="U1885" s="199" t="str">
        <f t="shared" si="444"/>
        <v/>
      </c>
      <c r="V1885" s="989"/>
      <c r="X1885" s="374" t="str">
        <f t="shared" si="445"/>
        <v/>
      </c>
      <c r="Y1885" s="375" t="str">
        <f t="shared" si="446"/>
        <v/>
      </c>
      <c r="Z1885" s="374" t="str">
        <f t="shared" si="447"/>
        <v/>
      </c>
      <c r="AA1885" s="374" t="b">
        <f t="shared" si="448"/>
        <v>1</v>
      </c>
      <c r="AB1885" s="374">
        <f>COUNTIFS(B:B,B1885,H:H,'סיווג התפקידים והעלויות'!$C$2)</f>
        <v>0</v>
      </c>
      <c r="AC1885" s="374">
        <f>COUNTIFS(B:B,B1885,H:H,'סיווג התפקידים והעלויות'!$D$2)</f>
        <v>0</v>
      </c>
      <c r="AD1885" s="374" t="str">
        <f>IF(OR(AND(H1885='סיווג התפקידים והעלויות'!$A$2,I1885='סיווג התפקידים והעלויות'!$A$3),'עלויות כח אדם (6)'!H1885='סיווג התפקידים והעלויות'!$C$2,'עלויות כח אדם (6)'!H1885='סיווג התפקידים והעלויות'!$D$2),IF('עלויות כח אדם (6)'!J1885&lt;75,"לא תקין","תקין"),"")</f>
        <v/>
      </c>
      <c r="AE1885" s="374" t="str">
        <f t="shared" si="449"/>
        <v/>
      </c>
      <c r="AF1885" s="532" t="str">
        <f t="shared" si="450"/>
        <v/>
      </c>
    </row>
    <row r="1886" spans="2:32" x14ac:dyDescent="0.25">
      <c r="B1886" s="695"/>
      <c r="C1886" s="197" t="str">
        <f>IF(B1886&lt;&gt;"",IFERROR(VLOOKUP(B:B,'מצבת והרשמה (2)'!$C$20:$N$520,2,0)," ")," ")</f>
        <v xml:space="preserve"> </v>
      </c>
      <c r="D1886" s="695"/>
      <c r="E1886" s="696"/>
      <c r="F1886" s="696"/>
      <c r="G1886" s="696"/>
      <c r="H1886" s="696"/>
      <c r="I1886" s="1050" t="str">
        <f t="shared" si="437"/>
        <v/>
      </c>
      <c r="J1886" s="696"/>
      <c r="K1886" s="697"/>
      <c r="L1886" s="696"/>
      <c r="M1886" s="198" t="str">
        <f t="shared" si="438"/>
        <v/>
      </c>
      <c r="N1886" s="369" t="str">
        <f t="shared" si="439"/>
        <v/>
      </c>
      <c r="O1886" s="183" t="str">
        <f t="shared" si="440"/>
        <v/>
      </c>
      <c r="P1886" s="199" t="str">
        <f t="shared" si="441"/>
        <v/>
      </c>
      <c r="Q1886" s="199" t="str">
        <f>IF(B1886="","",IFERROR(IF('עלויות כח אדם (6)'!J1886&gt;=VLOOKUP(I1886,'סיווג התפקידים והעלויות'!$B$23:$C$32,2,0),"תקין","לא תקין"),""))</f>
        <v/>
      </c>
      <c r="R1886" s="199" t="str">
        <f t="shared" si="442"/>
        <v/>
      </c>
      <c r="S1886" s="199" t="str">
        <f t="shared" si="443"/>
        <v/>
      </c>
      <c r="T1886" s="199" t="str">
        <f t="shared" si="451"/>
        <v/>
      </c>
      <c r="U1886" s="199" t="str">
        <f t="shared" si="444"/>
        <v/>
      </c>
      <c r="V1886" s="989"/>
      <c r="X1886" s="374" t="str">
        <f t="shared" si="445"/>
        <v/>
      </c>
      <c r="Y1886" s="375" t="str">
        <f t="shared" si="446"/>
        <v/>
      </c>
      <c r="Z1886" s="374" t="str">
        <f t="shared" si="447"/>
        <v/>
      </c>
      <c r="AA1886" s="374" t="b">
        <f t="shared" si="448"/>
        <v>1</v>
      </c>
      <c r="AB1886" s="374">
        <f>COUNTIFS(B:B,B1886,H:H,'סיווג התפקידים והעלויות'!$C$2)</f>
        <v>0</v>
      </c>
      <c r="AC1886" s="374">
        <f>COUNTIFS(B:B,B1886,H:H,'סיווג התפקידים והעלויות'!$D$2)</f>
        <v>0</v>
      </c>
      <c r="AD1886" s="374" t="str">
        <f>IF(OR(AND(H1886='סיווג התפקידים והעלויות'!$A$2,I1886='סיווג התפקידים והעלויות'!$A$3),'עלויות כח אדם (6)'!H1886='סיווג התפקידים והעלויות'!$C$2,'עלויות כח אדם (6)'!H1886='סיווג התפקידים והעלויות'!$D$2),IF('עלויות כח אדם (6)'!J1886&lt;75,"לא תקין","תקין"),"")</f>
        <v/>
      </c>
      <c r="AE1886" s="374" t="str">
        <f t="shared" si="449"/>
        <v/>
      </c>
      <c r="AF1886" s="532" t="str">
        <f t="shared" si="450"/>
        <v/>
      </c>
    </row>
    <row r="1887" spans="2:32" x14ac:dyDescent="0.25">
      <c r="B1887" s="695"/>
      <c r="C1887" s="197" t="str">
        <f>IF(B1887&lt;&gt;"",IFERROR(VLOOKUP(B:B,'מצבת והרשמה (2)'!$C$20:$N$520,2,0)," ")," ")</f>
        <v xml:space="preserve"> </v>
      </c>
      <c r="D1887" s="695"/>
      <c r="E1887" s="696"/>
      <c r="F1887" s="696"/>
      <c r="G1887" s="696"/>
      <c r="H1887" s="696"/>
      <c r="I1887" s="1050" t="str">
        <f t="shared" si="437"/>
        <v/>
      </c>
      <c r="J1887" s="696"/>
      <c r="K1887" s="697"/>
      <c r="L1887" s="696"/>
      <c r="M1887" s="198" t="str">
        <f t="shared" si="438"/>
        <v/>
      </c>
      <c r="N1887" s="369" t="str">
        <f t="shared" si="439"/>
        <v/>
      </c>
      <c r="O1887" s="183" t="str">
        <f t="shared" si="440"/>
        <v/>
      </c>
      <c r="P1887" s="199" t="str">
        <f t="shared" si="441"/>
        <v/>
      </c>
      <c r="Q1887" s="199" t="str">
        <f>IF(B1887="","",IFERROR(IF('עלויות כח אדם (6)'!J1887&gt;=VLOOKUP(I1887,'סיווג התפקידים והעלויות'!$B$23:$C$32,2,0),"תקין","לא תקין"),""))</f>
        <v/>
      </c>
      <c r="R1887" s="199" t="str">
        <f t="shared" si="442"/>
        <v/>
      </c>
      <c r="S1887" s="199" t="str">
        <f t="shared" si="443"/>
        <v/>
      </c>
      <c r="T1887" s="199" t="str">
        <f t="shared" si="451"/>
        <v/>
      </c>
      <c r="U1887" s="199" t="str">
        <f t="shared" si="444"/>
        <v/>
      </c>
      <c r="V1887" s="989"/>
      <c r="X1887" s="374" t="str">
        <f t="shared" si="445"/>
        <v/>
      </c>
      <c r="Y1887" s="375" t="str">
        <f t="shared" si="446"/>
        <v/>
      </c>
      <c r="Z1887" s="374" t="str">
        <f t="shared" si="447"/>
        <v/>
      </c>
      <c r="AA1887" s="374" t="b">
        <f t="shared" si="448"/>
        <v>1</v>
      </c>
      <c r="AB1887" s="374">
        <f>COUNTIFS(B:B,B1887,H:H,'סיווג התפקידים והעלויות'!$C$2)</f>
        <v>0</v>
      </c>
      <c r="AC1887" s="374">
        <f>COUNTIFS(B:B,B1887,H:H,'סיווג התפקידים והעלויות'!$D$2)</f>
        <v>0</v>
      </c>
      <c r="AD1887" s="374" t="str">
        <f>IF(OR(AND(H1887='סיווג התפקידים והעלויות'!$A$2,I1887='סיווג התפקידים והעלויות'!$A$3),'עלויות כח אדם (6)'!H1887='סיווג התפקידים והעלויות'!$C$2,'עלויות כח אדם (6)'!H1887='סיווג התפקידים והעלויות'!$D$2),IF('עלויות כח אדם (6)'!J1887&lt;75,"לא תקין","תקין"),"")</f>
        <v/>
      </c>
      <c r="AE1887" s="374" t="str">
        <f t="shared" si="449"/>
        <v/>
      </c>
      <c r="AF1887" s="532" t="str">
        <f t="shared" si="450"/>
        <v/>
      </c>
    </row>
    <row r="1888" spans="2:32" x14ac:dyDescent="0.25">
      <c r="B1888" s="695"/>
      <c r="C1888" s="197" t="str">
        <f>IF(B1888&lt;&gt;"",IFERROR(VLOOKUP(B:B,'מצבת והרשמה (2)'!$C$20:$N$520,2,0)," ")," ")</f>
        <v xml:space="preserve"> </v>
      </c>
      <c r="D1888" s="695"/>
      <c r="E1888" s="696"/>
      <c r="F1888" s="696"/>
      <c r="G1888" s="696"/>
      <c r="H1888" s="696"/>
      <c r="I1888" s="1050" t="str">
        <f t="shared" si="437"/>
        <v/>
      </c>
      <c r="J1888" s="696"/>
      <c r="K1888" s="697"/>
      <c r="L1888" s="696"/>
      <c r="M1888" s="198" t="str">
        <f t="shared" si="438"/>
        <v/>
      </c>
      <c r="N1888" s="369" t="str">
        <f t="shared" si="439"/>
        <v/>
      </c>
      <c r="O1888" s="183" t="str">
        <f t="shared" si="440"/>
        <v/>
      </c>
      <c r="P1888" s="199" t="str">
        <f t="shared" si="441"/>
        <v/>
      </c>
      <c r="Q1888" s="199" t="str">
        <f>IF(B1888="","",IFERROR(IF('עלויות כח אדם (6)'!J1888&gt;=VLOOKUP(I1888,'סיווג התפקידים והעלויות'!$B$23:$C$32,2,0),"תקין","לא תקין"),""))</f>
        <v/>
      </c>
      <c r="R1888" s="199" t="str">
        <f t="shared" si="442"/>
        <v/>
      </c>
      <c r="S1888" s="199" t="str">
        <f t="shared" si="443"/>
        <v/>
      </c>
      <c r="T1888" s="199" t="str">
        <f t="shared" si="451"/>
        <v/>
      </c>
      <c r="U1888" s="199" t="str">
        <f t="shared" si="444"/>
        <v/>
      </c>
      <c r="V1888" s="989"/>
      <c r="X1888" s="374" t="str">
        <f t="shared" si="445"/>
        <v/>
      </c>
      <c r="Y1888" s="375" t="str">
        <f t="shared" si="446"/>
        <v/>
      </c>
      <c r="Z1888" s="374" t="str">
        <f t="shared" si="447"/>
        <v/>
      </c>
      <c r="AA1888" s="374" t="b">
        <f t="shared" si="448"/>
        <v>1</v>
      </c>
      <c r="AB1888" s="374">
        <f>COUNTIFS(B:B,B1888,H:H,'סיווג התפקידים והעלויות'!$C$2)</f>
        <v>0</v>
      </c>
      <c r="AC1888" s="374">
        <f>COUNTIFS(B:B,B1888,H:H,'סיווג התפקידים והעלויות'!$D$2)</f>
        <v>0</v>
      </c>
      <c r="AD1888" s="374" t="str">
        <f>IF(OR(AND(H1888='סיווג התפקידים והעלויות'!$A$2,I1888='סיווג התפקידים והעלויות'!$A$3),'עלויות כח אדם (6)'!H1888='סיווג התפקידים והעלויות'!$C$2,'עלויות כח אדם (6)'!H1888='סיווג התפקידים והעלויות'!$D$2),IF('עלויות כח אדם (6)'!J1888&lt;75,"לא תקין","תקין"),"")</f>
        <v/>
      </c>
      <c r="AE1888" s="374" t="str">
        <f t="shared" si="449"/>
        <v/>
      </c>
      <c r="AF1888" s="532" t="str">
        <f t="shared" si="450"/>
        <v/>
      </c>
    </row>
    <row r="1889" spans="2:32" x14ac:dyDescent="0.25">
      <c r="B1889" s="695"/>
      <c r="C1889" s="197" t="str">
        <f>IF(B1889&lt;&gt;"",IFERROR(VLOOKUP(B:B,'מצבת והרשמה (2)'!$C$20:$N$520,2,0)," ")," ")</f>
        <v xml:space="preserve"> </v>
      </c>
      <c r="D1889" s="695"/>
      <c r="E1889" s="696"/>
      <c r="F1889" s="696"/>
      <c r="G1889" s="696"/>
      <c r="H1889" s="696"/>
      <c r="I1889" s="1050" t="str">
        <f t="shared" si="437"/>
        <v/>
      </c>
      <c r="J1889" s="696"/>
      <c r="K1889" s="697"/>
      <c r="L1889" s="696"/>
      <c r="M1889" s="198" t="str">
        <f t="shared" si="438"/>
        <v/>
      </c>
      <c r="N1889" s="369" t="str">
        <f t="shared" si="439"/>
        <v/>
      </c>
      <c r="O1889" s="183" t="str">
        <f t="shared" si="440"/>
        <v/>
      </c>
      <c r="P1889" s="199" t="str">
        <f t="shared" si="441"/>
        <v/>
      </c>
      <c r="Q1889" s="199" t="str">
        <f>IF(B1889="","",IFERROR(IF('עלויות כח אדם (6)'!J1889&gt;=VLOOKUP(I1889,'סיווג התפקידים והעלויות'!$B$23:$C$32,2,0),"תקין","לא תקין"),""))</f>
        <v/>
      </c>
      <c r="R1889" s="199" t="str">
        <f t="shared" si="442"/>
        <v/>
      </c>
      <c r="S1889" s="199" t="str">
        <f t="shared" si="443"/>
        <v/>
      </c>
      <c r="T1889" s="199" t="str">
        <f t="shared" si="451"/>
        <v/>
      </c>
      <c r="U1889" s="199" t="str">
        <f t="shared" si="444"/>
        <v/>
      </c>
      <c r="V1889" s="989"/>
      <c r="X1889" s="374" t="str">
        <f t="shared" si="445"/>
        <v/>
      </c>
      <c r="Y1889" s="375" t="str">
        <f t="shared" si="446"/>
        <v/>
      </c>
      <c r="Z1889" s="374" t="str">
        <f t="shared" si="447"/>
        <v/>
      </c>
      <c r="AA1889" s="374" t="b">
        <f t="shared" si="448"/>
        <v>1</v>
      </c>
      <c r="AB1889" s="374">
        <f>COUNTIFS(B:B,B1889,H:H,'סיווג התפקידים והעלויות'!$C$2)</f>
        <v>0</v>
      </c>
      <c r="AC1889" s="374">
        <f>COUNTIFS(B:B,B1889,H:H,'סיווג התפקידים והעלויות'!$D$2)</f>
        <v>0</v>
      </c>
      <c r="AD1889" s="374" t="str">
        <f>IF(OR(AND(H1889='סיווג התפקידים והעלויות'!$A$2,I1889='סיווג התפקידים והעלויות'!$A$3),'עלויות כח אדם (6)'!H1889='סיווג התפקידים והעלויות'!$C$2,'עלויות כח אדם (6)'!H1889='סיווג התפקידים והעלויות'!$D$2),IF('עלויות כח אדם (6)'!J1889&lt;75,"לא תקין","תקין"),"")</f>
        <v/>
      </c>
      <c r="AE1889" s="374" t="str">
        <f t="shared" si="449"/>
        <v/>
      </c>
      <c r="AF1889" s="532" t="str">
        <f t="shared" si="450"/>
        <v/>
      </c>
    </row>
    <row r="1890" spans="2:32" x14ac:dyDescent="0.25">
      <c r="B1890" s="695"/>
      <c r="C1890" s="197" t="str">
        <f>IF(B1890&lt;&gt;"",IFERROR(VLOOKUP(B:B,'מצבת והרשמה (2)'!$C$20:$N$520,2,0)," ")," ")</f>
        <v xml:space="preserve"> </v>
      </c>
      <c r="D1890" s="695"/>
      <c r="E1890" s="696"/>
      <c r="F1890" s="696"/>
      <c r="G1890" s="696"/>
      <c r="H1890" s="696"/>
      <c r="I1890" s="1050" t="str">
        <f t="shared" si="437"/>
        <v/>
      </c>
      <c r="J1890" s="696"/>
      <c r="K1890" s="697"/>
      <c r="L1890" s="696"/>
      <c r="M1890" s="198" t="str">
        <f t="shared" si="438"/>
        <v/>
      </c>
      <c r="N1890" s="369" t="str">
        <f t="shared" si="439"/>
        <v/>
      </c>
      <c r="O1890" s="183" t="str">
        <f t="shared" si="440"/>
        <v/>
      </c>
      <c r="P1890" s="199" t="str">
        <f t="shared" si="441"/>
        <v/>
      </c>
      <c r="Q1890" s="199" t="str">
        <f>IF(B1890="","",IFERROR(IF('עלויות כח אדם (6)'!J1890&gt;=VLOOKUP(I1890,'סיווג התפקידים והעלויות'!$B$23:$C$32,2,0),"תקין","לא תקין"),""))</f>
        <v/>
      </c>
      <c r="R1890" s="199" t="str">
        <f t="shared" si="442"/>
        <v/>
      </c>
      <c r="S1890" s="199" t="str">
        <f t="shared" si="443"/>
        <v/>
      </c>
      <c r="T1890" s="199" t="str">
        <f t="shared" si="451"/>
        <v/>
      </c>
      <c r="U1890" s="199" t="str">
        <f t="shared" si="444"/>
        <v/>
      </c>
      <c r="V1890" s="989"/>
      <c r="X1890" s="374" t="str">
        <f t="shared" si="445"/>
        <v/>
      </c>
      <c r="Y1890" s="375" t="str">
        <f t="shared" si="446"/>
        <v/>
      </c>
      <c r="Z1890" s="374" t="str">
        <f t="shared" si="447"/>
        <v/>
      </c>
      <c r="AA1890" s="374" t="b">
        <f t="shared" si="448"/>
        <v>1</v>
      </c>
      <c r="AB1890" s="374">
        <f>COUNTIFS(B:B,B1890,H:H,'סיווג התפקידים והעלויות'!$C$2)</f>
        <v>0</v>
      </c>
      <c r="AC1890" s="374">
        <f>COUNTIFS(B:B,B1890,H:H,'סיווג התפקידים והעלויות'!$D$2)</f>
        <v>0</v>
      </c>
      <c r="AD1890" s="374" t="str">
        <f>IF(OR(AND(H1890='סיווג התפקידים והעלויות'!$A$2,I1890='סיווג התפקידים והעלויות'!$A$3),'עלויות כח אדם (6)'!H1890='סיווג התפקידים והעלויות'!$C$2,'עלויות כח אדם (6)'!H1890='סיווג התפקידים והעלויות'!$D$2),IF('עלויות כח אדם (6)'!J1890&lt;75,"לא תקין","תקין"),"")</f>
        <v/>
      </c>
      <c r="AE1890" s="374" t="str">
        <f t="shared" si="449"/>
        <v/>
      </c>
      <c r="AF1890" s="532" t="str">
        <f t="shared" si="450"/>
        <v/>
      </c>
    </row>
    <row r="1891" spans="2:32" x14ac:dyDescent="0.25">
      <c r="B1891" s="695"/>
      <c r="C1891" s="197" t="str">
        <f>IF(B1891&lt;&gt;"",IFERROR(VLOOKUP(B:B,'מצבת והרשמה (2)'!$C$20:$N$520,2,0)," ")," ")</f>
        <v xml:space="preserve"> </v>
      </c>
      <c r="D1891" s="695"/>
      <c r="E1891" s="696"/>
      <c r="F1891" s="696"/>
      <c r="G1891" s="696"/>
      <c r="H1891" s="696"/>
      <c r="I1891" s="1050" t="str">
        <f t="shared" si="437"/>
        <v/>
      </c>
      <c r="J1891" s="696"/>
      <c r="K1891" s="697"/>
      <c r="L1891" s="696"/>
      <c r="M1891" s="198" t="str">
        <f t="shared" si="438"/>
        <v/>
      </c>
      <c r="N1891" s="369" t="str">
        <f t="shared" si="439"/>
        <v/>
      </c>
      <c r="O1891" s="183" t="str">
        <f t="shared" si="440"/>
        <v/>
      </c>
      <c r="P1891" s="199" t="str">
        <f t="shared" si="441"/>
        <v/>
      </c>
      <c r="Q1891" s="199" t="str">
        <f>IF(B1891="","",IFERROR(IF('עלויות כח אדם (6)'!J1891&gt;=VLOOKUP(I1891,'סיווג התפקידים והעלויות'!$B$23:$C$32,2,0),"תקין","לא תקין"),""))</f>
        <v/>
      </c>
      <c r="R1891" s="199" t="str">
        <f t="shared" si="442"/>
        <v/>
      </c>
      <c r="S1891" s="199" t="str">
        <f t="shared" si="443"/>
        <v/>
      </c>
      <c r="T1891" s="199" t="str">
        <f t="shared" si="451"/>
        <v/>
      </c>
      <c r="U1891" s="199" t="str">
        <f t="shared" si="444"/>
        <v/>
      </c>
      <c r="V1891" s="989"/>
      <c r="X1891" s="374" t="str">
        <f t="shared" si="445"/>
        <v/>
      </c>
      <c r="Y1891" s="375" t="str">
        <f t="shared" si="446"/>
        <v/>
      </c>
      <c r="Z1891" s="374" t="str">
        <f t="shared" si="447"/>
        <v/>
      </c>
      <c r="AA1891" s="374" t="b">
        <f t="shared" si="448"/>
        <v>1</v>
      </c>
      <c r="AB1891" s="374">
        <f>COUNTIFS(B:B,B1891,H:H,'סיווג התפקידים והעלויות'!$C$2)</f>
        <v>0</v>
      </c>
      <c r="AC1891" s="374">
        <f>COUNTIFS(B:B,B1891,H:H,'סיווג התפקידים והעלויות'!$D$2)</f>
        <v>0</v>
      </c>
      <c r="AD1891" s="374" t="str">
        <f>IF(OR(AND(H1891='סיווג התפקידים והעלויות'!$A$2,I1891='סיווג התפקידים והעלויות'!$A$3),'עלויות כח אדם (6)'!H1891='סיווג התפקידים והעלויות'!$C$2,'עלויות כח אדם (6)'!H1891='סיווג התפקידים והעלויות'!$D$2),IF('עלויות כח אדם (6)'!J1891&lt;75,"לא תקין","תקין"),"")</f>
        <v/>
      </c>
      <c r="AE1891" s="374" t="str">
        <f t="shared" si="449"/>
        <v/>
      </c>
      <c r="AF1891" s="532" t="str">
        <f t="shared" si="450"/>
        <v/>
      </c>
    </row>
    <row r="1892" spans="2:32" x14ac:dyDescent="0.25">
      <c r="B1892" s="695"/>
      <c r="C1892" s="197" t="str">
        <f>IF(B1892&lt;&gt;"",IFERROR(VLOOKUP(B:B,'מצבת והרשמה (2)'!$C$20:$N$520,2,0)," ")," ")</f>
        <v xml:space="preserve"> </v>
      </c>
      <c r="D1892" s="695"/>
      <c r="E1892" s="696"/>
      <c r="F1892" s="696"/>
      <c r="G1892" s="696"/>
      <c r="H1892" s="696"/>
      <c r="I1892" s="1050" t="str">
        <f t="shared" si="437"/>
        <v/>
      </c>
      <c r="J1892" s="696"/>
      <c r="K1892" s="697"/>
      <c r="L1892" s="696"/>
      <c r="M1892" s="198" t="str">
        <f t="shared" si="438"/>
        <v/>
      </c>
      <c r="N1892" s="369" t="str">
        <f t="shared" si="439"/>
        <v/>
      </c>
      <c r="O1892" s="183" t="str">
        <f t="shared" si="440"/>
        <v/>
      </c>
      <c r="P1892" s="199" t="str">
        <f t="shared" si="441"/>
        <v/>
      </c>
      <c r="Q1892" s="199" t="str">
        <f>IF(B1892="","",IFERROR(IF('עלויות כח אדם (6)'!J1892&gt;=VLOOKUP(I1892,'סיווג התפקידים והעלויות'!$B$23:$C$32,2,0),"תקין","לא תקין"),""))</f>
        <v/>
      </c>
      <c r="R1892" s="199" t="str">
        <f t="shared" si="442"/>
        <v/>
      </c>
      <c r="S1892" s="199" t="str">
        <f t="shared" si="443"/>
        <v/>
      </c>
      <c r="T1892" s="199" t="str">
        <f t="shared" si="451"/>
        <v/>
      </c>
      <c r="U1892" s="199" t="str">
        <f t="shared" si="444"/>
        <v/>
      </c>
      <c r="V1892" s="989"/>
      <c r="X1892" s="374" t="str">
        <f t="shared" si="445"/>
        <v/>
      </c>
      <c r="Y1892" s="375" t="str">
        <f t="shared" si="446"/>
        <v/>
      </c>
      <c r="Z1892" s="374" t="str">
        <f t="shared" si="447"/>
        <v/>
      </c>
      <c r="AA1892" s="374" t="b">
        <f t="shared" si="448"/>
        <v>1</v>
      </c>
      <c r="AB1892" s="374">
        <f>COUNTIFS(B:B,B1892,H:H,'סיווג התפקידים והעלויות'!$C$2)</f>
        <v>0</v>
      </c>
      <c r="AC1892" s="374">
        <f>COUNTIFS(B:B,B1892,H:H,'סיווג התפקידים והעלויות'!$D$2)</f>
        <v>0</v>
      </c>
      <c r="AD1892" s="374" t="str">
        <f>IF(OR(AND(H1892='סיווג התפקידים והעלויות'!$A$2,I1892='סיווג התפקידים והעלויות'!$A$3),'עלויות כח אדם (6)'!H1892='סיווג התפקידים והעלויות'!$C$2,'עלויות כח אדם (6)'!H1892='סיווג התפקידים והעלויות'!$D$2),IF('עלויות כח אדם (6)'!J1892&lt;75,"לא תקין","תקין"),"")</f>
        <v/>
      </c>
      <c r="AE1892" s="374" t="str">
        <f t="shared" si="449"/>
        <v/>
      </c>
      <c r="AF1892" s="532" t="str">
        <f t="shared" si="450"/>
        <v/>
      </c>
    </row>
    <row r="1893" spans="2:32" x14ac:dyDescent="0.25">
      <c r="B1893" s="695"/>
      <c r="C1893" s="197" t="str">
        <f>IF(B1893&lt;&gt;"",IFERROR(VLOOKUP(B:B,'מצבת והרשמה (2)'!$C$20:$N$520,2,0)," ")," ")</f>
        <v xml:space="preserve"> </v>
      </c>
      <c r="D1893" s="695"/>
      <c r="E1893" s="696"/>
      <c r="F1893" s="696"/>
      <c r="G1893" s="696"/>
      <c r="H1893" s="696"/>
      <c r="I1893" s="1050" t="str">
        <f t="shared" si="437"/>
        <v/>
      </c>
      <c r="J1893" s="696"/>
      <c r="K1893" s="697"/>
      <c r="L1893" s="696"/>
      <c r="M1893" s="198" t="str">
        <f t="shared" si="438"/>
        <v/>
      </c>
      <c r="N1893" s="369" t="str">
        <f t="shared" si="439"/>
        <v/>
      </c>
      <c r="O1893" s="183" t="str">
        <f t="shared" si="440"/>
        <v/>
      </c>
      <c r="P1893" s="199" t="str">
        <f t="shared" si="441"/>
        <v/>
      </c>
      <c r="Q1893" s="199" t="str">
        <f>IF(B1893="","",IFERROR(IF('עלויות כח אדם (6)'!J1893&gt;=VLOOKUP(I1893,'סיווג התפקידים והעלויות'!$B$23:$C$32,2,0),"תקין","לא תקין"),""))</f>
        <v/>
      </c>
      <c r="R1893" s="199" t="str">
        <f t="shared" si="442"/>
        <v/>
      </c>
      <c r="S1893" s="199" t="str">
        <f t="shared" si="443"/>
        <v/>
      </c>
      <c r="T1893" s="199" t="str">
        <f t="shared" si="451"/>
        <v/>
      </c>
      <c r="U1893" s="199" t="str">
        <f t="shared" si="444"/>
        <v/>
      </c>
      <c r="V1893" s="989"/>
      <c r="X1893" s="374" t="str">
        <f t="shared" si="445"/>
        <v/>
      </c>
      <c r="Y1893" s="375" t="str">
        <f t="shared" si="446"/>
        <v/>
      </c>
      <c r="Z1893" s="374" t="str">
        <f t="shared" si="447"/>
        <v/>
      </c>
      <c r="AA1893" s="374" t="b">
        <f t="shared" si="448"/>
        <v>1</v>
      </c>
      <c r="AB1893" s="374">
        <f>COUNTIFS(B:B,B1893,H:H,'סיווג התפקידים והעלויות'!$C$2)</f>
        <v>0</v>
      </c>
      <c r="AC1893" s="374">
        <f>COUNTIFS(B:B,B1893,H:H,'סיווג התפקידים והעלויות'!$D$2)</f>
        <v>0</v>
      </c>
      <c r="AD1893" s="374" t="str">
        <f>IF(OR(AND(H1893='סיווג התפקידים והעלויות'!$A$2,I1893='סיווג התפקידים והעלויות'!$A$3),'עלויות כח אדם (6)'!H1893='סיווג התפקידים והעלויות'!$C$2,'עלויות כח אדם (6)'!H1893='סיווג התפקידים והעלויות'!$D$2),IF('עלויות כח אדם (6)'!J1893&lt;75,"לא תקין","תקין"),"")</f>
        <v/>
      </c>
      <c r="AE1893" s="374" t="str">
        <f t="shared" si="449"/>
        <v/>
      </c>
      <c r="AF1893" s="532" t="str">
        <f t="shared" si="450"/>
        <v/>
      </c>
    </row>
    <row r="1894" spans="2:32" x14ac:dyDescent="0.25">
      <c r="B1894" s="695"/>
      <c r="C1894" s="197" t="str">
        <f>IF(B1894&lt;&gt;"",IFERROR(VLOOKUP(B:B,'מצבת והרשמה (2)'!$C$20:$N$520,2,0)," ")," ")</f>
        <v xml:space="preserve"> </v>
      </c>
      <c r="D1894" s="695"/>
      <c r="E1894" s="696"/>
      <c r="F1894" s="696"/>
      <c r="G1894" s="696"/>
      <c r="H1894" s="696"/>
      <c r="I1894" s="1050" t="str">
        <f t="shared" si="437"/>
        <v/>
      </c>
      <c r="J1894" s="696"/>
      <c r="K1894" s="697"/>
      <c r="L1894" s="696"/>
      <c r="M1894" s="198" t="str">
        <f t="shared" si="438"/>
        <v/>
      </c>
      <c r="N1894" s="369" t="str">
        <f t="shared" si="439"/>
        <v/>
      </c>
      <c r="O1894" s="183" t="str">
        <f t="shared" si="440"/>
        <v/>
      </c>
      <c r="P1894" s="199" t="str">
        <f t="shared" si="441"/>
        <v/>
      </c>
      <c r="Q1894" s="199" t="str">
        <f>IF(B1894="","",IFERROR(IF('עלויות כח אדם (6)'!J1894&gt;=VLOOKUP(I1894,'סיווג התפקידים והעלויות'!$B$23:$C$32,2,0),"תקין","לא תקין"),""))</f>
        <v/>
      </c>
      <c r="R1894" s="199" t="str">
        <f t="shared" si="442"/>
        <v/>
      </c>
      <c r="S1894" s="199" t="str">
        <f t="shared" si="443"/>
        <v/>
      </c>
      <c r="T1894" s="199" t="str">
        <f t="shared" si="451"/>
        <v/>
      </c>
      <c r="U1894" s="199" t="str">
        <f t="shared" si="444"/>
        <v/>
      </c>
      <c r="V1894" s="989"/>
      <c r="X1894" s="374" t="str">
        <f t="shared" si="445"/>
        <v/>
      </c>
      <c r="Y1894" s="375" t="str">
        <f t="shared" si="446"/>
        <v/>
      </c>
      <c r="Z1894" s="374" t="str">
        <f t="shared" si="447"/>
        <v/>
      </c>
      <c r="AA1894" s="374" t="b">
        <f t="shared" si="448"/>
        <v>1</v>
      </c>
      <c r="AB1894" s="374">
        <f>COUNTIFS(B:B,B1894,H:H,'סיווג התפקידים והעלויות'!$C$2)</f>
        <v>0</v>
      </c>
      <c r="AC1894" s="374">
        <f>COUNTIFS(B:B,B1894,H:H,'סיווג התפקידים והעלויות'!$D$2)</f>
        <v>0</v>
      </c>
      <c r="AD1894" s="374" t="str">
        <f>IF(OR(AND(H1894='סיווג התפקידים והעלויות'!$A$2,I1894='סיווג התפקידים והעלויות'!$A$3),'עלויות כח אדם (6)'!H1894='סיווג התפקידים והעלויות'!$C$2,'עלויות כח אדם (6)'!H1894='סיווג התפקידים והעלויות'!$D$2),IF('עלויות כח אדם (6)'!J1894&lt;75,"לא תקין","תקין"),"")</f>
        <v/>
      </c>
      <c r="AE1894" s="374" t="str">
        <f t="shared" si="449"/>
        <v/>
      </c>
      <c r="AF1894" s="532" t="str">
        <f t="shared" si="450"/>
        <v/>
      </c>
    </row>
    <row r="1895" spans="2:32" x14ac:dyDescent="0.25">
      <c r="B1895" s="695"/>
      <c r="C1895" s="197" t="str">
        <f>IF(B1895&lt;&gt;"",IFERROR(VLOOKUP(B:B,'מצבת והרשמה (2)'!$C$20:$N$520,2,0)," ")," ")</f>
        <v xml:space="preserve"> </v>
      </c>
      <c r="D1895" s="695"/>
      <c r="E1895" s="696"/>
      <c r="F1895" s="696"/>
      <c r="G1895" s="696"/>
      <c r="H1895" s="696"/>
      <c r="I1895" s="1050" t="str">
        <f t="shared" si="437"/>
        <v/>
      </c>
      <c r="J1895" s="696"/>
      <c r="K1895" s="697"/>
      <c r="L1895" s="696"/>
      <c r="M1895" s="198" t="str">
        <f t="shared" si="438"/>
        <v/>
      </c>
      <c r="N1895" s="369" t="str">
        <f t="shared" si="439"/>
        <v/>
      </c>
      <c r="O1895" s="183" t="str">
        <f t="shared" si="440"/>
        <v/>
      </c>
      <c r="P1895" s="199" t="str">
        <f t="shared" si="441"/>
        <v/>
      </c>
      <c r="Q1895" s="199" t="str">
        <f>IF(B1895="","",IFERROR(IF('עלויות כח אדם (6)'!J1895&gt;=VLOOKUP(I1895,'סיווג התפקידים והעלויות'!$B$23:$C$32,2,0),"תקין","לא תקין"),""))</f>
        <v/>
      </c>
      <c r="R1895" s="199" t="str">
        <f t="shared" si="442"/>
        <v/>
      </c>
      <c r="S1895" s="199" t="str">
        <f t="shared" si="443"/>
        <v/>
      </c>
      <c r="T1895" s="199" t="str">
        <f t="shared" si="451"/>
        <v/>
      </c>
      <c r="U1895" s="199" t="str">
        <f t="shared" si="444"/>
        <v/>
      </c>
      <c r="V1895" s="989"/>
      <c r="X1895" s="374" t="str">
        <f t="shared" si="445"/>
        <v/>
      </c>
      <c r="Y1895" s="375" t="str">
        <f t="shared" si="446"/>
        <v/>
      </c>
      <c r="Z1895" s="374" t="str">
        <f t="shared" si="447"/>
        <v/>
      </c>
      <c r="AA1895" s="374" t="b">
        <f t="shared" si="448"/>
        <v>1</v>
      </c>
      <c r="AB1895" s="374">
        <f>COUNTIFS(B:B,B1895,H:H,'סיווג התפקידים והעלויות'!$C$2)</f>
        <v>0</v>
      </c>
      <c r="AC1895" s="374">
        <f>COUNTIFS(B:B,B1895,H:H,'סיווג התפקידים והעלויות'!$D$2)</f>
        <v>0</v>
      </c>
      <c r="AD1895" s="374" t="str">
        <f>IF(OR(AND(H1895='סיווג התפקידים והעלויות'!$A$2,I1895='סיווג התפקידים והעלויות'!$A$3),'עלויות כח אדם (6)'!H1895='סיווג התפקידים והעלויות'!$C$2,'עלויות כח אדם (6)'!H1895='סיווג התפקידים והעלויות'!$D$2),IF('עלויות כח אדם (6)'!J1895&lt;75,"לא תקין","תקין"),"")</f>
        <v/>
      </c>
      <c r="AE1895" s="374" t="str">
        <f t="shared" si="449"/>
        <v/>
      </c>
      <c r="AF1895" s="532" t="str">
        <f t="shared" si="450"/>
        <v/>
      </c>
    </row>
    <row r="1896" spans="2:32" x14ac:dyDescent="0.25">
      <c r="B1896" s="695"/>
      <c r="C1896" s="197" t="str">
        <f>IF(B1896&lt;&gt;"",IFERROR(VLOOKUP(B:B,'מצבת והרשמה (2)'!$C$20:$N$520,2,0)," ")," ")</f>
        <v xml:space="preserve"> </v>
      </c>
      <c r="D1896" s="695"/>
      <c r="E1896" s="696"/>
      <c r="F1896" s="696"/>
      <c r="G1896" s="696"/>
      <c r="H1896" s="696"/>
      <c r="I1896" s="1050" t="str">
        <f t="shared" si="437"/>
        <v/>
      </c>
      <c r="J1896" s="696"/>
      <c r="K1896" s="697"/>
      <c r="L1896" s="696"/>
      <c r="M1896" s="198" t="str">
        <f t="shared" si="438"/>
        <v/>
      </c>
      <c r="N1896" s="369" t="str">
        <f t="shared" si="439"/>
        <v/>
      </c>
      <c r="O1896" s="183" t="str">
        <f t="shared" si="440"/>
        <v/>
      </c>
      <c r="P1896" s="199" t="str">
        <f t="shared" si="441"/>
        <v/>
      </c>
      <c r="Q1896" s="199" t="str">
        <f>IF(B1896="","",IFERROR(IF('עלויות כח אדם (6)'!J1896&gt;=VLOOKUP(I1896,'סיווג התפקידים והעלויות'!$B$23:$C$32,2,0),"תקין","לא תקין"),""))</f>
        <v/>
      </c>
      <c r="R1896" s="199" t="str">
        <f t="shared" si="442"/>
        <v/>
      </c>
      <c r="S1896" s="199" t="str">
        <f t="shared" si="443"/>
        <v/>
      </c>
      <c r="T1896" s="199" t="str">
        <f t="shared" si="451"/>
        <v/>
      </c>
      <c r="U1896" s="199" t="str">
        <f t="shared" si="444"/>
        <v/>
      </c>
      <c r="V1896" s="989"/>
      <c r="X1896" s="374" t="str">
        <f t="shared" si="445"/>
        <v/>
      </c>
      <c r="Y1896" s="375" t="str">
        <f t="shared" si="446"/>
        <v/>
      </c>
      <c r="Z1896" s="374" t="str">
        <f t="shared" si="447"/>
        <v/>
      </c>
      <c r="AA1896" s="374" t="b">
        <f t="shared" si="448"/>
        <v>1</v>
      </c>
      <c r="AB1896" s="374">
        <f>COUNTIFS(B:B,B1896,H:H,'סיווג התפקידים והעלויות'!$C$2)</f>
        <v>0</v>
      </c>
      <c r="AC1896" s="374">
        <f>COUNTIFS(B:B,B1896,H:H,'סיווג התפקידים והעלויות'!$D$2)</f>
        <v>0</v>
      </c>
      <c r="AD1896" s="374" t="str">
        <f>IF(OR(AND(H1896='סיווג התפקידים והעלויות'!$A$2,I1896='סיווג התפקידים והעלויות'!$A$3),'עלויות כח אדם (6)'!H1896='סיווג התפקידים והעלויות'!$C$2,'עלויות כח אדם (6)'!H1896='סיווג התפקידים והעלויות'!$D$2),IF('עלויות כח אדם (6)'!J1896&lt;75,"לא תקין","תקין"),"")</f>
        <v/>
      </c>
      <c r="AE1896" s="374" t="str">
        <f t="shared" si="449"/>
        <v/>
      </c>
      <c r="AF1896" s="532" t="str">
        <f t="shared" si="450"/>
        <v/>
      </c>
    </row>
    <row r="1897" spans="2:32" x14ac:dyDescent="0.25">
      <c r="B1897" s="695"/>
      <c r="C1897" s="197" t="str">
        <f>IF(B1897&lt;&gt;"",IFERROR(VLOOKUP(B:B,'מצבת והרשמה (2)'!$C$20:$N$520,2,0)," ")," ")</f>
        <v xml:space="preserve"> </v>
      </c>
      <c r="D1897" s="695"/>
      <c r="E1897" s="696"/>
      <c r="F1897" s="696"/>
      <c r="G1897" s="696"/>
      <c r="H1897" s="696"/>
      <c r="I1897" s="1050" t="str">
        <f t="shared" si="437"/>
        <v/>
      </c>
      <c r="J1897" s="696"/>
      <c r="K1897" s="697"/>
      <c r="L1897" s="696"/>
      <c r="M1897" s="198" t="str">
        <f t="shared" si="438"/>
        <v/>
      </c>
      <c r="N1897" s="369" t="str">
        <f t="shared" si="439"/>
        <v/>
      </c>
      <c r="O1897" s="183" t="str">
        <f t="shared" si="440"/>
        <v/>
      </c>
      <c r="P1897" s="199" t="str">
        <f t="shared" si="441"/>
        <v/>
      </c>
      <c r="Q1897" s="199" t="str">
        <f>IF(B1897="","",IFERROR(IF('עלויות כח אדם (6)'!J1897&gt;=VLOOKUP(I1897,'סיווג התפקידים והעלויות'!$B$23:$C$32,2,0),"תקין","לא תקין"),""))</f>
        <v/>
      </c>
      <c r="R1897" s="199" t="str">
        <f t="shared" si="442"/>
        <v/>
      </c>
      <c r="S1897" s="199" t="str">
        <f t="shared" si="443"/>
        <v/>
      </c>
      <c r="T1897" s="199" t="str">
        <f t="shared" si="451"/>
        <v/>
      </c>
      <c r="U1897" s="199" t="str">
        <f t="shared" si="444"/>
        <v/>
      </c>
      <c r="V1897" s="989"/>
      <c r="X1897" s="374" t="str">
        <f t="shared" si="445"/>
        <v/>
      </c>
      <c r="Y1897" s="375" t="str">
        <f t="shared" si="446"/>
        <v/>
      </c>
      <c r="Z1897" s="374" t="str">
        <f t="shared" si="447"/>
        <v/>
      </c>
      <c r="AA1897" s="374" t="b">
        <f t="shared" si="448"/>
        <v>1</v>
      </c>
      <c r="AB1897" s="374">
        <f>COUNTIFS(B:B,B1897,H:H,'סיווג התפקידים והעלויות'!$C$2)</f>
        <v>0</v>
      </c>
      <c r="AC1897" s="374">
        <f>COUNTIFS(B:B,B1897,H:H,'סיווג התפקידים והעלויות'!$D$2)</f>
        <v>0</v>
      </c>
      <c r="AD1897" s="374" t="str">
        <f>IF(OR(AND(H1897='סיווג התפקידים והעלויות'!$A$2,I1897='סיווג התפקידים והעלויות'!$A$3),'עלויות כח אדם (6)'!H1897='סיווג התפקידים והעלויות'!$C$2,'עלויות כח אדם (6)'!H1897='סיווג התפקידים והעלויות'!$D$2),IF('עלויות כח אדם (6)'!J1897&lt;75,"לא תקין","תקין"),"")</f>
        <v/>
      </c>
      <c r="AE1897" s="374" t="str">
        <f t="shared" si="449"/>
        <v/>
      </c>
      <c r="AF1897" s="532" t="str">
        <f t="shared" si="450"/>
        <v/>
      </c>
    </row>
    <row r="1898" spans="2:32" x14ac:dyDescent="0.25">
      <c r="B1898" s="695"/>
      <c r="C1898" s="197" t="str">
        <f>IF(B1898&lt;&gt;"",IFERROR(VLOOKUP(B:B,'מצבת והרשמה (2)'!$C$20:$N$520,2,0)," ")," ")</f>
        <v xml:space="preserve"> </v>
      </c>
      <c r="D1898" s="695"/>
      <c r="E1898" s="696"/>
      <c r="F1898" s="696"/>
      <c r="G1898" s="696"/>
      <c r="H1898" s="696"/>
      <c r="I1898" s="1050" t="str">
        <f t="shared" si="437"/>
        <v/>
      </c>
      <c r="J1898" s="696"/>
      <c r="K1898" s="697"/>
      <c r="L1898" s="696"/>
      <c r="M1898" s="198" t="str">
        <f t="shared" si="438"/>
        <v/>
      </c>
      <c r="N1898" s="369" t="str">
        <f t="shared" si="439"/>
        <v/>
      </c>
      <c r="O1898" s="183" t="str">
        <f t="shared" si="440"/>
        <v/>
      </c>
      <c r="P1898" s="199" t="str">
        <f t="shared" si="441"/>
        <v/>
      </c>
      <c r="Q1898" s="199" t="str">
        <f>IF(B1898="","",IFERROR(IF('עלויות כח אדם (6)'!J1898&gt;=VLOOKUP(I1898,'סיווג התפקידים והעלויות'!$B$23:$C$32,2,0),"תקין","לא תקין"),""))</f>
        <v/>
      </c>
      <c r="R1898" s="199" t="str">
        <f t="shared" si="442"/>
        <v/>
      </c>
      <c r="S1898" s="199" t="str">
        <f t="shared" si="443"/>
        <v/>
      </c>
      <c r="T1898" s="199" t="str">
        <f t="shared" si="451"/>
        <v/>
      </c>
      <c r="U1898" s="199" t="str">
        <f t="shared" si="444"/>
        <v/>
      </c>
      <c r="V1898" s="989"/>
      <c r="X1898" s="374" t="str">
        <f t="shared" si="445"/>
        <v/>
      </c>
      <c r="Y1898" s="375" t="str">
        <f t="shared" si="446"/>
        <v/>
      </c>
      <c r="Z1898" s="374" t="str">
        <f t="shared" si="447"/>
        <v/>
      </c>
      <c r="AA1898" s="374" t="b">
        <f t="shared" si="448"/>
        <v>1</v>
      </c>
      <c r="AB1898" s="374">
        <f>COUNTIFS(B:B,B1898,H:H,'סיווג התפקידים והעלויות'!$C$2)</f>
        <v>0</v>
      </c>
      <c r="AC1898" s="374">
        <f>COUNTIFS(B:B,B1898,H:H,'סיווג התפקידים והעלויות'!$D$2)</f>
        <v>0</v>
      </c>
      <c r="AD1898" s="374" t="str">
        <f>IF(OR(AND(H1898='סיווג התפקידים והעלויות'!$A$2,I1898='סיווג התפקידים והעלויות'!$A$3),'עלויות כח אדם (6)'!H1898='סיווג התפקידים והעלויות'!$C$2,'עלויות כח אדם (6)'!H1898='סיווג התפקידים והעלויות'!$D$2),IF('עלויות כח אדם (6)'!J1898&lt;75,"לא תקין","תקין"),"")</f>
        <v/>
      </c>
      <c r="AE1898" s="374" t="str">
        <f t="shared" si="449"/>
        <v/>
      </c>
      <c r="AF1898" s="532" t="str">
        <f t="shared" si="450"/>
        <v/>
      </c>
    </row>
    <row r="1899" spans="2:32" x14ac:dyDescent="0.25">
      <c r="B1899" s="695"/>
      <c r="C1899" s="197" t="str">
        <f>IF(B1899&lt;&gt;"",IFERROR(VLOOKUP(B:B,'מצבת והרשמה (2)'!$C$20:$N$520,2,0)," ")," ")</f>
        <v xml:space="preserve"> </v>
      </c>
      <c r="D1899" s="695"/>
      <c r="E1899" s="696"/>
      <c r="F1899" s="696"/>
      <c r="G1899" s="696"/>
      <c r="H1899" s="696"/>
      <c r="I1899" s="1050" t="str">
        <f t="shared" si="437"/>
        <v/>
      </c>
      <c r="J1899" s="696"/>
      <c r="K1899" s="697"/>
      <c r="L1899" s="696"/>
      <c r="M1899" s="198" t="str">
        <f t="shared" si="438"/>
        <v/>
      </c>
      <c r="N1899" s="369" t="str">
        <f t="shared" si="439"/>
        <v/>
      </c>
      <c r="O1899" s="183" t="str">
        <f t="shared" si="440"/>
        <v/>
      </c>
      <c r="P1899" s="199" t="str">
        <f t="shared" si="441"/>
        <v/>
      </c>
      <c r="Q1899" s="199" t="str">
        <f>IF(B1899="","",IFERROR(IF('עלויות כח אדם (6)'!J1899&gt;=VLOOKUP(I1899,'סיווג התפקידים והעלויות'!$B$23:$C$32,2,0),"תקין","לא תקין"),""))</f>
        <v/>
      </c>
      <c r="R1899" s="199" t="str">
        <f t="shared" si="442"/>
        <v/>
      </c>
      <c r="S1899" s="199" t="str">
        <f t="shared" si="443"/>
        <v/>
      </c>
      <c r="T1899" s="199" t="str">
        <f t="shared" si="451"/>
        <v/>
      </c>
      <c r="U1899" s="199" t="str">
        <f t="shared" si="444"/>
        <v/>
      </c>
      <c r="V1899" s="989"/>
      <c r="X1899" s="374" t="str">
        <f t="shared" si="445"/>
        <v/>
      </c>
      <c r="Y1899" s="375" t="str">
        <f t="shared" si="446"/>
        <v/>
      </c>
      <c r="Z1899" s="374" t="str">
        <f t="shared" si="447"/>
        <v/>
      </c>
      <c r="AA1899" s="374" t="b">
        <f t="shared" si="448"/>
        <v>1</v>
      </c>
      <c r="AB1899" s="374">
        <f>COUNTIFS(B:B,B1899,H:H,'סיווג התפקידים והעלויות'!$C$2)</f>
        <v>0</v>
      </c>
      <c r="AC1899" s="374">
        <f>COUNTIFS(B:B,B1899,H:H,'סיווג התפקידים והעלויות'!$D$2)</f>
        <v>0</v>
      </c>
      <c r="AD1899" s="374" t="str">
        <f>IF(OR(AND(H1899='סיווג התפקידים והעלויות'!$A$2,I1899='סיווג התפקידים והעלויות'!$A$3),'עלויות כח אדם (6)'!H1899='סיווג התפקידים והעלויות'!$C$2,'עלויות כח אדם (6)'!H1899='סיווג התפקידים והעלויות'!$D$2),IF('עלויות כח אדם (6)'!J1899&lt;75,"לא תקין","תקין"),"")</f>
        <v/>
      </c>
      <c r="AE1899" s="374" t="str">
        <f t="shared" si="449"/>
        <v/>
      </c>
      <c r="AF1899" s="532" t="str">
        <f t="shared" si="450"/>
        <v/>
      </c>
    </row>
    <row r="1900" spans="2:32" x14ac:dyDescent="0.25">
      <c r="B1900" s="695"/>
      <c r="C1900" s="197" t="str">
        <f>IF(B1900&lt;&gt;"",IFERROR(VLOOKUP(B:B,'מצבת והרשמה (2)'!$C$20:$N$520,2,0)," ")," ")</f>
        <v xml:space="preserve"> </v>
      </c>
      <c r="D1900" s="695"/>
      <c r="E1900" s="696"/>
      <c r="F1900" s="696"/>
      <c r="G1900" s="696"/>
      <c r="H1900" s="696"/>
      <c r="I1900" s="1050" t="str">
        <f t="shared" si="437"/>
        <v/>
      </c>
      <c r="J1900" s="696"/>
      <c r="K1900" s="697"/>
      <c r="L1900" s="696"/>
      <c r="M1900" s="198" t="str">
        <f t="shared" si="438"/>
        <v/>
      </c>
      <c r="N1900" s="369" t="str">
        <f t="shared" si="439"/>
        <v/>
      </c>
      <c r="O1900" s="183" t="str">
        <f t="shared" si="440"/>
        <v/>
      </c>
      <c r="P1900" s="199" t="str">
        <f t="shared" si="441"/>
        <v/>
      </c>
      <c r="Q1900" s="199" t="str">
        <f>IF(B1900="","",IFERROR(IF('עלויות כח אדם (6)'!J1900&gt;=VLOOKUP(I1900,'סיווג התפקידים והעלויות'!$B$23:$C$32,2,0),"תקין","לא תקין"),""))</f>
        <v/>
      </c>
      <c r="R1900" s="199" t="str">
        <f t="shared" si="442"/>
        <v/>
      </c>
      <c r="S1900" s="199" t="str">
        <f t="shared" si="443"/>
        <v/>
      </c>
      <c r="T1900" s="199" t="str">
        <f t="shared" si="451"/>
        <v/>
      </c>
      <c r="U1900" s="199" t="str">
        <f t="shared" si="444"/>
        <v/>
      </c>
      <c r="V1900" s="989"/>
      <c r="X1900" s="374" t="str">
        <f t="shared" si="445"/>
        <v/>
      </c>
      <c r="Y1900" s="375" t="str">
        <f t="shared" si="446"/>
        <v/>
      </c>
      <c r="Z1900" s="374" t="str">
        <f t="shared" si="447"/>
        <v/>
      </c>
      <c r="AA1900" s="374" t="b">
        <f t="shared" si="448"/>
        <v>1</v>
      </c>
      <c r="AB1900" s="374">
        <f>COUNTIFS(B:B,B1900,H:H,'סיווג התפקידים והעלויות'!$C$2)</f>
        <v>0</v>
      </c>
      <c r="AC1900" s="374">
        <f>COUNTIFS(B:B,B1900,H:H,'סיווג התפקידים והעלויות'!$D$2)</f>
        <v>0</v>
      </c>
      <c r="AD1900" s="374" t="str">
        <f>IF(OR(AND(H1900='סיווג התפקידים והעלויות'!$A$2,I1900='סיווג התפקידים והעלויות'!$A$3),'עלויות כח אדם (6)'!H1900='סיווג התפקידים והעלויות'!$C$2,'עלויות כח אדם (6)'!H1900='סיווג התפקידים והעלויות'!$D$2),IF('עלויות כח אדם (6)'!J1900&lt;75,"לא תקין","תקין"),"")</f>
        <v/>
      </c>
      <c r="AE1900" s="374" t="str">
        <f t="shared" si="449"/>
        <v/>
      </c>
      <c r="AF1900" s="532" t="str">
        <f t="shared" si="450"/>
        <v/>
      </c>
    </row>
    <row r="1901" spans="2:32" x14ac:dyDescent="0.25">
      <c r="B1901" s="695"/>
      <c r="C1901" s="197" t="str">
        <f>IF(B1901&lt;&gt;"",IFERROR(VLOOKUP(B:B,'מצבת והרשמה (2)'!$C$20:$N$520,2,0)," ")," ")</f>
        <v xml:space="preserve"> </v>
      </c>
      <c r="D1901" s="695"/>
      <c r="E1901" s="696"/>
      <c r="F1901" s="696"/>
      <c r="G1901" s="696"/>
      <c r="H1901" s="696"/>
      <c r="I1901" s="1050" t="str">
        <f t="shared" si="437"/>
        <v/>
      </c>
      <c r="J1901" s="696"/>
      <c r="K1901" s="697"/>
      <c r="L1901" s="696"/>
      <c r="M1901" s="198" t="str">
        <f t="shared" si="438"/>
        <v/>
      </c>
      <c r="N1901" s="369" t="str">
        <f t="shared" si="439"/>
        <v/>
      </c>
      <c r="O1901" s="183" t="str">
        <f t="shared" si="440"/>
        <v/>
      </c>
      <c r="P1901" s="199" t="str">
        <f t="shared" si="441"/>
        <v/>
      </c>
      <c r="Q1901" s="199" t="str">
        <f>IF(B1901="","",IFERROR(IF('עלויות כח אדם (6)'!J1901&gt;=VLOOKUP(I1901,'סיווג התפקידים והעלויות'!$B$23:$C$32,2,0),"תקין","לא תקין"),""))</f>
        <v/>
      </c>
      <c r="R1901" s="199" t="str">
        <f t="shared" si="442"/>
        <v/>
      </c>
      <c r="S1901" s="199" t="str">
        <f t="shared" si="443"/>
        <v/>
      </c>
      <c r="T1901" s="199" t="str">
        <f t="shared" si="451"/>
        <v/>
      </c>
      <c r="U1901" s="199" t="str">
        <f t="shared" si="444"/>
        <v/>
      </c>
      <c r="V1901" s="989"/>
      <c r="X1901" s="374" t="str">
        <f t="shared" si="445"/>
        <v/>
      </c>
      <c r="Y1901" s="375" t="str">
        <f t="shared" si="446"/>
        <v/>
      </c>
      <c r="Z1901" s="374" t="str">
        <f t="shared" si="447"/>
        <v/>
      </c>
      <c r="AA1901" s="374" t="b">
        <f t="shared" si="448"/>
        <v>1</v>
      </c>
      <c r="AB1901" s="374">
        <f>COUNTIFS(B:B,B1901,H:H,'סיווג התפקידים והעלויות'!$C$2)</f>
        <v>0</v>
      </c>
      <c r="AC1901" s="374">
        <f>COUNTIFS(B:B,B1901,H:H,'סיווג התפקידים והעלויות'!$D$2)</f>
        <v>0</v>
      </c>
      <c r="AD1901" s="374" t="str">
        <f>IF(OR(AND(H1901='סיווג התפקידים והעלויות'!$A$2,I1901='סיווג התפקידים והעלויות'!$A$3),'עלויות כח אדם (6)'!H1901='סיווג התפקידים והעלויות'!$C$2,'עלויות כח אדם (6)'!H1901='סיווג התפקידים והעלויות'!$D$2),IF('עלויות כח אדם (6)'!J1901&lt;75,"לא תקין","תקין"),"")</f>
        <v/>
      </c>
      <c r="AE1901" s="374" t="str">
        <f t="shared" si="449"/>
        <v/>
      </c>
      <c r="AF1901" s="532" t="str">
        <f t="shared" si="450"/>
        <v/>
      </c>
    </row>
    <row r="1902" spans="2:32" x14ac:dyDescent="0.25">
      <c r="B1902" s="695"/>
      <c r="C1902" s="197" t="str">
        <f>IF(B1902&lt;&gt;"",IFERROR(VLOOKUP(B:B,'מצבת והרשמה (2)'!$C$20:$N$520,2,0)," ")," ")</f>
        <v xml:space="preserve"> </v>
      </c>
      <c r="D1902" s="695"/>
      <c r="E1902" s="696"/>
      <c r="F1902" s="696"/>
      <c r="G1902" s="696"/>
      <c r="H1902" s="696"/>
      <c r="I1902" s="1050" t="str">
        <f t="shared" si="437"/>
        <v/>
      </c>
      <c r="J1902" s="696"/>
      <c r="K1902" s="697"/>
      <c r="L1902" s="696"/>
      <c r="M1902" s="198" t="str">
        <f t="shared" si="438"/>
        <v/>
      </c>
      <c r="N1902" s="369" t="str">
        <f t="shared" si="439"/>
        <v/>
      </c>
      <c r="O1902" s="183" t="str">
        <f t="shared" si="440"/>
        <v/>
      </c>
      <c r="P1902" s="199" t="str">
        <f t="shared" si="441"/>
        <v/>
      </c>
      <c r="Q1902" s="199" t="str">
        <f>IF(B1902="","",IFERROR(IF('עלויות כח אדם (6)'!J1902&gt;=VLOOKUP(I1902,'סיווג התפקידים והעלויות'!$B$23:$C$32,2,0),"תקין","לא תקין"),""))</f>
        <v/>
      </c>
      <c r="R1902" s="199" t="str">
        <f t="shared" si="442"/>
        <v/>
      </c>
      <c r="S1902" s="199" t="str">
        <f t="shared" si="443"/>
        <v/>
      </c>
      <c r="T1902" s="199" t="str">
        <f t="shared" si="451"/>
        <v/>
      </c>
      <c r="U1902" s="199" t="str">
        <f t="shared" si="444"/>
        <v/>
      </c>
      <c r="V1902" s="989"/>
      <c r="X1902" s="374" t="str">
        <f t="shared" si="445"/>
        <v/>
      </c>
      <c r="Y1902" s="375" t="str">
        <f t="shared" si="446"/>
        <v/>
      </c>
      <c r="Z1902" s="374" t="str">
        <f t="shared" si="447"/>
        <v/>
      </c>
      <c r="AA1902" s="374" t="b">
        <f t="shared" si="448"/>
        <v>1</v>
      </c>
      <c r="AB1902" s="374">
        <f>COUNTIFS(B:B,B1902,H:H,'סיווג התפקידים והעלויות'!$C$2)</f>
        <v>0</v>
      </c>
      <c r="AC1902" s="374">
        <f>COUNTIFS(B:B,B1902,H:H,'סיווג התפקידים והעלויות'!$D$2)</f>
        <v>0</v>
      </c>
      <c r="AD1902" s="374" t="str">
        <f>IF(OR(AND(H1902='סיווג התפקידים והעלויות'!$A$2,I1902='סיווג התפקידים והעלויות'!$A$3),'עלויות כח אדם (6)'!H1902='סיווג התפקידים והעלויות'!$C$2,'עלויות כח אדם (6)'!H1902='סיווג התפקידים והעלויות'!$D$2),IF('עלויות כח אדם (6)'!J1902&lt;75,"לא תקין","תקין"),"")</f>
        <v/>
      </c>
      <c r="AE1902" s="374" t="str">
        <f t="shared" si="449"/>
        <v/>
      </c>
      <c r="AF1902" s="532" t="str">
        <f t="shared" si="450"/>
        <v/>
      </c>
    </row>
    <row r="1903" spans="2:32" x14ac:dyDescent="0.25">
      <c r="B1903" s="695"/>
      <c r="C1903" s="197" t="str">
        <f>IF(B1903&lt;&gt;"",IFERROR(VLOOKUP(B:B,'מצבת והרשמה (2)'!$C$20:$N$520,2,0)," ")," ")</f>
        <v xml:space="preserve"> </v>
      </c>
      <c r="D1903" s="695"/>
      <c r="E1903" s="696"/>
      <c r="F1903" s="696"/>
      <c r="G1903" s="696"/>
      <c r="H1903" s="696"/>
      <c r="I1903" s="1050" t="str">
        <f t="shared" si="437"/>
        <v/>
      </c>
      <c r="J1903" s="696"/>
      <c r="K1903" s="697"/>
      <c r="L1903" s="696"/>
      <c r="M1903" s="198" t="str">
        <f t="shared" si="438"/>
        <v/>
      </c>
      <c r="N1903" s="369" t="str">
        <f t="shared" si="439"/>
        <v/>
      </c>
      <c r="O1903" s="183" t="str">
        <f t="shared" si="440"/>
        <v/>
      </c>
      <c r="P1903" s="199" t="str">
        <f t="shared" si="441"/>
        <v/>
      </c>
      <c r="Q1903" s="199" t="str">
        <f>IF(B1903="","",IFERROR(IF('עלויות כח אדם (6)'!J1903&gt;=VLOOKUP(I1903,'סיווג התפקידים והעלויות'!$B$23:$C$32,2,0),"תקין","לא תקין"),""))</f>
        <v/>
      </c>
      <c r="R1903" s="199" t="str">
        <f t="shared" si="442"/>
        <v/>
      </c>
      <c r="S1903" s="199" t="str">
        <f t="shared" si="443"/>
        <v/>
      </c>
      <c r="T1903" s="199" t="str">
        <f t="shared" si="451"/>
        <v/>
      </c>
      <c r="U1903" s="199" t="str">
        <f t="shared" si="444"/>
        <v/>
      </c>
      <c r="V1903" s="989"/>
      <c r="X1903" s="374" t="str">
        <f t="shared" si="445"/>
        <v/>
      </c>
      <c r="Y1903" s="375" t="str">
        <f t="shared" si="446"/>
        <v/>
      </c>
      <c r="Z1903" s="374" t="str">
        <f t="shared" si="447"/>
        <v/>
      </c>
      <c r="AA1903" s="374" t="b">
        <f t="shared" si="448"/>
        <v>1</v>
      </c>
      <c r="AB1903" s="374">
        <f>COUNTIFS(B:B,B1903,H:H,'סיווג התפקידים והעלויות'!$C$2)</f>
        <v>0</v>
      </c>
      <c r="AC1903" s="374">
        <f>COUNTIFS(B:B,B1903,H:H,'סיווג התפקידים והעלויות'!$D$2)</f>
        <v>0</v>
      </c>
      <c r="AD1903" s="374" t="str">
        <f>IF(OR(AND(H1903='סיווג התפקידים והעלויות'!$A$2,I1903='סיווג התפקידים והעלויות'!$A$3),'עלויות כח אדם (6)'!H1903='סיווג התפקידים והעלויות'!$C$2,'עלויות כח אדם (6)'!H1903='סיווג התפקידים והעלויות'!$D$2),IF('עלויות כח אדם (6)'!J1903&lt;75,"לא תקין","תקין"),"")</f>
        <v/>
      </c>
      <c r="AE1903" s="374" t="str">
        <f t="shared" si="449"/>
        <v/>
      </c>
      <c r="AF1903" s="532" t="str">
        <f t="shared" si="450"/>
        <v/>
      </c>
    </row>
    <row r="1904" spans="2:32" x14ac:dyDescent="0.25">
      <c r="B1904" s="695"/>
      <c r="C1904" s="197" t="str">
        <f>IF(B1904&lt;&gt;"",IFERROR(VLOOKUP(B:B,'מצבת והרשמה (2)'!$C$20:$N$520,2,0)," ")," ")</f>
        <v xml:space="preserve"> </v>
      </c>
      <c r="D1904" s="695"/>
      <c r="E1904" s="696"/>
      <c r="F1904" s="696"/>
      <c r="G1904" s="696"/>
      <c r="H1904" s="696"/>
      <c r="I1904" s="1050" t="str">
        <f t="shared" si="437"/>
        <v/>
      </c>
      <c r="J1904" s="696"/>
      <c r="K1904" s="697"/>
      <c r="L1904" s="696"/>
      <c r="M1904" s="198" t="str">
        <f t="shared" si="438"/>
        <v/>
      </c>
      <c r="N1904" s="369" t="str">
        <f t="shared" si="439"/>
        <v/>
      </c>
      <c r="O1904" s="183" t="str">
        <f t="shared" si="440"/>
        <v/>
      </c>
      <c r="P1904" s="199" t="str">
        <f t="shared" si="441"/>
        <v/>
      </c>
      <c r="Q1904" s="199" t="str">
        <f>IF(B1904="","",IFERROR(IF('עלויות כח אדם (6)'!J1904&gt;=VLOOKUP(I1904,'סיווג התפקידים והעלויות'!$B$23:$C$32,2,0),"תקין","לא תקין"),""))</f>
        <v/>
      </c>
      <c r="R1904" s="199" t="str">
        <f t="shared" si="442"/>
        <v/>
      </c>
      <c r="S1904" s="199" t="str">
        <f t="shared" si="443"/>
        <v/>
      </c>
      <c r="T1904" s="199" t="str">
        <f t="shared" si="451"/>
        <v/>
      </c>
      <c r="U1904" s="199" t="str">
        <f t="shared" si="444"/>
        <v/>
      </c>
      <c r="V1904" s="989"/>
      <c r="X1904" s="374" t="str">
        <f t="shared" si="445"/>
        <v/>
      </c>
      <c r="Y1904" s="375" t="str">
        <f t="shared" si="446"/>
        <v/>
      </c>
      <c r="Z1904" s="374" t="str">
        <f t="shared" si="447"/>
        <v/>
      </c>
      <c r="AA1904" s="374" t="b">
        <f t="shared" si="448"/>
        <v>1</v>
      </c>
      <c r="AB1904" s="374">
        <f>COUNTIFS(B:B,B1904,H:H,'סיווג התפקידים והעלויות'!$C$2)</f>
        <v>0</v>
      </c>
      <c r="AC1904" s="374">
        <f>COUNTIFS(B:B,B1904,H:H,'סיווג התפקידים והעלויות'!$D$2)</f>
        <v>0</v>
      </c>
      <c r="AD1904" s="374" t="str">
        <f>IF(OR(AND(H1904='סיווג התפקידים והעלויות'!$A$2,I1904='סיווג התפקידים והעלויות'!$A$3),'עלויות כח אדם (6)'!H1904='סיווג התפקידים והעלויות'!$C$2,'עלויות כח אדם (6)'!H1904='סיווג התפקידים והעלויות'!$D$2),IF('עלויות כח אדם (6)'!J1904&lt;75,"לא תקין","תקין"),"")</f>
        <v/>
      </c>
      <c r="AE1904" s="374" t="str">
        <f t="shared" si="449"/>
        <v/>
      </c>
      <c r="AF1904" s="532" t="str">
        <f t="shared" si="450"/>
        <v/>
      </c>
    </row>
    <row r="1905" spans="2:32" x14ac:dyDescent="0.25">
      <c r="B1905" s="695"/>
      <c r="C1905" s="197" t="str">
        <f>IF(B1905&lt;&gt;"",IFERROR(VLOOKUP(B:B,'מצבת והרשמה (2)'!$C$20:$N$520,2,0)," ")," ")</f>
        <v xml:space="preserve"> </v>
      </c>
      <c r="D1905" s="695"/>
      <c r="E1905" s="696"/>
      <c r="F1905" s="696"/>
      <c r="G1905" s="696"/>
      <c r="H1905" s="696"/>
      <c r="I1905" s="1050" t="str">
        <f t="shared" si="437"/>
        <v/>
      </c>
      <c r="J1905" s="696"/>
      <c r="K1905" s="697"/>
      <c r="L1905" s="696"/>
      <c r="M1905" s="198" t="str">
        <f t="shared" si="438"/>
        <v/>
      </c>
      <c r="N1905" s="369" t="str">
        <f t="shared" si="439"/>
        <v/>
      </c>
      <c r="O1905" s="183" t="str">
        <f t="shared" si="440"/>
        <v/>
      </c>
      <c r="P1905" s="199" t="str">
        <f t="shared" si="441"/>
        <v/>
      </c>
      <c r="Q1905" s="199" t="str">
        <f>IF(B1905="","",IFERROR(IF('עלויות כח אדם (6)'!J1905&gt;=VLOOKUP(I1905,'סיווג התפקידים והעלויות'!$B$23:$C$32,2,0),"תקין","לא תקין"),""))</f>
        <v/>
      </c>
      <c r="R1905" s="199" t="str">
        <f t="shared" si="442"/>
        <v/>
      </c>
      <c r="S1905" s="199" t="str">
        <f t="shared" si="443"/>
        <v/>
      </c>
      <c r="T1905" s="199" t="str">
        <f t="shared" si="451"/>
        <v/>
      </c>
      <c r="U1905" s="199" t="str">
        <f t="shared" si="444"/>
        <v/>
      </c>
      <c r="V1905" s="989"/>
      <c r="X1905" s="374" t="str">
        <f t="shared" si="445"/>
        <v/>
      </c>
      <c r="Y1905" s="375" t="str">
        <f t="shared" si="446"/>
        <v/>
      </c>
      <c r="Z1905" s="374" t="str">
        <f t="shared" si="447"/>
        <v/>
      </c>
      <c r="AA1905" s="374" t="b">
        <f t="shared" si="448"/>
        <v>1</v>
      </c>
      <c r="AB1905" s="374">
        <f>COUNTIFS(B:B,B1905,H:H,'סיווג התפקידים והעלויות'!$C$2)</f>
        <v>0</v>
      </c>
      <c r="AC1905" s="374">
        <f>COUNTIFS(B:B,B1905,H:H,'סיווג התפקידים והעלויות'!$D$2)</f>
        <v>0</v>
      </c>
      <c r="AD1905" s="374" t="str">
        <f>IF(OR(AND(H1905='סיווג התפקידים והעלויות'!$A$2,I1905='סיווג התפקידים והעלויות'!$A$3),'עלויות כח אדם (6)'!H1905='סיווג התפקידים והעלויות'!$C$2,'עלויות כח אדם (6)'!H1905='סיווג התפקידים והעלויות'!$D$2),IF('עלויות כח אדם (6)'!J1905&lt;75,"לא תקין","תקין"),"")</f>
        <v/>
      </c>
      <c r="AE1905" s="374" t="str">
        <f t="shared" si="449"/>
        <v/>
      </c>
      <c r="AF1905" s="532" t="str">
        <f t="shared" si="450"/>
        <v/>
      </c>
    </row>
    <row r="1906" spans="2:32" x14ac:dyDescent="0.25">
      <c r="B1906" s="695"/>
      <c r="C1906" s="197" t="str">
        <f>IF(B1906&lt;&gt;"",IFERROR(VLOOKUP(B:B,'מצבת והרשמה (2)'!$C$20:$N$520,2,0)," ")," ")</f>
        <v xml:space="preserve"> </v>
      </c>
      <c r="D1906" s="695"/>
      <c r="E1906" s="696"/>
      <c r="F1906" s="696"/>
      <c r="G1906" s="696"/>
      <c r="H1906" s="696"/>
      <c r="I1906" s="1050" t="str">
        <f t="shared" si="437"/>
        <v/>
      </c>
      <c r="J1906" s="696"/>
      <c r="K1906" s="697"/>
      <c r="L1906" s="696"/>
      <c r="M1906" s="198" t="str">
        <f t="shared" si="438"/>
        <v/>
      </c>
      <c r="N1906" s="369" t="str">
        <f t="shared" si="439"/>
        <v/>
      </c>
      <c r="O1906" s="183" t="str">
        <f t="shared" si="440"/>
        <v/>
      </c>
      <c r="P1906" s="199" t="str">
        <f t="shared" si="441"/>
        <v/>
      </c>
      <c r="Q1906" s="199" t="str">
        <f>IF(B1906="","",IFERROR(IF('עלויות כח אדם (6)'!J1906&gt;=VLOOKUP(I1906,'סיווג התפקידים והעלויות'!$B$23:$C$32,2,0),"תקין","לא תקין"),""))</f>
        <v/>
      </c>
      <c r="R1906" s="199" t="str">
        <f t="shared" si="442"/>
        <v/>
      </c>
      <c r="S1906" s="199" t="str">
        <f t="shared" si="443"/>
        <v/>
      </c>
      <c r="T1906" s="199" t="str">
        <f t="shared" si="451"/>
        <v/>
      </c>
      <c r="U1906" s="199" t="str">
        <f t="shared" si="444"/>
        <v/>
      </c>
      <c r="V1906" s="989"/>
      <c r="X1906" s="374" t="str">
        <f t="shared" si="445"/>
        <v/>
      </c>
      <c r="Y1906" s="375" t="str">
        <f t="shared" si="446"/>
        <v/>
      </c>
      <c r="Z1906" s="374" t="str">
        <f t="shared" si="447"/>
        <v/>
      </c>
      <c r="AA1906" s="374" t="b">
        <f t="shared" si="448"/>
        <v>1</v>
      </c>
      <c r="AB1906" s="374">
        <f>COUNTIFS(B:B,B1906,H:H,'סיווג התפקידים והעלויות'!$C$2)</f>
        <v>0</v>
      </c>
      <c r="AC1906" s="374">
        <f>COUNTIFS(B:B,B1906,H:H,'סיווג התפקידים והעלויות'!$D$2)</f>
        <v>0</v>
      </c>
      <c r="AD1906" s="374" t="str">
        <f>IF(OR(AND(H1906='סיווג התפקידים והעלויות'!$A$2,I1906='סיווג התפקידים והעלויות'!$A$3),'עלויות כח אדם (6)'!H1906='סיווג התפקידים והעלויות'!$C$2,'עלויות כח אדם (6)'!H1906='סיווג התפקידים והעלויות'!$D$2),IF('עלויות כח אדם (6)'!J1906&lt;75,"לא תקין","תקין"),"")</f>
        <v/>
      </c>
      <c r="AE1906" s="374" t="str">
        <f t="shared" si="449"/>
        <v/>
      </c>
      <c r="AF1906" s="532" t="str">
        <f t="shared" si="450"/>
        <v/>
      </c>
    </row>
    <row r="1907" spans="2:32" x14ac:dyDescent="0.25">
      <c r="B1907" s="695"/>
      <c r="C1907" s="197" t="str">
        <f>IF(B1907&lt;&gt;"",IFERROR(VLOOKUP(B:B,'מצבת והרשמה (2)'!$C$20:$N$520,2,0)," ")," ")</f>
        <v xml:space="preserve"> </v>
      </c>
      <c r="D1907" s="695"/>
      <c r="E1907" s="696"/>
      <c r="F1907" s="696"/>
      <c r="G1907" s="696"/>
      <c r="H1907" s="696"/>
      <c r="I1907" s="1050" t="str">
        <f t="shared" si="437"/>
        <v/>
      </c>
      <c r="J1907" s="696"/>
      <c r="K1907" s="697"/>
      <c r="L1907" s="696"/>
      <c r="M1907" s="198" t="str">
        <f t="shared" si="438"/>
        <v/>
      </c>
      <c r="N1907" s="369" t="str">
        <f t="shared" si="439"/>
        <v/>
      </c>
      <c r="O1907" s="183" t="str">
        <f t="shared" si="440"/>
        <v/>
      </c>
      <c r="P1907" s="199" t="str">
        <f t="shared" si="441"/>
        <v/>
      </c>
      <c r="Q1907" s="199" t="str">
        <f>IF(B1907="","",IFERROR(IF('עלויות כח אדם (6)'!J1907&gt;=VLOOKUP(I1907,'סיווג התפקידים והעלויות'!$B$23:$C$32,2,0),"תקין","לא תקין"),""))</f>
        <v/>
      </c>
      <c r="R1907" s="199" t="str">
        <f t="shared" si="442"/>
        <v/>
      </c>
      <c r="S1907" s="199" t="str">
        <f t="shared" si="443"/>
        <v/>
      </c>
      <c r="T1907" s="199" t="str">
        <f t="shared" si="451"/>
        <v/>
      </c>
      <c r="U1907" s="199" t="str">
        <f t="shared" si="444"/>
        <v/>
      </c>
      <c r="V1907" s="989"/>
      <c r="X1907" s="374" t="str">
        <f t="shared" si="445"/>
        <v/>
      </c>
      <c r="Y1907" s="375" t="str">
        <f t="shared" si="446"/>
        <v/>
      </c>
      <c r="Z1907" s="374" t="str">
        <f t="shared" si="447"/>
        <v/>
      </c>
      <c r="AA1907" s="374" t="b">
        <f t="shared" si="448"/>
        <v>1</v>
      </c>
      <c r="AB1907" s="374">
        <f>COUNTIFS(B:B,B1907,H:H,'סיווג התפקידים והעלויות'!$C$2)</f>
        <v>0</v>
      </c>
      <c r="AC1907" s="374">
        <f>COUNTIFS(B:B,B1907,H:H,'סיווג התפקידים והעלויות'!$D$2)</f>
        <v>0</v>
      </c>
      <c r="AD1907" s="374" t="str">
        <f>IF(OR(AND(H1907='סיווג התפקידים והעלויות'!$A$2,I1907='סיווג התפקידים והעלויות'!$A$3),'עלויות כח אדם (6)'!H1907='סיווג התפקידים והעלויות'!$C$2,'עלויות כח אדם (6)'!H1907='סיווג התפקידים והעלויות'!$D$2),IF('עלויות כח אדם (6)'!J1907&lt;75,"לא תקין","תקין"),"")</f>
        <v/>
      </c>
      <c r="AE1907" s="374" t="str">
        <f t="shared" si="449"/>
        <v/>
      </c>
      <c r="AF1907" s="532" t="str">
        <f t="shared" si="450"/>
        <v/>
      </c>
    </row>
    <row r="1908" spans="2:32" x14ac:dyDescent="0.25">
      <c r="B1908" s="695"/>
      <c r="C1908" s="197" t="str">
        <f>IF(B1908&lt;&gt;"",IFERROR(VLOOKUP(B:B,'מצבת והרשמה (2)'!$C$20:$N$520,2,0)," ")," ")</f>
        <v xml:space="preserve"> </v>
      </c>
      <c r="D1908" s="695"/>
      <c r="E1908" s="696"/>
      <c r="F1908" s="696"/>
      <c r="G1908" s="696"/>
      <c r="H1908" s="696"/>
      <c r="I1908" s="1050" t="str">
        <f t="shared" si="437"/>
        <v/>
      </c>
      <c r="J1908" s="696"/>
      <c r="K1908" s="697"/>
      <c r="L1908" s="696"/>
      <c r="M1908" s="198" t="str">
        <f t="shared" si="438"/>
        <v/>
      </c>
      <c r="N1908" s="369" t="str">
        <f t="shared" si="439"/>
        <v/>
      </c>
      <c r="O1908" s="183" t="str">
        <f t="shared" si="440"/>
        <v/>
      </c>
      <c r="P1908" s="199" t="str">
        <f t="shared" si="441"/>
        <v/>
      </c>
      <c r="Q1908" s="199" t="str">
        <f>IF(B1908="","",IFERROR(IF('עלויות כח אדם (6)'!J1908&gt;=VLOOKUP(I1908,'סיווג התפקידים והעלויות'!$B$23:$C$32,2,0),"תקין","לא תקין"),""))</f>
        <v/>
      </c>
      <c r="R1908" s="199" t="str">
        <f t="shared" si="442"/>
        <v/>
      </c>
      <c r="S1908" s="199" t="str">
        <f t="shared" si="443"/>
        <v/>
      </c>
      <c r="T1908" s="199" t="str">
        <f t="shared" si="451"/>
        <v/>
      </c>
      <c r="U1908" s="199" t="str">
        <f t="shared" si="444"/>
        <v/>
      </c>
      <c r="V1908" s="989"/>
      <c r="X1908" s="374" t="str">
        <f t="shared" si="445"/>
        <v/>
      </c>
      <c r="Y1908" s="375" t="str">
        <f t="shared" si="446"/>
        <v/>
      </c>
      <c r="Z1908" s="374" t="str">
        <f t="shared" si="447"/>
        <v/>
      </c>
      <c r="AA1908" s="374" t="b">
        <f t="shared" si="448"/>
        <v>1</v>
      </c>
      <c r="AB1908" s="374">
        <f>COUNTIFS(B:B,B1908,H:H,'סיווג התפקידים והעלויות'!$C$2)</f>
        <v>0</v>
      </c>
      <c r="AC1908" s="374">
        <f>COUNTIFS(B:B,B1908,H:H,'סיווג התפקידים והעלויות'!$D$2)</f>
        <v>0</v>
      </c>
      <c r="AD1908" s="374" t="str">
        <f>IF(OR(AND(H1908='סיווג התפקידים והעלויות'!$A$2,I1908='סיווג התפקידים והעלויות'!$A$3),'עלויות כח אדם (6)'!H1908='סיווג התפקידים והעלויות'!$C$2,'עלויות כח אדם (6)'!H1908='סיווג התפקידים והעלויות'!$D$2),IF('עלויות כח אדם (6)'!J1908&lt;75,"לא תקין","תקין"),"")</f>
        <v/>
      </c>
      <c r="AE1908" s="374" t="str">
        <f t="shared" si="449"/>
        <v/>
      </c>
      <c r="AF1908" s="532" t="str">
        <f t="shared" si="450"/>
        <v/>
      </c>
    </row>
    <row r="1909" spans="2:32" x14ac:dyDescent="0.25">
      <c r="B1909" s="695"/>
      <c r="C1909" s="197" t="str">
        <f>IF(B1909&lt;&gt;"",IFERROR(VLOOKUP(B:B,'מצבת והרשמה (2)'!$C$20:$N$520,2,0)," ")," ")</f>
        <v xml:space="preserve"> </v>
      </c>
      <c r="D1909" s="695"/>
      <c r="E1909" s="696"/>
      <c r="F1909" s="696"/>
      <c r="G1909" s="696"/>
      <c r="H1909" s="696"/>
      <c r="I1909" s="1050" t="str">
        <f t="shared" si="437"/>
        <v/>
      </c>
      <c r="J1909" s="696"/>
      <c r="K1909" s="697"/>
      <c r="L1909" s="696"/>
      <c r="M1909" s="198" t="str">
        <f t="shared" si="438"/>
        <v/>
      </c>
      <c r="N1909" s="369" t="str">
        <f t="shared" si="439"/>
        <v/>
      </c>
      <c r="O1909" s="183" t="str">
        <f t="shared" si="440"/>
        <v/>
      </c>
      <c r="P1909" s="199" t="str">
        <f t="shared" si="441"/>
        <v/>
      </c>
      <c r="Q1909" s="199" t="str">
        <f>IF(B1909="","",IFERROR(IF('עלויות כח אדם (6)'!J1909&gt;=VLOOKUP(I1909,'סיווג התפקידים והעלויות'!$B$23:$C$32,2,0),"תקין","לא תקין"),""))</f>
        <v/>
      </c>
      <c r="R1909" s="199" t="str">
        <f t="shared" si="442"/>
        <v/>
      </c>
      <c r="S1909" s="199" t="str">
        <f t="shared" si="443"/>
        <v/>
      </c>
      <c r="T1909" s="199" t="str">
        <f t="shared" si="451"/>
        <v/>
      </c>
      <c r="U1909" s="199" t="str">
        <f t="shared" si="444"/>
        <v/>
      </c>
      <c r="V1909" s="989"/>
      <c r="X1909" s="374" t="str">
        <f t="shared" si="445"/>
        <v/>
      </c>
      <c r="Y1909" s="375" t="str">
        <f t="shared" si="446"/>
        <v/>
      </c>
      <c r="Z1909" s="374" t="str">
        <f t="shared" si="447"/>
        <v/>
      </c>
      <c r="AA1909" s="374" t="b">
        <f t="shared" si="448"/>
        <v>1</v>
      </c>
      <c r="AB1909" s="374">
        <f>COUNTIFS(B:B,B1909,H:H,'סיווג התפקידים והעלויות'!$C$2)</f>
        <v>0</v>
      </c>
      <c r="AC1909" s="374">
        <f>COUNTIFS(B:B,B1909,H:H,'סיווג התפקידים והעלויות'!$D$2)</f>
        <v>0</v>
      </c>
      <c r="AD1909" s="374" t="str">
        <f>IF(OR(AND(H1909='סיווג התפקידים והעלויות'!$A$2,I1909='סיווג התפקידים והעלויות'!$A$3),'עלויות כח אדם (6)'!H1909='סיווג התפקידים והעלויות'!$C$2,'עלויות כח אדם (6)'!H1909='סיווג התפקידים והעלויות'!$D$2),IF('עלויות כח אדם (6)'!J1909&lt;75,"לא תקין","תקין"),"")</f>
        <v/>
      </c>
      <c r="AE1909" s="374" t="str">
        <f t="shared" si="449"/>
        <v/>
      </c>
      <c r="AF1909" s="532" t="str">
        <f t="shared" si="450"/>
        <v/>
      </c>
    </row>
    <row r="1910" spans="2:32" x14ac:dyDescent="0.25">
      <c r="B1910" s="695"/>
      <c r="C1910" s="197" t="str">
        <f>IF(B1910&lt;&gt;"",IFERROR(VLOOKUP(B:B,'מצבת והרשמה (2)'!$C$20:$N$520,2,0)," ")," ")</f>
        <v xml:space="preserve"> </v>
      </c>
      <c r="D1910" s="695"/>
      <c r="E1910" s="696"/>
      <c r="F1910" s="696"/>
      <c r="G1910" s="696"/>
      <c r="H1910" s="696"/>
      <c r="I1910" s="1050" t="str">
        <f t="shared" si="437"/>
        <v/>
      </c>
      <c r="J1910" s="696"/>
      <c r="K1910" s="697"/>
      <c r="L1910" s="696"/>
      <c r="M1910" s="198" t="str">
        <f t="shared" si="438"/>
        <v/>
      </c>
      <c r="N1910" s="369" t="str">
        <f t="shared" si="439"/>
        <v/>
      </c>
      <c r="O1910" s="183" t="str">
        <f t="shared" si="440"/>
        <v/>
      </c>
      <c r="P1910" s="199" t="str">
        <f t="shared" si="441"/>
        <v/>
      </c>
      <c r="Q1910" s="199" t="str">
        <f>IF(B1910="","",IFERROR(IF('עלויות כח אדם (6)'!J1910&gt;=VLOOKUP(I1910,'סיווג התפקידים והעלויות'!$B$23:$C$32,2,0),"תקין","לא תקין"),""))</f>
        <v/>
      </c>
      <c r="R1910" s="199" t="str">
        <f t="shared" si="442"/>
        <v/>
      </c>
      <c r="S1910" s="199" t="str">
        <f t="shared" si="443"/>
        <v/>
      </c>
      <c r="T1910" s="199" t="str">
        <f t="shared" si="451"/>
        <v/>
      </c>
      <c r="U1910" s="199" t="str">
        <f t="shared" si="444"/>
        <v/>
      </c>
      <c r="V1910" s="989"/>
      <c r="X1910" s="374" t="str">
        <f t="shared" si="445"/>
        <v/>
      </c>
      <c r="Y1910" s="375" t="str">
        <f t="shared" si="446"/>
        <v/>
      </c>
      <c r="Z1910" s="374" t="str">
        <f t="shared" si="447"/>
        <v/>
      </c>
      <c r="AA1910" s="374" t="b">
        <f t="shared" si="448"/>
        <v>1</v>
      </c>
      <c r="AB1910" s="374">
        <f>COUNTIFS(B:B,B1910,H:H,'סיווג התפקידים והעלויות'!$C$2)</f>
        <v>0</v>
      </c>
      <c r="AC1910" s="374">
        <f>COUNTIFS(B:B,B1910,H:H,'סיווג התפקידים והעלויות'!$D$2)</f>
        <v>0</v>
      </c>
      <c r="AD1910" s="374" t="str">
        <f>IF(OR(AND(H1910='סיווג התפקידים והעלויות'!$A$2,I1910='סיווג התפקידים והעלויות'!$A$3),'עלויות כח אדם (6)'!H1910='סיווג התפקידים והעלויות'!$C$2,'עלויות כח אדם (6)'!H1910='סיווג התפקידים והעלויות'!$D$2),IF('עלויות כח אדם (6)'!J1910&lt;75,"לא תקין","תקין"),"")</f>
        <v/>
      </c>
      <c r="AE1910" s="374" t="str">
        <f t="shared" si="449"/>
        <v/>
      </c>
      <c r="AF1910" s="532" t="str">
        <f t="shared" si="450"/>
        <v/>
      </c>
    </row>
    <row r="1911" spans="2:32" x14ac:dyDescent="0.25">
      <c r="B1911" s="695"/>
      <c r="C1911" s="197" t="str">
        <f>IF(B1911&lt;&gt;"",IFERROR(VLOOKUP(B:B,'מצבת והרשמה (2)'!$C$20:$N$520,2,0)," ")," ")</f>
        <v xml:space="preserve"> </v>
      </c>
      <c r="D1911" s="695"/>
      <c r="E1911" s="696"/>
      <c r="F1911" s="696"/>
      <c r="G1911" s="696"/>
      <c r="H1911" s="696"/>
      <c r="I1911" s="1050" t="str">
        <f t="shared" si="437"/>
        <v/>
      </c>
      <c r="J1911" s="696"/>
      <c r="K1911" s="697"/>
      <c r="L1911" s="696"/>
      <c r="M1911" s="198" t="str">
        <f t="shared" si="438"/>
        <v/>
      </c>
      <c r="N1911" s="369" t="str">
        <f t="shared" si="439"/>
        <v/>
      </c>
      <c r="O1911" s="183" t="str">
        <f t="shared" si="440"/>
        <v/>
      </c>
      <c r="P1911" s="199" t="str">
        <f t="shared" si="441"/>
        <v/>
      </c>
      <c r="Q1911" s="199" t="str">
        <f>IF(B1911="","",IFERROR(IF('עלויות כח אדם (6)'!J1911&gt;=VLOOKUP(I1911,'סיווג התפקידים והעלויות'!$B$23:$C$32,2,0),"תקין","לא תקין"),""))</f>
        <v/>
      </c>
      <c r="R1911" s="199" t="str">
        <f t="shared" si="442"/>
        <v/>
      </c>
      <c r="S1911" s="199" t="str">
        <f t="shared" si="443"/>
        <v/>
      </c>
      <c r="T1911" s="199" t="str">
        <f t="shared" si="451"/>
        <v/>
      </c>
      <c r="U1911" s="199" t="str">
        <f t="shared" si="444"/>
        <v/>
      </c>
      <c r="V1911" s="989"/>
      <c r="X1911" s="374" t="str">
        <f t="shared" si="445"/>
        <v/>
      </c>
      <c r="Y1911" s="375" t="str">
        <f t="shared" si="446"/>
        <v/>
      </c>
      <c r="Z1911" s="374" t="str">
        <f t="shared" si="447"/>
        <v/>
      </c>
      <c r="AA1911" s="374" t="b">
        <f t="shared" si="448"/>
        <v>1</v>
      </c>
      <c r="AB1911" s="374">
        <f>COUNTIFS(B:B,B1911,H:H,'סיווג התפקידים והעלויות'!$C$2)</f>
        <v>0</v>
      </c>
      <c r="AC1911" s="374">
        <f>COUNTIFS(B:B,B1911,H:H,'סיווג התפקידים והעלויות'!$D$2)</f>
        <v>0</v>
      </c>
      <c r="AD1911" s="374" t="str">
        <f>IF(OR(AND(H1911='סיווג התפקידים והעלויות'!$A$2,I1911='סיווג התפקידים והעלויות'!$A$3),'עלויות כח אדם (6)'!H1911='סיווג התפקידים והעלויות'!$C$2,'עלויות כח אדם (6)'!H1911='סיווג התפקידים והעלויות'!$D$2),IF('עלויות כח אדם (6)'!J1911&lt;75,"לא תקין","תקין"),"")</f>
        <v/>
      </c>
      <c r="AE1911" s="374" t="str">
        <f t="shared" si="449"/>
        <v/>
      </c>
      <c r="AF1911" s="532" t="str">
        <f t="shared" si="450"/>
        <v/>
      </c>
    </row>
    <row r="1912" spans="2:32" x14ac:dyDescent="0.25">
      <c r="B1912" s="695"/>
      <c r="C1912" s="197" t="str">
        <f>IF(B1912&lt;&gt;"",IFERROR(VLOOKUP(B:B,'מצבת והרשמה (2)'!$C$20:$N$520,2,0)," ")," ")</f>
        <v xml:space="preserve"> </v>
      </c>
      <c r="D1912" s="695"/>
      <c r="E1912" s="696"/>
      <c r="F1912" s="696"/>
      <c r="G1912" s="696"/>
      <c r="H1912" s="696"/>
      <c r="I1912" s="1050" t="str">
        <f t="shared" si="437"/>
        <v/>
      </c>
      <c r="J1912" s="696"/>
      <c r="K1912" s="697"/>
      <c r="L1912" s="696"/>
      <c r="M1912" s="198" t="str">
        <f t="shared" si="438"/>
        <v/>
      </c>
      <c r="N1912" s="369" t="str">
        <f t="shared" si="439"/>
        <v/>
      </c>
      <c r="O1912" s="183" t="str">
        <f t="shared" si="440"/>
        <v/>
      </c>
      <c r="P1912" s="199" t="str">
        <f t="shared" si="441"/>
        <v/>
      </c>
      <c r="Q1912" s="199" t="str">
        <f>IF(B1912="","",IFERROR(IF('עלויות כח אדם (6)'!J1912&gt;=VLOOKUP(I1912,'סיווג התפקידים והעלויות'!$B$23:$C$32,2,0),"תקין","לא תקין"),""))</f>
        <v/>
      </c>
      <c r="R1912" s="199" t="str">
        <f t="shared" si="442"/>
        <v/>
      </c>
      <c r="S1912" s="199" t="str">
        <f t="shared" si="443"/>
        <v/>
      </c>
      <c r="T1912" s="199" t="str">
        <f t="shared" si="451"/>
        <v/>
      </c>
      <c r="U1912" s="199" t="str">
        <f t="shared" si="444"/>
        <v/>
      </c>
      <c r="V1912" s="989"/>
      <c r="X1912" s="374" t="str">
        <f t="shared" si="445"/>
        <v/>
      </c>
      <c r="Y1912" s="375" t="str">
        <f t="shared" si="446"/>
        <v/>
      </c>
      <c r="Z1912" s="374" t="str">
        <f t="shared" si="447"/>
        <v/>
      </c>
      <c r="AA1912" s="374" t="b">
        <f t="shared" si="448"/>
        <v>1</v>
      </c>
      <c r="AB1912" s="374">
        <f>COUNTIFS(B:B,B1912,H:H,'סיווג התפקידים והעלויות'!$C$2)</f>
        <v>0</v>
      </c>
      <c r="AC1912" s="374">
        <f>COUNTIFS(B:B,B1912,H:H,'סיווג התפקידים והעלויות'!$D$2)</f>
        <v>0</v>
      </c>
      <c r="AD1912" s="374" t="str">
        <f>IF(OR(AND(H1912='סיווג התפקידים והעלויות'!$A$2,I1912='סיווג התפקידים והעלויות'!$A$3),'עלויות כח אדם (6)'!H1912='סיווג התפקידים והעלויות'!$C$2,'עלויות כח אדם (6)'!H1912='סיווג התפקידים והעלויות'!$D$2),IF('עלויות כח אדם (6)'!J1912&lt;75,"לא תקין","תקין"),"")</f>
        <v/>
      </c>
      <c r="AE1912" s="374" t="str">
        <f t="shared" si="449"/>
        <v/>
      </c>
      <c r="AF1912" s="532" t="str">
        <f t="shared" si="450"/>
        <v/>
      </c>
    </row>
    <row r="1913" spans="2:32" x14ac:dyDescent="0.25">
      <c r="B1913" s="695"/>
      <c r="C1913" s="197" t="str">
        <f>IF(B1913&lt;&gt;"",IFERROR(VLOOKUP(B:B,'מצבת והרשמה (2)'!$C$20:$N$520,2,0)," ")," ")</f>
        <v xml:space="preserve"> </v>
      </c>
      <c r="D1913" s="695"/>
      <c r="E1913" s="696"/>
      <c r="F1913" s="696"/>
      <c r="G1913" s="696"/>
      <c r="H1913" s="696"/>
      <c r="I1913" s="1050" t="str">
        <f t="shared" si="437"/>
        <v/>
      </c>
      <c r="J1913" s="696"/>
      <c r="K1913" s="697"/>
      <c r="L1913" s="696"/>
      <c r="M1913" s="198" t="str">
        <f t="shared" si="438"/>
        <v/>
      </c>
      <c r="N1913" s="369" t="str">
        <f t="shared" si="439"/>
        <v/>
      </c>
      <c r="O1913" s="183" t="str">
        <f t="shared" si="440"/>
        <v/>
      </c>
      <c r="P1913" s="199" t="str">
        <f t="shared" si="441"/>
        <v/>
      </c>
      <c r="Q1913" s="199" t="str">
        <f>IF(B1913="","",IFERROR(IF('עלויות כח אדם (6)'!J1913&gt;=VLOOKUP(I1913,'סיווג התפקידים והעלויות'!$B$23:$C$32,2,0),"תקין","לא תקין"),""))</f>
        <v/>
      </c>
      <c r="R1913" s="199" t="str">
        <f t="shared" si="442"/>
        <v/>
      </c>
      <c r="S1913" s="199" t="str">
        <f t="shared" si="443"/>
        <v/>
      </c>
      <c r="T1913" s="199" t="str">
        <f t="shared" si="451"/>
        <v/>
      </c>
      <c r="U1913" s="199" t="str">
        <f t="shared" si="444"/>
        <v/>
      </c>
      <c r="V1913" s="989"/>
      <c r="X1913" s="374" t="str">
        <f t="shared" si="445"/>
        <v/>
      </c>
      <c r="Y1913" s="375" t="str">
        <f t="shared" si="446"/>
        <v/>
      </c>
      <c r="Z1913" s="374" t="str">
        <f t="shared" si="447"/>
        <v/>
      </c>
      <c r="AA1913" s="374" t="b">
        <f t="shared" si="448"/>
        <v>1</v>
      </c>
      <c r="AB1913" s="374">
        <f>COUNTIFS(B:B,B1913,H:H,'סיווג התפקידים והעלויות'!$C$2)</f>
        <v>0</v>
      </c>
      <c r="AC1913" s="374">
        <f>COUNTIFS(B:B,B1913,H:H,'סיווג התפקידים והעלויות'!$D$2)</f>
        <v>0</v>
      </c>
      <c r="AD1913" s="374" t="str">
        <f>IF(OR(AND(H1913='סיווג התפקידים והעלויות'!$A$2,I1913='סיווג התפקידים והעלויות'!$A$3),'עלויות כח אדם (6)'!H1913='סיווג התפקידים והעלויות'!$C$2,'עלויות כח אדם (6)'!H1913='סיווג התפקידים והעלויות'!$D$2),IF('עלויות כח אדם (6)'!J1913&lt;75,"לא תקין","תקין"),"")</f>
        <v/>
      </c>
      <c r="AE1913" s="374" t="str">
        <f t="shared" si="449"/>
        <v/>
      </c>
      <c r="AF1913" s="532" t="str">
        <f t="shared" si="450"/>
        <v/>
      </c>
    </row>
    <row r="1914" spans="2:32" x14ac:dyDescent="0.25">
      <c r="B1914" s="695"/>
      <c r="C1914" s="197" t="str">
        <f>IF(B1914&lt;&gt;"",IFERROR(VLOOKUP(B:B,'מצבת והרשמה (2)'!$C$20:$N$520,2,0)," ")," ")</f>
        <v xml:space="preserve"> </v>
      </c>
      <c r="D1914" s="695"/>
      <c r="E1914" s="696"/>
      <c r="F1914" s="696"/>
      <c r="G1914" s="696"/>
      <c r="H1914" s="696"/>
      <c r="I1914" s="1050" t="str">
        <f t="shared" si="437"/>
        <v/>
      </c>
      <c r="J1914" s="696"/>
      <c r="K1914" s="697"/>
      <c r="L1914" s="696"/>
      <c r="M1914" s="198" t="str">
        <f t="shared" si="438"/>
        <v/>
      </c>
      <c r="N1914" s="369" t="str">
        <f t="shared" si="439"/>
        <v/>
      </c>
      <c r="O1914" s="183" t="str">
        <f t="shared" si="440"/>
        <v/>
      </c>
      <c r="P1914" s="199" t="str">
        <f t="shared" si="441"/>
        <v/>
      </c>
      <c r="Q1914" s="199" t="str">
        <f>IF(B1914="","",IFERROR(IF('עלויות כח אדם (6)'!J1914&gt;=VLOOKUP(I1914,'סיווג התפקידים והעלויות'!$B$23:$C$32,2,0),"תקין","לא תקין"),""))</f>
        <v/>
      </c>
      <c r="R1914" s="199" t="str">
        <f t="shared" si="442"/>
        <v/>
      </c>
      <c r="S1914" s="199" t="str">
        <f t="shared" si="443"/>
        <v/>
      </c>
      <c r="T1914" s="199" t="str">
        <f t="shared" si="451"/>
        <v/>
      </c>
      <c r="U1914" s="199" t="str">
        <f t="shared" si="444"/>
        <v/>
      </c>
      <c r="V1914" s="989"/>
      <c r="X1914" s="374" t="str">
        <f t="shared" si="445"/>
        <v/>
      </c>
      <c r="Y1914" s="375" t="str">
        <f t="shared" si="446"/>
        <v/>
      </c>
      <c r="Z1914" s="374" t="str">
        <f t="shared" si="447"/>
        <v/>
      </c>
      <c r="AA1914" s="374" t="b">
        <f t="shared" si="448"/>
        <v>1</v>
      </c>
      <c r="AB1914" s="374">
        <f>COUNTIFS(B:B,B1914,H:H,'סיווג התפקידים והעלויות'!$C$2)</f>
        <v>0</v>
      </c>
      <c r="AC1914" s="374">
        <f>COUNTIFS(B:B,B1914,H:H,'סיווג התפקידים והעלויות'!$D$2)</f>
        <v>0</v>
      </c>
      <c r="AD1914" s="374" t="str">
        <f>IF(OR(AND(H1914='סיווג התפקידים והעלויות'!$A$2,I1914='סיווג התפקידים והעלויות'!$A$3),'עלויות כח אדם (6)'!H1914='סיווג התפקידים והעלויות'!$C$2,'עלויות כח אדם (6)'!H1914='סיווג התפקידים והעלויות'!$D$2),IF('עלויות כח אדם (6)'!J1914&lt;75,"לא תקין","תקין"),"")</f>
        <v/>
      </c>
      <c r="AE1914" s="374" t="str">
        <f t="shared" si="449"/>
        <v/>
      </c>
      <c r="AF1914" s="532" t="str">
        <f t="shared" si="450"/>
        <v/>
      </c>
    </row>
    <row r="1915" spans="2:32" x14ac:dyDescent="0.25">
      <c r="B1915" s="695"/>
      <c r="C1915" s="197" t="str">
        <f>IF(B1915&lt;&gt;"",IFERROR(VLOOKUP(B:B,'מצבת והרשמה (2)'!$C$20:$N$520,2,0)," ")," ")</f>
        <v xml:space="preserve"> </v>
      </c>
      <c r="D1915" s="695"/>
      <c r="E1915" s="696"/>
      <c r="F1915" s="696"/>
      <c r="G1915" s="696"/>
      <c r="H1915" s="696"/>
      <c r="I1915" s="1050" t="str">
        <f t="shared" si="437"/>
        <v/>
      </c>
      <c r="J1915" s="696"/>
      <c r="K1915" s="697"/>
      <c r="L1915" s="696"/>
      <c r="M1915" s="198" t="str">
        <f t="shared" si="438"/>
        <v/>
      </c>
      <c r="N1915" s="369" t="str">
        <f t="shared" si="439"/>
        <v/>
      </c>
      <c r="O1915" s="183" t="str">
        <f t="shared" si="440"/>
        <v/>
      </c>
      <c r="P1915" s="199" t="str">
        <f t="shared" si="441"/>
        <v/>
      </c>
      <c r="Q1915" s="199" t="str">
        <f>IF(B1915="","",IFERROR(IF('עלויות כח אדם (6)'!J1915&gt;=VLOOKUP(I1915,'סיווג התפקידים והעלויות'!$B$23:$C$32,2,0),"תקין","לא תקין"),""))</f>
        <v/>
      </c>
      <c r="R1915" s="199" t="str">
        <f t="shared" si="442"/>
        <v/>
      </c>
      <c r="S1915" s="199" t="str">
        <f t="shared" si="443"/>
        <v/>
      </c>
      <c r="T1915" s="199" t="str">
        <f t="shared" si="451"/>
        <v/>
      </c>
      <c r="U1915" s="199" t="str">
        <f t="shared" si="444"/>
        <v/>
      </c>
      <c r="V1915" s="989"/>
      <c r="X1915" s="374" t="str">
        <f t="shared" si="445"/>
        <v/>
      </c>
      <c r="Y1915" s="375" t="str">
        <f t="shared" si="446"/>
        <v/>
      </c>
      <c r="Z1915" s="374" t="str">
        <f t="shared" si="447"/>
        <v/>
      </c>
      <c r="AA1915" s="374" t="b">
        <f t="shared" si="448"/>
        <v>1</v>
      </c>
      <c r="AB1915" s="374">
        <f>COUNTIFS(B:B,B1915,H:H,'סיווג התפקידים והעלויות'!$C$2)</f>
        <v>0</v>
      </c>
      <c r="AC1915" s="374">
        <f>COUNTIFS(B:B,B1915,H:H,'סיווג התפקידים והעלויות'!$D$2)</f>
        <v>0</v>
      </c>
      <c r="AD1915" s="374" t="str">
        <f>IF(OR(AND(H1915='סיווג התפקידים והעלויות'!$A$2,I1915='סיווג התפקידים והעלויות'!$A$3),'עלויות כח אדם (6)'!H1915='סיווג התפקידים והעלויות'!$C$2,'עלויות כח אדם (6)'!H1915='סיווג התפקידים והעלויות'!$D$2),IF('עלויות כח אדם (6)'!J1915&lt;75,"לא תקין","תקין"),"")</f>
        <v/>
      </c>
      <c r="AE1915" s="374" t="str">
        <f t="shared" si="449"/>
        <v/>
      </c>
      <c r="AF1915" s="532" t="str">
        <f t="shared" si="450"/>
        <v/>
      </c>
    </row>
    <row r="1916" spans="2:32" x14ac:dyDescent="0.25">
      <c r="B1916" s="695"/>
      <c r="C1916" s="197" t="str">
        <f>IF(B1916&lt;&gt;"",IFERROR(VLOOKUP(B:B,'מצבת והרשמה (2)'!$C$20:$N$520,2,0)," ")," ")</f>
        <v xml:space="preserve"> </v>
      </c>
      <c r="D1916" s="695"/>
      <c r="E1916" s="696"/>
      <c r="F1916" s="696"/>
      <c r="G1916" s="696"/>
      <c r="H1916" s="696"/>
      <c r="I1916" s="1050" t="str">
        <f t="shared" si="437"/>
        <v/>
      </c>
      <c r="J1916" s="696"/>
      <c r="K1916" s="697"/>
      <c r="L1916" s="696"/>
      <c r="M1916" s="198" t="str">
        <f t="shared" si="438"/>
        <v/>
      </c>
      <c r="N1916" s="369" t="str">
        <f t="shared" si="439"/>
        <v/>
      </c>
      <c r="O1916" s="183" t="str">
        <f t="shared" si="440"/>
        <v/>
      </c>
      <c r="P1916" s="199" t="str">
        <f t="shared" si="441"/>
        <v/>
      </c>
      <c r="Q1916" s="199" t="str">
        <f>IF(B1916="","",IFERROR(IF('עלויות כח אדם (6)'!J1916&gt;=VLOOKUP(I1916,'סיווג התפקידים והעלויות'!$B$23:$C$32,2,0),"תקין","לא תקין"),""))</f>
        <v/>
      </c>
      <c r="R1916" s="199" t="str">
        <f t="shared" si="442"/>
        <v/>
      </c>
      <c r="S1916" s="199" t="str">
        <f t="shared" si="443"/>
        <v/>
      </c>
      <c r="T1916" s="199" t="str">
        <f t="shared" si="451"/>
        <v/>
      </c>
      <c r="U1916" s="199" t="str">
        <f t="shared" si="444"/>
        <v/>
      </c>
      <c r="V1916" s="989"/>
      <c r="X1916" s="374" t="str">
        <f t="shared" si="445"/>
        <v/>
      </c>
      <c r="Y1916" s="375" t="str">
        <f t="shared" si="446"/>
        <v/>
      </c>
      <c r="Z1916" s="374" t="str">
        <f t="shared" si="447"/>
        <v/>
      </c>
      <c r="AA1916" s="374" t="b">
        <f t="shared" si="448"/>
        <v>1</v>
      </c>
      <c r="AB1916" s="374">
        <f>COUNTIFS(B:B,B1916,H:H,'סיווג התפקידים והעלויות'!$C$2)</f>
        <v>0</v>
      </c>
      <c r="AC1916" s="374">
        <f>COUNTIFS(B:B,B1916,H:H,'סיווג התפקידים והעלויות'!$D$2)</f>
        <v>0</v>
      </c>
      <c r="AD1916" s="374" t="str">
        <f>IF(OR(AND(H1916='סיווג התפקידים והעלויות'!$A$2,I1916='סיווג התפקידים והעלויות'!$A$3),'עלויות כח אדם (6)'!H1916='סיווג התפקידים והעלויות'!$C$2,'עלויות כח אדם (6)'!H1916='סיווג התפקידים והעלויות'!$D$2),IF('עלויות כח אדם (6)'!J1916&lt;75,"לא תקין","תקין"),"")</f>
        <v/>
      </c>
      <c r="AE1916" s="374" t="str">
        <f t="shared" si="449"/>
        <v/>
      </c>
      <c r="AF1916" s="532" t="str">
        <f t="shared" si="450"/>
        <v/>
      </c>
    </row>
    <row r="1917" spans="2:32" x14ac:dyDescent="0.25">
      <c r="B1917" s="695"/>
      <c r="C1917" s="197" t="str">
        <f>IF(B1917&lt;&gt;"",IFERROR(VLOOKUP(B:B,'מצבת והרשמה (2)'!$C$20:$N$520,2,0)," ")," ")</f>
        <v xml:space="preserve"> </v>
      </c>
      <c r="D1917" s="695"/>
      <c r="E1917" s="696"/>
      <c r="F1917" s="696"/>
      <c r="G1917" s="696"/>
      <c r="H1917" s="696"/>
      <c r="I1917" s="1050" t="str">
        <f t="shared" si="437"/>
        <v/>
      </c>
      <c r="J1917" s="696"/>
      <c r="K1917" s="697"/>
      <c r="L1917" s="696"/>
      <c r="M1917" s="198" t="str">
        <f t="shared" si="438"/>
        <v/>
      </c>
      <c r="N1917" s="369" t="str">
        <f t="shared" si="439"/>
        <v/>
      </c>
      <c r="O1917" s="183" t="str">
        <f t="shared" si="440"/>
        <v/>
      </c>
      <c r="P1917" s="199" t="str">
        <f t="shared" si="441"/>
        <v/>
      </c>
      <c r="Q1917" s="199" t="str">
        <f>IF(B1917="","",IFERROR(IF('עלויות כח אדם (6)'!J1917&gt;=VLOOKUP(I1917,'סיווג התפקידים והעלויות'!$B$23:$C$32,2,0),"תקין","לא תקין"),""))</f>
        <v/>
      </c>
      <c r="R1917" s="199" t="str">
        <f t="shared" si="442"/>
        <v/>
      </c>
      <c r="S1917" s="199" t="str">
        <f t="shared" si="443"/>
        <v/>
      </c>
      <c r="T1917" s="199" t="str">
        <f t="shared" si="451"/>
        <v/>
      </c>
      <c r="U1917" s="199" t="str">
        <f t="shared" si="444"/>
        <v/>
      </c>
      <c r="V1917" s="989"/>
      <c r="X1917" s="374" t="str">
        <f t="shared" si="445"/>
        <v/>
      </c>
      <c r="Y1917" s="375" t="str">
        <f t="shared" si="446"/>
        <v/>
      </c>
      <c r="Z1917" s="374" t="str">
        <f t="shared" si="447"/>
        <v/>
      </c>
      <c r="AA1917" s="374" t="b">
        <f t="shared" si="448"/>
        <v>1</v>
      </c>
      <c r="AB1917" s="374">
        <f>COUNTIFS(B:B,B1917,H:H,'סיווג התפקידים והעלויות'!$C$2)</f>
        <v>0</v>
      </c>
      <c r="AC1917" s="374">
        <f>COUNTIFS(B:B,B1917,H:H,'סיווג התפקידים והעלויות'!$D$2)</f>
        <v>0</v>
      </c>
      <c r="AD1917" s="374" t="str">
        <f>IF(OR(AND(H1917='סיווג התפקידים והעלויות'!$A$2,I1917='סיווג התפקידים והעלויות'!$A$3),'עלויות כח אדם (6)'!H1917='סיווג התפקידים והעלויות'!$C$2,'עלויות כח אדם (6)'!H1917='סיווג התפקידים והעלויות'!$D$2),IF('עלויות כח אדם (6)'!J1917&lt;75,"לא תקין","תקין"),"")</f>
        <v/>
      </c>
      <c r="AE1917" s="374" t="str">
        <f t="shared" si="449"/>
        <v/>
      </c>
      <c r="AF1917" s="532" t="str">
        <f t="shared" si="450"/>
        <v/>
      </c>
    </row>
    <row r="1918" spans="2:32" x14ac:dyDescent="0.25">
      <c r="B1918" s="695"/>
      <c r="C1918" s="197" t="str">
        <f>IF(B1918&lt;&gt;"",IFERROR(VLOOKUP(B:B,'מצבת והרשמה (2)'!$C$20:$N$520,2,0)," ")," ")</f>
        <v xml:space="preserve"> </v>
      </c>
      <c r="D1918" s="695"/>
      <c r="E1918" s="696"/>
      <c r="F1918" s="696"/>
      <c r="G1918" s="696"/>
      <c r="H1918" s="696"/>
      <c r="I1918" s="1050" t="str">
        <f t="shared" si="437"/>
        <v/>
      </c>
      <c r="J1918" s="696"/>
      <c r="K1918" s="697"/>
      <c r="L1918" s="696"/>
      <c r="M1918" s="198" t="str">
        <f t="shared" si="438"/>
        <v/>
      </c>
      <c r="N1918" s="369" t="str">
        <f t="shared" si="439"/>
        <v/>
      </c>
      <c r="O1918" s="183" t="str">
        <f t="shared" si="440"/>
        <v/>
      </c>
      <c r="P1918" s="199" t="str">
        <f t="shared" si="441"/>
        <v/>
      </c>
      <c r="Q1918" s="199" t="str">
        <f>IF(B1918="","",IFERROR(IF('עלויות כח אדם (6)'!J1918&gt;=VLOOKUP(I1918,'סיווג התפקידים והעלויות'!$B$23:$C$32,2,0),"תקין","לא תקין"),""))</f>
        <v/>
      </c>
      <c r="R1918" s="199" t="str">
        <f t="shared" si="442"/>
        <v/>
      </c>
      <c r="S1918" s="199" t="str">
        <f t="shared" si="443"/>
        <v/>
      </c>
      <c r="T1918" s="199" t="str">
        <f t="shared" si="451"/>
        <v/>
      </c>
      <c r="U1918" s="199" t="str">
        <f t="shared" si="444"/>
        <v/>
      </c>
      <c r="V1918" s="989"/>
      <c r="X1918" s="374" t="str">
        <f t="shared" si="445"/>
        <v/>
      </c>
      <c r="Y1918" s="375" t="str">
        <f t="shared" si="446"/>
        <v/>
      </c>
      <c r="Z1918" s="374" t="str">
        <f t="shared" si="447"/>
        <v/>
      </c>
      <c r="AA1918" s="374" t="b">
        <f t="shared" si="448"/>
        <v>1</v>
      </c>
      <c r="AB1918" s="374">
        <f>COUNTIFS(B:B,B1918,H:H,'סיווג התפקידים והעלויות'!$C$2)</f>
        <v>0</v>
      </c>
      <c r="AC1918" s="374">
        <f>COUNTIFS(B:B,B1918,H:H,'סיווג התפקידים והעלויות'!$D$2)</f>
        <v>0</v>
      </c>
      <c r="AD1918" s="374" t="str">
        <f>IF(OR(AND(H1918='סיווג התפקידים והעלויות'!$A$2,I1918='סיווג התפקידים והעלויות'!$A$3),'עלויות כח אדם (6)'!H1918='סיווג התפקידים והעלויות'!$C$2,'עלויות כח אדם (6)'!H1918='סיווג התפקידים והעלויות'!$D$2),IF('עלויות כח אדם (6)'!J1918&lt;75,"לא תקין","תקין"),"")</f>
        <v/>
      </c>
      <c r="AE1918" s="374" t="str">
        <f t="shared" si="449"/>
        <v/>
      </c>
      <c r="AF1918" s="532" t="str">
        <f t="shared" si="450"/>
        <v/>
      </c>
    </row>
    <row r="1919" spans="2:32" x14ac:dyDescent="0.25">
      <c r="B1919" s="695"/>
      <c r="C1919" s="197" t="str">
        <f>IF(B1919&lt;&gt;"",IFERROR(VLOOKUP(B:B,'מצבת והרשמה (2)'!$C$20:$N$520,2,0)," ")," ")</f>
        <v xml:space="preserve"> </v>
      </c>
      <c r="D1919" s="695"/>
      <c r="E1919" s="696"/>
      <c r="F1919" s="696"/>
      <c r="G1919" s="696"/>
      <c r="H1919" s="696"/>
      <c r="I1919" s="1050" t="str">
        <f t="shared" si="437"/>
        <v/>
      </c>
      <c r="J1919" s="696"/>
      <c r="K1919" s="697"/>
      <c r="L1919" s="696"/>
      <c r="M1919" s="198" t="str">
        <f t="shared" si="438"/>
        <v/>
      </c>
      <c r="N1919" s="369" t="str">
        <f t="shared" si="439"/>
        <v/>
      </c>
      <c r="O1919" s="183" t="str">
        <f t="shared" si="440"/>
        <v/>
      </c>
      <c r="P1919" s="199" t="str">
        <f t="shared" si="441"/>
        <v/>
      </c>
      <c r="Q1919" s="199" t="str">
        <f>IF(B1919="","",IFERROR(IF('עלויות כח אדם (6)'!J1919&gt;=VLOOKUP(I1919,'סיווג התפקידים והעלויות'!$B$23:$C$32,2,0),"תקין","לא תקין"),""))</f>
        <v/>
      </c>
      <c r="R1919" s="199" t="str">
        <f t="shared" si="442"/>
        <v/>
      </c>
      <c r="S1919" s="199" t="str">
        <f t="shared" si="443"/>
        <v/>
      </c>
      <c r="T1919" s="199" t="str">
        <f t="shared" si="451"/>
        <v/>
      </c>
      <c r="U1919" s="199" t="str">
        <f t="shared" si="444"/>
        <v/>
      </c>
      <c r="V1919" s="989"/>
      <c r="X1919" s="374" t="str">
        <f t="shared" si="445"/>
        <v/>
      </c>
      <c r="Y1919" s="375" t="str">
        <f t="shared" si="446"/>
        <v/>
      </c>
      <c r="Z1919" s="374" t="str">
        <f t="shared" si="447"/>
        <v/>
      </c>
      <c r="AA1919" s="374" t="b">
        <f t="shared" si="448"/>
        <v>1</v>
      </c>
      <c r="AB1919" s="374">
        <f>COUNTIFS(B:B,B1919,H:H,'סיווג התפקידים והעלויות'!$C$2)</f>
        <v>0</v>
      </c>
      <c r="AC1919" s="374">
        <f>COUNTIFS(B:B,B1919,H:H,'סיווג התפקידים והעלויות'!$D$2)</f>
        <v>0</v>
      </c>
      <c r="AD1919" s="374" t="str">
        <f>IF(OR(AND(H1919='סיווג התפקידים והעלויות'!$A$2,I1919='סיווג התפקידים והעלויות'!$A$3),'עלויות כח אדם (6)'!H1919='סיווג התפקידים והעלויות'!$C$2,'עלויות כח אדם (6)'!H1919='סיווג התפקידים והעלויות'!$D$2),IF('עלויות כח אדם (6)'!J1919&lt;75,"לא תקין","תקין"),"")</f>
        <v/>
      </c>
      <c r="AE1919" s="374" t="str">
        <f t="shared" si="449"/>
        <v/>
      </c>
      <c r="AF1919" s="532" t="str">
        <f t="shared" si="450"/>
        <v/>
      </c>
    </row>
    <row r="1920" spans="2:32" x14ac:dyDescent="0.25">
      <c r="B1920" s="695"/>
      <c r="C1920" s="197" t="str">
        <f>IF(B1920&lt;&gt;"",IFERROR(VLOOKUP(B:B,'מצבת והרשמה (2)'!$C$20:$N$520,2,0)," ")," ")</f>
        <v xml:space="preserve"> </v>
      </c>
      <c r="D1920" s="695"/>
      <c r="E1920" s="696"/>
      <c r="F1920" s="696"/>
      <c r="G1920" s="696"/>
      <c r="H1920" s="696"/>
      <c r="I1920" s="1050" t="str">
        <f t="shared" si="437"/>
        <v/>
      </c>
      <c r="J1920" s="696"/>
      <c r="K1920" s="697"/>
      <c r="L1920" s="696"/>
      <c r="M1920" s="198" t="str">
        <f t="shared" si="438"/>
        <v/>
      </c>
      <c r="N1920" s="369" t="str">
        <f t="shared" si="439"/>
        <v/>
      </c>
      <c r="O1920" s="183" t="str">
        <f t="shared" si="440"/>
        <v/>
      </c>
      <c r="P1920" s="199" t="str">
        <f t="shared" si="441"/>
        <v/>
      </c>
      <c r="Q1920" s="199" t="str">
        <f>IF(B1920="","",IFERROR(IF('עלויות כח אדם (6)'!J1920&gt;=VLOOKUP(I1920,'סיווג התפקידים והעלויות'!$B$23:$C$32,2,0),"תקין","לא תקין"),""))</f>
        <v/>
      </c>
      <c r="R1920" s="199" t="str">
        <f t="shared" si="442"/>
        <v/>
      </c>
      <c r="S1920" s="199" t="str">
        <f t="shared" si="443"/>
        <v/>
      </c>
      <c r="T1920" s="199" t="str">
        <f t="shared" si="451"/>
        <v/>
      </c>
      <c r="U1920" s="199" t="str">
        <f t="shared" si="444"/>
        <v/>
      </c>
      <c r="V1920" s="989"/>
      <c r="X1920" s="374" t="str">
        <f t="shared" si="445"/>
        <v/>
      </c>
      <c r="Y1920" s="375" t="str">
        <f t="shared" si="446"/>
        <v/>
      </c>
      <c r="Z1920" s="374" t="str">
        <f t="shared" si="447"/>
        <v/>
      </c>
      <c r="AA1920" s="374" t="b">
        <f t="shared" si="448"/>
        <v>1</v>
      </c>
      <c r="AB1920" s="374">
        <f>COUNTIFS(B:B,B1920,H:H,'סיווג התפקידים והעלויות'!$C$2)</f>
        <v>0</v>
      </c>
      <c r="AC1920" s="374">
        <f>COUNTIFS(B:B,B1920,H:H,'סיווג התפקידים והעלויות'!$D$2)</f>
        <v>0</v>
      </c>
      <c r="AD1920" s="374" t="str">
        <f>IF(OR(AND(H1920='סיווג התפקידים והעלויות'!$A$2,I1920='סיווג התפקידים והעלויות'!$A$3),'עלויות כח אדם (6)'!H1920='סיווג התפקידים והעלויות'!$C$2,'עלויות כח אדם (6)'!H1920='סיווג התפקידים והעלויות'!$D$2),IF('עלויות כח אדם (6)'!J1920&lt;75,"לא תקין","תקין"),"")</f>
        <v/>
      </c>
      <c r="AE1920" s="374" t="str">
        <f t="shared" si="449"/>
        <v/>
      </c>
      <c r="AF1920" s="532" t="str">
        <f t="shared" si="450"/>
        <v/>
      </c>
    </row>
    <row r="1921" spans="2:32" x14ac:dyDescent="0.25">
      <c r="B1921" s="695"/>
      <c r="C1921" s="197" t="str">
        <f>IF(B1921&lt;&gt;"",IFERROR(VLOOKUP(B:B,'מצבת והרשמה (2)'!$C$20:$N$520,2,0)," ")," ")</f>
        <v xml:space="preserve"> </v>
      </c>
      <c r="D1921" s="695"/>
      <c r="E1921" s="696"/>
      <c r="F1921" s="696"/>
      <c r="G1921" s="696"/>
      <c r="H1921" s="696"/>
      <c r="I1921" s="1050" t="str">
        <f t="shared" si="437"/>
        <v/>
      </c>
      <c r="J1921" s="696"/>
      <c r="K1921" s="697"/>
      <c r="L1921" s="696"/>
      <c r="M1921" s="198" t="str">
        <f t="shared" si="438"/>
        <v/>
      </c>
      <c r="N1921" s="369" t="str">
        <f t="shared" si="439"/>
        <v/>
      </c>
      <c r="O1921" s="183" t="str">
        <f t="shared" si="440"/>
        <v/>
      </c>
      <c r="P1921" s="199" t="str">
        <f t="shared" si="441"/>
        <v/>
      </c>
      <c r="Q1921" s="199" t="str">
        <f>IF(B1921="","",IFERROR(IF('עלויות כח אדם (6)'!J1921&gt;=VLOOKUP(I1921,'סיווג התפקידים והעלויות'!$B$23:$C$32,2,0),"תקין","לא תקין"),""))</f>
        <v/>
      </c>
      <c r="R1921" s="199" t="str">
        <f t="shared" si="442"/>
        <v/>
      </c>
      <c r="S1921" s="199" t="str">
        <f t="shared" si="443"/>
        <v/>
      </c>
      <c r="T1921" s="199" t="str">
        <f t="shared" si="451"/>
        <v/>
      </c>
      <c r="U1921" s="199" t="str">
        <f t="shared" si="444"/>
        <v/>
      </c>
      <c r="V1921" s="989"/>
      <c r="X1921" s="374" t="str">
        <f t="shared" si="445"/>
        <v/>
      </c>
      <c r="Y1921" s="375" t="str">
        <f t="shared" si="446"/>
        <v/>
      </c>
      <c r="Z1921" s="374" t="str">
        <f t="shared" si="447"/>
        <v/>
      </c>
      <c r="AA1921" s="374" t="b">
        <f t="shared" si="448"/>
        <v>1</v>
      </c>
      <c r="AB1921" s="374">
        <f>COUNTIFS(B:B,B1921,H:H,'סיווג התפקידים והעלויות'!$C$2)</f>
        <v>0</v>
      </c>
      <c r="AC1921" s="374">
        <f>COUNTIFS(B:B,B1921,H:H,'סיווג התפקידים והעלויות'!$D$2)</f>
        <v>0</v>
      </c>
      <c r="AD1921" s="374" t="str">
        <f>IF(OR(AND(H1921='סיווג התפקידים והעלויות'!$A$2,I1921='סיווג התפקידים והעלויות'!$A$3),'עלויות כח אדם (6)'!H1921='סיווג התפקידים והעלויות'!$C$2,'עלויות כח אדם (6)'!H1921='סיווג התפקידים והעלויות'!$D$2),IF('עלויות כח אדם (6)'!J1921&lt;75,"לא תקין","תקין"),"")</f>
        <v/>
      </c>
      <c r="AE1921" s="374" t="str">
        <f t="shared" si="449"/>
        <v/>
      </c>
      <c r="AF1921" s="532" t="str">
        <f t="shared" si="450"/>
        <v/>
      </c>
    </row>
    <row r="1922" spans="2:32" x14ac:dyDescent="0.25">
      <c r="B1922" s="695"/>
      <c r="C1922" s="197" t="str">
        <f>IF(B1922&lt;&gt;"",IFERROR(VLOOKUP(B:B,'מצבת והרשמה (2)'!$C$20:$N$520,2,0)," ")," ")</f>
        <v xml:space="preserve"> </v>
      </c>
      <c r="D1922" s="695"/>
      <c r="E1922" s="696"/>
      <c r="F1922" s="696"/>
      <c r="G1922" s="696"/>
      <c r="H1922" s="696"/>
      <c r="I1922" s="1050" t="str">
        <f t="shared" si="437"/>
        <v/>
      </c>
      <c r="J1922" s="696"/>
      <c r="K1922" s="697"/>
      <c r="L1922" s="696"/>
      <c r="M1922" s="198" t="str">
        <f t="shared" si="438"/>
        <v/>
      </c>
      <c r="N1922" s="369" t="str">
        <f t="shared" si="439"/>
        <v/>
      </c>
      <c r="O1922" s="183" t="str">
        <f t="shared" si="440"/>
        <v/>
      </c>
      <c r="P1922" s="199" t="str">
        <f t="shared" si="441"/>
        <v/>
      </c>
      <c r="Q1922" s="199" t="str">
        <f>IF(B1922="","",IFERROR(IF('עלויות כח אדם (6)'!J1922&gt;=VLOOKUP(I1922,'סיווג התפקידים והעלויות'!$B$23:$C$32,2,0),"תקין","לא תקין"),""))</f>
        <v/>
      </c>
      <c r="R1922" s="199" t="str">
        <f t="shared" si="442"/>
        <v/>
      </c>
      <c r="S1922" s="199" t="str">
        <f t="shared" si="443"/>
        <v/>
      </c>
      <c r="T1922" s="199" t="str">
        <f t="shared" si="451"/>
        <v/>
      </c>
      <c r="U1922" s="199" t="str">
        <f t="shared" si="444"/>
        <v/>
      </c>
      <c r="V1922" s="989"/>
      <c r="X1922" s="374" t="str">
        <f t="shared" si="445"/>
        <v/>
      </c>
      <c r="Y1922" s="375" t="str">
        <f t="shared" si="446"/>
        <v/>
      </c>
      <c r="Z1922" s="374" t="str">
        <f t="shared" si="447"/>
        <v/>
      </c>
      <c r="AA1922" s="374" t="b">
        <f t="shared" si="448"/>
        <v>1</v>
      </c>
      <c r="AB1922" s="374">
        <f>COUNTIFS(B:B,B1922,H:H,'סיווג התפקידים והעלויות'!$C$2)</f>
        <v>0</v>
      </c>
      <c r="AC1922" s="374">
        <f>COUNTIFS(B:B,B1922,H:H,'סיווג התפקידים והעלויות'!$D$2)</f>
        <v>0</v>
      </c>
      <c r="AD1922" s="374" t="str">
        <f>IF(OR(AND(H1922='סיווג התפקידים והעלויות'!$A$2,I1922='סיווג התפקידים והעלויות'!$A$3),'עלויות כח אדם (6)'!H1922='סיווג התפקידים והעלויות'!$C$2,'עלויות כח אדם (6)'!H1922='סיווג התפקידים והעלויות'!$D$2),IF('עלויות כח אדם (6)'!J1922&lt;75,"לא תקין","תקין"),"")</f>
        <v/>
      </c>
      <c r="AE1922" s="374" t="str">
        <f t="shared" si="449"/>
        <v/>
      </c>
      <c r="AF1922" s="532" t="str">
        <f t="shared" si="450"/>
        <v/>
      </c>
    </row>
    <row r="1923" spans="2:32" x14ac:dyDescent="0.25">
      <c r="B1923" s="695"/>
      <c r="C1923" s="197" t="str">
        <f>IF(B1923&lt;&gt;"",IFERROR(VLOOKUP(B:B,'מצבת והרשמה (2)'!$C$20:$N$520,2,0)," ")," ")</f>
        <v xml:space="preserve"> </v>
      </c>
      <c r="D1923" s="695"/>
      <c r="E1923" s="696"/>
      <c r="F1923" s="696"/>
      <c r="G1923" s="696"/>
      <c r="H1923" s="696"/>
      <c r="I1923" s="1050" t="str">
        <f t="shared" si="437"/>
        <v/>
      </c>
      <c r="J1923" s="696"/>
      <c r="K1923" s="697"/>
      <c r="L1923" s="696"/>
      <c r="M1923" s="198" t="str">
        <f t="shared" si="438"/>
        <v/>
      </c>
      <c r="N1923" s="369" t="str">
        <f t="shared" si="439"/>
        <v/>
      </c>
      <c r="O1923" s="183" t="str">
        <f t="shared" si="440"/>
        <v/>
      </c>
      <c r="P1923" s="199" t="str">
        <f t="shared" si="441"/>
        <v/>
      </c>
      <c r="Q1923" s="199" t="str">
        <f>IF(B1923="","",IFERROR(IF('עלויות כח אדם (6)'!J1923&gt;=VLOOKUP(I1923,'סיווג התפקידים והעלויות'!$B$23:$C$32,2,0),"תקין","לא תקין"),""))</f>
        <v/>
      </c>
      <c r="R1923" s="199" t="str">
        <f t="shared" si="442"/>
        <v/>
      </c>
      <c r="S1923" s="199" t="str">
        <f t="shared" si="443"/>
        <v/>
      </c>
      <c r="T1923" s="199" t="str">
        <f t="shared" si="451"/>
        <v/>
      </c>
      <c r="U1923" s="199" t="str">
        <f t="shared" si="444"/>
        <v/>
      </c>
      <c r="V1923" s="989"/>
      <c r="X1923" s="374" t="str">
        <f t="shared" si="445"/>
        <v/>
      </c>
      <c r="Y1923" s="375" t="str">
        <f t="shared" si="446"/>
        <v/>
      </c>
      <c r="Z1923" s="374" t="str">
        <f t="shared" si="447"/>
        <v/>
      </c>
      <c r="AA1923" s="374" t="b">
        <f t="shared" si="448"/>
        <v>1</v>
      </c>
      <c r="AB1923" s="374">
        <f>COUNTIFS(B:B,B1923,H:H,'סיווג התפקידים והעלויות'!$C$2)</f>
        <v>0</v>
      </c>
      <c r="AC1923" s="374">
        <f>COUNTIFS(B:B,B1923,H:H,'סיווג התפקידים והעלויות'!$D$2)</f>
        <v>0</v>
      </c>
      <c r="AD1923" s="374" t="str">
        <f>IF(OR(AND(H1923='סיווג התפקידים והעלויות'!$A$2,I1923='סיווג התפקידים והעלויות'!$A$3),'עלויות כח אדם (6)'!H1923='סיווג התפקידים והעלויות'!$C$2,'עלויות כח אדם (6)'!H1923='סיווג התפקידים והעלויות'!$D$2),IF('עלויות כח אדם (6)'!J1923&lt;75,"לא תקין","תקין"),"")</f>
        <v/>
      </c>
      <c r="AE1923" s="374" t="str">
        <f t="shared" si="449"/>
        <v/>
      </c>
      <c r="AF1923" s="532" t="str">
        <f t="shared" si="450"/>
        <v/>
      </c>
    </row>
    <row r="1924" spans="2:32" x14ac:dyDescent="0.25">
      <c r="B1924" s="695"/>
      <c r="C1924" s="197" t="str">
        <f>IF(B1924&lt;&gt;"",IFERROR(VLOOKUP(B:B,'מצבת והרשמה (2)'!$C$20:$N$520,2,0)," ")," ")</f>
        <v xml:space="preserve"> </v>
      </c>
      <c r="D1924" s="695"/>
      <c r="E1924" s="696"/>
      <c r="F1924" s="696"/>
      <c r="G1924" s="696"/>
      <c r="H1924" s="696"/>
      <c r="I1924" s="1050" t="str">
        <f t="shared" si="437"/>
        <v/>
      </c>
      <c r="J1924" s="696"/>
      <c r="K1924" s="697"/>
      <c r="L1924" s="696"/>
      <c r="M1924" s="198" t="str">
        <f t="shared" si="438"/>
        <v/>
      </c>
      <c r="N1924" s="369" t="str">
        <f t="shared" si="439"/>
        <v/>
      </c>
      <c r="O1924" s="183" t="str">
        <f t="shared" si="440"/>
        <v/>
      </c>
      <c r="P1924" s="199" t="str">
        <f t="shared" si="441"/>
        <v/>
      </c>
      <c r="Q1924" s="199" t="str">
        <f>IF(B1924="","",IFERROR(IF('עלויות כח אדם (6)'!J1924&gt;=VLOOKUP(I1924,'סיווג התפקידים והעלויות'!$B$23:$C$32,2,0),"תקין","לא תקין"),""))</f>
        <v/>
      </c>
      <c r="R1924" s="199" t="str">
        <f t="shared" si="442"/>
        <v/>
      </c>
      <c r="S1924" s="199" t="str">
        <f t="shared" si="443"/>
        <v/>
      </c>
      <c r="T1924" s="199" t="str">
        <f t="shared" si="451"/>
        <v/>
      </c>
      <c r="U1924" s="199" t="str">
        <f t="shared" si="444"/>
        <v/>
      </c>
      <c r="V1924" s="989"/>
      <c r="X1924" s="374" t="str">
        <f t="shared" si="445"/>
        <v/>
      </c>
      <c r="Y1924" s="375" t="str">
        <f t="shared" si="446"/>
        <v/>
      </c>
      <c r="Z1924" s="374" t="str">
        <f t="shared" si="447"/>
        <v/>
      </c>
      <c r="AA1924" s="374" t="b">
        <f t="shared" si="448"/>
        <v>1</v>
      </c>
      <c r="AB1924" s="374">
        <f>COUNTIFS(B:B,B1924,H:H,'סיווג התפקידים והעלויות'!$C$2)</f>
        <v>0</v>
      </c>
      <c r="AC1924" s="374">
        <f>COUNTIFS(B:B,B1924,H:H,'סיווג התפקידים והעלויות'!$D$2)</f>
        <v>0</v>
      </c>
      <c r="AD1924" s="374" t="str">
        <f>IF(OR(AND(H1924='סיווג התפקידים והעלויות'!$A$2,I1924='סיווג התפקידים והעלויות'!$A$3),'עלויות כח אדם (6)'!H1924='סיווג התפקידים והעלויות'!$C$2,'עלויות כח אדם (6)'!H1924='סיווג התפקידים והעלויות'!$D$2),IF('עלויות כח אדם (6)'!J1924&lt;75,"לא תקין","תקין"),"")</f>
        <v/>
      </c>
      <c r="AE1924" s="374" t="str">
        <f t="shared" si="449"/>
        <v/>
      </c>
      <c r="AF1924" s="532" t="str">
        <f t="shared" si="450"/>
        <v/>
      </c>
    </row>
    <row r="1925" spans="2:32" x14ac:dyDescent="0.25">
      <c r="B1925" s="695"/>
      <c r="C1925" s="197" t="str">
        <f>IF(B1925&lt;&gt;"",IFERROR(VLOOKUP(B:B,'מצבת והרשמה (2)'!$C$20:$N$520,2,0)," ")," ")</f>
        <v xml:space="preserve"> </v>
      </c>
      <c r="D1925" s="695"/>
      <c r="E1925" s="696"/>
      <c r="F1925" s="696"/>
      <c r="G1925" s="696"/>
      <c r="H1925" s="696"/>
      <c r="I1925" s="1050" t="str">
        <f t="shared" si="437"/>
        <v/>
      </c>
      <c r="J1925" s="696"/>
      <c r="K1925" s="697"/>
      <c r="L1925" s="696"/>
      <c r="M1925" s="198" t="str">
        <f t="shared" si="438"/>
        <v/>
      </c>
      <c r="N1925" s="369" t="str">
        <f t="shared" si="439"/>
        <v/>
      </c>
      <c r="O1925" s="183" t="str">
        <f t="shared" si="440"/>
        <v/>
      </c>
      <c r="P1925" s="199" t="str">
        <f t="shared" si="441"/>
        <v/>
      </c>
      <c r="Q1925" s="199" t="str">
        <f>IF(B1925="","",IFERROR(IF('עלויות כח אדם (6)'!J1925&gt;=VLOOKUP(I1925,'סיווג התפקידים והעלויות'!$B$23:$C$32,2,0),"תקין","לא תקין"),""))</f>
        <v/>
      </c>
      <c r="R1925" s="199" t="str">
        <f t="shared" si="442"/>
        <v/>
      </c>
      <c r="S1925" s="199" t="str">
        <f t="shared" si="443"/>
        <v/>
      </c>
      <c r="T1925" s="199" t="str">
        <f t="shared" si="451"/>
        <v/>
      </c>
      <c r="U1925" s="199" t="str">
        <f t="shared" si="444"/>
        <v/>
      </c>
      <c r="V1925" s="989"/>
      <c r="X1925" s="374" t="str">
        <f t="shared" si="445"/>
        <v/>
      </c>
      <c r="Y1925" s="375" t="str">
        <f t="shared" si="446"/>
        <v/>
      </c>
      <c r="Z1925" s="374" t="str">
        <f t="shared" si="447"/>
        <v/>
      </c>
      <c r="AA1925" s="374" t="b">
        <f t="shared" si="448"/>
        <v>1</v>
      </c>
      <c r="AB1925" s="374">
        <f>COUNTIFS(B:B,B1925,H:H,'סיווג התפקידים והעלויות'!$C$2)</f>
        <v>0</v>
      </c>
      <c r="AC1925" s="374">
        <f>COUNTIFS(B:B,B1925,H:H,'סיווג התפקידים והעלויות'!$D$2)</f>
        <v>0</v>
      </c>
      <c r="AD1925" s="374" t="str">
        <f>IF(OR(AND(H1925='סיווג התפקידים והעלויות'!$A$2,I1925='סיווג התפקידים והעלויות'!$A$3),'עלויות כח אדם (6)'!H1925='סיווג התפקידים והעלויות'!$C$2,'עלויות כח אדם (6)'!H1925='סיווג התפקידים והעלויות'!$D$2),IF('עלויות כח אדם (6)'!J1925&lt;75,"לא תקין","תקין"),"")</f>
        <v/>
      </c>
      <c r="AE1925" s="374" t="str">
        <f t="shared" si="449"/>
        <v/>
      </c>
      <c r="AF1925" s="532" t="str">
        <f t="shared" si="450"/>
        <v/>
      </c>
    </row>
    <row r="1926" spans="2:32" x14ac:dyDescent="0.25">
      <c r="B1926" s="695"/>
      <c r="C1926" s="197" t="str">
        <f>IF(B1926&lt;&gt;"",IFERROR(VLOOKUP(B:B,'מצבת והרשמה (2)'!$C$20:$N$520,2,0)," ")," ")</f>
        <v xml:space="preserve"> </v>
      </c>
      <c r="D1926" s="695"/>
      <c r="E1926" s="696"/>
      <c r="F1926" s="696"/>
      <c r="G1926" s="696"/>
      <c r="H1926" s="696"/>
      <c r="I1926" s="1050" t="str">
        <f t="shared" si="437"/>
        <v/>
      </c>
      <c r="J1926" s="696"/>
      <c r="K1926" s="697"/>
      <c r="L1926" s="696"/>
      <c r="M1926" s="198" t="str">
        <f t="shared" si="438"/>
        <v/>
      </c>
      <c r="N1926" s="369" t="str">
        <f t="shared" si="439"/>
        <v/>
      </c>
      <c r="O1926" s="183" t="str">
        <f t="shared" si="440"/>
        <v/>
      </c>
      <c r="P1926" s="199" t="str">
        <f t="shared" si="441"/>
        <v/>
      </c>
      <c r="Q1926" s="199" t="str">
        <f>IF(B1926="","",IFERROR(IF('עלויות כח אדם (6)'!J1926&gt;=VLOOKUP(I1926,'סיווג התפקידים והעלויות'!$B$23:$C$32,2,0),"תקין","לא תקין"),""))</f>
        <v/>
      </c>
      <c r="R1926" s="199" t="str">
        <f t="shared" si="442"/>
        <v/>
      </c>
      <c r="S1926" s="199" t="str">
        <f t="shared" si="443"/>
        <v/>
      </c>
      <c r="T1926" s="199" t="str">
        <f t="shared" si="451"/>
        <v/>
      </c>
      <c r="U1926" s="199" t="str">
        <f t="shared" si="444"/>
        <v/>
      </c>
      <c r="V1926" s="989"/>
      <c r="X1926" s="374" t="str">
        <f t="shared" si="445"/>
        <v/>
      </c>
      <c r="Y1926" s="375" t="str">
        <f t="shared" si="446"/>
        <v/>
      </c>
      <c r="Z1926" s="374" t="str">
        <f t="shared" si="447"/>
        <v/>
      </c>
      <c r="AA1926" s="374" t="b">
        <f t="shared" si="448"/>
        <v>1</v>
      </c>
      <c r="AB1926" s="374">
        <f>COUNTIFS(B:B,B1926,H:H,'סיווג התפקידים והעלויות'!$C$2)</f>
        <v>0</v>
      </c>
      <c r="AC1926" s="374">
        <f>COUNTIFS(B:B,B1926,H:H,'סיווג התפקידים והעלויות'!$D$2)</f>
        <v>0</v>
      </c>
      <c r="AD1926" s="374" t="str">
        <f>IF(OR(AND(H1926='סיווג התפקידים והעלויות'!$A$2,I1926='סיווג התפקידים והעלויות'!$A$3),'עלויות כח אדם (6)'!H1926='סיווג התפקידים והעלויות'!$C$2,'עלויות כח אדם (6)'!H1926='סיווג התפקידים והעלויות'!$D$2),IF('עלויות כח אדם (6)'!J1926&lt;75,"לא תקין","תקין"),"")</f>
        <v/>
      </c>
      <c r="AE1926" s="374" t="str">
        <f t="shared" si="449"/>
        <v/>
      </c>
      <c r="AF1926" s="532" t="str">
        <f t="shared" si="450"/>
        <v/>
      </c>
    </row>
    <row r="1927" spans="2:32" x14ac:dyDescent="0.25">
      <c r="B1927" s="695"/>
      <c r="C1927" s="197" t="str">
        <f>IF(B1927&lt;&gt;"",IFERROR(VLOOKUP(B:B,'מצבת והרשמה (2)'!$C$20:$N$520,2,0)," ")," ")</f>
        <v xml:space="preserve"> </v>
      </c>
      <c r="D1927" s="695"/>
      <c r="E1927" s="696"/>
      <c r="F1927" s="696"/>
      <c r="G1927" s="696"/>
      <c r="H1927" s="696"/>
      <c r="I1927" s="1050" t="str">
        <f t="shared" si="437"/>
        <v/>
      </c>
      <c r="J1927" s="696"/>
      <c r="K1927" s="697"/>
      <c r="L1927" s="696"/>
      <c r="M1927" s="198" t="str">
        <f t="shared" si="438"/>
        <v/>
      </c>
      <c r="N1927" s="369" t="str">
        <f t="shared" si="439"/>
        <v/>
      </c>
      <c r="O1927" s="183" t="str">
        <f t="shared" si="440"/>
        <v/>
      </c>
      <c r="P1927" s="199" t="str">
        <f t="shared" si="441"/>
        <v/>
      </c>
      <c r="Q1927" s="199" t="str">
        <f>IF(B1927="","",IFERROR(IF('עלויות כח אדם (6)'!J1927&gt;=VLOOKUP(I1927,'סיווג התפקידים והעלויות'!$B$23:$C$32,2,0),"תקין","לא תקין"),""))</f>
        <v/>
      </c>
      <c r="R1927" s="199" t="str">
        <f t="shared" si="442"/>
        <v/>
      </c>
      <c r="S1927" s="199" t="str">
        <f t="shared" si="443"/>
        <v/>
      </c>
      <c r="T1927" s="199" t="str">
        <f t="shared" si="451"/>
        <v/>
      </c>
      <c r="U1927" s="199" t="str">
        <f t="shared" si="444"/>
        <v/>
      </c>
      <c r="V1927" s="989"/>
      <c r="X1927" s="374" t="str">
        <f t="shared" si="445"/>
        <v/>
      </c>
      <c r="Y1927" s="375" t="str">
        <f t="shared" si="446"/>
        <v/>
      </c>
      <c r="Z1927" s="374" t="str">
        <f t="shared" si="447"/>
        <v/>
      </c>
      <c r="AA1927" s="374" t="b">
        <f t="shared" si="448"/>
        <v>1</v>
      </c>
      <c r="AB1927" s="374">
        <f>COUNTIFS(B:B,B1927,H:H,'סיווג התפקידים והעלויות'!$C$2)</f>
        <v>0</v>
      </c>
      <c r="AC1927" s="374">
        <f>COUNTIFS(B:B,B1927,H:H,'סיווג התפקידים והעלויות'!$D$2)</f>
        <v>0</v>
      </c>
      <c r="AD1927" s="374" t="str">
        <f>IF(OR(AND(H1927='סיווג התפקידים והעלויות'!$A$2,I1927='סיווג התפקידים והעלויות'!$A$3),'עלויות כח אדם (6)'!H1927='סיווג התפקידים והעלויות'!$C$2,'עלויות כח אדם (6)'!H1927='סיווג התפקידים והעלויות'!$D$2),IF('עלויות כח אדם (6)'!J1927&lt;75,"לא תקין","תקין"),"")</f>
        <v/>
      </c>
      <c r="AE1927" s="374" t="str">
        <f t="shared" si="449"/>
        <v/>
      </c>
      <c r="AF1927" s="532" t="str">
        <f t="shared" si="450"/>
        <v/>
      </c>
    </row>
    <row r="1928" spans="2:32" x14ac:dyDescent="0.25">
      <c r="B1928" s="695"/>
      <c r="C1928" s="197" t="str">
        <f>IF(B1928&lt;&gt;"",IFERROR(VLOOKUP(B:B,'מצבת והרשמה (2)'!$C$20:$N$520,2,0)," ")," ")</f>
        <v xml:space="preserve"> </v>
      </c>
      <c r="D1928" s="695"/>
      <c r="E1928" s="696"/>
      <c r="F1928" s="696"/>
      <c r="G1928" s="696"/>
      <c r="H1928" s="696"/>
      <c r="I1928" s="1050" t="str">
        <f t="shared" si="437"/>
        <v/>
      </c>
      <c r="J1928" s="696"/>
      <c r="K1928" s="697"/>
      <c r="L1928" s="696"/>
      <c r="M1928" s="198" t="str">
        <f t="shared" si="438"/>
        <v/>
      </c>
      <c r="N1928" s="369" t="str">
        <f t="shared" si="439"/>
        <v/>
      </c>
      <c r="O1928" s="183" t="str">
        <f t="shared" si="440"/>
        <v/>
      </c>
      <c r="P1928" s="199" t="str">
        <f t="shared" si="441"/>
        <v/>
      </c>
      <c r="Q1928" s="199" t="str">
        <f>IF(B1928="","",IFERROR(IF('עלויות כח אדם (6)'!J1928&gt;=VLOOKUP(I1928,'סיווג התפקידים והעלויות'!$B$23:$C$32,2,0),"תקין","לא תקין"),""))</f>
        <v/>
      </c>
      <c r="R1928" s="199" t="str">
        <f t="shared" si="442"/>
        <v/>
      </c>
      <c r="S1928" s="199" t="str">
        <f t="shared" si="443"/>
        <v/>
      </c>
      <c r="T1928" s="199" t="str">
        <f t="shared" si="451"/>
        <v/>
      </c>
      <c r="U1928" s="199" t="str">
        <f t="shared" si="444"/>
        <v/>
      </c>
      <c r="V1928" s="989"/>
      <c r="X1928" s="374" t="str">
        <f t="shared" si="445"/>
        <v/>
      </c>
      <c r="Y1928" s="375" t="str">
        <f t="shared" si="446"/>
        <v/>
      </c>
      <c r="Z1928" s="374" t="str">
        <f t="shared" si="447"/>
        <v/>
      </c>
      <c r="AA1928" s="374" t="b">
        <f t="shared" si="448"/>
        <v>1</v>
      </c>
      <c r="AB1928" s="374">
        <f>COUNTIFS(B:B,B1928,H:H,'סיווג התפקידים והעלויות'!$C$2)</f>
        <v>0</v>
      </c>
      <c r="AC1928" s="374">
        <f>COUNTIFS(B:B,B1928,H:H,'סיווג התפקידים והעלויות'!$D$2)</f>
        <v>0</v>
      </c>
      <c r="AD1928" s="374" t="str">
        <f>IF(OR(AND(H1928='סיווג התפקידים והעלויות'!$A$2,I1928='סיווג התפקידים והעלויות'!$A$3),'עלויות כח אדם (6)'!H1928='סיווג התפקידים והעלויות'!$C$2,'עלויות כח אדם (6)'!H1928='סיווג התפקידים והעלויות'!$D$2),IF('עלויות כח אדם (6)'!J1928&lt;75,"לא תקין","תקין"),"")</f>
        <v/>
      </c>
      <c r="AE1928" s="374" t="str">
        <f t="shared" si="449"/>
        <v/>
      </c>
      <c r="AF1928" s="532" t="str">
        <f t="shared" si="450"/>
        <v/>
      </c>
    </row>
    <row r="1929" spans="2:32" x14ac:dyDescent="0.25">
      <c r="B1929" s="695"/>
      <c r="C1929" s="197" t="str">
        <f>IF(B1929&lt;&gt;"",IFERROR(VLOOKUP(B:B,'מצבת והרשמה (2)'!$C$20:$N$520,2,0)," ")," ")</f>
        <v xml:space="preserve"> </v>
      </c>
      <c r="D1929" s="695"/>
      <c r="E1929" s="696"/>
      <c r="F1929" s="696"/>
      <c r="G1929" s="696"/>
      <c r="H1929" s="696"/>
      <c r="I1929" s="1050" t="str">
        <f t="shared" si="437"/>
        <v/>
      </c>
      <c r="J1929" s="696"/>
      <c r="K1929" s="697"/>
      <c r="L1929" s="696"/>
      <c r="M1929" s="198" t="str">
        <f t="shared" si="438"/>
        <v/>
      </c>
      <c r="N1929" s="369" t="str">
        <f t="shared" si="439"/>
        <v/>
      </c>
      <c r="O1929" s="183" t="str">
        <f t="shared" si="440"/>
        <v/>
      </c>
      <c r="P1929" s="199" t="str">
        <f t="shared" si="441"/>
        <v/>
      </c>
      <c r="Q1929" s="199" t="str">
        <f>IF(B1929="","",IFERROR(IF('עלויות כח אדם (6)'!J1929&gt;=VLOOKUP(I1929,'סיווג התפקידים והעלויות'!$B$23:$C$32,2,0),"תקין","לא תקין"),""))</f>
        <v/>
      </c>
      <c r="R1929" s="199" t="str">
        <f t="shared" si="442"/>
        <v/>
      </c>
      <c r="S1929" s="199" t="str">
        <f t="shared" si="443"/>
        <v/>
      </c>
      <c r="T1929" s="199" t="str">
        <f t="shared" si="451"/>
        <v/>
      </c>
      <c r="U1929" s="199" t="str">
        <f t="shared" si="444"/>
        <v/>
      </c>
      <c r="V1929" s="989"/>
      <c r="X1929" s="374" t="str">
        <f t="shared" si="445"/>
        <v/>
      </c>
      <c r="Y1929" s="375" t="str">
        <f t="shared" si="446"/>
        <v/>
      </c>
      <c r="Z1929" s="374" t="str">
        <f t="shared" si="447"/>
        <v/>
      </c>
      <c r="AA1929" s="374" t="b">
        <f t="shared" si="448"/>
        <v>1</v>
      </c>
      <c r="AB1929" s="374">
        <f>COUNTIFS(B:B,B1929,H:H,'סיווג התפקידים והעלויות'!$C$2)</f>
        <v>0</v>
      </c>
      <c r="AC1929" s="374">
        <f>COUNTIFS(B:B,B1929,H:H,'סיווג התפקידים והעלויות'!$D$2)</f>
        <v>0</v>
      </c>
      <c r="AD1929" s="374" t="str">
        <f>IF(OR(AND(H1929='סיווג התפקידים והעלויות'!$A$2,I1929='סיווג התפקידים והעלויות'!$A$3),'עלויות כח אדם (6)'!H1929='סיווג התפקידים והעלויות'!$C$2,'עלויות כח אדם (6)'!H1929='סיווג התפקידים והעלויות'!$D$2),IF('עלויות כח אדם (6)'!J1929&lt;75,"לא תקין","תקין"),"")</f>
        <v/>
      </c>
      <c r="AE1929" s="374" t="str">
        <f t="shared" si="449"/>
        <v/>
      </c>
      <c r="AF1929" s="532" t="str">
        <f t="shared" si="450"/>
        <v/>
      </c>
    </row>
    <row r="1930" spans="2:32" x14ac:dyDescent="0.25">
      <c r="B1930" s="695"/>
      <c r="C1930" s="197" t="str">
        <f>IF(B1930&lt;&gt;"",IFERROR(VLOOKUP(B:B,'מצבת והרשמה (2)'!$C$20:$N$520,2,0)," ")," ")</f>
        <v xml:space="preserve"> </v>
      </c>
      <c r="D1930" s="695"/>
      <c r="E1930" s="696"/>
      <c r="F1930" s="696"/>
      <c r="G1930" s="696"/>
      <c r="H1930" s="696"/>
      <c r="I1930" s="1050" t="str">
        <f t="shared" si="437"/>
        <v/>
      </c>
      <c r="J1930" s="696"/>
      <c r="K1930" s="697"/>
      <c r="L1930" s="696"/>
      <c r="M1930" s="198" t="str">
        <f t="shared" si="438"/>
        <v/>
      </c>
      <c r="N1930" s="369" t="str">
        <f t="shared" si="439"/>
        <v/>
      </c>
      <c r="O1930" s="183" t="str">
        <f t="shared" si="440"/>
        <v/>
      </c>
      <c r="P1930" s="199" t="str">
        <f t="shared" si="441"/>
        <v/>
      </c>
      <c r="Q1930" s="199" t="str">
        <f>IF(B1930="","",IFERROR(IF('עלויות כח אדם (6)'!J1930&gt;=VLOOKUP(I1930,'סיווג התפקידים והעלויות'!$B$23:$C$32,2,0),"תקין","לא תקין"),""))</f>
        <v/>
      </c>
      <c r="R1930" s="199" t="str">
        <f t="shared" si="442"/>
        <v/>
      </c>
      <c r="S1930" s="199" t="str">
        <f t="shared" si="443"/>
        <v/>
      </c>
      <c r="T1930" s="199" t="str">
        <f t="shared" si="451"/>
        <v/>
      </c>
      <c r="U1930" s="199" t="str">
        <f t="shared" si="444"/>
        <v/>
      </c>
      <c r="V1930" s="989"/>
      <c r="X1930" s="374" t="str">
        <f t="shared" si="445"/>
        <v/>
      </c>
      <c r="Y1930" s="375" t="str">
        <f t="shared" si="446"/>
        <v/>
      </c>
      <c r="Z1930" s="374" t="str">
        <f t="shared" si="447"/>
        <v/>
      </c>
      <c r="AA1930" s="374" t="b">
        <f t="shared" si="448"/>
        <v>1</v>
      </c>
      <c r="AB1930" s="374">
        <f>COUNTIFS(B:B,B1930,H:H,'סיווג התפקידים והעלויות'!$C$2)</f>
        <v>0</v>
      </c>
      <c r="AC1930" s="374">
        <f>COUNTIFS(B:B,B1930,H:H,'סיווג התפקידים והעלויות'!$D$2)</f>
        <v>0</v>
      </c>
      <c r="AD1930" s="374" t="str">
        <f>IF(OR(AND(H1930='סיווג התפקידים והעלויות'!$A$2,I1930='סיווג התפקידים והעלויות'!$A$3),'עלויות כח אדם (6)'!H1930='סיווג התפקידים והעלויות'!$C$2,'עלויות כח אדם (6)'!H1930='סיווג התפקידים והעלויות'!$D$2),IF('עלויות כח אדם (6)'!J1930&lt;75,"לא תקין","תקין"),"")</f>
        <v/>
      </c>
      <c r="AE1930" s="374" t="str">
        <f t="shared" si="449"/>
        <v/>
      </c>
      <c r="AF1930" s="532" t="str">
        <f t="shared" si="450"/>
        <v/>
      </c>
    </row>
    <row r="1931" spans="2:32" x14ac:dyDescent="0.25">
      <c r="B1931" s="695"/>
      <c r="C1931" s="197" t="str">
        <f>IF(B1931&lt;&gt;"",IFERROR(VLOOKUP(B:B,'מצבת והרשמה (2)'!$C$20:$N$520,2,0)," ")," ")</f>
        <v xml:space="preserve"> </v>
      </c>
      <c r="D1931" s="695"/>
      <c r="E1931" s="696"/>
      <c r="F1931" s="696"/>
      <c r="G1931" s="696"/>
      <c r="H1931" s="696"/>
      <c r="I1931" s="1050" t="str">
        <f t="shared" si="437"/>
        <v/>
      </c>
      <c r="J1931" s="696"/>
      <c r="K1931" s="697"/>
      <c r="L1931" s="696"/>
      <c r="M1931" s="198" t="str">
        <f t="shared" si="438"/>
        <v/>
      </c>
      <c r="N1931" s="369" t="str">
        <f t="shared" si="439"/>
        <v/>
      </c>
      <c r="O1931" s="183" t="str">
        <f t="shared" si="440"/>
        <v/>
      </c>
      <c r="P1931" s="199" t="str">
        <f t="shared" si="441"/>
        <v/>
      </c>
      <c r="Q1931" s="199" t="str">
        <f>IF(B1931="","",IFERROR(IF('עלויות כח אדם (6)'!J1931&gt;=VLOOKUP(I1931,'סיווג התפקידים והעלויות'!$B$23:$C$32,2,0),"תקין","לא תקין"),""))</f>
        <v/>
      </c>
      <c r="R1931" s="199" t="str">
        <f t="shared" si="442"/>
        <v/>
      </c>
      <c r="S1931" s="199" t="str">
        <f t="shared" si="443"/>
        <v/>
      </c>
      <c r="T1931" s="199" t="str">
        <f t="shared" si="451"/>
        <v/>
      </c>
      <c r="U1931" s="199" t="str">
        <f t="shared" si="444"/>
        <v/>
      </c>
      <c r="V1931" s="989"/>
      <c r="X1931" s="374" t="str">
        <f t="shared" si="445"/>
        <v/>
      </c>
      <c r="Y1931" s="375" t="str">
        <f t="shared" si="446"/>
        <v/>
      </c>
      <c r="Z1931" s="374" t="str">
        <f t="shared" si="447"/>
        <v/>
      </c>
      <c r="AA1931" s="374" t="b">
        <f t="shared" si="448"/>
        <v>1</v>
      </c>
      <c r="AB1931" s="374">
        <f>COUNTIFS(B:B,B1931,H:H,'סיווג התפקידים והעלויות'!$C$2)</f>
        <v>0</v>
      </c>
      <c r="AC1931" s="374">
        <f>COUNTIFS(B:B,B1931,H:H,'סיווג התפקידים והעלויות'!$D$2)</f>
        <v>0</v>
      </c>
      <c r="AD1931" s="374" t="str">
        <f>IF(OR(AND(H1931='סיווג התפקידים והעלויות'!$A$2,I1931='סיווג התפקידים והעלויות'!$A$3),'עלויות כח אדם (6)'!H1931='סיווג התפקידים והעלויות'!$C$2,'עלויות כח אדם (6)'!H1931='סיווג התפקידים והעלויות'!$D$2),IF('עלויות כח אדם (6)'!J1931&lt;75,"לא תקין","תקין"),"")</f>
        <v/>
      </c>
      <c r="AE1931" s="374" t="str">
        <f t="shared" si="449"/>
        <v/>
      </c>
      <c r="AF1931" s="532" t="str">
        <f t="shared" si="450"/>
        <v/>
      </c>
    </row>
    <row r="1932" spans="2:32" x14ac:dyDescent="0.25">
      <c r="B1932" s="695"/>
      <c r="C1932" s="197" t="str">
        <f>IF(B1932&lt;&gt;"",IFERROR(VLOOKUP(B:B,'מצבת והרשמה (2)'!$C$20:$N$520,2,0)," ")," ")</f>
        <v xml:space="preserve"> </v>
      </c>
      <c r="D1932" s="695"/>
      <c r="E1932" s="696"/>
      <c r="F1932" s="696"/>
      <c r="G1932" s="696"/>
      <c r="H1932" s="696"/>
      <c r="I1932" s="1050" t="str">
        <f t="shared" si="437"/>
        <v/>
      </c>
      <c r="J1932" s="696"/>
      <c r="K1932" s="697"/>
      <c r="L1932" s="696"/>
      <c r="M1932" s="198" t="str">
        <f t="shared" si="438"/>
        <v/>
      </c>
      <c r="N1932" s="369" t="str">
        <f t="shared" si="439"/>
        <v/>
      </c>
      <c r="O1932" s="183" t="str">
        <f t="shared" si="440"/>
        <v/>
      </c>
      <c r="P1932" s="199" t="str">
        <f t="shared" si="441"/>
        <v/>
      </c>
      <c r="Q1932" s="199" t="str">
        <f>IF(B1932="","",IFERROR(IF('עלויות כח אדם (6)'!J1932&gt;=VLOOKUP(I1932,'סיווג התפקידים והעלויות'!$B$23:$C$32,2,0),"תקין","לא תקין"),""))</f>
        <v/>
      </c>
      <c r="R1932" s="199" t="str">
        <f t="shared" si="442"/>
        <v/>
      </c>
      <c r="S1932" s="199" t="str">
        <f t="shared" si="443"/>
        <v/>
      </c>
      <c r="T1932" s="199" t="str">
        <f t="shared" si="451"/>
        <v/>
      </c>
      <c r="U1932" s="199" t="str">
        <f t="shared" si="444"/>
        <v/>
      </c>
      <c r="V1932" s="989"/>
      <c r="X1932" s="374" t="str">
        <f t="shared" si="445"/>
        <v/>
      </c>
      <c r="Y1932" s="375" t="str">
        <f t="shared" si="446"/>
        <v/>
      </c>
      <c r="Z1932" s="374" t="str">
        <f t="shared" si="447"/>
        <v/>
      </c>
      <c r="AA1932" s="374" t="b">
        <f t="shared" si="448"/>
        <v>1</v>
      </c>
      <c r="AB1932" s="374">
        <f>COUNTIFS(B:B,B1932,H:H,'סיווג התפקידים והעלויות'!$C$2)</f>
        <v>0</v>
      </c>
      <c r="AC1932" s="374">
        <f>COUNTIFS(B:B,B1932,H:H,'סיווג התפקידים והעלויות'!$D$2)</f>
        <v>0</v>
      </c>
      <c r="AD1932" s="374" t="str">
        <f>IF(OR(AND(H1932='סיווג התפקידים והעלויות'!$A$2,I1932='סיווג התפקידים והעלויות'!$A$3),'עלויות כח אדם (6)'!H1932='סיווג התפקידים והעלויות'!$C$2,'עלויות כח אדם (6)'!H1932='סיווג התפקידים והעלויות'!$D$2),IF('עלויות כח אדם (6)'!J1932&lt;75,"לא תקין","תקין"),"")</f>
        <v/>
      </c>
      <c r="AE1932" s="374" t="str">
        <f t="shared" si="449"/>
        <v/>
      </c>
      <c r="AF1932" s="532" t="str">
        <f t="shared" si="450"/>
        <v/>
      </c>
    </row>
    <row r="1933" spans="2:32" x14ac:dyDescent="0.25">
      <c r="B1933" s="695"/>
      <c r="C1933" s="197" t="str">
        <f>IF(B1933&lt;&gt;"",IFERROR(VLOOKUP(B:B,'מצבת והרשמה (2)'!$C$20:$N$520,2,0)," ")," ")</f>
        <v xml:space="preserve"> </v>
      </c>
      <c r="D1933" s="695"/>
      <c r="E1933" s="696"/>
      <c r="F1933" s="696"/>
      <c r="G1933" s="696"/>
      <c r="H1933" s="696"/>
      <c r="I1933" s="1050" t="str">
        <f t="shared" si="437"/>
        <v/>
      </c>
      <c r="J1933" s="696"/>
      <c r="K1933" s="697"/>
      <c r="L1933" s="696"/>
      <c r="M1933" s="198" t="str">
        <f t="shared" si="438"/>
        <v/>
      </c>
      <c r="N1933" s="369" t="str">
        <f t="shared" si="439"/>
        <v/>
      </c>
      <c r="O1933" s="183" t="str">
        <f t="shared" si="440"/>
        <v/>
      </c>
      <c r="P1933" s="199" t="str">
        <f t="shared" si="441"/>
        <v/>
      </c>
      <c r="Q1933" s="199" t="str">
        <f>IF(B1933="","",IFERROR(IF('עלויות כח אדם (6)'!J1933&gt;=VLOOKUP(I1933,'סיווג התפקידים והעלויות'!$B$23:$C$32,2,0),"תקין","לא תקין"),""))</f>
        <v/>
      </c>
      <c r="R1933" s="199" t="str">
        <f t="shared" si="442"/>
        <v/>
      </c>
      <c r="S1933" s="199" t="str">
        <f t="shared" si="443"/>
        <v/>
      </c>
      <c r="T1933" s="199" t="str">
        <f t="shared" si="451"/>
        <v/>
      </c>
      <c r="U1933" s="199" t="str">
        <f t="shared" si="444"/>
        <v/>
      </c>
      <c r="V1933" s="989"/>
      <c r="X1933" s="374" t="str">
        <f t="shared" si="445"/>
        <v/>
      </c>
      <c r="Y1933" s="375" t="str">
        <f t="shared" si="446"/>
        <v/>
      </c>
      <c r="Z1933" s="374" t="str">
        <f t="shared" si="447"/>
        <v/>
      </c>
      <c r="AA1933" s="374" t="b">
        <f t="shared" si="448"/>
        <v>1</v>
      </c>
      <c r="AB1933" s="374">
        <f>COUNTIFS(B:B,B1933,H:H,'סיווג התפקידים והעלויות'!$C$2)</f>
        <v>0</v>
      </c>
      <c r="AC1933" s="374">
        <f>COUNTIFS(B:B,B1933,H:H,'סיווג התפקידים והעלויות'!$D$2)</f>
        <v>0</v>
      </c>
      <c r="AD1933" s="374" t="str">
        <f>IF(OR(AND(H1933='סיווג התפקידים והעלויות'!$A$2,I1933='סיווג התפקידים והעלויות'!$A$3),'עלויות כח אדם (6)'!H1933='סיווג התפקידים והעלויות'!$C$2,'עלויות כח אדם (6)'!H1933='סיווג התפקידים והעלויות'!$D$2),IF('עלויות כח אדם (6)'!J1933&lt;75,"לא תקין","תקין"),"")</f>
        <v/>
      </c>
      <c r="AE1933" s="374" t="str">
        <f t="shared" si="449"/>
        <v/>
      </c>
      <c r="AF1933" s="532" t="str">
        <f t="shared" si="450"/>
        <v/>
      </c>
    </row>
    <row r="1934" spans="2:32" x14ac:dyDescent="0.25">
      <c r="B1934" s="695"/>
      <c r="C1934" s="197" t="str">
        <f>IF(B1934&lt;&gt;"",IFERROR(VLOOKUP(B:B,'מצבת והרשמה (2)'!$C$20:$N$520,2,0)," ")," ")</f>
        <v xml:space="preserve"> </v>
      </c>
      <c r="D1934" s="695"/>
      <c r="E1934" s="696"/>
      <c r="F1934" s="696"/>
      <c r="G1934" s="696"/>
      <c r="H1934" s="696"/>
      <c r="I1934" s="1050" t="str">
        <f t="shared" si="437"/>
        <v/>
      </c>
      <c r="J1934" s="696"/>
      <c r="K1934" s="697"/>
      <c r="L1934" s="696"/>
      <c r="M1934" s="198" t="str">
        <f t="shared" si="438"/>
        <v/>
      </c>
      <c r="N1934" s="369" t="str">
        <f t="shared" si="439"/>
        <v/>
      </c>
      <c r="O1934" s="183" t="str">
        <f t="shared" si="440"/>
        <v/>
      </c>
      <c r="P1934" s="199" t="str">
        <f t="shared" si="441"/>
        <v/>
      </c>
      <c r="Q1934" s="199" t="str">
        <f>IF(B1934="","",IFERROR(IF('עלויות כח אדם (6)'!J1934&gt;=VLOOKUP(I1934,'סיווג התפקידים והעלויות'!$B$23:$C$32,2,0),"תקין","לא תקין"),""))</f>
        <v/>
      </c>
      <c r="R1934" s="199" t="str">
        <f t="shared" si="442"/>
        <v/>
      </c>
      <c r="S1934" s="199" t="str">
        <f t="shared" si="443"/>
        <v/>
      </c>
      <c r="T1934" s="199" t="str">
        <f t="shared" si="451"/>
        <v/>
      </c>
      <c r="U1934" s="199" t="str">
        <f t="shared" si="444"/>
        <v/>
      </c>
      <c r="V1934" s="989"/>
      <c r="X1934" s="374" t="str">
        <f t="shared" si="445"/>
        <v/>
      </c>
      <c r="Y1934" s="375" t="str">
        <f t="shared" si="446"/>
        <v/>
      </c>
      <c r="Z1934" s="374" t="str">
        <f t="shared" si="447"/>
        <v/>
      </c>
      <c r="AA1934" s="374" t="b">
        <f t="shared" si="448"/>
        <v>1</v>
      </c>
      <c r="AB1934" s="374">
        <f>COUNTIFS(B:B,B1934,H:H,'סיווג התפקידים והעלויות'!$C$2)</f>
        <v>0</v>
      </c>
      <c r="AC1934" s="374">
        <f>COUNTIFS(B:B,B1934,H:H,'סיווג התפקידים והעלויות'!$D$2)</f>
        <v>0</v>
      </c>
      <c r="AD1934" s="374" t="str">
        <f>IF(OR(AND(H1934='סיווג התפקידים והעלויות'!$A$2,I1934='סיווג התפקידים והעלויות'!$A$3),'עלויות כח אדם (6)'!H1934='סיווג התפקידים והעלויות'!$C$2,'עלויות כח אדם (6)'!H1934='סיווג התפקידים והעלויות'!$D$2),IF('עלויות כח אדם (6)'!J1934&lt;75,"לא תקין","תקין"),"")</f>
        <v/>
      </c>
      <c r="AE1934" s="374" t="str">
        <f t="shared" si="449"/>
        <v/>
      </c>
      <c r="AF1934" s="532" t="str">
        <f t="shared" si="450"/>
        <v/>
      </c>
    </row>
    <row r="1935" spans="2:32" x14ac:dyDescent="0.25">
      <c r="B1935" s="695"/>
      <c r="C1935" s="197" t="str">
        <f>IF(B1935&lt;&gt;"",IFERROR(VLOOKUP(B:B,'מצבת והרשמה (2)'!$C$20:$N$520,2,0)," ")," ")</f>
        <v xml:space="preserve"> </v>
      </c>
      <c r="D1935" s="695"/>
      <c r="E1935" s="696"/>
      <c r="F1935" s="696"/>
      <c r="G1935" s="696"/>
      <c r="H1935" s="696"/>
      <c r="I1935" s="1050" t="str">
        <f t="shared" ref="I1935:I1998" si="452">SUBSTITUTE(IFERROR(IF(H1935="מדצ","מדצ/ית",IF(H1935="סגנית רכזת מעל 150","סגנ/ית רכז/ת&gt;150",IF(H1935="רכזת תכנית בבית הספר","רכז/ת תכנית בבית הספר"))),""),"FALSE","")</f>
        <v/>
      </c>
      <c r="J1935" s="696"/>
      <c r="K1935" s="697"/>
      <c r="L1935" s="696"/>
      <c r="M1935" s="198" t="str">
        <f t="shared" ref="M1935:M1998" si="453">IF(AND(L1935&gt;0,K1935&gt;0),K1935*L1935,"")</f>
        <v/>
      </c>
      <c r="N1935" s="369" t="str">
        <f t="shared" ref="N1935:N1998" si="454">TEXT(LEFT(H1935,2),0)</f>
        <v/>
      </c>
      <c r="O1935" s="183" t="str">
        <f t="shared" ref="O1935:O1998" si="455">IF(ISNUMBER(M1935&gt;0),IF(ISBLANK(B1935),"יש להזין סמל מוסד בעמודה B",""),"")</f>
        <v/>
      </c>
      <c r="P1935" s="199" t="str">
        <f t="shared" ref="P1935:P1998" si="456">IF(B1935="","",IF(AA1935=FALSE,"לא תקין","תקין"))</f>
        <v/>
      </c>
      <c r="Q1935" s="199" t="str">
        <f>IF(B1935="","",IFERROR(IF('עלויות כח אדם (6)'!J1935&gt;=VLOOKUP(I1935,'סיווג התפקידים והעלויות'!$B$23:$C$32,2,0),"תקין","לא תקין"),""))</f>
        <v/>
      </c>
      <c r="R1935" s="199" t="str">
        <f t="shared" ref="R1935:R1998" si="457">IF(B1935="","",IF(OR(Y1935&lt;100%,Y1935&gt;140%),"לא תקין","תקין"))</f>
        <v/>
      </c>
      <c r="S1935" s="199" t="str">
        <f t="shared" ref="S1935:S1998" si="458">IF(B1935="","",IFERROR(IF(J1935&gt;120,"לא תקין","תקין"),""))</f>
        <v/>
      </c>
      <c r="T1935" s="199" t="str">
        <f t="shared" si="451"/>
        <v/>
      </c>
      <c r="U1935" s="199" t="str">
        <f t="shared" ref="U1935:U1998" si="459">IF(B1935="","",IF(Z1935&gt;1,IF(SUMIF(D:D,D1935,L:L)&gt;90,"לא תקין","תקין"),"תקין"))</f>
        <v/>
      </c>
      <c r="V1935" s="989"/>
      <c r="X1935" s="374" t="str">
        <f t="shared" ref="X1935:X1998" si="460">IF(B1935="","",IF(OR(R1935="לא תקין",S1935="לא תקין",T1935="לא תקין",,U1935="לא תקין"),"לא תקין","תקין"))</f>
        <v/>
      </c>
      <c r="Y1935" s="375" t="str">
        <f t="shared" ref="Y1935:Y1998" si="461">IFERROR(IF(B1935="","",K1935/J1935),"")</f>
        <v/>
      </c>
      <c r="Z1935" s="374" t="str">
        <f t="shared" ref="Z1935:Z1998" si="462">IF(B1935="","",COUNTIF(D:D,D1935))</f>
        <v/>
      </c>
      <c r="AA1935" s="374" t="b">
        <f t="shared" ref="AA1935:AA1998" si="463">MOD(MID(REPT(0,9-LEN(D1935))&amp;D1935,1,1)+MID("0246813579",MID(REPT(0,9-LEN(D1935))&amp;D1935,2,1)+1,1)+MID(REPT(0,9-LEN(D1935))&amp;D1935,3,1)+MID("0246813579",MID(REPT(0,9-LEN(D1935))&amp;D1935,4,1)+1,1)+MID(REPT(0,9-LEN(D1935))&amp;D1935,5,1)+MID("0246813579",MID(REPT(0,9-LEN(D1935))&amp;D1935,6,1)+1,1)+MID(REPT(0,9-LEN(D1935))&amp;D1935,7,1)+MID("0246813579",MID(REPT(0,9-LEN(D1935))&amp;D1935,8,1)+1,1)+MID(REPT(0,9-LEN(D1935))&amp;D1935,9,1),10)=0</f>
        <v>1</v>
      </c>
      <c r="AB1935" s="374">
        <f>COUNTIFS(B:B,B1935,H:H,'סיווג התפקידים והעלויות'!$C$2)</f>
        <v>0</v>
      </c>
      <c r="AC1935" s="374">
        <f>COUNTIFS(B:B,B1935,H:H,'סיווג התפקידים והעלויות'!$D$2)</f>
        <v>0</v>
      </c>
      <c r="AD1935" s="374" t="str">
        <f>IF(OR(AND(H1935='סיווג התפקידים והעלויות'!$A$2,I1935='סיווג התפקידים והעלויות'!$A$3),'עלויות כח אדם (6)'!H1935='סיווג התפקידים והעלויות'!$C$2,'עלויות כח אדם (6)'!H1935='סיווג התפקידים והעלויות'!$D$2),IF('עלויות כח אדם (6)'!J1935&lt;75,"לא תקין","תקין"),"")</f>
        <v/>
      </c>
      <c r="AE1935" s="374" t="str">
        <f t="shared" ref="AE1935:AE1998" si="464">IF(B1935&lt;&gt;"",B1935&amp;H1935,"")</f>
        <v/>
      </c>
      <c r="AF1935" s="532" t="str">
        <f t="shared" ref="AF1935:AF1998" si="465">M1935</f>
        <v/>
      </c>
    </row>
    <row r="1936" spans="2:32" x14ac:dyDescent="0.25">
      <c r="B1936" s="695"/>
      <c r="C1936" s="197" t="str">
        <f>IF(B1936&lt;&gt;"",IFERROR(VLOOKUP(B:B,'מצבת והרשמה (2)'!$C$20:$N$520,2,0)," ")," ")</f>
        <v xml:space="preserve"> </v>
      </c>
      <c r="D1936" s="695"/>
      <c r="E1936" s="696"/>
      <c r="F1936" s="696"/>
      <c r="G1936" s="696"/>
      <c r="H1936" s="696"/>
      <c r="I1936" s="1050" t="str">
        <f t="shared" si="452"/>
        <v/>
      </c>
      <c r="J1936" s="696"/>
      <c r="K1936" s="697"/>
      <c r="L1936" s="696"/>
      <c r="M1936" s="198" t="str">
        <f t="shared" si="453"/>
        <v/>
      </c>
      <c r="N1936" s="369" t="str">
        <f t="shared" si="454"/>
        <v/>
      </c>
      <c r="O1936" s="183" t="str">
        <f t="shared" si="455"/>
        <v/>
      </c>
      <c r="P1936" s="199" t="str">
        <f t="shared" si="456"/>
        <v/>
      </c>
      <c r="Q1936" s="199" t="str">
        <f>IF(B1936="","",IFERROR(IF('עלויות כח אדם (6)'!J1936&gt;=VLOOKUP(I1936,'סיווג התפקידים והעלויות'!$B$23:$C$32,2,0),"תקין","לא תקין"),""))</f>
        <v/>
      </c>
      <c r="R1936" s="199" t="str">
        <f t="shared" si="457"/>
        <v/>
      </c>
      <c r="S1936" s="199" t="str">
        <f t="shared" si="458"/>
        <v/>
      </c>
      <c r="T1936" s="199" t="str">
        <f t="shared" ref="T1936:T1999" si="466">IF(B1936="","",IF(H1936="","יש להזין איש צוות",IF(OR(H1936="מורה",H1936="גננת",H1936="רכז גן",H1936="רכזת גן",H1936="סייעת",H1936="מדצית",H1936="מדצ",H1936="מדריך",H1936="מדריכה",H1936="תוספת כח אדם"),IF(L1936&lt;=90,"תקין","לא תקין"),IF(OR(H1936="רכז בית ספר",H1936="רכזת תכנית בבית הספר",H1936="רכזת בית ספר"),IF(L1936&lt;=137,"תקין","לא תקין"),IF(OR(H1936="סגנית רכזת מעל 150",H1936="סגן רכז"),IF(L1936&lt;=93,"תקין","לא תקין"),"לא תקין")))))</f>
        <v/>
      </c>
      <c r="U1936" s="199" t="str">
        <f t="shared" si="459"/>
        <v/>
      </c>
      <c r="V1936" s="989"/>
      <c r="X1936" s="374" t="str">
        <f t="shared" si="460"/>
        <v/>
      </c>
      <c r="Y1936" s="375" t="str">
        <f t="shared" si="461"/>
        <v/>
      </c>
      <c r="Z1936" s="374" t="str">
        <f t="shared" si="462"/>
        <v/>
      </c>
      <c r="AA1936" s="374" t="b">
        <f t="shared" si="463"/>
        <v>1</v>
      </c>
      <c r="AB1936" s="374">
        <f>COUNTIFS(B:B,B1936,H:H,'סיווג התפקידים והעלויות'!$C$2)</f>
        <v>0</v>
      </c>
      <c r="AC1936" s="374">
        <f>COUNTIFS(B:B,B1936,H:H,'סיווג התפקידים והעלויות'!$D$2)</f>
        <v>0</v>
      </c>
      <c r="AD1936" s="374" t="str">
        <f>IF(OR(AND(H1936='סיווג התפקידים והעלויות'!$A$2,I1936='סיווג התפקידים והעלויות'!$A$3),'עלויות כח אדם (6)'!H1936='סיווג התפקידים והעלויות'!$C$2,'עלויות כח אדם (6)'!H1936='סיווג התפקידים והעלויות'!$D$2),IF('עלויות כח אדם (6)'!J1936&lt;75,"לא תקין","תקין"),"")</f>
        <v/>
      </c>
      <c r="AE1936" s="374" t="str">
        <f t="shared" si="464"/>
        <v/>
      </c>
      <c r="AF1936" s="532" t="str">
        <f t="shared" si="465"/>
        <v/>
      </c>
    </row>
    <row r="1937" spans="2:32" x14ac:dyDescent="0.25">
      <c r="B1937" s="695"/>
      <c r="C1937" s="197" t="str">
        <f>IF(B1937&lt;&gt;"",IFERROR(VLOOKUP(B:B,'מצבת והרשמה (2)'!$C$20:$N$520,2,0)," ")," ")</f>
        <v xml:space="preserve"> </v>
      </c>
      <c r="D1937" s="695"/>
      <c r="E1937" s="696"/>
      <c r="F1937" s="696"/>
      <c r="G1937" s="696"/>
      <c r="H1937" s="696"/>
      <c r="I1937" s="1050" t="str">
        <f t="shared" si="452"/>
        <v/>
      </c>
      <c r="J1937" s="696"/>
      <c r="K1937" s="697"/>
      <c r="L1937" s="696"/>
      <c r="M1937" s="198" t="str">
        <f t="shared" si="453"/>
        <v/>
      </c>
      <c r="N1937" s="369" t="str">
        <f t="shared" si="454"/>
        <v/>
      </c>
      <c r="O1937" s="183" t="str">
        <f t="shared" si="455"/>
        <v/>
      </c>
      <c r="P1937" s="199" t="str">
        <f t="shared" si="456"/>
        <v/>
      </c>
      <c r="Q1937" s="199" t="str">
        <f>IF(B1937="","",IFERROR(IF('עלויות כח אדם (6)'!J1937&gt;=VLOOKUP(I1937,'סיווג התפקידים והעלויות'!$B$23:$C$32,2,0),"תקין","לא תקין"),""))</f>
        <v/>
      </c>
      <c r="R1937" s="199" t="str">
        <f t="shared" si="457"/>
        <v/>
      </c>
      <c r="S1937" s="199" t="str">
        <f t="shared" si="458"/>
        <v/>
      </c>
      <c r="T1937" s="199" t="str">
        <f t="shared" si="466"/>
        <v/>
      </c>
      <c r="U1937" s="199" t="str">
        <f t="shared" si="459"/>
        <v/>
      </c>
      <c r="V1937" s="989"/>
      <c r="X1937" s="374" t="str">
        <f t="shared" si="460"/>
        <v/>
      </c>
      <c r="Y1937" s="375" t="str">
        <f t="shared" si="461"/>
        <v/>
      </c>
      <c r="Z1937" s="374" t="str">
        <f t="shared" si="462"/>
        <v/>
      </c>
      <c r="AA1937" s="374" t="b">
        <f t="shared" si="463"/>
        <v>1</v>
      </c>
      <c r="AB1937" s="374">
        <f>COUNTIFS(B:B,B1937,H:H,'סיווג התפקידים והעלויות'!$C$2)</f>
        <v>0</v>
      </c>
      <c r="AC1937" s="374">
        <f>COUNTIFS(B:B,B1937,H:H,'סיווג התפקידים והעלויות'!$D$2)</f>
        <v>0</v>
      </c>
      <c r="AD1937" s="374" t="str">
        <f>IF(OR(AND(H1937='סיווג התפקידים והעלויות'!$A$2,I1937='סיווג התפקידים והעלויות'!$A$3),'עלויות כח אדם (6)'!H1937='סיווג התפקידים והעלויות'!$C$2,'עלויות כח אדם (6)'!H1937='סיווג התפקידים והעלויות'!$D$2),IF('עלויות כח אדם (6)'!J1937&lt;75,"לא תקין","תקין"),"")</f>
        <v/>
      </c>
      <c r="AE1937" s="374" t="str">
        <f t="shared" si="464"/>
        <v/>
      </c>
      <c r="AF1937" s="532" t="str">
        <f t="shared" si="465"/>
        <v/>
      </c>
    </row>
    <row r="1938" spans="2:32" x14ac:dyDescent="0.25">
      <c r="B1938" s="695"/>
      <c r="C1938" s="197" t="str">
        <f>IF(B1938&lt;&gt;"",IFERROR(VLOOKUP(B:B,'מצבת והרשמה (2)'!$C$20:$N$520,2,0)," ")," ")</f>
        <v xml:space="preserve"> </v>
      </c>
      <c r="D1938" s="695"/>
      <c r="E1938" s="696"/>
      <c r="F1938" s="696"/>
      <c r="G1938" s="696"/>
      <c r="H1938" s="696"/>
      <c r="I1938" s="1050" t="str">
        <f t="shared" si="452"/>
        <v/>
      </c>
      <c r="J1938" s="696"/>
      <c r="K1938" s="697"/>
      <c r="L1938" s="696"/>
      <c r="M1938" s="198" t="str">
        <f t="shared" si="453"/>
        <v/>
      </c>
      <c r="N1938" s="369" t="str">
        <f t="shared" si="454"/>
        <v/>
      </c>
      <c r="O1938" s="183" t="str">
        <f t="shared" si="455"/>
        <v/>
      </c>
      <c r="P1938" s="199" t="str">
        <f t="shared" si="456"/>
        <v/>
      </c>
      <c r="Q1938" s="199" t="str">
        <f>IF(B1938="","",IFERROR(IF('עלויות כח אדם (6)'!J1938&gt;=VLOOKUP(I1938,'סיווג התפקידים והעלויות'!$B$23:$C$32,2,0),"תקין","לא תקין"),""))</f>
        <v/>
      </c>
      <c r="R1938" s="199" t="str">
        <f t="shared" si="457"/>
        <v/>
      </c>
      <c r="S1938" s="199" t="str">
        <f t="shared" si="458"/>
        <v/>
      </c>
      <c r="T1938" s="199" t="str">
        <f t="shared" si="466"/>
        <v/>
      </c>
      <c r="U1938" s="199" t="str">
        <f t="shared" si="459"/>
        <v/>
      </c>
      <c r="V1938" s="989"/>
      <c r="X1938" s="374" t="str">
        <f t="shared" si="460"/>
        <v/>
      </c>
      <c r="Y1938" s="375" t="str">
        <f t="shared" si="461"/>
        <v/>
      </c>
      <c r="Z1938" s="374" t="str">
        <f t="shared" si="462"/>
        <v/>
      </c>
      <c r="AA1938" s="374" t="b">
        <f t="shared" si="463"/>
        <v>1</v>
      </c>
      <c r="AB1938" s="374">
        <f>COUNTIFS(B:B,B1938,H:H,'סיווג התפקידים והעלויות'!$C$2)</f>
        <v>0</v>
      </c>
      <c r="AC1938" s="374">
        <f>COUNTIFS(B:B,B1938,H:H,'סיווג התפקידים והעלויות'!$D$2)</f>
        <v>0</v>
      </c>
      <c r="AD1938" s="374" t="str">
        <f>IF(OR(AND(H1938='סיווג התפקידים והעלויות'!$A$2,I1938='סיווג התפקידים והעלויות'!$A$3),'עלויות כח אדם (6)'!H1938='סיווג התפקידים והעלויות'!$C$2,'עלויות כח אדם (6)'!H1938='סיווג התפקידים והעלויות'!$D$2),IF('עלויות כח אדם (6)'!J1938&lt;75,"לא תקין","תקין"),"")</f>
        <v/>
      </c>
      <c r="AE1938" s="374" t="str">
        <f t="shared" si="464"/>
        <v/>
      </c>
      <c r="AF1938" s="532" t="str">
        <f t="shared" si="465"/>
        <v/>
      </c>
    </row>
    <row r="1939" spans="2:32" x14ac:dyDescent="0.25">
      <c r="B1939" s="695"/>
      <c r="C1939" s="197" t="str">
        <f>IF(B1939&lt;&gt;"",IFERROR(VLOOKUP(B:B,'מצבת והרשמה (2)'!$C$20:$N$520,2,0)," ")," ")</f>
        <v xml:space="preserve"> </v>
      </c>
      <c r="D1939" s="695"/>
      <c r="E1939" s="696"/>
      <c r="F1939" s="696"/>
      <c r="G1939" s="696"/>
      <c r="H1939" s="696"/>
      <c r="I1939" s="1050" t="str">
        <f t="shared" si="452"/>
        <v/>
      </c>
      <c r="J1939" s="696"/>
      <c r="K1939" s="697"/>
      <c r="L1939" s="696"/>
      <c r="M1939" s="198" t="str">
        <f t="shared" si="453"/>
        <v/>
      </c>
      <c r="N1939" s="369" t="str">
        <f t="shared" si="454"/>
        <v/>
      </c>
      <c r="O1939" s="183" t="str">
        <f t="shared" si="455"/>
        <v/>
      </c>
      <c r="P1939" s="199" t="str">
        <f t="shared" si="456"/>
        <v/>
      </c>
      <c r="Q1939" s="199" t="str">
        <f>IF(B1939="","",IFERROR(IF('עלויות כח אדם (6)'!J1939&gt;=VLOOKUP(I1939,'סיווג התפקידים והעלויות'!$B$23:$C$32,2,0),"תקין","לא תקין"),""))</f>
        <v/>
      </c>
      <c r="R1939" s="199" t="str">
        <f t="shared" si="457"/>
        <v/>
      </c>
      <c r="S1939" s="199" t="str">
        <f t="shared" si="458"/>
        <v/>
      </c>
      <c r="T1939" s="199" t="str">
        <f t="shared" si="466"/>
        <v/>
      </c>
      <c r="U1939" s="199" t="str">
        <f t="shared" si="459"/>
        <v/>
      </c>
      <c r="V1939" s="989"/>
      <c r="X1939" s="374" t="str">
        <f t="shared" si="460"/>
        <v/>
      </c>
      <c r="Y1939" s="375" t="str">
        <f t="shared" si="461"/>
        <v/>
      </c>
      <c r="Z1939" s="374" t="str">
        <f t="shared" si="462"/>
        <v/>
      </c>
      <c r="AA1939" s="374" t="b">
        <f t="shared" si="463"/>
        <v>1</v>
      </c>
      <c r="AB1939" s="374">
        <f>COUNTIFS(B:B,B1939,H:H,'סיווג התפקידים והעלויות'!$C$2)</f>
        <v>0</v>
      </c>
      <c r="AC1939" s="374">
        <f>COUNTIFS(B:B,B1939,H:H,'סיווג התפקידים והעלויות'!$D$2)</f>
        <v>0</v>
      </c>
      <c r="AD1939" s="374" t="str">
        <f>IF(OR(AND(H1939='סיווג התפקידים והעלויות'!$A$2,I1939='סיווג התפקידים והעלויות'!$A$3),'עלויות כח אדם (6)'!H1939='סיווג התפקידים והעלויות'!$C$2,'עלויות כח אדם (6)'!H1939='סיווג התפקידים והעלויות'!$D$2),IF('עלויות כח אדם (6)'!J1939&lt;75,"לא תקין","תקין"),"")</f>
        <v/>
      </c>
      <c r="AE1939" s="374" t="str">
        <f t="shared" si="464"/>
        <v/>
      </c>
      <c r="AF1939" s="532" t="str">
        <f t="shared" si="465"/>
        <v/>
      </c>
    </row>
    <row r="1940" spans="2:32" x14ac:dyDescent="0.25">
      <c r="B1940" s="695"/>
      <c r="C1940" s="197" t="str">
        <f>IF(B1940&lt;&gt;"",IFERROR(VLOOKUP(B:B,'מצבת והרשמה (2)'!$C$20:$N$520,2,0)," ")," ")</f>
        <v xml:space="preserve"> </v>
      </c>
      <c r="D1940" s="695"/>
      <c r="E1940" s="696"/>
      <c r="F1940" s="696"/>
      <c r="G1940" s="696"/>
      <c r="H1940" s="696"/>
      <c r="I1940" s="1050" t="str">
        <f t="shared" si="452"/>
        <v/>
      </c>
      <c r="J1940" s="696"/>
      <c r="K1940" s="697"/>
      <c r="L1940" s="696"/>
      <c r="M1940" s="198" t="str">
        <f t="shared" si="453"/>
        <v/>
      </c>
      <c r="N1940" s="369" t="str">
        <f t="shared" si="454"/>
        <v/>
      </c>
      <c r="O1940" s="183" t="str">
        <f t="shared" si="455"/>
        <v/>
      </c>
      <c r="P1940" s="199" t="str">
        <f t="shared" si="456"/>
        <v/>
      </c>
      <c r="Q1940" s="199" t="str">
        <f>IF(B1940="","",IFERROR(IF('עלויות כח אדם (6)'!J1940&gt;=VLOOKUP(I1940,'סיווג התפקידים והעלויות'!$B$23:$C$32,2,0),"תקין","לא תקין"),""))</f>
        <v/>
      </c>
      <c r="R1940" s="199" t="str">
        <f t="shared" si="457"/>
        <v/>
      </c>
      <c r="S1940" s="199" t="str">
        <f t="shared" si="458"/>
        <v/>
      </c>
      <c r="T1940" s="199" t="str">
        <f t="shared" si="466"/>
        <v/>
      </c>
      <c r="U1940" s="199" t="str">
        <f t="shared" si="459"/>
        <v/>
      </c>
      <c r="V1940" s="989"/>
      <c r="X1940" s="374" t="str">
        <f t="shared" si="460"/>
        <v/>
      </c>
      <c r="Y1940" s="375" t="str">
        <f t="shared" si="461"/>
        <v/>
      </c>
      <c r="Z1940" s="374" t="str">
        <f t="shared" si="462"/>
        <v/>
      </c>
      <c r="AA1940" s="374" t="b">
        <f t="shared" si="463"/>
        <v>1</v>
      </c>
      <c r="AB1940" s="374">
        <f>COUNTIFS(B:B,B1940,H:H,'סיווג התפקידים והעלויות'!$C$2)</f>
        <v>0</v>
      </c>
      <c r="AC1940" s="374">
        <f>COUNTIFS(B:B,B1940,H:H,'סיווג התפקידים והעלויות'!$D$2)</f>
        <v>0</v>
      </c>
      <c r="AD1940" s="374" t="str">
        <f>IF(OR(AND(H1940='סיווג התפקידים והעלויות'!$A$2,I1940='סיווג התפקידים והעלויות'!$A$3),'עלויות כח אדם (6)'!H1940='סיווג התפקידים והעלויות'!$C$2,'עלויות כח אדם (6)'!H1940='סיווג התפקידים והעלויות'!$D$2),IF('עלויות כח אדם (6)'!J1940&lt;75,"לא תקין","תקין"),"")</f>
        <v/>
      </c>
      <c r="AE1940" s="374" t="str">
        <f t="shared" si="464"/>
        <v/>
      </c>
      <c r="AF1940" s="532" t="str">
        <f t="shared" si="465"/>
        <v/>
      </c>
    </row>
    <row r="1941" spans="2:32" x14ac:dyDescent="0.25">
      <c r="B1941" s="695"/>
      <c r="C1941" s="197" t="str">
        <f>IF(B1941&lt;&gt;"",IFERROR(VLOOKUP(B:B,'מצבת והרשמה (2)'!$C$20:$N$520,2,0)," ")," ")</f>
        <v xml:space="preserve"> </v>
      </c>
      <c r="D1941" s="695"/>
      <c r="E1941" s="696"/>
      <c r="F1941" s="696"/>
      <c r="G1941" s="696"/>
      <c r="H1941" s="696"/>
      <c r="I1941" s="1050" t="str">
        <f t="shared" si="452"/>
        <v/>
      </c>
      <c r="J1941" s="696"/>
      <c r="K1941" s="697"/>
      <c r="L1941" s="696"/>
      <c r="M1941" s="198" t="str">
        <f t="shared" si="453"/>
        <v/>
      </c>
      <c r="N1941" s="369" t="str">
        <f t="shared" si="454"/>
        <v/>
      </c>
      <c r="O1941" s="183" t="str">
        <f t="shared" si="455"/>
        <v/>
      </c>
      <c r="P1941" s="199" t="str">
        <f t="shared" si="456"/>
        <v/>
      </c>
      <c r="Q1941" s="199" t="str">
        <f>IF(B1941="","",IFERROR(IF('עלויות כח אדם (6)'!J1941&gt;=VLOOKUP(I1941,'סיווג התפקידים והעלויות'!$B$23:$C$32,2,0),"תקין","לא תקין"),""))</f>
        <v/>
      </c>
      <c r="R1941" s="199" t="str">
        <f t="shared" si="457"/>
        <v/>
      </c>
      <c r="S1941" s="199" t="str">
        <f t="shared" si="458"/>
        <v/>
      </c>
      <c r="T1941" s="199" t="str">
        <f t="shared" si="466"/>
        <v/>
      </c>
      <c r="U1941" s="199" t="str">
        <f t="shared" si="459"/>
        <v/>
      </c>
      <c r="V1941" s="989"/>
      <c r="X1941" s="374" t="str">
        <f t="shared" si="460"/>
        <v/>
      </c>
      <c r="Y1941" s="375" t="str">
        <f t="shared" si="461"/>
        <v/>
      </c>
      <c r="Z1941" s="374" t="str">
        <f t="shared" si="462"/>
        <v/>
      </c>
      <c r="AA1941" s="374" t="b">
        <f t="shared" si="463"/>
        <v>1</v>
      </c>
      <c r="AB1941" s="374">
        <f>COUNTIFS(B:B,B1941,H:H,'סיווג התפקידים והעלויות'!$C$2)</f>
        <v>0</v>
      </c>
      <c r="AC1941" s="374">
        <f>COUNTIFS(B:B,B1941,H:H,'סיווג התפקידים והעלויות'!$D$2)</f>
        <v>0</v>
      </c>
      <c r="AD1941" s="374" t="str">
        <f>IF(OR(AND(H1941='סיווג התפקידים והעלויות'!$A$2,I1941='סיווג התפקידים והעלויות'!$A$3),'עלויות כח אדם (6)'!H1941='סיווג התפקידים והעלויות'!$C$2,'עלויות כח אדם (6)'!H1941='סיווג התפקידים והעלויות'!$D$2),IF('עלויות כח אדם (6)'!J1941&lt;75,"לא תקין","תקין"),"")</f>
        <v/>
      </c>
      <c r="AE1941" s="374" t="str">
        <f t="shared" si="464"/>
        <v/>
      </c>
      <c r="AF1941" s="532" t="str">
        <f t="shared" si="465"/>
        <v/>
      </c>
    </row>
    <row r="1942" spans="2:32" x14ac:dyDescent="0.25">
      <c r="B1942" s="695"/>
      <c r="C1942" s="197" t="str">
        <f>IF(B1942&lt;&gt;"",IFERROR(VLOOKUP(B:B,'מצבת והרשמה (2)'!$C$20:$N$520,2,0)," ")," ")</f>
        <v xml:space="preserve"> </v>
      </c>
      <c r="D1942" s="695"/>
      <c r="E1942" s="696"/>
      <c r="F1942" s="696"/>
      <c r="G1942" s="696"/>
      <c r="H1942" s="696"/>
      <c r="I1942" s="1050" t="str">
        <f t="shared" si="452"/>
        <v/>
      </c>
      <c r="J1942" s="696"/>
      <c r="K1942" s="697"/>
      <c r="L1942" s="696"/>
      <c r="M1942" s="198" t="str">
        <f t="shared" si="453"/>
        <v/>
      </c>
      <c r="N1942" s="369" t="str">
        <f t="shared" si="454"/>
        <v/>
      </c>
      <c r="O1942" s="183" t="str">
        <f t="shared" si="455"/>
        <v/>
      </c>
      <c r="P1942" s="199" t="str">
        <f t="shared" si="456"/>
        <v/>
      </c>
      <c r="Q1942" s="199" t="str">
        <f>IF(B1942="","",IFERROR(IF('עלויות כח אדם (6)'!J1942&gt;=VLOOKUP(I1942,'סיווג התפקידים והעלויות'!$B$23:$C$32,2,0),"תקין","לא תקין"),""))</f>
        <v/>
      </c>
      <c r="R1942" s="199" t="str">
        <f t="shared" si="457"/>
        <v/>
      </c>
      <c r="S1942" s="199" t="str">
        <f t="shared" si="458"/>
        <v/>
      </c>
      <c r="T1942" s="199" t="str">
        <f t="shared" si="466"/>
        <v/>
      </c>
      <c r="U1942" s="199" t="str">
        <f t="shared" si="459"/>
        <v/>
      </c>
      <c r="V1942" s="989"/>
      <c r="X1942" s="374" t="str">
        <f t="shared" si="460"/>
        <v/>
      </c>
      <c r="Y1942" s="375" t="str">
        <f t="shared" si="461"/>
        <v/>
      </c>
      <c r="Z1942" s="374" t="str">
        <f t="shared" si="462"/>
        <v/>
      </c>
      <c r="AA1942" s="374" t="b">
        <f t="shared" si="463"/>
        <v>1</v>
      </c>
      <c r="AB1942" s="374">
        <f>COUNTIFS(B:B,B1942,H:H,'סיווג התפקידים והעלויות'!$C$2)</f>
        <v>0</v>
      </c>
      <c r="AC1942" s="374">
        <f>COUNTIFS(B:B,B1942,H:H,'סיווג התפקידים והעלויות'!$D$2)</f>
        <v>0</v>
      </c>
      <c r="AD1942" s="374" t="str">
        <f>IF(OR(AND(H1942='סיווג התפקידים והעלויות'!$A$2,I1942='סיווג התפקידים והעלויות'!$A$3),'עלויות כח אדם (6)'!H1942='סיווג התפקידים והעלויות'!$C$2,'עלויות כח אדם (6)'!H1942='סיווג התפקידים והעלויות'!$D$2),IF('עלויות כח אדם (6)'!J1942&lt;75,"לא תקין","תקין"),"")</f>
        <v/>
      </c>
      <c r="AE1942" s="374" t="str">
        <f t="shared" si="464"/>
        <v/>
      </c>
      <c r="AF1942" s="532" t="str">
        <f t="shared" si="465"/>
        <v/>
      </c>
    </row>
    <row r="1943" spans="2:32" x14ac:dyDescent="0.25">
      <c r="B1943" s="695"/>
      <c r="C1943" s="197" t="str">
        <f>IF(B1943&lt;&gt;"",IFERROR(VLOOKUP(B:B,'מצבת והרשמה (2)'!$C$20:$N$520,2,0)," ")," ")</f>
        <v xml:space="preserve"> </v>
      </c>
      <c r="D1943" s="695"/>
      <c r="E1943" s="696"/>
      <c r="F1943" s="696"/>
      <c r="G1943" s="696"/>
      <c r="H1943" s="696"/>
      <c r="I1943" s="1050" t="str">
        <f t="shared" si="452"/>
        <v/>
      </c>
      <c r="J1943" s="696"/>
      <c r="K1943" s="697"/>
      <c r="L1943" s="696"/>
      <c r="M1943" s="198" t="str">
        <f t="shared" si="453"/>
        <v/>
      </c>
      <c r="N1943" s="369" t="str">
        <f t="shared" si="454"/>
        <v/>
      </c>
      <c r="O1943" s="183" t="str">
        <f t="shared" si="455"/>
        <v/>
      </c>
      <c r="P1943" s="199" t="str">
        <f t="shared" si="456"/>
        <v/>
      </c>
      <c r="Q1943" s="199" t="str">
        <f>IF(B1943="","",IFERROR(IF('עלויות כח אדם (6)'!J1943&gt;=VLOOKUP(I1943,'סיווג התפקידים והעלויות'!$B$23:$C$32,2,0),"תקין","לא תקין"),""))</f>
        <v/>
      </c>
      <c r="R1943" s="199" t="str">
        <f t="shared" si="457"/>
        <v/>
      </c>
      <c r="S1943" s="199" t="str">
        <f t="shared" si="458"/>
        <v/>
      </c>
      <c r="T1943" s="199" t="str">
        <f t="shared" si="466"/>
        <v/>
      </c>
      <c r="U1943" s="199" t="str">
        <f t="shared" si="459"/>
        <v/>
      </c>
      <c r="V1943" s="989"/>
      <c r="X1943" s="374" t="str">
        <f t="shared" si="460"/>
        <v/>
      </c>
      <c r="Y1943" s="375" t="str">
        <f t="shared" si="461"/>
        <v/>
      </c>
      <c r="Z1943" s="374" t="str">
        <f t="shared" si="462"/>
        <v/>
      </c>
      <c r="AA1943" s="374" t="b">
        <f t="shared" si="463"/>
        <v>1</v>
      </c>
      <c r="AB1943" s="374">
        <f>COUNTIFS(B:B,B1943,H:H,'סיווג התפקידים והעלויות'!$C$2)</f>
        <v>0</v>
      </c>
      <c r="AC1943" s="374">
        <f>COUNTIFS(B:B,B1943,H:H,'סיווג התפקידים והעלויות'!$D$2)</f>
        <v>0</v>
      </c>
      <c r="AD1943" s="374" t="str">
        <f>IF(OR(AND(H1943='סיווג התפקידים והעלויות'!$A$2,I1943='סיווג התפקידים והעלויות'!$A$3),'עלויות כח אדם (6)'!H1943='סיווג התפקידים והעלויות'!$C$2,'עלויות כח אדם (6)'!H1943='סיווג התפקידים והעלויות'!$D$2),IF('עלויות כח אדם (6)'!J1943&lt;75,"לא תקין","תקין"),"")</f>
        <v/>
      </c>
      <c r="AE1943" s="374" t="str">
        <f t="shared" si="464"/>
        <v/>
      </c>
      <c r="AF1943" s="532" t="str">
        <f t="shared" si="465"/>
        <v/>
      </c>
    </row>
    <row r="1944" spans="2:32" x14ac:dyDescent="0.25">
      <c r="B1944" s="695"/>
      <c r="C1944" s="197" t="str">
        <f>IF(B1944&lt;&gt;"",IFERROR(VLOOKUP(B:B,'מצבת והרשמה (2)'!$C$20:$N$520,2,0)," ")," ")</f>
        <v xml:space="preserve"> </v>
      </c>
      <c r="D1944" s="695"/>
      <c r="E1944" s="696"/>
      <c r="F1944" s="696"/>
      <c r="G1944" s="696"/>
      <c r="H1944" s="696"/>
      <c r="I1944" s="1050" t="str">
        <f t="shared" si="452"/>
        <v/>
      </c>
      <c r="J1944" s="696"/>
      <c r="K1944" s="697"/>
      <c r="L1944" s="696"/>
      <c r="M1944" s="198" t="str">
        <f t="shared" si="453"/>
        <v/>
      </c>
      <c r="N1944" s="369" t="str">
        <f t="shared" si="454"/>
        <v/>
      </c>
      <c r="O1944" s="183" t="str">
        <f t="shared" si="455"/>
        <v/>
      </c>
      <c r="P1944" s="199" t="str">
        <f t="shared" si="456"/>
        <v/>
      </c>
      <c r="Q1944" s="199" t="str">
        <f>IF(B1944="","",IFERROR(IF('עלויות כח אדם (6)'!J1944&gt;=VLOOKUP(I1944,'סיווג התפקידים והעלויות'!$B$23:$C$32,2,0),"תקין","לא תקין"),""))</f>
        <v/>
      </c>
      <c r="R1944" s="199" t="str">
        <f t="shared" si="457"/>
        <v/>
      </c>
      <c r="S1944" s="199" t="str">
        <f t="shared" si="458"/>
        <v/>
      </c>
      <c r="T1944" s="199" t="str">
        <f t="shared" si="466"/>
        <v/>
      </c>
      <c r="U1944" s="199" t="str">
        <f t="shared" si="459"/>
        <v/>
      </c>
      <c r="V1944" s="989"/>
      <c r="X1944" s="374" t="str">
        <f t="shared" si="460"/>
        <v/>
      </c>
      <c r="Y1944" s="375" t="str">
        <f t="shared" si="461"/>
        <v/>
      </c>
      <c r="Z1944" s="374" t="str">
        <f t="shared" si="462"/>
        <v/>
      </c>
      <c r="AA1944" s="374" t="b">
        <f t="shared" si="463"/>
        <v>1</v>
      </c>
      <c r="AB1944" s="374">
        <f>COUNTIFS(B:B,B1944,H:H,'סיווג התפקידים והעלויות'!$C$2)</f>
        <v>0</v>
      </c>
      <c r="AC1944" s="374">
        <f>COUNTIFS(B:B,B1944,H:H,'סיווג התפקידים והעלויות'!$D$2)</f>
        <v>0</v>
      </c>
      <c r="AD1944" s="374" t="str">
        <f>IF(OR(AND(H1944='סיווג התפקידים והעלויות'!$A$2,I1944='סיווג התפקידים והעלויות'!$A$3),'עלויות כח אדם (6)'!H1944='סיווג התפקידים והעלויות'!$C$2,'עלויות כח אדם (6)'!H1944='סיווג התפקידים והעלויות'!$D$2),IF('עלויות כח אדם (6)'!J1944&lt;75,"לא תקין","תקין"),"")</f>
        <v/>
      </c>
      <c r="AE1944" s="374" t="str">
        <f t="shared" si="464"/>
        <v/>
      </c>
      <c r="AF1944" s="532" t="str">
        <f t="shared" si="465"/>
        <v/>
      </c>
    </row>
    <row r="1945" spans="2:32" x14ac:dyDescent="0.25">
      <c r="B1945" s="695"/>
      <c r="C1945" s="197" t="str">
        <f>IF(B1945&lt;&gt;"",IFERROR(VLOOKUP(B:B,'מצבת והרשמה (2)'!$C$20:$N$520,2,0)," ")," ")</f>
        <v xml:space="preserve"> </v>
      </c>
      <c r="D1945" s="695"/>
      <c r="E1945" s="696"/>
      <c r="F1945" s="696"/>
      <c r="G1945" s="696"/>
      <c r="H1945" s="696"/>
      <c r="I1945" s="1050" t="str">
        <f t="shared" si="452"/>
        <v/>
      </c>
      <c r="J1945" s="696"/>
      <c r="K1945" s="697"/>
      <c r="L1945" s="696"/>
      <c r="M1945" s="198" t="str">
        <f t="shared" si="453"/>
        <v/>
      </c>
      <c r="N1945" s="369" t="str">
        <f t="shared" si="454"/>
        <v/>
      </c>
      <c r="O1945" s="183" t="str">
        <f t="shared" si="455"/>
        <v/>
      </c>
      <c r="P1945" s="199" t="str">
        <f t="shared" si="456"/>
        <v/>
      </c>
      <c r="Q1945" s="199" t="str">
        <f>IF(B1945="","",IFERROR(IF('עלויות כח אדם (6)'!J1945&gt;=VLOOKUP(I1945,'סיווג התפקידים והעלויות'!$B$23:$C$32,2,0),"תקין","לא תקין"),""))</f>
        <v/>
      </c>
      <c r="R1945" s="199" t="str">
        <f t="shared" si="457"/>
        <v/>
      </c>
      <c r="S1945" s="199" t="str">
        <f t="shared" si="458"/>
        <v/>
      </c>
      <c r="T1945" s="199" t="str">
        <f t="shared" si="466"/>
        <v/>
      </c>
      <c r="U1945" s="199" t="str">
        <f t="shared" si="459"/>
        <v/>
      </c>
      <c r="V1945" s="989"/>
      <c r="X1945" s="374" t="str">
        <f t="shared" si="460"/>
        <v/>
      </c>
      <c r="Y1945" s="375" t="str">
        <f t="shared" si="461"/>
        <v/>
      </c>
      <c r="Z1945" s="374" t="str">
        <f t="shared" si="462"/>
        <v/>
      </c>
      <c r="AA1945" s="374" t="b">
        <f t="shared" si="463"/>
        <v>1</v>
      </c>
      <c r="AB1945" s="374">
        <f>COUNTIFS(B:B,B1945,H:H,'סיווג התפקידים והעלויות'!$C$2)</f>
        <v>0</v>
      </c>
      <c r="AC1945" s="374">
        <f>COUNTIFS(B:B,B1945,H:H,'סיווג התפקידים והעלויות'!$D$2)</f>
        <v>0</v>
      </c>
      <c r="AD1945" s="374" t="str">
        <f>IF(OR(AND(H1945='סיווג התפקידים והעלויות'!$A$2,I1945='סיווג התפקידים והעלויות'!$A$3),'עלויות כח אדם (6)'!H1945='סיווג התפקידים והעלויות'!$C$2,'עלויות כח אדם (6)'!H1945='סיווג התפקידים והעלויות'!$D$2),IF('עלויות כח אדם (6)'!J1945&lt;75,"לא תקין","תקין"),"")</f>
        <v/>
      </c>
      <c r="AE1945" s="374" t="str">
        <f t="shared" si="464"/>
        <v/>
      </c>
      <c r="AF1945" s="532" t="str">
        <f t="shared" si="465"/>
        <v/>
      </c>
    </row>
    <row r="1946" spans="2:32" x14ac:dyDescent="0.25">
      <c r="B1946" s="695"/>
      <c r="C1946" s="197" t="str">
        <f>IF(B1946&lt;&gt;"",IFERROR(VLOOKUP(B:B,'מצבת והרשמה (2)'!$C$20:$N$520,2,0)," ")," ")</f>
        <v xml:space="preserve"> </v>
      </c>
      <c r="D1946" s="695"/>
      <c r="E1946" s="696"/>
      <c r="F1946" s="696"/>
      <c r="G1946" s="696"/>
      <c r="H1946" s="696"/>
      <c r="I1946" s="1050" t="str">
        <f t="shared" si="452"/>
        <v/>
      </c>
      <c r="J1946" s="696"/>
      <c r="K1946" s="697"/>
      <c r="L1946" s="696"/>
      <c r="M1946" s="198" t="str">
        <f t="shared" si="453"/>
        <v/>
      </c>
      <c r="N1946" s="369" t="str">
        <f t="shared" si="454"/>
        <v/>
      </c>
      <c r="O1946" s="183" t="str">
        <f t="shared" si="455"/>
        <v/>
      </c>
      <c r="P1946" s="199" t="str">
        <f t="shared" si="456"/>
        <v/>
      </c>
      <c r="Q1946" s="199" t="str">
        <f>IF(B1946="","",IFERROR(IF('עלויות כח אדם (6)'!J1946&gt;=VLOOKUP(I1946,'סיווג התפקידים והעלויות'!$B$23:$C$32,2,0),"תקין","לא תקין"),""))</f>
        <v/>
      </c>
      <c r="R1946" s="199" t="str">
        <f t="shared" si="457"/>
        <v/>
      </c>
      <c r="S1946" s="199" t="str">
        <f t="shared" si="458"/>
        <v/>
      </c>
      <c r="T1946" s="199" t="str">
        <f t="shared" si="466"/>
        <v/>
      </c>
      <c r="U1946" s="199" t="str">
        <f t="shared" si="459"/>
        <v/>
      </c>
      <c r="V1946" s="989"/>
      <c r="X1946" s="374" t="str">
        <f t="shared" si="460"/>
        <v/>
      </c>
      <c r="Y1946" s="375" t="str">
        <f t="shared" si="461"/>
        <v/>
      </c>
      <c r="Z1946" s="374" t="str">
        <f t="shared" si="462"/>
        <v/>
      </c>
      <c r="AA1946" s="374" t="b">
        <f t="shared" si="463"/>
        <v>1</v>
      </c>
      <c r="AB1946" s="374">
        <f>COUNTIFS(B:B,B1946,H:H,'סיווג התפקידים והעלויות'!$C$2)</f>
        <v>0</v>
      </c>
      <c r="AC1946" s="374">
        <f>COUNTIFS(B:B,B1946,H:H,'סיווג התפקידים והעלויות'!$D$2)</f>
        <v>0</v>
      </c>
      <c r="AD1946" s="374" t="str">
        <f>IF(OR(AND(H1946='סיווג התפקידים והעלויות'!$A$2,I1946='סיווג התפקידים והעלויות'!$A$3),'עלויות כח אדם (6)'!H1946='סיווג התפקידים והעלויות'!$C$2,'עלויות כח אדם (6)'!H1946='סיווג התפקידים והעלויות'!$D$2),IF('עלויות כח אדם (6)'!J1946&lt;75,"לא תקין","תקין"),"")</f>
        <v/>
      </c>
      <c r="AE1946" s="374" t="str">
        <f t="shared" si="464"/>
        <v/>
      </c>
      <c r="AF1946" s="532" t="str">
        <f t="shared" si="465"/>
        <v/>
      </c>
    </row>
    <row r="1947" spans="2:32" x14ac:dyDescent="0.25">
      <c r="B1947" s="695"/>
      <c r="C1947" s="197" t="str">
        <f>IF(B1947&lt;&gt;"",IFERROR(VLOOKUP(B:B,'מצבת והרשמה (2)'!$C$20:$N$520,2,0)," ")," ")</f>
        <v xml:space="preserve"> </v>
      </c>
      <c r="D1947" s="695"/>
      <c r="E1947" s="696"/>
      <c r="F1947" s="696"/>
      <c r="G1947" s="696"/>
      <c r="H1947" s="696"/>
      <c r="I1947" s="1050" t="str">
        <f t="shared" si="452"/>
        <v/>
      </c>
      <c r="J1947" s="696"/>
      <c r="K1947" s="697"/>
      <c r="L1947" s="696"/>
      <c r="M1947" s="198" t="str">
        <f t="shared" si="453"/>
        <v/>
      </c>
      <c r="N1947" s="369" t="str">
        <f t="shared" si="454"/>
        <v/>
      </c>
      <c r="O1947" s="183" t="str">
        <f t="shared" si="455"/>
        <v/>
      </c>
      <c r="P1947" s="199" t="str">
        <f t="shared" si="456"/>
        <v/>
      </c>
      <c r="Q1947" s="199" t="str">
        <f>IF(B1947="","",IFERROR(IF('עלויות כח אדם (6)'!J1947&gt;=VLOOKUP(I1947,'סיווג התפקידים והעלויות'!$B$23:$C$32,2,0),"תקין","לא תקין"),""))</f>
        <v/>
      </c>
      <c r="R1947" s="199" t="str">
        <f t="shared" si="457"/>
        <v/>
      </c>
      <c r="S1947" s="199" t="str">
        <f t="shared" si="458"/>
        <v/>
      </c>
      <c r="T1947" s="199" t="str">
        <f t="shared" si="466"/>
        <v/>
      </c>
      <c r="U1947" s="199" t="str">
        <f t="shared" si="459"/>
        <v/>
      </c>
      <c r="V1947" s="989"/>
      <c r="X1947" s="374" t="str">
        <f t="shared" si="460"/>
        <v/>
      </c>
      <c r="Y1947" s="375" t="str">
        <f t="shared" si="461"/>
        <v/>
      </c>
      <c r="Z1947" s="374" t="str">
        <f t="shared" si="462"/>
        <v/>
      </c>
      <c r="AA1947" s="374" t="b">
        <f t="shared" si="463"/>
        <v>1</v>
      </c>
      <c r="AB1947" s="374">
        <f>COUNTIFS(B:B,B1947,H:H,'סיווג התפקידים והעלויות'!$C$2)</f>
        <v>0</v>
      </c>
      <c r="AC1947" s="374">
        <f>COUNTIFS(B:B,B1947,H:H,'סיווג התפקידים והעלויות'!$D$2)</f>
        <v>0</v>
      </c>
      <c r="AD1947" s="374" t="str">
        <f>IF(OR(AND(H1947='סיווג התפקידים והעלויות'!$A$2,I1947='סיווג התפקידים והעלויות'!$A$3),'עלויות כח אדם (6)'!H1947='סיווג התפקידים והעלויות'!$C$2,'עלויות כח אדם (6)'!H1947='סיווג התפקידים והעלויות'!$D$2),IF('עלויות כח אדם (6)'!J1947&lt;75,"לא תקין","תקין"),"")</f>
        <v/>
      </c>
      <c r="AE1947" s="374" t="str">
        <f t="shared" si="464"/>
        <v/>
      </c>
      <c r="AF1947" s="532" t="str">
        <f t="shared" si="465"/>
        <v/>
      </c>
    </row>
    <row r="1948" spans="2:32" x14ac:dyDescent="0.25">
      <c r="B1948" s="695"/>
      <c r="C1948" s="197" t="str">
        <f>IF(B1948&lt;&gt;"",IFERROR(VLOOKUP(B:B,'מצבת והרשמה (2)'!$C$20:$N$520,2,0)," ")," ")</f>
        <v xml:space="preserve"> </v>
      </c>
      <c r="D1948" s="695"/>
      <c r="E1948" s="696"/>
      <c r="F1948" s="696"/>
      <c r="G1948" s="696"/>
      <c r="H1948" s="696"/>
      <c r="I1948" s="1050" t="str">
        <f t="shared" si="452"/>
        <v/>
      </c>
      <c r="J1948" s="696"/>
      <c r="K1948" s="697"/>
      <c r="L1948" s="696"/>
      <c r="M1948" s="198" t="str">
        <f t="shared" si="453"/>
        <v/>
      </c>
      <c r="N1948" s="369" t="str">
        <f t="shared" si="454"/>
        <v/>
      </c>
      <c r="O1948" s="183" t="str">
        <f t="shared" si="455"/>
        <v/>
      </c>
      <c r="P1948" s="199" t="str">
        <f t="shared" si="456"/>
        <v/>
      </c>
      <c r="Q1948" s="199" t="str">
        <f>IF(B1948="","",IFERROR(IF('עלויות כח אדם (6)'!J1948&gt;=VLOOKUP(I1948,'סיווג התפקידים והעלויות'!$B$23:$C$32,2,0),"תקין","לא תקין"),""))</f>
        <v/>
      </c>
      <c r="R1948" s="199" t="str">
        <f t="shared" si="457"/>
        <v/>
      </c>
      <c r="S1948" s="199" t="str">
        <f t="shared" si="458"/>
        <v/>
      </c>
      <c r="T1948" s="199" t="str">
        <f t="shared" si="466"/>
        <v/>
      </c>
      <c r="U1948" s="199" t="str">
        <f t="shared" si="459"/>
        <v/>
      </c>
      <c r="V1948" s="989"/>
      <c r="X1948" s="374" t="str">
        <f t="shared" si="460"/>
        <v/>
      </c>
      <c r="Y1948" s="375" t="str">
        <f t="shared" si="461"/>
        <v/>
      </c>
      <c r="Z1948" s="374" t="str">
        <f t="shared" si="462"/>
        <v/>
      </c>
      <c r="AA1948" s="374" t="b">
        <f t="shared" si="463"/>
        <v>1</v>
      </c>
      <c r="AB1948" s="374">
        <f>COUNTIFS(B:B,B1948,H:H,'סיווג התפקידים והעלויות'!$C$2)</f>
        <v>0</v>
      </c>
      <c r="AC1948" s="374">
        <f>COUNTIFS(B:B,B1948,H:H,'סיווג התפקידים והעלויות'!$D$2)</f>
        <v>0</v>
      </c>
      <c r="AD1948" s="374" t="str">
        <f>IF(OR(AND(H1948='סיווג התפקידים והעלויות'!$A$2,I1948='סיווג התפקידים והעלויות'!$A$3),'עלויות כח אדם (6)'!H1948='סיווג התפקידים והעלויות'!$C$2,'עלויות כח אדם (6)'!H1948='סיווג התפקידים והעלויות'!$D$2),IF('עלויות כח אדם (6)'!J1948&lt;75,"לא תקין","תקין"),"")</f>
        <v/>
      </c>
      <c r="AE1948" s="374" t="str">
        <f t="shared" si="464"/>
        <v/>
      </c>
      <c r="AF1948" s="532" t="str">
        <f t="shared" si="465"/>
        <v/>
      </c>
    </row>
    <row r="1949" spans="2:32" x14ac:dyDescent="0.25">
      <c r="B1949" s="695"/>
      <c r="C1949" s="197" t="str">
        <f>IF(B1949&lt;&gt;"",IFERROR(VLOOKUP(B:B,'מצבת והרשמה (2)'!$C$20:$N$520,2,0)," ")," ")</f>
        <v xml:space="preserve"> </v>
      </c>
      <c r="D1949" s="695"/>
      <c r="E1949" s="696"/>
      <c r="F1949" s="696"/>
      <c r="G1949" s="696"/>
      <c r="H1949" s="696"/>
      <c r="I1949" s="1050" t="str">
        <f t="shared" si="452"/>
        <v/>
      </c>
      <c r="J1949" s="696"/>
      <c r="K1949" s="697"/>
      <c r="L1949" s="696"/>
      <c r="M1949" s="198" t="str">
        <f t="shared" si="453"/>
        <v/>
      </c>
      <c r="N1949" s="369" t="str">
        <f t="shared" si="454"/>
        <v/>
      </c>
      <c r="O1949" s="183" t="str">
        <f t="shared" si="455"/>
        <v/>
      </c>
      <c r="P1949" s="199" t="str">
        <f t="shared" si="456"/>
        <v/>
      </c>
      <c r="Q1949" s="199" t="str">
        <f>IF(B1949="","",IFERROR(IF('עלויות כח אדם (6)'!J1949&gt;=VLOOKUP(I1949,'סיווג התפקידים והעלויות'!$B$23:$C$32,2,0),"תקין","לא תקין"),""))</f>
        <v/>
      </c>
      <c r="R1949" s="199" t="str">
        <f t="shared" si="457"/>
        <v/>
      </c>
      <c r="S1949" s="199" t="str">
        <f t="shared" si="458"/>
        <v/>
      </c>
      <c r="T1949" s="199" t="str">
        <f t="shared" si="466"/>
        <v/>
      </c>
      <c r="U1949" s="199" t="str">
        <f t="shared" si="459"/>
        <v/>
      </c>
      <c r="V1949" s="989"/>
      <c r="X1949" s="374" t="str">
        <f t="shared" si="460"/>
        <v/>
      </c>
      <c r="Y1949" s="375" t="str">
        <f t="shared" si="461"/>
        <v/>
      </c>
      <c r="Z1949" s="374" t="str">
        <f t="shared" si="462"/>
        <v/>
      </c>
      <c r="AA1949" s="374" t="b">
        <f t="shared" si="463"/>
        <v>1</v>
      </c>
      <c r="AB1949" s="374">
        <f>COUNTIFS(B:B,B1949,H:H,'סיווג התפקידים והעלויות'!$C$2)</f>
        <v>0</v>
      </c>
      <c r="AC1949" s="374">
        <f>COUNTIFS(B:B,B1949,H:H,'סיווג התפקידים והעלויות'!$D$2)</f>
        <v>0</v>
      </c>
      <c r="AD1949" s="374" t="str">
        <f>IF(OR(AND(H1949='סיווג התפקידים והעלויות'!$A$2,I1949='סיווג התפקידים והעלויות'!$A$3),'עלויות כח אדם (6)'!H1949='סיווג התפקידים והעלויות'!$C$2,'עלויות כח אדם (6)'!H1949='סיווג התפקידים והעלויות'!$D$2),IF('עלויות כח אדם (6)'!J1949&lt;75,"לא תקין","תקין"),"")</f>
        <v/>
      </c>
      <c r="AE1949" s="374" t="str">
        <f t="shared" si="464"/>
        <v/>
      </c>
      <c r="AF1949" s="532" t="str">
        <f t="shared" si="465"/>
        <v/>
      </c>
    </row>
    <row r="1950" spans="2:32" x14ac:dyDescent="0.25">
      <c r="B1950" s="695"/>
      <c r="C1950" s="197" t="str">
        <f>IF(B1950&lt;&gt;"",IFERROR(VLOOKUP(B:B,'מצבת והרשמה (2)'!$C$20:$N$520,2,0)," ")," ")</f>
        <v xml:space="preserve"> </v>
      </c>
      <c r="D1950" s="695"/>
      <c r="E1950" s="696"/>
      <c r="F1950" s="696"/>
      <c r="G1950" s="696"/>
      <c r="H1950" s="696"/>
      <c r="I1950" s="1050" t="str">
        <f t="shared" si="452"/>
        <v/>
      </c>
      <c r="J1950" s="696"/>
      <c r="K1950" s="697"/>
      <c r="L1950" s="696"/>
      <c r="M1950" s="198" t="str">
        <f t="shared" si="453"/>
        <v/>
      </c>
      <c r="N1950" s="369" t="str">
        <f t="shared" si="454"/>
        <v/>
      </c>
      <c r="O1950" s="183" t="str">
        <f t="shared" si="455"/>
        <v/>
      </c>
      <c r="P1950" s="199" t="str">
        <f t="shared" si="456"/>
        <v/>
      </c>
      <c r="Q1950" s="199" t="str">
        <f>IF(B1950="","",IFERROR(IF('עלויות כח אדם (6)'!J1950&gt;=VLOOKUP(I1950,'סיווג התפקידים והעלויות'!$B$23:$C$32,2,0),"תקין","לא תקין"),""))</f>
        <v/>
      </c>
      <c r="R1950" s="199" t="str">
        <f t="shared" si="457"/>
        <v/>
      </c>
      <c r="S1950" s="199" t="str">
        <f t="shared" si="458"/>
        <v/>
      </c>
      <c r="T1950" s="199" t="str">
        <f t="shared" si="466"/>
        <v/>
      </c>
      <c r="U1950" s="199" t="str">
        <f t="shared" si="459"/>
        <v/>
      </c>
      <c r="V1950" s="989"/>
      <c r="X1950" s="374" t="str">
        <f t="shared" si="460"/>
        <v/>
      </c>
      <c r="Y1950" s="375" t="str">
        <f t="shared" si="461"/>
        <v/>
      </c>
      <c r="Z1950" s="374" t="str">
        <f t="shared" si="462"/>
        <v/>
      </c>
      <c r="AA1950" s="374" t="b">
        <f t="shared" si="463"/>
        <v>1</v>
      </c>
      <c r="AB1950" s="374">
        <f>COUNTIFS(B:B,B1950,H:H,'סיווג התפקידים והעלויות'!$C$2)</f>
        <v>0</v>
      </c>
      <c r="AC1950" s="374">
        <f>COUNTIFS(B:B,B1950,H:H,'סיווג התפקידים והעלויות'!$D$2)</f>
        <v>0</v>
      </c>
      <c r="AD1950" s="374" t="str">
        <f>IF(OR(AND(H1950='סיווג התפקידים והעלויות'!$A$2,I1950='סיווג התפקידים והעלויות'!$A$3),'עלויות כח אדם (6)'!H1950='סיווג התפקידים והעלויות'!$C$2,'עלויות כח אדם (6)'!H1950='סיווג התפקידים והעלויות'!$D$2),IF('עלויות כח אדם (6)'!J1950&lt;75,"לא תקין","תקין"),"")</f>
        <v/>
      </c>
      <c r="AE1950" s="374" t="str">
        <f t="shared" si="464"/>
        <v/>
      </c>
      <c r="AF1950" s="532" t="str">
        <f t="shared" si="465"/>
        <v/>
      </c>
    </row>
    <row r="1951" spans="2:32" x14ac:dyDescent="0.25">
      <c r="B1951" s="695"/>
      <c r="C1951" s="197" t="str">
        <f>IF(B1951&lt;&gt;"",IFERROR(VLOOKUP(B:B,'מצבת והרשמה (2)'!$C$20:$N$520,2,0)," ")," ")</f>
        <v xml:space="preserve"> </v>
      </c>
      <c r="D1951" s="695"/>
      <c r="E1951" s="696"/>
      <c r="F1951" s="696"/>
      <c r="G1951" s="696"/>
      <c r="H1951" s="696"/>
      <c r="I1951" s="1050" t="str">
        <f t="shared" si="452"/>
        <v/>
      </c>
      <c r="J1951" s="696"/>
      <c r="K1951" s="697"/>
      <c r="L1951" s="696"/>
      <c r="M1951" s="198" t="str">
        <f t="shared" si="453"/>
        <v/>
      </c>
      <c r="N1951" s="369" t="str">
        <f t="shared" si="454"/>
        <v/>
      </c>
      <c r="O1951" s="183" t="str">
        <f t="shared" si="455"/>
        <v/>
      </c>
      <c r="P1951" s="199" t="str">
        <f t="shared" si="456"/>
        <v/>
      </c>
      <c r="Q1951" s="199" t="str">
        <f>IF(B1951="","",IFERROR(IF('עלויות כח אדם (6)'!J1951&gt;=VLOOKUP(I1951,'סיווג התפקידים והעלויות'!$B$23:$C$32,2,0),"תקין","לא תקין"),""))</f>
        <v/>
      </c>
      <c r="R1951" s="199" t="str">
        <f t="shared" si="457"/>
        <v/>
      </c>
      <c r="S1951" s="199" t="str">
        <f t="shared" si="458"/>
        <v/>
      </c>
      <c r="T1951" s="199" t="str">
        <f t="shared" si="466"/>
        <v/>
      </c>
      <c r="U1951" s="199" t="str">
        <f t="shared" si="459"/>
        <v/>
      </c>
      <c r="V1951" s="989"/>
      <c r="X1951" s="374" t="str">
        <f t="shared" si="460"/>
        <v/>
      </c>
      <c r="Y1951" s="375" t="str">
        <f t="shared" si="461"/>
        <v/>
      </c>
      <c r="Z1951" s="374" t="str">
        <f t="shared" si="462"/>
        <v/>
      </c>
      <c r="AA1951" s="374" t="b">
        <f t="shared" si="463"/>
        <v>1</v>
      </c>
      <c r="AB1951" s="374">
        <f>COUNTIFS(B:B,B1951,H:H,'סיווג התפקידים והעלויות'!$C$2)</f>
        <v>0</v>
      </c>
      <c r="AC1951" s="374">
        <f>COUNTIFS(B:B,B1951,H:H,'סיווג התפקידים והעלויות'!$D$2)</f>
        <v>0</v>
      </c>
      <c r="AD1951" s="374" t="str">
        <f>IF(OR(AND(H1951='סיווג התפקידים והעלויות'!$A$2,I1951='סיווג התפקידים והעלויות'!$A$3),'עלויות כח אדם (6)'!H1951='סיווג התפקידים והעלויות'!$C$2,'עלויות כח אדם (6)'!H1951='סיווג התפקידים והעלויות'!$D$2),IF('עלויות כח אדם (6)'!J1951&lt;75,"לא תקין","תקין"),"")</f>
        <v/>
      </c>
      <c r="AE1951" s="374" t="str">
        <f t="shared" si="464"/>
        <v/>
      </c>
      <c r="AF1951" s="532" t="str">
        <f t="shared" si="465"/>
        <v/>
      </c>
    </row>
    <row r="1952" spans="2:32" x14ac:dyDescent="0.25">
      <c r="B1952" s="695"/>
      <c r="C1952" s="197" t="str">
        <f>IF(B1952&lt;&gt;"",IFERROR(VLOOKUP(B:B,'מצבת והרשמה (2)'!$C$20:$N$520,2,0)," ")," ")</f>
        <v xml:space="preserve"> </v>
      </c>
      <c r="D1952" s="695"/>
      <c r="E1952" s="696"/>
      <c r="F1952" s="696"/>
      <c r="G1952" s="696"/>
      <c r="H1952" s="696"/>
      <c r="I1952" s="1050" t="str">
        <f t="shared" si="452"/>
        <v/>
      </c>
      <c r="J1952" s="696"/>
      <c r="K1952" s="697"/>
      <c r="L1952" s="696"/>
      <c r="M1952" s="198" t="str">
        <f t="shared" si="453"/>
        <v/>
      </c>
      <c r="N1952" s="369" t="str">
        <f t="shared" si="454"/>
        <v/>
      </c>
      <c r="O1952" s="183" t="str">
        <f t="shared" si="455"/>
        <v/>
      </c>
      <c r="P1952" s="199" t="str">
        <f t="shared" si="456"/>
        <v/>
      </c>
      <c r="Q1952" s="199" t="str">
        <f>IF(B1952="","",IFERROR(IF('עלויות כח אדם (6)'!J1952&gt;=VLOOKUP(I1952,'סיווג התפקידים והעלויות'!$B$23:$C$32,2,0),"תקין","לא תקין"),""))</f>
        <v/>
      </c>
      <c r="R1952" s="199" t="str">
        <f t="shared" si="457"/>
        <v/>
      </c>
      <c r="S1952" s="199" t="str">
        <f t="shared" si="458"/>
        <v/>
      </c>
      <c r="T1952" s="199" t="str">
        <f t="shared" si="466"/>
        <v/>
      </c>
      <c r="U1952" s="199" t="str">
        <f t="shared" si="459"/>
        <v/>
      </c>
      <c r="V1952" s="989"/>
      <c r="X1952" s="374" t="str">
        <f t="shared" si="460"/>
        <v/>
      </c>
      <c r="Y1952" s="375" t="str">
        <f t="shared" si="461"/>
        <v/>
      </c>
      <c r="Z1952" s="374" t="str">
        <f t="shared" si="462"/>
        <v/>
      </c>
      <c r="AA1952" s="374" t="b">
        <f t="shared" si="463"/>
        <v>1</v>
      </c>
      <c r="AB1952" s="374">
        <f>COUNTIFS(B:B,B1952,H:H,'סיווג התפקידים והעלויות'!$C$2)</f>
        <v>0</v>
      </c>
      <c r="AC1952" s="374">
        <f>COUNTIFS(B:B,B1952,H:H,'סיווג התפקידים והעלויות'!$D$2)</f>
        <v>0</v>
      </c>
      <c r="AD1952" s="374" t="str">
        <f>IF(OR(AND(H1952='סיווג התפקידים והעלויות'!$A$2,I1952='סיווג התפקידים והעלויות'!$A$3),'עלויות כח אדם (6)'!H1952='סיווג התפקידים והעלויות'!$C$2,'עלויות כח אדם (6)'!H1952='סיווג התפקידים והעלויות'!$D$2),IF('עלויות כח אדם (6)'!J1952&lt;75,"לא תקין","תקין"),"")</f>
        <v/>
      </c>
      <c r="AE1952" s="374" t="str">
        <f t="shared" si="464"/>
        <v/>
      </c>
      <c r="AF1952" s="532" t="str">
        <f t="shared" si="465"/>
        <v/>
      </c>
    </row>
    <row r="1953" spans="2:32" x14ac:dyDescent="0.25">
      <c r="B1953" s="695"/>
      <c r="C1953" s="197" t="str">
        <f>IF(B1953&lt;&gt;"",IFERROR(VLOOKUP(B:B,'מצבת והרשמה (2)'!$C$20:$N$520,2,0)," ")," ")</f>
        <v xml:space="preserve"> </v>
      </c>
      <c r="D1953" s="695"/>
      <c r="E1953" s="696"/>
      <c r="F1953" s="696"/>
      <c r="G1953" s="696"/>
      <c r="H1953" s="696"/>
      <c r="I1953" s="1050" t="str">
        <f t="shared" si="452"/>
        <v/>
      </c>
      <c r="J1953" s="696"/>
      <c r="K1953" s="697"/>
      <c r="L1953" s="696"/>
      <c r="M1953" s="198" t="str">
        <f t="shared" si="453"/>
        <v/>
      </c>
      <c r="N1953" s="369" t="str">
        <f t="shared" si="454"/>
        <v/>
      </c>
      <c r="O1953" s="183" t="str">
        <f t="shared" si="455"/>
        <v/>
      </c>
      <c r="P1953" s="199" t="str">
        <f t="shared" si="456"/>
        <v/>
      </c>
      <c r="Q1953" s="199" t="str">
        <f>IF(B1953="","",IFERROR(IF('עלויות כח אדם (6)'!J1953&gt;=VLOOKUP(I1953,'סיווג התפקידים והעלויות'!$B$23:$C$32,2,0),"תקין","לא תקין"),""))</f>
        <v/>
      </c>
      <c r="R1953" s="199" t="str">
        <f t="shared" si="457"/>
        <v/>
      </c>
      <c r="S1953" s="199" t="str">
        <f t="shared" si="458"/>
        <v/>
      </c>
      <c r="T1953" s="199" t="str">
        <f t="shared" si="466"/>
        <v/>
      </c>
      <c r="U1953" s="199" t="str">
        <f t="shared" si="459"/>
        <v/>
      </c>
      <c r="V1953" s="989"/>
      <c r="X1953" s="374" t="str">
        <f t="shared" si="460"/>
        <v/>
      </c>
      <c r="Y1953" s="375" t="str">
        <f t="shared" si="461"/>
        <v/>
      </c>
      <c r="Z1953" s="374" t="str">
        <f t="shared" si="462"/>
        <v/>
      </c>
      <c r="AA1953" s="374" t="b">
        <f t="shared" si="463"/>
        <v>1</v>
      </c>
      <c r="AB1953" s="374">
        <f>COUNTIFS(B:B,B1953,H:H,'סיווג התפקידים והעלויות'!$C$2)</f>
        <v>0</v>
      </c>
      <c r="AC1953" s="374">
        <f>COUNTIFS(B:B,B1953,H:H,'סיווג התפקידים והעלויות'!$D$2)</f>
        <v>0</v>
      </c>
      <c r="AD1953" s="374" t="str">
        <f>IF(OR(AND(H1953='סיווג התפקידים והעלויות'!$A$2,I1953='סיווג התפקידים והעלויות'!$A$3),'עלויות כח אדם (6)'!H1953='סיווג התפקידים והעלויות'!$C$2,'עלויות כח אדם (6)'!H1953='סיווג התפקידים והעלויות'!$D$2),IF('עלויות כח אדם (6)'!J1953&lt;75,"לא תקין","תקין"),"")</f>
        <v/>
      </c>
      <c r="AE1953" s="374" t="str">
        <f t="shared" si="464"/>
        <v/>
      </c>
      <c r="AF1953" s="532" t="str">
        <f t="shared" si="465"/>
        <v/>
      </c>
    </row>
    <row r="1954" spans="2:32" x14ac:dyDescent="0.25">
      <c r="B1954" s="695"/>
      <c r="C1954" s="197" t="str">
        <f>IF(B1954&lt;&gt;"",IFERROR(VLOOKUP(B:B,'מצבת והרשמה (2)'!$C$20:$N$520,2,0)," ")," ")</f>
        <v xml:space="preserve"> </v>
      </c>
      <c r="D1954" s="695"/>
      <c r="E1954" s="696"/>
      <c r="F1954" s="696"/>
      <c r="G1954" s="696"/>
      <c r="H1954" s="696"/>
      <c r="I1954" s="1050" t="str">
        <f t="shared" si="452"/>
        <v/>
      </c>
      <c r="J1954" s="696"/>
      <c r="K1954" s="697"/>
      <c r="L1954" s="696"/>
      <c r="M1954" s="198" t="str">
        <f t="shared" si="453"/>
        <v/>
      </c>
      <c r="N1954" s="369" t="str">
        <f t="shared" si="454"/>
        <v/>
      </c>
      <c r="O1954" s="183" t="str">
        <f t="shared" si="455"/>
        <v/>
      </c>
      <c r="P1954" s="199" t="str">
        <f t="shared" si="456"/>
        <v/>
      </c>
      <c r="Q1954" s="199" t="str">
        <f>IF(B1954="","",IFERROR(IF('עלויות כח אדם (6)'!J1954&gt;=VLOOKUP(I1954,'סיווג התפקידים והעלויות'!$B$23:$C$32,2,0),"תקין","לא תקין"),""))</f>
        <v/>
      </c>
      <c r="R1954" s="199" t="str">
        <f t="shared" si="457"/>
        <v/>
      </c>
      <c r="S1954" s="199" t="str">
        <f t="shared" si="458"/>
        <v/>
      </c>
      <c r="T1954" s="199" t="str">
        <f t="shared" si="466"/>
        <v/>
      </c>
      <c r="U1954" s="199" t="str">
        <f t="shared" si="459"/>
        <v/>
      </c>
      <c r="V1954" s="989"/>
      <c r="X1954" s="374" t="str">
        <f t="shared" si="460"/>
        <v/>
      </c>
      <c r="Y1954" s="375" t="str">
        <f t="shared" si="461"/>
        <v/>
      </c>
      <c r="Z1954" s="374" t="str">
        <f t="shared" si="462"/>
        <v/>
      </c>
      <c r="AA1954" s="374" t="b">
        <f t="shared" si="463"/>
        <v>1</v>
      </c>
      <c r="AB1954" s="374">
        <f>COUNTIFS(B:B,B1954,H:H,'סיווג התפקידים והעלויות'!$C$2)</f>
        <v>0</v>
      </c>
      <c r="AC1954" s="374">
        <f>COUNTIFS(B:B,B1954,H:H,'סיווג התפקידים והעלויות'!$D$2)</f>
        <v>0</v>
      </c>
      <c r="AD1954" s="374" t="str">
        <f>IF(OR(AND(H1954='סיווג התפקידים והעלויות'!$A$2,I1954='סיווג התפקידים והעלויות'!$A$3),'עלויות כח אדם (6)'!H1954='סיווג התפקידים והעלויות'!$C$2,'עלויות כח אדם (6)'!H1954='סיווג התפקידים והעלויות'!$D$2),IF('עלויות כח אדם (6)'!J1954&lt;75,"לא תקין","תקין"),"")</f>
        <v/>
      </c>
      <c r="AE1954" s="374" t="str">
        <f t="shared" si="464"/>
        <v/>
      </c>
      <c r="AF1954" s="532" t="str">
        <f t="shared" si="465"/>
        <v/>
      </c>
    </row>
    <row r="1955" spans="2:32" x14ac:dyDescent="0.25">
      <c r="B1955" s="695"/>
      <c r="C1955" s="197" t="str">
        <f>IF(B1955&lt;&gt;"",IFERROR(VLOOKUP(B:B,'מצבת והרשמה (2)'!$C$20:$N$520,2,0)," ")," ")</f>
        <v xml:space="preserve"> </v>
      </c>
      <c r="D1955" s="695"/>
      <c r="E1955" s="696"/>
      <c r="F1955" s="696"/>
      <c r="G1955" s="696"/>
      <c r="H1955" s="696"/>
      <c r="I1955" s="1050" t="str">
        <f t="shared" si="452"/>
        <v/>
      </c>
      <c r="J1955" s="696"/>
      <c r="K1955" s="697"/>
      <c r="L1955" s="696"/>
      <c r="M1955" s="198" t="str">
        <f t="shared" si="453"/>
        <v/>
      </c>
      <c r="N1955" s="369" t="str">
        <f t="shared" si="454"/>
        <v/>
      </c>
      <c r="O1955" s="183" t="str">
        <f t="shared" si="455"/>
        <v/>
      </c>
      <c r="P1955" s="199" t="str">
        <f t="shared" si="456"/>
        <v/>
      </c>
      <c r="Q1955" s="199" t="str">
        <f>IF(B1955="","",IFERROR(IF('עלויות כח אדם (6)'!J1955&gt;=VLOOKUP(I1955,'סיווג התפקידים והעלויות'!$B$23:$C$32,2,0),"תקין","לא תקין"),""))</f>
        <v/>
      </c>
      <c r="R1955" s="199" t="str">
        <f t="shared" si="457"/>
        <v/>
      </c>
      <c r="S1955" s="199" t="str">
        <f t="shared" si="458"/>
        <v/>
      </c>
      <c r="T1955" s="199" t="str">
        <f t="shared" si="466"/>
        <v/>
      </c>
      <c r="U1955" s="199" t="str">
        <f t="shared" si="459"/>
        <v/>
      </c>
      <c r="V1955" s="989"/>
      <c r="X1955" s="374" t="str">
        <f t="shared" si="460"/>
        <v/>
      </c>
      <c r="Y1955" s="375" t="str">
        <f t="shared" si="461"/>
        <v/>
      </c>
      <c r="Z1955" s="374" t="str">
        <f t="shared" si="462"/>
        <v/>
      </c>
      <c r="AA1955" s="374" t="b">
        <f t="shared" si="463"/>
        <v>1</v>
      </c>
      <c r="AB1955" s="374">
        <f>COUNTIFS(B:B,B1955,H:H,'סיווג התפקידים והעלויות'!$C$2)</f>
        <v>0</v>
      </c>
      <c r="AC1955" s="374">
        <f>COUNTIFS(B:B,B1955,H:H,'סיווג התפקידים והעלויות'!$D$2)</f>
        <v>0</v>
      </c>
      <c r="AD1955" s="374" t="str">
        <f>IF(OR(AND(H1955='סיווג התפקידים והעלויות'!$A$2,I1955='סיווג התפקידים והעלויות'!$A$3),'עלויות כח אדם (6)'!H1955='סיווג התפקידים והעלויות'!$C$2,'עלויות כח אדם (6)'!H1955='סיווג התפקידים והעלויות'!$D$2),IF('עלויות כח אדם (6)'!J1955&lt;75,"לא תקין","תקין"),"")</f>
        <v/>
      </c>
      <c r="AE1955" s="374" t="str">
        <f t="shared" si="464"/>
        <v/>
      </c>
      <c r="AF1955" s="532" t="str">
        <f t="shared" si="465"/>
        <v/>
      </c>
    </row>
    <row r="1956" spans="2:32" x14ac:dyDescent="0.25">
      <c r="B1956" s="695"/>
      <c r="C1956" s="197" t="str">
        <f>IF(B1956&lt;&gt;"",IFERROR(VLOOKUP(B:B,'מצבת והרשמה (2)'!$C$20:$N$520,2,0)," ")," ")</f>
        <v xml:space="preserve"> </v>
      </c>
      <c r="D1956" s="695"/>
      <c r="E1956" s="696"/>
      <c r="F1956" s="696"/>
      <c r="G1956" s="696"/>
      <c r="H1956" s="696"/>
      <c r="I1956" s="1050" t="str">
        <f t="shared" si="452"/>
        <v/>
      </c>
      <c r="J1956" s="696"/>
      <c r="K1956" s="697"/>
      <c r="L1956" s="696"/>
      <c r="M1956" s="198" t="str">
        <f t="shared" si="453"/>
        <v/>
      </c>
      <c r="N1956" s="369" t="str">
        <f t="shared" si="454"/>
        <v/>
      </c>
      <c r="O1956" s="183" t="str">
        <f t="shared" si="455"/>
        <v/>
      </c>
      <c r="P1956" s="199" t="str">
        <f t="shared" si="456"/>
        <v/>
      </c>
      <c r="Q1956" s="199" t="str">
        <f>IF(B1956="","",IFERROR(IF('עלויות כח אדם (6)'!J1956&gt;=VLOOKUP(I1956,'סיווג התפקידים והעלויות'!$B$23:$C$32,2,0),"תקין","לא תקין"),""))</f>
        <v/>
      </c>
      <c r="R1956" s="199" t="str">
        <f t="shared" si="457"/>
        <v/>
      </c>
      <c r="S1956" s="199" t="str">
        <f t="shared" si="458"/>
        <v/>
      </c>
      <c r="T1956" s="199" t="str">
        <f t="shared" si="466"/>
        <v/>
      </c>
      <c r="U1956" s="199" t="str">
        <f t="shared" si="459"/>
        <v/>
      </c>
      <c r="V1956" s="989"/>
      <c r="X1956" s="374" t="str">
        <f t="shared" si="460"/>
        <v/>
      </c>
      <c r="Y1956" s="375" t="str">
        <f t="shared" si="461"/>
        <v/>
      </c>
      <c r="Z1956" s="374" t="str">
        <f t="shared" si="462"/>
        <v/>
      </c>
      <c r="AA1956" s="374" t="b">
        <f t="shared" si="463"/>
        <v>1</v>
      </c>
      <c r="AB1956" s="374">
        <f>COUNTIFS(B:B,B1956,H:H,'סיווג התפקידים והעלויות'!$C$2)</f>
        <v>0</v>
      </c>
      <c r="AC1956" s="374">
        <f>COUNTIFS(B:B,B1956,H:H,'סיווג התפקידים והעלויות'!$D$2)</f>
        <v>0</v>
      </c>
      <c r="AD1956" s="374" t="str">
        <f>IF(OR(AND(H1956='סיווג התפקידים והעלויות'!$A$2,I1956='סיווג התפקידים והעלויות'!$A$3),'עלויות כח אדם (6)'!H1956='סיווג התפקידים והעלויות'!$C$2,'עלויות כח אדם (6)'!H1956='סיווג התפקידים והעלויות'!$D$2),IF('עלויות כח אדם (6)'!J1956&lt;75,"לא תקין","תקין"),"")</f>
        <v/>
      </c>
      <c r="AE1956" s="374" t="str">
        <f t="shared" si="464"/>
        <v/>
      </c>
      <c r="AF1956" s="532" t="str">
        <f t="shared" si="465"/>
        <v/>
      </c>
    </row>
    <row r="1957" spans="2:32" x14ac:dyDescent="0.25">
      <c r="B1957" s="695"/>
      <c r="C1957" s="197" t="str">
        <f>IF(B1957&lt;&gt;"",IFERROR(VLOOKUP(B:B,'מצבת והרשמה (2)'!$C$20:$N$520,2,0)," ")," ")</f>
        <v xml:space="preserve"> </v>
      </c>
      <c r="D1957" s="695"/>
      <c r="E1957" s="696"/>
      <c r="F1957" s="696"/>
      <c r="G1957" s="696"/>
      <c r="H1957" s="696"/>
      <c r="I1957" s="1050" t="str">
        <f t="shared" si="452"/>
        <v/>
      </c>
      <c r="J1957" s="696"/>
      <c r="K1957" s="697"/>
      <c r="L1957" s="696"/>
      <c r="M1957" s="198" t="str">
        <f t="shared" si="453"/>
        <v/>
      </c>
      <c r="N1957" s="369" t="str">
        <f t="shared" si="454"/>
        <v/>
      </c>
      <c r="O1957" s="183" t="str">
        <f t="shared" si="455"/>
        <v/>
      </c>
      <c r="P1957" s="199" t="str">
        <f t="shared" si="456"/>
        <v/>
      </c>
      <c r="Q1957" s="199" t="str">
        <f>IF(B1957="","",IFERROR(IF('עלויות כח אדם (6)'!J1957&gt;=VLOOKUP(I1957,'סיווג התפקידים והעלויות'!$B$23:$C$32,2,0),"תקין","לא תקין"),""))</f>
        <v/>
      </c>
      <c r="R1957" s="199" t="str">
        <f t="shared" si="457"/>
        <v/>
      </c>
      <c r="S1957" s="199" t="str">
        <f t="shared" si="458"/>
        <v/>
      </c>
      <c r="T1957" s="199" t="str">
        <f t="shared" si="466"/>
        <v/>
      </c>
      <c r="U1957" s="199" t="str">
        <f t="shared" si="459"/>
        <v/>
      </c>
      <c r="V1957" s="989"/>
      <c r="X1957" s="374" t="str">
        <f t="shared" si="460"/>
        <v/>
      </c>
      <c r="Y1957" s="375" t="str">
        <f t="shared" si="461"/>
        <v/>
      </c>
      <c r="Z1957" s="374" t="str">
        <f t="shared" si="462"/>
        <v/>
      </c>
      <c r="AA1957" s="374" t="b">
        <f t="shared" si="463"/>
        <v>1</v>
      </c>
      <c r="AB1957" s="374">
        <f>COUNTIFS(B:B,B1957,H:H,'סיווג התפקידים והעלויות'!$C$2)</f>
        <v>0</v>
      </c>
      <c r="AC1957" s="374">
        <f>COUNTIFS(B:B,B1957,H:H,'סיווג התפקידים והעלויות'!$D$2)</f>
        <v>0</v>
      </c>
      <c r="AD1957" s="374" t="str">
        <f>IF(OR(AND(H1957='סיווג התפקידים והעלויות'!$A$2,I1957='סיווג התפקידים והעלויות'!$A$3),'עלויות כח אדם (6)'!H1957='סיווג התפקידים והעלויות'!$C$2,'עלויות כח אדם (6)'!H1957='סיווג התפקידים והעלויות'!$D$2),IF('עלויות כח אדם (6)'!J1957&lt;75,"לא תקין","תקין"),"")</f>
        <v/>
      </c>
      <c r="AE1957" s="374" t="str">
        <f t="shared" si="464"/>
        <v/>
      </c>
      <c r="AF1957" s="532" t="str">
        <f t="shared" si="465"/>
        <v/>
      </c>
    </row>
    <row r="1958" spans="2:32" x14ac:dyDescent="0.25">
      <c r="B1958" s="695"/>
      <c r="C1958" s="197" t="str">
        <f>IF(B1958&lt;&gt;"",IFERROR(VLOOKUP(B:B,'מצבת והרשמה (2)'!$C$20:$N$520,2,0)," ")," ")</f>
        <v xml:space="preserve"> </v>
      </c>
      <c r="D1958" s="695"/>
      <c r="E1958" s="696"/>
      <c r="F1958" s="696"/>
      <c r="G1958" s="696"/>
      <c r="H1958" s="696"/>
      <c r="I1958" s="1050" t="str">
        <f t="shared" si="452"/>
        <v/>
      </c>
      <c r="J1958" s="696"/>
      <c r="K1958" s="697"/>
      <c r="L1958" s="696"/>
      <c r="M1958" s="198" t="str">
        <f t="shared" si="453"/>
        <v/>
      </c>
      <c r="N1958" s="369" t="str">
        <f t="shared" si="454"/>
        <v/>
      </c>
      <c r="O1958" s="183" t="str">
        <f t="shared" si="455"/>
        <v/>
      </c>
      <c r="P1958" s="199" t="str">
        <f t="shared" si="456"/>
        <v/>
      </c>
      <c r="Q1958" s="199" t="str">
        <f>IF(B1958="","",IFERROR(IF('עלויות כח אדם (6)'!J1958&gt;=VLOOKUP(I1958,'סיווג התפקידים והעלויות'!$B$23:$C$32,2,0),"תקין","לא תקין"),""))</f>
        <v/>
      </c>
      <c r="R1958" s="199" t="str">
        <f t="shared" si="457"/>
        <v/>
      </c>
      <c r="S1958" s="199" t="str">
        <f t="shared" si="458"/>
        <v/>
      </c>
      <c r="T1958" s="199" t="str">
        <f t="shared" si="466"/>
        <v/>
      </c>
      <c r="U1958" s="199" t="str">
        <f t="shared" si="459"/>
        <v/>
      </c>
      <c r="V1958" s="989"/>
      <c r="X1958" s="374" t="str">
        <f t="shared" si="460"/>
        <v/>
      </c>
      <c r="Y1958" s="375" t="str">
        <f t="shared" si="461"/>
        <v/>
      </c>
      <c r="Z1958" s="374" t="str">
        <f t="shared" si="462"/>
        <v/>
      </c>
      <c r="AA1958" s="374" t="b">
        <f t="shared" si="463"/>
        <v>1</v>
      </c>
      <c r="AB1958" s="374">
        <f>COUNTIFS(B:B,B1958,H:H,'סיווג התפקידים והעלויות'!$C$2)</f>
        <v>0</v>
      </c>
      <c r="AC1958" s="374">
        <f>COUNTIFS(B:B,B1958,H:H,'סיווג התפקידים והעלויות'!$D$2)</f>
        <v>0</v>
      </c>
      <c r="AD1958" s="374" t="str">
        <f>IF(OR(AND(H1958='סיווג התפקידים והעלויות'!$A$2,I1958='סיווג התפקידים והעלויות'!$A$3),'עלויות כח אדם (6)'!H1958='סיווג התפקידים והעלויות'!$C$2,'עלויות כח אדם (6)'!H1958='סיווג התפקידים והעלויות'!$D$2),IF('עלויות כח אדם (6)'!J1958&lt;75,"לא תקין","תקין"),"")</f>
        <v/>
      </c>
      <c r="AE1958" s="374" t="str">
        <f t="shared" si="464"/>
        <v/>
      </c>
      <c r="AF1958" s="532" t="str">
        <f t="shared" si="465"/>
        <v/>
      </c>
    </row>
    <row r="1959" spans="2:32" x14ac:dyDescent="0.25">
      <c r="B1959" s="695"/>
      <c r="C1959" s="197" t="str">
        <f>IF(B1959&lt;&gt;"",IFERROR(VLOOKUP(B:B,'מצבת והרשמה (2)'!$C$20:$N$520,2,0)," ")," ")</f>
        <v xml:space="preserve"> </v>
      </c>
      <c r="D1959" s="695"/>
      <c r="E1959" s="696"/>
      <c r="F1959" s="696"/>
      <c r="G1959" s="696"/>
      <c r="H1959" s="696"/>
      <c r="I1959" s="1050" t="str">
        <f t="shared" si="452"/>
        <v/>
      </c>
      <c r="J1959" s="696"/>
      <c r="K1959" s="697"/>
      <c r="L1959" s="696"/>
      <c r="M1959" s="198" t="str">
        <f t="shared" si="453"/>
        <v/>
      </c>
      <c r="N1959" s="369" t="str">
        <f t="shared" si="454"/>
        <v/>
      </c>
      <c r="O1959" s="183" t="str">
        <f t="shared" si="455"/>
        <v/>
      </c>
      <c r="P1959" s="199" t="str">
        <f t="shared" si="456"/>
        <v/>
      </c>
      <c r="Q1959" s="199" t="str">
        <f>IF(B1959="","",IFERROR(IF('עלויות כח אדם (6)'!J1959&gt;=VLOOKUP(I1959,'סיווג התפקידים והעלויות'!$B$23:$C$32,2,0),"תקין","לא תקין"),""))</f>
        <v/>
      </c>
      <c r="R1959" s="199" t="str">
        <f t="shared" si="457"/>
        <v/>
      </c>
      <c r="S1959" s="199" t="str">
        <f t="shared" si="458"/>
        <v/>
      </c>
      <c r="T1959" s="199" t="str">
        <f t="shared" si="466"/>
        <v/>
      </c>
      <c r="U1959" s="199" t="str">
        <f t="shared" si="459"/>
        <v/>
      </c>
      <c r="V1959" s="989"/>
      <c r="X1959" s="374" t="str">
        <f t="shared" si="460"/>
        <v/>
      </c>
      <c r="Y1959" s="375" t="str">
        <f t="shared" si="461"/>
        <v/>
      </c>
      <c r="Z1959" s="374" t="str">
        <f t="shared" si="462"/>
        <v/>
      </c>
      <c r="AA1959" s="374" t="b">
        <f t="shared" si="463"/>
        <v>1</v>
      </c>
      <c r="AB1959" s="374">
        <f>COUNTIFS(B:B,B1959,H:H,'סיווג התפקידים והעלויות'!$C$2)</f>
        <v>0</v>
      </c>
      <c r="AC1959" s="374">
        <f>COUNTIFS(B:B,B1959,H:H,'סיווג התפקידים והעלויות'!$D$2)</f>
        <v>0</v>
      </c>
      <c r="AD1959" s="374" t="str">
        <f>IF(OR(AND(H1959='סיווג התפקידים והעלויות'!$A$2,I1959='סיווג התפקידים והעלויות'!$A$3),'עלויות כח אדם (6)'!H1959='סיווג התפקידים והעלויות'!$C$2,'עלויות כח אדם (6)'!H1959='סיווג התפקידים והעלויות'!$D$2),IF('עלויות כח אדם (6)'!J1959&lt;75,"לא תקין","תקין"),"")</f>
        <v/>
      </c>
      <c r="AE1959" s="374" t="str">
        <f t="shared" si="464"/>
        <v/>
      </c>
      <c r="AF1959" s="532" t="str">
        <f t="shared" si="465"/>
        <v/>
      </c>
    </row>
    <row r="1960" spans="2:32" x14ac:dyDescent="0.25">
      <c r="B1960" s="695"/>
      <c r="C1960" s="197" t="str">
        <f>IF(B1960&lt;&gt;"",IFERROR(VLOOKUP(B:B,'מצבת והרשמה (2)'!$C$20:$N$520,2,0)," ")," ")</f>
        <v xml:space="preserve"> </v>
      </c>
      <c r="D1960" s="695"/>
      <c r="E1960" s="696"/>
      <c r="F1960" s="696"/>
      <c r="G1960" s="696"/>
      <c r="H1960" s="696"/>
      <c r="I1960" s="1050" t="str">
        <f t="shared" si="452"/>
        <v/>
      </c>
      <c r="J1960" s="696"/>
      <c r="K1960" s="697"/>
      <c r="L1960" s="696"/>
      <c r="M1960" s="198" t="str">
        <f t="shared" si="453"/>
        <v/>
      </c>
      <c r="N1960" s="369" t="str">
        <f t="shared" si="454"/>
        <v/>
      </c>
      <c r="O1960" s="183" t="str">
        <f t="shared" si="455"/>
        <v/>
      </c>
      <c r="P1960" s="199" t="str">
        <f t="shared" si="456"/>
        <v/>
      </c>
      <c r="Q1960" s="199" t="str">
        <f>IF(B1960="","",IFERROR(IF('עלויות כח אדם (6)'!J1960&gt;=VLOOKUP(I1960,'סיווג התפקידים והעלויות'!$B$23:$C$32,2,0),"תקין","לא תקין"),""))</f>
        <v/>
      </c>
      <c r="R1960" s="199" t="str">
        <f t="shared" si="457"/>
        <v/>
      </c>
      <c r="S1960" s="199" t="str">
        <f t="shared" si="458"/>
        <v/>
      </c>
      <c r="T1960" s="199" t="str">
        <f t="shared" si="466"/>
        <v/>
      </c>
      <c r="U1960" s="199" t="str">
        <f t="shared" si="459"/>
        <v/>
      </c>
      <c r="V1960" s="989"/>
      <c r="X1960" s="374" t="str">
        <f t="shared" si="460"/>
        <v/>
      </c>
      <c r="Y1960" s="375" t="str">
        <f t="shared" si="461"/>
        <v/>
      </c>
      <c r="Z1960" s="374" t="str">
        <f t="shared" si="462"/>
        <v/>
      </c>
      <c r="AA1960" s="374" t="b">
        <f t="shared" si="463"/>
        <v>1</v>
      </c>
      <c r="AB1960" s="374">
        <f>COUNTIFS(B:B,B1960,H:H,'סיווג התפקידים והעלויות'!$C$2)</f>
        <v>0</v>
      </c>
      <c r="AC1960" s="374">
        <f>COUNTIFS(B:B,B1960,H:H,'סיווג התפקידים והעלויות'!$D$2)</f>
        <v>0</v>
      </c>
      <c r="AD1960" s="374" t="str">
        <f>IF(OR(AND(H1960='סיווג התפקידים והעלויות'!$A$2,I1960='סיווג התפקידים והעלויות'!$A$3),'עלויות כח אדם (6)'!H1960='סיווג התפקידים והעלויות'!$C$2,'עלויות כח אדם (6)'!H1960='סיווג התפקידים והעלויות'!$D$2),IF('עלויות כח אדם (6)'!J1960&lt;75,"לא תקין","תקין"),"")</f>
        <v/>
      </c>
      <c r="AE1960" s="374" t="str">
        <f t="shared" si="464"/>
        <v/>
      </c>
      <c r="AF1960" s="532" t="str">
        <f t="shared" si="465"/>
        <v/>
      </c>
    </row>
    <row r="1961" spans="2:32" x14ac:dyDescent="0.25">
      <c r="B1961" s="695"/>
      <c r="C1961" s="197" t="str">
        <f>IF(B1961&lt;&gt;"",IFERROR(VLOOKUP(B:B,'מצבת והרשמה (2)'!$C$20:$N$520,2,0)," ")," ")</f>
        <v xml:space="preserve"> </v>
      </c>
      <c r="D1961" s="695"/>
      <c r="E1961" s="696"/>
      <c r="F1961" s="696"/>
      <c r="G1961" s="696"/>
      <c r="H1961" s="696"/>
      <c r="I1961" s="1050" t="str">
        <f t="shared" si="452"/>
        <v/>
      </c>
      <c r="J1961" s="696"/>
      <c r="K1961" s="697"/>
      <c r="L1961" s="696"/>
      <c r="M1961" s="198" t="str">
        <f t="shared" si="453"/>
        <v/>
      </c>
      <c r="N1961" s="369" t="str">
        <f t="shared" si="454"/>
        <v/>
      </c>
      <c r="O1961" s="183" t="str">
        <f t="shared" si="455"/>
        <v/>
      </c>
      <c r="P1961" s="199" t="str">
        <f t="shared" si="456"/>
        <v/>
      </c>
      <c r="Q1961" s="199" t="str">
        <f>IF(B1961="","",IFERROR(IF('עלויות כח אדם (6)'!J1961&gt;=VLOOKUP(I1961,'סיווג התפקידים והעלויות'!$B$23:$C$32,2,0),"תקין","לא תקין"),""))</f>
        <v/>
      </c>
      <c r="R1961" s="199" t="str">
        <f t="shared" si="457"/>
        <v/>
      </c>
      <c r="S1961" s="199" t="str">
        <f t="shared" si="458"/>
        <v/>
      </c>
      <c r="T1961" s="199" t="str">
        <f t="shared" si="466"/>
        <v/>
      </c>
      <c r="U1961" s="199" t="str">
        <f t="shared" si="459"/>
        <v/>
      </c>
      <c r="V1961" s="989"/>
      <c r="X1961" s="374" t="str">
        <f t="shared" si="460"/>
        <v/>
      </c>
      <c r="Y1961" s="375" t="str">
        <f t="shared" si="461"/>
        <v/>
      </c>
      <c r="Z1961" s="374" t="str">
        <f t="shared" si="462"/>
        <v/>
      </c>
      <c r="AA1961" s="374" t="b">
        <f t="shared" si="463"/>
        <v>1</v>
      </c>
      <c r="AB1961" s="374">
        <f>COUNTIFS(B:B,B1961,H:H,'סיווג התפקידים והעלויות'!$C$2)</f>
        <v>0</v>
      </c>
      <c r="AC1961" s="374">
        <f>COUNTIFS(B:B,B1961,H:H,'סיווג התפקידים והעלויות'!$D$2)</f>
        <v>0</v>
      </c>
      <c r="AD1961" s="374" t="str">
        <f>IF(OR(AND(H1961='סיווג התפקידים והעלויות'!$A$2,I1961='סיווג התפקידים והעלויות'!$A$3),'עלויות כח אדם (6)'!H1961='סיווג התפקידים והעלויות'!$C$2,'עלויות כח אדם (6)'!H1961='סיווג התפקידים והעלויות'!$D$2),IF('עלויות כח אדם (6)'!J1961&lt;75,"לא תקין","תקין"),"")</f>
        <v/>
      </c>
      <c r="AE1961" s="374" t="str">
        <f t="shared" si="464"/>
        <v/>
      </c>
      <c r="AF1961" s="532" t="str">
        <f t="shared" si="465"/>
        <v/>
      </c>
    </row>
    <row r="1962" spans="2:32" x14ac:dyDescent="0.25">
      <c r="B1962" s="695"/>
      <c r="C1962" s="197" t="str">
        <f>IF(B1962&lt;&gt;"",IFERROR(VLOOKUP(B:B,'מצבת והרשמה (2)'!$C$20:$N$520,2,0)," ")," ")</f>
        <v xml:space="preserve"> </v>
      </c>
      <c r="D1962" s="695"/>
      <c r="E1962" s="696"/>
      <c r="F1962" s="696"/>
      <c r="G1962" s="696"/>
      <c r="H1962" s="696"/>
      <c r="I1962" s="1050" t="str">
        <f t="shared" si="452"/>
        <v/>
      </c>
      <c r="J1962" s="696"/>
      <c r="K1962" s="697"/>
      <c r="L1962" s="696"/>
      <c r="M1962" s="198" t="str">
        <f t="shared" si="453"/>
        <v/>
      </c>
      <c r="N1962" s="369" t="str">
        <f t="shared" si="454"/>
        <v/>
      </c>
      <c r="O1962" s="183" t="str">
        <f t="shared" si="455"/>
        <v/>
      </c>
      <c r="P1962" s="199" t="str">
        <f t="shared" si="456"/>
        <v/>
      </c>
      <c r="Q1962" s="199" t="str">
        <f>IF(B1962="","",IFERROR(IF('עלויות כח אדם (6)'!J1962&gt;=VLOOKUP(I1962,'סיווג התפקידים והעלויות'!$B$23:$C$32,2,0),"תקין","לא תקין"),""))</f>
        <v/>
      </c>
      <c r="R1962" s="199" t="str">
        <f t="shared" si="457"/>
        <v/>
      </c>
      <c r="S1962" s="199" t="str">
        <f t="shared" si="458"/>
        <v/>
      </c>
      <c r="T1962" s="199" t="str">
        <f t="shared" si="466"/>
        <v/>
      </c>
      <c r="U1962" s="199" t="str">
        <f t="shared" si="459"/>
        <v/>
      </c>
      <c r="V1962" s="989"/>
      <c r="X1962" s="374" t="str">
        <f t="shared" si="460"/>
        <v/>
      </c>
      <c r="Y1962" s="375" t="str">
        <f t="shared" si="461"/>
        <v/>
      </c>
      <c r="Z1962" s="374" t="str">
        <f t="shared" si="462"/>
        <v/>
      </c>
      <c r="AA1962" s="374" t="b">
        <f t="shared" si="463"/>
        <v>1</v>
      </c>
      <c r="AB1962" s="374">
        <f>COUNTIFS(B:B,B1962,H:H,'סיווג התפקידים והעלויות'!$C$2)</f>
        <v>0</v>
      </c>
      <c r="AC1962" s="374">
        <f>COUNTIFS(B:B,B1962,H:H,'סיווג התפקידים והעלויות'!$D$2)</f>
        <v>0</v>
      </c>
      <c r="AD1962" s="374" t="str">
        <f>IF(OR(AND(H1962='סיווג התפקידים והעלויות'!$A$2,I1962='סיווג התפקידים והעלויות'!$A$3),'עלויות כח אדם (6)'!H1962='סיווג התפקידים והעלויות'!$C$2,'עלויות כח אדם (6)'!H1962='סיווג התפקידים והעלויות'!$D$2),IF('עלויות כח אדם (6)'!J1962&lt;75,"לא תקין","תקין"),"")</f>
        <v/>
      </c>
      <c r="AE1962" s="374" t="str">
        <f t="shared" si="464"/>
        <v/>
      </c>
      <c r="AF1962" s="532" t="str">
        <f t="shared" si="465"/>
        <v/>
      </c>
    </row>
    <row r="1963" spans="2:32" x14ac:dyDescent="0.25">
      <c r="B1963" s="695"/>
      <c r="C1963" s="197" t="str">
        <f>IF(B1963&lt;&gt;"",IFERROR(VLOOKUP(B:B,'מצבת והרשמה (2)'!$C$20:$N$520,2,0)," ")," ")</f>
        <v xml:space="preserve"> </v>
      </c>
      <c r="D1963" s="695"/>
      <c r="E1963" s="696"/>
      <c r="F1963" s="696"/>
      <c r="G1963" s="696"/>
      <c r="H1963" s="696"/>
      <c r="I1963" s="1050" t="str">
        <f t="shared" si="452"/>
        <v/>
      </c>
      <c r="J1963" s="696"/>
      <c r="K1963" s="697"/>
      <c r="L1963" s="696"/>
      <c r="M1963" s="198" t="str">
        <f t="shared" si="453"/>
        <v/>
      </c>
      <c r="N1963" s="369" t="str">
        <f t="shared" si="454"/>
        <v/>
      </c>
      <c r="O1963" s="183" t="str">
        <f t="shared" si="455"/>
        <v/>
      </c>
      <c r="P1963" s="199" t="str">
        <f t="shared" si="456"/>
        <v/>
      </c>
      <c r="Q1963" s="199" t="str">
        <f>IF(B1963="","",IFERROR(IF('עלויות כח אדם (6)'!J1963&gt;=VLOOKUP(I1963,'סיווג התפקידים והעלויות'!$B$23:$C$32,2,0),"תקין","לא תקין"),""))</f>
        <v/>
      </c>
      <c r="R1963" s="199" t="str">
        <f t="shared" si="457"/>
        <v/>
      </c>
      <c r="S1963" s="199" t="str">
        <f t="shared" si="458"/>
        <v/>
      </c>
      <c r="T1963" s="199" t="str">
        <f t="shared" si="466"/>
        <v/>
      </c>
      <c r="U1963" s="199" t="str">
        <f t="shared" si="459"/>
        <v/>
      </c>
      <c r="V1963" s="989"/>
      <c r="X1963" s="374" t="str">
        <f t="shared" si="460"/>
        <v/>
      </c>
      <c r="Y1963" s="375" t="str">
        <f t="shared" si="461"/>
        <v/>
      </c>
      <c r="Z1963" s="374" t="str">
        <f t="shared" si="462"/>
        <v/>
      </c>
      <c r="AA1963" s="374" t="b">
        <f t="shared" si="463"/>
        <v>1</v>
      </c>
      <c r="AB1963" s="374">
        <f>COUNTIFS(B:B,B1963,H:H,'סיווג התפקידים והעלויות'!$C$2)</f>
        <v>0</v>
      </c>
      <c r="AC1963" s="374">
        <f>COUNTIFS(B:B,B1963,H:H,'סיווג התפקידים והעלויות'!$D$2)</f>
        <v>0</v>
      </c>
      <c r="AD1963" s="374" t="str">
        <f>IF(OR(AND(H1963='סיווג התפקידים והעלויות'!$A$2,I1963='סיווג התפקידים והעלויות'!$A$3),'עלויות כח אדם (6)'!H1963='סיווג התפקידים והעלויות'!$C$2,'עלויות כח אדם (6)'!H1963='סיווג התפקידים והעלויות'!$D$2),IF('עלויות כח אדם (6)'!J1963&lt;75,"לא תקין","תקין"),"")</f>
        <v/>
      </c>
      <c r="AE1963" s="374" t="str">
        <f t="shared" si="464"/>
        <v/>
      </c>
      <c r="AF1963" s="532" t="str">
        <f t="shared" si="465"/>
        <v/>
      </c>
    </row>
    <row r="1964" spans="2:32" x14ac:dyDescent="0.25">
      <c r="B1964" s="695"/>
      <c r="C1964" s="197" t="str">
        <f>IF(B1964&lt;&gt;"",IFERROR(VLOOKUP(B:B,'מצבת והרשמה (2)'!$C$20:$N$520,2,0)," ")," ")</f>
        <v xml:space="preserve"> </v>
      </c>
      <c r="D1964" s="695"/>
      <c r="E1964" s="696"/>
      <c r="F1964" s="696"/>
      <c r="G1964" s="696"/>
      <c r="H1964" s="696"/>
      <c r="I1964" s="1050" t="str">
        <f t="shared" si="452"/>
        <v/>
      </c>
      <c r="J1964" s="696"/>
      <c r="K1964" s="697"/>
      <c r="L1964" s="696"/>
      <c r="M1964" s="198" t="str">
        <f t="shared" si="453"/>
        <v/>
      </c>
      <c r="N1964" s="369" t="str">
        <f t="shared" si="454"/>
        <v/>
      </c>
      <c r="O1964" s="183" t="str">
        <f t="shared" si="455"/>
        <v/>
      </c>
      <c r="P1964" s="199" t="str">
        <f t="shared" si="456"/>
        <v/>
      </c>
      <c r="Q1964" s="199" t="str">
        <f>IF(B1964="","",IFERROR(IF('עלויות כח אדם (6)'!J1964&gt;=VLOOKUP(I1964,'סיווג התפקידים והעלויות'!$B$23:$C$32,2,0),"תקין","לא תקין"),""))</f>
        <v/>
      </c>
      <c r="R1964" s="199" t="str">
        <f t="shared" si="457"/>
        <v/>
      </c>
      <c r="S1964" s="199" t="str">
        <f t="shared" si="458"/>
        <v/>
      </c>
      <c r="T1964" s="199" t="str">
        <f t="shared" si="466"/>
        <v/>
      </c>
      <c r="U1964" s="199" t="str">
        <f t="shared" si="459"/>
        <v/>
      </c>
      <c r="V1964" s="989"/>
      <c r="X1964" s="374" t="str">
        <f t="shared" si="460"/>
        <v/>
      </c>
      <c r="Y1964" s="375" t="str">
        <f t="shared" si="461"/>
        <v/>
      </c>
      <c r="Z1964" s="374" t="str">
        <f t="shared" si="462"/>
        <v/>
      </c>
      <c r="AA1964" s="374" t="b">
        <f t="shared" si="463"/>
        <v>1</v>
      </c>
      <c r="AB1964" s="374">
        <f>COUNTIFS(B:B,B1964,H:H,'סיווג התפקידים והעלויות'!$C$2)</f>
        <v>0</v>
      </c>
      <c r="AC1964" s="374">
        <f>COUNTIFS(B:B,B1964,H:H,'סיווג התפקידים והעלויות'!$D$2)</f>
        <v>0</v>
      </c>
      <c r="AD1964" s="374" t="str">
        <f>IF(OR(AND(H1964='סיווג התפקידים והעלויות'!$A$2,I1964='סיווג התפקידים והעלויות'!$A$3),'עלויות כח אדם (6)'!H1964='סיווג התפקידים והעלויות'!$C$2,'עלויות כח אדם (6)'!H1964='סיווג התפקידים והעלויות'!$D$2),IF('עלויות כח אדם (6)'!J1964&lt;75,"לא תקין","תקין"),"")</f>
        <v/>
      </c>
      <c r="AE1964" s="374" t="str">
        <f t="shared" si="464"/>
        <v/>
      </c>
      <c r="AF1964" s="532" t="str">
        <f t="shared" si="465"/>
        <v/>
      </c>
    </row>
    <row r="1965" spans="2:32" x14ac:dyDescent="0.25">
      <c r="B1965" s="695"/>
      <c r="C1965" s="197" t="str">
        <f>IF(B1965&lt;&gt;"",IFERROR(VLOOKUP(B:B,'מצבת והרשמה (2)'!$C$20:$N$520,2,0)," ")," ")</f>
        <v xml:space="preserve"> </v>
      </c>
      <c r="D1965" s="695"/>
      <c r="E1965" s="696"/>
      <c r="F1965" s="696"/>
      <c r="G1965" s="696"/>
      <c r="H1965" s="696"/>
      <c r="I1965" s="1050" t="str">
        <f t="shared" si="452"/>
        <v/>
      </c>
      <c r="J1965" s="696"/>
      <c r="K1965" s="697"/>
      <c r="L1965" s="696"/>
      <c r="M1965" s="198" t="str">
        <f t="shared" si="453"/>
        <v/>
      </c>
      <c r="N1965" s="369" t="str">
        <f t="shared" si="454"/>
        <v/>
      </c>
      <c r="O1965" s="183" t="str">
        <f t="shared" si="455"/>
        <v/>
      </c>
      <c r="P1965" s="199" t="str">
        <f t="shared" si="456"/>
        <v/>
      </c>
      <c r="Q1965" s="199" t="str">
        <f>IF(B1965="","",IFERROR(IF('עלויות כח אדם (6)'!J1965&gt;=VLOOKUP(I1965,'סיווג התפקידים והעלויות'!$B$23:$C$32,2,0),"תקין","לא תקין"),""))</f>
        <v/>
      </c>
      <c r="R1965" s="199" t="str">
        <f t="shared" si="457"/>
        <v/>
      </c>
      <c r="S1965" s="199" t="str">
        <f t="shared" si="458"/>
        <v/>
      </c>
      <c r="T1965" s="199" t="str">
        <f t="shared" si="466"/>
        <v/>
      </c>
      <c r="U1965" s="199" t="str">
        <f t="shared" si="459"/>
        <v/>
      </c>
      <c r="V1965" s="989"/>
      <c r="X1965" s="374" t="str">
        <f t="shared" si="460"/>
        <v/>
      </c>
      <c r="Y1965" s="375" t="str">
        <f t="shared" si="461"/>
        <v/>
      </c>
      <c r="Z1965" s="374" t="str">
        <f t="shared" si="462"/>
        <v/>
      </c>
      <c r="AA1965" s="374" t="b">
        <f t="shared" si="463"/>
        <v>1</v>
      </c>
      <c r="AB1965" s="374">
        <f>COUNTIFS(B:B,B1965,H:H,'סיווג התפקידים והעלויות'!$C$2)</f>
        <v>0</v>
      </c>
      <c r="AC1965" s="374">
        <f>COUNTIFS(B:B,B1965,H:H,'סיווג התפקידים והעלויות'!$D$2)</f>
        <v>0</v>
      </c>
      <c r="AD1965" s="374" t="str">
        <f>IF(OR(AND(H1965='סיווג התפקידים והעלויות'!$A$2,I1965='סיווג התפקידים והעלויות'!$A$3),'עלויות כח אדם (6)'!H1965='סיווג התפקידים והעלויות'!$C$2,'עלויות כח אדם (6)'!H1965='סיווג התפקידים והעלויות'!$D$2),IF('עלויות כח אדם (6)'!J1965&lt;75,"לא תקין","תקין"),"")</f>
        <v/>
      </c>
      <c r="AE1965" s="374" t="str">
        <f t="shared" si="464"/>
        <v/>
      </c>
      <c r="AF1965" s="532" t="str">
        <f t="shared" si="465"/>
        <v/>
      </c>
    </row>
    <row r="1966" spans="2:32" x14ac:dyDescent="0.25">
      <c r="B1966" s="695"/>
      <c r="C1966" s="197" t="str">
        <f>IF(B1966&lt;&gt;"",IFERROR(VLOOKUP(B:B,'מצבת והרשמה (2)'!$C$20:$N$520,2,0)," ")," ")</f>
        <v xml:space="preserve"> </v>
      </c>
      <c r="D1966" s="695"/>
      <c r="E1966" s="696"/>
      <c r="F1966" s="696"/>
      <c r="G1966" s="696"/>
      <c r="H1966" s="696"/>
      <c r="I1966" s="1050" t="str">
        <f t="shared" si="452"/>
        <v/>
      </c>
      <c r="J1966" s="696"/>
      <c r="K1966" s="697"/>
      <c r="L1966" s="696"/>
      <c r="M1966" s="198" t="str">
        <f t="shared" si="453"/>
        <v/>
      </c>
      <c r="N1966" s="369" t="str">
        <f t="shared" si="454"/>
        <v/>
      </c>
      <c r="O1966" s="183" t="str">
        <f t="shared" si="455"/>
        <v/>
      </c>
      <c r="P1966" s="199" t="str">
        <f t="shared" si="456"/>
        <v/>
      </c>
      <c r="Q1966" s="199" t="str">
        <f>IF(B1966="","",IFERROR(IF('עלויות כח אדם (6)'!J1966&gt;=VLOOKUP(I1966,'סיווג התפקידים והעלויות'!$B$23:$C$32,2,0),"תקין","לא תקין"),""))</f>
        <v/>
      </c>
      <c r="R1966" s="199" t="str">
        <f t="shared" si="457"/>
        <v/>
      </c>
      <c r="S1966" s="199" t="str">
        <f t="shared" si="458"/>
        <v/>
      </c>
      <c r="T1966" s="199" t="str">
        <f t="shared" si="466"/>
        <v/>
      </c>
      <c r="U1966" s="199" t="str">
        <f t="shared" si="459"/>
        <v/>
      </c>
      <c r="V1966" s="989"/>
      <c r="X1966" s="374" t="str">
        <f t="shared" si="460"/>
        <v/>
      </c>
      <c r="Y1966" s="375" t="str">
        <f t="shared" si="461"/>
        <v/>
      </c>
      <c r="Z1966" s="374" t="str">
        <f t="shared" si="462"/>
        <v/>
      </c>
      <c r="AA1966" s="374" t="b">
        <f t="shared" si="463"/>
        <v>1</v>
      </c>
      <c r="AB1966" s="374">
        <f>COUNTIFS(B:B,B1966,H:H,'סיווג התפקידים והעלויות'!$C$2)</f>
        <v>0</v>
      </c>
      <c r="AC1966" s="374">
        <f>COUNTIFS(B:B,B1966,H:H,'סיווג התפקידים והעלויות'!$D$2)</f>
        <v>0</v>
      </c>
      <c r="AD1966" s="374" t="str">
        <f>IF(OR(AND(H1966='סיווג התפקידים והעלויות'!$A$2,I1966='סיווג התפקידים והעלויות'!$A$3),'עלויות כח אדם (6)'!H1966='סיווג התפקידים והעלויות'!$C$2,'עלויות כח אדם (6)'!H1966='סיווג התפקידים והעלויות'!$D$2),IF('עלויות כח אדם (6)'!J1966&lt;75,"לא תקין","תקין"),"")</f>
        <v/>
      </c>
      <c r="AE1966" s="374" t="str">
        <f t="shared" si="464"/>
        <v/>
      </c>
      <c r="AF1966" s="532" t="str">
        <f t="shared" si="465"/>
        <v/>
      </c>
    </row>
    <row r="1967" spans="2:32" x14ac:dyDescent="0.25">
      <c r="B1967" s="695"/>
      <c r="C1967" s="197" t="str">
        <f>IF(B1967&lt;&gt;"",IFERROR(VLOOKUP(B:B,'מצבת והרשמה (2)'!$C$20:$N$520,2,0)," ")," ")</f>
        <v xml:space="preserve"> </v>
      </c>
      <c r="D1967" s="695"/>
      <c r="E1967" s="696"/>
      <c r="F1967" s="696"/>
      <c r="G1967" s="696"/>
      <c r="H1967" s="696"/>
      <c r="I1967" s="1050" t="str">
        <f t="shared" si="452"/>
        <v/>
      </c>
      <c r="J1967" s="696"/>
      <c r="K1967" s="697"/>
      <c r="L1967" s="696"/>
      <c r="M1967" s="198" t="str">
        <f t="shared" si="453"/>
        <v/>
      </c>
      <c r="N1967" s="369" t="str">
        <f t="shared" si="454"/>
        <v/>
      </c>
      <c r="O1967" s="183" t="str">
        <f t="shared" si="455"/>
        <v/>
      </c>
      <c r="P1967" s="199" t="str">
        <f t="shared" si="456"/>
        <v/>
      </c>
      <c r="Q1967" s="199" t="str">
        <f>IF(B1967="","",IFERROR(IF('עלויות כח אדם (6)'!J1967&gt;=VLOOKUP(I1967,'סיווג התפקידים והעלויות'!$B$23:$C$32,2,0),"תקין","לא תקין"),""))</f>
        <v/>
      </c>
      <c r="R1967" s="199" t="str">
        <f t="shared" si="457"/>
        <v/>
      </c>
      <c r="S1967" s="199" t="str">
        <f t="shared" si="458"/>
        <v/>
      </c>
      <c r="T1967" s="199" t="str">
        <f t="shared" si="466"/>
        <v/>
      </c>
      <c r="U1967" s="199" t="str">
        <f t="shared" si="459"/>
        <v/>
      </c>
      <c r="V1967" s="989"/>
      <c r="X1967" s="374" t="str">
        <f t="shared" si="460"/>
        <v/>
      </c>
      <c r="Y1967" s="375" t="str">
        <f t="shared" si="461"/>
        <v/>
      </c>
      <c r="Z1967" s="374" t="str">
        <f t="shared" si="462"/>
        <v/>
      </c>
      <c r="AA1967" s="374" t="b">
        <f t="shared" si="463"/>
        <v>1</v>
      </c>
      <c r="AB1967" s="374">
        <f>COUNTIFS(B:B,B1967,H:H,'סיווג התפקידים והעלויות'!$C$2)</f>
        <v>0</v>
      </c>
      <c r="AC1967" s="374">
        <f>COUNTIFS(B:B,B1967,H:H,'סיווג התפקידים והעלויות'!$D$2)</f>
        <v>0</v>
      </c>
      <c r="AD1967" s="374" t="str">
        <f>IF(OR(AND(H1967='סיווג התפקידים והעלויות'!$A$2,I1967='סיווג התפקידים והעלויות'!$A$3),'עלויות כח אדם (6)'!H1967='סיווג התפקידים והעלויות'!$C$2,'עלויות כח אדם (6)'!H1967='סיווג התפקידים והעלויות'!$D$2),IF('עלויות כח אדם (6)'!J1967&lt;75,"לא תקין","תקין"),"")</f>
        <v/>
      </c>
      <c r="AE1967" s="374" t="str">
        <f t="shared" si="464"/>
        <v/>
      </c>
      <c r="AF1967" s="532" t="str">
        <f t="shared" si="465"/>
        <v/>
      </c>
    </row>
    <row r="1968" spans="2:32" x14ac:dyDescent="0.25">
      <c r="B1968" s="695"/>
      <c r="C1968" s="197" t="str">
        <f>IF(B1968&lt;&gt;"",IFERROR(VLOOKUP(B:B,'מצבת והרשמה (2)'!$C$20:$N$520,2,0)," ")," ")</f>
        <v xml:space="preserve"> </v>
      </c>
      <c r="D1968" s="695"/>
      <c r="E1968" s="696"/>
      <c r="F1968" s="696"/>
      <c r="G1968" s="696"/>
      <c r="H1968" s="696"/>
      <c r="I1968" s="1050" t="str">
        <f t="shared" si="452"/>
        <v/>
      </c>
      <c r="J1968" s="696"/>
      <c r="K1968" s="697"/>
      <c r="L1968" s="696"/>
      <c r="M1968" s="198" t="str">
        <f t="shared" si="453"/>
        <v/>
      </c>
      <c r="N1968" s="369" t="str">
        <f t="shared" si="454"/>
        <v/>
      </c>
      <c r="O1968" s="183" t="str">
        <f t="shared" si="455"/>
        <v/>
      </c>
      <c r="P1968" s="199" t="str">
        <f t="shared" si="456"/>
        <v/>
      </c>
      <c r="Q1968" s="199" t="str">
        <f>IF(B1968="","",IFERROR(IF('עלויות כח אדם (6)'!J1968&gt;=VLOOKUP(I1968,'סיווג התפקידים והעלויות'!$B$23:$C$32,2,0),"תקין","לא תקין"),""))</f>
        <v/>
      </c>
      <c r="R1968" s="199" t="str">
        <f t="shared" si="457"/>
        <v/>
      </c>
      <c r="S1968" s="199" t="str">
        <f t="shared" si="458"/>
        <v/>
      </c>
      <c r="T1968" s="199" t="str">
        <f t="shared" si="466"/>
        <v/>
      </c>
      <c r="U1968" s="199" t="str">
        <f t="shared" si="459"/>
        <v/>
      </c>
      <c r="V1968" s="989"/>
      <c r="X1968" s="374" t="str">
        <f t="shared" si="460"/>
        <v/>
      </c>
      <c r="Y1968" s="375" t="str">
        <f t="shared" si="461"/>
        <v/>
      </c>
      <c r="Z1968" s="374" t="str">
        <f t="shared" si="462"/>
        <v/>
      </c>
      <c r="AA1968" s="374" t="b">
        <f t="shared" si="463"/>
        <v>1</v>
      </c>
      <c r="AB1968" s="374">
        <f>COUNTIFS(B:B,B1968,H:H,'סיווג התפקידים והעלויות'!$C$2)</f>
        <v>0</v>
      </c>
      <c r="AC1968" s="374">
        <f>COUNTIFS(B:B,B1968,H:H,'סיווג התפקידים והעלויות'!$D$2)</f>
        <v>0</v>
      </c>
      <c r="AD1968" s="374" t="str">
        <f>IF(OR(AND(H1968='סיווג התפקידים והעלויות'!$A$2,I1968='סיווג התפקידים והעלויות'!$A$3),'עלויות כח אדם (6)'!H1968='סיווג התפקידים והעלויות'!$C$2,'עלויות כח אדם (6)'!H1968='סיווג התפקידים והעלויות'!$D$2),IF('עלויות כח אדם (6)'!J1968&lt;75,"לא תקין","תקין"),"")</f>
        <v/>
      </c>
      <c r="AE1968" s="374" t="str">
        <f t="shared" si="464"/>
        <v/>
      </c>
      <c r="AF1968" s="532" t="str">
        <f t="shared" si="465"/>
        <v/>
      </c>
    </row>
    <row r="1969" spans="2:32" x14ac:dyDescent="0.25">
      <c r="B1969" s="695"/>
      <c r="C1969" s="197" t="str">
        <f>IF(B1969&lt;&gt;"",IFERROR(VLOOKUP(B:B,'מצבת והרשמה (2)'!$C$20:$N$520,2,0)," ")," ")</f>
        <v xml:space="preserve"> </v>
      </c>
      <c r="D1969" s="695"/>
      <c r="E1969" s="696"/>
      <c r="F1969" s="696"/>
      <c r="G1969" s="696"/>
      <c r="H1969" s="696"/>
      <c r="I1969" s="1050" t="str">
        <f t="shared" si="452"/>
        <v/>
      </c>
      <c r="J1969" s="696"/>
      <c r="K1969" s="697"/>
      <c r="L1969" s="696"/>
      <c r="M1969" s="198" t="str">
        <f t="shared" si="453"/>
        <v/>
      </c>
      <c r="N1969" s="369" t="str">
        <f t="shared" si="454"/>
        <v/>
      </c>
      <c r="O1969" s="183" t="str">
        <f t="shared" si="455"/>
        <v/>
      </c>
      <c r="P1969" s="199" t="str">
        <f t="shared" si="456"/>
        <v/>
      </c>
      <c r="Q1969" s="199" t="str">
        <f>IF(B1969="","",IFERROR(IF('עלויות כח אדם (6)'!J1969&gt;=VLOOKUP(I1969,'סיווג התפקידים והעלויות'!$B$23:$C$32,2,0),"תקין","לא תקין"),""))</f>
        <v/>
      </c>
      <c r="R1969" s="199" t="str">
        <f t="shared" si="457"/>
        <v/>
      </c>
      <c r="S1969" s="199" t="str">
        <f t="shared" si="458"/>
        <v/>
      </c>
      <c r="T1969" s="199" t="str">
        <f t="shared" si="466"/>
        <v/>
      </c>
      <c r="U1969" s="199" t="str">
        <f t="shared" si="459"/>
        <v/>
      </c>
      <c r="V1969" s="989"/>
      <c r="X1969" s="374" t="str">
        <f t="shared" si="460"/>
        <v/>
      </c>
      <c r="Y1969" s="375" t="str">
        <f t="shared" si="461"/>
        <v/>
      </c>
      <c r="Z1969" s="374" t="str">
        <f t="shared" si="462"/>
        <v/>
      </c>
      <c r="AA1969" s="374" t="b">
        <f t="shared" si="463"/>
        <v>1</v>
      </c>
      <c r="AB1969" s="374">
        <f>COUNTIFS(B:B,B1969,H:H,'סיווג התפקידים והעלויות'!$C$2)</f>
        <v>0</v>
      </c>
      <c r="AC1969" s="374">
        <f>COUNTIFS(B:B,B1969,H:H,'סיווג התפקידים והעלויות'!$D$2)</f>
        <v>0</v>
      </c>
      <c r="AD1969" s="374" t="str">
        <f>IF(OR(AND(H1969='סיווג התפקידים והעלויות'!$A$2,I1969='סיווג התפקידים והעלויות'!$A$3),'עלויות כח אדם (6)'!H1969='סיווג התפקידים והעלויות'!$C$2,'עלויות כח אדם (6)'!H1969='סיווג התפקידים והעלויות'!$D$2),IF('עלויות כח אדם (6)'!J1969&lt;75,"לא תקין","תקין"),"")</f>
        <v/>
      </c>
      <c r="AE1969" s="374" t="str">
        <f t="shared" si="464"/>
        <v/>
      </c>
      <c r="AF1969" s="532" t="str">
        <f t="shared" si="465"/>
        <v/>
      </c>
    </row>
    <row r="1970" spans="2:32" x14ac:dyDescent="0.25">
      <c r="B1970" s="695"/>
      <c r="C1970" s="197" t="str">
        <f>IF(B1970&lt;&gt;"",IFERROR(VLOOKUP(B:B,'מצבת והרשמה (2)'!$C$20:$N$520,2,0)," ")," ")</f>
        <v xml:space="preserve"> </v>
      </c>
      <c r="D1970" s="695"/>
      <c r="E1970" s="696"/>
      <c r="F1970" s="696"/>
      <c r="G1970" s="696"/>
      <c r="H1970" s="696"/>
      <c r="I1970" s="1050" t="str">
        <f t="shared" si="452"/>
        <v/>
      </c>
      <c r="J1970" s="696"/>
      <c r="K1970" s="697"/>
      <c r="L1970" s="696"/>
      <c r="M1970" s="198" t="str">
        <f t="shared" si="453"/>
        <v/>
      </c>
      <c r="N1970" s="369" t="str">
        <f t="shared" si="454"/>
        <v/>
      </c>
      <c r="O1970" s="183" t="str">
        <f t="shared" si="455"/>
        <v/>
      </c>
      <c r="P1970" s="199" t="str">
        <f t="shared" si="456"/>
        <v/>
      </c>
      <c r="Q1970" s="199" t="str">
        <f>IF(B1970="","",IFERROR(IF('עלויות כח אדם (6)'!J1970&gt;=VLOOKUP(I1970,'סיווג התפקידים והעלויות'!$B$23:$C$32,2,0),"תקין","לא תקין"),""))</f>
        <v/>
      </c>
      <c r="R1970" s="199" t="str">
        <f t="shared" si="457"/>
        <v/>
      </c>
      <c r="S1970" s="199" t="str">
        <f t="shared" si="458"/>
        <v/>
      </c>
      <c r="T1970" s="199" t="str">
        <f t="shared" si="466"/>
        <v/>
      </c>
      <c r="U1970" s="199" t="str">
        <f t="shared" si="459"/>
        <v/>
      </c>
      <c r="V1970" s="989"/>
      <c r="X1970" s="374" t="str">
        <f t="shared" si="460"/>
        <v/>
      </c>
      <c r="Y1970" s="375" t="str">
        <f t="shared" si="461"/>
        <v/>
      </c>
      <c r="Z1970" s="374" t="str">
        <f t="shared" si="462"/>
        <v/>
      </c>
      <c r="AA1970" s="374" t="b">
        <f t="shared" si="463"/>
        <v>1</v>
      </c>
      <c r="AB1970" s="374">
        <f>COUNTIFS(B:B,B1970,H:H,'סיווג התפקידים והעלויות'!$C$2)</f>
        <v>0</v>
      </c>
      <c r="AC1970" s="374">
        <f>COUNTIFS(B:B,B1970,H:H,'סיווג התפקידים והעלויות'!$D$2)</f>
        <v>0</v>
      </c>
      <c r="AD1970" s="374" t="str">
        <f>IF(OR(AND(H1970='סיווג התפקידים והעלויות'!$A$2,I1970='סיווג התפקידים והעלויות'!$A$3),'עלויות כח אדם (6)'!H1970='סיווג התפקידים והעלויות'!$C$2,'עלויות כח אדם (6)'!H1970='סיווג התפקידים והעלויות'!$D$2),IF('עלויות כח אדם (6)'!J1970&lt;75,"לא תקין","תקין"),"")</f>
        <v/>
      </c>
      <c r="AE1970" s="374" t="str">
        <f t="shared" si="464"/>
        <v/>
      </c>
      <c r="AF1970" s="532" t="str">
        <f t="shared" si="465"/>
        <v/>
      </c>
    </row>
    <row r="1971" spans="2:32" x14ac:dyDescent="0.25">
      <c r="B1971" s="695"/>
      <c r="C1971" s="197" t="str">
        <f>IF(B1971&lt;&gt;"",IFERROR(VLOOKUP(B:B,'מצבת והרשמה (2)'!$C$20:$N$520,2,0)," ")," ")</f>
        <v xml:space="preserve"> </v>
      </c>
      <c r="D1971" s="695"/>
      <c r="E1971" s="696"/>
      <c r="F1971" s="696"/>
      <c r="G1971" s="696"/>
      <c r="H1971" s="696"/>
      <c r="I1971" s="1050" t="str">
        <f t="shared" si="452"/>
        <v/>
      </c>
      <c r="J1971" s="696"/>
      <c r="K1971" s="697"/>
      <c r="L1971" s="696"/>
      <c r="M1971" s="198" t="str">
        <f t="shared" si="453"/>
        <v/>
      </c>
      <c r="N1971" s="369" t="str">
        <f t="shared" si="454"/>
        <v/>
      </c>
      <c r="O1971" s="183" t="str">
        <f t="shared" si="455"/>
        <v/>
      </c>
      <c r="P1971" s="199" t="str">
        <f t="shared" si="456"/>
        <v/>
      </c>
      <c r="Q1971" s="199" t="str">
        <f>IF(B1971="","",IFERROR(IF('עלויות כח אדם (6)'!J1971&gt;=VLOOKUP(I1971,'סיווג התפקידים והעלויות'!$B$23:$C$32,2,0),"תקין","לא תקין"),""))</f>
        <v/>
      </c>
      <c r="R1971" s="199" t="str">
        <f t="shared" si="457"/>
        <v/>
      </c>
      <c r="S1971" s="199" t="str">
        <f t="shared" si="458"/>
        <v/>
      </c>
      <c r="T1971" s="199" t="str">
        <f t="shared" si="466"/>
        <v/>
      </c>
      <c r="U1971" s="199" t="str">
        <f t="shared" si="459"/>
        <v/>
      </c>
      <c r="V1971" s="989"/>
      <c r="X1971" s="374" t="str">
        <f t="shared" si="460"/>
        <v/>
      </c>
      <c r="Y1971" s="375" t="str">
        <f t="shared" si="461"/>
        <v/>
      </c>
      <c r="Z1971" s="374" t="str">
        <f t="shared" si="462"/>
        <v/>
      </c>
      <c r="AA1971" s="374" t="b">
        <f t="shared" si="463"/>
        <v>1</v>
      </c>
      <c r="AB1971" s="374">
        <f>COUNTIFS(B:B,B1971,H:H,'סיווג התפקידים והעלויות'!$C$2)</f>
        <v>0</v>
      </c>
      <c r="AC1971" s="374">
        <f>COUNTIFS(B:B,B1971,H:H,'סיווג התפקידים והעלויות'!$D$2)</f>
        <v>0</v>
      </c>
      <c r="AD1971" s="374" t="str">
        <f>IF(OR(AND(H1971='סיווג התפקידים והעלויות'!$A$2,I1971='סיווג התפקידים והעלויות'!$A$3),'עלויות כח אדם (6)'!H1971='סיווג התפקידים והעלויות'!$C$2,'עלויות כח אדם (6)'!H1971='סיווג התפקידים והעלויות'!$D$2),IF('עלויות כח אדם (6)'!J1971&lt;75,"לא תקין","תקין"),"")</f>
        <v/>
      </c>
      <c r="AE1971" s="374" t="str">
        <f t="shared" si="464"/>
        <v/>
      </c>
      <c r="AF1971" s="532" t="str">
        <f t="shared" si="465"/>
        <v/>
      </c>
    </row>
    <row r="1972" spans="2:32" x14ac:dyDescent="0.25">
      <c r="B1972" s="695"/>
      <c r="C1972" s="197" t="str">
        <f>IF(B1972&lt;&gt;"",IFERROR(VLOOKUP(B:B,'מצבת והרשמה (2)'!$C$20:$N$520,2,0)," ")," ")</f>
        <v xml:space="preserve"> </v>
      </c>
      <c r="D1972" s="695"/>
      <c r="E1972" s="696"/>
      <c r="F1972" s="696"/>
      <c r="G1972" s="696"/>
      <c r="H1972" s="696"/>
      <c r="I1972" s="1050" t="str">
        <f t="shared" si="452"/>
        <v/>
      </c>
      <c r="J1972" s="696"/>
      <c r="K1972" s="697"/>
      <c r="L1972" s="696"/>
      <c r="M1972" s="198" t="str">
        <f t="shared" si="453"/>
        <v/>
      </c>
      <c r="N1972" s="369" t="str">
        <f t="shared" si="454"/>
        <v/>
      </c>
      <c r="O1972" s="183" t="str">
        <f t="shared" si="455"/>
        <v/>
      </c>
      <c r="P1972" s="199" t="str">
        <f t="shared" si="456"/>
        <v/>
      </c>
      <c r="Q1972" s="199" t="str">
        <f>IF(B1972="","",IFERROR(IF('עלויות כח אדם (6)'!J1972&gt;=VLOOKUP(I1972,'סיווג התפקידים והעלויות'!$B$23:$C$32,2,0),"תקין","לא תקין"),""))</f>
        <v/>
      </c>
      <c r="R1972" s="199" t="str">
        <f t="shared" si="457"/>
        <v/>
      </c>
      <c r="S1972" s="199" t="str">
        <f t="shared" si="458"/>
        <v/>
      </c>
      <c r="T1972" s="199" t="str">
        <f t="shared" si="466"/>
        <v/>
      </c>
      <c r="U1972" s="199" t="str">
        <f t="shared" si="459"/>
        <v/>
      </c>
      <c r="V1972" s="989"/>
      <c r="X1972" s="374" t="str">
        <f t="shared" si="460"/>
        <v/>
      </c>
      <c r="Y1972" s="375" t="str">
        <f t="shared" si="461"/>
        <v/>
      </c>
      <c r="Z1972" s="374" t="str">
        <f t="shared" si="462"/>
        <v/>
      </c>
      <c r="AA1972" s="374" t="b">
        <f t="shared" si="463"/>
        <v>1</v>
      </c>
      <c r="AB1972" s="374">
        <f>COUNTIFS(B:B,B1972,H:H,'סיווג התפקידים והעלויות'!$C$2)</f>
        <v>0</v>
      </c>
      <c r="AC1972" s="374">
        <f>COUNTIFS(B:B,B1972,H:H,'סיווג התפקידים והעלויות'!$D$2)</f>
        <v>0</v>
      </c>
      <c r="AD1972" s="374" t="str">
        <f>IF(OR(AND(H1972='סיווג התפקידים והעלויות'!$A$2,I1972='סיווג התפקידים והעלויות'!$A$3),'עלויות כח אדם (6)'!H1972='סיווג התפקידים והעלויות'!$C$2,'עלויות כח אדם (6)'!H1972='סיווג התפקידים והעלויות'!$D$2),IF('עלויות כח אדם (6)'!J1972&lt;75,"לא תקין","תקין"),"")</f>
        <v/>
      </c>
      <c r="AE1972" s="374" t="str">
        <f t="shared" si="464"/>
        <v/>
      </c>
      <c r="AF1972" s="532" t="str">
        <f t="shared" si="465"/>
        <v/>
      </c>
    </row>
    <row r="1973" spans="2:32" x14ac:dyDescent="0.25">
      <c r="B1973" s="695"/>
      <c r="C1973" s="197" t="str">
        <f>IF(B1973&lt;&gt;"",IFERROR(VLOOKUP(B:B,'מצבת והרשמה (2)'!$C$20:$N$520,2,0)," ")," ")</f>
        <v xml:space="preserve"> </v>
      </c>
      <c r="D1973" s="695"/>
      <c r="E1973" s="696"/>
      <c r="F1973" s="696"/>
      <c r="G1973" s="696"/>
      <c r="H1973" s="696"/>
      <c r="I1973" s="1050" t="str">
        <f t="shared" si="452"/>
        <v/>
      </c>
      <c r="J1973" s="696"/>
      <c r="K1973" s="697"/>
      <c r="L1973" s="696"/>
      <c r="M1973" s="198" t="str">
        <f t="shared" si="453"/>
        <v/>
      </c>
      <c r="N1973" s="369" t="str">
        <f t="shared" si="454"/>
        <v/>
      </c>
      <c r="O1973" s="183" t="str">
        <f t="shared" si="455"/>
        <v/>
      </c>
      <c r="P1973" s="199" t="str">
        <f t="shared" si="456"/>
        <v/>
      </c>
      <c r="Q1973" s="199" t="str">
        <f>IF(B1973="","",IFERROR(IF('עלויות כח אדם (6)'!J1973&gt;=VLOOKUP(I1973,'סיווג התפקידים והעלויות'!$B$23:$C$32,2,0),"תקין","לא תקין"),""))</f>
        <v/>
      </c>
      <c r="R1973" s="199" t="str">
        <f t="shared" si="457"/>
        <v/>
      </c>
      <c r="S1973" s="199" t="str">
        <f t="shared" si="458"/>
        <v/>
      </c>
      <c r="T1973" s="199" t="str">
        <f t="shared" si="466"/>
        <v/>
      </c>
      <c r="U1973" s="199" t="str">
        <f t="shared" si="459"/>
        <v/>
      </c>
      <c r="V1973" s="989"/>
      <c r="X1973" s="374" t="str">
        <f t="shared" si="460"/>
        <v/>
      </c>
      <c r="Y1973" s="375" t="str">
        <f t="shared" si="461"/>
        <v/>
      </c>
      <c r="Z1973" s="374" t="str">
        <f t="shared" si="462"/>
        <v/>
      </c>
      <c r="AA1973" s="374" t="b">
        <f t="shared" si="463"/>
        <v>1</v>
      </c>
      <c r="AB1973" s="374">
        <f>COUNTIFS(B:B,B1973,H:H,'סיווג התפקידים והעלויות'!$C$2)</f>
        <v>0</v>
      </c>
      <c r="AC1973" s="374">
        <f>COUNTIFS(B:B,B1973,H:H,'סיווג התפקידים והעלויות'!$D$2)</f>
        <v>0</v>
      </c>
      <c r="AD1973" s="374" t="str">
        <f>IF(OR(AND(H1973='סיווג התפקידים והעלויות'!$A$2,I1973='סיווג התפקידים והעלויות'!$A$3),'עלויות כח אדם (6)'!H1973='סיווג התפקידים והעלויות'!$C$2,'עלויות כח אדם (6)'!H1973='סיווג התפקידים והעלויות'!$D$2),IF('עלויות כח אדם (6)'!J1973&lt;75,"לא תקין","תקין"),"")</f>
        <v/>
      </c>
      <c r="AE1973" s="374" t="str">
        <f t="shared" si="464"/>
        <v/>
      </c>
      <c r="AF1973" s="532" t="str">
        <f t="shared" si="465"/>
        <v/>
      </c>
    </row>
    <row r="1974" spans="2:32" x14ac:dyDescent="0.25">
      <c r="B1974" s="695"/>
      <c r="C1974" s="197" t="str">
        <f>IF(B1974&lt;&gt;"",IFERROR(VLOOKUP(B:B,'מצבת והרשמה (2)'!$C$20:$N$520,2,0)," ")," ")</f>
        <v xml:space="preserve"> </v>
      </c>
      <c r="D1974" s="695"/>
      <c r="E1974" s="696"/>
      <c r="F1974" s="696"/>
      <c r="G1974" s="696"/>
      <c r="H1974" s="696"/>
      <c r="I1974" s="1050" t="str">
        <f t="shared" si="452"/>
        <v/>
      </c>
      <c r="J1974" s="696"/>
      <c r="K1974" s="697"/>
      <c r="L1974" s="696"/>
      <c r="M1974" s="198" t="str">
        <f t="shared" si="453"/>
        <v/>
      </c>
      <c r="N1974" s="369" t="str">
        <f t="shared" si="454"/>
        <v/>
      </c>
      <c r="O1974" s="183" t="str">
        <f t="shared" si="455"/>
        <v/>
      </c>
      <c r="P1974" s="199" t="str">
        <f t="shared" si="456"/>
        <v/>
      </c>
      <c r="Q1974" s="199" t="str">
        <f>IF(B1974="","",IFERROR(IF('עלויות כח אדם (6)'!J1974&gt;=VLOOKUP(I1974,'סיווג התפקידים והעלויות'!$B$23:$C$32,2,0),"תקין","לא תקין"),""))</f>
        <v/>
      </c>
      <c r="R1974" s="199" t="str">
        <f t="shared" si="457"/>
        <v/>
      </c>
      <c r="S1974" s="199" t="str">
        <f t="shared" si="458"/>
        <v/>
      </c>
      <c r="T1974" s="199" t="str">
        <f t="shared" si="466"/>
        <v/>
      </c>
      <c r="U1974" s="199" t="str">
        <f t="shared" si="459"/>
        <v/>
      </c>
      <c r="V1974" s="989"/>
      <c r="X1974" s="374" t="str">
        <f t="shared" si="460"/>
        <v/>
      </c>
      <c r="Y1974" s="375" t="str">
        <f t="shared" si="461"/>
        <v/>
      </c>
      <c r="Z1974" s="374" t="str">
        <f t="shared" si="462"/>
        <v/>
      </c>
      <c r="AA1974" s="374" t="b">
        <f t="shared" si="463"/>
        <v>1</v>
      </c>
      <c r="AB1974" s="374">
        <f>COUNTIFS(B:B,B1974,H:H,'סיווג התפקידים והעלויות'!$C$2)</f>
        <v>0</v>
      </c>
      <c r="AC1974" s="374">
        <f>COUNTIFS(B:B,B1974,H:H,'סיווג התפקידים והעלויות'!$D$2)</f>
        <v>0</v>
      </c>
      <c r="AD1974" s="374" t="str">
        <f>IF(OR(AND(H1974='סיווג התפקידים והעלויות'!$A$2,I1974='סיווג התפקידים והעלויות'!$A$3),'עלויות כח אדם (6)'!H1974='סיווג התפקידים והעלויות'!$C$2,'עלויות כח אדם (6)'!H1974='סיווג התפקידים והעלויות'!$D$2),IF('עלויות כח אדם (6)'!J1974&lt;75,"לא תקין","תקין"),"")</f>
        <v/>
      </c>
      <c r="AE1974" s="374" t="str">
        <f t="shared" si="464"/>
        <v/>
      </c>
      <c r="AF1974" s="532" t="str">
        <f t="shared" si="465"/>
        <v/>
      </c>
    </row>
    <row r="1975" spans="2:32" x14ac:dyDescent="0.25">
      <c r="B1975" s="695"/>
      <c r="C1975" s="197" t="str">
        <f>IF(B1975&lt;&gt;"",IFERROR(VLOOKUP(B:B,'מצבת והרשמה (2)'!$C$20:$N$520,2,0)," ")," ")</f>
        <v xml:space="preserve"> </v>
      </c>
      <c r="D1975" s="695"/>
      <c r="E1975" s="696"/>
      <c r="F1975" s="696"/>
      <c r="G1975" s="696"/>
      <c r="H1975" s="696"/>
      <c r="I1975" s="1050" t="str">
        <f t="shared" si="452"/>
        <v/>
      </c>
      <c r="J1975" s="696"/>
      <c r="K1975" s="697"/>
      <c r="L1975" s="696"/>
      <c r="M1975" s="198" t="str">
        <f t="shared" si="453"/>
        <v/>
      </c>
      <c r="N1975" s="369" t="str">
        <f t="shared" si="454"/>
        <v/>
      </c>
      <c r="O1975" s="183" t="str">
        <f t="shared" si="455"/>
        <v/>
      </c>
      <c r="P1975" s="199" t="str">
        <f t="shared" si="456"/>
        <v/>
      </c>
      <c r="Q1975" s="199" t="str">
        <f>IF(B1975="","",IFERROR(IF('עלויות כח אדם (6)'!J1975&gt;=VLOOKUP(I1975,'סיווג התפקידים והעלויות'!$B$23:$C$32,2,0),"תקין","לא תקין"),""))</f>
        <v/>
      </c>
      <c r="R1975" s="199" t="str">
        <f t="shared" si="457"/>
        <v/>
      </c>
      <c r="S1975" s="199" t="str">
        <f t="shared" si="458"/>
        <v/>
      </c>
      <c r="T1975" s="199" t="str">
        <f t="shared" si="466"/>
        <v/>
      </c>
      <c r="U1975" s="199" t="str">
        <f t="shared" si="459"/>
        <v/>
      </c>
      <c r="V1975" s="989"/>
      <c r="X1975" s="374" t="str">
        <f t="shared" si="460"/>
        <v/>
      </c>
      <c r="Y1975" s="375" t="str">
        <f t="shared" si="461"/>
        <v/>
      </c>
      <c r="Z1975" s="374" t="str">
        <f t="shared" si="462"/>
        <v/>
      </c>
      <c r="AA1975" s="374" t="b">
        <f t="shared" si="463"/>
        <v>1</v>
      </c>
      <c r="AB1975" s="374">
        <f>COUNTIFS(B:B,B1975,H:H,'סיווג התפקידים והעלויות'!$C$2)</f>
        <v>0</v>
      </c>
      <c r="AC1975" s="374">
        <f>COUNTIFS(B:B,B1975,H:H,'סיווג התפקידים והעלויות'!$D$2)</f>
        <v>0</v>
      </c>
      <c r="AD1975" s="374" t="str">
        <f>IF(OR(AND(H1975='סיווג התפקידים והעלויות'!$A$2,I1975='סיווג התפקידים והעלויות'!$A$3),'עלויות כח אדם (6)'!H1975='סיווג התפקידים והעלויות'!$C$2,'עלויות כח אדם (6)'!H1975='סיווג התפקידים והעלויות'!$D$2),IF('עלויות כח אדם (6)'!J1975&lt;75,"לא תקין","תקין"),"")</f>
        <v/>
      </c>
      <c r="AE1975" s="374" t="str">
        <f t="shared" si="464"/>
        <v/>
      </c>
      <c r="AF1975" s="532" t="str">
        <f t="shared" si="465"/>
        <v/>
      </c>
    </row>
    <row r="1976" spans="2:32" x14ac:dyDescent="0.25">
      <c r="B1976" s="695"/>
      <c r="C1976" s="197" t="str">
        <f>IF(B1976&lt;&gt;"",IFERROR(VLOOKUP(B:B,'מצבת והרשמה (2)'!$C$20:$N$520,2,0)," ")," ")</f>
        <v xml:space="preserve"> </v>
      </c>
      <c r="D1976" s="695"/>
      <c r="E1976" s="696"/>
      <c r="F1976" s="696"/>
      <c r="G1976" s="696"/>
      <c r="H1976" s="696"/>
      <c r="I1976" s="1050" t="str">
        <f t="shared" si="452"/>
        <v/>
      </c>
      <c r="J1976" s="696"/>
      <c r="K1976" s="697"/>
      <c r="L1976" s="696"/>
      <c r="M1976" s="198" t="str">
        <f t="shared" si="453"/>
        <v/>
      </c>
      <c r="N1976" s="369" t="str">
        <f t="shared" si="454"/>
        <v/>
      </c>
      <c r="O1976" s="183" t="str">
        <f t="shared" si="455"/>
        <v/>
      </c>
      <c r="P1976" s="199" t="str">
        <f t="shared" si="456"/>
        <v/>
      </c>
      <c r="Q1976" s="199" t="str">
        <f>IF(B1976="","",IFERROR(IF('עלויות כח אדם (6)'!J1976&gt;=VLOOKUP(I1976,'סיווג התפקידים והעלויות'!$B$23:$C$32,2,0),"תקין","לא תקין"),""))</f>
        <v/>
      </c>
      <c r="R1976" s="199" t="str">
        <f t="shared" si="457"/>
        <v/>
      </c>
      <c r="S1976" s="199" t="str">
        <f t="shared" si="458"/>
        <v/>
      </c>
      <c r="T1976" s="199" t="str">
        <f t="shared" si="466"/>
        <v/>
      </c>
      <c r="U1976" s="199" t="str">
        <f t="shared" si="459"/>
        <v/>
      </c>
      <c r="V1976" s="989"/>
      <c r="X1976" s="374" t="str">
        <f t="shared" si="460"/>
        <v/>
      </c>
      <c r="Y1976" s="375" t="str">
        <f t="shared" si="461"/>
        <v/>
      </c>
      <c r="Z1976" s="374" t="str">
        <f t="shared" si="462"/>
        <v/>
      </c>
      <c r="AA1976" s="374" t="b">
        <f t="shared" si="463"/>
        <v>1</v>
      </c>
      <c r="AB1976" s="374">
        <f>COUNTIFS(B:B,B1976,H:H,'סיווג התפקידים והעלויות'!$C$2)</f>
        <v>0</v>
      </c>
      <c r="AC1976" s="374">
        <f>COUNTIFS(B:B,B1976,H:H,'סיווג התפקידים והעלויות'!$D$2)</f>
        <v>0</v>
      </c>
      <c r="AD1976" s="374" t="str">
        <f>IF(OR(AND(H1976='סיווג התפקידים והעלויות'!$A$2,I1976='סיווג התפקידים והעלויות'!$A$3),'עלויות כח אדם (6)'!H1976='סיווג התפקידים והעלויות'!$C$2,'עלויות כח אדם (6)'!H1976='סיווג התפקידים והעלויות'!$D$2),IF('עלויות כח אדם (6)'!J1976&lt;75,"לא תקין","תקין"),"")</f>
        <v/>
      </c>
      <c r="AE1976" s="374" t="str">
        <f t="shared" si="464"/>
        <v/>
      </c>
      <c r="AF1976" s="532" t="str">
        <f t="shared" si="465"/>
        <v/>
      </c>
    </row>
    <row r="1977" spans="2:32" x14ac:dyDescent="0.25">
      <c r="B1977" s="695"/>
      <c r="C1977" s="197" t="str">
        <f>IF(B1977&lt;&gt;"",IFERROR(VLOOKUP(B:B,'מצבת והרשמה (2)'!$C$20:$N$520,2,0)," ")," ")</f>
        <v xml:space="preserve"> </v>
      </c>
      <c r="D1977" s="695"/>
      <c r="E1977" s="696"/>
      <c r="F1977" s="696"/>
      <c r="G1977" s="696"/>
      <c r="H1977" s="696"/>
      <c r="I1977" s="1050" t="str">
        <f t="shared" si="452"/>
        <v/>
      </c>
      <c r="J1977" s="696"/>
      <c r="K1977" s="697"/>
      <c r="L1977" s="696"/>
      <c r="M1977" s="198" t="str">
        <f t="shared" si="453"/>
        <v/>
      </c>
      <c r="N1977" s="369" t="str">
        <f t="shared" si="454"/>
        <v/>
      </c>
      <c r="O1977" s="183" t="str">
        <f t="shared" si="455"/>
        <v/>
      </c>
      <c r="P1977" s="199" t="str">
        <f t="shared" si="456"/>
        <v/>
      </c>
      <c r="Q1977" s="199" t="str">
        <f>IF(B1977="","",IFERROR(IF('עלויות כח אדם (6)'!J1977&gt;=VLOOKUP(I1977,'סיווג התפקידים והעלויות'!$B$23:$C$32,2,0),"תקין","לא תקין"),""))</f>
        <v/>
      </c>
      <c r="R1977" s="199" t="str">
        <f t="shared" si="457"/>
        <v/>
      </c>
      <c r="S1977" s="199" t="str">
        <f t="shared" si="458"/>
        <v/>
      </c>
      <c r="T1977" s="199" t="str">
        <f t="shared" si="466"/>
        <v/>
      </c>
      <c r="U1977" s="199" t="str">
        <f t="shared" si="459"/>
        <v/>
      </c>
      <c r="V1977" s="989"/>
      <c r="X1977" s="374" t="str">
        <f t="shared" si="460"/>
        <v/>
      </c>
      <c r="Y1977" s="375" t="str">
        <f t="shared" si="461"/>
        <v/>
      </c>
      <c r="Z1977" s="374" t="str">
        <f t="shared" si="462"/>
        <v/>
      </c>
      <c r="AA1977" s="374" t="b">
        <f t="shared" si="463"/>
        <v>1</v>
      </c>
      <c r="AB1977" s="374">
        <f>COUNTIFS(B:B,B1977,H:H,'סיווג התפקידים והעלויות'!$C$2)</f>
        <v>0</v>
      </c>
      <c r="AC1977" s="374">
        <f>COUNTIFS(B:B,B1977,H:H,'סיווג התפקידים והעלויות'!$D$2)</f>
        <v>0</v>
      </c>
      <c r="AD1977" s="374" t="str">
        <f>IF(OR(AND(H1977='סיווג התפקידים והעלויות'!$A$2,I1977='סיווג התפקידים והעלויות'!$A$3),'עלויות כח אדם (6)'!H1977='סיווג התפקידים והעלויות'!$C$2,'עלויות כח אדם (6)'!H1977='סיווג התפקידים והעלויות'!$D$2),IF('עלויות כח אדם (6)'!J1977&lt;75,"לא תקין","תקין"),"")</f>
        <v/>
      </c>
      <c r="AE1977" s="374" t="str">
        <f t="shared" si="464"/>
        <v/>
      </c>
      <c r="AF1977" s="532" t="str">
        <f t="shared" si="465"/>
        <v/>
      </c>
    </row>
    <row r="1978" spans="2:32" x14ac:dyDescent="0.25">
      <c r="B1978" s="695"/>
      <c r="C1978" s="197" t="str">
        <f>IF(B1978&lt;&gt;"",IFERROR(VLOOKUP(B:B,'מצבת והרשמה (2)'!$C$20:$N$520,2,0)," ")," ")</f>
        <v xml:space="preserve"> </v>
      </c>
      <c r="D1978" s="695"/>
      <c r="E1978" s="696"/>
      <c r="F1978" s="696"/>
      <c r="G1978" s="696"/>
      <c r="H1978" s="696"/>
      <c r="I1978" s="1050" t="str">
        <f t="shared" si="452"/>
        <v/>
      </c>
      <c r="J1978" s="696"/>
      <c r="K1978" s="697"/>
      <c r="L1978" s="696"/>
      <c r="M1978" s="198" t="str">
        <f t="shared" si="453"/>
        <v/>
      </c>
      <c r="N1978" s="369" t="str">
        <f t="shared" si="454"/>
        <v/>
      </c>
      <c r="O1978" s="183" t="str">
        <f t="shared" si="455"/>
        <v/>
      </c>
      <c r="P1978" s="199" t="str">
        <f t="shared" si="456"/>
        <v/>
      </c>
      <c r="Q1978" s="199" t="str">
        <f>IF(B1978="","",IFERROR(IF('עלויות כח אדם (6)'!J1978&gt;=VLOOKUP(I1978,'סיווג התפקידים והעלויות'!$B$23:$C$32,2,0),"תקין","לא תקין"),""))</f>
        <v/>
      </c>
      <c r="R1978" s="199" t="str">
        <f t="shared" si="457"/>
        <v/>
      </c>
      <c r="S1978" s="199" t="str">
        <f t="shared" si="458"/>
        <v/>
      </c>
      <c r="T1978" s="199" t="str">
        <f t="shared" si="466"/>
        <v/>
      </c>
      <c r="U1978" s="199" t="str">
        <f t="shared" si="459"/>
        <v/>
      </c>
      <c r="V1978" s="989"/>
      <c r="X1978" s="374" t="str">
        <f t="shared" si="460"/>
        <v/>
      </c>
      <c r="Y1978" s="375" t="str">
        <f t="shared" si="461"/>
        <v/>
      </c>
      <c r="Z1978" s="374" t="str">
        <f t="shared" si="462"/>
        <v/>
      </c>
      <c r="AA1978" s="374" t="b">
        <f t="shared" si="463"/>
        <v>1</v>
      </c>
      <c r="AB1978" s="374">
        <f>COUNTIFS(B:B,B1978,H:H,'סיווג התפקידים והעלויות'!$C$2)</f>
        <v>0</v>
      </c>
      <c r="AC1978" s="374">
        <f>COUNTIFS(B:B,B1978,H:H,'סיווג התפקידים והעלויות'!$D$2)</f>
        <v>0</v>
      </c>
      <c r="AD1978" s="374" t="str">
        <f>IF(OR(AND(H1978='סיווג התפקידים והעלויות'!$A$2,I1978='סיווג התפקידים והעלויות'!$A$3),'עלויות כח אדם (6)'!H1978='סיווג התפקידים והעלויות'!$C$2,'עלויות כח אדם (6)'!H1978='סיווג התפקידים והעלויות'!$D$2),IF('עלויות כח אדם (6)'!J1978&lt;75,"לא תקין","תקין"),"")</f>
        <v/>
      </c>
      <c r="AE1978" s="374" t="str">
        <f t="shared" si="464"/>
        <v/>
      </c>
      <c r="AF1978" s="532" t="str">
        <f t="shared" si="465"/>
        <v/>
      </c>
    </row>
    <row r="1979" spans="2:32" x14ac:dyDescent="0.25">
      <c r="B1979" s="695"/>
      <c r="C1979" s="197" t="str">
        <f>IF(B1979&lt;&gt;"",IFERROR(VLOOKUP(B:B,'מצבת והרשמה (2)'!$C$20:$N$520,2,0)," ")," ")</f>
        <v xml:space="preserve"> </v>
      </c>
      <c r="D1979" s="695"/>
      <c r="E1979" s="696"/>
      <c r="F1979" s="696"/>
      <c r="G1979" s="696"/>
      <c r="H1979" s="696"/>
      <c r="I1979" s="1050" t="str">
        <f t="shared" si="452"/>
        <v/>
      </c>
      <c r="J1979" s="696"/>
      <c r="K1979" s="697"/>
      <c r="L1979" s="696"/>
      <c r="M1979" s="198" t="str">
        <f t="shared" si="453"/>
        <v/>
      </c>
      <c r="N1979" s="369" t="str">
        <f t="shared" si="454"/>
        <v/>
      </c>
      <c r="O1979" s="183" t="str">
        <f t="shared" si="455"/>
        <v/>
      </c>
      <c r="P1979" s="199" t="str">
        <f t="shared" si="456"/>
        <v/>
      </c>
      <c r="Q1979" s="199" t="str">
        <f>IF(B1979="","",IFERROR(IF('עלויות כח אדם (6)'!J1979&gt;=VLOOKUP(I1979,'סיווג התפקידים והעלויות'!$B$23:$C$32,2,0),"תקין","לא תקין"),""))</f>
        <v/>
      </c>
      <c r="R1979" s="199" t="str">
        <f t="shared" si="457"/>
        <v/>
      </c>
      <c r="S1979" s="199" t="str">
        <f t="shared" si="458"/>
        <v/>
      </c>
      <c r="T1979" s="199" t="str">
        <f t="shared" si="466"/>
        <v/>
      </c>
      <c r="U1979" s="199" t="str">
        <f t="shared" si="459"/>
        <v/>
      </c>
      <c r="V1979" s="989"/>
      <c r="X1979" s="374" t="str">
        <f t="shared" si="460"/>
        <v/>
      </c>
      <c r="Y1979" s="375" t="str">
        <f t="shared" si="461"/>
        <v/>
      </c>
      <c r="Z1979" s="374" t="str">
        <f t="shared" si="462"/>
        <v/>
      </c>
      <c r="AA1979" s="374" t="b">
        <f t="shared" si="463"/>
        <v>1</v>
      </c>
      <c r="AB1979" s="374">
        <f>COUNTIFS(B:B,B1979,H:H,'סיווג התפקידים והעלויות'!$C$2)</f>
        <v>0</v>
      </c>
      <c r="AC1979" s="374">
        <f>COUNTIFS(B:B,B1979,H:H,'סיווג התפקידים והעלויות'!$D$2)</f>
        <v>0</v>
      </c>
      <c r="AD1979" s="374" t="str">
        <f>IF(OR(AND(H1979='סיווג התפקידים והעלויות'!$A$2,I1979='סיווג התפקידים והעלויות'!$A$3),'עלויות כח אדם (6)'!H1979='סיווג התפקידים והעלויות'!$C$2,'עלויות כח אדם (6)'!H1979='סיווג התפקידים והעלויות'!$D$2),IF('עלויות כח אדם (6)'!J1979&lt;75,"לא תקין","תקין"),"")</f>
        <v/>
      </c>
      <c r="AE1979" s="374" t="str">
        <f t="shared" si="464"/>
        <v/>
      </c>
      <c r="AF1979" s="532" t="str">
        <f t="shared" si="465"/>
        <v/>
      </c>
    </row>
    <row r="1980" spans="2:32" x14ac:dyDescent="0.25">
      <c r="B1980" s="695"/>
      <c r="C1980" s="197" t="str">
        <f>IF(B1980&lt;&gt;"",IFERROR(VLOOKUP(B:B,'מצבת והרשמה (2)'!$C$20:$N$520,2,0)," ")," ")</f>
        <v xml:space="preserve"> </v>
      </c>
      <c r="D1980" s="695"/>
      <c r="E1980" s="696"/>
      <c r="F1980" s="696"/>
      <c r="G1980" s="696"/>
      <c r="H1980" s="696"/>
      <c r="I1980" s="1050" t="str">
        <f t="shared" si="452"/>
        <v/>
      </c>
      <c r="J1980" s="696"/>
      <c r="K1980" s="697"/>
      <c r="L1980" s="696"/>
      <c r="M1980" s="198" t="str">
        <f t="shared" si="453"/>
        <v/>
      </c>
      <c r="N1980" s="369" t="str">
        <f t="shared" si="454"/>
        <v/>
      </c>
      <c r="O1980" s="183" t="str">
        <f t="shared" si="455"/>
        <v/>
      </c>
      <c r="P1980" s="199" t="str">
        <f t="shared" si="456"/>
        <v/>
      </c>
      <c r="Q1980" s="199" t="str">
        <f>IF(B1980="","",IFERROR(IF('עלויות כח אדם (6)'!J1980&gt;=VLOOKUP(I1980,'סיווג התפקידים והעלויות'!$B$23:$C$32,2,0),"תקין","לא תקין"),""))</f>
        <v/>
      </c>
      <c r="R1980" s="199" t="str">
        <f t="shared" si="457"/>
        <v/>
      </c>
      <c r="S1980" s="199" t="str">
        <f t="shared" si="458"/>
        <v/>
      </c>
      <c r="T1980" s="199" t="str">
        <f t="shared" si="466"/>
        <v/>
      </c>
      <c r="U1980" s="199" t="str">
        <f t="shared" si="459"/>
        <v/>
      </c>
      <c r="V1980" s="989"/>
      <c r="X1980" s="374" t="str">
        <f t="shared" si="460"/>
        <v/>
      </c>
      <c r="Y1980" s="375" t="str">
        <f t="shared" si="461"/>
        <v/>
      </c>
      <c r="Z1980" s="374" t="str">
        <f t="shared" si="462"/>
        <v/>
      </c>
      <c r="AA1980" s="374" t="b">
        <f t="shared" si="463"/>
        <v>1</v>
      </c>
      <c r="AB1980" s="374">
        <f>COUNTIFS(B:B,B1980,H:H,'סיווג התפקידים והעלויות'!$C$2)</f>
        <v>0</v>
      </c>
      <c r="AC1980" s="374">
        <f>COUNTIFS(B:B,B1980,H:H,'סיווג התפקידים והעלויות'!$D$2)</f>
        <v>0</v>
      </c>
      <c r="AD1980" s="374" t="str">
        <f>IF(OR(AND(H1980='סיווג התפקידים והעלויות'!$A$2,I1980='סיווג התפקידים והעלויות'!$A$3),'עלויות כח אדם (6)'!H1980='סיווג התפקידים והעלויות'!$C$2,'עלויות כח אדם (6)'!H1980='סיווג התפקידים והעלויות'!$D$2),IF('עלויות כח אדם (6)'!J1980&lt;75,"לא תקין","תקין"),"")</f>
        <v/>
      </c>
      <c r="AE1980" s="374" t="str">
        <f t="shared" si="464"/>
        <v/>
      </c>
      <c r="AF1980" s="532" t="str">
        <f t="shared" si="465"/>
        <v/>
      </c>
    </row>
    <row r="1981" spans="2:32" x14ac:dyDescent="0.25">
      <c r="B1981" s="695"/>
      <c r="C1981" s="197" t="str">
        <f>IF(B1981&lt;&gt;"",IFERROR(VLOOKUP(B:B,'מצבת והרשמה (2)'!$C$20:$N$520,2,0)," ")," ")</f>
        <v xml:space="preserve"> </v>
      </c>
      <c r="D1981" s="695"/>
      <c r="E1981" s="696"/>
      <c r="F1981" s="696"/>
      <c r="G1981" s="696"/>
      <c r="H1981" s="696"/>
      <c r="I1981" s="1050" t="str">
        <f t="shared" si="452"/>
        <v/>
      </c>
      <c r="J1981" s="696"/>
      <c r="K1981" s="697"/>
      <c r="L1981" s="696"/>
      <c r="M1981" s="198" t="str">
        <f t="shared" si="453"/>
        <v/>
      </c>
      <c r="N1981" s="369" t="str">
        <f t="shared" si="454"/>
        <v/>
      </c>
      <c r="O1981" s="183" t="str">
        <f t="shared" si="455"/>
        <v/>
      </c>
      <c r="P1981" s="199" t="str">
        <f t="shared" si="456"/>
        <v/>
      </c>
      <c r="Q1981" s="199" t="str">
        <f>IF(B1981="","",IFERROR(IF('עלויות כח אדם (6)'!J1981&gt;=VLOOKUP(I1981,'סיווג התפקידים והעלויות'!$B$23:$C$32,2,0),"תקין","לא תקין"),""))</f>
        <v/>
      </c>
      <c r="R1981" s="199" t="str">
        <f t="shared" si="457"/>
        <v/>
      </c>
      <c r="S1981" s="199" t="str">
        <f t="shared" si="458"/>
        <v/>
      </c>
      <c r="T1981" s="199" t="str">
        <f t="shared" si="466"/>
        <v/>
      </c>
      <c r="U1981" s="199" t="str">
        <f t="shared" si="459"/>
        <v/>
      </c>
      <c r="V1981" s="989"/>
      <c r="X1981" s="374" t="str">
        <f t="shared" si="460"/>
        <v/>
      </c>
      <c r="Y1981" s="375" t="str">
        <f t="shared" si="461"/>
        <v/>
      </c>
      <c r="Z1981" s="374" t="str">
        <f t="shared" si="462"/>
        <v/>
      </c>
      <c r="AA1981" s="374" t="b">
        <f t="shared" si="463"/>
        <v>1</v>
      </c>
      <c r="AB1981" s="374">
        <f>COUNTIFS(B:B,B1981,H:H,'סיווג התפקידים והעלויות'!$C$2)</f>
        <v>0</v>
      </c>
      <c r="AC1981" s="374">
        <f>COUNTIFS(B:B,B1981,H:H,'סיווג התפקידים והעלויות'!$D$2)</f>
        <v>0</v>
      </c>
      <c r="AD1981" s="374" t="str">
        <f>IF(OR(AND(H1981='סיווג התפקידים והעלויות'!$A$2,I1981='סיווג התפקידים והעלויות'!$A$3),'עלויות כח אדם (6)'!H1981='סיווג התפקידים והעלויות'!$C$2,'עלויות כח אדם (6)'!H1981='סיווג התפקידים והעלויות'!$D$2),IF('עלויות כח אדם (6)'!J1981&lt;75,"לא תקין","תקין"),"")</f>
        <v/>
      </c>
      <c r="AE1981" s="374" t="str">
        <f t="shared" si="464"/>
        <v/>
      </c>
      <c r="AF1981" s="532" t="str">
        <f t="shared" si="465"/>
        <v/>
      </c>
    </row>
    <row r="1982" spans="2:32" x14ac:dyDescent="0.25">
      <c r="B1982" s="695"/>
      <c r="C1982" s="197" t="str">
        <f>IF(B1982&lt;&gt;"",IFERROR(VLOOKUP(B:B,'מצבת והרשמה (2)'!$C$20:$N$520,2,0)," ")," ")</f>
        <v xml:space="preserve"> </v>
      </c>
      <c r="D1982" s="695"/>
      <c r="E1982" s="696"/>
      <c r="F1982" s="696"/>
      <c r="G1982" s="696"/>
      <c r="H1982" s="696"/>
      <c r="I1982" s="1050" t="str">
        <f t="shared" si="452"/>
        <v/>
      </c>
      <c r="J1982" s="696"/>
      <c r="K1982" s="697"/>
      <c r="L1982" s="696"/>
      <c r="M1982" s="198" t="str">
        <f t="shared" si="453"/>
        <v/>
      </c>
      <c r="N1982" s="369" t="str">
        <f t="shared" si="454"/>
        <v/>
      </c>
      <c r="O1982" s="183" t="str">
        <f t="shared" si="455"/>
        <v/>
      </c>
      <c r="P1982" s="199" t="str">
        <f t="shared" si="456"/>
        <v/>
      </c>
      <c r="Q1982" s="199" t="str">
        <f>IF(B1982="","",IFERROR(IF('עלויות כח אדם (6)'!J1982&gt;=VLOOKUP(I1982,'סיווג התפקידים והעלויות'!$B$23:$C$32,2,0),"תקין","לא תקין"),""))</f>
        <v/>
      </c>
      <c r="R1982" s="199" t="str">
        <f t="shared" si="457"/>
        <v/>
      </c>
      <c r="S1982" s="199" t="str">
        <f t="shared" si="458"/>
        <v/>
      </c>
      <c r="T1982" s="199" t="str">
        <f t="shared" si="466"/>
        <v/>
      </c>
      <c r="U1982" s="199" t="str">
        <f t="shared" si="459"/>
        <v/>
      </c>
      <c r="V1982" s="989"/>
      <c r="X1982" s="374" t="str">
        <f t="shared" si="460"/>
        <v/>
      </c>
      <c r="Y1982" s="375" t="str">
        <f t="shared" si="461"/>
        <v/>
      </c>
      <c r="Z1982" s="374" t="str">
        <f t="shared" si="462"/>
        <v/>
      </c>
      <c r="AA1982" s="374" t="b">
        <f t="shared" si="463"/>
        <v>1</v>
      </c>
      <c r="AB1982" s="374">
        <f>COUNTIFS(B:B,B1982,H:H,'סיווג התפקידים והעלויות'!$C$2)</f>
        <v>0</v>
      </c>
      <c r="AC1982" s="374">
        <f>COUNTIFS(B:B,B1982,H:H,'סיווג התפקידים והעלויות'!$D$2)</f>
        <v>0</v>
      </c>
      <c r="AD1982" s="374" t="str">
        <f>IF(OR(AND(H1982='סיווג התפקידים והעלויות'!$A$2,I1982='סיווג התפקידים והעלויות'!$A$3),'עלויות כח אדם (6)'!H1982='סיווג התפקידים והעלויות'!$C$2,'עלויות כח אדם (6)'!H1982='סיווג התפקידים והעלויות'!$D$2),IF('עלויות כח אדם (6)'!J1982&lt;75,"לא תקין","תקין"),"")</f>
        <v/>
      </c>
      <c r="AE1982" s="374" t="str">
        <f t="shared" si="464"/>
        <v/>
      </c>
      <c r="AF1982" s="532" t="str">
        <f t="shared" si="465"/>
        <v/>
      </c>
    </row>
    <row r="1983" spans="2:32" x14ac:dyDescent="0.25">
      <c r="B1983" s="695"/>
      <c r="C1983" s="197" t="str">
        <f>IF(B1983&lt;&gt;"",IFERROR(VLOOKUP(B:B,'מצבת והרשמה (2)'!$C$20:$N$520,2,0)," ")," ")</f>
        <v xml:space="preserve"> </v>
      </c>
      <c r="D1983" s="695"/>
      <c r="E1983" s="696"/>
      <c r="F1983" s="696"/>
      <c r="G1983" s="696"/>
      <c r="H1983" s="696"/>
      <c r="I1983" s="1050" t="str">
        <f t="shared" si="452"/>
        <v/>
      </c>
      <c r="J1983" s="696"/>
      <c r="K1983" s="697"/>
      <c r="L1983" s="696"/>
      <c r="M1983" s="198" t="str">
        <f t="shared" si="453"/>
        <v/>
      </c>
      <c r="N1983" s="369" t="str">
        <f t="shared" si="454"/>
        <v/>
      </c>
      <c r="O1983" s="183" t="str">
        <f t="shared" si="455"/>
        <v/>
      </c>
      <c r="P1983" s="199" t="str">
        <f t="shared" si="456"/>
        <v/>
      </c>
      <c r="Q1983" s="199" t="str">
        <f>IF(B1983="","",IFERROR(IF('עלויות כח אדם (6)'!J1983&gt;=VLOOKUP(I1983,'סיווג התפקידים והעלויות'!$B$23:$C$32,2,0),"תקין","לא תקין"),""))</f>
        <v/>
      </c>
      <c r="R1983" s="199" t="str">
        <f t="shared" si="457"/>
        <v/>
      </c>
      <c r="S1983" s="199" t="str">
        <f t="shared" si="458"/>
        <v/>
      </c>
      <c r="T1983" s="199" t="str">
        <f t="shared" si="466"/>
        <v/>
      </c>
      <c r="U1983" s="199" t="str">
        <f t="shared" si="459"/>
        <v/>
      </c>
      <c r="V1983" s="989"/>
      <c r="X1983" s="374" t="str">
        <f t="shared" si="460"/>
        <v/>
      </c>
      <c r="Y1983" s="375" t="str">
        <f t="shared" si="461"/>
        <v/>
      </c>
      <c r="Z1983" s="374" t="str">
        <f t="shared" si="462"/>
        <v/>
      </c>
      <c r="AA1983" s="374" t="b">
        <f t="shared" si="463"/>
        <v>1</v>
      </c>
      <c r="AB1983" s="374">
        <f>COUNTIFS(B:B,B1983,H:H,'סיווג התפקידים והעלויות'!$C$2)</f>
        <v>0</v>
      </c>
      <c r="AC1983" s="374">
        <f>COUNTIFS(B:B,B1983,H:H,'סיווג התפקידים והעלויות'!$D$2)</f>
        <v>0</v>
      </c>
      <c r="AD1983" s="374" t="str">
        <f>IF(OR(AND(H1983='סיווג התפקידים והעלויות'!$A$2,I1983='סיווג התפקידים והעלויות'!$A$3),'עלויות כח אדם (6)'!H1983='סיווג התפקידים והעלויות'!$C$2,'עלויות כח אדם (6)'!H1983='סיווג התפקידים והעלויות'!$D$2),IF('עלויות כח אדם (6)'!J1983&lt;75,"לא תקין","תקין"),"")</f>
        <v/>
      </c>
      <c r="AE1983" s="374" t="str">
        <f t="shared" si="464"/>
        <v/>
      </c>
      <c r="AF1983" s="532" t="str">
        <f t="shared" si="465"/>
        <v/>
      </c>
    </row>
    <row r="1984" spans="2:32" x14ac:dyDescent="0.25">
      <c r="B1984" s="695"/>
      <c r="C1984" s="197" t="str">
        <f>IF(B1984&lt;&gt;"",IFERROR(VLOOKUP(B:B,'מצבת והרשמה (2)'!$C$20:$N$520,2,0)," ")," ")</f>
        <v xml:space="preserve"> </v>
      </c>
      <c r="D1984" s="695"/>
      <c r="E1984" s="696"/>
      <c r="F1984" s="696"/>
      <c r="G1984" s="696"/>
      <c r="H1984" s="696"/>
      <c r="I1984" s="1050" t="str">
        <f t="shared" si="452"/>
        <v/>
      </c>
      <c r="J1984" s="696"/>
      <c r="K1984" s="697"/>
      <c r="L1984" s="696"/>
      <c r="M1984" s="198" t="str">
        <f t="shared" si="453"/>
        <v/>
      </c>
      <c r="N1984" s="369" t="str">
        <f t="shared" si="454"/>
        <v/>
      </c>
      <c r="O1984" s="183" t="str">
        <f t="shared" si="455"/>
        <v/>
      </c>
      <c r="P1984" s="199" t="str">
        <f t="shared" si="456"/>
        <v/>
      </c>
      <c r="Q1984" s="199" t="str">
        <f>IF(B1984="","",IFERROR(IF('עלויות כח אדם (6)'!J1984&gt;=VLOOKUP(I1984,'סיווג התפקידים והעלויות'!$B$23:$C$32,2,0),"תקין","לא תקין"),""))</f>
        <v/>
      </c>
      <c r="R1984" s="199" t="str">
        <f t="shared" si="457"/>
        <v/>
      </c>
      <c r="S1984" s="199" t="str">
        <f t="shared" si="458"/>
        <v/>
      </c>
      <c r="T1984" s="199" t="str">
        <f t="shared" si="466"/>
        <v/>
      </c>
      <c r="U1984" s="199" t="str">
        <f t="shared" si="459"/>
        <v/>
      </c>
      <c r="V1984" s="989"/>
      <c r="X1984" s="374" t="str">
        <f t="shared" si="460"/>
        <v/>
      </c>
      <c r="Y1984" s="375" t="str">
        <f t="shared" si="461"/>
        <v/>
      </c>
      <c r="Z1984" s="374" t="str">
        <f t="shared" si="462"/>
        <v/>
      </c>
      <c r="AA1984" s="374" t="b">
        <f t="shared" si="463"/>
        <v>1</v>
      </c>
      <c r="AB1984" s="374">
        <f>COUNTIFS(B:B,B1984,H:H,'סיווג התפקידים והעלויות'!$C$2)</f>
        <v>0</v>
      </c>
      <c r="AC1984" s="374">
        <f>COUNTIFS(B:B,B1984,H:H,'סיווג התפקידים והעלויות'!$D$2)</f>
        <v>0</v>
      </c>
      <c r="AD1984" s="374" t="str">
        <f>IF(OR(AND(H1984='סיווג התפקידים והעלויות'!$A$2,I1984='סיווג התפקידים והעלויות'!$A$3),'עלויות כח אדם (6)'!H1984='סיווג התפקידים והעלויות'!$C$2,'עלויות כח אדם (6)'!H1984='סיווג התפקידים והעלויות'!$D$2),IF('עלויות כח אדם (6)'!J1984&lt;75,"לא תקין","תקין"),"")</f>
        <v/>
      </c>
      <c r="AE1984" s="374" t="str">
        <f t="shared" si="464"/>
        <v/>
      </c>
      <c r="AF1984" s="532" t="str">
        <f t="shared" si="465"/>
        <v/>
      </c>
    </row>
    <row r="1985" spans="2:32" x14ac:dyDescent="0.25">
      <c r="B1985" s="695"/>
      <c r="C1985" s="197" t="str">
        <f>IF(B1985&lt;&gt;"",IFERROR(VLOOKUP(B:B,'מצבת והרשמה (2)'!$C$20:$N$520,2,0)," ")," ")</f>
        <v xml:space="preserve"> </v>
      </c>
      <c r="D1985" s="695"/>
      <c r="E1985" s="696"/>
      <c r="F1985" s="696"/>
      <c r="G1985" s="696"/>
      <c r="H1985" s="696"/>
      <c r="I1985" s="1050" t="str">
        <f t="shared" si="452"/>
        <v/>
      </c>
      <c r="J1985" s="696"/>
      <c r="K1985" s="697"/>
      <c r="L1985" s="696"/>
      <c r="M1985" s="198" t="str">
        <f t="shared" si="453"/>
        <v/>
      </c>
      <c r="N1985" s="369" t="str">
        <f t="shared" si="454"/>
        <v/>
      </c>
      <c r="O1985" s="183" t="str">
        <f t="shared" si="455"/>
        <v/>
      </c>
      <c r="P1985" s="199" t="str">
        <f t="shared" si="456"/>
        <v/>
      </c>
      <c r="Q1985" s="199" t="str">
        <f>IF(B1985="","",IFERROR(IF('עלויות כח אדם (6)'!J1985&gt;=VLOOKUP(I1985,'סיווג התפקידים והעלויות'!$B$23:$C$32,2,0),"תקין","לא תקין"),""))</f>
        <v/>
      </c>
      <c r="R1985" s="199" t="str">
        <f t="shared" si="457"/>
        <v/>
      </c>
      <c r="S1985" s="199" t="str">
        <f t="shared" si="458"/>
        <v/>
      </c>
      <c r="T1985" s="199" t="str">
        <f t="shared" si="466"/>
        <v/>
      </c>
      <c r="U1985" s="199" t="str">
        <f t="shared" si="459"/>
        <v/>
      </c>
      <c r="V1985" s="989"/>
      <c r="X1985" s="374" t="str">
        <f t="shared" si="460"/>
        <v/>
      </c>
      <c r="Y1985" s="375" t="str">
        <f t="shared" si="461"/>
        <v/>
      </c>
      <c r="Z1985" s="374" t="str">
        <f t="shared" si="462"/>
        <v/>
      </c>
      <c r="AA1985" s="374" t="b">
        <f t="shared" si="463"/>
        <v>1</v>
      </c>
      <c r="AB1985" s="374">
        <f>COUNTIFS(B:B,B1985,H:H,'סיווג התפקידים והעלויות'!$C$2)</f>
        <v>0</v>
      </c>
      <c r="AC1985" s="374">
        <f>COUNTIFS(B:B,B1985,H:H,'סיווג התפקידים והעלויות'!$D$2)</f>
        <v>0</v>
      </c>
      <c r="AD1985" s="374" t="str">
        <f>IF(OR(AND(H1985='סיווג התפקידים והעלויות'!$A$2,I1985='סיווג התפקידים והעלויות'!$A$3),'עלויות כח אדם (6)'!H1985='סיווג התפקידים והעלויות'!$C$2,'עלויות כח אדם (6)'!H1985='סיווג התפקידים והעלויות'!$D$2),IF('עלויות כח אדם (6)'!J1985&lt;75,"לא תקין","תקין"),"")</f>
        <v/>
      </c>
      <c r="AE1985" s="374" t="str">
        <f t="shared" si="464"/>
        <v/>
      </c>
      <c r="AF1985" s="532" t="str">
        <f t="shared" si="465"/>
        <v/>
      </c>
    </row>
    <row r="1986" spans="2:32" x14ac:dyDescent="0.25">
      <c r="B1986" s="695"/>
      <c r="C1986" s="197" t="str">
        <f>IF(B1986&lt;&gt;"",IFERROR(VLOOKUP(B:B,'מצבת והרשמה (2)'!$C$20:$N$520,2,0)," ")," ")</f>
        <v xml:space="preserve"> </v>
      </c>
      <c r="D1986" s="695"/>
      <c r="E1986" s="696"/>
      <c r="F1986" s="696"/>
      <c r="G1986" s="696"/>
      <c r="H1986" s="696"/>
      <c r="I1986" s="1050" t="str">
        <f t="shared" si="452"/>
        <v/>
      </c>
      <c r="J1986" s="696"/>
      <c r="K1986" s="697"/>
      <c r="L1986" s="696"/>
      <c r="M1986" s="198" t="str">
        <f t="shared" si="453"/>
        <v/>
      </c>
      <c r="N1986" s="369" t="str">
        <f t="shared" si="454"/>
        <v/>
      </c>
      <c r="O1986" s="183" t="str">
        <f t="shared" si="455"/>
        <v/>
      </c>
      <c r="P1986" s="199" t="str">
        <f t="shared" si="456"/>
        <v/>
      </c>
      <c r="Q1986" s="199" t="str">
        <f>IF(B1986="","",IFERROR(IF('עלויות כח אדם (6)'!J1986&gt;=VLOOKUP(I1986,'סיווג התפקידים והעלויות'!$B$23:$C$32,2,0),"תקין","לא תקין"),""))</f>
        <v/>
      </c>
      <c r="R1986" s="199" t="str">
        <f t="shared" si="457"/>
        <v/>
      </c>
      <c r="S1986" s="199" t="str">
        <f t="shared" si="458"/>
        <v/>
      </c>
      <c r="T1986" s="199" t="str">
        <f t="shared" si="466"/>
        <v/>
      </c>
      <c r="U1986" s="199" t="str">
        <f t="shared" si="459"/>
        <v/>
      </c>
      <c r="V1986" s="989"/>
      <c r="X1986" s="374" t="str">
        <f t="shared" si="460"/>
        <v/>
      </c>
      <c r="Y1986" s="375" t="str">
        <f t="shared" si="461"/>
        <v/>
      </c>
      <c r="Z1986" s="374" t="str">
        <f t="shared" si="462"/>
        <v/>
      </c>
      <c r="AA1986" s="374" t="b">
        <f t="shared" si="463"/>
        <v>1</v>
      </c>
      <c r="AB1986" s="374">
        <f>COUNTIFS(B:B,B1986,H:H,'סיווג התפקידים והעלויות'!$C$2)</f>
        <v>0</v>
      </c>
      <c r="AC1986" s="374">
        <f>COUNTIFS(B:B,B1986,H:H,'סיווג התפקידים והעלויות'!$D$2)</f>
        <v>0</v>
      </c>
      <c r="AD1986" s="374" t="str">
        <f>IF(OR(AND(H1986='סיווג התפקידים והעלויות'!$A$2,I1986='סיווג התפקידים והעלויות'!$A$3),'עלויות כח אדם (6)'!H1986='סיווג התפקידים והעלויות'!$C$2,'עלויות כח אדם (6)'!H1986='סיווג התפקידים והעלויות'!$D$2),IF('עלויות כח אדם (6)'!J1986&lt;75,"לא תקין","תקין"),"")</f>
        <v/>
      </c>
      <c r="AE1986" s="374" t="str">
        <f t="shared" si="464"/>
        <v/>
      </c>
      <c r="AF1986" s="532" t="str">
        <f t="shared" si="465"/>
        <v/>
      </c>
    </row>
    <row r="1987" spans="2:32" x14ac:dyDescent="0.25">
      <c r="B1987" s="695"/>
      <c r="C1987" s="197" t="str">
        <f>IF(B1987&lt;&gt;"",IFERROR(VLOOKUP(B:B,'מצבת והרשמה (2)'!$C$20:$N$520,2,0)," ")," ")</f>
        <v xml:space="preserve"> </v>
      </c>
      <c r="D1987" s="695"/>
      <c r="E1987" s="696"/>
      <c r="F1987" s="696"/>
      <c r="G1987" s="696"/>
      <c r="H1987" s="696"/>
      <c r="I1987" s="1050" t="str">
        <f t="shared" si="452"/>
        <v/>
      </c>
      <c r="J1987" s="696"/>
      <c r="K1987" s="697"/>
      <c r="L1987" s="696"/>
      <c r="M1987" s="198" t="str">
        <f t="shared" si="453"/>
        <v/>
      </c>
      <c r="N1987" s="369" t="str">
        <f t="shared" si="454"/>
        <v/>
      </c>
      <c r="O1987" s="183" t="str">
        <f t="shared" si="455"/>
        <v/>
      </c>
      <c r="P1987" s="199" t="str">
        <f t="shared" si="456"/>
        <v/>
      </c>
      <c r="Q1987" s="199" t="str">
        <f>IF(B1987="","",IFERROR(IF('עלויות כח אדם (6)'!J1987&gt;=VLOOKUP(I1987,'סיווג התפקידים והעלויות'!$B$23:$C$32,2,0),"תקין","לא תקין"),""))</f>
        <v/>
      </c>
      <c r="R1987" s="199" t="str">
        <f t="shared" si="457"/>
        <v/>
      </c>
      <c r="S1987" s="199" t="str">
        <f t="shared" si="458"/>
        <v/>
      </c>
      <c r="T1987" s="199" t="str">
        <f t="shared" si="466"/>
        <v/>
      </c>
      <c r="U1987" s="199" t="str">
        <f t="shared" si="459"/>
        <v/>
      </c>
      <c r="V1987" s="989"/>
      <c r="X1987" s="374" t="str">
        <f t="shared" si="460"/>
        <v/>
      </c>
      <c r="Y1987" s="375" t="str">
        <f t="shared" si="461"/>
        <v/>
      </c>
      <c r="Z1987" s="374" t="str">
        <f t="shared" si="462"/>
        <v/>
      </c>
      <c r="AA1987" s="374" t="b">
        <f t="shared" si="463"/>
        <v>1</v>
      </c>
      <c r="AB1987" s="374">
        <f>COUNTIFS(B:B,B1987,H:H,'סיווג התפקידים והעלויות'!$C$2)</f>
        <v>0</v>
      </c>
      <c r="AC1987" s="374">
        <f>COUNTIFS(B:B,B1987,H:H,'סיווג התפקידים והעלויות'!$D$2)</f>
        <v>0</v>
      </c>
      <c r="AD1987" s="374" t="str">
        <f>IF(OR(AND(H1987='סיווג התפקידים והעלויות'!$A$2,I1987='סיווג התפקידים והעלויות'!$A$3),'עלויות כח אדם (6)'!H1987='סיווג התפקידים והעלויות'!$C$2,'עלויות כח אדם (6)'!H1987='סיווג התפקידים והעלויות'!$D$2),IF('עלויות כח אדם (6)'!J1987&lt;75,"לא תקין","תקין"),"")</f>
        <v/>
      </c>
      <c r="AE1987" s="374" t="str">
        <f t="shared" si="464"/>
        <v/>
      </c>
      <c r="AF1987" s="532" t="str">
        <f t="shared" si="465"/>
        <v/>
      </c>
    </row>
    <row r="1988" spans="2:32" x14ac:dyDescent="0.25">
      <c r="B1988" s="695"/>
      <c r="C1988" s="197" t="str">
        <f>IF(B1988&lt;&gt;"",IFERROR(VLOOKUP(B:B,'מצבת והרשמה (2)'!$C$20:$N$520,2,0)," ")," ")</f>
        <v xml:space="preserve"> </v>
      </c>
      <c r="D1988" s="695"/>
      <c r="E1988" s="696"/>
      <c r="F1988" s="696"/>
      <c r="G1988" s="696"/>
      <c r="H1988" s="696"/>
      <c r="I1988" s="1050" t="str">
        <f t="shared" si="452"/>
        <v/>
      </c>
      <c r="J1988" s="696"/>
      <c r="K1988" s="697"/>
      <c r="L1988" s="696"/>
      <c r="M1988" s="198" t="str">
        <f t="shared" si="453"/>
        <v/>
      </c>
      <c r="N1988" s="369" t="str">
        <f t="shared" si="454"/>
        <v/>
      </c>
      <c r="O1988" s="183" t="str">
        <f t="shared" si="455"/>
        <v/>
      </c>
      <c r="P1988" s="199" t="str">
        <f t="shared" si="456"/>
        <v/>
      </c>
      <c r="Q1988" s="199" t="str">
        <f>IF(B1988="","",IFERROR(IF('עלויות כח אדם (6)'!J1988&gt;=VLOOKUP(I1988,'סיווג התפקידים והעלויות'!$B$23:$C$32,2,0),"תקין","לא תקין"),""))</f>
        <v/>
      </c>
      <c r="R1988" s="199" t="str">
        <f t="shared" si="457"/>
        <v/>
      </c>
      <c r="S1988" s="199" t="str">
        <f t="shared" si="458"/>
        <v/>
      </c>
      <c r="T1988" s="199" t="str">
        <f t="shared" si="466"/>
        <v/>
      </c>
      <c r="U1988" s="199" t="str">
        <f t="shared" si="459"/>
        <v/>
      </c>
      <c r="V1988" s="989"/>
      <c r="X1988" s="374" t="str">
        <f t="shared" si="460"/>
        <v/>
      </c>
      <c r="Y1988" s="375" t="str">
        <f t="shared" si="461"/>
        <v/>
      </c>
      <c r="Z1988" s="374" t="str">
        <f t="shared" si="462"/>
        <v/>
      </c>
      <c r="AA1988" s="374" t="b">
        <f t="shared" si="463"/>
        <v>1</v>
      </c>
      <c r="AB1988" s="374">
        <f>COUNTIFS(B:B,B1988,H:H,'סיווג התפקידים והעלויות'!$C$2)</f>
        <v>0</v>
      </c>
      <c r="AC1988" s="374">
        <f>COUNTIFS(B:B,B1988,H:H,'סיווג התפקידים והעלויות'!$D$2)</f>
        <v>0</v>
      </c>
      <c r="AD1988" s="374" t="str">
        <f>IF(OR(AND(H1988='סיווג התפקידים והעלויות'!$A$2,I1988='סיווג התפקידים והעלויות'!$A$3),'עלויות כח אדם (6)'!H1988='סיווג התפקידים והעלויות'!$C$2,'עלויות כח אדם (6)'!H1988='סיווג התפקידים והעלויות'!$D$2),IF('עלויות כח אדם (6)'!J1988&lt;75,"לא תקין","תקין"),"")</f>
        <v/>
      </c>
      <c r="AE1988" s="374" t="str">
        <f t="shared" si="464"/>
        <v/>
      </c>
      <c r="AF1988" s="532" t="str">
        <f t="shared" si="465"/>
        <v/>
      </c>
    </row>
    <row r="1989" spans="2:32" x14ac:dyDescent="0.25">
      <c r="B1989" s="695"/>
      <c r="C1989" s="197" t="str">
        <f>IF(B1989&lt;&gt;"",IFERROR(VLOOKUP(B:B,'מצבת והרשמה (2)'!$C$20:$N$520,2,0)," ")," ")</f>
        <v xml:space="preserve"> </v>
      </c>
      <c r="D1989" s="695"/>
      <c r="E1989" s="696"/>
      <c r="F1989" s="696"/>
      <c r="G1989" s="696"/>
      <c r="H1989" s="696"/>
      <c r="I1989" s="1050" t="str">
        <f t="shared" si="452"/>
        <v/>
      </c>
      <c r="J1989" s="696"/>
      <c r="K1989" s="697"/>
      <c r="L1989" s="696"/>
      <c r="M1989" s="198" t="str">
        <f t="shared" si="453"/>
        <v/>
      </c>
      <c r="N1989" s="369" t="str">
        <f t="shared" si="454"/>
        <v/>
      </c>
      <c r="O1989" s="183" t="str">
        <f t="shared" si="455"/>
        <v/>
      </c>
      <c r="P1989" s="199" t="str">
        <f t="shared" si="456"/>
        <v/>
      </c>
      <c r="Q1989" s="199" t="str">
        <f>IF(B1989="","",IFERROR(IF('עלויות כח אדם (6)'!J1989&gt;=VLOOKUP(I1989,'סיווג התפקידים והעלויות'!$B$23:$C$32,2,0),"תקין","לא תקין"),""))</f>
        <v/>
      </c>
      <c r="R1989" s="199" t="str">
        <f t="shared" si="457"/>
        <v/>
      </c>
      <c r="S1989" s="199" t="str">
        <f t="shared" si="458"/>
        <v/>
      </c>
      <c r="T1989" s="199" t="str">
        <f t="shared" si="466"/>
        <v/>
      </c>
      <c r="U1989" s="199" t="str">
        <f t="shared" si="459"/>
        <v/>
      </c>
      <c r="V1989" s="989"/>
      <c r="X1989" s="374" t="str">
        <f t="shared" si="460"/>
        <v/>
      </c>
      <c r="Y1989" s="375" t="str">
        <f t="shared" si="461"/>
        <v/>
      </c>
      <c r="Z1989" s="374" t="str">
        <f t="shared" si="462"/>
        <v/>
      </c>
      <c r="AA1989" s="374" t="b">
        <f t="shared" si="463"/>
        <v>1</v>
      </c>
      <c r="AB1989" s="374">
        <f>COUNTIFS(B:B,B1989,H:H,'סיווג התפקידים והעלויות'!$C$2)</f>
        <v>0</v>
      </c>
      <c r="AC1989" s="374">
        <f>COUNTIFS(B:B,B1989,H:H,'סיווג התפקידים והעלויות'!$D$2)</f>
        <v>0</v>
      </c>
      <c r="AD1989" s="374" t="str">
        <f>IF(OR(AND(H1989='סיווג התפקידים והעלויות'!$A$2,I1989='סיווג התפקידים והעלויות'!$A$3),'עלויות כח אדם (6)'!H1989='סיווג התפקידים והעלויות'!$C$2,'עלויות כח אדם (6)'!H1989='סיווג התפקידים והעלויות'!$D$2),IF('עלויות כח אדם (6)'!J1989&lt;75,"לא תקין","תקין"),"")</f>
        <v/>
      </c>
      <c r="AE1989" s="374" t="str">
        <f t="shared" si="464"/>
        <v/>
      </c>
      <c r="AF1989" s="532" t="str">
        <f t="shared" si="465"/>
        <v/>
      </c>
    </row>
    <row r="1990" spans="2:32" x14ac:dyDescent="0.25">
      <c r="B1990" s="695"/>
      <c r="C1990" s="197" t="str">
        <f>IF(B1990&lt;&gt;"",IFERROR(VLOOKUP(B:B,'מצבת והרשמה (2)'!$C$20:$N$520,2,0)," ")," ")</f>
        <v xml:space="preserve"> </v>
      </c>
      <c r="D1990" s="695"/>
      <c r="E1990" s="696"/>
      <c r="F1990" s="696"/>
      <c r="G1990" s="696"/>
      <c r="H1990" s="696"/>
      <c r="I1990" s="1050" t="str">
        <f t="shared" si="452"/>
        <v/>
      </c>
      <c r="J1990" s="696"/>
      <c r="K1990" s="697"/>
      <c r="L1990" s="696"/>
      <c r="M1990" s="198" t="str">
        <f t="shared" si="453"/>
        <v/>
      </c>
      <c r="N1990" s="369" t="str">
        <f t="shared" si="454"/>
        <v/>
      </c>
      <c r="O1990" s="183" t="str">
        <f t="shared" si="455"/>
        <v/>
      </c>
      <c r="P1990" s="199" t="str">
        <f t="shared" si="456"/>
        <v/>
      </c>
      <c r="Q1990" s="199" t="str">
        <f>IF(B1990="","",IFERROR(IF('עלויות כח אדם (6)'!J1990&gt;=VLOOKUP(I1990,'סיווג התפקידים והעלויות'!$B$23:$C$32,2,0),"תקין","לא תקין"),""))</f>
        <v/>
      </c>
      <c r="R1990" s="199" t="str">
        <f t="shared" si="457"/>
        <v/>
      </c>
      <c r="S1990" s="199" t="str">
        <f t="shared" si="458"/>
        <v/>
      </c>
      <c r="T1990" s="199" t="str">
        <f t="shared" si="466"/>
        <v/>
      </c>
      <c r="U1990" s="199" t="str">
        <f t="shared" si="459"/>
        <v/>
      </c>
      <c r="V1990" s="989"/>
      <c r="X1990" s="374" t="str">
        <f t="shared" si="460"/>
        <v/>
      </c>
      <c r="Y1990" s="375" t="str">
        <f t="shared" si="461"/>
        <v/>
      </c>
      <c r="Z1990" s="374" t="str">
        <f t="shared" si="462"/>
        <v/>
      </c>
      <c r="AA1990" s="374" t="b">
        <f t="shared" si="463"/>
        <v>1</v>
      </c>
      <c r="AB1990" s="374">
        <f>COUNTIFS(B:B,B1990,H:H,'סיווג התפקידים והעלויות'!$C$2)</f>
        <v>0</v>
      </c>
      <c r="AC1990" s="374">
        <f>COUNTIFS(B:B,B1990,H:H,'סיווג התפקידים והעלויות'!$D$2)</f>
        <v>0</v>
      </c>
      <c r="AD1990" s="374" t="str">
        <f>IF(OR(AND(H1990='סיווג התפקידים והעלויות'!$A$2,I1990='סיווג התפקידים והעלויות'!$A$3),'עלויות כח אדם (6)'!H1990='סיווג התפקידים והעלויות'!$C$2,'עלויות כח אדם (6)'!H1990='סיווג התפקידים והעלויות'!$D$2),IF('עלויות כח אדם (6)'!J1990&lt;75,"לא תקין","תקין"),"")</f>
        <v/>
      </c>
      <c r="AE1990" s="374" t="str">
        <f t="shared" si="464"/>
        <v/>
      </c>
      <c r="AF1990" s="532" t="str">
        <f t="shared" si="465"/>
        <v/>
      </c>
    </row>
    <row r="1991" spans="2:32" x14ac:dyDescent="0.25">
      <c r="B1991" s="695"/>
      <c r="C1991" s="197" t="str">
        <f>IF(B1991&lt;&gt;"",IFERROR(VLOOKUP(B:B,'מצבת והרשמה (2)'!$C$20:$N$520,2,0)," ")," ")</f>
        <v xml:space="preserve"> </v>
      </c>
      <c r="D1991" s="695"/>
      <c r="E1991" s="696"/>
      <c r="F1991" s="696"/>
      <c r="G1991" s="696"/>
      <c r="H1991" s="696"/>
      <c r="I1991" s="1050" t="str">
        <f t="shared" si="452"/>
        <v/>
      </c>
      <c r="J1991" s="696"/>
      <c r="K1991" s="697"/>
      <c r="L1991" s="696"/>
      <c r="M1991" s="198" t="str">
        <f t="shared" si="453"/>
        <v/>
      </c>
      <c r="N1991" s="369" t="str">
        <f t="shared" si="454"/>
        <v/>
      </c>
      <c r="O1991" s="183" t="str">
        <f t="shared" si="455"/>
        <v/>
      </c>
      <c r="P1991" s="199" t="str">
        <f t="shared" si="456"/>
        <v/>
      </c>
      <c r="Q1991" s="199" t="str">
        <f>IF(B1991="","",IFERROR(IF('עלויות כח אדם (6)'!J1991&gt;=VLOOKUP(I1991,'סיווג התפקידים והעלויות'!$B$23:$C$32,2,0),"תקין","לא תקין"),""))</f>
        <v/>
      </c>
      <c r="R1991" s="199" t="str">
        <f t="shared" si="457"/>
        <v/>
      </c>
      <c r="S1991" s="199" t="str">
        <f t="shared" si="458"/>
        <v/>
      </c>
      <c r="T1991" s="199" t="str">
        <f t="shared" si="466"/>
        <v/>
      </c>
      <c r="U1991" s="199" t="str">
        <f t="shared" si="459"/>
        <v/>
      </c>
      <c r="V1991" s="989"/>
      <c r="X1991" s="374" t="str">
        <f t="shared" si="460"/>
        <v/>
      </c>
      <c r="Y1991" s="375" t="str">
        <f t="shared" si="461"/>
        <v/>
      </c>
      <c r="Z1991" s="374" t="str">
        <f t="shared" si="462"/>
        <v/>
      </c>
      <c r="AA1991" s="374" t="b">
        <f t="shared" si="463"/>
        <v>1</v>
      </c>
      <c r="AB1991" s="374">
        <f>COUNTIFS(B:B,B1991,H:H,'סיווג התפקידים והעלויות'!$C$2)</f>
        <v>0</v>
      </c>
      <c r="AC1991" s="374">
        <f>COUNTIFS(B:B,B1991,H:H,'סיווג התפקידים והעלויות'!$D$2)</f>
        <v>0</v>
      </c>
      <c r="AD1991" s="374" t="str">
        <f>IF(OR(AND(H1991='סיווג התפקידים והעלויות'!$A$2,I1991='סיווג התפקידים והעלויות'!$A$3),'עלויות כח אדם (6)'!H1991='סיווג התפקידים והעלויות'!$C$2,'עלויות כח אדם (6)'!H1991='סיווג התפקידים והעלויות'!$D$2),IF('עלויות כח אדם (6)'!J1991&lt;75,"לא תקין","תקין"),"")</f>
        <v/>
      </c>
      <c r="AE1991" s="374" t="str">
        <f t="shared" si="464"/>
        <v/>
      </c>
      <c r="AF1991" s="532" t="str">
        <f t="shared" si="465"/>
        <v/>
      </c>
    </row>
    <row r="1992" spans="2:32" x14ac:dyDescent="0.25">
      <c r="B1992" s="695"/>
      <c r="C1992" s="197" t="str">
        <f>IF(B1992&lt;&gt;"",IFERROR(VLOOKUP(B:B,'מצבת והרשמה (2)'!$C$20:$N$520,2,0)," ")," ")</f>
        <v xml:space="preserve"> </v>
      </c>
      <c r="D1992" s="695"/>
      <c r="E1992" s="696"/>
      <c r="F1992" s="696"/>
      <c r="G1992" s="696"/>
      <c r="H1992" s="696"/>
      <c r="I1992" s="1050" t="str">
        <f t="shared" si="452"/>
        <v/>
      </c>
      <c r="J1992" s="696"/>
      <c r="K1992" s="697"/>
      <c r="L1992" s="696"/>
      <c r="M1992" s="198" t="str">
        <f t="shared" si="453"/>
        <v/>
      </c>
      <c r="N1992" s="369" t="str">
        <f t="shared" si="454"/>
        <v/>
      </c>
      <c r="O1992" s="183" t="str">
        <f t="shared" si="455"/>
        <v/>
      </c>
      <c r="P1992" s="199" t="str">
        <f t="shared" si="456"/>
        <v/>
      </c>
      <c r="Q1992" s="199" t="str">
        <f>IF(B1992="","",IFERROR(IF('עלויות כח אדם (6)'!J1992&gt;=VLOOKUP(I1992,'סיווג התפקידים והעלויות'!$B$23:$C$32,2,0),"תקין","לא תקין"),""))</f>
        <v/>
      </c>
      <c r="R1992" s="199" t="str">
        <f t="shared" si="457"/>
        <v/>
      </c>
      <c r="S1992" s="199" t="str">
        <f t="shared" si="458"/>
        <v/>
      </c>
      <c r="T1992" s="199" t="str">
        <f t="shared" si="466"/>
        <v/>
      </c>
      <c r="U1992" s="199" t="str">
        <f t="shared" si="459"/>
        <v/>
      </c>
      <c r="V1992" s="989"/>
      <c r="X1992" s="374" t="str">
        <f t="shared" si="460"/>
        <v/>
      </c>
      <c r="Y1992" s="375" t="str">
        <f t="shared" si="461"/>
        <v/>
      </c>
      <c r="Z1992" s="374" t="str">
        <f t="shared" si="462"/>
        <v/>
      </c>
      <c r="AA1992" s="374" t="b">
        <f t="shared" si="463"/>
        <v>1</v>
      </c>
      <c r="AB1992" s="374">
        <f>COUNTIFS(B:B,B1992,H:H,'סיווג התפקידים והעלויות'!$C$2)</f>
        <v>0</v>
      </c>
      <c r="AC1992" s="374">
        <f>COUNTIFS(B:B,B1992,H:H,'סיווג התפקידים והעלויות'!$D$2)</f>
        <v>0</v>
      </c>
      <c r="AD1992" s="374" t="str">
        <f>IF(OR(AND(H1992='סיווג התפקידים והעלויות'!$A$2,I1992='סיווג התפקידים והעלויות'!$A$3),'עלויות כח אדם (6)'!H1992='סיווג התפקידים והעלויות'!$C$2,'עלויות כח אדם (6)'!H1992='סיווג התפקידים והעלויות'!$D$2),IF('עלויות כח אדם (6)'!J1992&lt;75,"לא תקין","תקין"),"")</f>
        <v/>
      </c>
      <c r="AE1992" s="374" t="str">
        <f t="shared" si="464"/>
        <v/>
      </c>
      <c r="AF1992" s="532" t="str">
        <f t="shared" si="465"/>
        <v/>
      </c>
    </row>
    <row r="1993" spans="2:32" x14ac:dyDescent="0.25">
      <c r="B1993" s="695"/>
      <c r="C1993" s="197" t="str">
        <f>IF(B1993&lt;&gt;"",IFERROR(VLOOKUP(B:B,'מצבת והרשמה (2)'!$C$20:$N$520,2,0)," ")," ")</f>
        <v xml:space="preserve"> </v>
      </c>
      <c r="D1993" s="695"/>
      <c r="E1993" s="696"/>
      <c r="F1993" s="696"/>
      <c r="G1993" s="696"/>
      <c r="H1993" s="696"/>
      <c r="I1993" s="1050" t="str">
        <f t="shared" si="452"/>
        <v/>
      </c>
      <c r="J1993" s="696"/>
      <c r="K1993" s="697"/>
      <c r="L1993" s="696"/>
      <c r="M1993" s="198" t="str">
        <f t="shared" si="453"/>
        <v/>
      </c>
      <c r="N1993" s="369" t="str">
        <f t="shared" si="454"/>
        <v/>
      </c>
      <c r="O1993" s="183" t="str">
        <f t="shared" si="455"/>
        <v/>
      </c>
      <c r="P1993" s="199" t="str">
        <f t="shared" si="456"/>
        <v/>
      </c>
      <c r="Q1993" s="199" t="str">
        <f>IF(B1993="","",IFERROR(IF('עלויות כח אדם (6)'!J1993&gt;=VLOOKUP(I1993,'סיווג התפקידים והעלויות'!$B$23:$C$32,2,0),"תקין","לא תקין"),""))</f>
        <v/>
      </c>
      <c r="R1993" s="199" t="str">
        <f t="shared" si="457"/>
        <v/>
      </c>
      <c r="S1993" s="199" t="str">
        <f t="shared" si="458"/>
        <v/>
      </c>
      <c r="T1993" s="199" t="str">
        <f t="shared" si="466"/>
        <v/>
      </c>
      <c r="U1993" s="199" t="str">
        <f t="shared" si="459"/>
        <v/>
      </c>
      <c r="V1993" s="989"/>
      <c r="X1993" s="374" t="str">
        <f t="shared" si="460"/>
        <v/>
      </c>
      <c r="Y1993" s="375" t="str">
        <f t="shared" si="461"/>
        <v/>
      </c>
      <c r="Z1993" s="374" t="str">
        <f t="shared" si="462"/>
        <v/>
      </c>
      <c r="AA1993" s="374" t="b">
        <f t="shared" si="463"/>
        <v>1</v>
      </c>
      <c r="AB1993" s="374">
        <f>COUNTIFS(B:B,B1993,H:H,'סיווג התפקידים והעלויות'!$C$2)</f>
        <v>0</v>
      </c>
      <c r="AC1993" s="374">
        <f>COUNTIFS(B:B,B1993,H:H,'סיווג התפקידים והעלויות'!$D$2)</f>
        <v>0</v>
      </c>
      <c r="AD1993" s="374" t="str">
        <f>IF(OR(AND(H1993='סיווג התפקידים והעלויות'!$A$2,I1993='סיווג התפקידים והעלויות'!$A$3),'עלויות כח אדם (6)'!H1993='סיווג התפקידים והעלויות'!$C$2,'עלויות כח אדם (6)'!H1993='סיווג התפקידים והעלויות'!$D$2),IF('עלויות כח אדם (6)'!J1993&lt;75,"לא תקין","תקין"),"")</f>
        <v/>
      </c>
      <c r="AE1993" s="374" t="str">
        <f t="shared" si="464"/>
        <v/>
      </c>
      <c r="AF1993" s="532" t="str">
        <f t="shared" si="465"/>
        <v/>
      </c>
    </row>
    <row r="1994" spans="2:32" x14ac:dyDescent="0.25">
      <c r="B1994" s="695"/>
      <c r="C1994" s="197" t="str">
        <f>IF(B1994&lt;&gt;"",IFERROR(VLOOKUP(B:B,'מצבת והרשמה (2)'!$C$20:$N$520,2,0)," ")," ")</f>
        <v xml:space="preserve"> </v>
      </c>
      <c r="D1994" s="695"/>
      <c r="E1994" s="696"/>
      <c r="F1994" s="696"/>
      <c r="G1994" s="696"/>
      <c r="H1994" s="696"/>
      <c r="I1994" s="1050" t="str">
        <f t="shared" si="452"/>
        <v/>
      </c>
      <c r="J1994" s="696"/>
      <c r="K1994" s="697"/>
      <c r="L1994" s="696"/>
      <c r="M1994" s="198" t="str">
        <f t="shared" si="453"/>
        <v/>
      </c>
      <c r="N1994" s="369" t="str">
        <f t="shared" si="454"/>
        <v/>
      </c>
      <c r="O1994" s="183" t="str">
        <f t="shared" si="455"/>
        <v/>
      </c>
      <c r="P1994" s="199" t="str">
        <f t="shared" si="456"/>
        <v/>
      </c>
      <c r="Q1994" s="199" t="str">
        <f>IF(B1994="","",IFERROR(IF('עלויות כח אדם (6)'!J1994&gt;=VLOOKUP(I1994,'סיווג התפקידים והעלויות'!$B$23:$C$32,2,0),"תקין","לא תקין"),""))</f>
        <v/>
      </c>
      <c r="R1994" s="199" t="str">
        <f t="shared" si="457"/>
        <v/>
      </c>
      <c r="S1994" s="199" t="str">
        <f t="shared" si="458"/>
        <v/>
      </c>
      <c r="T1994" s="199" t="str">
        <f t="shared" si="466"/>
        <v/>
      </c>
      <c r="U1994" s="199" t="str">
        <f t="shared" si="459"/>
        <v/>
      </c>
      <c r="V1994" s="989"/>
      <c r="X1994" s="374" t="str">
        <f t="shared" si="460"/>
        <v/>
      </c>
      <c r="Y1994" s="375" t="str">
        <f t="shared" si="461"/>
        <v/>
      </c>
      <c r="Z1994" s="374" t="str">
        <f t="shared" si="462"/>
        <v/>
      </c>
      <c r="AA1994" s="374" t="b">
        <f t="shared" si="463"/>
        <v>1</v>
      </c>
      <c r="AB1994" s="374">
        <f>COUNTIFS(B:B,B1994,H:H,'סיווג התפקידים והעלויות'!$C$2)</f>
        <v>0</v>
      </c>
      <c r="AC1994" s="374">
        <f>COUNTIFS(B:B,B1994,H:H,'סיווג התפקידים והעלויות'!$D$2)</f>
        <v>0</v>
      </c>
      <c r="AD1994" s="374" t="str">
        <f>IF(OR(AND(H1994='סיווג התפקידים והעלויות'!$A$2,I1994='סיווג התפקידים והעלויות'!$A$3),'עלויות כח אדם (6)'!H1994='סיווג התפקידים והעלויות'!$C$2,'עלויות כח אדם (6)'!H1994='סיווג התפקידים והעלויות'!$D$2),IF('עלויות כח אדם (6)'!J1994&lt;75,"לא תקין","תקין"),"")</f>
        <v/>
      </c>
      <c r="AE1994" s="374" t="str">
        <f t="shared" si="464"/>
        <v/>
      </c>
      <c r="AF1994" s="532" t="str">
        <f t="shared" si="465"/>
        <v/>
      </c>
    </row>
    <row r="1995" spans="2:32" x14ac:dyDescent="0.25">
      <c r="B1995" s="695"/>
      <c r="C1995" s="197" t="str">
        <f>IF(B1995&lt;&gt;"",IFERROR(VLOOKUP(B:B,'מצבת והרשמה (2)'!$C$20:$N$520,2,0)," ")," ")</f>
        <v xml:space="preserve"> </v>
      </c>
      <c r="D1995" s="695"/>
      <c r="E1995" s="696"/>
      <c r="F1995" s="696"/>
      <c r="G1995" s="696"/>
      <c r="H1995" s="696"/>
      <c r="I1995" s="1050" t="str">
        <f t="shared" si="452"/>
        <v/>
      </c>
      <c r="J1995" s="696"/>
      <c r="K1995" s="697"/>
      <c r="L1995" s="696"/>
      <c r="M1995" s="198" t="str">
        <f t="shared" si="453"/>
        <v/>
      </c>
      <c r="N1995" s="369" t="str">
        <f t="shared" si="454"/>
        <v/>
      </c>
      <c r="O1995" s="183" t="str">
        <f t="shared" si="455"/>
        <v/>
      </c>
      <c r="P1995" s="199" t="str">
        <f t="shared" si="456"/>
        <v/>
      </c>
      <c r="Q1995" s="199" t="str">
        <f>IF(B1995="","",IFERROR(IF('עלויות כח אדם (6)'!J1995&gt;=VLOOKUP(I1995,'סיווג התפקידים והעלויות'!$B$23:$C$32,2,0),"תקין","לא תקין"),""))</f>
        <v/>
      </c>
      <c r="R1995" s="199" t="str">
        <f t="shared" si="457"/>
        <v/>
      </c>
      <c r="S1995" s="199" t="str">
        <f t="shared" si="458"/>
        <v/>
      </c>
      <c r="T1995" s="199" t="str">
        <f t="shared" si="466"/>
        <v/>
      </c>
      <c r="U1995" s="199" t="str">
        <f t="shared" si="459"/>
        <v/>
      </c>
      <c r="V1995" s="989"/>
      <c r="X1995" s="374" t="str">
        <f t="shared" si="460"/>
        <v/>
      </c>
      <c r="Y1995" s="375" t="str">
        <f t="shared" si="461"/>
        <v/>
      </c>
      <c r="Z1995" s="374" t="str">
        <f t="shared" si="462"/>
        <v/>
      </c>
      <c r="AA1995" s="374" t="b">
        <f t="shared" si="463"/>
        <v>1</v>
      </c>
      <c r="AB1995" s="374">
        <f>COUNTIFS(B:B,B1995,H:H,'סיווג התפקידים והעלויות'!$C$2)</f>
        <v>0</v>
      </c>
      <c r="AC1995" s="374">
        <f>COUNTIFS(B:B,B1995,H:H,'סיווג התפקידים והעלויות'!$D$2)</f>
        <v>0</v>
      </c>
      <c r="AD1995" s="374" t="str">
        <f>IF(OR(AND(H1995='סיווג התפקידים והעלויות'!$A$2,I1995='סיווג התפקידים והעלויות'!$A$3),'עלויות כח אדם (6)'!H1995='סיווג התפקידים והעלויות'!$C$2,'עלויות כח אדם (6)'!H1995='סיווג התפקידים והעלויות'!$D$2),IF('עלויות כח אדם (6)'!J1995&lt;75,"לא תקין","תקין"),"")</f>
        <v/>
      </c>
      <c r="AE1995" s="374" t="str">
        <f t="shared" si="464"/>
        <v/>
      </c>
      <c r="AF1995" s="532" t="str">
        <f t="shared" si="465"/>
        <v/>
      </c>
    </row>
    <row r="1996" spans="2:32" x14ac:dyDescent="0.25">
      <c r="B1996" s="695"/>
      <c r="C1996" s="197" t="str">
        <f>IF(B1996&lt;&gt;"",IFERROR(VLOOKUP(B:B,'מצבת והרשמה (2)'!$C$20:$N$520,2,0)," ")," ")</f>
        <v xml:space="preserve"> </v>
      </c>
      <c r="D1996" s="695"/>
      <c r="E1996" s="696"/>
      <c r="F1996" s="696"/>
      <c r="G1996" s="696"/>
      <c r="H1996" s="696"/>
      <c r="I1996" s="1050" t="str">
        <f t="shared" si="452"/>
        <v/>
      </c>
      <c r="J1996" s="696"/>
      <c r="K1996" s="697"/>
      <c r="L1996" s="696"/>
      <c r="M1996" s="198" t="str">
        <f t="shared" si="453"/>
        <v/>
      </c>
      <c r="N1996" s="369" t="str">
        <f t="shared" si="454"/>
        <v/>
      </c>
      <c r="O1996" s="183" t="str">
        <f t="shared" si="455"/>
        <v/>
      </c>
      <c r="P1996" s="199" t="str">
        <f t="shared" si="456"/>
        <v/>
      </c>
      <c r="Q1996" s="199" t="str">
        <f>IF(B1996="","",IFERROR(IF('עלויות כח אדם (6)'!J1996&gt;=VLOOKUP(I1996,'סיווג התפקידים והעלויות'!$B$23:$C$32,2,0),"תקין","לא תקין"),""))</f>
        <v/>
      </c>
      <c r="R1996" s="199" t="str">
        <f t="shared" si="457"/>
        <v/>
      </c>
      <c r="S1996" s="199" t="str">
        <f t="shared" si="458"/>
        <v/>
      </c>
      <c r="T1996" s="199" t="str">
        <f t="shared" si="466"/>
        <v/>
      </c>
      <c r="U1996" s="199" t="str">
        <f t="shared" si="459"/>
        <v/>
      </c>
      <c r="V1996" s="989"/>
      <c r="X1996" s="374" t="str">
        <f t="shared" si="460"/>
        <v/>
      </c>
      <c r="Y1996" s="375" t="str">
        <f t="shared" si="461"/>
        <v/>
      </c>
      <c r="Z1996" s="374" t="str">
        <f t="shared" si="462"/>
        <v/>
      </c>
      <c r="AA1996" s="374" t="b">
        <f t="shared" si="463"/>
        <v>1</v>
      </c>
      <c r="AB1996" s="374">
        <f>COUNTIFS(B:B,B1996,H:H,'סיווג התפקידים והעלויות'!$C$2)</f>
        <v>0</v>
      </c>
      <c r="AC1996" s="374">
        <f>COUNTIFS(B:B,B1996,H:H,'סיווג התפקידים והעלויות'!$D$2)</f>
        <v>0</v>
      </c>
      <c r="AD1996" s="374" t="str">
        <f>IF(OR(AND(H1996='סיווג התפקידים והעלויות'!$A$2,I1996='סיווג התפקידים והעלויות'!$A$3),'עלויות כח אדם (6)'!H1996='סיווג התפקידים והעלויות'!$C$2,'עלויות כח אדם (6)'!H1996='סיווג התפקידים והעלויות'!$D$2),IF('עלויות כח אדם (6)'!J1996&lt;75,"לא תקין","תקין"),"")</f>
        <v/>
      </c>
      <c r="AE1996" s="374" t="str">
        <f t="shared" si="464"/>
        <v/>
      </c>
      <c r="AF1996" s="532" t="str">
        <f t="shared" si="465"/>
        <v/>
      </c>
    </row>
    <row r="1997" spans="2:32" x14ac:dyDescent="0.25">
      <c r="B1997" s="695"/>
      <c r="C1997" s="197" t="str">
        <f>IF(B1997&lt;&gt;"",IFERROR(VLOOKUP(B:B,'מצבת והרשמה (2)'!$C$20:$N$520,2,0)," ")," ")</f>
        <v xml:space="preserve"> </v>
      </c>
      <c r="D1997" s="695"/>
      <c r="E1997" s="696"/>
      <c r="F1997" s="696"/>
      <c r="G1997" s="696"/>
      <c r="H1997" s="696"/>
      <c r="I1997" s="1050" t="str">
        <f t="shared" si="452"/>
        <v/>
      </c>
      <c r="J1997" s="696"/>
      <c r="K1997" s="697"/>
      <c r="L1997" s="696"/>
      <c r="M1997" s="198" t="str">
        <f t="shared" si="453"/>
        <v/>
      </c>
      <c r="N1997" s="369" t="str">
        <f t="shared" si="454"/>
        <v/>
      </c>
      <c r="O1997" s="183" t="str">
        <f t="shared" si="455"/>
        <v/>
      </c>
      <c r="P1997" s="199" t="str">
        <f t="shared" si="456"/>
        <v/>
      </c>
      <c r="Q1997" s="199" t="str">
        <f>IF(B1997="","",IFERROR(IF('עלויות כח אדם (6)'!J1997&gt;=VLOOKUP(I1997,'סיווג התפקידים והעלויות'!$B$23:$C$32,2,0),"תקין","לא תקין"),""))</f>
        <v/>
      </c>
      <c r="R1997" s="199" t="str">
        <f t="shared" si="457"/>
        <v/>
      </c>
      <c r="S1997" s="199" t="str">
        <f t="shared" si="458"/>
        <v/>
      </c>
      <c r="T1997" s="199" t="str">
        <f t="shared" si="466"/>
        <v/>
      </c>
      <c r="U1997" s="199" t="str">
        <f t="shared" si="459"/>
        <v/>
      </c>
      <c r="V1997" s="989"/>
      <c r="X1997" s="374" t="str">
        <f t="shared" si="460"/>
        <v/>
      </c>
      <c r="Y1997" s="375" t="str">
        <f t="shared" si="461"/>
        <v/>
      </c>
      <c r="Z1997" s="374" t="str">
        <f t="shared" si="462"/>
        <v/>
      </c>
      <c r="AA1997" s="374" t="b">
        <f t="shared" si="463"/>
        <v>1</v>
      </c>
      <c r="AB1997" s="374">
        <f>COUNTIFS(B:B,B1997,H:H,'סיווג התפקידים והעלויות'!$C$2)</f>
        <v>0</v>
      </c>
      <c r="AC1997" s="374">
        <f>COUNTIFS(B:B,B1997,H:H,'סיווג התפקידים והעלויות'!$D$2)</f>
        <v>0</v>
      </c>
      <c r="AD1997" s="374" t="str">
        <f>IF(OR(AND(H1997='סיווג התפקידים והעלויות'!$A$2,I1997='סיווג התפקידים והעלויות'!$A$3),'עלויות כח אדם (6)'!H1997='סיווג התפקידים והעלויות'!$C$2,'עלויות כח אדם (6)'!H1997='סיווג התפקידים והעלויות'!$D$2),IF('עלויות כח אדם (6)'!J1997&lt;75,"לא תקין","תקין"),"")</f>
        <v/>
      </c>
      <c r="AE1997" s="374" t="str">
        <f t="shared" si="464"/>
        <v/>
      </c>
      <c r="AF1997" s="532" t="str">
        <f t="shared" si="465"/>
        <v/>
      </c>
    </row>
    <row r="1998" spans="2:32" x14ac:dyDescent="0.25">
      <c r="B1998" s="695"/>
      <c r="C1998" s="197" t="str">
        <f>IF(B1998&lt;&gt;"",IFERROR(VLOOKUP(B:B,'מצבת והרשמה (2)'!$C$20:$N$520,2,0)," ")," ")</f>
        <v xml:space="preserve"> </v>
      </c>
      <c r="D1998" s="695"/>
      <c r="E1998" s="696"/>
      <c r="F1998" s="696"/>
      <c r="G1998" s="696"/>
      <c r="H1998" s="696"/>
      <c r="I1998" s="1050" t="str">
        <f t="shared" si="452"/>
        <v/>
      </c>
      <c r="J1998" s="696"/>
      <c r="K1998" s="697"/>
      <c r="L1998" s="696"/>
      <c r="M1998" s="198" t="str">
        <f t="shared" si="453"/>
        <v/>
      </c>
      <c r="N1998" s="369" t="str">
        <f t="shared" si="454"/>
        <v/>
      </c>
      <c r="O1998" s="183" t="str">
        <f t="shared" si="455"/>
        <v/>
      </c>
      <c r="P1998" s="199" t="str">
        <f t="shared" si="456"/>
        <v/>
      </c>
      <c r="Q1998" s="199" t="str">
        <f>IF(B1998="","",IFERROR(IF('עלויות כח אדם (6)'!J1998&gt;=VLOOKUP(I1998,'סיווג התפקידים והעלויות'!$B$23:$C$32,2,0),"תקין","לא תקין"),""))</f>
        <v/>
      </c>
      <c r="R1998" s="199" t="str">
        <f t="shared" si="457"/>
        <v/>
      </c>
      <c r="S1998" s="199" t="str">
        <f t="shared" si="458"/>
        <v/>
      </c>
      <c r="T1998" s="199" t="str">
        <f t="shared" si="466"/>
        <v/>
      </c>
      <c r="U1998" s="199" t="str">
        <f t="shared" si="459"/>
        <v/>
      </c>
      <c r="V1998" s="989"/>
      <c r="X1998" s="374" t="str">
        <f t="shared" si="460"/>
        <v/>
      </c>
      <c r="Y1998" s="375" t="str">
        <f t="shared" si="461"/>
        <v/>
      </c>
      <c r="Z1998" s="374" t="str">
        <f t="shared" si="462"/>
        <v/>
      </c>
      <c r="AA1998" s="374" t="b">
        <f t="shared" si="463"/>
        <v>1</v>
      </c>
      <c r="AB1998" s="374">
        <f>COUNTIFS(B:B,B1998,H:H,'סיווג התפקידים והעלויות'!$C$2)</f>
        <v>0</v>
      </c>
      <c r="AC1998" s="374">
        <f>COUNTIFS(B:B,B1998,H:H,'סיווג התפקידים והעלויות'!$D$2)</f>
        <v>0</v>
      </c>
      <c r="AD1998" s="374" t="str">
        <f>IF(OR(AND(H1998='סיווג התפקידים והעלויות'!$A$2,I1998='סיווג התפקידים והעלויות'!$A$3),'עלויות כח אדם (6)'!H1998='סיווג התפקידים והעלויות'!$C$2,'עלויות כח אדם (6)'!H1998='סיווג התפקידים והעלויות'!$D$2),IF('עלויות כח אדם (6)'!J1998&lt;75,"לא תקין","תקין"),"")</f>
        <v/>
      </c>
      <c r="AE1998" s="374" t="str">
        <f t="shared" si="464"/>
        <v/>
      </c>
      <c r="AF1998" s="532" t="str">
        <f t="shared" si="465"/>
        <v/>
      </c>
    </row>
    <row r="1999" spans="2:32" x14ac:dyDescent="0.25">
      <c r="B1999" s="695"/>
      <c r="C1999" s="197" t="str">
        <f>IF(B1999&lt;&gt;"",IFERROR(VLOOKUP(B:B,'מצבת והרשמה (2)'!$C$20:$N$520,2,0)," ")," ")</f>
        <v xml:space="preserve"> </v>
      </c>
      <c r="D1999" s="695"/>
      <c r="E1999" s="696"/>
      <c r="F1999" s="696"/>
      <c r="G1999" s="696"/>
      <c r="H1999" s="696"/>
      <c r="I1999" s="1050" t="str">
        <f t="shared" ref="I1999:I2062" si="467">SUBSTITUTE(IFERROR(IF(H1999="מדצ","מדצ/ית",IF(H1999="סגנית רכזת מעל 150","סגנ/ית רכז/ת&gt;150",IF(H1999="רכזת תכנית בבית הספר","רכז/ת תכנית בבית הספר"))),""),"FALSE","")</f>
        <v/>
      </c>
      <c r="J1999" s="696"/>
      <c r="K1999" s="697"/>
      <c r="L1999" s="696"/>
      <c r="M1999" s="198" t="str">
        <f t="shared" ref="M1999:M2062" si="468">IF(AND(L1999&gt;0,K1999&gt;0),K1999*L1999,"")</f>
        <v/>
      </c>
      <c r="N1999" s="369" t="str">
        <f t="shared" ref="N1999:N2062" si="469">TEXT(LEFT(H1999,2),0)</f>
        <v/>
      </c>
      <c r="O1999" s="183" t="str">
        <f t="shared" ref="O1999:O2062" si="470">IF(ISNUMBER(M1999&gt;0),IF(ISBLANK(B1999),"יש להזין סמל מוסד בעמודה B",""),"")</f>
        <v/>
      </c>
      <c r="P1999" s="199" t="str">
        <f t="shared" ref="P1999:P2062" si="471">IF(B1999="","",IF(AA1999=FALSE,"לא תקין","תקין"))</f>
        <v/>
      </c>
      <c r="Q1999" s="199" t="str">
        <f>IF(B1999="","",IFERROR(IF('עלויות כח אדם (6)'!J1999&gt;=VLOOKUP(I1999,'סיווג התפקידים והעלויות'!$B$23:$C$32,2,0),"תקין","לא תקין"),""))</f>
        <v/>
      </c>
      <c r="R1999" s="199" t="str">
        <f t="shared" ref="R1999:R2062" si="472">IF(B1999="","",IF(OR(Y1999&lt;100%,Y1999&gt;140%),"לא תקין","תקין"))</f>
        <v/>
      </c>
      <c r="S1999" s="199" t="str">
        <f t="shared" ref="S1999:S2062" si="473">IF(B1999="","",IFERROR(IF(J1999&gt;120,"לא תקין","תקין"),""))</f>
        <v/>
      </c>
      <c r="T1999" s="199" t="str">
        <f t="shared" si="466"/>
        <v/>
      </c>
      <c r="U1999" s="199" t="str">
        <f t="shared" ref="U1999:U2062" si="474">IF(B1999="","",IF(Z1999&gt;1,IF(SUMIF(D:D,D1999,L:L)&gt;90,"לא תקין","תקין"),"תקין"))</f>
        <v/>
      </c>
      <c r="V1999" s="989"/>
      <c r="X1999" s="374" t="str">
        <f t="shared" ref="X1999:X2062" si="475">IF(B1999="","",IF(OR(R1999="לא תקין",S1999="לא תקין",T1999="לא תקין",,U1999="לא תקין"),"לא תקין","תקין"))</f>
        <v/>
      </c>
      <c r="Y1999" s="375" t="str">
        <f t="shared" ref="Y1999:Y2062" si="476">IFERROR(IF(B1999="","",K1999/J1999),"")</f>
        <v/>
      </c>
      <c r="Z1999" s="374" t="str">
        <f t="shared" ref="Z1999:Z2062" si="477">IF(B1999="","",COUNTIF(D:D,D1999))</f>
        <v/>
      </c>
      <c r="AA1999" s="374" t="b">
        <f t="shared" ref="AA1999:AA2062" si="478">MOD(MID(REPT(0,9-LEN(D1999))&amp;D1999,1,1)+MID("0246813579",MID(REPT(0,9-LEN(D1999))&amp;D1999,2,1)+1,1)+MID(REPT(0,9-LEN(D1999))&amp;D1999,3,1)+MID("0246813579",MID(REPT(0,9-LEN(D1999))&amp;D1999,4,1)+1,1)+MID(REPT(0,9-LEN(D1999))&amp;D1999,5,1)+MID("0246813579",MID(REPT(0,9-LEN(D1999))&amp;D1999,6,1)+1,1)+MID(REPT(0,9-LEN(D1999))&amp;D1999,7,1)+MID("0246813579",MID(REPT(0,9-LEN(D1999))&amp;D1999,8,1)+1,1)+MID(REPT(0,9-LEN(D1999))&amp;D1999,9,1),10)=0</f>
        <v>1</v>
      </c>
      <c r="AB1999" s="374">
        <f>COUNTIFS(B:B,B1999,H:H,'סיווג התפקידים והעלויות'!$C$2)</f>
        <v>0</v>
      </c>
      <c r="AC1999" s="374">
        <f>COUNTIFS(B:B,B1999,H:H,'סיווג התפקידים והעלויות'!$D$2)</f>
        <v>0</v>
      </c>
      <c r="AD1999" s="374" t="str">
        <f>IF(OR(AND(H1999='סיווג התפקידים והעלויות'!$A$2,I1999='סיווג התפקידים והעלויות'!$A$3),'עלויות כח אדם (6)'!H1999='סיווג התפקידים והעלויות'!$C$2,'עלויות כח אדם (6)'!H1999='סיווג התפקידים והעלויות'!$D$2),IF('עלויות כח אדם (6)'!J1999&lt;75,"לא תקין","תקין"),"")</f>
        <v/>
      </c>
      <c r="AE1999" s="374" t="str">
        <f t="shared" ref="AE1999:AE2062" si="479">IF(B1999&lt;&gt;"",B1999&amp;H1999,"")</f>
        <v/>
      </c>
      <c r="AF1999" s="532" t="str">
        <f t="shared" ref="AF1999:AF2062" si="480">M1999</f>
        <v/>
      </c>
    </row>
    <row r="2000" spans="2:32" x14ac:dyDescent="0.25">
      <c r="B2000" s="695"/>
      <c r="C2000" s="197" t="str">
        <f>IF(B2000&lt;&gt;"",IFERROR(VLOOKUP(B:B,'מצבת והרשמה (2)'!$C$20:$N$520,2,0)," ")," ")</f>
        <v xml:space="preserve"> </v>
      </c>
      <c r="D2000" s="695"/>
      <c r="E2000" s="696"/>
      <c r="F2000" s="696"/>
      <c r="G2000" s="696"/>
      <c r="H2000" s="696"/>
      <c r="I2000" s="1050" t="str">
        <f t="shared" si="467"/>
        <v/>
      </c>
      <c r="J2000" s="696"/>
      <c r="K2000" s="697"/>
      <c r="L2000" s="696"/>
      <c r="M2000" s="198" t="str">
        <f t="shared" si="468"/>
        <v/>
      </c>
      <c r="N2000" s="369" t="str">
        <f t="shared" si="469"/>
        <v/>
      </c>
      <c r="O2000" s="183" t="str">
        <f t="shared" si="470"/>
        <v/>
      </c>
      <c r="P2000" s="199" t="str">
        <f t="shared" si="471"/>
        <v/>
      </c>
      <c r="Q2000" s="199" t="str">
        <f>IF(B2000="","",IFERROR(IF('עלויות כח אדם (6)'!J2000&gt;=VLOOKUP(I2000,'סיווג התפקידים והעלויות'!$B$23:$C$32,2,0),"תקין","לא תקין"),""))</f>
        <v/>
      </c>
      <c r="R2000" s="199" t="str">
        <f t="shared" si="472"/>
        <v/>
      </c>
      <c r="S2000" s="199" t="str">
        <f t="shared" si="473"/>
        <v/>
      </c>
      <c r="T2000" s="199" t="str">
        <f t="shared" ref="T2000:T2063" si="481">IF(B2000="","",IF(H2000="","יש להזין איש צוות",IF(OR(H2000="מורה",H2000="גננת",H2000="רכז גן",H2000="רכזת גן",H2000="סייעת",H2000="מדצית",H2000="מדצ",H2000="מדריך",H2000="מדריכה",H2000="תוספת כח אדם"),IF(L2000&lt;=90,"תקין","לא תקין"),IF(OR(H2000="רכז בית ספר",H2000="רכזת תכנית בבית הספר",H2000="רכזת בית ספר"),IF(L2000&lt;=137,"תקין","לא תקין"),IF(OR(H2000="סגנית רכזת מעל 150",H2000="סגן רכז"),IF(L2000&lt;=93,"תקין","לא תקין"),"לא תקין")))))</f>
        <v/>
      </c>
      <c r="U2000" s="199" t="str">
        <f t="shared" si="474"/>
        <v/>
      </c>
      <c r="V2000" s="989"/>
      <c r="X2000" s="374" t="str">
        <f t="shared" si="475"/>
        <v/>
      </c>
      <c r="Y2000" s="375" t="str">
        <f t="shared" si="476"/>
        <v/>
      </c>
      <c r="Z2000" s="374" t="str">
        <f t="shared" si="477"/>
        <v/>
      </c>
      <c r="AA2000" s="374" t="b">
        <f t="shared" si="478"/>
        <v>1</v>
      </c>
      <c r="AB2000" s="374">
        <f>COUNTIFS(B:B,B2000,H:H,'סיווג התפקידים והעלויות'!$C$2)</f>
        <v>0</v>
      </c>
      <c r="AC2000" s="374">
        <f>COUNTIFS(B:B,B2000,H:H,'סיווג התפקידים והעלויות'!$D$2)</f>
        <v>0</v>
      </c>
      <c r="AD2000" s="374" t="str">
        <f>IF(OR(AND(H2000='סיווג התפקידים והעלויות'!$A$2,I2000='סיווג התפקידים והעלויות'!$A$3),'עלויות כח אדם (6)'!H2000='סיווג התפקידים והעלויות'!$C$2,'עלויות כח אדם (6)'!H2000='סיווג התפקידים והעלויות'!$D$2),IF('עלויות כח אדם (6)'!J2000&lt;75,"לא תקין","תקין"),"")</f>
        <v/>
      </c>
      <c r="AE2000" s="374" t="str">
        <f t="shared" si="479"/>
        <v/>
      </c>
      <c r="AF2000" s="532" t="str">
        <f t="shared" si="480"/>
        <v/>
      </c>
    </row>
    <row r="2001" spans="2:32" x14ac:dyDescent="0.25">
      <c r="B2001" s="695"/>
      <c r="C2001" s="197" t="str">
        <f>IF(B2001&lt;&gt;"",IFERROR(VLOOKUP(B:B,'מצבת והרשמה (2)'!$C$20:$N$520,2,0)," ")," ")</f>
        <v xml:space="preserve"> </v>
      </c>
      <c r="D2001" s="695"/>
      <c r="E2001" s="696"/>
      <c r="F2001" s="696"/>
      <c r="G2001" s="696"/>
      <c r="H2001" s="696"/>
      <c r="I2001" s="1050" t="str">
        <f t="shared" si="467"/>
        <v/>
      </c>
      <c r="J2001" s="696"/>
      <c r="K2001" s="697"/>
      <c r="L2001" s="696"/>
      <c r="M2001" s="198" t="str">
        <f t="shared" si="468"/>
        <v/>
      </c>
      <c r="N2001" s="369" t="str">
        <f t="shared" si="469"/>
        <v/>
      </c>
      <c r="O2001" s="183" t="str">
        <f t="shared" si="470"/>
        <v/>
      </c>
      <c r="P2001" s="199" t="str">
        <f t="shared" si="471"/>
        <v/>
      </c>
      <c r="Q2001" s="199" t="str">
        <f>IF(B2001="","",IFERROR(IF('עלויות כח אדם (6)'!J2001&gt;=VLOOKUP(I2001,'סיווג התפקידים והעלויות'!$B$23:$C$32,2,0),"תקין","לא תקין"),""))</f>
        <v/>
      </c>
      <c r="R2001" s="199" t="str">
        <f t="shared" si="472"/>
        <v/>
      </c>
      <c r="S2001" s="199" t="str">
        <f t="shared" si="473"/>
        <v/>
      </c>
      <c r="T2001" s="199" t="str">
        <f t="shared" si="481"/>
        <v/>
      </c>
      <c r="U2001" s="199" t="str">
        <f t="shared" si="474"/>
        <v/>
      </c>
      <c r="V2001" s="989"/>
      <c r="X2001" s="374" t="str">
        <f t="shared" si="475"/>
        <v/>
      </c>
      <c r="Y2001" s="375" t="str">
        <f t="shared" si="476"/>
        <v/>
      </c>
      <c r="Z2001" s="374" t="str">
        <f t="shared" si="477"/>
        <v/>
      </c>
      <c r="AA2001" s="374" t="b">
        <f t="shared" si="478"/>
        <v>1</v>
      </c>
      <c r="AB2001" s="374">
        <f>COUNTIFS(B:B,B2001,H:H,'סיווג התפקידים והעלויות'!$C$2)</f>
        <v>0</v>
      </c>
      <c r="AC2001" s="374">
        <f>COUNTIFS(B:B,B2001,H:H,'סיווג התפקידים והעלויות'!$D$2)</f>
        <v>0</v>
      </c>
      <c r="AD2001" s="374" t="str">
        <f>IF(OR(AND(H2001='סיווג התפקידים והעלויות'!$A$2,I2001='סיווג התפקידים והעלויות'!$A$3),'עלויות כח אדם (6)'!H2001='סיווג התפקידים והעלויות'!$C$2,'עלויות כח אדם (6)'!H2001='סיווג התפקידים והעלויות'!$D$2),IF('עלויות כח אדם (6)'!J2001&lt;75,"לא תקין","תקין"),"")</f>
        <v/>
      </c>
      <c r="AE2001" s="374" t="str">
        <f t="shared" si="479"/>
        <v/>
      </c>
      <c r="AF2001" s="532" t="str">
        <f t="shared" si="480"/>
        <v/>
      </c>
    </row>
    <row r="2002" spans="2:32" x14ac:dyDescent="0.25">
      <c r="B2002" s="695"/>
      <c r="C2002" s="197" t="str">
        <f>IF(B2002&lt;&gt;"",IFERROR(VLOOKUP(B:B,'מצבת והרשמה (2)'!$C$20:$N$520,2,0)," ")," ")</f>
        <v xml:space="preserve"> </v>
      </c>
      <c r="D2002" s="695"/>
      <c r="E2002" s="696"/>
      <c r="F2002" s="696"/>
      <c r="G2002" s="696"/>
      <c r="H2002" s="696"/>
      <c r="I2002" s="1050" t="str">
        <f t="shared" si="467"/>
        <v/>
      </c>
      <c r="J2002" s="696"/>
      <c r="K2002" s="697"/>
      <c r="L2002" s="696"/>
      <c r="M2002" s="198" t="str">
        <f t="shared" si="468"/>
        <v/>
      </c>
      <c r="N2002" s="369" t="str">
        <f t="shared" si="469"/>
        <v/>
      </c>
      <c r="O2002" s="183" t="str">
        <f t="shared" si="470"/>
        <v/>
      </c>
      <c r="P2002" s="199" t="str">
        <f t="shared" si="471"/>
        <v/>
      </c>
      <c r="Q2002" s="199" t="str">
        <f>IF(B2002="","",IFERROR(IF('עלויות כח אדם (6)'!J2002&gt;=VLOOKUP(I2002,'סיווג התפקידים והעלויות'!$B$23:$C$32,2,0),"תקין","לא תקין"),""))</f>
        <v/>
      </c>
      <c r="R2002" s="199" t="str">
        <f t="shared" si="472"/>
        <v/>
      </c>
      <c r="S2002" s="199" t="str">
        <f t="shared" si="473"/>
        <v/>
      </c>
      <c r="T2002" s="199" t="str">
        <f t="shared" si="481"/>
        <v/>
      </c>
      <c r="U2002" s="199" t="str">
        <f t="shared" si="474"/>
        <v/>
      </c>
      <c r="V2002" s="989"/>
      <c r="X2002" s="374" t="str">
        <f t="shared" si="475"/>
        <v/>
      </c>
      <c r="Y2002" s="375" t="str">
        <f t="shared" si="476"/>
        <v/>
      </c>
      <c r="Z2002" s="374" t="str">
        <f t="shared" si="477"/>
        <v/>
      </c>
      <c r="AA2002" s="374" t="b">
        <f t="shared" si="478"/>
        <v>1</v>
      </c>
      <c r="AB2002" s="374">
        <f>COUNTIFS(B:B,B2002,H:H,'סיווג התפקידים והעלויות'!$C$2)</f>
        <v>0</v>
      </c>
      <c r="AC2002" s="374">
        <f>COUNTIFS(B:B,B2002,H:H,'סיווג התפקידים והעלויות'!$D$2)</f>
        <v>0</v>
      </c>
      <c r="AD2002" s="374" t="str">
        <f>IF(OR(AND(H2002='סיווג התפקידים והעלויות'!$A$2,I2002='סיווג התפקידים והעלויות'!$A$3),'עלויות כח אדם (6)'!H2002='סיווג התפקידים והעלויות'!$C$2,'עלויות כח אדם (6)'!H2002='סיווג התפקידים והעלויות'!$D$2),IF('עלויות כח אדם (6)'!J2002&lt;75,"לא תקין","תקין"),"")</f>
        <v/>
      </c>
      <c r="AE2002" s="374" t="str">
        <f t="shared" si="479"/>
        <v/>
      </c>
      <c r="AF2002" s="532" t="str">
        <f t="shared" si="480"/>
        <v/>
      </c>
    </row>
    <row r="2003" spans="2:32" x14ac:dyDescent="0.25">
      <c r="B2003" s="695"/>
      <c r="C2003" s="197" t="str">
        <f>IF(B2003&lt;&gt;"",IFERROR(VLOOKUP(B:B,'מצבת והרשמה (2)'!$C$20:$N$520,2,0)," ")," ")</f>
        <v xml:space="preserve"> </v>
      </c>
      <c r="D2003" s="695"/>
      <c r="E2003" s="696"/>
      <c r="F2003" s="696"/>
      <c r="G2003" s="696"/>
      <c r="H2003" s="696"/>
      <c r="I2003" s="1050" t="str">
        <f t="shared" si="467"/>
        <v/>
      </c>
      <c r="J2003" s="696"/>
      <c r="K2003" s="697"/>
      <c r="L2003" s="696"/>
      <c r="M2003" s="198" t="str">
        <f t="shared" si="468"/>
        <v/>
      </c>
      <c r="N2003" s="369" t="str">
        <f t="shared" si="469"/>
        <v/>
      </c>
      <c r="O2003" s="183" t="str">
        <f t="shared" si="470"/>
        <v/>
      </c>
      <c r="P2003" s="199" t="str">
        <f t="shared" si="471"/>
        <v/>
      </c>
      <c r="Q2003" s="199" t="str">
        <f>IF(B2003="","",IFERROR(IF('עלויות כח אדם (6)'!J2003&gt;=VLOOKUP(I2003,'סיווג התפקידים והעלויות'!$B$23:$C$32,2,0),"תקין","לא תקין"),""))</f>
        <v/>
      </c>
      <c r="R2003" s="199" t="str">
        <f t="shared" si="472"/>
        <v/>
      </c>
      <c r="S2003" s="199" t="str">
        <f t="shared" si="473"/>
        <v/>
      </c>
      <c r="T2003" s="199" t="str">
        <f t="shared" si="481"/>
        <v/>
      </c>
      <c r="U2003" s="199" t="str">
        <f t="shared" si="474"/>
        <v/>
      </c>
      <c r="V2003" s="989"/>
      <c r="X2003" s="374" t="str">
        <f t="shared" si="475"/>
        <v/>
      </c>
      <c r="Y2003" s="375" t="str">
        <f t="shared" si="476"/>
        <v/>
      </c>
      <c r="Z2003" s="374" t="str">
        <f t="shared" si="477"/>
        <v/>
      </c>
      <c r="AA2003" s="374" t="b">
        <f t="shared" si="478"/>
        <v>1</v>
      </c>
      <c r="AB2003" s="374">
        <f>COUNTIFS(B:B,B2003,H:H,'סיווג התפקידים והעלויות'!$C$2)</f>
        <v>0</v>
      </c>
      <c r="AC2003" s="374">
        <f>COUNTIFS(B:B,B2003,H:H,'סיווג התפקידים והעלויות'!$D$2)</f>
        <v>0</v>
      </c>
      <c r="AD2003" s="374" t="str">
        <f>IF(OR(AND(H2003='סיווג התפקידים והעלויות'!$A$2,I2003='סיווג התפקידים והעלויות'!$A$3),'עלויות כח אדם (6)'!H2003='סיווג התפקידים והעלויות'!$C$2,'עלויות כח אדם (6)'!H2003='סיווג התפקידים והעלויות'!$D$2),IF('עלויות כח אדם (6)'!J2003&lt;75,"לא תקין","תקין"),"")</f>
        <v/>
      </c>
      <c r="AE2003" s="374" t="str">
        <f t="shared" si="479"/>
        <v/>
      </c>
      <c r="AF2003" s="532" t="str">
        <f t="shared" si="480"/>
        <v/>
      </c>
    </row>
    <row r="2004" spans="2:32" x14ac:dyDescent="0.25">
      <c r="B2004" s="695"/>
      <c r="C2004" s="197" t="str">
        <f>IF(B2004&lt;&gt;"",IFERROR(VLOOKUP(B:B,'מצבת והרשמה (2)'!$C$20:$N$520,2,0)," ")," ")</f>
        <v xml:space="preserve"> </v>
      </c>
      <c r="D2004" s="695"/>
      <c r="E2004" s="696"/>
      <c r="F2004" s="696"/>
      <c r="G2004" s="696"/>
      <c r="H2004" s="696"/>
      <c r="I2004" s="1050" t="str">
        <f t="shared" si="467"/>
        <v/>
      </c>
      <c r="J2004" s="696"/>
      <c r="K2004" s="697"/>
      <c r="L2004" s="696"/>
      <c r="M2004" s="198" t="str">
        <f t="shared" si="468"/>
        <v/>
      </c>
      <c r="N2004" s="369" t="str">
        <f t="shared" si="469"/>
        <v/>
      </c>
      <c r="O2004" s="183" t="str">
        <f t="shared" si="470"/>
        <v/>
      </c>
      <c r="P2004" s="199" t="str">
        <f t="shared" si="471"/>
        <v/>
      </c>
      <c r="Q2004" s="199" t="str">
        <f>IF(B2004="","",IFERROR(IF('עלויות כח אדם (6)'!J2004&gt;=VLOOKUP(I2004,'סיווג התפקידים והעלויות'!$B$23:$C$32,2,0),"תקין","לא תקין"),""))</f>
        <v/>
      </c>
      <c r="R2004" s="199" t="str">
        <f t="shared" si="472"/>
        <v/>
      </c>
      <c r="S2004" s="199" t="str">
        <f t="shared" si="473"/>
        <v/>
      </c>
      <c r="T2004" s="199" t="str">
        <f t="shared" si="481"/>
        <v/>
      </c>
      <c r="U2004" s="199" t="str">
        <f t="shared" si="474"/>
        <v/>
      </c>
      <c r="V2004" s="989"/>
      <c r="X2004" s="374" t="str">
        <f t="shared" si="475"/>
        <v/>
      </c>
      <c r="Y2004" s="375" t="str">
        <f t="shared" si="476"/>
        <v/>
      </c>
      <c r="Z2004" s="374" t="str">
        <f t="shared" si="477"/>
        <v/>
      </c>
      <c r="AA2004" s="374" t="b">
        <f t="shared" si="478"/>
        <v>1</v>
      </c>
      <c r="AB2004" s="374">
        <f>COUNTIFS(B:B,B2004,H:H,'סיווג התפקידים והעלויות'!$C$2)</f>
        <v>0</v>
      </c>
      <c r="AC2004" s="374">
        <f>COUNTIFS(B:B,B2004,H:H,'סיווג התפקידים והעלויות'!$D$2)</f>
        <v>0</v>
      </c>
      <c r="AD2004" s="374" t="str">
        <f>IF(OR(AND(H2004='סיווג התפקידים והעלויות'!$A$2,I2004='סיווג התפקידים והעלויות'!$A$3),'עלויות כח אדם (6)'!H2004='סיווג התפקידים והעלויות'!$C$2,'עלויות כח אדם (6)'!H2004='סיווג התפקידים והעלויות'!$D$2),IF('עלויות כח אדם (6)'!J2004&lt;75,"לא תקין","תקין"),"")</f>
        <v/>
      </c>
      <c r="AE2004" s="374" t="str">
        <f t="shared" si="479"/>
        <v/>
      </c>
      <c r="AF2004" s="532" t="str">
        <f t="shared" si="480"/>
        <v/>
      </c>
    </row>
    <row r="2005" spans="2:32" x14ac:dyDescent="0.25">
      <c r="B2005" s="695"/>
      <c r="C2005" s="197" t="str">
        <f>IF(B2005&lt;&gt;"",IFERROR(VLOOKUP(B:B,'מצבת והרשמה (2)'!$C$20:$N$520,2,0)," ")," ")</f>
        <v xml:space="preserve"> </v>
      </c>
      <c r="D2005" s="695"/>
      <c r="E2005" s="696"/>
      <c r="F2005" s="696"/>
      <c r="G2005" s="696"/>
      <c r="H2005" s="696"/>
      <c r="I2005" s="1050" t="str">
        <f t="shared" si="467"/>
        <v/>
      </c>
      <c r="J2005" s="696"/>
      <c r="K2005" s="697"/>
      <c r="L2005" s="696"/>
      <c r="M2005" s="198" t="str">
        <f t="shared" si="468"/>
        <v/>
      </c>
      <c r="N2005" s="369" t="str">
        <f t="shared" si="469"/>
        <v/>
      </c>
      <c r="O2005" s="183" t="str">
        <f t="shared" si="470"/>
        <v/>
      </c>
      <c r="P2005" s="199" t="str">
        <f t="shared" si="471"/>
        <v/>
      </c>
      <c r="Q2005" s="199" t="str">
        <f>IF(B2005="","",IFERROR(IF('עלויות כח אדם (6)'!J2005&gt;=VLOOKUP(I2005,'סיווג התפקידים והעלויות'!$B$23:$C$32,2,0),"תקין","לא תקין"),""))</f>
        <v/>
      </c>
      <c r="R2005" s="199" t="str">
        <f t="shared" si="472"/>
        <v/>
      </c>
      <c r="S2005" s="199" t="str">
        <f t="shared" si="473"/>
        <v/>
      </c>
      <c r="T2005" s="199" t="str">
        <f t="shared" si="481"/>
        <v/>
      </c>
      <c r="U2005" s="199" t="str">
        <f t="shared" si="474"/>
        <v/>
      </c>
      <c r="V2005" s="989"/>
      <c r="X2005" s="374" t="str">
        <f t="shared" si="475"/>
        <v/>
      </c>
      <c r="Y2005" s="375" t="str">
        <f t="shared" si="476"/>
        <v/>
      </c>
      <c r="Z2005" s="374" t="str">
        <f t="shared" si="477"/>
        <v/>
      </c>
      <c r="AA2005" s="374" t="b">
        <f t="shared" si="478"/>
        <v>1</v>
      </c>
      <c r="AB2005" s="374">
        <f>COUNTIFS(B:B,B2005,H:H,'סיווג התפקידים והעלויות'!$C$2)</f>
        <v>0</v>
      </c>
      <c r="AC2005" s="374">
        <f>COUNTIFS(B:B,B2005,H:H,'סיווג התפקידים והעלויות'!$D$2)</f>
        <v>0</v>
      </c>
      <c r="AD2005" s="374" t="str">
        <f>IF(OR(AND(H2005='סיווג התפקידים והעלויות'!$A$2,I2005='סיווג התפקידים והעלויות'!$A$3),'עלויות כח אדם (6)'!H2005='סיווג התפקידים והעלויות'!$C$2,'עלויות כח אדם (6)'!H2005='סיווג התפקידים והעלויות'!$D$2),IF('עלויות כח אדם (6)'!J2005&lt;75,"לא תקין","תקין"),"")</f>
        <v/>
      </c>
      <c r="AE2005" s="374" t="str">
        <f t="shared" si="479"/>
        <v/>
      </c>
      <c r="AF2005" s="532" t="str">
        <f t="shared" si="480"/>
        <v/>
      </c>
    </row>
    <row r="2006" spans="2:32" x14ac:dyDescent="0.25">
      <c r="B2006" s="695"/>
      <c r="C2006" s="197" t="str">
        <f>IF(B2006&lt;&gt;"",IFERROR(VLOOKUP(B:B,'מצבת והרשמה (2)'!$C$20:$N$520,2,0)," ")," ")</f>
        <v xml:space="preserve"> </v>
      </c>
      <c r="D2006" s="695"/>
      <c r="E2006" s="696"/>
      <c r="F2006" s="696"/>
      <c r="G2006" s="696"/>
      <c r="H2006" s="696"/>
      <c r="I2006" s="1050" t="str">
        <f t="shared" si="467"/>
        <v/>
      </c>
      <c r="J2006" s="696"/>
      <c r="K2006" s="697"/>
      <c r="L2006" s="696"/>
      <c r="M2006" s="198" t="str">
        <f t="shared" si="468"/>
        <v/>
      </c>
      <c r="N2006" s="369" t="str">
        <f t="shared" si="469"/>
        <v/>
      </c>
      <c r="O2006" s="183" t="str">
        <f t="shared" si="470"/>
        <v/>
      </c>
      <c r="P2006" s="199" t="str">
        <f t="shared" si="471"/>
        <v/>
      </c>
      <c r="Q2006" s="199" t="str">
        <f>IF(B2006="","",IFERROR(IF('עלויות כח אדם (6)'!J2006&gt;=VLOOKUP(I2006,'סיווג התפקידים והעלויות'!$B$23:$C$32,2,0),"תקין","לא תקין"),""))</f>
        <v/>
      </c>
      <c r="R2006" s="199" t="str">
        <f t="shared" si="472"/>
        <v/>
      </c>
      <c r="S2006" s="199" t="str">
        <f t="shared" si="473"/>
        <v/>
      </c>
      <c r="T2006" s="199" t="str">
        <f t="shared" si="481"/>
        <v/>
      </c>
      <c r="U2006" s="199" t="str">
        <f t="shared" si="474"/>
        <v/>
      </c>
      <c r="V2006" s="989"/>
      <c r="X2006" s="374" t="str">
        <f t="shared" si="475"/>
        <v/>
      </c>
      <c r="Y2006" s="375" t="str">
        <f t="shared" si="476"/>
        <v/>
      </c>
      <c r="Z2006" s="374" t="str">
        <f t="shared" si="477"/>
        <v/>
      </c>
      <c r="AA2006" s="374" t="b">
        <f t="shared" si="478"/>
        <v>1</v>
      </c>
      <c r="AB2006" s="374">
        <f>COUNTIFS(B:B,B2006,H:H,'סיווג התפקידים והעלויות'!$C$2)</f>
        <v>0</v>
      </c>
      <c r="AC2006" s="374">
        <f>COUNTIFS(B:B,B2006,H:H,'סיווג התפקידים והעלויות'!$D$2)</f>
        <v>0</v>
      </c>
      <c r="AD2006" s="374" t="str">
        <f>IF(OR(AND(H2006='סיווג התפקידים והעלויות'!$A$2,I2006='סיווג התפקידים והעלויות'!$A$3),'עלויות כח אדם (6)'!H2006='סיווג התפקידים והעלויות'!$C$2,'עלויות כח אדם (6)'!H2006='סיווג התפקידים והעלויות'!$D$2),IF('עלויות כח אדם (6)'!J2006&lt;75,"לא תקין","תקין"),"")</f>
        <v/>
      </c>
      <c r="AE2006" s="374" t="str">
        <f t="shared" si="479"/>
        <v/>
      </c>
      <c r="AF2006" s="532" t="str">
        <f t="shared" si="480"/>
        <v/>
      </c>
    </row>
    <row r="2007" spans="2:32" x14ac:dyDescent="0.25">
      <c r="B2007" s="695"/>
      <c r="C2007" s="197" t="str">
        <f>IF(B2007&lt;&gt;"",IFERROR(VLOOKUP(B:B,'מצבת והרשמה (2)'!$C$20:$N$520,2,0)," ")," ")</f>
        <v xml:space="preserve"> </v>
      </c>
      <c r="D2007" s="695"/>
      <c r="E2007" s="696"/>
      <c r="F2007" s="696"/>
      <c r="G2007" s="696"/>
      <c r="H2007" s="696"/>
      <c r="I2007" s="1050" t="str">
        <f t="shared" si="467"/>
        <v/>
      </c>
      <c r="J2007" s="696"/>
      <c r="K2007" s="697"/>
      <c r="L2007" s="696"/>
      <c r="M2007" s="198" t="str">
        <f t="shared" si="468"/>
        <v/>
      </c>
      <c r="N2007" s="369" t="str">
        <f t="shared" si="469"/>
        <v/>
      </c>
      <c r="O2007" s="183" t="str">
        <f t="shared" si="470"/>
        <v/>
      </c>
      <c r="P2007" s="199" t="str">
        <f t="shared" si="471"/>
        <v/>
      </c>
      <c r="Q2007" s="199" t="str">
        <f>IF(B2007="","",IFERROR(IF('עלויות כח אדם (6)'!J2007&gt;=VLOOKUP(I2007,'סיווג התפקידים והעלויות'!$B$23:$C$32,2,0),"תקין","לא תקין"),""))</f>
        <v/>
      </c>
      <c r="R2007" s="199" t="str">
        <f t="shared" si="472"/>
        <v/>
      </c>
      <c r="S2007" s="199" t="str">
        <f t="shared" si="473"/>
        <v/>
      </c>
      <c r="T2007" s="199" t="str">
        <f t="shared" si="481"/>
        <v/>
      </c>
      <c r="U2007" s="199" t="str">
        <f t="shared" si="474"/>
        <v/>
      </c>
      <c r="V2007" s="989"/>
      <c r="X2007" s="374" t="str">
        <f t="shared" si="475"/>
        <v/>
      </c>
      <c r="Y2007" s="375" t="str">
        <f t="shared" si="476"/>
        <v/>
      </c>
      <c r="Z2007" s="374" t="str">
        <f t="shared" si="477"/>
        <v/>
      </c>
      <c r="AA2007" s="374" t="b">
        <f t="shared" si="478"/>
        <v>1</v>
      </c>
      <c r="AB2007" s="374">
        <f>COUNTIFS(B:B,B2007,H:H,'סיווג התפקידים והעלויות'!$C$2)</f>
        <v>0</v>
      </c>
      <c r="AC2007" s="374">
        <f>COUNTIFS(B:B,B2007,H:H,'סיווג התפקידים והעלויות'!$D$2)</f>
        <v>0</v>
      </c>
      <c r="AD2007" s="374" t="str">
        <f>IF(OR(AND(H2007='סיווג התפקידים והעלויות'!$A$2,I2007='סיווג התפקידים והעלויות'!$A$3),'עלויות כח אדם (6)'!H2007='סיווג התפקידים והעלויות'!$C$2,'עלויות כח אדם (6)'!H2007='סיווג התפקידים והעלויות'!$D$2),IF('עלויות כח אדם (6)'!J2007&lt;75,"לא תקין","תקין"),"")</f>
        <v/>
      </c>
      <c r="AE2007" s="374" t="str">
        <f t="shared" si="479"/>
        <v/>
      </c>
      <c r="AF2007" s="532" t="str">
        <f t="shared" si="480"/>
        <v/>
      </c>
    </row>
    <row r="2008" spans="2:32" x14ac:dyDescent="0.25">
      <c r="B2008" s="695"/>
      <c r="C2008" s="197" t="str">
        <f>IF(B2008&lt;&gt;"",IFERROR(VLOOKUP(B:B,'מצבת והרשמה (2)'!$C$20:$N$520,2,0)," ")," ")</f>
        <v xml:space="preserve"> </v>
      </c>
      <c r="D2008" s="695"/>
      <c r="E2008" s="696"/>
      <c r="F2008" s="696"/>
      <c r="G2008" s="696"/>
      <c r="H2008" s="696"/>
      <c r="I2008" s="1050" t="str">
        <f t="shared" si="467"/>
        <v/>
      </c>
      <c r="J2008" s="696"/>
      <c r="K2008" s="697"/>
      <c r="L2008" s="696"/>
      <c r="M2008" s="198" t="str">
        <f t="shared" si="468"/>
        <v/>
      </c>
      <c r="N2008" s="369" t="str">
        <f t="shared" si="469"/>
        <v/>
      </c>
      <c r="O2008" s="183" t="str">
        <f t="shared" si="470"/>
        <v/>
      </c>
      <c r="P2008" s="199" t="str">
        <f t="shared" si="471"/>
        <v/>
      </c>
      <c r="Q2008" s="199" t="str">
        <f>IF(B2008="","",IFERROR(IF('עלויות כח אדם (6)'!J2008&gt;=VLOOKUP(I2008,'סיווג התפקידים והעלויות'!$B$23:$C$32,2,0),"תקין","לא תקין"),""))</f>
        <v/>
      </c>
      <c r="R2008" s="199" t="str">
        <f t="shared" si="472"/>
        <v/>
      </c>
      <c r="S2008" s="199" t="str">
        <f t="shared" si="473"/>
        <v/>
      </c>
      <c r="T2008" s="199" t="str">
        <f t="shared" si="481"/>
        <v/>
      </c>
      <c r="U2008" s="199" t="str">
        <f t="shared" si="474"/>
        <v/>
      </c>
      <c r="V2008" s="989"/>
      <c r="X2008" s="374" t="str">
        <f t="shared" si="475"/>
        <v/>
      </c>
      <c r="Y2008" s="375" t="str">
        <f t="shared" si="476"/>
        <v/>
      </c>
      <c r="Z2008" s="374" t="str">
        <f t="shared" si="477"/>
        <v/>
      </c>
      <c r="AA2008" s="374" t="b">
        <f t="shared" si="478"/>
        <v>1</v>
      </c>
      <c r="AB2008" s="374">
        <f>COUNTIFS(B:B,B2008,H:H,'סיווג התפקידים והעלויות'!$C$2)</f>
        <v>0</v>
      </c>
      <c r="AC2008" s="374">
        <f>COUNTIFS(B:B,B2008,H:H,'סיווג התפקידים והעלויות'!$D$2)</f>
        <v>0</v>
      </c>
      <c r="AD2008" s="374" t="str">
        <f>IF(OR(AND(H2008='סיווג התפקידים והעלויות'!$A$2,I2008='סיווג התפקידים והעלויות'!$A$3),'עלויות כח אדם (6)'!H2008='סיווג התפקידים והעלויות'!$C$2,'עלויות כח אדם (6)'!H2008='סיווג התפקידים והעלויות'!$D$2),IF('עלויות כח אדם (6)'!J2008&lt;75,"לא תקין","תקין"),"")</f>
        <v/>
      </c>
      <c r="AE2008" s="374" t="str">
        <f t="shared" si="479"/>
        <v/>
      </c>
      <c r="AF2008" s="532" t="str">
        <f t="shared" si="480"/>
        <v/>
      </c>
    </row>
    <row r="2009" spans="2:32" x14ac:dyDescent="0.25">
      <c r="B2009" s="695"/>
      <c r="C2009" s="197" t="str">
        <f>IF(B2009&lt;&gt;"",IFERROR(VLOOKUP(B:B,'מצבת והרשמה (2)'!$C$20:$N$520,2,0)," ")," ")</f>
        <v xml:space="preserve"> </v>
      </c>
      <c r="D2009" s="695"/>
      <c r="E2009" s="696"/>
      <c r="F2009" s="696"/>
      <c r="G2009" s="696"/>
      <c r="H2009" s="696"/>
      <c r="I2009" s="1050" t="str">
        <f t="shared" si="467"/>
        <v/>
      </c>
      <c r="J2009" s="696"/>
      <c r="K2009" s="697"/>
      <c r="L2009" s="696"/>
      <c r="M2009" s="198" t="str">
        <f t="shared" si="468"/>
        <v/>
      </c>
      <c r="N2009" s="369" t="str">
        <f t="shared" si="469"/>
        <v/>
      </c>
      <c r="O2009" s="183" t="str">
        <f t="shared" si="470"/>
        <v/>
      </c>
      <c r="P2009" s="199" t="str">
        <f t="shared" si="471"/>
        <v/>
      </c>
      <c r="Q2009" s="199" t="str">
        <f>IF(B2009="","",IFERROR(IF('עלויות כח אדם (6)'!J2009&gt;=VLOOKUP(I2009,'סיווג התפקידים והעלויות'!$B$23:$C$32,2,0),"תקין","לא תקין"),""))</f>
        <v/>
      </c>
      <c r="R2009" s="199" t="str">
        <f t="shared" si="472"/>
        <v/>
      </c>
      <c r="S2009" s="199" t="str">
        <f t="shared" si="473"/>
        <v/>
      </c>
      <c r="T2009" s="199" t="str">
        <f t="shared" si="481"/>
        <v/>
      </c>
      <c r="U2009" s="199" t="str">
        <f t="shared" si="474"/>
        <v/>
      </c>
      <c r="V2009" s="989"/>
      <c r="X2009" s="374" t="str">
        <f t="shared" si="475"/>
        <v/>
      </c>
      <c r="Y2009" s="375" t="str">
        <f t="shared" si="476"/>
        <v/>
      </c>
      <c r="Z2009" s="374" t="str">
        <f t="shared" si="477"/>
        <v/>
      </c>
      <c r="AA2009" s="374" t="b">
        <f t="shared" si="478"/>
        <v>1</v>
      </c>
      <c r="AB2009" s="374">
        <f>COUNTIFS(B:B,B2009,H:H,'סיווג התפקידים והעלויות'!$C$2)</f>
        <v>0</v>
      </c>
      <c r="AC2009" s="374">
        <f>COUNTIFS(B:B,B2009,H:H,'סיווג התפקידים והעלויות'!$D$2)</f>
        <v>0</v>
      </c>
      <c r="AD2009" s="374" t="str">
        <f>IF(OR(AND(H2009='סיווג התפקידים והעלויות'!$A$2,I2009='סיווג התפקידים והעלויות'!$A$3),'עלויות כח אדם (6)'!H2009='סיווג התפקידים והעלויות'!$C$2,'עלויות כח אדם (6)'!H2009='סיווג התפקידים והעלויות'!$D$2),IF('עלויות כח אדם (6)'!J2009&lt;75,"לא תקין","תקין"),"")</f>
        <v/>
      </c>
      <c r="AE2009" s="374" t="str">
        <f t="shared" si="479"/>
        <v/>
      </c>
      <c r="AF2009" s="532" t="str">
        <f t="shared" si="480"/>
        <v/>
      </c>
    </row>
    <row r="2010" spans="2:32" x14ac:dyDescent="0.25">
      <c r="B2010" s="695"/>
      <c r="C2010" s="197" t="str">
        <f>IF(B2010&lt;&gt;"",IFERROR(VLOOKUP(B:B,'מצבת והרשמה (2)'!$C$20:$N$520,2,0)," ")," ")</f>
        <v xml:space="preserve"> </v>
      </c>
      <c r="D2010" s="695"/>
      <c r="E2010" s="696"/>
      <c r="F2010" s="696"/>
      <c r="G2010" s="696"/>
      <c r="H2010" s="696"/>
      <c r="I2010" s="1050" t="str">
        <f t="shared" si="467"/>
        <v/>
      </c>
      <c r="J2010" s="696"/>
      <c r="K2010" s="697"/>
      <c r="L2010" s="696"/>
      <c r="M2010" s="198" t="str">
        <f t="shared" si="468"/>
        <v/>
      </c>
      <c r="N2010" s="369" t="str">
        <f t="shared" si="469"/>
        <v/>
      </c>
      <c r="O2010" s="183" t="str">
        <f t="shared" si="470"/>
        <v/>
      </c>
      <c r="P2010" s="199" t="str">
        <f t="shared" si="471"/>
        <v/>
      </c>
      <c r="Q2010" s="199" t="str">
        <f>IF(B2010="","",IFERROR(IF('עלויות כח אדם (6)'!J2010&gt;=VLOOKUP(I2010,'סיווג התפקידים והעלויות'!$B$23:$C$32,2,0),"תקין","לא תקין"),""))</f>
        <v/>
      </c>
      <c r="R2010" s="199" t="str">
        <f t="shared" si="472"/>
        <v/>
      </c>
      <c r="S2010" s="199" t="str">
        <f t="shared" si="473"/>
        <v/>
      </c>
      <c r="T2010" s="199" t="str">
        <f t="shared" si="481"/>
        <v/>
      </c>
      <c r="U2010" s="199" t="str">
        <f t="shared" si="474"/>
        <v/>
      </c>
      <c r="V2010" s="989"/>
      <c r="X2010" s="374" t="str">
        <f t="shared" si="475"/>
        <v/>
      </c>
      <c r="Y2010" s="375" t="str">
        <f t="shared" si="476"/>
        <v/>
      </c>
      <c r="Z2010" s="374" t="str">
        <f t="shared" si="477"/>
        <v/>
      </c>
      <c r="AA2010" s="374" t="b">
        <f t="shared" si="478"/>
        <v>1</v>
      </c>
      <c r="AB2010" s="374">
        <f>COUNTIFS(B:B,B2010,H:H,'סיווג התפקידים והעלויות'!$C$2)</f>
        <v>0</v>
      </c>
      <c r="AC2010" s="374">
        <f>COUNTIFS(B:B,B2010,H:H,'סיווג התפקידים והעלויות'!$D$2)</f>
        <v>0</v>
      </c>
      <c r="AD2010" s="374" t="str">
        <f>IF(OR(AND(H2010='סיווג התפקידים והעלויות'!$A$2,I2010='סיווג התפקידים והעלויות'!$A$3),'עלויות כח אדם (6)'!H2010='סיווג התפקידים והעלויות'!$C$2,'עלויות כח אדם (6)'!H2010='סיווג התפקידים והעלויות'!$D$2),IF('עלויות כח אדם (6)'!J2010&lt;75,"לא תקין","תקין"),"")</f>
        <v/>
      </c>
      <c r="AE2010" s="374" t="str">
        <f t="shared" si="479"/>
        <v/>
      </c>
      <c r="AF2010" s="532" t="str">
        <f t="shared" si="480"/>
        <v/>
      </c>
    </row>
    <row r="2011" spans="2:32" x14ac:dyDescent="0.25">
      <c r="B2011" s="695"/>
      <c r="C2011" s="197" t="str">
        <f>IF(B2011&lt;&gt;"",IFERROR(VLOOKUP(B:B,'מצבת והרשמה (2)'!$C$20:$N$520,2,0)," ")," ")</f>
        <v xml:space="preserve"> </v>
      </c>
      <c r="D2011" s="695"/>
      <c r="E2011" s="696"/>
      <c r="F2011" s="696"/>
      <c r="G2011" s="696"/>
      <c r="H2011" s="696"/>
      <c r="I2011" s="1050" t="str">
        <f t="shared" si="467"/>
        <v/>
      </c>
      <c r="J2011" s="696"/>
      <c r="K2011" s="697"/>
      <c r="L2011" s="696"/>
      <c r="M2011" s="198" t="str">
        <f t="shared" si="468"/>
        <v/>
      </c>
      <c r="N2011" s="369" t="str">
        <f t="shared" si="469"/>
        <v/>
      </c>
      <c r="O2011" s="183" t="str">
        <f t="shared" si="470"/>
        <v/>
      </c>
      <c r="P2011" s="199" t="str">
        <f t="shared" si="471"/>
        <v/>
      </c>
      <c r="Q2011" s="199" t="str">
        <f>IF(B2011="","",IFERROR(IF('עלויות כח אדם (6)'!J2011&gt;=VLOOKUP(I2011,'סיווג התפקידים והעלויות'!$B$23:$C$32,2,0),"תקין","לא תקין"),""))</f>
        <v/>
      </c>
      <c r="R2011" s="199" t="str">
        <f t="shared" si="472"/>
        <v/>
      </c>
      <c r="S2011" s="199" t="str">
        <f t="shared" si="473"/>
        <v/>
      </c>
      <c r="T2011" s="199" t="str">
        <f t="shared" si="481"/>
        <v/>
      </c>
      <c r="U2011" s="199" t="str">
        <f t="shared" si="474"/>
        <v/>
      </c>
      <c r="V2011" s="989"/>
      <c r="X2011" s="374" t="str">
        <f t="shared" si="475"/>
        <v/>
      </c>
      <c r="Y2011" s="375" t="str">
        <f t="shared" si="476"/>
        <v/>
      </c>
      <c r="Z2011" s="374" t="str">
        <f t="shared" si="477"/>
        <v/>
      </c>
      <c r="AA2011" s="374" t="b">
        <f t="shared" si="478"/>
        <v>1</v>
      </c>
      <c r="AB2011" s="374">
        <f>COUNTIFS(B:B,B2011,H:H,'סיווג התפקידים והעלויות'!$C$2)</f>
        <v>0</v>
      </c>
      <c r="AC2011" s="374">
        <f>COUNTIFS(B:B,B2011,H:H,'סיווג התפקידים והעלויות'!$D$2)</f>
        <v>0</v>
      </c>
      <c r="AD2011" s="374" t="str">
        <f>IF(OR(AND(H2011='סיווג התפקידים והעלויות'!$A$2,I2011='סיווג התפקידים והעלויות'!$A$3),'עלויות כח אדם (6)'!H2011='סיווג התפקידים והעלויות'!$C$2,'עלויות כח אדם (6)'!H2011='סיווג התפקידים והעלויות'!$D$2),IF('עלויות כח אדם (6)'!J2011&lt;75,"לא תקין","תקין"),"")</f>
        <v/>
      </c>
      <c r="AE2011" s="374" t="str">
        <f t="shared" si="479"/>
        <v/>
      </c>
      <c r="AF2011" s="532" t="str">
        <f t="shared" si="480"/>
        <v/>
      </c>
    </row>
    <row r="2012" spans="2:32" x14ac:dyDescent="0.25">
      <c r="B2012" s="695"/>
      <c r="C2012" s="197" t="str">
        <f>IF(B2012&lt;&gt;"",IFERROR(VLOOKUP(B:B,'מצבת והרשמה (2)'!$C$20:$N$520,2,0)," ")," ")</f>
        <v xml:space="preserve"> </v>
      </c>
      <c r="D2012" s="695"/>
      <c r="E2012" s="696"/>
      <c r="F2012" s="696"/>
      <c r="G2012" s="696"/>
      <c r="H2012" s="696"/>
      <c r="I2012" s="1050" t="str">
        <f t="shared" si="467"/>
        <v/>
      </c>
      <c r="J2012" s="696"/>
      <c r="K2012" s="697"/>
      <c r="L2012" s="696"/>
      <c r="M2012" s="198" t="str">
        <f t="shared" si="468"/>
        <v/>
      </c>
      <c r="N2012" s="369" t="str">
        <f t="shared" si="469"/>
        <v/>
      </c>
      <c r="O2012" s="183" t="str">
        <f t="shared" si="470"/>
        <v/>
      </c>
      <c r="P2012" s="199" t="str">
        <f t="shared" si="471"/>
        <v/>
      </c>
      <c r="Q2012" s="199" t="str">
        <f>IF(B2012="","",IFERROR(IF('עלויות כח אדם (6)'!J2012&gt;=VLOOKUP(I2012,'סיווג התפקידים והעלויות'!$B$23:$C$32,2,0),"תקין","לא תקין"),""))</f>
        <v/>
      </c>
      <c r="R2012" s="199" t="str">
        <f t="shared" si="472"/>
        <v/>
      </c>
      <c r="S2012" s="199" t="str">
        <f t="shared" si="473"/>
        <v/>
      </c>
      <c r="T2012" s="199" t="str">
        <f t="shared" si="481"/>
        <v/>
      </c>
      <c r="U2012" s="199" t="str">
        <f t="shared" si="474"/>
        <v/>
      </c>
      <c r="V2012" s="989"/>
      <c r="X2012" s="374" t="str">
        <f t="shared" si="475"/>
        <v/>
      </c>
      <c r="Y2012" s="375" t="str">
        <f t="shared" si="476"/>
        <v/>
      </c>
      <c r="Z2012" s="374" t="str">
        <f t="shared" si="477"/>
        <v/>
      </c>
      <c r="AA2012" s="374" t="b">
        <f t="shared" si="478"/>
        <v>1</v>
      </c>
      <c r="AB2012" s="374">
        <f>COUNTIFS(B:B,B2012,H:H,'סיווג התפקידים והעלויות'!$C$2)</f>
        <v>0</v>
      </c>
      <c r="AC2012" s="374">
        <f>COUNTIFS(B:B,B2012,H:H,'סיווג התפקידים והעלויות'!$D$2)</f>
        <v>0</v>
      </c>
      <c r="AD2012" s="374" t="str">
        <f>IF(OR(AND(H2012='סיווג התפקידים והעלויות'!$A$2,I2012='סיווג התפקידים והעלויות'!$A$3),'עלויות כח אדם (6)'!H2012='סיווג התפקידים והעלויות'!$C$2,'עלויות כח אדם (6)'!H2012='סיווג התפקידים והעלויות'!$D$2),IF('עלויות כח אדם (6)'!J2012&lt;75,"לא תקין","תקין"),"")</f>
        <v/>
      </c>
      <c r="AE2012" s="374" t="str">
        <f t="shared" si="479"/>
        <v/>
      </c>
      <c r="AF2012" s="532" t="str">
        <f t="shared" si="480"/>
        <v/>
      </c>
    </row>
    <row r="2013" spans="2:32" x14ac:dyDescent="0.25">
      <c r="B2013" s="695"/>
      <c r="C2013" s="197" t="str">
        <f>IF(B2013&lt;&gt;"",IFERROR(VLOOKUP(B:B,'מצבת והרשמה (2)'!$C$20:$N$520,2,0)," ")," ")</f>
        <v xml:space="preserve"> </v>
      </c>
      <c r="D2013" s="695"/>
      <c r="E2013" s="696"/>
      <c r="F2013" s="696"/>
      <c r="G2013" s="696"/>
      <c r="H2013" s="696"/>
      <c r="I2013" s="1050" t="str">
        <f t="shared" si="467"/>
        <v/>
      </c>
      <c r="J2013" s="696"/>
      <c r="K2013" s="697"/>
      <c r="L2013" s="696"/>
      <c r="M2013" s="198" t="str">
        <f t="shared" si="468"/>
        <v/>
      </c>
      <c r="N2013" s="369" t="str">
        <f t="shared" si="469"/>
        <v/>
      </c>
      <c r="O2013" s="183" t="str">
        <f t="shared" si="470"/>
        <v/>
      </c>
      <c r="P2013" s="199" t="str">
        <f t="shared" si="471"/>
        <v/>
      </c>
      <c r="Q2013" s="199" t="str">
        <f>IF(B2013="","",IFERROR(IF('עלויות כח אדם (6)'!J2013&gt;=VLOOKUP(I2013,'סיווג התפקידים והעלויות'!$B$23:$C$32,2,0),"תקין","לא תקין"),""))</f>
        <v/>
      </c>
      <c r="R2013" s="199" t="str">
        <f t="shared" si="472"/>
        <v/>
      </c>
      <c r="S2013" s="199" t="str">
        <f t="shared" si="473"/>
        <v/>
      </c>
      <c r="T2013" s="199" t="str">
        <f t="shared" si="481"/>
        <v/>
      </c>
      <c r="U2013" s="199" t="str">
        <f t="shared" si="474"/>
        <v/>
      </c>
      <c r="V2013" s="989"/>
      <c r="X2013" s="374" t="str">
        <f t="shared" si="475"/>
        <v/>
      </c>
      <c r="Y2013" s="375" t="str">
        <f t="shared" si="476"/>
        <v/>
      </c>
      <c r="Z2013" s="374" t="str">
        <f t="shared" si="477"/>
        <v/>
      </c>
      <c r="AA2013" s="374" t="b">
        <f t="shared" si="478"/>
        <v>1</v>
      </c>
      <c r="AB2013" s="374">
        <f>COUNTIFS(B:B,B2013,H:H,'סיווג התפקידים והעלויות'!$C$2)</f>
        <v>0</v>
      </c>
      <c r="AC2013" s="374">
        <f>COUNTIFS(B:B,B2013,H:H,'סיווג התפקידים והעלויות'!$D$2)</f>
        <v>0</v>
      </c>
      <c r="AD2013" s="374" t="str">
        <f>IF(OR(AND(H2013='סיווג התפקידים והעלויות'!$A$2,I2013='סיווג התפקידים והעלויות'!$A$3),'עלויות כח אדם (6)'!H2013='סיווג התפקידים והעלויות'!$C$2,'עלויות כח אדם (6)'!H2013='סיווג התפקידים והעלויות'!$D$2),IF('עלויות כח אדם (6)'!J2013&lt;75,"לא תקין","תקין"),"")</f>
        <v/>
      </c>
      <c r="AE2013" s="374" t="str">
        <f t="shared" si="479"/>
        <v/>
      </c>
      <c r="AF2013" s="532" t="str">
        <f t="shared" si="480"/>
        <v/>
      </c>
    </row>
    <row r="2014" spans="2:32" x14ac:dyDescent="0.25">
      <c r="B2014" s="695"/>
      <c r="C2014" s="197" t="str">
        <f>IF(B2014&lt;&gt;"",IFERROR(VLOOKUP(B:B,'מצבת והרשמה (2)'!$C$20:$N$520,2,0)," ")," ")</f>
        <v xml:space="preserve"> </v>
      </c>
      <c r="D2014" s="695"/>
      <c r="E2014" s="696"/>
      <c r="F2014" s="696"/>
      <c r="G2014" s="696"/>
      <c r="H2014" s="696"/>
      <c r="I2014" s="1050" t="str">
        <f t="shared" si="467"/>
        <v/>
      </c>
      <c r="J2014" s="696"/>
      <c r="K2014" s="697"/>
      <c r="L2014" s="696"/>
      <c r="M2014" s="198" t="str">
        <f t="shared" si="468"/>
        <v/>
      </c>
      <c r="N2014" s="369" t="str">
        <f t="shared" si="469"/>
        <v/>
      </c>
      <c r="O2014" s="183" t="str">
        <f t="shared" si="470"/>
        <v/>
      </c>
      <c r="P2014" s="199" t="str">
        <f t="shared" si="471"/>
        <v/>
      </c>
      <c r="Q2014" s="199" t="str">
        <f>IF(B2014="","",IFERROR(IF('עלויות כח אדם (6)'!J2014&gt;=VLOOKUP(I2014,'סיווג התפקידים והעלויות'!$B$23:$C$32,2,0),"תקין","לא תקין"),""))</f>
        <v/>
      </c>
      <c r="R2014" s="199" t="str">
        <f t="shared" si="472"/>
        <v/>
      </c>
      <c r="S2014" s="199" t="str">
        <f t="shared" si="473"/>
        <v/>
      </c>
      <c r="T2014" s="199" t="str">
        <f t="shared" si="481"/>
        <v/>
      </c>
      <c r="U2014" s="199" t="str">
        <f t="shared" si="474"/>
        <v/>
      </c>
      <c r="V2014" s="989"/>
      <c r="X2014" s="374" t="str">
        <f t="shared" si="475"/>
        <v/>
      </c>
      <c r="Y2014" s="375" t="str">
        <f t="shared" si="476"/>
        <v/>
      </c>
      <c r="Z2014" s="374" t="str">
        <f t="shared" si="477"/>
        <v/>
      </c>
      <c r="AA2014" s="374" t="b">
        <f t="shared" si="478"/>
        <v>1</v>
      </c>
      <c r="AB2014" s="374">
        <f>COUNTIFS(B:B,B2014,H:H,'סיווג התפקידים והעלויות'!$C$2)</f>
        <v>0</v>
      </c>
      <c r="AC2014" s="374">
        <f>COUNTIFS(B:B,B2014,H:H,'סיווג התפקידים והעלויות'!$D$2)</f>
        <v>0</v>
      </c>
      <c r="AD2014" s="374" t="str">
        <f>IF(OR(AND(H2014='סיווג התפקידים והעלויות'!$A$2,I2014='סיווג התפקידים והעלויות'!$A$3),'עלויות כח אדם (6)'!H2014='סיווג התפקידים והעלויות'!$C$2,'עלויות כח אדם (6)'!H2014='סיווג התפקידים והעלויות'!$D$2),IF('עלויות כח אדם (6)'!J2014&lt;75,"לא תקין","תקין"),"")</f>
        <v/>
      </c>
      <c r="AE2014" s="374" t="str">
        <f t="shared" si="479"/>
        <v/>
      </c>
      <c r="AF2014" s="532" t="str">
        <f t="shared" si="480"/>
        <v/>
      </c>
    </row>
    <row r="2015" spans="2:32" x14ac:dyDescent="0.25">
      <c r="B2015" s="695"/>
      <c r="C2015" s="197" t="str">
        <f>IF(B2015&lt;&gt;"",IFERROR(VLOOKUP(B:B,'מצבת והרשמה (2)'!$C$20:$N$520,2,0)," ")," ")</f>
        <v xml:space="preserve"> </v>
      </c>
      <c r="D2015" s="695"/>
      <c r="E2015" s="696"/>
      <c r="F2015" s="696"/>
      <c r="G2015" s="696"/>
      <c r="H2015" s="696"/>
      <c r="I2015" s="1050" t="str">
        <f t="shared" si="467"/>
        <v/>
      </c>
      <c r="J2015" s="696"/>
      <c r="K2015" s="697"/>
      <c r="L2015" s="696"/>
      <c r="M2015" s="198" t="str">
        <f t="shared" si="468"/>
        <v/>
      </c>
      <c r="N2015" s="369" t="str">
        <f t="shared" si="469"/>
        <v/>
      </c>
      <c r="O2015" s="183" t="str">
        <f t="shared" si="470"/>
        <v/>
      </c>
      <c r="P2015" s="199" t="str">
        <f t="shared" si="471"/>
        <v/>
      </c>
      <c r="Q2015" s="199" t="str">
        <f>IF(B2015="","",IFERROR(IF('עלויות כח אדם (6)'!J2015&gt;=VLOOKUP(I2015,'סיווג התפקידים והעלויות'!$B$23:$C$32,2,0),"תקין","לא תקין"),""))</f>
        <v/>
      </c>
      <c r="R2015" s="199" t="str">
        <f t="shared" si="472"/>
        <v/>
      </c>
      <c r="S2015" s="199" t="str">
        <f t="shared" si="473"/>
        <v/>
      </c>
      <c r="T2015" s="199" t="str">
        <f t="shared" si="481"/>
        <v/>
      </c>
      <c r="U2015" s="199" t="str">
        <f t="shared" si="474"/>
        <v/>
      </c>
      <c r="V2015" s="989"/>
      <c r="X2015" s="374" t="str">
        <f t="shared" si="475"/>
        <v/>
      </c>
      <c r="Y2015" s="375" t="str">
        <f t="shared" si="476"/>
        <v/>
      </c>
      <c r="Z2015" s="374" t="str">
        <f t="shared" si="477"/>
        <v/>
      </c>
      <c r="AA2015" s="374" t="b">
        <f t="shared" si="478"/>
        <v>1</v>
      </c>
      <c r="AB2015" s="374">
        <f>COUNTIFS(B:B,B2015,H:H,'סיווג התפקידים והעלויות'!$C$2)</f>
        <v>0</v>
      </c>
      <c r="AC2015" s="374">
        <f>COUNTIFS(B:B,B2015,H:H,'סיווג התפקידים והעלויות'!$D$2)</f>
        <v>0</v>
      </c>
      <c r="AD2015" s="374" t="str">
        <f>IF(OR(AND(H2015='סיווג התפקידים והעלויות'!$A$2,I2015='סיווג התפקידים והעלויות'!$A$3),'עלויות כח אדם (6)'!H2015='סיווג התפקידים והעלויות'!$C$2,'עלויות כח אדם (6)'!H2015='סיווג התפקידים והעלויות'!$D$2),IF('עלויות כח אדם (6)'!J2015&lt;75,"לא תקין","תקין"),"")</f>
        <v/>
      </c>
      <c r="AE2015" s="374" t="str">
        <f t="shared" si="479"/>
        <v/>
      </c>
      <c r="AF2015" s="532" t="str">
        <f t="shared" si="480"/>
        <v/>
      </c>
    </row>
    <row r="2016" spans="2:32" x14ac:dyDescent="0.25">
      <c r="B2016" s="695"/>
      <c r="C2016" s="197" t="str">
        <f>IF(B2016&lt;&gt;"",IFERROR(VLOOKUP(B:B,'מצבת והרשמה (2)'!$C$20:$N$520,2,0)," ")," ")</f>
        <v xml:space="preserve"> </v>
      </c>
      <c r="D2016" s="695"/>
      <c r="E2016" s="696"/>
      <c r="F2016" s="696"/>
      <c r="G2016" s="696"/>
      <c r="H2016" s="696"/>
      <c r="I2016" s="1050" t="str">
        <f t="shared" si="467"/>
        <v/>
      </c>
      <c r="J2016" s="696"/>
      <c r="K2016" s="697"/>
      <c r="L2016" s="696"/>
      <c r="M2016" s="198" t="str">
        <f t="shared" si="468"/>
        <v/>
      </c>
      <c r="N2016" s="369" t="str">
        <f t="shared" si="469"/>
        <v/>
      </c>
      <c r="O2016" s="183" t="str">
        <f t="shared" si="470"/>
        <v/>
      </c>
      <c r="P2016" s="199" t="str">
        <f t="shared" si="471"/>
        <v/>
      </c>
      <c r="Q2016" s="199" t="str">
        <f>IF(B2016="","",IFERROR(IF('עלויות כח אדם (6)'!J2016&gt;=VLOOKUP(I2016,'סיווג התפקידים והעלויות'!$B$23:$C$32,2,0),"תקין","לא תקין"),""))</f>
        <v/>
      </c>
      <c r="R2016" s="199" t="str">
        <f t="shared" si="472"/>
        <v/>
      </c>
      <c r="S2016" s="199" t="str">
        <f t="shared" si="473"/>
        <v/>
      </c>
      <c r="T2016" s="199" t="str">
        <f t="shared" si="481"/>
        <v/>
      </c>
      <c r="U2016" s="199" t="str">
        <f t="shared" si="474"/>
        <v/>
      </c>
      <c r="V2016" s="989"/>
      <c r="X2016" s="374" t="str">
        <f t="shared" si="475"/>
        <v/>
      </c>
      <c r="Y2016" s="375" t="str">
        <f t="shared" si="476"/>
        <v/>
      </c>
      <c r="Z2016" s="374" t="str">
        <f t="shared" si="477"/>
        <v/>
      </c>
      <c r="AA2016" s="374" t="b">
        <f t="shared" si="478"/>
        <v>1</v>
      </c>
      <c r="AB2016" s="374">
        <f>COUNTIFS(B:B,B2016,H:H,'סיווג התפקידים והעלויות'!$C$2)</f>
        <v>0</v>
      </c>
      <c r="AC2016" s="374">
        <f>COUNTIFS(B:B,B2016,H:H,'סיווג התפקידים והעלויות'!$D$2)</f>
        <v>0</v>
      </c>
      <c r="AD2016" s="374" t="str">
        <f>IF(OR(AND(H2016='סיווג התפקידים והעלויות'!$A$2,I2016='סיווג התפקידים והעלויות'!$A$3),'עלויות כח אדם (6)'!H2016='סיווג התפקידים והעלויות'!$C$2,'עלויות כח אדם (6)'!H2016='סיווג התפקידים והעלויות'!$D$2),IF('עלויות כח אדם (6)'!J2016&lt;75,"לא תקין","תקין"),"")</f>
        <v/>
      </c>
      <c r="AE2016" s="374" t="str">
        <f t="shared" si="479"/>
        <v/>
      </c>
      <c r="AF2016" s="532" t="str">
        <f t="shared" si="480"/>
        <v/>
      </c>
    </row>
    <row r="2017" spans="2:32" x14ac:dyDescent="0.25">
      <c r="B2017" s="695"/>
      <c r="C2017" s="197" t="str">
        <f>IF(B2017&lt;&gt;"",IFERROR(VLOOKUP(B:B,'מצבת והרשמה (2)'!$C$20:$N$520,2,0)," ")," ")</f>
        <v xml:space="preserve"> </v>
      </c>
      <c r="D2017" s="695"/>
      <c r="E2017" s="696"/>
      <c r="F2017" s="696"/>
      <c r="G2017" s="696"/>
      <c r="H2017" s="696"/>
      <c r="I2017" s="1050" t="str">
        <f t="shared" si="467"/>
        <v/>
      </c>
      <c r="J2017" s="696"/>
      <c r="K2017" s="697"/>
      <c r="L2017" s="696"/>
      <c r="M2017" s="198" t="str">
        <f t="shared" si="468"/>
        <v/>
      </c>
      <c r="N2017" s="369" t="str">
        <f t="shared" si="469"/>
        <v/>
      </c>
      <c r="O2017" s="183" t="str">
        <f t="shared" si="470"/>
        <v/>
      </c>
      <c r="P2017" s="199" t="str">
        <f t="shared" si="471"/>
        <v/>
      </c>
      <c r="Q2017" s="199" t="str">
        <f>IF(B2017="","",IFERROR(IF('עלויות כח אדם (6)'!J2017&gt;=VLOOKUP(I2017,'סיווג התפקידים והעלויות'!$B$23:$C$32,2,0),"תקין","לא תקין"),""))</f>
        <v/>
      </c>
      <c r="R2017" s="199" t="str">
        <f t="shared" si="472"/>
        <v/>
      </c>
      <c r="S2017" s="199" t="str">
        <f t="shared" si="473"/>
        <v/>
      </c>
      <c r="T2017" s="199" t="str">
        <f t="shared" si="481"/>
        <v/>
      </c>
      <c r="U2017" s="199" t="str">
        <f t="shared" si="474"/>
        <v/>
      </c>
      <c r="V2017" s="989"/>
      <c r="X2017" s="374" t="str">
        <f t="shared" si="475"/>
        <v/>
      </c>
      <c r="Y2017" s="375" t="str">
        <f t="shared" si="476"/>
        <v/>
      </c>
      <c r="Z2017" s="374" t="str">
        <f t="shared" si="477"/>
        <v/>
      </c>
      <c r="AA2017" s="374" t="b">
        <f t="shared" si="478"/>
        <v>1</v>
      </c>
      <c r="AB2017" s="374">
        <f>COUNTIFS(B:B,B2017,H:H,'סיווג התפקידים והעלויות'!$C$2)</f>
        <v>0</v>
      </c>
      <c r="AC2017" s="374">
        <f>COUNTIFS(B:B,B2017,H:H,'סיווג התפקידים והעלויות'!$D$2)</f>
        <v>0</v>
      </c>
      <c r="AD2017" s="374" t="str">
        <f>IF(OR(AND(H2017='סיווג התפקידים והעלויות'!$A$2,I2017='סיווג התפקידים והעלויות'!$A$3),'עלויות כח אדם (6)'!H2017='סיווג התפקידים והעלויות'!$C$2,'עלויות כח אדם (6)'!H2017='סיווג התפקידים והעלויות'!$D$2),IF('עלויות כח אדם (6)'!J2017&lt;75,"לא תקין","תקין"),"")</f>
        <v/>
      </c>
      <c r="AE2017" s="374" t="str">
        <f t="shared" si="479"/>
        <v/>
      </c>
      <c r="AF2017" s="532" t="str">
        <f t="shared" si="480"/>
        <v/>
      </c>
    </row>
    <row r="2018" spans="2:32" x14ac:dyDescent="0.25">
      <c r="B2018" s="695"/>
      <c r="C2018" s="197" t="str">
        <f>IF(B2018&lt;&gt;"",IFERROR(VLOOKUP(B:B,'מצבת והרשמה (2)'!$C$20:$N$520,2,0)," ")," ")</f>
        <v xml:space="preserve"> </v>
      </c>
      <c r="D2018" s="695"/>
      <c r="E2018" s="696"/>
      <c r="F2018" s="696"/>
      <c r="G2018" s="696"/>
      <c r="H2018" s="696"/>
      <c r="I2018" s="1050" t="str">
        <f t="shared" si="467"/>
        <v/>
      </c>
      <c r="J2018" s="696"/>
      <c r="K2018" s="697"/>
      <c r="L2018" s="696"/>
      <c r="M2018" s="198" t="str">
        <f t="shared" si="468"/>
        <v/>
      </c>
      <c r="N2018" s="369" t="str">
        <f t="shared" si="469"/>
        <v/>
      </c>
      <c r="O2018" s="183" t="str">
        <f t="shared" si="470"/>
        <v/>
      </c>
      <c r="P2018" s="199" t="str">
        <f t="shared" si="471"/>
        <v/>
      </c>
      <c r="Q2018" s="199" t="str">
        <f>IF(B2018="","",IFERROR(IF('עלויות כח אדם (6)'!J2018&gt;=VLOOKUP(I2018,'סיווג התפקידים והעלויות'!$B$23:$C$32,2,0),"תקין","לא תקין"),""))</f>
        <v/>
      </c>
      <c r="R2018" s="199" t="str">
        <f t="shared" si="472"/>
        <v/>
      </c>
      <c r="S2018" s="199" t="str">
        <f t="shared" si="473"/>
        <v/>
      </c>
      <c r="T2018" s="199" t="str">
        <f t="shared" si="481"/>
        <v/>
      </c>
      <c r="U2018" s="199" t="str">
        <f t="shared" si="474"/>
        <v/>
      </c>
      <c r="V2018" s="989"/>
      <c r="X2018" s="374" t="str">
        <f t="shared" si="475"/>
        <v/>
      </c>
      <c r="Y2018" s="375" t="str">
        <f t="shared" si="476"/>
        <v/>
      </c>
      <c r="Z2018" s="374" t="str">
        <f t="shared" si="477"/>
        <v/>
      </c>
      <c r="AA2018" s="374" t="b">
        <f t="shared" si="478"/>
        <v>1</v>
      </c>
      <c r="AB2018" s="374">
        <f>COUNTIFS(B:B,B2018,H:H,'סיווג התפקידים והעלויות'!$C$2)</f>
        <v>0</v>
      </c>
      <c r="AC2018" s="374">
        <f>COUNTIFS(B:B,B2018,H:H,'סיווג התפקידים והעלויות'!$D$2)</f>
        <v>0</v>
      </c>
      <c r="AD2018" s="374" t="str">
        <f>IF(OR(AND(H2018='סיווג התפקידים והעלויות'!$A$2,I2018='סיווג התפקידים והעלויות'!$A$3),'עלויות כח אדם (6)'!H2018='סיווג התפקידים והעלויות'!$C$2,'עלויות כח אדם (6)'!H2018='סיווג התפקידים והעלויות'!$D$2),IF('עלויות כח אדם (6)'!J2018&lt;75,"לא תקין","תקין"),"")</f>
        <v/>
      </c>
      <c r="AE2018" s="374" t="str">
        <f t="shared" si="479"/>
        <v/>
      </c>
      <c r="AF2018" s="532" t="str">
        <f t="shared" si="480"/>
        <v/>
      </c>
    </row>
    <row r="2019" spans="2:32" x14ac:dyDescent="0.25">
      <c r="B2019" s="695"/>
      <c r="C2019" s="197" t="str">
        <f>IF(B2019&lt;&gt;"",IFERROR(VLOOKUP(B:B,'מצבת והרשמה (2)'!$C$20:$N$520,2,0)," ")," ")</f>
        <v xml:space="preserve"> </v>
      </c>
      <c r="D2019" s="695"/>
      <c r="E2019" s="696"/>
      <c r="F2019" s="696"/>
      <c r="G2019" s="696"/>
      <c r="H2019" s="696"/>
      <c r="I2019" s="1050" t="str">
        <f t="shared" si="467"/>
        <v/>
      </c>
      <c r="J2019" s="696"/>
      <c r="K2019" s="697"/>
      <c r="L2019" s="696"/>
      <c r="M2019" s="198" t="str">
        <f t="shared" si="468"/>
        <v/>
      </c>
      <c r="N2019" s="369" t="str">
        <f t="shared" si="469"/>
        <v/>
      </c>
      <c r="O2019" s="183" t="str">
        <f t="shared" si="470"/>
        <v/>
      </c>
      <c r="P2019" s="199" t="str">
        <f t="shared" si="471"/>
        <v/>
      </c>
      <c r="Q2019" s="199" t="str">
        <f>IF(B2019="","",IFERROR(IF('עלויות כח אדם (6)'!J2019&gt;=VLOOKUP(I2019,'סיווג התפקידים והעלויות'!$B$23:$C$32,2,0),"תקין","לא תקין"),""))</f>
        <v/>
      </c>
      <c r="R2019" s="199" t="str">
        <f t="shared" si="472"/>
        <v/>
      </c>
      <c r="S2019" s="199" t="str">
        <f t="shared" si="473"/>
        <v/>
      </c>
      <c r="T2019" s="199" t="str">
        <f t="shared" si="481"/>
        <v/>
      </c>
      <c r="U2019" s="199" t="str">
        <f t="shared" si="474"/>
        <v/>
      </c>
      <c r="V2019" s="989"/>
      <c r="X2019" s="374" t="str">
        <f t="shared" si="475"/>
        <v/>
      </c>
      <c r="Y2019" s="375" t="str">
        <f t="shared" si="476"/>
        <v/>
      </c>
      <c r="Z2019" s="374" t="str">
        <f t="shared" si="477"/>
        <v/>
      </c>
      <c r="AA2019" s="374" t="b">
        <f t="shared" si="478"/>
        <v>1</v>
      </c>
      <c r="AB2019" s="374">
        <f>COUNTIFS(B:B,B2019,H:H,'סיווג התפקידים והעלויות'!$C$2)</f>
        <v>0</v>
      </c>
      <c r="AC2019" s="374">
        <f>COUNTIFS(B:B,B2019,H:H,'סיווג התפקידים והעלויות'!$D$2)</f>
        <v>0</v>
      </c>
      <c r="AD2019" s="374" t="str">
        <f>IF(OR(AND(H2019='סיווג התפקידים והעלויות'!$A$2,I2019='סיווג התפקידים והעלויות'!$A$3),'עלויות כח אדם (6)'!H2019='סיווג התפקידים והעלויות'!$C$2,'עלויות כח אדם (6)'!H2019='סיווג התפקידים והעלויות'!$D$2),IF('עלויות כח אדם (6)'!J2019&lt;75,"לא תקין","תקין"),"")</f>
        <v/>
      </c>
      <c r="AE2019" s="374" t="str">
        <f t="shared" si="479"/>
        <v/>
      </c>
      <c r="AF2019" s="532" t="str">
        <f t="shared" si="480"/>
        <v/>
      </c>
    </row>
    <row r="2020" spans="2:32" x14ac:dyDescent="0.25">
      <c r="B2020" s="695"/>
      <c r="C2020" s="197" t="str">
        <f>IF(B2020&lt;&gt;"",IFERROR(VLOOKUP(B:B,'מצבת והרשמה (2)'!$C$20:$N$520,2,0)," ")," ")</f>
        <v xml:space="preserve"> </v>
      </c>
      <c r="D2020" s="695"/>
      <c r="E2020" s="696"/>
      <c r="F2020" s="696"/>
      <c r="G2020" s="696"/>
      <c r="H2020" s="696"/>
      <c r="I2020" s="1050" t="str">
        <f t="shared" si="467"/>
        <v/>
      </c>
      <c r="J2020" s="696"/>
      <c r="K2020" s="697"/>
      <c r="L2020" s="696"/>
      <c r="M2020" s="198" t="str">
        <f t="shared" si="468"/>
        <v/>
      </c>
      <c r="N2020" s="369" t="str">
        <f t="shared" si="469"/>
        <v/>
      </c>
      <c r="O2020" s="183" t="str">
        <f t="shared" si="470"/>
        <v/>
      </c>
      <c r="P2020" s="199" t="str">
        <f t="shared" si="471"/>
        <v/>
      </c>
      <c r="Q2020" s="199" t="str">
        <f>IF(B2020="","",IFERROR(IF('עלויות כח אדם (6)'!J2020&gt;=VLOOKUP(I2020,'סיווג התפקידים והעלויות'!$B$23:$C$32,2,0),"תקין","לא תקין"),""))</f>
        <v/>
      </c>
      <c r="R2020" s="199" t="str">
        <f t="shared" si="472"/>
        <v/>
      </c>
      <c r="S2020" s="199" t="str">
        <f t="shared" si="473"/>
        <v/>
      </c>
      <c r="T2020" s="199" t="str">
        <f t="shared" si="481"/>
        <v/>
      </c>
      <c r="U2020" s="199" t="str">
        <f t="shared" si="474"/>
        <v/>
      </c>
      <c r="V2020" s="989"/>
      <c r="X2020" s="374" t="str">
        <f t="shared" si="475"/>
        <v/>
      </c>
      <c r="Y2020" s="375" t="str">
        <f t="shared" si="476"/>
        <v/>
      </c>
      <c r="Z2020" s="374" t="str">
        <f t="shared" si="477"/>
        <v/>
      </c>
      <c r="AA2020" s="374" t="b">
        <f t="shared" si="478"/>
        <v>1</v>
      </c>
      <c r="AB2020" s="374">
        <f>COUNTIFS(B:B,B2020,H:H,'סיווג התפקידים והעלויות'!$C$2)</f>
        <v>0</v>
      </c>
      <c r="AC2020" s="374">
        <f>COUNTIFS(B:B,B2020,H:H,'סיווג התפקידים והעלויות'!$D$2)</f>
        <v>0</v>
      </c>
      <c r="AD2020" s="374" t="str">
        <f>IF(OR(AND(H2020='סיווג התפקידים והעלויות'!$A$2,I2020='סיווג התפקידים והעלויות'!$A$3),'עלויות כח אדם (6)'!H2020='סיווג התפקידים והעלויות'!$C$2,'עלויות כח אדם (6)'!H2020='סיווג התפקידים והעלויות'!$D$2),IF('עלויות כח אדם (6)'!J2020&lt;75,"לא תקין","תקין"),"")</f>
        <v/>
      </c>
      <c r="AE2020" s="374" t="str">
        <f t="shared" si="479"/>
        <v/>
      </c>
      <c r="AF2020" s="532" t="str">
        <f t="shared" si="480"/>
        <v/>
      </c>
    </row>
    <row r="2021" spans="2:32" x14ac:dyDescent="0.25">
      <c r="B2021" s="695"/>
      <c r="C2021" s="197" t="str">
        <f>IF(B2021&lt;&gt;"",IFERROR(VLOOKUP(B:B,'מצבת והרשמה (2)'!$C$20:$N$520,2,0)," ")," ")</f>
        <v xml:space="preserve"> </v>
      </c>
      <c r="D2021" s="695"/>
      <c r="E2021" s="696"/>
      <c r="F2021" s="696"/>
      <c r="G2021" s="696"/>
      <c r="H2021" s="696"/>
      <c r="I2021" s="1050" t="str">
        <f t="shared" si="467"/>
        <v/>
      </c>
      <c r="J2021" s="696"/>
      <c r="K2021" s="697"/>
      <c r="L2021" s="696"/>
      <c r="M2021" s="198" t="str">
        <f t="shared" si="468"/>
        <v/>
      </c>
      <c r="N2021" s="369" t="str">
        <f t="shared" si="469"/>
        <v/>
      </c>
      <c r="O2021" s="183" t="str">
        <f t="shared" si="470"/>
        <v/>
      </c>
      <c r="P2021" s="199" t="str">
        <f t="shared" si="471"/>
        <v/>
      </c>
      <c r="Q2021" s="199" t="str">
        <f>IF(B2021="","",IFERROR(IF('עלויות כח אדם (6)'!J2021&gt;=VLOOKUP(I2021,'סיווג התפקידים והעלויות'!$B$23:$C$32,2,0),"תקין","לא תקין"),""))</f>
        <v/>
      </c>
      <c r="R2021" s="199" t="str">
        <f t="shared" si="472"/>
        <v/>
      </c>
      <c r="S2021" s="199" t="str">
        <f t="shared" si="473"/>
        <v/>
      </c>
      <c r="T2021" s="199" t="str">
        <f t="shared" si="481"/>
        <v/>
      </c>
      <c r="U2021" s="199" t="str">
        <f t="shared" si="474"/>
        <v/>
      </c>
      <c r="V2021" s="989"/>
      <c r="X2021" s="374" t="str">
        <f t="shared" si="475"/>
        <v/>
      </c>
      <c r="Y2021" s="375" t="str">
        <f t="shared" si="476"/>
        <v/>
      </c>
      <c r="Z2021" s="374" t="str">
        <f t="shared" si="477"/>
        <v/>
      </c>
      <c r="AA2021" s="374" t="b">
        <f t="shared" si="478"/>
        <v>1</v>
      </c>
      <c r="AB2021" s="374">
        <f>COUNTIFS(B:B,B2021,H:H,'סיווג התפקידים והעלויות'!$C$2)</f>
        <v>0</v>
      </c>
      <c r="AC2021" s="374">
        <f>COUNTIFS(B:B,B2021,H:H,'סיווג התפקידים והעלויות'!$D$2)</f>
        <v>0</v>
      </c>
      <c r="AD2021" s="374" t="str">
        <f>IF(OR(AND(H2021='סיווג התפקידים והעלויות'!$A$2,I2021='סיווג התפקידים והעלויות'!$A$3),'עלויות כח אדם (6)'!H2021='סיווג התפקידים והעלויות'!$C$2,'עלויות כח אדם (6)'!H2021='סיווג התפקידים והעלויות'!$D$2),IF('עלויות כח אדם (6)'!J2021&lt;75,"לא תקין","תקין"),"")</f>
        <v/>
      </c>
      <c r="AE2021" s="374" t="str">
        <f t="shared" si="479"/>
        <v/>
      </c>
      <c r="AF2021" s="532" t="str">
        <f t="shared" si="480"/>
        <v/>
      </c>
    </row>
    <row r="2022" spans="2:32" x14ac:dyDescent="0.25">
      <c r="B2022" s="695"/>
      <c r="C2022" s="197" t="str">
        <f>IF(B2022&lt;&gt;"",IFERROR(VLOOKUP(B:B,'מצבת והרשמה (2)'!$C$20:$N$520,2,0)," ")," ")</f>
        <v xml:space="preserve"> </v>
      </c>
      <c r="D2022" s="695"/>
      <c r="E2022" s="696"/>
      <c r="F2022" s="696"/>
      <c r="G2022" s="696"/>
      <c r="H2022" s="696"/>
      <c r="I2022" s="1050" t="str">
        <f t="shared" si="467"/>
        <v/>
      </c>
      <c r="J2022" s="696"/>
      <c r="K2022" s="697"/>
      <c r="L2022" s="696"/>
      <c r="M2022" s="198" t="str">
        <f t="shared" si="468"/>
        <v/>
      </c>
      <c r="N2022" s="369" t="str">
        <f t="shared" si="469"/>
        <v/>
      </c>
      <c r="O2022" s="183" t="str">
        <f t="shared" si="470"/>
        <v/>
      </c>
      <c r="P2022" s="199" t="str">
        <f t="shared" si="471"/>
        <v/>
      </c>
      <c r="Q2022" s="199" t="str">
        <f>IF(B2022="","",IFERROR(IF('עלויות כח אדם (6)'!J2022&gt;=VLOOKUP(I2022,'סיווג התפקידים והעלויות'!$B$23:$C$32,2,0),"תקין","לא תקין"),""))</f>
        <v/>
      </c>
      <c r="R2022" s="199" t="str">
        <f t="shared" si="472"/>
        <v/>
      </c>
      <c r="S2022" s="199" t="str">
        <f t="shared" si="473"/>
        <v/>
      </c>
      <c r="T2022" s="199" t="str">
        <f t="shared" si="481"/>
        <v/>
      </c>
      <c r="U2022" s="199" t="str">
        <f t="shared" si="474"/>
        <v/>
      </c>
      <c r="V2022" s="989"/>
      <c r="X2022" s="374" t="str">
        <f t="shared" si="475"/>
        <v/>
      </c>
      <c r="Y2022" s="375" t="str">
        <f t="shared" si="476"/>
        <v/>
      </c>
      <c r="Z2022" s="374" t="str">
        <f t="shared" si="477"/>
        <v/>
      </c>
      <c r="AA2022" s="374" t="b">
        <f t="shared" si="478"/>
        <v>1</v>
      </c>
      <c r="AB2022" s="374">
        <f>COUNTIFS(B:B,B2022,H:H,'סיווג התפקידים והעלויות'!$C$2)</f>
        <v>0</v>
      </c>
      <c r="AC2022" s="374">
        <f>COUNTIFS(B:B,B2022,H:H,'סיווג התפקידים והעלויות'!$D$2)</f>
        <v>0</v>
      </c>
      <c r="AD2022" s="374" t="str">
        <f>IF(OR(AND(H2022='סיווג התפקידים והעלויות'!$A$2,I2022='סיווג התפקידים והעלויות'!$A$3),'עלויות כח אדם (6)'!H2022='סיווג התפקידים והעלויות'!$C$2,'עלויות כח אדם (6)'!H2022='סיווג התפקידים והעלויות'!$D$2),IF('עלויות כח אדם (6)'!J2022&lt;75,"לא תקין","תקין"),"")</f>
        <v/>
      </c>
      <c r="AE2022" s="374" t="str">
        <f t="shared" si="479"/>
        <v/>
      </c>
      <c r="AF2022" s="532" t="str">
        <f t="shared" si="480"/>
        <v/>
      </c>
    </row>
    <row r="2023" spans="2:32" x14ac:dyDescent="0.25">
      <c r="B2023" s="695"/>
      <c r="C2023" s="197" t="str">
        <f>IF(B2023&lt;&gt;"",IFERROR(VLOOKUP(B:B,'מצבת והרשמה (2)'!$C$20:$N$520,2,0)," ")," ")</f>
        <v xml:space="preserve"> </v>
      </c>
      <c r="D2023" s="695"/>
      <c r="E2023" s="696"/>
      <c r="F2023" s="696"/>
      <c r="G2023" s="696"/>
      <c r="H2023" s="696"/>
      <c r="I2023" s="1050" t="str">
        <f t="shared" si="467"/>
        <v/>
      </c>
      <c r="J2023" s="696"/>
      <c r="K2023" s="697"/>
      <c r="L2023" s="696"/>
      <c r="M2023" s="198" t="str">
        <f t="shared" si="468"/>
        <v/>
      </c>
      <c r="N2023" s="369" t="str">
        <f t="shared" si="469"/>
        <v/>
      </c>
      <c r="O2023" s="183" t="str">
        <f t="shared" si="470"/>
        <v/>
      </c>
      <c r="P2023" s="199" t="str">
        <f t="shared" si="471"/>
        <v/>
      </c>
      <c r="Q2023" s="199" t="str">
        <f>IF(B2023="","",IFERROR(IF('עלויות כח אדם (6)'!J2023&gt;=VLOOKUP(I2023,'סיווג התפקידים והעלויות'!$B$23:$C$32,2,0),"תקין","לא תקין"),""))</f>
        <v/>
      </c>
      <c r="R2023" s="199" t="str">
        <f t="shared" si="472"/>
        <v/>
      </c>
      <c r="S2023" s="199" t="str">
        <f t="shared" si="473"/>
        <v/>
      </c>
      <c r="T2023" s="199" t="str">
        <f t="shared" si="481"/>
        <v/>
      </c>
      <c r="U2023" s="199" t="str">
        <f t="shared" si="474"/>
        <v/>
      </c>
      <c r="V2023" s="989"/>
      <c r="X2023" s="374" t="str">
        <f t="shared" si="475"/>
        <v/>
      </c>
      <c r="Y2023" s="375" t="str">
        <f t="shared" si="476"/>
        <v/>
      </c>
      <c r="Z2023" s="374" t="str">
        <f t="shared" si="477"/>
        <v/>
      </c>
      <c r="AA2023" s="374" t="b">
        <f t="shared" si="478"/>
        <v>1</v>
      </c>
      <c r="AB2023" s="374">
        <f>COUNTIFS(B:B,B2023,H:H,'סיווג התפקידים והעלויות'!$C$2)</f>
        <v>0</v>
      </c>
      <c r="AC2023" s="374">
        <f>COUNTIFS(B:B,B2023,H:H,'סיווג התפקידים והעלויות'!$D$2)</f>
        <v>0</v>
      </c>
      <c r="AD2023" s="374" t="str">
        <f>IF(OR(AND(H2023='סיווג התפקידים והעלויות'!$A$2,I2023='סיווג התפקידים והעלויות'!$A$3),'עלויות כח אדם (6)'!H2023='סיווג התפקידים והעלויות'!$C$2,'עלויות כח אדם (6)'!H2023='סיווג התפקידים והעלויות'!$D$2),IF('עלויות כח אדם (6)'!J2023&lt;75,"לא תקין","תקין"),"")</f>
        <v/>
      </c>
      <c r="AE2023" s="374" t="str">
        <f t="shared" si="479"/>
        <v/>
      </c>
      <c r="AF2023" s="532" t="str">
        <f t="shared" si="480"/>
        <v/>
      </c>
    </row>
    <row r="2024" spans="2:32" x14ac:dyDescent="0.25">
      <c r="B2024" s="695"/>
      <c r="C2024" s="197" t="str">
        <f>IF(B2024&lt;&gt;"",IFERROR(VLOOKUP(B:B,'מצבת והרשמה (2)'!$C$20:$N$520,2,0)," ")," ")</f>
        <v xml:space="preserve"> </v>
      </c>
      <c r="D2024" s="695"/>
      <c r="E2024" s="696"/>
      <c r="F2024" s="696"/>
      <c r="G2024" s="696"/>
      <c r="H2024" s="696"/>
      <c r="I2024" s="1050" t="str">
        <f t="shared" si="467"/>
        <v/>
      </c>
      <c r="J2024" s="696"/>
      <c r="K2024" s="697"/>
      <c r="L2024" s="696"/>
      <c r="M2024" s="198" t="str">
        <f t="shared" si="468"/>
        <v/>
      </c>
      <c r="N2024" s="369" t="str">
        <f t="shared" si="469"/>
        <v/>
      </c>
      <c r="O2024" s="183" t="str">
        <f t="shared" si="470"/>
        <v/>
      </c>
      <c r="P2024" s="199" t="str">
        <f t="shared" si="471"/>
        <v/>
      </c>
      <c r="Q2024" s="199" t="str">
        <f>IF(B2024="","",IFERROR(IF('עלויות כח אדם (6)'!J2024&gt;=VLOOKUP(I2024,'סיווג התפקידים והעלויות'!$B$23:$C$32,2,0),"תקין","לא תקין"),""))</f>
        <v/>
      </c>
      <c r="R2024" s="199" t="str">
        <f t="shared" si="472"/>
        <v/>
      </c>
      <c r="S2024" s="199" t="str">
        <f t="shared" si="473"/>
        <v/>
      </c>
      <c r="T2024" s="199" t="str">
        <f t="shared" si="481"/>
        <v/>
      </c>
      <c r="U2024" s="199" t="str">
        <f t="shared" si="474"/>
        <v/>
      </c>
      <c r="V2024" s="989"/>
      <c r="X2024" s="374" t="str">
        <f t="shared" si="475"/>
        <v/>
      </c>
      <c r="Y2024" s="375" t="str">
        <f t="shared" si="476"/>
        <v/>
      </c>
      <c r="Z2024" s="374" t="str">
        <f t="shared" si="477"/>
        <v/>
      </c>
      <c r="AA2024" s="374" t="b">
        <f t="shared" si="478"/>
        <v>1</v>
      </c>
      <c r="AB2024" s="374">
        <f>COUNTIFS(B:B,B2024,H:H,'סיווג התפקידים והעלויות'!$C$2)</f>
        <v>0</v>
      </c>
      <c r="AC2024" s="374">
        <f>COUNTIFS(B:B,B2024,H:H,'סיווג התפקידים והעלויות'!$D$2)</f>
        <v>0</v>
      </c>
      <c r="AD2024" s="374" t="str">
        <f>IF(OR(AND(H2024='סיווג התפקידים והעלויות'!$A$2,I2024='סיווג התפקידים והעלויות'!$A$3),'עלויות כח אדם (6)'!H2024='סיווג התפקידים והעלויות'!$C$2,'עלויות כח אדם (6)'!H2024='סיווג התפקידים והעלויות'!$D$2),IF('עלויות כח אדם (6)'!J2024&lt;75,"לא תקין","תקין"),"")</f>
        <v/>
      </c>
      <c r="AE2024" s="374" t="str">
        <f t="shared" si="479"/>
        <v/>
      </c>
      <c r="AF2024" s="532" t="str">
        <f t="shared" si="480"/>
        <v/>
      </c>
    </row>
    <row r="2025" spans="2:32" x14ac:dyDescent="0.25">
      <c r="B2025" s="695"/>
      <c r="C2025" s="197" t="str">
        <f>IF(B2025&lt;&gt;"",IFERROR(VLOOKUP(B:B,'מצבת והרשמה (2)'!$C$20:$N$520,2,0)," ")," ")</f>
        <v xml:space="preserve"> </v>
      </c>
      <c r="D2025" s="695"/>
      <c r="E2025" s="696"/>
      <c r="F2025" s="696"/>
      <c r="G2025" s="696"/>
      <c r="H2025" s="696"/>
      <c r="I2025" s="1050" t="str">
        <f t="shared" si="467"/>
        <v/>
      </c>
      <c r="J2025" s="696"/>
      <c r="K2025" s="697"/>
      <c r="L2025" s="696"/>
      <c r="M2025" s="198" t="str">
        <f t="shared" si="468"/>
        <v/>
      </c>
      <c r="N2025" s="369" t="str">
        <f t="shared" si="469"/>
        <v/>
      </c>
      <c r="O2025" s="183" t="str">
        <f t="shared" si="470"/>
        <v/>
      </c>
      <c r="P2025" s="199" t="str">
        <f t="shared" si="471"/>
        <v/>
      </c>
      <c r="Q2025" s="199" t="str">
        <f>IF(B2025="","",IFERROR(IF('עלויות כח אדם (6)'!J2025&gt;=VLOOKUP(I2025,'סיווג התפקידים והעלויות'!$B$23:$C$32,2,0),"תקין","לא תקין"),""))</f>
        <v/>
      </c>
      <c r="R2025" s="199" t="str">
        <f t="shared" si="472"/>
        <v/>
      </c>
      <c r="S2025" s="199" t="str">
        <f t="shared" si="473"/>
        <v/>
      </c>
      <c r="T2025" s="199" t="str">
        <f t="shared" si="481"/>
        <v/>
      </c>
      <c r="U2025" s="199" t="str">
        <f t="shared" si="474"/>
        <v/>
      </c>
      <c r="V2025" s="989"/>
      <c r="X2025" s="374" t="str">
        <f t="shared" si="475"/>
        <v/>
      </c>
      <c r="Y2025" s="375" t="str">
        <f t="shared" si="476"/>
        <v/>
      </c>
      <c r="Z2025" s="374" t="str">
        <f t="shared" si="477"/>
        <v/>
      </c>
      <c r="AA2025" s="374" t="b">
        <f t="shared" si="478"/>
        <v>1</v>
      </c>
      <c r="AB2025" s="374">
        <f>COUNTIFS(B:B,B2025,H:H,'סיווג התפקידים והעלויות'!$C$2)</f>
        <v>0</v>
      </c>
      <c r="AC2025" s="374">
        <f>COUNTIFS(B:B,B2025,H:H,'סיווג התפקידים והעלויות'!$D$2)</f>
        <v>0</v>
      </c>
      <c r="AD2025" s="374" t="str">
        <f>IF(OR(AND(H2025='סיווג התפקידים והעלויות'!$A$2,I2025='סיווג התפקידים והעלויות'!$A$3),'עלויות כח אדם (6)'!H2025='סיווג התפקידים והעלויות'!$C$2,'עלויות כח אדם (6)'!H2025='סיווג התפקידים והעלויות'!$D$2),IF('עלויות כח אדם (6)'!J2025&lt;75,"לא תקין","תקין"),"")</f>
        <v/>
      </c>
      <c r="AE2025" s="374" t="str">
        <f t="shared" si="479"/>
        <v/>
      </c>
      <c r="AF2025" s="532" t="str">
        <f t="shared" si="480"/>
        <v/>
      </c>
    </row>
    <row r="2026" spans="2:32" x14ac:dyDescent="0.25">
      <c r="B2026" s="695"/>
      <c r="C2026" s="197" t="str">
        <f>IF(B2026&lt;&gt;"",IFERROR(VLOOKUP(B:B,'מצבת והרשמה (2)'!$C$20:$N$520,2,0)," ")," ")</f>
        <v xml:space="preserve"> </v>
      </c>
      <c r="D2026" s="695"/>
      <c r="E2026" s="696"/>
      <c r="F2026" s="696"/>
      <c r="G2026" s="696"/>
      <c r="H2026" s="696"/>
      <c r="I2026" s="1050" t="str">
        <f t="shared" si="467"/>
        <v/>
      </c>
      <c r="J2026" s="696"/>
      <c r="K2026" s="697"/>
      <c r="L2026" s="696"/>
      <c r="M2026" s="198" t="str">
        <f t="shared" si="468"/>
        <v/>
      </c>
      <c r="N2026" s="369" t="str">
        <f t="shared" si="469"/>
        <v/>
      </c>
      <c r="O2026" s="183" t="str">
        <f t="shared" si="470"/>
        <v/>
      </c>
      <c r="P2026" s="199" t="str">
        <f t="shared" si="471"/>
        <v/>
      </c>
      <c r="Q2026" s="199" t="str">
        <f>IF(B2026="","",IFERROR(IF('עלויות כח אדם (6)'!J2026&gt;=VLOOKUP(I2026,'סיווג התפקידים והעלויות'!$B$23:$C$32,2,0),"תקין","לא תקין"),""))</f>
        <v/>
      </c>
      <c r="R2026" s="199" t="str">
        <f t="shared" si="472"/>
        <v/>
      </c>
      <c r="S2026" s="199" t="str">
        <f t="shared" si="473"/>
        <v/>
      </c>
      <c r="T2026" s="199" t="str">
        <f t="shared" si="481"/>
        <v/>
      </c>
      <c r="U2026" s="199" t="str">
        <f t="shared" si="474"/>
        <v/>
      </c>
      <c r="V2026" s="989"/>
      <c r="X2026" s="374" t="str">
        <f t="shared" si="475"/>
        <v/>
      </c>
      <c r="Y2026" s="375" t="str">
        <f t="shared" si="476"/>
        <v/>
      </c>
      <c r="Z2026" s="374" t="str">
        <f t="shared" si="477"/>
        <v/>
      </c>
      <c r="AA2026" s="374" t="b">
        <f t="shared" si="478"/>
        <v>1</v>
      </c>
      <c r="AB2026" s="374">
        <f>COUNTIFS(B:B,B2026,H:H,'סיווג התפקידים והעלויות'!$C$2)</f>
        <v>0</v>
      </c>
      <c r="AC2026" s="374">
        <f>COUNTIFS(B:B,B2026,H:H,'סיווג התפקידים והעלויות'!$D$2)</f>
        <v>0</v>
      </c>
      <c r="AD2026" s="374" t="str">
        <f>IF(OR(AND(H2026='סיווג התפקידים והעלויות'!$A$2,I2026='סיווג התפקידים והעלויות'!$A$3),'עלויות כח אדם (6)'!H2026='סיווג התפקידים והעלויות'!$C$2,'עלויות כח אדם (6)'!H2026='סיווג התפקידים והעלויות'!$D$2),IF('עלויות כח אדם (6)'!J2026&lt;75,"לא תקין","תקין"),"")</f>
        <v/>
      </c>
      <c r="AE2026" s="374" t="str">
        <f t="shared" si="479"/>
        <v/>
      </c>
      <c r="AF2026" s="532" t="str">
        <f t="shared" si="480"/>
        <v/>
      </c>
    </row>
    <row r="2027" spans="2:32" x14ac:dyDescent="0.25">
      <c r="B2027" s="695"/>
      <c r="C2027" s="197" t="str">
        <f>IF(B2027&lt;&gt;"",IFERROR(VLOOKUP(B:B,'מצבת והרשמה (2)'!$C$20:$N$520,2,0)," ")," ")</f>
        <v xml:space="preserve"> </v>
      </c>
      <c r="D2027" s="695"/>
      <c r="E2027" s="696"/>
      <c r="F2027" s="696"/>
      <c r="G2027" s="696"/>
      <c r="H2027" s="696"/>
      <c r="I2027" s="1050" t="str">
        <f t="shared" si="467"/>
        <v/>
      </c>
      <c r="J2027" s="696"/>
      <c r="K2027" s="697"/>
      <c r="L2027" s="696"/>
      <c r="M2027" s="198" t="str">
        <f t="shared" si="468"/>
        <v/>
      </c>
      <c r="N2027" s="369" t="str">
        <f t="shared" si="469"/>
        <v/>
      </c>
      <c r="O2027" s="183" t="str">
        <f t="shared" si="470"/>
        <v/>
      </c>
      <c r="P2027" s="199" t="str">
        <f t="shared" si="471"/>
        <v/>
      </c>
      <c r="Q2027" s="199" t="str">
        <f>IF(B2027="","",IFERROR(IF('עלויות כח אדם (6)'!J2027&gt;=VLOOKUP(I2027,'סיווג התפקידים והעלויות'!$B$23:$C$32,2,0),"תקין","לא תקין"),""))</f>
        <v/>
      </c>
      <c r="R2027" s="199" t="str">
        <f t="shared" si="472"/>
        <v/>
      </c>
      <c r="S2027" s="199" t="str">
        <f t="shared" si="473"/>
        <v/>
      </c>
      <c r="T2027" s="199" t="str">
        <f t="shared" si="481"/>
        <v/>
      </c>
      <c r="U2027" s="199" t="str">
        <f t="shared" si="474"/>
        <v/>
      </c>
      <c r="V2027" s="989"/>
      <c r="X2027" s="374" t="str">
        <f t="shared" si="475"/>
        <v/>
      </c>
      <c r="Y2027" s="375" t="str">
        <f t="shared" si="476"/>
        <v/>
      </c>
      <c r="Z2027" s="374" t="str">
        <f t="shared" si="477"/>
        <v/>
      </c>
      <c r="AA2027" s="374" t="b">
        <f t="shared" si="478"/>
        <v>1</v>
      </c>
      <c r="AB2027" s="374">
        <f>COUNTIFS(B:B,B2027,H:H,'סיווג התפקידים והעלויות'!$C$2)</f>
        <v>0</v>
      </c>
      <c r="AC2027" s="374">
        <f>COUNTIFS(B:B,B2027,H:H,'סיווג התפקידים והעלויות'!$D$2)</f>
        <v>0</v>
      </c>
      <c r="AD2027" s="374" t="str">
        <f>IF(OR(AND(H2027='סיווג התפקידים והעלויות'!$A$2,I2027='סיווג התפקידים והעלויות'!$A$3),'עלויות כח אדם (6)'!H2027='סיווג התפקידים והעלויות'!$C$2,'עלויות כח אדם (6)'!H2027='סיווג התפקידים והעלויות'!$D$2),IF('עלויות כח אדם (6)'!J2027&lt;75,"לא תקין","תקין"),"")</f>
        <v/>
      </c>
      <c r="AE2027" s="374" t="str">
        <f t="shared" si="479"/>
        <v/>
      </c>
      <c r="AF2027" s="532" t="str">
        <f t="shared" si="480"/>
        <v/>
      </c>
    </row>
    <row r="2028" spans="2:32" x14ac:dyDescent="0.25">
      <c r="B2028" s="695"/>
      <c r="C2028" s="197" t="str">
        <f>IF(B2028&lt;&gt;"",IFERROR(VLOOKUP(B:B,'מצבת והרשמה (2)'!$C$20:$N$520,2,0)," ")," ")</f>
        <v xml:space="preserve"> </v>
      </c>
      <c r="D2028" s="695"/>
      <c r="E2028" s="696"/>
      <c r="F2028" s="696"/>
      <c r="G2028" s="696"/>
      <c r="H2028" s="696"/>
      <c r="I2028" s="1050" t="str">
        <f t="shared" si="467"/>
        <v/>
      </c>
      <c r="J2028" s="696"/>
      <c r="K2028" s="697"/>
      <c r="L2028" s="696"/>
      <c r="M2028" s="198" t="str">
        <f t="shared" si="468"/>
        <v/>
      </c>
      <c r="N2028" s="369" t="str">
        <f t="shared" si="469"/>
        <v/>
      </c>
      <c r="O2028" s="183" t="str">
        <f t="shared" si="470"/>
        <v/>
      </c>
      <c r="P2028" s="199" t="str">
        <f t="shared" si="471"/>
        <v/>
      </c>
      <c r="Q2028" s="199" t="str">
        <f>IF(B2028="","",IFERROR(IF('עלויות כח אדם (6)'!J2028&gt;=VLOOKUP(I2028,'סיווג התפקידים והעלויות'!$B$23:$C$32,2,0),"תקין","לא תקין"),""))</f>
        <v/>
      </c>
      <c r="R2028" s="199" t="str">
        <f t="shared" si="472"/>
        <v/>
      </c>
      <c r="S2028" s="199" t="str">
        <f t="shared" si="473"/>
        <v/>
      </c>
      <c r="T2028" s="199" t="str">
        <f t="shared" si="481"/>
        <v/>
      </c>
      <c r="U2028" s="199" t="str">
        <f t="shared" si="474"/>
        <v/>
      </c>
      <c r="V2028" s="989"/>
      <c r="X2028" s="374" t="str">
        <f t="shared" si="475"/>
        <v/>
      </c>
      <c r="Y2028" s="375" t="str">
        <f t="shared" si="476"/>
        <v/>
      </c>
      <c r="Z2028" s="374" t="str">
        <f t="shared" si="477"/>
        <v/>
      </c>
      <c r="AA2028" s="374" t="b">
        <f t="shared" si="478"/>
        <v>1</v>
      </c>
      <c r="AB2028" s="374">
        <f>COUNTIFS(B:B,B2028,H:H,'סיווג התפקידים והעלויות'!$C$2)</f>
        <v>0</v>
      </c>
      <c r="AC2028" s="374">
        <f>COUNTIFS(B:B,B2028,H:H,'סיווג התפקידים והעלויות'!$D$2)</f>
        <v>0</v>
      </c>
      <c r="AD2028" s="374" t="str">
        <f>IF(OR(AND(H2028='סיווג התפקידים והעלויות'!$A$2,I2028='סיווג התפקידים והעלויות'!$A$3),'עלויות כח אדם (6)'!H2028='סיווג התפקידים והעלויות'!$C$2,'עלויות כח אדם (6)'!H2028='סיווג התפקידים והעלויות'!$D$2),IF('עלויות כח אדם (6)'!J2028&lt;75,"לא תקין","תקין"),"")</f>
        <v/>
      </c>
      <c r="AE2028" s="374" t="str">
        <f t="shared" si="479"/>
        <v/>
      </c>
      <c r="AF2028" s="532" t="str">
        <f t="shared" si="480"/>
        <v/>
      </c>
    </row>
    <row r="2029" spans="2:32" x14ac:dyDescent="0.25">
      <c r="B2029" s="695"/>
      <c r="C2029" s="197" t="str">
        <f>IF(B2029&lt;&gt;"",IFERROR(VLOOKUP(B:B,'מצבת והרשמה (2)'!$C$20:$N$520,2,0)," ")," ")</f>
        <v xml:space="preserve"> </v>
      </c>
      <c r="D2029" s="695"/>
      <c r="E2029" s="696"/>
      <c r="F2029" s="696"/>
      <c r="G2029" s="696"/>
      <c r="H2029" s="696"/>
      <c r="I2029" s="1050" t="str">
        <f t="shared" si="467"/>
        <v/>
      </c>
      <c r="J2029" s="696"/>
      <c r="K2029" s="697"/>
      <c r="L2029" s="696"/>
      <c r="M2029" s="198" t="str">
        <f t="shared" si="468"/>
        <v/>
      </c>
      <c r="N2029" s="369" t="str">
        <f t="shared" si="469"/>
        <v/>
      </c>
      <c r="O2029" s="183" t="str">
        <f t="shared" si="470"/>
        <v/>
      </c>
      <c r="P2029" s="199" t="str">
        <f t="shared" si="471"/>
        <v/>
      </c>
      <c r="Q2029" s="199" t="str">
        <f>IF(B2029="","",IFERROR(IF('עלויות כח אדם (6)'!J2029&gt;=VLOOKUP(I2029,'סיווג התפקידים והעלויות'!$B$23:$C$32,2,0),"תקין","לא תקין"),""))</f>
        <v/>
      </c>
      <c r="R2029" s="199" t="str">
        <f t="shared" si="472"/>
        <v/>
      </c>
      <c r="S2029" s="199" t="str">
        <f t="shared" si="473"/>
        <v/>
      </c>
      <c r="T2029" s="199" t="str">
        <f t="shared" si="481"/>
        <v/>
      </c>
      <c r="U2029" s="199" t="str">
        <f t="shared" si="474"/>
        <v/>
      </c>
      <c r="V2029" s="989"/>
      <c r="X2029" s="374" t="str">
        <f t="shared" si="475"/>
        <v/>
      </c>
      <c r="Y2029" s="375" t="str">
        <f t="shared" si="476"/>
        <v/>
      </c>
      <c r="Z2029" s="374" t="str">
        <f t="shared" si="477"/>
        <v/>
      </c>
      <c r="AA2029" s="374" t="b">
        <f t="shared" si="478"/>
        <v>1</v>
      </c>
      <c r="AB2029" s="374">
        <f>COUNTIFS(B:B,B2029,H:H,'סיווג התפקידים והעלויות'!$C$2)</f>
        <v>0</v>
      </c>
      <c r="AC2029" s="374">
        <f>COUNTIFS(B:B,B2029,H:H,'סיווג התפקידים והעלויות'!$D$2)</f>
        <v>0</v>
      </c>
      <c r="AD2029" s="374" t="str">
        <f>IF(OR(AND(H2029='סיווג התפקידים והעלויות'!$A$2,I2029='סיווג התפקידים והעלויות'!$A$3),'עלויות כח אדם (6)'!H2029='סיווג התפקידים והעלויות'!$C$2,'עלויות כח אדם (6)'!H2029='סיווג התפקידים והעלויות'!$D$2),IF('עלויות כח אדם (6)'!J2029&lt;75,"לא תקין","תקין"),"")</f>
        <v/>
      </c>
      <c r="AE2029" s="374" t="str">
        <f t="shared" si="479"/>
        <v/>
      </c>
      <c r="AF2029" s="532" t="str">
        <f t="shared" si="480"/>
        <v/>
      </c>
    </row>
    <row r="2030" spans="2:32" x14ac:dyDescent="0.25">
      <c r="B2030" s="695"/>
      <c r="C2030" s="197" t="str">
        <f>IF(B2030&lt;&gt;"",IFERROR(VLOOKUP(B:B,'מצבת והרשמה (2)'!$C$20:$N$520,2,0)," ")," ")</f>
        <v xml:space="preserve"> </v>
      </c>
      <c r="D2030" s="695"/>
      <c r="E2030" s="696"/>
      <c r="F2030" s="696"/>
      <c r="G2030" s="696"/>
      <c r="H2030" s="696"/>
      <c r="I2030" s="1050" t="str">
        <f t="shared" si="467"/>
        <v/>
      </c>
      <c r="J2030" s="696"/>
      <c r="K2030" s="697"/>
      <c r="L2030" s="696"/>
      <c r="M2030" s="198" t="str">
        <f t="shared" si="468"/>
        <v/>
      </c>
      <c r="N2030" s="369" t="str">
        <f t="shared" si="469"/>
        <v/>
      </c>
      <c r="O2030" s="183" t="str">
        <f t="shared" si="470"/>
        <v/>
      </c>
      <c r="P2030" s="199" t="str">
        <f t="shared" si="471"/>
        <v/>
      </c>
      <c r="Q2030" s="199" t="str">
        <f>IF(B2030="","",IFERROR(IF('עלויות כח אדם (6)'!J2030&gt;=VLOOKUP(I2030,'סיווג התפקידים והעלויות'!$B$23:$C$32,2,0),"תקין","לא תקין"),""))</f>
        <v/>
      </c>
      <c r="R2030" s="199" t="str">
        <f t="shared" si="472"/>
        <v/>
      </c>
      <c r="S2030" s="199" t="str">
        <f t="shared" si="473"/>
        <v/>
      </c>
      <c r="T2030" s="199" t="str">
        <f t="shared" si="481"/>
        <v/>
      </c>
      <c r="U2030" s="199" t="str">
        <f t="shared" si="474"/>
        <v/>
      </c>
      <c r="V2030" s="989"/>
      <c r="X2030" s="374" t="str">
        <f t="shared" si="475"/>
        <v/>
      </c>
      <c r="Y2030" s="375" t="str">
        <f t="shared" si="476"/>
        <v/>
      </c>
      <c r="Z2030" s="374" t="str">
        <f t="shared" si="477"/>
        <v/>
      </c>
      <c r="AA2030" s="374" t="b">
        <f t="shared" si="478"/>
        <v>1</v>
      </c>
      <c r="AB2030" s="374">
        <f>COUNTIFS(B:B,B2030,H:H,'סיווג התפקידים והעלויות'!$C$2)</f>
        <v>0</v>
      </c>
      <c r="AC2030" s="374">
        <f>COUNTIFS(B:B,B2030,H:H,'סיווג התפקידים והעלויות'!$D$2)</f>
        <v>0</v>
      </c>
      <c r="AD2030" s="374" t="str">
        <f>IF(OR(AND(H2030='סיווג התפקידים והעלויות'!$A$2,I2030='סיווג התפקידים והעלויות'!$A$3),'עלויות כח אדם (6)'!H2030='סיווג התפקידים והעלויות'!$C$2,'עלויות כח אדם (6)'!H2030='סיווג התפקידים והעלויות'!$D$2),IF('עלויות כח אדם (6)'!J2030&lt;75,"לא תקין","תקין"),"")</f>
        <v/>
      </c>
      <c r="AE2030" s="374" t="str">
        <f t="shared" si="479"/>
        <v/>
      </c>
      <c r="AF2030" s="532" t="str">
        <f t="shared" si="480"/>
        <v/>
      </c>
    </row>
    <row r="2031" spans="2:32" x14ac:dyDescent="0.25">
      <c r="B2031" s="695"/>
      <c r="C2031" s="197" t="str">
        <f>IF(B2031&lt;&gt;"",IFERROR(VLOOKUP(B:B,'מצבת והרשמה (2)'!$C$20:$N$520,2,0)," ")," ")</f>
        <v xml:space="preserve"> </v>
      </c>
      <c r="D2031" s="695"/>
      <c r="E2031" s="696"/>
      <c r="F2031" s="696"/>
      <c r="G2031" s="696"/>
      <c r="H2031" s="696"/>
      <c r="I2031" s="1050" t="str">
        <f t="shared" si="467"/>
        <v/>
      </c>
      <c r="J2031" s="696"/>
      <c r="K2031" s="697"/>
      <c r="L2031" s="696"/>
      <c r="M2031" s="198" t="str">
        <f t="shared" si="468"/>
        <v/>
      </c>
      <c r="N2031" s="369" t="str">
        <f t="shared" si="469"/>
        <v/>
      </c>
      <c r="O2031" s="183" t="str">
        <f t="shared" si="470"/>
        <v/>
      </c>
      <c r="P2031" s="199" t="str">
        <f t="shared" si="471"/>
        <v/>
      </c>
      <c r="Q2031" s="199" t="str">
        <f>IF(B2031="","",IFERROR(IF('עלויות כח אדם (6)'!J2031&gt;=VLOOKUP(I2031,'סיווג התפקידים והעלויות'!$B$23:$C$32,2,0),"תקין","לא תקין"),""))</f>
        <v/>
      </c>
      <c r="R2031" s="199" t="str">
        <f t="shared" si="472"/>
        <v/>
      </c>
      <c r="S2031" s="199" t="str">
        <f t="shared" si="473"/>
        <v/>
      </c>
      <c r="T2031" s="199" t="str">
        <f t="shared" si="481"/>
        <v/>
      </c>
      <c r="U2031" s="199" t="str">
        <f t="shared" si="474"/>
        <v/>
      </c>
      <c r="V2031" s="989"/>
      <c r="X2031" s="374" t="str">
        <f t="shared" si="475"/>
        <v/>
      </c>
      <c r="Y2031" s="375" t="str">
        <f t="shared" si="476"/>
        <v/>
      </c>
      <c r="Z2031" s="374" t="str">
        <f t="shared" si="477"/>
        <v/>
      </c>
      <c r="AA2031" s="374" t="b">
        <f t="shared" si="478"/>
        <v>1</v>
      </c>
      <c r="AB2031" s="374">
        <f>COUNTIFS(B:B,B2031,H:H,'סיווג התפקידים והעלויות'!$C$2)</f>
        <v>0</v>
      </c>
      <c r="AC2031" s="374">
        <f>COUNTIFS(B:B,B2031,H:H,'סיווג התפקידים והעלויות'!$D$2)</f>
        <v>0</v>
      </c>
      <c r="AD2031" s="374" t="str">
        <f>IF(OR(AND(H2031='סיווג התפקידים והעלויות'!$A$2,I2031='סיווג התפקידים והעלויות'!$A$3),'עלויות כח אדם (6)'!H2031='סיווג התפקידים והעלויות'!$C$2,'עלויות כח אדם (6)'!H2031='סיווג התפקידים והעלויות'!$D$2),IF('עלויות כח אדם (6)'!J2031&lt;75,"לא תקין","תקין"),"")</f>
        <v/>
      </c>
      <c r="AE2031" s="374" t="str">
        <f t="shared" si="479"/>
        <v/>
      </c>
      <c r="AF2031" s="532" t="str">
        <f t="shared" si="480"/>
        <v/>
      </c>
    </row>
    <row r="2032" spans="2:32" x14ac:dyDescent="0.25">
      <c r="B2032" s="695"/>
      <c r="C2032" s="197" t="str">
        <f>IF(B2032&lt;&gt;"",IFERROR(VLOOKUP(B:B,'מצבת והרשמה (2)'!$C$20:$N$520,2,0)," ")," ")</f>
        <v xml:space="preserve"> </v>
      </c>
      <c r="D2032" s="695"/>
      <c r="E2032" s="696"/>
      <c r="F2032" s="696"/>
      <c r="G2032" s="696"/>
      <c r="H2032" s="696"/>
      <c r="I2032" s="1050" t="str">
        <f t="shared" si="467"/>
        <v/>
      </c>
      <c r="J2032" s="696"/>
      <c r="K2032" s="697"/>
      <c r="L2032" s="696"/>
      <c r="M2032" s="198" t="str">
        <f t="shared" si="468"/>
        <v/>
      </c>
      <c r="N2032" s="369" t="str">
        <f t="shared" si="469"/>
        <v/>
      </c>
      <c r="O2032" s="183" t="str">
        <f t="shared" si="470"/>
        <v/>
      </c>
      <c r="P2032" s="199" t="str">
        <f t="shared" si="471"/>
        <v/>
      </c>
      <c r="Q2032" s="199" t="str">
        <f>IF(B2032="","",IFERROR(IF('עלויות כח אדם (6)'!J2032&gt;=VLOOKUP(I2032,'סיווג התפקידים והעלויות'!$B$23:$C$32,2,0),"תקין","לא תקין"),""))</f>
        <v/>
      </c>
      <c r="R2032" s="199" t="str">
        <f t="shared" si="472"/>
        <v/>
      </c>
      <c r="S2032" s="199" t="str">
        <f t="shared" si="473"/>
        <v/>
      </c>
      <c r="T2032" s="199" t="str">
        <f t="shared" si="481"/>
        <v/>
      </c>
      <c r="U2032" s="199" t="str">
        <f t="shared" si="474"/>
        <v/>
      </c>
      <c r="V2032" s="989"/>
      <c r="X2032" s="374" t="str">
        <f t="shared" si="475"/>
        <v/>
      </c>
      <c r="Y2032" s="375" t="str">
        <f t="shared" si="476"/>
        <v/>
      </c>
      <c r="Z2032" s="374" t="str">
        <f t="shared" si="477"/>
        <v/>
      </c>
      <c r="AA2032" s="374" t="b">
        <f t="shared" si="478"/>
        <v>1</v>
      </c>
      <c r="AB2032" s="374">
        <f>COUNTIFS(B:B,B2032,H:H,'סיווג התפקידים והעלויות'!$C$2)</f>
        <v>0</v>
      </c>
      <c r="AC2032" s="374">
        <f>COUNTIFS(B:B,B2032,H:H,'סיווג התפקידים והעלויות'!$D$2)</f>
        <v>0</v>
      </c>
      <c r="AD2032" s="374" t="str">
        <f>IF(OR(AND(H2032='סיווג התפקידים והעלויות'!$A$2,I2032='סיווג התפקידים והעלויות'!$A$3),'עלויות כח אדם (6)'!H2032='סיווג התפקידים והעלויות'!$C$2,'עלויות כח אדם (6)'!H2032='סיווג התפקידים והעלויות'!$D$2),IF('עלויות כח אדם (6)'!J2032&lt;75,"לא תקין","תקין"),"")</f>
        <v/>
      </c>
      <c r="AE2032" s="374" t="str">
        <f t="shared" si="479"/>
        <v/>
      </c>
      <c r="AF2032" s="532" t="str">
        <f t="shared" si="480"/>
        <v/>
      </c>
    </row>
    <row r="2033" spans="2:32" x14ac:dyDescent="0.25">
      <c r="B2033" s="695"/>
      <c r="C2033" s="197" t="str">
        <f>IF(B2033&lt;&gt;"",IFERROR(VLOOKUP(B:B,'מצבת והרשמה (2)'!$C$20:$N$520,2,0)," ")," ")</f>
        <v xml:space="preserve"> </v>
      </c>
      <c r="D2033" s="695"/>
      <c r="E2033" s="696"/>
      <c r="F2033" s="696"/>
      <c r="G2033" s="696"/>
      <c r="H2033" s="696"/>
      <c r="I2033" s="1050" t="str">
        <f t="shared" si="467"/>
        <v/>
      </c>
      <c r="J2033" s="696"/>
      <c r="K2033" s="697"/>
      <c r="L2033" s="696"/>
      <c r="M2033" s="198" t="str">
        <f t="shared" si="468"/>
        <v/>
      </c>
      <c r="N2033" s="369" t="str">
        <f t="shared" si="469"/>
        <v/>
      </c>
      <c r="O2033" s="183" t="str">
        <f t="shared" si="470"/>
        <v/>
      </c>
      <c r="P2033" s="199" t="str">
        <f t="shared" si="471"/>
        <v/>
      </c>
      <c r="Q2033" s="199" t="str">
        <f>IF(B2033="","",IFERROR(IF('עלויות כח אדם (6)'!J2033&gt;=VLOOKUP(I2033,'סיווג התפקידים והעלויות'!$B$23:$C$32,2,0),"תקין","לא תקין"),""))</f>
        <v/>
      </c>
      <c r="R2033" s="199" t="str">
        <f t="shared" si="472"/>
        <v/>
      </c>
      <c r="S2033" s="199" t="str">
        <f t="shared" si="473"/>
        <v/>
      </c>
      <c r="T2033" s="199" t="str">
        <f t="shared" si="481"/>
        <v/>
      </c>
      <c r="U2033" s="199" t="str">
        <f t="shared" si="474"/>
        <v/>
      </c>
      <c r="V2033" s="989"/>
      <c r="X2033" s="374" t="str">
        <f t="shared" si="475"/>
        <v/>
      </c>
      <c r="Y2033" s="375" t="str">
        <f t="shared" si="476"/>
        <v/>
      </c>
      <c r="Z2033" s="374" t="str">
        <f t="shared" si="477"/>
        <v/>
      </c>
      <c r="AA2033" s="374" t="b">
        <f t="shared" si="478"/>
        <v>1</v>
      </c>
      <c r="AB2033" s="374">
        <f>COUNTIFS(B:B,B2033,H:H,'סיווג התפקידים והעלויות'!$C$2)</f>
        <v>0</v>
      </c>
      <c r="AC2033" s="374">
        <f>COUNTIFS(B:B,B2033,H:H,'סיווג התפקידים והעלויות'!$D$2)</f>
        <v>0</v>
      </c>
      <c r="AD2033" s="374" t="str">
        <f>IF(OR(AND(H2033='סיווג התפקידים והעלויות'!$A$2,I2033='סיווג התפקידים והעלויות'!$A$3),'עלויות כח אדם (6)'!H2033='סיווג התפקידים והעלויות'!$C$2,'עלויות כח אדם (6)'!H2033='סיווג התפקידים והעלויות'!$D$2),IF('עלויות כח אדם (6)'!J2033&lt;75,"לא תקין","תקין"),"")</f>
        <v/>
      </c>
      <c r="AE2033" s="374" t="str">
        <f t="shared" si="479"/>
        <v/>
      </c>
      <c r="AF2033" s="532" t="str">
        <f t="shared" si="480"/>
        <v/>
      </c>
    </row>
    <row r="2034" spans="2:32" x14ac:dyDescent="0.25">
      <c r="B2034" s="695"/>
      <c r="C2034" s="197" t="str">
        <f>IF(B2034&lt;&gt;"",IFERROR(VLOOKUP(B:B,'מצבת והרשמה (2)'!$C$20:$N$520,2,0)," ")," ")</f>
        <v xml:space="preserve"> </v>
      </c>
      <c r="D2034" s="695"/>
      <c r="E2034" s="696"/>
      <c r="F2034" s="696"/>
      <c r="G2034" s="696"/>
      <c r="H2034" s="696"/>
      <c r="I2034" s="1050" t="str">
        <f t="shared" si="467"/>
        <v/>
      </c>
      <c r="J2034" s="696"/>
      <c r="K2034" s="697"/>
      <c r="L2034" s="696"/>
      <c r="M2034" s="198" t="str">
        <f t="shared" si="468"/>
        <v/>
      </c>
      <c r="N2034" s="369" t="str">
        <f t="shared" si="469"/>
        <v/>
      </c>
      <c r="O2034" s="183" t="str">
        <f t="shared" si="470"/>
        <v/>
      </c>
      <c r="P2034" s="199" t="str">
        <f t="shared" si="471"/>
        <v/>
      </c>
      <c r="Q2034" s="199" t="str">
        <f>IF(B2034="","",IFERROR(IF('עלויות כח אדם (6)'!J2034&gt;=VLOOKUP(I2034,'סיווג התפקידים והעלויות'!$B$23:$C$32,2,0),"תקין","לא תקין"),""))</f>
        <v/>
      </c>
      <c r="R2034" s="199" t="str">
        <f t="shared" si="472"/>
        <v/>
      </c>
      <c r="S2034" s="199" t="str">
        <f t="shared" si="473"/>
        <v/>
      </c>
      <c r="T2034" s="199" t="str">
        <f t="shared" si="481"/>
        <v/>
      </c>
      <c r="U2034" s="199" t="str">
        <f t="shared" si="474"/>
        <v/>
      </c>
      <c r="V2034" s="989"/>
      <c r="X2034" s="374" t="str">
        <f t="shared" si="475"/>
        <v/>
      </c>
      <c r="Y2034" s="375" t="str">
        <f t="shared" si="476"/>
        <v/>
      </c>
      <c r="Z2034" s="374" t="str">
        <f t="shared" si="477"/>
        <v/>
      </c>
      <c r="AA2034" s="374" t="b">
        <f t="shared" si="478"/>
        <v>1</v>
      </c>
      <c r="AB2034" s="374">
        <f>COUNTIFS(B:B,B2034,H:H,'סיווג התפקידים והעלויות'!$C$2)</f>
        <v>0</v>
      </c>
      <c r="AC2034" s="374">
        <f>COUNTIFS(B:B,B2034,H:H,'סיווג התפקידים והעלויות'!$D$2)</f>
        <v>0</v>
      </c>
      <c r="AD2034" s="374" t="str">
        <f>IF(OR(AND(H2034='סיווג התפקידים והעלויות'!$A$2,I2034='סיווג התפקידים והעלויות'!$A$3),'עלויות כח אדם (6)'!H2034='סיווג התפקידים והעלויות'!$C$2,'עלויות כח אדם (6)'!H2034='סיווג התפקידים והעלויות'!$D$2),IF('עלויות כח אדם (6)'!J2034&lt;75,"לא תקין","תקין"),"")</f>
        <v/>
      </c>
      <c r="AE2034" s="374" t="str">
        <f t="shared" si="479"/>
        <v/>
      </c>
      <c r="AF2034" s="532" t="str">
        <f t="shared" si="480"/>
        <v/>
      </c>
    </row>
    <row r="2035" spans="2:32" x14ac:dyDescent="0.25">
      <c r="B2035" s="695"/>
      <c r="C2035" s="197" t="str">
        <f>IF(B2035&lt;&gt;"",IFERROR(VLOOKUP(B:B,'מצבת והרשמה (2)'!$C$20:$N$520,2,0)," ")," ")</f>
        <v xml:space="preserve"> </v>
      </c>
      <c r="D2035" s="695"/>
      <c r="E2035" s="696"/>
      <c r="F2035" s="696"/>
      <c r="G2035" s="696"/>
      <c r="H2035" s="696"/>
      <c r="I2035" s="1050" t="str">
        <f t="shared" si="467"/>
        <v/>
      </c>
      <c r="J2035" s="696"/>
      <c r="K2035" s="697"/>
      <c r="L2035" s="696"/>
      <c r="M2035" s="198" t="str">
        <f t="shared" si="468"/>
        <v/>
      </c>
      <c r="N2035" s="369" t="str">
        <f t="shared" si="469"/>
        <v/>
      </c>
      <c r="O2035" s="183" t="str">
        <f t="shared" si="470"/>
        <v/>
      </c>
      <c r="P2035" s="199" t="str">
        <f t="shared" si="471"/>
        <v/>
      </c>
      <c r="Q2035" s="199" t="str">
        <f>IF(B2035="","",IFERROR(IF('עלויות כח אדם (6)'!J2035&gt;=VLOOKUP(I2035,'סיווג התפקידים והעלויות'!$B$23:$C$32,2,0),"תקין","לא תקין"),""))</f>
        <v/>
      </c>
      <c r="R2035" s="199" t="str">
        <f t="shared" si="472"/>
        <v/>
      </c>
      <c r="S2035" s="199" t="str">
        <f t="shared" si="473"/>
        <v/>
      </c>
      <c r="T2035" s="199" t="str">
        <f t="shared" si="481"/>
        <v/>
      </c>
      <c r="U2035" s="199" t="str">
        <f t="shared" si="474"/>
        <v/>
      </c>
      <c r="V2035" s="989"/>
      <c r="X2035" s="374" t="str">
        <f t="shared" si="475"/>
        <v/>
      </c>
      <c r="Y2035" s="375" t="str">
        <f t="shared" si="476"/>
        <v/>
      </c>
      <c r="Z2035" s="374" t="str">
        <f t="shared" si="477"/>
        <v/>
      </c>
      <c r="AA2035" s="374" t="b">
        <f t="shared" si="478"/>
        <v>1</v>
      </c>
      <c r="AB2035" s="374">
        <f>COUNTIFS(B:B,B2035,H:H,'סיווג התפקידים והעלויות'!$C$2)</f>
        <v>0</v>
      </c>
      <c r="AC2035" s="374">
        <f>COUNTIFS(B:B,B2035,H:H,'סיווג התפקידים והעלויות'!$D$2)</f>
        <v>0</v>
      </c>
      <c r="AD2035" s="374" t="str">
        <f>IF(OR(AND(H2035='סיווג התפקידים והעלויות'!$A$2,I2035='סיווג התפקידים והעלויות'!$A$3),'עלויות כח אדם (6)'!H2035='סיווג התפקידים והעלויות'!$C$2,'עלויות כח אדם (6)'!H2035='סיווג התפקידים והעלויות'!$D$2),IF('עלויות כח אדם (6)'!J2035&lt;75,"לא תקין","תקין"),"")</f>
        <v/>
      </c>
      <c r="AE2035" s="374" t="str">
        <f t="shared" si="479"/>
        <v/>
      </c>
      <c r="AF2035" s="532" t="str">
        <f t="shared" si="480"/>
        <v/>
      </c>
    </row>
    <row r="2036" spans="2:32" x14ac:dyDescent="0.25">
      <c r="B2036" s="695"/>
      <c r="C2036" s="197" t="str">
        <f>IF(B2036&lt;&gt;"",IFERROR(VLOOKUP(B:B,'מצבת והרשמה (2)'!$C$20:$N$520,2,0)," ")," ")</f>
        <v xml:space="preserve"> </v>
      </c>
      <c r="D2036" s="695"/>
      <c r="E2036" s="696"/>
      <c r="F2036" s="696"/>
      <c r="G2036" s="696"/>
      <c r="H2036" s="696"/>
      <c r="I2036" s="1050" t="str">
        <f t="shared" si="467"/>
        <v/>
      </c>
      <c r="J2036" s="696"/>
      <c r="K2036" s="697"/>
      <c r="L2036" s="696"/>
      <c r="M2036" s="198" t="str">
        <f t="shared" si="468"/>
        <v/>
      </c>
      <c r="N2036" s="369" t="str">
        <f t="shared" si="469"/>
        <v/>
      </c>
      <c r="O2036" s="183" t="str">
        <f t="shared" si="470"/>
        <v/>
      </c>
      <c r="P2036" s="199" t="str">
        <f t="shared" si="471"/>
        <v/>
      </c>
      <c r="Q2036" s="199" t="str">
        <f>IF(B2036="","",IFERROR(IF('עלויות כח אדם (6)'!J2036&gt;=VLOOKUP(I2036,'סיווג התפקידים והעלויות'!$B$23:$C$32,2,0),"תקין","לא תקין"),""))</f>
        <v/>
      </c>
      <c r="R2036" s="199" t="str">
        <f t="shared" si="472"/>
        <v/>
      </c>
      <c r="S2036" s="199" t="str">
        <f t="shared" si="473"/>
        <v/>
      </c>
      <c r="T2036" s="199" t="str">
        <f t="shared" si="481"/>
        <v/>
      </c>
      <c r="U2036" s="199" t="str">
        <f t="shared" si="474"/>
        <v/>
      </c>
      <c r="V2036" s="989"/>
      <c r="X2036" s="374" t="str">
        <f t="shared" si="475"/>
        <v/>
      </c>
      <c r="Y2036" s="375" t="str">
        <f t="shared" si="476"/>
        <v/>
      </c>
      <c r="Z2036" s="374" t="str">
        <f t="shared" si="477"/>
        <v/>
      </c>
      <c r="AA2036" s="374" t="b">
        <f t="shared" si="478"/>
        <v>1</v>
      </c>
      <c r="AB2036" s="374">
        <f>COUNTIFS(B:B,B2036,H:H,'סיווג התפקידים והעלויות'!$C$2)</f>
        <v>0</v>
      </c>
      <c r="AC2036" s="374">
        <f>COUNTIFS(B:B,B2036,H:H,'סיווג התפקידים והעלויות'!$D$2)</f>
        <v>0</v>
      </c>
      <c r="AD2036" s="374" t="str">
        <f>IF(OR(AND(H2036='סיווג התפקידים והעלויות'!$A$2,I2036='סיווג התפקידים והעלויות'!$A$3),'עלויות כח אדם (6)'!H2036='סיווג התפקידים והעלויות'!$C$2,'עלויות כח אדם (6)'!H2036='סיווג התפקידים והעלויות'!$D$2),IF('עלויות כח אדם (6)'!J2036&lt;75,"לא תקין","תקין"),"")</f>
        <v/>
      </c>
      <c r="AE2036" s="374" t="str">
        <f t="shared" si="479"/>
        <v/>
      </c>
      <c r="AF2036" s="532" t="str">
        <f t="shared" si="480"/>
        <v/>
      </c>
    </row>
    <row r="2037" spans="2:32" x14ac:dyDescent="0.25">
      <c r="B2037" s="695"/>
      <c r="C2037" s="197" t="str">
        <f>IF(B2037&lt;&gt;"",IFERROR(VLOOKUP(B:B,'מצבת והרשמה (2)'!$C$20:$N$520,2,0)," ")," ")</f>
        <v xml:space="preserve"> </v>
      </c>
      <c r="D2037" s="695"/>
      <c r="E2037" s="696"/>
      <c r="F2037" s="696"/>
      <c r="G2037" s="696"/>
      <c r="H2037" s="696"/>
      <c r="I2037" s="1050" t="str">
        <f t="shared" si="467"/>
        <v/>
      </c>
      <c r="J2037" s="696"/>
      <c r="K2037" s="697"/>
      <c r="L2037" s="696"/>
      <c r="M2037" s="198" t="str">
        <f t="shared" si="468"/>
        <v/>
      </c>
      <c r="N2037" s="369" t="str">
        <f t="shared" si="469"/>
        <v/>
      </c>
      <c r="O2037" s="183" t="str">
        <f t="shared" si="470"/>
        <v/>
      </c>
      <c r="P2037" s="199" t="str">
        <f t="shared" si="471"/>
        <v/>
      </c>
      <c r="Q2037" s="199" t="str">
        <f>IF(B2037="","",IFERROR(IF('עלויות כח אדם (6)'!J2037&gt;=VLOOKUP(I2037,'סיווג התפקידים והעלויות'!$B$23:$C$32,2,0),"תקין","לא תקין"),""))</f>
        <v/>
      </c>
      <c r="R2037" s="199" t="str">
        <f t="shared" si="472"/>
        <v/>
      </c>
      <c r="S2037" s="199" t="str">
        <f t="shared" si="473"/>
        <v/>
      </c>
      <c r="T2037" s="199" t="str">
        <f t="shared" si="481"/>
        <v/>
      </c>
      <c r="U2037" s="199" t="str">
        <f t="shared" si="474"/>
        <v/>
      </c>
      <c r="V2037" s="989"/>
      <c r="X2037" s="374" t="str">
        <f t="shared" si="475"/>
        <v/>
      </c>
      <c r="Y2037" s="375" t="str">
        <f t="shared" si="476"/>
        <v/>
      </c>
      <c r="Z2037" s="374" t="str">
        <f t="shared" si="477"/>
        <v/>
      </c>
      <c r="AA2037" s="374" t="b">
        <f t="shared" si="478"/>
        <v>1</v>
      </c>
      <c r="AB2037" s="374">
        <f>COUNTIFS(B:B,B2037,H:H,'סיווג התפקידים והעלויות'!$C$2)</f>
        <v>0</v>
      </c>
      <c r="AC2037" s="374">
        <f>COUNTIFS(B:B,B2037,H:H,'סיווג התפקידים והעלויות'!$D$2)</f>
        <v>0</v>
      </c>
      <c r="AD2037" s="374" t="str">
        <f>IF(OR(AND(H2037='סיווג התפקידים והעלויות'!$A$2,I2037='סיווג התפקידים והעלויות'!$A$3),'עלויות כח אדם (6)'!H2037='סיווג התפקידים והעלויות'!$C$2,'עלויות כח אדם (6)'!H2037='סיווג התפקידים והעלויות'!$D$2),IF('עלויות כח אדם (6)'!J2037&lt;75,"לא תקין","תקין"),"")</f>
        <v/>
      </c>
      <c r="AE2037" s="374" t="str">
        <f t="shared" si="479"/>
        <v/>
      </c>
      <c r="AF2037" s="532" t="str">
        <f t="shared" si="480"/>
        <v/>
      </c>
    </row>
    <row r="2038" spans="2:32" x14ac:dyDescent="0.25">
      <c r="B2038" s="695"/>
      <c r="C2038" s="197" t="str">
        <f>IF(B2038&lt;&gt;"",IFERROR(VLOOKUP(B:B,'מצבת והרשמה (2)'!$C$20:$N$520,2,0)," ")," ")</f>
        <v xml:space="preserve"> </v>
      </c>
      <c r="D2038" s="695"/>
      <c r="E2038" s="696"/>
      <c r="F2038" s="696"/>
      <c r="G2038" s="696"/>
      <c r="H2038" s="696"/>
      <c r="I2038" s="1050" t="str">
        <f t="shared" si="467"/>
        <v/>
      </c>
      <c r="J2038" s="696"/>
      <c r="K2038" s="697"/>
      <c r="L2038" s="696"/>
      <c r="M2038" s="198" t="str">
        <f t="shared" si="468"/>
        <v/>
      </c>
      <c r="N2038" s="369" t="str">
        <f t="shared" si="469"/>
        <v/>
      </c>
      <c r="O2038" s="183" t="str">
        <f t="shared" si="470"/>
        <v/>
      </c>
      <c r="P2038" s="199" t="str">
        <f t="shared" si="471"/>
        <v/>
      </c>
      <c r="Q2038" s="199" t="str">
        <f>IF(B2038="","",IFERROR(IF('עלויות כח אדם (6)'!J2038&gt;=VLOOKUP(I2038,'סיווג התפקידים והעלויות'!$B$23:$C$32,2,0),"תקין","לא תקין"),""))</f>
        <v/>
      </c>
      <c r="R2038" s="199" t="str">
        <f t="shared" si="472"/>
        <v/>
      </c>
      <c r="S2038" s="199" t="str">
        <f t="shared" si="473"/>
        <v/>
      </c>
      <c r="T2038" s="199" t="str">
        <f t="shared" si="481"/>
        <v/>
      </c>
      <c r="U2038" s="199" t="str">
        <f t="shared" si="474"/>
        <v/>
      </c>
      <c r="V2038" s="989"/>
      <c r="X2038" s="374" t="str">
        <f t="shared" si="475"/>
        <v/>
      </c>
      <c r="Y2038" s="375" t="str">
        <f t="shared" si="476"/>
        <v/>
      </c>
      <c r="Z2038" s="374" t="str">
        <f t="shared" si="477"/>
        <v/>
      </c>
      <c r="AA2038" s="374" t="b">
        <f t="shared" si="478"/>
        <v>1</v>
      </c>
      <c r="AB2038" s="374">
        <f>COUNTIFS(B:B,B2038,H:H,'סיווג התפקידים והעלויות'!$C$2)</f>
        <v>0</v>
      </c>
      <c r="AC2038" s="374">
        <f>COUNTIFS(B:B,B2038,H:H,'סיווג התפקידים והעלויות'!$D$2)</f>
        <v>0</v>
      </c>
      <c r="AD2038" s="374" t="str">
        <f>IF(OR(AND(H2038='סיווג התפקידים והעלויות'!$A$2,I2038='סיווג התפקידים והעלויות'!$A$3),'עלויות כח אדם (6)'!H2038='סיווג התפקידים והעלויות'!$C$2,'עלויות כח אדם (6)'!H2038='סיווג התפקידים והעלויות'!$D$2),IF('עלויות כח אדם (6)'!J2038&lt;75,"לא תקין","תקין"),"")</f>
        <v/>
      </c>
      <c r="AE2038" s="374" t="str">
        <f t="shared" si="479"/>
        <v/>
      </c>
      <c r="AF2038" s="532" t="str">
        <f t="shared" si="480"/>
        <v/>
      </c>
    </row>
    <row r="2039" spans="2:32" x14ac:dyDescent="0.25">
      <c r="B2039" s="695"/>
      <c r="C2039" s="197" t="str">
        <f>IF(B2039&lt;&gt;"",IFERROR(VLOOKUP(B:B,'מצבת והרשמה (2)'!$C$20:$N$520,2,0)," ")," ")</f>
        <v xml:space="preserve"> </v>
      </c>
      <c r="D2039" s="695"/>
      <c r="E2039" s="696"/>
      <c r="F2039" s="696"/>
      <c r="G2039" s="696"/>
      <c r="H2039" s="696"/>
      <c r="I2039" s="1050" t="str">
        <f t="shared" si="467"/>
        <v/>
      </c>
      <c r="J2039" s="696"/>
      <c r="K2039" s="697"/>
      <c r="L2039" s="696"/>
      <c r="M2039" s="198" t="str">
        <f t="shared" si="468"/>
        <v/>
      </c>
      <c r="N2039" s="369" t="str">
        <f t="shared" si="469"/>
        <v/>
      </c>
      <c r="O2039" s="183" t="str">
        <f t="shared" si="470"/>
        <v/>
      </c>
      <c r="P2039" s="199" t="str">
        <f t="shared" si="471"/>
        <v/>
      </c>
      <c r="Q2039" s="199" t="str">
        <f>IF(B2039="","",IFERROR(IF('עלויות כח אדם (6)'!J2039&gt;=VLOOKUP(I2039,'סיווג התפקידים והעלויות'!$B$23:$C$32,2,0),"תקין","לא תקין"),""))</f>
        <v/>
      </c>
      <c r="R2039" s="199" t="str">
        <f t="shared" si="472"/>
        <v/>
      </c>
      <c r="S2039" s="199" t="str">
        <f t="shared" si="473"/>
        <v/>
      </c>
      <c r="T2039" s="199" t="str">
        <f t="shared" si="481"/>
        <v/>
      </c>
      <c r="U2039" s="199" t="str">
        <f t="shared" si="474"/>
        <v/>
      </c>
      <c r="V2039" s="989"/>
      <c r="X2039" s="374" t="str">
        <f t="shared" si="475"/>
        <v/>
      </c>
      <c r="Y2039" s="375" t="str">
        <f t="shared" si="476"/>
        <v/>
      </c>
      <c r="Z2039" s="374" t="str">
        <f t="shared" si="477"/>
        <v/>
      </c>
      <c r="AA2039" s="374" t="b">
        <f t="shared" si="478"/>
        <v>1</v>
      </c>
      <c r="AB2039" s="374">
        <f>COUNTIFS(B:B,B2039,H:H,'סיווג התפקידים והעלויות'!$C$2)</f>
        <v>0</v>
      </c>
      <c r="AC2039" s="374">
        <f>COUNTIFS(B:B,B2039,H:H,'סיווג התפקידים והעלויות'!$D$2)</f>
        <v>0</v>
      </c>
      <c r="AD2039" s="374" t="str">
        <f>IF(OR(AND(H2039='סיווג התפקידים והעלויות'!$A$2,I2039='סיווג התפקידים והעלויות'!$A$3),'עלויות כח אדם (6)'!H2039='סיווג התפקידים והעלויות'!$C$2,'עלויות כח אדם (6)'!H2039='סיווג התפקידים והעלויות'!$D$2),IF('עלויות כח אדם (6)'!J2039&lt;75,"לא תקין","תקין"),"")</f>
        <v/>
      </c>
      <c r="AE2039" s="374" t="str">
        <f t="shared" si="479"/>
        <v/>
      </c>
      <c r="AF2039" s="532" t="str">
        <f t="shared" si="480"/>
        <v/>
      </c>
    </row>
    <row r="2040" spans="2:32" x14ac:dyDescent="0.25">
      <c r="B2040" s="695"/>
      <c r="C2040" s="197" t="str">
        <f>IF(B2040&lt;&gt;"",IFERROR(VLOOKUP(B:B,'מצבת והרשמה (2)'!$C$20:$N$520,2,0)," ")," ")</f>
        <v xml:space="preserve"> </v>
      </c>
      <c r="D2040" s="695"/>
      <c r="E2040" s="696"/>
      <c r="F2040" s="696"/>
      <c r="G2040" s="696"/>
      <c r="H2040" s="696"/>
      <c r="I2040" s="1050" t="str">
        <f t="shared" si="467"/>
        <v/>
      </c>
      <c r="J2040" s="696"/>
      <c r="K2040" s="697"/>
      <c r="L2040" s="696"/>
      <c r="M2040" s="198" t="str">
        <f t="shared" si="468"/>
        <v/>
      </c>
      <c r="N2040" s="369" t="str">
        <f t="shared" si="469"/>
        <v/>
      </c>
      <c r="O2040" s="183" t="str">
        <f t="shared" si="470"/>
        <v/>
      </c>
      <c r="P2040" s="199" t="str">
        <f t="shared" si="471"/>
        <v/>
      </c>
      <c r="Q2040" s="199" t="str">
        <f>IF(B2040="","",IFERROR(IF('עלויות כח אדם (6)'!J2040&gt;=VLOOKUP(I2040,'סיווג התפקידים והעלויות'!$B$23:$C$32,2,0),"תקין","לא תקין"),""))</f>
        <v/>
      </c>
      <c r="R2040" s="199" t="str">
        <f t="shared" si="472"/>
        <v/>
      </c>
      <c r="S2040" s="199" t="str">
        <f t="shared" si="473"/>
        <v/>
      </c>
      <c r="T2040" s="199" t="str">
        <f t="shared" si="481"/>
        <v/>
      </c>
      <c r="U2040" s="199" t="str">
        <f t="shared" si="474"/>
        <v/>
      </c>
      <c r="V2040" s="989"/>
      <c r="X2040" s="374" t="str">
        <f t="shared" si="475"/>
        <v/>
      </c>
      <c r="Y2040" s="375" t="str">
        <f t="shared" si="476"/>
        <v/>
      </c>
      <c r="Z2040" s="374" t="str">
        <f t="shared" si="477"/>
        <v/>
      </c>
      <c r="AA2040" s="374" t="b">
        <f t="shared" si="478"/>
        <v>1</v>
      </c>
      <c r="AB2040" s="374">
        <f>COUNTIFS(B:B,B2040,H:H,'סיווג התפקידים והעלויות'!$C$2)</f>
        <v>0</v>
      </c>
      <c r="AC2040" s="374">
        <f>COUNTIFS(B:B,B2040,H:H,'סיווג התפקידים והעלויות'!$D$2)</f>
        <v>0</v>
      </c>
      <c r="AD2040" s="374" t="str">
        <f>IF(OR(AND(H2040='סיווג התפקידים והעלויות'!$A$2,I2040='סיווג התפקידים והעלויות'!$A$3),'עלויות כח אדם (6)'!H2040='סיווג התפקידים והעלויות'!$C$2,'עלויות כח אדם (6)'!H2040='סיווג התפקידים והעלויות'!$D$2),IF('עלויות כח אדם (6)'!J2040&lt;75,"לא תקין","תקין"),"")</f>
        <v/>
      </c>
      <c r="AE2040" s="374" t="str">
        <f t="shared" si="479"/>
        <v/>
      </c>
      <c r="AF2040" s="532" t="str">
        <f t="shared" si="480"/>
        <v/>
      </c>
    </row>
    <row r="2041" spans="2:32" x14ac:dyDescent="0.25">
      <c r="B2041" s="695"/>
      <c r="C2041" s="197" t="str">
        <f>IF(B2041&lt;&gt;"",IFERROR(VLOOKUP(B:B,'מצבת והרשמה (2)'!$C$20:$N$520,2,0)," ")," ")</f>
        <v xml:space="preserve"> </v>
      </c>
      <c r="D2041" s="695"/>
      <c r="E2041" s="696"/>
      <c r="F2041" s="696"/>
      <c r="G2041" s="696"/>
      <c r="H2041" s="696"/>
      <c r="I2041" s="1050" t="str">
        <f t="shared" si="467"/>
        <v/>
      </c>
      <c r="J2041" s="696"/>
      <c r="K2041" s="697"/>
      <c r="L2041" s="696"/>
      <c r="M2041" s="198" t="str">
        <f t="shared" si="468"/>
        <v/>
      </c>
      <c r="N2041" s="369" t="str">
        <f t="shared" si="469"/>
        <v/>
      </c>
      <c r="O2041" s="183" t="str">
        <f t="shared" si="470"/>
        <v/>
      </c>
      <c r="P2041" s="199" t="str">
        <f t="shared" si="471"/>
        <v/>
      </c>
      <c r="Q2041" s="199" t="str">
        <f>IF(B2041="","",IFERROR(IF('עלויות כח אדם (6)'!J2041&gt;=VLOOKUP(I2041,'סיווג התפקידים והעלויות'!$B$23:$C$32,2,0),"תקין","לא תקין"),""))</f>
        <v/>
      </c>
      <c r="R2041" s="199" t="str">
        <f t="shared" si="472"/>
        <v/>
      </c>
      <c r="S2041" s="199" t="str">
        <f t="shared" si="473"/>
        <v/>
      </c>
      <c r="T2041" s="199" t="str">
        <f t="shared" si="481"/>
        <v/>
      </c>
      <c r="U2041" s="199" t="str">
        <f t="shared" si="474"/>
        <v/>
      </c>
      <c r="V2041" s="989"/>
      <c r="X2041" s="374" t="str">
        <f t="shared" si="475"/>
        <v/>
      </c>
      <c r="Y2041" s="375" t="str">
        <f t="shared" si="476"/>
        <v/>
      </c>
      <c r="Z2041" s="374" t="str">
        <f t="shared" si="477"/>
        <v/>
      </c>
      <c r="AA2041" s="374" t="b">
        <f t="shared" si="478"/>
        <v>1</v>
      </c>
      <c r="AB2041" s="374">
        <f>COUNTIFS(B:B,B2041,H:H,'סיווג התפקידים והעלויות'!$C$2)</f>
        <v>0</v>
      </c>
      <c r="AC2041" s="374">
        <f>COUNTIFS(B:B,B2041,H:H,'סיווג התפקידים והעלויות'!$D$2)</f>
        <v>0</v>
      </c>
      <c r="AD2041" s="374" t="str">
        <f>IF(OR(AND(H2041='סיווג התפקידים והעלויות'!$A$2,I2041='סיווג התפקידים והעלויות'!$A$3),'עלויות כח אדם (6)'!H2041='סיווג התפקידים והעלויות'!$C$2,'עלויות כח אדם (6)'!H2041='סיווג התפקידים והעלויות'!$D$2),IF('עלויות כח אדם (6)'!J2041&lt;75,"לא תקין","תקין"),"")</f>
        <v/>
      </c>
      <c r="AE2041" s="374" t="str">
        <f t="shared" si="479"/>
        <v/>
      </c>
      <c r="AF2041" s="532" t="str">
        <f t="shared" si="480"/>
        <v/>
      </c>
    </row>
    <row r="2042" spans="2:32" x14ac:dyDescent="0.25">
      <c r="B2042" s="695"/>
      <c r="C2042" s="197" t="str">
        <f>IF(B2042&lt;&gt;"",IFERROR(VLOOKUP(B:B,'מצבת והרשמה (2)'!$C$20:$N$520,2,0)," ")," ")</f>
        <v xml:space="preserve"> </v>
      </c>
      <c r="D2042" s="695"/>
      <c r="E2042" s="696"/>
      <c r="F2042" s="696"/>
      <c r="G2042" s="696"/>
      <c r="H2042" s="696"/>
      <c r="I2042" s="1050" t="str">
        <f t="shared" si="467"/>
        <v/>
      </c>
      <c r="J2042" s="696"/>
      <c r="K2042" s="697"/>
      <c r="L2042" s="696"/>
      <c r="M2042" s="198" t="str">
        <f t="shared" si="468"/>
        <v/>
      </c>
      <c r="N2042" s="369" t="str">
        <f t="shared" si="469"/>
        <v/>
      </c>
      <c r="O2042" s="183" t="str">
        <f t="shared" si="470"/>
        <v/>
      </c>
      <c r="P2042" s="199" t="str">
        <f t="shared" si="471"/>
        <v/>
      </c>
      <c r="Q2042" s="199" t="str">
        <f>IF(B2042="","",IFERROR(IF('עלויות כח אדם (6)'!J2042&gt;=VLOOKUP(I2042,'סיווג התפקידים והעלויות'!$B$23:$C$32,2,0),"תקין","לא תקין"),""))</f>
        <v/>
      </c>
      <c r="R2042" s="199" t="str">
        <f t="shared" si="472"/>
        <v/>
      </c>
      <c r="S2042" s="199" t="str">
        <f t="shared" si="473"/>
        <v/>
      </c>
      <c r="T2042" s="199" t="str">
        <f t="shared" si="481"/>
        <v/>
      </c>
      <c r="U2042" s="199" t="str">
        <f t="shared" si="474"/>
        <v/>
      </c>
      <c r="V2042" s="989"/>
      <c r="X2042" s="374" t="str">
        <f t="shared" si="475"/>
        <v/>
      </c>
      <c r="Y2042" s="375" t="str">
        <f t="shared" si="476"/>
        <v/>
      </c>
      <c r="Z2042" s="374" t="str">
        <f t="shared" si="477"/>
        <v/>
      </c>
      <c r="AA2042" s="374" t="b">
        <f t="shared" si="478"/>
        <v>1</v>
      </c>
      <c r="AB2042" s="374">
        <f>COUNTIFS(B:B,B2042,H:H,'סיווג התפקידים והעלויות'!$C$2)</f>
        <v>0</v>
      </c>
      <c r="AC2042" s="374">
        <f>COUNTIFS(B:B,B2042,H:H,'סיווג התפקידים והעלויות'!$D$2)</f>
        <v>0</v>
      </c>
      <c r="AD2042" s="374" t="str">
        <f>IF(OR(AND(H2042='סיווג התפקידים והעלויות'!$A$2,I2042='סיווג התפקידים והעלויות'!$A$3),'עלויות כח אדם (6)'!H2042='סיווג התפקידים והעלויות'!$C$2,'עלויות כח אדם (6)'!H2042='סיווג התפקידים והעלויות'!$D$2),IF('עלויות כח אדם (6)'!J2042&lt;75,"לא תקין","תקין"),"")</f>
        <v/>
      </c>
      <c r="AE2042" s="374" t="str">
        <f t="shared" si="479"/>
        <v/>
      </c>
      <c r="AF2042" s="532" t="str">
        <f t="shared" si="480"/>
        <v/>
      </c>
    </row>
    <row r="2043" spans="2:32" x14ac:dyDescent="0.25">
      <c r="B2043" s="695"/>
      <c r="C2043" s="197" t="str">
        <f>IF(B2043&lt;&gt;"",IFERROR(VLOOKUP(B:B,'מצבת והרשמה (2)'!$C$20:$N$520,2,0)," ")," ")</f>
        <v xml:space="preserve"> </v>
      </c>
      <c r="D2043" s="695"/>
      <c r="E2043" s="696"/>
      <c r="F2043" s="696"/>
      <c r="G2043" s="696"/>
      <c r="H2043" s="696"/>
      <c r="I2043" s="1050" t="str">
        <f t="shared" si="467"/>
        <v/>
      </c>
      <c r="J2043" s="696"/>
      <c r="K2043" s="697"/>
      <c r="L2043" s="696"/>
      <c r="M2043" s="198" t="str">
        <f t="shared" si="468"/>
        <v/>
      </c>
      <c r="N2043" s="369" t="str">
        <f t="shared" si="469"/>
        <v/>
      </c>
      <c r="O2043" s="183" t="str">
        <f t="shared" si="470"/>
        <v/>
      </c>
      <c r="P2043" s="199" t="str">
        <f t="shared" si="471"/>
        <v/>
      </c>
      <c r="Q2043" s="199" t="str">
        <f>IF(B2043="","",IFERROR(IF('עלויות כח אדם (6)'!J2043&gt;=VLOOKUP(I2043,'סיווג התפקידים והעלויות'!$B$23:$C$32,2,0),"תקין","לא תקין"),""))</f>
        <v/>
      </c>
      <c r="R2043" s="199" t="str">
        <f t="shared" si="472"/>
        <v/>
      </c>
      <c r="S2043" s="199" t="str">
        <f t="shared" si="473"/>
        <v/>
      </c>
      <c r="T2043" s="199" t="str">
        <f t="shared" si="481"/>
        <v/>
      </c>
      <c r="U2043" s="199" t="str">
        <f t="shared" si="474"/>
        <v/>
      </c>
      <c r="V2043" s="989"/>
      <c r="X2043" s="374" t="str">
        <f t="shared" si="475"/>
        <v/>
      </c>
      <c r="Y2043" s="375" t="str">
        <f t="shared" si="476"/>
        <v/>
      </c>
      <c r="Z2043" s="374" t="str">
        <f t="shared" si="477"/>
        <v/>
      </c>
      <c r="AA2043" s="374" t="b">
        <f t="shared" si="478"/>
        <v>1</v>
      </c>
      <c r="AB2043" s="374">
        <f>COUNTIFS(B:B,B2043,H:H,'סיווג התפקידים והעלויות'!$C$2)</f>
        <v>0</v>
      </c>
      <c r="AC2043" s="374">
        <f>COUNTIFS(B:B,B2043,H:H,'סיווג התפקידים והעלויות'!$D$2)</f>
        <v>0</v>
      </c>
      <c r="AD2043" s="374" t="str">
        <f>IF(OR(AND(H2043='סיווג התפקידים והעלויות'!$A$2,I2043='סיווג התפקידים והעלויות'!$A$3),'עלויות כח אדם (6)'!H2043='סיווג התפקידים והעלויות'!$C$2,'עלויות כח אדם (6)'!H2043='סיווג התפקידים והעלויות'!$D$2),IF('עלויות כח אדם (6)'!J2043&lt;75,"לא תקין","תקין"),"")</f>
        <v/>
      </c>
      <c r="AE2043" s="374" t="str">
        <f t="shared" si="479"/>
        <v/>
      </c>
      <c r="AF2043" s="532" t="str">
        <f t="shared" si="480"/>
        <v/>
      </c>
    </row>
    <row r="2044" spans="2:32" x14ac:dyDescent="0.25">
      <c r="B2044" s="695"/>
      <c r="C2044" s="197" t="str">
        <f>IF(B2044&lt;&gt;"",IFERROR(VLOOKUP(B:B,'מצבת והרשמה (2)'!$C$20:$N$520,2,0)," ")," ")</f>
        <v xml:space="preserve"> </v>
      </c>
      <c r="D2044" s="695"/>
      <c r="E2044" s="696"/>
      <c r="F2044" s="696"/>
      <c r="G2044" s="696"/>
      <c r="H2044" s="696"/>
      <c r="I2044" s="1050" t="str">
        <f t="shared" si="467"/>
        <v/>
      </c>
      <c r="J2044" s="696"/>
      <c r="K2044" s="697"/>
      <c r="L2044" s="696"/>
      <c r="M2044" s="198" t="str">
        <f t="shared" si="468"/>
        <v/>
      </c>
      <c r="N2044" s="369" t="str">
        <f t="shared" si="469"/>
        <v/>
      </c>
      <c r="O2044" s="183" t="str">
        <f t="shared" si="470"/>
        <v/>
      </c>
      <c r="P2044" s="199" t="str">
        <f t="shared" si="471"/>
        <v/>
      </c>
      <c r="Q2044" s="199" t="str">
        <f>IF(B2044="","",IFERROR(IF('עלויות כח אדם (6)'!J2044&gt;=VLOOKUP(I2044,'סיווג התפקידים והעלויות'!$B$23:$C$32,2,0),"תקין","לא תקין"),""))</f>
        <v/>
      </c>
      <c r="R2044" s="199" t="str">
        <f t="shared" si="472"/>
        <v/>
      </c>
      <c r="S2044" s="199" t="str">
        <f t="shared" si="473"/>
        <v/>
      </c>
      <c r="T2044" s="199" t="str">
        <f t="shared" si="481"/>
        <v/>
      </c>
      <c r="U2044" s="199" t="str">
        <f t="shared" si="474"/>
        <v/>
      </c>
      <c r="V2044" s="989"/>
      <c r="X2044" s="374" t="str">
        <f t="shared" si="475"/>
        <v/>
      </c>
      <c r="Y2044" s="375" t="str">
        <f t="shared" si="476"/>
        <v/>
      </c>
      <c r="Z2044" s="374" t="str">
        <f t="shared" si="477"/>
        <v/>
      </c>
      <c r="AA2044" s="374" t="b">
        <f t="shared" si="478"/>
        <v>1</v>
      </c>
      <c r="AB2044" s="374">
        <f>COUNTIFS(B:B,B2044,H:H,'סיווג התפקידים והעלויות'!$C$2)</f>
        <v>0</v>
      </c>
      <c r="AC2044" s="374">
        <f>COUNTIFS(B:B,B2044,H:H,'סיווג התפקידים והעלויות'!$D$2)</f>
        <v>0</v>
      </c>
      <c r="AD2044" s="374" t="str">
        <f>IF(OR(AND(H2044='סיווג התפקידים והעלויות'!$A$2,I2044='סיווג התפקידים והעלויות'!$A$3),'עלויות כח אדם (6)'!H2044='סיווג התפקידים והעלויות'!$C$2,'עלויות כח אדם (6)'!H2044='סיווג התפקידים והעלויות'!$D$2),IF('עלויות כח אדם (6)'!J2044&lt;75,"לא תקין","תקין"),"")</f>
        <v/>
      </c>
      <c r="AE2044" s="374" t="str">
        <f t="shared" si="479"/>
        <v/>
      </c>
      <c r="AF2044" s="532" t="str">
        <f t="shared" si="480"/>
        <v/>
      </c>
    </row>
    <row r="2045" spans="2:32" x14ac:dyDescent="0.25">
      <c r="B2045" s="695"/>
      <c r="C2045" s="197" t="str">
        <f>IF(B2045&lt;&gt;"",IFERROR(VLOOKUP(B:B,'מצבת והרשמה (2)'!$C$20:$N$520,2,0)," ")," ")</f>
        <v xml:space="preserve"> </v>
      </c>
      <c r="D2045" s="695"/>
      <c r="E2045" s="696"/>
      <c r="F2045" s="696"/>
      <c r="G2045" s="696"/>
      <c r="H2045" s="696"/>
      <c r="I2045" s="1050" t="str">
        <f t="shared" si="467"/>
        <v/>
      </c>
      <c r="J2045" s="696"/>
      <c r="K2045" s="697"/>
      <c r="L2045" s="696"/>
      <c r="M2045" s="198" t="str">
        <f t="shared" si="468"/>
        <v/>
      </c>
      <c r="N2045" s="369" t="str">
        <f t="shared" si="469"/>
        <v/>
      </c>
      <c r="O2045" s="183" t="str">
        <f t="shared" si="470"/>
        <v/>
      </c>
      <c r="P2045" s="199" t="str">
        <f t="shared" si="471"/>
        <v/>
      </c>
      <c r="Q2045" s="199" t="str">
        <f>IF(B2045="","",IFERROR(IF('עלויות כח אדם (6)'!J2045&gt;=VLOOKUP(I2045,'סיווג התפקידים והעלויות'!$B$23:$C$32,2,0),"תקין","לא תקין"),""))</f>
        <v/>
      </c>
      <c r="R2045" s="199" t="str">
        <f t="shared" si="472"/>
        <v/>
      </c>
      <c r="S2045" s="199" t="str">
        <f t="shared" si="473"/>
        <v/>
      </c>
      <c r="T2045" s="199" t="str">
        <f t="shared" si="481"/>
        <v/>
      </c>
      <c r="U2045" s="199" t="str">
        <f t="shared" si="474"/>
        <v/>
      </c>
      <c r="V2045" s="989"/>
      <c r="X2045" s="374" t="str">
        <f t="shared" si="475"/>
        <v/>
      </c>
      <c r="Y2045" s="375" t="str">
        <f t="shared" si="476"/>
        <v/>
      </c>
      <c r="Z2045" s="374" t="str">
        <f t="shared" si="477"/>
        <v/>
      </c>
      <c r="AA2045" s="374" t="b">
        <f t="shared" si="478"/>
        <v>1</v>
      </c>
      <c r="AB2045" s="374">
        <f>COUNTIFS(B:B,B2045,H:H,'סיווג התפקידים והעלויות'!$C$2)</f>
        <v>0</v>
      </c>
      <c r="AC2045" s="374">
        <f>COUNTIFS(B:B,B2045,H:H,'סיווג התפקידים והעלויות'!$D$2)</f>
        <v>0</v>
      </c>
      <c r="AD2045" s="374" t="str">
        <f>IF(OR(AND(H2045='סיווג התפקידים והעלויות'!$A$2,I2045='סיווג התפקידים והעלויות'!$A$3),'עלויות כח אדם (6)'!H2045='סיווג התפקידים והעלויות'!$C$2,'עלויות כח אדם (6)'!H2045='סיווג התפקידים והעלויות'!$D$2),IF('עלויות כח אדם (6)'!J2045&lt;75,"לא תקין","תקין"),"")</f>
        <v/>
      </c>
      <c r="AE2045" s="374" t="str">
        <f t="shared" si="479"/>
        <v/>
      </c>
      <c r="AF2045" s="532" t="str">
        <f t="shared" si="480"/>
        <v/>
      </c>
    </row>
    <row r="2046" spans="2:32" x14ac:dyDescent="0.25">
      <c r="B2046" s="695"/>
      <c r="C2046" s="197" t="str">
        <f>IF(B2046&lt;&gt;"",IFERROR(VLOOKUP(B:B,'מצבת והרשמה (2)'!$C$20:$N$520,2,0)," ")," ")</f>
        <v xml:space="preserve"> </v>
      </c>
      <c r="D2046" s="695"/>
      <c r="E2046" s="696"/>
      <c r="F2046" s="696"/>
      <c r="G2046" s="696"/>
      <c r="H2046" s="696"/>
      <c r="I2046" s="1050" t="str">
        <f t="shared" si="467"/>
        <v/>
      </c>
      <c r="J2046" s="696"/>
      <c r="K2046" s="697"/>
      <c r="L2046" s="696"/>
      <c r="M2046" s="198" t="str">
        <f t="shared" si="468"/>
        <v/>
      </c>
      <c r="N2046" s="369" t="str">
        <f t="shared" si="469"/>
        <v/>
      </c>
      <c r="O2046" s="183" t="str">
        <f t="shared" si="470"/>
        <v/>
      </c>
      <c r="P2046" s="199" t="str">
        <f t="shared" si="471"/>
        <v/>
      </c>
      <c r="Q2046" s="199" t="str">
        <f>IF(B2046="","",IFERROR(IF('עלויות כח אדם (6)'!J2046&gt;=VLOOKUP(I2046,'סיווג התפקידים והעלויות'!$B$23:$C$32,2,0),"תקין","לא תקין"),""))</f>
        <v/>
      </c>
      <c r="R2046" s="199" t="str">
        <f t="shared" si="472"/>
        <v/>
      </c>
      <c r="S2046" s="199" t="str">
        <f t="shared" si="473"/>
        <v/>
      </c>
      <c r="T2046" s="199" t="str">
        <f t="shared" si="481"/>
        <v/>
      </c>
      <c r="U2046" s="199" t="str">
        <f t="shared" si="474"/>
        <v/>
      </c>
      <c r="V2046" s="989"/>
      <c r="X2046" s="374" t="str">
        <f t="shared" si="475"/>
        <v/>
      </c>
      <c r="Y2046" s="375" t="str">
        <f t="shared" si="476"/>
        <v/>
      </c>
      <c r="Z2046" s="374" t="str">
        <f t="shared" si="477"/>
        <v/>
      </c>
      <c r="AA2046" s="374" t="b">
        <f t="shared" si="478"/>
        <v>1</v>
      </c>
      <c r="AB2046" s="374">
        <f>COUNTIFS(B:B,B2046,H:H,'סיווג התפקידים והעלויות'!$C$2)</f>
        <v>0</v>
      </c>
      <c r="AC2046" s="374">
        <f>COUNTIFS(B:B,B2046,H:H,'סיווג התפקידים והעלויות'!$D$2)</f>
        <v>0</v>
      </c>
      <c r="AD2046" s="374" t="str">
        <f>IF(OR(AND(H2046='סיווג התפקידים והעלויות'!$A$2,I2046='סיווג התפקידים והעלויות'!$A$3),'עלויות כח אדם (6)'!H2046='סיווג התפקידים והעלויות'!$C$2,'עלויות כח אדם (6)'!H2046='סיווג התפקידים והעלויות'!$D$2),IF('עלויות כח אדם (6)'!J2046&lt;75,"לא תקין","תקין"),"")</f>
        <v/>
      </c>
      <c r="AE2046" s="374" t="str">
        <f t="shared" si="479"/>
        <v/>
      </c>
      <c r="AF2046" s="532" t="str">
        <f t="shared" si="480"/>
        <v/>
      </c>
    </row>
    <row r="2047" spans="2:32" x14ac:dyDescent="0.25">
      <c r="B2047" s="695"/>
      <c r="C2047" s="197" t="str">
        <f>IF(B2047&lt;&gt;"",IFERROR(VLOOKUP(B:B,'מצבת והרשמה (2)'!$C$20:$N$520,2,0)," ")," ")</f>
        <v xml:space="preserve"> </v>
      </c>
      <c r="D2047" s="695"/>
      <c r="E2047" s="696"/>
      <c r="F2047" s="696"/>
      <c r="G2047" s="696"/>
      <c r="H2047" s="696"/>
      <c r="I2047" s="1050" t="str">
        <f t="shared" si="467"/>
        <v/>
      </c>
      <c r="J2047" s="696"/>
      <c r="K2047" s="697"/>
      <c r="L2047" s="696"/>
      <c r="M2047" s="198" t="str">
        <f t="shared" si="468"/>
        <v/>
      </c>
      <c r="N2047" s="369" t="str">
        <f t="shared" si="469"/>
        <v/>
      </c>
      <c r="O2047" s="183" t="str">
        <f t="shared" si="470"/>
        <v/>
      </c>
      <c r="P2047" s="199" t="str">
        <f t="shared" si="471"/>
        <v/>
      </c>
      <c r="Q2047" s="199" t="str">
        <f>IF(B2047="","",IFERROR(IF('עלויות כח אדם (6)'!J2047&gt;=VLOOKUP(I2047,'סיווג התפקידים והעלויות'!$B$23:$C$32,2,0),"תקין","לא תקין"),""))</f>
        <v/>
      </c>
      <c r="R2047" s="199" t="str">
        <f t="shared" si="472"/>
        <v/>
      </c>
      <c r="S2047" s="199" t="str">
        <f t="shared" si="473"/>
        <v/>
      </c>
      <c r="T2047" s="199" t="str">
        <f t="shared" si="481"/>
        <v/>
      </c>
      <c r="U2047" s="199" t="str">
        <f t="shared" si="474"/>
        <v/>
      </c>
      <c r="V2047" s="989"/>
      <c r="X2047" s="374" t="str">
        <f t="shared" si="475"/>
        <v/>
      </c>
      <c r="Y2047" s="375" t="str">
        <f t="shared" si="476"/>
        <v/>
      </c>
      <c r="Z2047" s="374" t="str">
        <f t="shared" si="477"/>
        <v/>
      </c>
      <c r="AA2047" s="374" t="b">
        <f t="shared" si="478"/>
        <v>1</v>
      </c>
      <c r="AB2047" s="374">
        <f>COUNTIFS(B:B,B2047,H:H,'סיווג התפקידים והעלויות'!$C$2)</f>
        <v>0</v>
      </c>
      <c r="AC2047" s="374">
        <f>COUNTIFS(B:B,B2047,H:H,'סיווג התפקידים והעלויות'!$D$2)</f>
        <v>0</v>
      </c>
      <c r="AD2047" s="374" t="str">
        <f>IF(OR(AND(H2047='סיווג התפקידים והעלויות'!$A$2,I2047='סיווג התפקידים והעלויות'!$A$3),'עלויות כח אדם (6)'!H2047='סיווג התפקידים והעלויות'!$C$2,'עלויות כח אדם (6)'!H2047='סיווג התפקידים והעלויות'!$D$2),IF('עלויות כח אדם (6)'!J2047&lt;75,"לא תקין","תקין"),"")</f>
        <v/>
      </c>
      <c r="AE2047" s="374" t="str">
        <f t="shared" si="479"/>
        <v/>
      </c>
      <c r="AF2047" s="532" t="str">
        <f t="shared" si="480"/>
        <v/>
      </c>
    </row>
    <row r="2048" spans="2:32" x14ac:dyDescent="0.25">
      <c r="B2048" s="695"/>
      <c r="C2048" s="197" t="str">
        <f>IF(B2048&lt;&gt;"",IFERROR(VLOOKUP(B:B,'מצבת והרשמה (2)'!$C$20:$N$520,2,0)," ")," ")</f>
        <v xml:space="preserve"> </v>
      </c>
      <c r="D2048" s="695"/>
      <c r="E2048" s="696"/>
      <c r="F2048" s="696"/>
      <c r="G2048" s="696"/>
      <c r="H2048" s="696"/>
      <c r="I2048" s="1050" t="str">
        <f t="shared" si="467"/>
        <v/>
      </c>
      <c r="J2048" s="696"/>
      <c r="K2048" s="697"/>
      <c r="L2048" s="696"/>
      <c r="M2048" s="198" t="str">
        <f t="shared" si="468"/>
        <v/>
      </c>
      <c r="N2048" s="369" t="str">
        <f t="shared" si="469"/>
        <v/>
      </c>
      <c r="O2048" s="183" t="str">
        <f t="shared" si="470"/>
        <v/>
      </c>
      <c r="P2048" s="199" t="str">
        <f t="shared" si="471"/>
        <v/>
      </c>
      <c r="Q2048" s="199" t="str">
        <f>IF(B2048="","",IFERROR(IF('עלויות כח אדם (6)'!J2048&gt;=VLOOKUP(I2048,'סיווג התפקידים והעלויות'!$B$23:$C$32,2,0),"תקין","לא תקין"),""))</f>
        <v/>
      </c>
      <c r="R2048" s="199" t="str">
        <f t="shared" si="472"/>
        <v/>
      </c>
      <c r="S2048" s="199" t="str">
        <f t="shared" si="473"/>
        <v/>
      </c>
      <c r="T2048" s="199" t="str">
        <f t="shared" si="481"/>
        <v/>
      </c>
      <c r="U2048" s="199" t="str">
        <f t="shared" si="474"/>
        <v/>
      </c>
      <c r="V2048" s="989"/>
      <c r="X2048" s="374" t="str">
        <f t="shared" si="475"/>
        <v/>
      </c>
      <c r="Y2048" s="375" t="str">
        <f t="shared" si="476"/>
        <v/>
      </c>
      <c r="Z2048" s="374" t="str">
        <f t="shared" si="477"/>
        <v/>
      </c>
      <c r="AA2048" s="374" t="b">
        <f t="shared" si="478"/>
        <v>1</v>
      </c>
      <c r="AB2048" s="374">
        <f>COUNTIFS(B:B,B2048,H:H,'סיווג התפקידים והעלויות'!$C$2)</f>
        <v>0</v>
      </c>
      <c r="AC2048" s="374">
        <f>COUNTIFS(B:B,B2048,H:H,'סיווג התפקידים והעלויות'!$D$2)</f>
        <v>0</v>
      </c>
      <c r="AD2048" s="374" t="str">
        <f>IF(OR(AND(H2048='סיווג התפקידים והעלויות'!$A$2,I2048='סיווג התפקידים והעלויות'!$A$3),'עלויות כח אדם (6)'!H2048='סיווג התפקידים והעלויות'!$C$2,'עלויות כח אדם (6)'!H2048='סיווג התפקידים והעלויות'!$D$2),IF('עלויות כח אדם (6)'!J2048&lt;75,"לא תקין","תקין"),"")</f>
        <v/>
      </c>
      <c r="AE2048" s="374" t="str">
        <f t="shared" si="479"/>
        <v/>
      </c>
      <c r="AF2048" s="532" t="str">
        <f t="shared" si="480"/>
        <v/>
      </c>
    </row>
    <row r="2049" spans="2:32" x14ac:dyDescent="0.25">
      <c r="B2049" s="695"/>
      <c r="C2049" s="197" t="str">
        <f>IF(B2049&lt;&gt;"",IFERROR(VLOOKUP(B:B,'מצבת והרשמה (2)'!$C$20:$N$520,2,0)," ")," ")</f>
        <v xml:space="preserve"> </v>
      </c>
      <c r="D2049" s="695"/>
      <c r="E2049" s="696"/>
      <c r="F2049" s="696"/>
      <c r="G2049" s="696"/>
      <c r="H2049" s="696"/>
      <c r="I2049" s="1050" t="str">
        <f t="shared" si="467"/>
        <v/>
      </c>
      <c r="J2049" s="696"/>
      <c r="K2049" s="697"/>
      <c r="L2049" s="696"/>
      <c r="M2049" s="198" t="str">
        <f t="shared" si="468"/>
        <v/>
      </c>
      <c r="N2049" s="369" t="str">
        <f t="shared" si="469"/>
        <v/>
      </c>
      <c r="O2049" s="183" t="str">
        <f t="shared" si="470"/>
        <v/>
      </c>
      <c r="P2049" s="199" t="str">
        <f t="shared" si="471"/>
        <v/>
      </c>
      <c r="Q2049" s="199" t="str">
        <f>IF(B2049="","",IFERROR(IF('עלויות כח אדם (6)'!J2049&gt;=VLOOKUP(I2049,'סיווג התפקידים והעלויות'!$B$23:$C$32,2,0),"תקין","לא תקין"),""))</f>
        <v/>
      </c>
      <c r="R2049" s="199" t="str">
        <f t="shared" si="472"/>
        <v/>
      </c>
      <c r="S2049" s="199" t="str">
        <f t="shared" si="473"/>
        <v/>
      </c>
      <c r="T2049" s="199" t="str">
        <f t="shared" si="481"/>
        <v/>
      </c>
      <c r="U2049" s="199" t="str">
        <f t="shared" si="474"/>
        <v/>
      </c>
      <c r="V2049" s="989"/>
      <c r="X2049" s="374" t="str">
        <f t="shared" si="475"/>
        <v/>
      </c>
      <c r="Y2049" s="375" t="str">
        <f t="shared" si="476"/>
        <v/>
      </c>
      <c r="Z2049" s="374" t="str">
        <f t="shared" si="477"/>
        <v/>
      </c>
      <c r="AA2049" s="374" t="b">
        <f t="shared" si="478"/>
        <v>1</v>
      </c>
      <c r="AB2049" s="374">
        <f>COUNTIFS(B:B,B2049,H:H,'סיווג התפקידים והעלויות'!$C$2)</f>
        <v>0</v>
      </c>
      <c r="AC2049" s="374">
        <f>COUNTIFS(B:B,B2049,H:H,'סיווג התפקידים והעלויות'!$D$2)</f>
        <v>0</v>
      </c>
      <c r="AD2049" s="374" t="str">
        <f>IF(OR(AND(H2049='סיווג התפקידים והעלויות'!$A$2,I2049='סיווג התפקידים והעלויות'!$A$3),'עלויות כח אדם (6)'!H2049='סיווג התפקידים והעלויות'!$C$2,'עלויות כח אדם (6)'!H2049='סיווג התפקידים והעלויות'!$D$2),IF('עלויות כח אדם (6)'!J2049&lt;75,"לא תקין","תקין"),"")</f>
        <v/>
      </c>
      <c r="AE2049" s="374" t="str">
        <f t="shared" si="479"/>
        <v/>
      </c>
      <c r="AF2049" s="532" t="str">
        <f t="shared" si="480"/>
        <v/>
      </c>
    </row>
    <row r="2050" spans="2:32" x14ac:dyDescent="0.25">
      <c r="B2050" s="695"/>
      <c r="C2050" s="197" t="str">
        <f>IF(B2050&lt;&gt;"",IFERROR(VLOOKUP(B:B,'מצבת והרשמה (2)'!$C$20:$N$520,2,0)," ")," ")</f>
        <v xml:space="preserve"> </v>
      </c>
      <c r="D2050" s="695"/>
      <c r="E2050" s="696"/>
      <c r="F2050" s="696"/>
      <c r="G2050" s="696"/>
      <c r="H2050" s="696"/>
      <c r="I2050" s="1050" t="str">
        <f t="shared" si="467"/>
        <v/>
      </c>
      <c r="J2050" s="696"/>
      <c r="K2050" s="697"/>
      <c r="L2050" s="696"/>
      <c r="M2050" s="198" t="str">
        <f t="shared" si="468"/>
        <v/>
      </c>
      <c r="N2050" s="369" t="str">
        <f t="shared" si="469"/>
        <v/>
      </c>
      <c r="O2050" s="183" t="str">
        <f t="shared" si="470"/>
        <v/>
      </c>
      <c r="P2050" s="199" t="str">
        <f t="shared" si="471"/>
        <v/>
      </c>
      <c r="Q2050" s="199" t="str">
        <f>IF(B2050="","",IFERROR(IF('עלויות כח אדם (6)'!J2050&gt;=VLOOKUP(I2050,'סיווג התפקידים והעלויות'!$B$23:$C$32,2,0),"תקין","לא תקין"),""))</f>
        <v/>
      </c>
      <c r="R2050" s="199" t="str">
        <f t="shared" si="472"/>
        <v/>
      </c>
      <c r="S2050" s="199" t="str">
        <f t="shared" si="473"/>
        <v/>
      </c>
      <c r="T2050" s="199" t="str">
        <f t="shared" si="481"/>
        <v/>
      </c>
      <c r="U2050" s="199" t="str">
        <f t="shared" si="474"/>
        <v/>
      </c>
      <c r="V2050" s="989"/>
      <c r="X2050" s="374" t="str">
        <f t="shared" si="475"/>
        <v/>
      </c>
      <c r="Y2050" s="375" t="str">
        <f t="shared" si="476"/>
        <v/>
      </c>
      <c r="Z2050" s="374" t="str">
        <f t="shared" si="477"/>
        <v/>
      </c>
      <c r="AA2050" s="374" t="b">
        <f t="shared" si="478"/>
        <v>1</v>
      </c>
      <c r="AB2050" s="374">
        <f>COUNTIFS(B:B,B2050,H:H,'סיווג התפקידים והעלויות'!$C$2)</f>
        <v>0</v>
      </c>
      <c r="AC2050" s="374">
        <f>COUNTIFS(B:B,B2050,H:H,'סיווג התפקידים והעלויות'!$D$2)</f>
        <v>0</v>
      </c>
      <c r="AD2050" s="374" t="str">
        <f>IF(OR(AND(H2050='סיווג התפקידים והעלויות'!$A$2,I2050='סיווג התפקידים והעלויות'!$A$3),'עלויות כח אדם (6)'!H2050='סיווג התפקידים והעלויות'!$C$2,'עלויות כח אדם (6)'!H2050='סיווג התפקידים והעלויות'!$D$2),IF('עלויות כח אדם (6)'!J2050&lt;75,"לא תקין","תקין"),"")</f>
        <v/>
      </c>
      <c r="AE2050" s="374" t="str">
        <f t="shared" si="479"/>
        <v/>
      </c>
      <c r="AF2050" s="532" t="str">
        <f t="shared" si="480"/>
        <v/>
      </c>
    </row>
    <row r="2051" spans="2:32" x14ac:dyDescent="0.25">
      <c r="B2051" s="695"/>
      <c r="C2051" s="197" t="str">
        <f>IF(B2051&lt;&gt;"",IFERROR(VLOOKUP(B:B,'מצבת והרשמה (2)'!$C$20:$N$520,2,0)," ")," ")</f>
        <v xml:space="preserve"> </v>
      </c>
      <c r="D2051" s="695"/>
      <c r="E2051" s="696"/>
      <c r="F2051" s="696"/>
      <c r="G2051" s="696"/>
      <c r="H2051" s="696"/>
      <c r="I2051" s="1050" t="str">
        <f t="shared" si="467"/>
        <v/>
      </c>
      <c r="J2051" s="696"/>
      <c r="K2051" s="697"/>
      <c r="L2051" s="696"/>
      <c r="M2051" s="198" t="str">
        <f t="shared" si="468"/>
        <v/>
      </c>
      <c r="N2051" s="369" t="str">
        <f t="shared" si="469"/>
        <v/>
      </c>
      <c r="O2051" s="183" t="str">
        <f t="shared" si="470"/>
        <v/>
      </c>
      <c r="P2051" s="199" t="str">
        <f t="shared" si="471"/>
        <v/>
      </c>
      <c r="Q2051" s="199" t="str">
        <f>IF(B2051="","",IFERROR(IF('עלויות כח אדם (6)'!J2051&gt;=VLOOKUP(I2051,'סיווג התפקידים והעלויות'!$B$23:$C$32,2,0),"תקין","לא תקין"),""))</f>
        <v/>
      </c>
      <c r="R2051" s="199" t="str">
        <f t="shared" si="472"/>
        <v/>
      </c>
      <c r="S2051" s="199" t="str">
        <f t="shared" si="473"/>
        <v/>
      </c>
      <c r="T2051" s="199" t="str">
        <f t="shared" si="481"/>
        <v/>
      </c>
      <c r="U2051" s="199" t="str">
        <f t="shared" si="474"/>
        <v/>
      </c>
      <c r="V2051" s="989"/>
      <c r="X2051" s="374" t="str">
        <f t="shared" si="475"/>
        <v/>
      </c>
      <c r="Y2051" s="375" t="str">
        <f t="shared" si="476"/>
        <v/>
      </c>
      <c r="Z2051" s="374" t="str">
        <f t="shared" si="477"/>
        <v/>
      </c>
      <c r="AA2051" s="374" t="b">
        <f t="shared" si="478"/>
        <v>1</v>
      </c>
      <c r="AB2051" s="374">
        <f>COUNTIFS(B:B,B2051,H:H,'סיווג התפקידים והעלויות'!$C$2)</f>
        <v>0</v>
      </c>
      <c r="AC2051" s="374">
        <f>COUNTIFS(B:B,B2051,H:H,'סיווג התפקידים והעלויות'!$D$2)</f>
        <v>0</v>
      </c>
      <c r="AD2051" s="374" t="str">
        <f>IF(OR(AND(H2051='סיווג התפקידים והעלויות'!$A$2,I2051='סיווג התפקידים והעלויות'!$A$3),'עלויות כח אדם (6)'!H2051='סיווג התפקידים והעלויות'!$C$2,'עלויות כח אדם (6)'!H2051='סיווג התפקידים והעלויות'!$D$2),IF('עלויות כח אדם (6)'!J2051&lt;75,"לא תקין","תקין"),"")</f>
        <v/>
      </c>
      <c r="AE2051" s="374" t="str">
        <f t="shared" si="479"/>
        <v/>
      </c>
      <c r="AF2051" s="532" t="str">
        <f t="shared" si="480"/>
        <v/>
      </c>
    </row>
    <row r="2052" spans="2:32" x14ac:dyDescent="0.25">
      <c r="B2052" s="695"/>
      <c r="C2052" s="197" t="str">
        <f>IF(B2052&lt;&gt;"",IFERROR(VLOOKUP(B:B,'מצבת והרשמה (2)'!$C$20:$N$520,2,0)," ")," ")</f>
        <v xml:space="preserve"> </v>
      </c>
      <c r="D2052" s="695"/>
      <c r="E2052" s="696"/>
      <c r="F2052" s="696"/>
      <c r="G2052" s="696"/>
      <c r="H2052" s="696"/>
      <c r="I2052" s="1050" t="str">
        <f t="shared" si="467"/>
        <v/>
      </c>
      <c r="J2052" s="696"/>
      <c r="K2052" s="697"/>
      <c r="L2052" s="696"/>
      <c r="M2052" s="198" t="str">
        <f t="shared" si="468"/>
        <v/>
      </c>
      <c r="N2052" s="369" t="str">
        <f t="shared" si="469"/>
        <v/>
      </c>
      <c r="O2052" s="183" t="str">
        <f t="shared" si="470"/>
        <v/>
      </c>
      <c r="P2052" s="199" t="str">
        <f t="shared" si="471"/>
        <v/>
      </c>
      <c r="Q2052" s="199" t="str">
        <f>IF(B2052="","",IFERROR(IF('עלויות כח אדם (6)'!J2052&gt;=VLOOKUP(I2052,'סיווג התפקידים והעלויות'!$B$23:$C$32,2,0),"תקין","לא תקין"),""))</f>
        <v/>
      </c>
      <c r="R2052" s="199" t="str">
        <f t="shared" si="472"/>
        <v/>
      </c>
      <c r="S2052" s="199" t="str">
        <f t="shared" si="473"/>
        <v/>
      </c>
      <c r="T2052" s="199" t="str">
        <f t="shared" si="481"/>
        <v/>
      </c>
      <c r="U2052" s="199" t="str">
        <f t="shared" si="474"/>
        <v/>
      </c>
      <c r="V2052" s="989"/>
      <c r="X2052" s="374" t="str">
        <f t="shared" si="475"/>
        <v/>
      </c>
      <c r="Y2052" s="375" t="str">
        <f t="shared" si="476"/>
        <v/>
      </c>
      <c r="Z2052" s="374" t="str">
        <f t="shared" si="477"/>
        <v/>
      </c>
      <c r="AA2052" s="374" t="b">
        <f t="shared" si="478"/>
        <v>1</v>
      </c>
      <c r="AB2052" s="374">
        <f>COUNTIFS(B:B,B2052,H:H,'סיווג התפקידים והעלויות'!$C$2)</f>
        <v>0</v>
      </c>
      <c r="AC2052" s="374">
        <f>COUNTIFS(B:B,B2052,H:H,'סיווג התפקידים והעלויות'!$D$2)</f>
        <v>0</v>
      </c>
      <c r="AD2052" s="374" t="str">
        <f>IF(OR(AND(H2052='סיווג התפקידים והעלויות'!$A$2,I2052='סיווג התפקידים והעלויות'!$A$3),'עלויות כח אדם (6)'!H2052='סיווג התפקידים והעלויות'!$C$2,'עלויות כח אדם (6)'!H2052='סיווג התפקידים והעלויות'!$D$2),IF('עלויות כח אדם (6)'!J2052&lt;75,"לא תקין","תקין"),"")</f>
        <v/>
      </c>
      <c r="AE2052" s="374" t="str">
        <f t="shared" si="479"/>
        <v/>
      </c>
      <c r="AF2052" s="532" t="str">
        <f t="shared" si="480"/>
        <v/>
      </c>
    </row>
    <row r="2053" spans="2:32" x14ac:dyDescent="0.25">
      <c r="B2053" s="695"/>
      <c r="C2053" s="197" t="str">
        <f>IF(B2053&lt;&gt;"",IFERROR(VLOOKUP(B:B,'מצבת והרשמה (2)'!$C$20:$N$520,2,0)," ")," ")</f>
        <v xml:space="preserve"> </v>
      </c>
      <c r="D2053" s="695"/>
      <c r="E2053" s="696"/>
      <c r="F2053" s="696"/>
      <c r="G2053" s="696"/>
      <c r="H2053" s="696"/>
      <c r="I2053" s="1050" t="str">
        <f t="shared" si="467"/>
        <v/>
      </c>
      <c r="J2053" s="696"/>
      <c r="K2053" s="697"/>
      <c r="L2053" s="696"/>
      <c r="M2053" s="198" t="str">
        <f t="shared" si="468"/>
        <v/>
      </c>
      <c r="N2053" s="369" t="str">
        <f t="shared" si="469"/>
        <v/>
      </c>
      <c r="O2053" s="183" t="str">
        <f t="shared" si="470"/>
        <v/>
      </c>
      <c r="P2053" s="199" t="str">
        <f t="shared" si="471"/>
        <v/>
      </c>
      <c r="Q2053" s="199" t="str">
        <f>IF(B2053="","",IFERROR(IF('עלויות כח אדם (6)'!J2053&gt;=VLOOKUP(I2053,'סיווג התפקידים והעלויות'!$B$23:$C$32,2,0),"תקין","לא תקין"),""))</f>
        <v/>
      </c>
      <c r="R2053" s="199" t="str">
        <f t="shared" si="472"/>
        <v/>
      </c>
      <c r="S2053" s="199" t="str">
        <f t="shared" si="473"/>
        <v/>
      </c>
      <c r="T2053" s="199" t="str">
        <f t="shared" si="481"/>
        <v/>
      </c>
      <c r="U2053" s="199" t="str">
        <f t="shared" si="474"/>
        <v/>
      </c>
      <c r="V2053" s="989"/>
      <c r="X2053" s="374" t="str">
        <f t="shared" si="475"/>
        <v/>
      </c>
      <c r="Y2053" s="375" t="str">
        <f t="shared" si="476"/>
        <v/>
      </c>
      <c r="Z2053" s="374" t="str">
        <f t="shared" si="477"/>
        <v/>
      </c>
      <c r="AA2053" s="374" t="b">
        <f t="shared" si="478"/>
        <v>1</v>
      </c>
      <c r="AB2053" s="374">
        <f>COUNTIFS(B:B,B2053,H:H,'סיווג התפקידים והעלויות'!$C$2)</f>
        <v>0</v>
      </c>
      <c r="AC2053" s="374">
        <f>COUNTIFS(B:B,B2053,H:H,'סיווג התפקידים והעלויות'!$D$2)</f>
        <v>0</v>
      </c>
      <c r="AD2053" s="374" t="str">
        <f>IF(OR(AND(H2053='סיווג התפקידים והעלויות'!$A$2,I2053='סיווג התפקידים והעלויות'!$A$3),'עלויות כח אדם (6)'!H2053='סיווג התפקידים והעלויות'!$C$2,'עלויות כח אדם (6)'!H2053='סיווג התפקידים והעלויות'!$D$2),IF('עלויות כח אדם (6)'!J2053&lt;75,"לא תקין","תקין"),"")</f>
        <v/>
      </c>
      <c r="AE2053" s="374" t="str">
        <f t="shared" si="479"/>
        <v/>
      </c>
      <c r="AF2053" s="532" t="str">
        <f t="shared" si="480"/>
        <v/>
      </c>
    </row>
    <row r="2054" spans="2:32" x14ac:dyDescent="0.25">
      <c r="B2054" s="695"/>
      <c r="C2054" s="197" t="str">
        <f>IF(B2054&lt;&gt;"",IFERROR(VLOOKUP(B:B,'מצבת והרשמה (2)'!$C$20:$N$520,2,0)," ")," ")</f>
        <v xml:space="preserve"> </v>
      </c>
      <c r="D2054" s="695"/>
      <c r="E2054" s="696"/>
      <c r="F2054" s="696"/>
      <c r="G2054" s="696"/>
      <c r="H2054" s="696"/>
      <c r="I2054" s="1050" t="str">
        <f t="shared" si="467"/>
        <v/>
      </c>
      <c r="J2054" s="696"/>
      <c r="K2054" s="697"/>
      <c r="L2054" s="696"/>
      <c r="M2054" s="198" t="str">
        <f t="shared" si="468"/>
        <v/>
      </c>
      <c r="N2054" s="369" t="str">
        <f t="shared" si="469"/>
        <v/>
      </c>
      <c r="O2054" s="183" t="str">
        <f t="shared" si="470"/>
        <v/>
      </c>
      <c r="P2054" s="199" t="str">
        <f t="shared" si="471"/>
        <v/>
      </c>
      <c r="Q2054" s="199" t="str">
        <f>IF(B2054="","",IFERROR(IF('עלויות כח אדם (6)'!J2054&gt;=VLOOKUP(I2054,'סיווג התפקידים והעלויות'!$B$23:$C$32,2,0),"תקין","לא תקין"),""))</f>
        <v/>
      </c>
      <c r="R2054" s="199" t="str">
        <f t="shared" si="472"/>
        <v/>
      </c>
      <c r="S2054" s="199" t="str">
        <f t="shared" si="473"/>
        <v/>
      </c>
      <c r="T2054" s="199" t="str">
        <f t="shared" si="481"/>
        <v/>
      </c>
      <c r="U2054" s="199" t="str">
        <f t="shared" si="474"/>
        <v/>
      </c>
      <c r="V2054" s="989"/>
      <c r="X2054" s="374" t="str">
        <f t="shared" si="475"/>
        <v/>
      </c>
      <c r="Y2054" s="375" t="str">
        <f t="shared" si="476"/>
        <v/>
      </c>
      <c r="Z2054" s="374" t="str">
        <f t="shared" si="477"/>
        <v/>
      </c>
      <c r="AA2054" s="374" t="b">
        <f t="shared" si="478"/>
        <v>1</v>
      </c>
      <c r="AB2054" s="374">
        <f>COUNTIFS(B:B,B2054,H:H,'סיווג התפקידים והעלויות'!$C$2)</f>
        <v>0</v>
      </c>
      <c r="AC2054" s="374">
        <f>COUNTIFS(B:B,B2054,H:H,'סיווג התפקידים והעלויות'!$D$2)</f>
        <v>0</v>
      </c>
      <c r="AD2054" s="374" t="str">
        <f>IF(OR(AND(H2054='סיווג התפקידים והעלויות'!$A$2,I2054='סיווג התפקידים והעלויות'!$A$3),'עלויות כח אדם (6)'!H2054='סיווג התפקידים והעלויות'!$C$2,'עלויות כח אדם (6)'!H2054='סיווג התפקידים והעלויות'!$D$2),IF('עלויות כח אדם (6)'!J2054&lt;75,"לא תקין","תקין"),"")</f>
        <v/>
      </c>
      <c r="AE2054" s="374" t="str">
        <f t="shared" si="479"/>
        <v/>
      </c>
      <c r="AF2054" s="532" t="str">
        <f t="shared" si="480"/>
        <v/>
      </c>
    </row>
    <row r="2055" spans="2:32" x14ac:dyDescent="0.25">
      <c r="B2055" s="695"/>
      <c r="C2055" s="197" t="str">
        <f>IF(B2055&lt;&gt;"",IFERROR(VLOOKUP(B:B,'מצבת והרשמה (2)'!$C$20:$N$520,2,0)," ")," ")</f>
        <v xml:space="preserve"> </v>
      </c>
      <c r="D2055" s="695"/>
      <c r="E2055" s="696"/>
      <c r="F2055" s="696"/>
      <c r="G2055" s="696"/>
      <c r="H2055" s="696"/>
      <c r="I2055" s="1050" t="str">
        <f t="shared" si="467"/>
        <v/>
      </c>
      <c r="J2055" s="696"/>
      <c r="K2055" s="697"/>
      <c r="L2055" s="696"/>
      <c r="M2055" s="198" t="str">
        <f t="shared" si="468"/>
        <v/>
      </c>
      <c r="N2055" s="369" t="str">
        <f t="shared" si="469"/>
        <v/>
      </c>
      <c r="O2055" s="183" t="str">
        <f t="shared" si="470"/>
        <v/>
      </c>
      <c r="P2055" s="199" t="str">
        <f t="shared" si="471"/>
        <v/>
      </c>
      <c r="Q2055" s="199" t="str">
        <f>IF(B2055="","",IFERROR(IF('עלויות כח אדם (6)'!J2055&gt;=VLOOKUP(I2055,'סיווג התפקידים והעלויות'!$B$23:$C$32,2,0),"תקין","לא תקין"),""))</f>
        <v/>
      </c>
      <c r="R2055" s="199" t="str">
        <f t="shared" si="472"/>
        <v/>
      </c>
      <c r="S2055" s="199" t="str">
        <f t="shared" si="473"/>
        <v/>
      </c>
      <c r="T2055" s="199" t="str">
        <f t="shared" si="481"/>
        <v/>
      </c>
      <c r="U2055" s="199" t="str">
        <f t="shared" si="474"/>
        <v/>
      </c>
      <c r="V2055" s="989"/>
      <c r="X2055" s="374" t="str">
        <f t="shared" si="475"/>
        <v/>
      </c>
      <c r="Y2055" s="375" t="str">
        <f t="shared" si="476"/>
        <v/>
      </c>
      <c r="Z2055" s="374" t="str">
        <f t="shared" si="477"/>
        <v/>
      </c>
      <c r="AA2055" s="374" t="b">
        <f t="shared" si="478"/>
        <v>1</v>
      </c>
      <c r="AB2055" s="374">
        <f>COUNTIFS(B:B,B2055,H:H,'סיווג התפקידים והעלויות'!$C$2)</f>
        <v>0</v>
      </c>
      <c r="AC2055" s="374">
        <f>COUNTIFS(B:B,B2055,H:H,'סיווג התפקידים והעלויות'!$D$2)</f>
        <v>0</v>
      </c>
      <c r="AD2055" s="374" t="str">
        <f>IF(OR(AND(H2055='סיווג התפקידים והעלויות'!$A$2,I2055='סיווג התפקידים והעלויות'!$A$3),'עלויות כח אדם (6)'!H2055='סיווג התפקידים והעלויות'!$C$2,'עלויות כח אדם (6)'!H2055='סיווג התפקידים והעלויות'!$D$2),IF('עלויות כח אדם (6)'!J2055&lt;75,"לא תקין","תקין"),"")</f>
        <v/>
      </c>
      <c r="AE2055" s="374" t="str">
        <f t="shared" si="479"/>
        <v/>
      </c>
      <c r="AF2055" s="532" t="str">
        <f t="shared" si="480"/>
        <v/>
      </c>
    </row>
    <row r="2056" spans="2:32" x14ac:dyDescent="0.25">
      <c r="B2056" s="695"/>
      <c r="C2056" s="197" t="str">
        <f>IF(B2056&lt;&gt;"",IFERROR(VLOOKUP(B:B,'מצבת והרשמה (2)'!$C$20:$N$520,2,0)," ")," ")</f>
        <v xml:space="preserve"> </v>
      </c>
      <c r="D2056" s="695"/>
      <c r="E2056" s="696"/>
      <c r="F2056" s="696"/>
      <c r="G2056" s="696"/>
      <c r="H2056" s="696"/>
      <c r="I2056" s="1050" t="str">
        <f t="shared" si="467"/>
        <v/>
      </c>
      <c r="J2056" s="696"/>
      <c r="K2056" s="697"/>
      <c r="L2056" s="696"/>
      <c r="M2056" s="198" t="str">
        <f t="shared" si="468"/>
        <v/>
      </c>
      <c r="N2056" s="369" t="str">
        <f t="shared" si="469"/>
        <v/>
      </c>
      <c r="O2056" s="183" t="str">
        <f t="shared" si="470"/>
        <v/>
      </c>
      <c r="P2056" s="199" t="str">
        <f t="shared" si="471"/>
        <v/>
      </c>
      <c r="Q2056" s="199" t="str">
        <f>IF(B2056="","",IFERROR(IF('עלויות כח אדם (6)'!J2056&gt;=VLOOKUP(I2056,'סיווג התפקידים והעלויות'!$B$23:$C$32,2,0),"תקין","לא תקין"),""))</f>
        <v/>
      </c>
      <c r="R2056" s="199" t="str">
        <f t="shared" si="472"/>
        <v/>
      </c>
      <c r="S2056" s="199" t="str">
        <f t="shared" si="473"/>
        <v/>
      </c>
      <c r="T2056" s="199" t="str">
        <f t="shared" si="481"/>
        <v/>
      </c>
      <c r="U2056" s="199" t="str">
        <f t="shared" si="474"/>
        <v/>
      </c>
      <c r="V2056" s="989"/>
      <c r="X2056" s="374" t="str">
        <f t="shared" si="475"/>
        <v/>
      </c>
      <c r="Y2056" s="375" t="str">
        <f t="shared" si="476"/>
        <v/>
      </c>
      <c r="Z2056" s="374" t="str">
        <f t="shared" si="477"/>
        <v/>
      </c>
      <c r="AA2056" s="374" t="b">
        <f t="shared" si="478"/>
        <v>1</v>
      </c>
      <c r="AB2056" s="374">
        <f>COUNTIFS(B:B,B2056,H:H,'סיווג התפקידים והעלויות'!$C$2)</f>
        <v>0</v>
      </c>
      <c r="AC2056" s="374">
        <f>COUNTIFS(B:B,B2056,H:H,'סיווג התפקידים והעלויות'!$D$2)</f>
        <v>0</v>
      </c>
      <c r="AD2056" s="374" t="str">
        <f>IF(OR(AND(H2056='סיווג התפקידים והעלויות'!$A$2,I2056='סיווג התפקידים והעלויות'!$A$3),'עלויות כח אדם (6)'!H2056='סיווג התפקידים והעלויות'!$C$2,'עלויות כח אדם (6)'!H2056='סיווג התפקידים והעלויות'!$D$2),IF('עלויות כח אדם (6)'!J2056&lt;75,"לא תקין","תקין"),"")</f>
        <v/>
      </c>
      <c r="AE2056" s="374" t="str">
        <f t="shared" si="479"/>
        <v/>
      </c>
      <c r="AF2056" s="532" t="str">
        <f t="shared" si="480"/>
        <v/>
      </c>
    </row>
    <row r="2057" spans="2:32" x14ac:dyDescent="0.25">
      <c r="B2057" s="695"/>
      <c r="C2057" s="197" t="str">
        <f>IF(B2057&lt;&gt;"",IFERROR(VLOOKUP(B:B,'מצבת והרשמה (2)'!$C$20:$N$520,2,0)," ")," ")</f>
        <v xml:space="preserve"> </v>
      </c>
      <c r="D2057" s="695"/>
      <c r="E2057" s="696"/>
      <c r="F2057" s="696"/>
      <c r="G2057" s="696"/>
      <c r="H2057" s="696"/>
      <c r="I2057" s="1050" t="str">
        <f t="shared" si="467"/>
        <v/>
      </c>
      <c r="J2057" s="696"/>
      <c r="K2057" s="697"/>
      <c r="L2057" s="696"/>
      <c r="M2057" s="198" t="str">
        <f t="shared" si="468"/>
        <v/>
      </c>
      <c r="N2057" s="369" t="str">
        <f t="shared" si="469"/>
        <v/>
      </c>
      <c r="O2057" s="183" t="str">
        <f t="shared" si="470"/>
        <v/>
      </c>
      <c r="P2057" s="199" t="str">
        <f t="shared" si="471"/>
        <v/>
      </c>
      <c r="Q2057" s="199" t="str">
        <f>IF(B2057="","",IFERROR(IF('עלויות כח אדם (6)'!J2057&gt;=VLOOKUP(I2057,'סיווג התפקידים והעלויות'!$B$23:$C$32,2,0),"תקין","לא תקין"),""))</f>
        <v/>
      </c>
      <c r="R2057" s="199" t="str">
        <f t="shared" si="472"/>
        <v/>
      </c>
      <c r="S2057" s="199" t="str">
        <f t="shared" si="473"/>
        <v/>
      </c>
      <c r="T2057" s="199" t="str">
        <f t="shared" si="481"/>
        <v/>
      </c>
      <c r="U2057" s="199" t="str">
        <f t="shared" si="474"/>
        <v/>
      </c>
      <c r="V2057" s="989"/>
      <c r="X2057" s="374" t="str">
        <f t="shared" si="475"/>
        <v/>
      </c>
      <c r="Y2057" s="375" t="str">
        <f t="shared" si="476"/>
        <v/>
      </c>
      <c r="Z2057" s="374" t="str">
        <f t="shared" si="477"/>
        <v/>
      </c>
      <c r="AA2057" s="374" t="b">
        <f t="shared" si="478"/>
        <v>1</v>
      </c>
      <c r="AB2057" s="374">
        <f>COUNTIFS(B:B,B2057,H:H,'סיווג התפקידים והעלויות'!$C$2)</f>
        <v>0</v>
      </c>
      <c r="AC2057" s="374">
        <f>COUNTIFS(B:B,B2057,H:H,'סיווג התפקידים והעלויות'!$D$2)</f>
        <v>0</v>
      </c>
      <c r="AD2057" s="374" t="str">
        <f>IF(OR(AND(H2057='סיווג התפקידים והעלויות'!$A$2,I2057='סיווג התפקידים והעלויות'!$A$3),'עלויות כח אדם (6)'!H2057='סיווג התפקידים והעלויות'!$C$2,'עלויות כח אדם (6)'!H2057='סיווג התפקידים והעלויות'!$D$2),IF('עלויות כח אדם (6)'!J2057&lt;75,"לא תקין","תקין"),"")</f>
        <v/>
      </c>
      <c r="AE2057" s="374" t="str">
        <f t="shared" si="479"/>
        <v/>
      </c>
      <c r="AF2057" s="532" t="str">
        <f t="shared" si="480"/>
        <v/>
      </c>
    </row>
    <row r="2058" spans="2:32" x14ac:dyDescent="0.25">
      <c r="B2058" s="695"/>
      <c r="C2058" s="197" t="str">
        <f>IF(B2058&lt;&gt;"",IFERROR(VLOOKUP(B:B,'מצבת והרשמה (2)'!$C$20:$N$520,2,0)," ")," ")</f>
        <v xml:space="preserve"> </v>
      </c>
      <c r="D2058" s="695"/>
      <c r="E2058" s="696"/>
      <c r="F2058" s="696"/>
      <c r="G2058" s="696"/>
      <c r="H2058" s="696"/>
      <c r="I2058" s="1050" t="str">
        <f t="shared" si="467"/>
        <v/>
      </c>
      <c r="J2058" s="696"/>
      <c r="K2058" s="697"/>
      <c r="L2058" s="696"/>
      <c r="M2058" s="198" t="str">
        <f t="shared" si="468"/>
        <v/>
      </c>
      <c r="N2058" s="369" t="str">
        <f t="shared" si="469"/>
        <v/>
      </c>
      <c r="O2058" s="183" t="str">
        <f t="shared" si="470"/>
        <v/>
      </c>
      <c r="P2058" s="199" t="str">
        <f t="shared" si="471"/>
        <v/>
      </c>
      <c r="Q2058" s="199" t="str">
        <f>IF(B2058="","",IFERROR(IF('עלויות כח אדם (6)'!J2058&gt;=VLOOKUP(I2058,'סיווג התפקידים והעלויות'!$B$23:$C$32,2,0),"תקין","לא תקין"),""))</f>
        <v/>
      </c>
      <c r="R2058" s="199" t="str">
        <f t="shared" si="472"/>
        <v/>
      </c>
      <c r="S2058" s="199" t="str">
        <f t="shared" si="473"/>
        <v/>
      </c>
      <c r="T2058" s="199" t="str">
        <f t="shared" si="481"/>
        <v/>
      </c>
      <c r="U2058" s="199" t="str">
        <f t="shared" si="474"/>
        <v/>
      </c>
      <c r="V2058" s="989"/>
      <c r="X2058" s="374" t="str">
        <f t="shared" si="475"/>
        <v/>
      </c>
      <c r="Y2058" s="375" t="str">
        <f t="shared" si="476"/>
        <v/>
      </c>
      <c r="Z2058" s="374" t="str">
        <f t="shared" si="477"/>
        <v/>
      </c>
      <c r="AA2058" s="374" t="b">
        <f t="shared" si="478"/>
        <v>1</v>
      </c>
      <c r="AB2058" s="374">
        <f>COUNTIFS(B:B,B2058,H:H,'סיווג התפקידים והעלויות'!$C$2)</f>
        <v>0</v>
      </c>
      <c r="AC2058" s="374">
        <f>COUNTIFS(B:B,B2058,H:H,'סיווג התפקידים והעלויות'!$D$2)</f>
        <v>0</v>
      </c>
      <c r="AD2058" s="374" t="str">
        <f>IF(OR(AND(H2058='סיווג התפקידים והעלויות'!$A$2,I2058='סיווג התפקידים והעלויות'!$A$3),'עלויות כח אדם (6)'!H2058='סיווג התפקידים והעלויות'!$C$2,'עלויות כח אדם (6)'!H2058='סיווג התפקידים והעלויות'!$D$2),IF('עלויות כח אדם (6)'!J2058&lt;75,"לא תקין","תקין"),"")</f>
        <v/>
      </c>
      <c r="AE2058" s="374" t="str">
        <f t="shared" si="479"/>
        <v/>
      </c>
      <c r="AF2058" s="532" t="str">
        <f t="shared" si="480"/>
        <v/>
      </c>
    </row>
    <row r="2059" spans="2:32" x14ac:dyDescent="0.25">
      <c r="B2059" s="695"/>
      <c r="C2059" s="197" t="str">
        <f>IF(B2059&lt;&gt;"",IFERROR(VLOOKUP(B:B,'מצבת והרשמה (2)'!$C$20:$N$520,2,0)," ")," ")</f>
        <v xml:space="preserve"> </v>
      </c>
      <c r="D2059" s="695"/>
      <c r="E2059" s="696"/>
      <c r="F2059" s="696"/>
      <c r="G2059" s="696"/>
      <c r="H2059" s="696"/>
      <c r="I2059" s="1050" t="str">
        <f t="shared" si="467"/>
        <v/>
      </c>
      <c r="J2059" s="696"/>
      <c r="K2059" s="697"/>
      <c r="L2059" s="696"/>
      <c r="M2059" s="198" t="str">
        <f t="shared" si="468"/>
        <v/>
      </c>
      <c r="N2059" s="369" t="str">
        <f t="shared" si="469"/>
        <v/>
      </c>
      <c r="O2059" s="183" t="str">
        <f t="shared" si="470"/>
        <v/>
      </c>
      <c r="P2059" s="199" t="str">
        <f t="shared" si="471"/>
        <v/>
      </c>
      <c r="Q2059" s="199" t="str">
        <f>IF(B2059="","",IFERROR(IF('עלויות כח אדם (6)'!J2059&gt;=VLOOKUP(I2059,'סיווג התפקידים והעלויות'!$B$23:$C$32,2,0),"תקין","לא תקין"),""))</f>
        <v/>
      </c>
      <c r="R2059" s="199" t="str">
        <f t="shared" si="472"/>
        <v/>
      </c>
      <c r="S2059" s="199" t="str">
        <f t="shared" si="473"/>
        <v/>
      </c>
      <c r="T2059" s="199" t="str">
        <f t="shared" si="481"/>
        <v/>
      </c>
      <c r="U2059" s="199" t="str">
        <f t="shared" si="474"/>
        <v/>
      </c>
      <c r="V2059" s="989"/>
      <c r="X2059" s="374" t="str">
        <f t="shared" si="475"/>
        <v/>
      </c>
      <c r="Y2059" s="375" t="str">
        <f t="shared" si="476"/>
        <v/>
      </c>
      <c r="Z2059" s="374" t="str">
        <f t="shared" si="477"/>
        <v/>
      </c>
      <c r="AA2059" s="374" t="b">
        <f t="shared" si="478"/>
        <v>1</v>
      </c>
      <c r="AB2059" s="374">
        <f>COUNTIFS(B:B,B2059,H:H,'סיווג התפקידים והעלויות'!$C$2)</f>
        <v>0</v>
      </c>
      <c r="AC2059" s="374">
        <f>COUNTIFS(B:B,B2059,H:H,'סיווג התפקידים והעלויות'!$D$2)</f>
        <v>0</v>
      </c>
      <c r="AD2059" s="374" t="str">
        <f>IF(OR(AND(H2059='סיווג התפקידים והעלויות'!$A$2,I2059='סיווג התפקידים והעלויות'!$A$3),'עלויות כח אדם (6)'!H2059='סיווג התפקידים והעלויות'!$C$2,'עלויות כח אדם (6)'!H2059='סיווג התפקידים והעלויות'!$D$2),IF('עלויות כח אדם (6)'!J2059&lt;75,"לא תקין","תקין"),"")</f>
        <v/>
      </c>
      <c r="AE2059" s="374" t="str">
        <f t="shared" si="479"/>
        <v/>
      </c>
      <c r="AF2059" s="532" t="str">
        <f t="shared" si="480"/>
        <v/>
      </c>
    </row>
    <row r="2060" spans="2:32" x14ac:dyDescent="0.25">
      <c r="B2060" s="695"/>
      <c r="C2060" s="197" t="str">
        <f>IF(B2060&lt;&gt;"",IFERROR(VLOOKUP(B:B,'מצבת והרשמה (2)'!$C$20:$N$520,2,0)," ")," ")</f>
        <v xml:space="preserve"> </v>
      </c>
      <c r="D2060" s="695"/>
      <c r="E2060" s="696"/>
      <c r="F2060" s="696"/>
      <c r="G2060" s="696"/>
      <c r="H2060" s="696"/>
      <c r="I2060" s="1050" t="str">
        <f t="shared" si="467"/>
        <v/>
      </c>
      <c r="J2060" s="696"/>
      <c r="K2060" s="697"/>
      <c r="L2060" s="696"/>
      <c r="M2060" s="198" t="str">
        <f t="shared" si="468"/>
        <v/>
      </c>
      <c r="N2060" s="369" t="str">
        <f t="shared" si="469"/>
        <v/>
      </c>
      <c r="O2060" s="183" t="str">
        <f t="shared" si="470"/>
        <v/>
      </c>
      <c r="P2060" s="199" t="str">
        <f t="shared" si="471"/>
        <v/>
      </c>
      <c r="Q2060" s="199" t="str">
        <f>IF(B2060="","",IFERROR(IF('עלויות כח אדם (6)'!J2060&gt;=VLOOKUP(I2060,'סיווג התפקידים והעלויות'!$B$23:$C$32,2,0),"תקין","לא תקין"),""))</f>
        <v/>
      </c>
      <c r="R2060" s="199" t="str">
        <f t="shared" si="472"/>
        <v/>
      </c>
      <c r="S2060" s="199" t="str">
        <f t="shared" si="473"/>
        <v/>
      </c>
      <c r="T2060" s="199" t="str">
        <f t="shared" si="481"/>
        <v/>
      </c>
      <c r="U2060" s="199" t="str">
        <f t="shared" si="474"/>
        <v/>
      </c>
      <c r="V2060" s="989"/>
      <c r="X2060" s="374" t="str">
        <f t="shared" si="475"/>
        <v/>
      </c>
      <c r="Y2060" s="375" t="str">
        <f t="shared" si="476"/>
        <v/>
      </c>
      <c r="Z2060" s="374" t="str">
        <f t="shared" si="477"/>
        <v/>
      </c>
      <c r="AA2060" s="374" t="b">
        <f t="shared" si="478"/>
        <v>1</v>
      </c>
      <c r="AB2060" s="374">
        <f>COUNTIFS(B:B,B2060,H:H,'סיווג התפקידים והעלויות'!$C$2)</f>
        <v>0</v>
      </c>
      <c r="AC2060" s="374">
        <f>COUNTIFS(B:B,B2060,H:H,'סיווג התפקידים והעלויות'!$D$2)</f>
        <v>0</v>
      </c>
      <c r="AD2060" s="374" t="str">
        <f>IF(OR(AND(H2060='סיווג התפקידים והעלויות'!$A$2,I2060='סיווג התפקידים והעלויות'!$A$3),'עלויות כח אדם (6)'!H2060='סיווג התפקידים והעלויות'!$C$2,'עלויות כח אדם (6)'!H2060='סיווג התפקידים והעלויות'!$D$2),IF('עלויות כח אדם (6)'!J2060&lt;75,"לא תקין","תקין"),"")</f>
        <v/>
      </c>
      <c r="AE2060" s="374" t="str">
        <f t="shared" si="479"/>
        <v/>
      </c>
      <c r="AF2060" s="532" t="str">
        <f t="shared" si="480"/>
        <v/>
      </c>
    </row>
    <row r="2061" spans="2:32" x14ac:dyDescent="0.25">
      <c r="B2061" s="695"/>
      <c r="C2061" s="197" t="str">
        <f>IF(B2061&lt;&gt;"",IFERROR(VLOOKUP(B:B,'מצבת והרשמה (2)'!$C$20:$N$520,2,0)," ")," ")</f>
        <v xml:space="preserve"> </v>
      </c>
      <c r="D2061" s="695"/>
      <c r="E2061" s="696"/>
      <c r="F2061" s="696"/>
      <c r="G2061" s="696"/>
      <c r="H2061" s="696"/>
      <c r="I2061" s="1050" t="str">
        <f t="shared" si="467"/>
        <v/>
      </c>
      <c r="J2061" s="696"/>
      <c r="K2061" s="697"/>
      <c r="L2061" s="696"/>
      <c r="M2061" s="198" t="str">
        <f t="shared" si="468"/>
        <v/>
      </c>
      <c r="N2061" s="369" t="str">
        <f t="shared" si="469"/>
        <v/>
      </c>
      <c r="O2061" s="183" t="str">
        <f t="shared" si="470"/>
        <v/>
      </c>
      <c r="P2061" s="199" t="str">
        <f t="shared" si="471"/>
        <v/>
      </c>
      <c r="Q2061" s="199" t="str">
        <f>IF(B2061="","",IFERROR(IF('עלויות כח אדם (6)'!J2061&gt;=VLOOKUP(I2061,'סיווג התפקידים והעלויות'!$B$23:$C$32,2,0),"תקין","לא תקין"),""))</f>
        <v/>
      </c>
      <c r="R2061" s="199" t="str">
        <f t="shared" si="472"/>
        <v/>
      </c>
      <c r="S2061" s="199" t="str">
        <f t="shared" si="473"/>
        <v/>
      </c>
      <c r="T2061" s="199" t="str">
        <f t="shared" si="481"/>
        <v/>
      </c>
      <c r="U2061" s="199" t="str">
        <f t="shared" si="474"/>
        <v/>
      </c>
      <c r="V2061" s="989"/>
      <c r="X2061" s="374" t="str">
        <f t="shared" si="475"/>
        <v/>
      </c>
      <c r="Y2061" s="375" t="str">
        <f t="shared" si="476"/>
        <v/>
      </c>
      <c r="Z2061" s="374" t="str">
        <f t="shared" si="477"/>
        <v/>
      </c>
      <c r="AA2061" s="374" t="b">
        <f t="shared" si="478"/>
        <v>1</v>
      </c>
      <c r="AB2061" s="374">
        <f>COUNTIFS(B:B,B2061,H:H,'סיווג התפקידים והעלויות'!$C$2)</f>
        <v>0</v>
      </c>
      <c r="AC2061" s="374">
        <f>COUNTIFS(B:B,B2061,H:H,'סיווג התפקידים והעלויות'!$D$2)</f>
        <v>0</v>
      </c>
      <c r="AD2061" s="374" t="str">
        <f>IF(OR(AND(H2061='סיווג התפקידים והעלויות'!$A$2,I2061='סיווג התפקידים והעלויות'!$A$3),'עלויות כח אדם (6)'!H2061='סיווג התפקידים והעלויות'!$C$2,'עלויות כח אדם (6)'!H2061='סיווג התפקידים והעלויות'!$D$2),IF('עלויות כח אדם (6)'!J2061&lt;75,"לא תקין","תקין"),"")</f>
        <v/>
      </c>
      <c r="AE2061" s="374" t="str">
        <f t="shared" si="479"/>
        <v/>
      </c>
      <c r="AF2061" s="532" t="str">
        <f t="shared" si="480"/>
        <v/>
      </c>
    </row>
    <row r="2062" spans="2:32" x14ac:dyDescent="0.25">
      <c r="B2062" s="695"/>
      <c r="C2062" s="197" t="str">
        <f>IF(B2062&lt;&gt;"",IFERROR(VLOOKUP(B:B,'מצבת והרשמה (2)'!$C$20:$N$520,2,0)," ")," ")</f>
        <v xml:space="preserve"> </v>
      </c>
      <c r="D2062" s="695"/>
      <c r="E2062" s="696"/>
      <c r="F2062" s="696"/>
      <c r="G2062" s="696"/>
      <c r="H2062" s="696"/>
      <c r="I2062" s="1050" t="str">
        <f t="shared" si="467"/>
        <v/>
      </c>
      <c r="J2062" s="696"/>
      <c r="K2062" s="697"/>
      <c r="L2062" s="696"/>
      <c r="M2062" s="198" t="str">
        <f t="shared" si="468"/>
        <v/>
      </c>
      <c r="N2062" s="369" t="str">
        <f t="shared" si="469"/>
        <v/>
      </c>
      <c r="O2062" s="183" t="str">
        <f t="shared" si="470"/>
        <v/>
      </c>
      <c r="P2062" s="199" t="str">
        <f t="shared" si="471"/>
        <v/>
      </c>
      <c r="Q2062" s="199" t="str">
        <f>IF(B2062="","",IFERROR(IF('עלויות כח אדם (6)'!J2062&gt;=VLOOKUP(I2062,'סיווג התפקידים והעלויות'!$B$23:$C$32,2,0),"תקין","לא תקין"),""))</f>
        <v/>
      </c>
      <c r="R2062" s="199" t="str">
        <f t="shared" si="472"/>
        <v/>
      </c>
      <c r="S2062" s="199" t="str">
        <f t="shared" si="473"/>
        <v/>
      </c>
      <c r="T2062" s="199" t="str">
        <f t="shared" si="481"/>
        <v/>
      </c>
      <c r="U2062" s="199" t="str">
        <f t="shared" si="474"/>
        <v/>
      </c>
      <c r="V2062" s="989"/>
      <c r="X2062" s="374" t="str">
        <f t="shared" si="475"/>
        <v/>
      </c>
      <c r="Y2062" s="375" t="str">
        <f t="shared" si="476"/>
        <v/>
      </c>
      <c r="Z2062" s="374" t="str">
        <f t="shared" si="477"/>
        <v/>
      </c>
      <c r="AA2062" s="374" t="b">
        <f t="shared" si="478"/>
        <v>1</v>
      </c>
      <c r="AB2062" s="374">
        <f>COUNTIFS(B:B,B2062,H:H,'סיווג התפקידים והעלויות'!$C$2)</f>
        <v>0</v>
      </c>
      <c r="AC2062" s="374">
        <f>COUNTIFS(B:B,B2062,H:H,'סיווג התפקידים והעלויות'!$D$2)</f>
        <v>0</v>
      </c>
      <c r="AD2062" s="374" t="str">
        <f>IF(OR(AND(H2062='סיווג התפקידים והעלויות'!$A$2,I2062='סיווג התפקידים והעלויות'!$A$3),'עלויות כח אדם (6)'!H2062='סיווג התפקידים והעלויות'!$C$2,'עלויות כח אדם (6)'!H2062='סיווג התפקידים והעלויות'!$D$2),IF('עלויות כח אדם (6)'!J2062&lt;75,"לא תקין","תקין"),"")</f>
        <v/>
      </c>
      <c r="AE2062" s="374" t="str">
        <f t="shared" si="479"/>
        <v/>
      </c>
      <c r="AF2062" s="532" t="str">
        <f t="shared" si="480"/>
        <v/>
      </c>
    </row>
    <row r="2063" spans="2:32" x14ac:dyDescent="0.25">
      <c r="B2063" s="695"/>
      <c r="C2063" s="197" t="str">
        <f>IF(B2063&lt;&gt;"",IFERROR(VLOOKUP(B:B,'מצבת והרשמה (2)'!$C$20:$N$520,2,0)," ")," ")</f>
        <v xml:space="preserve"> </v>
      </c>
      <c r="D2063" s="695"/>
      <c r="E2063" s="696"/>
      <c r="F2063" s="696"/>
      <c r="G2063" s="696"/>
      <c r="H2063" s="696"/>
      <c r="I2063" s="1050" t="str">
        <f t="shared" ref="I2063:I2126" si="482">SUBSTITUTE(IFERROR(IF(H2063="מדצ","מדצ/ית",IF(H2063="סגנית רכזת מעל 150","סגנ/ית רכז/ת&gt;150",IF(H2063="רכזת תכנית בבית הספר","רכז/ת תכנית בבית הספר"))),""),"FALSE","")</f>
        <v/>
      </c>
      <c r="J2063" s="696"/>
      <c r="K2063" s="697"/>
      <c r="L2063" s="696"/>
      <c r="M2063" s="198" t="str">
        <f t="shared" ref="M2063:M2126" si="483">IF(AND(L2063&gt;0,K2063&gt;0),K2063*L2063,"")</f>
        <v/>
      </c>
      <c r="N2063" s="369" t="str">
        <f t="shared" ref="N2063:N2126" si="484">TEXT(LEFT(H2063,2),0)</f>
        <v/>
      </c>
      <c r="O2063" s="183" t="str">
        <f t="shared" ref="O2063:O2126" si="485">IF(ISNUMBER(M2063&gt;0),IF(ISBLANK(B2063),"יש להזין סמל מוסד בעמודה B",""),"")</f>
        <v/>
      </c>
      <c r="P2063" s="199" t="str">
        <f t="shared" ref="P2063:P2126" si="486">IF(B2063="","",IF(AA2063=FALSE,"לא תקין","תקין"))</f>
        <v/>
      </c>
      <c r="Q2063" s="199" t="str">
        <f>IF(B2063="","",IFERROR(IF('עלויות כח אדם (6)'!J2063&gt;=VLOOKUP(I2063,'סיווג התפקידים והעלויות'!$B$23:$C$32,2,0),"תקין","לא תקין"),""))</f>
        <v/>
      </c>
      <c r="R2063" s="199" t="str">
        <f t="shared" ref="R2063:R2126" si="487">IF(B2063="","",IF(OR(Y2063&lt;100%,Y2063&gt;140%),"לא תקין","תקין"))</f>
        <v/>
      </c>
      <c r="S2063" s="199" t="str">
        <f t="shared" ref="S2063:S2126" si="488">IF(B2063="","",IFERROR(IF(J2063&gt;120,"לא תקין","תקין"),""))</f>
        <v/>
      </c>
      <c r="T2063" s="199" t="str">
        <f t="shared" si="481"/>
        <v/>
      </c>
      <c r="U2063" s="199" t="str">
        <f t="shared" ref="U2063:U2126" si="489">IF(B2063="","",IF(Z2063&gt;1,IF(SUMIF(D:D,D2063,L:L)&gt;90,"לא תקין","תקין"),"תקין"))</f>
        <v/>
      </c>
      <c r="V2063" s="989"/>
      <c r="X2063" s="374" t="str">
        <f t="shared" ref="X2063:X2126" si="490">IF(B2063="","",IF(OR(R2063="לא תקין",S2063="לא תקין",T2063="לא תקין",,U2063="לא תקין"),"לא תקין","תקין"))</f>
        <v/>
      </c>
      <c r="Y2063" s="375" t="str">
        <f t="shared" ref="Y2063:Y2126" si="491">IFERROR(IF(B2063="","",K2063/J2063),"")</f>
        <v/>
      </c>
      <c r="Z2063" s="374" t="str">
        <f t="shared" ref="Z2063:Z2126" si="492">IF(B2063="","",COUNTIF(D:D,D2063))</f>
        <v/>
      </c>
      <c r="AA2063" s="374" t="b">
        <f t="shared" ref="AA2063:AA2126" si="493">MOD(MID(REPT(0,9-LEN(D2063))&amp;D2063,1,1)+MID("0246813579",MID(REPT(0,9-LEN(D2063))&amp;D2063,2,1)+1,1)+MID(REPT(0,9-LEN(D2063))&amp;D2063,3,1)+MID("0246813579",MID(REPT(0,9-LEN(D2063))&amp;D2063,4,1)+1,1)+MID(REPT(0,9-LEN(D2063))&amp;D2063,5,1)+MID("0246813579",MID(REPT(0,9-LEN(D2063))&amp;D2063,6,1)+1,1)+MID(REPT(0,9-LEN(D2063))&amp;D2063,7,1)+MID("0246813579",MID(REPT(0,9-LEN(D2063))&amp;D2063,8,1)+1,1)+MID(REPT(0,9-LEN(D2063))&amp;D2063,9,1),10)=0</f>
        <v>1</v>
      </c>
      <c r="AB2063" s="374">
        <f>COUNTIFS(B:B,B2063,H:H,'סיווג התפקידים והעלויות'!$C$2)</f>
        <v>0</v>
      </c>
      <c r="AC2063" s="374">
        <f>COUNTIFS(B:B,B2063,H:H,'סיווג התפקידים והעלויות'!$D$2)</f>
        <v>0</v>
      </c>
      <c r="AD2063" s="374" t="str">
        <f>IF(OR(AND(H2063='סיווג התפקידים והעלויות'!$A$2,I2063='סיווג התפקידים והעלויות'!$A$3),'עלויות כח אדם (6)'!H2063='סיווג התפקידים והעלויות'!$C$2,'עלויות כח אדם (6)'!H2063='סיווג התפקידים והעלויות'!$D$2),IF('עלויות כח אדם (6)'!J2063&lt;75,"לא תקין","תקין"),"")</f>
        <v/>
      </c>
      <c r="AE2063" s="374" t="str">
        <f t="shared" ref="AE2063:AE2126" si="494">IF(B2063&lt;&gt;"",B2063&amp;H2063,"")</f>
        <v/>
      </c>
      <c r="AF2063" s="532" t="str">
        <f t="shared" ref="AF2063:AF2126" si="495">M2063</f>
        <v/>
      </c>
    </row>
    <row r="2064" spans="2:32" x14ac:dyDescent="0.25">
      <c r="B2064" s="695"/>
      <c r="C2064" s="197" t="str">
        <f>IF(B2064&lt;&gt;"",IFERROR(VLOOKUP(B:B,'מצבת והרשמה (2)'!$C$20:$N$520,2,0)," ")," ")</f>
        <v xml:space="preserve"> </v>
      </c>
      <c r="D2064" s="695"/>
      <c r="E2064" s="696"/>
      <c r="F2064" s="696"/>
      <c r="G2064" s="696"/>
      <c r="H2064" s="696"/>
      <c r="I2064" s="1050" t="str">
        <f t="shared" si="482"/>
        <v/>
      </c>
      <c r="J2064" s="696"/>
      <c r="K2064" s="697"/>
      <c r="L2064" s="696"/>
      <c r="M2064" s="198" t="str">
        <f t="shared" si="483"/>
        <v/>
      </c>
      <c r="N2064" s="369" t="str">
        <f t="shared" si="484"/>
        <v/>
      </c>
      <c r="O2064" s="183" t="str">
        <f t="shared" si="485"/>
        <v/>
      </c>
      <c r="P2064" s="199" t="str">
        <f t="shared" si="486"/>
        <v/>
      </c>
      <c r="Q2064" s="199" t="str">
        <f>IF(B2064="","",IFERROR(IF('עלויות כח אדם (6)'!J2064&gt;=VLOOKUP(I2064,'סיווג התפקידים והעלויות'!$B$23:$C$32,2,0),"תקין","לא תקין"),""))</f>
        <v/>
      </c>
      <c r="R2064" s="199" t="str">
        <f t="shared" si="487"/>
        <v/>
      </c>
      <c r="S2064" s="199" t="str">
        <f t="shared" si="488"/>
        <v/>
      </c>
      <c r="T2064" s="199" t="str">
        <f t="shared" ref="T2064:T2127" si="496">IF(B2064="","",IF(H2064="","יש להזין איש צוות",IF(OR(H2064="מורה",H2064="גננת",H2064="רכז גן",H2064="רכזת גן",H2064="סייעת",H2064="מדצית",H2064="מדצ",H2064="מדריך",H2064="מדריכה",H2064="תוספת כח אדם"),IF(L2064&lt;=90,"תקין","לא תקין"),IF(OR(H2064="רכז בית ספר",H2064="רכזת תכנית בבית הספר",H2064="רכזת בית ספר"),IF(L2064&lt;=137,"תקין","לא תקין"),IF(OR(H2064="סגנית רכזת מעל 150",H2064="סגן רכז"),IF(L2064&lt;=93,"תקין","לא תקין"),"לא תקין")))))</f>
        <v/>
      </c>
      <c r="U2064" s="199" t="str">
        <f t="shared" si="489"/>
        <v/>
      </c>
      <c r="V2064" s="989"/>
      <c r="X2064" s="374" t="str">
        <f t="shared" si="490"/>
        <v/>
      </c>
      <c r="Y2064" s="375" t="str">
        <f t="shared" si="491"/>
        <v/>
      </c>
      <c r="Z2064" s="374" t="str">
        <f t="shared" si="492"/>
        <v/>
      </c>
      <c r="AA2064" s="374" t="b">
        <f t="shared" si="493"/>
        <v>1</v>
      </c>
      <c r="AB2064" s="374">
        <f>COUNTIFS(B:B,B2064,H:H,'סיווג התפקידים והעלויות'!$C$2)</f>
        <v>0</v>
      </c>
      <c r="AC2064" s="374">
        <f>COUNTIFS(B:B,B2064,H:H,'סיווג התפקידים והעלויות'!$D$2)</f>
        <v>0</v>
      </c>
      <c r="AD2064" s="374" t="str">
        <f>IF(OR(AND(H2064='סיווג התפקידים והעלויות'!$A$2,I2064='סיווג התפקידים והעלויות'!$A$3),'עלויות כח אדם (6)'!H2064='סיווג התפקידים והעלויות'!$C$2,'עלויות כח אדם (6)'!H2064='סיווג התפקידים והעלויות'!$D$2),IF('עלויות כח אדם (6)'!J2064&lt;75,"לא תקין","תקין"),"")</f>
        <v/>
      </c>
      <c r="AE2064" s="374" t="str">
        <f t="shared" si="494"/>
        <v/>
      </c>
      <c r="AF2064" s="532" t="str">
        <f t="shared" si="495"/>
        <v/>
      </c>
    </row>
    <row r="2065" spans="2:32" x14ac:dyDescent="0.25">
      <c r="B2065" s="695"/>
      <c r="C2065" s="197" t="str">
        <f>IF(B2065&lt;&gt;"",IFERROR(VLOOKUP(B:B,'מצבת והרשמה (2)'!$C$20:$N$520,2,0)," ")," ")</f>
        <v xml:space="preserve"> </v>
      </c>
      <c r="D2065" s="695"/>
      <c r="E2065" s="696"/>
      <c r="F2065" s="696"/>
      <c r="G2065" s="696"/>
      <c r="H2065" s="696"/>
      <c r="I2065" s="1050" t="str">
        <f t="shared" si="482"/>
        <v/>
      </c>
      <c r="J2065" s="696"/>
      <c r="K2065" s="697"/>
      <c r="L2065" s="696"/>
      <c r="M2065" s="198" t="str">
        <f t="shared" si="483"/>
        <v/>
      </c>
      <c r="N2065" s="369" t="str">
        <f t="shared" si="484"/>
        <v/>
      </c>
      <c r="O2065" s="183" t="str">
        <f t="shared" si="485"/>
        <v/>
      </c>
      <c r="P2065" s="199" t="str">
        <f t="shared" si="486"/>
        <v/>
      </c>
      <c r="Q2065" s="199" t="str">
        <f>IF(B2065="","",IFERROR(IF('עלויות כח אדם (6)'!J2065&gt;=VLOOKUP(I2065,'סיווג התפקידים והעלויות'!$B$23:$C$32,2,0),"תקין","לא תקין"),""))</f>
        <v/>
      </c>
      <c r="R2065" s="199" t="str">
        <f t="shared" si="487"/>
        <v/>
      </c>
      <c r="S2065" s="199" t="str">
        <f t="shared" si="488"/>
        <v/>
      </c>
      <c r="T2065" s="199" t="str">
        <f t="shared" si="496"/>
        <v/>
      </c>
      <c r="U2065" s="199" t="str">
        <f t="shared" si="489"/>
        <v/>
      </c>
      <c r="V2065" s="989"/>
      <c r="X2065" s="374" t="str">
        <f t="shared" si="490"/>
        <v/>
      </c>
      <c r="Y2065" s="375" t="str">
        <f t="shared" si="491"/>
        <v/>
      </c>
      <c r="Z2065" s="374" t="str">
        <f t="shared" si="492"/>
        <v/>
      </c>
      <c r="AA2065" s="374" t="b">
        <f t="shared" si="493"/>
        <v>1</v>
      </c>
      <c r="AB2065" s="374">
        <f>COUNTIFS(B:B,B2065,H:H,'סיווג התפקידים והעלויות'!$C$2)</f>
        <v>0</v>
      </c>
      <c r="AC2065" s="374">
        <f>COUNTIFS(B:B,B2065,H:H,'סיווג התפקידים והעלויות'!$D$2)</f>
        <v>0</v>
      </c>
      <c r="AD2065" s="374" t="str">
        <f>IF(OR(AND(H2065='סיווג התפקידים והעלויות'!$A$2,I2065='סיווג התפקידים והעלויות'!$A$3),'עלויות כח אדם (6)'!H2065='סיווג התפקידים והעלויות'!$C$2,'עלויות כח אדם (6)'!H2065='סיווג התפקידים והעלויות'!$D$2),IF('עלויות כח אדם (6)'!J2065&lt;75,"לא תקין","תקין"),"")</f>
        <v/>
      </c>
      <c r="AE2065" s="374" t="str">
        <f t="shared" si="494"/>
        <v/>
      </c>
      <c r="AF2065" s="532" t="str">
        <f t="shared" si="495"/>
        <v/>
      </c>
    </row>
    <row r="2066" spans="2:32" x14ac:dyDescent="0.25">
      <c r="B2066" s="695"/>
      <c r="C2066" s="197" t="str">
        <f>IF(B2066&lt;&gt;"",IFERROR(VLOOKUP(B:B,'מצבת והרשמה (2)'!$C$20:$N$520,2,0)," ")," ")</f>
        <v xml:space="preserve"> </v>
      </c>
      <c r="D2066" s="695"/>
      <c r="E2066" s="696"/>
      <c r="F2066" s="696"/>
      <c r="G2066" s="696"/>
      <c r="H2066" s="696"/>
      <c r="I2066" s="1050" t="str">
        <f t="shared" si="482"/>
        <v/>
      </c>
      <c r="J2066" s="696"/>
      <c r="K2066" s="697"/>
      <c r="L2066" s="696"/>
      <c r="M2066" s="198" t="str">
        <f t="shared" si="483"/>
        <v/>
      </c>
      <c r="N2066" s="369" t="str">
        <f t="shared" si="484"/>
        <v/>
      </c>
      <c r="O2066" s="183" t="str">
        <f t="shared" si="485"/>
        <v/>
      </c>
      <c r="P2066" s="199" t="str">
        <f t="shared" si="486"/>
        <v/>
      </c>
      <c r="Q2066" s="199" t="str">
        <f>IF(B2066="","",IFERROR(IF('עלויות כח אדם (6)'!J2066&gt;=VLOOKUP(I2066,'סיווג התפקידים והעלויות'!$B$23:$C$32,2,0),"תקין","לא תקין"),""))</f>
        <v/>
      </c>
      <c r="R2066" s="199" t="str">
        <f t="shared" si="487"/>
        <v/>
      </c>
      <c r="S2066" s="199" t="str">
        <f t="shared" si="488"/>
        <v/>
      </c>
      <c r="T2066" s="199" t="str">
        <f t="shared" si="496"/>
        <v/>
      </c>
      <c r="U2066" s="199" t="str">
        <f t="shared" si="489"/>
        <v/>
      </c>
      <c r="V2066" s="989"/>
      <c r="X2066" s="374" t="str">
        <f t="shared" si="490"/>
        <v/>
      </c>
      <c r="Y2066" s="375" t="str">
        <f t="shared" si="491"/>
        <v/>
      </c>
      <c r="Z2066" s="374" t="str">
        <f t="shared" si="492"/>
        <v/>
      </c>
      <c r="AA2066" s="374" t="b">
        <f t="shared" si="493"/>
        <v>1</v>
      </c>
      <c r="AB2066" s="374">
        <f>COUNTIFS(B:B,B2066,H:H,'סיווג התפקידים והעלויות'!$C$2)</f>
        <v>0</v>
      </c>
      <c r="AC2066" s="374">
        <f>COUNTIFS(B:B,B2066,H:H,'סיווג התפקידים והעלויות'!$D$2)</f>
        <v>0</v>
      </c>
      <c r="AD2066" s="374" t="str">
        <f>IF(OR(AND(H2066='סיווג התפקידים והעלויות'!$A$2,I2066='סיווג התפקידים והעלויות'!$A$3),'עלויות כח אדם (6)'!H2066='סיווג התפקידים והעלויות'!$C$2,'עלויות כח אדם (6)'!H2066='סיווג התפקידים והעלויות'!$D$2),IF('עלויות כח אדם (6)'!J2066&lt;75,"לא תקין","תקין"),"")</f>
        <v/>
      </c>
      <c r="AE2066" s="374" t="str">
        <f t="shared" si="494"/>
        <v/>
      </c>
      <c r="AF2066" s="532" t="str">
        <f t="shared" si="495"/>
        <v/>
      </c>
    </row>
    <row r="2067" spans="2:32" x14ac:dyDescent="0.25">
      <c r="B2067" s="695"/>
      <c r="C2067" s="197" t="str">
        <f>IF(B2067&lt;&gt;"",IFERROR(VLOOKUP(B:B,'מצבת והרשמה (2)'!$C$20:$N$520,2,0)," ")," ")</f>
        <v xml:space="preserve"> </v>
      </c>
      <c r="D2067" s="695"/>
      <c r="E2067" s="696"/>
      <c r="F2067" s="696"/>
      <c r="G2067" s="696"/>
      <c r="H2067" s="696"/>
      <c r="I2067" s="1050" t="str">
        <f t="shared" si="482"/>
        <v/>
      </c>
      <c r="J2067" s="696"/>
      <c r="K2067" s="697"/>
      <c r="L2067" s="696"/>
      <c r="M2067" s="198" t="str">
        <f t="shared" si="483"/>
        <v/>
      </c>
      <c r="N2067" s="369" t="str">
        <f t="shared" si="484"/>
        <v/>
      </c>
      <c r="O2067" s="183" t="str">
        <f t="shared" si="485"/>
        <v/>
      </c>
      <c r="P2067" s="199" t="str">
        <f t="shared" si="486"/>
        <v/>
      </c>
      <c r="Q2067" s="199" t="str">
        <f>IF(B2067="","",IFERROR(IF('עלויות כח אדם (6)'!J2067&gt;=VLOOKUP(I2067,'סיווג התפקידים והעלויות'!$B$23:$C$32,2,0),"תקין","לא תקין"),""))</f>
        <v/>
      </c>
      <c r="R2067" s="199" t="str">
        <f t="shared" si="487"/>
        <v/>
      </c>
      <c r="S2067" s="199" t="str">
        <f t="shared" si="488"/>
        <v/>
      </c>
      <c r="T2067" s="199" t="str">
        <f t="shared" si="496"/>
        <v/>
      </c>
      <c r="U2067" s="199" t="str">
        <f t="shared" si="489"/>
        <v/>
      </c>
      <c r="V2067" s="989"/>
      <c r="X2067" s="374" t="str">
        <f t="shared" si="490"/>
        <v/>
      </c>
      <c r="Y2067" s="375" t="str">
        <f t="shared" si="491"/>
        <v/>
      </c>
      <c r="Z2067" s="374" t="str">
        <f t="shared" si="492"/>
        <v/>
      </c>
      <c r="AA2067" s="374" t="b">
        <f t="shared" si="493"/>
        <v>1</v>
      </c>
      <c r="AB2067" s="374">
        <f>COUNTIFS(B:B,B2067,H:H,'סיווג התפקידים והעלויות'!$C$2)</f>
        <v>0</v>
      </c>
      <c r="AC2067" s="374">
        <f>COUNTIFS(B:B,B2067,H:H,'סיווג התפקידים והעלויות'!$D$2)</f>
        <v>0</v>
      </c>
      <c r="AD2067" s="374" t="str">
        <f>IF(OR(AND(H2067='סיווג התפקידים והעלויות'!$A$2,I2067='סיווג התפקידים והעלויות'!$A$3),'עלויות כח אדם (6)'!H2067='סיווג התפקידים והעלויות'!$C$2,'עלויות כח אדם (6)'!H2067='סיווג התפקידים והעלויות'!$D$2),IF('עלויות כח אדם (6)'!J2067&lt;75,"לא תקין","תקין"),"")</f>
        <v/>
      </c>
      <c r="AE2067" s="374" t="str">
        <f t="shared" si="494"/>
        <v/>
      </c>
      <c r="AF2067" s="532" t="str">
        <f t="shared" si="495"/>
        <v/>
      </c>
    </row>
    <row r="2068" spans="2:32" x14ac:dyDescent="0.25">
      <c r="B2068" s="695"/>
      <c r="C2068" s="197" t="str">
        <f>IF(B2068&lt;&gt;"",IFERROR(VLOOKUP(B:B,'מצבת והרשמה (2)'!$C$20:$N$520,2,0)," ")," ")</f>
        <v xml:space="preserve"> </v>
      </c>
      <c r="D2068" s="695"/>
      <c r="E2068" s="696"/>
      <c r="F2068" s="696"/>
      <c r="G2068" s="696"/>
      <c r="H2068" s="696"/>
      <c r="I2068" s="1050" t="str">
        <f t="shared" si="482"/>
        <v/>
      </c>
      <c r="J2068" s="696"/>
      <c r="K2068" s="697"/>
      <c r="L2068" s="696"/>
      <c r="M2068" s="198" t="str">
        <f t="shared" si="483"/>
        <v/>
      </c>
      <c r="N2068" s="369" t="str">
        <f t="shared" si="484"/>
        <v/>
      </c>
      <c r="O2068" s="183" t="str">
        <f t="shared" si="485"/>
        <v/>
      </c>
      <c r="P2068" s="199" t="str">
        <f t="shared" si="486"/>
        <v/>
      </c>
      <c r="Q2068" s="199" t="str">
        <f>IF(B2068="","",IFERROR(IF('עלויות כח אדם (6)'!J2068&gt;=VLOOKUP(I2068,'סיווג התפקידים והעלויות'!$B$23:$C$32,2,0),"תקין","לא תקין"),""))</f>
        <v/>
      </c>
      <c r="R2068" s="199" t="str">
        <f t="shared" si="487"/>
        <v/>
      </c>
      <c r="S2068" s="199" t="str">
        <f t="shared" si="488"/>
        <v/>
      </c>
      <c r="T2068" s="199" t="str">
        <f t="shared" si="496"/>
        <v/>
      </c>
      <c r="U2068" s="199" t="str">
        <f t="shared" si="489"/>
        <v/>
      </c>
      <c r="V2068" s="989"/>
      <c r="X2068" s="374" t="str">
        <f t="shared" si="490"/>
        <v/>
      </c>
      <c r="Y2068" s="375" t="str">
        <f t="shared" si="491"/>
        <v/>
      </c>
      <c r="Z2068" s="374" t="str">
        <f t="shared" si="492"/>
        <v/>
      </c>
      <c r="AA2068" s="374" t="b">
        <f t="shared" si="493"/>
        <v>1</v>
      </c>
      <c r="AB2068" s="374">
        <f>COUNTIFS(B:B,B2068,H:H,'סיווג התפקידים והעלויות'!$C$2)</f>
        <v>0</v>
      </c>
      <c r="AC2068" s="374">
        <f>COUNTIFS(B:B,B2068,H:H,'סיווג התפקידים והעלויות'!$D$2)</f>
        <v>0</v>
      </c>
      <c r="AD2068" s="374" t="str">
        <f>IF(OR(AND(H2068='סיווג התפקידים והעלויות'!$A$2,I2068='סיווג התפקידים והעלויות'!$A$3),'עלויות כח אדם (6)'!H2068='סיווג התפקידים והעלויות'!$C$2,'עלויות כח אדם (6)'!H2068='סיווג התפקידים והעלויות'!$D$2),IF('עלויות כח אדם (6)'!J2068&lt;75,"לא תקין","תקין"),"")</f>
        <v/>
      </c>
      <c r="AE2068" s="374" t="str">
        <f t="shared" si="494"/>
        <v/>
      </c>
      <c r="AF2068" s="532" t="str">
        <f t="shared" si="495"/>
        <v/>
      </c>
    </row>
    <row r="2069" spans="2:32" x14ac:dyDescent="0.25">
      <c r="B2069" s="695"/>
      <c r="C2069" s="197" t="str">
        <f>IF(B2069&lt;&gt;"",IFERROR(VLOOKUP(B:B,'מצבת והרשמה (2)'!$C$20:$N$520,2,0)," ")," ")</f>
        <v xml:space="preserve"> </v>
      </c>
      <c r="D2069" s="695"/>
      <c r="E2069" s="696"/>
      <c r="F2069" s="696"/>
      <c r="G2069" s="696"/>
      <c r="H2069" s="696"/>
      <c r="I2069" s="1050" t="str">
        <f t="shared" si="482"/>
        <v/>
      </c>
      <c r="J2069" s="696"/>
      <c r="K2069" s="697"/>
      <c r="L2069" s="696"/>
      <c r="M2069" s="198" t="str">
        <f t="shared" si="483"/>
        <v/>
      </c>
      <c r="N2069" s="369" t="str">
        <f t="shared" si="484"/>
        <v/>
      </c>
      <c r="O2069" s="183" t="str">
        <f t="shared" si="485"/>
        <v/>
      </c>
      <c r="P2069" s="199" t="str">
        <f t="shared" si="486"/>
        <v/>
      </c>
      <c r="Q2069" s="199" t="str">
        <f>IF(B2069="","",IFERROR(IF('עלויות כח אדם (6)'!J2069&gt;=VLOOKUP(I2069,'סיווג התפקידים והעלויות'!$B$23:$C$32,2,0),"תקין","לא תקין"),""))</f>
        <v/>
      </c>
      <c r="R2069" s="199" t="str">
        <f t="shared" si="487"/>
        <v/>
      </c>
      <c r="S2069" s="199" t="str">
        <f t="shared" si="488"/>
        <v/>
      </c>
      <c r="T2069" s="199" t="str">
        <f t="shared" si="496"/>
        <v/>
      </c>
      <c r="U2069" s="199" t="str">
        <f t="shared" si="489"/>
        <v/>
      </c>
      <c r="V2069" s="989"/>
      <c r="X2069" s="374" t="str">
        <f t="shared" si="490"/>
        <v/>
      </c>
      <c r="Y2069" s="375" t="str">
        <f t="shared" si="491"/>
        <v/>
      </c>
      <c r="Z2069" s="374" t="str">
        <f t="shared" si="492"/>
        <v/>
      </c>
      <c r="AA2069" s="374" t="b">
        <f t="shared" si="493"/>
        <v>1</v>
      </c>
      <c r="AB2069" s="374">
        <f>COUNTIFS(B:B,B2069,H:H,'סיווג התפקידים והעלויות'!$C$2)</f>
        <v>0</v>
      </c>
      <c r="AC2069" s="374">
        <f>COUNTIFS(B:B,B2069,H:H,'סיווג התפקידים והעלויות'!$D$2)</f>
        <v>0</v>
      </c>
      <c r="AD2069" s="374" t="str">
        <f>IF(OR(AND(H2069='סיווג התפקידים והעלויות'!$A$2,I2069='סיווג התפקידים והעלויות'!$A$3),'עלויות כח אדם (6)'!H2069='סיווג התפקידים והעלויות'!$C$2,'עלויות כח אדם (6)'!H2069='סיווג התפקידים והעלויות'!$D$2),IF('עלויות כח אדם (6)'!J2069&lt;75,"לא תקין","תקין"),"")</f>
        <v/>
      </c>
      <c r="AE2069" s="374" t="str">
        <f t="shared" si="494"/>
        <v/>
      </c>
      <c r="AF2069" s="532" t="str">
        <f t="shared" si="495"/>
        <v/>
      </c>
    </row>
    <row r="2070" spans="2:32" x14ac:dyDescent="0.25">
      <c r="B2070" s="695"/>
      <c r="C2070" s="197" t="str">
        <f>IF(B2070&lt;&gt;"",IFERROR(VLOOKUP(B:B,'מצבת והרשמה (2)'!$C$20:$N$520,2,0)," ")," ")</f>
        <v xml:space="preserve"> </v>
      </c>
      <c r="D2070" s="695"/>
      <c r="E2070" s="696"/>
      <c r="F2070" s="696"/>
      <c r="G2070" s="696"/>
      <c r="H2070" s="696"/>
      <c r="I2070" s="1050" t="str">
        <f t="shared" si="482"/>
        <v/>
      </c>
      <c r="J2070" s="696"/>
      <c r="K2070" s="697"/>
      <c r="L2070" s="696"/>
      <c r="M2070" s="198" t="str">
        <f t="shared" si="483"/>
        <v/>
      </c>
      <c r="N2070" s="369" t="str">
        <f t="shared" si="484"/>
        <v/>
      </c>
      <c r="O2070" s="183" t="str">
        <f t="shared" si="485"/>
        <v/>
      </c>
      <c r="P2070" s="199" t="str">
        <f t="shared" si="486"/>
        <v/>
      </c>
      <c r="Q2070" s="199" t="str">
        <f>IF(B2070="","",IFERROR(IF('עלויות כח אדם (6)'!J2070&gt;=VLOOKUP(I2070,'סיווג התפקידים והעלויות'!$B$23:$C$32,2,0),"תקין","לא תקין"),""))</f>
        <v/>
      </c>
      <c r="R2070" s="199" t="str">
        <f t="shared" si="487"/>
        <v/>
      </c>
      <c r="S2070" s="199" t="str">
        <f t="shared" si="488"/>
        <v/>
      </c>
      <c r="T2070" s="199" t="str">
        <f t="shared" si="496"/>
        <v/>
      </c>
      <c r="U2070" s="199" t="str">
        <f t="shared" si="489"/>
        <v/>
      </c>
      <c r="V2070" s="989"/>
      <c r="X2070" s="374" t="str">
        <f t="shared" si="490"/>
        <v/>
      </c>
      <c r="Y2070" s="375" t="str">
        <f t="shared" si="491"/>
        <v/>
      </c>
      <c r="Z2070" s="374" t="str">
        <f t="shared" si="492"/>
        <v/>
      </c>
      <c r="AA2070" s="374" t="b">
        <f t="shared" si="493"/>
        <v>1</v>
      </c>
      <c r="AB2070" s="374">
        <f>COUNTIFS(B:B,B2070,H:H,'סיווג התפקידים והעלויות'!$C$2)</f>
        <v>0</v>
      </c>
      <c r="AC2070" s="374">
        <f>COUNTIFS(B:B,B2070,H:H,'סיווג התפקידים והעלויות'!$D$2)</f>
        <v>0</v>
      </c>
      <c r="AD2070" s="374" t="str">
        <f>IF(OR(AND(H2070='סיווג התפקידים והעלויות'!$A$2,I2070='סיווג התפקידים והעלויות'!$A$3),'עלויות כח אדם (6)'!H2070='סיווג התפקידים והעלויות'!$C$2,'עלויות כח אדם (6)'!H2070='סיווג התפקידים והעלויות'!$D$2),IF('עלויות כח אדם (6)'!J2070&lt;75,"לא תקין","תקין"),"")</f>
        <v/>
      </c>
      <c r="AE2070" s="374" t="str">
        <f t="shared" si="494"/>
        <v/>
      </c>
      <c r="AF2070" s="532" t="str">
        <f t="shared" si="495"/>
        <v/>
      </c>
    </row>
    <row r="2071" spans="2:32" x14ac:dyDescent="0.25">
      <c r="B2071" s="695"/>
      <c r="C2071" s="197" t="str">
        <f>IF(B2071&lt;&gt;"",IFERROR(VLOOKUP(B:B,'מצבת והרשמה (2)'!$C$20:$N$520,2,0)," ")," ")</f>
        <v xml:space="preserve"> </v>
      </c>
      <c r="D2071" s="695"/>
      <c r="E2071" s="696"/>
      <c r="F2071" s="696"/>
      <c r="G2071" s="696"/>
      <c r="H2071" s="696"/>
      <c r="I2071" s="1050" t="str">
        <f t="shared" si="482"/>
        <v/>
      </c>
      <c r="J2071" s="696"/>
      <c r="K2071" s="697"/>
      <c r="L2071" s="696"/>
      <c r="M2071" s="198" t="str">
        <f t="shared" si="483"/>
        <v/>
      </c>
      <c r="N2071" s="369" t="str">
        <f t="shared" si="484"/>
        <v/>
      </c>
      <c r="O2071" s="183" t="str">
        <f t="shared" si="485"/>
        <v/>
      </c>
      <c r="P2071" s="199" t="str">
        <f t="shared" si="486"/>
        <v/>
      </c>
      <c r="Q2071" s="199" t="str">
        <f>IF(B2071="","",IFERROR(IF('עלויות כח אדם (6)'!J2071&gt;=VLOOKUP(I2071,'סיווג התפקידים והעלויות'!$B$23:$C$32,2,0),"תקין","לא תקין"),""))</f>
        <v/>
      </c>
      <c r="R2071" s="199" t="str">
        <f t="shared" si="487"/>
        <v/>
      </c>
      <c r="S2071" s="199" t="str">
        <f t="shared" si="488"/>
        <v/>
      </c>
      <c r="T2071" s="199" t="str">
        <f t="shared" si="496"/>
        <v/>
      </c>
      <c r="U2071" s="199" t="str">
        <f t="shared" si="489"/>
        <v/>
      </c>
      <c r="V2071" s="989"/>
      <c r="X2071" s="374" t="str">
        <f t="shared" si="490"/>
        <v/>
      </c>
      <c r="Y2071" s="375" t="str">
        <f t="shared" si="491"/>
        <v/>
      </c>
      <c r="Z2071" s="374" t="str">
        <f t="shared" si="492"/>
        <v/>
      </c>
      <c r="AA2071" s="374" t="b">
        <f t="shared" si="493"/>
        <v>1</v>
      </c>
      <c r="AB2071" s="374">
        <f>COUNTIFS(B:B,B2071,H:H,'סיווג התפקידים והעלויות'!$C$2)</f>
        <v>0</v>
      </c>
      <c r="AC2071" s="374">
        <f>COUNTIFS(B:B,B2071,H:H,'סיווג התפקידים והעלויות'!$D$2)</f>
        <v>0</v>
      </c>
      <c r="AD2071" s="374" t="str">
        <f>IF(OR(AND(H2071='סיווג התפקידים והעלויות'!$A$2,I2071='סיווג התפקידים והעלויות'!$A$3),'עלויות כח אדם (6)'!H2071='סיווג התפקידים והעלויות'!$C$2,'עלויות כח אדם (6)'!H2071='סיווג התפקידים והעלויות'!$D$2),IF('עלויות כח אדם (6)'!J2071&lt;75,"לא תקין","תקין"),"")</f>
        <v/>
      </c>
      <c r="AE2071" s="374" t="str">
        <f t="shared" si="494"/>
        <v/>
      </c>
      <c r="AF2071" s="532" t="str">
        <f t="shared" si="495"/>
        <v/>
      </c>
    </row>
    <row r="2072" spans="2:32" x14ac:dyDescent="0.25">
      <c r="B2072" s="695"/>
      <c r="C2072" s="197" t="str">
        <f>IF(B2072&lt;&gt;"",IFERROR(VLOOKUP(B:B,'מצבת והרשמה (2)'!$C$20:$N$520,2,0)," ")," ")</f>
        <v xml:space="preserve"> </v>
      </c>
      <c r="D2072" s="695"/>
      <c r="E2072" s="696"/>
      <c r="F2072" s="696"/>
      <c r="G2072" s="696"/>
      <c r="H2072" s="696"/>
      <c r="I2072" s="1050" t="str">
        <f t="shared" si="482"/>
        <v/>
      </c>
      <c r="J2072" s="696"/>
      <c r="K2072" s="697"/>
      <c r="L2072" s="696"/>
      <c r="M2072" s="198" t="str">
        <f t="shared" si="483"/>
        <v/>
      </c>
      <c r="N2072" s="369" t="str">
        <f t="shared" si="484"/>
        <v/>
      </c>
      <c r="O2072" s="183" t="str">
        <f t="shared" si="485"/>
        <v/>
      </c>
      <c r="P2072" s="199" t="str">
        <f t="shared" si="486"/>
        <v/>
      </c>
      <c r="Q2072" s="199" t="str">
        <f>IF(B2072="","",IFERROR(IF('עלויות כח אדם (6)'!J2072&gt;=VLOOKUP(I2072,'סיווג התפקידים והעלויות'!$B$23:$C$32,2,0),"תקין","לא תקין"),""))</f>
        <v/>
      </c>
      <c r="R2072" s="199" t="str">
        <f t="shared" si="487"/>
        <v/>
      </c>
      <c r="S2072" s="199" t="str">
        <f t="shared" si="488"/>
        <v/>
      </c>
      <c r="T2072" s="199" t="str">
        <f t="shared" si="496"/>
        <v/>
      </c>
      <c r="U2072" s="199" t="str">
        <f t="shared" si="489"/>
        <v/>
      </c>
      <c r="V2072" s="989"/>
      <c r="X2072" s="374" t="str">
        <f t="shared" si="490"/>
        <v/>
      </c>
      <c r="Y2072" s="375" t="str">
        <f t="shared" si="491"/>
        <v/>
      </c>
      <c r="Z2072" s="374" t="str">
        <f t="shared" si="492"/>
        <v/>
      </c>
      <c r="AA2072" s="374" t="b">
        <f t="shared" si="493"/>
        <v>1</v>
      </c>
      <c r="AB2072" s="374">
        <f>COUNTIFS(B:B,B2072,H:H,'סיווג התפקידים והעלויות'!$C$2)</f>
        <v>0</v>
      </c>
      <c r="AC2072" s="374">
        <f>COUNTIFS(B:B,B2072,H:H,'סיווג התפקידים והעלויות'!$D$2)</f>
        <v>0</v>
      </c>
      <c r="AD2072" s="374" t="str">
        <f>IF(OR(AND(H2072='סיווג התפקידים והעלויות'!$A$2,I2072='סיווג התפקידים והעלויות'!$A$3),'עלויות כח אדם (6)'!H2072='סיווג התפקידים והעלויות'!$C$2,'עלויות כח אדם (6)'!H2072='סיווג התפקידים והעלויות'!$D$2),IF('עלויות כח אדם (6)'!J2072&lt;75,"לא תקין","תקין"),"")</f>
        <v/>
      </c>
      <c r="AE2072" s="374" t="str">
        <f t="shared" si="494"/>
        <v/>
      </c>
      <c r="AF2072" s="532" t="str">
        <f t="shared" si="495"/>
        <v/>
      </c>
    </row>
    <row r="2073" spans="2:32" x14ac:dyDescent="0.25">
      <c r="B2073" s="695"/>
      <c r="C2073" s="197" t="str">
        <f>IF(B2073&lt;&gt;"",IFERROR(VLOOKUP(B:B,'מצבת והרשמה (2)'!$C$20:$N$520,2,0)," ")," ")</f>
        <v xml:space="preserve"> </v>
      </c>
      <c r="D2073" s="695"/>
      <c r="E2073" s="696"/>
      <c r="F2073" s="696"/>
      <c r="G2073" s="696"/>
      <c r="H2073" s="696"/>
      <c r="I2073" s="1050" t="str">
        <f t="shared" si="482"/>
        <v/>
      </c>
      <c r="J2073" s="696"/>
      <c r="K2073" s="697"/>
      <c r="L2073" s="696"/>
      <c r="M2073" s="198" t="str">
        <f t="shared" si="483"/>
        <v/>
      </c>
      <c r="N2073" s="369" t="str">
        <f t="shared" si="484"/>
        <v/>
      </c>
      <c r="O2073" s="183" t="str">
        <f t="shared" si="485"/>
        <v/>
      </c>
      <c r="P2073" s="199" t="str">
        <f t="shared" si="486"/>
        <v/>
      </c>
      <c r="Q2073" s="199" t="str">
        <f>IF(B2073="","",IFERROR(IF('עלויות כח אדם (6)'!J2073&gt;=VLOOKUP(I2073,'סיווג התפקידים והעלויות'!$B$23:$C$32,2,0),"תקין","לא תקין"),""))</f>
        <v/>
      </c>
      <c r="R2073" s="199" t="str">
        <f t="shared" si="487"/>
        <v/>
      </c>
      <c r="S2073" s="199" t="str">
        <f t="shared" si="488"/>
        <v/>
      </c>
      <c r="T2073" s="199" t="str">
        <f t="shared" si="496"/>
        <v/>
      </c>
      <c r="U2073" s="199" t="str">
        <f t="shared" si="489"/>
        <v/>
      </c>
      <c r="V2073" s="989"/>
      <c r="X2073" s="374" t="str">
        <f t="shared" si="490"/>
        <v/>
      </c>
      <c r="Y2073" s="375" t="str">
        <f t="shared" si="491"/>
        <v/>
      </c>
      <c r="Z2073" s="374" t="str">
        <f t="shared" si="492"/>
        <v/>
      </c>
      <c r="AA2073" s="374" t="b">
        <f t="shared" si="493"/>
        <v>1</v>
      </c>
      <c r="AB2073" s="374">
        <f>COUNTIFS(B:B,B2073,H:H,'סיווג התפקידים והעלויות'!$C$2)</f>
        <v>0</v>
      </c>
      <c r="AC2073" s="374">
        <f>COUNTIFS(B:B,B2073,H:H,'סיווג התפקידים והעלויות'!$D$2)</f>
        <v>0</v>
      </c>
      <c r="AD2073" s="374" t="str">
        <f>IF(OR(AND(H2073='סיווג התפקידים והעלויות'!$A$2,I2073='סיווג התפקידים והעלויות'!$A$3),'עלויות כח אדם (6)'!H2073='סיווג התפקידים והעלויות'!$C$2,'עלויות כח אדם (6)'!H2073='סיווג התפקידים והעלויות'!$D$2),IF('עלויות כח אדם (6)'!J2073&lt;75,"לא תקין","תקין"),"")</f>
        <v/>
      </c>
      <c r="AE2073" s="374" t="str">
        <f t="shared" si="494"/>
        <v/>
      </c>
      <c r="AF2073" s="532" t="str">
        <f t="shared" si="495"/>
        <v/>
      </c>
    </row>
    <row r="2074" spans="2:32" x14ac:dyDescent="0.25">
      <c r="B2074" s="695"/>
      <c r="C2074" s="197" t="str">
        <f>IF(B2074&lt;&gt;"",IFERROR(VLOOKUP(B:B,'מצבת והרשמה (2)'!$C$20:$N$520,2,0)," ")," ")</f>
        <v xml:space="preserve"> </v>
      </c>
      <c r="D2074" s="695"/>
      <c r="E2074" s="696"/>
      <c r="F2074" s="696"/>
      <c r="G2074" s="696"/>
      <c r="H2074" s="696"/>
      <c r="I2074" s="1050" t="str">
        <f t="shared" si="482"/>
        <v/>
      </c>
      <c r="J2074" s="696"/>
      <c r="K2074" s="697"/>
      <c r="L2074" s="696"/>
      <c r="M2074" s="198" t="str">
        <f t="shared" si="483"/>
        <v/>
      </c>
      <c r="N2074" s="369" t="str">
        <f t="shared" si="484"/>
        <v/>
      </c>
      <c r="O2074" s="183" t="str">
        <f t="shared" si="485"/>
        <v/>
      </c>
      <c r="P2074" s="199" t="str">
        <f t="shared" si="486"/>
        <v/>
      </c>
      <c r="Q2074" s="199" t="str">
        <f>IF(B2074="","",IFERROR(IF('עלויות כח אדם (6)'!J2074&gt;=VLOOKUP(I2074,'סיווג התפקידים והעלויות'!$B$23:$C$32,2,0),"תקין","לא תקין"),""))</f>
        <v/>
      </c>
      <c r="R2074" s="199" t="str">
        <f t="shared" si="487"/>
        <v/>
      </c>
      <c r="S2074" s="199" t="str">
        <f t="shared" si="488"/>
        <v/>
      </c>
      <c r="T2074" s="199" t="str">
        <f t="shared" si="496"/>
        <v/>
      </c>
      <c r="U2074" s="199" t="str">
        <f t="shared" si="489"/>
        <v/>
      </c>
      <c r="V2074" s="989"/>
      <c r="X2074" s="374" t="str">
        <f t="shared" si="490"/>
        <v/>
      </c>
      <c r="Y2074" s="375" t="str">
        <f t="shared" si="491"/>
        <v/>
      </c>
      <c r="Z2074" s="374" t="str">
        <f t="shared" si="492"/>
        <v/>
      </c>
      <c r="AA2074" s="374" t="b">
        <f t="shared" si="493"/>
        <v>1</v>
      </c>
      <c r="AB2074" s="374">
        <f>COUNTIFS(B:B,B2074,H:H,'סיווג התפקידים והעלויות'!$C$2)</f>
        <v>0</v>
      </c>
      <c r="AC2074" s="374">
        <f>COUNTIFS(B:B,B2074,H:H,'סיווג התפקידים והעלויות'!$D$2)</f>
        <v>0</v>
      </c>
      <c r="AD2074" s="374" t="str">
        <f>IF(OR(AND(H2074='סיווג התפקידים והעלויות'!$A$2,I2074='סיווג התפקידים והעלויות'!$A$3),'עלויות כח אדם (6)'!H2074='סיווג התפקידים והעלויות'!$C$2,'עלויות כח אדם (6)'!H2074='סיווג התפקידים והעלויות'!$D$2),IF('עלויות כח אדם (6)'!J2074&lt;75,"לא תקין","תקין"),"")</f>
        <v/>
      </c>
      <c r="AE2074" s="374" t="str">
        <f t="shared" si="494"/>
        <v/>
      </c>
      <c r="AF2074" s="532" t="str">
        <f t="shared" si="495"/>
        <v/>
      </c>
    </row>
    <row r="2075" spans="2:32" x14ac:dyDescent="0.25">
      <c r="B2075" s="695"/>
      <c r="C2075" s="197" t="str">
        <f>IF(B2075&lt;&gt;"",IFERROR(VLOOKUP(B:B,'מצבת והרשמה (2)'!$C$20:$N$520,2,0)," ")," ")</f>
        <v xml:space="preserve"> </v>
      </c>
      <c r="D2075" s="695"/>
      <c r="E2075" s="696"/>
      <c r="F2075" s="696"/>
      <c r="G2075" s="696"/>
      <c r="H2075" s="696"/>
      <c r="I2075" s="1050" t="str">
        <f t="shared" si="482"/>
        <v/>
      </c>
      <c r="J2075" s="696"/>
      <c r="K2075" s="697"/>
      <c r="L2075" s="696"/>
      <c r="M2075" s="198" t="str">
        <f t="shared" si="483"/>
        <v/>
      </c>
      <c r="N2075" s="369" t="str">
        <f t="shared" si="484"/>
        <v/>
      </c>
      <c r="O2075" s="183" t="str">
        <f t="shared" si="485"/>
        <v/>
      </c>
      <c r="P2075" s="199" t="str">
        <f t="shared" si="486"/>
        <v/>
      </c>
      <c r="Q2075" s="199" t="str">
        <f>IF(B2075="","",IFERROR(IF('עלויות כח אדם (6)'!J2075&gt;=VLOOKUP(I2075,'סיווג התפקידים והעלויות'!$B$23:$C$32,2,0),"תקין","לא תקין"),""))</f>
        <v/>
      </c>
      <c r="R2075" s="199" t="str">
        <f t="shared" si="487"/>
        <v/>
      </c>
      <c r="S2075" s="199" t="str">
        <f t="shared" si="488"/>
        <v/>
      </c>
      <c r="T2075" s="199" t="str">
        <f t="shared" si="496"/>
        <v/>
      </c>
      <c r="U2075" s="199" t="str">
        <f t="shared" si="489"/>
        <v/>
      </c>
      <c r="V2075" s="989"/>
      <c r="X2075" s="374" t="str">
        <f t="shared" si="490"/>
        <v/>
      </c>
      <c r="Y2075" s="375" t="str">
        <f t="shared" si="491"/>
        <v/>
      </c>
      <c r="Z2075" s="374" t="str">
        <f t="shared" si="492"/>
        <v/>
      </c>
      <c r="AA2075" s="374" t="b">
        <f t="shared" si="493"/>
        <v>1</v>
      </c>
      <c r="AB2075" s="374">
        <f>COUNTIFS(B:B,B2075,H:H,'סיווג התפקידים והעלויות'!$C$2)</f>
        <v>0</v>
      </c>
      <c r="AC2075" s="374">
        <f>COUNTIFS(B:B,B2075,H:H,'סיווג התפקידים והעלויות'!$D$2)</f>
        <v>0</v>
      </c>
      <c r="AD2075" s="374" t="str">
        <f>IF(OR(AND(H2075='סיווג התפקידים והעלויות'!$A$2,I2075='סיווג התפקידים והעלויות'!$A$3),'עלויות כח אדם (6)'!H2075='סיווג התפקידים והעלויות'!$C$2,'עלויות כח אדם (6)'!H2075='סיווג התפקידים והעלויות'!$D$2),IF('עלויות כח אדם (6)'!J2075&lt;75,"לא תקין","תקין"),"")</f>
        <v/>
      </c>
      <c r="AE2075" s="374" t="str">
        <f t="shared" si="494"/>
        <v/>
      </c>
      <c r="AF2075" s="532" t="str">
        <f t="shared" si="495"/>
        <v/>
      </c>
    </row>
    <row r="2076" spans="2:32" x14ac:dyDescent="0.25">
      <c r="B2076" s="695"/>
      <c r="C2076" s="197" t="str">
        <f>IF(B2076&lt;&gt;"",IFERROR(VLOOKUP(B:B,'מצבת והרשמה (2)'!$C$20:$N$520,2,0)," ")," ")</f>
        <v xml:space="preserve"> </v>
      </c>
      <c r="D2076" s="695"/>
      <c r="E2076" s="696"/>
      <c r="F2076" s="696"/>
      <c r="G2076" s="696"/>
      <c r="H2076" s="696"/>
      <c r="I2076" s="1050" t="str">
        <f t="shared" si="482"/>
        <v/>
      </c>
      <c r="J2076" s="696"/>
      <c r="K2076" s="697"/>
      <c r="L2076" s="696"/>
      <c r="M2076" s="198" t="str">
        <f t="shared" si="483"/>
        <v/>
      </c>
      <c r="N2076" s="369" t="str">
        <f t="shared" si="484"/>
        <v/>
      </c>
      <c r="O2076" s="183" t="str">
        <f t="shared" si="485"/>
        <v/>
      </c>
      <c r="P2076" s="199" t="str">
        <f t="shared" si="486"/>
        <v/>
      </c>
      <c r="Q2076" s="199" t="str">
        <f>IF(B2076="","",IFERROR(IF('עלויות כח אדם (6)'!J2076&gt;=VLOOKUP(I2076,'סיווג התפקידים והעלויות'!$B$23:$C$32,2,0),"תקין","לא תקין"),""))</f>
        <v/>
      </c>
      <c r="R2076" s="199" t="str">
        <f t="shared" si="487"/>
        <v/>
      </c>
      <c r="S2076" s="199" t="str">
        <f t="shared" si="488"/>
        <v/>
      </c>
      <c r="T2076" s="199" t="str">
        <f t="shared" si="496"/>
        <v/>
      </c>
      <c r="U2076" s="199" t="str">
        <f t="shared" si="489"/>
        <v/>
      </c>
      <c r="V2076" s="989"/>
      <c r="X2076" s="374" t="str">
        <f t="shared" si="490"/>
        <v/>
      </c>
      <c r="Y2076" s="375" t="str">
        <f t="shared" si="491"/>
        <v/>
      </c>
      <c r="Z2076" s="374" t="str">
        <f t="shared" si="492"/>
        <v/>
      </c>
      <c r="AA2076" s="374" t="b">
        <f t="shared" si="493"/>
        <v>1</v>
      </c>
      <c r="AB2076" s="374">
        <f>COUNTIFS(B:B,B2076,H:H,'סיווג התפקידים והעלויות'!$C$2)</f>
        <v>0</v>
      </c>
      <c r="AC2076" s="374">
        <f>COUNTIFS(B:B,B2076,H:H,'סיווג התפקידים והעלויות'!$D$2)</f>
        <v>0</v>
      </c>
      <c r="AD2076" s="374" t="str">
        <f>IF(OR(AND(H2076='סיווג התפקידים והעלויות'!$A$2,I2076='סיווג התפקידים והעלויות'!$A$3),'עלויות כח אדם (6)'!H2076='סיווג התפקידים והעלויות'!$C$2,'עלויות כח אדם (6)'!H2076='סיווג התפקידים והעלויות'!$D$2),IF('עלויות כח אדם (6)'!J2076&lt;75,"לא תקין","תקין"),"")</f>
        <v/>
      </c>
      <c r="AE2076" s="374" t="str">
        <f t="shared" si="494"/>
        <v/>
      </c>
      <c r="AF2076" s="532" t="str">
        <f t="shared" si="495"/>
        <v/>
      </c>
    </row>
    <row r="2077" spans="2:32" x14ac:dyDescent="0.25">
      <c r="B2077" s="695"/>
      <c r="C2077" s="197" t="str">
        <f>IF(B2077&lt;&gt;"",IFERROR(VLOOKUP(B:B,'מצבת והרשמה (2)'!$C$20:$N$520,2,0)," ")," ")</f>
        <v xml:space="preserve"> </v>
      </c>
      <c r="D2077" s="695"/>
      <c r="E2077" s="696"/>
      <c r="F2077" s="696"/>
      <c r="G2077" s="696"/>
      <c r="H2077" s="696"/>
      <c r="I2077" s="1050" t="str">
        <f t="shared" si="482"/>
        <v/>
      </c>
      <c r="J2077" s="696"/>
      <c r="K2077" s="697"/>
      <c r="L2077" s="696"/>
      <c r="M2077" s="198" t="str">
        <f t="shared" si="483"/>
        <v/>
      </c>
      <c r="N2077" s="369" t="str">
        <f t="shared" si="484"/>
        <v/>
      </c>
      <c r="O2077" s="183" t="str">
        <f t="shared" si="485"/>
        <v/>
      </c>
      <c r="P2077" s="199" t="str">
        <f t="shared" si="486"/>
        <v/>
      </c>
      <c r="Q2077" s="199" t="str">
        <f>IF(B2077="","",IFERROR(IF('עלויות כח אדם (6)'!J2077&gt;=VLOOKUP(I2077,'סיווג התפקידים והעלויות'!$B$23:$C$32,2,0),"תקין","לא תקין"),""))</f>
        <v/>
      </c>
      <c r="R2077" s="199" t="str">
        <f t="shared" si="487"/>
        <v/>
      </c>
      <c r="S2077" s="199" t="str">
        <f t="shared" si="488"/>
        <v/>
      </c>
      <c r="T2077" s="199" t="str">
        <f t="shared" si="496"/>
        <v/>
      </c>
      <c r="U2077" s="199" t="str">
        <f t="shared" si="489"/>
        <v/>
      </c>
      <c r="V2077" s="989"/>
      <c r="X2077" s="374" t="str">
        <f t="shared" si="490"/>
        <v/>
      </c>
      <c r="Y2077" s="375" t="str">
        <f t="shared" si="491"/>
        <v/>
      </c>
      <c r="Z2077" s="374" t="str">
        <f t="shared" si="492"/>
        <v/>
      </c>
      <c r="AA2077" s="374" t="b">
        <f t="shared" si="493"/>
        <v>1</v>
      </c>
      <c r="AB2077" s="374">
        <f>COUNTIFS(B:B,B2077,H:H,'סיווג התפקידים והעלויות'!$C$2)</f>
        <v>0</v>
      </c>
      <c r="AC2077" s="374">
        <f>COUNTIFS(B:B,B2077,H:H,'סיווג התפקידים והעלויות'!$D$2)</f>
        <v>0</v>
      </c>
      <c r="AD2077" s="374" t="str">
        <f>IF(OR(AND(H2077='סיווג התפקידים והעלויות'!$A$2,I2077='סיווג התפקידים והעלויות'!$A$3),'עלויות כח אדם (6)'!H2077='סיווג התפקידים והעלויות'!$C$2,'עלויות כח אדם (6)'!H2077='סיווג התפקידים והעלויות'!$D$2),IF('עלויות כח אדם (6)'!J2077&lt;75,"לא תקין","תקין"),"")</f>
        <v/>
      </c>
      <c r="AE2077" s="374" t="str">
        <f t="shared" si="494"/>
        <v/>
      </c>
      <c r="AF2077" s="532" t="str">
        <f t="shared" si="495"/>
        <v/>
      </c>
    </row>
    <row r="2078" spans="2:32" x14ac:dyDescent="0.25">
      <c r="B2078" s="695"/>
      <c r="C2078" s="197" t="str">
        <f>IF(B2078&lt;&gt;"",IFERROR(VLOOKUP(B:B,'מצבת והרשמה (2)'!$C$20:$N$520,2,0)," ")," ")</f>
        <v xml:space="preserve"> </v>
      </c>
      <c r="D2078" s="695"/>
      <c r="E2078" s="696"/>
      <c r="F2078" s="696"/>
      <c r="G2078" s="696"/>
      <c r="H2078" s="696"/>
      <c r="I2078" s="1050" t="str">
        <f t="shared" si="482"/>
        <v/>
      </c>
      <c r="J2078" s="696"/>
      <c r="K2078" s="697"/>
      <c r="L2078" s="696"/>
      <c r="M2078" s="198" t="str">
        <f t="shared" si="483"/>
        <v/>
      </c>
      <c r="N2078" s="369" t="str">
        <f t="shared" si="484"/>
        <v/>
      </c>
      <c r="O2078" s="183" t="str">
        <f t="shared" si="485"/>
        <v/>
      </c>
      <c r="P2078" s="199" t="str">
        <f t="shared" si="486"/>
        <v/>
      </c>
      <c r="Q2078" s="199" t="str">
        <f>IF(B2078="","",IFERROR(IF('עלויות כח אדם (6)'!J2078&gt;=VLOOKUP(I2078,'סיווג התפקידים והעלויות'!$B$23:$C$32,2,0),"תקין","לא תקין"),""))</f>
        <v/>
      </c>
      <c r="R2078" s="199" t="str">
        <f t="shared" si="487"/>
        <v/>
      </c>
      <c r="S2078" s="199" t="str">
        <f t="shared" si="488"/>
        <v/>
      </c>
      <c r="T2078" s="199" t="str">
        <f t="shared" si="496"/>
        <v/>
      </c>
      <c r="U2078" s="199" t="str">
        <f t="shared" si="489"/>
        <v/>
      </c>
      <c r="V2078" s="989"/>
      <c r="X2078" s="374" t="str">
        <f t="shared" si="490"/>
        <v/>
      </c>
      <c r="Y2078" s="375" t="str">
        <f t="shared" si="491"/>
        <v/>
      </c>
      <c r="Z2078" s="374" t="str">
        <f t="shared" si="492"/>
        <v/>
      </c>
      <c r="AA2078" s="374" t="b">
        <f t="shared" si="493"/>
        <v>1</v>
      </c>
      <c r="AB2078" s="374">
        <f>COUNTIFS(B:B,B2078,H:H,'סיווג התפקידים והעלויות'!$C$2)</f>
        <v>0</v>
      </c>
      <c r="AC2078" s="374">
        <f>COUNTIFS(B:B,B2078,H:H,'סיווג התפקידים והעלויות'!$D$2)</f>
        <v>0</v>
      </c>
      <c r="AD2078" s="374" t="str">
        <f>IF(OR(AND(H2078='סיווג התפקידים והעלויות'!$A$2,I2078='סיווג התפקידים והעלויות'!$A$3),'עלויות כח אדם (6)'!H2078='סיווג התפקידים והעלויות'!$C$2,'עלויות כח אדם (6)'!H2078='סיווג התפקידים והעלויות'!$D$2),IF('עלויות כח אדם (6)'!J2078&lt;75,"לא תקין","תקין"),"")</f>
        <v/>
      </c>
      <c r="AE2078" s="374" t="str">
        <f t="shared" si="494"/>
        <v/>
      </c>
      <c r="AF2078" s="532" t="str">
        <f t="shared" si="495"/>
        <v/>
      </c>
    </row>
    <row r="2079" spans="2:32" x14ac:dyDescent="0.25">
      <c r="B2079" s="695"/>
      <c r="C2079" s="197" t="str">
        <f>IF(B2079&lt;&gt;"",IFERROR(VLOOKUP(B:B,'מצבת והרשמה (2)'!$C$20:$N$520,2,0)," ")," ")</f>
        <v xml:space="preserve"> </v>
      </c>
      <c r="D2079" s="695"/>
      <c r="E2079" s="696"/>
      <c r="F2079" s="696"/>
      <c r="G2079" s="696"/>
      <c r="H2079" s="696"/>
      <c r="I2079" s="1050" t="str">
        <f t="shared" si="482"/>
        <v/>
      </c>
      <c r="J2079" s="696"/>
      <c r="K2079" s="697"/>
      <c r="L2079" s="696"/>
      <c r="M2079" s="198" t="str">
        <f t="shared" si="483"/>
        <v/>
      </c>
      <c r="N2079" s="369" t="str">
        <f t="shared" si="484"/>
        <v/>
      </c>
      <c r="O2079" s="183" t="str">
        <f t="shared" si="485"/>
        <v/>
      </c>
      <c r="P2079" s="199" t="str">
        <f t="shared" si="486"/>
        <v/>
      </c>
      <c r="Q2079" s="199" t="str">
        <f>IF(B2079="","",IFERROR(IF('עלויות כח אדם (6)'!J2079&gt;=VLOOKUP(I2079,'סיווג התפקידים והעלויות'!$B$23:$C$32,2,0),"תקין","לא תקין"),""))</f>
        <v/>
      </c>
      <c r="R2079" s="199" t="str">
        <f t="shared" si="487"/>
        <v/>
      </c>
      <c r="S2079" s="199" t="str">
        <f t="shared" si="488"/>
        <v/>
      </c>
      <c r="T2079" s="199" t="str">
        <f t="shared" si="496"/>
        <v/>
      </c>
      <c r="U2079" s="199" t="str">
        <f t="shared" si="489"/>
        <v/>
      </c>
      <c r="V2079" s="989"/>
      <c r="X2079" s="374" t="str">
        <f t="shared" si="490"/>
        <v/>
      </c>
      <c r="Y2079" s="375" t="str">
        <f t="shared" si="491"/>
        <v/>
      </c>
      <c r="Z2079" s="374" t="str">
        <f t="shared" si="492"/>
        <v/>
      </c>
      <c r="AA2079" s="374" t="b">
        <f t="shared" si="493"/>
        <v>1</v>
      </c>
      <c r="AB2079" s="374">
        <f>COUNTIFS(B:B,B2079,H:H,'סיווג התפקידים והעלויות'!$C$2)</f>
        <v>0</v>
      </c>
      <c r="AC2079" s="374">
        <f>COUNTIFS(B:B,B2079,H:H,'סיווג התפקידים והעלויות'!$D$2)</f>
        <v>0</v>
      </c>
      <c r="AD2079" s="374" t="str">
        <f>IF(OR(AND(H2079='סיווג התפקידים והעלויות'!$A$2,I2079='סיווג התפקידים והעלויות'!$A$3),'עלויות כח אדם (6)'!H2079='סיווג התפקידים והעלויות'!$C$2,'עלויות כח אדם (6)'!H2079='סיווג התפקידים והעלויות'!$D$2),IF('עלויות כח אדם (6)'!J2079&lt;75,"לא תקין","תקין"),"")</f>
        <v/>
      </c>
      <c r="AE2079" s="374" t="str">
        <f t="shared" si="494"/>
        <v/>
      </c>
      <c r="AF2079" s="532" t="str">
        <f t="shared" si="495"/>
        <v/>
      </c>
    </row>
    <row r="2080" spans="2:32" x14ac:dyDescent="0.25">
      <c r="B2080" s="695"/>
      <c r="C2080" s="197" t="str">
        <f>IF(B2080&lt;&gt;"",IFERROR(VLOOKUP(B:B,'מצבת והרשמה (2)'!$C$20:$N$520,2,0)," ")," ")</f>
        <v xml:space="preserve"> </v>
      </c>
      <c r="D2080" s="695"/>
      <c r="E2080" s="696"/>
      <c r="F2080" s="696"/>
      <c r="G2080" s="696"/>
      <c r="H2080" s="696"/>
      <c r="I2080" s="1050" t="str">
        <f t="shared" si="482"/>
        <v/>
      </c>
      <c r="J2080" s="696"/>
      <c r="K2080" s="697"/>
      <c r="L2080" s="696"/>
      <c r="M2080" s="198" t="str">
        <f t="shared" si="483"/>
        <v/>
      </c>
      <c r="N2080" s="369" t="str">
        <f t="shared" si="484"/>
        <v/>
      </c>
      <c r="O2080" s="183" t="str">
        <f t="shared" si="485"/>
        <v/>
      </c>
      <c r="P2080" s="199" t="str">
        <f t="shared" si="486"/>
        <v/>
      </c>
      <c r="Q2080" s="199" t="str">
        <f>IF(B2080="","",IFERROR(IF('עלויות כח אדם (6)'!J2080&gt;=VLOOKUP(I2080,'סיווג התפקידים והעלויות'!$B$23:$C$32,2,0),"תקין","לא תקין"),""))</f>
        <v/>
      </c>
      <c r="R2080" s="199" t="str">
        <f t="shared" si="487"/>
        <v/>
      </c>
      <c r="S2080" s="199" t="str">
        <f t="shared" si="488"/>
        <v/>
      </c>
      <c r="T2080" s="199" t="str">
        <f t="shared" si="496"/>
        <v/>
      </c>
      <c r="U2080" s="199" t="str">
        <f t="shared" si="489"/>
        <v/>
      </c>
      <c r="V2080" s="989"/>
      <c r="X2080" s="374" t="str">
        <f t="shared" si="490"/>
        <v/>
      </c>
      <c r="Y2080" s="375" t="str">
        <f t="shared" si="491"/>
        <v/>
      </c>
      <c r="Z2080" s="374" t="str">
        <f t="shared" si="492"/>
        <v/>
      </c>
      <c r="AA2080" s="374" t="b">
        <f t="shared" si="493"/>
        <v>1</v>
      </c>
      <c r="AB2080" s="374">
        <f>COUNTIFS(B:B,B2080,H:H,'סיווג התפקידים והעלויות'!$C$2)</f>
        <v>0</v>
      </c>
      <c r="AC2080" s="374">
        <f>COUNTIFS(B:B,B2080,H:H,'סיווג התפקידים והעלויות'!$D$2)</f>
        <v>0</v>
      </c>
      <c r="AD2080" s="374" t="str">
        <f>IF(OR(AND(H2080='סיווג התפקידים והעלויות'!$A$2,I2080='סיווג התפקידים והעלויות'!$A$3),'עלויות כח אדם (6)'!H2080='סיווג התפקידים והעלויות'!$C$2,'עלויות כח אדם (6)'!H2080='סיווג התפקידים והעלויות'!$D$2),IF('עלויות כח אדם (6)'!J2080&lt;75,"לא תקין","תקין"),"")</f>
        <v/>
      </c>
      <c r="AE2080" s="374" t="str">
        <f t="shared" si="494"/>
        <v/>
      </c>
      <c r="AF2080" s="532" t="str">
        <f t="shared" si="495"/>
        <v/>
      </c>
    </row>
    <row r="2081" spans="2:32" x14ac:dyDescent="0.25">
      <c r="B2081" s="695"/>
      <c r="C2081" s="197" t="str">
        <f>IF(B2081&lt;&gt;"",IFERROR(VLOOKUP(B:B,'מצבת והרשמה (2)'!$C$20:$N$520,2,0)," ")," ")</f>
        <v xml:space="preserve"> </v>
      </c>
      <c r="D2081" s="695"/>
      <c r="E2081" s="696"/>
      <c r="F2081" s="696"/>
      <c r="G2081" s="696"/>
      <c r="H2081" s="696"/>
      <c r="I2081" s="1050" t="str">
        <f t="shared" si="482"/>
        <v/>
      </c>
      <c r="J2081" s="696"/>
      <c r="K2081" s="697"/>
      <c r="L2081" s="696"/>
      <c r="M2081" s="198" t="str">
        <f t="shared" si="483"/>
        <v/>
      </c>
      <c r="N2081" s="369" t="str">
        <f t="shared" si="484"/>
        <v/>
      </c>
      <c r="O2081" s="183" t="str">
        <f t="shared" si="485"/>
        <v/>
      </c>
      <c r="P2081" s="199" t="str">
        <f t="shared" si="486"/>
        <v/>
      </c>
      <c r="Q2081" s="199" t="str">
        <f>IF(B2081="","",IFERROR(IF('עלויות כח אדם (6)'!J2081&gt;=VLOOKUP(I2081,'סיווג התפקידים והעלויות'!$B$23:$C$32,2,0),"תקין","לא תקין"),""))</f>
        <v/>
      </c>
      <c r="R2081" s="199" t="str">
        <f t="shared" si="487"/>
        <v/>
      </c>
      <c r="S2081" s="199" t="str">
        <f t="shared" si="488"/>
        <v/>
      </c>
      <c r="T2081" s="199" t="str">
        <f t="shared" si="496"/>
        <v/>
      </c>
      <c r="U2081" s="199" t="str">
        <f t="shared" si="489"/>
        <v/>
      </c>
      <c r="V2081" s="989"/>
      <c r="X2081" s="374" t="str">
        <f t="shared" si="490"/>
        <v/>
      </c>
      <c r="Y2081" s="375" t="str">
        <f t="shared" si="491"/>
        <v/>
      </c>
      <c r="Z2081" s="374" t="str">
        <f t="shared" si="492"/>
        <v/>
      </c>
      <c r="AA2081" s="374" t="b">
        <f t="shared" si="493"/>
        <v>1</v>
      </c>
      <c r="AB2081" s="374">
        <f>COUNTIFS(B:B,B2081,H:H,'סיווג התפקידים והעלויות'!$C$2)</f>
        <v>0</v>
      </c>
      <c r="AC2081" s="374">
        <f>COUNTIFS(B:B,B2081,H:H,'סיווג התפקידים והעלויות'!$D$2)</f>
        <v>0</v>
      </c>
      <c r="AD2081" s="374" t="str">
        <f>IF(OR(AND(H2081='סיווג התפקידים והעלויות'!$A$2,I2081='סיווג התפקידים והעלויות'!$A$3),'עלויות כח אדם (6)'!H2081='סיווג התפקידים והעלויות'!$C$2,'עלויות כח אדם (6)'!H2081='סיווג התפקידים והעלויות'!$D$2),IF('עלויות כח אדם (6)'!J2081&lt;75,"לא תקין","תקין"),"")</f>
        <v/>
      </c>
      <c r="AE2081" s="374" t="str">
        <f t="shared" si="494"/>
        <v/>
      </c>
      <c r="AF2081" s="532" t="str">
        <f t="shared" si="495"/>
        <v/>
      </c>
    </row>
    <row r="2082" spans="2:32" x14ac:dyDescent="0.25">
      <c r="B2082" s="695"/>
      <c r="C2082" s="197" t="str">
        <f>IF(B2082&lt;&gt;"",IFERROR(VLOOKUP(B:B,'מצבת והרשמה (2)'!$C$20:$N$520,2,0)," ")," ")</f>
        <v xml:space="preserve"> </v>
      </c>
      <c r="D2082" s="695"/>
      <c r="E2082" s="696"/>
      <c r="F2082" s="696"/>
      <c r="G2082" s="696"/>
      <c r="H2082" s="696"/>
      <c r="I2082" s="1050" t="str">
        <f t="shared" si="482"/>
        <v/>
      </c>
      <c r="J2082" s="696"/>
      <c r="K2082" s="697"/>
      <c r="L2082" s="696"/>
      <c r="M2082" s="198" t="str">
        <f t="shared" si="483"/>
        <v/>
      </c>
      <c r="N2082" s="369" t="str">
        <f t="shared" si="484"/>
        <v/>
      </c>
      <c r="O2082" s="183" t="str">
        <f t="shared" si="485"/>
        <v/>
      </c>
      <c r="P2082" s="199" t="str">
        <f t="shared" si="486"/>
        <v/>
      </c>
      <c r="Q2082" s="199" t="str">
        <f>IF(B2082="","",IFERROR(IF('עלויות כח אדם (6)'!J2082&gt;=VLOOKUP(I2082,'סיווג התפקידים והעלויות'!$B$23:$C$32,2,0),"תקין","לא תקין"),""))</f>
        <v/>
      </c>
      <c r="R2082" s="199" t="str">
        <f t="shared" si="487"/>
        <v/>
      </c>
      <c r="S2082" s="199" t="str">
        <f t="shared" si="488"/>
        <v/>
      </c>
      <c r="T2082" s="199" t="str">
        <f t="shared" si="496"/>
        <v/>
      </c>
      <c r="U2082" s="199" t="str">
        <f t="shared" si="489"/>
        <v/>
      </c>
      <c r="V2082" s="989"/>
      <c r="X2082" s="374" t="str">
        <f t="shared" si="490"/>
        <v/>
      </c>
      <c r="Y2082" s="375" t="str">
        <f t="shared" si="491"/>
        <v/>
      </c>
      <c r="Z2082" s="374" t="str">
        <f t="shared" si="492"/>
        <v/>
      </c>
      <c r="AA2082" s="374" t="b">
        <f t="shared" si="493"/>
        <v>1</v>
      </c>
      <c r="AB2082" s="374">
        <f>COUNTIFS(B:B,B2082,H:H,'סיווג התפקידים והעלויות'!$C$2)</f>
        <v>0</v>
      </c>
      <c r="AC2082" s="374">
        <f>COUNTIFS(B:B,B2082,H:H,'סיווג התפקידים והעלויות'!$D$2)</f>
        <v>0</v>
      </c>
      <c r="AD2082" s="374" t="str">
        <f>IF(OR(AND(H2082='סיווג התפקידים והעלויות'!$A$2,I2082='סיווג התפקידים והעלויות'!$A$3),'עלויות כח אדם (6)'!H2082='סיווג התפקידים והעלויות'!$C$2,'עלויות כח אדם (6)'!H2082='סיווג התפקידים והעלויות'!$D$2),IF('עלויות כח אדם (6)'!J2082&lt;75,"לא תקין","תקין"),"")</f>
        <v/>
      </c>
      <c r="AE2082" s="374" t="str">
        <f t="shared" si="494"/>
        <v/>
      </c>
      <c r="AF2082" s="532" t="str">
        <f t="shared" si="495"/>
        <v/>
      </c>
    </row>
    <row r="2083" spans="2:32" x14ac:dyDescent="0.25">
      <c r="B2083" s="695"/>
      <c r="C2083" s="197" t="str">
        <f>IF(B2083&lt;&gt;"",IFERROR(VLOOKUP(B:B,'מצבת והרשמה (2)'!$C$20:$N$520,2,0)," ")," ")</f>
        <v xml:space="preserve"> </v>
      </c>
      <c r="D2083" s="695"/>
      <c r="E2083" s="696"/>
      <c r="F2083" s="696"/>
      <c r="G2083" s="696"/>
      <c r="H2083" s="696"/>
      <c r="I2083" s="1050" t="str">
        <f t="shared" si="482"/>
        <v/>
      </c>
      <c r="J2083" s="696"/>
      <c r="K2083" s="697"/>
      <c r="L2083" s="696"/>
      <c r="M2083" s="198" t="str">
        <f t="shared" si="483"/>
        <v/>
      </c>
      <c r="N2083" s="369" t="str">
        <f t="shared" si="484"/>
        <v/>
      </c>
      <c r="O2083" s="183" t="str">
        <f t="shared" si="485"/>
        <v/>
      </c>
      <c r="P2083" s="199" t="str">
        <f t="shared" si="486"/>
        <v/>
      </c>
      <c r="Q2083" s="199" t="str">
        <f>IF(B2083="","",IFERROR(IF('עלויות כח אדם (6)'!J2083&gt;=VLOOKUP(I2083,'סיווג התפקידים והעלויות'!$B$23:$C$32,2,0),"תקין","לא תקין"),""))</f>
        <v/>
      </c>
      <c r="R2083" s="199" t="str">
        <f t="shared" si="487"/>
        <v/>
      </c>
      <c r="S2083" s="199" t="str">
        <f t="shared" si="488"/>
        <v/>
      </c>
      <c r="T2083" s="199" t="str">
        <f t="shared" si="496"/>
        <v/>
      </c>
      <c r="U2083" s="199" t="str">
        <f t="shared" si="489"/>
        <v/>
      </c>
      <c r="V2083" s="989"/>
      <c r="X2083" s="374" t="str">
        <f t="shared" si="490"/>
        <v/>
      </c>
      <c r="Y2083" s="375" t="str">
        <f t="shared" si="491"/>
        <v/>
      </c>
      <c r="Z2083" s="374" t="str">
        <f t="shared" si="492"/>
        <v/>
      </c>
      <c r="AA2083" s="374" t="b">
        <f t="shared" si="493"/>
        <v>1</v>
      </c>
      <c r="AB2083" s="374">
        <f>COUNTIFS(B:B,B2083,H:H,'סיווג התפקידים והעלויות'!$C$2)</f>
        <v>0</v>
      </c>
      <c r="AC2083" s="374">
        <f>COUNTIFS(B:B,B2083,H:H,'סיווג התפקידים והעלויות'!$D$2)</f>
        <v>0</v>
      </c>
      <c r="AD2083" s="374" t="str">
        <f>IF(OR(AND(H2083='סיווג התפקידים והעלויות'!$A$2,I2083='סיווג התפקידים והעלויות'!$A$3),'עלויות כח אדם (6)'!H2083='סיווג התפקידים והעלויות'!$C$2,'עלויות כח אדם (6)'!H2083='סיווג התפקידים והעלויות'!$D$2),IF('עלויות כח אדם (6)'!J2083&lt;75,"לא תקין","תקין"),"")</f>
        <v/>
      </c>
      <c r="AE2083" s="374" t="str">
        <f t="shared" si="494"/>
        <v/>
      </c>
      <c r="AF2083" s="532" t="str">
        <f t="shared" si="495"/>
        <v/>
      </c>
    </row>
    <row r="2084" spans="2:32" x14ac:dyDescent="0.25">
      <c r="B2084" s="695"/>
      <c r="C2084" s="197" t="str">
        <f>IF(B2084&lt;&gt;"",IFERROR(VLOOKUP(B:B,'מצבת והרשמה (2)'!$C$20:$N$520,2,0)," ")," ")</f>
        <v xml:space="preserve"> </v>
      </c>
      <c r="D2084" s="695"/>
      <c r="E2084" s="696"/>
      <c r="F2084" s="696"/>
      <c r="G2084" s="696"/>
      <c r="H2084" s="696"/>
      <c r="I2084" s="1050" t="str">
        <f t="shared" si="482"/>
        <v/>
      </c>
      <c r="J2084" s="696"/>
      <c r="K2084" s="697"/>
      <c r="L2084" s="696"/>
      <c r="M2084" s="198" t="str">
        <f t="shared" si="483"/>
        <v/>
      </c>
      <c r="N2084" s="369" t="str">
        <f t="shared" si="484"/>
        <v/>
      </c>
      <c r="O2084" s="183" t="str">
        <f t="shared" si="485"/>
        <v/>
      </c>
      <c r="P2084" s="199" t="str">
        <f t="shared" si="486"/>
        <v/>
      </c>
      <c r="Q2084" s="199" t="str">
        <f>IF(B2084="","",IFERROR(IF('עלויות כח אדם (6)'!J2084&gt;=VLOOKUP(I2084,'סיווג התפקידים והעלויות'!$B$23:$C$32,2,0),"תקין","לא תקין"),""))</f>
        <v/>
      </c>
      <c r="R2084" s="199" t="str">
        <f t="shared" si="487"/>
        <v/>
      </c>
      <c r="S2084" s="199" t="str">
        <f t="shared" si="488"/>
        <v/>
      </c>
      <c r="T2084" s="199" t="str">
        <f t="shared" si="496"/>
        <v/>
      </c>
      <c r="U2084" s="199" t="str">
        <f t="shared" si="489"/>
        <v/>
      </c>
      <c r="V2084" s="989"/>
      <c r="X2084" s="374" t="str">
        <f t="shared" si="490"/>
        <v/>
      </c>
      <c r="Y2084" s="375" t="str">
        <f t="shared" si="491"/>
        <v/>
      </c>
      <c r="Z2084" s="374" t="str">
        <f t="shared" si="492"/>
        <v/>
      </c>
      <c r="AA2084" s="374" t="b">
        <f t="shared" si="493"/>
        <v>1</v>
      </c>
      <c r="AB2084" s="374">
        <f>COUNTIFS(B:B,B2084,H:H,'סיווג התפקידים והעלויות'!$C$2)</f>
        <v>0</v>
      </c>
      <c r="AC2084" s="374">
        <f>COUNTIFS(B:B,B2084,H:H,'סיווג התפקידים והעלויות'!$D$2)</f>
        <v>0</v>
      </c>
      <c r="AD2084" s="374" t="str">
        <f>IF(OR(AND(H2084='סיווג התפקידים והעלויות'!$A$2,I2084='סיווג התפקידים והעלויות'!$A$3),'עלויות כח אדם (6)'!H2084='סיווג התפקידים והעלויות'!$C$2,'עלויות כח אדם (6)'!H2084='סיווג התפקידים והעלויות'!$D$2),IF('עלויות כח אדם (6)'!J2084&lt;75,"לא תקין","תקין"),"")</f>
        <v/>
      </c>
      <c r="AE2084" s="374" t="str">
        <f t="shared" si="494"/>
        <v/>
      </c>
      <c r="AF2084" s="532" t="str">
        <f t="shared" si="495"/>
        <v/>
      </c>
    </row>
    <row r="2085" spans="2:32" x14ac:dyDescent="0.25">
      <c r="B2085" s="695"/>
      <c r="C2085" s="197" t="str">
        <f>IF(B2085&lt;&gt;"",IFERROR(VLOOKUP(B:B,'מצבת והרשמה (2)'!$C$20:$N$520,2,0)," ")," ")</f>
        <v xml:space="preserve"> </v>
      </c>
      <c r="D2085" s="695"/>
      <c r="E2085" s="696"/>
      <c r="F2085" s="696"/>
      <c r="G2085" s="696"/>
      <c r="H2085" s="696"/>
      <c r="I2085" s="1050" t="str">
        <f t="shared" si="482"/>
        <v/>
      </c>
      <c r="J2085" s="696"/>
      <c r="K2085" s="697"/>
      <c r="L2085" s="696"/>
      <c r="M2085" s="198" t="str">
        <f t="shared" si="483"/>
        <v/>
      </c>
      <c r="N2085" s="369" t="str">
        <f t="shared" si="484"/>
        <v/>
      </c>
      <c r="O2085" s="183" t="str">
        <f t="shared" si="485"/>
        <v/>
      </c>
      <c r="P2085" s="199" t="str">
        <f t="shared" si="486"/>
        <v/>
      </c>
      <c r="Q2085" s="199" t="str">
        <f>IF(B2085="","",IFERROR(IF('עלויות כח אדם (6)'!J2085&gt;=VLOOKUP(I2085,'סיווג התפקידים והעלויות'!$B$23:$C$32,2,0),"תקין","לא תקין"),""))</f>
        <v/>
      </c>
      <c r="R2085" s="199" t="str">
        <f t="shared" si="487"/>
        <v/>
      </c>
      <c r="S2085" s="199" t="str">
        <f t="shared" si="488"/>
        <v/>
      </c>
      <c r="T2085" s="199" t="str">
        <f t="shared" si="496"/>
        <v/>
      </c>
      <c r="U2085" s="199" t="str">
        <f t="shared" si="489"/>
        <v/>
      </c>
      <c r="V2085" s="989"/>
      <c r="X2085" s="374" t="str">
        <f t="shared" si="490"/>
        <v/>
      </c>
      <c r="Y2085" s="375" t="str">
        <f t="shared" si="491"/>
        <v/>
      </c>
      <c r="Z2085" s="374" t="str">
        <f t="shared" si="492"/>
        <v/>
      </c>
      <c r="AA2085" s="374" t="b">
        <f t="shared" si="493"/>
        <v>1</v>
      </c>
      <c r="AB2085" s="374">
        <f>COUNTIFS(B:B,B2085,H:H,'סיווג התפקידים והעלויות'!$C$2)</f>
        <v>0</v>
      </c>
      <c r="AC2085" s="374">
        <f>COUNTIFS(B:B,B2085,H:H,'סיווג התפקידים והעלויות'!$D$2)</f>
        <v>0</v>
      </c>
      <c r="AD2085" s="374" t="str">
        <f>IF(OR(AND(H2085='סיווג התפקידים והעלויות'!$A$2,I2085='סיווג התפקידים והעלויות'!$A$3),'עלויות כח אדם (6)'!H2085='סיווג התפקידים והעלויות'!$C$2,'עלויות כח אדם (6)'!H2085='סיווג התפקידים והעלויות'!$D$2),IF('עלויות כח אדם (6)'!J2085&lt;75,"לא תקין","תקין"),"")</f>
        <v/>
      </c>
      <c r="AE2085" s="374" t="str">
        <f t="shared" si="494"/>
        <v/>
      </c>
      <c r="AF2085" s="532" t="str">
        <f t="shared" si="495"/>
        <v/>
      </c>
    </row>
    <row r="2086" spans="2:32" x14ac:dyDescent="0.25">
      <c r="B2086" s="695"/>
      <c r="C2086" s="197" t="str">
        <f>IF(B2086&lt;&gt;"",IFERROR(VLOOKUP(B:B,'מצבת והרשמה (2)'!$C$20:$N$520,2,0)," ")," ")</f>
        <v xml:space="preserve"> </v>
      </c>
      <c r="D2086" s="695"/>
      <c r="E2086" s="696"/>
      <c r="F2086" s="696"/>
      <c r="G2086" s="696"/>
      <c r="H2086" s="696"/>
      <c r="I2086" s="1050" t="str">
        <f t="shared" si="482"/>
        <v/>
      </c>
      <c r="J2086" s="696"/>
      <c r="K2086" s="697"/>
      <c r="L2086" s="696"/>
      <c r="M2086" s="198" t="str">
        <f t="shared" si="483"/>
        <v/>
      </c>
      <c r="N2086" s="369" t="str">
        <f t="shared" si="484"/>
        <v/>
      </c>
      <c r="O2086" s="183" t="str">
        <f t="shared" si="485"/>
        <v/>
      </c>
      <c r="P2086" s="199" t="str">
        <f t="shared" si="486"/>
        <v/>
      </c>
      <c r="Q2086" s="199" t="str">
        <f>IF(B2086="","",IFERROR(IF('עלויות כח אדם (6)'!J2086&gt;=VLOOKUP(I2086,'סיווג התפקידים והעלויות'!$B$23:$C$32,2,0),"תקין","לא תקין"),""))</f>
        <v/>
      </c>
      <c r="R2086" s="199" t="str">
        <f t="shared" si="487"/>
        <v/>
      </c>
      <c r="S2086" s="199" t="str">
        <f t="shared" si="488"/>
        <v/>
      </c>
      <c r="T2086" s="199" t="str">
        <f t="shared" si="496"/>
        <v/>
      </c>
      <c r="U2086" s="199" t="str">
        <f t="shared" si="489"/>
        <v/>
      </c>
      <c r="V2086" s="989"/>
      <c r="X2086" s="374" t="str">
        <f t="shared" si="490"/>
        <v/>
      </c>
      <c r="Y2086" s="375" t="str">
        <f t="shared" si="491"/>
        <v/>
      </c>
      <c r="Z2086" s="374" t="str">
        <f t="shared" si="492"/>
        <v/>
      </c>
      <c r="AA2086" s="374" t="b">
        <f t="shared" si="493"/>
        <v>1</v>
      </c>
      <c r="AB2086" s="374">
        <f>COUNTIFS(B:B,B2086,H:H,'סיווג התפקידים והעלויות'!$C$2)</f>
        <v>0</v>
      </c>
      <c r="AC2086" s="374">
        <f>COUNTIFS(B:B,B2086,H:H,'סיווג התפקידים והעלויות'!$D$2)</f>
        <v>0</v>
      </c>
      <c r="AD2086" s="374" t="str">
        <f>IF(OR(AND(H2086='סיווג התפקידים והעלויות'!$A$2,I2086='סיווג התפקידים והעלויות'!$A$3),'עלויות כח אדם (6)'!H2086='סיווג התפקידים והעלויות'!$C$2,'עלויות כח אדם (6)'!H2086='סיווג התפקידים והעלויות'!$D$2),IF('עלויות כח אדם (6)'!J2086&lt;75,"לא תקין","תקין"),"")</f>
        <v/>
      </c>
      <c r="AE2086" s="374" t="str">
        <f t="shared" si="494"/>
        <v/>
      </c>
      <c r="AF2086" s="532" t="str">
        <f t="shared" si="495"/>
        <v/>
      </c>
    </row>
    <row r="2087" spans="2:32" x14ac:dyDescent="0.25">
      <c r="B2087" s="695"/>
      <c r="C2087" s="197" t="str">
        <f>IF(B2087&lt;&gt;"",IFERROR(VLOOKUP(B:B,'מצבת והרשמה (2)'!$C$20:$N$520,2,0)," ")," ")</f>
        <v xml:space="preserve"> </v>
      </c>
      <c r="D2087" s="695"/>
      <c r="E2087" s="696"/>
      <c r="F2087" s="696"/>
      <c r="G2087" s="696"/>
      <c r="H2087" s="696"/>
      <c r="I2087" s="1050" t="str">
        <f t="shared" si="482"/>
        <v/>
      </c>
      <c r="J2087" s="696"/>
      <c r="K2087" s="697"/>
      <c r="L2087" s="696"/>
      <c r="M2087" s="198" t="str">
        <f t="shared" si="483"/>
        <v/>
      </c>
      <c r="N2087" s="369" t="str">
        <f t="shared" si="484"/>
        <v/>
      </c>
      <c r="O2087" s="183" t="str">
        <f t="shared" si="485"/>
        <v/>
      </c>
      <c r="P2087" s="199" t="str">
        <f t="shared" si="486"/>
        <v/>
      </c>
      <c r="Q2087" s="199" t="str">
        <f>IF(B2087="","",IFERROR(IF('עלויות כח אדם (6)'!J2087&gt;=VLOOKUP(I2087,'סיווג התפקידים והעלויות'!$B$23:$C$32,2,0),"תקין","לא תקין"),""))</f>
        <v/>
      </c>
      <c r="R2087" s="199" t="str">
        <f t="shared" si="487"/>
        <v/>
      </c>
      <c r="S2087" s="199" t="str">
        <f t="shared" si="488"/>
        <v/>
      </c>
      <c r="T2087" s="199" t="str">
        <f t="shared" si="496"/>
        <v/>
      </c>
      <c r="U2087" s="199" t="str">
        <f t="shared" si="489"/>
        <v/>
      </c>
      <c r="V2087" s="989"/>
      <c r="X2087" s="374" t="str">
        <f t="shared" si="490"/>
        <v/>
      </c>
      <c r="Y2087" s="375" t="str">
        <f t="shared" si="491"/>
        <v/>
      </c>
      <c r="Z2087" s="374" t="str">
        <f t="shared" si="492"/>
        <v/>
      </c>
      <c r="AA2087" s="374" t="b">
        <f t="shared" si="493"/>
        <v>1</v>
      </c>
      <c r="AB2087" s="374">
        <f>COUNTIFS(B:B,B2087,H:H,'סיווג התפקידים והעלויות'!$C$2)</f>
        <v>0</v>
      </c>
      <c r="AC2087" s="374">
        <f>COUNTIFS(B:B,B2087,H:H,'סיווג התפקידים והעלויות'!$D$2)</f>
        <v>0</v>
      </c>
      <c r="AD2087" s="374" t="str">
        <f>IF(OR(AND(H2087='סיווג התפקידים והעלויות'!$A$2,I2087='סיווג התפקידים והעלויות'!$A$3),'עלויות כח אדם (6)'!H2087='סיווג התפקידים והעלויות'!$C$2,'עלויות כח אדם (6)'!H2087='סיווג התפקידים והעלויות'!$D$2),IF('עלויות כח אדם (6)'!J2087&lt;75,"לא תקין","תקין"),"")</f>
        <v/>
      </c>
      <c r="AE2087" s="374" t="str">
        <f t="shared" si="494"/>
        <v/>
      </c>
      <c r="AF2087" s="532" t="str">
        <f t="shared" si="495"/>
        <v/>
      </c>
    </row>
    <row r="2088" spans="2:32" x14ac:dyDescent="0.25">
      <c r="B2088" s="695"/>
      <c r="C2088" s="197" t="str">
        <f>IF(B2088&lt;&gt;"",IFERROR(VLOOKUP(B:B,'מצבת והרשמה (2)'!$C$20:$N$520,2,0)," ")," ")</f>
        <v xml:space="preserve"> </v>
      </c>
      <c r="D2088" s="695"/>
      <c r="E2088" s="696"/>
      <c r="F2088" s="696"/>
      <c r="G2088" s="696"/>
      <c r="H2088" s="696"/>
      <c r="I2088" s="1050" t="str">
        <f t="shared" si="482"/>
        <v/>
      </c>
      <c r="J2088" s="696"/>
      <c r="K2088" s="697"/>
      <c r="L2088" s="696"/>
      <c r="M2088" s="198" t="str">
        <f t="shared" si="483"/>
        <v/>
      </c>
      <c r="N2088" s="369" t="str">
        <f t="shared" si="484"/>
        <v/>
      </c>
      <c r="O2088" s="183" t="str">
        <f t="shared" si="485"/>
        <v/>
      </c>
      <c r="P2088" s="199" t="str">
        <f t="shared" si="486"/>
        <v/>
      </c>
      <c r="Q2088" s="199" t="str">
        <f>IF(B2088="","",IFERROR(IF('עלויות כח אדם (6)'!J2088&gt;=VLOOKUP(I2088,'סיווג התפקידים והעלויות'!$B$23:$C$32,2,0),"תקין","לא תקין"),""))</f>
        <v/>
      </c>
      <c r="R2088" s="199" t="str">
        <f t="shared" si="487"/>
        <v/>
      </c>
      <c r="S2088" s="199" t="str">
        <f t="shared" si="488"/>
        <v/>
      </c>
      <c r="T2088" s="199" t="str">
        <f t="shared" si="496"/>
        <v/>
      </c>
      <c r="U2088" s="199" t="str">
        <f t="shared" si="489"/>
        <v/>
      </c>
      <c r="V2088" s="989"/>
      <c r="X2088" s="374" t="str">
        <f t="shared" si="490"/>
        <v/>
      </c>
      <c r="Y2088" s="375" t="str">
        <f t="shared" si="491"/>
        <v/>
      </c>
      <c r="Z2088" s="374" t="str">
        <f t="shared" si="492"/>
        <v/>
      </c>
      <c r="AA2088" s="374" t="b">
        <f t="shared" si="493"/>
        <v>1</v>
      </c>
      <c r="AB2088" s="374">
        <f>COUNTIFS(B:B,B2088,H:H,'סיווג התפקידים והעלויות'!$C$2)</f>
        <v>0</v>
      </c>
      <c r="AC2088" s="374">
        <f>COUNTIFS(B:B,B2088,H:H,'סיווג התפקידים והעלויות'!$D$2)</f>
        <v>0</v>
      </c>
      <c r="AD2088" s="374" t="str">
        <f>IF(OR(AND(H2088='סיווג התפקידים והעלויות'!$A$2,I2088='סיווג התפקידים והעלויות'!$A$3),'עלויות כח אדם (6)'!H2088='סיווג התפקידים והעלויות'!$C$2,'עלויות כח אדם (6)'!H2088='סיווג התפקידים והעלויות'!$D$2),IF('עלויות כח אדם (6)'!J2088&lt;75,"לא תקין","תקין"),"")</f>
        <v/>
      </c>
      <c r="AE2088" s="374" t="str">
        <f t="shared" si="494"/>
        <v/>
      </c>
      <c r="AF2088" s="532" t="str">
        <f t="shared" si="495"/>
        <v/>
      </c>
    </row>
    <row r="2089" spans="2:32" x14ac:dyDescent="0.25">
      <c r="B2089" s="695"/>
      <c r="C2089" s="197" t="str">
        <f>IF(B2089&lt;&gt;"",IFERROR(VLOOKUP(B:B,'מצבת והרשמה (2)'!$C$20:$N$520,2,0)," ")," ")</f>
        <v xml:space="preserve"> </v>
      </c>
      <c r="D2089" s="695"/>
      <c r="E2089" s="696"/>
      <c r="F2089" s="696"/>
      <c r="G2089" s="696"/>
      <c r="H2089" s="696"/>
      <c r="I2089" s="1050" t="str">
        <f t="shared" si="482"/>
        <v/>
      </c>
      <c r="J2089" s="696"/>
      <c r="K2089" s="697"/>
      <c r="L2089" s="696"/>
      <c r="M2089" s="198" t="str">
        <f t="shared" si="483"/>
        <v/>
      </c>
      <c r="N2089" s="369" t="str">
        <f t="shared" si="484"/>
        <v/>
      </c>
      <c r="O2089" s="183" t="str">
        <f t="shared" si="485"/>
        <v/>
      </c>
      <c r="P2089" s="199" t="str">
        <f t="shared" si="486"/>
        <v/>
      </c>
      <c r="Q2089" s="199" t="str">
        <f>IF(B2089="","",IFERROR(IF('עלויות כח אדם (6)'!J2089&gt;=VLOOKUP(I2089,'סיווג התפקידים והעלויות'!$B$23:$C$32,2,0),"תקין","לא תקין"),""))</f>
        <v/>
      </c>
      <c r="R2089" s="199" t="str">
        <f t="shared" si="487"/>
        <v/>
      </c>
      <c r="S2089" s="199" t="str">
        <f t="shared" si="488"/>
        <v/>
      </c>
      <c r="T2089" s="199" t="str">
        <f t="shared" si="496"/>
        <v/>
      </c>
      <c r="U2089" s="199" t="str">
        <f t="shared" si="489"/>
        <v/>
      </c>
      <c r="V2089" s="989"/>
      <c r="X2089" s="374" t="str">
        <f t="shared" si="490"/>
        <v/>
      </c>
      <c r="Y2089" s="375" t="str">
        <f t="shared" si="491"/>
        <v/>
      </c>
      <c r="Z2089" s="374" t="str">
        <f t="shared" si="492"/>
        <v/>
      </c>
      <c r="AA2089" s="374" t="b">
        <f t="shared" si="493"/>
        <v>1</v>
      </c>
      <c r="AB2089" s="374">
        <f>COUNTIFS(B:B,B2089,H:H,'סיווג התפקידים והעלויות'!$C$2)</f>
        <v>0</v>
      </c>
      <c r="AC2089" s="374">
        <f>COUNTIFS(B:B,B2089,H:H,'סיווג התפקידים והעלויות'!$D$2)</f>
        <v>0</v>
      </c>
      <c r="AD2089" s="374" t="str">
        <f>IF(OR(AND(H2089='סיווג התפקידים והעלויות'!$A$2,I2089='סיווג התפקידים והעלויות'!$A$3),'עלויות כח אדם (6)'!H2089='סיווג התפקידים והעלויות'!$C$2,'עלויות כח אדם (6)'!H2089='סיווג התפקידים והעלויות'!$D$2),IF('עלויות כח אדם (6)'!J2089&lt;75,"לא תקין","תקין"),"")</f>
        <v/>
      </c>
      <c r="AE2089" s="374" t="str">
        <f t="shared" si="494"/>
        <v/>
      </c>
      <c r="AF2089" s="532" t="str">
        <f t="shared" si="495"/>
        <v/>
      </c>
    </row>
    <row r="2090" spans="2:32" x14ac:dyDescent="0.25">
      <c r="B2090" s="695"/>
      <c r="C2090" s="197" t="str">
        <f>IF(B2090&lt;&gt;"",IFERROR(VLOOKUP(B:B,'מצבת והרשמה (2)'!$C$20:$N$520,2,0)," ")," ")</f>
        <v xml:space="preserve"> </v>
      </c>
      <c r="D2090" s="695"/>
      <c r="E2090" s="696"/>
      <c r="F2090" s="696"/>
      <c r="G2090" s="696"/>
      <c r="H2090" s="696"/>
      <c r="I2090" s="1050" t="str">
        <f t="shared" si="482"/>
        <v/>
      </c>
      <c r="J2090" s="696"/>
      <c r="K2090" s="697"/>
      <c r="L2090" s="696"/>
      <c r="M2090" s="198" t="str">
        <f t="shared" si="483"/>
        <v/>
      </c>
      <c r="N2090" s="369" t="str">
        <f t="shared" si="484"/>
        <v/>
      </c>
      <c r="O2090" s="183" t="str">
        <f t="shared" si="485"/>
        <v/>
      </c>
      <c r="P2090" s="199" t="str">
        <f t="shared" si="486"/>
        <v/>
      </c>
      <c r="Q2090" s="199" t="str">
        <f>IF(B2090="","",IFERROR(IF('עלויות כח אדם (6)'!J2090&gt;=VLOOKUP(I2090,'סיווג התפקידים והעלויות'!$B$23:$C$32,2,0),"תקין","לא תקין"),""))</f>
        <v/>
      </c>
      <c r="R2090" s="199" t="str">
        <f t="shared" si="487"/>
        <v/>
      </c>
      <c r="S2090" s="199" t="str">
        <f t="shared" si="488"/>
        <v/>
      </c>
      <c r="T2090" s="199" t="str">
        <f t="shared" si="496"/>
        <v/>
      </c>
      <c r="U2090" s="199" t="str">
        <f t="shared" si="489"/>
        <v/>
      </c>
      <c r="V2090" s="989"/>
      <c r="X2090" s="374" t="str">
        <f t="shared" si="490"/>
        <v/>
      </c>
      <c r="Y2090" s="375" t="str">
        <f t="shared" si="491"/>
        <v/>
      </c>
      <c r="Z2090" s="374" t="str">
        <f t="shared" si="492"/>
        <v/>
      </c>
      <c r="AA2090" s="374" t="b">
        <f t="shared" si="493"/>
        <v>1</v>
      </c>
      <c r="AB2090" s="374">
        <f>COUNTIFS(B:B,B2090,H:H,'סיווג התפקידים והעלויות'!$C$2)</f>
        <v>0</v>
      </c>
      <c r="AC2090" s="374">
        <f>COUNTIFS(B:B,B2090,H:H,'סיווג התפקידים והעלויות'!$D$2)</f>
        <v>0</v>
      </c>
      <c r="AD2090" s="374" t="str">
        <f>IF(OR(AND(H2090='סיווג התפקידים והעלויות'!$A$2,I2090='סיווג התפקידים והעלויות'!$A$3),'עלויות כח אדם (6)'!H2090='סיווג התפקידים והעלויות'!$C$2,'עלויות כח אדם (6)'!H2090='סיווג התפקידים והעלויות'!$D$2),IF('עלויות כח אדם (6)'!J2090&lt;75,"לא תקין","תקין"),"")</f>
        <v/>
      </c>
      <c r="AE2090" s="374" t="str">
        <f t="shared" si="494"/>
        <v/>
      </c>
      <c r="AF2090" s="532" t="str">
        <f t="shared" si="495"/>
        <v/>
      </c>
    </row>
    <row r="2091" spans="2:32" x14ac:dyDescent="0.25">
      <c r="B2091" s="695"/>
      <c r="C2091" s="197" t="str">
        <f>IF(B2091&lt;&gt;"",IFERROR(VLOOKUP(B:B,'מצבת והרשמה (2)'!$C$20:$N$520,2,0)," ")," ")</f>
        <v xml:space="preserve"> </v>
      </c>
      <c r="D2091" s="695"/>
      <c r="E2091" s="696"/>
      <c r="F2091" s="696"/>
      <c r="G2091" s="696"/>
      <c r="H2091" s="696"/>
      <c r="I2091" s="1050" t="str">
        <f t="shared" si="482"/>
        <v/>
      </c>
      <c r="J2091" s="696"/>
      <c r="K2091" s="697"/>
      <c r="L2091" s="696"/>
      <c r="M2091" s="198" t="str">
        <f t="shared" si="483"/>
        <v/>
      </c>
      <c r="N2091" s="369" t="str">
        <f t="shared" si="484"/>
        <v/>
      </c>
      <c r="O2091" s="183" t="str">
        <f t="shared" si="485"/>
        <v/>
      </c>
      <c r="P2091" s="199" t="str">
        <f t="shared" si="486"/>
        <v/>
      </c>
      <c r="Q2091" s="199" t="str">
        <f>IF(B2091="","",IFERROR(IF('עלויות כח אדם (6)'!J2091&gt;=VLOOKUP(I2091,'סיווג התפקידים והעלויות'!$B$23:$C$32,2,0),"תקין","לא תקין"),""))</f>
        <v/>
      </c>
      <c r="R2091" s="199" t="str">
        <f t="shared" si="487"/>
        <v/>
      </c>
      <c r="S2091" s="199" t="str">
        <f t="shared" si="488"/>
        <v/>
      </c>
      <c r="T2091" s="199" t="str">
        <f t="shared" si="496"/>
        <v/>
      </c>
      <c r="U2091" s="199" t="str">
        <f t="shared" si="489"/>
        <v/>
      </c>
      <c r="V2091" s="989"/>
      <c r="X2091" s="374" t="str">
        <f t="shared" si="490"/>
        <v/>
      </c>
      <c r="Y2091" s="375" t="str">
        <f t="shared" si="491"/>
        <v/>
      </c>
      <c r="Z2091" s="374" t="str">
        <f t="shared" si="492"/>
        <v/>
      </c>
      <c r="AA2091" s="374" t="b">
        <f t="shared" si="493"/>
        <v>1</v>
      </c>
      <c r="AB2091" s="374">
        <f>COUNTIFS(B:B,B2091,H:H,'סיווג התפקידים והעלויות'!$C$2)</f>
        <v>0</v>
      </c>
      <c r="AC2091" s="374">
        <f>COUNTIFS(B:B,B2091,H:H,'סיווג התפקידים והעלויות'!$D$2)</f>
        <v>0</v>
      </c>
      <c r="AD2091" s="374" t="str">
        <f>IF(OR(AND(H2091='סיווג התפקידים והעלויות'!$A$2,I2091='סיווג התפקידים והעלויות'!$A$3),'עלויות כח אדם (6)'!H2091='סיווג התפקידים והעלויות'!$C$2,'עלויות כח אדם (6)'!H2091='סיווג התפקידים והעלויות'!$D$2),IF('עלויות כח אדם (6)'!J2091&lt;75,"לא תקין","תקין"),"")</f>
        <v/>
      </c>
      <c r="AE2091" s="374" t="str">
        <f t="shared" si="494"/>
        <v/>
      </c>
      <c r="AF2091" s="532" t="str">
        <f t="shared" si="495"/>
        <v/>
      </c>
    </row>
    <row r="2092" spans="2:32" x14ac:dyDescent="0.25">
      <c r="B2092" s="695"/>
      <c r="C2092" s="197" t="str">
        <f>IF(B2092&lt;&gt;"",IFERROR(VLOOKUP(B:B,'מצבת והרשמה (2)'!$C$20:$N$520,2,0)," ")," ")</f>
        <v xml:space="preserve"> </v>
      </c>
      <c r="D2092" s="695"/>
      <c r="E2092" s="696"/>
      <c r="F2092" s="696"/>
      <c r="G2092" s="696"/>
      <c r="H2092" s="696"/>
      <c r="I2092" s="1050" t="str">
        <f t="shared" si="482"/>
        <v/>
      </c>
      <c r="J2092" s="696"/>
      <c r="K2092" s="697"/>
      <c r="L2092" s="696"/>
      <c r="M2092" s="198" t="str">
        <f t="shared" si="483"/>
        <v/>
      </c>
      <c r="N2092" s="369" t="str">
        <f t="shared" si="484"/>
        <v/>
      </c>
      <c r="O2092" s="183" t="str">
        <f t="shared" si="485"/>
        <v/>
      </c>
      <c r="P2092" s="199" t="str">
        <f t="shared" si="486"/>
        <v/>
      </c>
      <c r="Q2092" s="199" t="str">
        <f>IF(B2092="","",IFERROR(IF('עלויות כח אדם (6)'!J2092&gt;=VLOOKUP(I2092,'סיווג התפקידים והעלויות'!$B$23:$C$32,2,0),"תקין","לא תקין"),""))</f>
        <v/>
      </c>
      <c r="R2092" s="199" t="str">
        <f t="shared" si="487"/>
        <v/>
      </c>
      <c r="S2092" s="199" t="str">
        <f t="shared" si="488"/>
        <v/>
      </c>
      <c r="T2092" s="199" t="str">
        <f t="shared" si="496"/>
        <v/>
      </c>
      <c r="U2092" s="199" t="str">
        <f t="shared" si="489"/>
        <v/>
      </c>
      <c r="V2092" s="989"/>
      <c r="X2092" s="374" t="str">
        <f t="shared" si="490"/>
        <v/>
      </c>
      <c r="Y2092" s="375" t="str">
        <f t="shared" si="491"/>
        <v/>
      </c>
      <c r="Z2092" s="374" t="str">
        <f t="shared" si="492"/>
        <v/>
      </c>
      <c r="AA2092" s="374" t="b">
        <f t="shared" si="493"/>
        <v>1</v>
      </c>
      <c r="AB2092" s="374">
        <f>COUNTIFS(B:B,B2092,H:H,'סיווג התפקידים והעלויות'!$C$2)</f>
        <v>0</v>
      </c>
      <c r="AC2092" s="374">
        <f>COUNTIFS(B:B,B2092,H:H,'סיווג התפקידים והעלויות'!$D$2)</f>
        <v>0</v>
      </c>
      <c r="AD2092" s="374" t="str">
        <f>IF(OR(AND(H2092='סיווג התפקידים והעלויות'!$A$2,I2092='סיווג התפקידים והעלויות'!$A$3),'עלויות כח אדם (6)'!H2092='סיווג התפקידים והעלויות'!$C$2,'עלויות כח אדם (6)'!H2092='סיווג התפקידים והעלויות'!$D$2),IF('עלויות כח אדם (6)'!J2092&lt;75,"לא תקין","תקין"),"")</f>
        <v/>
      </c>
      <c r="AE2092" s="374" t="str">
        <f t="shared" si="494"/>
        <v/>
      </c>
      <c r="AF2092" s="532" t="str">
        <f t="shared" si="495"/>
        <v/>
      </c>
    </row>
    <row r="2093" spans="2:32" x14ac:dyDescent="0.25">
      <c r="B2093" s="695"/>
      <c r="C2093" s="197" t="str">
        <f>IF(B2093&lt;&gt;"",IFERROR(VLOOKUP(B:B,'מצבת והרשמה (2)'!$C$20:$N$520,2,0)," ")," ")</f>
        <v xml:space="preserve"> </v>
      </c>
      <c r="D2093" s="695"/>
      <c r="E2093" s="696"/>
      <c r="F2093" s="696"/>
      <c r="G2093" s="696"/>
      <c r="H2093" s="696"/>
      <c r="I2093" s="1050" t="str">
        <f t="shared" si="482"/>
        <v/>
      </c>
      <c r="J2093" s="696"/>
      <c r="K2093" s="697"/>
      <c r="L2093" s="696"/>
      <c r="M2093" s="198" t="str">
        <f t="shared" si="483"/>
        <v/>
      </c>
      <c r="N2093" s="369" t="str">
        <f t="shared" si="484"/>
        <v/>
      </c>
      <c r="O2093" s="183" t="str">
        <f t="shared" si="485"/>
        <v/>
      </c>
      <c r="P2093" s="199" t="str">
        <f t="shared" si="486"/>
        <v/>
      </c>
      <c r="Q2093" s="199" t="str">
        <f>IF(B2093="","",IFERROR(IF('עלויות כח אדם (6)'!J2093&gt;=VLOOKUP(I2093,'סיווג התפקידים והעלויות'!$B$23:$C$32,2,0),"תקין","לא תקין"),""))</f>
        <v/>
      </c>
      <c r="R2093" s="199" t="str">
        <f t="shared" si="487"/>
        <v/>
      </c>
      <c r="S2093" s="199" t="str">
        <f t="shared" si="488"/>
        <v/>
      </c>
      <c r="T2093" s="199" t="str">
        <f t="shared" si="496"/>
        <v/>
      </c>
      <c r="U2093" s="199" t="str">
        <f t="shared" si="489"/>
        <v/>
      </c>
      <c r="V2093" s="989"/>
      <c r="X2093" s="374" t="str">
        <f t="shared" si="490"/>
        <v/>
      </c>
      <c r="Y2093" s="375" t="str">
        <f t="shared" si="491"/>
        <v/>
      </c>
      <c r="Z2093" s="374" t="str">
        <f t="shared" si="492"/>
        <v/>
      </c>
      <c r="AA2093" s="374" t="b">
        <f t="shared" si="493"/>
        <v>1</v>
      </c>
      <c r="AB2093" s="374">
        <f>COUNTIFS(B:B,B2093,H:H,'סיווג התפקידים והעלויות'!$C$2)</f>
        <v>0</v>
      </c>
      <c r="AC2093" s="374">
        <f>COUNTIFS(B:B,B2093,H:H,'סיווג התפקידים והעלויות'!$D$2)</f>
        <v>0</v>
      </c>
      <c r="AD2093" s="374" t="str">
        <f>IF(OR(AND(H2093='סיווג התפקידים והעלויות'!$A$2,I2093='סיווג התפקידים והעלויות'!$A$3),'עלויות כח אדם (6)'!H2093='סיווג התפקידים והעלויות'!$C$2,'עלויות כח אדם (6)'!H2093='סיווג התפקידים והעלויות'!$D$2),IF('עלויות כח אדם (6)'!J2093&lt;75,"לא תקין","תקין"),"")</f>
        <v/>
      </c>
      <c r="AE2093" s="374" t="str">
        <f t="shared" si="494"/>
        <v/>
      </c>
      <c r="AF2093" s="532" t="str">
        <f t="shared" si="495"/>
        <v/>
      </c>
    </row>
    <row r="2094" spans="2:32" x14ac:dyDescent="0.25">
      <c r="B2094" s="695"/>
      <c r="C2094" s="197" t="str">
        <f>IF(B2094&lt;&gt;"",IFERROR(VLOOKUP(B:B,'מצבת והרשמה (2)'!$C$20:$N$520,2,0)," ")," ")</f>
        <v xml:space="preserve"> </v>
      </c>
      <c r="D2094" s="695"/>
      <c r="E2094" s="696"/>
      <c r="F2094" s="696"/>
      <c r="G2094" s="696"/>
      <c r="H2094" s="696"/>
      <c r="I2094" s="1050" t="str">
        <f t="shared" si="482"/>
        <v/>
      </c>
      <c r="J2094" s="696"/>
      <c r="K2094" s="697"/>
      <c r="L2094" s="696"/>
      <c r="M2094" s="198" t="str">
        <f t="shared" si="483"/>
        <v/>
      </c>
      <c r="N2094" s="369" t="str">
        <f t="shared" si="484"/>
        <v/>
      </c>
      <c r="O2094" s="183" t="str">
        <f t="shared" si="485"/>
        <v/>
      </c>
      <c r="P2094" s="199" t="str">
        <f t="shared" si="486"/>
        <v/>
      </c>
      <c r="Q2094" s="199" t="str">
        <f>IF(B2094="","",IFERROR(IF('עלויות כח אדם (6)'!J2094&gt;=VLOOKUP(I2094,'סיווג התפקידים והעלויות'!$B$23:$C$32,2,0),"תקין","לא תקין"),""))</f>
        <v/>
      </c>
      <c r="R2094" s="199" t="str">
        <f t="shared" si="487"/>
        <v/>
      </c>
      <c r="S2094" s="199" t="str">
        <f t="shared" si="488"/>
        <v/>
      </c>
      <c r="T2094" s="199" t="str">
        <f t="shared" si="496"/>
        <v/>
      </c>
      <c r="U2094" s="199" t="str">
        <f t="shared" si="489"/>
        <v/>
      </c>
      <c r="V2094" s="989"/>
      <c r="X2094" s="374" t="str">
        <f t="shared" si="490"/>
        <v/>
      </c>
      <c r="Y2094" s="375" t="str">
        <f t="shared" si="491"/>
        <v/>
      </c>
      <c r="Z2094" s="374" t="str">
        <f t="shared" si="492"/>
        <v/>
      </c>
      <c r="AA2094" s="374" t="b">
        <f t="shared" si="493"/>
        <v>1</v>
      </c>
      <c r="AB2094" s="374">
        <f>COUNTIFS(B:B,B2094,H:H,'סיווג התפקידים והעלויות'!$C$2)</f>
        <v>0</v>
      </c>
      <c r="AC2094" s="374">
        <f>COUNTIFS(B:B,B2094,H:H,'סיווג התפקידים והעלויות'!$D$2)</f>
        <v>0</v>
      </c>
      <c r="AD2094" s="374" t="str">
        <f>IF(OR(AND(H2094='סיווג התפקידים והעלויות'!$A$2,I2094='סיווג התפקידים והעלויות'!$A$3),'עלויות כח אדם (6)'!H2094='סיווג התפקידים והעלויות'!$C$2,'עלויות כח אדם (6)'!H2094='סיווג התפקידים והעלויות'!$D$2),IF('עלויות כח אדם (6)'!J2094&lt;75,"לא תקין","תקין"),"")</f>
        <v/>
      </c>
      <c r="AE2094" s="374" t="str">
        <f t="shared" si="494"/>
        <v/>
      </c>
      <c r="AF2094" s="532" t="str">
        <f t="shared" si="495"/>
        <v/>
      </c>
    </row>
    <row r="2095" spans="2:32" x14ac:dyDescent="0.25">
      <c r="B2095" s="695"/>
      <c r="C2095" s="197" t="str">
        <f>IF(B2095&lt;&gt;"",IFERROR(VLOOKUP(B:B,'מצבת והרשמה (2)'!$C$20:$N$520,2,0)," ")," ")</f>
        <v xml:space="preserve"> </v>
      </c>
      <c r="D2095" s="695"/>
      <c r="E2095" s="696"/>
      <c r="F2095" s="696"/>
      <c r="G2095" s="696"/>
      <c r="H2095" s="696"/>
      <c r="I2095" s="1050" t="str">
        <f t="shared" si="482"/>
        <v/>
      </c>
      <c r="J2095" s="696"/>
      <c r="K2095" s="697"/>
      <c r="L2095" s="696"/>
      <c r="M2095" s="198" t="str">
        <f t="shared" si="483"/>
        <v/>
      </c>
      <c r="N2095" s="369" t="str">
        <f t="shared" si="484"/>
        <v/>
      </c>
      <c r="O2095" s="183" t="str">
        <f t="shared" si="485"/>
        <v/>
      </c>
      <c r="P2095" s="199" t="str">
        <f t="shared" si="486"/>
        <v/>
      </c>
      <c r="Q2095" s="199" t="str">
        <f>IF(B2095="","",IFERROR(IF('עלויות כח אדם (6)'!J2095&gt;=VLOOKUP(I2095,'סיווג התפקידים והעלויות'!$B$23:$C$32,2,0),"תקין","לא תקין"),""))</f>
        <v/>
      </c>
      <c r="R2095" s="199" t="str">
        <f t="shared" si="487"/>
        <v/>
      </c>
      <c r="S2095" s="199" t="str">
        <f t="shared" si="488"/>
        <v/>
      </c>
      <c r="T2095" s="199" t="str">
        <f t="shared" si="496"/>
        <v/>
      </c>
      <c r="U2095" s="199" t="str">
        <f t="shared" si="489"/>
        <v/>
      </c>
      <c r="V2095" s="989"/>
      <c r="X2095" s="374" t="str">
        <f t="shared" si="490"/>
        <v/>
      </c>
      <c r="Y2095" s="375" t="str">
        <f t="shared" si="491"/>
        <v/>
      </c>
      <c r="Z2095" s="374" t="str">
        <f t="shared" si="492"/>
        <v/>
      </c>
      <c r="AA2095" s="374" t="b">
        <f t="shared" si="493"/>
        <v>1</v>
      </c>
      <c r="AB2095" s="374">
        <f>COUNTIFS(B:B,B2095,H:H,'סיווג התפקידים והעלויות'!$C$2)</f>
        <v>0</v>
      </c>
      <c r="AC2095" s="374">
        <f>COUNTIFS(B:B,B2095,H:H,'סיווג התפקידים והעלויות'!$D$2)</f>
        <v>0</v>
      </c>
      <c r="AD2095" s="374" t="str">
        <f>IF(OR(AND(H2095='סיווג התפקידים והעלויות'!$A$2,I2095='סיווג התפקידים והעלויות'!$A$3),'עלויות כח אדם (6)'!H2095='סיווג התפקידים והעלויות'!$C$2,'עלויות כח אדם (6)'!H2095='סיווג התפקידים והעלויות'!$D$2),IF('עלויות כח אדם (6)'!J2095&lt;75,"לא תקין","תקין"),"")</f>
        <v/>
      </c>
      <c r="AE2095" s="374" t="str">
        <f t="shared" si="494"/>
        <v/>
      </c>
      <c r="AF2095" s="532" t="str">
        <f t="shared" si="495"/>
        <v/>
      </c>
    </row>
    <row r="2096" spans="2:32" x14ac:dyDescent="0.25">
      <c r="B2096" s="695"/>
      <c r="C2096" s="197" t="str">
        <f>IF(B2096&lt;&gt;"",IFERROR(VLOOKUP(B:B,'מצבת והרשמה (2)'!$C$20:$N$520,2,0)," ")," ")</f>
        <v xml:space="preserve"> </v>
      </c>
      <c r="D2096" s="695"/>
      <c r="E2096" s="696"/>
      <c r="F2096" s="696"/>
      <c r="G2096" s="696"/>
      <c r="H2096" s="696"/>
      <c r="I2096" s="1050" t="str">
        <f t="shared" si="482"/>
        <v/>
      </c>
      <c r="J2096" s="696"/>
      <c r="K2096" s="697"/>
      <c r="L2096" s="696"/>
      <c r="M2096" s="198" t="str">
        <f t="shared" si="483"/>
        <v/>
      </c>
      <c r="N2096" s="369" t="str">
        <f t="shared" si="484"/>
        <v/>
      </c>
      <c r="O2096" s="183" t="str">
        <f t="shared" si="485"/>
        <v/>
      </c>
      <c r="P2096" s="199" t="str">
        <f t="shared" si="486"/>
        <v/>
      </c>
      <c r="Q2096" s="199" t="str">
        <f>IF(B2096="","",IFERROR(IF('עלויות כח אדם (6)'!J2096&gt;=VLOOKUP(I2096,'סיווג התפקידים והעלויות'!$B$23:$C$32,2,0),"תקין","לא תקין"),""))</f>
        <v/>
      </c>
      <c r="R2096" s="199" t="str">
        <f t="shared" si="487"/>
        <v/>
      </c>
      <c r="S2096" s="199" t="str">
        <f t="shared" si="488"/>
        <v/>
      </c>
      <c r="T2096" s="199" t="str">
        <f t="shared" si="496"/>
        <v/>
      </c>
      <c r="U2096" s="199" t="str">
        <f t="shared" si="489"/>
        <v/>
      </c>
      <c r="V2096" s="989"/>
      <c r="X2096" s="374" t="str">
        <f t="shared" si="490"/>
        <v/>
      </c>
      <c r="Y2096" s="375" t="str">
        <f t="shared" si="491"/>
        <v/>
      </c>
      <c r="Z2096" s="374" t="str">
        <f t="shared" si="492"/>
        <v/>
      </c>
      <c r="AA2096" s="374" t="b">
        <f t="shared" si="493"/>
        <v>1</v>
      </c>
      <c r="AB2096" s="374">
        <f>COUNTIFS(B:B,B2096,H:H,'סיווג התפקידים והעלויות'!$C$2)</f>
        <v>0</v>
      </c>
      <c r="AC2096" s="374">
        <f>COUNTIFS(B:B,B2096,H:H,'סיווג התפקידים והעלויות'!$D$2)</f>
        <v>0</v>
      </c>
      <c r="AD2096" s="374" t="str">
        <f>IF(OR(AND(H2096='סיווג התפקידים והעלויות'!$A$2,I2096='סיווג התפקידים והעלויות'!$A$3),'עלויות כח אדם (6)'!H2096='סיווג התפקידים והעלויות'!$C$2,'עלויות כח אדם (6)'!H2096='סיווג התפקידים והעלויות'!$D$2),IF('עלויות כח אדם (6)'!J2096&lt;75,"לא תקין","תקין"),"")</f>
        <v/>
      </c>
      <c r="AE2096" s="374" t="str">
        <f t="shared" si="494"/>
        <v/>
      </c>
      <c r="AF2096" s="532" t="str">
        <f t="shared" si="495"/>
        <v/>
      </c>
    </row>
    <row r="2097" spans="2:32" x14ac:dyDescent="0.25">
      <c r="B2097" s="695"/>
      <c r="C2097" s="197" t="str">
        <f>IF(B2097&lt;&gt;"",IFERROR(VLOOKUP(B:B,'מצבת והרשמה (2)'!$C$20:$N$520,2,0)," ")," ")</f>
        <v xml:space="preserve"> </v>
      </c>
      <c r="D2097" s="695"/>
      <c r="E2097" s="696"/>
      <c r="F2097" s="696"/>
      <c r="G2097" s="696"/>
      <c r="H2097" s="696"/>
      <c r="I2097" s="1050" t="str">
        <f t="shared" si="482"/>
        <v/>
      </c>
      <c r="J2097" s="696"/>
      <c r="K2097" s="697"/>
      <c r="L2097" s="696"/>
      <c r="M2097" s="198" t="str">
        <f t="shared" si="483"/>
        <v/>
      </c>
      <c r="N2097" s="369" t="str">
        <f t="shared" si="484"/>
        <v/>
      </c>
      <c r="O2097" s="183" t="str">
        <f t="shared" si="485"/>
        <v/>
      </c>
      <c r="P2097" s="199" t="str">
        <f t="shared" si="486"/>
        <v/>
      </c>
      <c r="Q2097" s="199" t="str">
        <f>IF(B2097="","",IFERROR(IF('עלויות כח אדם (6)'!J2097&gt;=VLOOKUP(I2097,'סיווג התפקידים והעלויות'!$B$23:$C$32,2,0),"תקין","לא תקין"),""))</f>
        <v/>
      </c>
      <c r="R2097" s="199" t="str">
        <f t="shared" si="487"/>
        <v/>
      </c>
      <c r="S2097" s="199" t="str">
        <f t="shared" si="488"/>
        <v/>
      </c>
      <c r="T2097" s="199" t="str">
        <f t="shared" si="496"/>
        <v/>
      </c>
      <c r="U2097" s="199" t="str">
        <f t="shared" si="489"/>
        <v/>
      </c>
      <c r="V2097" s="989"/>
      <c r="X2097" s="374" t="str">
        <f t="shared" si="490"/>
        <v/>
      </c>
      <c r="Y2097" s="375" t="str">
        <f t="shared" si="491"/>
        <v/>
      </c>
      <c r="Z2097" s="374" t="str">
        <f t="shared" si="492"/>
        <v/>
      </c>
      <c r="AA2097" s="374" t="b">
        <f t="shared" si="493"/>
        <v>1</v>
      </c>
      <c r="AB2097" s="374">
        <f>COUNTIFS(B:B,B2097,H:H,'סיווג התפקידים והעלויות'!$C$2)</f>
        <v>0</v>
      </c>
      <c r="AC2097" s="374">
        <f>COUNTIFS(B:B,B2097,H:H,'סיווג התפקידים והעלויות'!$D$2)</f>
        <v>0</v>
      </c>
      <c r="AD2097" s="374" t="str">
        <f>IF(OR(AND(H2097='סיווג התפקידים והעלויות'!$A$2,I2097='סיווג התפקידים והעלויות'!$A$3),'עלויות כח אדם (6)'!H2097='סיווג התפקידים והעלויות'!$C$2,'עלויות כח אדם (6)'!H2097='סיווג התפקידים והעלויות'!$D$2),IF('עלויות כח אדם (6)'!J2097&lt;75,"לא תקין","תקין"),"")</f>
        <v/>
      </c>
      <c r="AE2097" s="374" t="str">
        <f t="shared" si="494"/>
        <v/>
      </c>
      <c r="AF2097" s="532" t="str">
        <f t="shared" si="495"/>
        <v/>
      </c>
    </row>
    <row r="2098" spans="2:32" x14ac:dyDescent="0.25">
      <c r="B2098" s="695"/>
      <c r="C2098" s="197" t="str">
        <f>IF(B2098&lt;&gt;"",IFERROR(VLOOKUP(B:B,'מצבת והרשמה (2)'!$C$20:$N$520,2,0)," ")," ")</f>
        <v xml:space="preserve"> </v>
      </c>
      <c r="D2098" s="695"/>
      <c r="E2098" s="696"/>
      <c r="F2098" s="696"/>
      <c r="G2098" s="696"/>
      <c r="H2098" s="696"/>
      <c r="I2098" s="1050" t="str">
        <f t="shared" si="482"/>
        <v/>
      </c>
      <c r="J2098" s="696"/>
      <c r="K2098" s="697"/>
      <c r="L2098" s="696"/>
      <c r="M2098" s="198" t="str">
        <f t="shared" si="483"/>
        <v/>
      </c>
      <c r="N2098" s="369" t="str">
        <f t="shared" si="484"/>
        <v/>
      </c>
      <c r="O2098" s="183" t="str">
        <f t="shared" si="485"/>
        <v/>
      </c>
      <c r="P2098" s="199" t="str">
        <f t="shared" si="486"/>
        <v/>
      </c>
      <c r="Q2098" s="199" t="str">
        <f>IF(B2098="","",IFERROR(IF('עלויות כח אדם (6)'!J2098&gt;=VLOOKUP(I2098,'סיווג התפקידים והעלויות'!$B$23:$C$32,2,0),"תקין","לא תקין"),""))</f>
        <v/>
      </c>
      <c r="R2098" s="199" t="str">
        <f t="shared" si="487"/>
        <v/>
      </c>
      <c r="S2098" s="199" t="str">
        <f t="shared" si="488"/>
        <v/>
      </c>
      <c r="T2098" s="199" t="str">
        <f t="shared" si="496"/>
        <v/>
      </c>
      <c r="U2098" s="199" t="str">
        <f t="shared" si="489"/>
        <v/>
      </c>
      <c r="V2098" s="989"/>
      <c r="X2098" s="374" t="str">
        <f t="shared" si="490"/>
        <v/>
      </c>
      <c r="Y2098" s="375" t="str">
        <f t="shared" si="491"/>
        <v/>
      </c>
      <c r="Z2098" s="374" t="str">
        <f t="shared" si="492"/>
        <v/>
      </c>
      <c r="AA2098" s="374" t="b">
        <f t="shared" si="493"/>
        <v>1</v>
      </c>
      <c r="AB2098" s="374">
        <f>COUNTIFS(B:B,B2098,H:H,'סיווג התפקידים והעלויות'!$C$2)</f>
        <v>0</v>
      </c>
      <c r="AC2098" s="374">
        <f>COUNTIFS(B:B,B2098,H:H,'סיווג התפקידים והעלויות'!$D$2)</f>
        <v>0</v>
      </c>
      <c r="AD2098" s="374" t="str">
        <f>IF(OR(AND(H2098='סיווג התפקידים והעלויות'!$A$2,I2098='סיווג התפקידים והעלויות'!$A$3),'עלויות כח אדם (6)'!H2098='סיווג התפקידים והעלויות'!$C$2,'עלויות כח אדם (6)'!H2098='סיווג התפקידים והעלויות'!$D$2),IF('עלויות כח אדם (6)'!J2098&lt;75,"לא תקין","תקין"),"")</f>
        <v/>
      </c>
      <c r="AE2098" s="374" t="str">
        <f t="shared" si="494"/>
        <v/>
      </c>
      <c r="AF2098" s="532" t="str">
        <f t="shared" si="495"/>
        <v/>
      </c>
    </row>
    <row r="2099" spans="2:32" x14ac:dyDescent="0.25">
      <c r="B2099" s="695"/>
      <c r="C2099" s="197" t="str">
        <f>IF(B2099&lt;&gt;"",IFERROR(VLOOKUP(B:B,'מצבת והרשמה (2)'!$C$20:$N$520,2,0)," ")," ")</f>
        <v xml:space="preserve"> </v>
      </c>
      <c r="D2099" s="695"/>
      <c r="E2099" s="696"/>
      <c r="F2099" s="696"/>
      <c r="G2099" s="696"/>
      <c r="H2099" s="696"/>
      <c r="I2099" s="1050" t="str">
        <f t="shared" si="482"/>
        <v/>
      </c>
      <c r="J2099" s="696"/>
      <c r="K2099" s="697"/>
      <c r="L2099" s="696"/>
      <c r="M2099" s="198" t="str">
        <f t="shared" si="483"/>
        <v/>
      </c>
      <c r="N2099" s="369" t="str">
        <f t="shared" si="484"/>
        <v/>
      </c>
      <c r="O2099" s="183" t="str">
        <f t="shared" si="485"/>
        <v/>
      </c>
      <c r="P2099" s="199" t="str">
        <f t="shared" si="486"/>
        <v/>
      </c>
      <c r="Q2099" s="199" t="str">
        <f>IF(B2099="","",IFERROR(IF('עלויות כח אדם (6)'!J2099&gt;=VLOOKUP(I2099,'סיווג התפקידים והעלויות'!$B$23:$C$32,2,0),"תקין","לא תקין"),""))</f>
        <v/>
      </c>
      <c r="R2099" s="199" t="str">
        <f t="shared" si="487"/>
        <v/>
      </c>
      <c r="S2099" s="199" t="str">
        <f t="shared" si="488"/>
        <v/>
      </c>
      <c r="T2099" s="199" t="str">
        <f t="shared" si="496"/>
        <v/>
      </c>
      <c r="U2099" s="199" t="str">
        <f t="shared" si="489"/>
        <v/>
      </c>
      <c r="V2099" s="989"/>
      <c r="X2099" s="374" t="str">
        <f t="shared" si="490"/>
        <v/>
      </c>
      <c r="Y2099" s="375" t="str">
        <f t="shared" si="491"/>
        <v/>
      </c>
      <c r="Z2099" s="374" t="str">
        <f t="shared" si="492"/>
        <v/>
      </c>
      <c r="AA2099" s="374" t="b">
        <f t="shared" si="493"/>
        <v>1</v>
      </c>
      <c r="AB2099" s="374">
        <f>COUNTIFS(B:B,B2099,H:H,'סיווג התפקידים והעלויות'!$C$2)</f>
        <v>0</v>
      </c>
      <c r="AC2099" s="374">
        <f>COUNTIFS(B:B,B2099,H:H,'סיווג התפקידים והעלויות'!$D$2)</f>
        <v>0</v>
      </c>
      <c r="AD2099" s="374" t="str">
        <f>IF(OR(AND(H2099='סיווג התפקידים והעלויות'!$A$2,I2099='סיווג התפקידים והעלויות'!$A$3),'עלויות כח אדם (6)'!H2099='סיווג התפקידים והעלויות'!$C$2,'עלויות כח אדם (6)'!H2099='סיווג התפקידים והעלויות'!$D$2),IF('עלויות כח אדם (6)'!J2099&lt;75,"לא תקין","תקין"),"")</f>
        <v/>
      </c>
      <c r="AE2099" s="374" t="str">
        <f t="shared" si="494"/>
        <v/>
      </c>
      <c r="AF2099" s="532" t="str">
        <f t="shared" si="495"/>
        <v/>
      </c>
    </row>
    <row r="2100" spans="2:32" x14ac:dyDescent="0.25">
      <c r="B2100" s="695"/>
      <c r="C2100" s="197" t="str">
        <f>IF(B2100&lt;&gt;"",IFERROR(VLOOKUP(B:B,'מצבת והרשמה (2)'!$C$20:$N$520,2,0)," ")," ")</f>
        <v xml:space="preserve"> </v>
      </c>
      <c r="D2100" s="695"/>
      <c r="E2100" s="696"/>
      <c r="F2100" s="696"/>
      <c r="G2100" s="696"/>
      <c r="H2100" s="696"/>
      <c r="I2100" s="1050" t="str">
        <f t="shared" si="482"/>
        <v/>
      </c>
      <c r="J2100" s="696"/>
      <c r="K2100" s="697"/>
      <c r="L2100" s="696"/>
      <c r="M2100" s="198" t="str">
        <f t="shared" si="483"/>
        <v/>
      </c>
      <c r="N2100" s="369" t="str">
        <f t="shared" si="484"/>
        <v/>
      </c>
      <c r="O2100" s="183" t="str">
        <f t="shared" si="485"/>
        <v/>
      </c>
      <c r="P2100" s="199" t="str">
        <f t="shared" si="486"/>
        <v/>
      </c>
      <c r="Q2100" s="199" t="str">
        <f>IF(B2100="","",IFERROR(IF('עלויות כח אדם (6)'!J2100&gt;=VLOOKUP(I2100,'סיווג התפקידים והעלויות'!$B$23:$C$32,2,0),"תקין","לא תקין"),""))</f>
        <v/>
      </c>
      <c r="R2100" s="199" t="str">
        <f t="shared" si="487"/>
        <v/>
      </c>
      <c r="S2100" s="199" t="str">
        <f t="shared" si="488"/>
        <v/>
      </c>
      <c r="T2100" s="199" t="str">
        <f t="shared" si="496"/>
        <v/>
      </c>
      <c r="U2100" s="199" t="str">
        <f t="shared" si="489"/>
        <v/>
      </c>
      <c r="V2100" s="989"/>
      <c r="X2100" s="374" t="str">
        <f t="shared" si="490"/>
        <v/>
      </c>
      <c r="Y2100" s="375" t="str">
        <f t="shared" si="491"/>
        <v/>
      </c>
      <c r="Z2100" s="374" t="str">
        <f t="shared" si="492"/>
        <v/>
      </c>
      <c r="AA2100" s="374" t="b">
        <f t="shared" si="493"/>
        <v>1</v>
      </c>
      <c r="AB2100" s="374">
        <f>COUNTIFS(B:B,B2100,H:H,'סיווג התפקידים והעלויות'!$C$2)</f>
        <v>0</v>
      </c>
      <c r="AC2100" s="374">
        <f>COUNTIFS(B:B,B2100,H:H,'סיווג התפקידים והעלויות'!$D$2)</f>
        <v>0</v>
      </c>
      <c r="AD2100" s="374" t="str">
        <f>IF(OR(AND(H2100='סיווג התפקידים והעלויות'!$A$2,I2100='סיווג התפקידים והעלויות'!$A$3),'עלויות כח אדם (6)'!H2100='סיווג התפקידים והעלויות'!$C$2,'עלויות כח אדם (6)'!H2100='סיווג התפקידים והעלויות'!$D$2),IF('עלויות כח אדם (6)'!J2100&lt;75,"לא תקין","תקין"),"")</f>
        <v/>
      </c>
      <c r="AE2100" s="374" t="str">
        <f t="shared" si="494"/>
        <v/>
      </c>
      <c r="AF2100" s="532" t="str">
        <f t="shared" si="495"/>
        <v/>
      </c>
    </row>
    <row r="2101" spans="2:32" x14ac:dyDescent="0.25">
      <c r="B2101" s="695"/>
      <c r="C2101" s="197" t="str">
        <f>IF(B2101&lt;&gt;"",IFERROR(VLOOKUP(B:B,'מצבת והרשמה (2)'!$C$20:$N$520,2,0)," ")," ")</f>
        <v xml:space="preserve"> </v>
      </c>
      <c r="D2101" s="695"/>
      <c r="E2101" s="696"/>
      <c r="F2101" s="696"/>
      <c r="G2101" s="696"/>
      <c r="H2101" s="696"/>
      <c r="I2101" s="1050" t="str">
        <f t="shared" si="482"/>
        <v/>
      </c>
      <c r="J2101" s="696"/>
      <c r="K2101" s="697"/>
      <c r="L2101" s="696"/>
      <c r="M2101" s="198" t="str">
        <f t="shared" si="483"/>
        <v/>
      </c>
      <c r="N2101" s="369" t="str">
        <f t="shared" si="484"/>
        <v/>
      </c>
      <c r="O2101" s="183" t="str">
        <f t="shared" si="485"/>
        <v/>
      </c>
      <c r="P2101" s="199" t="str">
        <f t="shared" si="486"/>
        <v/>
      </c>
      <c r="Q2101" s="199" t="str">
        <f>IF(B2101="","",IFERROR(IF('עלויות כח אדם (6)'!J2101&gt;=VLOOKUP(I2101,'סיווג התפקידים והעלויות'!$B$23:$C$32,2,0),"תקין","לא תקין"),""))</f>
        <v/>
      </c>
      <c r="R2101" s="199" t="str">
        <f t="shared" si="487"/>
        <v/>
      </c>
      <c r="S2101" s="199" t="str">
        <f t="shared" si="488"/>
        <v/>
      </c>
      <c r="T2101" s="199" t="str">
        <f t="shared" si="496"/>
        <v/>
      </c>
      <c r="U2101" s="199" t="str">
        <f t="shared" si="489"/>
        <v/>
      </c>
      <c r="V2101" s="989"/>
      <c r="X2101" s="374" t="str">
        <f t="shared" si="490"/>
        <v/>
      </c>
      <c r="Y2101" s="375" t="str">
        <f t="shared" si="491"/>
        <v/>
      </c>
      <c r="Z2101" s="374" t="str">
        <f t="shared" si="492"/>
        <v/>
      </c>
      <c r="AA2101" s="374" t="b">
        <f t="shared" si="493"/>
        <v>1</v>
      </c>
      <c r="AB2101" s="374">
        <f>COUNTIFS(B:B,B2101,H:H,'סיווג התפקידים והעלויות'!$C$2)</f>
        <v>0</v>
      </c>
      <c r="AC2101" s="374">
        <f>COUNTIFS(B:B,B2101,H:H,'סיווג התפקידים והעלויות'!$D$2)</f>
        <v>0</v>
      </c>
      <c r="AD2101" s="374" t="str">
        <f>IF(OR(AND(H2101='סיווג התפקידים והעלויות'!$A$2,I2101='סיווג התפקידים והעלויות'!$A$3),'עלויות כח אדם (6)'!H2101='סיווג התפקידים והעלויות'!$C$2,'עלויות כח אדם (6)'!H2101='סיווג התפקידים והעלויות'!$D$2),IF('עלויות כח אדם (6)'!J2101&lt;75,"לא תקין","תקין"),"")</f>
        <v/>
      </c>
      <c r="AE2101" s="374" t="str">
        <f t="shared" si="494"/>
        <v/>
      </c>
      <c r="AF2101" s="532" t="str">
        <f t="shared" si="495"/>
        <v/>
      </c>
    </row>
    <row r="2102" spans="2:32" x14ac:dyDescent="0.25">
      <c r="B2102" s="695"/>
      <c r="C2102" s="197" t="str">
        <f>IF(B2102&lt;&gt;"",IFERROR(VLOOKUP(B:B,'מצבת והרשמה (2)'!$C$20:$N$520,2,0)," ")," ")</f>
        <v xml:space="preserve"> </v>
      </c>
      <c r="D2102" s="695"/>
      <c r="E2102" s="696"/>
      <c r="F2102" s="696"/>
      <c r="G2102" s="696"/>
      <c r="H2102" s="696"/>
      <c r="I2102" s="1050" t="str">
        <f t="shared" si="482"/>
        <v/>
      </c>
      <c r="J2102" s="696"/>
      <c r="K2102" s="697"/>
      <c r="L2102" s="696"/>
      <c r="M2102" s="198" t="str">
        <f t="shared" si="483"/>
        <v/>
      </c>
      <c r="N2102" s="369" t="str">
        <f t="shared" si="484"/>
        <v/>
      </c>
      <c r="O2102" s="183" t="str">
        <f t="shared" si="485"/>
        <v/>
      </c>
      <c r="P2102" s="199" t="str">
        <f t="shared" si="486"/>
        <v/>
      </c>
      <c r="Q2102" s="199" t="str">
        <f>IF(B2102="","",IFERROR(IF('עלויות כח אדם (6)'!J2102&gt;=VLOOKUP(I2102,'סיווג התפקידים והעלויות'!$B$23:$C$32,2,0),"תקין","לא תקין"),""))</f>
        <v/>
      </c>
      <c r="R2102" s="199" t="str">
        <f t="shared" si="487"/>
        <v/>
      </c>
      <c r="S2102" s="199" t="str">
        <f t="shared" si="488"/>
        <v/>
      </c>
      <c r="T2102" s="199" t="str">
        <f t="shared" si="496"/>
        <v/>
      </c>
      <c r="U2102" s="199" t="str">
        <f t="shared" si="489"/>
        <v/>
      </c>
      <c r="V2102" s="989"/>
      <c r="X2102" s="374" t="str">
        <f t="shared" si="490"/>
        <v/>
      </c>
      <c r="Y2102" s="375" t="str">
        <f t="shared" si="491"/>
        <v/>
      </c>
      <c r="Z2102" s="374" t="str">
        <f t="shared" si="492"/>
        <v/>
      </c>
      <c r="AA2102" s="374" t="b">
        <f t="shared" si="493"/>
        <v>1</v>
      </c>
      <c r="AB2102" s="374">
        <f>COUNTIFS(B:B,B2102,H:H,'סיווג התפקידים והעלויות'!$C$2)</f>
        <v>0</v>
      </c>
      <c r="AC2102" s="374">
        <f>COUNTIFS(B:B,B2102,H:H,'סיווג התפקידים והעלויות'!$D$2)</f>
        <v>0</v>
      </c>
      <c r="AD2102" s="374" t="str">
        <f>IF(OR(AND(H2102='סיווג התפקידים והעלויות'!$A$2,I2102='סיווג התפקידים והעלויות'!$A$3),'עלויות כח אדם (6)'!H2102='סיווג התפקידים והעלויות'!$C$2,'עלויות כח אדם (6)'!H2102='סיווג התפקידים והעלויות'!$D$2),IF('עלויות כח אדם (6)'!J2102&lt;75,"לא תקין","תקין"),"")</f>
        <v/>
      </c>
      <c r="AE2102" s="374" t="str">
        <f t="shared" si="494"/>
        <v/>
      </c>
      <c r="AF2102" s="532" t="str">
        <f t="shared" si="495"/>
        <v/>
      </c>
    </row>
    <row r="2103" spans="2:32" x14ac:dyDescent="0.25">
      <c r="B2103" s="695"/>
      <c r="C2103" s="197" t="str">
        <f>IF(B2103&lt;&gt;"",IFERROR(VLOOKUP(B:B,'מצבת והרשמה (2)'!$C$20:$N$520,2,0)," ")," ")</f>
        <v xml:space="preserve"> </v>
      </c>
      <c r="D2103" s="695"/>
      <c r="E2103" s="696"/>
      <c r="F2103" s="696"/>
      <c r="G2103" s="696"/>
      <c r="H2103" s="696"/>
      <c r="I2103" s="1050" t="str">
        <f t="shared" si="482"/>
        <v/>
      </c>
      <c r="J2103" s="696"/>
      <c r="K2103" s="697"/>
      <c r="L2103" s="696"/>
      <c r="M2103" s="198" t="str">
        <f t="shared" si="483"/>
        <v/>
      </c>
      <c r="N2103" s="369" t="str">
        <f t="shared" si="484"/>
        <v/>
      </c>
      <c r="O2103" s="183" t="str">
        <f t="shared" si="485"/>
        <v/>
      </c>
      <c r="P2103" s="199" t="str">
        <f t="shared" si="486"/>
        <v/>
      </c>
      <c r="Q2103" s="199" t="str">
        <f>IF(B2103="","",IFERROR(IF('עלויות כח אדם (6)'!J2103&gt;=VLOOKUP(I2103,'סיווג התפקידים והעלויות'!$B$23:$C$32,2,0),"תקין","לא תקין"),""))</f>
        <v/>
      </c>
      <c r="R2103" s="199" t="str">
        <f t="shared" si="487"/>
        <v/>
      </c>
      <c r="S2103" s="199" t="str">
        <f t="shared" si="488"/>
        <v/>
      </c>
      <c r="T2103" s="199" t="str">
        <f t="shared" si="496"/>
        <v/>
      </c>
      <c r="U2103" s="199" t="str">
        <f t="shared" si="489"/>
        <v/>
      </c>
      <c r="V2103" s="989"/>
      <c r="X2103" s="374" t="str">
        <f t="shared" si="490"/>
        <v/>
      </c>
      <c r="Y2103" s="375" t="str">
        <f t="shared" si="491"/>
        <v/>
      </c>
      <c r="Z2103" s="374" t="str">
        <f t="shared" si="492"/>
        <v/>
      </c>
      <c r="AA2103" s="374" t="b">
        <f t="shared" si="493"/>
        <v>1</v>
      </c>
      <c r="AB2103" s="374">
        <f>COUNTIFS(B:B,B2103,H:H,'סיווג התפקידים והעלויות'!$C$2)</f>
        <v>0</v>
      </c>
      <c r="AC2103" s="374">
        <f>COUNTIFS(B:B,B2103,H:H,'סיווג התפקידים והעלויות'!$D$2)</f>
        <v>0</v>
      </c>
      <c r="AD2103" s="374" t="str">
        <f>IF(OR(AND(H2103='סיווג התפקידים והעלויות'!$A$2,I2103='סיווג התפקידים והעלויות'!$A$3),'עלויות כח אדם (6)'!H2103='סיווג התפקידים והעלויות'!$C$2,'עלויות כח אדם (6)'!H2103='סיווג התפקידים והעלויות'!$D$2),IF('עלויות כח אדם (6)'!J2103&lt;75,"לא תקין","תקין"),"")</f>
        <v/>
      </c>
      <c r="AE2103" s="374" t="str">
        <f t="shared" si="494"/>
        <v/>
      </c>
      <c r="AF2103" s="532" t="str">
        <f t="shared" si="495"/>
        <v/>
      </c>
    </row>
    <row r="2104" spans="2:32" x14ac:dyDescent="0.25">
      <c r="B2104" s="695"/>
      <c r="C2104" s="197" t="str">
        <f>IF(B2104&lt;&gt;"",IFERROR(VLOOKUP(B:B,'מצבת והרשמה (2)'!$C$20:$N$520,2,0)," ")," ")</f>
        <v xml:space="preserve"> </v>
      </c>
      <c r="D2104" s="695"/>
      <c r="E2104" s="696"/>
      <c r="F2104" s="696"/>
      <c r="G2104" s="696"/>
      <c r="H2104" s="696"/>
      <c r="I2104" s="1050" t="str">
        <f t="shared" si="482"/>
        <v/>
      </c>
      <c r="J2104" s="696"/>
      <c r="K2104" s="697"/>
      <c r="L2104" s="696"/>
      <c r="M2104" s="198" t="str">
        <f t="shared" si="483"/>
        <v/>
      </c>
      <c r="N2104" s="369" t="str">
        <f t="shared" si="484"/>
        <v/>
      </c>
      <c r="O2104" s="183" t="str">
        <f t="shared" si="485"/>
        <v/>
      </c>
      <c r="P2104" s="199" t="str">
        <f t="shared" si="486"/>
        <v/>
      </c>
      <c r="Q2104" s="199" t="str">
        <f>IF(B2104="","",IFERROR(IF('עלויות כח אדם (6)'!J2104&gt;=VLOOKUP(I2104,'סיווג התפקידים והעלויות'!$B$23:$C$32,2,0),"תקין","לא תקין"),""))</f>
        <v/>
      </c>
      <c r="R2104" s="199" t="str">
        <f t="shared" si="487"/>
        <v/>
      </c>
      <c r="S2104" s="199" t="str">
        <f t="shared" si="488"/>
        <v/>
      </c>
      <c r="T2104" s="199" t="str">
        <f t="shared" si="496"/>
        <v/>
      </c>
      <c r="U2104" s="199" t="str">
        <f t="shared" si="489"/>
        <v/>
      </c>
      <c r="V2104" s="989"/>
      <c r="X2104" s="374" t="str">
        <f t="shared" si="490"/>
        <v/>
      </c>
      <c r="Y2104" s="375" t="str">
        <f t="shared" si="491"/>
        <v/>
      </c>
      <c r="Z2104" s="374" t="str">
        <f t="shared" si="492"/>
        <v/>
      </c>
      <c r="AA2104" s="374" t="b">
        <f t="shared" si="493"/>
        <v>1</v>
      </c>
      <c r="AB2104" s="374">
        <f>COUNTIFS(B:B,B2104,H:H,'סיווג התפקידים והעלויות'!$C$2)</f>
        <v>0</v>
      </c>
      <c r="AC2104" s="374">
        <f>COUNTIFS(B:B,B2104,H:H,'סיווג התפקידים והעלויות'!$D$2)</f>
        <v>0</v>
      </c>
      <c r="AD2104" s="374" t="str">
        <f>IF(OR(AND(H2104='סיווג התפקידים והעלויות'!$A$2,I2104='סיווג התפקידים והעלויות'!$A$3),'עלויות כח אדם (6)'!H2104='סיווג התפקידים והעלויות'!$C$2,'עלויות כח אדם (6)'!H2104='סיווג התפקידים והעלויות'!$D$2),IF('עלויות כח אדם (6)'!J2104&lt;75,"לא תקין","תקין"),"")</f>
        <v/>
      </c>
      <c r="AE2104" s="374" t="str">
        <f t="shared" si="494"/>
        <v/>
      </c>
      <c r="AF2104" s="532" t="str">
        <f t="shared" si="495"/>
        <v/>
      </c>
    </row>
    <row r="2105" spans="2:32" x14ac:dyDescent="0.25">
      <c r="B2105" s="695"/>
      <c r="C2105" s="197" t="str">
        <f>IF(B2105&lt;&gt;"",IFERROR(VLOOKUP(B:B,'מצבת והרשמה (2)'!$C$20:$N$520,2,0)," ")," ")</f>
        <v xml:space="preserve"> </v>
      </c>
      <c r="D2105" s="695"/>
      <c r="E2105" s="696"/>
      <c r="F2105" s="696"/>
      <c r="G2105" s="696"/>
      <c r="H2105" s="696"/>
      <c r="I2105" s="1050" t="str">
        <f t="shared" si="482"/>
        <v/>
      </c>
      <c r="J2105" s="696"/>
      <c r="K2105" s="697"/>
      <c r="L2105" s="696"/>
      <c r="M2105" s="198" t="str">
        <f t="shared" si="483"/>
        <v/>
      </c>
      <c r="N2105" s="369" t="str">
        <f t="shared" si="484"/>
        <v/>
      </c>
      <c r="O2105" s="183" t="str">
        <f t="shared" si="485"/>
        <v/>
      </c>
      <c r="P2105" s="199" t="str">
        <f t="shared" si="486"/>
        <v/>
      </c>
      <c r="Q2105" s="199" t="str">
        <f>IF(B2105="","",IFERROR(IF('עלויות כח אדם (6)'!J2105&gt;=VLOOKUP(I2105,'סיווג התפקידים והעלויות'!$B$23:$C$32,2,0),"תקין","לא תקין"),""))</f>
        <v/>
      </c>
      <c r="R2105" s="199" t="str">
        <f t="shared" si="487"/>
        <v/>
      </c>
      <c r="S2105" s="199" t="str">
        <f t="shared" si="488"/>
        <v/>
      </c>
      <c r="T2105" s="199" t="str">
        <f t="shared" si="496"/>
        <v/>
      </c>
      <c r="U2105" s="199" t="str">
        <f t="shared" si="489"/>
        <v/>
      </c>
      <c r="V2105" s="989"/>
      <c r="X2105" s="374" t="str">
        <f t="shared" si="490"/>
        <v/>
      </c>
      <c r="Y2105" s="375" t="str">
        <f t="shared" si="491"/>
        <v/>
      </c>
      <c r="Z2105" s="374" t="str">
        <f t="shared" si="492"/>
        <v/>
      </c>
      <c r="AA2105" s="374" t="b">
        <f t="shared" si="493"/>
        <v>1</v>
      </c>
      <c r="AB2105" s="374">
        <f>COUNTIFS(B:B,B2105,H:H,'סיווג התפקידים והעלויות'!$C$2)</f>
        <v>0</v>
      </c>
      <c r="AC2105" s="374">
        <f>COUNTIFS(B:B,B2105,H:H,'סיווג התפקידים והעלויות'!$D$2)</f>
        <v>0</v>
      </c>
      <c r="AD2105" s="374" t="str">
        <f>IF(OR(AND(H2105='סיווג התפקידים והעלויות'!$A$2,I2105='סיווג התפקידים והעלויות'!$A$3),'עלויות כח אדם (6)'!H2105='סיווג התפקידים והעלויות'!$C$2,'עלויות כח אדם (6)'!H2105='סיווג התפקידים והעלויות'!$D$2),IF('עלויות כח אדם (6)'!J2105&lt;75,"לא תקין","תקין"),"")</f>
        <v/>
      </c>
      <c r="AE2105" s="374" t="str">
        <f t="shared" si="494"/>
        <v/>
      </c>
      <c r="AF2105" s="532" t="str">
        <f t="shared" si="495"/>
        <v/>
      </c>
    </row>
    <row r="2106" spans="2:32" x14ac:dyDescent="0.25">
      <c r="B2106" s="695"/>
      <c r="C2106" s="197" t="str">
        <f>IF(B2106&lt;&gt;"",IFERROR(VLOOKUP(B:B,'מצבת והרשמה (2)'!$C$20:$N$520,2,0)," ")," ")</f>
        <v xml:space="preserve"> </v>
      </c>
      <c r="D2106" s="695"/>
      <c r="E2106" s="696"/>
      <c r="F2106" s="696"/>
      <c r="G2106" s="696"/>
      <c r="H2106" s="696"/>
      <c r="I2106" s="1050" t="str">
        <f t="shared" si="482"/>
        <v/>
      </c>
      <c r="J2106" s="696"/>
      <c r="K2106" s="697"/>
      <c r="L2106" s="696"/>
      <c r="M2106" s="198" t="str">
        <f t="shared" si="483"/>
        <v/>
      </c>
      <c r="N2106" s="369" t="str">
        <f t="shared" si="484"/>
        <v/>
      </c>
      <c r="O2106" s="183" t="str">
        <f t="shared" si="485"/>
        <v/>
      </c>
      <c r="P2106" s="199" t="str">
        <f t="shared" si="486"/>
        <v/>
      </c>
      <c r="Q2106" s="199" t="str">
        <f>IF(B2106="","",IFERROR(IF('עלויות כח אדם (6)'!J2106&gt;=VLOOKUP(I2106,'סיווג התפקידים והעלויות'!$B$23:$C$32,2,0),"תקין","לא תקין"),""))</f>
        <v/>
      </c>
      <c r="R2106" s="199" t="str">
        <f t="shared" si="487"/>
        <v/>
      </c>
      <c r="S2106" s="199" t="str">
        <f t="shared" si="488"/>
        <v/>
      </c>
      <c r="T2106" s="199" t="str">
        <f t="shared" si="496"/>
        <v/>
      </c>
      <c r="U2106" s="199" t="str">
        <f t="shared" si="489"/>
        <v/>
      </c>
      <c r="V2106" s="989"/>
      <c r="X2106" s="374" t="str">
        <f t="shared" si="490"/>
        <v/>
      </c>
      <c r="Y2106" s="375" t="str">
        <f t="shared" si="491"/>
        <v/>
      </c>
      <c r="Z2106" s="374" t="str">
        <f t="shared" si="492"/>
        <v/>
      </c>
      <c r="AA2106" s="374" t="b">
        <f t="shared" si="493"/>
        <v>1</v>
      </c>
      <c r="AB2106" s="374">
        <f>COUNTIFS(B:B,B2106,H:H,'סיווג התפקידים והעלויות'!$C$2)</f>
        <v>0</v>
      </c>
      <c r="AC2106" s="374">
        <f>COUNTIFS(B:B,B2106,H:H,'סיווג התפקידים והעלויות'!$D$2)</f>
        <v>0</v>
      </c>
      <c r="AD2106" s="374" t="str">
        <f>IF(OR(AND(H2106='סיווג התפקידים והעלויות'!$A$2,I2106='סיווג התפקידים והעלויות'!$A$3),'עלויות כח אדם (6)'!H2106='סיווג התפקידים והעלויות'!$C$2,'עלויות כח אדם (6)'!H2106='סיווג התפקידים והעלויות'!$D$2),IF('עלויות כח אדם (6)'!J2106&lt;75,"לא תקין","תקין"),"")</f>
        <v/>
      </c>
      <c r="AE2106" s="374" t="str">
        <f t="shared" si="494"/>
        <v/>
      </c>
      <c r="AF2106" s="532" t="str">
        <f t="shared" si="495"/>
        <v/>
      </c>
    </row>
    <row r="2107" spans="2:32" x14ac:dyDescent="0.25">
      <c r="B2107" s="695"/>
      <c r="C2107" s="197" t="str">
        <f>IF(B2107&lt;&gt;"",IFERROR(VLOOKUP(B:B,'מצבת והרשמה (2)'!$C$20:$N$520,2,0)," ")," ")</f>
        <v xml:space="preserve"> </v>
      </c>
      <c r="D2107" s="695"/>
      <c r="E2107" s="696"/>
      <c r="F2107" s="696"/>
      <c r="G2107" s="696"/>
      <c r="H2107" s="696"/>
      <c r="I2107" s="1050" t="str">
        <f t="shared" si="482"/>
        <v/>
      </c>
      <c r="J2107" s="696"/>
      <c r="K2107" s="697"/>
      <c r="L2107" s="696"/>
      <c r="M2107" s="198" t="str">
        <f t="shared" si="483"/>
        <v/>
      </c>
      <c r="N2107" s="369" t="str">
        <f t="shared" si="484"/>
        <v/>
      </c>
      <c r="O2107" s="183" t="str">
        <f t="shared" si="485"/>
        <v/>
      </c>
      <c r="P2107" s="199" t="str">
        <f t="shared" si="486"/>
        <v/>
      </c>
      <c r="Q2107" s="199" t="str">
        <f>IF(B2107="","",IFERROR(IF('עלויות כח אדם (6)'!J2107&gt;=VLOOKUP(I2107,'סיווג התפקידים והעלויות'!$B$23:$C$32,2,0),"תקין","לא תקין"),""))</f>
        <v/>
      </c>
      <c r="R2107" s="199" t="str">
        <f t="shared" si="487"/>
        <v/>
      </c>
      <c r="S2107" s="199" t="str">
        <f t="shared" si="488"/>
        <v/>
      </c>
      <c r="T2107" s="199" t="str">
        <f t="shared" si="496"/>
        <v/>
      </c>
      <c r="U2107" s="199" t="str">
        <f t="shared" si="489"/>
        <v/>
      </c>
      <c r="V2107" s="989"/>
      <c r="X2107" s="374" t="str">
        <f t="shared" si="490"/>
        <v/>
      </c>
      <c r="Y2107" s="375" t="str">
        <f t="shared" si="491"/>
        <v/>
      </c>
      <c r="Z2107" s="374" t="str">
        <f t="shared" si="492"/>
        <v/>
      </c>
      <c r="AA2107" s="374" t="b">
        <f t="shared" si="493"/>
        <v>1</v>
      </c>
      <c r="AB2107" s="374">
        <f>COUNTIFS(B:B,B2107,H:H,'סיווג התפקידים והעלויות'!$C$2)</f>
        <v>0</v>
      </c>
      <c r="AC2107" s="374">
        <f>COUNTIFS(B:B,B2107,H:H,'סיווג התפקידים והעלויות'!$D$2)</f>
        <v>0</v>
      </c>
      <c r="AD2107" s="374" t="str">
        <f>IF(OR(AND(H2107='סיווג התפקידים והעלויות'!$A$2,I2107='סיווג התפקידים והעלויות'!$A$3),'עלויות כח אדם (6)'!H2107='סיווג התפקידים והעלויות'!$C$2,'עלויות כח אדם (6)'!H2107='סיווג התפקידים והעלויות'!$D$2),IF('עלויות כח אדם (6)'!J2107&lt;75,"לא תקין","תקין"),"")</f>
        <v/>
      </c>
      <c r="AE2107" s="374" t="str">
        <f t="shared" si="494"/>
        <v/>
      </c>
      <c r="AF2107" s="532" t="str">
        <f t="shared" si="495"/>
        <v/>
      </c>
    </row>
    <row r="2108" spans="2:32" x14ac:dyDescent="0.25">
      <c r="B2108" s="695"/>
      <c r="C2108" s="197" t="str">
        <f>IF(B2108&lt;&gt;"",IFERROR(VLOOKUP(B:B,'מצבת והרשמה (2)'!$C$20:$N$520,2,0)," ")," ")</f>
        <v xml:space="preserve"> </v>
      </c>
      <c r="D2108" s="695"/>
      <c r="E2108" s="696"/>
      <c r="F2108" s="696"/>
      <c r="G2108" s="696"/>
      <c r="H2108" s="696"/>
      <c r="I2108" s="1050" t="str">
        <f t="shared" si="482"/>
        <v/>
      </c>
      <c r="J2108" s="696"/>
      <c r="K2108" s="697"/>
      <c r="L2108" s="696"/>
      <c r="M2108" s="198" t="str">
        <f t="shared" si="483"/>
        <v/>
      </c>
      <c r="N2108" s="369" t="str">
        <f t="shared" si="484"/>
        <v/>
      </c>
      <c r="O2108" s="183" t="str">
        <f t="shared" si="485"/>
        <v/>
      </c>
      <c r="P2108" s="199" t="str">
        <f t="shared" si="486"/>
        <v/>
      </c>
      <c r="Q2108" s="199" t="str">
        <f>IF(B2108="","",IFERROR(IF('עלויות כח אדם (6)'!J2108&gt;=VLOOKUP(I2108,'סיווג התפקידים והעלויות'!$B$23:$C$32,2,0),"תקין","לא תקין"),""))</f>
        <v/>
      </c>
      <c r="R2108" s="199" t="str">
        <f t="shared" si="487"/>
        <v/>
      </c>
      <c r="S2108" s="199" t="str">
        <f t="shared" si="488"/>
        <v/>
      </c>
      <c r="T2108" s="199" t="str">
        <f t="shared" si="496"/>
        <v/>
      </c>
      <c r="U2108" s="199" t="str">
        <f t="shared" si="489"/>
        <v/>
      </c>
      <c r="V2108" s="989"/>
      <c r="X2108" s="374" t="str">
        <f t="shared" si="490"/>
        <v/>
      </c>
      <c r="Y2108" s="375" t="str">
        <f t="shared" si="491"/>
        <v/>
      </c>
      <c r="Z2108" s="374" t="str">
        <f t="shared" si="492"/>
        <v/>
      </c>
      <c r="AA2108" s="374" t="b">
        <f t="shared" si="493"/>
        <v>1</v>
      </c>
      <c r="AB2108" s="374">
        <f>COUNTIFS(B:B,B2108,H:H,'סיווג התפקידים והעלויות'!$C$2)</f>
        <v>0</v>
      </c>
      <c r="AC2108" s="374">
        <f>COUNTIFS(B:B,B2108,H:H,'סיווג התפקידים והעלויות'!$D$2)</f>
        <v>0</v>
      </c>
      <c r="AD2108" s="374" t="str">
        <f>IF(OR(AND(H2108='סיווג התפקידים והעלויות'!$A$2,I2108='סיווג התפקידים והעלויות'!$A$3),'עלויות כח אדם (6)'!H2108='סיווג התפקידים והעלויות'!$C$2,'עלויות כח אדם (6)'!H2108='סיווג התפקידים והעלויות'!$D$2),IF('עלויות כח אדם (6)'!J2108&lt;75,"לא תקין","תקין"),"")</f>
        <v/>
      </c>
      <c r="AE2108" s="374" t="str">
        <f t="shared" si="494"/>
        <v/>
      </c>
      <c r="AF2108" s="532" t="str">
        <f t="shared" si="495"/>
        <v/>
      </c>
    </row>
    <row r="2109" spans="2:32" x14ac:dyDescent="0.25">
      <c r="B2109" s="695"/>
      <c r="C2109" s="197" t="str">
        <f>IF(B2109&lt;&gt;"",IFERROR(VLOOKUP(B:B,'מצבת והרשמה (2)'!$C$20:$N$520,2,0)," ")," ")</f>
        <v xml:space="preserve"> </v>
      </c>
      <c r="D2109" s="695"/>
      <c r="E2109" s="696"/>
      <c r="F2109" s="696"/>
      <c r="G2109" s="696"/>
      <c r="H2109" s="696"/>
      <c r="I2109" s="1050" t="str">
        <f t="shared" si="482"/>
        <v/>
      </c>
      <c r="J2109" s="696"/>
      <c r="K2109" s="697"/>
      <c r="L2109" s="696"/>
      <c r="M2109" s="198" t="str">
        <f t="shared" si="483"/>
        <v/>
      </c>
      <c r="N2109" s="369" t="str">
        <f t="shared" si="484"/>
        <v/>
      </c>
      <c r="O2109" s="183" t="str">
        <f t="shared" si="485"/>
        <v/>
      </c>
      <c r="P2109" s="199" t="str">
        <f t="shared" si="486"/>
        <v/>
      </c>
      <c r="Q2109" s="199" t="str">
        <f>IF(B2109="","",IFERROR(IF('עלויות כח אדם (6)'!J2109&gt;=VLOOKUP(I2109,'סיווג התפקידים והעלויות'!$B$23:$C$32,2,0),"תקין","לא תקין"),""))</f>
        <v/>
      </c>
      <c r="R2109" s="199" t="str">
        <f t="shared" si="487"/>
        <v/>
      </c>
      <c r="S2109" s="199" t="str">
        <f t="shared" si="488"/>
        <v/>
      </c>
      <c r="T2109" s="199" t="str">
        <f t="shared" si="496"/>
        <v/>
      </c>
      <c r="U2109" s="199" t="str">
        <f t="shared" si="489"/>
        <v/>
      </c>
      <c r="V2109" s="989"/>
      <c r="X2109" s="374" t="str">
        <f t="shared" si="490"/>
        <v/>
      </c>
      <c r="Y2109" s="375" t="str">
        <f t="shared" si="491"/>
        <v/>
      </c>
      <c r="Z2109" s="374" t="str">
        <f t="shared" si="492"/>
        <v/>
      </c>
      <c r="AA2109" s="374" t="b">
        <f t="shared" si="493"/>
        <v>1</v>
      </c>
      <c r="AB2109" s="374">
        <f>COUNTIFS(B:B,B2109,H:H,'סיווג התפקידים והעלויות'!$C$2)</f>
        <v>0</v>
      </c>
      <c r="AC2109" s="374">
        <f>COUNTIFS(B:B,B2109,H:H,'סיווג התפקידים והעלויות'!$D$2)</f>
        <v>0</v>
      </c>
      <c r="AD2109" s="374" t="str">
        <f>IF(OR(AND(H2109='סיווג התפקידים והעלויות'!$A$2,I2109='סיווג התפקידים והעלויות'!$A$3),'עלויות כח אדם (6)'!H2109='סיווג התפקידים והעלויות'!$C$2,'עלויות כח אדם (6)'!H2109='סיווג התפקידים והעלויות'!$D$2),IF('עלויות כח אדם (6)'!J2109&lt;75,"לא תקין","תקין"),"")</f>
        <v/>
      </c>
      <c r="AE2109" s="374" t="str">
        <f t="shared" si="494"/>
        <v/>
      </c>
      <c r="AF2109" s="532" t="str">
        <f t="shared" si="495"/>
        <v/>
      </c>
    </row>
    <row r="2110" spans="2:32" x14ac:dyDescent="0.25">
      <c r="B2110" s="695"/>
      <c r="C2110" s="197" t="str">
        <f>IF(B2110&lt;&gt;"",IFERROR(VLOOKUP(B:B,'מצבת והרשמה (2)'!$C$20:$N$520,2,0)," ")," ")</f>
        <v xml:space="preserve"> </v>
      </c>
      <c r="D2110" s="695"/>
      <c r="E2110" s="696"/>
      <c r="F2110" s="696"/>
      <c r="G2110" s="696"/>
      <c r="H2110" s="696"/>
      <c r="I2110" s="1050" t="str">
        <f t="shared" si="482"/>
        <v/>
      </c>
      <c r="J2110" s="696"/>
      <c r="K2110" s="697"/>
      <c r="L2110" s="696"/>
      <c r="M2110" s="198" t="str">
        <f t="shared" si="483"/>
        <v/>
      </c>
      <c r="N2110" s="369" t="str">
        <f t="shared" si="484"/>
        <v/>
      </c>
      <c r="O2110" s="183" t="str">
        <f t="shared" si="485"/>
        <v/>
      </c>
      <c r="P2110" s="199" t="str">
        <f t="shared" si="486"/>
        <v/>
      </c>
      <c r="Q2110" s="199" t="str">
        <f>IF(B2110="","",IFERROR(IF('עלויות כח אדם (6)'!J2110&gt;=VLOOKUP(I2110,'סיווג התפקידים והעלויות'!$B$23:$C$32,2,0),"תקין","לא תקין"),""))</f>
        <v/>
      </c>
      <c r="R2110" s="199" t="str">
        <f t="shared" si="487"/>
        <v/>
      </c>
      <c r="S2110" s="199" t="str">
        <f t="shared" si="488"/>
        <v/>
      </c>
      <c r="T2110" s="199" t="str">
        <f t="shared" si="496"/>
        <v/>
      </c>
      <c r="U2110" s="199" t="str">
        <f t="shared" si="489"/>
        <v/>
      </c>
      <c r="V2110" s="989"/>
      <c r="X2110" s="374" t="str">
        <f t="shared" si="490"/>
        <v/>
      </c>
      <c r="Y2110" s="375" t="str">
        <f t="shared" si="491"/>
        <v/>
      </c>
      <c r="Z2110" s="374" t="str">
        <f t="shared" si="492"/>
        <v/>
      </c>
      <c r="AA2110" s="374" t="b">
        <f t="shared" si="493"/>
        <v>1</v>
      </c>
      <c r="AB2110" s="374">
        <f>COUNTIFS(B:B,B2110,H:H,'סיווג התפקידים והעלויות'!$C$2)</f>
        <v>0</v>
      </c>
      <c r="AC2110" s="374">
        <f>COUNTIFS(B:B,B2110,H:H,'סיווג התפקידים והעלויות'!$D$2)</f>
        <v>0</v>
      </c>
      <c r="AD2110" s="374" t="str">
        <f>IF(OR(AND(H2110='סיווג התפקידים והעלויות'!$A$2,I2110='סיווג התפקידים והעלויות'!$A$3),'עלויות כח אדם (6)'!H2110='סיווג התפקידים והעלויות'!$C$2,'עלויות כח אדם (6)'!H2110='סיווג התפקידים והעלויות'!$D$2),IF('עלויות כח אדם (6)'!J2110&lt;75,"לא תקין","תקין"),"")</f>
        <v/>
      </c>
      <c r="AE2110" s="374" t="str">
        <f t="shared" si="494"/>
        <v/>
      </c>
      <c r="AF2110" s="532" t="str">
        <f t="shared" si="495"/>
        <v/>
      </c>
    </row>
    <row r="2111" spans="2:32" x14ac:dyDescent="0.25">
      <c r="B2111" s="695"/>
      <c r="C2111" s="197" t="str">
        <f>IF(B2111&lt;&gt;"",IFERROR(VLOOKUP(B:B,'מצבת והרשמה (2)'!$C$20:$N$520,2,0)," ")," ")</f>
        <v xml:space="preserve"> </v>
      </c>
      <c r="D2111" s="695"/>
      <c r="E2111" s="696"/>
      <c r="F2111" s="696"/>
      <c r="G2111" s="696"/>
      <c r="H2111" s="696"/>
      <c r="I2111" s="1050" t="str">
        <f t="shared" si="482"/>
        <v/>
      </c>
      <c r="J2111" s="696"/>
      <c r="K2111" s="697"/>
      <c r="L2111" s="696"/>
      <c r="M2111" s="198" t="str">
        <f t="shared" si="483"/>
        <v/>
      </c>
      <c r="N2111" s="369" t="str">
        <f t="shared" si="484"/>
        <v/>
      </c>
      <c r="O2111" s="183" t="str">
        <f t="shared" si="485"/>
        <v/>
      </c>
      <c r="P2111" s="199" t="str">
        <f t="shared" si="486"/>
        <v/>
      </c>
      <c r="Q2111" s="199" t="str">
        <f>IF(B2111="","",IFERROR(IF('עלויות כח אדם (6)'!J2111&gt;=VLOOKUP(I2111,'סיווג התפקידים והעלויות'!$B$23:$C$32,2,0),"תקין","לא תקין"),""))</f>
        <v/>
      </c>
      <c r="R2111" s="199" t="str">
        <f t="shared" si="487"/>
        <v/>
      </c>
      <c r="S2111" s="199" t="str">
        <f t="shared" si="488"/>
        <v/>
      </c>
      <c r="T2111" s="199" t="str">
        <f t="shared" si="496"/>
        <v/>
      </c>
      <c r="U2111" s="199" t="str">
        <f t="shared" si="489"/>
        <v/>
      </c>
      <c r="V2111" s="989"/>
      <c r="X2111" s="374" t="str">
        <f t="shared" si="490"/>
        <v/>
      </c>
      <c r="Y2111" s="375" t="str">
        <f t="shared" si="491"/>
        <v/>
      </c>
      <c r="Z2111" s="374" t="str">
        <f t="shared" si="492"/>
        <v/>
      </c>
      <c r="AA2111" s="374" t="b">
        <f t="shared" si="493"/>
        <v>1</v>
      </c>
      <c r="AB2111" s="374">
        <f>COUNTIFS(B:B,B2111,H:H,'סיווג התפקידים והעלויות'!$C$2)</f>
        <v>0</v>
      </c>
      <c r="AC2111" s="374">
        <f>COUNTIFS(B:B,B2111,H:H,'סיווג התפקידים והעלויות'!$D$2)</f>
        <v>0</v>
      </c>
      <c r="AD2111" s="374" t="str">
        <f>IF(OR(AND(H2111='סיווג התפקידים והעלויות'!$A$2,I2111='סיווג התפקידים והעלויות'!$A$3),'עלויות כח אדם (6)'!H2111='סיווג התפקידים והעלויות'!$C$2,'עלויות כח אדם (6)'!H2111='סיווג התפקידים והעלויות'!$D$2),IF('עלויות כח אדם (6)'!J2111&lt;75,"לא תקין","תקין"),"")</f>
        <v/>
      </c>
      <c r="AE2111" s="374" t="str">
        <f t="shared" si="494"/>
        <v/>
      </c>
      <c r="AF2111" s="532" t="str">
        <f t="shared" si="495"/>
        <v/>
      </c>
    </row>
    <row r="2112" spans="2:32" x14ac:dyDescent="0.25">
      <c r="B2112" s="695"/>
      <c r="C2112" s="197" t="str">
        <f>IF(B2112&lt;&gt;"",IFERROR(VLOOKUP(B:B,'מצבת והרשמה (2)'!$C$20:$N$520,2,0)," ")," ")</f>
        <v xml:space="preserve"> </v>
      </c>
      <c r="D2112" s="695"/>
      <c r="E2112" s="696"/>
      <c r="F2112" s="696"/>
      <c r="G2112" s="696"/>
      <c r="H2112" s="696"/>
      <c r="I2112" s="1050" t="str">
        <f t="shared" si="482"/>
        <v/>
      </c>
      <c r="J2112" s="696"/>
      <c r="K2112" s="697"/>
      <c r="L2112" s="696"/>
      <c r="M2112" s="198" t="str">
        <f t="shared" si="483"/>
        <v/>
      </c>
      <c r="N2112" s="369" t="str">
        <f t="shared" si="484"/>
        <v/>
      </c>
      <c r="O2112" s="183" t="str">
        <f t="shared" si="485"/>
        <v/>
      </c>
      <c r="P2112" s="199" t="str">
        <f t="shared" si="486"/>
        <v/>
      </c>
      <c r="Q2112" s="199" t="str">
        <f>IF(B2112="","",IFERROR(IF('עלויות כח אדם (6)'!J2112&gt;=VLOOKUP(I2112,'סיווג התפקידים והעלויות'!$B$23:$C$32,2,0),"תקין","לא תקין"),""))</f>
        <v/>
      </c>
      <c r="R2112" s="199" t="str">
        <f t="shared" si="487"/>
        <v/>
      </c>
      <c r="S2112" s="199" t="str">
        <f t="shared" si="488"/>
        <v/>
      </c>
      <c r="T2112" s="199" t="str">
        <f t="shared" si="496"/>
        <v/>
      </c>
      <c r="U2112" s="199" t="str">
        <f t="shared" si="489"/>
        <v/>
      </c>
      <c r="V2112" s="989"/>
      <c r="X2112" s="374" t="str">
        <f t="shared" si="490"/>
        <v/>
      </c>
      <c r="Y2112" s="375" t="str">
        <f t="shared" si="491"/>
        <v/>
      </c>
      <c r="Z2112" s="374" t="str">
        <f t="shared" si="492"/>
        <v/>
      </c>
      <c r="AA2112" s="374" t="b">
        <f t="shared" si="493"/>
        <v>1</v>
      </c>
      <c r="AB2112" s="374">
        <f>COUNTIFS(B:B,B2112,H:H,'סיווג התפקידים והעלויות'!$C$2)</f>
        <v>0</v>
      </c>
      <c r="AC2112" s="374">
        <f>COUNTIFS(B:B,B2112,H:H,'סיווג התפקידים והעלויות'!$D$2)</f>
        <v>0</v>
      </c>
      <c r="AD2112" s="374" t="str">
        <f>IF(OR(AND(H2112='סיווג התפקידים והעלויות'!$A$2,I2112='סיווג התפקידים והעלויות'!$A$3),'עלויות כח אדם (6)'!H2112='סיווג התפקידים והעלויות'!$C$2,'עלויות כח אדם (6)'!H2112='סיווג התפקידים והעלויות'!$D$2),IF('עלויות כח אדם (6)'!J2112&lt;75,"לא תקין","תקין"),"")</f>
        <v/>
      </c>
      <c r="AE2112" s="374" t="str">
        <f t="shared" si="494"/>
        <v/>
      </c>
      <c r="AF2112" s="532" t="str">
        <f t="shared" si="495"/>
        <v/>
      </c>
    </row>
    <row r="2113" spans="2:32" x14ac:dyDescent="0.25">
      <c r="B2113" s="695"/>
      <c r="C2113" s="197" t="str">
        <f>IF(B2113&lt;&gt;"",IFERROR(VLOOKUP(B:B,'מצבת והרשמה (2)'!$C$20:$N$520,2,0)," ")," ")</f>
        <v xml:space="preserve"> </v>
      </c>
      <c r="D2113" s="695"/>
      <c r="E2113" s="696"/>
      <c r="F2113" s="696"/>
      <c r="G2113" s="696"/>
      <c r="H2113" s="696"/>
      <c r="I2113" s="1050" t="str">
        <f t="shared" si="482"/>
        <v/>
      </c>
      <c r="J2113" s="696"/>
      <c r="K2113" s="697"/>
      <c r="L2113" s="696"/>
      <c r="M2113" s="198" t="str">
        <f t="shared" si="483"/>
        <v/>
      </c>
      <c r="N2113" s="369" t="str">
        <f t="shared" si="484"/>
        <v/>
      </c>
      <c r="O2113" s="183" t="str">
        <f t="shared" si="485"/>
        <v/>
      </c>
      <c r="P2113" s="199" t="str">
        <f t="shared" si="486"/>
        <v/>
      </c>
      <c r="Q2113" s="199" t="str">
        <f>IF(B2113="","",IFERROR(IF('עלויות כח אדם (6)'!J2113&gt;=VLOOKUP(I2113,'סיווג התפקידים והעלויות'!$B$23:$C$32,2,0),"תקין","לא תקין"),""))</f>
        <v/>
      </c>
      <c r="R2113" s="199" t="str">
        <f t="shared" si="487"/>
        <v/>
      </c>
      <c r="S2113" s="199" t="str">
        <f t="shared" si="488"/>
        <v/>
      </c>
      <c r="T2113" s="199" t="str">
        <f t="shared" si="496"/>
        <v/>
      </c>
      <c r="U2113" s="199" t="str">
        <f t="shared" si="489"/>
        <v/>
      </c>
      <c r="V2113" s="989"/>
      <c r="X2113" s="374" t="str">
        <f t="shared" si="490"/>
        <v/>
      </c>
      <c r="Y2113" s="375" t="str">
        <f t="shared" si="491"/>
        <v/>
      </c>
      <c r="Z2113" s="374" t="str">
        <f t="shared" si="492"/>
        <v/>
      </c>
      <c r="AA2113" s="374" t="b">
        <f t="shared" si="493"/>
        <v>1</v>
      </c>
      <c r="AB2113" s="374">
        <f>COUNTIFS(B:B,B2113,H:H,'סיווג התפקידים והעלויות'!$C$2)</f>
        <v>0</v>
      </c>
      <c r="AC2113" s="374">
        <f>COUNTIFS(B:B,B2113,H:H,'סיווג התפקידים והעלויות'!$D$2)</f>
        <v>0</v>
      </c>
      <c r="AD2113" s="374" t="str">
        <f>IF(OR(AND(H2113='סיווג התפקידים והעלויות'!$A$2,I2113='סיווג התפקידים והעלויות'!$A$3),'עלויות כח אדם (6)'!H2113='סיווג התפקידים והעלויות'!$C$2,'עלויות כח אדם (6)'!H2113='סיווג התפקידים והעלויות'!$D$2),IF('עלויות כח אדם (6)'!J2113&lt;75,"לא תקין","תקין"),"")</f>
        <v/>
      </c>
      <c r="AE2113" s="374" t="str">
        <f t="shared" si="494"/>
        <v/>
      </c>
      <c r="AF2113" s="532" t="str">
        <f t="shared" si="495"/>
        <v/>
      </c>
    </row>
    <row r="2114" spans="2:32" x14ac:dyDescent="0.25">
      <c r="B2114" s="695"/>
      <c r="C2114" s="197" t="str">
        <f>IF(B2114&lt;&gt;"",IFERROR(VLOOKUP(B:B,'מצבת והרשמה (2)'!$C$20:$N$520,2,0)," ")," ")</f>
        <v xml:space="preserve"> </v>
      </c>
      <c r="D2114" s="695"/>
      <c r="E2114" s="696"/>
      <c r="F2114" s="696"/>
      <c r="G2114" s="696"/>
      <c r="H2114" s="696"/>
      <c r="I2114" s="1050" t="str">
        <f t="shared" si="482"/>
        <v/>
      </c>
      <c r="J2114" s="696"/>
      <c r="K2114" s="697"/>
      <c r="L2114" s="696"/>
      <c r="M2114" s="198" t="str">
        <f t="shared" si="483"/>
        <v/>
      </c>
      <c r="N2114" s="369" t="str">
        <f t="shared" si="484"/>
        <v/>
      </c>
      <c r="O2114" s="183" t="str">
        <f t="shared" si="485"/>
        <v/>
      </c>
      <c r="P2114" s="199" t="str">
        <f t="shared" si="486"/>
        <v/>
      </c>
      <c r="Q2114" s="199" t="str">
        <f>IF(B2114="","",IFERROR(IF('עלויות כח אדם (6)'!J2114&gt;=VLOOKUP(I2114,'סיווג התפקידים והעלויות'!$B$23:$C$32,2,0),"תקין","לא תקין"),""))</f>
        <v/>
      </c>
      <c r="R2114" s="199" t="str">
        <f t="shared" si="487"/>
        <v/>
      </c>
      <c r="S2114" s="199" t="str">
        <f t="shared" si="488"/>
        <v/>
      </c>
      <c r="T2114" s="199" t="str">
        <f t="shared" si="496"/>
        <v/>
      </c>
      <c r="U2114" s="199" t="str">
        <f t="shared" si="489"/>
        <v/>
      </c>
      <c r="V2114" s="989"/>
      <c r="X2114" s="374" t="str">
        <f t="shared" si="490"/>
        <v/>
      </c>
      <c r="Y2114" s="375" t="str">
        <f t="shared" si="491"/>
        <v/>
      </c>
      <c r="Z2114" s="374" t="str">
        <f t="shared" si="492"/>
        <v/>
      </c>
      <c r="AA2114" s="374" t="b">
        <f t="shared" si="493"/>
        <v>1</v>
      </c>
      <c r="AB2114" s="374">
        <f>COUNTIFS(B:B,B2114,H:H,'סיווג התפקידים והעלויות'!$C$2)</f>
        <v>0</v>
      </c>
      <c r="AC2114" s="374">
        <f>COUNTIFS(B:B,B2114,H:H,'סיווג התפקידים והעלויות'!$D$2)</f>
        <v>0</v>
      </c>
      <c r="AD2114" s="374" t="str">
        <f>IF(OR(AND(H2114='סיווג התפקידים והעלויות'!$A$2,I2114='סיווג התפקידים והעלויות'!$A$3),'עלויות כח אדם (6)'!H2114='סיווג התפקידים והעלויות'!$C$2,'עלויות כח אדם (6)'!H2114='סיווג התפקידים והעלויות'!$D$2),IF('עלויות כח אדם (6)'!J2114&lt;75,"לא תקין","תקין"),"")</f>
        <v/>
      </c>
      <c r="AE2114" s="374" t="str">
        <f t="shared" si="494"/>
        <v/>
      </c>
      <c r="AF2114" s="532" t="str">
        <f t="shared" si="495"/>
        <v/>
      </c>
    </row>
    <row r="2115" spans="2:32" x14ac:dyDescent="0.25">
      <c r="B2115" s="695"/>
      <c r="C2115" s="197" t="str">
        <f>IF(B2115&lt;&gt;"",IFERROR(VLOOKUP(B:B,'מצבת והרשמה (2)'!$C$20:$N$520,2,0)," ")," ")</f>
        <v xml:space="preserve"> </v>
      </c>
      <c r="D2115" s="695"/>
      <c r="E2115" s="696"/>
      <c r="F2115" s="696"/>
      <c r="G2115" s="696"/>
      <c r="H2115" s="696"/>
      <c r="I2115" s="1050" t="str">
        <f t="shared" si="482"/>
        <v/>
      </c>
      <c r="J2115" s="696"/>
      <c r="K2115" s="697"/>
      <c r="L2115" s="696"/>
      <c r="M2115" s="198" t="str">
        <f t="shared" si="483"/>
        <v/>
      </c>
      <c r="N2115" s="369" t="str">
        <f t="shared" si="484"/>
        <v/>
      </c>
      <c r="O2115" s="183" t="str">
        <f t="shared" si="485"/>
        <v/>
      </c>
      <c r="P2115" s="199" t="str">
        <f t="shared" si="486"/>
        <v/>
      </c>
      <c r="Q2115" s="199" t="str">
        <f>IF(B2115="","",IFERROR(IF('עלויות כח אדם (6)'!J2115&gt;=VLOOKUP(I2115,'סיווג התפקידים והעלויות'!$B$23:$C$32,2,0),"תקין","לא תקין"),""))</f>
        <v/>
      </c>
      <c r="R2115" s="199" t="str">
        <f t="shared" si="487"/>
        <v/>
      </c>
      <c r="S2115" s="199" t="str">
        <f t="shared" si="488"/>
        <v/>
      </c>
      <c r="T2115" s="199" t="str">
        <f t="shared" si="496"/>
        <v/>
      </c>
      <c r="U2115" s="199" t="str">
        <f t="shared" si="489"/>
        <v/>
      </c>
      <c r="V2115" s="989"/>
      <c r="X2115" s="374" t="str">
        <f t="shared" si="490"/>
        <v/>
      </c>
      <c r="Y2115" s="375" t="str">
        <f t="shared" si="491"/>
        <v/>
      </c>
      <c r="Z2115" s="374" t="str">
        <f t="shared" si="492"/>
        <v/>
      </c>
      <c r="AA2115" s="374" t="b">
        <f t="shared" si="493"/>
        <v>1</v>
      </c>
      <c r="AB2115" s="374">
        <f>COUNTIFS(B:B,B2115,H:H,'סיווג התפקידים והעלויות'!$C$2)</f>
        <v>0</v>
      </c>
      <c r="AC2115" s="374">
        <f>COUNTIFS(B:B,B2115,H:H,'סיווג התפקידים והעלויות'!$D$2)</f>
        <v>0</v>
      </c>
      <c r="AD2115" s="374" t="str">
        <f>IF(OR(AND(H2115='סיווג התפקידים והעלויות'!$A$2,I2115='סיווג התפקידים והעלויות'!$A$3),'עלויות כח אדם (6)'!H2115='סיווג התפקידים והעלויות'!$C$2,'עלויות כח אדם (6)'!H2115='סיווג התפקידים והעלויות'!$D$2),IF('עלויות כח אדם (6)'!J2115&lt;75,"לא תקין","תקין"),"")</f>
        <v/>
      </c>
      <c r="AE2115" s="374" t="str">
        <f t="shared" si="494"/>
        <v/>
      </c>
      <c r="AF2115" s="532" t="str">
        <f t="shared" si="495"/>
        <v/>
      </c>
    </row>
    <row r="2116" spans="2:32" x14ac:dyDescent="0.25">
      <c r="B2116" s="695"/>
      <c r="C2116" s="197" t="str">
        <f>IF(B2116&lt;&gt;"",IFERROR(VLOOKUP(B:B,'מצבת והרשמה (2)'!$C$20:$N$520,2,0)," ")," ")</f>
        <v xml:space="preserve"> </v>
      </c>
      <c r="D2116" s="695"/>
      <c r="E2116" s="696"/>
      <c r="F2116" s="696"/>
      <c r="G2116" s="696"/>
      <c r="H2116" s="696"/>
      <c r="I2116" s="1050" t="str">
        <f t="shared" si="482"/>
        <v/>
      </c>
      <c r="J2116" s="696"/>
      <c r="K2116" s="697"/>
      <c r="L2116" s="696"/>
      <c r="M2116" s="198" t="str">
        <f t="shared" si="483"/>
        <v/>
      </c>
      <c r="N2116" s="369" t="str">
        <f t="shared" si="484"/>
        <v/>
      </c>
      <c r="O2116" s="183" t="str">
        <f t="shared" si="485"/>
        <v/>
      </c>
      <c r="P2116" s="199" t="str">
        <f t="shared" si="486"/>
        <v/>
      </c>
      <c r="Q2116" s="199" t="str">
        <f>IF(B2116="","",IFERROR(IF('עלויות כח אדם (6)'!J2116&gt;=VLOOKUP(I2116,'סיווג התפקידים והעלויות'!$B$23:$C$32,2,0),"תקין","לא תקין"),""))</f>
        <v/>
      </c>
      <c r="R2116" s="199" t="str">
        <f t="shared" si="487"/>
        <v/>
      </c>
      <c r="S2116" s="199" t="str">
        <f t="shared" si="488"/>
        <v/>
      </c>
      <c r="T2116" s="199" t="str">
        <f t="shared" si="496"/>
        <v/>
      </c>
      <c r="U2116" s="199" t="str">
        <f t="shared" si="489"/>
        <v/>
      </c>
      <c r="V2116" s="989"/>
      <c r="X2116" s="374" t="str">
        <f t="shared" si="490"/>
        <v/>
      </c>
      <c r="Y2116" s="375" t="str">
        <f t="shared" si="491"/>
        <v/>
      </c>
      <c r="Z2116" s="374" t="str">
        <f t="shared" si="492"/>
        <v/>
      </c>
      <c r="AA2116" s="374" t="b">
        <f t="shared" si="493"/>
        <v>1</v>
      </c>
      <c r="AB2116" s="374">
        <f>COUNTIFS(B:B,B2116,H:H,'סיווג התפקידים והעלויות'!$C$2)</f>
        <v>0</v>
      </c>
      <c r="AC2116" s="374">
        <f>COUNTIFS(B:B,B2116,H:H,'סיווג התפקידים והעלויות'!$D$2)</f>
        <v>0</v>
      </c>
      <c r="AD2116" s="374" t="str">
        <f>IF(OR(AND(H2116='סיווג התפקידים והעלויות'!$A$2,I2116='סיווג התפקידים והעלויות'!$A$3),'עלויות כח אדם (6)'!H2116='סיווג התפקידים והעלויות'!$C$2,'עלויות כח אדם (6)'!H2116='סיווג התפקידים והעלויות'!$D$2),IF('עלויות כח אדם (6)'!J2116&lt;75,"לא תקין","תקין"),"")</f>
        <v/>
      </c>
      <c r="AE2116" s="374" t="str">
        <f t="shared" si="494"/>
        <v/>
      </c>
      <c r="AF2116" s="532" t="str">
        <f t="shared" si="495"/>
        <v/>
      </c>
    </row>
    <row r="2117" spans="2:32" x14ac:dyDescent="0.25">
      <c r="B2117" s="695"/>
      <c r="C2117" s="197" t="str">
        <f>IF(B2117&lt;&gt;"",IFERROR(VLOOKUP(B:B,'מצבת והרשמה (2)'!$C$20:$N$520,2,0)," ")," ")</f>
        <v xml:space="preserve"> </v>
      </c>
      <c r="D2117" s="695"/>
      <c r="E2117" s="696"/>
      <c r="F2117" s="696"/>
      <c r="G2117" s="696"/>
      <c r="H2117" s="696"/>
      <c r="I2117" s="1050" t="str">
        <f t="shared" si="482"/>
        <v/>
      </c>
      <c r="J2117" s="696"/>
      <c r="K2117" s="697"/>
      <c r="L2117" s="696"/>
      <c r="M2117" s="198" t="str">
        <f t="shared" si="483"/>
        <v/>
      </c>
      <c r="N2117" s="369" t="str">
        <f t="shared" si="484"/>
        <v/>
      </c>
      <c r="O2117" s="183" t="str">
        <f t="shared" si="485"/>
        <v/>
      </c>
      <c r="P2117" s="199" t="str">
        <f t="shared" si="486"/>
        <v/>
      </c>
      <c r="Q2117" s="199" t="str">
        <f>IF(B2117="","",IFERROR(IF('עלויות כח אדם (6)'!J2117&gt;=VLOOKUP(I2117,'סיווג התפקידים והעלויות'!$B$23:$C$32,2,0),"תקין","לא תקין"),""))</f>
        <v/>
      </c>
      <c r="R2117" s="199" t="str">
        <f t="shared" si="487"/>
        <v/>
      </c>
      <c r="S2117" s="199" t="str">
        <f t="shared" si="488"/>
        <v/>
      </c>
      <c r="T2117" s="199" t="str">
        <f t="shared" si="496"/>
        <v/>
      </c>
      <c r="U2117" s="199" t="str">
        <f t="shared" si="489"/>
        <v/>
      </c>
      <c r="V2117" s="989"/>
      <c r="X2117" s="374" t="str">
        <f t="shared" si="490"/>
        <v/>
      </c>
      <c r="Y2117" s="375" t="str">
        <f t="shared" si="491"/>
        <v/>
      </c>
      <c r="Z2117" s="374" t="str">
        <f t="shared" si="492"/>
        <v/>
      </c>
      <c r="AA2117" s="374" t="b">
        <f t="shared" si="493"/>
        <v>1</v>
      </c>
      <c r="AB2117" s="374">
        <f>COUNTIFS(B:B,B2117,H:H,'סיווג התפקידים והעלויות'!$C$2)</f>
        <v>0</v>
      </c>
      <c r="AC2117" s="374">
        <f>COUNTIFS(B:B,B2117,H:H,'סיווג התפקידים והעלויות'!$D$2)</f>
        <v>0</v>
      </c>
      <c r="AD2117" s="374" t="str">
        <f>IF(OR(AND(H2117='סיווג התפקידים והעלויות'!$A$2,I2117='סיווג התפקידים והעלויות'!$A$3),'עלויות כח אדם (6)'!H2117='סיווג התפקידים והעלויות'!$C$2,'עלויות כח אדם (6)'!H2117='סיווג התפקידים והעלויות'!$D$2),IF('עלויות כח אדם (6)'!J2117&lt;75,"לא תקין","תקין"),"")</f>
        <v/>
      </c>
      <c r="AE2117" s="374" t="str">
        <f t="shared" si="494"/>
        <v/>
      </c>
      <c r="AF2117" s="532" t="str">
        <f t="shared" si="495"/>
        <v/>
      </c>
    </row>
    <row r="2118" spans="2:32" x14ac:dyDescent="0.25">
      <c r="B2118" s="695"/>
      <c r="C2118" s="197" t="str">
        <f>IF(B2118&lt;&gt;"",IFERROR(VLOOKUP(B:B,'מצבת והרשמה (2)'!$C$20:$N$520,2,0)," ")," ")</f>
        <v xml:space="preserve"> </v>
      </c>
      <c r="D2118" s="695"/>
      <c r="E2118" s="696"/>
      <c r="F2118" s="696"/>
      <c r="G2118" s="696"/>
      <c r="H2118" s="696"/>
      <c r="I2118" s="1050" t="str">
        <f t="shared" si="482"/>
        <v/>
      </c>
      <c r="J2118" s="696"/>
      <c r="K2118" s="697"/>
      <c r="L2118" s="696"/>
      <c r="M2118" s="198" t="str">
        <f t="shared" si="483"/>
        <v/>
      </c>
      <c r="N2118" s="369" t="str">
        <f t="shared" si="484"/>
        <v/>
      </c>
      <c r="O2118" s="183" t="str">
        <f t="shared" si="485"/>
        <v/>
      </c>
      <c r="P2118" s="199" t="str">
        <f t="shared" si="486"/>
        <v/>
      </c>
      <c r="Q2118" s="199" t="str">
        <f>IF(B2118="","",IFERROR(IF('עלויות כח אדם (6)'!J2118&gt;=VLOOKUP(I2118,'סיווג התפקידים והעלויות'!$B$23:$C$32,2,0),"תקין","לא תקין"),""))</f>
        <v/>
      </c>
      <c r="R2118" s="199" t="str">
        <f t="shared" si="487"/>
        <v/>
      </c>
      <c r="S2118" s="199" t="str">
        <f t="shared" si="488"/>
        <v/>
      </c>
      <c r="T2118" s="199" t="str">
        <f t="shared" si="496"/>
        <v/>
      </c>
      <c r="U2118" s="199" t="str">
        <f t="shared" si="489"/>
        <v/>
      </c>
      <c r="V2118" s="989"/>
      <c r="X2118" s="374" t="str">
        <f t="shared" si="490"/>
        <v/>
      </c>
      <c r="Y2118" s="375" t="str">
        <f t="shared" si="491"/>
        <v/>
      </c>
      <c r="Z2118" s="374" t="str">
        <f t="shared" si="492"/>
        <v/>
      </c>
      <c r="AA2118" s="374" t="b">
        <f t="shared" si="493"/>
        <v>1</v>
      </c>
      <c r="AB2118" s="374">
        <f>COUNTIFS(B:B,B2118,H:H,'סיווג התפקידים והעלויות'!$C$2)</f>
        <v>0</v>
      </c>
      <c r="AC2118" s="374">
        <f>COUNTIFS(B:B,B2118,H:H,'סיווג התפקידים והעלויות'!$D$2)</f>
        <v>0</v>
      </c>
      <c r="AD2118" s="374" t="str">
        <f>IF(OR(AND(H2118='סיווג התפקידים והעלויות'!$A$2,I2118='סיווג התפקידים והעלויות'!$A$3),'עלויות כח אדם (6)'!H2118='סיווג התפקידים והעלויות'!$C$2,'עלויות כח אדם (6)'!H2118='סיווג התפקידים והעלויות'!$D$2),IF('עלויות כח אדם (6)'!J2118&lt;75,"לא תקין","תקין"),"")</f>
        <v/>
      </c>
      <c r="AE2118" s="374" t="str">
        <f t="shared" si="494"/>
        <v/>
      </c>
      <c r="AF2118" s="532" t="str">
        <f t="shared" si="495"/>
        <v/>
      </c>
    </row>
    <row r="2119" spans="2:32" x14ac:dyDescent="0.25">
      <c r="B2119" s="695"/>
      <c r="C2119" s="197" t="str">
        <f>IF(B2119&lt;&gt;"",IFERROR(VLOOKUP(B:B,'מצבת והרשמה (2)'!$C$20:$N$520,2,0)," ")," ")</f>
        <v xml:space="preserve"> </v>
      </c>
      <c r="D2119" s="695"/>
      <c r="E2119" s="696"/>
      <c r="F2119" s="696"/>
      <c r="G2119" s="696"/>
      <c r="H2119" s="696"/>
      <c r="I2119" s="1050" t="str">
        <f t="shared" si="482"/>
        <v/>
      </c>
      <c r="J2119" s="696"/>
      <c r="K2119" s="697"/>
      <c r="L2119" s="696"/>
      <c r="M2119" s="198" t="str">
        <f t="shared" si="483"/>
        <v/>
      </c>
      <c r="N2119" s="369" t="str">
        <f t="shared" si="484"/>
        <v/>
      </c>
      <c r="O2119" s="183" t="str">
        <f t="shared" si="485"/>
        <v/>
      </c>
      <c r="P2119" s="199" t="str">
        <f t="shared" si="486"/>
        <v/>
      </c>
      <c r="Q2119" s="199" t="str">
        <f>IF(B2119="","",IFERROR(IF('עלויות כח אדם (6)'!J2119&gt;=VLOOKUP(I2119,'סיווג התפקידים והעלויות'!$B$23:$C$32,2,0),"תקין","לא תקין"),""))</f>
        <v/>
      </c>
      <c r="R2119" s="199" t="str">
        <f t="shared" si="487"/>
        <v/>
      </c>
      <c r="S2119" s="199" t="str">
        <f t="shared" si="488"/>
        <v/>
      </c>
      <c r="T2119" s="199" t="str">
        <f t="shared" si="496"/>
        <v/>
      </c>
      <c r="U2119" s="199" t="str">
        <f t="shared" si="489"/>
        <v/>
      </c>
      <c r="V2119" s="989"/>
      <c r="X2119" s="374" t="str">
        <f t="shared" si="490"/>
        <v/>
      </c>
      <c r="Y2119" s="375" t="str">
        <f t="shared" si="491"/>
        <v/>
      </c>
      <c r="Z2119" s="374" t="str">
        <f t="shared" si="492"/>
        <v/>
      </c>
      <c r="AA2119" s="374" t="b">
        <f t="shared" si="493"/>
        <v>1</v>
      </c>
      <c r="AB2119" s="374">
        <f>COUNTIFS(B:B,B2119,H:H,'סיווג התפקידים והעלויות'!$C$2)</f>
        <v>0</v>
      </c>
      <c r="AC2119" s="374">
        <f>COUNTIFS(B:B,B2119,H:H,'סיווג התפקידים והעלויות'!$D$2)</f>
        <v>0</v>
      </c>
      <c r="AD2119" s="374" t="str">
        <f>IF(OR(AND(H2119='סיווג התפקידים והעלויות'!$A$2,I2119='סיווג התפקידים והעלויות'!$A$3),'עלויות כח אדם (6)'!H2119='סיווג התפקידים והעלויות'!$C$2,'עלויות כח אדם (6)'!H2119='סיווג התפקידים והעלויות'!$D$2),IF('עלויות כח אדם (6)'!J2119&lt;75,"לא תקין","תקין"),"")</f>
        <v/>
      </c>
      <c r="AE2119" s="374" t="str">
        <f t="shared" si="494"/>
        <v/>
      </c>
      <c r="AF2119" s="532" t="str">
        <f t="shared" si="495"/>
        <v/>
      </c>
    </row>
    <row r="2120" spans="2:32" x14ac:dyDescent="0.25">
      <c r="B2120" s="695"/>
      <c r="C2120" s="197" t="str">
        <f>IF(B2120&lt;&gt;"",IFERROR(VLOOKUP(B:B,'מצבת והרשמה (2)'!$C$20:$N$520,2,0)," ")," ")</f>
        <v xml:space="preserve"> </v>
      </c>
      <c r="D2120" s="695"/>
      <c r="E2120" s="696"/>
      <c r="F2120" s="696"/>
      <c r="G2120" s="696"/>
      <c r="H2120" s="696"/>
      <c r="I2120" s="1050" t="str">
        <f t="shared" si="482"/>
        <v/>
      </c>
      <c r="J2120" s="696"/>
      <c r="K2120" s="697"/>
      <c r="L2120" s="696"/>
      <c r="M2120" s="198" t="str">
        <f t="shared" si="483"/>
        <v/>
      </c>
      <c r="N2120" s="369" t="str">
        <f t="shared" si="484"/>
        <v/>
      </c>
      <c r="O2120" s="183" t="str">
        <f t="shared" si="485"/>
        <v/>
      </c>
      <c r="P2120" s="199" t="str">
        <f t="shared" si="486"/>
        <v/>
      </c>
      <c r="Q2120" s="199" t="str">
        <f>IF(B2120="","",IFERROR(IF('עלויות כח אדם (6)'!J2120&gt;=VLOOKUP(I2120,'סיווג התפקידים והעלויות'!$B$23:$C$32,2,0),"תקין","לא תקין"),""))</f>
        <v/>
      </c>
      <c r="R2120" s="199" t="str">
        <f t="shared" si="487"/>
        <v/>
      </c>
      <c r="S2120" s="199" t="str">
        <f t="shared" si="488"/>
        <v/>
      </c>
      <c r="T2120" s="199" t="str">
        <f t="shared" si="496"/>
        <v/>
      </c>
      <c r="U2120" s="199" t="str">
        <f t="shared" si="489"/>
        <v/>
      </c>
      <c r="V2120" s="989"/>
      <c r="X2120" s="374" t="str">
        <f t="shared" si="490"/>
        <v/>
      </c>
      <c r="Y2120" s="375" t="str">
        <f t="shared" si="491"/>
        <v/>
      </c>
      <c r="Z2120" s="374" t="str">
        <f t="shared" si="492"/>
        <v/>
      </c>
      <c r="AA2120" s="374" t="b">
        <f t="shared" si="493"/>
        <v>1</v>
      </c>
      <c r="AB2120" s="374">
        <f>COUNTIFS(B:B,B2120,H:H,'סיווג התפקידים והעלויות'!$C$2)</f>
        <v>0</v>
      </c>
      <c r="AC2120" s="374">
        <f>COUNTIFS(B:B,B2120,H:H,'סיווג התפקידים והעלויות'!$D$2)</f>
        <v>0</v>
      </c>
      <c r="AD2120" s="374" t="str">
        <f>IF(OR(AND(H2120='סיווג התפקידים והעלויות'!$A$2,I2120='סיווג התפקידים והעלויות'!$A$3),'עלויות כח אדם (6)'!H2120='סיווג התפקידים והעלויות'!$C$2,'עלויות כח אדם (6)'!H2120='סיווג התפקידים והעלויות'!$D$2),IF('עלויות כח אדם (6)'!J2120&lt;75,"לא תקין","תקין"),"")</f>
        <v/>
      </c>
      <c r="AE2120" s="374" t="str">
        <f t="shared" si="494"/>
        <v/>
      </c>
      <c r="AF2120" s="532" t="str">
        <f t="shared" si="495"/>
        <v/>
      </c>
    </row>
    <row r="2121" spans="2:32" x14ac:dyDescent="0.25">
      <c r="B2121" s="695"/>
      <c r="C2121" s="197" t="str">
        <f>IF(B2121&lt;&gt;"",IFERROR(VLOOKUP(B:B,'מצבת והרשמה (2)'!$C$20:$N$520,2,0)," ")," ")</f>
        <v xml:space="preserve"> </v>
      </c>
      <c r="D2121" s="695"/>
      <c r="E2121" s="696"/>
      <c r="F2121" s="696"/>
      <c r="G2121" s="696"/>
      <c r="H2121" s="696"/>
      <c r="I2121" s="1050" t="str">
        <f t="shared" si="482"/>
        <v/>
      </c>
      <c r="J2121" s="696"/>
      <c r="K2121" s="697"/>
      <c r="L2121" s="696"/>
      <c r="M2121" s="198" t="str">
        <f t="shared" si="483"/>
        <v/>
      </c>
      <c r="N2121" s="369" t="str">
        <f t="shared" si="484"/>
        <v/>
      </c>
      <c r="O2121" s="183" t="str">
        <f t="shared" si="485"/>
        <v/>
      </c>
      <c r="P2121" s="199" t="str">
        <f t="shared" si="486"/>
        <v/>
      </c>
      <c r="Q2121" s="199" t="str">
        <f>IF(B2121="","",IFERROR(IF('עלויות כח אדם (6)'!J2121&gt;=VLOOKUP(I2121,'סיווג התפקידים והעלויות'!$B$23:$C$32,2,0),"תקין","לא תקין"),""))</f>
        <v/>
      </c>
      <c r="R2121" s="199" t="str">
        <f t="shared" si="487"/>
        <v/>
      </c>
      <c r="S2121" s="199" t="str">
        <f t="shared" si="488"/>
        <v/>
      </c>
      <c r="T2121" s="199" t="str">
        <f t="shared" si="496"/>
        <v/>
      </c>
      <c r="U2121" s="199" t="str">
        <f t="shared" si="489"/>
        <v/>
      </c>
      <c r="V2121" s="989"/>
      <c r="X2121" s="374" t="str">
        <f t="shared" si="490"/>
        <v/>
      </c>
      <c r="Y2121" s="375" t="str">
        <f t="shared" si="491"/>
        <v/>
      </c>
      <c r="Z2121" s="374" t="str">
        <f t="shared" si="492"/>
        <v/>
      </c>
      <c r="AA2121" s="374" t="b">
        <f t="shared" si="493"/>
        <v>1</v>
      </c>
      <c r="AB2121" s="374">
        <f>COUNTIFS(B:B,B2121,H:H,'סיווג התפקידים והעלויות'!$C$2)</f>
        <v>0</v>
      </c>
      <c r="AC2121" s="374">
        <f>COUNTIFS(B:B,B2121,H:H,'סיווג התפקידים והעלויות'!$D$2)</f>
        <v>0</v>
      </c>
      <c r="AD2121" s="374" t="str">
        <f>IF(OR(AND(H2121='סיווג התפקידים והעלויות'!$A$2,I2121='סיווג התפקידים והעלויות'!$A$3),'עלויות כח אדם (6)'!H2121='סיווג התפקידים והעלויות'!$C$2,'עלויות כח אדם (6)'!H2121='סיווג התפקידים והעלויות'!$D$2),IF('עלויות כח אדם (6)'!J2121&lt;75,"לא תקין","תקין"),"")</f>
        <v/>
      </c>
      <c r="AE2121" s="374" t="str">
        <f t="shared" si="494"/>
        <v/>
      </c>
      <c r="AF2121" s="532" t="str">
        <f t="shared" si="495"/>
        <v/>
      </c>
    </row>
    <row r="2122" spans="2:32" x14ac:dyDescent="0.25">
      <c r="B2122" s="695"/>
      <c r="C2122" s="197" t="str">
        <f>IF(B2122&lt;&gt;"",IFERROR(VLOOKUP(B:B,'מצבת והרשמה (2)'!$C$20:$N$520,2,0)," ")," ")</f>
        <v xml:space="preserve"> </v>
      </c>
      <c r="D2122" s="695"/>
      <c r="E2122" s="696"/>
      <c r="F2122" s="696"/>
      <c r="G2122" s="696"/>
      <c r="H2122" s="696"/>
      <c r="I2122" s="1050" t="str">
        <f t="shared" si="482"/>
        <v/>
      </c>
      <c r="J2122" s="696"/>
      <c r="K2122" s="697"/>
      <c r="L2122" s="696"/>
      <c r="M2122" s="198" t="str">
        <f t="shared" si="483"/>
        <v/>
      </c>
      <c r="N2122" s="369" t="str">
        <f t="shared" si="484"/>
        <v/>
      </c>
      <c r="O2122" s="183" t="str">
        <f t="shared" si="485"/>
        <v/>
      </c>
      <c r="P2122" s="199" t="str">
        <f t="shared" si="486"/>
        <v/>
      </c>
      <c r="Q2122" s="199" t="str">
        <f>IF(B2122="","",IFERROR(IF('עלויות כח אדם (6)'!J2122&gt;=VLOOKUP(I2122,'סיווג התפקידים והעלויות'!$B$23:$C$32,2,0),"תקין","לא תקין"),""))</f>
        <v/>
      </c>
      <c r="R2122" s="199" t="str">
        <f t="shared" si="487"/>
        <v/>
      </c>
      <c r="S2122" s="199" t="str">
        <f t="shared" si="488"/>
        <v/>
      </c>
      <c r="T2122" s="199" t="str">
        <f t="shared" si="496"/>
        <v/>
      </c>
      <c r="U2122" s="199" t="str">
        <f t="shared" si="489"/>
        <v/>
      </c>
      <c r="V2122" s="989"/>
      <c r="X2122" s="374" t="str">
        <f t="shared" si="490"/>
        <v/>
      </c>
      <c r="Y2122" s="375" t="str">
        <f t="shared" si="491"/>
        <v/>
      </c>
      <c r="Z2122" s="374" t="str">
        <f t="shared" si="492"/>
        <v/>
      </c>
      <c r="AA2122" s="374" t="b">
        <f t="shared" si="493"/>
        <v>1</v>
      </c>
      <c r="AB2122" s="374">
        <f>COUNTIFS(B:B,B2122,H:H,'סיווג התפקידים והעלויות'!$C$2)</f>
        <v>0</v>
      </c>
      <c r="AC2122" s="374">
        <f>COUNTIFS(B:B,B2122,H:H,'סיווג התפקידים והעלויות'!$D$2)</f>
        <v>0</v>
      </c>
      <c r="AD2122" s="374" t="str">
        <f>IF(OR(AND(H2122='סיווג התפקידים והעלויות'!$A$2,I2122='סיווג התפקידים והעלויות'!$A$3),'עלויות כח אדם (6)'!H2122='סיווג התפקידים והעלויות'!$C$2,'עלויות כח אדם (6)'!H2122='סיווג התפקידים והעלויות'!$D$2),IF('עלויות כח אדם (6)'!J2122&lt;75,"לא תקין","תקין"),"")</f>
        <v/>
      </c>
      <c r="AE2122" s="374" t="str">
        <f t="shared" si="494"/>
        <v/>
      </c>
      <c r="AF2122" s="532" t="str">
        <f t="shared" si="495"/>
        <v/>
      </c>
    </row>
    <row r="2123" spans="2:32" x14ac:dyDescent="0.25">
      <c r="B2123" s="695"/>
      <c r="C2123" s="197" t="str">
        <f>IF(B2123&lt;&gt;"",IFERROR(VLOOKUP(B:B,'מצבת והרשמה (2)'!$C$20:$N$520,2,0)," ")," ")</f>
        <v xml:space="preserve"> </v>
      </c>
      <c r="D2123" s="695"/>
      <c r="E2123" s="696"/>
      <c r="F2123" s="696"/>
      <c r="G2123" s="696"/>
      <c r="H2123" s="696"/>
      <c r="I2123" s="1050" t="str">
        <f t="shared" si="482"/>
        <v/>
      </c>
      <c r="J2123" s="696"/>
      <c r="K2123" s="697"/>
      <c r="L2123" s="696"/>
      <c r="M2123" s="198" t="str">
        <f t="shared" si="483"/>
        <v/>
      </c>
      <c r="N2123" s="369" t="str">
        <f t="shared" si="484"/>
        <v/>
      </c>
      <c r="O2123" s="183" t="str">
        <f t="shared" si="485"/>
        <v/>
      </c>
      <c r="P2123" s="199" t="str">
        <f t="shared" si="486"/>
        <v/>
      </c>
      <c r="Q2123" s="199" t="str">
        <f>IF(B2123="","",IFERROR(IF('עלויות כח אדם (6)'!J2123&gt;=VLOOKUP(I2123,'סיווג התפקידים והעלויות'!$B$23:$C$32,2,0),"תקין","לא תקין"),""))</f>
        <v/>
      </c>
      <c r="R2123" s="199" t="str">
        <f t="shared" si="487"/>
        <v/>
      </c>
      <c r="S2123" s="199" t="str">
        <f t="shared" si="488"/>
        <v/>
      </c>
      <c r="T2123" s="199" t="str">
        <f t="shared" si="496"/>
        <v/>
      </c>
      <c r="U2123" s="199" t="str">
        <f t="shared" si="489"/>
        <v/>
      </c>
      <c r="V2123" s="989"/>
      <c r="X2123" s="374" t="str">
        <f t="shared" si="490"/>
        <v/>
      </c>
      <c r="Y2123" s="375" t="str">
        <f t="shared" si="491"/>
        <v/>
      </c>
      <c r="Z2123" s="374" t="str">
        <f t="shared" si="492"/>
        <v/>
      </c>
      <c r="AA2123" s="374" t="b">
        <f t="shared" si="493"/>
        <v>1</v>
      </c>
      <c r="AB2123" s="374">
        <f>COUNTIFS(B:B,B2123,H:H,'סיווג התפקידים והעלויות'!$C$2)</f>
        <v>0</v>
      </c>
      <c r="AC2123" s="374">
        <f>COUNTIFS(B:B,B2123,H:H,'סיווג התפקידים והעלויות'!$D$2)</f>
        <v>0</v>
      </c>
      <c r="AD2123" s="374" t="str">
        <f>IF(OR(AND(H2123='סיווג התפקידים והעלויות'!$A$2,I2123='סיווג התפקידים והעלויות'!$A$3),'עלויות כח אדם (6)'!H2123='סיווג התפקידים והעלויות'!$C$2,'עלויות כח אדם (6)'!H2123='סיווג התפקידים והעלויות'!$D$2),IF('עלויות כח אדם (6)'!J2123&lt;75,"לא תקין","תקין"),"")</f>
        <v/>
      </c>
      <c r="AE2123" s="374" t="str">
        <f t="shared" si="494"/>
        <v/>
      </c>
      <c r="AF2123" s="532" t="str">
        <f t="shared" si="495"/>
        <v/>
      </c>
    </row>
    <row r="2124" spans="2:32" x14ac:dyDescent="0.25">
      <c r="B2124" s="695"/>
      <c r="C2124" s="197" t="str">
        <f>IF(B2124&lt;&gt;"",IFERROR(VLOOKUP(B:B,'מצבת והרשמה (2)'!$C$20:$N$520,2,0)," ")," ")</f>
        <v xml:space="preserve"> </v>
      </c>
      <c r="D2124" s="695"/>
      <c r="E2124" s="696"/>
      <c r="F2124" s="696"/>
      <c r="G2124" s="696"/>
      <c r="H2124" s="696"/>
      <c r="I2124" s="1050" t="str">
        <f t="shared" si="482"/>
        <v/>
      </c>
      <c r="J2124" s="696"/>
      <c r="K2124" s="697"/>
      <c r="L2124" s="696"/>
      <c r="M2124" s="198" t="str">
        <f t="shared" si="483"/>
        <v/>
      </c>
      <c r="N2124" s="369" t="str">
        <f t="shared" si="484"/>
        <v/>
      </c>
      <c r="O2124" s="183" t="str">
        <f t="shared" si="485"/>
        <v/>
      </c>
      <c r="P2124" s="199" t="str">
        <f t="shared" si="486"/>
        <v/>
      </c>
      <c r="Q2124" s="199" t="str">
        <f>IF(B2124="","",IFERROR(IF('עלויות כח אדם (6)'!J2124&gt;=VLOOKUP(I2124,'סיווג התפקידים והעלויות'!$B$23:$C$32,2,0),"תקין","לא תקין"),""))</f>
        <v/>
      </c>
      <c r="R2124" s="199" t="str">
        <f t="shared" si="487"/>
        <v/>
      </c>
      <c r="S2124" s="199" t="str">
        <f t="shared" si="488"/>
        <v/>
      </c>
      <c r="T2124" s="199" t="str">
        <f t="shared" si="496"/>
        <v/>
      </c>
      <c r="U2124" s="199" t="str">
        <f t="shared" si="489"/>
        <v/>
      </c>
      <c r="V2124" s="989"/>
      <c r="X2124" s="374" t="str">
        <f t="shared" si="490"/>
        <v/>
      </c>
      <c r="Y2124" s="375" t="str">
        <f t="shared" si="491"/>
        <v/>
      </c>
      <c r="Z2124" s="374" t="str">
        <f t="shared" si="492"/>
        <v/>
      </c>
      <c r="AA2124" s="374" t="b">
        <f t="shared" si="493"/>
        <v>1</v>
      </c>
      <c r="AB2124" s="374">
        <f>COUNTIFS(B:B,B2124,H:H,'סיווג התפקידים והעלויות'!$C$2)</f>
        <v>0</v>
      </c>
      <c r="AC2124" s="374">
        <f>COUNTIFS(B:B,B2124,H:H,'סיווג התפקידים והעלויות'!$D$2)</f>
        <v>0</v>
      </c>
      <c r="AD2124" s="374" t="str">
        <f>IF(OR(AND(H2124='סיווג התפקידים והעלויות'!$A$2,I2124='סיווג התפקידים והעלויות'!$A$3),'עלויות כח אדם (6)'!H2124='סיווג התפקידים והעלויות'!$C$2,'עלויות כח אדם (6)'!H2124='סיווג התפקידים והעלויות'!$D$2),IF('עלויות כח אדם (6)'!J2124&lt;75,"לא תקין","תקין"),"")</f>
        <v/>
      </c>
      <c r="AE2124" s="374" t="str">
        <f t="shared" si="494"/>
        <v/>
      </c>
      <c r="AF2124" s="532" t="str">
        <f t="shared" si="495"/>
        <v/>
      </c>
    </row>
    <row r="2125" spans="2:32" x14ac:dyDescent="0.25">
      <c r="B2125" s="695"/>
      <c r="C2125" s="197" t="str">
        <f>IF(B2125&lt;&gt;"",IFERROR(VLOOKUP(B:B,'מצבת והרשמה (2)'!$C$20:$N$520,2,0)," ")," ")</f>
        <v xml:space="preserve"> </v>
      </c>
      <c r="D2125" s="695"/>
      <c r="E2125" s="696"/>
      <c r="F2125" s="696"/>
      <c r="G2125" s="696"/>
      <c r="H2125" s="696"/>
      <c r="I2125" s="1050" t="str">
        <f t="shared" si="482"/>
        <v/>
      </c>
      <c r="J2125" s="696"/>
      <c r="K2125" s="697"/>
      <c r="L2125" s="696"/>
      <c r="M2125" s="198" t="str">
        <f t="shared" si="483"/>
        <v/>
      </c>
      <c r="N2125" s="369" t="str">
        <f t="shared" si="484"/>
        <v/>
      </c>
      <c r="O2125" s="183" t="str">
        <f t="shared" si="485"/>
        <v/>
      </c>
      <c r="P2125" s="199" t="str">
        <f t="shared" si="486"/>
        <v/>
      </c>
      <c r="Q2125" s="199" t="str">
        <f>IF(B2125="","",IFERROR(IF('עלויות כח אדם (6)'!J2125&gt;=VLOOKUP(I2125,'סיווג התפקידים והעלויות'!$B$23:$C$32,2,0),"תקין","לא תקין"),""))</f>
        <v/>
      </c>
      <c r="R2125" s="199" t="str">
        <f t="shared" si="487"/>
        <v/>
      </c>
      <c r="S2125" s="199" t="str">
        <f t="shared" si="488"/>
        <v/>
      </c>
      <c r="T2125" s="199" t="str">
        <f t="shared" si="496"/>
        <v/>
      </c>
      <c r="U2125" s="199" t="str">
        <f t="shared" si="489"/>
        <v/>
      </c>
      <c r="V2125" s="989"/>
      <c r="X2125" s="374" t="str">
        <f t="shared" si="490"/>
        <v/>
      </c>
      <c r="Y2125" s="375" t="str">
        <f t="shared" si="491"/>
        <v/>
      </c>
      <c r="Z2125" s="374" t="str">
        <f t="shared" si="492"/>
        <v/>
      </c>
      <c r="AA2125" s="374" t="b">
        <f t="shared" si="493"/>
        <v>1</v>
      </c>
      <c r="AB2125" s="374">
        <f>COUNTIFS(B:B,B2125,H:H,'סיווג התפקידים והעלויות'!$C$2)</f>
        <v>0</v>
      </c>
      <c r="AC2125" s="374">
        <f>COUNTIFS(B:B,B2125,H:H,'סיווג התפקידים והעלויות'!$D$2)</f>
        <v>0</v>
      </c>
      <c r="AD2125" s="374" t="str">
        <f>IF(OR(AND(H2125='סיווג התפקידים והעלויות'!$A$2,I2125='סיווג התפקידים והעלויות'!$A$3),'עלויות כח אדם (6)'!H2125='סיווג התפקידים והעלויות'!$C$2,'עלויות כח אדם (6)'!H2125='סיווג התפקידים והעלויות'!$D$2),IF('עלויות כח אדם (6)'!J2125&lt;75,"לא תקין","תקין"),"")</f>
        <v/>
      </c>
      <c r="AE2125" s="374" t="str">
        <f t="shared" si="494"/>
        <v/>
      </c>
      <c r="AF2125" s="532" t="str">
        <f t="shared" si="495"/>
        <v/>
      </c>
    </row>
    <row r="2126" spans="2:32" x14ac:dyDescent="0.25">
      <c r="B2126" s="695"/>
      <c r="C2126" s="197" t="str">
        <f>IF(B2126&lt;&gt;"",IFERROR(VLOOKUP(B:B,'מצבת והרשמה (2)'!$C$20:$N$520,2,0)," ")," ")</f>
        <v xml:space="preserve"> </v>
      </c>
      <c r="D2126" s="695"/>
      <c r="E2126" s="696"/>
      <c r="F2126" s="696"/>
      <c r="G2126" s="696"/>
      <c r="H2126" s="696"/>
      <c r="I2126" s="1050" t="str">
        <f t="shared" si="482"/>
        <v/>
      </c>
      <c r="J2126" s="696"/>
      <c r="K2126" s="697"/>
      <c r="L2126" s="696"/>
      <c r="M2126" s="198" t="str">
        <f t="shared" si="483"/>
        <v/>
      </c>
      <c r="N2126" s="369" t="str">
        <f t="shared" si="484"/>
        <v/>
      </c>
      <c r="O2126" s="183" t="str">
        <f t="shared" si="485"/>
        <v/>
      </c>
      <c r="P2126" s="199" t="str">
        <f t="shared" si="486"/>
        <v/>
      </c>
      <c r="Q2126" s="199" t="str">
        <f>IF(B2126="","",IFERROR(IF('עלויות כח אדם (6)'!J2126&gt;=VLOOKUP(I2126,'סיווג התפקידים והעלויות'!$B$23:$C$32,2,0),"תקין","לא תקין"),""))</f>
        <v/>
      </c>
      <c r="R2126" s="199" t="str">
        <f t="shared" si="487"/>
        <v/>
      </c>
      <c r="S2126" s="199" t="str">
        <f t="shared" si="488"/>
        <v/>
      </c>
      <c r="T2126" s="199" t="str">
        <f t="shared" si="496"/>
        <v/>
      </c>
      <c r="U2126" s="199" t="str">
        <f t="shared" si="489"/>
        <v/>
      </c>
      <c r="V2126" s="989"/>
      <c r="X2126" s="374" t="str">
        <f t="shared" si="490"/>
        <v/>
      </c>
      <c r="Y2126" s="375" t="str">
        <f t="shared" si="491"/>
        <v/>
      </c>
      <c r="Z2126" s="374" t="str">
        <f t="shared" si="492"/>
        <v/>
      </c>
      <c r="AA2126" s="374" t="b">
        <f t="shared" si="493"/>
        <v>1</v>
      </c>
      <c r="AB2126" s="374">
        <f>COUNTIFS(B:B,B2126,H:H,'סיווג התפקידים והעלויות'!$C$2)</f>
        <v>0</v>
      </c>
      <c r="AC2126" s="374">
        <f>COUNTIFS(B:B,B2126,H:H,'סיווג התפקידים והעלויות'!$D$2)</f>
        <v>0</v>
      </c>
      <c r="AD2126" s="374" t="str">
        <f>IF(OR(AND(H2126='סיווג התפקידים והעלויות'!$A$2,I2126='סיווג התפקידים והעלויות'!$A$3),'עלויות כח אדם (6)'!H2126='סיווג התפקידים והעלויות'!$C$2,'עלויות כח אדם (6)'!H2126='סיווג התפקידים והעלויות'!$D$2),IF('עלויות כח אדם (6)'!J2126&lt;75,"לא תקין","תקין"),"")</f>
        <v/>
      </c>
      <c r="AE2126" s="374" t="str">
        <f t="shared" si="494"/>
        <v/>
      </c>
      <c r="AF2126" s="532" t="str">
        <f t="shared" si="495"/>
        <v/>
      </c>
    </row>
    <row r="2127" spans="2:32" x14ac:dyDescent="0.25">
      <c r="B2127" s="695"/>
      <c r="C2127" s="197" t="str">
        <f>IF(B2127&lt;&gt;"",IFERROR(VLOOKUP(B:B,'מצבת והרשמה (2)'!$C$20:$N$520,2,0)," ")," ")</f>
        <v xml:space="preserve"> </v>
      </c>
      <c r="D2127" s="695"/>
      <c r="E2127" s="696"/>
      <c r="F2127" s="696"/>
      <c r="G2127" s="696"/>
      <c r="H2127" s="696"/>
      <c r="I2127" s="1050" t="str">
        <f t="shared" ref="I2127:I2190" si="497">SUBSTITUTE(IFERROR(IF(H2127="מדצ","מדצ/ית",IF(H2127="סגנית רכזת מעל 150","סגנ/ית רכז/ת&gt;150",IF(H2127="רכזת תכנית בבית הספר","רכז/ת תכנית בבית הספר"))),""),"FALSE","")</f>
        <v/>
      </c>
      <c r="J2127" s="696"/>
      <c r="K2127" s="697"/>
      <c r="L2127" s="696"/>
      <c r="M2127" s="198" t="str">
        <f t="shared" ref="M2127:M2190" si="498">IF(AND(L2127&gt;0,K2127&gt;0),K2127*L2127,"")</f>
        <v/>
      </c>
      <c r="N2127" s="369" t="str">
        <f t="shared" ref="N2127:N2190" si="499">TEXT(LEFT(H2127,2),0)</f>
        <v/>
      </c>
      <c r="O2127" s="183" t="str">
        <f t="shared" ref="O2127:O2190" si="500">IF(ISNUMBER(M2127&gt;0),IF(ISBLANK(B2127),"יש להזין סמל מוסד בעמודה B",""),"")</f>
        <v/>
      </c>
      <c r="P2127" s="199" t="str">
        <f t="shared" ref="P2127:P2190" si="501">IF(B2127="","",IF(AA2127=FALSE,"לא תקין","תקין"))</f>
        <v/>
      </c>
      <c r="Q2127" s="199" t="str">
        <f>IF(B2127="","",IFERROR(IF('עלויות כח אדם (6)'!J2127&gt;=VLOOKUP(I2127,'סיווג התפקידים והעלויות'!$B$23:$C$32,2,0),"תקין","לא תקין"),""))</f>
        <v/>
      </c>
      <c r="R2127" s="199" t="str">
        <f t="shared" ref="R2127:R2190" si="502">IF(B2127="","",IF(OR(Y2127&lt;100%,Y2127&gt;140%),"לא תקין","תקין"))</f>
        <v/>
      </c>
      <c r="S2127" s="199" t="str">
        <f t="shared" ref="S2127:S2190" si="503">IF(B2127="","",IFERROR(IF(J2127&gt;120,"לא תקין","תקין"),""))</f>
        <v/>
      </c>
      <c r="T2127" s="199" t="str">
        <f t="shared" si="496"/>
        <v/>
      </c>
      <c r="U2127" s="199" t="str">
        <f t="shared" ref="U2127:U2190" si="504">IF(B2127="","",IF(Z2127&gt;1,IF(SUMIF(D:D,D2127,L:L)&gt;90,"לא תקין","תקין"),"תקין"))</f>
        <v/>
      </c>
      <c r="V2127" s="989"/>
      <c r="X2127" s="374" t="str">
        <f t="shared" ref="X2127:X2190" si="505">IF(B2127="","",IF(OR(R2127="לא תקין",S2127="לא תקין",T2127="לא תקין",,U2127="לא תקין"),"לא תקין","תקין"))</f>
        <v/>
      </c>
      <c r="Y2127" s="375" t="str">
        <f t="shared" ref="Y2127:Y2190" si="506">IFERROR(IF(B2127="","",K2127/J2127),"")</f>
        <v/>
      </c>
      <c r="Z2127" s="374" t="str">
        <f t="shared" ref="Z2127:Z2190" si="507">IF(B2127="","",COUNTIF(D:D,D2127))</f>
        <v/>
      </c>
      <c r="AA2127" s="374" t="b">
        <f t="shared" ref="AA2127:AA2190" si="508">MOD(MID(REPT(0,9-LEN(D2127))&amp;D2127,1,1)+MID("0246813579",MID(REPT(0,9-LEN(D2127))&amp;D2127,2,1)+1,1)+MID(REPT(0,9-LEN(D2127))&amp;D2127,3,1)+MID("0246813579",MID(REPT(0,9-LEN(D2127))&amp;D2127,4,1)+1,1)+MID(REPT(0,9-LEN(D2127))&amp;D2127,5,1)+MID("0246813579",MID(REPT(0,9-LEN(D2127))&amp;D2127,6,1)+1,1)+MID(REPT(0,9-LEN(D2127))&amp;D2127,7,1)+MID("0246813579",MID(REPT(0,9-LEN(D2127))&amp;D2127,8,1)+1,1)+MID(REPT(0,9-LEN(D2127))&amp;D2127,9,1),10)=0</f>
        <v>1</v>
      </c>
      <c r="AB2127" s="374">
        <f>COUNTIFS(B:B,B2127,H:H,'סיווג התפקידים והעלויות'!$C$2)</f>
        <v>0</v>
      </c>
      <c r="AC2127" s="374">
        <f>COUNTIFS(B:B,B2127,H:H,'סיווג התפקידים והעלויות'!$D$2)</f>
        <v>0</v>
      </c>
      <c r="AD2127" s="374" t="str">
        <f>IF(OR(AND(H2127='סיווג התפקידים והעלויות'!$A$2,I2127='סיווג התפקידים והעלויות'!$A$3),'עלויות כח אדם (6)'!H2127='סיווג התפקידים והעלויות'!$C$2,'עלויות כח אדם (6)'!H2127='סיווג התפקידים והעלויות'!$D$2),IF('עלויות כח אדם (6)'!J2127&lt;75,"לא תקין","תקין"),"")</f>
        <v/>
      </c>
      <c r="AE2127" s="374" t="str">
        <f t="shared" ref="AE2127:AE2190" si="509">IF(B2127&lt;&gt;"",B2127&amp;H2127,"")</f>
        <v/>
      </c>
      <c r="AF2127" s="532" t="str">
        <f t="shared" ref="AF2127:AF2190" si="510">M2127</f>
        <v/>
      </c>
    </row>
    <row r="2128" spans="2:32" x14ac:dyDescent="0.25">
      <c r="B2128" s="695"/>
      <c r="C2128" s="197" t="str">
        <f>IF(B2128&lt;&gt;"",IFERROR(VLOOKUP(B:B,'מצבת והרשמה (2)'!$C$20:$N$520,2,0)," ")," ")</f>
        <v xml:space="preserve"> </v>
      </c>
      <c r="D2128" s="695"/>
      <c r="E2128" s="696"/>
      <c r="F2128" s="696"/>
      <c r="G2128" s="696"/>
      <c r="H2128" s="696"/>
      <c r="I2128" s="1050" t="str">
        <f t="shared" si="497"/>
        <v/>
      </c>
      <c r="J2128" s="696"/>
      <c r="K2128" s="697"/>
      <c r="L2128" s="696"/>
      <c r="M2128" s="198" t="str">
        <f t="shared" si="498"/>
        <v/>
      </c>
      <c r="N2128" s="369" t="str">
        <f t="shared" si="499"/>
        <v/>
      </c>
      <c r="O2128" s="183" t="str">
        <f t="shared" si="500"/>
        <v/>
      </c>
      <c r="P2128" s="199" t="str">
        <f t="shared" si="501"/>
        <v/>
      </c>
      <c r="Q2128" s="199" t="str">
        <f>IF(B2128="","",IFERROR(IF('עלויות כח אדם (6)'!J2128&gt;=VLOOKUP(I2128,'סיווג התפקידים והעלויות'!$B$23:$C$32,2,0),"תקין","לא תקין"),""))</f>
        <v/>
      </c>
      <c r="R2128" s="199" t="str">
        <f t="shared" si="502"/>
        <v/>
      </c>
      <c r="S2128" s="199" t="str">
        <f t="shared" si="503"/>
        <v/>
      </c>
      <c r="T2128" s="199" t="str">
        <f t="shared" ref="T2128:T2191" si="511">IF(B2128="","",IF(H2128="","יש להזין איש צוות",IF(OR(H2128="מורה",H2128="גננת",H2128="רכז גן",H2128="רכזת גן",H2128="סייעת",H2128="מדצית",H2128="מדצ",H2128="מדריך",H2128="מדריכה",H2128="תוספת כח אדם"),IF(L2128&lt;=90,"תקין","לא תקין"),IF(OR(H2128="רכז בית ספר",H2128="רכזת תכנית בבית הספר",H2128="רכזת בית ספר"),IF(L2128&lt;=137,"תקין","לא תקין"),IF(OR(H2128="סגנית רכזת מעל 150",H2128="סגן רכז"),IF(L2128&lt;=93,"תקין","לא תקין"),"לא תקין")))))</f>
        <v/>
      </c>
      <c r="U2128" s="199" t="str">
        <f t="shared" si="504"/>
        <v/>
      </c>
      <c r="V2128" s="989"/>
      <c r="X2128" s="374" t="str">
        <f t="shared" si="505"/>
        <v/>
      </c>
      <c r="Y2128" s="375" t="str">
        <f t="shared" si="506"/>
        <v/>
      </c>
      <c r="Z2128" s="374" t="str">
        <f t="shared" si="507"/>
        <v/>
      </c>
      <c r="AA2128" s="374" t="b">
        <f t="shared" si="508"/>
        <v>1</v>
      </c>
      <c r="AB2128" s="374">
        <f>COUNTIFS(B:B,B2128,H:H,'סיווג התפקידים והעלויות'!$C$2)</f>
        <v>0</v>
      </c>
      <c r="AC2128" s="374">
        <f>COUNTIFS(B:B,B2128,H:H,'סיווג התפקידים והעלויות'!$D$2)</f>
        <v>0</v>
      </c>
      <c r="AD2128" s="374" t="str">
        <f>IF(OR(AND(H2128='סיווג התפקידים והעלויות'!$A$2,I2128='סיווג התפקידים והעלויות'!$A$3),'עלויות כח אדם (6)'!H2128='סיווג התפקידים והעלויות'!$C$2,'עלויות כח אדם (6)'!H2128='סיווג התפקידים והעלויות'!$D$2),IF('עלויות כח אדם (6)'!J2128&lt;75,"לא תקין","תקין"),"")</f>
        <v/>
      </c>
      <c r="AE2128" s="374" t="str">
        <f t="shared" si="509"/>
        <v/>
      </c>
      <c r="AF2128" s="532" t="str">
        <f t="shared" si="510"/>
        <v/>
      </c>
    </row>
    <row r="2129" spans="2:32" x14ac:dyDescent="0.25">
      <c r="B2129" s="695"/>
      <c r="C2129" s="197" t="str">
        <f>IF(B2129&lt;&gt;"",IFERROR(VLOOKUP(B:B,'מצבת והרשמה (2)'!$C$20:$N$520,2,0)," ")," ")</f>
        <v xml:space="preserve"> </v>
      </c>
      <c r="D2129" s="695"/>
      <c r="E2129" s="696"/>
      <c r="F2129" s="696"/>
      <c r="G2129" s="696"/>
      <c r="H2129" s="696"/>
      <c r="I2129" s="1050" t="str">
        <f t="shared" si="497"/>
        <v/>
      </c>
      <c r="J2129" s="696"/>
      <c r="K2129" s="697"/>
      <c r="L2129" s="696"/>
      <c r="M2129" s="198" t="str">
        <f t="shared" si="498"/>
        <v/>
      </c>
      <c r="N2129" s="369" t="str">
        <f t="shared" si="499"/>
        <v/>
      </c>
      <c r="O2129" s="183" t="str">
        <f t="shared" si="500"/>
        <v/>
      </c>
      <c r="P2129" s="199" t="str">
        <f t="shared" si="501"/>
        <v/>
      </c>
      <c r="Q2129" s="199" t="str">
        <f>IF(B2129="","",IFERROR(IF('עלויות כח אדם (6)'!J2129&gt;=VLOOKUP(I2129,'סיווג התפקידים והעלויות'!$B$23:$C$32,2,0),"תקין","לא תקין"),""))</f>
        <v/>
      </c>
      <c r="R2129" s="199" t="str">
        <f t="shared" si="502"/>
        <v/>
      </c>
      <c r="S2129" s="199" t="str">
        <f t="shared" si="503"/>
        <v/>
      </c>
      <c r="T2129" s="199" t="str">
        <f t="shared" si="511"/>
        <v/>
      </c>
      <c r="U2129" s="199" t="str">
        <f t="shared" si="504"/>
        <v/>
      </c>
      <c r="V2129" s="989"/>
      <c r="X2129" s="374" t="str">
        <f t="shared" si="505"/>
        <v/>
      </c>
      <c r="Y2129" s="375" t="str">
        <f t="shared" si="506"/>
        <v/>
      </c>
      <c r="Z2129" s="374" t="str">
        <f t="shared" si="507"/>
        <v/>
      </c>
      <c r="AA2129" s="374" t="b">
        <f t="shared" si="508"/>
        <v>1</v>
      </c>
      <c r="AB2129" s="374">
        <f>COUNTIFS(B:B,B2129,H:H,'סיווג התפקידים והעלויות'!$C$2)</f>
        <v>0</v>
      </c>
      <c r="AC2129" s="374">
        <f>COUNTIFS(B:B,B2129,H:H,'סיווג התפקידים והעלויות'!$D$2)</f>
        <v>0</v>
      </c>
      <c r="AD2129" s="374" t="str">
        <f>IF(OR(AND(H2129='סיווג התפקידים והעלויות'!$A$2,I2129='סיווג התפקידים והעלויות'!$A$3),'עלויות כח אדם (6)'!H2129='סיווג התפקידים והעלויות'!$C$2,'עלויות כח אדם (6)'!H2129='סיווג התפקידים והעלויות'!$D$2),IF('עלויות כח אדם (6)'!J2129&lt;75,"לא תקין","תקין"),"")</f>
        <v/>
      </c>
      <c r="AE2129" s="374" t="str">
        <f t="shared" si="509"/>
        <v/>
      </c>
      <c r="AF2129" s="532" t="str">
        <f t="shared" si="510"/>
        <v/>
      </c>
    </row>
    <row r="2130" spans="2:32" x14ac:dyDescent="0.25">
      <c r="B2130" s="695"/>
      <c r="C2130" s="197" t="str">
        <f>IF(B2130&lt;&gt;"",IFERROR(VLOOKUP(B:B,'מצבת והרשמה (2)'!$C$20:$N$520,2,0)," ")," ")</f>
        <v xml:space="preserve"> </v>
      </c>
      <c r="D2130" s="695"/>
      <c r="E2130" s="696"/>
      <c r="F2130" s="696"/>
      <c r="G2130" s="696"/>
      <c r="H2130" s="696"/>
      <c r="I2130" s="1050" t="str">
        <f t="shared" si="497"/>
        <v/>
      </c>
      <c r="J2130" s="696"/>
      <c r="K2130" s="697"/>
      <c r="L2130" s="696"/>
      <c r="M2130" s="198" t="str">
        <f t="shared" si="498"/>
        <v/>
      </c>
      <c r="N2130" s="369" t="str">
        <f t="shared" si="499"/>
        <v/>
      </c>
      <c r="O2130" s="183" t="str">
        <f t="shared" si="500"/>
        <v/>
      </c>
      <c r="P2130" s="199" t="str">
        <f t="shared" si="501"/>
        <v/>
      </c>
      <c r="Q2130" s="199" t="str">
        <f>IF(B2130="","",IFERROR(IF('עלויות כח אדם (6)'!J2130&gt;=VLOOKUP(I2130,'סיווג התפקידים והעלויות'!$B$23:$C$32,2,0),"תקין","לא תקין"),""))</f>
        <v/>
      </c>
      <c r="R2130" s="199" t="str">
        <f t="shared" si="502"/>
        <v/>
      </c>
      <c r="S2130" s="199" t="str">
        <f t="shared" si="503"/>
        <v/>
      </c>
      <c r="T2130" s="199" t="str">
        <f t="shared" si="511"/>
        <v/>
      </c>
      <c r="U2130" s="199" t="str">
        <f t="shared" si="504"/>
        <v/>
      </c>
      <c r="V2130" s="989"/>
      <c r="X2130" s="374" t="str">
        <f t="shared" si="505"/>
        <v/>
      </c>
      <c r="Y2130" s="375" t="str">
        <f t="shared" si="506"/>
        <v/>
      </c>
      <c r="Z2130" s="374" t="str">
        <f t="shared" si="507"/>
        <v/>
      </c>
      <c r="AA2130" s="374" t="b">
        <f t="shared" si="508"/>
        <v>1</v>
      </c>
      <c r="AB2130" s="374">
        <f>COUNTIFS(B:B,B2130,H:H,'סיווג התפקידים והעלויות'!$C$2)</f>
        <v>0</v>
      </c>
      <c r="AC2130" s="374">
        <f>COUNTIFS(B:B,B2130,H:H,'סיווג התפקידים והעלויות'!$D$2)</f>
        <v>0</v>
      </c>
      <c r="AD2130" s="374" t="str">
        <f>IF(OR(AND(H2130='סיווג התפקידים והעלויות'!$A$2,I2130='סיווג התפקידים והעלויות'!$A$3),'עלויות כח אדם (6)'!H2130='סיווג התפקידים והעלויות'!$C$2,'עלויות כח אדם (6)'!H2130='סיווג התפקידים והעלויות'!$D$2),IF('עלויות כח אדם (6)'!J2130&lt;75,"לא תקין","תקין"),"")</f>
        <v/>
      </c>
      <c r="AE2130" s="374" t="str">
        <f t="shared" si="509"/>
        <v/>
      </c>
      <c r="AF2130" s="532" t="str">
        <f t="shared" si="510"/>
        <v/>
      </c>
    </row>
    <row r="2131" spans="2:32" x14ac:dyDescent="0.25">
      <c r="B2131" s="695"/>
      <c r="C2131" s="197" t="str">
        <f>IF(B2131&lt;&gt;"",IFERROR(VLOOKUP(B:B,'מצבת והרשמה (2)'!$C$20:$N$520,2,0)," ")," ")</f>
        <v xml:space="preserve"> </v>
      </c>
      <c r="D2131" s="695"/>
      <c r="E2131" s="696"/>
      <c r="F2131" s="696"/>
      <c r="G2131" s="696"/>
      <c r="H2131" s="696"/>
      <c r="I2131" s="1050" t="str">
        <f t="shared" si="497"/>
        <v/>
      </c>
      <c r="J2131" s="696"/>
      <c r="K2131" s="697"/>
      <c r="L2131" s="696"/>
      <c r="M2131" s="198" t="str">
        <f t="shared" si="498"/>
        <v/>
      </c>
      <c r="N2131" s="369" t="str">
        <f t="shared" si="499"/>
        <v/>
      </c>
      <c r="O2131" s="183" t="str">
        <f t="shared" si="500"/>
        <v/>
      </c>
      <c r="P2131" s="199" t="str">
        <f t="shared" si="501"/>
        <v/>
      </c>
      <c r="Q2131" s="199" t="str">
        <f>IF(B2131="","",IFERROR(IF('עלויות כח אדם (6)'!J2131&gt;=VLOOKUP(I2131,'סיווג התפקידים והעלויות'!$B$23:$C$32,2,0),"תקין","לא תקין"),""))</f>
        <v/>
      </c>
      <c r="R2131" s="199" t="str">
        <f t="shared" si="502"/>
        <v/>
      </c>
      <c r="S2131" s="199" t="str">
        <f t="shared" si="503"/>
        <v/>
      </c>
      <c r="T2131" s="199" t="str">
        <f t="shared" si="511"/>
        <v/>
      </c>
      <c r="U2131" s="199" t="str">
        <f t="shared" si="504"/>
        <v/>
      </c>
      <c r="V2131" s="989"/>
      <c r="X2131" s="374" t="str">
        <f t="shared" si="505"/>
        <v/>
      </c>
      <c r="Y2131" s="375" t="str">
        <f t="shared" si="506"/>
        <v/>
      </c>
      <c r="Z2131" s="374" t="str">
        <f t="shared" si="507"/>
        <v/>
      </c>
      <c r="AA2131" s="374" t="b">
        <f t="shared" si="508"/>
        <v>1</v>
      </c>
      <c r="AB2131" s="374">
        <f>COUNTIFS(B:B,B2131,H:H,'סיווג התפקידים והעלויות'!$C$2)</f>
        <v>0</v>
      </c>
      <c r="AC2131" s="374">
        <f>COUNTIFS(B:B,B2131,H:H,'סיווג התפקידים והעלויות'!$D$2)</f>
        <v>0</v>
      </c>
      <c r="AD2131" s="374" t="str">
        <f>IF(OR(AND(H2131='סיווג התפקידים והעלויות'!$A$2,I2131='סיווג התפקידים והעלויות'!$A$3),'עלויות כח אדם (6)'!H2131='סיווג התפקידים והעלויות'!$C$2,'עלויות כח אדם (6)'!H2131='סיווג התפקידים והעלויות'!$D$2),IF('עלויות כח אדם (6)'!J2131&lt;75,"לא תקין","תקין"),"")</f>
        <v/>
      </c>
      <c r="AE2131" s="374" t="str">
        <f t="shared" si="509"/>
        <v/>
      </c>
      <c r="AF2131" s="532" t="str">
        <f t="shared" si="510"/>
        <v/>
      </c>
    </row>
    <row r="2132" spans="2:32" x14ac:dyDescent="0.25">
      <c r="B2132" s="695"/>
      <c r="C2132" s="197" t="str">
        <f>IF(B2132&lt;&gt;"",IFERROR(VLOOKUP(B:B,'מצבת והרשמה (2)'!$C$20:$N$520,2,0)," ")," ")</f>
        <v xml:space="preserve"> </v>
      </c>
      <c r="D2132" s="695"/>
      <c r="E2132" s="696"/>
      <c r="F2132" s="696"/>
      <c r="G2132" s="696"/>
      <c r="H2132" s="696"/>
      <c r="I2132" s="1050" t="str">
        <f t="shared" si="497"/>
        <v/>
      </c>
      <c r="J2132" s="696"/>
      <c r="K2132" s="697"/>
      <c r="L2132" s="696"/>
      <c r="M2132" s="198" t="str">
        <f t="shared" si="498"/>
        <v/>
      </c>
      <c r="N2132" s="369" t="str">
        <f t="shared" si="499"/>
        <v/>
      </c>
      <c r="O2132" s="183" t="str">
        <f t="shared" si="500"/>
        <v/>
      </c>
      <c r="P2132" s="199" t="str">
        <f t="shared" si="501"/>
        <v/>
      </c>
      <c r="Q2132" s="199" t="str">
        <f>IF(B2132="","",IFERROR(IF('עלויות כח אדם (6)'!J2132&gt;=VLOOKUP(I2132,'סיווג התפקידים והעלויות'!$B$23:$C$32,2,0),"תקין","לא תקין"),""))</f>
        <v/>
      </c>
      <c r="R2132" s="199" t="str">
        <f t="shared" si="502"/>
        <v/>
      </c>
      <c r="S2132" s="199" t="str">
        <f t="shared" si="503"/>
        <v/>
      </c>
      <c r="T2132" s="199" t="str">
        <f t="shared" si="511"/>
        <v/>
      </c>
      <c r="U2132" s="199" t="str">
        <f t="shared" si="504"/>
        <v/>
      </c>
      <c r="V2132" s="989"/>
      <c r="X2132" s="374" t="str">
        <f t="shared" si="505"/>
        <v/>
      </c>
      <c r="Y2132" s="375" t="str">
        <f t="shared" si="506"/>
        <v/>
      </c>
      <c r="Z2132" s="374" t="str">
        <f t="shared" si="507"/>
        <v/>
      </c>
      <c r="AA2132" s="374" t="b">
        <f t="shared" si="508"/>
        <v>1</v>
      </c>
      <c r="AB2132" s="374">
        <f>COUNTIFS(B:B,B2132,H:H,'סיווג התפקידים והעלויות'!$C$2)</f>
        <v>0</v>
      </c>
      <c r="AC2132" s="374">
        <f>COUNTIFS(B:B,B2132,H:H,'סיווג התפקידים והעלויות'!$D$2)</f>
        <v>0</v>
      </c>
      <c r="AD2132" s="374" t="str">
        <f>IF(OR(AND(H2132='סיווג התפקידים והעלויות'!$A$2,I2132='סיווג התפקידים והעלויות'!$A$3),'עלויות כח אדם (6)'!H2132='סיווג התפקידים והעלויות'!$C$2,'עלויות כח אדם (6)'!H2132='סיווג התפקידים והעלויות'!$D$2),IF('עלויות כח אדם (6)'!J2132&lt;75,"לא תקין","תקין"),"")</f>
        <v/>
      </c>
      <c r="AE2132" s="374" t="str">
        <f t="shared" si="509"/>
        <v/>
      </c>
      <c r="AF2132" s="532" t="str">
        <f t="shared" si="510"/>
        <v/>
      </c>
    </row>
    <row r="2133" spans="2:32" x14ac:dyDescent="0.25">
      <c r="B2133" s="695"/>
      <c r="C2133" s="197" t="str">
        <f>IF(B2133&lt;&gt;"",IFERROR(VLOOKUP(B:B,'מצבת והרשמה (2)'!$C$20:$N$520,2,0)," ")," ")</f>
        <v xml:space="preserve"> </v>
      </c>
      <c r="D2133" s="695"/>
      <c r="E2133" s="696"/>
      <c r="F2133" s="696"/>
      <c r="G2133" s="696"/>
      <c r="H2133" s="696"/>
      <c r="I2133" s="1050" t="str">
        <f t="shared" si="497"/>
        <v/>
      </c>
      <c r="J2133" s="696"/>
      <c r="K2133" s="697"/>
      <c r="L2133" s="696"/>
      <c r="M2133" s="198" t="str">
        <f t="shared" si="498"/>
        <v/>
      </c>
      <c r="N2133" s="369" t="str">
        <f t="shared" si="499"/>
        <v/>
      </c>
      <c r="O2133" s="183" t="str">
        <f t="shared" si="500"/>
        <v/>
      </c>
      <c r="P2133" s="199" t="str">
        <f t="shared" si="501"/>
        <v/>
      </c>
      <c r="Q2133" s="199" t="str">
        <f>IF(B2133="","",IFERROR(IF('עלויות כח אדם (6)'!J2133&gt;=VLOOKUP(I2133,'סיווג התפקידים והעלויות'!$B$23:$C$32,2,0),"תקין","לא תקין"),""))</f>
        <v/>
      </c>
      <c r="R2133" s="199" t="str">
        <f t="shared" si="502"/>
        <v/>
      </c>
      <c r="S2133" s="199" t="str">
        <f t="shared" si="503"/>
        <v/>
      </c>
      <c r="T2133" s="199" t="str">
        <f t="shared" si="511"/>
        <v/>
      </c>
      <c r="U2133" s="199" t="str">
        <f t="shared" si="504"/>
        <v/>
      </c>
      <c r="V2133" s="989"/>
      <c r="X2133" s="374" t="str">
        <f t="shared" si="505"/>
        <v/>
      </c>
      <c r="Y2133" s="375" t="str">
        <f t="shared" si="506"/>
        <v/>
      </c>
      <c r="Z2133" s="374" t="str">
        <f t="shared" si="507"/>
        <v/>
      </c>
      <c r="AA2133" s="374" t="b">
        <f t="shared" si="508"/>
        <v>1</v>
      </c>
      <c r="AB2133" s="374">
        <f>COUNTIFS(B:B,B2133,H:H,'סיווג התפקידים והעלויות'!$C$2)</f>
        <v>0</v>
      </c>
      <c r="AC2133" s="374">
        <f>COUNTIFS(B:B,B2133,H:H,'סיווג התפקידים והעלויות'!$D$2)</f>
        <v>0</v>
      </c>
      <c r="AD2133" s="374" t="str">
        <f>IF(OR(AND(H2133='סיווג התפקידים והעלויות'!$A$2,I2133='סיווג התפקידים והעלויות'!$A$3),'עלויות כח אדם (6)'!H2133='סיווג התפקידים והעלויות'!$C$2,'עלויות כח אדם (6)'!H2133='סיווג התפקידים והעלויות'!$D$2),IF('עלויות כח אדם (6)'!J2133&lt;75,"לא תקין","תקין"),"")</f>
        <v/>
      </c>
      <c r="AE2133" s="374" t="str">
        <f t="shared" si="509"/>
        <v/>
      </c>
      <c r="AF2133" s="532" t="str">
        <f t="shared" si="510"/>
        <v/>
      </c>
    </row>
    <row r="2134" spans="2:32" x14ac:dyDescent="0.25">
      <c r="B2134" s="695"/>
      <c r="C2134" s="197" t="str">
        <f>IF(B2134&lt;&gt;"",IFERROR(VLOOKUP(B:B,'מצבת והרשמה (2)'!$C$20:$N$520,2,0)," ")," ")</f>
        <v xml:space="preserve"> </v>
      </c>
      <c r="D2134" s="695"/>
      <c r="E2134" s="696"/>
      <c r="F2134" s="696"/>
      <c r="G2134" s="696"/>
      <c r="H2134" s="696"/>
      <c r="I2134" s="1050" t="str">
        <f t="shared" si="497"/>
        <v/>
      </c>
      <c r="J2134" s="696"/>
      <c r="K2134" s="697"/>
      <c r="L2134" s="696"/>
      <c r="M2134" s="198" t="str">
        <f t="shared" si="498"/>
        <v/>
      </c>
      <c r="N2134" s="369" t="str">
        <f t="shared" si="499"/>
        <v/>
      </c>
      <c r="O2134" s="183" t="str">
        <f t="shared" si="500"/>
        <v/>
      </c>
      <c r="P2134" s="199" t="str">
        <f t="shared" si="501"/>
        <v/>
      </c>
      <c r="Q2134" s="199" t="str">
        <f>IF(B2134="","",IFERROR(IF('עלויות כח אדם (6)'!J2134&gt;=VLOOKUP(I2134,'סיווג התפקידים והעלויות'!$B$23:$C$32,2,0),"תקין","לא תקין"),""))</f>
        <v/>
      </c>
      <c r="R2134" s="199" t="str">
        <f t="shared" si="502"/>
        <v/>
      </c>
      <c r="S2134" s="199" t="str">
        <f t="shared" si="503"/>
        <v/>
      </c>
      <c r="T2134" s="199" t="str">
        <f t="shared" si="511"/>
        <v/>
      </c>
      <c r="U2134" s="199" t="str">
        <f t="shared" si="504"/>
        <v/>
      </c>
      <c r="V2134" s="989"/>
      <c r="X2134" s="374" t="str">
        <f t="shared" si="505"/>
        <v/>
      </c>
      <c r="Y2134" s="375" t="str">
        <f t="shared" si="506"/>
        <v/>
      </c>
      <c r="Z2134" s="374" t="str">
        <f t="shared" si="507"/>
        <v/>
      </c>
      <c r="AA2134" s="374" t="b">
        <f t="shared" si="508"/>
        <v>1</v>
      </c>
      <c r="AB2134" s="374">
        <f>COUNTIFS(B:B,B2134,H:H,'סיווג התפקידים והעלויות'!$C$2)</f>
        <v>0</v>
      </c>
      <c r="AC2134" s="374">
        <f>COUNTIFS(B:B,B2134,H:H,'סיווג התפקידים והעלויות'!$D$2)</f>
        <v>0</v>
      </c>
      <c r="AD2134" s="374" t="str">
        <f>IF(OR(AND(H2134='סיווג התפקידים והעלויות'!$A$2,I2134='סיווג התפקידים והעלויות'!$A$3),'עלויות כח אדם (6)'!H2134='סיווג התפקידים והעלויות'!$C$2,'עלויות כח אדם (6)'!H2134='סיווג התפקידים והעלויות'!$D$2),IF('עלויות כח אדם (6)'!J2134&lt;75,"לא תקין","תקין"),"")</f>
        <v/>
      </c>
      <c r="AE2134" s="374" t="str">
        <f t="shared" si="509"/>
        <v/>
      </c>
      <c r="AF2134" s="532" t="str">
        <f t="shared" si="510"/>
        <v/>
      </c>
    </row>
    <row r="2135" spans="2:32" x14ac:dyDescent="0.25">
      <c r="B2135" s="695"/>
      <c r="C2135" s="197" t="str">
        <f>IF(B2135&lt;&gt;"",IFERROR(VLOOKUP(B:B,'מצבת והרשמה (2)'!$C$20:$N$520,2,0)," ")," ")</f>
        <v xml:space="preserve"> </v>
      </c>
      <c r="D2135" s="695"/>
      <c r="E2135" s="696"/>
      <c r="F2135" s="696"/>
      <c r="G2135" s="696"/>
      <c r="H2135" s="696"/>
      <c r="I2135" s="1050" t="str">
        <f t="shared" si="497"/>
        <v/>
      </c>
      <c r="J2135" s="696"/>
      <c r="K2135" s="697"/>
      <c r="L2135" s="696"/>
      <c r="M2135" s="198" t="str">
        <f t="shared" si="498"/>
        <v/>
      </c>
      <c r="N2135" s="369" t="str">
        <f t="shared" si="499"/>
        <v/>
      </c>
      <c r="O2135" s="183" t="str">
        <f t="shared" si="500"/>
        <v/>
      </c>
      <c r="P2135" s="199" t="str">
        <f t="shared" si="501"/>
        <v/>
      </c>
      <c r="Q2135" s="199" t="str">
        <f>IF(B2135="","",IFERROR(IF('עלויות כח אדם (6)'!J2135&gt;=VLOOKUP(I2135,'סיווג התפקידים והעלויות'!$B$23:$C$32,2,0),"תקין","לא תקין"),""))</f>
        <v/>
      </c>
      <c r="R2135" s="199" t="str">
        <f t="shared" si="502"/>
        <v/>
      </c>
      <c r="S2135" s="199" t="str">
        <f t="shared" si="503"/>
        <v/>
      </c>
      <c r="T2135" s="199" t="str">
        <f t="shared" si="511"/>
        <v/>
      </c>
      <c r="U2135" s="199" t="str">
        <f t="shared" si="504"/>
        <v/>
      </c>
      <c r="V2135" s="989"/>
      <c r="X2135" s="374" t="str">
        <f t="shared" si="505"/>
        <v/>
      </c>
      <c r="Y2135" s="375" t="str">
        <f t="shared" si="506"/>
        <v/>
      </c>
      <c r="Z2135" s="374" t="str">
        <f t="shared" si="507"/>
        <v/>
      </c>
      <c r="AA2135" s="374" t="b">
        <f t="shared" si="508"/>
        <v>1</v>
      </c>
      <c r="AB2135" s="374">
        <f>COUNTIFS(B:B,B2135,H:H,'סיווג התפקידים והעלויות'!$C$2)</f>
        <v>0</v>
      </c>
      <c r="AC2135" s="374">
        <f>COUNTIFS(B:B,B2135,H:H,'סיווג התפקידים והעלויות'!$D$2)</f>
        <v>0</v>
      </c>
      <c r="AD2135" s="374" t="str">
        <f>IF(OR(AND(H2135='סיווג התפקידים והעלויות'!$A$2,I2135='סיווג התפקידים והעלויות'!$A$3),'עלויות כח אדם (6)'!H2135='סיווג התפקידים והעלויות'!$C$2,'עלויות כח אדם (6)'!H2135='סיווג התפקידים והעלויות'!$D$2),IF('עלויות כח אדם (6)'!J2135&lt;75,"לא תקין","תקין"),"")</f>
        <v/>
      </c>
      <c r="AE2135" s="374" t="str">
        <f t="shared" si="509"/>
        <v/>
      </c>
      <c r="AF2135" s="532" t="str">
        <f t="shared" si="510"/>
        <v/>
      </c>
    </row>
    <row r="2136" spans="2:32" x14ac:dyDescent="0.25">
      <c r="B2136" s="695"/>
      <c r="C2136" s="197" t="str">
        <f>IF(B2136&lt;&gt;"",IFERROR(VLOOKUP(B:B,'מצבת והרשמה (2)'!$C$20:$N$520,2,0)," ")," ")</f>
        <v xml:space="preserve"> </v>
      </c>
      <c r="D2136" s="695"/>
      <c r="E2136" s="696"/>
      <c r="F2136" s="696"/>
      <c r="G2136" s="696"/>
      <c r="H2136" s="696"/>
      <c r="I2136" s="1050" t="str">
        <f t="shared" si="497"/>
        <v/>
      </c>
      <c r="J2136" s="696"/>
      <c r="K2136" s="697"/>
      <c r="L2136" s="696"/>
      <c r="M2136" s="198" t="str">
        <f t="shared" si="498"/>
        <v/>
      </c>
      <c r="N2136" s="369" t="str">
        <f t="shared" si="499"/>
        <v/>
      </c>
      <c r="O2136" s="183" t="str">
        <f t="shared" si="500"/>
        <v/>
      </c>
      <c r="P2136" s="199" t="str">
        <f t="shared" si="501"/>
        <v/>
      </c>
      <c r="Q2136" s="199" t="str">
        <f>IF(B2136="","",IFERROR(IF('עלויות כח אדם (6)'!J2136&gt;=VLOOKUP(I2136,'סיווג התפקידים והעלויות'!$B$23:$C$32,2,0),"תקין","לא תקין"),""))</f>
        <v/>
      </c>
      <c r="R2136" s="199" t="str">
        <f t="shared" si="502"/>
        <v/>
      </c>
      <c r="S2136" s="199" t="str">
        <f t="shared" si="503"/>
        <v/>
      </c>
      <c r="T2136" s="199" t="str">
        <f t="shared" si="511"/>
        <v/>
      </c>
      <c r="U2136" s="199" t="str">
        <f t="shared" si="504"/>
        <v/>
      </c>
      <c r="V2136" s="989"/>
      <c r="X2136" s="374" t="str">
        <f t="shared" si="505"/>
        <v/>
      </c>
      <c r="Y2136" s="375" t="str">
        <f t="shared" si="506"/>
        <v/>
      </c>
      <c r="Z2136" s="374" t="str">
        <f t="shared" si="507"/>
        <v/>
      </c>
      <c r="AA2136" s="374" t="b">
        <f t="shared" si="508"/>
        <v>1</v>
      </c>
      <c r="AB2136" s="374">
        <f>COUNTIFS(B:B,B2136,H:H,'סיווג התפקידים והעלויות'!$C$2)</f>
        <v>0</v>
      </c>
      <c r="AC2136" s="374">
        <f>COUNTIFS(B:B,B2136,H:H,'סיווג התפקידים והעלויות'!$D$2)</f>
        <v>0</v>
      </c>
      <c r="AD2136" s="374" t="str">
        <f>IF(OR(AND(H2136='סיווג התפקידים והעלויות'!$A$2,I2136='סיווג התפקידים והעלויות'!$A$3),'עלויות כח אדם (6)'!H2136='סיווג התפקידים והעלויות'!$C$2,'עלויות כח אדם (6)'!H2136='סיווג התפקידים והעלויות'!$D$2),IF('עלויות כח אדם (6)'!J2136&lt;75,"לא תקין","תקין"),"")</f>
        <v/>
      </c>
      <c r="AE2136" s="374" t="str">
        <f t="shared" si="509"/>
        <v/>
      </c>
      <c r="AF2136" s="532" t="str">
        <f t="shared" si="510"/>
        <v/>
      </c>
    </row>
    <row r="2137" spans="2:32" x14ac:dyDescent="0.25">
      <c r="B2137" s="695"/>
      <c r="C2137" s="197" t="str">
        <f>IF(B2137&lt;&gt;"",IFERROR(VLOOKUP(B:B,'מצבת והרשמה (2)'!$C$20:$N$520,2,0)," ")," ")</f>
        <v xml:space="preserve"> </v>
      </c>
      <c r="D2137" s="695"/>
      <c r="E2137" s="696"/>
      <c r="F2137" s="696"/>
      <c r="G2137" s="696"/>
      <c r="H2137" s="696"/>
      <c r="I2137" s="1050" t="str">
        <f t="shared" si="497"/>
        <v/>
      </c>
      <c r="J2137" s="696"/>
      <c r="K2137" s="697"/>
      <c r="L2137" s="696"/>
      <c r="M2137" s="198" t="str">
        <f t="shared" si="498"/>
        <v/>
      </c>
      <c r="N2137" s="369" t="str">
        <f t="shared" si="499"/>
        <v/>
      </c>
      <c r="O2137" s="183" t="str">
        <f t="shared" si="500"/>
        <v/>
      </c>
      <c r="P2137" s="199" t="str">
        <f t="shared" si="501"/>
        <v/>
      </c>
      <c r="Q2137" s="199" t="str">
        <f>IF(B2137="","",IFERROR(IF('עלויות כח אדם (6)'!J2137&gt;=VLOOKUP(I2137,'סיווג התפקידים והעלויות'!$B$23:$C$32,2,0),"תקין","לא תקין"),""))</f>
        <v/>
      </c>
      <c r="R2137" s="199" t="str">
        <f t="shared" si="502"/>
        <v/>
      </c>
      <c r="S2137" s="199" t="str">
        <f t="shared" si="503"/>
        <v/>
      </c>
      <c r="T2137" s="199" t="str">
        <f t="shared" si="511"/>
        <v/>
      </c>
      <c r="U2137" s="199" t="str">
        <f t="shared" si="504"/>
        <v/>
      </c>
      <c r="V2137" s="989"/>
      <c r="X2137" s="374" t="str">
        <f t="shared" si="505"/>
        <v/>
      </c>
      <c r="Y2137" s="375" t="str">
        <f t="shared" si="506"/>
        <v/>
      </c>
      <c r="Z2137" s="374" t="str">
        <f t="shared" si="507"/>
        <v/>
      </c>
      <c r="AA2137" s="374" t="b">
        <f t="shared" si="508"/>
        <v>1</v>
      </c>
      <c r="AB2137" s="374">
        <f>COUNTIFS(B:B,B2137,H:H,'סיווג התפקידים והעלויות'!$C$2)</f>
        <v>0</v>
      </c>
      <c r="AC2137" s="374">
        <f>COUNTIFS(B:B,B2137,H:H,'סיווג התפקידים והעלויות'!$D$2)</f>
        <v>0</v>
      </c>
      <c r="AD2137" s="374" t="str">
        <f>IF(OR(AND(H2137='סיווג התפקידים והעלויות'!$A$2,I2137='סיווג התפקידים והעלויות'!$A$3),'עלויות כח אדם (6)'!H2137='סיווג התפקידים והעלויות'!$C$2,'עלויות כח אדם (6)'!H2137='סיווג התפקידים והעלויות'!$D$2),IF('עלויות כח אדם (6)'!J2137&lt;75,"לא תקין","תקין"),"")</f>
        <v/>
      </c>
      <c r="AE2137" s="374" t="str">
        <f t="shared" si="509"/>
        <v/>
      </c>
      <c r="AF2137" s="532" t="str">
        <f t="shared" si="510"/>
        <v/>
      </c>
    </row>
    <row r="2138" spans="2:32" x14ac:dyDescent="0.25">
      <c r="B2138" s="695"/>
      <c r="C2138" s="197" t="str">
        <f>IF(B2138&lt;&gt;"",IFERROR(VLOOKUP(B:B,'מצבת והרשמה (2)'!$C$20:$N$520,2,0)," ")," ")</f>
        <v xml:space="preserve"> </v>
      </c>
      <c r="D2138" s="695"/>
      <c r="E2138" s="696"/>
      <c r="F2138" s="696"/>
      <c r="G2138" s="696"/>
      <c r="H2138" s="696"/>
      <c r="I2138" s="1050" t="str">
        <f t="shared" si="497"/>
        <v/>
      </c>
      <c r="J2138" s="696"/>
      <c r="K2138" s="697"/>
      <c r="L2138" s="696"/>
      <c r="M2138" s="198" t="str">
        <f t="shared" si="498"/>
        <v/>
      </c>
      <c r="N2138" s="369" t="str">
        <f t="shared" si="499"/>
        <v/>
      </c>
      <c r="O2138" s="183" t="str">
        <f t="shared" si="500"/>
        <v/>
      </c>
      <c r="P2138" s="199" t="str">
        <f t="shared" si="501"/>
        <v/>
      </c>
      <c r="Q2138" s="199" t="str">
        <f>IF(B2138="","",IFERROR(IF('עלויות כח אדם (6)'!J2138&gt;=VLOOKUP(I2138,'סיווג התפקידים והעלויות'!$B$23:$C$32,2,0),"תקין","לא תקין"),""))</f>
        <v/>
      </c>
      <c r="R2138" s="199" t="str">
        <f t="shared" si="502"/>
        <v/>
      </c>
      <c r="S2138" s="199" t="str">
        <f t="shared" si="503"/>
        <v/>
      </c>
      <c r="T2138" s="199" t="str">
        <f t="shared" si="511"/>
        <v/>
      </c>
      <c r="U2138" s="199" t="str">
        <f t="shared" si="504"/>
        <v/>
      </c>
      <c r="V2138" s="989"/>
      <c r="X2138" s="374" t="str">
        <f t="shared" si="505"/>
        <v/>
      </c>
      <c r="Y2138" s="375" t="str">
        <f t="shared" si="506"/>
        <v/>
      </c>
      <c r="Z2138" s="374" t="str">
        <f t="shared" si="507"/>
        <v/>
      </c>
      <c r="AA2138" s="374" t="b">
        <f t="shared" si="508"/>
        <v>1</v>
      </c>
      <c r="AB2138" s="374">
        <f>COUNTIFS(B:B,B2138,H:H,'סיווג התפקידים והעלויות'!$C$2)</f>
        <v>0</v>
      </c>
      <c r="AC2138" s="374">
        <f>COUNTIFS(B:B,B2138,H:H,'סיווג התפקידים והעלויות'!$D$2)</f>
        <v>0</v>
      </c>
      <c r="AD2138" s="374" t="str">
        <f>IF(OR(AND(H2138='סיווג התפקידים והעלויות'!$A$2,I2138='סיווג התפקידים והעלויות'!$A$3),'עלויות כח אדם (6)'!H2138='סיווג התפקידים והעלויות'!$C$2,'עלויות כח אדם (6)'!H2138='סיווג התפקידים והעלויות'!$D$2),IF('עלויות כח אדם (6)'!J2138&lt;75,"לא תקין","תקין"),"")</f>
        <v/>
      </c>
      <c r="AE2138" s="374" t="str">
        <f t="shared" si="509"/>
        <v/>
      </c>
      <c r="AF2138" s="532" t="str">
        <f t="shared" si="510"/>
        <v/>
      </c>
    </row>
    <row r="2139" spans="2:32" x14ac:dyDescent="0.25">
      <c r="B2139" s="695"/>
      <c r="C2139" s="197" t="str">
        <f>IF(B2139&lt;&gt;"",IFERROR(VLOOKUP(B:B,'מצבת והרשמה (2)'!$C$20:$N$520,2,0)," ")," ")</f>
        <v xml:space="preserve"> </v>
      </c>
      <c r="D2139" s="695"/>
      <c r="E2139" s="696"/>
      <c r="F2139" s="696"/>
      <c r="G2139" s="696"/>
      <c r="H2139" s="696"/>
      <c r="I2139" s="1050" t="str">
        <f t="shared" si="497"/>
        <v/>
      </c>
      <c r="J2139" s="696"/>
      <c r="K2139" s="697"/>
      <c r="L2139" s="696"/>
      <c r="M2139" s="198" t="str">
        <f t="shared" si="498"/>
        <v/>
      </c>
      <c r="N2139" s="369" t="str">
        <f t="shared" si="499"/>
        <v/>
      </c>
      <c r="O2139" s="183" t="str">
        <f t="shared" si="500"/>
        <v/>
      </c>
      <c r="P2139" s="199" t="str">
        <f t="shared" si="501"/>
        <v/>
      </c>
      <c r="Q2139" s="199" t="str">
        <f>IF(B2139="","",IFERROR(IF('עלויות כח אדם (6)'!J2139&gt;=VLOOKUP(I2139,'סיווג התפקידים והעלויות'!$B$23:$C$32,2,0),"תקין","לא תקין"),""))</f>
        <v/>
      </c>
      <c r="R2139" s="199" t="str">
        <f t="shared" si="502"/>
        <v/>
      </c>
      <c r="S2139" s="199" t="str">
        <f t="shared" si="503"/>
        <v/>
      </c>
      <c r="T2139" s="199" t="str">
        <f t="shared" si="511"/>
        <v/>
      </c>
      <c r="U2139" s="199" t="str">
        <f t="shared" si="504"/>
        <v/>
      </c>
      <c r="V2139" s="989"/>
      <c r="X2139" s="374" t="str">
        <f t="shared" si="505"/>
        <v/>
      </c>
      <c r="Y2139" s="375" t="str">
        <f t="shared" si="506"/>
        <v/>
      </c>
      <c r="Z2139" s="374" t="str">
        <f t="shared" si="507"/>
        <v/>
      </c>
      <c r="AA2139" s="374" t="b">
        <f t="shared" si="508"/>
        <v>1</v>
      </c>
      <c r="AB2139" s="374">
        <f>COUNTIFS(B:B,B2139,H:H,'סיווג התפקידים והעלויות'!$C$2)</f>
        <v>0</v>
      </c>
      <c r="AC2139" s="374">
        <f>COUNTIFS(B:B,B2139,H:H,'סיווג התפקידים והעלויות'!$D$2)</f>
        <v>0</v>
      </c>
      <c r="AD2139" s="374" t="str">
        <f>IF(OR(AND(H2139='סיווג התפקידים והעלויות'!$A$2,I2139='סיווג התפקידים והעלויות'!$A$3),'עלויות כח אדם (6)'!H2139='סיווג התפקידים והעלויות'!$C$2,'עלויות כח אדם (6)'!H2139='סיווג התפקידים והעלויות'!$D$2),IF('עלויות כח אדם (6)'!J2139&lt;75,"לא תקין","תקין"),"")</f>
        <v/>
      </c>
      <c r="AE2139" s="374" t="str">
        <f t="shared" si="509"/>
        <v/>
      </c>
      <c r="AF2139" s="532" t="str">
        <f t="shared" si="510"/>
        <v/>
      </c>
    </row>
    <row r="2140" spans="2:32" x14ac:dyDescent="0.25">
      <c r="B2140" s="695"/>
      <c r="C2140" s="197" t="str">
        <f>IF(B2140&lt;&gt;"",IFERROR(VLOOKUP(B:B,'מצבת והרשמה (2)'!$C$20:$N$520,2,0)," ")," ")</f>
        <v xml:space="preserve"> </v>
      </c>
      <c r="D2140" s="695"/>
      <c r="E2140" s="696"/>
      <c r="F2140" s="696"/>
      <c r="G2140" s="696"/>
      <c r="H2140" s="696"/>
      <c r="I2140" s="1050" t="str">
        <f t="shared" si="497"/>
        <v/>
      </c>
      <c r="J2140" s="696"/>
      <c r="K2140" s="697"/>
      <c r="L2140" s="696"/>
      <c r="M2140" s="198" t="str">
        <f t="shared" si="498"/>
        <v/>
      </c>
      <c r="N2140" s="369" t="str">
        <f t="shared" si="499"/>
        <v/>
      </c>
      <c r="O2140" s="183" t="str">
        <f t="shared" si="500"/>
        <v/>
      </c>
      <c r="P2140" s="199" t="str">
        <f t="shared" si="501"/>
        <v/>
      </c>
      <c r="Q2140" s="199" t="str">
        <f>IF(B2140="","",IFERROR(IF('עלויות כח אדם (6)'!J2140&gt;=VLOOKUP(I2140,'סיווג התפקידים והעלויות'!$B$23:$C$32,2,0),"תקין","לא תקין"),""))</f>
        <v/>
      </c>
      <c r="R2140" s="199" t="str">
        <f t="shared" si="502"/>
        <v/>
      </c>
      <c r="S2140" s="199" t="str">
        <f t="shared" si="503"/>
        <v/>
      </c>
      <c r="T2140" s="199" t="str">
        <f t="shared" si="511"/>
        <v/>
      </c>
      <c r="U2140" s="199" t="str">
        <f t="shared" si="504"/>
        <v/>
      </c>
      <c r="V2140" s="989"/>
      <c r="X2140" s="374" t="str">
        <f t="shared" si="505"/>
        <v/>
      </c>
      <c r="Y2140" s="375" t="str">
        <f t="shared" si="506"/>
        <v/>
      </c>
      <c r="Z2140" s="374" t="str">
        <f t="shared" si="507"/>
        <v/>
      </c>
      <c r="AA2140" s="374" t="b">
        <f t="shared" si="508"/>
        <v>1</v>
      </c>
      <c r="AB2140" s="374">
        <f>COUNTIFS(B:B,B2140,H:H,'סיווג התפקידים והעלויות'!$C$2)</f>
        <v>0</v>
      </c>
      <c r="AC2140" s="374">
        <f>COUNTIFS(B:B,B2140,H:H,'סיווג התפקידים והעלויות'!$D$2)</f>
        <v>0</v>
      </c>
      <c r="AD2140" s="374" t="str">
        <f>IF(OR(AND(H2140='סיווג התפקידים והעלויות'!$A$2,I2140='סיווג התפקידים והעלויות'!$A$3),'עלויות כח אדם (6)'!H2140='סיווג התפקידים והעלויות'!$C$2,'עלויות כח אדם (6)'!H2140='סיווג התפקידים והעלויות'!$D$2),IF('עלויות כח אדם (6)'!J2140&lt;75,"לא תקין","תקין"),"")</f>
        <v/>
      </c>
      <c r="AE2140" s="374" t="str">
        <f t="shared" si="509"/>
        <v/>
      </c>
      <c r="AF2140" s="532" t="str">
        <f t="shared" si="510"/>
        <v/>
      </c>
    </row>
    <row r="2141" spans="2:32" x14ac:dyDescent="0.25">
      <c r="B2141" s="695"/>
      <c r="C2141" s="197" t="str">
        <f>IF(B2141&lt;&gt;"",IFERROR(VLOOKUP(B:B,'מצבת והרשמה (2)'!$C$20:$N$520,2,0)," ")," ")</f>
        <v xml:space="preserve"> </v>
      </c>
      <c r="D2141" s="695"/>
      <c r="E2141" s="696"/>
      <c r="F2141" s="696"/>
      <c r="G2141" s="696"/>
      <c r="H2141" s="696"/>
      <c r="I2141" s="1050" t="str">
        <f t="shared" si="497"/>
        <v/>
      </c>
      <c r="J2141" s="696"/>
      <c r="K2141" s="697"/>
      <c r="L2141" s="696"/>
      <c r="M2141" s="198" t="str">
        <f t="shared" si="498"/>
        <v/>
      </c>
      <c r="N2141" s="369" t="str">
        <f t="shared" si="499"/>
        <v/>
      </c>
      <c r="O2141" s="183" t="str">
        <f t="shared" si="500"/>
        <v/>
      </c>
      <c r="P2141" s="199" t="str">
        <f t="shared" si="501"/>
        <v/>
      </c>
      <c r="Q2141" s="199" t="str">
        <f>IF(B2141="","",IFERROR(IF('עלויות כח אדם (6)'!J2141&gt;=VLOOKUP(I2141,'סיווג התפקידים והעלויות'!$B$23:$C$32,2,0),"תקין","לא תקין"),""))</f>
        <v/>
      </c>
      <c r="R2141" s="199" t="str">
        <f t="shared" si="502"/>
        <v/>
      </c>
      <c r="S2141" s="199" t="str">
        <f t="shared" si="503"/>
        <v/>
      </c>
      <c r="T2141" s="199" t="str">
        <f t="shared" si="511"/>
        <v/>
      </c>
      <c r="U2141" s="199" t="str">
        <f t="shared" si="504"/>
        <v/>
      </c>
      <c r="V2141" s="989"/>
      <c r="X2141" s="374" t="str">
        <f t="shared" si="505"/>
        <v/>
      </c>
      <c r="Y2141" s="375" t="str">
        <f t="shared" si="506"/>
        <v/>
      </c>
      <c r="Z2141" s="374" t="str">
        <f t="shared" si="507"/>
        <v/>
      </c>
      <c r="AA2141" s="374" t="b">
        <f t="shared" si="508"/>
        <v>1</v>
      </c>
      <c r="AB2141" s="374">
        <f>COUNTIFS(B:B,B2141,H:H,'סיווג התפקידים והעלויות'!$C$2)</f>
        <v>0</v>
      </c>
      <c r="AC2141" s="374">
        <f>COUNTIFS(B:B,B2141,H:H,'סיווג התפקידים והעלויות'!$D$2)</f>
        <v>0</v>
      </c>
      <c r="AD2141" s="374" t="str">
        <f>IF(OR(AND(H2141='סיווג התפקידים והעלויות'!$A$2,I2141='סיווג התפקידים והעלויות'!$A$3),'עלויות כח אדם (6)'!H2141='סיווג התפקידים והעלויות'!$C$2,'עלויות כח אדם (6)'!H2141='סיווג התפקידים והעלויות'!$D$2),IF('עלויות כח אדם (6)'!J2141&lt;75,"לא תקין","תקין"),"")</f>
        <v/>
      </c>
      <c r="AE2141" s="374" t="str">
        <f t="shared" si="509"/>
        <v/>
      </c>
      <c r="AF2141" s="532" t="str">
        <f t="shared" si="510"/>
        <v/>
      </c>
    </row>
    <row r="2142" spans="2:32" x14ac:dyDescent="0.25">
      <c r="B2142" s="695"/>
      <c r="C2142" s="197" t="str">
        <f>IF(B2142&lt;&gt;"",IFERROR(VLOOKUP(B:B,'מצבת והרשמה (2)'!$C$20:$N$520,2,0)," ")," ")</f>
        <v xml:space="preserve"> </v>
      </c>
      <c r="D2142" s="695"/>
      <c r="E2142" s="696"/>
      <c r="F2142" s="696"/>
      <c r="G2142" s="696"/>
      <c r="H2142" s="696"/>
      <c r="I2142" s="1050" t="str">
        <f t="shared" si="497"/>
        <v/>
      </c>
      <c r="J2142" s="696"/>
      <c r="K2142" s="697"/>
      <c r="L2142" s="696"/>
      <c r="M2142" s="198" t="str">
        <f t="shared" si="498"/>
        <v/>
      </c>
      <c r="N2142" s="369" t="str">
        <f t="shared" si="499"/>
        <v/>
      </c>
      <c r="O2142" s="183" t="str">
        <f t="shared" si="500"/>
        <v/>
      </c>
      <c r="P2142" s="199" t="str">
        <f t="shared" si="501"/>
        <v/>
      </c>
      <c r="Q2142" s="199" t="str">
        <f>IF(B2142="","",IFERROR(IF('עלויות כח אדם (6)'!J2142&gt;=VLOOKUP(I2142,'סיווג התפקידים והעלויות'!$B$23:$C$32,2,0),"תקין","לא תקין"),""))</f>
        <v/>
      </c>
      <c r="R2142" s="199" t="str">
        <f t="shared" si="502"/>
        <v/>
      </c>
      <c r="S2142" s="199" t="str">
        <f t="shared" si="503"/>
        <v/>
      </c>
      <c r="T2142" s="199" t="str">
        <f t="shared" si="511"/>
        <v/>
      </c>
      <c r="U2142" s="199" t="str">
        <f t="shared" si="504"/>
        <v/>
      </c>
      <c r="V2142" s="989"/>
      <c r="X2142" s="374" t="str">
        <f t="shared" si="505"/>
        <v/>
      </c>
      <c r="Y2142" s="375" t="str">
        <f t="shared" si="506"/>
        <v/>
      </c>
      <c r="Z2142" s="374" t="str">
        <f t="shared" si="507"/>
        <v/>
      </c>
      <c r="AA2142" s="374" t="b">
        <f t="shared" si="508"/>
        <v>1</v>
      </c>
      <c r="AB2142" s="374">
        <f>COUNTIFS(B:B,B2142,H:H,'סיווג התפקידים והעלויות'!$C$2)</f>
        <v>0</v>
      </c>
      <c r="AC2142" s="374">
        <f>COUNTIFS(B:B,B2142,H:H,'סיווג התפקידים והעלויות'!$D$2)</f>
        <v>0</v>
      </c>
      <c r="AD2142" s="374" t="str">
        <f>IF(OR(AND(H2142='סיווג התפקידים והעלויות'!$A$2,I2142='סיווג התפקידים והעלויות'!$A$3),'עלויות כח אדם (6)'!H2142='סיווג התפקידים והעלויות'!$C$2,'עלויות כח אדם (6)'!H2142='סיווג התפקידים והעלויות'!$D$2),IF('עלויות כח אדם (6)'!J2142&lt;75,"לא תקין","תקין"),"")</f>
        <v/>
      </c>
      <c r="AE2142" s="374" t="str">
        <f t="shared" si="509"/>
        <v/>
      </c>
      <c r="AF2142" s="532" t="str">
        <f t="shared" si="510"/>
        <v/>
      </c>
    </row>
    <row r="2143" spans="2:32" x14ac:dyDescent="0.25">
      <c r="B2143" s="695"/>
      <c r="C2143" s="197" t="str">
        <f>IF(B2143&lt;&gt;"",IFERROR(VLOOKUP(B:B,'מצבת והרשמה (2)'!$C$20:$N$520,2,0)," ")," ")</f>
        <v xml:space="preserve"> </v>
      </c>
      <c r="D2143" s="695"/>
      <c r="E2143" s="696"/>
      <c r="F2143" s="696"/>
      <c r="G2143" s="696"/>
      <c r="H2143" s="696"/>
      <c r="I2143" s="1050" t="str">
        <f t="shared" si="497"/>
        <v/>
      </c>
      <c r="J2143" s="696"/>
      <c r="K2143" s="697"/>
      <c r="L2143" s="696"/>
      <c r="M2143" s="198" t="str">
        <f t="shared" si="498"/>
        <v/>
      </c>
      <c r="N2143" s="369" t="str">
        <f t="shared" si="499"/>
        <v/>
      </c>
      <c r="O2143" s="183" t="str">
        <f t="shared" si="500"/>
        <v/>
      </c>
      <c r="P2143" s="199" t="str">
        <f t="shared" si="501"/>
        <v/>
      </c>
      <c r="Q2143" s="199" t="str">
        <f>IF(B2143="","",IFERROR(IF('עלויות כח אדם (6)'!J2143&gt;=VLOOKUP(I2143,'סיווג התפקידים והעלויות'!$B$23:$C$32,2,0),"תקין","לא תקין"),""))</f>
        <v/>
      </c>
      <c r="R2143" s="199" t="str">
        <f t="shared" si="502"/>
        <v/>
      </c>
      <c r="S2143" s="199" t="str">
        <f t="shared" si="503"/>
        <v/>
      </c>
      <c r="T2143" s="199" t="str">
        <f t="shared" si="511"/>
        <v/>
      </c>
      <c r="U2143" s="199" t="str">
        <f t="shared" si="504"/>
        <v/>
      </c>
      <c r="V2143" s="989"/>
      <c r="X2143" s="374" t="str">
        <f t="shared" si="505"/>
        <v/>
      </c>
      <c r="Y2143" s="375" t="str">
        <f t="shared" si="506"/>
        <v/>
      </c>
      <c r="Z2143" s="374" t="str">
        <f t="shared" si="507"/>
        <v/>
      </c>
      <c r="AA2143" s="374" t="b">
        <f t="shared" si="508"/>
        <v>1</v>
      </c>
      <c r="AB2143" s="374">
        <f>COUNTIFS(B:B,B2143,H:H,'סיווג התפקידים והעלויות'!$C$2)</f>
        <v>0</v>
      </c>
      <c r="AC2143" s="374">
        <f>COUNTIFS(B:B,B2143,H:H,'סיווג התפקידים והעלויות'!$D$2)</f>
        <v>0</v>
      </c>
      <c r="AD2143" s="374" t="str">
        <f>IF(OR(AND(H2143='סיווג התפקידים והעלויות'!$A$2,I2143='סיווג התפקידים והעלויות'!$A$3),'עלויות כח אדם (6)'!H2143='סיווג התפקידים והעלויות'!$C$2,'עלויות כח אדם (6)'!H2143='סיווג התפקידים והעלויות'!$D$2),IF('עלויות כח אדם (6)'!J2143&lt;75,"לא תקין","תקין"),"")</f>
        <v/>
      </c>
      <c r="AE2143" s="374" t="str">
        <f t="shared" si="509"/>
        <v/>
      </c>
      <c r="AF2143" s="532" t="str">
        <f t="shared" si="510"/>
        <v/>
      </c>
    </row>
    <row r="2144" spans="2:32" x14ac:dyDescent="0.25">
      <c r="B2144" s="695"/>
      <c r="C2144" s="197" t="str">
        <f>IF(B2144&lt;&gt;"",IFERROR(VLOOKUP(B:B,'מצבת והרשמה (2)'!$C$20:$N$520,2,0)," ")," ")</f>
        <v xml:space="preserve"> </v>
      </c>
      <c r="D2144" s="695"/>
      <c r="E2144" s="696"/>
      <c r="F2144" s="696"/>
      <c r="G2144" s="696"/>
      <c r="H2144" s="696"/>
      <c r="I2144" s="1050" t="str">
        <f t="shared" si="497"/>
        <v/>
      </c>
      <c r="J2144" s="696"/>
      <c r="K2144" s="697"/>
      <c r="L2144" s="696"/>
      <c r="M2144" s="198" t="str">
        <f t="shared" si="498"/>
        <v/>
      </c>
      <c r="N2144" s="369" t="str">
        <f t="shared" si="499"/>
        <v/>
      </c>
      <c r="O2144" s="183" t="str">
        <f t="shared" si="500"/>
        <v/>
      </c>
      <c r="P2144" s="199" t="str">
        <f t="shared" si="501"/>
        <v/>
      </c>
      <c r="Q2144" s="199" t="str">
        <f>IF(B2144="","",IFERROR(IF('עלויות כח אדם (6)'!J2144&gt;=VLOOKUP(I2144,'סיווג התפקידים והעלויות'!$B$23:$C$32,2,0),"תקין","לא תקין"),""))</f>
        <v/>
      </c>
      <c r="R2144" s="199" t="str">
        <f t="shared" si="502"/>
        <v/>
      </c>
      <c r="S2144" s="199" t="str">
        <f t="shared" si="503"/>
        <v/>
      </c>
      <c r="T2144" s="199" t="str">
        <f t="shared" si="511"/>
        <v/>
      </c>
      <c r="U2144" s="199" t="str">
        <f t="shared" si="504"/>
        <v/>
      </c>
      <c r="V2144" s="989"/>
      <c r="X2144" s="374" t="str">
        <f t="shared" si="505"/>
        <v/>
      </c>
      <c r="Y2144" s="375" t="str">
        <f t="shared" si="506"/>
        <v/>
      </c>
      <c r="Z2144" s="374" t="str">
        <f t="shared" si="507"/>
        <v/>
      </c>
      <c r="AA2144" s="374" t="b">
        <f t="shared" si="508"/>
        <v>1</v>
      </c>
      <c r="AB2144" s="374">
        <f>COUNTIFS(B:B,B2144,H:H,'סיווג התפקידים והעלויות'!$C$2)</f>
        <v>0</v>
      </c>
      <c r="AC2144" s="374">
        <f>COUNTIFS(B:B,B2144,H:H,'סיווג התפקידים והעלויות'!$D$2)</f>
        <v>0</v>
      </c>
      <c r="AD2144" s="374" t="str">
        <f>IF(OR(AND(H2144='סיווג התפקידים והעלויות'!$A$2,I2144='סיווג התפקידים והעלויות'!$A$3),'עלויות כח אדם (6)'!H2144='סיווג התפקידים והעלויות'!$C$2,'עלויות כח אדם (6)'!H2144='סיווג התפקידים והעלויות'!$D$2),IF('עלויות כח אדם (6)'!J2144&lt;75,"לא תקין","תקין"),"")</f>
        <v/>
      </c>
      <c r="AE2144" s="374" t="str">
        <f t="shared" si="509"/>
        <v/>
      </c>
      <c r="AF2144" s="532" t="str">
        <f t="shared" si="510"/>
        <v/>
      </c>
    </row>
    <row r="2145" spans="2:32" x14ac:dyDescent="0.25">
      <c r="B2145" s="695"/>
      <c r="C2145" s="197" t="str">
        <f>IF(B2145&lt;&gt;"",IFERROR(VLOOKUP(B:B,'מצבת והרשמה (2)'!$C$20:$N$520,2,0)," ")," ")</f>
        <v xml:space="preserve"> </v>
      </c>
      <c r="D2145" s="695"/>
      <c r="E2145" s="696"/>
      <c r="F2145" s="696"/>
      <c r="G2145" s="696"/>
      <c r="H2145" s="696"/>
      <c r="I2145" s="1050" t="str">
        <f t="shared" si="497"/>
        <v/>
      </c>
      <c r="J2145" s="696"/>
      <c r="K2145" s="697"/>
      <c r="L2145" s="696"/>
      <c r="M2145" s="198" t="str">
        <f t="shared" si="498"/>
        <v/>
      </c>
      <c r="N2145" s="369" t="str">
        <f t="shared" si="499"/>
        <v/>
      </c>
      <c r="O2145" s="183" t="str">
        <f t="shared" si="500"/>
        <v/>
      </c>
      <c r="P2145" s="199" t="str">
        <f t="shared" si="501"/>
        <v/>
      </c>
      <c r="Q2145" s="199" t="str">
        <f>IF(B2145="","",IFERROR(IF('עלויות כח אדם (6)'!J2145&gt;=VLOOKUP(I2145,'סיווג התפקידים והעלויות'!$B$23:$C$32,2,0),"תקין","לא תקין"),""))</f>
        <v/>
      </c>
      <c r="R2145" s="199" t="str">
        <f t="shared" si="502"/>
        <v/>
      </c>
      <c r="S2145" s="199" t="str">
        <f t="shared" si="503"/>
        <v/>
      </c>
      <c r="T2145" s="199" t="str">
        <f t="shared" si="511"/>
        <v/>
      </c>
      <c r="U2145" s="199" t="str">
        <f t="shared" si="504"/>
        <v/>
      </c>
      <c r="V2145" s="989"/>
      <c r="X2145" s="374" t="str">
        <f t="shared" si="505"/>
        <v/>
      </c>
      <c r="Y2145" s="375" t="str">
        <f t="shared" si="506"/>
        <v/>
      </c>
      <c r="Z2145" s="374" t="str">
        <f t="shared" si="507"/>
        <v/>
      </c>
      <c r="AA2145" s="374" t="b">
        <f t="shared" si="508"/>
        <v>1</v>
      </c>
      <c r="AB2145" s="374">
        <f>COUNTIFS(B:B,B2145,H:H,'סיווג התפקידים והעלויות'!$C$2)</f>
        <v>0</v>
      </c>
      <c r="AC2145" s="374">
        <f>COUNTIFS(B:B,B2145,H:H,'סיווג התפקידים והעלויות'!$D$2)</f>
        <v>0</v>
      </c>
      <c r="AD2145" s="374" t="str">
        <f>IF(OR(AND(H2145='סיווג התפקידים והעלויות'!$A$2,I2145='סיווג התפקידים והעלויות'!$A$3),'עלויות כח אדם (6)'!H2145='סיווג התפקידים והעלויות'!$C$2,'עלויות כח אדם (6)'!H2145='סיווג התפקידים והעלויות'!$D$2),IF('עלויות כח אדם (6)'!J2145&lt;75,"לא תקין","תקין"),"")</f>
        <v/>
      </c>
      <c r="AE2145" s="374" t="str">
        <f t="shared" si="509"/>
        <v/>
      </c>
      <c r="AF2145" s="532" t="str">
        <f t="shared" si="510"/>
        <v/>
      </c>
    </row>
    <row r="2146" spans="2:32" x14ac:dyDescent="0.25">
      <c r="B2146" s="695"/>
      <c r="C2146" s="197" t="str">
        <f>IF(B2146&lt;&gt;"",IFERROR(VLOOKUP(B:B,'מצבת והרשמה (2)'!$C$20:$N$520,2,0)," ")," ")</f>
        <v xml:space="preserve"> </v>
      </c>
      <c r="D2146" s="695"/>
      <c r="E2146" s="696"/>
      <c r="F2146" s="696"/>
      <c r="G2146" s="696"/>
      <c r="H2146" s="696"/>
      <c r="I2146" s="1050" t="str">
        <f t="shared" si="497"/>
        <v/>
      </c>
      <c r="J2146" s="696"/>
      <c r="K2146" s="697"/>
      <c r="L2146" s="696"/>
      <c r="M2146" s="198" t="str">
        <f t="shared" si="498"/>
        <v/>
      </c>
      <c r="N2146" s="369" t="str">
        <f t="shared" si="499"/>
        <v/>
      </c>
      <c r="O2146" s="183" t="str">
        <f t="shared" si="500"/>
        <v/>
      </c>
      <c r="P2146" s="199" t="str">
        <f t="shared" si="501"/>
        <v/>
      </c>
      <c r="Q2146" s="199" t="str">
        <f>IF(B2146="","",IFERROR(IF('עלויות כח אדם (6)'!J2146&gt;=VLOOKUP(I2146,'סיווג התפקידים והעלויות'!$B$23:$C$32,2,0),"תקין","לא תקין"),""))</f>
        <v/>
      </c>
      <c r="R2146" s="199" t="str">
        <f t="shared" si="502"/>
        <v/>
      </c>
      <c r="S2146" s="199" t="str">
        <f t="shared" si="503"/>
        <v/>
      </c>
      <c r="T2146" s="199" t="str">
        <f t="shared" si="511"/>
        <v/>
      </c>
      <c r="U2146" s="199" t="str">
        <f t="shared" si="504"/>
        <v/>
      </c>
      <c r="V2146" s="989"/>
      <c r="X2146" s="374" t="str">
        <f t="shared" si="505"/>
        <v/>
      </c>
      <c r="Y2146" s="375" t="str">
        <f t="shared" si="506"/>
        <v/>
      </c>
      <c r="Z2146" s="374" t="str">
        <f t="shared" si="507"/>
        <v/>
      </c>
      <c r="AA2146" s="374" t="b">
        <f t="shared" si="508"/>
        <v>1</v>
      </c>
      <c r="AB2146" s="374">
        <f>COUNTIFS(B:B,B2146,H:H,'סיווג התפקידים והעלויות'!$C$2)</f>
        <v>0</v>
      </c>
      <c r="AC2146" s="374">
        <f>COUNTIFS(B:B,B2146,H:H,'סיווג התפקידים והעלויות'!$D$2)</f>
        <v>0</v>
      </c>
      <c r="AD2146" s="374" t="str">
        <f>IF(OR(AND(H2146='סיווג התפקידים והעלויות'!$A$2,I2146='סיווג התפקידים והעלויות'!$A$3),'עלויות כח אדם (6)'!H2146='סיווג התפקידים והעלויות'!$C$2,'עלויות כח אדם (6)'!H2146='סיווג התפקידים והעלויות'!$D$2),IF('עלויות כח אדם (6)'!J2146&lt;75,"לא תקין","תקין"),"")</f>
        <v/>
      </c>
      <c r="AE2146" s="374" t="str">
        <f t="shared" si="509"/>
        <v/>
      </c>
      <c r="AF2146" s="532" t="str">
        <f t="shared" si="510"/>
        <v/>
      </c>
    </row>
    <row r="2147" spans="2:32" x14ac:dyDescent="0.25">
      <c r="B2147" s="695"/>
      <c r="C2147" s="197" t="str">
        <f>IF(B2147&lt;&gt;"",IFERROR(VLOOKUP(B:B,'מצבת והרשמה (2)'!$C$20:$N$520,2,0)," ")," ")</f>
        <v xml:space="preserve"> </v>
      </c>
      <c r="D2147" s="695"/>
      <c r="E2147" s="696"/>
      <c r="F2147" s="696"/>
      <c r="G2147" s="696"/>
      <c r="H2147" s="696"/>
      <c r="I2147" s="1050" t="str">
        <f t="shared" si="497"/>
        <v/>
      </c>
      <c r="J2147" s="696"/>
      <c r="K2147" s="697"/>
      <c r="L2147" s="696"/>
      <c r="M2147" s="198" t="str">
        <f t="shared" si="498"/>
        <v/>
      </c>
      <c r="N2147" s="369" t="str">
        <f t="shared" si="499"/>
        <v/>
      </c>
      <c r="O2147" s="183" t="str">
        <f t="shared" si="500"/>
        <v/>
      </c>
      <c r="P2147" s="199" t="str">
        <f t="shared" si="501"/>
        <v/>
      </c>
      <c r="Q2147" s="199" t="str">
        <f>IF(B2147="","",IFERROR(IF('עלויות כח אדם (6)'!J2147&gt;=VLOOKUP(I2147,'סיווג התפקידים והעלויות'!$B$23:$C$32,2,0),"תקין","לא תקין"),""))</f>
        <v/>
      </c>
      <c r="R2147" s="199" t="str">
        <f t="shared" si="502"/>
        <v/>
      </c>
      <c r="S2147" s="199" t="str">
        <f t="shared" si="503"/>
        <v/>
      </c>
      <c r="T2147" s="199" t="str">
        <f t="shared" si="511"/>
        <v/>
      </c>
      <c r="U2147" s="199" t="str">
        <f t="shared" si="504"/>
        <v/>
      </c>
      <c r="V2147" s="989"/>
      <c r="X2147" s="374" t="str">
        <f t="shared" si="505"/>
        <v/>
      </c>
      <c r="Y2147" s="375" t="str">
        <f t="shared" si="506"/>
        <v/>
      </c>
      <c r="Z2147" s="374" t="str">
        <f t="shared" si="507"/>
        <v/>
      </c>
      <c r="AA2147" s="374" t="b">
        <f t="shared" si="508"/>
        <v>1</v>
      </c>
      <c r="AB2147" s="374">
        <f>COUNTIFS(B:B,B2147,H:H,'סיווג התפקידים והעלויות'!$C$2)</f>
        <v>0</v>
      </c>
      <c r="AC2147" s="374">
        <f>COUNTIFS(B:B,B2147,H:H,'סיווג התפקידים והעלויות'!$D$2)</f>
        <v>0</v>
      </c>
      <c r="AD2147" s="374" t="str">
        <f>IF(OR(AND(H2147='סיווג התפקידים והעלויות'!$A$2,I2147='סיווג התפקידים והעלויות'!$A$3),'עלויות כח אדם (6)'!H2147='סיווג התפקידים והעלויות'!$C$2,'עלויות כח אדם (6)'!H2147='סיווג התפקידים והעלויות'!$D$2),IF('עלויות כח אדם (6)'!J2147&lt;75,"לא תקין","תקין"),"")</f>
        <v/>
      </c>
      <c r="AE2147" s="374" t="str">
        <f t="shared" si="509"/>
        <v/>
      </c>
      <c r="AF2147" s="532" t="str">
        <f t="shared" si="510"/>
        <v/>
      </c>
    </row>
    <row r="2148" spans="2:32" x14ac:dyDescent="0.25">
      <c r="B2148" s="695"/>
      <c r="C2148" s="197" t="str">
        <f>IF(B2148&lt;&gt;"",IFERROR(VLOOKUP(B:B,'מצבת והרשמה (2)'!$C$20:$N$520,2,0)," ")," ")</f>
        <v xml:space="preserve"> </v>
      </c>
      <c r="D2148" s="695"/>
      <c r="E2148" s="696"/>
      <c r="F2148" s="696"/>
      <c r="G2148" s="696"/>
      <c r="H2148" s="696"/>
      <c r="I2148" s="1050" t="str">
        <f t="shared" si="497"/>
        <v/>
      </c>
      <c r="J2148" s="696"/>
      <c r="K2148" s="697"/>
      <c r="L2148" s="696"/>
      <c r="M2148" s="198" t="str">
        <f t="shared" si="498"/>
        <v/>
      </c>
      <c r="N2148" s="369" t="str">
        <f t="shared" si="499"/>
        <v/>
      </c>
      <c r="O2148" s="183" t="str">
        <f t="shared" si="500"/>
        <v/>
      </c>
      <c r="P2148" s="199" t="str">
        <f t="shared" si="501"/>
        <v/>
      </c>
      <c r="Q2148" s="199" t="str">
        <f>IF(B2148="","",IFERROR(IF('עלויות כח אדם (6)'!J2148&gt;=VLOOKUP(I2148,'סיווג התפקידים והעלויות'!$B$23:$C$32,2,0),"תקין","לא תקין"),""))</f>
        <v/>
      </c>
      <c r="R2148" s="199" t="str">
        <f t="shared" si="502"/>
        <v/>
      </c>
      <c r="S2148" s="199" t="str">
        <f t="shared" si="503"/>
        <v/>
      </c>
      <c r="T2148" s="199" t="str">
        <f t="shared" si="511"/>
        <v/>
      </c>
      <c r="U2148" s="199" t="str">
        <f t="shared" si="504"/>
        <v/>
      </c>
      <c r="V2148" s="989"/>
      <c r="X2148" s="374" t="str">
        <f t="shared" si="505"/>
        <v/>
      </c>
      <c r="Y2148" s="375" t="str">
        <f t="shared" si="506"/>
        <v/>
      </c>
      <c r="Z2148" s="374" t="str">
        <f t="shared" si="507"/>
        <v/>
      </c>
      <c r="AA2148" s="374" t="b">
        <f t="shared" si="508"/>
        <v>1</v>
      </c>
      <c r="AB2148" s="374">
        <f>COUNTIFS(B:B,B2148,H:H,'סיווג התפקידים והעלויות'!$C$2)</f>
        <v>0</v>
      </c>
      <c r="AC2148" s="374">
        <f>COUNTIFS(B:B,B2148,H:H,'סיווג התפקידים והעלויות'!$D$2)</f>
        <v>0</v>
      </c>
      <c r="AD2148" s="374" t="str">
        <f>IF(OR(AND(H2148='סיווג התפקידים והעלויות'!$A$2,I2148='סיווג התפקידים והעלויות'!$A$3),'עלויות כח אדם (6)'!H2148='סיווג התפקידים והעלויות'!$C$2,'עלויות כח אדם (6)'!H2148='סיווג התפקידים והעלויות'!$D$2),IF('עלויות כח אדם (6)'!J2148&lt;75,"לא תקין","תקין"),"")</f>
        <v/>
      </c>
      <c r="AE2148" s="374" t="str">
        <f t="shared" si="509"/>
        <v/>
      </c>
      <c r="AF2148" s="532" t="str">
        <f t="shared" si="510"/>
        <v/>
      </c>
    </row>
    <row r="2149" spans="2:32" x14ac:dyDescent="0.25">
      <c r="B2149" s="695"/>
      <c r="C2149" s="197" t="str">
        <f>IF(B2149&lt;&gt;"",IFERROR(VLOOKUP(B:B,'מצבת והרשמה (2)'!$C$20:$N$520,2,0)," ")," ")</f>
        <v xml:space="preserve"> </v>
      </c>
      <c r="D2149" s="695"/>
      <c r="E2149" s="696"/>
      <c r="F2149" s="696"/>
      <c r="G2149" s="696"/>
      <c r="H2149" s="696"/>
      <c r="I2149" s="1050" t="str">
        <f t="shared" si="497"/>
        <v/>
      </c>
      <c r="J2149" s="696"/>
      <c r="K2149" s="697"/>
      <c r="L2149" s="696"/>
      <c r="M2149" s="198" t="str">
        <f t="shared" si="498"/>
        <v/>
      </c>
      <c r="N2149" s="369" t="str">
        <f t="shared" si="499"/>
        <v/>
      </c>
      <c r="O2149" s="183" t="str">
        <f t="shared" si="500"/>
        <v/>
      </c>
      <c r="P2149" s="199" t="str">
        <f t="shared" si="501"/>
        <v/>
      </c>
      <c r="Q2149" s="199" t="str">
        <f>IF(B2149="","",IFERROR(IF('עלויות כח אדם (6)'!J2149&gt;=VLOOKUP(I2149,'סיווג התפקידים והעלויות'!$B$23:$C$32,2,0),"תקין","לא תקין"),""))</f>
        <v/>
      </c>
      <c r="R2149" s="199" t="str">
        <f t="shared" si="502"/>
        <v/>
      </c>
      <c r="S2149" s="199" t="str">
        <f t="shared" si="503"/>
        <v/>
      </c>
      <c r="T2149" s="199" t="str">
        <f t="shared" si="511"/>
        <v/>
      </c>
      <c r="U2149" s="199" t="str">
        <f t="shared" si="504"/>
        <v/>
      </c>
      <c r="V2149" s="989"/>
      <c r="X2149" s="374" t="str">
        <f t="shared" si="505"/>
        <v/>
      </c>
      <c r="Y2149" s="375" t="str">
        <f t="shared" si="506"/>
        <v/>
      </c>
      <c r="Z2149" s="374" t="str">
        <f t="shared" si="507"/>
        <v/>
      </c>
      <c r="AA2149" s="374" t="b">
        <f t="shared" si="508"/>
        <v>1</v>
      </c>
      <c r="AB2149" s="374">
        <f>COUNTIFS(B:B,B2149,H:H,'סיווג התפקידים והעלויות'!$C$2)</f>
        <v>0</v>
      </c>
      <c r="AC2149" s="374">
        <f>COUNTIFS(B:B,B2149,H:H,'סיווג התפקידים והעלויות'!$D$2)</f>
        <v>0</v>
      </c>
      <c r="AD2149" s="374" t="str">
        <f>IF(OR(AND(H2149='סיווג התפקידים והעלויות'!$A$2,I2149='סיווג התפקידים והעלויות'!$A$3),'עלויות כח אדם (6)'!H2149='סיווג התפקידים והעלויות'!$C$2,'עלויות כח אדם (6)'!H2149='סיווג התפקידים והעלויות'!$D$2),IF('עלויות כח אדם (6)'!J2149&lt;75,"לא תקין","תקין"),"")</f>
        <v/>
      </c>
      <c r="AE2149" s="374" t="str">
        <f t="shared" si="509"/>
        <v/>
      </c>
      <c r="AF2149" s="532" t="str">
        <f t="shared" si="510"/>
        <v/>
      </c>
    </row>
    <row r="2150" spans="2:32" x14ac:dyDescent="0.25">
      <c r="B2150" s="695"/>
      <c r="C2150" s="197" t="str">
        <f>IF(B2150&lt;&gt;"",IFERROR(VLOOKUP(B:B,'מצבת והרשמה (2)'!$C$20:$N$520,2,0)," ")," ")</f>
        <v xml:space="preserve"> </v>
      </c>
      <c r="D2150" s="695"/>
      <c r="E2150" s="696"/>
      <c r="F2150" s="696"/>
      <c r="G2150" s="696"/>
      <c r="H2150" s="696"/>
      <c r="I2150" s="1050" t="str">
        <f t="shared" si="497"/>
        <v/>
      </c>
      <c r="J2150" s="696"/>
      <c r="K2150" s="697"/>
      <c r="L2150" s="696"/>
      <c r="M2150" s="198" t="str">
        <f t="shared" si="498"/>
        <v/>
      </c>
      <c r="N2150" s="369" t="str">
        <f t="shared" si="499"/>
        <v/>
      </c>
      <c r="O2150" s="183" t="str">
        <f t="shared" si="500"/>
        <v/>
      </c>
      <c r="P2150" s="199" t="str">
        <f t="shared" si="501"/>
        <v/>
      </c>
      <c r="Q2150" s="199" t="str">
        <f>IF(B2150="","",IFERROR(IF('עלויות כח אדם (6)'!J2150&gt;=VLOOKUP(I2150,'סיווג התפקידים והעלויות'!$B$23:$C$32,2,0),"תקין","לא תקין"),""))</f>
        <v/>
      </c>
      <c r="R2150" s="199" t="str">
        <f t="shared" si="502"/>
        <v/>
      </c>
      <c r="S2150" s="199" t="str">
        <f t="shared" si="503"/>
        <v/>
      </c>
      <c r="T2150" s="199" t="str">
        <f t="shared" si="511"/>
        <v/>
      </c>
      <c r="U2150" s="199" t="str">
        <f t="shared" si="504"/>
        <v/>
      </c>
      <c r="V2150" s="989"/>
      <c r="X2150" s="374" t="str">
        <f t="shared" si="505"/>
        <v/>
      </c>
      <c r="Y2150" s="375" t="str">
        <f t="shared" si="506"/>
        <v/>
      </c>
      <c r="Z2150" s="374" t="str">
        <f t="shared" si="507"/>
        <v/>
      </c>
      <c r="AA2150" s="374" t="b">
        <f t="shared" si="508"/>
        <v>1</v>
      </c>
      <c r="AB2150" s="374">
        <f>COUNTIFS(B:B,B2150,H:H,'סיווג התפקידים והעלויות'!$C$2)</f>
        <v>0</v>
      </c>
      <c r="AC2150" s="374">
        <f>COUNTIFS(B:B,B2150,H:H,'סיווג התפקידים והעלויות'!$D$2)</f>
        <v>0</v>
      </c>
      <c r="AD2150" s="374" t="str">
        <f>IF(OR(AND(H2150='סיווג התפקידים והעלויות'!$A$2,I2150='סיווג התפקידים והעלויות'!$A$3),'עלויות כח אדם (6)'!H2150='סיווג התפקידים והעלויות'!$C$2,'עלויות כח אדם (6)'!H2150='סיווג התפקידים והעלויות'!$D$2),IF('עלויות כח אדם (6)'!J2150&lt;75,"לא תקין","תקין"),"")</f>
        <v/>
      </c>
      <c r="AE2150" s="374" t="str">
        <f t="shared" si="509"/>
        <v/>
      </c>
      <c r="AF2150" s="532" t="str">
        <f t="shared" si="510"/>
        <v/>
      </c>
    </row>
    <row r="2151" spans="2:32" x14ac:dyDescent="0.25">
      <c r="B2151" s="695"/>
      <c r="C2151" s="197" t="str">
        <f>IF(B2151&lt;&gt;"",IFERROR(VLOOKUP(B:B,'מצבת והרשמה (2)'!$C$20:$N$520,2,0)," ")," ")</f>
        <v xml:space="preserve"> </v>
      </c>
      <c r="D2151" s="695"/>
      <c r="E2151" s="696"/>
      <c r="F2151" s="696"/>
      <c r="G2151" s="696"/>
      <c r="H2151" s="696"/>
      <c r="I2151" s="1050" t="str">
        <f t="shared" si="497"/>
        <v/>
      </c>
      <c r="J2151" s="696"/>
      <c r="K2151" s="697"/>
      <c r="L2151" s="696"/>
      <c r="M2151" s="198" t="str">
        <f t="shared" si="498"/>
        <v/>
      </c>
      <c r="N2151" s="369" t="str">
        <f t="shared" si="499"/>
        <v/>
      </c>
      <c r="O2151" s="183" t="str">
        <f t="shared" si="500"/>
        <v/>
      </c>
      <c r="P2151" s="199" t="str">
        <f t="shared" si="501"/>
        <v/>
      </c>
      <c r="Q2151" s="199" t="str">
        <f>IF(B2151="","",IFERROR(IF('עלויות כח אדם (6)'!J2151&gt;=VLOOKUP(I2151,'סיווג התפקידים והעלויות'!$B$23:$C$32,2,0),"תקין","לא תקין"),""))</f>
        <v/>
      </c>
      <c r="R2151" s="199" t="str">
        <f t="shared" si="502"/>
        <v/>
      </c>
      <c r="S2151" s="199" t="str">
        <f t="shared" si="503"/>
        <v/>
      </c>
      <c r="T2151" s="199" t="str">
        <f t="shared" si="511"/>
        <v/>
      </c>
      <c r="U2151" s="199" t="str">
        <f t="shared" si="504"/>
        <v/>
      </c>
      <c r="V2151" s="989"/>
      <c r="X2151" s="374" t="str">
        <f t="shared" si="505"/>
        <v/>
      </c>
      <c r="Y2151" s="375" t="str">
        <f t="shared" si="506"/>
        <v/>
      </c>
      <c r="Z2151" s="374" t="str">
        <f t="shared" si="507"/>
        <v/>
      </c>
      <c r="AA2151" s="374" t="b">
        <f t="shared" si="508"/>
        <v>1</v>
      </c>
      <c r="AB2151" s="374">
        <f>COUNTIFS(B:B,B2151,H:H,'סיווג התפקידים והעלויות'!$C$2)</f>
        <v>0</v>
      </c>
      <c r="AC2151" s="374">
        <f>COUNTIFS(B:B,B2151,H:H,'סיווג התפקידים והעלויות'!$D$2)</f>
        <v>0</v>
      </c>
      <c r="AD2151" s="374" t="str">
        <f>IF(OR(AND(H2151='סיווג התפקידים והעלויות'!$A$2,I2151='סיווג התפקידים והעלויות'!$A$3),'עלויות כח אדם (6)'!H2151='סיווג התפקידים והעלויות'!$C$2,'עלויות כח אדם (6)'!H2151='סיווג התפקידים והעלויות'!$D$2),IF('עלויות כח אדם (6)'!J2151&lt;75,"לא תקין","תקין"),"")</f>
        <v/>
      </c>
      <c r="AE2151" s="374" t="str">
        <f t="shared" si="509"/>
        <v/>
      </c>
      <c r="AF2151" s="532" t="str">
        <f t="shared" si="510"/>
        <v/>
      </c>
    </row>
    <row r="2152" spans="2:32" x14ac:dyDescent="0.25">
      <c r="B2152" s="695"/>
      <c r="C2152" s="197" t="str">
        <f>IF(B2152&lt;&gt;"",IFERROR(VLOOKUP(B:B,'מצבת והרשמה (2)'!$C$20:$N$520,2,0)," ")," ")</f>
        <v xml:space="preserve"> </v>
      </c>
      <c r="D2152" s="695"/>
      <c r="E2152" s="696"/>
      <c r="F2152" s="696"/>
      <c r="G2152" s="696"/>
      <c r="H2152" s="696"/>
      <c r="I2152" s="1050" t="str">
        <f t="shared" si="497"/>
        <v/>
      </c>
      <c r="J2152" s="696"/>
      <c r="K2152" s="697"/>
      <c r="L2152" s="696"/>
      <c r="M2152" s="198" t="str">
        <f t="shared" si="498"/>
        <v/>
      </c>
      <c r="N2152" s="369" t="str">
        <f t="shared" si="499"/>
        <v/>
      </c>
      <c r="O2152" s="183" t="str">
        <f t="shared" si="500"/>
        <v/>
      </c>
      <c r="P2152" s="199" t="str">
        <f t="shared" si="501"/>
        <v/>
      </c>
      <c r="Q2152" s="199" t="str">
        <f>IF(B2152="","",IFERROR(IF('עלויות כח אדם (6)'!J2152&gt;=VLOOKUP(I2152,'סיווג התפקידים והעלויות'!$B$23:$C$32,2,0),"תקין","לא תקין"),""))</f>
        <v/>
      </c>
      <c r="R2152" s="199" t="str">
        <f t="shared" si="502"/>
        <v/>
      </c>
      <c r="S2152" s="199" t="str">
        <f t="shared" si="503"/>
        <v/>
      </c>
      <c r="T2152" s="199" t="str">
        <f t="shared" si="511"/>
        <v/>
      </c>
      <c r="U2152" s="199" t="str">
        <f t="shared" si="504"/>
        <v/>
      </c>
      <c r="V2152" s="989"/>
      <c r="X2152" s="374" t="str">
        <f t="shared" si="505"/>
        <v/>
      </c>
      <c r="Y2152" s="375" t="str">
        <f t="shared" si="506"/>
        <v/>
      </c>
      <c r="Z2152" s="374" t="str">
        <f t="shared" si="507"/>
        <v/>
      </c>
      <c r="AA2152" s="374" t="b">
        <f t="shared" si="508"/>
        <v>1</v>
      </c>
      <c r="AB2152" s="374">
        <f>COUNTIFS(B:B,B2152,H:H,'סיווג התפקידים והעלויות'!$C$2)</f>
        <v>0</v>
      </c>
      <c r="AC2152" s="374">
        <f>COUNTIFS(B:B,B2152,H:H,'סיווג התפקידים והעלויות'!$D$2)</f>
        <v>0</v>
      </c>
      <c r="AD2152" s="374" t="str">
        <f>IF(OR(AND(H2152='סיווג התפקידים והעלויות'!$A$2,I2152='סיווג התפקידים והעלויות'!$A$3),'עלויות כח אדם (6)'!H2152='סיווג התפקידים והעלויות'!$C$2,'עלויות כח אדם (6)'!H2152='סיווג התפקידים והעלויות'!$D$2),IF('עלויות כח אדם (6)'!J2152&lt;75,"לא תקין","תקין"),"")</f>
        <v/>
      </c>
      <c r="AE2152" s="374" t="str">
        <f t="shared" si="509"/>
        <v/>
      </c>
      <c r="AF2152" s="532" t="str">
        <f t="shared" si="510"/>
        <v/>
      </c>
    </row>
    <row r="2153" spans="2:32" x14ac:dyDescent="0.25">
      <c r="B2153" s="695"/>
      <c r="C2153" s="197" t="str">
        <f>IF(B2153&lt;&gt;"",IFERROR(VLOOKUP(B:B,'מצבת והרשמה (2)'!$C$20:$N$520,2,0)," ")," ")</f>
        <v xml:space="preserve"> </v>
      </c>
      <c r="D2153" s="695"/>
      <c r="E2153" s="696"/>
      <c r="F2153" s="696"/>
      <c r="G2153" s="696"/>
      <c r="H2153" s="696"/>
      <c r="I2153" s="1050" t="str">
        <f t="shared" si="497"/>
        <v/>
      </c>
      <c r="J2153" s="696"/>
      <c r="K2153" s="697"/>
      <c r="L2153" s="696"/>
      <c r="M2153" s="198" t="str">
        <f t="shared" si="498"/>
        <v/>
      </c>
      <c r="N2153" s="369" t="str">
        <f t="shared" si="499"/>
        <v/>
      </c>
      <c r="O2153" s="183" t="str">
        <f t="shared" si="500"/>
        <v/>
      </c>
      <c r="P2153" s="199" t="str">
        <f t="shared" si="501"/>
        <v/>
      </c>
      <c r="Q2153" s="199" t="str">
        <f>IF(B2153="","",IFERROR(IF('עלויות כח אדם (6)'!J2153&gt;=VLOOKUP(I2153,'סיווג התפקידים והעלויות'!$B$23:$C$32,2,0),"תקין","לא תקין"),""))</f>
        <v/>
      </c>
      <c r="R2153" s="199" t="str">
        <f t="shared" si="502"/>
        <v/>
      </c>
      <c r="S2153" s="199" t="str">
        <f t="shared" si="503"/>
        <v/>
      </c>
      <c r="T2153" s="199" t="str">
        <f t="shared" si="511"/>
        <v/>
      </c>
      <c r="U2153" s="199" t="str">
        <f t="shared" si="504"/>
        <v/>
      </c>
      <c r="V2153" s="989"/>
      <c r="X2153" s="374" t="str">
        <f t="shared" si="505"/>
        <v/>
      </c>
      <c r="Y2153" s="375" t="str">
        <f t="shared" si="506"/>
        <v/>
      </c>
      <c r="Z2153" s="374" t="str">
        <f t="shared" si="507"/>
        <v/>
      </c>
      <c r="AA2153" s="374" t="b">
        <f t="shared" si="508"/>
        <v>1</v>
      </c>
      <c r="AB2153" s="374">
        <f>COUNTIFS(B:B,B2153,H:H,'סיווג התפקידים והעלויות'!$C$2)</f>
        <v>0</v>
      </c>
      <c r="AC2153" s="374">
        <f>COUNTIFS(B:B,B2153,H:H,'סיווג התפקידים והעלויות'!$D$2)</f>
        <v>0</v>
      </c>
      <c r="AD2153" s="374" t="str">
        <f>IF(OR(AND(H2153='סיווג התפקידים והעלויות'!$A$2,I2153='סיווג התפקידים והעלויות'!$A$3),'עלויות כח אדם (6)'!H2153='סיווג התפקידים והעלויות'!$C$2,'עלויות כח אדם (6)'!H2153='סיווג התפקידים והעלויות'!$D$2),IF('עלויות כח אדם (6)'!J2153&lt;75,"לא תקין","תקין"),"")</f>
        <v/>
      </c>
      <c r="AE2153" s="374" t="str">
        <f t="shared" si="509"/>
        <v/>
      </c>
      <c r="AF2153" s="532" t="str">
        <f t="shared" si="510"/>
        <v/>
      </c>
    </row>
    <row r="2154" spans="2:32" x14ac:dyDescent="0.25">
      <c r="B2154" s="695"/>
      <c r="C2154" s="197" t="str">
        <f>IF(B2154&lt;&gt;"",IFERROR(VLOOKUP(B:B,'מצבת והרשמה (2)'!$C$20:$N$520,2,0)," ")," ")</f>
        <v xml:space="preserve"> </v>
      </c>
      <c r="D2154" s="695"/>
      <c r="E2154" s="696"/>
      <c r="F2154" s="696"/>
      <c r="G2154" s="696"/>
      <c r="H2154" s="696"/>
      <c r="I2154" s="1050" t="str">
        <f t="shared" si="497"/>
        <v/>
      </c>
      <c r="J2154" s="696"/>
      <c r="K2154" s="697"/>
      <c r="L2154" s="696"/>
      <c r="M2154" s="198" t="str">
        <f t="shared" si="498"/>
        <v/>
      </c>
      <c r="N2154" s="369" t="str">
        <f t="shared" si="499"/>
        <v/>
      </c>
      <c r="O2154" s="183" t="str">
        <f t="shared" si="500"/>
        <v/>
      </c>
      <c r="P2154" s="199" t="str">
        <f t="shared" si="501"/>
        <v/>
      </c>
      <c r="Q2154" s="199" t="str">
        <f>IF(B2154="","",IFERROR(IF('עלויות כח אדם (6)'!J2154&gt;=VLOOKUP(I2154,'סיווג התפקידים והעלויות'!$B$23:$C$32,2,0),"תקין","לא תקין"),""))</f>
        <v/>
      </c>
      <c r="R2154" s="199" t="str">
        <f t="shared" si="502"/>
        <v/>
      </c>
      <c r="S2154" s="199" t="str">
        <f t="shared" si="503"/>
        <v/>
      </c>
      <c r="T2154" s="199" t="str">
        <f t="shared" si="511"/>
        <v/>
      </c>
      <c r="U2154" s="199" t="str">
        <f t="shared" si="504"/>
        <v/>
      </c>
      <c r="V2154" s="989"/>
      <c r="X2154" s="374" t="str">
        <f t="shared" si="505"/>
        <v/>
      </c>
      <c r="Y2154" s="375" t="str">
        <f t="shared" si="506"/>
        <v/>
      </c>
      <c r="Z2154" s="374" t="str">
        <f t="shared" si="507"/>
        <v/>
      </c>
      <c r="AA2154" s="374" t="b">
        <f t="shared" si="508"/>
        <v>1</v>
      </c>
      <c r="AB2154" s="374">
        <f>COUNTIFS(B:B,B2154,H:H,'סיווג התפקידים והעלויות'!$C$2)</f>
        <v>0</v>
      </c>
      <c r="AC2154" s="374">
        <f>COUNTIFS(B:B,B2154,H:H,'סיווג התפקידים והעלויות'!$D$2)</f>
        <v>0</v>
      </c>
      <c r="AD2154" s="374" t="str">
        <f>IF(OR(AND(H2154='סיווג התפקידים והעלויות'!$A$2,I2154='סיווג התפקידים והעלויות'!$A$3),'עלויות כח אדם (6)'!H2154='סיווג התפקידים והעלויות'!$C$2,'עלויות כח אדם (6)'!H2154='סיווג התפקידים והעלויות'!$D$2),IF('עלויות כח אדם (6)'!J2154&lt;75,"לא תקין","תקין"),"")</f>
        <v/>
      </c>
      <c r="AE2154" s="374" t="str">
        <f t="shared" si="509"/>
        <v/>
      </c>
      <c r="AF2154" s="532" t="str">
        <f t="shared" si="510"/>
        <v/>
      </c>
    </row>
    <row r="2155" spans="2:32" x14ac:dyDescent="0.25">
      <c r="B2155" s="695"/>
      <c r="C2155" s="197" t="str">
        <f>IF(B2155&lt;&gt;"",IFERROR(VLOOKUP(B:B,'מצבת והרשמה (2)'!$C$20:$N$520,2,0)," ")," ")</f>
        <v xml:space="preserve"> </v>
      </c>
      <c r="D2155" s="695"/>
      <c r="E2155" s="696"/>
      <c r="F2155" s="696"/>
      <c r="G2155" s="696"/>
      <c r="H2155" s="696"/>
      <c r="I2155" s="1050" t="str">
        <f t="shared" si="497"/>
        <v/>
      </c>
      <c r="J2155" s="696"/>
      <c r="K2155" s="697"/>
      <c r="L2155" s="696"/>
      <c r="M2155" s="198" t="str">
        <f t="shared" si="498"/>
        <v/>
      </c>
      <c r="N2155" s="369" t="str">
        <f t="shared" si="499"/>
        <v/>
      </c>
      <c r="O2155" s="183" t="str">
        <f t="shared" si="500"/>
        <v/>
      </c>
      <c r="P2155" s="199" t="str">
        <f t="shared" si="501"/>
        <v/>
      </c>
      <c r="Q2155" s="199" t="str">
        <f>IF(B2155="","",IFERROR(IF('עלויות כח אדם (6)'!J2155&gt;=VLOOKUP(I2155,'סיווג התפקידים והעלויות'!$B$23:$C$32,2,0),"תקין","לא תקין"),""))</f>
        <v/>
      </c>
      <c r="R2155" s="199" t="str">
        <f t="shared" si="502"/>
        <v/>
      </c>
      <c r="S2155" s="199" t="str">
        <f t="shared" si="503"/>
        <v/>
      </c>
      <c r="T2155" s="199" t="str">
        <f t="shared" si="511"/>
        <v/>
      </c>
      <c r="U2155" s="199" t="str">
        <f t="shared" si="504"/>
        <v/>
      </c>
      <c r="V2155" s="989"/>
      <c r="X2155" s="374" t="str">
        <f t="shared" si="505"/>
        <v/>
      </c>
      <c r="Y2155" s="375" t="str">
        <f t="shared" si="506"/>
        <v/>
      </c>
      <c r="Z2155" s="374" t="str">
        <f t="shared" si="507"/>
        <v/>
      </c>
      <c r="AA2155" s="374" t="b">
        <f t="shared" si="508"/>
        <v>1</v>
      </c>
      <c r="AB2155" s="374">
        <f>COUNTIFS(B:B,B2155,H:H,'סיווג התפקידים והעלויות'!$C$2)</f>
        <v>0</v>
      </c>
      <c r="AC2155" s="374">
        <f>COUNTIFS(B:B,B2155,H:H,'סיווג התפקידים והעלויות'!$D$2)</f>
        <v>0</v>
      </c>
      <c r="AD2155" s="374" t="str">
        <f>IF(OR(AND(H2155='סיווג התפקידים והעלויות'!$A$2,I2155='סיווג התפקידים והעלויות'!$A$3),'עלויות כח אדם (6)'!H2155='סיווג התפקידים והעלויות'!$C$2,'עלויות כח אדם (6)'!H2155='סיווג התפקידים והעלויות'!$D$2),IF('עלויות כח אדם (6)'!J2155&lt;75,"לא תקין","תקין"),"")</f>
        <v/>
      </c>
      <c r="AE2155" s="374" t="str">
        <f t="shared" si="509"/>
        <v/>
      </c>
      <c r="AF2155" s="532" t="str">
        <f t="shared" si="510"/>
        <v/>
      </c>
    </row>
    <row r="2156" spans="2:32" x14ac:dyDescent="0.25">
      <c r="B2156" s="695"/>
      <c r="C2156" s="197" t="str">
        <f>IF(B2156&lt;&gt;"",IFERROR(VLOOKUP(B:B,'מצבת והרשמה (2)'!$C$20:$N$520,2,0)," ")," ")</f>
        <v xml:space="preserve"> </v>
      </c>
      <c r="D2156" s="695"/>
      <c r="E2156" s="696"/>
      <c r="F2156" s="696"/>
      <c r="G2156" s="696"/>
      <c r="H2156" s="696"/>
      <c r="I2156" s="1050" t="str">
        <f t="shared" si="497"/>
        <v/>
      </c>
      <c r="J2156" s="696"/>
      <c r="K2156" s="697"/>
      <c r="L2156" s="696"/>
      <c r="M2156" s="198" t="str">
        <f t="shared" si="498"/>
        <v/>
      </c>
      <c r="N2156" s="369" t="str">
        <f t="shared" si="499"/>
        <v/>
      </c>
      <c r="O2156" s="183" t="str">
        <f t="shared" si="500"/>
        <v/>
      </c>
      <c r="P2156" s="199" t="str">
        <f t="shared" si="501"/>
        <v/>
      </c>
      <c r="Q2156" s="199" t="str">
        <f>IF(B2156="","",IFERROR(IF('עלויות כח אדם (6)'!J2156&gt;=VLOOKUP(I2156,'סיווג התפקידים והעלויות'!$B$23:$C$32,2,0),"תקין","לא תקין"),""))</f>
        <v/>
      </c>
      <c r="R2156" s="199" t="str">
        <f t="shared" si="502"/>
        <v/>
      </c>
      <c r="S2156" s="199" t="str">
        <f t="shared" si="503"/>
        <v/>
      </c>
      <c r="T2156" s="199" t="str">
        <f t="shared" si="511"/>
        <v/>
      </c>
      <c r="U2156" s="199" t="str">
        <f t="shared" si="504"/>
        <v/>
      </c>
      <c r="V2156" s="989"/>
      <c r="X2156" s="374" t="str">
        <f t="shared" si="505"/>
        <v/>
      </c>
      <c r="Y2156" s="375" t="str">
        <f t="shared" si="506"/>
        <v/>
      </c>
      <c r="Z2156" s="374" t="str">
        <f t="shared" si="507"/>
        <v/>
      </c>
      <c r="AA2156" s="374" t="b">
        <f t="shared" si="508"/>
        <v>1</v>
      </c>
      <c r="AB2156" s="374">
        <f>COUNTIFS(B:B,B2156,H:H,'סיווג התפקידים והעלויות'!$C$2)</f>
        <v>0</v>
      </c>
      <c r="AC2156" s="374">
        <f>COUNTIFS(B:B,B2156,H:H,'סיווג התפקידים והעלויות'!$D$2)</f>
        <v>0</v>
      </c>
      <c r="AD2156" s="374" t="str">
        <f>IF(OR(AND(H2156='סיווג התפקידים והעלויות'!$A$2,I2156='סיווג התפקידים והעלויות'!$A$3),'עלויות כח אדם (6)'!H2156='סיווג התפקידים והעלויות'!$C$2,'עלויות כח אדם (6)'!H2156='סיווג התפקידים והעלויות'!$D$2),IF('עלויות כח אדם (6)'!J2156&lt;75,"לא תקין","תקין"),"")</f>
        <v/>
      </c>
      <c r="AE2156" s="374" t="str">
        <f t="shared" si="509"/>
        <v/>
      </c>
      <c r="AF2156" s="532" t="str">
        <f t="shared" si="510"/>
        <v/>
      </c>
    </row>
    <row r="2157" spans="2:32" x14ac:dyDescent="0.25">
      <c r="B2157" s="695"/>
      <c r="C2157" s="197" t="str">
        <f>IF(B2157&lt;&gt;"",IFERROR(VLOOKUP(B:B,'מצבת והרשמה (2)'!$C$20:$N$520,2,0)," ")," ")</f>
        <v xml:space="preserve"> </v>
      </c>
      <c r="D2157" s="695"/>
      <c r="E2157" s="696"/>
      <c r="F2157" s="696"/>
      <c r="G2157" s="696"/>
      <c r="H2157" s="696"/>
      <c r="I2157" s="1050" t="str">
        <f t="shared" si="497"/>
        <v/>
      </c>
      <c r="J2157" s="696"/>
      <c r="K2157" s="697"/>
      <c r="L2157" s="696"/>
      <c r="M2157" s="198" t="str">
        <f t="shared" si="498"/>
        <v/>
      </c>
      <c r="N2157" s="369" t="str">
        <f t="shared" si="499"/>
        <v/>
      </c>
      <c r="O2157" s="183" t="str">
        <f t="shared" si="500"/>
        <v/>
      </c>
      <c r="P2157" s="199" t="str">
        <f t="shared" si="501"/>
        <v/>
      </c>
      <c r="Q2157" s="199" t="str">
        <f>IF(B2157="","",IFERROR(IF('עלויות כח אדם (6)'!J2157&gt;=VLOOKUP(I2157,'סיווג התפקידים והעלויות'!$B$23:$C$32,2,0),"תקין","לא תקין"),""))</f>
        <v/>
      </c>
      <c r="R2157" s="199" t="str">
        <f t="shared" si="502"/>
        <v/>
      </c>
      <c r="S2157" s="199" t="str">
        <f t="shared" si="503"/>
        <v/>
      </c>
      <c r="T2157" s="199" t="str">
        <f t="shared" si="511"/>
        <v/>
      </c>
      <c r="U2157" s="199" t="str">
        <f t="shared" si="504"/>
        <v/>
      </c>
      <c r="V2157" s="989"/>
      <c r="X2157" s="374" t="str">
        <f t="shared" si="505"/>
        <v/>
      </c>
      <c r="Y2157" s="375" t="str">
        <f t="shared" si="506"/>
        <v/>
      </c>
      <c r="Z2157" s="374" t="str">
        <f t="shared" si="507"/>
        <v/>
      </c>
      <c r="AA2157" s="374" t="b">
        <f t="shared" si="508"/>
        <v>1</v>
      </c>
      <c r="AB2157" s="374">
        <f>COUNTIFS(B:B,B2157,H:H,'סיווג התפקידים והעלויות'!$C$2)</f>
        <v>0</v>
      </c>
      <c r="AC2157" s="374">
        <f>COUNTIFS(B:B,B2157,H:H,'סיווג התפקידים והעלויות'!$D$2)</f>
        <v>0</v>
      </c>
      <c r="AD2157" s="374" t="str">
        <f>IF(OR(AND(H2157='סיווג התפקידים והעלויות'!$A$2,I2157='סיווג התפקידים והעלויות'!$A$3),'עלויות כח אדם (6)'!H2157='סיווג התפקידים והעלויות'!$C$2,'עלויות כח אדם (6)'!H2157='סיווג התפקידים והעלויות'!$D$2),IF('עלויות כח אדם (6)'!J2157&lt;75,"לא תקין","תקין"),"")</f>
        <v/>
      </c>
      <c r="AE2157" s="374" t="str">
        <f t="shared" si="509"/>
        <v/>
      </c>
      <c r="AF2157" s="532" t="str">
        <f t="shared" si="510"/>
        <v/>
      </c>
    </row>
    <row r="2158" spans="2:32" x14ac:dyDescent="0.25">
      <c r="B2158" s="695"/>
      <c r="C2158" s="197" t="str">
        <f>IF(B2158&lt;&gt;"",IFERROR(VLOOKUP(B:B,'מצבת והרשמה (2)'!$C$20:$N$520,2,0)," ")," ")</f>
        <v xml:space="preserve"> </v>
      </c>
      <c r="D2158" s="695"/>
      <c r="E2158" s="696"/>
      <c r="F2158" s="696"/>
      <c r="G2158" s="696"/>
      <c r="H2158" s="696"/>
      <c r="I2158" s="1050" t="str">
        <f t="shared" si="497"/>
        <v/>
      </c>
      <c r="J2158" s="696"/>
      <c r="K2158" s="697"/>
      <c r="L2158" s="696"/>
      <c r="M2158" s="198" t="str">
        <f t="shared" si="498"/>
        <v/>
      </c>
      <c r="N2158" s="369" t="str">
        <f t="shared" si="499"/>
        <v/>
      </c>
      <c r="O2158" s="183" t="str">
        <f t="shared" si="500"/>
        <v/>
      </c>
      <c r="P2158" s="199" t="str">
        <f t="shared" si="501"/>
        <v/>
      </c>
      <c r="Q2158" s="199" t="str">
        <f>IF(B2158="","",IFERROR(IF('עלויות כח אדם (6)'!J2158&gt;=VLOOKUP(I2158,'סיווג התפקידים והעלויות'!$B$23:$C$32,2,0),"תקין","לא תקין"),""))</f>
        <v/>
      </c>
      <c r="R2158" s="199" t="str">
        <f t="shared" si="502"/>
        <v/>
      </c>
      <c r="S2158" s="199" t="str">
        <f t="shared" si="503"/>
        <v/>
      </c>
      <c r="T2158" s="199" t="str">
        <f t="shared" si="511"/>
        <v/>
      </c>
      <c r="U2158" s="199" t="str">
        <f t="shared" si="504"/>
        <v/>
      </c>
      <c r="V2158" s="989"/>
      <c r="X2158" s="374" t="str">
        <f t="shared" si="505"/>
        <v/>
      </c>
      <c r="Y2158" s="375" t="str">
        <f t="shared" si="506"/>
        <v/>
      </c>
      <c r="Z2158" s="374" t="str">
        <f t="shared" si="507"/>
        <v/>
      </c>
      <c r="AA2158" s="374" t="b">
        <f t="shared" si="508"/>
        <v>1</v>
      </c>
      <c r="AB2158" s="374">
        <f>COUNTIFS(B:B,B2158,H:H,'סיווג התפקידים והעלויות'!$C$2)</f>
        <v>0</v>
      </c>
      <c r="AC2158" s="374">
        <f>COUNTIFS(B:B,B2158,H:H,'סיווג התפקידים והעלויות'!$D$2)</f>
        <v>0</v>
      </c>
      <c r="AD2158" s="374" t="str">
        <f>IF(OR(AND(H2158='סיווג התפקידים והעלויות'!$A$2,I2158='סיווג התפקידים והעלויות'!$A$3),'עלויות כח אדם (6)'!H2158='סיווג התפקידים והעלויות'!$C$2,'עלויות כח אדם (6)'!H2158='סיווג התפקידים והעלויות'!$D$2),IF('עלויות כח אדם (6)'!J2158&lt;75,"לא תקין","תקין"),"")</f>
        <v/>
      </c>
      <c r="AE2158" s="374" t="str">
        <f t="shared" si="509"/>
        <v/>
      </c>
      <c r="AF2158" s="532" t="str">
        <f t="shared" si="510"/>
        <v/>
      </c>
    </row>
    <row r="2159" spans="2:32" x14ac:dyDescent="0.25">
      <c r="B2159" s="695"/>
      <c r="C2159" s="197" t="str">
        <f>IF(B2159&lt;&gt;"",IFERROR(VLOOKUP(B:B,'מצבת והרשמה (2)'!$C$20:$N$520,2,0)," ")," ")</f>
        <v xml:space="preserve"> </v>
      </c>
      <c r="D2159" s="695"/>
      <c r="E2159" s="696"/>
      <c r="F2159" s="696"/>
      <c r="G2159" s="696"/>
      <c r="H2159" s="696"/>
      <c r="I2159" s="1050" t="str">
        <f t="shared" si="497"/>
        <v/>
      </c>
      <c r="J2159" s="696"/>
      <c r="K2159" s="697"/>
      <c r="L2159" s="696"/>
      <c r="M2159" s="198" t="str">
        <f t="shared" si="498"/>
        <v/>
      </c>
      <c r="N2159" s="369" t="str">
        <f t="shared" si="499"/>
        <v/>
      </c>
      <c r="O2159" s="183" t="str">
        <f t="shared" si="500"/>
        <v/>
      </c>
      <c r="P2159" s="199" t="str">
        <f t="shared" si="501"/>
        <v/>
      </c>
      <c r="Q2159" s="199" t="str">
        <f>IF(B2159="","",IFERROR(IF('עלויות כח אדם (6)'!J2159&gt;=VLOOKUP(I2159,'סיווג התפקידים והעלויות'!$B$23:$C$32,2,0),"תקין","לא תקין"),""))</f>
        <v/>
      </c>
      <c r="R2159" s="199" t="str">
        <f t="shared" si="502"/>
        <v/>
      </c>
      <c r="S2159" s="199" t="str">
        <f t="shared" si="503"/>
        <v/>
      </c>
      <c r="T2159" s="199" t="str">
        <f t="shared" si="511"/>
        <v/>
      </c>
      <c r="U2159" s="199" t="str">
        <f t="shared" si="504"/>
        <v/>
      </c>
      <c r="V2159" s="989"/>
      <c r="X2159" s="374" t="str">
        <f t="shared" si="505"/>
        <v/>
      </c>
      <c r="Y2159" s="375" t="str">
        <f t="shared" si="506"/>
        <v/>
      </c>
      <c r="Z2159" s="374" t="str">
        <f t="shared" si="507"/>
        <v/>
      </c>
      <c r="AA2159" s="374" t="b">
        <f t="shared" si="508"/>
        <v>1</v>
      </c>
      <c r="AB2159" s="374">
        <f>COUNTIFS(B:B,B2159,H:H,'סיווג התפקידים והעלויות'!$C$2)</f>
        <v>0</v>
      </c>
      <c r="AC2159" s="374">
        <f>COUNTIFS(B:B,B2159,H:H,'סיווג התפקידים והעלויות'!$D$2)</f>
        <v>0</v>
      </c>
      <c r="AD2159" s="374" t="str">
        <f>IF(OR(AND(H2159='סיווג התפקידים והעלויות'!$A$2,I2159='סיווג התפקידים והעלויות'!$A$3),'עלויות כח אדם (6)'!H2159='סיווג התפקידים והעלויות'!$C$2,'עלויות כח אדם (6)'!H2159='סיווג התפקידים והעלויות'!$D$2),IF('עלויות כח אדם (6)'!J2159&lt;75,"לא תקין","תקין"),"")</f>
        <v/>
      </c>
      <c r="AE2159" s="374" t="str">
        <f t="shared" si="509"/>
        <v/>
      </c>
      <c r="AF2159" s="532" t="str">
        <f t="shared" si="510"/>
        <v/>
      </c>
    </row>
    <row r="2160" spans="2:32" x14ac:dyDescent="0.25">
      <c r="B2160" s="695"/>
      <c r="C2160" s="197" t="str">
        <f>IF(B2160&lt;&gt;"",IFERROR(VLOOKUP(B:B,'מצבת והרשמה (2)'!$C$20:$N$520,2,0)," ")," ")</f>
        <v xml:space="preserve"> </v>
      </c>
      <c r="D2160" s="695"/>
      <c r="E2160" s="696"/>
      <c r="F2160" s="696"/>
      <c r="G2160" s="696"/>
      <c r="H2160" s="696"/>
      <c r="I2160" s="1050" t="str">
        <f t="shared" si="497"/>
        <v/>
      </c>
      <c r="J2160" s="696"/>
      <c r="K2160" s="697"/>
      <c r="L2160" s="696"/>
      <c r="M2160" s="198" t="str">
        <f t="shared" si="498"/>
        <v/>
      </c>
      <c r="N2160" s="369" t="str">
        <f t="shared" si="499"/>
        <v/>
      </c>
      <c r="O2160" s="183" t="str">
        <f t="shared" si="500"/>
        <v/>
      </c>
      <c r="P2160" s="199" t="str">
        <f t="shared" si="501"/>
        <v/>
      </c>
      <c r="Q2160" s="199" t="str">
        <f>IF(B2160="","",IFERROR(IF('עלויות כח אדם (6)'!J2160&gt;=VLOOKUP(I2160,'סיווג התפקידים והעלויות'!$B$23:$C$32,2,0),"תקין","לא תקין"),""))</f>
        <v/>
      </c>
      <c r="R2160" s="199" t="str">
        <f t="shared" si="502"/>
        <v/>
      </c>
      <c r="S2160" s="199" t="str">
        <f t="shared" si="503"/>
        <v/>
      </c>
      <c r="T2160" s="199" t="str">
        <f t="shared" si="511"/>
        <v/>
      </c>
      <c r="U2160" s="199" t="str">
        <f t="shared" si="504"/>
        <v/>
      </c>
      <c r="V2160" s="989"/>
      <c r="X2160" s="374" t="str">
        <f t="shared" si="505"/>
        <v/>
      </c>
      <c r="Y2160" s="375" t="str">
        <f t="shared" si="506"/>
        <v/>
      </c>
      <c r="Z2160" s="374" t="str">
        <f t="shared" si="507"/>
        <v/>
      </c>
      <c r="AA2160" s="374" t="b">
        <f t="shared" si="508"/>
        <v>1</v>
      </c>
      <c r="AB2160" s="374">
        <f>COUNTIFS(B:B,B2160,H:H,'סיווג התפקידים והעלויות'!$C$2)</f>
        <v>0</v>
      </c>
      <c r="AC2160" s="374">
        <f>COUNTIFS(B:B,B2160,H:H,'סיווג התפקידים והעלויות'!$D$2)</f>
        <v>0</v>
      </c>
      <c r="AD2160" s="374" t="str">
        <f>IF(OR(AND(H2160='סיווג התפקידים והעלויות'!$A$2,I2160='סיווג התפקידים והעלויות'!$A$3),'עלויות כח אדם (6)'!H2160='סיווג התפקידים והעלויות'!$C$2,'עלויות כח אדם (6)'!H2160='סיווג התפקידים והעלויות'!$D$2),IF('עלויות כח אדם (6)'!J2160&lt;75,"לא תקין","תקין"),"")</f>
        <v/>
      </c>
      <c r="AE2160" s="374" t="str">
        <f t="shared" si="509"/>
        <v/>
      </c>
      <c r="AF2160" s="532" t="str">
        <f t="shared" si="510"/>
        <v/>
      </c>
    </row>
    <row r="2161" spans="2:32" x14ac:dyDescent="0.25">
      <c r="B2161" s="695"/>
      <c r="C2161" s="197" t="str">
        <f>IF(B2161&lt;&gt;"",IFERROR(VLOOKUP(B:B,'מצבת והרשמה (2)'!$C$20:$N$520,2,0)," ")," ")</f>
        <v xml:space="preserve"> </v>
      </c>
      <c r="D2161" s="695"/>
      <c r="E2161" s="696"/>
      <c r="F2161" s="696"/>
      <c r="G2161" s="696"/>
      <c r="H2161" s="696"/>
      <c r="I2161" s="1050" t="str">
        <f t="shared" si="497"/>
        <v/>
      </c>
      <c r="J2161" s="696"/>
      <c r="K2161" s="697"/>
      <c r="L2161" s="696"/>
      <c r="M2161" s="198" t="str">
        <f t="shared" si="498"/>
        <v/>
      </c>
      <c r="N2161" s="369" t="str">
        <f t="shared" si="499"/>
        <v/>
      </c>
      <c r="O2161" s="183" t="str">
        <f t="shared" si="500"/>
        <v/>
      </c>
      <c r="P2161" s="199" t="str">
        <f t="shared" si="501"/>
        <v/>
      </c>
      <c r="Q2161" s="199" t="str">
        <f>IF(B2161="","",IFERROR(IF('עלויות כח אדם (6)'!J2161&gt;=VLOOKUP(I2161,'סיווג התפקידים והעלויות'!$B$23:$C$32,2,0),"תקין","לא תקין"),""))</f>
        <v/>
      </c>
      <c r="R2161" s="199" t="str">
        <f t="shared" si="502"/>
        <v/>
      </c>
      <c r="S2161" s="199" t="str">
        <f t="shared" si="503"/>
        <v/>
      </c>
      <c r="T2161" s="199" t="str">
        <f t="shared" si="511"/>
        <v/>
      </c>
      <c r="U2161" s="199" t="str">
        <f t="shared" si="504"/>
        <v/>
      </c>
      <c r="V2161" s="989"/>
      <c r="X2161" s="374" t="str">
        <f t="shared" si="505"/>
        <v/>
      </c>
      <c r="Y2161" s="375" t="str">
        <f t="shared" si="506"/>
        <v/>
      </c>
      <c r="Z2161" s="374" t="str">
        <f t="shared" si="507"/>
        <v/>
      </c>
      <c r="AA2161" s="374" t="b">
        <f t="shared" si="508"/>
        <v>1</v>
      </c>
      <c r="AB2161" s="374">
        <f>COUNTIFS(B:B,B2161,H:H,'סיווג התפקידים והעלויות'!$C$2)</f>
        <v>0</v>
      </c>
      <c r="AC2161" s="374">
        <f>COUNTIFS(B:B,B2161,H:H,'סיווג התפקידים והעלויות'!$D$2)</f>
        <v>0</v>
      </c>
      <c r="AD2161" s="374" t="str">
        <f>IF(OR(AND(H2161='סיווג התפקידים והעלויות'!$A$2,I2161='סיווג התפקידים והעלויות'!$A$3),'עלויות כח אדם (6)'!H2161='סיווג התפקידים והעלויות'!$C$2,'עלויות כח אדם (6)'!H2161='סיווג התפקידים והעלויות'!$D$2),IF('עלויות כח אדם (6)'!J2161&lt;75,"לא תקין","תקין"),"")</f>
        <v/>
      </c>
      <c r="AE2161" s="374" t="str">
        <f t="shared" si="509"/>
        <v/>
      </c>
      <c r="AF2161" s="532" t="str">
        <f t="shared" si="510"/>
        <v/>
      </c>
    </row>
    <row r="2162" spans="2:32" x14ac:dyDescent="0.25">
      <c r="B2162" s="695"/>
      <c r="C2162" s="197" t="str">
        <f>IF(B2162&lt;&gt;"",IFERROR(VLOOKUP(B:B,'מצבת והרשמה (2)'!$C$20:$N$520,2,0)," ")," ")</f>
        <v xml:space="preserve"> </v>
      </c>
      <c r="D2162" s="695"/>
      <c r="E2162" s="696"/>
      <c r="F2162" s="696"/>
      <c r="G2162" s="696"/>
      <c r="H2162" s="696"/>
      <c r="I2162" s="1050" t="str">
        <f t="shared" si="497"/>
        <v/>
      </c>
      <c r="J2162" s="696"/>
      <c r="K2162" s="697"/>
      <c r="L2162" s="696"/>
      <c r="M2162" s="198" t="str">
        <f t="shared" si="498"/>
        <v/>
      </c>
      <c r="N2162" s="369" t="str">
        <f t="shared" si="499"/>
        <v/>
      </c>
      <c r="O2162" s="183" t="str">
        <f t="shared" si="500"/>
        <v/>
      </c>
      <c r="P2162" s="199" t="str">
        <f t="shared" si="501"/>
        <v/>
      </c>
      <c r="Q2162" s="199" t="str">
        <f>IF(B2162="","",IFERROR(IF('עלויות כח אדם (6)'!J2162&gt;=VLOOKUP(I2162,'סיווג התפקידים והעלויות'!$B$23:$C$32,2,0),"תקין","לא תקין"),""))</f>
        <v/>
      </c>
      <c r="R2162" s="199" t="str">
        <f t="shared" si="502"/>
        <v/>
      </c>
      <c r="S2162" s="199" t="str">
        <f t="shared" si="503"/>
        <v/>
      </c>
      <c r="T2162" s="199" t="str">
        <f t="shared" si="511"/>
        <v/>
      </c>
      <c r="U2162" s="199" t="str">
        <f t="shared" si="504"/>
        <v/>
      </c>
      <c r="V2162" s="989"/>
      <c r="X2162" s="374" t="str">
        <f t="shared" si="505"/>
        <v/>
      </c>
      <c r="Y2162" s="375" t="str">
        <f t="shared" si="506"/>
        <v/>
      </c>
      <c r="Z2162" s="374" t="str">
        <f t="shared" si="507"/>
        <v/>
      </c>
      <c r="AA2162" s="374" t="b">
        <f t="shared" si="508"/>
        <v>1</v>
      </c>
      <c r="AB2162" s="374">
        <f>COUNTIFS(B:B,B2162,H:H,'סיווג התפקידים והעלויות'!$C$2)</f>
        <v>0</v>
      </c>
      <c r="AC2162" s="374">
        <f>COUNTIFS(B:B,B2162,H:H,'סיווג התפקידים והעלויות'!$D$2)</f>
        <v>0</v>
      </c>
      <c r="AD2162" s="374" t="str">
        <f>IF(OR(AND(H2162='סיווג התפקידים והעלויות'!$A$2,I2162='סיווג התפקידים והעלויות'!$A$3),'עלויות כח אדם (6)'!H2162='סיווג התפקידים והעלויות'!$C$2,'עלויות כח אדם (6)'!H2162='סיווג התפקידים והעלויות'!$D$2),IF('עלויות כח אדם (6)'!J2162&lt;75,"לא תקין","תקין"),"")</f>
        <v/>
      </c>
      <c r="AE2162" s="374" t="str">
        <f t="shared" si="509"/>
        <v/>
      </c>
      <c r="AF2162" s="532" t="str">
        <f t="shared" si="510"/>
        <v/>
      </c>
    </row>
    <row r="2163" spans="2:32" x14ac:dyDescent="0.25">
      <c r="B2163" s="695"/>
      <c r="C2163" s="197" t="str">
        <f>IF(B2163&lt;&gt;"",IFERROR(VLOOKUP(B:B,'מצבת והרשמה (2)'!$C$20:$N$520,2,0)," ")," ")</f>
        <v xml:space="preserve"> </v>
      </c>
      <c r="D2163" s="695"/>
      <c r="E2163" s="696"/>
      <c r="F2163" s="696"/>
      <c r="G2163" s="696"/>
      <c r="H2163" s="696"/>
      <c r="I2163" s="1050" t="str">
        <f t="shared" si="497"/>
        <v/>
      </c>
      <c r="J2163" s="696"/>
      <c r="K2163" s="697"/>
      <c r="L2163" s="696"/>
      <c r="M2163" s="198" t="str">
        <f t="shared" si="498"/>
        <v/>
      </c>
      <c r="N2163" s="369" t="str">
        <f t="shared" si="499"/>
        <v/>
      </c>
      <c r="O2163" s="183" t="str">
        <f t="shared" si="500"/>
        <v/>
      </c>
      <c r="P2163" s="199" t="str">
        <f t="shared" si="501"/>
        <v/>
      </c>
      <c r="Q2163" s="199" t="str">
        <f>IF(B2163="","",IFERROR(IF('עלויות כח אדם (6)'!J2163&gt;=VLOOKUP(I2163,'סיווג התפקידים והעלויות'!$B$23:$C$32,2,0),"תקין","לא תקין"),""))</f>
        <v/>
      </c>
      <c r="R2163" s="199" t="str">
        <f t="shared" si="502"/>
        <v/>
      </c>
      <c r="S2163" s="199" t="str">
        <f t="shared" si="503"/>
        <v/>
      </c>
      <c r="T2163" s="199" t="str">
        <f t="shared" si="511"/>
        <v/>
      </c>
      <c r="U2163" s="199" t="str">
        <f t="shared" si="504"/>
        <v/>
      </c>
      <c r="V2163" s="989"/>
      <c r="X2163" s="374" t="str">
        <f t="shared" si="505"/>
        <v/>
      </c>
      <c r="Y2163" s="375" t="str">
        <f t="shared" si="506"/>
        <v/>
      </c>
      <c r="Z2163" s="374" t="str">
        <f t="shared" si="507"/>
        <v/>
      </c>
      <c r="AA2163" s="374" t="b">
        <f t="shared" si="508"/>
        <v>1</v>
      </c>
      <c r="AB2163" s="374">
        <f>COUNTIFS(B:B,B2163,H:H,'סיווג התפקידים והעלויות'!$C$2)</f>
        <v>0</v>
      </c>
      <c r="AC2163" s="374">
        <f>COUNTIFS(B:B,B2163,H:H,'סיווג התפקידים והעלויות'!$D$2)</f>
        <v>0</v>
      </c>
      <c r="AD2163" s="374" t="str">
        <f>IF(OR(AND(H2163='סיווג התפקידים והעלויות'!$A$2,I2163='סיווג התפקידים והעלויות'!$A$3),'עלויות כח אדם (6)'!H2163='סיווג התפקידים והעלויות'!$C$2,'עלויות כח אדם (6)'!H2163='סיווג התפקידים והעלויות'!$D$2),IF('עלויות כח אדם (6)'!J2163&lt;75,"לא תקין","תקין"),"")</f>
        <v/>
      </c>
      <c r="AE2163" s="374" t="str">
        <f t="shared" si="509"/>
        <v/>
      </c>
      <c r="AF2163" s="532" t="str">
        <f t="shared" si="510"/>
        <v/>
      </c>
    </row>
    <row r="2164" spans="2:32" x14ac:dyDescent="0.25">
      <c r="B2164" s="695"/>
      <c r="C2164" s="197" t="str">
        <f>IF(B2164&lt;&gt;"",IFERROR(VLOOKUP(B:B,'מצבת והרשמה (2)'!$C$20:$N$520,2,0)," ")," ")</f>
        <v xml:space="preserve"> </v>
      </c>
      <c r="D2164" s="695"/>
      <c r="E2164" s="696"/>
      <c r="F2164" s="696"/>
      <c r="G2164" s="696"/>
      <c r="H2164" s="696"/>
      <c r="I2164" s="1050" t="str">
        <f t="shared" si="497"/>
        <v/>
      </c>
      <c r="J2164" s="696"/>
      <c r="K2164" s="697"/>
      <c r="L2164" s="696"/>
      <c r="M2164" s="198" t="str">
        <f t="shared" si="498"/>
        <v/>
      </c>
      <c r="N2164" s="369" t="str">
        <f t="shared" si="499"/>
        <v/>
      </c>
      <c r="O2164" s="183" t="str">
        <f t="shared" si="500"/>
        <v/>
      </c>
      <c r="P2164" s="199" t="str">
        <f t="shared" si="501"/>
        <v/>
      </c>
      <c r="Q2164" s="199" t="str">
        <f>IF(B2164="","",IFERROR(IF('עלויות כח אדם (6)'!J2164&gt;=VLOOKUP(I2164,'סיווג התפקידים והעלויות'!$B$23:$C$32,2,0),"תקין","לא תקין"),""))</f>
        <v/>
      </c>
      <c r="R2164" s="199" t="str">
        <f t="shared" si="502"/>
        <v/>
      </c>
      <c r="S2164" s="199" t="str">
        <f t="shared" si="503"/>
        <v/>
      </c>
      <c r="T2164" s="199" t="str">
        <f t="shared" si="511"/>
        <v/>
      </c>
      <c r="U2164" s="199" t="str">
        <f t="shared" si="504"/>
        <v/>
      </c>
      <c r="V2164" s="989"/>
      <c r="X2164" s="374" t="str">
        <f t="shared" si="505"/>
        <v/>
      </c>
      <c r="Y2164" s="375" t="str">
        <f t="shared" si="506"/>
        <v/>
      </c>
      <c r="Z2164" s="374" t="str">
        <f t="shared" si="507"/>
        <v/>
      </c>
      <c r="AA2164" s="374" t="b">
        <f t="shared" si="508"/>
        <v>1</v>
      </c>
      <c r="AB2164" s="374">
        <f>COUNTIFS(B:B,B2164,H:H,'סיווג התפקידים והעלויות'!$C$2)</f>
        <v>0</v>
      </c>
      <c r="AC2164" s="374">
        <f>COUNTIFS(B:B,B2164,H:H,'סיווג התפקידים והעלויות'!$D$2)</f>
        <v>0</v>
      </c>
      <c r="AD2164" s="374" t="str">
        <f>IF(OR(AND(H2164='סיווג התפקידים והעלויות'!$A$2,I2164='סיווג התפקידים והעלויות'!$A$3),'עלויות כח אדם (6)'!H2164='סיווג התפקידים והעלויות'!$C$2,'עלויות כח אדם (6)'!H2164='סיווג התפקידים והעלויות'!$D$2),IF('עלויות כח אדם (6)'!J2164&lt;75,"לא תקין","תקין"),"")</f>
        <v/>
      </c>
      <c r="AE2164" s="374" t="str">
        <f t="shared" si="509"/>
        <v/>
      </c>
      <c r="AF2164" s="532" t="str">
        <f t="shared" si="510"/>
        <v/>
      </c>
    </row>
    <row r="2165" spans="2:32" x14ac:dyDescent="0.25">
      <c r="B2165" s="695"/>
      <c r="C2165" s="197" t="str">
        <f>IF(B2165&lt;&gt;"",IFERROR(VLOOKUP(B:B,'מצבת והרשמה (2)'!$C$20:$N$520,2,0)," ")," ")</f>
        <v xml:space="preserve"> </v>
      </c>
      <c r="D2165" s="695"/>
      <c r="E2165" s="696"/>
      <c r="F2165" s="696"/>
      <c r="G2165" s="696"/>
      <c r="H2165" s="696"/>
      <c r="I2165" s="1050" t="str">
        <f t="shared" si="497"/>
        <v/>
      </c>
      <c r="J2165" s="696"/>
      <c r="K2165" s="697"/>
      <c r="L2165" s="696"/>
      <c r="M2165" s="198" t="str">
        <f t="shared" si="498"/>
        <v/>
      </c>
      <c r="N2165" s="369" t="str">
        <f t="shared" si="499"/>
        <v/>
      </c>
      <c r="O2165" s="183" t="str">
        <f t="shared" si="500"/>
        <v/>
      </c>
      <c r="P2165" s="199" t="str">
        <f t="shared" si="501"/>
        <v/>
      </c>
      <c r="Q2165" s="199" t="str">
        <f>IF(B2165="","",IFERROR(IF('עלויות כח אדם (6)'!J2165&gt;=VLOOKUP(I2165,'סיווג התפקידים והעלויות'!$B$23:$C$32,2,0),"תקין","לא תקין"),""))</f>
        <v/>
      </c>
      <c r="R2165" s="199" t="str">
        <f t="shared" si="502"/>
        <v/>
      </c>
      <c r="S2165" s="199" t="str">
        <f t="shared" si="503"/>
        <v/>
      </c>
      <c r="T2165" s="199" t="str">
        <f t="shared" si="511"/>
        <v/>
      </c>
      <c r="U2165" s="199" t="str">
        <f t="shared" si="504"/>
        <v/>
      </c>
      <c r="V2165" s="989"/>
      <c r="X2165" s="374" t="str">
        <f t="shared" si="505"/>
        <v/>
      </c>
      <c r="Y2165" s="375" t="str">
        <f t="shared" si="506"/>
        <v/>
      </c>
      <c r="Z2165" s="374" t="str">
        <f t="shared" si="507"/>
        <v/>
      </c>
      <c r="AA2165" s="374" t="b">
        <f t="shared" si="508"/>
        <v>1</v>
      </c>
      <c r="AB2165" s="374">
        <f>COUNTIFS(B:B,B2165,H:H,'סיווג התפקידים והעלויות'!$C$2)</f>
        <v>0</v>
      </c>
      <c r="AC2165" s="374">
        <f>COUNTIFS(B:B,B2165,H:H,'סיווג התפקידים והעלויות'!$D$2)</f>
        <v>0</v>
      </c>
      <c r="AD2165" s="374" t="str">
        <f>IF(OR(AND(H2165='סיווג התפקידים והעלויות'!$A$2,I2165='סיווג התפקידים והעלויות'!$A$3),'עלויות כח אדם (6)'!H2165='סיווג התפקידים והעלויות'!$C$2,'עלויות כח אדם (6)'!H2165='סיווג התפקידים והעלויות'!$D$2),IF('עלויות כח אדם (6)'!J2165&lt;75,"לא תקין","תקין"),"")</f>
        <v/>
      </c>
      <c r="AE2165" s="374" t="str">
        <f t="shared" si="509"/>
        <v/>
      </c>
      <c r="AF2165" s="532" t="str">
        <f t="shared" si="510"/>
        <v/>
      </c>
    </row>
    <row r="2166" spans="2:32" x14ac:dyDescent="0.25">
      <c r="B2166" s="695"/>
      <c r="C2166" s="197" t="str">
        <f>IF(B2166&lt;&gt;"",IFERROR(VLOOKUP(B:B,'מצבת והרשמה (2)'!$C$20:$N$520,2,0)," ")," ")</f>
        <v xml:space="preserve"> </v>
      </c>
      <c r="D2166" s="695"/>
      <c r="E2166" s="696"/>
      <c r="F2166" s="696"/>
      <c r="G2166" s="696"/>
      <c r="H2166" s="696"/>
      <c r="I2166" s="1050" t="str">
        <f t="shared" si="497"/>
        <v/>
      </c>
      <c r="J2166" s="696"/>
      <c r="K2166" s="697"/>
      <c r="L2166" s="696"/>
      <c r="M2166" s="198" t="str">
        <f t="shared" si="498"/>
        <v/>
      </c>
      <c r="N2166" s="369" t="str">
        <f t="shared" si="499"/>
        <v/>
      </c>
      <c r="O2166" s="183" t="str">
        <f t="shared" si="500"/>
        <v/>
      </c>
      <c r="P2166" s="199" t="str">
        <f t="shared" si="501"/>
        <v/>
      </c>
      <c r="Q2166" s="199" t="str">
        <f>IF(B2166="","",IFERROR(IF('עלויות כח אדם (6)'!J2166&gt;=VLOOKUP(I2166,'סיווג התפקידים והעלויות'!$B$23:$C$32,2,0),"תקין","לא תקין"),""))</f>
        <v/>
      </c>
      <c r="R2166" s="199" t="str">
        <f t="shared" si="502"/>
        <v/>
      </c>
      <c r="S2166" s="199" t="str">
        <f t="shared" si="503"/>
        <v/>
      </c>
      <c r="T2166" s="199" t="str">
        <f t="shared" si="511"/>
        <v/>
      </c>
      <c r="U2166" s="199" t="str">
        <f t="shared" si="504"/>
        <v/>
      </c>
      <c r="V2166" s="989"/>
      <c r="X2166" s="374" t="str">
        <f t="shared" si="505"/>
        <v/>
      </c>
      <c r="Y2166" s="375" t="str">
        <f t="shared" si="506"/>
        <v/>
      </c>
      <c r="Z2166" s="374" t="str">
        <f t="shared" si="507"/>
        <v/>
      </c>
      <c r="AA2166" s="374" t="b">
        <f t="shared" si="508"/>
        <v>1</v>
      </c>
      <c r="AB2166" s="374">
        <f>COUNTIFS(B:B,B2166,H:H,'סיווג התפקידים והעלויות'!$C$2)</f>
        <v>0</v>
      </c>
      <c r="AC2166" s="374">
        <f>COUNTIFS(B:B,B2166,H:H,'סיווג התפקידים והעלויות'!$D$2)</f>
        <v>0</v>
      </c>
      <c r="AD2166" s="374" t="str">
        <f>IF(OR(AND(H2166='סיווג התפקידים והעלויות'!$A$2,I2166='סיווג התפקידים והעלויות'!$A$3),'עלויות כח אדם (6)'!H2166='סיווג התפקידים והעלויות'!$C$2,'עלויות כח אדם (6)'!H2166='סיווג התפקידים והעלויות'!$D$2),IF('עלויות כח אדם (6)'!J2166&lt;75,"לא תקין","תקין"),"")</f>
        <v/>
      </c>
      <c r="AE2166" s="374" t="str">
        <f t="shared" si="509"/>
        <v/>
      </c>
      <c r="AF2166" s="532" t="str">
        <f t="shared" si="510"/>
        <v/>
      </c>
    </row>
    <row r="2167" spans="2:32" x14ac:dyDescent="0.25">
      <c r="B2167" s="695"/>
      <c r="C2167" s="197" t="str">
        <f>IF(B2167&lt;&gt;"",IFERROR(VLOOKUP(B:B,'מצבת והרשמה (2)'!$C$20:$N$520,2,0)," ")," ")</f>
        <v xml:space="preserve"> </v>
      </c>
      <c r="D2167" s="695"/>
      <c r="E2167" s="696"/>
      <c r="F2167" s="696"/>
      <c r="G2167" s="696"/>
      <c r="H2167" s="696"/>
      <c r="I2167" s="1050" t="str">
        <f t="shared" si="497"/>
        <v/>
      </c>
      <c r="J2167" s="696"/>
      <c r="K2167" s="697"/>
      <c r="L2167" s="696"/>
      <c r="M2167" s="198" t="str">
        <f t="shared" si="498"/>
        <v/>
      </c>
      <c r="N2167" s="369" t="str">
        <f t="shared" si="499"/>
        <v/>
      </c>
      <c r="O2167" s="183" t="str">
        <f t="shared" si="500"/>
        <v/>
      </c>
      <c r="P2167" s="199" t="str">
        <f t="shared" si="501"/>
        <v/>
      </c>
      <c r="Q2167" s="199" t="str">
        <f>IF(B2167="","",IFERROR(IF('עלויות כח אדם (6)'!J2167&gt;=VLOOKUP(I2167,'סיווג התפקידים והעלויות'!$B$23:$C$32,2,0),"תקין","לא תקין"),""))</f>
        <v/>
      </c>
      <c r="R2167" s="199" t="str">
        <f t="shared" si="502"/>
        <v/>
      </c>
      <c r="S2167" s="199" t="str">
        <f t="shared" si="503"/>
        <v/>
      </c>
      <c r="T2167" s="199" t="str">
        <f t="shared" si="511"/>
        <v/>
      </c>
      <c r="U2167" s="199" t="str">
        <f t="shared" si="504"/>
        <v/>
      </c>
      <c r="V2167" s="989"/>
      <c r="X2167" s="374" t="str">
        <f t="shared" si="505"/>
        <v/>
      </c>
      <c r="Y2167" s="375" t="str">
        <f t="shared" si="506"/>
        <v/>
      </c>
      <c r="Z2167" s="374" t="str">
        <f t="shared" si="507"/>
        <v/>
      </c>
      <c r="AA2167" s="374" t="b">
        <f t="shared" si="508"/>
        <v>1</v>
      </c>
      <c r="AB2167" s="374">
        <f>COUNTIFS(B:B,B2167,H:H,'סיווג התפקידים והעלויות'!$C$2)</f>
        <v>0</v>
      </c>
      <c r="AC2167" s="374">
        <f>COUNTIFS(B:B,B2167,H:H,'סיווג התפקידים והעלויות'!$D$2)</f>
        <v>0</v>
      </c>
      <c r="AD2167" s="374" t="str">
        <f>IF(OR(AND(H2167='סיווג התפקידים והעלויות'!$A$2,I2167='סיווג התפקידים והעלויות'!$A$3),'עלויות כח אדם (6)'!H2167='סיווג התפקידים והעלויות'!$C$2,'עלויות כח אדם (6)'!H2167='סיווג התפקידים והעלויות'!$D$2),IF('עלויות כח אדם (6)'!J2167&lt;75,"לא תקין","תקין"),"")</f>
        <v/>
      </c>
      <c r="AE2167" s="374" t="str">
        <f t="shared" si="509"/>
        <v/>
      </c>
      <c r="AF2167" s="532" t="str">
        <f t="shared" si="510"/>
        <v/>
      </c>
    </row>
    <row r="2168" spans="2:32" x14ac:dyDescent="0.25">
      <c r="B2168" s="695"/>
      <c r="C2168" s="197" t="str">
        <f>IF(B2168&lt;&gt;"",IFERROR(VLOOKUP(B:B,'מצבת והרשמה (2)'!$C$20:$N$520,2,0)," ")," ")</f>
        <v xml:space="preserve"> </v>
      </c>
      <c r="D2168" s="695"/>
      <c r="E2168" s="696"/>
      <c r="F2168" s="696"/>
      <c r="G2168" s="696"/>
      <c r="H2168" s="696"/>
      <c r="I2168" s="1050" t="str">
        <f t="shared" si="497"/>
        <v/>
      </c>
      <c r="J2168" s="696"/>
      <c r="K2168" s="697"/>
      <c r="L2168" s="696"/>
      <c r="M2168" s="198" t="str">
        <f t="shared" si="498"/>
        <v/>
      </c>
      <c r="N2168" s="369" t="str">
        <f t="shared" si="499"/>
        <v/>
      </c>
      <c r="O2168" s="183" t="str">
        <f t="shared" si="500"/>
        <v/>
      </c>
      <c r="P2168" s="199" t="str">
        <f t="shared" si="501"/>
        <v/>
      </c>
      <c r="Q2168" s="199" t="str">
        <f>IF(B2168="","",IFERROR(IF('עלויות כח אדם (6)'!J2168&gt;=VLOOKUP(I2168,'סיווג התפקידים והעלויות'!$B$23:$C$32,2,0),"תקין","לא תקין"),""))</f>
        <v/>
      </c>
      <c r="R2168" s="199" t="str">
        <f t="shared" si="502"/>
        <v/>
      </c>
      <c r="S2168" s="199" t="str">
        <f t="shared" si="503"/>
        <v/>
      </c>
      <c r="T2168" s="199" t="str">
        <f t="shared" si="511"/>
        <v/>
      </c>
      <c r="U2168" s="199" t="str">
        <f t="shared" si="504"/>
        <v/>
      </c>
      <c r="V2168" s="989"/>
      <c r="X2168" s="374" t="str">
        <f t="shared" si="505"/>
        <v/>
      </c>
      <c r="Y2168" s="375" t="str">
        <f t="shared" si="506"/>
        <v/>
      </c>
      <c r="Z2168" s="374" t="str">
        <f t="shared" si="507"/>
        <v/>
      </c>
      <c r="AA2168" s="374" t="b">
        <f t="shared" si="508"/>
        <v>1</v>
      </c>
      <c r="AB2168" s="374">
        <f>COUNTIFS(B:B,B2168,H:H,'סיווג התפקידים והעלויות'!$C$2)</f>
        <v>0</v>
      </c>
      <c r="AC2168" s="374">
        <f>COUNTIFS(B:B,B2168,H:H,'סיווג התפקידים והעלויות'!$D$2)</f>
        <v>0</v>
      </c>
      <c r="AD2168" s="374" t="str">
        <f>IF(OR(AND(H2168='סיווג התפקידים והעלויות'!$A$2,I2168='סיווג התפקידים והעלויות'!$A$3),'עלויות כח אדם (6)'!H2168='סיווג התפקידים והעלויות'!$C$2,'עלויות כח אדם (6)'!H2168='סיווג התפקידים והעלויות'!$D$2),IF('עלויות כח אדם (6)'!J2168&lt;75,"לא תקין","תקין"),"")</f>
        <v/>
      </c>
      <c r="AE2168" s="374" t="str">
        <f t="shared" si="509"/>
        <v/>
      </c>
      <c r="AF2168" s="532" t="str">
        <f t="shared" si="510"/>
        <v/>
      </c>
    </row>
    <row r="2169" spans="2:32" x14ac:dyDescent="0.25">
      <c r="B2169" s="695"/>
      <c r="C2169" s="197" t="str">
        <f>IF(B2169&lt;&gt;"",IFERROR(VLOOKUP(B:B,'מצבת והרשמה (2)'!$C$20:$N$520,2,0)," ")," ")</f>
        <v xml:space="preserve"> </v>
      </c>
      <c r="D2169" s="695"/>
      <c r="E2169" s="696"/>
      <c r="F2169" s="696"/>
      <c r="G2169" s="696"/>
      <c r="H2169" s="696"/>
      <c r="I2169" s="1050" t="str">
        <f t="shared" si="497"/>
        <v/>
      </c>
      <c r="J2169" s="696"/>
      <c r="K2169" s="697"/>
      <c r="L2169" s="696"/>
      <c r="M2169" s="198" t="str">
        <f t="shared" si="498"/>
        <v/>
      </c>
      <c r="N2169" s="369" t="str">
        <f t="shared" si="499"/>
        <v/>
      </c>
      <c r="O2169" s="183" t="str">
        <f t="shared" si="500"/>
        <v/>
      </c>
      <c r="P2169" s="199" t="str">
        <f t="shared" si="501"/>
        <v/>
      </c>
      <c r="Q2169" s="199" t="str">
        <f>IF(B2169="","",IFERROR(IF('עלויות כח אדם (6)'!J2169&gt;=VLOOKUP(I2169,'סיווג התפקידים והעלויות'!$B$23:$C$32,2,0),"תקין","לא תקין"),""))</f>
        <v/>
      </c>
      <c r="R2169" s="199" t="str">
        <f t="shared" si="502"/>
        <v/>
      </c>
      <c r="S2169" s="199" t="str">
        <f t="shared" si="503"/>
        <v/>
      </c>
      <c r="T2169" s="199" t="str">
        <f t="shared" si="511"/>
        <v/>
      </c>
      <c r="U2169" s="199" t="str">
        <f t="shared" si="504"/>
        <v/>
      </c>
      <c r="V2169" s="989"/>
      <c r="X2169" s="374" t="str">
        <f t="shared" si="505"/>
        <v/>
      </c>
      <c r="Y2169" s="375" t="str">
        <f t="shared" si="506"/>
        <v/>
      </c>
      <c r="Z2169" s="374" t="str">
        <f t="shared" si="507"/>
        <v/>
      </c>
      <c r="AA2169" s="374" t="b">
        <f t="shared" si="508"/>
        <v>1</v>
      </c>
      <c r="AB2169" s="374">
        <f>COUNTIFS(B:B,B2169,H:H,'סיווג התפקידים והעלויות'!$C$2)</f>
        <v>0</v>
      </c>
      <c r="AC2169" s="374">
        <f>COUNTIFS(B:B,B2169,H:H,'סיווג התפקידים והעלויות'!$D$2)</f>
        <v>0</v>
      </c>
      <c r="AD2169" s="374" t="str">
        <f>IF(OR(AND(H2169='סיווג התפקידים והעלויות'!$A$2,I2169='סיווג התפקידים והעלויות'!$A$3),'עלויות כח אדם (6)'!H2169='סיווג התפקידים והעלויות'!$C$2,'עלויות כח אדם (6)'!H2169='סיווג התפקידים והעלויות'!$D$2),IF('עלויות כח אדם (6)'!J2169&lt;75,"לא תקין","תקין"),"")</f>
        <v/>
      </c>
      <c r="AE2169" s="374" t="str">
        <f t="shared" si="509"/>
        <v/>
      </c>
      <c r="AF2169" s="532" t="str">
        <f t="shared" si="510"/>
        <v/>
      </c>
    </row>
    <row r="2170" spans="2:32" x14ac:dyDescent="0.25">
      <c r="B2170" s="695"/>
      <c r="C2170" s="197" t="str">
        <f>IF(B2170&lt;&gt;"",IFERROR(VLOOKUP(B:B,'מצבת והרשמה (2)'!$C$20:$N$520,2,0)," ")," ")</f>
        <v xml:space="preserve"> </v>
      </c>
      <c r="D2170" s="695"/>
      <c r="E2170" s="696"/>
      <c r="F2170" s="696"/>
      <c r="G2170" s="696"/>
      <c r="H2170" s="696"/>
      <c r="I2170" s="1050" t="str">
        <f t="shared" si="497"/>
        <v/>
      </c>
      <c r="J2170" s="696"/>
      <c r="K2170" s="697"/>
      <c r="L2170" s="696"/>
      <c r="M2170" s="198" t="str">
        <f t="shared" si="498"/>
        <v/>
      </c>
      <c r="N2170" s="369" t="str">
        <f t="shared" si="499"/>
        <v/>
      </c>
      <c r="O2170" s="183" t="str">
        <f t="shared" si="500"/>
        <v/>
      </c>
      <c r="P2170" s="199" t="str">
        <f t="shared" si="501"/>
        <v/>
      </c>
      <c r="Q2170" s="199" t="str">
        <f>IF(B2170="","",IFERROR(IF('עלויות כח אדם (6)'!J2170&gt;=VLOOKUP(I2170,'סיווג התפקידים והעלויות'!$B$23:$C$32,2,0),"תקין","לא תקין"),""))</f>
        <v/>
      </c>
      <c r="R2170" s="199" t="str">
        <f t="shared" si="502"/>
        <v/>
      </c>
      <c r="S2170" s="199" t="str">
        <f t="shared" si="503"/>
        <v/>
      </c>
      <c r="T2170" s="199" t="str">
        <f t="shared" si="511"/>
        <v/>
      </c>
      <c r="U2170" s="199" t="str">
        <f t="shared" si="504"/>
        <v/>
      </c>
      <c r="V2170" s="989"/>
      <c r="X2170" s="374" t="str">
        <f t="shared" si="505"/>
        <v/>
      </c>
      <c r="Y2170" s="375" t="str">
        <f t="shared" si="506"/>
        <v/>
      </c>
      <c r="Z2170" s="374" t="str">
        <f t="shared" si="507"/>
        <v/>
      </c>
      <c r="AA2170" s="374" t="b">
        <f t="shared" si="508"/>
        <v>1</v>
      </c>
      <c r="AB2170" s="374">
        <f>COUNTIFS(B:B,B2170,H:H,'סיווג התפקידים והעלויות'!$C$2)</f>
        <v>0</v>
      </c>
      <c r="AC2170" s="374">
        <f>COUNTIFS(B:B,B2170,H:H,'סיווג התפקידים והעלויות'!$D$2)</f>
        <v>0</v>
      </c>
      <c r="AD2170" s="374" t="str">
        <f>IF(OR(AND(H2170='סיווג התפקידים והעלויות'!$A$2,I2170='סיווג התפקידים והעלויות'!$A$3),'עלויות כח אדם (6)'!H2170='סיווג התפקידים והעלויות'!$C$2,'עלויות כח אדם (6)'!H2170='סיווג התפקידים והעלויות'!$D$2),IF('עלויות כח אדם (6)'!J2170&lt;75,"לא תקין","תקין"),"")</f>
        <v/>
      </c>
      <c r="AE2170" s="374" t="str">
        <f t="shared" si="509"/>
        <v/>
      </c>
      <c r="AF2170" s="532" t="str">
        <f t="shared" si="510"/>
        <v/>
      </c>
    </row>
    <row r="2171" spans="2:32" x14ac:dyDescent="0.25">
      <c r="B2171" s="695"/>
      <c r="C2171" s="197" t="str">
        <f>IF(B2171&lt;&gt;"",IFERROR(VLOOKUP(B:B,'מצבת והרשמה (2)'!$C$20:$N$520,2,0)," ")," ")</f>
        <v xml:space="preserve"> </v>
      </c>
      <c r="D2171" s="695"/>
      <c r="E2171" s="696"/>
      <c r="F2171" s="696"/>
      <c r="G2171" s="696"/>
      <c r="H2171" s="696"/>
      <c r="I2171" s="1050" t="str">
        <f t="shared" si="497"/>
        <v/>
      </c>
      <c r="J2171" s="696"/>
      <c r="K2171" s="697"/>
      <c r="L2171" s="696"/>
      <c r="M2171" s="198" t="str">
        <f t="shared" si="498"/>
        <v/>
      </c>
      <c r="N2171" s="369" t="str">
        <f t="shared" si="499"/>
        <v/>
      </c>
      <c r="O2171" s="183" t="str">
        <f t="shared" si="500"/>
        <v/>
      </c>
      <c r="P2171" s="199" t="str">
        <f t="shared" si="501"/>
        <v/>
      </c>
      <c r="Q2171" s="199" t="str">
        <f>IF(B2171="","",IFERROR(IF('עלויות כח אדם (6)'!J2171&gt;=VLOOKUP(I2171,'סיווג התפקידים והעלויות'!$B$23:$C$32,2,0),"תקין","לא תקין"),""))</f>
        <v/>
      </c>
      <c r="R2171" s="199" t="str">
        <f t="shared" si="502"/>
        <v/>
      </c>
      <c r="S2171" s="199" t="str">
        <f t="shared" si="503"/>
        <v/>
      </c>
      <c r="T2171" s="199" t="str">
        <f t="shared" si="511"/>
        <v/>
      </c>
      <c r="U2171" s="199" t="str">
        <f t="shared" si="504"/>
        <v/>
      </c>
      <c r="V2171" s="989"/>
      <c r="X2171" s="374" t="str">
        <f t="shared" si="505"/>
        <v/>
      </c>
      <c r="Y2171" s="375" t="str">
        <f t="shared" si="506"/>
        <v/>
      </c>
      <c r="Z2171" s="374" t="str">
        <f t="shared" si="507"/>
        <v/>
      </c>
      <c r="AA2171" s="374" t="b">
        <f t="shared" si="508"/>
        <v>1</v>
      </c>
      <c r="AB2171" s="374">
        <f>COUNTIFS(B:B,B2171,H:H,'סיווג התפקידים והעלויות'!$C$2)</f>
        <v>0</v>
      </c>
      <c r="AC2171" s="374">
        <f>COUNTIFS(B:B,B2171,H:H,'סיווג התפקידים והעלויות'!$D$2)</f>
        <v>0</v>
      </c>
      <c r="AD2171" s="374" t="str">
        <f>IF(OR(AND(H2171='סיווג התפקידים והעלויות'!$A$2,I2171='סיווג התפקידים והעלויות'!$A$3),'עלויות כח אדם (6)'!H2171='סיווג התפקידים והעלויות'!$C$2,'עלויות כח אדם (6)'!H2171='סיווג התפקידים והעלויות'!$D$2),IF('עלויות כח אדם (6)'!J2171&lt;75,"לא תקין","תקין"),"")</f>
        <v/>
      </c>
      <c r="AE2171" s="374" t="str">
        <f t="shared" si="509"/>
        <v/>
      </c>
      <c r="AF2171" s="532" t="str">
        <f t="shared" si="510"/>
        <v/>
      </c>
    </row>
    <row r="2172" spans="2:32" x14ac:dyDescent="0.25">
      <c r="B2172" s="695"/>
      <c r="C2172" s="197" t="str">
        <f>IF(B2172&lt;&gt;"",IFERROR(VLOOKUP(B:B,'מצבת והרשמה (2)'!$C$20:$N$520,2,0)," ")," ")</f>
        <v xml:space="preserve"> </v>
      </c>
      <c r="D2172" s="695"/>
      <c r="E2172" s="696"/>
      <c r="F2172" s="696"/>
      <c r="G2172" s="696"/>
      <c r="H2172" s="696"/>
      <c r="I2172" s="1050" t="str">
        <f t="shared" si="497"/>
        <v/>
      </c>
      <c r="J2172" s="696"/>
      <c r="K2172" s="697"/>
      <c r="L2172" s="696"/>
      <c r="M2172" s="198" t="str">
        <f t="shared" si="498"/>
        <v/>
      </c>
      <c r="N2172" s="369" t="str">
        <f t="shared" si="499"/>
        <v/>
      </c>
      <c r="O2172" s="183" t="str">
        <f t="shared" si="500"/>
        <v/>
      </c>
      <c r="P2172" s="199" t="str">
        <f t="shared" si="501"/>
        <v/>
      </c>
      <c r="Q2172" s="199" t="str">
        <f>IF(B2172="","",IFERROR(IF('עלויות כח אדם (6)'!J2172&gt;=VLOOKUP(I2172,'סיווג התפקידים והעלויות'!$B$23:$C$32,2,0),"תקין","לא תקין"),""))</f>
        <v/>
      </c>
      <c r="R2172" s="199" t="str">
        <f t="shared" si="502"/>
        <v/>
      </c>
      <c r="S2172" s="199" t="str">
        <f t="shared" si="503"/>
        <v/>
      </c>
      <c r="T2172" s="199" t="str">
        <f t="shared" si="511"/>
        <v/>
      </c>
      <c r="U2172" s="199" t="str">
        <f t="shared" si="504"/>
        <v/>
      </c>
      <c r="V2172" s="989"/>
      <c r="X2172" s="374" t="str">
        <f t="shared" si="505"/>
        <v/>
      </c>
      <c r="Y2172" s="375" t="str">
        <f t="shared" si="506"/>
        <v/>
      </c>
      <c r="Z2172" s="374" t="str">
        <f t="shared" si="507"/>
        <v/>
      </c>
      <c r="AA2172" s="374" t="b">
        <f t="shared" si="508"/>
        <v>1</v>
      </c>
      <c r="AB2172" s="374">
        <f>COUNTIFS(B:B,B2172,H:H,'סיווג התפקידים והעלויות'!$C$2)</f>
        <v>0</v>
      </c>
      <c r="AC2172" s="374">
        <f>COUNTIFS(B:B,B2172,H:H,'סיווג התפקידים והעלויות'!$D$2)</f>
        <v>0</v>
      </c>
      <c r="AD2172" s="374" t="str">
        <f>IF(OR(AND(H2172='סיווג התפקידים והעלויות'!$A$2,I2172='סיווג התפקידים והעלויות'!$A$3),'עלויות כח אדם (6)'!H2172='סיווג התפקידים והעלויות'!$C$2,'עלויות כח אדם (6)'!H2172='סיווג התפקידים והעלויות'!$D$2),IF('עלויות כח אדם (6)'!J2172&lt;75,"לא תקין","תקין"),"")</f>
        <v/>
      </c>
      <c r="AE2172" s="374" t="str">
        <f t="shared" si="509"/>
        <v/>
      </c>
      <c r="AF2172" s="532" t="str">
        <f t="shared" si="510"/>
        <v/>
      </c>
    </row>
    <row r="2173" spans="2:32" x14ac:dyDescent="0.25">
      <c r="B2173" s="695"/>
      <c r="C2173" s="197" t="str">
        <f>IF(B2173&lt;&gt;"",IFERROR(VLOOKUP(B:B,'מצבת והרשמה (2)'!$C$20:$N$520,2,0)," ")," ")</f>
        <v xml:space="preserve"> </v>
      </c>
      <c r="D2173" s="695"/>
      <c r="E2173" s="696"/>
      <c r="F2173" s="696"/>
      <c r="G2173" s="696"/>
      <c r="H2173" s="696"/>
      <c r="I2173" s="1050" t="str">
        <f t="shared" si="497"/>
        <v/>
      </c>
      <c r="J2173" s="696"/>
      <c r="K2173" s="697"/>
      <c r="L2173" s="696"/>
      <c r="M2173" s="198" t="str">
        <f t="shared" si="498"/>
        <v/>
      </c>
      <c r="N2173" s="369" t="str">
        <f t="shared" si="499"/>
        <v/>
      </c>
      <c r="O2173" s="183" t="str">
        <f t="shared" si="500"/>
        <v/>
      </c>
      <c r="P2173" s="199" t="str">
        <f t="shared" si="501"/>
        <v/>
      </c>
      <c r="Q2173" s="199" t="str">
        <f>IF(B2173="","",IFERROR(IF('עלויות כח אדם (6)'!J2173&gt;=VLOOKUP(I2173,'סיווג התפקידים והעלויות'!$B$23:$C$32,2,0),"תקין","לא תקין"),""))</f>
        <v/>
      </c>
      <c r="R2173" s="199" t="str">
        <f t="shared" si="502"/>
        <v/>
      </c>
      <c r="S2173" s="199" t="str">
        <f t="shared" si="503"/>
        <v/>
      </c>
      <c r="T2173" s="199" t="str">
        <f t="shared" si="511"/>
        <v/>
      </c>
      <c r="U2173" s="199" t="str">
        <f t="shared" si="504"/>
        <v/>
      </c>
      <c r="V2173" s="989"/>
      <c r="X2173" s="374" t="str">
        <f t="shared" si="505"/>
        <v/>
      </c>
      <c r="Y2173" s="375" t="str">
        <f t="shared" si="506"/>
        <v/>
      </c>
      <c r="Z2173" s="374" t="str">
        <f t="shared" si="507"/>
        <v/>
      </c>
      <c r="AA2173" s="374" t="b">
        <f t="shared" si="508"/>
        <v>1</v>
      </c>
      <c r="AB2173" s="374">
        <f>COUNTIFS(B:B,B2173,H:H,'סיווג התפקידים והעלויות'!$C$2)</f>
        <v>0</v>
      </c>
      <c r="AC2173" s="374">
        <f>COUNTIFS(B:B,B2173,H:H,'סיווג התפקידים והעלויות'!$D$2)</f>
        <v>0</v>
      </c>
      <c r="AD2173" s="374" t="str">
        <f>IF(OR(AND(H2173='סיווג התפקידים והעלויות'!$A$2,I2173='סיווג התפקידים והעלויות'!$A$3),'עלויות כח אדם (6)'!H2173='סיווג התפקידים והעלויות'!$C$2,'עלויות כח אדם (6)'!H2173='סיווג התפקידים והעלויות'!$D$2),IF('עלויות כח אדם (6)'!J2173&lt;75,"לא תקין","תקין"),"")</f>
        <v/>
      </c>
      <c r="AE2173" s="374" t="str">
        <f t="shared" si="509"/>
        <v/>
      </c>
      <c r="AF2173" s="532" t="str">
        <f t="shared" si="510"/>
        <v/>
      </c>
    </row>
    <row r="2174" spans="2:32" x14ac:dyDescent="0.25">
      <c r="B2174" s="695"/>
      <c r="C2174" s="197" t="str">
        <f>IF(B2174&lt;&gt;"",IFERROR(VLOOKUP(B:B,'מצבת והרשמה (2)'!$C$20:$N$520,2,0)," ")," ")</f>
        <v xml:space="preserve"> </v>
      </c>
      <c r="D2174" s="695"/>
      <c r="E2174" s="696"/>
      <c r="F2174" s="696"/>
      <c r="G2174" s="696"/>
      <c r="H2174" s="696"/>
      <c r="I2174" s="1050" t="str">
        <f t="shared" si="497"/>
        <v/>
      </c>
      <c r="J2174" s="696"/>
      <c r="K2174" s="697"/>
      <c r="L2174" s="696"/>
      <c r="M2174" s="198" t="str">
        <f t="shared" si="498"/>
        <v/>
      </c>
      <c r="N2174" s="369" t="str">
        <f t="shared" si="499"/>
        <v/>
      </c>
      <c r="O2174" s="183" t="str">
        <f t="shared" si="500"/>
        <v/>
      </c>
      <c r="P2174" s="199" t="str">
        <f t="shared" si="501"/>
        <v/>
      </c>
      <c r="Q2174" s="199" t="str">
        <f>IF(B2174="","",IFERROR(IF('עלויות כח אדם (6)'!J2174&gt;=VLOOKUP(I2174,'סיווג התפקידים והעלויות'!$B$23:$C$32,2,0),"תקין","לא תקין"),""))</f>
        <v/>
      </c>
      <c r="R2174" s="199" t="str">
        <f t="shared" si="502"/>
        <v/>
      </c>
      <c r="S2174" s="199" t="str">
        <f t="shared" si="503"/>
        <v/>
      </c>
      <c r="T2174" s="199" t="str">
        <f t="shared" si="511"/>
        <v/>
      </c>
      <c r="U2174" s="199" t="str">
        <f t="shared" si="504"/>
        <v/>
      </c>
      <c r="V2174" s="989"/>
      <c r="X2174" s="374" t="str">
        <f t="shared" si="505"/>
        <v/>
      </c>
      <c r="Y2174" s="375" t="str">
        <f t="shared" si="506"/>
        <v/>
      </c>
      <c r="Z2174" s="374" t="str">
        <f t="shared" si="507"/>
        <v/>
      </c>
      <c r="AA2174" s="374" t="b">
        <f t="shared" si="508"/>
        <v>1</v>
      </c>
      <c r="AB2174" s="374">
        <f>COUNTIFS(B:B,B2174,H:H,'סיווג התפקידים והעלויות'!$C$2)</f>
        <v>0</v>
      </c>
      <c r="AC2174" s="374">
        <f>COUNTIFS(B:B,B2174,H:H,'סיווג התפקידים והעלויות'!$D$2)</f>
        <v>0</v>
      </c>
      <c r="AD2174" s="374" t="str">
        <f>IF(OR(AND(H2174='סיווג התפקידים והעלויות'!$A$2,I2174='סיווג התפקידים והעלויות'!$A$3),'עלויות כח אדם (6)'!H2174='סיווג התפקידים והעלויות'!$C$2,'עלויות כח אדם (6)'!H2174='סיווג התפקידים והעלויות'!$D$2),IF('עלויות כח אדם (6)'!J2174&lt;75,"לא תקין","תקין"),"")</f>
        <v/>
      </c>
      <c r="AE2174" s="374" t="str">
        <f t="shared" si="509"/>
        <v/>
      </c>
      <c r="AF2174" s="532" t="str">
        <f t="shared" si="510"/>
        <v/>
      </c>
    </row>
    <row r="2175" spans="2:32" x14ac:dyDescent="0.25">
      <c r="B2175" s="695"/>
      <c r="C2175" s="197" t="str">
        <f>IF(B2175&lt;&gt;"",IFERROR(VLOOKUP(B:B,'מצבת והרשמה (2)'!$C$20:$N$520,2,0)," ")," ")</f>
        <v xml:space="preserve"> </v>
      </c>
      <c r="D2175" s="695"/>
      <c r="E2175" s="696"/>
      <c r="F2175" s="696"/>
      <c r="G2175" s="696"/>
      <c r="H2175" s="696"/>
      <c r="I2175" s="1050" t="str">
        <f t="shared" si="497"/>
        <v/>
      </c>
      <c r="J2175" s="696"/>
      <c r="K2175" s="697"/>
      <c r="L2175" s="696"/>
      <c r="M2175" s="198" t="str">
        <f t="shared" si="498"/>
        <v/>
      </c>
      <c r="N2175" s="369" t="str">
        <f t="shared" si="499"/>
        <v/>
      </c>
      <c r="O2175" s="183" t="str">
        <f t="shared" si="500"/>
        <v/>
      </c>
      <c r="P2175" s="199" t="str">
        <f t="shared" si="501"/>
        <v/>
      </c>
      <c r="Q2175" s="199" t="str">
        <f>IF(B2175="","",IFERROR(IF('עלויות כח אדם (6)'!J2175&gt;=VLOOKUP(I2175,'סיווג התפקידים והעלויות'!$B$23:$C$32,2,0),"תקין","לא תקין"),""))</f>
        <v/>
      </c>
      <c r="R2175" s="199" t="str">
        <f t="shared" si="502"/>
        <v/>
      </c>
      <c r="S2175" s="199" t="str">
        <f t="shared" si="503"/>
        <v/>
      </c>
      <c r="T2175" s="199" t="str">
        <f t="shared" si="511"/>
        <v/>
      </c>
      <c r="U2175" s="199" t="str">
        <f t="shared" si="504"/>
        <v/>
      </c>
      <c r="V2175" s="989"/>
      <c r="X2175" s="374" t="str">
        <f t="shared" si="505"/>
        <v/>
      </c>
      <c r="Y2175" s="375" t="str">
        <f t="shared" si="506"/>
        <v/>
      </c>
      <c r="Z2175" s="374" t="str">
        <f t="shared" si="507"/>
        <v/>
      </c>
      <c r="AA2175" s="374" t="b">
        <f t="shared" si="508"/>
        <v>1</v>
      </c>
      <c r="AB2175" s="374">
        <f>COUNTIFS(B:B,B2175,H:H,'סיווג התפקידים והעלויות'!$C$2)</f>
        <v>0</v>
      </c>
      <c r="AC2175" s="374">
        <f>COUNTIFS(B:B,B2175,H:H,'סיווג התפקידים והעלויות'!$D$2)</f>
        <v>0</v>
      </c>
      <c r="AD2175" s="374" t="str">
        <f>IF(OR(AND(H2175='סיווג התפקידים והעלויות'!$A$2,I2175='סיווג התפקידים והעלויות'!$A$3),'עלויות כח אדם (6)'!H2175='סיווג התפקידים והעלויות'!$C$2,'עלויות כח אדם (6)'!H2175='סיווג התפקידים והעלויות'!$D$2),IF('עלויות כח אדם (6)'!J2175&lt;75,"לא תקין","תקין"),"")</f>
        <v/>
      </c>
      <c r="AE2175" s="374" t="str">
        <f t="shared" si="509"/>
        <v/>
      </c>
      <c r="AF2175" s="532" t="str">
        <f t="shared" si="510"/>
        <v/>
      </c>
    </row>
    <row r="2176" spans="2:32" x14ac:dyDescent="0.25">
      <c r="B2176" s="695"/>
      <c r="C2176" s="197" t="str">
        <f>IF(B2176&lt;&gt;"",IFERROR(VLOOKUP(B:B,'מצבת והרשמה (2)'!$C$20:$N$520,2,0)," ")," ")</f>
        <v xml:space="preserve"> </v>
      </c>
      <c r="D2176" s="695"/>
      <c r="E2176" s="696"/>
      <c r="F2176" s="696"/>
      <c r="G2176" s="696"/>
      <c r="H2176" s="696"/>
      <c r="I2176" s="1050" t="str">
        <f t="shared" si="497"/>
        <v/>
      </c>
      <c r="J2176" s="696"/>
      <c r="K2176" s="697"/>
      <c r="L2176" s="696"/>
      <c r="M2176" s="198" t="str">
        <f t="shared" si="498"/>
        <v/>
      </c>
      <c r="N2176" s="369" t="str">
        <f t="shared" si="499"/>
        <v/>
      </c>
      <c r="O2176" s="183" t="str">
        <f t="shared" si="500"/>
        <v/>
      </c>
      <c r="P2176" s="199" t="str">
        <f t="shared" si="501"/>
        <v/>
      </c>
      <c r="Q2176" s="199" t="str">
        <f>IF(B2176="","",IFERROR(IF('עלויות כח אדם (6)'!J2176&gt;=VLOOKUP(I2176,'סיווג התפקידים והעלויות'!$B$23:$C$32,2,0),"תקין","לא תקין"),""))</f>
        <v/>
      </c>
      <c r="R2176" s="199" t="str">
        <f t="shared" si="502"/>
        <v/>
      </c>
      <c r="S2176" s="199" t="str">
        <f t="shared" si="503"/>
        <v/>
      </c>
      <c r="T2176" s="199" t="str">
        <f t="shared" si="511"/>
        <v/>
      </c>
      <c r="U2176" s="199" t="str">
        <f t="shared" si="504"/>
        <v/>
      </c>
      <c r="V2176" s="989"/>
      <c r="X2176" s="374" t="str">
        <f t="shared" si="505"/>
        <v/>
      </c>
      <c r="Y2176" s="375" t="str">
        <f t="shared" si="506"/>
        <v/>
      </c>
      <c r="Z2176" s="374" t="str">
        <f t="shared" si="507"/>
        <v/>
      </c>
      <c r="AA2176" s="374" t="b">
        <f t="shared" si="508"/>
        <v>1</v>
      </c>
      <c r="AB2176" s="374">
        <f>COUNTIFS(B:B,B2176,H:H,'סיווג התפקידים והעלויות'!$C$2)</f>
        <v>0</v>
      </c>
      <c r="AC2176" s="374">
        <f>COUNTIFS(B:B,B2176,H:H,'סיווג התפקידים והעלויות'!$D$2)</f>
        <v>0</v>
      </c>
      <c r="AD2176" s="374" t="str">
        <f>IF(OR(AND(H2176='סיווג התפקידים והעלויות'!$A$2,I2176='סיווג התפקידים והעלויות'!$A$3),'עלויות כח אדם (6)'!H2176='סיווג התפקידים והעלויות'!$C$2,'עלויות כח אדם (6)'!H2176='סיווג התפקידים והעלויות'!$D$2),IF('עלויות כח אדם (6)'!J2176&lt;75,"לא תקין","תקין"),"")</f>
        <v/>
      </c>
      <c r="AE2176" s="374" t="str">
        <f t="shared" si="509"/>
        <v/>
      </c>
      <c r="AF2176" s="532" t="str">
        <f t="shared" si="510"/>
        <v/>
      </c>
    </row>
    <row r="2177" spans="2:32" x14ac:dyDescent="0.25">
      <c r="B2177" s="695"/>
      <c r="C2177" s="197" t="str">
        <f>IF(B2177&lt;&gt;"",IFERROR(VLOOKUP(B:B,'מצבת והרשמה (2)'!$C$20:$N$520,2,0)," ")," ")</f>
        <v xml:space="preserve"> </v>
      </c>
      <c r="D2177" s="695"/>
      <c r="E2177" s="696"/>
      <c r="F2177" s="696"/>
      <c r="G2177" s="696"/>
      <c r="H2177" s="696"/>
      <c r="I2177" s="1050" t="str">
        <f t="shared" si="497"/>
        <v/>
      </c>
      <c r="J2177" s="696"/>
      <c r="K2177" s="697"/>
      <c r="L2177" s="696"/>
      <c r="M2177" s="198" t="str">
        <f t="shared" si="498"/>
        <v/>
      </c>
      <c r="N2177" s="369" t="str">
        <f t="shared" si="499"/>
        <v/>
      </c>
      <c r="O2177" s="183" t="str">
        <f t="shared" si="500"/>
        <v/>
      </c>
      <c r="P2177" s="199" t="str">
        <f t="shared" si="501"/>
        <v/>
      </c>
      <c r="Q2177" s="199" t="str">
        <f>IF(B2177="","",IFERROR(IF('עלויות כח אדם (6)'!J2177&gt;=VLOOKUP(I2177,'סיווג התפקידים והעלויות'!$B$23:$C$32,2,0),"תקין","לא תקין"),""))</f>
        <v/>
      </c>
      <c r="R2177" s="199" t="str">
        <f t="shared" si="502"/>
        <v/>
      </c>
      <c r="S2177" s="199" t="str">
        <f t="shared" si="503"/>
        <v/>
      </c>
      <c r="T2177" s="199" t="str">
        <f t="shared" si="511"/>
        <v/>
      </c>
      <c r="U2177" s="199" t="str">
        <f t="shared" si="504"/>
        <v/>
      </c>
      <c r="V2177" s="989"/>
      <c r="X2177" s="374" t="str">
        <f t="shared" si="505"/>
        <v/>
      </c>
      <c r="Y2177" s="375" t="str">
        <f t="shared" si="506"/>
        <v/>
      </c>
      <c r="Z2177" s="374" t="str">
        <f t="shared" si="507"/>
        <v/>
      </c>
      <c r="AA2177" s="374" t="b">
        <f t="shared" si="508"/>
        <v>1</v>
      </c>
      <c r="AB2177" s="374">
        <f>COUNTIFS(B:B,B2177,H:H,'סיווג התפקידים והעלויות'!$C$2)</f>
        <v>0</v>
      </c>
      <c r="AC2177" s="374">
        <f>COUNTIFS(B:B,B2177,H:H,'סיווג התפקידים והעלויות'!$D$2)</f>
        <v>0</v>
      </c>
      <c r="AD2177" s="374" t="str">
        <f>IF(OR(AND(H2177='סיווג התפקידים והעלויות'!$A$2,I2177='סיווג התפקידים והעלויות'!$A$3),'עלויות כח אדם (6)'!H2177='סיווג התפקידים והעלויות'!$C$2,'עלויות כח אדם (6)'!H2177='סיווג התפקידים והעלויות'!$D$2),IF('עלויות כח אדם (6)'!J2177&lt;75,"לא תקין","תקין"),"")</f>
        <v/>
      </c>
      <c r="AE2177" s="374" t="str">
        <f t="shared" si="509"/>
        <v/>
      </c>
      <c r="AF2177" s="532" t="str">
        <f t="shared" si="510"/>
        <v/>
      </c>
    </row>
    <row r="2178" spans="2:32" x14ac:dyDescent="0.25">
      <c r="B2178" s="695"/>
      <c r="C2178" s="197" t="str">
        <f>IF(B2178&lt;&gt;"",IFERROR(VLOOKUP(B:B,'מצבת והרשמה (2)'!$C$20:$N$520,2,0)," ")," ")</f>
        <v xml:space="preserve"> </v>
      </c>
      <c r="D2178" s="695"/>
      <c r="E2178" s="696"/>
      <c r="F2178" s="696"/>
      <c r="G2178" s="696"/>
      <c r="H2178" s="696"/>
      <c r="I2178" s="1050" t="str">
        <f t="shared" si="497"/>
        <v/>
      </c>
      <c r="J2178" s="696"/>
      <c r="K2178" s="697"/>
      <c r="L2178" s="696"/>
      <c r="M2178" s="198" t="str">
        <f t="shared" si="498"/>
        <v/>
      </c>
      <c r="N2178" s="369" t="str">
        <f t="shared" si="499"/>
        <v/>
      </c>
      <c r="O2178" s="183" t="str">
        <f t="shared" si="500"/>
        <v/>
      </c>
      <c r="P2178" s="199" t="str">
        <f t="shared" si="501"/>
        <v/>
      </c>
      <c r="Q2178" s="199" t="str">
        <f>IF(B2178="","",IFERROR(IF('עלויות כח אדם (6)'!J2178&gt;=VLOOKUP(I2178,'סיווג התפקידים והעלויות'!$B$23:$C$32,2,0),"תקין","לא תקין"),""))</f>
        <v/>
      </c>
      <c r="R2178" s="199" t="str">
        <f t="shared" si="502"/>
        <v/>
      </c>
      <c r="S2178" s="199" t="str">
        <f t="shared" si="503"/>
        <v/>
      </c>
      <c r="T2178" s="199" t="str">
        <f t="shared" si="511"/>
        <v/>
      </c>
      <c r="U2178" s="199" t="str">
        <f t="shared" si="504"/>
        <v/>
      </c>
      <c r="V2178" s="989"/>
      <c r="X2178" s="374" t="str">
        <f t="shared" si="505"/>
        <v/>
      </c>
      <c r="Y2178" s="375" t="str">
        <f t="shared" si="506"/>
        <v/>
      </c>
      <c r="Z2178" s="374" t="str">
        <f t="shared" si="507"/>
        <v/>
      </c>
      <c r="AA2178" s="374" t="b">
        <f t="shared" si="508"/>
        <v>1</v>
      </c>
      <c r="AB2178" s="374">
        <f>COUNTIFS(B:B,B2178,H:H,'סיווג התפקידים והעלויות'!$C$2)</f>
        <v>0</v>
      </c>
      <c r="AC2178" s="374">
        <f>COUNTIFS(B:B,B2178,H:H,'סיווג התפקידים והעלויות'!$D$2)</f>
        <v>0</v>
      </c>
      <c r="AD2178" s="374" t="str">
        <f>IF(OR(AND(H2178='סיווג התפקידים והעלויות'!$A$2,I2178='סיווג התפקידים והעלויות'!$A$3),'עלויות כח אדם (6)'!H2178='סיווג התפקידים והעלויות'!$C$2,'עלויות כח אדם (6)'!H2178='סיווג התפקידים והעלויות'!$D$2),IF('עלויות כח אדם (6)'!J2178&lt;75,"לא תקין","תקין"),"")</f>
        <v/>
      </c>
      <c r="AE2178" s="374" t="str">
        <f t="shared" si="509"/>
        <v/>
      </c>
      <c r="AF2178" s="532" t="str">
        <f t="shared" si="510"/>
        <v/>
      </c>
    </row>
    <row r="2179" spans="2:32" x14ac:dyDescent="0.25">
      <c r="B2179" s="695"/>
      <c r="C2179" s="197" t="str">
        <f>IF(B2179&lt;&gt;"",IFERROR(VLOOKUP(B:B,'מצבת והרשמה (2)'!$C$20:$N$520,2,0)," ")," ")</f>
        <v xml:space="preserve"> </v>
      </c>
      <c r="D2179" s="695"/>
      <c r="E2179" s="696"/>
      <c r="F2179" s="696"/>
      <c r="G2179" s="696"/>
      <c r="H2179" s="696"/>
      <c r="I2179" s="1050" t="str">
        <f t="shared" si="497"/>
        <v/>
      </c>
      <c r="J2179" s="696"/>
      <c r="K2179" s="697"/>
      <c r="L2179" s="696"/>
      <c r="M2179" s="198" t="str">
        <f t="shared" si="498"/>
        <v/>
      </c>
      <c r="N2179" s="369" t="str">
        <f t="shared" si="499"/>
        <v/>
      </c>
      <c r="O2179" s="183" t="str">
        <f t="shared" si="500"/>
        <v/>
      </c>
      <c r="P2179" s="199" t="str">
        <f t="shared" si="501"/>
        <v/>
      </c>
      <c r="Q2179" s="199" t="str">
        <f>IF(B2179="","",IFERROR(IF('עלויות כח אדם (6)'!J2179&gt;=VLOOKUP(I2179,'סיווג התפקידים והעלויות'!$B$23:$C$32,2,0),"תקין","לא תקין"),""))</f>
        <v/>
      </c>
      <c r="R2179" s="199" t="str">
        <f t="shared" si="502"/>
        <v/>
      </c>
      <c r="S2179" s="199" t="str">
        <f t="shared" si="503"/>
        <v/>
      </c>
      <c r="T2179" s="199" t="str">
        <f t="shared" si="511"/>
        <v/>
      </c>
      <c r="U2179" s="199" t="str">
        <f t="shared" si="504"/>
        <v/>
      </c>
      <c r="V2179" s="989"/>
      <c r="X2179" s="374" t="str">
        <f t="shared" si="505"/>
        <v/>
      </c>
      <c r="Y2179" s="375" t="str">
        <f t="shared" si="506"/>
        <v/>
      </c>
      <c r="Z2179" s="374" t="str">
        <f t="shared" si="507"/>
        <v/>
      </c>
      <c r="AA2179" s="374" t="b">
        <f t="shared" si="508"/>
        <v>1</v>
      </c>
      <c r="AB2179" s="374">
        <f>COUNTIFS(B:B,B2179,H:H,'סיווג התפקידים והעלויות'!$C$2)</f>
        <v>0</v>
      </c>
      <c r="AC2179" s="374">
        <f>COUNTIFS(B:B,B2179,H:H,'סיווג התפקידים והעלויות'!$D$2)</f>
        <v>0</v>
      </c>
      <c r="AD2179" s="374" t="str">
        <f>IF(OR(AND(H2179='סיווג התפקידים והעלויות'!$A$2,I2179='סיווג התפקידים והעלויות'!$A$3),'עלויות כח אדם (6)'!H2179='סיווג התפקידים והעלויות'!$C$2,'עלויות כח אדם (6)'!H2179='סיווג התפקידים והעלויות'!$D$2),IF('עלויות כח אדם (6)'!J2179&lt;75,"לא תקין","תקין"),"")</f>
        <v/>
      </c>
      <c r="AE2179" s="374" t="str">
        <f t="shared" si="509"/>
        <v/>
      </c>
      <c r="AF2179" s="532" t="str">
        <f t="shared" si="510"/>
        <v/>
      </c>
    </row>
    <row r="2180" spans="2:32" x14ac:dyDescent="0.25">
      <c r="B2180" s="695"/>
      <c r="C2180" s="197" t="str">
        <f>IF(B2180&lt;&gt;"",IFERROR(VLOOKUP(B:B,'מצבת והרשמה (2)'!$C$20:$N$520,2,0)," ")," ")</f>
        <v xml:space="preserve"> </v>
      </c>
      <c r="D2180" s="695"/>
      <c r="E2180" s="696"/>
      <c r="F2180" s="696"/>
      <c r="G2180" s="696"/>
      <c r="H2180" s="696"/>
      <c r="I2180" s="1050" t="str">
        <f t="shared" si="497"/>
        <v/>
      </c>
      <c r="J2180" s="696"/>
      <c r="K2180" s="697"/>
      <c r="L2180" s="696"/>
      <c r="M2180" s="198" t="str">
        <f t="shared" si="498"/>
        <v/>
      </c>
      <c r="N2180" s="369" t="str">
        <f t="shared" si="499"/>
        <v/>
      </c>
      <c r="O2180" s="183" t="str">
        <f t="shared" si="500"/>
        <v/>
      </c>
      <c r="P2180" s="199" t="str">
        <f t="shared" si="501"/>
        <v/>
      </c>
      <c r="Q2180" s="199" t="str">
        <f>IF(B2180="","",IFERROR(IF('עלויות כח אדם (6)'!J2180&gt;=VLOOKUP(I2180,'סיווג התפקידים והעלויות'!$B$23:$C$32,2,0),"תקין","לא תקין"),""))</f>
        <v/>
      </c>
      <c r="R2180" s="199" t="str">
        <f t="shared" si="502"/>
        <v/>
      </c>
      <c r="S2180" s="199" t="str">
        <f t="shared" si="503"/>
        <v/>
      </c>
      <c r="T2180" s="199" t="str">
        <f t="shared" si="511"/>
        <v/>
      </c>
      <c r="U2180" s="199" t="str">
        <f t="shared" si="504"/>
        <v/>
      </c>
      <c r="V2180" s="989"/>
      <c r="X2180" s="374" t="str">
        <f t="shared" si="505"/>
        <v/>
      </c>
      <c r="Y2180" s="375" t="str">
        <f t="shared" si="506"/>
        <v/>
      </c>
      <c r="Z2180" s="374" t="str">
        <f t="shared" si="507"/>
        <v/>
      </c>
      <c r="AA2180" s="374" t="b">
        <f t="shared" si="508"/>
        <v>1</v>
      </c>
      <c r="AB2180" s="374">
        <f>COUNTIFS(B:B,B2180,H:H,'סיווג התפקידים והעלויות'!$C$2)</f>
        <v>0</v>
      </c>
      <c r="AC2180" s="374">
        <f>COUNTIFS(B:B,B2180,H:H,'סיווג התפקידים והעלויות'!$D$2)</f>
        <v>0</v>
      </c>
      <c r="AD2180" s="374" t="str">
        <f>IF(OR(AND(H2180='סיווג התפקידים והעלויות'!$A$2,I2180='סיווג התפקידים והעלויות'!$A$3),'עלויות כח אדם (6)'!H2180='סיווג התפקידים והעלויות'!$C$2,'עלויות כח אדם (6)'!H2180='סיווג התפקידים והעלויות'!$D$2),IF('עלויות כח אדם (6)'!J2180&lt;75,"לא תקין","תקין"),"")</f>
        <v/>
      </c>
      <c r="AE2180" s="374" t="str">
        <f t="shared" si="509"/>
        <v/>
      </c>
      <c r="AF2180" s="532" t="str">
        <f t="shared" si="510"/>
        <v/>
      </c>
    </row>
    <row r="2181" spans="2:32" x14ac:dyDescent="0.25">
      <c r="B2181" s="695"/>
      <c r="C2181" s="197" t="str">
        <f>IF(B2181&lt;&gt;"",IFERROR(VLOOKUP(B:B,'מצבת והרשמה (2)'!$C$20:$N$520,2,0)," ")," ")</f>
        <v xml:space="preserve"> </v>
      </c>
      <c r="D2181" s="695"/>
      <c r="E2181" s="696"/>
      <c r="F2181" s="696"/>
      <c r="G2181" s="696"/>
      <c r="H2181" s="696"/>
      <c r="I2181" s="1050" t="str">
        <f t="shared" si="497"/>
        <v/>
      </c>
      <c r="J2181" s="696"/>
      <c r="K2181" s="697"/>
      <c r="L2181" s="696"/>
      <c r="M2181" s="198" t="str">
        <f t="shared" si="498"/>
        <v/>
      </c>
      <c r="N2181" s="369" t="str">
        <f t="shared" si="499"/>
        <v/>
      </c>
      <c r="O2181" s="183" t="str">
        <f t="shared" si="500"/>
        <v/>
      </c>
      <c r="P2181" s="199" t="str">
        <f t="shared" si="501"/>
        <v/>
      </c>
      <c r="Q2181" s="199" t="str">
        <f>IF(B2181="","",IFERROR(IF('עלויות כח אדם (6)'!J2181&gt;=VLOOKUP(I2181,'סיווג התפקידים והעלויות'!$B$23:$C$32,2,0),"תקין","לא תקין"),""))</f>
        <v/>
      </c>
      <c r="R2181" s="199" t="str">
        <f t="shared" si="502"/>
        <v/>
      </c>
      <c r="S2181" s="199" t="str">
        <f t="shared" si="503"/>
        <v/>
      </c>
      <c r="T2181" s="199" t="str">
        <f t="shared" si="511"/>
        <v/>
      </c>
      <c r="U2181" s="199" t="str">
        <f t="shared" si="504"/>
        <v/>
      </c>
      <c r="V2181" s="989"/>
      <c r="X2181" s="374" t="str">
        <f t="shared" si="505"/>
        <v/>
      </c>
      <c r="Y2181" s="375" t="str">
        <f t="shared" si="506"/>
        <v/>
      </c>
      <c r="Z2181" s="374" t="str">
        <f t="shared" si="507"/>
        <v/>
      </c>
      <c r="AA2181" s="374" t="b">
        <f t="shared" si="508"/>
        <v>1</v>
      </c>
      <c r="AB2181" s="374">
        <f>COUNTIFS(B:B,B2181,H:H,'סיווג התפקידים והעלויות'!$C$2)</f>
        <v>0</v>
      </c>
      <c r="AC2181" s="374">
        <f>COUNTIFS(B:B,B2181,H:H,'סיווג התפקידים והעלויות'!$D$2)</f>
        <v>0</v>
      </c>
      <c r="AD2181" s="374" t="str">
        <f>IF(OR(AND(H2181='סיווג התפקידים והעלויות'!$A$2,I2181='סיווג התפקידים והעלויות'!$A$3),'עלויות כח אדם (6)'!H2181='סיווג התפקידים והעלויות'!$C$2,'עלויות כח אדם (6)'!H2181='סיווג התפקידים והעלויות'!$D$2),IF('עלויות כח אדם (6)'!J2181&lt;75,"לא תקין","תקין"),"")</f>
        <v/>
      </c>
      <c r="AE2181" s="374" t="str">
        <f t="shared" si="509"/>
        <v/>
      </c>
      <c r="AF2181" s="532" t="str">
        <f t="shared" si="510"/>
        <v/>
      </c>
    </row>
    <row r="2182" spans="2:32" x14ac:dyDescent="0.25">
      <c r="B2182" s="695"/>
      <c r="C2182" s="197" t="str">
        <f>IF(B2182&lt;&gt;"",IFERROR(VLOOKUP(B:B,'מצבת והרשמה (2)'!$C$20:$N$520,2,0)," ")," ")</f>
        <v xml:space="preserve"> </v>
      </c>
      <c r="D2182" s="695"/>
      <c r="E2182" s="696"/>
      <c r="F2182" s="696"/>
      <c r="G2182" s="696"/>
      <c r="H2182" s="696"/>
      <c r="I2182" s="1050" t="str">
        <f t="shared" si="497"/>
        <v/>
      </c>
      <c r="J2182" s="696"/>
      <c r="K2182" s="697"/>
      <c r="L2182" s="696"/>
      <c r="M2182" s="198" t="str">
        <f t="shared" si="498"/>
        <v/>
      </c>
      <c r="N2182" s="369" t="str">
        <f t="shared" si="499"/>
        <v/>
      </c>
      <c r="O2182" s="183" t="str">
        <f t="shared" si="500"/>
        <v/>
      </c>
      <c r="P2182" s="199" t="str">
        <f t="shared" si="501"/>
        <v/>
      </c>
      <c r="Q2182" s="199" t="str">
        <f>IF(B2182="","",IFERROR(IF('עלויות כח אדם (6)'!J2182&gt;=VLOOKUP(I2182,'סיווג התפקידים והעלויות'!$B$23:$C$32,2,0),"תקין","לא תקין"),""))</f>
        <v/>
      </c>
      <c r="R2182" s="199" t="str">
        <f t="shared" si="502"/>
        <v/>
      </c>
      <c r="S2182" s="199" t="str">
        <f t="shared" si="503"/>
        <v/>
      </c>
      <c r="T2182" s="199" t="str">
        <f t="shared" si="511"/>
        <v/>
      </c>
      <c r="U2182" s="199" t="str">
        <f t="shared" si="504"/>
        <v/>
      </c>
      <c r="V2182" s="989"/>
      <c r="X2182" s="374" t="str">
        <f t="shared" si="505"/>
        <v/>
      </c>
      <c r="Y2182" s="375" t="str">
        <f t="shared" si="506"/>
        <v/>
      </c>
      <c r="Z2182" s="374" t="str">
        <f t="shared" si="507"/>
        <v/>
      </c>
      <c r="AA2182" s="374" t="b">
        <f t="shared" si="508"/>
        <v>1</v>
      </c>
      <c r="AB2182" s="374">
        <f>COUNTIFS(B:B,B2182,H:H,'סיווג התפקידים והעלויות'!$C$2)</f>
        <v>0</v>
      </c>
      <c r="AC2182" s="374">
        <f>COUNTIFS(B:B,B2182,H:H,'סיווג התפקידים והעלויות'!$D$2)</f>
        <v>0</v>
      </c>
      <c r="AD2182" s="374" t="str">
        <f>IF(OR(AND(H2182='סיווג התפקידים והעלויות'!$A$2,I2182='סיווג התפקידים והעלויות'!$A$3),'עלויות כח אדם (6)'!H2182='סיווג התפקידים והעלויות'!$C$2,'עלויות כח אדם (6)'!H2182='סיווג התפקידים והעלויות'!$D$2),IF('עלויות כח אדם (6)'!J2182&lt;75,"לא תקין","תקין"),"")</f>
        <v/>
      </c>
      <c r="AE2182" s="374" t="str">
        <f t="shared" si="509"/>
        <v/>
      </c>
      <c r="AF2182" s="532" t="str">
        <f t="shared" si="510"/>
        <v/>
      </c>
    </row>
    <row r="2183" spans="2:32" x14ac:dyDescent="0.25">
      <c r="B2183" s="695"/>
      <c r="C2183" s="197" t="str">
        <f>IF(B2183&lt;&gt;"",IFERROR(VLOOKUP(B:B,'מצבת והרשמה (2)'!$C$20:$N$520,2,0)," ")," ")</f>
        <v xml:space="preserve"> </v>
      </c>
      <c r="D2183" s="695"/>
      <c r="E2183" s="696"/>
      <c r="F2183" s="696"/>
      <c r="G2183" s="696"/>
      <c r="H2183" s="696"/>
      <c r="I2183" s="1050" t="str">
        <f t="shared" si="497"/>
        <v/>
      </c>
      <c r="J2183" s="696"/>
      <c r="K2183" s="697"/>
      <c r="L2183" s="696"/>
      <c r="M2183" s="198" t="str">
        <f t="shared" si="498"/>
        <v/>
      </c>
      <c r="N2183" s="369" t="str">
        <f t="shared" si="499"/>
        <v/>
      </c>
      <c r="O2183" s="183" t="str">
        <f t="shared" si="500"/>
        <v/>
      </c>
      <c r="P2183" s="199" t="str">
        <f t="shared" si="501"/>
        <v/>
      </c>
      <c r="Q2183" s="199" t="str">
        <f>IF(B2183="","",IFERROR(IF('עלויות כח אדם (6)'!J2183&gt;=VLOOKUP(I2183,'סיווג התפקידים והעלויות'!$B$23:$C$32,2,0),"תקין","לא תקין"),""))</f>
        <v/>
      </c>
      <c r="R2183" s="199" t="str">
        <f t="shared" si="502"/>
        <v/>
      </c>
      <c r="S2183" s="199" t="str">
        <f t="shared" si="503"/>
        <v/>
      </c>
      <c r="T2183" s="199" t="str">
        <f t="shared" si="511"/>
        <v/>
      </c>
      <c r="U2183" s="199" t="str">
        <f t="shared" si="504"/>
        <v/>
      </c>
      <c r="V2183" s="989"/>
      <c r="X2183" s="374" t="str">
        <f t="shared" si="505"/>
        <v/>
      </c>
      <c r="Y2183" s="375" t="str">
        <f t="shared" si="506"/>
        <v/>
      </c>
      <c r="Z2183" s="374" t="str">
        <f t="shared" si="507"/>
        <v/>
      </c>
      <c r="AA2183" s="374" t="b">
        <f t="shared" si="508"/>
        <v>1</v>
      </c>
      <c r="AB2183" s="374">
        <f>COUNTIFS(B:B,B2183,H:H,'סיווג התפקידים והעלויות'!$C$2)</f>
        <v>0</v>
      </c>
      <c r="AC2183" s="374">
        <f>COUNTIFS(B:B,B2183,H:H,'סיווג התפקידים והעלויות'!$D$2)</f>
        <v>0</v>
      </c>
      <c r="AD2183" s="374" t="str">
        <f>IF(OR(AND(H2183='סיווג התפקידים והעלויות'!$A$2,I2183='סיווג התפקידים והעלויות'!$A$3),'עלויות כח אדם (6)'!H2183='סיווג התפקידים והעלויות'!$C$2,'עלויות כח אדם (6)'!H2183='סיווג התפקידים והעלויות'!$D$2),IF('עלויות כח אדם (6)'!J2183&lt;75,"לא תקין","תקין"),"")</f>
        <v/>
      </c>
      <c r="AE2183" s="374" t="str">
        <f t="shared" si="509"/>
        <v/>
      </c>
      <c r="AF2183" s="532" t="str">
        <f t="shared" si="510"/>
        <v/>
      </c>
    </row>
    <row r="2184" spans="2:32" x14ac:dyDescent="0.25">
      <c r="B2184" s="695"/>
      <c r="C2184" s="197" t="str">
        <f>IF(B2184&lt;&gt;"",IFERROR(VLOOKUP(B:B,'מצבת והרשמה (2)'!$C$20:$N$520,2,0)," ")," ")</f>
        <v xml:space="preserve"> </v>
      </c>
      <c r="D2184" s="695"/>
      <c r="E2184" s="696"/>
      <c r="F2184" s="696"/>
      <c r="G2184" s="696"/>
      <c r="H2184" s="696"/>
      <c r="I2184" s="1050" t="str">
        <f t="shared" si="497"/>
        <v/>
      </c>
      <c r="J2184" s="696"/>
      <c r="K2184" s="697"/>
      <c r="L2184" s="696"/>
      <c r="M2184" s="198" t="str">
        <f t="shared" si="498"/>
        <v/>
      </c>
      <c r="N2184" s="369" t="str">
        <f t="shared" si="499"/>
        <v/>
      </c>
      <c r="O2184" s="183" t="str">
        <f t="shared" si="500"/>
        <v/>
      </c>
      <c r="P2184" s="199" t="str">
        <f t="shared" si="501"/>
        <v/>
      </c>
      <c r="Q2184" s="199" t="str">
        <f>IF(B2184="","",IFERROR(IF('עלויות כח אדם (6)'!J2184&gt;=VLOOKUP(I2184,'סיווג התפקידים והעלויות'!$B$23:$C$32,2,0),"תקין","לא תקין"),""))</f>
        <v/>
      </c>
      <c r="R2184" s="199" t="str">
        <f t="shared" si="502"/>
        <v/>
      </c>
      <c r="S2184" s="199" t="str">
        <f t="shared" si="503"/>
        <v/>
      </c>
      <c r="T2184" s="199" t="str">
        <f t="shared" si="511"/>
        <v/>
      </c>
      <c r="U2184" s="199" t="str">
        <f t="shared" si="504"/>
        <v/>
      </c>
      <c r="V2184" s="989"/>
      <c r="X2184" s="374" t="str">
        <f t="shared" si="505"/>
        <v/>
      </c>
      <c r="Y2184" s="375" t="str">
        <f t="shared" si="506"/>
        <v/>
      </c>
      <c r="Z2184" s="374" t="str">
        <f t="shared" si="507"/>
        <v/>
      </c>
      <c r="AA2184" s="374" t="b">
        <f t="shared" si="508"/>
        <v>1</v>
      </c>
      <c r="AB2184" s="374">
        <f>COUNTIFS(B:B,B2184,H:H,'סיווג התפקידים והעלויות'!$C$2)</f>
        <v>0</v>
      </c>
      <c r="AC2184" s="374">
        <f>COUNTIFS(B:B,B2184,H:H,'סיווג התפקידים והעלויות'!$D$2)</f>
        <v>0</v>
      </c>
      <c r="AD2184" s="374" t="str">
        <f>IF(OR(AND(H2184='סיווג התפקידים והעלויות'!$A$2,I2184='סיווג התפקידים והעלויות'!$A$3),'עלויות כח אדם (6)'!H2184='סיווג התפקידים והעלויות'!$C$2,'עלויות כח אדם (6)'!H2184='סיווג התפקידים והעלויות'!$D$2),IF('עלויות כח אדם (6)'!J2184&lt;75,"לא תקין","תקין"),"")</f>
        <v/>
      </c>
      <c r="AE2184" s="374" t="str">
        <f t="shared" si="509"/>
        <v/>
      </c>
      <c r="AF2184" s="532" t="str">
        <f t="shared" si="510"/>
        <v/>
      </c>
    </row>
    <row r="2185" spans="2:32" x14ac:dyDescent="0.25">
      <c r="B2185" s="695"/>
      <c r="C2185" s="197" t="str">
        <f>IF(B2185&lt;&gt;"",IFERROR(VLOOKUP(B:B,'מצבת והרשמה (2)'!$C$20:$N$520,2,0)," ")," ")</f>
        <v xml:space="preserve"> </v>
      </c>
      <c r="D2185" s="695"/>
      <c r="E2185" s="696"/>
      <c r="F2185" s="696"/>
      <c r="G2185" s="696"/>
      <c r="H2185" s="696"/>
      <c r="I2185" s="1050" t="str">
        <f t="shared" si="497"/>
        <v/>
      </c>
      <c r="J2185" s="696"/>
      <c r="K2185" s="697"/>
      <c r="L2185" s="696"/>
      <c r="M2185" s="198" t="str">
        <f t="shared" si="498"/>
        <v/>
      </c>
      <c r="N2185" s="369" t="str">
        <f t="shared" si="499"/>
        <v/>
      </c>
      <c r="O2185" s="183" t="str">
        <f t="shared" si="500"/>
        <v/>
      </c>
      <c r="P2185" s="199" t="str">
        <f t="shared" si="501"/>
        <v/>
      </c>
      <c r="Q2185" s="199" t="str">
        <f>IF(B2185="","",IFERROR(IF('עלויות כח אדם (6)'!J2185&gt;=VLOOKUP(I2185,'סיווג התפקידים והעלויות'!$B$23:$C$32,2,0),"תקין","לא תקין"),""))</f>
        <v/>
      </c>
      <c r="R2185" s="199" t="str">
        <f t="shared" si="502"/>
        <v/>
      </c>
      <c r="S2185" s="199" t="str">
        <f t="shared" si="503"/>
        <v/>
      </c>
      <c r="T2185" s="199" t="str">
        <f t="shared" si="511"/>
        <v/>
      </c>
      <c r="U2185" s="199" t="str">
        <f t="shared" si="504"/>
        <v/>
      </c>
      <c r="V2185" s="989"/>
      <c r="X2185" s="374" t="str">
        <f t="shared" si="505"/>
        <v/>
      </c>
      <c r="Y2185" s="375" t="str">
        <f t="shared" si="506"/>
        <v/>
      </c>
      <c r="Z2185" s="374" t="str">
        <f t="shared" si="507"/>
        <v/>
      </c>
      <c r="AA2185" s="374" t="b">
        <f t="shared" si="508"/>
        <v>1</v>
      </c>
      <c r="AB2185" s="374">
        <f>COUNTIFS(B:B,B2185,H:H,'סיווג התפקידים והעלויות'!$C$2)</f>
        <v>0</v>
      </c>
      <c r="AC2185" s="374">
        <f>COUNTIFS(B:B,B2185,H:H,'סיווג התפקידים והעלויות'!$D$2)</f>
        <v>0</v>
      </c>
      <c r="AD2185" s="374" t="str">
        <f>IF(OR(AND(H2185='סיווג התפקידים והעלויות'!$A$2,I2185='סיווג התפקידים והעלויות'!$A$3),'עלויות כח אדם (6)'!H2185='סיווג התפקידים והעלויות'!$C$2,'עלויות כח אדם (6)'!H2185='סיווג התפקידים והעלויות'!$D$2),IF('עלויות כח אדם (6)'!J2185&lt;75,"לא תקין","תקין"),"")</f>
        <v/>
      </c>
      <c r="AE2185" s="374" t="str">
        <f t="shared" si="509"/>
        <v/>
      </c>
      <c r="AF2185" s="532" t="str">
        <f t="shared" si="510"/>
        <v/>
      </c>
    </row>
    <row r="2186" spans="2:32" x14ac:dyDescent="0.25">
      <c r="B2186" s="695"/>
      <c r="C2186" s="197" t="str">
        <f>IF(B2186&lt;&gt;"",IFERROR(VLOOKUP(B:B,'מצבת והרשמה (2)'!$C$20:$N$520,2,0)," ")," ")</f>
        <v xml:space="preserve"> </v>
      </c>
      <c r="D2186" s="695"/>
      <c r="E2186" s="696"/>
      <c r="F2186" s="696"/>
      <c r="G2186" s="696"/>
      <c r="H2186" s="696"/>
      <c r="I2186" s="1050" t="str">
        <f t="shared" si="497"/>
        <v/>
      </c>
      <c r="J2186" s="696"/>
      <c r="K2186" s="697"/>
      <c r="L2186" s="696"/>
      <c r="M2186" s="198" t="str">
        <f t="shared" si="498"/>
        <v/>
      </c>
      <c r="N2186" s="369" t="str">
        <f t="shared" si="499"/>
        <v/>
      </c>
      <c r="O2186" s="183" t="str">
        <f t="shared" si="500"/>
        <v/>
      </c>
      <c r="P2186" s="199" t="str">
        <f t="shared" si="501"/>
        <v/>
      </c>
      <c r="Q2186" s="199" t="str">
        <f>IF(B2186="","",IFERROR(IF('עלויות כח אדם (6)'!J2186&gt;=VLOOKUP(I2186,'סיווג התפקידים והעלויות'!$B$23:$C$32,2,0),"תקין","לא תקין"),""))</f>
        <v/>
      </c>
      <c r="R2186" s="199" t="str">
        <f t="shared" si="502"/>
        <v/>
      </c>
      <c r="S2186" s="199" t="str">
        <f t="shared" si="503"/>
        <v/>
      </c>
      <c r="T2186" s="199" t="str">
        <f t="shared" si="511"/>
        <v/>
      </c>
      <c r="U2186" s="199" t="str">
        <f t="shared" si="504"/>
        <v/>
      </c>
      <c r="V2186" s="989"/>
      <c r="X2186" s="374" t="str">
        <f t="shared" si="505"/>
        <v/>
      </c>
      <c r="Y2186" s="375" t="str">
        <f t="shared" si="506"/>
        <v/>
      </c>
      <c r="Z2186" s="374" t="str">
        <f t="shared" si="507"/>
        <v/>
      </c>
      <c r="AA2186" s="374" t="b">
        <f t="shared" si="508"/>
        <v>1</v>
      </c>
      <c r="AB2186" s="374">
        <f>COUNTIFS(B:B,B2186,H:H,'סיווג התפקידים והעלויות'!$C$2)</f>
        <v>0</v>
      </c>
      <c r="AC2186" s="374">
        <f>COUNTIFS(B:B,B2186,H:H,'סיווג התפקידים והעלויות'!$D$2)</f>
        <v>0</v>
      </c>
      <c r="AD2186" s="374" t="str">
        <f>IF(OR(AND(H2186='סיווג התפקידים והעלויות'!$A$2,I2186='סיווג התפקידים והעלויות'!$A$3),'עלויות כח אדם (6)'!H2186='סיווג התפקידים והעלויות'!$C$2,'עלויות כח אדם (6)'!H2186='סיווג התפקידים והעלויות'!$D$2),IF('עלויות כח אדם (6)'!J2186&lt;75,"לא תקין","תקין"),"")</f>
        <v/>
      </c>
      <c r="AE2186" s="374" t="str">
        <f t="shared" si="509"/>
        <v/>
      </c>
      <c r="AF2186" s="532" t="str">
        <f t="shared" si="510"/>
        <v/>
      </c>
    </row>
    <row r="2187" spans="2:32" x14ac:dyDescent="0.25">
      <c r="B2187" s="695"/>
      <c r="C2187" s="197" t="str">
        <f>IF(B2187&lt;&gt;"",IFERROR(VLOOKUP(B:B,'מצבת והרשמה (2)'!$C$20:$N$520,2,0)," ")," ")</f>
        <v xml:space="preserve"> </v>
      </c>
      <c r="D2187" s="695"/>
      <c r="E2187" s="696"/>
      <c r="F2187" s="696"/>
      <c r="G2187" s="696"/>
      <c r="H2187" s="696"/>
      <c r="I2187" s="1050" t="str">
        <f t="shared" si="497"/>
        <v/>
      </c>
      <c r="J2187" s="696"/>
      <c r="K2187" s="697"/>
      <c r="L2187" s="696"/>
      <c r="M2187" s="198" t="str">
        <f t="shared" si="498"/>
        <v/>
      </c>
      <c r="N2187" s="369" t="str">
        <f t="shared" si="499"/>
        <v/>
      </c>
      <c r="O2187" s="183" t="str">
        <f t="shared" si="500"/>
        <v/>
      </c>
      <c r="P2187" s="199" t="str">
        <f t="shared" si="501"/>
        <v/>
      </c>
      <c r="Q2187" s="199" t="str">
        <f>IF(B2187="","",IFERROR(IF('עלויות כח אדם (6)'!J2187&gt;=VLOOKUP(I2187,'סיווג התפקידים והעלויות'!$B$23:$C$32,2,0),"תקין","לא תקין"),""))</f>
        <v/>
      </c>
      <c r="R2187" s="199" t="str">
        <f t="shared" si="502"/>
        <v/>
      </c>
      <c r="S2187" s="199" t="str">
        <f t="shared" si="503"/>
        <v/>
      </c>
      <c r="T2187" s="199" t="str">
        <f t="shared" si="511"/>
        <v/>
      </c>
      <c r="U2187" s="199" t="str">
        <f t="shared" si="504"/>
        <v/>
      </c>
      <c r="V2187" s="989"/>
      <c r="X2187" s="374" t="str">
        <f t="shared" si="505"/>
        <v/>
      </c>
      <c r="Y2187" s="375" t="str">
        <f t="shared" si="506"/>
        <v/>
      </c>
      <c r="Z2187" s="374" t="str">
        <f t="shared" si="507"/>
        <v/>
      </c>
      <c r="AA2187" s="374" t="b">
        <f t="shared" si="508"/>
        <v>1</v>
      </c>
      <c r="AB2187" s="374">
        <f>COUNTIFS(B:B,B2187,H:H,'סיווג התפקידים והעלויות'!$C$2)</f>
        <v>0</v>
      </c>
      <c r="AC2187" s="374">
        <f>COUNTIFS(B:B,B2187,H:H,'סיווג התפקידים והעלויות'!$D$2)</f>
        <v>0</v>
      </c>
      <c r="AD2187" s="374" t="str">
        <f>IF(OR(AND(H2187='סיווג התפקידים והעלויות'!$A$2,I2187='סיווג התפקידים והעלויות'!$A$3),'עלויות כח אדם (6)'!H2187='סיווג התפקידים והעלויות'!$C$2,'עלויות כח אדם (6)'!H2187='סיווג התפקידים והעלויות'!$D$2),IF('עלויות כח אדם (6)'!J2187&lt;75,"לא תקין","תקין"),"")</f>
        <v/>
      </c>
      <c r="AE2187" s="374" t="str">
        <f t="shared" si="509"/>
        <v/>
      </c>
      <c r="AF2187" s="532" t="str">
        <f t="shared" si="510"/>
        <v/>
      </c>
    </row>
    <row r="2188" spans="2:32" x14ac:dyDescent="0.25">
      <c r="B2188" s="695"/>
      <c r="C2188" s="197" t="str">
        <f>IF(B2188&lt;&gt;"",IFERROR(VLOOKUP(B:B,'מצבת והרשמה (2)'!$C$20:$N$520,2,0)," ")," ")</f>
        <v xml:space="preserve"> </v>
      </c>
      <c r="D2188" s="695"/>
      <c r="E2188" s="696"/>
      <c r="F2188" s="696"/>
      <c r="G2188" s="696"/>
      <c r="H2188" s="696"/>
      <c r="I2188" s="1050" t="str">
        <f t="shared" si="497"/>
        <v/>
      </c>
      <c r="J2188" s="696"/>
      <c r="K2188" s="697"/>
      <c r="L2188" s="696"/>
      <c r="M2188" s="198" t="str">
        <f t="shared" si="498"/>
        <v/>
      </c>
      <c r="N2188" s="369" t="str">
        <f t="shared" si="499"/>
        <v/>
      </c>
      <c r="O2188" s="183" t="str">
        <f t="shared" si="500"/>
        <v/>
      </c>
      <c r="P2188" s="199" t="str">
        <f t="shared" si="501"/>
        <v/>
      </c>
      <c r="Q2188" s="199" t="str">
        <f>IF(B2188="","",IFERROR(IF('עלויות כח אדם (6)'!J2188&gt;=VLOOKUP(I2188,'סיווג התפקידים והעלויות'!$B$23:$C$32,2,0),"תקין","לא תקין"),""))</f>
        <v/>
      </c>
      <c r="R2188" s="199" t="str">
        <f t="shared" si="502"/>
        <v/>
      </c>
      <c r="S2188" s="199" t="str">
        <f t="shared" si="503"/>
        <v/>
      </c>
      <c r="T2188" s="199" t="str">
        <f t="shared" si="511"/>
        <v/>
      </c>
      <c r="U2188" s="199" t="str">
        <f t="shared" si="504"/>
        <v/>
      </c>
      <c r="V2188" s="989"/>
      <c r="X2188" s="374" t="str">
        <f t="shared" si="505"/>
        <v/>
      </c>
      <c r="Y2188" s="375" t="str">
        <f t="shared" si="506"/>
        <v/>
      </c>
      <c r="Z2188" s="374" t="str">
        <f t="shared" si="507"/>
        <v/>
      </c>
      <c r="AA2188" s="374" t="b">
        <f t="shared" si="508"/>
        <v>1</v>
      </c>
      <c r="AB2188" s="374">
        <f>COUNTIFS(B:B,B2188,H:H,'סיווג התפקידים והעלויות'!$C$2)</f>
        <v>0</v>
      </c>
      <c r="AC2188" s="374">
        <f>COUNTIFS(B:B,B2188,H:H,'סיווג התפקידים והעלויות'!$D$2)</f>
        <v>0</v>
      </c>
      <c r="AD2188" s="374" t="str">
        <f>IF(OR(AND(H2188='סיווג התפקידים והעלויות'!$A$2,I2188='סיווג התפקידים והעלויות'!$A$3),'עלויות כח אדם (6)'!H2188='סיווג התפקידים והעלויות'!$C$2,'עלויות כח אדם (6)'!H2188='סיווג התפקידים והעלויות'!$D$2),IF('עלויות כח אדם (6)'!J2188&lt;75,"לא תקין","תקין"),"")</f>
        <v/>
      </c>
      <c r="AE2188" s="374" t="str">
        <f t="shared" si="509"/>
        <v/>
      </c>
      <c r="AF2188" s="532" t="str">
        <f t="shared" si="510"/>
        <v/>
      </c>
    </row>
    <row r="2189" spans="2:32" x14ac:dyDescent="0.25">
      <c r="B2189" s="695"/>
      <c r="C2189" s="197" t="str">
        <f>IF(B2189&lt;&gt;"",IFERROR(VLOOKUP(B:B,'מצבת והרשמה (2)'!$C$20:$N$520,2,0)," ")," ")</f>
        <v xml:space="preserve"> </v>
      </c>
      <c r="D2189" s="695"/>
      <c r="E2189" s="696"/>
      <c r="F2189" s="696"/>
      <c r="G2189" s="696"/>
      <c r="H2189" s="696"/>
      <c r="I2189" s="1050" t="str">
        <f t="shared" si="497"/>
        <v/>
      </c>
      <c r="J2189" s="696"/>
      <c r="K2189" s="697"/>
      <c r="L2189" s="696"/>
      <c r="M2189" s="198" t="str">
        <f t="shared" si="498"/>
        <v/>
      </c>
      <c r="N2189" s="369" t="str">
        <f t="shared" si="499"/>
        <v/>
      </c>
      <c r="O2189" s="183" t="str">
        <f t="shared" si="500"/>
        <v/>
      </c>
      <c r="P2189" s="199" t="str">
        <f t="shared" si="501"/>
        <v/>
      </c>
      <c r="Q2189" s="199" t="str">
        <f>IF(B2189="","",IFERROR(IF('עלויות כח אדם (6)'!J2189&gt;=VLOOKUP(I2189,'סיווג התפקידים והעלויות'!$B$23:$C$32,2,0),"תקין","לא תקין"),""))</f>
        <v/>
      </c>
      <c r="R2189" s="199" t="str">
        <f t="shared" si="502"/>
        <v/>
      </c>
      <c r="S2189" s="199" t="str">
        <f t="shared" si="503"/>
        <v/>
      </c>
      <c r="T2189" s="199" t="str">
        <f t="shared" si="511"/>
        <v/>
      </c>
      <c r="U2189" s="199" t="str">
        <f t="shared" si="504"/>
        <v/>
      </c>
      <c r="V2189" s="989"/>
      <c r="X2189" s="374" t="str">
        <f t="shared" si="505"/>
        <v/>
      </c>
      <c r="Y2189" s="375" t="str">
        <f t="shared" si="506"/>
        <v/>
      </c>
      <c r="Z2189" s="374" t="str">
        <f t="shared" si="507"/>
        <v/>
      </c>
      <c r="AA2189" s="374" t="b">
        <f t="shared" si="508"/>
        <v>1</v>
      </c>
      <c r="AB2189" s="374">
        <f>COUNTIFS(B:B,B2189,H:H,'סיווג התפקידים והעלויות'!$C$2)</f>
        <v>0</v>
      </c>
      <c r="AC2189" s="374">
        <f>COUNTIFS(B:B,B2189,H:H,'סיווג התפקידים והעלויות'!$D$2)</f>
        <v>0</v>
      </c>
      <c r="AD2189" s="374" t="str">
        <f>IF(OR(AND(H2189='סיווג התפקידים והעלויות'!$A$2,I2189='סיווג התפקידים והעלויות'!$A$3),'עלויות כח אדם (6)'!H2189='סיווג התפקידים והעלויות'!$C$2,'עלויות כח אדם (6)'!H2189='סיווג התפקידים והעלויות'!$D$2),IF('עלויות כח אדם (6)'!J2189&lt;75,"לא תקין","תקין"),"")</f>
        <v/>
      </c>
      <c r="AE2189" s="374" t="str">
        <f t="shared" si="509"/>
        <v/>
      </c>
      <c r="AF2189" s="532" t="str">
        <f t="shared" si="510"/>
        <v/>
      </c>
    </row>
    <row r="2190" spans="2:32" x14ac:dyDescent="0.25">
      <c r="B2190" s="695"/>
      <c r="C2190" s="197" t="str">
        <f>IF(B2190&lt;&gt;"",IFERROR(VLOOKUP(B:B,'מצבת והרשמה (2)'!$C$20:$N$520,2,0)," ")," ")</f>
        <v xml:space="preserve"> </v>
      </c>
      <c r="D2190" s="695"/>
      <c r="E2190" s="696"/>
      <c r="F2190" s="696"/>
      <c r="G2190" s="696"/>
      <c r="H2190" s="696"/>
      <c r="I2190" s="1050" t="str">
        <f t="shared" si="497"/>
        <v/>
      </c>
      <c r="J2190" s="696"/>
      <c r="K2190" s="697"/>
      <c r="L2190" s="696"/>
      <c r="M2190" s="198" t="str">
        <f t="shared" si="498"/>
        <v/>
      </c>
      <c r="N2190" s="369" t="str">
        <f t="shared" si="499"/>
        <v/>
      </c>
      <c r="O2190" s="183" t="str">
        <f t="shared" si="500"/>
        <v/>
      </c>
      <c r="P2190" s="199" t="str">
        <f t="shared" si="501"/>
        <v/>
      </c>
      <c r="Q2190" s="199" t="str">
        <f>IF(B2190="","",IFERROR(IF('עלויות כח אדם (6)'!J2190&gt;=VLOOKUP(I2190,'סיווג התפקידים והעלויות'!$B$23:$C$32,2,0),"תקין","לא תקין"),""))</f>
        <v/>
      </c>
      <c r="R2190" s="199" t="str">
        <f t="shared" si="502"/>
        <v/>
      </c>
      <c r="S2190" s="199" t="str">
        <f t="shared" si="503"/>
        <v/>
      </c>
      <c r="T2190" s="199" t="str">
        <f t="shared" si="511"/>
        <v/>
      </c>
      <c r="U2190" s="199" t="str">
        <f t="shared" si="504"/>
        <v/>
      </c>
      <c r="V2190" s="989"/>
      <c r="X2190" s="374" t="str">
        <f t="shared" si="505"/>
        <v/>
      </c>
      <c r="Y2190" s="375" t="str">
        <f t="shared" si="506"/>
        <v/>
      </c>
      <c r="Z2190" s="374" t="str">
        <f t="shared" si="507"/>
        <v/>
      </c>
      <c r="AA2190" s="374" t="b">
        <f t="shared" si="508"/>
        <v>1</v>
      </c>
      <c r="AB2190" s="374">
        <f>COUNTIFS(B:B,B2190,H:H,'סיווג התפקידים והעלויות'!$C$2)</f>
        <v>0</v>
      </c>
      <c r="AC2190" s="374">
        <f>COUNTIFS(B:B,B2190,H:H,'סיווג התפקידים והעלויות'!$D$2)</f>
        <v>0</v>
      </c>
      <c r="AD2190" s="374" t="str">
        <f>IF(OR(AND(H2190='סיווג התפקידים והעלויות'!$A$2,I2190='סיווג התפקידים והעלויות'!$A$3),'עלויות כח אדם (6)'!H2190='סיווג התפקידים והעלויות'!$C$2,'עלויות כח אדם (6)'!H2190='סיווג התפקידים והעלויות'!$D$2),IF('עלויות כח אדם (6)'!J2190&lt;75,"לא תקין","תקין"),"")</f>
        <v/>
      </c>
      <c r="AE2190" s="374" t="str">
        <f t="shared" si="509"/>
        <v/>
      </c>
      <c r="AF2190" s="532" t="str">
        <f t="shared" si="510"/>
        <v/>
      </c>
    </row>
    <row r="2191" spans="2:32" x14ac:dyDescent="0.25">
      <c r="B2191" s="695"/>
      <c r="C2191" s="197" t="str">
        <f>IF(B2191&lt;&gt;"",IFERROR(VLOOKUP(B:B,'מצבת והרשמה (2)'!$C$20:$N$520,2,0)," ")," ")</f>
        <v xml:space="preserve"> </v>
      </c>
      <c r="D2191" s="695"/>
      <c r="E2191" s="696"/>
      <c r="F2191" s="696"/>
      <c r="G2191" s="696"/>
      <c r="H2191" s="696"/>
      <c r="I2191" s="1050" t="str">
        <f t="shared" ref="I2191:I2254" si="512">SUBSTITUTE(IFERROR(IF(H2191="מדצ","מדצ/ית",IF(H2191="סגנית רכזת מעל 150","סגנ/ית רכז/ת&gt;150",IF(H2191="רכזת תכנית בבית הספר","רכז/ת תכנית בבית הספר"))),""),"FALSE","")</f>
        <v/>
      </c>
      <c r="J2191" s="696"/>
      <c r="K2191" s="697"/>
      <c r="L2191" s="696"/>
      <c r="M2191" s="198" t="str">
        <f t="shared" ref="M2191:M2254" si="513">IF(AND(L2191&gt;0,K2191&gt;0),K2191*L2191,"")</f>
        <v/>
      </c>
      <c r="N2191" s="369" t="str">
        <f t="shared" ref="N2191:N2254" si="514">TEXT(LEFT(H2191,2),0)</f>
        <v/>
      </c>
      <c r="O2191" s="183" t="str">
        <f t="shared" ref="O2191:O2254" si="515">IF(ISNUMBER(M2191&gt;0),IF(ISBLANK(B2191),"יש להזין סמל מוסד בעמודה B",""),"")</f>
        <v/>
      </c>
      <c r="P2191" s="199" t="str">
        <f t="shared" ref="P2191:P2254" si="516">IF(B2191="","",IF(AA2191=FALSE,"לא תקין","תקין"))</f>
        <v/>
      </c>
      <c r="Q2191" s="199" t="str">
        <f>IF(B2191="","",IFERROR(IF('עלויות כח אדם (6)'!J2191&gt;=VLOOKUP(I2191,'סיווג התפקידים והעלויות'!$B$23:$C$32,2,0),"תקין","לא תקין"),""))</f>
        <v/>
      </c>
      <c r="R2191" s="199" t="str">
        <f t="shared" ref="R2191:R2254" si="517">IF(B2191="","",IF(OR(Y2191&lt;100%,Y2191&gt;140%),"לא תקין","תקין"))</f>
        <v/>
      </c>
      <c r="S2191" s="199" t="str">
        <f t="shared" ref="S2191:S2254" si="518">IF(B2191="","",IFERROR(IF(J2191&gt;120,"לא תקין","תקין"),""))</f>
        <v/>
      </c>
      <c r="T2191" s="199" t="str">
        <f t="shared" si="511"/>
        <v/>
      </c>
      <c r="U2191" s="199" t="str">
        <f t="shared" ref="U2191:U2254" si="519">IF(B2191="","",IF(Z2191&gt;1,IF(SUMIF(D:D,D2191,L:L)&gt;90,"לא תקין","תקין"),"תקין"))</f>
        <v/>
      </c>
      <c r="V2191" s="989"/>
      <c r="X2191" s="374" t="str">
        <f t="shared" ref="X2191:X2254" si="520">IF(B2191="","",IF(OR(R2191="לא תקין",S2191="לא תקין",T2191="לא תקין",,U2191="לא תקין"),"לא תקין","תקין"))</f>
        <v/>
      </c>
      <c r="Y2191" s="375" t="str">
        <f t="shared" ref="Y2191:Y2254" si="521">IFERROR(IF(B2191="","",K2191/J2191),"")</f>
        <v/>
      </c>
      <c r="Z2191" s="374" t="str">
        <f t="shared" ref="Z2191:Z2254" si="522">IF(B2191="","",COUNTIF(D:D,D2191))</f>
        <v/>
      </c>
      <c r="AA2191" s="374" t="b">
        <f t="shared" ref="AA2191:AA2254" si="523">MOD(MID(REPT(0,9-LEN(D2191))&amp;D2191,1,1)+MID("0246813579",MID(REPT(0,9-LEN(D2191))&amp;D2191,2,1)+1,1)+MID(REPT(0,9-LEN(D2191))&amp;D2191,3,1)+MID("0246813579",MID(REPT(0,9-LEN(D2191))&amp;D2191,4,1)+1,1)+MID(REPT(0,9-LEN(D2191))&amp;D2191,5,1)+MID("0246813579",MID(REPT(0,9-LEN(D2191))&amp;D2191,6,1)+1,1)+MID(REPT(0,9-LEN(D2191))&amp;D2191,7,1)+MID("0246813579",MID(REPT(0,9-LEN(D2191))&amp;D2191,8,1)+1,1)+MID(REPT(0,9-LEN(D2191))&amp;D2191,9,1),10)=0</f>
        <v>1</v>
      </c>
      <c r="AB2191" s="374">
        <f>COUNTIFS(B:B,B2191,H:H,'סיווג התפקידים והעלויות'!$C$2)</f>
        <v>0</v>
      </c>
      <c r="AC2191" s="374">
        <f>COUNTIFS(B:B,B2191,H:H,'סיווג התפקידים והעלויות'!$D$2)</f>
        <v>0</v>
      </c>
      <c r="AD2191" s="374" t="str">
        <f>IF(OR(AND(H2191='סיווג התפקידים והעלויות'!$A$2,I2191='סיווג התפקידים והעלויות'!$A$3),'עלויות כח אדם (6)'!H2191='סיווג התפקידים והעלויות'!$C$2,'עלויות כח אדם (6)'!H2191='סיווג התפקידים והעלויות'!$D$2),IF('עלויות כח אדם (6)'!J2191&lt;75,"לא תקין","תקין"),"")</f>
        <v/>
      </c>
      <c r="AE2191" s="374" t="str">
        <f t="shared" ref="AE2191:AE2254" si="524">IF(B2191&lt;&gt;"",B2191&amp;H2191,"")</f>
        <v/>
      </c>
      <c r="AF2191" s="532" t="str">
        <f t="shared" ref="AF2191:AF2254" si="525">M2191</f>
        <v/>
      </c>
    </row>
    <row r="2192" spans="2:32" x14ac:dyDescent="0.25">
      <c r="B2192" s="695"/>
      <c r="C2192" s="197" t="str">
        <f>IF(B2192&lt;&gt;"",IFERROR(VLOOKUP(B:B,'מצבת והרשמה (2)'!$C$20:$N$520,2,0)," ")," ")</f>
        <v xml:space="preserve"> </v>
      </c>
      <c r="D2192" s="695"/>
      <c r="E2192" s="696"/>
      <c r="F2192" s="696"/>
      <c r="G2192" s="696"/>
      <c r="H2192" s="696"/>
      <c r="I2192" s="1050" t="str">
        <f t="shared" si="512"/>
        <v/>
      </c>
      <c r="J2192" s="696"/>
      <c r="K2192" s="697"/>
      <c r="L2192" s="696"/>
      <c r="M2192" s="198" t="str">
        <f t="shared" si="513"/>
        <v/>
      </c>
      <c r="N2192" s="369" t="str">
        <f t="shared" si="514"/>
        <v/>
      </c>
      <c r="O2192" s="183" t="str">
        <f t="shared" si="515"/>
        <v/>
      </c>
      <c r="P2192" s="199" t="str">
        <f t="shared" si="516"/>
        <v/>
      </c>
      <c r="Q2192" s="199" t="str">
        <f>IF(B2192="","",IFERROR(IF('עלויות כח אדם (6)'!J2192&gt;=VLOOKUP(I2192,'סיווג התפקידים והעלויות'!$B$23:$C$32,2,0),"תקין","לא תקין"),""))</f>
        <v/>
      </c>
      <c r="R2192" s="199" t="str">
        <f t="shared" si="517"/>
        <v/>
      </c>
      <c r="S2192" s="199" t="str">
        <f t="shared" si="518"/>
        <v/>
      </c>
      <c r="T2192" s="199" t="str">
        <f t="shared" ref="T2192:T2255" si="526">IF(B2192="","",IF(H2192="","יש להזין איש צוות",IF(OR(H2192="מורה",H2192="גננת",H2192="רכז גן",H2192="רכזת גן",H2192="סייעת",H2192="מדצית",H2192="מדצ",H2192="מדריך",H2192="מדריכה",H2192="תוספת כח אדם"),IF(L2192&lt;=90,"תקין","לא תקין"),IF(OR(H2192="רכז בית ספר",H2192="רכזת תכנית בבית הספר",H2192="רכזת בית ספר"),IF(L2192&lt;=137,"תקין","לא תקין"),IF(OR(H2192="סגנית רכזת מעל 150",H2192="סגן רכז"),IF(L2192&lt;=93,"תקין","לא תקין"),"לא תקין")))))</f>
        <v/>
      </c>
      <c r="U2192" s="199" t="str">
        <f t="shared" si="519"/>
        <v/>
      </c>
      <c r="V2192" s="989"/>
      <c r="X2192" s="374" t="str">
        <f t="shared" si="520"/>
        <v/>
      </c>
      <c r="Y2192" s="375" t="str">
        <f t="shared" si="521"/>
        <v/>
      </c>
      <c r="Z2192" s="374" t="str">
        <f t="shared" si="522"/>
        <v/>
      </c>
      <c r="AA2192" s="374" t="b">
        <f t="shared" si="523"/>
        <v>1</v>
      </c>
      <c r="AB2192" s="374">
        <f>COUNTIFS(B:B,B2192,H:H,'סיווג התפקידים והעלויות'!$C$2)</f>
        <v>0</v>
      </c>
      <c r="AC2192" s="374">
        <f>COUNTIFS(B:B,B2192,H:H,'סיווג התפקידים והעלויות'!$D$2)</f>
        <v>0</v>
      </c>
      <c r="AD2192" s="374" t="str">
        <f>IF(OR(AND(H2192='סיווג התפקידים והעלויות'!$A$2,I2192='סיווג התפקידים והעלויות'!$A$3),'עלויות כח אדם (6)'!H2192='סיווג התפקידים והעלויות'!$C$2,'עלויות כח אדם (6)'!H2192='סיווג התפקידים והעלויות'!$D$2),IF('עלויות כח אדם (6)'!J2192&lt;75,"לא תקין","תקין"),"")</f>
        <v/>
      </c>
      <c r="AE2192" s="374" t="str">
        <f t="shared" si="524"/>
        <v/>
      </c>
      <c r="AF2192" s="532" t="str">
        <f t="shared" si="525"/>
        <v/>
      </c>
    </row>
    <row r="2193" spans="2:32" x14ac:dyDescent="0.25">
      <c r="B2193" s="695"/>
      <c r="C2193" s="197" t="str">
        <f>IF(B2193&lt;&gt;"",IFERROR(VLOOKUP(B:B,'מצבת והרשמה (2)'!$C$20:$N$520,2,0)," ")," ")</f>
        <v xml:space="preserve"> </v>
      </c>
      <c r="D2193" s="695"/>
      <c r="E2193" s="696"/>
      <c r="F2193" s="696"/>
      <c r="G2193" s="696"/>
      <c r="H2193" s="696"/>
      <c r="I2193" s="1050" t="str">
        <f t="shared" si="512"/>
        <v/>
      </c>
      <c r="J2193" s="696"/>
      <c r="K2193" s="697"/>
      <c r="L2193" s="696"/>
      <c r="M2193" s="198" t="str">
        <f t="shared" si="513"/>
        <v/>
      </c>
      <c r="N2193" s="369" t="str">
        <f t="shared" si="514"/>
        <v/>
      </c>
      <c r="O2193" s="183" t="str">
        <f t="shared" si="515"/>
        <v/>
      </c>
      <c r="P2193" s="199" t="str">
        <f t="shared" si="516"/>
        <v/>
      </c>
      <c r="Q2193" s="199" t="str">
        <f>IF(B2193="","",IFERROR(IF('עלויות כח אדם (6)'!J2193&gt;=VLOOKUP(I2193,'סיווג התפקידים והעלויות'!$B$23:$C$32,2,0),"תקין","לא תקין"),""))</f>
        <v/>
      </c>
      <c r="R2193" s="199" t="str">
        <f t="shared" si="517"/>
        <v/>
      </c>
      <c r="S2193" s="199" t="str">
        <f t="shared" si="518"/>
        <v/>
      </c>
      <c r="T2193" s="199" t="str">
        <f t="shared" si="526"/>
        <v/>
      </c>
      <c r="U2193" s="199" t="str">
        <f t="shared" si="519"/>
        <v/>
      </c>
      <c r="V2193" s="989"/>
      <c r="X2193" s="374" t="str">
        <f t="shared" si="520"/>
        <v/>
      </c>
      <c r="Y2193" s="375" t="str">
        <f t="shared" si="521"/>
        <v/>
      </c>
      <c r="Z2193" s="374" t="str">
        <f t="shared" si="522"/>
        <v/>
      </c>
      <c r="AA2193" s="374" t="b">
        <f t="shared" si="523"/>
        <v>1</v>
      </c>
      <c r="AB2193" s="374">
        <f>COUNTIFS(B:B,B2193,H:H,'סיווג התפקידים והעלויות'!$C$2)</f>
        <v>0</v>
      </c>
      <c r="AC2193" s="374">
        <f>COUNTIFS(B:B,B2193,H:H,'סיווג התפקידים והעלויות'!$D$2)</f>
        <v>0</v>
      </c>
      <c r="AD2193" s="374" t="str">
        <f>IF(OR(AND(H2193='סיווג התפקידים והעלויות'!$A$2,I2193='סיווג התפקידים והעלויות'!$A$3),'עלויות כח אדם (6)'!H2193='סיווג התפקידים והעלויות'!$C$2,'עלויות כח אדם (6)'!H2193='סיווג התפקידים והעלויות'!$D$2),IF('עלויות כח אדם (6)'!J2193&lt;75,"לא תקין","תקין"),"")</f>
        <v/>
      </c>
      <c r="AE2193" s="374" t="str">
        <f t="shared" si="524"/>
        <v/>
      </c>
      <c r="AF2193" s="532" t="str">
        <f t="shared" si="525"/>
        <v/>
      </c>
    </row>
    <row r="2194" spans="2:32" x14ac:dyDescent="0.25">
      <c r="B2194" s="695"/>
      <c r="C2194" s="197" t="str">
        <f>IF(B2194&lt;&gt;"",IFERROR(VLOOKUP(B:B,'מצבת והרשמה (2)'!$C$20:$N$520,2,0)," ")," ")</f>
        <v xml:space="preserve"> </v>
      </c>
      <c r="D2194" s="695"/>
      <c r="E2194" s="696"/>
      <c r="F2194" s="696"/>
      <c r="G2194" s="696"/>
      <c r="H2194" s="696"/>
      <c r="I2194" s="1050" t="str">
        <f t="shared" si="512"/>
        <v/>
      </c>
      <c r="J2194" s="696"/>
      <c r="K2194" s="697"/>
      <c r="L2194" s="696"/>
      <c r="M2194" s="198" t="str">
        <f t="shared" si="513"/>
        <v/>
      </c>
      <c r="N2194" s="369" t="str">
        <f t="shared" si="514"/>
        <v/>
      </c>
      <c r="O2194" s="183" t="str">
        <f t="shared" si="515"/>
        <v/>
      </c>
      <c r="P2194" s="199" t="str">
        <f t="shared" si="516"/>
        <v/>
      </c>
      <c r="Q2194" s="199" t="str">
        <f>IF(B2194="","",IFERROR(IF('עלויות כח אדם (6)'!J2194&gt;=VLOOKUP(I2194,'סיווג התפקידים והעלויות'!$B$23:$C$32,2,0),"תקין","לא תקין"),""))</f>
        <v/>
      </c>
      <c r="R2194" s="199" t="str">
        <f t="shared" si="517"/>
        <v/>
      </c>
      <c r="S2194" s="199" t="str">
        <f t="shared" si="518"/>
        <v/>
      </c>
      <c r="T2194" s="199" t="str">
        <f t="shared" si="526"/>
        <v/>
      </c>
      <c r="U2194" s="199" t="str">
        <f t="shared" si="519"/>
        <v/>
      </c>
      <c r="V2194" s="989"/>
      <c r="X2194" s="374" t="str">
        <f t="shared" si="520"/>
        <v/>
      </c>
      <c r="Y2194" s="375" t="str">
        <f t="shared" si="521"/>
        <v/>
      </c>
      <c r="Z2194" s="374" t="str">
        <f t="shared" si="522"/>
        <v/>
      </c>
      <c r="AA2194" s="374" t="b">
        <f t="shared" si="523"/>
        <v>1</v>
      </c>
      <c r="AB2194" s="374">
        <f>COUNTIFS(B:B,B2194,H:H,'סיווג התפקידים והעלויות'!$C$2)</f>
        <v>0</v>
      </c>
      <c r="AC2194" s="374">
        <f>COUNTIFS(B:B,B2194,H:H,'סיווג התפקידים והעלויות'!$D$2)</f>
        <v>0</v>
      </c>
      <c r="AD2194" s="374" t="str">
        <f>IF(OR(AND(H2194='סיווג התפקידים והעלויות'!$A$2,I2194='סיווג התפקידים והעלויות'!$A$3),'עלויות כח אדם (6)'!H2194='סיווג התפקידים והעלויות'!$C$2,'עלויות כח אדם (6)'!H2194='סיווג התפקידים והעלויות'!$D$2),IF('עלויות כח אדם (6)'!J2194&lt;75,"לא תקין","תקין"),"")</f>
        <v/>
      </c>
      <c r="AE2194" s="374" t="str">
        <f t="shared" si="524"/>
        <v/>
      </c>
      <c r="AF2194" s="532" t="str">
        <f t="shared" si="525"/>
        <v/>
      </c>
    </row>
    <row r="2195" spans="2:32" x14ac:dyDescent="0.25">
      <c r="B2195" s="695"/>
      <c r="C2195" s="197" t="str">
        <f>IF(B2195&lt;&gt;"",IFERROR(VLOOKUP(B:B,'מצבת והרשמה (2)'!$C$20:$N$520,2,0)," ")," ")</f>
        <v xml:space="preserve"> </v>
      </c>
      <c r="D2195" s="695"/>
      <c r="E2195" s="696"/>
      <c r="F2195" s="696"/>
      <c r="G2195" s="696"/>
      <c r="H2195" s="696"/>
      <c r="I2195" s="1050" t="str">
        <f t="shared" si="512"/>
        <v/>
      </c>
      <c r="J2195" s="696"/>
      <c r="K2195" s="697"/>
      <c r="L2195" s="696"/>
      <c r="M2195" s="198" t="str">
        <f t="shared" si="513"/>
        <v/>
      </c>
      <c r="N2195" s="369" t="str">
        <f t="shared" si="514"/>
        <v/>
      </c>
      <c r="O2195" s="183" t="str">
        <f t="shared" si="515"/>
        <v/>
      </c>
      <c r="P2195" s="199" t="str">
        <f t="shared" si="516"/>
        <v/>
      </c>
      <c r="Q2195" s="199" t="str">
        <f>IF(B2195="","",IFERROR(IF('עלויות כח אדם (6)'!J2195&gt;=VLOOKUP(I2195,'סיווג התפקידים והעלויות'!$B$23:$C$32,2,0),"תקין","לא תקין"),""))</f>
        <v/>
      </c>
      <c r="R2195" s="199" t="str">
        <f t="shared" si="517"/>
        <v/>
      </c>
      <c r="S2195" s="199" t="str">
        <f t="shared" si="518"/>
        <v/>
      </c>
      <c r="T2195" s="199" t="str">
        <f t="shared" si="526"/>
        <v/>
      </c>
      <c r="U2195" s="199" t="str">
        <f t="shared" si="519"/>
        <v/>
      </c>
      <c r="V2195" s="989"/>
      <c r="X2195" s="374" t="str">
        <f t="shared" si="520"/>
        <v/>
      </c>
      <c r="Y2195" s="375" t="str">
        <f t="shared" si="521"/>
        <v/>
      </c>
      <c r="Z2195" s="374" t="str">
        <f t="shared" si="522"/>
        <v/>
      </c>
      <c r="AA2195" s="374" t="b">
        <f t="shared" si="523"/>
        <v>1</v>
      </c>
      <c r="AB2195" s="374">
        <f>COUNTIFS(B:B,B2195,H:H,'סיווג התפקידים והעלויות'!$C$2)</f>
        <v>0</v>
      </c>
      <c r="AC2195" s="374">
        <f>COUNTIFS(B:B,B2195,H:H,'סיווג התפקידים והעלויות'!$D$2)</f>
        <v>0</v>
      </c>
      <c r="AD2195" s="374" t="str">
        <f>IF(OR(AND(H2195='סיווג התפקידים והעלויות'!$A$2,I2195='סיווג התפקידים והעלויות'!$A$3),'עלויות כח אדם (6)'!H2195='סיווג התפקידים והעלויות'!$C$2,'עלויות כח אדם (6)'!H2195='סיווג התפקידים והעלויות'!$D$2),IF('עלויות כח אדם (6)'!J2195&lt;75,"לא תקין","תקין"),"")</f>
        <v/>
      </c>
      <c r="AE2195" s="374" t="str">
        <f t="shared" si="524"/>
        <v/>
      </c>
      <c r="AF2195" s="532" t="str">
        <f t="shared" si="525"/>
        <v/>
      </c>
    </row>
    <row r="2196" spans="2:32" x14ac:dyDescent="0.25">
      <c r="B2196" s="695"/>
      <c r="C2196" s="197" t="str">
        <f>IF(B2196&lt;&gt;"",IFERROR(VLOOKUP(B:B,'מצבת והרשמה (2)'!$C$20:$N$520,2,0)," ")," ")</f>
        <v xml:space="preserve"> </v>
      </c>
      <c r="D2196" s="695"/>
      <c r="E2196" s="696"/>
      <c r="F2196" s="696"/>
      <c r="G2196" s="696"/>
      <c r="H2196" s="696"/>
      <c r="I2196" s="1050" t="str">
        <f t="shared" si="512"/>
        <v/>
      </c>
      <c r="J2196" s="696"/>
      <c r="K2196" s="697"/>
      <c r="L2196" s="696"/>
      <c r="M2196" s="198" t="str">
        <f t="shared" si="513"/>
        <v/>
      </c>
      <c r="N2196" s="369" t="str">
        <f t="shared" si="514"/>
        <v/>
      </c>
      <c r="O2196" s="183" t="str">
        <f t="shared" si="515"/>
        <v/>
      </c>
      <c r="P2196" s="199" t="str">
        <f t="shared" si="516"/>
        <v/>
      </c>
      <c r="Q2196" s="199" t="str">
        <f>IF(B2196="","",IFERROR(IF('עלויות כח אדם (6)'!J2196&gt;=VLOOKUP(I2196,'סיווג התפקידים והעלויות'!$B$23:$C$32,2,0),"תקין","לא תקין"),""))</f>
        <v/>
      </c>
      <c r="R2196" s="199" t="str">
        <f t="shared" si="517"/>
        <v/>
      </c>
      <c r="S2196" s="199" t="str">
        <f t="shared" si="518"/>
        <v/>
      </c>
      <c r="T2196" s="199" t="str">
        <f t="shared" si="526"/>
        <v/>
      </c>
      <c r="U2196" s="199" t="str">
        <f t="shared" si="519"/>
        <v/>
      </c>
      <c r="V2196" s="989"/>
      <c r="X2196" s="374" t="str">
        <f t="shared" si="520"/>
        <v/>
      </c>
      <c r="Y2196" s="375" t="str">
        <f t="shared" si="521"/>
        <v/>
      </c>
      <c r="Z2196" s="374" t="str">
        <f t="shared" si="522"/>
        <v/>
      </c>
      <c r="AA2196" s="374" t="b">
        <f t="shared" si="523"/>
        <v>1</v>
      </c>
      <c r="AB2196" s="374">
        <f>COUNTIFS(B:B,B2196,H:H,'סיווג התפקידים והעלויות'!$C$2)</f>
        <v>0</v>
      </c>
      <c r="AC2196" s="374">
        <f>COUNTIFS(B:B,B2196,H:H,'סיווג התפקידים והעלויות'!$D$2)</f>
        <v>0</v>
      </c>
      <c r="AD2196" s="374" t="str">
        <f>IF(OR(AND(H2196='סיווג התפקידים והעלויות'!$A$2,I2196='סיווג התפקידים והעלויות'!$A$3),'עלויות כח אדם (6)'!H2196='סיווג התפקידים והעלויות'!$C$2,'עלויות כח אדם (6)'!H2196='סיווג התפקידים והעלויות'!$D$2),IF('עלויות כח אדם (6)'!J2196&lt;75,"לא תקין","תקין"),"")</f>
        <v/>
      </c>
      <c r="AE2196" s="374" t="str">
        <f t="shared" si="524"/>
        <v/>
      </c>
      <c r="AF2196" s="532" t="str">
        <f t="shared" si="525"/>
        <v/>
      </c>
    </row>
    <row r="2197" spans="2:32" x14ac:dyDescent="0.25">
      <c r="B2197" s="695"/>
      <c r="C2197" s="197" t="str">
        <f>IF(B2197&lt;&gt;"",IFERROR(VLOOKUP(B:B,'מצבת והרשמה (2)'!$C$20:$N$520,2,0)," ")," ")</f>
        <v xml:space="preserve"> </v>
      </c>
      <c r="D2197" s="695"/>
      <c r="E2197" s="696"/>
      <c r="F2197" s="696"/>
      <c r="G2197" s="696"/>
      <c r="H2197" s="696"/>
      <c r="I2197" s="1050" t="str">
        <f t="shared" si="512"/>
        <v/>
      </c>
      <c r="J2197" s="696"/>
      <c r="K2197" s="697"/>
      <c r="L2197" s="696"/>
      <c r="M2197" s="198" t="str">
        <f t="shared" si="513"/>
        <v/>
      </c>
      <c r="N2197" s="369" t="str">
        <f t="shared" si="514"/>
        <v/>
      </c>
      <c r="O2197" s="183" t="str">
        <f t="shared" si="515"/>
        <v/>
      </c>
      <c r="P2197" s="199" t="str">
        <f t="shared" si="516"/>
        <v/>
      </c>
      <c r="Q2197" s="199" t="str">
        <f>IF(B2197="","",IFERROR(IF('עלויות כח אדם (6)'!J2197&gt;=VLOOKUP(I2197,'סיווג התפקידים והעלויות'!$B$23:$C$32,2,0),"תקין","לא תקין"),""))</f>
        <v/>
      </c>
      <c r="R2197" s="199" t="str">
        <f t="shared" si="517"/>
        <v/>
      </c>
      <c r="S2197" s="199" t="str">
        <f t="shared" si="518"/>
        <v/>
      </c>
      <c r="T2197" s="199" t="str">
        <f t="shared" si="526"/>
        <v/>
      </c>
      <c r="U2197" s="199" t="str">
        <f t="shared" si="519"/>
        <v/>
      </c>
      <c r="V2197" s="989"/>
      <c r="X2197" s="374" t="str">
        <f t="shared" si="520"/>
        <v/>
      </c>
      <c r="Y2197" s="375" t="str">
        <f t="shared" si="521"/>
        <v/>
      </c>
      <c r="Z2197" s="374" t="str">
        <f t="shared" si="522"/>
        <v/>
      </c>
      <c r="AA2197" s="374" t="b">
        <f t="shared" si="523"/>
        <v>1</v>
      </c>
      <c r="AB2197" s="374">
        <f>COUNTIFS(B:B,B2197,H:H,'סיווג התפקידים והעלויות'!$C$2)</f>
        <v>0</v>
      </c>
      <c r="AC2197" s="374">
        <f>COUNTIFS(B:B,B2197,H:H,'סיווג התפקידים והעלויות'!$D$2)</f>
        <v>0</v>
      </c>
      <c r="AD2197" s="374" t="str">
        <f>IF(OR(AND(H2197='סיווג התפקידים והעלויות'!$A$2,I2197='סיווג התפקידים והעלויות'!$A$3),'עלויות כח אדם (6)'!H2197='סיווג התפקידים והעלויות'!$C$2,'עלויות כח אדם (6)'!H2197='סיווג התפקידים והעלויות'!$D$2),IF('עלויות כח אדם (6)'!J2197&lt;75,"לא תקין","תקין"),"")</f>
        <v/>
      </c>
      <c r="AE2197" s="374" t="str">
        <f t="shared" si="524"/>
        <v/>
      </c>
      <c r="AF2197" s="532" t="str">
        <f t="shared" si="525"/>
        <v/>
      </c>
    </row>
    <row r="2198" spans="2:32" x14ac:dyDescent="0.25">
      <c r="B2198" s="695"/>
      <c r="C2198" s="197" t="str">
        <f>IF(B2198&lt;&gt;"",IFERROR(VLOOKUP(B:B,'מצבת והרשמה (2)'!$C$20:$N$520,2,0)," ")," ")</f>
        <v xml:space="preserve"> </v>
      </c>
      <c r="D2198" s="695"/>
      <c r="E2198" s="696"/>
      <c r="F2198" s="696"/>
      <c r="G2198" s="696"/>
      <c r="H2198" s="696"/>
      <c r="I2198" s="1050" t="str">
        <f t="shared" si="512"/>
        <v/>
      </c>
      <c r="J2198" s="696"/>
      <c r="K2198" s="697"/>
      <c r="L2198" s="696"/>
      <c r="M2198" s="198" t="str">
        <f t="shared" si="513"/>
        <v/>
      </c>
      <c r="N2198" s="369" t="str">
        <f t="shared" si="514"/>
        <v/>
      </c>
      <c r="O2198" s="183" t="str">
        <f t="shared" si="515"/>
        <v/>
      </c>
      <c r="P2198" s="199" t="str">
        <f t="shared" si="516"/>
        <v/>
      </c>
      <c r="Q2198" s="199" t="str">
        <f>IF(B2198="","",IFERROR(IF('עלויות כח אדם (6)'!J2198&gt;=VLOOKUP(I2198,'סיווג התפקידים והעלויות'!$B$23:$C$32,2,0),"תקין","לא תקין"),""))</f>
        <v/>
      </c>
      <c r="R2198" s="199" t="str">
        <f t="shared" si="517"/>
        <v/>
      </c>
      <c r="S2198" s="199" t="str">
        <f t="shared" si="518"/>
        <v/>
      </c>
      <c r="T2198" s="199" t="str">
        <f t="shared" si="526"/>
        <v/>
      </c>
      <c r="U2198" s="199" t="str">
        <f t="shared" si="519"/>
        <v/>
      </c>
      <c r="V2198" s="989"/>
      <c r="X2198" s="374" t="str">
        <f t="shared" si="520"/>
        <v/>
      </c>
      <c r="Y2198" s="375" t="str">
        <f t="shared" si="521"/>
        <v/>
      </c>
      <c r="Z2198" s="374" t="str">
        <f t="shared" si="522"/>
        <v/>
      </c>
      <c r="AA2198" s="374" t="b">
        <f t="shared" si="523"/>
        <v>1</v>
      </c>
      <c r="AB2198" s="374">
        <f>COUNTIFS(B:B,B2198,H:H,'סיווג התפקידים והעלויות'!$C$2)</f>
        <v>0</v>
      </c>
      <c r="AC2198" s="374">
        <f>COUNTIFS(B:B,B2198,H:H,'סיווג התפקידים והעלויות'!$D$2)</f>
        <v>0</v>
      </c>
      <c r="AD2198" s="374" t="str">
        <f>IF(OR(AND(H2198='סיווג התפקידים והעלויות'!$A$2,I2198='סיווג התפקידים והעלויות'!$A$3),'עלויות כח אדם (6)'!H2198='סיווג התפקידים והעלויות'!$C$2,'עלויות כח אדם (6)'!H2198='סיווג התפקידים והעלויות'!$D$2),IF('עלויות כח אדם (6)'!J2198&lt;75,"לא תקין","תקין"),"")</f>
        <v/>
      </c>
      <c r="AE2198" s="374" t="str">
        <f t="shared" si="524"/>
        <v/>
      </c>
      <c r="AF2198" s="532" t="str">
        <f t="shared" si="525"/>
        <v/>
      </c>
    </row>
    <row r="2199" spans="2:32" x14ac:dyDescent="0.25">
      <c r="B2199" s="695"/>
      <c r="C2199" s="197" t="str">
        <f>IF(B2199&lt;&gt;"",IFERROR(VLOOKUP(B:B,'מצבת והרשמה (2)'!$C$20:$N$520,2,0)," ")," ")</f>
        <v xml:space="preserve"> </v>
      </c>
      <c r="D2199" s="695"/>
      <c r="E2199" s="696"/>
      <c r="F2199" s="696"/>
      <c r="G2199" s="696"/>
      <c r="H2199" s="696"/>
      <c r="I2199" s="1050" t="str">
        <f t="shared" si="512"/>
        <v/>
      </c>
      <c r="J2199" s="696"/>
      <c r="K2199" s="697"/>
      <c r="L2199" s="696"/>
      <c r="M2199" s="198" t="str">
        <f t="shared" si="513"/>
        <v/>
      </c>
      <c r="N2199" s="369" t="str">
        <f t="shared" si="514"/>
        <v/>
      </c>
      <c r="O2199" s="183" t="str">
        <f t="shared" si="515"/>
        <v/>
      </c>
      <c r="P2199" s="199" t="str">
        <f t="shared" si="516"/>
        <v/>
      </c>
      <c r="Q2199" s="199" t="str">
        <f>IF(B2199="","",IFERROR(IF('עלויות כח אדם (6)'!J2199&gt;=VLOOKUP(I2199,'סיווג התפקידים והעלויות'!$B$23:$C$32,2,0),"תקין","לא תקין"),""))</f>
        <v/>
      </c>
      <c r="R2199" s="199" t="str">
        <f t="shared" si="517"/>
        <v/>
      </c>
      <c r="S2199" s="199" t="str">
        <f t="shared" si="518"/>
        <v/>
      </c>
      <c r="T2199" s="199" t="str">
        <f t="shared" si="526"/>
        <v/>
      </c>
      <c r="U2199" s="199" t="str">
        <f t="shared" si="519"/>
        <v/>
      </c>
      <c r="V2199" s="989"/>
      <c r="X2199" s="374" t="str">
        <f t="shared" si="520"/>
        <v/>
      </c>
      <c r="Y2199" s="375" t="str">
        <f t="shared" si="521"/>
        <v/>
      </c>
      <c r="Z2199" s="374" t="str">
        <f t="shared" si="522"/>
        <v/>
      </c>
      <c r="AA2199" s="374" t="b">
        <f t="shared" si="523"/>
        <v>1</v>
      </c>
      <c r="AB2199" s="374">
        <f>COUNTIFS(B:B,B2199,H:H,'סיווג התפקידים והעלויות'!$C$2)</f>
        <v>0</v>
      </c>
      <c r="AC2199" s="374">
        <f>COUNTIFS(B:B,B2199,H:H,'סיווג התפקידים והעלויות'!$D$2)</f>
        <v>0</v>
      </c>
      <c r="AD2199" s="374" t="str">
        <f>IF(OR(AND(H2199='סיווג התפקידים והעלויות'!$A$2,I2199='סיווג התפקידים והעלויות'!$A$3),'עלויות כח אדם (6)'!H2199='סיווג התפקידים והעלויות'!$C$2,'עלויות כח אדם (6)'!H2199='סיווג התפקידים והעלויות'!$D$2),IF('עלויות כח אדם (6)'!J2199&lt;75,"לא תקין","תקין"),"")</f>
        <v/>
      </c>
      <c r="AE2199" s="374" t="str">
        <f t="shared" si="524"/>
        <v/>
      </c>
      <c r="AF2199" s="532" t="str">
        <f t="shared" si="525"/>
        <v/>
      </c>
    </row>
    <row r="2200" spans="2:32" x14ac:dyDescent="0.25">
      <c r="B2200" s="695"/>
      <c r="C2200" s="197" t="str">
        <f>IF(B2200&lt;&gt;"",IFERROR(VLOOKUP(B:B,'מצבת והרשמה (2)'!$C$20:$N$520,2,0)," ")," ")</f>
        <v xml:space="preserve"> </v>
      </c>
      <c r="D2200" s="695"/>
      <c r="E2200" s="696"/>
      <c r="F2200" s="696"/>
      <c r="G2200" s="696"/>
      <c r="H2200" s="696"/>
      <c r="I2200" s="1050" t="str">
        <f t="shared" si="512"/>
        <v/>
      </c>
      <c r="J2200" s="696"/>
      <c r="K2200" s="697"/>
      <c r="L2200" s="696"/>
      <c r="M2200" s="198" t="str">
        <f t="shared" si="513"/>
        <v/>
      </c>
      <c r="N2200" s="369" t="str">
        <f t="shared" si="514"/>
        <v/>
      </c>
      <c r="O2200" s="183" t="str">
        <f t="shared" si="515"/>
        <v/>
      </c>
      <c r="P2200" s="199" t="str">
        <f t="shared" si="516"/>
        <v/>
      </c>
      <c r="Q2200" s="199" t="str">
        <f>IF(B2200="","",IFERROR(IF('עלויות כח אדם (6)'!J2200&gt;=VLOOKUP(I2200,'סיווג התפקידים והעלויות'!$B$23:$C$32,2,0),"תקין","לא תקין"),""))</f>
        <v/>
      </c>
      <c r="R2200" s="199" t="str">
        <f t="shared" si="517"/>
        <v/>
      </c>
      <c r="S2200" s="199" t="str">
        <f t="shared" si="518"/>
        <v/>
      </c>
      <c r="T2200" s="199" t="str">
        <f t="shared" si="526"/>
        <v/>
      </c>
      <c r="U2200" s="199" t="str">
        <f t="shared" si="519"/>
        <v/>
      </c>
      <c r="V2200" s="989"/>
      <c r="X2200" s="374" t="str">
        <f t="shared" si="520"/>
        <v/>
      </c>
      <c r="Y2200" s="375" t="str">
        <f t="shared" si="521"/>
        <v/>
      </c>
      <c r="Z2200" s="374" t="str">
        <f t="shared" si="522"/>
        <v/>
      </c>
      <c r="AA2200" s="374" t="b">
        <f t="shared" si="523"/>
        <v>1</v>
      </c>
      <c r="AB2200" s="374">
        <f>COUNTIFS(B:B,B2200,H:H,'סיווג התפקידים והעלויות'!$C$2)</f>
        <v>0</v>
      </c>
      <c r="AC2200" s="374">
        <f>COUNTIFS(B:B,B2200,H:H,'סיווג התפקידים והעלויות'!$D$2)</f>
        <v>0</v>
      </c>
      <c r="AD2200" s="374" t="str">
        <f>IF(OR(AND(H2200='סיווג התפקידים והעלויות'!$A$2,I2200='סיווג התפקידים והעלויות'!$A$3),'עלויות כח אדם (6)'!H2200='סיווג התפקידים והעלויות'!$C$2,'עלויות כח אדם (6)'!H2200='סיווג התפקידים והעלויות'!$D$2),IF('עלויות כח אדם (6)'!J2200&lt;75,"לא תקין","תקין"),"")</f>
        <v/>
      </c>
      <c r="AE2200" s="374" t="str">
        <f t="shared" si="524"/>
        <v/>
      </c>
      <c r="AF2200" s="532" t="str">
        <f t="shared" si="525"/>
        <v/>
      </c>
    </row>
    <row r="2201" spans="2:32" x14ac:dyDescent="0.25">
      <c r="B2201" s="695"/>
      <c r="C2201" s="197" t="str">
        <f>IF(B2201&lt;&gt;"",IFERROR(VLOOKUP(B:B,'מצבת והרשמה (2)'!$C$20:$N$520,2,0)," ")," ")</f>
        <v xml:space="preserve"> </v>
      </c>
      <c r="D2201" s="695"/>
      <c r="E2201" s="696"/>
      <c r="F2201" s="696"/>
      <c r="G2201" s="696"/>
      <c r="H2201" s="696"/>
      <c r="I2201" s="1050" t="str">
        <f t="shared" si="512"/>
        <v/>
      </c>
      <c r="J2201" s="696"/>
      <c r="K2201" s="697"/>
      <c r="L2201" s="696"/>
      <c r="M2201" s="198" t="str">
        <f t="shared" si="513"/>
        <v/>
      </c>
      <c r="N2201" s="369" t="str">
        <f t="shared" si="514"/>
        <v/>
      </c>
      <c r="O2201" s="183" t="str">
        <f t="shared" si="515"/>
        <v/>
      </c>
      <c r="P2201" s="199" t="str">
        <f t="shared" si="516"/>
        <v/>
      </c>
      <c r="Q2201" s="199" t="str">
        <f>IF(B2201="","",IFERROR(IF('עלויות כח אדם (6)'!J2201&gt;=VLOOKUP(I2201,'סיווג התפקידים והעלויות'!$B$23:$C$32,2,0),"תקין","לא תקין"),""))</f>
        <v/>
      </c>
      <c r="R2201" s="199" t="str">
        <f t="shared" si="517"/>
        <v/>
      </c>
      <c r="S2201" s="199" t="str">
        <f t="shared" si="518"/>
        <v/>
      </c>
      <c r="T2201" s="199" t="str">
        <f t="shared" si="526"/>
        <v/>
      </c>
      <c r="U2201" s="199" t="str">
        <f t="shared" si="519"/>
        <v/>
      </c>
      <c r="V2201" s="989"/>
      <c r="X2201" s="374" t="str">
        <f t="shared" si="520"/>
        <v/>
      </c>
      <c r="Y2201" s="375" t="str">
        <f t="shared" si="521"/>
        <v/>
      </c>
      <c r="Z2201" s="374" t="str">
        <f t="shared" si="522"/>
        <v/>
      </c>
      <c r="AA2201" s="374" t="b">
        <f t="shared" si="523"/>
        <v>1</v>
      </c>
      <c r="AB2201" s="374">
        <f>COUNTIFS(B:B,B2201,H:H,'סיווג התפקידים והעלויות'!$C$2)</f>
        <v>0</v>
      </c>
      <c r="AC2201" s="374">
        <f>COUNTIFS(B:B,B2201,H:H,'סיווג התפקידים והעלויות'!$D$2)</f>
        <v>0</v>
      </c>
      <c r="AD2201" s="374" t="str">
        <f>IF(OR(AND(H2201='סיווג התפקידים והעלויות'!$A$2,I2201='סיווג התפקידים והעלויות'!$A$3),'עלויות כח אדם (6)'!H2201='סיווג התפקידים והעלויות'!$C$2,'עלויות כח אדם (6)'!H2201='סיווג התפקידים והעלויות'!$D$2),IF('עלויות כח אדם (6)'!J2201&lt;75,"לא תקין","תקין"),"")</f>
        <v/>
      </c>
      <c r="AE2201" s="374" t="str">
        <f t="shared" si="524"/>
        <v/>
      </c>
      <c r="AF2201" s="532" t="str">
        <f t="shared" si="525"/>
        <v/>
      </c>
    </row>
    <row r="2202" spans="2:32" x14ac:dyDescent="0.25">
      <c r="B2202" s="695"/>
      <c r="C2202" s="197" t="str">
        <f>IF(B2202&lt;&gt;"",IFERROR(VLOOKUP(B:B,'מצבת והרשמה (2)'!$C$20:$N$520,2,0)," ")," ")</f>
        <v xml:space="preserve"> </v>
      </c>
      <c r="D2202" s="695"/>
      <c r="E2202" s="696"/>
      <c r="F2202" s="696"/>
      <c r="G2202" s="696"/>
      <c r="H2202" s="696"/>
      <c r="I2202" s="1050" t="str">
        <f t="shared" si="512"/>
        <v/>
      </c>
      <c r="J2202" s="696"/>
      <c r="K2202" s="697"/>
      <c r="L2202" s="696"/>
      <c r="M2202" s="198" t="str">
        <f t="shared" si="513"/>
        <v/>
      </c>
      <c r="N2202" s="369" t="str">
        <f t="shared" si="514"/>
        <v/>
      </c>
      <c r="O2202" s="183" t="str">
        <f t="shared" si="515"/>
        <v/>
      </c>
      <c r="P2202" s="199" t="str">
        <f t="shared" si="516"/>
        <v/>
      </c>
      <c r="Q2202" s="199" t="str">
        <f>IF(B2202="","",IFERROR(IF('עלויות כח אדם (6)'!J2202&gt;=VLOOKUP(I2202,'סיווג התפקידים והעלויות'!$B$23:$C$32,2,0),"תקין","לא תקין"),""))</f>
        <v/>
      </c>
      <c r="R2202" s="199" t="str">
        <f t="shared" si="517"/>
        <v/>
      </c>
      <c r="S2202" s="199" t="str">
        <f t="shared" si="518"/>
        <v/>
      </c>
      <c r="T2202" s="199" t="str">
        <f t="shared" si="526"/>
        <v/>
      </c>
      <c r="U2202" s="199" t="str">
        <f t="shared" si="519"/>
        <v/>
      </c>
      <c r="V2202" s="989"/>
      <c r="X2202" s="374" t="str">
        <f t="shared" si="520"/>
        <v/>
      </c>
      <c r="Y2202" s="375" t="str">
        <f t="shared" si="521"/>
        <v/>
      </c>
      <c r="Z2202" s="374" t="str">
        <f t="shared" si="522"/>
        <v/>
      </c>
      <c r="AA2202" s="374" t="b">
        <f t="shared" si="523"/>
        <v>1</v>
      </c>
      <c r="AB2202" s="374">
        <f>COUNTIFS(B:B,B2202,H:H,'סיווג התפקידים והעלויות'!$C$2)</f>
        <v>0</v>
      </c>
      <c r="AC2202" s="374">
        <f>COUNTIFS(B:B,B2202,H:H,'סיווג התפקידים והעלויות'!$D$2)</f>
        <v>0</v>
      </c>
      <c r="AD2202" s="374" t="str">
        <f>IF(OR(AND(H2202='סיווג התפקידים והעלויות'!$A$2,I2202='סיווג התפקידים והעלויות'!$A$3),'עלויות כח אדם (6)'!H2202='סיווג התפקידים והעלויות'!$C$2,'עלויות כח אדם (6)'!H2202='סיווג התפקידים והעלויות'!$D$2),IF('עלויות כח אדם (6)'!J2202&lt;75,"לא תקין","תקין"),"")</f>
        <v/>
      </c>
      <c r="AE2202" s="374" t="str">
        <f t="shared" si="524"/>
        <v/>
      </c>
      <c r="AF2202" s="532" t="str">
        <f t="shared" si="525"/>
        <v/>
      </c>
    </row>
    <row r="2203" spans="2:32" x14ac:dyDescent="0.25">
      <c r="B2203" s="695"/>
      <c r="C2203" s="197" t="str">
        <f>IF(B2203&lt;&gt;"",IFERROR(VLOOKUP(B:B,'מצבת והרשמה (2)'!$C$20:$N$520,2,0)," ")," ")</f>
        <v xml:space="preserve"> </v>
      </c>
      <c r="D2203" s="695"/>
      <c r="E2203" s="696"/>
      <c r="F2203" s="696"/>
      <c r="G2203" s="696"/>
      <c r="H2203" s="696"/>
      <c r="I2203" s="1050" t="str">
        <f t="shared" si="512"/>
        <v/>
      </c>
      <c r="J2203" s="696"/>
      <c r="K2203" s="697"/>
      <c r="L2203" s="696"/>
      <c r="M2203" s="198" t="str">
        <f t="shared" si="513"/>
        <v/>
      </c>
      <c r="N2203" s="369" t="str">
        <f t="shared" si="514"/>
        <v/>
      </c>
      <c r="O2203" s="183" t="str">
        <f t="shared" si="515"/>
        <v/>
      </c>
      <c r="P2203" s="199" t="str">
        <f t="shared" si="516"/>
        <v/>
      </c>
      <c r="Q2203" s="199" t="str">
        <f>IF(B2203="","",IFERROR(IF('עלויות כח אדם (6)'!J2203&gt;=VLOOKUP(I2203,'סיווג התפקידים והעלויות'!$B$23:$C$32,2,0),"תקין","לא תקין"),""))</f>
        <v/>
      </c>
      <c r="R2203" s="199" t="str">
        <f t="shared" si="517"/>
        <v/>
      </c>
      <c r="S2203" s="199" t="str">
        <f t="shared" si="518"/>
        <v/>
      </c>
      <c r="T2203" s="199" t="str">
        <f t="shared" si="526"/>
        <v/>
      </c>
      <c r="U2203" s="199" t="str">
        <f t="shared" si="519"/>
        <v/>
      </c>
      <c r="V2203" s="989"/>
      <c r="X2203" s="374" t="str">
        <f t="shared" si="520"/>
        <v/>
      </c>
      <c r="Y2203" s="375" t="str">
        <f t="shared" si="521"/>
        <v/>
      </c>
      <c r="Z2203" s="374" t="str">
        <f t="shared" si="522"/>
        <v/>
      </c>
      <c r="AA2203" s="374" t="b">
        <f t="shared" si="523"/>
        <v>1</v>
      </c>
      <c r="AB2203" s="374">
        <f>COUNTIFS(B:B,B2203,H:H,'סיווג התפקידים והעלויות'!$C$2)</f>
        <v>0</v>
      </c>
      <c r="AC2203" s="374">
        <f>COUNTIFS(B:B,B2203,H:H,'סיווג התפקידים והעלויות'!$D$2)</f>
        <v>0</v>
      </c>
      <c r="AD2203" s="374" t="str">
        <f>IF(OR(AND(H2203='סיווג התפקידים והעלויות'!$A$2,I2203='סיווג התפקידים והעלויות'!$A$3),'עלויות כח אדם (6)'!H2203='סיווג התפקידים והעלויות'!$C$2,'עלויות כח אדם (6)'!H2203='סיווג התפקידים והעלויות'!$D$2),IF('עלויות כח אדם (6)'!J2203&lt;75,"לא תקין","תקין"),"")</f>
        <v/>
      </c>
      <c r="AE2203" s="374" t="str">
        <f t="shared" si="524"/>
        <v/>
      </c>
      <c r="AF2203" s="532" t="str">
        <f t="shared" si="525"/>
        <v/>
      </c>
    </row>
    <row r="2204" spans="2:32" x14ac:dyDescent="0.25">
      <c r="B2204" s="695"/>
      <c r="C2204" s="197" t="str">
        <f>IF(B2204&lt;&gt;"",IFERROR(VLOOKUP(B:B,'מצבת והרשמה (2)'!$C$20:$N$520,2,0)," ")," ")</f>
        <v xml:space="preserve"> </v>
      </c>
      <c r="D2204" s="695"/>
      <c r="E2204" s="696"/>
      <c r="F2204" s="696"/>
      <c r="G2204" s="696"/>
      <c r="H2204" s="696"/>
      <c r="I2204" s="1050" t="str">
        <f t="shared" si="512"/>
        <v/>
      </c>
      <c r="J2204" s="696"/>
      <c r="K2204" s="697"/>
      <c r="L2204" s="696"/>
      <c r="M2204" s="198" t="str">
        <f t="shared" si="513"/>
        <v/>
      </c>
      <c r="N2204" s="369" t="str">
        <f t="shared" si="514"/>
        <v/>
      </c>
      <c r="O2204" s="183" t="str">
        <f t="shared" si="515"/>
        <v/>
      </c>
      <c r="P2204" s="199" t="str">
        <f t="shared" si="516"/>
        <v/>
      </c>
      <c r="Q2204" s="199" t="str">
        <f>IF(B2204="","",IFERROR(IF('עלויות כח אדם (6)'!J2204&gt;=VLOOKUP(I2204,'סיווג התפקידים והעלויות'!$B$23:$C$32,2,0),"תקין","לא תקין"),""))</f>
        <v/>
      </c>
      <c r="R2204" s="199" t="str">
        <f t="shared" si="517"/>
        <v/>
      </c>
      <c r="S2204" s="199" t="str">
        <f t="shared" si="518"/>
        <v/>
      </c>
      <c r="T2204" s="199" t="str">
        <f t="shared" si="526"/>
        <v/>
      </c>
      <c r="U2204" s="199" t="str">
        <f t="shared" si="519"/>
        <v/>
      </c>
      <c r="V2204" s="989"/>
      <c r="X2204" s="374" t="str">
        <f t="shared" si="520"/>
        <v/>
      </c>
      <c r="Y2204" s="375" t="str">
        <f t="shared" si="521"/>
        <v/>
      </c>
      <c r="Z2204" s="374" t="str">
        <f t="shared" si="522"/>
        <v/>
      </c>
      <c r="AA2204" s="374" t="b">
        <f t="shared" si="523"/>
        <v>1</v>
      </c>
      <c r="AB2204" s="374">
        <f>COUNTIFS(B:B,B2204,H:H,'סיווג התפקידים והעלויות'!$C$2)</f>
        <v>0</v>
      </c>
      <c r="AC2204" s="374">
        <f>COUNTIFS(B:B,B2204,H:H,'סיווג התפקידים והעלויות'!$D$2)</f>
        <v>0</v>
      </c>
      <c r="AD2204" s="374" t="str">
        <f>IF(OR(AND(H2204='סיווג התפקידים והעלויות'!$A$2,I2204='סיווג התפקידים והעלויות'!$A$3),'עלויות כח אדם (6)'!H2204='סיווג התפקידים והעלויות'!$C$2,'עלויות כח אדם (6)'!H2204='סיווג התפקידים והעלויות'!$D$2),IF('עלויות כח אדם (6)'!J2204&lt;75,"לא תקין","תקין"),"")</f>
        <v/>
      </c>
      <c r="AE2204" s="374" t="str">
        <f t="shared" si="524"/>
        <v/>
      </c>
      <c r="AF2204" s="532" t="str">
        <f t="shared" si="525"/>
        <v/>
      </c>
    </row>
    <row r="2205" spans="2:32" x14ac:dyDescent="0.25">
      <c r="B2205" s="695"/>
      <c r="C2205" s="197" t="str">
        <f>IF(B2205&lt;&gt;"",IFERROR(VLOOKUP(B:B,'מצבת והרשמה (2)'!$C$20:$N$520,2,0)," ")," ")</f>
        <v xml:space="preserve"> </v>
      </c>
      <c r="D2205" s="695"/>
      <c r="E2205" s="696"/>
      <c r="F2205" s="696"/>
      <c r="G2205" s="696"/>
      <c r="H2205" s="696"/>
      <c r="I2205" s="1050" t="str">
        <f t="shared" si="512"/>
        <v/>
      </c>
      <c r="J2205" s="696"/>
      <c r="K2205" s="697"/>
      <c r="L2205" s="696"/>
      <c r="M2205" s="198" t="str">
        <f t="shared" si="513"/>
        <v/>
      </c>
      <c r="N2205" s="369" t="str">
        <f t="shared" si="514"/>
        <v/>
      </c>
      <c r="O2205" s="183" t="str">
        <f t="shared" si="515"/>
        <v/>
      </c>
      <c r="P2205" s="199" t="str">
        <f t="shared" si="516"/>
        <v/>
      </c>
      <c r="Q2205" s="199" t="str">
        <f>IF(B2205="","",IFERROR(IF('עלויות כח אדם (6)'!J2205&gt;=VLOOKUP(I2205,'סיווג התפקידים והעלויות'!$B$23:$C$32,2,0),"תקין","לא תקין"),""))</f>
        <v/>
      </c>
      <c r="R2205" s="199" t="str">
        <f t="shared" si="517"/>
        <v/>
      </c>
      <c r="S2205" s="199" t="str">
        <f t="shared" si="518"/>
        <v/>
      </c>
      <c r="T2205" s="199" t="str">
        <f t="shared" si="526"/>
        <v/>
      </c>
      <c r="U2205" s="199" t="str">
        <f t="shared" si="519"/>
        <v/>
      </c>
      <c r="V2205" s="989"/>
      <c r="X2205" s="374" t="str">
        <f t="shared" si="520"/>
        <v/>
      </c>
      <c r="Y2205" s="375" t="str">
        <f t="shared" si="521"/>
        <v/>
      </c>
      <c r="Z2205" s="374" t="str">
        <f t="shared" si="522"/>
        <v/>
      </c>
      <c r="AA2205" s="374" t="b">
        <f t="shared" si="523"/>
        <v>1</v>
      </c>
      <c r="AB2205" s="374">
        <f>COUNTIFS(B:B,B2205,H:H,'סיווג התפקידים והעלויות'!$C$2)</f>
        <v>0</v>
      </c>
      <c r="AC2205" s="374">
        <f>COUNTIFS(B:B,B2205,H:H,'סיווג התפקידים והעלויות'!$D$2)</f>
        <v>0</v>
      </c>
      <c r="AD2205" s="374" t="str">
        <f>IF(OR(AND(H2205='סיווג התפקידים והעלויות'!$A$2,I2205='סיווג התפקידים והעלויות'!$A$3),'עלויות כח אדם (6)'!H2205='סיווג התפקידים והעלויות'!$C$2,'עלויות כח אדם (6)'!H2205='סיווג התפקידים והעלויות'!$D$2),IF('עלויות כח אדם (6)'!J2205&lt;75,"לא תקין","תקין"),"")</f>
        <v/>
      </c>
      <c r="AE2205" s="374" t="str">
        <f t="shared" si="524"/>
        <v/>
      </c>
      <c r="AF2205" s="532" t="str">
        <f t="shared" si="525"/>
        <v/>
      </c>
    </row>
    <row r="2206" spans="2:32" x14ac:dyDescent="0.25">
      <c r="B2206" s="695"/>
      <c r="C2206" s="197" t="str">
        <f>IF(B2206&lt;&gt;"",IFERROR(VLOOKUP(B:B,'מצבת והרשמה (2)'!$C$20:$N$520,2,0)," ")," ")</f>
        <v xml:space="preserve"> </v>
      </c>
      <c r="D2206" s="695"/>
      <c r="E2206" s="696"/>
      <c r="F2206" s="696"/>
      <c r="G2206" s="696"/>
      <c r="H2206" s="696"/>
      <c r="I2206" s="1050" t="str">
        <f t="shared" si="512"/>
        <v/>
      </c>
      <c r="J2206" s="696"/>
      <c r="K2206" s="697"/>
      <c r="L2206" s="696"/>
      <c r="M2206" s="198" t="str">
        <f t="shared" si="513"/>
        <v/>
      </c>
      <c r="N2206" s="369" t="str">
        <f t="shared" si="514"/>
        <v/>
      </c>
      <c r="O2206" s="183" t="str">
        <f t="shared" si="515"/>
        <v/>
      </c>
      <c r="P2206" s="199" t="str">
        <f t="shared" si="516"/>
        <v/>
      </c>
      <c r="Q2206" s="199" t="str">
        <f>IF(B2206="","",IFERROR(IF('עלויות כח אדם (6)'!J2206&gt;=VLOOKUP(I2206,'סיווג התפקידים והעלויות'!$B$23:$C$32,2,0),"תקין","לא תקין"),""))</f>
        <v/>
      </c>
      <c r="R2206" s="199" t="str">
        <f t="shared" si="517"/>
        <v/>
      </c>
      <c r="S2206" s="199" t="str">
        <f t="shared" si="518"/>
        <v/>
      </c>
      <c r="T2206" s="199" t="str">
        <f t="shared" si="526"/>
        <v/>
      </c>
      <c r="U2206" s="199" t="str">
        <f t="shared" si="519"/>
        <v/>
      </c>
      <c r="V2206" s="989"/>
      <c r="X2206" s="374" t="str">
        <f t="shared" si="520"/>
        <v/>
      </c>
      <c r="Y2206" s="375" t="str">
        <f t="shared" si="521"/>
        <v/>
      </c>
      <c r="Z2206" s="374" t="str">
        <f t="shared" si="522"/>
        <v/>
      </c>
      <c r="AA2206" s="374" t="b">
        <f t="shared" si="523"/>
        <v>1</v>
      </c>
      <c r="AB2206" s="374">
        <f>COUNTIFS(B:B,B2206,H:H,'סיווג התפקידים והעלויות'!$C$2)</f>
        <v>0</v>
      </c>
      <c r="AC2206" s="374">
        <f>COUNTIFS(B:B,B2206,H:H,'סיווג התפקידים והעלויות'!$D$2)</f>
        <v>0</v>
      </c>
      <c r="AD2206" s="374" t="str">
        <f>IF(OR(AND(H2206='סיווג התפקידים והעלויות'!$A$2,I2206='סיווג התפקידים והעלויות'!$A$3),'עלויות כח אדם (6)'!H2206='סיווג התפקידים והעלויות'!$C$2,'עלויות כח אדם (6)'!H2206='סיווג התפקידים והעלויות'!$D$2),IF('עלויות כח אדם (6)'!J2206&lt;75,"לא תקין","תקין"),"")</f>
        <v/>
      </c>
      <c r="AE2206" s="374" t="str">
        <f t="shared" si="524"/>
        <v/>
      </c>
      <c r="AF2206" s="532" t="str">
        <f t="shared" si="525"/>
        <v/>
      </c>
    </row>
    <row r="2207" spans="2:32" x14ac:dyDescent="0.25">
      <c r="B2207" s="695"/>
      <c r="C2207" s="197" t="str">
        <f>IF(B2207&lt;&gt;"",IFERROR(VLOOKUP(B:B,'מצבת והרשמה (2)'!$C$20:$N$520,2,0)," ")," ")</f>
        <v xml:space="preserve"> </v>
      </c>
      <c r="D2207" s="695"/>
      <c r="E2207" s="696"/>
      <c r="F2207" s="696"/>
      <c r="G2207" s="696"/>
      <c r="H2207" s="696"/>
      <c r="I2207" s="1050" t="str">
        <f t="shared" si="512"/>
        <v/>
      </c>
      <c r="J2207" s="696"/>
      <c r="K2207" s="697"/>
      <c r="L2207" s="696"/>
      <c r="M2207" s="198" t="str">
        <f t="shared" si="513"/>
        <v/>
      </c>
      <c r="N2207" s="369" t="str">
        <f t="shared" si="514"/>
        <v/>
      </c>
      <c r="O2207" s="183" t="str">
        <f t="shared" si="515"/>
        <v/>
      </c>
      <c r="P2207" s="199" t="str">
        <f t="shared" si="516"/>
        <v/>
      </c>
      <c r="Q2207" s="199" t="str">
        <f>IF(B2207="","",IFERROR(IF('עלויות כח אדם (6)'!J2207&gt;=VLOOKUP(I2207,'סיווג התפקידים והעלויות'!$B$23:$C$32,2,0),"תקין","לא תקין"),""))</f>
        <v/>
      </c>
      <c r="R2207" s="199" t="str">
        <f t="shared" si="517"/>
        <v/>
      </c>
      <c r="S2207" s="199" t="str">
        <f t="shared" si="518"/>
        <v/>
      </c>
      <c r="T2207" s="199" t="str">
        <f t="shared" si="526"/>
        <v/>
      </c>
      <c r="U2207" s="199" t="str">
        <f t="shared" si="519"/>
        <v/>
      </c>
      <c r="V2207" s="989"/>
      <c r="X2207" s="374" t="str">
        <f t="shared" si="520"/>
        <v/>
      </c>
      <c r="Y2207" s="375" t="str">
        <f t="shared" si="521"/>
        <v/>
      </c>
      <c r="Z2207" s="374" t="str">
        <f t="shared" si="522"/>
        <v/>
      </c>
      <c r="AA2207" s="374" t="b">
        <f t="shared" si="523"/>
        <v>1</v>
      </c>
      <c r="AB2207" s="374">
        <f>COUNTIFS(B:B,B2207,H:H,'סיווג התפקידים והעלויות'!$C$2)</f>
        <v>0</v>
      </c>
      <c r="AC2207" s="374">
        <f>COUNTIFS(B:B,B2207,H:H,'סיווג התפקידים והעלויות'!$D$2)</f>
        <v>0</v>
      </c>
      <c r="AD2207" s="374" t="str">
        <f>IF(OR(AND(H2207='סיווג התפקידים והעלויות'!$A$2,I2207='סיווג התפקידים והעלויות'!$A$3),'עלויות כח אדם (6)'!H2207='סיווג התפקידים והעלויות'!$C$2,'עלויות כח אדם (6)'!H2207='סיווג התפקידים והעלויות'!$D$2),IF('עלויות כח אדם (6)'!J2207&lt;75,"לא תקין","תקין"),"")</f>
        <v/>
      </c>
      <c r="AE2207" s="374" t="str">
        <f t="shared" si="524"/>
        <v/>
      </c>
      <c r="AF2207" s="532" t="str">
        <f t="shared" si="525"/>
        <v/>
      </c>
    </row>
    <row r="2208" spans="2:32" x14ac:dyDescent="0.25">
      <c r="B2208" s="695"/>
      <c r="C2208" s="197" t="str">
        <f>IF(B2208&lt;&gt;"",IFERROR(VLOOKUP(B:B,'מצבת והרשמה (2)'!$C$20:$N$520,2,0)," ")," ")</f>
        <v xml:space="preserve"> </v>
      </c>
      <c r="D2208" s="695"/>
      <c r="E2208" s="696"/>
      <c r="F2208" s="696"/>
      <c r="G2208" s="696"/>
      <c r="H2208" s="696"/>
      <c r="I2208" s="1050" t="str">
        <f t="shared" si="512"/>
        <v/>
      </c>
      <c r="J2208" s="696"/>
      <c r="K2208" s="697"/>
      <c r="L2208" s="696"/>
      <c r="M2208" s="198" t="str">
        <f t="shared" si="513"/>
        <v/>
      </c>
      <c r="N2208" s="369" t="str">
        <f t="shared" si="514"/>
        <v/>
      </c>
      <c r="O2208" s="183" t="str">
        <f t="shared" si="515"/>
        <v/>
      </c>
      <c r="P2208" s="199" t="str">
        <f t="shared" si="516"/>
        <v/>
      </c>
      <c r="Q2208" s="199" t="str">
        <f>IF(B2208="","",IFERROR(IF('עלויות כח אדם (6)'!J2208&gt;=VLOOKUP(I2208,'סיווג התפקידים והעלויות'!$B$23:$C$32,2,0),"תקין","לא תקין"),""))</f>
        <v/>
      </c>
      <c r="R2208" s="199" t="str">
        <f t="shared" si="517"/>
        <v/>
      </c>
      <c r="S2208" s="199" t="str">
        <f t="shared" si="518"/>
        <v/>
      </c>
      <c r="T2208" s="199" t="str">
        <f t="shared" si="526"/>
        <v/>
      </c>
      <c r="U2208" s="199" t="str">
        <f t="shared" si="519"/>
        <v/>
      </c>
      <c r="V2208" s="989"/>
      <c r="X2208" s="374" t="str">
        <f t="shared" si="520"/>
        <v/>
      </c>
      <c r="Y2208" s="375" t="str">
        <f t="shared" si="521"/>
        <v/>
      </c>
      <c r="Z2208" s="374" t="str">
        <f t="shared" si="522"/>
        <v/>
      </c>
      <c r="AA2208" s="374" t="b">
        <f t="shared" si="523"/>
        <v>1</v>
      </c>
      <c r="AB2208" s="374">
        <f>COUNTIFS(B:B,B2208,H:H,'סיווג התפקידים והעלויות'!$C$2)</f>
        <v>0</v>
      </c>
      <c r="AC2208" s="374">
        <f>COUNTIFS(B:B,B2208,H:H,'סיווג התפקידים והעלויות'!$D$2)</f>
        <v>0</v>
      </c>
      <c r="AD2208" s="374" t="str">
        <f>IF(OR(AND(H2208='סיווג התפקידים והעלויות'!$A$2,I2208='סיווג התפקידים והעלויות'!$A$3),'עלויות כח אדם (6)'!H2208='סיווג התפקידים והעלויות'!$C$2,'עלויות כח אדם (6)'!H2208='סיווג התפקידים והעלויות'!$D$2),IF('עלויות כח אדם (6)'!J2208&lt;75,"לא תקין","תקין"),"")</f>
        <v/>
      </c>
      <c r="AE2208" s="374" t="str">
        <f t="shared" si="524"/>
        <v/>
      </c>
      <c r="AF2208" s="532" t="str">
        <f t="shared" si="525"/>
        <v/>
      </c>
    </row>
    <row r="2209" spans="2:32" x14ac:dyDescent="0.25">
      <c r="B2209" s="695"/>
      <c r="C2209" s="197" t="str">
        <f>IF(B2209&lt;&gt;"",IFERROR(VLOOKUP(B:B,'מצבת והרשמה (2)'!$C$20:$N$520,2,0)," ")," ")</f>
        <v xml:space="preserve"> </v>
      </c>
      <c r="D2209" s="695"/>
      <c r="E2209" s="696"/>
      <c r="F2209" s="696"/>
      <c r="G2209" s="696"/>
      <c r="H2209" s="696"/>
      <c r="I2209" s="1050" t="str">
        <f t="shared" si="512"/>
        <v/>
      </c>
      <c r="J2209" s="696"/>
      <c r="K2209" s="697"/>
      <c r="L2209" s="696"/>
      <c r="M2209" s="198" t="str">
        <f t="shared" si="513"/>
        <v/>
      </c>
      <c r="N2209" s="369" t="str">
        <f t="shared" si="514"/>
        <v/>
      </c>
      <c r="O2209" s="183" t="str">
        <f t="shared" si="515"/>
        <v/>
      </c>
      <c r="P2209" s="199" t="str">
        <f t="shared" si="516"/>
        <v/>
      </c>
      <c r="Q2209" s="199" t="str">
        <f>IF(B2209="","",IFERROR(IF('עלויות כח אדם (6)'!J2209&gt;=VLOOKUP(I2209,'סיווג התפקידים והעלויות'!$B$23:$C$32,2,0),"תקין","לא תקין"),""))</f>
        <v/>
      </c>
      <c r="R2209" s="199" t="str">
        <f t="shared" si="517"/>
        <v/>
      </c>
      <c r="S2209" s="199" t="str">
        <f t="shared" si="518"/>
        <v/>
      </c>
      <c r="T2209" s="199" t="str">
        <f t="shared" si="526"/>
        <v/>
      </c>
      <c r="U2209" s="199" t="str">
        <f t="shared" si="519"/>
        <v/>
      </c>
      <c r="V2209" s="989"/>
      <c r="X2209" s="374" t="str">
        <f t="shared" si="520"/>
        <v/>
      </c>
      <c r="Y2209" s="375" t="str">
        <f t="shared" si="521"/>
        <v/>
      </c>
      <c r="Z2209" s="374" t="str">
        <f t="shared" si="522"/>
        <v/>
      </c>
      <c r="AA2209" s="374" t="b">
        <f t="shared" si="523"/>
        <v>1</v>
      </c>
      <c r="AB2209" s="374">
        <f>COUNTIFS(B:B,B2209,H:H,'סיווג התפקידים והעלויות'!$C$2)</f>
        <v>0</v>
      </c>
      <c r="AC2209" s="374">
        <f>COUNTIFS(B:B,B2209,H:H,'סיווג התפקידים והעלויות'!$D$2)</f>
        <v>0</v>
      </c>
      <c r="AD2209" s="374" t="str">
        <f>IF(OR(AND(H2209='סיווג התפקידים והעלויות'!$A$2,I2209='סיווג התפקידים והעלויות'!$A$3),'עלויות כח אדם (6)'!H2209='סיווג התפקידים והעלויות'!$C$2,'עלויות כח אדם (6)'!H2209='סיווג התפקידים והעלויות'!$D$2),IF('עלויות כח אדם (6)'!J2209&lt;75,"לא תקין","תקין"),"")</f>
        <v/>
      </c>
      <c r="AE2209" s="374" t="str">
        <f t="shared" si="524"/>
        <v/>
      </c>
      <c r="AF2209" s="532" t="str">
        <f t="shared" si="525"/>
        <v/>
      </c>
    </row>
    <row r="2210" spans="2:32" x14ac:dyDescent="0.25">
      <c r="B2210" s="695"/>
      <c r="C2210" s="197" t="str">
        <f>IF(B2210&lt;&gt;"",IFERROR(VLOOKUP(B:B,'מצבת והרשמה (2)'!$C$20:$N$520,2,0)," ")," ")</f>
        <v xml:space="preserve"> </v>
      </c>
      <c r="D2210" s="695"/>
      <c r="E2210" s="696"/>
      <c r="F2210" s="696"/>
      <c r="G2210" s="696"/>
      <c r="H2210" s="696"/>
      <c r="I2210" s="1050" t="str">
        <f t="shared" si="512"/>
        <v/>
      </c>
      <c r="J2210" s="696"/>
      <c r="K2210" s="697"/>
      <c r="L2210" s="696"/>
      <c r="M2210" s="198" t="str">
        <f t="shared" si="513"/>
        <v/>
      </c>
      <c r="N2210" s="369" t="str">
        <f t="shared" si="514"/>
        <v/>
      </c>
      <c r="O2210" s="183" t="str">
        <f t="shared" si="515"/>
        <v/>
      </c>
      <c r="P2210" s="199" t="str">
        <f t="shared" si="516"/>
        <v/>
      </c>
      <c r="Q2210" s="199" t="str">
        <f>IF(B2210="","",IFERROR(IF('עלויות כח אדם (6)'!J2210&gt;=VLOOKUP(I2210,'סיווג התפקידים והעלויות'!$B$23:$C$32,2,0),"תקין","לא תקין"),""))</f>
        <v/>
      </c>
      <c r="R2210" s="199" t="str">
        <f t="shared" si="517"/>
        <v/>
      </c>
      <c r="S2210" s="199" t="str">
        <f t="shared" si="518"/>
        <v/>
      </c>
      <c r="T2210" s="199" t="str">
        <f t="shared" si="526"/>
        <v/>
      </c>
      <c r="U2210" s="199" t="str">
        <f t="shared" si="519"/>
        <v/>
      </c>
      <c r="V2210" s="989"/>
      <c r="X2210" s="374" t="str">
        <f t="shared" si="520"/>
        <v/>
      </c>
      <c r="Y2210" s="375" t="str">
        <f t="shared" si="521"/>
        <v/>
      </c>
      <c r="Z2210" s="374" t="str">
        <f t="shared" si="522"/>
        <v/>
      </c>
      <c r="AA2210" s="374" t="b">
        <f t="shared" si="523"/>
        <v>1</v>
      </c>
      <c r="AB2210" s="374">
        <f>COUNTIFS(B:B,B2210,H:H,'סיווג התפקידים והעלויות'!$C$2)</f>
        <v>0</v>
      </c>
      <c r="AC2210" s="374">
        <f>COUNTIFS(B:B,B2210,H:H,'סיווג התפקידים והעלויות'!$D$2)</f>
        <v>0</v>
      </c>
      <c r="AD2210" s="374" t="str">
        <f>IF(OR(AND(H2210='סיווג התפקידים והעלויות'!$A$2,I2210='סיווג התפקידים והעלויות'!$A$3),'עלויות כח אדם (6)'!H2210='סיווג התפקידים והעלויות'!$C$2,'עלויות כח אדם (6)'!H2210='סיווג התפקידים והעלויות'!$D$2),IF('עלויות כח אדם (6)'!J2210&lt;75,"לא תקין","תקין"),"")</f>
        <v/>
      </c>
      <c r="AE2210" s="374" t="str">
        <f t="shared" si="524"/>
        <v/>
      </c>
      <c r="AF2210" s="532" t="str">
        <f t="shared" si="525"/>
        <v/>
      </c>
    </row>
    <row r="2211" spans="2:32" x14ac:dyDescent="0.25">
      <c r="B2211" s="695"/>
      <c r="C2211" s="197" t="str">
        <f>IF(B2211&lt;&gt;"",IFERROR(VLOOKUP(B:B,'מצבת והרשמה (2)'!$C$20:$N$520,2,0)," ")," ")</f>
        <v xml:space="preserve"> </v>
      </c>
      <c r="D2211" s="695"/>
      <c r="E2211" s="696"/>
      <c r="F2211" s="696"/>
      <c r="G2211" s="696"/>
      <c r="H2211" s="696"/>
      <c r="I2211" s="1050" t="str">
        <f t="shared" si="512"/>
        <v/>
      </c>
      <c r="J2211" s="696"/>
      <c r="K2211" s="697"/>
      <c r="L2211" s="696"/>
      <c r="M2211" s="198" t="str">
        <f t="shared" si="513"/>
        <v/>
      </c>
      <c r="N2211" s="369" t="str">
        <f t="shared" si="514"/>
        <v/>
      </c>
      <c r="O2211" s="183" t="str">
        <f t="shared" si="515"/>
        <v/>
      </c>
      <c r="P2211" s="199" t="str">
        <f t="shared" si="516"/>
        <v/>
      </c>
      <c r="Q2211" s="199" t="str">
        <f>IF(B2211="","",IFERROR(IF('עלויות כח אדם (6)'!J2211&gt;=VLOOKUP(I2211,'סיווג התפקידים והעלויות'!$B$23:$C$32,2,0),"תקין","לא תקין"),""))</f>
        <v/>
      </c>
      <c r="R2211" s="199" t="str">
        <f t="shared" si="517"/>
        <v/>
      </c>
      <c r="S2211" s="199" t="str">
        <f t="shared" si="518"/>
        <v/>
      </c>
      <c r="T2211" s="199" t="str">
        <f t="shared" si="526"/>
        <v/>
      </c>
      <c r="U2211" s="199" t="str">
        <f t="shared" si="519"/>
        <v/>
      </c>
      <c r="V2211" s="989"/>
      <c r="X2211" s="374" t="str">
        <f t="shared" si="520"/>
        <v/>
      </c>
      <c r="Y2211" s="375" t="str">
        <f t="shared" si="521"/>
        <v/>
      </c>
      <c r="Z2211" s="374" t="str">
        <f t="shared" si="522"/>
        <v/>
      </c>
      <c r="AA2211" s="374" t="b">
        <f t="shared" si="523"/>
        <v>1</v>
      </c>
      <c r="AB2211" s="374">
        <f>COUNTIFS(B:B,B2211,H:H,'סיווג התפקידים והעלויות'!$C$2)</f>
        <v>0</v>
      </c>
      <c r="AC2211" s="374">
        <f>COUNTIFS(B:B,B2211,H:H,'סיווג התפקידים והעלויות'!$D$2)</f>
        <v>0</v>
      </c>
      <c r="AD2211" s="374" t="str">
        <f>IF(OR(AND(H2211='סיווג התפקידים והעלויות'!$A$2,I2211='סיווג התפקידים והעלויות'!$A$3),'עלויות כח אדם (6)'!H2211='סיווג התפקידים והעלויות'!$C$2,'עלויות כח אדם (6)'!H2211='סיווג התפקידים והעלויות'!$D$2),IF('עלויות כח אדם (6)'!J2211&lt;75,"לא תקין","תקין"),"")</f>
        <v/>
      </c>
      <c r="AE2211" s="374" t="str">
        <f t="shared" si="524"/>
        <v/>
      </c>
      <c r="AF2211" s="532" t="str">
        <f t="shared" si="525"/>
        <v/>
      </c>
    </row>
    <row r="2212" spans="2:32" x14ac:dyDescent="0.25">
      <c r="B2212" s="695"/>
      <c r="C2212" s="197" t="str">
        <f>IF(B2212&lt;&gt;"",IFERROR(VLOOKUP(B:B,'מצבת והרשמה (2)'!$C$20:$N$520,2,0)," ")," ")</f>
        <v xml:space="preserve"> </v>
      </c>
      <c r="D2212" s="695"/>
      <c r="E2212" s="696"/>
      <c r="F2212" s="696"/>
      <c r="G2212" s="696"/>
      <c r="H2212" s="696"/>
      <c r="I2212" s="1050" t="str">
        <f t="shared" si="512"/>
        <v/>
      </c>
      <c r="J2212" s="696"/>
      <c r="K2212" s="697"/>
      <c r="L2212" s="696"/>
      <c r="M2212" s="198" t="str">
        <f t="shared" si="513"/>
        <v/>
      </c>
      <c r="N2212" s="369" t="str">
        <f t="shared" si="514"/>
        <v/>
      </c>
      <c r="O2212" s="183" t="str">
        <f t="shared" si="515"/>
        <v/>
      </c>
      <c r="P2212" s="199" t="str">
        <f t="shared" si="516"/>
        <v/>
      </c>
      <c r="Q2212" s="199" t="str">
        <f>IF(B2212="","",IFERROR(IF('עלויות כח אדם (6)'!J2212&gt;=VLOOKUP(I2212,'סיווג התפקידים והעלויות'!$B$23:$C$32,2,0),"תקין","לא תקין"),""))</f>
        <v/>
      </c>
      <c r="R2212" s="199" t="str">
        <f t="shared" si="517"/>
        <v/>
      </c>
      <c r="S2212" s="199" t="str">
        <f t="shared" si="518"/>
        <v/>
      </c>
      <c r="T2212" s="199" t="str">
        <f t="shared" si="526"/>
        <v/>
      </c>
      <c r="U2212" s="199" t="str">
        <f t="shared" si="519"/>
        <v/>
      </c>
      <c r="V2212" s="989"/>
      <c r="X2212" s="374" t="str">
        <f t="shared" si="520"/>
        <v/>
      </c>
      <c r="Y2212" s="375" t="str">
        <f t="shared" si="521"/>
        <v/>
      </c>
      <c r="Z2212" s="374" t="str">
        <f t="shared" si="522"/>
        <v/>
      </c>
      <c r="AA2212" s="374" t="b">
        <f t="shared" si="523"/>
        <v>1</v>
      </c>
      <c r="AB2212" s="374">
        <f>COUNTIFS(B:B,B2212,H:H,'סיווג התפקידים והעלויות'!$C$2)</f>
        <v>0</v>
      </c>
      <c r="AC2212" s="374">
        <f>COUNTIFS(B:B,B2212,H:H,'סיווג התפקידים והעלויות'!$D$2)</f>
        <v>0</v>
      </c>
      <c r="AD2212" s="374" t="str">
        <f>IF(OR(AND(H2212='סיווג התפקידים והעלויות'!$A$2,I2212='סיווג התפקידים והעלויות'!$A$3),'עלויות כח אדם (6)'!H2212='סיווג התפקידים והעלויות'!$C$2,'עלויות כח אדם (6)'!H2212='סיווג התפקידים והעלויות'!$D$2),IF('עלויות כח אדם (6)'!J2212&lt;75,"לא תקין","תקין"),"")</f>
        <v/>
      </c>
      <c r="AE2212" s="374" t="str">
        <f t="shared" si="524"/>
        <v/>
      </c>
      <c r="AF2212" s="532" t="str">
        <f t="shared" si="525"/>
        <v/>
      </c>
    </row>
    <row r="2213" spans="2:32" x14ac:dyDescent="0.25">
      <c r="B2213" s="695"/>
      <c r="C2213" s="197" t="str">
        <f>IF(B2213&lt;&gt;"",IFERROR(VLOOKUP(B:B,'מצבת והרשמה (2)'!$C$20:$N$520,2,0)," ")," ")</f>
        <v xml:space="preserve"> </v>
      </c>
      <c r="D2213" s="695"/>
      <c r="E2213" s="696"/>
      <c r="F2213" s="696"/>
      <c r="G2213" s="696"/>
      <c r="H2213" s="696"/>
      <c r="I2213" s="1050" t="str">
        <f t="shared" si="512"/>
        <v/>
      </c>
      <c r="J2213" s="696"/>
      <c r="K2213" s="697"/>
      <c r="L2213" s="696"/>
      <c r="M2213" s="198" t="str">
        <f t="shared" si="513"/>
        <v/>
      </c>
      <c r="N2213" s="369" t="str">
        <f t="shared" si="514"/>
        <v/>
      </c>
      <c r="O2213" s="183" t="str">
        <f t="shared" si="515"/>
        <v/>
      </c>
      <c r="P2213" s="199" t="str">
        <f t="shared" si="516"/>
        <v/>
      </c>
      <c r="Q2213" s="199" t="str">
        <f>IF(B2213="","",IFERROR(IF('עלויות כח אדם (6)'!J2213&gt;=VLOOKUP(I2213,'סיווג התפקידים והעלויות'!$B$23:$C$32,2,0),"תקין","לא תקין"),""))</f>
        <v/>
      </c>
      <c r="R2213" s="199" t="str">
        <f t="shared" si="517"/>
        <v/>
      </c>
      <c r="S2213" s="199" t="str">
        <f t="shared" si="518"/>
        <v/>
      </c>
      <c r="T2213" s="199" t="str">
        <f t="shared" si="526"/>
        <v/>
      </c>
      <c r="U2213" s="199" t="str">
        <f t="shared" si="519"/>
        <v/>
      </c>
      <c r="V2213" s="989"/>
      <c r="X2213" s="374" t="str">
        <f t="shared" si="520"/>
        <v/>
      </c>
      <c r="Y2213" s="375" t="str">
        <f t="shared" si="521"/>
        <v/>
      </c>
      <c r="Z2213" s="374" t="str">
        <f t="shared" si="522"/>
        <v/>
      </c>
      <c r="AA2213" s="374" t="b">
        <f t="shared" si="523"/>
        <v>1</v>
      </c>
      <c r="AB2213" s="374">
        <f>COUNTIFS(B:B,B2213,H:H,'סיווג התפקידים והעלויות'!$C$2)</f>
        <v>0</v>
      </c>
      <c r="AC2213" s="374">
        <f>COUNTIFS(B:B,B2213,H:H,'סיווג התפקידים והעלויות'!$D$2)</f>
        <v>0</v>
      </c>
      <c r="AD2213" s="374" t="str">
        <f>IF(OR(AND(H2213='סיווג התפקידים והעלויות'!$A$2,I2213='סיווג התפקידים והעלויות'!$A$3),'עלויות כח אדם (6)'!H2213='סיווג התפקידים והעלויות'!$C$2,'עלויות כח אדם (6)'!H2213='סיווג התפקידים והעלויות'!$D$2),IF('עלויות כח אדם (6)'!J2213&lt;75,"לא תקין","תקין"),"")</f>
        <v/>
      </c>
      <c r="AE2213" s="374" t="str">
        <f t="shared" si="524"/>
        <v/>
      </c>
      <c r="AF2213" s="532" t="str">
        <f t="shared" si="525"/>
        <v/>
      </c>
    </row>
    <row r="2214" spans="2:32" x14ac:dyDescent="0.25">
      <c r="B2214" s="695"/>
      <c r="C2214" s="197" t="str">
        <f>IF(B2214&lt;&gt;"",IFERROR(VLOOKUP(B:B,'מצבת והרשמה (2)'!$C$20:$N$520,2,0)," ")," ")</f>
        <v xml:space="preserve"> </v>
      </c>
      <c r="D2214" s="695"/>
      <c r="E2214" s="696"/>
      <c r="F2214" s="696"/>
      <c r="G2214" s="696"/>
      <c r="H2214" s="696"/>
      <c r="I2214" s="1050" t="str">
        <f t="shared" si="512"/>
        <v/>
      </c>
      <c r="J2214" s="696"/>
      <c r="K2214" s="697"/>
      <c r="L2214" s="696"/>
      <c r="M2214" s="198" t="str">
        <f t="shared" si="513"/>
        <v/>
      </c>
      <c r="N2214" s="369" t="str">
        <f t="shared" si="514"/>
        <v/>
      </c>
      <c r="O2214" s="183" t="str">
        <f t="shared" si="515"/>
        <v/>
      </c>
      <c r="P2214" s="199" t="str">
        <f t="shared" si="516"/>
        <v/>
      </c>
      <c r="Q2214" s="199" t="str">
        <f>IF(B2214="","",IFERROR(IF('עלויות כח אדם (6)'!J2214&gt;=VLOOKUP(I2214,'סיווג התפקידים והעלויות'!$B$23:$C$32,2,0),"תקין","לא תקין"),""))</f>
        <v/>
      </c>
      <c r="R2214" s="199" t="str">
        <f t="shared" si="517"/>
        <v/>
      </c>
      <c r="S2214" s="199" t="str">
        <f t="shared" si="518"/>
        <v/>
      </c>
      <c r="T2214" s="199" t="str">
        <f t="shared" si="526"/>
        <v/>
      </c>
      <c r="U2214" s="199" t="str">
        <f t="shared" si="519"/>
        <v/>
      </c>
      <c r="V2214" s="989"/>
      <c r="X2214" s="374" t="str">
        <f t="shared" si="520"/>
        <v/>
      </c>
      <c r="Y2214" s="375" t="str">
        <f t="shared" si="521"/>
        <v/>
      </c>
      <c r="Z2214" s="374" t="str">
        <f t="shared" si="522"/>
        <v/>
      </c>
      <c r="AA2214" s="374" t="b">
        <f t="shared" si="523"/>
        <v>1</v>
      </c>
      <c r="AB2214" s="374">
        <f>COUNTIFS(B:B,B2214,H:H,'סיווג התפקידים והעלויות'!$C$2)</f>
        <v>0</v>
      </c>
      <c r="AC2214" s="374">
        <f>COUNTIFS(B:B,B2214,H:H,'סיווג התפקידים והעלויות'!$D$2)</f>
        <v>0</v>
      </c>
      <c r="AD2214" s="374" t="str">
        <f>IF(OR(AND(H2214='סיווג התפקידים והעלויות'!$A$2,I2214='סיווג התפקידים והעלויות'!$A$3),'עלויות כח אדם (6)'!H2214='סיווג התפקידים והעלויות'!$C$2,'עלויות כח אדם (6)'!H2214='סיווג התפקידים והעלויות'!$D$2),IF('עלויות כח אדם (6)'!J2214&lt;75,"לא תקין","תקין"),"")</f>
        <v/>
      </c>
      <c r="AE2214" s="374" t="str">
        <f t="shared" si="524"/>
        <v/>
      </c>
      <c r="AF2214" s="532" t="str">
        <f t="shared" si="525"/>
        <v/>
      </c>
    </row>
    <row r="2215" spans="2:32" x14ac:dyDescent="0.25">
      <c r="B2215" s="695"/>
      <c r="C2215" s="197" t="str">
        <f>IF(B2215&lt;&gt;"",IFERROR(VLOOKUP(B:B,'מצבת והרשמה (2)'!$C$20:$N$520,2,0)," ")," ")</f>
        <v xml:space="preserve"> </v>
      </c>
      <c r="D2215" s="695"/>
      <c r="E2215" s="696"/>
      <c r="F2215" s="696"/>
      <c r="G2215" s="696"/>
      <c r="H2215" s="696"/>
      <c r="I2215" s="1050" t="str">
        <f t="shared" si="512"/>
        <v/>
      </c>
      <c r="J2215" s="696"/>
      <c r="K2215" s="697"/>
      <c r="L2215" s="696"/>
      <c r="M2215" s="198" t="str">
        <f t="shared" si="513"/>
        <v/>
      </c>
      <c r="N2215" s="369" t="str">
        <f t="shared" si="514"/>
        <v/>
      </c>
      <c r="O2215" s="183" t="str">
        <f t="shared" si="515"/>
        <v/>
      </c>
      <c r="P2215" s="199" t="str">
        <f t="shared" si="516"/>
        <v/>
      </c>
      <c r="Q2215" s="199" t="str">
        <f>IF(B2215="","",IFERROR(IF('עלויות כח אדם (6)'!J2215&gt;=VLOOKUP(I2215,'סיווג התפקידים והעלויות'!$B$23:$C$32,2,0),"תקין","לא תקין"),""))</f>
        <v/>
      </c>
      <c r="R2215" s="199" t="str">
        <f t="shared" si="517"/>
        <v/>
      </c>
      <c r="S2215" s="199" t="str">
        <f t="shared" si="518"/>
        <v/>
      </c>
      <c r="T2215" s="199" t="str">
        <f t="shared" si="526"/>
        <v/>
      </c>
      <c r="U2215" s="199" t="str">
        <f t="shared" si="519"/>
        <v/>
      </c>
      <c r="V2215" s="989"/>
      <c r="X2215" s="374" t="str">
        <f t="shared" si="520"/>
        <v/>
      </c>
      <c r="Y2215" s="375" t="str">
        <f t="shared" si="521"/>
        <v/>
      </c>
      <c r="Z2215" s="374" t="str">
        <f t="shared" si="522"/>
        <v/>
      </c>
      <c r="AA2215" s="374" t="b">
        <f t="shared" si="523"/>
        <v>1</v>
      </c>
      <c r="AB2215" s="374">
        <f>COUNTIFS(B:B,B2215,H:H,'סיווג התפקידים והעלויות'!$C$2)</f>
        <v>0</v>
      </c>
      <c r="AC2215" s="374">
        <f>COUNTIFS(B:B,B2215,H:H,'סיווג התפקידים והעלויות'!$D$2)</f>
        <v>0</v>
      </c>
      <c r="AD2215" s="374" t="str">
        <f>IF(OR(AND(H2215='סיווג התפקידים והעלויות'!$A$2,I2215='סיווג התפקידים והעלויות'!$A$3),'עלויות כח אדם (6)'!H2215='סיווג התפקידים והעלויות'!$C$2,'עלויות כח אדם (6)'!H2215='סיווג התפקידים והעלויות'!$D$2),IF('עלויות כח אדם (6)'!J2215&lt;75,"לא תקין","תקין"),"")</f>
        <v/>
      </c>
      <c r="AE2215" s="374" t="str">
        <f t="shared" si="524"/>
        <v/>
      </c>
      <c r="AF2215" s="532" t="str">
        <f t="shared" si="525"/>
        <v/>
      </c>
    </row>
    <row r="2216" spans="2:32" x14ac:dyDescent="0.25">
      <c r="B2216" s="695"/>
      <c r="C2216" s="197" t="str">
        <f>IF(B2216&lt;&gt;"",IFERROR(VLOOKUP(B:B,'מצבת והרשמה (2)'!$C$20:$N$520,2,0)," ")," ")</f>
        <v xml:space="preserve"> </v>
      </c>
      <c r="D2216" s="695"/>
      <c r="E2216" s="696"/>
      <c r="F2216" s="696"/>
      <c r="G2216" s="696"/>
      <c r="H2216" s="696"/>
      <c r="I2216" s="1050" t="str">
        <f t="shared" si="512"/>
        <v/>
      </c>
      <c r="J2216" s="696"/>
      <c r="K2216" s="697"/>
      <c r="L2216" s="696"/>
      <c r="M2216" s="198" t="str">
        <f t="shared" si="513"/>
        <v/>
      </c>
      <c r="N2216" s="369" t="str">
        <f t="shared" si="514"/>
        <v/>
      </c>
      <c r="O2216" s="183" t="str">
        <f t="shared" si="515"/>
        <v/>
      </c>
      <c r="P2216" s="199" t="str">
        <f t="shared" si="516"/>
        <v/>
      </c>
      <c r="Q2216" s="199" t="str">
        <f>IF(B2216="","",IFERROR(IF('עלויות כח אדם (6)'!J2216&gt;=VLOOKUP(I2216,'סיווג התפקידים והעלויות'!$B$23:$C$32,2,0),"תקין","לא תקין"),""))</f>
        <v/>
      </c>
      <c r="R2216" s="199" t="str">
        <f t="shared" si="517"/>
        <v/>
      </c>
      <c r="S2216" s="199" t="str">
        <f t="shared" si="518"/>
        <v/>
      </c>
      <c r="T2216" s="199" t="str">
        <f t="shared" si="526"/>
        <v/>
      </c>
      <c r="U2216" s="199" t="str">
        <f t="shared" si="519"/>
        <v/>
      </c>
      <c r="V2216" s="989"/>
      <c r="X2216" s="374" t="str">
        <f t="shared" si="520"/>
        <v/>
      </c>
      <c r="Y2216" s="375" t="str">
        <f t="shared" si="521"/>
        <v/>
      </c>
      <c r="Z2216" s="374" t="str">
        <f t="shared" si="522"/>
        <v/>
      </c>
      <c r="AA2216" s="374" t="b">
        <f t="shared" si="523"/>
        <v>1</v>
      </c>
      <c r="AB2216" s="374">
        <f>COUNTIFS(B:B,B2216,H:H,'סיווג התפקידים והעלויות'!$C$2)</f>
        <v>0</v>
      </c>
      <c r="AC2216" s="374">
        <f>COUNTIFS(B:B,B2216,H:H,'סיווג התפקידים והעלויות'!$D$2)</f>
        <v>0</v>
      </c>
      <c r="AD2216" s="374" t="str">
        <f>IF(OR(AND(H2216='סיווג התפקידים והעלויות'!$A$2,I2216='סיווג התפקידים והעלויות'!$A$3),'עלויות כח אדם (6)'!H2216='סיווג התפקידים והעלויות'!$C$2,'עלויות כח אדם (6)'!H2216='סיווג התפקידים והעלויות'!$D$2),IF('עלויות כח אדם (6)'!J2216&lt;75,"לא תקין","תקין"),"")</f>
        <v/>
      </c>
      <c r="AE2216" s="374" t="str">
        <f t="shared" si="524"/>
        <v/>
      </c>
      <c r="AF2216" s="532" t="str">
        <f t="shared" si="525"/>
        <v/>
      </c>
    </row>
    <row r="2217" spans="2:32" x14ac:dyDescent="0.25">
      <c r="B2217" s="695"/>
      <c r="C2217" s="197" t="str">
        <f>IF(B2217&lt;&gt;"",IFERROR(VLOOKUP(B:B,'מצבת והרשמה (2)'!$C$20:$N$520,2,0)," ")," ")</f>
        <v xml:space="preserve"> </v>
      </c>
      <c r="D2217" s="695"/>
      <c r="E2217" s="696"/>
      <c r="F2217" s="696"/>
      <c r="G2217" s="696"/>
      <c r="H2217" s="696"/>
      <c r="I2217" s="1050" t="str">
        <f t="shared" si="512"/>
        <v/>
      </c>
      <c r="J2217" s="696"/>
      <c r="K2217" s="697"/>
      <c r="L2217" s="696"/>
      <c r="M2217" s="198" t="str">
        <f t="shared" si="513"/>
        <v/>
      </c>
      <c r="N2217" s="369" t="str">
        <f t="shared" si="514"/>
        <v/>
      </c>
      <c r="O2217" s="183" t="str">
        <f t="shared" si="515"/>
        <v/>
      </c>
      <c r="P2217" s="199" t="str">
        <f t="shared" si="516"/>
        <v/>
      </c>
      <c r="Q2217" s="199" t="str">
        <f>IF(B2217="","",IFERROR(IF('עלויות כח אדם (6)'!J2217&gt;=VLOOKUP(I2217,'סיווג התפקידים והעלויות'!$B$23:$C$32,2,0),"תקין","לא תקין"),""))</f>
        <v/>
      </c>
      <c r="R2217" s="199" t="str">
        <f t="shared" si="517"/>
        <v/>
      </c>
      <c r="S2217" s="199" t="str">
        <f t="shared" si="518"/>
        <v/>
      </c>
      <c r="T2217" s="199" t="str">
        <f t="shared" si="526"/>
        <v/>
      </c>
      <c r="U2217" s="199" t="str">
        <f t="shared" si="519"/>
        <v/>
      </c>
      <c r="V2217" s="989"/>
      <c r="X2217" s="374" t="str">
        <f t="shared" si="520"/>
        <v/>
      </c>
      <c r="Y2217" s="375" t="str">
        <f t="shared" si="521"/>
        <v/>
      </c>
      <c r="Z2217" s="374" t="str">
        <f t="shared" si="522"/>
        <v/>
      </c>
      <c r="AA2217" s="374" t="b">
        <f t="shared" si="523"/>
        <v>1</v>
      </c>
      <c r="AB2217" s="374">
        <f>COUNTIFS(B:B,B2217,H:H,'סיווג התפקידים והעלויות'!$C$2)</f>
        <v>0</v>
      </c>
      <c r="AC2217" s="374">
        <f>COUNTIFS(B:B,B2217,H:H,'סיווג התפקידים והעלויות'!$D$2)</f>
        <v>0</v>
      </c>
      <c r="AD2217" s="374" t="str">
        <f>IF(OR(AND(H2217='סיווג התפקידים והעלויות'!$A$2,I2217='סיווג התפקידים והעלויות'!$A$3),'עלויות כח אדם (6)'!H2217='סיווג התפקידים והעלויות'!$C$2,'עלויות כח אדם (6)'!H2217='סיווג התפקידים והעלויות'!$D$2),IF('עלויות כח אדם (6)'!J2217&lt;75,"לא תקין","תקין"),"")</f>
        <v/>
      </c>
      <c r="AE2217" s="374" t="str">
        <f t="shared" si="524"/>
        <v/>
      </c>
      <c r="AF2217" s="532" t="str">
        <f t="shared" si="525"/>
        <v/>
      </c>
    </row>
    <row r="2218" spans="2:32" x14ac:dyDescent="0.25">
      <c r="B2218" s="695"/>
      <c r="C2218" s="197" t="str">
        <f>IF(B2218&lt;&gt;"",IFERROR(VLOOKUP(B:B,'מצבת והרשמה (2)'!$C$20:$N$520,2,0)," ")," ")</f>
        <v xml:space="preserve"> </v>
      </c>
      <c r="D2218" s="695"/>
      <c r="E2218" s="696"/>
      <c r="F2218" s="696"/>
      <c r="G2218" s="696"/>
      <c r="H2218" s="696"/>
      <c r="I2218" s="1050" t="str">
        <f t="shared" si="512"/>
        <v/>
      </c>
      <c r="J2218" s="696"/>
      <c r="K2218" s="697"/>
      <c r="L2218" s="696"/>
      <c r="M2218" s="198" t="str">
        <f t="shared" si="513"/>
        <v/>
      </c>
      <c r="N2218" s="369" t="str">
        <f t="shared" si="514"/>
        <v/>
      </c>
      <c r="O2218" s="183" t="str">
        <f t="shared" si="515"/>
        <v/>
      </c>
      <c r="P2218" s="199" t="str">
        <f t="shared" si="516"/>
        <v/>
      </c>
      <c r="Q2218" s="199" t="str">
        <f>IF(B2218="","",IFERROR(IF('עלויות כח אדם (6)'!J2218&gt;=VLOOKUP(I2218,'סיווג התפקידים והעלויות'!$B$23:$C$32,2,0),"תקין","לא תקין"),""))</f>
        <v/>
      </c>
      <c r="R2218" s="199" t="str">
        <f t="shared" si="517"/>
        <v/>
      </c>
      <c r="S2218" s="199" t="str">
        <f t="shared" si="518"/>
        <v/>
      </c>
      <c r="T2218" s="199" t="str">
        <f t="shared" si="526"/>
        <v/>
      </c>
      <c r="U2218" s="199" t="str">
        <f t="shared" si="519"/>
        <v/>
      </c>
      <c r="V2218" s="989"/>
      <c r="X2218" s="374" t="str">
        <f t="shared" si="520"/>
        <v/>
      </c>
      <c r="Y2218" s="375" t="str">
        <f t="shared" si="521"/>
        <v/>
      </c>
      <c r="Z2218" s="374" t="str">
        <f t="shared" si="522"/>
        <v/>
      </c>
      <c r="AA2218" s="374" t="b">
        <f t="shared" si="523"/>
        <v>1</v>
      </c>
      <c r="AB2218" s="374">
        <f>COUNTIFS(B:B,B2218,H:H,'סיווג התפקידים והעלויות'!$C$2)</f>
        <v>0</v>
      </c>
      <c r="AC2218" s="374">
        <f>COUNTIFS(B:B,B2218,H:H,'סיווג התפקידים והעלויות'!$D$2)</f>
        <v>0</v>
      </c>
      <c r="AD2218" s="374" t="str">
        <f>IF(OR(AND(H2218='סיווג התפקידים והעלויות'!$A$2,I2218='סיווג התפקידים והעלויות'!$A$3),'עלויות כח אדם (6)'!H2218='סיווג התפקידים והעלויות'!$C$2,'עלויות כח אדם (6)'!H2218='סיווג התפקידים והעלויות'!$D$2),IF('עלויות כח אדם (6)'!J2218&lt;75,"לא תקין","תקין"),"")</f>
        <v/>
      </c>
      <c r="AE2218" s="374" t="str">
        <f t="shared" si="524"/>
        <v/>
      </c>
      <c r="AF2218" s="532" t="str">
        <f t="shared" si="525"/>
        <v/>
      </c>
    </row>
    <row r="2219" spans="2:32" x14ac:dyDescent="0.25">
      <c r="B2219" s="695"/>
      <c r="C2219" s="197" t="str">
        <f>IF(B2219&lt;&gt;"",IFERROR(VLOOKUP(B:B,'מצבת והרשמה (2)'!$C$20:$N$520,2,0)," ")," ")</f>
        <v xml:space="preserve"> </v>
      </c>
      <c r="D2219" s="695"/>
      <c r="E2219" s="696"/>
      <c r="F2219" s="696"/>
      <c r="G2219" s="696"/>
      <c r="H2219" s="696"/>
      <c r="I2219" s="1050" t="str">
        <f t="shared" si="512"/>
        <v/>
      </c>
      <c r="J2219" s="696"/>
      <c r="K2219" s="697"/>
      <c r="L2219" s="696"/>
      <c r="M2219" s="198" t="str">
        <f t="shared" si="513"/>
        <v/>
      </c>
      <c r="N2219" s="369" t="str">
        <f t="shared" si="514"/>
        <v/>
      </c>
      <c r="O2219" s="183" t="str">
        <f t="shared" si="515"/>
        <v/>
      </c>
      <c r="P2219" s="199" t="str">
        <f t="shared" si="516"/>
        <v/>
      </c>
      <c r="Q2219" s="199" t="str">
        <f>IF(B2219="","",IFERROR(IF('עלויות כח אדם (6)'!J2219&gt;=VLOOKUP(I2219,'סיווג התפקידים והעלויות'!$B$23:$C$32,2,0),"תקין","לא תקין"),""))</f>
        <v/>
      </c>
      <c r="R2219" s="199" t="str">
        <f t="shared" si="517"/>
        <v/>
      </c>
      <c r="S2219" s="199" t="str">
        <f t="shared" si="518"/>
        <v/>
      </c>
      <c r="T2219" s="199" t="str">
        <f t="shared" si="526"/>
        <v/>
      </c>
      <c r="U2219" s="199" t="str">
        <f t="shared" si="519"/>
        <v/>
      </c>
      <c r="V2219" s="989"/>
      <c r="X2219" s="374" t="str">
        <f t="shared" si="520"/>
        <v/>
      </c>
      <c r="Y2219" s="375" t="str">
        <f t="shared" si="521"/>
        <v/>
      </c>
      <c r="Z2219" s="374" t="str">
        <f t="shared" si="522"/>
        <v/>
      </c>
      <c r="AA2219" s="374" t="b">
        <f t="shared" si="523"/>
        <v>1</v>
      </c>
      <c r="AB2219" s="374">
        <f>COUNTIFS(B:B,B2219,H:H,'סיווג התפקידים והעלויות'!$C$2)</f>
        <v>0</v>
      </c>
      <c r="AC2219" s="374">
        <f>COUNTIFS(B:B,B2219,H:H,'סיווג התפקידים והעלויות'!$D$2)</f>
        <v>0</v>
      </c>
      <c r="AD2219" s="374" t="str">
        <f>IF(OR(AND(H2219='סיווג התפקידים והעלויות'!$A$2,I2219='סיווג התפקידים והעלויות'!$A$3),'עלויות כח אדם (6)'!H2219='סיווג התפקידים והעלויות'!$C$2,'עלויות כח אדם (6)'!H2219='סיווג התפקידים והעלויות'!$D$2),IF('עלויות כח אדם (6)'!J2219&lt;75,"לא תקין","תקין"),"")</f>
        <v/>
      </c>
      <c r="AE2219" s="374" t="str">
        <f t="shared" si="524"/>
        <v/>
      </c>
      <c r="AF2219" s="532" t="str">
        <f t="shared" si="525"/>
        <v/>
      </c>
    </row>
    <row r="2220" spans="2:32" x14ac:dyDescent="0.25">
      <c r="B2220" s="695"/>
      <c r="C2220" s="197" t="str">
        <f>IF(B2220&lt;&gt;"",IFERROR(VLOOKUP(B:B,'מצבת והרשמה (2)'!$C$20:$N$520,2,0)," ")," ")</f>
        <v xml:space="preserve"> </v>
      </c>
      <c r="D2220" s="695"/>
      <c r="E2220" s="696"/>
      <c r="F2220" s="696"/>
      <c r="G2220" s="696"/>
      <c r="H2220" s="696"/>
      <c r="I2220" s="1050" t="str">
        <f t="shared" si="512"/>
        <v/>
      </c>
      <c r="J2220" s="696"/>
      <c r="K2220" s="697"/>
      <c r="L2220" s="696"/>
      <c r="M2220" s="198" t="str">
        <f t="shared" si="513"/>
        <v/>
      </c>
      <c r="N2220" s="369" t="str">
        <f t="shared" si="514"/>
        <v/>
      </c>
      <c r="O2220" s="183" t="str">
        <f t="shared" si="515"/>
        <v/>
      </c>
      <c r="P2220" s="199" t="str">
        <f t="shared" si="516"/>
        <v/>
      </c>
      <c r="Q2220" s="199" t="str">
        <f>IF(B2220="","",IFERROR(IF('עלויות כח אדם (6)'!J2220&gt;=VLOOKUP(I2220,'סיווג התפקידים והעלויות'!$B$23:$C$32,2,0),"תקין","לא תקין"),""))</f>
        <v/>
      </c>
      <c r="R2220" s="199" t="str">
        <f t="shared" si="517"/>
        <v/>
      </c>
      <c r="S2220" s="199" t="str">
        <f t="shared" si="518"/>
        <v/>
      </c>
      <c r="T2220" s="199" t="str">
        <f t="shared" si="526"/>
        <v/>
      </c>
      <c r="U2220" s="199" t="str">
        <f t="shared" si="519"/>
        <v/>
      </c>
      <c r="V2220" s="989"/>
      <c r="X2220" s="374" t="str">
        <f t="shared" si="520"/>
        <v/>
      </c>
      <c r="Y2220" s="375" t="str">
        <f t="shared" si="521"/>
        <v/>
      </c>
      <c r="Z2220" s="374" t="str">
        <f t="shared" si="522"/>
        <v/>
      </c>
      <c r="AA2220" s="374" t="b">
        <f t="shared" si="523"/>
        <v>1</v>
      </c>
      <c r="AB2220" s="374">
        <f>COUNTIFS(B:B,B2220,H:H,'סיווג התפקידים והעלויות'!$C$2)</f>
        <v>0</v>
      </c>
      <c r="AC2220" s="374">
        <f>COUNTIFS(B:B,B2220,H:H,'סיווג התפקידים והעלויות'!$D$2)</f>
        <v>0</v>
      </c>
      <c r="AD2220" s="374" t="str">
        <f>IF(OR(AND(H2220='סיווג התפקידים והעלויות'!$A$2,I2220='סיווג התפקידים והעלויות'!$A$3),'עלויות כח אדם (6)'!H2220='סיווג התפקידים והעלויות'!$C$2,'עלויות כח אדם (6)'!H2220='סיווג התפקידים והעלויות'!$D$2),IF('עלויות כח אדם (6)'!J2220&lt;75,"לא תקין","תקין"),"")</f>
        <v/>
      </c>
      <c r="AE2220" s="374" t="str">
        <f t="shared" si="524"/>
        <v/>
      </c>
      <c r="AF2220" s="532" t="str">
        <f t="shared" si="525"/>
        <v/>
      </c>
    </row>
    <row r="2221" spans="2:32" x14ac:dyDescent="0.25">
      <c r="B2221" s="695"/>
      <c r="C2221" s="197" t="str">
        <f>IF(B2221&lt;&gt;"",IFERROR(VLOOKUP(B:B,'מצבת והרשמה (2)'!$C$20:$N$520,2,0)," ")," ")</f>
        <v xml:space="preserve"> </v>
      </c>
      <c r="D2221" s="695"/>
      <c r="E2221" s="696"/>
      <c r="F2221" s="696"/>
      <c r="G2221" s="696"/>
      <c r="H2221" s="696"/>
      <c r="I2221" s="1050" t="str">
        <f t="shared" si="512"/>
        <v/>
      </c>
      <c r="J2221" s="696"/>
      <c r="K2221" s="697"/>
      <c r="L2221" s="696"/>
      <c r="M2221" s="198" t="str">
        <f t="shared" si="513"/>
        <v/>
      </c>
      <c r="N2221" s="369" t="str">
        <f t="shared" si="514"/>
        <v/>
      </c>
      <c r="O2221" s="183" t="str">
        <f t="shared" si="515"/>
        <v/>
      </c>
      <c r="P2221" s="199" t="str">
        <f t="shared" si="516"/>
        <v/>
      </c>
      <c r="Q2221" s="199" t="str">
        <f>IF(B2221="","",IFERROR(IF('עלויות כח אדם (6)'!J2221&gt;=VLOOKUP(I2221,'סיווג התפקידים והעלויות'!$B$23:$C$32,2,0),"תקין","לא תקין"),""))</f>
        <v/>
      </c>
      <c r="R2221" s="199" t="str">
        <f t="shared" si="517"/>
        <v/>
      </c>
      <c r="S2221" s="199" t="str">
        <f t="shared" si="518"/>
        <v/>
      </c>
      <c r="T2221" s="199" t="str">
        <f t="shared" si="526"/>
        <v/>
      </c>
      <c r="U2221" s="199" t="str">
        <f t="shared" si="519"/>
        <v/>
      </c>
      <c r="V2221" s="989"/>
      <c r="X2221" s="374" t="str">
        <f t="shared" si="520"/>
        <v/>
      </c>
      <c r="Y2221" s="375" t="str">
        <f t="shared" si="521"/>
        <v/>
      </c>
      <c r="Z2221" s="374" t="str">
        <f t="shared" si="522"/>
        <v/>
      </c>
      <c r="AA2221" s="374" t="b">
        <f t="shared" si="523"/>
        <v>1</v>
      </c>
      <c r="AB2221" s="374">
        <f>COUNTIFS(B:B,B2221,H:H,'סיווג התפקידים והעלויות'!$C$2)</f>
        <v>0</v>
      </c>
      <c r="AC2221" s="374">
        <f>COUNTIFS(B:B,B2221,H:H,'סיווג התפקידים והעלויות'!$D$2)</f>
        <v>0</v>
      </c>
      <c r="AD2221" s="374" t="str">
        <f>IF(OR(AND(H2221='סיווג התפקידים והעלויות'!$A$2,I2221='סיווג התפקידים והעלויות'!$A$3),'עלויות כח אדם (6)'!H2221='סיווג התפקידים והעלויות'!$C$2,'עלויות כח אדם (6)'!H2221='סיווג התפקידים והעלויות'!$D$2),IF('עלויות כח אדם (6)'!J2221&lt;75,"לא תקין","תקין"),"")</f>
        <v/>
      </c>
      <c r="AE2221" s="374" t="str">
        <f t="shared" si="524"/>
        <v/>
      </c>
      <c r="AF2221" s="532" t="str">
        <f t="shared" si="525"/>
        <v/>
      </c>
    </row>
    <row r="2222" spans="2:32" x14ac:dyDescent="0.25">
      <c r="B2222" s="695"/>
      <c r="C2222" s="197" t="str">
        <f>IF(B2222&lt;&gt;"",IFERROR(VLOOKUP(B:B,'מצבת והרשמה (2)'!$C$20:$N$520,2,0)," ")," ")</f>
        <v xml:space="preserve"> </v>
      </c>
      <c r="D2222" s="695"/>
      <c r="E2222" s="696"/>
      <c r="F2222" s="696"/>
      <c r="G2222" s="696"/>
      <c r="H2222" s="696"/>
      <c r="I2222" s="1050" t="str">
        <f t="shared" si="512"/>
        <v/>
      </c>
      <c r="J2222" s="696"/>
      <c r="K2222" s="697"/>
      <c r="L2222" s="696"/>
      <c r="M2222" s="198" t="str">
        <f t="shared" si="513"/>
        <v/>
      </c>
      <c r="N2222" s="369" t="str">
        <f t="shared" si="514"/>
        <v/>
      </c>
      <c r="O2222" s="183" t="str">
        <f t="shared" si="515"/>
        <v/>
      </c>
      <c r="P2222" s="199" t="str">
        <f t="shared" si="516"/>
        <v/>
      </c>
      <c r="Q2222" s="199" t="str">
        <f>IF(B2222="","",IFERROR(IF('עלויות כח אדם (6)'!J2222&gt;=VLOOKUP(I2222,'סיווג התפקידים והעלויות'!$B$23:$C$32,2,0),"תקין","לא תקין"),""))</f>
        <v/>
      </c>
      <c r="R2222" s="199" t="str">
        <f t="shared" si="517"/>
        <v/>
      </c>
      <c r="S2222" s="199" t="str">
        <f t="shared" si="518"/>
        <v/>
      </c>
      <c r="T2222" s="199" t="str">
        <f t="shared" si="526"/>
        <v/>
      </c>
      <c r="U2222" s="199" t="str">
        <f t="shared" si="519"/>
        <v/>
      </c>
      <c r="V2222" s="989"/>
      <c r="X2222" s="374" t="str">
        <f t="shared" si="520"/>
        <v/>
      </c>
      <c r="Y2222" s="375" t="str">
        <f t="shared" si="521"/>
        <v/>
      </c>
      <c r="Z2222" s="374" t="str">
        <f t="shared" si="522"/>
        <v/>
      </c>
      <c r="AA2222" s="374" t="b">
        <f t="shared" si="523"/>
        <v>1</v>
      </c>
      <c r="AB2222" s="374">
        <f>COUNTIFS(B:B,B2222,H:H,'סיווג התפקידים והעלויות'!$C$2)</f>
        <v>0</v>
      </c>
      <c r="AC2222" s="374">
        <f>COUNTIFS(B:B,B2222,H:H,'סיווג התפקידים והעלויות'!$D$2)</f>
        <v>0</v>
      </c>
      <c r="AD2222" s="374" t="str">
        <f>IF(OR(AND(H2222='סיווג התפקידים והעלויות'!$A$2,I2222='סיווג התפקידים והעלויות'!$A$3),'עלויות כח אדם (6)'!H2222='סיווג התפקידים והעלויות'!$C$2,'עלויות כח אדם (6)'!H2222='סיווג התפקידים והעלויות'!$D$2),IF('עלויות כח אדם (6)'!J2222&lt;75,"לא תקין","תקין"),"")</f>
        <v/>
      </c>
      <c r="AE2222" s="374" t="str">
        <f t="shared" si="524"/>
        <v/>
      </c>
      <c r="AF2222" s="532" t="str">
        <f t="shared" si="525"/>
        <v/>
      </c>
    </row>
    <row r="2223" spans="2:32" x14ac:dyDescent="0.25">
      <c r="B2223" s="695"/>
      <c r="C2223" s="197" t="str">
        <f>IF(B2223&lt;&gt;"",IFERROR(VLOOKUP(B:B,'מצבת והרשמה (2)'!$C$20:$N$520,2,0)," ")," ")</f>
        <v xml:space="preserve"> </v>
      </c>
      <c r="D2223" s="695"/>
      <c r="E2223" s="696"/>
      <c r="F2223" s="696"/>
      <c r="G2223" s="696"/>
      <c r="H2223" s="696"/>
      <c r="I2223" s="1050" t="str">
        <f t="shared" si="512"/>
        <v/>
      </c>
      <c r="J2223" s="696"/>
      <c r="K2223" s="697"/>
      <c r="L2223" s="696"/>
      <c r="M2223" s="198" t="str">
        <f t="shared" si="513"/>
        <v/>
      </c>
      <c r="N2223" s="369" t="str">
        <f t="shared" si="514"/>
        <v/>
      </c>
      <c r="O2223" s="183" t="str">
        <f t="shared" si="515"/>
        <v/>
      </c>
      <c r="P2223" s="199" t="str">
        <f t="shared" si="516"/>
        <v/>
      </c>
      <c r="Q2223" s="199" t="str">
        <f>IF(B2223="","",IFERROR(IF('עלויות כח אדם (6)'!J2223&gt;=VLOOKUP(I2223,'סיווג התפקידים והעלויות'!$B$23:$C$32,2,0),"תקין","לא תקין"),""))</f>
        <v/>
      </c>
      <c r="R2223" s="199" t="str">
        <f t="shared" si="517"/>
        <v/>
      </c>
      <c r="S2223" s="199" t="str">
        <f t="shared" si="518"/>
        <v/>
      </c>
      <c r="T2223" s="199" t="str">
        <f t="shared" si="526"/>
        <v/>
      </c>
      <c r="U2223" s="199" t="str">
        <f t="shared" si="519"/>
        <v/>
      </c>
      <c r="V2223" s="989"/>
      <c r="X2223" s="374" t="str">
        <f t="shared" si="520"/>
        <v/>
      </c>
      <c r="Y2223" s="375" t="str">
        <f t="shared" si="521"/>
        <v/>
      </c>
      <c r="Z2223" s="374" t="str">
        <f t="shared" si="522"/>
        <v/>
      </c>
      <c r="AA2223" s="374" t="b">
        <f t="shared" si="523"/>
        <v>1</v>
      </c>
      <c r="AB2223" s="374">
        <f>COUNTIFS(B:B,B2223,H:H,'סיווג התפקידים והעלויות'!$C$2)</f>
        <v>0</v>
      </c>
      <c r="AC2223" s="374">
        <f>COUNTIFS(B:B,B2223,H:H,'סיווג התפקידים והעלויות'!$D$2)</f>
        <v>0</v>
      </c>
      <c r="AD2223" s="374" t="str">
        <f>IF(OR(AND(H2223='סיווג התפקידים והעלויות'!$A$2,I2223='סיווג התפקידים והעלויות'!$A$3),'עלויות כח אדם (6)'!H2223='סיווג התפקידים והעלויות'!$C$2,'עלויות כח אדם (6)'!H2223='סיווג התפקידים והעלויות'!$D$2),IF('עלויות כח אדם (6)'!J2223&lt;75,"לא תקין","תקין"),"")</f>
        <v/>
      </c>
      <c r="AE2223" s="374" t="str">
        <f t="shared" si="524"/>
        <v/>
      </c>
      <c r="AF2223" s="532" t="str">
        <f t="shared" si="525"/>
        <v/>
      </c>
    </row>
    <row r="2224" spans="2:32" x14ac:dyDescent="0.25">
      <c r="B2224" s="695"/>
      <c r="C2224" s="197" t="str">
        <f>IF(B2224&lt;&gt;"",IFERROR(VLOOKUP(B:B,'מצבת והרשמה (2)'!$C$20:$N$520,2,0)," ")," ")</f>
        <v xml:space="preserve"> </v>
      </c>
      <c r="D2224" s="695"/>
      <c r="E2224" s="696"/>
      <c r="F2224" s="696"/>
      <c r="G2224" s="696"/>
      <c r="H2224" s="696"/>
      <c r="I2224" s="1050" t="str">
        <f t="shared" si="512"/>
        <v/>
      </c>
      <c r="J2224" s="696"/>
      <c r="K2224" s="697"/>
      <c r="L2224" s="696"/>
      <c r="M2224" s="198" t="str">
        <f t="shared" si="513"/>
        <v/>
      </c>
      <c r="N2224" s="369" t="str">
        <f t="shared" si="514"/>
        <v/>
      </c>
      <c r="O2224" s="183" t="str">
        <f t="shared" si="515"/>
        <v/>
      </c>
      <c r="P2224" s="199" t="str">
        <f t="shared" si="516"/>
        <v/>
      </c>
      <c r="Q2224" s="199" t="str">
        <f>IF(B2224="","",IFERROR(IF('עלויות כח אדם (6)'!J2224&gt;=VLOOKUP(I2224,'סיווג התפקידים והעלויות'!$B$23:$C$32,2,0),"תקין","לא תקין"),""))</f>
        <v/>
      </c>
      <c r="R2224" s="199" t="str">
        <f t="shared" si="517"/>
        <v/>
      </c>
      <c r="S2224" s="199" t="str">
        <f t="shared" si="518"/>
        <v/>
      </c>
      <c r="T2224" s="199" t="str">
        <f t="shared" si="526"/>
        <v/>
      </c>
      <c r="U2224" s="199" t="str">
        <f t="shared" si="519"/>
        <v/>
      </c>
      <c r="V2224" s="989"/>
      <c r="X2224" s="374" t="str">
        <f t="shared" si="520"/>
        <v/>
      </c>
      <c r="Y2224" s="375" t="str">
        <f t="shared" si="521"/>
        <v/>
      </c>
      <c r="Z2224" s="374" t="str">
        <f t="shared" si="522"/>
        <v/>
      </c>
      <c r="AA2224" s="374" t="b">
        <f t="shared" si="523"/>
        <v>1</v>
      </c>
      <c r="AB2224" s="374">
        <f>COUNTIFS(B:B,B2224,H:H,'סיווג התפקידים והעלויות'!$C$2)</f>
        <v>0</v>
      </c>
      <c r="AC2224" s="374">
        <f>COUNTIFS(B:B,B2224,H:H,'סיווג התפקידים והעלויות'!$D$2)</f>
        <v>0</v>
      </c>
      <c r="AD2224" s="374" t="str">
        <f>IF(OR(AND(H2224='סיווג התפקידים והעלויות'!$A$2,I2224='סיווג התפקידים והעלויות'!$A$3),'עלויות כח אדם (6)'!H2224='סיווג התפקידים והעלויות'!$C$2,'עלויות כח אדם (6)'!H2224='סיווג התפקידים והעלויות'!$D$2),IF('עלויות כח אדם (6)'!J2224&lt;75,"לא תקין","תקין"),"")</f>
        <v/>
      </c>
      <c r="AE2224" s="374" t="str">
        <f t="shared" si="524"/>
        <v/>
      </c>
      <c r="AF2224" s="532" t="str">
        <f t="shared" si="525"/>
        <v/>
      </c>
    </row>
    <row r="2225" spans="2:32" x14ac:dyDescent="0.25">
      <c r="B2225" s="695"/>
      <c r="C2225" s="197" t="str">
        <f>IF(B2225&lt;&gt;"",IFERROR(VLOOKUP(B:B,'מצבת והרשמה (2)'!$C$20:$N$520,2,0)," ")," ")</f>
        <v xml:space="preserve"> </v>
      </c>
      <c r="D2225" s="695"/>
      <c r="E2225" s="696"/>
      <c r="F2225" s="696"/>
      <c r="G2225" s="696"/>
      <c r="H2225" s="696"/>
      <c r="I2225" s="1050" t="str">
        <f t="shared" si="512"/>
        <v/>
      </c>
      <c r="J2225" s="696"/>
      <c r="K2225" s="697"/>
      <c r="L2225" s="696"/>
      <c r="M2225" s="198" t="str">
        <f t="shared" si="513"/>
        <v/>
      </c>
      <c r="N2225" s="369" t="str">
        <f t="shared" si="514"/>
        <v/>
      </c>
      <c r="O2225" s="183" t="str">
        <f t="shared" si="515"/>
        <v/>
      </c>
      <c r="P2225" s="199" t="str">
        <f t="shared" si="516"/>
        <v/>
      </c>
      <c r="Q2225" s="199" t="str">
        <f>IF(B2225="","",IFERROR(IF('עלויות כח אדם (6)'!J2225&gt;=VLOOKUP(I2225,'סיווג התפקידים והעלויות'!$B$23:$C$32,2,0),"תקין","לא תקין"),""))</f>
        <v/>
      </c>
      <c r="R2225" s="199" t="str">
        <f t="shared" si="517"/>
        <v/>
      </c>
      <c r="S2225" s="199" t="str">
        <f t="shared" si="518"/>
        <v/>
      </c>
      <c r="T2225" s="199" t="str">
        <f t="shared" si="526"/>
        <v/>
      </c>
      <c r="U2225" s="199" t="str">
        <f t="shared" si="519"/>
        <v/>
      </c>
      <c r="V2225" s="989"/>
      <c r="X2225" s="374" t="str">
        <f t="shared" si="520"/>
        <v/>
      </c>
      <c r="Y2225" s="375" t="str">
        <f t="shared" si="521"/>
        <v/>
      </c>
      <c r="Z2225" s="374" t="str">
        <f t="shared" si="522"/>
        <v/>
      </c>
      <c r="AA2225" s="374" t="b">
        <f t="shared" si="523"/>
        <v>1</v>
      </c>
      <c r="AB2225" s="374">
        <f>COUNTIFS(B:B,B2225,H:H,'סיווג התפקידים והעלויות'!$C$2)</f>
        <v>0</v>
      </c>
      <c r="AC2225" s="374">
        <f>COUNTIFS(B:B,B2225,H:H,'סיווג התפקידים והעלויות'!$D$2)</f>
        <v>0</v>
      </c>
      <c r="AD2225" s="374" t="str">
        <f>IF(OR(AND(H2225='סיווג התפקידים והעלויות'!$A$2,I2225='סיווג התפקידים והעלויות'!$A$3),'עלויות כח אדם (6)'!H2225='סיווג התפקידים והעלויות'!$C$2,'עלויות כח אדם (6)'!H2225='סיווג התפקידים והעלויות'!$D$2),IF('עלויות כח אדם (6)'!J2225&lt;75,"לא תקין","תקין"),"")</f>
        <v/>
      </c>
      <c r="AE2225" s="374" t="str">
        <f t="shared" si="524"/>
        <v/>
      </c>
      <c r="AF2225" s="532" t="str">
        <f t="shared" si="525"/>
        <v/>
      </c>
    </row>
    <row r="2226" spans="2:32" x14ac:dyDescent="0.25">
      <c r="B2226" s="695"/>
      <c r="C2226" s="197" t="str">
        <f>IF(B2226&lt;&gt;"",IFERROR(VLOOKUP(B:B,'מצבת והרשמה (2)'!$C$20:$N$520,2,0)," ")," ")</f>
        <v xml:space="preserve"> </v>
      </c>
      <c r="D2226" s="695"/>
      <c r="E2226" s="696"/>
      <c r="F2226" s="696"/>
      <c r="G2226" s="696"/>
      <c r="H2226" s="696"/>
      <c r="I2226" s="1050" t="str">
        <f t="shared" si="512"/>
        <v/>
      </c>
      <c r="J2226" s="696"/>
      <c r="K2226" s="697"/>
      <c r="L2226" s="696"/>
      <c r="M2226" s="198" t="str">
        <f t="shared" si="513"/>
        <v/>
      </c>
      <c r="N2226" s="369" t="str">
        <f t="shared" si="514"/>
        <v/>
      </c>
      <c r="O2226" s="183" t="str">
        <f t="shared" si="515"/>
        <v/>
      </c>
      <c r="P2226" s="199" t="str">
        <f t="shared" si="516"/>
        <v/>
      </c>
      <c r="Q2226" s="199" t="str">
        <f>IF(B2226="","",IFERROR(IF('עלויות כח אדם (6)'!J2226&gt;=VLOOKUP(I2226,'סיווג התפקידים והעלויות'!$B$23:$C$32,2,0),"תקין","לא תקין"),""))</f>
        <v/>
      </c>
      <c r="R2226" s="199" t="str">
        <f t="shared" si="517"/>
        <v/>
      </c>
      <c r="S2226" s="199" t="str">
        <f t="shared" si="518"/>
        <v/>
      </c>
      <c r="T2226" s="199" t="str">
        <f t="shared" si="526"/>
        <v/>
      </c>
      <c r="U2226" s="199" t="str">
        <f t="shared" si="519"/>
        <v/>
      </c>
      <c r="V2226" s="989"/>
      <c r="X2226" s="374" t="str">
        <f t="shared" si="520"/>
        <v/>
      </c>
      <c r="Y2226" s="375" t="str">
        <f t="shared" si="521"/>
        <v/>
      </c>
      <c r="Z2226" s="374" t="str">
        <f t="shared" si="522"/>
        <v/>
      </c>
      <c r="AA2226" s="374" t="b">
        <f t="shared" si="523"/>
        <v>1</v>
      </c>
      <c r="AB2226" s="374">
        <f>COUNTIFS(B:B,B2226,H:H,'סיווג התפקידים והעלויות'!$C$2)</f>
        <v>0</v>
      </c>
      <c r="AC2226" s="374">
        <f>COUNTIFS(B:B,B2226,H:H,'סיווג התפקידים והעלויות'!$D$2)</f>
        <v>0</v>
      </c>
      <c r="AD2226" s="374" t="str">
        <f>IF(OR(AND(H2226='סיווג התפקידים והעלויות'!$A$2,I2226='סיווג התפקידים והעלויות'!$A$3),'עלויות כח אדם (6)'!H2226='סיווג התפקידים והעלויות'!$C$2,'עלויות כח אדם (6)'!H2226='סיווג התפקידים והעלויות'!$D$2),IF('עלויות כח אדם (6)'!J2226&lt;75,"לא תקין","תקין"),"")</f>
        <v/>
      </c>
      <c r="AE2226" s="374" t="str">
        <f t="shared" si="524"/>
        <v/>
      </c>
      <c r="AF2226" s="532" t="str">
        <f t="shared" si="525"/>
        <v/>
      </c>
    </row>
    <row r="2227" spans="2:32" x14ac:dyDescent="0.25">
      <c r="B2227" s="695"/>
      <c r="C2227" s="197" t="str">
        <f>IF(B2227&lt;&gt;"",IFERROR(VLOOKUP(B:B,'מצבת והרשמה (2)'!$C$20:$N$520,2,0)," ")," ")</f>
        <v xml:space="preserve"> </v>
      </c>
      <c r="D2227" s="695"/>
      <c r="E2227" s="696"/>
      <c r="F2227" s="696"/>
      <c r="G2227" s="696"/>
      <c r="H2227" s="696"/>
      <c r="I2227" s="1050" t="str">
        <f t="shared" si="512"/>
        <v/>
      </c>
      <c r="J2227" s="696"/>
      <c r="K2227" s="697"/>
      <c r="L2227" s="696"/>
      <c r="M2227" s="198" t="str">
        <f t="shared" si="513"/>
        <v/>
      </c>
      <c r="N2227" s="369" t="str">
        <f t="shared" si="514"/>
        <v/>
      </c>
      <c r="O2227" s="183" t="str">
        <f t="shared" si="515"/>
        <v/>
      </c>
      <c r="P2227" s="199" t="str">
        <f t="shared" si="516"/>
        <v/>
      </c>
      <c r="Q2227" s="199" t="str">
        <f>IF(B2227="","",IFERROR(IF('עלויות כח אדם (6)'!J2227&gt;=VLOOKUP(I2227,'סיווג התפקידים והעלויות'!$B$23:$C$32,2,0),"תקין","לא תקין"),""))</f>
        <v/>
      </c>
      <c r="R2227" s="199" t="str">
        <f t="shared" si="517"/>
        <v/>
      </c>
      <c r="S2227" s="199" t="str">
        <f t="shared" si="518"/>
        <v/>
      </c>
      <c r="T2227" s="199" t="str">
        <f t="shared" si="526"/>
        <v/>
      </c>
      <c r="U2227" s="199" t="str">
        <f t="shared" si="519"/>
        <v/>
      </c>
      <c r="V2227" s="989"/>
      <c r="X2227" s="374" t="str">
        <f t="shared" si="520"/>
        <v/>
      </c>
      <c r="Y2227" s="375" t="str">
        <f t="shared" si="521"/>
        <v/>
      </c>
      <c r="Z2227" s="374" t="str">
        <f t="shared" si="522"/>
        <v/>
      </c>
      <c r="AA2227" s="374" t="b">
        <f t="shared" si="523"/>
        <v>1</v>
      </c>
      <c r="AB2227" s="374">
        <f>COUNTIFS(B:B,B2227,H:H,'סיווג התפקידים והעלויות'!$C$2)</f>
        <v>0</v>
      </c>
      <c r="AC2227" s="374">
        <f>COUNTIFS(B:B,B2227,H:H,'סיווג התפקידים והעלויות'!$D$2)</f>
        <v>0</v>
      </c>
      <c r="AD2227" s="374" t="str">
        <f>IF(OR(AND(H2227='סיווג התפקידים והעלויות'!$A$2,I2227='סיווג התפקידים והעלויות'!$A$3),'עלויות כח אדם (6)'!H2227='סיווג התפקידים והעלויות'!$C$2,'עלויות כח אדם (6)'!H2227='סיווג התפקידים והעלויות'!$D$2),IF('עלויות כח אדם (6)'!J2227&lt;75,"לא תקין","תקין"),"")</f>
        <v/>
      </c>
      <c r="AE2227" s="374" t="str">
        <f t="shared" si="524"/>
        <v/>
      </c>
      <c r="AF2227" s="532" t="str">
        <f t="shared" si="525"/>
        <v/>
      </c>
    </row>
    <row r="2228" spans="2:32" x14ac:dyDescent="0.25">
      <c r="B2228" s="695"/>
      <c r="C2228" s="197" t="str">
        <f>IF(B2228&lt;&gt;"",IFERROR(VLOOKUP(B:B,'מצבת והרשמה (2)'!$C$20:$N$520,2,0)," ")," ")</f>
        <v xml:space="preserve"> </v>
      </c>
      <c r="D2228" s="695"/>
      <c r="E2228" s="696"/>
      <c r="F2228" s="696"/>
      <c r="G2228" s="696"/>
      <c r="H2228" s="696"/>
      <c r="I2228" s="1050" t="str">
        <f t="shared" si="512"/>
        <v/>
      </c>
      <c r="J2228" s="696"/>
      <c r="K2228" s="697"/>
      <c r="L2228" s="696"/>
      <c r="M2228" s="198" t="str">
        <f t="shared" si="513"/>
        <v/>
      </c>
      <c r="N2228" s="369" t="str">
        <f t="shared" si="514"/>
        <v/>
      </c>
      <c r="O2228" s="183" t="str">
        <f t="shared" si="515"/>
        <v/>
      </c>
      <c r="P2228" s="199" t="str">
        <f t="shared" si="516"/>
        <v/>
      </c>
      <c r="Q2228" s="199" t="str">
        <f>IF(B2228="","",IFERROR(IF('עלויות כח אדם (6)'!J2228&gt;=VLOOKUP(I2228,'סיווג התפקידים והעלויות'!$B$23:$C$32,2,0),"תקין","לא תקין"),""))</f>
        <v/>
      </c>
      <c r="R2228" s="199" t="str">
        <f t="shared" si="517"/>
        <v/>
      </c>
      <c r="S2228" s="199" t="str">
        <f t="shared" si="518"/>
        <v/>
      </c>
      <c r="T2228" s="199" t="str">
        <f t="shared" si="526"/>
        <v/>
      </c>
      <c r="U2228" s="199" t="str">
        <f t="shared" si="519"/>
        <v/>
      </c>
      <c r="V2228" s="989"/>
      <c r="X2228" s="374" t="str">
        <f t="shared" si="520"/>
        <v/>
      </c>
      <c r="Y2228" s="375" t="str">
        <f t="shared" si="521"/>
        <v/>
      </c>
      <c r="Z2228" s="374" t="str">
        <f t="shared" si="522"/>
        <v/>
      </c>
      <c r="AA2228" s="374" t="b">
        <f t="shared" si="523"/>
        <v>1</v>
      </c>
      <c r="AB2228" s="374">
        <f>COUNTIFS(B:B,B2228,H:H,'סיווג התפקידים והעלויות'!$C$2)</f>
        <v>0</v>
      </c>
      <c r="AC2228" s="374">
        <f>COUNTIFS(B:B,B2228,H:H,'סיווג התפקידים והעלויות'!$D$2)</f>
        <v>0</v>
      </c>
      <c r="AD2228" s="374" t="str">
        <f>IF(OR(AND(H2228='סיווג התפקידים והעלויות'!$A$2,I2228='סיווג התפקידים והעלויות'!$A$3),'עלויות כח אדם (6)'!H2228='סיווג התפקידים והעלויות'!$C$2,'עלויות כח אדם (6)'!H2228='סיווג התפקידים והעלויות'!$D$2),IF('עלויות כח אדם (6)'!J2228&lt;75,"לא תקין","תקין"),"")</f>
        <v/>
      </c>
      <c r="AE2228" s="374" t="str">
        <f t="shared" si="524"/>
        <v/>
      </c>
      <c r="AF2228" s="532" t="str">
        <f t="shared" si="525"/>
        <v/>
      </c>
    </row>
    <row r="2229" spans="2:32" x14ac:dyDescent="0.25">
      <c r="B2229" s="695"/>
      <c r="C2229" s="197" t="str">
        <f>IF(B2229&lt;&gt;"",IFERROR(VLOOKUP(B:B,'מצבת והרשמה (2)'!$C$20:$N$520,2,0)," ")," ")</f>
        <v xml:space="preserve"> </v>
      </c>
      <c r="D2229" s="695"/>
      <c r="E2229" s="696"/>
      <c r="F2229" s="696"/>
      <c r="G2229" s="696"/>
      <c r="H2229" s="696"/>
      <c r="I2229" s="1050" t="str">
        <f t="shared" si="512"/>
        <v/>
      </c>
      <c r="J2229" s="696"/>
      <c r="K2229" s="697"/>
      <c r="L2229" s="696"/>
      <c r="M2229" s="198" t="str">
        <f t="shared" si="513"/>
        <v/>
      </c>
      <c r="N2229" s="369" t="str">
        <f t="shared" si="514"/>
        <v/>
      </c>
      <c r="O2229" s="183" t="str">
        <f t="shared" si="515"/>
        <v/>
      </c>
      <c r="P2229" s="199" t="str">
        <f t="shared" si="516"/>
        <v/>
      </c>
      <c r="Q2229" s="199" t="str">
        <f>IF(B2229="","",IFERROR(IF('עלויות כח אדם (6)'!J2229&gt;=VLOOKUP(I2229,'סיווג התפקידים והעלויות'!$B$23:$C$32,2,0),"תקין","לא תקין"),""))</f>
        <v/>
      </c>
      <c r="R2229" s="199" t="str">
        <f t="shared" si="517"/>
        <v/>
      </c>
      <c r="S2229" s="199" t="str">
        <f t="shared" si="518"/>
        <v/>
      </c>
      <c r="T2229" s="199" t="str">
        <f t="shared" si="526"/>
        <v/>
      </c>
      <c r="U2229" s="199" t="str">
        <f t="shared" si="519"/>
        <v/>
      </c>
      <c r="V2229" s="989"/>
      <c r="X2229" s="374" t="str">
        <f t="shared" si="520"/>
        <v/>
      </c>
      <c r="Y2229" s="375" t="str">
        <f t="shared" si="521"/>
        <v/>
      </c>
      <c r="Z2229" s="374" t="str">
        <f t="shared" si="522"/>
        <v/>
      </c>
      <c r="AA2229" s="374" t="b">
        <f t="shared" si="523"/>
        <v>1</v>
      </c>
      <c r="AB2229" s="374">
        <f>COUNTIFS(B:B,B2229,H:H,'סיווג התפקידים והעלויות'!$C$2)</f>
        <v>0</v>
      </c>
      <c r="AC2229" s="374">
        <f>COUNTIFS(B:B,B2229,H:H,'סיווג התפקידים והעלויות'!$D$2)</f>
        <v>0</v>
      </c>
      <c r="AD2229" s="374" t="str">
        <f>IF(OR(AND(H2229='סיווג התפקידים והעלויות'!$A$2,I2229='סיווג התפקידים והעלויות'!$A$3),'עלויות כח אדם (6)'!H2229='סיווג התפקידים והעלויות'!$C$2,'עלויות כח אדם (6)'!H2229='סיווג התפקידים והעלויות'!$D$2),IF('עלויות כח אדם (6)'!J2229&lt;75,"לא תקין","תקין"),"")</f>
        <v/>
      </c>
      <c r="AE2229" s="374" t="str">
        <f t="shared" si="524"/>
        <v/>
      </c>
      <c r="AF2229" s="532" t="str">
        <f t="shared" si="525"/>
        <v/>
      </c>
    </row>
    <row r="2230" spans="2:32" x14ac:dyDescent="0.25">
      <c r="B2230" s="695"/>
      <c r="C2230" s="197" t="str">
        <f>IF(B2230&lt;&gt;"",IFERROR(VLOOKUP(B:B,'מצבת והרשמה (2)'!$C$20:$N$520,2,0)," ")," ")</f>
        <v xml:space="preserve"> </v>
      </c>
      <c r="D2230" s="695"/>
      <c r="E2230" s="696"/>
      <c r="F2230" s="696"/>
      <c r="G2230" s="696"/>
      <c r="H2230" s="696"/>
      <c r="I2230" s="1050" t="str">
        <f t="shared" si="512"/>
        <v/>
      </c>
      <c r="J2230" s="696"/>
      <c r="K2230" s="697"/>
      <c r="L2230" s="696"/>
      <c r="M2230" s="198" t="str">
        <f t="shared" si="513"/>
        <v/>
      </c>
      <c r="N2230" s="369" t="str">
        <f t="shared" si="514"/>
        <v/>
      </c>
      <c r="O2230" s="183" t="str">
        <f t="shared" si="515"/>
        <v/>
      </c>
      <c r="P2230" s="199" t="str">
        <f t="shared" si="516"/>
        <v/>
      </c>
      <c r="Q2230" s="199" t="str">
        <f>IF(B2230="","",IFERROR(IF('עלויות כח אדם (6)'!J2230&gt;=VLOOKUP(I2230,'סיווג התפקידים והעלויות'!$B$23:$C$32,2,0),"תקין","לא תקין"),""))</f>
        <v/>
      </c>
      <c r="R2230" s="199" t="str">
        <f t="shared" si="517"/>
        <v/>
      </c>
      <c r="S2230" s="199" t="str">
        <f t="shared" si="518"/>
        <v/>
      </c>
      <c r="T2230" s="199" t="str">
        <f t="shared" si="526"/>
        <v/>
      </c>
      <c r="U2230" s="199" t="str">
        <f t="shared" si="519"/>
        <v/>
      </c>
      <c r="V2230" s="989"/>
      <c r="X2230" s="374" t="str">
        <f t="shared" si="520"/>
        <v/>
      </c>
      <c r="Y2230" s="375" t="str">
        <f t="shared" si="521"/>
        <v/>
      </c>
      <c r="Z2230" s="374" t="str">
        <f t="shared" si="522"/>
        <v/>
      </c>
      <c r="AA2230" s="374" t="b">
        <f t="shared" si="523"/>
        <v>1</v>
      </c>
      <c r="AB2230" s="374">
        <f>COUNTIFS(B:B,B2230,H:H,'סיווג התפקידים והעלויות'!$C$2)</f>
        <v>0</v>
      </c>
      <c r="AC2230" s="374">
        <f>COUNTIFS(B:B,B2230,H:H,'סיווג התפקידים והעלויות'!$D$2)</f>
        <v>0</v>
      </c>
      <c r="AD2230" s="374" t="str">
        <f>IF(OR(AND(H2230='סיווג התפקידים והעלויות'!$A$2,I2230='סיווג התפקידים והעלויות'!$A$3),'עלויות כח אדם (6)'!H2230='סיווג התפקידים והעלויות'!$C$2,'עלויות כח אדם (6)'!H2230='סיווג התפקידים והעלויות'!$D$2),IF('עלויות כח אדם (6)'!J2230&lt;75,"לא תקין","תקין"),"")</f>
        <v/>
      </c>
      <c r="AE2230" s="374" t="str">
        <f t="shared" si="524"/>
        <v/>
      </c>
      <c r="AF2230" s="532" t="str">
        <f t="shared" si="525"/>
        <v/>
      </c>
    </row>
    <row r="2231" spans="2:32" x14ac:dyDescent="0.25">
      <c r="B2231" s="695"/>
      <c r="C2231" s="197" t="str">
        <f>IF(B2231&lt;&gt;"",IFERROR(VLOOKUP(B:B,'מצבת והרשמה (2)'!$C$20:$N$520,2,0)," ")," ")</f>
        <v xml:space="preserve"> </v>
      </c>
      <c r="D2231" s="695"/>
      <c r="E2231" s="696"/>
      <c r="F2231" s="696"/>
      <c r="G2231" s="696"/>
      <c r="H2231" s="696"/>
      <c r="I2231" s="1050" t="str">
        <f t="shared" si="512"/>
        <v/>
      </c>
      <c r="J2231" s="696"/>
      <c r="K2231" s="697"/>
      <c r="L2231" s="696"/>
      <c r="M2231" s="198" t="str">
        <f t="shared" si="513"/>
        <v/>
      </c>
      <c r="N2231" s="369" t="str">
        <f t="shared" si="514"/>
        <v/>
      </c>
      <c r="O2231" s="183" t="str">
        <f t="shared" si="515"/>
        <v/>
      </c>
      <c r="P2231" s="199" t="str">
        <f t="shared" si="516"/>
        <v/>
      </c>
      <c r="Q2231" s="199" t="str">
        <f>IF(B2231="","",IFERROR(IF('עלויות כח אדם (6)'!J2231&gt;=VLOOKUP(I2231,'סיווג התפקידים והעלויות'!$B$23:$C$32,2,0),"תקין","לא תקין"),""))</f>
        <v/>
      </c>
      <c r="R2231" s="199" t="str">
        <f t="shared" si="517"/>
        <v/>
      </c>
      <c r="S2231" s="199" t="str">
        <f t="shared" si="518"/>
        <v/>
      </c>
      <c r="T2231" s="199" t="str">
        <f t="shared" si="526"/>
        <v/>
      </c>
      <c r="U2231" s="199" t="str">
        <f t="shared" si="519"/>
        <v/>
      </c>
      <c r="V2231" s="989"/>
      <c r="X2231" s="374" t="str">
        <f t="shared" si="520"/>
        <v/>
      </c>
      <c r="Y2231" s="375" t="str">
        <f t="shared" si="521"/>
        <v/>
      </c>
      <c r="Z2231" s="374" t="str">
        <f t="shared" si="522"/>
        <v/>
      </c>
      <c r="AA2231" s="374" t="b">
        <f t="shared" si="523"/>
        <v>1</v>
      </c>
      <c r="AB2231" s="374">
        <f>COUNTIFS(B:B,B2231,H:H,'סיווג התפקידים והעלויות'!$C$2)</f>
        <v>0</v>
      </c>
      <c r="AC2231" s="374">
        <f>COUNTIFS(B:B,B2231,H:H,'סיווג התפקידים והעלויות'!$D$2)</f>
        <v>0</v>
      </c>
      <c r="AD2231" s="374" t="str">
        <f>IF(OR(AND(H2231='סיווג התפקידים והעלויות'!$A$2,I2231='סיווג התפקידים והעלויות'!$A$3),'עלויות כח אדם (6)'!H2231='סיווג התפקידים והעלויות'!$C$2,'עלויות כח אדם (6)'!H2231='סיווג התפקידים והעלויות'!$D$2),IF('עלויות כח אדם (6)'!J2231&lt;75,"לא תקין","תקין"),"")</f>
        <v/>
      </c>
      <c r="AE2231" s="374" t="str">
        <f t="shared" si="524"/>
        <v/>
      </c>
      <c r="AF2231" s="532" t="str">
        <f t="shared" si="525"/>
        <v/>
      </c>
    </row>
    <row r="2232" spans="2:32" x14ac:dyDescent="0.25">
      <c r="B2232" s="695"/>
      <c r="C2232" s="197" t="str">
        <f>IF(B2232&lt;&gt;"",IFERROR(VLOOKUP(B:B,'מצבת והרשמה (2)'!$C$20:$N$520,2,0)," ")," ")</f>
        <v xml:space="preserve"> </v>
      </c>
      <c r="D2232" s="695"/>
      <c r="E2232" s="696"/>
      <c r="F2232" s="696"/>
      <c r="G2232" s="696"/>
      <c r="H2232" s="696"/>
      <c r="I2232" s="1050" t="str">
        <f t="shared" si="512"/>
        <v/>
      </c>
      <c r="J2232" s="696"/>
      <c r="K2232" s="697"/>
      <c r="L2232" s="696"/>
      <c r="M2232" s="198" t="str">
        <f t="shared" si="513"/>
        <v/>
      </c>
      <c r="N2232" s="369" t="str">
        <f t="shared" si="514"/>
        <v/>
      </c>
      <c r="O2232" s="183" t="str">
        <f t="shared" si="515"/>
        <v/>
      </c>
      <c r="P2232" s="199" t="str">
        <f t="shared" si="516"/>
        <v/>
      </c>
      <c r="Q2232" s="199" t="str">
        <f>IF(B2232="","",IFERROR(IF('עלויות כח אדם (6)'!J2232&gt;=VLOOKUP(I2232,'סיווג התפקידים והעלויות'!$B$23:$C$32,2,0),"תקין","לא תקין"),""))</f>
        <v/>
      </c>
      <c r="R2232" s="199" t="str">
        <f t="shared" si="517"/>
        <v/>
      </c>
      <c r="S2232" s="199" t="str">
        <f t="shared" si="518"/>
        <v/>
      </c>
      <c r="T2232" s="199" t="str">
        <f t="shared" si="526"/>
        <v/>
      </c>
      <c r="U2232" s="199" t="str">
        <f t="shared" si="519"/>
        <v/>
      </c>
      <c r="V2232" s="989"/>
      <c r="X2232" s="374" t="str">
        <f t="shared" si="520"/>
        <v/>
      </c>
      <c r="Y2232" s="375" t="str">
        <f t="shared" si="521"/>
        <v/>
      </c>
      <c r="Z2232" s="374" t="str">
        <f t="shared" si="522"/>
        <v/>
      </c>
      <c r="AA2232" s="374" t="b">
        <f t="shared" si="523"/>
        <v>1</v>
      </c>
      <c r="AB2232" s="374">
        <f>COUNTIFS(B:B,B2232,H:H,'סיווג התפקידים והעלויות'!$C$2)</f>
        <v>0</v>
      </c>
      <c r="AC2232" s="374">
        <f>COUNTIFS(B:B,B2232,H:H,'סיווג התפקידים והעלויות'!$D$2)</f>
        <v>0</v>
      </c>
      <c r="AD2232" s="374" t="str">
        <f>IF(OR(AND(H2232='סיווג התפקידים והעלויות'!$A$2,I2232='סיווג התפקידים והעלויות'!$A$3),'עלויות כח אדם (6)'!H2232='סיווג התפקידים והעלויות'!$C$2,'עלויות כח אדם (6)'!H2232='סיווג התפקידים והעלויות'!$D$2),IF('עלויות כח אדם (6)'!J2232&lt;75,"לא תקין","תקין"),"")</f>
        <v/>
      </c>
      <c r="AE2232" s="374" t="str">
        <f t="shared" si="524"/>
        <v/>
      </c>
      <c r="AF2232" s="532" t="str">
        <f t="shared" si="525"/>
        <v/>
      </c>
    </row>
    <row r="2233" spans="2:32" x14ac:dyDescent="0.25">
      <c r="B2233" s="695"/>
      <c r="C2233" s="197" t="str">
        <f>IF(B2233&lt;&gt;"",IFERROR(VLOOKUP(B:B,'מצבת והרשמה (2)'!$C$20:$N$520,2,0)," ")," ")</f>
        <v xml:space="preserve"> </v>
      </c>
      <c r="D2233" s="695"/>
      <c r="E2233" s="696"/>
      <c r="F2233" s="696"/>
      <c r="G2233" s="696"/>
      <c r="H2233" s="696"/>
      <c r="I2233" s="1050" t="str">
        <f t="shared" si="512"/>
        <v/>
      </c>
      <c r="J2233" s="696"/>
      <c r="K2233" s="697"/>
      <c r="L2233" s="696"/>
      <c r="M2233" s="198" t="str">
        <f t="shared" si="513"/>
        <v/>
      </c>
      <c r="N2233" s="369" t="str">
        <f t="shared" si="514"/>
        <v/>
      </c>
      <c r="O2233" s="183" t="str">
        <f t="shared" si="515"/>
        <v/>
      </c>
      <c r="P2233" s="199" t="str">
        <f t="shared" si="516"/>
        <v/>
      </c>
      <c r="Q2233" s="199" t="str">
        <f>IF(B2233="","",IFERROR(IF('עלויות כח אדם (6)'!J2233&gt;=VLOOKUP(I2233,'סיווג התפקידים והעלויות'!$B$23:$C$32,2,0),"תקין","לא תקין"),""))</f>
        <v/>
      </c>
      <c r="R2233" s="199" t="str">
        <f t="shared" si="517"/>
        <v/>
      </c>
      <c r="S2233" s="199" t="str">
        <f t="shared" si="518"/>
        <v/>
      </c>
      <c r="T2233" s="199" t="str">
        <f t="shared" si="526"/>
        <v/>
      </c>
      <c r="U2233" s="199" t="str">
        <f t="shared" si="519"/>
        <v/>
      </c>
      <c r="V2233" s="989"/>
      <c r="X2233" s="374" t="str">
        <f t="shared" si="520"/>
        <v/>
      </c>
      <c r="Y2233" s="375" t="str">
        <f t="shared" si="521"/>
        <v/>
      </c>
      <c r="Z2233" s="374" t="str">
        <f t="shared" si="522"/>
        <v/>
      </c>
      <c r="AA2233" s="374" t="b">
        <f t="shared" si="523"/>
        <v>1</v>
      </c>
      <c r="AB2233" s="374">
        <f>COUNTIFS(B:B,B2233,H:H,'סיווג התפקידים והעלויות'!$C$2)</f>
        <v>0</v>
      </c>
      <c r="AC2233" s="374">
        <f>COUNTIFS(B:B,B2233,H:H,'סיווג התפקידים והעלויות'!$D$2)</f>
        <v>0</v>
      </c>
      <c r="AD2233" s="374" t="str">
        <f>IF(OR(AND(H2233='סיווג התפקידים והעלויות'!$A$2,I2233='סיווג התפקידים והעלויות'!$A$3),'עלויות כח אדם (6)'!H2233='סיווג התפקידים והעלויות'!$C$2,'עלויות כח אדם (6)'!H2233='סיווג התפקידים והעלויות'!$D$2),IF('עלויות כח אדם (6)'!J2233&lt;75,"לא תקין","תקין"),"")</f>
        <v/>
      </c>
      <c r="AE2233" s="374" t="str">
        <f t="shared" si="524"/>
        <v/>
      </c>
      <c r="AF2233" s="532" t="str">
        <f t="shared" si="525"/>
        <v/>
      </c>
    </row>
    <row r="2234" spans="2:32" x14ac:dyDescent="0.25">
      <c r="B2234" s="695"/>
      <c r="C2234" s="197" t="str">
        <f>IF(B2234&lt;&gt;"",IFERROR(VLOOKUP(B:B,'מצבת והרשמה (2)'!$C$20:$N$520,2,0)," ")," ")</f>
        <v xml:space="preserve"> </v>
      </c>
      <c r="D2234" s="695"/>
      <c r="E2234" s="696"/>
      <c r="F2234" s="696"/>
      <c r="G2234" s="696"/>
      <c r="H2234" s="696"/>
      <c r="I2234" s="1050" t="str">
        <f t="shared" si="512"/>
        <v/>
      </c>
      <c r="J2234" s="696"/>
      <c r="K2234" s="697"/>
      <c r="L2234" s="696"/>
      <c r="M2234" s="198" t="str">
        <f t="shared" si="513"/>
        <v/>
      </c>
      <c r="N2234" s="369" t="str">
        <f t="shared" si="514"/>
        <v/>
      </c>
      <c r="O2234" s="183" t="str">
        <f t="shared" si="515"/>
        <v/>
      </c>
      <c r="P2234" s="199" t="str">
        <f t="shared" si="516"/>
        <v/>
      </c>
      <c r="Q2234" s="199" t="str">
        <f>IF(B2234="","",IFERROR(IF('עלויות כח אדם (6)'!J2234&gt;=VLOOKUP(I2234,'סיווג התפקידים והעלויות'!$B$23:$C$32,2,0),"תקין","לא תקין"),""))</f>
        <v/>
      </c>
      <c r="R2234" s="199" t="str">
        <f t="shared" si="517"/>
        <v/>
      </c>
      <c r="S2234" s="199" t="str">
        <f t="shared" si="518"/>
        <v/>
      </c>
      <c r="T2234" s="199" t="str">
        <f t="shared" si="526"/>
        <v/>
      </c>
      <c r="U2234" s="199" t="str">
        <f t="shared" si="519"/>
        <v/>
      </c>
      <c r="V2234" s="989"/>
      <c r="X2234" s="374" t="str">
        <f t="shared" si="520"/>
        <v/>
      </c>
      <c r="Y2234" s="375" t="str">
        <f t="shared" si="521"/>
        <v/>
      </c>
      <c r="Z2234" s="374" t="str">
        <f t="shared" si="522"/>
        <v/>
      </c>
      <c r="AA2234" s="374" t="b">
        <f t="shared" si="523"/>
        <v>1</v>
      </c>
      <c r="AB2234" s="374">
        <f>COUNTIFS(B:B,B2234,H:H,'סיווג התפקידים והעלויות'!$C$2)</f>
        <v>0</v>
      </c>
      <c r="AC2234" s="374">
        <f>COUNTIFS(B:B,B2234,H:H,'סיווג התפקידים והעלויות'!$D$2)</f>
        <v>0</v>
      </c>
      <c r="AD2234" s="374" t="str">
        <f>IF(OR(AND(H2234='סיווג התפקידים והעלויות'!$A$2,I2234='סיווג התפקידים והעלויות'!$A$3),'עלויות כח אדם (6)'!H2234='סיווג התפקידים והעלויות'!$C$2,'עלויות כח אדם (6)'!H2234='סיווג התפקידים והעלויות'!$D$2),IF('עלויות כח אדם (6)'!J2234&lt;75,"לא תקין","תקין"),"")</f>
        <v/>
      </c>
      <c r="AE2234" s="374" t="str">
        <f t="shared" si="524"/>
        <v/>
      </c>
      <c r="AF2234" s="532" t="str">
        <f t="shared" si="525"/>
        <v/>
      </c>
    </row>
    <row r="2235" spans="2:32" x14ac:dyDescent="0.25">
      <c r="B2235" s="695"/>
      <c r="C2235" s="197" t="str">
        <f>IF(B2235&lt;&gt;"",IFERROR(VLOOKUP(B:B,'מצבת והרשמה (2)'!$C$20:$N$520,2,0)," ")," ")</f>
        <v xml:space="preserve"> </v>
      </c>
      <c r="D2235" s="695"/>
      <c r="E2235" s="696"/>
      <c r="F2235" s="696"/>
      <c r="G2235" s="696"/>
      <c r="H2235" s="696"/>
      <c r="I2235" s="1050" t="str">
        <f t="shared" si="512"/>
        <v/>
      </c>
      <c r="J2235" s="696"/>
      <c r="K2235" s="697"/>
      <c r="L2235" s="696"/>
      <c r="M2235" s="198" t="str">
        <f t="shared" si="513"/>
        <v/>
      </c>
      <c r="N2235" s="369" t="str">
        <f t="shared" si="514"/>
        <v/>
      </c>
      <c r="O2235" s="183" t="str">
        <f t="shared" si="515"/>
        <v/>
      </c>
      <c r="P2235" s="199" t="str">
        <f t="shared" si="516"/>
        <v/>
      </c>
      <c r="Q2235" s="199" t="str">
        <f>IF(B2235="","",IFERROR(IF('עלויות כח אדם (6)'!J2235&gt;=VLOOKUP(I2235,'סיווג התפקידים והעלויות'!$B$23:$C$32,2,0),"תקין","לא תקין"),""))</f>
        <v/>
      </c>
      <c r="R2235" s="199" t="str">
        <f t="shared" si="517"/>
        <v/>
      </c>
      <c r="S2235" s="199" t="str">
        <f t="shared" si="518"/>
        <v/>
      </c>
      <c r="T2235" s="199" t="str">
        <f t="shared" si="526"/>
        <v/>
      </c>
      <c r="U2235" s="199" t="str">
        <f t="shared" si="519"/>
        <v/>
      </c>
      <c r="V2235" s="989"/>
      <c r="X2235" s="374" t="str">
        <f t="shared" si="520"/>
        <v/>
      </c>
      <c r="Y2235" s="375" t="str">
        <f t="shared" si="521"/>
        <v/>
      </c>
      <c r="Z2235" s="374" t="str">
        <f t="shared" si="522"/>
        <v/>
      </c>
      <c r="AA2235" s="374" t="b">
        <f t="shared" si="523"/>
        <v>1</v>
      </c>
      <c r="AB2235" s="374">
        <f>COUNTIFS(B:B,B2235,H:H,'סיווג התפקידים והעלויות'!$C$2)</f>
        <v>0</v>
      </c>
      <c r="AC2235" s="374">
        <f>COUNTIFS(B:B,B2235,H:H,'סיווג התפקידים והעלויות'!$D$2)</f>
        <v>0</v>
      </c>
      <c r="AD2235" s="374" t="str">
        <f>IF(OR(AND(H2235='סיווג התפקידים והעלויות'!$A$2,I2235='סיווג התפקידים והעלויות'!$A$3),'עלויות כח אדם (6)'!H2235='סיווג התפקידים והעלויות'!$C$2,'עלויות כח אדם (6)'!H2235='סיווג התפקידים והעלויות'!$D$2),IF('עלויות כח אדם (6)'!J2235&lt;75,"לא תקין","תקין"),"")</f>
        <v/>
      </c>
      <c r="AE2235" s="374" t="str">
        <f t="shared" si="524"/>
        <v/>
      </c>
      <c r="AF2235" s="532" t="str">
        <f t="shared" si="525"/>
        <v/>
      </c>
    </row>
    <row r="2236" spans="2:32" x14ac:dyDescent="0.25">
      <c r="B2236" s="695"/>
      <c r="C2236" s="197" t="str">
        <f>IF(B2236&lt;&gt;"",IFERROR(VLOOKUP(B:B,'מצבת והרשמה (2)'!$C$20:$N$520,2,0)," ")," ")</f>
        <v xml:space="preserve"> </v>
      </c>
      <c r="D2236" s="695"/>
      <c r="E2236" s="696"/>
      <c r="F2236" s="696"/>
      <c r="G2236" s="696"/>
      <c r="H2236" s="696"/>
      <c r="I2236" s="1050" t="str">
        <f t="shared" si="512"/>
        <v/>
      </c>
      <c r="J2236" s="696"/>
      <c r="K2236" s="697"/>
      <c r="L2236" s="696"/>
      <c r="M2236" s="198" t="str">
        <f t="shared" si="513"/>
        <v/>
      </c>
      <c r="N2236" s="369" t="str">
        <f t="shared" si="514"/>
        <v/>
      </c>
      <c r="O2236" s="183" t="str">
        <f t="shared" si="515"/>
        <v/>
      </c>
      <c r="P2236" s="199" t="str">
        <f t="shared" si="516"/>
        <v/>
      </c>
      <c r="Q2236" s="199" t="str">
        <f>IF(B2236="","",IFERROR(IF('עלויות כח אדם (6)'!J2236&gt;=VLOOKUP(I2236,'סיווג התפקידים והעלויות'!$B$23:$C$32,2,0),"תקין","לא תקין"),""))</f>
        <v/>
      </c>
      <c r="R2236" s="199" t="str">
        <f t="shared" si="517"/>
        <v/>
      </c>
      <c r="S2236" s="199" t="str">
        <f t="shared" si="518"/>
        <v/>
      </c>
      <c r="T2236" s="199" t="str">
        <f t="shared" si="526"/>
        <v/>
      </c>
      <c r="U2236" s="199" t="str">
        <f t="shared" si="519"/>
        <v/>
      </c>
      <c r="V2236" s="989"/>
      <c r="X2236" s="374" t="str">
        <f t="shared" si="520"/>
        <v/>
      </c>
      <c r="Y2236" s="375" t="str">
        <f t="shared" si="521"/>
        <v/>
      </c>
      <c r="Z2236" s="374" t="str">
        <f t="shared" si="522"/>
        <v/>
      </c>
      <c r="AA2236" s="374" t="b">
        <f t="shared" si="523"/>
        <v>1</v>
      </c>
      <c r="AB2236" s="374">
        <f>COUNTIFS(B:B,B2236,H:H,'סיווג התפקידים והעלויות'!$C$2)</f>
        <v>0</v>
      </c>
      <c r="AC2236" s="374">
        <f>COUNTIFS(B:B,B2236,H:H,'סיווג התפקידים והעלויות'!$D$2)</f>
        <v>0</v>
      </c>
      <c r="AD2236" s="374" t="str">
        <f>IF(OR(AND(H2236='סיווג התפקידים והעלויות'!$A$2,I2236='סיווג התפקידים והעלויות'!$A$3),'עלויות כח אדם (6)'!H2236='סיווג התפקידים והעלויות'!$C$2,'עלויות כח אדם (6)'!H2236='סיווג התפקידים והעלויות'!$D$2),IF('עלויות כח אדם (6)'!J2236&lt;75,"לא תקין","תקין"),"")</f>
        <v/>
      </c>
      <c r="AE2236" s="374" t="str">
        <f t="shared" si="524"/>
        <v/>
      </c>
      <c r="AF2236" s="532" t="str">
        <f t="shared" si="525"/>
        <v/>
      </c>
    </row>
    <row r="2237" spans="2:32" x14ac:dyDescent="0.25">
      <c r="B2237" s="695"/>
      <c r="C2237" s="197" t="str">
        <f>IF(B2237&lt;&gt;"",IFERROR(VLOOKUP(B:B,'מצבת והרשמה (2)'!$C$20:$N$520,2,0)," ")," ")</f>
        <v xml:space="preserve"> </v>
      </c>
      <c r="D2237" s="695"/>
      <c r="E2237" s="696"/>
      <c r="F2237" s="696"/>
      <c r="G2237" s="696"/>
      <c r="H2237" s="696"/>
      <c r="I2237" s="1050" t="str">
        <f t="shared" si="512"/>
        <v/>
      </c>
      <c r="J2237" s="696"/>
      <c r="K2237" s="697"/>
      <c r="L2237" s="696"/>
      <c r="M2237" s="198" t="str">
        <f t="shared" si="513"/>
        <v/>
      </c>
      <c r="N2237" s="369" t="str">
        <f t="shared" si="514"/>
        <v/>
      </c>
      <c r="O2237" s="183" t="str">
        <f t="shared" si="515"/>
        <v/>
      </c>
      <c r="P2237" s="199" t="str">
        <f t="shared" si="516"/>
        <v/>
      </c>
      <c r="Q2237" s="199" t="str">
        <f>IF(B2237="","",IFERROR(IF('עלויות כח אדם (6)'!J2237&gt;=VLOOKUP(I2237,'סיווג התפקידים והעלויות'!$B$23:$C$32,2,0),"תקין","לא תקין"),""))</f>
        <v/>
      </c>
      <c r="R2237" s="199" t="str">
        <f t="shared" si="517"/>
        <v/>
      </c>
      <c r="S2237" s="199" t="str">
        <f t="shared" si="518"/>
        <v/>
      </c>
      <c r="T2237" s="199" t="str">
        <f t="shared" si="526"/>
        <v/>
      </c>
      <c r="U2237" s="199" t="str">
        <f t="shared" si="519"/>
        <v/>
      </c>
      <c r="V2237" s="989"/>
      <c r="X2237" s="374" t="str">
        <f t="shared" si="520"/>
        <v/>
      </c>
      <c r="Y2237" s="375" t="str">
        <f t="shared" si="521"/>
        <v/>
      </c>
      <c r="Z2237" s="374" t="str">
        <f t="shared" si="522"/>
        <v/>
      </c>
      <c r="AA2237" s="374" t="b">
        <f t="shared" si="523"/>
        <v>1</v>
      </c>
      <c r="AB2237" s="374">
        <f>COUNTIFS(B:B,B2237,H:H,'סיווג התפקידים והעלויות'!$C$2)</f>
        <v>0</v>
      </c>
      <c r="AC2237" s="374">
        <f>COUNTIFS(B:B,B2237,H:H,'סיווג התפקידים והעלויות'!$D$2)</f>
        <v>0</v>
      </c>
      <c r="AD2237" s="374" t="str">
        <f>IF(OR(AND(H2237='סיווג התפקידים והעלויות'!$A$2,I2237='סיווג התפקידים והעלויות'!$A$3),'עלויות כח אדם (6)'!H2237='סיווג התפקידים והעלויות'!$C$2,'עלויות כח אדם (6)'!H2237='סיווג התפקידים והעלויות'!$D$2),IF('עלויות כח אדם (6)'!J2237&lt;75,"לא תקין","תקין"),"")</f>
        <v/>
      </c>
      <c r="AE2237" s="374" t="str">
        <f t="shared" si="524"/>
        <v/>
      </c>
      <c r="AF2237" s="532" t="str">
        <f t="shared" si="525"/>
        <v/>
      </c>
    </row>
    <row r="2238" spans="2:32" x14ac:dyDescent="0.25">
      <c r="B2238" s="695"/>
      <c r="C2238" s="197" t="str">
        <f>IF(B2238&lt;&gt;"",IFERROR(VLOOKUP(B:B,'מצבת והרשמה (2)'!$C$20:$N$520,2,0)," ")," ")</f>
        <v xml:space="preserve"> </v>
      </c>
      <c r="D2238" s="695"/>
      <c r="E2238" s="696"/>
      <c r="F2238" s="696"/>
      <c r="G2238" s="696"/>
      <c r="H2238" s="696"/>
      <c r="I2238" s="1050" t="str">
        <f t="shared" si="512"/>
        <v/>
      </c>
      <c r="J2238" s="696"/>
      <c r="K2238" s="697"/>
      <c r="L2238" s="696"/>
      <c r="M2238" s="198" t="str">
        <f t="shared" si="513"/>
        <v/>
      </c>
      <c r="N2238" s="369" t="str">
        <f t="shared" si="514"/>
        <v/>
      </c>
      <c r="O2238" s="183" t="str">
        <f t="shared" si="515"/>
        <v/>
      </c>
      <c r="P2238" s="199" t="str">
        <f t="shared" si="516"/>
        <v/>
      </c>
      <c r="Q2238" s="199" t="str">
        <f>IF(B2238="","",IFERROR(IF('עלויות כח אדם (6)'!J2238&gt;=VLOOKUP(I2238,'סיווג התפקידים והעלויות'!$B$23:$C$32,2,0),"תקין","לא תקין"),""))</f>
        <v/>
      </c>
      <c r="R2238" s="199" t="str">
        <f t="shared" si="517"/>
        <v/>
      </c>
      <c r="S2238" s="199" t="str">
        <f t="shared" si="518"/>
        <v/>
      </c>
      <c r="T2238" s="199" t="str">
        <f t="shared" si="526"/>
        <v/>
      </c>
      <c r="U2238" s="199" t="str">
        <f t="shared" si="519"/>
        <v/>
      </c>
      <c r="V2238" s="989"/>
      <c r="X2238" s="374" t="str">
        <f t="shared" si="520"/>
        <v/>
      </c>
      <c r="Y2238" s="375" t="str">
        <f t="shared" si="521"/>
        <v/>
      </c>
      <c r="Z2238" s="374" t="str">
        <f t="shared" si="522"/>
        <v/>
      </c>
      <c r="AA2238" s="374" t="b">
        <f t="shared" si="523"/>
        <v>1</v>
      </c>
      <c r="AB2238" s="374">
        <f>COUNTIFS(B:B,B2238,H:H,'סיווג התפקידים והעלויות'!$C$2)</f>
        <v>0</v>
      </c>
      <c r="AC2238" s="374">
        <f>COUNTIFS(B:B,B2238,H:H,'סיווג התפקידים והעלויות'!$D$2)</f>
        <v>0</v>
      </c>
      <c r="AD2238" s="374" t="str">
        <f>IF(OR(AND(H2238='סיווג התפקידים והעלויות'!$A$2,I2238='סיווג התפקידים והעלויות'!$A$3),'עלויות כח אדם (6)'!H2238='סיווג התפקידים והעלויות'!$C$2,'עלויות כח אדם (6)'!H2238='סיווג התפקידים והעלויות'!$D$2),IF('עלויות כח אדם (6)'!J2238&lt;75,"לא תקין","תקין"),"")</f>
        <v/>
      </c>
      <c r="AE2238" s="374" t="str">
        <f t="shared" si="524"/>
        <v/>
      </c>
      <c r="AF2238" s="532" t="str">
        <f t="shared" si="525"/>
        <v/>
      </c>
    </row>
    <row r="2239" spans="2:32" x14ac:dyDescent="0.25">
      <c r="B2239" s="695"/>
      <c r="C2239" s="197" t="str">
        <f>IF(B2239&lt;&gt;"",IFERROR(VLOOKUP(B:B,'מצבת והרשמה (2)'!$C$20:$N$520,2,0)," ")," ")</f>
        <v xml:space="preserve"> </v>
      </c>
      <c r="D2239" s="695"/>
      <c r="E2239" s="696"/>
      <c r="F2239" s="696"/>
      <c r="G2239" s="696"/>
      <c r="H2239" s="696"/>
      <c r="I2239" s="1050" t="str">
        <f t="shared" si="512"/>
        <v/>
      </c>
      <c r="J2239" s="696"/>
      <c r="K2239" s="697"/>
      <c r="L2239" s="696"/>
      <c r="M2239" s="198" t="str">
        <f t="shared" si="513"/>
        <v/>
      </c>
      <c r="N2239" s="369" t="str">
        <f t="shared" si="514"/>
        <v/>
      </c>
      <c r="O2239" s="183" t="str">
        <f t="shared" si="515"/>
        <v/>
      </c>
      <c r="P2239" s="199" t="str">
        <f t="shared" si="516"/>
        <v/>
      </c>
      <c r="Q2239" s="199" t="str">
        <f>IF(B2239="","",IFERROR(IF('עלויות כח אדם (6)'!J2239&gt;=VLOOKUP(I2239,'סיווג התפקידים והעלויות'!$B$23:$C$32,2,0),"תקין","לא תקין"),""))</f>
        <v/>
      </c>
      <c r="R2239" s="199" t="str">
        <f t="shared" si="517"/>
        <v/>
      </c>
      <c r="S2239" s="199" t="str">
        <f t="shared" si="518"/>
        <v/>
      </c>
      <c r="T2239" s="199" t="str">
        <f t="shared" si="526"/>
        <v/>
      </c>
      <c r="U2239" s="199" t="str">
        <f t="shared" si="519"/>
        <v/>
      </c>
      <c r="V2239" s="989"/>
      <c r="X2239" s="374" t="str">
        <f t="shared" si="520"/>
        <v/>
      </c>
      <c r="Y2239" s="375" t="str">
        <f t="shared" si="521"/>
        <v/>
      </c>
      <c r="Z2239" s="374" t="str">
        <f t="shared" si="522"/>
        <v/>
      </c>
      <c r="AA2239" s="374" t="b">
        <f t="shared" si="523"/>
        <v>1</v>
      </c>
      <c r="AB2239" s="374">
        <f>COUNTIFS(B:B,B2239,H:H,'סיווג התפקידים והעלויות'!$C$2)</f>
        <v>0</v>
      </c>
      <c r="AC2239" s="374">
        <f>COUNTIFS(B:B,B2239,H:H,'סיווג התפקידים והעלויות'!$D$2)</f>
        <v>0</v>
      </c>
      <c r="AD2239" s="374" t="str">
        <f>IF(OR(AND(H2239='סיווג התפקידים והעלויות'!$A$2,I2239='סיווג התפקידים והעלויות'!$A$3),'עלויות כח אדם (6)'!H2239='סיווג התפקידים והעלויות'!$C$2,'עלויות כח אדם (6)'!H2239='סיווג התפקידים והעלויות'!$D$2),IF('עלויות כח אדם (6)'!J2239&lt;75,"לא תקין","תקין"),"")</f>
        <v/>
      </c>
      <c r="AE2239" s="374" t="str">
        <f t="shared" si="524"/>
        <v/>
      </c>
      <c r="AF2239" s="532" t="str">
        <f t="shared" si="525"/>
        <v/>
      </c>
    </row>
    <row r="2240" spans="2:32" x14ac:dyDescent="0.25">
      <c r="B2240" s="695"/>
      <c r="C2240" s="197" t="str">
        <f>IF(B2240&lt;&gt;"",IFERROR(VLOOKUP(B:B,'מצבת והרשמה (2)'!$C$20:$N$520,2,0)," ")," ")</f>
        <v xml:space="preserve"> </v>
      </c>
      <c r="D2240" s="695"/>
      <c r="E2240" s="696"/>
      <c r="F2240" s="696"/>
      <c r="G2240" s="696"/>
      <c r="H2240" s="696"/>
      <c r="I2240" s="1050" t="str">
        <f t="shared" si="512"/>
        <v/>
      </c>
      <c r="J2240" s="696"/>
      <c r="K2240" s="697"/>
      <c r="L2240" s="696"/>
      <c r="M2240" s="198" t="str">
        <f t="shared" si="513"/>
        <v/>
      </c>
      <c r="N2240" s="369" t="str">
        <f t="shared" si="514"/>
        <v/>
      </c>
      <c r="O2240" s="183" t="str">
        <f t="shared" si="515"/>
        <v/>
      </c>
      <c r="P2240" s="199" t="str">
        <f t="shared" si="516"/>
        <v/>
      </c>
      <c r="Q2240" s="199" t="str">
        <f>IF(B2240="","",IFERROR(IF('עלויות כח אדם (6)'!J2240&gt;=VLOOKUP(I2240,'סיווג התפקידים והעלויות'!$B$23:$C$32,2,0),"תקין","לא תקין"),""))</f>
        <v/>
      </c>
      <c r="R2240" s="199" t="str">
        <f t="shared" si="517"/>
        <v/>
      </c>
      <c r="S2240" s="199" t="str">
        <f t="shared" si="518"/>
        <v/>
      </c>
      <c r="T2240" s="199" t="str">
        <f t="shared" si="526"/>
        <v/>
      </c>
      <c r="U2240" s="199" t="str">
        <f t="shared" si="519"/>
        <v/>
      </c>
      <c r="V2240" s="989"/>
      <c r="X2240" s="374" t="str">
        <f t="shared" si="520"/>
        <v/>
      </c>
      <c r="Y2240" s="375" t="str">
        <f t="shared" si="521"/>
        <v/>
      </c>
      <c r="Z2240" s="374" t="str">
        <f t="shared" si="522"/>
        <v/>
      </c>
      <c r="AA2240" s="374" t="b">
        <f t="shared" si="523"/>
        <v>1</v>
      </c>
      <c r="AB2240" s="374">
        <f>COUNTIFS(B:B,B2240,H:H,'סיווג התפקידים והעלויות'!$C$2)</f>
        <v>0</v>
      </c>
      <c r="AC2240" s="374">
        <f>COUNTIFS(B:B,B2240,H:H,'סיווג התפקידים והעלויות'!$D$2)</f>
        <v>0</v>
      </c>
      <c r="AD2240" s="374" t="str">
        <f>IF(OR(AND(H2240='סיווג התפקידים והעלויות'!$A$2,I2240='סיווג התפקידים והעלויות'!$A$3),'עלויות כח אדם (6)'!H2240='סיווג התפקידים והעלויות'!$C$2,'עלויות כח אדם (6)'!H2240='סיווג התפקידים והעלויות'!$D$2),IF('עלויות כח אדם (6)'!J2240&lt;75,"לא תקין","תקין"),"")</f>
        <v/>
      </c>
      <c r="AE2240" s="374" t="str">
        <f t="shared" si="524"/>
        <v/>
      </c>
      <c r="AF2240" s="532" t="str">
        <f t="shared" si="525"/>
        <v/>
      </c>
    </row>
    <row r="2241" spans="2:32" x14ac:dyDescent="0.25">
      <c r="B2241" s="695"/>
      <c r="C2241" s="197" t="str">
        <f>IF(B2241&lt;&gt;"",IFERROR(VLOOKUP(B:B,'מצבת והרשמה (2)'!$C$20:$N$520,2,0)," ")," ")</f>
        <v xml:space="preserve"> </v>
      </c>
      <c r="D2241" s="695"/>
      <c r="E2241" s="696"/>
      <c r="F2241" s="696"/>
      <c r="G2241" s="696"/>
      <c r="H2241" s="696"/>
      <c r="I2241" s="1050" t="str">
        <f t="shared" si="512"/>
        <v/>
      </c>
      <c r="J2241" s="696"/>
      <c r="K2241" s="697"/>
      <c r="L2241" s="696"/>
      <c r="M2241" s="198" t="str">
        <f t="shared" si="513"/>
        <v/>
      </c>
      <c r="N2241" s="369" t="str">
        <f t="shared" si="514"/>
        <v/>
      </c>
      <c r="O2241" s="183" t="str">
        <f t="shared" si="515"/>
        <v/>
      </c>
      <c r="P2241" s="199" t="str">
        <f t="shared" si="516"/>
        <v/>
      </c>
      <c r="Q2241" s="199" t="str">
        <f>IF(B2241="","",IFERROR(IF('עלויות כח אדם (6)'!J2241&gt;=VLOOKUP(I2241,'סיווג התפקידים והעלויות'!$B$23:$C$32,2,0),"תקין","לא תקין"),""))</f>
        <v/>
      </c>
      <c r="R2241" s="199" t="str">
        <f t="shared" si="517"/>
        <v/>
      </c>
      <c r="S2241" s="199" t="str">
        <f t="shared" si="518"/>
        <v/>
      </c>
      <c r="T2241" s="199" t="str">
        <f t="shared" si="526"/>
        <v/>
      </c>
      <c r="U2241" s="199" t="str">
        <f t="shared" si="519"/>
        <v/>
      </c>
      <c r="V2241" s="989"/>
      <c r="X2241" s="374" t="str">
        <f t="shared" si="520"/>
        <v/>
      </c>
      <c r="Y2241" s="375" t="str">
        <f t="shared" si="521"/>
        <v/>
      </c>
      <c r="Z2241" s="374" t="str">
        <f t="shared" si="522"/>
        <v/>
      </c>
      <c r="AA2241" s="374" t="b">
        <f t="shared" si="523"/>
        <v>1</v>
      </c>
      <c r="AB2241" s="374">
        <f>COUNTIFS(B:B,B2241,H:H,'סיווג התפקידים והעלויות'!$C$2)</f>
        <v>0</v>
      </c>
      <c r="AC2241" s="374">
        <f>COUNTIFS(B:B,B2241,H:H,'סיווג התפקידים והעלויות'!$D$2)</f>
        <v>0</v>
      </c>
      <c r="AD2241" s="374" t="str">
        <f>IF(OR(AND(H2241='סיווג התפקידים והעלויות'!$A$2,I2241='סיווג התפקידים והעלויות'!$A$3),'עלויות כח אדם (6)'!H2241='סיווג התפקידים והעלויות'!$C$2,'עלויות כח אדם (6)'!H2241='סיווג התפקידים והעלויות'!$D$2),IF('עלויות כח אדם (6)'!J2241&lt;75,"לא תקין","תקין"),"")</f>
        <v/>
      </c>
      <c r="AE2241" s="374" t="str">
        <f t="shared" si="524"/>
        <v/>
      </c>
      <c r="AF2241" s="532" t="str">
        <f t="shared" si="525"/>
        <v/>
      </c>
    </row>
    <row r="2242" spans="2:32" x14ac:dyDescent="0.25">
      <c r="B2242" s="695"/>
      <c r="C2242" s="197" t="str">
        <f>IF(B2242&lt;&gt;"",IFERROR(VLOOKUP(B:B,'מצבת והרשמה (2)'!$C$20:$N$520,2,0)," ")," ")</f>
        <v xml:space="preserve"> </v>
      </c>
      <c r="D2242" s="695"/>
      <c r="E2242" s="696"/>
      <c r="F2242" s="696"/>
      <c r="G2242" s="696"/>
      <c r="H2242" s="696"/>
      <c r="I2242" s="1050" t="str">
        <f t="shared" si="512"/>
        <v/>
      </c>
      <c r="J2242" s="696"/>
      <c r="K2242" s="697"/>
      <c r="L2242" s="696"/>
      <c r="M2242" s="198" t="str">
        <f t="shared" si="513"/>
        <v/>
      </c>
      <c r="N2242" s="369" t="str">
        <f t="shared" si="514"/>
        <v/>
      </c>
      <c r="O2242" s="183" t="str">
        <f t="shared" si="515"/>
        <v/>
      </c>
      <c r="P2242" s="199" t="str">
        <f t="shared" si="516"/>
        <v/>
      </c>
      <c r="Q2242" s="199" t="str">
        <f>IF(B2242="","",IFERROR(IF('עלויות כח אדם (6)'!J2242&gt;=VLOOKUP(I2242,'סיווג התפקידים והעלויות'!$B$23:$C$32,2,0),"תקין","לא תקין"),""))</f>
        <v/>
      </c>
      <c r="R2242" s="199" t="str">
        <f t="shared" si="517"/>
        <v/>
      </c>
      <c r="S2242" s="199" t="str">
        <f t="shared" si="518"/>
        <v/>
      </c>
      <c r="T2242" s="199" t="str">
        <f t="shared" si="526"/>
        <v/>
      </c>
      <c r="U2242" s="199" t="str">
        <f t="shared" si="519"/>
        <v/>
      </c>
      <c r="V2242" s="989"/>
      <c r="X2242" s="374" t="str">
        <f t="shared" si="520"/>
        <v/>
      </c>
      <c r="Y2242" s="375" t="str">
        <f t="shared" si="521"/>
        <v/>
      </c>
      <c r="Z2242" s="374" t="str">
        <f t="shared" si="522"/>
        <v/>
      </c>
      <c r="AA2242" s="374" t="b">
        <f t="shared" si="523"/>
        <v>1</v>
      </c>
      <c r="AB2242" s="374">
        <f>COUNTIFS(B:B,B2242,H:H,'סיווג התפקידים והעלויות'!$C$2)</f>
        <v>0</v>
      </c>
      <c r="AC2242" s="374">
        <f>COUNTIFS(B:B,B2242,H:H,'סיווג התפקידים והעלויות'!$D$2)</f>
        <v>0</v>
      </c>
      <c r="AD2242" s="374" t="str">
        <f>IF(OR(AND(H2242='סיווג התפקידים והעלויות'!$A$2,I2242='סיווג התפקידים והעלויות'!$A$3),'עלויות כח אדם (6)'!H2242='סיווג התפקידים והעלויות'!$C$2,'עלויות כח אדם (6)'!H2242='סיווג התפקידים והעלויות'!$D$2),IF('עלויות כח אדם (6)'!J2242&lt;75,"לא תקין","תקין"),"")</f>
        <v/>
      </c>
      <c r="AE2242" s="374" t="str">
        <f t="shared" si="524"/>
        <v/>
      </c>
      <c r="AF2242" s="532" t="str">
        <f t="shared" si="525"/>
        <v/>
      </c>
    </row>
    <row r="2243" spans="2:32" x14ac:dyDescent="0.25">
      <c r="B2243" s="695"/>
      <c r="C2243" s="197" t="str">
        <f>IF(B2243&lt;&gt;"",IFERROR(VLOOKUP(B:B,'מצבת והרשמה (2)'!$C$20:$N$520,2,0)," ")," ")</f>
        <v xml:space="preserve"> </v>
      </c>
      <c r="D2243" s="695"/>
      <c r="E2243" s="696"/>
      <c r="F2243" s="696"/>
      <c r="G2243" s="696"/>
      <c r="H2243" s="696"/>
      <c r="I2243" s="1050" t="str">
        <f t="shared" si="512"/>
        <v/>
      </c>
      <c r="J2243" s="696"/>
      <c r="K2243" s="697"/>
      <c r="L2243" s="696"/>
      <c r="M2243" s="198" t="str">
        <f t="shared" si="513"/>
        <v/>
      </c>
      <c r="N2243" s="369" t="str">
        <f t="shared" si="514"/>
        <v/>
      </c>
      <c r="O2243" s="183" t="str">
        <f t="shared" si="515"/>
        <v/>
      </c>
      <c r="P2243" s="199" t="str">
        <f t="shared" si="516"/>
        <v/>
      </c>
      <c r="Q2243" s="199" t="str">
        <f>IF(B2243="","",IFERROR(IF('עלויות כח אדם (6)'!J2243&gt;=VLOOKUP(I2243,'סיווג התפקידים והעלויות'!$B$23:$C$32,2,0),"תקין","לא תקין"),""))</f>
        <v/>
      </c>
      <c r="R2243" s="199" t="str">
        <f t="shared" si="517"/>
        <v/>
      </c>
      <c r="S2243" s="199" t="str">
        <f t="shared" si="518"/>
        <v/>
      </c>
      <c r="T2243" s="199" t="str">
        <f t="shared" si="526"/>
        <v/>
      </c>
      <c r="U2243" s="199" t="str">
        <f t="shared" si="519"/>
        <v/>
      </c>
      <c r="V2243" s="989"/>
      <c r="X2243" s="374" t="str">
        <f t="shared" si="520"/>
        <v/>
      </c>
      <c r="Y2243" s="375" t="str">
        <f t="shared" si="521"/>
        <v/>
      </c>
      <c r="Z2243" s="374" t="str">
        <f t="shared" si="522"/>
        <v/>
      </c>
      <c r="AA2243" s="374" t="b">
        <f t="shared" si="523"/>
        <v>1</v>
      </c>
      <c r="AB2243" s="374">
        <f>COUNTIFS(B:B,B2243,H:H,'סיווג התפקידים והעלויות'!$C$2)</f>
        <v>0</v>
      </c>
      <c r="AC2243" s="374">
        <f>COUNTIFS(B:B,B2243,H:H,'סיווג התפקידים והעלויות'!$D$2)</f>
        <v>0</v>
      </c>
      <c r="AD2243" s="374" t="str">
        <f>IF(OR(AND(H2243='סיווג התפקידים והעלויות'!$A$2,I2243='סיווג התפקידים והעלויות'!$A$3),'עלויות כח אדם (6)'!H2243='סיווג התפקידים והעלויות'!$C$2,'עלויות כח אדם (6)'!H2243='סיווג התפקידים והעלויות'!$D$2),IF('עלויות כח אדם (6)'!J2243&lt;75,"לא תקין","תקין"),"")</f>
        <v/>
      </c>
      <c r="AE2243" s="374" t="str">
        <f t="shared" si="524"/>
        <v/>
      </c>
      <c r="AF2243" s="532" t="str">
        <f t="shared" si="525"/>
        <v/>
      </c>
    </row>
    <row r="2244" spans="2:32" x14ac:dyDescent="0.25">
      <c r="B2244" s="695"/>
      <c r="C2244" s="197" t="str">
        <f>IF(B2244&lt;&gt;"",IFERROR(VLOOKUP(B:B,'מצבת והרשמה (2)'!$C$20:$N$520,2,0)," ")," ")</f>
        <v xml:space="preserve"> </v>
      </c>
      <c r="D2244" s="695"/>
      <c r="E2244" s="696"/>
      <c r="F2244" s="696"/>
      <c r="G2244" s="696"/>
      <c r="H2244" s="696"/>
      <c r="I2244" s="1050" t="str">
        <f t="shared" si="512"/>
        <v/>
      </c>
      <c r="J2244" s="696"/>
      <c r="K2244" s="697"/>
      <c r="L2244" s="696"/>
      <c r="M2244" s="198" t="str">
        <f t="shared" si="513"/>
        <v/>
      </c>
      <c r="N2244" s="369" t="str">
        <f t="shared" si="514"/>
        <v/>
      </c>
      <c r="O2244" s="183" t="str">
        <f t="shared" si="515"/>
        <v/>
      </c>
      <c r="P2244" s="199" t="str">
        <f t="shared" si="516"/>
        <v/>
      </c>
      <c r="Q2244" s="199" t="str">
        <f>IF(B2244="","",IFERROR(IF('עלויות כח אדם (6)'!J2244&gt;=VLOOKUP(I2244,'סיווג התפקידים והעלויות'!$B$23:$C$32,2,0),"תקין","לא תקין"),""))</f>
        <v/>
      </c>
      <c r="R2244" s="199" t="str">
        <f t="shared" si="517"/>
        <v/>
      </c>
      <c r="S2244" s="199" t="str">
        <f t="shared" si="518"/>
        <v/>
      </c>
      <c r="T2244" s="199" t="str">
        <f t="shared" si="526"/>
        <v/>
      </c>
      <c r="U2244" s="199" t="str">
        <f t="shared" si="519"/>
        <v/>
      </c>
      <c r="V2244" s="989"/>
      <c r="X2244" s="374" t="str">
        <f t="shared" si="520"/>
        <v/>
      </c>
      <c r="Y2244" s="375" t="str">
        <f t="shared" si="521"/>
        <v/>
      </c>
      <c r="Z2244" s="374" t="str">
        <f t="shared" si="522"/>
        <v/>
      </c>
      <c r="AA2244" s="374" t="b">
        <f t="shared" si="523"/>
        <v>1</v>
      </c>
      <c r="AB2244" s="374">
        <f>COUNTIFS(B:B,B2244,H:H,'סיווג התפקידים והעלויות'!$C$2)</f>
        <v>0</v>
      </c>
      <c r="AC2244" s="374">
        <f>COUNTIFS(B:B,B2244,H:H,'סיווג התפקידים והעלויות'!$D$2)</f>
        <v>0</v>
      </c>
      <c r="AD2244" s="374" t="str">
        <f>IF(OR(AND(H2244='סיווג התפקידים והעלויות'!$A$2,I2244='סיווג התפקידים והעלויות'!$A$3),'עלויות כח אדם (6)'!H2244='סיווג התפקידים והעלויות'!$C$2,'עלויות כח אדם (6)'!H2244='סיווג התפקידים והעלויות'!$D$2),IF('עלויות כח אדם (6)'!J2244&lt;75,"לא תקין","תקין"),"")</f>
        <v/>
      </c>
      <c r="AE2244" s="374" t="str">
        <f t="shared" si="524"/>
        <v/>
      </c>
      <c r="AF2244" s="532" t="str">
        <f t="shared" si="525"/>
        <v/>
      </c>
    </row>
    <row r="2245" spans="2:32" x14ac:dyDescent="0.25">
      <c r="B2245" s="695"/>
      <c r="C2245" s="197" t="str">
        <f>IF(B2245&lt;&gt;"",IFERROR(VLOOKUP(B:B,'מצבת והרשמה (2)'!$C$20:$N$520,2,0)," ")," ")</f>
        <v xml:space="preserve"> </v>
      </c>
      <c r="D2245" s="695"/>
      <c r="E2245" s="696"/>
      <c r="F2245" s="696"/>
      <c r="G2245" s="696"/>
      <c r="H2245" s="696"/>
      <c r="I2245" s="1050" t="str">
        <f t="shared" si="512"/>
        <v/>
      </c>
      <c r="J2245" s="696"/>
      <c r="K2245" s="697"/>
      <c r="L2245" s="696"/>
      <c r="M2245" s="198" t="str">
        <f t="shared" si="513"/>
        <v/>
      </c>
      <c r="N2245" s="369" t="str">
        <f t="shared" si="514"/>
        <v/>
      </c>
      <c r="O2245" s="183" t="str">
        <f t="shared" si="515"/>
        <v/>
      </c>
      <c r="P2245" s="199" t="str">
        <f t="shared" si="516"/>
        <v/>
      </c>
      <c r="Q2245" s="199" t="str">
        <f>IF(B2245="","",IFERROR(IF('עלויות כח אדם (6)'!J2245&gt;=VLOOKUP(I2245,'סיווג התפקידים והעלויות'!$B$23:$C$32,2,0),"תקין","לא תקין"),""))</f>
        <v/>
      </c>
      <c r="R2245" s="199" t="str">
        <f t="shared" si="517"/>
        <v/>
      </c>
      <c r="S2245" s="199" t="str">
        <f t="shared" si="518"/>
        <v/>
      </c>
      <c r="T2245" s="199" t="str">
        <f t="shared" si="526"/>
        <v/>
      </c>
      <c r="U2245" s="199" t="str">
        <f t="shared" si="519"/>
        <v/>
      </c>
      <c r="V2245" s="989"/>
      <c r="X2245" s="374" t="str">
        <f t="shared" si="520"/>
        <v/>
      </c>
      <c r="Y2245" s="375" t="str">
        <f t="shared" si="521"/>
        <v/>
      </c>
      <c r="Z2245" s="374" t="str">
        <f t="shared" si="522"/>
        <v/>
      </c>
      <c r="AA2245" s="374" t="b">
        <f t="shared" si="523"/>
        <v>1</v>
      </c>
      <c r="AB2245" s="374">
        <f>COUNTIFS(B:B,B2245,H:H,'סיווג התפקידים והעלויות'!$C$2)</f>
        <v>0</v>
      </c>
      <c r="AC2245" s="374">
        <f>COUNTIFS(B:B,B2245,H:H,'סיווג התפקידים והעלויות'!$D$2)</f>
        <v>0</v>
      </c>
      <c r="AD2245" s="374" t="str">
        <f>IF(OR(AND(H2245='סיווג התפקידים והעלויות'!$A$2,I2245='סיווג התפקידים והעלויות'!$A$3),'עלויות כח אדם (6)'!H2245='סיווג התפקידים והעלויות'!$C$2,'עלויות כח אדם (6)'!H2245='סיווג התפקידים והעלויות'!$D$2),IF('עלויות כח אדם (6)'!J2245&lt;75,"לא תקין","תקין"),"")</f>
        <v/>
      </c>
      <c r="AE2245" s="374" t="str">
        <f t="shared" si="524"/>
        <v/>
      </c>
      <c r="AF2245" s="532" t="str">
        <f t="shared" si="525"/>
        <v/>
      </c>
    </row>
    <row r="2246" spans="2:32" x14ac:dyDescent="0.25">
      <c r="B2246" s="695"/>
      <c r="C2246" s="197" t="str">
        <f>IF(B2246&lt;&gt;"",IFERROR(VLOOKUP(B:B,'מצבת והרשמה (2)'!$C$20:$N$520,2,0)," ")," ")</f>
        <v xml:space="preserve"> </v>
      </c>
      <c r="D2246" s="695"/>
      <c r="E2246" s="696"/>
      <c r="F2246" s="696"/>
      <c r="G2246" s="696"/>
      <c r="H2246" s="696"/>
      <c r="I2246" s="1050" t="str">
        <f t="shared" si="512"/>
        <v/>
      </c>
      <c r="J2246" s="696"/>
      <c r="K2246" s="697"/>
      <c r="L2246" s="696"/>
      <c r="M2246" s="198" t="str">
        <f t="shared" si="513"/>
        <v/>
      </c>
      <c r="N2246" s="369" t="str">
        <f t="shared" si="514"/>
        <v/>
      </c>
      <c r="O2246" s="183" t="str">
        <f t="shared" si="515"/>
        <v/>
      </c>
      <c r="P2246" s="199" t="str">
        <f t="shared" si="516"/>
        <v/>
      </c>
      <c r="Q2246" s="199" t="str">
        <f>IF(B2246="","",IFERROR(IF('עלויות כח אדם (6)'!J2246&gt;=VLOOKUP(I2246,'סיווג התפקידים והעלויות'!$B$23:$C$32,2,0),"תקין","לא תקין"),""))</f>
        <v/>
      </c>
      <c r="R2246" s="199" t="str">
        <f t="shared" si="517"/>
        <v/>
      </c>
      <c r="S2246" s="199" t="str">
        <f t="shared" si="518"/>
        <v/>
      </c>
      <c r="T2246" s="199" t="str">
        <f t="shared" si="526"/>
        <v/>
      </c>
      <c r="U2246" s="199" t="str">
        <f t="shared" si="519"/>
        <v/>
      </c>
      <c r="V2246" s="989"/>
      <c r="X2246" s="374" t="str">
        <f t="shared" si="520"/>
        <v/>
      </c>
      <c r="Y2246" s="375" t="str">
        <f t="shared" si="521"/>
        <v/>
      </c>
      <c r="Z2246" s="374" t="str">
        <f t="shared" si="522"/>
        <v/>
      </c>
      <c r="AA2246" s="374" t="b">
        <f t="shared" si="523"/>
        <v>1</v>
      </c>
      <c r="AB2246" s="374">
        <f>COUNTIFS(B:B,B2246,H:H,'סיווג התפקידים והעלויות'!$C$2)</f>
        <v>0</v>
      </c>
      <c r="AC2246" s="374">
        <f>COUNTIFS(B:B,B2246,H:H,'סיווג התפקידים והעלויות'!$D$2)</f>
        <v>0</v>
      </c>
      <c r="AD2246" s="374" t="str">
        <f>IF(OR(AND(H2246='סיווג התפקידים והעלויות'!$A$2,I2246='סיווג התפקידים והעלויות'!$A$3),'עלויות כח אדם (6)'!H2246='סיווג התפקידים והעלויות'!$C$2,'עלויות כח אדם (6)'!H2246='סיווג התפקידים והעלויות'!$D$2),IF('עלויות כח אדם (6)'!J2246&lt;75,"לא תקין","תקין"),"")</f>
        <v/>
      </c>
      <c r="AE2246" s="374" t="str">
        <f t="shared" si="524"/>
        <v/>
      </c>
      <c r="AF2246" s="532" t="str">
        <f t="shared" si="525"/>
        <v/>
      </c>
    </row>
    <row r="2247" spans="2:32" x14ac:dyDescent="0.25">
      <c r="B2247" s="695"/>
      <c r="C2247" s="197" t="str">
        <f>IF(B2247&lt;&gt;"",IFERROR(VLOOKUP(B:B,'מצבת והרשמה (2)'!$C$20:$N$520,2,0)," ")," ")</f>
        <v xml:space="preserve"> </v>
      </c>
      <c r="D2247" s="695"/>
      <c r="E2247" s="696"/>
      <c r="F2247" s="696"/>
      <c r="G2247" s="696"/>
      <c r="H2247" s="696"/>
      <c r="I2247" s="1050" t="str">
        <f t="shared" si="512"/>
        <v/>
      </c>
      <c r="J2247" s="696"/>
      <c r="K2247" s="697"/>
      <c r="L2247" s="696"/>
      <c r="M2247" s="198" t="str">
        <f t="shared" si="513"/>
        <v/>
      </c>
      <c r="N2247" s="369" t="str">
        <f t="shared" si="514"/>
        <v/>
      </c>
      <c r="O2247" s="183" t="str">
        <f t="shared" si="515"/>
        <v/>
      </c>
      <c r="P2247" s="199" t="str">
        <f t="shared" si="516"/>
        <v/>
      </c>
      <c r="Q2247" s="199" t="str">
        <f>IF(B2247="","",IFERROR(IF('עלויות כח אדם (6)'!J2247&gt;=VLOOKUP(I2247,'סיווג התפקידים והעלויות'!$B$23:$C$32,2,0),"תקין","לא תקין"),""))</f>
        <v/>
      </c>
      <c r="R2247" s="199" t="str">
        <f t="shared" si="517"/>
        <v/>
      </c>
      <c r="S2247" s="199" t="str">
        <f t="shared" si="518"/>
        <v/>
      </c>
      <c r="T2247" s="199" t="str">
        <f t="shared" si="526"/>
        <v/>
      </c>
      <c r="U2247" s="199" t="str">
        <f t="shared" si="519"/>
        <v/>
      </c>
      <c r="V2247" s="989"/>
      <c r="X2247" s="374" t="str">
        <f t="shared" si="520"/>
        <v/>
      </c>
      <c r="Y2247" s="375" t="str">
        <f t="shared" si="521"/>
        <v/>
      </c>
      <c r="Z2247" s="374" t="str">
        <f t="shared" si="522"/>
        <v/>
      </c>
      <c r="AA2247" s="374" t="b">
        <f t="shared" si="523"/>
        <v>1</v>
      </c>
      <c r="AB2247" s="374">
        <f>COUNTIFS(B:B,B2247,H:H,'סיווג התפקידים והעלויות'!$C$2)</f>
        <v>0</v>
      </c>
      <c r="AC2247" s="374">
        <f>COUNTIFS(B:B,B2247,H:H,'סיווג התפקידים והעלויות'!$D$2)</f>
        <v>0</v>
      </c>
      <c r="AD2247" s="374" t="str">
        <f>IF(OR(AND(H2247='סיווג התפקידים והעלויות'!$A$2,I2247='סיווג התפקידים והעלויות'!$A$3),'עלויות כח אדם (6)'!H2247='סיווג התפקידים והעלויות'!$C$2,'עלויות כח אדם (6)'!H2247='סיווג התפקידים והעלויות'!$D$2),IF('עלויות כח אדם (6)'!J2247&lt;75,"לא תקין","תקין"),"")</f>
        <v/>
      </c>
      <c r="AE2247" s="374" t="str">
        <f t="shared" si="524"/>
        <v/>
      </c>
      <c r="AF2247" s="532" t="str">
        <f t="shared" si="525"/>
        <v/>
      </c>
    </row>
    <row r="2248" spans="2:32" x14ac:dyDescent="0.25">
      <c r="B2248" s="695"/>
      <c r="C2248" s="197" t="str">
        <f>IF(B2248&lt;&gt;"",IFERROR(VLOOKUP(B:B,'מצבת והרשמה (2)'!$C$20:$N$520,2,0)," ")," ")</f>
        <v xml:space="preserve"> </v>
      </c>
      <c r="D2248" s="695"/>
      <c r="E2248" s="696"/>
      <c r="F2248" s="696"/>
      <c r="G2248" s="696"/>
      <c r="H2248" s="696"/>
      <c r="I2248" s="1050" t="str">
        <f t="shared" si="512"/>
        <v/>
      </c>
      <c r="J2248" s="696"/>
      <c r="K2248" s="697"/>
      <c r="L2248" s="696"/>
      <c r="M2248" s="198" t="str">
        <f t="shared" si="513"/>
        <v/>
      </c>
      <c r="N2248" s="369" t="str">
        <f t="shared" si="514"/>
        <v/>
      </c>
      <c r="O2248" s="183" t="str">
        <f t="shared" si="515"/>
        <v/>
      </c>
      <c r="P2248" s="199" t="str">
        <f t="shared" si="516"/>
        <v/>
      </c>
      <c r="Q2248" s="199" t="str">
        <f>IF(B2248="","",IFERROR(IF('עלויות כח אדם (6)'!J2248&gt;=VLOOKUP(I2248,'סיווג התפקידים והעלויות'!$B$23:$C$32,2,0),"תקין","לא תקין"),""))</f>
        <v/>
      </c>
      <c r="R2248" s="199" t="str">
        <f t="shared" si="517"/>
        <v/>
      </c>
      <c r="S2248" s="199" t="str">
        <f t="shared" si="518"/>
        <v/>
      </c>
      <c r="T2248" s="199" t="str">
        <f t="shared" si="526"/>
        <v/>
      </c>
      <c r="U2248" s="199" t="str">
        <f t="shared" si="519"/>
        <v/>
      </c>
      <c r="V2248" s="989"/>
      <c r="X2248" s="374" t="str">
        <f t="shared" si="520"/>
        <v/>
      </c>
      <c r="Y2248" s="375" t="str">
        <f t="shared" si="521"/>
        <v/>
      </c>
      <c r="Z2248" s="374" t="str">
        <f t="shared" si="522"/>
        <v/>
      </c>
      <c r="AA2248" s="374" t="b">
        <f t="shared" si="523"/>
        <v>1</v>
      </c>
      <c r="AB2248" s="374">
        <f>COUNTIFS(B:B,B2248,H:H,'סיווג התפקידים והעלויות'!$C$2)</f>
        <v>0</v>
      </c>
      <c r="AC2248" s="374">
        <f>COUNTIFS(B:B,B2248,H:H,'סיווג התפקידים והעלויות'!$D$2)</f>
        <v>0</v>
      </c>
      <c r="AD2248" s="374" t="str">
        <f>IF(OR(AND(H2248='סיווג התפקידים והעלויות'!$A$2,I2248='סיווג התפקידים והעלויות'!$A$3),'עלויות כח אדם (6)'!H2248='סיווג התפקידים והעלויות'!$C$2,'עלויות כח אדם (6)'!H2248='סיווג התפקידים והעלויות'!$D$2),IF('עלויות כח אדם (6)'!J2248&lt;75,"לא תקין","תקין"),"")</f>
        <v/>
      </c>
      <c r="AE2248" s="374" t="str">
        <f t="shared" si="524"/>
        <v/>
      </c>
      <c r="AF2248" s="532" t="str">
        <f t="shared" si="525"/>
        <v/>
      </c>
    </row>
    <row r="2249" spans="2:32" x14ac:dyDescent="0.25">
      <c r="B2249" s="695"/>
      <c r="C2249" s="197" t="str">
        <f>IF(B2249&lt;&gt;"",IFERROR(VLOOKUP(B:B,'מצבת והרשמה (2)'!$C$20:$N$520,2,0)," ")," ")</f>
        <v xml:space="preserve"> </v>
      </c>
      <c r="D2249" s="695"/>
      <c r="E2249" s="696"/>
      <c r="F2249" s="696"/>
      <c r="G2249" s="696"/>
      <c r="H2249" s="696"/>
      <c r="I2249" s="1050" t="str">
        <f t="shared" si="512"/>
        <v/>
      </c>
      <c r="J2249" s="696"/>
      <c r="K2249" s="697"/>
      <c r="L2249" s="696"/>
      <c r="M2249" s="198" t="str">
        <f t="shared" si="513"/>
        <v/>
      </c>
      <c r="N2249" s="369" t="str">
        <f t="shared" si="514"/>
        <v/>
      </c>
      <c r="O2249" s="183" t="str">
        <f t="shared" si="515"/>
        <v/>
      </c>
      <c r="P2249" s="199" t="str">
        <f t="shared" si="516"/>
        <v/>
      </c>
      <c r="Q2249" s="199" t="str">
        <f>IF(B2249="","",IFERROR(IF('עלויות כח אדם (6)'!J2249&gt;=VLOOKUP(I2249,'סיווג התפקידים והעלויות'!$B$23:$C$32,2,0),"תקין","לא תקין"),""))</f>
        <v/>
      </c>
      <c r="R2249" s="199" t="str">
        <f t="shared" si="517"/>
        <v/>
      </c>
      <c r="S2249" s="199" t="str">
        <f t="shared" si="518"/>
        <v/>
      </c>
      <c r="T2249" s="199" t="str">
        <f t="shared" si="526"/>
        <v/>
      </c>
      <c r="U2249" s="199" t="str">
        <f t="shared" si="519"/>
        <v/>
      </c>
      <c r="V2249" s="989"/>
      <c r="X2249" s="374" t="str">
        <f t="shared" si="520"/>
        <v/>
      </c>
      <c r="Y2249" s="375" t="str">
        <f t="shared" si="521"/>
        <v/>
      </c>
      <c r="Z2249" s="374" t="str">
        <f t="shared" si="522"/>
        <v/>
      </c>
      <c r="AA2249" s="374" t="b">
        <f t="shared" si="523"/>
        <v>1</v>
      </c>
      <c r="AB2249" s="374">
        <f>COUNTIFS(B:B,B2249,H:H,'סיווג התפקידים והעלויות'!$C$2)</f>
        <v>0</v>
      </c>
      <c r="AC2249" s="374">
        <f>COUNTIFS(B:B,B2249,H:H,'סיווג התפקידים והעלויות'!$D$2)</f>
        <v>0</v>
      </c>
      <c r="AD2249" s="374" t="str">
        <f>IF(OR(AND(H2249='סיווג התפקידים והעלויות'!$A$2,I2249='סיווג התפקידים והעלויות'!$A$3),'עלויות כח אדם (6)'!H2249='סיווג התפקידים והעלויות'!$C$2,'עלויות כח אדם (6)'!H2249='סיווג התפקידים והעלויות'!$D$2),IF('עלויות כח אדם (6)'!J2249&lt;75,"לא תקין","תקין"),"")</f>
        <v/>
      </c>
      <c r="AE2249" s="374" t="str">
        <f t="shared" si="524"/>
        <v/>
      </c>
      <c r="AF2249" s="532" t="str">
        <f t="shared" si="525"/>
        <v/>
      </c>
    </row>
    <row r="2250" spans="2:32" x14ac:dyDescent="0.25">
      <c r="B2250" s="695"/>
      <c r="C2250" s="197" t="str">
        <f>IF(B2250&lt;&gt;"",IFERROR(VLOOKUP(B:B,'מצבת והרשמה (2)'!$C$20:$N$520,2,0)," ")," ")</f>
        <v xml:space="preserve"> </v>
      </c>
      <c r="D2250" s="695"/>
      <c r="E2250" s="696"/>
      <c r="F2250" s="696"/>
      <c r="G2250" s="696"/>
      <c r="H2250" s="696"/>
      <c r="I2250" s="1050" t="str">
        <f t="shared" si="512"/>
        <v/>
      </c>
      <c r="J2250" s="696"/>
      <c r="K2250" s="697"/>
      <c r="L2250" s="696"/>
      <c r="M2250" s="198" t="str">
        <f t="shared" si="513"/>
        <v/>
      </c>
      <c r="N2250" s="369" t="str">
        <f t="shared" si="514"/>
        <v/>
      </c>
      <c r="O2250" s="183" t="str">
        <f t="shared" si="515"/>
        <v/>
      </c>
      <c r="P2250" s="199" t="str">
        <f t="shared" si="516"/>
        <v/>
      </c>
      <c r="Q2250" s="199" t="str">
        <f>IF(B2250="","",IFERROR(IF('עלויות כח אדם (6)'!J2250&gt;=VLOOKUP(I2250,'סיווג התפקידים והעלויות'!$B$23:$C$32,2,0),"תקין","לא תקין"),""))</f>
        <v/>
      </c>
      <c r="R2250" s="199" t="str">
        <f t="shared" si="517"/>
        <v/>
      </c>
      <c r="S2250" s="199" t="str">
        <f t="shared" si="518"/>
        <v/>
      </c>
      <c r="T2250" s="199" t="str">
        <f t="shared" si="526"/>
        <v/>
      </c>
      <c r="U2250" s="199" t="str">
        <f t="shared" si="519"/>
        <v/>
      </c>
      <c r="V2250" s="989"/>
      <c r="X2250" s="374" t="str">
        <f t="shared" si="520"/>
        <v/>
      </c>
      <c r="Y2250" s="375" t="str">
        <f t="shared" si="521"/>
        <v/>
      </c>
      <c r="Z2250" s="374" t="str">
        <f t="shared" si="522"/>
        <v/>
      </c>
      <c r="AA2250" s="374" t="b">
        <f t="shared" si="523"/>
        <v>1</v>
      </c>
      <c r="AB2250" s="374">
        <f>COUNTIFS(B:B,B2250,H:H,'סיווג התפקידים והעלויות'!$C$2)</f>
        <v>0</v>
      </c>
      <c r="AC2250" s="374">
        <f>COUNTIFS(B:B,B2250,H:H,'סיווג התפקידים והעלויות'!$D$2)</f>
        <v>0</v>
      </c>
      <c r="AD2250" s="374" t="str">
        <f>IF(OR(AND(H2250='סיווג התפקידים והעלויות'!$A$2,I2250='סיווג התפקידים והעלויות'!$A$3),'עלויות כח אדם (6)'!H2250='סיווג התפקידים והעלויות'!$C$2,'עלויות כח אדם (6)'!H2250='סיווג התפקידים והעלויות'!$D$2),IF('עלויות כח אדם (6)'!J2250&lt;75,"לא תקין","תקין"),"")</f>
        <v/>
      </c>
      <c r="AE2250" s="374" t="str">
        <f t="shared" si="524"/>
        <v/>
      </c>
      <c r="AF2250" s="532" t="str">
        <f t="shared" si="525"/>
        <v/>
      </c>
    </row>
    <row r="2251" spans="2:32" x14ac:dyDescent="0.25">
      <c r="B2251" s="695"/>
      <c r="C2251" s="197" t="str">
        <f>IF(B2251&lt;&gt;"",IFERROR(VLOOKUP(B:B,'מצבת והרשמה (2)'!$C$20:$N$520,2,0)," ")," ")</f>
        <v xml:space="preserve"> </v>
      </c>
      <c r="D2251" s="695"/>
      <c r="E2251" s="696"/>
      <c r="F2251" s="696"/>
      <c r="G2251" s="696"/>
      <c r="H2251" s="696"/>
      <c r="I2251" s="1050" t="str">
        <f t="shared" si="512"/>
        <v/>
      </c>
      <c r="J2251" s="696"/>
      <c r="K2251" s="697"/>
      <c r="L2251" s="696"/>
      <c r="M2251" s="198" t="str">
        <f t="shared" si="513"/>
        <v/>
      </c>
      <c r="N2251" s="369" t="str">
        <f t="shared" si="514"/>
        <v/>
      </c>
      <c r="O2251" s="183" t="str">
        <f t="shared" si="515"/>
        <v/>
      </c>
      <c r="P2251" s="199" t="str">
        <f t="shared" si="516"/>
        <v/>
      </c>
      <c r="Q2251" s="199" t="str">
        <f>IF(B2251="","",IFERROR(IF('עלויות כח אדם (6)'!J2251&gt;=VLOOKUP(I2251,'סיווג התפקידים והעלויות'!$B$23:$C$32,2,0),"תקין","לא תקין"),""))</f>
        <v/>
      </c>
      <c r="R2251" s="199" t="str">
        <f t="shared" si="517"/>
        <v/>
      </c>
      <c r="S2251" s="199" t="str">
        <f t="shared" si="518"/>
        <v/>
      </c>
      <c r="T2251" s="199" t="str">
        <f t="shared" si="526"/>
        <v/>
      </c>
      <c r="U2251" s="199" t="str">
        <f t="shared" si="519"/>
        <v/>
      </c>
      <c r="V2251" s="989"/>
      <c r="X2251" s="374" t="str">
        <f t="shared" si="520"/>
        <v/>
      </c>
      <c r="Y2251" s="375" t="str">
        <f t="shared" si="521"/>
        <v/>
      </c>
      <c r="Z2251" s="374" t="str">
        <f t="shared" si="522"/>
        <v/>
      </c>
      <c r="AA2251" s="374" t="b">
        <f t="shared" si="523"/>
        <v>1</v>
      </c>
      <c r="AB2251" s="374">
        <f>COUNTIFS(B:B,B2251,H:H,'סיווג התפקידים והעלויות'!$C$2)</f>
        <v>0</v>
      </c>
      <c r="AC2251" s="374">
        <f>COUNTIFS(B:B,B2251,H:H,'סיווג התפקידים והעלויות'!$D$2)</f>
        <v>0</v>
      </c>
      <c r="AD2251" s="374" t="str">
        <f>IF(OR(AND(H2251='סיווג התפקידים והעלויות'!$A$2,I2251='סיווג התפקידים והעלויות'!$A$3),'עלויות כח אדם (6)'!H2251='סיווג התפקידים והעלויות'!$C$2,'עלויות כח אדם (6)'!H2251='סיווג התפקידים והעלויות'!$D$2),IF('עלויות כח אדם (6)'!J2251&lt;75,"לא תקין","תקין"),"")</f>
        <v/>
      </c>
      <c r="AE2251" s="374" t="str">
        <f t="shared" si="524"/>
        <v/>
      </c>
      <c r="AF2251" s="532" t="str">
        <f t="shared" si="525"/>
        <v/>
      </c>
    </row>
    <row r="2252" spans="2:32" x14ac:dyDescent="0.25">
      <c r="B2252" s="695"/>
      <c r="C2252" s="197" t="str">
        <f>IF(B2252&lt;&gt;"",IFERROR(VLOOKUP(B:B,'מצבת והרשמה (2)'!$C$20:$N$520,2,0)," ")," ")</f>
        <v xml:space="preserve"> </v>
      </c>
      <c r="D2252" s="695"/>
      <c r="E2252" s="696"/>
      <c r="F2252" s="696"/>
      <c r="G2252" s="696"/>
      <c r="H2252" s="696"/>
      <c r="I2252" s="1050" t="str">
        <f t="shared" si="512"/>
        <v/>
      </c>
      <c r="J2252" s="696"/>
      <c r="K2252" s="697"/>
      <c r="L2252" s="696"/>
      <c r="M2252" s="198" t="str">
        <f t="shared" si="513"/>
        <v/>
      </c>
      <c r="N2252" s="369" t="str">
        <f t="shared" si="514"/>
        <v/>
      </c>
      <c r="O2252" s="183" t="str">
        <f t="shared" si="515"/>
        <v/>
      </c>
      <c r="P2252" s="199" t="str">
        <f t="shared" si="516"/>
        <v/>
      </c>
      <c r="Q2252" s="199" t="str">
        <f>IF(B2252="","",IFERROR(IF('עלויות כח אדם (6)'!J2252&gt;=VLOOKUP(I2252,'סיווג התפקידים והעלויות'!$B$23:$C$32,2,0),"תקין","לא תקין"),""))</f>
        <v/>
      </c>
      <c r="R2252" s="199" t="str">
        <f t="shared" si="517"/>
        <v/>
      </c>
      <c r="S2252" s="199" t="str">
        <f t="shared" si="518"/>
        <v/>
      </c>
      <c r="T2252" s="199" t="str">
        <f t="shared" si="526"/>
        <v/>
      </c>
      <c r="U2252" s="199" t="str">
        <f t="shared" si="519"/>
        <v/>
      </c>
      <c r="V2252" s="989"/>
      <c r="X2252" s="374" t="str">
        <f t="shared" si="520"/>
        <v/>
      </c>
      <c r="Y2252" s="375" t="str">
        <f t="shared" si="521"/>
        <v/>
      </c>
      <c r="Z2252" s="374" t="str">
        <f t="shared" si="522"/>
        <v/>
      </c>
      <c r="AA2252" s="374" t="b">
        <f t="shared" si="523"/>
        <v>1</v>
      </c>
      <c r="AB2252" s="374">
        <f>COUNTIFS(B:B,B2252,H:H,'סיווג התפקידים והעלויות'!$C$2)</f>
        <v>0</v>
      </c>
      <c r="AC2252" s="374">
        <f>COUNTIFS(B:B,B2252,H:H,'סיווג התפקידים והעלויות'!$D$2)</f>
        <v>0</v>
      </c>
      <c r="AD2252" s="374" t="str">
        <f>IF(OR(AND(H2252='סיווג התפקידים והעלויות'!$A$2,I2252='סיווג התפקידים והעלויות'!$A$3),'עלויות כח אדם (6)'!H2252='סיווג התפקידים והעלויות'!$C$2,'עלויות כח אדם (6)'!H2252='סיווג התפקידים והעלויות'!$D$2),IF('עלויות כח אדם (6)'!J2252&lt;75,"לא תקין","תקין"),"")</f>
        <v/>
      </c>
      <c r="AE2252" s="374" t="str">
        <f t="shared" si="524"/>
        <v/>
      </c>
      <c r="AF2252" s="532" t="str">
        <f t="shared" si="525"/>
        <v/>
      </c>
    </row>
    <row r="2253" spans="2:32" x14ac:dyDescent="0.25">
      <c r="B2253" s="695"/>
      <c r="C2253" s="197" t="str">
        <f>IF(B2253&lt;&gt;"",IFERROR(VLOOKUP(B:B,'מצבת והרשמה (2)'!$C$20:$N$520,2,0)," ")," ")</f>
        <v xml:space="preserve"> </v>
      </c>
      <c r="D2253" s="695"/>
      <c r="E2253" s="696"/>
      <c r="F2253" s="696"/>
      <c r="G2253" s="696"/>
      <c r="H2253" s="696"/>
      <c r="I2253" s="1050" t="str">
        <f t="shared" si="512"/>
        <v/>
      </c>
      <c r="J2253" s="696"/>
      <c r="K2253" s="697"/>
      <c r="L2253" s="696"/>
      <c r="M2253" s="198" t="str">
        <f t="shared" si="513"/>
        <v/>
      </c>
      <c r="N2253" s="369" t="str">
        <f t="shared" si="514"/>
        <v/>
      </c>
      <c r="O2253" s="183" t="str">
        <f t="shared" si="515"/>
        <v/>
      </c>
      <c r="P2253" s="199" t="str">
        <f t="shared" si="516"/>
        <v/>
      </c>
      <c r="Q2253" s="199" t="str">
        <f>IF(B2253="","",IFERROR(IF('עלויות כח אדם (6)'!J2253&gt;=VLOOKUP(I2253,'סיווג התפקידים והעלויות'!$B$23:$C$32,2,0),"תקין","לא תקין"),""))</f>
        <v/>
      </c>
      <c r="R2253" s="199" t="str">
        <f t="shared" si="517"/>
        <v/>
      </c>
      <c r="S2253" s="199" t="str">
        <f t="shared" si="518"/>
        <v/>
      </c>
      <c r="T2253" s="199" t="str">
        <f t="shared" si="526"/>
        <v/>
      </c>
      <c r="U2253" s="199" t="str">
        <f t="shared" si="519"/>
        <v/>
      </c>
      <c r="V2253" s="989"/>
      <c r="X2253" s="374" t="str">
        <f t="shared" si="520"/>
        <v/>
      </c>
      <c r="Y2253" s="375" t="str">
        <f t="shared" si="521"/>
        <v/>
      </c>
      <c r="Z2253" s="374" t="str">
        <f t="shared" si="522"/>
        <v/>
      </c>
      <c r="AA2253" s="374" t="b">
        <f t="shared" si="523"/>
        <v>1</v>
      </c>
      <c r="AB2253" s="374">
        <f>COUNTIFS(B:B,B2253,H:H,'סיווג התפקידים והעלויות'!$C$2)</f>
        <v>0</v>
      </c>
      <c r="AC2253" s="374">
        <f>COUNTIFS(B:B,B2253,H:H,'סיווג התפקידים והעלויות'!$D$2)</f>
        <v>0</v>
      </c>
      <c r="AD2253" s="374" t="str">
        <f>IF(OR(AND(H2253='סיווג התפקידים והעלויות'!$A$2,I2253='סיווג התפקידים והעלויות'!$A$3),'עלויות כח אדם (6)'!H2253='סיווג התפקידים והעלויות'!$C$2,'עלויות כח אדם (6)'!H2253='סיווג התפקידים והעלויות'!$D$2),IF('עלויות כח אדם (6)'!J2253&lt;75,"לא תקין","תקין"),"")</f>
        <v/>
      </c>
      <c r="AE2253" s="374" t="str">
        <f t="shared" si="524"/>
        <v/>
      </c>
      <c r="AF2253" s="532" t="str">
        <f t="shared" si="525"/>
        <v/>
      </c>
    </row>
    <row r="2254" spans="2:32" x14ac:dyDescent="0.25">
      <c r="B2254" s="695"/>
      <c r="C2254" s="197" t="str">
        <f>IF(B2254&lt;&gt;"",IFERROR(VLOOKUP(B:B,'מצבת והרשמה (2)'!$C$20:$N$520,2,0)," ")," ")</f>
        <v xml:space="preserve"> </v>
      </c>
      <c r="D2254" s="695"/>
      <c r="E2254" s="696"/>
      <c r="F2254" s="696"/>
      <c r="G2254" s="696"/>
      <c r="H2254" s="696"/>
      <c r="I2254" s="1050" t="str">
        <f t="shared" si="512"/>
        <v/>
      </c>
      <c r="J2254" s="696"/>
      <c r="K2254" s="697"/>
      <c r="L2254" s="696"/>
      <c r="M2254" s="198" t="str">
        <f t="shared" si="513"/>
        <v/>
      </c>
      <c r="N2254" s="369" t="str">
        <f t="shared" si="514"/>
        <v/>
      </c>
      <c r="O2254" s="183" t="str">
        <f t="shared" si="515"/>
        <v/>
      </c>
      <c r="P2254" s="199" t="str">
        <f t="shared" si="516"/>
        <v/>
      </c>
      <c r="Q2254" s="199" t="str">
        <f>IF(B2254="","",IFERROR(IF('עלויות כח אדם (6)'!J2254&gt;=VLOOKUP(I2254,'סיווג התפקידים והעלויות'!$B$23:$C$32,2,0),"תקין","לא תקין"),""))</f>
        <v/>
      </c>
      <c r="R2254" s="199" t="str">
        <f t="shared" si="517"/>
        <v/>
      </c>
      <c r="S2254" s="199" t="str">
        <f t="shared" si="518"/>
        <v/>
      </c>
      <c r="T2254" s="199" t="str">
        <f t="shared" si="526"/>
        <v/>
      </c>
      <c r="U2254" s="199" t="str">
        <f t="shared" si="519"/>
        <v/>
      </c>
      <c r="V2254" s="989"/>
      <c r="X2254" s="374" t="str">
        <f t="shared" si="520"/>
        <v/>
      </c>
      <c r="Y2254" s="375" t="str">
        <f t="shared" si="521"/>
        <v/>
      </c>
      <c r="Z2254" s="374" t="str">
        <f t="shared" si="522"/>
        <v/>
      </c>
      <c r="AA2254" s="374" t="b">
        <f t="shared" si="523"/>
        <v>1</v>
      </c>
      <c r="AB2254" s="374">
        <f>COUNTIFS(B:B,B2254,H:H,'סיווג התפקידים והעלויות'!$C$2)</f>
        <v>0</v>
      </c>
      <c r="AC2254" s="374">
        <f>COUNTIFS(B:B,B2254,H:H,'סיווג התפקידים והעלויות'!$D$2)</f>
        <v>0</v>
      </c>
      <c r="AD2254" s="374" t="str">
        <f>IF(OR(AND(H2254='סיווג התפקידים והעלויות'!$A$2,I2254='סיווג התפקידים והעלויות'!$A$3),'עלויות כח אדם (6)'!H2254='סיווג התפקידים והעלויות'!$C$2,'עלויות כח אדם (6)'!H2254='סיווג התפקידים והעלויות'!$D$2),IF('עלויות כח אדם (6)'!J2254&lt;75,"לא תקין","תקין"),"")</f>
        <v/>
      </c>
      <c r="AE2254" s="374" t="str">
        <f t="shared" si="524"/>
        <v/>
      </c>
      <c r="AF2254" s="532" t="str">
        <f t="shared" si="525"/>
        <v/>
      </c>
    </row>
    <row r="2255" spans="2:32" x14ac:dyDescent="0.25">
      <c r="B2255" s="695"/>
      <c r="C2255" s="197" t="str">
        <f>IF(B2255&lt;&gt;"",IFERROR(VLOOKUP(B:B,'מצבת והרשמה (2)'!$C$20:$N$520,2,0)," ")," ")</f>
        <v xml:space="preserve"> </v>
      </c>
      <c r="D2255" s="695"/>
      <c r="E2255" s="696"/>
      <c r="F2255" s="696"/>
      <c r="G2255" s="696"/>
      <c r="H2255" s="696"/>
      <c r="I2255" s="1050" t="str">
        <f t="shared" ref="I2255:I2318" si="527">SUBSTITUTE(IFERROR(IF(H2255="מדצ","מדצ/ית",IF(H2255="סגנית רכזת מעל 150","סגנ/ית רכז/ת&gt;150",IF(H2255="רכזת תכנית בבית הספר","רכז/ת תכנית בבית הספר"))),""),"FALSE","")</f>
        <v/>
      </c>
      <c r="J2255" s="696"/>
      <c r="K2255" s="697"/>
      <c r="L2255" s="696"/>
      <c r="M2255" s="198" t="str">
        <f t="shared" ref="M2255:M2318" si="528">IF(AND(L2255&gt;0,K2255&gt;0),K2255*L2255,"")</f>
        <v/>
      </c>
      <c r="N2255" s="369" t="str">
        <f t="shared" ref="N2255:N2318" si="529">TEXT(LEFT(H2255,2),0)</f>
        <v/>
      </c>
      <c r="O2255" s="183" t="str">
        <f t="shared" ref="O2255:O2318" si="530">IF(ISNUMBER(M2255&gt;0),IF(ISBLANK(B2255),"יש להזין סמל מוסד בעמודה B",""),"")</f>
        <v/>
      </c>
      <c r="P2255" s="199" t="str">
        <f t="shared" ref="P2255:P2318" si="531">IF(B2255="","",IF(AA2255=FALSE,"לא תקין","תקין"))</f>
        <v/>
      </c>
      <c r="Q2255" s="199" t="str">
        <f>IF(B2255="","",IFERROR(IF('עלויות כח אדם (6)'!J2255&gt;=VLOOKUP(I2255,'סיווג התפקידים והעלויות'!$B$23:$C$32,2,0),"תקין","לא תקין"),""))</f>
        <v/>
      </c>
      <c r="R2255" s="199" t="str">
        <f t="shared" ref="R2255:R2318" si="532">IF(B2255="","",IF(OR(Y2255&lt;100%,Y2255&gt;140%),"לא תקין","תקין"))</f>
        <v/>
      </c>
      <c r="S2255" s="199" t="str">
        <f t="shared" ref="S2255:S2318" si="533">IF(B2255="","",IFERROR(IF(J2255&gt;120,"לא תקין","תקין"),""))</f>
        <v/>
      </c>
      <c r="T2255" s="199" t="str">
        <f t="shared" si="526"/>
        <v/>
      </c>
      <c r="U2255" s="199" t="str">
        <f t="shared" ref="U2255:U2318" si="534">IF(B2255="","",IF(Z2255&gt;1,IF(SUMIF(D:D,D2255,L:L)&gt;90,"לא תקין","תקין"),"תקין"))</f>
        <v/>
      </c>
      <c r="V2255" s="989"/>
      <c r="X2255" s="374" t="str">
        <f t="shared" ref="X2255:X2318" si="535">IF(B2255="","",IF(OR(R2255="לא תקין",S2255="לא תקין",T2255="לא תקין",,U2255="לא תקין"),"לא תקין","תקין"))</f>
        <v/>
      </c>
      <c r="Y2255" s="375" t="str">
        <f t="shared" ref="Y2255:Y2318" si="536">IFERROR(IF(B2255="","",K2255/J2255),"")</f>
        <v/>
      </c>
      <c r="Z2255" s="374" t="str">
        <f t="shared" ref="Z2255:Z2318" si="537">IF(B2255="","",COUNTIF(D:D,D2255))</f>
        <v/>
      </c>
      <c r="AA2255" s="374" t="b">
        <f t="shared" ref="AA2255:AA2318" si="538">MOD(MID(REPT(0,9-LEN(D2255))&amp;D2255,1,1)+MID("0246813579",MID(REPT(0,9-LEN(D2255))&amp;D2255,2,1)+1,1)+MID(REPT(0,9-LEN(D2255))&amp;D2255,3,1)+MID("0246813579",MID(REPT(0,9-LEN(D2255))&amp;D2255,4,1)+1,1)+MID(REPT(0,9-LEN(D2255))&amp;D2255,5,1)+MID("0246813579",MID(REPT(0,9-LEN(D2255))&amp;D2255,6,1)+1,1)+MID(REPT(0,9-LEN(D2255))&amp;D2255,7,1)+MID("0246813579",MID(REPT(0,9-LEN(D2255))&amp;D2255,8,1)+1,1)+MID(REPT(0,9-LEN(D2255))&amp;D2255,9,1),10)=0</f>
        <v>1</v>
      </c>
      <c r="AB2255" s="374">
        <f>COUNTIFS(B:B,B2255,H:H,'סיווג התפקידים והעלויות'!$C$2)</f>
        <v>0</v>
      </c>
      <c r="AC2255" s="374">
        <f>COUNTIFS(B:B,B2255,H:H,'סיווג התפקידים והעלויות'!$D$2)</f>
        <v>0</v>
      </c>
      <c r="AD2255" s="374" t="str">
        <f>IF(OR(AND(H2255='סיווג התפקידים והעלויות'!$A$2,I2255='סיווג התפקידים והעלויות'!$A$3),'עלויות כח אדם (6)'!H2255='סיווג התפקידים והעלויות'!$C$2,'עלויות כח אדם (6)'!H2255='סיווג התפקידים והעלויות'!$D$2),IF('עלויות כח אדם (6)'!J2255&lt;75,"לא תקין","תקין"),"")</f>
        <v/>
      </c>
      <c r="AE2255" s="374" t="str">
        <f t="shared" ref="AE2255:AE2318" si="539">IF(B2255&lt;&gt;"",B2255&amp;H2255,"")</f>
        <v/>
      </c>
      <c r="AF2255" s="532" t="str">
        <f t="shared" ref="AF2255:AF2318" si="540">M2255</f>
        <v/>
      </c>
    </row>
    <row r="2256" spans="2:32" x14ac:dyDescent="0.25">
      <c r="B2256" s="695"/>
      <c r="C2256" s="197" t="str">
        <f>IF(B2256&lt;&gt;"",IFERROR(VLOOKUP(B:B,'מצבת והרשמה (2)'!$C$20:$N$520,2,0)," ")," ")</f>
        <v xml:space="preserve"> </v>
      </c>
      <c r="D2256" s="695"/>
      <c r="E2256" s="696"/>
      <c r="F2256" s="696"/>
      <c r="G2256" s="696"/>
      <c r="H2256" s="696"/>
      <c r="I2256" s="1050" t="str">
        <f t="shared" si="527"/>
        <v/>
      </c>
      <c r="J2256" s="696"/>
      <c r="K2256" s="697"/>
      <c r="L2256" s="696"/>
      <c r="M2256" s="198" t="str">
        <f t="shared" si="528"/>
        <v/>
      </c>
      <c r="N2256" s="369" t="str">
        <f t="shared" si="529"/>
        <v/>
      </c>
      <c r="O2256" s="183" t="str">
        <f t="shared" si="530"/>
        <v/>
      </c>
      <c r="P2256" s="199" t="str">
        <f t="shared" si="531"/>
        <v/>
      </c>
      <c r="Q2256" s="199" t="str">
        <f>IF(B2256="","",IFERROR(IF('עלויות כח אדם (6)'!J2256&gt;=VLOOKUP(I2256,'סיווג התפקידים והעלויות'!$B$23:$C$32,2,0),"תקין","לא תקין"),""))</f>
        <v/>
      </c>
      <c r="R2256" s="199" t="str">
        <f t="shared" si="532"/>
        <v/>
      </c>
      <c r="S2256" s="199" t="str">
        <f t="shared" si="533"/>
        <v/>
      </c>
      <c r="T2256" s="199" t="str">
        <f t="shared" ref="T2256:T2319" si="541">IF(B2256="","",IF(H2256="","יש להזין איש צוות",IF(OR(H2256="מורה",H2256="גננת",H2256="רכז גן",H2256="רכזת גן",H2256="סייעת",H2256="מדצית",H2256="מדצ",H2256="מדריך",H2256="מדריכה",H2256="תוספת כח אדם"),IF(L2256&lt;=90,"תקין","לא תקין"),IF(OR(H2256="רכז בית ספר",H2256="רכזת תכנית בבית הספר",H2256="רכזת בית ספר"),IF(L2256&lt;=137,"תקין","לא תקין"),IF(OR(H2256="סגנית רכזת מעל 150",H2256="סגן רכז"),IF(L2256&lt;=93,"תקין","לא תקין"),"לא תקין")))))</f>
        <v/>
      </c>
      <c r="U2256" s="199" t="str">
        <f t="shared" si="534"/>
        <v/>
      </c>
      <c r="V2256" s="989"/>
      <c r="X2256" s="374" t="str">
        <f t="shared" si="535"/>
        <v/>
      </c>
      <c r="Y2256" s="375" t="str">
        <f t="shared" si="536"/>
        <v/>
      </c>
      <c r="Z2256" s="374" t="str">
        <f t="shared" si="537"/>
        <v/>
      </c>
      <c r="AA2256" s="374" t="b">
        <f t="shared" si="538"/>
        <v>1</v>
      </c>
      <c r="AB2256" s="374">
        <f>COUNTIFS(B:B,B2256,H:H,'סיווג התפקידים והעלויות'!$C$2)</f>
        <v>0</v>
      </c>
      <c r="AC2256" s="374">
        <f>COUNTIFS(B:B,B2256,H:H,'סיווג התפקידים והעלויות'!$D$2)</f>
        <v>0</v>
      </c>
      <c r="AD2256" s="374" t="str">
        <f>IF(OR(AND(H2256='סיווג התפקידים והעלויות'!$A$2,I2256='סיווג התפקידים והעלויות'!$A$3),'עלויות כח אדם (6)'!H2256='סיווג התפקידים והעלויות'!$C$2,'עלויות כח אדם (6)'!H2256='סיווג התפקידים והעלויות'!$D$2),IF('עלויות כח אדם (6)'!J2256&lt;75,"לא תקין","תקין"),"")</f>
        <v/>
      </c>
      <c r="AE2256" s="374" t="str">
        <f t="shared" si="539"/>
        <v/>
      </c>
      <c r="AF2256" s="532" t="str">
        <f t="shared" si="540"/>
        <v/>
      </c>
    </row>
    <row r="2257" spans="2:32" x14ac:dyDescent="0.25">
      <c r="B2257" s="695"/>
      <c r="C2257" s="197" t="str">
        <f>IF(B2257&lt;&gt;"",IFERROR(VLOOKUP(B:B,'מצבת והרשמה (2)'!$C$20:$N$520,2,0)," ")," ")</f>
        <v xml:space="preserve"> </v>
      </c>
      <c r="D2257" s="695"/>
      <c r="E2257" s="696"/>
      <c r="F2257" s="696"/>
      <c r="G2257" s="696"/>
      <c r="H2257" s="696"/>
      <c r="I2257" s="1050" t="str">
        <f t="shared" si="527"/>
        <v/>
      </c>
      <c r="J2257" s="696"/>
      <c r="K2257" s="697"/>
      <c r="L2257" s="696"/>
      <c r="M2257" s="198" t="str">
        <f t="shared" si="528"/>
        <v/>
      </c>
      <c r="N2257" s="369" t="str">
        <f t="shared" si="529"/>
        <v/>
      </c>
      <c r="O2257" s="183" t="str">
        <f t="shared" si="530"/>
        <v/>
      </c>
      <c r="P2257" s="199" t="str">
        <f t="shared" si="531"/>
        <v/>
      </c>
      <c r="Q2257" s="199" t="str">
        <f>IF(B2257="","",IFERROR(IF('עלויות כח אדם (6)'!J2257&gt;=VLOOKUP(I2257,'סיווג התפקידים והעלויות'!$B$23:$C$32,2,0),"תקין","לא תקין"),""))</f>
        <v/>
      </c>
      <c r="R2257" s="199" t="str">
        <f t="shared" si="532"/>
        <v/>
      </c>
      <c r="S2257" s="199" t="str">
        <f t="shared" si="533"/>
        <v/>
      </c>
      <c r="T2257" s="199" t="str">
        <f t="shared" si="541"/>
        <v/>
      </c>
      <c r="U2257" s="199" t="str">
        <f t="shared" si="534"/>
        <v/>
      </c>
      <c r="V2257" s="989"/>
      <c r="X2257" s="374" t="str">
        <f t="shared" si="535"/>
        <v/>
      </c>
      <c r="Y2257" s="375" t="str">
        <f t="shared" si="536"/>
        <v/>
      </c>
      <c r="Z2257" s="374" t="str">
        <f t="shared" si="537"/>
        <v/>
      </c>
      <c r="AA2257" s="374" t="b">
        <f t="shared" si="538"/>
        <v>1</v>
      </c>
      <c r="AB2257" s="374">
        <f>COUNTIFS(B:B,B2257,H:H,'סיווג התפקידים והעלויות'!$C$2)</f>
        <v>0</v>
      </c>
      <c r="AC2257" s="374">
        <f>COUNTIFS(B:B,B2257,H:H,'סיווג התפקידים והעלויות'!$D$2)</f>
        <v>0</v>
      </c>
      <c r="AD2257" s="374" t="str">
        <f>IF(OR(AND(H2257='סיווג התפקידים והעלויות'!$A$2,I2257='סיווג התפקידים והעלויות'!$A$3),'עלויות כח אדם (6)'!H2257='סיווג התפקידים והעלויות'!$C$2,'עלויות כח אדם (6)'!H2257='סיווג התפקידים והעלויות'!$D$2),IF('עלויות כח אדם (6)'!J2257&lt;75,"לא תקין","תקין"),"")</f>
        <v/>
      </c>
      <c r="AE2257" s="374" t="str">
        <f t="shared" si="539"/>
        <v/>
      </c>
      <c r="AF2257" s="532" t="str">
        <f t="shared" si="540"/>
        <v/>
      </c>
    </row>
    <row r="2258" spans="2:32" x14ac:dyDescent="0.25">
      <c r="B2258" s="695"/>
      <c r="C2258" s="197" t="str">
        <f>IF(B2258&lt;&gt;"",IFERROR(VLOOKUP(B:B,'מצבת והרשמה (2)'!$C$20:$N$520,2,0)," ")," ")</f>
        <v xml:space="preserve"> </v>
      </c>
      <c r="D2258" s="695"/>
      <c r="E2258" s="696"/>
      <c r="F2258" s="696"/>
      <c r="G2258" s="696"/>
      <c r="H2258" s="696"/>
      <c r="I2258" s="1050" t="str">
        <f t="shared" si="527"/>
        <v/>
      </c>
      <c r="J2258" s="696"/>
      <c r="K2258" s="697"/>
      <c r="L2258" s="696"/>
      <c r="M2258" s="198" t="str">
        <f t="shared" si="528"/>
        <v/>
      </c>
      <c r="N2258" s="369" t="str">
        <f t="shared" si="529"/>
        <v/>
      </c>
      <c r="O2258" s="183" t="str">
        <f t="shared" si="530"/>
        <v/>
      </c>
      <c r="P2258" s="199" t="str">
        <f t="shared" si="531"/>
        <v/>
      </c>
      <c r="Q2258" s="199" t="str">
        <f>IF(B2258="","",IFERROR(IF('עלויות כח אדם (6)'!J2258&gt;=VLOOKUP(I2258,'סיווג התפקידים והעלויות'!$B$23:$C$32,2,0),"תקין","לא תקין"),""))</f>
        <v/>
      </c>
      <c r="R2258" s="199" t="str">
        <f t="shared" si="532"/>
        <v/>
      </c>
      <c r="S2258" s="199" t="str">
        <f t="shared" si="533"/>
        <v/>
      </c>
      <c r="T2258" s="199" t="str">
        <f t="shared" si="541"/>
        <v/>
      </c>
      <c r="U2258" s="199" t="str">
        <f t="shared" si="534"/>
        <v/>
      </c>
      <c r="V2258" s="989"/>
      <c r="X2258" s="374" t="str">
        <f t="shared" si="535"/>
        <v/>
      </c>
      <c r="Y2258" s="375" t="str">
        <f t="shared" si="536"/>
        <v/>
      </c>
      <c r="Z2258" s="374" t="str">
        <f t="shared" si="537"/>
        <v/>
      </c>
      <c r="AA2258" s="374" t="b">
        <f t="shared" si="538"/>
        <v>1</v>
      </c>
      <c r="AB2258" s="374">
        <f>COUNTIFS(B:B,B2258,H:H,'סיווג התפקידים והעלויות'!$C$2)</f>
        <v>0</v>
      </c>
      <c r="AC2258" s="374">
        <f>COUNTIFS(B:B,B2258,H:H,'סיווג התפקידים והעלויות'!$D$2)</f>
        <v>0</v>
      </c>
      <c r="AD2258" s="374" t="str">
        <f>IF(OR(AND(H2258='סיווג התפקידים והעלויות'!$A$2,I2258='סיווג התפקידים והעלויות'!$A$3),'עלויות כח אדם (6)'!H2258='סיווג התפקידים והעלויות'!$C$2,'עלויות כח אדם (6)'!H2258='סיווג התפקידים והעלויות'!$D$2),IF('עלויות כח אדם (6)'!J2258&lt;75,"לא תקין","תקין"),"")</f>
        <v/>
      </c>
      <c r="AE2258" s="374" t="str">
        <f t="shared" si="539"/>
        <v/>
      </c>
      <c r="AF2258" s="532" t="str">
        <f t="shared" si="540"/>
        <v/>
      </c>
    </row>
    <row r="2259" spans="2:32" x14ac:dyDescent="0.25">
      <c r="B2259" s="695"/>
      <c r="C2259" s="197" t="str">
        <f>IF(B2259&lt;&gt;"",IFERROR(VLOOKUP(B:B,'מצבת והרשמה (2)'!$C$20:$N$520,2,0)," ")," ")</f>
        <v xml:space="preserve"> </v>
      </c>
      <c r="D2259" s="695"/>
      <c r="E2259" s="696"/>
      <c r="F2259" s="696"/>
      <c r="G2259" s="696"/>
      <c r="H2259" s="696"/>
      <c r="I2259" s="1050" t="str">
        <f t="shared" si="527"/>
        <v/>
      </c>
      <c r="J2259" s="696"/>
      <c r="K2259" s="697"/>
      <c r="L2259" s="696"/>
      <c r="M2259" s="198" t="str">
        <f t="shared" si="528"/>
        <v/>
      </c>
      <c r="N2259" s="369" t="str">
        <f t="shared" si="529"/>
        <v/>
      </c>
      <c r="O2259" s="183" t="str">
        <f t="shared" si="530"/>
        <v/>
      </c>
      <c r="P2259" s="199" t="str">
        <f t="shared" si="531"/>
        <v/>
      </c>
      <c r="Q2259" s="199" t="str">
        <f>IF(B2259="","",IFERROR(IF('עלויות כח אדם (6)'!J2259&gt;=VLOOKUP(I2259,'סיווג התפקידים והעלויות'!$B$23:$C$32,2,0),"תקין","לא תקין"),""))</f>
        <v/>
      </c>
      <c r="R2259" s="199" t="str">
        <f t="shared" si="532"/>
        <v/>
      </c>
      <c r="S2259" s="199" t="str">
        <f t="shared" si="533"/>
        <v/>
      </c>
      <c r="T2259" s="199" t="str">
        <f t="shared" si="541"/>
        <v/>
      </c>
      <c r="U2259" s="199" t="str">
        <f t="shared" si="534"/>
        <v/>
      </c>
      <c r="V2259" s="989"/>
      <c r="X2259" s="374" t="str">
        <f t="shared" si="535"/>
        <v/>
      </c>
      <c r="Y2259" s="375" t="str">
        <f t="shared" si="536"/>
        <v/>
      </c>
      <c r="Z2259" s="374" t="str">
        <f t="shared" si="537"/>
        <v/>
      </c>
      <c r="AA2259" s="374" t="b">
        <f t="shared" si="538"/>
        <v>1</v>
      </c>
      <c r="AB2259" s="374">
        <f>COUNTIFS(B:B,B2259,H:H,'סיווג התפקידים והעלויות'!$C$2)</f>
        <v>0</v>
      </c>
      <c r="AC2259" s="374">
        <f>COUNTIFS(B:B,B2259,H:H,'סיווג התפקידים והעלויות'!$D$2)</f>
        <v>0</v>
      </c>
      <c r="AD2259" s="374" t="str">
        <f>IF(OR(AND(H2259='סיווג התפקידים והעלויות'!$A$2,I2259='סיווג התפקידים והעלויות'!$A$3),'עלויות כח אדם (6)'!H2259='סיווג התפקידים והעלויות'!$C$2,'עלויות כח אדם (6)'!H2259='סיווג התפקידים והעלויות'!$D$2),IF('עלויות כח אדם (6)'!J2259&lt;75,"לא תקין","תקין"),"")</f>
        <v/>
      </c>
      <c r="AE2259" s="374" t="str">
        <f t="shared" si="539"/>
        <v/>
      </c>
      <c r="AF2259" s="532" t="str">
        <f t="shared" si="540"/>
        <v/>
      </c>
    </row>
    <row r="2260" spans="2:32" x14ac:dyDescent="0.25">
      <c r="B2260" s="695"/>
      <c r="C2260" s="197" t="str">
        <f>IF(B2260&lt;&gt;"",IFERROR(VLOOKUP(B:B,'מצבת והרשמה (2)'!$C$20:$N$520,2,0)," ")," ")</f>
        <v xml:space="preserve"> </v>
      </c>
      <c r="D2260" s="695"/>
      <c r="E2260" s="696"/>
      <c r="F2260" s="696"/>
      <c r="G2260" s="696"/>
      <c r="H2260" s="696"/>
      <c r="I2260" s="1050" t="str">
        <f t="shared" si="527"/>
        <v/>
      </c>
      <c r="J2260" s="696"/>
      <c r="K2260" s="697"/>
      <c r="L2260" s="696"/>
      <c r="M2260" s="198" t="str">
        <f t="shared" si="528"/>
        <v/>
      </c>
      <c r="N2260" s="369" t="str">
        <f t="shared" si="529"/>
        <v/>
      </c>
      <c r="O2260" s="183" t="str">
        <f t="shared" si="530"/>
        <v/>
      </c>
      <c r="P2260" s="199" t="str">
        <f t="shared" si="531"/>
        <v/>
      </c>
      <c r="Q2260" s="199" t="str">
        <f>IF(B2260="","",IFERROR(IF('עלויות כח אדם (6)'!J2260&gt;=VLOOKUP(I2260,'סיווג התפקידים והעלויות'!$B$23:$C$32,2,0),"תקין","לא תקין"),""))</f>
        <v/>
      </c>
      <c r="R2260" s="199" t="str">
        <f t="shared" si="532"/>
        <v/>
      </c>
      <c r="S2260" s="199" t="str">
        <f t="shared" si="533"/>
        <v/>
      </c>
      <c r="T2260" s="199" t="str">
        <f t="shared" si="541"/>
        <v/>
      </c>
      <c r="U2260" s="199" t="str">
        <f t="shared" si="534"/>
        <v/>
      </c>
      <c r="V2260" s="989"/>
      <c r="X2260" s="374" t="str">
        <f t="shared" si="535"/>
        <v/>
      </c>
      <c r="Y2260" s="375" t="str">
        <f t="shared" si="536"/>
        <v/>
      </c>
      <c r="Z2260" s="374" t="str">
        <f t="shared" si="537"/>
        <v/>
      </c>
      <c r="AA2260" s="374" t="b">
        <f t="shared" si="538"/>
        <v>1</v>
      </c>
      <c r="AB2260" s="374">
        <f>COUNTIFS(B:B,B2260,H:H,'סיווג התפקידים והעלויות'!$C$2)</f>
        <v>0</v>
      </c>
      <c r="AC2260" s="374">
        <f>COUNTIFS(B:B,B2260,H:H,'סיווג התפקידים והעלויות'!$D$2)</f>
        <v>0</v>
      </c>
      <c r="AD2260" s="374" t="str">
        <f>IF(OR(AND(H2260='סיווג התפקידים והעלויות'!$A$2,I2260='סיווג התפקידים והעלויות'!$A$3),'עלויות כח אדם (6)'!H2260='סיווג התפקידים והעלויות'!$C$2,'עלויות כח אדם (6)'!H2260='סיווג התפקידים והעלויות'!$D$2),IF('עלויות כח אדם (6)'!J2260&lt;75,"לא תקין","תקין"),"")</f>
        <v/>
      </c>
      <c r="AE2260" s="374" t="str">
        <f t="shared" si="539"/>
        <v/>
      </c>
      <c r="AF2260" s="532" t="str">
        <f t="shared" si="540"/>
        <v/>
      </c>
    </row>
    <row r="2261" spans="2:32" x14ac:dyDescent="0.25">
      <c r="B2261" s="695"/>
      <c r="C2261" s="197" t="str">
        <f>IF(B2261&lt;&gt;"",IFERROR(VLOOKUP(B:B,'מצבת והרשמה (2)'!$C$20:$N$520,2,0)," ")," ")</f>
        <v xml:space="preserve"> </v>
      </c>
      <c r="D2261" s="695"/>
      <c r="E2261" s="696"/>
      <c r="F2261" s="696"/>
      <c r="G2261" s="696"/>
      <c r="H2261" s="696"/>
      <c r="I2261" s="1050" t="str">
        <f t="shared" si="527"/>
        <v/>
      </c>
      <c r="J2261" s="696"/>
      <c r="K2261" s="697"/>
      <c r="L2261" s="696"/>
      <c r="M2261" s="198" t="str">
        <f t="shared" si="528"/>
        <v/>
      </c>
      <c r="N2261" s="369" t="str">
        <f t="shared" si="529"/>
        <v/>
      </c>
      <c r="O2261" s="183" t="str">
        <f t="shared" si="530"/>
        <v/>
      </c>
      <c r="P2261" s="199" t="str">
        <f t="shared" si="531"/>
        <v/>
      </c>
      <c r="Q2261" s="199" t="str">
        <f>IF(B2261="","",IFERROR(IF('עלויות כח אדם (6)'!J2261&gt;=VLOOKUP(I2261,'סיווג התפקידים והעלויות'!$B$23:$C$32,2,0),"תקין","לא תקין"),""))</f>
        <v/>
      </c>
      <c r="R2261" s="199" t="str">
        <f t="shared" si="532"/>
        <v/>
      </c>
      <c r="S2261" s="199" t="str">
        <f t="shared" si="533"/>
        <v/>
      </c>
      <c r="T2261" s="199" t="str">
        <f t="shared" si="541"/>
        <v/>
      </c>
      <c r="U2261" s="199" t="str">
        <f t="shared" si="534"/>
        <v/>
      </c>
      <c r="V2261" s="989"/>
      <c r="X2261" s="374" t="str">
        <f t="shared" si="535"/>
        <v/>
      </c>
      <c r="Y2261" s="375" t="str">
        <f t="shared" si="536"/>
        <v/>
      </c>
      <c r="Z2261" s="374" t="str">
        <f t="shared" si="537"/>
        <v/>
      </c>
      <c r="AA2261" s="374" t="b">
        <f t="shared" si="538"/>
        <v>1</v>
      </c>
      <c r="AB2261" s="374">
        <f>COUNTIFS(B:B,B2261,H:H,'סיווג התפקידים והעלויות'!$C$2)</f>
        <v>0</v>
      </c>
      <c r="AC2261" s="374">
        <f>COUNTIFS(B:B,B2261,H:H,'סיווג התפקידים והעלויות'!$D$2)</f>
        <v>0</v>
      </c>
      <c r="AD2261" s="374" t="str">
        <f>IF(OR(AND(H2261='סיווג התפקידים והעלויות'!$A$2,I2261='סיווג התפקידים והעלויות'!$A$3),'עלויות כח אדם (6)'!H2261='סיווג התפקידים והעלויות'!$C$2,'עלויות כח אדם (6)'!H2261='סיווג התפקידים והעלויות'!$D$2),IF('עלויות כח אדם (6)'!J2261&lt;75,"לא תקין","תקין"),"")</f>
        <v/>
      </c>
      <c r="AE2261" s="374" t="str">
        <f t="shared" si="539"/>
        <v/>
      </c>
      <c r="AF2261" s="532" t="str">
        <f t="shared" si="540"/>
        <v/>
      </c>
    </row>
    <row r="2262" spans="2:32" x14ac:dyDescent="0.25">
      <c r="B2262" s="695"/>
      <c r="C2262" s="197" t="str">
        <f>IF(B2262&lt;&gt;"",IFERROR(VLOOKUP(B:B,'מצבת והרשמה (2)'!$C$20:$N$520,2,0)," ")," ")</f>
        <v xml:space="preserve"> </v>
      </c>
      <c r="D2262" s="695"/>
      <c r="E2262" s="696"/>
      <c r="F2262" s="696"/>
      <c r="G2262" s="696"/>
      <c r="H2262" s="696"/>
      <c r="I2262" s="1050" t="str">
        <f t="shared" si="527"/>
        <v/>
      </c>
      <c r="J2262" s="696"/>
      <c r="K2262" s="697"/>
      <c r="L2262" s="696"/>
      <c r="M2262" s="198" t="str">
        <f t="shared" si="528"/>
        <v/>
      </c>
      <c r="N2262" s="369" t="str">
        <f t="shared" si="529"/>
        <v/>
      </c>
      <c r="O2262" s="183" t="str">
        <f t="shared" si="530"/>
        <v/>
      </c>
      <c r="P2262" s="199" t="str">
        <f t="shared" si="531"/>
        <v/>
      </c>
      <c r="Q2262" s="199" t="str">
        <f>IF(B2262="","",IFERROR(IF('עלויות כח אדם (6)'!J2262&gt;=VLOOKUP(I2262,'סיווג התפקידים והעלויות'!$B$23:$C$32,2,0),"תקין","לא תקין"),""))</f>
        <v/>
      </c>
      <c r="R2262" s="199" t="str">
        <f t="shared" si="532"/>
        <v/>
      </c>
      <c r="S2262" s="199" t="str">
        <f t="shared" si="533"/>
        <v/>
      </c>
      <c r="T2262" s="199" t="str">
        <f t="shared" si="541"/>
        <v/>
      </c>
      <c r="U2262" s="199" t="str">
        <f t="shared" si="534"/>
        <v/>
      </c>
      <c r="V2262" s="989"/>
      <c r="X2262" s="374" t="str">
        <f t="shared" si="535"/>
        <v/>
      </c>
      <c r="Y2262" s="375" t="str">
        <f t="shared" si="536"/>
        <v/>
      </c>
      <c r="Z2262" s="374" t="str">
        <f t="shared" si="537"/>
        <v/>
      </c>
      <c r="AA2262" s="374" t="b">
        <f t="shared" si="538"/>
        <v>1</v>
      </c>
      <c r="AB2262" s="374">
        <f>COUNTIFS(B:B,B2262,H:H,'סיווג התפקידים והעלויות'!$C$2)</f>
        <v>0</v>
      </c>
      <c r="AC2262" s="374">
        <f>COUNTIFS(B:B,B2262,H:H,'סיווג התפקידים והעלויות'!$D$2)</f>
        <v>0</v>
      </c>
      <c r="AD2262" s="374" t="str">
        <f>IF(OR(AND(H2262='סיווג התפקידים והעלויות'!$A$2,I2262='סיווג התפקידים והעלויות'!$A$3),'עלויות כח אדם (6)'!H2262='סיווג התפקידים והעלויות'!$C$2,'עלויות כח אדם (6)'!H2262='סיווג התפקידים והעלויות'!$D$2),IF('עלויות כח אדם (6)'!J2262&lt;75,"לא תקין","תקין"),"")</f>
        <v/>
      </c>
      <c r="AE2262" s="374" t="str">
        <f t="shared" si="539"/>
        <v/>
      </c>
      <c r="AF2262" s="532" t="str">
        <f t="shared" si="540"/>
        <v/>
      </c>
    </row>
    <row r="2263" spans="2:32" x14ac:dyDescent="0.25">
      <c r="B2263" s="695"/>
      <c r="C2263" s="197" t="str">
        <f>IF(B2263&lt;&gt;"",IFERROR(VLOOKUP(B:B,'מצבת והרשמה (2)'!$C$20:$N$520,2,0)," ")," ")</f>
        <v xml:space="preserve"> </v>
      </c>
      <c r="D2263" s="695"/>
      <c r="E2263" s="696"/>
      <c r="F2263" s="696"/>
      <c r="G2263" s="696"/>
      <c r="H2263" s="696"/>
      <c r="I2263" s="1050" t="str">
        <f t="shared" si="527"/>
        <v/>
      </c>
      <c r="J2263" s="696"/>
      <c r="K2263" s="697"/>
      <c r="L2263" s="696"/>
      <c r="M2263" s="198" t="str">
        <f t="shared" si="528"/>
        <v/>
      </c>
      <c r="N2263" s="369" t="str">
        <f t="shared" si="529"/>
        <v/>
      </c>
      <c r="O2263" s="183" t="str">
        <f t="shared" si="530"/>
        <v/>
      </c>
      <c r="P2263" s="199" t="str">
        <f t="shared" si="531"/>
        <v/>
      </c>
      <c r="Q2263" s="199" t="str">
        <f>IF(B2263="","",IFERROR(IF('עלויות כח אדם (6)'!J2263&gt;=VLOOKUP(I2263,'סיווג התפקידים והעלויות'!$B$23:$C$32,2,0),"תקין","לא תקין"),""))</f>
        <v/>
      </c>
      <c r="R2263" s="199" t="str">
        <f t="shared" si="532"/>
        <v/>
      </c>
      <c r="S2263" s="199" t="str">
        <f t="shared" si="533"/>
        <v/>
      </c>
      <c r="T2263" s="199" t="str">
        <f t="shared" si="541"/>
        <v/>
      </c>
      <c r="U2263" s="199" t="str">
        <f t="shared" si="534"/>
        <v/>
      </c>
      <c r="V2263" s="989"/>
      <c r="X2263" s="374" t="str">
        <f t="shared" si="535"/>
        <v/>
      </c>
      <c r="Y2263" s="375" t="str">
        <f t="shared" si="536"/>
        <v/>
      </c>
      <c r="Z2263" s="374" t="str">
        <f t="shared" si="537"/>
        <v/>
      </c>
      <c r="AA2263" s="374" t="b">
        <f t="shared" si="538"/>
        <v>1</v>
      </c>
      <c r="AB2263" s="374">
        <f>COUNTIFS(B:B,B2263,H:H,'סיווג התפקידים והעלויות'!$C$2)</f>
        <v>0</v>
      </c>
      <c r="AC2263" s="374">
        <f>COUNTIFS(B:B,B2263,H:H,'סיווג התפקידים והעלויות'!$D$2)</f>
        <v>0</v>
      </c>
      <c r="AD2263" s="374" t="str">
        <f>IF(OR(AND(H2263='סיווג התפקידים והעלויות'!$A$2,I2263='סיווג התפקידים והעלויות'!$A$3),'עלויות כח אדם (6)'!H2263='סיווג התפקידים והעלויות'!$C$2,'עלויות כח אדם (6)'!H2263='סיווג התפקידים והעלויות'!$D$2),IF('עלויות כח אדם (6)'!J2263&lt;75,"לא תקין","תקין"),"")</f>
        <v/>
      </c>
      <c r="AE2263" s="374" t="str">
        <f t="shared" si="539"/>
        <v/>
      </c>
      <c r="AF2263" s="532" t="str">
        <f t="shared" si="540"/>
        <v/>
      </c>
    </row>
    <row r="2264" spans="2:32" x14ac:dyDescent="0.25">
      <c r="B2264" s="695"/>
      <c r="C2264" s="197" t="str">
        <f>IF(B2264&lt;&gt;"",IFERROR(VLOOKUP(B:B,'מצבת והרשמה (2)'!$C$20:$N$520,2,0)," ")," ")</f>
        <v xml:space="preserve"> </v>
      </c>
      <c r="D2264" s="695"/>
      <c r="E2264" s="696"/>
      <c r="F2264" s="696"/>
      <c r="G2264" s="696"/>
      <c r="H2264" s="696"/>
      <c r="I2264" s="1050" t="str">
        <f t="shared" si="527"/>
        <v/>
      </c>
      <c r="J2264" s="696"/>
      <c r="K2264" s="697"/>
      <c r="L2264" s="696"/>
      <c r="M2264" s="198" t="str">
        <f t="shared" si="528"/>
        <v/>
      </c>
      <c r="N2264" s="369" t="str">
        <f t="shared" si="529"/>
        <v/>
      </c>
      <c r="O2264" s="183" t="str">
        <f t="shared" si="530"/>
        <v/>
      </c>
      <c r="P2264" s="199" t="str">
        <f t="shared" si="531"/>
        <v/>
      </c>
      <c r="Q2264" s="199" t="str">
        <f>IF(B2264="","",IFERROR(IF('עלויות כח אדם (6)'!J2264&gt;=VLOOKUP(I2264,'סיווג התפקידים והעלויות'!$B$23:$C$32,2,0),"תקין","לא תקין"),""))</f>
        <v/>
      </c>
      <c r="R2264" s="199" t="str">
        <f t="shared" si="532"/>
        <v/>
      </c>
      <c r="S2264" s="199" t="str">
        <f t="shared" si="533"/>
        <v/>
      </c>
      <c r="T2264" s="199" t="str">
        <f t="shared" si="541"/>
        <v/>
      </c>
      <c r="U2264" s="199" t="str">
        <f t="shared" si="534"/>
        <v/>
      </c>
      <c r="V2264" s="989"/>
      <c r="X2264" s="374" t="str">
        <f t="shared" si="535"/>
        <v/>
      </c>
      <c r="Y2264" s="375" t="str">
        <f t="shared" si="536"/>
        <v/>
      </c>
      <c r="Z2264" s="374" t="str">
        <f t="shared" si="537"/>
        <v/>
      </c>
      <c r="AA2264" s="374" t="b">
        <f t="shared" si="538"/>
        <v>1</v>
      </c>
      <c r="AB2264" s="374">
        <f>COUNTIFS(B:B,B2264,H:H,'סיווג התפקידים והעלויות'!$C$2)</f>
        <v>0</v>
      </c>
      <c r="AC2264" s="374">
        <f>COUNTIFS(B:B,B2264,H:H,'סיווג התפקידים והעלויות'!$D$2)</f>
        <v>0</v>
      </c>
      <c r="AD2264" s="374" t="str">
        <f>IF(OR(AND(H2264='סיווג התפקידים והעלויות'!$A$2,I2264='סיווג התפקידים והעלויות'!$A$3),'עלויות כח אדם (6)'!H2264='סיווג התפקידים והעלויות'!$C$2,'עלויות כח אדם (6)'!H2264='סיווג התפקידים והעלויות'!$D$2),IF('עלויות כח אדם (6)'!J2264&lt;75,"לא תקין","תקין"),"")</f>
        <v/>
      </c>
      <c r="AE2264" s="374" t="str">
        <f t="shared" si="539"/>
        <v/>
      </c>
      <c r="AF2264" s="532" t="str">
        <f t="shared" si="540"/>
        <v/>
      </c>
    </row>
    <row r="2265" spans="2:32" x14ac:dyDescent="0.25">
      <c r="B2265" s="695"/>
      <c r="C2265" s="197" t="str">
        <f>IF(B2265&lt;&gt;"",IFERROR(VLOOKUP(B:B,'מצבת והרשמה (2)'!$C$20:$N$520,2,0)," ")," ")</f>
        <v xml:space="preserve"> </v>
      </c>
      <c r="D2265" s="695"/>
      <c r="E2265" s="696"/>
      <c r="F2265" s="696"/>
      <c r="G2265" s="696"/>
      <c r="H2265" s="696"/>
      <c r="I2265" s="1050" t="str">
        <f t="shared" si="527"/>
        <v/>
      </c>
      <c r="J2265" s="696"/>
      <c r="K2265" s="697"/>
      <c r="L2265" s="696"/>
      <c r="M2265" s="198" t="str">
        <f t="shared" si="528"/>
        <v/>
      </c>
      <c r="N2265" s="369" t="str">
        <f t="shared" si="529"/>
        <v/>
      </c>
      <c r="O2265" s="183" t="str">
        <f t="shared" si="530"/>
        <v/>
      </c>
      <c r="P2265" s="199" t="str">
        <f t="shared" si="531"/>
        <v/>
      </c>
      <c r="Q2265" s="199" t="str">
        <f>IF(B2265="","",IFERROR(IF('עלויות כח אדם (6)'!J2265&gt;=VLOOKUP(I2265,'סיווג התפקידים והעלויות'!$B$23:$C$32,2,0),"תקין","לא תקין"),""))</f>
        <v/>
      </c>
      <c r="R2265" s="199" t="str">
        <f t="shared" si="532"/>
        <v/>
      </c>
      <c r="S2265" s="199" t="str">
        <f t="shared" si="533"/>
        <v/>
      </c>
      <c r="T2265" s="199" t="str">
        <f t="shared" si="541"/>
        <v/>
      </c>
      <c r="U2265" s="199" t="str">
        <f t="shared" si="534"/>
        <v/>
      </c>
      <c r="V2265" s="989"/>
      <c r="X2265" s="374" t="str">
        <f t="shared" si="535"/>
        <v/>
      </c>
      <c r="Y2265" s="375" t="str">
        <f t="shared" si="536"/>
        <v/>
      </c>
      <c r="Z2265" s="374" t="str">
        <f t="shared" si="537"/>
        <v/>
      </c>
      <c r="AA2265" s="374" t="b">
        <f t="shared" si="538"/>
        <v>1</v>
      </c>
      <c r="AB2265" s="374">
        <f>COUNTIFS(B:B,B2265,H:H,'סיווג התפקידים והעלויות'!$C$2)</f>
        <v>0</v>
      </c>
      <c r="AC2265" s="374">
        <f>COUNTIFS(B:B,B2265,H:H,'סיווג התפקידים והעלויות'!$D$2)</f>
        <v>0</v>
      </c>
      <c r="AD2265" s="374" t="str">
        <f>IF(OR(AND(H2265='סיווג התפקידים והעלויות'!$A$2,I2265='סיווג התפקידים והעלויות'!$A$3),'עלויות כח אדם (6)'!H2265='סיווג התפקידים והעלויות'!$C$2,'עלויות כח אדם (6)'!H2265='סיווג התפקידים והעלויות'!$D$2),IF('עלויות כח אדם (6)'!J2265&lt;75,"לא תקין","תקין"),"")</f>
        <v/>
      </c>
      <c r="AE2265" s="374" t="str">
        <f t="shared" si="539"/>
        <v/>
      </c>
      <c r="AF2265" s="532" t="str">
        <f t="shared" si="540"/>
        <v/>
      </c>
    </row>
    <row r="2266" spans="2:32" x14ac:dyDescent="0.25">
      <c r="B2266" s="695"/>
      <c r="C2266" s="197" t="str">
        <f>IF(B2266&lt;&gt;"",IFERROR(VLOOKUP(B:B,'מצבת והרשמה (2)'!$C$20:$N$520,2,0)," ")," ")</f>
        <v xml:space="preserve"> </v>
      </c>
      <c r="D2266" s="695"/>
      <c r="E2266" s="696"/>
      <c r="F2266" s="696"/>
      <c r="G2266" s="696"/>
      <c r="H2266" s="696"/>
      <c r="I2266" s="1050" t="str">
        <f t="shared" si="527"/>
        <v/>
      </c>
      <c r="J2266" s="696"/>
      <c r="K2266" s="697"/>
      <c r="L2266" s="696"/>
      <c r="M2266" s="198" t="str">
        <f t="shared" si="528"/>
        <v/>
      </c>
      <c r="N2266" s="369" t="str">
        <f t="shared" si="529"/>
        <v/>
      </c>
      <c r="O2266" s="183" t="str">
        <f t="shared" si="530"/>
        <v/>
      </c>
      <c r="P2266" s="199" t="str">
        <f t="shared" si="531"/>
        <v/>
      </c>
      <c r="Q2266" s="199" t="str">
        <f>IF(B2266="","",IFERROR(IF('עלויות כח אדם (6)'!J2266&gt;=VLOOKUP(I2266,'סיווג התפקידים והעלויות'!$B$23:$C$32,2,0),"תקין","לא תקין"),""))</f>
        <v/>
      </c>
      <c r="R2266" s="199" t="str">
        <f t="shared" si="532"/>
        <v/>
      </c>
      <c r="S2266" s="199" t="str">
        <f t="shared" si="533"/>
        <v/>
      </c>
      <c r="T2266" s="199" t="str">
        <f t="shared" si="541"/>
        <v/>
      </c>
      <c r="U2266" s="199" t="str">
        <f t="shared" si="534"/>
        <v/>
      </c>
      <c r="V2266" s="989"/>
      <c r="X2266" s="374" t="str">
        <f t="shared" si="535"/>
        <v/>
      </c>
      <c r="Y2266" s="375" t="str">
        <f t="shared" si="536"/>
        <v/>
      </c>
      <c r="Z2266" s="374" t="str">
        <f t="shared" si="537"/>
        <v/>
      </c>
      <c r="AA2266" s="374" t="b">
        <f t="shared" si="538"/>
        <v>1</v>
      </c>
      <c r="AB2266" s="374">
        <f>COUNTIFS(B:B,B2266,H:H,'סיווג התפקידים והעלויות'!$C$2)</f>
        <v>0</v>
      </c>
      <c r="AC2266" s="374">
        <f>COUNTIFS(B:B,B2266,H:H,'סיווג התפקידים והעלויות'!$D$2)</f>
        <v>0</v>
      </c>
      <c r="AD2266" s="374" t="str">
        <f>IF(OR(AND(H2266='סיווג התפקידים והעלויות'!$A$2,I2266='סיווג התפקידים והעלויות'!$A$3),'עלויות כח אדם (6)'!H2266='סיווג התפקידים והעלויות'!$C$2,'עלויות כח אדם (6)'!H2266='סיווג התפקידים והעלויות'!$D$2),IF('עלויות כח אדם (6)'!J2266&lt;75,"לא תקין","תקין"),"")</f>
        <v/>
      </c>
      <c r="AE2266" s="374" t="str">
        <f t="shared" si="539"/>
        <v/>
      </c>
      <c r="AF2266" s="532" t="str">
        <f t="shared" si="540"/>
        <v/>
      </c>
    </row>
    <row r="2267" spans="2:32" x14ac:dyDescent="0.25">
      <c r="B2267" s="695"/>
      <c r="C2267" s="197" t="str">
        <f>IF(B2267&lt;&gt;"",IFERROR(VLOOKUP(B:B,'מצבת והרשמה (2)'!$C$20:$N$520,2,0)," ")," ")</f>
        <v xml:space="preserve"> </v>
      </c>
      <c r="D2267" s="695"/>
      <c r="E2267" s="696"/>
      <c r="F2267" s="696"/>
      <c r="G2267" s="696"/>
      <c r="H2267" s="696"/>
      <c r="I2267" s="1050" t="str">
        <f t="shared" si="527"/>
        <v/>
      </c>
      <c r="J2267" s="696"/>
      <c r="K2267" s="697"/>
      <c r="L2267" s="696"/>
      <c r="M2267" s="198" t="str">
        <f t="shared" si="528"/>
        <v/>
      </c>
      <c r="N2267" s="369" t="str">
        <f t="shared" si="529"/>
        <v/>
      </c>
      <c r="O2267" s="183" t="str">
        <f t="shared" si="530"/>
        <v/>
      </c>
      <c r="P2267" s="199" t="str">
        <f t="shared" si="531"/>
        <v/>
      </c>
      <c r="Q2267" s="199" t="str">
        <f>IF(B2267="","",IFERROR(IF('עלויות כח אדם (6)'!J2267&gt;=VLOOKUP(I2267,'סיווג התפקידים והעלויות'!$B$23:$C$32,2,0),"תקין","לא תקין"),""))</f>
        <v/>
      </c>
      <c r="R2267" s="199" t="str">
        <f t="shared" si="532"/>
        <v/>
      </c>
      <c r="S2267" s="199" t="str">
        <f t="shared" si="533"/>
        <v/>
      </c>
      <c r="T2267" s="199" t="str">
        <f t="shared" si="541"/>
        <v/>
      </c>
      <c r="U2267" s="199" t="str">
        <f t="shared" si="534"/>
        <v/>
      </c>
      <c r="V2267" s="989"/>
      <c r="X2267" s="374" t="str">
        <f t="shared" si="535"/>
        <v/>
      </c>
      <c r="Y2267" s="375" t="str">
        <f t="shared" si="536"/>
        <v/>
      </c>
      <c r="Z2267" s="374" t="str">
        <f t="shared" si="537"/>
        <v/>
      </c>
      <c r="AA2267" s="374" t="b">
        <f t="shared" si="538"/>
        <v>1</v>
      </c>
      <c r="AB2267" s="374">
        <f>COUNTIFS(B:B,B2267,H:H,'סיווג התפקידים והעלויות'!$C$2)</f>
        <v>0</v>
      </c>
      <c r="AC2267" s="374">
        <f>COUNTIFS(B:B,B2267,H:H,'סיווג התפקידים והעלויות'!$D$2)</f>
        <v>0</v>
      </c>
      <c r="AD2267" s="374" t="str">
        <f>IF(OR(AND(H2267='סיווג התפקידים והעלויות'!$A$2,I2267='סיווג התפקידים והעלויות'!$A$3),'עלויות כח אדם (6)'!H2267='סיווג התפקידים והעלויות'!$C$2,'עלויות כח אדם (6)'!H2267='סיווג התפקידים והעלויות'!$D$2),IF('עלויות כח אדם (6)'!J2267&lt;75,"לא תקין","תקין"),"")</f>
        <v/>
      </c>
      <c r="AE2267" s="374" t="str">
        <f t="shared" si="539"/>
        <v/>
      </c>
      <c r="AF2267" s="532" t="str">
        <f t="shared" si="540"/>
        <v/>
      </c>
    </row>
    <row r="2268" spans="2:32" x14ac:dyDescent="0.25">
      <c r="B2268" s="695"/>
      <c r="C2268" s="197" t="str">
        <f>IF(B2268&lt;&gt;"",IFERROR(VLOOKUP(B:B,'מצבת והרשמה (2)'!$C$20:$N$520,2,0)," ")," ")</f>
        <v xml:space="preserve"> </v>
      </c>
      <c r="D2268" s="695"/>
      <c r="E2268" s="696"/>
      <c r="F2268" s="696"/>
      <c r="G2268" s="696"/>
      <c r="H2268" s="696"/>
      <c r="I2268" s="1050" t="str">
        <f t="shared" si="527"/>
        <v/>
      </c>
      <c r="J2268" s="696"/>
      <c r="K2268" s="697"/>
      <c r="L2268" s="696"/>
      <c r="M2268" s="198" t="str">
        <f t="shared" si="528"/>
        <v/>
      </c>
      <c r="N2268" s="369" t="str">
        <f t="shared" si="529"/>
        <v/>
      </c>
      <c r="O2268" s="183" t="str">
        <f t="shared" si="530"/>
        <v/>
      </c>
      <c r="P2268" s="199" t="str">
        <f t="shared" si="531"/>
        <v/>
      </c>
      <c r="Q2268" s="199" t="str">
        <f>IF(B2268="","",IFERROR(IF('עלויות כח אדם (6)'!J2268&gt;=VLOOKUP(I2268,'סיווג התפקידים והעלויות'!$B$23:$C$32,2,0),"תקין","לא תקין"),""))</f>
        <v/>
      </c>
      <c r="R2268" s="199" t="str">
        <f t="shared" si="532"/>
        <v/>
      </c>
      <c r="S2268" s="199" t="str">
        <f t="shared" si="533"/>
        <v/>
      </c>
      <c r="T2268" s="199" t="str">
        <f t="shared" si="541"/>
        <v/>
      </c>
      <c r="U2268" s="199" t="str">
        <f t="shared" si="534"/>
        <v/>
      </c>
      <c r="V2268" s="989"/>
      <c r="X2268" s="374" t="str">
        <f t="shared" si="535"/>
        <v/>
      </c>
      <c r="Y2268" s="375" t="str">
        <f t="shared" si="536"/>
        <v/>
      </c>
      <c r="Z2268" s="374" t="str">
        <f t="shared" si="537"/>
        <v/>
      </c>
      <c r="AA2268" s="374" t="b">
        <f t="shared" si="538"/>
        <v>1</v>
      </c>
      <c r="AB2268" s="374">
        <f>COUNTIFS(B:B,B2268,H:H,'סיווג התפקידים והעלויות'!$C$2)</f>
        <v>0</v>
      </c>
      <c r="AC2268" s="374">
        <f>COUNTIFS(B:B,B2268,H:H,'סיווג התפקידים והעלויות'!$D$2)</f>
        <v>0</v>
      </c>
      <c r="AD2268" s="374" t="str">
        <f>IF(OR(AND(H2268='סיווג התפקידים והעלויות'!$A$2,I2268='סיווג התפקידים והעלויות'!$A$3),'עלויות כח אדם (6)'!H2268='סיווג התפקידים והעלויות'!$C$2,'עלויות כח אדם (6)'!H2268='סיווג התפקידים והעלויות'!$D$2),IF('עלויות כח אדם (6)'!J2268&lt;75,"לא תקין","תקין"),"")</f>
        <v/>
      </c>
      <c r="AE2268" s="374" t="str">
        <f t="shared" si="539"/>
        <v/>
      </c>
      <c r="AF2268" s="532" t="str">
        <f t="shared" si="540"/>
        <v/>
      </c>
    </row>
    <row r="2269" spans="2:32" x14ac:dyDescent="0.25">
      <c r="B2269" s="695"/>
      <c r="C2269" s="197" t="str">
        <f>IF(B2269&lt;&gt;"",IFERROR(VLOOKUP(B:B,'מצבת והרשמה (2)'!$C$20:$N$520,2,0)," ")," ")</f>
        <v xml:space="preserve"> </v>
      </c>
      <c r="D2269" s="695"/>
      <c r="E2269" s="696"/>
      <c r="F2269" s="696"/>
      <c r="G2269" s="696"/>
      <c r="H2269" s="696"/>
      <c r="I2269" s="1050" t="str">
        <f t="shared" si="527"/>
        <v/>
      </c>
      <c r="J2269" s="696"/>
      <c r="K2269" s="697"/>
      <c r="L2269" s="696"/>
      <c r="M2269" s="198" t="str">
        <f t="shared" si="528"/>
        <v/>
      </c>
      <c r="N2269" s="369" t="str">
        <f t="shared" si="529"/>
        <v/>
      </c>
      <c r="O2269" s="183" t="str">
        <f t="shared" si="530"/>
        <v/>
      </c>
      <c r="P2269" s="199" t="str">
        <f t="shared" si="531"/>
        <v/>
      </c>
      <c r="Q2269" s="199" t="str">
        <f>IF(B2269="","",IFERROR(IF('עלויות כח אדם (6)'!J2269&gt;=VLOOKUP(I2269,'סיווג התפקידים והעלויות'!$B$23:$C$32,2,0),"תקין","לא תקין"),""))</f>
        <v/>
      </c>
      <c r="R2269" s="199" t="str">
        <f t="shared" si="532"/>
        <v/>
      </c>
      <c r="S2269" s="199" t="str">
        <f t="shared" si="533"/>
        <v/>
      </c>
      <c r="T2269" s="199" t="str">
        <f t="shared" si="541"/>
        <v/>
      </c>
      <c r="U2269" s="199" t="str">
        <f t="shared" si="534"/>
        <v/>
      </c>
      <c r="V2269" s="989"/>
      <c r="X2269" s="374" t="str">
        <f t="shared" si="535"/>
        <v/>
      </c>
      <c r="Y2269" s="375" t="str">
        <f t="shared" si="536"/>
        <v/>
      </c>
      <c r="Z2269" s="374" t="str">
        <f t="shared" si="537"/>
        <v/>
      </c>
      <c r="AA2269" s="374" t="b">
        <f t="shared" si="538"/>
        <v>1</v>
      </c>
      <c r="AB2269" s="374">
        <f>COUNTIFS(B:B,B2269,H:H,'סיווג התפקידים והעלויות'!$C$2)</f>
        <v>0</v>
      </c>
      <c r="AC2269" s="374">
        <f>COUNTIFS(B:B,B2269,H:H,'סיווג התפקידים והעלויות'!$D$2)</f>
        <v>0</v>
      </c>
      <c r="AD2269" s="374" t="str">
        <f>IF(OR(AND(H2269='סיווג התפקידים והעלויות'!$A$2,I2269='סיווג התפקידים והעלויות'!$A$3),'עלויות כח אדם (6)'!H2269='סיווג התפקידים והעלויות'!$C$2,'עלויות כח אדם (6)'!H2269='סיווג התפקידים והעלויות'!$D$2),IF('עלויות כח אדם (6)'!J2269&lt;75,"לא תקין","תקין"),"")</f>
        <v/>
      </c>
      <c r="AE2269" s="374" t="str">
        <f t="shared" si="539"/>
        <v/>
      </c>
      <c r="AF2269" s="532" t="str">
        <f t="shared" si="540"/>
        <v/>
      </c>
    </row>
    <row r="2270" spans="2:32" x14ac:dyDescent="0.25">
      <c r="B2270" s="695"/>
      <c r="C2270" s="197" t="str">
        <f>IF(B2270&lt;&gt;"",IFERROR(VLOOKUP(B:B,'מצבת והרשמה (2)'!$C$20:$N$520,2,0)," ")," ")</f>
        <v xml:space="preserve"> </v>
      </c>
      <c r="D2270" s="695"/>
      <c r="E2270" s="696"/>
      <c r="F2270" s="696"/>
      <c r="G2270" s="696"/>
      <c r="H2270" s="696"/>
      <c r="I2270" s="1050" t="str">
        <f t="shared" si="527"/>
        <v/>
      </c>
      <c r="J2270" s="696"/>
      <c r="K2270" s="697"/>
      <c r="L2270" s="696"/>
      <c r="M2270" s="198" t="str">
        <f t="shared" si="528"/>
        <v/>
      </c>
      <c r="N2270" s="369" t="str">
        <f t="shared" si="529"/>
        <v/>
      </c>
      <c r="O2270" s="183" t="str">
        <f t="shared" si="530"/>
        <v/>
      </c>
      <c r="P2270" s="199" t="str">
        <f t="shared" si="531"/>
        <v/>
      </c>
      <c r="Q2270" s="199" t="str">
        <f>IF(B2270="","",IFERROR(IF('עלויות כח אדם (6)'!J2270&gt;=VLOOKUP(I2270,'סיווג התפקידים והעלויות'!$B$23:$C$32,2,0),"תקין","לא תקין"),""))</f>
        <v/>
      </c>
      <c r="R2270" s="199" t="str">
        <f t="shared" si="532"/>
        <v/>
      </c>
      <c r="S2270" s="199" t="str">
        <f t="shared" si="533"/>
        <v/>
      </c>
      <c r="T2270" s="199" t="str">
        <f t="shared" si="541"/>
        <v/>
      </c>
      <c r="U2270" s="199" t="str">
        <f t="shared" si="534"/>
        <v/>
      </c>
      <c r="V2270" s="989"/>
      <c r="X2270" s="374" t="str">
        <f t="shared" si="535"/>
        <v/>
      </c>
      <c r="Y2270" s="375" t="str">
        <f t="shared" si="536"/>
        <v/>
      </c>
      <c r="Z2270" s="374" t="str">
        <f t="shared" si="537"/>
        <v/>
      </c>
      <c r="AA2270" s="374" t="b">
        <f t="shared" si="538"/>
        <v>1</v>
      </c>
      <c r="AB2270" s="374">
        <f>COUNTIFS(B:B,B2270,H:H,'סיווג התפקידים והעלויות'!$C$2)</f>
        <v>0</v>
      </c>
      <c r="AC2270" s="374">
        <f>COUNTIFS(B:B,B2270,H:H,'סיווג התפקידים והעלויות'!$D$2)</f>
        <v>0</v>
      </c>
      <c r="AD2270" s="374" t="str">
        <f>IF(OR(AND(H2270='סיווג התפקידים והעלויות'!$A$2,I2270='סיווג התפקידים והעלויות'!$A$3),'עלויות כח אדם (6)'!H2270='סיווג התפקידים והעלויות'!$C$2,'עלויות כח אדם (6)'!H2270='סיווג התפקידים והעלויות'!$D$2),IF('עלויות כח אדם (6)'!J2270&lt;75,"לא תקין","תקין"),"")</f>
        <v/>
      </c>
      <c r="AE2270" s="374" t="str">
        <f t="shared" si="539"/>
        <v/>
      </c>
      <c r="AF2270" s="532" t="str">
        <f t="shared" si="540"/>
        <v/>
      </c>
    </row>
    <row r="2271" spans="2:32" x14ac:dyDescent="0.25">
      <c r="B2271" s="695"/>
      <c r="C2271" s="197" t="str">
        <f>IF(B2271&lt;&gt;"",IFERROR(VLOOKUP(B:B,'מצבת והרשמה (2)'!$C$20:$N$520,2,0)," ")," ")</f>
        <v xml:space="preserve"> </v>
      </c>
      <c r="D2271" s="695"/>
      <c r="E2271" s="696"/>
      <c r="F2271" s="696"/>
      <c r="G2271" s="696"/>
      <c r="H2271" s="696"/>
      <c r="I2271" s="1050" t="str">
        <f t="shared" si="527"/>
        <v/>
      </c>
      <c r="J2271" s="696"/>
      <c r="K2271" s="697"/>
      <c r="L2271" s="696"/>
      <c r="M2271" s="198" t="str">
        <f t="shared" si="528"/>
        <v/>
      </c>
      <c r="N2271" s="369" t="str">
        <f t="shared" si="529"/>
        <v/>
      </c>
      <c r="O2271" s="183" t="str">
        <f t="shared" si="530"/>
        <v/>
      </c>
      <c r="P2271" s="199" t="str">
        <f t="shared" si="531"/>
        <v/>
      </c>
      <c r="Q2271" s="199" t="str">
        <f>IF(B2271="","",IFERROR(IF('עלויות כח אדם (6)'!J2271&gt;=VLOOKUP(I2271,'סיווג התפקידים והעלויות'!$B$23:$C$32,2,0),"תקין","לא תקין"),""))</f>
        <v/>
      </c>
      <c r="R2271" s="199" t="str">
        <f t="shared" si="532"/>
        <v/>
      </c>
      <c r="S2271" s="199" t="str">
        <f t="shared" si="533"/>
        <v/>
      </c>
      <c r="T2271" s="199" t="str">
        <f t="shared" si="541"/>
        <v/>
      </c>
      <c r="U2271" s="199" t="str">
        <f t="shared" si="534"/>
        <v/>
      </c>
      <c r="V2271" s="989"/>
      <c r="X2271" s="374" t="str">
        <f t="shared" si="535"/>
        <v/>
      </c>
      <c r="Y2271" s="375" t="str">
        <f t="shared" si="536"/>
        <v/>
      </c>
      <c r="Z2271" s="374" t="str">
        <f t="shared" si="537"/>
        <v/>
      </c>
      <c r="AA2271" s="374" t="b">
        <f t="shared" si="538"/>
        <v>1</v>
      </c>
      <c r="AB2271" s="374">
        <f>COUNTIFS(B:B,B2271,H:H,'סיווג התפקידים והעלויות'!$C$2)</f>
        <v>0</v>
      </c>
      <c r="AC2271" s="374">
        <f>COUNTIFS(B:B,B2271,H:H,'סיווג התפקידים והעלויות'!$D$2)</f>
        <v>0</v>
      </c>
      <c r="AD2271" s="374" t="str">
        <f>IF(OR(AND(H2271='סיווג התפקידים והעלויות'!$A$2,I2271='סיווג התפקידים והעלויות'!$A$3),'עלויות כח אדם (6)'!H2271='סיווג התפקידים והעלויות'!$C$2,'עלויות כח אדם (6)'!H2271='סיווג התפקידים והעלויות'!$D$2),IF('עלויות כח אדם (6)'!J2271&lt;75,"לא תקין","תקין"),"")</f>
        <v/>
      </c>
      <c r="AE2271" s="374" t="str">
        <f t="shared" si="539"/>
        <v/>
      </c>
      <c r="AF2271" s="532" t="str">
        <f t="shared" si="540"/>
        <v/>
      </c>
    </row>
    <row r="2272" spans="2:32" x14ac:dyDescent="0.25">
      <c r="B2272" s="695"/>
      <c r="C2272" s="197" t="str">
        <f>IF(B2272&lt;&gt;"",IFERROR(VLOOKUP(B:B,'מצבת והרשמה (2)'!$C$20:$N$520,2,0)," ")," ")</f>
        <v xml:space="preserve"> </v>
      </c>
      <c r="D2272" s="695"/>
      <c r="E2272" s="696"/>
      <c r="F2272" s="696"/>
      <c r="G2272" s="696"/>
      <c r="H2272" s="696"/>
      <c r="I2272" s="1050" t="str">
        <f t="shared" si="527"/>
        <v/>
      </c>
      <c r="J2272" s="696"/>
      <c r="K2272" s="697"/>
      <c r="L2272" s="696"/>
      <c r="M2272" s="198" t="str">
        <f t="shared" si="528"/>
        <v/>
      </c>
      <c r="N2272" s="369" t="str">
        <f t="shared" si="529"/>
        <v/>
      </c>
      <c r="O2272" s="183" t="str">
        <f t="shared" si="530"/>
        <v/>
      </c>
      <c r="P2272" s="199" t="str">
        <f t="shared" si="531"/>
        <v/>
      </c>
      <c r="Q2272" s="199" t="str">
        <f>IF(B2272="","",IFERROR(IF('עלויות כח אדם (6)'!J2272&gt;=VLOOKUP(I2272,'סיווג התפקידים והעלויות'!$B$23:$C$32,2,0),"תקין","לא תקין"),""))</f>
        <v/>
      </c>
      <c r="R2272" s="199" t="str">
        <f t="shared" si="532"/>
        <v/>
      </c>
      <c r="S2272" s="199" t="str">
        <f t="shared" si="533"/>
        <v/>
      </c>
      <c r="T2272" s="199" t="str">
        <f t="shared" si="541"/>
        <v/>
      </c>
      <c r="U2272" s="199" t="str">
        <f t="shared" si="534"/>
        <v/>
      </c>
      <c r="V2272" s="989"/>
      <c r="X2272" s="374" t="str">
        <f t="shared" si="535"/>
        <v/>
      </c>
      <c r="Y2272" s="375" t="str">
        <f t="shared" si="536"/>
        <v/>
      </c>
      <c r="Z2272" s="374" t="str">
        <f t="shared" si="537"/>
        <v/>
      </c>
      <c r="AA2272" s="374" t="b">
        <f t="shared" si="538"/>
        <v>1</v>
      </c>
      <c r="AB2272" s="374">
        <f>COUNTIFS(B:B,B2272,H:H,'סיווג התפקידים והעלויות'!$C$2)</f>
        <v>0</v>
      </c>
      <c r="AC2272" s="374">
        <f>COUNTIFS(B:B,B2272,H:H,'סיווג התפקידים והעלויות'!$D$2)</f>
        <v>0</v>
      </c>
      <c r="AD2272" s="374" t="str">
        <f>IF(OR(AND(H2272='סיווג התפקידים והעלויות'!$A$2,I2272='סיווג התפקידים והעלויות'!$A$3),'עלויות כח אדם (6)'!H2272='סיווג התפקידים והעלויות'!$C$2,'עלויות כח אדם (6)'!H2272='סיווג התפקידים והעלויות'!$D$2),IF('עלויות כח אדם (6)'!J2272&lt;75,"לא תקין","תקין"),"")</f>
        <v/>
      </c>
      <c r="AE2272" s="374" t="str">
        <f t="shared" si="539"/>
        <v/>
      </c>
      <c r="AF2272" s="532" t="str">
        <f t="shared" si="540"/>
        <v/>
      </c>
    </row>
    <row r="2273" spans="2:32" x14ac:dyDescent="0.25">
      <c r="B2273" s="695"/>
      <c r="C2273" s="197" t="str">
        <f>IF(B2273&lt;&gt;"",IFERROR(VLOOKUP(B:B,'מצבת והרשמה (2)'!$C$20:$N$520,2,0)," ")," ")</f>
        <v xml:space="preserve"> </v>
      </c>
      <c r="D2273" s="695"/>
      <c r="E2273" s="696"/>
      <c r="F2273" s="696"/>
      <c r="G2273" s="696"/>
      <c r="H2273" s="696"/>
      <c r="I2273" s="1050" t="str">
        <f t="shared" si="527"/>
        <v/>
      </c>
      <c r="J2273" s="696"/>
      <c r="K2273" s="697"/>
      <c r="L2273" s="696"/>
      <c r="M2273" s="198" t="str">
        <f t="shared" si="528"/>
        <v/>
      </c>
      <c r="N2273" s="369" t="str">
        <f t="shared" si="529"/>
        <v/>
      </c>
      <c r="O2273" s="183" t="str">
        <f t="shared" si="530"/>
        <v/>
      </c>
      <c r="P2273" s="199" t="str">
        <f t="shared" si="531"/>
        <v/>
      </c>
      <c r="Q2273" s="199" t="str">
        <f>IF(B2273="","",IFERROR(IF('עלויות כח אדם (6)'!J2273&gt;=VLOOKUP(I2273,'סיווג התפקידים והעלויות'!$B$23:$C$32,2,0),"תקין","לא תקין"),""))</f>
        <v/>
      </c>
      <c r="R2273" s="199" t="str">
        <f t="shared" si="532"/>
        <v/>
      </c>
      <c r="S2273" s="199" t="str">
        <f t="shared" si="533"/>
        <v/>
      </c>
      <c r="T2273" s="199" t="str">
        <f t="shared" si="541"/>
        <v/>
      </c>
      <c r="U2273" s="199" t="str">
        <f t="shared" si="534"/>
        <v/>
      </c>
      <c r="V2273" s="989"/>
      <c r="X2273" s="374" t="str">
        <f t="shared" si="535"/>
        <v/>
      </c>
      <c r="Y2273" s="375" t="str">
        <f t="shared" si="536"/>
        <v/>
      </c>
      <c r="Z2273" s="374" t="str">
        <f t="shared" si="537"/>
        <v/>
      </c>
      <c r="AA2273" s="374" t="b">
        <f t="shared" si="538"/>
        <v>1</v>
      </c>
      <c r="AB2273" s="374">
        <f>COUNTIFS(B:B,B2273,H:H,'סיווג התפקידים והעלויות'!$C$2)</f>
        <v>0</v>
      </c>
      <c r="AC2273" s="374">
        <f>COUNTIFS(B:B,B2273,H:H,'סיווג התפקידים והעלויות'!$D$2)</f>
        <v>0</v>
      </c>
      <c r="AD2273" s="374" t="str">
        <f>IF(OR(AND(H2273='סיווג התפקידים והעלויות'!$A$2,I2273='סיווג התפקידים והעלויות'!$A$3),'עלויות כח אדם (6)'!H2273='סיווג התפקידים והעלויות'!$C$2,'עלויות כח אדם (6)'!H2273='סיווג התפקידים והעלויות'!$D$2),IF('עלויות כח אדם (6)'!J2273&lt;75,"לא תקין","תקין"),"")</f>
        <v/>
      </c>
      <c r="AE2273" s="374" t="str">
        <f t="shared" si="539"/>
        <v/>
      </c>
      <c r="AF2273" s="532" t="str">
        <f t="shared" si="540"/>
        <v/>
      </c>
    </row>
    <row r="2274" spans="2:32" x14ac:dyDescent="0.25">
      <c r="B2274" s="695"/>
      <c r="C2274" s="197" t="str">
        <f>IF(B2274&lt;&gt;"",IFERROR(VLOOKUP(B:B,'מצבת והרשמה (2)'!$C$20:$N$520,2,0)," ")," ")</f>
        <v xml:space="preserve"> </v>
      </c>
      <c r="D2274" s="695"/>
      <c r="E2274" s="696"/>
      <c r="F2274" s="696"/>
      <c r="G2274" s="696"/>
      <c r="H2274" s="696"/>
      <c r="I2274" s="1050" t="str">
        <f t="shared" si="527"/>
        <v/>
      </c>
      <c r="J2274" s="696"/>
      <c r="K2274" s="697"/>
      <c r="L2274" s="696"/>
      <c r="M2274" s="198" t="str">
        <f t="shared" si="528"/>
        <v/>
      </c>
      <c r="N2274" s="369" t="str">
        <f t="shared" si="529"/>
        <v/>
      </c>
      <c r="O2274" s="183" t="str">
        <f t="shared" si="530"/>
        <v/>
      </c>
      <c r="P2274" s="199" t="str">
        <f t="shared" si="531"/>
        <v/>
      </c>
      <c r="Q2274" s="199" t="str">
        <f>IF(B2274="","",IFERROR(IF('עלויות כח אדם (6)'!J2274&gt;=VLOOKUP(I2274,'סיווג התפקידים והעלויות'!$B$23:$C$32,2,0),"תקין","לא תקין"),""))</f>
        <v/>
      </c>
      <c r="R2274" s="199" t="str">
        <f t="shared" si="532"/>
        <v/>
      </c>
      <c r="S2274" s="199" t="str">
        <f t="shared" si="533"/>
        <v/>
      </c>
      <c r="T2274" s="199" t="str">
        <f t="shared" si="541"/>
        <v/>
      </c>
      <c r="U2274" s="199" t="str">
        <f t="shared" si="534"/>
        <v/>
      </c>
      <c r="V2274" s="989"/>
      <c r="X2274" s="374" t="str">
        <f t="shared" si="535"/>
        <v/>
      </c>
      <c r="Y2274" s="375" t="str">
        <f t="shared" si="536"/>
        <v/>
      </c>
      <c r="Z2274" s="374" t="str">
        <f t="shared" si="537"/>
        <v/>
      </c>
      <c r="AA2274" s="374" t="b">
        <f t="shared" si="538"/>
        <v>1</v>
      </c>
      <c r="AB2274" s="374">
        <f>COUNTIFS(B:B,B2274,H:H,'סיווג התפקידים והעלויות'!$C$2)</f>
        <v>0</v>
      </c>
      <c r="AC2274" s="374">
        <f>COUNTIFS(B:B,B2274,H:H,'סיווג התפקידים והעלויות'!$D$2)</f>
        <v>0</v>
      </c>
      <c r="AD2274" s="374" t="str">
        <f>IF(OR(AND(H2274='סיווג התפקידים והעלויות'!$A$2,I2274='סיווג התפקידים והעלויות'!$A$3),'עלויות כח אדם (6)'!H2274='סיווג התפקידים והעלויות'!$C$2,'עלויות כח אדם (6)'!H2274='סיווג התפקידים והעלויות'!$D$2),IF('עלויות כח אדם (6)'!J2274&lt;75,"לא תקין","תקין"),"")</f>
        <v/>
      </c>
      <c r="AE2274" s="374" t="str">
        <f t="shared" si="539"/>
        <v/>
      </c>
      <c r="AF2274" s="532" t="str">
        <f t="shared" si="540"/>
        <v/>
      </c>
    </row>
    <row r="2275" spans="2:32" x14ac:dyDescent="0.25">
      <c r="B2275" s="695"/>
      <c r="C2275" s="197" t="str">
        <f>IF(B2275&lt;&gt;"",IFERROR(VLOOKUP(B:B,'מצבת והרשמה (2)'!$C$20:$N$520,2,0)," ")," ")</f>
        <v xml:space="preserve"> </v>
      </c>
      <c r="D2275" s="695"/>
      <c r="E2275" s="696"/>
      <c r="F2275" s="696"/>
      <c r="G2275" s="696"/>
      <c r="H2275" s="696"/>
      <c r="I2275" s="1050" t="str">
        <f t="shared" si="527"/>
        <v/>
      </c>
      <c r="J2275" s="696"/>
      <c r="K2275" s="697"/>
      <c r="L2275" s="696"/>
      <c r="M2275" s="198" t="str">
        <f t="shared" si="528"/>
        <v/>
      </c>
      <c r="N2275" s="369" t="str">
        <f t="shared" si="529"/>
        <v/>
      </c>
      <c r="O2275" s="183" t="str">
        <f t="shared" si="530"/>
        <v/>
      </c>
      <c r="P2275" s="199" t="str">
        <f t="shared" si="531"/>
        <v/>
      </c>
      <c r="Q2275" s="199" t="str">
        <f>IF(B2275="","",IFERROR(IF('עלויות כח אדם (6)'!J2275&gt;=VLOOKUP(I2275,'סיווג התפקידים והעלויות'!$B$23:$C$32,2,0),"תקין","לא תקין"),""))</f>
        <v/>
      </c>
      <c r="R2275" s="199" t="str">
        <f t="shared" si="532"/>
        <v/>
      </c>
      <c r="S2275" s="199" t="str">
        <f t="shared" si="533"/>
        <v/>
      </c>
      <c r="T2275" s="199" t="str">
        <f t="shared" si="541"/>
        <v/>
      </c>
      <c r="U2275" s="199" t="str">
        <f t="shared" si="534"/>
        <v/>
      </c>
      <c r="V2275" s="989"/>
      <c r="X2275" s="374" t="str">
        <f t="shared" si="535"/>
        <v/>
      </c>
      <c r="Y2275" s="375" t="str">
        <f t="shared" si="536"/>
        <v/>
      </c>
      <c r="Z2275" s="374" t="str">
        <f t="shared" si="537"/>
        <v/>
      </c>
      <c r="AA2275" s="374" t="b">
        <f t="shared" si="538"/>
        <v>1</v>
      </c>
      <c r="AB2275" s="374">
        <f>COUNTIFS(B:B,B2275,H:H,'סיווג התפקידים והעלויות'!$C$2)</f>
        <v>0</v>
      </c>
      <c r="AC2275" s="374">
        <f>COUNTIFS(B:B,B2275,H:H,'סיווג התפקידים והעלויות'!$D$2)</f>
        <v>0</v>
      </c>
      <c r="AD2275" s="374" t="str">
        <f>IF(OR(AND(H2275='סיווג התפקידים והעלויות'!$A$2,I2275='סיווג התפקידים והעלויות'!$A$3),'עלויות כח אדם (6)'!H2275='סיווג התפקידים והעלויות'!$C$2,'עלויות כח אדם (6)'!H2275='סיווג התפקידים והעלויות'!$D$2),IF('עלויות כח אדם (6)'!J2275&lt;75,"לא תקין","תקין"),"")</f>
        <v/>
      </c>
      <c r="AE2275" s="374" t="str">
        <f t="shared" si="539"/>
        <v/>
      </c>
      <c r="AF2275" s="532" t="str">
        <f t="shared" si="540"/>
        <v/>
      </c>
    </row>
    <row r="2276" spans="2:32" x14ac:dyDescent="0.25">
      <c r="B2276" s="695"/>
      <c r="C2276" s="197" t="str">
        <f>IF(B2276&lt;&gt;"",IFERROR(VLOOKUP(B:B,'מצבת והרשמה (2)'!$C$20:$N$520,2,0)," ")," ")</f>
        <v xml:space="preserve"> </v>
      </c>
      <c r="D2276" s="695"/>
      <c r="E2276" s="696"/>
      <c r="F2276" s="696"/>
      <c r="G2276" s="696"/>
      <c r="H2276" s="696"/>
      <c r="I2276" s="1050" t="str">
        <f t="shared" si="527"/>
        <v/>
      </c>
      <c r="J2276" s="696"/>
      <c r="K2276" s="697"/>
      <c r="L2276" s="696"/>
      <c r="M2276" s="198" t="str">
        <f t="shared" si="528"/>
        <v/>
      </c>
      <c r="N2276" s="369" t="str">
        <f t="shared" si="529"/>
        <v/>
      </c>
      <c r="O2276" s="183" t="str">
        <f t="shared" si="530"/>
        <v/>
      </c>
      <c r="P2276" s="199" t="str">
        <f t="shared" si="531"/>
        <v/>
      </c>
      <c r="Q2276" s="199" t="str">
        <f>IF(B2276="","",IFERROR(IF('עלויות כח אדם (6)'!J2276&gt;=VLOOKUP(I2276,'סיווג התפקידים והעלויות'!$B$23:$C$32,2,0),"תקין","לא תקין"),""))</f>
        <v/>
      </c>
      <c r="R2276" s="199" t="str">
        <f t="shared" si="532"/>
        <v/>
      </c>
      <c r="S2276" s="199" t="str">
        <f t="shared" si="533"/>
        <v/>
      </c>
      <c r="T2276" s="199" t="str">
        <f t="shared" si="541"/>
        <v/>
      </c>
      <c r="U2276" s="199" t="str">
        <f t="shared" si="534"/>
        <v/>
      </c>
      <c r="V2276" s="989"/>
      <c r="X2276" s="374" t="str">
        <f t="shared" si="535"/>
        <v/>
      </c>
      <c r="Y2276" s="375" t="str">
        <f t="shared" si="536"/>
        <v/>
      </c>
      <c r="Z2276" s="374" t="str">
        <f t="shared" si="537"/>
        <v/>
      </c>
      <c r="AA2276" s="374" t="b">
        <f t="shared" si="538"/>
        <v>1</v>
      </c>
      <c r="AB2276" s="374">
        <f>COUNTIFS(B:B,B2276,H:H,'סיווג התפקידים והעלויות'!$C$2)</f>
        <v>0</v>
      </c>
      <c r="AC2276" s="374">
        <f>COUNTIFS(B:B,B2276,H:H,'סיווג התפקידים והעלויות'!$D$2)</f>
        <v>0</v>
      </c>
      <c r="AD2276" s="374" t="str">
        <f>IF(OR(AND(H2276='סיווג התפקידים והעלויות'!$A$2,I2276='סיווג התפקידים והעלויות'!$A$3),'עלויות כח אדם (6)'!H2276='סיווג התפקידים והעלויות'!$C$2,'עלויות כח אדם (6)'!H2276='סיווג התפקידים והעלויות'!$D$2),IF('עלויות כח אדם (6)'!J2276&lt;75,"לא תקין","תקין"),"")</f>
        <v/>
      </c>
      <c r="AE2276" s="374" t="str">
        <f t="shared" si="539"/>
        <v/>
      </c>
      <c r="AF2276" s="532" t="str">
        <f t="shared" si="540"/>
        <v/>
      </c>
    </row>
    <row r="2277" spans="2:32" x14ac:dyDescent="0.25">
      <c r="B2277" s="695"/>
      <c r="C2277" s="197" t="str">
        <f>IF(B2277&lt;&gt;"",IFERROR(VLOOKUP(B:B,'מצבת והרשמה (2)'!$C$20:$N$520,2,0)," ")," ")</f>
        <v xml:space="preserve"> </v>
      </c>
      <c r="D2277" s="695"/>
      <c r="E2277" s="696"/>
      <c r="F2277" s="696"/>
      <c r="G2277" s="696"/>
      <c r="H2277" s="696"/>
      <c r="I2277" s="1050" t="str">
        <f t="shared" si="527"/>
        <v/>
      </c>
      <c r="J2277" s="696"/>
      <c r="K2277" s="697"/>
      <c r="L2277" s="696"/>
      <c r="M2277" s="198" t="str">
        <f t="shared" si="528"/>
        <v/>
      </c>
      <c r="N2277" s="369" t="str">
        <f t="shared" si="529"/>
        <v/>
      </c>
      <c r="O2277" s="183" t="str">
        <f t="shared" si="530"/>
        <v/>
      </c>
      <c r="P2277" s="199" t="str">
        <f t="shared" si="531"/>
        <v/>
      </c>
      <c r="Q2277" s="199" t="str">
        <f>IF(B2277="","",IFERROR(IF('עלויות כח אדם (6)'!J2277&gt;=VLOOKUP(I2277,'סיווג התפקידים והעלויות'!$B$23:$C$32,2,0),"תקין","לא תקין"),""))</f>
        <v/>
      </c>
      <c r="R2277" s="199" t="str">
        <f t="shared" si="532"/>
        <v/>
      </c>
      <c r="S2277" s="199" t="str">
        <f t="shared" si="533"/>
        <v/>
      </c>
      <c r="T2277" s="199" t="str">
        <f t="shared" si="541"/>
        <v/>
      </c>
      <c r="U2277" s="199" t="str">
        <f t="shared" si="534"/>
        <v/>
      </c>
      <c r="V2277" s="989"/>
      <c r="X2277" s="374" t="str">
        <f t="shared" si="535"/>
        <v/>
      </c>
      <c r="Y2277" s="375" t="str">
        <f t="shared" si="536"/>
        <v/>
      </c>
      <c r="Z2277" s="374" t="str">
        <f t="shared" si="537"/>
        <v/>
      </c>
      <c r="AA2277" s="374" t="b">
        <f t="shared" si="538"/>
        <v>1</v>
      </c>
      <c r="AB2277" s="374">
        <f>COUNTIFS(B:B,B2277,H:H,'סיווג התפקידים והעלויות'!$C$2)</f>
        <v>0</v>
      </c>
      <c r="AC2277" s="374">
        <f>COUNTIFS(B:B,B2277,H:H,'סיווג התפקידים והעלויות'!$D$2)</f>
        <v>0</v>
      </c>
      <c r="AD2277" s="374" t="str">
        <f>IF(OR(AND(H2277='סיווג התפקידים והעלויות'!$A$2,I2277='סיווג התפקידים והעלויות'!$A$3),'עלויות כח אדם (6)'!H2277='סיווג התפקידים והעלויות'!$C$2,'עלויות כח אדם (6)'!H2277='סיווג התפקידים והעלויות'!$D$2),IF('עלויות כח אדם (6)'!J2277&lt;75,"לא תקין","תקין"),"")</f>
        <v/>
      </c>
      <c r="AE2277" s="374" t="str">
        <f t="shared" si="539"/>
        <v/>
      </c>
      <c r="AF2277" s="532" t="str">
        <f t="shared" si="540"/>
        <v/>
      </c>
    </row>
    <row r="2278" spans="2:32" x14ac:dyDescent="0.25">
      <c r="B2278" s="695"/>
      <c r="C2278" s="197" t="str">
        <f>IF(B2278&lt;&gt;"",IFERROR(VLOOKUP(B:B,'מצבת והרשמה (2)'!$C$20:$N$520,2,0)," ")," ")</f>
        <v xml:space="preserve"> </v>
      </c>
      <c r="D2278" s="695"/>
      <c r="E2278" s="696"/>
      <c r="F2278" s="696"/>
      <c r="G2278" s="696"/>
      <c r="H2278" s="696"/>
      <c r="I2278" s="1050" t="str">
        <f t="shared" si="527"/>
        <v/>
      </c>
      <c r="J2278" s="696"/>
      <c r="K2278" s="697"/>
      <c r="L2278" s="696"/>
      <c r="M2278" s="198" t="str">
        <f t="shared" si="528"/>
        <v/>
      </c>
      <c r="N2278" s="369" t="str">
        <f t="shared" si="529"/>
        <v/>
      </c>
      <c r="O2278" s="183" t="str">
        <f t="shared" si="530"/>
        <v/>
      </c>
      <c r="P2278" s="199" t="str">
        <f t="shared" si="531"/>
        <v/>
      </c>
      <c r="Q2278" s="199" t="str">
        <f>IF(B2278="","",IFERROR(IF('עלויות כח אדם (6)'!J2278&gt;=VLOOKUP(I2278,'סיווג התפקידים והעלויות'!$B$23:$C$32,2,0),"תקין","לא תקין"),""))</f>
        <v/>
      </c>
      <c r="R2278" s="199" t="str">
        <f t="shared" si="532"/>
        <v/>
      </c>
      <c r="S2278" s="199" t="str">
        <f t="shared" si="533"/>
        <v/>
      </c>
      <c r="T2278" s="199" t="str">
        <f t="shared" si="541"/>
        <v/>
      </c>
      <c r="U2278" s="199" t="str">
        <f t="shared" si="534"/>
        <v/>
      </c>
      <c r="V2278" s="989"/>
      <c r="X2278" s="374" t="str">
        <f t="shared" si="535"/>
        <v/>
      </c>
      <c r="Y2278" s="375" t="str">
        <f t="shared" si="536"/>
        <v/>
      </c>
      <c r="Z2278" s="374" t="str">
        <f t="shared" si="537"/>
        <v/>
      </c>
      <c r="AA2278" s="374" t="b">
        <f t="shared" si="538"/>
        <v>1</v>
      </c>
      <c r="AB2278" s="374">
        <f>COUNTIFS(B:B,B2278,H:H,'סיווג התפקידים והעלויות'!$C$2)</f>
        <v>0</v>
      </c>
      <c r="AC2278" s="374">
        <f>COUNTIFS(B:B,B2278,H:H,'סיווג התפקידים והעלויות'!$D$2)</f>
        <v>0</v>
      </c>
      <c r="AD2278" s="374" t="str">
        <f>IF(OR(AND(H2278='סיווג התפקידים והעלויות'!$A$2,I2278='סיווג התפקידים והעלויות'!$A$3),'עלויות כח אדם (6)'!H2278='סיווג התפקידים והעלויות'!$C$2,'עלויות כח אדם (6)'!H2278='סיווג התפקידים והעלויות'!$D$2),IF('עלויות כח אדם (6)'!J2278&lt;75,"לא תקין","תקין"),"")</f>
        <v/>
      </c>
      <c r="AE2278" s="374" t="str">
        <f t="shared" si="539"/>
        <v/>
      </c>
      <c r="AF2278" s="532" t="str">
        <f t="shared" si="540"/>
        <v/>
      </c>
    </row>
    <row r="2279" spans="2:32" x14ac:dyDescent="0.25">
      <c r="B2279" s="695"/>
      <c r="C2279" s="197" t="str">
        <f>IF(B2279&lt;&gt;"",IFERROR(VLOOKUP(B:B,'מצבת והרשמה (2)'!$C$20:$N$520,2,0)," ")," ")</f>
        <v xml:space="preserve"> </v>
      </c>
      <c r="D2279" s="695"/>
      <c r="E2279" s="696"/>
      <c r="F2279" s="696"/>
      <c r="G2279" s="696"/>
      <c r="H2279" s="696"/>
      <c r="I2279" s="1050" t="str">
        <f t="shared" si="527"/>
        <v/>
      </c>
      <c r="J2279" s="696"/>
      <c r="K2279" s="697"/>
      <c r="L2279" s="696"/>
      <c r="M2279" s="198" t="str">
        <f t="shared" si="528"/>
        <v/>
      </c>
      <c r="N2279" s="369" t="str">
        <f t="shared" si="529"/>
        <v/>
      </c>
      <c r="O2279" s="183" t="str">
        <f t="shared" si="530"/>
        <v/>
      </c>
      <c r="P2279" s="199" t="str">
        <f t="shared" si="531"/>
        <v/>
      </c>
      <c r="Q2279" s="199" t="str">
        <f>IF(B2279="","",IFERROR(IF('עלויות כח אדם (6)'!J2279&gt;=VLOOKUP(I2279,'סיווג התפקידים והעלויות'!$B$23:$C$32,2,0),"תקין","לא תקין"),""))</f>
        <v/>
      </c>
      <c r="R2279" s="199" t="str">
        <f t="shared" si="532"/>
        <v/>
      </c>
      <c r="S2279" s="199" t="str">
        <f t="shared" si="533"/>
        <v/>
      </c>
      <c r="T2279" s="199" t="str">
        <f t="shared" si="541"/>
        <v/>
      </c>
      <c r="U2279" s="199" t="str">
        <f t="shared" si="534"/>
        <v/>
      </c>
      <c r="V2279" s="989"/>
      <c r="X2279" s="374" t="str">
        <f t="shared" si="535"/>
        <v/>
      </c>
      <c r="Y2279" s="375" t="str">
        <f t="shared" si="536"/>
        <v/>
      </c>
      <c r="Z2279" s="374" t="str">
        <f t="shared" si="537"/>
        <v/>
      </c>
      <c r="AA2279" s="374" t="b">
        <f t="shared" si="538"/>
        <v>1</v>
      </c>
      <c r="AB2279" s="374">
        <f>COUNTIFS(B:B,B2279,H:H,'סיווג התפקידים והעלויות'!$C$2)</f>
        <v>0</v>
      </c>
      <c r="AC2279" s="374">
        <f>COUNTIFS(B:B,B2279,H:H,'סיווג התפקידים והעלויות'!$D$2)</f>
        <v>0</v>
      </c>
      <c r="AD2279" s="374" t="str">
        <f>IF(OR(AND(H2279='סיווג התפקידים והעלויות'!$A$2,I2279='סיווג התפקידים והעלויות'!$A$3),'עלויות כח אדם (6)'!H2279='סיווג התפקידים והעלויות'!$C$2,'עלויות כח אדם (6)'!H2279='סיווג התפקידים והעלויות'!$D$2),IF('עלויות כח אדם (6)'!J2279&lt;75,"לא תקין","תקין"),"")</f>
        <v/>
      </c>
      <c r="AE2279" s="374" t="str">
        <f t="shared" si="539"/>
        <v/>
      </c>
      <c r="AF2279" s="532" t="str">
        <f t="shared" si="540"/>
        <v/>
      </c>
    </row>
    <row r="2280" spans="2:32" x14ac:dyDescent="0.25">
      <c r="B2280" s="695"/>
      <c r="C2280" s="197" t="str">
        <f>IF(B2280&lt;&gt;"",IFERROR(VLOOKUP(B:B,'מצבת והרשמה (2)'!$C$20:$N$520,2,0)," ")," ")</f>
        <v xml:space="preserve"> </v>
      </c>
      <c r="D2280" s="695"/>
      <c r="E2280" s="696"/>
      <c r="F2280" s="696"/>
      <c r="G2280" s="696"/>
      <c r="H2280" s="696"/>
      <c r="I2280" s="1050" t="str">
        <f t="shared" si="527"/>
        <v/>
      </c>
      <c r="J2280" s="696"/>
      <c r="K2280" s="697"/>
      <c r="L2280" s="696"/>
      <c r="M2280" s="198" t="str">
        <f t="shared" si="528"/>
        <v/>
      </c>
      <c r="N2280" s="369" t="str">
        <f t="shared" si="529"/>
        <v/>
      </c>
      <c r="O2280" s="183" t="str">
        <f t="shared" si="530"/>
        <v/>
      </c>
      <c r="P2280" s="199" t="str">
        <f t="shared" si="531"/>
        <v/>
      </c>
      <c r="Q2280" s="199" t="str">
        <f>IF(B2280="","",IFERROR(IF('עלויות כח אדם (6)'!J2280&gt;=VLOOKUP(I2280,'סיווג התפקידים והעלויות'!$B$23:$C$32,2,0),"תקין","לא תקין"),""))</f>
        <v/>
      </c>
      <c r="R2280" s="199" t="str">
        <f t="shared" si="532"/>
        <v/>
      </c>
      <c r="S2280" s="199" t="str">
        <f t="shared" si="533"/>
        <v/>
      </c>
      <c r="T2280" s="199" t="str">
        <f t="shared" si="541"/>
        <v/>
      </c>
      <c r="U2280" s="199" t="str">
        <f t="shared" si="534"/>
        <v/>
      </c>
      <c r="V2280" s="989"/>
      <c r="X2280" s="374" t="str">
        <f t="shared" si="535"/>
        <v/>
      </c>
      <c r="Y2280" s="375" t="str">
        <f t="shared" si="536"/>
        <v/>
      </c>
      <c r="Z2280" s="374" t="str">
        <f t="shared" si="537"/>
        <v/>
      </c>
      <c r="AA2280" s="374" t="b">
        <f t="shared" si="538"/>
        <v>1</v>
      </c>
      <c r="AB2280" s="374">
        <f>COUNTIFS(B:B,B2280,H:H,'סיווג התפקידים והעלויות'!$C$2)</f>
        <v>0</v>
      </c>
      <c r="AC2280" s="374">
        <f>COUNTIFS(B:B,B2280,H:H,'סיווג התפקידים והעלויות'!$D$2)</f>
        <v>0</v>
      </c>
      <c r="AD2280" s="374" t="str">
        <f>IF(OR(AND(H2280='סיווג התפקידים והעלויות'!$A$2,I2280='סיווג התפקידים והעלויות'!$A$3),'עלויות כח אדם (6)'!H2280='סיווג התפקידים והעלויות'!$C$2,'עלויות כח אדם (6)'!H2280='סיווג התפקידים והעלויות'!$D$2),IF('עלויות כח אדם (6)'!J2280&lt;75,"לא תקין","תקין"),"")</f>
        <v/>
      </c>
      <c r="AE2280" s="374" t="str">
        <f t="shared" si="539"/>
        <v/>
      </c>
      <c r="AF2280" s="532" t="str">
        <f t="shared" si="540"/>
        <v/>
      </c>
    </row>
    <row r="2281" spans="2:32" x14ac:dyDescent="0.25">
      <c r="B2281" s="695"/>
      <c r="C2281" s="197" t="str">
        <f>IF(B2281&lt;&gt;"",IFERROR(VLOOKUP(B:B,'מצבת והרשמה (2)'!$C$20:$N$520,2,0)," ")," ")</f>
        <v xml:space="preserve"> </v>
      </c>
      <c r="D2281" s="695"/>
      <c r="E2281" s="696"/>
      <c r="F2281" s="696"/>
      <c r="G2281" s="696"/>
      <c r="H2281" s="696"/>
      <c r="I2281" s="1050" t="str">
        <f t="shared" si="527"/>
        <v/>
      </c>
      <c r="J2281" s="696"/>
      <c r="K2281" s="697"/>
      <c r="L2281" s="696"/>
      <c r="M2281" s="198" t="str">
        <f t="shared" si="528"/>
        <v/>
      </c>
      <c r="N2281" s="369" t="str">
        <f t="shared" si="529"/>
        <v/>
      </c>
      <c r="O2281" s="183" t="str">
        <f t="shared" si="530"/>
        <v/>
      </c>
      <c r="P2281" s="199" t="str">
        <f t="shared" si="531"/>
        <v/>
      </c>
      <c r="Q2281" s="199" t="str">
        <f>IF(B2281="","",IFERROR(IF('עלויות כח אדם (6)'!J2281&gt;=VLOOKUP(I2281,'סיווג התפקידים והעלויות'!$B$23:$C$32,2,0),"תקין","לא תקין"),""))</f>
        <v/>
      </c>
      <c r="R2281" s="199" t="str">
        <f t="shared" si="532"/>
        <v/>
      </c>
      <c r="S2281" s="199" t="str">
        <f t="shared" si="533"/>
        <v/>
      </c>
      <c r="T2281" s="199" t="str">
        <f t="shared" si="541"/>
        <v/>
      </c>
      <c r="U2281" s="199" t="str">
        <f t="shared" si="534"/>
        <v/>
      </c>
      <c r="V2281" s="989"/>
      <c r="X2281" s="374" t="str">
        <f t="shared" si="535"/>
        <v/>
      </c>
      <c r="Y2281" s="375" t="str">
        <f t="shared" si="536"/>
        <v/>
      </c>
      <c r="Z2281" s="374" t="str">
        <f t="shared" si="537"/>
        <v/>
      </c>
      <c r="AA2281" s="374" t="b">
        <f t="shared" si="538"/>
        <v>1</v>
      </c>
      <c r="AB2281" s="374">
        <f>COUNTIFS(B:B,B2281,H:H,'סיווג התפקידים והעלויות'!$C$2)</f>
        <v>0</v>
      </c>
      <c r="AC2281" s="374">
        <f>COUNTIFS(B:B,B2281,H:H,'סיווג התפקידים והעלויות'!$D$2)</f>
        <v>0</v>
      </c>
      <c r="AD2281" s="374" t="str">
        <f>IF(OR(AND(H2281='סיווג התפקידים והעלויות'!$A$2,I2281='סיווג התפקידים והעלויות'!$A$3),'עלויות כח אדם (6)'!H2281='סיווג התפקידים והעלויות'!$C$2,'עלויות כח אדם (6)'!H2281='סיווג התפקידים והעלויות'!$D$2),IF('עלויות כח אדם (6)'!J2281&lt;75,"לא תקין","תקין"),"")</f>
        <v/>
      </c>
      <c r="AE2281" s="374" t="str">
        <f t="shared" si="539"/>
        <v/>
      </c>
      <c r="AF2281" s="532" t="str">
        <f t="shared" si="540"/>
        <v/>
      </c>
    </row>
    <row r="2282" spans="2:32" x14ac:dyDescent="0.25">
      <c r="B2282" s="695"/>
      <c r="C2282" s="197" t="str">
        <f>IF(B2282&lt;&gt;"",IFERROR(VLOOKUP(B:B,'מצבת והרשמה (2)'!$C$20:$N$520,2,0)," ")," ")</f>
        <v xml:space="preserve"> </v>
      </c>
      <c r="D2282" s="695"/>
      <c r="E2282" s="696"/>
      <c r="F2282" s="696"/>
      <c r="G2282" s="696"/>
      <c r="H2282" s="696"/>
      <c r="I2282" s="1050" t="str">
        <f t="shared" si="527"/>
        <v/>
      </c>
      <c r="J2282" s="696"/>
      <c r="K2282" s="697"/>
      <c r="L2282" s="696"/>
      <c r="M2282" s="198" t="str">
        <f t="shared" si="528"/>
        <v/>
      </c>
      <c r="N2282" s="369" t="str">
        <f t="shared" si="529"/>
        <v/>
      </c>
      <c r="O2282" s="183" t="str">
        <f t="shared" si="530"/>
        <v/>
      </c>
      <c r="P2282" s="199" t="str">
        <f t="shared" si="531"/>
        <v/>
      </c>
      <c r="Q2282" s="199" t="str">
        <f>IF(B2282="","",IFERROR(IF('עלויות כח אדם (6)'!J2282&gt;=VLOOKUP(I2282,'סיווג התפקידים והעלויות'!$B$23:$C$32,2,0),"תקין","לא תקין"),""))</f>
        <v/>
      </c>
      <c r="R2282" s="199" t="str">
        <f t="shared" si="532"/>
        <v/>
      </c>
      <c r="S2282" s="199" t="str">
        <f t="shared" si="533"/>
        <v/>
      </c>
      <c r="T2282" s="199" t="str">
        <f t="shared" si="541"/>
        <v/>
      </c>
      <c r="U2282" s="199" t="str">
        <f t="shared" si="534"/>
        <v/>
      </c>
      <c r="V2282" s="989"/>
      <c r="X2282" s="374" t="str">
        <f t="shared" si="535"/>
        <v/>
      </c>
      <c r="Y2282" s="375" t="str">
        <f t="shared" si="536"/>
        <v/>
      </c>
      <c r="Z2282" s="374" t="str">
        <f t="shared" si="537"/>
        <v/>
      </c>
      <c r="AA2282" s="374" t="b">
        <f t="shared" si="538"/>
        <v>1</v>
      </c>
      <c r="AB2282" s="374">
        <f>COUNTIFS(B:B,B2282,H:H,'סיווג התפקידים והעלויות'!$C$2)</f>
        <v>0</v>
      </c>
      <c r="AC2282" s="374">
        <f>COUNTIFS(B:B,B2282,H:H,'סיווג התפקידים והעלויות'!$D$2)</f>
        <v>0</v>
      </c>
      <c r="AD2282" s="374" t="str">
        <f>IF(OR(AND(H2282='סיווג התפקידים והעלויות'!$A$2,I2282='סיווג התפקידים והעלויות'!$A$3),'עלויות כח אדם (6)'!H2282='סיווג התפקידים והעלויות'!$C$2,'עלויות כח אדם (6)'!H2282='סיווג התפקידים והעלויות'!$D$2),IF('עלויות כח אדם (6)'!J2282&lt;75,"לא תקין","תקין"),"")</f>
        <v/>
      </c>
      <c r="AE2282" s="374" t="str">
        <f t="shared" si="539"/>
        <v/>
      </c>
      <c r="AF2282" s="532" t="str">
        <f t="shared" si="540"/>
        <v/>
      </c>
    </row>
    <row r="2283" spans="2:32" x14ac:dyDescent="0.25">
      <c r="B2283" s="695"/>
      <c r="C2283" s="197" t="str">
        <f>IF(B2283&lt;&gt;"",IFERROR(VLOOKUP(B:B,'מצבת והרשמה (2)'!$C$20:$N$520,2,0)," ")," ")</f>
        <v xml:space="preserve"> </v>
      </c>
      <c r="D2283" s="695"/>
      <c r="E2283" s="696"/>
      <c r="F2283" s="696"/>
      <c r="G2283" s="696"/>
      <c r="H2283" s="696"/>
      <c r="I2283" s="1050" t="str">
        <f t="shared" si="527"/>
        <v/>
      </c>
      <c r="J2283" s="696"/>
      <c r="K2283" s="697"/>
      <c r="L2283" s="696"/>
      <c r="M2283" s="198" t="str">
        <f t="shared" si="528"/>
        <v/>
      </c>
      <c r="N2283" s="369" t="str">
        <f t="shared" si="529"/>
        <v/>
      </c>
      <c r="O2283" s="183" t="str">
        <f t="shared" si="530"/>
        <v/>
      </c>
      <c r="P2283" s="199" t="str">
        <f t="shared" si="531"/>
        <v/>
      </c>
      <c r="Q2283" s="199" t="str">
        <f>IF(B2283="","",IFERROR(IF('עלויות כח אדם (6)'!J2283&gt;=VLOOKUP(I2283,'סיווג התפקידים והעלויות'!$B$23:$C$32,2,0),"תקין","לא תקין"),""))</f>
        <v/>
      </c>
      <c r="R2283" s="199" t="str">
        <f t="shared" si="532"/>
        <v/>
      </c>
      <c r="S2283" s="199" t="str">
        <f t="shared" si="533"/>
        <v/>
      </c>
      <c r="T2283" s="199" t="str">
        <f t="shared" si="541"/>
        <v/>
      </c>
      <c r="U2283" s="199" t="str">
        <f t="shared" si="534"/>
        <v/>
      </c>
      <c r="V2283" s="989"/>
      <c r="X2283" s="374" t="str">
        <f t="shared" si="535"/>
        <v/>
      </c>
      <c r="Y2283" s="375" t="str">
        <f t="shared" si="536"/>
        <v/>
      </c>
      <c r="Z2283" s="374" t="str">
        <f t="shared" si="537"/>
        <v/>
      </c>
      <c r="AA2283" s="374" t="b">
        <f t="shared" si="538"/>
        <v>1</v>
      </c>
      <c r="AB2283" s="374">
        <f>COUNTIFS(B:B,B2283,H:H,'סיווג התפקידים והעלויות'!$C$2)</f>
        <v>0</v>
      </c>
      <c r="AC2283" s="374">
        <f>COUNTIFS(B:B,B2283,H:H,'סיווג התפקידים והעלויות'!$D$2)</f>
        <v>0</v>
      </c>
      <c r="AD2283" s="374" t="str">
        <f>IF(OR(AND(H2283='סיווג התפקידים והעלויות'!$A$2,I2283='סיווג התפקידים והעלויות'!$A$3),'עלויות כח אדם (6)'!H2283='סיווג התפקידים והעלויות'!$C$2,'עלויות כח אדם (6)'!H2283='סיווג התפקידים והעלויות'!$D$2),IF('עלויות כח אדם (6)'!J2283&lt;75,"לא תקין","תקין"),"")</f>
        <v/>
      </c>
      <c r="AE2283" s="374" t="str">
        <f t="shared" si="539"/>
        <v/>
      </c>
      <c r="AF2283" s="532" t="str">
        <f t="shared" si="540"/>
        <v/>
      </c>
    </row>
    <row r="2284" spans="2:32" x14ac:dyDescent="0.25">
      <c r="B2284" s="695"/>
      <c r="C2284" s="197" t="str">
        <f>IF(B2284&lt;&gt;"",IFERROR(VLOOKUP(B:B,'מצבת והרשמה (2)'!$C$20:$N$520,2,0)," ")," ")</f>
        <v xml:space="preserve"> </v>
      </c>
      <c r="D2284" s="695"/>
      <c r="E2284" s="696"/>
      <c r="F2284" s="696"/>
      <c r="G2284" s="696"/>
      <c r="H2284" s="696"/>
      <c r="I2284" s="1050" t="str">
        <f t="shared" si="527"/>
        <v/>
      </c>
      <c r="J2284" s="696"/>
      <c r="K2284" s="697"/>
      <c r="L2284" s="696"/>
      <c r="M2284" s="198" t="str">
        <f t="shared" si="528"/>
        <v/>
      </c>
      <c r="N2284" s="369" t="str">
        <f t="shared" si="529"/>
        <v/>
      </c>
      <c r="O2284" s="183" t="str">
        <f t="shared" si="530"/>
        <v/>
      </c>
      <c r="P2284" s="199" t="str">
        <f t="shared" si="531"/>
        <v/>
      </c>
      <c r="Q2284" s="199" t="str">
        <f>IF(B2284="","",IFERROR(IF('עלויות כח אדם (6)'!J2284&gt;=VLOOKUP(I2284,'סיווג התפקידים והעלויות'!$B$23:$C$32,2,0),"תקין","לא תקין"),""))</f>
        <v/>
      </c>
      <c r="R2284" s="199" t="str">
        <f t="shared" si="532"/>
        <v/>
      </c>
      <c r="S2284" s="199" t="str">
        <f t="shared" si="533"/>
        <v/>
      </c>
      <c r="T2284" s="199" t="str">
        <f t="shared" si="541"/>
        <v/>
      </c>
      <c r="U2284" s="199" t="str">
        <f t="shared" si="534"/>
        <v/>
      </c>
      <c r="V2284" s="989"/>
      <c r="X2284" s="374" t="str">
        <f t="shared" si="535"/>
        <v/>
      </c>
      <c r="Y2284" s="375" t="str">
        <f t="shared" si="536"/>
        <v/>
      </c>
      <c r="Z2284" s="374" t="str">
        <f t="shared" si="537"/>
        <v/>
      </c>
      <c r="AA2284" s="374" t="b">
        <f t="shared" si="538"/>
        <v>1</v>
      </c>
      <c r="AB2284" s="374">
        <f>COUNTIFS(B:B,B2284,H:H,'סיווג התפקידים והעלויות'!$C$2)</f>
        <v>0</v>
      </c>
      <c r="AC2284" s="374">
        <f>COUNTIFS(B:B,B2284,H:H,'סיווג התפקידים והעלויות'!$D$2)</f>
        <v>0</v>
      </c>
      <c r="AD2284" s="374" t="str">
        <f>IF(OR(AND(H2284='סיווג התפקידים והעלויות'!$A$2,I2284='סיווג התפקידים והעלויות'!$A$3),'עלויות כח אדם (6)'!H2284='סיווג התפקידים והעלויות'!$C$2,'עלויות כח אדם (6)'!H2284='סיווג התפקידים והעלויות'!$D$2),IF('עלויות כח אדם (6)'!J2284&lt;75,"לא תקין","תקין"),"")</f>
        <v/>
      </c>
      <c r="AE2284" s="374" t="str">
        <f t="shared" si="539"/>
        <v/>
      </c>
      <c r="AF2284" s="532" t="str">
        <f t="shared" si="540"/>
        <v/>
      </c>
    </row>
    <row r="2285" spans="2:32" x14ac:dyDescent="0.25">
      <c r="B2285" s="695"/>
      <c r="C2285" s="197" t="str">
        <f>IF(B2285&lt;&gt;"",IFERROR(VLOOKUP(B:B,'מצבת והרשמה (2)'!$C$20:$N$520,2,0)," ")," ")</f>
        <v xml:space="preserve"> </v>
      </c>
      <c r="D2285" s="695"/>
      <c r="E2285" s="696"/>
      <c r="F2285" s="696"/>
      <c r="G2285" s="696"/>
      <c r="H2285" s="696"/>
      <c r="I2285" s="1050" t="str">
        <f t="shared" si="527"/>
        <v/>
      </c>
      <c r="J2285" s="696"/>
      <c r="K2285" s="697"/>
      <c r="L2285" s="696"/>
      <c r="M2285" s="198" t="str">
        <f t="shared" si="528"/>
        <v/>
      </c>
      <c r="N2285" s="369" t="str">
        <f t="shared" si="529"/>
        <v/>
      </c>
      <c r="O2285" s="183" t="str">
        <f t="shared" si="530"/>
        <v/>
      </c>
      <c r="P2285" s="199" t="str">
        <f t="shared" si="531"/>
        <v/>
      </c>
      <c r="Q2285" s="199" t="str">
        <f>IF(B2285="","",IFERROR(IF('עלויות כח אדם (6)'!J2285&gt;=VLOOKUP(I2285,'סיווג התפקידים והעלויות'!$B$23:$C$32,2,0),"תקין","לא תקין"),""))</f>
        <v/>
      </c>
      <c r="R2285" s="199" t="str">
        <f t="shared" si="532"/>
        <v/>
      </c>
      <c r="S2285" s="199" t="str">
        <f t="shared" si="533"/>
        <v/>
      </c>
      <c r="T2285" s="199" t="str">
        <f t="shared" si="541"/>
        <v/>
      </c>
      <c r="U2285" s="199" t="str">
        <f t="shared" si="534"/>
        <v/>
      </c>
      <c r="V2285" s="989"/>
      <c r="X2285" s="374" t="str">
        <f t="shared" si="535"/>
        <v/>
      </c>
      <c r="Y2285" s="375" t="str">
        <f t="shared" si="536"/>
        <v/>
      </c>
      <c r="Z2285" s="374" t="str">
        <f t="shared" si="537"/>
        <v/>
      </c>
      <c r="AA2285" s="374" t="b">
        <f t="shared" si="538"/>
        <v>1</v>
      </c>
      <c r="AB2285" s="374">
        <f>COUNTIFS(B:B,B2285,H:H,'סיווג התפקידים והעלויות'!$C$2)</f>
        <v>0</v>
      </c>
      <c r="AC2285" s="374">
        <f>COUNTIFS(B:B,B2285,H:H,'סיווג התפקידים והעלויות'!$D$2)</f>
        <v>0</v>
      </c>
      <c r="AD2285" s="374" t="str">
        <f>IF(OR(AND(H2285='סיווג התפקידים והעלויות'!$A$2,I2285='סיווג התפקידים והעלויות'!$A$3),'עלויות כח אדם (6)'!H2285='סיווג התפקידים והעלויות'!$C$2,'עלויות כח אדם (6)'!H2285='סיווג התפקידים והעלויות'!$D$2),IF('עלויות כח אדם (6)'!J2285&lt;75,"לא תקין","תקין"),"")</f>
        <v/>
      </c>
      <c r="AE2285" s="374" t="str">
        <f t="shared" si="539"/>
        <v/>
      </c>
      <c r="AF2285" s="532" t="str">
        <f t="shared" si="540"/>
        <v/>
      </c>
    </row>
    <row r="2286" spans="2:32" x14ac:dyDescent="0.25">
      <c r="B2286" s="695"/>
      <c r="C2286" s="197" t="str">
        <f>IF(B2286&lt;&gt;"",IFERROR(VLOOKUP(B:B,'מצבת והרשמה (2)'!$C$20:$N$520,2,0)," ")," ")</f>
        <v xml:space="preserve"> </v>
      </c>
      <c r="D2286" s="695"/>
      <c r="E2286" s="696"/>
      <c r="F2286" s="696"/>
      <c r="G2286" s="696"/>
      <c r="H2286" s="696"/>
      <c r="I2286" s="1050" t="str">
        <f t="shared" si="527"/>
        <v/>
      </c>
      <c r="J2286" s="696"/>
      <c r="K2286" s="697"/>
      <c r="L2286" s="696"/>
      <c r="M2286" s="198" t="str">
        <f t="shared" si="528"/>
        <v/>
      </c>
      <c r="N2286" s="369" t="str">
        <f t="shared" si="529"/>
        <v/>
      </c>
      <c r="O2286" s="183" t="str">
        <f t="shared" si="530"/>
        <v/>
      </c>
      <c r="P2286" s="199" t="str">
        <f t="shared" si="531"/>
        <v/>
      </c>
      <c r="Q2286" s="199" t="str">
        <f>IF(B2286="","",IFERROR(IF('עלויות כח אדם (6)'!J2286&gt;=VLOOKUP(I2286,'סיווג התפקידים והעלויות'!$B$23:$C$32,2,0),"תקין","לא תקין"),""))</f>
        <v/>
      </c>
      <c r="R2286" s="199" t="str">
        <f t="shared" si="532"/>
        <v/>
      </c>
      <c r="S2286" s="199" t="str">
        <f t="shared" si="533"/>
        <v/>
      </c>
      <c r="T2286" s="199" t="str">
        <f t="shared" si="541"/>
        <v/>
      </c>
      <c r="U2286" s="199" t="str">
        <f t="shared" si="534"/>
        <v/>
      </c>
      <c r="V2286" s="989"/>
      <c r="X2286" s="374" t="str">
        <f t="shared" si="535"/>
        <v/>
      </c>
      <c r="Y2286" s="375" t="str">
        <f t="shared" si="536"/>
        <v/>
      </c>
      <c r="Z2286" s="374" t="str">
        <f t="shared" si="537"/>
        <v/>
      </c>
      <c r="AA2286" s="374" t="b">
        <f t="shared" si="538"/>
        <v>1</v>
      </c>
      <c r="AB2286" s="374">
        <f>COUNTIFS(B:B,B2286,H:H,'סיווג התפקידים והעלויות'!$C$2)</f>
        <v>0</v>
      </c>
      <c r="AC2286" s="374">
        <f>COUNTIFS(B:B,B2286,H:H,'סיווג התפקידים והעלויות'!$D$2)</f>
        <v>0</v>
      </c>
      <c r="AD2286" s="374" t="str">
        <f>IF(OR(AND(H2286='סיווג התפקידים והעלויות'!$A$2,I2286='סיווג התפקידים והעלויות'!$A$3),'עלויות כח אדם (6)'!H2286='סיווג התפקידים והעלויות'!$C$2,'עלויות כח אדם (6)'!H2286='סיווג התפקידים והעלויות'!$D$2),IF('עלויות כח אדם (6)'!J2286&lt;75,"לא תקין","תקין"),"")</f>
        <v/>
      </c>
      <c r="AE2286" s="374" t="str">
        <f t="shared" si="539"/>
        <v/>
      </c>
      <c r="AF2286" s="532" t="str">
        <f t="shared" si="540"/>
        <v/>
      </c>
    </row>
    <row r="2287" spans="2:32" x14ac:dyDescent="0.25">
      <c r="B2287" s="695"/>
      <c r="C2287" s="197" t="str">
        <f>IF(B2287&lt;&gt;"",IFERROR(VLOOKUP(B:B,'מצבת והרשמה (2)'!$C$20:$N$520,2,0)," ")," ")</f>
        <v xml:space="preserve"> </v>
      </c>
      <c r="D2287" s="695"/>
      <c r="E2287" s="696"/>
      <c r="F2287" s="696"/>
      <c r="G2287" s="696"/>
      <c r="H2287" s="696"/>
      <c r="I2287" s="1050" t="str">
        <f t="shared" si="527"/>
        <v/>
      </c>
      <c r="J2287" s="696"/>
      <c r="K2287" s="697"/>
      <c r="L2287" s="696"/>
      <c r="M2287" s="198" t="str">
        <f t="shared" si="528"/>
        <v/>
      </c>
      <c r="N2287" s="369" t="str">
        <f t="shared" si="529"/>
        <v/>
      </c>
      <c r="O2287" s="183" t="str">
        <f t="shared" si="530"/>
        <v/>
      </c>
      <c r="P2287" s="199" t="str">
        <f t="shared" si="531"/>
        <v/>
      </c>
      <c r="Q2287" s="199" t="str">
        <f>IF(B2287="","",IFERROR(IF('עלויות כח אדם (6)'!J2287&gt;=VLOOKUP(I2287,'סיווג התפקידים והעלויות'!$B$23:$C$32,2,0),"תקין","לא תקין"),""))</f>
        <v/>
      </c>
      <c r="R2287" s="199" t="str">
        <f t="shared" si="532"/>
        <v/>
      </c>
      <c r="S2287" s="199" t="str">
        <f t="shared" si="533"/>
        <v/>
      </c>
      <c r="T2287" s="199" t="str">
        <f t="shared" si="541"/>
        <v/>
      </c>
      <c r="U2287" s="199" t="str">
        <f t="shared" si="534"/>
        <v/>
      </c>
      <c r="V2287" s="989"/>
      <c r="X2287" s="374" t="str">
        <f t="shared" si="535"/>
        <v/>
      </c>
      <c r="Y2287" s="375" t="str">
        <f t="shared" si="536"/>
        <v/>
      </c>
      <c r="Z2287" s="374" t="str">
        <f t="shared" si="537"/>
        <v/>
      </c>
      <c r="AA2287" s="374" t="b">
        <f t="shared" si="538"/>
        <v>1</v>
      </c>
      <c r="AB2287" s="374">
        <f>COUNTIFS(B:B,B2287,H:H,'סיווג התפקידים והעלויות'!$C$2)</f>
        <v>0</v>
      </c>
      <c r="AC2287" s="374">
        <f>COUNTIFS(B:B,B2287,H:H,'סיווג התפקידים והעלויות'!$D$2)</f>
        <v>0</v>
      </c>
      <c r="AD2287" s="374" t="str">
        <f>IF(OR(AND(H2287='סיווג התפקידים והעלויות'!$A$2,I2287='סיווג התפקידים והעלויות'!$A$3),'עלויות כח אדם (6)'!H2287='סיווג התפקידים והעלויות'!$C$2,'עלויות כח אדם (6)'!H2287='סיווג התפקידים והעלויות'!$D$2),IF('עלויות כח אדם (6)'!J2287&lt;75,"לא תקין","תקין"),"")</f>
        <v/>
      </c>
      <c r="AE2287" s="374" t="str">
        <f t="shared" si="539"/>
        <v/>
      </c>
      <c r="AF2287" s="532" t="str">
        <f t="shared" si="540"/>
        <v/>
      </c>
    </row>
    <row r="2288" spans="2:32" x14ac:dyDescent="0.25">
      <c r="B2288" s="695"/>
      <c r="C2288" s="197" t="str">
        <f>IF(B2288&lt;&gt;"",IFERROR(VLOOKUP(B:B,'מצבת והרשמה (2)'!$C$20:$N$520,2,0)," ")," ")</f>
        <v xml:space="preserve"> </v>
      </c>
      <c r="D2288" s="695"/>
      <c r="E2288" s="696"/>
      <c r="F2288" s="696"/>
      <c r="G2288" s="696"/>
      <c r="H2288" s="696"/>
      <c r="I2288" s="1050" t="str">
        <f t="shared" si="527"/>
        <v/>
      </c>
      <c r="J2288" s="696"/>
      <c r="K2288" s="697"/>
      <c r="L2288" s="696"/>
      <c r="M2288" s="198" t="str">
        <f t="shared" si="528"/>
        <v/>
      </c>
      <c r="N2288" s="369" t="str">
        <f t="shared" si="529"/>
        <v/>
      </c>
      <c r="O2288" s="183" t="str">
        <f t="shared" si="530"/>
        <v/>
      </c>
      <c r="P2288" s="199" t="str">
        <f t="shared" si="531"/>
        <v/>
      </c>
      <c r="Q2288" s="199" t="str">
        <f>IF(B2288="","",IFERROR(IF('עלויות כח אדם (6)'!J2288&gt;=VLOOKUP(I2288,'סיווג התפקידים והעלויות'!$B$23:$C$32,2,0),"תקין","לא תקין"),""))</f>
        <v/>
      </c>
      <c r="R2288" s="199" t="str">
        <f t="shared" si="532"/>
        <v/>
      </c>
      <c r="S2288" s="199" t="str">
        <f t="shared" si="533"/>
        <v/>
      </c>
      <c r="T2288" s="199" t="str">
        <f t="shared" si="541"/>
        <v/>
      </c>
      <c r="U2288" s="199" t="str">
        <f t="shared" si="534"/>
        <v/>
      </c>
      <c r="V2288" s="989"/>
      <c r="X2288" s="374" t="str">
        <f t="shared" si="535"/>
        <v/>
      </c>
      <c r="Y2288" s="375" t="str">
        <f t="shared" si="536"/>
        <v/>
      </c>
      <c r="Z2288" s="374" t="str">
        <f t="shared" si="537"/>
        <v/>
      </c>
      <c r="AA2288" s="374" t="b">
        <f t="shared" si="538"/>
        <v>1</v>
      </c>
      <c r="AB2288" s="374">
        <f>COUNTIFS(B:B,B2288,H:H,'סיווג התפקידים והעלויות'!$C$2)</f>
        <v>0</v>
      </c>
      <c r="AC2288" s="374">
        <f>COUNTIFS(B:B,B2288,H:H,'סיווג התפקידים והעלויות'!$D$2)</f>
        <v>0</v>
      </c>
      <c r="AD2288" s="374" t="str">
        <f>IF(OR(AND(H2288='סיווג התפקידים והעלויות'!$A$2,I2288='סיווג התפקידים והעלויות'!$A$3),'עלויות כח אדם (6)'!H2288='סיווג התפקידים והעלויות'!$C$2,'עלויות כח אדם (6)'!H2288='סיווג התפקידים והעלויות'!$D$2),IF('עלויות כח אדם (6)'!J2288&lt;75,"לא תקין","תקין"),"")</f>
        <v/>
      </c>
      <c r="AE2288" s="374" t="str">
        <f t="shared" si="539"/>
        <v/>
      </c>
      <c r="AF2288" s="532" t="str">
        <f t="shared" si="540"/>
        <v/>
      </c>
    </row>
    <row r="2289" spans="2:32" x14ac:dyDescent="0.25">
      <c r="B2289" s="695"/>
      <c r="C2289" s="197" t="str">
        <f>IF(B2289&lt;&gt;"",IFERROR(VLOOKUP(B:B,'מצבת והרשמה (2)'!$C$20:$N$520,2,0)," ")," ")</f>
        <v xml:space="preserve"> </v>
      </c>
      <c r="D2289" s="695"/>
      <c r="E2289" s="696"/>
      <c r="F2289" s="696"/>
      <c r="G2289" s="696"/>
      <c r="H2289" s="696"/>
      <c r="I2289" s="1050" t="str">
        <f t="shared" si="527"/>
        <v/>
      </c>
      <c r="J2289" s="696"/>
      <c r="K2289" s="697"/>
      <c r="L2289" s="696"/>
      <c r="M2289" s="198" t="str">
        <f t="shared" si="528"/>
        <v/>
      </c>
      <c r="N2289" s="369" t="str">
        <f t="shared" si="529"/>
        <v/>
      </c>
      <c r="O2289" s="183" t="str">
        <f t="shared" si="530"/>
        <v/>
      </c>
      <c r="P2289" s="199" t="str">
        <f t="shared" si="531"/>
        <v/>
      </c>
      <c r="Q2289" s="199" t="str">
        <f>IF(B2289="","",IFERROR(IF('עלויות כח אדם (6)'!J2289&gt;=VLOOKUP(I2289,'סיווג התפקידים והעלויות'!$B$23:$C$32,2,0),"תקין","לא תקין"),""))</f>
        <v/>
      </c>
      <c r="R2289" s="199" t="str">
        <f t="shared" si="532"/>
        <v/>
      </c>
      <c r="S2289" s="199" t="str">
        <f t="shared" si="533"/>
        <v/>
      </c>
      <c r="T2289" s="199" t="str">
        <f t="shared" si="541"/>
        <v/>
      </c>
      <c r="U2289" s="199" t="str">
        <f t="shared" si="534"/>
        <v/>
      </c>
      <c r="V2289" s="989"/>
      <c r="X2289" s="374" t="str">
        <f t="shared" si="535"/>
        <v/>
      </c>
      <c r="Y2289" s="375" t="str">
        <f t="shared" si="536"/>
        <v/>
      </c>
      <c r="Z2289" s="374" t="str">
        <f t="shared" si="537"/>
        <v/>
      </c>
      <c r="AA2289" s="374" t="b">
        <f t="shared" si="538"/>
        <v>1</v>
      </c>
      <c r="AB2289" s="374">
        <f>COUNTIFS(B:B,B2289,H:H,'סיווג התפקידים והעלויות'!$C$2)</f>
        <v>0</v>
      </c>
      <c r="AC2289" s="374">
        <f>COUNTIFS(B:B,B2289,H:H,'סיווג התפקידים והעלויות'!$D$2)</f>
        <v>0</v>
      </c>
      <c r="AD2289" s="374" t="str">
        <f>IF(OR(AND(H2289='סיווג התפקידים והעלויות'!$A$2,I2289='סיווג התפקידים והעלויות'!$A$3),'עלויות כח אדם (6)'!H2289='סיווג התפקידים והעלויות'!$C$2,'עלויות כח אדם (6)'!H2289='סיווג התפקידים והעלויות'!$D$2),IF('עלויות כח אדם (6)'!J2289&lt;75,"לא תקין","תקין"),"")</f>
        <v/>
      </c>
      <c r="AE2289" s="374" t="str">
        <f t="shared" si="539"/>
        <v/>
      </c>
      <c r="AF2289" s="532" t="str">
        <f t="shared" si="540"/>
        <v/>
      </c>
    </row>
    <row r="2290" spans="2:32" x14ac:dyDescent="0.25">
      <c r="B2290" s="695"/>
      <c r="C2290" s="197" t="str">
        <f>IF(B2290&lt;&gt;"",IFERROR(VLOOKUP(B:B,'מצבת והרשמה (2)'!$C$20:$N$520,2,0)," ")," ")</f>
        <v xml:space="preserve"> </v>
      </c>
      <c r="D2290" s="695"/>
      <c r="E2290" s="696"/>
      <c r="F2290" s="696"/>
      <c r="G2290" s="696"/>
      <c r="H2290" s="696"/>
      <c r="I2290" s="1050" t="str">
        <f t="shared" si="527"/>
        <v/>
      </c>
      <c r="J2290" s="696"/>
      <c r="K2290" s="697"/>
      <c r="L2290" s="696"/>
      <c r="M2290" s="198" t="str">
        <f t="shared" si="528"/>
        <v/>
      </c>
      <c r="N2290" s="369" t="str">
        <f t="shared" si="529"/>
        <v/>
      </c>
      <c r="O2290" s="183" t="str">
        <f t="shared" si="530"/>
        <v/>
      </c>
      <c r="P2290" s="199" t="str">
        <f t="shared" si="531"/>
        <v/>
      </c>
      <c r="Q2290" s="199" t="str">
        <f>IF(B2290="","",IFERROR(IF('עלויות כח אדם (6)'!J2290&gt;=VLOOKUP(I2290,'סיווג התפקידים והעלויות'!$B$23:$C$32,2,0),"תקין","לא תקין"),""))</f>
        <v/>
      </c>
      <c r="R2290" s="199" t="str">
        <f t="shared" si="532"/>
        <v/>
      </c>
      <c r="S2290" s="199" t="str">
        <f t="shared" si="533"/>
        <v/>
      </c>
      <c r="T2290" s="199" t="str">
        <f t="shared" si="541"/>
        <v/>
      </c>
      <c r="U2290" s="199" t="str">
        <f t="shared" si="534"/>
        <v/>
      </c>
      <c r="V2290" s="989"/>
      <c r="X2290" s="374" t="str">
        <f t="shared" si="535"/>
        <v/>
      </c>
      <c r="Y2290" s="375" t="str">
        <f t="shared" si="536"/>
        <v/>
      </c>
      <c r="Z2290" s="374" t="str">
        <f t="shared" si="537"/>
        <v/>
      </c>
      <c r="AA2290" s="374" t="b">
        <f t="shared" si="538"/>
        <v>1</v>
      </c>
      <c r="AB2290" s="374">
        <f>COUNTIFS(B:B,B2290,H:H,'סיווג התפקידים והעלויות'!$C$2)</f>
        <v>0</v>
      </c>
      <c r="AC2290" s="374">
        <f>COUNTIFS(B:B,B2290,H:H,'סיווג התפקידים והעלויות'!$D$2)</f>
        <v>0</v>
      </c>
      <c r="AD2290" s="374" t="str">
        <f>IF(OR(AND(H2290='סיווג התפקידים והעלויות'!$A$2,I2290='סיווג התפקידים והעלויות'!$A$3),'עלויות כח אדם (6)'!H2290='סיווג התפקידים והעלויות'!$C$2,'עלויות כח אדם (6)'!H2290='סיווג התפקידים והעלויות'!$D$2),IF('עלויות כח אדם (6)'!J2290&lt;75,"לא תקין","תקין"),"")</f>
        <v/>
      </c>
      <c r="AE2290" s="374" t="str">
        <f t="shared" si="539"/>
        <v/>
      </c>
      <c r="AF2290" s="532" t="str">
        <f t="shared" si="540"/>
        <v/>
      </c>
    </row>
    <row r="2291" spans="2:32" x14ac:dyDescent="0.25">
      <c r="B2291" s="695"/>
      <c r="C2291" s="197" t="str">
        <f>IF(B2291&lt;&gt;"",IFERROR(VLOOKUP(B:B,'מצבת והרשמה (2)'!$C$20:$N$520,2,0)," ")," ")</f>
        <v xml:space="preserve"> </v>
      </c>
      <c r="D2291" s="695"/>
      <c r="E2291" s="696"/>
      <c r="F2291" s="696"/>
      <c r="G2291" s="696"/>
      <c r="H2291" s="696"/>
      <c r="I2291" s="1050" t="str">
        <f t="shared" si="527"/>
        <v/>
      </c>
      <c r="J2291" s="696"/>
      <c r="K2291" s="697"/>
      <c r="L2291" s="696"/>
      <c r="M2291" s="198" t="str">
        <f t="shared" si="528"/>
        <v/>
      </c>
      <c r="N2291" s="369" t="str">
        <f t="shared" si="529"/>
        <v/>
      </c>
      <c r="O2291" s="183" t="str">
        <f t="shared" si="530"/>
        <v/>
      </c>
      <c r="P2291" s="199" t="str">
        <f t="shared" si="531"/>
        <v/>
      </c>
      <c r="Q2291" s="199" t="str">
        <f>IF(B2291="","",IFERROR(IF('עלויות כח אדם (6)'!J2291&gt;=VLOOKUP(I2291,'סיווג התפקידים והעלויות'!$B$23:$C$32,2,0),"תקין","לא תקין"),""))</f>
        <v/>
      </c>
      <c r="R2291" s="199" t="str">
        <f t="shared" si="532"/>
        <v/>
      </c>
      <c r="S2291" s="199" t="str">
        <f t="shared" si="533"/>
        <v/>
      </c>
      <c r="T2291" s="199" t="str">
        <f t="shared" si="541"/>
        <v/>
      </c>
      <c r="U2291" s="199" t="str">
        <f t="shared" si="534"/>
        <v/>
      </c>
      <c r="V2291" s="989"/>
      <c r="X2291" s="374" t="str">
        <f t="shared" si="535"/>
        <v/>
      </c>
      <c r="Y2291" s="375" t="str">
        <f t="shared" si="536"/>
        <v/>
      </c>
      <c r="Z2291" s="374" t="str">
        <f t="shared" si="537"/>
        <v/>
      </c>
      <c r="AA2291" s="374" t="b">
        <f t="shared" si="538"/>
        <v>1</v>
      </c>
      <c r="AB2291" s="374">
        <f>COUNTIFS(B:B,B2291,H:H,'סיווג התפקידים והעלויות'!$C$2)</f>
        <v>0</v>
      </c>
      <c r="AC2291" s="374">
        <f>COUNTIFS(B:B,B2291,H:H,'סיווג התפקידים והעלויות'!$D$2)</f>
        <v>0</v>
      </c>
      <c r="AD2291" s="374" t="str">
        <f>IF(OR(AND(H2291='סיווג התפקידים והעלויות'!$A$2,I2291='סיווג התפקידים והעלויות'!$A$3),'עלויות כח אדם (6)'!H2291='סיווג התפקידים והעלויות'!$C$2,'עלויות כח אדם (6)'!H2291='סיווג התפקידים והעלויות'!$D$2),IF('עלויות כח אדם (6)'!J2291&lt;75,"לא תקין","תקין"),"")</f>
        <v/>
      </c>
      <c r="AE2291" s="374" t="str">
        <f t="shared" si="539"/>
        <v/>
      </c>
      <c r="AF2291" s="532" t="str">
        <f t="shared" si="540"/>
        <v/>
      </c>
    </row>
    <row r="2292" spans="2:32" x14ac:dyDescent="0.25">
      <c r="B2292" s="695"/>
      <c r="C2292" s="197" t="str">
        <f>IF(B2292&lt;&gt;"",IFERROR(VLOOKUP(B:B,'מצבת והרשמה (2)'!$C$20:$N$520,2,0)," ")," ")</f>
        <v xml:space="preserve"> </v>
      </c>
      <c r="D2292" s="695"/>
      <c r="E2292" s="696"/>
      <c r="F2292" s="696"/>
      <c r="G2292" s="696"/>
      <c r="H2292" s="696"/>
      <c r="I2292" s="1050" t="str">
        <f t="shared" si="527"/>
        <v/>
      </c>
      <c r="J2292" s="696"/>
      <c r="K2292" s="697"/>
      <c r="L2292" s="696"/>
      <c r="M2292" s="198" t="str">
        <f t="shared" si="528"/>
        <v/>
      </c>
      <c r="N2292" s="369" t="str">
        <f t="shared" si="529"/>
        <v/>
      </c>
      <c r="O2292" s="183" t="str">
        <f t="shared" si="530"/>
        <v/>
      </c>
      <c r="P2292" s="199" t="str">
        <f t="shared" si="531"/>
        <v/>
      </c>
      <c r="Q2292" s="199" t="str">
        <f>IF(B2292="","",IFERROR(IF('עלויות כח אדם (6)'!J2292&gt;=VLOOKUP(I2292,'סיווג התפקידים והעלויות'!$B$23:$C$32,2,0),"תקין","לא תקין"),""))</f>
        <v/>
      </c>
      <c r="R2292" s="199" t="str">
        <f t="shared" si="532"/>
        <v/>
      </c>
      <c r="S2292" s="199" t="str">
        <f t="shared" si="533"/>
        <v/>
      </c>
      <c r="T2292" s="199" t="str">
        <f t="shared" si="541"/>
        <v/>
      </c>
      <c r="U2292" s="199" t="str">
        <f t="shared" si="534"/>
        <v/>
      </c>
      <c r="V2292" s="989"/>
      <c r="X2292" s="374" t="str">
        <f t="shared" si="535"/>
        <v/>
      </c>
      <c r="Y2292" s="375" t="str">
        <f t="shared" si="536"/>
        <v/>
      </c>
      <c r="Z2292" s="374" t="str">
        <f t="shared" si="537"/>
        <v/>
      </c>
      <c r="AA2292" s="374" t="b">
        <f t="shared" si="538"/>
        <v>1</v>
      </c>
      <c r="AB2292" s="374">
        <f>COUNTIFS(B:B,B2292,H:H,'סיווג התפקידים והעלויות'!$C$2)</f>
        <v>0</v>
      </c>
      <c r="AC2292" s="374">
        <f>COUNTIFS(B:B,B2292,H:H,'סיווג התפקידים והעלויות'!$D$2)</f>
        <v>0</v>
      </c>
      <c r="AD2292" s="374" t="str">
        <f>IF(OR(AND(H2292='סיווג התפקידים והעלויות'!$A$2,I2292='סיווג התפקידים והעלויות'!$A$3),'עלויות כח אדם (6)'!H2292='סיווג התפקידים והעלויות'!$C$2,'עלויות כח אדם (6)'!H2292='סיווג התפקידים והעלויות'!$D$2),IF('עלויות כח אדם (6)'!J2292&lt;75,"לא תקין","תקין"),"")</f>
        <v/>
      </c>
      <c r="AE2292" s="374" t="str">
        <f t="shared" si="539"/>
        <v/>
      </c>
      <c r="AF2292" s="532" t="str">
        <f t="shared" si="540"/>
        <v/>
      </c>
    </row>
    <row r="2293" spans="2:32" x14ac:dyDescent="0.25">
      <c r="B2293" s="695"/>
      <c r="C2293" s="197" t="str">
        <f>IF(B2293&lt;&gt;"",IFERROR(VLOOKUP(B:B,'מצבת והרשמה (2)'!$C$20:$N$520,2,0)," ")," ")</f>
        <v xml:space="preserve"> </v>
      </c>
      <c r="D2293" s="695"/>
      <c r="E2293" s="696"/>
      <c r="F2293" s="696"/>
      <c r="G2293" s="696"/>
      <c r="H2293" s="696"/>
      <c r="I2293" s="1050" t="str">
        <f t="shared" si="527"/>
        <v/>
      </c>
      <c r="J2293" s="696"/>
      <c r="K2293" s="697"/>
      <c r="L2293" s="696"/>
      <c r="M2293" s="198" t="str">
        <f t="shared" si="528"/>
        <v/>
      </c>
      <c r="N2293" s="369" t="str">
        <f t="shared" si="529"/>
        <v/>
      </c>
      <c r="O2293" s="183" t="str">
        <f t="shared" si="530"/>
        <v/>
      </c>
      <c r="P2293" s="199" t="str">
        <f t="shared" si="531"/>
        <v/>
      </c>
      <c r="Q2293" s="199" t="str">
        <f>IF(B2293="","",IFERROR(IF('עלויות כח אדם (6)'!J2293&gt;=VLOOKUP(I2293,'סיווג התפקידים והעלויות'!$B$23:$C$32,2,0),"תקין","לא תקין"),""))</f>
        <v/>
      </c>
      <c r="R2293" s="199" t="str">
        <f t="shared" si="532"/>
        <v/>
      </c>
      <c r="S2293" s="199" t="str">
        <f t="shared" si="533"/>
        <v/>
      </c>
      <c r="T2293" s="199" t="str">
        <f t="shared" si="541"/>
        <v/>
      </c>
      <c r="U2293" s="199" t="str">
        <f t="shared" si="534"/>
        <v/>
      </c>
      <c r="V2293" s="989"/>
      <c r="X2293" s="374" t="str">
        <f t="shared" si="535"/>
        <v/>
      </c>
      <c r="Y2293" s="375" t="str">
        <f t="shared" si="536"/>
        <v/>
      </c>
      <c r="Z2293" s="374" t="str">
        <f t="shared" si="537"/>
        <v/>
      </c>
      <c r="AA2293" s="374" t="b">
        <f t="shared" si="538"/>
        <v>1</v>
      </c>
      <c r="AB2293" s="374">
        <f>COUNTIFS(B:B,B2293,H:H,'סיווג התפקידים והעלויות'!$C$2)</f>
        <v>0</v>
      </c>
      <c r="AC2293" s="374">
        <f>COUNTIFS(B:B,B2293,H:H,'סיווג התפקידים והעלויות'!$D$2)</f>
        <v>0</v>
      </c>
      <c r="AD2293" s="374" t="str">
        <f>IF(OR(AND(H2293='סיווג התפקידים והעלויות'!$A$2,I2293='סיווג התפקידים והעלויות'!$A$3),'עלויות כח אדם (6)'!H2293='סיווג התפקידים והעלויות'!$C$2,'עלויות כח אדם (6)'!H2293='סיווג התפקידים והעלויות'!$D$2),IF('עלויות כח אדם (6)'!J2293&lt;75,"לא תקין","תקין"),"")</f>
        <v/>
      </c>
      <c r="AE2293" s="374" t="str">
        <f t="shared" si="539"/>
        <v/>
      </c>
      <c r="AF2293" s="532" t="str">
        <f t="shared" si="540"/>
        <v/>
      </c>
    </row>
    <row r="2294" spans="2:32" x14ac:dyDescent="0.25">
      <c r="B2294" s="695"/>
      <c r="C2294" s="197" t="str">
        <f>IF(B2294&lt;&gt;"",IFERROR(VLOOKUP(B:B,'מצבת והרשמה (2)'!$C$20:$N$520,2,0)," ")," ")</f>
        <v xml:space="preserve"> </v>
      </c>
      <c r="D2294" s="695"/>
      <c r="E2294" s="696"/>
      <c r="F2294" s="696"/>
      <c r="G2294" s="696"/>
      <c r="H2294" s="696"/>
      <c r="I2294" s="1050" t="str">
        <f t="shared" si="527"/>
        <v/>
      </c>
      <c r="J2294" s="696"/>
      <c r="K2294" s="697"/>
      <c r="L2294" s="696"/>
      <c r="M2294" s="198" t="str">
        <f t="shared" si="528"/>
        <v/>
      </c>
      <c r="N2294" s="369" t="str">
        <f t="shared" si="529"/>
        <v/>
      </c>
      <c r="O2294" s="183" t="str">
        <f t="shared" si="530"/>
        <v/>
      </c>
      <c r="P2294" s="199" t="str">
        <f t="shared" si="531"/>
        <v/>
      </c>
      <c r="Q2294" s="199" t="str">
        <f>IF(B2294="","",IFERROR(IF('עלויות כח אדם (6)'!J2294&gt;=VLOOKUP(I2294,'סיווג התפקידים והעלויות'!$B$23:$C$32,2,0),"תקין","לא תקין"),""))</f>
        <v/>
      </c>
      <c r="R2294" s="199" t="str">
        <f t="shared" si="532"/>
        <v/>
      </c>
      <c r="S2294" s="199" t="str">
        <f t="shared" si="533"/>
        <v/>
      </c>
      <c r="T2294" s="199" t="str">
        <f t="shared" si="541"/>
        <v/>
      </c>
      <c r="U2294" s="199" t="str">
        <f t="shared" si="534"/>
        <v/>
      </c>
      <c r="V2294" s="989"/>
      <c r="X2294" s="374" t="str">
        <f t="shared" si="535"/>
        <v/>
      </c>
      <c r="Y2294" s="375" t="str">
        <f t="shared" si="536"/>
        <v/>
      </c>
      <c r="Z2294" s="374" t="str">
        <f t="shared" si="537"/>
        <v/>
      </c>
      <c r="AA2294" s="374" t="b">
        <f t="shared" si="538"/>
        <v>1</v>
      </c>
      <c r="AB2294" s="374">
        <f>COUNTIFS(B:B,B2294,H:H,'סיווג התפקידים והעלויות'!$C$2)</f>
        <v>0</v>
      </c>
      <c r="AC2294" s="374">
        <f>COUNTIFS(B:B,B2294,H:H,'סיווג התפקידים והעלויות'!$D$2)</f>
        <v>0</v>
      </c>
      <c r="AD2294" s="374" t="str">
        <f>IF(OR(AND(H2294='סיווג התפקידים והעלויות'!$A$2,I2294='סיווג התפקידים והעלויות'!$A$3),'עלויות כח אדם (6)'!H2294='סיווג התפקידים והעלויות'!$C$2,'עלויות כח אדם (6)'!H2294='סיווג התפקידים והעלויות'!$D$2),IF('עלויות כח אדם (6)'!J2294&lt;75,"לא תקין","תקין"),"")</f>
        <v/>
      </c>
      <c r="AE2294" s="374" t="str">
        <f t="shared" si="539"/>
        <v/>
      </c>
      <c r="AF2294" s="532" t="str">
        <f t="shared" si="540"/>
        <v/>
      </c>
    </row>
    <row r="2295" spans="2:32" x14ac:dyDescent="0.25">
      <c r="B2295" s="695"/>
      <c r="C2295" s="197" t="str">
        <f>IF(B2295&lt;&gt;"",IFERROR(VLOOKUP(B:B,'מצבת והרשמה (2)'!$C$20:$N$520,2,0)," ")," ")</f>
        <v xml:space="preserve"> </v>
      </c>
      <c r="D2295" s="695"/>
      <c r="E2295" s="696"/>
      <c r="F2295" s="696"/>
      <c r="G2295" s="696"/>
      <c r="H2295" s="696"/>
      <c r="I2295" s="1050" t="str">
        <f t="shared" si="527"/>
        <v/>
      </c>
      <c r="J2295" s="696"/>
      <c r="K2295" s="697"/>
      <c r="L2295" s="696"/>
      <c r="M2295" s="198" t="str">
        <f t="shared" si="528"/>
        <v/>
      </c>
      <c r="N2295" s="369" t="str">
        <f t="shared" si="529"/>
        <v/>
      </c>
      <c r="O2295" s="183" t="str">
        <f t="shared" si="530"/>
        <v/>
      </c>
      <c r="P2295" s="199" t="str">
        <f t="shared" si="531"/>
        <v/>
      </c>
      <c r="Q2295" s="199" t="str">
        <f>IF(B2295="","",IFERROR(IF('עלויות כח אדם (6)'!J2295&gt;=VLOOKUP(I2295,'סיווג התפקידים והעלויות'!$B$23:$C$32,2,0),"תקין","לא תקין"),""))</f>
        <v/>
      </c>
      <c r="R2295" s="199" t="str">
        <f t="shared" si="532"/>
        <v/>
      </c>
      <c r="S2295" s="199" t="str">
        <f t="shared" si="533"/>
        <v/>
      </c>
      <c r="T2295" s="199" t="str">
        <f t="shared" si="541"/>
        <v/>
      </c>
      <c r="U2295" s="199" t="str">
        <f t="shared" si="534"/>
        <v/>
      </c>
      <c r="V2295" s="989"/>
      <c r="X2295" s="374" t="str">
        <f t="shared" si="535"/>
        <v/>
      </c>
      <c r="Y2295" s="375" t="str">
        <f t="shared" si="536"/>
        <v/>
      </c>
      <c r="Z2295" s="374" t="str">
        <f t="shared" si="537"/>
        <v/>
      </c>
      <c r="AA2295" s="374" t="b">
        <f t="shared" si="538"/>
        <v>1</v>
      </c>
      <c r="AB2295" s="374">
        <f>COUNTIFS(B:B,B2295,H:H,'סיווג התפקידים והעלויות'!$C$2)</f>
        <v>0</v>
      </c>
      <c r="AC2295" s="374">
        <f>COUNTIFS(B:B,B2295,H:H,'סיווג התפקידים והעלויות'!$D$2)</f>
        <v>0</v>
      </c>
      <c r="AD2295" s="374" t="str">
        <f>IF(OR(AND(H2295='סיווג התפקידים והעלויות'!$A$2,I2295='סיווג התפקידים והעלויות'!$A$3),'עלויות כח אדם (6)'!H2295='סיווג התפקידים והעלויות'!$C$2,'עלויות כח אדם (6)'!H2295='סיווג התפקידים והעלויות'!$D$2),IF('עלויות כח אדם (6)'!J2295&lt;75,"לא תקין","תקין"),"")</f>
        <v/>
      </c>
      <c r="AE2295" s="374" t="str">
        <f t="shared" si="539"/>
        <v/>
      </c>
      <c r="AF2295" s="532" t="str">
        <f t="shared" si="540"/>
        <v/>
      </c>
    </row>
    <row r="2296" spans="2:32" x14ac:dyDescent="0.25">
      <c r="B2296" s="695"/>
      <c r="C2296" s="197" t="str">
        <f>IF(B2296&lt;&gt;"",IFERROR(VLOOKUP(B:B,'מצבת והרשמה (2)'!$C$20:$N$520,2,0)," ")," ")</f>
        <v xml:space="preserve"> </v>
      </c>
      <c r="D2296" s="695"/>
      <c r="E2296" s="696"/>
      <c r="F2296" s="696"/>
      <c r="G2296" s="696"/>
      <c r="H2296" s="696"/>
      <c r="I2296" s="1050" t="str">
        <f t="shared" si="527"/>
        <v/>
      </c>
      <c r="J2296" s="696"/>
      <c r="K2296" s="697"/>
      <c r="L2296" s="696"/>
      <c r="M2296" s="198" t="str">
        <f t="shared" si="528"/>
        <v/>
      </c>
      <c r="N2296" s="369" t="str">
        <f t="shared" si="529"/>
        <v/>
      </c>
      <c r="O2296" s="183" t="str">
        <f t="shared" si="530"/>
        <v/>
      </c>
      <c r="P2296" s="199" t="str">
        <f t="shared" si="531"/>
        <v/>
      </c>
      <c r="Q2296" s="199" t="str">
        <f>IF(B2296="","",IFERROR(IF('עלויות כח אדם (6)'!J2296&gt;=VLOOKUP(I2296,'סיווג התפקידים והעלויות'!$B$23:$C$32,2,0),"תקין","לא תקין"),""))</f>
        <v/>
      </c>
      <c r="R2296" s="199" t="str">
        <f t="shared" si="532"/>
        <v/>
      </c>
      <c r="S2296" s="199" t="str">
        <f t="shared" si="533"/>
        <v/>
      </c>
      <c r="T2296" s="199" t="str">
        <f t="shared" si="541"/>
        <v/>
      </c>
      <c r="U2296" s="199" t="str">
        <f t="shared" si="534"/>
        <v/>
      </c>
      <c r="V2296" s="989"/>
      <c r="X2296" s="374" t="str">
        <f t="shared" si="535"/>
        <v/>
      </c>
      <c r="Y2296" s="375" t="str">
        <f t="shared" si="536"/>
        <v/>
      </c>
      <c r="Z2296" s="374" t="str">
        <f t="shared" si="537"/>
        <v/>
      </c>
      <c r="AA2296" s="374" t="b">
        <f t="shared" si="538"/>
        <v>1</v>
      </c>
      <c r="AB2296" s="374">
        <f>COUNTIFS(B:B,B2296,H:H,'סיווג התפקידים והעלויות'!$C$2)</f>
        <v>0</v>
      </c>
      <c r="AC2296" s="374">
        <f>COUNTIFS(B:B,B2296,H:H,'סיווג התפקידים והעלויות'!$D$2)</f>
        <v>0</v>
      </c>
      <c r="AD2296" s="374" t="str">
        <f>IF(OR(AND(H2296='סיווג התפקידים והעלויות'!$A$2,I2296='סיווג התפקידים והעלויות'!$A$3),'עלויות כח אדם (6)'!H2296='סיווג התפקידים והעלויות'!$C$2,'עלויות כח אדם (6)'!H2296='סיווג התפקידים והעלויות'!$D$2),IF('עלויות כח אדם (6)'!J2296&lt;75,"לא תקין","תקין"),"")</f>
        <v/>
      </c>
      <c r="AE2296" s="374" t="str">
        <f t="shared" si="539"/>
        <v/>
      </c>
      <c r="AF2296" s="532" t="str">
        <f t="shared" si="540"/>
        <v/>
      </c>
    </row>
    <row r="2297" spans="2:32" x14ac:dyDescent="0.25">
      <c r="B2297" s="695"/>
      <c r="C2297" s="197" t="str">
        <f>IF(B2297&lt;&gt;"",IFERROR(VLOOKUP(B:B,'מצבת והרשמה (2)'!$C$20:$N$520,2,0)," ")," ")</f>
        <v xml:space="preserve"> </v>
      </c>
      <c r="D2297" s="695"/>
      <c r="E2297" s="696"/>
      <c r="F2297" s="696"/>
      <c r="G2297" s="696"/>
      <c r="H2297" s="696"/>
      <c r="I2297" s="1050" t="str">
        <f t="shared" si="527"/>
        <v/>
      </c>
      <c r="J2297" s="696"/>
      <c r="K2297" s="697"/>
      <c r="L2297" s="696"/>
      <c r="M2297" s="198" t="str">
        <f t="shared" si="528"/>
        <v/>
      </c>
      <c r="N2297" s="369" t="str">
        <f t="shared" si="529"/>
        <v/>
      </c>
      <c r="O2297" s="183" t="str">
        <f t="shared" si="530"/>
        <v/>
      </c>
      <c r="P2297" s="199" t="str">
        <f t="shared" si="531"/>
        <v/>
      </c>
      <c r="Q2297" s="199" t="str">
        <f>IF(B2297="","",IFERROR(IF('עלויות כח אדם (6)'!J2297&gt;=VLOOKUP(I2297,'סיווג התפקידים והעלויות'!$B$23:$C$32,2,0),"תקין","לא תקין"),""))</f>
        <v/>
      </c>
      <c r="R2297" s="199" t="str">
        <f t="shared" si="532"/>
        <v/>
      </c>
      <c r="S2297" s="199" t="str">
        <f t="shared" si="533"/>
        <v/>
      </c>
      <c r="T2297" s="199" t="str">
        <f t="shared" si="541"/>
        <v/>
      </c>
      <c r="U2297" s="199" t="str">
        <f t="shared" si="534"/>
        <v/>
      </c>
      <c r="V2297" s="989"/>
      <c r="X2297" s="374" t="str">
        <f t="shared" si="535"/>
        <v/>
      </c>
      <c r="Y2297" s="375" t="str">
        <f t="shared" si="536"/>
        <v/>
      </c>
      <c r="Z2297" s="374" t="str">
        <f t="shared" si="537"/>
        <v/>
      </c>
      <c r="AA2297" s="374" t="b">
        <f t="shared" si="538"/>
        <v>1</v>
      </c>
      <c r="AB2297" s="374">
        <f>COUNTIFS(B:B,B2297,H:H,'סיווג התפקידים והעלויות'!$C$2)</f>
        <v>0</v>
      </c>
      <c r="AC2297" s="374">
        <f>COUNTIFS(B:B,B2297,H:H,'סיווג התפקידים והעלויות'!$D$2)</f>
        <v>0</v>
      </c>
      <c r="AD2297" s="374" t="str">
        <f>IF(OR(AND(H2297='סיווג התפקידים והעלויות'!$A$2,I2297='סיווג התפקידים והעלויות'!$A$3),'עלויות כח אדם (6)'!H2297='סיווג התפקידים והעלויות'!$C$2,'עלויות כח אדם (6)'!H2297='סיווג התפקידים והעלויות'!$D$2),IF('עלויות כח אדם (6)'!J2297&lt;75,"לא תקין","תקין"),"")</f>
        <v/>
      </c>
      <c r="AE2297" s="374" t="str">
        <f t="shared" si="539"/>
        <v/>
      </c>
      <c r="AF2297" s="532" t="str">
        <f t="shared" si="540"/>
        <v/>
      </c>
    </row>
    <row r="2298" spans="2:32" x14ac:dyDescent="0.25">
      <c r="B2298" s="695"/>
      <c r="C2298" s="197" t="str">
        <f>IF(B2298&lt;&gt;"",IFERROR(VLOOKUP(B:B,'מצבת והרשמה (2)'!$C$20:$N$520,2,0)," ")," ")</f>
        <v xml:space="preserve"> </v>
      </c>
      <c r="D2298" s="695"/>
      <c r="E2298" s="696"/>
      <c r="F2298" s="696"/>
      <c r="G2298" s="696"/>
      <c r="H2298" s="696"/>
      <c r="I2298" s="1050" t="str">
        <f t="shared" si="527"/>
        <v/>
      </c>
      <c r="J2298" s="696"/>
      <c r="K2298" s="697"/>
      <c r="L2298" s="696"/>
      <c r="M2298" s="198" t="str">
        <f t="shared" si="528"/>
        <v/>
      </c>
      <c r="N2298" s="369" t="str">
        <f t="shared" si="529"/>
        <v/>
      </c>
      <c r="O2298" s="183" t="str">
        <f t="shared" si="530"/>
        <v/>
      </c>
      <c r="P2298" s="199" t="str">
        <f t="shared" si="531"/>
        <v/>
      </c>
      <c r="Q2298" s="199" t="str">
        <f>IF(B2298="","",IFERROR(IF('עלויות כח אדם (6)'!J2298&gt;=VLOOKUP(I2298,'סיווג התפקידים והעלויות'!$B$23:$C$32,2,0),"תקין","לא תקין"),""))</f>
        <v/>
      </c>
      <c r="R2298" s="199" t="str">
        <f t="shared" si="532"/>
        <v/>
      </c>
      <c r="S2298" s="199" t="str">
        <f t="shared" si="533"/>
        <v/>
      </c>
      <c r="T2298" s="199" t="str">
        <f t="shared" si="541"/>
        <v/>
      </c>
      <c r="U2298" s="199" t="str">
        <f t="shared" si="534"/>
        <v/>
      </c>
      <c r="V2298" s="989"/>
      <c r="X2298" s="374" t="str">
        <f t="shared" si="535"/>
        <v/>
      </c>
      <c r="Y2298" s="375" t="str">
        <f t="shared" si="536"/>
        <v/>
      </c>
      <c r="Z2298" s="374" t="str">
        <f t="shared" si="537"/>
        <v/>
      </c>
      <c r="AA2298" s="374" t="b">
        <f t="shared" si="538"/>
        <v>1</v>
      </c>
      <c r="AB2298" s="374">
        <f>COUNTIFS(B:B,B2298,H:H,'סיווג התפקידים והעלויות'!$C$2)</f>
        <v>0</v>
      </c>
      <c r="AC2298" s="374">
        <f>COUNTIFS(B:B,B2298,H:H,'סיווג התפקידים והעלויות'!$D$2)</f>
        <v>0</v>
      </c>
      <c r="AD2298" s="374" t="str">
        <f>IF(OR(AND(H2298='סיווג התפקידים והעלויות'!$A$2,I2298='סיווג התפקידים והעלויות'!$A$3),'עלויות כח אדם (6)'!H2298='סיווג התפקידים והעלויות'!$C$2,'עלויות כח אדם (6)'!H2298='סיווג התפקידים והעלויות'!$D$2),IF('עלויות כח אדם (6)'!J2298&lt;75,"לא תקין","תקין"),"")</f>
        <v/>
      </c>
      <c r="AE2298" s="374" t="str">
        <f t="shared" si="539"/>
        <v/>
      </c>
      <c r="AF2298" s="532" t="str">
        <f t="shared" si="540"/>
        <v/>
      </c>
    </row>
    <row r="2299" spans="2:32" x14ac:dyDescent="0.25">
      <c r="B2299" s="695"/>
      <c r="C2299" s="197" t="str">
        <f>IF(B2299&lt;&gt;"",IFERROR(VLOOKUP(B:B,'מצבת והרשמה (2)'!$C$20:$N$520,2,0)," ")," ")</f>
        <v xml:space="preserve"> </v>
      </c>
      <c r="D2299" s="695"/>
      <c r="E2299" s="696"/>
      <c r="F2299" s="696"/>
      <c r="G2299" s="696"/>
      <c r="H2299" s="696"/>
      <c r="I2299" s="1050" t="str">
        <f t="shared" si="527"/>
        <v/>
      </c>
      <c r="J2299" s="696"/>
      <c r="K2299" s="697"/>
      <c r="L2299" s="696"/>
      <c r="M2299" s="198" t="str">
        <f t="shared" si="528"/>
        <v/>
      </c>
      <c r="N2299" s="369" t="str">
        <f t="shared" si="529"/>
        <v/>
      </c>
      <c r="O2299" s="183" t="str">
        <f t="shared" si="530"/>
        <v/>
      </c>
      <c r="P2299" s="199" t="str">
        <f t="shared" si="531"/>
        <v/>
      </c>
      <c r="Q2299" s="199" t="str">
        <f>IF(B2299="","",IFERROR(IF('עלויות כח אדם (6)'!J2299&gt;=VLOOKUP(I2299,'סיווג התפקידים והעלויות'!$B$23:$C$32,2,0),"תקין","לא תקין"),""))</f>
        <v/>
      </c>
      <c r="R2299" s="199" t="str">
        <f t="shared" si="532"/>
        <v/>
      </c>
      <c r="S2299" s="199" t="str">
        <f t="shared" si="533"/>
        <v/>
      </c>
      <c r="T2299" s="199" t="str">
        <f t="shared" si="541"/>
        <v/>
      </c>
      <c r="U2299" s="199" t="str">
        <f t="shared" si="534"/>
        <v/>
      </c>
      <c r="V2299" s="989"/>
      <c r="X2299" s="374" t="str">
        <f t="shared" si="535"/>
        <v/>
      </c>
      <c r="Y2299" s="375" t="str">
        <f t="shared" si="536"/>
        <v/>
      </c>
      <c r="Z2299" s="374" t="str">
        <f t="shared" si="537"/>
        <v/>
      </c>
      <c r="AA2299" s="374" t="b">
        <f t="shared" si="538"/>
        <v>1</v>
      </c>
      <c r="AB2299" s="374">
        <f>COUNTIFS(B:B,B2299,H:H,'סיווג התפקידים והעלויות'!$C$2)</f>
        <v>0</v>
      </c>
      <c r="AC2299" s="374">
        <f>COUNTIFS(B:B,B2299,H:H,'סיווג התפקידים והעלויות'!$D$2)</f>
        <v>0</v>
      </c>
      <c r="AD2299" s="374" t="str">
        <f>IF(OR(AND(H2299='סיווג התפקידים והעלויות'!$A$2,I2299='סיווג התפקידים והעלויות'!$A$3),'עלויות כח אדם (6)'!H2299='סיווג התפקידים והעלויות'!$C$2,'עלויות כח אדם (6)'!H2299='סיווג התפקידים והעלויות'!$D$2),IF('עלויות כח אדם (6)'!J2299&lt;75,"לא תקין","תקין"),"")</f>
        <v/>
      </c>
      <c r="AE2299" s="374" t="str">
        <f t="shared" si="539"/>
        <v/>
      </c>
      <c r="AF2299" s="532" t="str">
        <f t="shared" si="540"/>
        <v/>
      </c>
    </row>
    <row r="2300" spans="2:32" x14ac:dyDescent="0.25">
      <c r="B2300" s="695"/>
      <c r="C2300" s="197" t="str">
        <f>IF(B2300&lt;&gt;"",IFERROR(VLOOKUP(B:B,'מצבת והרשמה (2)'!$C$20:$N$520,2,0)," ")," ")</f>
        <v xml:space="preserve"> </v>
      </c>
      <c r="D2300" s="695"/>
      <c r="E2300" s="696"/>
      <c r="F2300" s="696"/>
      <c r="G2300" s="696"/>
      <c r="H2300" s="696"/>
      <c r="I2300" s="1050" t="str">
        <f t="shared" si="527"/>
        <v/>
      </c>
      <c r="J2300" s="696"/>
      <c r="K2300" s="697"/>
      <c r="L2300" s="696"/>
      <c r="M2300" s="198" t="str">
        <f t="shared" si="528"/>
        <v/>
      </c>
      <c r="N2300" s="369" t="str">
        <f t="shared" si="529"/>
        <v/>
      </c>
      <c r="O2300" s="183" t="str">
        <f t="shared" si="530"/>
        <v/>
      </c>
      <c r="P2300" s="199" t="str">
        <f t="shared" si="531"/>
        <v/>
      </c>
      <c r="Q2300" s="199" t="str">
        <f>IF(B2300="","",IFERROR(IF('עלויות כח אדם (6)'!J2300&gt;=VLOOKUP(I2300,'סיווג התפקידים והעלויות'!$B$23:$C$32,2,0),"תקין","לא תקין"),""))</f>
        <v/>
      </c>
      <c r="R2300" s="199" t="str">
        <f t="shared" si="532"/>
        <v/>
      </c>
      <c r="S2300" s="199" t="str">
        <f t="shared" si="533"/>
        <v/>
      </c>
      <c r="T2300" s="199" t="str">
        <f t="shared" si="541"/>
        <v/>
      </c>
      <c r="U2300" s="199" t="str">
        <f t="shared" si="534"/>
        <v/>
      </c>
      <c r="V2300" s="989"/>
      <c r="X2300" s="374" t="str">
        <f t="shared" si="535"/>
        <v/>
      </c>
      <c r="Y2300" s="375" t="str">
        <f t="shared" si="536"/>
        <v/>
      </c>
      <c r="Z2300" s="374" t="str">
        <f t="shared" si="537"/>
        <v/>
      </c>
      <c r="AA2300" s="374" t="b">
        <f t="shared" si="538"/>
        <v>1</v>
      </c>
      <c r="AB2300" s="374">
        <f>COUNTIFS(B:B,B2300,H:H,'סיווג התפקידים והעלויות'!$C$2)</f>
        <v>0</v>
      </c>
      <c r="AC2300" s="374">
        <f>COUNTIFS(B:B,B2300,H:H,'סיווג התפקידים והעלויות'!$D$2)</f>
        <v>0</v>
      </c>
      <c r="AD2300" s="374" t="str">
        <f>IF(OR(AND(H2300='סיווג התפקידים והעלויות'!$A$2,I2300='סיווג התפקידים והעלויות'!$A$3),'עלויות כח אדם (6)'!H2300='סיווג התפקידים והעלויות'!$C$2,'עלויות כח אדם (6)'!H2300='סיווג התפקידים והעלויות'!$D$2),IF('עלויות כח אדם (6)'!J2300&lt;75,"לא תקין","תקין"),"")</f>
        <v/>
      </c>
      <c r="AE2300" s="374" t="str">
        <f t="shared" si="539"/>
        <v/>
      </c>
      <c r="AF2300" s="532" t="str">
        <f t="shared" si="540"/>
        <v/>
      </c>
    </row>
    <row r="2301" spans="2:32" x14ac:dyDescent="0.25">
      <c r="B2301" s="695"/>
      <c r="C2301" s="197" t="str">
        <f>IF(B2301&lt;&gt;"",IFERROR(VLOOKUP(B:B,'מצבת והרשמה (2)'!$C$20:$N$520,2,0)," ")," ")</f>
        <v xml:space="preserve"> </v>
      </c>
      <c r="D2301" s="695"/>
      <c r="E2301" s="696"/>
      <c r="F2301" s="696"/>
      <c r="G2301" s="696"/>
      <c r="H2301" s="696"/>
      <c r="I2301" s="1050" t="str">
        <f t="shared" si="527"/>
        <v/>
      </c>
      <c r="J2301" s="696"/>
      <c r="K2301" s="697"/>
      <c r="L2301" s="696"/>
      <c r="M2301" s="198" t="str">
        <f t="shared" si="528"/>
        <v/>
      </c>
      <c r="N2301" s="369" t="str">
        <f t="shared" si="529"/>
        <v/>
      </c>
      <c r="O2301" s="183" t="str">
        <f t="shared" si="530"/>
        <v/>
      </c>
      <c r="P2301" s="199" t="str">
        <f t="shared" si="531"/>
        <v/>
      </c>
      <c r="Q2301" s="199" t="str">
        <f>IF(B2301="","",IFERROR(IF('עלויות כח אדם (6)'!J2301&gt;=VLOOKUP(I2301,'סיווג התפקידים והעלויות'!$B$23:$C$32,2,0),"תקין","לא תקין"),""))</f>
        <v/>
      </c>
      <c r="R2301" s="199" t="str">
        <f t="shared" si="532"/>
        <v/>
      </c>
      <c r="S2301" s="199" t="str">
        <f t="shared" si="533"/>
        <v/>
      </c>
      <c r="T2301" s="199" t="str">
        <f t="shared" si="541"/>
        <v/>
      </c>
      <c r="U2301" s="199" t="str">
        <f t="shared" si="534"/>
        <v/>
      </c>
      <c r="V2301" s="989"/>
      <c r="X2301" s="374" t="str">
        <f t="shared" si="535"/>
        <v/>
      </c>
      <c r="Y2301" s="375" t="str">
        <f t="shared" si="536"/>
        <v/>
      </c>
      <c r="Z2301" s="374" t="str">
        <f t="shared" si="537"/>
        <v/>
      </c>
      <c r="AA2301" s="374" t="b">
        <f t="shared" si="538"/>
        <v>1</v>
      </c>
      <c r="AB2301" s="374">
        <f>COUNTIFS(B:B,B2301,H:H,'סיווג התפקידים והעלויות'!$C$2)</f>
        <v>0</v>
      </c>
      <c r="AC2301" s="374">
        <f>COUNTIFS(B:B,B2301,H:H,'סיווג התפקידים והעלויות'!$D$2)</f>
        <v>0</v>
      </c>
      <c r="AD2301" s="374" t="str">
        <f>IF(OR(AND(H2301='סיווג התפקידים והעלויות'!$A$2,I2301='סיווג התפקידים והעלויות'!$A$3),'עלויות כח אדם (6)'!H2301='סיווג התפקידים והעלויות'!$C$2,'עלויות כח אדם (6)'!H2301='סיווג התפקידים והעלויות'!$D$2),IF('עלויות כח אדם (6)'!J2301&lt;75,"לא תקין","תקין"),"")</f>
        <v/>
      </c>
      <c r="AE2301" s="374" t="str">
        <f t="shared" si="539"/>
        <v/>
      </c>
      <c r="AF2301" s="532" t="str">
        <f t="shared" si="540"/>
        <v/>
      </c>
    </row>
    <row r="2302" spans="2:32" x14ac:dyDescent="0.25">
      <c r="B2302" s="695"/>
      <c r="C2302" s="197" t="str">
        <f>IF(B2302&lt;&gt;"",IFERROR(VLOOKUP(B:B,'מצבת והרשמה (2)'!$C$20:$N$520,2,0)," ")," ")</f>
        <v xml:space="preserve"> </v>
      </c>
      <c r="D2302" s="695"/>
      <c r="E2302" s="696"/>
      <c r="F2302" s="696"/>
      <c r="G2302" s="696"/>
      <c r="H2302" s="696"/>
      <c r="I2302" s="1050" t="str">
        <f t="shared" si="527"/>
        <v/>
      </c>
      <c r="J2302" s="696"/>
      <c r="K2302" s="697"/>
      <c r="L2302" s="696"/>
      <c r="M2302" s="198" t="str">
        <f t="shared" si="528"/>
        <v/>
      </c>
      <c r="N2302" s="369" t="str">
        <f t="shared" si="529"/>
        <v/>
      </c>
      <c r="O2302" s="183" t="str">
        <f t="shared" si="530"/>
        <v/>
      </c>
      <c r="P2302" s="199" t="str">
        <f t="shared" si="531"/>
        <v/>
      </c>
      <c r="Q2302" s="199" t="str">
        <f>IF(B2302="","",IFERROR(IF('עלויות כח אדם (6)'!J2302&gt;=VLOOKUP(I2302,'סיווג התפקידים והעלויות'!$B$23:$C$32,2,0),"תקין","לא תקין"),""))</f>
        <v/>
      </c>
      <c r="R2302" s="199" t="str">
        <f t="shared" si="532"/>
        <v/>
      </c>
      <c r="S2302" s="199" t="str">
        <f t="shared" si="533"/>
        <v/>
      </c>
      <c r="T2302" s="199" t="str">
        <f t="shared" si="541"/>
        <v/>
      </c>
      <c r="U2302" s="199" t="str">
        <f t="shared" si="534"/>
        <v/>
      </c>
      <c r="V2302" s="989"/>
      <c r="X2302" s="374" t="str">
        <f t="shared" si="535"/>
        <v/>
      </c>
      <c r="Y2302" s="375" t="str">
        <f t="shared" si="536"/>
        <v/>
      </c>
      <c r="Z2302" s="374" t="str">
        <f t="shared" si="537"/>
        <v/>
      </c>
      <c r="AA2302" s="374" t="b">
        <f t="shared" si="538"/>
        <v>1</v>
      </c>
      <c r="AB2302" s="374">
        <f>COUNTIFS(B:B,B2302,H:H,'סיווג התפקידים והעלויות'!$C$2)</f>
        <v>0</v>
      </c>
      <c r="AC2302" s="374">
        <f>COUNTIFS(B:B,B2302,H:H,'סיווג התפקידים והעלויות'!$D$2)</f>
        <v>0</v>
      </c>
      <c r="AD2302" s="374" t="str">
        <f>IF(OR(AND(H2302='סיווג התפקידים והעלויות'!$A$2,I2302='סיווג התפקידים והעלויות'!$A$3),'עלויות כח אדם (6)'!H2302='סיווג התפקידים והעלויות'!$C$2,'עלויות כח אדם (6)'!H2302='סיווג התפקידים והעלויות'!$D$2),IF('עלויות כח אדם (6)'!J2302&lt;75,"לא תקין","תקין"),"")</f>
        <v/>
      </c>
      <c r="AE2302" s="374" t="str">
        <f t="shared" si="539"/>
        <v/>
      </c>
      <c r="AF2302" s="532" t="str">
        <f t="shared" si="540"/>
        <v/>
      </c>
    </row>
    <row r="2303" spans="2:32" x14ac:dyDescent="0.25">
      <c r="B2303" s="695"/>
      <c r="C2303" s="197" t="str">
        <f>IF(B2303&lt;&gt;"",IFERROR(VLOOKUP(B:B,'מצבת והרשמה (2)'!$C$20:$N$520,2,0)," ")," ")</f>
        <v xml:space="preserve"> </v>
      </c>
      <c r="D2303" s="695"/>
      <c r="E2303" s="696"/>
      <c r="F2303" s="696"/>
      <c r="G2303" s="696"/>
      <c r="H2303" s="696"/>
      <c r="I2303" s="1050" t="str">
        <f t="shared" si="527"/>
        <v/>
      </c>
      <c r="J2303" s="696"/>
      <c r="K2303" s="697"/>
      <c r="L2303" s="696"/>
      <c r="M2303" s="198" t="str">
        <f t="shared" si="528"/>
        <v/>
      </c>
      <c r="N2303" s="369" t="str">
        <f t="shared" si="529"/>
        <v/>
      </c>
      <c r="O2303" s="183" t="str">
        <f t="shared" si="530"/>
        <v/>
      </c>
      <c r="P2303" s="199" t="str">
        <f t="shared" si="531"/>
        <v/>
      </c>
      <c r="Q2303" s="199" t="str">
        <f>IF(B2303="","",IFERROR(IF('עלויות כח אדם (6)'!J2303&gt;=VLOOKUP(I2303,'סיווג התפקידים והעלויות'!$B$23:$C$32,2,0),"תקין","לא תקין"),""))</f>
        <v/>
      </c>
      <c r="R2303" s="199" t="str">
        <f t="shared" si="532"/>
        <v/>
      </c>
      <c r="S2303" s="199" t="str">
        <f t="shared" si="533"/>
        <v/>
      </c>
      <c r="T2303" s="199" t="str">
        <f t="shared" si="541"/>
        <v/>
      </c>
      <c r="U2303" s="199" t="str">
        <f t="shared" si="534"/>
        <v/>
      </c>
      <c r="V2303" s="989"/>
      <c r="X2303" s="374" t="str">
        <f t="shared" si="535"/>
        <v/>
      </c>
      <c r="Y2303" s="375" t="str">
        <f t="shared" si="536"/>
        <v/>
      </c>
      <c r="Z2303" s="374" t="str">
        <f t="shared" si="537"/>
        <v/>
      </c>
      <c r="AA2303" s="374" t="b">
        <f t="shared" si="538"/>
        <v>1</v>
      </c>
      <c r="AB2303" s="374">
        <f>COUNTIFS(B:B,B2303,H:H,'סיווג התפקידים והעלויות'!$C$2)</f>
        <v>0</v>
      </c>
      <c r="AC2303" s="374">
        <f>COUNTIFS(B:B,B2303,H:H,'סיווג התפקידים והעלויות'!$D$2)</f>
        <v>0</v>
      </c>
      <c r="AD2303" s="374" t="str">
        <f>IF(OR(AND(H2303='סיווג התפקידים והעלויות'!$A$2,I2303='סיווג התפקידים והעלויות'!$A$3),'עלויות כח אדם (6)'!H2303='סיווג התפקידים והעלויות'!$C$2,'עלויות כח אדם (6)'!H2303='סיווג התפקידים והעלויות'!$D$2),IF('עלויות כח אדם (6)'!J2303&lt;75,"לא תקין","תקין"),"")</f>
        <v/>
      </c>
      <c r="AE2303" s="374" t="str">
        <f t="shared" si="539"/>
        <v/>
      </c>
      <c r="AF2303" s="532" t="str">
        <f t="shared" si="540"/>
        <v/>
      </c>
    </row>
    <row r="2304" spans="2:32" x14ac:dyDescent="0.25">
      <c r="B2304" s="695"/>
      <c r="C2304" s="197" t="str">
        <f>IF(B2304&lt;&gt;"",IFERROR(VLOOKUP(B:B,'מצבת והרשמה (2)'!$C$20:$N$520,2,0)," ")," ")</f>
        <v xml:space="preserve"> </v>
      </c>
      <c r="D2304" s="695"/>
      <c r="E2304" s="696"/>
      <c r="F2304" s="696"/>
      <c r="G2304" s="696"/>
      <c r="H2304" s="696"/>
      <c r="I2304" s="1050" t="str">
        <f t="shared" si="527"/>
        <v/>
      </c>
      <c r="J2304" s="696"/>
      <c r="K2304" s="697"/>
      <c r="L2304" s="696"/>
      <c r="M2304" s="198" t="str">
        <f t="shared" si="528"/>
        <v/>
      </c>
      <c r="N2304" s="369" t="str">
        <f t="shared" si="529"/>
        <v/>
      </c>
      <c r="O2304" s="183" t="str">
        <f t="shared" si="530"/>
        <v/>
      </c>
      <c r="P2304" s="199" t="str">
        <f t="shared" si="531"/>
        <v/>
      </c>
      <c r="Q2304" s="199" t="str">
        <f>IF(B2304="","",IFERROR(IF('עלויות כח אדם (6)'!J2304&gt;=VLOOKUP(I2304,'סיווג התפקידים והעלויות'!$B$23:$C$32,2,0),"תקין","לא תקין"),""))</f>
        <v/>
      </c>
      <c r="R2304" s="199" t="str">
        <f t="shared" si="532"/>
        <v/>
      </c>
      <c r="S2304" s="199" t="str">
        <f t="shared" si="533"/>
        <v/>
      </c>
      <c r="T2304" s="199" t="str">
        <f t="shared" si="541"/>
        <v/>
      </c>
      <c r="U2304" s="199" t="str">
        <f t="shared" si="534"/>
        <v/>
      </c>
      <c r="V2304" s="989"/>
      <c r="X2304" s="374" t="str">
        <f t="shared" si="535"/>
        <v/>
      </c>
      <c r="Y2304" s="375" t="str">
        <f t="shared" si="536"/>
        <v/>
      </c>
      <c r="Z2304" s="374" t="str">
        <f t="shared" si="537"/>
        <v/>
      </c>
      <c r="AA2304" s="374" t="b">
        <f t="shared" si="538"/>
        <v>1</v>
      </c>
      <c r="AB2304" s="374">
        <f>COUNTIFS(B:B,B2304,H:H,'סיווג התפקידים והעלויות'!$C$2)</f>
        <v>0</v>
      </c>
      <c r="AC2304" s="374">
        <f>COUNTIFS(B:B,B2304,H:H,'סיווג התפקידים והעלויות'!$D$2)</f>
        <v>0</v>
      </c>
      <c r="AD2304" s="374" t="str">
        <f>IF(OR(AND(H2304='סיווג התפקידים והעלויות'!$A$2,I2304='סיווג התפקידים והעלויות'!$A$3),'עלויות כח אדם (6)'!H2304='סיווג התפקידים והעלויות'!$C$2,'עלויות כח אדם (6)'!H2304='סיווג התפקידים והעלויות'!$D$2),IF('עלויות כח אדם (6)'!J2304&lt;75,"לא תקין","תקין"),"")</f>
        <v/>
      </c>
      <c r="AE2304" s="374" t="str">
        <f t="shared" si="539"/>
        <v/>
      </c>
      <c r="AF2304" s="532" t="str">
        <f t="shared" si="540"/>
        <v/>
      </c>
    </row>
    <row r="2305" spans="2:32" x14ac:dyDescent="0.25">
      <c r="B2305" s="695"/>
      <c r="C2305" s="197" t="str">
        <f>IF(B2305&lt;&gt;"",IFERROR(VLOOKUP(B:B,'מצבת והרשמה (2)'!$C$20:$N$520,2,0)," ")," ")</f>
        <v xml:space="preserve"> </v>
      </c>
      <c r="D2305" s="695"/>
      <c r="E2305" s="696"/>
      <c r="F2305" s="696"/>
      <c r="G2305" s="696"/>
      <c r="H2305" s="696"/>
      <c r="I2305" s="1050" t="str">
        <f t="shared" si="527"/>
        <v/>
      </c>
      <c r="J2305" s="696"/>
      <c r="K2305" s="697"/>
      <c r="L2305" s="696"/>
      <c r="M2305" s="198" t="str">
        <f t="shared" si="528"/>
        <v/>
      </c>
      <c r="N2305" s="369" t="str">
        <f t="shared" si="529"/>
        <v/>
      </c>
      <c r="O2305" s="183" t="str">
        <f t="shared" si="530"/>
        <v/>
      </c>
      <c r="P2305" s="199" t="str">
        <f t="shared" si="531"/>
        <v/>
      </c>
      <c r="Q2305" s="199" t="str">
        <f>IF(B2305="","",IFERROR(IF('עלויות כח אדם (6)'!J2305&gt;=VLOOKUP(I2305,'סיווג התפקידים והעלויות'!$B$23:$C$32,2,0),"תקין","לא תקין"),""))</f>
        <v/>
      </c>
      <c r="R2305" s="199" t="str">
        <f t="shared" si="532"/>
        <v/>
      </c>
      <c r="S2305" s="199" t="str">
        <f t="shared" si="533"/>
        <v/>
      </c>
      <c r="T2305" s="199" t="str">
        <f t="shared" si="541"/>
        <v/>
      </c>
      <c r="U2305" s="199" t="str">
        <f t="shared" si="534"/>
        <v/>
      </c>
      <c r="V2305" s="989"/>
      <c r="X2305" s="374" t="str">
        <f t="shared" si="535"/>
        <v/>
      </c>
      <c r="Y2305" s="375" t="str">
        <f t="shared" si="536"/>
        <v/>
      </c>
      <c r="Z2305" s="374" t="str">
        <f t="shared" si="537"/>
        <v/>
      </c>
      <c r="AA2305" s="374" t="b">
        <f t="shared" si="538"/>
        <v>1</v>
      </c>
      <c r="AB2305" s="374">
        <f>COUNTIFS(B:B,B2305,H:H,'סיווג התפקידים והעלויות'!$C$2)</f>
        <v>0</v>
      </c>
      <c r="AC2305" s="374">
        <f>COUNTIFS(B:B,B2305,H:H,'סיווג התפקידים והעלויות'!$D$2)</f>
        <v>0</v>
      </c>
      <c r="AD2305" s="374" t="str">
        <f>IF(OR(AND(H2305='סיווג התפקידים והעלויות'!$A$2,I2305='סיווג התפקידים והעלויות'!$A$3),'עלויות כח אדם (6)'!H2305='סיווג התפקידים והעלויות'!$C$2,'עלויות כח אדם (6)'!H2305='סיווג התפקידים והעלויות'!$D$2),IF('עלויות כח אדם (6)'!J2305&lt;75,"לא תקין","תקין"),"")</f>
        <v/>
      </c>
      <c r="AE2305" s="374" t="str">
        <f t="shared" si="539"/>
        <v/>
      </c>
      <c r="AF2305" s="532" t="str">
        <f t="shared" si="540"/>
        <v/>
      </c>
    </row>
    <row r="2306" spans="2:32" x14ac:dyDescent="0.25">
      <c r="B2306" s="695"/>
      <c r="C2306" s="197" t="str">
        <f>IF(B2306&lt;&gt;"",IFERROR(VLOOKUP(B:B,'מצבת והרשמה (2)'!$C$20:$N$520,2,0)," ")," ")</f>
        <v xml:space="preserve"> </v>
      </c>
      <c r="D2306" s="695"/>
      <c r="E2306" s="696"/>
      <c r="F2306" s="696"/>
      <c r="G2306" s="696"/>
      <c r="H2306" s="696"/>
      <c r="I2306" s="1050" t="str">
        <f t="shared" si="527"/>
        <v/>
      </c>
      <c r="J2306" s="696"/>
      <c r="K2306" s="697"/>
      <c r="L2306" s="696"/>
      <c r="M2306" s="198" t="str">
        <f t="shared" si="528"/>
        <v/>
      </c>
      <c r="N2306" s="369" t="str">
        <f t="shared" si="529"/>
        <v/>
      </c>
      <c r="O2306" s="183" t="str">
        <f t="shared" si="530"/>
        <v/>
      </c>
      <c r="P2306" s="199" t="str">
        <f t="shared" si="531"/>
        <v/>
      </c>
      <c r="Q2306" s="199" t="str">
        <f>IF(B2306="","",IFERROR(IF('עלויות כח אדם (6)'!J2306&gt;=VLOOKUP(I2306,'סיווג התפקידים והעלויות'!$B$23:$C$32,2,0),"תקין","לא תקין"),""))</f>
        <v/>
      </c>
      <c r="R2306" s="199" t="str">
        <f t="shared" si="532"/>
        <v/>
      </c>
      <c r="S2306" s="199" t="str">
        <f t="shared" si="533"/>
        <v/>
      </c>
      <c r="T2306" s="199" t="str">
        <f t="shared" si="541"/>
        <v/>
      </c>
      <c r="U2306" s="199" t="str">
        <f t="shared" si="534"/>
        <v/>
      </c>
      <c r="V2306" s="989"/>
      <c r="X2306" s="374" t="str">
        <f t="shared" si="535"/>
        <v/>
      </c>
      <c r="Y2306" s="375" t="str">
        <f t="shared" si="536"/>
        <v/>
      </c>
      <c r="Z2306" s="374" t="str">
        <f t="shared" si="537"/>
        <v/>
      </c>
      <c r="AA2306" s="374" t="b">
        <f t="shared" si="538"/>
        <v>1</v>
      </c>
      <c r="AB2306" s="374">
        <f>COUNTIFS(B:B,B2306,H:H,'סיווג התפקידים והעלויות'!$C$2)</f>
        <v>0</v>
      </c>
      <c r="AC2306" s="374">
        <f>COUNTIFS(B:B,B2306,H:H,'סיווג התפקידים והעלויות'!$D$2)</f>
        <v>0</v>
      </c>
      <c r="AD2306" s="374" t="str">
        <f>IF(OR(AND(H2306='סיווג התפקידים והעלויות'!$A$2,I2306='סיווג התפקידים והעלויות'!$A$3),'עלויות כח אדם (6)'!H2306='סיווג התפקידים והעלויות'!$C$2,'עלויות כח אדם (6)'!H2306='סיווג התפקידים והעלויות'!$D$2),IF('עלויות כח אדם (6)'!J2306&lt;75,"לא תקין","תקין"),"")</f>
        <v/>
      </c>
      <c r="AE2306" s="374" t="str">
        <f t="shared" si="539"/>
        <v/>
      </c>
      <c r="AF2306" s="532" t="str">
        <f t="shared" si="540"/>
        <v/>
      </c>
    </row>
    <row r="2307" spans="2:32" x14ac:dyDescent="0.25">
      <c r="B2307" s="695"/>
      <c r="C2307" s="197" t="str">
        <f>IF(B2307&lt;&gt;"",IFERROR(VLOOKUP(B:B,'מצבת והרשמה (2)'!$C$20:$N$520,2,0)," ")," ")</f>
        <v xml:space="preserve"> </v>
      </c>
      <c r="D2307" s="695"/>
      <c r="E2307" s="696"/>
      <c r="F2307" s="696"/>
      <c r="G2307" s="696"/>
      <c r="H2307" s="696"/>
      <c r="I2307" s="1050" t="str">
        <f t="shared" si="527"/>
        <v/>
      </c>
      <c r="J2307" s="696"/>
      <c r="K2307" s="697"/>
      <c r="L2307" s="696"/>
      <c r="M2307" s="198" t="str">
        <f t="shared" si="528"/>
        <v/>
      </c>
      <c r="N2307" s="369" t="str">
        <f t="shared" si="529"/>
        <v/>
      </c>
      <c r="O2307" s="183" t="str">
        <f t="shared" si="530"/>
        <v/>
      </c>
      <c r="P2307" s="199" t="str">
        <f t="shared" si="531"/>
        <v/>
      </c>
      <c r="Q2307" s="199" t="str">
        <f>IF(B2307="","",IFERROR(IF('עלויות כח אדם (6)'!J2307&gt;=VLOOKUP(I2307,'סיווג התפקידים והעלויות'!$B$23:$C$32,2,0),"תקין","לא תקין"),""))</f>
        <v/>
      </c>
      <c r="R2307" s="199" t="str">
        <f t="shared" si="532"/>
        <v/>
      </c>
      <c r="S2307" s="199" t="str">
        <f t="shared" si="533"/>
        <v/>
      </c>
      <c r="T2307" s="199" t="str">
        <f t="shared" si="541"/>
        <v/>
      </c>
      <c r="U2307" s="199" t="str">
        <f t="shared" si="534"/>
        <v/>
      </c>
      <c r="V2307" s="989"/>
      <c r="X2307" s="374" t="str">
        <f t="shared" si="535"/>
        <v/>
      </c>
      <c r="Y2307" s="375" t="str">
        <f t="shared" si="536"/>
        <v/>
      </c>
      <c r="Z2307" s="374" t="str">
        <f t="shared" si="537"/>
        <v/>
      </c>
      <c r="AA2307" s="374" t="b">
        <f t="shared" si="538"/>
        <v>1</v>
      </c>
      <c r="AB2307" s="374">
        <f>COUNTIFS(B:B,B2307,H:H,'סיווג התפקידים והעלויות'!$C$2)</f>
        <v>0</v>
      </c>
      <c r="AC2307" s="374">
        <f>COUNTIFS(B:B,B2307,H:H,'סיווג התפקידים והעלויות'!$D$2)</f>
        <v>0</v>
      </c>
      <c r="AD2307" s="374" t="str">
        <f>IF(OR(AND(H2307='סיווג התפקידים והעלויות'!$A$2,I2307='סיווג התפקידים והעלויות'!$A$3),'עלויות כח אדם (6)'!H2307='סיווג התפקידים והעלויות'!$C$2,'עלויות כח אדם (6)'!H2307='סיווג התפקידים והעלויות'!$D$2),IF('עלויות כח אדם (6)'!J2307&lt;75,"לא תקין","תקין"),"")</f>
        <v/>
      </c>
      <c r="AE2307" s="374" t="str">
        <f t="shared" si="539"/>
        <v/>
      </c>
      <c r="AF2307" s="532" t="str">
        <f t="shared" si="540"/>
        <v/>
      </c>
    </row>
    <row r="2308" spans="2:32" x14ac:dyDescent="0.25">
      <c r="B2308" s="695"/>
      <c r="C2308" s="197" t="str">
        <f>IF(B2308&lt;&gt;"",IFERROR(VLOOKUP(B:B,'מצבת והרשמה (2)'!$C$20:$N$520,2,0)," ")," ")</f>
        <v xml:space="preserve"> </v>
      </c>
      <c r="D2308" s="695"/>
      <c r="E2308" s="696"/>
      <c r="F2308" s="696"/>
      <c r="G2308" s="696"/>
      <c r="H2308" s="696"/>
      <c r="I2308" s="1050" t="str">
        <f t="shared" si="527"/>
        <v/>
      </c>
      <c r="J2308" s="696"/>
      <c r="K2308" s="697"/>
      <c r="L2308" s="696"/>
      <c r="M2308" s="198" t="str">
        <f t="shared" si="528"/>
        <v/>
      </c>
      <c r="N2308" s="369" t="str">
        <f t="shared" si="529"/>
        <v/>
      </c>
      <c r="O2308" s="183" t="str">
        <f t="shared" si="530"/>
        <v/>
      </c>
      <c r="P2308" s="199" t="str">
        <f t="shared" si="531"/>
        <v/>
      </c>
      <c r="Q2308" s="199" t="str">
        <f>IF(B2308="","",IFERROR(IF('עלויות כח אדם (6)'!J2308&gt;=VLOOKUP(I2308,'סיווג התפקידים והעלויות'!$B$23:$C$32,2,0),"תקין","לא תקין"),""))</f>
        <v/>
      </c>
      <c r="R2308" s="199" t="str">
        <f t="shared" si="532"/>
        <v/>
      </c>
      <c r="S2308" s="199" t="str">
        <f t="shared" si="533"/>
        <v/>
      </c>
      <c r="T2308" s="199" t="str">
        <f t="shared" si="541"/>
        <v/>
      </c>
      <c r="U2308" s="199" t="str">
        <f t="shared" si="534"/>
        <v/>
      </c>
      <c r="V2308" s="989"/>
      <c r="X2308" s="374" t="str">
        <f t="shared" si="535"/>
        <v/>
      </c>
      <c r="Y2308" s="375" t="str">
        <f t="shared" si="536"/>
        <v/>
      </c>
      <c r="Z2308" s="374" t="str">
        <f t="shared" si="537"/>
        <v/>
      </c>
      <c r="AA2308" s="374" t="b">
        <f t="shared" si="538"/>
        <v>1</v>
      </c>
      <c r="AB2308" s="374">
        <f>COUNTIFS(B:B,B2308,H:H,'סיווג התפקידים והעלויות'!$C$2)</f>
        <v>0</v>
      </c>
      <c r="AC2308" s="374">
        <f>COUNTIFS(B:B,B2308,H:H,'סיווג התפקידים והעלויות'!$D$2)</f>
        <v>0</v>
      </c>
      <c r="AD2308" s="374" t="str">
        <f>IF(OR(AND(H2308='סיווג התפקידים והעלויות'!$A$2,I2308='סיווג התפקידים והעלויות'!$A$3),'עלויות כח אדם (6)'!H2308='סיווג התפקידים והעלויות'!$C$2,'עלויות כח אדם (6)'!H2308='סיווג התפקידים והעלויות'!$D$2),IF('עלויות כח אדם (6)'!J2308&lt;75,"לא תקין","תקין"),"")</f>
        <v/>
      </c>
      <c r="AE2308" s="374" t="str">
        <f t="shared" si="539"/>
        <v/>
      </c>
      <c r="AF2308" s="532" t="str">
        <f t="shared" si="540"/>
        <v/>
      </c>
    </row>
    <row r="2309" spans="2:32" x14ac:dyDescent="0.25">
      <c r="B2309" s="695"/>
      <c r="C2309" s="197" t="str">
        <f>IF(B2309&lt;&gt;"",IFERROR(VLOOKUP(B:B,'מצבת והרשמה (2)'!$C$20:$N$520,2,0)," ")," ")</f>
        <v xml:space="preserve"> </v>
      </c>
      <c r="D2309" s="695"/>
      <c r="E2309" s="696"/>
      <c r="F2309" s="696"/>
      <c r="G2309" s="696"/>
      <c r="H2309" s="696"/>
      <c r="I2309" s="1050" t="str">
        <f t="shared" si="527"/>
        <v/>
      </c>
      <c r="J2309" s="696"/>
      <c r="K2309" s="697"/>
      <c r="L2309" s="696"/>
      <c r="M2309" s="198" t="str">
        <f t="shared" si="528"/>
        <v/>
      </c>
      <c r="N2309" s="369" t="str">
        <f t="shared" si="529"/>
        <v/>
      </c>
      <c r="O2309" s="183" t="str">
        <f t="shared" si="530"/>
        <v/>
      </c>
      <c r="P2309" s="199" t="str">
        <f t="shared" si="531"/>
        <v/>
      </c>
      <c r="Q2309" s="199" t="str">
        <f>IF(B2309="","",IFERROR(IF('עלויות כח אדם (6)'!J2309&gt;=VLOOKUP(I2309,'סיווג התפקידים והעלויות'!$B$23:$C$32,2,0),"תקין","לא תקין"),""))</f>
        <v/>
      </c>
      <c r="R2309" s="199" t="str">
        <f t="shared" si="532"/>
        <v/>
      </c>
      <c r="S2309" s="199" t="str">
        <f t="shared" si="533"/>
        <v/>
      </c>
      <c r="T2309" s="199" t="str">
        <f t="shared" si="541"/>
        <v/>
      </c>
      <c r="U2309" s="199" t="str">
        <f t="shared" si="534"/>
        <v/>
      </c>
      <c r="V2309" s="989"/>
      <c r="X2309" s="374" t="str">
        <f t="shared" si="535"/>
        <v/>
      </c>
      <c r="Y2309" s="375" t="str">
        <f t="shared" si="536"/>
        <v/>
      </c>
      <c r="Z2309" s="374" t="str">
        <f t="shared" si="537"/>
        <v/>
      </c>
      <c r="AA2309" s="374" t="b">
        <f t="shared" si="538"/>
        <v>1</v>
      </c>
      <c r="AB2309" s="374">
        <f>COUNTIFS(B:B,B2309,H:H,'סיווג התפקידים והעלויות'!$C$2)</f>
        <v>0</v>
      </c>
      <c r="AC2309" s="374">
        <f>COUNTIFS(B:B,B2309,H:H,'סיווג התפקידים והעלויות'!$D$2)</f>
        <v>0</v>
      </c>
      <c r="AD2309" s="374" t="str">
        <f>IF(OR(AND(H2309='סיווג התפקידים והעלויות'!$A$2,I2309='סיווג התפקידים והעלויות'!$A$3),'עלויות כח אדם (6)'!H2309='סיווג התפקידים והעלויות'!$C$2,'עלויות כח אדם (6)'!H2309='סיווג התפקידים והעלויות'!$D$2),IF('עלויות כח אדם (6)'!J2309&lt;75,"לא תקין","תקין"),"")</f>
        <v/>
      </c>
      <c r="AE2309" s="374" t="str">
        <f t="shared" si="539"/>
        <v/>
      </c>
      <c r="AF2309" s="532" t="str">
        <f t="shared" si="540"/>
        <v/>
      </c>
    </row>
    <row r="2310" spans="2:32" x14ac:dyDescent="0.25">
      <c r="B2310" s="695"/>
      <c r="C2310" s="197" t="str">
        <f>IF(B2310&lt;&gt;"",IFERROR(VLOOKUP(B:B,'מצבת והרשמה (2)'!$C$20:$N$520,2,0)," ")," ")</f>
        <v xml:space="preserve"> </v>
      </c>
      <c r="D2310" s="695"/>
      <c r="E2310" s="696"/>
      <c r="F2310" s="696"/>
      <c r="G2310" s="696"/>
      <c r="H2310" s="696"/>
      <c r="I2310" s="1050" t="str">
        <f t="shared" si="527"/>
        <v/>
      </c>
      <c r="J2310" s="696"/>
      <c r="K2310" s="697"/>
      <c r="L2310" s="696"/>
      <c r="M2310" s="198" t="str">
        <f t="shared" si="528"/>
        <v/>
      </c>
      <c r="N2310" s="369" t="str">
        <f t="shared" si="529"/>
        <v/>
      </c>
      <c r="O2310" s="183" t="str">
        <f t="shared" si="530"/>
        <v/>
      </c>
      <c r="P2310" s="199" t="str">
        <f t="shared" si="531"/>
        <v/>
      </c>
      <c r="Q2310" s="199" t="str">
        <f>IF(B2310="","",IFERROR(IF('עלויות כח אדם (6)'!J2310&gt;=VLOOKUP(I2310,'סיווג התפקידים והעלויות'!$B$23:$C$32,2,0),"תקין","לא תקין"),""))</f>
        <v/>
      </c>
      <c r="R2310" s="199" t="str">
        <f t="shared" si="532"/>
        <v/>
      </c>
      <c r="S2310" s="199" t="str">
        <f t="shared" si="533"/>
        <v/>
      </c>
      <c r="T2310" s="199" t="str">
        <f t="shared" si="541"/>
        <v/>
      </c>
      <c r="U2310" s="199" t="str">
        <f t="shared" si="534"/>
        <v/>
      </c>
      <c r="V2310" s="989"/>
      <c r="X2310" s="374" t="str">
        <f t="shared" si="535"/>
        <v/>
      </c>
      <c r="Y2310" s="375" t="str">
        <f t="shared" si="536"/>
        <v/>
      </c>
      <c r="Z2310" s="374" t="str">
        <f t="shared" si="537"/>
        <v/>
      </c>
      <c r="AA2310" s="374" t="b">
        <f t="shared" si="538"/>
        <v>1</v>
      </c>
      <c r="AB2310" s="374">
        <f>COUNTIFS(B:B,B2310,H:H,'סיווג התפקידים והעלויות'!$C$2)</f>
        <v>0</v>
      </c>
      <c r="AC2310" s="374">
        <f>COUNTIFS(B:B,B2310,H:H,'סיווג התפקידים והעלויות'!$D$2)</f>
        <v>0</v>
      </c>
      <c r="AD2310" s="374" t="str">
        <f>IF(OR(AND(H2310='סיווג התפקידים והעלויות'!$A$2,I2310='סיווג התפקידים והעלויות'!$A$3),'עלויות כח אדם (6)'!H2310='סיווג התפקידים והעלויות'!$C$2,'עלויות כח אדם (6)'!H2310='סיווג התפקידים והעלויות'!$D$2),IF('עלויות כח אדם (6)'!J2310&lt;75,"לא תקין","תקין"),"")</f>
        <v/>
      </c>
      <c r="AE2310" s="374" t="str">
        <f t="shared" si="539"/>
        <v/>
      </c>
      <c r="AF2310" s="532" t="str">
        <f t="shared" si="540"/>
        <v/>
      </c>
    </row>
    <row r="2311" spans="2:32" x14ac:dyDescent="0.25">
      <c r="B2311" s="695"/>
      <c r="C2311" s="197" t="str">
        <f>IF(B2311&lt;&gt;"",IFERROR(VLOOKUP(B:B,'מצבת והרשמה (2)'!$C$20:$N$520,2,0)," ")," ")</f>
        <v xml:space="preserve"> </v>
      </c>
      <c r="D2311" s="695"/>
      <c r="E2311" s="696"/>
      <c r="F2311" s="696"/>
      <c r="G2311" s="696"/>
      <c r="H2311" s="696"/>
      <c r="I2311" s="1050" t="str">
        <f t="shared" si="527"/>
        <v/>
      </c>
      <c r="J2311" s="696"/>
      <c r="K2311" s="697"/>
      <c r="L2311" s="696"/>
      <c r="M2311" s="198" t="str">
        <f t="shared" si="528"/>
        <v/>
      </c>
      <c r="N2311" s="369" t="str">
        <f t="shared" si="529"/>
        <v/>
      </c>
      <c r="O2311" s="183" t="str">
        <f t="shared" si="530"/>
        <v/>
      </c>
      <c r="P2311" s="199" t="str">
        <f t="shared" si="531"/>
        <v/>
      </c>
      <c r="Q2311" s="199" t="str">
        <f>IF(B2311="","",IFERROR(IF('עלויות כח אדם (6)'!J2311&gt;=VLOOKUP(I2311,'סיווג התפקידים והעלויות'!$B$23:$C$32,2,0),"תקין","לא תקין"),""))</f>
        <v/>
      </c>
      <c r="R2311" s="199" t="str">
        <f t="shared" si="532"/>
        <v/>
      </c>
      <c r="S2311" s="199" t="str">
        <f t="shared" si="533"/>
        <v/>
      </c>
      <c r="T2311" s="199" t="str">
        <f t="shared" si="541"/>
        <v/>
      </c>
      <c r="U2311" s="199" t="str">
        <f t="shared" si="534"/>
        <v/>
      </c>
      <c r="V2311" s="989"/>
      <c r="X2311" s="374" t="str">
        <f t="shared" si="535"/>
        <v/>
      </c>
      <c r="Y2311" s="375" t="str">
        <f t="shared" si="536"/>
        <v/>
      </c>
      <c r="Z2311" s="374" t="str">
        <f t="shared" si="537"/>
        <v/>
      </c>
      <c r="AA2311" s="374" t="b">
        <f t="shared" si="538"/>
        <v>1</v>
      </c>
      <c r="AB2311" s="374">
        <f>COUNTIFS(B:B,B2311,H:H,'סיווג התפקידים והעלויות'!$C$2)</f>
        <v>0</v>
      </c>
      <c r="AC2311" s="374">
        <f>COUNTIFS(B:B,B2311,H:H,'סיווג התפקידים והעלויות'!$D$2)</f>
        <v>0</v>
      </c>
      <c r="AD2311" s="374" t="str">
        <f>IF(OR(AND(H2311='סיווג התפקידים והעלויות'!$A$2,I2311='סיווג התפקידים והעלויות'!$A$3),'עלויות כח אדם (6)'!H2311='סיווג התפקידים והעלויות'!$C$2,'עלויות כח אדם (6)'!H2311='סיווג התפקידים והעלויות'!$D$2),IF('עלויות כח אדם (6)'!J2311&lt;75,"לא תקין","תקין"),"")</f>
        <v/>
      </c>
      <c r="AE2311" s="374" t="str">
        <f t="shared" si="539"/>
        <v/>
      </c>
      <c r="AF2311" s="532" t="str">
        <f t="shared" si="540"/>
        <v/>
      </c>
    </row>
    <row r="2312" spans="2:32" x14ac:dyDescent="0.25">
      <c r="B2312" s="695"/>
      <c r="C2312" s="197" t="str">
        <f>IF(B2312&lt;&gt;"",IFERROR(VLOOKUP(B:B,'מצבת והרשמה (2)'!$C$20:$N$520,2,0)," ")," ")</f>
        <v xml:space="preserve"> </v>
      </c>
      <c r="D2312" s="695"/>
      <c r="E2312" s="696"/>
      <c r="F2312" s="696"/>
      <c r="G2312" s="696"/>
      <c r="H2312" s="696"/>
      <c r="I2312" s="1050" t="str">
        <f t="shared" si="527"/>
        <v/>
      </c>
      <c r="J2312" s="696"/>
      <c r="K2312" s="697"/>
      <c r="L2312" s="696"/>
      <c r="M2312" s="198" t="str">
        <f t="shared" si="528"/>
        <v/>
      </c>
      <c r="N2312" s="369" t="str">
        <f t="shared" si="529"/>
        <v/>
      </c>
      <c r="O2312" s="183" t="str">
        <f t="shared" si="530"/>
        <v/>
      </c>
      <c r="P2312" s="199" t="str">
        <f t="shared" si="531"/>
        <v/>
      </c>
      <c r="Q2312" s="199" t="str">
        <f>IF(B2312="","",IFERROR(IF('עלויות כח אדם (6)'!J2312&gt;=VLOOKUP(I2312,'סיווג התפקידים והעלויות'!$B$23:$C$32,2,0),"תקין","לא תקין"),""))</f>
        <v/>
      </c>
      <c r="R2312" s="199" t="str">
        <f t="shared" si="532"/>
        <v/>
      </c>
      <c r="S2312" s="199" t="str">
        <f t="shared" si="533"/>
        <v/>
      </c>
      <c r="T2312" s="199" t="str">
        <f t="shared" si="541"/>
        <v/>
      </c>
      <c r="U2312" s="199" t="str">
        <f t="shared" si="534"/>
        <v/>
      </c>
      <c r="V2312" s="989"/>
      <c r="X2312" s="374" t="str">
        <f t="shared" si="535"/>
        <v/>
      </c>
      <c r="Y2312" s="375" t="str">
        <f t="shared" si="536"/>
        <v/>
      </c>
      <c r="Z2312" s="374" t="str">
        <f t="shared" si="537"/>
        <v/>
      </c>
      <c r="AA2312" s="374" t="b">
        <f t="shared" si="538"/>
        <v>1</v>
      </c>
      <c r="AB2312" s="374">
        <f>COUNTIFS(B:B,B2312,H:H,'סיווג התפקידים והעלויות'!$C$2)</f>
        <v>0</v>
      </c>
      <c r="AC2312" s="374">
        <f>COUNTIFS(B:B,B2312,H:H,'סיווג התפקידים והעלויות'!$D$2)</f>
        <v>0</v>
      </c>
      <c r="AD2312" s="374" t="str">
        <f>IF(OR(AND(H2312='סיווג התפקידים והעלויות'!$A$2,I2312='סיווג התפקידים והעלויות'!$A$3),'עלויות כח אדם (6)'!H2312='סיווג התפקידים והעלויות'!$C$2,'עלויות כח אדם (6)'!H2312='סיווג התפקידים והעלויות'!$D$2),IF('עלויות כח אדם (6)'!J2312&lt;75,"לא תקין","תקין"),"")</f>
        <v/>
      </c>
      <c r="AE2312" s="374" t="str">
        <f t="shared" si="539"/>
        <v/>
      </c>
      <c r="AF2312" s="532" t="str">
        <f t="shared" si="540"/>
        <v/>
      </c>
    </row>
    <row r="2313" spans="2:32" x14ac:dyDescent="0.25">
      <c r="B2313" s="695"/>
      <c r="C2313" s="197" t="str">
        <f>IF(B2313&lt;&gt;"",IFERROR(VLOOKUP(B:B,'מצבת והרשמה (2)'!$C$20:$N$520,2,0)," ")," ")</f>
        <v xml:space="preserve"> </v>
      </c>
      <c r="D2313" s="695"/>
      <c r="E2313" s="696"/>
      <c r="F2313" s="696"/>
      <c r="G2313" s="696"/>
      <c r="H2313" s="696"/>
      <c r="I2313" s="1050" t="str">
        <f t="shared" si="527"/>
        <v/>
      </c>
      <c r="J2313" s="696"/>
      <c r="K2313" s="697"/>
      <c r="L2313" s="696"/>
      <c r="M2313" s="198" t="str">
        <f t="shared" si="528"/>
        <v/>
      </c>
      <c r="N2313" s="369" t="str">
        <f t="shared" si="529"/>
        <v/>
      </c>
      <c r="O2313" s="183" t="str">
        <f t="shared" si="530"/>
        <v/>
      </c>
      <c r="P2313" s="199" t="str">
        <f t="shared" si="531"/>
        <v/>
      </c>
      <c r="Q2313" s="199" t="str">
        <f>IF(B2313="","",IFERROR(IF('עלויות כח אדם (6)'!J2313&gt;=VLOOKUP(I2313,'סיווג התפקידים והעלויות'!$B$23:$C$32,2,0),"תקין","לא תקין"),""))</f>
        <v/>
      </c>
      <c r="R2313" s="199" t="str">
        <f t="shared" si="532"/>
        <v/>
      </c>
      <c r="S2313" s="199" t="str">
        <f t="shared" si="533"/>
        <v/>
      </c>
      <c r="T2313" s="199" t="str">
        <f t="shared" si="541"/>
        <v/>
      </c>
      <c r="U2313" s="199" t="str">
        <f t="shared" si="534"/>
        <v/>
      </c>
      <c r="V2313" s="989"/>
      <c r="X2313" s="374" t="str">
        <f t="shared" si="535"/>
        <v/>
      </c>
      <c r="Y2313" s="375" t="str">
        <f t="shared" si="536"/>
        <v/>
      </c>
      <c r="Z2313" s="374" t="str">
        <f t="shared" si="537"/>
        <v/>
      </c>
      <c r="AA2313" s="374" t="b">
        <f t="shared" si="538"/>
        <v>1</v>
      </c>
      <c r="AB2313" s="374">
        <f>COUNTIFS(B:B,B2313,H:H,'סיווג התפקידים והעלויות'!$C$2)</f>
        <v>0</v>
      </c>
      <c r="AC2313" s="374">
        <f>COUNTIFS(B:B,B2313,H:H,'סיווג התפקידים והעלויות'!$D$2)</f>
        <v>0</v>
      </c>
      <c r="AD2313" s="374" t="str">
        <f>IF(OR(AND(H2313='סיווג התפקידים והעלויות'!$A$2,I2313='סיווג התפקידים והעלויות'!$A$3),'עלויות כח אדם (6)'!H2313='סיווג התפקידים והעלויות'!$C$2,'עלויות כח אדם (6)'!H2313='סיווג התפקידים והעלויות'!$D$2),IF('עלויות כח אדם (6)'!J2313&lt;75,"לא תקין","תקין"),"")</f>
        <v/>
      </c>
      <c r="AE2313" s="374" t="str">
        <f t="shared" si="539"/>
        <v/>
      </c>
      <c r="AF2313" s="532" t="str">
        <f t="shared" si="540"/>
        <v/>
      </c>
    </row>
    <row r="2314" spans="2:32" x14ac:dyDescent="0.25">
      <c r="B2314" s="695"/>
      <c r="C2314" s="197" t="str">
        <f>IF(B2314&lt;&gt;"",IFERROR(VLOOKUP(B:B,'מצבת והרשמה (2)'!$C$20:$N$520,2,0)," ")," ")</f>
        <v xml:space="preserve"> </v>
      </c>
      <c r="D2314" s="695"/>
      <c r="E2314" s="696"/>
      <c r="F2314" s="696"/>
      <c r="G2314" s="696"/>
      <c r="H2314" s="696"/>
      <c r="I2314" s="1050" t="str">
        <f t="shared" si="527"/>
        <v/>
      </c>
      <c r="J2314" s="696"/>
      <c r="K2314" s="697"/>
      <c r="L2314" s="696"/>
      <c r="M2314" s="198" t="str">
        <f t="shared" si="528"/>
        <v/>
      </c>
      <c r="N2314" s="369" t="str">
        <f t="shared" si="529"/>
        <v/>
      </c>
      <c r="O2314" s="183" t="str">
        <f t="shared" si="530"/>
        <v/>
      </c>
      <c r="P2314" s="199" t="str">
        <f t="shared" si="531"/>
        <v/>
      </c>
      <c r="Q2314" s="199" t="str">
        <f>IF(B2314="","",IFERROR(IF('עלויות כח אדם (6)'!J2314&gt;=VLOOKUP(I2314,'סיווג התפקידים והעלויות'!$B$23:$C$32,2,0),"תקין","לא תקין"),""))</f>
        <v/>
      </c>
      <c r="R2314" s="199" t="str">
        <f t="shared" si="532"/>
        <v/>
      </c>
      <c r="S2314" s="199" t="str">
        <f t="shared" si="533"/>
        <v/>
      </c>
      <c r="T2314" s="199" t="str">
        <f t="shared" si="541"/>
        <v/>
      </c>
      <c r="U2314" s="199" t="str">
        <f t="shared" si="534"/>
        <v/>
      </c>
      <c r="V2314" s="989"/>
      <c r="X2314" s="374" t="str">
        <f t="shared" si="535"/>
        <v/>
      </c>
      <c r="Y2314" s="375" t="str">
        <f t="shared" si="536"/>
        <v/>
      </c>
      <c r="Z2314" s="374" t="str">
        <f t="shared" si="537"/>
        <v/>
      </c>
      <c r="AA2314" s="374" t="b">
        <f t="shared" si="538"/>
        <v>1</v>
      </c>
      <c r="AB2314" s="374">
        <f>COUNTIFS(B:B,B2314,H:H,'סיווג התפקידים והעלויות'!$C$2)</f>
        <v>0</v>
      </c>
      <c r="AC2314" s="374">
        <f>COUNTIFS(B:B,B2314,H:H,'סיווג התפקידים והעלויות'!$D$2)</f>
        <v>0</v>
      </c>
      <c r="AD2314" s="374" t="str">
        <f>IF(OR(AND(H2314='סיווג התפקידים והעלויות'!$A$2,I2314='סיווג התפקידים והעלויות'!$A$3),'עלויות כח אדם (6)'!H2314='סיווג התפקידים והעלויות'!$C$2,'עלויות כח אדם (6)'!H2314='סיווג התפקידים והעלויות'!$D$2),IF('עלויות כח אדם (6)'!J2314&lt;75,"לא תקין","תקין"),"")</f>
        <v/>
      </c>
      <c r="AE2314" s="374" t="str">
        <f t="shared" si="539"/>
        <v/>
      </c>
      <c r="AF2314" s="532" t="str">
        <f t="shared" si="540"/>
        <v/>
      </c>
    </row>
    <row r="2315" spans="2:32" x14ac:dyDescent="0.25">
      <c r="B2315" s="695"/>
      <c r="C2315" s="197" t="str">
        <f>IF(B2315&lt;&gt;"",IFERROR(VLOOKUP(B:B,'מצבת והרשמה (2)'!$C$20:$N$520,2,0)," ")," ")</f>
        <v xml:space="preserve"> </v>
      </c>
      <c r="D2315" s="695"/>
      <c r="E2315" s="696"/>
      <c r="F2315" s="696"/>
      <c r="G2315" s="696"/>
      <c r="H2315" s="696"/>
      <c r="I2315" s="1050" t="str">
        <f t="shared" si="527"/>
        <v/>
      </c>
      <c r="J2315" s="696"/>
      <c r="K2315" s="697"/>
      <c r="L2315" s="696"/>
      <c r="M2315" s="198" t="str">
        <f t="shared" si="528"/>
        <v/>
      </c>
      <c r="N2315" s="369" t="str">
        <f t="shared" si="529"/>
        <v/>
      </c>
      <c r="O2315" s="183" t="str">
        <f t="shared" si="530"/>
        <v/>
      </c>
      <c r="P2315" s="199" t="str">
        <f t="shared" si="531"/>
        <v/>
      </c>
      <c r="Q2315" s="199" t="str">
        <f>IF(B2315="","",IFERROR(IF('עלויות כח אדם (6)'!J2315&gt;=VLOOKUP(I2315,'סיווג התפקידים והעלויות'!$B$23:$C$32,2,0),"תקין","לא תקין"),""))</f>
        <v/>
      </c>
      <c r="R2315" s="199" t="str">
        <f t="shared" si="532"/>
        <v/>
      </c>
      <c r="S2315" s="199" t="str">
        <f t="shared" si="533"/>
        <v/>
      </c>
      <c r="T2315" s="199" t="str">
        <f t="shared" si="541"/>
        <v/>
      </c>
      <c r="U2315" s="199" t="str">
        <f t="shared" si="534"/>
        <v/>
      </c>
      <c r="V2315" s="989"/>
      <c r="X2315" s="374" t="str">
        <f t="shared" si="535"/>
        <v/>
      </c>
      <c r="Y2315" s="375" t="str">
        <f t="shared" si="536"/>
        <v/>
      </c>
      <c r="Z2315" s="374" t="str">
        <f t="shared" si="537"/>
        <v/>
      </c>
      <c r="AA2315" s="374" t="b">
        <f t="shared" si="538"/>
        <v>1</v>
      </c>
      <c r="AB2315" s="374">
        <f>COUNTIFS(B:B,B2315,H:H,'סיווג התפקידים והעלויות'!$C$2)</f>
        <v>0</v>
      </c>
      <c r="AC2315" s="374">
        <f>COUNTIFS(B:B,B2315,H:H,'סיווג התפקידים והעלויות'!$D$2)</f>
        <v>0</v>
      </c>
      <c r="AD2315" s="374" t="str">
        <f>IF(OR(AND(H2315='סיווג התפקידים והעלויות'!$A$2,I2315='סיווג התפקידים והעלויות'!$A$3),'עלויות כח אדם (6)'!H2315='סיווג התפקידים והעלויות'!$C$2,'עלויות כח אדם (6)'!H2315='סיווג התפקידים והעלויות'!$D$2),IF('עלויות כח אדם (6)'!J2315&lt;75,"לא תקין","תקין"),"")</f>
        <v/>
      </c>
      <c r="AE2315" s="374" t="str">
        <f t="shared" si="539"/>
        <v/>
      </c>
      <c r="AF2315" s="532" t="str">
        <f t="shared" si="540"/>
        <v/>
      </c>
    </row>
    <row r="2316" spans="2:32" x14ac:dyDescent="0.25">
      <c r="B2316" s="695"/>
      <c r="C2316" s="197" t="str">
        <f>IF(B2316&lt;&gt;"",IFERROR(VLOOKUP(B:B,'מצבת והרשמה (2)'!$C$20:$N$520,2,0)," ")," ")</f>
        <v xml:space="preserve"> </v>
      </c>
      <c r="D2316" s="695"/>
      <c r="E2316" s="696"/>
      <c r="F2316" s="696"/>
      <c r="G2316" s="696"/>
      <c r="H2316" s="696"/>
      <c r="I2316" s="1050" t="str">
        <f t="shared" si="527"/>
        <v/>
      </c>
      <c r="J2316" s="696"/>
      <c r="K2316" s="697"/>
      <c r="L2316" s="696"/>
      <c r="M2316" s="198" t="str">
        <f t="shared" si="528"/>
        <v/>
      </c>
      <c r="N2316" s="369" t="str">
        <f t="shared" si="529"/>
        <v/>
      </c>
      <c r="O2316" s="183" t="str">
        <f t="shared" si="530"/>
        <v/>
      </c>
      <c r="P2316" s="199" t="str">
        <f t="shared" si="531"/>
        <v/>
      </c>
      <c r="Q2316" s="199" t="str">
        <f>IF(B2316="","",IFERROR(IF('עלויות כח אדם (6)'!J2316&gt;=VLOOKUP(I2316,'סיווג התפקידים והעלויות'!$B$23:$C$32,2,0),"תקין","לא תקין"),""))</f>
        <v/>
      </c>
      <c r="R2316" s="199" t="str">
        <f t="shared" si="532"/>
        <v/>
      </c>
      <c r="S2316" s="199" t="str">
        <f t="shared" si="533"/>
        <v/>
      </c>
      <c r="T2316" s="199" t="str">
        <f t="shared" si="541"/>
        <v/>
      </c>
      <c r="U2316" s="199" t="str">
        <f t="shared" si="534"/>
        <v/>
      </c>
      <c r="V2316" s="989"/>
      <c r="X2316" s="374" t="str">
        <f t="shared" si="535"/>
        <v/>
      </c>
      <c r="Y2316" s="375" t="str">
        <f t="shared" si="536"/>
        <v/>
      </c>
      <c r="Z2316" s="374" t="str">
        <f t="shared" si="537"/>
        <v/>
      </c>
      <c r="AA2316" s="374" t="b">
        <f t="shared" si="538"/>
        <v>1</v>
      </c>
      <c r="AB2316" s="374">
        <f>COUNTIFS(B:B,B2316,H:H,'סיווג התפקידים והעלויות'!$C$2)</f>
        <v>0</v>
      </c>
      <c r="AC2316" s="374">
        <f>COUNTIFS(B:B,B2316,H:H,'סיווג התפקידים והעלויות'!$D$2)</f>
        <v>0</v>
      </c>
      <c r="AD2316" s="374" t="str">
        <f>IF(OR(AND(H2316='סיווג התפקידים והעלויות'!$A$2,I2316='סיווג התפקידים והעלויות'!$A$3),'עלויות כח אדם (6)'!H2316='סיווג התפקידים והעלויות'!$C$2,'עלויות כח אדם (6)'!H2316='סיווג התפקידים והעלויות'!$D$2),IF('עלויות כח אדם (6)'!J2316&lt;75,"לא תקין","תקין"),"")</f>
        <v/>
      </c>
      <c r="AE2316" s="374" t="str">
        <f t="shared" si="539"/>
        <v/>
      </c>
      <c r="AF2316" s="532" t="str">
        <f t="shared" si="540"/>
        <v/>
      </c>
    </row>
    <row r="2317" spans="2:32" x14ac:dyDescent="0.25">
      <c r="B2317" s="695"/>
      <c r="C2317" s="197" t="str">
        <f>IF(B2317&lt;&gt;"",IFERROR(VLOOKUP(B:B,'מצבת והרשמה (2)'!$C$20:$N$520,2,0)," ")," ")</f>
        <v xml:space="preserve"> </v>
      </c>
      <c r="D2317" s="695"/>
      <c r="E2317" s="696"/>
      <c r="F2317" s="696"/>
      <c r="G2317" s="696"/>
      <c r="H2317" s="696"/>
      <c r="I2317" s="1050" t="str">
        <f t="shared" si="527"/>
        <v/>
      </c>
      <c r="J2317" s="696"/>
      <c r="K2317" s="697"/>
      <c r="L2317" s="696"/>
      <c r="M2317" s="198" t="str">
        <f t="shared" si="528"/>
        <v/>
      </c>
      <c r="N2317" s="369" t="str">
        <f t="shared" si="529"/>
        <v/>
      </c>
      <c r="O2317" s="183" t="str">
        <f t="shared" si="530"/>
        <v/>
      </c>
      <c r="P2317" s="199" t="str">
        <f t="shared" si="531"/>
        <v/>
      </c>
      <c r="Q2317" s="199" t="str">
        <f>IF(B2317="","",IFERROR(IF('עלויות כח אדם (6)'!J2317&gt;=VLOOKUP(I2317,'סיווג התפקידים והעלויות'!$B$23:$C$32,2,0),"תקין","לא תקין"),""))</f>
        <v/>
      </c>
      <c r="R2317" s="199" t="str">
        <f t="shared" si="532"/>
        <v/>
      </c>
      <c r="S2317" s="199" t="str">
        <f t="shared" si="533"/>
        <v/>
      </c>
      <c r="T2317" s="199" t="str">
        <f t="shared" si="541"/>
        <v/>
      </c>
      <c r="U2317" s="199" t="str">
        <f t="shared" si="534"/>
        <v/>
      </c>
      <c r="V2317" s="989"/>
      <c r="X2317" s="374" t="str">
        <f t="shared" si="535"/>
        <v/>
      </c>
      <c r="Y2317" s="375" t="str">
        <f t="shared" si="536"/>
        <v/>
      </c>
      <c r="Z2317" s="374" t="str">
        <f t="shared" si="537"/>
        <v/>
      </c>
      <c r="AA2317" s="374" t="b">
        <f t="shared" si="538"/>
        <v>1</v>
      </c>
      <c r="AB2317" s="374">
        <f>COUNTIFS(B:B,B2317,H:H,'סיווג התפקידים והעלויות'!$C$2)</f>
        <v>0</v>
      </c>
      <c r="AC2317" s="374">
        <f>COUNTIFS(B:B,B2317,H:H,'סיווג התפקידים והעלויות'!$D$2)</f>
        <v>0</v>
      </c>
      <c r="AD2317" s="374" t="str">
        <f>IF(OR(AND(H2317='סיווג התפקידים והעלויות'!$A$2,I2317='סיווג התפקידים והעלויות'!$A$3),'עלויות כח אדם (6)'!H2317='סיווג התפקידים והעלויות'!$C$2,'עלויות כח אדם (6)'!H2317='סיווג התפקידים והעלויות'!$D$2),IF('עלויות כח אדם (6)'!J2317&lt;75,"לא תקין","תקין"),"")</f>
        <v/>
      </c>
      <c r="AE2317" s="374" t="str">
        <f t="shared" si="539"/>
        <v/>
      </c>
      <c r="AF2317" s="532" t="str">
        <f t="shared" si="540"/>
        <v/>
      </c>
    </row>
    <row r="2318" spans="2:32" x14ac:dyDescent="0.25">
      <c r="B2318" s="695"/>
      <c r="C2318" s="197" t="str">
        <f>IF(B2318&lt;&gt;"",IFERROR(VLOOKUP(B:B,'מצבת והרשמה (2)'!$C$20:$N$520,2,0)," ")," ")</f>
        <v xml:space="preserve"> </v>
      </c>
      <c r="D2318" s="695"/>
      <c r="E2318" s="696"/>
      <c r="F2318" s="696"/>
      <c r="G2318" s="696"/>
      <c r="H2318" s="696"/>
      <c r="I2318" s="1050" t="str">
        <f t="shared" si="527"/>
        <v/>
      </c>
      <c r="J2318" s="696"/>
      <c r="K2318" s="697"/>
      <c r="L2318" s="696"/>
      <c r="M2318" s="198" t="str">
        <f t="shared" si="528"/>
        <v/>
      </c>
      <c r="N2318" s="369" t="str">
        <f t="shared" si="529"/>
        <v/>
      </c>
      <c r="O2318" s="183" t="str">
        <f t="shared" si="530"/>
        <v/>
      </c>
      <c r="P2318" s="199" t="str">
        <f t="shared" si="531"/>
        <v/>
      </c>
      <c r="Q2318" s="199" t="str">
        <f>IF(B2318="","",IFERROR(IF('עלויות כח אדם (6)'!J2318&gt;=VLOOKUP(I2318,'סיווג התפקידים והעלויות'!$B$23:$C$32,2,0),"תקין","לא תקין"),""))</f>
        <v/>
      </c>
      <c r="R2318" s="199" t="str">
        <f t="shared" si="532"/>
        <v/>
      </c>
      <c r="S2318" s="199" t="str">
        <f t="shared" si="533"/>
        <v/>
      </c>
      <c r="T2318" s="199" t="str">
        <f t="shared" si="541"/>
        <v/>
      </c>
      <c r="U2318" s="199" t="str">
        <f t="shared" si="534"/>
        <v/>
      </c>
      <c r="V2318" s="989"/>
      <c r="X2318" s="374" t="str">
        <f t="shared" si="535"/>
        <v/>
      </c>
      <c r="Y2318" s="375" t="str">
        <f t="shared" si="536"/>
        <v/>
      </c>
      <c r="Z2318" s="374" t="str">
        <f t="shared" si="537"/>
        <v/>
      </c>
      <c r="AA2318" s="374" t="b">
        <f t="shared" si="538"/>
        <v>1</v>
      </c>
      <c r="AB2318" s="374">
        <f>COUNTIFS(B:B,B2318,H:H,'סיווג התפקידים והעלויות'!$C$2)</f>
        <v>0</v>
      </c>
      <c r="AC2318" s="374">
        <f>COUNTIFS(B:B,B2318,H:H,'סיווג התפקידים והעלויות'!$D$2)</f>
        <v>0</v>
      </c>
      <c r="AD2318" s="374" t="str">
        <f>IF(OR(AND(H2318='סיווג התפקידים והעלויות'!$A$2,I2318='סיווג התפקידים והעלויות'!$A$3),'עלויות כח אדם (6)'!H2318='סיווג התפקידים והעלויות'!$C$2,'עלויות כח אדם (6)'!H2318='סיווג התפקידים והעלויות'!$D$2),IF('עלויות כח אדם (6)'!J2318&lt;75,"לא תקין","תקין"),"")</f>
        <v/>
      </c>
      <c r="AE2318" s="374" t="str">
        <f t="shared" si="539"/>
        <v/>
      </c>
      <c r="AF2318" s="532" t="str">
        <f t="shared" si="540"/>
        <v/>
      </c>
    </row>
    <row r="2319" spans="2:32" x14ac:dyDescent="0.25">
      <c r="B2319" s="695"/>
      <c r="C2319" s="197" t="str">
        <f>IF(B2319&lt;&gt;"",IFERROR(VLOOKUP(B:B,'מצבת והרשמה (2)'!$C$20:$N$520,2,0)," ")," ")</f>
        <v xml:space="preserve"> </v>
      </c>
      <c r="D2319" s="695"/>
      <c r="E2319" s="696"/>
      <c r="F2319" s="696"/>
      <c r="G2319" s="696"/>
      <c r="H2319" s="696"/>
      <c r="I2319" s="1050" t="str">
        <f t="shared" ref="I2319:I2382" si="542">SUBSTITUTE(IFERROR(IF(H2319="מדצ","מדצ/ית",IF(H2319="סגנית רכזת מעל 150","סגנ/ית רכז/ת&gt;150",IF(H2319="רכזת תכנית בבית הספר","רכז/ת תכנית בבית הספר"))),""),"FALSE","")</f>
        <v/>
      </c>
      <c r="J2319" s="696"/>
      <c r="K2319" s="697"/>
      <c r="L2319" s="696"/>
      <c r="M2319" s="198" t="str">
        <f t="shared" ref="M2319:M2382" si="543">IF(AND(L2319&gt;0,K2319&gt;0),K2319*L2319,"")</f>
        <v/>
      </c>
      <c r="N2319" s="369" t="str">
        <f t="shared" ref="N2319:N2382" si="544">TEXT(LEFT(H2319,2),0)</f>
        <v/>
      </c>
      <c r="O2319" s="183" t="str">
        <f t="shared" ref="O2319:O2382" si="545">IF(ISNUMBER(M2319&gt;0),IF(ISBLANK(B2319),"יש להזין סמל מוסד בעמודה B",""),"")</f>
        <v/>
      </c>
      <c r="P2319" s="199" t="str">
        <f t="shared" ref="P2319:P2382" si="546">IF(B2319="","",IF(AA2319=FALSE,"לא תקין","תקין"))</f>
        <v/>
      </c>
      <c r="Q2319" s="199" t="str">
        <f>IF(B2319="","",IFERROR(IF('עלויות כח אדם (6)'!J2319&gt;=VLOOKUP(I2319,'סיווג התפקידים והעלויות'!$B$23:$C$32,2,0),"תקין","לא תקין"),""))</f>
        <v/>
      </c>
      <c r="R2319" s="199" t="str">
        <f t="shared" ref="R2319:R2382" si="547">IF(B2319="","",IF(OR(Y2319&lt;100%,Y2319&gt;140%),"לא תקין","תקין"))</f>
        <v/>
      </c>
      <c r="S2319" s="199" t="str">
        <f t="shared" ref="S2319:S2382" si="548">IF(B2319="","",IFERROR(IF(J2319&gt;120,"לא תקין","תקין"),""))</f>
        <v/>
      </c>
      <c r="T2319" s="199" t="str">
        <f t="shared" si="541"/>
        <v/>
      </c>
      <c r="U2319" s="199" t="str">
        <f t="shared" ref="U2319:U2382" si="549">IF(B2319="","",IF(Z2319&gt;1,IF(SUMIF(D:D,D2319,L:L)&gt;90,"לא תקין","תקין"),"תקין"))</f>
        <v/>
      </c>
      <c r="V2319" s="989"/>
      <c r="X2319" s="374" t="str">
        <f t="shared" ref="X2319:X2382" si="550">IF(B2319="","",IF(OR(R2319="לא תקין",S2319="לא תקין",T2319="לא תקין",,U2319="לא תקין"),"לא תקין","תקין"))</f>
        <v/>
      </c>
      <c r="Y2319" s="375" t="str">
        <f t="shared" ref="Y2319:Y2382" si="551">IFERROR(IF(B2319="","",K2319/J2319),"")</f>
        <v/>
      </c>
      <c r="Z2319" s="374" t="str">
        <f t="shared" ref="Z2319:Z2382" si="552">IF(B2319="","",COUNTIF(D:D,D2319))</f>
        <v/>
      </c>
      <c r="AA2319" s="374" t="b">
        <f t="shared" ref="AA2319:AA2382" si="553">MOD(MID(REPT(0,9-LEN(D2319))&amp;D2319,1,1)+MID("0246813579",MID(REPT(0,9-LEN(D2319))&amp;D2319,2,1)+1,1)+MID(REPT(0,9-LEN(D2319))&amp;D2319,3,1)+MID("0246813579",MID(REPT(0,9-LEN(D2319))&amp;D2319,4,1)+1,1)+MID(REPT(0,9-LEN(D2319))&amp;D2319,5,1)+MID("0246813579",MID(REPT(0,9-LEN(D2319))&amp;D2319,6,1)+1,1)+MID(REPT(0,9-LEN(D2319))&amp;D2319,7,1)+MID("0246813579",MID(REPT(0,9-LEN(D2319))&amp;D2319,8,1)+1,1)+MID(REPT(0,9-LEN(D2319))&amp;D2319,9,1),10)=0</f>
        <v>1</v>
      </c>
      <c r="AB2319" s="374">
        <f>COUNTIFS(B:B,B2319,H:H,'סיווג התפקידים והעלויות'!$C$2)</f>
        <v>0</v>
      </c>
      <c r="AC2319" s="374">
        <f>COUNTIFS(B:B,B2319,H:H,'סיווג התפקידים והעלויות'!$D$2)</f>
        <v>0</v>
      </c>
      <c r="AD2319" s="374" t="str">
        <f>IF(OR(AND(H2319='סיווג התפקידים והעלויות'!$A$2,I2319='סיווג התפקידים והעלויות'!$A$3),'עלויות כח אדם (6)'!H2319='סיווג התפקידים והעלויות'!$C$2,'עלויות כח אדם (6)'!H2319='סיווג התפקידים והעלויות'!$D$2),IF('עלויות כח אדם (6)'!J2319&lt;75,"לא תקין","תקין"),"")</f>
        <v/>
      </c>
      <c r="AE2319" s="374" t="str">
        <f t="shared" ref="AE2319:AE2382" si="554">IF(B2319&lt;&gt;"",B2319&amp;H2319,"")</f>
        <v/>
      </c>
      <c r="AF2319" s="532" t="str">
        <f t="shared" ref="AF2319:AF2382" si="555">M2319</f>
        <v/>
      </c>
    </row>
    <row r="2320" spans="2:32" x14ac:dyDescent="0.25">
      <c r="B2320" s="695"/>
      <c r="C2320" s="197" t="str">
        <f>IF(B2320&lt;&gt;"",IFERROR(VLOOKUP(B:B,'מצבת והרשמה (2)'!$C$20:$N$520,2,0)," ")," ")</f>
        <v xml:space="preserve"> </v>
      </c>
      <c r="D2320" s="695"/>
      <c r="E2320" s="696"/>
      <c r="F2320" s="696"/>
      <c r="G2320" s="696"/>
      <c r="H2320" s="696"/>
      <c r="I2320" s="1050" t="str">
        <f t="shared" si="542"/>
        <v/>
      </c>
      <c r="J2320" s="696"/>
      <c r="K2320" s="697"/>
      <c r="L2320" s="696"/>
      <c r="M2320" s="198" t="str">
        <f t="shared" si="543"/>
        <v/>
      </c>
      <c r="N2320" s="369" t="str">
        <f t="shared" si="544"/>
        <v/>
      </c>
      <c r="O2320" s="183" t="str">
        <f t="shared" si="545"/>
        <v/>
      </c>
      <c r="P2320" s="199" t="str">
        <f t="shared" si="546"/>
        <v/>
      </c>
      <c r="Q2320" s="199" t="str">
        <f>IF(B2320="","",IFERROR(IF('עלויות כח אדם (6)'!J2320&gt;=VLOOKUP(I2320,'סיווג התפקידים והעלויות'!$B$23:$C$32,2,0),"תקין","לא תקין"),""))</f>
        <v/>
      </c>
      <c r="R2320" s="199" t="str">
        <f t="shared" si="547"/>
        <v/>
      </c>
      <c r="S2320" s="199" t="str">
        <f t="shared" si="548"/>
        <v/>
      </c>
      <c r="T2320" s="199" t="str">
        <f t="shared" ref="T2320:T2383" si="556">IF(B2320="","",IF(H2320="","יש להזין איש צוות",IF(OR(H2320="מורה",H2320="גננת",H2320="רכז גן",H2320="רכזת גן",H2320="סייעת",H2320="מדצית",H2320="מדצ",H2320="מדריך",H2320="מדריכה",H2320="תוספת כח אדם"),IF(L2320&lt;=90,"תקין","לא תקין"),IF(OR(H2320="רכז בית ספר",H2320="רכזת תכנית בבית הספר",H2320="רכזת בית ספר"),IF(L2320&lt;=137,"תקין","לא תקין"),IF(OR(H2320="סגנית רכזת מעל 150",H2320="סגן רכז"),IF(L2320&lt;=93,"תקין","לא תקין"),"לא תקין")))))</f>
        <v/>
      </c>
      <c r="U2320" s="199" t="str">
        <f t="shared" si="549"/>
        <v/>
      </c>
      <c r="V2320" s="989"/>
      <c r="X2320" s="374" t="str">
        <f t="shared" si="550"/>
        <v/>
      </c>
      <c r="Y2320" s="375" t="str">
        <f t="shared" si="551"/>
        <v/>
      </c>
      <c r="Z2320" s="374" t="str">
        <f t="shared" si="552"/>
        <v/>
      </c>
      <c r="AA2320" s="374" t="b">
        <f t="shared" si="553"/>
        <v>1</v>
      </c>
      <c r="AB2320" s="374">
        <f>COUNTIFS(B:B,B2320,H:H,'סיווג התפקידים והעלויות'!$C$2)</f>
        <v>0</v>
      </c>
      <c r="AC2320" s="374">
        <f>COUNTIFS(B:B,B2320,H:H,'סיווג התפקידים והעלויות'!$D$2)</f>
        <v>0</v>
      </c>
      <c r="AD2320" s="374" t="str">
        <f>IF(OR(AND(H2320='סיווג התפקידים והעלויות'!$A$2,I2320='סיווג התפקידים והעלויות'!$A$3),'עלויות כח אדם (6)'!H2320='סיווג התפקידים והעלויות'!$C$2,'עלויות כח אדם (6)'!H2320='סיווג התפקידים והעלויות'!$D$2),IF('עלויות כח אדם (6)'!J2320&lt;75,"לא תקין","תקין"),"")</f>
        <v/>
      </c>
      <c r="AE2320" s="374" t="str">
        <f t="shared" si="554"/>
        <v/>
      </c>
      <c r="AF2320" s="532" t="str">
        <f t="shared" si="555"/>
        <v/>
      </c>
    </row>
    <row r="2321" spans="2:32" x14ac:dyDescent="0.25">
      <c r="B2321" s="695"/>
      <c r="C2321" s="197" t="str">
        <f>IF(B2321&lt;&gt;"",IFERROR(VLOOKUP(B:B,'מצבת והרשמה (2)'!$C$20:$N$520,2,0)," ")," ")</f>
        <v xml:space="preserve"> </v>
      </c>
      <c r="D2321" s="695"/>
      <c r="E2321" s="696"/>
      <c r="F2321" s="696"/>
      <c r="G2321" s="696"/>
      <c r="H2321" s="696"/>
      <c r="I2321" s="1050" t="str">
        <f t="shared" si="542"/>
        <v/>
      </c>
      <c r="J2321" s="696"/>
      <c r="K2321" s="697"/>
      <c r="L2321" s="696"/>
      <c r="M2321" s="198" t="str">
        <f t="shared" si="543"/>
        <v/>
      </c>
      <c r="N2321" s="369" t="str">
        <f t="shared" si="544"/>
        <v/>
      </c>
      <c r="O2321" s="183" t="str">
        <f t="shared" si="545"/>
        <v/>
      </c>
      <c r="P2321" s="199" t="str">
        <f t="shared" si="546"/>
        <v/>
      </c>
      <c r="Q2321" s="199" t="str">
        <f>IF(B2321="","",IFERROR(IF('עלויות כח אדם (6)'!J2321&gt;=VLOOKUP(I2321,'סיווג התפקידים והעלויות'!$B$23:$C$32,2,0),"תקין","לא תקין"),""))</f>
        <v/>
      </c>
      <c r="R2321" s="199" t="str">
        <f t="shared" si="547"/>
        <v/>
      </c>
      <c r="S2321" s="199" t="str">
        <f t="shared" si="548"/>
        <v/>
      </c>
      <c r="T2321" s="199" t="str">
        <f t="shared" si="556"/>
        <v/>
      </c>
      <c r="U2321" s="199" t="str">
        <f t="shared" si="549"/>
        <v/>
      </c>
      <c r="V2321" s="989"/>
      <c r="X2321" s="374" t="str">
        <f t="shared" si="550"/>
        <v/>
      </c>
      <c r="Y2321" s="375" t="str">
        <f t="shared" si="551"/>
        <v/>
      </c>
      <c r="Z2321" s="374" t="str">
        <f t="shared" si="552"/>
        <v/>
      </c>
      <c r="AA2321" s="374" t="b">
        <f t="shared" si="553"/>
        <v>1</v>
      </c>
      <c r="AB2321" s="374">
        <f>COUNTIFS(B:B,B2321,H:H,'סיווג התפקידים והעלויות'!$C$2)</f>
        <v>0</v>
      </c>
      <c r="AC2321" s="374">
        <f>COUNTIFS(B:B,B2321,H:H,'סיווג התפקידים והעלויות'!$D$2)</f>
        <v>0</v>
      </c>
      <c r="AD2321" s="374" t="str">
        <f>IF(OR(AND(H2321='סיווג התפקידים והעלויות'!$A$2,I2321='סיווג התפקידים והעלויות'!$A$3),'עלויות כח אדם (6)'!H2321='סיווג התפקידים והעלויות'!$C$2,'עלויות כח אדם (6)'!H2321='סיווג התפקידים והעלויות'!$D$2),IF('עלויות כח אדם (6)'!J2321&lt;75,"לא תקין","תקין"),"")</f>
        <v/>
      </c>
      <c r="AE2321" s="374" t="str">
        <f t="shared" si="554"/>
        <v/>
      </c>
      <c r="AF2321" s="532" t="str">
        <f t="shared" si="555"/>
        <v/>
      </c>
    </row>
    <row r="2322" spans="2:32" x14ac:dyDescent="0.25">
      <c r="B2322" s="695"/>
      <c r="C2322" s="197" t="str">
        <f>IF(B2322&lt;&gt;"",IFERROR(VLOOKUP(B:B,'מצבת והרשמה (2)'!$C$20:$N$520,2,0)," ")," ")</f>
        <v xml:space="preserve"> </v>
      </c>
      <c r="D2322" s="695"/>
      <c r="E2322" s="696"/>
      <c r="F2322" s="696"/>
      <c r="G2322" s="696"/>
      <c r="H2322" s="696"/>
      <c r="I2322" s="1050" t="str">
        <f t="shared" si="542"/>
        <v/>
      </c>
      <c r="J2322" s="696"/>
      <c r="K2322" s="697"/>
      <c r="L2322" s="696"/>
      <c r="M2322" s="198" t="str">
        <f t="shared" si="543"/>
        <v/>
      </c>
      <c r="N2322" s="369" t="str">
        <f t="shared" si="544"/>
        <v/>
      </c>
      <c r="O2322" s="183" t="str">
        <f t="shared" si="545"/>
        <v/>
      </c>
      <c r="P2322" s="199" t="str">
        <f t="shared" si="546"/>
        <v/>
      </c>
      <c r="Q2322" s="199" t="str">
        <f>IF(B2322="","",IFERROR(IF('עלויות כח אדם (6)'!J2322&gt;=VLOOKUP(I2322,'סיווג התפקידים והעלויות'!$B$23:$C$32,2,0),"תקין","לא תקין"),""))</f>
        <v/>
      </c>
      <c r="R2322" s="199" t="str">
        <f t="shared" si="547"/>
        <v/>
      </c>
      <c r="S2322" s="199" t="str">
        <f t="shared" si="548"/>
        <v/>
      </c>
      <c r="T2322" s="199" t="str">
        <f t="shared" si="556"/>
        <v/>
      </c>
      <c r="U2322" s="199" t="str">
        <f t="shared" si="549"/>
        <v/>
      </c>
      <c r="V2322" s="989"/>
      <c r="X2322" s="374" t="str">
        <f t="shared" si="550"/>
        <v/>
      </c>
      <c r="Y2322" s="375" t="str">
        <f t="shared" si="551"/>
        <v/>
      </c>
      <c r="Z2322" s="374" t="str">
        <f t="shared" si="552"/>
        <v/>
      </c>
      <c r="AA2322" s="374" t="b">
        <f t="shared" si="553"/>
        <v>1</v>
      </c>
      <c r="AB2322" s="374">
        <f>COUNTIFS(B:B,B2322,H:H,'סיווג התפקידים והעלויות'!$C$2)</f>
        <v>0</v>
      </c>
      <c r="AC2322" s="374">
        <f>COUNTIFS(B:B,B2322,H:H,'סיווג התפקידים והעלויות'!$D$2)</f>
        <v>0</v>
      </c>
      <c r="AD2322" s="374" t="str">
        <f>IF(OR(AND(H2322='סיווג התפקידים והעלויות'!$A$2,I2322='סיווג התפקידים והעלויות'!$A$3),'עלויות כח אדם (6)'!H2322='סיווג התפקידים והעלויות'!$C$2,'עלויות כח אדם (6)'!H2322='סיווג התפקידים והעלויות'!$D$2),IF('עלויות כח אדם (6)'!J2322&lt;75,"לא תקין","תקין"),"")</f>
        <v/>
      </c>
      <c r="AE2322" s="374" t="str">
        <f t="shared" si="554"/>
        <v/>
      </c>
      <c r="AF2322" s="532" t="str">
        <f t="shared" si="555"/>
        <v/>
      </c>
    </row>
    <row r="2323" spans="2:32" x14ac:dyDescent="0.25">
      <c r="B2323" s="695"/>
      <c r="C2323" s="197" t="str">
        <f>IF(B2323&lt;&gt;"",IFERROR(VLOOKUP(B:B,'מצבת והרשמה (2)'!$C$20:$N$520,2,0)," ")," ")</f>
        <v xml:space="preserve"> </v>
      </c>
      <c r="D2323" s="695"/>
      <c r="E2323" s="696"/>
      <c r="F2323" s="696"/>
      <c r="G2323" s="696"/>
      <c r="H2323" s="696"/>
      <c r="I2323" s="1050" t="str">
        <f t="shared" si="542"/>
        <v/>
      </c>
      <c r="J2323" s="696"/>
      <c r="K2323" s="697"/>
      <c r="L2323" s="696"/>
      <c r="M2323" s="198" t="str">
        <f t="shared" si="543"/>
        <v/>
      </c>
      <c r="N2323" s="369" t="str">
        <f t="shared" si="544"/>
        <v/>
      </c>
      <c r="O2323" s="183" t="str">
        <f t="shared" si="545"/>
        <v/>
      </c>
      <c r="P2323" s="199" t="str">
        <f t="shared" si="546"/>
        <v/>
      </c>
      <c r="Q2323" s="199" t="str">
        <f>IF(B2323="","",IFERROR(IF('עלויות כח אדם (6)'!J2323&gt;=VLOOKUP(I2323,'סיווג התפקידים והעלויות'!$B$23:$C$32,2,0),"תקין","לא תקין"),""))</f>
        <v/>
      </c>
      <c r="R2323" s="199" t="str">
        <f t="shared" si="547"/>
        <v/>
      </c>
      <c r="S2323" s="199" t="str">
        <f t="shared" si="548"/>
        <v/>
      </c>
      <c r="T2323" s="199" t="str">
        <f t="shared" si="556"/>
        <v/>
      </c>
      <c r="U2323" s="199" t="str">
        <f t="shared" si="549"/>
        <v/>
      </c>
      <c r="V2323" s="989"/>
      <c r="X2323" s="374" t="str">
        <f t="shared" si="550"/>
        <v/>
      </c>
      <c r="Y2323" s="375" t="str">
        <f t="shared" si="551"/>
        <v/>
      </c>
      <c r="Z2323" s="374" t="str">
        <f t="shared" si="552"/>
        <v/>
      </c>
      <c r="AA2323" s="374" t="b">
        <f t="shared" si="553"/>
        <v>1</v>
      </c>
      <c r="AB2323" s="374">
        <f>COUNTIFS(B:B,B2323,H:H,'סיווג התפקידים והעלויות'!$C$2)</f>
        <v>0</v>
      </c>
      <c r="AC2323" s="374">
        <f>COUNTIFS(B:B,B2323,H:H,'סיווג התפקידים והעלויות'!$D$2)</f>
        <v>0</v>
      </c>
      <c r="AD2323" s="374" t="str">
        <f>IF(OR(AND(H2323='סיווג התפקידים והעלויות'!$A$2,I2323='סיווג התפקידים והעלויות'!$A$3),'עלויות כח אדם (6)'!H2323='סיווג התפקידים והעלויות'!$C$2,'עלויות כח אדם (6)'!H2323='סיווג התפקידים והעלויות'!$D$2),IF('עלויות כח אדם (6)'!J2323&lt;75,"לא תקין","תקין"),"")</f>
        <v/>
      </c>
      <c r="AE2323" s="374" t="str">
        <f t="shared" si="554"/>
        <v/>
      </c>
      <c r="AF2323" s="532" t="str">
        <f t="shared" si="555"/>
        <v/>
      </c>
    </row>
    <row r="2324" spans="2:32" x14ac:dyDescent="0.25">
      <c r="B2324" s="695"/>
      <c r="C2324" s="197" t="str">
        <f>IF(B2324&lt;&gt;"",IFERROR(VLOOKUP(B:B,'מצבת והרשמה (2)'!$C$20:$N$520,2,0)," ")," ")</f>
        <v xml:space="preserve"> </v>
      </c>
      <c r="D2324" s="695"/>
      <c r="E2324" s="696"/>
      <c r="F2324" s="696"/>
      <c r="G2324" s="696"/>
      <c r="H2324" s="696"/>
      <c r="I2324" s="1050" t="str">
        <f t="shared" si="542"/>
        <v/>
      </c>
      <c r="J2324" s="696"/>
      <c r="K2324" s="697"/>
      <c r="L2324" s="696"/>
      <c r="M2324" s="198" t="str">
        <f t="shared" si="543"/>
        <v/>
      </c>
      <c r="N2324" s="369" t="str">
        <f t="shared" si="544"/>
        <v/>
      </c>
      <c r="O2324" s="183" t="str">
        <f t="shared" si="545"/>
        <v/>
      </c>
      <c r="P2324" s="199" t="str">
        <f t="shared" si="546"/>
        <v/>
      </c>
      <c r="Q2324" s="199" t="str">
        <f>IF(B2324="","",IFERROR(IF('עלויות כח אדם (6)'!J2324&gt;=VLOOKUP(I2324,'סיווג התפקידים והעלויות'!$B$23:$C$32,2,0),"תקין","לא תקין"),""))</f>
        <v/>
      </c>
      <c r="R2324" s="199" t="str">
        <f t="shared" si="547"/>
        <v/>
      </c>
      <c r="S2324" s="199" t="str">
        <f t="shared" si="548"/>
        <v/>
      </c>
      <c r="T2324" s="199" t="str">
        <f t="shared" si="556"/>
        <v/>
      </c>
      <c r="U2324" s="199" t="str">
        <f t="shared" si="549"/>
        <v/>
      </c>
      <c r="V2324" s="989"/>
      <c r="X2324" s="374" t="str">
        <f t="shared" si="550"/>
        <v/>
      </c>
      <c r="Y2324" s="375" t="str">
        <f t="shared" si="551"/>
        <v/>
      </c>
      <c r="Z2324" s="374" t="str">
        <f t="shared" si="552"/>
        <v/>
      </c>
      <c r="AA2324" s="374" t="b">
        <f t="shared" si="553"/>
        <v>1</v>
      </c>
      <c r="AB2324" s="374">
        <f>COUNTIFS(B:B,B2324,H:H,'סיווג התפקידים והעלויות'!$C$2)</f>
        <v>0</v>
      </c>
      <c r="AC2324" s="374">
        <f>COUNTIFS(B:B,B2324,H:H,'סיווג התפקידים והעלויות'!$D$2)</f>
        <v>0</v>
      </c>
      <c r="AD2324" s="374" t="str">
        <f>IF(OR(AND(H2324='סיווג התפקידים והעלויות'!$A$2,I2324='סיווג התפקידים והעלויות'!$A$3),'עלויות כח אדם (6)'!H2324='סיווג התפקידים והעלויות'!$C$2,'עלויות כח אדם (6)'!H2324='סיווג התפקידים והעלויות'!$D$2),IF('עלויות כח אדם (6)'!J2324&lt;75,"לא תקין","תקין"),"")</f>
        <v/>
      </c>
      <c r="AE2324" s="374" t="str">
        <f t="shared" si="554"/>
        <v/>
      </c>
      <c r="AF2324" s="532" t="str">
        <f t="shared" si="555"/>
        <v/>
      </c>
    </row>
    <row r="2325" spans="2:32" x14ac:dyDescent="0.25">
      <c r="B2325" s="695"/>
      <c r="C2325" s="197" t="str">
        <f>IF(B2325&lt;&gt;"",IFERROR(VLOOKUP(B:B,'מצבת והרשמה (2)'!$C$20:$N$520,2,0)," ")," ")</f>
        <v xml:space="preserve"> </v>
      </c>
      <c r="D2325" s="695"/>
      <c r="E2325" s="696"/>
      <c r="F2325" s="696"/>
      <c r="G2325" s="696"/>
      <c r="H2325" s="696"/>
      <c r="I2325" s="1050" t="str">
        <f t="shared" si="542"/>
        <v/>
      </c>
      <c r="J2325" s="696"/>
      <c r="K2325" s="697"/>
      <c r="L2325" s="696"/>
      <c r="M2325" s="198" t="str">
        <f t="shared" si="543"/>
        <v/>
      </c>
      <c r="N2325" s="369" t="str">
        <f t="shared" si="544"/>
        <v/>
      </c>
      <c r="O2325" s="183" t="str">
        <f t="shared" si="545"/>
        <v/>
      </c>
      <c r="P2325" s="199" t="str">
        <f t="shared" si="546"/>
        <v/>
      </c>
      <c r="Q2325" s="199" t="str">
        <f>IF(B2325="","",IFERROR(IF('עלויות כח אדם (6)'!J2325&gt;=VLOOKUP(I2325,'סיווג התפקידים והעלויות'!$B$23:$C$32,2,0),"תקין","לא תקין"),""))</f>
        <v/>
      </c>
      <c r="R2325" s="199" t="str">
        <f t="shared" si="547"/>
        <v/>
      </c>
      <c r="S2325" s="199" t="str">
        <f t="shared" si="548"/>
        <v/>
      </c>
      <c r="T2325" s="199" t="str">
        <f t="shared" si="556"/>
        <v/>
      </c>
      <c r="U2325" s="199" t="str">
        <f t="shared" si="549"/>
        <v/>
      </c>
      <c r="V2325" s="989"/>
      <c r="X2325" s="374" t="str">
        <f t="shared" si="550"/>
        <v/>
      </c>
      <c r="Y2325" s="375" t="str">
        <f t="shared" si="551"/>
        <v/>
      </c>
      <c r="Z2325" s="374" t="str">
        <f t="shared" si="552"/>
        <v/>
      </c>
      <c r="AA2325" s="374" t="b">
        <f t="shared" si="553"/>
        <v>1</v>
      </c>
      <c r="AB2325" s="374">
        <f>COUNTIFS(B:B,B2325,H:H,'סיווג התפקידים והעלויות'!$C$2)</f>
        <v>0</v>
      </c>
      <c r="AC2325" s="374">
        <f>COUNTIFS(B:B,B2325,H:H,'סיווג התפקידים והעלויות'!$D$2)</f>
        <v>0</v>
      </c>
      <c r="AD2325" s="374" t="str">
        <f>IF(OR(AND(H2325='סיווג התפקידים והעלויות'!$A$2,I2325='סיווג התפקידים והעלויות'!$A$3),'עלויות כח אדם (6)'!H2325='סיווג התפקידים והעלויות'!$C$2,'עלויות כח אדם (6)'!H2325='סיווג התפקידים והעלויות'!$D$2),IF('עלויות כח אדם (6)'!J2325&lt;75,"לא תקין","תקין"),"")</f>
        <v/>
      </c>
      <c r="AE2325" s="374" t="str">
        <f t="shared" si="554"/>
        <v/>
      </c>
      <c r="AF2325" s="532" t="str">
        <f t="shared" si="555"/>
        <v/>
      </c>
    </row>
    <row r="2326" spans="2:32" x14ac:dyDescent="0.25">
      <c r="B2326" s="695"/>
      <c r="C2326" s="197" t="str">
        <f>IF(B2326&lt;&gt;"",IFERROR(VLOOKUP(B:B,'מצבת והרשמה (2)'!$C$20:$N$520,2,0)," ")," ")</f>
        <v xml:space="preserve"> </v>
      </c>
      <c r="D2326" s="695"/>
      <c r="E2326" s="696"/>
      <c r="F2326" s="696"/>
      <c r="G2326" s="696"/>
      <c r="H2326" s="696"/>
      <c r="I2326" s="1050" t="str">
        <f t="shared" si="542"/>
        <v/>
      </c>
      <c r="J2326" s="696"/>
      <c r="K2326" s="697"/>
      <c r="L2326" s="696"/>
      <c r="M2326" s="198" t="str">
        <f t="shared" si="543"/>
        <v/>
      </c>
      <c r="N2326" s="369" t="str">
        <f t="shared" si="544"/>
        <v/>
      </c>
      <c r="O2326" s="183" t="str">
        <f t="shared" si="545"/>
        <v/>
      </c>
      <c r="P2326" s="199" t="str">
        <f t="shared" si="546"/>
        <v/>
      </c>
      <c r="Q2326" s="199" t="str">
        <f>IF(B2326="","",IFERROR(IF('עלויות כח אדם (6)'!J2326&gt;=VLOOKUP(I2326,'סיווג התפקידים והעלויות'!$B$23:$C$32,2,0),"תקין","לא תקין"),""))</f>
        <v/>
      </c>
      <c r="R2326" s="199" t="str">
        <f t="shared" si="547"/>
        <v/>
      </c>
      <c r="S2326" s="199" t="str">
        <f t="shared" si="548"/>
        <v/>
      </c>
      <c r="T2326" s="199" t="str">
        <f t="shared" si="556"/>
        <v/>
      </c>
      <c r="U2326" s="199" t="str">
        <f t="shared" si="549"/>
        <v/>
      </c>
      <c r="V2326" s="989"/>
      <c r="X2326" s="374" t="str">
        <f t="shared" si="550"/>
        <v/>
      </c>
      <c r="Y2326" s="375" t="str">
        <f t="shared" si="551"/>
        <v/>
      </c>
      <c r="Z2326" s="374" t="str">
        <f t="shared" si="552"/>
        <v/>
      </c>
      <c r="AA2326" s="374" t="b">
        <f t="shared" si="553"/>
        <v>1</v>
      </c>
      <c r="AB2326" s="374">
        <f>COUNTIFS(B:B,B2326,H:H,'סיווג התפקידים והעלויות'!$C$2)</f>
        <v>0</v>
      </c>
      <c r="AC2326" s="374">
        <f>COUNTIFS(B:B,B2326,H:H,'סיווג התפקידים והעלויות'!$D$2)</f>
        <v>0</v>
      </c>
      <c r="AD2326" s="374" t="str">
        <f>IF(OR(AND(H2326='סיווג התפקידים והעלויות'!$A$2,I2326='סיווג התפקידים והעלויות'!$A$3),'עלויות כח אדם (6)'!H2326='סיווג התפקידים והעלויות'!$C$2,'עלויות כח אדם (6)'!H2326='סיווג התפקידים והעלויות'!$D$2),IF('עלויות כח אדם (6)'!J2326&lt;75,"לא תקין","תקין"),"")</f>
        <v/>
      </c>
      <c r="AE2326" s="374" t="str">
        <f t="shared" si="554"/>
        <v/>
      </c>
      <c r="AF2326" s="532" t="str">
        <f t="shared" si="555"/>
        <v/>
      </c>
    </row>
    <row r="2327" spans="2:32" x14ac:dyDescent="0.25">
      <c r="B2327" s="695"/>
      <c r="C2327" s="197" t="str">
        <f>IF(B2327&lt;&gt;"",IFERROR(VLOOKUP(B:B,'מצבת והרשמה (2)'!$C$20:$N$520,2,0)," ")," ")</f>
        <v xml:space="preserve"> </v>
      </c>
      <c r="D2327" s="695"/>
      <c r="E2327" s="696"/>
      <c r="F2327" s="696"/>
      <c r="G2327" s="696"/>
      <c r="H2327" s="696"/>
      <c r="I2327" s="1050" t="str">
        <f t="shared" si="542"/>
        <v/>
      </c>
      <c r="J2327" s="696"/>
      <c r="K2327" s="697"/>
      <c r="L2327" s="696"/>
      <c r="M2327" s="198" t="str">
        <f t="shared" si="543"/>
        <v/>
      </c>
      <c r="N2327" s="369" t="str">
        <f t="shared" si="544"/>
        <v/>
      </c>
      <c r="O2327" s="183" t="str">
        <f t="shared" si="545"/>
        <v/>
      </c>
      <c r="P2327" s="199" t="str">
        <f t="shared" si="546"/>
        <v/>
      </c>
      <c r="Q2327" s="199" t="str">
        <f>IF(B2327="","",IFERROR(IF('עלויות כח אדם (6)'!J2327&gt;=VLOOKUP(I2327,'סיווג התפקידים והעלויות'!$B$23:$C$32,2,0),"תקין","לא תקין"),""))</f>
        <v/>
      </c>
      <c r="R2327" s="199" t="str">
        <f t="shared" si="547"/>
        <v/>
      </c>
      <c r="S2327" s="199" t="str">
        <f t="shared" si="548"/>
        <v/>
      </c>
      <c r="T2327" s="199" t="str">
        <f t="shared" si="556"/>
        <v/>
      </c>
      <c r="U2327" s="199" t="str">
        <f t="shared" si="549"/>
        <v/>
      </c>
      <c r="V2327" s="989"/>
      <c r="X2327" s="374" t="str">
        <f t="shared" si="550"/>
        <v/>
      </c>
      <c r="Y2327" s="375" t="str">
        <f t="shared" si="551"/>
        <v/>
      </c>
      <c r="Z2327" s="374" t="str">
        <f t="shared" si="552"/>
        <v/>
      </c>
      <c r="AA2327" s="374" t="b">
        <f t="shared" si="553"/>
        <v>1</v>
      </c>
      <c r="AB2327" s="374">
        <f>COUNTIFS(B:B,B2327,H:H,'סיווג התפקידים והעלויות'!$C$2)</f>
        <v>0</v>
      </c>
      <c r="AC2327" s="374">
        <f>COUNTIFS(B:B,B2327,H:H,'סיווג התפקידים והעלויות'!$D$2)</f>
        <v>0</v>
      </c>
      <c r="AD2327" s="374" t="str">
        <f>IF(OR(AND(H2327='סיווג התפקידים והעלויות'!$A$2,I2327='סיווג התפקידים והעלויות'!$A$3),'עלויות כח אדם (6)'!H2327='סיווג התפקידים והעלויות'!$C$2,'עלויות כח אדם (6)'!H2327='סיווג התפקידים והעלויות'!$D$2),IF('עלויות כח אדם (6)'!J2327&lt;75,"לא תקין","תקין"),"")</f>
        <v/>
      </c>
      <c r="AE2327" s="374" t="str">
        <f t="shared" si="554"/>
        <v/>
      </c>
      <c r="AF2327" s="532" t="str">
        <f t="shared" si="555"/>
        <v/>
      </c>
    </row>
    <row r="2328" spans="2:32" x14ac:dyDescent="0.25">
      <c r="B2328" s="695"/>
      <c r="C2328" s="197" t="str">
        <f>IF(B2328&lt;&gt;"",IFERROR(VLOOKUP(B:B,'מצבת והרשמה (2)'!$C$20:$N$520,2,0)," ")," ")</f>
        <v xml:space="preserve"> </v>
      </c>
      <c r="D2328" s="695"/>
      <c r="E2328" s="696"/>
      <c r="F2328" s="696"/>
      <c r="G2328" s="696"/>
      <c r="H2328" s="696"/>
      <c r="I2328" s="1050" t="str">
        <f t="shared" si="542"/>
        <v/>
      </c>
      <c r="J2328" s="696"/>
      <c r="K2328" s="697"/>
      <c r="L2328" s="696"/>
      <c r="M2328" s="198" t="str">
        <f t="shared" si="543"/>
        <v/>
      </c>
      <c r="N2328" s="369" t="str">
        <f t="shared" si="544"/>
        <v/>
      </c>
      <c r="O2328" s="183" t="str">
        <f t="shared" si="545"/>
        <v/>
      </c>
      <c r="P2328" s="199" t="str">
        <f t="shared" si="546"/>
        <v/>
      </c>
      <c r="Q2328" s="199" t="str">
        <f>IF(B2328="","",IFERROR(IF('עלויות כח אדם (6)'!J2328&gt;=VLOOKUP(I2328,'סיווג התפקידים והעלויות'!$B$23:$C$32,2,0),"תקין","לא תקין"),""))</f>
        <v/>
      </c>
      <c r="R2328" s="199" t="str">
        <f t="shared" si="547"/>
        <v/>
      </c>
      <c r="S2328" s="199" t="str">
        <f t="shared" si="548"/>
        <v/>
      </c>
      <c r="T2328" s="199" t="str">
        <f t="shared" si="556"/>
        <v/>
      </c>
      <c r="U2328" s="199" t="str">
        <f t="shared" si="549"/>
        <v/>
      </c>
      <c r="V2328" s="989"/>
      <c r="X2328" s="374" t="str">
        <f t="shared" si="550"/>
        <v/>
      </c>
      <c r="Y2328" s="375" t="str">
        <f t="shared" si="551"/>
        <v/>
      </c>
      <c r="Z2328" s="374" t="str">
        <f t="shared" si="552"/>
        <v/>
      </c>
      <c r="AA2328" s="374" t="b">
        <f t="shared" si="553"/>
        <v>1</v>
      </c>
      <c r="AB2328" s="374">
        <f>COUNTIFS(B:B,B2328,H:H,'סיווג התפקידים והעלויות'!$C$2)</f>
        <v>0</v>
      </c>
      <c r="AC2328" s="374">
        <f>COUNTIFS(B:B,B2328,H:H,'סיווג התפקידים והעלויות'!$D$2)</f>
        <v>0</v>
      </c>
      <c r="AD2328" s="374" t="str">
        <f>IF(OR(AND(H2328='סיווג התפקידים והעלויות'!$A$2,I2328='סיווג התפקידים והעלויות'!$A$3),'עלויות כח אדם (6)'!H2328='סיווג התפקידים והעלויות'!$C$2,'עלויות כח אדם (6)'!H2328='סיווג התפקידים והעלויות'!$D$2),IF('עלויות כח אדם (6)'!J2328&lt;75,"לא תקין","תקין"),"")</f>
        <v/>
      </c>
      <c r="AE2328" s="374" t="str">
        <f t="shared" si="554"/>
        <v/>
      </c>
      <c r="AF2328" s="532" t="str">
        <f t="shared" si="555"/>
        <v/>
      </c>
    </row>
    <row r="2329" spans="2:32" x14ac:dyDescent="0.25">
      <c r="B2329" s="695"/>
      <c r="C2329" s="197" t="str">
        <f>IF(B2329&lt;&gt;"",IFERROR(VLOOKUP(B:B,'מצבת והרשמה (2)'!$C$20:$N$520,2,0)," ")," ")</f>
        <v xml:space="preserve"> </v>
      </c>
      <c r="D2329" s="695"/>
      <c r="E2329" s="696"/>
      <c r="F2329" s="696"/>
      <c r="G2329" s="696"/>
      <c r="H2329" s="696"/>
      <c r="I2329" s="1050" t="str">
        <f t="shared" si="542"/>
        <v/>
      </c>
      <c r="J2329" s="696"/>
      <c r="K2329" s="697"/>
      <c r="L2329" s="696"/>
      <c r="M2329" s="198" t="str">
        <f t="shared" si="543"/>
        <v/>
      </c>
      <c r="N2329" s="369" t="str">
        <f t="shared" si="544"/>
        <v/>
      </c>
      <c r="O2329" s="183" t="str">
        <f t="shared" si="545"/>
        <v/>
      </c>
      <c r="P2329" s="199" t="str">
        <f t="shared" si="546"/>
        <v/>
      </c>
      <c r="Q2329" s="199" t="str">
        <f>IF(B2329="","",IFERROR(IF('עלויות כח אדם (6)'!J2329&gt;=VLOOKUP(I2329,'סיווג התפקידים והעלויות'!$B$23:$C$32,2,0),"תקין","לא תקין"),""))</f>
        <v/>
      </c>
      <c r="R2329" s="199" t="str">
        <f t="shared" si="547"/>
        <v/>
      </c>
      <c r="S2329" s="199" t="str">
        <f t="shared" si="548"/>
        <v/>
      </c>
      <c r="T2329" s="199" t="str">
        <f t="shared" si="556"/>
        <v/>
      </c>
      <c r="U2329" s="199" t="str">
        <f t="shared" si="549"/>
        <v/>
      </c>
      <c r="V2329" s="989"/>
      <c r="X2329" s="374" t="str">
        <f t="shared" si="550"/>
        <v/>
      </c>
      <c r="Y2329" s="375" t="str">
        <f t="shared" si="551"/>
        <v/>
      </c>
      <c r="Z2329" s="374" t="str">
        <f t="shared" si="552"/>
        <v/>
      </c>
      <c r="AA2329" s="374" t="b">
        <f t="shared" si="553"/>
        <v>1</v>
      </c>
      <c r="AB2329" s="374">
        <f>COUNTIFS(B:B,B2329,H:H,'סיווג התפקידים והעלויות'!$C$2)</f>
        <v>0</v>
      </c>
      <c r="AC2329" s="374">
        <f>COUNTIFS(B:B,B2329,H:H,'סיווג התפקידים והעלויות'!$D$2)</f>
        <v>0</v>
      </c>
      <c r="AD2329" s="374" t="str">
        <f>IF(OR(AND(H2329='סיווג התפקידים והעלויות'!$A$2,I2329='סיווג התפקידים והעלויות'!$A$3),'עלויות כח אדם (6)'!H2329='סיווג התפקידים והעלויות'!$C$2,'עלויות כח אדם (6)'!H2329='סיווג התפקידים והעלויות'!$D$2),IF('עלויות כח אדם (6)'!J2329&lt;75,"לא תקין","תקין"),"")</f>
        <v/>
      </c>
      <c r="AE2329" s="374" t="str">
        <f t="shared" si="554"/>
        <v/>
      </c>
      <c r="AF2329" s="532" t="str">
        <f t="shared" si="555"/>
        <v/>
      </c>
    </row>
    <row r="2330" spans="2:32" x14ac:dyDescent="0.25">
      <c r="B2330" s="695"/>
      <c r="C2330" s="197" t="str">
        <f>IF(B2330&lt;&gt;"",IFERROR(VLOOKUP(B:B,'מצבת והרשמה (2)'!$C$20:$N$520,2,0)," ")," ")</f>
        <v xml:space="preserve"> </v>
      </c>
      <c r="D2330" s="695"/>
      <c r="E2330" s="696"/>
      <c r="F2330" s="696"/>
      <c r="G2330" s="696"/>
      <c r="H2330" s="696"/>
      <c r="I2330" s="1050" t="str">
        <f t="shared" si="542"/>
        <v/>
      </c>
      <c r="J2330" s="696"/>
      <c r="K2330" s="697"/>
      <c r="L2330" s="696"/>
      <c r="M2330" s="198" t="str">
        <f t="shared" si="543"/>
        <v/>
      </c>
      <c r="N2330" s="369" t="str">
        <f t="shared" si="544"/>
        <v/>
      </c>
      <c r="O2330" s="183" t="str">
        <f t="shared" si="545"/>
        <v/>
      </c>
      <c r="P2330" s="199" t="str">
        <f t="shared" si="546"/>
        <v/>
      </c>
      <c r="Q2330" s="199" t="str">
        <f>IF(B2330="","",IFERROR(IF('עלויות כח אדם (6)'!J2330&gt;=VLOOKUP(I2330,'סיווג התפקידים והעלויות'!$B$23:$C$32,2,0),"תקין","לא תקין"),""))</f>
        <v/>
      </c>
      <c r="R2330" s="199" t="str">
        <f t="shared" si="547"/>
        <v/>
      </c>
      <c r="S2330" s="199" t="str">
        <f t="shared" si="548"/>
        <v/>
      </c>
      <c r="T2330" s="199" t="str">
        <f t="shared" si="556"/>
        <v/>
      </c>
      <c r="U2330" s="199" t="str">
        <f t="shared" si="549"/>
        <v/>
      </c>
      <c r="V2330" s="989"/>
      <c r="X2330" s="374" t="str">
        <f t="shared" si="550"/>
        <v/>
      </c>
      <c r="Y2330" s="375" t="str">
        <f t="shared" si="551"/>
        <v/>
      </c>
      <c r="Z2330" s="374" t="str">
        <f t="shared" si="552"/>
        <v/>
      </c>
      <c r="AA2330" s="374" t="b">
        <f t="shared" si="553"/>
        <v>1</v>
      </c>
      <c r="AB2330" s="374">
        <f>COUNTIFS(B:B,B2330,H:H,'סיווג התפקידים והעלויות'!$C$2)</f>
        <v>0</v>
      </c>
      <c r="AC2330" s="374">
        <f>COUNTIFS(B:B,B2330,H:H,'סיווג התפקידים והעלויות'!$D$2)</f>
        <v>0</v>
      </c>
      <c r="AD2330" s="374" t="str">
        <f>IF(OR(AND(H2330='סיווג התפקידים והעלויות'!$A$2,I2330='סיווג התפקידים והעלויות'!$A$3),'עלויות כח אדם (6)'!H2330='סיווג התפקידים והעלויות'!$C$2,'עלויות כח אדם (6)'!H2330='סיווג התפקידים והעלויות'!$D$2),IF('עלויות כח אדם (6)'!J2330&lt;75,"לא תקין","תקין"),"")</f>
        <v/>
      </c>
      <c r="AE2330" s="374" t="str">
        <f t="shared" si="554"/>
        <v/>
      </c>
      <c r="AF2330" s="532" t="str">
        <f t="shared" si="555"/>
        <v/>
      </c>
    </row>
    <row r="2331" spans="2:32" x14ac:dyDescent="0.25">
      <c r="B2331" s="695"/>
      <c r="C2331" s="197" t="str">
        <f>IF(B2331&lt;&gt;"",IFERROR(VLOOKUP(B:B,'מצבת והרשמה (2)'!$C$20:$N$520,2,0)," ")," ")</f>
        <v xml:space="preserve"> </v>
      </c>
      <c r="D2331" s="695"/>
      <c r="E2331" s="696"/>
      <c r="F2331" s="696"/>
      <c r="G2331" s="696"/>
      <c r="H2331" s="696"/>
      <c r="I2331" s="1050" t="str">
        <f t="shared" si="542"/>
        <v/>
      </c>
      <c r="J2331" s="696"/>
      <c r="K2331" s="697"/>
      <c r="L2331" s="696"/>
      <c r="M2331" s="198" t="str">
        <f t="shared" si="543"/>
        <v/>
      </c>
      <c r="N2331" s="369" t="str">
        <f t="shared" si="544"/>
        <v/>
      </c>
      <c r="O2331" s="183" t="str">
        <f t="shared" si="545"/>
        <v/>
      </c>
      <c r="P2331" s="199" t="str">
        <f t="shared" si="546"/>
        <v/>
      </c>
      <c r="Q2331" s="199" t="str">
        <f>IF(B2331="","",IFERROR(IF('עלויות כח אדם (6)'!J2331&gt;=VLOOKUP(I2331,'סיווג התפקידים והעלויות'!$B$23:$C$32,2,0),"תקין","לא תקין"),""))</f>
        <v/>
      </c>
      <c r="R2331" s="199" t="str">
        <f t="shared" si="547"/>
        <v/>
      </c>
      <c r="S2331" s="199" t="str">
        <f t="shared" si="548"/>
        <v/>
      </c>
      <c r="T2331" s="199" t="str">
        <f t="shared" si="556"/>
        <v/>
      </c>
      <c r="U2331" s="199" t="str">
        <f t="shared" si="549"/>
        <v/>
      </c>
      <c r="V2331" s="989"/>
      <c r="X2331" s="374" t="str">
        <f t="shared" si="550"/>
        <v/>
      </c>
      <c r="Y2331" s="375" t="str">
        <f t="shared" si="551"/>
        <v/>
      </c>
      <c r="Z2331" s="374" t="str">
        <f t="shared" si="552"/>
        <v/>
      </c>
      <c r="AA2331" s="374" t="b">
        <f t="shared" si="553"/>
        <v>1</v>
      </c>
      <c r="AB2331" s="374">
        <f>COUNTIFS(B:B,B2331,H:H,'סיווג התפקידים והעלויות'!$C$2)</f>
        <v>0</v>
      </c>
      <c r="AC2331" s="374">
        <f>COUNTIFS(B:B,B2331,H:H,'סיווג התפקידים והעלויות'!$D$2)</f>
        <v>0</v>
      </c>
      <c r="AD2331" s="374" t="str">
        <f>IF(OR(AND(H2331='סיווג התפקידים והעלויות'!$A$2,I2331='סיווג התפקידים והעלויות'!$A$3),'עלויות כח אדם (6)'!H2331='סיווג התפקידים והעלויות'!$C$2,'עלויות כח אדם (6)'!H2331='סיווג התפקידים והעלויות'!$D$2),IF('עלויות כח אדם (6)'!J2331&lt;75,"לא תקין","תקין"),"")</f>
        <v/>
      </c>
      <c r="AE2331" s="374" t="str">
        <f t="shared" si="554"/>
        <v/>
      </c>
      <c r="AF2331" s="532" t="str">
        <f t="shared" si="555"/>
        <v/>
      </c>
    </row>
    <row r="2332" spans="2:32" x14ac:dyDescent="0.25">
      <c r="B2332" s="695"/>
      <c r="C2332" s="197" t="str">
        <f>IF(B2332&lt;&gt;"",IFERROR(VLOOKUP(B:B,'מצבת והרשמה (2)'!$C$20:$N$520,2,0)," ")," ")</f>
        <v xml:space="preserve"> </v>
      </c>
      <c r="D2332" s="695"/>
      <c r="E2332" s="696"/>
      <c r="F2332" s="696"/>
      <c r="G2332" s="696"/>
      <c r="H2332" s="696"/>
      <c r="I2332" s="1050" t="str">
        <f t="shared" si="542"/>
        <v/>
      </c>
      <c r="J2332" s="696"/>
      <c r="K2332" s="697"/>
      <c r="L2332" s="696"/>
      <c r="M2332" s="198" t="str">
        <f t="shared" si="543"/>
        <v/>
      </c>
      <c r="N2332" s="369" t="str">
        <f t="shared" si="544"/>
        <v/>
      </c>
      <c r="O2332" s="183" t="str">
        <f t="shared" si="545"/>
        <v/>
      </c>
      <c r="P2332" s="199" t="str">
        <f t="shared" si="546"/>
        <v/>
      </c>
      <c r="Q2332" s="199" t="str">
        <f>IF(B2332="","",IFERROR(IF('עלויות כח אדם (6)'!J2332&gt;=VLOOKUP(I2332,'סיווג התפקידים והעלויות'!$B$23:$C$32,2,0),"תקין","לא תקין"),""))</f>
        <v/>
      </c>
      <c r="R2332" s="199" t="str">
        <f t="shared" si="547"/>
        <v/>
      </c>
      <c r="S2332" s="199" t="str">
        <f t="shared" si="548"/>
        <v/>
      </c>
      <c r="T2332" s="199" t="str">
        <f t="shared" si="556"/>
        <v/>
      </c>
      <c r="U2332" s="199" t="str">
        <f t="shared" si="549"/>
        <v/>
      </c>
      <c r="V2332" s="989"/>
      <c r="X2332" s="374" t="str">
        <f t="shared" si="550"/>
        <v/>
      </c>
      <c r="Y2332" s="375" t="str">
        <f t="shared" si="551"/>
        <v/>
      </c>
      <c r="Z2332" s="374" t="str">
        <f t="shared" si="552"/>
        <v/>
      </c>
      <c r="AA2332" s="374" t="b">
        <f t="shared" si="553"/>
        <v>1</v>
      </c>
      <c r="AB2332" s="374">
        <f>COUNTIFS(B:B,B2332,H:H,'סיווג התפקידים והעלויות'!$C$2)</f>
        <v>0</v>
      </c>
      <c r="AC2332" s="374">
        <f>COUNTIFS(B:B,B2332,H:H,'סיווג התפקידים והעלויות'!$D$2)</f>
        <v>0</v>
      </c>
      <c r="AD2332" s="374" t="str">
        <f>IF(OR(AND(H2332='סיווג התפקידים והעלויות'!$A$2,I2332='סיווג התפקידים והעלויות'!$A$3),'עלויות כח אדם (6)'!H2332='סיווג התפקידים והעלויות'!$C$2,'עלויות כח אדם (6)'!H2332='סיווג התפקידים והעלויות'!$D$2),IF('עלויות כח אדם (6)'!J2332&lt;75,"לא תקין","תקין"),"")</f>
        <v/>
      </c>
      <c r="AE2332" s="374" t="str">
        <f t="shared" si="554"/>
        <v/>
      </c>
      <c r="AF2332" s="532" t="str">
        <f t="shared" si="555"/>
        <v/>
      </c>
    </row>
    <row r="2333" spans="2:32" x14ac:dyDescent="0.25">
      <c r="B2333" s="695"/>
      <c r="C2333" s="197" t="str">
        <f>IF(B2333&lt;&gt;"",IFERROR(VLOOKUP(B:B,'מצבת והרשמה (2)'!$C$20:$N$520,2,0)," ")," ")</f>
        <v xml:space="preserve"> </v>
      </c>
      <c r="D2333" s="695"/>
      <c r="E2333" s="696"/>
      <c r="F2333" s="696"/>
      <c r="G2333" s="696"/>
      <c r="H2333" s="696"/>
      <c r="I2333" s="1050" t="str">
        <f t="shared" si="542"/>
        <v/>
      </c>
      <c r="J2333" s="696"/>
      <c r="K2333" s="697"/>
      <c r="L2333" s="696"/>
      <c r="M2333" s="198" t="str">
        <f t="shared" si="543"/>
        <v/>
      </c>
      <c r="N2333" s="369" t="str">
        <f t="shared" si="544"/>
        <v/>
      </c>
      <c r="O2333" s="183" t="str">
        <f t="shared" si="545"/>
        <v/>
      </c>
      <c r="P2333" s="199" t="str">
        <f t="shared" si="546"/>
        <v/>
      </c>
      <c r="Q2333" s="199" t="str">
        <f>IF(B2333="","",IFERROR(IF('עלויות כח אדם (6)'!J2333&gt;=VLOOKUP(I2333,'סיווג התפקידים והעלויות'!$B$23:$C$32,2,0),"תקין","לא תקין"),""))</f>
        <v/>
      </c>
      <c r="R2333" s="199" t="str">
        <f t="shared" si="547"/>
        <v/>
      </c>
      <c r="S2333" s="199" t="str">
        <f t="shared" si="548"/>
        <v/>
      </c>
      <c r="T2333" s="199" t="str">
        <f t="shared" si="556"/>
        <v/>
      </c>
      <c r="U2333" s="199" t="str">
        <f t="shared" si="549"/>
        <v/>
      </c>
      <c r="V2333" s="989"/>
      <c r="X2333" s="374" t="str">
        <f t="shared" si="550"/>
        <v/>
      </c>
      <c r="Y2333" s="375" t="str">
        <f t="shared" si="551"/>
        <v/>
      </c>
      <c r="Z2333" s="374" t="str">
        <f t="shared" si="552"/>
        <v/>
      </c>
      <c r="AA2333" s="374" t="b">
        <f t="shared" si="553"/>
        <v>1</v>
      </c>
      <c r="AB2333" s="374">
        <f>COUNTIFS(B:B,B2333,H:H,'סיווג התפקידים והעלויות'!$C$2)</f>
        <v>0</v>
      </c>
      <c r="AC2333" s="374">
        <f>COUNTIFS(B:B,B2333,H:H,'סיווג התפקידים והעלויות'!$D$2)</f>
        <v>0</v>
      </c>
      <c r="AD2333" s="374" t="str">
        <f>IF(OR(AND(H2333='סיווג התפקידים והעלויות'!$A$2,I2333='סיווג התפקידים והעלויות'!$A$3),'עלויות כח אדם (6)'!H2333='סיווג התפקידים והעלויות'!$C$2,'עלויות כח אדם (6)'!H2333='סיווג התפקידים והעלויות'!$D$2),IF('עלויות כח אדם (6)'!J2333&lt;75,"לא תקין","תקין"),"")</f>
        <v/>
      </c>
      <c r="AE2333" s="374" t="str">
        <f t="shared" si="554"/>
        <v/>
      </c>
      <c r="AF2333" s="532" t="str">
        <f t="shared" si="555"/>
        <v/>
      </c>
    </row>
    <row r="2334" spans="2:32" x14ac:dyDescent="0.25">
      <c r="B2334" s="695"/>
      <c r="C2334" s="197" t="str">
        <f>IF(B2334&lt;&gt;"",IFERROR(VLOOKUP(B:B,'מצבת והרשמה (2)'!$C$20:$N$520,2,0)," ")," ")</f>
        <v xml:space="preserve"> </v>
      </c>
      <c r="D2334" s="695"/>
      <c r="E2334" s="696"/>
      <c r="F2334" s="696"/>
      <c r="G2334" s="696"/>
      <c r="H2334" s="696"/>
      <c r="I2334" s="1050" t="str">
        <f t="shared" si="542"/>
        <v/>
      </c>
      <c r="J2334" s="696"/>
      <c r="K2334" s="697"/>
      <c r="L2334" s="696"/>
      <c r="M2334" s="198" t="str">
        <f t="shared" si="543"/>
        <v/>
      </c>
      <c r="N2334" s="369" t="str">
        <f t="shared" si="544"/>
        <v/>
      </c>
      <c r="O2334" s="183" t="str">
        <f t="shared" si="545"/>
        <v/>
      </c>
      <c r="P2334" s="199" t="str">
        <f t="shared" si="546"/>
        <v/>
      </c>
      <c r="Q2334" s="199" t="str">
        <f>IF(B2334="","",IFERROR(IF('עלויות כח אדם (6)'!J2334&gt;=VLOOKUP(I2334,'סיווג התפקידים והעלויות'!$B$23:$C$32,2,0),"תקין","לא תקין"),""))</f>
        <v/>
      </c>
      <c r="R2334" s="199" t="str">
        <f t="shared" si="547"/>
        <v/>
      </c>
      <c r="S2334" s="199" t="str">
        <f t="shared" si="548"/>
        <v/>
      </c>
      <c r="T2334" s="199" t="str">
        <f t="shared" si="556"/>
        <v/>
      </c>
      <c r="U2334" s="199" t="str">
        <f t="shared" si="549"/>
        <v/>
      </c>
      <c r="V2334" s="989"/>
      <c r="X2334" s="374" t="str">
        <f t="shared" si="550"/>
        <v/>
      </c>
      <c r="Y2334" s="375" t="str">
        <f t="shared" si="551"/>
        <v/>
      </c>
      <c r="Z2334" s="374" t="str">
        <f t="shared" si="552"/>
        <v/>
      </c>
      <c r="AA2334" s="374" t="b">
        <f t="shared" si="553"/>
        <v>1</v>
      </c>
      <c r="AB2334" s="374">
        <f>COUNTIFS(B:B,B2334,H:H,'סיווג התפקידים והעלויות'!$C$2)</f>
        <v>0</v>
      </c>
      <c r="AC2334" s="374">
        <f>COUNTIFS(B:B,B2334,H:H,'סיווג התפקידים והעלויות'!$D$2)</f>
        <v>0</v>
      </c>
      <c r="AD2334" s="374" t="str">
        <f>IF(OR(AND(H2334='סיווג התפקידים והעלויות'!$A$2,I2334='סיווג התפקידים והעלויות'!$A$3),'עלויות כח אדם (6)'!H2334='סיווג התפקידים והעלויות'!$C$2,'עלויות כח אדם (6)'!H2334='סיווג התפקידים והעלויות'!$D$2),IF('עלויות כח אדם (6)'!J2334&lt;75,"לא תקין","תקין"),"")</f>
        <v/>
      </c>
      <c r="AE2334" s="374" t="str">
        <f t="shared" si="554"/>
        <v/>
      </c>
      <c r="AF2334" s="532" t="str">
        <f t="shared" si="555"/>
        <v/>
      </c>
    </row>
    <row r="2335" spans="2:32" x14ac:dyDescent="0.25">
      <c r="B2335" s="695"/>
      <c r="C2335" s="197" t="str">
        <f>IF(B2335&lt;&gt;"",IFERROR(VLOOKUP(B:B,'מצבת והרשמה (2)'!$C$20:$N$520,2,0)," ")," ")</f>
        <v xml:space="preserve"> </v>
      </c>
      <c r="D2335" s="695"/>
      <c r="E2335" s="696"/>
      <c r="F2335" s="696"/>
      <c r="G2335" s="696"/>
      <c r="H2335" s="696"/>
      <c r="I2335" s="1050" t="str">
        <f t="shared" si="542"/>
        <v/>
      </c>
      <c r="J2335" s="696"/>
      <c r="K2335" s="697"/>
      <c r="L2335" s="696"/>
      <c r="M2335" s="198" t="str">
        <f t="shared" si="543"/>
        <v/>
      </c>
      <c r="N2335" s="369" t="str">
        <f t="shared" si="544"/>
        <v/>
      </c>
      <c r="O2335" s="183" t="str">
        <f t="shared" si="545"/>
        <v/>
      </c>
      <c r="P2335" s="199" t="str">
        <f t="shared" si="546"/>
        <v/>
      </c>
      <c r="Q2335" s="199" t="str">
        <f>IF(B2335="","",IFERROR(IF('עלויות כח אדם (6)'!J2335&gt;=VLOOKUP(I2335,'סיווג התפקידים והעלויות'!$B$23:$C$32,2,0),"תקין","לא תקין"),""))</f>
        <v/>
      </c>
      <c r="R2335" s="199" t="str">
        <f t="shared" si="547"/>
        <v/>
      </c>
      <c r="S2335" s="199" t="str">
        <f t="shared" si="548"/>
        <v/>
      </c>
      <c r="T2335" s="199" t="str">
        <f t="shared" si="556"/>
        <v/>
      </c>
      <c r="U2335" s="199" t="str">
        <f t="shared" si="549"/>
        <v/>
      </c>
      <c r="V2335" s="989"/>
      <c r="X2335" s="374" t="str">
        <f t="shared" si="550"/>
        <v/>
      </c>
      <c r="Y2335" s="375" t="str">
        <f t="shared" si="551"/>
        <v/>
      </c>
      <c r="Z2335" s="374" t="str">
        <f t="shared" si="552"/>
        <v/>
      </c>
      <c r="AA2335" s="374" t="b">
        <f t="shared" si="553"/>
        <v>1</v>
      </c>
      <c r="AB2335" s="374">
        <f>COUNTIFS(B:B,B2335,H:H,'סיווג התפקידים והעלויות'!$C$2)</f>
        <v>0</v>
      </c>
      <c r="AC2335" s="374">
        <f>COUNTIFS(B:B,B2335,H:H,'סיווג התפקידים והעלויות'!$D$2)</f>
        <v>0</v>
      </c>
      <c r="AD2335" s="374" t="str">
        <f>IF(OR(AND(H2335='סיווג התפקידים והעלויות'!$A$2,I2335='סיווג התפקידים והעלויות'!$A$3),'עלויות כח אדם (6)'!H2335='סיווג התפקידים והעלויות'!$C$2,'עלויות כח אדם (6)'!H2335='סיווג התפקידים והעלויות'!$D$2),IF('עלויות כח אדם (6)'!J2335&lt;75,"לא תקין","תקין"),"")</f>
        <v/>
      </c>
      <c r="AE2335" s="374" t="str">
        <f t="shared" si="554"/>
        <v/>
      </c>
      <c r="AF2335" s="532" t="str">
        <f t="shared" si="555"/>
        <v/>
      </c>
    </row>
    <row r="2336" spans="2:32" x14ac:dyDescent="0.25">
      <c r="B2336" s="695"/>
      <c r="C2336" s="197" t="str">
        <f>IF(B2336&lt;&gt;"",IFERROR(VLOOKUP(B:B,'מצבת והרשמה (2)'!$C$20:$N$520,2,0)," ")," ")</f>
        <v xml:space="preserve"> </v>
      </c>
      <c r="D2336" s="695"/>
      <c r="E2336" s="696"/>
      <c r="F2336" s="696"/>
      <c r="G2336" s="696"/>
      <c r="H2336" s="696"/>
      <c r="I2336" s="1050" t="str">
        <f t="shared" si="542"/>
        <v/>
      </c>
      <c r="J2336" s="696"/>
      <c r="K2336" s="697"/>
      <c r="L2336" s="696"/>
      <c r="M2336" s="198" t="str">
        <f t="shared" si="543"/>
        <v/>
      </c>
      <c r="N2336" s="369" t="str">
        <f t="shared" si="544"/>
        <v/>
      </c>
      <c r="O2336" s="183" t="str">
        <f t="shared" si="545"/>
        <v/>
      </c>
      <c r="P2336" s="199" t="str">
        <f t="shared" si="546"/>
        <v/>
      </c>
      <c r="Q2336" s="199" t="str">
        <f>IF(B2336="","",IFERROR(IF('עלויות כח אדם (6)'!J2336&gt;=VLOOKUP(I2336,'סיווג התפקידים והעלויות'!$B$23:$C$32,2,0),"תקין","לא תקין"),""))</f>
        <v/>
      </c>
      <c r="R2336" s="199" t="str">
        <f t="shared" si="547"/>
        <v/>
      </c>
      <c r="S2336" s="199" t="str">
        <f t="shared" si="548"/>
        <v/>
      </c>
      <c r="T2336" s="199" t="str">
        <f t="shared" si="556"/>
        <v/>
      </c>
      <c r="U2336" s="199" t="str">
        <f t="shared" si="549"/>
        <v/>
      </c>
      <c r="V2336" s="989"/>
      <c r="X2336" s="374" t="str">
        <f t="shared" si="550"/>
        <v/>
      </c>
      <c r="Y2336" s="375" t="str">
        <f t="shared" si="551"/>
        <v/>
      </c>
      <c r="Z2336" s="374" t="str">
        <f t="shared" si="552"/>
        <v/>
      </c>
      <c r="AA2336" s="374" t="b">
        <f t="shared" si="553"/>
        <v>1</v>
      </c>
      <c r="AB2336" s="374">
        <f>COUNTIFS(B:B,B2336,H:H,'סיווג התפקידים והעלויות'!$C$2)</f>
        <v>0</v>
      </c>
      <c r="AC2336" s="374">
        <f>COUNTIFS(B:B,B2336,H:H,'סיווג התפקידים והעלויות'!$D$2)</f>
        <v>0</v>
      </c>
      <c r="AD2336" s="374" t="str">
        <f>IF(OR(AND(H2336='סיווג התפקידים והעלויות'!$A$2,I2336='סיווג התפקידים והעלויות'!$A$3),'עלויות כח אדם (6)'!H2336='סיווג התפקידים והעלויות'!$C$2,'עלויות כח אדם (6)'!H2336='סיווג התפקידים והעלויות'!$D$2),IF('עלויות כח אדם (6)'!J2336&lt;75,"לא תקין","תקין"),"")</f>
        <v/>
      </c>
      <c r="AE2336" s="374" t="str">
        <f t="shared" si="554"/>
        <v/>
      </c>
      <c r="AF2336" s="532" t="str">
        <f t="shared" si="555"/>
        <v/>
      </c>
    </row>
    <row r="2337" spans="2:32" x14ac:dyDescent="0.25">
      <c r="B2337" s="695"/>
      <c r="C2337" s="197" t="str">
        <f>IF(B2337&lt;&gt;"",IFERROR(VLOOKUP(B:B,'מצבת והרשמה (2)'!$C$20:$N$520,2,0)," ")," ")</f>
        <v xml:space="preserve"> </v>
      </c>
      <c r="D2337" s="695"/>
      <c r="E2337" s="696"/>
      <c r="F2337" s="696"/>
      <c r="G2337" s="696"/>
      <c r="H2337" s="696"/>
      <c r="I2337" s="1050" t="str">
        <f t="shared" si="542"/>
        <v/>
      </c>
      <c r="J2337" s="696"/>
      <c r="K2337" s="697"/>
      <c r="L2337" s="696"/>
      <c r="M2337" s="198" t="str">
        <f t="shared" si="543"/>
        <v/>
      </c>
      <c r="N2337" s="369" t="str">
        <f t="shared" si="544"/>
        <v/>
      </c>
      <c r="O2337" s="183" t="str">
        <f t="shared" si="545"/>
        <v/>
      </c>
      <c r="P2337" s="199" t="str">
        <f t="shared" si="546"/>
        <v/>
      </c>
      <c r="Q2337" s="199" t="str">
        <f>IF(B2337="","",IFERROR(IF('עלויות כח אדם (6)'!J2337&gt;=VLOOKUP(I2337,'סיווג התפקידים והעלויות'!$B$23:$C$32,2,0),"תקין","לא תקין"),""))</f>
        <v/>
      </c>
      <c r="R2337" s="199" t="str">
        <f t="shared" si="547"/>
        <v/>
      </c>
      <c r="S2337" s="199" t="str">
        <f t="shared" si="548"/>
        <v/>
      </c>
      <c r="T2337" s="199" t="str">
        <f t="shared" si="556"/>
        <v/>
      </c>
      <c r="U2337" s="199" t="str">
        <f t="shared" si="549"/>
        <v/>
      </c>
      <c r="V2337" s="989"/>
      <c r="X2337" s="374" t="str">
        <f t="shared" si="550"/>
        <v/>
      </c>
      <c r="Y2337" s="375" t="str">
        <f t="shared" si="551"/>
        <v/>
      </c>
      <c r="Z2337" s="374" t="str">
        <f t="shared" si="552"/>
        <v/>
      </c>
      <c r="AA2337" s="374" t="b">
        <f t="shared" si="553"/>
        <v>1</v>
      </c>
      <c r="AB2337" s="374">
        <f>COUNTIFS(B:B,B2337,H:H,'סיווג התפקידים והעלויות'!$C$2)</f>
        <v>0</v>
      </c>
      <c r="AC2337" s="374">
        <f>COUNTIFS(B:B,B2337,H:H,'סיווג התפקידים והעלויות'!$D$2)</f>
        <v>0</v>
      </c>
      <c r="AD2337" s="374" t="str">
        <f>IF(OR(AND(H2337='סיווג התפקידים והעלויות'!$A$2,I2337='סיווג התפקידים והעלויות'!$A$3),'עלויות כח אדם (6)'!H2337='סיווג התפקידים והעלויות'!$C$2,'עלויות כח אדם (6)'!H2337='סיווג התפקידים והעלויות'!$D$2),IF('עלויות כח אדם (6)'!J2337&lt;75,"לא תקין","תקין"),"")</f>
        <v/>
      </c>
      <c r="AE2337" s="374" t="str">
        <f t="shared" si="554"/>
        <v/>
      </c>
      <c r="AF2337" s="532" t="str">
        <f t="shared" si="555"/>
        <v/>
      </c>
    </row>
    <row r="2338" spans="2:32" x14ac:dyDescent="0.25">
      <c r="B2338" s="695"/>
      <c r="C2338" s="197" t="str">
        <f>IF(B2338&lt;&gt;"",IFERROR(VLOOKUP(B:B,'מצבת והרשמה (2)'!$C$20:$N$520,2,0)," ")," ")</f>
        <v xml:space="preserve"> </v>
      </c>
      <c r="D2338" s="695"/>
      <c r="E2338" s="696"/>
      <c r="F2338" s="696"/>
      <c r="G2338" s="696"/>
      <c r="H2338" s="696"/>
      <c r="I2338" s="1050" t="str">
        <f t="shared" si="542"/>
        <v/>
      </c>
      <c r="J2338" s="696"/>
      <c r="K2338" s="697"/>
      <c r="L2338" s="696"/>
      <c r="M2338" s="198" t="str">
        <f t="shared" si="543"/>
        <v/>
      </c>
      <c r="N2338" s="369" t="str">
        <f t="shared" si="544"/>
        <v/>
      </c>
      <c r="O2338" s="183" t="str">
        <f t="shared" si="545"/>
        <v/>
      </c>
      <c r="P2338" s="199" t="str">
        <f t="shared" si="546"/>
        <v/>
      </c>
      <c r="Q2338" s="199" t="str">
        <f>IF(B2338="","",IFERROR(IF('עלויות כח אדם (6)'!J2338&gt;=VLOOKUP(I2338,'סיווג התפקידים והעלויות'!$B$23:$C$32,2,0),"תקין","לא תקין"),""))</f>
        <v/>
      </c>
      <c r="R2338" s="199" t="str">
        <f t="shared" si="547"/>
        <v/>
      </c>
      <c r="S2338" s="199" t="str">
        <f t="shared" si="548"/>
        <v/>
      </c>
      <c r="T2338" s="199" t="str">
        <f t="shared" si="556"/>
        <v/>
      </c>
      <c r="U2338" s="199" t="str">
        <f t="shared" si="549"/>
        <v/>
      </c>
      <c r="V2338" s="989"/>
      <c r="X2338" s="374" t="str">
        <f t="shared" si="550"/>
        <v/>
      </c>
      <c r="Y2338" s="375" t="str">
        <f t="shared" si="551"/>
        <v/>
      </c>
      <c r="Z2338" s="374" t="str">
        <f t="shared" si="552"/>
        <v/>
      </c>
      <c r="AA2338" s="374" t="b">
        <f t="shared" si="553"/>
        <v>1</v>
      </c>
      <c r="AB2338" s="374">
        <f>COUNTIFS(B:B,B2338,H:H,'סיווג התפקידים והעלויות'!$C$2)</f>
        <v>0</v>
      </c>
      <c r="AC2338" s="374">
        <f>COUNTIFS(B:B,B2338,H:H,'סיווג התפקידים והעלויות'!$D$2)</f>
        <v>0</v>
      </c>
      <c r="AD2338" s="374" t="str">
        <f>IF(OR(AND(H2338='סיווג התפקידים והעלויות'!$A$2,I2338='סיווג התפקידים והעלויות'!$A$3),'עלויות כח אדם (6)'!H2338='סיווג התפקידים והעלויות'!$C$2,'עלויות כח אדם (6)'!H2338='סיווג התפקידים והעלויות'!$D$2),IF('עלויות כח אדם (6)'!J2338&lt;75,"לא תקין","תקין"),"")</f>
        <v/>
      </c>
      <c r="AE2338" s="374" t="str">
        <f t="shared" si="554"/>
        <v/>
      </c>
      <c r="AF2338" s="532" t="str">
        <f t="shared" si="555"/>
        <v/>
      </c>
    </row>
    <row r="2339" spans="2:32" x14ac:dyDescent="0.25">
      <c r="B2339" s="695"/>
      <c r="C2339" s="197" t="str">
        <f>IF(B2339&lt;&gt;"",IFERROR(VLOOKUP(B:B,'מצבת והרשמה (2)'!$C$20:$N$520,2,0)," ")," ")</f>
        <v xml:space="preserve"> </v>
      </c>
      <c r="D2339" s="695"/>
      <c r="E2339" s="696"/>
      <c r="F2339" s="696"/>
      <c r="G2339" s="696"/>
      <c r="H2339" s="696"/>
      <c r="I2339" s="1050" t="str">
        <f t="shared" si="542"/>
        <v/>
      </c>
      <c r="J2339" s="696"/>
      <c r="K2339" s="697"/>
      <c r="L2339" s="696"/>
      <c r="M2339" s="198" t="str">
        <f t="shared" si="543"/>
        <v/>
      </c>
      <c r="N2339" s="369" t="str">
        <f t="shared" si="544"/>
        <v/>
      </c>
      <c r="O2339" s="183" t="str">
        <f t="shared" si="545"/>
        <v/>
      </c>
      <c r="P2339" s="199" t="str">
        <f t="shared" si="546"/>
        <v/>
      </c>
      <c r="Q2339" s="199" t="str">
        <f>IF(B2339="","",IFERROR(IF('עלויות כח אדם (6)'!J2339&gt;=VLOOKUP(I2339,'סיווג התפקידים והעלויות'!$B$23:$C$32,2,0),"תקין","לא תקין"),""))</f>
        <v/>
      </c>
      <c r="R2339" s="199" t="str">
        <f t="shared" si="547"/>
        <v/>
      </c>
      <c r="S2339" s="199" t="str">
        <f t="shared" si="548"/>
        <v/>
      </c>
      <c r="T2339" s="199" t="str">
        <f t="shared" si="556"/>
        <v/>
      </c>
      <c r="U2339" s="199" t="str">
        <f t="shared" si="549"/>
        <v/>
      </c>
      <c r="V2339" s="989"/>
      <c r="X2339" s="374" t="str">
        <f t="shared" si="550"/>
        <v/>
      </c>
      <c r="Y2339" s="375" t="str">
        <f t="shared" si="551"/>
        <v/>
      </c>
      <c r="Z2339" s="374" t="str">
        <f t="shared" si="552"/>
        <v/>
      </c>
      <c r="AA2339" s="374" t="b">
        <f t="shared" si="553"/>
        <v>1</v>
      </c>
      <c r="AB2339" s="374">
        <f>COUNTIFS(B:B,B2339,H:H,'סיווג התפקידים והעלויות'!$C$2)</f>
        <v>0</v>
      </c>
      <c r="AC2339" s="374">
        <f>COUNTIFS(B:B,B2339,H:H,'סיווג התפקידים והעלויות'!$D$2)</f>
        <v>0</v>
      </c>
      <c r="AD2339" s="374" t="str">
        <f>IF(OR(AND(H2339='סיווג התפקידים והעלויות'!$A$2,I2339='סיווג התפקידים והעלויות'!$A$3),'עלויות כח אדם (6)'!H2339='סיווג התפקידים והעלויות'!$C$2,'עלויות כח אדם (6)'!H2339='סיווג התפקידים והעלויות'!$D$2),IF('עלויות כח אדם (6)'!J2339&lt;75,"לא תקין","תקין"),"")</f>
        <v/>
      </c>
      <c r="AE2339" s="374" t="str">
        <f t="shared" si="554"/>
        <v/>
      </c>
      <c r="AF2339" s="532" t="str">
        <f t="shared" si="555"/>
        <v/>
      </c>
    </row>
    <row r="2340" spans="2:32" x14ac:dyDescent="0.25">
      <c r="B2340" s="695"/>
      <c r="C2340" s="197" t="str">
        <f>IF(B2340&lt;&gt;"",IFERROR(VLOOKUP(B:B,'מצבת והרשמה (2)'!$C$20:$N$520,2,0)," ")," ")</f>
        <v xml:space="preserve"> </v>
      </c>
      <c r="D2340" s="695"/>
      <c r="E2340" s="696"/>
      <c r="F2340" s="696"/>
      <c r="G2340" s="696"/>
      <c r="H2340" s="696"/>
      <c r="I2340" s="1050" t="str">
        <f t="shared" si="542"/>
        <v/>
      </c>
      <c r="J2340" s="696"/>
      <c r="K2340" s="697"/>
      <c r="L2340" s="696"/>
      <c r="M2340" s="198" t="str">
        <f t="shared" si="543"/>
        <v/>
      </c>
      <c r="N2340" s="369" t="str">
        <f t="shared" si="544"/>
        <v/>
      </c>
      <c r="O2340" s="183" t="str">
        <f t="shared" si="545"/>
        <v/>
      </c>
      <c r="P2340" s="199" t="str">
        <f t="shared" si="546"/>
        <v/>
      </c>
      <c r="Q2340" s="199" t="str">
        <f>IF(B2340="","",IFERROR(IF('עלויות כח אדם (6)'!J2340&gt;=VLOOKUP(I2340,'סיווג התפקידים והעלויות'!$B$23:$C$32,2,0),"תקין","לא תקין"),""))</f>
        <v/>
      </c>
      <c r="R2340" s="199" t="str">
        <f t="shared" si="547"/>
        <v/>
      </c>
      <c r="S2340" s="199" t="str">
        <f t="shared" si="548"/>
        <v/>
      </c>
      <c r="T2340" s="199" t="str">
        <f t="shared" si="556"/>
        <v/>
      </c>
      <c r="U2340" s="199" t="str">
        <f t="shared" si="549"/>
        <v/>
      </c>
      <c r="V2340" s="989"/>
      <c r="X2340" s="374" t="str">
        <f t="shared" si="550"/>
        <v/>
      </c>
      <c r="Y2340" s="375" t="str">
        <f t="shared" si="551"/>
        <v/>
      </c>
      <c r="Z2340" s="374" t="str">
        <f t="shared" si="552"/>
        <v/>
      </c>
      <c r="AA2340" s="374" t="b">
        <f t="shared" si="553"/>
        <v>1</v>
      </c>
      <c r="AB2340" s="374">
        <f>COUNTIFS(B:B,B2340,H:H,'סיווג התפקידים והעלויות'!$C$2)</f>
        <v>0</v>
      </c>
      <c r="AC2340" s="374">
        <f>COUNTIFS(B:B,B2340,H:H,'סיווג התפקידים והעלויות'!$D$2)</f>
        <v>0</v>
      </c>
      <c r="AD2340" s="374" t="str">
        <f>IF(OR(AND(H2340='סיווג התפקידים והעלויות'!$A$2,I2340='סיווג התפקידים והעלויות'!$A$3),'עלויות כח אדם (6)'!H2340='סיווג התפקידים והעלויות'!$C$2,'עלויות כח אדם (6)'!H2340='סיווג התפקידים והעלויות'!$D$2),IF('עלויות כח אדם (6)'!J2340&lt;75,"לא תקין","תקין"),"")</f>
        <v/>
      </c>
      <c r="AE2340" s="374" t="str">
        <f t="shared" si="554"/>
        <v/>
      </c>
      <c r="AF2340" s="532" t="str">
        <f t="shared" si="555"/>
        <v/>
      </c>
    </row>
    <row r="2341" spans="2:32" x14ac:dyDescent="0.25">
      <c r="B2341" s="695"/>
      <c r="C2341" s="197" t="str">
        <f>IF(B2341&lt;&gt;"",IFERROR(VLOOKUP(B:B,'מצבת והרשמה (2)'!$C$20:$N$520,2,0)," ")," ")</f>
        <v xml:space="preserve"> </v>
      </c>
      <c r="D2341" s="695"/>
      <c r="E2341" s="696"/>
      <c r="F2341" s="696"/>
      <c r="G2341" s="696"/>
      <c r="H2341" s="696"/>
      <c r="I2341" s="1050" t="str">
        <f t="shared" si="542"/>
        <v/>
      </c>
      <c r="J2341" s="696"/>
      <c r="K2341" s="697"/>
      <c r="L2341" s="696"/>
      <c r="M2341" s="198" t="str">
        <f t="shared" si="543"/>
        <v/>
      </c>
      <c r="N2341" s="369" t="str">
        <f t="shared" si="544"/>
        <v/>
      </c>
      <c r="O2341" s="183" t="str">
        <f t="shared" si="545"/>
        <v/>
      </c>
      <c r="P2341" s="199" t="str">
        <f t="shared" si="546"/>
        <v/>
      </c>
      <c r="Q2341" s="199" t="str">
        <f>IF(B2341="","",IFERROR(IF('עלויות כח אדם (6)'!J2341&gt;=VLOOKUP(I2341,'סיווג התפקידים והעלויות'!$B$23:$C$32,2,0),"תקין","לא תקין"),""))</f>
        <v/>
      </c>
      <c r="R2341" s="199" t="str">
        <f t="shared" si="547"/>
        <v/>
      </c>
      <c r="S2341" s="199" t="str">
        <f t="shared" si="548"/>
        <v/>
      </c>
      <c r="T2341" s="199" t="str">
        <f t="shared" si="556"/>
        <v/>
      </c>
      <c r="U2341" s="199" t="str">
        <f t="shared" si="549"/>
        <v/>
      </c>
      <c r="V2341" s="989"/>
      <c r="X2341" s="374" t="str">
        <f t="shared" si="550"/>
        <v/>
      </c>
      <c r="Y2341" s="375" t="str">
        <f t="shared" si="551"/>
        <v/>
      </c>
      <c r="Z2341" s="374" t="str">
        <f t="shared" si="552"/>
        <v/>
      </c>
      <c r="AA2341" s="374" t="b">
        <f t="shared" si="553"/>
        <v>1</v>
      </c>
      <c r="AB2341" s="374">
        <f>COUNTIFS(B:B,B2341,H:H,'סיווג התפקידים והעלויות'!$C$2)</f>
        <v>0</v>
      </c>
      <c r="AC2341" s="374">
        <f>COUNTIFS(B:B,B2341,H:H,'סיווג התפקידים והעלויות'!$D$2)</f>
        <v>0</v>
      </c>
      <c r="AD2341" s="374" t="str">
        <f>IF(OR(AND(H2341='סיווג התפקידים והעלויות'!$A$2,I2341='סיווג התפקידים והעלויות'!$A$3),'עלויות כח אדם (6)'!H2341='סיווג התפקידים והעלויות'!$C$2,'עלויות כח אדם (6)'!H2341='סיווג התפקידים והעלויות'!$D$2),IF('עלויות כח אדם (6)'!J2341&lt;75,"לא תקין","תקין"),"")</f>
        <v/>
      </c>
      <c r="AE2341" s="374" t="str">
        <f t="shared" si="554"/>
        <v/>
      </c>
      <c r="AF2341" s="532" t="str">
        <f t="shared" si="555"/>
        <v/>
      </c>
    </row>
    <row r="2342" spans="2:32" x14ac:dyDescent="0.25">
      <c r="B2342" s="695"/>
      <c r="C2342" s="197" t="str">
        <f>IF(B2342&lt;&gt;"",IFERROR(VLOOKUP(B:B,'מצבת והרשמה (2)'!$C$20:$N$520,2,0)," ")," ")</f>
        <v xml:space="preserve"> </v>
      </c>
      <c r="D2342" s="695"/>
      <c r="E2342" s="696"/>
      <c r="F2342" s="696"/>
      <c r="G2342" s="696"/>
      <c r="H2342" s="696"/>
      <c r="I2342" s="1050" t="str">
        <f t="shared" si="542"/>
        <v/>
      </c>
      <c r="J2342" s="696"/>
      <c r="K2342" s="697"/>
      <c r="L2342" s="696"/>
      <c r="M2342" s="198" t="str">
        <f t="shared" si="543"/>
        <v/>
      </c>
      <c r="N2342" s="369" t="str">
        <f t="shared" si="544"/>
        <v/>
      </c>
      <c r="O2342" s="183" t="str">
        <f t="shared" si="545"/>
        <v/>
      </c>
      <c r="P2342" s="199" t="str">
        <f t="shared" si="546"/>
        <v/>
      </c>
      <c r="Q2342" s="199" t="str">
        <f>IF(B2342="","",IFERROR(IF('עלויות כח אדם (6)'!J2342&gt;=VLOOKUP(I2342,'סיווג התפקידים והעלויות'!$B$23:$C$32,2,0),"תקין","לא תקין"),""))</f>
        <v/>
      </c>
      <c r="R2342" s="199" t="str">
        <f t="shared" si="547"/>
        <v/>
      </c>
      <c r="S2342" s="199" t="str">
        <f t="shared" si="548"/>
        <v/>
      </c>
      <c r="T2342" s="199" t="str">
        <f t="shared" si="556"/>
        <v/>
      </c>
      <c r="U2342" s="199" t="str">
        <f t="shared" si="549"/>
        <v/>
      </c>
      <c r="V2342" s="989"/>
      <c r="X2342" s="374" t="str">
        <f t="shared" si="550"/>
        <v/>
      </c>
      <c r="Y2342" s="375" t="str">
        <f t="shared" si="551"/>
        <v/>
      </c>
      <c r="Z2342" s="374" t="str">
        <f t="shared" si="552"/>
        <v/>
      </c>
      <c r="AA2342" s="374" t="b">
        <f t="shared" si="553"/>
        <v>1</v>
      </c>
      <c r="AB2342" s="374">
        <f>COUNTIFS(B:B,B2342,H:H,'סיווג התפקידים והעלויות'!$C$2)</f>
        <v>0</v>
      </c>
      <c r="AC2342" s="374">
        <f>COUNTIFS(B:B,B2342,H:H,'סיווג התפקידים והעלויות'!$D$2)</f>
        <v>0</v>
      </c>
      <c r="AD2342" s="374" t="str">
        <f>IF(OR(AND(H2342='סיווג התפקידים והעלויות'!$A$2,I2342='סיווג התפקידים והעלויות'!$A$3),'עלויות כח אדם (6)'!H2342='סיווג התפקידים והעלויות'!$C$2,'עלויות כח אדם (6)'!H2342='סיווג התפקידים והעלויות'!$D$2),IF('עלויות כח אדם (6)'!J2342&lt;75,"לא תקין","תקין"),"")</f>
        <v/>
      </c>
      <c r="AE2342" s="374" t="str">
        <f t="shared" si="554"/>
        <v/>
      </c>
      <c r="AF2342" s="532" t="str">
        <f t="shared" si="555"/>
        <v/>
      </c>
    </row>
    <row r="2343" spans="2:32" x14ac:dyDescent="0.25">
      <c r="B2343" s="695"/>
      <c r="C2343" s="197" t="str">
        <f>IF(B2343&lt;&gt;"",IFERROR(VLOOKUP(B:B,'מצבת והרשמה (2)'!$C$20:$N$520,2,0)," ")," ")</f>
        <v xml:space="preserve"> </v>
      </c>
      <c r="D2343" s="695"/>
      <c r="E2343" s="696"/>
      <c r="F2343" s="696"/>
      <c r="G2343" s="696"/>
      <c r="H2343" s="696"/>
      <c r="I2343" s="1050" t="str">
        <f t="shared" si="542"/>
        <v/>
      </c>
      <c r="J2343" s="696"/>
      <c r="K2343" s="697"/>
      <c r="L2343" s="696"/>
      <c r="M2343" s="198" t="str">
        <f t="shared" si="543"/>
        <v/>
      </c>
      <c r="N2343" s="369" t="str">
        <f t="shared" si="544"/>
        <v/>
      </c>
      <c r="O2343" s="183" t="str">
        <f t="shared" si="545"/>
        <v/>
      </c>
      <c r="P2343" s="199" t="str">
        <f t="shared" si="546"/>
        <v/>
      </c>
      <c r="Q2343" s="199" t="str">
        <f>IF(B2343="","",IFERROR(IF('עלויות כח אדם (6)'!J2343&gt;=VLOOKUP(I2343,'סיווג התפקידים והעלויות'!$B$23:$C$32,2,0),"תקין","לא תקין"),""))</f>
        <v/>
      </c>
      <c r="R2343" s="199" t="str">
        <f t="shared" si="547"/>
        <v/>
      </c>
      <c r="S2343" s="199" t="str">
        <f t="shared" si="548"/>
        <v/>
      </c>
      <c r="T2343" s="199" t="str">
        <f t="shared" si="556"/>
        <v/>
      </c>
      <c r="U2343" s="199" t="str">
        <f t="shared" si="549"/>
        <v/>
      </c>
      <c r="V2343" s="989"/>
      <c r="X2343" s="374" t="str">
        <f t="shared" si="550"/>
        <v/>
      </c>
      <c r="Y2343" s="375" t="str">
        <f t="shared" si="551"/>
        <v/>
      </c>
      <c r="Z2343" s="374" t="str">
        <f t="shared" si="552"/>
        <v/>
      </c>
      <c r="AA2343" s="374" t="b">
        <f t="shared" si="553"/>
        <v>1</v>
      </c>
      <c r="AB2343" s="374">
        <f>COUNTIFS(B:B,B2343,H:H,'סיווג התפקידים והעלויות'!$C$2)</f>
        <v>0</v>
      </c>
      <c r="AC2343" s="374">
        <f>COUNTIFS(B:B,B2343,H:H,'סיווג התפקידים והעלויות'!$D$2)</f>
        <v>0</v>
      </c>
      <c r="AD2343" s="374" t="str">
        <f>IF(OR(AND(H2343='סיווג התפקידים והעלויות'!$A$2,I2343='סיווג התפקידים והעלויות'!$A$3),'עלויות כח אדם (6)'!H2343='סיווג התפקידים והעלויות'!$C$2,'עלויות כח אדם (6)'!H2343='סיווג התפקידים והעלויות'!$D$2),IF('עלויות כח אדם (6)'!J2343&lt;75,"לא תקין","תקין"),"")</f>
        <v/>
      </c>
      <c r="AE2343" s="374" t="str">
        <f t="shared" si="554"/>
        <v/>
      </c>
      <c r="AF2343" s="532" t="str">
        <f t="shared" si="555"/>
        <v/>
      </c>
    </row>
    <row r="2344" spans="2:32" x14ac:dyDescent="0.25">
      <c r="B2344" s="695"/>
      <c r="C2344" s="197" t="str">
        <f>IF(B2344&lt;&gt;"",IFERROR(VLOOKUP(B:B,'מצבת והרשמה (2)'!$C$20:$N$520,2,0)," ")," ")</f>
        <v xml:space="preserve"> </v>
      </c>
      <c r="D2344" s="695"/>
      <c r="E2344" s="696"/>
      <c r="F2344" s="696"/>
      <c r="G2344" s="696"/>
      <c r="H2344" s="696"/>
      <c r="I2344" s="1050" t="str">
        <f t="shared" si="542"/>
        <v/>
      </c>
      <c r="J2344" s="696"/>
      <c r="K2344" s="697"/>
      <c r="L2344" s="696"/>
      <c r="M2344" s="198" t="str">
        <f t="shared" si="543"/>
        <v/>
      </c>
      <c r="N2344" s="369" t="str">
        <f t="shared" si="544"/>
        <v/>
      </c>
      <c r="O2344" s="183" t="str">
        <f t="shared" si="545"/>
        <v/>
      </c>
      <c r="P2344" s="199" t="str">
        <f t="shared" si="546"/>
        <v/>
      </c>
      <c r="Q2344" s="199" t="str">
        <f>IF(B2344="","",IFERROR(IF('עלויות כח אדם (6)'!J2344&gt;=VLOOKUP(I2344,'סיווג התפקידים והעלויות'!$B$23:$C$32,2,0),"תקין","לא תקין"),""))</f>
        <v/>
      </c>
      <c r="R2344" s="199" t="str">
        <f t="shared" si="547"/>
        <v/>
      </c>
      <c r="S2344" s="199" t="str">
        <f t="shared" si="548"/>
        <v/>
      </c>
      <c r="T2344" s="199" t="str">
        <f t="shared" si="556"/>
        <v/>
      </c>
      <c r="U2344" s="199" t="str">
        <f t="shared" si="549"/>
        <v/>
      </c>
      <c r="V2344" s="989"/>
      <c r="X2344" s="374" t="str">
        <f t="shared" si="550"/>
        <v/>
      </c>
      <c r="Y2344" s="375" t="str">
        <f t="shared" si="551"/>
        <v/>
      </c>
      <c r="Z2344" s="374" t="str">
        <f t="shared" si="552"/>
        <v/>
      </c>
      <c r="AA2344" s="374" t="b">
        <f t="shared" si="553"/>
        <v>1</v>
      </c>
      <c r="AB2344" s="374">
        <f>COUNTIFS(B:B,B2344,H:H,'סיווג התפקידים והעלויות'!$C$2)</f>
        <v>0</v>
      </c>
      <c r="AC2344" s="374">
        <f>COUNTIFS(B:B,B2344,H:H,'סיווג התפקידים והעלויות'!$D$2)</f>
        <v>0</v>
      </c>
      <c r="AD2344" s="374" t="str">
        <f>IF(OR(AND(H2344='סיווג התפקידים והעלויות'!$A$2,I2344='סיווג התפקידים והעלויות'!$A$3),'עלויות כח אדם (6)'!H2344='סיווג התפקידים והעלויות'!$C$2,'עלויות כח אדם (6)'!H2344='סיווג התפקידים והעלויות'!$D$2),IF('עלויות כח אדם (6)'!J2344&lt;75,"לא תקין","תקין"),"")</f>
        <v/>
      </c>
      <c r="AE2344" s="374" t="str">
        <f t="shared" si="554"/>
        <v/>
      </c>
      <c r="AF2344" s="532" t="str">
        <f t="shared" si="555"/>
        <v/>
      </c>
    </row>
    <row r="2345" spans="2:32" x14ac:dyDescent="0.25">
      <c r="B2345" s="695"/>
      <c r="C2345" s="197" t="str">
        <f>IF(B2345&lt;&gt;"",IFERROR(VLOOKUP(B:B,'מצבת והרשמה (2)'!$C$20:$N$520,2,0)," ")," ")</f>
        <v xml:space="preserve"> </v>
      </c>
      <c r="D2345" s="695"/>
      <c r="E2345" s="696"/>
      <c r="F2345" s="696"/>
      <c r="G2345" s="696"/>
      <c r="H2345" s="696"/>
      <c r="I2345" s="1050" t="str">
        <f t="shared" si="542"/>
        <v/>
      </c>
      <c r="J2345" s="696"/>
      <c r="K2345" s="697"/>
      <c r="L2345" s="696"/>
      <c r="M2345" s="198" t="str">
        <f t="shared" si="543"/>
        <v/>
      </c>
      <c r="N2345" s="369" t="str">
        <f t="shared" si="544"/>
        <v/>
      </c>
      <c r="O2345" s="183" t="str">
        <f t="shared" si="545"/>
        <v/>
      </c>
      <c r="P2345" s="199" t="str">
        <f t="shared" si="546"/>
        <v/>
      </c>
      <c r="Q2345" s="199" t="str">
        <f>IF(B2345="","",IFERROR(IF('עלויות כח אדם (6)'!J2345&gt;=VLOOKUP(I2345,'סיווג התפקידים והעלויות'!$B$23:$C$32,2,0),"תקין","לא תקין"),""))</f>
        <v/>
      </c>
      <c r="R2345" s="199" t="str">
        <f t="shared" si="547"/>
        <v/>
      </c>
      <c r="S2345" s="199" t="str">
        <f t="shared" si="548"/>
        <v/>
      </c>
      <c r="T2345" s="199" t="str">
        <f t="shared" si="556"/>
        <v/>
      </c>
      <c r="U2345" s="199" t="str">
        <f t="shared" si="549"/>
        <v/>
      </c>
      <c r="V2345" s="989"/>
      <c r="X2345" s="374" t="str">
        <f t="shared" si="550"/>
        <v/>
      </c>
      <c r="Y2345" s="375" t="str">
        <f t="shared" si="551"/>
        <v/>
      </c>
      <c r="Z2345" s="374" t="str">
        <f t="shared" si="552"/>
        <v/>
      </c>
      <c r="AA2345" s="374" t="b">
        <f t="shared" si="553"/>
        <v>1</v>
      </c>
      <c r="AB2345" s="374">
        <f>COUNTIFS(B:B,B2345,H:H,'סיווג התפקידים והעלויות'!$C$2)</f>
        <v>0</v>
      </c>
      <c r="AC2345" s="374">
        <f>COUNTIFS(B:B,B2345,H:H,'סיווג התפקידים והעלויות'!$D$2)</f>
        <v>0</v>
      </c>
      <c r="AD2345" s="374" t="str">
        <f>IF(OR(AND(H2345='סיווג התפקידים והעלויות'!$A$2,I2345='סיווג התפקידים והעלויות'!$A$3),'עלויות כח אדם (6)'!H2345='סיווג התפקידים והעלויות'!$C$2,'עלויות כח אדם (6)'!H2345='סיווג התפקידים והעלויות'!$D$2),IF('עלויות כח אדם (6)'!J2345&lt;75,"לא תקין","תקין"),"")</f>
        <v/>
      </c>
      <c r="AE2345" s="374" t="str">
        <f t="shared" si="554"/>
        <v/>
      </c>
      <c r="AF2345" s="532" t="str">
        <f t="shared" si="555"/>
        <v/>
      </c>
    </row>
    <row r="2346" spans="2:32" x14ac:dyDescent="0.25">
      <c r="B2346" s="695"/>
      <c r="C2346" s="197" t="str">
        <f>IF(B2346&lt;&gt;"",IFERROR(VLOOKUP(B:B,'מצבת והרשמה (2)'!$C$20:$N$520,2,0)," ")," ")</f>
        <v xml:space="preserve"> </v>
      </c>
      <c r="D2346" s="695"/>
      <c r="E2346" s="696"/>
      <c r="F2346" s="696"/>
      <c r="G2346" s="696"/>
      <c r="H2346" s="696"/>
      <c r="I2346" s="1050" t="str">
        <f t="shared" si="542"/>
        <v/>
      </c>
      <c r="J2346" s="696"/>
      <c r="K2346" s="697"/>
      <c r="L2346" s="696"/>
      <c r="M2346" s="198" t="str">
        <f t="shared" si="543"/>
        <v/>
      </c>
      <c r="N2346" s="369" t="str">
        <f t="shared" si="544"/>
        <v/>
      </c>
      <c r="O2346" s="183" t="str">
        <f t="shared" si="545"/>
        <v/>
      </c>
      <c r="P2346" s="199" t="str">
        <f t="shared" si="546"/>
        <v/>
      </c>
      <c r="Q2346" s="199" t="str">
        <f>IF(B2346="","",IFERROR(IF('עלויות כח אדם (6)'!J2346&gt;=VLOOKUP(I2346,'סיווג התפקידים והעלויות'!$B$23:$C$32,2,0),"תקין","לא תקין"),""))</f>
        <v/>
      </c>
      <c r="R2346" s="199" t="str">
        <f t="shared" si="547"/>
        <v/>
      </c>
      <c r="S2346" s="199" t="str">
        <f t="shared" si="548"/>
        <v/>
      </c>
      <c r="T2346" s="199" t="str">
        <f t="shared" si="556"/>
        <v/>
      </c>
      <c r="U2346" s="199" t="str">
        <f t="shared" si="549"/>
        <v/>
      </c>
      <c r="V2346" s="989"/>
      <c r="X2346" s="374" t="str">
        <f t="shared" si="550"/>
        <v/>
      </c>
      <c r="Y2346" s="375" t="str">
        <f t="shared" si="551"/>
        <v/>
      </c>
      <c r="Z2346" s="374" t="str">
        <f t="shared" si="552"/>
        <v/>
      </c>
      <c r="AA2346" s="374" t="b">
        <f t="shared" si="553"/>
        <v>1</v>
      </c>
      <c r="AB2346" s="374">
        <f>COUNTIFS(B:B,B2346,H:H,'סיווג התפקידים והעלויות'!$C$2)</f>
        <v>0</v>
      </c>
      <c r="AC2346" s="374">
        <f>COUNTIFS(B:B,B2346,H:H,'סיווג התפקידים והעלויות'!$D$2)</f>
        <v>0</v>
      </c>
      <c r="AD2346" s="374" t="str">
        <f>IF(OR(AND(H2346='סיווג התפקידים והעלויות'!$A$2,I2346='סיווג התפקידים והעלויות'!$A$3),'עלויות כח אדם (6)'!H2346='סיווג התפקידים והעלויות'!$C$2,'עלויות כח אדם (6)'!H2346='סיווג התפקידים והעלויות'!$D$2),IF('עלויות כח אדם (6)'!J2346&lt;75,"לא תקין","תקין"),"")</f>
        <v/>
      </c>
      <c r="AE2346" s="374" t="str">
        <f t="shared" si="554"/>
        <v/>
      </c>
      <c r="AF2346" s="532" t="str">
        <f t="shared" si="555"/>
        <v/>
      </c>
    </row>
    <row r="2347" spans="2:32" x14ac:dyDescent="0.25">
      <c r="B2347" s="695"/>
      <c r="C2347" s="197" t="str">
        <f>IF(B2347&lt;&gt;"",IFERROR(VLOOKUP(B:B,'מצבת והרשמה (2)'!$C$20:$N$520,2,0)," ")," ")</f>
        <v xml:space="preserve"> </v>
      </c>
      <c r="D2347" s="695"/>
      <c r="E2347" s="696"/>
      <c r="F2347" s="696"/>
      <c r="G2347" s="696"/>
      <c r="H2347" s="696"/>
      <c r="I2347" s="1050" t="str">
        <f t="shared" si="542"/>
        <v/>
      </c>
      <c r="J2347" s="696"/>
      <c r="K2347" s="697"/>
      <c r="L2347" s="696"/>
      <c r="M2347" s="198" t="str">
        <f t="shared" si="543"/>
        <v/>
      </c>
      <c r="N2347" s="369" t="str">
        <f t="shared" si="544"/>
        <v/>
      </c>
      <c r="O2347" s="183" t="str">
        <f t="shared" si="545"/>
        <v/>
      </c>
      <c r="P2347" s="199" t="str">
        <f t="shared" si="546"/>
        <v/>
      </c>
      <c r="Q2347" s="199" t="str">
        <f>IF(B2347="","",IFERROR(IF('עלויות כח אדם (6)'!J2347&gt;=VLOOKUP(I2347,'סיווג התפקידים והעלויות'!$B$23:$C$32,2,0),"תקין","לא תקין"),""))</f>
        <v/>
      </c>
      <c r="R2347" s="199" t="str">
        <f t="shared" si="547"/>
        <v/>
      </c>
      <c r="S2347" s="199" t="str">
        <f t="shared" si="548"/>
        <v/>
      </c>
      <c r="T2347" s="199" t="str">
        <f t="shared" si="556"/>
        <v/>
      </c>
      <c r="U2347" s="199" t="str">
        <f t="shared" si="549"/>
        <v/>
      </c>
      <c r="V2347" s="989"/>
      <c r="X2347" s="374" t="str">
        <f t="shared" si="550"/>
        <v/>
      </c>
      <c r="Y2347" s="375" t="str">
        <f t="shared" si="551"/>
        <v/>
      </c>
      <c r="Z2347" s="374" t="str">
        <f t="shared" si="552"/>
        <v/>
      </c>
      <c r="AA2347" s="374" t="b">
        <f t="shared" si="553"/>
        <v>1</v>
      </c>
      <c r="AB2347" s="374">
        <f>COUNTIFS(B:B,B2347,H:H,'סיווג התפקידים והעלויות'!$C$2)</f>
        <v>0</v>
      </c>
      <c r="AC2347" s="374">
        <f>COUNTIFS(B:B,B2347,H:H,'סיווג התפקידים והעלויות'!$D$2)</f>
        <v>0</v>
      </c>
      <c r="AD2347" s="374" t="str">
        <f>IF(OR(AND(H2347='סיווג התפקידים והעלויות'!$A$2,I2347='סיווג התפקידים והעלויות'!$A$3),'עלויות כח אדם (6)'!H2347='סיווג התפקידים והעלויות'!$C$2,'עלויות כח אדם (6)'!H2347='סיווג התפקידים והעלויות'!$D$2),IF('עלויות כח אדם (6)'!J2347&lt;75,"לא תקין","תקין"),"")</f>
        <v/>
      </c>
      <c r="AE2347" s="374" t="str">
        <f t="shared" si="554"/>
        <v/>
      </c>
      <c r="AF2347" s="532" t="str">
        <f t="shared" si="555"/>
        <v/>
      </c>
    </row>
    <row r="2348" spans="2:32" x14ac:dyDescent="0.25">
      <c r="B2348" s="695"/>
      <c r="C2348" s="197" t="str">
        <f>IF(B2348&lt;&gt;"",IFERROR(VLOOKUP(B:B,'מצבת והרשמה (2)'!$C$20:$N$520,2,0)," ")," ")</f>
        <v xml:space="preserve"> </v>
      </c>
      <c r="D2348" s="695"/>
      <c r="E2348" s="696"/>
      <c r="F2348" s="696"/>
      <c r="G2348" s="696"/>
      <c r="H2348" s="696"/>
      <c r="I2348" s="1050" t="str">
        <f t="shared" si="542"/>
        <v/>
      </c>
      <c r="J2348" s="696"/>
      <c r="K2348" s="697"/>
      <c r="L2348" s="696"/>
      <c r="M2348" s="198" t="str">
        <f t="shared" si="543"/>
        <v/>
      </c>
      <c r="N2348" s="369" t="str">
        <f t="shared" si="544"/>
        <v/>
      </c>
      <c r="O2348" s="183" t="str">
        <f t="shared" si="545"/>
        <v/>
      </c>
      <c r="P2348" s="199" t="str">
        <f t="shared" si="546"/>
        <v/>
      </c>
      <c r="Q2348" s="199" t="str">
        <f>IF(B2348="","",IFERROR(IF('עלויות כח אדם (6)'!J2348&gt;=VLOOKUP(I2348,'סיווג התפקידים והעלויות'!$B$23:$C$32,2,0),"תקין","לא תקין"),""))</f>
        <v/>
      </c>
      <c r="R2348" s="199" t="str">
        <f t="shared" si="547"/>
        <v/>
      </c>
      <c r="S2348" s="199" t="str">
        <f t="shared" si="548"/>
        <v/>
      </c>
      <c r="T2348" s="199" t="str">
        <f t="shared" si="556"/>
        <v/>
      </c>
      <c r="U2348" s="199" t="str">
        <f t="shared" si="549"/>
        <v/>
      </c>
      <c r="V2348" s="989"/>
      <c r="X2348" s="374" t="str">
        <f t="shared" si="550"/>
        <v/>
      </c>
      <c r="Y2348" s="375" t="str">
        <f t="shared" si="551"/>
        <v/>
      </c>
      <c r="Z2348" s="374" t="str">
        <f t="shared" si="552"/>
        <v/>
      </c>
      <c r="AA2348" s="374" t="b">
        <f t="shared" si="553"/>
        <v>1</v>
      </c>
      <c r="AB2348" s="374">
        <f>COUNTIFS(B:B,B2348,H:H,'סיווג התפקידים והעלויות'!$C$2)</f>
        <v>0</v>
      </c>
      <c r="AC2348" s="374">
        <f>COUNTIFS(B:B,B2348,H:H,'סיווג התפקידים והעלויות'!$D$2)</f>
        <v>0</v>
      </c>
      <c r="AD2348" s="374" t="str">
        <f>IF(OR(AND(H2348='סיווג התפקידים והעלויות'!$A$2,I2348='סיווג התפקידים והעלויות'!$A$3),'עלויות כח אדם (6)'!H2348='סיווג התפקידים והעלויות'!$C$2,'עלויות כח אדם (6)'!H2348='סיווג התפקידים והעלויות'!$D$2),IF('עלויות כח אדם (6)'!J2348&lt;75,"לא תקין","תקין"),"")</f>
        <v/>
      </c>
      <c r="AE2348" s="374" t="str">
        <f t="shared" si="554"/>
        <v/>
      </c>
      <c r="AF2348" s="532" t="str">
        <f t="shared" si="555"/>
        <v/>
      </c>
    </row>
    <row r="2349" spans="2:32" x14ac:dyDescent="0.25">
      <c r="B2349" s="695"/>
      <c r="C2349" s="197" t="str">
        <f>IF(B2349&lt;&gt;"",IFERROR(VLOOKUP(B:B,'מצבת והרשמה (2)'!$C$20:$N$520,2,0)," ")," ")</f>
        <v xml:space="preserve"> </v>
      </c>
      <c r="D2349" s="695"/>
      <c r="E2349" s="696"/>
      <c r="F2349" s="696"/>
      <c r="G2349" s="696"/>
      <c r="H2349" s="696"/>
      <c r="I2349" s="1050" t="str">
        <f t="shared" si="542"/>
        <v/>
      </c>
      <c r="J2349" s="696"/>
      <c r="K2349" s="697"/>
      <c r="L2349" s="696"/>
      <c r="M2349" s="198" t="str">
        <f t="shared" si="543"/>
        <v/>
      </c>
      <c r="N2349" s="369" t="str">
        <f t="shared" si="544"/>
        <v/>
      </c>
      <c r="O2349" s="183" t="str">
        <f t="shared" si="545"/>
        <v/>
      </c>
      <c r="P2349" s="199" t="str">
        <f t="shared" si="546"/>
        <v/>
      </c>
      <c r="Q2349" s="199" t="str">
        <f>IF(B2349="","",IFERROR(IF('עלויות כח אדם (6)'!J2349&gt;=VLOOKUP(I2349,'סיווג התפקידים והעלויות'!$B$23:$C$32,2,0),"תקין","לא תקין"),""))</f>
        <v/>
      </c>
      <c r="R2349" s="199" t="str">
        <f t="shared" si="547"/>
        <v/>
      </c>
      <c r="S2349" s="199" t="str">
        <f t="shared" si="548"/>
        <v/>
      </c>
      <c r="T2349" s="199" t="str">
        <f t="shared" si="556"/>
        <v/>
      </c>
      <c r="U2349" s="199" t="str">
        <f t="shared" si="549"/>
        <v/>
      </c>
      <c r="V2349" s="989"/>
      <c r="X2349" s="374" t="str">
        <f t="shared" si="550"/>
        <v/>
      </c>
      <c r="Y2349" s="375" t="str">
        <f t="shared" si="551"/>
        <v/>
      </c>
      <c r="Z2349" s="374" t="str">
        <f t="shared" si="552"/>
        <v/>
      </c>
      <c r="AA2349" s="374" t="b">
        <f t="shared" si="553"/>
        <v>1</v>
      </c>
      <c r="AB2349" s="374">
        <f>COUNTIFS(B:B,B2349,H:H,'סיווג התפקידים והעלויות'!$C$2)</f>
        <v>0</v>
      </c>
      <c r="AC2349" s="374">
        <f>COUNTIFS(B:B,B2349,H:H,'סיווג התפקידים והעלויות'!$D$2)</f>
        <v>0</v>
      </c>
      <c r="AD2349" s="374" t="str">
        <f>IF(OR(AND(H2349='סיווג התפקידים והעלויות'!$A$2,I2349='סיווג התפקידים והעלויות'!$A$3),'עלויות כח אדם (6)'!H2349='סיווג התפקידים והעלויות'!$C$2,'עלויות כח אדם (6)'!H2349='סיווג התפקידים והעלויות'!$D$2),IF('עלויות כח אדם (6)'!J2349&lt;75,"לא תקין","תקין"),"")</f>
        <v/>
      </c>
      <c r="AE2349" s="374" t="str">
        <f t="shared" si="554"/>
        <v/>
      </c>
      <c r="AF2349" s="532" t="str">
        <f t="shared" si="555"/>
        <v/>
      </c>
    </row>
    <row r="2350" spans="2:32" x14ac:dyDescent="0.25">
      <c r="B2350" s="695"/>
      <c r="C2350" s="197" t="str">
        <f>IF(B2350&lt;&gt;"",IFERROR(VLOOKUP(B:B,'מצבת והרשמה (2)'!$C$20:$N$520,2,0)," ")," ")</f>
        <v xml:space="preserve"> </v>
      </c>
      <c r="D2350" s="695"/>
      <c r="E2350" s="696"/>
      <c r="F2350" s="696"/>
      <c r="G2350" s="696"/>
      <c r="H2350" s="696"/>
      <c r="I2350" s="1050" t="str">
        <f t="shared" si="542"/>
        <v/>
      </c>
      <c r="J2350" s="696"/>
      <c r="K2350" s="697"/>
      <c r="L2350" s="696"/>
      <c r="M2350" s="198" t="str">
        <f t="shared" si="543"/>
        <v/>
      </c>
      <c r="N2350" s="369" t="str">
        <f t="shared" si="544"/>
        <v/>
      </c>
      <c r="O2350" s="183" t="str">
        <f t="shared" si="545"/>
        <v/>
      </c>
      <c r="P2350" s="199" t="str">
        <f t="shared" si="546"/>
        <v/>
      </c>
      <c r="Q2350" s="199" t="str">
        <f>IF(B2350="","",IFERROR(IF('עלויות כח אדם (6)'!J2350&gt;=VLOOKUP(I2350,'סיווג התפקידים והעלויות'!$B$23:$C$32,2,0),"תקין","לא תקין"),""))</f>
        <v/>
      </c>
      <c r="R2350" s="199" t="str">
        <f t="shared" si="547"/>
        <v/>
      </c>
      <c r="S2350" s="199" t="str">
        <f t="shared" si="548"/>
        <v/>
      </c>
      <c r="T2350" s="199" t="str">
        <f t="shared" si="556"/>
        <v/>
      </c>
      <c r="U2350" s="199" t="str">
        <f t="shared" si="549"/>
        <v/>
      </c>
      <c r="V2350" s="989"/>
      <c r="X2350" s="374" t="str">
        <f t="shared" si="550"/>
        <v/>
      </c>
      <c r="Y2350" s="375" t="str">
        <f t="shared" si="551"/>
        <v/>
      </c>
      <c r="Z2350" s="374" t="str">
        <f t="shared" si="552"/>
        <v/>
      </c>
      <c r="AA2350" s="374" t="b">
        <f t="shared" si="553"/>
        <v>1</v>
      </c>
      <c r="AB2350" s="374">
        <f>COUNTIFS(B:B,B2350,H:H,'סיווג התפקידים והעלויות'!$C$2)</f>
        <v>0</v>
      </c>
      <c r="AC2350" s="374">
        <f>COUNTIFS(B:B,B2350,H:H,'סיווג התפקידים והעלויות'!$D$2)</f>
        <v>0</v>
      </c>
      <c r="AD2350" s="374" t="str">
        <f>IF(OR(AND(H2350='סיווג התפקידים והעלויות'!$A$2,I2350='סיווג התפקידים והעלויות'!$A$3),'עלויות כח אדם (6)'!H2350='סיווג התפקידים והעלויות'!$C$2,'עלויות כח אדם (6)'!H2350='סיווג התפקידים והעלויות'!$D$2),IF('עלויות כח אדם (6)'!J2350&lt;75,"לא תקין","תקין"),"")</f>
        <v/>
      </c>
      <c r="AE2350" s="374" t="str">
        <f t="shared" si="554"/>
        <v/>
      </c>
      <c r="AF2350" s="532" t="str">
        <f t="shared" si="555"/>
        <v/>
      </c>
    </row>
    <row r="2351" spans="2:32" x14ac:dyDescent="0.25">
      <c r="B2351" s="695"/>
      <c r="C2351" s="197" t="str">
        <f>IF(B2351&lt;&gt;"",IFERROR(VLOOKUP(B:B,'מצבת והרשמה (2)'!$C$20:$N$520,2,0)," ")," ")</f>
        <v xml:space="preserve"> </v>
      </c>
      <c r="D2351" s="695"/>
      <c r="E2351" s="696"/>
      <c r="F2351" s="696"/>
      <c r="G2351" s="696"/>
      <c r="H2351" s="696"/>
      <c r="I2351" s="1050" t="str">
        <f t="shared" si="542"/>
        <v/>
      </c>
      <c r="J2351" s="696"/>
      <c r="K2351" s="697"/>
      <c r="L2351" s="696"/>
      <c r="M2351" s="198" t="str">
        <f t="shared" si="543"/>
        <v/>
      </c>
      <c r="N2351" s="369" t="str">
        <f t="shared" si="544"/>
        <v/>
      </c>
      <c r="O2351" s="183" t="str">
        <f t="shared" si="545"/>
        <v/>
      </c>
      <c r="P2351" s="199" t="str">
        <f t="shared" si="546"/>
        <v/>
      </c>
      <c r="Q2351" s="199" t="str">
        <f>IF(B2351="","",IFERROR(IF('עלויות כח אדם (6)'!J2351&gt;=VLOOKUP(I2351,'סיווג התפקידים והעלויות'!$B$23:$C$32,2,0),"תקין","לא תקין"),""))</f>
        <v/>
      </c>
      <c r="R2351" s="199" t="str">
        <f t="shared" si="547"/>
        <v/>
      </c>
      <c r="S2351" s="199" t="str">
        <f t="shared" si="548"/>
        <v/>
      </c>
      <c r="T2351" s="199" t="str">
        <f t="shared" si="556"/>
        <v/>
      </c>
      <c r="U2351" s="199" t="str">
        <f t="shared" si="549"/>
        <v/>
      </c>
      <c r="V2351" s="989"/>
      <c r="X2351" s="374" t="str">
        <f t="shared" si="550"/>
        <v/>
      </c>
      <c r="Y2351" s="375" t="str">
        <f t="shared" si="551"/>
        <v/>
      </c>
      <c r="Z2351" s="374" t="str">
        <f t="shared" si="552"/>
        <v/>
      </c>
      <c r="AA2351" s="374" t="b">
        <f t="shared" si="553"/>
        <v>1</v>
      </c>
      <c r="AB2351" s="374">
        <f>COUNTIFS(B:B,B2351,H:H,'סיווג התפקידים והעלויות'!$C$2)</f>
        <v>0</v>
      </c>
      <c r="AC2351" s="374">
        <f>COUNTIFS(B:B,B2351,H:H,'סיווג התפקידים והעלויות'!$D$2)</f>
        <v>0</v>
      </c>
      <c r="AD2351" s="374" t="str">
        <f>IF(OR(AND(H2351='סיווג התפקידים והעלויות'!$A$2,I2351='סיווג התפקידים והעלויות'!$A$3),'עלויות כח אדם (6)'!H2351='סיווג התפקידים והעלויות'!$C$2,'עלויות כח אדם (6)'!H2351='סיווג התפקידים והעלויות'!$D$2),IF('עלויות כח אדם (6)'!J2351&lt;75,"לא תקין","תקין"),"")</f>
        <v/>
      </c>
      <c r="AE2351" s="374" t="str">
        <f t="shared" si="554"/>
        <v/>
      </c>
      <c r="AF2351" s="532" t="str">
        <f t="shared" si="555"/>
        <v/>
      </c>
    </row>
    <row r="2352" spans="2:32" x14ac:dyDescent="0.25">
      <c r="B2352" s="695"/>
      <c r="C2352" s="197" t="str">
        <f>IF(B2352&lt;&gt;"",IFERROR(VLOOKUP(B:B,'מצבת והרשמה (2)'!$C$20:$N$520,2,0)," ")," ")</f>
        <v xml:space="preserve"> </v>
      </c>
      <c r="D2352" s="695"/>
      <c r="E2352" s="696"/>
      <c r="F2352" s="696"/>
      <c r="G2352" s="696"/>
      <c r="H2352" s="696"/>
      <c r="I2352" s="1050" t="str">
        <f t="shared" si="542"/>
        <v/>
      </c>
      <c r="J2352" s="696"/>
      <c r="K2352" s="697"/>
      <c r="L2352" s="696"/>
      <c r="M2352" s="198" t="str">
        <f t="shared" si="543"/>
        <v/>
      </c>
      <c r="N2352" s="369" t="str">
        <f t="shared" si="544"/>
        <v/>
      </c>
      <c r="O2352" s="183" t="str">
        <f t="shared" si="545"/>
        <v/>
      </c>
      <c r="P2352" s="199" t="str">
        <f t="shared" si="546"/>
        <v/>
      </c>
      <c r="Q2352" s="199" t="str">
        <f>IF(B2352="","",IFERROR(IF('עלויות כח אדם (6)'!J2352&gt;=VLOOKUP(I2352,'סיווג התפקידים והעלויות'!$B$23:$C$32,2,0),"תקין","לא תקין"),""))</f>
        <v/>
      </c>
      <c r="R2352" s="199" t="str">
        <f t="shared" si="547"/>
        <v/>
      </c>
      <c r="S2352" s="199" t="str">
        <f t="shared" si="548"/>
        <v/>
      </c>
      <c r="T2352" s="199" t="str">
        <f t="shared" si="556"/>
        <v/>
      </c>
      <c r="U2352" s="199" t="str">
        <f t="shared" si="549"/>
        <v/>
      </c>
      <c r="V2352" s="989"/>
      <c r="X2352" s="374" t="str">
        <f t="shared" si="550"/>
        <v/>
      </c>
      <c r="Y2352" s="375" t="str">
        <f t="shared" si="551"/>
        <v/>
      </c>
      <c r="Z2352" s="374" t="str">
        <f t="shared" si="552"/>
        <v/>
      </c>
      <c r="AA2352" s="374" t="b">
        <f t="shared" si="553"/>
        <v>1</v>
      </c>
      <c r="AB2352" s="374">
        <f>COUNTIFS(B:B,B2352,H:H,'סיווג התפקידים והעלויות'!$C$2)</f>
        <v>0</v>
      </c>
      <c r="AC2352" s="374">
        <f>COUNTIFS(B:B,B2352,H:H,'סיווג התפקידים והעלויות'!$D$2)</f>
        <v>0</v>
      </c>
      <c r="AD2352" s="374" t="str">
        <f>IF(OR(AND(H2352='סיווג התפקידים והעלויות'!$A$2,I2352='סיווג התפקידים והעלויות'!$A$3),'עלויות כח אדם (6)'!H2352='סיווג התפקידים והעלויות'!$C$2,'עלויות כח אדם (6)'!H2352='סיווג התפקידים והעלויות'!$D$2),IF('עלויות כח אדם (6)'!J2352&lt;75,"לא תקין","תקין"),"")</f>
        <v/>
      </c>
      <c r="AE2352" s="374" t="str">
        <f t="shared" si="554"/>
        <v/>
      </c>
      <c r="AF2352" s="532" t="str">
        <f t="shared" si="555"/>
        <v/>
      </c>
    </row>
    <row r="2353" spans="2:32" x14ac:dyDescent="0.25">
      <c r="B2353" s="695"/>
      <c r="C2353" s="197" t="str">
        <f>IF(B2353&lt;&gt;"",IFERROR(VLOOKUP(B:B,'מצבת והרשמה (2)'!$C$20:$N$520,2,0)," ")," ")</f>
        <v xml:space="preserve"> </v>
      </c>
      <c r="D2353" s="695"/>
      <c r="E2353" s="696"/>
      <c r="F2353" s="696"/>
      <c r="G2353" s="696"/>
      <c r="H2353" s="696"/>
      <c r="I2353" s="1050" t="str">
        <f t="shared" si="542"/>
        <v/>
      </c>
      <c r="J2353" s="696"/>
      <c r="K2353" s="697"/>
      <c r="L2353" s="696"/>
      <c r="M2353" s="198" t="str">
        <f t="shared" si="543"/>
        <v/>
      </c>
      <c r="N2353" s="369" t="str">
        <f t="shared" si="544"/>
        <v/>
      </c>
      <c r="O2353" s="183" t="str">
        <f t="shared" si="545"/>
        <v/>
      </c>
      <c r="P2353" s="199" t="str">
        <f t="shared" si="546"/>
        <v/>
      </c>
      <c r="Q2353" s="199" t="str">
        <f>IF(B2353="","",IFERROR(IF('עלויות כח אדם (6)'!J2353&gt;=VLOOKUP(I2353,'סיווג התפקידים והעלויות'!$B$23:$C$32,2,0),"תקין","לא תקין"),""))</f>
        <v/>
      </c>
      <c r="R2353" s="199" t="str">
        <f t="shared" si="547"/>
        <v/>
      </c>
      <c r="S2353" s="199" t="str">
        <f t="shared" si="548"/>
        <v/>
      </c>
      <c r="T2353" s="199" t="str">
        <f t="shared" si="556"/>
        <v/>
      </c>
      <c r="U2353" s="199" t="str">
        <f t="shared" si="549"/>
        <v/>
      </c>
      <c r="V2353" s="989"/>
      <c r="X2353" s="374" t="str">
        <f t="shared" si="550"/>
        <v/>
      </c>
      <c r="Y2353" s="375" t="str">
        <f t="shared" si="551"/>
        <v/>
      </c>
      <c r="Z2353" s="374" t="str">
        <f t="shared" si="552"/>
        <v/>
      </c>
      <c r="AA2353" s="374" t="b">
        <f t="shared" si="553"/>
        <v>1</v>
      </c>
      <c r="AB2353" s="374">
        <f>COUNTIFS(B:B,B2353,H:H,'סיווג התפקידים והעלויות'!$C$2)</f>
        <v>0</v>
      </c>
      <c r="AC2353" s="374">
        <f>COUNTIFS(B:B,B2353,H:H,'סיווג התפקידים והעלויות'!$D$2)</f>
        <v>0</v>
      </c>
      <c r="AD2353" s="374" t="str">
        <f>IF(OR(AND(H2353='סיווג התפקידים והעלויות'!$A$2,I2353='סיווג התפקידים והעלויות'!$A$3),'עלויות כח אדם (6)'!H2353='סיווג התפקידים והעלויות'!$C$2,'עלויות כח אדם (6)'!H2353='סיווג התפקידים והעלויות'!$D$2),IF('עלויות כח אדם (6)'!J2353&lt;75,"לא תקין","תקין"),"")</f>
        <v/>
      </c>
      <c r="AE2353" s="374" t="str">
        <f t="shared" si="554"/>
        <v/>
      </c>
      <c r="AF2353" s="532" t="str">
        <f t="shared" si="555"/>
        <v/>
      </c>
    </row>
    <row r="2354" spans="2:32" x14ac:dyDescent="0.25">
      <c r="B2354" s="695"/>
      <c r="C2354" s="197" t="str">
        <f>IF(B2354&lt;&gt;"",IFERROR(VLOOKUP(B:B,'מצבת והרשמה (2)'!$C$20:$N$520,2,0)," ")," ")</f>
        <v xml:space="preserve"> </v>
      </c>
      <c r="D2354" s="695"/>
      <c r="E2354" s="696"/>
      <c r="F2354" s="696"/>
      <c r="G2354" s="696"/>
      <c r="H2354" s="696"/>
      <c r="I2354" s="1050" t="str">
        <f t="shared" si="542"/>
        <v/>
      </c>
      <c r="J2354" s="696"/>
      <c r="K2354" s="697"/>
      <c r="L2354" s="696"/>
      <c r="M2354" s="198" t="str">
        <f t="shared" si="543"/>
        <v/>
      </c>
      <c r="N2354" s="369" t="str">
        <f t="shared" si="544"/>
        <v/>
      </c>
      <c r="O2354" s="183" t="str">
        <f t="shared" si="545"/>
        <v/>
      </c>
      <c r="P2354" s="199" t="str">
        <f t="shared" si="546"/>
        <v/>
      </c>
      <c r="Q2354" s="199" t="str">
        <f>IF(B2354="","",IFERROR(IF('עלויות כח אדם (6)'!J2354&gt;=VLOOKUP(I2354,'סיווג התפקידים והעלויות'!$B$23:$C$32,2,0),"תקין","לא תקין"),""))</f>
        <v/>
      </c>
      <c r="R2354" s="199" t="str">
        <f t="shared" si="547"/>
        <v/>
      </c>
      <c r="S2354" s="199" t="str">
        <f t="shared" si="548"/>
        <v/>
      </c>
      <c r="T2354" s="199" t="str">
        <f t="shared" si="556"/>
        <v/>
      </c>
      <c r="U2354" s="199" t="str">
        <f t="shared" si="549"/>
        <v/>
      </c>
      <c r="V2354" s="989"/>
      <c r="X2354" s="374" t="str">
        <f t="shared" si="550"/>
        <v/>
      </c>
      <c r="Y2354" s="375" t="str">
        <f t="shared" si="551"/>
        <v/>
      </c>
      <c r="Z2354" s="374" t="str">
        <f t="shared" si="552"/>
        <v/>
      </c>
      <c r="AA2354" s="374" t="b">
        <f t="shared" si="553"/>
        <v>1</v>
      </c>
      <c r="AB2354" s="374">
        <f>COUNTIFS(B:B,B2354,H:H,'סיווג התפקידים והעלויות'!$C$2)</f>
        <v>0</v>
      </c>
      <c r="AC2354" s="374">
        <f>COUNTIFS(B:B,B2354,H:H,'סיווג התפקידים והעלויות'!$D$2)</f>
        <v>0</v>
      </c>
      <c r="AD2354" s="374" t="str">
        <f>IF(OR(AND(H2354='סיווג התפקידים והעלויות'!$A$2,I2354='סיווג התפקידים והעלויות'!$A$3),'עלויות כח אדם (6)'!H2354='סיווג התפקידים והעלויות'!$C$2,'עלויות כח אדם (6)'!H2354='סיווג התפקידים והעלויות'!$D$2),IF('עלויות כח אדם (6)'!J2354&lt;75,"לא תקין","תקין"),"")</f>
        <v/>
      </c>
      <c r="AE2354" s="374" t="str">
        <f t="shared" si="554"/>
        <v/>
      </c>
      <c r="AF2354" s="532" t="str">
        <f t="shared" si="555"/>
        <v/>
      </c>
    </row>
    <row r="2355" spans="2:32" x14ac:dyDescent="0.25">
      <c r="B2355" s="695"/>
      <c r="C2355" s="197" t="str">
        <f>IF(B2355&lt;&gt;"",IFERROR(VLOOKUP(B:B,'מצבת והרשמה (2)'!$C$20:$N$520,2,0)," ")," ")</f>
        <v xml:space="preserve"> </v>
      </c>
      <c r="D2355" s="695"/>
      <c r="E2355" s="696"/>
      <c r="F2355" s="696"/>
      <c r="G2355" s="696"/>
      <c r="H2355" s="696"/>
      <c r="I2355" s="1050" t="str">
        <f t="shared" si="542"/>
        <v/>
      </c>
      <c r="J2355" s="696"/>
      <c r="K2355" s="697"/>
      <c r="L2355" s="696"/>
      <c r="M2355" s="198" t="str">
        <f t="shared" si="543"/>
        <v/>
      </c>
      <c r="N2355" s="369" t="str">
        <f t="shared" si="544"/>
        <v/>
      </c>
      <c r="O2355" s="183" t="str">
        <f t="shared" si="545"/>
        <v/>
      </c>
      <c r="P2355" s="199" t="str">
        <f t="shared" si="546"/>
        <v/>
      </c>
      <c r="Q2355" s="199" t="str">
        <f>IF(B2355="","",IFERROR(IF('עלויות כח אדם (6)'!J2355&gt;=VLOOKUP(I2355,'סיווג התפקידים והעלויות'!$B$23:$C$32,2,0),"תקין","לא תקין"),""))</f>
        <v/>
      </c>
      <c r="R2355" s="199" t="str">
        <f t="shared" si="547"/>
        <v/>
      </c>
      <c r="S2355" s="199" t="str">
        <f t="shared" si="548"/>
        <v/>
      </c>
      <c r="T2355" s="199" t="str">
        <f t="shared" si="556"/>
        <v/>
      </c>
      <c r="U2355" s="199" t="str">
        <f t="shared" si="549"/>
        <v/>
      </c>
      <c r="V2355" s="989"/>
      <c r="X2355" s="374" t="str">
        <f t="shared" si="550"/>
        <v/>
      </c>
      <c r="Y2355" s="375" t="str">
        <f t="shared" si="551"/>
        <v/>
      </c>
      <c r="Z2355" s="374" t="str">
        <f t="shared" si="552"/>
        <v/>
      </c>
      <c r="AA2355" s="374" t="b">
        <f t="shared" si="553"/>
        <v>1</v>
      </c>
      <c r="AB2355" s="374">
        <f>COUNTIFS(B:B,B2355,H:H,'סיווג התפקידים והעלויות'!$C$2)</f>
        <v>0</v>
      </c>
      <c r="AC2355" s="374">
        <f>COUNTIFS(B:B,B2355,H:H,'סיווג התפקידים והעלויות'!$D$2)</f>
        <v>0</v>
      </c>
      <c r="AD2355" s="374" t="str">
        <f>IF(OR(AND(H2355='סיווג התפקידים והעלויות'!$A$2,I2355='סיווג התפקידים והעלויות'!$A$3),'עלויות כח אדם (6)'!H2355='סיווג התפקידים והעלויות'!$C$2,'עלויות כח אדם (6)'!H2355='סיווג התפקידים והעלויות'!$D$2),IF('עלויות כח אדם (6)'!J2355&lt;75,"לא תקין","תקין"),"")</f>
        <v/>
      </c>
      <c r="AE2355" s="374" t="str">
        <f t="shared" si="554"/>
        <v/>
      </c>
      <c r="AF2355" s="532" t="str">
        <f t="shared" si="555"/>
        <v/>
      </c>
    </row>
    <row r="2356" spans="2:32" x14ac:dyDescent="0.25">
      <c r="B2356" s="695"/>
      <c r="C2356" s="197" t="str">
        <f>IF(B2356&lt;&gt;"",IFERROR(VLOOKUP(B:B,'מצבת והרשמה (2)'!$C$20:$N$520,2,0)," ")," ")</f>
        <v xml:space="preserve"> </v>
      </c>
      <c r="D2356" s="695"/>
      <c r="E2356" s="696"/>
      <c r="F2356" s="696"/>
      <c r="G2356" s="696"/>
      <c r="H2356" s="696"/>
      <c r="I2356" s="1050" t="str">
        <f t="shared" si="542"/>
        <v/>
      </c>
      <c r="J2356" s="696"/>
      <c r="K2356" s="697"/>
      <c r="L2356" s="696"/>
      <c r="M2356" s="198" t="str">
        <f t="shared" si="543"/>
        <v/>
      </c>
      <c r="N2356" s="369" t="str">
        <f t="shared" si="544"/>
        <v/>
      </c>
      <c r="O2356" s="183" t="str">
        <f t="shared" si="545"/>
        <v/>
      </c>
      <c r="P2356" s="199" t="str">
        <f t="shared" si="546"/>
        <v/>
      </c>
      <c r="Q2356" s="199" t="str">
        <f>IF(B2356="","",IFERROR(IF('עלויות כח אדם (6)'!J2356&gt;=VLOOKUP(I2356,'סיווג התפקידים והעלויות'!$B$23:$C$32,2,0),"תקין","לא תקין"),""))</f>
        <v/>
      </c>
      <c r="R2356" s="199" t="str">
        <f t="shared" si="547"/>
        <v/>
      </c>
      <c r="S2356" s="199" t="str">
        <f t="shared" si="548"/>
        <v/>
      </c>
      <c r="T2356" s="199" t="str">
        <f t="shared" si="556"/>
        <v/>
      </c>
      <c r="U2356" s="199" t="str">
        <f t="shared" si="549"/>
        <v/>
      </c>
      <c r="V2356" s="989"/>
      <c r="X2356" s="374" t="str">
        <f t="shared" si="550"/>
        <v/>
      </c>
      <c r="Y2356" s="375" t="str">
        <f t="shared" si="551"/>
        <v/>
      </c>
      <c r="Z2356" s="374" t="str">
        <f t="shared" si="552"/>
        <v/>
      </c>
      <c r="AA2356" s="374" t="b">
        <f t="shared" si="553"/>
        <v>1</v>
      </c>
      <c r="AB2356" s="374">
        <f>COUNTIFS(B:B,B2356,H:H,'סיווג התפקידים והעלויות'!$C$2)</f>
        <v>0</v>
      </c>
      <c r="AC2356" s="374">
        <f>COUNTIFS(B:B,B2356,H:H,'סיווג התפקידים והעלויות'!$D$2)</f>
        <v>0</v>
      </c>
      <c r="AD2356" s="374" t="str">
        <f>IF(OR(AND(H2356='סיווג התפקידים והעלויות'!$A$2,I2356='סיווג התפקידים והעלויות'!$A$3),'עלויות כח אדם (6)'!H2356='סיווג התפקידים והעלויות'!$C$2,'עלויות כח אדם (6)'!H2356='סיווג התפקידים והעלויות'!$D$2),IF('עלויות כח אדם (6)'!J2356&lt;75,"לא תקין","תקין"),"")</f>
        <v/>
      </c>
      <c r="AE2356" s="374" t="str">
        <f t="shared" si="554"/>
        <v/>
      </c>
      <c r="AF2356" s="532" t="str">
        <f t="shared" si="555"/>
        <v/>
      </c>
    </row>
    <row r="2357" spans="2:32" x14ac:dyDescent="0.25">
      <c r="B2357" s="695"/>
      <c r="C2357" s="197" t="str">
        <f>IF(B2357&lt;&gt;"",IFERROR(VLOOKUP(B:B,'מצבת והרשמה (2)'!$C$20:$N$520,2,0)," ")," ")</f>
        <v xml:space="preserve"> </v>
      </c>
      <c r="D2357" s="695"/>
      <c r="E2357" s="696"/>
      <c r="F2357" s="696"/>
      <c r="G2357" s="696"/>
      <c r="H2357" s="696"/>
      <c r="I2357" s="1050" t="str">
        <f t="shared" si="542"/>
        <v/>
      </c>
      <c r="J2357" s="696"/>
      <c r="K2357" s="697"/>
      <c r="L2357" s="696"/>
      <c r="M2357" s="198" t="str">
        <f t="shared" si="543"/>
        <v/>
      </c>
      <c r="N2357" s="369" t="str">
        <f t="shared" si="544"/>
        <v/>
      </c>
      <c r="O2357" s="183" t="str">
        <f t="shared" si="545"/>
        <v/>
      </c>
      <c r="P2357" s="199" t="str">
        <f t="shared" si="546"/>
        <v/>
      </c>
      <c r="Q2357" s="199" t="str">
        <f>IF(B2357="","",IFERROR(IF('עלויות כח אדם (6)'!J2357&gt;=VLOOKUP(I2357,'סיווג התפקידים והעלויות'!$B$23:$C$32,2,0),"תקין","לא תקין"),""))</f>
        <v/>
      </c>
      <c r="R2357" s="199" t="str">
        <f t="shared" si="547"/>
        <v/>
      </c>
      <c r="S2357" s="199" t="str">
        <f t="shared" si="548"/>
        <v/>
      </c>
      <c r="T2357" s="199" t="str">
        <f t="shared" si="556"/>
        <v/>
      </c>
      <c r="U2357" s="199" t="str">
        <f t="shared" si="549"/>
        <v/>
      </c>
      <c r="V2357" s="989"/>
      <c r="X2357" s="374" t="str">
        <f t="shared" si="550"/>
        <v/>
      </c>
      <c r="Y2357" s="375" t="str">
        <f t="shared" si="551"/>
        <v/>
      </c>
      <c r="Z2357" s="374" t="str">
        <f t="shared" si="552"/>
        <v/>
      </c>
      <c r="AA2357" s="374" t="b">
        <f t="shared" si="553"/>
        <v>1</v>
      </c>
      <c r="AB2357" s="374">
        <f>COUNTIFS(B:B,B2357,H:H,'סיווג התפקידים והעלויות'!$C$2)</f>
        <v>0</v>
      </c>
      <c r="AC2357" s="374">
        <f>COUNTIFS(B:B,B2357,H:H,'סיווג התפקידים והעלויות'!$D$2)</f>
        <v>0</v>
      </c>
      <c r="AD2357" s="374" t="str">
        <f>IF(OR(AND(H2357='סיווג התפקידים והעלויות'!$A$2,I2357='סיווג התפקידים והעלויות'!$A$3),'עלויות כח אדם (6)'!H2357='סיווג התפקידים והעלויות'!$C$2,'עלויות כח אדם (6)'!H2357='סיווג התפקידים והעלויות'!$D$2),IF('עלויות כח אדם (6)'!J2357&lt;75,"לא תקין","תקין"),"")</f>
        <v/>
      </c>
      <c r="AE2357" s="374" t="str">
        <f t="shared" si="554"/>
        <v/>
      </c>
      <c r="AF2357" s="532" t="str">
        <f t="shared" si="555"/>
        <v/>
      </c>
    </row>
    <row r="2358" spans="2:32" x14ac:dyDescent="0.25">
      <c r="B2358" s="695"/>
      <c r="C2358" s="197" t="str">
        <f>IF(B2358&lt;&gt;"",IFERROR(VLOOKUP(B:B,'מצבת והרשמה (2)'!$C$20:$N$520,2,0)," ")," ")</f>
        <v xml:space="preserve"> </v>
      </c>
      <c r="D2358" s="695"/>
      <c r="E2358" s="696"/>
      <c r="F2358" s="696"/>
      <c r="G2358" s="696"/>
      <c r="H2358" s="696"/>
      <c r="I2358" s="1050" t="str">
        <f t="shared" si="542"/>
        <v/>
      </c>
      <c r="J2358" s="696"/>
      <c r="K2358" s="697"/>
      <c r="L2358" s="696"/>
      <c r="M2358" s="198" t="str">
        <f t="shared" si="543"/>
        <v/>
      </c>
      <c r="N2358" s="369" t="str">
        <f t="shared" si="544"/>
        <v/>
      </c>
      <c r="O2358" s="183" t="str">
        <f t="shared" si="545"/>
        <v/>
      </c>
      <c r="P2358" s="199" t="str">
        <f t="shared" si="546"/>
        <v/>
      </c>
      <c r="Q2358" s="199" t="str">
        <f>IF(B2358="","",IFERROR(IF('עלויות כח אדם (6)'!J2358&gt;=VLOOKUP(I2358,'סיווג התפקידים והעלויות'!$B$23:$C$32,2,0),"תקין","לא תקין"),""))</f>
        <v/>
      </c>
      <c r="R2358" s="199" t="str">
        <f t="shared" si="547"/>
        <v/>
      </c>
      <c r="S2358" s="199" t="str">
        <f t="shared" si="548"/>
        <v/>
      </c>
      <c r="T2358" s="199" t="str">
        <f t="shared" si="556"/>
        <v/>
      </c>
      <c r="U2358" s="199" t="str">
        <f t="shared" si="549"/>
        <v/>
      </c>
      <c r="V2358" s="989"/>
      <c r="X2358" s="374" t="str">
        <f t="shared" si="550"/>
        <v/>
      </c>
      <c r="Y2358" s="375" t="str">
        <f t="shared" si="551"/>
        <v/>
      </c>
      <c r="Z2358" s="374" t="str">
        <f t="shared" si="552"/>
        <v/>
      </c>
      <c r="AA2358" s="374" t="b">
        <f t="shared" si="553"/>
        <v>1</v>
      </c>
      <c r="AB2358" s="374">
        <f>COUNTIFS(B:B,B2358,H:H,'סיווג התפקידים והעלויות'!$C$2)</f>
        <v>0</v>
      </c>
      <c r="AC2358" s="374">
        <f>COUNTIFS(B:B,B2358,H:H,'סיווג התפקידים והעלויות'!$D$2)</f>
        <v>0</v>
      </c>
      <c r="AD2358" s="374" t="str">
        <f>IF(OR(AND(H2358='סיווג התפקידים והעלויות'!$A$2,I2358='סיווג התפקידים והעלויות'!$A$3),'עלויות כח אדם (6)'!H2358='סיווג התפקידים והעלויות'!$C$2,'עלויות כח אדם (6)'!H2358='סיווג התפקידים והעלויות'!$D$2),IF('עלויות כח אדם (6)'!J2358&lt;75,"לא תקין","תקין"),"")</f>
        <v/>
      </c>
      <c r="AE2358" s="374" t="str">
        <f t="shared" si="554"/>
        <v/>
      </c>
      <c r="AF2358" s="532" t="str">
        <f t="shared" si="555"/>
        <v/>
      </c>
    </row>
    <row r="2359" spans="2:32" x14ac:dyDescent="0.25">
      <c r="B2359" s="695"/>
      <c r="C2359" s="197" t="str">
        <f>IF(B2359&lt;&gt;"",IFERROR(VLOOKUP(B:B,'מצבת והרשמה (2)'!$C$20:$N$520,2,0)," ")," ")</f>
        <v xml:space="preserve"> </v>
      </c>
      <c r="D2359" s="695"/>
      <c r="E2359" s="696"/>
      <c r="F2359" s="696"/>
      <c r="G2359" s="696"/>
      <c r="H2359" s="696"/>
      <c r="I2359" s="1050" t="str">
        <f t="shared" si="542"/>
        <v/>
      </c>
      <c r="J2359" s="696"/>
      <c r="K2359" s="697"/>
      <c r="L2359" s="696"/>
      <c r="M2359" s="198" t="str">
        <f t="shared" si="543"/>
        <v/>
      </c>
      <c r="N2359" s="369" t="str">
        <f t="shared" si="544"/>
        <v/>
      </c>
      <c r="O2359" s="183" t="str">
        <f t="shared" si="545"/>
        <v/>
      </c>
      <c r="P2359" s="199" t="str">
        <f t="shared" si="546"/>
        <v/>
      </c>
      <c r="Q2359" s="199" t="str">
        <f>IF(B2359="","",IFERROR(IF('עלויות כח אדם (6)'!J2359&gt;=VLOOKUP(I2359,'סיווג התפקידים והעלויות'!$B$23:$C$32,2,0),"תקין","לא תקין"),""))</f>
        <v/>
      </c>
      <c r="R2359" s="199" t="str">
        <f t="shared" si="547"/>
        <v/>
      </c>
      <c r="S2359" s="199" t="str">
        <f t="shared" si="548"/>
        <v/>
      </c>
      <c r="T2359" s="199" t="str">
        <f t="shared" si="556"/>
        <v/>
      </c>
      <c r="U2359" s="199" t="str">
        <f t="shared" si="549"/>
        <v/>
      </c>
      <c r="V2359" s="989"/>
      <c r="X2359" s="374" t="str">
        <f t="shared" si="550"/>
        <v/>
      </c>
      <c r="Y2359" s="375" t="str">
        <f t="shared" si="551"/>
        <v/>
      </c>
      <c r="Z2359" s="374" t="str">
        <f t="shared" si="552"/>
        <v/>
      </c>
      <c r="AA2359" s="374" t="b">
        <f t="shared" si="553"/>
        <v>1</v>
      </c>
      <c r="AB2359" s="374">
        <f>COUNTIFS(B:B,B2359,H:H,'סיווג התפקידים והעלויות'!$C$2)</f>
        <v>0</v>
      </c>
      <c r="AC2359" s="374">
        <f>COUNTIFS(B:B,B2359,H:H,'סיווג התפקידים והעלויות'!$D$2)</f>
        <v>0</v>
      </c>
      <c r="AD2359" s="374" t="str">
        <f>IF(OR(AND(H2359='סיווג התפקידים והעלויות'!$A$2,I2359='סיווג התפקידים והעלויות'!$A$3),'עלויות כח אדם (6)'!H2359='סיווג התפקידים והעלויות'!$C$2,'עלויות כח אדם (6)'!H2359='סיווג התפקידים והעלויות'!$D$2),IF('עלויות כח אדם (6)'!J2359&lt;75,"לא תקין","תקין"),"")</f>
        <v/>
      </c>
      <c r="AE2359" s="374" t="str">
        <f t="shared" si="554"/>
        <v/>
      </c>
      <c r="AF2359" s="532" t="str">
        <f t="shared" si="555"/>
        <v/>
      </c>
    </row>
    <row r="2360" spans="2:32" x14ac:dyDescent="0.25">
      <c r="B2360" s="695"/>
      <c r="C2360" s="197" t="str">
        <f>IF(B2360&lt;&gt;"",IFERROR(VLOOKUP(B:B,'מצבת והרשמה (2)'!$C$20:$N$520,2,0)," ")," ")</f>
        <v xml:space="preserve"> </v>
      </c>
      <c r="D2360" s="695"/>
      <c r="E2360" s="696"/>
      <c r="F2360" s="696"/>
      <c r="G2360" s="696"/>
      <c r="H2360" s="696"/>
      <c r="I2360" s="1050" t="str">
        <f t="shared" si="542"/>
        <v/>
      </c>
      <c r="J2360" s="696"/>
      <c r="K2360" s="697"/>
      <c r="L2360" s="696"/>
      <c r="M2360" s="198" t="str">
        <f t="shared" si="543"/>
        <v/>
      </c>
      <c r="N2360" s="369" t="str">
        <f t="shared" si="544"/>
        <v/>
      </c>
      <c r="O2360" s="183" t="str">
        <f t="shared" si="545"/>
        <v/>
      </c>
      <c r="P2360" s="199" t="str">
        <f t="shared" si="546"/>
        <v/>
      </c>
      <c r="Q2360" s="199" t="str">
        <f>IF(B2360="","",IFERROR(IF('עלויות כח אדם (6)'!J2360&gt;=VLOOKUP(I2360,'סיווג התפקידים והעלויות'!$B$23:$C$32,2,0),"תקין","לא תקין"),""))</f>
        <v/>
      </c>
      <c r="R2360" s="199" t="str">
        <f t="shared" si="547"/>
        <v/>
      </c>
      <c r="S2360" s="199" t="str">
        <f t="shared" si="548"/>
        <v/>
      </c>
      <c r="T2360" s="199" t="str">
        <f t="shared" si="556"/>
        <v/>
      </c>
      <c r="U2360" s="199" t="str">
        <f t="shared" si="549"/>
        <v/>
      </c>
      <c r="V2360" s="989"/>
      <c r="X2360" s="374" t="str">
        <f t="shared" si="550"/>
        <v/>
      </c>
      <c r="Y2360" s="375" t="str">
        <f t="shared" si="551"/>
        <v/>
      </c>
      <c r="Z2360" s="374" t="str">
        <f t="shared" si="552"/>
        <v/>
      </c>
      <c r="AA2360" s="374" t="b">
        <f t="shared" si="553"/>
        <v>1</v>
      </c>
      <c r="AB2360" s="374">
        <f>COUNTIFS(B:B,B2360,H:H,'סיווג התפקידים והעלויות'!$C$2)</f>
        <v>0</v>
      </c>
      <c r="AC2360" s="374">
        <f>COUNTIFS(B:B,B2360,H:H,'סיווג התפקידים והעלויות'!$D$2)</f>
        <v>0</v>
      </c>
      <c r="AD2360" s="374" t="str">
        <f>IF(OR(AND(H2360='סיווג התפקידים והעלויות'!$A$2,I2360='סיווג התפקידים והעלויות'!$A$3),'עלויות כח אדם (6)'!H2360='סיווג התפקידים והעלויות'!$C$2,'עלויות כח אדם (6)'!H2360='סיווג התפקידים והעלויות'!$D$2),IF('עלויות כח אדם (6)'!J2360&lt;75,"לא תקין","תקין"),"")</f>
        <v/>
      </c>
      <c r="AE2360" s="374" t="str">
        <f t="shared" si="554"/>
        <v/>
      </c>
      <c r="AF2360" s="532" t="str">
        <f t="shared" si="555"/>
        <v/>
      </c>
    </row>
    <row r="2361" spans="2:32" x14ac:dyDescent="0.25">
      <c r="B2361" s="695"/>
      <c r="C2361" s="197" t="str">
        <f>IF(B2361&lt;&gt;"",IFERROR(VLOOKUP(B:B,'מצבת והרשמה (2)'!$C$20:$N$520,2,0)," ")," ")</f>
        <v xml:space="preserve"> </v>
      </c>
      <c r="D2361" s="695"/>
      <c r="E2361" s="696"/>
      <c r="F2361" s="696"/>
      <c r="G2361" s="696"/>
      <c r="H2361" s="696"/>
      <c r="I2361" s="1050" t="str">
        <f t="shared" si="542"/>
        <v/>
      </c>
      <c r="J2361" s="696"/>
      <c r="K2361" s="697"/>
      <c r="L2361" s="696"/>
      <c r="M2361" s="198" t="str">
        <f t="shared" si="543"/>
        <v/>
      </c>
      <c r="N2361" s="369" t="str">
        <f t="shared" si="544"/>
        <v/>
      </c>
      <c r="O2361" s="183" t="str">
        <f t="shared" si="545"/>
        <v/>
      </c>
      <c r="P2361" s="199" t="str">
        <f t="shared" si="546"/>
        <v/>
      </c>
      <c r="Q2361" s="199" t="str">
        <f>IF(B2361="","",IFERROR(IF('עלויות כח אדם (6)'!J2361&gt;=VLOOKUP(I2361,'סיווג התפקידים והעלויות'!$B$23:$C$32,2,0),"תקין","לא תקין"),""))</f>
        <v/>
      </c>
      <c r="R2361" s="199" t="str">
        <f t="shared" si="547"/>
        <v/>
      </c>
      <c r="S2361" s="199" t="str">
        <f t="shared" si="548"/>
        <v/>
      </c>
      <c r="T2361" s="199" t="str">
        <f t="shared" si="556"/>
        <v/>
      </c>
      <c r="U2361" s="199" t="str">
        <f t="shared" si="549"/>
        <v/>
      </c>
      <c r="V2361" s="989"/>
      <c r="X2361" s="374" t="str">
        <f t="shared" si="550"/>
        <v/>
      </c>
      <c r="Y2361" s="375" t="str">
        <f t="shared" si="551"/>
        <v/>
      </c>
      <c r="Z2361" s="374" t="str">
        <f t="shared" si="552"/>
        <v/>
      </c>
      <c r="AA2361" s="374" t="b">
        <f t="shared" si="553"/>
        <v>1</v>
      </c>
      <c r="AB2361" s="374">
        <f>COUNTIFS(B:B,B2361,H:H,'סיווג התפקידים והעלויות'!$C$2)</f>
        <v>0</v>
      </c>
      <c r="AC2361" s="374">
        <f>COUNTIFS(B:B,B2361,H:H,'סיווג התפקידים והעלויות'!$D$2)</f>
        <v>0</v>
      </c>
      <c r="AD2361" s="374" t="str">
        <f>IF(OR(AND(H2361='סיווג התפקידים והעלויות'!$A$2,I2361='סיווג התפקידים והעלויות'!$A$3),'עלויות כח אדם (6)'!H2361='סיווג התפקידים והעלויות'!$C$2,'עלויות כח אדם (6)'!H2361='סיווג התפקידים והעלויות'!$D$2),IF('עלויות כח אדם (6)'!J2361&lt;75,"לא תקין","תקין"),"")</f>
        <v/>
      </c>
      <c r="AE2361" s="374" t="str">
        <f t="shared" si="554"/>
        <v/>
      </c>
      <c r="AF2361" s="532" t="str">
        <f t="shared" si="555"/>
        <v/>
      </c>
    </row>
    <row r="2362" spans="2:32" x14ac:dyDescent="0.25">
      <c r="B2362" s="695"/>
      <c r="C2362" s="197" t="str">
        <f>IF(B2362&lt;&gt;"",IFERROR(VLOOKUP(B:B,'מצבת והרשמה (2)'!$C$20:$N$520,2,0)," ")," ")</f>
        <v xml:space="preserve"> </v>
      </c>
      <c r="D2362" s="695"/>
      <c r="E2362" s="696"/>
      <c r="F2362" s="696"/>
      <c r="G2362" s="696"/>
      <c r="H2362" s="696"/>
      <c r="I2362" s="1050" t="str">
        <f t="shared" si="542"/>
        <v/>
      </c>
      <c r="J2362" s="696"/>
      <c r="K2362" s="697"/>
      <c r="L2362" s="696"/>
      <c r="M2362" s="198" t="str">
        <f t="shared" si="543"/>
        <v/>
      </c>
      <c r="N2362" s="369" t="str">
        <f t="shared" si="544"/>
        <v/>
      </c>
      <c r="O2362" s="183" t="str">
        <f t="shared" si="545"/>
        <v/>
      </c>
      <c r="P2362" s="199" t="str">
        <f t="shared" si="546"/>
        <v/>
      </c>
      <c r="Q2362" s="199" t="str">
        <f>IF(B2362="","",IFERROR(IF('עלויות כח אדם (6)'!J2362&gt;=VLOOKUP(I2362,'סיווג התפקידים והעלויות'!$B$23:$C$32,2,0),"תקין","לא תקין"),""))</f>
        <v/>
      </c>
      <c r="R2362" s="199" t="str">
        <f t="shared" si="547"/>
        <v/>
      </c>
      <c r="S2362" s="199" t="str">
        <f t="shared" si="548"/>
        <v/>
      </c>
      <c r="T2362" s="199" t="str">
        <f t="shared" si="556"/>
        <v/>
      </c>
      <c r="U2362" s="199" t="str">
        <f t="shared" si="549"/>
        <v/>
      </c>
      <c r="V2362" s="989"/>
      <c r="X2362" s="374" t="str">
        <f t="shared" si="550"/>
        <v/>
      </c>
      <c r="Y2362" s="375" t="str">
        <f t="shared" si="551"/>
        <v/>
      </c>
      <c r="Z2362" s="374" t="str">
        <f t="shared" si="552"/>
        <v/>
      </c>
      <c r="AA2362" s="374" t="b">
        <f t="shared" si="553"/>
        <v>1</v>
      </c>
      <c r="AB2362" s="374">
        <f>COUNTIFS(B:B,B2362,H:H,'סיווג התפקידים והעלויות'!$C$2)</f>
        <v>0</v>
      </c>
      <c r="AC2362" s="374">
        <f>COUNTIFS(B:B,B2362,H:H,'סיווג התפקידים והעלויות'!$D$2)</f>
        <v>0</v>
      </c>
      <c r="AD2362" s="374" t="str">
        <f>IF(OR(AND(H2362='סיווג התפקידים והעלויות'!$A$2,I2362='סיווג התפקידים והעלויות'!$A$3),'עלויות כח אדם (6)'!H2362='סיווג התפקידים והעלויות'!$C$2,'עלויות כח אדם (6)'!H2362='סיווג התפקידים והעלויות'!$D$2),IF('עלויות כח אדם (6)'!J2362&lt;75,"לא תקין","תקין"),"")</f>
        <v/>
      </c>
      <c r="AE2362" s="374" t="str">
        <f t="shared" si="554"/>
        <v/>
      </c>
      <c r="AF2362" s="532" t="str">
        <f t="shared" si="555"/>
        <v/>
      </c>
    </row>
    <row r="2363" spans="2:32" x14ac:dyDescent="0.25">
      <c r="B2363" s="695"/>
      <c r="C2363" s="197" t="str">
        <f>IF(B2363&lt;&gt;"",IFERROR(VLOOKUP(B:B,'מצבת והרשמה (2)'!$C$20:$N$520,2,0)," ")," ")</f>
        <v xml:space="preserve"> </v>
      </c>
      <c r="D2363" s="695"/>
      <c r="E2363" s="696"/>
      <c r="F2363" s="696"/>
      <c r="G2363" s="696"/>
      <c r="H2363" s="696"/>
      <c r="I2363" s="1050" t="str">
        <f t="shared" si="542"/>
        <v/>
      </c>
      <c r="J2363" s="696"/>
      <c r="K2363" s="697"/>
      <c r="L2363" s="696"/>
      <c r="M2363" s="198" t="str">
        <f t="shared" si="543"/>
        <v/>
      </c>
      <c r="N2363" s="369" t="str">
        <f t="shared" si="544"/>
        <v/>
      </c>
      <c r="O2363" s="183" t="str">
        <f t="shared" si="545"/>
        <v/>
      </c>
      <c r="P2363" s="199" t="str">
        <f t="shared" si="546"/>
        <v/>
      </c>
      <c r="Q2363" s="199" t="str">
        <f>IF(B2363="","",IFERROR(IF('עלויות כח אדם (6)'!J2363&gt;=VLOOKUP(I2363,'סיווג התפקידים והעלויות'!$B$23:$C$32,2,0),"תקין","לא תקין"),""))</f>
        <v/>
      </c>
      <c r="R2363" s="199" t="str">
        <f t="shared" si="547"/>
        <v/>
      </c>
      <c r="S2363" s="199" t="str">
        <f t="shared" si="548"/>
        <v/>
      </c>
      <c r="T2363" s="199" t="str">
        <f t="shared" si="556"/>
        <v/>
      </c>
      <c r="U2363" s="199" t="str">
        <f t="shared" si="549"/>
        <v/>
      </c>
      <c r="V2363" s="989"/>
      <c r="X2363" s="374" t="str">
        <f t="shared" si="550"/>
        <v/>
      </c>
      <c r="Y2363" s="375" t="str">
        <f t="shared" si="551"/>
        <v/>
      </c>
      <c r="Z2363" s="374" t="str">
        <f t="shared" si="552"/>
        <v/>
      </c>
      <c r="AA2363" s="374" t="b">
        <f t="shared" si="553"/>
        <v>1</v>
      </c>
      <c r="AB2363" s="374">
        <f>COUNTIFS(B:B,B2363,H:H,'סיווג התפקידים והעלויות'!$C$2)</f>
        <v>0</v>
      </c>
      <c r="AC2363" s="374">
        <f>COUNTIFS(B:B,B2363,H:H,'סיווג התפקידים והעלויות'!$D$2)</f>
        <v>0</v>
      </c>
      <c r="AD2363" s="374" t="str">
        <f>IF(OR(AND(H2363='סיווג התפקידים והעלויות'!$A$2,I2363='סיווג התפקידים והעלויות'!$A$3),'עלויות כח אדם (6)'!H2363='סיווג התפקידים והעלויות'!$C$2,'עלויות כח אדם (6)'!H2363='סיווג התפקידים והעלויות'!$D$2),IF('עלויות כח אדם (6)'!J2363&lt;75,"לא תקין","תקין"),"")</f>
        <v/>
      </c>
      <c r="AE2363" s="374" t="str">
        <f t="shared" si="554"/>
        <v/>
      </c>
      <c r="AF2363" s="532" t="str">
        <f t="shared" si="555"/>
        <v/>
      </c>
    </row>
    <row r="2364" spans="2:32" x14ac:dyDescent="0.25">
      <c r="B2364" s="695"/>
      <c r="C2364" s="197" t="str">
        <f>IF(B2364&lt;&gt;"",IFERROR(VLOOKUP(B:B,'מצבת והרשמה (2)'!$C$20:$N$520,2,0)," ")," ")</f>
        <v xml:space="preserve"> </v>
      </c>
      <c r="D2364" s="695"/>
      <c r="E2364" s="696"/>
      <c r="F2364" s="696"/>
      <c r="G2364" s="696"/>
      <c r="H2364" s="696"/>
      <c r="I2364" s="1050" t="str">
        <f t="shared" si="542"/>
        <v/>
      </c>
      <c r="J2364" s="696"/>
      <c r="K2364" s="697"/>
      <c r="L2364" s="696"/>
      <c r="M2364" s="198" t="str">
        <f t="shared" si="543"/>
        <v/>
      </c>
      <c r="N2364" s="369" t="str">
        <f t="shared" si="544"/>
        <v/>
      </c>
      <c r="O2364" s="183" t="str">
        <f t="shared" si="545"/>
        <v/>
      </c>
      <c r="P2364" s="199" t="str">
        <f t="shared" si="546"/>
        <v/>
      </c>
      <c r="Q2364" s="199" t="str">
        <f>IF(B2364="","",IFERROR(IF('עלויות כח אדם (6)'!J2364&gt;=VLOOKUP(I2364,'סיווג התפקידים והעלויות'!$B$23:$C$32,2,0),"תקין","לא תקין"),""))</f>
        <v/>
      </c>
      <c r="R2364" s="199" t="str">
        <f t="shared" si="547"/>
        <v/>
      </c>
      <c r="S2364" s="199" t="str">
        <f t="shared" si="548"/>
        <v/>
      </c>
      <c r="T2364" s="199" t="str">
        <f t="shared" si="556"/>
        <v/>
      </c>
      <c r="U2364" s="199" t="str">
        <f t="shared" si="549"/>
        <v/>
      </c>
      <c r="V2364" s="989"/>
      <c r="X2364" s="374" t="str">
        <f t="shared" si="550"/>
        <v/>
      </c>
      <c r="Y2364" s="375" t="str">
        <f t="shared" si="551"/>
        <v/>
      </c>
      <c r="Z2364" s="374" t="str">
        <f t="shared" si="552"/>
        <v/>
      </c>
      <c r="AA2364" s="374" t="b">
        <f t="shared" si="553"/>
        <v>1</v>
      </c>
      <c r="AB2364" s="374">
        <f>COUNTIFS(B:B,B2364,H:H,'סיווג התפקידים והעלויות'!$C$2)</f>
        <v>0</v>
      </c>
      <c r="AC2364" s="374">
        <f>COUNTIFS(B:B,B2364,H:H,'סיווג התפקידים והעלויות'!$D$2)</f>
        <v>0</v>
      </c>
      <c r="AD2364" s="374" t="str">
        <f>IF(OR(AND(H2364='סיווג התפקידים והעלויות'!$A$2,I2364='סיווג התפקידים והעלויות'!$A$3),'עלויות כח אדם (6)'!H2364='סיווג התפקידים והעלויות'!$C$2,'עלויות כח אדם (6)'!H2364='סיווג התפקידים והעלויות'!$D$2),IF('עלויות כח אדם (6)'!J2364&lt;75,"לא תקין","תקין"),"")</f>
        <v/>
      </c>
      <c r="AE2364" s="374" t="str">
        <f t="shared" si="554"/>
        <v/>
      </c>
      <c r="AF2364" s="532" t="str">
        <f t="shared" si="555"/>
        <v/>
      </c>
    </row>
    <row r="2365" spans="2:32" x14ac:dyDescent="0.25">
      <c r="B2365" s="695"/>
      <c r="C2365" s="197" t="str">
        <f>IF(B2365&lt;&gt;"",IFERROR(VLOOKUP(B:B,'מצבת והרשמה (2)'!$C$20:$N$520,2,0)," ")," ")</f>
        <v xml:space="preserve"> </v>
      </c>
      <c r="D2365" s="695"/>
      <c r="E2365" s="696"/>
      <c r="F2365" s="696"/>
      <c r="G2365" s="696"/>
      <c r="H2365" s="696"/>
      <c r="I2365" s="1050" t="str">
        <f t="shared" si="542"/>
        <v/>
      </c>
      <c r="J2365" s="696"/>
      <c r="K2365" s="697"/>
      <c r="L2365" s="696"/>
      <c r="M2365" s="198" t="str">
        <f t="shared" si="543"/>
        <v/>
      </c>
      <c r="N2365" s="369" t="str">
        <f t="shared" si="544"/>
        <v/>
      </c>
      <c r="O2365" s="183" t="str">
        <f t="shared" si="545"/>
        <v/>
      </c>
      <c r="P2365" s="199" t="str">
        <f t="shared" si="546"/>
        <v/>
      </c>
      <c r="Q2365" s="199" t="str">
        <f>IF(B2365="","",IFERROR(IF('עלויות כח אדם (6)'!J2365&gt;=VLOOKUP(I2365,'סיווג התפקידים והעלויות'!$B$23:$C$32,2,0),"תקין","לא תקין"),""))</f>
        <v/>
      </c>
      <c r="R2365" s="199" t="str">
        <f t="shared" si="547"/>
        <v/>
      </c>
      <c r="S2365" s="199" t="str">
        <f t="shared" si="548"/>
        <v/>
      </c>
      <c r="T2365" s="199" t="str">
        <f t="shared" si="556"/>
        <v/>
      </c>
      <c r="U2365" s="199" t="str">
        <f t="shared" si="549"/>
        <v/>
      </c>
      <c r="V2365" s="989"/>
      <c r="X2365" s="374" t="str">
        <f t="shared" si="550"/>
        <v/>
      </c>
      <c r="Y2365" s="375" t="str">
        <f t="shared" si="551"/>
        <v/>
      </c>
      <c r="Z2365" s="374" t="str">
        <f t="shared" si="552"/>
        <v/>
      </c>
      <c r="AA2365" s="374" t="b">
        <f t="shared" si="553"/>
        <v>1</v>
      </c>
      <c r="AB2365" s="374">
        <f>COUNTIFS(B:B,B2365,H:H,'סיווג התפקידים והעלויות'!$C$2)</f>
        <v>0</v>
      </c>
      <c r="AC2365" s="374">
        <f>COUNTIFS(B:B,B2365,H:H,'סיווג התפקידים והעלויות'!$D$2)</f>
        <v>0</v>
      </c>
      <c r="AD2365" s="374" t="str">
        <f>IF(OR(AND(H2365='סיווג התפקידים והעלויות'!$A$2,I2365='סיווג התפקידים והעלויות'!$A$3),'עלויות כח אדם (6)'!H2365='סיווג התפקידים והעלויות'!$C$2,'עלויות כח אדם (6)'!H2365='סיווג התפקידים והעלויות'!$D$2),IF('עלויות כח אדם (6)'!J2365&lt;75,"לא תקין","תקין"),"")</f>
        <v/>
      </c>
      <c r="AE2365" s="374" t="str">
        <f t="shared" si="554"/>
        <v/>
      </c>
      <c r="AF2365" s="532" t="str">
        <f t="shared" si="555"/>
        <v/>
      </c>
    </row>
    <row r="2366" spans="2:32" x14ac:dyDescent="0.25">
      <c r="B2366" s="695"/>
      <c r="C2366" s="197" t="str">
        <f>IF(B2366&lt;&gt;"",IFERROR(VLOOKUP(B:B,'מצבת והרשמה (2)'!$C$20:$N$520,2,0)," ")," ")</f>
        <v xml:space="preserve"> </v>
      </c>
      <c r="D2366" s="695"/>
      <c r="E2366" s="696"/>
      <c r="F2366" s="696"/>
      <c r="G2366" s="696"/>
      <c r="H2366" s="696"/>
      <c r="I2366" s="1050" t="str">
        <f t="shared" si="542"/>
        <v/>
      </c>
      <c r="J2366" s="696"/>
      <c r="K2366" s="697"/>
      <c r="L2366" s="696"/>
      <c r="M2366" s="198" t="str">
        <f t="shared" si="543"/>
        <v/>
      </c>
      <c r="N2366" s="369" t="str">
        <f t="shared" si="544"/>
        <v/>
      </c>
      <c r="O2366" s="183" t="str">
        <f t="shared" si="545"/>
        <v/>
      </c>
      <c r="P2366" s="199" t="str">
        <f t="shared" si="546"/>
        <v/>
      </c>
      <c r="Q2366" s="199" t="str">
        <f>IF(B2366="","",IFERROR(IF('עלויות כח אדם (6)'!J2366&gt;=VLOOKUP(I2366,'סיווג התפקידים והעלויות'!$B$23:$C$32,2,0),"תקין","לא תקין"),""))</f>
        <v/>
      </c>
      <c r="R2366" s="199" t="str">
        <f t="shared" si="547"/>
        <v/>
      </c>
      <c r="S2366" s="199" t="str">
        <f t="shared" si="548"/>
        <v/>
      </c>
      <c r="T2366" s="199" t="str">
        <f t="shared" si="556"/>
        <v/>
      </c>
      <c r="U2366" s="199" t="str">
        <f t="shared" si="549"/>
        <v/>
      </c>
      <c r="V2366" s="989"/>
      <c r="X2366" s="374" t="str">
        <f t="shared" si="550"/>
        <v/>
      </c>
      <c r="Y2366" s="375" t="str">
        <f t="shared" si="551"/>
        <v/>
      </c>
      <c r="Z2366" s="374" t="str">
        <f t="shared" si="552"/>
        <v/>
      </c>
      <c r="AA2366" s="374" t="b">
        <f t="shared" si="553"/>
        <v>1</v>
      </c>
      <c r="AB2366" s="374">
        <f>COUNTIFS(B:B,B2366,H:H,'סיווג התפקידים והעלויות'!$C$2)</f>
        <v>0</v>
      </c>
      <c r="AC2366" s="374">
        <f>COUNTIFS(B:B,B2366,H:H,'סיווג התפקידים והעלויות'!$D$2)</f>
        <v>0</v>
      </c>
      <c r="AD2366" s="374" t="str">
        <f>IF(OR(AND(H2366='סיווג התפקידים והעלויות'!$A$2,I2366='סיווג התפקידים והעלויות'!$A$3),'עלויות כח אדם (6)'!H2366='סיווג התפקידים והעלויות'!$C$2,'עלויות כח אדם (6)'!H2366='סיווג התפקידים והעלויות'!$D$2),IF('עלויות כח אדם (6)'!J2366&lt;75,"לא תקין","תקין"),"")</f>
        <v/>
      </c>
      <c r="AE2366" s="374" t="str">
        <f t="shared" si="554"/>
        <v/>
      </c>
      <c r="AF2366" s="532" t="str">
        <f t="shared" si="555"/>
        <v/>
      </c>
    </row>
    <row r="2367" spans="2:32" x14ac:dyDescent="0.25">
      <c r="B2367" s="695"/>
      <c r="C2367" s="197" t="str">
        <f>IF(B2367&lt;&gt;"",IFERROR(VLOOKUP(B:B,'מצבת והרשמה (2)'!$C$20:$N$520,2,0)," ")," ")</f>
        <v xml:space="preserve"> </v>
      </c>
      <c r="D2367" s="695"/>
      <c r="E2367" s="696"/>
      <c r="F2367" s="696"/>
      <c r="G2367" s="696"/>
      <c r="H2367" s="696"/>
      <c r="I2367" s="1050" t="str">
        <f t="shared" si="542"/>
        <v/>
      </c>
      <c r="J2367" s="696"/>
      <c r="K2367" s="697"/>
      <c r="L2367" s="696"/>
      <c r="M2367" s="198" t="str">
        <f t="shared" si="543"/>
        <v/>
      </c>
      <c r="N2367" s="369" t="str">
        <f t="shared" si="544"/>
        <v/>
      </c>
      <c r="O2367" s="183" t="str">
        <f t="shared" si="545"/>
        <v/>
      </c>
      <c r="P2367" s="199" t="str">
        <f t="shared" si="546"/>
        <v/>
      </c>
      <c r="Q2367" s="199" t="str">
        <f>IF(B2367="","",IFERROR(IF('עלויות כח אדם (6)'!J2367&gt;=VLOOKUP(I2367,'סיווג התפקידים והעלויות'!$B$23:$C$32,2,0),"תקין","לא תקין"),""))</f>
        <v/>
      </c>
      <c r="R2367" s="199" t="str">
        <f t="shared" si="547"/>
        <v/>
      </c>
      <c r="S2367" s="199" t="str">
        <f t="shared" si="548"/>
        <v/>
      </c>
      <c r="T2367" s="199" t="str">
        <f t="shared" si="556"/>
        <v/>
      </c>
      <c r="U2367" s="199" t="str">
        <f t="shared" si="549"/>
        <v/>
      </c>
      <c r="V2367" s="989"/>
      <c r="X2367" s="374" t="str">
        <f t="shared" si="550"/>
        <v/>
      </c>
      <c r="Y2367" s="375" t="str">
        <f t="shared" si="551"/>
        <v/>
      </c>
      <c r="Z2367" s="374" t="str">
        <f t="shared" si="552"/>
        <v/>
      </c>
      <c r="AA2367" s="374" t="b">
        <f t="shared" si="553"/>
        <v>1</v>
      </c>
      <c r="AB2367" s="374">
        <f>COUNTIFS(B:B,B2367,H:H,'סיווג התפקידים והעלויות'!$C$2)</f>
        <v>0</v>
      </c>
      <c r="AC2367" s="374">
        <f>COUNTIFS(B:B,B2367,H:H,'סיווג התפקידים והעלויות'!$D$2)</f>
        <v>0</v>
      </c>
      <c r="AD2367" s="374" t="str">
        <f>IF(OR(AND(H2367='סיווג התפקידים והעלויות'!$A$2,I2367='סיווג התפקידים והעלויות'!$A$3),'עלויות כח אדם (6)'!H2367='סיווג התפקידים והעלויות'!$C$2,'עלויות כח אדם (6)'!H2367='סיווג התפקידים והעלויות'!$D$2),IF('עלויות כח אדם (6)'!J2367&lt;75,"לא תקין","תקין"),"")</f>
        <v/>
      </c>
      <c r="AE2367" s="374" t="str">
        <f t="shared" si="554"/>
        <v/>
      </c>
      <c r="AF2367" s="532" t="str">
        <f t="shared" si="555"/>
        <v/>
      </c>
    </row>
    <row r="2368" spans="2:32" x14ac:dyDescent="0.25">
      <c r="B2368" s="695"/>
      <c r="C2368" s="197" t="str">
        <f>IF(B2368&lt;&gt;"",IFERROR(VLOOKUP(B:B,'מצבת והרשמה (2)'!$C$20:$N$520,2,0)," ")," ")</f>
        <v xml:space="preserve"> </v>
      </c>
      <c r="D2368" s="695"/>
      <c r="E2368" s="696"/>
      <c r="F2368" s="696"/>
      <c r="G2368" s="696"/>
      <c r="H2368" s="696"/>
      <c r="I2368" s="1050" t="str">
        <f t="shared" si="542"/>
        <v/>
      </c>
      <c r="J2368" s="696"/>
      <c r="K2368" s="697"/>
      <c r="L2368" s="696"/>
      <c r="M2368" s="198" t="str">
        <f t="shared" si="543"/>
        <v/>
      </c>
      <c r="N2368" s="369" t="str">
        <f t="shared" si="544"/>
        <v/>
      </c>
      <c r="O2368" s="183" t="str">
        <f t="shared" si="545"/>
        <v/>
      </c>
      <c r="P2368" s="199" t="str">
        <f t="shared" si="546"/>
        <v/>
      </c>
      <c r="Q2368" s="199" t="str">
        <f>IF(B2368="","",IFERROR(IF('עלויות כח אדם (6)'!J2368&gt;=VLOOKUP(I2368,'סיווג התפקידים והעלויות'!$B$23:$C$32,2,0),"תקין","לא תקין"),""))</f>
        <v/>
      </c>
      <c r="R2368" s="199" t="str">
        <f t="shared" si="547"/>
        <v/>
      </c>
      <c r="S2368" s="199" t="str">
        <f t="shared" si="548"/>
        <v/>
      </c>
      <c r="T2368" s="199" t="str">
        <f t="shared" si="556"/>
        <v/>
      </c>
      <c r="U2368" s="199" t="str">
        <f t="shared" si="549"/>
        <v/>
      </c>
      <c r="V2368" s="989"/>
      <c r="X2368" s="374" t="str">
        <f t="shared" si="550"/>
        <v/>
      </c>
      <c r="Y2368" s="375" t="str">
        <f t="shared" si="551"/>
        <v/>
      </c>
      <c r="Z2368" s="374" t="str">
        <f t="shared" si="552"/>
        <v/>
      </c>
      <c r="AA2368" s="374" t="b">
        <f t="shared" si="553"/>
        <v>1</v>
      </c>
      <c r="AB2368" s="374">
        <f>COUNTIFS(B:B,B2368,H:H,'סיווג התפקידים והעלויות'!$C$2)</f>
        <v>0</v>
      </c>
      <c r="AC2368" s="374">
        <f>COUNTIFS(B:B,B2368,H:H,'סיווג התפקידים והעלויות'!$D$2)</f>
        <v>0</v>
      </c>
      <c r="AD2368" s="374" t="str">
        <f>IF(OR(AND(H2368='סיווג התפקידים והעלויות'!$A$2,I2368='סיווג התפקידים והעלויות'!$A$3),'עלויות כח אדם (6)'!H2368='סיווג התפקידים והעלויות'!$C$2,'עלויות כח אדם (6)'!H2368='סיווג התפקידים והעלויות'!$D$2),IF('עלויות כח אדם (6)'!J2368&lt;75,"לא תקין","תקין"),"")</f>
        <v/>
      </c>
      <c r="AE2368" s="374" t="str">
        <f t="shared" si="554"/>
        <v/>
      </c>
      <c r="AF2368" s="532" t="str">
        <f t="shared" si="555"/>
        <v/>
      </c>
    </row>
    <row r="2369" spans="2:32" x14ac:dyDescent="0.25">
      <c r="B2369" s="695"/>
      <c r="C2369" s="197" t="str">
        <f>IF(B2369&lt;&gt;"",IFERROR(VLOOKUP(B:B,'מצבת והרשמה (2)'!$C$20:$N$520,2,0)," ")," ")</f>
        <v xml:space="preserve"> </v>
      </c>
      <c r="D2369" s="695"/>
      <c r="E2369" s="696"/>
      <c r="F2369" s="696"/>
      <c r="G2369" s="696"/>
      <c r="H2369" s="696"/>
      <c r="I2369" s="1050" t="str">
        <f t="shared" si="542"/>
        <v/>
      </c>
      <c r="J2369" s="696"/>
      <c r="K2369" s="697"/>
      <c r="L2369" s="696"/>
      <c r="M2369" s="198" t="str">
        <f t="shared" si="543"/>
        <v/>
      </c>
      <c r="N2369" s="369" t="str">
        <f t="shared" si="544"/>
        <v/>
      </c>
      <c r="O2369" s="183" t="str">
        <f t="shared" si="545"/>
        <v/>
      </c>
      <c r="P2369" s="199" t="str">
        <f t="shared" si="546"/>
        <v/>
      </c>
      <c r="Q2369" s="199" t="str">
        <f>IF(B2369="","",IFERROR(IF('עלויות כח אדם (6)'!J2369&gt;=VLOOKUP(I2369,'סיווג התפקידים והעלויות'!$B$23:$C$32,2,0),"תקין","לא תקין"),""))</f>
        <v/>
      </c>
      <c r="R2369" s="199" t="str">
        <f t="shared" si="547"/>
        <v/>
      </c>
      <c r="S2369" s="199" t="str">
        <f t="shared" si="548"/>
        <v/>
      </c>
      <c r="T2369" s="199" t="str">
        <f t="shared" si="556"/>
        <v/>
      </c>
      <c r="U2369" s="199" t="str">
        <f t="shared" si="549"/>
        <v/>
      </c>
      <c r="V2369" s="989"/>
      <c r="X2369" s="374" t="str">
        <f t="shared" si="550"/>
        <v/>
      </c>
      <c r="Y2369" s="375" t="str">
        <f t="shared" si="551"/>
        <v/>
      </c>
      <c r="Z2369" s="374" t="str">
        <f t="shared" si="552"/>
        <v/>
      </c>
      <c r="AA2369" s="374" t="b">
        <f t="shared" si="553"/>
        <v>1</v>
      </c>
      <c r="AB2369" s="374">
        <f>COUNTIFS(B:B,B2369,H:H,'סיווג התפקידים והעלויות'!$C$2)</f>
        <v>0</v>
      </c>
      <c r="AC2369" s="374">
        <f>COUNTIFS(B:B,B2369,H:H,'סיווג התפקידים והעלויות'!$D$2)</f>
        <v>0</v>
      </c>
      <c r="AD2369" s="374" t="str">
        <f>IF(OR(AND(H2369='סיווג התפקידים והעלויות'!$A$2,I2369='סיווג התפקידים והעלויות'!$A$3),'עלויות כח אדם (6)'!H2369='סיווג התפקידים והעלויות'!$C$2,'עלויות כח אדם (6)'!H2369='סיווג התפקידים והעלויות'!$D$2),IF('עלויות כח אדם (6)'!J2369&lt;75,"לא תקין","תקין"),"")</f>
        <v/>
      </c>
      <c r="AE2369" s="374" t="str">
        <f t="shared" si="554"/>
        <v/>
      </c>
      <c r="AF2369" s="532" t="str">
        <f t="shared" si="555"/>
        <v/>
      </c>
    </row>
    <row r="2370" spans="2:32" x14ac:dyDescent="0.25">
      <c r="B2370" s="695"/>
      <c r="C2370" s="197" t="str">
        <f>IF(B2370&lt;&gt;"",IFERROR(VLOOKUP(B:B,'מצבת והרשמה (2)'!$C$20:$N$520,2,0)," ")," ")</f>
        <v xml:space="preserve"> </v>
      </c>
      <c r="D2370" s="695"/>
      <c r="E2370" s="696"/>
      <c r="F2370" s="696"/>
      <c r="G2370" s="696"/>
      <c r="H2370" s="696"/>
      <c r="I2370" s="1050" t="str">
        <f t="shared" si="542"/>
        <v/>
      </c>
      <c r="J2370" s="696"/>
      <c r="K2370" s="697"/>
      <c r="L2370" s="696"/>
      <c r="M2370" s="198" t="str">
        <f t="shared" si="543"/>
        <v/>
      </c>
      <c r="N2370" s="369" t="str">
        <f t="shared" si="544"/>
        <v/>
      </c>
      <c r="O2370" s="183" t="str">
        <f t="shared" si="545"/>
        <v/>
      </c>
      <c r="P2370" s="199" t="str">
        <f t="shared" si="546"/>
        <v/>
      </c>
      <c r="Q2370" s="199" t="str">
        <f>IF(B2370="","",IFERROR(IF('עלויות כח אדם (6)'!J2370&gt;=VLOOKUP(I2370,'סיווג התפקידים והעלויות'!$B$23:$C$32,2,0),"תקין","לא תקין"),""))</f>
        <v/>
      </c>
      <c r="R2370" s="199" t="str">
        <f t="shared" si="547"/>
        <v/>
      </c>
      <c r="S2370" s="199" t="str">
        <f t="shared" si="548"/>
        <v/>
      </c>
      <c r="T2370" s="199" t="str">
        <f t="shared" si="556"/>
        <v/>
      </c>
      <c r="U2370" s="199" t="str">
        <f t="shared" si="549"/>
        <v/>
      </c>
      <c r="V2370" s="989"/>
      <c r="X2370" s="374" t="str">
        <f t="shared" si="550"/>
        <v/>
      </c>
      <c r="Y2370" s="375" t="str">
        <f t="shared" si="551"/>
        <v/>
      </c>
      <c r="Z2370" s="374" t="str">
        <f t="shared" si="552"/>
        <v/>
      </c>
      <c r="AA2370" s="374" t="b">
        <f t="shared" si="553"/>
        <v>1</v>
      </c>
      <c r="AB2370" s="374">
        <f>COUNTIFS(B:B,B2370,H:H,'סיווג התפקידים והעלויות'!$C$2)</f>
        <v>0</v>
      </c>
      <c r="AC2370" s="374">
        <f>COUNTIFS(B:B,B2370,H:H,'סיווג התפקידים והעלויות'!$D$2)</f>
        <v>0</v>
      </c>
      <c r="AD2370" s="374" t="str">
        <f>IF(OR(AND(H2370='סיווג התפקידים והעלויות'!$A$2,I2370='סיווג התפקידים והעלויות'!$A$3),'עלויות כח אדם (6)'!H2370='סיווג התפקידים והעלויות'!$C$2,'עלויות כח אדם (6)'!H2370='סיווג התפקידים והעלויות'!$D$2),IF('עלויות כח אדם (6)'!J2370&lt;75,"לא תקין","תקין"),"")</f>
        <v/>
      </c>
      <c r="AE2370" s="374" t="str">
        <f t="shared" si="554"/>
        <v/>
      </c>
      <c r="AF2370" s="532" t="str">
        <f t="shared" si="555"/>
        <v/>
      </c>
    </row>
    <row r="2371" spans="2:32" x14ac:dyDescent="0.25">
      <c r="B2371" s="695"/>
      <c r="C2371" s="197" t="str">
        <f>IF(B2371&lt;&gt;"",IFERROR(VLOOKUP(B:B,'מצבת והרשמה (2)'!$C$20:$N$520,2,0)," ")," ")</f>
        <v xml:space="preserve"> </v>
      </c>
      <c r="D2371" s="695"/>
      <c r="E2371" s="696"/>
      <c r="F2371" s="696"/>
      <c r="G2371" s="696"/>
      <c r="H2371" s="696"/>
      <c r="I2371" s="1050" t="str">
        <f t="shared" si="542"/>
        <v/>
      </c>
      <c r="J2371" s="696"/>
      <c r="K2371" s="697"/>
      <c r="L2371" s="696"/>
      <c r="M2371" s="198" t="str">
        <f t="shared" si="543"/>
        <v/>
      </c>
      <c r="N2371" s="369" t="str">
        <f t="shared" si="544"/>
        <v/>
      </c>
      <c r="O2371" s="183" t="str">
        <f t="shared" si="545"/>
        <v/>
      </c>
      <c r="P2371" s="199" t="str">
        <f t="shared" si="546"/>
        <v/>
      </c>
      <c r="Q2371" s="199" t="str">
        <f>IF(B2371="","",IFERROR(IF('עלויות כח אדם (6)'!J2371&gt;=VLOOKUP(I2371,'סיווג התפקידים והעלויות'!$B$23:$C$32,2,0),"תקין","לא תקין"),""))</f>
        <v/>
      </c>
      <c r="R2371" s="199" t="str">
        <f t="shared" si="547"/>
        <v/>
      </c>
      <c r="S2371" s="199" t="str">
        <f t="shared" si="548"/>
        <v/>
      </c>
      <c r="T2371" s="199" t="str">
        <f t="shared" si="556"/>
        <v/>
      </c>
      <c r="U2371" s="199" t="str">
        <f t="shared" si="549"/>
        <v/>
      </c>
      <c r="V2371" s="989"/>
      <c r="X2371" s="374" t="str">
        <f t="shared" si="550"/>
        <v/>
      </c>
      <c r="Y2371" s="375" t="str">
        <f t="shared" si="551"/>
        <v/>
      </c>
      <c r="Z2371" s="374" t="str">
        <f t="shared" si="552"/>
        <v/>
      </c>
      <c r="AA2371" s="374" t="b">
        <f t="shared" si="553"/>
        <v>1</v>
      </c>
      <c r="AB2371" s="374">
        <f>COUNTIFS(B:B,B2371,H:H,'סיווג התפקידים והעלויות'!$C$2)</f>
        <v>0</v>
      </c>
      <c r="AC2371" s="374">
        <f>COUNTIFS(B:B,B2371,H:H,'סיווג התפקידים והעלויות'!$D$2)</f>
        <v>0</v>
      </c>
      <c r="AD2371" s="374" t="str">
        <f>IF(OR(AND(H2371='סיווג התפקידים והעלויות'!$A$2,I2371='סיווג התפקידים והעלויות'!$A$3),'עלויות כח אדם (6)'!H2371='סיווג התפקידים והעלויות'!$C$2,'עלויות כח אדם (6)'!H2371='סיווג התפקידים והעלויות'!$D$2),IF('עלויות כח אדם (6)'!J2371&lt;75,"לא תקין","תקין"),"")</f>
        <v/>
      </c>
      <c r="AE2371" s="374" t="str">
        <f t="shared" si="554"/>
        <v/>
      </c>
      <c r="AF2371" s="532" t="str">
        <f t="shared" si="555"/>
        <v/>
      </c>
    </row>
    <row r="2372" spans="2:32" x14ac:dyDescent="0.25">
      <c r="B2372" s="695"/>
      <c r="C2372" s="197" t="str">
        <f>IF(B2372&lt;&gt;"",IFERROR(VLOOKUP(B:B,'מצבת והרשמה (2)'!$C$20:$N$520,2,0)," ")," ")</f>
        <v xml:space="preserve"> </v>
      </c>
      <c r="D2372" s="695"/>
      <c r="E2372" s="696"/>
      <c r="F2372" s="696"/>
      <c r="G2372" s="696"/>
      <c r="H2372" s="696"/>
      <c r="I2372" s="1050" t="str">
        <f t="shared" si="542"/>
        <v/>
      </c>
      <c r="J2372" s="696"/>
      <c r="K2372" s="697"/>
      <c r="L2372" s="696"/>
      <c r="M2372" s="198" t="str">
        <f t="shared" si="543"/>
        <v/>
      </c>
      <c r="N2372" s="369" t="str">
        <f t="shared" si="544"/>
        <v/>
      </c>
      <c r="O2372" s="183" t="str">
        <f t="shared" si="545"/>
        <v/>
      </c>
      <c r="P2372" s="199" t="str">
        <f t="shared" si="546"/>
        <v/>
      </c>
      <c r="Q2372" s="199" t="str">
        <f>IF(B2372="","",IFERROR(IF('עלויות כח אדם (6)'!J2372&gt;=VLOOKUP(I2372,'סיווג התפקידים והעלויות'!$B$23:$C$32,2,0),"תקין","לא תקין"),""))</f>
        <v/>
      </c>
      <c r="R2372" s="199" t="str">
        <f t="shared" si="547"/>
        <v/>
      </c>
      <c r="S2372" s="199" t="str">
        <f t="shared" si="548"/>
        <v/>
      </c>
      <c r="T2372" s="199" t="str">
        <f t="shared" si="556"/>
        <v/>
      </c>
      <c r="U2372" s="199" t="str">
        <f t="shared" si="549"/>
        <v/>
      </c>
      <c r="V2372" s="989"/>
      <c r="X2372" s="374" t="str">
        <f t="shared" si="550"/>
        <v/>
      </c>
      <c r="Y2372" s="375" t="str">
        <f t="shared" si="551"/>
        <v/>
      </c>
      <c r="Z2372" s="374" t="str">
        <f t="shared" si="552"/>
        <v/>
      </c>
      <c r="AA2372" s="374" t="b">
        <f t="shared" si="553"/>
        <v>1</v>
      </c>
      <c r="AB2372" s="374">
        <f>COUNTIFS(B:B,B2372,H:H,'סיווג התפקידים והעלויות'!$C$2)</f>
        <v>0</v>
      </c>
      <c r="AC2372" s="374">
        <f>COUNTIFS(B:B,B2372,H:H,'סיווג התפקידים והעלויות'!$D$2)</f>
        <v>0</v>
      </c>
      <c r="AD2372" s="374" t="str">
        <f>IF(OR(AND(H2372='סיווג התפקידים והעלויות'!$A$2,I2372='סיווג התפקידים והעלויות'!$A$3),'עלויות כח אדם (6)'!H2372='סיווג התפקידים והעלויות'!$C$2,'עלויות כח אדם (6)'!H2372='סיווג התפקידים והעלויות'!$D$2),IF('עלויות כח אדם (6)'!J2372&lt;75,"לא תקין","תקין"),"")</f>
        <v/>
      </c>
      <c r="AE2372" s="374" t="str">
        <f t="shared" si="554"/>
        <v/>
      </c>
      <c r="AF2372" s="532" t="str">
        <f t="shared" si="555"/>
        <v/>
      </c>
    </row>
    <row r="2373" spans="2:32" x14ac:dyDescent="0.25">
      <c r="B2373" s="695"/>
      <c r="C2373" s="197" t="str">
        <f>IF(B2373&lt;&gt;"",IFERROR(VLOOKUP(B:B,'מצבת והרשמה (2)'!$C$20:$N$520,2,0)," ")," ")</f>
        <v xml:space="preserve"> </v>
      </c>
      <c r="D2373" s="695"/>
      <c r="E2373" s="696"/>
      <c r="F2373" s="696"/>
      <c r="G2373" s="696"/>
      <c r="H2373" s="696"/>
      <c r="I2373" s="1050" t="str">
        <f t="shared" si="542"/>
        <v/>
      </c>
      <c r="J2373" s="696"/>
      <c r="K2373" s="697"/>
      <c r="L2373" s="696"/>
      <c r="M2373" s="198" t="str">
        <f t="shared" si="543"/>
        <v/>
      </c>
      <c r="N2373" s="369" t="str">
        <f t="shared" si="544"/>
        <v/>
      </c>
      <c r="O2373" s="183" t="str">
        <f t="shared" si="545"/>
        <v/>
      </c>
      <c r="P2373" s="199" t="str">
        <f t="shared" si="546"/>
        <v/>
      </c>
      <c r="Q2373" s="199" t="str">
        <f>IF(B2373="","",IFERROR(IF('עלויות כח אדם (6)'!J2373&gt;=VLOOKUP(I2373,'סיווג התפקידים והעלויות'!$B$23:$C$32,2,0),"תקין","לא תקין"),""))</f>
        <v/>
      </c>
      <c r="R2373" s="199" t="str">
        <f t="shared" si="547"/>
        <v/>
      </c>
      <c r="S2373" s="199" t="str">
        <f t="shared" si="548"/>
        <v/>
      </c>
      <c r="T2373" s="199" t="str">
        <f t="shared" si="556"/>
        <v/>
      </c>
      <c r="U2373" s="199" t="str">
        <f t="shared" si="549"/>
        <v/>
      </c>
      <c r="V2373" s="989"/>
      <c r="X2373" s="374" t="str">
        <f t="shared" si="550"/>
        <v/>
      </c>
      <c r="Y2373" s="375" t="str">
        <f t="shared" si="551"/>
        <v/>
      </c>
      <c r="Z2373" s="374" t="str">
        <f t="shared" si="552"/>
        <v/>
      </c>
      <c r="AA2373" s="374" t="b">
        <f t="shared" si="553"/>
        <v>1</v>
      </c>
      <c r="AB2373" s="374">
        <f>COUNTIFS(B:B,B2373,H:H,'סיווג התפקידים והעלויות'!$C$2)</f>
        <v>0</v>
      </c>
      <c r="AC2373" s="374">
        <f>COUNTIFS(B:B,B2373,H:H,'סיווג התפקידים והעלויות'!$D$2)</f>
        <v>0</v>
      </c>
      <c r="AD2373" s="374" t="str">
        <f>IF(OR(AND(H2373='סיווג התפקידים והעלויות'!$A$2,I2373='סיווג התפקידים והעלויות'!$A$3),'עלויות כח אדם (6)'!H2373='סיווג התפקידים והעלויות'!$C$2,'עלויות כח אדם (6)'!H2373='סיווג התפקידים והעלויות'!$D$2),IF('עלויות כח אדם (6)'!J2373&lt;75,"לא תקין","תקין"),"")</f>
        <v/>
      </c>
      <c r="AE2373" s="374" t="str">
        <f t="shared" si="554"/>
        <v/>
      </c>
      <c r="AF2373" s="532" t="str">
        <f t="shared" si="555"/>
        <v/>
      </c>
    </row>
    <row r="2374" spans="2:32" x14ac:dyDescent="0.25">
      <c r="B2374" s="695"/>
      <c r="C2374" s="197" t="str">
        <f>IF(B2374&lt;&gt;"",IFERROR(VLOOKUP(B:B,'מצבת והרשמה (2)'!$C$20:$N$520,2,0)," ")," ")</f>
        <v xml:space="preserve"> </v>
      </c>
      <c r="D2374" s="695"/>
      <c r="E2374" s="696"/>
      <c r="F2374" s="696"/>
      <c r="G2374" s="696"/>
      <c r="H2374" s="696"/>
      <c r="I2374" s="1050" t="str">
        <f t="shared" si="542"/>
        <v/>
      </c>
      <c r="J2374" s="696"/>
      <c r="K2374" s="697"/>
      <c r="L2374" s="696"/>
      <c r="M2374" s="198" t="str">
        <f t="shared" si="543"/>
        <v/>
      </c>
      <c r="N2374" s="369" t="str">
        <f t="shared" si="544"/>
        <v/>
      </c>
      <c r="O2374" s="183" t="str">
        <f t="shared" si="545"/>
        <v/>
      </c>
      <c r="P2374" s="199" t="str">
        <f t="shared" si="546"/>
        <v/>
      </c>
      <c r="Q2374" s="199" t="str">
        <f>IF(B2374="","",IFERROR(IF('עלויות כח אדם (6)'!J2374&gt;=VLOOKUP(I2374,'סיווג התפקידים והעלויות'!$B$23:$C$32,2,0),"תקין","לא תקין"),""))</f>
        <v/>
      </c>
      <c r="R2374" s="199" t="str">
        <f t="shared" si="547"/>
        <v/>
      </c>
      <c r="S2374" s="199" t="str">
        <f t="shared" si="548"/>
        <v/>
      </c>
      <c r="T2374" s="199" t="str">
        <f t="shared" si="556"/>
        <v/>
      </c>
      <c r="U2374" s="199" t="str">
        <f t="shared" si="549"/>
        <v/>
      </c>
      <c r="V2374" s="989"/>
      <c r="X2374" s="374" t="str">
        <f t="shared" si="550"/>
        <v/>
      </c>
      <c r="Y2374" s="375" t="str">
        <f t="shared" si="551"/>
        <v/>
      </c>
      <c r="Z2374" s="374" t="str">
        <f t="shared" si="552"/>
        <v/>
      </c>
      <c r="AA2374" s="374" t="b">
        <f t="shared" si="553"/>
        <v>1</v>
      </c>
      <c r="AB2374" s="374">
        <f>COUNTIFS(B:B,B2374,H:H,'סיווג התפקידים והעלויות'!$C$2)</f>
        <v>0</v>
      </c>
      <c r="AC2374" s="374">
        <f>COUNTIFS(B:B,B2374,H:H,'סיווג התפקידים והעלויות'!$D$2)</f>
        <v>0</v>
      </c>
      <c r="AD2374" s="374" t="str">
        <f>IF(OR(AND(H2374='סיווג התפקידים והעלויות'!$A$2,I2374='סיווג התפקידים והעלויות'!$A$3),'עלויות כח אדם (6)'!H2374='סיווג התפקידים והעלויות'!$C$2,'עלויות כח אדם (6)'!H2374='סיווג התפקידים והעלויות'!$D$2),IF('עלויות כח אדם (6)'!J2374&lt;75,"לא תקין","תקין"),"")</f>
        <v/>
      </c>
      <c r="AE2374" s="374" t="str">
        <f t="shared" si="554"/>
        <v/>
      </c>
      <c r="AF2374" s="532" t="str">
        <f t="shared" si="555"/>
        <v/>
      </c>
    </row>
    <row r="2375" spans="2:32" x14ac:dyDescent="0.25">
      <c r="B2375" s="695"/>
      <c r="C2375" s="197" t="str">
        <f>IF(B2375&lt;&gt;"",IFERROR(VLOOKUP(B:B,'מצבת והרשמה (2)'!$C$20:$N$520,2,0)," ")," ")</f>
        <v xml:space="preserve"> </v>
      </c>
      <c r="D2375" s="695"/>
      <c r="E2375" s="696"/>
      <c r="F2375" s="696"/>
      <c r="G2375" s="696"/>
      <c r="H2375" s="696"/>
      <c r="I2375" s="1050" t="str">
        <f t="shared" si="542"/>
        <v/>
      </c>
      <c r="J2375" s="696"/>
      <c r="K2375" s="697"/>
      <c r="L2375" s="696"/>
      <c r="M2375" s="198" t="str">
        <f t="shared" si="543"/>
        <v/>
      </c>
      <c r="N2375" s="369" t="str">
        <f t="shared" si="544"/>
        <v/>
      </c>
      <c r="O2375" s="183" t="str">
        <f t="shared" si="545"/>
        <v/>
      </c>
      <c r="P2375" s="199" t="str">
        <f t="shared" si="546"/>
        <v/>
      </c>
      <c r="Q2375" s="199" t="str">
        <f>IF(B2375="","",IFERROR(IF('עלויות כח אדם (6)'!J2375&gt;=VLOOKUP(I2375,'סיווג התפקידים והעלויות'!$B$23:$C$32,2,0),"תקין","לא תקין"),""))</f>
        <v/>
      </c>
      <c r="R2375" s="199" t="str">
        <f t="shared" si="547"/>
        <v/>
      </c>
      <c r="S2375" s="199" t="str">
        <f t="shared" si="548"/>
        <v/>
      </c>
      <c r="T2375" s="199" t="str">
        <f t="shared" si="556"/>
        <v/>
      </c>
      <c r="U2375" s="199" t="str">
        <f t="shared" si="549"/>
        <v/>
      </c>
      <c r="V2375" s="989"/>
      <c r="X2375" s="374" t="str">
        <f t="shared" si="550"/>
        <v/>
      </c>
      <c r="Y2375" s="375" t="str">
        <f t="shared" si="551"/>
        <v/>
      </c>
      <c r="Z2375" s="374" t="str">
        <f t="shared" si="552"/>
        <v/>
      </c>
      <c r="AA2375" s="374" t="b">
        <f t="shared" si="553"/>
        <v>1</v>
      </c>
      <c r="AB2375" s="374">
        <f>COUNTIFS(B:B,B2375,H:H,'סיווג התפקידים והעלויות'!$C$2)</f>
        <v>0</v>
      </c>
      <c r="AC2375" s="374">
        <f>COUNTIFS(B:B,B2375,H:H,'סיווג התפקידים והעלויות'!$D$2)</f>
        <v>0</v>
      </c>
      <c r="AD2375" s="374" t="str">
        <f>IF(OR(AND(H2375='סיווג התפקידים והעלויות'!$A$2,I2375='סיווג התפקידים והעלויות'!$A$3),'עלויות כח אדם (6)'!H2375='סיווג התפקידים והעלויות'!$C$2,'עלויות כח אדם (6)'!H2375='סיווג התפקידים והעלויות'!$D$2),IF('עלויות כח אדם (6)'!J2375&lt;75,"לא תקין","תקין"),"")</f>
        <v/>
      </c>
      <c r="AE2375" s="374" t="str">
        <f t="shared" si="554"/>
        <v/>
      </c>
      <c r="AF2375" s="532" t="str">
        <f t="shared" si="555"/>
        <v/>
      </c>
    </row>
    <row r="2376" spans="2:32" x14ac:dyDescent="0.25">
      <c r="B2376" s="695"/>
      <c r="C2376" s="197" t="str">
        <f>IF(B2376&lt;&gt;"",IFERROR(VLOOKUP(B:B,'מצבת והרשמה (2)'!$C$20:$N$520,2,0)," ")," ")</f>
        <v xml:space="preserve"> </v>
      </c>
      <c r="D2376" s="695"/>
      <c r="E2376" s="696"/>
      <c r="F2376" s="696"/>
      <c r="G2376" s="696"/>
      <c r="H2376" s="696"/>
      <c r="I2376" s="1050" t="str">
        <f t="shared" si="542"/>
        <v/>
      </c>
      <c r="J2376" s="696"/>
      <c r="K2376" s="697"/>
      <c r="L2376" s="696"/>
      <c r="M2376" s="198" t="str">
        <f t="shared" si="543"/>
        <v/>
      </c>
      <c r="N2376" s="369" t="str">
        <f t="shared" si="544"/>
        <v/>
      </c>
      <c r="O2376" s="183" t="str">
        <f t="shared" si="545"/>
        <v/>
      </c>
      <c r="P2376" s="199" t="str">
        <f t="shared" si="546"/>
        <v/>
      </c>
      <c r="Q2376" s="199" t="str">
        <f>IF(B2376="","",IFERROR(IF('עלויות כח אדם (6)'!J2376&gt;=VLOOKUP(I2376,'סיווג התפקידים והעלויות'!$B$23:$C$32,2,0),"תקין","לא תקין"),""))</f>
        <v/>
      </c>
      <c r="R2376" s="199" t="str">
        <f t="shared" si="547"/>
        <v/>
      </c>
      <c r="S2376" s="199" t="str">
        <f t="shared" si="548"/>
        <v/>
      </c>
      <c r="T2376" s="199" t="str">
        <f t="shared" si="556"/>
        <v/>
      </c>
      <c r="U2376" s="199" t="str">
        <f t="shared" si="549"/>
        <v/>
      </c>
      <c r="V2376" s="989"/>
      <c r="X2376" s="374" t="str">
        <f t="shared" si="550"/>
        <v/>
      </c>
      <c r="Y2376" s="375" t="str">
        <f t="shared" si="551"/>
        <v/>
      </c>
      <c r="Z2376" s="374" t="str">
        <f t="shared" si="552"/>
        <v/>
      </c>
      <c r="AA2376" s="374" t="b">
        <f t="shared" si="553"/>
        <v>1</v>
      </c>
      <c r="AB2376" s="374">
        <f>COUNTIFS(B:B,B2376,H:H,'סיווג התפקידים והעלויות'!$C$2)</f>
        <v>0</v>
      </c>
      <c r="AC2376" s="374">
        <f>COUNTIFS(B:B,B2376,H:H,'סיווג התפקידים והעלויות'!$D$2)</f>
        <v>0</v>
      </c>
      <c r="AD2376" s="374" t="str">
        <f>IF(OR(AND(H2376='סיווג התפקידים והעלויות'!$A$2,I2376='סיווג התפקידים והעלויות'!$A$3),'עלויות כח אדם (6)'!H2376='סיווג התפקידים והעלויות'!$C$2,'עלויות כח אדם (6)'!H2376='סיווג התפקידים והעלויות'!$D$2),IF('עלויות כח אדם (6)'!J2376&lt;75,"לא תקין","תקין"),"")</f>
        <v/>
      </c>
      <c r="AE2376" s="374" t="str">
        <f t="shared" si="554"/>
        <v/>
      </c>
      <c r="AF2376" s="532" t="str">
        <f t="shared" si="555"/>
        <v/>
      </c>
    </row>
    <row r="2377" spans="2:32" x14ac:dyDescent="0.25">
      <c r="B2377" s="695"/>
      <c r="C2377" s="197" t="str">
        <f>IF(B2377&lt;&gt;"",IFERROR(VLOOKUP(B:B,'מצבת והרשמה (2)'!$C$20:$N$520,2,0)," ")," ")</f>
        <v xml:space="preserve"> </v>
      </c>
      <c r="D2377" s="695"/>
      <c r="E2377" s="696"/>
      <c r="F2377" s="696"/>
      <c r="G2377" s="696"/>
      <c r="H2377" s="696"/>
      <c r="I2377" s="1050" t="str">
        <f t="shared" si="542"/>
        <v/>
      </c>
      <c r="J2377" s="696"/>
      <c r="K2377" s="697"/>
      <c r="L2377" s="696"/>
      <c r="M2377" s="198" t="str">
        <f t="shared" si="543"/>
        <v/>
      </c>
      <c r="N2377" s="369" t="str">
        <f t="shared" si="544"/>
        <v/>
      </c>
      <c r="O2377" s="183" t="str">
        <f t="shared" si="545"/>
        <v/>
      </c>
      <c r="P2377" s="199" t="str">
        <f t="shared" si="546"/>
        <v/>
      </c>
      <c r="Q2377" s="199" t="str">
        <f>IF(B2377="","",IFERROR(IF('עלויות כח אדם (6)'!J2377&gt;=VLOOKUP(I2377,'סיווג התפקידים והעלויות'!$B$23:$C$32,2,0),"תקין","לא תקין"),""))</f>
        <v/>
      </c>
      <c r="R2377" s="199" t="str">
        <f t="shared" si="547"/>
        <v/>
      </c>
      <c r="S2377" s="199" t="str">
        <f t="shared" si="548"/>
        <v/>
      </c>
      <c r="T2377" s="199" t="str">
        <f t="shared" si="556"/>
        <v/>
      </c>
      <c r="U2377" s="199" t="str">
        <f t="shared" si="549"/>
        <v/>
      </c>
      <c r="V2377" s="989"/>
      <c r="X2377" s="374" t="str">
        <f t="shared" si="550"/>
        <v/>
      </c>
      <c r="Y2377" s="375" t="str">
        <f t="shared" si="551"/>
        <v/>
      </c>
      <c r="Z2377" s="374" t="str">
        <f t="shared" si="552"/>
        <v/>
      </c>
      <c r="AA2377" s="374" t="b">
        <f t="shared" si="553"/>
        <v>1</v>
      </c>
      <c r="AB2377" s="374">
        <f>COUNTIFS(B:B,B2377,H:H,'סיווג התפקידים והעלויות'!$C$2)</f>
        <v>0</v>
      </c>
      <c r="AC2377" s="374">
        <f>COUNTIFS(B:B,B2377,H:H,'סיווג התפקידים והעלויות'!$D$2)</f>
        <v>0</v>
      </c>
      <c r="AD2377" s="374" t="str">
        <f>IF(OR(AND(H2377='סיווג התפקידים והעלויות'!$A$2,I2377='סיווג התפקידים והעלויות'!$A$3),'עלויות כח אדם (6)'!H2377='סיווג התפקידים והעלויות'!$C$2,'עלויות כח אדם (6)'!H2377='סיווג התפקידים והעלויות'!$D$2),IF('עלויות כח אדם (6)'!J2377&lt;75,"לא תקין","תקין"),"")</f>
        <v/>
      </c>
      <c r="AE2377" s="374" t="str">
        <f t="shared" si="554"/>
        <v/>
      </c>
      <c r="AF2377" s="532" t="str">
        <f t="shared" si="555"/>
        <v/>
      </c>
    </row>
    <row r="2378" spans="2:32" x14ac:dyDescent="0.25">
      <c r="B2378" s="695"/>
      <c r="C2378" s="197" t="str">
        <f>IF(B2378&lt;&gt;"",IFERROR(VLOOKUP(B:B,'מצבת והרשמה (2)'!$C$20:$N$520,2,0)," ")," ")</f>
        <v xml:space="preserve"> </v>
      </c>
      <c r="D2378" s="695"/>
      <c r="E2378" s="696"/>
      <c r="F2378" s="696"/>
      <c r="G2378" s="696"/>
      <c r="H2378" s="696"/>
      <c r="I2378" s="1050" t="str">
        <f t="shared" si="542"/>
        <v/>
      </c>
      <c r="J2378" s="696"/>
      <c r="K2378" s="697"/>
      <c r="L2378" s="696"/>
      <c r="M2378" s="198" t="str">
        <f t="shared" si="543"/>
        <v/>
      </c>
      <c r="N2378" s="369" t="str">
        <f t="shared" si="544"/>
        <v/>
      </c>
      <c r="O2378" s="183" t="str">
        <f t="shared" si="545"/>
        <v/>
      </c>
      <c r="P2378" s="199" t="str">
        <f t="shared" si="546"/>
        <v/>
      </c>
      <c r="Q2378" s="199" t="str">
        <f>IF(B2378="","",IFERROR(IF('עלויות כח אדם (6)'!J2378&gt;=VLOOKUP(I2378,'סיווג התפקידים והעלויות'!$B$23:$C$32,2,0),"תקין","לא תקין"),""))</f>
        <v/>
      </c>
      <c r="R2378" s="199" t="str">
        <f t="shared" si="547"/>
        <v/>
      </c>
      <c r="S2378" s="199" t="str">
        <f t="shared" si="548"/>
        <v/>
      </c>
      <c r="T2378" s="199" t="str">
        <f t="shared" si="556"/>
        <v/>
      </c>
      <c r="U2378" s="199" t="str">
        <f t="shared" si="549"/>
        <v/>
      </c>
      <c r="V2378" s="989"/>
      <c r="X2378" s="374" t="str">
        <f t="shared" si="550"/>
        <v/>
      </c>
      <c r="Y2378" s="375" t="str">
        <f t="shared" si="551"/>
        <v/>
      </c>
      <c r="Z2378" s="374" t="str">
        <f t="shared" si="552"/>
        <v/>
      </c>
      <c r="AA2378" s="374" t="b">
        <f t="shared" si="553"/>
        <v>1</v>
      </c>
      <c r="AB2378" s="374">
        <f>COUNTIFS(B:B,B2378,H:H,'סיווג התפקידים והעלויות'!$C$2)</f>
        <v>0</v>
      </c>
      <c r="AC2378" s="374">
        <f>COUNTIFS(B:B,B2378,H:H,'סיווג התפקידים והעלויות'!$D$2)</f>
        <v>0</v>
      </c>
      <c r="AD2378" s="374" t="str">
        <f>IF(OR(AND(H2378='סיווג התפקידים והעלויות'!$A$2,I2378='סיווג התפקידים והעלויות'!$A$3),'עלויות כח אדם (6)'!H2378='סיווג התפקידים והעלויות'!$C$2,'עלויות כח אדם (6)'!H2378='סיווג התפקידים והעלויות'!$D$2),IF('עלויות כח אדם (6)'!J2378&lt;75,"לא תקין","תקין"),"")</f>
        <v/>
      </c>
      <c r="AE2378" s="374" t="str">
        <f t="shared" si="554"/>
        <v/>
      </c>
      <c r="AF2378" s="532" t="str">
        <f t="shared" si="555"/>
        <v/>
      </c>
    </row>
    <row r="2379" spans="2:32" x14ac:dyDescent="0.25">
      <c r="B2379" s="695"/>
      <c r="C2379" s="197" t="str">
        <f>IF(B2379&lt;&gt;"",IFERROR(VLOOKUP(B:B,'מצבת והרשמה (2)'!$C$20:$N$520,2,0)," ")," ")</f>
        <v xml:space="preserve"> </v>
      </c>
      <c r="D2379" s="695"/>
      <c r="E2379" s="696"/>
      <c r="F2379" s="696"/>
      <c r="G2379" s="696"/>
      <c r="H2379" s="696"/>
      <c r="I2379" s="1050" t="str">
        <f t="shared" si="542"/>
        <v/>
      </c>
      <c r="J2379" s="696"/>
      <c r="K2379" s="697"/>
      <c r="L2379" s="696"/>
      <c r="M2379" s="198" t="str">
        <f t="shared" si="543"/>
        <v/>
      </c>
      <c r="N2379" s="369" t="str">
        <f t="shared" si="544"/>
        <v/>
      </c>
      <c r="O2379" s="183" t="str">
        <f t="shared" si="545"/>
        <v/>
      </c>
      <c r="P2379" s="199" t="str">
        <f t="shared" si="546"/>
        <v/>
      </c>
      <c r="Q2379" s="199" t="str">
        <f>IF(B2379="","",IFERROR(IF('עלויות כח אדם (6)'!J2379&gt;=VLOOKUP(I2379,'סיווג התפקידים והעלויות'!$B$23:$C$32,2,0),"תקין","לא תקין"),""))</f>
        <v/>
      </c>
      <c r="R2379" s="199" t="str">
        <f t="shared" si="547"/>
        <v/>
      </c>
      <c r="S2379" s="199" t="str">
        <f t="shared" si="548"/>
        <v/>
      </c>
      <c r="T2379" s="199" t="str">
        <f t="shared" si="556"/>
        <v/>
      </c>
      <c r="U2379" s="199" t="str">
        <f t="shared" si="549"/>
        <v/>
      </c>
      <c r="V2379" s="989"/>
      <c r="X2379" s="374" t="str">
        <f t="shared" si="550"/>
        <v/>
      </c>
      <c r="Y2379" s="375" t="str">
        <f t="shared" si="551"/>
        <v/>
      </c>
      <c r="Z2379" s="374" t="str">
        <f t="shared" si="552"/>
        <v/>
      </c>
      <c r="AA2379" s="374" t="b">
        <f t="shared" si="553"/>
        <v>1</v>
      </c>
      <c r="AB2379" s="374">
        <f>COUNTIFS(B:B,B2379,H:H,'סיווג התפקידים והעלויות'!$C$2)</f>
        <v>0</v>
      </c>
      <c r="AC2379" s="374">
        <f>COUNTIFS(B:B,B2379,H:H,'סיווג התפקידים והעלויות'!$D$2)</f>
        <v>0</v>
      </c>
      <c r="AD2379" s="374" t="str">
        <f>IF(OR(AND(H2379='סיווג התפקידים והעלויות'!$A$2,I2379='סיווג התפקידים והעלויות'!$A$3),'עלויות כח אדם (6)'!H2379='סיווג התפקידים והעלויות'!$C$2,'עלויות כח אדם (6)'!H2379='סיווג התפקידים והעלויות'!$D$2),IF('עלויות כח אדם (6)'!J2379&lt;75,"לא תקין","תקין"),"")</f>
        <v/>
      </c>
      <c r="AE2379" s="374" t="str">
        <f t="shared" si="554"/>
        <v/>
      </c>
      <c r="AF2379" s="532" t="str">
        <f t="shared" si="555"/>
        <v/>
      </c>
    </row>
    <row r="2380" spans="2:32" x14ac:dyDescent="0.25">
      <c r="B2380" s="695"/>
      <c r="C2380" s="197" t="str">
        <f>IF(B2380&lt;&gt;"",IFERROR(VLOOKUP(B:B,'מצבת והרשמה (2)'!$C$20:$N$520,2,0)," ")," ")</f>
        <v xml:space="preserve"> </v>
      </c>
      <c r="D2380" s="695"/>
      <c r="E2380" s="696"/>
      <c r="F2380" s="696"/>
      <c r="G2380" s="696"/>
      <c r="H2380" s="696"/>
      <c r="I2380" s="1050" t="str">
        <f t="shared" si="542"/>
        <v/>
      </c>
      <c r="J2380" s="696"/>
      <c r="K2380" s="697"/>
      <c r="L2380" s="696"/>
      <c r="M2380" s="198" t="str">
        <f t="shared" si="543"/>
        <v/>
      </c>
      <c r="N2380" s="369" t="str">
        <f t="shared" si="544"/>
        <v/>
      </c>
      <c r="O2380" s="183" t="str">
        <f t="shared" si="545"/>
        <v/>
      </c>
      <c r="P2380" s="199" t="str">
        <f t="shared" si="546"/>
        <v/>
      </c>
      <c r="Q2380" s="199" t="str">
        <f>IF(B2380="","",IFERROR(IF('עלויות כח אדם (6)'!J2380&gt;=VLOOKUP(I2380,'סיווג התפקידים והעלויות'!$B$23:$C$32,2,0),"תקין","לא תקין"),""))</f>
        <v/>
      </c>
      <c r="R2380" s="199" t="str">
        <f t="shared" si="547"/>
        <v/>
      </c>
      <c r="S2380" s="199" t="str">
        <f t="shared" si="548"/>
        <v/>
      </c>
      <c r="T2380" s="199" t="str">
        <f t="shared" si="556"/>
        <v/>
      </c>
      <c r="U2380" s="199" t="str">
        <f t="shared" si="549"/>
        <v/>
      </c>
      <c r="V2380" s="989"/>
      <c r="X2380" s="374" t="str">
        <f t="shared" si="550"/>
        <v/>
      </c>
      <c r="Y2380" s="375" t="str">
        <f t="shared" si="551"/>
        <v/>
      </c>
      <c r="Z2380" s="374" t="str">
        <f t="shared" si="552"/>
        <v/>
      </c>
      <c r="AA2380" s="374" t="b">
        <f t="shared" si="553"/>
        <v>1</v>
      </c>
      <c r="AB2380" s="374">
        <f>COUNTIFS(B:B,B2380,H:H,'סיווג התפקידים והעלויות'!$C$2)</f>
        <v>0</v>
      </c>
      <c r="AC2380" s="374">
        <f>COUNTIFS(B:B,B2380,H:H,'סיווג התפקידים והעלויות'!$D$2)</f>
        <v>0</v>
      </c>
      <c r="AD2380" s="374" t="str">
        <f>IF(OR(AND(H2380='סיווג התפקידים והעלויות'!$A$2,I2380='סיווג התפקידים והעלויות'!$A$3),'עלויות כח אדם (6)'!H2380='סיווג התפקידים והעלויות'!$C$2,'עלויות כח אדם (6)'!H2380='סיווג התפקידים והעלויות'!$D$2),IF('עלויות כח אדם (6)'!J2380&lt;75,"לא תקין","תקין"),"")</f>
        <v/>
      </c>
      <c r="AE2380" s="374" t="str">
        <f t="shared" si="554"/>
        <v/>
      </c>
      <c r="AF2380" s="532" t="str">
        <f t="shared" si="555"/>
        <v/>
      </c>
    </row>
    <row r="2381" spans="2:32" x14ac:dyDescent="0.25">
      <c r="B2381" s="695"/>
      <c r="C2381" s="197" t="str">
        <f>IF(B2381&lt;&gt;"",IFERROR(VLOOKUP(B:B,'מצבת והרשמה (2)'!$C$20:$N$520,2,0)," ")," ")</f>
        <v xml:space="preserve"> </v>
      </c>
      <c r="D2381" s="695"/>
      <c r="E2381" s="696"/>
      <c r="F2381" s="696"/>
      <c r="G2381" s="696"/>
      <c r="H2381" s="696"/>
      <c r="I2381" s="1050" t="str">
        <f t="shared" si="542"/>
        <v/>
      </c>
      <c r="J2381" s="696"/>
      <c r="K2381" s="697"/>
      <c r="L2381" s="696"/>
      <c r="M2381" s="198" t="str">
        <f t="shared" si="543"/>
        <v/>
      </c>
      <c r="N2381" s="369" t="str">
        <f t="shared" si="544"/>
        <v/>
      </c>
      <c r="O2381" s="183" t="str">
        <f t="shared" si="545"/>
        <v/>
      </c>
      <c r="P2381" s="199" t="str">
        <f t="shared" si="546"/>
        <v/>
      </c>
      <c r="Q2381" s="199" t="str">
        <f>IF(B2381="","",IFERROR(IF('עלויות כח אדם (6)'!J2381&gt;=VLOOKUP(I2381,'סיווג התפקידים והעלויות'!$B$23:$C$32,2,0),"תקין","לא תקין"),""))</f>
        <v/>
      </c>
      <c r="R2381" s="199" t="str">
        <f t="shared" si="547"/>
        <v/>
      </c>
      <c r="S2381" s="199" t="str">
        <f t="shared" si="548"/>
        <v/>
      </c>
      <c r="T2381" s="199" t="str">
        <f t="shared" si="556"/>
        <v/>
      </c>
      <c r="U2381" s="199" t="str">
        <f t="shared" si="549"/>
        <v/>
      </c>
      <c r="V2381" s="989"/>
      <c r="X2381" s="374" t="str">
        <f t="shared" si="550"/>
        <v/>
      </c>
      <c r="Y2381" s="375" t="str">
        <f t="shared" si="551"/>
        <v/>
      </c>
      <c r="Z2381" s="374" t="str">
        <f t="shared" si="552"/>
        <v/>
      </c>
      <c r="AA2381" s="374" t="b">
        <f t="shared" si="553"/>
        <v>1</v>
      </c>
      <c r="AB2381" s="374">
        <f>COUNTIFS(B:B,B2381,H:H,'סיווג התפקידים והעלויות'!$C$2)</f>
        <v>0</v>
      </c>
      <c r="AC2381" s="374">
        <f>COUNTIFS(B:B,B2381,H:H,'סיווג התפקידים והעלויות'!$D$2)</f>
        <v>0</v>
      </c>
      <c r="AD2381" s="374" t="str">
        <f>IF(OR(AND(H2381='סיווג התפקידים והעלויות'!$A$2,I2381='סיווג התפקידים והעלויות'!$A$3),'עלויות כח אדם (6)'!H2381='סיווג התפקידים והעלויות'!$C$2,'עלויות כח אדם (6)'!H2381='סיווג התפקידים והעלויות'!$D$2),IF('עלויות כח אדם (6)'!J2381&lt;75,"לא תקין","תקין"),"")</f>
        <v/>
      </c>
      <c r="AE2381" s="374" t="str">
        <f t="shared" si="554"/>
        <v/>
      </c>
      <c r="AF2381" s="532" t="str">
        <f t="shared" si="555"/>
        <v/>
      </c>
    </row>
    <row r="2382" spans="2:32" x14ac:dyDescent="0.25">
      <c r="B2382" s="695"/>
      <c r="C2382" s="197" t="str">
        <f>IF(B2382&lt;&gt;"",IFERROR(VLOOKUP(B:B,'מצבת והרשמה (2)'!$C$20:$N$520,2,0)," ")," ")</f>
        <v xml:space="preserve"> </v>
      </c>
      <c r="D2382" s="695"/>
      <c r="E2382" s="696"/>
      <c r="F2382" s="696"/>
      <c r="G2382" s="696"/>
      <c r="H2382" s="696"/>
      <c r="I2382" s="1050" t="str">
        <f t="shared" si="542"/>
        <v/>
      </c>
      <c r="J2382" s="696"/>
      <c r="K2382" s="697"/>
      <c r="L2382" s="696"/>
      <c r="M2382" s="198" t="str">
        <f t="shared" si="543"/>
        <v/>
      </c>
      <c r="N2382" s="369" t="str">
        <f t="shared" si="544"/>
        <v/>
      </c>
      <c r="O2382" s="183" t="str">
        <f t="shared" si="545"/>
        <v/>
      </c>
      <c r="P2382" s="199" t="str">
        <f t="shared" si="546"/>
        <v/>
      </c>
      <c r="Q2382" s="199" t="str">
        <f>IF(B2382="","",IFERROR(IF('עלויות כח אדם (6)'!J2382&gt;=VLOOKUP(I2382,'סיווג התפקידים והעלויות'!$B$23:$C$32,2,0),"תקין","לא תקין"),""))</f>
        <v/>
      </c>
      <c r="R2382" s="199" t="str">
        <f t="shared" si="547"/>
        <v/>
      </c>
      <c r="S2382" s="199" t="str">
        <f t="shared" si="548"/>
        <v/>
      </c>
      <c r="T2382" s="199" t="str">
        <f t="shared" si="556"/>
        <v/>
      </c>
      <c r="U2382" s="199" t="str">
        <f t="shared" si="549"/>
        <v/>
      </c>
      <c r="V2382" s="989"/>
      <c r="X2382" s="374" t="str">
        <f t="shared" si="550"/>
        <v/>
      </c>
      <c r="Y2382" s="375" t="str">
        <f t="shared" si="551"/>
        <v/>
      </c>
      <c r="Z2382" s="374" t="str">
        <f t="shared" si="552"/>
        <v/>
      </c>
      <c r="AA2382" s="374" t="b">
        <f t="shared" si="553"/>
        <v>1</v>
      </c>
      <c r="AB2382" s="374">
        <f>COUNTIFS(B:B,B2382,H:H,'סיווג התפקידים והעלויות'!$C$2)</f>
        <v>0</v>
      </c>
      <c r="AC2382" s="374">
        <f>COUNTIFS(B:B,B2382,H:H,'סיווג התפקידים והעלויות'!$D$2)</f>
        <v>0</v>
      </c>
      <c r="AD2382" s="374" t="str">
        <f>IF(OR(AND(H2382='סיווג התפקידים והעלויות'!$A$2,I2382='סיווג התפקידים והעלויות'!$A$3),'עלויות כח אדם (6)'!H2382='סיווג התפקידים והעלויות'!$C$2,'עלויות כח אדם (6)'!H2382='סיווג התפקידים והעלויות'!$D$2),IF('עלויות כח אדם (6)'!J2382&lt;75,"לא תקין","תקין"),"")</f>
        <v/>
      </c>
      <c r="AE2382" s="374" t="str">
        <f t="shared" si="554"/>
        <v/>
      </c>
      <c r="AF2382" s="532" t="str">
        <f t="shared" si="555"/>
        <v/>
      </c>
    </row>
    <row r="2383" spans="2:32" x14ac:dyDescent="0.25">
      <c r="B2383" s="695"/>
      <c r="C2383" s="197" t="str">
        <f>IF(B2383&lt;&gt;"",IFERROR(VLOOKUP(B:B,'מצבת והרשמה (2)'!$C$20:$N$520,2,0)," ")," ")</f>
        <v xml:space="preserve"> </v>
      </c>
      <c r="D2383" s="695"/>
      <c r="E2383" s="696"/>
      <c r="F2383" s="696"/>
      <c r="G2383" s="696"/>
      <c r="H2383" s="696"/>
      <c r="I2383" s="1050" t="str">
        <f t="shared" ref="I2383:I2446" si="557">SUBSTITUTE(IFERROR(IF(H2383="מדצ","מדצ/ית",IF(H2383="סגנית רכזת מעל 150","סגנ/ית רכז/ת&gt;150",IF(H2383="רכזת תכנית בבית הספר","רכז/ת תכנית בבית הספר"))),""),"FALSE","")</f>
        <v/>
      </c>
      <c r="J2383" s="696"/>
      <c r="K2383" s="697"/>
      <c r="L2383" s="696"/>
      <c r="M2383" s="198" t="str">
        <f t="shared" ref="M2383:M2446" si="558">IF(AND(L2383&gt;0,K2383&gt;0),K2383*L2383,"")</f>
        <v/>
      </c>
      <c r="N2383" s="369" t="str">
        <f t="shared" ref="N2383:N2446" si="559">TEXT(LEFT(H2383,2),0)</f>
        <v/>
      </c>
      <c r="O2383" s="183" t="str">
        <f t="shared" ref="O2383:O2446" si="560">IF(ISNUMBER(M2383&gt;0),IF(ISBLANK(B2383),"יש להזין סמל מוסד בעמודה B",""),"")</f>
        <v/>
      </c>
      <c r="P2383" s="199" t="str">
        <f t="shared" ref="P2383:P2446" si="561">IF(B2383="","",IF(AA2383=FALSE,"לא תקין","תקין"))</f>
        <v/>
      </c>
      <c r="Q2383" s="199" t="str">
        <f>IF(B2383="","",IFERROR(IF('עלויות כח אדם (6)'!J2383&gt;=VLOOKUP(I2383,'סיווג התפקידים והעלויות'!$B$23:$C$32,2,0),"תקין","לא תקין"),""))</f>
        <v/>
      </c>
      <c r="R2383" s="199" t="str">
        <f t="shared" ref="R2383:R2446" si="562">IF(B2383="","",IF(OR(Y2383&lt;100%,Y2383&gt;140%),"לא תקין","תקין"))</f>
        <v/>
      </c>
      <c r="S2383" s="199" t="str">
        <f t="shared" ref="S2383:S2446" si="563">IF(B2383="","",IFERROR(IF(J2383&gt;120,"לא תקין","תקין"),""))</f>
        <v/>
      </c>
      <c r="T2383" s="199" t="str">
        <f t="shared" si="556"/>
        <v/>
      </c>
      <c r="U2383" s="199" t="str">
        <f t="shared" ref="U2383:U2446" si="564">IF(B2383="","",IF(Z2383&gt;1,IF(SUMIF(D:D,D2383,L:L)&gt;90,"לא תקין","תקין"),"תקין"))</f>
        <v/>
      </c>
      <c r="V2383" s="989"/>
      <c r="X2383" s="374" t="str">
        <f t="shared" ref="X2383:X2446" si="565">IF(B2383="","",IF(OR(R2383="לא תקין",S2383="לא תקין",T2383="לא תקין",,U2383="לא תקין"),"לא תקין","תקין"))</f>
        <v/>
      </c>
      <c r="Y2383" s="375" t="str">
        <f t="shared" ref="Y2383:Y2446" si="566">IFERROR(IF(B2383="","",K2383/J2383),"")</f>
        <v/>
      </c>
      <c r="Z2383" s="374" t="str">
        <f t="shared" ref="Z2383:Z2446" si="567">IF(B2383="","",COUNTIF(D:D,D2383))</f>
        <v/>
      </c>
      <c r="AA2383" s="374" t="b">
        <f t="shared" ref="AA2383:AA2446" si="568">MOD(MID(REPT(0,9-LEN(D2383))&amp;D2383,1,1)+MID("0246813579",MID(REPT(0,9-LEN(D2383))&amp;D2383,2,1)+1,1)+MID(REPT(0,9-LEN(D2383))&amp;D2383,3,1)+MID("0246813579",MID(REPT(0,9-LEN(D2383))&amp;D2383,4,1)+1,1)+MID(REPT(0,9-LEN(D2383))&amp;D2383,5,1)+MID("0246813579",MID(REPT(0,9-LEN(D2383))&amp;D2383,6,1)+1,1)+MID(REPT(0,9-LEN(D2383))&amp;D2383,7,1)+MID("0246813579",MID(REPT(0,9-LEN(D2383))&amp;D2383,8,1)+1,1)+MID(REPT(0,9-LEN(D2383))&amp;D2383,9,1),10)=0</f>
        <v>1</v>
      </c>
      <c r="AB2383" s="374">
        <f>COUNTIFS(B:B,B2383,H:H,'סיווג התפקידים והעלויות'!$C$2)</f>
        <v>0</v>
      </c>
      <c r="AC2383" s="374">
        <f>COUNTIFS(B:B,B2383,H:H,'סיווג התפקידים והעלויות'!$D$2)</f>
        <v>0</v>
      </c>
      <c r="AD2383" s="374" t="str">
        <f>IF(OR(AND(H2383='סיווג התפקידים והעלויות'!$A$2,I2383='סיווג התפקידים והעלויות'!$A$3),'עלויות כח אדם (6)'!H2383='סיווג התפקידים והעלויות'!$C$2,'עלויות כח אדם (6)'!H2383='סיווג התפקידים והעלויות'!$D$2),IF('עלויות כח אדם (6)'!J2383&lt;75,"לא תקין","תקין"),"")</f>
        <v/>
      </c>
      <c r="AE2383" s="374" t="str">
        <f t="shared" ref="AE2383:AE2446" si="569">IF(B2383&lt;&gt;"",B2383&amp;H2383,"")</f>
        <v/>
      </c>
      <c r="AF2383" s="532" t="str">
        <f t="shared" ref="AF2383:AF2446" si="570">M2383</f>
        <v/>
      </c>
    </row>
    <row r="2384" spans="2:32" x14ac:dyDescent="0.25">
      <c r="B2384" s="695"/>
      <c r="C2384" s="197" t="str">
        <f>IF(B2384&lt;&gt;"",IFERROR(VLOOKUP(B:B,'מצבת והרשמה (2)'!$C$20:$N$520,2,0)," ")," ")</f>
        <v xml:space="preserve"> </v>
      </c>
      <c r="D2384" s="695"/>
      <c r="E2384" s="696"/>
      <c r="F2384" s="696"/>
      <c r="G2384" s="696"/>
      <c r="H2384" s="696"/>
      <c r="I2384" s="1050" t="str">
        <f t="shared" si="557"/>
        <v/>
      </c>
      <c r="J2384" s="696"/>
      <c r="K2384" s="697"/>
      <c r="L2384" s="696"/>
      <c r="M2384" s="198" t="str">
        <f t="shared" si="558"/>
        <v/>
      </c>
      <c r="N2384" s="369" t="str">
        <f t="shared" si="559"/>
        <v/>
      </c>
      <c r="O2384" s="183" t="str">
        <f t="shared" si="560"/>
        <v/>
      </c>
      <c r="P2384" s="199" t="str">
        <f t="shared" si="561"/>
        <v/>
      </c>
      <c r="Q2384" s="199" t="str">
        <f>IF(B2384="","",IFERROR(IF('עלויות כח אדם (6)'!J2384&gt;=VLOOKUP(I2384,'סיווג התפקידים והעלויות'!$B$23:$C$32,2,0),"תקין","לא תקין"),""))</f>
        <v/>
      </c>
      <c r="R2384" s="199" t="str">
        <f t="shared" si="562"/>
        <v/>
      </c>
      <c r="S2384" s="199" t="str">
        <f t="shared" si="563"/>
        <v/>
      </c>
      <c r="T2384" s="199" t="str">
        <f t="shared" ref="T2384:T2447" si="571">IF(B2384="","",IF(H2384="","יש להזין איש צוות",IF(OR(H2384="מורה",H2384="גננת",H2384="רכז גן",H2384="רכזת גן",H2384="סייעת",H2384="מדצית",H2384="מדצ",H2384="מדריך",H2384="מדריכה",H2384="תוספת כח אדם"),IF(L2384&lt;=90,"תקין","לא תקין"),IF(OR(H2384="רכז בית ספר",H2384="רכזת תכנית בבית הספר",H2384="רכזת בית ספר"),IF(L2384&lt;=137,"תקין","לא תקין"),IF(OR(H2384="סגנית רכזת מעל 150",H2384="סגן רכז"),IF(L2384&lt;=93,"תקין","לא תקין"),"לא תקין")))))</f>
        <v/>
      </c>
      <c r="U2384" s="199" t="str">
        <f t="shared" si="564"/>
        <v/>
      </c>
      <c r="V2384" s="989"/>
      <c r="X2384" s="374" t="str">
        <f t="shared" si="565"/>
        <v/>
      </c>
      <c r="Y2384" s="375" t="str">
        <f t="shared" si="566"/>
        <v/>
      </c>
      <c r="Z2384" s="374" t="str">
        <f t="shared" si="567"/>
        <v/>
      </c>
      <c r="AA2384" s="374" t="b">
        <f t="shared" si="568"/>
        <v>1</v>
      </c>
      <c r="AB2384" s="374">
        <f>COUNTIFS(B:B,B2384,H:H,'סיווג התפקידים והעלויות'!$C$2)</f>
        <v>0</v>
      </c>
      <c r="AC2384" s="374">
        <f>COUNTIFS(B:B,B2384,H:H,'סיווג התפקידים והעלויות'!$D$2)</f>
        <v>0</v>
      </c>
      <c r="AD2384" s="374" t="str">
        <f>IF(OR(AND(H2384='סיווג התפקידים והעלויות'!$A$2,I2384='סיווג התפקידים והעלויות'!$A$3),'עלויות כח אדם (6)'!H2384='סיווג התפקידים והעלויות'!$C$2,'עלויות כח אדם (6)'!H2384='סיווג התפקידים והעלויות'!$D$2),IF('עלויות כח אדם (6)'!J2384&lt;75,"לא תקין","תקין"),"")</f>
        <v/>
      </c>
      <c r="AE2384" s="374" t="str">
        <f t="shared" si="569"/>
        <v/>
      </c>
      <c r="AF2384" s="532" t="str">
        <f t="shared" si="570"/>
        <v/>
      </c>
    </row>
    <row r="2385" spans="2:32" x14ac:dyDescent="0.25">
      <c r="B2385" s="695"/>
      <c r="C2385" s="197" t="str">
        <f>IF(B2385&lt;&gt;"",IFERROR(VLOOKUP(B:B,'מצבת והרשמה (2)'!$C$20:$N$520,2,0)," ")," ")</f>
        <v xml:space="preserve"> </v>
      </c>
      <c r="D2385" s="695"/>
      <c r="E2385" s="696"/>
      <c r="F2385" s="696"/>
      <c r="G2385" s="696"/>
      <c r="H2385" s="696"/>
      <c r="I2385" s="1050" t="str">
        <f t="shared" si="557"/>
        <v/>
      </c>
      <c r="J2385" s="696"/>
      <c r="K2385" s="697"/>
      <c r="L2385" s="696"/>
      <c r="M2385" s="198" t="str">
        <f t="shared" si="558"/>
        <v/>
      </c>
      <c r="N2385" s="369" t="str">
        <f t="shared" si="559"/>
        <v/>
      </c>
      <c r="O2385" s="183" t="str">
        <f t="shared" si="560"/>
        <v/>
      </c>
      <c r="P2385" s="199" t="str">
        <f t="shared" si="561"/>
        <v/>
      </c>
      <c r="Q2385" s="199" t="str">
        <f>IF(B2385="","",IFERROR(IF('עלויות כח אדם (6)'!J2385&gt;=VLOOKUP(I2385,'סיווג התפקידים והעלויות'!$B$23:$C$32,2,0),"תקין","לא תקין"),""))</f>
        <v/>
      </c>
      <c r="R2385" s="199" t="str">
        <f t="shared" si="562"/>
        <v/>
      </c>
      <c r="S2385" s="199" t="str">
        <f t="shared" si="563"/>
        <v/>
      </c>
      <c r="T2385" s="199" t="str">
        <f t="shared" si="571"/>
        <v/>
      </c>
      <c r="U2385" s="199" t="str">
        <f t="shared" si="564"/>
        <v/>
      </c>
      <c r="V2385" s="989"/>
      <c r="X2385" s="374" t="str">
        <f t="shared" si="565"/>
        <v/>
      </c>
      <c r="Y2385" s="375" t="str">
        <f t="shared" si="566"/>
        <v/>
      </c>
      <c r="Z2385" s="374" t="str">
        <f t="shared" si="567"/>
        <v/>
      </c>
      <c r="AA2385" s="374" t="b">
        <f t="shared" si="568"/>
        <v>1</v>
      </c>
      <c r="AB2385" s="374">
        <f>COUNTIFS(B:B,B2385,H:H,'סיווג התפקידים והעלויות'!$C$2)</f>
        <v>0</v>
      </c>
      <c r="AC2385" s="374">
        <f>COUNTIFS(B:B,B2385,H:H,'סיווג התפקידים והעלויות'!$D$2)</f>
        <v>0</v>
      </c>
      <c r="AD2385" s="374" t="str">
        <f>IF(OR(AND(H2385='סיווג התפקידים והעלויות'!$A$2,I2385='סיווג התפקידים והעלויות'!$A$3),'עלויות כח אדם (6)'!H2385='סיווג התפקידים והעלויות'!$C$2,'עלויות כח אדם (6)'!H2385='סיווג התפקידים והעלויות'!$D$2),IF('עלויות כח אדם (6)'!J2385&lt;75,"לא תקין","תקין"),"")</f>
        <v/>
      </c>
      <c r="AE2385" s="374" t="str">
        <f t="shared" si="569"/>
        <v/>
      </c>
      <c r="AF2385" s="532" t="str">
        <f t="shared" si="570"/>
        <v/>
      </c>
    </row>
    <row r="2386" spans="2:32" x14ac:dyDescent="0.25">
      <c r="B2386" s="695"/>
      <c r="C2386" s="197" t="str">
        <f>IF(B2386&lt;&gt;"",IFERROR(VLOOKUP(B:B,'מצבת והרשמה (2)'!$C$20:$N$520,2,0)," ")," ")</f>
        <v xml:space="preserve"> </v>
      </c>
      <c r="D2386" s="695"/>
      <c r="E2386" s="696"/>
      <c r="F2386" s="696"/>
      <c r="G2386" s="696"/>
      <c r="H2386" s="696"/>
      <c r="I2386" s="1050" t="str">
        <f t="shared" si="557"/>
        <v/>
      </c>
      <c r="J2386" s="696"/>
      <c r="K2386" s="697"/>
      <c r="L2386" s="696"/>
      <c r="M2386" s="198" t="str">
        <f t="shared" si="558"/>
        <v/>
      </c>
      <c r="N2386" s="369" t="str">
        <f t="shared" si="559"/>
        <v/>
      </c>
      <c r="O2386" s="183" t="str">
        <f t="shared" si="560"/>
        <v/>
      </c>
      <c r="P2386" s="199" t="str">
        <f t="shared" si="561"/>
        <v/>
      </c>
      <c r="Q2386" s="199" t="str">
        <f>IF(B2386="","",IFERROR(IF('עלויות כח אדם (6)'!J2386&gt;=VLOOKUP(I2386,'סיווג התפקידים והעלויות'!$B$23:$C$32,2,0),"תקין","לא תקין"),""))</f>
        <v/>
      </c>
      <c r="R2386" s="199" t="str">
        <f t="shared" si="562"/>
        <v/>
      </c>
      <c r="S2386" s="199" t="str">
        <f t="shared" si="563"/>
        <v/>
      </c>
      <c r="T2386" s="199" t="str">
        <f t="shared" si="571"/>
        <v/>
      </c>
      <c r="U2386" s="199" t="str">
        <f t="shared" si="564"/>
        <v/>
      </c>
      <c r="V2386" s="989"/>
      <c r="X2386" s="374" t="str">
        <f t="shared" si="565"/>
        <v/>
      </c>
      <c r="Y2386" s="375" t="str">
        <f t="shared" si="566"/>
        <v/>
      </c>
      <c r="Z2386" s="374" t="str">
        <f t="shared" si="567"/>
        <v/>
      </c>
      <c r="AA2386" s="374" t="b">
        <f t="shared" si="568"/>
        <v>1</v>
      </c>
      <c r="AB2386" s="374">
        <f>COUNTIFS(B:B,B2386,H:H,'סיווג התפקידים והעלויות'!$C$2)</f>
        <v>0</v>
      </c>
      <c r="AC2386" s="374">
        <f>COUNTIFS(B:B,B2386,H:H,'סיווג התפקידים והעלויות'!$D$2)</f>
        <v>0</v>
      </c>
      <c r="AD2386" s="374" t="str">
        <f>IF(OR(AND(H2386='סיווג התפקידים והעלויות'!$A$2,I2386='סיווג התפקידים והעלויות'!$A$3),'עלויות כח אדם (6)'!H2386='סיווג התפקידים והעלויות'!$C$2,'עלויות כח אדם (6)'!H2386='סיווג התפקידים והעלויות'!$D$2),IF('עלויות כח אדם (6)'!J2386&lt;75,"לא תקין","תקין"),"")</f>
        <v/>
      </c>
      <c r="AE2386" s="374" t="str">
        <f t="shared" si="569"/>
        <v/>
      </c>
      <c r="AF2386" s="532" t="str">
        <f t="shared" si="570"/>
        <v/>
      </c>
    </row>
    <row r="2387" spans="2:32" x14ac:dyDescent="0.25">
      <c r="B2387" s="695"/>
      <c r="C2387" s="197" t="str">
        <f>IF(B2387&lt;&gt;"",IFERROR(VLOOKUP(B:B,'מצבת והרשמה (2)'!$C$20:$N$520,2,0)," ")," ")</f>
        <v xml:space="preserve"> </v>
      </c>
      <c r="D2387" s="695"/>
      <c r="E2387" s="696"/>
      <c r="F2387" s="696"/>
      <c r="G2387" s="696"/>
      <c r="H2387" s="696"/>
      <c r="I2387" s="1050" t="str">
        <f t="shared" si="557"/>
        <v/>
      </c>
      <c r="J2387" s="696"/>
      <c r="K2387" s="697"/>
      <c r="L2387" s="696"/>
      <c r="M2387" s="198" t="str">
        <f t="shared" si="558"/>
        <v/>
      </c>
      <c r="N2387" s="369" t="str">
        <f t="shared" si="559"/>
        <v/>
      </c>
      <c r="O2387" s="183" t="str">
        <f t="shared" si="560"/>
        <v/>
      </c>
      <c r="P2387" s="199" t="str">
        <f t="shared" si="561"/>
        <v/>
      </c>
      <c r="Q2387" s="199" t="str">
        <f>IF(B2387="","",IFERROR(IF('עלויות כח אדם (6)'!J2387&gt;=VLOOKUP(I2387,'סיווג התפקידים והעלויות'!$B$23:$C$32,2,0),"תקין","לא תקין"),""))</f>
        <v/>
      </c>
      <c r="R2387" s="199" t="str">
        <f t="shared" si="562"/>
        <v/>
      </c>
      <c r="S2387" s="199" t="str">
        <f t="shared" si="563"/>
        <v/>
      </c>
      <c r="T2387" s="199" t="str">
        <f t="shared" si="571"/>
        <v/>
      </c>
      <c r="U2387" s="199" t="str">
        <f t="shared" si="564"/>
        <v/>
      </c>
      <c r="V2387" s="989"/>
      <c r="X2387" s="374" t="str">
        <f t="shared" si="565"/>
        <v/>
      </c>
      <c r="Y2387" s="375" t="str">
        <f t="shared" si="566"/>
        <v/>
      </c>
      <c r="Z2387" s="374" t="str">
        <f t="shared" si="567"/>
        <v/>
      </c>
      <c r="AA2387" s="374" t="b">
        <f t="shared" si="568"/>
        <v>1</v>
      </c>
      <c r="AB2387" s="374">
        <f>COUNTIFS(B:B,B2387,H:H,'סיווג התפקידים והעלויות'!$C$2)</f>
        <v>0</v>
      </c>
      <c r="AC2387" s="374">
        <f>COUNTIFS(B:B,B2387,H:H,'סיווג התפקידים והעלויות'!$D$2)</f>
        <v>0</v>
      </c>
      <c r="AD2387" s="374" t="str">
        <f>IF(OR(AND(H2387='סיווג התפקידים והעלויות'!$A$2,I2387='סיווג התפקידים והעלויות'!$A$3),'עלויות כח אדם (6)'!H2387='סיווג התפקידים והעלויות'!$C$2,'עלויות כח אדם (6)'!H2387='סיווג התפקידים והעלויות'!$D$2),IF('עלויות כח אדם (6)'!J2387&lt;75,"לא תקין","תקין"),"")</f>
        <v/>
      </c>
      <c r="AE2387" s="374" t="str">
        <f t="shared" si="569"/>
        <v/>
      </c>
      <c r="AF2387" s="532" t="str">
        <f t="shared" si="570"/>
        <v/>
      </c>
    </row>
    <row r="2388" spans="2:32" x14ac:dyDescent="0.25">
      <c r="B2388" s="695"/>
      <c r="C2388" s="197" t="str">
        <f>IF(B2388&lt;&gt;"",IFERROR(VLOOKUP(B:B,'מצבת והרשמה (2)'!$C$20:$N$520,2,0)," ")," ")</f>
        <v xml:space="preserve"> </v>
      </c>
      <c r="D2388" s="695"/>
      <c r="E2388" s="696"/>
      <c r="F2388" s="696"/>
      <c r="G2388" s="696"/>
      <c r="H2388" s="696"/>
      <c r="I2388" s="1050" t="str">
        <f t="shared" si="557"/>
        <v/>
      </c>
      <c r="J2388" s="696"/>
      <c r="K2388" s="697"/>
      <c r="L2388" s="696"/>
      <c r="M2388" s="198" t="str">
        <f t="shared" si="558"/>
        <v/>
      </c>
      <c r="N2388" s="369" t="str">
        <f t="shared" si="559"/>
        <v/>
      </c>
      <c r="O2388" s="183" t="str">
        <f t="shared" si="560"/>
        <v/>
      </c>
      <c r="P2388" s="199" t="str">
        <f t="shared" si="561"/>
        <v/>
      </c>
      <c r="Q2388" s="199" t="str">
        <f>IF(B2388="","",IFERROR(IF('עלויות כח אדם (6)'!J2388&gt;=VLOOKUP(I2388,'סיווג התפקידים והעלויות'!$B$23:$C$32,2,0),"תקין","לא תקין"),""))</f>
        <v/>
      </c>
      <c r="R2388" s="199" t="str">
        <f t="shared" si="562"/>
        <v/>
      </c>
      <c r="S2388" s="199" t="str">
        <f t="shared" si="563"/>
        <v/>
      </c>
      <c r="T2388" s="199" t="str">
        <f t="shared" si="571"/>
        <v/>
      </c>
      <c r="U2388" s="199" t="str">
        <f t="shared" si="564"/>
        <v/>
      </c>
      <c r="V2388" s="989"/>
      <c r="X2388" s="374" t="str">
        <f t="shared" si="565"/>
        <v/>
      </c>
      <c r="Y2388" s="375" t="str">
        <f t="shared" si="566"/>
        <v/>
      </c>
      <c r="Z2388" s="374" t="str">
        <f t="shared" si="567"/>
        <v/>
      </c>
      <c r="AA2388" s="374" t="b">
        <f t="shared" si="568"/>
        <v>1</v>
      </c>
      <c r="AB2388" s="374">
        <f>COUNTIFS(B:B,B2388,H:H,'סיווג התפקידים והעלויות'!$C$2)</f>
        <v>0</v>
      </c>
      <c r="AC2388" s="374">
        <f>COUNTIFS(B:B,B2388,H:H,'סיווג התפקידים והעלויות'!$D$2)</f>
        <v>0</v>
      </c>
      <c r="AD2388" s="374" t="str">
        <f>IF(OR(AND(H2388='סיווג התפקידים והעלויות'!$A$2,I2388='סיווג התפקידים והעלויות'!$A$3),'עלויות כח אדם (6)'!H2388='סיווג התפקידים והעלויות'!$C$2,'עלויות כח אדם (6)'!H2388='סיווג התפקידים והעלויות'!$D$2),IF('עלויות כח אדם (6)'!J2388&lt;75,"לא תקין","תקין"),"")</f>
        <v/>
      </c>
      <c r="AE2388" s="374" t="str">
        <f t="shared" si="569"/>
        <v/>
      </c>
      <c r="AF2388" s="532" t="str">
        <f t="shared" si="570"/>
        <v/>
      </c>
    </row>
    <row r="2389" spans="2:32" x14ac:dyDescent="0.25">
      <c r="B2389" s="695"/>
      <c r="C2389" s="197" t="str">
        <f>IF(B2389&lt;&gt;"",IFERROR(VLOOKUP(B:B,'מצבת והרשמה (2)'!$C$20:$N$520,2,0)," ")," ")</f>
        <v xml:space="preserve"> </v>
      </c>
      <c r="D2389" s="695"/>
      <c r="E2389" s="696"/>
      <c r="F2389" s="696"/>
      <c r="G2389" s="696"/>
      <c r="H2389" s="696"/>
      <c r="I2389" s="1050" t="str">
        <f t="shared" si="557"/>
        <v/>
      </c>
      <c r="J2389" s="696"/>
      <c r="K2389" s="697"/>
      <c r="L2389" s="696"/>
      <c r="M2389" s="198" t="str">
        <f t="shared" si="558"/>
        <v/>
      </c>
      <c r="N2389" s="369" t="str">
        <f t="shared" si="559"/>
        <v/>
      </c>
      <c r="O2389" s="183" t="str">
        <f t="shared" si="560"/>
        <v/>
      </c>
      <c r="P2389" s="199" t="str">
        <f t="shared" si="561"/>
        <v/>
      </c>
      <c r="Q2389" s="199" t="str">
        <f>IF(B2389="","",IFERROR(IF('עלויות כח אדם (6)'!J2389&gt;=VLOOKUP(I2389,'סיווג התפקידים והעלויות'!$B$23:$C$32,2,0),"תקין","לא תקין"),""))</f>
        <v/>
      </c>
      <c r="R2389" s="199" t="str">
        <f t="shared" si="562"/>
        <v/>
      </c>
      <c r="S2389" s="199" t="str">
        <f t="shared" si="563"/>
        <v/>
      </c>
      <c r="T2389" s="199" t="str">
        <f t="shared" si="571"/>
        <v/>
      </c>
      <c r="U2389" s="199" t="str">
        <f t="shared" si="564"/>
        <v/>
      </c>
      <c r="V2389" s="989"/>
      <c r="X2389" s="374" t="str">
        <f t="shared" si="565"/>
        <v/>
      </c>
      <c r="Y2389" s="375" t="str">
        <f t="shared" si="566"/>
        <v/>
      </c>
      <c r="Z2389" s="374" t="str">
        <f t="shared" si="567"/>
        <v/>
      </c>
      <c r="AA2389" s="374" t="b">
        <f t="shared" si="568"/>
        <v>1</v>
      </c>
      <c r="AB2389" s="374">
        <f>COUNTIFS(B:B,B2389,H:H,'סיווג התפקידים והעלויות'!$C$2)</f>
        <v>0</v>
      </c>
      <c r="AC2389" s="374">
        <f>COUNTIFS(B:B,B2389,H:H,'סיווג התפקידים והעלויות'!$D$2)</f>
        <v>0</v>
      </c>
      <c r="AD2389" s="374" t="str">
        <f>IF(OR(AND(H2389='סיווג התפקידים והעלויות'!$A$2,I2389='סיווג התפקידים והעלויות'!$A$3),'עלויות כח אדם (6)'!H2389='סיווג התפקידים והעלויות'!$C$2,'עלויות כח אדם (6)'!H2389='סיווג התפקידים והעלויות'!$D$2),IF('עלויות כח אדם (6)'!J2389&lt;75,"לא תקין","תקין"),"")</f>
        <v/>
      </c>
      <c r="AE2389" s="374" t="str">
        <f t="shared" si="569"/>
        <v/>
      </c>
      <c r="AF2389" s="532" t="str">
        <f t="shared" si="570"/>
        <v/>
      </c>
    </row>
    <row r="2390" spans="2:32" x14ac:dyDescent="0.25">
      <c r="B2390" s="695"/>
      <c r="C2390" s="197" t="str">
        <f>IF(B2390&lt;&gt;"",IFERROR(VLOOKUP(B:B,'מצבת והרשמה (2)'!$C$20:$N$520,2,0)," ")," ")</f>
        <v xml:space="preserve"> </v>
      </c>
      <c r="D2390" s="695"/>
      <c r="E2390" s="696"/>
      <c r="F2390" s="696"/>
      <c r="G2390" s="696"/>
      <c r="H2390" s="696"/>
      <c r="I2390" s="1050" t="str">
        <f t="shared" si="557"/>
        <v/>
      </c>
      <c r="J2390" s="696"/>
      <c r="K2390" s="697"/>
      <c r="L2390" s="696"/>
      <c r="M2390" s="198" t="str">
        <f t="shared" si="558"/>
        <v/>
      </c>
      <c r="N2390" s="369" t="str">
        <f t="shared" si="559"/>
        <v/>
      </c>
      <c r="O2390" s="183" t="str">
        <f t="shared" si="560"/>
        <v/>
      </c>
      <c r="P2390" s="199" t="str">
        <f t="shared" si="561"/>
        <v/>
      </c>
      <c r="Q2390" s="199" t="str">
        <f>IF(B2390="","",IFERROR(IF('עלויות כח אדם (6)'!J2390&gt;=VLOOKUP(I2390,'סיווג התפקידים והעלויות'!$B$23:$C$32,2,0),"תקין","לא תקין"),""))</f>
        <v/>
      </c>
      <c r="R2390" s="199" t="str">
        <f t="shared" si="562"/>
        <v/>
      </c>
      <c r="S2390" s="199" t="str">
        <f t="shared" si="563"/>
        <v/>
      </c>
      <c r="T2390" s="199" t="str">
        <f t="shared" si="571"/>
        <v/>
      </c>
      <c r="U2390" s="199" t="str">
        <f t="shared" si="564"/>
        <v/>
      </c>
      <c r="V2390" s="989"/>
      <c r="X2390" s="374" t="str">
        <f t="shared" si="565"/>
        <v/>
      </c>
      <c r="Y2390" s="375" t="str">
        <f t="shared" si="566"/>
        <v/>
      </c>
      <c r="Z2390" s="374" t="str">
        <f t="shared" si="567"/>
        <v/>
      </c>
      <c r="AA2390" s="374" t="b">
        <f t="shared" si="568"/>
        <v>1</v>
      </c>
      <c r="AB2390" s="374">
        <f>COUNTIFS(B:B,B2390,H:H,'סיווג התפקידים והעלויות'!$C$2)</f>
        <v>0</v>
      </c>
      <c r="AC2390" s="374">
        <f>COUNTIFS(B:B,B2390,H:H,'סיווג התפקידים והעלויות'!$D$2)</f>
        <v>0</v>
      </c>
      <c r="AD2390" s="374" t="str">
        <f>IF(OR(AND(H2390='סיווג התפקידים והעלויות'!$A$2,I2390='סיווג התפקידים והעלויות'!$A$3),'עלויות כח אדם (6)'!H2390='סיווג התפקידים והעלויות'!$C$2,'עלויות כח אדם (6)'!H2390='סיווג התפקידים והעלויות'!$D$2),IF('עלויות כח אדם (6)'!J2390&lt;75,"לא תקין","תקין"),"")</f>
        <v/>
      </c>
      <c r="AE2390" s="374" t="str">
        <f t="shared" si="569"/>
        <v/>
      </c>
      <c r="AF2390" s="532" t="str">
        <f t="shared" si="570"/>
        <v/>
      </c>
    </row>
    <row r="2391" spans="2:32" x14ac:dyDescent="0.25">
      <c r="B2391" s="695"/>
      <c r="C2391" s="197" t="str">
        <f>IF(B2391&lt;&gt;"",IFERROR(VLOOKUP(B:B,'מצבת והרשמה (2)'!$C$20:$N$520,2,0)," ")," ")</f>
        <v xml:space="preserve"> </v>
      </c>
      <c r="D2391" s="695"/>
      <c r="E2391" s="696"/>
      <c r="F2391" s="696"/>
      <c r="G2391" s="696"/>
      <c r="H2391" s="696"/>
      <c r="I2391" s="1050" t="str">
        <f t="shared" si="557"/>
        <v/>
      </c>
      <c r="J2391" s="696"/>
      <c r="K2391" s="697"/>
      <c r="L2391" s="696"/>
      <c r="M2391" s="198" t="str">
        <f t="shared" si="558"/>
        <v/>
      </c>
      <c r="N2391" s="369" t="str">
        <f t="shared" si="559"/>
        <v/>
      </c>
      <c r="O2391" s="183" t="str">
        <f t="shared" si="560"/>
        <v/>
      </c>
      <c r="P2391" s="199" t="str">
        <f t="shared" si="561"/>
        <v/>
      </c>
      <c r="Q2391" s="199" t="str">
        <f>IF(B2391="","",IFERROR(IF('עלויות כח אדם (6)'!J2391&gt;=VLOOKUP(I2391,'סיווג התפקידים והעלויות'!$B$23:$C$32,2,0),"תקין","לא תקין"),""))</f>
        <v/>
      </c>
      <c r="R2391" s="199" t="str">
        <f t="shared" si="562"/>
        <v/>
      </c>
      <c r="S2391" s="199" t="str">
        <f t="shared" si="563"/>
        <v/>
      </c>
      <c r="T2391" s="199" t="str">
        <f t="shared" si="571"/>
        <v/>
      </c>
      <c r="U2391" s="199" t="str">
        <f t="shared" si="564"/>
        <v/>
      </c>
      <c r="V2391" s="989"/>
      <c r="X2391" s="374" t="str">
        <f t="shared" si="565"/>
        <v/>
      </c>
      <c r="Y2391" s="375" t="str">
        <f t="shared" si="566"/>
        <v/>
      </c>
      <c r="Z2391" s="374" t="str">
        <f t="shared" si="567"/>
        <v/>
      </c>
      <c r="AA2391" s="374" t="b">
        <f t="shared" si="568"/>
        <v>1</v>
      </c>
      <c r="AB2391" s="374">
        <f>COUNTIFS(B:B,B2391,H:H,'סיווג התפקידים והעלויות'!$C$2)</f>
        <v>0</v>
      </c>
      <c r="AC2391" s="374">
        <f>COUNTIFS(B:B,B2391,H:H,'סיווג התפקידים והעלויות'!$D$2)</f>
        <v>0</v>
      </c>
      <c r="AD2391" s="374" t="str">
        <f>IF(OR(AND(H2391='סיווג התפקידים והעלויות'!$A$2,I2391='סיווג התפקידים והעלויות'!$A$3),'עלויות כח אדם (6)'!H2391='סיווג התפקידים והעלויות'!$C$2,'עלויות כח אדם (6)'!H2391='סיווג התפקידים והעלויות'!$D$2),IF('עלויות כח אדם (6)'!J2391&lt;75,"לא תקין","תקין"),"")</f>
        <v/>
      </c>
      <c r="AE2391" s="374" t="str">
        <f t="shared" si="569"/>
        <v/>
      </c>
      <c r="AF2391" s="532" t="str">
        <f t="shared" si="570"/>
        <v/>
      </c>
    </row>
    <row r="2392" spans="2:32" x14ac:dyDescent="0.25">
      <c r="B2392" s="695"/>
      <c r="C2392" s="197" t="str">
        <f>IF(B2392&lt;&gt;"",IFERROR(VLOOKUP(B:B,'מצבת והרשמה (2)'!$C$20:$N$520,2,0)," ")," ")</f>
        <v xml:space="preserve"> </v>
      </c>
      <c r="D2392" s="695"/>
      <c r="E2392" s="696"/>
      <c r="F2392" s="696"/>
      <c r="G2392" s="696"/>
      <c r="H2392" s="696"/>
      <c r="I2392" s="1050" t="str">
        <f t="shared" si="557"/>
        <v/>
      </c>
      <c r="J2392" s="696"/>
      <c r="K2392" s="697"/>
      <c r="L2392" s="696"/>
      <c r="M2392" s="198" t="str">
        <f t="shared" si="558"/>
        <v/>
      </c>
      <c r="N2392" s="369" t="str">
        <f t="shared" si="559"/>
        <v/>
      </c>
      <c r="O2392" s="183" t="str">
        <f t="shared" si="560"/>
        <v/>
      </c>
      <c r="P2392" s="199" t="str">
        <f t="shared" si="561"/>
        <v/>
      </c>
      <c r="Q2392" s="199" t="str">
        <f>IF(B2392="","",IFERROR(IF('עלויות כח אדם (6)'!J2392&gt;=VLOOKUP(I2392,'סיווג התפקידים והעלויות'!$B$23:$C$32,2,0),"תקין","לא תקין"),""))</f>
        <v/>
      </c>
      <c r="R2392" s="199" t="str">
        <f t="shared" si="562"/>
        <v/>
      </c>
      <c r="S2392" s="199" t="str">
        <f t="shared" si="563"/>
        <v/>
      </c>
      <c r="T2392" s="199" t="str">
        <f t="shared" si="571"/>
        <v/>
      </c>
      <c r="U2392" s="199" t="str">
        <f t="shared" si="564"/>
        <v/>
      </c>
      <c r="V2392" s="989"/>
      <c r="X2392" s="374" t="str">
        <f t="shared" si="565"/>
        <v/>
      </c>
      <c r="Y2392" s="375" t="str">
        <f t="shared" si="566"/>
        <v/>
      </c>
      <c r="Z2392" s="374" t="str">
        <f t="shared" si="567"/>
        <v/>
      </c>
      <c r="AA2392" s="374" t="b">
        <f t="shared" si="568"/>
        <v>1</v>
      </c>
      <c r="AB2392" s="374">
        <f>COUNTIFS(B:B,B2392,H:H,'סיווג התפקידים והעלויות'!$C$2)</f>
        <v>0</v>
      </c>
      <c r="AC2392" s="374">
        <f>COUNTIFS(B:B,B2392,H:H,'סיווג התפקידים והעלויות'!$D$2)</f>
        <v>0</v>
      </c>
      <c r="AD2392" s="374" t="str">
        <f>IF(OR(AND(H2392='סיווג התפקידים והעלויות'!$A$2,I2392='סיווג התפקידים והעלויות'!$A$3),'עלויות כח אדם (6)'!H2392='סיווג התפקידים והעלויות'!$C$2,'עלויות כח אדם (6)'!H2392='סיווג התפקידים והעלויות'!$D$2),IF('עלויות כח אדם (6)'!J2392&lt;75,"לא תקין","תקין"),"")</f>
        <v/>
      </c>
      <c r="AE2392" s="374" t="str">
        <f t="shared" si="569"/>
        <v/>
      </c>
      <c r="AF2392" s="532" t="str">
        <f t="shared" si="570"/>
        <v/>
      </c>
    </row>
    <row r="2393" spans="2:32" x14ac:dyDescent="0.25">
      <c r="B2393" s="695"/>
      <c r="C2393" s="197" t="str">
        <f>IF(B2393&lt;&gt;"",IFERROR(VLOOKUP(B:B,'מצבת והרשמה (2)'!$C$20:$N$520,2,0)," ")," ")</f>
        <v xml:space="preserve"> </v>
      </c>
      <c r="D2393" s="695"/>
      <c r="E2393" s="696"/>
      <c r="F2393" s="696"/>
      <c r="G2393" s="696"/>
      <c r="H2393" s="696"/>
      <c r="I2393" s="1050" t="str">
        <f t="shared" si="557"/>
        <v/>
      </c>
      <c r="J2393" s="696"/>
      <c r="K2393" s="697"/>
      <c r="L2393" s="696"/>
      <c r="M2393" s="198" t="str">
        <f t="shared" si="558"/>
        <v/>
      </c>
      <c r="N2393" s="369" t="str">
        <f t="shared" si="559"/>
        <v/>
      </c>
      <c r="O2393" s="183" t="str">
        <f t="shared" si="560"/>
        <v/>
      </c>
      <c r="P2393" s="199" t="str">
        <f t="shared" si="561"/>
        <v/>
      </c>
      <c r="Q2393" s="199" t="str">
        <f>IF(B2393="","",IFERROR(IF('עלויות כח אדם (6)'!J2393&gt;=VLOOKUP(I2393,'סיווג התפקידים והעלויות'!$B$23:$C$32,2,0),"תקין","לא תקין"),""))</f>
        <v/>
      </c>
      <c r="R2393" s="199" t="str">
        <f t="shared" si="562"/>
        <v/>
      </c>
      <c r="S2393" s="199" t="str">
        <f t="shared" si="563"/>
        <v/>
      </c>
      <c r="T2393" s="199" t="str">
        <f t="shared" si="571"/>
        <v/>
      </c>
      <c r="U2393" s="199" t="str">
        <f t="shared" si="564"/>
        <v/>
      </c>
      <c r="V2393" s="989"/>
      <c r="X2393" s="374" t="str">
        <f t="shared" si="565"/>
        <v/>
      </c>
      <c r="Y2393" s="375" t="str">
        <f t="shared" si="566"/>
        <v/>
      </c>
      <c r="Z2393" s="374" t="str">
        <f t="shared" si="567"/>
        <v/>
      </c>
      <c r="AA2393" s="374" t="b">
        <f t="shared" si="568"/>
        <v>1</v>
      </c>
      <c r="AB2393" s="374">
        <f>COUNTIFS(B:B,B2393,H:H,'סיווג התפקידים והעלויות'!$C$2)</f>
        <v>0</v>
      </c>
      <c r="AC2393" s="374">
        <f>COUNTIFS(B:B,B2393,H:H,'סיווג התפקידים והעלויות'!$D$2)</f>
        <v>0</v>
      </c>
      <c r="AD2393" s="374" t="str">
        <f>IF(OR(AND(H2393='סיווג התפקידים והעלויות'!$A$2,I2393='סיווג התפקידים והעלויות'!$A$3),'עלויות כח אדם (6)'!H2393='סיווג התפקידים והעלויות'!$C$2,'עלויות כח אדם (6)'!H2393='סיווג התפקידים והעלויות'!$D$2),IF('עלויות כח אדם (6)'!J2393&lt;75,"לא תקין","תקין"),"")</f>
        <v/>
      </c>
      <c r="AE2393" s="374" t="str">
        <f t="shared" si="569"/>
        <v/>
      </c>
      <c r="AF2393" s="532" t="str">
        <f t="shared" si="570"/>
        <v/>
      </c>
    </row>
    <row r="2394" spans="2:32" x14ac:dyDescent="0.25">
      <c r="B2394" s="695"/>
      <c r="C2394" s="197" t="str">
        <f>IF(B2394&lt;&gt;"",IFERROR(VLOOKUP(B:B,'מצבת והרשמה (2)'!$C$20:$N$520,2,0)," ")," ")</f>
        <v xml:space="preserve"> </v>
      </c>
      <c r="D2394" s="695"/>
      <c r="E2394" s="696"/>
      <c r="F2394" s="696"/>
      <c r="G2394" s="696"/>
      <c r="H2394" s="696"/>
      <c r="I2394" s="1050" t="str">
        <f t="shared" si="557"/>
        <v/>
      </c>
      <c r="J2394" s="696"/>
      <c r="K2394" s="697"/>
      <c r="L2394" s="696"/>
      <c r="M2394" s="198" t="str">
        <f t="shared" si="558"/>
        <v/>
      </c>
      <c r="N2394" s="369" t="str">
        <f t="shared" si="559"/>
        <v/>
      </c>
      <c r="O2394" s="183" t="str">
        <f t="shared" si="560"/>
        <v/>
      </c>
      <c r="P2394" s="199" t="str">
        <f t="shared" si="561"/>
        <v/>
      </c>
      <c r="Q2394" s="199" t="str">
        <f>IF(B2394="","",IFERROR(IF('עלויות כח אדם (6)'!J2394&gt;=VLOOKUP(I2394,'סיווג התפקידים והעלויות'!$B$23:$C$32,2,0),"תקין","לא תקין"),""))</f>
        <v/>
      </c>
      <c r="R2394" s="199" t="str">
        <f t="shared" si="562"/>
        <v/>
      </c>
      <c r="S2394" s="199" t="str">
        <f t="shared" si="563"/>
        <v/>
      </c>
      <c r="T2394" s="199" t="str">
        <f t="shared" si="571"/>
        <v/>
      </c>
      <c r="U2394" s="199" t="str">
        <f t="shared" si="564"/>
        <v/>
      </c>
      <c r="V2394" s="989"/>
      <c r="X2394" s="374" t="str">
        <f t="shared" si="565"/>
        <v/>
      </c>
      <c r="Y2394" s="375" t="str">
        <f t="shared" si="566"/>
        <v/>
      </c>
      <c r="Z2394" s="374" t="str">
        <f t="shared" si="567"/>
        <v/>
      </c>
      <c r="AA2394" s="374" t="b">
        <f t="shared" si="568"/>
        <v>1</v>
      </c>
      <c r="AB2394" s="374">
        <f>COUNTIFS(B:B,B2394,H:H,'סיווג התפקידים והעלויות'!$C$2)</f>
        <v>0</v>
      </c>
      <c r="AC2394" s="374">
        <f>COUNTIFS(B:B,B2394,H:H,'סיווג התפקידים והעלויות'!$D$2)</f>
        <v>0</v>
      </c>
      <c r="AD2394" s="374" t="str">
        <f>IF(OR(AND(H2394='סיווג התפקידים והעלויות'!$A$2,I2394='סיווג התפקידים והעלויות'!$A$3),'עלויות כח אדם (6)'!H2394='סיווג התפקידים והעלויות'!$C$2,'עלויות כח אדם (6)'!H2394='סיווג התפקידים והעלויות'!$D$2),IF('עלויות כח אדם (6)'!J2394&lt;75,"לא תקין","תקין"),"")</f>
        <v/>
      </c>
      <c r="AE2394" s="374" t="str">
        <f t="shared" si="569"/>
        <v/>
      </c>
      <c r="AF2394" s="532" t="str">
        <f t="shared" si="570"/>
        <v/>
      </c>
    </row>
    <row r="2395" spans="2:32" x14ac:dyDescent="0.25">
      <c r="B2395" s="695"/>
      <c r="C2395" s="197" t="str">
        <f>IF(B2395&lt;&gt;"",IFERROR(VLOOKUP(B:B,'מצבת והרשמה (2)'!$C$20:$N$520,2,0)," ")," ")</f>
        <v xml:space="preserve"> </v>
      </c>
      <c r="D2395" s="695"/>
      <c r="E2395" s="696"/>
      <c r="F2395" s="696"/>
      <c r="G2395" s="696"/>
      <c r="H2395" s="696"/>
      <c r="I2395" s="1050" t="str">
        <f t="shared" si="557"/>
        <v/>
      </c>
      <c r="J2395" s="696"/>
      <c r="K2395" s="697"/>
      <c r="L2395" s="696"/>
      <c r="M2395" s="198" t="str">
        <f t="shared" si="558"/>
        <v/>
      </c>
      <c r="N2395" s="369" t="str">
        <f t="shared" si="559"/>
        <v/>
      </c>
      <c r="O2395" s="183" t="str">
        <f t="shared" si="560"/>
        <v/>
      </c>
      <c r="P2395" s="199" t="str">
        <f t="shared" si="561"/>
        <v/>
      </c>
      <c r="Q2395" s="199" t="str">
        <f>IF(B2395="","",IFERROR(IF('עלויות כח אדם (6)'!J2395&gt;=VLOOKUP(I2395,'סיווג התפקידים והעלויות'!$B$23:$C$32,2,0),"תקין","לא תקין"),""))</f>
        <v/>
      </c>
      <c r="R2395" s="199" t="str">
        <f t="shared" si="562"/>
        <v/>
      </c>
      <c r="S2395" s="199" t="str">
        <f t="shared" si="563"/>
        <v/>
      </c>
      <c r="T2395" s="199" t="str">
        <f t="shared" si="571"/>
        <v/>
      </c>
      <c r="U2395" s="199" t="str">
        <f t="shared" si="564"/>
        <v/>
      </c>
      <c r="V2395" s="989"/>
      <c r="X2395" s="374" t="str">
        <f t="shared" si="565"/>
        <v/>
      </c>
      <c r="Y2395" s="375" t="str">
        <f t="shared" si="566"/>
        <v/>
      </c>
      <c r="Z2395" s="374" t="str">
        <f t="shared" si="567"/>
        <v/>
      </c>
      <c r="AA2395" s="374" t="b">
        <f t="shared" si="568"/>
        <v>1</v>
      </c>
      <c r="AB2395" s="374">
        <f>COUNTIFS(B:B,B2395,H:H,'סיווג התפקידים והעלויות'!$C$2)</f>
        <v>0</v>
      </c>
      <c r="AC2395" s="374">
        <f>COUNTIFS(B:B,B2395,H:H,'סיווג התפקידים והעלויות'!$D$2)</f>
        <v>0</v>
      </c>
      <c r="AD2395" s="374" t="str">
        <f>IF(OR(AND(H2395='סיווג התפקידים והעלויות'!$A$2,I2395='סיווג התפקידים והעלויות'!$A$3),'עלויות כח אדם (6)'!H2395='סיווג התפקידים והעלויות'!$C$2,'עלויות כח אדם (6)'!H2395='סיווג התפקידים והעלויות'!$D$2),IF('עלויות כח אדם (6)'!J2395&lt;75,"לא תקין","תקין"),"")</f>
        <v/>
      </c>
      <c r="AE2395" s="374" t="str">
        <f t="shared" si="569"/>
        <v/>
      </c>
      <c r="AF2395" s="532" t="str">
        <f t="shared" si="570"/>
        <v/>
      </c>
    </row>
    <row r="2396" spans="2:32" x14ac:dyDescent="0.25">
      <c r="B2396" s="695"/>
      <c r="C2396" s="197" t="str">
        <f>IF(B2396&lt;&gt;"",IFERROR(VLOOKUP(B:B,'מצבת והרשמה (2)'!$C$20:$N$520,2,0)," ")," ")</f>
        <v xml:space="preserve"> </v>
      </c>
      <c r="D2396" s="695"/>
      <c r="E2396" s="696"/>
      <c r="F2396" s="696"/>
      <c r="G2396" s="696"/>
      <c r="H2396" s="696"/>
      <c r="I2396" s="1050" t="str">
        <f t="shared" si="557"/>
        <v/>
      </c>
      <c r="J2396" s="696"/>
      <c r="K2396" s="697"/>
      <c r="L2396" s="696"/>
      <c r="M2396" s="198" t="str">
        <f t="shared" si="558"/>
        <v/>
      </c>
      <c r="N2396" s="369" t="str">
        <f t="shared" si="559"/>
        <v/>
      </c>
      <c r="O2396" s="183" t="str">
        <f t="shared" si="560"/>
        <v/>
      </c>
      <c r="P2396" s="199" t="str">
        <f t="shared" si="561"/>
        <v/>
      </c>
      <c r="Q2396" s="199" t="str">
        <f>IF(B2396="","",IFERROR(IF('עלויות כח אדם (6)'!J2396&gt;=VLOOKUP(I2396,'סיווג התפקידים והעלויות'!$B$23:$C$32,2,0),"תקין","לא תקין"),""))</f>
        <v/>
      </c>
      <c r="R2396" s="199" t="str">
        <f t="shared" si="562"/>
        <v/>
      </c>
      <c r="S2396" s="199" t="str">
        <f t="shared" si="563"/>
        <v/>
      </c>
      <c r="T2396" s="199" t="str">
        <f t="shared" si="571"/>
        <v/>
      </c>
      <c r="U2396" s="199" t="str">
        <f t="shared" si="564"/>
        <v/>
      </c>
      <c r="V2396" s="989"/>
      <c r="X2396" s="374" t="str">
        <f t="shared" si="565"/>
        <v/>
      </c>
      <c r="Y2396" s="375" t="str">
        <f t="shared" si="566"/>
        <v/>
      </c>
      <c r="Z2396" s="374" t="str">
        <f t="shared" si="567"/>
        <v/>
      </c>
      <c r="AA2396" s="374" t="b">
        <f t="shared" si="568"/>
        <v>1</v>
      </c>
      <c r="AB2396" s="374">
        <f>COUNTIFS(B:B,B2396,H:H,'סיווג התפקידים והעלויות'!$C$2)</f>
        <v>0</v>
      </c>
      <c r="AC2396" s="374">
        <f>COUNTIFS(B:B,B2396,H:H,'סיווג התפקידים והעלויות'!$D$2)</f>
        <v>0</v>
      </c>
      <c r="AD2396" s="374" t="str">
        <f>IF(OR(AND(H2396='סיווג התפקידים והעלויות'!$A$2,I2396='סיווג התפקידים והעלויות'!$A$3),'עלויות כח אדם (6)'!H2396='סיווג התפקידים והעלויות'!$C$2,'עלויות כח אדם (6)'!H2396='סיווג התפקידים והעלויות'!$D$2),IF('עלויות כח אדם (6)'!J2396&lt;75,"לא תקין","תקין"),"")</f>
        <v/>
      </c>
      <c r="AE2396" s="374" t="str">
        <f t="shared" si="569"/>
        <v/>
      </c>
      <c r="AF2396" s="532" t="str">
        <f t="shared" si="570"/>
        <v/>
      </c>
    </row>
    <row r="2397" spans="2:32" x14ac:dyDescent="0.25">
      <c r="B2397" s="695"/>
      <c r="C2397" s="197" t="str">
        <f>IF(B2397&lt;&gt;"",IFERROR(VLOOKUP(B:B,'מצבת והרשמה (2)'!$C$20:$N$520,2,0)," ")," ")</f>
        <v xml:space="preserve"> </v>
      </c>
      <c r="D2397" s="695"/>
      <c r="E2397" s="696"/>
      <c r="F2397" s="696"/>
      <c r="G2397" s="696"/>
      <c r="H2397" s="696"/>
      <c r="I2397" s="1050" t="str">
        <f t="shared" si="557"/>
        <v/>
      </c>
      <c r="J2397" s="696"/>
      <c r="K2397" s="697"/>
      <c r="L2397" s="696"/>
      <c r="M2397" s="198" t="str">
        <f t="shared" si="558"/>
        <v/>
      </c>
      <c r="N2397" s="369" t="str">
        <f t="shared" si="559"/>
        <v/>
      </c>
      <c r="O2397" s="183" t="str">
        <f t="shared" si="560"/>
        <v/>
      </c>
      <c r="P2397" s="199" t="str">
        <f t="shared" si="561"/>
        <v/>
      </c>
      <c r="Q2397" s="199" t="str">
        <f>IF(B2397="","",IFERROR(IF('עלויות כח אדם (6)'!J2397&gt;=VLOOKUP(I2397,'סיווג התפקידים והעלויות'!$B$23:$C$32,2,0),"תקין","לא תקין"),""))</f>
        <v/>
      </c>
      <c r="R2397" s="199" t="str">
        <f t="shared" si="562"/>
        <v/>
      </c>
      <c r="S2397" s="199" t="str">
        <f t="shared" si="563"/>
        <v/>
      </c>
      <c r="T2397" s="199" t="str">
        <f t="shared" si="571"/>
        <v/>
      </c>
      <c r="U2397" s="199" t="str">
        <f t="shared" si="564"/>
        <v/>
      </c>
      <c r="V2397" s="989"/>
      <c r="X2397" s="374" t="str">
        <f t="shared" si="565"/>
        <v/>
      </c>
      <c r="Y2397" s="375" t="str">
        <f t="shared" si="566"/>
        <v/>
      </c>
      <c r="Z2397" s="374" t="str">
        <f t="shared" si="567"/>
        <v/>
      </c>
      <c r="AA2397" s="374" t="b">
        <f t="shared" si="568"/>
        <v>1</v>
      </c>
      <c r="AB2397" s="374">
        <f>COUNTIFS(B:B,B2397,H:H,'סיווג התפקידים והעלויות'!$C$2)</f>
        <v>0</v>
      </c>
      <c r="AC2397" s="374">
        <f>COUNTIFS(B:B,B2397,H:H,'סיווג התפקידים והעלויות'!$D$2)</f>
        <v>0</v>
      </c>
      <c r="AD2397" s="374" t="str">
        <f>IF(OR(AND(H2397='סיווג התפקידים והעלויות'!$A$2,I2397='סיווג התפקידים והעלויות'!$A$3),'עלויות כח אדם (6)'!H2397='סיווג התפקידים והעלויות'!$C$2,'עלויות כח אדם (6)'!H2397='סיווג התפקידים והעלויות'!$D$2),IF('עלויות כח אדם (6)'!J2397&lt;75,"לא תקין","תקין"),"")</f>
        <v/>
      </c>
      <c r="AE2397" s="374" t="str">
        <f t="shared" si="569"/>
        <v/>
      </c>
      <c r="AF2397" s="532" t="str">
        <f t="shared" si="570"/>
        <v/>
      </c>
    </row>
    <row r="2398" spans="2:32" x14ac:dyDescent="0.25">
      <c r="B2398" s="695"/>
      <c r="C2398" s="197" t="str">
        <f>IF(B2398&lt;&gt;"",IFERROR(VLOOKUP(B:B,'מצבת והרשמה (2)'!$C$20:$N$520,2,0)," ")," ")</f>
        <v xml:space="preserve"> </v>
      </c>
      <c r="D2398" s="695"/>
      <c r="E2398" s="696"/>
      <c r="F2398" s="696"/>
      <c r="G2398" s="696"/>
      <c r="H2398" s="696"/>
      <c r="I2398" s="1050" t="str">
        <f t="shared" si="557"/>
        <v/>
      </c>
      <c r="J2398" s="696"/>
      <c r="K2398" s="697"/>
      <c r="L2398" s="696"/>
      <c r="M2398" s="198" t="str">
        <f t="shared" si="558"/>
        <v/>
      </c>
      <c r="N2398" s="369" t="str">
        <f t="shared" si="559"/>
        <v/>
      </c>
      <c r="O2398" s="183" t="str">
        <f t="shared" si="560"/>
        <v/>
      </c>
      <c r="P2398" s="199" t="str">
        <f t="shared" si="561"/>
        <v/>
      </c>
      <c r="Q2398" s="199" t="str">
        <f>IF(B2398="","",IFERROR(IF('עלויות כח אדם (6)'!J2398&gt;=VLOOKUP(I2398,'סיווג התפקידים והעלויות'!$B$23:$C$32,2,0),"תקין","לא תקין"),""))</f>
        <v/>
      </c>
      <c r="R2398" s="199" t="str">
        <f t="shared" si="562"/>
        <v/>
      </c>
      <c r="S2398" s="199" t="str">
        <f t="shared" si="563"/>
        <v/>
      </c>
      <c r="T2398" s="199" t="str">
        <f t="shared" si="571"/>
        <v/>
      </c>
      <c r="U2398" s="199" t="str">
        <f t="shared" si="564"/>
        <v/>
      </c>
      <c r="V2398" s="989"/>
      <c r="X2398" s="374" t="str">
        <f t="shared" si="565"/>
        <v/>
      </c>
      <c r="Y2398" s="375" t="str">
        <f t="shared" si="566"/>
        <v/>
      </c>
      <c r="Z2398" s="374" t="str">
        <f t="shared" si="567"/>
        <v/>
      </c>
      <c r="AA2398" s="374" t="b">
        <f t="shared" si="568"/>
        <v>1</v>
      </c>
      <c r="AB2398" s="374">
        <f>COUNTIFS(B:B,B2398,H:H,'סיווג התפקידים והעלויות'!$C$2)</f>
        <v>0</v>
      </c>
      <c r="AC2398" s="374">
        <f>COUNTIFS(B:B,B2398,H:H,'סיווג התפקידים והעלויות'!$D$2)</f>
        <v>0</v>
      </c>
      <c r="AD2398" s="374" t="str">
        <f>IF(OR(AND(H2398='סיווג התפקידים והעלויות'!$A$2,I2398='סיווג התפקידים והעלויות'!$A$3),'עלויות כח אדם (6)'!H2398='סיווג התפקידים והעלויות'!$C$2,'עלויות כח אדם (6)'!H2398='סיווג התפקידים והעלויות'!$D$2),IF('עלויות כח אדם (6)'!J2398&lt;75,"לא תקין","תקין"),"")</f>
        <v/>
      </c>
      <c r="AE2398" s="374" t="str">
        <f t="shared" si="569"/>
        <v/>
      </c>
      <c r="AF2398" s="532" t="str">
        <f t="shared" si="570"/>
        <v/>
      </c>
    </row>
    <row r="2399" spans="2:32" x14ac:dyDescent="0.25">
      <c r="B2399" s="695"/>
      <c r="C2399" s="197" t="str">
        <f>IF(B2399&lt;&gt;"",IFERROR(VLOOKUP(B:B,'מצבת והרשמה (2)'!$C$20:$N$520,2,0)," ")," ")</f>
        <v xml:space="preserve"> </v>
      </c>
      <c r="D2399" s="695"/>
      <c r="E2399" s="696"/>
      <c r="F2399" s="696"/>
      <c r="G2399" s="696"/>
      <c r="H2399" s="696"/>
      <c r="I2399" s="1050" t="str">
        <f t="shared" si="557"/>
        <v/>
      </c>
      <c r="J2399" s="696"/>
      <c r="K2399" s="697"/>
      <c r="L2399" s="696"/>
      <c r="M2399" s="198" t="str">
        <f t="shared" si="558"/>
        <v/>
      </c>
      <c r="N2399" s="369" t="str">
        <f t="shared" si="559"/>
        <v/>
      </c>
      <c r="O2399" s="183" t="str">
        <f t="shared" si="560"/>
        <v/>
      </c>
      <c r="P2399" s="199" t="str">
        <f t="shared" si="561"/>
        <v/>
      </c>
      <c r="Q2399" s="199" t="str">
        <f>IF(B2399="","",IFERROR(IF('עלויות כח אדם (6)'!J2399&gt;=VLOOKUP(I2399,'סיווג התפקידים והעלויות'!$B$23:$C$32,2,0),"תקין","לא תקין"),""))</f>
        <v/>
      </c>
      <c r="R2399" s="199" t="str">
        <f t="shared" si="562"/>
        <v/>
      </c>
      <c r="S2399" s="199" t="str">
        <f t="shared" si="563"/>
        <v/>
      </c>
      <c r="T2399" s="199" t="str">
        <f t="shared" si="571"/>
        <v/>
      </c>
      <c r="U2399" s="199" t="str">
        <f t="shared" si="564"/>
        <v/>
      </c>
      <c r="V2399" s="989"/>
      <c r="X2399" s="374" t="str">
        <f t="shared" si="565"/>
        <v/>
      </c>
      <c r="Y2399" s="375" t="str">
        <f t="shared" si="566"/>
        <v/>
      </c>
      <c r="Z2399" s="374" t="str">
        <f t="shared" si="567"/>
        <v/>
      </c>
      <c r="AA2399" s="374" t="b">
        <f t="shared" si="568"/>
        <v>1</v>
      </c>
      <c r="AB2399" s="374">
        <f>COUNTIFS(B:B,B2399,H:H,'סיווג התפקידים והעלויות'!$C$2)</f>
        <v>0</v>
      </c>
      <c r="AC2399" s="374">
        <f>COUNTIFS(B:B,B2399,H:H,'סיווג התפקידים והעלויות'!$D$2)</f>
        <v>0</v>
      </c>
      <c r="AD2399" s="374" t="str">
        <f>IF(OR(AND(H2399='סיווג התפקידים והעלויות'!$A$2,I2399='סיווג התפקידים והעלויות'!$A$3),'עלויות כח אדם (6)'!H2399='סיווג התפקידים והעלויות'!$C$2,'עלויות כח אדם (6)'!H2399='סיווג התפקידים והעלויות'!$D$2),IF('עלויות כח אדם (6)'!J2399&lt;75,"לא תקין","תקין"),"")</f>
        <v/>
      </c>
      <c r="AE2399" s="374" t="str">
        <f t="shared" si="569"/>
        <v/>
      </c>
      <c r="AF2399" s="532" t="str">
        <f t="shared" si="570"/>
        <v/>
      </c>
    </row>
    <row r="2400" spans="2:32" x14ac:dyDescent="0.25">
      <c r="B2400" s="695"/>
      <c r="C2400" s="197" t="str">
        <f>IF(B2400&lt;&gt;"",IFERROR(VLOOKUP(B:B,'מצבת והרשמה (2)'!$C$20:$N$520,2,0)," ")," ")</f>
        <v xml:space="preserve"> </v>
      </c>
      <c r="D2400" s="695"/>
      <c r="E2400" s="696"/>
      <c r="F2400" s="696"/>
      <c r="G2400" s="696"/>
      <c r="H2400" s="696"/>
      <c r="I2400" s="1050" t="str">
        <f t="shared" si="557"/>
        <v/>
      </c>
      <c r="J2400" s="696"/>
      <c r="K2400" s="697"/>
      <c r="L2400" s="696"/>
      <c r="M2400" s="198" t="str">
        <f t="shared" si="558"/>
        <v/>
      </c>
      <c r="N2400" s="369" t="str">
        <f t="shared" si="559"/>
        <v/>
      </c>
      <c r="O2400" s="183" t="str">
        <f t="shared" si="560"/>
        <v/>
      </c>
      <c r="P2400" s="199" t="str">
        <f t="shared" si="561"/>
        <v/>
      </c>
      <c r="Q2400" s="199" t="str">
        <f>IF(B2400="","",IFERROR(IF('עלויות כח אדם (6)'!J2400&gt;=VLOOKUP(I2400,'סיווג התפקידים והעלויות'!$B$23:$C$32,2,0),"תקין","לא תקין"),""))</f>
        <v/>
      </c>
      <c r="R2400" s="199" t="str">
        <f t="shared" si="562"/>
        <v/>
      </c>
      <c r="S2400" s="199" t="str">
        <f t="shared" si="563"/>
        <v/>
      </c>
      <c r="T2400" s="199" t="str">
        <f t="shared" si="571"/>
        <v/>
      </c>
      <c r="U2400" s="199" t="str">
        <f t="shared" si="564"/>
        <v/>
      </c>
      <c r="V2400" s="989"/>
      <c r="X2400" s="374" t="str">
        <f t="shared" si="565"/>
        <v/>
      </c>
      <c r="Y2400" s="375" t="str">
        <f t="shared" si="566"/>
        <v/>
      </c>
      <c r="Z2400" s="374" t="str">
        <f t="shared" si="567"/>
        <v/>
      </c>
      <c r="AA2400" s="374" t="b">
        <f t="shared" si="568"/>
        <v>1</v>
      </c>
      <c r="AB2400" s="374">
        <f>COUNTIFS(B:B,B2400,H:H,'סיווג התפקידים והעלויות'!$C$2)</f>
        <v>0</v>
      </c>
      <c r="AC2400" s="374">
        <f>COUNTIFS(B:B,B2400,H:H,'סיווג התפקידים והעלויות'!$D$2)</f>
        <v>0</v>
      </c>
      <c r="AD2400" s="374" t="str">
        <f>IF(OR(AND(H2400='סיווג התפקידים והעלויות'!$A$2,I2400='סיווג התפקידים והעלויות'!$A$3),'עלויות כח אדם (6)'!H2400='סיווג התפקידים והעלויות'!$C$2,'עלויות כח אדם (6)'!H2400='סיווג התפקידים והעלויות'!$D$2),IF('עלויות כח אדם (6)'!J2400&lt;75,"לא תקין","תקין"),"")</f>
        <v/>
      </c>
      <c r="AE2400" s="374" t="str">
        <f t="shared" si="569"/>
        <v/>
      </c>
      <c r="AF2400" s="532" t="str">
        <f t="shared" si="570"/>
        <v/>
      </c>
    </row>
    <row r="2401" spans="2:32" x14ac:dyDescent="0.25">
      <c r="B2401" s="695"/>
      <c r="C2401" s="197" t="str">
        <f>IF(B2401&lt;&gt;"",IFERROR(VLOOKUP(B:B,'מצבת והרשמה (2)'!$C$20:$N$520,2,0)," ")," ")</f>
        <v xml:space="preserve"> </v>
      </c>
      <c r="D2401" s="695"/>
      <c r="E2401" s="696"/>
      <c r="F2401" s="696"/>
      <c r="G2401" s="696"/>
      <c r="H2401" s="696"/>
      <c r="I2401" s="1050" t="str">
        <f t="shared" si="557"/>
        <v/>
      </c>
      <c r="J2401" s="696"/>
      <c r="K2401" s="697"/>
      <c r="L2401" s="696"/>
      <c r="M2401" s="198" t="str">
        <f t="shared" si="558"/>
        <v/>
      </c>
      <c r="N2401" s="369" t="str">
        <f t="shared" si="559"/>
        <v/>
      </c>
      <c r="O2401" s="183" t="str">
        <f t="shared" si="560"/>
        <v/>
      </c>
      <c r="P2401" s="199" t="str">
        <f t="shared" si="561"/>
        <v/>
      </c>
      <c r="Q2401" s="199" t="str">
        <f>IF(B2401="","",IFERROR(IF('עלויות כח אדם (6)'!J2401&gt;=VLOOKUP(I2401,'סיווג התפקידים והעלויות'!$B$23:$C$32,2,0),"תקין","לא תקין"),""))</f>
        <v/>
      </c>
      <c r="R2401" s="199" t="str">
        <f t="shared" si="562"/>
        <v/>
      </c>
      <c r="S2401" s="199" t="str">
        <f t="shared" si="563"/>
        <v/>
      </c>
      <c r="T2401" s="199" t="str">
        <f t="shared" si="571"/>
        <v/>
      </c>
      <c r="U2401" s="199" t="str">
        <f t="shared" si="564"/>
        <v/>
      </c>
      <c r="V2401" s="989"/>
      <c r="X2401" s="374" t="str">
        <f t="shared" si="565"/>
        <v/>
      </c>
      <c r="Y2401" s="375" t="str">
        <f t="shared" si="566"/>
        <v/>
      </c>
      <c r="Z2401" s="374" t="str">
        <f t="shared" si="567"/>
        <v/>
      </c>
      <c r="AA2401" s="374" t="b">
        <f t="shared" si="568"/>
        <v>1</v>
      </c>
      <c r="AB2401" s="374">
        <f>COUNTIFS(B:B,B2401,H:H,'סיווג התפקידים והעלויות'!$C$2)</f>
        <v>0</v>
      </c>
      <c r="AC2401" s="374">
        <f>COUNTIFS(B:B,B2401,H:H,'סיווג התפקידים והעלויות'!$D$2)</f>
        <v>0</v>
      </c>
      <c r="AD2401" s="374" t="str">
        <f>IF(OR(AND(H2401='סיווג התפקידים והעלויות'!$A$2,I2401='סיווג התפקידים והעלויות'!$A$3),'עלויות כח אדם (6)'!H2401='סיווג התפקידים והעלויות'!$C$2,'עלויות כח אדם (6)'!H2401='סיווג התפקידים והעלויות'!$D$2),IF('עלויות כח אדם (6)'!J2401&lt;75,"לא תקין","תקין"),"")</f>
        <v/>
      </c>
      <c r="AE2401" s="374" t="str">
        <f t="shared" si="569"/>
        <v/>
      </c>
      <c r="AF2401" s="532" t="str">
        <f t="shared" si="570"/>
        <v/>
      </c>
    </row>
    <row r="2402" spans="2:32" x14ac:dyDescent="0.25">
      <c r="B2402" s="695"/>
      <c r="C2402" s="197" t="str">
        <f>IF(B2402&lt;&gt;"",IFERROR(VLOOKUP(B:B,'מצבת והרשמה (2)'!$C$20:$N$520,2,0)," ")," ")</f>
        <v xml:space="preserve"> </v>
      </c>
      <c r="D2402" s="695"/>
      <c r="E2402" s="696"/>
      <c r="F2402" s="696"/>
      <c r="G2402" s="696"/>
      <c r="H2402" s="696"/>
      <c r="I2402" s="1050" t="str">
        <f t="shared" si="557"/>
        <v/>
      </c>
      <c r="J2402" s="696"/>
      <c r="K2402" s="697"/>
      <c r="L2402" s="696"/>
      <c r="M2402" s="198" t="str">
        <f t="shared" si="558"/>
        <v/>
      </c>
      <c r="N2402" s="369" t="str">
        <f t="shared" si="559"/>
        <v/>
      </c>
      <c r="O2402" s="183" t="str">
        <f t="shared" si="560"/>
        <v/>
      </c>
      <c r="P2402" s="199" t="str">
        <f t="shared" si="561"/>
        <v/>
      </c>
      <c r="Q2402" s="199" t="str">
        <f>IF(B2402="","",IFERROR(IF('עלויות כח אדם (6)'!J2402&gt;=VLOOKUP(I2402,'סיווג התפקידים והעלויות'!$B$23:$C$32,2,0),"תקין","לא תקין"),""))</f>
        <v/>
      </c>
      <c r="R2402" s="199" t="str">
        <f t="shared" si="562"/>
        <v/>
      </c>
      <c r="S2402" s="199" t="str">
        <f t="shared" si="563"/>
        <v/>
      </c>
      <c r="T2402" s="199" t="str">
        <f t="shared" si="571"/>
        <v/>
      </c>
      <c r="U2402" s="199" t="str">
        <f t="shared" si="564"/>
        <v/>
      </c>
      <c r="V2402" s="989"/>
      <c r="X2402" s="374" t="str">
        <f t="shared" si="565"/>
        <v/>
      </c>
      <c r="Y2402" s="375" t="str">
        <f t="shared" si="566"/>
        <v/>
      </c>
      <c r="Z2402" s="374" t="str">
        <f t="shared" si="567"/>
        <v/>
      </c>
      <c r="AA2402" s="374" t="b">
        <f t="shared" si="568"/>
        <v>1</v>
      </c>
      <c r="AB2402" s="374">
        <f>COUNTIFS(B:B,B2402,H:H,'סיווג התפקידים והעלויות'!$C$2)</f>
        <v>0</v>
      </c>
      <c r="AC2402" s="374">
        <f>COUNTIFS(B:B,B2402,H:H,'סיווג התפקידים והעלויות'!$D$2)</f>
        <v>0</v>
      </c>
      <c r="AD2402" s="374" t="str">
        <f>IF(OR(AND(H2402='סיווג התפקידים והעלויות'!$A$2,I2402='סיווג התפקידים והעלויות'!$A$3),'עלויות כח אדם (6)'!H2402='סיווג התפקידים והעלויות'!$C$2,'עלויות כח אדם (6)'!H2402='סיווג התפקידים והעלויות'!$D$2),IF('עלויות כח אדם (6)'!J2402&lt;75,"לא תקין","תקין"),"")</f>
        <v/>
      </c>
      <c r="AE2402" s="374" t="str">
        <f t="shared" si="569"/>
        <v/>
      </c>
      <c r="AF2402" s="532" t="str">
        <f t="shared" si="570"/>
        <v/>
      </c>
    </row>
    <row r="2403" spans="2:32" x14ac:dyDescent="0.25">
      <c r="B2403" s="695"/>
      <c r="C2403" s="197" t="str">
        <f>IF(B2403&lt;&gt;"",IFERROR(VLOOKUP(B:B,'מצבת והרשמה (2)'!$C$20:$N$520,2,0)," ")," ")</f>
        <v xml:space="preserve"> </v>
      </c>
      <c r="D2403" s="695"/>
      <c r="E2403" s="696"/>
      <c r="F2403" s="696"/>
      <c r="G2403" s="696"/>
      <c r="H2403" s="696"/>
      <c r="I2403" s="1050" t="str">
        <f t="shared" si="557"/>
        <v/>
      </c>
      <c r="J2403" s="696"/>
      <c r="K2403" s="697"/>
      <c r="L2403" s="696"/>
      <c r="M2403" s="198" t="str">
        <f t="shared" si="558"/>
        <v/>
      </c>
      <c r="N2403" s="369" t="str">
        <f t="shared" si="559"/>
        <v/>
      </c>
      <c r="O2403" s="183" t="str">
        <f t="shared" si="560"/>
        <v/>
      </c>
      <c r="P2403" s="199" t="str">
        <f t="shared" si="561"/>
        <v/>
      </c>
      <c r="Q2403" s="199" t="str">
        <f>IF(B2403="","",IFERROR(IF('עלויות כח אדם (6)'!J2403&gt;=VLOOKUP(I2403,'סיווג התפקידים והעלויות'!$B$23:$C$32,2,0),"תקין","לא תקין"),""))</f>
        <v/>
      </c>
      <c r="R2403" s="199" t="str">
        <f t="shared" si="562"/>
        <v/>
      </c>
      <c r="S2403" s="199" t="str">
        <f t="shared" si="563"/>
        <v/>
      </c>
      <c r="T2403" s="199" t="str">
        <f t="shared" si="571"/>
        <v/>
      </c>
      <c r="U2403" s="199" t="str">
        <f t="shared" si="564"/>
        <v/>
      </c>
      <c r="V2403" s="989"/>
      <c r="X2403" s="374" t="str">
        <f t="shared" si="565"/>
        <v/>
      </c>
      <c r="Y2403" s="375" t="str">
        <f t="shared" si="566"/>
        <v/>
      </c>
      <c r="Z2403" s="374" t="str">
        <f t="shared" si="567"/>
        <v/>
      </c>
      <c r="AA2403" s="374" t="b">
        <f t="shared" si="568"/>
        <v>1</v>
      </c>
      <c r="AB2403" s="374">
        <f>COUNTIFS(B:B,B2403,H:H,'סיווג התפקידים והעלויות'!$C$2)</f>
        <v>0</v>
      </c>
      <c r="AC2403" s="374">
        <f>COUNTIFS(B:B,B2403,H:H,'סיווג התפקידים והעלויות'!$D$2)</f>
        <v>0</v>
      </c>
      <c r="AD2403" s="374" t="str">
        <f>IF(OR(AND(H2403='סיווג התפקידים והעלויות'!$A$2,I2403='סיווג התפקידים והעלויות'!$A$3),'עלויות כח אדם (6)'!H2403='סיווג התפקידים והעלויות'!$C$2,'עלויות כח אדם (6)'!H2403='סיווג התפקידים והעלויות'!$D$2),IF('עלויות כח אדם (6)'!J2403&lt;75,"לא תקין","תקין"),"")</f>
        <v/>
      </c>
      <c r="AE2403" s="374" t="str">
        <f t="shared" si="569"/>
        <v/>
      </c>
      <c r="AF2403" s="532" t="str">
        <f t="shared" si="570"/>
        <v/>
      </c>
    </row>
    <row r="2404" spans="2:32" x14ac:dyDescent="0.25">
      <c r="B2404" s="695"/>
      <c r="C2404" s="197" t="str">
        <f>IF(B2404&lt;&gt;"",IFERROR(VLOOKUP(B:B,'מצבת והרשמה (2)'!$C$20:$N$520,2,0)," ")," ")</f>
        <v xml:space="preserve"> </v>
      </c>
      <c r="D2404" s="695"/>
      <c r="E2404" s="696"/>
      <c r="F2404" s="696"/>
      <c r="G2404" s="696"/>
      <c r="H2404" s="696"/>
      <c r="I2404" s="1050" t="str">
        <f t="shared" si="557"/>
        <v/>
      </c>
      <c r="J2404" s="696"/>
      <c r="K2404" s="697"/>
      <c r="L2404" s="696"/>
      <c r="M2404" s="198" t="str">
        <f t="shared" si="558"/>
        <v/>
      </c>
      <c r="N2404" s="369" t="str">
        <f t="shared" si="559"/>
        <v/>
      </c>
      <c r="O2404" s="183" t="str">
        <f t="shared" si="560"/>
        <v/>
      </c>
      <c r="P2404" s="199" t="str">
        <f t="shared" si="561"/>
        <v/>
      </c>
      <c r="Q2404" s="199" t="str">
        <f>IF(B2404="","",IFERROR(IF('עלויות כח אדם (6)'!J2404&gt;=VLOOKUP(I2404,'סיווג התפקידים והעלויות'!$B$23:$C$32,2,0),"תקין","לא תקין"),""))</f>
        <v/>
      </c>
      <c r="R2404" s="199" t="str">
        <f t="shared" si="562"/>
        <v/>
      </c>
      <c r="S2404" s="199" t="str">
        <f t="shared" si="563"/>
        <v/>
      </c>
      <c r="T2404" s="199" t="str">
        <f t="shared" si="571"/>
        <v/>
      </c>
      <c r="U2404" s="199" t="str">
        <f t="shared" si="564"/>
        <v/>
      </c>
      <c r="V2404" s="989"/>
      <c r="X2404" s="374" t="str">
        <f t="shared" si="565"/>
        <v/>
      </c>
      <c r="Y2404" s="375" t="str">
        <f t="shared" si="566"/>
        <v/>
      </c>
      <c r="Z2404" s="374" t="str">
        <f t="shared" si="567"/>
        <v/>
      </c>
      <c r="AA2404" s="374" t="b">
        <f t="shared" si="568"/>
        <v>1</v>
      </c>
      <c r="AB2404" s="374">
        <f>COUNTIFS(B:B,B2404,H:H,'סיווג התפקידים והעלויות'!$C$2)</f>
        <v>0</v>
      </c>
      <c r="AC2404" s="374">
        <f>COUNTIFS(B:B,B2404,H:H,'סיווג התפקידים והעלויות'!$D$2)</f>
        <v>0</v>
      </c>
      <c r="AD2404" s="374" t="str">
        <f>IF(OR(AND(H2404='סיווג התפקידים והעלויות'!$A$2,I2404='סיווג התפקידים והעלויות'!$A$3),'עלויות כח אדם (6)'!H2404='סיווג התפקידים והעלויות'!$C$2,'עלויות כח אדם (6)'!H2404='סיווג התפקידים והעלויות'!$D$2),IF('עלויות כח אדם (6)'!J2404&lt;75,"לא תקין","תקין"),"")</f>
        <v/>
      </c>
      <c r="AE2404" s="374" t="str">
        <f t="shared" si="569"/>
        <v/>
      </c>
      <c r="AF2404" s="532" t="str">
        <f t="shared" si="570"/>
        <v/>
      </c>
    </row>
    <row r="2405" spans="2:32" x14ac:dyDescent="0.25">
      <c r="B2405" s="695"/>
      <c r="C2405" s="197" t="str">
        <f>IF(B2405&lt;&gt;"",IFERROR(VLOOKUP(B:B,'מצבת והרשמה (2)'!$C$20:$N$520,2,0)," ")," ")</f>
        <v xml:space="preserve"> </v>
      </c>
      <c r="D2405" s="695"/>
      <c r="E2405" s="696"/>
      <c r="F2405" s="696"/>
      <c r="G2405" s="696"/>
      <c r="H2405" s="696"/>
      <c r="I2405" s="1050" t="str">
        <f t="shared" si="557"/>
        <v/>
      </c>
      <c r="J2405" s="696"/>
      <c r="K2405" s="697"/>
      <c r="L2405" s="696"/>
      <c r="M2405" s="198" t="str">
        <f t="shared" si="558"/>
        <v/>
      </c>
      <c r="N2405" s="369" t="str">
        <f t="shared" si="559"/>
        <v/>
      </c>
      <c r="O2405" s="183" t="str">
        <f t="shared" si="560"/>
        <v/>
      </c>
      <c r="P2405" s="199" t="str">
        <f t="shared" si="561"/>
        <v/>
      </c>
      <c r="Q2405" s="199" t="str">
        <f>IF(B2405="","",IFERROR(IF('עלויות כח אדם (6)'!J2405&gt;=VLOOKUP(I2405,'סיווג התפקידים והעלויות'!$B$23:$C$32,2,0),"תקין","לא תקין"),""))</f>
        <v/>
      </c>
      <c r="R2405" s="199" t="str">
        <f t="shared" si="562"/>
        <v/>
      </c>
      <c r="S2405" s="199" t="str">
        <f t="shared" si="563"/>
        <v/>
      </c>
      <c r="T2405" s="199" t="str">
        <f t="shared" si="571"/>
        <v/>
      </c>
      <c r="U2405" s="199" t="str">
        <f t="shared" si="564"/>
        <v/>
      </c>
      <c r="V2405" s="989"/>
      <c r="X2405" s="374" t="str">
        <f t="shared" si="565"/>
        <v/>
      </c>
      <c r="Y2405" s="375" t="str">
        <f t="shared" si="566"/>
        <v/>
      </c>
      <c r="Z2405" s="374" t="str">
        <f t="shared" si="567"/>
        <v/>
      </c>
      <c r="AA2405" s="374" t="b">
        <f t="shared" si="568"/>
        <v>1</v>
      </c>
      <c r="AB2405" s="374">
        <f>COUNTIFS(B:B,B2405,H:H,'סיווג התפקידים והעלויות'!$C$2)</f>
        <v>0</v>
      </c>
      <c r="AC2405" s="374">
        <f>COUNTIFS(B:B,B2405,H:H,'סיווג התפקידים והעלויות'!$D$2)</f>
        <v>0</v>
      </c>
      <c r="AD2405" s="374" t="str">
        <f>IF(OR(AND(H2405='סיווג התפקידים והעלויות'!$A$2,I2405='סיווג התפקידים והעלויות'!$A$3),'עלויות כח אדם (6)'!H2405='סיווג התפקידים והעלויות'!$C$2,'עלויות כח אדם (6)'!H2405='סיווג התפקידים והעלויות'!$D$2),IF('עלויות כח אדם (6)'!J2405&lt;75,"לא תקין","תקין"),"")</f>
        <v/>
      </c>
      <c r="AE2405" s="374" t="str">
        <f t="shared" si="569"/>
        <v/>
      </c>
      <c r="AF2405" s="532" t="str">
        <f t="shared" si="570"/>
        <v/>
      </c>
    </row>
    <row r="2406" spans="2:32" x14ac:dyDescent="0.25">
      <c r="B2406" s="695"/>
      <c r="C2406" s="197" t="str">
        <f>IF(B2406&lt;&gt;"",IFERROR(VLOOKUP(B:B,'מצבת והרשמה (2)'!$C$20:$N$520,2,0)," ")," ")</f>
        <v xml:space="preserve"> </v>
      </c>
      <c r="D2406" s="695"/>
      <c r="E2406" s="696"/>
      <c r="F2406" s="696"/>
      <c r="G2406" s="696"/>
      <c r="H2406" s="696"/>
      <c r="I2406" s="1050" t="str">
        <f t="shared" si="557"/>
        <v/>
      </c>
      <c r="J2406" s="696"/>
      <c r="K2406" s="697"/>
      <c r="L2406" s="696"/>
      <c r="M2406" s="198" t="str">
        <f t="shared" si="558"/>
        <v/>
      </c>
      <c r="N2406" s="369" t="str">
        <f t="shared" si="559"/>
        <v/>
      </c>
      <c r="O2406" s="183" t="str">
        <f t="shared" si="560"/>
        <v/>
      </c>
      <c r="P2406" s="199" t="str">
        <f t="shared" si="561"/>
        <v/>
      </c>
      <c r="Q2406" s="199" t="str">
        <f>IF(B2406="","",IFERROR(IF('עלויות כח אדם (6)'!J2406&gt;=VLOOKUP(I2406,'סיווג התפקידים והעלויות'!$B$23:$C$32,2,0),"תקין","לא תקין"),""))</f>
        <v/>
      </c>
      <c r="R2406" s="199" t="str">
        <f t="shared" si="562"/>
        <v/>
      </c>
      <c r="S2406" s="199" t="str">
        <f t="shared" si="563"/>
        <v/>
      </c>
      <c r="T2406" s="199" t="str">
        <f t="shared" si="571"/>
        <v/>
      </c>
      <c r="U2406" s="199" t="str">
        <f t="shared" si="564"/>
        <v/>
      </c>
      <c r="V2406" s="989"/>
      <c r="X2406" s="374" t="str">
        <f t="shared" si="565"/>
        <v/>
      </c>
      <c r="Y2406" s="375" t="str">
        <f t="shared" si="566"/>
        <v/>
      </c>
      <c r="Z2406" s="374" t="str">
        <f t="shared" si="567"/>
        <v/>
      </c>
      <c r="AA2406" s="374" t="b">
        <f t="shared" si="568"/>
        <v>1</v>
      </c>
      <c r="AB2406" s="374">
        <f>COUNTIFS(B:B,B2406,H:H,'סיווג התפקידים והעלויות'!$C$2)</f>
        <v>0</v>
      </c>
      <c r="AC2406" s="374">
        <f>COUNTIFS(B:B,B2406,H:H,'סיווג התפקידים והעלויות'!$D$2)</f>
        <v>0</v>
      </c>
      <c r="AD2406" s="374" t="str">
        <f>IF(OR(AND(H2406='סיווג התפקידים והעלויות'!$A$2,I2406='סיווג התפקידים והעלויות'!$A$3),'עלויות כח אדם (6)'!H2406='סיווג התפקידים והעלויות'!$C$2,'עלויות כח אדם (6)'!H2406='סיווג התפקידים והעלויות'!$D$2),IF('עלויות כח אדם (6)'!J2406&lt;75,"לא תקין","תקין"),"")</f>
        <v/>
      </c>
      <c r="AE2406" s="374" t="str">
        <f t="shared" si="569"/>
        <v/>
      </c>
      <c r="AF2406" s="532" t="str">
        <f t="shared" si="570"/>
        <v/>
      </c>
    </row>
    <row r="2407" spans="2:32" x14ac:dyDescent="0.25">
      <c r="B2407" s="695"/>
      <c r="C2407" s="197" t="str">
        <f>IF(B2407&lt;&gt;"",IFERROR(VLOOKUP(B:B,'מצבת והרשמה (2)'!$C$20:$N$520,2,0)," ")," ")</f>
        <v xml:space="preserve"> </v>
      </c>
      <c r="D2407" s="695"/>
      <c r="E2407" s="696"/>
      <c r="F2407" s="696"/>
      <c r="G2407" s="696"/>
      <c r="H2407" s="696"/>
      <c r="I2407" s="1050" t="str">
        <f t="shared" si="557"/>
        <v/>
      </c>
      <c r="J2407" s="696"/>
      <c r="K2407" s="697"/>
      <c r="L2407" s="696"/>
      <c r="M2407" s="198" t="str">
        <f t="shared" si="558"/>
        <v/>
      </c>
      <c r="N2407" s="369" t="str">
        <f t="shared" si="559"/>
        <v/>
      </c>
      <c r="O2407" s="183" t="str">
        <f t="shared" si="560"/>
        <v/>
      </c>
      <c r="P2407" s="199" t="str">
        <f t="shared" si="561"/>
        <v/>
      </c>
      <c r="Q2407" s="199" t="str">
        <f>IF(B2407="","",IFERROR(IF('עלויות כח אדם (6)'!J2407&gt;=VLOOKUP(I2407,'סיווג התפקידים והעלויות'!$B$23:$C$32,2,0),"תקין","לא תקין"),""))</f>
        <v/>
      </c>
      <c r="R2407" s="199" t="str">
        <f t="shared" si="562"/>
        <v/>
      </c>
      <c r="S2407" s="199" t="str">
        <f t="shared" si="563"/>
        <v/>
      </c>
      <c r="T2407" s="199" t="str">
        <f t="shared" si="571"/>
        <v/>
      </c>
      <c r="U2407" s="199" t="str">
        <f t="shared" si="564"/>
        <v/>
      </c>
      <c r="V2407" s="989"/>
      <c r="X2407" s="374" t="str">
        <f t="shared" si="565"/>
        <v/>
      </c>
      <c r="Y2407" s="375" t="str">
        <f t="shared" si="566"/>
        <v/>
      </c>
      <c r="Z2407" s="374" t="str">
        <f t="shared" si="567"/>
        <v/>
      </c>
      <c r="AA2407" s="374" t="b">
        <f t="shared" si="568"/>
        <v>1</v>
      </c>
      <c r="AB2407" s="374">
        <f>COUNTIFS(B:B,B2407,H:H,'סיווג התפקידים והעלויות'!$C$2)</f>
        <v>0</v>
      </c>
      <c r="AC2407" s="374">
        <f>COUNTIFS(B:B,B2407,H:H,'סיווג התפקידים והעלויות'!$D$2)</f>
        <v>0</v>
      </c>
      <c r="AD2407" s="374" t="str">
        <f>IF(OR(AND(H2407='סיווג התפקידים והעלויות'!$A$2,I2407='סיווג התפקידים והעלויות'!$A$3),'עלויות כח אדם (6)'!H2407='סיווג התפקידים והעלויות'!$C$2,'עלויות כח אדם (6)'!H2407='סיווג התפקידים והעלויות'!$D$2),IF('עלויות כח אדם (6)'!J2407&lt;75,"לא תקין","תקין"),"")</f>
        <v/>
      </c>
      <c r="AE2407" s="374" t="str">
        <f t="shared" si="569"/>
        <v/>
      </c>
      <c r="AF2407" s="532" t="str">
        <f t="shared" si="570"/>
        <v/>
      </c>
    </row>
    <row r="2408" spans="2:32" x14ac:dyDescent="0.25">
      <c r="B2408" s="695"/>
      <c r="C2408" s="197" t="str">
        <f>IF(B2408&lt;&gt;"",IFERROR(VLOOKUP(B:B,'מצבת והרשמה (2)'!$C$20:$N$520,2,0)," ")," ")</f>
        <v xml:space="preserve"> </v>
      </c>
      <c r="D2408" s="695"/>
      <c r="E2408" s="696"/>
      <c r="F2408" s="696"/>
      <c r="G2408" s="696"/>
      <c r="H2408" s="696"/>
      <c r="I2408" s="1050" t="str">
        <f t="shared" si="557"/>
        <v/>
      </c>
      <c r="J2408" s="696"/>
      <c r="K2408" s="697"/>
      <c r="L2408" s="696"/>
      <c r="M2408" s="198" t="str">
        <f t="shared" si="558"/>
        <v/>
      </c>
      <c r="N2408" s="369" t="str">
        <f t="shared" si="559"/>
        <v/>
      </c>
      <c r="O2408" s="183" t="str">
        <f t="shared" si="560"/>
        <v/>
      </c>
      <c r="P2408" s="199" t="str">
        <f t="shared" si="561"/>
        <v/>
      </c>
      <c r="Q2408" s="199" t="str">
        <f>IF(B2408="","",IFERROR(IF('עלויות כח אדם (6)'!J2408&gt;=VLOOKUP(I2408,'סיווג התפקידים והעלויות'!$B$23:$C$32,2,0),"תקין","לא תקין"),""))</f>
        <v/>
      </c>
      <c r="R2408" s="199" t="str">
        <f t="shared" si="562"/>
        <v/>
      </c>
      <c r="S2408" s="199" t="str">
        <f t="shared" si="563"/>
        <v/>
      </c>
      <c r="T2408" s="199" t="str">
        <f t="shared" si="571"/>
        <v/>
      </c>
      <c r="U2408" s="199" t="str">
        <f t="shared" si="564"/>
        <v/>
      </c>
      <c r="V2408" s="989"/>
      <c r="X2408" s="374" t="str">
        <f t="shared" si="565"/>
        <v/>
      </c>
      <c r="Y2408" s="375" t="str">
        <f t="shared" si="566"/>
        <v/>
      </c>
      <c r="Z2408" s="374" t="str">
        <f t="shared" si="567"/>
        <v/>
      </c>
      <c r="AA2408" s="374" t="b">
        <f t="shared" si="568"/>
        <v>1</v>
      </c>
      <c r="AB2408" s="374">
        <f>COUNTIFS(B:B,B2408,H:H,'סיווג התפקידים והעלויות'!$C$2)</f>
        <v>0</v>
      </c>
      <c r="AC2408" s="374">
        <f>COUNTIFS(B:B,B2408,H:H,'סיווג התפקידים והעלויות'!$D$2)</f>
        <v>0</v>
      </c>
      <c r="AD2408" s="374" t="str">
        <f>IF(OR(AND(H2408='סיווג התפקידים והעלויות'!$A$2,I2408='סיווג התפקידים והעלויות'!$A$3),'עלויות כח אדם (6)'!H2408='סיווג התפקידים והעלויות'!$C$2,'עלויות כח אדם (6)'!H2408='סיווג התפקידים והעלויות'!$D$2),IF('עלויות כח אדם (6)'!J2408&lt;75,"לא תקין","תקין"),"")</f>
        <v/>
      </c>
      <c r="AE2408" s="374" t="str">
        <f t="shared" si="569"/>
        <v/>
      </c>
      <c r="AF2408" s="532" t="str">
        <f t="shared" si="570"/>
        <v/>
      </c>
    </row>
    <row r="2409" spans="2:32" x14ac:dyDescent="0.25">
      <c r="B2409" s="695"/>
      <c r="C2409" s="197" t="str">
        <f>IF(B2409&lt;&gt;"",IFERROR(VLOOKUP(B:B,'מצבת והרשמה (2)'!$C$20:$N$520,2,0)," ")," ")</f>
        <v xml:space="preserve"> </v>
      </c>
      <c r="D2409" s="695"/>
      <c r="E2409" s="696"/>
      <c r="F2409" s="696"/>
      <c r="G2409" s="696"/>
      <c r="H2409" s="696"/>
      <c r="I2409" s="1050" t="str">
        <f t="shared" si="557"/>
        <v/>
      </c>
      <c r="J2409" s="696"/>
      <c r="K2409" s="697"/>
      <c r="L2409" s="696"/>
      <c r="M2409" s="198" t="str">
        <f t="shared" si="558"/>
        <v/>
      </c>
      <c r="N2409" s="369" t="str">
        <f t="shared" si="559"/>
        <v/>
      </c>
      <c r="O2409" s="183" t="str">
        <f t="shared" si="560"/>
        <v/>
      </c>
      <c r="P2409" s="199" t="str">
        <f t="shared" si="561"/>
        <v/>
      </c>
      <c r="Q2409" s="199" t="str">
        <f>IF(B2409="","",IFERROR(IF('עלויות כח אדם (6)'!J2409&gt;=VLOOKUP(I2409,'סיווג התפקידים והעלויות'!$B$23:$C$32,2,0),"תקין","לא תקין"),""))</f>
        <v/>
      </c>
      <c r="R2409" s="199" t="str">
        <f t="shared" si="562"/>
        <v/>
      </c>
      <c r="S2409" s="199" t="str">
        <f t="shared" si="563"/>
        <v/>
      </c>
      <c r="T2409" s="199" t="str">
        <f t="shared" si="571"/>
        <v/>
      </c>
      <c r="U2409" s="199" t="str">
        <f t="shared" si="564"/>
        <v/>
      </c>
      <c r="V2409" s="989"/>
      <c r="X2409" s="374" t="str">
        <f t="shared" si="565"/>
        <v/>
      </c>
      <c r="Y2409" s="375" t="str">
        <f t="shared" si="566"/>
        <v/>
      </c>
      <c r="Z2409" s="374" t="str">
        <f t="shared" si="567"/>
        <v/>
      </c>
      <c r="AA2409" s="374" t="b">
        <f t="shared" si="568"/>
        <v>1</v>
      </c>
      <c r="AB2409" s="374">
        <f>COUNTIFS(B:B,B2409,H:H,'סיווג התפקידים והעלויות'!$C$2)</f>
        <v>0</v>
      </c>
      <c r="AC2409" s="374">
        <f>COUNTIFS(B:B,B2409,H:H,'סיווג התפקידים והעלויות'!$D$2)</f>
        <v>0</v>
      </c>
      <c r="AD2409" s="374" t="str">
        <f>IF(OR(AND(H2409='סיווג התפקידים והעלויות'!$A$2,I2409='סיווג התפקידים והעלויות'!$A$3),'עלויות כח אדם (6)'!H2409='סיווג התפקידים והעלויות'!$C$2,'עלויות כח אדם (6)'!H2409='סיווג התפקידים והעלויות'!$D$2),IF('עלויות כח אדם (6)'!J2409&lt;75,"לא תקין","תקין"),"")</f>
        <v/>
      </c>
      <c r="AE2409" s="374" t="str">
        <f t="shared" si="569"/>
        <v/>
      </c>
      <c r="AF2409" s="532" t="str">
        <f t="shared" si="570"/>
        <v/>
      </c>
    </row>
    <row r="2410" spans="2:32" x14ac:dyDescent="0.25">
      <c r="B2410" s="695"/>
      <c r="C2410" s="197" t="str">
        <f>IF(B2410&lt;&gt;"",IFERROR(VLOOKUP(B:B,'מצבת והרשמה (2)'!$C$20:$N$520,2,0)," ")," ")</f>
        <v xml:space="preserve"> </v>
      </c>
      <c r="D2410" s="695"/>
      <c r="E2410" s="696"/>
      <c r="F2410" s="696"/>
      <c r="G2410" s="696"/>
      <c r="H2410" s="696"/>
      <c r="I2410" s="1050" t="str">
        <f t="shared" si="557"/>
        <v/>
      </c>
      <c r="J2410" s="696"/>
      <c r="K2410" s="697"/>
      <c r="L2410" s="696"/>
      <c r="M2410" s="198" t="str">
        <f t="shared" si="558"/>
        <v/>
      </c>
      <c r="N2410" s="369" t="str">
        <f t="shared" si="559"/>
        <v/>
      </c>
      <c r="O2410" s="183" t="str">
        <f t="shared" si="560"/>
        <v/>
      </c>
      <c r="P2410" s="199" t="str">
        <f t="shared" si="561"/>
        <v/>
      </c>
      <c r="Q2410" s="199" t="str">
        <f>IF(B2410="","",IFERROR(IF('עלויות כח אדם (6)'!J2410&gt;=VLOOKUP(I2410,'סיווג התפקידים והעלויות'!$B$23:$C$32,2,0),"תקין","לא תקין"),""))</f>
        <v/>
      </c>
      <c r="R2410" s="199" t="str">
        <f t="shared" si="562"/>
        <v/>
      </c>
      <c r="S2410" s="199" t="str">
        <f t="shared" si="563"/>
        <v/>
      </c>
      <c r="T2410" s="199" t="str">
        <f t="shared" si="571"/>
        <v/>
      </c>
      <c r="U2410" s="199" t="str">
        <f t="shared" si="564"/>
        <v/>
      </c>
      <c r="V2410" s="989"/>
      <c r="X2410" s="374" t="str">
        <f t="shared" si="565"/>
        <v/>
      </c>
      <c r="Y2410" s="375" t="str">
        <f t="shared" si="566"/>
        <v/>
      </c>
      <c r="Z2410" s="374" t="str">
        <f t="shared" si="567"/>
        <v/>
      </c>
      <c r="AA2410" s="374" t="b">
        <f t="shared" si="568"/>
        <v>1</v>
      </c>
      <c r="AB2410" s="374">
        <f>COUNTIFS(B:B,B2410,H:H,'סיווג התפקידים והעלויות'!$C$2)</f>
        <v>0</v>
      </c>
      <c r="AC2410" s="374">
        <f>COUNTIFS(B:B,B2410,H:H,'סיווג התפקידים והעלויות'!$D$2)</f>
        <v>0</v>
      </c>
      <c r="AD2410" s="374" t="str">
        <f>IF(OR(AND(H2410='סיווג התפקידים והעלויות'!$A$2,I2410='סיווג התפקידים והעלויות'!$A$3),'עלויות כח אדם (6)'!H2410='סיווג התפקידים והעלויות'!$C$2,'עלויות כח אדם (6)'!H2410='סיווג התפקידים והעלויות'!$D$2),IF('עלויות כח אדם (6)'!J2410&lt;75,"לא תקין","תקין"),"")</f>
        <v/>
      </c>
      <c r="AE2410" s="374" t="str">
        <f t="shared" si="569"/>
        <v/>
      </c>
      <c r="AF2410" s="532" t="str">
        <f t="shared" si="570"/>
        <v/>
      </c>
    </row>
    <row r="2411" spans="2:32" x14ac:dyDescent="0.25">
      <c r="B2411" s="695"/>
      <c r="C2411" s="197" t="str">
        <f>IF(B2411&lt;&gt;"",IFERROR(VLOOKUP(B:B,'מצבת והרשמה (2)'!$C$20:$N$520,2,0)," ")," ")</f>
        <v xml:space="preserve"> </v>
      </c>
      <c r="D2411" s="695"/>
      <c r="E2411" s="696"/>
      <c r="F2411" s="696"/>
      <c r="G2411" s="696"/>
      <c r="H2411" s="696"/>
      <c r="I2411" s="1050" t="str">
        <f t="shared" si="557"/>
        <v/>
      </c>
      <c r="J2411" s="696"/>
      <c r="K2411" s="697"/>
      <c r="L2411" s="696"/>
      <c r="M2411" s="198" t="str">
        <f t="shared" si="558"/>
        <v/>
      </c>
      <c r="N2411" s="369" t="str">
        <f t="shared" si="559"/>
        <v/>
      </c>
      <c r="O2411" s="183" t="str">
        <f t="shared" si="560"/>
        <v/>
      </c>
      <c r="P2411" s="199" t="str">
        <f t="shared" si="561"/>
        <v/>
      </c>
      <c r="Q2411" s="199" t="str">
        <f>IF(B2411="","",IFERROR(IF('עלויות כח אדם (6)'!J2411&gt;=VLOOKUP(I2411,'סיווג התפקידים והעלויות'!$B$23:$C$32,2,0),"תקין","לא תקין"),""))</f>
        <v/>
      </c>
      <c r="R2411" s="199" t="str">
        <f t="shared" si="562"/>
        <v/>
      </c>
      <c r="S2411" s="199" t="str">
        <f t="shared" si="563"/>
        <v/>
      </c>
      <c r="T2411" s="199" t="str">
        <f t="shared" si="571"/>
        <v/>
      </c>
      <c r="U2411" s="199" t="str">
        <f t="shared" si="564"/>
        <v/>
      </c>
      <c r="V2411" s="989"/>
      <c r="X2411" s="374" t="str">
        <f t="shared" si="565"/>
        <v/>
      </c>
      <c r="Y2411" s="375" t="str">
        <f t="shared" si="566"/>
        <v/>
      </c>
      <c r="Z2411" s="374" t="str">
        <f t="shared" si="567"/>
        <v/>
      </c>
      <c r="AA2411" s="374" t="b">
        <f t="shared" si="568"/>
        <v>1</v>
      </c>
      <c r="AB2411" s="374">
        <f>COUNTIFS(B:B,B2411,H:H,'סיווג התפקידים והעלויות'!$C$2)</f>
        <v>0</v>
      </c>
      <c r="AC2411" s="374">
        <f>COUNTIFS(B:B,B2411,H:H,'סיווג התפקידים והעלויות'!$D$2)</f>
        <v>0</v>
      </c>
      <c r="AD2411" s="374" t="str">
        <f>IF(OR(AND(H2411='סיווג התפקידים והעלויות'!$A$2,I2411='סיווג התפקידים והעלויות'!$A$3),'עלויות כח אדם (6)'!H2411='סיווג התפקידים והעלויות'!$C$2,'עלויות כח אדם (6)'!H2411='סיווג התפקידים והעלויות'!$D$2),IF('עלויות כח אדם (6)'!J2411&lt;75,"לא תקין","תקין"),"")</f>
        <v/>
      </c>
      <c r="AE2411" s="374" t="str">
        <f t="shared" si="569"/>
        <v/>
      </c>
      <c r="AF2411" s="532" t="str">
        <f t="shared" si="570"/>
        <v/>
      </c>
    </row>
    <row r="2412" spans="2:32" x14ac:dyDescent="0.25">
      <c r="B2412" s="695"/>
      <c r="C2412" s="197" t="str">
        <f>IF(B2412&lt;&gt;"",IFERROR(VLOOKUP(B:B,'מצבת והרשמה (2)'!$C$20:$N$520,2,0)," ")," ")</f>
        <v xml:space="preserve"> </v>
      </c>
      <c r="D2412" s="695"/>
      <c r="E2412" s="696"/>
      <c r="F2412" s="696"/>
      <c r="G2412" s="696"/>
      <c r="H2412" s="696"/>
      <c r="I2412" s="1050" t="str">
        <f t="shared" si="557"/>
        <v/>
      </c>
      <c r="J2412" s="696"/>
      <c r="K2412" s="697"/>
      <c r="L2412" s="696"/>
      <c r="M2412" s="198" t="str">
        <f t="shared" si="558"/>
        <v/>
      </c>
      <c r="N2412" s="369" t="str">
        <f t="shared" si="559"/>
        <v/>
      </c>
      <c r="O2412" s="183" t="str">
        <f t="shared" si="560"/>
        <v/>
      </c>
      <c r="P2412" s="199" t="str">
        <f t="shared" si="561"/>
        <v/>
      </c>
      <c r="Q2412" s="199" t="str">
        <f>IF(B2412="","",IFERROR(IF('עלויות כח אדם (6)'!J2412&gt;=VLOOKUP(I2412,'סיווג התפקידים והעלויות'!$B$23:$C$32,2,0),"תקין","לא תקין"),""))</f>
        <v/>
      </c>
      <c r="R2412" s="199" t="str">
        <f t="shared" si="562"/>
        <v/>
      </c>
      <c r="S2412" s="199" t="str">
        <f t="shared" si="563"/>
        <v/>
      </c>
      <c r="T2412" s="199" t="str">
        <f t="shared" si="571"/>
        <v/>
      </c>
      <c r="U2412" s="199" t="str">
        <f t="shared" si="564"/>
        <v/>
      </c>
      <c r="V2412" s="989"/>
      <c r="X2412" s="374" t="str">
        <f t="shared" si="565"/>
        <v/>
      </c>
      <c r="Y2412" s="375" t="str">
        <f t="shared" si="566"/>
        <v/>
      </c>
      <c r="Z2412" s="374" t="str">
        <f t="shared" si="567"/>
        <v/>
      </c>
      <c r="AA2412" s="374" t="b">
        <f t="shared" si="568"/>
        <v>1</v>
      </c>
      <c r="AB2412" s="374">
        <f>COUNTIFS(B:B,B2412,H:H,'סיווג התפקידים והעלויות'!$C$2)</f>
        <v>0</v>
      </c>
      <c r="AC2412" s="374">
        <f>COUNTIFS(B:B,B2412,H:H,'סיווג התפקידים והעלויות'!$D$2)</f>
        <v>0</v>
      </c>
      <c r="AD2412" s="374" t="str">
        <f>IF(OR(AND(H2412='סיווג התפקידים והעלויות'!$A$2,I2412='סיווג התפקידים והעלויות'!$A$3),'עלויות כח אדם (6)'!H2412='סיווג התפקידים והעלויות'!$C$2,'עלויות כח אדם (6)'!H2412='סיווג התפקידים והעלויות'!$D$2),IF('עלויות כח אדם (6)'!J2412&lt;75,"לא תקין","תקין"),"")</f>
        <v/>
      </c>
      <c r="AE2412" s="374" t="str">
        <f t="shared" si="569"/>
        <v/>
      </c>
      <c r="AF2412" s="532" t="str">
        <f t="shared" si="570"/>
        <v/>
      </c>
    </row>
    <row r="2413" spans="2:32" x14ac:dyDescent="0.25">
      <c r="B2413" s="695"/>
      <c r="C2413" s="197" t="str">
        <f>IF(B2413&lt;&gt;"",IFERROR(VLOOKUP(B:B,'מצבת והרשמה (2)'!$C$20:$N$520,2,0)," ")," ")</f>
        <v xml:space="preserve"> </v>
      </c>
      <c r="D2413" s="695"/>
      <c r="E2413" s="696"/>
      <c r="F2413" s="696"/>
      <c r="G2413" s="696"/>
      <c r="H2413" s="696"/>
      <c r="I2413" s="1050" t="str">
        <f t="shared" si="557"/>
        <v/>
      </c>
      <c r="J2413" s="696"/>
      <c r="K2413" s="697"/>
      <c r="L2413" s="696"/>
      <c r="M2413" s="198" t="str">
        <f t="shared" si="558"/>
        <v/>
      </c>
      <c r="N2413" s="369" t="str">
        <f t="shared" si="559"/>
        <v/>
      </c>
      <c r="O2413" s="183" t="str">
        <f t="shared" si="560"/>
        <v/>
      </c>
      <c r="P2413" s="199" t="str">
        <f t="shared" si="561"/>
        <v/>
      </c>
      <c r="Q2413" s="199" t="str">
        <f>IF(B2413="","",IFERROR(IF('עלויות כח אדם (6)'!J2413&gt;=VLOOKUP(I2413,'סיווג התפקידים והעלויות'!$B$23:$C$32,2,0),"תקין","לא תקין"),""))</f>
        <v/>
      </c>
      <c r="R2413" s="199" t="str">
        <f t="shared" si="562"/>
        <v/>
      </c>
      <c r="S2413" s="199" t="str">
        <f t="shared" si="563"/>
        <v/>
      </c>
      <c r="T2413" s="199" t="str">
        <f t="shared" si="571"/>
        <v/>
      </c>
      <c r="U2413" s="199" t="str">
        <f t="shared" si="564"/>
        <v/>
      </c>
      <c r="V2413" s="989"/>
      <c r="X2413" s="374" t="str">
        <f t="shared" si="565"/>
        <v/>
      </c>
      <c r="Y2413" s="375" t="str">
        <f t="shared" si="566"/>
        <v/>
      </c>
      <c r="Z2413" s="374" t="str">
        <f t="shared" si="567"/>
        <v/>
      </c>
      <c r="AA2413" s="374" t="b">
        <f t="shared" si="568"/>
        <v>1</v>
      </c>
      <c r="AB2413" s="374">
        <f>COUNTIFS(B:B,B2413,H:H,'סיווג התפקידים והעלויות'!$C$2)</f>
        <v>0</v>
      </c>
      <c r="AC2413" s="374">
        <f>COUNTIFS(B:B,B2413,H:H,'סיווג התפקידים והעלויות'!$D$2)</f>
        <v>0</v>
      </c>
      <c r="AD2413" s="374" t="str">
        <f>IF(OR(AND(H2413='סיווג התפקידים והעלויות'!$A$2,I2413='סיווג התפקידים והעלויות'!$A$3),'עלויות כח אדם (6)'!H2413='סיווג התפקידים והעלויות'!$C$2,'עלויות כח אדם (6)'!H2413='סיווג התפקידים והעלויות'!$D$2),IF('עלויות כח אדם (6)'!J2413&lt;75,"לא תקין","תקין"),"")</f>
        <v/>
      </c>
      <c r="AE2413" s="374" t="str">
        <f t="shared" si="569"/>
        <v/>
      </c>
      <c r="AF2413" s="532" t="str">
        <f t="shared" si="570"/>
        <v/>
      </c>
    </row>
    <row r="2414" spans="2:32" x14ac:dyDescent="0.25">
      <c r="B2414" s="695"/>
      <c r="C2414" s="197" t="str">
        <f>IF(B2414&lt;&gt;"",IFERROR(VLOOKUP(B:B,'מצבת והרשמה (2)'!$C$20:$N$520,2,0)," ")," ")</f>
        <v xml:space="preserve"> </v>
      </c>
      <c r="D2414" s="695"/>
      <c r="E2414" s="696"/>
      <c r="F2414" s="696"/>
      <c r="G2414" s="696"/>
      <c r="H2414" s="696"/>
      <c r="I2414" s="1050" t="str">
        <f t="shared" si="557"/>
        <v/>
      </c>
      <c r="J2414" s="696"/>
      <c r="K2414" s="697"/>
      <c r="L2414" s="696"/>
      <c r="M2414" s="198" t="str">
        <f t="shared" si="558"/>
        <v/>
      </c>
      <c r="N2414" s="369" t="str">
        <f t="shared" si="559"/>
        <v/>
      </c>
      <c r="O2414" s="183" t="str">
        <f t="shared" si="560"/>
        <v/>
      </c>
      <c r="P2414" s="199" t="str">
        <f t="shared" si="561"/>
        <v/>
      </c>
      <c r="Q2414" s="199" t="str">
        <f>IF(B2414="","",IFERROR(IF('עלויות כח אדם (6)'!J2414&gt;=VLOOKUP(I2414,'סיווג התפקידים והעלויות'!$B$23:$C$32,2,0),"תקין","לא תקין"),""))</f>
        <v/>
      </c>
      <c r="R2414" s="199" t="str">
        <f t="shared" si="562"/>
        <v/>
      </c>
      <c r="S2414" s="199" t="str">
        <f t="shared" si="563"/>
        <v/>
      </c>
      <c r="T2414" s="199" t="str">
        <f t="shared" si="571"/>
        <v/>
      </c>
      <c r="U2414" s="199" t="str">
        <f t="shared" si="564"/>
        <v/>
      </c>
      <c r="V2414" s="989"/>
      <c r="X2414" s="374" t="str">
        <f t="shared" si="565"/>
        <v/>
      </c>
      <c r="Y2414" s="375" t="str">
        <f t="shared" si="566"/>
        <v/>
      </c>
      <c r="Z2414" s="374" t="str">
        <f t="shared" si="567"/>
        <v/>
      </c>
      <c r="AA2414" s="374" t="b">
        <f t="shared" si="568"/>
        <v>1</v>
      </c>
      <c r="AB2414" s="374">
        <f>COUNTIFS(B:B,B2414,H:H,'סיווג התפקידים והעלויות'!$C$2)</f>
        <v>0</v>
      </c>
      <c r="AC2414" s="374">
        <f>COUNTIFS(B:B,B2414,H:H,'סיווג התפקידים והעלויות'!$D$2)</f>
        <v>0</v>
      </c>
      <c r="AD2414" s="374" t="str">
        <f>IF(OR(AND(H2414='סיווג התפקידים והעלויות'!$A$2,I2414='סיווג התפקידים והעלויות'!$A$3),'עלויות כח אדם (6)'!H2414='סיווג התפקידים והעלויות'!$C$2,'עלויות כח אדם (6)'!H2414='סיווג התפקידים והעלויות'!$D$2),IF('עלויות כח אדם (6)'!J2414&lt;75,"לא תקין","תקין"),"")</f>
        <v/>
      </c>
      <c r="AE2414" s="374" t="str">
        <f t="shared" si="569"/>
        <v/>
      </c>
      <c r="AF2414" s="532" t="str">
        <f t="shared" si="570"/>
        <v/>
      </c>
    </row>
    <row r="2415" spans="2:32" x14ac:dyDescent="0.25">
      <c r="B2415" s="695"/>
      <c r="C2415" s="197" t="str">
        <f>IF(B2415&lt;&gt;"",IFERROR(VLOOKUP(B:B,'מצבת והרשמה (2)'!$C$20:$N$520,2,0)," ")," ")</f>
        <v xml:space="preserve"> </v>
      </c>
      <c r="D2415" s="695"/>
      <c r="E2415" s="696"/>
      <c r="F2415" s="696"/>
      <c r="G2415" s="696"/>
      <c r="H2415" s="696"/>
      <c r="I2415" s="1050" t="str">
        <f t="shared" si="557"/>
        <v/>
      </c>
      <c r="J2415" s="696"/>
      <c r="K2415" s="697"/>
      <c r="L2415" s="696"/>
      <c r="M2415" s="198" t="str">
        <f t="shared" si="558"/>
        <v/>
      </c>
      <c r="N2415" s="369" t="str">
        <f t="shared" si="559"/>
        <v/>
      </c>
      <c r="O2415" s="183" t="str">
        <f t="shared" si="560"/>
        <v/>
      </c>
      <c r="P2415" s="199" t="str">
        <f t="shared" si="561"/>
        <v/>
      </c>
      <c r="Q2415" s="199" t="str">
        <f>IF(B2415="","",IFERROR(IF('עלויות כח אדם (6)'!J2415&gt;=VLOOKUP(I2415,'סיווג התפקידים והעלויות'!$B$23:$C$32,2,0),"תקין","לא תקין"),""))</f>
        <v/>
      </c>
      <c r="R2415" s="199" t="str">
        <f t="shared" si="562"/>
        <v/>
      </c>
      <c r="S2415" s="199" t="str">
        <f t="shared" si="563"/>
        <v/>
      </c>
      <c r="T2415" s="199" t="str">
        <f t="shared" si="571"/>
        <v/>
      </c>
      <c r="U2415" s="199" t="str">
        <f t="shared" si="564"/>
        <v/>
      </c>
      <c r="V2415" s="989"/>
      <c r="X2415" s="374" t="str">
        <f t="shared" si="565"/>
        <v/>
      </c>
      <c r="Y2415" s="375" t="str">
        <f t="shared" si="566"/>
        <v/>
      </c>
      <c r="Z2415" s="374" t="str">
        <f t="shared" si="567"/>
        <v/>
      </c>
      <c r="AA2415" s="374" t="b">
        <f t="shared" si="568"/>
        <v>1</v>
      </c>
      <c r="AB2415" s="374">
        <f>COUNTIFS(B:B,B2415,H:H,'סיווג התפקידים והעלויות'!$C$2)</f>
        <v>0</v>
      </c>
      <c r="AC2415" s="374">
        <f>COUNTIFS(B:B,B2415,H:H,'סיווג התפקידים והעלויות'!$D$2)</f>
        <v>0</v>
      </c>
      <c r="AD2415" s="374" t="str">
        <f>IF(OR(AND(H2415='סיווג התפקידים והעלויות'!$A$2,I2415='סיווג התפקידים והעלויות'!$A$3),'עלויות כח אדם (6)'!H2415='סיווג התפקידים והעלויות'!$C$2,'עלויות כח אדם (6)'!H2415='סיווג התפקידים והעלויות'!$D$2),IF('עלויות כח אדם (6)'!J2415&lt;75,"לא תקין","תקין"),"")</f>
        <v/>
      </c>
      <c r="AE2415" s="374" t="str">
        <f t="shared" si="569"/>
        <v/>
      </c>
      <c r="AF2415" s="532" t="str">
        <f t="shared" si="570"/>
        <v/>
      </c>
    </row>
    <row r="2416" spans="2:32" x14ac:dyDescent="0.25">
      <c r="B2416" s="695"/>
      <c r="C2416" s="197" t="str">
        <f>IF(B2416&lt;&gt;"",IFERROR(VLOOKUP(B:B,'מצבת והרשמה (2)'!$C$20:$N$520,2,0)," ")," ")</f>
        <v xml:space="preserve"> </v>
      </c>
      <c r="D2416" s="695"/>
      <c r="E2416" s="696"/>
      <c r="F2416" s="696"/>
      <c r="G2416" s="696"/>
      <c r="H2416" s="696"/>
      <c r="I2416" s="1050" t="str">
        <f t="shared" si="557"/>
        <v/>
      </c>
      <c r="J2416" s="696"/>
      <c r="K2416" s="697"/>
      <c r="L2416" s="696"/>
      <c r="M2416" s="198" t="str">
        <f t="shared" si="558"/>
        <v/>
      </c>
      <c r="N2416" s="369" t="str">
        <f t="shared" si="559"/>
        <v/>
      </c>
      <c r="O2416" s="183" t="str">
        <f t="shared" si="560"/>
        <v/>
      </c>
      <c r="P2416" s="199" t="str">
        <f t="shared" si="561"/>
        <v/>
      </c>
      <c r="Q2416" s="199" t="str">
        <f>IF(B2416="","",IFERROR(IF('עלויות כח אדם (6)'!J2416&gt;=VLOOKUP(I2416,'סיווג התפקידים והעלויות'!$B$23:$C$32,2,0),"תקין","לא תקין"),""))</f>
        <v/>
      </c>
      <c r="R2416" s="199" t="str">
        <f t="shared" si="562"/>
        <v/>
      </c>
      <c r="S2416" s="199" t="str">
        <f t="shared" si="563"/>
        <v/>
      </c>
      <c r="T2416" s="199" t="str">
        <f t="shared" si="571"/>
        <v/>
      </c>
      <c r="U2416" s="199" t="str">
        <f t="shared" si="564"/>
        <v/>
      </c>
      <c r="V2416" s="989"/>
      <c r="X2416" s="374" t="str">
        <f t="shared" si="565"/>
        <v/>
      </c>
      <c r="Y2416" s="375" t="str">
        <f t="shared" si="566"/>
        <v/>
      </c>
      <c r="Z2416" s="374" t="str">
        <f t="shared" si="567"/>
        <v/>
      </c>
      <c r="AA2416" s="374" t="b">
        <f t="shared" si="568"/>
        <v>1</v>
      </c>
      <c r="AB2416" s="374">
        <f>COUNTIFS(B:B,B2416,H:H,'סיווג התפקידים והעלויות'!$C$2)</f>
        <v>0</v>
      </c>
      <c r="AC2416" s="374">
        <f>COUNTIFS(B:B,B2416,H:H,'סיווג התפקידים והעלויות'!$D$2)</f>
        <v>0</v>
      </c>
      <c r="AD2416" s="374" t="str">
        <f>IF(OR(AND(H2416='סיווג התפקידים והעלויות'!$A$2,I2416='סיווג התפקידים והעלויות'!$A$3),'עלויות כח אדם (6)'!H2416='סיווג התפקידים והעלויות'!$C$2,'עלויות כח אדם (6)'!H2416='סיווג התפקידים והעלויות'!$D$2),IF('עלויות כח אדם (6)'!J2416&lt;75,"לא תקין","תקין"),"")</f>
        <v/>
      </c>
      <c r="AE2416" s="374" t="str">
        <f t="shared" si="569"/>
        <v/>
      </c>
      <c r="AF2416" s="532" t="str">
        <f t="shared" si="570"/>
        <v/>
      </c>
    </row>
    <row r="2417" spans="2:32" x14ac:dyDescent="0.25">
      <c r="B2417" s="695"/>
      <c r="C2417" s="197" t="str">
        <f>IF(B2417&lt;&gt;"",IFERROR(VLOOKUP(B:B,'מצבת והרשמה (2)'!$C$20:$N$520,2,0)," ")," ")</f>
        <v xml:space="preserve"> </v>
      </c>
      <c r="D2417" s="695"/>
      <c r="E2417" s="696"/>
      <c r="F2417" s="696"/>
      <c r="G2417" s="696"/>
      <c r="H2417" s="696"/>
      <c r="I2417" s="1050" t="str">
        <f t="shared" si="557"/>
        <v/>
      </c>
      <c r="J2417" s="696"/>
      <c r="K2417" s="697"/>
      <c r="L2417" s="696"/>
      <c r="M2417" s="198" t="str">
        <f t="shared" si="558"/>
        <v/>
      </c>
      <c r="N2417" s="369" t="str">
        <f t="shared" si="559"/>
        <v/>
      </c>
      <c r="O2417" s="183" t="str">
        <f t="shared" si="560"/>
        <v/>
      </c>
      <c r="P2417" s="199" t="str">
        <f t="shared" si="561"/>
        <v/>
      </c>
      <c r="Q2417" s="199" t="str">
        <f>IF(B2417="","",IFERROR(IF('עלויות כח אדם (6)'!J2417&gt;=VLOOKUP(I2417,'סיווג התפקידים והעלויות'!$B$23:$C$32,2,0),"תקין","לא תקין"),""))</f>
        <v/>
      </c>
      <c r="R2417" s="199" t="str">
        <f t="shared" si="562"/>
        <v/>
      </c>
      <c r="S2417" s="199" t="str">
        <f t="shared" si="563"/>
        <v/>
      </c>
      <c r="T2417" s="199" t="str">
        <f t="shared" si="571"/>
        <v/>
      </c>
      <c r="U2417" s="199" t="str">
        <f t="shared" si="564"/>
        <v/>
      </c>
      <c r="V2417" s="989"/>
      <c r="X2417" s="374" t="str">
        <f t="shared" si="565"/>
        <v/>
      </c>
      <c r="Y2417" s="375" t="str">
        <f t="shared" si="566"/>
        <v/>
      </c>
      <c r="Z2417" s="374" t="str">
        <f t="shared" si="567"/>
        <v/>
      </c>
      <c r="AA2417" s="374" t="b">
        <f t="shared" si="568"/>
        <v>1</v>
      </c>
      <c r="AB2417" s="374">
        <f>COUNTIFS(B:B,B2417,H:H,'סיווג התפקידים והעלויות'!$C$2)</f>
        <v>0</v>
      </c>
      <c r="AC2417" s="374">
        <f>COUNTIFS(B:B,B2417,H:H,'סיווג התפקידים והעלויות'!$D$2)</f>
        <v>0</v>
      </c>
      <c r="AD2417" s="374" t="str">
        <f>IF(OR(AND(H2417='סיווג התפקידים והעלויות'!$A$2,I2417='סיווג התפקידים והעלויות'!$A$3),'עלויות כח אדם (6)'!H2417='סיווג התפקידים והעלויות'!$C$2,'עלויות כח אדם (6)'!H2417='סיווג התפקידים והעלויות'!$D$2),IF('עלויות כח אדם (6)'!J2417&lt;75,"לא תקין","תקין"),"")</f>
        <v/>
      </c>
      <c r="AE2417" s="374" t="str">
        <f t="shared" si="569"/>
        <v/>
      </c>
      <c r="AF2417" s="532" t="str">
        <f t="shared" si="570"/>
        <v/>
      </c>
    </row>
    <row r="2418" spans="2:32" x14ac:dyDescent="0.25">
      <c r="B2418" s="695"/>
      <c r="C2418" s="197" t="str">
        <f>IF(B2418&lt;&gt;"",IFERROR(VLOOKUP(B:B,'מצבת והרשמה (2)'!$C$20:$N$520,2,0)," ")," ")</f>
        <v xml:space="preserve"> </v>
      </c>
      <c r="D2418" s="695"/>
      <c r="E2418" s="696"/>
      <c r="F2418" s="696"/>
      <c r="G2418" s="696"/>
      <c r="H2418" s="696"/>
      <c r="I2418" s="1050" t="str">
        <f t="shared" si="557"/>
        <v/>
      </c>
      <c r="J2418" s="696"/>
      <c r="K2418" s="697"/>
      <c r="L2418" s="696"/>
      <c r="M2418" s="198" t="str">
        <f t="shared" si="558"/>
        <v/>
      </c>
      <c r="N2418" s="369" t="str">
        <f t="shared" si="559"/>
        <v/>
      </c>
      <c r="O2418" s="183" t="str">
        <f t="shared" si="560"/>
        <v/>
      </c>
      <c r="P2418" s="199" t="str">
        <f t="shared" si="561"/>
        <v/>
      </c>
      <c r="Q2418" s="199" t="str">
        <f>IF(B2418="","",IFERROR(IF('עלויות כח אדם (6)'!J2418&gt;=VLOOKUP(I2418,'סיווג התפקידים והעלויות'!$B$23:$C$32,2,0),"תקין","לא תקין"),""))</f>
        <v/>
      </c>
      <c r="R2418" s="199" t="str">
        <f t="shared" si="562"/>
        <v/>
      </c>
      <c r="S2418" s="199" t="str">
        <f t="shared" si="563"/>
        <v/>
      </c>
      <c r="T2418" s="199" t="str">
        <f t="shared" si="571"/>
        <v/>
      </c>
      <c r="U2418" s="199" t="str">
        <f t="shared" si="564"/>
        <v/>
      </c>
      <c r="V2418" s="989"/>
      <c r="X2418" s="374" t="str">
        <f t="shared" si="565"/>
        <v/>
      </c>
      <c r="Y2418" s="375" t="str">
        <f t="shared" si="566"/>
        <v/>
      </c>
      <c r="Z2418" s="374" t="str">
        <f t="shared" si="567"/>
        <v/>
      </c>
      <c r="AA2418" s="374" t="b">
        <f t="shared" si="568"/>
        <v>1</v>
      </c>
      <c r="AB2418" s="374">
        <f>COUNTIFS(B:B,B2418,H:H,'סיווג התפקידים והעלויות'!$C$2)</f>
        <v>0</v>
      </c>
      <c r="AC2418" s="374">
        <f>COUNTIFS(B:B,B2418,H:H,'סיווג התפקידים והעלויות'!$D$2)</f>
        <v>0</v>
      </c>
      <c r="AD2418" s="374" t="str">
        <f>IF(OR(AND(H2418='סיווג התפקידים והעלויות'!$A$2,I2418='סיווג התפקידים והעלויות'!$A$3),'עלויות כח אדם (6)'!H2418='סיווג התפקידים והעלויות'!$C$2,'עלויות כח אדם (6)'!H2418='סיווג התפקידים והעלויות'!$D$2),IF('עלויות כח אדם (6)'!J2418&lt;75,"לא תקין","תקין"),"")</f>
        <v/>
      </c>
      <c r="AE2418" s="374" t="str">
        <f t="shared" si="569"/>
        <v/>
      </c>
      <c r="AF2418" s="532" t="str">
        <f t="shared" si="570"/>
        <v/>
      </c>
    </row>
    <row r="2419" spans="2:32" x14ac:dyDescent="0.25">
      <c r="B2419" s="695"/>
      <c r="C2419" s="197" t="str">
        <f>IF(B2419&lt;&gt;"",IFERROR(VLOOKUP(B:B,'מצבת והרשמה (2)'!$C$20:$N$520,2,0)," ")," ")</f>
        <v xml:space="preserve"> </v>
      </c>
      <c r="D2419" s="695"/>
      <c r="E2419" s="696"/>
      <c r="F2419" s="696"/>
      <c r="G2419" s="696"/>
      <c r="H2419" s="696"/>
      <c r="I2419" s="1050" t="str">
        <f t="shared" si="557"/>
        <v/>
      </c>
      <c r="J2419" s="696"/>
      <c r="K2419" s="697"/>
      <c r="L2419" s="696"/>
      <c r="M2419" s="198" t="str">
        <f t="shared" si="558"/>
        <v/>
      </c>
      <c r="N2419" s="369" t="str">
        <f t="shared" si="559"/>
        <v/>
      </c>
      <c r="O2419" s="183" t="str">
        <f t="shared" si="560"/>
        <v/>
      </c>
      <c r="P2419" s="199" t="str">
        <f t="shared" si="561"/>
        <v/>
      </c>
      <c r="Q2419" s="199" t="str">
        <f>IF(B2419="","",IFERROR(IF('עלויות כח אדם (6)'!J2419&gt;=VLOOKUP(I2419,'סיווג התפקידים והעלויות'!$B$23:$C$32,2,0),"תקין","לא תקין"),""))</f>
        <v/>
      </c>
      <c r="R2419" s="199" t="str">
        <f t="shared" si="562"/>
        <v/>
      </c>
      <c r="S2419" s="199" t="str">
        <f t="shared" si="563"/>
        <v/>
      </c>
      <c r="T2419" s="199" t="str">
        <f t="shared" si="571"/>
        <v/>
      </c>
      <c r="U2419" s="199" t="str">
        <f t="shared" si="564"/>
        <v/>
      </c>
      <c r="V2419" s="989"/>
      <c r="X2419" s="374" t="str">
        <f t="shared" si="565"/>
        <v/>
      </c>
      <c r="Y2419" s="375" t="str">
        <f t="shared" si="566"/>
        <v/>
      </c>
      <c r="Z2419" s="374" t="str">
        <f t="shared" si="567"/>
        <v/>
      </c>
      <c r="AA2419" s="374" t="b">
        <f t="shared" si="568"/>
        <v>1</v>
      </c>
      <c r="AB2419" s="374">
        <f>COUNTIFS(B:B,B2419,H:H,'סיווג התפקידים והעלויות'!$C$2)</f>
        <v>0</v>
      </c>
      <c r="AC2419" s="374">
        <f>COUNTIFS(B:B,B2419,H:H,'סיווג התפקידים והעלויות'!$D$2)</f>
        <v>0</v>
      </c>
      <c r="AD2419" s="374" t="str">
        <f>IF(OR(AND(H2419='סיווג התפקידים והעלויות'!$A$2,I2419='סיווג התפקידים והעלויות'!$A$3),'עלויות כח אדם (6)'!H2419='סיווג התפקידים והעלויות'!$C$2,'עלויות כח אדם (6)'!H2419='סיווג התפקידים והעלויות'!$D$2),IF('עלויות כח אדם (6)'!J2419&lt;75,"לא תקין","תקין"),"")</f>
        <v/>
      </c>
      <c r="AE2419" s="374" t="str">
        <f t="shared" si="569"/>
        <v/>
      </c>
      <c r="AF2419" s="532" t="str">
        <f t="shared" si="570"/>
        <v/>
      </c>
    </row>
    <row r="2420" spans="2:32" x14ac:dyDescent="0.25">
      <c r="B2420" s="695"/>
      <c r="C2420" s="197" t="str">
        <f>IF(B2420&lt;&gt;"",IFERROR(VLOOKUP(B:B,'מצבת והרשמה (2)'!$C$20:$N$520,2,0)," ")," ")</f>
        <v xml:space="preserve"> </v>
      </c>
      <c r="D2420" s="695"/>
      <c r="E2420" s="696"/>
      <c r="F2420" s="696"/>
      <c r="G2420" s="696"/>
      <c r="H2420" s="696"/>
      <c r="I2420" s="1050" t="str">
        <f t="shared" si="557"/>
        <v/>
      </c>
      <c r="J2420" s="696"/>
      <c r="K2420" s="697"/>
      <c r="L2420" s="696"/>
      <c r="M2420" s="198" t="str">
        <f t="shared" si="558"/>
        <v/>
      </c>
      <c r="N2420" s="369" t="str">
        <f t="shared" si="559"/>
        <v/>
      </c>
      <c r="O2420" s="183" t="str">
        <f t="shared" si="560"/>
        <v/>
      </c>
      <c r="P2420" s="199" t="str">
        <f t="shared" si="561"/>
        <v/>
      </c>
      <c r="Q2420" s="199" t="str">
        <f>IF(B2420="","",IFERROR(IF('עלויות כח אדם (6)'!J2420&gt;=VLOOKUP(I2420,'סיווג התפקידים והעלויות'!$B$23:$C$32,2,0),"תקין","לא תקין"),""))</f>
        <v/>
      </c>
      <c r="R2420" s="199" t="str">
        <f t="shared" si="562"/>
        <v/>
      </c>
      <c r="S2420" s="199" t="str">
        <f t="shared" si="563"/>
        <v/>
      </c>
      <c r="T2420" s="199" t="str">
        <f t="shared" si="571"/>
        <v/>
      </c>
      <c r="U2420" s="199" t="str">
        <f t="shared" si="564"/>
        <v/>
      </c>
      <c r="V2420" s="989"/>
      <c r="X2420" s="374" t="str">
        <f t="shared" si="565"/>
        <v/>
      </c>
      <c r="Y2420" s="375" t="str">
        <f t="shared" si="566"/>
        <v/>
      </c>
      <c r="Z2420" s="374" t="str">
        <f t="shared" si="567"/>
        <v/>
      </c>
      <c r="AA2420" s="374" t="b">
        <f t="shared" si="568"/>
        <v>1</v>
      </c>
      <c r="AB2420" s="374">
        <f>COUNTIFS(B:B,B2420,H:H,'סיווג התפקידים והעלויות'!$C$2)</f>
        <v>0</v>
      </c>
      <c r="AC2420" s="374">
        <f>COUNTIFS(B:B,B2420,H:H,'סיווג התפקידים והעלויות'!$D$2)</f>
        <v>0</v>
      </c>
      <c r="AD2420" s="374" t="str">
        <f>IF(OR(AND(H2420='סיווג התפקידים והעלויות'!$A$2,I2420='סיווג התפקידים והעלויות'!$A$3),'עלויות כח אדם (6)'!H2420='סיווג התפקידים והעלויות'!$C$2,'עלויות כח אדם (6)'!H2420='סיווג התפקידים והעלויות'!$D$2),IF('עלויות כח אדם (6)'!J2420&lt;75,"לא תקין","תקין"),"")</f>
        <v/>
      </c>
      <c r="AE2420" s="374" t="str">
        <f t="shared" si="569"/>
        <v/>
      </c>
      <c r="AF2420" s="532" t="str">
        <f t="shared" si="570"/>
        <v/>
      </c>
    </row>
    <row r="2421" spans="2:32" x14ac:dyDescent="0.25">
      <c r="B2421" s="695"/>
      <c r="C2421" s="197" t="str">
        <f>IF(B2421&lt;&gt;"",IFERROR(VLOOKUP(B:B,'מצבת והרשמה (2)'!$C$20:$N$520,2,0)," ")," ")</f>
        <v xml:space="preserve"> </v>
      </c>
      <c r="D2421" s="695"/>
      <c r="E2421" s="696"/>
      <c r="F2421" s="696"/>
      <c r="G2421" s="696"/>
      <c r="H2421" s="696"/>
      <c r="I2421" s="1050" t="str">
        <f t="shared" si="557"/>
        <v/>
      </c>
      <c r="J2421" s="696"/>
      <c r="K2421" s="697"/>
      <c r="L2421" s="696"/>
      <c r="M2421" s="198" t="str">
        <f t="shared" si="558"/>
        <v/>
      </c>
      <c r="N2421" s="369" t="str">
        <f t="shared" si="559"/>
        <v/>
      </c>
      <c r="O2421" s="183" t="str">
        <f t="shared" si="560"/>
        <v/>
      </c>
      <c r="P2421" s="199" t="str">
        <f t="shared" si="561"/>
        <v/>
      </c>
      <c r="Q2421" s="199" t="str">
        <f>IF(B2421="","",IFERROR(IF('עלויות כח אדם (6)'!J2421&gt;=VLOOKUP(I2421,'סיווג התפקידים והעלויות'!$B$23:$C$32,2,0),"תקין","לא תקין"),""))</f>
        <v/>
      </c>
      <c r="R2421" s="199" t="str">
        <f t="shared" si="562"/>
        <v/>
      </c>
      <c r="S2421" s="199" t="str">
        <f t="shared" si="563"/>
        <v/>
      </c>
      <c r="T2421" s="199" t="str">
        <f t="shared" si="571"/>
        <v/>
      </c>
      <c r="U2421" s="199" t="str">
        <f t="shared" si="564"/>
        <v/>
      </c>
      <c r="V2421" s="989"/>
      <c r="X2421" s="374" t="str">
        <f t="shared" si="565"/>
        <v/>
      </c>
      <c r="Y2421" s="375" t="str">
        <f t="shared" si="566"/>
        <v/>
      </c>
      <c r="Z2421" s="374" t="str">
        <f t="shared" si="567"/>
        <v/>
      </c>
      <c r="AA2421" s="374" t="b">
        <f t="shared" si="568"/>
        <v>1</v>
      </c>
      <c r="AB2421" s="374">
        <f>COUNTIFS(B:B,B2421,H:H,'סיווג התפקידים והעלויות'!$C$2)</f>
        <v>0</v>
      </c>
      <c r="AC2421" s="374">
        <f>COUNTIFS(B:B,B2421,H:H,'סיווג התפקידים והעלויות'!$D$2)</f>
        <v>0</v>
      </c>
      <c r="AD2421" s="374" t="str">
        <f>IF(OR(AND(H2421='סיווג התפקידים והעלויות'!$A$2,I2421='סיווג התפקידים והעלויות'!$A$3),'עלויות כח אדם (6)'!H2421='סיווג התפקידים והעלויות'!$C$2,'עלויות כח אדם (6)'!H2421='סיווג התפקידים והעלויות'!$D$2),IF('עלויות כח אדם (6)'!J2421&lt;75,"לא תקין","תקין"),"")</f>
        <v/>
      </c>
      <c r="AE2421" s="374" t="str">
        <f t="shared" si="569"/>
        <v/>
      </c>
      <c r="AF2421" s="532" t="str">
        <f t="shared" si="570"/>
        <v/>
      </c>
    </row>
    <row r="2422" spans="2:32" x14ac:dyDescent="0.25">
      <c r="B2422" s="695"/>
      <c r="C2422" s="197" t="str">
        <f>IF(B2422&lt;&gt;"",IFERROR(VLOOKUP(B:B,'מצבת והרשמה (2)'!$C$20:$N$520,2,0)," ")," ")</f>
        <v xml:space="preserve"> </v>
      </c>
      <c r="D2422" s="695"/>
      <c r="E2422" s="696"/>
      <c r="F2422" s="696"/>
      <c r="G2422" s="696"/>
      <c r="H2422" s="696"/>
      <c r="I2422" s="1050" t="str">
        <f t="shared" si="557"/>
        <v/>
      </c>
      <c r="J2422" s="696"/>
      <c r="K2422" s="697"/>
      <c r="L2422" s="696"/>
      <c r="M2422" s="198" t="str">
        <f t="shared" si="558"/>
        <v/>
      </c>
      <c r="N2422" s="369" t="str">
        <f t="shared" si="559"/>
        <v/>
      </c>
      <c r="O2422" s="183" t="str">
        <f t="shared" si="560"/>
        <v/>
      </c>
      <c r="P2422" s="199" t="str">
        <f t="shared" si="561"/>
        <v/>
      </c>
      <c r="Q2422" s="199" t="str">
        <f>IF(B2422="","",IFERROR(IF('עלויות כח אדם (6)'!J2422&gt;=VLOOKUP(I2422,'סיווג התפקידים והעלויות'!$B$23:$C$32,2,0),"תקין","לא תקין"),""))</f>
        <v/>
      </c>
      <c r="R2422" s="199" t="str">
        <f t="shared" si="562"/>
        <v/>
      </c>
      <c r="S2422" s="199" t="str">
        <f t="shared" si="563"/>
        <v/>
      </c>
      <c r="T2422" s="199" t="str">
        <f t="shared" si="571"/>
        <v/>
      </c>
      <c r="U2422" s="199" t="str">
        <f t="shared" si="564"/>
        <v/>
      </c>
      <c r="V2422" s="989"/>
      <c r="X2422" s="374" t="str">
        <f t="shared" si="565"/>
        <v/>
      </c>
      <c r="Y2422" s="375" t="str">
        <f t="shared" si="566"/>
        <v/>
      </c>
      <c r="Z2422" s="374" t="str">
        <f t="shared" si="567"/>
        <v/>
      </c>
      <c r="AA2422" s="374" t="b">
        <f t="shared" si="568"/>
        <v>1</v>
      </c>
      <c r="AB2422" s="374">
        <f>COUNTIFS(B:B,B2422,H:H,'סיווג התפקידים והעלויות'!$C$2)</f>
        <v>0</v>
      </c>
      <c r="AC2422" s="374">
        <f>COUNTIFS(B:B,B2422,H:H,'סיווג התפקידים והעלויות'!$D$2)</f>
        <v>0</v>
      </c>
      <c r="AD2422" s="374" t="str">
        <f>IF(OR(AND(H2422='סיווג התפקידים והעלויות'!$A$2,I2422='סיווג התפקידים והעלויות'!$A$3),'עלויות כח אדם (6)'!H2422='סיווג התפקידים והעלויות'!$C$2,'עלויות כח אדם (6)'!H2422='סיווג התפקידים והעלויות'!$D$2),IF('עלויות כח אדם (6)'!J2422&lt;75,"לא תקין","תקין"),"")</f>
        <v/>
      </c>
      <c r="AE2422" s="374" t="str">
        <f t="shared" si="569"/>
        <v/>
      </c>
      <c r="AF2422" s="532" t="str">
        <f t="shared" si="570"/>
        <v/>
      </c>
    </row>
    <row r="2423" spans="2:32" x14ac:dyDescent="0.25">
      <c r="B2423" s="695"/>
      <c r="C2423" s="197" t="str">
        <f>IF(B2423&lt;&gt;"",IFERROR(VLOOKUP(B:B,'מצבת והרשמה (2)'!$C$20:$N$520,2,0)," ")," ")</f>
        <v xml:space="preserve"> </v>
      </c>
      <c r="D2423" s="695"/>
      <c r="E2423" s="696"/>
      <c r="F2423" s="696"/>
      <c r="G2423" s="696"/>
      <c r="H2423" s="696"/>
      <c r="I2423" s="1050" t="str">
        <f t="shared" si="557"/>
        <v/>
      </c>
      <c r="J2423" s="696"/>
      <c r="K2423" s="697"/>
      <c r="L2423" s="696"/>
      <c r="M2423" s="198" t="str">
        <f t="shared" si="558"/>
        <v/>
      </c>
      <c r="N2423" s="369" t="str">
        <f t="shared" si="559"/>
        <v/>
      </c>
      <c r="O2423" s="183" t="str">
        <f t="shared" si="560"/>
        <v/>
      </c>
      <c r="P2423" s="199" t="str">
        <f t="shared" si="561"/>
        <v/>
      </c>
      <c r="Q2423" s="199" t="str">
        <f>IF(B2423="","",IFERROR(IF('עלויות כח אדם (6)'!J2423&gt;=VLOOKUP(I2423,'סיווג התפקידים והעלויות'!$B$23:$C$32,2,0),"תקין","לא תקין"),""))</f>
        <v/>
      </c>
      <c r="R2423" s="199" t="str">
        <f t="shared" si="562"/>
        <v/>
      </c>
      <c r="S2423" s="199" t="str">
        <f t="shared" si="563"/>
        <v/>
      </c>
      <c r="T2423" s="199" t="str">
        <f t="shared" si="571"/>
        <v/>
      </c>
      <c r="U2423" s="199" t="str">
        <f t="shared" si="564"/>
        <v/>
      </c>
      <c r="V2423" s="989"/>
      <c r="X2423" s="374" t="str">
        <f t="shared" si="565"/>
        <v/>
      </c>
      <c r="Y2423" s="375" t="str">
        <f t="shared" si="566"/>
        <v/>
      </c>
      <c r="Z2423" s="374" t="str">
        <f t="shared" si="567"/>
        <v/>
      </c>
      <c r="AA2423" s="374" t="b">
        <f t="shared" si="568"/>
        <v>1</v>
      </c>
      <c r="AB2423" s="374">
        <f>COUNTIFS(B:B,B2423,H:H,'סיווג התפקידים והעלויות'!$C$2)</f>
        <v>0</v>
      </c>
      <c r="AC2423" s="374">
        <f>COUNTIFS(B:B,B2423,H:H,'סיווג התפקידים והעלויות'!$D$2)</f>
        <v>0</v>
      </c>
      <c r="AD2423" s="374" t="str">
        <f>IF(OR(AND(H2423='סיווג התפקידים והעלויות'!$A$2,I2423='סיווג התפקידים והעלויות'!$A$3),'עלויות כח אדם (6)'!H2423='סיווג התפקידים והעלויות'!$C$2,'עלויות כח אדם (6)'!H2423='סיווג התפקידים והעלויות'!$D$2),IF('עלויות כח אדם (6)'!J2423&lt;75,"לא תקין","תקין"),"")</f>
        <v/>
      </c>
      <c r="AE2423" s="374" t="str">
        <f t="shared" si="569"/>
        <v/>
      </c>
      <c r="AF2423" s="532" t="str">
        <f t="shared" si="570"/>
        <v/>
      </c>
    </row>
    <row r="2424" spans="2:32" x14ac:dyDescent="0.25">
      <c r="B2424" s="695"/>
      <c r="C2424" s="197" t="str">
        <f>IF(B2424&lt;&gt;"",IFERROR(VLOOKUP(B:B,'מצבת והרשמה (2)'!$C$20:$N$520,2,0)," ")," ")</f>
        <v xml:space="preserve"> </v>
      </c>
      <c r="D2424" s="695"/>
      <c r="E2424" s="696"/>
      <c r="F2424" s="696"/>
      <c r="G2424" s="696"/>
      <c r="H2424" s="696"/>
      <c r="I2424" s="1050" t="str">
        <f t="shared" si="557"/>
        <v/>
      </c>
      <c r="J2424" s="696"/>
      <c r="K2424" s="697"/>
      <c r="L2424" s="696"/>
      <c r="M2424" s="198" t="str">
        <f t="shared" si="558"/>
        <v/>
      </c>
      <c r="N2424" s="369" t="str">
        <f t="shared" si="559"/>
        <v/>
      </c>
      <c r="O2424" s="183" t="str">
        <f t="shared" si="560"/>
        <v/>
      </c>
      <c r="P2424" s="199" t="str">
        <f t="shared" si="561"/>
        <v/>
      </c>
      <c r="Q2424" s="199" t="str">
        <f>IF(B2424="","",IFERROR(IF('עלויות כח אדם (6)'!J2424&gt;=VLOOKUP(I2424,'סיווג התפקידים והעלויות'!$B$23:$C$32,2,0),"תקין","לא תקין"),""))</f>
        <v/>
      </c>
      <c r="R2424" s="199" t="str">
        <f t="shared" si="562"/>
        <v/>
      </c>
      <c r="S2424" s="199" t="str">
        <f t="shared" si="563"/>
        <v/>
      </c>
      <c r="T2424" s="199" t="str">
        <f t="shared" si="571"/>
        <v/>
      </c>
      <c r="U2424" s="199" t="str">
        <f t="shared" si="564"/>
        <v/>
      </c>
      <c r="V2424" s="989"/>
      <c r="X2424" s="374" t="str">
        <f t="shared" si="565"/>
        <v/>
      </c>
      <c r="Y2424" s="375" t="str">
        <f t="shared" si="566"/>
        <v/>
      </c>
      <c r="Z2424" s="374" t="str">
        <f t="shared" si="567"/>
        <v/>
      </c>
      <c r="AA2424" s="374" t="b">
        <f t="shared" si="568"/>
        <v>1</v>
      </c>
      <c r="AB2424" s="374">
        <f>COUNTIFS(B:B,B2424,H:H,'סיווג התפקידים והעלויות'!$C$2)</f>
        <v>0</v>
      </c>
      <c r="AC2424" s="374">
        <f>COUNTIFS(B:B,B2424,H:H,'סיווג התפקידים והעלויות'!$D$2)</f>
        <v>0</v>
      </c>
      <c r="AD2424" s="374" t="str">
        <f>IF(OR(AND(H2424='סיווג התפקידים והעלויות'!$A$2,I2424='סיווג התפקידים והעלויות'!$A$3),'עלויות כח אדם (6)'!H2424='סיווג התפקידים והעלויות'!$C$2,'עלויות כח אדם (6)'!H2424='סיווג התפקידים והעלויות'!$D$2),IF('עלויות כח אדם (6)'!J2424&lt;75,"לא תקין","תקין"),"")</f>
        <v/>
      </c>
      <c r="AE2424" s="374" t="str">
        <f t="shared" si="569"/>
        <v/>
      </c>
      <c r="AF2424" s="532" t="str">
        <f t="shared" si="570"/>
        <v/>
      </c>
    </row>
    <row r="2425" spans="2:32" x14ac:dyDescent="0.25">
      <c r="B2425" s="695"/>
      <c r="C2425" s="197" t="str">
        <f>IF(B2425&lt;&gt;"",IFERROR(VLOOKUP(B:B,'מצבת והרשמה (2)'!$C$20:$N$520,2,0)," ")," ")</f>
        <v xml:space="preserve"> </v>
      </c>
      <c r="D2425" s="695"/>
      <c r="E2425" s="696"/>
      <c r="F2425" s="696"/>
      <c r="G2425" s="696"/>
      <c r="H2425" s="696"/>
      <c r="I2425" s="1050" t="str">
        <f t="shared" si="557"/>
        <v/>
      </c>
      <c r="J2425" s="696"/>
      <c r="K2425" s="697"/>
      <c r="L2425" s="696"/>
      <c r="M2425" s="198" t="str">
        <f t="shared" si="558"/>
        <v/>
      </c>
      <c r="N2425" s="369" t="str">
        <f t="shared" si="559"/>
        <v/>
      </c>
      <c r="O2425" s="183" t="str">
        <f t="shared" si="560"/>
        <v/>
      </c>
      <c r="P2425" s="199" t="str">
        <f t="shared" si="561"/>
        <v/>
      </c>
      <c r="Q2425" s="199" t="str">
        <f>IF(B2425="","",IFERROR(IF('עלויות כח אדם (6)'!J2425&gt;=VLOOKUP(I2425,'סיווג התפקידים והעלויות'!$B$23:$C$32,2,0),"תקין","לא תקין"),""))</f>
        <v/>
      </c>
      <c r="R2425" s="199" t="str">
        <f t="shared" si="562"/>
        <v/>
      </c>
      <c r="S2425" s="199" t="str">
        <f t="shared" si="563"/>
        <v/>
      </c>
      <c r="T2425" s="199" t="str">
        <f t="shared" si="571"/>
        <v/>
      </c>
      <c r="U2425" s="199" t="str">
        <f t="shared" si="564"/>
        <v/>
      </c>
      <c r="V2425" s="989"/>
      <c r="X2425" s="374" t="str">
        <f t="shared" si="565"/>
        <v/>
      </c>
      <c r="Y2425" s="375" t="str">
        <f t="shared" si="566"/>
        <v/>
      </c>
      <c r="Z2425" s="374" t="str">
        <f t="shared" si="567"/>
        <v/>
      </c>
      <c r="AA2425" s="374" t="b">
        <f t="shared" si="568"/>
        <v>1</v>
      </c>
      <c r="AB2425" s="374">
        <f>COUNTIFS(B:B,B2425,H:H,'סיווג התפקידים והעלויות'!$C$2)</f>
        <v>0</v>
      </c>
      <c r="AC2425" s="374">
        <f>COUNTIFS(B:B,B2425,H:H,'סיווג התפקידים והעלויות'!$D$2)</f>
        <v>0</v>
      </c>
      <c r="AD2425" s="374" t="str">
        <f>IF(OR(AND(H2425='סיווג התפקידים והעלויות'!$A$2,I2425='סיווג התפקידים והעלויות'!$A$3),'עלויות כח אדם (6)'!H2425='סיווג התפקידים והעלויות'!$C$2,'עלויות כח אדם (6)'!H2425='סיווג התפקידים והעלויות'!$D$2),IF('עלויות כח אדם (6)'!J2425&lt;75,"לא תקין","תקין"),"")</f>
        <v/>
      </c>
      <c r="AE2425" s="374" t="str">
        <f t="shared" si="569"/>
        <v/>
      </c>
      <c r="AF2425" s="532" t="str">
        <f t="shared" si="570"/>
        <v/>
      </c>
    </row>
    <row r="2426" spans="2:32" x14ac:dyDescent="0.25">
      <c r="B2426" s="695"/>
      <c r="C2426" s="197" t="str">
        <f>IF(B2426&lt;&gt;"",IFERROR(VLOOKUP(B:B,'מצבת והרשמה (2)'!$C$20:$N$520,2,0)," ")," ")</f>
        <v xml:space="preserve"> </v>
      </c>
      <c r="D2426" s="695"/>
      <c r="E2426" s="696"/>
      <c r="F2426" s="696"/>
      <c r="G2426" s="696"/>
      <c r="H2426" s="696"/>
      <c r="I2426" s="1050" t="str">
        <f t="shared" si="557"/>
        <v/>
      </c>
      <c r="J2426" s="696"/>
      <c r="K2426" s="697"/>
      <c r="L2426" s="696"/>
      <c r="M2426" s="198" t="str">
        <f t="shared" si="558"/>
        <v/>
      </c>
      <c r="N2426" s="369" t="str">
        <f t="shared" si="559"/>
        <v/>
      </c>
      <c r="O2426" s="183" t="str">
        <f t="shared" si="560"/>
        <v/>
      </c>
      <c r="P2426" s="199" t="str">
        <f t="shared" si="561"/>
        <v/>
      </c>
      <c r="Q2426" s="199" t="str">
        <f>IF(B2426="","",IFERROR(IF('עלויות כח אדם (6)'!J2426&gt;=VLOOKUP(I2426,'סיווג התפקידים והעלויות'!$B$23:$C$32,2,0),"תקין","לא תקין"),""))</f>
        <v/>
      </c>
      <c r="R2426" s="199" t="str">
        <f t="shared" si="562"/>
        <v/>
      </c>
      <c r="S2426" s="199" t="str">
        <f t="shared" si="563"/>
        <v/>
      </c>
      <c r="T2426" s="199" t="str">
        <f t="shared" si="571"/>
        <v/>
      </c>
      <c r="U2426" s="199" t="str">
        <f t="shared" si="564"/>
        <v/>
      </c>
      <c r="V2426" s="989"/>
      <c r="X2426" s="374" t="str">
        <f t="shared" si="565"/>
        <v/>
      </c>
      <c r="Y2426" s="375" t="str">
        <f t="shared" si="566"/>
        <v/>
      </c>
      <c r="Z2426" s="374" t="str">
        <f t="shared" si="567"/>
        <v/>
      </c>
      <c r="AA2426" s="374" t="b">
        <f t="shared" si="568"/>
        <v>1</v>
      </c>
      <c r="AB2426" s="374">
        <f>COUNTIFS(B:B,B2426,H:H,'סיווג התפקידים והעלויות'!$C$2)</f>
        <v>0</v>
      </c>
      <c r="AC2426" s="374">
        <f>COUNTIFS(B:B,B2426,H:H,'סיווג התפקידים והעלויות'!$D$2)</f>
        <v>0</v>
      </c>
      <c r="AD2426" s="374" t="str">
        <f>IF(OR(AND(H2426='סיווג התפקידים והעלויות'!$A$2,I2426='סיווג התפקידים והעלויות'!$A$3),'עלויות כח אדם (6)'!H2426='סיווג התפקידים והעלויות'!$C$2,'עלויות כח אדם (6)'!H2426='סיווג התפקידים והעלויות'!$D$2),IF('עלויות כח אדם (6)'!J2426&lt;75,"לא תקין","תקין"),"")</f>
        <v/>
      </c>
      <c r="AE2426" s="374" t="str">
        <f t="shared" si="569"/>
        <v/>
      </c>
      <c r="AF2426" s="532" t="str">
        <f t="shared" si="570"/>
        <v/>
      </c>
    </row>
    <row r="2427" spans="2:32" x14ac:dyDescent="0.25">
      <c r="B2427" s="695"/>
      <c r="C2427" s="197" t="str">
        <f>IF(B2427&lt;&gt;"",IFERROR(VLOOKUP(B:B,'מצבת והרשמה (2)'!$C$20:$N$520,2,0)," ")," ")</f>
        <v xml:space="preserve"> </v>
      </c>
      <c r="D2427" s="695"/>
      <c r="E2427" s="696"/>
      <c r="F2427" s="696"/>
      <c r="G2427" s="696"/>
      <c r="H2427" s="696"/>
      <c r="I2427" s="1050" t="str">
        <f t="shared" si="557"/>
        <v/>
      </c>
      <c r="J2427" s="696"/>
      <c r="K2427" s="697"/>
      <c r="L2427" s="696"/>
      <c r="M2427" s="198" t="str">
        <f t="shared" si="558"/>
        <v/>
      </c>
      <c r="N2427" s="369" t="str">
        <f t="shared" si="559"/>
        <v/>
      </c>
      <c r="O2427" s="183" t="str">
        <f t="shared" si="560"/>
        <v/>
      </c>
      <c r="P2427" s="199" t="str">
        <f t="shared" si="561"/>
        <v/>
      </c>
      <c r="Q2427" s="199" t="str">
        <f>IF(B2427="","",IFERROR(IF('עלויות כח אדם (6)'!J2427&gt;=VLOOKUP(I2427,'סיווג התפקידים והעלויות'!$B$23:$C$32,2,0),"תקין","לא תקין"),""))</f>
        <v/>
      </c>
      <c r="R2427" s="199" t="str">
        <f t="shared" si="562"/>
        <v/>
      </c>
      <c r="S2427" s="199" t="str">
        <f t="shared" si="563"/>
        <v/>
      </c>
      <c r="T2427" s="199" t="str">
        <f t="shared" si="571"/>
        <v/>
      </c>
      <c r="U2427" s="199" t="str">
        <f t="shared" si="564"/>
        <v/>
      </c>
      <c r="V2427" s="989"/>
      <c r="X2427" s="374" t="str">
        <f t="shared" si="565"/>
        <v/>
      </c>
      <c r="Y2427" s="375" t="str">
        <f t="shared" si="566"/>
        <v/>
      </c>
      <c r="Z2427" s="374" t="str">
        <f t="shared" si="567"/>
        <v/>
      </c>
      <c r="AA2427" s="374" t="b">
        <f t="shared" si="568"/>
        <v>1</v>
      </c>
      <c r="AB2427" s="374">
        <f>COUNTIFS(B:B,B2427,H:H,'סיווג התפקידים והעלויות'!$C$2)</f>
        <v>0</v>
      </c>
      <c r="AC2427" s="374">
        <f>COUNTIFS(B:B,B2427,H:H,'סיווג התפקידים והעלויות'!$D$2)</f>
        <v>0</v>
      </c>
      <c r="AD2427" s="374" t="str">
        <f>IF(OR(AND(H2427='סיווג התפקידים והעלויות'!$A$2,I2427='סיווג התפקידים והעלויות'!$A$3),'עלויות כח אדם (6)'!H2427='סיווג התפקידים והעלויות'!$C$2,'עלויות כח אדם (6)'!H2427='סיווג התפקידים והעלויות'!$D$2),IF('עלויות כח אדם (6)'!J2427&lt;75,"לא תקין","תקין"),"")</f>
        <v/>
      </c>
      <c r="AE2427" s="374" t="str">
        <f t="shared" si="569"/>
        <v/>
      </c>
      <c r="AF2427" s="532" t="str">
        <f t="shared" si="570"/>
        <v/>
      </c>
    </row>
    <row r="2428" spans="2:32" x14ac:dyDescent="0.25">
      <c r="B2428" s="695"/>
      <c r="C2428" s="197" t="str">
        <f>IF(B2428&lt;&gt;"",IFERROR(VLOOKUP(B:B,'מצבת והרשמה (2)'!$C$20:$N$520,2,0)," ")," ")</f>
        <v xml:space="preserve"> </v>
      </c>
      <c r="D2428" s="695"/>
      <c r="E2428" s="696"/>
      <c r="F2428" s="696"/>
      <c r="G2428" s="696"/>
      <c r="H2428" s="696"/>
      <c r="I2428" s="1050" t="str">
        <f t="shared" si="557"/>
        <v/>
      </c>
      <c r="J2428" s="696"/>
      <c r="K2428" s="697"/>
      <c r="L2428" s="696"/>
      <c r="M2428" s="198" t="str">
        <f t="shared" si="558"/>
        <v/>
      </c>
      <c r="N2428" s="369" t="str">
        <f t="shared" si="559"/>
        <v/>
      </c>
      <c r="O2428" s="183" t="str">
        <f t="shared" si="560"/>
        <v/>
      </c>
      <c r="P2428" s="199" t="str">
        <f t="shared" si="561"/>
        <v/>
      </c>
      <c r="Q2428" s="199" t="str">
        <f>IF(B2428="","",IFERROR(IF('עלויות כח אדם (6)'!J2428&gt;=VLOOKUP(I2428,'סיווג התפקידים והעלויות'!$B$23:$C$32,2,0),"תקין","לא תקין"),""))</f>
        <v/>
      </c>
      <c r="R2428" s="199" t="str">
        <f t="shared" si="562"/>
        <v/>
      </c>
      <c r="S2428" s="199" t="str">
        <f t="shared" si="563"/>
        <v/>
      </c>
      <c r="T2428" s="199" t="str">
        <f t="shared" si="571"/>
        <v/>
      </c>
      <c r="U2428" s="199" t="str">
        <f t="shared" si="564"/>
        <v/>
      </c>
      <c r="V2428" s="989"/>
      <c r="X2428" s="374" t="str">
        <f t="shared" si="565"/>
        <v/>
      </c>
      <c r="Y2428" s="375" t="str">
        <f t="shared" si="566"/>
        <v/>
      </c>
      <c r="Z2428" s="374" t="str">
        <f t="shared" si="567"/>
        <v/>
      </c>
      <c r="AA2428" s="374" t="b">
        <f t="shared" si="568"/>
        <v>1</v>
      </c>
      <c r="AB2428" s="374">
        <f>COUNTIFS(B:B,B2428,H:H,'סיווג התפקידים והעלויות'!$C$2)</f>
        <v>0</v>
      </c>
      <c r="AC2428" s="374">
        <f>COUNTIFS(B:B,B2428,H:H,'סיווג התפקידים והעלויות'!$D$2)</f>
        <v>0</v>
      </c>
      <c r="AD2428" s="374" t="str">
        <f>IF(OR(AND(H2428='סיווג התפקידים והעלויות'!$A$2,I2428='סיווג התפקידים והעלויות'!$A$3),'עלויות כח אדם (6)'!H2428='סיווג התפקידים והעלויות'!$C$2,'עלויות כח אדם (6)'!H2428='סיווג התפקידים והעלויות'!$D$2),IF('עלויות כח אדם (6)'!J2428&lt;75,"לא תקין","תקין"),"")</f>
        <v/>
      </c>
      <c r="AE2428" s="374" t="str">
        <f t="shared" si="569"/>
        <v/>
      </c>
      <c r="AF2428" s="532" t="str">
        <f t="shared" si="570"/>
        <v/>
      </c>
    </row>
    <row r="2429" spans="2:32" x14ac:dyDescent="0.25">
      <c r="B2429" s="695"/>
      <c r="C2429" s="197" t="str">
        <f>IF(B2429&lt;&gt;"",IFERROR(VLOOKUP(B:B,'מצבת והרשמה (2)'!$C$20:$N$520,2,0)," ")," ")</f>
        <v xml:space="preserve"> </v>
      </c>
      <c r="D2429" s="695"/>
      <c r="E2429" s="696"/>
      <c r="F2429" s="696"/>
      <c r="G2429" s="696"/>
      <c r="H2429" s="696"/>
      <c r="I2429" s="1050" t="str">
        <f t="shared" si="557"/>
        <v/>
      </c>
      <c r="J2429" s="696"/>
      <c r="K2429" s="697"/>
      <c r="L2429" s="696"/>
      <c r="M2429" s="198" t="str">
        <f t="shared" si="558"/>
        <v/>
      </c>
      <c r="N2429" s="369" t="str">
        <f t="shared" si="559"/>
        <v/>
      </c>
      <c r="O2429" s="183" t="str">
        <f t="shared" si="560"/>
        <v/>
      </c>
      <c r="P2429" s="199" t="str">
        <f t="shared" si="561"/>
        <v/>
      </c>
      <c r="Q2429" s="199" t="str">
        <f>IF(B2429="","",IFERROR(IF('עלויות כח אדם (6)'!J2429&gt;=VLOOKUP(I2429,'סיווג התפקידים והעלויות'!$B$23:$C$32,2,0),"תקין","לא תקין"),""))</f>
        <v/>
      </c>
      <c r="R2429" s="199" t="str">
        <f t="shared" si="562"/>
        <v/>
      </c>
      <c r="S2429" s="199" t="str">
        <f t="shared" si="563"/>
        <v/>
      </c>
      <c r="T2429" s="199" t="str">
        <f t="shared" si="571"/>
        <v/>
      </c>
      <c r="U2429" s="199" t="str">
        <f t="shared" si="564"/>
        <v/>
      </c>
      <c r="V2429" s="989"/>
      <c r="X2429" s="374" t="str">
        <f t="shared" si="565"/>
        <v/>
      </c>
      <c r="Y2429" s="375" t="str">
        <f t="shared" si="566"/>
        <v/>
      </c>
      <c r="Z2429" s="374" t="str">
        <f t="shared" si="567"/>
        <v/>
      </c>
      <c r="AA2429" s="374" t="b">
        <f t="shared" si="568"/>
        <v>1</v>
      </c>
      <c r="AB2429" s="374">
        <f>COUNTIFS(B:B,B2429,H:H,'סיווג התפקידים והעלויות'!$C$2)</f>
        <v>0</v>
      </c>
      <c r="AC2429" s="374">
        <f>COUNTIFS(B:B,B2429,H:H,'סיווג התפקידים והעלויות'!$D$2)</f>
        <v>0</v>
      </c>
      <c r="AD2429" s="374" t="str">
        <f>IF(OR(AND(H2429='סיווג התפקידים והעלויות'!$A$2,I2429='סיווג התפקידים והעלויות'!$A$3),'עלויות כח אדם (6)'!H2429='סיווג התפקידים והעלויות'!$C$2,'עלויות כח אדם (6)'!H2429='סיווג התפקידים והעלויות'!$D$2),IF('עלויות כח אדם (6)'!J2429&lt;75,"לא תקין","תקין"),"")</f>
        <v/>
      </c>
      <c r="AE2429" s="374" t="str">
        <f t="shared" si="569"/>
        <v/>
      </c>
      <c r="AF2429" s="532" t="str">
        <f t="shared" si="570"/>
        <v/>
      </c>
    </row>
    <row r="2430" spans="2:32" x14ac:dyDescent="0.25">
      <c r="B2430" s="695"/>
      <c r="C2430" s="197" t="str">
        <f>IF(B2430&lt;&gt;"",IFERROR(VLOOKUP(B:B,'מצבת והרשמה (2)'!$C$20:$N$520,2,0)," ")," ")</f>
        <v xml:space="preserve"> </v>
      </c>
      <c r="D2430" s="695"/>
      <c r="E2430" s="696"/>
      <c r="F2430" s="696"/>
      <c r="G2430" s="696"/>
      <c r="H2430" s="696"/>
      <c r="I2430" s="1050" t="str">
        <f t="shared" si="557"/>
        <v/>
      </c>
      <c r="J2430" s="696"/>
      <c r="K2430" s="697"/>
      <c r="L2430" s="696"/>
      <c r="M2430" s="198" t="str">
        <f t="shared" si="558"/>
        <v/>
      </c>
      <c r="N2430" s="369" t="str">
        <f t="shared" si="559"/>
        <v/>
      </c>
      <c r="O2430" s="183" t="str">
        <f t="shared" si="560"/>
        <v/>
      </c>
      <c r="P2430" s="199" t="str">
        <f t="shared" si="561"/>
        <v/>
      </c>
      <c r="Q2430" s="199" t="str">
        <f>IF(B2430="","",IFERROR(IF('עלויות כח אדם (6)'!J2430&gt;=VLOOKUP(I2430,'סיווג התפקידים והעלויות'!$B$23:$C$32,2,0),"תקין","לא תקין"),""))</f>
        <v/>
      </c>
      <c r="R2430" s="199" t="str">
        <f t="shared" si="562"/>
        <v/>
      </c>
      <c r="S2430" s="199" t="str">
        <f t="shared" si="563"/>
        <v/>
      </c>
      <c r="T2430" s="199" t="str">
        <f t="shared" si="571"/>
        <v/>
      </c>
      <c r="U2430" s="199" t="str">
        <f t="shared" si="564"/>
        <v/>
      </c>
      <c r="V2430" s="989"/>
      <c r="X2430" s="374" t="str">
        <f t="shared" si="565"/>
        <v/>
      </c>
      <c r="Y2430" s="375" t="str">
        <f t="shared" si="566"/>
        <v/>
      </c>
      <c r="Z2430" s="374" t="str">
        <f t="shared" si="567"/>
        <v/>
      </c>
      <c r="AA2430" s="374" t="b">
        <f t="shared" si="568"/>
        <v>1</v>
      </c>
      <c r="AB2430" s="374">
        <f>COUNTIFS(B:B,B2430,H:H,'סיווג התפקידים והעלויות'!$C$2)</f>
        <v>0</v>
      </c>
      <c r="AC2430" s="374">
        <f>COUNTIFS(B:B,B2430,H:H,'סיווג התפקידים והעלויות'!$D$2)</f>
        <v>0</v>
      </c>
      <c r="AD2430" s="374" t="str">
        <f>IF(OR(AND(H2430='סיווג התפקידים והעלויות'!$A$2,I2430='סיווג התפקידים והעלויות'!$A$3),'עלויות כח אדם (6)'!H2430='סיווג התפקידים והעלויות'!$C$2,'עלויות כח אדם (6)'!H2430='סיווג התפקידים והעלויות'!$D$2),IF('עלויות כח אדם (6)'!J2430&lt;75,"לא תקין","תקין"),"")</f>
        <v/>
      </c>
      <c r="AE2430" s="374" t="str">
        <f t="shared" si="569"/>
        <v/>
      </c>
      <c r="AF2430" s="532" t="str">
        <f t="shared" si="570"/>
        <v/>
      </c>
    </row>
    <row r="2431" spans="2:32" x14ac:dyDescent="0.25">
      <c r="B2431" s="695"/>
      <c r="C2431" s="197" t="str">
        <f>IF(B2431&lt;&gt;"",IFERROR(VLOOKUP(B:B,'מצבת והרשמה (2)'!$C$20:$N$520,2,0)," ")," ")</f>
        <v xml:space="preserve"> </v>
      </c>
      <c r="D2431" s="695"/>
      <c r="E2431" s="696"/>
      <c r="F2431" s="696"/>
      <c r="G2431" s="696"/>
      <c r="H2431" s="696"/>
      <c r="I2431" s="1050" t="str">
        <f t="shared" si="557"/>
        <v/>
      </c>
      <c r="J2431" s="696"/>
      <c r="K2431" s="697"/>
      <c r="L2431" s="696"/>
      <c r="M2431" s="198" t="str">
        <f t="shared" si="558"/>
        <v/>
      </c>
      <c r="N2431" s="369" t="str">
        <f t="shared" si="559"/>
        <v/>
      </c>
      <c r="O2431" s="183" t="str">
        <f t="shared" si="560"/>
        <v/>
      </c>
      <c r="P2431" s="199" t="str">
        <f t="shared" si="561"/>
        <v/>
      </c>
      <c r="Q2431" s="199" t="str">
        <f>IF(B2431="","",IFERROR(IF('עלויות כח אדם (6)'!J2431&gt;=VLOOKUP(I2431,'סיווג התפקידים והעלויות'!$B$23:$C$32,2,0),"תקין","לא תקין"),""))</f>
        <v/>
      </c>
      <c r="R2431" s="199" t="str">
        <f t="shared" si="562"/>
        <v/>
      </c>
      <c r="S2431" s="199" t="str">
        <f t="shared" si="563"/>
        <v/>
      </c>
      <c r="T2431" s="199" t="str">
        <f t="shared" si="571"/>
        <v/>
      </c>
      <c r="U2431" s="199" t="str">
        <f t="shared" si="564"/>
        <v/>
      </c>
      <c r="V2431" s="989"/>
      <c r="X2431" s="374" t="str">
        <f t="shared" si="565"/>
        <v/>
      </c>
      <c r="Y2431" s="375" t="str">
        <f t="shared" si="566"/>
        <v/>
      </c>
      <c r="Z2431" s="374" t="str">
        <f t="shared" si="567"/>
        <v/>
      </c>
      <c r="AA2431" s="374" t="b">
        <f t="shared" si="568"/>
        <v>1</v>
      </c>
      <c r="AB2431" s="374">
        <f>COUNTIFS(B:B,B2431,H:H,'סיווג התפקידים והעלויות'!$C$2)</f>
        <v>0</v>
      </c>
      <c r="AC2431" s="374">
        <f>COUNTIFS(B:B,B2431,H:H,'סיווג התפקידים והעלויות'!$D$2)</f>
        <v>0</v>
      </c>
      <c r="AD2431" s="374" t="str">
        <f>IF(OR(AND(H2431='סיווג התפקידים והעלויות'!$A$2,I2431='סיווג התפקידים והעלויות'!$A$3),'עלויות כח אדם (6)'!H2431='סיווג התפקידים והעלויות'!$C$2,'עלויות כח אדם (6)'!H2431='סיווג התפקידים והעלויות'!$D$2),IF('עלויות כח אדם (6)'!J2431&lt;75,"לא תקין","תקין"),"")</f>
        <v/>
      </c>
      <c r="AE2431" s="374" t="str">
        <f t="shared" si="569"/>
        <v/>
      </c>
      <c r="AF2431" s="532" t="str">
        <f t="shared" si="570"/>
        <v/>
      </c>
    </row>
    <row r="2432" spans="2:32" x14ac:dyDescent="0.25">
      <c r="B2432" s="695"/>
      <c r="C2432" s="197" t="str">
        <f>IF(B2432&lt;&gt;"",IFERROR(VLOOKUP(B:B,'מצבת והרשמה (2)'!$C$20:$N$520,2,0)," ")," ")</f>
        <v xml:space="preserve"> </v>
      </c>
      <c r="D2432" s="695"/>
      <c r="E2432" s="696"/>
      <c r="F2432" s="696"/>
      <c r="G2432" s="696"/>
      <c r="H2432" s="696"/>
      <c r="I2432" s="1050" t="str">
        <f t="shared" si="557"/>
        <v/>
      </c>
      <c r="J2432" s="696"/>
      <c r="K2432" s="697"/>
      <c r="L2432" s="696"/>
      <c r="M2432" s="198" t="str">
        <f t="shared" si="558"/>
        <v/>
      </c>
      <c r="N2432" s="369" t="str">
        <f t="shared" si="559"/>
        <v/>
      </c>
      <c r="O2432" s="183" t="str">
        <f t="shared" si="560"/>
        <v/>
      </c>
      <c r="P2432" s="199" t="str">
        <f t="shared" si="561"/>
        <v/>
      </c>
      <c r="Q2432" s="199" t="str">
        <f>IF(B2432="","",IFERROR(IF('עלויות כח אדם (6)'!J2432&gt;=VLOOKUP(I2432,'סיווג התפקידים והעלויות'!$B$23:$C$32,2,0),"תקין","לא תקין"),""))</f>
        <v/>
      </c>
      <c r="R2432" s="199" t="str">
        <f t="shared" si="562"/>
        <v/>
      </c>
      <c r="S2432" s="199" t="str">
        <f t="shared" si="563"/>
        <v/>
      </c>
      <c r="T2432" s="199" t="str">
        <f t="shared" si="571"/>
        <v/>
      </c>
      <c r="U2432" s="199" t="str">
        <f t="shared" si="564"/>
        <v/>
      </c>
      <c r="V2432" s="989"/>
      <c r="X2432" s="374" t="str">
        <f t="shared" si="565"/>
        <v/>
      </c>
      <c r="Y2432" s="375" t="str">
        <f t="shared" si="566"/>
        <v/>
      </c>
      <c r="Z2432" s="374" t="str">
        <f t="shared" si="567"/>
        <v/>
      </c>
      <c r="AA2432" s="374" t="b">
        <f t="shared" si="568"/>
        <v>1</v>
      </c>
      <c r="AB2432" s="374">
        <f>COUNTIFS(B:B,B2432,H:H,'סיווג התפקידים והעלויות'!$C$2)</f>
        <v>0</v>
      </c>
      <c r="AC2432" s="374">
        <f>COUNTIFS(B:B,B2432,H:H,'סיווג התפקידים והעלויות'!$D$2)</f>
        <v>0</v>
      </c>
      <c r="AD2432" s="374" t="str">
        <f>IF(OR(AND(H2432='סיווג התפקידים והעלויות'!$A$2,I2432='סיווג התפקידים והעלויות'!$A$3),'עלויות כח אדם (6)'!H2432='סיווג התפקידים והעלויות'!$C$2,'עלויות כח אדם (6)'!H2432='סיווג התפקידים והעלויות'!$D$2),IF('עלויות כח אדם (6)'!J2432&lt;75,"לא תקין","תקין"),"")</f>
        <v/>
      </c>
      <c r="AE2432" s="374" t="str">
        <f t="shared" si="569"/>
        <v/>
      </c>
      <c r="AF2432" s="532" t="str">
        <f t="shared" si="570"/>
        <v/>
      </c>
    </row>
    <row r="2433" spans="2:32" x14ac:dyDescent="0.25">
      <c r="B2433" s="695"/>
      <c r="C2433" s="197" t="str">
        <f>IF(B2433&lt;&gt;"",IFERROR(VLOOKUP(B:B,'מצבת והרשמה (2)'!$C$20:$N$520,2,0)," ")," ")</f>
        <v xml:space="preserve"> </v>
      </c>
      <c r="D2433" s="695"/>
      <c r="E2433" s="696"/>
      <c r="F2433" s="696"/>
      <c r="G2433" s="696"/>
      <c r="H2433" s="696"/>
      <c r="I2433" s="1050" t="str">
        <f t="shared" si="557"/>
        <v/>
      </c>
      <c r="J2433" s="696"/>
      <c r="K2433" s="697"/>
      <c r="L2433" s="696"/>
      <c r="M2433" s="198" t="str">
        <f t="shared" si="558"/>
        <v/>
      </c>
      <c r="N2433" s="369" t="str">
        <f t="shared" si="559"/>
        <v/>
      </c>
      <c r="O2433" s="183" t="str">
        <f t="shared" si="560"/>
        <v/>
      </c>
      <c r="P2433" s="199" t="str">
        <f t="shared" si="561"/>
        <v/>
      </c>
      <c r="Q2433" s="199" t="str">
        <f>IF(B2433="","",IFERROR(IF('עלויות כח אדם (6)'!J2433&gt;=VLOOKUP(I2433,'סיווג התפקידים והעלויות'!$B$23:$C$32,2,0),"תקין","לא תקין"),""))</f>
        <v/>
      </c>
      <c r="R2433" s="199" t="str">
        <f t="shared" si="562"/>
        <v/>
      </c>
      <c r="S2433" s="199" t="str">
        <f t="shared" si="563"/>
        <v/>
      </c>
      <c r="T2433" s="199" t="str">
        <f t="shared" si="571"/>
        <v/>
      </c>
      <c r="U2433" s="199" t="str">
        <f t="shared" si="564"/>
        <v/>
      </c>
      <c r="V2433" s="989"/>
      <c r="X2433" s="374" t="str">
        <f t="shared" si="565"/>
        <v/>
      </c>
      <c r="Y2433" s="375" t="str">
        <f t="shared" si="566"/>
        <v/>
      </c>
      <c r="Z2433" s="374" t="str">
        <f t="shared" si="567"/>
        <v/>
      </c>
      <c r="AA2433" s="374" t="b">
        <f t="shared" si="568"/>
        <v>1</v>
      </c>
      <c r="AB2433" s="374">
        <f>COUNTIFS(B:B,B2433,H:H,'סיווג התפקידים והעלויות'!$C$2)</f>
        <v>0</v>
      </c>
      <c r="AC2433" s="374">
        <f>COUNTIFS(B:B,B2433,H:H,'סיווג התפקידים והעלויות'!$D$2)</f>
        <v>0</v>
      </c>
      <c r="AD2433" s="374" t="str">
        <f>IF(OR(AND(H2433='סיווג התפקידים והעלויות'!$A$2,I2433='סיווג התפקידים והעלויות'!$A$3),'עלויות כח אדם (6)'!H2433='סיווג התפקידים והעלויות'!$C$2,'עלויות כח אדם (6)'!H2433='סיווג התפקידים והעלויות'!$D$2),IF('עלויות כח אדם (6)'!J2433&lt;75,"לא תקין","תקין"),"")</f>
        <v/>
      </c>
      <c r="AE2433" s="374" t="str">
        <f t="shared" si="569"/>
        <v/>
      </c>
      <c r="AF2433" s="532" t="str">
        <f t="shared" si="570"/>
        <v/>
      </c>
    </row>
    <row r="2434" spans="2:32" x14ac:dyDescent="0.25">
      <c r="B2434" s="695"/>
      <c r="C2434" s="197" t="str">
        <f>IF(B2434&lt;&gt;"",IFERROR(VLOOKUP(B:B,'מצבת והרשמה (2)'!$C$20:$N$520,2,0)," ")," ")</f>
        <v xml:space="preserve"> </v>
      </c>
      <c r="D2434" s="695"/>
      <c r="E2434" s="696"/>
      <c r="F2434" s="696"/>
      <c r="G2434" s="696"/>
      <c r="H2434" s="696"/>
      <c r="I2434" s="1050" t="str">
        <f t="shared" si="557"/>
        <v/>
      </c>
      <c r="J2434" s="696"/>
      <c r="K2434" s="697"/>
      <c r="L2434" s="696"/>
      <c r="M2434" s="198" t="str">
        <f t="shared" si="558"/>
        <v/>
      </c>
      <c r="N2434" s="369" t="str">
        <f t="shared" si="559"/>
        <v/>
      </c>
      <c r="O2434" s="183" t="str">
        <f t="shared" si="560"/>
        <v/>
      </c>
      <c r="P2434" s="199" t="str">
        <f t="shared" si="561"/>
        <v/>
      </c>
      <c r="Q2434" s="199" t="str">
        <f>IF(B2434="","",IFERROR(IF('עלויות כח אדם (6)'!J2434&gt;=VLOOKUP(I2434,'סיווג התפקידים והעלויות'!$B$23:$C$32,2,0),"תקין","לא תקין"),""))</f>
        <v/>
      </c>
      <c r="R2434" s="199" t="str">
        <f t="shared" si="562"/>
        <v/>
      </c>
      <c r="S2434" s="199" t="str">
        <f t="shared" si="563"/>
        <v/>
      </c>
      <c r="T2434" s="199" t="str">
        <f t="shared" si="571"/>
        <v/>
      </c>
      <c r="U2434" s="199" t="str">
        <f t="shared" si="564"/>
        <v/>
      </c>
      <c r="V2434" s="989"/>
      <c r="X2434" s="374" t="str">
        <f t="shared" si="565"/>
        <v/>
      </c>
      <c r="Y2434" s="375" t="str">
        <f t="shared" si="566"/>
        <v/>
      </c>
      <c r="Z2434" s="374" t="str">
        <f t="shared" si="567"/>
        <v/>
      </c>
      <c r="AA2434" s="374" t="b">
        <f t="shared" si="568"/>
        <v>1</v>
      </c>
      <c r="AB2434" s="374">
        <f>COUNTIFS(B:B,B2434,H:H,'סיווג התפקידים והעלויות'!$C$2)</f>
        <v>0</v>
      </c>
      <c r="AC2434" s="374">
        <f>COUNTIFS(B:B,B2434,H:H,'סיווג התפקידים והעלויות'!$D$2)</f>
        <v>0</v>
      </c>
      <c r="AD2434" s="374" t="str">
        <f>IF(OR(AND(H2434='סיווג התפקידים והעלויות'!$A$2,I2434='סיווג התפקידים והעלויות'!$A$3),'עלויות כח אדם (6)'!H2434='סיווג התפקידים והעלויות'!$C$2,'עלויות כח אדם (6)'!H2434='סיווג התפקידים והעלויות'!$D$2),IF('עלויות כח אדם (6)'!J2434&lt;75,"לא תקין","תקין"),"")</f>
        <v/>
      </c>
      <c r="AE2434" s="374" t="str">
        <f t="shared" si="569"/>
        <v/>
      </c>
      <c r="AF2434" s="532" t="str">
        <f t="shared" si="570"/>
        <v/>
      </c>
    </row>
    <row r="2435" spans="2:32" x14ac:dyDescent="0.25">
      <c r="B2435" s="695"/>
      <c r="C2435" s="197" t="str">
        <f>IF(B2435&lt;&gt;"",IFERROR(VLOOKUP(B:B,'מצבת והרשמה (2)'!$C$20:$N$520,2,0)," ")," ")</f>
        <v xml:space="preserve"> </v>
      </c>
      <c r="D2435" s="695"/>
      <c r="E2435" s="696"/>
      <c r="F2435" s="696"/>
      <c r="G2435" s="696"/>
      <c r="H2435" s="696"/>
      <c r="I2435" s="1050" t="str">
        <f t="shared" si="557"/>
        <v/>
      </c>
      <c r="J2435" s="696"/>
      <c r="K2435" s="697"/>
      <c r="L2435" s="696"/>
      <c r="M2435" s="198" t="str">
        <f t="shared" si="558"/>
        <v/>
      </c>
      <c r="N2435" s="369" t="str">
        <f t="shared" si="559"/>
        <v/>
      </c>
      <c r="O2435" s="183" t="str">
        <f t="shared" si="560"/>
        <v/>
      </c>
      <c r="P2435" s="199" t="str">
        <f t="shared" si="561"/>
        <v/>
      </c>
      <c r="Q2435" s="199" t="str">
        <f>IF(B2435="","",IFERROR(IF('עלויות כח אדם (6)'!J2435&gt;=VLOOKUP(I2435,'סיווג התפקידים והעלויות'!$B$23:$C$32,2,0),"תקין","לא תקין"),""))</f>
        <v/>
      </c>
      <c r="R2435" s="199" t="str">
        <f t="shared" si="562"/>
        <v/>
      </c>
      <c r="S2435" s="199" t="str">
        <f t="shared" si="563"/>
        <v/>
      </c>
      <c r="T2435" s="199" t="str">
        <f t="shared" si="571"/>
        <v/>
      </c>
      <c r="U2435" s="199" t="str">
        <f t="shared" si="564"/>
        <v/>
      </c>
      <c r="V2435" s="989"/>
      <c r="X2435" s="374" t="str">
        <f t="shared" si="565"/>
        <v/>
      </c>
      <c r="Y2435" s="375" t="str">
        <f t="shared" si="566"/>
        <v/>
      </c>
      <c r="Z2435" s="374" t="str">
        <f t="shared" si="567"/>
        <v/>
      </c>
      <c r="AA2435" s="374" t="b">
        <f t="shared" si="568"/>
        <v>1</v>
      </c>
      <c r="AB2435" s="374">
        <f>COUNTIFS(B:B,B2435,H:H,'סיווג התפקידים והעלויות'!$C$2)</f>
        <v>0</v>
      </c>
      <c r="AC2435" s="374">
        <f>COUNTIFS(B:B,B2435,H:H,'סיווג התפקידים והעלויות'!$D$2)</f>
        <v>0</v>
      </c>
      <c r="AD2435" s="374" t="str">
        <f>IF(OR(AND(H2435='סיווג התפקידים והעלויות'!$A$2,I2435='סיווג התפקידים והעלויות'!$A$3),'עלויות כח אדם (6)'!H2435='סיווג התפקידים והעלויות'!$C$2,'עלויות כח אדם (6)'!H2435='סיווג התפקידים והעלויות'!$D$2),IF('עלויות כח אדם (6)'!J2435&lt;75,"לא תקין","תקין"),"")</f>
        <v/>
      </c>
      <c r="AE2435" s="374" t="str">
        <f t="shared" si="569"/>
        <v/>
      </c>
      <c r="AF2435" s="532" t="str">
        <f t="shared" si="570"/>
        <v/>
      </c>
    </row>
    <row r="2436" spans="2:32" x14ac:dyDescent="0.25">
      <c r="B2436" s="695"/>
      <c r="C2436" s="197" t="str">
        <f>IF(B2436&lt;&gt;"",IFERROR(VLOOKUP(B:B,'מצבת והרשמה (2)'!$C$20:$N$520,2,0)," ")," ")</f>
        <v xml:space="preserve"> </v>
      </c>
      <c r="D2436" s="695"/>
      <c r="E2436" s="696"/>
      <c r="F2436" s="696"/>
      <c r="G2436" s="696"/>
      <c r="H2436" s="696"/>
      <c r="I2436" s="1050" t="str">
        <f t="shared" si="557"/>
        <v/>
      </c>
      <c r="J2436" s="696"/>
      <c r="K2436" s="697"/>
      <c r="L2436" s="696"/>
      <c r="M2436" s="198" t="str">
        <f t="shared" si="558"/>
        <v/>
      </c>
      <c r="N2436" s="369" t="str">
        <f t="shared" si="559"/>
        <v/>
      </c>
      <c r="O2436" s="183" t="str">
        <f t="shared" si="560"/>
        <v/>
      </c>
      <c r="P2436" s="199" t="str">
        <f t="shared" si="561"/>
        <v/>
      </c>
      <c r="Q2436" s="199" t="str">
        <f>IF(B2436="","",IFERROR(IF('עלויות כח אדם (6)'!J2436&gt;=VLOOKUP(I2436,'סיווג התפקידים והעלויות'!$B$23:$C$32,2,0),"תקין","לא תקין"),""))</f>
        <v/>
      </c>
      <c r="R2436" s="199" t="str">
        <f t="shared" si="562"/>
        <v/>
      </c>
      <c r="S2436" s="199" t="str">
        <f t="shared" si="563"/>
        <v/>
      </c>
      <c r="T2436" s="199" t="str">
        <f t="shared" si="571"/>
        <v/>
      </c>
      <c r="U2436" s="199" t="str">
        <f t="shared" si="564"/>
        <v/>
      </c>
      <c r="V2436" s="989"/>
      <c r="X2436" s="374" t="str">
        <f t="shared" si="565"/>
        <v/>
      </c>
      <c r="Y2436" s="375" t="str">
        <f t="shared" si="566"/>
        <v/>
      </c>
      <c r="Z2436" s="374" t="str">
        <f t="shared" si="567"/>
        <v/>
      </c>
      <c r="AA2436" s="374" t="b">
        <f t="shared" si="568"/>
        <v>1</v>
      </c>
      <c r="AB2436" s="374">
        <f>COUNTIFS(B:B,B2436,H:H,'סיווג התפקידים והעלויות'!$C$2)</f>
        <v>0</v>
      </c>
      <c r="AC2436" s="374">
        <f>COUNTIFS(B:B,B2436,H:H,'סיווג התפקידים והעלויות'!$D$2)</f>
        <v>0</v>
      </c>
      <c r="AD2436" s="374" t="str">
        <f>IF(OR(AND(H2436='סיווג התפקידים והעלויות'!$A$2,I2436='סיווג התפקידים והעלויות'!$A$3),'עלויות כח אדם (6)'!H2436='סיווג התפקידים והעלויות'!$C$2,'עלויות כח אדם (6)'!H2436='סיווג התפקידים והעלויות'!$D$2),IF('עלויות כח אדם (6)'!J2436&lt;75,"לא תקין","תקין"),"")</f>
        <v/>
      </c>
      <c r="AE2436" s="374" t="str">
        <f t="shared" si="569"/>
        <v/>
      </c>
      <c r="AF2436" s="532" t="str">
        <f t="shared" si="570"/>
        <v/>
      </c>
    </row>
    <row r="2437" spans="2:32" x14ac:dyDescent="0.25">
      <c r="B2437" s="695"/>
      <c r="C2437" s="197" t="str">
        <f>IF(B2437&lt;&gt;"",IFERROR(VLOOKUP(B:B,'מצבת והרשמה (2)'!$C$20:$N$520,2,0)," ")," ")</f>
        <v xml:space="preserve"> </v>
      </c>
      <c r="D2437" s="695"/>
      <c r="E2437" s="696"/>
      <c r="F2437" s="696"/>
      <c r="G2437" s="696"/>
      <c r="H2437" s="696"/>
      <c r="I2437" s="1050" t="str">
        <f t="shared" si="557"/>
        <v/>
      </c>
      <c r="J2437" s="696"/>
      <c r="K2437" s="697"/>
      <c r="L2437" s="696"/>
      <c r="M2437" s="198" t="str">
        <f t="shared" si="558"/>
        <v/>
      </c>
      <c r="N2437" s="369" t="str">
        <f t="shared" si="559"/>
        <v/>
      </c>
      <c r="O2437" s="183" t="str">
        <f t="shared" si="560"/>
        <v/>
      </c>
      <c r="P2437" s="199" t="str">
        <f t="shared" si="561"/>
        <v/>
      </c>
      <c r="Q2437" s="199" t="str">
        <f>IF(B2437="","",IFERROR(IF('עלויות כח אדם (6)'!J2437&gt;=VLOOKUP(I2437,'סיווג התפקידים והעלויות'!$B$23:$C$32,2,0),"תקין","לא תקין"),""))</f>
        <v/>
      </c>
      <c r="R2437" s="199" t="str">
        <f t="shared" si="562"/>
        <v/>
      </c>
      <c r="S2437" s="199" t="str">
        <f t="shared" si="563"/>
        <v/>
      </c>
      <c r="T2437" s="199" t="str">
        <f t="shared" si="571"/>
        <v/>
      </c>
      <c r="U2437" s="199" t="str">
        <f t="shared" si="564"/>
        <v/>
      </c>
      <c r="V2437" s="989"/>
      <c r="X2437" s="374" t="str">
        <f t="shared" si="565"/>
        <v/>
      </c>
      <c r="Y2437" s="375" t="str">
        <f t="shared" si="566"/>
        <v/>
      </c>
      <c r="Z2437" s="374" t="str">
        <f t="shared" si="567"/>
        <v/>
      </c>
      <c r="AA2437" s="374" t="b">
        <f t="shared" si="568"/>
        <v>1</v>
      </c>
      <c r="AB2437" s="374">
        <f>COUNTIFS(B:B,B2437,H:H,'סיווג התפקידים והעלויות'!$C$2)</f>
        <v>0</v>
      </c>
      <c r="AC2437" s="374">
        <f>COUNTIFS(B:B,B2437,H:H,'סיווג התפקידים והעלויות'!$D$2)</f>
        <v>0</v>
      </c>
      <c r="AD2437" s="374" t="str">
        <f>IF(OR(AND(H2437='סיווג התפקידים והעלויות'!$A$2,I2437='סיווג התפקידים והעלויות'!$A$3),'עלויות כח אדם (6)'!H2437='סיווג התפקידים והעלויות'!$C$2,'עלויות כח אדם (6)'!H2437='סיווג התפקידים והעלויות'!$D$2),IF('עלויות כח אדם (6)'!J2437&lt;75,"לא תקין","תקין"),"")</f>
        <v/>
      </c>
      <c r="AE2437" s="374" t="str">
        <f t="shared" si="569"/>
        <v/>
      </c>
      <c r="AF2437" s="532" t="str">
        <f t="shared" si="570"/>
        <v/>
      </c>
    </row>
    <row r="2438" spans="2:32" x14ac:dyDescent="0.25">
      <c r="B2438" s="695"/>
      <c r="C2438" s="197" t="str">
        <f>IF(B2438&lt;&gt;"",IFERROR(VLOOKUP(B:B,'מצבת והרשמה (2)'!$C$20:$N$520,2,0)," ")," ")</f>
        <v xml:space="preserve"> </v>
      </c>
      <c r="D2438" s="695"/>
      <c r="E2438" s="696"/>
      <c r="F2438" s="696"/>
      <c r="G2438" s="696"/>
      <c r="H2438" s="696"/>
      <c r="I2438" s="1050" t="str">
        <f t="shared" si="557"/>
        <v/>
      </c>
      <c r="J2438" s="696"/>
      <c r="K2438" s="697"/>
      <c r="L2438" s="696"/>
      <c r="M2438" s="198" t="str">
        <f t="shared" si="558"/>
        <v/>
      </c>
      <c r="N2438" s="369" t="str">
        <f t="shared" si="559"/>
        <v/>
      </c>
      <c r="O2438" s="183" t="str">
        <f t="shared" si="560"/>
        <v/>
      </c>
      <c r="P2438" s="199" t="str">
        <f t="shared" si="561"/>
        <v/>
      </c>
      <c r="Q2438" s="199" t="str">
        <f>IF(B2438="","",IFERROR(IF('עלויות כח אדם (6)'!J2438&gt;=VLOOKUP(I2438,'סיווג התפקידים והעלויות'!$B$23:$C$32,2,0),"תקין","לא תקין"),""))</f>
        <v/>
      </c>
      <c r="R2438" s="199" t="str">
        <f t="shared" si="562"/>
        <v/>
      </c>
      <c r="S2438" s="199" t="str">
        <f t="shared" si="563"/>
        <v/>
      </c>
      <c r="T2438" s="199" t="str">
        <f t="shared" si="571"/>
        <v/>
      </c>
      <c r="U2438" s="199" t="str">
        <f t="shared" si="564"/>
        <v/>
      </c>
      <c r="V2438" s="989"/>
      <c r="X2438" s="374" t="str">
        <f t="shared" si="565"/>
        <v/>
      </c>
      <c r="Y2438" s="375" t="str">
        <f t="shared" si="566"/>
        <v/>
      </c>
      <c r="Z2438" s="374" t="str">
        <f t="shared" si="567"/>
        <v/>
      </c>
      <c r="AA2438" s="374" t="b">
        <f t="shared" si="568"/>
        <v>1</v>
      </c>
      <c r="AB2438" s="374">
        <f>COUNTIFS(B:B,B2438,H:H,'סיווג התפקידים והעלויות'!$C$2)</f>
        <v>0</v>
      </c>
      <c r="AC2438" s="374">
        <f>COUNTIFS(B:B,B2438,H:H,'סיווג התפקידים והעלויות'!$D$2)</f>
        <v>0</v>
      </c>
      <c r="AD2438" s="374" t="str">
        <f>IF(OR(AND(H2438='סיווג התפקידים והעלויות'!$A$2,I2438='סיווג התפקידים והעלויות'!$A$3),'עלויות כח אדם (6)'!H2438='סיווג התפקידים והעלויות'!$C$2,'עלויות כח אדם (6)'!H2438='סיווג התפקידים והעלויות'!$D$2),IF('עלויות כח אדם (6)'!J2438&lt;75,"לא תקין","תקין"),"")</f>
        <v/>
      </c>
      <c r="AE2438" s="374" t="str">
        <f t="shared" si="569"/>
        <v/>
      </c>
      <c r="AF2438" s="532" t="str">
        <f t="shared" si="570"/>
        <v/>
      </c>
    </row>
    <row r="2439" spans="2:32" x14ac:dyDescent="0.25">
      <c r="B2439" s="695"/>
      <c r="C2439" s="197" t="str">
        <f>IF(B2439&lt;&gt;"",IFERROR(VLOOKUP(B:B,'מצבת והרשמה (2)'!$C$20:$N$520,2,0)," ")," ")</f>
        <v xml:space="preserve"> </v>
      </c>
      <c r="D2439" s="695"/>
      <c r="E2439" s="696"/>
      <c r="F2439" s="696"/>
      <c r="G2439" s="696"/>
      <c r="H2439" s="696"/>
      <c r="I2439" s="1050" t="str">
        <f t="shared" si="557"/>
        <v/>
      </c>
      <c r="J2439" s="696"/>
      <c r="K2439" s="697"/>
      <c r="L2439" s="696"/>
      <c r="M2439" s="198" t="str">
        <f t="shared" si="558"/>
        <v/>
      </c>
      <c r="N2439" s="369" t="str">
        <f t="shared" si="559"/>
        <v/>
      </c>
      <c r="O2439" s="183" t="str">
        <f t="shared" si="560"/>
        <v/>
      </c>
      <c r="P2439" s="199" t="str">
        <f t="shared" si="561"/>
        <v/>
      </c>
      <c r="Q2439" s="199" t="str">
        <f>IF(B2439="","",IFERROR(IF('עלויות כח אדם (6)'!J2439&gt;=VLOOKUP(I2439,'סיווג התפקידים והעלויות'!$B$23:$C$32,2,0),"תקין","לא תקין"),""))</f>
        <v/>
      </c>
      <c r="R2439" s="199" t="str">
        <f t="shared" si="562"/>
        <v/>
      </c>
      <c r="S2439" s="199" t="str">
        <f t="shared" si="563"/>
        <v/>
      </c>
      <c r="T2439" s="199" t="str">
        <f t="shared" si="571"/>
        <v/>
      </c>
      <c r="U2439" s="199" t="str">
        <f t="shared" si="564"/>
        <v/>
      </c>
      <c r="V2439" s="989"/>
      <c r="X2439" s="374" t="str">
        <f t="shared" si="565"/>
        <v/>
      </c>
      <c r="Y2439" s="375" t="str">
        <f t="shared" si="566"/>
        <v/>
      </c>
      <c r="Z2439" s="374" t="str">
        <f t="shared" si="567"/>
        <v/>
      </c>
      <c r="AA2439" s="374" t="b">
        <f t="shared" si="568"/>
        <v>1</v>
      </c>
      <c r="AB2439" s="374">
        <f>COUNTIFS(B:B,B2439,H:H,'סיווג התפקידים והעלויות'!$C$2)</f>
        <v>0</v>
      </c>
      <c r="AC2439" s="374">
        <f>COUNTIFS(B:B,B2439,H:H,'סיווג התפקידים והעלויות'!$D$2)</f>
        <v>0</v>
      </c>
      <c r="AD2439" s="374" t="str">
        <f>IF(OR(AND(H2439='סיווג התפקידים והעלויות'!$A$2,I2439='סיווג התפקידים והעלויות'!$A$3),'עלויות כח אדם (6)'!H2439='סיווג התפקידים והעלויות'!$C$2,'עלויות כח אדם (6)'!H2439='סיווג התפקידים והעלויות'!$D$2),IF('עלויות כח אדם (6)'!J2439&lt;75,"לא תקין","תקין"),"")</f>
        <v/>
      </c>
      <c r="AE2439" s="374" t="str">
        <f t="shared" si="569"/>
        <v/>
      </c>
      <c r="AF2439" s="532" t="str">
        <f t="shared" si="570"/>
        <v/>
      </c>
    </row>
    <row r="2440" spans="2:32" x14ac:dyDescent="0.25">
      <c r="B2440" s="695"/>
      <c r="C2440" s="197" t="str">
        <f>IF(B2440&lt;&gt;"",IFERROR(VLOOKUP(B:B,'מצבת והרשמה (2)'!$C$20:$N$520,2,0)," ")," ")</f>
        <v xml:space="preserve"> </v>
      </c>
      <c r="D2440" s="695"/>
      <c r="E2440" s="696"/>
      <c r="F2440" s="696"/>
      <c r="G2440" s="696"/>
      <c r="H2440" s="696"/>
      <c r="I2440" s="1050" t="str">
        <f t="shared" si="557"/>
        <v/>
      </c>
      <c r="J2440" s="696"/>
      <c r="K2440" s="697"/>
      <c r="L2440" s="696"/>
      <c r="M2440" s="198" t="str">
        <f t="shared" si="558"/>
        <v/>
      </c>
      <c r="N2440" s="369" t="str">
        <f t="shared" si="559"/>
        <v/>
      </c>
      <c r="O2440" s="183" t="str">
        <f t="shared" si="560"/>
        <v/>
      </c>
      <c r="P2440" s="199" t="str">
        <f t="shared" si="561"/>
        <v/>
      </c>
      <c r="Q2440" s="199" t="str">
        <f>IF(B2440="","",IFERROR(IF('עלויות כח אדם (6)'!J2440&gt;=VLOOKUP(I2440,'סיווג התפקידים והעלויות'!$B$23:$C$32,2,0),"תקין","לא תקין"),""))</f>
        <v/>
      </c>
      <c r="R2440" s="199" t="str">
        <f t="shared" si="562"/>
        <v/>
      </c>
      <c r="S2440" s="199" t="str">
        <f t="shared" si="563"/>
        <v/>
      </c>
      <c r="T2440" s="199" t="str">
        <f t="shared" si="571"/>
        <v/>
      </c>
      <c r="U2440" s="199" t="str">
        <f t="shared" si="564"/>
        <v/>
      </c>
      <c r="V2440" s="989"/>
      <c r="X2440" s="374" t="str">
        <f t="shared" si="565"/>
        <v/>
      </c>
      <c r="Y2440" s="375" t="str">
        <f t="shared" si="566"/>
        <v/>
      </c>
      <c r="Z2440" s="374" t="str">
        <f t="shared" si="567"/>
        <v/>
      </c>
      <c r="AA2440" s="374" t="b">
        <f t="shared" si="568"/>
        <v>1</v>
      </c>
      <c r="AB2440" s="374">
        <f>COUNTIFS(B:B,B2440,H:H,'סיווג התפקידים והעלויות'!$C$2)</f>
        <v>0</v>
      </c>
      <c r="AC2440" s="374">
        <f>COUNTIFS(B:B,B2440,H:H,'סיווג התפקידים והעלויות'!$D$2)</f>
        <v>0</v>
      </c>
      <c r="AD2440" s="374" t="str">
        <f>IF(OR(AND(H2440='סיווג התפקידים והעלויות'!$A$2,I2440='סיווג התפקידים והעלויות'!$A$3),'עלויות כח אדם (6)'!H2440='סיווג התפקידים והעלויות'!$C$2,'עלויות כח אדם (6)'!H2440='סיווג התפקידים והעלויות'!$D$2),IF('עלויות כח אדם (6)'!J2440&lt;75,"לא תקין","תקין"),"")</f>
        <v/>
      </c>
      <c r="AE2440" s="374" t="str">
        <f t="shared" si="569"/>
        <v/>
      </c>
      <c r="AF2440" s="532" t="str">
        <f t="shared" si="570"/>
        <v/>
      </c>
    </row>
    <row r="2441" spans="2:32" x14ac:dyDescent="0.25">
      <c r="B2441" s="695"/>
      <c r="C2441" s="197" t="str">
        <f>IF(B2441&lt;&gt;"",IFERROR(VLOOKUP(B:B,'מצבת והרשמה (2)'!$C$20:$N$520,2,0)," ")," ")</f>
        <v xml:space="preserve"> </v>
      </c>
      <c r="D2441" s="695"/>
      <c r="E2441" s="696"/>
      <c r="F2441" s="696"/>
      <c r="G2441" s="696"/>
      <c r="H2441" s="696"/>
      <c r="I2441" s="1050" t="str">
        <f t="shared" si="557"/>
        <v/>
      </c>
      <c r="J2441" s="696"/>
      <c r="K2441" s="697"/>
      <c r="L2441" s="696"/>
      <c r="M2441" s="198" t="str">
        <f t="shared" si="558"/>
        <v/>
      </c>
      <c r="N2441" s="369" t="str">
        <f t="shared" si="559"/>
        <v/>
      </c>
      <c r="O2441" s="183" t="str">
        <f t="shared" si="560"/>
        <v/>
      </c>
      <c r="P2441" s="199" t="str">
        <f t="shared" si="561"/>
        <v/>
      </c>
      <c r="Q2441" s="199" t="str">
        <f>IF(B2441="","",IFERROR(IF('עלויות כח אדם (6)'!J2441&gt;=VLOOKUP(I2441,'סיווג התפקידים והעלויות'!$B$23:$C$32,2,0),"תקין","לא תקין"),""))</f>
        <v/>
      </c>
      <c r="R2441" s="199" t="str">
        <f t="shared" si="562"/>
        <v/>
      </c>
      <c r="S2441" s="199" t="str">
        <f t="shared" si="563"/>
        <v/>
      </c>
      <c r="T2441" s="199" t="str">
        <f t="shared" si="571"/>
        <v/>
      </c>
      <c r="U2441" s="199" t="str">
        <f t="shared" si="564"/>
        <v/>
      </c>
      <c r="V2441" s="989"/>
      <c r="X2441" s="374" t="str">
        <f t="shared" si="565"/>
        <v/>
      </c>
      <c r="Y2441" s="375" t="str">
        <f t="shared" si="566"/>
        <v/>
      </c>
      <c r="Z2441" s="374" t="str">
        <f t="shared" si="567"/>
        <v/>
      </c>
      <c r="AA2441" s="374" t="b">
        <f t="shared" si="568"/>
        <v>1</v>
      </c>
      <c r="AB2441" s="374">
        <f>COUNTIFS(B:B,B2441,H:H,'סיווג התפקידים והעלויות'!$C$2)</f>
        <v>0</v>
      </c>
      <c r="AC2441" s="374">
        <f>COUNTIFS(B:B,B2441,H:H,'סיווג התפקידים והעלויות'!$D$2)</f>
        <v>0</v>
      </c>
      <c r="AD2441" s="374" t="str">
        <f>IF(OR(AND(H2441='סיווג התפקידים והעלויות'!$A$2,I2441='סיווג התפקידים והעלויות'!$A$3),'עלויות כח אדם (6)'!H2441='סיווג התפקידים והעלויות'!$C$2,'עלויות כח אדם (6)'!H2441='סיווג התפקידים והעלויות'!$D$2),IF('עלויות כח אדם (6)'!J2441&lt;75,"לא תקין","תקין"),"")</f>
        <v/>
      </c>
      <c r="AE2441" s="374" t="str">
        <f t="shared" si="569"/>
        <v/>
      </c>
      <c r="AF2441" s="532" t="str">
        <f t="shared" si="570"/>
        <v/>
      </c>
    </row>
    <row r="2442" spans="2:32" x14ac:dyDescent="0.25">
      <c r="B2442" s="695"/>
      <c r="C2442" s="197" t="str">
        <f>IF(B2442&lt;&gt;"",IFERROR(VLOOKUP(B:B,'מצבת והרשמה (2)'!$C$20:$N$520,2,0)," ")," ")</f>
        <v xml:space="preserve"> </v>
      </c>
      <c r="D2442" s="695"/>
      <c r="E2442" s="696"/>
      <c r="F2442" s="696"/>
      <c r="G2442" s="696"/>
      <c r="H2442" s="696"/>
      <c r="I2442" s="1050" t="str">
        <f t="shared" si="557"/>
        <v/>
      </c>
      <c r="J2442" s="696"/>
      <c r="K2442" s="697"/>
      <c r="L2442" s="696"/>
      <c r="M2442" s="198" t="str">
        <f t="shared" si="558"/>
        <v/>
      </c>
      <c r="N2442" s="369" t="str">
        <f t="shared" si="559"/>
        <v/>
      </c>
      <c r="O2442" s="183" t="str">
        <f t="shared" si="560"/>
        <v/>
      </c>
      <c r="P2442" s="199" t="str">
        <f t="shared" si="561"/>
        <v/>
      </c>
      <c r="Q2442" s="199" t="str">
        <f>IF(B2442="","",IFERROR(IF('עלויות כח אדם (6)'!J2442&gt;=VLOOKUP(I2442,'סיווג התפקידים והעלויות'!$B$23:$C$32,2,0),"תקין","לא תקין"),""))</f>
        <v/>
      </c>
      <c r="R2442" s="199" t="str">
        <f t="shared" si="562"/>
        <v/>
      </c>
      <c r="S2442" s="199" t="str">
        <f t="shared" si="563"/>
        <v/>
      </c>
      <c r="T2442" s="199" t="str">
        <f t="shared" si="571"/>
        <v/>
      </c>
      <c r="U2442" s="199" t="str">
        <f t="shared" si="564"/>
        <v/>
      </c>
      <c r="V2442" s="989"/>
      <c r="X2442" s="374" t="str">
        <f t="shared" si="565"/>
        <v/>
      </c>
      <c r="Y2442" s="375" t="str">
        <f t="shared" si="566"/>
        <v/>
      </c>
      <c r="Z2442" s="374" t="str">
        <f t="shared" si="567"/>
        <v/>
      </c>
      <c r="AA2442" s="374" t="b">
        <f t="shared" si="568"/>
        <v>1</v>
      </c>
      <c r="AB2442" s="374">
        <f>COUNTIFS(B:B,B2442,H:H,'סיווג התפקידים והעלויות'!$C$2)</f>
        <v>0</v>
      </c>
      <c r="AC2442" s="374">
        <f>COUNTIFS(B:B,B2442,H:H,'סיווג התפקידים והעלויות'!$D$2)</f>
        <v>0</v>
      </c>
      <c r="AD2442" s="374" t="str">
        <f>IF(OR(AND(H2442='סיווג התפקידים והעלויות'!$A$2,I2442='סיווג התפקידים והעלויות'!$A$3),'עלויות כח אדם (6)'!H2442='סיווג התפקידים והעלויות'!$C$2,'עלויות כח אדם (6)'!H2442='סיווג התפקידים והעלויות'!$D$2),IF('עלויות כח אדם (6)'!J2442&lt;75,"לא תקין","תקין"),"")</f>
        <v/>
      </c>
      <c r="AE2442" s="374" t="str">
        <f t="shared" si="569"/>
        <v/>
      </c>
      <c r="AF2442" s="532" t="str">
        <f t="shared" si="570"/>
        <v/>
      </c>
    </row>
    <row r="2443" spans="2:32" x14ac:dyDescent="0.25">
      <c r="B2443" s="695"/>
      <c r="C2443" s="197" t="str">
        <f>IF(B2443&lt;&gt;"",IFERROR(VLOOKUP(B:B,'מצבת והרשמה (2)'!$C$20:$N$520,2,0)," ")," ")</f>
        <v xml:space="preserve"> </v>
      </c>
      <c r="D2443" s="695"/>
      <c r="E2443" s="696"/>
      <c r="F2443" s="696"/>
      <c r="G2443" s="696"/>
      <c r="H2443" s="696"/>
      <c r="I2443" s="1050" t="str">
        <f t="shared" si="557"/>
        <v/>
      </c>
      <c r="J2443" s="696"/>
      <c r="K2443" s="697"/>
      <c r="L2443" s="696"/>
      <c r="M2443" s="198" t="str">
        <f t="shared" si="558"/>
        <v/>
      </c>
      <c r="N2443" s="369" t="str">
        <f t="shared" si="559"/>
        <v/>
      </c>
      <c r="O2443" s="183" t="str">
        <f t="shared" si="560"/>
        <v/>
      </c>
      <c r="P2443" s="199" t="str">
        <f t="shared" si="561"/>
        <v/>
      </c>
      <c r="Q2443" s="199" t="str">
        <f>IF(B2443="","",IFERROR(IF('עלויות כח אדם (6)'!J2443&gt;=VLOOKUP(I2443,'סיווג התפקידים והעלויות'!$B$23:$C$32,2,0),"תקין","לא תקין"),""))</f>
        <v/>
      </c>
      <c r="R2443" s="199" t="str">
        <f t="shared" si="562"/>
        <v/>
      </c>
      <c r="S2443" s="199" t="str">
        <f t="shared" si="563"/>
        <v/>
      </c>
      <c r="T2443" s="199" t="str">
        <f t="shared" si="571"/>
        <v/>
      </c>
      <c r="U2443" s="199" t="str">
        <f t="shared" si="564"/>
        <v/>
      </c>
      <c r="V2443" s="989"/>
      <c r="X2443" s="374" t="str">
        <f t="shared" si="565"/>
        <v/>
      </c>
      <c r="Y2443" s="375" t="str">
        <f t="shared" si="566"/>
        <v/>
      </c>
      <c r="Z2443" s="374" t="str">
        <f t="shared" si="567"/>
        <v/>
      </c>
      <c r="AA2443" s="374" t="b">
        <f t="shared" si="568"/>
        <v>1</v>
      </c>
      <c r="AB2443" s="374">
        <f>COUNTIFS(B:B,B2443,H:H,'סיווג התפקידים והעלויות'!$C$2)</f>
        <v>0</v>
      </c>
      <c r="AC2443" s="374">
        <f>COUNTIFS(B:B,B2443,H:H,'סיווג התפקידים והעלויות'!$D$2)</f>
        <v>0</v>
      </c>
      <c r="AD2443" s="374" t="str">
        <f>IF(OR(AND(H2443='סיווג התפקידים והעלויות'!$A$2,I2443='סיווג התפקידים והעלויות'!$A$3),'עלויות כח אדם (6)'!H2443='סיווג התפקידים והעלויות'!$C$2,'עלויות כח אדם (6)'!H2443='סיווג התפקידים והעלויות'!$D$2),IF('עלויות כח אדם (6)'!J2443&lt;75,"לא תקין","תקין"),"")</f>
        <v/>
      </c>
      <c r="AE2443" s="374" t="str">
        <f t="shared" si="569"/>
        <v/>
      </c>
      <c r="AF2443" s="532" t="str">
        <f t="shared" si="570"/>
        <v/>
      </c>
    </row>
    <row r="2444" spans="2:32" x14ac:dyDescent="0.25">
      <c r="B2444" s="695"/>
      <c r="C2444" s="197" t="str">
        <f>IF(B2444&lt;&gt;"",IFERROR(VLOOKUP(B:B,'מצבת והרשמה (2)'!$C$20:$N$520,2,0)," ")," ")</f>
        <v xml:space="preserve"> </v>
      </c>
      <c r="D2444" s="695"/>
      <c r="E2444" s="696"/>
      <c r="F2444" s="696"/>
      <c r="G2444" s="696"/>
      <c r="H2444" s="696"/>
      <c r="I2444" s="1050" t="str">
        <f t="shared" si="557"/>
        <v/>
      </c>
      <c r="J2444" s="696"/>
      <c r="K2444" s="697"/>
      <c r="L2444" s="696"/>
      <c r="M2444" s="198" t="str">
        <f t="shared" si="558"/>
        <v/>
      </c>
      <c r="N2444" s="369" t="str">
        <f t="shared" si="559"/>
        <v/>
      </c>
      <c r="O2444" s="183" t="str">
        <f t="shared" si="560"/>
        <v/>
      </c>
      <c r="P2444" s="199" t="str">
        <f t="shared" si="561"/>
        <v/>
      </c>
      <c r="Q2444" s="199" t="str">
        <f>IF(B2444="","",IFERROR(IF('עלויות כח אדם (6)'!J2444&gt;=VLOOKUP(I2444,'סיווג התפקידים והעלויות'!$B$23:$C$32,2,0),"תקין","לא תקין"),""))</f>
        <v/>
      </c>
      <c r="R2444" s="199" t="str">
        <f t="shared" si="562"/>
        <v/>
      </c>
      <c r="S2444" s="199" t="str">
        <f t="shared" si="563"/>
        <v/>
      </c>
      <c r="T2444" s="199" t="str">
        <f t="shared" si="571"/>
        <v/>
      </c>
      <c r="U2444" s="199" t="str">
        <f t="shared" si="564"/>
        <v/>
      </c>
      <c r="V2444" s="989"/>
      <c r="X2444" s="374" t="str">
        <f t="shared" si="565"/>
        <v/>
      </c>
      <c r="Y2444" s="375" t="str">
        <f t="shared" si="566"/>
        <v/>
      </c>
      <c r="Z2444" s="374" t="str">
        <f t="shared" si="567"/>
        <v/>
      </c>
      <c r="AA2444" s="374" t="b">
        <f t="shared" si="568"/>
        <v>1</v>
      </c>
      <c r="AB2444" s="374">
        <f>COUNTIFS(B:B,B2444,H:H,'סיווג התפקידים והעלויות'!$C$2)</f>
        <v>0</v>
      </c>
      <c r="AC2444" s="374">
        <f>COUNTIFS(B:B,B2444,H:H,'סיווג התפקידים והעלויות'!$D$2)</f>
        <v>0</v>
      </c>
      <c r="AD2444" s="374" t="str">
        <f>IF(OR(AND(H2444='סיווג התפקידים והעלויות'!$A$2,I2444='סיווג התפקידים והעלויות'!$A$3),'עלויות כח אדם (6)'!H2444='סיווג התפקידים והעלויות'!$C$2,'עלויות כח אדם (6)'!H2444='סיווג התפקידים והעלויות'!$D$2),IF('עלויות כח אדם (6)'!J2444&lt;75,"לא תקין","תקין"),"")</f>
        <v/>
      </c>
      <c r="AE2444" s="374" t="str">
        <f t="shared" si="569"/>
        <v/>
      </c>
      <c r="AF2444" s="532" t="str">
        <f t="shared" si="570"/>
        <v/>
      </c>
    </row>
    <row r="2445" spans="2:32" x14ac:dyDescent="0.25">
      <c r="B2445" s="695"/>
      <c r="C2445" s="197" t="str">
        <f>IF(B2445&lt;&gt;"",IFERROR(VLOOKUP(B:B,'מצבת והרשמה (2)'!$C$20:$N$520,2,0)," ")," ")</f>
        <v xml:space="preserve"> </v>
      </c>
      <c r="D2445" s="695"/>
      <c r="E2445" s="696"/>
      <c r="F2445" s="696"/>
      <c r="G2445" s="696"/>
      <c r="H2445" s="696"/>
      <c r="I2445" s="1050" t="str">
        <f t="shared" si="557"/>
        <v/>
      </c>
      <c r="J2445" s="696"/>
      <c r="K2445" s="697"/>
      <c r="L2445" s="696"/>
      <c r="M2445" s="198" t="str">
        <f t="shared" si="558"/>
        <v/>
      </c>
      <c r="N2445" s="369" t="str">
        <f t="shared" si="559"/>
        <v/>
      </c>
      <c r="O2445" s="183" t="str">
        <f t="shared" si="560"/>
        <v/>
      </c>
      <c r="P2445" s="199" t="str">
        <f t="shared" si="561"/>
        <v/>
      </c>
      <c r="Q2445" s="199" t="str">
        <f>IF(B2445="","",IFERROR(IF('עלויות כח אדם (6)'!J2445&gt;=VLOOKUP(I2445,'סיווג התפקידים והעלויות'!$B$23:$C$32,2,0),"תקין","לא תקין"),""))</f>
        <v/>
      </c>
      <c r="R2445" s="199" t="str">
        <f t="shared" si="562"/>
        <v/>
      </c>
      <c r="S2445" s="199" t="str">
        <f t="shared" si="563"/>
        <v/>
      </c>
      <c r="T2445" s="199" t="str">
        <f t="shared" si="571"/>
        <v/>
      </c>
      <c r="U2445" s="199" t="str">
        <f t="shared" si="564"/>
        <v/>
      </c>
      <c r="V2445" s="989"/>
      <c r="X2445" s="374" t="str">
        <f t="shared" si="565"/>
        <v/>
      </c>
      <c r="Y2445" s="375" t="str">
        <f t="shared" si="566"/>
        <v/>
      </c>
      <c r="Z2445" s="374" t="str">
        <f t="shared" si="567"/>
        <v/>
      </c>
      <c r="AA2445" s="374" t="b">
        <f t="shared" si="568"/>
        <v>1</v>
      </c>
      <c r="AB2445" s="374">
        <f>COUNTIFS(B:B,B2445,H:H,'סיווג התפקידים והעלויות'!$C$2)</f>
        <v>0</v>
      </c>
      <c r="AC2445" s="374">
        <f>COUNTIFS(B:B,B2445,H:H,'סיווג התפקידים והעלויות'!$D$2)</f>
        <v>0</v>
      </c>
      <c r="AD2445" s="374" t="str">
        <f>IF(OR(AND(H2445='סיווג התפקידים והעלויות'!$A$2,I2445='סיווג התפקידים והעלויות'!$A$3),'עלויות כח אדם (6)'!H2445='סיווג התפקידים והעלויות'!$C$2,'עלויות כח אדם (6)'!H2445='סיווג התפקידים והעלויות'!$D$2),IF('עלויות כח אדם (6)'!J2445&lt;75,"לא תקין","תקין"),"")</f>
        <v/>
      </c>
      <c r="AE2445" s="374" t="str">
        <f t="shared" si="569"/>
        <v/>
      </c>
      <c r="AF2445" s="532" t="str">
        <f t="shared" si="570"/>
        <v/>
      </c>
    </row>
    <row r="2446" spans="2:32" x14ac:dyDescent="0.25">
      <c r="B2446" s="695"/>
      <c r="C2446" s="197" t="str">
        <f>IF(B2446&lt;&gt;"",IFERROR(VLOOKUP(B:B,'מצבת והרשמה (2)'!$C$20:$N$520,2,0)," ")," ")</f>
        <v xml:space="preserve"> </v>
      </c>
      <c r="D2446" s="695"/>
      <c r="E2446" s="696"/>
      <c r="F2446" s="696"/>
      <c r="G2446" s="696"/>
      <c r="H2446" s="696"/>
      <c r="I2446" s="1050" t="str">
        <f t="shared" si="557"/>
        <v/>
      </c>
      <c r="J2446" s="696"/>
      <c r="K2446" s="697"/>
      <c r="L2446" s="696"/>
      <c r="M2446" s="198" t="str">
        <f t="shared" si="558"/>
        <v/>
      </c>
      <c r="N2446" s="369" t="str">
        <f t="shared" si="559"/>
        <v/>
      </c>
      <c r="O2446" s="183" t="str">
        <f t="shared" si="560"/>
        <v/>
      </c>
      <c r="P2446" s="199" t="str">
        <f t="shared" si="561"/>
        <v/>
      </c>
      <c r="Q2446" s="199" t="str">
        <f>IF(B2446="","",IFERROR(IF('עלויות כח אדם (6)'!J2446&gt;=VLOOKUP(I2446,'סיווג התפקידים והעלויות'!$B$23:$C$32,2,0),"תקין","לא תקין"),""))</f>
        <v/>
      </c>
      <c r="R2446" s="199" t="str">
        <f t="shared" si="562"/>
        <v/>
      </c>
      <c r="S2446" s="199" t="str">
        <f t="shared" si="563"/>
        <v/>
      </c>
      <c r="T2446" s="199" t="str">
        <f t="shared" si="571"/>
        <v/>
      </c>
      <c r="U2446" s="199" t="str">
        <f t="shared" si="564"/>
        <v/>
      </c>
      <c r="V2446" s="989"/>
      <c r="X2446" s="374" t="str">
        <f t="shared" si="565"/>
        <v/>
      </c>
      <c r="Y2446" s="375" t="str">
        <f t="shared" si="566"/>
        <v/>
      </c>
      <c r="Z2446" s="374" t="str">
        <f t="shared" si="567"/>
        <v/>
      </c>
      <c r="AA2446" s="374" t="b">
        <f t="shared" si="568"/>
        <v>1</v>
      </c>
      <c r="AB2446" s="374">
        <f>COUNTIFS(B:B,B2446,H:H,'סיווג התפקידים והעלויות'!$C$2)</f>
        <v>0</v>
      </c>
      <c r="AC2446" s="374">
        <f>COUNTIFS(B:B,B2446,H:H,'סיווג התפקידים והעלויות'!$D$2)</f>
        <v>0</v>
      </c>
      <c r="AD2446" s="374" t="str">
        <f>IF(OR(AND(H2446='סיווג התפקידים והעלויות'!$A$2,I2446='סיווג התפקידים והעלויות'!$A$3),'עלויות כח אדם (6)'!H2446='סיווג התפקידים והעלויות'!$C$2,'עלויות כח אדם (6)'!H2446='סיווג התפקידים והעלויות'!$D$2),IF('עלויות כח אדם (6)'!J2446&lt;75,"לא תקין","תקין"),"")</f>
        <v/>
      </c>
      <c r="AE2446" s="374" t="str">
        <f t="shared" si="569"/>
        <v/>
      </c>
      <c r="AF2446" s="532" t="str">
        <f t="shared" si="570"/>
        <v/>
      </c>
    </row>
    <row r="2447" spans="2:32" x14ac:dyDescent="0.25">
      <c r="B2447" s="695"/>
      <c r="C2447" s="197" t="str">
        <f>IF(B2447&lt;&gt;"",IFERROR(VLOOKUP(B:B,'מצבת והרשמה (2)'!$C$20:$N$520,2,0)," ")," ")</f>
        <v xml:space="preserve"> </v>
      </c>
      <c r="D2447" s="695"/>
      <c r="E2447" s="696"/>
      <c r="F2447" s="696"/>
      <c r="G2447" s="696"/>
      <c r="H2447" s="696"/>
      <c r="I2447" s="1050" t="str">
        <f t="shared" ref="I2447:I2510" si="572">SUBSTITUTE(IFERROR(IF(H2447="מדצ","מדצ/ית",IF(H2447="סגנית רכזת מעל 150","סגנ/ית רכז/ת&gt;150",IF(H2447="רכזת תכנית בבית הספר","רכז/ת תכנית בבית הספר"))),""),"FALSE","")</f>
        <v/>
      </c>
      <c r="J2447" s="696"/>
      <c r="K2447" s="697"/>
      <c r="L2447" s="696"/>
      <c r="M2447" s="198" t="str">
        <f t="shared" ref="M2447:M2510" si="573">IF(AND(L2447&gt;0,K2447&gt;0),K2447*L2447,"")</f>
        <v/>
      </c>
      <c r="N2447" s="369" t="str">
        <f t="shared" ref="N2447:N2510" si="574">TEXT(LEFT(H2447,2),0)</f>
        <v/>
      </c>
      <c r="O2447" s="183" t="str">
        <f t="shared" ref="O2447:O2510" si="575">IF(ISNUMBER(M2447&gt;0),IF(ISBLANK(B2447),"יש להזין סמל מוסד בעמודה B",""),"")</f>
        <v/>
      </c>
      <c r="P2447" s="199" t="str">
        <f t="shared" ref="P2447:P2510" si="576">IF(B2447="","",IF(AA2447=FALSE,"לא תקין","תקין"))</f>
        <v/>
      </c>
      <c r="Q2447" s="199" t="str">
        <f>IF(B2447="","",IFERROR(IF('עלויות כח אדם (6)'!J2447&gt;=VLOOKUP(I2447,'סיווג התפקידים והעלויות'!$B$23:$C$32,2,0),"תקין","לא תקין"),""))</f>
        <v/>
      </c>
      <c r="R2447" s="199" t="str">
        <f t="shared" ref="R2447:R2510" si="577">IF(B2447="","",IF(OR(Y2447&lt;100%,Y2447&gt;140%),"לא תקין","תקין"))</f>
        <v/>
      </c>
      <c r="S2447" s="199" t="str">
        <f t="shared" ref="S2447:S2510" si="578">IF(B2447="","",IFERROR(IF(J2447&gt;120,"לא תקין","תקין"),""))</f>
        <v/>
      </c>
      <c r="T2447" s="199" t="str">
        <f t="shared" si="571"/>
        <v/>
      </c>
      <c r="U2447" s="199" t="str">
        <f t="shared" ref="U2447:U2510" si="579">IF(B2447="","",IF(Z2447&gt;1,IF(SUMIF(D:D,D2447,L:L)&gt;90,"לא תקין","תקין"),"תקין"))</f>
        <v/>
      </c>
      <c r="V2447" s="989"/>
      <c r="X2447" s="374" t="str">
        <f t="shared" ref="X2447:X2510" si="580">IF(B2447="","",IF(OR(R2447="לא תקין",S2447="לא תקין",T2447="לא תקין",,U2447="לא תקין"),"לא תקין","תקין"))</f>
        <v/>
      </c>
      <c r="Y2447" s="375" t="str">
        <f t="shared" ref="Y2447:Y2510" si="581">IFERROR(IF(B2447="","",K2447/J2447),"")</f>
        <v/>
      </c>
      <c r="Z2447" s="374" t="str">
        <f t="shared" ref="Z2447:Z2510" si="582">IF(B2447="","",COUNTIF(D:D,D2447))</f>
        <v/>
      </c>
      <c r="AA2447" s="374" t="b">
        <f t="shared" ref="AA2447:AA2510" si="583">MOD(MID(REPT(0,9-LEN(D2447))&amp;D2447,1,1)+MID("0246813579",MID(REPT(0,9-LEN(D2447))&amp;D2447,2,1)+1,1)+MID(REPT(0,9-LEN(D2447))&amp;D2447,3,1)+MID("0246813579",MID(REPT(0,9-LEN(D2447))&amp;D2447,4,1)+1,1)+MID(REPT(0,9-LEN(D2447))&amp;D2447,5,1)+MID("0246813579",MID(REPT(0,9-LEN(D2447))&amp;D2447,6,1)+1,1)+MID(REPT(0,9-LEN(D2447))&amp;D2447,7,1)+MID("0246813579",MID(REPT(0,9-LEN(D2447))&amp;D2447,8,1)+1,1)+MID(REPT(0,9-LEN(D2447))&amp;D2447,9,1),10)=0</f>
        <v>1</v>
      </c>
      <c r="AB2447" s="374">
        <f>COUNTIFS(B:B,B2447,H:H,'סיווג התפקידים והעלויות'!$C$2)</f>
        <v>0</v>
      </c>
      <c r="AC2447" s="374">
        <f>COUNTIFS(B:B,B2447,H:H,'סיווג התפקידים והעלויות'!$D$2)</f>
        <v>0</v>
      </c>
      <c r="AD2447" s="374" t="str">
        <f>IF(OR(AND(H2447='סיווג התפקידים והעלויות'!$A$2,I2447='סיווג התפקידים והעלויות'!$A$3),'עלויות כח אדם (6)'!H2447='סיווג התפקידים והעלויות'!$C$2,'עלויות כח אדם (6)'!H2447='סיווג התפקידים והעלויות'!$D$2),IF('עלויות כח אדם (6)'!J2447&lt;75,"לא תקין","תקין"),"")</f>
        <v/>
      </c>
      <c r="AE2447" s="374" t="str">
        <f t="shared" ref="AE2447:AE2510" si="584">IF(B2447&lt;&gt;"",B2447&amp;H2447,"")</f>
        <v/>
      </c>
      <c r="AF2447" s="532" t="str">
        <f t="shared" ref="AF2447:AF2510" si="585">M2447</f>
        <v/>
      </c>
    </row>
    <row r="2448" spans="2:32" x14ac:dyDescent="0.25">
      <c r="B2448" s="695"/>
      <c r="C2448" s="197" t="str">
        <f>IF(B2448&lt;&gt;"",IFERROR(VLOOKUP(B:B,'מצבת והרשמה (2)'!$C$20:$N$520,2,0)," ")," ")</f>
        <v xml:space="preserve"> </v>
      </c>
      <c r="D2448" s="695"/>
      <c r="E2448" s="696"/>
      <c r="F2448" s="696"/>
      <c r="G2448" s="696"/>
      <c r="H2448" s="696"/>
      <c r="I2448" s="1050" t="str">
        <f t="shared" si="572"/>
        <v/>
      </c>
      <c r="J2448" s="696"/>
      <c r="K2448" s="697"/>
      <c r="L2448" s="696"/>
      <c r="M2448" s="198" t="str">
        <f t="shared" si="573"/>
        <v/>
      </c>
      <c r="N2448" s="369" t="str">
        <f t="shared" si="574"/>
        <v/>
      </c>
      <c r="O2448" s="183" t="str">
        <f t="shared" si="575"/>
        <v/>
      </c>
      <c r="P2448" s="199" t="str">
        <f t="shared" si="576"/>
        <v/>
      </c>
      <c r="Q2448" s="199" t="str">
        <f>IF(B2448="","",IFERROR(IF('עלויות כח אדם (6)'!J2448&gt;=VLOOKUP(I2448,'סיווג התפקידים והעלויות'!$B$23:$C$32,2,0),"תקין","לא תקין"),""))</f>
        <v/>
      </c>
      <c r="R2448" s="199" t="str">
        <f t="shared" si="577"/>
        <v/>
      </c>
      <c r="S2448" s="199" t="str">
        <f t="shared" si="578"/>
        <v/>
      </c>
      <c r="T2448" s="199" t="str">
        <f t="shared" ref="T2448:T2511" si="586">IF(B2448="","",IF(H2448="","יש להזין איש צוות",IF(OR(H2448="מורה",H2448="גננת",H2448="רכז גן",H2448="רכזת גן",H2448="סייעת",H2448="מדצית",H2448="מדצ",H2448="מדריך",H2448="מדריכה",H2448="תוספת כח אדם"),IF(L2448&lt;=90,"תקין","לא תקין"),IF(OR(H2448="רכז בית ספר",H2448="רכזת תכנית בבית הספר",H2448="רכזת בית ספר"),IF(L2448&lt;=137,"תקין","לא תקין"),IF(OR(H2448="סגנית רכזת מעל 150",H2448="סגן רכז"),IF(L2448&lt;=93,"תקין","לא תקין"),"לא תקין")))))</f>
        <v/>
      </c>
      <c r="U2448" s="199" t="str">
        <f t="shared" si="579"/>
        <v/>
      </c>
      <c r="V2448" s="989"/>
      <c r="X2448" s="374" t="str">
        <f t="shared" si="580"/>
        <v/>
      </c>
      <c r="Y2448" s="375" t="str">
        <f t="shared" si="581"/>
        <v/>
      </c>
      <c r="Z2448" s="374" t="str">
        <f t="shared" si="582"/>
        <v/>
      </c>
      <c r="AA2448" s="374" t="b">
        <f t="shared" si="583"/>
        <v>1</v>
      </c>
      <c r="AB2448" s="374">
        <f>COUNTIFS(B:B,B2448,H:H,'סיווג התפקידים והעלויות'!$C$2)</f>
        <v>0</v>
      </c>
      <c r="AC2448" s="374">
        <f>COUNTIFS(B:B,B2448,H:H,'סיווג התפקידים והעלויות'!$D$2)</f>
        <v>0</v>
      </c>
      <c r="AD2448" s="374" t="str">
        <f>IF(OR(AND(H2448='סיווג התפקידים והעלויות'!$A$2,I2448='סיווג התפקידים והעלויות'!$A$3),'עלויות כח אדם (6)'!H2448='סיווג התפקידים והעלויות'!$C$2,'עלויות כח אדם (6)'!H2448='סיווג התפקידים והעלויות'!$D$2),IF('עלויות כח אדם (6)'!J2448&lt;75,"לא תקין","תקין"),"")</f>
        <v/>
      </c>
      <c r="AE2448" s="374" t="str">
        <f t="shared" si="584"/>
        <v/>
      </c>
      <c r="AF2448" s="532" t="str">
        <f t="shared" si="585"/>
        <v/>
      </c>
    </row>
    <row r="2449" spans="2:32" x14ac:dyDescent="0.25">
      <c r="B2449" s="695"/>
      <c r="C2449" s="197" t="str">
        <f>IF(B2449&lt;&gt;"",IFERROR(VLOOKUP(B:B,'מצבת והרשמה (2)'!$C$20:$N$520,2,0)," ")," ")</f>
        <v xml:space="preserve"> </v>
      </c>
      <c r="D2449" s="695"/>
      <c r="E2449" s="696"/>
      <c r="F2449" s="696"/>
      <c r="G2449" s="696"/>
      <c r="H2449" s="696"/>
      <c r="I2449" s="1050" t="str">
        <f t="shared" si="572"/>
        <v/>
      </c>
      <c r="J2449" s="696"/>
      <c r="K2449" s="697"/>
      <c r="L2449" s="696"/>
      <c r="M2449" s="198" t="str">
        <f t="shared" si="573"/>
        <v/>
      </c>
      <c r="N2449" s="369" t="str">
        <f t="shared" si="574"/>
        <v/>
      </c>
      <c r="O2449" s="183" t="str">
        <f t="shared" si="575"/>
        <v/>
      </c>
      <c r="P2449" s="199" t="str">
        <f t="shared" si="576"/>
        <v/>
      </c>
      <c r="Q2449" s="199" t="str">
        <f>IF(B2449="","",IFERROR(IF('עלויות כח אדם (6)'!J2449&gt;=VLOOKUP(I2449,'סיווג התפקידים והעלויות'!$B$23:$C$32,2,0),"תקין","לא תקין"),""))</f>
        <v/>
      </c>
      <c r="R2449" s="199" t="str">
        <f t="shared" si="577"/>
        <v/>
      </c>
      <c r="S2449" s="199" t="str">
        <f t="shared" si="578"/>
        <v/>
      </c>
      <c r="T2449" s="199" t="str">
        <f t="shared" si="586"/>
        <v/>
      </c>
      <c r="U2449" s="199" t="str">
        <f t="shared" si="579"/>
        <v/>
      </c>
      <c r="V2449" s="989"/>
      <c r="X2449" s="374" t="str">
        <f t="shared" si="580"/>
        <v/>
      </c>
      <c r="Y2449" s="375" t="str">
        <f t="shared" si="581"/>
        <v/>
      </c>
      <c r="Z2449" s="374" t="str">
        <f t="shared" si="582"/>
        <v/>
      </c>
      <c r="AA2449" s="374" t="b">
        <f t="shared" si="583"/>
        <v>1</v>
      </c>
      <c r="AB2449" s="374">
        <f>COUNTIFS(B:B,B2449,H:H,'סיווג התפקידים והעלויות'!$C$2)</f>
        <v>0</v>
      </c>
      <c r="AC2449" s="374">
        <f>COUNTIFS(B:B,B2449,H:H,'סיווג התפקידים והעלויות'!$D$2)</f>
        <v>0</v>
      </c>
      <c r="AD2449" s="374" t="str">
        <f>IF(OR(AND(H2449='סיווג התפקידים והעלויות'!$A$2,I2449='סיווג התפקידים והעלויות'!$A$3),'עלויות כח אדם (6)'!H2449='סיווג התפקידים והעלויות'!$C$2,'עלויות כח אדם (6)'!H2449='סיווג התפקידים והעלויות'!$D$2),IF('עלויות כח אדם (6)'!J2449&lt;75,"לא תקין","תקין"),"")</f>
        <v/>
      </c>
      <c r="AE2449" s="374" t="str">
        <f t="shared" si="584"/>
        <v/>
      </c>
      <c r="AF2449" s="532" t="str">
        <f t="shared" si="585"/>
        <v/>
      </c>
    </row>
    <row r="2450" spans="2:32" x14ac:dyDescent="0.25">
      <c r="B2450" s="695"/>
      <c r="C2450" s="197" t="str">
        <f>IF(B2450&lt;&gt;"",IFERROR(VLOOKUP(B:B,'מצבת והרשמה (2)'!$C$20:$N$520,2,0)," ")," ")</f>
        <v xml:space="preserve"> </v>
      </c>
      <c r="D2450" s="695"/>
      <c r="E2450" s="696"/>
      <c r="F2450" s="696"/>
      <c r="G2450" s="696"/>
      <c r="H2450" s="696"/>
      <c r="I2450" s="1050" t="str">
        <f t="shared" si="572"/>
        <v/>
      </c>
      <c r="J2450" s="696"/>
      <c r="K2450" s="697"/>
      <c r="L2450" s="696"/>
      <c r="M2450" s="198" t="str">
        <f t="shared" si="573"/>
        <v/>
      </c>
      <c r="N2450" s="369" t="str">
        <f t="shared" si="574"/>
        <v/>
      </c>
      <c r="O2450" s="183" t="str">
        <f t="shared" si="575"/>
        <v/>
      </c>
      <c r="P2450" s="199" t="str">
        <f t="shared" si="576"/>
        <v/>
      </c>
      <c r="Q2450" s="199" t="str">
        <f>IF(B2450="","",IFERROR(IF('עלויות כח אדם (6)'!J2450&gt;=VLOOKUP(I2450,'סיווג התפקידים והעלויות'!$B$23:$C$32,2,0),"תקין","לא תקין"),""))</f>
        <v/>
      </c>
      <c r="R2450" s="199" t="str">
        <f t="shared" si="577"/>
        <v/>
      </c>
      <c r="S2450" s="199" t="str">
        <f t="shared" si="578"/>
        <v/>
      </c>
      <c r="T2450" s="199" t="str">
        <f t="shared" si="586"/>
        <v/>
      </c>
      <c r="U2450" s="199" t="str">
        <f t="shared" si="579"/>
        <v/>
      </c>
      <c r="V2450" s="989"/>
      <c r="X2450" s="374" t="str">
        <f t="shared" si="580"/>
        <v/>
      </c>
      <c r="Y2450" s="375" t="str">
        <f t="shared" si="581"/>
        <v/>
      </c>
      <c r="Z2450" s="374" t="str">
        <f t="shared" si="582"/>
        <v/>
      </c>
      <c r="AA2450" s="374" t="b">
        <f t="shared" si="583"/>
        <v>1</v>
      </c>
      <c r="AB2450" s="374">
        <f>COUNTIFS(B:B,B2450,H:H,'סיווג התפקידים והעלויות'!$C$2)</f>
        <v>0</v>
      </c>
      <c r="AC2450" s="374">
        <f>COUNTIFS(B:B,B2450,H:H,'סיווג התפקידים והעלויות'!$D$2)</f>
        <v>0</v>
      </c>
      <c r="AD2450" s="374" t="str">
        <f>IF(OR(AND(H2450='סיווג התפקידים והעלויות'!$A$2,I2450='סיווג התפקידים והעלויות'!$A$3),'עלויות כח אדם (6)'!H2450='סיווג התפקידים והעלויות'!$C$2,'עלויות כח אדם (6)'!H2450='סיווג התפקידים והעלויות'!$D$2),IF('עלויות כח אדם (6)'!J2450&lt;75,"לא תקין","תקין"),"")</f>
        <v/>
      </c>
      <c r="AE2450" s="374" t="str">
        <f t="shared" si="584"/>
        <v/>
      </c>
      <c r="AF2450" s="532" t="str">
        <f t="shared" si="585"/>
        <v/>
      </c>
    </row>
    <row r="2451" spans="2:32" x14ac:dyDescent="0.25">
      <c r="B2451" s="695"/>
      <c r="C2451" s="197" t="str">
        <f>IF(B2451&lt;&gt;"",IFERROR(VLOOKUP(B:B,'מצבת והרשמה (2)'!$C$20:$N$520,2,0)," ")," ")</f>
        <v xml:space="preserve"> </v>
      </c>
      <c r="D2451" s="695"/>
      <c r="E2451" s="696"/>
      <c r="F2451" s="696"/>
      <c r="G2451" s="696"/>
      <c r="H2451" s="696"/>
      <c r="I2451" s="1050" t="str">
        <f t="shared" si="572"/>
        <v/>
      </c>
      <c r="J2451" s="696"/>
      <c r="K2451" s="697"/>
      <c r="L2451" s="696"/>
      <c r="M2451" s="198" t="str">
        <f t="shared" si="573"/>
        <v/>
      </c>
      <c r="N2451" s="369" t="str">
        <f t="shared" si="574"/>
        <v/>
      </c>
      <c r="O2451" s="183" t="str">
        <f t="shared" si="575"/>
        <v/>
      </c>
      <c r="P2451" s="199" t="str">
        <f t="shared" si="576"/>
        <v/>
      </c>
      <c r="Q2451" s="199" t="str">
        <f>IF(B2451="","",IFERROR(IF('עלויות כח אדם (6)'!J2451&gt;=VLOOKUP(I2451,'סיווג התפקידים והעלויות'!$B$23:$C$32,2,0),"תקין","לא תקין"),""))</f>
        <v/>
      </c>
      <c r="R2451" s="199" t="str">
        <f t="shared" si="577"/>
        <v/>
      </c>
      <c r="S2451" s="199" t="str">
        <f t="shared" si="578"/>
        <v/>
      </c>
      <c r="T2451" s="199" t="str">
        <f t="shared" si="586"/>
        <v/>
      </c>
      <c r="U2451" s="199" t="str">
        <f t="shared" si="579"/>
        <v/>
      </c>
      <c r="V2451" s="989"/>
      <c r="X2451" s="374" t="str">
        <f t="shared" si="580"/>
        <v/>
      </c>
      <c r="Y2451" s="375" t="str">
        <f t="shared" si="581"/>
        <v/>
      </c>
      <c r="Z2451" s="374" t="str">
        <f t="shared" si="582"/>
        <v/>
      </c>
      <c r="AA2451" s="374" t="b">
        <f t="shared" si="583"/>
        <v>1</v>
      </c>
      <c r="AB2451" s="374">
        <f>COUNTIFS(B:B,B2451,H:H,'סיווג התפקידים והעלויות'!$C$2)</f>
        <v>0</v>
      </c>
      <c r="AC2451" s="374">
        <f>COUNTIFS(B:B,B2451,H:H,'סיווג התפקידים והעלויות'!$D$2)</f>
        <v>0</v>
      </c>
      <c r="AD2451" s="374" t="str">
        <f>IF(OR(AND(H2451='סיווג התפקידים והעלויות'!$A$2,I2451='סיווג התפקידים והעלויות'!$A$3),'עלויות כח אדם (6)'!H2451='סיווג התפקידים והעלויות'!$C$2,'עלויות כח אדם (6)'!H2451='סיווג התפקידים והעלויות'!$D$2),IF('עלויות כח אדם (6)'!J2451&lt;75,"לא תקין","תקין"),"")</f>
        <v/>
      </c>
      <c r="AE2451" s="374" t="str">
        <f t="shared" si="584"/>
        <v/>
      </c>
      <c r="AF2451" s="532" t="str">
        <f t="shared" si="585"/>
        <v/>
      </c>
    </row>
    <row r="2452" spans="2:32" x14ac:dyDescent="0.25">
      <c r="B2452" s="695"/>
      <c r="C2452" s="197" t="str">
        <f>IF(B2452&lt;&gt;"",IFERROR(VLOOKUP(B:B,'מצבת והרשמה (2)'!$C$20:$N$520,2,0)," ")," ")</f>
        <v xml:space="preserve"> </v>
      </c>
      <c r="D2452" s="695"/>
      <c r="E2452" s="696"/>
      <c r="F2452" s="696"/>
      <c r="G2452" s="696"/>
      <c r="H2452" s="696"/>
      <c r="I2452" s="1050" t="str">
        <f t="shared" si="572"/>
        <v/>
      </c>
      <c r="J2452" s="696"/>
      <c r="K2452" s="697"/>
      <c r="L2452" s="696"/>
      <c r="M2452" s="198" t="str">
        <f t="shared" si="573"/>
        <v/>
      </c>
      <c r="N2452" s="369" t="str">
        <f t="shared" si="574"/>
        <v/>
      </c>
      <c r="O2452" s="183" t="str">
        <f t="shared" si="575"/>
        <v/>
      </c>
      <c r="P2452" s="199" t="str">
        <f t="shared" si="576"/>
        <v/>
      </c>
      <c r="Q2452" s="199" t="str">
        <f>IF(B2452="","",IFERROR(IF('עלויות כח אדם (6)'!J2452&gt;=VLOOKUP(I2452,'סיווג התפקידים והעלויות'!$B$23:$C$32,2,0),"תקין","לא תקין"),""))</f>
        <v/>
      </c>
      <c r="R2452" s="199" t="str">
        <f t="shared" si="577"/>
        <v/>
      </c>
      <c r="S2452" s="199" t="str">
        <f t="shared" si="578"/>
        <v/>
      </c>
      <c r="T2452" s="199" t="str">
        <f t="shared" si="586"/>
        <v/>
      </c>
      <c r="U2452" s="199" t="str">
        <f t="shared" si="579"/>
        <v/>
      </c>
      <c r="V2452" s="989"/>
      <c r="X2452" s="374" t="str">
        <f t="shared" si="580"/>
        <v/>
      </c>
      <c r="Y2452" s="375" t="str">
        <f t="shared" si="581"/>
        <v/>
      </c>
      <c r="Z2452" s="374" t="str">
        <f t="shared" si="582"/>
        <v/>
      </c>
      <c r="AA2452" s="374" t="b">
        <f t="shared" si="583"/>
        <v>1</v>
      </c>
      <c r="AB2452" s="374">
        <f>COUNTIFS(B:B,B2452,H:H,'סיווג התפקידים והעלויות'!$C$2)</f>
        <v>0</v>
      </c>
      <c r="AC2452" s="374">
        <f>COUNTIFS(B:B,B2452,H:H,'סיווג התפקידים והעלויות'!$D$2)</f>
        <v>0</v>
      </c>
      <c r="AD2452" s="374" t="str">
        <f>IF(OR(AND(H2452='סיווג התפקידים והעלויות'!$A$2,I2452='סיווג התפקידים והעלויות'!$A$3),'עלויות כח אדם (6)'!H2452='סיווג התפקידים והעלויות'!$C$2,'עלויות כח אדם (6)'!H2452='סיווג התפקידים והעלויות'!$D$2),IF('עלויות כח אדם (6)'!J2452&lt;75,"לא תקין","תקין"),"")</f>
        <v/>
      </c>
      <c r="AE2452" s="374" t="str">
        <f t="shared" si="584"/>
        <v/>
      </c>
      <c r="AF2452" s="532" t="str">
        <f t="shared" si="585"/>
        <v/>
      </c>
    </row>
    <row r="2453" spans="2:32" x14ac:dyDescent="0.25">
      <c r="B2453" s="695"/>
      <c r="C2453" s="197" t="str">
        <f>IF(B2453&lt;&gt;"",IFERROR(VLOOKUP(B:B,'מצבת והרשמה (2)'!$C$20:$N$520,2,0)," ")," ")</f>
        <v xml:space="preserve"> </v>
      </c>
      <c r="D2453" s="695"/>
      <c r="E2453" s="696"/>
      <c r="F2453" s="696"/>
      <c r="G2453" s="696"/>
      <c r="H2453" s="696"/>
      <c r="I2453" s="1050" t="str">
        <f t="shared" si="572"/>
        <v/>
      </c>
      <c r="J2453" s="696"/>
      <c r="K2453" s="697"/>
      <c r="L2453" s="696"/>
      <c r="M2453" s="198" t="str">
        <f t="shared" si="573"/>
        <v/>
      </c>
      <c r="N2453" s="369" t="str">
        <f t="shared" si="574"/>
        <v/>
      </c>
      <c r="O2453" s="183" t="str">
        <f t="shared" si="575"/>
        <v/>
      </c>
      <c r="P2453" s="199" t="str">
        <f t="shared" si="576"/>
        <v/>
      </c>
      <c r="Q2453" s="199" t="str">
        <f>IF(B2453="","",IFERROR(IF('עלויות כח אדם (6)'!J2453&gt;=VLOOKUP(I2453,'סיווג התפקידים והעלויות'!$B$23:$C$32,2,0),"תקין","לא תקין"),""))</f>
        <v/>
      </c>
      <c r="R2453" s="199" t="str">
        <f t="shared" si="577"/>
        <v/>
      </c>
      <c r="S2453" s="199" t="str">
        <f t="shared" si="578"/>
        <v/>
      </c>
      <c r="T2453" s="199" t="str">
        <f t="shared" si="586"/>
        <v/>
      </c>
      <c r="U2453" s="199" t="str">
        <f t="shared" si="579"/>
        <v/>
      </c>
      <c r="V2453" s="989"/>
      <c r="X2453" s="374" t="str">
        <f t="shared" si="580"/>
        <v/>
      </c>
      <c r="Y2453" s="375" t="str">
        <f t="shared" si="581"/>
        <v/>
      </c>
      <c r="Z2453" s="374" t="str">
        <f t="shared" si="582"/>
        <v/>
      </c>
      <c r="AA2453" s="374" t="b">
        <f t="shared" si="583"/>
        <v>1</v>
      </c>
      <c r="AB2453" s="374">
        <f>COUNTIFS(B:B,B2453,H:H,'סיווג התפקידים והעלויות'!$C$2)</f>
        <v>0</v>
      </c>
      <c r="AC2453" s="374">
        <f>COUNTIFS(B:B,B2453,H:H,'סיווג התפקידים והעלויות'!$D$2)</f>
        <v>0</v>
      </c>
      <c r="AD2453" s="374" t="str">
        <f>IF(OR(AND(H2453='סיווג התפקידים והעלויות'!$A$2,I2453='סיווג התפקידים והעלויות'!$A$3),'עלויות כח אדם (6)'!H2453='סיווג התפקידים והעלויות'!$C$2,'עלויות כח אדם (6)'!H2453='סיווג התפקידים והעלויות'!$D$2),IF('עלויות כח אדם (6)'!J2453&lt;75,"לא תקין","תקין"),"")</f>
        <v/>
      </c>
      <c r="AE2453" s="374" t="str">
        <f t="shared" si="584"/>
        <v/>
      </c>
      <c r="AF2453" s="532" t="str">
        <f t="shared" si="585"/>
        <v/>
      </c>
    </row>
    <row r="2454" spans="2:32" x14ac:dyDescent="0.25">
      <c r="B2454" s="695"/>
      <c r="C2454" s="197" t="str">
        <f>IF(B2454&lt;&gt;"",IFERROR(VLOOKUP(B:B,'מצבת והרשמה (2)'!$C$20:$N$520,2,0)," ")," ")</f>
        <v xml:space="preserve"> </v>
      </c>
      <c r="D2454" s="695"/>
      <c r="E2454" s="696"/>
      <c r="F2454" s="696"/>
      <c r="G2454" s="696"/>
      <c r="H2454" s="696"/>
      <c r="I2454" s="1050" t="str">
        <f t="shared" si="572"/>
        <v/>
      </c>
      <c r="J2454" s="696"/>
      <c r="K2454" s="697"/>
      <c r="L2454" s="696"/>
      <c r="M2454" s="198" t="str">
        <f t="shared" si="573"/>
        <v/>
      </c>
      <c r="N2454" s="369" t="str">
        <f t="shared" si="574"/>
        <v/>
      </c>
      <c r="O2454" s="183" t="str">
        <f t="shared" si="575"/>
        <v/>
      </c>
      <c r="P2454" s="199" t="str">
        <f t="shared" si="576"/>
        <v/>
      </c>
      <c r="Q2454" s="199" t="str">
        <f>IF(B2454="","",IFERROR(IF('עלויות כח אדם (6)'!J2454&gt;=VLOOKUP(I2454,'סיווג התפקידים והעלויות'!$B$23:$C$32,2,0),"תקין","לא תקין"),""))</f>
        <v/>
      </c>
      <c r="R2454" s="199" t="str">
        <f t="shared" si="577"/>
        <v/>
      </c>
      <c r="S2454" s="199" t="str">
        <f t="shared" si="578"/>
        <v/>
      </c>
      <c r="T2454" s="199" t="str">
        <f t="shared" si="586"/>
        <v/>
      </c>
      <c r="U2454" s="199" t="str">
        <f t="shared" si="579"/>
        <v/>
      </c>
      <c r="V2454" s="989"/>
      <c r="X2454" s="374" t="str">
        <f t="shared" si="580"/>
        <v/>
      </c>
      <c r="Y2454" s="375" t="str">
        <f t="shared" si="581"/>
        <v/>
      </c>
      <c r="Z2454" s="374" t="str">
        <f t="shared" si="582"/>
        <v/>
      </c>
      <c r="AA2454" s="374" t="b">
        <f t="shared" si="583"/>
        <v>1</v>
      </c>
      <c r="AB2454" s="374">
        <f>COUNTIFS(B:B,B2454,H:H,'סיווג התפקידים והעלויות'!$C$2)</f>
        <v>0</v>
      </c>
      <c r="AC2454" s="374">
        <f>COUNTIFS(B:B,B2454,H:H,'סיווג התפקידים והעלויות'!$D$2)</f>
        <v>0</v>
      </c>
      <c r="AD2454" s="374" t="str">
        <f>IF(OR(AND(H2454='סיווג התפקידים והעלויות'!$A$2,I2454='סיווג התפקידים והעלויות'!$A$3),'עלויות כח אדם (6)'!H2454='סיווג התפקידים והעלויות'!$C$2,'עלויות כח אדם (6)'!H2454='סיווג התפקידים והעלויות'!$D$2),IF('עלויות כח אדם (6)'!J2454&lt;75,"לא תקין","תקין"),"")</f>
        <v/>
      </c>
      <c r="AE2454" s="374" t="str">
        <f t="shared" si="584"/>
        <v/>
      </c>
      <c r="AF2454" s="532" t="str">
        <f t="shared" si="585"/>
        <v/>
      </c>
    </row>
    <row r="2455" spans="2:32" x14ac:dyDescent="0.25">
      <c r="B2455" s="695"/>
      <c r="C2455" s="197" t="str">
        <f>IF(B2455&lt;&gt;"",IFERROR(VLOOKUP(B:B,'מצבת והרשמה (2)'!$C$20:$N$520,2,0)," ")," ")</f>
        <v xml:space="preserve"> </v>
      </c>
      <c r="D2455" s="695"/>
      <c r="E2455" s="696"/>
      <c r="F2455" s="696"/>
      <c r="G2455" s="696"/>
      <c r="H2455" s="696"/>
      <c r="I2455" s="1050" t="str">
        <f t="shared" si="572"/>
        <v/>
      </c>
      <c r="J2455" s="696"/>
      <c r="K2455" s="697"/>
      <c r="L2455" s="696"/>
      <c r="M2455" s="198" t="str">
        <f t="shared" si="573"/>
        <v/>
      </c>
      <c r="N2455" s="369" t="str">
        <f t="shared" si="574"/>
        <v/>
      </c>
      <c r="O2455" s="183" t="str">
        <f t="shared" si="575"/>
        <v/>
      </c>
      <c r="P2455" s="199" t="str">
        <f t="shared" si="576"/>
        <v/>
      </c>
      <c r="Q2455" s="199" t="str">
        <f>IF(B2455="","",IFERROR(IF('עלויות כח אדם (6)'!J2455&gt;=VLOOKUP(I2455,'סיווג התפקידים והעלויות'!$B$23:$C$32,2,0),"תקין","לא תקין"),""))</f>
        <v/>
      </c>
      <c r="R2455" s="199" t="str">
        <f t="shared" si="577"/>
        <v/>
      </c>
      <c r="S2455" s="199" t="str">
        <f t="shared" si="578"/>
        <v/>
      </c>
      <c r="T2455" s="199" t="str">
        <f t="shared" si="586"/>
        <v/>
      </c>
      <c r="U2455" s="199" t="str">
        <f t="shared" si="579"/>
        <v/>
      </c>
      <c r="V2455" s="989"/>
      <c r="X2455" s="374" t="str">
        <f t="shared" si="580"/>
        <v/>
      </c>
      <c r="Y2455" s="375" t="str">
        <f t="shared" si="581"/>
        <v/>
      </c>
      <c r="Z2455" s="374" t="str">
        <f t="shared" si="582"/>
        <v/>
      </c>
      <c r="AA2455" s="374" t="b">
        <f t="shared" si="583"/>
        <v>1</v>
      </c>
      <c r="AB2455" s="374">
        <f>COUNTIFS(B:B,B2455,H:H,'סיווג התפקידים והעלויות'!$C$2)</f>
        <v>0</v>
      </c>
      <c r="AC2455" s="374">
        <f>COUNTIFS(B:B,B2455,H:H,'סיווג התפקידים והעלויות'!$D$2)</f>
        <v>0</v>
      </c>
      <c r="AD2455" s="374" t="str">
        <f>IF(OR(AND(H2455='סיווג התפקידים והעלויות'!$A$2,I2455='סיווג התפקידים והעלויות'!$A$3),'עלויות כח אדם (6)'!H2455='סיווג התפקידים והעלויות'!$C$2,'עלויות כח אדם (6)'!H2455='סיווג התפקידים והעלויות'!$D$2),IF('עלויות כח אדם (6)'!J2455&lt;75,"לא תקין","תקין"),"")</f>
        <v/>
      </c>
      <c r="AE2455" s="374" t="str">
        <f t="shared" si="584"/>
        <v/>
      </c>
      <c r="AF2455" s="532" t="str">
        <f t="shared" si="585"/>
        <v/>
      </c>
    </row>
    <row r="2456" spans="2:32" x14ac:dyDescent="0.25">
      <c r="B2456" s="695"/>
      <c r="C2456" s="197" t="str">
        <f>IF(B2456&lt;&gt;"",IFERROR(VLOOKUP(B:B,'מצבת והרשמה (2)'!$C$20:$N$520,2,0)," ")," ")</f>
        <v xml:space="preserve"> </v>
      </c>
      <c r="D2456" s="695"/>
      <c r="E2456" s="696"/>
      <c r="F2456" s="696"/>
      <c r="G2456" s="696"/>
      <c r="H2456" s="696"/>
      <c r="I2456" s="1050" t="str">
        <f t="shared" si="572"/>
        <v/>
      </c>
      <c r="J2456" s="696"/>
      <c r="K2456" s="697"/>
      <c r="L2456" s="696"/>
      <c r="M2456" s="198" t="str">
        <f t="shared" si="573"/>
        <v/>
      </c>
      <c r="N2456" s="369" t="str">
        <f t="shared" si="574"/>
        <v/>
      </c>
      <c r="O2456" s="183" t="str">
        <f t="shared" si="575"/>
        <v/>
      </c>
      <c r="P2456" s="199" t="str">
        <f t="shared" si="576"/>
        <v/>
      </c>
      <c r="Q2456" s="199" t="str">
        <f>IF(B2456="","",IFERROR(IF('עלויות כח אדם (6)'!J2456&gt;=VLOOKUP(I2456,'סיווג התפקידים והעלויות'!$B$23:$C$32,2,0),"תקין","לא תקין"),""))</f>
        <v/>
      </c>
      <c r="R2456" s="199" t="str">
        <f t="shared" si="577"/>
        <v/>
      </c>
      <c r="S2456" s="199" t="str">
        <f t="shared" si="578"/>
        <v/>
      </c>
      <c r="T2456" s="199" t="str">
        <f t="shared" si="586"/>
        <v/>
      </c>
      <c r="U2456" s="199" t="str">
        <f t="shared" si="579"/>
        <v/>
      </c>
      <c r="V2456" s="989"/>
      <c r="X2456" s="374" t="str">
        <f t="shared" si="580"/>
        <v/>
      </c>
      <c r="Y2456" s="375" t="str">
        <f t="shared" si="581"/>
        <v/>
      </c>
      <c r="Z2456" s="374" t="str">
        <f t="shared" si="582"/>
        <v/>
      </c>
      <c r="AA2456" s="374" t="b">
        <f t="shared" si="583"/>
        <v>1</v>
      </c>
      <c r="AB2456" s="374">
        <f>COUNTIFS(B:B,B2456,H:H,'סיווג התפקידים והעלויות'!$C$2)</f>
        <v>0</v>
      </c>
      <c r="AC2456" s="374">
        <f>COUNTIFS(B:B,B2456,H:H,'סיווג התפקידים והעלויות'!$D$2)</f>
        <v>0</v>
      </c>
      <c r="AD2456" s="374" t="str">
        <f>IF(OR(AND(H2456='סיווג התפקידים והעלויות'!$A$2,I2456='סיווג התפקידים והעלויות'!$A$3),'עלויות כח אדם (6)'!H2456='סיווג התפקידים והעלויות'!$C$2,'עלויות כח אדם (6)'!H2456='סיווג התפקידים והעלויות'!$D$2),IF('עלויות כח אדם (6)'!J2456&lt;75,"לא תקין","תקין"),"")</f>
        <v/>
      </c>
      <c r="AE2456" s="374" t="str">
        <f t="shared" si="584"/>
        <v/>
      </c>
      <c r="AF2456" s="532" t="str">
        <f t="shared" si="585"/>
        <v/>
      </c>
    </row>
    <row r="2457" spans="2:32" x14ac:dyDescent="0.25">
      <c r="B2457" s="695"/>
      <c r="C2457" s="197" t="str">
        <f>IF(B2457&lt;&gt;"",IFERROR(VLOOKUP(B:B,'מצבת והרשמה (2)'!$C$20:$N$520,2,0)," ")," ")</f>
        <v xml:space="preserve"> </v>
      </c>
      <c r="D2457" s="695"/>
      <c r="E2457" s="696"/>
      <c r="F2457" s="696"/>
      <c r="G2457" s="696"/>
      <c r="H2457" s="696"/>
      <c r="I2457" s="1050" t="str">
        <f t="shared" si="572"/>
        <v/>
      </c>
      <c r="J2457" s="696"/>
      <c r="K2457" s="697"/>
      <c r="L2457" s="696"/>
      <c r="M2457" s="198" t="str">
        <f t="shared" si="573"/>
        <v/>
      </c>
      <c r="N2457" s="369" t="str">
        <f t="shared" si="574"/>
        <v/>
      </c>
      <c r="O2457" s="183" t="str">
        <f t="shared" si="575"/>
        <v/>
      </c>
      <c r="P2457" s="199" t="str">
        <f t="shared" si="576"/>
        <v/>
      </c>
      <c r="Q2457" s="199" t="str">
        <f>IF(B2457="","",IFERROR(IF('עלויות כח אדם (6)'!J2457&gt;=VLOOKUP(I2457,'סיווג התפקידים והעלויות'!$B$23:$C$32,2,0),"תקין","לא תקין"),""))</f>
        <v/>
      </c>
      <c r="R2457" s="199" t="str">
        <f t="shared" si="577"/>
        <v/>
      </c>
      <c r="S2457" s="199" t="str">
        <f t="shared" si="578"/>
        <v/>
      </c>
      <c r="T2457" s="199" t="str">
        <f t="shared" si="586"/>
        <v/>
      </c>
      <c r="U2457" s="199" t="str">
        <f t="shared" si="579"/>
        <v/>
      </c>
      <c r="V2457" s="989"/>
      <c r="X2457" s="374" t="str">
        <f t="shared" si="580"/>
        <v/>
      </c>
      <c r="Y2457" s="375" t="str">
        <f t="shared" si="581"/>
        <v/>
      </c>
      <c r="Z2457" s="374" t="str">
        <f t="shared" si="582"/>
        <v/>
      </c>
      <c r="AA2457" s="374" t="b">
        <f t="shared" si="583"/>
        <v>1</v>
      </c>
      <c r="AB2457" s="374">
        <f>COUNTIFS(B:B,B2457,H:H,'סיווג התפקידים והעלויות'!$C$2)</f>
        <v>0</v>
      </c>
      <c r="AC2457" s="374">
        <f>COUNTIFS(B:B,B2457,H:H,'סיווג התפקידים והעלויות'!$D$2)</f>
        <v>0</v>
      </c>
      <c r="AD2457" s="374" t="str">
        <f>IF(OR(AND(H2457='סיווג התפקידים והעלויות'!$A$2,I2457='סיווג התפקידים והעלויות'!$A$3),'עלויות כח אדם (6)'!H2457='סיווג התפקידים והעלויות'!$C$2,'עלויות כח אדם (6)'!H2457='סיווג התפקידים והעלויות'!$D$2),IF('עלויות כח אדם (6)'!J2457&lt;75,"לא תקין","תקין"),"")</f>
        <v/>
      </c>
      <c r="AE2457" s="374" t="str">
        <f t="shared" si="584"/>
        <v/>
      </c>
      <c r="AF2457" s="532" t="str">
        <f t="shared" si="585"/>
        <v/>
      </c>
    </row>
    <row r="2458" spans="2:32" x14ac:dyDescent="0.25">
      <c r="B2458" s="695"/>
      <c r="C2458" s="197" t="str">
        <f>IF(B2458&lt;&gt;"",IFERROR(VLOOKUP(B:B,'מצבת והרשמה (2)'!$C$20:$N$520,2,0)," ")," ")</f>
        <v xml:space="preserve"> </v>
      </c>
      <c r="D2458" s="695"/>
      <c r="E2458" s="696"/>
      <c r="F2458" s="696"/>
      <c r="G2458" s="696"/>
      <c r="H2458" s="696"/>
      <c r="I2458" s="1050" t="str">
        <f t="shared" si="572"/>
        <v/>
      </c>
      <c r="J2458" s="696"/>
      <c r="K2458" s="697"/>
      <c r="L2458" s="696"/>
      <c r="M2458" s="198" t="str">
        <f t="shared" si="573"/>
        <v/>
      </c>
      <c r="N2458" s="369" t="str">
        <f t="shared" si="574"/>
        <v/>
      </c>
      <c r="O2458" s="183" t="str">
        <f t="shared" si="575"/>
        <v/>
      </c>
      <c r="P2458" s="199" t="str">
        <f t="shared" si="576"/>
        <v/>
      </c>
      <c r="Q2458" s="199" t="str">
        <f>IF(B2458="","",IFERROR(IF('עלויות כח אדם (6)'!J2458&gt;=VLOOKUP(I2458,'סיווג התפקידים והעלויות'!$B$23:$C$32,2,0),"תקין","לא תקין"),""))</f>
        <v/>
      </c>
      <c r="R2458" s="199" t="str">
        <f t="shared" si="577"/>
        <v/>
      </c>
      <c r="S2458" s="199" t="str">
        <f t="shared" si="578"/>
        <v/>
      </c>
      <c r="T2458" s="199" t="str">
        <f t="shared" si="586"/>
        <v/>
      </c>
      <c r="U2458" s="199" t="str">
        <f t="shared" si="579"/>
        <v/>
      </c>
      <c r="V2458" s="989"/>
      <c r="X2458" s="374" t="str">
        <f t="shared" si="580"/>
        <v/>
      </c>
      <c r="Y2458" s="375" t="str">
        <f t="shared" si="581"/>
        <v/>
      </c>
      <c r="Z2458" s="374" t="str">
        <f t="shared" si="582"/>
        <v/>
      </c>
      <c r="AA2458" s="374" t="b">
        <f t="shared" si="583"/>
        <v>1</v>
      </c>
      <c r="AB2458" s="374">
        <f>COUNTIFS(B:B,B2458,H:H,'סיווג התפקידים והעלויות'!$C$2)</f>
        <v>0</v>
      </c>
      <c r="AC2458" s="374">
        <f>COUNTIFS(B:B,B2458,H:H,'סיווג התפקידים והעלויות'!$D$2)</f>
        <v>0</v>
      </c>
      <c r="AD2458" s="374" t="str">
        <f>IF(OR(AND(H2458='סיווג התפקידים והעלויות'!$A$2,I2458='סיווג התפקידים והעלויות'!$A$3),'עלויות כח אדם (6)'!H2458='סיווג התפקידים והעלויות'!$C$2,'עלויות כח אדם (6)'!H2458='סיווג התפקידים והעלויות'!$D$2),IF('עלויות כח אדם (6)'!J2458&lt;75,"לא תקין","תקין"),"")</f>
        <v/>
      </c>
      <c r="AE2458" s="374" t="str">
        <f t="shared" si="584"/>
        <v/>
      </c>
      <c r="AF2458" s="532" t="str">
        <f t="shared" si="585"/>
        <v/>
      </c>
    </row>
    <row r="2459" spans="2:32" x14ac:dyDescent="0.25">
      <c r="B2459" s="695"/>
      <c r="C2459" s="197" t="str">
        <f>IF(B2459&lt;&gt;"",IFERROR(VLOOKUP(B:B,'מצבת והרשמה (2)'!$C$20:$N$520,2,0)," ")," ")</f>
        <v xml:space="preserve"> </v>
      </c>
      <c r="D2459" s="695"/>
      <c r="E2459" s="696"/>
      <c r="F2459" s="696"/>
      <c r="G2459" s="696"/>
      <c r="H2459" s="696"/>
      <c r="I2459" s="1050" t="str">
        <f t="shared" si="572"/>
        <v/>
      </c>
      <c r="J2459" s="696"/>
      <c r="K2459" s="697"/>
      <c r="L2459" s="696"/>
      <c r="M2459" s="198" t="str">
        <f t="shared" si="573"/>
        <v/>
      </c>
      <c r="N2459" s="369" t="str">
        <f t="shared" si="574"/>
        <v/>
      </c>
      <c r="O2459" s="183" t="str">
        <f t="shared" si="575"/>
        <v/>
      </c>
      <c r="P2459" s="199" t="str">
        <f t="shared" si="576"/>
        <v/>
      </c>
      <c r="Q2459" s="199" t="str">
        <f>IF(B2459="","",IFERROR(IF('עלויות כח אדם (6)'!J2459&gt;=VLOOKUP(I2459,'סיווג התפקידים והעלויות'!$B$23:$C$32,2,0),"תקין","לא תקין"),""))</f>
        <v/>
      </c>
      <c r="R2459" s="199" t="str">
        <f t="shared" si="577"/>
        <v/>
      </c>
      <c r="S2459" s="199" t="str">
        <f t="shared" si="578"/>
        <v/>
      </c>
      <c r="T2459" s="199" t="str">
        <f t="shared" si="586"/>
        <v/>
      </c>
      <c r="U2459" s="199" t="str">
        <f t="shared" si="579"/>
        <v/>
      </c>
      <c r="V2459" s="989"/>
      <c r="X2459" s="374" t="str">
        <f t="shared" si="580"/>
        <v/>
      </c>
      <c r="Y2459" s="375" t="str">
        <f t="shared" si="581"/>
        <v/>
      </c>
      <c r="Z2459" s="374" t="str">
        <f t="shared" si="582"/>
        <v/>
      </c>
      <c r="AA2459" s="374" t="b">
        <f t="shared" si="583"/>
        <v>1</v>
      </c>
      <c r="AB2459" s="374">
        <f>COUNTIFS(B:B,B2459,H:H,'סיווג התפקידים והעלויות'!$C$2)</f>
        <v>0</v>
      </c>
      <c r="AC2459" s="374">
        <f>COUNTIFS(B:B,B2459,H:H,'סיווג התפקידים והעלויות'!$D$2)</f>
        <v>0</v>
      </c>
      <c r="AD2459" s="374" t="str">
        <f>IF(OR(AND(H2459='סיווג התפקידים והעלויות'!$A$2,I2459='סיווג התפקידים והעלויות'!$A$3),'עלויות כח אדם (6)'!H2459='סיווג התפקידים והעלויות'!$C$2,'עלויות כח אדם (6)'!H2459='סיווג התפקידים והעלויות'!$D$2),IF('עלויות כח אדם (6)'!J2459&lt;75,"לא תקין","תקין"),"")</f>
        <v/>
      </c>
      <c r="AE2459" s="374" t="str">
        <f t="shared" si="584"/>
        <v/>
      </c>
      <c r="AF2459" s="532" t="str">
        <f t="shared" si="585"/>
        <v/>
      </c>
    </row>
    <row r="2460" spans="2:32" x14ac:dyDescent="0.25">
      <c r="B2460" s="695"/>
      <c r="C2460" s="197" t="str">
        <f>IF(B2460&lt;&gt;"",IFERROR(VLOOKUP(B:B,'מצבת והרשמה (2)'!$C$20:$N$520,2,0)," ")," ")</f>
        <v xml:space="preserve"> </v>
      </c>
      <c r="D2460" s="695"/>
      <c r="E2460" s="696"/>
      <c r="F2460" s="696"/>
      <c r="G2460" s="696"/>
      <c r="H2460" s="696"/>
      <c r="I2460" s="1050" t="str">
        <f t="shared" si="572"/>
        <v/>
      </c>
      <c r="J2460" s="696"/>
      <c r="K2460" s="697"/>
      <c r="L2460" s="696"/>
      <c r="M2460" s="198" t="str">
        <f t="shared" si="573"/>
        <v/>
      </c>
      <c r="N2460" s="369" t="str">
        <f t="shared" si="574"/>
        <v/>
      </c>
      <c r="O2460" s="183" t="str">
        <f t="shared" si="575"/>
        <v/>
      </c>
      <c r="P2460" s="199" t="str">
        <f t="shared" si="576"/>
        <v/>
      </c>
      <c r="Q2460" s="199" t="str">
        <f>IF(B2460="","",IFERROR(IF('עלויות כח אדם (6)'!J2460&gt;=VLOOKUP(I2460,'סיווג התפקידים והעלויות'!$B$23:$C$32,2,0),"תקין","לא תקין"),""))</f>
        <v/>
      </c>
      <c r="R2460" s="199" t="str">
        <f t="shared" si="577"/>
        <v/>
      </c>
      <c r="S2460" s="199" t="str">
        <f t="shared" si="578"/>
        <v/>
      </c>
      <c r="T2460" s="199" t="str">
        <f t="shared" si="586"/>
        <v/>
      </c>
      <c r="U2460" s="199" t="str">
        <f t="shared" si="579"/>
        <v/>
      </c>
      <c r="V2460" s="989"/>
      <c r="X2460" s="374" t="str">
        <f t="shared" si="580"/>
        <v/>
      </c>
      <c r="Y2460" s="375" t="str">
        <f t="shared" si="581"/>
        <v/>
      </c>
      <c r="Z2460" s="374" t="str">
        <f t="shared" si="582"/>
        <v/>
      </c>
      <c r="AA2460" s="374" t="b">
        <f t="shared" si="583"/>
        <v>1</v>
      </c>
      <c r="AB2460" s="374">
        <f>COUNTIFS(B:B,B2460,H:H,'סיווג התפקידים והעלויות'!$C$2)</f>
        <v>0</v>
      </c>
      <c r="AC2460" s="374">
        <f>COUNTIFS(B:B,B2460,H:H,'סיווג התפקידים והעלויות'!$D$2)</f>
        <v>0</v>
      </c>
      <c r="AD2460" s="374" t="str">
        <f>IF(OR(AND(H2460='סיווג התפקידים והעלויות'!$A$2,I2460='סיווג התפקידים והעלויות'!$A$3),'עלויות כח אדם (6)'!H2460='סיווג התפקידים והעלויות'!$C$2,'עלויות כח אדם (6)'!H2460='סיווג התפקידים והעלויות'!$D$2),IF('עלויות כח אדם (6)'!J2460&lt;75,"לא תקין","תקין"),"")</f>
        <v/>
      </c>
      <c r="AE2460" s="374" t="str">
        <f t="shared" si="584"/>
        <v/>
      </c>
      <c r="AF2460" s="532" t="str">
        <f t="shared" si="585"/>
        <v/>
      </c>
    </row>
    <row r="2461" spans="2:32" x14ac:dyDescent="0.25">
      <c r="B2461" s="695"/>
      <c r="C2461" s="197" t="str">
        <f>IF(B2461&lt;&gt;"",IFERROR(VLOOKUP(B:B,'מצבת והרשמה (2)'!$C$20:$N$520,2,0)," ")," ")</f>
        <v xml:space="preserve"> </v>
      </c>
      <c r="D2461" s="695"/>
      <c r="E2461" s="696"/>
      <c r="F2461" s="696"/>
      <c r="G2461" s="696"/>
      <c r="H2461" s="696"/>
      <c r="I2461" s="1050" t="str">
        <f t="shared" si="572"/>
        <v/>
      </c>
      <c r="J2461" s="696"/>
      <c r="K2461" s="697"/>
      <c r="L2461" s="696"/>
      <c r="M2461" s="198" t="str">
        <f t="shared" si="573"/>
        <v/>
      </c>
      <c r="N2461" s="369" t="str">
        <f t="shared" si="574"/>
        <v/>
      </c>
      <c r="O2461" s="183" t="str">
        <f t="shared" si="575"/>
        <v/>
      </c>
      <c r="P2461" s="199" t="str">
        <f t="shared" si="576"/>
        <v/>
      </c>
      <c r="Q2461" s="199" t="str">
        <f>IF(B2461="","",IFERROR(IF('עלויות כח אדם (6)'!J2461&gt;=VLOOKUP(I2461,'סיווג התפקידים והעלויות'!$B$23:$C$32,2,0),"תקין","לא תקין"),""))</f>
        <v/>
      </c>
      <c r="R2461" s="199" t="str">
        <f t="shared" si="577"/>
        <v/>
      </c>
      <c r="S2461" s="199" t="str">
        <f t="shared" si="578"/>
        <v/>
      </c>
      <c r="T2461" s="199" t="str">
        <f t="shared" si="586"/>
        <v/>
      </c>
      <c r="U2461" s="199" t="str">
        <f t="shared" si="579"/>
        <v/>
      </c>
      <c r="V2461" s="989"/>
      <c r="X2461" s="374" t="str">
        <f t="shared" si="580"/>
        <v/>
      </c>
      <c r="Y2461" s="375" t="str">
        <f t="shared" si="581"/>
        <v/>
      </c>
      <c r="Z2461" s="374" t="str">
        <f t="shared" si="582"/>
        <v/>
      </c>
      <c r="AA2461" s="374" t="b">
        <f t="shared" si="583"/>
        <v>1</v>
      </c>
      <c r="AB2461" s="374">
        <f>COUNTIFS(B:B,B2461,H:H,'סיווג התפקידים והעלויות'!$C$2)</f>
        <v>0</v>
      </c>
      <c r="AC2461" s="374">
        <f>COUNTIFS(B:B,B2461,H:H,'סיווג התפקידים והעלויות'!$D$2)</f>
        <v>0</v>
      </c>
      <c r="AD2461" s="374" t="str">
        <f>IF(OR(AND(H2461='סיווג התפקידים והעלויות'!$A$2,I2461='סיווג התפקידים והעלויות'!$A$3),'עלויות כח אדם (6)'!H2461='סיווג התפקידים והעלויות'!$C$2,'עלויות כח אדם (6)'!H2461='סיווג התפקידים והעלויות'!$D$2),IF('עלויות כח אדם (6)'!J2461&lt;75,"לא תקין","תקין"),"")</f>
        <v/>
      </c>
      <c r="AE2461" s="374" t="str">
        <f t="shared" si="584"/>
        <v/>
      </c>
      <c r="AF2461" s="532" t="str">
        <f t="shared" si="585"/>
        <v/>
      </c>
    </row>
    <row r="2462" spans="2:32" x14ac:dyDescent="0.25">
      <c r="B2462" s="695"/>
      <c r="C2462" s="197" t="str">
        <f>IF(B2462&lt;&gt;"",IFERROR(VLOOKUP(B:B,'מצבת והרשמה (2)'!$C$20:$N$520,2,0)," ")," ")</f>
        <v xml:space="preserve"> </v>
      </c>
      <c r="D2462" s="695"/>
      <c r="E2462" s="696"/>
      <c r="F2462" s="696"/>
      <c r="G2462" s="696"/>
      <c r="H2462" s="696"/>
      <c r="I2462" s="1050" t="str">
        <f t="shared" si="572"/>
        <v/>
      </c>
      <c r="J2462" s="696"/>
      <c r="K2462" s="697"/>
      <c r="L2462" s="696"/>
      <c r="M2462" s="198" t="str">
        <f t="shared" si="573"/>
        <v/>
      </c>
      <c r="N2462" s="369" t="str">
        <f t="shared" si="574"/>
        <v/>
      </c>
      <c r="O2462" s="183" t="str">
        <f t="shared" si="575"/>
        <v/>
      </c>
      <c r="P2462" s="199" t="str">
        <f t="shared" si="576"/>
        <v/>
      </c>
      <c r="Q2462" s="199" t="str">
        <f>IF(B2462="","",IFERROR(IF('עלויות כח אדם (6)'!J2462&gt;=VLOOKUP(I2462,'סיווג התפקידים והעלויות'!$B$23:$C$32,2,0),"תקין","לא תקין"),""))</f>
        <v/>
      </c>
      <c r="R2462" s="199" t="str">
        <f t="shared" si="577"/>
        <v/>
      </c>
      <c r="S2462" s="199" t="str">
        <f t="shared" si="578"/>
        <v/>
      </c>
      <c r="T2462" s="199" t="str">
        <f t="shared" si="586"/>
        <v/>
      </c>
      <c r="U2462" s="199" t="str">
        <f t="shared" si="579"/>
        <v/>
      </c>
      <c r="V2462" s="989"/>
      <c r="X2462" s="374" t="str">
        <f t="shared" si="580"/>
        <v/>
      </c>
      <c r="Y2462" s="375" t="str">
        <f t="shared" si="581"/>
        <v/>
      </c>
      <c r="Z2462" s="374" t="str">
        <f t="shared" si="582"/>
        <v/>
      </c>
      <c r="AA2462" s="374" t="b">
        <f t="shared" si="583"/>
        <v>1</v>
      </c>
      <c r="AB2462" s="374">
        <f>COUNTIFS(B:B,B2462,H:H,'סיווג התפקידים והעלויות'!$C$2)</f>
        <v>0</v>
      </c>
      <c r="AC2462" s="374">
        <f>COUNTIFS(B:B,B2462,H:H,'סיווג התפקידים והעלויות'!$D$2)</f>
        <v>0</v>
      </c>
      <c r="AD2462" s="374" t="str">
        <f>IF(OR(AND(H2462='סיווג התפקידים והעלויות'!$A$2,I2462='סיווג התפקידים והעלויות'!$A$3),'עלויות כח אדם (6)'!H2462='סיווג התפקידים והעלויות'!$C$2,'עלויות כח אדם (6)'!H2462='סיווג התפקידים והעלויות'!$D$2),IF('עלויות כח אדם (6)'!J2462&lt;75,"לא תקין","תקין"),"")</f>
        <v/>
      </c>
      <c r="AE2462" s="374" t="str">
        <f t="shared" si="584"/>
        <v/>
      </c>
      <c r="AF2462" s="532" t="str">
        <f t="shared" si="585"/>
        <v/>
      </c>
    </row>
    <row r="2463" spans="2:32" x14ac:dyDescent="0.25">
      <c r="B2463" s="695"/>
      <c r="C2463" s="197" t="str">
        <f>IF(B2463&lt;&gt;"",IFERROR(VLOOKUP(B:B,'מצבת והרשמה (2)'!$C$20:$N$520,2,0)," ")," ")</f>
        <v xml:space="preserve"> </v>
      </c>
      <c r="D2463" s="695"/>
      <c r="E2463" s="696"/>
      <c r="F2463" s="696"/>
      <c r="G2463" s="696"/>
      <c r="H2463" s="696"/>
      <c r="I2463" s="1050" t="str">
        <f t="shared" si="572"/>
        <v/>
      </c>
      <c r="J2463" s="696"/>
      <c r="K2463" s="697"/>
      <c r="L2463" s="696"/>
      <c r="M2463" s="198" t="str">
        <f t="shared" si="573"/>
        <v/>
      </c>
      <c r="N2463" s="369" t="str">
        <f t="shared" si="574"/>
        <v/>
      </c>
      <c r="O2463" s="183" t="str">
        <f t="shared" si="575"/>
        <v/>
      </c>
      <c r="P2463" s="199" t="str">
        <f t="shared" si="576"/>
        <v/>
      </c>
      <c r="Q2463" s="199" t="str">
        <f>IF(B2463="","",IFERROR(IF('עלויות כח אדם (6)'!J2463&gt;=VLOOKUP(I2463,'סיווג התפקידים והעלויות'!$B$23:$C$32,2,0),"תקין","לא תקין"),""))</f>
        <v/>
      </c>
      <c r="R2463" s="199" t="str">
        <f t="shared" si="577"/>
        <v/>
      </c>
      <c r="S2463" s="199" t="str">
        <f t="shared" si="578"/>
        <v/>
      </c>
      <c r="T2463" s="199" t="str">
        <f t="shared" si="586"/>
        <v/>
      </c>
      <c r="U2463" s="199" t="str">
        <f t="shared" si="579"/>
        <v/>
      </c>
      <c r="V2463" s="989"/>
      <c r="X2463" s="374" t="str">
        <f t="shared" si="580"/>
        <v/>
      </c>
      <c r="Y2463" s="375" t="str">
        <f t="shared" si="581"/>
        <v/>
      </c>
      <c r="Z2463" s="374" t="str">
        <f t="shared" si="582"/>
        <v/>
      </c>
      <c r="AA2463" s="374" t="b">
        <f t="shared" si="583"/>
        <v>1</v>
      </c>
      <c r="AB2463" s="374">
        <f>COUNTIFS(B:B,B2463,H:H,'סיווג התפקידים והעלויות'!$C$2)</f>
        <v>0</v>
      </c>
      <c r="AC2463" s="374">
        <f>COUNTIFS(B:B,B2463,H:H,'סיווג התפקידים והעלויות'!$D$2)</f>
        <v>0</v>
      </c>
      <c r="AD2463" s="374" t="str">
        <f>IF(OR(AND(H2463='סיווג התפקידים והעלויות'!$A$2,I2463='סיווג התפקידים והעלויות'!$A$3),'עלויות כח אדם (6)'!H2463='סיווג התפקידים והעלויות'!$C$2,'עלויות כח אדם (6)'!H2463='סיווג התפקידים והעלויות'!$D$2),IF('עלויות כח אדם (6)'!J2463&lt;75,"לא תקין","תקין"),"")</f>
        <v/>
      </c>
      <c r="AE2463" s="374" t="str">
        <f t="shared" si="584"/>
        <v/>
      </c>
      <c r="AF2463" s="532" t="str">
        <f t="shared" si="585"/>
        <v/>
      </c>
    </row>
    <row r="2464" spans="2:32" x14ac:dyDescent="0.25">
      <c r="B2464" s="695"/>
      <c r="C2464" s="197" t="str">
        <f>IF(B2464&lt;&gt;"",IFERROR(VLOOKUP(B:B,'מצבת והרשמה (2)'!$C$20:$N$520,2,0)," ")," ")</f>
        <v xml:space="preserve"> </v>
      </c>
      <c r="D2464" s="695"/>
      <c r="E2464" s="696"/>
      <c r="F2464" s="696"/>
      <c r="G2464" s="696"/>
      <c r="H2464" s="696"/>
      <c r="I2464" s="1050" t="str">
        <f t="shared" si="572"/>
        <v/>
      </c>
      <c r="J2464" s="696"/>
      <c r="K2464" s="697"/>
      <c r="L2464" s="696"/>
      <c r="M2464" s="198" t="str">
        <f t="shared" si="573"/>
        <v/>
      </c>
      <c r="N2464" s="369" t="str">
        <f t="shared" si="574"/>
        <v/>
      </c>
      <c r="O2464" s="183" t="str">
        <f t="shared" si="575"/>
        <v/>
      </c>
      <c r="P2464" s="199" t="str">
        <f t="shared" si="576"/>
        <v/>
      </c>
      <c r="Q2464" s="199" t="str">
        <f>IF(B2464="","",IFERROR(IF('עלויות כח אדם (6)'!J2464&gt;=VLOOKUP(I2464,'סיווג התפקידים והעלויות'!$B$23:$C$32,2,0),"תקין","לא תקין"),""))</f>
        <v/>
      </c>
      <c r="R2464" s="199" t="str">
        <f t="shared" si="577"/>
        <v/>
      </c>
      <c r="S2464" s="199" t="str">
        <f t="shared" si="578"/>
        <v/>
      </c>
      <c r="T2464" s="199" t="str">
        <f t="shared" si="586"/>
        <v/>
      </c>
      <c r="U2464" s="199" t="str">
        <f t="shared" si="579"/>
        <v/>
      </c>
      <c r="V2464" s="989"/>
      <c r="X2464" s="374" t="str">
        <f t="shared" si="580"/>
        <v/>
      </c>
      <c r="Y2464" s="375" t="str">
        <f t="shared" si="581"/>
        <v/>
      </c>
      <c r="Z2464" s="374" t="str">
        <f t="shared" si="582"/>
        <v/>
      </c>
      <c r="AA2464" s="374" t="b">
        <f t="shared" si="583"/>
        <v>1</v>
      </c>
      <c r="AB2464" s="374">
        <f>COUNTIFS(B:B,B2464,H:H,'סיווג התפקידים והעלויות'!$C$2)</f>
        <v>0</v>
      </c>
      <c r="AC2464" s="374">
        <f>COUNTIFS(B:B,B2464,H:H,'סיווג התפקידים והעלויות'!$D$2)</f>
        <v>0</v>
      </c>
      <c r="AD2464" s="374" t="str">
        <f>IF(OR(AND(H2464='סיווג התפקידים והעלויות'!$A$2,I2464='סיווג התפקידים והעלויות'!$A$3),'עלויות כח אדם (6)'!H2464='סיווג התפקידים והעלויות'!$C$2,'עלויות כח אדם (6)'!H2464='סיווג התפקידים והעלויות'!$D$2),IF('עלויות כח אדם (6)'!J2464&lt;75,"לא תקין","תקין"),"")</f>
        <v/>
      </c>
      <c r="AE2464" s="374" t="str">
        <f t="shared" si="584"/>
        <v/>
      </c>
      <c r="AF2464" s="532" t="str">
        <f t="shared" si="585"/>
        <v/>
      </c>
    </row>
    <row r="2465" spans="2:32" x14ac:dyDescent="0.25">
      <c r="B2465" s="695"/>
      <c r="C2465" s="197" t="str">
        <f>IF(B2465&lt;&gt;"",IFERROR(VLOOKUP(B:B,'מצבת והרשמה (2)'!$C$20:$N$520,2,0)," ")," ")</f>
        <v xml:space="preserve"> </v>
      </c>
      <c r="D2465" s="695"/>
      <c r="E2465" s="696"/>
      <c r="F2465" s="696"/>
      <c r="G2465" s="696"/>
      <c r="H2465" s="696"/>
      <c r="I2465" s="1050" t="str">
        <f t="shared" si="572"/>
        <v/>
      </c>
      <c r="J2465" s="696"/>
      <c r="K2465" s="697"/>
      <c r="L2465" s="696"/>
      <c r="M2465" s="198" t="str">
        <f t="shared" si="573"/>
        <v/>
      </c>
      <c r="N2465" s="369" t="str">
        <f t="shared" si="574"/>
        <v/>
      </c>
      <c r="O2465" s="183" t="str">
        <f t="shared" si="575"/>
        <v/>
      </c>
      <c r="P2465" s="199" t="str">
        <f t="shared" si="576"/>
        <v/>
      </c>
      <c r="Q2465" s="199" t="str">
        <f>IF(B2465="","",IFERROR(IF('עלויות כח אדם (6)'!J2465&gt;=VLOOKUP(I2465,'סיווג התפקידים והעלויות'!$B$23:$C$32,2,0),"תקין","לא תקין"),""))</f>
        <v/>
      </c>
      <c r="R2465" s="199" t="str">
        <f t="shared" si="577"/>
        <v/>
      </c>
      <c r="S2465" s="199" t="str">
        <f t="shared" si="578"/>
        <v/>
      </c>
      <c r="T2465" s="199" t="str">
        <f t="shared" si="586"/>
        <v/>
      </c>
      <c r="U2465" s="199" t="str">
        <f t="shared" si="579"/>
        <v/>
      </c>
      <c r="V2465" s="989"/>
      <c r="X2465" s="374" t="str">
        <f t="shared" si="580"/>
        <v/>
      </c>
      <c r="Y2465" s="375" t="str">
        <f t="shared" si="581"/>
        <v/>
      </c>
      <c r="Z2465" s="374" t="str">
        <f t="shared" si="582"/>
        <v/>
      </c>
      <c r="AA2465" s="374" t="b">
        <f t="shared" si="583"/>
        <v>1</v>
      </c>
      <c r="AB2465" s="374">
        <f>COUNTIFS(B:B,B2465,H:H,'סיווג התפקידים והעלויות'!$C$2)</f>
        <v>0</v>
      </c>
      <c r="AC2465" s="374">
        <f>COUNTIFS(B:B,B2465,H:H,'סיווג התפקידים והעלויות'!$D$2)</f>
        <v>0</v>
      </c>
      <c r="AD2465" s="374" t="str">
        <f>IF(OR(AND(H2465='סיווג התפקידים והעלויות'!$A$2,I2465='סיווג התפקידים והעלויות'!$A$3),'עלויות כח אדם (6)'!H2465='סיווג התפקידים והעלויות'!$C$2,'עלויות כח אדם (6)'!H2465='סיווג התפקידים והעלויות'!$D$2),IF('עלויות כח אדם (6)'!J2465&lt;75,"לא תקין","תקין"),"")</f>
        <v/>
      </c>
      <c r="AE2465" s="374" t="str">
        <f t="shared" si="584"/>
        <v/>
      </c>
      <c r="AF2465" s="532" t="str">
        <f t="shared" si="585"/>
        <v/>
      </c>
    </row>
    <row r="2466" spans="2:32" x14ac:dyDescent="0.25">
      <c r="B2466" s="695"/>
      <c r="C2466" s="197" t="str">
        <f>IF(B2466&lt;&gt;"",IFERROR(VLOOKUP(B:B,'מצבת והרשמה (2)'!$C$20:$N$520,2,0)," ")," ")</f>
        <v xml:space="preserve"> </v>
      </c>
      <c r="D2466" s="695"/>
      <c r="E2466" s="696"/>
      <c r="F2466" s="696"/>
      <c r="G2466" s="696"/>
      <c r="H2466" s="696"/>
      <c r="I2466" s="1050" t="str">
        <f t="shared" si="572"/>
        <v/>
      </c>
      <c r="J2466" s="696"/>
      <c r="K2466" s="697"/>
      <c r="L2466" s="696"/>
      <c r="M2466" s="198" t="str">
        <f t="shared" si="573"/>
        <v/>
      </c>
      <c r="N2466" s="369" t="str">
        <f t="shared" si="574"/>
        <v/>
      </c>
      <c r="O2466" s="183" t="str">
        <f t="shared" si="575"/>
        <v/>
      </c>
      <c r="P2466" s="199" t="str">
        <f t="shared" si="576"/>
        <v/>
      </c>
      <c r="Q2466" s="199" t="str">
        <f>IF(B2466="","",IFERROR(IF('עלויות כח אדם (6)'!J2466&gt;=VLOOKUP(I2466,'סיווג התפקידים והעלויות'!$B$23:$C$32,2,0),"תקין","לא תקין"),""))</f>
        <v/>
      </c>
      <c r="R2466" s="199" t="str">
        <f t="shared" si="577"/>
        <v/>
      </c>
      <c r="S2466" s="199" t="str">
        <f t="shared" si="578"/>
        <v/>
      </c>
      <c r="T2466" s="199" t="str">
        <f t="shared" si="586"/>
        <v/>
      </c>
      <c r="U2466" s="199" t="str">
        <f t="shared" si="579"/>
        <v/>
      </c>
      <c r="V2466" s="989"/>
      <c r="X2466" s="374" t="str">
        <f t="shared" si="580"/>
        <v/>
      </c>
      <c r="Y2466" s="375" t="str">
        <f t="shared" si="581"/>
        <v/>
      </c>
      <c r="Z2466" s="374" t="str">
        <f t="shared" si="582"/>
        <v/>
      </c>
      <c r="AA2466" s="374" t="b">
        <f t="shared" si="583"/>
        <v>1</v>
      </c>
      <c r="AB2466" s="374">
        <f>COUNTIFS(B:B,B2466,H:H,'סיווג התפקידים והעלויות'!$C$2)</f>
        <v>0</v>
      </c>
      <c r="AC2466" s="374">
        <f>COUNTIFS(B:B,B2466,H:H,'סיווג התפקידים והעלויות'!$D$2)</f>
        <v>0</v>
      </c>
      <c r="AD2466" s="374" t="str">
        <f>IF(OR(AND(H2466='סיווג התפקידים והעלויות'!$A$2,I2466='סיווג התפקידים והעלויות'!$A$3),'עלויות כח אדם (6)'!H2466='סיווג התפקידים והעלויות'!$C$2,'עלויות כח אדם (6)'!H2466='סיווג התפקידים והעלויות'!$D$2),IF('עלויות כח אדם (6)'!J2466&lt;75,"לא תקין","תקין"),"")</f>
        <v/>
      </c>
      <c r="AE2466" s="374" t="str">
        <f t="shared" si="584"/>
        <v/>
      </c>
      <c r="AF2466" s="532" t="str">
        <f t="shared" si="585"/>
        <v/>
      </c>
    </row>
    <row r="2467" spans="2:32" x14ac:dyDescent="0.25">
      <c r="B2467" s="695"/>
      <c r="C2467" s="197" t="str">
        <f>IF(B2467&lt;&gt;"",IFERROR(VLOOKUP(B:B,'מצבת והרשמה (2)'!$C$20:$N$520,2,0)," ")," ")</f>
        <v xml:space="preserve"> </v>
      </c>
      <c r="D2467" s="695"/>
      <c r="E2467" s="696"/>
      <c r="F2467" s="696"/>
      <c r="G2467" s="696"/>
      <c r="H2467" s="696"/>
      <c r="I2467" s="1050" t="str">
        <f t="shared" si="572"/>
        <v/>
      </c>
      <c r="J2467" s="696"/>
      <c r="K2467" s="697"/>
      <c r="L2467" s="696"/>
      <c r="M2467" s="198" t="str">
        <f t="shared" si="573"/>
        <v/>
      </c>
      <c r="N2467" s="369" t="str">
        <f t="shared" si="574"/>
        <v/>
      </c>
      <c r="O2467" s="183" t="str">
        <f t="shared" si="575"/>
        <v/>
      </c>
      <c r="P2467" s="199" t="str">
        <f t="shared" si="576"/>
        <v/>
      </c>
      <c r="Q2467" s="199" t="str">
        <f>IF(B2467="","",IFERROR(IF('עלויות כח אדם (6)'!J2467&gt;=VLOOKUP(I2467,'סיווג התפקידים והעלויות'!$B$23:$C$32,2,0),"תקין","לא תקין"),""))</f>
        <v/>
      </c>
      <c r="R2467" s="199" t="str">
        <f t="shared" si="577"/>
        <v/>
      </c>
      <c r="S2467" s="199" t="str">
        <f t="shared" si="578"/>
        <v/>
      </c>
      <c r="T2467" s="199" t="str">
        <f t="shared" si="586"/>
        <v/>
      </c>
      <c r="U2467" s="199" t="str">
        <f t="shared" si="579"/>
        <v/>
      </c>
      <c r="V2467" s="989"/>
      <c r="X2467" s="374" t="str">
        <f t="shared" si="580"/>
        <v/>
      </c>
      <c r="Y2467" s="375" t="str">
        <f t="shared" si="581"/>
        <v/>
      </c>
      <c r="Z2467" s="374" t="str">
        <f t="shared" si="582"/>
        <v/>
      </c>
      <c r="AA2467" s="374" t="b">
        <f t="shared" si="583"/>
        <v>1</v>
      </c>
      <c r="AB2467" s="374">
        <f>COUNTIFS(B:B,B2467,H:H,'סיווג התפקידים והעלויות'!$C$2)</f>
        <v>0</v>
      </c>
      <c r="AC2467" s="374">
        <f>COUNTIFS(B:B,B2467,H:H,'סיווג התפקידים והעלויות'!$D$2)</f>
        <v>0</v>
      </c>
      <c r="AD2467" s="374" t="str">
        <f>IF(OR(AND(H2467='סיווג התפקידים והעלויות'!$A$2,I2467='סיווג התפקידים והעלויות'!$A$3),'עלויות כח אדם (6)'!H2467='סיווג התפקידים והעלויות'!$C$2,'עלויות כח אדם (6)'!H2467='סיווג התפקידים והעלויות'!$D$2),IF('עלויות כח אדם (6)'!J2467&lt;75,"לא תקין","תקין"),"")</f>
        <v/>
      </c>
      <c r="AE2467" s="374" t="str">
        <f t="shared" si="584"/>
        <v/>
      </c>
      <c r="AF2467" s="532" t="str">
        <f t="shared" si="585"/>
        <v/>
      </c>
    </row>
    <row r="2468" spans="2:32" x14ac:dyDescent="0.25">
      <c r="B2468" s="695"/>
      <c r="C2468" s="197" t="str">
        <f>IF(B2468&lt;&gt;"",IFERROR(VLOOKUP(B:B,'מצבת והרשמה (2)'!$C$20:$N$520,2,0)," ")," ")</f>
        <v xml:space="preserve"> </v>
      </c>
      <c r="D2468" s="695"/>
      <c r="E2468" s="696"/>
      <c r="F2468" s="696"/>
      <c r="G2468" s="696"/>
      <c r="H2468" s="696"/>
      <c r="I2468" s="1050" t="str">
        <f t="shared" si="572"/>
        <v/>
      </c>
      <c r="J2468" s="696"/>
      <c r="K2468" s="697"/>
      <c r="L2468" s="696"/>
      <c r="M2468" s="198" t="str">
        <f t="shared" si="573"/>
        <v/>
      </c>
      <c r="N2468" s="369" t="str">
        <f t="shared" si="574"/>
        <v/>
      </c>
      <c r="O2468" s="183" t="str">
        <f t="shared" si="575"/>
        <v/>
      </c>
      <c r="P2468" s="199" t="str">
        <f t="shared" si="576"/>
        <v/>
      </c>
      <c r="Q2468" s="199" t="str">
        <f>IF(B2468="","",IFERROR(IF('עלויות כח אדם (6)'!J2468&gt;=VLOOKUP(I2468,'סיווג התפקידים והעלויות'!$B$23:$C$32,2,0),"תקין","לא תקין"),""))</f>
        <v/>
      </c>
      <c r="R2468" s="199" t="str">
        <f t="shared" si="577"/>
        <v/>
      </c>
      <c r="S2468" s="199" t="str">
        <f t="shared" si="578"/>
        <v/>
      </c>
      <c r="T2468" s="199" t="str">
        <f t="shared" si="586"/>
        <v/>
      </c>
      <c r="U2468" s="199" t="str">
        <f t="shared" si="579"/>
        <v/>
      </c>
      <c r="V2468" s="989"/>
      <c r="X2468" s="374" t="str">
        <f t="shared" si="580"/>
        <v/>
      </c>
      <c r="Y2468" s="375" t="str">
        <f t="shared" si="581"/>
        <v/>
      </c>
      <c r="Z2468" s="374" t="str">
        <f t="shared" si="582"/>
        <v/>
      </c>
      <c r="AA2468" s="374" t="b">
        <f t="shared" si="583"/>
        <v>1</v>
      </c>
      <c r="AB2468" s="374">
        <f>COUNTIFS(B:B,B2468,H:H,'סיווג התפקידים והעלויות'!$C$2)</f>
        <v>0</v>
      </c>
      <c r="AC2468" s="374">
        <f>COUNTIFS(B:B,B2468,H:H,'סיווג התפקידים והעלויות'!$D$2)</f>
        <v>0</v>
      </c>
      <c r="AD2468" s="374" t="str">
        <f>IF(OR(AND(H2468='סיווג התפקידים והעלויות'!$A$2,I2468='סיווג התפקידים והעלויות'!$A$3),'עלויות כח אדם (6)'!H2468='סיווג התפקידים והעלויות'!$C$2,'עלויות כח אדם (6)'!H2468='סיווג התפקידים והעלויות'!$D$2),IF('עלויות כח אדם (6)'!J2468&lt;75,"לא תקין","תקין"),"")</f>
        <v/>
      </c>
      <c r="AE2468" s="374" t="str">
        <f t="shared" si="584"/>
        <v/>
      </c>
      <c r="AF2468" s="532" t="str">
        <f t="shared" si="585"/>
        <v/>
      </c>
    </row>
    <row r="2469" spans="2:32" x14ac:dyDescent="0.25">
      <c r="B2469" s="695"/>
      <c r="C2469" s="197" t="str">
        <f>IF(B2469&lt;&gt;"",IFERROR(VLOOKUP(B:B,'מצבת והרשמה (2)'!$C$20:$N$520,2,0)," ")," ")</f>
        <v xml:space="preserve"> </v>
      </c>
      <c r="D2469" s="695"/>
      <c r="E2469" s="696"/>
      <c r="F2469" s="696"/>
      <c r="G2469" s="696"/>
      <c r="H2469" s="696"/>
      <c r="I2469" s="1050" t="str">
        <f t="shared" si="572"/>
        <v/>
      </c>
      <c r="J2469" s="696"/>
      <c r="K2469" s="697"/>
      <c r="L2469" s="696"/>
      <c r="M2469" s="198" t="str">
        <f t="shared" si="573"/>
        <v/>
      </c>
      <c r="N2469" s="369" t="str">
        <f t="shared" si="574"/>
        <v/>
      </c>
      <c r="O2469" s="183" t="str">
        <f t="shared" si="575"/>
        <v/>
      </c>
      <c r="P2469" s="199" t="str">
        <f t="shared" si="576"/>
        <v/>
      </c>
      <c r="Q2469" s="199" t="str">
        <f>IF(B2469="","",IFERROR(IF('עלויות כח אדם (6)'!J2469&gt;=VLOOKUP(I2469,'סיווג התפקידים והעלויות'!$B$23:$C$32,2,0),"תקין","לא תקין"),""))</f>
        <v/>
      </c>
      <c r="R2469" s="199" t="str">
        <f t="shared" si="577"/>
        <v/>
      </c>
      <c r="S2469" s="199" t="str">
        <f t="shared" si="578"/>
        <v/>
      </c>
      <c r="T2469" s="199" t="str">
        <f t="shared" si="586"/>
        <v/>
      </c>
      <c r="U2469" s="199" t="str">
        <f t="shared" si="579"/>
        <v/>
      </c>
      <c r="V2469" s="989"/>
      <c r="X2469" s="374" t="str">
        <f t="shared" si="580"/>
        <v/>
      </c>
      <c r="Y2469" s="375" t="str">
        <f t="shared" si="581"/>
        <v/>
      </c>
      <c r="Z2469" s="374" t="str">
        <f t="shared" si="582"/>
        <v/>
      </c>
      <c r="AA2469" s="374" t="b">
        <f t="shared" si="583"/>
        <v>1</v>
      </c>
      <c r="AB2469" s="374">
        <f>COUNTIFS(B:B,B2469,H:H,'סיווג התפקידים והעלויות'!$C$2)</f>
        <v>0</v>
      </c>
      <c r="AC2469" s="374">
        <f>COUNTIFS(B:B,B2469,H:H,'סיווג התפקידים והעלויות'!$D$2)</f>
        <v>0</v>
      </c>
      <c r="AD2469" s="374" t="str">
        <f>IF(OR(AND(H2469='סיווג התפקידים והעלויות'!$A$2,I2469='סיווג התפקידים והעלויות'!$A$3),'עלויות כח אדם (6)'!H2469='סיווג התפקידים והעלויות'!$C$2,'עלויות כח אדם (6)'!H2469='סיווג התפקידים והעלויות'!$D$2),IF('עלויות כח אדם (6)'!J2469&lt;75,"לא תקין","תקין"),"")</f>
        <v/>
      </c>
      <c r="AE2469" s="374" t="str">
        <f t="shared" si="584"/>
        <v/>
      </c>
      <c r="AF2469" s="532" t="str">
        <f t="shared" si="585"/>
        <v/>
      </c>
    </row>
    <row r="2470" spans="2:32" x14ac:dyDescent="0.25">
      <c r="B2470" s="695"/>
      <c r="C2470" s="197" t="str">
        <f>IF(B2470&lt;&gt;"",IFERROR(VLOOKUP(B:B,'מצבת והרשמה (2)'!$C$20:$N$520,2,0)," ")," ")</f>
        <v xml:space="preserve"> </v>
      </c>
      <c r="D2470" s="695"/>
      <c r="E2470" s="696"/>
      <c r="F2470" s="696"/>
      <c r="G2470" s="696"/>
      <c r="H2470" s="696"/>
      <c r="I2470" s="1050" t="str">
        <f t="shared" si="572"/>
        <v/>
      </c>
      <c r="J2470" s="696"/>
      <c r="K2470" s="697"/>
      <c r="L2470" s="696"/>
      <c r="M2470" s="198" t="str">
        <f t="shared" si="573"/>
        <v/>
      </c>
      <c r="N2470" s="369" t="str">
        <f t="shared" si="574"/>
        <v/>
      </c>
      <c r="O2470" s="183" t="str">
        <f t="shared" si="575"/>
        <v/>
      </c>
      <c r="P2470" s="199" t="str">
        <f t="shared" si="576"/>
        <v/>
      </c>
      <c r="Q2470" s="199" t="str">
        <f>IF(B2470="","",IFERROR(IF('עלויות כח אדם (6)'!J2470&gt;=VLOOKUP(I2470,'סיווג התפקידים והעלויות'!$B$23:$C$32,2,0),"תקין","לא תקין"),""))</f>
        <v/>
      </c>
      <c r="R2470" s="199" t="str">
        <f t="shared" si="577"/>
        <v/>
      </c>
      <c r="S2470" s="199" t="str">
        <f t="shared" si="578"/>
        <v/>
      </c>
      <c r="T2470" s="199" t="str">
        <f t="shared" si="586"/>
        <v/>
      </c>
      <c r="U2470" s="199" t="str">
        <f t="shared" si="579"/>
        <v/>
      </c>
      <c r="V2470" s="989"/>
      <c r="X2470" s="374" t="str">
        <f t="shared" si="580"/>
        <v/>
      </c>
      <c r="Y2470" s="375" t="str">
        <f t="shared" si="581"/>
        <v/>
      </c>
      <c r="Z2470" s="374" t="str">
        <f t="shared" si="582"/>
        <v/>
      </c>
      <c r="AA2470" s="374" t="b">
        <f t="shared" si="583"/>
        <v>1</v>
      </c>
      <c r="AB2470" s="374">
        <f>COUNTIFS(B:B,B2470,H:H,'סיווג התפקידים והעלויות'!$C$2)</f>
        <v>0</v>
      </c>
      <c r="AC2470" s="374">
        <f>COUNTIFS(B:B,B2470,H:H,'סיווג התפקידים והעלויות'!$D$2)</f>
        <v>0</v>
      </c>
      <c r="AD2470" s="374" t="str">
        <f>IF(OR(AND(H2470='סיווג התפקידים והעלויות'!$A$2,I2470='סיווג התפקידים והעלויות'!$A$3),'עלויות כח אדם (6)'!H2470='סיווג התפקידים והעלויות'!$C$2,'עלויות כח אדם (6)'!H2470='סיווג התפקידים והעלויות'!$D$2),IF('עלויות כח אדם (6)'!J2470&lt;75,"לא תקין","תקין"),"")</f>
        <v/>
      </c>
      <c r="AE2470" s="374" t="str">
        <f t="shared" si="584"/>
        <v/>
      </c>
      <c r="AF2470" s="532" t="str">
        <f t="shared" si="585"/>
        <v/>
      </c>
    </row>
    <row r="2471" spans="2:32" x14ac:dyDescent="0.25">
      <c r="B2471" s="695"/>
      <c r="C2471" s="197" t="str">
        <f>IF(B2471&lt;&gt;"",IFERROR(VLOOKUP(B:B,'מצבת והרשמה (2)'!$C$20:$N$520,2,0)," ")," ")</f>
        <v xml:space="preserve"> </v>
      </c>
      <c r="D2471" s="695"/>
      <c r="E2471" s="696"/>
      <c r="F2471" s="696"/>
      <c r="G2471" s="696"/>
      <c r="H2471" s="696"/>
      <c r="I2471" s="1050" t="str">
        <f t="shared" si="572"/>
        <v/>
      </c>
      <c r="J2471" s="696"/>
      <c r="K2471" s="697"/>
      <c r="L2471" s="696"/>
      <c r="M2471" s="198" t="str">
        <f t="shared" si="573"/>
        <v/>
      </c>
      <c r="N2471" s="369" t="str">
        <f t="shared" si="574"/>
        <v/>
      </c>
      <c r="O2471" s="183" t="str">
        <f t="shared" si="575"/>
        <v/>
      </c>
      <c r="P2471" s="199" t="str">
        <f t="shared" si="576"/>
        <v/>
      </c>
      <c r="Q2471" s="199" t="str">
        <f>IF(B2471="","",IFERROR(IF('עלויות כח אדם (6)'!J2471&gt;=VLOOKUP(I2471,'סיווג התפקידים והעלויות'!$B$23:$C$32,2,0),"תקין","לא תקין"),""))</f>
        <v/>
      </c>
      <c r="R2471" s="199" t="str">
        <f t="shared" si="577"/>
        <v/>
      </c>
      <c r="S2471" s="199" t="str">
        <f t="shared" si="578"/>
        <v/>
      </c>
      <c r="T2471" s="199" t="str">
        <f t="shared" si="586"/>
        <v/>
      </c>
      <c r="U2471" s="199" t="str">
        <f t="shared" si="579"/>
        <v/>
      </c>
      <c r="V2471" s="989"/>
      <c r="X2471" s="374" t="str">
        <f t="shared" si="580"/>
        <v/>
      </c>
      <c r="Y2471" s="375" t="str">
        <f t="shared" si="581"/>
        <v/>
      </c>
      <c r="Z2471" s="374" t="str">
        <f t="shared" si="582"/>
        <v/>
      </c>
      <c r="AA2471" s="374" t="b">
        <f t="shared" si="583"/>
        <v>1</v>
      </c>
      <c r="AB2471" s="374">
        <f>COUNTIFS(B:B,B2471,H:H,'סיווג התפקידים והעלויות'!$C$2)</f>
        <v>0</v>
      </c>
      <c r="AC2471" s="374">
        <f>COUNTIFS(B:B,B2471,H:H,'סיווג התפקידים והעלויות'!$D$2)</f>
        <v>0</v>
      </c>
      <c r="AD2471" s="374" t="str">
        <f>IF(OR(AND(H2471='סיווג התפקידים והעלויות'!$A$2,I2471='סיווג התפקידים והעלויות'!$A$3),'עלויות כח אדם (6)'!H2471='סיווג התפקידים והעלויות'!$C$2,'עלויות כח אדם (6)'!H2471='סיווג התפקידים והעלויות'!$D$2),IF('עלויות כח אדם (6)'!J2471&lt;75,"לא תקין","תקין"),"")</f>
        <v/>
      </c>
      <c r="AE2471" s="374" t="str">
        <f t="shared" si="584"/>
        <v/>
      </c>
      <c r="AF2471" s="532" t="str">
        <f t="shared" si="585"/>
        <v/>
      </c>
    </row>
    <row r="2472" spans="2:32" x14ac:dyDescent="0.25">
      <c r="B2472" s="695"/>
      <c r="C2472" s="197" t="str">
        <f>IF(B2472&lt;&gt;"",IFERROR(VLOOKUP(B:B,'מצבת והרשמה (2)'!$C$20:$N$520,2,0)," ")," ")</f>
        <v xml:space="preserve"> </v>
      </c>
      <c r="D2472" s="695"/>
      <c r="E2472" s="696"/>
      <c r="F2472" s="696"/>
      <c r="G2472" s="696"/>
      <c r="H2472" s="696"/>
      <c r="I2472" s="1050" t="str">
        <f t="shared" si="572"/>
        <v/>
      </c>
      <c r="J2472" s="696"/>
      <c r="K2472" s="697"/>
      <c r="L2472" s="696"/>
      <c r="M2472" s="198" t="str">
        <f t="shared" si="573"/>
        <v/>
      </c>
      <c r="N2472" s="369" t="str">
        <f t="shared" si="574"/>
        <v/>
      </c>
      <c r="O2472" s="183" t="str">
        <f t="shared" si="575"/>
        <v/>
      </c>
      <c r="P2472" s="199" t="str">
        <f t="shared" si="576"/>
        <v/>
      </c>
      <c r="Q2472" s="199" t="str">
        <f>IF(B2472="","",IFERROR(IF('עלויות כח אדם (6)'!J2472&gt;=VLOOKUP(I2472,'סיווג התפקידים והעלויות'!$B$23:$C$32,2,0),"תקין","לא תקין"),""))</f>
        <v/>
      </c>
      <c r="R2472" s="199" t="str">
        <f t="shared" si="577"/>
        <v/>
      </c>
      <c r="S2472" s="199" t="str">
        <f t="shared" si="578"/>
        <v/>
      </c>
      <c r="T2472" s="199" t="str">
        <f t="shared" si="586"/>
        <v/>
      </c>
      <c r="U2472" s="199" t="str">
        <f t="shared" si="579"/>
        <v/>
      </c>
      <c r="V2472" s="989"/>
      <c r="X2472" s="374" t="str">
        <f t="shared" si="580"/>
        <v/>
      </c>
      <c r="Y2472" s="375" t="str">
        <f t="shared" si="581"/>
        <v/>
      </c>
      <c r="Z2472" s="374" t="str">
        <f t="shared" si="582"/>
        <v/>
      </c>
      <c r="AA2472" s="374" t="b">
        <f t="shared" si="583"/>
        <v>1</v>
      </c>
      <c r="AB2472" s="374">
        <f>COUNTIFS(B:B,B2472,H:H,'סיווג התפקידים והעלויות'!$C$2)</f>
        <v>0</v>
      </c>
      <c r="AC2472" s="374">
        <f>COUNTIFS(B:B,B2472,H:H,'סיווג התפקידים והעלויות'!$D$2)</f>
        <v>0</v>
      </c>
      <c r="AD2472" s="374" t="str">
        <f>IF(OR(AND(H2472='סיווג התפקידים והעלויות'!$A$2,I2472='סיווג התפקידים והעלויות'!$A$3),'עלויות כח אדם (6)'!H2472='סיווג התפקידים והעלויות'!$C$2,'עלויות כח אדם (6)'!H2472='סיווג התפקידים והעלויות'!$D$2),IF('עלויות כח אדם (6)'!J2472&lt;75,"לא תקין","תקין"),"")</f>
        <v/>
      </c>
      <c r="AE2472" s="374" t="str">
        <f t="shared" si="584"/>
        <v/>
      </c>
      <c r="AF2472" s="532" t="str">
        <f t="shared" si="585"/>
        <v/>
      </c>
    </row>
    <row r="2473" spans="2:32" x14ac:dyDescent="0.25">
      <c r="B2473" s="695"/>
      <c r="C2473" s="197" t="str">
        <f>IF(B2473&lt;&gt;"",IFERROR(VLOOKUP(B:B,'מצבת והרשמה (2)'!$C$20:$N$520,2,0)," ")," ")</f>
        <v xml:space="preserve"> </v>
      </c>
      <c r="D2473" s="695"/>
      <c r="E2473" s="696"/>
      <c r="F2473" s="696"/>
      <c r="G2473" s="696"/>
      <c r="H2473" s="696"/>
      <c r="I2473" s="1050" t="str">
        <f t="shared" si="572"/>
        <v/>
      </c>
      <c r="J2473" s="696"/>
      <c r="K2473" s="697"/>
      <c r="L2473" s="696"/>
      <c r="M2473" s="198" t="str">
        <f t="shared" si="573"/>
        <v/>
      </c>
      <c r="N2473" s="369" t="str">
        <f t="shared" si="574"/>
        <v/>
      </c>
      <c r="O2473" s="183" t="str">
        <f t="shared" si="575"/>
        <v/>
      </c>
      <c r="P2473" s="199" t="str">
        <f t="shared" si="576"/>
        <v/>
      </c>
      <c r="Q2473" s="199" t="str">
        <f>IF(B2473="","",IFERROR(IF('עלויות כח אדם (6)'!J2473&gt;=VLOOKUP(I2473,'סיווג התפקידים והעלויות'!$B$23:$C$32,2,0),"תקין","לא תקין"),""))</f>
        <v/>
      </c>
      <c r="R2473" s="199" t="str">
        <f t="shared" si="577"/>
        <v/>
      </c>
      <c r="S2473" s="199" t="str">
        <f t="shared" si="578"/>
        <v/>
      </c>
      <c r="T2473" s="199" t="str">
        <f t="shared" si="586"/>
        <v/>
      </c>
      <c r="U2473" s="199" t="str">
        <f t="shared" si="579"/>
        <v/>
      </c>
      <c r="V2473" s="989"/>
      <c r="X2473" s="374" t="str">
        <f t="shared" si="580"/>
        <v/>
      </c>
      <c r="Y2473" s="375" t="str">
        <f t="shared" si="581"/>
        <v/>
      </c>
      <c r="Z2473" s="374" t="str">
        <f t="shared" si="582"/>
        <v/>
      </c>
      <c r="AA2473" s="374" t="b">
        <f t="shared" si="583"/>
        <v>1</v>
      </c>
      <c r="AB2473" s="374">
        <f>COUNTIFS(B:B,B2473,H:H,'סיווג התפקידים והעלויות'!$C$2)</f>
        <v>0</v>
      </c>
      <c r="AC2473" s="374">
        <f>COUNTIFS(B:B,B2473,H:H,'סיווג התפקידים והעלויות'!$D$2)</f>
        <v>0</v>
      </c>
      <c r="AD2473" s="374" t="str">
        <f>IF(OR(AND(H2473='סיווג התפקידים והעלויות'!$A$2,I2473='סיווג התפקידים והעלויות'!$A$3),'עלויות כח אדם (6)'!H2473='סיווג התפקידים והעלויות'!$C$2,'עלויות כח אדם (6)'!H2473='סיווג התפקידים והעלויות'!$D$2),IF('עלויות כח אדם (6)'!J2473&lt;75,"לא תקין","תקין"),"")</f>
        <v/>
      </c>
      <c r="AE2473" s="374" t="str">
        <f t="shared" si="584"/>
        <v/>
      </c>
      <c r="AF2473" s="532" t="str">
        <f t="shared" si="585"/>
        <v/>
      </c>
    </row>
    <row r="2474" spans="2:32" x14ac:dyDescent="0.25">
      <c r="B2474" s="695"/>
      <c r="C2474" s="197" t="str">
        <f>IF(B2474&lt;&gt;"",IFERROR(VLOOKUP(B:B,'מצבת והרשמה (2)'!$C$20:$N$520,2,0)," ")," ")</f>
        <v xml:space="preserve"> </v>
      </c>
      <c r="D2474" s="695"/>
      <c r="E2474" s="696"/>
      <c r="F2474" s="696"/>
      <c r="G2474" s="696"/>
      <c r="H2474" s="696"/>
      <c r="I2474" s="1050" t="str">
        <f t="shared" si="572"/>
        <v/>
      </c>
      <c r="J2474" s="696"/>
      <c r="K2474" s="697"/>
      <c r="L2474" s="696"/>
      <c r="M2474" s="198" t="str">
        <f t="shared" si="573"/>
        <v/>
      </c>
      <c r="N2474" s="369" t="str">
        <f t="shared" si="574"/>
        <v/>
      </c>
      <c r="O2474" s="183" t="str">
        <f t="shared" si="575"/>
        <v/>
      </c>
      <c r="P2474" s="199" t="str">
        <f t="shared" si="576"/>
        <v/>
      </c>
      <c r="Q2474" s="199" t="str">
        <f>IF(B2474="","",IFERROR(IF('עלויות כח אדם (6)'!J2474&gt;=VLOOKUP(I2474,'סיווג התפקידים והעלויות'!$B$23:$C$32,2,0),"תקין","לא תקין"),""))</f>
        <v/>
      </c>
      <c r="R2474" s="199" t="str">
        <f t="shared" si="577"/>
        <v/>
      </c>
      <c r="S2474" s="199" t="str">
        <f t="shared" si="578"/>
        <v/>
      </c>
      <c r="T2474" s="199" t="str">
        <f t="shared" si="586"/>
        <v/>
      </c>
      <c r="U2474" s="199" t="str">
        <f t="shared" si="579"/>
        <v/>
      </c>
      <c r="V2474" s="989"/>
      <c r="X2474" s="374" t="str">
        <f t="shared" si="580"/>
        <v/>
      </c>
      <c r="Y2474" s="375" t="str">
        <f t="shared" si="581"/>
        <v/>
      </c>
      <c r="Z2474" s="374" t="str">
        <f t="shared" si="582"/>
        <v/>
      </c>
      <c r="AA2474" s="374" t="b">
        <f t="shared" si="583"/>
        <v>1</v>
      </c>
      <c r="AB2474" s="374">
        <f>COUNTIFS(B:B,B2474,H:H,'סיווג התפקידים והעלויות'!$C$2)</f>
        <v>0</v>
      </c>
      <c r="AC2474" s="374">
        <f>COUNTIFS(B:B,B2474,H:H,'סיווג התפקידים והעלויות'!$D$2)</f>
        <v>0</v>
      </c>
      <c r="AD2474" s="374" t="str">
        <f>IF(OR(AND(H2474='סיווג התפקידים והעלויות'!$A$2,I2474='סיווג התפקידים והעלויות'!$A$3),'עלויות כח אדם (6)'!H2474='סיווג התפקידים והעלויות'!$C$2,'עלויות כח אדם (6)'!H2474='סיווג התפקידים והעלויות'!$D$2),IF('עלויות כח אדם (6)'!J2474&lt;75,"לא תקין","תקין"),"")</f>
        <v/>
      </c>
      <c r="AE2474" s="374" t="str">
        <f t="shared" si="584"/>
        <v/>
      </c>
      <c r="AF2474" s="532" t="str">
        <f t="shared" si="585"/>
        <v/>
      </c>
    </row>
    <row r="2475" spans="2:32" x14ac:dyDescent="0.25">
      <c r="B2475" s="695"/>
      <c r="C2475" s="197" t="str">
        <f>IF(B2475&lt;&gt;"",IFERROR(VLOOKUP(B:B,'מצבת והרשמה (2)'!$C$20:$N$520,2,0)," ")," ")</f>
        <v xml:space="preserve"> </v>
      </c>
      <c r="D2475" s="695"/>
      <c r="E2475" s="696"/>
      <c r="F2475" s="696"/>
      <c r="G2475" s="696"/>
      <c r="H2475" s="696"/>
      <c r="I2475" s="1050" t="str">
        <f t="shared" si="572"/>
        <v/>
      </c>
      <c r="J2475" s="696"/>
      <c r="K2475" s="697"/>
      <c r="L2475" s="696"/>
      <c r="M2475" s="198" t="str">
        <f t="shared" si="573"/>
        <v/>
      </c>
      <c r="N2475" s="369" t="str">
        <f t="shared" si="574"/>
        <v/>
      </c>
      <c r="O2475" s="183" t="str">
        <f t="shared" si="575"/>
        <v/>
      </c>
      <c r="P2475" s="199" t="str">
        <f t="shared" si="576"/>
        <v/>
      </c>
      <c r="Q2475" s="199" t="str">
        <f>IF(B2475="","",IFERROR(IF('עלויות כח אדם (6)'!J2475&gt;=VLOOKUP(I2475,'סיווג התפקידים והעלויות'!$B$23:$C$32,2,0),"תקין","לא תקין"),""))</f>
        <v/>
      </c>
      <c r="R2475" s="199" t="str">
        <f t="shared" si="577"/>
        <v/>
      </c>
      <c r="S2475" s="199" t="str">
        <f t="shared" si="578"/>
        <v/>
      </c>
      <c r="T2475" s="199" t="str">
        <f t="shared" si="586"/>
        <v/>
      </c>
      <c r="U2475" s="199" t="str">
        <f t="shared" si="579"/>
        <v/>
      </c>
      <c r="V2475" s="989"/>
      <c r="X2475" s="374" t="str">
        <f t="shared" si="580"/>
        <v/>
      </c>
      <c r="Y2475" s="375" t="str">
        <f t="shared" si="581"/>
        <v/>
      </c>
      <c r="Z2475" s="374" t="str">
        <f t="shared" si="582"/>
        <v/>
      </c>
      <c r="AA2475" s="374" t="b">
        <f t="shared" si="583"/>
        <v>1</v>
      </c>
      <c r="AB2475" s="374">
        <f>COUNTIFS(B:B,B2475,H:H,'סיווג התפקידים והעלויות'!$C$2)</f>
        <v>0</v>
      </c>
      <c r="AC2475" s="374">
        <f>COUNTIFS(B:B,B2475,H:H,'סיווג התפקידים והעלויות'!$D$2)</f>
        <v>0</v>
      </c>
      <c r="AD2475" s="374" t="str">
        <f>IF(OR(AND(H2475='סיווג התפקידים והעלויות'!$A$2,I2475='סיווג התפקידים והעלויות'!$A$3),'עלויות כח אדם (6)'!H2475='סיווג התפקידים והעלויות'!$C$2,'עלויות כח אדם (6)'!H2475='סיווג התפקידים והעלויות'!$D$2),IF('עלויות כח אדם (6)'!J2475&lt;75,"לא תקין","תקין"),"")</f>
        <v/>
      </c>
      <c r="AE2475" s="374" t="str">
        <f t="shared" si="584"/>
        <v/>
      </c>
      <c r="AF2475" s="532" t="str">
        <f t="shared" si="585"/>
        <v/>
      </c>
    </row>
    <row r="2476" spans="2:32" x14ac:dyDescent="0.25">
      <c r="B2476" s="695"/>
      <c r="C2476" s="197" t="str">
        <f>IF(B2476&lt;&gt;"",IFERROR(VLOOKUP(B:B,'מצבת והרשמה (2)'!$C$20:$N$520,2,0)," ")," ")</f>
        <v xml:space="preserve"> </v>
      </c>
      <c r="D2476" s="695"/>
      <c r="E2476" s="696"/>
      <c r="F2476" s="696"/>
      <c r="G2476" s="696"/>
      <c r="H2476" s="696"/>
      <c r="I2476" s="1050" t="str">
        <f t="shared" si="572"/>
        <v/>
      </c>
      <c r="J2476" s="696"/>
      <c r="K2476" s="697"/>
      <c r="L2476" s="696"/>
      <c r="M2476" s="198" t="str">
        <f t="shared" si="573"/>
        <v/>
      </c>
      <c r="N2476" s="369" t="str">
        <f t="shared" si="574"/>
        <v/>
      </c>
      <c r="O2476" s="183" t="str">
        <f t="shared" si="575"/>
        <v/>
      </c>
      <c r="P2476" s="199" t="str">
        <f t="shared" si="576"/>
        <v/>
      </c>
      <c r="Q2476" s="199" t="str">
        <f>IF(B2476="","",IFERROR(IF('עלויות כח אדם (6)'!J2476&gt;=VLOOKUP(I2476,'סיווג התפקידים והעלויות'!$B$23:$C$32,2,0),"תקין","לא תקין"),""))</f>
        <v/>
      </c>
      <c r="R2476" s="199" t="str">
        <f t="shared" si="577"/>
        <v/>
      </c>
      <c r="S2476" s="199" t="str">
        <f t="shared" si="578"/>
        <v/>
      </c>
      <c r="T2476" s="199" t="str">
        <f t="shared" si="586"/>
        <v/>
      </c>
      <c r="U2476" s="199" t="str">
        <f t="shared" si="579"/>
        <v/>
      </c>
      <c r="V2476" s="989"/>
      <c r="X2476" s="374" t="str">
        <f t="shared" si="580"/>
        <v/>
      </c>
      <c r="Y2476" s="375" t="str">
        <f t="shared" si="581"/>
        <v/>
      </c>
      <c r="Z2476" s="374" t="str">
        <f t="shared" si="582"/>
        <v/>
      </c>
      <c r="AA2476" s="374" t="b">
        <f t="shared" si="583"/>
        <v>1</v>
      </c>
      <c r="AB2476" s="374">
        <f>COUNTIFS(B:B,B2476,H:H,'סיווג התפקידים והעלויות'!$C$2)</f>
        <v>0</v>
      </c>
      <c r="AC2476" s="374">
        <f>COUNTIFS(B:B,B2476,H:H,'סיווג התפקידים והעלויות'!$D$2)</f>
        <v>0</v>
      </c>
      <c r="AD2476" s="374" t="str">
        <f>IF(OR(AND(H2476='סיווג התפקידים והעלויות'!$A$2,I2476='סיווג התפקידים והעלויות'!$A$3),'עלויות כח אדם (6)'!H2476='סיווג התפקידים והעלויות'!$C$2,'עלויות כח אדם (6)'!H2476='סיווג התפקידים והעלויות'!$D$2),IF('עלויות כח אדם (6)'!J2476&lt;75,"לא תקין","תקין"),"")</f>
        <v/>
      </c>
      <c r="AE2476" s="374" t="str">
        <f t="shared" si="584"/>
        <v/>
      </c>
      <c r="AF2476" s="532" t="str">
        <f t="shared" si="585"/>
        <v/>
      </c>
    </row>
    <row r="2477" spans="2:32" x14ac:dyDescent="0.25">
      <c r="B2477" s="695"/>
      <c r="C2477" s="197" t="str">
        <f>IF(B2477&lt;&gt;"",IFERROR(VLOOKUP(B:B,'מצבת והרשמה (2)'!$C$20:$N$520,2,0)," ")," ")</f>
        <v xml:space="preserve"> </v>
      </c>
      <c r="D2477" s="695"/>
      <c r="E2477" s="696"/>
      <c r="F2477" s="696"/>
      <c r="G2477" s="696"/>
      <c r="H2477" s="696"/>
      <c r="I2477" s="1050" t="str">
        <f t="shared" si="572"/>
        <v/>
      </c>
      <c r="J2477" s="696"/>
      <c r="K2477" s="697"/>
      <c r="L2477" s="696"/>
      <c r="M2477" s="198" t="str">
        <f t="shared" si="573"/>
        <v/>
      </c>
      <c r="N2477" s="369" t="str">
        <f t="shared" si="574"/>
        <v/>
      </c>
      <c r="O2477" s="183" t="str">
        <f t="shared" si="575"/>
        <v/>
      </c>
      <c r="P2477" s="199" t="str">
        <f t="shared" si="576"/>
        <v/>
      </c>
      <c r="Q2477" s="199" t="str">
        <f>IF(B2477="","",IFERROR(IF('עלויות כח אדם (6)'!J2477&gt;=VLOOKUP(I2477,'סיווג התפקידים והעלויות'!$B$23:$C$32,2,0),"תקין","לא תקין"),""))</f>
        <v/>
      </c>
      <c r="R2477" s="199" t="str">
        <f t="shared" si="577"/>
        <v/>
      </c>
      <c r="S2477" s="199" t="str">
        <f t="shared" si="578"/>
        <v/>
      </c>
      <c r="T2477" s="199" t="str">
        <f t="shared" si="586"/>
        <v/>
      </c>
      <c r="U2477" s="199" t="str">
        <f t="shared" si="579"/>
        <v/>
      </c>
      <c r="V2477" s="989"/>
      <c r="X2477" s="374" t="str">
        <f t="shared" si="580"/>
        <v/>
      </c>
      <c r="Y2477" s="375" t="str">
        <f t="shared" si="581"/>
        <v/>
      </c>
      <c r="Z2477" s="374" t="str">
        <f t="shared" si="582"/>
        <v/>
      </c>
      <c r="AA2477" s="374" t="b">
        <f t="shared" si="583"/>
        <v>1</v>
      </c>
      <c r="AB2477" s="374">
        <f>COUNTIFS(B:B,B2477,H:H,'סיווג התפקידים והעלויות'!$C$2)</f>
        <v>0</v>
      </c>
      <c r="AC2477" s="374">
        <f>COUNTIFS(B:B,B2477,H:H,'סיווג התפקידים והעלויות'!$D$2)</f>
        <v>0</v>
      </c>
      <c r="AD2477" s="374" t="str">
        <f>IF(OR(AND(H2477='סיווג התפקידים והעלויות'!$A$2,I2477='סיווג התפקידים והעלויות'!$A$3),'עלויות כח אדם (6)'!H2477='סיווג התפקידים והעלויות'!$C$2,'עלויות כח אדם (6)'!H2477='סיווג התפקידים והעלויות'!$D$2),IF('עלויות כח אדם (6)'!J2477&lt;75,"לא תקין","תקין"),"")</f>
        <v/>
      </c>
      <c r="AE2477" s="374" t="str">
        <f t="shared" si="584"/>
        <v/>
      </c>
      <c r="AF2477" s="532" t="str">
        <f t="shared" si="585"/>
        <v/>
      </c>
    </row>
    <row r="2478" spans="2:32" x14ac:dyDescent="0.25">
      <c r="B2478" s="695"/>
      <c r="C2478" s="197" t="str">
        <f>IF(B2478&lt;&gt;"",IFERROR(VLOOKUP(B:B,'מצבת והרשמה (2)'!$C$20:$N$520,2,0)," ")," ")</f>
        <v xml:space="preserve"> </v>
      </c>
      <c r="D2478" s="695"/>
      <c r="E2478" s="696"/>
      <c r="F2478" s="696"/>
      <c r="G2478" s="696"/>
      <c r="H2478" s="696"/>
      <c r="I2478" s="1050" t="str">
        <f t="shared" si="572"/>
        <v/>
      </c>
      <c r="J2478" s="696"/>
      <c r="K2478" s="697"/>
      <c r="L2478" s="696"/>
      <c r="M2478" s="198" t="str">
        <f t="shared" si="573"/>
        <v/>
      </c>
      <c r="N2478" s="369" t="str">
        <f t="shared" si="574"/>
        <v/>
      </c>
      <c r="O2478" s="183" t="str">
        <f t="shared" si="575"/>
        <v/>
      </c>
      <c r="P2478" s="199" t="str">
        <f t="shared" si="576"/>
        <v/>
      </c>
      <c r="Q2478" s="199" t="str">
        <f>IF(B2478="","",IFERROR(IF('עלויות כח אדם (6)'!J2478&gt;=VLOOKUP(I2478,'סיווג התפקידים והעלויות'!$B$23:$C$32,2,0),"תקין","לא תקין"),""))</f>
        <v/>
      </c>
      <c r="R2478" s="199" t="str">
        <f t="shared" si="577"/>
        <v/>
      </c>
      <c r="S2478" s="199" t="str">
        <f t="shared" si="578"/>
        <v/>
      </c>
      <c r="T2478" s="199" t="str">
        <f t="shared" si="586"/>
        <v/>
      </c>
      <c r="U2478" s="199" t="str">
        <f t="shared" si="579"/>
        <v/>
      </c>
      <c r="V2478" s="989"/>
      <c r="X2478" s="374" t="str">
        <f t="shared" si="580"/>
        <v/>
      </c>
      <c r="Y2478" s="375" t="str">
        <f t="shared" si="581"/>
        <v/>
      </c>
      <c r="Z2478" s="374" t="str">
        <f t="shared" si="582"/>
        <v/>
      </c>
      <c r="AA2478" s="374" t="b">
        <f t="shared" si="583"/>
        <v>1</v>
      </c>
      <c r="AB2478" s="374">
        <f>COUNTIFS(B:B,B2478,H:H,'סיווג התפקידים והעלויות'!$C$2)</f>
        <v>0</v>
      </c>
      <c r="AC2478" s="374">
        <f>COUNTIFS(B:B,B2478,H:H,'סיווג התפקידים והעלויות'!$D$2)</f>
        <v>0</v>
      </c>
      <c r="AD2478" s="374" t="str">
        <f>IF(OR(AND(H2478='סיווג התפקידים והעלויות'!$A$2,I2478='סיווג התפקידים והעלויות'!$A$3),'עלויות כח אדם (6)'!H2478='סיווג התפקידים והעלויות'!$C$2,'עלויות כח אדם (6)'!H2478='סיווג התפקידים והעלויות'!$D$2),IF('עלויות כח אדם (6)'!J2478&lt;75,"לא תקין","תקין"),"")</f>
        <v/>
      </c>
      <c r="AE2478" s="374" t="str">
        <f t="shared" si="584"/>
        <v/>
      </c>
      <c r="AF2478" s="532" t="str">
        <f t="shared" si="585"/>
        <v/>
      </c>
    </row>
    <row r="2479" spans="2:32" x14ac:dyDescent="0.25">
      <c r="B2479" s="695"/>
      <c r="C2479" s="197" t="str">
        <f>IF(B2479&lt;&gt;"",IFERROR(VLOOKUP(B:B,'מצבת והרשמה (2)'!$C$20:$N$520,2,0)," ")," ")</f>
        <v xml:space="preserve"> </v>
      </c>
      <c r="D2479" s="695"/>
      <c r="E2479" s="696"/>
      <c r="F2479" s="696"/>
      <c r="G2479" s="696"/>
      <c r="H2479" s="696"/>
      <c r="I2479" s="1050" t="str">
        <f t="shared" si="572"/>
        <v/>
      </c>
      <c r="J2479" s="696"/>
      <c r="K2479" s="697"/>
      <c r="L2479" s="696"/>
      <c r="M2479" s="198" t="str">
        <f t="shared" si="573"/>
        <v/>
      </c>
      <c r="N2479" s="369" t="str">
        <f t="shared" si="574"/>
        <v/>
      </c>
      <c r="O2479" s="183" t="str">
        <f t="shared" si="575"/>
        <v/>
      </c>
      <c r="P2479" s="199" t="str">
        <f t="shared" si="576"/>
        <v/>
      </c>
      <c r="Q2479" s="199" t="str">
        <f>IF(B2479="","",IFERROR(IF('עלויות כח אדם (6)'!J2479&gt;=VLOOKUP(I2479,'סיווג התפקידים והעלויות'!$B$23:$C$32,2,0),"תקין","לא תקין"),""))</f>
        <v/>
      </c>
      <c r="R2479" s="199" t="str">
        <f t="shared" si="577"/>
        <v/>
      </c>
      <c r="S2479" s="199" t="str">
        <f t="shared" si="578"/>
        <v/>
      </c>
      <c r="T2479" s="199" t="str">
        <f t="shared" si="586"/>
        <v/>
      </c>
      <c r="U2479" s="199" t="str">
        <f t="shared" si="579"/>
        <v/>
      </c>
      <c r="V2479" s="989"/>
      <c r="X2479" s="374" t="str">
        <f t="shared" si="580"/>
        <v/>
      </c>
      <c r="Y2479" s="375" t="str">
        <f t="shared" si="581"/>
        <v/>
      </c>
      <c r="Z2479" s="374" t="str">
        <f t="shared" si="582"/>
        <v/>
      </c>
      <c r="AA2479" s="374" t="b">
        <f t="shared" si="583"/>
        <v>1</v>
      </c>
      <c r="AB2479" s="374">
        <f>COUNTIFS(B:B,B2479,H:H,'סיווג התפקידים והעלויות'!$C$2)</f>
        <v>0</v>
      </c>
      <c r="AC2479" s="374">
        <f>COUNTIFS(B:B,B2479,H:H,'סיווג התפקידים והעלויות'!$D$2)</f>
        <v>0</v>
      </c>
      <c r="AD2479" s="374" t="str">
        <f>IF(OR(AND(H2479='סיווג התפקידים והעלויות'!$A$2,I2479='סיווג התפקידים והעלויות'!$A$3),'עלויות כח אדם (6)'!H2479='סיווג התפקידים והעלויות'!$C$2,'עלויות כח אדם (6)'!H2479='סיווג התפקידים והעלויות'!$D$2),IF('עלויות כח אדם (6)'!J2479&lt;75,"לא תקין","תקין"),"")</f>
        <v/>
      </c>
      <c r="AE2479" s="374" t="str">
        <f t="shared" si="584"/>
        <v/>
      </c>
      <c r="AF2479" s="532" t="str">
        <f t="shared" si="585"/>
        <v/>
      </c>
    </row>
    <row r="2480" spans="2:32" x14ac:dyDescent="0.25">
      <c r="B2480" s="695"/>
      <c r="C2480" s="197" t="str">
        <f>IF(B2480&lt;&gt;"",IFERROR(VLOOKUP(B:B,'מצבת והרשמה (2)'!$C$20:$N$520,2,0)," ")," ")</f>
        <v xml:space="preserve"> </v>
      </c>
      <c r="D2480" s="695"/>
      <c r="E2480" s="696"/>
      <c r="F2480" s="696"/>
      <c r="G2480" s="696"/>
      <c r="H2480" s="696"/>
      <c r="I2480" s="1050" t="str">
        <f t="shared" si="572"/>
        <v/>
      </c>
      <c r="J2480" s="696"/>
      <c r="K2480" s="697"/>
      <c r="L2480" s="696"/>
      <c r="M2480" s="198" t="str">
        <f t="shared" si="573"/>
        <v/>
      </c>
      <c r="N2480" s="369" t="str">
        <f t="shared" si="574"/>
        <v/>
      </c>
      <c r="O2480" s="183" t="str">
        <f t="shared" si="575"/>
        <v/>
      </c>
      <c r="P2480" s="199" t="str">
        <f t="shared" si="576"/>
        <v/>
      </c>
      <c r="Q2480" s="199" t="str">
        <f>IF(B2480="","",IFERROR(IF('עלויות כח אדם (6)'!J2480&gt;=VLOOKUP(I2480,'סיווג התפקידים והעלויות'!$B$23:$C$32,2,0),"תקין","לא תקין"),""))</f>
        <v/>
      </c>
      <c r="R2480" s="199" t="str">
        <f t="shared" si="577"/>
        <v/>
      </c>
      <c r="S2480" s="199" t="str">
        <f t="shared" si="578"/>
        <v/>
      </c>
      <c r="T2480" s="199" t="str">
        <f t="shared" si="586"/>
        <v/>
      </c>
      <c r="U2480" s="199" t="str">
        <f t="shared" si="579"/>
        <v/>
      </c>
      <c r="V2480" s="989"/>
      <c r="X2480" s="374" t="str">
        <f t="shared" si="580"/>
        <v/>
      </c>
      <c r="Y2480" s="375" t="str">
        <f t="shared" si="581"/>
        <v/>
      </c>
      <c r="Z2480" s="374" t="str">
        <f t="shared" si="582"/>
        <v/>
      </c>
      <c r="AA2480" s="374" t="b">
        <f t="shared" si="583"/>
        <v>1</v>
      </c>
      <c r="AB2480" s="374">
        <f>COUNTIFS(B:B,B2480,H:H,'סיווג התפקידים והעלויות'!$C$2)</f>
        <v>0</v>
      </c>
      <c r="AC2480" s="374">
        <f>COUNTIFS(B:B,B2480,H:H,'סיווג התפקידים והעלויות'!$D$2)</f>
        <v>0</v>
      </c>
      <c r="AD2480" s="374" t="str">
        <f>IF(OR(AND(H2480='סיווג התפקידים והעלויות'!$A$2,I2480='סיווג התפקידים והעלויות'!$A$3),'עלויות כח אדם (6)'!H2480='סיווג התפקידים והעלויות'!$C$2,'עלויות כח אדם (6)'!H2480='סיווג התפקידים והעלויות'!$D$2),IF('עלויות כח אדם (6)'!J2480&lt;75,"לא תקין","תקין"),"")</f>
        <v/>
      </c>
      <c r="AE2480" s="374" t="str">
        <f t="shared" si="584"/>
        <v/>
      </c>
      <c r="AF2480" s="532" t="str">
        <f t="shared" si="585"/>
        <v/>
      </c>
    </row>
    <row r="2481" spans="2:32" x14ac:dyDescent="0.25">
      <c r="B2481" s="695"/>
      <c r="C2481" s="197" t="str">
        <f>IF(B2481&lt;&gt;"",IFERROR(VLOOKUP(B:B,'מצבת והרשמה (2)'!$C$20:$N$520,2,0)," ")," ")</f>
        <v xml:space="preserve"> </v>
      </c>
      <c r="D2481" s="695"/>
      <c r="E2481" s="696"/>
      <c r="F2481" s="696"/>
      <c r="G2481" s="696"/>
      <c r="H2481" s="696"/>
      <c r="I2481" s="1050" t="str">
        <f t="shared" si="572"/>
        <v/>
      </c>
      <c r="J2481" s="696"/>
      <c r="K2481" s="697"/>
      <c r="L2481" s="696"/>
      <c r="M2481" s="198" t="str">
        <f t="shared" si="573"/>
        <v/>
      </c>
      <c r="N2481" s="369" t="str">
        <f t="shared" si="574"/>
        <v/>
      </c>
      <c r="O2481" s="183" t="str">
        <f t="shared" si="575"/>
        <v/>
      </c>
      <c r="P2481" s="199" t="str">
        <f t="shared" si="576"/>
        <v/>
      </c>
      <c r="Q2481" s="199" t="str">
        <f>IF(B2481="","",IFERROR(IF('עלויות כח אדם (6)'!J2481&gt;=VLOOKUP(I2481,'סיווג התפקידים והעלויות'!$B$23:$C$32,2,0),"תקין","לא תקין"),""))</f>
        <v/>
      </c>
      <c r="R2481" s="199" t="str">
        <f t="shared" si="577"/>
        <v/>
      </c>
      <c r="S2481" s="199" t="str">
        <f t="shared" si="578"/>
        <v/>
      </c>
      <c r="T2481" s="199" t="str">
        <f t="shared" si="586"/>
        <v/>
      </c>
      <c r="U2481" s="199" t="str">
        <f t="shared" si="579"/>
        <v/>
      </c>
      <c r="V2481" s="989"/>
      <c r="X2481" s="374" t="str">
        <f t="shared" si="580"/>
        <v/>
      </c>
      <c r="Y2481" s="375" t="str">
        <f t="shared" si="581"/>
        <v/>
      </c>
      <c r="Z2481" s="374" t="str">
        <f t="shared" si="582"/>
        <v/>
      </c>
      <c r="AA2481" s="374" t="b">
        <f t="shared" si="583"/>
        <v>1</v>
      </c>
      <c r="AB2481" s="374">
        <f>COUNTIFS(B:B,B2481,H:H,'סיווג התפקידים והעלויות'!$C$2)</f>
        <v>0</v>
      </c>
      <c r="AC2481" s="374">
        <f>COUNTIFS(B:B,B2481,H:H,'סיווג התפקידים והעלויות'!$D$2)</f>
        <v>0</v>
      </c>
      <c r="AD2481" s="374" t="str">
        <f>IF(OR(AND(H2481='סיווג התפקידים והעלויות'!$A$2,I2481='סיווג התפקידים והעלויות'!$A$3),'עלויות כח אדם (6)'!H2481='סיווג התפקידים והעלויות'!$C$2,'עלויות כח אדם (6)'!H2481='סיווג התפקידים והעלויות'!$D$2),IF('עלויות כח אדם (6)'!J2481&lt;75,"לא תקין","תקין"),"")</f>
        <v/>
      </c>
      <c r="AE2481" s="374" t="str">
        <f t="shared" si="584"/>
        <v/>
      </c>
      <c r="AF2481" s="532" t="str">
        <f t="shared" si="585"/>
        <v/>
      </c>
    </row>
    <row r="2482" spans="2:32" x14ac:dyDescent="0.25">
      <c r="B2482" s="695"/>
      <c r="C2482" s="197" t="str">
        <f>IF(B2482&lt;&gt;"",IFERROR(VLOOKUP(B:B,'מצבת והרשמה (2)'!$C$20:$N$520,2,0)," ")," ")</f>
        <v xml:space="preserve"> </v>
      </c>
      <c r="D2482" s="695"/>
      <c r="E2482" s="696"/>
      <c r="F2482" s="696"/>
      <c r="G2482" s="696"/>
      <c r="H2482" s="696"/>
      <c r="I2482" s="1050" t="str">
        <f t="shared" si="572"/>
        <v/>
      </c>
      <c r="J2482" s="696"/>
      <c r="K2482" s="697"/>
      <c r="L2482" s="696"/>
      <c r="M2482" s="198" t="str">
        <f t="shared" si="573"/>
        <v/>
      </c>
      <c r="N2482" s="369" t="str">
        <f t="shared" si="574"/>
        <v/>
      </c>
      <c r="O2482" s="183" t="str">
        <f t="shared" si="575"/>
        <v/>
      </c>
      <c r="P2482" s="199" t="str">
        <f t="shared" si="576"/>
        <v/>
      </c>
      <c r="Q2482" s="199" t="str">
        <f>IF(B2482="","",IFERROR(IF('עלויות כח אדם (6)'!J2482&gt;=VLOOKUP(I2482,'סיווג התפקידים והעלויות'!$B$23:$C$32,2,0),"תקין","לא תקין"),""))</f>
        <v/>
      </c>
      <c r="R2482" s="199" t="str">
        <f t="shared" si="577"/>
        <v/>
      </c>
      <c r="S2482" s="199" t="str">
        <f t="shared" si="578"/>
        <v/>
      </c>
      <c r="T2482" s="199" t="str">
        <f t="shared" si="586"/>
        <v/>
      </c>
      <c r="U2482" s="199" t="str">
        <f t="shared" si="579"/>
        <v/>
      </c>
      <c r="V2482" s="989"/>
      <c r="X2482" s="374" t="str">
        <f t="shared" si="580"/>
        <v/>
      </c>
      <c r="Y2482" s="375" t="str">
        <f t="shared" si="581"/>
        <v/>
      </c>
      <c r="Z2482" s="374" t="str">
        <f t="shared" si="582"/>
        <v/>
      </c>
      <c r="AA2482" s="374" t="b">
        <f t="shared" si="583"/>
        <v>1</v>
      </c>
      <c r="AB2482" s="374">
        <f>COUNTIFS(B:B,B2482,H:H,'סיווג התפקידים והעלויות'!$C$2)</f>
        <v>0</v>
      </c>
      <c r="AC2482" s="374">
        <f>COUNTIFS(B:B,B2482,H:H,'סיווג התפקידים והעלויות'!$D$2)</f>
        <v>0</v>
      </c>
      <c r="AD2482" s="374" t="str">
        <f>IF(OR(AND(H2482='סיווג התפקידים והעלויות'!$A$2,I2482='סיווג התפקידים והעלויות'!$A$3),'עלויות כח אדם (6)'!H2482='סיווג התפקידים והעלויות'!$C$2,'עלויות כח אדם (6)'!H2482='סיווג התפקידים והעלויות'!$D$2),IF('עלויות כח אדם (6)'!J2482&lt;75,"לא תקין","תקין"),"")</f>
        <v/>
      </c>
      <c r="AE2482" s="374" t="str">
        <f t="shared" si="584"/>
        <v/>
      </c>
      <c r="AF2482" s="532" t="str">
        <f t="shared" si="585"/>
        <v/>
      </c>
    </row>
    <row r="2483" spans="2:32" x14ac:dyDescent="0.25">
      <c r="B2483" s="695"/>
      <c r="C2483" s="197" t="str">
        <f>IF(B2483&lt;&gt;"",IFERROR(VLOOKUP(B:B,'מצבת והרשמה (2)'!$C$20:$N$520,2,0)," ")," ")</f>
        <v xml:space="preserve"> </v>
      </c>
      <c r="D2483" s="695"/>
      <c r="E2483" s="696"/>
      <c r="F2483" s="696"/>
      <c r="G2483" s="696"/>
      <c r="H2483" s="696"/>
      <c r="I2483" s="1050" t="str">
        <f t="shared" si="572"/>
        <v/>
      </c>
      <c r="J2483" s="696"/>
      <c r="K2483" s="697"/>
      <c r="L2483" s="696"/>
      <c r="M2483" s="198" t="str">
        <f t="shared" si="573"/>
        <v/>
      </c>
      <c r="N2483" s="369" t="str">
        <f t="shared" si="574"/>
        <v/>
      </c>
      <c r="O2483" s="183" t="str">
        <f t="shared" si="575"/>
        <v/>
      </c>
      <c r="P2483" s="199" t="str">
        <f t="shared" si="576"/>
        <v/>
      </c>
      <c r="Q2483" s="199" t="str">
        <f>IF(B2483="","",IFERROR(IF('עלויות כח אדם (6)'!J2483&gt;=VLOOKUP(I2483,'סיווג התפקידים והעלויות'!$B$23:$C$32,2,0),"תקין","לא תקין"),""))</f>
        <v/>
      </c>
      <c r="R2483" s="199" t="str">
        <f t="shared" si="577"/>
        <v/>
      </c>
      <c r="S2483" s="199" t="str">
        <f t="shared" si="578"/>
        <v/>
      </c>
      <c r="T2483" s="199" t="str">
        <f t="shared" si="586"/>
        <v/>
      </c>
      <c r="U2483" s="199" t="str">
        <f t="shared" si="579"/>
        <v/>
      </c>
      <c r="V2483" s="989"/>
      <c r="X2483" s="374" t="str">
        <f t="shared" si="580"/>
        <v/>
      </c>
      <c r="Y2483" s="375" t="str">
        <f t="shared" si="581"/>
        <v/>
      </c>
      <c r="Z2483" s="374" t="str">
        <f t="shared" si="582"/>
        <v/>
      </c>
      <c r="AA2483" s="374" t="b">
        <f t="shared" si="583"/>
        <v>1</v>
      </c>
      <c r="AB2483" s="374">
        <f>COUNTIFS(B:B,B2483,H:H,'סיווג התפקידים והעלויות'!$C$2)</f>
        <v>0</v>
      </c>
      <c r="AC2483" s="374">
        <f>COUNTIFS(B:B,B2483,H:H,'סיווג התפקידים והעלויות'!$D$2)</f>
        <v>0</v>
      </c>
      <c r="AD2483" s="374" t="str">
        <f>IF(OR(AND(H2483='סיווג התפקידים והעלויות'!$A$2,I2483='סיווג התפקידים והעלויות'!$A$3),'עלויות כח אדם (6)'!H2483='סיווג התפקידים והעלויות'!$C$2,'עלויות כח אדם (6)'!H2483='סיווג התפקידים והעלויות'!$D$2),IF('עלויות כח אדם (6)'!J2483&lt;75,"לא תקין","תקין"),"")</f>
        <v/>
      </c>
      <c r="AE2483" s="374" t="str">
        <f t="shared" si="584"/>
        <v/>
      </c>
      <c r="AF2483" s="532" t="str">
        <f t="shared" si="585"/>
        <v/>
      </c>
    </row>
    <row r="2484" spans="2:32" x14ac:dyDescent="0.25">
      <c r="B2484" s="695"/>
      <c r="C2484" s="197" t="str">
        <f>IF(B2484&lt;&gt;"",IFERROR(VLOOKUP(B:B,'מצבת והרשמה (2)'!$C$20:$N$520,2,0)," ")," ")</f>
        <v xml:space="preserve"> </v>
      </c>
      <c r="D2484" s="695"/>
      <c r="E2484" s="696"/>
      <c r="F2484" s="696"/>
      <c r="G2484" s="696"/>
      <c r="H2484" s="696"/>
      <c r="I2484" s="1050" t="str">
        <f t="shared" si="572"/>
        <v/>
      </c>
      <c r="J2484" s="696"/>
      <c r="K2484" s="697"/>
      <c r="L2484" s="696"/>
      <c r="M2484" s="198" t="str">
        <f t="shared" si="573"/>
        <v/>
      </c>
      <c r="N2484" s="369" t="str">
        <f t="shared" si="574"/>
        <v/>
      </c>
      <c r="O2484" s="183" t="str">
        <f t="shared" si="575"/>
        <v/>
      </c>
      <c r="P2484" s="199" t="str">
        <f t="shared" si="576"/>
        <v/>
      </c>
      <c r="Q2484" s="199" t="str">
        <f>IF(B2484="","",IFERROR(IF('עלויות כח אדם (6)'!J2484&gt;=VLOOKUP(I2484,'סיווג התפקידים והעלויות'!$B$23:$C$32,2,0),"תקין","לא תקין"),""))</f>
        <v/>
      </c>
      <c r="R2484" s="199" t="str">
        <f t="shared" si="577"/>
        <v/>
      </c>
      <c r="S2484" s="199" t="str">
        <f t="shared" si="578"/>
        <v/>
      </c>
      <c r="T2484" s="199" t="str">
        <f t="shared" si="586"/>
        <v/>
      </c>
      <c r="U2484" s="199" t="str">
        <f t="shared" si="579"/>
        <v/>
      </c>
      <c r="V2484" s="989"/>
      <c r="X2484" s="374" t="str">
        <f t="shared" si="580"/>
        <v/>
      </c>
      <c r="Y2484" s="375" t="str">
        <f t="shared" si="581"/>
        <v/>
      </c>
      <c r="Z2484" s="374" t="str">
        <f t="shared" si="582"/>
        <v/>
      </c>
      <c r="AA2484" s="374" t="b">
        <f t="shared" si="583"/>
        <v>1</v>
      </c>
      <c r="AB2484" s="374">
        <f>COUNTIFS(B:B,B2484,H:H,'סיווג התפקידים והעלויות'!$C$2)</f>
        <v>0</v>
      </c>
      <c r="AC2484" s="374">
        <f>COUNTIFS(B:B,B2484,H:H,'סיווג התפקידים והעלויות'!$D$2)</f>
        <v>0</v>
      </c>
      <c r="AD2484" s="374" t="str">
        <f>IF(OR(AND(H2484='סיווג התפקידים והעלויות'!$A$2,I2484='סיווג התפקידים והעלויות'!$A$3),'עלויות כח אדם (6)'!H2484='סיווג התפקידים והעלויות'!$C$2,'עלויות כח אדם (6)'!H2484='סיווג התפקידים והעלויות'!$D$2),IF('עלויות כח אדם (6)'!J2484&lt;75,"לא תקין","תקין"),"")</f>
        <v/>
      </c>
      <c r="AE2484" s="374" t="str">
        <f t="shared" si="584"/>
        <v/>
      </c>
      <c r="AF2484" s="532" t="str">
        <f t="shared" si="585"/>
        <v/>
      </c>
    </row>
    <row r="2485" spans="2:32" x14ac:dyDescent="0.25">
      <c r="B2485" s="695"/>
      <c r="C2485" s="197" t="str">
        <f>IF(B2485&lt;&gt;"",IFERROR(VLOOKUP(B:B,'מצבת והרשמה (2)'!$C$20:$N$520,2,0)," ")," ")</f>
        <v xml:space="preserve"> </v>
      </c>
      <c r="D2485" s="695"/>
      <c r="E2485" s="696"/>
      <c r="F2485" s="696"/>
      <c r="G2485" s="696"/>
      <c r="H2485" s="696"/>
      <c r="I2485" s="1050" t="str">
        <f t="shared" si="572"/>
        <v/>
      </c>
      <c r="J2485" s="696"/>
      <c r="K2485" s="697"/>
      <c r="L2485" s="696"/>
      <c r="M2485" s="198" t="str">
        <f t="shared" si="573"/>
        <v/>
      </c>
      <c r="N2485" s="369" t="str">
        <f t="shared" si="574"/>
        <v/>
      </c>
      <c r="O2485" s="183" t="str">
        <f t="shared" si="575"/>
        <v/>
      </c>
      <c r="P2485" s="199" t="str">
        <f t="shared" si="576"/>
        <v/>
      </c>
      <c r="Q2485" s="199" t="str">
        <f>IF(B2485="","",IFERROR(IF('עלויות כח אדם (6)'!J2485&gt;=VLOOKUP(I2485,'סיווג התפקידים והעלויות'!$B$23:$C$32,2,0),"תקין","לא תקין"),""))</f>
        <v/>
      </c>
      <c r="R2485" s="199" t="str">
        <f t="shared" si="577"/>
        <v/>
      </c>
      <c r="S2485" s="199" t="str">
        <f t="shared" si="578"/>
        <v/>
      </c>
      <c r="T2485" s="199" t="str">
        <f t="shared" si="586"/>
        <v/>
      </c>
      <c r="U2485" s="199" t="str">
        <f t="shared" si="579"/>
        <v/>
      </c>
      <c r="V2485" s="989"/>
      <c r="X2485" s="374" t="str">
        <f t="shared" si="580"/>
        <v/>
      </c>
      <c r="Y2485" s="375" t="str">
        <f t="shared" si="581"/>
        <v/>
      </c>
      <c r="Z2485" s="374" t="str">
        <f t="shared" si="582"/>
        <v/>
      </c>
      <c r="AA2485" s="374" t="b">
        <f t="shared" si="583"/>
        <v>1</v>
      </c>
      <c r="AB2485" s="374">
        <f>COUNTIFS(B:B,B2485,H:H,'סיווג התפקידים והעלויות'!$C$2)</f>
        <v>0</v>
      </c>
      <c r="AC2485" s="374">
        <f>COUNTIFS(B:B,B2485,H:H,'סיווג התפקידים והעלויות'!$D$2)</f>
        <v>0</v>
      </c>
      <c r="AD2485" s="374" t="str">
        <f>IF(OR(AND(H2485='סיווג התפקידים והעלויות'!$A$2,I2485='סיווג התפקידים והעלויות'!$A$3),'עלויות כח אדם (6)'!H2485='סיווג התפקידים והעלויות'!$C$2,'עלויות כח אדם (6)'!H2485='סיווג התפקידים והעלויות'!$D$2),IF('עלויות כח אדם (6)'!J2485&lt;75,"לא תקין","תקין"),"")</f>
        <v/>
      </c>
      <c r="AE2485" s="374" t="str">
        <f t="shared" si="584"/>
        <v/>
      </c>
      <c r="AF2485" s="532" t="str">
        <f t="shared" si="585"/>
        <v/>
      </c>
    </row>
    <row r="2486" spans="2:32" x14ac:dyDescent="0.25">
      <c r="B2486" s="695"/>
      <c r="C2486" s="197" t="str">
        <f>IF(B2486&lt;&gt;"",IFERROR(VLOOKUP(B:B,'מצבת והרשמה (2)'!$C$20:$N$520,2,0)," ")," ")</f>
        <v xml:space="preserve"> </v>
      </c>
      <c r="D2486" s="695"/>
      <c r="E2486" s="696"/>
      <c r="F2486" s="696"/>
      <c r="G2486" s="696"/>
      <c r="H2486" s="696"/>
      <c r="I2486" s="1050" t="str">
        <f t="shared" si="572"/>
        <v/>
      </c>
      <c r="J2486" s="696"/>
      <c r="K2486" s="697"/>
      <c r="L2486" s="696"/>
      <c r="M2486" s="198" t="str">
        <f t="shared" si="573"/>
        <v/>
      </c>
      <c r="N2486" s="369" t="str">
        <f t="shared" si="574"/>
        <v/>
      </c>
      <c r="O2486" s="183" t="str">
        <f t="shared" si="575"/>
        <v/>
      </c>
      <c r="P2486" s="199" t="str">
        <f t="shared" si="576"/>
        <v/>
      </c>
      <c r="Q2486" s="199" t="str">
        <f>IF(B2486="","",IFERROR(IF('עלויות כח אדם (6)'!J2486&gt;=VLOOKUP(I2486,'סיווג התפקידים והעלויות'!$B$23:$C$32,2,0),"תקין","לא תקין"),""))</f>
        <v/>
      </c>
      <c r="R2486" s="199" t="str">
        <f t="shared" si="577"/>
        <v/>
      </c>
      <c r="S2486" s="199" t="str">
        <f t="shared" si="578"/>
        <v/>
      </c>
      <c r="T2486" s="199" t="str">
        <f t="shared" si="586"/>
        <v/>
      </c>
      <c r="U2486" s="199" t="str">
        <f t="shared" si="579"/>
        <v/>
      </c>
      <c r="V2486" s="989"/>
      <c r="X2486" s="374" t="str">
        <f t="shared" si="580"/>
        <v/>
      </c>
      <c r="Y2486" s="375" t="str">
        <f t="shared" si="581"/>
        <v/>
      </c>
      <c r="Z2486" s="374" t="str">
        <f t="shared" si="582"/>
        <v/>
      </c>
      <c r="AA2486" s="374" t="b">
        <f t="shared" si="583"/>
        <v>1</v>
      </c>
      <c r="AB2486" s="374">
        <f>COUNTIFS(B:B,B2486,H:H,'סיווג התפקידים והעלויות'!$C$2)</f>
        <v>0</v>
      </c>
      <c r="AC2486" s="374">
        <f>COUNTIFS(B:B,B2486,H:H,'סיווג התפקידים והעלויות'!$D$2)</f>
        <v>0</v>
      </c>
      <c r="AD2486" s="374" t="str">
        <f>IF(OR(AND(H2486='סיווג התפקידים והעלויות'!$A$2,I2486='סיווג התפקידים והעלויות'!$A$3),'עלויות כח אדם (6)'!H2486='סיווג התפקידים והעלויות'!$C$2,'עלויות כח אדם (6)'!H2486='סיווג התפקידים והעלויות'!$D$2),IF('עלויות כח אדם (6)'!J2486&lt;75,"לא תקין","תקין"),"")</f>
        <v/>
      </c>
      <c r="AE2486" s="374" t="str">
        <f t="shared" si="584"/>
        <v/>
      </c>
      <c r="AF2486" s="532" t="str">
        <f t="shared" si="585"/>
        <v/>
      </c>
    </row>
    <row r="2487" spans="2:32" x14ac:dyDescent="0.25">
      <c r="B2487" s="695"/>
      <c r="C2487" s="197" t="str">
        <f>IF(B2487&lt;&gt;"",IFERROR(VLOOKUP(B:B,'מצבת והרשמה (2)'!$C$20:$N$520,2,0)," ")," ")</f>
        <v xml:space="preserve"> </v>
      </c>
      <c r="D2487" s="695"/>
      <c r="E2487" s="696"/>
      <c r="F2487" s="696"/>
      <c r="G2487" s="696"/>
      <c r="H2487" s="696"/>
      <c r="I2487" s="1050" t="str">
        <f t="shared" si="572"/>
        <v/>
      </c>
      <c r="J2487" s="696"/>
      <c r="K2487" s="697"/>
      <c r="L2487" s="696"/>
      <c r="M2487" s="198" t="str">
        <f t="shared" si="573"/>
        <v/>
      </c>
      <c r="N2487" s="369" t="str">
        <f t="shared" si="574"/>
        <v/>
      </c>
      <c r="O2487" s="183" t="str">
        <f t="shared" si="575"/>
        <v/>
      </c>
      <c r="P2487" s="199" t="str">
        <f t="shared" si="576"/>
        <v/>
      </c>
      <c r="Q2487" s="199" t="str">
        <f>IF(B2487="","",IFERROR(IF('עלויות כח אדם (6)'!J2487&gt;=VLOOKUP(I2487,'סיווג התפקידים והעלויות'!$B$23:$C$32,2,0),"תקין","לא תקין"),""))</f>
        <v/>
      </c>
      <c r="R2487" s="199" t="str">
        <f t="shared" si="577"/>
        <v/>
      </c>
      <c r="S2487" s="199" t="str">
        <f t="shared" si="578"/>
        <v/>
      </c>
      <c r="T2487" s="199" t="str">
        <f t="shared" si="586"/>
        <v/>
      </c>
      <c r="U2487" s="199" t="str">
        <f t="shared" si="579"/>
        <v/>
      </c>
      <c r="V2487" s="989"/>
      <c r="X2487" s="374" t="str">
        <f t="shared" si="580"/>
        <v/>
      </c>
      <c r="Y2487" s="375" t="str">
        <f t="shared" si="581"/>
        <v/>
      </c>
      <c r="Z2487" s="374" t="str">
        <f t="shared" si="582"/>
        <v/>
      </c>
      <c r="AA2487" s="374" t="b">
        <f t="shared" si="583"/>
        <v>1</v>
      </c>
      <c r="AB2487" s="374">
        <f>COUNTIFS(B:B,B2487,H:H,'סיווג התפקידים והעלויות'!$C$2)</f>
        <v>0</v>
      </c>
      <c r="AC2487" s="374">
        <f>COUNTIFS(B:B,B2487,H:H,'סיווג התפקידים והעלויות'!$D$2)</f>
        <v>0</v>
      </c>
      <c r="AD2487" s="374" t="str">
        <f>IF(OR(AND(H2487='סיווג התפקידים והעלויות'!$A$2,I2487='סיווג התפקידים והעלויות'!$A$3),'עלויות כח אדם (6)'!H2487='סיווג התפקידים והעלויות'!$C$2,'עלויות כח אדם (6)'!H2487='סיווג התפקידים והעלויות'!$D$2),IF('עלויות כח אדם (6)'!J2487&lt;75,"לא תקין","תקין"),"")</f>
        <v/>
      </c>
      <c r="AE2487" s="374" t="str">
        <f t="shared" si="584"/>
        <v/>
      </c>
      <c r="AF2487" s="532" t="str">
        <f t="shared" si="585"/>
        <v/>
      </c>
    </row>
    <row r="2488" spans="2:32" x14ac:dyDescent="0.25">
      <c r="B2488" s="695"/>
      <c r="C2488" s="197" t="str">
        <f>IF(B2488&lt;&gt;"",IFERROR(VLOOKUP(B:B,'מצבת והרשמה (2)'!$C$20:$N$520,2,0)," ")," ")</f>
        <v xml:space="preserve"> </v>
      </c>
      <c r="D2488" s="695"/>
      <c r="E2488" s="696"/>
      <c r="F2488" s="696"/>
      <c r="G2488" s="696"/>
      <c r="H2488" s="696"/>
      <c r="I2488" s="1050" t="str">
        <f t="shared" si="572"/>
        <v/>
      </c>
      <c r="J2488" s="696"/>
      <c r="K2488" s="697"/>
      <c r="L2488" s="696"/>
      <c r="M2488" s="198" t="str">
        <f t="shared" si="573"/>
        <v/>
      </c>
      <c r="N2488" s="369" t="str">
        <f t="shared" si="574"/>
        <v/>
      </c>
      <c r="O2488" s="183" t="str">
        <f t="shared" si="575"/>
        <v/>
      </c>
      <c r="P2488" s="199" t="str">
        <f t="shared" si="576"/>
        <v/>
      </c>
      <c r="Q2488" s="199" t="str">
        <f>IF(B2488="","",IFERROR(IF('עלויות כח אדם (6)'!J2488&gt;=VLOOKUP(I2488,'סיווג התפקידים והעלויות'!$B$23:$C$32,2,0),"תקין","לא תקין"),""))</f>
        <v/>
      </c>
      <c r="R2488" s="199" t="str">
        <f t="shared" si="577"/>
        <v/>
      </c>
      <c r="S2488" s="199" t="str">
        <f t="shared" si="578"/>
        <v/>
      </c>
      <c r="T2488" s="199" t="str">
        <f t="shared" si="586"/>
        <v/>
      </c>
      <c r="U2488" s="199" t="str">
        <f t="shared" si="579"/>
        <v/>
      </c>
      <c r="V2488" s="989"/>
      <c r="X2488" s="374" t="str">
        <f t="shared" si="580"/>
        <v/>
      </c>
      <c r="Y2488" s="375" t="str">
        <f t="shared" si="581"/>
        <v/>
      </c>
      <c r="Z2488" s="374" t="str">
        <f t="shared" si="582"/>
        <v/>
      </c>
      <c r="AA2488" s="374" t="b">
        <f t="shared" si="583"/>
        <v>1</v>
      </c>
      <c r="AB2488" s="374">
        <f>COUNTIFS(B:B,B2488,H:H,'סיווג התפקידים והעלויות'!$C$2)</f>
        <v>0</v>
      </c>
      <c r="AC2488" s="374">
        <f>COUNTIFS(B:B,B2488,H:H,'סיווג התפקידים והעלויות'!$D$2)</f>
        <v>0</v>
      </c>
      <c r="AD2488" s="374" t="str">
        <f>IF(OR(AND(H2488='סיווג התפקידים והעלויות'!$A$2,I2488='סיווג התפקידים והעלויות'!$A$3),'עלויות כח אדם (6)'!H2488='סיווג התפקידים והעלויות'!$C$2,'עלויות כח אדם (6)'!H2488='סיווג התפקידים והעלויות'!$D$2),IF('עלויות כח אדם (6)'!J2488&lt;75,"לא תקין","תקין"),"")</f>
        <v/>
      </c>
      <c r="AE2488" s="374" t="str">
        <f t="shared" si="584"/>
        <v/>
      </c>
      <c r="AF2488" s="532" t="str">
        <f t="shared" si="585"/>
        <v/>
      </c>
    </row>
    <row r="2489" spans="2:32" x14ac:dyDescent="0.25">
      <c r="B2489" s="695"/>
      <c r="C2489" s="197" t="str">
        <f>IF(B2489&lt;&gt;"",IFERROR(VLOOKUP(B:B,'מצבת והרשמה (2)'!$C$20:$N$520,2,0)," ")," ")</f>
        <v xml:space="preserve"> </v>
      </c>
      <c r="D2489" s="695"/>
      <c r="E2489" s="696"/>
      <c r="F2489" s="696"/>
      <c r="G2489" s="696"/>
      <c r="H2489" s="696"/>
      <c r="I2489" s="1050" t="str">
        <f t="shared" si="572"/>
        <v/>
      </c>
      <c r="J2489" s="696"/>
      <c r="K2489" s="697"/>
      <c r="L2489" s="696"/>
      <c r="M2489" s="198" t="str">
        <f t="shared" si="573"/>
        <v/>
      </c>
      <c r="N2489" s="369" t="str">
        <f t="shared" si="574"/>
        <v/>
      </c>
      <c r="O2489" s="183" t="str">
        <f t="shared" si="575"/>
        <v/>
      </c>
      <c r="P2489" s="199" t="str">
        <f t="shared" si="576"/>
        <v/>
      </c>
      <c r="Q2489" s="199" t="str">
        <f>IF(B2489="","",IFERROR(IF('עלויות כח אדם (6)'!J2489&gt;=VLOOKUP(I2489,'סיווג התפקידים והעלויות'!$B$23:$C$32,2,0),"תקין","לא תקין"),""))</f>
        <v/>
      </c>
      <c r="R2489" s="199" t="str">
        <f t="shared" si="577"/>
        <v/>
      </c>
      <c r="S2489" s="199" t="str">
        <f t="shared" si="578"/>
        <v/>
      </c>
      <c r="T2489" s="199" t="str">
        <f t="shared" si="586"/>
        <v/>
      </c>
      <c r="U2489" s="199" t="str">
        <f t="shared" si="579"/>
        <v/>
      </c>
      <c r="V2489" s="989"/>
      <c r="X2489" s="374" t="str">
        <f t="shared" si="580"/>
        <v/>
      </c>
      <c r="Y2489" s="375" t="str">
        <f t="shared" si="581"/>
        <v/>
      </c>
      <c r="Z2489" s="374" t="str">
        <f t="shared" si="582"/>
        <v/>
      </c>
      <c r="AA2489" s="374" t="b">
        <f t="shared" si="583"/>
        <v>1</v>
      </c>
      <c r="AB2489" s="374">
        <f>COUNTIFS(B:B,B2489,H:H,'סיווג התפקידים והעלויות'!$C$2)</f>
        <v>0</v>
      </c>
      <c r="AC2489" s="374">
        <f>COUNTIFS(B:B,B2489,H:H,'סיווג התפקידים והעלויות'!$D$2)</f>
        <v>0</v>
      </c>
      <c r="AD2489" s="374" t="str">
        <f>IF(OR(AND(H2489='סיווג התפקידים והעלויות'!$A$2,I2489='סיווג התפקידים והעלויות'!$A$3),'עלויות כח אדם (6)'!H2489='סיווג התפקידים והעלויות'!$C$2,'עלויות כח אדם (6)'!H2489='סיווג התפקידים והעלויות'!$D$2),IF('עלויות כח אדם (6)'!J2489&lt;75,"לא תקין","תקין"),"")</f>
        <v/>
      </c>
      <c r="AE2489" s="374" t="str">
        <f t="shared" si="584"/>
        <v/>
      </c>
      <c r="AF2489" s="532" t="str">
        <f t="shared" si="585"/>
        <v/>
      </c>
    </row>
    <row r="2490" spans="2:32" x14ac:dyDescent="0.25">
      <c r="B2490" s="695"/>
      <c r="C2490" s="197" t="str">
        <f>IF(B2490&lt;&gt;"",IFERROR(VLOOKUP(B:B,'מצבת והרשמה (2)'!$C$20:$N$520,2,0)," ")," ")</f>
        <v xml:space="preserve"> </v>
      </c>
      <c r="D2490" s="695"/>
      <c r="E2490" s="696"/>
      <c r="F2490" s="696"/>
      <c r="G2490" s="696"/>
      <c r="H2490" s="696"/>
      <c r="I2490" s="1050" t="str">
        <f t="shared" si="572"/>
        <v/>
      </c>
      <c r="J2490" s="696"/>
      <c r="K2490" s="697"/>
      <c r="L2490" s="696"/>
      <c r="M2490" s="198" t="str">
        <f t="shared" si="573"/>
        <v/>
      </c>
      <c r="N2490" s="369" t="str">
        <f t="shared" si="574"/>
        <v/>
      </c>
      <c r="O2490" s="183" t="str">
        <f t="shared" si="575"/>
        <v/>
      </c>
      <c r="P2490" s="199" t="str">
        <f t="shared" si="576"/>
        <v/>
      </c>
      <c r="Q2490" s="199" t="str">
        <f>IF(B2490="","",IFERROR(IF('עלויות כח אדם (6)'!J2490&gt;=VLOOKUP(I2490,'סיווג התפקידים והעלויות'!$B$23:$C$32,2,0),"תקין","לא תקין"),""))</f>
        <v/>
      </c>
      <c r="R2490" s="199" t="str">
        <f t="shared" si="577"/>
        <v/>
      </c>
      <c r="S2490" s="199" t="str">
        <f t="shared" si="578"/>
        <v/>
      </c>
      <c r="T2490" s="199" t="str">
        <f t="shared" si="586"/>
        <v/>
      </c>
      <c r="U2490" s="199" t="str">
        <f t="shared" si="579"/>
        <v/>
      </c>
      <c r="V2490" s="989"/>
      <c r="X2490" s="374" t="str">
        <f t="shared" si="580"/>
        <v/>
      </c>
      <c r="Y2490" s="375" t="str">
        <f t="shared" si="581"/>
        <v/>
      </c>
      <c r="Z2490" s="374" t="str">
        <f t="shared" si="582"/>
        <v/>
      </c>
      <c r="AA2490" s="374" t="b">
        <f t="shared" si="583"/>
        <v>1</v>
      </c>
      <c r="AB2490" s="374">
        <f>COUNTIFS(B:B,B2490,H:H,'סיווג התפקידים והעלויות'!$C$2)</f>
        <v>0</v>
      </c>
      <c r="AC2490" s="374">
        <f>COUNTIFS(B:B,B2490,H:H,'סיווג התפקידים והעלויות'!$D$2)</f>
        <v>0</v>
      </c>
      <c r="AD2490" s="374" t="str">
        <f>IF(OR(AND(H2490='סיווג התפקידים והעלויות'!$A$2,I2490='סיווג התפקידים והעלויות'!$A$3),'עלויות כח אדם (6)'!H2490='סיווג התפקידים והעלויות'!$C$2,'עלויות כח אדם (6)'!H2490='סיווג התפקידים והעלויות'!$D$2),IF('עלויות כח אדם (6)'!J2490&lt;75,"לא תקין","תקין"),"")</f>
        <v/>
      </c>
      <c r="AE2490" s="374" t="str">
        <f t="shared" si="584"/>
        <v/>
      </c>
      <c r="AF2490" s="532" t="str">
        <f t="shared" si="585"/>
        <v/>
      </c>
    </row>
    <row r="2491" spans="2:32" x14ac:dyDescent="0.25">
      <c r="B2491" s="695"/>
      <c r="C2491" s="197" t="str">
        <f>IF(B2491&lt;&gt;"",IFERROR(VLOOKUP(B:B,'מצבת והרשמה (2)'!$C$20:$N$520,2,0)," ")," ")</f>
        <v xml:space="preserve"> </v>
      </c>
      <c r="D2491" s="695"/>
      <c r="E2491" s="696"/>
      <c r="F2491" s="696"/>
      <c r="G2491" s="696"/>
      <c r="H2491" s="696"/>
      <c r="I2491" s="1050" t="str">
        <f t="shared" si="572"/>
        <v/>
      </c>
      <c r="J2491" s="696"/>
      <c r="K2491" s="697"/>
      <c r="L2491" s="696"/>
      <c r="M2491" s="198" t="str">
        <f t="shared" si="573"/>
        <v/>
      </c>
      <c r="N2491" s="369" t="str">
        <f t="shared" si="574"/>
        <v/>
      </c>
      <c r="O2491" s="183" t="str">
        <f t="shared" si="575"/>
        <v/>
      </c>
      <c r="P2491" s="199" t="str">
        <f t="shared" si="576"/>
        <v/>
      </c>
      <c r="Q2491" s="199" t="str">
        <f>IF(B2491="","",IFERROR(IF('עלויות כח אדם (6)'!J2491&gt;=VLOOKUP(I2491,'סיווג התפקידים והעלויות'!$B$23:$C$32,2,0),"תקין","לא תקין"),""))</f>
        <v/>
      </c>
      <c r="R2491" s="199" t="str">
        <f t="shared" si="577"/>
        <v/>
      </c>
      <c r="S2491" s="199" t="str">
        <f t="shared" si="578"/>
        <v/>
      </c>
      <c r="T2491" s="199" t="str">
        <f t="shared" si="586"/>
        <v/>
      </c>
      <c r="U2491" s="199" t="str">
        <f t="shared" si="579"/>
        <v/>
      </c>
      <c r="V2491" s="989"/>
      <c r="X2491" s="374" t="str">
        <f t="shared" si="580"/>
        <v/>
      </c>
      <c r="Y2491" s="375" t="str">
        <f t="shared" si="581"/>
        <v/>
      </c>
      <c r="Z2491" s="374" t="str">
        <f t="shared" si="582"/>
        <v/>
      </c>
      <c r="AA2491" s="374" t="b">
        <f t="shared" si="583"/>
        <v>1</v>
      </c>
      <c r="AB2491" s="374">
        <f>COUNTIFS(B:B,B2491,H:H,'סיווג התפקידים והעלויות'!$C$2)</f>
        <v>0</v>
      </c>
      <c r="AC2491" s="374">
        <f>COUNTIFS(B:B,B2491,H:H,'סיווג התפקידים והעלויות'!$D$2)</f>
        <v>0</v>
      </c>
      <c r="AD2491" s="374" t="str">
        <f>IF(OR(AND(H2491='סיווג התפקידים והעלויות'!$A$2,I2491='סיווג התפקידים והעלויות'!$A$3),'עלויות כח אדם (6)'!H2491='סיווג התפקידים והעלויות'!$C$2,'עלויות כח אדם (6)'!H2491='סיווג התפקידים והעלויות'!$D$2),IF('עלויות כח אדם (6)'!J2491&lt;75,"לא תקין","תקין"),"")</f>
        <v/>
      </c>
      <c r="AE2491" s="374" t="str">
        <f t="shared" si="584"/>
        <v/>
      </c>
      <c r="AF2491" s="532" t="str">
        <f t="shared" si="585"/>
        <v/>
      </c>
    </row>
    <row r="2492" spans="2:32" x14ac:dyDescent="0.25">
      <c r="B2492" s="695"/>
      <c r="C2492" s="197" t="str">
        <f>IF(B2492&lt;&gt;"",IFERROR(VLOOKUP(B:B,'מצבת והרשמה (2)'!$C$20:$N$520,2,0)," ")," ")</f>
        <v xml:space="preserve"> </v>
      </c>
      <c r="D2492" s="695"/>
      <c r="E2492" s="696"/>
      <c r="F2492" s="696"/>
      <c r="G2492" s="696"/>
      <c r="H2492" s="696"/>
      <c r="I2492" s="1050" t="str">
        <f t="shared" si="572"/>
        <v/>
      </c>
      <c r="J2492" s="696"/>
      <c r="K2492" s="697"/>
      <c r="L2492" s="696"/>
      <c r="M2492" s="198" t="str">
        <f t="shared" si="573"/>
        <v/>
      </c>
      <c r="N2492" s="369" t="str">
        <f t="shared" si="574"/>
        <v/>
      </c>
      <c r="O2492" s="183" t="str">
        <f t="shared" si="575"/>
        <v/>
      </c>
      <c r="P2492" s="199" t="str">
        <f t="shared" si="576"/>
        <v/>
      </c>
      <c r="Q2492" s="199" t="str">
        <f>IF(B2492="","",IFERROR(IF('עלויות כח אדם (6)'!J2492&gt;=VLOOKUP(I2492,'סיווג התפקידים והעלויות'!$B$23:$C$32,2,0),"תקין","לא תקין"),""))</f>
        <v/>
      </c>
      <c r="R2492" s="199" t="str">
        <f t="shared" si="577"/>
        <v/>
      </c>
      <c r="S2492" s="199" t="str">
        <f t="shared" si="578"/>
        <v/>
      </c>
      <c r="T2492" s="199" t="str">
        <f t="shared" si="586"/>
        <v/>
      </c>
      <c r="U2492" s="199" t="str">
        <f t="shared" si="579"/>
        <v/>
      </c>
      <c r="V2492" s="989"/>
      <c r="X2492" s="374" t="str">
        <f t="shared" si="580"/>
        <v/>
      </c>
      <c r="Y2492" s="375" t="str">
        <f t="shared" si="581"/>
        <v/>
      </c>
      <c r="Z2492" s="374" t="str">
        <f t="shared" si="582"/>
        <v/>
      </c>
      <c r="AA2492" s="374" t="b">
        <f t="shared" si="583"/>
        <v>1</v>
      </c>
      <c r="AB2492" s="374">
        <f>COUNTIFS(B:B,B2492,H:H,'סיווג התפקידים והעלויות'!$C$2)</f>
        <v>0</v>
      </c>
      <c r="AC2492" s="374">
        <f>COUNTIFS(B:B,B2492,H:H,'סיווג התפקידים והעלויות'!$D$2)</f>
        <v>0</v>
      </c>
      <c r="AD2492" s="374" t="str">
        <f>IF(OR(AND(H2492='סיווג התפקידים והעלויות'!$A$2,I2492='סיווג התפקידים והעלויות'!$A$3),'עלויות כח אדם (6)'!H2492='סיווג התפקידים והעלויות'!$C$2,'עלויות כח אדם (6)'!H2492='סיווג התפקידים והעלויות'!$D$2),IF('עלויות כח אדם (6)'!J2492&lt;75,"לא תקין","תקין"),"")</f>
        <v/>
      </c>
      <c r="AE2492" s="374" t="str">
        <f t="shared" si="584"/>
        <v/>
      </c>
      <c r="AF2492" s="532" t="str">
        <f t="shared" si="585"/>
        <v/>
      </c>
    </row>
    <row r="2493" spans="2:32" x14ac:dyDescent="0.25">
      <c r="B2493" s="695"/>
      <c r="C2493" s="197" t="str">
        <f>IF(B2493&lt;&gt;"",IFERROR(VLOOKUP(B:B,'מצבת והרשמה (2)'!$C$20:$N$520,2,0)," ")," ")</f>
        <v xml:space="preserve"> </v>
      </c>
      <c r="D2493" s="695"/>
      <c r="E2493" s="696"/>
      <c r="F2493" s="696"/>
      <c r="G2493" s="696"/>
      <c r="H2493" s="696"/>
      <c r="I2493" s="1050" t="str">
        <f t="shared" si="572"/>
        <v/>
      </c>
      <c r="J2493" s="696"/>
      <c r="K2493" s="697"/>
      <c r="L2493" s="696"/>
      <c r="M2493" s="198" t="str">
        <f t="shared" si="573"/>
        <v/>
      </c>
      <c r="N2493" s="369" t="str">
        <f t="shared" si="574"/>
        <v/>
      </c>
      <c r="O2493" s="183" t="str">
        <f t="shared" si="575"/>
        <v/>
      </c>
      <c r="P2493" s="199" t="str">
        <f t="shared" si="576"/>
        <v/>
      </c>
      <c r="Q2493" s="199" t="str">
        <f>IF(B2493="","",IFERROR(IF('עלויות כח אדם (6)'!J2493&gt;=VLOOKUP(I2493,'סיווג התפקידים והעלויות'!$B$23:$C$32,2,0),"תקין","לא תקין"),""))</f>
        <v/>
      </c>
      <c r="R2493" s="199" t="str">
        <f t="shared" si="577"/>
        <v/>
      </c>
      <c r="S2493" s="199" t="str">
        <f t="shared" si="578"/>
        <v/>
      </c>
      <c r="T2493" s="199" t="str">
        <f t="shared" si="586"/>
        <v/>
      </c>
      <c r="U2493" s="199" t="str">
        <f t="shared" si="579"/>
        <v/>
      </c>
      <c r="V2493" s="989"/>
      <c r="X2493" s="374" t="str">
        <f t="shared" si="580"/>
        <v/>
      </c>
      <c r="Y2493" s="375" t="str">
        <f t="shared" si="581"/>
        <v/>
      </c>
      <c r="Z2493" s="374" t="str">
        <f t="shared" si="582"/>
        <v/>
      </c>
      <c r="AA2493" s="374" t="b">
        <f t="shared" si="583"/>
        <v>1</v>
      </c>
      <c r="AB2493" s="374">
        <f>COUNTIFS(B:B,B2493,H:H,'סיווג התפקידים והעלויות'!$C$2)</f>
        <v>0</v>
      </c>
      <c r="AC2493" s="374">
        <f>COUNTIFS(B:B,B2493,H:H,'סיווג התפקידים והעלויות'!$D$2)</f>
        <v>0</v>
      </c>
      <c r="AD2493" s="374" t="str">
        <f>IF(OR(AND(H2493='סיווג התפקידים והעלויות'!$A$2,I2493='סיווג התפקידים והעלויות'!$A$3),'עלויות כח אדם (6)'!H2493='סיווג התפקידים והעלויות'!$C$2,'עלויות כח אדם (6)'!H2493='סיווג התפקידים והעלויות'!$D$2),IF('עלויות כח אדם (6)'!J2493&lt;75,"לא תקין","תקין"),"")</f>
        <v/>
      </c>
      <c r="AE2493" s="374" t="str">
        <f t="shared" si="584"/>
        <v/>
      </c>
      <c r="AF2493" s="532" t="str">
        <f t="shared" si="585"/>
        <v/>
      </c>
    </row>
    <row r="2494" spans="2:32" x14ac:dyDescent="0.25">
      <c r="B2494" s="695"/>
      <c r="C2494" s="197" t="str">
        <f>IF(B2494&lt;&gt;"",IFERROR(VLOOKUP(B:B,'מצבת והרשמה (2)'!$C$20:$N$520,2,0)," ")," ")</f>
        <v xml:space="preserve"> </v>
      </c>
      <c r="D2494" s="695"/>
      <c r="E2494" s="696"/>
      <c r="F2494" s="696"/>
      <c r="G2494" s="696"/>
      <c r="H2494" s="696"/>
      <c r="I2494" s="1050" t="str">
        <f t="shared" si="572"/>
        <v/>
      </c>
      <c r="J2494" s="696"/>
      <c r="K2494" s="697"/>
      <c r="L2494" s="696"/>
      <c r="M2494" s="198" t="str">
        <f t="shared" si="573"/>
        <v/>
      </c>
      <c r="N2494" s="369" t="str">
        <f t="shared" si="574"/>
        <v/>
      </c>
      <c r="O2494" s="183" t="str">
        <f t="shared" si="575"/>
        <v/>
      </c>
      <c r="P2494" s="199" t="str">
        <f t="shared" si="576"/>
        <v/>
      </c>
      <c r="Q2494" s="199" t="str">
        <f>IF(B2494="","",IFERROR(IF('עלויות כח אדם (6)'!J2494&gt;=VLOOKUP(I2494,'סיווג התפקידים והעלויות'!$B$23:$C$32,2,0),"תקין","לא תקין"),""))</f>
        <v/>
      </c>
      <c r="R2494" s="199" t="str">
        <f t="shared" si="577"/>
        <v/>
      </c>
      <c r="S2494" s="199" t="str">
        <f t="shared" si="578"/>
        <v/>
      </c>
      <c r="T2494" s="199" t="str">
        <f t="shared" si="586"/>
        <v/>
      </c>
      <c r="U2494" s="199" t="str">
        <f t="shared" si="579"/>
        <v/>
      </c>
      <c r="V2494" s="989"/>
      <c r="X2494" s="374" t="str">
        <f t="shared" si="580"/>
        <v/>
      </c>
      <c r="Y2494" s="375" t="str">
        <f t="shared" si="581"/>
        <v/>
      </c>
      <c r="Z2494" s="374" t="str">
        <f t="shared" si="582"/>
        <v/>
      </c>
      <c r="AA2494" s="374" t="b">
        <f t="shared" si="583"/>
        <v>1</v>
      </c>
      <c r="AB2494" s="374">
        <f>COUNTIFS(B:B,B2494,H:H,'סיווג התפקידים והעלויות'!$C$2)</f>
        <v>0</v>
      </c>
      <c r="AC2494" s="374">
        <f>COUNTIFS(B:B,B2494,H:H,'סיווג התפקידים והעלויות'!$D$2)</f>
        <v>0</v>
      </c>
      <c r="AD2494" s="374" t="str">
        <f>IF(OR(AND(H2494='סיווג התפקידים והעלויות'!$A$2,I2494='סיווג התפקידים והעלויות'!$A$3),'עלויות כח אדם (6)'!H2494='סיווג התפקידים והעלויות'!$C$2,'עלויות כח אדם (6)'!H2494='סיווג התפקידים והעלויות'!$D$2),IF('עלויות כח אדם (6)'!J2494&lt;75,"לא תקין","תקין"),"")</f>
        <v/>
      </c>
      <c r="AE2494" s="374" t="str">
        <f t="shared" si="584"/>
        <v/>
      </c>
      <c r="AF2494" s="532" t="str">
        <f t="shared" si="585"/>
        <v/>
      </c>
    </row>
    <row r="2495" spans="2:32" x14ac:dyDescent="0.25">
      <c r="B2495" s="695"/>
      <c r="C2495" s="197" t="str">
        <f>IF(B2495&lt;&gt;"",IFERROR(VLOOKUP(B:B,'מצבת והרשמה (2)'!$C$20:$N$520,2,0)," ")," ")</f>
        <v xml:space="preserve"> </v>
      </c>
      <c r="D2495" s="695"/>
      <c r="E2495" s="696"/>
      <c r="F2495" s="696"/>
      <c r="G2495" s="696"/>
      <c r="H2495" s="696"/>
      <c r="I2495" s="1050" t="str">
        <f t="shared" si="572"/>
        <v/>
      </c>
      <c r="J2495" s="696"/>
      <c r="K2495" s="697"/>
      <c r="L2495" s="696"/>
      <c r="M2495" s="198" t="str">
        <f t="shared" si="573"/>
        <v/>
      </c>
      <c r="N2495" s="369" t="str">
        <f t="shared" si="574"/>
        <v/>
      </c>
      <c r="O2495" s="183" t="str">
        <f t="shared" si="575"/>
        <v/>
      </c>
      <c r="P2495" s="199" t="str">
        <f t="shared" si="576"/>
        <v/>
      </c>
      <c r="Q2495" s="199" t="str">
        <f>IF(B2495="","",IFERROR(IF('עלויות כח אדם (6)'!J2495&gt;=VLOOKUP(I2495,'סיווג התפקידים והעלויות'!$B$23:$C$32,2,0),"תקין","לא תקין"),""))</f>
        <v/>
      </c>
      <c r="R2495" s="199" t="str">
        <f t="shared" si="577"/>
        <v/>
      </c>
      <c r="S2495" s="199" t="str">
        <f t="shared" si="578"/>
        <v/>
      </c>
      <c r="T2495" s="199" t="str">
        <f t="shared" si="586"/>
        <v/>
      </c>
      <c r="U2495" s="199" t="str">
        <f t="shared" si="579"/>
        <v/>
      </c>
      <c r="V2495" s="989"/>
      <c r="X2495" s="374" t="str">
        <f t="shared" si="580"/>
        <v/>
      </c>
      <c r="Y2495" s="375" t="str">
        <f t="shared" si="581"/>
        <v/>
      </c>
      <c r="Z2495" s="374" t="str">
        <f t="shared" si="582"/>
        <v/>
      </c>
      <c r="AA2495" s="374" t="b">
        <f t="shared" si="583"/>
        <v>1</v>
      </c>
      <c r="AB2495" s="374">
        <f>COUNTIFS(B:B,B2495,H:H,'סיווג התפקידים והעלויות'!$C$2)</f>
        <v>0</v>
      </c>
      <c r="AC2495" s="374">
        <f>COUNTIFS(B:B,B2495,H:H,'סיווג התפקידים והעלויות'!$D$2)</f>
        <v>0</v>
      </c>
      <c r="AD2495" s="374" t="str">
        <f>IF(OR(AND(H2495='סיווג התפקידים והעלויות'!$A$2,I2495='סיווג התפקידים והעלויות'!$A$3),'עלויות כח אדם (6)'!H2495='סיווג התפקידים והעלויות'!$C$2,'עלויות כח אדם (6)'!H2495='סיווג התפקידים והעלויות'!$D$2),IF('עלויות כח אדם (6)'!J2495&lt;75,"לא תקין","תקין"),"")</f>
        <v/>
      </c>
      <c r="AE2495" s="374" t="str">
        <f t="shared" si="584"/>
        <v/>
      </c>
      <c r="AF2495" s="532" t="str">
        <f t="shared" si="585"/>
        <v/>
      </c>
    </row>
    <row r="2496" spans="2:32" x14ac:dyDescent="0.25">
      <c r="B2496" s="695"/>
      <c r="C2496" s="197" t="str">
        <f>IF(B2496&lt;&gt;"",IFERROR(VLOOKUP(B:B,'מצבת והרשמה (2)'!$C$20:$N$520,2,0)," ")," ")</f>
        <v xml:space="preserve"> </v>
      </c>
      <c r="D2496" s="695"/>
      <c r="E2496" s="696"/>
      <c r="F2496" s="696"/>
      <c r="G2496" s="696"/>
      <c r="H2496" s="696"/>
      <c r="I2496" s="1050" t="str">
        <f t="shared" si="572"/>
        <v/>
      </c>
      <c r="J2496" s="696"/>
      <c r="K2496" s="697"/>
      <c r="L2496" s="696"/>
      <c r="M2496" s="198" t="str">
        <f t="shared" si="573"/>
        <v/>
      </c>
      <c r="N2496" s="369" t="str">
        <f t="shared" si="574"/>
        <v/>
      </c>
      <c r="O2496" s="183" t="str">
        <f t="shared" si="575"/>
        <v/>
      </c>
      <c r="P2496" s="199" t="str">
        <f t="shared" si="576"/>
        <v/>
      </c>
      <c r="Q2496" s="199" t="str">
        <f>IF(B2496="","",IFERROR(IF('עלויות כח אדם (6)'!J2496&gt;=VLOOKUP(I2496,'סיווג התפקידים והעלויות'!$B$23:$C$32,2,0),"תקין","לא תקין"),""))</f>
        <v/>
      </c>
      <c r="R2496" s="199" t="str">
        <f t="shared" si="577"/>
        <v/>
      </c>
      <c r="S2496" s="199" t="str">
        <f t="shared" si="578"/>
        <v/>
      </c>
      <c r="T2496" s="199" t="str">
        <f t="shared" si="586"/>
        <v/>
      </c>
      <c r="U2496" s="199" t="str">
        <f t="shared" si="579"/>
        <v/>
      </c>
      <c r="V2496" s="989"/>
      <c r="X2496" s="374" t="str">
        <f t="shared" si="580"/>
        <v/>
      </c>
      <c r="Y2496" s="375" t="str">
        <f t="shared" si="581"/>
        <v/>
      </c>
      <c r="Z2496" s="374" t="str">
        <f t="shared" si="582"/>
        <v/>
      </c>
      <c r="AA2496" s="374" t="b">
        <f t="shared" si="583"/>
        <v>1</v>
      </c>
      <c r="AB2496" s="374">
        <f>COUNTIFS(B:B,B2496,H:H,'סיווג התפקידים והעלויות'!$C$2)</f>
        <v>0</v>
      </c>
      <c r="AC2496" s="374">
        <f>COUNTIFS(B:B,B2496,H:H,'סיווג התפקידים והעלויות'!$D$2)</f>
        <v>0</v>
      </c>
      <c r="AD2496" s="374" t="str">
        <f>IF(OR(AND(H2496='סיווג התפקידים והעלויות'!$A$2,I2496='סיווג התפקידים והעלויות'!$A$3),'עלויות כח אדם (6)'!H2496='סיווג התפקידים והעלויות'!$C$2,'עלויות כח אדם (6)'!H2496='סיווג התפקידים והעלויות'!$D$2),IF('עלויות כח אדם (6)'!J2496&lt;75,"לא תקין","תקין"),"")</f>
        <v/>
      </c>
      <c r="AE2496" s="374" t="str">
        <f t="shared" si="584"/>
        <v/>
      </c>
      <c r="AF2496" s="532" t="str">
        <f t="shared" si="585"/>
        <v/>
      </c>
    </row>
    <row r="2497" spans="2:32" x14ac:dyDescent="0.25">
      <c r="B2497" s="695"/>
      <c r="C2497" s="197" t="str">
        <f>IF(B2497&lt;&gt;"",IFERROR(VLOOKUP(B:B,'מצבת והרשמה (2)'!$C$20:$N$520,2,0)," ")," ")</f>
        <v xml:space="preserve"> </v>
      </c>
      <c r="D2497" s="695"/>
      <c r="E2497" s="696"/>
      <c r="F2497" s="696"/>
      <c r="G2497" s="696"/>
      <c r="H2497" s="696"/>
      <c r="I2497" s="1050" t="str">
        <f t="shared" si="572"/>
        <v/>
      </c>
      <c r="J2497" s="696"/>
      <c r="K2497" s="697"/>
      <c r="L2497" s="696"/>
      <c r="M2497" s="198" t="str">
        <f t="shared" si="573"/>
        <v/>
      </c>
      <c r="N2497" s="369" t="str">
        <f t="shared" si="574"/>
        <v/>
      </c>
      <c r="O2497" s="183" t="str">
        <f t="shared" si="575"/>
        <v/>
      </c>
      <c r="P2497" s="199" t="str">
        <f t="shared" si="576"/>
        <v/>
      </c>
      <c r="Q2497" s="199" t="str">
        <f>IF(B2497="","",IFERROR(IF('עלויות כח אדם (6)'!J2497&gt;=VLOOKUP(I2497,'סיווג התפקידים והעלויות'!$B$23:$C$32,2,0),"תקין","לא תקין"),""))</f>
        <v/>
      </c>
      <c r="R2497" s="199" t="str">
        <f t="shared" si="577"/>
        <v/>
      </c>
      <c r="S2497" s="199" t="str">
        <f t="shared" si="578"/>
        <v/>
      </c>
      <c r="T2497" s="199" t="str">
        <f t="shared" si="586"/>
        <v/>
      </c>
      <c r="U2497" s="199" t="str">
        <f t="shared" si="579"/>
        <v/>
      </c>
      <c r="V2497" s="989"/>
      <c r="X2497" s="374" t="str">
        <f t="shared" si="580"/>
        <v/>
      </c>
      <c r="Y2497" s="375" t="str">
        <f t="shared" si="581"/>
        <v/>
      </c>
      <c r="Z2497" s="374" t="str">
        <f t="shared" si="582"/>
        <v/>
      </c>
      <c r="AA2497" s="374" t="b">
        <f t="shared" si="583"/>
        <v>1</v>
      </c>
      <c r="AB2497" s="374">
        <f>COUNTIFS(B:B,B2497,H:H,'סיווג התפקידים והעלויות'!$C$2)</f>
        <v>0</v>
      </c>
      <c r="AC2497" s="374">
        <f>COUNTIFS(B:B,B2497,H:H,'סיווג התפקידים והעלויות'!$D$2)</f>
        <v>0</v>
      </c>
      <c r="AD2497" s="374" t="str">
        <f>IF(OR(AND(H2497='סיווג התפקידים והעלויות'!$A$2,I2497='סיווג התפקידים והעלויות'!$A$3),'עלויות כח אדם (6)'!H2497='סיווג התפקידים והעלויות'!$C$2,'עלויות כח אדם (6)'!H2497='סיווג התפקידים והעלויות'!$D$2),IF('עלויות כח אדם (6)'!J2497&lt;75,"לא תקין","תקין"),"")</f>
        <v/>
      </c>
      <c r="AE2497" s="374" t="str">
        <f t="shared" si="584"/>
        <v/>
      </c>
      <c r="AF2497" s="532" t="str">
        <f t="shared" si="585"/>
        <v/>
      </c>
    </row>
    <row r="2498" spans="2:32" x14ac:dyDescent="0.25">
      <c r="B2498" s="695"/>
      <c r="C2498" s="197" t="str">
        <f>IF(B2498&lt;&gt;"",IFERROR(VLOOKUP(B:B,'מצבת והרשמה (2)'!$C$20:$N$520,2,0)," ")," ")</f>
        <v xml:space="preserve"> </v>
      </c>
      <c r="D2498" s="695"/>
      <c r="E2498" s="696"/>
      <c r="F2498" s="696"/>
      <c r="G2498" s="696"/>
      <c r="H2498" s="696"/>
      <c r="I2498" s="1050" t="str">
        <f t="shared" si="572"/>
        <v/>
      </c>
      <c r="J2498" s="696"/>
      <c r="K2498" s="697"/>
      <c r="L2498" s="696"/>
      <c r="M2498" s="198" t="str">
        <f t="shared" si="573"/>
        <v/>
      </c>
      <c r="N2498" s="369" t="str">
        <f t="shared" si="574"/>
        <v/>
      </c>
      <c r="O2498" s="183" t="str">
        <f t="shared" si="575"/>
        <v/>
      </c>
      <c r="P2498" s="199" t="str">
        <f t="shared" si="576"/>
        <v/>
      </c>
      <c r="Q2498" s="199" t="str">
        <f>IF(B2498="","",IFERROR(IF('עלויות כח אדם (6)'!J2498&gt;=VLOOKUP(I2498,'סיווג התפקידים והעלויות'!$B$23:$C$32,2,0),"תקין","לא תקין"),""))</f>
        <v/>
      </c>
      <c r="R2498" s="199" t="str">
        <f t="shared" si="577"/>
        <v/>
      </c>
      <c r="S2498" s="199" t="str">
        <f t="shared" si="578"/>
        <v/>
      </c>
      <c r="T2498" s="199" t="str">
        <f t="shared" si="586"/>
        <v/>
      </c>
      <c r="U2498" s="199" t="str">
        <f t="shared" si="579"/>
        <v/>
      </c>
      <c r="V2498" s="989"/>
      <c r="X2498" s="374" t="str">
        <f t="shared" si="580"/>
        <v/>
      </c>
      <c r="Y2498" s="375" t="str">
        <f t="shared" si="581"/>
        <v/>
      </c>
      <c r="Z2498" s="374" t="str">
        <f t="shared" si="582"/>
        <v/>
      </c>
      <c r="AA2498" s="374" t="b">
        <f t="shared" si="583"/>
        <v>1</v>
      </c>
      <c r="AB2498" s="374">
        <f>COUNTIFS(B:B,B2498,H:H,'סיווג התפקידים והעלויות'!$C$2)</f>
        <v>0</v>
      </c>
      <c r="AC2498" s="374">
        <f>COUNTIFS(B:B,B2498,H:H,'סיווג התפקידים והעלויות'!$D$2)</f>
        <v>0</v>
      </c>
      <c r="AD2498" s="374" t="str">
        <f>IF(OR(AND(H2498='סיווג התפקידים והעלויות'!$A$2,I2498='סיווג התפקידים והעלויות'!$A$3),'עלויות כח אדם (6)'!H2498='סיווג התפקידים והעלויות'!$C$2,'עלויות כח אדם (6)'!H2498='סיווג התפקידים והעלויות'!$D$2),IF('עלויות כח אדם (6)'!J2498&lt;75,"לא תקין","תקין"),"")</f>
        <v/>
      </c>
      <c r="AE2498" s="374" t="str">
        <f t="shared" si="584"/>
        <v/>
      </c>
      <c r="AF2498" s="532" t="str">
        <f t="shared" si="585"/>
        <v/>
      </c>
    </row>
    <row r="2499" spans="2:32" x14ac:dyDescent="0.25">
      <c r="B2499" s="695"/>
      <c r="C2499" s="197" t="str">
        <f>IF(B2499&lt;&gt;"",IFERROR(VLOOKUP(B:B,'מצבת והרשמה (2)'!$C$20:$N$520,2,0)," ")," ")</f>
        <v xml:space="preserve"> </v>
      </c>
      <c r="D2499" s="695"/>
      <c r="E2499" s="696"/>
      <c r="F2499" s="696"/>
      <c r="G2499" s="696"/>
      <c r="H2499" s="696"/>
      <c r="I2499" s="1050" t="str">
        <f t="shared" si="572"/>
        <v/>
      </c>
      <c r="J2499" s="696"/>
      <c r="K2499" s="697"/>
      <c r="L2499" s="696"/>
      <c r="M2499" s="198" t="str">
        <f t="shared" si="573"/>
        <v/>
      </c>
      <c r="N2499" s="369" t="str">
        <f t="shared" si="574"/>
        <v/>
      </c>
      <c r="O2499" s="183" t="str">
        <f t="shared" si="575"/>
        <v/>
      </c>
      <c r="P2499" s="199" t="str">
        <f t="shared" si="576"/>
        <v/>
      </c>
      <c r="Q2499" s="199" t="str">
        <f>IF(B2499="","",IFERROR(IF('עלויות כח אדם (6)'!J2499&gt;=VLOOKUP(I2499,'סיווג התפקידים והעלויות'!$B$23:$C$32,2,0),"תקין","לא תקין"),""))</f>
        <v/>
      </c>
      <c r="R2499" s="199" t="str">
        <f t="shared" si="577"/>
        <v/>
      </c>
      <c r="S2499" s="199" t="str">
        <f t="shared" si="578"/>
        <v/>
      </c>
      <c r="T2499" s="199" t="str">
        <f t="shared" si="586"/>
        <v/>
      </c>
      <c r="U2499" s="199" t="str">
        <f t="shared" si="579"/>
        <v/>
      </c>
      <c r="V2499" s="989"/>
      <c r="X2499" s="374" t="str">
        <f t="shared" si="580"/>
        <v/>
      </c>
      <c r="Y2499" s="375" t="str">
        <f t="shared" si="581"/>
        <v/>
      </c>
      <c r="Z2499" s="374" t="str">
        <f t="shared" si="582"/>
        <v/>
      </c>
      <c r="AA2499" s="374" t="b">
        <f t="shared" si="583"/>
        <v>1</v>
      </c>
      <c r="AB2499" s="374">
        <f>COUNTIFS(B:B,B2499,H:H,'סיווג התפקידים והעלויות'!$C$2)</f>
        <v>0</v>
      </c>
      <c r="AC2499" s="374">
        <f>COUNTIFS(B:B,B2499,H:H,'סיווג התפקידים והעלויות'!$D$2)</f>
        <v>0</v>
      </c>
      <c r="AD2499" s="374" t="str">
        <f>IF(OR(AND(H2499='סיווג התפקידים והעלויות'!$A$2,I2499='סיווג התפקידים והעלויות'!$A$3),'עלויות כח אדם (6)'!H2499='סיווג התפקידים והעלויות'!$C$2,'עלויות כח אדם (6)'!H2499='סיווג התפקידים והעלויות'!$D$2),IF('עלויות כח אדם (6)'!J2499&lt;75,"לא תקין","תקין"),"")</f>
        <v/>
      </c>
      <c r="AE2499" s="374" t="str">
        <f t="shared" si="584"/>
        <v/>
      </c>
      <c r="AF2499" s="532" t="str">
        <f t="shared" si="585"/>
        <v/>
      </c>
    </row>
    <row r="2500" spans="2:32" x14ac:dyDescent="0.25">
      <c r="B2500" s="695"/>
      <c r="C2500" s="197" t="str">
        <f>IF(B2500&lt;&gt;"",IFERROR(VLOOKUP(B:B,'מצבת והרשמה (2)'!$C$20:$N$520,2,0)," ")," ")</f>
        <v xml:space="preserve"> </v>
      </c>
      <c r="D2500" s="695"/>
      <c r="E2500" s="696"/>
      <c r="F2500" s="696"/>
      <c r="G2500" s="696"/>
      <c r="H2500" s="696"/>
      <c r="I2500" s="1050" t="str">
        <f t="shared" si="572"/>
        <v/>
      </c>
      <c r="J2500" s="696"/>
      <c r="K2500" s="697"/>
      <c r="L2500" s="696"/>
      <c r="M2500" s="198" t="str">
        <f t="shared" si="573"/>
        <v/>
      </c>
      <c r="N2500" s="369" t="str">
        <f t="shared" si="574"/>
        <v/>
      </c>
      <c r="O2500" s="183" t="str">
        <f t="shared" si="575"/>
        <v/>
      </c>
      <c r="P2500" s="199" t="str">
        <f t="shared" si="576"/>
        <v/>
      </c>
      <c r="Q2500" s="199" t="str">
        <f>IF(B2500="","",IFERROR(IF('עלויות כח אדם (6)'!J2500&gt;=VLOOKUP(I2500,'סיווג התפקידים והעלויות'!$B$23:$C$32,2,0),"תקין","לא תקין"),""))</f>
        <v/>
      </c>
      <c r="R2500" s="199" t="str">
        <f t="shared" si="577"/>
        <v/>
      </c>
      <c r="S2500" s="199" t="str">
        <f t="shared" si="578"/>
        <v/>
      </c>
      <c r="T2500" s="199" t="str">
        <f t="shared" si="586"/>
        <v/>
      </c>
      <c r="U2500" s="199" t="str">
        <f t="shared" si="579"/>
        <v/>
      </c>
      <c r="V2500" s="989"/>
      <c r="X2500" s="374" t="str">
        <f t="shared" si="580"/>
        <v/>
      </c>
      <c r="Y2500" s="375" t="str">
        <f t="shared" si="581"/>
        <v/>
      </c>
      <c r="Z2500" s="374" t="str">
        <f t="shared" si="582"/>
        <v/>
      </c>
      <c r="AA2500" s="374" t="b">
        <f t="shared" si="583"/>
        <v>1</v>
      </c>
      <c r="AB2500" s="374">
        <f>COUNTIFS(B:B,B2500,H:H,'סיווג התפקידים והעלויות'!$C$2)</f>
        <v>0</v>
      </c>
      <c r="AC2500" s="374">
        <f>COUNTIFS(B:B,B2500,H:H,'סיווג התפקידים והעלויות'!$D$2)</f>
        <v>0</v>
      </c>
      <c r="AD2500" s="374" t="str">
        <f>IF(OR(AND(H2500='סיווג התפקידים והעלויות'!$A$2,I2500='סיווג התפקידים והעלויות'!$A$3),'עלויות כח אדם (6)'!H2500='סיווג התפקידים והעלויות'!$C$2,'עלויות כח אדם (6)'!H2500='סיווג התפקידים והעלויות'!$D$2),IF('עלויות כח אדם (6)'!J2500&lt;75,"לא תקין","תקין"),"")</f>
        <v/>
      </c>
      <c r="AE2500" s="374" t="str">
        <f t="shared" si="584"/>
        <v/>
      </c>
      <c r="AF2500" s="532" t="str">
        <f t="shared" si="585"/>
        <v/>
      </c>
    </row>
    <row r="2501" spans="2:32" x14ac:dyDescent="0.25">
      <c r="B2501" s="695"/>
      <c r="C2501" s="197" t="str">
        <f>IF(B2501&lt;&gt;"",IFERROR(VLOOKUP(B:B,'מצבת והרשמה (2)'!$C$20:$N$520,2,0)," ")," ")</f>
        <v xml:space="preserve"> </v>
      </c>
      <c r="D2501" s="695"/>
      <c r="E2501" s="696"/>
      <c r="F2501" s="696"/>
      <c r="G2501" s="696"/>
      <c r="H2501" s="696"/>
      <c r="I2501" s="1050" t="str">
        <f t="shared" si="572"/>
        <v/>
      </c>
      <c r="J2501" s="696"/>
      <c r="K2501" s="697"/>
      <c r="L2501" s="696"/>
      <c r="M2501" s="198" t="str">
        <f t="shared" si="573"/>
        <v/>
      </c>
      <c r="N2501" s="369" t="str">
        <f t="shared" si="574"/>
        <v/>
      </c>
      <c r="O2501" s="183" t="str">
        <f t="shared" si="575"/>
        <v/>
      </c>
      <c r="P2501" s="199" t="str">
        <f t="shared" si="576"/>
        <v/>
      </c>
      <c r="Q2501" s="199" t="str">
        <f>IF(B2501="","",IFERROR(IF('עלויות כח אדם (6)'!J2501&gt;=VLOOKUP(I2501,'סיווג התפקידים והעלויות'!$B$23:$C$32,2,0),"תקין","לא תקין"),""))</f>
        <v/>
      </c>
      <c r="R2501" s="199" t="str">
        <f t="shared" si="577"/>
        <v/>
      </c>
      <c r="S2501" s="199" t="str">
        <f t="shared" si="578"/>
        <v/>
      </c>
      <c r="T2501" s="199" t="str">
        <f t="shared" si="586"/>
        <v/>
      </c>
      <c r="U2501" s="199" t="str">
        <f t="shared" si="579"/>
        <v/>
      </c>
      <c r="V2501" s="989"/>
      <c r="X2501" s="374" t="str">
        <f t="shared" si="580"/>
        <v/>
      </c>
      <c r="Y2501" s="375" t="str">
        <f t="shared" si="581"/>
        <v/>
      </c>
      <c r="Z2501" s="374" t="str">
        <f t="shared" si="582"/>
        <v/>
      </c>
      <c r="AA2501" s="374" t="b">
        <f t="shared" si="583"/>
        <v>1</v>
      </c>
      <c r="AB2501" s="374">
        <f>COUNTIFS(B:B,B2501,H:H,'סיווג התפקידים והעלויות'!$C$2)</f>
        <v>0</v>
      </c>
      <c r="AC2501" s="374">
        <f>COUNTIFS(B:B,B2501,H:H,'סיווג התפקידים והעלויות'!$D$2)</f>
        <v>0</v>
      </c>
      <c r="AD2501" s="374" t="str">
        <f>IF(OR(AND(H2501='סיווג התפקידים והעלויות'!$A$2,I2501='סיווג התפקידים והעלויות'!$A$3),'עלויות כח אדם (6)'!H2501='סיווג התפקידים והעלויות'!$C$2,'עלויות כח אדם (6)'!H2501='סיווג התפקידים והעלויות'!$D$2),IF('עלויות כח אדם (6)'!J2501&lt;75,"לא תקין","תקין"),"")</f>
        <v/>
      </c>
      <c r="AE2501" s="374" t="str">
        <f t="shared" si="584"/>
        <v/>
      </c>
      <c r="AF2501" s="532" t="str">
        <f t="shared" si="585"/>
        <v/>
      </c>
    </row>
    <row r="2502" spans="2:32" x14ac:dyDescent="0.25">
      <c r="B2502" s="695"/>
      <c r="C2502" s="197" t="str">
        <f>IF(B2502&lt;&gt;"",IFERROR(VLOOKUP(B:B,'מצבת והרשמה (2)'!$C$20:$N$520,2,0)," ")," ")</f>
        <v xml:space="preserve"> </v>
      </c>
      <c r="D2502" s="695"/>
      <c r="E2502" s="696"/>
      <c r="F2502" s="696"/>
      <c r="G2502" s="696"/>
      <c r="H2502" s="696"/>
      <c r="I2502" s="1050" t="str">
        <f t="shared" si="572"/>
        <v/>
      </c>
      <c r="J2502" s="696"/>
      <c r="K2502" s="697"/>
      <c r="L2502" s="696"/>
      <c r="M2502" s="198" t="str">
        <f t="shared" si="573"/>
        <v/>
      </c>
      <c r="N2502" s="369" t="str">
        <f t="shared" si="574"/>
        <v/>
      </c>
      <c r="O2502" s="183" t="str">
        <f t="shared" si="575"/>
        <v/>
      </c>
      <c r="P2502" s="199" t="str">
        <f t="shared" si="576"/>
        <v/>
      </c>
      <c r="Q2502" s="199" t="str">
        <f>IF(B2502="","",IFERROR(IF('עלויות כח אדם (6)'!J2502&gt;=VLOOKUP(I2502,'סיווג התפקידים והעלויות'!$B$23:$C$32,2,0),"תקין","לא תקין"),""))</f>
        <v/>
      </c>
      <c r="R2502" s="199" t="str">
        <f t="shared" si="577"/>
        <v/>
      </c>
      <c r="S2502" s="199" t="str">
        <f t="shared" si="578"/>
        <v/>
      </c>
      <c r="T2502" s="199" t="str">
        <f t="shared" si="586"/>
        <v/>
      </c>
      <c r="U2502" s="199" t="str">
        <f t="shared" si="579"/>
        <v/>
      </c>
      <c r="V2502" s="989"/>
      <c r="X2502" s="374" t="str">
        <f t="shared" si="580"/>
        <v/>
      </c>
      <c r="Y2502" s="375" t="str">
        <f t="shared" si="581"/>
        <v/>
      </c>
      <c r="Z2502" s="374" t="str">
        <f t="shared" si="582"/>
        <v/>
      </c>
      <c r="AA2502" s="374" t="b">
        <f t="shared" si="583"/>
        <v>1</v>
      </c>
      <c r="AB2502" s="374">
        <f>COUNTIFS(B:B,B2502,H:H,'סיווג התפקידים והעלויות'!$C$2)</f>
        <v>0</v>
      </c>
      <c r="AC2502" s="374">
        <f>COUNTIFS(B:B,B2502,H:H,'סיווג התפקידים והעלויות'!$D$2)</f>
        <v>0</v>
      </c>
      <c r="AD2502" s="374" t="str">
        <f>IF(OR(AND(H2502='סיווג התפקידים והעלויות'!$A$2,I2502='סיווג התפקידים והעלויות'!$A$3),'עלויות כח אדם (6)'!H2502='סיווג התפקידים והעלויות'!$C$2,'עלויות כח אדם (6)'!H2502='סיווג התפקידים והעלויות'!$D$2),IF('עלויות כח אדם (6)'!J2502&lt;75,"לא תקין","תקין"),"")</f>
        <v/>
      </c>
      <c r="AE2502" s="374" t="str">
        <f t="shared" si="584"/>
        <v/>
      </c>
      <c r="AF2502" s="532" t="str">
        <f t="shared" si="585"/>
        <v/>
      </c>
    </row>
    <row r="2503" spans="2:32" x14ac:dyDescent="0.25">
      <c r="B2503" s="695"/>
      <c r="C2503" s="197" t="str">
        <f>IF(B2503&lt;&gt;"",IFERROR(VLOOKUP(B:B,'מצבת והרשמה (2)'!$C$20:$N$520,2,0)," ")," ")</f>
        <v xml:space="preserve"> </v>
      </c>
      <c r="D2503" s="695"/>
      <c r="E2503" s="696"/>
      <c r="F2503" s="696"/>
      <c r="G2503" s="696"/>
      <c r="H2503" s="696"/>
      <c r="I2503" s="1050" t="str">
        <f t="shared" si="572"/>
        <v/>
      </c>
      <c r="J2503" s="696"/>
      <c r="K2503" s="697"/>
      <c r="L2503" s="696"/>
      <c r="M2503" s="198" t="str">
        <f t="shared" si="573"/>
        <v/>
      </c>
      <c r="N2503" s="369" t="str">
        <f t="shared" si="574"/>
        <v/>
      </c>
      <c r="O2503" s="183" t="str">
        <f t="shared" si="575"/>
        <v/>
      </c>
      <c r="P2503" s="199" t="str">
        <f t="shared" si="576"/>
        <v/>
      </c>
      <c r="Q2503" s="199" t="str">
        <f>IF(B2503="","",IFERROR(IF('עלויות כח אדם (6)'!J2503&gt;=VLOOKUP(I2503,'סיווג התפקידים והעלויות'!$B$23:$C$32,2,0),"תקין","לא תקין"),""))</f>
        <v/>
      </c>
      <c r="R2503" s="199" t="str">
        <f t="shared" si="577"/>
        <v/>
      </c>
      <c r="S2503" s="199" t="str">
        <f t="shared" si="578"/>
        <v/>
      </c>
      <c r="T2503" s="199" t="str">
        <f t="shared" si="586"/>
        <v/>
      </c>
      <c r="U2503" s="199" t="str">
        <f t="shared" si="579"/>
        <v/>
      </c>
      <c r="V2503" s="989"/>
      <c r="X2503" s="374" t="str">
        <f t="shared" si="580"/>
        <v/>
      </c>
      <c r="Y2503" s="375" t="str">
        <f t="shared" si="581"/>
        <v/>
      </c>
      <c r="Z2503" s="374" t="str">
        <f t="shared" si="582"/>
        <v/>
      </c>
      <c r="AA2503" s="374" t="b">
        <f t="shared" si="583"/>
        <v>1</v>
      </c>
      <c r="AB2503" s="374">
        <f>COUNTIFS(B:B,B2503,H:H,'סיווג התפקידים והעלויות'!$C$2)</f>
        <v>0</v>
      </c>
      <c r="AC2503" s="374">
        <f>COUNTIFS(B:B,B2503,H:H,'סיווג התפקידים והעלויות'!$D$2)</f>
        <v>0</v>
      </c>
      <c r="AD2503" s="374" t="str">
        <f>IF(OR(AND(H2503='סיווג התפקידים והעלויות'!$A$2,I2503='סיווג התפקידים והעלויות'!$A$3),'עלויות כח אדם (6)'!H2503='סיווג התפקידים והעלויות'!$C$2,'עלויות כח אדם (6)'!H2503='סיווג התפקידים והעלויות'!$D$2),IF('עלויות כח אדם (6)'!J2503&lt;75,"לא תקין","תקין"),"")</f>
        <v/>
      </c>
      <c r="AE2503" s="374" t="str">
        <f t="shared" si="584"/>
        <v/>
      </c>
      <c r="AF2503" s="532" t="str">
        <f t="shared" si="585"/>
        <v/>
      </c>
    </row>
    <row r="2504" spans="2:32" x14ac:dyDescent="0.25">
      <c r="B2504" s="695"/>
      <c r="C2504" s="197" t="str">
        <f>IF(B2504&lt;&gt;"",IFERROR(VLOOKUP(B:B,'מצבת והרשמה (2)'!$C$20:$N$520,2,0)," ")," ")</f>
        <v xml:space="preserve"> </v>
      </c>
      <c r="D2504" s="695"/>
      <c r="E2504" s="696"/>
      <c r="F2504" s="696"/>
      <c r="G2504" s="696"/>
      <c r="H2504" s="696"/>
      <c r="I2504" s="1050" t="str">
        <f t="shared" si="572"/>
        <v/>
      </c>
      <c r="J2504" s="696"/>
      <c r="K2504" s="697"/>
      <c r="L2504" s="696"/>
      <c r="M2504" s="198" t="str">
        <f t="shared" si="573"/>
        <v/>
      </c>
      <c r="N2504" s="369" t="str">
        <f t="shared" si="574"/>
        <v/>
      </c>
      <c r="O2504" s="183" t="str">
        <f t="shared" si="575"/>
        <v/>
      </c>
      <c r="P2504" s="199" t="str">
        <f t="shared" si="576"/>
        <v/>
      </c>
      <c r="Q2504" s="199" t="str">
        <f>IF(B2504="","",IFERROR(IF('עלויות כח אדם (6)'!J2504&gt;=VLOOKUP(I2504,'סיווג התפקידים והעלויות'!$B$23:$C$32,2,0),"תקין","לא תקין"),""))</f>
        <v/>
      </c>
      <c r="R2504" s="199" t="str">
        <f t="shared" si="577"/>
        <v/>
      </c>
      <c r="S2504" s="199" t="str">
        <f t="shared" si="578"/>
        <v/>
      </c>
      <c r="T2504" s="199" t="str">
        <f t="shared" si="586"/>
        <v/>
      </c>
      <c r="U2504" s="199" t="str">
        <f t="shared" si="579"/>
        <v/>
      </c>
      <c r="V2504" s="989"/>
      <c r="X2504" s="374" t="str">
        <f t="shared" si="580"/>
        <v/>
      </c>
      <c r="Y2504" s="375" t="str">
        <f t="shared" si="581"/>
        <v/>
      </c>
      <c r="Z2504" s="374" t="str">
        <f t="shared" si="582"/>
        <v/>
      </c>
      <c r="AA2504" s="374" t="b">
        <f t="shared" si="583"/>
        <v>1</v>
      </c>
      <c r="AB2504" s="374">
        <f>COUNTIFS(B:B,B2504,H:H,'סיווג התפקידים והעלויות'!$C$2)</f>
        <v>0</v>
      </c>
      <c r="AC2504" s="374">
        <f>COUNTIFS(B:B,B2504,H:H,'סיווג התפקידים והעלויות'!$D$2)</f>
        <v>0</v>
      </c>
      <c r="AD2504" s="374" t="str">
        <f>IF(OR(AND(H2504='סיווג התפקידים והעלויות'!$A$2,I2504='סיווג התפקידים והעלויות'!$A$3),'עלויות כח אדם (6)'!H2504='סיווג התפקידים והעלויות'!$C$2,'עלויות כח אדם (6)'!H2504='סיווג התפקידים והעלויות'!$D$2),IF('עלויות כח אדם (6)'!J2504&lt;75,"לא תקין","תקין"),"")</f>
        <v/>
      </c>
      <c r="AE2504" s="374" t="str">
        <f t="shared" si="584"/>
        <v/>
      </c>
      <c r="AF2504" s="532" t="str">
        <f t="shared" si="585"/>
        <v/>
      </c>
    </row>
    <row r="2505" spans="2:32" x14ac:dyDescent="0.25">
      <c r="B2505" s="695"/>
      <c r="C2505" s="197" t="str">
        <f>IF(B2505&lt;&gt;"",IFERROR(VLOOKUP(B:B,'מצבת והרשמה (2)'!$C$20:$N$520,2,0)," ")," ")</f>
        <v xml:space="preserve"> </v>
      </c>
      <c r="D2505" s="695"/>
      <c r="E2505" s="696"/>
      <c r="F2505" s="696"/>
      <c r="G2505" s="696"/>
      <c r="H2505" s="696"/>
      <c r="I2505" s="1050" t="str">
        <f t="shared" si="572"/>
        <v/>
      </c>
      <c r="J2505" s="696"/>
      <c r="K2505" s="697"/>
      <c r="L2505" s="696"/>
      <c r="M2505" s="198" t="str">
        <f t="shared" si="573"/>
        <v/>
      </c>
      <c r="N2505" s="369" t="str">
        <f t="shared" si="574"/>
        <v/>
      </c>
      <c r="O2505" s="183" t="str">
        <f t="shared" si="575"/>
        <v/>
      </c>
      <c r="P2505" s="199" t="str">
        <f t="shared" si="576"/>
        <v/>
      </c>
      <c r="Q2505" s="199" t="str">
        <f>IF(B2505="","",IFERROR(IF('עלויות כח אדם (6)'!J2505&gt;=VLOOKUP(I2505,'סיווג התפקידים והעלויות'!$B$23:$C$32,2,0),"תקין","לא תקין"),""))</f>
        <v/>
      </c>
      <c r="R2505" s="199" t="str">
        <f t="shared" si="577"/>
        <v/>
      </c>
      <c r="S2505" s="199" t="str">
        <f t="shared" si="578"/>
        <v/>
      </c>
      <c r="T2505" s="199" t="str">
        <f t="shared" si="586"/>
        <v/>
      </c>
      <c r="U2505" s="199" t="str">
        <f t="shared" si="579"/>
        <v/>
      </c>
      <c r="V2505" s="989"/>
      <c r="X2505" s="374" t="str">
        <f t="shared" si="580"/>
        <v/>
      </c>
      <c r="Y2505" s="375" t="str">
        <f t="shared" si="581"/>
        <v/>
      </c>
      <c r="Z2505" s="374" t="str">
        <f t="shared" si="582"/>
        <v/>
      </c>
      <c r="AA2505" s="374" t="b">
        <f t="shared" si="583"/>
        <v>1</v>
      </c>
      <c r="AB2505" s="374">
        <f>COUNTIFS(B:B,B2505,H:H,'סיווג התפקידים והעלויות'!$C$2)</f>
        <v>0</v>
      </c>
      <c r="AC2505" s="374">
        <f>COUNTIFS(B:B,B2505,H:H,'סיווג התפקידים והעלויות'!$D$2)</f>
        <v>0</v>
      </c>
      <c r="AD2505" s="374" t="str">
        <f>IF(OR(AND(H2505='סיווג התפקידים והעלויות'!$A$2,I2505='סיווג התפקידים והעלויות'!$A$3),'עלויות כח אדם (6)'!H2505='סיווג התפקידים והעלויות'!$C$2,'עלויות כח אדם (6)'!H2505='סיווג התפקידים והעלויות'!$D$2),IF('עלויות כח אדם (6)'!J2505&lt;75,"לא תקין","תקין"),"")</f>
        <v/>
      </c>
      <c r="AE2505" s="374" t="str">
        <f t="shared" si="584"/>
        <v/>
      </c>
      <c r="AF2505" s="532" t="str">
        <f t="shared" si="585"/>
        <v/>
      </c>
    </row>
    <row r="2506" spans="2:32" x14ac:dyDescent="0.25">
      <c r="B2506" s="695"/>
      <c r="C2506" s="197" t="str">
        <f>IF(B2506&lt;&gt;"",IFERROR(VLOOKUP(B:B,'מצבת והרשמה (2)'!$C$20:$N$520,2,0)," ")," ")</f>
        <v xml:space="preserve"> </v>
      </c>
      <c r="D2506" s="695"/>
      <c r="E2506" s="696"/>
      <c r="F2506" s="696"/>
      <c r="G2506" s="696"/>
      <c r="H2506" s="696"/>
      <c r="I2506" s="1050" t="str">
        <f t="shared" si="572"/>
        <v/>
      </c>
      <c r="J2506" s="696"/>
      <c r="K2506" s="697"/>
      <c r="L2506" s="696"/>
      <c r="M2506" s="198" t="str">
        <f t="shared" si="573"/>
        <v/>
      </c>
      <c r="N2506" s="369" t="str">
        <f t="shared" si="574"/>
        <v/>
      </c>
      <c r="O2506" s="183" t="str">
        <f t="shared" si="575"/>
        <v/>
      </c>
      <c r="P2506" s="199" t="str">
        <f t="shared" si="576"/>
        <v/>
      </c>
      <c r="Q2506" s="199" t="str">
        <f>IF(B2506="","",IFERROR(IF('עלויות כח אדם (6)'!J2506&gt;=VLOOKUP(I2506,'סיווג התפקידים והעלויות'!$B$23:$C$32,2,0),"תקין","לא תקין"),""))</f>
        <v/>
      </c>
      <c r="R2506" s="199" t="str">
        <f t="shared" si="577"/>
        <v/>
      </c>
      <c r="S2506" s="199" t="str">
        <f t="shared" si="578"/>
        <v/>
      </c>
      <c r="T2506" s="199" t="str">
        <f t="shared" si="586"/>
        <v/>
      </c>
      <c r="U2506" s="199" t="str">
        <f t="shared" si="579"/>
        <v/>
      </c>
      <c r="V2506" s="989"/>
      <c r="X2506" s="374" t="str">
        <f t="shared" si="580"/>
        <v/>
      </c>
      <c r="Y2506" s="375" t="str">
        <f t="shared" si="581"/>
        <v/>
      </c>
      <c r="Z2506" s="374" t="str">
        <f t="shared" si="582"/>
        <v/>
      </c>
      <c r="AA2506" s="374" t="b">
        <f t="shared" si="583"/>
        <v>1</v>
      </c>
      <c r="AB2506" s="374">
        <f>COUNTIFS(B:B,B2506,H:H,'סיווג התפקידים והעלויות'!$C$2)</f>
        <v>0</v>
      </c>
      <c r="AC2506" s="374">
        <f>COUNTIFS(B:B,B2506,H:H,'סיווג התפקידים והעלויות'!$D$2)</f>
        <v>0</v>
      </c>
      <c r="AD2506" s="374" t="str">
        <f>IF(OR(AND(H2506='סיווג התפקידים והעלויות'!$A$2,I2506='סיווג התפקידים והעלויות'!$A$3),'עלויות כח אדם (6)'!H2506='סיווג התפקידים והעלויות'!$C$2,'עלויות כח אדם (6)'!H2506='סיווג התפקידים והעלויות'!$D$2),IF('עלויות כח אדם (6)'!J2506&lt;75,"לא תקין","תקין"),"")</f>
        <v/>
      </c>
      <c r="AE2506" s="374" t="str">
        <f t="shared" si="584"/>
        <v/>
      </c>
      <c r="AF2506" s="532" t="str">
        <f t="shared" si="585"/>
        <v/>
      </c>
    </row>
    <row r="2507" spans="2:32" x14ac:dyDescent="0.25">
      <c r="B2507" s="695"/>
      <c r="C2507" s="197" t="str">
        <f>IF(B2507&lt;&gt;"",IFERROR(VLOOKUP(B:B,'מצבת והרשמה (2)'!$C$20:$N$520,2,0)," ")," ")</f>
        <v xml:space="preserve"> </v>
      </c>
      <c r="D2507" s="695"/>
      <c r="E2507" s="696"/>
      <c r="F2507" s="696"/>
      <c r="G2507" s="696"/>
      <c r="H2507" s="696"/>
      <c r="I2507" s="1050" t="str">
        <f t="shared" si="572"/>
        <v/>
      </c>
      <c r="J2507" s="696"/>
      <c r="K2507" s="697"/>
      <c r="L2507" s="696"/>
      <c r="M2507" s="198" t="str">
        <f t="shared" si="573"/>
        <v/>
      </c>
      <c r="N2507" s="369" t="str">
        <f t="shared" si="574"/>
        <v/>
      </c>
      <c r="O2507" s="183" t="str">
        <f t="shared" si="575"/>
        <v/>
      </c>
      <c r="P2507" s="199" t="str">
        <f t="shared" si="576"/>
        <v/>
      </c>
      <c r="Q2507" s="199" t="str">
        <f>IF(B2507="","",IFERROR(IF('עלויות כח אדם (6)'!J2507&gt;=VLOOKUP(I2507,'סיווג התפקידים והעלויות'!$B$23:$C$32,2,0),"תקין","לא תקין"),""))</f>
        <v/>
      </c>
      <c r="R2507" s="199" t="str">
        <f t="shared" si="577"/>
        <v/>
      </c>
      <c r="S2507" s="199" t="str">
        <f t="shared" si="578"/>
        <v/>
      </c>
      <c r="T2507" s="199" t="str">
        <f t="shared" si="586"/>
        <v/>
      </c>
      <c r="U2507" s="199" t="str">
        <f t="shared" si="579"/>
        <v/>
      </c>
      <c r="V2507" s="989"/>
      <c r="X2507" s="374" t="str">
        <f t="shared" si="580"/>
        <v/>
      </c>
      <c r="Y2507" s="375" t="str">
        <f t="shared" si="581"/>
        <v/>
      </c>
      <c r="Z2507" s="374" t="str">
        <f t="shared" si="582"/>
        <v/>
      </c>
      <c r="AA2507" s="374" t="b">
        <f t="shared" si="583"/>
        <v>1</v>
      </c>
      <c r="AB2507" s="374">
        <f>COUNTIFS(B:B,B2507,H:H,'סיווג התפקידים והעלויות'!$C$2)</f>
        <v>0</v>
      </c>
      <c r="AC2507" s="374">
        <f>COUNTIFS(B:B,B2507,H:H,'סיווג התפקידים והעלויות'!$D$2)</f>
        <v>0</v>
      </c>
      <c r="AD2507" s="374" t="str">
        <f>IF(OR(AND(H2507='סיווג התפקידים והעלויות'!$A$2,I2507='סיווג התפקידים והעלויות'!$A$3),'עלויות כח אדם (6)'!H2507='סיווג התפקידים והעלויות'!$C$2,'עלויות כח אדם (6)'!H2507='סיווג התפקידים והעלויות'!$D$2),IF('עלויות כח אדם (6)'!J2507&lt;75,"לא תקין","תקין"),"")</f>
        <v/>
      </c>
      <c r="AE2507" s="374" t="str">
        <f t="shared" si="584"/>
        <v/>
      </c>
      <c r="AF2507" s="532" t="str">
        <f t="shared" si="585"/>
        <v/>
      </c>
    </row>
    <row r="2508" spans="2:32" x14ac:dyDescent="0.25">
      <c r="B2508" s="695"/>
      <c r="C2508" s="197" t="str">
        <f>IF(B2508&lt;&gt;"",IFERROR(VLOOKUP(B:B,'מצבת והרשמה (2)'!$C$20:$N$520,2,0)," ")," ")</f>
        <v xml:space="preserve"> </v>
      </c>
      <c r="D2508" s="695"/>
      <c r="E2508" s="696"/>
      <c r="F2508" s="696"/>
      <c r="G2508" s="696"/>
      <c r="H2508" s="696"/>
      <c r="I2508" s="1050" t="str">
        <f t="shared" si="572"/>
        <v/>
      </c>
      <c r="J2508" s="696"/>
      <c r="K2508" s="697"/>
      <c r="L2508" s="696"/>
      <c r="M2508" s="198" t="str">
        <f t="shared" si="573"/>
        <v/>
      </c>
      <c r="N2508" s="369" t="str">
        <f t="shared" si="574"/>
        <v/>
      </c>
      <c r="O2508" s="183" t="str">
        <f t="shared" si="575"/>
        <v/>
      </c>
      <c r="P2508" s="199" t="str">
        <f t="shared" si="576"/>
        <v/>
      </c>
      <c r="Q2508" s="199" t="str">
        <f>IF(B2508="","",IFERROR(IF('עלויות כח אדם (6)'!J2508&gt;=VLOOKUP(I2508,'סיווג התפקידים והעלויות'!$B$23:$C$32,2,0),"תקין","לא תקין"),""))</f>
        <v/>
      </c>
      <c r="R2508" s="199" t="str">
        <f t="shared" si="577"/>
        <v/>
      </c>
      <c r="S2508" s="199" t="str">
        <f t="shared" si="578"/>
        <v/>
      </c>
      <c r="T2508" s="199" t="str">
        <f t="shared" si="586"/>
        <v/>
      </c>
      <c r="U2508" s="199" t="str">
        <f t="shared" si="579"/>
        <v/>
      </c>
      <c r="V2508" s="989"/>
      <c r="X2508" s="374" t="str">
        <f t="shared" si="580"/>
        <v/>
      </c>
      <c r="Y2508" s="375" t="str">
        <f t="shared" si="581"/>
        <v/>
      </c>
      <c r="Z2508" s="374" t="str">
        <f t="shared" si="582"/>
        <v/>
      </c>
      <c r="AA2508" s="374" t="b">
        <f t="shared" si="583"/>
        <v>1</v>
      </c>
      <c r="AB2508" s="374">
        <f>COUNTIFS(B:B,B2508,H:H,'סיווג התפקידים והעלויות'!$C$2)</f>
        <v>0</v>
      </c>
      <c r="AC2508" s="374">
        <f>COUNTIFS(B:B,B2508,H:H,'סיווג התפקידים והעלויות'!$D$2)</f>
        <v>0</v>
      </c>
      <c r="AD2508" s="374" t="str">
        <f>IF(OR(AND(H2508='סיווג התפקידים והעלויות'!$A$2,I2508='סיווג התפקידים והעלויות'!$A$3),'עלויות כח אדם (6)'!H2508='סיווג התפקידים והעלויות'!$C$2,'עלויות כח אדם (6)'!H2508='סיווג התפקידים והעלויות'!$D$2),IF('עלויות כח אדם (6)'!J2508&lt;75,"לא תקין","תקין"),"")</f>
        <v/>
      </c>
      <c r="AE2508" s="374" t="str">
        <f t="shared" si="584"/>
        <v/>
      </c>
      <c r="AF2508" s="532" t="str">
        <f t="shared" si="585"/>
        <v/>
      </c>
    </row>
    <row r="2509" spans="2:32" x14ac:dyDescent="0.25">
      <c r="B2509" s="695"/>
      <c r="C2509" s="197" t="str">
        <f>IF(B2509&lt;&gt;"",IFERROR(VLOOKUP(B:B,'מצבת והרשמה (2)'!$C$20:$N$520,2,0)," ")," ")</f>
        <v xml:space="preserve"> </v>
      </c>
      <c r="D2509" s="695"/>
      <c r="E2509" s="696"/>
      <c r="F2509" s="696"/>
      <c r="G2509" s="696"/>
      <c r="H2509" s="696"/>
      <c r="I2509" s="1050" t="str">
        <f t="shared" si="572"/>
        <v/>
      </c>
      <c r="J2509" s="696"/>
      <c r="K2509" s="697"/>
      <c r="L2509" s="696"/>
      <c r="M2509" s="198" t="str">
        <f t="shared" si="573"/>
        <v/>
      </c>
      <c r="N2509" s="369" t="str">
        <f t="shared" si="574"/>
        <v/>
      </c>
      <c r="O2509" s="183" t="str">
        <f t="shared" si="575"/>
        <v/>
      </c>
      <c r="P2509" s="199" t="str">
        <f t="shared" si="576"/>
        <v/>
      </c>
      <c r="Q2509" s="199" t="str">
        <f>IF(B2509="","",IFERROR(IF('עלויות כח אדם (6)'!J2509&gt;=VLOOKUP(I2509,'סיווג התפקידים והעלויות'!$B$23:$C$32,2,0),"תקין","לא תקין"),""))</f>
        <v/>
      </c>
      <c r="R2509" s="199" t="str">
        <f t="shared" si="577"/>
        <v/>
      </c>
      <c r="S2509" s="199" t="str">
        <f t="shared" si="578"/>
        <v/>
      </c>
      <c r="T2509" s="199" t="str">
        <f t="shared" si="586"/>
        <v/>
      </c>
      <c r="U2509" s="199" t="str">
        <f t="shared" si="579"/>
        <v/>
      </c>
      <c r="V2509" s="989"/>
      <c r="X2509" s="374" t="str">
        <f t="shared" si="580"/>
        <v/>
      </c>
      <c r="Y2509" s="375" t="str">
        <f t="shared" si="581"/>
        <v/>
      </c>
      <c r="Z2509" s="374" t="str">
        <f t="shared" si="582"/>
        <v/>
      </c>
      <c r="AA2509" s="374" t="b">
        <f t="shared" si="583"/>
        <v>1</v>
      </c>
      <c r="AB2509" s="374">
        <f>COUNTIFS(B:B,B2509,H:H,'סיווג התפקידים והעלויות'!$C$2)</f>
        <v>0</v>
      </c>
      <c r="AC2509" s="374">
        <f>COUNTIFS(B:B,B2509,H:H,'סיווג התפקידים והעלויות'!$D$2)</f>
        <v>0</v>
      </c>
      <c r="AD2509" s="374" t="str">
        <f>IF(OR(AND(H2509='סיווג התפקידים והעלויות'!$A$2,I2509='סיווג התפקידים והעלויות'!$A$3),'עלויות כח אדם (6)'!H2509='סיווג התפקידים והעלויות'!$C$2,'עלויות כח אדם (6)'!H2509='סיווג התפקידים והעלויות'!$D$2),IF('עלויות כח אדם (6)'!J2509&lt;75,"לא תקין","תקין"),"")</f>
        <v/>
      </c>
      <c r="AE2509" s="374" t="str">
        <f t="shared" si="584"/>
        <v/>
      </c>
      <c r="AF2509" s="532" t="str">
        <f t="shared" si="585"/>
        <v/>
      </c>
    </row>
    <row r="2510" spans="2:32" x14ac:dyDescent="0.25">
      <c r="B2510" s="695"/>
      <c r="C2510" s="197" t="str">
        <f>IF(B2510&lt;&gt;"",IFERROR(VLOOKUP(B:B,'מצבת והרשמה (2)'!$C$20:$N$520,2,0)," ")," ")</f>
        <v xml:space="preserve"> </v>
      </c>
      <c r="D2510" s="695"/>
      <c r="E2510" s="696"/>
      <c r="F2510" s="696"/>
      <c r="G2510" s="696"/>
      <c r="H2510" s="696"/>
      <c r="I2510" s="1050" t="str">
        <f t="shared" si="572"/>
        <v/>
      </c>
      <c r="J2510" s="696"/>
      <c r="K2510" s="697"/>
      <c r="L2510" s="696"/>
      <c r="M2510" s="198" t="str">
        <f t="shared" si="573"/>
        <v/>
      </c>
      <c r="N2510" s="369" t="str">
        <f t="shared" si="574"/>
        <v/>
      </c>
      <c r="O2510" s="183" t="str">
        <f t="shared" si="575"/>
        <v/>
      </c>
      <c r="P2510" s="199" t="str">
        <f t="shared" si="576"/>
        <v/>
      </c>
      <c r="Q2510" s="199" t="str">
        <f>IF(B2510="","",IFERROR(IF('עלויות כח אדם (6)'!J2510&gt;=VLOOKUP(I2510,'סיווג התפקידים והעלויות'!$B$23:$C$32,2,0),"תקין","לא תקין"),""))</f>
        <v/>
      </c>
      <c r="R2510" s="199" t="str">
        <f t="shared" si="577"/>
        <v/>
      </c>
      <c r="S2510" s="199" t="str">
        <f t="shared" si="578"/>
        <v/>
      </c>
      <c r="T2510" s="199" t="str">
        <f t="shared" si="586"/>
        <v/>
      </c>
      <c r="U2510" s="199" t="str">
        <f t="shared" si="579"/>
        <v/>
      </c>
      <c r="V2510" s="989"/>
      <c r="X2510" s="374" t="str">
        <f t="shared" si="580"/>
        <v/>
      </c>
      <c r="Y2510" s="375" t="str">
        <f t="shared" si="581"/>
        <v/>
      </c>
      <c r="Z2510" s="374" t="str">
        <f t="shared" si="582"/>
        <v/>
      </c>
      <c r="AA2510" s="374" t="b">
        <f t="shared" si="583"/>
        <v>1</v>
      </c>
      <c r="AB2510" s="374">
        <f>COUNTIFS(B:B,B2510,H:H,'סיווג התפקידים והעלויות'!$C$2)</f>
        <v>0</v>
      </c>
      <c r="AC2510" s="374">
        <f>COUNTIFS(B:B,B2510,H:H,'סיווג התפקידים והעלויות'!$D$2)</f>
        <v>0</v>
      </c>
      <c r="AD2510" s="374" t="str">
        <f>IF(OR(AND(H2510='סיווג התפקידים והעלויות'!$A$2,I2510='סיווג התפקידים והעלויות'!$A$3),'עלויות כח אדם (6)'!H2510='סיווג התפקידים והעלויות'!$C$2,'עלויות כח אדם (6)'!H2510='סיווג התפקידים והעלויות'!$D$2),IF('עלויות כח אדם (6)'!J2510&lt;75,"לא תקין","תקין"),"")</f>
        <v/>
      </c>
      <c r="AE2510" s="374" t="str">
        <f t="shared" si="584"/>
        <v/>
      </c>
      <c r="AF2510" s="532" t="str">
        <f t="shared" si="585"/>
        <v/>
      </c>
    </row>
    <row r="2511" spans="2:32" x14ac:dyDescent="0.25">
      <c r="B2511" s="695"/>
      <c r="C2511" s="197" t="str">
        <f>IF(B2511&lt;&gt;"",IFERROR(VLOOKUP(B:B,'מצבת והרשמה (2)'!$C$20:$N$520,2,0)," ")," ")</f>
        <v xml:space="preserve"> </v>
      </c>
      <c r="D2511" s="695"/>
      <c r="E2511" s="696"/>
      <c r="F2511" s="696"/>
      <c r="G2511" s="696"/>
      <c r="H2511" s="696"/>
      <c r="I2511" s="1050" t="str">
        <f t="shared" ref="I2511:I2574" si="587">SUBSTITUTE(IFERROR(IF(H2511="מדצ","מדצ/ית",IF(H2511="סגנית רכזת מעל 150","סגנ/ית רכז/ת&gt;150",IF(H2511="רכזת תכנית בבית הספר","רכז/ת תכנית בבית הספר"))),""),"FALSE","")</f>
        <v/>
      </c>
      <c r="J2511" s="696"/>
      <c r="K2511" s="697"/>
      <c r="L2511" s="696"/>
      <c r="M2511" s="198" t="str">
        <f t="shared" ref="M2511:M2574" si="588">IF(AND(L2511&gt;0,K2511&gt;0),K2511*L2511,"")</f>
        <v/>
      </c>
      <c r="N2511" s="369" t="str">
        <f t="shared" ref="N2511:N2574" si="589">TEXT(LEFT(H2511,2),0)</f>
        <v/>
      </c>
      <c r="O2511" s="183" t="str">
        <f t="shared" ref="O2511:O2574" si="590">IF(ISNUMBER(M2511&gt;0),IF(ISBLANK(B2511),"יש להזין סמל מוסד בעמודה B",""),"")</f>
        <v/>
      </c>
      <c r="P2511" s="199" t="str">
        <f t="shared" ref="P2511:P2574" si="591">IF(B2511="","",IF(AA2511=FALSE,"לא תקין","תקין"))</f>
        <v/>
      </c>
      <c r="Q2511" s="199" t="str">
        <f>IF(B2511="","",IFERROR(IF('עלויות כח אדם (6)'!J2511&gt;=VLOOKUP(I2511,'סיווג התפקידים והעלויות'!$B$23:$C$32,2,0),"תקין","לא תקין"),""))</f>
        <v/>
      </c>
      <c r="R2511" s="199" t="str">
        <f t="shared" ref="R2511:R2574" si="592">IF(B2511="","",IF(OR(Y2511&lt;100%,Y2511&gt;140%),"לא תקין","תקין"))</f>
        <v/>
      </c>
      <c r="S2511" s="199" t="str">
        <f t="shared" ref="S2511:S2574" si="593">IF(B2511="","",IFERROR(IF(J2511&gt;120,"לא תקין","תקין"),""))</f>
        <v/>
      </c>
      <c r="T2511" s="199" t="str">
        <f t="shared" si="586"/>
        <v/>
      </c>
      <c r="U2511" s="199" t="str">
        <f t="shared" ref="U2511:U2574" si="594">IF(B2511="","",IF(Z2511&gt;1,IF(SUMIF(D:D,D2511,L:L)&gt;90,"לא תקין","תקין"),"תקין"))</f>
        <v/>
      </c>
      <c r="V2511" s="989"/>
      <c r="X2511" s="374" t="str">
        <f t="shared" ref="X2511:X2574" si="595">IF(B2511="","",IF(OR(R2511="לא תקין",S2511="לא תקין",T2511="לא תקין",,U2511="לא תקין"),"לא תקין","תקין"))</f>
        <v/>
      </c>
      <c r="Y2511" s="375" t="str">
        <f t="shared" ref="Y2511:Y2574" si="596">IFERROR(IF(B2511="","",K2511/J2511),"")</f>
        <v/>
      </c>
      <c r="Z2511" s="374" t="str">
        <f t="shared" ref="Z2511:Z2574" si="597">IF(B2511="","",COUNTIF(D:D,D2511))</f>
        <v/>
      </c>
      <c r="AA2511" s="374" t="b">
        <f t="shared" ref="AA2511:AA2574" si="598">MOD(MID(REPT(0,9-LEN(D2511))&amp;D2511,1,1)+MID("0246813579",MID(REPT(0,9-LEN(D2511))&amp;D2511,2,1)+1,1)+MID(REPT(0,9-LEN(D2511))&amp;D2511,3,1)+MID("0246813579",MID(REPT(0,9-LEN(D2511))&amp;D2511,4,1)+1,1)+MID(REPT(0,9-LEN(D2511))&amp;D2511,5,1)+MID("0246813579",MID(REPT(0,9-LEN(D2511))&amp;D2511,6,1)+1,1)+MID(REPT(0,9-LEN(D2511))&amp;D2511,7,1)+MID("0246813579",MID(REPT(0,9-LEN(D2511))&amp;D2511,8,1)+1,1)+MID(REPT(0,9-LEN(D2511))&amp;D2511,9,1),10)=0</f>
        <v>1</v>
      </c>
      <c r="AB2511" s="374">
        <f>COUNTIFS(B:B,B2511,H:H,'סיווג התפקידים והעלויות'!$C$2)</f>
        <v>0</v>
      </c>
      <c r="AC2511" s="374">
        <f>COUNTIFS(B:B,B2511,H:H,'סיווג התפקידים והעלויות'!$D$2)</f>
        <v>0</v>
      </c>
      <c r="AD2511" s="374" t="str">
        <f>IF(OR(AND(H2511='סיווג התפקידים והעלויות'!$A$2,I2511='סיווג התפקידים והעלויות'!$A$3),'עלויות כח אדם (6)'!H2511='סיווג התפקידים והעלויות'!$C$2,'עלויות כח אדם (6)'!H2511='סיווג התפקידים והעלויות'!$D$2),IF('עלויות כח אדם (6)'!J2511&lt;75,"לא תקין","תקין"),"")</f>
        <v/>
      </c>
      <c r="AE2511" s="374" t="str">
        <f t="shared" ref="AE2511:AE2574" si="599">IF(B2511&lt;&gt;"",B2511&amp;H2511,"")</f>
        <v/>
      </c>
      <c r="AF2511" s="532" t="str">
        <f t="shared" ref="AF2511:AF2574" si="600">M2511</f>
        <v/>
      </c>
    </row>
    <row r="2512" spans="2:32" x14ac:dyDescent="0.25">
      <c r="B2512" s="695"/>
      <c r="C2512" s="197" t="str">
        <f>IF(B2512&lt;&gt;"",IFERROR(VLOOKUP(B:B,'מצבת והרשמה (2)'!$C$20:$N$520,2,0)," ")," ")</f>
        <v xml:space="preserve"> </v>
      </c>
      <c r="D2512" s="695"/>
      <c r="E2512" s="696"/>
      <c r="F2512" s="696"/>
      <c r="G2512" s="696"/>
      <c r="H2512" s="696"/>
      <c r="I2512" s="1050" t="str">
        <f t="shared" si="587"/>
        <v/>
      </c>
      <c r="J2512" s="696"/>
      <c r="K2512" s="697"/>
      <c r="L2512" s="696"/>
      <c r="M2512" s="198" t="str">
        <f t="shared" si="588"/>
        <v/>
      </c>
      <c r="N2512" s="369" t="str">
        <f t="shared" si="589"/>
        <v/>
      </c>
      <c r="O2512" s="183" t="str">
        <f t="shared" si="590"/>
        <v/>
      </c>
      <c r="P2512" s="199" t="str">
        <f t="shared" si="591"/>
        <v/>
      </c>
      <c r="Q2512" s="199" t="str">
        <f>IF(B2512="","",IFERROR(IF('עלויות כח אדם (6)'!J2512&gt;=VLOOKUP(I2512,'סיווג התפקידים והעלויות'!$B$23:$C$32,2,0),"תקין","לא תקין"),""))</f>
        <v/>
      </c>
      <c r="R2512" s="199" t="str">
        <f t="shared" si="592"/>
        <v/>
      </c>
      <c r="S2512" s="199" t="str">
        <f t="shared" si="593"/>
        <v/>
      </c>
      <c r="T2512" s="199" t="str">
        <f t="shared" ref="T2512:T2575" si="601">IF(B2512="","",IF(H2512="","יש להזין איש צוות",IF(OR(H2512="מורה",H2512="גננת",H2512="רכז גן",H2512="רכזת גן",H2512="סייעת",H2512="מדצית",H2512="מדצ",H2512="מדריך",H2512="מדריכה",H2512="תוספת כח אדם"),IF(L2512&lt;=90,"תקין","לא תקין"),IF(OR(H2512="רכז בית ספר",H2512="רכזת תכנית בבית הספר",H2512="רכזת בית ספר"),IF(L2512&lt;=137,"תקין","לא תקין"),IF(OR(H2512="סגנית רכזת מעל 150",H2512="סגן רכז"),IF(L2512&lt;=93,"תקין","לא תקין"),"לא תקין")))))</f>
        <v/>
      </c>
      <c r="U2512" s="199" t="str">
        <f t="shared" si="594"/>
        <v/>
      </c>
      <c r="V2512" s="989"/>
      <c r="X2512" s="374" t="str">
        <f t="shared" si="595"/>
        <v/>
      </c>
      <c r="Y2512" s="375" t="str">
        <f t="shared" si="596"/>
        <v/>
      </c>
      <c r="Z2512" s="374" t="str">
        <f t="shared" si="597"/>
        <v/>
      </c>
      <c r="AA2512" s="374" t="b">
        <f t="shared" si="598"/>
        <v>1</v>
      </c>
      <c r="AB2512" s="374">
        <f>COUNTIFS(B:B,B2512,H:H,'סיווג התפקידים והעלויות'!$C$2)</f>
        <v>0</v>
      </c>
      <c r="AC2512" s="374">
        <f>COUNTIFS(B:B,B2512,H:H,'סיווג התפקידים והעלויות'!$D$2)</f>
        <v>0</v>
      </c>
      <c r="AD2512" s="374" t="str">
        <f>IF(OR(AND(H2512='סיווג התפקידים והעלויות'!$A$2,I2512='סיווג התפקידים והעלויות'!$A$3),'עלויות כח אדם (6)'!H2512='סיווג התפקידים והעלויות'!$C$2,'עלויות כח אדם (6)'!H2512='סיווג התפקידים והעלויות'!$D$2),IF('עלויות כח אדם (6)'!J2512&lt;75,"לא תקין","תקין"),"")</f>
        <v/>
      </c>
      <c r="AE2512" s="374" t="str">
        <f t="shared" si="599"/>
        <v/>
      </c>
      <c r="AF2512" s="532" t="str">
        <f t="shared" si="600"/>
        <v/>
      </c>
    </row>
    <row r="2513" spans="2:32" x14ac:dyDescent="0.25">
      <c r="B2513" s="695"/>
      <c r="C2513" s="197" t="str">
        <f>IF(B2513&lt;&gt;"",IFERROR(VLOOKUP(B:B,'מצבת והרשמה (2)'!$C$20:$N$520,2,0)," ")," ")</f>
        <v xml:space="preserve"> </v>
      </c>
      <c r="D2513" s="695"/>
      <c r="E2513" s="696"/>
      <c r="F2513" s="696"/>
      <c r="G2513" s="696"/>
      <c r="H2513" s="696"/>
      <c r="I2513" s="1050" t="str">
        <f t="shared" si="587"/>
        <v/>
      </c>
      <c r="J2513" s="696"/>
      <c r="K2513" s="697"/>
      <c r="L2513" s="696"/>
      <c r="M2513" s="198" t="str">
        <f t="shared" si="588"/>
        <v/>
      </c>
      <c r="N2513" s="369" t="str">
        <f t="shared" si="589"/>
        <v/>
      </c>
      <c r="O2513" s="183" t="str">
        <f t="shared" si="590"/>
        <v/>
      </c>
      <c r="P2513" s="199" t="str">
        <f t="shared" si="591"/>
        <v/>
      </c>
      <c r="Q2513" s="199" t="str">
        <f>IF(B2513="","",IFERROR(IF('עלויות כח אדם (6)'!J2513&gt;=VLOOKUP(I2513,'סיווג התפקידים והעלויות'!$B$23:$C$32,2,0),"תקין","לא תקין"),""))</f>
        <v/>
      </c>
      <c r="R2513" s="199" t="str">
        <f t="shared" si="592"/>
        <v/>
      </c>
      <c r="S2513" s="199" t="str">
        <f t="shared" si="593"/>
        <v/>
      </c>
      <c r="T2513" s="199" t="str">
        <f t="shared" si="601"/>
        <v/>
      </c>
      <c r="U2513" s="199" t="str">
        <f t="shared" si="594"/>
        <v/>
      </c>
      <c r="V2513" s="989"/>
      <c r="X2513" s="374" t="str">
        <f t="shared" si="595"/>
        <v/>
      </c>
      <c r="Y2513" s="375" t="str">
        <f t="shared" si="596"/>
        <v/>
      </c>
      <c r="Z2513" s="374" t="str">
        <f t="shared" si="597"/>
        <v/>
      </c>
      <c r="AA2513" s="374" t="b">
        <f t="shared" si="598"/>
        <v>1</v>
      </c>
      <c r="AB2513" s="374">
        <f>COUNTIFS(B:B,B2513,H:H,'סיווג התפקידים והעלויות'!$C$2)</f>
        <v>0</v>
      </c>
      <c r="AC2513" s="374">
        <f>COUNTIFS(B:B,B2513,H:H,'סיווג התפקידים והעלויות'!$D$2)</f>
        <v>0</v>
      </c>
      <c r="AD2513" s="374" t="str">
        <f>IF(OR(AND(H2513='סיווג התפקידים והעלויות'!$A$2,I2513='סיווג התפקידים והעלויות'!$A$3),'עלויות כח אדם (6)'!H2513='סיווג התפקידים והעלויות'!$C$2,'עלויות כח אדם (6)'!H2513='סיווג התפקידים והעלויות'!$D$2),IF('עלויות כח אדם (6)'!J2513&lt;75,"לא תקין","תקין"),"")</f>
        <v/>
      </c>
      <c r="AE2513" s="374" t="str">
        <f t="shared" si="599"/>
        <v/>
      </c>
      <c r="AF2513" s="532" t="str">
        <f t="shared" si="600"/>
        <v/>
      </c>
    </row>
    <row r="2514" spans="2:32" x14ac:dyDescent="0.25">
      <c r="B2514" s="695"/>
      <c r="C2514" s="197" t="str">
        <f>IF(B2514&lt;&gt;"",IFERROR(VLOOKUP(B:B,'מצבת והרשמה (2)'!$C$20:$N$520,2,0)," ")," ")</f>
        <v xml:space="preserve"> </v>
      </c>
      <c r="D2514" s="695"/>
      <c r="E2514" s="696"/>
      <c r="F2514" s="696"/>
      <c r="G2514" s="696"/>
      <c r="H2514" s="696"/>
      <c r="I2514" s="1050" t="str">
        <f t="shared" si="587"/>
        <v/>
      </c>
      <c r="J2514" s="696"/>
      <c r="K2514" s="697"/>
      <c r="L2514" s="696"/>
      <c r="M2514" s="198" t="str">
        <f t="shared" si="588"/>
        <v/>
      </c>
      <c r="N2514" s="369" t="str">
        <f t="shared" si="589"/>
        <v/>
      </c>
      <c r="O2514" s="183" t="str">
        <f t="shared" si="590"/>
        <v/>
      </c>
      <c r="P2514" s="199" t="str">
        <f t="shared" si="591"/>
        <v/>
      </c>
      <c r="Q2514" s="199" t="str">
        <f>IF(B2514="","",IFERROR(IF('עלויות כח אדם (6)'!J2514&gt;=VLOOKUP(I2514,'סיווג התפקידים והעלויות'!$B$23:$C$32,2,0),"תקין","לא תקין"),""))</f>
        <v/>
      </c>
      <c r="R2514" s="199" t="str">
        <f t="shared" si="592"/>
        <v/>
      </c>
      <c r="S2514" s="199" t="str">
        <f t="shared" si="593"/>
        <v/>
      </c>
      <c r="T2514" s="199" t="str">
        <f t="shared" si="601"/>
        <v/>
      </c>
      <c r="U2514" s="199" t="str">
        <f t="shared" si="594"/>
        <v/>
      </c>
      <c r="V2514" s="989"/>
      <c r="X2514" s="374" t="str">
        <f t="shared" si="595"/>
        <v/>
      </c>
      <c r="Y2514" s="375" t="str">
        <f t="shared" si="596"/>
        <v/>
      </c>
      <c r="Z2514" s="374" t="str">
        <f t="shared" si="597"/>
        <v/>
      </c>
      <c r="AA2514" s="374" t="b">
        <f t="shared" si="598"/>
        <v>1</v>
      </c>
      <c r="AB2514" s="374">
        <f>COUNTIFS(B:B,B2514,H:H,'סיווג התפקידים והעלויות'!$C$2)</f>
        <v>0</v>
      </c>
      <c r="AC2514" s="374">
        <f>COUNTIFS(B:B,B2514,H:H,'סיווג התפקידים והעלויות'!$D$2)</f>
        <v>0</v>
      </c>
      <c r="AD2514" s="374" t="str">
        <f>IF(OR(AND(H2514='סיווג התפקידים והעלויות'!$A$2,I2514='סיווג התפקידים והעלויות'!$A$3),'עלויות כח אדם (6)'!H2514='סיווג התפקידים והעלויות'!$C$2,'עלויות כח אדם (6)'!H2514='סיווג התפקידים והעלויות'!$D$2),IF('עלויות כח אדם (6)'!J2514&lt;75,"לא תקין","תקין"),"")</f>
        <v/>
      </c>
      <c r="AE2514" s="374" t="str">
        <f t="shared" si="599"/>
        <v/>
      </c>
      <c r="AF2514" s="532" t="str">
        <f t="shared" si="600"/>
        <v/>
      </c>
    </row>
    <row r="2515" spans="2:32" x14ac:dyDescent="0.25">
      <c r="B2515" s="695"/>
      <c r="C2515" s="197" t="str">
        <f>IF(B2515&lt;&gt;"",IFERROR(VLOOKUP(B:B,'מצבת והרשמה (2)'!$C$20:$N$520,2,0)," ")," ")</f>
        <v xml:space="preserve"> </v>
      </c>
      <c r="D2515" s="695"/>
      <c r="E2515" s="696"/>
      <c r="F2515" s="696"/>
      <c r="G2515" s="696"/>
      <c r="H2515" s="696"/>
      <c r="I2515" s="1050" t="str">
        <f t="shared" si="587"/>
        <v/>
      </c>
      <c r="J2515" s="696"/>
      <c r="K2515" s="697"/>
      <c r="L2515" s="696"/>
      <c r="M2515" s="198" t="str">
        <f t="shared" si="588"/>
        <v/>
      </c>
      <c r="N2515" s="369" t="str">
        <f t="shared" si="589"/>
        <v/>
      </c>
      <c r="O2515" s="183" t="str">
        <f t="shared" si="590"/>
        <v/>
      </c>
      <c r="P2515" s="199" t="str">
        <f t="shared" si="591"/>
        <v/>
      </c>
      <c r="Q2515" s="199" t="str">
        <f>IF(B2515="","",IFERROR(IF('עלויות כח אדם (6)'!J2515&gt;=VLOOKUP(I2515,'סיווג התפקידים והעלויות'!$B$23:$C$32,2,0),"תקין","לא תקין"),""))</f>
        <v/>
      </c>
      <c r="R2515" s="199" t="str">
        <f t="shared" si="592"/>
        <v/>
      </c>
      <c r="S2515" s="199" t="str">
        <f t="shared" si="593"/>
        <v/>
      </c>
      <c r="T2515" s="199" t="str">
        <f t="shared" si="601"/>
        <v/>
      </c>
      <c r="U2515" s="199" t="str">
        <f t="shared" si="594"/>
        <v/>
      </c>
      <c r="V2515" s="989"/>
      <c r="X2515" s="374" t="str">
        <f t="shared" si="595"/>
        <v/>
      </c>
      <c r="Y2515" s="375" t="str">
        <f t="shared" si="596"/>
        <v/>
      </c>
      <c r="Z2515" s="374" t="str">
        <f t="shared" si="597"/>
        <v/>
      </c>
      <c r="AA2515" s="374" t="b">
        <f t="shared" si="598"/>
        <v>1</v>
      </c>
      <c r="AB2515" s="374">
        <f>COUNTIFS(B:B,B2515,H:H,'סיווג התפקידים והעלויות'!$C$2)</f>
        <v>0</v>
      </c>
      <c r="AC2515" s="374">
        <f>COUNTIFS(B:B,B2515,H:H,'סיווג התפקידים והעלויות'!$D$2)</f>
        <v>0</v>
      </c>
      <c r="AD2515" s="374" t="str">
        <f>IF(OR(AND(H2515='סיווג התפקידים והעלויות'!$A$2,I2515='סיווג התפקידים והעלויות'!$A$3),'עלויות כח אדם (6)'!H2515='סיווג התפקידים והעלויות'!$C$2,'עלויות כח אדם (6)'!H2515='סיווג התפקידים והעלויות'!$D$2),IF('עלויות כח אדם (6)'!J2515&lt;75,"לא תקין","תקין"),"")</f>
        <v/>
      </c>
      <c r="AE2515" s="374" t="str">
        <f t="shared" si="599"/>
        <v/>
      </c>
      <c r="AF2515" s="532" t="str">
        <f t="shared" si="600"/>
        <v/>
      </c>
    </row>
    <row r="2516" spans="2:32" x14ac:dyDescent="0.25">
      <c r="B2516" s="695"/>
      <c r="C2516" s="197" t="str">
        <f>IF(B2516&lt;&gt;"",IFERROR(VLOOKUP(B:B,'מצבת והרשמה (2)'!$C$20:$N$520,2,0)," ")," ")</f>
        <v xml:space="preserve"> </v>
      </c>
      <c r="D2516" s="695"/>
      <c r="E2516" s="696"/>
      <c r="F2516" s="696"/>
      <c r="G2516" s="696"/>
      <c r="H2516" s="696"/>
      <c r="I2516" s="1050" t="str">
        <f t="shared" si="587"/>
        <v/>
      </c>
      <c r="J2516" s="696"/>
      <c r="K2516" s="697"/>
      <c r="L2516" s="696"/>
      <c r="M2516" s="198" t="str">
        <f t="shared" si="588"/>
        <v/>
      </c>
      <c r="N2516" s="369" t="str">
        <f t="shared" si="589"/>
        <v/>
      </c>
      <c r="O2516" s="183" t="str">
        <f t="shared" si="590"/>
        <v/>
      </c>
      <c r="P2516" s="199" t="str">
        <f t="shared" si="591"/>
        <v/>
      </c>
      <c r="Q2516" s="199" t="str">
        <f>IF(B2516="","",IFERROR(IF('עלויות כח אדם (6)'!J2516&gt;=VLOOKUP(I2516,'סיווג התפקידים והעלויות'!$B$23:$C$32,2,0),"תקין","לא תקין"),""))</f>
        <v/>
      </c>
      <c r="R2516" s="199" t="str">
        <f t="shared" si="592"/>
        <v/>
      </c>
      <c r="S2516" s="199" t="str">
        <f t="shared" si="593"/>
        <v/>
      </c>
      <c r="T2516" s="199" t="str">
        <f t="shared" si="601"/>
        <v/>
      </c>
      <c r="U2516" s="199" t="str">
        <f t="shared" si="594"/>
        <v/>
      </c>
      <c r="V2516" s="989"/>
      <c r="X2516" s="374" t="str">
        <f t="shared" si="595"/>
        <v/>
      </c>
      <c r="Y2516" s="375" t="str">
        <f t="shared" si="596"/>
        <v/>
      </c>
      <c r="Z2516" s="374" t="str">
        <f t="shared" si="597"/>
        <v/>
      </c>
      <c r="AA2516" s="374" t="b">
        <f t="shared" si="598"/>
        <v>1</v>
      </c>
      <c r="AB2516" s="374">
        <f>COUNTIFS(B:B,B2516,H:H,'סיווג התפקידים והעלויות'!$C$2)</f>
        <v>0</v>
      </c>
      <c r="AC2516" s="374">
        <f>COUNTIFS(B:B,B2516,H:H,'סיווג התפקידים והעלויות'!$D$2)</f>
        <v>0</v>
      </c>
      <c r="AD2516" s="374" t="str">
        <f>IF(OR(AND(H2516='סיווג התפקידים והעלויות'!$A$2,I2516='סיווג התפקידים והעלויות'!$A$3),'עלויות כח אדם (6)'!H2516='סיווג התפקידים והעלויות'!$C$2,'עלויות כח אדם (6)'!H2516='סיווג התפקידים והעלויות'!$D$2),IF('עלויות כח אדם (6)'!J2516&lt;75,"לא תקין","תקין"),"")</f>
        <v/>
      </c>
      <c r="AE2516" s="374" t="str">
        <f t="shared" si="599"/>
        <v/>
      </c>
      <c r="AF2516" s="532" t="str">
        <f t="shared" si="600"/>
        <v/>
      </c>
    </row>
    <row r="2517" spans="2:32" x14ac:dyDescent="0.25">
      <c r="B2517" s="695"/>
      <c r="C2517" s="197" t="str">
        <f>IF(B2517&lt;&gt;"",IFERROR(VLOOKUP(B:B,'מצבת והרשמה (2)'!$C$20:$N$520,2,0)," ")," ")</f>
        <v xml:space="preserve"> </v>
      </c>
      <c r="D2517" s="695"/>
      <c r="E2517" s="696"/>
      <c r="F2517" s="696"/>
      <c r="G2517" s="696"/>
      <c r="H2517" s="696"/>
      <c r="I2517" s="1050" t="str">
        <f t="shared" si="587"/>
        <v/>
      </c>
      <c r="J2517" s="696"/>
      <c r="K2517" s="697"/>
      <c r="L2517" s="696"/>
      <c r="M2517" s="198" t="str">
        <f t="shared" si="588"/>
        <v/>
      </c>
      <c r="N2517" s="369" t="str">
        <f t="shared" si="589"/>
        <v/>
      </c>
      <c r="O2517" s="183" t="str">
        <f t="shared" si="590"/>
        <v/>
      </c>
      <c r="P2517" s="199" t="str">
        <f t="shared" si="591"/>
        <v/>
      </c>
      <c r="Q2517" s="199" t="str">
        <f>IF(B2517="","",IFERROR(IF('עלויות כח אדם (6)'!J2517&gt;=VLOOKUP(I2517,'סיווג התפקידים והעלויות'!$B$23:$C$32,2,0),"תקין","לא תקין"),""))</f>
        <v/>
      </c>
      <c r="R2517" s="199" t="str">
        <f t="shared" si="592"/>
        <v/>
      </c>
      <c r="S2517" s="199" t="str">
        <f t="shared" si="593"/>
        <v/>
      </c>
      <c r="T2517" s="199" t="str">
        <f t="shared" si="601"/>
        <v/>
      </c>
      <c r="U2517" s="199" t="str">
        <f t="shared" si="594"/>
        <v/>
      </c>
      <c r="V2517" s="989"/>
      <c r="X2517" s="374" t="str">
        <f t="shared" si="595"/>
        <v/>
      </c>
      <c r="Y2517" s="375" t="str">
        <f t="shared" si="596"/>
        <v/>
      </c>
      <c r="Z2517" s="374" t="str">
        <f t="shared" si="597"/>
        <v/>
      </c>
      <c r="AA2517" s="374" t="b">
        <f t="shared" si="598"/>
        <v>1</v>
      </c>
      <c r="AB2517" s="374">
        <f>COUNTIFS(B:B,B2517,H:H,'סיווג התפקידים והעלויות'!$C$2)</f>
        <v>0</v>
      </c>
      <c r="AC2517" s="374">
        <f>COUNTIFS(B:B,B2517,H:H,'סיווג התפקידים והעלויות'!$D$2)</f>
        <v>0</v>
      </c>
      <c r="AD2517" s="374" t="str">
        <f>IF(OR(AND(H2517='סיווג התפקידים והעלויות'!$A$2,I2517='סיווג התפקידים והעלויות'!$A$3),'עלויות כח אדם (6)'!H2517='סיווג התפקידים והעלויות'!$C$2,'עלויות כח אדם (6)'!H2517='סיווג התפקידים והעלויות'!$D$2),IF('עלויות כח אדם (6)'!J2517&lt;75,"לא תקין","תקין"),"")</f>
        <v/>
      </c>
      <c r="AE2517" s="374" t="str">
        <f t="shared" si="599"/>
        <v/>
      </c>
      <c r="AF2517" s="532" t="str">
        <f t="shared" si="600"/>
        <v/>
      </c>
    </row>
    <row r="2518" spans="2:32" x14ac:dyDescent="0.25">
      <c r="B2518" s="695"/>
      <c r="C2518" s="197" t="str">
        <f>IF(B2518&lt;&gt;"",IFERROR(VLOOKUP(B:B,'מצבת והרשמה (2)'!$C$20:$N$520,2,0)," ")," ")</f>
        <v xml:space="preserve"> </v>
      </c>
      <c r="D2518" s="695"/>
      <c r="E2518" s="696"/>
      <c r="F2518" s="696"/>
      <c r="G2518" s="696"/>
      <c r="H2518" s="696"/>
      <c r="I2518" s="1050" t="str">
        <f t="shared" si="587"/>
        <v/>
      </c>
      <c r="J2518" s="696"/>
      <c r="K2518" s="697"/>
      <c r="L2518" s="696"/>
      <c r="M2518" s="198" t="str">
        <f t="shared" si="588"/>
        <v/>
      </c>
      <c r="N2518" s="369" t="str">
        <f t="shared" si="589"/>
        <v/>
      </c>
      <c r="O2518" s="183" t="str">
        <f t="shared" si="590"/>
        <v/>
      </c>
      <c r="P2518" s="199" t="str">
        <f t="shared" si="591"/>
        <v/>
      </c>
      <c r="Q2518" s="199" t="str">
        <f>IF(B2518="","",IFERROR(IF('עלויות כח אדם (6)'!J2518&gt;=VLOOKUP(I2518,'סיווג התפקידים והעלויות'!$B$23:$C$32,2,0),"תקין","לא תקין"),""))</f>
        <v/>
      </c>
      <c r="R2518" s="199" t="str">
        <f t="shared" si="592"/>
        <v/>
      </c>
      <c r="S2518" s="199" t="str">
        <f t="shared" si="593"/>
        <v/>
      </c>
      <c r="T2518" s="199" t="str">
        <f t="shared" si="601"/>
        <v/>
      </c>
      <c r="U2518" s="199" t="str">
        <f t="shared" si="594"/>
        <v/>
      </c>
      <c r="V2518" s="989"/>
      <c r="X2518" s="374" t="str">
        <f t="shared" si="595"/>
        <v/>
      </c>
      <c r="Y2518" s="375" t="str">
        <f t="shared" si="596"/>
        <v/>
      </c>
      <c r="Z2518" s="374" t="str">
        <f t="shared" si="597"/>
        <v/>
      </c>
      <c r="AA2518" s="374" t="b">
        <f t="shared" si="598"/>
        <v>1</v>
      </c>
      <c r="AB2518" s="374">
        <f>COUNTIFS(B:B,B2518,H:H,'סיווג התפקידים והעלויות'!$C$2)</f>
        <v>0</v>
      </c>
      <c r="AC2518" s="374">
        <f>COUNTIFS(B:B,B2518,H:H,'סיווג התפקידים והעלויות'!$D$2)</f>
        <v>0</v>
      </c>
      <c r="AD2518" s="374" t="str">
        <f>IF(OR(AND(H2518='סיווג התפקידים והעלויות'!$A$2,I2518='סיווג התפקידים והעלויות'!$A$3),'עלויות כח אדם (6)'!H2518='סיווג התפקידים והעלויות'!$C$2,'עלויות כח אדם (6)'!H2518='סיווג התפקידים והעלויות'!$D$2),IF('עלויות כח אדם (6)'!J2518&lt;75,"לא תקין","תקין"),"")</f>
        <v/>
      </c>
      <c r="AE2518" s="374" t="str">
        <f t="shared" si="599"/>
        <v/>
      </c>
      <c r="AF2518" s="532" t="str">
        <f t="shared" si="600"/>
        <v/>
      </c>
    </row>
    <row r="2519" spans="2:32" x14ac:dyDescent="0.25">
      <c r="B2519" s="695"/>
      <c r="C2519" s="197" t="str">
        <f>IF(B2519&lt;&gt;"",IFERROR(VLOOKUP(B:B,'מצבת והרשמה (2)'!$C$20:$N$520,2,0)," ")," ")</f>
        <v xml:space="preserve"> </v>
      </c>
      <c r="D2519" s="695"/>
      <c r="E2519" s="696"/>
      <c r="F2519" s="696"/>
      <c r="G2519" s="696"/>
      <c r="H2519" s="696"/>
      <c r="I2519" s="1050" t="str">
        <f t="shared" si="587"/>
        <v/>
      </c>
      <c r="J2519" s="696"/>
      <c r="K2519" s="697"/>
      <c r="L2519" s="696"/>
      <c r="M2519" s="198" t="str">
        <f t="shared" si="588"/>
        <v/>
      </c>
      <c r="N2519" s="369" t="str">
        <f t="shared" si="589"/>
        <v/>
      </c>
      <c r="O2519" s="183" t="str">
        <f t="shared" si="590"/>
        <v/>
      </c>
      <c r="P2519" s="199" t="str">
        <f t="shared" si="591"/>
        <v/>
      </c>
      <c r="Q2519" s="199" t="str">
        <f>IF(B2519="","",IFERROR(IF('עלויות כח אדם (6)'!J2519&gt;=VLOOKUP(I2519,'סיווג התפקידים והעלויות'!$B$23:$C$32,2,0),"תקין","לא תקין"),""))</f>
        <v/>
      </c>
      <c r="R2519" s="199" t="str">
        <f t="shared" si="592"/>
        <v/>
      </c>
      <c r="S2519" s="199" t="str">
        <f t="shared" si="593"/>
        <v/>
      </c>
      <c r="T2519" s="199" t="str">
        <f t="shared" si="601"/>
        <v/>
      </c>
      <c r="U2519" s="199" t="str">
        <f t="shared" si="594"/>
        <v/>
      </c>
      <c r="V2519" s="989"/>
      <c r="X2519" s="374" t="str">
        <f t="shared" si="595"/>
        <v/>
      </c>
      <c r="Y2519" s="375" t="str">
        <f t="shared" si="596"/>
        <v/>
      </c>
      <c r="Z2519" s="374" t="str">
        <f t="shared" si="597"/>
        <v/>
      </c>
      <c r="AA2519" s="374" t="b">
        <f t="shared" si="598"/>
        <v>1</v>
      </c>
      <c r="AB2519" s="374">
        <f>COUNTIFS(B:B,B2519,H:H,'סיווג התפקידים והעלויות'!$C$2)</f>
        <v>0</v>
      </c>
      <c r="AC2519" s="374">
        <f>COUNTIFS(B:B,B2519,H:H,'סיווג התפקידים והעלויות'!$D$2)</f>
        <v>0</v>
      </c>
      <c r="AD2519" s="374" t="str">
        <f>IF(OR(AND(H2519='סיווג התפקידים והעלויות'!$A$2,I2519='סיווג התפקידים והעלויות'!$A$3),'עלויות כח אדם (6)'!H2519='סיווג התפקידים והעלויות'!$C$2,'עלויות כח אדם (6)'!H2519='סיווג התפקידים והעלויות'!$D$2),IF('עלויות כח אדם (6)'!J2519&lt;75,"לא תקין","תקין"),"")</f>
        <v/>
      </c>
      <c r="AE2519" s="374" t="str">
        <f t="shared" si="599"/>
        <v/>
      </c>
      <c r="AF2519" s="532" t="str">
        <f t="shared" si="600"/>
        <v/>
      </c>
    </row>
    <row r="2520" spans="2:32" x14ac:dyDescent="0.25">
      <c r="B2520" s="695"/>
      <c r="C2520" s="197" t="str">
        <f>IF(B2520&lt;&gt;"",IFERROR(VLOOKUP(B:B,'מצבת והרשמה (2)'!$C$20:$N$520,2,0)," ")," ")</f>
        <v xml:space="preserve"> </v>
      </c>
      <c r="D2520" s="695"/>
      <c r="E2520" s="696"/>
      <c r="F2520" s="696"/>
      <c r="G2520" s="696"/>
      <c r="H2520" s="696"/>
      <c r="I2520" s="1050" t="str">
        <f t="shared" si="587"/>
        <v/>
      </c>
      <c r="J2520" s="696"/>
      <c r="K2520" s="697"/>
      <c r="L2520" s="696"/>
      <c r="M2520" s="198" t="str">
        <f t="shared" si="588"/>
        <v/>
      </c>
      <c r="N2520" s="369" t="str">
        <f t="shared" si="589"/>
        <v/>
      </c>
      <c r="O2520" s="183" t="str">
        <f t="shared" si="590"/>
        <v/>
      </c>
      <c r="P2520" s="199" t="str">
        <f t="shared" si="591"/>
        <v/>
      </c>
      <c r="Q2520" s="199" t="str">
        <f>IF(B2520="","",IFERROR(IF('עלויות כח אדם (6)'!J2520&gt;=VLOOKUP(I2520,'סיווג התפקידים והעלויות'!$B$23:$C$32,2,0),"תקין","לא תקין"),""))</f>
        <v/>
      </c>
      <c r="R2520" s="199" t="str">
        <f t="shared" si="592"/>
        <v/>
      </c>
      <c r="S2520" s="199" t="str">
        <f t="shared" si="593"/>
        <v/>
      </c>
      <c r="T2520" s="199" t="str">
        <f t="shared" si="601"/>
        <v/>
      </c>
      <c r="U2520" s="199" t="str">
        <f t="shared" si="594"/>
        <v/>
      </c>
      <c r="V2520" s="989"/>
      <c r="X2520" s="374" t="str">
        <f t="shared" si="595"/>
        <v/>
      </c>
      <c r="Y2520" s="375" t="str">
        <f t="shared" si="596"/>
        <v/>
      </c>
      <c r="Z2520" s="374" t="str">
        <f t="shared" si="597"/>
        <v/>
      </c>
      <c r="AA2520" s="374" t="b">
        <f t="shared" si="598"/>
        <v>1</v>
      </c>
      <c r="AB2520" s="374">
        <f>COUNTIFS(B:B,B2520,H:H,'סיווג התפקידים והעלויות'!$C$2)</f>
        <v>0</v>
      </c>
      <c r="AC2520" s="374">
        <f>COUNTIFS(B:B,B2520,H:H,'סיווג התפקידים והעלויות'!$D$2)</f>
        <v>0</v>
      </c>
      <c r="AD2520" s="374" t="str">
        <f>IF(OR(AND(H2520='סיווג התפקידים והעלויות'!$A$2,I2520='סיווג התפקידים והעלויות'!$A$3),'עלויות כח אדם (6)'!H2520='סיווג התפקידים והעלויות'!$C$2,'עלויות כח אדם (6)'!H2520='סיווג התפקידים והעלויות'!$D$2),IF('עלויות כח אדם (6)'!J2520&lt;75,"לא תקין","תקין"),"")</f>
        <v/>
      </c>
      <c r="AE2520" s="374" t="str">
        <f t="shared" si="599"/>
        <v/>
      </c>
      <c r="AF2520" s="532" t="str">
        <f t="shared" si="600"/>
        <v/>
      </c>
    </row>
    <row r="2521" spans="2:32" x14ac:dyDescent="0.25">
      <c r="B2521" s="695"/>
      <c r="C2521" s="197" t="str">
        <f>IF(B2521&lt;&gt;"",IFERROR(VLOOKUP(B:B,'מצבת והרשמה (2)'!$C$20:$N$520,2,0)," ")," ")</f>
        <v xml:space="preserve"> </v>
      </c>
      <c r="D2521" s="695"/>
      <c r="E2521" s="696"/>
      <c r="F2521" s="696"/>
      <c r="G2521" s="696"/>
      <c r="H2521" s="696"/>
      <c r="I2521" s="1050" t="str">
        <f t="shared" si="587"/>
        <v/>
      </c>
      <c r="J2521" s="696"/>
      <c r="K2521" s="697"/>
      <c r="L2521" s="696"/>
      <c r="M2521" s="198" t="str">
        <f t="shared" si="588"/>
        <v/>
      </c>
      <c r="N2521" s="369" t="str">
        <f t="shared" si="589"/>
        <v/>
      </c>
      <c r="O2521" s="183" t="str">
        <f t="shared" si="590"/>
        <v/>
      </c>
      <c r="P2521" s="199" t="str">
        <f t="shared" si="591"/>
        <v/>
      </c>
      <c r="Q2521" s="199" t="str">
        <f>IF(B2521="","",IFERROR(IF('עלויות כח אדם (6)'!J2521&gt;=VLOOKUP(I2521,'סיווג התפקידים והעלויות'!$B$23:$C$32,2,0),"תקין","לא תקין"),""))</f>
        <v/>
      </c>
      <c r="R2521" s="199" t="str">
        <f t="shared" si="592"/>
        <v/>
      </c>
      <c r="S2521" s="199" t="str">
        <f t="shared" si="593"/>
        <v/>
      </c>
      <c r="T2521" s="199" t="str">
        <f t="shared" si="601"/>
        <v/>
      </c>
      <c r="U2521" s="199" t="str">
        <f t="shared" si="594"/>
        <v/>
      </c>
      <c r="V2521" s="989"/>
      <c r="X2521" s="374" t="str">
        <f t="shared" si="595"/>
        <v/>
      </c>
      <c r="Y2521" s="375" t="str">
        <f t="shared" si="596"/>
        <v/>
      </c>
      <c r="Z2521" s="374" t="str">
        <f t="shared" si="597"/>
        <v/>
      </c>
      <c r="AA2521" s="374" t="b">
        <f t="shared" si="598"/>
        <v>1</v>
      </c>
      <c r="AB2521" s="374">
        <f>COUNTIFS(B:B,B2521,H:H,'סיווג התפקידים והעלויות'!$C$2)</f>
        <v>0</v>
      </c>
      <c r="AC2521" s="374">
        <f>COUNTIFS(B:B,B2521,H:H,'סיווג התפקידים והעלויות'!$D$2)</f>
        <v>0</v>
      </c>
      <c r="AD2521" s="374" t="str">
        <f>IF(OR(AND(H2521='סיווג התפקידים והעלויות'!$A$2,I2521='סיווג התפקידים והעלויות'!$A$3),'עלויות כח אדם (6)'!H2521='סיווג התפקידים והעלויות'!$C$2,'עלויות כח אדם (6)'!H2521='סיווג התפקידים והעלויות'!$D$2),IF('עלויות כח אדם (6)'!J2521&lt;75,"לא תקין","תקין"),"")</f>
        <v/>
      </c>
      <c r="AE2521" s="374" t="str">
        <f t="shared" si="599"/>
        <v/>
      </c>
      <c r="AF2521" s="532" t="str">
        <f t="shared" si="600"/>
        <v/>
      </c>
    </row>
    <row r="2522" spans="2:32" x14ac:dyDescent="0.25">
      <c r="B2522" s="695"/>
      <c r="C2522" s="197" t="str">
        <f>IF(B2522&lt;&gt;"",IFERROR(VLOOKUP(B:B,'מצבת והרשמה (2)'!$C$20:$N$520,2,0)," ")," ")</f>
        <v xml:space="preserve"> </v>
      </c>
      <c r="D2522" s="695"/>
      <c r="E2522" s="696"/>
      <c r="F2522" s="696"/>
      <c r="G2522" s="696"/>
      <c r="H2522" s="696"/>
      <c r="I2522" s="1050" t="str">
        <f t="shared" si="587"/>
        <v/>
      </c>
      <c r="J2522" s="696"/>
      <c r="K2522" s="697"/>
      <c r="L2522" s="696"/>
      <c r="M2522" s="198" t="str">
        <f t="shared" si="588"/>
        <v/>
      </c>
      <c r="N2522" s="369" t="str">
        <f t="shared" si="589"/>
        <v/>
      </c>
      <c r="O2522" s="183" t="str">
        <f t="shared" si="590"/>
        <v/>
      </c>
      <c r="P2522" s="199" t="str">
        <f t="shared" si="591"/>
        <v/>
      </c>
      <c r="Q2522" s="199" t="str">
        <f>IF(B2522="","",IFERROR(IF('עלויות כח אדם (6)'!J2522&gt;=VLOOKUP(I2522,'סיווג התפקידים והעלויות'!$B$23:$C$32,2,0),"תקין","לא תקין"),""))</f>
        <v/>
      </c>
      <c r="R2522" s="199" t="str">
        <f t="shared" si="592"/>
        <v/>
      </c>
      <c r="S2522" s="199" t="str">
        <f t="shared" si="593"/>
        <v/>
      </c>
      <c r="T2522" s="199" t="str">
        <f t="shared" si="601"/>
        <v/>
      </c>
      <c r="U2522" s="199" t="str">
        <f t="shared" si="594"/>
        <v/>
      </c>
      <c r="V2522" s="989"/>
      <c r="X2522" s="374" t="str">
        <f t="shared" si="595"/>
        <v/>
      </c>
      <c r="Y2522" s="375" t="str">
        <f t="shared" si="596"/>
        <v/>
      </c>
      <c r="Z2522" s="374" t="str">
        <f t="shared" si="597"/>
        <v/>
      </c>
      <c r="AA2522" s="374" t="b">
        <f t="shared" si="598"/>
        <v>1</v>
      </c>
      <c r="AB2522" s="374">
        <f>COUNTIFS(B:B,B2522,H:H,'סיווג התפקידים והעלויות'!$C$2)</f>
        <v>0</v>
      </c>
      <c r="AC2522" s="374">
        <f>COUNTIFS(B:B,B2522,H:H,'סיווג התפקידים והעלויות'!$D$2)</f>
        <v>0</v>
      </c>
      <c r="AD2522" s="374" t="str">
        <f>IF(OR(AND(H2522='סיווג התפקידים והעלויות'!$A$2,I2522='סיווג התפקידים והעלויות'!$A$3),'עלויות כח אדם (6)'!H2522='סיווג התפקידים והעלויות'!$C$2,'עלויות כח אדם (6)'!H2522='סיווג התפקידים והעלויות'!$D$2),IF('עלויות כח אדם (6)'!J2522&lt;75,"לא תקין","תקין"),"")</f>
        <v/>
      </c>
      <c r="AE2522" s="374" t="str">
        <f t="shared" si="599"/>
        <v/>
      </c>
      <c r="AF2522" s="532" t="str">
        <f t="shared" si="600"/>
        <v/>
      </c>
    </row>
    <row r="2523" spans="2:32" x14ac:dyDescent="0.25">
      <c r="B2523" s="695"/>
      <c r="C2523" s="197" t="str">
        <f>IF(B2523&lt;&gt;"",IFERROR(VLOOKUP(B:B,'מצבת והרשמה (2)'!$C$20:$N$520,2,0)," ")," ")</f>
        <v xml:space="preserve"> </v>
      </c>
      <c r="D2523" s="695"/>
      <c r="E2523" s="696"/>
      <c r="F2523" s="696"/>
      <c r="G2523" s="696"/>
      <c r="H2523" s="696"/>
      <c r="I2523" s="1050" t="str">
        <f t="shared" si="587"/>
        <v/>
      </c>
      <c r="J2523" s="696"/>
      <c r="K2523" s="697"/>
      <c r="L2523" s="696"/>
      <c r="M2523" s="198" t="str">
        <f t="shared" si="588"/>
        <v/>
      </c>
      <c r="N2523" s="369" t="str">
        <f t="shared" si="589"/>
        <v/>
      </c>
      <c r="O2523" s="183" t="str">
        <f t="shared" si="590"/>
        <v/>
      </c>
      <c r="P2523" s="199" t="str">
        <f t="shared" si="591"/>
        <v/>
      </c>
      <c r="Q2523" s="199" t="str">
        <f>IF(B2523="","",IFERROR(IF('עלויות כח אדם (6)'!J2523&gt;=VLOOKUP(I2523,'סיווג התפקידים והעלויות'!$B$23:$C$32,2,0),"תקין","לא תקין"),""))</f>
        <v/>
      </c>
      <c r="R2523" s="199" t="str">
        <f t="shared" si="592"/>
        <v/>
      </c>
      <c r="S2523" s="199" t="str">
        <f t="shared" si="593"/>
        <v/>
      </c>
      <c r="T2523" s="199" t="str">
        <f t="shared" si="601"/>
        <v/>
      </c>
      <c r="U2523" s="199" t="str">
        <f t="shared" si="594"/>
        <v/>
      </c>
      <c r="V2523" s="989"/>
      <c r="X2523" s="374" t="str">
        <f t="shared" si="595"/>
        <v/>
      </c>
      <c r="Y2523" s="375" t="str">
        <f t="shared" si="596"/>
        <v/>
      </c>
      <c r="Z2523" s="374" t="str">
        <f t="shared" si="597"/>
        <v/>
      </c>
      <c r="AA2523" s="374" t="b">
        <f t="shared" si="598"/>
        <v>1</v>
      </c>
      <c r="AB2523" s="374">
        <f>COUNTIFS(B:B,B2523,H:H,'סיווג התפקידים והעלויות'!$C$2)</f>
        <v>0</v>
      </c>
      <c r="AC2523" s="374">
        <f>COUNTIFS(B:B,B2523,H:H,'סיווג התפקידים והעלויות'!$D$2)</f>
        <v>0</v>
      </c>
      <c r="AD2523" s="374" t="str">
        <f>IF(OR(AND(H2523='סיווג התפקידים והעלויות'!$A$2,I2523='סיווג התפקידים והעלויות'!$A$3),'עלויות כח אדם (6)'!H2523='סיווג התפקידים והעלויות'!$C$2,'עלויות כח אדם (6)'!H2523='סיווג התפקידים והעלויות'!$D$2),IF('עלויות כח אדם (6)'!J2523&lt;75,"לא תקין","תקין"),"")</f>
        <v/>
      </c>
      <c r="AE2523" s="374" t="str">
        <f t="shared" si="599"/>
        <v/>
      </c>
      <c r="AF2523" s="532" t="str">
        <f t="shared" si="600"/>
        <v/>
      </c>
    </row>
    <row r="2524" spans="2:32" x14ac:dyDescent="0.25">
      <c r="B2524" s="695"/>
      <c r="C2524" s="197" t="str">
        <f>IF(B2524&lt;&gt;"",IFERROR(VLOOKUP(B:B,'מצבת והרשמה (2)'!$C$20:$N$520,2,0)," ")," ")</f>
        <v xml:space="preserve"> </v>
      </c>
      <c r="D2524" s="695"/>
      <c r="E2524" s="696"/>
      <c r="F2524" s="696"/>
      <c r="G2524" s="696"/>
      <c r="H2524" s="696"/>
      <c r="I2524" s="1050" t="str">
        <f t="shared" si="587"/>
        <v/>
      </c>
      <c r="J2524" s="696"/>
      <c r="K2524" s="697"/>
      <c r="L2524" s="696"/>
      <c r="M2524" s="198" t="str">
        <f t="shared" si="588"/>
        <v/>
      </c>
      <c r="N2524" s="369" t="str">
        <f t="shared" si="589"/>
        <v/>
      </c>
      <c r="O2524" s="183" t="str">
        <f t="shared" si="590"/>
        <v/>
      </c>
      <c r="P2524" s="199" t="str">
        <f t="shared" si="591"/>
        <v/>
      </c>
      <c r="Q2524" s="199" t="str">
        <f>IF(B2524="","",IFERROR(IF('עלויות כח אדם (6)'!J2524&gt;=VLOOKUP(I2524,'סיווג התפקידים והעלויות'!$B$23:$C$32,2,0),"תקין","לא תקין"),""))</f>
        <v/>
      </c>
      <c r="R2524" s="199" t="str">
        <f t="shared" si="592"/>
        <v/>
      </c>
      <c r="S2524" s="199" t="str">
        <f t="shared" si="593"/>
        <v/>
      </c>
      <c r="T2524" s="199" t="str">
        <f t="shared" si="601"/>
        <v/>
      </c>
      <c r="U2524" s="199" t="str">
        <f t="shared" si="594"/>
        <v/>
      </c>
      <c r="V2524" s="989"/>
      <c r="X2524" s="374" t="str">
        <f t="shared" si="595"/>
        <v/>
      </c>
      <c r="Y2524" s="375" t="str">
        <f t="shared" si="596"/>
        <v/>
      </c>
      <c r="Z2524" s="374" t="str">
        <f t="shared" si="597"/>
        <v/>
      </c>
      <c r="AA2524" s="374" t="b">
        <f t="shared" si="598"/>
        <v>1</v>
      </c>
      <c r="AB2524" s="374">
        <f>COUNTIFS(B:B,B2524,H:H,'סיווג התפקידים והעלויות'!$C$2)</f>
        <v>0</v>
      </c>
      <c r="AC2524" s="374">
        <f>COUNTIFS(B:B,B2524,H:H,'סיווג התפקידים והעלויות'!$D$2)</f>
        <v>0</v>
      </c>
      <c r="AD2524" s="374" t="str">
        <f>IF(OR(AND(H2524='סיווג התפקידים והעלויות'!$A$2,I2524='סיווג התפקידים והעלויות'!$A$3),'עלויות כח אדם (6)'!H2524='סיווג התפקידים והעלויות'!$C$2,'עלויות כח אדם (6)'!H2524='סיווג התפקידים והעלויות'!$D$2),IF('עלויות כח אדם (6)'!J2524&lt;75,"לא תקין","תקין"),"")</f>
        <v/>
      </c>
      <c r="AE2524" s="374" t="str">
        <f t="shared" si="599"/>
        <v/>
      </c>
      <c r="AF2524" s="532" t="str">
        <f t="shared" si="600"/>
        <v/>
      </c>
    </row>
    <row r="2525" spans="2:32" x14ac:dyDescent="0.25">
      <c r="B2525" s="695"/>
      <c r="C2525" s="197" t="str">
        <f>IF(B2525&lt;&gt;"",IFERROR(VLOOKUP(B:B,'מצבת והרשמה (2)'!$C$20:$N$520,2,0)," ")," ")</f>
        <v xml:space="preserve"> </v>
      </c>
      <c r="D2525" s="695"/>
      <c r="E2525" s="696"/>
      <c r="F2525" s="696"/>
      <c r="G2525" s="696"/>
      <c r="H2525" s="696"/>
      <c r="I2525" s="1050" t="str">
        <f t="shared" si="587"/>
        <v/>
      </c>
      <c r="J2525" s="696"/>
      <c r="K2525" s="697"/>
      <c r="L2525" s="696"/>
      <c r="M2525" s="198" t="str">
        <f t="shared" si="588"/>
        <v/>
      </c>
      <c r="N2525" s="369" t="str">
        <f t="shared" si="589"/>
        <v/>
      </c>
      <c r="O2525" s="183" t="str">
        <f t="shared" si="590"/>
        <v/>
      </c>
      <c r="P2525" s="199" t="str">
        <f t="shared" si="591"/>
        <v/>
      </c>
      <c r="Q2525" s="199" t="str">
        <f>IF(B2525="","",IFERROR(IF('עלויות כח אדם (6)'!J2525&gt;=VLOOKUP(I2525,'סיווג התפקידים והעלויות'!$B$23:$C$32,2,0),"תקין","לא תקין"),""))</f>
        <v/>
      </c>
      <c r="R2525" s="199" t="str">
        <f t="shared" si="592"/>
        <v/>
      </c>
      <c r="S2525" s="199" t="str">
        <f t="shared" si="593"/>
        <v/>
      </c>
      <c r="T2525" s="199" t="str">
        <f t="shared" si="601"/>
        <v/>
      </c>
      <c r="U2525" s="199" t="str">
        <f t="shared" si="594"/>
        <v/>
      </c>
      <c r="V2525" s="989"/>
      <c r="X2525" s="374" t="str">
        <f t="shared" si="595"/>
        <v/>
      </c>
      <c r="Y2525" s="375" t="str">
        <f t="shared" si="596"/>
        <v/>
      </c>
      <c r="Z2525" s="374" t="str">
        <f t="shared" si="597"/>
        <v/>
      </c>
      <c r="AA2525" s="374" t="b">
        <f t="shared" si="598"/>
        <v>1</v>
      </c>
      <c r="AB2525" s="374">
        <f>COUNTIFS(B:B,B2525,H:H,'סיווג התפקידים והעלויות'!$C$2)</f>
        <v>0</v>
      </c>
      <c r="AC2525" s="374">
        <f>COUNTIFS(B:B,B2525,H:H,'סיווג התפקידים והעלויות'!$D$2)</f>
        <v>0</v>
      </c>
      <c r="AD2525" s="374" t="str">
        <f>IF(OR(AND(H2525='סיווג התפקידים והעלויות'!$A$2,I2525='סיווג התפקידים והעלויות'!$A$3),'עלויות כח אדם (6)'!H2525='סיווג התפקידים והעלויות'!$C$2,'עלויות כח אדם (6)'!H2525='סיווג התפקידים והעלויות'!$D$2),IF('עלויות כח אדם (6)'!J2525&lt;75,"לא תקין","תקין"),"")</f>
        <v/>
      </c>
      <c r="AE2525" s="374" t="str">
        <f t="shared" si="599"/>
        <v/>
      </c>
      <c r="AF2525" s="532" t="str">
        <f t="shared" si="600"/>
        <v/>
      </c>
    </row>
    <row r="2526" spans="2:32" x14ac:dyDescent="0.25">
      <c r="B2526" s="695"/>
      <c r="C2526" s="197" t="str">
        <f>IF(B2526&lt;&gt;"",IFERROR(VLOOKUP(B:B,'מצבת והרשמה (2)'!$C$20:$N$520,2,0)," ")," ")</f>
        <v xml:space="preserve"> </v>
      </c>
      <c r="D2526" s="695"/>
      <c r="E2526" s="696"/>
      <c r="F2526" s="696"/>
      <c r="G2526" s="696"/>
      <c r="H2526" s="696"/>
      <c r="I2526" s="1050" t="str">
        <f t="shared" si="587"/>
        <v/>
      </c>
      <c r="J2526" s="696"/>
      <c r="K2526" s="697"/>
      <c r="L2526" s="696"/>
      <c r="M2526" s="198" t="str">
        <f t="shared" si="588"/>
        <v/>
      </c>
      <c r="N2526" s="369" t="str">
        <f t="shared" si="589"/>
        <v/>
      </c>
      <c r="O2526" s="183" t="str">
        <f t="shared" si="590"/>
        <v/>
      </c>
      <c r="P2526" s="199" t="str">
        <f t="shared" si="591"/>
        <v/>
      </c>
      <c r="Q2526" s="199" t="str">
        <f>IF(B2526="","",IFERROR(IF('עלויות כח אדם (6)'!J2526&gt;=VLOOKUP(I2526,'סיווג התפקידים והעלויות'!$B$23:$C$32,2,0),"תקין","לא תקין"),""))</f>
        <v/>
      </c>
      <c r="R2526" s="199" t="str">
        <f t="shared" si="592"/>
        <v/>
      </c>
      <c r="S2526" s="199" t="str">
        <f t="shared" si="593"/>
        <v/>
      </c>
      <c r="T2526" s="199" t="str">
        <f t="shared" si="601"/>
        <v/>
      </c>
      <c r="U2526" s="199" t="str">
        <f t="shared" si="594"/>
        <v/>
      </c>
      <c r="V2526" s="989"/>
      <c r="X2526" s="374" t="str">
        <f t="shared" si="595"/>
        <v/>
      </c>
      <c r="Y2526" s="375" t="str">
        <f t="shared" si="596"/>
        <v/>
      </c>
      <c r="Z2526" s="374" t="str">
        <f t="shared" si="597"/>
        <v/>
      </c>
      <c r="AA2526" s="374" t="b">
        <f t="shared" si="598"/>
        <v>1</v>
      </c>
      <c r="AB2526" s="374">
        <f>COUNTIFS(B:B,B2526,H:H,'סיווג התפקידים והעלויות'!$C$2)</f>
        <v>0</v>
      </c>
      <c r="AC2526" s="374">
        <f>COUNTIFS(B:B,B2526,H:H,'סיווג התפקידים והעלויות'!$D$2)</f>
        <v>0</v>
      </c>
      <c r="AD2526" s="374" t="str">
        <f>IF(OR(AND(H2526='סיווג התפקידים והעלויות'!$A$2,I2526='סיווג התפקידים והעלויות'!$A$3),'עלויות כח אדם (6)'!H2526='סיווג התפקידים והעלויות'!$C$2,'עלויות כח אדם (6)'!H2526='סיווג התפקידים והעלויות'!$D$2),IF('עלויות כח אדם (6)'!J2526&lt;75,"לא תקין","תקין"),"")</f>
        <v/>
      </c>
      <c r="AE2526" s="374" t="str">
        <f t="shared" si="599"/>
        <v/>
      </c>
      <c r="AF2526" s="532" t="str">
        <f t="shared" si="600"/>
        <v/>
      </c>
    </row>
    <row r="2527" spans="2:32" x14ac:dyDescent="0.25">
      <c r="B2527" s="695"/>
      <c r="C2527" s="197" t="str">
        <f>IF(B2527&lt;&gt;"",IFERROR(VLOOKUP(B:B,'מצבת והרשמה (2)'!$C$20:$N$520,2,0)," ")," ")</f>
        <v xml:space="preserve"> </v>
      </c>
      <c r="D2527" s="695"/>
      <c r="E2527" s="696"/>
      <c r="F2527" s="696"/>
      <c r="G2527" s="696"/>
      <c r="H2527" s="696"/>
      <c r="I2527" s="1050" t="str">
        <f t="shared" si="587"/>
        <v/>
      </c>
      <c r="J2527" s="696"/>
      <c r="K2527" s="697"/>
      <c r="L2527" s="696"/>
      <c r="M2527" s="198" t="str">
        <f t="shared" si="588"/>
        <v/>
      </c>
      <c r="N2527" s="369" t="str">
        <f t="shared" si="589"/>
        <v/>
      </c>
      <c r="O2527" s="183" t="str">
        <f t="shared" si="590"/>
        <v/>
      </c>
      <c r="P2527" s="199" t="str">
        <f t="shared" si="591"/>
        <v/>
      </c>
      <c r="Q2527" s="199" t="str">
        <f>IF(B2527="","",IFERROR(IF('עלויות כח אדם (6)'!J2527&gt;=VLOOKUP(I2527,'סיווג התפקידים והעלויות'!$B$23:$C$32,2,0),"תקין","לא תקין"),""))</f>
        <v/>
      </c>
      <c r="R2527" s="199" t="str">
        <f t="shared" si="592"/>
        <v/>
      </c>
      <c r="S2527" s="199" t="str">
        <f t="shared" si="593"/>
        <v/>
      </c>
      <c r="T2527" s="199" t="str">
        <f t="shared" si="601"/>
        <v/>
      </c>
      <c r="U2527" s="199" t="str">
        <f t="shared" si="594"/>
        <v/>
      </c>
      <c r="V2527" s="989"/>
      <c r="X2527" s="374" t="str">
        <f t="shared" si="595"/>
        <v/>
      </c>
      <c r="Y2527" s="375" t="str">
        <f t="shared" si="596"/>
        <v/>
      </c>
      <c r="Z2527" s="374" t="str">
        <f t="shared" si="597"/>
        <v/>
      </c>
      <c r="AA2527" s="374" t="b">
        <f t="shared" si="598"/>
        <v>1</v>
      </c>
      <c r="AB2527" s="374">
        <f>COUNTIFS(B:B,B2527,H:H,'סיווג התפקידים והעלויות'!$C$2)</f>
        <v>0</v>
      </c>
      <c r="AC2527" s="374">
        <f>COUNTIFS(B:B,B2527,H:H,'סיווג התפקידים והעלויות'!$D$2)</f>
        <v>0</v>
      </c>
      <c r="AD2527" s="374" t="str">
        <f>IF(OR(AND(H2527='סיווג התפקידים והעלויות'!$A$2,I2527='סיווג התפקידים והעלויות'!$A$3),'עלויות כח אדם (6)'!H2527='סיווג התפקידים והעלויות'!$C$2,'עלויות כח אדם (6)'!H2527='סיווג התפקידים והעלויות'!$D$2),IF('עלויות כח אדם (6)'!J2527&lt;75,"לא תקין","תקין"),"")</f>
        <v/>
      </c>
      <c r="AE2527" s="374" t="str">
        <f t="shared" si="599"/>
        <v/>
      </c>
      <c r="AF2527" s="532" t="str">
        <f t="shared" si="600"/>
        <v/>
      </c>
    </row>
    <row r="2528" spans="2:32" x14ac:dyDescent="0.25">
      <c r="B2528" s="695"/>
      <c r="C2528" s="197" t="str">
        <f>IF(B2528&lt;&gt;"",IFERROR(VLOOKUP(B:B,'מצבת והרשמה (2)'!$C$20:$N$520,2,0)," ")," ")</f>
        <v xml:space="preserve"> </v>
      </c>
      <c r="D2528" s="695"/>
      <c r="E2528" s="696"/>
      <c r="F2528" s="696"/>
      <c r="G2528" s="696"/>
      <c r="H2528" s="696"/>
      <c r="I2528" s="1050" t="str">
        <f t="shared" si="587"/>
        <v/>
      </c>
      <c r="J2528" s="696"/>
      <c r="K2528" s="697"/>
      <c r="L2528" s="696"/>
      <c r="M2528" s="198" t="str">
        <f t="shared" si="588"/>
        <v/>
      </c>
      <c r="N2528" s="369" t="str">
        <f t="shared" si="589"/>
        <v/>
      </c>
      <c r="O2528" s="183" t="str">
        <f t="shared" si="590"/>
        <v/>
      </c>
      <c r="P2528" s="199" t="str">
        <f t="shared" si="591"/>
        <v/>
      </c>
      <c r="Q2528" s="199" t="str">
        <f>IF(B2528="","",IFERROR(IF('עלויות כח אדם (6)'!J2528&gt;=VLOOKUP(I2528,'סיווג התפקידים והעלויות'!$B$23:$C$32,2,0),"תקין","לא תקין"),""))</f>
        <v/>
      </c>
      <c r="R2528" s="199" t="str">
        <f t="shared" si="592"/>
        <v/>
      </c>
      <c r="S2528" s="199" t="str">
        <f t="shared" si="593"/>
        <v/>
      </c>
      <c r="T2528" s="199" t="str">
        <f t="shared" si="601"/>
        <v/>
      </c>
      <c r="U2528" s="199" t="str">
        <f t="shared" si="594"/>
        <v/>
      </c>
      <c r="V2528" s="989"/>
      <c r="X2528" s="374" t="str">
        <f t="shared" si="595"/>
        <v/>
      </c>
      <c r="Y2528" s="375" t="str">
        <f t="shared" si="596"/>
        <v/>
      </c>
      <c r="Z2528" s="374" t="str">
        <f t="shared" si="597"/>
        <v/>
      </c>
      <c r="AA2528" s="374" t="b">
        <f t="shared" si="598"/>
        <v>1</v>
      </c>
      <c r="AB2528" s="374">
        <f>COUNTIFS(B:B,B2528,H:H,'סיווג התפקידים והעלויות'!$C$2)</f>
        <v>0</v>
      </c>
      <c r="AC2528" s="374">
        <f>COUNTIFS(B:B,B2528,H:H,'סיווג התפקידים והעלויות'!$D$2)</f>
        <v>0</v>
      </c>
      <c r="AD2528" s="374" t="str">
        <f>IF(OR(AND(H2528='סיווג התפקידים והעלויות'!$A$2,I2528='סיווג התפקידים והעלויות'!$A$3),'עלויות כח אדם (6)'!H2528='סיווג התפקידים והעלויות'!$C$2,'עלויות כח אדם (6)'!H2528='סיווג התפקידים והעלויות'!$D$2),IF('עלויות כח אדם (6)'!J2528&lt;75,"לא תקין","תקין"),"")</f>
        <v/>
      </c>
      <c r="AE2528" s="374" t="str">
        <f t="shared" si="599"/>
        <v/>
      </c>
      <c r="AF2528" s="532" t="str">
        <f t="shared" si="600"/>
        <v/>
      </c>
    </row>
    <row r="2529" spans="2:32" x14ac:dyDescent="0.25">
      <c r="B2529" s="695"/>
      <c r="C2529" s="197" t="str">
        <f>IF(B2529&lt;&gt;"",IFERROR(VLOOKUP(B:B,'מצבת והרשמה (2)'!$C$20:$N$520,2,0)," ")," ")</f>
        <v xml:space="preserve"> </v>
      </c>
      <c r="D2529" s="695"/>
      <c r="E2529" s="696"/>
      <c r="F2529" s="696"/>
      <c r="G2529" s="696"/>
      <c r="H2529" s="696"/>
      <c r="I2529" s="1050" t="str">
        <f t="shared" si="587"/>
        <v/>
      </c>
      <c r="J2529" s="696"/>
      <c r="K2529" s="697"/>
      <c r="L2529" s="696"/>
      <c r="M2529" s="198" t="str">
        <f t="shared" si="588"/>
        <v/>
      </c>
      <c r="N2529" s="369" t="str">
        <f t="shared" si="589"/>
        <v/>
      </c>
      <c r="O2529" s="183" t="str">
        <f t="shared" si="590"/>
        <v/>
      </c>
      <c r="P2529" s="199" t="str">
        <f t="shared" si="591"/>
        <v/>
      </c>
      <c r="Q2529" s="199" t="str">
        <f>IF(B2529="","",IFERROR(IF('עלויות כח אדם (6)'!J2529&gt;=VLOOKUP(I2529,'סיווג התפקידים והעלויות'!$B$23:$C$32,2,0),"תקין","לא תקין"),""))</f>
        <v/>
      </c>
      <c r="R2529" s="199" t="str">
        <f t="shared" si="592"/>
        <v/>
      </c>
      <c r="S2529" s="199" t="str">
        <f t="shared" si="593"/>
        <v/>
      </c>
      <c r="T2529" s="199" t="str">
        <f t="shared" si="601"/>
        <v/>
      </c>
      <c r="U2529" s="199" t="str">
        <f t="shared" si="594"/>
        <v/>
      </c>
      <c r="V2529" s="989"/>
      <c r="X2529" s="374" t="str">
        <f t="shared" si="595"/>
        <v/>
      </c>
      <c r="Y2529" s="375" t="str">
        <f t="shared" si="596"/>
        <v/>
      </c>
      <c r="Z2529" s="374" t="str">
        <f t="shared" si="597"/>
        <v/>
      </c>
      <c r="AA2529" s="374" t="b">
        <f t="shared" si="598"/>
        <v>1</v>
      </c>
      <c r="AB2529" s="374">
        <f>COUNTIFS(B:B,B2529,H:H,'סיווג התפקידים והעלויות'!$C$2)</f>
        <v>0</v>
      </c>
      <c r="AC2529" s="374">
        <f>COUNTIFS(B:B,B2529,H:H,'סיווג התפקידים והעלויות'!$D$2)</f>
        <v>0</v>
      </c>
      <c r="AD2529" s="374" t="str">
        <f>IF(OR(AND(H2529='סיווג התפקידים והעלויות'!$A$2,I2529='סיווג התפקידים והעלויות'!$A$3),'עלויות כח אדם (6)'!H2529='סיווג התפקידים והעלויות'!$C$2,'עלויות כח אדם (6)'!H2529='סיווג התפקידים והעלויות'!$D$2),IF('עלויות כח אדם (6)'!J2529&lt;75,"לא תקין","תקין"),"")</f>
        <v/>
      </c>
      <c r="AE2529" s="374" t="str">
        <f t="shared" si="599"/>
        <v/>
      </c>
      <c r="AF2529" s="532" t="str">
        <f t="shared" si="600"/>
        <v/>
      </c>
    </row>
    <row r="2530" spans="2:32" x14ac:dyDescent="0.25">
      <c r="B2530" s="695"/>
      <c r="C2530" s="197" t="str">
        <f>IF(B2530&lt;&gt;"",IFERROR(VLOOKUP(B:B,'מצבת והרשמה (2)'!$C$20:$N$520,2,0)," ")," ")</f>
        <v xml:space="preserve"> </v>
      </c>
      <c r="D2530" s="695"/>
      <c r="E2530" s="696"/>
      <c r="F2530" s="696"/>
      <c r="G2530" s="696"/>
      <c r="H2530" s="696"/>
      <c r="I2530" s="1050" t="str">
        <f t="shared" si="587"/>
        <v/>
      </c>
      <c r="J2530" s="696"/>
      <c r="K2530" s="697"/>
      <c r="L2530" s="696"/>
      <c r="M2530" s="198" t="str">
        <f t="shared" si="588"/>
        <v/>
      </c>
      <c r="N2530" s="369" t="str">
        <f t="shared" si="589"/>
        <v/>
      </c>
      <c r="O2530" s="183" t="str">
        <f t="shared" si="590"/>
        <v/>
      </c>
      <c r="P2530" s="199" t="str">
        <f t="shared" si="591"/>
        <v/>
      </c>
      <c r="Q2530" s="199" t="str">
        <f>IF(B2530="","",IFERROR(IF('עלויות כח אדם (6)'!J2530&gt;=VLOOKUP(I2530,'סיווג התפקידים והעלויות'!$B$23:$C$32,2,0),"תקין","לא תקין"),""))</f>
        <v/>
      </c>
      <c r="R2530" s="199" t="str">
        <f t="shared" si="592"/>
        <v/>
      </c>
      <c r="S2530" s="199" t="str">
        <f t="shared" si="593"/>
        <v/>
      </c>
      <c r="T2530" s="199" t="str">
        <f t="shared" si="601"/>
        <v/>
      </c>
      <c r="U2530" s="199" t="str">
        <f t="shared" si="594"/>
        <v/>
      </c>
      <c r="V2530" s="989"/>
      <c r="X2530" s="374" t="str">
        <f t="shared" si="595"/>
        <v/>
      </c>
      <c r="Y2530" s="375" t="str">
        <f t="shared" si="596"/>
        <v/>
      </c>
      <c r="Z2530" s="374" t="str">
        <f t="shared" si="597"/>
        <v/>
      </c>
      <c r="AA2530" s="374" t="b">
        <f t="shared" si="598"/>
        <v>1</v>
      </c>
      <c r="AB2530" s="374">
        <f>COUNTIFS(B:B,B2530,H:H,'סיווג התפקידים והעלויות'!$C$2)</f>
        <v>0</v>
      </c>
      <c r="AC2530" s="374">
        <f>COUNTIFS(B:B,B2530,H:H,'סיווג התפקידים והעלויות'!$D$2)</f>
        <v>0</v>
      </c>
      <c r="AD2530" s="374" t="str">
        <f>IF(OR(AND(H2530='סיווג התפקידים והעלויות'!$A$2,I2530='סיווג התפקידים והעלויות'!$A$3),'עלויות כח אדם (6)'!H2530='סיווג התפקידים והעלויות'!$C$2,'עלויות כח אדם (6)'!H2530='סיווג התפקידים והעלויות'!$D$2),IF('עלויות כח אדם (6)'!J2530&lt;75,"לא תקין","תקין"),"")</f>
        <v/>
      </c>
      <c r="AE2530" s="374" t="str">
        <f t="shared" si="599"/>
        <v/>
      </c>
      <c r="AF2530" s="532" t="str">
        <f t="shared" si="600"/>
        <v/>
      </c>
    </row>
    <row r="2531" spans="2:32" x14ac:dyDescent="0.25">
      <c r="B2531" s="695"/>
      <c r="C2531" s="197" t="str">
        <f>IF(B2531&lt;&gt;"",IFERROR(VLOOKUP(B:B,'מצבת והרשמה (2)'!$C$20:$N$520,2,0)," ")," ")</f>
        <v xml:space="preserve"> </v>
      </c>
      <c r="D2531" s="695"/>
      <c r="E2531" s="696"/>
      <c r="F2531" s="696"/>
      <c r="G2531" s="696"/>
      <c r="H2531" s="696"/>
      <c r="I2531" s="1050" t="str">
        <f t="shared" si="587"/>
        <v/>
      </c>
      <c r="J2531" s="696"/>
      <c r="K2531" s="697"/>
      <c r="L2531" s="696"/>
      <c r="M2531" s="198" t="str">
        <f t="shared" si="588"/>
        <v/>
      </c>
      <c r="N2531" s="369" t="str">
        <f t="shared" si="589"/>
        <v/>
      </c>
      <c r="O2531" s="183" t="str">
        <f t="shared" si="590"/>
        <v/>
      </c>
      <c r="P2531" s="199" t="str">
        <f t="shared" si="591"/>
        <v/>
      </c>
      <c r="Q2531" s="199" t="str">
        <f>IF(B2531="","",IFERROR(IF('עלויות כח אדם (6)'!J2531&gt;=VLOOKUP(I2531,'סיווג התפקידים והעלויות'!$B$23:$C$32,2,0),"תקין","לא תקין"),""))</f>
        <v/>
      </c>
      <c r="R2531" s="199" t="str">
        <f t="shared" si="592"/>
        <v/>
      </c>
      <c r="S2531" s="199" t="str">
        <f t="shared" si="593"/>
        <v/>
      </c>
      <c r="T2531" s="199" t="str">
        <f t="shared" si="601"/>
        <v/>
      </c>
      <c r="U2531" s="199" t="str">
        <f t="shared" si="594"/>
        <v/>
      </c>
      <c r="V2531" s="989"/>
      <c r="X2531" s="374" t="str">
        <f t="shared" si="595"/>
        <v/>
      </c>
      <c r="Y2531" s="375" t="str">
        <f t="shared" si="596"/>
        <v/>
      </c>
      <c r="Z2531" s="374" t="str">
        <f t="shared" si="597"/>
        <v/>
      </c>
      <c r="AA2531" s="374" t="b">
        <f t="shared" si="598"/>
        <v>1</v>
      </c>
      <c r="AB2531" s="374">
        <f>COUNTIFS(B:B,B2531,H:H,'סיווג התפקידים והעלויות'!$C$2)</f>
        <v>0</v>
      </c>
      <c r="AC2531" s="374">
        <f>COUNTIFS(B:B,B2531,H:H,'סיווג התפקידים והעלויות'!$D$2)</f>
        <v>0</v>
      </c>
      <c r="AD2531" s="374" t="str">
        <f>IF(OR(AND(H2531='סיווג התפקידים והעלויות'!$A$2,I2531='סיווג התפקידים והעלויות'!$A$3),'עלויות כח אדם (6)'!H2531='סיווג התפקידים והעלויות'!$C$2,'עלויות כח אדם (6)'!H2531='סיווג התפקידים והעלויות'!$D$2),IF('עלויות כח אדם (6)'!J2531&lt;75,"לא תקין","תקין"),"")</f>
        <v/>
      </c>
      <c r="AE2531" s="374" t="str">
        <f t="shared" si="599"/>
        <v/>
      </c>
      <c r="AF2531" s="532" t="str">
        <f t="shared" si="600"/>
        <v/>
      </c>
    </row>
    <row r="2532" spans="2:32" x14ac:dyDescent="0.25">
      <c r="B2532" s="695"/>
      <c r="C2532" s="197" t="str">
        <f>IF(B2532&lt;&gt;"",IFERROR(VLOOKUP(B:B,'מצבת והרשמה (2)'!$C$20:$N$520,2,0)," ")," ")</f>
        <v xml:space="preserve"> </v>
      </c>
      <c r="D2532" s="695"/>
      <c r="E2532" s="696"/>
      <c r="F2532" s="696"/>
      <c r="G2532" s="696"/>
      <c r="H2532" s="696"/>
      <c r="I2532" s="1050" t="str">
        <f t="shared" si="587"/>
        <v/>
      </c>
      <c r="J2532" s="696"/>
      <c r="K2532" s="697"/>
      <c r="L2532" s="696"/>
      <c r="M2532" s="198" t="str">
        <f t="shared" si="588"/>
        <v/>
      </c>
      <c r="N2532" s="369" t="str">
        <f t="shared" si="589"/>
        <v/>
      </c>
      <c r="O2532" s="183" t="str">
        <f t="shared" si="590"/>
        <v/>
      </c>
      <c r="P2532" s="199" t="str">
        <f t="shared" si="591"/>
        <v/>
      </c>
      <c r="Q2532" s="199" t="str">
        <f>IF(B2532="","",IFERROR(IF('עלויות כח אדם (6)'!J2532&gt;=VLOOKUP(I2532,'סיווג התפקידים והעלויות'!$B$23:$C$32,2,0),"תקין","לא תקין"),""))</f>
        <v/>
      </c>
      <c r="R2532" s="199" t="str">
        <f t="shared" si="592"/>
        <v/>
      </c>
      <c r="S2532" s="199" t="str">
        <f t="shared" si="593"/>
        <v/>
      </c>
      <c r="T2532" s="199" t="str">
        <f t="shared" si="601"/>
        <v/>
      </c>
      <c r="U2532" s="199" t="str">
        <f t="shared" si="594"/>
        <v/>
      </c>
      <c r="V2532" s="989"/>
      <c r="X2532" s="374" t="str">
        <f t="shared" si="595"/>
        <v/>
      </c>
      <c r="Y2532" s="375" t="str">
        <f t="shared" si="596"/>
        <v/>
      </c>
      <c r="Z2532" s="374" t="str">
        <f t="shared" si="597"/>
        <v/>
      </c>
      <c r="AA2532" s="374" t="b">
        <f t="shared" si="598"/>
        <v>1</v>
      </c>
      <c r="AB2532" s="374">
        <f>COUNTIFS(B:B,B2532,H:H,'סיווג התפקידים והעלויות'!$C$2)</f>
        <v>0</v>
      </c>
      <c r="AC2532" s="374">
        <f>COUNTIFS(B:B,B2532,H:H,'סיווג התפקידים והעלויות'!$D$2)</f>
        <v>0</v>
      </c>
      <c r="AD2532" s="374" t="str">
        <f>IF(OR(AND(H2532='סיווג התפקידים והעלויות'!$A$2,I2532='סיווג התפקידים והעלויות'!$A$3),'עלויות כח אדם (6)'!H2532='סיווג התפקידים והעלויות'!$C$2,'עלויות כח אדם (6)'!H2532='סיווג התפקידים והעלויות'!$D$2),IF('עלויות כח אדם (6)'!J2532&lt;75,"לא תקין","תקין"),"")</f>
        <v/>
      </c>
      <c r="AE2532" s="374" t="str">
        <f t="shared" si="599"/>
        <v/>
      </c>
      <c r="AF2532" s="532" t="str">
        <f t="shared" si="600"/>
        <v/>
      </c>
    </row>
    <row r="2533" spans="2:32" x14ac:dyDescent="0.25">
      <c r="B2533" s="695"/>
      <c r="C2533" s="197" t="str">
        <f>IF(B2533&lt;&gt;"",IFERROR(VLOOKUP(B:B,'מצבת והרשמה (2)'!$C$20:$N$520,2,0)," ")," ")</f>
        <v xml:space="preserve"> </v>
      </c>
      <c r="D2533" s="695"/>
      <c r="E2533" s="696"/>
      <c r="F2533" s="696"/>
      <c r="G2533" s="696"/>
      <c r="H2533" s="696"/>
      <c r="I2533" s="1050" t="str">
        <f t="shared" si="587"/>
        <v/>
      </c>
      <c r="J2533" s="696"/>
      <c r="K2533" s="697"/>
      <c r="L2533" s="696"/>
      <c r="M2533" s="198" t="str">
        <f t="shared" si="588"/>
        <v/>
      </c>
      <c r="N2533" s="369" t="str">
        <f t="shared" si="589"/>
        <v/>
      </c>
      <c r="O2533" s="183" t="str">
        <f t="shared" si="590"/>
        <v/>
      </c>
      <c r="P2533" s="199" t="str">
        <f t="shared" si="591"/>
        <v/>
      </c>
      <c r="Q2533" s="199" t="str">
        <f>IF(B2533="","",IFERROR(IF('עלויות כח אדם (6)'!J2533&gt;=VLOOKUP(I2533,'סיווג התפקידים והעלויות'!$B$23:$C$32,2,0),"תקין","לא תקין"),""))</f>
        <v/>
      </c>
      <c r="R2533" s="199" t="str">
        <f t="shared" si="592"/>
        <v/>
      </c>
      <c r="S2533" s="199" t="str">
        <f t="shared" si="593"/>
        <v/>
      </c>
      <c r="T2533" s="199" t="str">
        <f t="shared" si="601"/>
        <v/>
      </c>
      <c r="U2533" s="199" t="str">
        <f t="shared" si="594"/>
        <v/>
      </c>
      <c r="V2533" s="989"/>
      <c r="X2533" s="374" t="str">
        <f t="shared" si="595"/>
        <v/>
      </c>
      <c r="Y2533" s="375" t="str">
        <f t="shared" si="596"/>
        <v/>
      </c>
      <c r="Z2533" s="374" t="str">
        <f t="shared" si="597"/>
        <v/>
      </c>
      <c r="AA2533" s="374" t="b">
        <f t="shared" si="598"/>
        <v>1</v>
      </c>
      <c r="AB2533" s="374">
        <f>COUNTIFS(B:B,B2533,H:H,'סיווג התפקידים והעלויות'!$C$2)</f>
        <v>0</v>
      </c>
      <c r="AC2533" s="374">
        <f>COUNTIFS(B:B,B2533,H:H,'סיווג התפקידים והעלויות'!$D$2)</f>
        <v>0</v>
      </c>
      <c r="AD2533" s="374" t="str">
        <f>IF(OR(AND(H2533='סיווג התפקידים והעלויות'!$A$2,I2533='סיווג התפקידים והעלויות'!$A$3),'עלויות כח אדם (6)'!H2533='סיווג התפקידים והעלויות'!$C$2,'עלויות כח אדם (6)'!H2533='סיווג התפקידים והעלויות'!$D$2),IF('עלויות כח אדם (6)'!J2533&lt;75,"לא תקין","תקין"),"")</f>
        <v/>
      </c>
      <c r="AE2533" s="374" t="str">
        <f t="shared" si="599"/>
        <v/>
      </c>
      <c r="AF2533" s="532" t="str">
        <f t="shared" si="600"/>
        <v/>
      </c>
    </row>
    <row r="2534" spans="2:32" x14ac:dyDescent="0.25">
      <c r="B2534" s="695"/>
      <c r="C2534" s="197" t="str">
        <f>IF(B2534&lt;&gt;"",IFERROR(VLOOKUP(B:B,'מצבת והרשמה (2)'!$C$20:$N$520,2,0)," ")," ")</f>
        <v xml:space="preserve"> </v>
      </c>
      <c r="D2534" s="695"/>
      <c r="E2534" s="696"/>
      <c r="F2534" s="696"/>
      <c r="G2534" s="696"/>
      <c r="H2534" s="696"/>
      <c r="I2534" s="1050" t="str">
        <f t="shared" si="587"/>
        <v/>
      </c>
      <c r="J2534" s="696"/>
      <c r="K2534" s="697"/>
      <c r="L2534" s="696"/>
      <c r="M2534" s="198" t="str">
        <f t="shared" si="588"/>
        <v/>
      </c>
      <c r="N2534" s="369" t="str">
        <f t="shared" si="589"/>
        <v/>
      </c>
      <c r="O2534" s="183" t="str">
        <f t="shared" si="590"/>
        <v/>
      </c>
      <c r="P2534" s="199" t="str">
        <f t="shared" si="591"/>
        <v/>
      </c>
      <c r="Q2534" s="199" t="str">
        <f>IF(B2534="","",IFERROR(IF('עלויות כח אדם (6)'!J2534&gt;=VLOOKUP(I2534,'סיווג התפקידים והעלויות'!$B$23:$C$32,2,0),"תקין","לא תקין"),""))</f>
        <v/>
      </c>
      <c r="R2534" s="199" t="str">
        <f t="shared" si="592"/>
        <v/>
      </c>
      <c r="S2534" s="199" t="str">
        <f t="shared" si="593"/>
        <v/>
      </c>
      <c r="T2534" s="199" t="str">
        <f t="shared" si="601"/>
        <v/>
      </c>
      <c r="U2534" s="199" t="str">
        <f t="shared" si="594"/>
        <v/>
      </c>
      <c r="V2534" s="989"/>
      <c r="X2534" s="374" t="str">
        <f t="shared" si="595"/>
        <v/>
      </c>
      <c r="Y2534" s="375" t="str">
        <f t="shared" si="596"/>
        <v/>
      </c>
      <c r="Z2534" s="374" t="str">
        <f t="shared" si="597"/>
        <v/>
      </c>
      <c r="AA2534" s="374" t="b">
        <f t="shared" si="598"/>
        <v>1</v>
      </c>
      <c r="AB2534" s="374">
        <f>COUNTIFS(B:B,B2534,H:H,'סיווג התפקידים והעלויות'!$C$2)</f>
        <v>0</v>
      </c>
      <c r="AC2534" s="374">
        <f>COUNTIFS(B:B,B2534,H:H,'סיווג התפקידים והעלויות'!$D$2)</f>
        <v>0</v>
      </c>
      <c r="AD2534" s="374" t="str">
        <f>IF(OR(AND(H2534='סיווג התפקידים והעלויות'!$A$2,I2534='סיווג התפקידים והעלויות'!$A$3),'עלויות כח אדם (6)'!H2534='סיווג התפקידים והעלויות'!$C$2,'עלויות כח אדם (6)'!H2534='סיווג התפקידים והעלויות'!$D$2),IF('עלויות כח אדם (6)'!J2534&lt;75,"לא תקין","תקין"),"")</f>
        <v/>
      </c>
      <c r="AE2534" s="374" t="str">
        <f t="shared" si="599"/>
        <v/>
      </c>
      <c r="AF2534" s="532" t="str">
        <f t="shared" si="600"/>
        <v/>
      </c>
    </row>
    <row r="2535" spans="2:32" x14ac:dyDescent="0.25">
      <c r="B2535" s="695"/>
      <c r="C2535" s="197" t="str">
        <f>IF(B2535&lt;&gt;"",IFERROR(VLOOKUP(B:B,'מצבת והרשמה (2)'!$C$20:$N$520,2,0)," ")," ")</f>
        <v xml:space="preserve"> </v>
      </c>
      <c r="D2535" s="695"/>
      <c r="E2535" s="696"/>
      <c r="F2535" s="696"/>
      <c r="G2535" s="696"/>
      <c r="H2535" s="696"/>
      <c r="I2535" s="1050" t="str">
        <f t="shared" si="587"/>
        <v/>
      </c>
      <c r="J2535" s="696"/>
      <c r="K2535" s="697"/>
      <c r="L2535" s="696"/>
      <c r="M2535" s="198" t="str">
        <f t="shared" si="588"/>
        <v/>
      </c>
      <c r="N2535" s="369" t="str">
        <f t="shared" si="589"/>
        <v/>
      </c>
      <c r="O2535" s="183" t="str">
        <f t="shared" si="590"/>
        <v/>
      </c>
      <c r="P2535" s="199" t="str">
        <f t="shared" si="591"/>
        <v/>
      </c>
      <c r="Q2535" s="199" t="str">
        <f>IF(B2535="","",IFERROR(IF('עלויות כח אדם (6)'!J2535&gt;=VLOOKUP(I2535,'סיווג התפקידים והעלויות'!$B$23:$C$32,2,0),"תקין","לא תקין"),""))</f>
        <v/>
      </c>
      <c r="R2535" s="199" t="str">
        <f t="shared" si="592"/>
        <v/>
      </c>
      <c r="S2535" s="199" t="str">
        <f t="shared" si="593"/>
        <v/>
      </c>
      <c r="T2535" s="199" t="str">
        <f t="shared" si="601"/>
        <v/>
      </c>
      <c r="U2535" s="199" t="str">
        <f t="shared" si="594"/>
        <v/>
      </c>
      <c r="V2535" s="989"/>
      <c r="X2535" s="374" t="str">
        <f t="shared" si="595"/>
        <v/>
      </c>
      <c r="Y2535" s="375" t="str">
        <f t="shared" si="596"/>
        <v/>
      </c>
      <c r="Z2535" s="374" t="str">
        <f t="shared" si="597"/>
        <v/>
      </c>
      <c r="AA2535" s="374" t="b">
        <f t="shared" si="598"/>
        <v>1</v>
      </c>
      <c r="AB2535" s="374">
        <f>COUNTIFS(B:B,B2535,H:H,'סיווג התפקידים והעלויות'!$C$2)</f>
        <v>0</v>
      </c>
      <c r="AC2535" s="374">
        <f>COUNTIFS(B:B,B2535,H:H,'סיווג התפקידים והעלויות'!$D$2)</f>
        <v>0</v>
      </c>
      <c r="AD2535" s="374" t="str">
        <f>IF(OR(AND(H2535='סיווג התפקידים והעלויות'!$A$2,I2535='סיווג התפקידים והעלויות'!$A$3),'עלויות כח אדם (6)'!H2535='סיווג התפקידים והעלויות'!$C$2,'עלויות כח אדם (6)'!H2535='סיווג התפקידים והעלויות'!$D$2),IF('עלויות כח אדם (6)'!J2535&lt;75,"לא תקין","תקין"),"")</f>
        <v/>
      </c>
      <c r="AE2535" s="374" t="str">
        <f t="shared" si="599"/>
        <v/>
      </c>
      <c r="AF2535" s="532" t="str">
        <f t="shared" si="600"/>
        <v/>
      </c>
    </row>
    <row r="2536" spans="2:32" x14ac:dyDescent="0.25">
      <c r="B2536" s="695"/>
      <c r="C2536" s="197" t="str">
        <f>IF(B2536&lt;&gt;"",IFERROR(VLOOKUP(B:B,'מצבת והרשמה (2)'!$C$20:$N$520,2,0)," ")," ")</f>
        <v xml:space="preserve"> </v>
      </c>
      <c r="D2536" s="695"/>
      <c r="E2536" s="696"/>
      <c r="F2536" s="696"/>
      <c r="G2536" s="696"/>
      <c r="H2536" s="696"/>
      <c r="I2536" s="1050" t="str">
        <f t="shared" si="587"/>
        <v/>
      </c>
      <c r="J2536" s="696"/>
      <c r="K2536" s="697"/>
      <c r="L2536" s="696"/>
      <c r="M2536" s="198" t="str">
        <f t="shared" si="588"/>
        <v/>
      </c>
      <c r="N2536" s="369" t="str">
        <f t="shared" si="589"/>
        <v/>
      </c>
      <c r="O2536" s="183" t="str">
        <f t="shared" si="590"/>
        <v/>
      </c>
      <c r="P2536" s="199" t="str">
        <f t="shared" si="591"/>
        <v/>
      </c>
      <c r="Q2536" s="199" t="str">
        <f>IF(B2536="","",IFERROR(IF('עלויות כח אדם (6)'!J2536&gt;=VLOOKUP(I2536,'סיווג התפקידים והעלויות'!$B$23:$C$32,2,0),"תקין","לא תקין"),""))</f>
        <v/>
      </c>
      <c r="R2536" s="199" t="str">
        <f t="shared" si="592"/>
        <v/>
      </c>
      <c r="S2536" s="199" t="str">
        <f t="shared" si="593"/>
        <v/>
      </c>
      <c r="T2536" s="199" t="str">
        <f t="shared" si="601"/>
        <v/>
      </c>
      <c r="U2536" s="199" t="str">
        <f t="shared" si="594"/>
        <v/>
      </c>
      <c r="V2536" s="989"/>
      <c r="X2536" s="374" t="str">
        <f t="shared" si="595"/>
        <v/>
      </c>
      <c r="Y2536" s="375" t="str">
        <f t="shared" si="596"/>
        <v/>
      </c>
      <c r="Z2536" s="374" t="str">
        <f t="shared" si="597"/>
        <v/>
      </c>
      <c r="AA2536" s="374" t="b">
        <f t="shared" si="598"/>
        <v>1</v>
      </c>
      <c r="AB2536" s="374">
        <f>COUNTIFS(B:B,B2536,H:H,'סיווג התפקידים והעלויות'!$C$2)</f>
        <v>0</v>
      </c>
      <c r="AC2536" s="374">
        <f>COUNTIFS(B:B,B2536,H:H,'סיווג התפקידים והעלויות'!$D$2)</f>
        <v>0</v>
      </c>
      <c r="AD2536" s="374" t="str">
        <f>IF(OR(AND(H2536='סיווג התפקידים והעלויות'!$A$2,I2536='סיווג התפקידים והעלויות'!$A$3),'עלויות כח אדם (6)'!H2536='סיווג התפקידים והעלויות'!$C$2,'עלויות כח אדם (6)'!H2536='סיווג התפקידים והעלויות'!$D$2),IF('עלויות כח אדם (6)'!J2536&lt;75,"לא תקין","תקין"),"")</f>
        <v/>
      </c>
      <c r="AE2536" s="374" t="str">
        <f t="shared" si="599"/>
        <v/>
      </c>
      <c r="AF2536" s="532" t="str">
        <f t="shared" si="600"/>
        <v/>
      </c>
    </row>
    <row r="2537" spans="2:32" x14ac:dyDescent="0.25">
      <c r="B2537" s="695"/>
      <c r="C2537" s="197" t="str">
        <f>IF(B2537&lt;&gt;"",IFERROR(VLOOKUP(B:B,'מצבת והרשמה (2)'!$C$20:$N$520,2,0)," ")," ")</f>
        <v xml:space="preserve"> </v>
      </c>
      <c r="D2537" s="695"/>
      <c r="E2537" s="696"/>
      <c r="F2537" s="696"/>
      <c r="G2537" s="696"/>
      <c r="H2537" s="696"/>
      <c r="I2537" s="1050" t="str">
        <f t="shared" si="587"/>
        <v/>
      </c>
      <c r="J2537" s="696"/>
      <c r="K2537" s="697"/>
      <c r="L2537" s="696"/>
      <c r="M2537" s="198" t="str">
        <f t="shared" si="588"/>
        <v/>
      </c>
      <c r="N2537" s="369" t="str">
        <f t="shared" si="589"/>
        <v/>
      </c>
      <c r="O2537" s="183" t="str">
        <f t="shared" si="590"/>
        <v/>
      </c>
      <c r="P2537" s="199" t="str">
        <f t="shared" si="591"/>
        <v/>
      </c>
      <c r="Q2537" s="199" t="str">
        <f>IF(B2537="","",IFERROR(IF('עלויות כח אדם (6)'!J2537&gt;=VLOOKUP(I2537,'סיווג התפקידים והעלויות'!$B$23:$C$32,2,0),"תקין","לא תקין"),""))</f>
        <v/>
      </c>
      <c r="R2537" s="199" t="str">
        <f t="shared" si="592"/>
        <v/>
      </c>
      <c r="S2537" s="199" t="str">
        <f t="shared" si="593"/>
        <v/>
      </c>
      <c r="T2537" s="199" t="str">
        <f t="shared" si="601"/>
        <v/>
      </c>
      <c r="U2537" s="199" t="str">
        <f t="shared" si="594"/>
        <v/>
      </c>
      <c r="V2537" s="989"/>
      <c r="X2537" s="374" t="str">
        <f t="shared" si="595"/>
        <v/>
      </c>
      <c r="Y2537" s="375" t="str">
        <f t="shared" si="596"/>
        <v/>
      </c>
      <c r="Z2537" s="374" t="str">
        <f t="shared" si="597"/>
        <v/>
      </c>
      <c r="AA2537" s="374" t="b">
        <f t="shared" si="598"/>
        <v>1</v>
      </c>
      <c r="AB2537" s="374">
        <f>COUNTIFS(B:B,B2537,H:H,'סיווג התפקידים והעלויות'!$C$2)</f>
        <v>0</v>
      </c>
      <c r="AC2537" s="374">
        <f>COUNTIFS(B:B,B2537,H:H,'סיווג התפקידים והעלויות'!$D$2)</f>
        <v>0</v>
      </c>
      <c r="AD2537" s="374" t="str">
        <f>IF(OR(AND(H2537='סיווג התפקידים והעלויות'!$A$2,I2537='סיווג התפקידים והעלויות'!$A$3),'עלויות כח אדם (6)'!H2537='סיווג התפקידים והעלויות'!$C$2,'עלויות כח אדם (6)'!H2537='סיווג התפקידים והעלויות'!$D$2),IF('עלויות כח אדם (6)'!J2537&lt;75,"לא תקין","תקין"),"")</f>
        <v/>
      </c>
      <c r="AE2537" s="374" t="str">
        <f t="shared" si="599"/>
        <v/>
      </c>
      <c r="AF2537" s="532" t="str">
        <f t="shared" si="600"/>
        <v/>
      </c>
    </row>
    <row r="2538" spans="2:32" x14ac:dyDescent="0.25">
      <c r="B2538" s="695"/>
      <c r="C2538" s="197" t="str">
        <f>IF(B2538&lt;&gt;"",IFERROR(VLOOKUP(B:B,'מצבת והרשמה (2)'!$C$20:$N$520,2,0)," ")," ")</f>
        <v xml:space="preserve"> </v>
      </c>
      <c r="D2538" s="695"/>
      <c r="E2538" s="696"/>
      <c r="F2538" s="696"/>
      <c r="G2538" s="696"/>
      <c r="H2538" s="696"/>
      <c r="I2538" s="1050" t="str">
        <f t="shared" si="587"/>
        <v/>
      </c>
      <c r="J2538" s="696"/>
      <c r="K2538" s="697"/>
      <c r="L2538" s="696"/>
      <c r="M2538" s="198" t="str">
        <f t="shared" si="588"/>
        <v/>
      </c>
      <c r="N2538" s="369" t="str">
        <f t="shared" si="589"/>
        <v/>
      </c>
      <c r="O2538" s="183" t="str">
        <f t="shared" si="590"/>
        <v/>
      </c>
      <c r="P2538" s="199" t="str">
        <f t="shared" si="591"/>
        <v/>
      </c>
      <c r="Q2538" s="199" t="str">
        <f>IF(B2538="","",IFERROR(IF('עלויות כח אדם (6)'!J2538&gt;=VLOOKUP(I2538,'סיווג התפקידים והעלויות'!$B$23:$C$32,2,0),"תקין","לא תקין"),""))</f>
        <v/>
      </c>
      <c r="R2538" s="199" t="str">
        <f t="shared" si="592"/>
        <v/>
      </c>
      <c r="S2538" s="199" t="str">
        <f t="shared" si="593"/>
        <v/>
      </c>
      <c r="T2538" s="199" t="str">
        <f t="shared" si="601"/>
        <v/>
      </c>
      <c r="U2538" s="199" t="str">
        <f t="shared" si="594"/>
        <v/>
      </c>
      <c r="V2538" s="989"/>
      <c r="X2538" s="374" t="str">
        <f t="shared" si="595"/>
        <v/>
      </c>
      <c r="Y2538" s="375" t="str">
        <f t="shared" si="596"/>
        <v/>
      </c>
      <c r="Z2538" s="374" t="str">
        <f t="shared" si="597"/>
        <v/>
      </c>
      <c r="AA2538" s="374" t="b">
        <f t="shared" si="598"/>
        <v>1</v>
      </c>
      <c r="AB2538" s="374">
        <f>COUNTIFS(B:B,B2538,H:H,'סיווג התפקידים והעלויות'!$C$2)</f>
        <v>0</v>
      </c>
      <c r="AC2538" s="374">
        <f>COUNTIFS(B:B,B2538,H:H,'סיווג התפקידים והעלויות'!$D$2)</f>
        <v>0</v>
      </c>
      <c r="AD2538" s="374" t="str">
        <f>IF(OR(AND(H2538='סיווג התפקידים והעלויות'!$A$2,I2538='סיווג התפקידים והעלויות'!$A$3),'עלויות כח אדם (6)'!H2538='סיווג התפקידים והעלויות'!$C$2,'עלויות כח אדם (6)'!H2538='סיווג התפקידים והעלויות'!$D$2),IF('עלויות כח אדם (6)'!J2538&lt;75,"לא תקין","תקין"),"")</f>
        <v/>
      </c>
      <c r="AE2538" s="374" t="str">
        <f t="shared" si="599"/>
        <v/>
      </c>
      <c r="AF2538" s="532" t="str">
        <f t="shared" si="600"/>
        <v/>
      </c>
    </row>
    <row r="2539" spans="2:32" x14ac:dyDescent="0.25">
      <c r="B2539" s="695"/>
      <c r="C2539" s="197" t="str">
        <f>IF(B2539&lt;&gt;"",IFERROR(VLOOKUP(B:B,'מצבת והרשמה (2)'!$C$20:$N$520,2,0)," ")," ")</f>
        <v xml:space="preserve"> </v>
      </c>
      <c r="D2539" s="695"/>
      <c r="E2539" s="696"/>
      <c r="F2539" s="696"/>
      <c r="G2539" s="696"/>
      <c r="H2539" s="696"/>
      <c r="I2539" s="1050" t="str">
        <f t="shared" si="587"/>
        <v/>
      </c>
      <c r="J2539" s="696"/>
      <c r="K2539" s="697"/>
      <c r="L2539" s="696"/>
      <c r="M2539" s="198" t="str">
        <f t="shared" si="588"/>
        <v/>
      </c>
      <c r="N2539" s="369" t="str">
        <f t="shared" si="589"/>
        <v/>
      </c>
      <c r="O2539" s="183" t="str">
        <f t="shared" si="590"/>
        <v/>
      </c>
      <c r="P2539" s="199" t="str">
        <f t="shared" si="591"/>
        <v/>
      </c>
      <c r="Q2539" s="199" t="str">
        <f>IF(B2539="","",IFERROR(IF('עלויות כח אדם (6)'!J2539&gt;=VLOOKUP(I2539,'סיווג התפקידים והעלויות'!$B$23:$C$32,2,0),"תקין","לא תקין"),""))</f>
        <v/>
      </c>
      <c r="R2539" s="199" t="str">
        <f t="shared" si="592"/>
        <v/>
      </c>
      <c r="S2539" s="199" t="str">
        <f t="shared" si="593"/>
        <v/>
      </c>
      <c r="T2539" s="199" t="str">
        <f t="shared" si="601"/>
        <v/>
      </c>
      <c r="U2539" s="199" t="str">
        <f t="shared" si="594"/>
        <v/>
      </c>
      <c r="V2539" s="989"/>
      <c r="X2539" s="374" t="str">
        <f t="shared" si="595"/>
        <v/>
      </c>
      <c r="Y2539" s="375" t="str">
        <f t="shared" si="596"/>
        <v/>
      </c>
      <c r="Z2539" s="374" t="str">
        <f t="shared" si="597"/>
        <v/>
      </c>
      <c r="AA2539" s="374" t="b">
        <f t="shared" si="598"/>
        <v>1</v>
      </c>
      <c r="AB2539" s="374">
        <f>COUNTIFS(B:B,B2539,H:H,'סיווג התפקידים והעלויות'!$C$2)</f>
        <v>0</v>
      </c>
      <c r="AC2539" s="374">
        <f>COUNTIFS(B:B,B2539,H:H,'סיווג התפקידים והעלויות'!$D$2)</f>
        <v>0</v>
      </c>
      <c r="AD2539" s="374" t="str">
        <f>IF(OR(AND(H2539='סיווג התפקידים והעלויות'!$A$2,I2539='סיווג התפקידים והעלויות'!$A$3),'עלויות כח אדם (6)'!H2539='סיווג התפקידים והעלויות'!$C$2,'עלויות כח אדם (6)'!H2539='סיווג התפקידים והעלויות'!$D$2),IF('עלויות כח אדם (6)'!J2539&lt;75,"לא תקין","תקין"),"")</f>
        <v/>
      </c>
      <c r="AE2539" s="374" t="str">
        <f t="shared" si="599"/>
        <v/>
      </c>
      <c r="AF2539" s="532" t="str">
        <f t="shared" si="600"/>
        <v/>
      </c>
    </row>
    <row r="2540" spans="2:32" x14ac:dyDescent="0.25">
      <c r="B2540" s="695"/>
      <c r="C2540" s="197" t="str">
        <f>IF(B2540&lt;&gt;"",IFERROR(VLOOKUP(B:B,'מצבת והרשמה (2)'!$C$20:$N$520,2,0)," ")," ")</f>
        <v xml:space="preserve"> </v>
      </c>
      <c r="D2540" s="695"/>
      <c r="E2540" s="696"/>
      <c r="F2540" s="696"/>
      <c r="G2540" s="696"/>
      <c r="H2540" s="696"/>
      <c r="I2540" s="1050" t="str">
        <f t="shared" si="587"/>
        <v/>
      </c>
      <c r="J2540" s="696"/>
      <c r="K2540" s="697"/>
      <c r="L2540" s="696"/>
      <c r="M2540" s="198" t="str">
        <f t="shared" si="588"/>
        <v/>
      </c>
      <c r="N2540" s="369" t="str">
        <f t="shared" si="589"/>
        <v/>
      </c>
      <c r="O2540" s="183" t="str">
        <f t="shared" si="590"/>
        <v/>
      </c>
      <c r="P2540" s="199" t="str">
        <f t="shared" si="591"/>
        <v/>
      </c>
      <c r="Q2540" s="199" t="str">
        <f>IF(B2540="","",IFERROR(IF('עלויות כח אדם (6)'!J2540&gt;=VLOOKUP(I2540,'סיווג התפקידים והעלויות'!$B$23:$C$32,2,0),"תקין","לא תקין"),""))</f>
        <v/>
      </c>
      <c r="R2540" s="199" t="str">
        <f t="shared" si="592"/>
        <v/>
      </c>
      <c r="S2540" s="199" t="str">
        <f t="shared" si="593"/>
        <v/>
      </c>
      <c r="T2540" s="199" t="str">
        <f t="shared" si="601"/>
        <v/>
      </c>
      <c r="U2540" s="199" t="str">
        <f t="shared" si="594"/>
        <v/>
      </c>
      <c r="V2540" s="989"/>
      <c r="X2540" s="374" t="str">
        <f t="shared" si="595"/>
        <v/>
      </c>
      <c r="Y2540" s="375" t="str">
        <f t="shared" si="596"/>
        <v/>
      </c>
      <c r="Z2540" s="374" t="str">
        <f t="shared" si="597"/>
        <v/>
      </c>
      <c r="AA2540" s="374" t="b">
        <f t="shared" si="598"/>
        <v>1</v>
      </c>
      <c r="AB2540" s="374">
        <f>COUNTIFS(B:B,B2540,H:H,'סיווג התפקידים והעלויות'!$C$2)</f>
        <v>0</v>
      </c>
      <c r="AC2540" s="374">
        <f>COUNTIFS(B:B,B2540,H:H,'סיווג התפקידים והעלויות'!$D$2)</f>
        <v>0</v>
      </c>
      <c r="AD2540" s="374" t="str">
        <f>IF(OR(AND(H2540='סיווג התפקידים והעלויות'!$A$2,I2540='סיווג התפקידים והעלויות'!$A$3),'עלויות כח אדם (6)'!H2540='סיווג התפקידים והעלויות'!$C$2,'עלויות כח אדם (6)'!H2540='סיווג התפקידים והעלויות'!$D$2),IF('עלויות כח אדם (6)'!J2540&lt;75,"לא תקין","תקין"),"")</f>
        <v/>
      </c>
      <c r="AE2540" s="374" t="str">
        <f t="shared" si="599"/>
        <v/>
      </c>
      <c r="AF2540" s="532" t="str">
        <f t="shared" si="600"/>
        <v/>
      </c>
    </row>
    <row r="2541" spans="2:32" x14ac:dyDescent="0.25">
      <c r="B2541" s="695"/>
      <c r="C2541" s="197" t="str">
        <f>IF(B2541&lt;&gt;"",IFERROR(VLOOKUP(B:B,'מצבת והרשמה (2)'!$C$20:$N$520,2,0)," ")," ")</f>
        <v xml:space="preserve"> </v>
      </c>
      <c r="D2541" s="695"/>
      <c r="E2541" s="696"/>
      <c r="F2541" s="696"/>
      <c r="G2541" s="696"/>
      <c r="H2541" s="696"/>
      <c r="I2541" s="1050" t="str">
        <f t="shared" si="587"/>
        <v/>
      </c>
      <c r="J2541" s="696"/>
      <c r="K2541" s="697"/>
      <c r="L2541" s="696"/>
      <c r="M2541" s="198" t="str">
        <f t="shared" si="588"/>
        <v/>
      </c>
      <c r="N2541" s="369" t="str">
        <f t="shared" si="589"/>
        <v/>
      </c>
      <c r="O2541" s="183" t="str">
        <f t="shared" si="590"/>
        <v/>
      </c>
      <c r="P2541" s="199" t="str">
        <f t="shared" si="591"/>
        <v/>
      </c>
      <c r="Q2541" s="199" t="str">
        <f>IF(B2541="","",IFERROR(IF('עלויות כח אדם (6)'!J2541&gt;=VLOOKUP(I2541,'סיווג התפקידים והעלויות'!$B$23:$C$32,2,0),"תקין","לא תקין"),""))</f>
        <v/>
      </c>
      <c r="R2541" s="199" t="str">
        <f t="shared" si="592"/>
        <v/>
      </c>
      <c r="S2541" s="199" t="str">
        <f t="shared" si="593"/>
        <v/>
      </c>
      <c r="T2541" s="199" t="str">
        <f t="shared" si="601"/>
        <v/>
      </c>
      <c r="U2541" s="199" t="str">
        <f t="shared" si="594"/>
        <v/>
      </c>
      <c r="V2541" s="989"/>
      <c r="X2541" s="374" t="str">
        <f t="shared" si="595"/>
        <v/>
      </c>
      <c r="Y2541" s="375" t="str">
        <f t="shared" si="596"/>
        <v/>
      </c>
      <c r="Z2541" s="374" t="str">
        <f t="shared" si="597"/>
        <v/>
      </c>
      <c r="AA2541" s="374" t="b">
        <f t="shared" si="598"/>
        <v>1</v>
      </c>
      <c r="AB2541" s="374">
        <f>COUNTIFS(B:B,B2541,H:H,'סיווג התפקידים והעלויות'!$C$2)</f>
        <v>0</v>
      </c>
      <c r="AC2541" s="374">
        <f>COUNTIFS(B:B,B2541,H:H,'סיווג התפקידים והעלויות'!$D$2)</f>
        <v>0</v>
      </c>
      <c r="AD2541" s="374" t="str">
        <f>IF(OR(AND(H2541='סיווג התפקידים והעלויות'!$A$2,I2541='סיווג התפקידים והעלויות'!$A$3),'עלויות כח אדם (6)'!H2541='סיווג התפקידים והעלויות'!$C$2,'עלויות כח אדם (6)'!H2541='סיווג התפקידים והעלויות'!$D$2),IF('עלויות כח אדם (6)'!J2541&lt;75,"לא תקין","תקין"),"")</f>
        <v/>
      </c>
      <c r="AE2541" s="374" t="str">
        <f t="shared" si="599"/>
        <v/>
      </c>
      <c r="AF2541" s="532" t="str">
        <f t="shared" si="600"/>
        <v/>
      </c>
    </row>
    <row r="2542" spans="2:32" x14ac:dyDescent="0.25">
      <c r="B2542" s="695"/>
      <c r="C2542" s="197" t="str">
        <f>IF(B2542&lt;&gt;"",IFERROR(VLOOKUP(B:B,'מצבת והרשמה (2)'!$C$20:$N$520,2,0)," ")," ")</f>
        <v xml:space="preserve"> </v>
      </c>
      <c r="D2542" s="695"/>
      <c r="E2542" s="696"/>
      <c r="F2542" s="696"/>
      <c r="G2542" s="696"/>
      <c r="H2542" s="696"/>
      <c r="I2542" s="1050" t="str">
        <f t="shared" si="587"/>
        <v/>
      </c>
      <c r="J2542" s="696"/>
      <c r="K2542" s="697"/>
      <c r="L2542" s="696"/>
      <c r="M2542" s="198" t="str">
        <f t="shared" si="588"/>
        <v/>
      </c>
      <c r="N2542" s="369" t="str">
        <f t="shared" si="589"/>
        <v/>
      </c>
      <c r="O2542" s="183" t="str">
        <f t="shared" si="590"/>
        <v/>
      </c>
      <c r="P2542" s="199" t="str">
        <f t="shared" si="591"/>
        <v/>
      </c>
      <c r="Q2542" s="199" t="str">
        <f>IF(B2542="","",IFERROR(IF('עלויות כח אדם (6)'!J2542&gt;=VLOOKUP(I2542,'סיווג התפקידים והעלויות'!$B$23:$C$32,2,0),"תקין","לא תקין"),""))</f>
        <v/>
      </c>
      <c r="R2542" s="199" t="str">
        <f t="shared" si="592"/>
        <v/>
      </c>
      <c r="S2542" s="199" t="str">
        <f t="shared" si="593"/>
        <v/>
      </c>
      <c r="T2542" s="199" t="str">
        <f t="shared" si="601"/>
        <v/>
      </c>
      <c r="U2542" s="199" t="str">
        <f t="shared" si="594"/>
        <v/>
      </c>
      <c r="V2542" s="989"/>
      <c r="X2542" s="374" t="str">
        <f t="shared" si="595"/>
        <v/>
      </c>
      <c r="Y2542" s="375" t="str">
        <f t="shared" si="596"/>
        <v/>
      </c>
      <c r="Z2542" s="374" t="str">
        <f t="shared" si="597"/>
        <v/>
      </c>
      <c r="AA2542" s="374" t="b">
        <f t="shared" si="598"/>
        <v>1</v>
      </c>
      <c r="AB2542" s="374">
        <f>COUNTIFS(B:B,B2542,H:H,'סיווג התפקידים והעלויות'!$C$2)</f>
        <v>0</v>
      </c>
      <c r="AC2542" s="374">
        <f>COUNTIFS(B:B,B2542,H:H,'סיווג התפקידים והעלויות'!$D$2)</f>
        <v>0</v>
      </c>
      <c r="AD2542" s="374" t="str">
        <f>IF(OR(AND(H2542='סיווג התפקידים והעלויות'!$A$2,I2542='סיווג התפקידים והעלויות'!$A$3),'עלויות כח אדם (6)'!H2542='סיווג התפקידים והעלויות'!$C$2,'עלויות כח אדם (6)'!H2542='סיווג התפקידים והעלויות'!$D$2),IF('עלויות כח אדם (6)'!J2542&lt;75,"לא תקין","תקין"),"")</f>
        <v/>
      </c>
      <c r="AE2542" s="374" t="str">
        <f t="shared" si="599"/>
        <v/>
      </c>
      <c r="AF2542" s="532" t="str">
        <f t="shared" si="600"/>
        <v/>
      </c>
    </row>
    <row r="2543" spans="2:32" x14ac:dyDescent="0.25">
      <c r="B2543" s="695"/>
      <c r="C2543" s="197" t="str">
        <f>IF(B2543&lt;&gt;"",IFERROR(VLOOKUP(B:B,'מצבת והרשמה (2)'!$C$20:$N$520,2,0)," ")," ")</f>
        <v xml:space="preserve"> </v>
      </c>
      <c r="D2543" s="695"/>
      <c r="E2543" s="696"/>
      <c r="F2543" s="696"/>
      <c r="G2543" s="696"/>
      <c r="H2543" s="696"/>
      <c r="I2543" s="1050" t="str">
        <f t="shared" si="587"/>
        <v/>
      </c>
      <c r="J2543" s="696"/>
      <c r="K2543" s="697"/>
      <c r="L2543" s="696"/>
      <c r="M2543" s="198" t="str">
        <f t="shared" si="588"/>
        <v/>
      </c>
      <c r="N2543" s="369" t="str">
        <f t="shared" si="589"/>
        <v/>
      </c>
      <c r="O2543" s="183" t="str">
        <f t="shared" si="590"/>
        <v/>
      </c>
      <c r="P2543" s="199" t="str">
        <f t="shared" si="591"/>
        <v/>
      </c>
      <c r="Q2543" s="199" t="str">
        <f>IF(B2543="","",IFERROR(IF('עלויות כח אדם (6)'!J2543&gt;=VLOOKUP(I2543,'סיווג התפקידים והעלויות'!$B$23:$C$32,2,0),"תקין","לא תקין"),""))</f>
        <v/>
      </c>
      <c r="R2543" s="199" t="str">
        <f t="shared" si="592"/>
        <v/>
      </c>
      <c r="S2543" s="199" t="str">
        <f t="shared" si="593"/>
        <v/>
      </c>
      <c r="T2543" s="199" t="str">
        <f t="shared" si="601"/>
        <v/>
      </c>
      <c r="U2543" s="199" t="str">
        <f t="shared" si="594"/>
        <v/>
      </c>
      <c r="V2543" s="989"/>
      <c r="X2543" s="374" t="str">
        <f t="shared" si="595"/>
        <v/>
      </c>
      <c r="Y2543" s="375" t="str">
        <f t="shared" si="596"/>
        <v/>
      </c>
      <c r="Z2543" s="374" t="str">
        <f t="shared" si="597"/>
        <v/>
      </c>
      <c r="AA2543" s="374" t="b">
        <f t="shared" si="598"/>
        <v>1</v>
      </c>
      <c r="AB2543" s="374">
        <f>COUNTIFS(B:B,B2543,H:H,'סיווג התפקידים והעלויות'!$C$2)</f>
        <v>0</v>
      </c>
      <c r="AC2543" s="374">
        <f>COUNTIFS(B:B,B2543,H:H,'סיווג התפקידים והעלויות'!$D$2)</f>
        <v>0</v>
      </c>
      <c r="AD2543" s="374" t="str">
        <f>IF(OR(AND(H2543='סיווג התפקידים והעלויות'!$A$2,I2543='סיווג התפקידים והעלויות'!$A$3),'עלויות כח אדם (6)'!H2543='סיווג התפקידים והעלויות'!$C$2,'עלויות כח אדם (6)'!H2543='סיווג התפקידים והעלויות'!$D$2),IF('עלויות כח אדם (6)'!J2543&lt;75,"לא תקין","תקין"),"")</f>
        <v/>
      </c>
      <c r="AE2543" s="374" t="str">
        <f t="shared" si="599"/>
        <v/>
      </c>
      <c r="AF2543" s="532" t="str">
        <f t="shared" si="600"/>
        <v/>
      </c>
    </row>
    <row r="2544" spans="2:32" x14ac:dyDescent="0.25">
      <c r="B2544" s="695"/>
      <c r="C2544" s="197" t="str">
        <f>IF(B2544&lt;&gt;"",IFERROR(VLOOKUP(B:B,'מצבת והרשמה (2)'!$C$20:$N$520,2,0)," ")," ")</f>
        <v xml:space="preserve"> </v>
      </c>
      <c r="D2544" s="695"/>
      <c r="E2544" s="696"/>
      <c r="F2544" s="696"/>
      <c r="G2544" s="696"/>
      <c r="H2544" s="696"/>
      <c r="I2544" s="1050" t="str">
        <f t="shared" si="587"/>
        <v/>
      </c>
      <c r="J2544" s="696"/>
      <c r="K2544" s="697"/>
      <c r="L2544" s="696"/>
      <c r="M2544" s="198" t="str">
        <f t="shared" si="588"/>
        <v/>
      </c>
      <c r="N2544" s="369" t="str">
        <f t="shared" si="589"/>
        <v/>
      </c>
      <c r="O2544" s="183" t="str">
        <f t="shared" si="590"/>
        <v/>
      </c>
      <c r="P2544" s="199" t="str">
        <f t="shared" si="591"/>
        <v/>
      </c>
      <c r="Q2544" s="199" t="str">
        <f>IF(B2544="","",IFERROR(IF('עלויות כח אדם (6)'!J2544&gt;=VLOOKUP(I2544,'סיווג התפקידים והעלויות'!$B$23:$C$32,2,0),"תקין","לא תקין"),""))</f>
        <v/>
      </c>
      <c r="R2544" s="199" t="str">
        <f t="shared" si="592"/>
        <v/>
      </c>
      <c r="S2544" s="199" t="str">
        <f t="shared" si="593"/>
        <v/>
      </c>
      <c r="T2544" s="199" t="str">
        <f t="shared" si="601"/>
        <v/>
      </c>
      <c r="U2544" s="199" t="str">
        <f t="shared" si="594"/>
        <v/>
      </c>
      <c r="V2544" s="989"/>
      <c r="X2544" s="374" t="str">
        <f t="shared" si="595"/>
        <v/>
      </c>
      <c r="Y2544" s="375" t="str">
        <f t="shared" si="596"/>
        <v/>
      </c>
      <c r="Z2544" s="374" t="str">
        <f t="shared" si="597"/>
        <v/>
      </c>
      <c r="AA2544" s="374" t="b">
        <f t="shared" si="598"/>
        <v>1</v>
      </c>
      <c r="AB2544" s="374">
        <f>COUNTIFS(B:B,B2544,H:H,'סיווג התפקידים והעלויות'!$C$2)</f>
        <v>0</v>
      </c>
      <c r="AC2544" s="374">
        <f>COUNTIFS(B:B,B2544,H:H,'סיווג התפקידים והעלויות'!$D$2)</f>
        <v>0</v>
      </c>
      <c r="AD2544" s="374" t="str">
        <f>IF(OR(AND(H2544='סיווג התפקידים והעלויות'!$A$2,I2544='סיווג התפקידים והעלויות'!$A$3),'עלויות כח אדם (6)'!H2544='סיווג התפקידים והעלויות'!$C$2,'עלויות כח אדם (6)'!H2544='סיווג התפקידים והעלויות'!$D$2),IF('עלויות כח אדם (6)'!J2544&lt;75,"לא תקין","תקין"),"")</f>
        <v/>
      </c>
      <c r="AE2544" s="374" t="str">
        <f t="shared" si="599"/>
        <v/>
      </c>
      <c r="AF2544" s="532" t="str">
        <f t="shared" si="600"/>
        <v/>
      </c>
    </row>
    <row r="2545" spans="2:32" x14ac:dyDescent="0.25">
      <c r="B2545" s="695"/>
      <c r="C2545" s="197" t="str">
        <f>IF(B2545&lt;&gt;"",IFERROR(VLOOKUP(B:B,'מצבת והרשמה (2)'!$C$20:$N$520,2,0)," ")," ")</f>
        <v xml:space="preserve"> </v>
      </c>
      <c r="D2545" s="695"/>
      <c r="E2545" s="696"/>
      <c r="F2545" s="696"/>
      <c r="G2545" s="696"/>
      <c r="H2545" s="696"/>
      <c r="I2545" s="1050" t="str">
        <f t="shared" si="587"/>
        <v/>
      </c>
      <c r="J2545" s="696"/>
      <c r="K2545" s="697"/>
      <c r="L2545" s="696"/>
      <c r="M2545" s="198" t="str">
        <f t="shared" si="588"/>
        <v/>
      </c>
      <c r="N2545" s="369" t="str">
        <f t="shared" si="589"/>
        <v/>
      </c>
      <c r="O2545" s="183" t="str">
        <f t="shared" si="590"/>
        <v/>
      </c>
      <c r="P2545" s="199" t="str">
        <f t="shared" si="591"/>
        <v/>
      </c>
      <c r="Q2545" s="199" t="str">
        <f>IF(B2545="","",IFERROR(IF('עלויות כח אדם (6)'!J2545&gt;=VLOOKUP(I2545,'סיווג התפקידים והעלויות'!$B$23:$C$32,2,0),"תקין","לא תקין"),""))</f>
        <v/>
      </c>
      <c r="R2545" s="199" t="str">
        <f t="shared" si="592"/>
        <v/>
      </c>
      <c r="S2545" s="199" t="str">
        <f t="shared" si="593"/>
        <v/>
      </c>
      <c r="T2545" s="199" t="str">
        <f t="shared" si="601"/>
        <v/>
      </c>
      <c r="U2545" s="199" t="str">
        <f t="shared" si="594"/>
        <v/>
      </c>
      <c r="V2545" s="989"/>
      <c r="X2545" s="374" t="str">
        <f t="shared" si="595"/>
        <v/>
      </c>
      <c r="Y2545" s="375" t="str">
        <f t="shared" si="596"/>
        <v/>
      </c>
      <c r="Z2545" s="374" t="str">
        <f t="shared" si="597"/>
        <v/>
      </c>
      <c r="AA2545" s="374" t="b">
        <f t="shared" si="598"/>
        <v>1</v>
      </c>
      <c r="AB2545" s="374">
        <f>COUNTIFS(B:B,B2545,H:H,'סיווג התפקידים והעלויות'!$C$2)</f>
        <v>0</v>
      </c>
      <c r="AC2545" s="374">
        <f>COUNTIFS(B:B,B2545,H:H,'סיווג התפקידים והעלויות'!$D$2)</f>
        <v>0</v>
      </c>
      <c r="AD2545" s="374" t="str">
        <f>IF(OR(AND(H2545='סיווג התפקידים והעלויות'!$A$2,I2545='סיווג התפקידים והעלויות'!$A$3),'עלויות כח אדם (6)'!H2545='סיווג התפקידים והעלויות'!$C$2,'עלויות כח אדם (6)'!H2545='סיווג התפקידים והעלויות'!$D$2),IF('עלויות כח אדם (6)'!J2545&lt;75,"לא תקין","תקין"),"")</f>
        <v/>
      </c>
      <c r="AE2545" s="374" t="str">
        <f t="shared" si="599"/>
        <v/>
      </c>
      <c r="AF2545" s="532" t="str">
        <f t="shared" si="600"/>
        <v/>
      </c>
    </row>
    <row r="2546" spans="2:32" x14ac:dyDescent="0.25">
      <c r="B2546" s="695"/>
      <c r="C2546" s="197" t="str">
        <f>IF(B2546&lt;&gt;"",IFERROR(VLOOKUP(B:B,'מצבת והרשמה (2)'!$C$20:$N$520,2,0)," ")," ")</f>
        <v xml:space="preserve"> </v>
      </c>
      <c r="D2546" s="695"/>
      <c r="E2546" s="696"/>
      <c r="F2546" s="696"/>
      <c r="G2546" s="696"/>
      <c r="H2546" s="696"/>
      <c r="I2546" s="1050" t="str">
        <f t="shared" si="587"/>
        <v/>
      </c>
      <c r="J2546" s="696"/>
      <c r="K2546" s="697"/>
      <c r="L2546" s="696"/>
      <c r="M2546" s="198" t="str">
        <f t="shared" si="588"/>
        <v/>
      </c>
      <c r="N2546" s="369" t="str">
        <f t="shared" si="589"/>
        <v/>
      </c>
      <c r="O2546" s="183" t="str">
        <f t="shared" si="590"/>
        <v/>
      </c>
      <c r="P2546" s="199" t="str">
        <f t="shared" si="591"/>
        <v/>
      </c>
      <c r="Q2546" s="199" t="str">
        <f>IF(B2546="","",IFERROR(IF('עלויות כח אדם (6)'!J2546&gt;=VLOOKUP(I2546,'סיווג התפקידים והעלויות'!$B$23:$C$32,2,0),"תקין","לא תקין"),""))</f>
        <v/>
      </c>
      <c r="R2546" s="199" t="str">
        <f t="shared" si="592"/>
        <v/>
      </c>
      <c r="S2546" s="199" t="str">
        <f t="shared" si="593"/>
        <v/>
      </c>
      <c r="T2546" s="199" t="str">
        <f t="shared" si="601"/>
        <v/>
      </c>
      <c r="U2546" s="199" t="str">
        <f t="shared" si="594"/>
        <v/>
      </c>
      <c r="V2546" s="989"/>
      <c r="X2546" s="374" t="str">
        <f t="shared" si="595"/>
        <v/>
      </c>
      <c r="Y2546" s="375" t="str">
        <f t="shared" si="596"/>
        <v/>
      </c>
      <c r="Z2546" s="374" t="str">
        <f t="shared" si="597"/>
        <v/>
      </c>
      <c r="AA2546" s="374" t="b">
        <f t="shared" si="598"/>
        <v>1</v>
      </c>
      <c r="AB2546" s="374">
        <f>COUNTIFS(B:B,B2546,H:H,'סיווג התפקידים והעלויות'!$C$2)</f>
        <v>0</v>
      </c>
      <c r="AC2546" s="374">
        <f>COUNTIFS(B:B,B2546,H:H,'סיווג התפקידים והעלויות'!$D$2)</f>
        <v>0</v>
      </c>
      <c r="AD2546" s="374" t="str">
        <f>IF(OR(AND(H2546='סיווג התפקידים והעלויות'!$A$2,I2546='סיווג התפקידים והעלויות'!$A$3),'עלויות כח אדם (6)'!H2546='סיווג התפקידים והעלויות'!$C$2,'עלויות כח אדם (6)'!H2546='סיווג התפקידים והעלויות'!$D$2),IF('עלויות כח אדם (6)'!J2546&lt;75,"לא תקין","תקין"),"")</f>
        <v/>
      </c>
      <c r="AE2546" s="374" t="str">
        <f t="shared" si="599"/>
        <v/>
      </c>
      <c r="AF2546" s="532" t="str">
        <f t="shared" si="600"/>
        <v/>
      </c>
    </row>
    <row r="2547" spans="2:32" x14ac:dyDescent="0.25">
      <c r="B2547" s="695"/>
      <c r="C2547" s="197" t="str">
        <f>IF(B2547&lt;&gt;"",IFERROR(VLOOKUP(B:B,'מצבת והרשמה (2)'!$C$20:$N$520,2,0)," ")," ")</f>
        <v xml:space="preserve"> </v>
      </c>
      <c r="D2547" s="695"/>
      <c r="E2547" s="696"/>
      <c r="F2547" s="696"/>
      <c r="G2547" s="696"/>
      <c r="H2547" s="696"/>
      <c r="I2547" s="1050" t="str">
        <f t="shared" si="587"/>
        <v/>
      </c>
      <c r="J2547" s="696"/>
      <c r="K2547" s="697"/>
      <c r="L2547" s="696"/>
      <c r="M2547" s="198" t="str">
        <f t="shared" si="588"/>
        <v/>
      </c>
      <c r="N2547" s="369" t="str">
        <f t="shared" si="589"/>
        <v/>
      </c>
      <c r="O2547" s="183" t="str">
        <f t="shared" si="590"/>
        <v/>
      </c>
      <c r="P2547" s="199" t="str">
        <f t="shared" si="591"/>
        <v/>
      </c>
      <c r="Q2547" s="199" t="str">
        <f>IF(B2547="","",IFERROR(IF('עלויות כח אדם (6)'!J2547&gt;=VLOOKUP(I2547,'סיווג התפקידים והעלויות'!$B$23:$C$32,2,0),"תקין","לא תקין"),""))</f>
        <v/>
      </c>
      <c r="R2547" s="199" t="str">
        <f t="shared" si="592"/>
        <v/>
      </c>
      <c r="S2547" s="199" t="str">
        <f t="shared" si="593"/>
        <v/>
      </c>
      <c r="T2547" s="199" t="str">
        <f t="shared" si="601"/>
        <v/>
      </c>
      <c r="U2547" s="199" t="str">
        <f t="shared" si="594"/>
        <v/>
      </c>
      <c r="V2547" s="989"/>
      <c r="X2547" s="374" t="str">
        <f t="shared" si="595"/>
        <v/>
      </c>
      <c r="Y2547" s="375" t="str">
        <f t="shared" si="596"/>
        <v/>
      </c>
      <c r="Z2547" s="374" t="str">
        <f t="shared" si="597"/>
        <v/>
      </c>
      <c r="AA2547" s="374" t="b">
        <f t="shared" si="598"/>
        <v>1</v>
      </c>
      <c r="AB2547" s="374">
        <f>COUNTIFS(B:B,B2547,H:H,'סיווג התפקידים והעלויות'!$C$2)</f>
        <v>0</v>
      </c>
      <c r="AC2547" s="374">
        <f>COUNTIFS(B:B,B2547,H:H,'סיווג התפקידים והעלויות'!$D$2)</f>
        <v>0</v>
      </c>
      <c r="AD2547" s="374" t="str">
        <f>IF(OR(AND(H2547='סיווג התפקידים והעלויות'!$A$2,I2547='סיווג התפקידים והעלויות'!$A$3),'עלויות כח אדם (6)'!H2547='סיווג התפקידים והעלויות'!$C$2,'עלויות כח אדם (6)'!H2547='סיווג התפקידים והעלויות'!$D$2),IF('עלויות כח אדם (6)'!J2547&lt;75,"לא תקין","תקין"),"")</f>
        <v/>
      </c>
      <c r="AE2547" s="374" t="str">
        <f t="shared" si="599"/>
        <v/>
      </c>
      <c r="AF2547" s="532" t="str">
        <f t="shared" si="600"/>
        <v/>
      </c>
    </row>
    <row r="2548" spans="2:32" x14ac:dyDescent="0.25">
      <c r="B2548" s="695"/>
      <c r="C2548" s="197" t="str">
        <f>IF(B2548&lt;&gt;"",IFERROR(VLOOKUP(B:B,'מצבת והרשמה (2)'!$C$20:$N$520,2,0)," ")," ")</f>
        <v xml:space="preserve"> </v>
      </c>
      <c r="D2548" s="695"/>
      <c r="E2548" s="696"/>
      <c r="F2548" s="696"/>
      <c r="G2548" s="696"/>
      <c r="H2548" s="696"/>
      <c r="I2548" s="1050" t="str">
        <f t="shared" si="587"/>
        <v/>
      </c>
      <c r="J2548" s="696"/>
      <c r="K2548" s="697"/>
      <c r="L2548" s="696"/>
      <c r="M2548" s="198" t="str">
        <f t="shared" si="588"/>
        <v/>
      </c>
      <c r="N2548" s="369" t="str">
        <f t="shared" si="589"/>
        <v/>
      </c>
      <c r="O2548" s="183" t="str">
        <f t="shared" si="590"/>
        <v/>
      </c>
      <c r="P2548" s="199" t="str">
        <f t="shared" si="591"/>
        <v/>
      </c>
      <c r="Q2548" s="199" t="str">
        <f>IF(B2548="","",IFERROR(IF('עלויות כח אדם (6)'!J2548&gt;=VLOOKUP(I2548,'סיווג התפקידים והעלויות'!$B$23:$C$32,2,0),"תקין","לא תקין"),""))</f>
        <v/>
      </c>
      <c r="R2548" s="199" t="str">
        <f t="shared" si="592"/>
        <v/>
      </c>
      <c r="S2548" s="199" t="str">
        <f t="shared" si="593"/>
        <v/>
      </c>
      <c r="T2548" s="199" t="str">
        <f t="shared" si="601"/>
        <v/>
      </c>
      <c r="U2548" s="199" t="str">
        <f t="shared" si="594"/>
        <v/>
      </c>
      <c r="V2548" s="989"/>
      <c r="X2548" s="374" t="str">
        <f t="shared" si="595"/>
        <v/>
      </c>
      <c r="Y2548" s="375" t="str">
        <f t="shared" si="596"/>
        <v/>
      </c>
      <c r="Z2548" s="374" t="str">
        <f t="shared" si="597"/>
        <v/>
      </c>
      <c r="AA2548" s="374" t="b">
        <f t="shared" si="598"/>
        <v>1</v>
      </c>
      <c r="AB2548" s="374">
        <f>COUNTIFS(B:B,B2548,H:H,'סיווג התפקידים והעלויות'!$C$2)</f>
        <v>0</v>
      </c>
      <c r="AC2548" s="374">
        <f>COUNTIFS(B:B,B2548,H:H,'סיווג התפקידים והעלויות'!$D$2)</f>
        <v>0</v>
      </c>
      <c r="AD2548" s="374" t="str">
        <f>IF(OR(AND(H2548='סיווג התפקידים והעלויות'!$A$2,I2548='סיווג התפקידים והעלויות'!$A$3),'עלויות כח אדם (6)'!H2548='סיווג התפקידים והעלויות'!$C$2,'עלויות כח אדם (6)'!H2548='סיווג התפקידים והעלויות'!$D$2),IF('עלויות כח אדם (6)'!J2548&lt;75,"לא תקין","תקין"),"")</f>
        <v/>
      </c>
      <c r="AE2548" s="374" t="str">
        <f t="shared" si="599"/>
        <v/>
      </c>
      <c r="AF2548" s="532" t="str">
        <f t="shared" si="600"/>
        <v/>
      </c>
    </row>
    <row r="2549" spans="2:32" x14ac:dyDescent="0.25">
      <c r="B2549" s="695"/>
      <c r="C2549" s="197" t="str">
        <f>IF(B2549&lt;&gt;"",IFERROR(VLOOKUP(B:B,'מצבת והרשמה (2)'!$C$20:$N$520,2,0)," ")," ")</f>
        <v xml:space="preserve"> </v>
      </c>
      <c r="D2549" s="695"/>
      <c r="E2549" s="696"/>
      <c r="F2549" s="696"/>
      <c r="G2549" s="696"/>
      <c r="H2549" s="696"/>
      <c r="I2549" s="1050" t="str">
        <f t="shared" si="587"/>
        <v/>
      </c>
      <c r="J2549" s="696"/>
      <c r="K2549" s="697"/>
      <c r="L2549" s="696"/>
      <c r="M2549" s="198" t="str">
        <f t="shared" si="588"/>
        <v/>
      </c>
      <c r="N2549" s="369" t="str">
        <f t="shared" si="589"/>
        <v/>
      </c>
      <c r="O2549" s="183" t="str">
        <f t="shared" si="590"/>
        <v/>
      </c>
      <c r="P2549" s="199" t="str">
        <f t="shared" si="591"/>
        <v/>
      </c>
      <c r="Q2549" s="199" t="str">
        <f>IF(B2549="","",IFERROR(IF('עלויות כח אדם (6)'!J2549&gt;=VLOOKUP(I2549,'סיווג התפקידים והעלויות'!$B$23:$C$32,2,0),"תקין","לא תקין"),""))</f>
        <v/>
      </c>
      <c r="R2549" s="199" t="str">
        <f t="shared" si="592"/>
        <v/>
      </c>
      <c r="S2549" s="199" t="str">
        <f t="shared" si="593"/>
        <v/>
      </c>
      <c r="T2549" s="199" t="str">
        <f t="shared" si="601"/>
        <v/>
      </c>
      <c r="U2549" s="199" t="str">
        <f t="shared" si="594"/>
        <v/>
      </c>
      <c r="V2549" s="989"/>
      <c r="X2549" s="374" t="str">
        <f t="shared" si="595"/>
        <v/>
      </c>
      <c r="Y2549" s="375" t="str">
        <f t="shared" si="596"/>
        <v/>
      </c>
      <c r="Z2549" s="374" t="str">
        <f t="shared" si="597"/>
        <v/>
      </c>
      <c r="AA2549" s="374" t="b">
        <f t="shared" si="598"/>
        <v>1</v>
      </c>
      <c r="AB2549" s="374">
        <f>COUNTIFS(B:B,B2549,H:H,'סיווג התפקידים והעלויות'!$C$2)</f>
        <v>0</v>
      </c>
      <c r="AC2549" s="374">
        <f>COUNTIFS(B:B,B2549,H:H,'סיווג התפקידים והעלויות'!$D$2)</f>
        <v>0</v>
      </c>
      <c r="AD2549" s="374" t="str">
        <f>IF(OR(AND(H2549='סיווג התפקידים והעלויות'!$A$2,I2549='סיווג התפקידים והעלויות'!$A$3),'עלויות כח אדם (6)'!H2549='סיווג התפקידים והעלויות'!$C$2,'עלויות כח אדם (6)'!H2549='סיווג התפקידים והעלויות'!$D$2),IF('עלויות כח אדם (6)'!J2549&lt;75,"לא תקין","תקין"),"")</f>
        <v/>
      </c>
      <c r="AE2549" s="374" t="str">
        <f t="shared" si="599"/>
        <v/>
      </c>
      <c r="AF2549" s="532" t="str">
        <f t="shared" si="600"/>
        <v/>
      </c>
    </row>
    <row r="2550" spans="2:32" x14ac:dyDescent="0.25">
      <c r="B2550" s="695"/>
      <c r="C2550" s="197" t="str">
        <f>IF(B2550&lt;&gt;"",IFERROR(VLOOKUP(B:B,'מצבת והרשמה (2)'!$C$20:$N$520,2,0)," ")," ")</f>
        <v xml:space="preserve"> </v>
      </c>
      <c r="D2550" s="695"/>
      <c r="E2550" s="696"/>
      <c r="F2550" s="696"/>
      <c r="G2550" s="696"/>
      <c r="H2550" s="696"/>
      <c r="I2550" s="1050" t="str">
        <f t="shared" si="587"/>
        <v/>
      </c>
      <c r="J2550" s="696"/>
      <c r="K2550" s="697"/>
      <c r="L2550" s="696"/>
      <c r="M2550" s="198" t="str">
        <f t="shared" si="588"/>
        <v/>
      </c>
      <c r="N2550" s="369" t="str">
        <f t="shared" si="589"/>
        <v/>
      </c>
      <c r="O2550" s="183" t="str">
        <f t="shared" si="590"/>
        <v/>
      </c>
      <c r="P2550" s="199" t="str">
        <f t="shared" si="591"/>
        <v/>
      </c>
      <c r="Q2550" s="199" t="str">
        <f>IF(B2550="","",IFERROR(IF('עלויות כח אדם (6)'!J2550&gt;=VLOOKUP(I2550,'סיווג התפקידים והעלויות'!$B$23:$C$32,2,0),"תקין","לא תקין"),""))</f>
        <v/>
      </c>
      <c r="R2550" s="199" t="str">
        <f t="shared" si="592"/>
        <v/>
      </c>
      <c r="S2550" s="199" t="str">
        <f t="shared" si="593"/>
        <v/>
      </c>
      <c r="T2550" s="199" t="str">
        <f t="shared" si="601"/>
        <v/>
      </c>
      <c r="U2550" s="199" t="str">
        <f t="shared" si="594"/>
        <v/>
      </c>
      <c r="V2550" s="989"/>
      <c r="X2550" s="374" t="str">
        <f t="shared" si="595"/>
        <v/>
      </c>
      <c r="Y2550" s="375" t="str">
        <f t="shared" si="596"/>
        <v/>
      </c>
      <c r="Z2550" s="374" t="str">
        <f t="shared" si="597"/>
        <v/>
      </c>
      <c r="AA2550" s="374" t="b">
        <f t="shared" si="598"/>
        <v>1</v>
      </c>
      <c r="AB2550" s="374">
        <f>COUNTIFS(B:B,B2550,H:H,'סיווג התפקידים והעלויות'!$C$2)</f>
        <v>0</v>
      </c>
      <c r="AC2550" s="374">
        <f>COUNTIFS(B:B,B2550,H:H,'סיווג התפקידים והעלויות'!$D$2)</f>
        <v>0</v>
      </c>
      <c r="AD2550" s="374" t="str">
        <f>IF(OR(AND(H2550='סיווג התפקידים והעלויות'!$A$2,I2550='סיווג התפקידים והעלויות'!$A$3),'עלויות כח אדם (6)'!H2550='סיווג התפקידים והעלויות'!$C$2,'עלויות כח אדם (6)'!H2550='סיווג התפקידים והעלויות'!$D$2),IF('עלויות כח אדם (6)'!J2550&lt;75,"לא תקין","תקין"),"")</f>
        <v/>
      </c>
      <c r="AE2550" s="374" t="str">
        <f t="shared" si="599"/>
        <v/>
      </c>
      <c r="AF2550" s="532" t="str">
        <f t="shared" si="600"/>
        <v/>
      </c>
    </row>
    <row r="2551" spans="2:32" x14ac:dyDescent="0.25">
      <c r="B2551" s="695"/>
      <c r="C2551" s="197" t="str">
        <f>IF(B2551&lt;&gt;"",IFERROR(VLOOKUP(B:B,'מצבת והרשמה (2)'!$C$20:$N$520,2,0)," ")," ")</f>
        <v xml:space="preserve"> </v>
      </c>
      <c r="D2551" s="695"/>
      <c r="E2551" s="696"/>
      <c r="F2551" s="696"/>
      <c r="G2551" s="696"/>
      <c r="H2551" s="696"/>
      <c r="I2551" s="1050" t="str">
        <f t="shared" si="587"/>
        <v/>
      </c>
      <c r="J2551" s="696"/>
      <c r="K2551" s="697"/>
      <c r="L2551" s="696"/>
      <c r="M2551" s="198" t="str">
        <f t="shared" si="588"/>
        <v/>
      </c>
      <c r="N2551" s="369" t="str">
        <f t="shared" si="589"/>
        <v/>
      </c>
      <c r="O2551" s="183" t="str">
        <f t="shared" si="590"/>
        <v/>
      </c>
      <c r="P2551" s="199" t="str">
        <f t="shared" si="591"/>
        <v/>
      </c>
      <c r="Q2551" s="199" t="str">
        <f>IF(B2551="","",IFERROR(IF('עלויות כח אדם (6)'!J2551&gt;=VLOOKUP(I2551,'סיווג התפקידים והעלויות'!$B$23:$C$32,2,0),"תקין","לא תקין"),""))</f>
        <v/>
      </c>
      <c r="R2551" s="199" t="str">
        <f t="shared" si="592"/>
        <v/>
      </c>
      <c r="S2551" s="199" t="str">
        <f t="shared" si="593"/>
        <v/>
      </c>
      <c r="T2551" s="199" t="str">
        <f t="shared" si="601"/>
        <v/>
      </c>
      <c r="U2551" s="199" t="str">
        <f t="shared" si="594"/>
        <v/>
      </c>
      <c r="V2551" s="989"/>
      <c r="X2551" s="374" t="str">
        <f t="shared" si="595"/>
        <v/>
      </c>
      <c r="Y2551" s="375" t="str">
        <f t="shared" si="596"/>
        <v/>
      </c>
      <c r="Z2551" s="374" t="str">
        <f t="shared" si="597"/>
        <v/>
      </c>
      <c r="AA2551" s="374" t="b">
        <f t="shared" si="598"/>
        <v>1</v>
      </c>
      <c r="AB2551" s="374">
        <f>COUNTIFS(B:B,B2551,H:H,'סיווג התפקידים והעלויות'!$C$2)</f>
        <v>0</v>
      </c>
      <c r="AC2551" s="374">
        <f>COUNTIFS(B:B,B2551,H:H,'סיווג התפקידים והעלויות'!$D$2)</f>
        <v>0</v>
      </c>
      <c r="AD2551" s="374" t="str">
        <f>IF(OR(AND(H2551='סיווג התפקידים והעלויות'!$A$2,I2551='סיווג התפקידים והעלויות'!$A$3),'עלויות כח אדם (6)'!H2551='סיווג התפקידים והעלויות'!$C$2,'עלויות כח אדם (6)'!H2551='סיווג התפקידים והעלויות'!$D$2),IF('עלויות כח אדם (6)'!J2551&lt;75,"לא תקין","תקין"),"")</f>
        <v/>
      </c>
      <c r="AE2551" s="374" t="str">
        <f t="shared" si="599"/>
        <v/>
      </c>
      <c r="AF2551" s="532" t="str">
        <f t="shared" si="600"/>
        <v/>
      </c>
    </row>
    <row r="2552" spans="2:32" x14ac:dyDescent="0.25">
      <c r="B2552" s="695"/>
      <c r="C2552" s="197" t="str">
        <f>IF(B2552&lt;&gt;"",IFERROR(VLOOKUP(B:B,'מצבת והרשמה (2)'!$C$20:$N$520,2,0)," ")," ")</f>
        <v xml:space="preserve"> </v>
      </c>
      <c r="D2552" s="695"/>
      <c r="E2552" s="696"/>
      <c r="F2552" s="696"/>
      <c r="G2552" s="696"/>
      <c r="H2552" s="696"/>
      <c r="I2552" s="1050" t="str">
        <f t="shared" si="587"/>
        <v/>
      </c>
      <c r="J2552" s="696"/>
      <c r="K2552" s="697"/>
      <c r="L2552" s="696"/>
      <c r="M2552" s="198" t="str">
        <f t="shared" si="588"/>
        <v/>
      </c>
      <c r="N2552" s="369" t="str">
        <f t="shared" si="589"/>
        <v/>
      </c>
      <c r="O2552" s="183" t="str">
        <f t="shared" si="590"/>
        <v/>
      </c>
      <c r="P2552" s="199" t="str">
        <f t="shared" si="591"/>
        <v/>
      </c>
      <c r="Q2552" s="199" t="str">
        <f>IF(B2552="","",IFERROR(IF('עלויות כח אדם (6)'!J2552&gt;=VLOOKUP(I2552,'סיווג התפקידים והעלויות'!$B$23:$C$32,2,0),"תקין","לא תקין"),""))</f>
        <v/>
      </c>
      <c r="R2552" s="199" t="str">
        <f t="shared" si="592"/>
        <v/>
      </c>
      <c r="S2552" s="199" t="str">
        <f t="shared" si="593"/>
        <v/>
      </c>
      <c r="T2552" s="199" t="str">
        <f t="shared" si="601"/>
        <v/>
      </c>
      <c r="U2552" s="199" t="str">
        <f t="shared" si="594"/>
        <v/>
      </c>
      <c r="V2552" s="989"/>
      <c r="X2552" s="374" t="str">
        <f t="shared" si="595"/>
        <v/>
      </c>
      <c r="Y2552" s="375" t="str">
        <f t="shared" si="596"/>
        <v/>
      </c>
      <c r="Z2552" s="374" t="str">
        <f t="shared" si="597"/>
        <v/>
      </c>
      <c r="AA2552" s="374" t="b">
        <f t="shared" si="598"/>
        <v>1</v>
      </c>
      <c r="AB2552" s="374">
        <f>COUNTIFS(B:B,B2552,H:H,'סיווג התפקידים והעלויות'!$C$2)</f>
        <v>0</v>
      </c>
      <c r="AC2552" s="374">
        <f>COUNTIFS(B:B,B2552,H:H,'סיווג התפקידים והעלויות'!$D$2)</f>
        <v>0</v>
      </c>
      <c r="AD2552" s="374" t="str">
        <f>IF(OR(AND(H2552='סיווג התפקידים והעלויות'!$A$2,I2552='סיווג התפקידים והעלויות'!$A$3),'עלויות כח אדם (6)'!H2552='סיווג התפקידים והעלויות'!$C$2,'עלויות כח אדם (6)'!H2552='סיווג התפקידים והעלויות'!$D$2),IF('עלויות כח אדם (6)'!J2552&lt;75,"לא תקין","תקין"),"")</f>
        <v/>
      </c>
      <c r="AE2552" s="374" t="str">
        <f t="shared" si="599"/>
        <v/>
      </c>
      <c r="AF2552" s="532" t="str">
        <f t="shared" si="600"/>
        <v/>
      </c>
    </row>
    <row r="2553" spans="2:32" x14ac:dyDescent="0.25">
      <c r="B2553" s="695"/>
      <c r="C2553" s="197" t="str">
        <f>IF(B2553&lt;&gt;"",IFERROR(VLOOKUP(B:B,'מצבת והרשמה (2)'!$C$20:$N$520,2,0)," ")," ")</f>
        <v xml:space="preserve"> </v>
      </c>
      <c r="D2553" s="695"/>
      <c r="E2553" s="696"/>
      <c r="F2553" s="696"/>
      <c r="G2553" s="696"/>
      <c r="H2553" s="696"/>
      <c r="I2553" s="1050" t="str">
        <f t="shared" si="587"/>
        <v/>
      </c>
      <c r="J2553" s="696"/>
      <c r="K2553" s="697"/>
      <c r="L2553" s="696"/>
      <c r="M2553" s="198" t="str">
        <f t="shared" si="588"/>
        <v/>
      </c>
      <c r="N2553" s="369" t="str">
        <f t="shared" si="589"/>
        <v/>
      </c>
      <c r="O2553" s="183" t="str">
        <f t="shared" si="590"/>
        <v/>
      </c>
      <c r="P2553" s="199" t="str">
        <f t="shared" si="591"/>
        <v/>
      </c>
      <c r="Q2553" s="199" t="str">
        <f>IF(B2553="","",IFERROR(IF('עלויות כח אדם (6)'!J2553&gt;=VLOOKUP(I2553,'סיווג התפקידים והעלויות'!$B$23:$C$32,2,0),"תקין","לא תקין"),""))</f>
        <v/>
      </c>
      <c r="R2553" s="199" t="str">
        <f t="shared" si="592"/>
        <v/>
      </c>
      <c r="S2553" s="199" t="str">
        <f t="shared" si="593"/>
        <v/>
      </c>
      <c r="T2553" s="199" t="str">
        <f t="shared" si="601"/>
        <v/>
      </c>
      <c r="U2553" s="199" t="str">
        <f t="shared" si="594"/>
        <v/>
      </c>
      <c r="V2553" s="989"/>
      <c r="X2553" s="374" t="str">
        <f t="shared" si="595"/>
        <v/>
      </c>
      <c r="Y2553" s="375" t="str">
        <f t="shared" si="596"/>
        <v/>
      </c>
      <c r="Z2553" s="374" t="str">
        <f t="shared" si="597"/>
        <v/>
      </c>
      <c r="AA2553" s="374" t="b">
        <f t="shared" si="598"/>
        <v>1</v>
      </c>
      <c r="AB2553" s="374">
        <f>COUNTIFS(B:B,B2553,H:H,'סיווג התפקידים והעלויות'!$C$2)</f>
        <v>0</v>
      </c>
      <c r="AC2553" s="374">
        <f>COUNTIFS(B:B,B2553,H:H,'סיווג התפקידים והעלויות'!$D$2)</f>
        <v>0</v>
      </c>
      <c r="AD2553" s="374" t="str">
        <f>IF(OR(AND(H2553='סיווג התפקידים והעלויות'!$A$2,I2553='סיווג התפקידים והעלויות'!$A$3),'עלויות כח אדם (6)'!H2553='סיווג התפקידים והעלויות'!$C$2,'עלויות כח אדם (6)'!H2553='סיווג התפקידים והעלויות'!$D$2),IF('עלויות כח אדם (6)'!J2553&lt;75,"לא תקין","תקין"),"")</f>
        <v/>
      </c>
      <c r="AE2553" s="374" t="str">
        <f t="shared" si="599"/>
        <v/>
      </c>
      <c r="AF2553" s="532" t="str">
        <f t="shared" si="600"/>
        <v/>
      </c>
    </row>
    <row r="2554" spans="2:32" x14ac:dyDescent="0.25">
      <c r="B2554" s="695"/>
      <c r="C2554" s="197" t="str">
        <f>IF(B2554&lt;&gt;"",IFERROR(VLOOKUP(B:B,'מצבת והרשמה (2)'!$C$20:$N$520,2,0)," ")," ")</f>
        <v xml:space="preserve"> </v>
      </c>
      <c r="D2554" s="695"/>
      <c r="E2554" s="696"/>
      <c r="F2554" s="696"/>
      <c r="G2554" s="696"/>
      <c r="H2554" s="696"/>
      <c r="I2554" s="1050" t="str">
        <f t="shared" si="587"/>
        <v/>
      </c>
      <c r="J2554" s="696"/>
      <c r="K2554" s="697"/>
      <c r="L2554" s="696"/>
      <c r="M2554" s="198" t="str">
        <f t="shared" si="588"/>
        <v/>
      </c>
      <c r="N2554" s="369" t="str">
        <f t="shared" si="589"/>
        <v/>
      </c>
      <c r="O2554" s="183" t="str">
        <f t="shared" si="590"/>
        <v/>
      </c>
      <c r="P2554" s="199" t="str">
        <f t="shared" si="591"/>
        <v/>
      </c>
      <c r="Q2554" s="199" t="str">
        <f>IF(B2554="","",IFERROR(IF('עלויות כח אדם (6)'!J2554&gt;=VLOOKUP(I2554,'סיווג התפקידים והעלויות'!$B$23:$C$32,2,0),"תקין","לא תקין"),""))</f>
        <v/>
      </c>
      <c r="R2554" s="199" t="str">
        <f t="shared" si="592"/>
        <v/>
      </c>
      <c r="S2554" s="199" t="str">
        <f t="shared" si="593"/>
        <v/>
      </c>
      <c r="T2554" s="199" t="str">
        <f t="shared" si="601"/>
        <v/>
      </c>
      <c r="U2554" s="199" t="str">
        <f t="shared" si="594"/>
        <v/>
      </c>
      <c r="V2554" s="989"/>
      <c r="X2554" s="374" t="str">
        <f t="shared" si="595"/>
        <v/>
      </c>
      <c r="Y2554" s="375" t="str">
        <f t="shared" si="596"/>
        <v/>
      </c>
      <c r="Z2554" s="374" t="str">
        <f t="shared" si="597"/>
        <v/>
      </c>
      <c r="AA2554" s="374" t="b">
        <f t="shared" si="598"/>
        <v>1</v>
      </c>
      <c r="AB2554" s="374">
        <f>COUNTIFS(B:B,B2554,H:H,'סיווג התפקידים והעלויות'!$C$2)</f>
        <v>0</v>
      </c>
      <c r="AC2554" s="374">
        <f>COUNTIFS(B:B,B2554,H:H,'סיווג התפקידים והעלויות'!$D$2)</f>
        <v>0</v>
      </c>
      <c r="AD2554" s="374" t="str">
        <f>IF(OR(AND(H2554='סיווג התפקידים והעלויות'!$A$2,I2554='סיווג התפקידים והעלויות'!$A$3),'עלויות כח אדם (6)'!H2554='סיווג התפקידים והעלויות'!$C$2,'עלויות כח אדם (6)'!H2554='סיווג התפקידים והעלויות'!$D$2),IF('עלויות כח אדם (6)'!J2554&lt;75,"לא תקין","תקין"),"")</f>
        <v/>
      </c>
      <c r="AE2554" s="374" t="str">
        <f t="shared" si="599"/>
        <v/>
      </c>
      <c r="AF2554" s="532" t="str">
        <f t="shared" si="600"/>
        <v/>
      </c>
    </row>
    <row r="2555" spans="2:32" x14ac:dyDescent="0.25">
      <c r="B2555" s="695"/>
      <c r="C2555" s="197" t="str">
        <f>IF(B2555&lt;&gt;"",IFERROR(VLOOKUP(B:B,'מצבת והרשמה (2)'!$C$20:$N$520,2,0)," ")," ")</f>
        <v xml:space="preserve"> </v>
      </c>
      <c r="D2555" s="695"/>
      <c r="E2555" s="696"/>
      <c r="F2555" s="696"/>
      <c r="G2555" s="696"/>
      <c r="H2555" s="696"/>
      <c r="I2555" s="1050" t="str">
        <f t="shared" si="587"/>
        <v/>
      </c>
      <c r="J2555" s="696"/>
      <c r="K2555" s="697"/>
      <c r="L2555" s="696"/>
      <c r="M2555" s="198" t="str">
        <f t="shared" si="588"/>
        <v/>
      </c>
      <c r="N2555" s="369" t="str">
        <f t="shared" si="589"/>
        <v/>
      </c>
      <c r="O2555" s="183" t="str">
        <f t="shared" si="590"/>
        <v/>
      </c>
      <c r="P2555" s="199" t="str">
        <f t="shared" si="591"/>
        <v/>
      </c>
      <c r="Q2555" s="199" t="str">
        <f>IF(B2555="","",IFERROR(IF('עלויות כח אדם (6)'!J2555&gt;=VLOOKUP(I2555,'סיווג התפקידים והעלויות'!$B$23:$C$32,2,0),"תקין","לא תקין"),""))</f>
        <v/>
      </c>
      <c r="R2555" s="199" t="str">
        <f t="shared" si="592"/>
        <v/>
      </c>
      <c r="S2555" s="199" t="str">
        <f t="shared" si="593"/>
        <v/>
      </c>
      <c r="T2555" s="199" t="str">
        <f t="shared" si="601"/>
        <v/>
      </c>
      <c r="U2555" s="199" t="str">
        <f t="shared" si="594"/>
        <v/>
      </c>
      <c r="V2555" s="989"/>
      <c r="X2555" s="374" t="str">
        <f t="shared" si="595"/>
        <v/>
      </c>
      <c r="Y2555" s="375" t="str">
        <f t="shared" si="596"/>
        <v/>
      </c>
      <c r="Z2555" s="374" t="str">
        <f t="shared" si="597"/>
        <v/>
      </c>
      <c r="AA2555" s="374" t="b">
        <f t="shared" si="598"/>
        <v>1</v>
      </c>
      <c r="AB2555" s="374">
        <f>COUNTIFS(B:B,B2555,H:H,'סיווג התפקידים והעלויות'!$C$2)</f>
        <v>0</v>
      </c>
      <c r="AC2555" s="374">
        <f>COUNTIFS(B:B,B2555,H:H,'סיווג התפקידים והעלויות'!$D$2)</f>
        <v>0</v>
      </c>
      <c r="AD2555" s="374" t="str">
        <f>IF(OR(AND(H2555='סיווג התפקידים והעלויות'!$A$2,I2555='סיווג התפקידים והעלויות'!$A$3),'עלויות כח אדם (6)'!H2555='סיווג התפקידים והעלויות'!$C$2,'עלויות כח אדם (6)'!H2555='סיווג התפקידים והעלויות'!$D$2),IF('עלויות כח אדם (6)'!J2555&lt;75,"לא תקין","תקין"),"")</f>
        <v/>
      </c>
      <c r="AE2555" s="374" t="str">
        <f t="shared" si="599"/>
        <v/>
      </c>
      <c r="AF2555" s="532" t="str">
        <f t="shared" si="600"/>
        <v/>
      </c>
    </row>
    <row r="2556" spans="2:32" x14ac:dyDescent="0.25">
      <c r="B2556" s="695"/>
      <c r="C2556" s="197" t="str">
        <f>IF(B2556&lt;&gt;"",IFERROR(VLOOKUP(B:B,'מצבת והרשמה (2)'!$C$20:$N$520,2,0)," ")," ")</f>
        <v xml:space="preserve"> </v>
      </c>
      <c r="D2556" s="695"/>
      <c r="E2556" s="696"/>
      <c r="F2556" s="696"/>
      <c r="G2556" s="696"/>
      <c r="H2556" s="696"/>
      <c r="I2556" s="1050" t="str">
        <f t="shared" si="587"/>
        <v/>
      </c>
      <c r="J2556" s="696"/>
      <c r="K2556" s="697"/>
      <c r="L2556" s="696"/>
      <c r="M2556" s="198" t="str">
        <f t="shared" si="588"/>
        <v/>
      </c>
      <c r="N2556" s="369" t="str">
        <f t="shared" si="589"/>
        <v/>
      </c>
      <c r="O2556" s="183" t="str">
        <f t="shared" si="590"/>
        <v/>
      </c>
      <c r="P2556" s="199" t="str">
        <f t="shared" si="591"/>
        <v/>
      </c>
      <c r="Q2556" s="199" t="str">
        <f>IF(B2556="","",IFERROR(IF('עלויות כח אדם (6)'!J2556&gt;=VLOOKUP(I2556,'סיווג התפקידים והעלויות'!$B$23:$C$32,2,0),"תקין","לא תקין"),""))</f>
        <v/>
      </c>
      <c r="R2556" s="199" t="str">
        <f t="shared" si="592"/>
        <v/>
      </c>
      <c r="S2556" s="199" t="str">
        <f t="shared" si="593"/>
        <v/>
      </c>
      <c r="T2556" s="199" t="str">
        <f t="shared" si="601"/>
        <v/>
      </c>
      <c r="U2556" s="199" t="str">
        <f t="shared" si="594"/>
        <v/>
      </c>
      <c r="V2556" s="989"/>
      <c r="X2556" s="374" t="str">
        <f t="shared" si="595"/>
        <v/>
      </c>
      <c r="Y2556" s="375" t="str">
        <f t="shared" si="596"/>
        <v/>
      </c>
      <c r="Z2556" s="374" t="str">
        <f t="shared" si="597"/>
        <v/>
      </c>
      <c r="AA2556" s="374" t="b">
        <f t="shared" si="598"/>
        <v>1</v>
      </c>
      <c r="AB2556" s="374">
        <f>COUNTIFS(B:B,B2556,H:H,'סיווג התפקידים והעלויות'!$C$2)</f>
        <v>0</v>
      </c>
      <c r="AC2556" s="374">
        <f>COUNTIFS(B:B,B2556,H:H,'סיווג התפקידים והעלויות'!$D$2)</f>
        <v>0</v>
      </c>
      <c r="AD2556" s="374" t="str">
        <f>IF(OR(AND(H2556='סיווג התפקידים והעלויות'!$A$2,I2556='סיווג התפקידים והעלויות'!$A$3),'עלויות כח אדם (6)'!H2556='סיווג התפקידים והעלויות'!$C$2,'עלויות כח אדם (6)'!H2556='סיווג התפקידים והעלויות'!$D$2),IF('עלויות כח אדם (6)'!J2556&lt;75,"לא תקין","תקין"),"")</f>
        <v/>
      </c>
      <c r="AE2556" s="374" t="str">
        <f t="shared" si="599"/>
        <v/>
      </c>
      <c r="AF2556" s="532" t="str">
        <f t="shared" si="600"/>
        <v/>
      </c>
    </row>
    <row r="2557" spans="2:32" x14ac:dyDescent="0.25">
      <c r="B2557" s="695"/>
      <c r="C2557" s="197" t="str">
        <f>IF(B2557&lt;&gt;"",IFERROR(VLOOKUP(B:B,'מצבת והרשמה (2)'!$C$20:$N$520,2,0)," ")," ")</f>
        <v xml:space="preserve"> </v>
      </c>
      <c r="D2557" s="695"/>
      <c r="E2557" s="696"/>
      <c r="F2557" s="696"/>
      <c r="G2557" s="696"/>
      <c r="H2557" s="696"/>
      <c r="I2557" s="1050" t="str">
        <f t="shared" si="587"/>
        <v/>
      </c>
      <c r="J2557" s="696"/>
      <c r="K2557" s="697"/>
      <c r="L2557" s="696"/>
      <c r="M2557" s="198" t="str">
        <f t="shared" si="588"/>
        <v/>
      </c>
      <c r="N2557" s="369" t="str">
        <f t="shared" si="589"/>
        <v/>
      </c>
      <c r="O2557" s="183" t="str">
        <f t="shared" si="590"/>
        <v/>
      </c>
      <c r="P2557" s="199" t="str">
        <f t="shared" si="591"/>
        <v/>
      </c>
      <c r="Q2557" s="199" t="str">
        <f>IF(B2557="","",IFERROR(IF('עלויות כח אדם (6)'!J2557&gt;=VLOOKUP(I2557,'סיווג התפקידים והעלויות'!$B$23:$C$32,2,0),"תקין","לא תקין"),""))</f>
        <v/>
      </c>
      <c r="R2557" s="199" t="str">
        <f t="shared" si="592"/>
        <v/>
      </c>
      <c r="S2557" s="199" t="str">
        <f t="shared" si="593"/>
        <v/>
      </c>
      <c r="T2557" s="199" t="str">
        <f t="shared" si="601"/>
        <v/>
      </c>
      <c r="U2557" s="199" t="str">
        <f t="shared" si="594"/>
        <v/>
      </c>
      <c r="V2557" s="989"/>
      <c r="X2557" s="374" t="str">
        <f t="shared" si="595"/>
        <v/>
      </c>
      <c r="Y2557" s="375" t="str">
        <f t="shared" si="596"/>
        <v/>
      </c>
      <c r="Z2557" s="374" t="str">
        <f t="shared" si="597"/>
        <v/>
      </c>
      <c r="AA2557" s="374" t="b">
        <f t="shared" si="598"/>
        <v>1</v>
      </c>
      <c r="AB2557" s="374">
        <f>COUNTIFS(B:B,B2557,H:H,'סיווג התפקידים והעלויות'!$C$2)</f>
        <v>0</v>
      </c>
      <c r="AC2557" s="374">
        <f>COUNTIFS(B:B,B2557,H:H,'סיווג התפקידים והעלויות'!$D$2)</f>
        <v>0</v>
      </c>
      <c r="AD2557" s="374" t="str">
        <f>IF(OR(AND(H2557='סיווג התפקידים והעלויות'!$A$2,I2557='סיווג התפקידים והעלויות'!$A$3),'עלויות כח אדם (6)'!H2557='סיווג התפקידים והעלויות'!$C$2,'עלויות כח אדם (6)'!H2557='סיווג התפקידים והעלויות'!$D$2),IF('עלויות כח אדם (6)'!J2557&lt;75,"לא תקין","תקין"),"")</f>
        <v/>
      </c>
      <c r="AE2557" s="374" t="str">
        <f t="shared" si="599"/>
        <v/>
      </c>
      <c r="AF2557" s="532" t="str">
        <f t="shared" si="600"/>
        <v/>
      </c>
    </row>
    <row r="2558" spans="2:32" x14ac:dyDescent="0.25">
      <c r="B2558" s="695"/>
      <c r="C2558" s="197" t="str">
        <f>IF(B2558&lt;&gt;"",IFERROR(VLOOKUP(B:B,'מצבת והרשמה (2)'!$C$20:$N$520,2,0)," ")," ")</f>
        <v xml:space="preserve"> </v>
      </c>
      <c r="D2558" s="695"/>
      <c r="E2558" s="696"/>
      <c r="F2558" s="696"/>
      <c r="G2558" s="696"/>
      <c r="H2558" s="696"/>
      <c r="I2558" s="1050" t="str">
        <f t="shared" si="587"/>
        <v/>
      </c>
      <c r="J2558" s="696"/>
      <c r="K2558" s="697"/>
      <c r="L2558" s="696"/>
      <c r="M2558" s="198" t="str">
        <f t="shared" si="588"/>
        <v/>
      </c>
      <c r="N2558" s="369" t="str">
        <f t="shared" si="589"/>
        <v/>
      </c>
      <c r="O2558" s="183" t="str">
        <f t="shared" si="590"/>
        <v/>
      </c>
      <c r="P2558" s="199" t="str">
        <f t="shared" si="591"/>
        <v/>
      </c>
      <c r="Q2558" s="199" t="str">
        <f>IF(B2558="","",IFERROR(IF('עלויות כח אדם (6)'!J2558&gt;=VLOOKUP(I2558,'סיווג התפקידים והעלויות'!$B$23:$C$32,2,0),"תקין","לא תקין"),""))</f>
        <v/>
      </c>
      <c r="R2558" s="199" t="str">
        <f t="shared" si="592"/>
        <v/>
      </c>
      <c r="S2558" s="199" t="str">
        <f t="shared" si="593"/>
        <v/>
      </c>
      <c r="T2558" s="199" t="str">
        <f t="shared" si="601"/>
        <v/>
      </c>
      <c r="U2558" s="199" t="str">
        <f t="shared" si="594"/>
        <v/>
      </c>
      <c r="V2558" s="989"/>
      <c r="X2558" s="374" t="str">
        <f t="shared" si="595"/>
        <v/>
      </c>
      <c r="Y2558" s="375" t="str">
        <f t="shared" si="596"/>
        <v/>
      </c>
      <c r="Z2558" s="374" t="str">
        <f t="shared" si="597"/>
        <v/>
      </c>
      <c r="AA2558" s="374" t="b">
        <f t="shared" si="598"/>
        <v>1</v>
      </c>
      <c r="AB2558" s="374">
        <f>COUNTIFS(B:B,B2558,H:H,'סיווג התפקידים והעלויות'!$C$2)</f>
        <v>0</v>
      </c>
      <c r="AC2558" s="374">
        <f>COUNTIFS(B:B,B2558,H:H,'סיווג התפקידים והעלויות'!$D$2)</f>
        <v>0</v>
      </c>
      <c r="AD2558" s="374" t="str">
        <f>IF(OR(AND(H2558='סיווג התפקידים והעלויות'!$A$2,I2558='סיווג התפקידים והעלויות'!$A$3),'עלויות כח אדם (6)'!H2558='סיווג התפקידים והעלויות'!$C$2,'עלויות כח אדם (6)'!H2558='סיווג התפקידים והעלויות'!$D$2),IF('עלויות כח אדם (6)'!J2558&lt;75,"לא תקין","תקין"),"")</f>
        <v/>
      </c>
      <c r="AE2558" s="374" t="str">
        <f t="shared" si="599"/>
        <v/>
      </c>
      <c r="AF2558" s="532" t="str">
        <f t="shared" si="600"/>
        <v/>
      </c>
    </row>
    <row r="2559" spans="2:32" x14ac:dyDescent="0.25">
      <c r="B2559" s="695"/>
      <c r="C2559" s="197" t="str">
        <f>IF(B2559&lt;&gt;"",IFERROR(VLOOKUP(B:B,'מצבת והרשמה (2)'!$C$20:$N$520,2,0)," ")," ")</f>
        <v xml:space="preserve"> </v>
      </c>
      <c r="D2559" s="695"/>
      <c r="E2559" s="696"/>
      <c r="F2559" s="696"/>
      <c r="G2559" s="696"/>
      <c r="H2559" s="696"/>
      <c r="I2559" s="1050" t="str">
        <f t="shared" si="587"/>
        <v/>
      </c>
      <c r="J2559" s="696"/>
      <c r="K2559" s="697"/>
      <c r="L2559" s="696"/>
      <c r="M2559" s="198" t="str">
        <f t="shared" si="588"/>
        <v/>
      </c>
      <c r="N2559" s="369" t="str">
        <f t="shared" si="589"/>
        <v/>
      </c>
      <c r="O2559" s="183" t="str">
        <f t="shared" si="590"/>
        <v/>
      </c>
      <c r="P2559" s="199" t="str">
        <f t="shared" si="591"/>
        <v/>
      </c>
      <c r="Q2559" s="199" t="str">
        <f>IF(B2559="","",IFERROR(IF('עלויות כח אדם (6)'!J2559&gt;=VLOOKUP(I2559,'סיווג התפקידים והעלויות'!$B$23:$C$32,2,0),"תקין","לא תקין"),""))</f>
        <v/>
      </c>
      <c r="R2559" s="199" t="str">
        <f t="shared" si="592"/>
        <v/>
      </c>
      <c r="S2559" s="199" t="str">
        <f t="shared" si="593"/>
        <v/>
      </c>
      <c r="T2559" s="199" t="str">
        <f t="shared" si="601"/>
        <v/>
      </c>
      <c r="U2559" s="199" t="str">
        <f t="shared" si="594"/>
        <v/>
      </c>
      <c r="V2559" s="989"/>
      <c r="X2559" s="374" t="str">
        <f t="shared" si="595"/>
        <v/>
      </c>
      <c r="Y2559" s="375" t="str">
        <f t="shared" si="596"/>
        <v/>
      </c>
      <c r="Z2559" s="374" t="str">
        <f t="shared" si="597"/>
        <v/>
      </c>
      <c r="AA2559" s="374" t="b">
        <f t="shared" si="598"/>
        <v>1</v>
      </c>
      <c r="AB2559" s="374">
        <f>COUNTIFS(B:B,B2559,H:H,'סיווג התפקידים והעלויות'!$C$2)</f>
        <v>0</v>
      </c>
      <c r="AC2559" s="374">
        <f>COUNTIFS(B:B,B2559,H:H,'סיווג התפקידים והעלויות'!$D$2)</f>
        <v>0</v>
      </c>
      <c r="AD2559" s="374" t="str">
        <f>IF(OR(AND(H2559='סיווג התפקידים והעלויות'!$A$2,I2559='סיווג התפקידים והעלויות'!$A$3),'עלויות כח אדם (6)'!H2559='סיווג התפקידים והעלויות'!$C$2,'עלויות כח אדם (6)'!H2559='סיווג התפקידים והעלויות'!$D$2),IF('עלויות כח אדם (6)'!J2559&lt;75,"לא תקין","תקין"),"")</f>
        <v/>
      </c>
      <c r="AE2559" s="374" t="str">
        <f t="shared" si="599"/>
        <v/>
      </c>
      <c r="AF2559" s="532" t="str">
        <f t="shared" si="600"/>
        <v/>
      </c>
    </row>
    <row r="2560" spans="2:32" x14ac:dyDescent="0.25">
      <c r="B2560" s="695"/>
      <c r="C2560" s="197" t="str">
        <f>IF(B2560&lt;&gt;"",IFERROR(VLOOKUP(B:B,'מצבת והרשמה (2)'!$C$20:$N$520,2,0)," ")," ")</f>
        <v xml:space="preserve"> </v>
      </c>
      <c r="D2560" s="695"/>
      <c r="E2560" s="696"/>
      <c r="F2560" s="696"/>
      <c r="G2560" s="696"/>
      <c r="H2560" s="696"/>
      <c r="I2560" s="1050" t="str">
        <f t="shared" si="587"/>
        <v/>
      </c>
      <c r="J2560" s="696"/>
      <c r="K2560" s="697"/>
      <c r="L2560" s="696"/>
      <c r="M2560" s="198" t="str">
        <f t="shared" si="588"/>
        <v/>
      </c>
      <c r="N2560" s="369" t="str">
        <f t="shared" si="589"/>
        <v/>
      </c>
      <c r="O2560" s="183" t="str">
        <f t="shared" si="590"/>
        <v/>
      </c>
      <c r="P2560" s="199" t="str">
        <f t="shared" si="591"/>
        <v/>
      </c>
      <c r="Q2560" s="199" t="str">
        <f>IF(B2560="","",IFERROR(IF('עלויות כח אדם (6)'!J2560&gt;=VLOOKUP(I2560,'סיווג התפקידים והעלויות'!$B$23:$C$32,2,0),"תקין","לא תקין"),""))</f>
        <v/>
      </c>
      <c r="R2560" s="199" t="str">
        <f t="shared" si="592"/>
        <v/>
      </c>
      <c r="S2560" s="199" t="str">
        <f t="shared" si="593"/>
        <v/>
      </c>
      <c r="T2560" s="199" t="str">
        <f t="shared" si="601"/>
        <v/>
      </c>
      <c r="U2560" s="199" t="str">
        <f t="shared" si="594"/>
        <v/>
      </c>
      <c r="V2560" s="989"/>
      <c r="X2560" s="374" t="str">
        <f t="shared" si="595"/>
        <v/>
      </c>
      <c r="Y2560" s="375" t="str">
        <f t="shared" si="596"/>
        <v/>
      </c>
      <c r="Z2560" s="374" t="str">
        <f t="shared" si="597"/>
        <v/>
      </c>
      <c r="AA2560" s="374" t="b">
        <f t="shared" si="598"/>
        <v>1</v>
      </c>
      <c r="AB2560" s="374">
        <f>COUNTIFS(B:B,B2560,H:H,'סיווג התפקידים והעלויות'!$C$2)</f>
        <v>0</v>
      </c>
      <c r="AC2560" s="374">
        <f>COUNTIFS(B:B,B2560,H:H,'סיווג התפקידים והעלויות'!$D$2)</f>
        <v>0</v>
      </c>
      <c r="AD2560" s="374" t="str">
        <f>IF(OR(AND(H2560='סיווג התפקידים והעלויות'!$A$2,I2560='סיווג התפקידים והעלויות'!$A$3),'עלויות כח אדם (6)'!H2560='סיווג התפקידים והעלויות'!$C$2,'עלויות כח אדם (6)'!H2560='סיווג התפקידים והעלויות'!$D$2),IF('עלויות כח אדם (6)'!J2560&lt;75,"לא תקין","תקין"),"")</f>
        <v/>
      </c>
      <c r="AE2560" s="374" t="str">
        <f t="shared" si="599"/>
        <v/>
      </c>
      <c r="AF2560" s="532" t="str">
        <f t="shared" si="600"/>
        <v/>
      </c>
    </row>
    <row r="2561" spans="2:32" x14ac:dyDescent="0.25">
      <c r="B2561" s="695"/>
      <c r="C2561" s="197" t="str">
        <f>IF(B2561&lt;&gt;"",IFERROR(VLOOKUP(B:B,'מצבת והרשמה (2)'!$C$20:$N$520,2,0)," ")," ")</f>
        <v xml:space="preserve"> </v>
      </c>
      <c r="D2561" s="695"/>
      <c r="E2561" s="696"/>
      <c r="F2561" s="696"/>
      <c r="G2561" s="696"/>
      <c r="H2561" s="696"/>
      <c r="I2561" s="1050" t="str">
        <f t="shared" si="587"/>
        <v/>
      </c>
      <c r="J2561" s="696"/>
      <c r="K2561" s="697"/>
      <c r="L2561" s="696"/>
      <c r="M2561" s="198" t="str">
        <f t="shared" si="588"/>
        <v/>
      </c>
      <c r="N2561" s="369" t="str">
        <f t="shared" si="589"/>
        <v/>
      </c>
      <c r="O2561" s="183" t="str">
        <f t="shared" si="590"/>
        <v/>
      </c>
      <c r="P2561" s="199" t="str">
        <f t="shared" si="591"/>
        <v/>
      </c>
      <c r="Q2561" s="199" t="str">
        <f>IF(B2561="","",IFERROR(IF('עלויות כח אדם (6)'!J2561&gt;=VLOOKUP(I2561,'סיווג התפקידים והעלויות'!$B$23:$C$32,2,0),"תקין","לא תקין"),""))</f>
        <v/>
      </c>
      <c r="R2561" s="199" t="str">
        <f t="shared" si="592"/>
        <v/>
      </c>
      <c r="S2561" s="199" t="str">
        <f t="shared" si="593"/>
        <v/>
      </c>
      <c r="T2561" s="199" t="str">
        <f t="shared" si="601"/>
        <v/>
      </c>
      <c r="U2561" s="199" t="str">
        <f t="shared" si="594"/>
        <v/>
      </c>
      <c r="V2561" s="989"/>
      <c r="X2561" s="374" t="str">
        <f t="shared" si="595"/>
        <v/>
      </c>
      <c r="Y2561" s="375" t="str">
        <f t="shared" si="596"/>
        <v/>
      </c>
      <c r="Z2561" s="374" t="str">
        <f t="shared" si="597"/>
        <v/>
      </c>
      <c r="AA2561" s="374" t="b">
        <f t="shared" si="598"/>
        <v>1</v>
      </c>
      <c r="AB2561" s="374">
        <f>COUNTIFS(B:B,B2561,H:H,'סיווג התפקידים והעלויות'!$C$2)</f>
        <v>0</v>
      </c>
      <c r="AC2561" s="374">
        <f>COUNTIFS(B:B,B2561,H:H,'סיווג התפקידים והעלויות'!$D$2)</f>
        <v>0</v>
      </c>
      <c r="AD2561" s="374" t="str">
        <f>IF(OR(AND(H2561='סיווג התפקידים והעלויות'!$A$2,I2561='סיווג התפקידים והעלויות'!$A$3),'עלויות כח אדם (6)'!H2561='סיווג התפקידים והעלויות'!$C$2,'עלויות כח אדם (6)'!H2561='סיווג התפקידים והעלויות'!$D$2),IF('עלויות כח אדם (6)'!J2561&lt;75,"לא תקין","תקין"),"")</f>
        <v/>
      </c>
      <c r="AE2561" s="374" t="str">
        <f t="shared" si="599"/>
        <v/>
      </c>
      <c r="AF2561" s="532" t="str">
        <f t="shared" si="600"/>
        <v/>
      </c>
    </row>
    <row r="2562" spans="2:32" x14ac:dyDescent="0.25">
      <c r="B2562" s="695"/>
      <c r="C2562" s="197" t="str">
        <f>IF(B2562&lt;&gt;"",IFERROR(VLOOKUP(B:B,'מצבת והרשמה (2)'!$C$20:$N$520,2,0)," ")," ")</f>
        <v xml:space="preserve"> </v>
      </c>
      <c r="D2562" s="695"/>
      <c r="E2562" s="696"/>
      <c r="F2562" s="696"/>
      <c r="G2562" s="696"/>
      <c r="H2562" s="696"/>
      <c r="I2562" s="1050" t="str">
        <f t="shared" si="587"/>
        <v/>
      </c>
      <c r="J2562" s="696"/>
      <c r="K2562" s="697"/>
      <c r="L2562" s="696"/>
      <c r="M2562" s="198" t="str">
        <f t="shared" si="588"/>
        <v/>
      </c>
      <c r="N2562" s="369" t="str">
        <f t="shared" si="589"/>
        <v/>
      </c>
      <c r="O2562" s="183" t="str">
        <f t="shared" si="590"/>
        <v/>
      </c>
      <c r="P2562" s="199" t="str">
        <f t="shared" si="591"/>
        <v/>
      </c>
      <c r="Q2562" s="199" t="str">
        <f>IF(B2562="","",IFERROR(IF('עלויות כח אדם (6)'!J2562&gt;=VLOOKUP(I2562,'סיווג התפקידים והעלויות'!$B$23:$C$32,2,0),"תקין","לא תקין"),""))</f>
        <v/>
      </c>
      <c r="R2562" s="199" t="str">
        <f t="shared" si="592"/>
        <v/>
      </c>
      <c r="S2562" s="199" t="str">
        <f t="shared" si="593"/>
        <v/>
      </c>
      <c r="T2562" s="199" t="str">
        <f t="shared" si="601"/>
        <v/>
      </c>
      <c r="U2562" s="199" t="str">
        <f t="shared" si="594"/>
        <v/>
      </c>
      <c r="V2562" s="989"/>
      <c r="X2562" s="374" t="str">
        <f t="shared" si="595"/>
        <v/>
      </c>
      <c r="Y2562" s="375" t="str">
        <f t="shared" si="596"/>
        <v/>
      </c>
      <c r="Z2562" s="374" t="str">
        <f t="shared" si="597"/>
        <v/>
      </c>
      <c r="AA2562" s="374" t="b">
        <f t="shared" si="598"/>
        <v>1</v>
      </c>
      <c r="AB2562" s="374">
        <f>COUNTIFS(B:B,B2562,H:H,'סיווג התפקידים והעלויות'!$C$2)</f>
        <v>0</v>
      </c>
      <c r="AC2562" s="374">
        <f>COUNTIFS(B:B,B2562,H:H,'סיווג התפקידים והעלויות'!$D$2)</f>
        <v>0</v>
      </c>
      <c r="AD2562" s="374" t="str">
        <f>IF(OR(AND(H2562='סיווג התפקידים והעלויות'!$A$2,I2562='סיווג התפקידים והעלויות'!$A$3),'עלויות כח אדם (6)'!H2562='סיווג התפקידים והעלויות'!$C$2,'עלויות כח אדם (6)'!H2562='סיווג התפקידים והעלויות'!$D$2),IF('עלויות כח אדם (6)'!J2562&lt;75,"לא תקין","תקין"),"")</f>
        <v/>
      </c>
      <c r="AE2562" s="374" t="str">
        <f t="shared" si="599"/>
        <v/>
      </c>
      <c r="AF2562" s="532" t="str">
        <f t="shared" si="600"/>
        <v/>
      </c>
    </row>
    <row r="2563" spans="2:32" x14ac:dyDescent="0.25">
      <c r="B2563" s="695"/>
      <c r="C2563" s="197" t="str">
        <f>IF(B2563&lt;&gt;"",IFERROR(VLOOKUP(B:B,'מצבת והרשמה (2)'!$C$20:$N$520,2,0)," ")," ")</f>
        <v xml:space="preserve"> </v>
      </c>
      <c r="D2563" s="695"/>
      <c r="E2563" s="696"/>
      <c r="F2563" s="696"/>
      <c r="G2563" s="696"/>
      <c r="H2563" s="696"/>
      <c r="I2563" s="1050" t="str">
        <f t="shared" si="587"/>
        <v/>
      </c>
      <c r="J2563" s="696"/>
      <c r="K2563" s="697"/>
      <c r="L2563" s="696"/>
      <c r="M2563" s="198" t="str">
        <f t="shared" si="588"/>
        <v/>
      </c>
      <c r="N2563" s="369" t="str">
        <f t="shared" si="589"/>
        <v/>
      </c>
      <c r="O2563" s="183" t="str">
        <f t="shared" si="590"/>
        <v/>
      </c>
      <c r="P2563" s="199" t="str">
        <f t="shared" si="591"/>
        <v/>
      </c>
      <c r="Q2563" s="199" t="str">
        <f>IF(B2563="","",IFERROR(IF('עלויות כח אדם (6)'!J2563&gt;=VLOOKUP(I2563,'סיווג התפקידים והעלויות'!$B$23:$C$32,2,0),"תקין","לא תקין"),""))</f>
        <v/>
      </c>
      <c r="R2563" s="199" t="str">
        <f t="shared" si="592"/>
        <v/>
      </c>
      <c r="S2563" s="199" t="str">
        <f t="shared" si="593"/>
        <v/>
      </c>
      <c r="T2563" s="199" t="str">
        <f t="shared" si="601"/>
        <v/>
      </c>
      <c r="U2563" s="199" t="str">
        <f t="shared" si="594"/>
        <v/>
      </c>
      <c r="V2563" s="989"/>
      <c r="X2563" s="374" t="str">
        <f t="shared" si="595"/>
        <v/>
      </c>
      <c r="Y2563" s="375" t="str">
        <f t="shared" si="596"/>
        <v/>
      </c>
      <c r="Z2563" s="374" t="str">
        <f t="shared" si="597"/>
        <v/>
      </c>
      <c r="AA2563" s="374" t="b">
        <f t="shared" si="598"/>
        <v>1</v>
      </c>
      <c r="AB2563" s="374">
        <f>COUNTIFS(B:B,B2563,H:H,'סיווג התפקידים והעלויות'!$C$2)</f>
        <v>0</v>
      </c>
      <c r="AC2563" s="374">
        <f>COUNTIFS(B:B,B2563,H:H,'סיווג התפקידים והעלויות'!$D$2)</f>
        <v>0</v>
      </c>
      <c r="AD2563" s="374" t="str">
        <f>IF(OR(AND(H2563='סיווג התפקידים והעלויות'!$A$2,I2563='סיווג התפקידים והעלויות'!$A$3),'עלויות כח אדם (6)'!H2563='סיווג התפקידים והעלויות'!$C$2,'עלויות כח אדם (6)'!H2563='סיווג התפקידים והעלויות'!$D$2),IF('עלויות כח אדם (6)'!J2563&lt;75,"לא תקין","תקין"),"")</f>
        <v/>
      </c>
      <c r="AE2563" s="374" t="str">
        <f t="shared" si="599"/>
        <v/>
      </c>
      <c r="AF2563" s="532" t="str">
        <f t="shared" si="600"/>
        <v/>
      </c>
    </row>
    <row r="2564" spans="2:32" x14ac:dyDescent="0.25">
      <c r="B2564" s="695"/>
      <c r="C2564" s="197" t="str">
        <f>IF(B2564&lt;&gt;"",IFERROR(VLOOKUP(B:B,'מצבת והרשמה (2)'!$C$20:$N$520,2,0)," ")," ")</f>
        <v xml:space="preserve"> </v>
      </c>
      <c r="D2564" s="695"/>
      <c r="E2564" s="696"/>
      <c r="F2564" s="696"/>
      <c r="G2564" s="696"/>
      <c r="H2564" s="696"/>
      <c r="I2564" s="1050" t="str">
        <f t="shared" si="587"/>
        <v/>
      </c>
      <c r="J2564" s="696"/>
      <c r="K2564" s="697"/>
      <c r="L2564" s="696"/>
      <c r="M2564" s="198" t="str">
        <f t="shared" si="588"/>
        <v/>
      </c>
      <c r="N2564" s="369" t="str">
        <f t="shared" si="589"/>
        <v/>
      </c>
      <c r="O2564" s="183" t="str">
        <f t="shared" si="590"/>
        <v/>
      </c>
      <c r="P2564" s="199" t="str">
        <f t="shared" si="591"/>
        <v/>
      </c>
      <c r="Q2564" s="199" t="str">
        <f>IF(B2564="","",IFERROR(IF('עלויות כח אדם (6)'!J2564&gt;=VLOOKUP(I2564,'סיווג התפקידים והעלויות'!$B$23:$C$32,2,0),"תקין","לא תקין"),""))</f>
        <v/>
      </c>
      <c r="R2564" s="199" t="str">
        <f t="shared" si="592"/>
        <v/>
      </c>
      <c r="S2564" s="199" t="str">
        <f t="shared" si="593"/>
        <v/>
      </c>
      <c r="T2564" s="199" t="str">
        <f t="shared" si="601"/>
        <v/>
      </c>
      <c r="U2564" s="199" t="str">
        <f t="shared" si="594"/>
        <v/>
      </c>
      <c r="V2564" s="989"/>
      <c r="X2564" s="374" t="str">
        <f t="shared" si="595"/>
        <v/>
      </c>
      <c r="Y2564" s="375" t="str">
        <f t="shared" si="596"/>
        <v/>
      </c>
      <c r="Z2564" s="374" t="str">
        <f t="shared" si="597"/>
        <v/>
      </c>
      <c r="AA2564" s="374" t="b">
        <f t="shared" si="598"/>
        <v>1</v>
      </c>
      <c r="AB2564" s="374">
        <f>COUNTIFS(B:B,B2564,H:H,'סיווג התפקידים והעלויות'!$C$2)</f>
        <v>0</v>
      </c>
      <c r="AC2564" s="374">
        <f>COUNTIFS(B:B,B2564,H:H,'סיווג התפקידים והעלויות'!$D$2)</f>
        <v>0</v>
      </c>
      <c r="AD2564" s="374" t="str">
        <f>IF(OR(AND(H2564='סיווג התפקידים והעלויות'!$A$2,I2564='סיווג התפקידים והעלויות'!$A$3),'עלויות כח אדם (6)'!H2564='סיווג התפקידים והעלויות'!$C$2,'עלויות כח אדם (6)'!H2564='סיווג התפקידים והעלויות'!$D$2),IF('עלויות כח אדם (6)'!J2564&lt;75,"לא תקין","תקין"),"")</f>
        <v/>
      </c>
      <c r="AE2564" s="374" t="str">
        <f t="shared" si="599"/>
        <v/>
      </c>
      <c r="AF2564" s="532" t="str">
        <f t="shared" si="600"/>
        <v/>
      </c>
    </row>
    <row r="2565" spans="2:32" x14ac:dyDescent="0.25">
      <c r="B2565" s="695"/>
      <c r="C2565" s="197" t="str">
        <f>IF(B2565&lt;&gt;"",IFERROR(VLOOKUP(B:B,'מצבת והרשמה (2)'!$C$20:$N$520,2,0)," ")," ")</f>
        <v xml:space="preserve"> </v>
      </c>
      <c r="D2565" s="695"/>
      <c r="E2565" s="696"/>
      <c r="F2565" s="696"/>
      <c r="G2565" s="696"/>
      <c r="H2565" s="696"/>
      <c r="I2565" s="1050" t="str">
        <f t="shared" si="587"/>
        <v/>
      </c>
      <c r="J2565" s="696"/>
      <c r="K2565" s="697"/>
      <c r="L2565" s="696"/>
      <c r="M2565" s="198" t="str">
        <f t="shared" si="588"/>
        <v/>
      </c>
      <c r="N2565" s="369" t="str">
        <f t="shared" si="589"/>
        <v/>
      </c>
      <c r="O2565" s="183" t="str">
        <f t="shared" si="590"/>
        <v/>
      </c>
      <c r="P2565" s="199" t="str">
        <f t="shared" si="591"/>
        <v/>
      </c>
      <c r="Q2565" s="199" t="str">
        <f>IF(B2565="","",IFERROR(IF('עלויות כח אדם (6)'!J2565&gt;=VLOOKUP(I2565,'סיווג התפקידים והעלויות'!$B$23:$C$32,2,0),"תקין","לא תקין"),""))</f>
        <v/>
      </c>
      <c r="R2565" s="199" t="str">
        <f t="shared" si="592"/>
        <v/>
      </c>
      <c r="S2565" s="199" t="str">
        <f t="shared" si="593"/>
        <v/>
      </c>
      <c r="T2565" s="199" t="str">
        <f t="shared" si="601"/>
        <v/>
      </c>
      <c r="U2565" s="199" t="str">
        <f t="shared" si="594"/>
        <v/>
      </c>
      <c r="V2565" s="989"/>
      <c r="X2565" s="374" t="str">
        <f t="shared" si="595"/>
        <v/>
      </c>
      <c r="Y2565" s="375" t="str">
        <f t="shared" si="596"/>
        <v/>
      </c>
      <c r="Z2565" s="374" t="str">
        <f t="shared" si="597"/>
        <v/>
      </c>
      <c r="AA2565" s="374" t="b">
        <f t="shared" si="598"/>
        <v>1</v>
      </c>
      <c r="AB2565" s="374">
        <f>COUNTIFS(B:B,B2565,H:H,'סיווג התפקידים והעלויות'!$C$2)</f>
        <v>0</v>
      </c>
      <c r="AC2565" s="374">
        <f>COUNTIFS(B:B,B2565,H:H,'סיווג התפקידים והעלויות'!$D$2)</f>
        <v>0</v>
      </c>
      <c r="AD2565" s="374" t="str">
        <f>IF(OR(AND(H2565='סיווג התפקידים והעלויות'!$A$2,I2565='סיווג התפקידים והעלויות'!$A$3),'עלויות כח אדם (6)'!H2565='סיווג התפקידים והעלויות'!$C$2,'עלויות כח אדם (6)'!H2565='סיווג התפקידים והעלויות'!$D$2),IF('עלויות כח אדם (6)'!J2565&lt;75,"לא תקין","תקין"),"")</f>
        <v/>
      </c>
      <c r="AE2565" s="374" t="str">
        <f t="shared" si="599"/>
        <v/>
      </c>
      <c r="AF2565" s="532" t="str">
        <f t="shared" si="600"/>
        <v/>
      </c>
    </row>
    <row r="2566" spans="2:32" x14ac:dyDescent="0.25">
      <c r="B2566" s="695"/>
      <c r="C2566" s="197" t="str">
        <f>IF(B2566&lt;&gt;"",IFERROR(VLOOKUP(B:B,'מצבת והרשמה (2)'!$C$20:$N$520,2,0)," ")," ")</f>
        <v xml:space="preserve"> </v>
      </c>
      <c r="D2566" s="695"/>
      <c r="E2566" s="696"/>
      <c r="F2566" s="696"/>
      <c r="G2566" s="696"/>
      <c r="H2566" s="696"/>
      <c r="I2566" s="1050" t="str">
        <f t="shared" si="587"/>
        <v/>
      </c>
      <c r="J2566" s="696"/>
      <c r="K2566" s="697"/>
      <c r="L2566" s="696"/>
      <c r="M2566" s="198" t="str">
        <f t="shared" si="588"/>
        <v/>
      </c>
      <c r="N2566" s="369" t="str">
        <f t="shared" si="589"/>
        <v/>
      </c>
      <c r="O2566" s="183" t="str">
        <f t="shared" si="590"/>
        <v/>
      </c>
      <c r="P2566" s="199" t="str">
        <f t="shared" si="591"/>
        <v/>
      </c>
      <c r="Q2566" s="199" t="str">
        <f>IF(B2566="","",IFERROR(IF('עלויות כח אדם (6)'!J2566&gt;=VLOOKUP(I2566,'סיווג התפקידים והעלויות'!$B$23:$C$32,2,0),"תקין","לא תקין"),""))</f>
        <v/>
      </c>
      <c r="R2566" s="199" t="str">
        <f t="shared" si="592"/>
        <v/>
      </c>
      <c r="S2566" s="199" t="str">
        <f t="shared" si="593"/>
        <v/>
      </c>
      <c r="T2566" s="199" t="str">
        <f t="shared" si="601"/>
        <v/>
      </c>
      <c r="U2566" s="199" t="str">
        <f t="shared" si="594"/>
        <v/>
      </c>
      <c r="V2566" s="989"/>
      <c r="X2566" s="374" t="str">
        <f t="shared" si="595"/>
        <v/>
      </c>
      <c r="Y2566" s="375" t="str">
        <f t="shared" si="596"/>
        <v/>
      </c>
      <c r="Z2566" s="374" t="str">
        <f t="shared" si="597"/>
        <v/>
      </c>
      <c r="AA2566" s="374" t="b">
        <f t="shared" si="598"/>
        <v>1</v>
      </c>
      <c r="AB2566" s="374">
        <f>COUNTIFS(B:B,B2566,H:H,'סיווג התפקידים והעלויות'!$C$2)</f>
        <v>0</v>
      </c>
      <c r="AC2566" s="374">
        <f>COUNTIFS(B:B,B2566,H:H,'סיווג התפקידים והעלויות'!$D$2)</f>
        <v>0</v>
      </c>
      <c r="AD2566" s="374" t="str">
        <f>IF(OR(AND(H2566='סיווג התפקידים והעלויות'!$A$2,I2566='סיווג התפקידים והעלויות'!$A$3),'עלויות כח אדם (6)'!H2566='סיווג התפקידים והעלויות'!$C$2,'עלויות כח אדם (6)'!H2566='סיווג התפקידים והעלויות'!$D$2),IF('עלויות כח אדם (6)'!J2566&lt;75,"לא תקין","תקין"),"")</f>
        <v/>
      </c>
      <c r="AE2566" s="374" t="str">
        <f t="shared" si="599"/>
        <v/>
      </c>
      <c r="AF2566" s="532" t="str">
        <f t="shared" si="600"/>
        <v/>
      </c>
    </row>
    <row r="2567" spans="2:32" x14ac:dyDescent="0.25">
      <c r="B2567" s="695"/>
      <c r="C2567" s="197" t="str">
        <f>IF(B2567&lt;&gt;"",IFERROR(VLOOKUP(B:B,'מצבת והרשמה (2)'!$C$20:$N$520,2,0)," ")," ")</f>
        <v xml:space="preserve"> </v>
      </c>
      <c r="D2567" s="695"/>
      <c r="E2567" s="696"/>
      <c r="F2567" s="696"/>
      <c r="G2567" s="696"/>
      <c r="H2567" s="696"/>
      <c r="I2567" s="1050" t="str">
        <f t="shared" si="587"/>
        <v/>
      </c>
      <c r="J2567" s="696"/>
      <c r="K2567" s="697"/>
      <c r="L2567" s="696"/>
      <c r="M2567" s="198" t="str">
        <f t="shared" si="588"/>
        <v/>
      </c>
      <c r="N2567" s="369" t="str">
        <f t="shared" si="589"/>
        <v/>
      </c>
      <c r="O2567" s="183" t="str">
        <f t="shared" si="590"/>
        <v/>
      </c>
      <c r="P2567" s="199" t="str">
        <f t="shared" si="591"/>
        <v/>
      </c>
      <c r="Q2567" s="199" t="str">
        <f>IF(B2567="","",IFERROR(IF('עלויות כח אדם (6)'!J2567&gt;=VLOOKUP(I2567,'סיווג התפקידים והעלויות'!$B$23:$C$32,2,0),"תקין","לא תקין"),""))</f>
        <v/>
      </c>
      <c r="R2567" s="199" t="str">
        <f t="shared" si="592"/>
        <v/>
      </c>
      <c r="S2567" s="199" t="str">
        <f t="shared" si="593"/>
        <v/>
      </c>
      <c r="T2567" s="199" t="str">
        <f t="shared" si="601"/>
        <v/>
      </c>
      <c r="U2567" s="199" t="str">
        <f t="shared" si="594"/>
        <v/>
      </c>
      <c r="V2567" s="989"/>
      <c r="X2567" s="374" t="str">
        <f t="shared" si="595"/>
        <v/>
      </c>
      <c r="Y2567" s="375" t="str">
        <f t="shared" si="596"/>
        <v/>
      </c>
      <c r="Z2567" s="374" t="str">
        <f t="shared" si="597"/>
        <v/>
      </c>
      <c r="AA2567" s="374" t="b">
        <f t="shared" si="598"/>
        <v>1</v>
      </c>
      <c r="AB2567" s="374">
        <f>COUNTIFS(B:B,B2567,H:H,'סיווג התפקידים והעלויות'!$C$2)</f>
        <v>0</v>
      </c>
      <c r="AC2567" s="374">
        <f>COUNTIFS(B:B,B2567,H:H,'סיווג התפקידים והעלויות'!$D$2)</f>
        <v>0</v>
      </c>
      <c r="AD2567" s="374" t="str">
        <f>IF(OR(AND(H2567='סיווג התפקידים והעלויות'!$A$2,I2567='סיווג התפקידים והעלויות'!$A$3),'עלויות כח אדם (6)'!H2567='סיווג התפקידים והעלויות'!$C$2,'עלויות כח אדם (6)'!H2567='סיווג התפקידים והעלויות'!$D$2),IF('עלויות כח אדם (6)'!J2567&lt;75,"לא תקין","תקין"),"")</f>
        <v/>
      </c>
      <c r="AE2567" s="374" t="str">
        <f t="shared" si="599"/>
        <v/>
      </c>
      <c r="AF2567" s="532" t="str">
        <f t="shared" si="600"/>
        <v/>
      </c>
    </row>
    <row r="2568" spans="2:32" x14ac:dyDescent="0.25">
      <c r="B2568" s="695"/>
      <c r="C2568" s="197" t="str">
        <f>IF(B2568&lt;&gt;"",IFERROR(VLOOKUP(B:B,'מצבת והרשמה (2)'!$C$20:$N$520,2,0)," ")," ")</f>
        <v xml:space="preserve"> </v>
      </c>
      <c r="D2568" s="695"/>
      <c r="E2568" s="696"/>
      <c r="F2568" s="696"/>
      <c r="G2568" s="696"/>
      <c r="H2568" s="696"/>
      <c r="I2568" s="1050" t="str">
        <f t="shared" si="587"/>
        <v/>
      </c>
      <c r="J2568" s="696"/>
      <c r="K2568" s="697"/>
      <c r="L2568" s="696"/>
      <c r="M2568" s="198" t="str">
        <f t="shared" si="588"/>
        <v/>
      </c>
      <c r="N2568" s="369" t="str">
        <f t="shared" si="589"/>
        <v/>
      </c>
      <c r="O2568" s="183" t="str">
        <f t="shared" si="590"/>
        <v/>
      </c>
      <c r="P2568" s="199" t="str">
        <f t="shared" si="591"/>
        <v/>
      </c>
      <c r="Q2568" s="199" t="str">
        <f>IF(B2568="","",IFERROR(IF('עלויות כח אדם (6)'!J2568&gt;=VLOOKUP(I2568,'סיווג התפקידים והעלויות'!$B$23:$C$32,2,0),"תקין","לא תקין"),""))</f>
        <v/>
      </c>
      <c r="R2568" s="199" t="str">
        <f t="shared" si="592"/>
        <v/>
      </c>
      <c r="S2568" s="199" t="str">
        <f t="shared" si="593"/>
        <v/>
      </c>
      <c r="T2568" s="199" t="str">
        <f t="shared" si="601"/>
        <v/>
      </c>
      <c r="U2568" s="199" t="str">
        <f t="shared" si="594"/>
        <v/>
      </c>
      <c r="V2568" s="989"/>
      <c r="X2568" s="374" t="str">
        <f t="shared" si="595"/>
        <v/>
      </c>
      <c r="Y2568" s="375" t="str">
        <f t="shared" si="596"/>
        <v/>
      </c>
      <c r="Z2568" s="374" t="str">
        <f t="shared" si="597"/>
        <v/>
      </c>
      <c r="AA2568" s="374" t="b">
        <f t="shared" si="598"/>
        <v>1</v>
      </c>
      <c r="AB2568" s="374">
        <f>COUNTIFS(B:B,B2568,H:H,'סיווג התפקידים והעלויות'!$C$2)</f>
        <v>0</v>
      </c>
      <c r="AC2568" s="374">
        <f>COUNTIFS(B:B,B2568,H:H,'סיווג התפקידים והעלויות'!$D$2)</f>
        <v>0</v>
      </c>
      <c r="AD2568" s="374" t="str">
        <f>IF(OR(AND(H2568='סיווג התפקידים והעלויות'!$A$2,I2568='סיווג התפקידים והעלויות'!$A$3),'עלויות כח אדם (6)'!H2568='סיווג התפקידים והעלויות'!$C$2,'עלויות כח אדם (6)'!H2568='סיווג התפקידים והעלויות'!$D$2),IF('עלויות כח אדם (6)'!J2568&lt;75,"לא תקין","תקין"),"")</f>
        <v/>
      </c>
      <c r="AE2568" s="374" t="str">
        <f t="shared" si="599"/>
        <v/>
      </c>
      <c r="AF2568" s="532" t="str">
        <f t="shared" si="600"/>
        <v/>
      </c>
    </row>
    <row r="2569" spans="2:32" x14ac:dyDescent="0.25">
      <c r="B2569" s="695"/>
      <c r="C2569" s="197" t="str">
        <f>IF(B2569&lt;&gt;"",IFERROR(VLOOKUP(B:B,'מצבת והרשמה (2)'!$C$20:$N$520,2,0)," ")," ")</f>
        <v xml:space="preserve"> </v>
      </c>
      <c r="D2569" s="695"/>
      <c r="E2569" s="696"/>
      <c r="F2569" s="696"/>
      <c r="G2569" s="696"/>
      <c r="H2569" s="696"/>
      <c r="I2569" s="1050" t="str">
        <f t="shared" si="587"/>
        <v/>
      </c>
      <c r="J2569" s="696"/>
      <c r="K2569" s="697"/>
      <c r="L2569" s="696"/>
      <c r="M2569" s="198" t="str">
        <f t="shared" si="588"/>
        <v/>
      </c>
      <c r="N2569" s="369" t="str">
        <f t="shared" si="589"/>
        <v/>
      </c>
      <c r="O2569" s="183" t="str">
        <f t="shared" si="590"/>
        <v/>
      </c>
      <c r="P2569" s="199" t="str">
        <f t="shared" si="591"/>
        <v/>
      </c>
      <c r="Q2569" s="199" t="str">
        <f>IF(B2569="","",IFERROR(IF('עלויות כח אדם (6)'!J2569&gt;=VLOOKUP(I2569,'סיווג התפקידים והעלויות'!$B$23:$C$32,2,0),"תקין","לא תקין"),""))</f>
        <v/>
      </c>
      <c r="R2569" s="199" t="str">
        <f t="shared" si="592"/>
        <v/>
      </c>
      <c r="S2569" s="199" t="str">
        <f t="shared" si="593"/>
        <v/>
      </c>
      <c r="T2569" s="199" t="str">
        <f t="shared" si="601"/>
        <v/>
      </c>
      <c r="U2569" s="199" t="str">
        <f t="shared" si="594"/>
        <v/>
      </c>
      <c r="V2569" s="989"/>
      <c r="X2569" s="374" t="str">
        <f t="shared" si="595"/>
        <v/>
      </c>
      <c r="Y2569" s="375" t="str">
        <f t="shared" si="596"/>
        <v/>
      </c>
      <c r="Z2569" s="374" t="str">
        <f t="shared" si="597"/>
        <v/>
      </c>
      <c r="AA2569" s="374" t="b">
        <f t="shared" si="598"/>
        <v>1</v>
      </c>
      <c r="AB2569" s="374">
        <f>COUNTIFS(B:B,B2569,H:H,'סיווג התפקידים והעלויות'!$C$2)</f>
        <v>0</v>
      </c>
      <c r="AC2569" s="374">
        <f>COUNTIFS(B:B,B2569,H:H,'סיווג התפקידים והעלויות'!$D$2)</f>
        <v>0</v>
      </c>
      <c r="AD2569" s="374" t="str">
        <f>IF(OR(AND(H2569='סיווג התפקידים והעלויות'!$A$2,I2569='סיווג התפקידים והעלויות'!$A$3),'עלויות כח אדם (6)'!H2569='סיווג התפקידים והעלויות'!$C$2,'עלויות כח אדם (6)'!H2569='סיווג התפקידים והעלויות'!$D$2),IF('עלויות כח אדם (6)'!J2569&lt;75,"לא תקין","תקין"),"")</f>
        <v/>
      </c>
      <c r="AE2569" s="374" t="str">
        <f t="shared" si="599"/>
        <v/>
      </c>
      <c r="AF2569" s="532" t="str">
        <f t="shared" si="600"/>
        <v/>
      </c>
    </row>
    <row r="2570" spans="2:32" x14ac:dyDescent="0.25">
      <c r="B2570" s="695"/>
      <c r="C2570" s="197" t="str">
        <f>IF(B2570&lt;&gt;"",IFERROR(VLOOKUP(B:B,'מצבת והרשמה (2)'!$C$20:$N$520,2,0)," ")," ")</f>
        <v xml:space="preserve"> </v>
      </c>
      <c r="D2570" s="695"/>
      <c r="E2570" s="696"/>
      <c r="F2570" s="696"/>
      <c r="G2570" s="696"/>
      <c r="H2570" s="696"/>
      <c r="I2570" s="1050" t="str">
        <f t="shared" si="587"/>
        <v/>
      </c>
      <c r="J2570" s="696"/>
      <c r="K2570" s="697"/>
      <c r="L2570" s="696"/>
      <c r="M2570" s="198" t="str">
        <f t="shared" si="588"/>
        <v/>
      </c>
      <c r="N2570" s="369" t="str">
        <f t="shared" si="589"/>
        <v/>
      </c>
      <c r="O2570" s="183" t="str">
        <f t="shared" si="590"/>
        <v/>
      </c>
      <c r="P2570" s="199" t="str">
        <f t="shared" si="591"/>
        <v/>
      </c>
      <c r="Q2570" s="199" t="str">
        <f>IF(B2570="","",IFERROR(IF('עלויות כח אדם (6)'!J2570&gt;=VLOOKUP(I2570,'סיווג התפקידים והעלויות'!$B$23:$C$32,2,0),"תקין","לא תקין"),""))</f>
        <v/>
      </c>
      <c r="R2570" s="199" t="str">
        <f t="shared" si="592"/>
        <v/>
      </c>
      <c r="S2570" s="199" t="str">
        <f t="shared" si="593"/>
        <v/>
      </c>
      <c r="T2570" s="199" t="str">
        <f t="shared" si="601"/>
        <v/>
      </c>
      <c r="U2570" s="199" t="str">
        <f t="shared" si="594"/>
        <v/>
      </c>
      <c r="V2570" s="989"/>
      <c r="X2570" s="374" t="str">
        <f t="shared" si="595"/>
        <v/>
      </c>
      <c r="Y2570" s="375" t="str">
        <f t="shared" si="596"/>
        <v/>
      </c>
      <c r="Z2570" s="374" t="str">
        <f t="shared" si="597"/>
        <v/>
      </c>
      <c r="AA2570" s="374" t="b">
        <f t="shared" si="598"/>
        <v>1</v>
      </c>
      <c r="AB2570" s="374">
        <f>COUNTIFS(B:B,B2570,H:H,'סיווג התפקידים והעלויות'!$C$2)</f>
        <v>0</v>
      </c>
      <c r="AC2570" s="374">
        <f>COUNTIFS(B:B,B2570,H:H,'סיווג התפקידים והעלויות'!$D$2)</f>
        <v>0</v>
      </c>
      <c r="AD2570" s="374" t="str">
        <f>IF(OR(AND(H2570='סיווג התפקידים והעלויות'!$A$2,I2570='סיווג התפקידים והעלויות'!$A$3),'עלויות כח אדם (6)'!H2570='סיווג התפקידים והעלויות'!$C$2,'עלויות כח אדם (6)'!H2570='סיווג התפקידים והעלויות'!$D$2),IF('עלויות כח אדם (6)'!J2570&lt;75,"לא תקין","תקין"),"")</f>
        <v/>
      </c>
      <c r="AE2570" s="374" t="str">
        <f t="shared" si="599"/>
        <v/>
      </c>
      <c r="AF2570" s="532" t="str">
        <f t="shared" si="600"/>
        <v/>
      </c>
    </row>
    <row r="2571" spans="2:32" x14ac:dyDescent="0.25">
      <c r="B2571" s="695"/>
      <c r="C2571" s="197" t="str">
        <f>IF(B2571&lt;&gt;"",IFERROR(VLOOKUP(B:B,'מצבת והרשמה (2)'!$C$20:$N$520,2,0)," ")," ")</f>
        <v xml:space="preserve"> </v>
      </c>
      <c r="D2571" s="695"/>
      <c r="E2571" s="696"/>
      <c r="F2571" s="696"/>
      <c r="G2571" s="696"/>
      <c r="H2571" s="696"/>
      <c r="I2571" s="1050" t="str">
        <f t="shared" si="587"/>
        <v/>
      </c>
      <c r="J2571" s="696"/>
      <c r="K2571" s="697"/>
      <c r="L2571" s="696"/>
      <c r="M2571" s="198" t="str">
        <f t="shared" si="588"/>
        <v/>
      </c>
      <c r="N2571" s="369" t="str">
        <f t="shared" si="589"/>
        <v/>
      </c>
      <c r="O2571" s="183" t="str">
        <f t="shared" si="590"/>
        <v/>
      </c>
      <c r="P2571" s="199" t="str">
        <f t="shared" si="591"/>
        <v/>
      </c>
      <c r="Q2571" s="199" t="str">
        <f>IF(B2571="","",IFERROR(IF('עלויות כח אדם (6)'!J2571&gt;=VLOOKUP(I2571,'סיווג התפקידים והעלויות'!$B$23:$C$32,2,0),"תקין","לא תקין"),""))</f>
        <v/>
      </c>
      <c r="R2571" s="199" t="str">
        <f t="shared" si="592"/>
        <v/>
      </c>
      <c r="S2571" s="199" t="str">
        <f t="shared" si="593"/>
        <v/>
      </c>
      <c r="T2571" s="199" t="str">
        <f t="shared" si="601"/>
        <v/>
      </c>
      <c r="U2571" s="199" t="str">
        <f t="shared" si="594"/>
        <v/>
      </c>
      <c r="V2571" s="989"/>
      <c r="X2571" s="374" t="str">
        <f t="shared" si="595"/>
        <v/>
      </c>
      <c r="Y2571" s="375" t="str">
        <f t="shared" si="596"/>
        <v/>
      </c>
      <c r="Z2571" s="374" t="str">
        <f t="shared" si="597"/>
        <v/>
      </c>
      <c r="AA2571" s="374" t="b">
        <f t="shared" si="598"/>
        <v>1</v>
      </c>
      <c r="AB2571" s="374">
        <f>COUNTIFS(B:B,B2571,H:H,'סיווג התפקידים והעלויות'!$C$2)</f>
        <v>0</v>
      </c>
      <c r="AC2571" s="374">
        <f>COUNTIFS(B:B,B2571,H:H,'סיווג התפקידים והעלויות'!$D$2)</f>
        <v>0</v>
      </c>
      <c r="AD2571" s="374" t="str">
        <f>IF(OR(AND(H2571='סיווג התפקידים והעלויות'!$A$2,I2571='סיווג התפקידים והעלויות'!$A$3),'עלויות כח אדם (6)'!H2571='סיווג התפקידים והעלויות'!$C$2,'עלויות כח אדם (6)'!H2571='סיווג התפקידים והעלויות'!$D$2),IF('עלויות כח אדם (6)'!J2571&lt;75,"לא תקין","תקין"),"")</f>
        <v/>
      </c>
      <c r="AE2571" s="374" t="str">
        <f t="shared" si="599"/>
        <v/>
      </c>
      <c r="AF2571" s="532" t="str">
        <f t="shared" si="600"/>
        <v/>
      </c>
    </row>
    <row r="2572" spans="2:32" x14ac:dyDescent="0.25">
      <c r="B2572" s="695"/>
      <c r="C2572" s="197" t="str">
        <f>IF(B2572&lt;&gt;"",IFERROR(VLOOKUP(B:B,'מצבת והרשמה (2)'!$C$20:$N$520,2,0)," ")," ")</f>
        <v xml:space="preserve"> </v>
      </c>
      <c r="D2572" s="695"/>
      <c r="E2572" s="696"/>
      <c r="F2572" s="696"/>
      <c r="G2572" s="696"/>
      <c r="H2572" s="696"/>
      <c r="I2572" s="1050" t="str">
        <f t="shared" si="587"/>
        <v/>
      </c>
      <c r="J2572" s="696"/>
      <c r="K2572" s="697"/>
      <c r="L2572" s="696"/>
      <c r="M2572" s="198" t="str">
        <f t="shared" si="588"/>
        <v/>
      </c>
      <c r="N2572" s="369" t="str">
        <f t="shared" si="589"/>
        <v/>
      </c>
      <c r="O2572" s="183" t="str">
        <f t="shared" si="590"/>
        <v/>
      </c>
      <c r="P2572" s="199" t="str">
        <f t="shared" si="591"/>
        <v/>
      </c>
      <c r="Q2572" s="199" t="str">
        <f>IF(B2572="","",IFERROR(IF('עלויות כח אדם (6)'!J2572&gt;=VLOOKUP(I2572,'סיווג התפקידים והעלויות'!$B$23:$C$32,2,0),"תקין","לא תקין"),""))</f>
        <v/>
      </c>
      <c r="R2572" s="199" t="str">
        <f t="shared" si="592"/>
        <v/>
      </c>
      <c r="S2572" s="199" t="str">
        <f t="shared" si="593"/>
        <v/>
      </c>
      <c r="T2572" s="199" t="str">
        <f t="shared" si="601"/>
        <v/>
      </c>
      <c r="U2572" s="199" t="str">
        <f t="shared" si="594"/>
        <v/>
      </c>
      <c r="V2572" s="989"/>
      <c r="X2572" s="374" t="str">
        <f t="shared" si="595"/>
        <v/>
      </c>
      <c r="Y2572" s="375" t="str">
        <f t="shared" si="596"/>
        <v/>
      </c>
      <c r="Z2572" s="374" t="str">
        <f t="shared" si="597"/>
        <v/>
      </c>
      <c r="AA2572" s="374" t="b">
        <f t="shared" si="598"/>
        <v>1</v>
      </c>
      <c r="AB2572" s="374">
        <f>COUNTIFS(B:B,B2572,H:H,'סיווג התפקידים והעלויות'!$C$2)</f>
        <v>0</v>
      </c>
      <c r="AC2572" s="374">
        <f>COUNTIFS(B:B,B2572,H:H,'סיווג התפקידים והעלויות'!$D$2)</f>
        <v>0</v>
      </c>
      <c r="AD2572" s="374" t="str">
        <f>IF(OR(AND(H2572='סיווג התפקידים והעלויות'!$A$2,I2572='סיווג התפקידים והעלויות'!$A$3),'עלויות כח אדם (6)'!H2572='סיווג התפקידים והעלויות'!$C$2,'עלויות כח אדם (6)'!H2572='סיווג התפקידים והעלויות'!$D$2),IF('עלויות כח אדם (6)'!J2572&lt;75,"לא תקין","תקין"),"")</f>
        <v/>
      </c>
      <c r="AE2572" s="374" t="str">
        <f t="shared" si="599"/>
        <v/>
      </c>
      <c r="AF2572" s="532" t="str">
        <f t="shared" si="600"/>
        <v/>
      </c>
    </row>
    <row r="2573" spans="2:32" x14ac:dyDescent="0.25">
      <c r="B2573" s="695"/>
      <c r="C2573" s="197" t="str">
        <f>IF(B2573&lt;&gt;"",IFERROR(VLOOKUP(B:B,'מצבת והרשמה (2)'!$C$20:$N$520,2,0)," ")," ")</f>
        <v xml:space="preserve"> </v>
      </c>
      <c r="D2573" s="695"/>
      <c r="E2573" s="696"/>
      <c r="F2573" s="696"/>
      <c r="G2573" s="696"/>
      <c r="H2573" s="696"/>
      <c r="I2573" s="1050" t="str">
        <f t="shared" si="587"/>
        <v/>
      </c>
      <c r="J2573" s="696"/>
      <c r="K2573" s="697"/>
      <c r="L2573" s="696"/>
      <c r="M2573" s="198" t="str">
        <f t="shared" si="588"/>
        <v/>
      </c>
      <c r="N2573" s="369" t="str">
        <f t="shared" si="589"/>
        <v/>
      </c>
      <c r="O2573" s="183" t="str">
        <f t="shared" si="590"/>
        <v/>
      </c>
      <c r="P2573" s="199" t="str">
        <f t="shared" si="591"/>
        <v/>
      </c>
      <c r="Q2573" s="199" t="str">
        <f>IF(B2573="","",IFERROR(IF('עלויות כח אדם (6)'!J2573&gt;=VLOOKUP(I2573,'סיווג התפקידים והעלויות'!$B$23:$C$32,2,0),"תקין","לא תקין"),""))</f>
        <v/>
      </c>
      <c r="R2573" s="199" t="str">
        <f t="shared" si="592"/>
        <v/>
      </c>
      <c r="S2573" s="199" t="str">
        <f t="shared" si="593"/>
        <v/>
      </c>
      <c r="T2573" s="199" t="str">
        <f t="shared" si="601"/>
        <v/>
      </c>
      <c r="U2573" s="199" t="str">
        <f t="shared" si="594"/>
        <v/>
      </c>
      <c r="V2573" s="989"/>
      <c r="X2573" s="374" t="str">
        <f t="shared" si="595"/>
        <v/>
      </c>
      <c r="Y2573" s="375" t="str">
        <f t="shared" si="596"/>
        <v/>
      </c>
      <c r="Z2573" s="374" t="str">
        <f t="shared" si="597"/>
        <v/>
      </c>
      <c r="AA2573" s="374" t="b">
        <f t="shared" si="598"/>
        <v>1</v>
      </c>
      <c r="AB2573" s="374">
        <f>COUNTIFS(B:B,B2573,H:H,'סיווג התפקידים והעלויות'!$C$2)</f>
        <v>0</v>
      </c>
      <c r="AC2573" s="374">
        <f>COUNTIFS(B:B,B2573,H:H,'סיווג התפקידים והעלויות'!$D$2)</f>
        <v>0</v>
      </c>
      <c r="AD2573" s="374" t="str">
        <f>IF(OR(AND(H2573='סיווג התפקידים והעלויות'!$A$2,I2573='סיווג התפקידים והעלויות'!$A$3),'עלויות כח אדם (6)'!H2573='סיווג התפקידים והעלויות'!$C$2,'עלויות כח אדם (6)'!H2573='סיווג התפקידים והעלויות'!$D$2),IF('עלויות כח אדם (6)'!J2573&lt;75,"לא תקין","תקין"),"")</f>
        <v/>
      </c>
      <c r="AE2573" s="374" t="str">
        <f t="shared" si="599"/>
        <v/>
      </c>
      <c r="AF2573" s="532" t="str">
        <f t="shared" si="600"/>
        <v/>
      </c>
    </row>
    <row r="2574" spans="2:32" x14ac:dyDescent="0.25">
      <c r="B2574" s="695"/>
      <c r="C2574" s="197" t="str">
        <f>IF(B2574&lt;&gt;"",IFERROR(VLOOKUP(B:B,'מצבת והרשמה (2)'!$C$20:$N$520,2,0)," ")," ")</f>
        <v xml:space="preserve"> </v>
      </c>
      <c r="D2574" s="695"/>
      <c r="E2574" s="696"/>
      <c r="F2574" s="696"/>
      <c r="G2574" s="696"/>
      <c r="H2574" s="696"/>
      <c r="I2574" s="1050" t="str">
        <f t="shared" si="587"/>
        <v/>
      </c>
      <c r="J2574" s="696"/>
      <c r="K2574" s="697"/>
      <c r="L2574" s="696"/>
      <c r="M2574" s="198" t="str">
        <f t="shared" si="588"/>
        <v/>
      </c>
      <c r="N2574" s="369" t="str">
        <f t="shared" si="589"/>
        <v/>
      </c>
      <c r="O2574" s="183" t="str">
        <f t="shared" si="590"/>
        <v/>
      </c>
      <c r="P2574" s="199" t="str">
        <f t="shared" si="591"/>
        <v/>
      </c>
      <c r="Q2574" s="199" t="str">
        <f>IF(B2574="","",IFERROR(IF('עלויות כח אדם (6)'!J2574&gt;=VLOOKUP(I2574,'סיווג התפקידים והעלויות'!$B$23:$C$32,2,0),"תקין","לא תקין"),""))</f>
        <v/>
      </c>
      <c r="R2574" s="199" t="str">
        <f t="shared" si="592"/>
        <v/>
      </c>
      <c r="S2574" s="199" t="str">
        <f t="shared" si="593"/>
        <v/>
      </c>
      <c r="T2574" s="199" t="str">
        <f t="shared" si="601"/>
        <v/>
      </c>
      <c r="U2574" s="199" t="str">
        <f t="shared" si="594"/>
        <v/>
      </c>
      <c r="V2574" s="989"/>
      <c r="X2574" s="374" t="str">
        <f t="shared" si="595"/>
        <v/>
      </c>
      <c r="Y2574" s="375" t="str">
        <f t="shared" si="596"/>
        <v/>
      </c>
      <c r="Z2574" s="374" t="str">
        <f t="shared" si="597"/>
        <v/>
      </c>
      <c r="AA2574" s="374" t="b">
        <f t="shared" si="598"/>
        <v>1</v>
      </c>
      <c r="AB2574" s="374">
        <f>COUNTIFS(B:B,B2574,H:H,'סיווג התפקידים והעלויות'!$C$2)</f>
        <v>0</v>
      </c>
      <c r="AC2574" s="374">
        <f>COUNTIFS(B:B,B2574,H:H,'סיווג התפקידים והעלויות'!$D$2)</f>
        <v>0</v>
      </c>
      <c r="AD2574" s="374" t="str">
        <f>IF(OR(AND(H2574='סיווג התפקידים והעלויות'!$A$2,I2574='סיווג התפקידים והעלויות'!$A$3),'עלויות כח אדם (6)'!H2574='סיווג התפקידים והעלויות'!$C$2,'עלויות כח אדם (6)'!H2574='סיווג התפקידים והעלויות'!$D$2),IF('עלויות כח אדם (6)'!J2574&lt;75,"לא תקין","תקין"),"")</f>
        <v/>
      </c>
      <c r="AE2574" s="374" t="str">
        <f t="shared" si="599"/>
        <v/>
      </c>
      <c r="AF2574" s="532" t="str">
        <f t="shared" si="600"/>
        <v/>
      </c>
    </row>
    <row r="2575" spans="2:32" x14ac:dyDescent="0.25">
      <c r="B2575" s="695"/>
      <c r="C2575" s="197" t="str">
        <f>IF(B2575&lt;&gt;"",IFERROR(VLOOKUP(B:B,'מצבת והרשמה (2)'!$C$20:$N$520,2,0)," ")," ")</f>
        <v xml:space="preserve"> </v>
      </c>
      <c r="D2575" s="695"/>
      <c r="E2575" s="696"/>
      <c r="F2575" s="696"/>
      <c r="G2575" s="696"/>
      <c r="H2575" s="696"/>
      <c r="I2575" s="1050" t="str">
        <f t="shared" ref="I2575:I2638" si="602">SUBSTITUTE(IFERROR(IF(H2575="מדצ","מדצ/ית",IF(H2575="סגנית רכזת מעל 150","סגנ/ית רכז/ת&gt;150",IF(H2575="רכזת תכנית בבית הספר","רכז/ת תכנית בבית הספר"))),""),"FALSE","")</f>
        <v/>
      </c>
      <c r="J2575" s="696"/>
      <c r="K2575" s="697"/>
      <c r="L2575" s="696"/>
      <c r="M2575" s="198" t="str">
        <f t="shared" ref="M2575:M2638" si="603">IF(AND(L2575&gt;0,K2575&gt;0),K2575*L2575,"")</f>
        <v/>
      </c>
      <c r="N2575" s="369" t="str">
        <f t="shared" ref="N2575:N2638" si="604">TEXT(LEFT(H2575,2),0)</f>
        <v/>
      </c>
      <c r="O2575" s="183" t="str">
        <f t="shared" ref="O2575:O2638" si="605">IF(ISNUMBER(M2575&gt;0),IF(ISBLANK(B2575),"יש להזין סמל מוסד בעמודה B",""),"")</f>
        <v/>
      </c>
      <c r="P2575" s="199" t="str">
        <f t="shared" ref="P2575:P2638" si="606">IF(B2575="","",IF(AA2575=FALSE,"לא תקין","תקין"))</f>
        <v/>
      </c>
      <c r="Q2575" s="199" t="str">
        <f>IF(B2575="","",IFERROR(IF('עלויות כח אדם (6)'!J2575&gt;=VLOOKUP(I2575,'סיווג התפקידים והעלויות'!$B$23:$C$32,2,0),"תקין","לא תקין"),""))</f>
        <v/>
      </c>
      <c r="R2575" s="199" t="str">
        <f t="shared" ref="R2575:R2638" si="607">IF(B2575="","",IF(OR(Y2575&lt;100%,Y2575&gt;140%),"לא תקין","תקין"))</f>
        <v/>
      </c>
      <c r="S2575" s="199" t="str">
        <f t="shared" ref="S2575:S2638" si="608">IF(B2575="","",IFERROR(IF(J2575&gt;120,"לא תקין","תקין"),""))</f>
        <v/>
      </c>
      <c r="T2575" s="199" t="str">
        <f t="shared" si="601"/>
        <v/>
      </c>
      <c r="U2575" s="199" t="str">
        <f t="shared" ref="U2575:U2638" si="609">IF(B2575="","",IF(Z2575&gt;1,IF(SUMIF(D:D,D2575,L:L)&gt;90,"לא תקין","תקין"),"תקין"))</f>
        <v/>
      </c>
      <c r="V2575" s="989"/>
      <c r="X2575" s="374" t="str">
        <f t="shared" ref="X2575:X2638" si="610">IF(B2575="","",IF(OR(R2575="לא תקין",S2575="לא תקין",T2575="לא תקין",,U2575="לא תקין"),"לא תקין","תקין"))</f>
        <v/>
      </c>
      <c r="Y2575" s="375" t="str">
        <f t="shared" ref="Y2575:Y2638" si="611">IFERROR(IF(B2575="","",K2575/J2575),"")</f>
        <v/>
      </c>
      <c r="Z2575" s="374" t="str">
        <f t="shared" ref="Z2575:Z2638" si="612">IF(B2575="","",COUNTIF(D:D,D2575))</f>
        <v/>
      </c>
      <c r="AA2575" s="374" t="b">
        <f t="shared" ref="AA2575:AA2638" si="613">MOD(MID(REPT(0,9-LEN(D2575))&amp;D2575,1,1)+MID("0246813579",MID(REPT(0,9-LEN(D2575))&amp;D2575,2,1)+1,1)+MID(REPT(0,9-LEN(D2575))&amp;D2575,3,1)+MID("0246813579",MID(REPT(0,9-LEN(D2575))&amp;D2575,4,1)+1,1)+MID(REPT(0,9-LEN(D2575))&amp;D2575,5,1)+MID("0246813579",MID(REPT(0,9-LEN(D2575))&amp;D2575,6,1)+1,1)+MID(REPT(0,9-LEN(D2575))&amp;D2575,7,1)+MID("0246813579",MID(REPT(0,9-LEN(D2575))&amp;D2575,8,1)+1,1)+MID(REPT(0,9-LEN(D2575))&amp;D2575,9,1),10)=0</f>
        <v>1</v>
      </c>
      <c r="AB2575" s="374">
        <f>COUNTIFS(B:B,B2575,H:H,'סיווג התפקידים והעלויות'!$C$2)</f>
        <v>0</v>
      </c>
      <c r="AC2575" s="374">
        <f>COUNTIFS(B:B,B2575,H:H,'סיווג התפקידים והעלויות'!$D$2)</f>
        <v>0</v>
      </c>
      <c r="AD2575" s="374" t="str">
        <f>IF(OR(AND(H2575='סיווג התפקידים והעלויות'!$A$2,I2575='סיווג התפקידים והעלויות'!$A$3),'עלויות כח אדם (6)'!H2575='סיווג התפקידים והעלויות'!$C$2,'עלויות כח אדם (6)'!H2575='סיווג התפקידים והעלויות'!$D$2),IF('עלויות כח אדם (6)'!J2575&lt;75,"לא תקין","תקין"),"")</f>
        <v/>
      </c>
      <c r="AE2575" s="374" t="str">
        <f t="shared" ref="AE2575:AE2638" si="614">IF(B2575&lt;&gt;"",B2575&amp;H2575,"")</f>
        <v/>
      </c>
      <c r="AF2575" s="532" t="str">
        <f t="shared" ref="AF2575:AF2638" si="615">M2575</f>
        <v/>
      </c>
    </row>
    <row r="2576" spans="2:32" x14ac:dyDescent="0.25">
      <c r="B2576" s="695"/>
      <c r="C2576" s="197" t="str">
        <f>IF(B2576&lt;&gt;"",IFERROR(VLOOKUP(B:B,'מצבת והרשמה (2)'!$C$20:$N$520,2,0)," ")," ")</f>
        <v xml:space="preserve"> </v>
      </c>
      <c r="D2576" s="695"/>
      <c r="E2576" s="696"/>
      <c r="F2576" s="696"/>
      <c r="G2576" s="696"/>
      <c r="H2576" s="696"/>
      <c r="I2576" s="1050" t="str">
        <f t="shared" si="602"/>
        <v/>
      </c>
      <c r="J2576" s="696"/>
      <c r="K2576" s="697"/>
      <c r="L2576" s="696"/>
      <c r="M2576" s="198" t="str">
        <f t="shared" si="603"/>
        <v/>
      </c>
      <c r="N2576" s="369" t="str">
        <f t="shared" si="604"/>
        <v/>
      </c>
      <c r="O2576" s="183" t="str">
        <f t="shared" si="605"/>
        <v/>
      </c>
      <c r="P2576" s="199" t="str">
        <f t="shared" si="606"/>
        <v/>
      </c>
      <c r="Q2576" s="199" t="str">
        <f>IF(B2576="","",IFERROR(IF('עלויות כח אדם (6)'!J2576&gt;=VLOOKUP(I2576,'סיווג התפקידים והעלויות'!$B$23:$C$32,2,0),"תקין","לא תקין"),""))</f>
        <v/>
      </c>
      <c r="R2576" s="199" t="str">
        <f t="shared" si="607"/>
        <v/>
      </c>
      <c r="S2576" s="199" t="str">
        <f t="shared" si="608"/>
        <v/>
      </c>
      <c r="T2576" s="199" t="str">
        <f t="shared" ref="T2576:T2639" si="616">IF(B2576="","",IF(H2576="","יש להזין איש צוות",IF(OR(H2576="מורה",H2576="גננת",H2576="רכז גן",H2576="רכזת גן",H2576="סייעת",H2576="מדצית",H2576="מדצ",H2576="מדריך",H2576="מדריכה",H2576="תוספת כח אדם"),IF(L2576&lt;=90,"תקין","לא תקין"),IF(OR(H2576="רכז בית ספר",H2576="רכזת תכנית בבית הספר",H2576="רכזת בית ספר"),IF(L2576&lt;=137,"תקין","לא תקין"),IF(OR(H2576="סגנית רכזת מעל 150",H2576="סגן רכז"),IF(L2576&lt;=93,"תקין","לא תקין"),"לא תקין")))))</f>
        <v/>
      </c>
      <c r="U2576" s="199" t="str">
        <f t="shared" si="609"/>
        <v/>
      </c>
      <c r="V2576" s="989"/>
      <c r="X2576" s="374" t="str">
        <f t="shared" si="610"/>
        <v/>
      </c>
      <c r="Y2576" s="375" t="str">
        <f t="shared" si="611"/>
        <v/>
      </c>
      <c r="Z2576" s="374" t="str">
        <f t="shared" si="612"/>
        <v/>
      </c>
      <c r="AA2576" s="374" t="b">
        <f t="shared" si="613"/>
        <v>1</v>
      </c>
      <c r="AB2576" s="374">
        <f>COUNTIFS(B:B,B2576,H:H,'סיווג התפקידים והעלויות'!$C$2)</f>
        <v>0</v>
      </c>
      <c r="AC2576" s="374">
        <f>COUNTIFS(B:B,B2576,H:H,'סיווג התפקידים והעלויות'!$D$2)</f>
        <v>0</v>
      </c>
      <c r="AD2576" s="374" t="str">
        <f>IF(OR(AND(H2576='סיווג התפקידים והעלויות'!$A$2,I2576='סיווג התפקידים והעלויות'!$A$3),'עלויות כח אדם (6)'!H2576='סיווג התפקידים והעלויות'!$C$2,'עלויות כח אדם (6)'!H2576='סיווג התפקידים והעלויות'!$D$2),IF('עלויות כח אדם (6)'!J2576&lt;75,"לא תקין","תקין"),"")</f>
        <v/>
      </c>
      <c r="AE2576" s="374" t="str">
        <f t="shared" si="614"/>
        <v/>
      </c>
      <c r="AF2576" s="532" t="str">
        <f t="shared" si="615"/>
        <v/>
      </c>
    </row>
    <row r="2577" spans="2:32" x14ac:dyDescent="0.25">
      <c r="B2577" s="695"/>
      <c r="C2577" s="197" t="str">
        <f>IF(B2577&lt;&gt;"",IFERROR(VLOOKUP(B:B,'מצבת והרשמה (2)'!$C$20:$N$520,2,0)," ")," ")</f>
        <v xml:space="preserve"> </v>
      </c>
      <c r="D2577" s="695"/>
      <c r="E2577" s="696"/>
      <c r="F2577" s="696"/>
      <c r="G2577" s="696"/>
      <c r="H2577" s="696"/>
      <c r="I2577" s="1050" t="str">
        <f t="shared" si="602"/>
        <v/>
      </c>
      <c r="J2577" s="696"/>
      <c r="K2577" s="697"/>
      <c r="L2577" s="696"/>
      <c r="M2577" s="198" t="str">
        <f t="shared" si="603"/>
        <v/>
      </c>
      <c r="N2577" s="369" t="str">
        <f t="shared" si="604"/>
        <v/>
      </c>
      <c r="O2577" s="183" t="str">
        <f t="shared" si="605"/>
        <v/>
      </c>
      <c r="P2577" s="199" t="str">
        <f t="shared" si="606"/>
        <v/>
      </c>
      <c r="Q2577" s="199" t="str">
        <f>IF(B2577="","",IFERROR(IF('עלויות כח אדם (6)'!J2577&gt;=VLOOKUP(I2577,'סיווג התפקידים והעלויות'!$B$23:$C$32,2,0),"תקין","לא תקין"),""))</f>
        <v/>
      </c>
      <c r="R2577" s="199" t="str">
        <f t="shared" si="607"/>
        <v/>
      </c>
      <c r="S2577" s="199" t="str">
        <f t="shared" si="608"/>
        <v/>
      </c>
      <c r="T2577" s="199" t="str">
        <f t="shared" si="616"/>
        <v/>
      </c>
      <c r="U2577" s="199" t="str">
        <f t="shared" si="609"/>
        <v/>
      </c>
      <c r="V2577" s="989"/>
      <c r="X2577" s="374" t="str">
        <f t="shared" si="610"/>
        <v/>
      </c>
      <c r="Y2577" s="375" t="str">
        <f t="shared" si="611"/>
        <v/>
      </c>
      <c r="Z2577" s="374" t="str">
        <f t="shared" si="612"/>
        <v/>
      </c>
      <c r="AA2577" s="374" t="b">
        <f t="shared" si="613"/>
        <v>1</v>
      </c>
      <c r="AB2577" s="374">
        <f>COUNTIFS(B:B,B2577,H:H,'סיווג התפקידים והעלויות'!$C$2)</f>
        <v>0</v>
      </c>
      <c r="AC2577" s="374">
        <f>COUNTIFS(B:B,B2577,H:H,'סיווג התפקידים והעלויות'!$D$2)</f>
        <v>0</v>
      </c>
      <c r="AD2577" s="374" t="str">
        <f>IF(OR(AND(H2577='סיווג התפקידים והעלויות'!$A$2,I2577='סיווג התפקידים והעלויות'!$A$3),'עלויות כח אדם (6)'!H2577='סיווג התפקידים והעלויות'!$C$2,'עלויות כח אדם (6)'!H2577='סיווג התפקידים והעלויות'!$D$2),IF('עלויות כח אדם (6)'!J2577&lt;75,"לא תקין","תקין"),"")</f>
        <v/>
      </c>
      <c r="AE2577" s="374" t="str">
        <f t="shared" si="614"/>
        <v/>
      </c>
      <c r="AF2577" s="532" t="str">
        <f t="shared" si="615"/>
        <v/>
      </c>
    </row>
    <row r="2578" spans="2:32" x14ac:dyDescent="0.25">
      <c r="B2578" s="695"/>
      <c r="C2578" s="197" t="str">
        <f>IF(B2578&lt;&gt;"",IFERROR(VLOOKUP(B:B,'מצבת והרשמה (2)'!$C$20:$N$520,2,0)," ")," ")</f>
        <v xml:space="preserve"> </v>
      </c>
      <c r="D2578" s="695"/>
      <c r="E2578" s="696"/>
      <c r="F2578" s="696"/>
      <c r="G2578" s="696"/>
      <c r="H2578" s="696"/>
      <c r="I2578" s="1050" t="str">
        <f t="shared" si="602"/>
        <v/>
      </c>
      <c r="J2578" s="696"/>
      <c r="K2578" s="697"/>
      <c r="L2578" s="696"/>
      <c r="M2578" s="198" t="str">
        <f t="shared" si="603"/>
        <v/>
      </c>
      <c r="N2578" s="369" t="str">
        <f t="shared" si="604"/>
        <v/>
      </c>
      <c r="O2578" s="183" t="str">
        <f t="shared" si="605"/>
        <v/>
      </c>
      <c r="P2578" s="199" t="str">
        <f t="shared" si="606"/>
        <v/>
      </c>
      <c r="Q2578" s="199" t="str">
        <f>IF(B2578="","",IFERROR(IF('עלויות כח אדם (6)'!J2578&gt;=VLOOKUP(I2578,'סיווג התפקידים והעלויות'!$B$23:$C$32,2,0),"תקין","לא תקין"),""))</f>
        <v/>
      </c>
      <c r="R2578" s="199" t="str">
        <f t="shared" si="607"/>
        <v/>
      </c>
      <c r="S2578" s="199" t="str">
        <f t="shared" si="608"/>
        <v/>
      </c>
      <c r="T2578" s="199" t="str">
        <f t="shared" si="616"/>
        <v/>
      </c>
      <c r="U2578" s="199" t="str">
        <f t="shared" si="609"/>
        <v/>
      </c>
      <c r="V2578" s="989"/>
      <c r="X2578" s="374" t="str">
        <f t="shared" si="610"/>
        <v/>
      </c>
      <c r="Y2578" s="375" t="str">
        <f t="shared" si="611"/>
        <v/>
      </c>
      <c r="Z2578" s="374" t="str">
        <f t="shared" si="612"/>
        <v/>
      </c>
      <c r="AA2578" s="374" t="b">
        <f t="shared" si="613"/>
        <v>1</v>
      </c>
      <c r="AB2578" s="374">
        <f>COUNTIFS(B:B,B2578,H:H,'סיווג התפקידים והעלויות'!$C$2)</f>
        <v>0</v>
      </c>
      <c r="AC2578" s="374">
        <f>COUNTIFS(B:B,B2578,H:H,'סיווג התפקידים והעלויות'!$D$2)</f>
        <v>0</v>
      </c>
      <c r="AD2578" s="374" t="str">
        <f>IF(OR(AND(H2578='סיווג התפקידים והעלויות'!$A$2,I2578='סיווג התפקידים והעלויות'!$A$3),'עלויות כח אדם (6)'!H2578='סיווג התפקידים והעלויות'!$C$2,'עלויות כח אדם (6)'!H2578='סיווג התפקידים והעלויות'!$D$2),IF('עלויות כח אדם (6)'!J2578&lt;75,"לא תקין","תקין"),"")</f>
        <v/>
      </c>
      <c r="AE2578" s="374" t="str">
        <f t="shared" si="614"/>
        <v/>
      </c>
      <c r="AF2578" s="532" t="str">
        <f t="shared" si="615"/>
        <v/>
      </c>
    </row>
    <row r="2579" spans="2:32" x14ac:dyDescent="0.25">
      <c r="B2579" s="695"/>
      <c r="C2579" s="197" t="str">
        <f>IF(B2579&lt;&gt;"",IFERROR(VLOOKUP(B:B,'מצבת והרשמה (2)'!$C$20:$N$520,2,0)," ")," ")</f>
        <v xml:space="preserve"> </v>
      </c>
      <c r="D2579" s="695"/>
      <c r="E2579" s="696"/>
      <c r="F2579" s="696"/>
      <c r="G2579" s="696"/>
      <c r="H2579" s="696"/>
      <c r="I2579" s="1050" t="str">
        <f t="shared" si="602"/>
        <v/>
      </c>
      <c r="J2579" s="696"/>
      <c r="K2579" s="697"/>
      <c r="L2579" s="696"/>
      <c r="M2579" s="198" t="str">
        <f t="shared" si="603"/>
        <v/>
      </c>
      <c r="N2579" s="369" t="str">
        <f t="shared" si="604"/>
        <v/>
      </c>
      <c r="O2579" s="183" t="str">
        <f t="shared" si="605"/>
        <v/>
      </c>
      <c r="P2579" s="199" t="str">
        <f t="shared" si="606"/>
        <v/>
      </c>
      <c r="Q2579" s="199" t="str">
        <f>IF(B2579="","",IFERROR(IF('עלויות כח אדם (6)'!J2579&gt;=VLOOKUP(I2579,'סיווג התפקידים והעלויות'!$B$23:$C$32,2,0),"תקין","לא תקין"),""))</f>
        <v/>
      </c>
      <c r="R2579" s="199" t="str">
        <f t="shared" si="607"/>
        <v/>
      </c>
      <c r="S2579" s="199" t="str">
        <f t="shared" si="608"/>
        <v/>
      </c>
      <c r="T2579" s="199" t="str">
        <f t="shared" si="616"/>
        <v/>
      </c>
      <c r="U2579" s="199" t="str">
        <f t="shared" si="609"/>
        <v/>
      </c>
      <c r="V2579" s="989"/>
      <c r="X2579" s="374" t="str">
        <f t="shared" si="610"/>
        <v/>
      </c>
      <c r="Y2579" s="375" t="str">
        <f t="shared" si="611"/>
        <v/>
      </c>
      <c r="Z2579" s="374" t="str">
        <f t="shared" si="612"/>
        <v/>
      </c>
      <c r="AA2579" s="374" t="b">
        <f t="shared" si="613"/>
        <v>1</v>
      </c>
      <c r="AB2579" s="374">
        <f>COUNTIFS(B:B,B2579,H:H,'סיווג התפקידים והעלויות'!$C$2)</f>
        <v>0</v>
      </c>
      <c r="AC2579" s="374">
        <f>COUNTIFS(B:B,B2579,H:H,'סיווג התפקידים והעלויות'!$D$2)</f>
        <v>0</v>
      </c>
      <c r="AD2579" s="374" t="str">
        <f>IF(OR(AND(H2579='סיווג התפקידים והעלויות'!$A$2,I2579='סיווג התפקידים והעלויות'!$A$3),'עלויות כח אדם (6)'!H2579='סיווג התפקידים והעלויות'!$C$2,'עלויות כח אדם (6)'!H2579='סיווג התפקידים והעלויות'!$D$2),IF('עלויות כח אדם (6)'!J2579&lt;75,"לא תקין","תקין"),"")</f>
        <v/>
      </c>
      <c r="AE2579" s="374" t="str">
        <f t="shared" si="614"/>
        <v/>
      </c>
      <c r="AF2579" s="532" t="str">
        <f t="shared" si="615"/>
        <v/>
      </c>
    </row>
    <row r="2580" spans="2:32" x14ac:dyDescent="0.25">
      <c r="B2580" s="695"/>
      <c r="C2580" s="197" t="str">
        <f>IF(B2580&lt;&gt;"",IFERROR(VLOOKUP(B:B,'מצבת והרשמה (2)'!$C$20:$N$520,2,0)," ")," ")</f>
        <v xml:space="preserve"> </v>
      </c>
      <c r="D2580" s="695"/>
      <c r="E2580" s="696"/>
      <c r="F2580" s="696"/>
      <c r="G2580" s="696"/>
      <c r="H2580" s="696"/>
      <c r="I2580" s="1050" t="str">
        <f t="shared" si="602"/>
        <v/>
      </c>
      <c r="J2580" s="696"/>
      <c r="K2580" s="697"/>
      <c r="L2580" s="696"/>
      <c r="M2580" s="198" t="str">
        <f t="shared" si="603"/>
        <v/>
      </c>
      <c r="N2580" s="369" t="str">
        <f t="shared" si="604"/>
        <v/>
      </c>
      <c r="O2580" s="183" t="str">
        <f t="shared" si="605"/>
        <v/>
      </c>
      <c r="P2580" s="199" t="str">
        <f t="shared" si="606"/>
        <v/>
      </c>
      <c r="Q2580" s="199" t="str">
        <f>IF(B2580="","",IFERROR(IF('עלויות כח אדם (6)'!J2580&gt;=VLOOKUP(I2580,'סיווג התפקידים והעלויות'!$B$23:$C$32,2,0),"תקין","לא תקין"),""))</f>
        <v/>
      </c>
      <c r="R2580" s="199" t="str">
        <f t="shared" si="607"/>
        <v/>
      </c>
      <c r="S2580" s="199" t="str">
        <f t="shared" si="608"/>
        <v/>
      </c>
      <c r="T2580" s="199" t="str">
        <f t="shared" si="616"/>
        <v/>
      </c>
      <c r="U2580" s="199" t="str">
        <f t="shared" si="609"/>
        <v/>
      </c>
      <c r="V2580" s="989"/>
      <c r="X2580" s="374" t="str">
        <f t="shared" si="610"/>
        <v/>
      </c>
      <c r="Y2580" s="375" t="str">
        <f t="shared" si="611"/>
        <v/>
      </c>
      <c r="Z2580" s="374" t="str">
        <f t="shared" si="612"/>
        <v/>
      </c>
      <c r="AA2580" s="374" t="b">
        <f t="shared" si="613"/>
        <v>1</v>
      </c>
      <c r="AB2580" s="374">
        <f>COUNTIFS(B:B,B2580,H:H,'סיווג התפקידים והעלויות'!$C$2)</f>
        <v>0</v>
      </c>
      <c r="AC2580" s="374">
        <f>COUNTIFS(B:B,B2580,H:H,'סיווג התפקידים והעלויות'!$D$2)</f>
        <v>0</v>
      </c>
      <c r="AD2580" s="374" t="str">
        <f>IF(OR(AND(H2580='סיווג התפקידים והעלויות'!$A$2,I2580='סיווג התפקידים והעלויות'!$A$3),'עלויות כח אדם (6)'!H2580='סיווג התפקידים והעלויות'!$C$2,'עלויות כח אדם (6)'!H2580='סיווג התפקידים והעלויות'!$D$2),IF('עלויות כח אדם (6)'!J2580&lt;75,"לא תקין","תקין"),"")</f>
        <v/>
      </c>
      <c r="AE2580" s="374" t="str">
        <f t="shared" si="614"/>
        <v/>
      </c>
      <c r="AF2580" s="532" t="str">
        <f t="shared" si="615"/>
        <v/>
      </c>
    </row>
    <row r="2581" spans="2:32" x14ac:dyDescent="0.25">
      <c r="B2581" s="695"/>
      <c r="C2581" s="197" t="str">
        <f>IF(B2581&lt;&gt;"",IFERROR(VLOOKUP(B:B,'מצבת והרשמה (2)'!$C$20:$N$520,2,0)," ")," ")</f>
        <v xml:space="preserve"> </v>
      </c>
      <c r="D2581" s="695"/>
      <c r="E2581" s="696"/>
      <c r="F2581" s="696"/>
      <c r="G2581" s="696"/>
      <c r="H2581" s="696"/>
      <c r="I2581" s="1050" t="str">
        <f t="shared" si="602"/>
        <v/>
      </c>
      <c r="J2581" s="696"/>
      <c r="K2581" s="697"/>
      <c r="L2581" s="696"/>
      <c r="M2581" s="198" t="str">
        <f t="shared" si="603"/>
        <v/>
      </c>
      <c r="N2581" s="369" t="str">
        <f t="shared" si="604"/>
        <v/>
      </c>
      <c r="O2581" s="183" t="str">
        <f t="shared" si="605"/>
        <v/>
      </c>
      <c r="P2581" s="199" t="str">
        <f t="shared" si="606"/>
        <v/>
      </c>
      <c r="Q2581" s="199" t="str">
        <f>IF(B2581="","",IFERROR(IF('עלויות כח אדם (6)'!J2581&gt;=VLOOKUP(I2581,'סיווג התפקידים והעלויות'!$B$23:$C$32,2,0),"תקין","לא תקין"),""))</f>
        <v/>
      </c>
      <c r="R2581" s="199" t="str">
        <f t="shared" si="607"/>
        <v/>
      </c>
      <c r="S2581" s="199" t="str">
        <f t="shared" si="608"/>
        <v/>
      </c>
      <c r="T2581" s="199" t="str">
        <f t="shared" si="616"/>
        <v/>
      </c>
      <c r="U2581" s="199" t="str">
        <f t="shared" si="609"/>
        <v/>
      </c>
      <c r="V2581" s="989"/>
      <c r="X2581" s="374" t="str">
        <f t="shared" si="610"/>
        <v/>
      </c>
      <c r="Y2581" s="375" t="str">
        <f t="shared" si="611"/>
        <v/>
      </c>
      <c r="Z2581" s="374" t="str">
        <f t="shared" si="612"/>
        <v/>
      </c>
      <c r="AA2581" s="374" t="b">
        <f t="shared" si="613"/>
        <v>1</v>
      </c>
      <c r="AB2581" s="374">
        <f>COUNTIFS(B:B,B2581,H:H,'סיווג התפקידים והעלויות'!$C$2)</f>
        <v>0</v>
      </c>
      <c r="AC2581" s="374">
        <f>COUNTIFS(B:B,B2581,H:H,'סיווג התפקידים והעלויות'!$D$2)</f>
        <v>0</v>
      </c>
      <c r="AD2581" s="374" t="str">
        <f>IF(OR(AND(H2581='סיווג התפקידים והעלויות'!$A$2,I2581='סיווג התפקידים והעלויות'!$A$3),'עלויות כח אדם (6)'!H2581='סיווג התפקידים והעלויות'!$C$2,'עלויות כח אדם (6)'!H2581='סיווג התפקידים והעלויות'!$D$2),IF('עלויות כח אדם (6)'!J2581&lt;75,"לא תקין","תקין"),"")</f>
        <v/>
      </c>
      <c r="AE2581" s="374" t="str">
        <f t="shared" si="614"/>
        <v/>
      </c>
      <c r="AF2581" s="532" t="str">
        <f t="shared" si="615"/>
        <v/>
      </c>
    </row>
    <row r="2582" spans="2:32" x14ac:dyDescent="0.25">
      <c r="B2582" s="695"/>
      <c r="C2582" s="197" t="str">
        <f>IF(B2582&lt;&gt;"",IFERROR(VLOOKUP(B:B,'מצבת והרשמה (2)'!$C$20:$N$520,2,0)," ")," ")</f>
        <v xml:space="preserve"> </v>
      </c>
      <c r="D2582" s="695"/>
      <c r="E2582" s="696"/>
      <c r="F2582" s="696"/>
      <c r="G2582" s="696"/>
      <c r="H2582" s="696"/>
      <c r="I2582" s="1050" t="str">
        <f t="shared" si="602"/>
        <v/>
      </c>
      <c r="J2582" s="696"/>
      <c r="K2582" s="697"/>
      <c r="L2582" s="696"/>
      <c r="M2582" s="198" t="str">
        <f t="shared" si="603"/>
        <v/>
      </c>
      <c r="N2582" s="369" t="str">
        <f t="shared" si="604"/>
        <v/>
      </c>
      <c r="O2582" s="183" t="str">
        <f t="shared" si="605"/>
        <v/>
      </c>
      <c r="P2582" s="199" t="str">
        <f t="shared" si="606"/>
        <v/>
      </c>
      <c r="Q2582" s="199" t="str">
        <f>IF(B2582="","",IFERROR(IF('עלויות כח אדם (6)'!J2582&gt;=VLOOKUP(I2582,'סיווג התפקידים והעלויות'!$B$23:$C$32,2,0),"תקין","לא תקין"),""))</f>
        <v/>
      </c>
      <c r="R2582" s="199" t="str">
        <f t="shared" si="607"/>
        <v/>
      </c>
      <c r="S2582" s="199" t="str">
        <f t="shared" si="608"/>
        <v/>
      </c>
      <c r="T2582" s="199" t="str">
        <f t="shared" si="616"/>
        <v/>
      </c>
      <c r="U2582" s="199" t="str">
        <f t="shared" si="609"/>
        <v/>
      </c>
      <c r="V2582" s="989"/>
      <c r="X2582" s="374" t="str">
        <f t="shared" si="610"/>
        <v/>
      </c>
      <c r="Y2582" s="375" t="str">
        <f t="shared" si="611"/>
        <v/>
      </c>
      <c r="Z2582" s="374" t="str">
        <f t="shared" si="612"/>
        <v/>
      </c>
      <c r="AA2582" s="374" t="b">
        <f t="shared" si="613"/>
        <v>1</v>
      </c>
      <c r="AB2582" s="374">
        <f>COUNTIFS(B:B,B2582,H:H,'סיווג התפקידים והעלויות'!$C$2)</f>
        <v>0</v>
      </c>
      <c r="AC2582" s="374">
        <f>COUNTIFS(B:B,B2582,H:H,'סיווג התפקידים והעלויות'!$D$2)</f>
        <v>0</v>
      </c>
      <c r="AD2582" s="374" t="str">
        <f>IF(OR(AND(H2582='סיווג התפקידים והעלויות'!$A$2,I2582='סיווג התפקידים והעלויות'!$A$3),'עלויות כח אדם (6)'!H2582='סיווג התפקידים והעלויות'!$C$2,'עלויות כח אדם (6)'!H2582='סיווג התפקידים והעלויות'!$D$2),IF('עלויות כח אדם (6)'!J2582&lt;75,"לא תקין","תקין"),"")</f>
        <v/>
      </c>
      <c r="AE2582" s="374" t="str">
        <f t="shared" si="614"/>
        <v/>
      </c>
      <c r="AF2582" s="532" t="str">
        <f t="shared" si="615"/>
        <v/>
      </c>
    </row>
    <row r="2583" spans="2:32" x14ac:dyDescent="0.25">
      <c r="B2583" s="695"/>
      <c r="C2583" s="197" t="str">
        <f>IF(B2583&lt;&gt;"",IFERROR(VLOOKUP(B:B,'מצבת והרשמה (2)'!$C$20:$N$520,2,0)," ")," ")</f>
        <v xml:space="preserve"> </v>
      </c>
      <c r="D2583" s="695"/>
      <c r="E2583" s="696"/>
      <c r="F2583" s="696"/>
      <c r="G2583" s="696"/>
      <c r="H2583" s="696"/>
      <c r="I2583" s="1050" t="str">
        <f t="shared" si="602"/>
        <v/>
      </c>
      <c r="J2583" s="696"/>
      <c r="K2583" s="697"/>
      <c r="L2583" s="696"/>
      <c r="M2583" s="198" t="str">
        <f t="shared" si="603"/>
        <v/>
      </c>
      <c r="N2583" s="369" t="str">
        <f t="shared" si="604"/>
        <v/>
      </c>
      <c r="O2583" s="183" t="str">
        <f t="shared" si="605"/>
        <v/>
      </c>
      <c r="P2583" s="199" t="str">
        <f t="shared" si="606"/>
        <v/>
      </c>
      <c r="Q2583" s="199" t="str">
        <f>IF(B2583="","",IFERROR(IF('עלויות כח אדם (6)'!J2583&gt;=VLOOKUP(I2583,'סיווג התפקידים והעלויות'!$B$23:$C$32,2,0),"תקין","לא תקין"),""))</f>
        <v/>
      </c>
      <c r="R2583" s="199" t="str">
        <f t="shared" si="607"/>
        <v/>
      </c>
      <c r="S2583" s="199" t="str">
        <f t="shared" si="608"/>
        <v/>
      </c>
      <c r="T2583" s="199" t="str">
        <f t="shared" si="616"/>
        <v/>
      </c>
      <c r="U2583" s="199" t="str">
        <f t="shared" si="609"/>
        <v/>
      </c>
      <c r="V2583" s="989"/>
      <c r="X2583" s="374" t="str">
        <f t="shared" si="610"/>
        <v/>
      </c>
      <c r="Y2583" s="375" t="str">
        <f t="shared" si="611"/>
        <v/>
      </c>
      <c r="Z2583" s="374" t="str">
        <f t="shared" si="612"/>
        <v/>
      </c>
      <c r="AA2583" s="374" t="b">
        <f t="shared" si="613"/>
        <v>1</v>
      </c>
      <c r="AB2583" s="374">
        <f>COUNTIFS(B:B,B2583,H:H,'סיווג התפקידים והעלויות'!$C$2)</f>
        <v>0</v>
      </c>
      <c r="AC2583" s="374">
        <f>COUNTIFS(B:B,B2583,H:H,'סיווג התפקידים והעלויות'!$D$2)</f>
        <v>0</v>
      </c>
      <c r="AD2583" s="374" t="str">
        <f>IF(OR(AND(H2583='סיווג התפקידים והעלויות'!$A$2,I2583='סיווג התפקידים והעלויות'!$A$3),'עלויות כח אדם (6)'!H2583='סיווג התפקידים והעלויות'!$C$2,'עלויות כח אדם (6)'!H2583='סיווג התפקידים והעלויות'!$D$2),IF('עלויות כח אדם (6)'!J2583&lt;75,"לא תקין","תקין"),"")</f>
        <v/>
      </c>
      <c r="AE2583" s="374" t="str">
        <f t="shared" si="614"/>
        <v/>
      </c>
      <c r="AF2583" s="532" t="str">
        <f t="shared" si="615"/>
        <v/>
      </c>
    </row>
    <row r="2584" spans="2:32" x14ac:dyDescent="0.25">
      <c r="B2584" s="695"/>
      <c r="C2584" s="197" t="str">
        <f>IF(B2584&lt;&gt;"",IFERROR(VLOOKUP(B:B,'מצבת והרשמה (2)'!$C$20:$N$520,2,0)," ")," ")</f>
        <v xml:space="preserve"> </v>
      </c>
      <c r="D2584" s="695"/>
      <c r="E2584" s="696"/>
      <c r="F2584" s="696"/>
      <c r="G2584" s="696"/>
      <c r="H2584" s="696"/>
      <c r="I2584" s="1050" t="str">
        <f t="shared" si="602"/>
        <v/>
      </c>
      <c r="J2584" s="696"/>
      <c r="K2584" s="697"/>
      <c r="L2584" s="696"/>
      <c r="M2584" s="198" t="str">
        <f t="shared" si="603"/>
        <v/>
      </c>
      <c r="N2584" s="369" t="str">
        <f t="shared" si="604"/>
        <v/>
      </c>
      <c r="O2584" s="183" t="str">
        <f t="shared" si="605"/>
        <v/>
      </c>
      <c r="P2584" s="199" t="str">
        <f t="shared" si="606"/>
        <v/>
      </c>
      <c r="Q2584" s="199" t="str">
        <f>IF(B2584="","",IFERROR(IF('עלויות כח אדם (6)'!J2584&gt;=VLOOKUP(I2584,'סיווג התפקידים והעלויות'!$B$23:$C$32,2,0),"תקין","לא תקין"),""))</f>
        <v/>
      </c>
      <c r="R2584" s="199" t="str">
        <f t="shared" si="607"/>
        <v/>
      </c>
      <c r="S2584" s="199" t="str">
        <f t="shared" si="608"/>
        <v/>
      </c>
      <c r="T2584" s="199" t="str">
        <f t="shared" si="616"/>
        <v/>
      </c>
      <c r="U2584" s="199" t="str">
        <f t="shared" si="609"/>
        <v/>
      </c>
      <c r="V2584" s="989"/>
      <c r="X2584" s="374" t="str">
        <f t="shared" si="610"/>
        <v/>
      </c>
      <c r="Y2584" s="375" t="str">
        <f t="shared" si="611"/>
        <v/>
      </c>
      <c r="Z2584" s="374" t="str">
        <f t="shared" si="612"/>
        <v/>
      </c>
      <c r="AA2584" s="374" t="b">
        <f t="shared" si="613"/>
        <v>1</v>
      </c>
      <c r="AB2584" s="374">
        <f>COUNTIFS(B:B,B2584,H:H,'סיווג התפקידים והעלויות'!$C$2)</f>
        <v>0</v>
      </c>
      <c r="AC2584" s="374">
        <f>COUNTIFS(B:B,B2584,H:H,'סיווג התפקידים והעלויות'!$D$2)</f>
        <v>0</v>
      </c>
      <c r="AD2584" s="374" t="str">
        <f>IF(OR(AND(H2584='סיווג התפקידים והעלויות'!$A$2,I2584='סיווג התפקידים והעלויות'!$A$3),'עלויות כח אדם (6)'!H2584='סיווג התפקידים והעלויות'!$C$2,'עלויות כח אדם (6)'!H2584='סיווג התפקידים והעלויות'!$D$2),IF('עלויות כח אדם (6)'!J2584&lt;75,"לא תקין","תקין"),"")</f>
        <v/>
      </c>
      <c r="AE2584" s="374" t="str">
        <f t="shared" si="614"/>
        <v/>
      </c>
      <c r="AF2584" s="532" t="str">
        <f t="shared" si="615"/>
        <v/>
      </c>
    </row>
    <row r="2585" spans="2:32" x14ac:dyDescent="0.25">
      <c r="B2585" s="695"/>
      <c r="C2585" s="197" t="str">
        <f>IF(B2585&lt;&gt;"",IFERROR(VLOOKUP(B:B,'מצבת והרשמה (2)'!$C$20:$N$520,2,0)," ")," ")</f>
        <v xml:space="preserve"> </v>
      </c>
      <c r="D2585" s="695"/>
      <c r="E2585" s="696"/>
      <c r="F2585" s="696"/>
      <c r="G2585" s="696"/>
      <c r="H2585" s="696"/>
      <c r="I2585" s="1050" t="str">
        <f t="shared" si="602"/>
        <v/>
      </c>
      <c r="J2585" s="696"/>
      <c r="K2585" s="697"/>
      <c r="L2585" s="696"/>
      <c r="M2585" s="198" t="str">
        <f t="shared" si="603"/>
        <v/>
      </c>
      <c r="N2585" s="369" t="str">
        <f t="shared" si="604"/>
        <v/>
      </c>
      <c r="O2585" s="183" t="str">
        <f t="shared" si="605"/>
        <v/>
      </c>
      <c r="P2585" s="199" t="str">
        <f t="shared" si="606"/>
        <v/>
      </c>
      <c r="Q2585" s="199" t="str">
        <f>IF(B2585="","",IFERROR(IF('עלויות כח אדם (6)'!J2585&gt;=VLOOKUP(I2585,'סיווג התפקידים והעלויות'!$B$23:$C$32,2,0),"תקין","לא תקין"),""))</f>
        <v/>
      </c>
      <c r="R2585" s="199" t="str">
        <f t="shared" si="607"/>
        <v/>
      </c>
      <c r="S2585" s="199" t="str">
        <f t="shared" si="608"/>
        <v/>
      </c>
      <c r="T2585" s="199" t="str">
        <f t="shared" si="616"/>
        <v/>
      </c>
      <c r="U2585" s="199" t="str">
        <f t="shared" si="609"/>
        <v/>
      </c>
      <c r="V2585" s="989"/>
      <c r="X2585" s="374" t="str">
        <f t="shared" si="610"/>
        <v/>
      </c>
      <c r="Y2585" s="375" t="str">
        <f t="shared" si="611"/>
        <v/>
      </c>
      <c r="Z2585" s="374" t="str">
        <f t="shared" si="612"/>
        <v/>
      </c>
      <c r="AA2585" s="374" t="b">
        <f t="shared" si="613"/>
        <v>1</v>
      </c>
      <c r="AB2585" s="374">
        <f>COUNTIFS(B:B,B2585,H:H,'סיווג התפקידים והעלויות'!$C$2)</f>
        <v>0</v>
      </c>
      <c r="AC2585" s="374">
        <f>COUNTIFS(B:B,B2585,H:H,'סיווג התפקידים והעלויות'!$D$2)</f>
        <v>0</v>
      </c>
      <c r="AD2585" s="374" t="str">
        <f>IF(OR(AND(H2585='סיווג התפקידים והעלויות'!$A$2,I2585='סיווג התפקידים והעלויות'!$A$3),'עלויות כח אדם (6)'!H2585='סיווג התפקידים והעלויות'!$C$2,'עלויות כח אדם (6)'!H2585='סיווג התפקידים והעלויות'!$D$2),IF('עלויות כח אדם (6)'!J2585&lt;75,"לא תקין","תקין"),"")</f>
        <v/>
      </c>
      <c r="AE2585" s="374" t="str">
        <f t="shared" si="614"/>
        <v/>
      </c>
      <c r="AF2585" s="532" t="str">
        <f t="shared" si="615"/>
        <v/>
      </c>
    </row>
    <row r="2586" spans="2:32" x14ac:dyDescent="0.25">
      <c r="B2586" s="695"/>
      <c r="C2586" s="197" t="str">
        <f>IF(B2586&lt;&gt;"",IFERROR(VLOOKUP(B:B,'מצבת והרשמה (2)'!$C$20:$N$520,2,0)," ")," ")</f>
        <v xml:space="preserve"> </v>
      </c>
      <c r="D2586" s="695"/>
      <c r="E2586" s="696"/>
      <c r="F2586" s="696"/>
      <c r="G2586" s="696"/>
      <c r="H2586" s="696"/>
      <c r="I2586" s="1050" t="str">
        <f t="shared" si="602"/>
        <v/>
      </c>
      <c r="J2586" s="696"/>
      <c r="K2586" s="697"/>
      <c r="L2586" s="696"/>
      <c r="M2586" s="198" t="str">
        <f t="shared" si="603"/>
        <v/>
      </c>
      <c r="N2586" s="369" t="str">
        <f t="shared" si="604"/>
        <v/>
      </c>
      <c r="O2586" s="183" t="str">
        <f t="shared" si="605"/>
        <v/>
      </c>
      <c r="P2586" s="199" t="str">
        <f t="shared" si="606"/>
        <v/>
      </c>
      <c r="Q2586" s="199" t="str">
        <f>IF(B2586="","",IFERROR(IF('עלויות כח אדם (6)'!J2586&gt;=VLOOKUP(I2586,'סיווג התפקידים והעלויות'!$B$23:$C$32,2,0),"תקין","לא תקין"),""))</f>
        <v/>
      </c>
      <c r="R2586" s="199" t="str">
        <f t="shared" si="607"/>
        <v/>
      </c>
      <c r="S2586" s="199" t="str">
        <f t="shared" si="608"/>
        <v/>
      </c>
      <c r="T2586" s="199" t="str">
        <f t="shared" si="616"/>
        <v/>
      </c>
      <c r="U2586" s="199" t="str">
        <f t="shared" si="609"/>
        <v/>
      </c>
      <c r="V2586" s="989"/>
      <c r="X2586" s="374" t="str">
        <f t="shared" si="610"/>
        <v/>
      </c>
      <c r="Y2586" s="375" t="str">
        <f t="shared" si="611"/>
        <v/>
      </c>
      <c r="Z2586" s="374" t="str">
        <f t="shared" si="612"/>
        <v/>
      </c>
      <c r="AA2586" s="374" t="b">
        <f t="shared" si="613"/>
        <v>1</v>
      </c>
      <c r="AB2586" s="374">
        <f>COUNTIFS(B:B,B2586,H:H,'סיווג התפקידים והעלויות'!$C$2)</f>
        <v>0</v>
      </c>
      <c r="AC2586" s="374">
        <f>COUNTIFS(B:B,B2586,H:H,'סיווג התפקידים והעלויות'!$D$2)</f>
        <v>0</v>
      </c>
      <c r="AD2586" s="374" t="str">
        <f>IF(OR(AND(H2586='סיווג התפקידים והעלויות'!$A$2,I2586='סיווג התפקידים והעלויות'!$A$3),'עלויות כח אדם (6)'!H2586='סיווג התפקידים והעלויות'!$C$2,'עלויות כח אדם (6)'!H2586='סיווג התפקידים והעלויות'!$D$2),IF('עלויות כח אדם (6)'!J2586&lt;75,"לא תקין","תקין"),"")</f>
        <v/>
      </c>
      <c r="AE2586" s="374" t="str">
        <f t="shared" si="614"/>
        <v/>
      </c>
      <c r="AF2586" s="532" t="str">
        <f t="shared" si="615"/>
        <v/>
      </c>
    </row>
    <row r="2587" spans="2:32" x14ac:dyDescent="0.25">
      <c r="B2587" s="695"/>
      <c r="C2587" s="197" t="str">
        <f>IF(B2587&lt;&gt;"",IFERROR(VLOOKUP(B:B,'מצבת והרשמה (2)'!$C$20:$N$520,2,0)," ")," ")</f>
        <v xml:space="preserve"> </v>
      </c>
      <c r="D2587" s="695"/>
      <c r="E2587" s="696"/>
      <c r="F2587" s="696"/>
      <c r="G2587" s="696"/>
      <c r="H2587" s="696"/>
      <c r="I2587" s="1050" t="str">
        <f t="shared" si="602"/>
        <v/>
      </c>
      <c r="J2587" s="696"/>
      <c r="K2587" s="697"/>
      <c r="L2587" s="696"/>
      <c r="M2587" s="198" t="str">
        <f t="shared" si="603"/>
        <v/>
      </c>
      <c r="N2587" s="369" t="str">
        <f t="shared" si="604"/>
        <v/>
      </c>
      <c r="O2587" s="183" t="str">
        <f t="shared" si="605"/>
        <v/>
      </c>
      <c r="P2587" s="199" t="str">
        <f t="shared" si="606"/>
        <v/>
      </c>
      <c r="Q2587" s="199" t="str">
        <f>IF(B2587="","",IFERROR(IF('עלויות כח אדם (6)'!J2587&gt;=VLOOKUP(I2587,'סיווג התפקידים והעלויות'!$B$23:$C$32,2,0),"תקין","לא תקין"),""))</f>
        <v/>
      </c>
      <c r="R2587" s="199" t="str">
        <f t="shared" si="607"/>
        <v/>
      </c>
      <c r="S2587" s="199" t="str">
        <f t="shared" si="608"/>
        <v/>
      </c>
      <c r="T2587" s="199" t="str">
        <f t="shared" si="616"/>
        <v/>
      </c>
      <c r="U2587" s="199" t="str">
        <f t="shared" si="609"/>
        <v/>
      </c>
      <c r="V2587" s="989"/>
      <c r="X2587" s="374" t="str">
        <f t="shared" si="610"/>
        <v/>
      </c>
      <c r="Y2587" s="375" t="str">
        <f t="shared" si="611"/>
        <v/>
      </c>
      <c r="Z2587" s="374" t="str">
        <f t="shared" si="612"/>
        <v/>
      </c>
      <c r="AA2587" s="374" t="b">
        <f t="shared" si="613"/>
        <v>1</v>
      </c>
      <c r="AB2587" s="374">
        <f>COUNTIFS(B:B,B2587,H:H,'סיווג התפקידים והעלויות'!$C$2)</f>
        <v>0</v>
      </c>
      <c r="AC2587" s="374">
        <f>COUNTIFS(B:B,B2587,H:H,'סיווג התפקידים והעלויות'!$D$2)</f>
        <v>0</v>
      </c>
      <c r="AD2587" s="374" t="str">
        <f>IF(OR(AND(H2587='סיווג התפקידים והעלויות'!$A$2,I2587='סיווג התפקידים והעלויות'!$A$3),'עלויות כח אדם (6)'!H2587='סיווג התפקידים והעלויות'!$C$2,'עלויות כח אדם (6)'!H2587='סיווג התפקידים והעלויות'!$D$2),IF('עלויות כח אדם (6)'!J2587&lt;75,"לא תקין","תקין"),"")</f>
        <v/>
      </c>
      <c r="AE2587" s="374" t="str">
        <f t="shared" si="614"/>
        <v/>
      </c>
      <c r="AF2587" s="532" t="str">
        <f t="shared" si="615"/>
        <v/>
      </c>
    </row>
    <row r="2588" spans="2:32" x14ac:dyDescent="0.25">
      <c r="B2588" s="695"/>
      <c r="C2588" s="197" t="str">
        <f>IF(B2588&lt;&gt;"",IFERROR(VLOOKUP(B:B,'מצבת והרשמה (2)'!$C$20:$N$520,2,0)," ")," ")</f>
        <v xml:space="preserve"> </v>
      </c>
      <c r="D2588" s="695"/>
      <c r="E2588" s="696"/>
      <c r="F2588" s="696"/>
      <c r="G2588" s="696"/>
      <c r="H2588" s="696"/>
      <c r="I2588" s="1050" t="str">
        <f t="shared" si="602"/>
        <v/>
      </c>
      <c r="J2588" s="696"/>
      <c r="K2588" s="697"/>
      <c r="L2588" s="696"/>
      <c r="M2588" s="198" t="str">
        <f t="shared" si="603"/>
        <v/>
      </c>
      <c r="N2588" s="369" t="str">
        <f t="shared" si="604"/>
        <v/>
      </c>
      <c r="O2588" s="183" t="str">
        <f t="shared" si="605"/>
        <v/>
      </c>
      <c r="P2588" s="199" t="str">
        <f t="shared" si="606"/>
        <v/>
      </c>
      <c r="Q2588" s="199" t="str">
        <f>IF(B2588="","",IFERROR(IF('עלויות כח אדם (6)'!J2588&gt;=VLOOKUP(I2588,'סיווג התפקידים והעלויות'!$B$23:$C$32,2,0),"תקין","לא תקין"),""))</f>
        <v/>
      </c>
      <c r="R2588" s="199" t="str">
        <f t="shared" si="607"/>
        <v/>
      </c>
      <c r="S2588" s="199" t="str">
        <f t="shared" si="608"/>
        <v/>
      </c>
      <c r="T2588" s="199" t="str">
        <f t="shared" si="616"/>
        <v/>
      </c>
      <c r="U2588" s="199" t="str">
        <f t="shared" si="609"/>
        <v/>
      </c>
      <c r="V2588" s="989"/>
      <c r="X2588" s="374" t="str">
        <f t="shared" si="610"/>
        <v/>
      </c>
      <c r="Y2588" s="375" t="str">
        <f t="shared" si="611"/>
        <v/>
      </c>
      <c r="Z2588" s="374" t="str">
        <f t="shared" si="612"/>
        <v/>
      </c>
      <c r="AA2588" s="374" t="b">
        <f t="shared" si="613"/>
        <v>1</v>
      </c>
      <c r="AB2588" s="374">
        <f>COUNTIFS(B:B,B2588,H:H,'סיווג התפקידים והעלויות'!$C$2)</f>
        <v>0</v>
      </c>
      <c r="AC2588" s="374">
        <f>COUNTIFS(B:B,B2588,H:H,'סיווג התפקידים והעלויות'!$D$2)</f>
        <v>0</v>
      </c>
      <c r="AD2588" s="374" t="str">
        <f>IF(OR(AND(H2588='סיווג התפקידים והעלויות'!$A$2,I2588='סיווג התפקידים והעלויות'!$A$3),'עלויות כח אדם (6)'!H2588='סיווג התפקידים והעלויות'!$C$2,'עלויות כח אדם (6)'!H2588='סיווג התפקידים והעלויות'!$D$2),IF('עלויות כח אדם (6)'!J2588&lt;75,"לא תקין","תקין"),"")</f>
        <v/>
      </c>
      <c r="AE2588" s="374" t="str">
        <f t="shared" si="614"/>
        <v/>
      </c>
      <c r="AF2588" s="532" t="str">
        <f t="shared" si="615"/>
        <v/>
      </c>
    </row>
    <row r="2589" spans="2:32" x14ac:dyDescent="0.25">
      <c r="B2589" s="695"/>
      <c r="C2589" s="197" t="str">
        <f>IF(B2589&lt;&gt;"",IFERROR(VLOOKUP(B:B,'מצבת והרשמה (2)'!$C$20:$N$520,2,0)," ")," ")</f>
        <v xml:space="preserve"> </v>
      </c>
      <c r="D2589" s="695"/>
      <c r="E2589" s="696"/>
      <c r="F2589" s="696"/>
      <c r="G2589" s="696"/>
      <c r="H2589" s="696"/>
      <c r="I2589" s="1050" t="str">
        <f t="shared" si="602"/>
        <v/>
      </c>
      <c r="J2589" s="696"/>
      <c r="K2589" s="697"/>
      <c r="L2589" s="696"/>
      <c r="M2589" s="198" t="str">
        <f t="shared" si="603"/>
        <v/>
      </c>
      <c r="N2589" s="369" t="str">
        <f t="shared" si="604"/>
        <v/>
      </c>
      <c r="O2589" s="183" t="str">
        <f t="shared" si="605"/>
        <v/>
      </c>
      <c r="P2589" s="199" t="str">
        <f t="shared" si="606"/>
        <v/>
      </c>
      <c r="Q2589" s="199" t="str">
        <f>IF(B2589="","",IFERROR(IF('עלויות כח אדם (6)'!J2589&gt;=VLOOKUP(I2589,'סיווג התפקידים והעלויות'!$B$23:$C$32,2,0),"תקין","לא תקין"),""))</f>
        <v/>
      </c>
      <c r="R2589" s="199" t="str">
        <f t="shared" si="607"/>
        <v/>
      </c>
      <c r="S2589" s="199" t="str">
        <f t="shared" si="608"/>
        <v/>
      </c>
      <c r="T2589" s="199" t="str">
        <f t="shared" si="616"/>
        <v/>
      </c>
      <c r="U2589" s="199" t="str">
        <f t="shared" si="609"/>
        <v/>
      </c>
      <c r="V2589" s="989"/>
      <c r="X2589" s="374" t="str">
        <f t="shared" si="610"/>
        <v/>
      </c>
      <c r="Y2589" s="375" t="str">
        <f t="shared" si="611"/>
        <v/>
      </c>
      <c r="Z2589" s="374" t="str">
        <f t="shared" si="612"/>
        <v/>
      </c>
      <c r="AA2589" s="374" t="b">
        <f t="shared" si="613"/>
        <v>1</v>
      </c>
      <c r="AB2589" s="374">
        <f>COUNTIFS(B:B,B2589,H:H,'סיווג התפקידים והעלויות'!$C$2)</f>
        <v>0</v>
      </c>
      <c r="AC2589" s="374">
        <f>COUNTIFS(B:B,B2589,H:H,'סיווג התפקידים והעלויות'!$D$2)</f>
        <v>0</v>
      </c>
      <c r="AD2589" s="374" t="str">
        <f>IF(OR(AND(H2589='סיווג התפקידים והעלויות'!$A$2,I2589='סיווג התפקידים והעלויות'!$A$3),'עלויות כח אדם (6)'!H2589='סיווג התפקידים והעלויות'!$C$2,'עלויות כח אדם (6)'!H2589='סיווג התפקידים והעלויות'!$D$2),IF('עלויות כח אדם (6)'!J2589&lt;75,"לא תקין","תקין"),"")</f>
        <v/>
      </c>
      <c r="AE2589" s="374" t="str">
        <f t="shared" si="614"/>
        <v/>
      </c>
      <c r="AF2589" s="532" t="str">
        <f t="shared" si="615"/>
        <v/>
      </c>
    </row>
    <row r="2590" spans="2:32" x14ac:dyDescent="0.25">
      <c r="B2590" s="695"/>
      <c r="C2590" s="197" t="str">
        <f>IF(B2590&lt;&gt;"",IFERROR(VLOOKUP(B:B,'מצבת והרשמה (2)'!$C$20:$N$520,2,0)," ")," ")</f>
        <v xml:space="preserve"> </v>
      </c>
      <c r="D2590" s="695"/>
      <c r="E2590" s="696"/>
      <c r="F2590" s="696"/>
      <c r="G2590" s="696"/>
      <c r="H2590" s="696"/>
      <c r="I2590" s="1050" t="str">
        <f t="shared" si="602"/>
        <v/>
      </c>
      <c r="J2590" s="696"/>
      <c r="K2590" s="697"/>
      <c r="L2590" s="696"/>
      <c r="M2590" s="198" t="str">
        <f t="shared" si="603"/>
        <v/>
      </c>
      <c r="N2590" s="369" t="str">
        <f t="shared" si="604"/>
        <v/>
      </c>
      <c r="O2590" s="183" t="str">
        <f t="shared" si="605"/>
        <v/>
      </c>
      <c r="P2590" s="199" t="str">
        <f t="shared" si="606"/>
        <v/>
      </c>
      <c r="Q2590" s="199" t="str">
        <f>IF(B2590="","",IFERROR(IF('עלויות כח אדם (6)'!J2590&gt;=VLOOKUP(I2590,'סיווג התפקידים והעלויות'!$B$23:$C$32,2,0),"תקין","לא תקין"),""))</f>
        <v/>
      </c>
      <c r="R2590" s="199" t="str">
        <f t="shared" si="607"/>
        <v/>
      </c>
      <c r="S2590" s="199" t="str">
        <f t="shared" si="608"/>
        <v/>
      </c>
      <c r="T2590" s="199" t="str">
        <f t="shared" si="616"/>
        <v/>
      </c>
      <c r="U2590" s="199" t="str">
        <f t="shared" si="609"/>
        <v/>
      </c>
      <c r="V2590" s="989"/>
      <c r="X2590" s="374" t="str">
        <f t="shared" si="610"/>
        <v/>
      </c>
      <c r="Y2590" s="375" t="str">
        <f t="shared" si="611"/>
        <v/>
      </c>
      <c r="Z2590" s="374" t="str">
        <f t="shared" si="612"/>
        <v/>
      </c>
      <c r="AA2590" s="374" t="b">
        <f t="shared" si="613"/>
        <v>1</v>
      </c>
      <c r="AB2590" s="374">
        <f>COUNTIFS(B:B,B2590,H:H,'סיווג התפקידים והעלויות'!$C$2)</f>
        <v>0</v>
      </c>
      <c r="AC2590" s="374">
        <f>COUNTIFS(B:B,B2590,H:H,'סיווג התפקידים והעלויות'!$D$2)</f>
        <v>0</v>
      </c>
      <c r="AD2590" s="374" t="str">
        <f>IF(OR(AND(H2590='סיווג התפקידים והעלויות'!$A$2,I2590='סיווג התפקידים והעלויות'!$A$3),'עלויות כח אדם (6)'!H2590='סיווג התפקידים והעלויות'!$C$2,'עלויות כח אדם (6)'!H2590='סיווג התפקידים והעלויות'!$D$2),IF('עלויות כח אדם (6)'!J2590&lt;75,"לא תקין","תקין"),"")</f>
        <v/>
      </c>
      <c r="AE2590" s="374" t="str">
        <f t="shared" si="614"/>
        <v/>
      </c>
      <c r="AF2590" s="532" t="str">
        <f t="shared" si="615"/>
        <v/>
      </c>
    </row>
    <row r="2591" spans="2:32" x14ac:dyDescent="0.25">
      <c r="B2591" s="695"/>
      <c r="C2591" s="197" t="str">
        <f>IF(B2591&lt;&gt;"",IFERROR(VLOOKUP(B:B,'מצבת והרשמה (2)'!$C$20:$N$520,2,0)," ")," ")</f>
        <v xml:space="preserve"> </v>
      </c>
      <c r="D2591" s="695"/>
      <c r="E2591" s="696"/>
      <c r="F2591" s="696"/>
      <c r="G2591" s="696"/>
      <c r="H2591" s="696"/>
      <c r="I2591" s="1050" t="str">
        <f t="shared" si="602"/>
        <v/>
      </c>
      <c r="J2591" s="696"/>
      <c r="K2591" s="697"/>
      <c r="L2591" s="696"/>
      <c r="M2591" s="198" t="str">
        <f t="shared" si="603"/>
        <v/>
      </c>
      <c r="N2591" s="369" t="str">
        <f t="shared" si="604"/>
        <v/>
      </c>
      <c r="O2591" s="183" t="str">
        <f t="shared" si="605"/>
        <v/>
      </c>
      <c r="P2591" s="199" t="str">
        <f t="shared" si="606"/>
        <v/>
      </c>
      <c r="Q2591" s="199" t="str">
        <f>IF(B2591="","",IFERROR(IF('עלויות כח אדם (6)'!J2591&gt;=VLOOKUP(I2591,'סיווג התפקידים והעלויות'!$B$23:$C$32,2,0),"תקין","לא תקין"),""))</f>
        <v/>
      </c>
      <c r="R2591" s="199" t="str">
        <f t="shared" si="607"/>
        <v/>
      </c>
      <c r="S2591" s="199" t="str">
        <f t="shared" si="608"/>
        <v/>
      </c>
      <c r="T2591" s="199" t="str">
        <f t="shared" si="616"/>
        <v/>
      </c>
      <c r="U2591" s="199" t="str">
        <f t="shared" si="609"/>
        <v/>
      </c>
      <c r="V2591" s="989"/>
      <c r="X2591" s="374" t="str">
        <f t="shared" si="610"/>
        <v/>
      </c>
      <c r="Y2591" s="375" t="str">
        <f t="shared" si="611"/>
        <v/>
      </c>
      <c r="Z2591" s="374" t="str">
        <f t="shared" si="612"/>
        <v/>
      </c>
      <c r="AA2591" s="374" t="b">
        <f t="shared" si="613"/>
        <v>1</v>
      </c>
      <c r="AB2591" s="374">
        <f>COUNTIFS(B:B,B2591,H:H,'סיווג התפקידים והעלויות'!$C$2)</f>
        <v>0</v>
      </c>
      <c r="AC2591" s="374">
        <f>COUNTIFS(B:B,B2591,H:H,'סיווג התפקידים והעלויות'!$D$2)</f>
        <v>0</v>
      </c>
      <c r="AD2591" s="374" t="str">
        <f>IF(OR(AND(H2591='סיווג התפקידים והעלויות'!$A$2,I2591='סיווג התפקידים והעלויות'!$A$3),'עלויות כח אדם (6)'!H2591='סיווג התפקידים והעלויות'!$C$2,'עלויות כח אדם (6)'!H2591='סיווג התפקידים והעלויות'!$D$2),IF('עלויות כח אדם (6)'!J2591&lt;75,"לא תקין","תקין"),"")</f>
        <v/>
      </c>
      <c r="AE2591" s="374" t="str">
        <f t="shared" si="614"/>
        <v/>
      </c>
      <c r="AF2591" s="532" t="str">
        <f t="shared" si="615"/>
        <v/>
      </c>
    </row>
    <row r="2592" spans="2:32" x14ac:dyDescent="0.25">
      <c r="B2592" s="695"/>
      <c r="C2592" s="197" t="str">
        <f>IF(B2592&lt;&gt;"",IFERROR(VLOOKUP(B:B,'מצבת והרשמה (2)'!$C$20:$N$520,2,0)," ")," ")</f>
        <v xml:space="preserve"> </v>
      </c>
      <c r="D2592" s="695"/>
      <c r="E2592" s="696"/>
      <c r="F2592" s="696"/>
      <c r="G2592" s="696"/>
      <c r="H2592" s="696"/>
      <c r="I2592" s="1050" t="str">
        <f t="shared" si="602"/>
        <v/>
      </c>
      <c r="J2592" s="696"/>
      <c r="K2592" s="697"/>
      <c r="L2592" s="696"/>
      <c r="M2592" s="198" t="str">
        <f t="shared" si="603"/>
        <v/>
      </c>
      <c r="N2592" s="369" t="str">
        <f t="shared" si="604"/>
        <v/>
      </c>
      <c r="O2592" s="183" t="str">
        <f t="shared" si="605"/>
        <v/>
      </c>
      <c r="P2592" s="199" t="str">
        <f t="shared" si="606"/>
        <v/>
      </c>
      <c r="Q2592" s="199" t="str">
        <f>IF(B2592="","",IFERROR(IF('עלויות כח אדם (6)'!J2592&gt;=VLOOKUP(I2592,'סיווג התפקידים והעלויות'!$B$23:$C$32,2,0),"תקין","לא תקין"),""))</f>
        <v/>
      </c>
      <c r="R2592" s="199" t="str">
        <f t="shared" si="607"/>
        <v/>
      </c>
      <c r="S2592" s="199" t="str">
        <f t="shared" si="608"/>
        <v/>
      </c>
      <c r="T2592" s="199" t="str">
        <f t="shared" si="616"/>
        <v/>
      </c>
      <c r="U2592" s="199" t="str">
        <f t="shared" si="609"/>
        <v/>
      </c>
      <c r="V2592" s="989"/>
      <c r="X2592" s="374" t="str">
        <f t="shared" si="610"/>
        <v/>
      </c>
      <c r="Y2592" s="375" t="str">
        <f t="shared" si="611"/>
        <v/>
      </c>
      <c r="Z2592" s="374" t="str">
        <f t="shared" si="612"/>
        <v/>
      </c>
      <c r="AA2592" s="374" t="b">
        <f t="shared" si="613"/>
        <v>1</v>
      </c>
      <c r="AB2592" s="374">
        <f>COUNTIFS(B:B,B2592,H:H,'סיווג התפקידים והעלויות'!$C$2)</f>
        <v>0</v>
      </c>
      <c r="AC2592" s="374">
        <f>COUNTIFS(B:B,B2592,H:H,'סיווג התפקידים והעלויות'!$D$2)</f>
        <v>0</v>
      </c>
      <c r="AD2592" s="374" t="str">
        <f>IF(OR(AND(H2592='סיווג התפקידים והעלויות'!$A$2,I2592='סיווג התפקידים והעלויות'!$A$3),'עלויות כח אדם (6)'!H2592='סיווג התפקידים והעלויות'!$C$2,'עלויות כח אדם (6)'!H2592='סיווג התפקידים והעלויות'!$D$2),IF('עלויות כח אדם (6)'!J2592&lt;75,"לא תקין","תקין"),"")</f>
        <v/>
      </c>
      <c r="AE2592" s="374" t="str">
        <f t="shared" si="614"/>
        <v/>
      </c>
      <c r="AF2592" s="532" t="str">
        <f t="shared" si="615"/>
        <v/>
      </c>
    </row>
    <row r="2593" spans="2:32" x14ac:dyDescent="0.25">
      <c r="B2593" s="695"/>
      <c r="C2593" s="197" t="str">
        <f>IF(B2593&lt;&gt;"",IFERROR(VLOOKUP(B:B,'מצבת והרשמה (2)'!$C$20:$N$520,2,0)," ")," ")</f>
        <v xml:space="preserve"> </v>
      </c>
      <c r="D2593" s="695"/>
      <c r="E2593" s="696"/>
      <c r="F2593" s="696"/>
      <c r="G2593" s="696"/>
      <c r="H2593" s="696"/>
      <c r="I2593" s="1050" t="str">
        <f t="shared" si="602"/>
        <v/>
      </c>
      <c r="J2593" s="696"/>
      <c r="K2593" s="697"/>
      <c r="L2593" s="696"/>
      <c r="M2593" s="198" t="str">
        <f t="shared" si="603"/>
        <v/>
      </c>
      <c r="N2593" s="369" t="str">
        <f t="shared" si="604"/>
        <v/>
      </c>
      <c r="O2593" s="183" t="str">
        <f t="shared" si="605"/>
        <v/>
      </c>
      <c r="P2593" s="199" t="str">
        <f t="shared" si="606"/>
        <v/>
      </c>
      <c r="Q2593" s="199" t="str">
        <f>IF(B2593="","",IFERROR(IF('עלויות כח אדם (6)'!J2593&gt;=VLOOKUP(I2593,'סיווג התפקידים והעלויות'!$B$23:$C$32,2,0),"תקין","לא תקין"),""))</f>
        <v/>
      </c>
      <c r="R2593" s="199" t="str">
        <f t="shared" si="607"/>
        <v/>
      </c>
      <c r="S2593" s="199" t="str">
        <f t="shared" si="608"/>
        <v/>
      </c>
      <c r="T2593" s="199" t="str">
        <f t="shared" si="616"/>
        <v/>
      </c>
      <c r="U2593" s="199" t="str">
        <f t="shared" si="609"/>
        <v/>
      </c>
      <c r="V2593" s="989"/>
      <c r="X2593" s="374" t="str">
        <f t="shared" si="610"/>
        <v/>
      </c>
      <c r="Y2593" s="375" t="str">
        <f t="shared" si="611"/>
        <v/>
      </c>
      <c r="Z2593" s="374" t="str">
        <f t="shared" si="612"/>
        <v/>
      </c>
      <c r="AA2593" s="374" t="b">
        <f t="shared" si="613"/>
        <v>1</v>
      </c>
      <c r="AB2593" s="374">
        <f>COUNTIFS(B:B,B2593,H:H,'סיווג התפקידים והעלויות'!$C$2)</f>
        <v>0</v>
      </c>
      <c r="AC2593" s="374">
        <f>COUNTIFS(B:B,B2593,H:H,'סיווג התפקידים והעלויות'!$D$2)</f>
        <v>0</v>
      </c>
      <c r="AD2593" s="374" t="str">
        <f>IF(OR(AND(H2593='סיווג התפקידים והעלויות'!$A$2,I2593='סיווג התפקידים והעלויות'!$A$3),'עלויות כח אדם (6)'!H2593='סיווג התפקידים והעלויות'!$C$2,'עלויות כח אדם (6)'!H2593='סיווג התפקידים והעלויות'!$D$2),IF('עלויות כח אדם (6)'!J2593&lt;75,"לא תקין","תקין"),"")</f>
        <v/>
      </c>
      <c r="AE2593" s="374" t="str">
        <f t="shared" si="614"/>
        <v/>
      </c>
      <c r="AF2593" s="532" t="str">
        <f t="shared" si="615"/>
        <v/>
      </c>
    </row>
    <row r="2594" spans="2:32" x14ac:dyDescent="0.25">
      <c r="B2594" s="695"/>
      <c r="C2594" s="197" t="str">
        <f>IF(B2594&lt;&gt;"",IFERROR(VLOOKUP(B:B,'מצבת והרשמה (2)'!$C$20:$N$520,2,0)," ")," ")</f>
        <v xml:space="preserve"> </v>
      </c>
      <c r="D2594" s="695"/>
      <c r="E2594" s="696"/>
      <c r="F2594" s="696"/>
      <c r="G2594" s="696"/>
      <c r="H2594" s="696"/>
      <c r="I2594" s="1050" t="str">
        <f t="shared" si="602"/>
        <v/>
      </c>
      <c r="J2594" s="696"/>
      <c r="K2594" s="697"/>
      <c r="L2594" s="696"/>
      <c r="M2594" s="198" t="str">
        <f t="shared" si="603"/>
        <v/>
      </c>
      <c r="N2594" s="369" t="str">
        <f t="shared" si="604"/>
        <v/>
      </c>
      <c r="O2594" s="183" t="str">
        <f t="shared" si="605"/>
        <v/>
      </c>
      <c r="P2594" s="199" t="str">
        <f t="shared" si="606"/>
        <v/>
      </c>
      <c r="Q2594" s="199" t="str">
        <f>IF(B2594="","",IFERROR(IF('עלויות כח אדם (6)'!J2594&gt;=VLOOKUP(I2594,'סיווג התפקידים והעלויות'!$B$23:$C$32,2,0),"תקין","לא תקין"),""))</f>
        <v/>
      </c>
      <c r="R2594" s="199" t="str">
        <f t="shared" si="607"/>
        <v/>
      </c>
      <c r="S2594" s="199" t="str">
        <f t="shared" si="608"/>
        <v/>
      </c>
      <c r="T2594" s="199" t="str">
        <f t="shared" si="616"/>
        <v/>
      </c>
      <c r="U2594" s="199" t="str">
        <f t="shared" si="609"/>
        <v/>
      </c>
      <c r="V2594" s="989"/>
      <c r="X2594" s="374" t="str">
        <f t="shared" si="610"/>
        <v/>
      </c>
      <c r="Y2594" s="375" t="str">
        <f t="shared" si="611"/>
        <v/>
      </c>
      <c r="Z2594" s="374" t="str">
        <f t="shared" si="612"/>
        <v/>
      </c>
      <c r="AA2594" s="374" t="b">
        <f t="shared" si="613"/>
        <v>1</v>
      </c>
      <c r="AB2594" s="374">
        <f>COUNTIFS(B:B,B2594,H:H,'סיווג התפקידים והעלויות'!$C$2)</f>
        <v>0</v>
      </c>
      <c r="AC2594" s="374">
        <f>COUNTIFS(B:B,B2594,H:H,'סיווג התפקידים והעלויות'!$D$2)</f>
        <v>0</v>
      </c>
      <c r="AD2594" s="374" t="str">
        <f>IF(OR(AND(H2594='סיווג התפקידים והעלויות'!$A$2,I2594='סיווג התפקידים והעלויות'!$A$3),'עלויות כח אדם (6)'!H2594='סיווג התפקידים והעלויות'!$C$2,'עלויות כח אדם (6)'!H2594='סיווג התפקידים והעלויות'!$D$2),IF('עלויות כח אדם (6)'!J2594&lt;75,"לא תקין","תקין"),"")</f>
        <v/>
      </c>
      <c r="AE2594" s="374" t="str">
        <f t="shared" si="614"/>
        <v/>
      </c>
      <c r="AF2594" s="532" t="str">
        <f t="shared" si="615"/>
        <v/>
      </c>
    </row>
    <row r="2595" spans="2:32" x14ac:dyDescent="0.25">
      <c r="B2595" s="695"/>
      <c r="C2595" s="197" t="str">
        <f>IF(B2595&lt;&gt;"",IFERROR(VLOOKUP(B:B,'מצבת והרשמה (2)'!$C$20:$N$520,2,0)," ")," ")</f>
        <v xml:space="preserve"> </v>
      </c>
      <c r="D2595" s="695"/>
      <c r="E2595" s="696"/>
      <c r="F2595" s="696"/>
      <c r="G2595" s="696"/>
      <c r="H2595" s="696"/>
      <c r="I2595" s="1050" t="str">
        <f t="shared" si="602"/>
        <v/>
      </c>
      <c r="J2595" s="696"/>
      <c r="K2595" s="697"/>
      <c r="L2595" s="696"/>
      <c r="M2595" s="198" t="str">
        <f t="shared" si="603"/>
        <v/>
      </c>
      <c r="N2595" s="369" t="str">
        <f t="shared" si="604"/>
        <v/>
      </c>
      <c r="O2595" s="183" t="str">
        <f t="shared" si="605"/>
        <v/>
      </c>
      <c r="P2595" s="199" t="str">
        <f t="shared" si="606"/>
        <v/>
      </c>
      <c r="Q2595" s="199" t="str">
        <f>IF(B2595="","",IFERROR(IF('עלויות כח אדם (6)'!J2595&gt;=VLOOKUP(I2595,'סיווג התפקידים והעלויות'!$B$23:$C$32,2,0),"תקין","לא תקין"),""))</f>
        <v/>
      </c>
      <c r="R2595" s="199" t="str">
        <f t="shared" si="607"/>
        <v/>
      </c>
      <c r="S2595" s="199" t="str">
        <f t="shared" si="608"/>
        <v/>
      </c>
      <c r="T2595" s="199" t="str">
        <f t="shared" si="616"/>
        <v/>
      </c>
      <c r="U2595" s="199" t="str">
        <f t="shared" si="609"/>
        <v/>
      </c>
      <c r="V2595" s="989"/>
      <c r="X2595" s="374" t="str">
        <f t="shared" si="610"/>
        <v/>
      </c>
      <c r="Y2595" s="375" t="str">
        <f t="shared" si="611"/>
        <v/>
      </c>
      <c r="Z2595" s="374" t="str">
        <f t="shared" si="612"/>
        <v/>
      </c>
      <c r="AA2595" s="374" t="b">
        <f t="shared" si="613"/>
        <v>1</v>
      </c>
      <c r="AB2595" s="374">
        <f>COUNTIFS(B:B,B2595,H:H,'סיווג התפקידים והעלויות'!$C$2)</f>
        <v>0</v>
      </c>
      <c r="AC2595" s="374">
        <f>COUNTIFS(B:B,B2595,H:H,'סיווג התפקידים והעלויות'!$D$2)</f>
        <v>0</v>
      </c>
      <c r="AD2595" s="374" t="str">
        <f>IF(OR(AND(H2595='סיווג התפקידים והעלויות'!$A$2,I2595='סיווג התפקידים והעלויות'!$A$3),'עלויות כח אדם (6)'!H2595='סיווג התפקידים והעלויות'!$C$2,'עלויות כח אדם (6)'!H2595='סיווג התפקידים והעלויות'!$D$2),IF('עלויות כח אדם (6)'!J2595&lt;75,"לא תקין","תקין"),"")</f>
        <v/>
      </c>
      <c r="AE2595" s="374" t="str">
        <f t="shared" si="614"/>
        <v/>
      </c>
      <c r="AF2595" s="532" t="str">
        <f t="shared" si="615"/>
        <v/>
      </c>
    </row>
    <row r="2596" spans="2:32" x14ac:dyDescent="0.25">
      <c r="B2596" s="695"/>
      <c r="C2596" s="197" t="str">
        <f>IF(B2596&lt;&gt;"",IFERROR(VLOOKUP(B:B,'מצבת והרשמה (2)'!$C$20:$N$520,2,0)," ")," ")</f>
        <v xml:space="preserve"> </v>
      </c>
      <c r="D2596" s="695"/>
      <c r="E2596" s="696"/>
      <c r="F2596" s="696"/>
      <c r="G2596" s="696"/>
      <c r="H2596" s="696"/>
      <c r="I2596" s="1050" t="str">
        <f t="shared" si="602"/>
        <v/>
      </c>
      <c r="J2596" s="696"/>
      <c r="K2596" s="697"/>
      <c r="L2596" s="696"/>
      <c r="M2596" s="198" t="str">
        <f t="shared" si="603"/>
        <v/>
      </c>
      <c r="N2596" s="369" t="str">
        <f t="shared" si="604"/>
        <v/>
      </c>
      <c r="O2596" s="183" t="str">
        <f t="shared" si="605"/>
        <v/>
      </c>
      <c r="P2596" s="199" t="str">
        <f t="shared" si="606"/>
        <v/>
      </c>
      <c r="Q2596" s="199" t="str">
        <f>IF(B2596="","",IFERROR(IF('עלויות כח אדם (6)'!J2596&gt;=VLOOKUP(I2596,'סיווג התפקידים והעלויות'!$B$23:$C$32,2,0),"תקין","לא תקין"),""))</f>
        <v/>
      </c>
      <c r="R2596" s="199" t="str">
        <f t="shared" si="607"/>
        <v/>
      </c>
      <c r="S2596" s="199" t="str">
        <f t="shared" si="608"/>
        <v/>
      </c>
      <c r="T2596" s="199" t="str">
        <f t="shared" si="616"/>
        <v/>
      </c>
      <c r="U2596" s="199" t="str">
        <f t="shared" si="609"/>
        <v/>
      </c>
      <c r="V2596" s="989"/>
      <c r="X2596" s="374" t="str">
        <f t="shared" si="610"/>
        <v/>
      </c>
      <c r="Y2596" s="375" t="str">
        <f t="shared" si="611"/>
        <v/>
      </c>
      <c r="Z2596" s="374" t="str">
        <f t="shared" si="612"/>
        <v/>
      </c>
      <c r="AA2596" s="374" t="b">
        <f t="shared" si="613"/>
        <v>1</v>
      </c>
      <c r="AB2596" s="374">
        <f>COUNTIFS(B:B,B2596,H:H,'סיווג התפקידים והעלויות'!$C$2)</f>
        <v>0</v>
      </c>
      <c r="AC2596" s="374">
        <f>COUNTIFS(B:B,B2596,H:H,'סיווג התפקידים והעלויות'!$D$2)</f>
        <v>0</v>
      </c>
      <c r="AD2596" s="374" t="str">
        <f>IF(OR(AND(H2596='סיווג התפקידים והעלויות'!$A$2,I2596='סיווג התפקידים והעלויות'!$A$3),'עלויות כח אדם (6)'!H2596='סיווג התפקידים והעלויות'!$C$2,'עלויות כח אדם (6)'!H2596='סיווג התפקידים והעלויות'!$D$2),IF('עלויות כח אדם (6)'!J2596&lt;75,"לא תקין","תקין"),"")</f>
        <v/>
      </c>
      <c r="AE2596" s="374" t="str">
        <f t="shared" si="614"/>
        <v/>
      </c>
      <c r="AF2596" s="532" t="str">
        <f t="shared" si="615"/>
        <v/>
      </c>
    </row>
    <row r="2597" spans="2:32" x14ac:dyDescent="0.25">
      <c r="B2597" s="695"/>
      <c r="C2597" s="197" t="str">
        <f>IF(B2597&lt;&gt;"",IFERROR(VLOOKUP(B:B,'מצבת והרשמה (2)'!$C$20:$N$520,2,0)," ")," ")</f>
        <v xml:space="preserve"> </v>
      </c>
      <c r="D2597" s="695"/>
      <c r="E2597" s="696"/>
      <c r="F2597" s="696"/>
      <c r="G2597" s="696"/>
      <c r="H2597" s="696"/>
      <c r="I2597" s="1050" t="str">
        <f t="shared" si="602"/>
        <v/>
      </c>
      <c r="J2597" s="696"/>
      <c r="K2597" s="697"/>
      <c r="L2597" s="696"/>
      <c r="M2597" s="198" t="str">
        <f t="shared" si="603"/>
        <v/>
      </c>
      <c r="N2597" s="369" t="str">
        <f t="shared" si="604"/>
        <v/>
      </c>
      <c r="O2597" s="183" t="str">
        <f t="shared" si="605"/>
        <v/>
      </c>
      <c r="P2597" s="199" t="str">
        <f t="shared" si="606"/>
        <v/>
      </c>
      <c r="Q2597" s="199" t="str">
        <f>IF(B2597="","",IFERROR(IF('עלויות כח אדם (6)'!J2597&gt;=VLOOKUP(I2597,'סיווג התפקידים והעלויות'!$B$23:$C$32,2,0),"תקין","לא תקין"),""))</f>
        <v/>
      </c>
      <c r="R2597" s="199" t="str">
        <f t="shared" si="607"/>
        <v/>
      </c>
      <c r="S2597" s="199" t="str">
        <f t="shared" si="608"/>
        <v/>
      </c>
      <c r="T2597" s="199" t="str">
        <f t="shared" si="616"/>
        <v/>
      </c>
      <c r="U2597" s="199" t="str">
        <f t="shared" si="609"/>
        <v/>
      </c>
      <c r="V2597" s="989"/>
      <c r="X2597" s="374" t="str">
        <f t="shared" si="610"/>
        <v/>
      </c>
      <c r="Y2597" s="375" t="str">
        <f t="shared" si="611"/>
        <v/>
      </c>
      <c r="Z2597" s="374" t="str">
        <f t="shared" si="612"/>
        <v/>
      </c>
      <c r="AA2597" s="374" t="b">
        <f t="shared" si="613"/>
        <v>1</v>
      </c>
      <c r="AB2597" s="374">
        <f>COUNTIFS(B:B,B2597,H:H,'סיווג התפקידים והעלויות'!$C$2)</f>
        <v>0</v>
      </c>
      <c r="AC2597" s="374">
        <f>COUNTIFS(B:B,B2597,H:H,'סיווג התפקידים והעלויות'!$D$2)</f>
        <v>0</v>
      </c>
      <c r="AD2597" s="374" t="str">
        <f>IF(OR(AND(H2597='סיווג התפקידים והעלויות'!$A$2,I2597='סיווג התפקידים והעלויות'!$A$3),'עלויות כח אדם (6)'!H2597='סיווג התפקידים והעלויות'!$C$2,'עלויות כח אדם (6)'!H2597='סיווג התפקידים והעלויות'!$D$2),IF('עלויות כח אדם (6)'!J2597&lt;75,"לא תקין","תקין"),"")</f>
        <v/>
      </c>
      <c r="AE2597" s="374" t="str">
        <f t="shared" si="614"/>
        <v/>
      </c>
      <c r="AF2597" s="532" t="str">
        <f t="shared" si="615"/>
        <v/>
      </c>
    </row>
    <row r="2598" spans="2:32" x14ac:dyDescent="0.25">
      <c r="B2598" s="695"/>
      <c r="C2598" s="197" t="str">
        <f>IF(B2598&lt;&gt;"",IFERROR(VLOOKUP(B:B,'מצבת והרשמה (2)'!$C$20:$N$520,2,0)," ")," ")</f>
        <v xml:space="preserve"> </v>
      </c>
      <c r="D2598" s="695"/>
      <c r="E2598" s="696"/>
      <c r="F2598" s="696"/>
      <c r="G2598" s="696"/>
      <c r="H2598" s="696"/>
      <c r="I2598" s="1050" t="str">
        <f t="shared" si="602"/>
        <v/>
      </c>
      <c r="J2598" s="696"/>
      <c r="K2598" s="697"/>
      <c r="L2598" s="696"/>
      <c r="M2598" s="198" t="str">
        <f t="shared" si="603"/>
        <v/>
      </c>
      <c r="N2598" s="369" t="str">
        <f t="shared" si="604"/>
        <v/>
      </c>
      <c r="O2598" s="183" t="str">
        <f t="shared" si="605"/>
        <v/>
      </c>
      <c r="P2598" s="199" t="str">
        <f t="shared" si="606"/>
        <v/>
      </c>
      <c r="Q2598" s="199" t="str">
        <f>IF(B2598="","",IFERROR(IF('עלויות כח אדם (6)'!J2598&gt;=VLOOKUP(I2598,'סיווג התפקידים והעלויות'!$B$23:$C$32,2,0),"תקין","לא תקין"),""))</f>
        <v/>
      </c>
      <c r="R2598" s="199" t="str">
        <f t="shared" si="607"/>
        <v/>
      </c>
      <c r="S2598" s="199" t="str">
        <f t="shared" si="608"/>
        <v/>
      </c>
      <c r="T2598" s="199" t="str">
        <f t="shared" si="616"/>
        <v/>
      </c>
      <c r="U2598" s="199" t="str">
        <f t="shared" si="609"/>
        <v/>
      </c>
      <c r="V2598" s="989"/>
      <c r="X2598" s="374" t="str">
        <f t="shared" si="610"/>
        <v/>
      </c>
      <c r="Y2598" s="375" t="str">
        <f t="shared" si="611"/>
        <v/>
      </c>
      <c r="Z2598" s="374" t="str">
        <f t="shared" si="612"/>
        <v/>
      </c>
      <c r="AA2598" s="374" t="b">
        <f t="shared" si="613"/>
        <v>1</v>
      </c>
      <c r="AB2598" s="374">
        <f>COUNTIFS(B:B,B2598,H:H,'סיווג התפקידים והעלויות'!$C$2)</f>
        <v>0</v>
      </c>
      <c r="AC2598" s="374">
        <f>COUNTIFS(B:B,B2598,H:H,'סיווג התפקידים והעלויות'!$D$2)</f>
        <v>0</v>
      </c>
      <c r="AD2598" s="374" t="str">
        <f>IF(OR(AND(H2598='סיווג התפקידים והעלויות'!$A$2,I2598='סיווג התפקידים והעלויות'!$A$3),'עלויות כח אדם (6)'!H2598='סיווג התפקידים והעלויות'!$C$2,'עלויות כח אדם (6)'!H2598='סיווג התפקידים והעלויות'!$D$2),IF('עלויות כח אדם (6)'!J2598&lt;75,"לא תקין","תקין"),"")</f>
        <v/>
      </c>
      <c r="AE2598" s="374" t="str">
        <f t="shared" si="614"/>
        <v/>
      </c>
      <c r="AF2598" s="532" t="str">
        <f t="shared" si="615"/>
        <v/>
      </c>
    </row>
    <row r="2599" spans="2:32" x14ac:dyDescent="0.25">
      <c r="B2599" s="695"/>
      <c r="C2599" s="197" t="str">
        <f>IF(B2599&lt;&gt;"",IFERROR(VLOOKUP(B:B,'מצבת והרשמה (2)'!$C$20:$N$520,2,0)," ")," ")</f>
        <v xml:space="preserve"> </v>
      </c>
      <c r="D2599" s="695"/>
      <c r="E2599" s="696"/>
      <c r="F2599" s="696"/>
      <c r="G2599" s="696"/>
      <c r="H2599" s="696"/>
      <c r="I2599" s="1050" t="str">
        <f t="shared" si="602"/>
        <v/>
      </c>
      <c r="J2599" s="696"/>
      <c r="K2599" s="697"/>
      <c r="L2599" s="696"/>
      <c r="M2599" s="198" t="str">
        <f t="shared" si="603"/>
        <v/>
      </c>
      <c r="N2599" s="369" t="str">
        <f t="shared" si="604"/>
        <v/>
      </c>
      <c r="O2599" s="183" t="str">
        <f t="shared" si="605"/>
        <v/>
      </c>
      <c r="P2599" s="199" t="str">
        <f t="shared" si="606"/>
        <v/>
      </c>
      <c r="Q2599" s="199" t="str">
        <f>IF(B2599="","",IFERROR(IF('עלויות כח אדם (6)'!J2599&gt;=VLOOKUP(I2599,'סיווג התפקידים והעלויות'!$B$23:$C$32,2,0),"תקין","לא תקין"),""))</f>
        <v/>
      </c>
      <c r="R2599" s="199" t="str">
        <f t="shared" si="607"/>
        <v/>
      </c>
      <c r="S2599" s="199" t="str">
        <f t="shared" si="608"/>
        <v/>
      </c>
      <c r="T2599" s="199" t="str">
        <f t="shared" si="616"/>
        <v/>
      </c>
      <c r="U2599" s="199" t="str">
        <f t="shared" si="609"/>
        <v/>
      </c>
      <c r="V2599" s="989"/>
      <c r="X2599" s="374" t="str">
        <f t="shared" si="610"/>
        <v/>
      </c>
      <c r="Y2599" s="375" t="str">
        <f t="shared" si="611"/>
        <v/>
      </c>
      <c r="Z2599" s="374" t="str">
        <f t="shared" si="612"/>
        <v/>
      </c>
      <c r="AA2599" s="374" t="b">
        <f t="shared" si="613"/>
        <v>1</v>
      </c>
      <c r="AB2599" s="374">
        <f>COUNTIFS(B:B,B2599,H:H,'סיווג התפקידים והעלויות'!$C$2)</f>
        <v>0</v>
      </c>
      <c r="AC2599" s="374">
        <f>COUNTIFS(B:B,B2599,H:H,'סיווג התפקידים והעלויות'!$D$2)</f>
        <v>0</v>
      </c>
      <c r="AD2599" s="374" t="str">
        <f>IF(OR(AND(H2599='סיווג התפקידים והעלויות'!$A$2,I2599='סיווג התפקידים והעלויות'!$A$3),'עלויות כח אדם (6)'!H2599='סיווג התפקידים והעלויות'!$C$2,'עלויות כח אדם (6)'!H2599='סיווג התפקידים והעלויות'!$D$2),IF('עלויות כח אדם (6)'!J2599&lt;75,"לא תקין","תקין"),"")</f>
        <v/>
      </c>
      <c r="AE2599" s="374" t="str">
        <f t="shared" si="614"/>
        <v/>
      </c>
      <c r="AF2599" s="532" t="str">
        <f t="shared" si="615"/>
        <v/>
      </c>
    </row>
    <row r="2600" spans="2:32" x14ac:dyDescent="0.25">
      <c r="B2600" s="695"/>
      <c r="C2600" s="197" t="str">
        <f>IF(B2600&lt;&gt;"",IFERROR(VLOOKUP(B:B,'מצבת והרשמה (2)'!$C$20:$N$520,2,0)," ")," ")</f>
        <v xml:space="preserve"> </v>
      </c>
      <c r="D2600" s="695"/>
      <c r="E2600" s="696"/>
      <c r="F2600" s="696"/>
      <c r="G2600" s="696"/>
      <c r="H2600" s="696"/>
      <c r="I2600" s="1050" t="str">
        <f t="shared" si="602"/>
        <v/>
      </c>
      <c r="J2600" s="696"/>
      <c r="K2600" s="697"/>
      <c r="L2600" s="696"/>
      <c r="M2600" s="198" t="str">
        <f t="shared" si="603"/>
        <v/>
      </c>
      <c r="N2600" s="369" t="str">
        <f t="shared" si="604"/>
        <v/>
      </c>
      <c r="O2600" s="183" t="str">
        <f t="shared" si="605"/>
        <v/>
      </c>
      <c r="P2600" s="199" t="str">
        <f t="shared" si="606"/>
        <v/>
      </c>
      <c r="Q2600" s="199" t="str">
        <f>IF(B2600="","",IFERROR(IF('עלויות כח אדם (6)'!J2600&gt;=VLOOKUP(I2600,'סיווג התפקידים והעלויות'!$B$23:$C$32,2,0),"תקין","לא תקין"),""))</f>
        <v/>
      </c>
      <c r="R2600" s="199" t="str">
        <f t="shared" si="607"/>
        <v/>
      </c>
      <c r="S2600" s="199" t="str">
        <f t="shared" si="608"/>
        <v/>
      </c>
      <c r="T2600" s="199" t="str">
        <f t="shared" si="616"/>
        <v/>
      </c>
      <c r="U2600" s="199" t="str">
        <f t="shared" si="609"/>
        <v/>
      </c>
      <c r="V2600" s="989"/>
      <c r="X2600" s="374" t="str">
        <f t="shared" si="610"/>
        <v/>
      </c>
      <c r="Y2600" s="375" t="str">
        <f t="shared" si="611"/>
        <v/>
      </c>
      <c r="Z2600" s="374" t="str">
        <f t="shared" si="612"/>
        <v/>
      </c>
      <c r="AA2600" s="374" t="b">
        <f t="shared" si="613"/>
        <v>1</v>
      </c>
      <c r="AB2600" s="374">
        <f>COUNTIFS(B:B,B2600,H:H,'סיווג התפקידים והעלויות'!$C$2)</f>
        <v>0</v>
      </c>
      <c r="AC2600" s="374">
        <f>COUNTIFS(B:B,B2600,H:H,'סיווג התפקידים והעלויות'!$D$2)</f>
        <v>0</v>
      </c>
      <c r="AD2600" s="374" t="str">
        <f>IF(OR(AND(H2600='סיווג התפקידים והעלויות'!$A$2,I2600='סיווג התפקידים והעלויות'!$A$3),'עלויות כח אדם (6)'!H2600='סיווג התפקידים והעלויות'!$C$2,'עלויות כח אדם (6)'!H2600='סיווג התפקידים והעלויות'!$D$2),IF('עלויות כח אדם (6)'!J2600&lt;75,"לא תקין","תקין"),"")</f>
        <v/>
      </c>
      <c r="AE2600" s="374" t="str">
        <f t="shared" si="614"/>
        <v/>
      </c>
      <c r="AF2600" s="532" t="str">
        <f t="shared" si="615"/>
        <v/>
      </c>
    </row>
    <row r="2601" spans="2:32" x14ac:dyDescent="0.25">
      <c r="B2601" s="695"/>
      <c r="C2601" s="197" t="str">
        <f>IF(B2601&lt;&gt;"",IFERROR(VLOOKUP(B:B,'מצבת והרשמה (2)'!$C$20:$N$520,2,0)," ")," ")</f>
        <v xml:space="preserve"> </v>
      </c>
      <c r="D2601" s="695"/>
      <c r="E2601" s="696"/>
      <c r="F2601" s="696"/>
      <c r="G2601" s="696"/>
      <c r="H2601" s="696"/>
      <c r="I2601" s="1050" t="str">
        <f t="shared" si="602"/>
        <v/>
      </c>
      <c r="J2601" s="696"/>
      <c r="K2601" s="697"/>
      <c r="L2601" s="696"/>
      <c r="M2601" s="198" t="str">
        <f t="shared" si="603"/>
        <v/>
      </c>
      <c r="N2601" s="369" t="str">
        <f t="shared" si="604"/>
        <v/>
      </c>
      <c r="O2601" s="183" t="str">
        <f t="shared" si="605"/>
        <v/>
      </c>
      <c r="P2601" s="199" t="str">
        <f t="shared" si="606"/>
        <v/>
      </c>
      <c r="Q2601" s="199" t="str">
        <f>IF(B2601="","",IFERROR(IF('עלויות כח אדם (6)'!J2601&gt;=VLOOKUP(I2601,'סיווג התפקידים והעלויות'!$B$23:$C$32,2,0),"תקין","לא תקין"),""))</f>
        <v/>
      </c>
      <c r="R2601" s="199" t="str">
        <f t="shared" si="607"/>
        <v/>
      </c>
      <c r="S2601" s="199" t="str">
        <f t="shared" si="608"/>
        <v/>
      </c>
      <c r="T2601" s="199" t="str">
        <f t="shared" si="616"/>
        <v/>
      </c>
      <c r="U2601" s="199" t="str">
        <f t="shared" si="609"/>
        <v/>
      </c>
      <c r="V2601" s="989"/>
      <c r="X2601" s="374" t="str">
        <f t="shared" si="610"/>
        <v/>
      </c>
      <c r="Y2601" s="375" t="str">
        <f t="shared" si="611"/>
        <v/>
      </c>
      <c r="Z2601" s="374" t="str">
        <f t="shared" si="612"/>
        <v/>
      </c>
      <c r="AA2601" s="374" t="b">
        <f t="shared" si="613"/>
        <v>1</v>
      </c>
      <c r="AB2601" s="374">
        <f>COUNTIFS(B:B,B2601,H:H,'סיווג התפקידים והעלויות'!$C$2)</f>
        <v>0</v>
      </c>
      <c r="AC2601" s="374">
        <f>COUNTIFS(B:B,B2601,H:H,'סיווג התפקידים והעלויות'!$D$2)</f>
        <v>0</v>
      </c>
      <c r="AD2601" s="374" t="str">
        <f>IF(OR(AND(H2601='סיווג התפקידים והעלויות'!$A$2,I2601='סיווג התפקידים והעלויות'!$A$3),'עלויות כח אדם (6)'!H2601='סיווג התפקידים והעלויות'!$C$2,'עלויות כח אדם (6)'!H2601='סיווג התפקידים והעלויות'!$D$2),IF('עלויות כח אדם (6)'!J2601&lt;75,"לא תקין","תקין"),"")</f>
        <v/>
      </c>
      <c r="AE2601" s="374" t="str">
        <f t="shared" si="614"/>
        <v/>
      </c>
      <c r="AF2601" s="532" t="str">
        <f t="shared" si="615"/>
        <v/>
      </c>
    </row>
    <row r="2602" spans="2:32" x14ac:dyDescent="0.25">
      <c r="B2602" s="695"/>
      <c r="C2602" s="197" t="str">
        <f>IF(B2602&lt;&gt;"",IFERROR(VLOOKUP(B:B,'מצבת והרשמה (2)'!$C$20:$N$520,2,0)," ")," ")</f>
        <v xml:space="preserve"> </v>
      </c>
      <c r="D2602" s="695"/>
      <c r="E2602" s="696"/>
      <c r="F2602" s="696"/>
      <c r="G2602" s="696"/>
      <c r="H2602" s="696"/>
      <c r="I2602" s="1050" t="str">
        <f t="shared" si="602"/>
        <v/>
      </c>
      <c r="J2602" s="696"/>
      <c r="K2602" s="697"/>
      <c r="L2602" s="696"/>
      <c r="M2602" s="198" t="str">
        <f t="shared" si="603"/>
        <v/>
      </c>
      <c r="N2602" s="369" t="str">
        <f t="shared" si="604"/>
        <v/>
      </c>
      <c r="O2602" s="183" t="str">
        <f t="shared" si="605"/>
        <v/>
      </c>
      <c r="P2602" s="199" t="str">
        <f t="shared" si="606"/>
        <v/>
      </c>
      <c r="Q2602" s="199" t="str">
        <f>IF(B2602="","",IFERROR(IF('עלויות כח אדם (6)'!J2602&gt;=VLOOKUP(I2602,'סיווג התפקידים והעלויות'!$B$23:$C$32,2,0),"תקין","לא תקין"),""))</f>
        <v/>
      </c>
      <c r="R2602" s="199" t="str">
        <f t="shared" si="607"/>
        <v/>
      </c>
      <c r="S2602" s="199" t="str">
        <f t="shared" si="608"/>
        <v/>
      </c>
      <c r="T2602" s="199" t="str">
        <f t="shared" si="616"/>
        <v/>
      </c>
      <c r="U2602" s="199" t="str">
        <f t="shared" si="609"/>
        <v/>
      </c>
      <c r="V2602" s="989"/>
      <c r="X2602" s="374" t="str">
        <f t="shared" si="610"/>
        <v/>
      </c>
      <c r="Y2602" s="375" t="str">
        <f t="shared" si="611"/>
        <v/>
      </c>
      <c r="Z2602" s="374" t="str">
        <f t="shared" si="612"/>
        <v/>
      </c>
      <c r="AA2602" s="374" t="b">
        <f t="shared" si="613"/>
        <v>1</v>
      </c>
      <c r="AB2602" s="374">
        <f>COUNTIFS(B:B,B2602,H:H,'סיווג התפקידים והעלויות'!$C$2)</f>
        <v>0</v>
      </c>
      <c r="AC2602" s="374">
        <f>COUNTIFS(B:B,B2602,H:H,'סיווג התפקידים והעלויות'!$D$2)</f>
        <v>0</v>
      </c>
      <c r="AD2602" s="374" t="str">
        <f>IF(OR(AND(H2602='סיווג התפקידים והעלויות'!$A$2,I2602='סיווג התפקידים והעלויות'!$A$3),'עלויות כח אדם (6)'!H2602='סיווג התפקידים והעלויות'!$C$2,'עלויות כח אדם (6)'!H2602='סיווג התפקידים והעלויות'!$D$2),IF('עלויות כח אדם (6)'!J2602&lt;75,"לא תקין","תקין"),"")</f>
        <v/>
      </c>
      <c r="AE2602" s="374" t="str">
        <f t="shared" si="614"/>
        <v/>
      </c>
      <c r="AF2602" s="532" t="str">
        <f t="shared" si="615"/>
        <v/>
      </c>
    </row>
    <row r="2603" spans="2:32" x14ac:dyDescent="0.25">
      <c r="B2603" s="695"/>
      <c r="C2603" s="197" t="str">
        <f>IF(B2603&lt;&gt;"",IFERROR(VLOOKUP(B:B,'מצבת והרשמה (2)'!$C$20:$N$520,2,0)," ")," ")</f>
        <v xml:space="preserve"> </v>
      </c>
      <c r="D2603" s="695"/>
      <c r="E2603" s="696"/>
      <c r="F2603" s="696"/>
      <c r="G2603" s="696"/>
      <c r="H2603" s="696"/>
      <c r="I2603" s="1050" t="str">
        <f t="shared" si="602"/>
        <v/>
      </c>
      <c r="J2603" s="696"/>
      <c r="K2603" s="697"/>
      <c r="L2603" s="696"/>
      <c r="M2603" s="198" t="str">
        <f t="shared" si="603"/>
        <v/>
      </c>
      <c r="N2603" s="369" t="str">
        <f t="shared" si="604"/>
        <v/>
      </c>
      <c r="O2603" s="183" t="str">
        <f t="shared" si="605"/>
        <v/>
      </c>
      <c r="P2603" s="199" t="str">
        <f t="shared" si="606"/>
        <v/>
      </c>
      <c r="Q2603" s="199" t="str">
        <f>IF(B2603="","",IFERROR(IF('עלויות כח אדם (6)'!J2603&gt;=VLOOKUP(I2603,'סיווג התפקידים והעלויות'!$B$23:$C$32,2,0),"תקין","לא תקין"),""))</f>
        <v/>
      </c>
      <c r="R2603" s="199" t="str">
        <f t="shared" si="607"/>
        <v/>
      </c>
      <c r="S2603" s="199" t="str">
        <f t="shared" si="608"/>
        <v/>
      </c>
      <c r="T2603" s="199" t="str">
        <f t="shared" si="616"/>
        <v/>
      </c>
      <c r="U2603" s="199" t="str">
        <f t="shared" si="609"/>
        <v/>
      </c>
      <c r="V2603" s="989"/>
      <c r="X2603" s="374" t="str">
        <f t="shared" si="610"/>
        <v/>
      </c>
      <c r="Y2603" s="375" t="str">
        <f t="shared" si="611"/>
        <v/>
      </c>
      <c r="Z2603" s="374" t="str">
        <f t="shared" si="612"/>
        <v/>
      </c>
      <c r="AA2603" s="374" t="b">
        <f t="shared" si="613"/>
        <v>1</v>
      </c>
      <c r="AB2603" s="374">
        <f>COUNTIFS(B:B,B2603,H:H,'סיווג התפקידים והעלויות'!$C$2)</f>
        <v>0</v>
      </c>
      <c r="AC2603" s="374">
        <f>COUNTIFS(B:B,B2603,H:H,'סיווג התפקידים והעלויות'!$D$2)</f>
        <v>0</v>
      </c>
      <c r="AD2603" s="374" t="str">
        <f>IF(OR(AND(H2603='סיווג התפקידים והעלויות'!$A$2,I2603='סיווג התפקידים והעלויות'!$A$3),'עלויות כח אדם (6)'!H2603='סיווג התפקידים והעלויות'!$C$2,'עלויות כח אדם (6)'!H2603='סיווג התפקידים והעלויות'!$D$2),IF('עלויות כח אדם (6)'!J2603&lt;75,"לא תקין","תקין"),"")</f>
        <v/>
      </c>
      <c r="AE2603" s="374" t="str">
        <f t="shared" si="614"/>
        <v/>
      </c>
      <c r="AF2603" s="532" t="str">
        <f t="shared" si="615"/>
        <v/>
      </c>
    </row>
    <row r="2604" spans="2:32" x14ac:dyDescent="0.25">
      <c r="B2604" s="695"/>
      <c r="C2604" s="197" t="str">
        <f>IF(B2604&lt;&gt;"",IFERROR(VLOOKUP(B:B,'מצבת והרשמה (2)'!$C$20:$N$520,2,0)," ")," ")</f>
        <v xml:space="preserve"> </v>
      </c>
      <c r="D2604" s="695"/>
      <c r="E2604" s="696"/>
      <c r="F2604" s="696"/>
      <c r="G2604" s="696"/>
      <c r="H2604" s="696"/>
      <c r="I2604" s="1050" t="str">
        <f t="shared" si="602"/>
        <v/>
      </c>
      <c r="J2604" s="696"/>
      <c r="K2604" s="697"/>
      <c r="L2604" s="696"/>
      <c r="M2604" s="198" t="str">
        <f t="shared" si="603"/>
        <v/>
      </c>
      <c r="N2604" s="369" t="str">
        <f t="shared" si="604"/>
        <v/>
      </c>
      <c r="O2604" s="183" t="str">
        <f t="shared" si="605"/>
        <v/>
      </c>
      <c r="P2604" s="199" t="str">
        <f t="shared" si="606"/>
        <v/>
      </c>
      <c r="Q2604" s="199" t="str">
        <f>IF(B2604="","",IFERROR(IF('עלויות כח אדם (6)'!J2604&gt;=VLOOKUP(I2604,'סיווג התפקידים והעלויות'!$B$23:$C$32,2,0),"תקין","לא תקין"),""))</f>
        <v/>
      </c>
      <c r="R2604" s="199" t="str">
        <f t="shared" si="607"/>
        <v/>
      </c>
      <c r="S2604" s="199" t="str">
        <f t="shared" si="608"/>
        <v/>
      </c>
      <c r="T2604" s="199" t="str">
        <f t="shared" si="616"/>
        <v/>
      </c>
      <c r="U2604" s="199" t="str">
        <f t="shared" si="609"/>
        <v/>
      </c>
      <c r="V2604" s="989"/>
      <c r="X2604" s="374" t="str">
        <f t="shared" si="610"/>
        <v/>
      </c>
      <c r="Y2604" s="375" t="str">
        <f t="shared" si="611"/>
        <v/>
      </c>
      <c r="Z2604" s="374" t="str">
        <f t="shared" si="612"/>
        <v/>
      </c>
      <c r="AA2604" s="374" t="b">
        <f t="shared" si="613"/>
        <v>1</v>
      </c>
      <c r="AB2604" s="374">
        <f>COUNTIFS(B:B,B2604,H:H,'סיווג התפקידים והעלויות'!$C$2)</f>
        <v>0</v>
      </c>
      <c r="AC2604" s="374">
        <f>COUNTIFS(B:B,B2604,H:H,'סיווג התפקידים והעלויות'!$D$2)</f>
        <v>0</v>
      </c>
      <c r="AD2604" s="374" t="str">
        <f>IF(OR(AND(H2604='סיווג התפקידים והעלויות'!$A$2,I2604='סיווג התפקידים והעלויות'!$A$3),'עלויות כח אדם (6)'!H2604='סיווג התפקידים והעלויות'!$C$2,'עלויות כח אדם (6)'!H2604='סיווג התפקידים והעלויות'!$D$2),IF('עלויות כח אדם (6)'!J2604&lt;75,"לא תקין","תקין"),"")</f>
        <v/>
      </c>
      <c r="AE2604" s="374" t="str">
        <f t="shared" si="614"/>
        <v/>
      </c>
      <c r="AF2604" s="532" t="str">
        <f t="shared" si="615"/>
        <v/>
      </c>
    </row>
    <row r="2605" spans="2:32" x14ac:dyDescent="0.25">
      <c r="B2605" s="695"/>
      <c r="C2605" s="197" t="str">
        <f>IF(B2605&lt;&gt;"",IFERROR(VLOOKUP(B:B,'מצבת והרשמה (2)'!$C$20:$N$520,2,0)," ")," ")</f>
        <v xml:space="preserve"> </v>
      </c>
      <c r="D2605" s="695"/>
      <c r="E2605" s="696"/>
      <c r="F2605" s="696"/>
      <c r="G2605" s="696"/>
      <c r="H2605" s="696"/>
      <c r="I2605" s="1050" t="str">
        <f t="shared" si="602"/>
        <v/>
      </c>
      <c r="J2605" s="696"/>
      <c r="K2605" s="697"/>
      <c r="L2605" s="696"/>
      <c r="M2605" s="198" t="str">
        <f t="shared" si="603"/>
        <v/>
      </c>
      <c r="N2605" s="369" t="str">
        <f t="shared" si="604"/>
        <v/>
      </c>
      <c r="O2605" s="183" t="str">
        <f t="shared" si="605"/>
        <v/>
      </c>
      <c r="P2605" s="199" t="str">
        <f t="shared" si="606"/>
        <v/>
      </c>
      <c r="Q2605" s="199" t="str">
        <f>IF(B2605="","",IFERROR(IF('עלויות כח אדם (6)'!J2605&gt;=VLOOKUP(I2605,'סיווג התפקידים והעלויות'!$B$23:$C$32,2,0),"תקין","לא תקין"),""))</f>
        <v/>
      </c>
      <c r="R2605" s="199" t="str">
        <f t="shared" si="607"/>
        <v/>
      </c>
      <c r="S2605" s="199" t="str">
        <f t="shared" si="608"/>
        <v/>
      </c>
      <c r="T2605" s="199" t="str">
        <f t="shared" si="616"/>
        <v/>
      </c>
      <c r="U2605" s="199" t="str">
        <f t="shared" si="609"/>
        <v/>
      </c>
      <c r="V2605" s="989"/>
      <c r="X2605" s="374" t="str">
        <f t="shared" si="610"/>
        <v/>
      </c>
      <c r="Y2605" s="375" t="str">
        <f t="shared" si="611"/>
        <v/>
      </c>
      <c r="Z2605" s="374" t="str">
        <f t="shared" si="612"/>
        <v/>
      </c>
      <c r="AA2605" s="374" t="b">
        <f t="shared" si="613"/>
        <v>1</v>
      </c>
      <c r="AB2605" s="374">
        <f>COUNTIFS(B:B,B2605,H:H,'סיווג התפקידים והעלויות'!$C$2)</f>
        <v>0</v>
      </c>
      <c r="AC2605" s="374">
        <f>COUNTIFS(B:B,B2605,H:H,'סיווג התפקידים והעלויות'!$D$2)</f>
        <v>0</v>
      </c>
      <c r="AD2605" s="374" t="str">
        <f>IF(OR(AND(H2605='סיווג התפקידים והעלויות'!$A$2,I2605='סיווג התפקידים והעלויות'!$A$3),'עלויות כח אדם (6)'!H2605='סיווג התפקידים והעלויות'!$C$2,'עלויות כח אדם (6)'!H2605='סיווג התפקידים והעלויות'!$D$2),IF('עלויות כח אדם (6)'!J2605&lt;75,"לא תקין","תקין"),"")</f>
        <v/>
      </c>
      <c r="AE2605" s="374" t="str">
        <f t="shared" si="614"/>
        <v/>
      </c>
      <c r="AF2605" s="532" t="str">
        <f t="shared" si="615"/>
        <v/>
      </c>
    </row>
    <row r="2606" spans="2:32" x14ac:dyDescent="0.25">
      <c r="B2606" s="695"/>
      <c r="C2606" s="197" t="str">
        <f>IF(B2606&lt;&gt;"",IFERROR(VLOOKUP(B:B,'מצבת והרשמה (2)'!$C$20:$N$520,2,0)," ")," ")</f>
        <v xml:space="preserve"> </v>
      </c>
      <c r="D2606" s="695"/>
      <c r="E2606" s="696"/>
      <c r="F2606" s="696"/>
      <c r="G2606" s="696"/>
      <c r="H2606" s="696"/>
      <c r="I2606" s="1050" t="str">
        <f t="shared" si="602"/>
        <v/>
      </c>
      <c r="J2606" s="696"/>
      <c r="K2606" s="697"/>
      <c r="L2606" s="696"/>
      <c r="M2606" s="198" t="str">
        <f t="shared" si="603"/>
        <v/>
      </c>
      <c r="N2606" s="369" t="str">
        <f t="shared" si="604"/>
        <v/>
      </c>
      <c r="O2606" s="183" t="str">
        <f t="shared" si="605"/>
        <v/>
      </c>
      <c r="P2606" s="199" t="str">
        <f t="shared" si="606"/>
        <v/>
      </c>
      <c r="Q2606" s="199" t="str">
        <f>IF(B2606="","",IFERROR(IF('עלויות כח אדם (6)'!J2606&gt;=VLOOKUP(I2606,'סיווג התפקידים והעלויות'!$B$23:$C$32,2,0),"תקין","לא תקין"),""))</f>
        <v/>
      </c>
      <c r="R2606" s="199" t="str">
        <f t="shared" si="607"/>
        <v/>
      </c>
      <c r="S2606" s="199" t="str">
        <f t="shared" si="608"/>
        <v/>
      </c>
      <c r="T2606" s="199" t="str">
        <f t="shared" si="616"/>
        <v/>
      </c>
      <c r="U2606" s="199" t="str">
        <f t="shared" si="609"/>
        <v/>
      </c>
      <c r="V2606" s="989"/>
      <c r="X2606" s="374" t="str">
        <f t="shared" si="610"/>
        <v/>
      </c>
      <c r="Y2606" s="375" t="str">
        <f t="shared" si="611"/>
        <v/>
      </c>
      <c r="Z2606" s="374" t="str">
        <f t="shared" si="612"/>
        <v/>
      </c>
      <c r="AA2606" s="374" t="b">
        <f t="shared" si="613"/>
        <v>1</v>
      </c>
      <c r="AB2606" s="374">
        <f>COUNTIFS(B:B,B2606,H:H,'סיווג התפקידים והעלויות'!$C$2)</f>
        <v>0</v>
      </c>
      <c r="AC2606" s="374">
        <f>COUNTIFS(B:B,B2606,H:H,'סיווג התפקידים והעלויות'!$D$2)</f>
        <v>0</v>
      </c>
      <c r="AD2606" s="374" t="str">
        <f>IF(OR(AND(H2606='סיווג התפקידים והעלויות'!$A$2,I2606='סיווג התפקידים והעלויות'!$A$3),'עלויות כח אדם (6)'!H2606='סיווג התפקידים והעלויות'!$C$2,'עלויות כח אדם (6)'!H2606='סיווג התפקידים והעלויות'!$D$2),IF('עלויות כח אדם (6)'!J2606&lt;75,"לא תקין","תקין"),"")</f>
        <v/>
      </c>
      <c r="AE2606" s="374" t="str">
        <f t="shared" si="614"/>
        <v/>
      </c>
      <c r="AF2606" s="532" t="str">
        <f t="shared" si="615"/>
        <v/>
      </c>
    </row>
    <row r="2607" spans="2:32" x14ac:dyDescent="0.25">
      <c r="B2607" s="695"/>
      <c r="C2607" s="197" t="str">
        <f>IF(B2607&lt;&gt;"",IFERROR(VLOOKUP(B:B,'מצבת והרשמה (2)'!$C$20:$N$520,2,0)," ")," ")</f>
        <v xml:space="preserve"> </v>
      </c>
      <c r="D2607" s="695"/>
      <c r="E2607" s="696"/>
      <c r="F2607" s="696"/>
      <c r="G2607" s="696"/>
      <c r="H2607" s="696"/>
      <c r="I2607" s="1050" t="str">
        <f t="shared" si="602"/>
        <v/>
      </c>
      <c r="J2607" s="696"/>
      <c r="K2607" s="697"/>
      <c r="L2607" s="696"/>
      <c r="M2607" s="198" t="str">
        <f t="shared" si="603"/>
        <v/>
      </c>
      <c r="N2607" s="369" t="str">
        <f t="shared" si="604"/>
        <v/>
      </c>
      <c r="O2607" s="183" t="str">
        <f t="shared" si="605"/>
        <v/>
      </c>
      <c r="P2607" s="199" t="str">
        <f t="shared" si="606"/>
        <v/>
      </c>
      <c r="Q2607" s="199" t="str">
        <f>IF(B2607="","",IFERROR(IF('עלויות כח אדם (6)'!J2607&gt;=VLOOKUP(I2607,'סיווג התפקידים והעלויות'!$B$23:$C$32,2,0),"תקין","לא תקין"),""))</f>
        <v/>
      </c>
      <c r="R2607" s="199" t="str">
        <f t="shared" si="607"/>
        <v/>
      </c>
      <c r="S2607" s="199" t="str">
        <f t="shared" si="608"/>
        <v/>
      </c>
      <c r="T2607" s="199" t="str">
        <f t="shared" si="616"/>
        <v/>
      </c>
      <c r="U2607" s="199" t="str">
        <f t="shared" si="609"/>
        <v/>
      </c>
      <c r="V2607" s="989"/>
      <c r="X2607" s="374" t="str">
        <f t="shared" si="610"/>
        <v/>
      </c>
      <c r="Y2607" s="375" t="str">
        <f t="shared" si="611"/>
        <v/>
      </c>
      <c r="Z2607" s="374" t="str">
        <f t="shared" si="612"/>
        <v/>
      </c>
      <c r="AA2607" s="374" t="b">
        <f t="shared" si="613"/>
        <v>1</v>
      </c>
      <c r="AB2607" s="374">
        <f>COUNTIFS(B:B,B2607,H:H,'סיווג התפקידים והעלויות'!$C$2)</f>
        <v>0</v>
      </c>
      <c r="AC2607" s="374">
        <f>COUNTIFS(B:B,B2607,H:H,'סיווג התפקידים והעלויות'!$D$2)</f>
        <v>0</v>
      </c>
      <c r="AD2607" s="374" t="str">
        <f>IF(OR(AND(H2607='סיווג התפקידים והעלויות'!$A$2,I2607='סיווג התפקידים והעלויות'!$A$3),'עלויות כח אדם (6)'!H2607='סיווג התפקידים והעלויות'!$C$2,'עלויות כח אדם (6)'!H2607='סיווג התפקידים והעלויות'!$D$2),IF('עלויות כח אדם (6)'!J2607&lt;75,"לא תקין","תקין"),"")</f>
        <v/>
      </c>
      <c r="AE2607" s="374" t="str">
        <f t="shared" si="614"/>
        <v/>
      </c>
      <c r="AF2607" s="532" t="str">
        <f t="shared" si="615"/>
        <v/>
      </c>
    </row>
    <row r="2608" spans="2:32" x14ac:dyDescent="0.25">
      <c r="B2608" s="695"/>
      <c r="C2608" s="197" t="str">
        <f>IF(B2608&lt;&gt;"",IFERROR(VLOOKUP(B:B,'מצבת והרשמה (2)'!$C$20:$N$520,2,0)," ")," ")</f>
        <v xml:space="preserve"> </v>
      </c>
      <c r="D2608" s="695"/>
      <c r="E2608" s="696"/>
      <c r="F2608" s="696"/>
      <c r="G2608" s="696"/>
      <c r="H2608" s="696"/>
      <c r="I2608" s="1050" t="str">
        <f t="shared" si="602"/>
        <v/>
      </c>
      <c r="J2608" s="696"/>
      <c r="K2608" s="697"/>
      <c r="L2608" s="696"/>
      <c r="M2608" s="198" t="str">
        <f t="shared" si="603"/>
        <v/>
      </c>
      <c r="N2608" s="369" t="str">
        <f t="shared" si="604"/>
        <v/>
      </c>
      <c r="O2608" s="183" t="str">
        <f t="shared" si="605"/>
        <v/>
      </c>
      <c r="P2608" s="199" t="str">
        <f t="shared" si="606"/>
        <v/>
      </c>
      <c r="Q2608" s="199" t="str">
        <f>IF(B2608="","",IFERROR(IF('עלויות כח אדם (6)'!J2608&gt;=VLOOKUP(I2608,'סיווג התפקידים והעלויות'!$B$23:$C$32,2,0),"תקין","לא תקין"),""))</f>
        <v/>
      </c>
      <c r="R2608" s="199" t="str">
        <f t="shared" si="607"/>
        <v/>
      </c>
      <c r="S2608" s="199" t="str">
        <f t="shared" si="608"/>
        <v/>
      </c>
      <c r="T2608" s="199" t="str">
        <f t="shared" si="616"/>
        <v/>
      </c>
      <c r="U2608" s="199" t="str">
        <f t="shared" si="609"/>
        <v/>
      </c>
      <c r="V2608" s="989"/>
      <c r="X2608" s="374" t="str">
        <f t="shared" si="610"/>
        <v/>
      </c>
      <c r="Y2608" s="375" t="str">
        <f t="shared" si="611"/>
        <v/>
      </c>
      <c r="Z2608" s="374" t="str">
        <f t="shared" si="612"/>
        <v/>
      </c>
      <c r="AA2608" s="374" t="b">
        <f t="shared" si="613"/>
        <v>1</v>
      </c>
      <c r="AB2608" s="374">
        <f>COUNTIFS(B:B,B2608,H:H,'סיווג התפקידים והעלויות'!$C$2)</f>
        <v>0</v>
      </c>
      <c r="AC2608" s="374">
        <f>COUNTIFS(B:B,B2608,H:H,'סיווג התפקידים והעלויות'!$D$2)</f>
        <v>0</v>
      </c>
      <c r="AD2608" s="374" t="str">
        <f>IF(OR(AND(H2608='סיווג התפקידים והעלויות'!$A$2,I2608='סיווג התפקידים והעלויות'!$A$3),'עלויות כח אדם (6)'!H2608='סיווג התפקידים והעלויות'!$C$2,'עלויות כח אדם (6)'!H2608='סיווג התפקידים והעלויות'!$D$2),IF('עלויות כח אדם (6)'!J2608&lt;75,"לא תקין","תקין"),"")</f>
        <v/>
      </c>
      <c r="AE2608" s="374" t="str">
        <f t="shared" si="614"/>
        <v/>
      </c>
      <c r="AF2608" s="532" t="str">
        <f t="shared" si="615"/>
        <v/>
      </c>
    </row>
    <row r="2609" spans="2:32" x14ac:dyDescent="0.25">
      <c r="B2609" s="695"/>
      <c r="C2609" s="197" t="str">
        <f>IF(B2609&lt;&gt;"",IFERROR(VLOOKUP(B:B,'מצבת והרשמה (2)'!$C$20:$N$520,2,0)," ")," ")</f>
        <v xml:space="preserve"> </v>
      </c>
      <c r="D2609" s="695"/>
      <c r="E2609" s="696"/>
      <c r="F2609" s="696"/>
      <c r="G2609" s="696"/>
      <c r="H2609" s="696"/>
      <c r="I2609" s="1050" t="str">
        <f t="shared" si="602"/>
        <v/>
      </c>
      <c r="J2609" s="696"/>
      <c r="K2609" s="697"/>
      <c r="L2609" s="696"/>
      <c r="M2609" s="198" t="str">
        <f t="shared" si="603"/>
        <v/>
      </c>
      <c r="N2609" s="369" t="str">
        <f t="shared" si="604"/>
        <v/>
      </c>
      <c r="O2609" s="183" t="str">
        <f t="shared" si="605"/>
        <v/>
      </c>
      <c r="P2609" s="199" t="str">
        <f t="shared" si="606"/>
        <v/>
      </c>
      <c r="Q2609" s="199" t="str">
        <f>IF(B2609="","",IFERROR(IF('עלויות כח אדם (6)'!J2609&gt;=VLOOKUP(I2609,'סיווג התפקידים והעלויות'!$B$23:$C$32,2,0),"תקין","לא תקין"),""))</f>
        <v/>
      </c>
      <c r="R2609" s="199" t="str">
        <f t="shared" si="607"/>
        <v/>
      </c>
      <c r="S2609" s="199" t="str">
        <f t="shared" si="608"/>
        <v/>
      </c>
      <c r="T2609" s="199" t="str">
        <f t="shared" si="616"/>
        <v/>
      </c>
      <c r="U2609" s="199" t="str">
        <f t="shared" si="609"/>
        <v/>
      </c>
      <c r="V2609" s="989"/>
      <c r="X2609" s="374" t="str">
        <f t="shared" si="610"/>
        <v/>
      </c>
      <c r="Y2609" s="375" t="str">
        <f t="shared" si="611"/>
        <v/>
      </c>
      <c r="Z2609" s="374" t="str">
        <f t="shared" si="612"/>
        <v/>
      </c>
      <c r="AA2609" s="374" t="b">
        <f t="shared" si="613"/>
        <v>1</v>
      </c>
      <c r="AB2609" s="374">
        <f>COUNTIFS(B:B,B2609,H:H,'סיווג התפקידים והעלויות'!$C$2)</f>
        <v>0</v>
      </c>
      <c r="AC2609" s="374">
        <f>COUNTIFS(B:B,B2609,H:H,'סיווג התפקידים והעלויות'!$D$2)</f>
        <v>0</v>
      </c>
      <c r="AD2609" s="374" t="str">
        <f>IF(OR(AND(H2609='סיווג התפקידים והעלויות'!$A$2,I2609='סיווג התפקידים והעלויות'!$A$3),'עלויות כח אדם (6)'!H2609='סיווג התפקידים והעלויות'!$C$2,'עלויות כח אדם (6)'!H2609='סיווג התפקידים והעלויות'!$D$2),IF('עלויות כח אדם (6)'!J2609&lt;75,"לא תקין","תקין"),"")</f>
        <v/>
      </c>
      <c r="AE2609" s="374" t="str">
        <f t="shared" si="614"/>
        <v/>
      </c>
      <c r="AF2609" s="532" t="str">
        <f t="shared" si="615"/>
        <v/>
      </c>
    </row>
    <row r="2610" spans="2:32" x14ac:dyDescent="0.25">
      <c r="B2610" s="695"/>
      <c r="C2610" s="197" t="str">
        <f>IF(B2610&lt;&gt;"",IFERROR(VLOOKUP(B:B,'מצבת והרשמה (2)'!$C$20:$N$520,2,0)," ")," ")</f>
        <v xml:space="preserve"> </v>
      </c>
      <c r="D2610" s="695"/>
      <c r="E2610" s="696"/>
      <c r="F2610" s="696"/>
      <c r="G2610" s="696"/>
      <c r="H2610" s="696"/>
      <c r="I2610" s="1050" t="str">
        <f t="shared" si="602"/>
        <v/>
      </c>
      <c r="J2610" s="696"/>
      <c r="K2610" s="697"/>
      <c r="L2610" s="696"/>
      <c r="M2610" s="198" t="str">
        <f t="shared" si="603"/>
        <v/>
      </c>
      <c r="N2610" s="369" t="str">
        <f t="shared" si="604"/>
        <v/>
      </c>
      <c r="O2610" s="183" t="str">
        <f t="shared" si="605"/>
        <v/>
      </c>
      <c r="P2610" s="199" t="str">
        <f t="shared" si="606"/>
        <v/>
      </c>
      <c r="Q2610" s="199" t="str">
        <f>IF(B2610="","",IFERROR(IF('עלויות כח אדם (6)'!J2610&gt;=VLOOKUP(I2610,'סיווג התפקידים והעלויות'!$B$23:$C$32,2,0),"תקין","לא תקין"),""))</f>
        <v/>
      </c>
      <c r="R2610" s="199" t="str">
        <f t="shared" si="607"/>
        <v/>
      </c>
      <c r="S2610" s="199" t="str">
        <f t="shared" si="608"/>
        <v/>
      </c>
      <c r="T2610" s="199" t="str">
        <f t="shared" si="616"/>
        <v/>
      </c>
      <c r="U2610" s="199" t="str">
        <f t="shared" si="609"/>
        <v/>
      </c>
      <c r="V2610" s="989"/>
      <c r="X2610" s="374" t="str">
        <f t="shared" si="610"/>
        <v/>
      </c>
      <c r="Y2610" s="375" t="str">
        <f t="shared" si="611"/>
        <v/>
      </c>
      <c r="Z2610" s="374" t="str">
        <f t="shared" si="612"/>
        <v/>
      </c>
      <c r="AA2610" s="374" t="b">
        <f t="shared" si="613"/>
        <v>1</v>
      </c>
      <c r="AB2610" s="374">
        <f>COUNTIFS(B:B,B2610,H:H,'סיווג התפקידים והעלויות'!$C$2)</f>
        <v>0</v>
      </c>
      <c r="AC2610" s="374">
        <f>COUNTIFS(B:B,B2610,H:H,'סיווג התפקידים והעלויות'!$D$2)</f>
        <v>0</v>
      </c>
      <c r="AD2610" s="374" t="str">
        <f>IF(OR(AND(H2610='סיווג התפקידים והעלויות'!$A$2,I2610='סיווג התפקידים והעלויות'!$A$3),'עלויות כח אדם (6)'!H2610='סיווג התפקידים והעלויות'!$C$2,'עלויות כח אדם (6)'!H2610='סיווג התפקידים והעלויות'!$D$2),IF('עלויות כח אדם (6)'!J2610&lt;75,"לא תקין","תקין"),"")</f>
        <v/>
      </c>
      <c r="AE2610" s="374" t="str">
        <f t="shared" si="614"/>
        <v/>
      </c>
      <c r="AF2610" s="532" t="str">
        <f t="shared" si="615"/>
        <v/>
      </c>
    </row>
    <row r="2611" spans="2:32" x14ac:dyDescent="0.25">
      <c r="B2611" s="695"/>
      <c r="C2611" s="197" t="str">
        <f>IF(B2611&lt;&gt;"",IFERROR(VLOOKUP(B:B,'מצבת והרשמה (2)'!$C$20:$N$520,2,0)," ")," ")</f>
        <v xml:space="preserve"> </v>
      </c>
      <c r="D2611" s="695"/>
      <c r="E2611" s="696"/>
      <c r="F2611" s="696"/>
      <c r="G2611" s="696"/>
      <c r="H2611" s="696"/>
      <c r="I2611" s="1050" t="str">
        <f t="shared" si="602"/>
        <v/>
      </c>
      <c r="J2611" s="696"/>
      <c r="K2611" s="697"/>
      <c r="L2611" s="696"/>
      <c r="M2611" s="198" t="str">
        <f t="shared" si="603"/>
        <v/>
      </c>
      <c r="N2611" s="369" t="str">
        <f t="shared" si="604"/>
        <v/>
      </c>
      <c r="O2611" s="183" t="str">
        <f t="shared" si="605"/>
        <v/>
      </c>
      <c r="P2611" s="199" t="str">
        <f t="shared" si="606"/>
        <v/>
      </c>
      <c r="Q2611" s="199" t="str">
        <f>IF(B2611="","",IFERROR(IF('עלויות כח אדם (6)'!J2611&gt;=VLOOKUP(I2611,'סיווג התפקידים והעלויות'!$B$23:$C$32,2,0),"תקין","לא תקין"),""))</f>
        <v/>
      </c>
      <c r="R2611" s="199" t="str">
        <f t="shared" si="607"/>
        <v/>
      </c>
      <c r="S2611" s="199" t="str">
        <f t="shared" si="608"/>
        <v/>
      </c>
      <c r="T2611" s="199" t="str">
        <f t="shared" si="616"/>
        <v/>
      </c>
      <c r="U2611" s="199" t="str">
        <f t="shared" si="609"/>
        <v/>
      </c>
      <c r="V2611" s="989"/>
      <c r="X2611" s="374" t="str">
        <f t="shared" si="610"/>
        <v/>
      </c>
      <c r="Y2611" s="375" t="str">
        <f t="shared" si="611"/>
        <v/>
      </c>
      <c r="Z2611" s="374" t="str">
        <f t="shared" si="612"/>
        <v/>
      </c>
      <c r="AA2611" s="374" t="b">
        <f t="shared" si="613"/>
        <v>1</v>
      </c>
      <c r="AB2611" s="374">
        <f>COUNTIFS(B:B,B2611,H:H,'סיווג התפקידים והעלויות'!$C$2)</f>
        <v>0</v>
      </c>
      <c r="AC2611" s="374">
        <f>COUNTIFS(B:B,B2611,H:H,'סיווג התפקידים והעלויות'!$D$2)</f>
        <v>0</v>
      </c>
      <c r="AD2611" s="374" t="str">
        <f>IF(OR(AND(H2611='סיווג התפקידים והעלויות'!$A$2,I2611='סיווג התפקידים והעלויות'!$A$3),'עלויות כח אדם (6)'!H2611='סיווג התפקידים והעלויות'!$C$2,'עלויות כח אדם (6)'!H2611='סיווג התפקידים והעלויות'!$D$2),IF('עלויות כח אדם (6)'!J2611&lt;75,"לא תקין","תקין"),"")</f>
        <v/>
      </c>
      <c r="AE2611" s="374" t="str">
        <f t="shared" si="614"/>
        <v/>
      </c>
      <c r="AF2611" s="532" t="str">
        <f t="shared" si="615"/>
        <v/>
      </c>
    </row>
    <row r="2612" spans="2:32" x14ac:dyDescent="0.25">
      <c r="B2612" s="695"/>
      <c r="C2612" s="197" t="str">
        <f>IF(B2612&lt;&gt;"",IFERROR(VLOOKUP(B:B,'מצבת והרשמה (2)'!$C$20:$N$520,2,0)," ")," ")</f>
        <v xml:space="preserve"> </v>
      </c>
      <c r="D2612" s="695"/>
      <c r="E2612" s="696"/>
      <c r="F2612" s="696"/>
      <c r="G2612" s="696"/>
      <c r="H2612" s="696"/>
      <c r="I2612" s="1050" t="str">
        <f t="shared" si="602"/>
        <v/>
      </c>
      <c r="J2612" s="696"/>
      <c r="K2612" s="697"/>
      <c r="L2612" s="696"/>
      <c r="M2612" s="198" t="str">
        <f t="shared" si="603"/>
        <v/>
      </c>
      <c r="N2612" s="369" t="str">
        <f t="shared" si="604"/>
        <v/>
      </c>
      <c r="O2612" s="183" t="str">
        <f t="shared" si="605"/>
        <v/>
      </c>
      <c r="P2612" s="199" t="str">
        <f t="shared" si="606"/>
        <v/>
      </c>
      <c r="Q2612" s="199" t="str">
        <f>IF(B2612="","",IFERROR(IF('עלויות כח אדם (6)'!J2612&gt;=VLOOKUP(I2612,'סיווג התפקידים והעלויות'!$B$23:$C$32,2,0),"תקין","לא תקין"),""))</f>
        <v/>
      </c>
      <c r="R2612" s="199" t="str">
        <f t="shared" si="607"/>
        <v/>
      </c>
      <c r="S2612" s="199" t="str">
        <f t="shared" si="608"/>
        <v/>
      </c>
      <c r="T2612" s="199" t="str">
        <f t="shared" si="616"/>
        <v/>
      </c>
      <c r="U2612" s="199" t="str">
        <f t="shared" si="609"/>
        <v/>
      </c>
      <c r="V2612" s="989"/>
      <c r="X2612" s="374" t="str">
        <f t="shared" si="610"/>
        <v/>
      </c>
      <c r="Y2612" s="375" t="str">
        <f t="shared" si="611"/>
        <v/>
      </c>
      <c r="Z2612" s="374" t="str">
        <f t="shared" si="612"/>
        <v/>
      </c>
      <c r="AA2612" s="374" t="b">
        <f t="shared" si="613"/>
        <v>1</v>
      </c>
      <c r="AB2612" s="374">
        <f>COUNTIFS(B:B,B2612,H:H,'סיווג התפקידים והעלויות'!$C$2)</f>
        <v>0</v>
      </c>
      <c r="AC2612" s="374">
        <f>COUNTIFS(B:B,B2612,H:H,'סיווג התפקידים והעלויות'!$D$2)</f>
        <v>0</v>
      </c>
      <c r="AD2612" s="374" t="str">
        <f>IF(OR(AND(H2612='סיווג התפקידים והעלויות'!$A$2,I2612='סיווג התפקידים והעלויות'!$A$3),'עלויות כח אדם (6)'!H2612='סיווג התפקידים והעלויות'!$C$2,'עלויות כח אדם (6)'!H2612='סיווג התפקידים והעלויות'!$D$2),IF('עלויות כח אדם (6)'!J2612&lt;75,"לא תקין","תקין"),"")</f>
        <v/>
      </c>
      <c r="AE2612" s="374" t="str">
        <f t="shared" si="614"/>
        <v/>
      </c>
      <c r="AF2612" s="532" t="str">
        <f t="shared" si="615"/>
        <v/>
      </c>
    </row>
    <row r="2613" spans="2:32" x14ac:dyDescent="0.25">
      <c r="B2613" s="695"/>
      <c r="C2613" s="197" t="str">
        <f>IF(B2613&lt;&gt;"",IFERROR(VLOOKUP(B:B,'מצבת והרשמה (2)'!$C$20:$N$520,2,0)," ")," ")</f>
        <v xml:space="preserve"> </v>
      </c>
      <c r="D2613" s="695"/>
      <c r="E2613" s="696"/>
      <c r="F2613" s="696"/>
      <c r="G2613" s="696"/>
      <c r="H2613" s="696"/>
      <c r="I2613" s="1050" t="str">
        <f t="shared" si="602"/>
        <v/>
      </c>
      <c r="J2613" s="696"/>
      <c r="K2613" s="697"/>
      <c r="L2613" s="696"/>
      <c r="M2613" s="198" t="str">
        <f t="shared" si="603"/>
        <v/>
      </c>
      <c r="N2613" s="369" t="str">
        <f t="shared" si="604"/>
        <v/>
      </c>
      <c r="O2613" s="183" t="str">
        <f t="shared" si="605"/>
        <v/>
      </c>
      <c r="P2613" s="199" t="str">
        <f t="shared" si="606"/>
        <v/>
      </c>
      <c r="Q2613" s="199" t="str">
        <f>IF(B2613="","",IFERROR(IF('עלויות כח אדם (6)'!J2613&gt;=VLOOKUP(I2613,'סיווג התפקידים והעלויות'!$B$23:$C$32,2,0),"תקין","לא תקין"),""))</f>
        <v/>
      </c>
      <c r="R2613" s="199" t="str">
        <f t="shared" si="607"/>
        <v/>
      </c>
      <c r="S2613" s="199" t="str">
        <f t="shared" si="608"/>
        <v/>
      </c>
      <c r="T2613" s="199" t="str">
        <f t="shared" si="616"/>
        <v/>
      </c>
      <c r="U2613" s="199" t="str">
        <f t="shared" si="609"/>
        <v/>
      </c>
      <c r="V2613" s="989"/>
      <c r="X2613" s="374" t="str">
        <f t="shared" si="610"/>
        <v/>
      </c>
      <c r="Y2613" s="375" t="str">
        <f t="shared" si="611"/>
        <v/>
      </c>
      <c r="Z2613" s="374" t="str">
        <f t="shared" si="612"/>
        <v/>
      </c>
      <c r="AA2613" s="374" t="b">
        <f t="shared" si="613"/>
        <v>1</v>
      </c>
      <c r="AB2613" s="374">
        <f>COUNTIFS(B:B,B2613,H:H,'סיווג התפקידים והעלויות'!$C$2)</f>
        <v>0</v>
      </c>
      <c r="AC2613" s="374">
        <f>COUNTIFS(B:B,B2613,H:H,'סיווג התפקידים והעלויות'!$D$2)</f>
        <v>0</v>
      </c>
      <c r="AD2613" s="374" t="str">
        <f>IF(OR(AND(H2613='סיווג התפקידים והעלויות'!$A$2,I2613='סיווג התפקידים והעלויות'!$A$3),'עלויות כח אדם (6)'!H2613='סיווג התפקידים והעלויות'!$C$2,'עלויות כח אדם (6)'!H2613='סיווג התפקידים והעלויות'!$D$2),IF('עלויות כח אדם (6)'!J2613&lt;75,"לא תקין","תקין"),"")</f>
        <v/>
      </c>
      <c r="AE2613" s="374" t="str">
        <f t="shared" si="614"/>
        <v/>
      </c>
      <c r="AF2613" s="532" t="str">
        <f t="shared" si="615"/>
        <v/>
      </c>
    </row>
    <row r="2614" spans="2:32" x14ac:dyDescent="0.25">
      <c r="B2614" s="695"/>
      <c r="C2614" s="197" t="str">
        <f>IF(B2614&lt;&gt;"",IFERROR(VLOOKUP(B:B,'מצבת והרשמה (2)'!$C$20:$N$520,2,0)," ")," ")</f>
        <v xml:space="preserve"> </v>
      </c>
      <c r="D2614" s="695"/>
      <c r="E2614" s="696"/>
      <c r="F2614" s="696"/>
      <c r="G2614" s="696"/>
      <c r="H2614" s="696"/>
      <c r="I2614" s="1050" t="str">
        <f t="shared" si="602"/>
        <v/>
      </c>
      <c r="J2614" s="696"/>
      <c r="K2614" s="697"/>
      <c r="L2614" s="696"/>
      <c r="M2614" s="198" t="str">
        <f t="shared" si="603"/>
        <v/>
      </c>
      <c r="N2614" s="369" t="str">
        <f t="shared" si="604"/>
        <v/>
      </c>
      <c r="O2614" s="183" t="str">
        <f t="shared" si="605"/>
        <v/>
      </c>
      <c r="P2614" s="199" t="str">
        <f t="shared" si="606"/>
        <v/>
      </c>
      <c r="Q2614" s="199" t="str">
        <f>IF(B2614="","",IFERROR(IF('עלויות כח אדם (6)'!J2614&gt;=VLOOKUP(I2614,'סיווג התפקידים והעלויות'!$B$23:$C$32,2,0),"תקין","לא תקין"),""))</f>
        <v/>
      </c>
      <c r="R2614" s="199" t="str">
        <f t="shared" si="607"/>
        <v/>
      </c>
      <c r="S2614" s="199" t="str">
        <f t="shared" si="608"/>
        <v/>
      </c>
      <c r="T2614" s="199" t="str">
        <f t="shared" si="616"/>
        <v/>
      </c>
      <c r="U2614" s="199" t="str">
        <f t="shared" si="609"/>
        <v/>
      </c>
      <c r="V2614" s="989"/>
      <c r="X2614" s="374" t="str">
        <f t="shared" si="610"/>
        <v/>
      </c>
      <c r="Y2614" s="375" t="str">
        <f t="shared" si="611"/>
        <v/>
      </c>
      <c r="Z2614" s="374" t="str">
        <f t="shared" si="612"/>
        <v/>
      </c>
      <c r="AA2614" s="374" t="b">
        <f t="shared" si="613"/>
        <v>1</v>
      </c>
      <c r="AB2614" s="374">
        <f>COUNTIFS(B:B,B2614,H:H,'סיווג התפקידים והעלויות'!$C$2)</f>
        <v>0</v>
      </c>
      <c r="AC2614" s="374">
        <f>COUNTIFS(B:B,B2614,H:H,'סיווג התפקידים והעלויות'!$D$2)</f>
        <v>0</v>
      </c>
      <c r="AD2614" s="374" t="str">
        <f>IF(OR(AND(H2614='סיווג התפקידים והעלויות'!$A$2,I2614='סיווג התפקידים והעלויות'!$A$3),'עלויות כח אדם (6)'!H2614='סיווג התפקידים והעלויות'!$C$2,'עלויות כח אדם (6)'!H2614='סיווג התפקידים והעלויות'!$D$2),IF('עלויות כח אדם (6)'!J2614&lt;75,"לא תקין","תקין"),"")</f>
        <v/>
      </c>
      <c r="AE2614" s="374" t="str">
        <f t="shared" si="614"/>
        <v/>
      </c>
      <c r="AF2614" s="532" t="str">
        <f t="shared" si="615"/>
        <v/>
      </c>
    </row>
    <row r="2615" spans="2:32" x14ac:dyDescent="0.25">
      <c r="B2615" s="695"/>
      <c r="C2615" s="197" t="str">
        <f>IF(B2615&lt;&gt;"",IFERROR(VLOOKUP(B:B,'מצבת והרשמה (2)'!$C$20:$N$520,2,0)," ")," ")</f>
        <v xml:space="preserve"> </v>
      </c>
      <c r="D2615" s="695"/>
      <c r="E2615" s="696"/>
      <c r="F2615" s="696"/>
      <c r="G2615" s="696"/>
      <c r="H2615" s="696"/>
      <c r="I2615" s="1050" t="str">
        <f t="shared" si="602"/>
        <v/>
      </c>
      <c r="J2615" s="696"/>
      <c r="K2615" s="697"/>
      <c r="L2615" s="696"/>
      <c r="M2615" s="198" t="str">
        <f t="shared" si="603"/>
        <v/>
      </c>
      <c r="N2615" s="369" t="str">
        <f t="shared" si="604"/>
        <v/>
      </c>
      <c r="O2615" s="183" t="str">
        <f t="shared" si="605"/>
        <v/>
      </c>
      <c r="P2615" s="199" t="str">
        <f t="shared" si="606"/>
        <v/>
      </c>
      <c r="Q2615" s="199" t="str">
        <f>IF(B2615="","",IFERROR(IF('עלויות כח אדם (6)'!J2615&gt;=VLOOKUP(I2615,'סיווג התפקידים והעלויות'!$B$23:$C$32,2,0),"תקין","לא תקין"),""))</f>
        <v/>
      </c>
      <c r="R2615" s="199" t="str">
        <f t="shared" si="607"/>
        <v/>
      </c>
      <c r="S2615" s="199" t="str">
        <f t="shared" si="608"/>
        <v/>
      </c>
      <c r="T2615" s="199" t="str">
        <f t="shared" si="616"/>
        <v/>
      </c>
      <c r="U2615" s="199" t="str">
        <f t="shared" si="609"/>
        <v/>
      </c>
      <c r="V2615" s="989"/>
      <c r="X2615" s="374" t="str">
        <f t="shared" si="610"/>
        <v/>
      </c>
      <c r="Y2615" s="375" t="str">
        <f t="shared" si="611"/>
        <v/>
      </c>
      <c r="Z2615" s="374" t="str">
        <f t="shared" si="612"/>
        <v/>
      </c>
      <c r="AA2615" s="374" t="b">
        <f t="shared" si="613"/>
        <v>1</v>
      </c>
      <c r="AB2615" s="374">
        <f>COUNTIFS(B:B,B2615,H:H,'סיווג התפקידים והעלויות'!$C$2)</f>
        <v>0</v>
      </c>
      <c r="AC2615" s="374">
        <f>COUNTIFS(B:B,B2615,H:H,'סיווג התפקידים והעלויות'!$D$2)</f>
        <v>0</v>
      </c>
      <c r="AD2615" s="374" t="str">
        <f>IF(OR(AND(H2615='סיווג התפקידים והעלויות'!$A$2,I2615='סיווג התפקידים והעלויות'!$A$3),'עלויות כח אדם (6)'!H2615='סיווג התפקידים והעלויות'!$C$2,'עלויות כח אדם (6)'!H2615='סיווג התפקידים והעלויות'!$D$2),IF('עלויות כח אדם (6)'!J2615&lt;75,"לא תקין","תקין"),"")</f>
        <v/>
      </c>
      <c r="AE2615" s="374" t="str">
        <f t="shared" si="614"/>
        <v/>
      </c>
      <c r="AF2615" s="532" t="str">
        <f t="shared" si="615"/>
        <v/>
      </c>
    </row>
    <row r="2616" spans="2:32" x14ac:dyDescent="0.25">
      <c r="B2616" s="695"/>
      <c r="C2616" s="197" t="str">
        <f>IF(B2616&lt;&gt;"",IFERROR(VLOOKUP(B:B,'מצבת והרשמה (2)'!$C$20:$N$520,2,0)," ")," ")</f>
        <v xml:space="preserve"> </v>
      </c>
      <c r="D2616" s="695"/>
      <c r="E2616" s="696"/>
      <c r="F2616" s="696"/>
      <c r="G2616" s="696"/>
      <c r="H2616" s="696"/>
      <c r="I2616" s="1050" t="str">
        <f t="shared" si="602"/>
        <v/>
      </c>
      <c r="J2616" s="696"/>
      <c r="K2616" s="697"/>
      <c r="L2616" s="696"/>
      <c r="M2616" s="198" t="str">
        <f t="shared" si="603"/>
        <v/>
      </c>
      <c r="N2616" s="369" t="str">
        <f t="shared" si="604"/>
        <v/>
      </c>
      <c r="O2616" s="183" t="str">
        <f t="shared" si="605"/>
        <v/>
      </c>
      <c r="P2616" s="199" t="str">
        <f t="shared" si="606"/>
        <v/>
      </c>
      <c r="Q2616" s="199" t="str">
        <f>IF(B2616="","",IFERROR(IF('עלויות כח אדם (6)'!J2616&gt;=VLOOKUP(I2616,'סיווג התפקידים והעלויות'!$B$23:$C$32,2,0),"תקין","לא תקין"),""))</f>
        <v/>
      </c>
      <c r="R2616" s="199" t="str">
        <f t="shared" si="607"/>
        <v/>
      </c>
      <c r="S2616" s="199" t="str">
        <f t="shared" si="608"/>
        <v/>
      </c>
      <c r="T2616" s="199" t="str">
        <f t="shared" si="616"/>
        <v/>
      </c>
      <c r="U2616" s="199" t="str">
        <f t="shared" si="609"/>
        <v/>
      </c>
      <c r="V2616" s="989"/>
      <c r="X2616" s="374" t="str">
        <f t="shared" si="610"/>
        <v/>
      </c>
      <c r="Y2616" s="375" t="str">
        <f t="shared" si="611"/>
        <v/>
      </c>
      <c r="Z2616" s="374" t="str">
        <f t="shared" si="612"/>
        <v/>
      </c>
      <c r="AA2616" s="374" t="b">
        <f t="shared" si="613"/>
        <v>1</v>
      </c>
      <c r="AB2616" s="374">
        <f>COUNTIFS(B:B,B2616,H:H,'סיווג התפקידים והעלויות'!$C$2)</f>
        <v>0</v>
      </c>
      <c r="AC2616" s="374">
        <f>COUNTIFS(B:B,B2616,H:H,'סיווג התפקידים והעלויות'!$D$2)</f>
        <v>0</v>
      </c>
      <c r="AD2616" s="374" t="str">
        <f>IF(OR(AND(H2616='סיווג התפקידים והעלויות'!$A$2,I2616='סיווג התפקידים והעלויות'!$A$3),'עלויות כח אדם (6)'!H2616='סיווג התפקידים והעלויות'!$C$2,'עלויות כח אדם (6)'!H2616='סיווג התפקידים והעלויות'!$D$2),IF('עלויות כח אדם (6)'!J2616&lt;75,"לא תקין","תקין"),"")</f>
        <v/>
      </c>
      <c r="AE2616" s="374" t="str">
        <f t="shared" si="614"/>
        <v/>
      </c>
      <c r="AF2616" s="532" t="str">
        <f t="shared" si="615"/>
        <v/>
      </c>
    </row>
    <row r="2617" spans="2:32" x14ac:dyDescent="0.25">
      <c r="B2617" s="695"/>
      <c r="C2617" s="197" t="str">
        <f>IF(B2617&lt;&gt;"",IFERROR(VLOOKUP(B:B,'מצבת והרשמה (2)'!$C$20:$N$520,2,0)," ")," ")</f>
        <v xml:space="preserve"> </v>
      </c>
      <c r="D2617" s="695"/>
      <c r="E2617" s="696"/>
      <c r="F2617" s="696"/>
      <c r="G2617" s="696"/>
      <c r="H2617" s="696"/>
      <c r="I2617" s="1050" t="str">
        <f t="shared" si="602"/>
        <v/>
      </c>
      <c r="J2617" s="696"/>
      <c r="K2617" s="697"/>
      <c r="L2617" s="696"/>
      <c r="M2617" s="198" t="str">
        <f t="shared" si="603"/>
        <v/>
      </c>
      <c r="N2617" s="369" t="str">
        <f t="shared" si="604"/>
        <v/>
      </c>
      <c r="O2617" s="183" t="str">
        <f t="shared" si="605"/>
        <v/>
      </c>
      <c r="P2617" s="199" t="str">
        <f t="shared" si="606"/>
        <v/>
      </c>
      <c r="Q2617" s="199" t="str">
        <f>IF(B2617="","",IFERROR(IF('עלויות כח אדם (6)'!J2617&gt;=VLOOKUP(I2617,'סיווג התפקידים והעלויות'!$B$23:$C$32,2,0),"תקין","לא תקין"),""))</f>
        <v/>
      </c>
      <c r="R2617" s="199" t="str">
        <f t="shared" si="607"/>
        <v/>
      </c>
      <c r="S2617" s="199" t="str">
        <f t="shared" si="608"/>
        <v/>
      </c>
      <c r="T2617" s="199" t="str">
        <f t="shared" si="616"/>
        <v/>
      </c>
      <c r="U2617" s="199" t="str">
        <f t="shared" si="609"/>
        <v/>
      </c>
      <c r="V2617" s="989"/>
      <c r="X2617" s="374" t="str">
        <f t="shared" si="610"/>
        <v/>
      </c>
      <c r="Y2617" s="375" t="str">
        <f t="shared" si="611"/>
        <v/>
      </c>
      <c r="Z2617" s="374" t="str">
        <f t="shared" si="612"/>
        <v/>
      </c>
      <c r="AA2617" s="374" t="b">
        <f t="shared" si="613"/>
        <v>1</v>
      </c>
      <c r="AB2617" s="374">
        <f>COUNTIFS(B:B,B2617,H:H,'סיווג התפקידים והעלויות'!$C$2)</f>
        <v>0</v>
      </c>
      <c r="AC2617" s="374">
        <f>COUNTIFS(B:B,B2617,H:H,'סיווג התפקידים והעלויות'!$D$2)</f>
        <v>0</v>
      </c>
      <c r="AD2617" s="374" t="str">
        <f>IF(OR(AND(H2617='סיווג התפקידים והעלויות'!$A$2,I2617='סיווג התפקידים והעלויות'!$A$3),'עלויות כח אדם (6)'!H2617='סיווג התפקידים והעלויות'!$C$2,'עלויות כח אדם (6)'!H2617='סיווג התפקידים והעלויות'!$D$2),IF('עלויות כח אדם (6)'!J2617&lt;75,"לא תקין","תקין"),"")</f>
        <v/>
      </c>
      <c r="AE2617" s="374" t="str">
        <f t="shared" si="614"/>
        <v/>
      </c>
      <c r="AF2617" s="532" t="str">
        <f t="shared" si="615"/>
        <v/>
      </c>
    </row>
    <row r="2618" spans="2:32" x14ac:dyDescent="0.25">
      <c r="B2618" s="695"/>
      <c r="C2618" s="197" t="str">
        <f>IF(B2618&lt;&gt;"",IFERROR(VLOOKUP(B:B,'מצבת והרשמה (2)'!$C$20:$N$520,2,0)," ")," ")</f>
        <v xml:space="preserve"> </v>
      </c>
      <c r="D2618" s="695"/>
      <c r="E2618" s="696"/>
      <c r="F2618" s="696"/>
      <c r="G2618" s="696"/>
      <c r="H2618" s="696"/>
      <c r="I2618" s="1050" t="str">
        <f t="shared" si="602"/>
        <v/>
      </c>
      <c r="J2618" s="696"/>
      <c r="K2618" s="697"/>
      <c r="L2618" s="696"/>
      <c r="M2618" s="198" t="str">
        <f t="shared" si="603"/>
        <v/>
      </c>
      <c r="N2618" s="369" t="str">
        <f t="shared" si="604"/>
        <v/>
      </c>
      <c r="O2618" s="183" t="str">
        <f t="shared" si="605"/>
        <v/>
      </c>
      <c r="P2618" s="199" t="str">
        <f t="shared" si="606"/>
        <v/>
      </c>
      <c r="Q2618" s="199" t="str">
        <f>IF(B2618="","",IFERROR(IF('עלויות כח אדם (6)'!J2618&gt;=VLOOKUP(I2618,'סיווג התפקידים והעלויות'!$B$23:$C$32,2,0),"תקין","לא תקין"),""))</f>
        <v/>
      </c>
      <c r="R2618" s="199" t="str">
        <f t="shared" si="607"/>
        <v/>
      </c>
      <c r="S2618" s="199" t="str">
        <f t="shared" si="608"/>
        <v/>
      </c>
      <c r="T2618" s="199" t="str">
        <f t="shared" si="616"/>
        <v/>
      </c>
      <c r="U2618" s="199" t="str">
        <f t="shared" si="609"/>
        <v/>
      </c>
      <c r="V2618" s="989"/>
      <c r="X2618" s="374" t="str">
        <f t="shared" si="610"/>
        <v/>
      </c>
      <c r="Y2618" s="375" t="str">
        <f t="shared" si="611"/>
        <v/>
      </c>
      <c r="Z2618" s="374" t="str">
        <f t="shared" si="612"/>
        <v/>
      </c>
      <c r="AA2618" s="374" t="b">
        <f t="shared" si="613"/>
        <v>1</v>
      </c>
      <c r="AB2618" s="374">
        <f>COUNTIFS(B:B,B2618,H:H,'סיווג התפקידים והעלויות'!$C$2)</f>
        <v>0</v>
      </c>
      <c r="AC2618" s="374">
        <f>COUNTIFS(B:B,B2618,H:H,'סיווג התפקידים והעלויות'!$D$2)</f>
        <v>0</v>
      </c>
      <c r="AD2618" s="374" t="str">
        <f>IF(OR(AND(H2618='סיווג התפקידים והעלויות'!$A$2,I2618='סיווג התפקידים והעלויות'!$A$3),'עלויות כח אדם (6)'!H2618='סיווג התפקידים והעלויות'!$C$2,'עלויות כח אדם (6)'!H2618='סיווג התפקידים והעלויות'!$D$2),IF('עלויות כח אדם (6)'!J2618&lt;75,"לא תקין","תקין"),"")</f>
        <v/>
      </c>
      <c r="AE2618" s="374" t="str">
        <f t="shared" si="614"/>
        <v/>
      </c>
      <c r="AF2618" s="532" t="str">
        <f t="shared" si="615"/>
        <v/>
      </c>
    </row>
    <row r="2619" spans="2:32" x14ac:dyDescent="0.25">
      <c r="B2619" s="695"/>
      <c r="C2619" s="197" t="str">
        <f>IF(B2619&lt;&gt;"",IFERROR(VLOOKUP(B:B,'מצבת והרשמה (2)'!$C$20:$N$520,2,0)," ")," ")</f>
        <v xml:space="preserve"> </v>
      </c>
      <c r="D2619" s="695"/>
      <c r="E2619" s="696"/>
      <c r="F2619" s="696"/>
      <c r="G2619" s="696"/>
      <c r="H2619" s="696"/>
      <c r="I2619" s="1050" t="str">
        <f t="shared" si="602"/>
        <v/>
      </c>
      <c r="J2619" s="696"/>
      <c r="K2619" s="697"/>
      <c r="L2619" s="696"/>
      <c r="M2619" s="198" t="str">
        <f t="shared" si="603"/>
        <v/>
      </c>
      <c r="N2619" s="369" t="str">
        <f t="shared" si="604"/>
        <v/>
      </c>
      <c r="O2619" s="183" t="str">
        <f t="shared" si="605"/>
        <v/>
      </c>
      <c r="P2619" s="199" t="str">
        <f t="shared" si="606"/>
        <v/>
      </c>
      <c r="Q2619" s="199" t="str">
        <f>IF(B2619="","",IFERROR(IF('עלויות כח אדם (6)'!J2619&gt;=VLOOKUP(I2619,'סיווג התפקידים והעלויות'!$B$23:$C$32,2,0),"תקין","לא תקין"),""))</f>
        <v/>
      </c>
      <c r="R2619" s="199" t="str">
        <f t="shared" si="607"/>
        <v/>
      </c>
      <c r="S2619" s="199" t="str">
        <f t="shared" si="608"/>
        <v/>
      </c>
      <c r="T2619" s="199" t="str">
        <f t="shared" si="616"/>
        <v/>
      </c>
      <c r="U2619" s="199" t="str">
        <f t="shared" si="609"/>
        <v/>
      </c>
      <c r="V2619" s="989"/>
      <c r="X2619" s="374" t="str">
        <f t="shared" si="610"/>
        <v/>
      </c>
      <c r="Y2619" s="375" t="str">
        <f t="shared" si="611"/>
        <v/>
      </c>
      <c r="Z2619" s="374" t="str">
        <f t="shared" si="612"/>
        <v/>
      </c>
      <c r="AA2619" s="374" t="b">
        <f t="shared" si="613"/>
        <v>1</v>
      </c>
      <c r="AB2619" s="374">
        <f>COUNTIFS(B:B,B2619,H:H,'סיווג התפקידים והעלויות'!$C$2)</f>
        <v>0</v>
      </c>
      <c r="AC2619" s="374">
        <f>COUNTIFS(B:B,B2619,H:H,'סיווג התפקידים והעלויות'!$D$2)</f>
        <v>0</v>
      </c>
      <c r="AD2619" s="374" t="str">
        <f>IF(OR(AND(H2619='סיווג התפקידים והעלויות'!$A$2,I2619='סיווג התפקידים והעלויות'!$A$3),'עלויות כח אדם (6)'!H2619='סיווג התפקידים והעלויות'!$C$2,'עלויות כח אדם (6)'!H2619='סיווג התפקידים והעלויות'!$D$2),IF('עלויות כח אדם (6)'!J2619&lt;75,"לא תקין","תקין"),"")</f>
        <v/>
      </c>
      <c r="AE2619" s="374" t="str">
        <f t="shared" si="614"/>
        <v/>
      </c>
      <c r="AF2619" s="532" t="str">
        <f t="shared" si="615"/>
        <v/>
      </c>
    </row>
    <row r="2620" spans="2:32" x14ac:dyDescent="0.25">
      <c r="B2620" s="695"/>
      <c r="C2620" s="197" t="str">
        <f>IF(B2620&lt;&gt;"",IFERROR(VLOOKUP(B:B,'מצבת והרשמה (2)'!$C$20:$N$520,2,0)," ")," ")</f>
        <v xml:space="preserve"> </v>
      </c>
      <c r="D2620" s="695"/>
      <c r="E2620" s="696"/>
      <c r="F2620" s="696"/>
      <c r="G2620" s="696"/>
      <c r="H2620" s="696"/>
      <c r="I2620" s="1050" t="str">
        <f t="shared" si="602"/>
        <v/>
      </c>
      <c r="J2620" s="696"/>
      <c r="K2620" s="697"/>
      <c r="L2620" s="696"/>
      <c r="M2620" s="198" t="str">
        <f t="shared" si="603"/>
        <v/>
      </c>
      <c r="N2620" s="369" t="str">
        <f t="shared" si="604"/>
        <v/>
      </c>
      <c r="O2620" s="183" t="str">
        <f t="shared" si="605"/>
        <v/>
      </c>
      <c r="P2620" s="199" t="str">
        <f t="shared" si="606"/>
        <v/>
      </c>
      <c r="Q2620" s="199" t="str">
        <f>IF(B2620="","",IFERROR(IF('עלויות כח אדם (6)'!J2620&gt;=VLOOKUP(I2620,'סיווג התפקידים והעלויות'!$B$23:$C$32,2,0),"תקין","לא תקין"),""))</f>
        <v/>
      </c>
      <c r="R2620" s="199" t="str">
        <f t="shared" si="607"/>
        <v/>
      </c>
      <c r="S2620" s="199" t="str">
        <f t="shared" si="608"/>
        <v/>
      </c>
      <c r="T2620" s="199" t="str">
        <f t="shared" si="616"/>
        <v/>
      </c>
      <c r="U2620" s="199" t="str">
        <f t="shared" si="609"/>
        <v/>
      </c>
      <c r="V2620" s="989"/>
      <c r="X2620" s="374" t="str">
        <f t="shared" si="610"/>
        <v/>
      </c>
      <c r="Y2620" s="375" t="str">
        <f t="shared" si="611"/>
        <v/>
      </c>
      <c r="Z2620" s="374" t="str">
        <f t="shared" si="612"/>
        <v/>
      </c>
      <c r="AA2620" s="374" t="b">
        <f t="shared" si="613"/>
        <v>1</v>
      </c>
      <c r="AB2620" s="374">
        <f>COUNTIFS(B:B,B2620,H:H,'סיווג התפקידים והעלויות'!$C$2)</f>
        <v>0</v>
      </c>
      <c r="AC2620" s="374">
        <f>COUNTIFS(B:B,B2620,H:H,'סיווג התפקידים והעלויות'!$D$2)</f>
        <v>0</v>
      </c>
      <c r="AD2620" s="374" t="str">
        <f>IF(OR(AND(H2620='סיווג התפקידים והעלויות'!$A$2,I2620='סיווג התפקידים והעלויות'!$A$3),'עלויות כח אדם (6)'!H2620='סיווג התפקידים והעלויות'!$C$2,'עלויות כח אדם (6)'!H2620='סיווג התפקידים והעלויות'!$D$2),IF('עלויות כח אדם (6)'!J2620&lt;75,"לא תקין","תקין"),"")</f>
        <v/>
      </c>
      <c r="AE2620" s="374" t="str">
        <f t="shared" si="614"/>
        <v/>
      </c>
      <c r="AF2620" s="532" t="str">
        <f t="shared" si="615"/>
        <v/>
      </c>
    </row>
    <row r="2621" spans="2:32" x14ac:dyDescent="0.25">
      <c r="B2621" s="695"/>
      <c r="C2621" s="197" t="str">
        <f>IF(B2621&lt;&gt;"",IFERROR(VLOOKUP(B:B,'מצבת והרשמה (2)'!$C$20:$N$520,2,0)," ")," ")</f>
        <v xml:space="preserve"> </v>
      </c>
      <c r="D2621" s="695"/>
      <c r="E2621" s="696"/>
      <c r="F2621" s="696"/>
      <c r="G2621" s="696"/>
      <c r="H2621" s="696"/>
      <c r="I2621" s="1050" t="str">
        <f t="shared" si="602"/>
        <v/>
      </c>
      <c r="J2621" s="696"/>
      <c r="K2621" s="697"/>
      <c r="L2621" s="696"/>
      <c r="M2621" s="198" t="str">
        <f t="shared" si="603"/>
        <v/>
      </c>
      <c r="N2621" s="369" t="str">
        <f t="shared" si="604"/>
        <v/>
      </c>
      <c r="O2621" s="183" t="str">
        <f t="shared" si="605"/>
        <v/>
      </c>
      <c r="P2621" s="199" t="str">
        <f t="shared" si="606"/>
        <v/>
      </c>
      <c r="Q2621" s="199" t="str">
        <f>IF(B2621="","",IFERROR(IF('עלויות כח אדם (6)'!J2621&gt;=VLOOKUP(I2621,'סיווג התפקידים והעלויות'!$B$23:$C$32,2,0),"תקין","לא תקין"),""))</f>
        <v/>
      </c>
      <c r="R2621" s="199" t="str">
        <f t="shared" si="607"/>
        <v/>
      </c>
      <c r="S2621" s="199" t="str">
        <f t="shared" si="608"/>
        <v/>
      </c>
      <c r="T2621" s="199" t="str">
        <f t="shared" si="616"/>
        <v/>
      </c>
      <c r="U2621" s="199" t="str">
        <f t="shared" si="609"/>
        <v/>
      </c>
      <c r="V2621" s="989"/>
      <c r="X2621" s="374" t="str">
        <f t="shared" si="610"/>
        <v/>
      </c>
      <c r="Y2621" s="375" t="str">
        <f t="shared" si="611"/>
        <v/>
      </c>
      <c r="Z2621" s="374" t="str">
        <f t="shared" si="612"/>
        <v/>
      </c>
      <c r="AA2621" s="374" t="b">
        <f t="shared" si="613"/>
        <v>1</v>
      </c>
      <c r="AB2621" s="374">
        <f>COUNTIFS(B:B,B2621,H:H,'סיווג התפקידים והעלויות'!$C$2)</f>
        <v>0</v>
      </c>
      <c r="AC2621" s="374">
        <f>COUNTIFS(B:B,B2621,H:H,'סיווג התפקידים והעלויות'!$D$2)</f>
        <v>0</v>
      </c>
      <c r="AD2621" s="374" t="str">
        <f>IF(OR(AND(H2621='סיווג התפקידים והעלויות'!$A$2,I2621='סיווג התפקידים והעלויות'!$A$3),'עלויות כח אדם (6)'!H2621='סיווג התפקידים והעלויות'!$C$2,'עלויות כח אדם (6)'!H2621='סיווג התפקידים והעלויות'!$D$2),IF('עלויות כח אדם (6)'!J2621&lt;75,"לא תקין","תקין"),"")</f>
        <v/>
      </c>
      <c r="AE2621" s="374" t="str">
        <f t="shared" si="614"/>
        <v/>
      </c>
      <c r="AF2621" s="532" t="str">
        <f t="shared" si="615"/>
        <v/>
      </c>
    </row>
    <row r="2622" spans="2:32" x14ac:dyDescent="0.25">
      <c r="B2622" s="695"/>
      <c r="C2622" s="197" t="str">
        <f>IF(B2622&lt;&gt;"",IFERROR(VLOOKUP(B:B,'מצבת והרשמה (2)'!$C$20:$N$520,2,0)," ")," ")</f>
        <v xml:space="preserve"> </v>
      </c>
      <c r="D2622" s="695"/>
      <c r="E2622" s="696"/>
      <c r="F2622" s="696"/>
      <c r="G2622" s="696"/>
      <c r="H2622" s="696"/>
      <c r="I2622" s="1050" t="str">
        <f t="shared" si="602"/>
        <v/>
      </c>
      <c r="J2622" s="696"/>
      <c r="K2622" s="697"/>
      <c r="L2622" s="696"/>
      <c r="M2622" s="198" t="str">
        <f t="shared" si="603"/>
        <v/>
      </c>
      <c r="N2622" s="369" t="str">
        <f t="shared" si="604"/>
        <v/>
      </c>
      <c r="O2622" s="183" t="str">
        <f t="shared" si="605"/>
        <v/>
      </c>
      <c r="P2622" s="199" t="str">
        <f t="shared" si="606"/>
        <v/>
      </c>
      <c r="Q2622" s="199" t="str">
        <f>IF(B2622="","",IFERROR(IF('עלויות כח אדם (6)'!J2622&gt;=VLOOKUP(I2622,'סיווג התפקידים והעלויות'!$B$23:$C$32,2,0),"תקין","לא תקין"),""))</f>
        <v/>
      </c>
      <c r="R2622" s="199" t="str">
        <f t="shared" si="607"/>
        <v/>
      </c>
      <c r="S2622" s="199" t="str">
        <f t="shared" si="608"/>
        <v/>
      </c>
      <c r="T2622" s="199" t="str">
        <f t="shared" si="616"/>
        <v/>
      </c>
      <c r="U2622" s="199" t="str">
        <f t="shared" si="609"/>
        <v/>
      </c>
      <c r="V2622" s="989"/>
      <c r="X2622" s="374" t="str">
        <f t="shared" si="610"/>
        <v/>
      </c>
      <c r="Y2622" s="375" t="str">
        <f t="shared" si="611"/>
        <v/>
      </c>
      <c r="Z2622" s="374" t="str">
        <f t="shared" si="612"/>
        <v/>
      </c>
      <c r="AA2622" s="374" t="b">
        <f t="shared" si="613"/>
        <v>1</v>
      </c>
      <c r="AB2622" s="374">
        <f>COUNTIFS(B:B,B2622,H:H,'סיווג התפקידים והעלויות'!$C$2)</f>
        <v>0</v>
      </c>
      <c r="AC2622" s="374">
        <f>COUNTIFS(B:B,B2622,H:H,'סיווג התפקידים והעלויות'!$D$2)</f>
        <v>0</v>
      </c>
      <c r="AD2622" s="374" t="str">
        <f>IF(OR(AND(H2622='סיווג התפקידים והעלויות'!$A$2,I2622='סיווג התפקידים והעלויות'!$A$3),'עלויות כח אדם (6)'!H2622='סיווג התפקידים והעלויות'!$C$2,'עלויות כח אדם (6)'!H2622='סיווג התפקידים והעלויות'!$D$2),IF('עלויות כח אדם (6)'!J2622&lt;75,"לא תקין","תקין"),"")</f>
        <v/>
      </c>
      <c r="AE2622" s="374" t="str">
        <f t="shared" si="614"/>
        <v/>
      </c>
      <c r="AF2622" s="532" t="str">
        <f t="shared" si="615"/>
        <v/>
      </c>
    </row>
    <row r="2623" spans="2:32" x14ac:dyDescent="0.25">
      <c r="B2623" s="695"/>
      <c r="C2623" s="197" t="str">
        <f>IF(B2623&lt;&gt;"",IFERROR(VLOOKUP(B:B,'מצבת והרשמה (2)'!$C$20:$N$520,2,0)," ")," ")</f>
        <v xml:space="preserve"> </v>
      </c>
      <c r="D2623" s="695"/>
      <c r="E2623" s="696"/>
      <c r="F2623" s="696"/>
      <c r="G2623" s="696"/>
      <c r="H2623" s="696"/>
      <c r="I2623" s="1050" t="str">
        <f t="shared" si="602"/>
        <v/>
      </c>
      <c r="J2623" s="696"/>
      <c r="K2623" s="697"/>
      <c r="L2623" s="696"/>
      <c r="M2623" s="198" t="str">
        <f t="shared" si="603"/>
        <v/>
      </c>
      <c r="N2623" s="369" t="str">
        <f t="shared" si="604"/>
        <v/>
      </c>
      <c r="O2623" s="183" t="str">
        <f t="shared" si="605"/>
        <v/>
      </c>
      <c r="P2623" s="199" t="str">
        <f t="shared" si="606"/>
        <v/>
      </c>
      <c r="Q2623" s="199" t="str">
        <f>IF(B2623="","",IFERROR(IF('עלויות כח אדם (6)'!J2623&gt;=VLOOKUP(I2623,'סיווג התפקידים והעלויות'!$B$23:$C$32,2,0),"תקין","לא תקין"),""))</f>
        <v/>
      </c>
      <c r="R2623" s="199" t="str">
        <f t="shared" si="607"/>
        <v/>
      </c>
      <c r="S2623" s="199" t="str">
        <f t="shared" si="608"/>
        <v/>
      </c>
      <c r="T2623" s="199" t="str">
        <f t="shared" si="616"/>
        <v/>
      </c>
      <c r="U2623" s="199" t="str">
        <f t="shared" si="609"/>
        <v/>
      </c>
      <c r="V2623" s="989"/>
      <c r="X2623" s="374" t="str">
        <f t="shared" si="610"/>
        <v/>
      </c>
      <c r="Y2623" s="375" t="str">
        <f t="shared" si="611"/>
        <v/>
      </c>
      <c r="Z2623" s="374" t="str">
        <f t="shared" si="612"/>
        <v/>
      </c>
      <c r="AA2623" s="374" t="b">
        <f t="shared" si="613"/>
        <v>1</v>
      </c>
      <c r="AB2623" s="374">
        <f>COUNTIFS(B:B,B2623,H:H,'סיווג התפקידים והעלויות'!$C$2)</f>
        <v>0</v>
      </c>
      <c r="AC2623" s="374">
        <f>COUNTIFS(B:B,B2623,H:H,'סיווג התפקידים והעלויות'!$D$2)</f>
        <v>0</v>
      </c>
      <c r="AD2623" s="374" t="str">
        <f>IF(OR(AND(H2623='סיווג התפקידים והעלויות'!$A$2,I2623='סיווג התפקידים והעלויות'!$A$3),'עלויות כח אדם (6)'!H2623='סיווג התפקידים והעלויות'!$C$2,'עלויות כח אדם (6)'!H2623='סיווג התפקידים והעלויות'!$D$2),IF('עלויות כח אדם (6)'!J2623&lt;75,"לא תקין","תקין"),"")</f>
        <v/>
      </c>
      <c r="AE2623" s="374" t="str">
        <f t="shared" si="614"/>
        <v/>
      </c>
      <c r="AF2623" s="532" t="str">
        <f t="shared" si="615"/>
        <v/>
      </c>
    </row>
    <row r="2624" spans="2:32" x14ac:dyDescent="0.25">
      <c r="B2624" s="695"/>
      <c r="C2624" s="197" t="str">
        <f>IF(B2624&lt;&gt;"",IFERROR(VLOOKUP(B:B,'מצבת והרשמה (2)'!$C$20:$N$520,2,0)," ")," ")</f>
        <v xml:space="preserve"> </v>
      </c>
      <c r="D2624" s="695"/>
      <c r="E2624" s="696"/>
      <c r="F2624" s="696"/>
      <c r="G2624" s="696"/>
      <c r="H2624" s="696"/>
      <c r="I2624" s="1050" t="str">
        <f t="shared" si="602"/>
        <v/>
      </c>
      <c r="J2624" s="696"/>
      <c r="K2624" s="697"/>
      <c r="L2624" s="696"/>
      <c r="M2624" s="198" t="str">
        <f t="shared" si="603"/>
        <v/>
      </c>
      <c r="N2624" s="369" t="str">
        <f t="shared" si="604"/>
        <v/>
      </c>
      <c r="O2624" s="183" t="str">
        <f t="shared" si="605"/>
        <v/>
      </c>
      <c r="P2624" s="199" t="str">
        <f t="shared" si="606"/>
        <v/>
      </c>
      <c r="Q2624" s="199" t="str">
        <f>IF(B2624="","",IFERROR(IF('עלויות כח אדם (6)'!J2624&gt;=VLOOKUP(I2624,'סיווג התפקידים והעלויות'!$B$23:$C$32,2,0),"תקין","לא תקין"),""))</f>
        <v/>
      </c>
      <c r="R2624" s="199" t="str">
        <f t="shared" si="607"/>
        <v/>
      </c>
      <c r="S2624" s="199" t="str">
        <f t="shared" si="608"/>
        <v/>
      </c>
      <c r="T2624" s="199" t="str">
        <f t="shared" si="616"/>
        <v/>
      </c>
      <c r="U2624" s="199" t="str">
        <f t="shared" si="609"/>
        <v/>
      </c>
      <c r="V2624" s="989"/>
      <c r="X2624" s="374" t="str">
        <f t="shared" si="610"/>
        <v/>
      </c>
      <c r="Y2624" s="375" t="str">
        <f t="shared" si="611"/>
        <v/>
      </c>
      <c r="Z2624" s="374" t="str">
        <f t="shared" si="612"/>
        <v/>
      </c>
      <c r="AA2624" s="374" t="b">
        <f t="shared" si="613"/>
        <v>1</v>
      </c>
      <c r="AB2624" s="374">
        <f>COUNTIFS(B:B,B2624,H:H,'סיווג התפקידים והעלויות'!$C$2)</f>
        <v>0</v>
      </c>
      <c r="AC2624" s="374">
        <f>COUNTIFS(B:B,B2624,H:H,'סיווג התפקידים והעלויות'!$D$2)</f>
        <v>0</v>
      </c>
      <c r="AD2624" s="374" t="str">
        <f>IF(OR(AND(H2624='סיווג התפקידים והעלויות'!$A$2,I2624='סיווג התפקידים והעלויות'!$A$3),'עלויות כח אדם (6)'!H2624='סיווג התפקידים והעלויות'!$C$2,'עלויות כח אדם (6)'!H2624='סיווג התפקידים והעלויות'!$D$2),IF('עלויות כח אדם (6)'!J2624&lt;75,"לא תקין","תקין"),"")</f>
        <v/>
      </c>
      <c r="AE2624" s="374" t="str">
        <f t="shared" si="614"/>
        <v/>
      </c>
      <c r="AF2624" s="532" t="str">
        <f t="shared" si="615"/>
        <v/>
      </c>
    </row>
    <row r="2625" spans="2:32" x14ac:dyDescent="0.25">
      <c r="B2625" s="695"/>
      <c r="C2625" s="197" t="str">
        <f>IF(B2625&lt;&gt;"",IFERROR(VLOOKUP(B:B,'מצבת והרשמה (2)'!$C$20:$N$520,2,0)," ")," ")</f>
        <v xml:space="preserve"> </v>
      </c>
      <c r="D2625" s="695"/>
      <c r="E2625" s="696"/>
      <c r="F2625" s="696"/>
      <c r="G2625" s="696"/>
      <c r="H2625" s="696"/>
      <c r="I2625" s="1050" t="str">
        <f t="shared" si="602"/>
        <v/>
      </c>
      <c r="J2625" s="696"/>
      <c r="K2625" s="697"/>
      <c r="L2625" s="696"/>
      <c r="M2625" s="198" t="str">
        <f t="shared" si="603"/>
        <v/>
      </c>
      <c r="N2625" s="369" t="str">
        <f t="shared" si="604"/>
        <v/>
      </c>
      <c r="O2625" s="183" t="str">
        <f t="shared" si="605"/>
        <v/>
      </c>
      <c r="P2625" s="199" t="str">
        <f t="shared" si="606"/>
        <v/>
      </c>
      <c r="Q2625" s="199" t="str">
        <f>IF(B2625="","",IFERROR(IF('עלויות כח אדם (6)'!J2625&gt;=VLOOKUP(I2625,'סיווג התפקידים והעלויות'!$B$23:$C$32,2,0),"תקין","לא תקין"),""))</f>
        <v/>
      </c>
      <c r="R2625" s="199" t="str">
        <f t="shared" si="607"/>
        <v/>
      </c>
      <c r="S2625" s="199" t="str">
        <f t="shared" si="608"/>
        <v/>
      </c>
      <c r="T2625" s="199" t="str">
        <f t="shared" si="616"/>
        <v/>
      </c>
      <c r="U2625" s="199" t="str">
        <f t="shared" si="609"/>
        <v/>
      </c>
      <c r="V2625" s="989"/>
      <c r="X2625" s="374" t="str">
        <f t="shared" si="610"/>
        <v/>
      </c>
      <c r="Y2625" s="375" t="str">
        <f t="shared" si="611"/>
        <v/>
      </c>
      <c r="Z2625" s="374" t="str">
        <f t="shared" si="612"/>
        <v/>
      </c>
      <c r="AA2625" s="374" t="b">
        <f t="shared" si="613"/>
        <v>1</v>
      </c>
      <c r="AB2625" s="374">
        <f>COUNTIFS(B:B,B2625,H:H,'סיווג התפקידים והעלויות'!$C$2)</f>
        <v>0</v>
      </c>
      <c r="AC2625" s="374">
        <f>COUNTIFS(B:B,B2625,H:H,'סיווג התפקידים והעלויות'!$D$2)</f>
        <v>0</v>
      </c>
      <c r="AD2625" s="374" t="str">
        <f>IF(OR(AND(H2625='סיווג התפקידים והעלויות'!$A$2,I2625='סיווג התפקידים והעלויות'!$A$3),'עלויות כח אדם (6)'!H2625='סיווג התפקידים והעלויות'!$C$2,'עלויות כח אדם (6)'!H2625='סיווג התפקידים והעלויות'!$D$2),IF('עלויות כח אדם (6)'!J2625&lt;75,"לא תקין","תקין"),"")</f>
        <v/>
      </c>
      <c r="AE2625" s="374" t="str">
        <f t="shared" si="614"/>
        <v/>
      </c>
      <c r="AF2625" s="532" t="str">
        <f t="shared" si="615"/>
        <v/>
      </c>
    </row>
    <row r="2626" spans="2:32" x14ac:dyDescent="0.25">
      <c r="B2626" s="695"/>
      <c r="C2626" s="197" t="str">
        <f>IF(B2626&lt;&gt;"",IFERROR(VLOOKUP(B:B,'מצבת והרשמה (2)'!$C$20:$N$520,2,0)," ")," ")</f>
        <v xml:space="preserve"> </v>
      </c>
      <c r="D2626" s="695"/>
      <c r="E2626" s="696"/>
      <c r="F2626" s="696"/>
      <c r="G2626" s="696"/>
      <c r="H2626" s="696"/>
      <c r="I2626" s="1050" t="str">
        <f t="shared" si="602"/>
        <v/>
      </c>
      <c r="J2626" s="696"/>
      <c r="K2626" s="697"/>
      <c r="L2626" s="696"/>
      <c r="M2626" s="198" t="str">
        <f t="shared" si="603"/>
        <v/>
      </c>
      <c r="N2626" s="369" t="str">
        <f t="shared" si="604"/>
        <v/>
      </c>
      <c r="O2626" s="183" t="str">
        <f t="shared" si="605"/>
        <v/>
      </c>
      <c r="P2626" s="199" t="str">
        <f t="shared" si="606"/>
        <v/>
      </c>
      <c r="Q2626" s="199" t="str">
        <f>IF(B2626="","",IFERROR(IF('עלויות כח אדם (6)'!J2626&gt;=VLOOKUP(I2626,'סיווג התפקידים והעלויות'!$B$23:$C$32,2,0),"תקין","לא תקין"),""))</f>
        <v/>
      </c>
      <c r="R2626" s="199" t="str">
        <f t="shared" si="607"/>
        <v/>
      </c>
      <c r="S2626" s="199" t="str">
        <f t="shared" si="608"/>
        <v/>
      </c>
      <c r="T2626" s="199" t="str">
        <f t="shared" si="616"/>
        <v/>
      </c>
      <c r="U2626" s="199" t="str">
        <f t="shared" si="609"/>
        <v/>
      </c>
      <c r="V2626" s="989"/>
      <c r="X2626" s="374" t="str">
        <f t="shared" si="610"/>
        <v/>
      </c>
      <c r="Y2626" s="375" t="str">
        <f t="shared" si="611"/>
        <v/>
      </c>
      <c r="Z2626" s="374" t="str">
        <f t="shared" si="612"/>
        <v/>
      </c>
      <c r="AA2626" s="374" t="b">
        <f t="shared" si="613"/>
        <v>1</v>
      </c>
      <c r="AB2626" s="374">
        <f>COUNTIFS(B:B,B2626,H:H,'סיווג התפקידים והעלויות'!$C$2)</f>
        <v>0</v>
      </c>
      <c r="AC2626" s="374">
        <f>COUNTIFS(B:B,B2626,H:H,'סיווג התפקידים והעלויות'!$D$2)</f>
        <v>0</v>
      </c>
      <c r="AD2626" s="374" t="str">
        <f>IF(OR(AND(H2626='סיווג התפקידים והעלויות'!$A$2,I2626='סיווג התפקידים והעלויות'!$A$3),'עלויות כח אדם (6)'!H2626='סיווג התפקידים והעלויות'!$C$2,'עלויות כח אדם (6)'!H2626='סיווג התפקידים והעלויות'!$D$2),IF('עלויות כח אדם (6)'!J2626&lt;75,"לא תקין","תקין"),"")</f>
        <v/>
      </c>
      <c r="AE2626" s="374" t="str">
        <f t="shared" si="614"/>
        <v/>
      </c>
      <c r="AF2626" s="532" t="str">
        <f t="shared" si="615"/>
        <v/>
      </c>
    </row>
    <row r="2627" spans="2:32" x14ac:dyDescent="0.25">
      <c r="B2627" s="695"/>
      <c r="C2627" s="197" t="str">
        <f>IF(B2627&lt;&gt;"",IFERROR(VLOOKUP(B:B,'מצבת והרשמה (2)'!$C$20:$N$520,2,0)," ")," ")</f>
        <v xml:space="preserve"> </v>
      </c>
      <c r="D2627" s="695"/>
      <c r="E2627" s="696"/>
      <c r="F2627" s="696"/>
      <c r="G2627" s="696"/>
      <c r="H2627" s="696"/>
      <c r="I2627" s="1050" t="str">
        <f t="shared" si="602"/>
        <v/>
      </c>
      <c r="J2627" s="696"/>
      <c r="K2627" s="697"/>
      <c r="L2627" s="696"/>
      <c r="M2627" s="198" t="str">
        <f t="shared" si="603"/>
        <v/>
      </c>
      <c r="N2627" s="369" t="str">
        <f t="shared" si="604"/>
        <v/>
      </c>
      <c r="O2627" s="183" t="str">
        <f t="shared" si="605"/>
        <v/>
      </c>
      <c r="P2627" s="199" t="str">
        <f t="shared" si="606"/>
        <v/>
      </c>
      <c r="Q2627" s="199" t="str">
        <f>IF(B2627="","",IFERROR(IF('עלויות כח אדם (6)'!J2627&gt;=VLOOKUP(I2627,'סיווג התפקידים והעלויות'!$B$23:$C$32,2,0),"תקין","לא תקין"),""))</f>
        <v/>
      </c>
      <c r="R2627" s="199" t="str">
        <f t="shared" si="607"/>
        <v/>
      </c>
      <c r="S2627" s="199" t="str">
        <f t="shared" si="608"/>
        <v/>
      </c>
      <c r="T2627" s="199" t="str">
        <f t="shared" si="616"/>
        <v/>
      </c>
      <c r="U2627" s="199" t="str">
        <f t="shared" si="609"/>
        <v/>
      </c>
      <c r="V2627" s="989"/>
      <c r="X2627" s="374" t="str">
        <f t="shared" si="610"/>
        <v/>
      </c>
      <c r="Y2627" s="375" t="str">
        <f t="shared" si="611"/>
        <v/>
      </c>
      <c r="Z2627" s="374" t="str">
        <f t="shared" si="612"/>
        <v/>
      </c>
      <c r="AA2627" s="374" t="b">
        <f t="shared" si="613"/>
        <v>1</v>
      </c>
      <c r="AB2627" s="374">
        <f>COUNTIFS(B:B,B2627,H:H,'סיווג התפקידים והעלויות'!$C$2)</f>
        <v>0</v>
      </c>
      <c r="AC2627" s="374">
        <f>COUNTIFS(B:B,B2627,H:H,'סיווג התפקידים והעלויות'!$D$2)</f>
        <v>0</v>
      </c>
      <c r="AD2627" s="374" t="str">
        <f>IF(OR(AND(H2627='סיווג התפקידים והעלויות'!$A$2,I2627='סיווג התפקידים והעלויות'!$A$3),'עלויות כח אדם (6)'!H2627='סיווג התפקידים והעלויות'!$C$2,'עלויות כח אדם (6)'!H2627='סיווג התפקידים והעלויות'!$D$2),IF('עלויות כח אדם (6)'!J2627&lt;75,"לא תקין","תקין"),"")</f>
        <v/>
      </c>
      <c r="AE2627" s="374" t="str">
        <f t="shared" si="614"/>
        <v/>
      </c>
      <c r="AF2627" s="532" t="str">
        <f t="shared" si="615"/>
        <v/>
      </c>
    </row>
    <row r="2628" spans="2:32" x14ac:dyDescent="0.25">
      <c r="B2628" s="695"/>
      <c r="C2628" s="197" t="str">
        <f>IF(B2628&lt;&gt;"",IFERROR(VLOOKUP(B:B,'מצבת והרשמה (2)'!$C$20:$N$520,2,0)," ")," ")</f>
        <v xml:space="preserve"> </v>
      </c>
      <c r="D2628" s="695"/>
      <c r="E2628" s="696"/>
      <c r="F2628" s="696"/>
      <c r="G2628" s="696"/>
      <c r="H2628" s="696"/>
      <c r="I2628" s="1050" t="str">
        <f t="shared" si="602"/>
        <v/>
      </c>
      <c r="J2628" s="696"/>
      <c r="K2628" s="697"/>
      <c r="L2628" s="696"/>
      <c r="M2628" s="198" t="str">
        <f t="shared" si="603"/>
        <v/>
      </c>
      <c r="N2628" s="369" t="str">
        <f t="shared" si="604"/>
        <v/>
      </c>
      <c r="O2628" s="183" t="str">
        <f t="shared" si="605"/>
        <v/>
      </c>
      <c r="P2628" s="199" t="str">
        <f t="shared" si="606"/>
        <v/>
      </c>
      <c r="Q2628" s="199" t="str">
        <f>IF(B2628="","",IFERROR(IF('עלויות כח אדם (6)'!J2628&gt;=VLOOKUP(I2628,'סיווג התפקידים והעלויות'!$B$23:$C$32,2,0),"תקין","לא תקין"),""))</f>
        <v/>
      </c>
      <c r="R2628" s="199" t="str">
        <f t="shared" si="607"/>
        <v/>
      </c>
      <c r="S2628" s="199" t="str">
        <f t="shared" si="608"/>
        <v/>
      </c>
      <c r="T2628" s="199" t="str">
        <f t="shared" si="616"/>
        <v/>
      </c>
      <c r="U2628" s="199" t="str">
        <f t="shared" si="609"/>
        <v/>
      </c>
      <c r="V2628" s="989"/>
      <c r="X2628" s="374" t="str">
        <f t="shared" si="610"/>
        <v/>
      </c>
      <c r="Y2628" s="375" t="str">
        <f t="shared" si="611"/>
        <v/>
      </c>
      <c r="Z2628" s="374" t="str">
        <f t="shared" si="612"/>
        <v/>
      </c>
      <c r="AA2628" s="374" t="b">
        <f t="shared" si="613"/>
        <v>1</v>
      </c>
      <c r="AB2628" s="374">
        <f>COUNTIFS(B:B,B2628,H:H,'סיווג התפקידים והעלויות'!$C$2)</f>
        <v>0</v>
      </c>
      <c r="AC2628" s="374">
        <f>COUNTIFS(B:B,B2628,H:H,'סיווג התפקידים והעלויות'!$D$2)</f>
        <v>0</v>
      </c>
      <c r="AD2628" s="374" t="str">
        <f>IF(OR(AND(H2628='סיווג התפקידים והעלויות'!$A$2,I2628='סיווג התפקידים והעלויות'!$A$3),'עלויות כח אדם (6)'!H2628='סיווג התפקידים והעלויות'!$C$2,'עלויות כח אדם (6)'!H2628='סיווג התפקידים והעלויות'!$D$2),IF('עלויות כח אדם (6)'!J2628&lt;75,"לא תקין","תקין"),"")</f>
        <v/>
      </c>
      <c r="AE2628" s="374" t="str">
        <f t="shared" si="614"/>
        <v/>
      </c>
      <c r="AF2628" s="532" t="str">
        <f t="shared" si="615"/>
        <v/>
      </c>
    </row>
    <row r="2629" spans="2:32" x14ac:dyDescent="0.25">
      <c r="B2629" s="695"/>
      <c r="C2629" s="197" t="str">
        <f>IF(B2629&lt;&gt;"",IFERROR(VLOOKUP(B:B,'מצבת והרשמה (2)'!$C$20:$N$520,2,0)," ")," ")</f>
        <v xml:space="preserve"> </v>
      </c>
      <c r="D2629" s="695"/>
      <c r="E2629" s="696"/>
      <c r="F2629" s="696"/>
      <c r="G2629" s="696"/>
      <c r="H2629" s="696"/>
      <c r="I2629" s="1050" t="str">
        <f t="shared" si="602"/>
        <v/>
      </c>
      <c r="J2629" s="696"/>
      <c r="K2629" s="697"/>
      <c r="L2629" s="696"/>
      <c r="M2629" s="198" t="str">
        <f t="shared" si="603"/>
        <v/>
      </c>
      <c r="N2629" s="369" t="str">
        <f t="shared" si="604"/>
        <v/>
      </c>
      <c r="O2629" s="183" t="str">
        <f t="shared" si="605"/>
        <v/>
      </c>
      <c r="P2629" s="199" t="str">
        <f t="shared" si="606"/>
        <v/>
      </c>
      <c r="Q2629" s="199" t="str">
        <f>IF(B2629="","",IFERROR(IF('עלויות כח אדם (6)'!J2629&gt;=VLOOKUP(I2629,'סיווג התפקידים והעלויות'!$B$23:$C$32,2,0),"תקין","לא תקין"),""))</f>
        <v/>
      </c>
      <c r="R2629" s="199" t="str">
        <f t="shared" si="607"/>
        <v/>
      </c>
      <c r="S2629" s="199" t="str">
        <f t="shared" si="608"/>
        <v/>
      </c>
      <c r="T2629" s="199" t="str">
        <f t="shared" si="616"/>
        <v/>
      </c>
      <c r="U2629" s="199" t="str">
        <f t="shared" si="609"/>
        <v/>
      </c>
      <c r="V2629" s="989"/>
      <c r="X2629" s="374" t="str">
        <f t="shared" si="610"/>
        <v/>
      </c>
      <c r="Y2629" s="375" t="str">
        <f t="shared" si="611"/>
        <v/>
      </c>
      <c r="Z2629" s="374" t="str">
        <f t="shared" si="612"/>
        <v/>
      </c>
      <c r="AA2629" s="374" t="b">
        <f t="shared" si="613"/>
        <v>1</v>
      </c>
      <c r="AB2629" s="374">
        <f>COUNTIFS(B:B,B2629,H:H,'סיווג התפקידים והעלויות'!$C$2)</f>
        <v>0</v>
      </c>
      <c r="AC2629" s="374">
        <f>COUNTIFS(B:B,B2629,H:H,'סיווג התפקידים והעלויות'!$D$2)</f>
        <v>0</v>
      </c>
      <c r="AD2629" s="374" t="str">
        <f>IF(OR(AND(H2629='סיווג התפקידים והעלויות'!$A$2,I2629='סיווג התפקידים והעלויות'!$A$3),'עלויות כח אדם (6)'!H2629='סיווג התפקידים והעלויות'!$C$2,'עלויות כח אדם (6)'!H2629='סיווג התפקידים והעלויות'!$D$2),IF('עלויות כח אדם (6)'!J2629&lt;75,"לא תקין","תקין"),"")</f>
        <v/>
      </c>
      <c r="AE2629" s="374" t="str">
        <f t="shared" si="614"/>
        <v/>
      </c>
      <c r="AF2629" s="532" t="str">
        <f t="shared" si="615"/>
        <v/>
      </c>
    </row>
    <row r="2630" spans="2:32" x14ac:dyDescent="0.25">
      <c r="B2630" s="695"/>
      <c r="C2630" s="197" t="str">
        <f>IF(B2630&lt;&gt;"",IFERROR(VLOOKUP(B:B,'מצבת והרשמה (2)'!$C$20:$N$520,2,0)," ")," ")</f>
        <v xml:space="preserve"> </v>
      </c>
      <c r="D2630" s="695"/>
      <c r="E2630" s="696"/>
      <c r="F2630" s="696"/>
      <c r="G2630" s="696"/>
      <c r="H2630" s="696"/>
      <c r="I2630" s="1050" t="str">
        <f t="shared" si="602"/>
        <v/>
      </c>
      <c r="J2630" s="696"/>
      <c r="K2630" s="697"/>
      <c r="L2630" s="696"/>
      <c r="M2630" s="198" t="str">
        <f t="shared" si="603"/>
        <v/>
      </c>
      <c r="N2630" s="369" t="str">
        <f t="shared" si="604"/>
        <v/>
      </c>
      <c r="O2630" s="183" t="str">
        <f t="shared" si="605"/>
        <v/>
      </c>
      <c r="P2630" s="199" t="str">
        <f t="shared" si="606"/>
        <v/>
      </c>
      <c r="Q2630" s="199" t="str">
        <f>IF(B2630="","",IFERROR(IF('עלויות כח אדם (6)'!J2630&gt;=VLOOKUP(I2630,'סיווג התפקידים והעלויות'!$B$23:$C$32,2,0),"תקין","לא תקין"),""))</f>
        <v/>
      </c>
      <c r="R2630" s="199" t="str">
        <f t="shared" si="607"/>
        <v/>
      </c>
      <c r="S2630" s="199" t="str">
        <f t="shared" si="608"/>
        <v/>
      </c>
      <c r="T2630" s="199" t="str">
        <f t="shared" si="616"/>
        <v/>
      </c>
      <c r="U2630" s="199" t="str">
        <f t="shared" si="609"/>
        <v/>
      </c>
      <c r="V2630" s="989"/>
      <c r="X2630" s="374" t="str">
        <f t="shared" si="610"/>
        <v/>
      </c>
      <c r="Y2630" s="375" t="str">
        <f t="shared" si="611"/>
        <v/>
      </c>
      <c r="Z2630" s="374" t="str">
        <f t="shared" si="612"/>
        <v/>
      </c>
      <c r="AA2630" s="374" t="b">
        <f t="shared" si="613"/>
        <v>1</v>
      </c>
      <c r="AB2630" s="374">
        <f>COUNTIFS(B:B,B2630,H:H,'סיווג התפקידים והעלויות'!$C$2)</f>
        <v>0</v>
      </c>
      <c r="AC2630" s="374">
        <f>COUNTIFS(B:B,B2630,H:H,'סיווג התפקידים והעלויות'!$D$2)</f>
        <v>0</v>
      </c>
      <c r="AD2630" s="374" t="str">
        <f>IF(OR(AND(H2630='סיווג התפקידים והעלויות'!$A$2,I2630='סיווג התפקידים והעלויות'!$A$3),'עלויות כח אדם (6)'!H2630='סיווג התפקידים והעלויות'!$C$2,'עלויות כח אדם (6)'!H2630='סיווג התפקידים והעלויות'!$D$2),IF('עלויות כח אדם (6)'!J2630&lt;75,"לא תקין","תקין"),"")</f>
        <v/>
      </c>
      <c r="AE2630" s="374" t="str">
        <f t="shared" si="614"/>
        <v/>
      </c>
      <c r="AF2630" s="532" t="str">
        <f t="shared" si="615"/>
        <v/>
      </c>
    </row>
    <row r="2631" spans="2:32" x14ac:dyDescent="0.25">
      <c r="B2631" s="695"/>
      <c r="C2631" s="197" t="str">
        <f>IF(B2631&lt;&gt;"",IFERROR(VLOOKUP(B:B,'מצבת והרשמה (2)'!$C$20:$N$520,2,0)," ")," ")</f>
        <v xml:space="preserve"> </v>
      </c>
      <c r="D2631" s="695"/>
      <c r="E2631" s="696"/>
      <c r="F2631" s="696"/>
      <c r="G2631" s="696"/>
      <c r="H2631" s="696"/>
      <c r="I2631" s="1050" t="str">
        <f t="shared" si="602"/>
        <v/>
      </c>
      <c r="J2631" s="696"/>
      <c r="K2631" s="697"/>
      <c r="L2631" s="696"/>
      <c r="M2631" s="198" t="str">
        <f t="shared" si="603"/>
        <v/>
      </c>
      <c r="N2631" s="369" t="str">
        <f t="shared" si="604"/>
        <v/>
      </c>
      <c r="O2631" s="183" t="str">
        <f t="shared" si="605"/>
        <v/>
      </c>
      <c r="P2631" s="199" t="str">
        <f t="shared" si="606"/>
        <v/>
      </c>
      <c r="Q2631" s="199" t="str">
        <f>IF(B2631="","",IFERROR(IF('עלויות כח אדם (6)'!J2631&gt;=VLOOKUP(I2631,'סיווג התפקידים והעלויות'!$B$23:$C$32,2,0),"תקין","לא תקין"),""))</f>
        <v/>
      </c>
      <c r="R2631" s="199" t="str">
        <f t="shared" si="607"/>
        <v/>
      </c>
      <c r="S2631" s="199" t="str">
        <f t="shared" si="608"/>
        <v/>
      </c>
      <c r="T2631" s="199" t="str">
        <f t="shared" si="616"/>
        <v/>
      </c>
      <c r="U2631" s="199" t="str">
        <f t="shared" si="609"/>
        <v/>
      </c>
      <c r="V2631" s="989"/>
      <c r="X2631" s="374" t="str">
        <f t="shared" si="610"/>
        <v/>
      </c>
      <c r="Y2631" s="375" t="str">
        <f t="shared" si="611"/>
        <v/>
      </c>
      <c r="Z2631" s="374" t="str">
        <f t="shared" si="612"/>
        <v/>
      </c>
      <c r="AA2631" s="374" t="b">
        <f t="shared" si="613"/>
        <v>1</v>
      </c>
      <c r="AB2631" s="374">
        <f>COUNTIFS(B:B,B2631,H:H,'סיווג התפקידים והעלויות'!$C$2)</f>
        <v>0</v>
      </c>
      <c r="AC2631" s="374">
        <f>COUNTIFS(B:B,B2631,H:H,'סיווג התפקידים והעלויות'!$D$2)</f>
        <v>0</v>
      </c>
      <c r="AD2631" s="374" t="str">
        <f>IF(OR(AND(H2631='סיווג התפקידים והעלויות'!$A$2,I2631='סיווג התפקידים והעלויות'!$A$3),'עלויות כח אדם (6)'!H2631='סיווג התפקידים והעלויות'!$C$2,'עלויות כח אדם (6)'!H2631='סיווג התפקידים והעלויות'!$D$2),IF('עלויות כח אדם (6)'!J2631&lt;75,"לא תקין","תקין"),"")</f>
        <v/>
      </c>
      <c r="AE2631" s="374" t="str">
        <f t="shared" si="614"/>
        <v/>
      </c>
      <c r="AF2631" s="532" t="str">
        <f t="shared" si="615"/>
        <v/>
      </c>
    </row>
    <row r="2632" spans="2:32" x14ac:dyDescent="0.25">
      <c r="B2632" s="695"/>
      <c r="C2632" s="197" t="str">
        <f>IF(B2632&lt;&gt;"",IFERROR(VLOOKUP(B:B,'מצבת והרשמה (2)'!$C$20:$N$520,2,0)," ")," ")</f>
        <v xml:space="preserve"> </v>
      </c>
      <c r="D2632" s="695"/>
      <c r="E2632" s="696"/>
      <c r="F2632" s="696"/>
      <c r="G2632" s="696"/>
      <c r="H2632" s="696"/>
      <c r="I2632" s="1050" t="str">
        <f t="shared" si="602"/>
        <v/>
      </c>
      <c r="J2632" s="696"/>
      <c r="K2632" s="697"/>
      <c r="L2632" s="696"/>
      <c r="M2632" s="198" t="str">
        <f t="shared" si="603"/>
        <v/>
      </c>
      <c r="N2632" s="369" t="str">
        <f t="shared" si="604"/>
        <v/>
      </c>
      <c r="O2632" s="183" t="str">
        <f t="shared" si="605"/>
        <v/>
      </c>
      <c r="P2632" s="199" t="str">
        <f t="shared" si="606"/>
        <v/>
      </c>
      <c r="Q2632" s="199" t="str">
        <f>IF(B2632="","",IFERROR(IF('עלויות כח אדם (6)'!J2632&gt;=VLOOKUP(I2632,'סיווג התפקידים והעלויות'!$B$23:$C$32,2,0),"תקין","לא תקין"),""))</f>
        <v/>
      </c>
      <c r="R2632" s="199" t="str">
        <f t="shared" si="607"/>
        <v/>
      </c>
      <c r="S2632" s="199" t="str">
        <f t="shared" si="608"/>
        <v/>
      </c>
      <c r="T2632" s="199" t="str">
        <f t="shared" si="616"/>
        <v/>
      </c>
      <c r="U2632" s="199" t="str">
        <f t="shared" si="609"/>
        <v/>
      </c>
      <c r="V2632" s="989"/>
      <c r="X2632" s="374" t="str">
        <f t="shared" si="610"/>
        <v/>
      </c>
      <c r="Y2632" s="375" t="str">
        <f t="shared" si="611"/>
        <v/>
      </c>
      <c r="Z2632" s="374" t="str">
        <f t="shared" si="612"/>
        <v/>
      </c>
      <c r="AA2632" s="374" t="b">
        <f t="shared" si="613"/>
        <v>1</v>
      </c>
      <c r="AB2632" s="374">
        <f>COUNTIFS(B:B,B2632,H:H,'סיווג התפקידים והעלויות'!$C$2)</f>
        <v>0</v>
      </c>
      <c r="AC2632" s="374">
        <f>COUNTIFS(B:B,B2632,H:H,'סיווג התפקידים והעלויות'!$D$2)</f>
        <v>0</v>
      </c>
      <c r="AD2632" s="374" t="str">
        <f>IF(OR(AND(H2632='סיווג התפקידים והעלויות'!$A$2,I2632='סיווג התפקידים והעלויות'!$A$3),'עלויות כח אדם (6)'!H2632='סיווג התפקידים והעלויות'!$C$2,'עלויות כח אדם (6)'!H2632='סיווג התפקידים והעלויות'!$D$2),IF('עלויות כח אדם (6)'!J2632&lt;75,"לא תקין","תקין"),"")</f>
        <v/>
      </c>
      <c r="AE2632" s="374" t="str">
        <f t="shared" si="614"/>
        <v/>
      </c>
      <c r="AF2632" s="532" t="str">
        <f t="shared" si="615"/>
        <v/>
      </c>
    </row>
    <row r="2633" spans="2:32" x14ac:dyDescent="0.25">
      <c r="B2633" s="695"/>
      <c r="C2633" s="197" t="str">
        <f>IF(B2633&lt;&gt;"",IFERROR(VLOOKUP(B:B,'מצבת והרשמה (2)'!$C$20:$N$520,2,0)," ")," ")</f>
        <v xml:space="preserve"> </v>
      </c>
      <c r="D2633" s="695"/>
      <c r="E2633" s="696"/>
      <c r="F2633" s="696"/>
      <c r="G2633" s="696"/>
      <c r="H2633" s="696"/>
      <c r="I2633" s="1050" t="str">
        <f t="shared" si="602"/>
        <v/>
      </c>
      <c r="J2633" s="696"/>
      <c r="K2633" s="697"/>
      <c r="L2633" s="696"/>
      <c r="M2633" s="198" t="str">
        <f t="shared" si="603"/>
        <v/>
      </c>
      <c r="N2633" s="369" t="str">
        <f t="shared" si="604"/>
        <v/>
      </c>
      <c r="O2633" s="183" t="str">
        <f t="shared" si="605"/>
        <v/>
      </c>
      <c r="P2633" s="199" t="str">
        <f t="shared" si="606"/>
        <v/>
      </c>
      <c r="Q2633" s="199" t="str">
        <f>IF(B2633="","",IFERROR(IF('עלויות כח אדם (6)'!J2633&gt;=VLOOKUP(I2633,'סיווג התפקידים והעלויות'!$B$23:$C$32,2,0),"תקין","לא תקין"),""))</f>
        <v/>
      </c>
      <c r="R2633" s="199" t="str">
        <f t="shared" si="607"/>
        <v/>
      </c>
      <c r="S2633" s="199" t="str">
        <f t="shared" si="608"/>
        <v/>
      </c>
      <c r="T2633" s="199" t="str">
        <f t="shared" si="616"/>
        <v/>
      </c>
      <c r="U2633" s="199" t="str">
        <f t="shared" si="609"/>
        <v/>
      </c>
      <c r="V2633" s="989"/>
      <c r="X2633" s="374" t="str">
        <f t="shared" si="610"/>
        <v/>
      </c>
      <c r="Y2633" s="375" t="str">
        <f t="shared" si="611"/>
        <v/>
      </c>
      <c r="Z2633" s="374" t="str">
        <f t="shared" si="612"/>
        <v/>
      </c>
      <c r="AA2633" s="374" t="b">
        <f t="shared" si="613"/>
        <v>1</v>
      </c>
      <c r="AB2633" s="374">
        <f>COUNTIFS(B:B,B2633,H:H,'סיווג התפקידים והעלויות'!$C$2)</f>
        <v>0</v>
      </c>
      <c r="AC2633" s="374">
        <f>COUNTIFS(B:B,B2633,H:H,'סיווג התפקידים והעלויות'!$D$2)</f>
        <v>0</v>
      </c>
      <c r="AD2633" s="374" t="str">
        <f>IF(OR(AND(H2633='סיווג התפקידים והעלויות'!$A$2,I2633='סיווג התפקידים והעלויות'!$A$3),'עלויות כח אדם (6)'!H2633='סיווג התפקידים והעלויות'!$C$2,'עלויות כח אדם (6)'!H2633='סיווג התפקידים והעלויות'!$D$2),IF('עלויות כח אדם (6)'!J2633&lt;75,"לא תקין","תקין"),"")</f>
        <v/>
      </c>
      <c r="AE2633" s="374" t="str">
        <f t="shared" si="614"/>
        <v/>
      </c>
      <c r="AF2633" s="532" t="str">
        <f t="shared" si="615"/>
        <v/>
      </c>
    </row>
    <row r="2634" spans="2:32" x14ac:dyDescent="0.25">
      <c r="B2634" s="695"/>
      <c r="C2634" s="197" t="str">
        <f>IF(B2634&lt;&gt;"",IFERROR(VLOOKUP(B:B,'מצבת והרשמה (2)'!$C$20:$N$520,2,0)," ")," ")</f>
        <v xml:space="preserve"> </v>
      </c>
      <c r="D2634" s="695"/>
      <c r="E2634" s="696"/>
      <c r="F2634" s="696"/>
      <c r="G2634" s="696"/>
      <c r="H2634" s="696"/>
      <c r="I2634" s="1050" t="str">
        <f t="shared" si="602"/>
        <v/>
      </c>
      <c r="J2634" s="696"/>
      <c r="K2634" s="697"/>
      <c r="L2634" s="696"/>
      <c r="M2634" s="198" t="str">
        <f t="shared" si="603"/>
        <v/>
      </c>
      <c r="N2634" s="369" t="str">
        <f t="shared" si="604"/>
        <v/>
      </c>
      <c r="O2634" s="183" t="str">
        <f t="shared" si="605"/>
        <v/>
      </c>
      <c r="P2634" s="199" t="str">
        <f t="shared" si="606"/>
        <v/>
      </c>
      <c r="Q2634" s="199" t="str">
        <f>IF(B2634="","",IFERROR(IF('עלויות כח אדם (6)'!J2634&gt;=VLOOKUP(I2634,'סיווג התפקידים והעלויות'!$B$23:$C$32,2,0),"תקין","לא תקין"),""))</f>
        <v/>
      </c>
      <c r="R2634" s="199" t="str">
        <f t="shared" si="607"/>
        <v/>
      </c>
      <c r="S2634" s="199" t="str">
        <f t="shared" si="608"/>
        <v/>
      </c>
      <c r="T2634" s="199" t="str">
        <f t="shared" si="616"/>
        <v/>
      </c>
      <c r="U2634" s="199" t="str">
        <f t="shared" si="609"/>
        <v/>
      </c>
      <c r="V2634" s="989"/>
      <c r="X2634" s="374" t="str">
        <f t="shared" si="610"/>
        <v/>
      </c>
      <c r="Y2634" s="375" t="str">
        <f t="shared" si="611"/>
        <v/>
      </c>
      <c r="Z2634" s="374" t="str">
        <f t="shared" si="612"/>
        <v/>
      </c>
      <c r="AA2634" s="374" t="b">
        <f t="shared" si="613"/>
        <v>1</v>
      </c>
      <c r="AB2634" s="374">
        <f>COUNTIFS(B:B,B2634,H:H,'סיווג התפקידים והעלויות'!$C$2)</f>
        <v>0</v>
      </c>
      <c r="AC2634" s="374">
        <f>COUNTIFS(B:B,B2634,H:H,'סיווג התפקידים והעלויות'!$D$2)</f>
        <v>0</v>
      </c>
      <c r="AD2634" s="374" t="str">
        <f>IF(OR(AND(H2634='סיווג התפקידים והעלויות'!$A$2,I2634='סיווג התפקידים והעלויות'!$A$3),'עלויות כח אדם (6)'!H2634='סיווג התפקידים והעלויות'!$C$2,'עלויות כח אדם (6)'!H2634='סיווג התפקידים והעלויות'!$D$2),IF('עלויות כח אדם (6)'!J2634&lt;75,"לא תקין","תקין"),"")</f>
        <v/>
      </c>
      <c r="AE2634" s="374" t="str">
        <f t="shared" si="614"/>
        <v/>
      </c>
      <c r="AF2634" s="532" t="str">
        <f t="shared" si="615"/>
        <v/>
      </c>
    </row>
    <row r="2635" spans="2:32" x14ac:dyDescent="0.25">
      <c r="B2635" s="695"/>
      <c r="C2635" s="197" t="str">
        <f>IF(B2635&lt;&gt;"",IFERROR(VLOOKUP(B:B,'מצבת והרשמה (2)'!$C$20:$N$520,2,0)," ")," ")</f>
        <v xml:space="preserve"> </v>
      </c>
      <c r="D2635" s="695"/>
      <c r="E2635" s="696"/>
      <c r="F2635" s="696"/>
      <c r="G2635" s="696"/>
      <c r="H2635" s="696"/>
      <c r="I2635" s="1050" t="str">
        <f t="shared" si="602"/>
        <v/>
      </c>
      <c r="J2635" s="696"/>
      <c r="K2635" s="697"/>
      <c r="L2635" s="696"/>
      <c r="M2635" s="198" t="str">
        <f t="shared" si="603"/>
        <v/>
      </c>
      <c r="N2635" s="369" t="str">
        <f t="shared" si="604"/>
        <v/>
      </c>
      <c r="O2635" s="183" t="str">
        <f t="shared" si="605"/>
        <v/>
      </c>
      <c r="P2635" s="199" t="str">
        <f t="shared" si="606"/>
        <v/>
      </c>
      <c r="Q2635" s="199" t="str">
        <f>IF(B2635="","",IFERROR(IF('עלויות כח אדם (6)'!J2635&gt;=VLOOKUP(I2635,'סיווג התפקידים והעלויות'!$B$23:$C$32,2,0),"תקין","לא תקין"),""))</f>
        <v/>
      </c>
      <c r="R2635" s="199" t="str">
        <f t="shared" si="607"/>
        <v/>
      </c>
      <c r="S2635" s="199" t="str">
        <f t="shared" si="608"/>
        <v/>
      </c>
      <c r="T2635" s="199" t="str">
        <f t="shared" si="616"/>
        <v/>
      </c>
      <c r="U2635" s="199" t="str">
        <f t="shared" si="609"/>
        <v/>
      </c>
      <c r="V2635" s="989"/>
      <c r="X2635" s="374" t="str">
        <f t="shared" si="610"/>
        <v/>
      </c>
      <c r="Y2635" s="375" t="str">
        <f t="shared" si="611"/>
        <v/>
      </c>
      <c r="Z2635" s="374" t="str">
        <f t="shared" si="612"/>
        <v/>
      </c>
      <c r="AA2635" s="374" t="b">
        <f t="shared" si="613"/>
        <v>1</v>
      </c>
      <c r="AB2635" s="374">
        <f>COUNTIFS(B:B,B2635,H:H,'סיווג התפקידים והעלויות'!$C$2)</f>
        <v>0</v>
      </c>
      <c r="AC2635" s="374">
        <f>COUNTIFS(B:B,B2635,H:H,'סיווג התפקידים והעלויות'!$D$2)</f>
        <v>0</v>
      </c>
      <c r="AD2635" s="374" t="str">
        <f>IF(OR(AND(H2635='סיווג התפקידים והעלויות'!$A$2,I2635='סיווג התפקידים והעלויות'!$A$3),'עלויות כח אדם (6)'!H2635='סיווג התפקידים והעלויות'!$C$2,'עלויות כח אדם (6)'!H2635='סיווג התפקידים והעלויות'!$D$2),IF('עלויות כח אדם (6)'!J2635&lt;75,"לא תקין","תקין"),"")</f>
        <v/>
      </c>
      <c r="AE2635" s="374" t="str">
        <f t="shared" si="614"/>
        <v/>
      </c>
      <c r="AF2635" s="532" t="str">
        <f t="shared" si="615"/>
        <v/>
      </c>
    </row>
    <row r="2636" spans="2:32" x14ac:dyDescent="0.25">
      <c r="B2636" s="695"/>
      <c r="C2636" s="197" t="str">
        <f>IF(B2636&lt;&gt;"",IFERROR(VLOOKUP(B:B,'מצבת והרשמה (2)'!$C$20:$N$520,2,0)," ")," ")</f>
        <v xml:space="preserve"> </v>
      </c>
      <c r="D2636" s="695"/>
      <c r="E2636" s="696"/>
      <c r="F2636" s="696"/>
      <c r="G2636" s="696"/>
      <c r="H2636" s="696"/>
      <c r="I2636" s="1050" t="str">
        <f t="shared" si="602"/>
        <v/>
      </c>
      <c r="J2636" s="696"/>
      <c r="K2636" s="697"/>
      <c r="L2636" s="696"/>
      <c r="M2636" s="198" t="str">
        <f t="shared" si="603"/>
        <v/>
      </c>
      <c r="N2636" s="369" t="str">
        <f t="shared" si="604"/>
        <v/>
      </c>
      <c r="O2636" s="183" t="str">
        <f t="shared" si="605"/>
        <v/>
      </c>
      <c r="P2636" s="199" t="str">
        <f t="shared" si="606"/>
        <v/>
      </c>
      <c r="Q2636" s="199" t="str">
        <f>IF(B2636="","",IFERROR(IF('עלויות כח אדם (6)'!J2636&gt;=VLOOKUP(I2636,'סיווג התפקידים והעלויות'!$B$23:$C$32,2,0),"תקין","לא תקין"),""))</f>
        <v/>
      </c>
      <c r="R2636" s="199" t="str">
        <f t="shared" si="607"/>
        <v/>
      </c>
      <c r="S2636" s="199" t="str">
        <f t="shared" si="608"/>
        <v/>
      </c>
      <c r="T2636" s="199" t="str">
        <f t="shared" si="616"/>
        <v/>
      </c>
      <c r="U2636" s="199" t="str">
        <f t="shared" si="609"/>
        <v/>
      </c>
      <c r="V2636" s="989"/>
      <c r="X2636" s="374" t="str">
        <f t="shared" si="610"/>
        <v/>
      </c>
      <c r="Y2636" s="375" t="str">
        <f t="shared" si="611"/>
        <v/>
      </c>
      <c r="Z2636" s="374" t="str">
        <f t="shared" si="612"/>
        <v/>
      </c>
      <c r="AA2636" s="374" t="b">
        <f t="shared" si="613"/>
        <v>1</v>
      </c>
      <c r="AB2636" s="374">
        <f>COUNTIFS(B:B,B2636,H:H,'סיווג התפקידים והעלויות'!$C$2)</f>
        <v>0</v>
      </c>
      <c r="AC2636" s="374">
        <f>COUNTIFS(B:B,B2636,H:H,'סיווג התפקידים והעלויות'!$D$2)</f>
        <v>0</v>
      </c>
      <c r="AD2636" s="374" t="str">
        <f>IF(OR(AND(H2636='סיווג התפקידים והעלויות'!$A$2,I2636='סיווג התפקידים והעלויות'!$A$3),'עלויות כח אדם (6)'!H2636='סיווג התפקידים והעלויות'!$C$2,'עלויות כח אדם (6)'!H2636='סיווג התפקידים והעלויות'!$D$2),IF('עלויות כח אדם (6)'!J2636&lt;75,"לא תקין","תקין"),"")</f>
        <v/>
      </c>
      <c r="AE2636" s="374" t="str">
        <f t="shared" si="614"/>
        <v/>
      </c>
      <c r="AF2636" s="532" t="str">
        <f t="shared" si="615"/>
        <v/>
      </c>
    </row>
    <row r="2637" spans="2:32" x14ac:dyDescent="0.25">
      <c r="B2637" s="695"/>
      <c r="C2637" s="197" t="str">
        <f>IF(B2637&lt;&gt;"",IFERROR(VLOOKUP(B:B,'מצבת והרשמה (2)'!$C$20:$N$520,2,0)," ")," ")</f>
        <v xml:space="preserve"> </v>
      </c>
      <c r="D2637" s="695"/>
      <c r="E2637" s="696"/>
      <c r="F2637" s="696"/>
      <c r="G2637" s="696"/>
      <c r="H2637" s="696"/>
      <c r="I2637" s="1050" t="str">
        <f t="shared" si="602"/>
        <v/>
      </c>
      <c r="J2637" s="696"/>
      <c r="K2637" s="697"/>
      <c r="L2637" s="696"/>
      <c r="M2637" s="198" t="str">
        <f t="shared" si="603"/>
        <v/>
      </c>
      <c r="N2637" s="369" t="str">
        <f t="shared" si="604"/>
        <v/>
      </c>
      <c r="O2637" s="183" t="str">
        <f t="shared" si="605"/>
        <v/>
      </c>
      <c r="P2637" s="199" t="str">
        <f t="shared" si="606"/>
        <v/>
      </c>
      <c r="Q2637" s="199" t="str">
        <f>IF(B2637="","",IFERROR(IF('עלויות כח אדם (6)'!J2637&gt;=VLOOKUP(I2637,'סיווג התפקידים והעלויות'!$B$23:$C$32,2,0),"תקין","לא תקין"),""))</f>
        <v/>
      </c>
      <c r="R2637" s="199" t="str">
        <f t="shared" si="607"/>
        <v/>
      </c>
      <c r="S2637" s="199" t="str">
        <f t="shared" si="608"/>
        <v/>
      </c>
      <c r="T2637" s="199" t="str">
        <f t="shared" si="616"/>
        <v/>
      </c>
      <c r="U2637" s="199" t="str">
        <f t="shared" si="609"/>
        <v/>
      </c>
      <c r="V2637" s="989"/>
      <c r="X2637" s="374" t="str">
        <f t="shared" si="610"/>
        <v/>
      </c>
      <c r="Y2637" s="375" t="str">
        <f t="shared" si="611"/>
        <v/>
      </c>
      <c r="Z2637" s="374" t="str">
        <f t="shared" si="612"/>
        <v/>
      </c>
      <c r="AA2637" s="374" t="b">
        <f t="shared" si="613"/>
        <v>1</v>
      </c>
      <c r="AB2637" s="374">
        <f>COUNTIFS(B:B,B2637,H:H,'סיווג התפקידים והעלויות'!$C$2)</f>
        <v>0</v>
      </c>
      <c r="AC2637" s="374">
        <f>COUNTIFS(B:B,B2637,H:H,'סיווג התפקידים והעלויות'!$D$2)</f>
        <v>0</v>
      </c>
      <c r="AD2637" s="374" t="str">
        <f>IF(OR(AND(H2637='סיווג התפקידים והעלויות'!$A$2,I2637='סיווג התפקידים והעלויות'!$A$3),'עלויות כח אדם (6)'!H2637='סיווג התפקידים והעלויות'!$C$2,'עלויות כח אדם (6)'!H2637='סיווג התפקידים והעלויות'!$D$2),IF('עלויות כח אדם (6)'!J2637&lt;75,"לא תקין","תקין"),"")</f>
        <v/>
      </c>
      <c r="AE2637" s="374" t="str">
        <f t="shared" si="614"/>
        <v/>
      </c>
      <c r="AF2637" s="532" t="str">
        <f t="shared" si="615"/>
        <v/>
      </c>
    </row>
    <row r="2638" spans="2:32" x14ac:dyDescent="0.25">
      <c r="B2638" s="695"/>
      <c r="C2638" s="197" t="str">
        <f>IF(B2638&lt;&gt;"",IFERROR(VLOOKUP(B:B,'מצבת והרשמה (2)'!$C$20:$N$520,2,0)," ")," ")</f>
        <v xml:space="preserve"> </v>
      </c>
      <c r="D2638" s="695"/>
      <c r="E2638" s="696"/>
      <c r="F2638" s="696"/>
      <c r="G2638" s="696"/>
      <c r="H2638" s="696"/>
      <c r="I2638" s="1050" t="str">
        <f t="shared" si="602"/>
        <v/>
      </c>
      <c r="J2638" s="696"/>
      <c r="K2638" s="697"/>
      <c r="L2638" s="696"/>
      <c r="M2638" s="198" t="str">
        <f t="shared" si="603"/>
        <v/>
      </c>
      <c r="N2638" s="369" t="str">
        <f t="shared" si="604"/>
        <v/>
      </c>
      <c r="O2638" s="183" t="str">
        <f t="shared" si="605"/>
        <v/>
      </c>
      <c r="P2638" s="199" t="str">
        <f t="shared" si="606"/>
        <v/>
      </c>
      <c r="Q2638" s="199" t="str">
        <f>IF(B2638="","",IFERROR(IF('עלויות כח אדם (6)'!J2638&gt;=VLOOKUP(I2638,'סיווג התפקידים והעלויות'!$B$23:$C$32,2,0),"תקין","לא תקין"),""))</f>
        <v/>
      </c>
      <c r="R2638" s="199" t="str">
        <f t="shared" si="607"/>
        <v/>
      </c>
      <c r="S2638" s="199" t="str">
        <f t="shared" si="608"/>
        <v/>
      </c>
      <c r="T2638" s="199" t="str">
        <f t="shared" si="616"/>
        <v/>
      </c>
      <c r="U2638" s="199" t="str">
        <f t="shared" si="609"/>
        <v/>
      </c>
      <c r="V2638" s="989"/>
      <c r="X2638" s="374" t="str">
        <f t="shared" si="610"/>
        <v/>
      </c>
      <c r="Y2638" s="375" t="str">
        <f t="shared" si="611"/>
        <v/>
      </c>
      <c r="Z2638" s="374" t="str">
        <f t="shared" si="612"/>
        <v/>
      </c>
      <c r="AA2638" s="374" t="b">
        <f t="shared" si="613"/>
        <v>1</v>
      </c>
      <c r="AB2638" s="374">
        <f>COUNTIFS(B:B,B2638,H:H,'סיווג התפקידים והעלויות'!$C$2)</f>
        <v>0</v>
      </c>
      <c r="AC2638" s="374">
        <f>COUNTIFS(B:B,B2638,H:H,'סיווג התפקידים והעלויות'!$D$2)</f>
        <v>0</v>
      </c>
      <c r="AD2638" s="374" t="str">
        <f>IF(OR(AND(H2638='סיווג התפקידים והעלויות'!$A$2,I2638='סיווג התפקידים והעלויות'!$A$3),'עלויות כח אדם (6)'!H2638='סיווג התפקידים והעלויות'!$C$2,'עלויות כח אדם (6)'!H2638='סיווג התפקידים והעלויות'!$D$2),IF('עלויות כח אדם (6)'!J2638&lt;75,"לא תקין","תקין"),"")</f>
        <v/>
      </c>
      <c r="AE2638" s="374" t="str">
        <f t="shared" si="614"/>
        <v/>
      </c>
      <c r="AF2638" s="532" t="str">
        <f t="shared" si="615"/>
        <v/>
      </c>
    </row>
    <row r="2639" spans="2:32" x14ac:dyDescent="0.25">
      <c r="B2639" s="695"/>
      <c r="C2639" s="197" t="str">
        <f>IF(B2639&lt;&gt;"",IFERROR(VLOOKUP(B:B,'מצבת והרשמה (2)'!$C$20:$N$520,2,0)," ")," ")</f>
        <v xml:space="preserve"> </v>
      </c>
      <c r="D2639" s="695"/>
      <c r="E2639" s="696"/>
      <c r="F2639" s="696"/>
      <c r="G2639" s="696"/>
      <c r="H2639" s="696"/>
      <c r="I2639" s="1050" t="str">
        <f t="shared" ref="I2639:I2702" si="617">SUBSTITUTE(IFERROR(IF(H2639="מדצ","מדצ/ית",IF(H2639="סגנית רכזת מעל 150","סגנ/ית רכז/ת&gt;150",IF(H2639="רכזת תכנית בבית הספר","רכז/ת תכנית בבית הספר"))),""),"FALSE","")</f>
        <v/>
      </c>
      <c r="J2639" s="696"/>
      <c r="K2639" s="697"/>
      <c r="L2639" s="696"/>
      <c r="M2639" s="198" t="str">
        <f t="shared" ref="M2639:M2702" si="618">IF(AND(L2639&gt;0,K2639&gt;0),K2639*L2639,"")</f>
        <v/>
      </c>
      <c r="N2639" s="369" t="str">
        <f t="shared" ref="N2639:N2702" si="619">TEXT(LEFT(H2639,2),0)</f>
        <v/>
      </c>
      <c r="O2639" s="183" t="str">
        <f t="shared" ref="O2639:O2702" si="620">IF(ISNUMBER(M2639&gt;0),IF(ISBLANK(B2639),"יש להזין סמל מוסד בעמודה B",""),"")</f>
        <v/>
      </c>
      <c r="P2639" s="199" t="str">
        <f t="shared" ref="P2639:P2702" si="621">IF(B2639="","",IF(AA2639=FALSE,"לא תקין","תקין"))</f>
        <v/>
      </c>
      <c r="Q2639" s="199" t="str">
        <f>IF(B2639="","",IFERROR(IF('עלויות כח אדם (6)'!J2639&gt;=VLOOKUP(I2639,'סיווג התפקידים והעלויות'!$B$23:$C$32,2,0),"תקין","לא תקין"),""))</f>
        <v/>
      </c>
      <c r="R2639" s="199" t="str">
        <f t="shared" ref="R2639:R2702" si="622">IF(B2639="","",IF(OR(Y2639&lt;100%,Y2639&gt;140%),"לא תקין","תקין"))</f>
        <v/>
      </c>
      <c r="S2639" s="199" t="str">
        <f t="shared" ref="S2639:S2702" si="623">IF(B2639="","",IFERROR(IF(J2639&gt;120,"לא תקין","תקין"),""))</f>
        <v/>
      </c>
      <c r="T2639" s="199" t="str">
        <f t="shared" si="616"/>
        <v/>
      </c>
      <c r="U2639" s="199" t="str">
        <f t="shared" ref="U2639:U2702" si="624">IF(B2639="","",IF(Z2639&gt;1,IF(SUMIF(D:D,D2639,L:L)&gt;90,"לא תקין","תקין"),"תקין"))</f>
        <v/>
      </c>
      <c r="V2639" s="989"/>
      <c r="X2639" s="374" t="str">
        <f t="shared" ref="X2639:X2702" si="625">IF(B2639="","",IF(OR(R2639="לא תקין",S2639="לא תקין",T2639="לא תקין",,U2639="לא תקין"),"לא תקין","תקין"))</f>
        <v/>
      </c>
      <c r="Y2639" s="375" t="str">
        <f t="shared" ref="Y2639:Y2702" si="626">IFERROR(IF(B2639="","",K2639/J2639),"")</f>
        <v/>
      </c>
      <c r="Z2639" s="374" t="str">
        <f t="shared" ref="Z2639:Z2702" si="627">IF(B2639="","",COUNTIF(D:D,D2639))</f>
        <v/>
      </c>
      <c r="AA2639" s="374" t="b">
        <f t="shared" ref="AA2639:AA2702" si="628">MOD(MID(REPT(0,9-LEN(D2639))&amp;D2639,1,1)+MID("0246813579",MID(REPT(0,9-LEN(D2639))&amp;D2639,2,1)+1,1)+MID(REPT(0,9-LEN(D2639))&amp;D2639,3,1)+MID("0246813579",MID(REPT(0,9-LEN(D2639))&amp;D2639,4,1)+1,1)+MID(REPT(0,9-LEN(D2639))&amp;D2639,5,1)+MID("0246813579",MID(REPT(0,9-LEN(D2639))&amp;D2639,6,1)+1,1)+MID(REPT(0,9-LEN(D2639))&amp;D2639,7,1)+MID("0246813579",MID(REPT(0,9-LEN(D2639))&amp;D2639,8,1)+1,1)+MID(REPT(0,9-LEN(D2639))&amp;D2639,9,1),10)=0</f>
        <v>1</v>
      </c>
      <c r="AB2639" s="374">
        <f>COUNTIFS(B:B,B2639,H:H,'סיווג התפקידים והעלויות'!$C$2)</f>
        <v>0</v>
      </c>
      <c r="AC2639" s="374">
        <f>COUNTIFS(B:B,B2639,H:H,'סיווג התפקידים והעלויות'!$D$2)</f>
        <v>0</v>
      </c>
      <c r="AD2639" s="374" t="str">
        <f>IF(OR(AND(H2639='סיווג התפקידים והעלויות'!$A$2,I2639='סיווג התפקידים והעלויות'!$A$3),'עלויות כח אדם (6)'!H2639='סיווג התפקידים והעלויות'!$C$2,'עלויות כח אדם (6)'!H2639='סיווג התפקידים והעלויות'!$D$2),IF('עלויות כח אדם (6)'!J2639&lt;75,"לא תקין","תקין"),"")</f>
        <v/>
      </c>
      <c r="AE2639" s="374" t="str">
        <f t="shared" ref="AE2639:AE2702" si="629">IF(B2639&lt;&gt;"",B2639&amp;H2639,"")</f>
        <v/>
      </c>
      <c r="AF2639" s="532" t="str">
        <f t="shared" ref="AF2639:AF2702" si="630">M2639</f>
        <v/>
      </c>
    </row>
    <row r="2640" spans="2:32" x14ac:dyDescent="0.25">
      <c r="B2640" s="695"/>
      <c r="C2640" s="197" t="str">
        <f>IF(B2640&lt;&gt;"",IFERROR(VLOOKUP(B:B,'מצבת והרשמה (2)'!$C$20:$N$520,2,0)," ")," ")</f>
        <v xml:space="preserve"> </v>
      </c>
      <c r="D2640" s="695"/>
      <c r="E2640" s="696"/>
      <c r="F2640" s="696"/>
      <c r="G2640" s="696"/>
      <c r="H2640" s="696"/>
      <c r="I2640" s="1050" t="str">
        <f t="shared" si="617"/>
        <v/>
      </c>
      <c r="J2640" s="696"/>
      <c r="K2640" s="697"/>
      <c r="L2640" s="696"/>
      <c r="M2640" s="198" t="str">
        <f t="shared" si="618"/>
        <v/>
      </c>
      <c r="N2640" s="369" t="str">
        <f t="shared" si="619"/>
        <v/>
      </c>
      <c r="O2640" s="183" t="str">
        <f t="shared" si="620"/>
        <v/>
      </c>
      <c r="P2640" s="199" t="str">
        <f t="shared" si="621"/>
        <v/>
      </c>
      <c r="Q2640" s="199" t="str">
        <f>IF(B2640="","",IFERROR(IF('עלויות כח אדם (6)'!J2640&gt;=VLOOKUP(I2640,'סיווג התפקידים והעלויות'!$B$23:$C$32,2,0),"תקין","לא תקין"),""))</f>
        <v/>
      </c>
      <c r="R2640" s="199" t="str">
        <f t="shared" si="622"/>
        <v/>
      </c>
      <c r="S2640" s="199" t="str">
        <f t="shared" si="623"/>
        <v/>
      </c>
      <c r="T2640" s="199" t="str">
        <f t="shared" ref="T2640:T2703" si="631">IF(B2640="","",IF(H2640="","יש להזין איש צוות",IF(OR(H2640="מורה",H2640="גננת",H2640="רכז גן",H2640="רכזת גן",H2640="סייעת",H2640="מדצית",H2640="מדצ",H2640="מדריך",H2640="מדריכה",H2640="תוספת כח אדם"),IF(L2640&lt;=90,"תקין","לא תקין"),IF(OR(H2640="רכז בית ספר",H2640="רכזת תכנית בבית הספר",H2640="רכזת בית ספר"),IF(L2640&lt;=137,"תקין","לא תקין"),IF(OR(H2640="סגנית רכזת מעל 150",H2640="סגן רכז"),IF(L2640&lt;=93,"תקין","לא תקין"),"לא תקין")))))</f>
        <v/>
      </c>
      <c r="U2640" s="199" t="str">
        <f t="shared" si="624"/>
        <v/>
      </c>
      <c r="V2640" s="989"/>
      <c r="X2640" s="374" t="str">
        <f t="shared" si="625"/>
        <v/>
      </c>
      <c r="Y2640" s="375" t="str">
        <f t="shared" si="626"/>
        <v/>
      </c>
      <c r="Z2640" s="374" t="str">
        <f t="shared" si="627"/>
        <v/>
      </c>
      <c r="AA2640" s="374" t="b">
        <f t="shared" si="628"/>
        <v>1</v>
      </c>
      <c r="AB2640" s="374">
        <f>COUNTIFS(B:B,B2640,H:H,'סיווג התפקידים והעלויות'!$C$2)</f>
        <v>0</v>
      </c>
      <c r="AC2640" s="374">
        <f>COUNTIFS(B:B,B2640,H:H,'סיווג התפקידים והעלויות'!$D$2)</f>
        <v>0</v>
      </c>
      <c r="AD2640" s="374" t="str">
        <f>IF(OR(AND(H2640='סיווג התפקידים והעלויות'!$A$2,I2640='סיווג התפקידים והעלויות'!$A$3),'עלויות כח אדם (6)'!H2640='סיווג התפקידים והעלויות'!$C$2,'עלויות כח אדם (6)'!H2640='סיווג התפקידים והעלויות'!$D$2),IF('עלויות כח אדם (6)'!J2640&lt;75,"לא תקין","תקין"),"")</f>
        <v/>
      </c>
      <c r="AE2640" s="374" t="str">
        <f t="shared" si="629"/>
        <v/>
      </c>
      <c r="AF2640" s="532" t="str">
        <f t="shared" si="630"/>
        <v/>
      </c>
    </row>
    <row r="2641" spans="2:32" x14ac:dyDescent="0.25">
      <c r="B2641" s="695"/>
      <c r="C2641" s="197" t="str">
        <f>IF(B2641&lt;&gt;"",IFERROR(VLOOKUP(B:B,'מצבת והרשמה (2)'!$C$20:$N$520,2,0)," ")," ")</f>
        <v xml:space="preserve"> </v>
      </c>
      <c r="D2641" s="695"/>
      <c r="E2641" s="696"/>
      <c r="F2641" s="696"/>
      <c r="G2641" s="696"/>
      <c r="H2641" s="696"/>
      <c r="I2641" s="1050" t="str">
        <f t="shared" si="617"/>
        <v/>
      </c>
      <c r="J2641" s="696"/>
      <c r="K2641" s="697"/>
      <c r="L2641" s="696"/>
      <c r="M2641" s="198" t="str">
        <f t="shared" si="618"/>
        <v/>
      </c>
      <c r="N2641" s="369" t="str">
        <f t="shared" si="619"/>
        <v/>
      </c>
      <c r="O2641" s="183" t="str">
        <f t="shared" si="620"/>
        <v/>
      </c>
      <c r="P2641" s="199" t="str">
        <f t="shared" si="621"/>
        <v/>
      </c>
      <c r="Q2641" s="199" t="str">
        <f>IF(B2641="","",IFERROR(IF('עלויות כח אדם (6)'!J2641&gt;=VLOOKUP(I2641,'סיווג התפקידים והעלויות'!$B$23:$C$32,2,0),"תקין","לא תקין"),""))</f>
        <v/>
      </c>
      <c r="R2641" s="199" t="str">
        <f t="shared" si="622"/>
        <v/>
      </c>
      <c r="S2641" s="199" t="str">
        <f t="shared" si="623"/>
        <v/>
      </c>
      <c r="T2641" s="199" t="str">
        <f t="shared" si="631"/>
        <v/>
      </c>
      <c r="U2641" s="199" t="str">
        <f t="shared" si="624"/>
        <v/>
      </c>
      <c r="V2641" s="989"/>
      <c r="X2641" s="374" t="str">
        <f t="shared" si="625"/>
        <v/>
      </c>
      <c r="Y2641" s="375" t="str">
        <f t="shared" si="626"/>
        <v/>
      </c>
      <c r="Z2641" s="374" t="str">
        <f t="shared" si="627"/>
        <v/>
      </c>
      <c r="AA2641" s="374" t="b">
        <f t="shared" si="628"/>
        <v>1</v>
      </c>
      <c r="AB2641" s="374">
        <f>COUNTIFS(B:B,B2641,H:H,'סיווג התפקידים והעלויות'!$C$2)</f>
        <v>0</v>
      </c>
      <c r="AC2641" s="374">
        <f>COUNTIFS(B:B,B2641,H:H,'סיווג התפקידים והעלויות'!$D$2)</f>
        <v>0</v>
      </c>
      <c r="AD2641" s="374" t="str">
        <f>IF(OR(AND(H2641='סיווג התפקידים והעלויות'!$A$2,I2641='סיווג התפקידים והעלויות'!$A$3),'עלויות כח אדם (6)'!H2641='סיווג התפקידים והעלויות'!$C$2,'עלויות כח אדם (6)'!H2641='סיווג התפקידים והעלויות'!$D$2),IF('עלויות כח אדם (6)'!J2641&lt;75,"לא תקין","תקין"),"")</f>
        <v/>
      </c>
      <c r="AE2641" s="374" t="str">
        <f t="shared" si="629"/>
        <v/>
      </c>
      <c r="AF2641" s="532" t="str">
        <f t="shared" si="630"/>
        <v/>
      </c>
    </row>
    <row r="2642" spans="2:32" x14ac:dyDescent="0.25">
      <c r="B2642" s="695"/>
      <c r="C2642" s="197" t="str">
        <f>IF(B2642&lt;&gt;"",IFERROR(VLOOKUP(B:B,'מצבת והרשמה (2)'!$C$20:$N$520,2,0)," ")," ")</f>
        <v xml:space="preserve"> </v>
      </c>
      <c r="D2642" s="695"/>
      <c r="E2642" s="696"/>
      <c r="F2642" s="696"/>
      <c r="G2642" s="696"/>
      <c r="H2642" s="696"/>
      <c r="I2642" s="1050" t="str">
        <f t="shared" si="617"/>
        <v/>
      </c>
      <c r="J2642" s="696"/>
      <c r="K2642" s="697"/>
      <c r="L2642" s="696"/>
      <c r="M2642" s="198" t="str">
        <f t="shared" si="618"/>
        <v/>
      </c>
      <c r="N2642" s="369" t="str">
        <f t="shared" si="619"/>
        <v/>
      </c>
      <c r="O2642" s="183" t="str">
        <f t="shared" si="620"/>
        <v/>
      </c>
      <c r="P2642" s="199" t="str">
        <f t="shared" si="621"/>
        <v/>
      </c>
      <c r="Q2642" s="199" t="str">
        <f>IF(B2642="","",IFERROR(IF('עלויות כח אדם (6)'!J2642&gt;=VLOOKUP(I2642,'סיווג התפקידים והעלויות'!$B$23:$C$32,2,0),"תקין","לא תקין"),""))</f>
        <v/>
      </c>
      <c r="R2642" s="199" t="str">
        <f t="shared" si="622"/>
        <v/>
      </c>
      <c r="S2642" s="199" t="str">
        <f t="shared" si="623"/>
        <v/>
      </c>
      <c r="T2642" s="199" t="str">
        <f t="shared" si="631"/>
        <v/>
      </c>
      <c r="U2642" s="199" t="str">
        <f t="shared" si="624"/>
        <v/>
      </c>
      <c r="V2642" s="989"/>
      <c r="X2642" s="374" t="str">
        <f t="shared" si="625"/>
        <v/>
      </c>
      <c r="Y2642" s="375" t="str">
        <f t="shared" si="626"/>
        <v/>
      </c>
      <c r="Z2642" s="374" t="str">
        <f t="shared" si="627"/>
        <v/>
      </c>
      <c r="AA2642" s="374" t="b">
        <f t="shared" si="628"/>
        <v>1</v>
      </c>
      <c r="AB2642" s="374">
        <f>COUNTIFS(B:B,B2642,H:H,'סיווג התפקידים והעלויות'!$C$2)</f>
        <v>0</v>
      </c>
      <c r="AC2642" s="374">
        <f>COUNTIFS(B:B,B2642,H:H,'סיווג התפקידים והעלויות'!$D$2)</f>
        <v>0</v>
      </c>
      <c r="AD2642" s="374" t="str">
        <f>IF(OR(AND(H2642='סיווג התפקידים והעלויות'!$A$2,I2642='סיווג התפקידים והעלויות'!$A$3),'עלויות כח אדם (6)'!H2642='סיווג התפקידים והעלויות'!$C$2,'עלויות כח אדם (6)'!H2642='סיווג התפקידים והעלויות'!$D$2),IF('עלויות כח אדם (6)'!J2642&lt;75,"לא תקין","תקין"),"")</f>
        <v/>
      </c>
      <c r="AE2642" s="374" t="str">
        <f t="shared" si="629"/>
        <v/>
      </c>
      <c r="AF2642" s="532" t="str">
        <f t="shared" si="630"/>
        <v/>
      </c>
    </row>
    <row r="2643" spans="2:32" x14ac:dyDescent="0.25">
      <c r="B2643" s="695"/>
      <c r="C2643" s="197" t="str">
        <f>IF(B2643&lt;&gt;"",IFERROR(VLOOKUP(B:B,'מצבת והרשמה (2)'!$C$20:$N$520,2,0)," ")," ")</f>
        <v xml:space="preserve"> </v>
      </c>
      <c r="D2643" s="695"/>
      <c r="E2643" s="696"/>
      <c r="F2643" s="696"/>
      <c r="G2643" s="696"/>
      <c r="H2643" s="696"/>
      <c r="I2643" s="1050" t="str">
        <f t="shared" si="617"/>
        <v/>
      </c>
      <c r="J2643" s="696"/>
      <c r="K2643" s="697"/>
      <c r="L2643" s="696"/>
      <c r="M2643" s="198" t="str">
        <f t="shared" si="618"/>
        <v/>
      </c>
      <c r="N2643" s="369" t="str">
        <f t="shared" si="619"/>
        <v/>
      </c>
      <c r="O2643" s="183" t="str">
        <f t="shared" si="620"/>
        <v/>
      </c>
      <c r="P2643" s="199" t="str">
        <f t="shared" si="621"/>
        <v/>
      </c>
      <c r="Q2643" s="199" t="str">
        <f>IF(B2643="","",IFERROR(IF('עלויות כח אדם (6)'!J2643&gt;=VLOOKUP(I2643,'סיווג התפקידים והעלויות'!$B$23:$C$32,2,0),"תקין","לא תקין"),""))</f>
        <v/>
      </c>
      <c r="R2643" s="199" t="str">
        <f t="shared" si="622"/>
        <v/>
      </c>
      <c r="S2643" s="199" t="str">
        <f t="shared" si="623"/>
        <v/>
      </c>
      <c r="T2643" s="199" t="str">
        <f t="shared" si="631"/>
        <v/>
      </c>
      <c r="U2643" s="199" t="str">
        <f t="shared" si="624"/>
        <v/>
      </c>
      <c r="V2643" s="989"/>
      <c r="X2643" s="374" t="str">
        <f t="shared" si="625"/>
        <v/>
      </c>
      <c r="Y2643" s="375" t="str">
        <f t="shared" si="626"/>
        <v/>
      </c>
      <c r="Z2643" s="374" t="str">
        <f t="shared" si="627"/>
        <v/>
      </c>
      <c r="AA2643" s="374" t="b">
        <f t="shared" si="628"/>
        <v>1</v>
      </c>
      <c r="AB2643" s="374">
        <f>COUNTIFS(B:B,B2643,H:H,'סיווג התפקידים והעלויות'!$C$2)</f>
        <v>0</v>
      </c>
      <c r="AC2643" s="374">
        <f>COUNTIFS(B:B,B2643,H:H,'סיווג התפקידים והעלויות'!$D$2)</f>
        <v>0</v>
      </c>
      <c r="AD2643" s="374" t="str">
        <f>IF(OR(AND(H2643='סיווג התפקידים והעלויות'!$A$2,I2643='סיווג התפקידים והעלויות'!$A$3),'עלויות כח אדם (6)'!H2643='סיווג התפקידים והעלויות'!$C$2,'עלויות כח אדם (6)'!H2643='סיווג התפקידים והעלויות'!$D$2),IF('עלויות כח אדם (6)'!J2643&lt;75,"לא תקין","תקין"),"")</f>
        <v/>
      </c>
      <c r="AE2643" s="374" t="str">
        <f t="shared" si="629"/>
        <v/>
      </c>
      <c r="AF2643" s="532" t="str">
        <f t="shared" si="630"/>
        <v/>
      </c>
    </row>
    <row r="2644" spans="2:32" x14ac:dyDescent="0.25">
      <c r="B2644" s="695"/>
      <c r="C2644" s="197" t="str">
        <f>IF(B2644&lt;&gt;"",IFERROR(VLOOKUP(B:B,'מצבת והרשמה (2)'!$C$20:$N$520,2,0)," ")," ")</f>
        <v xml:space="preserve"> </v>
      </c>
      <c r="D2644" s="695"/>
      <c r="E2644" s="696"/>
      <c r="F2644" s="696"/>
      <c r="G2644" s="696"/>
      <c r="H2644" s="696"/>
      <c r="I2644" s="1050" t="str">
        <f t="shared" si="617"/>
        <v/>
      </c>
      <c r="J2644" s="696"/>
      <c r="K2644" s="697"/>
      <c r="L2644" s="696"/>
      <c r="M2644" s="198" t="str">
        <f t="shared" si="618"/>
        <v/>
      </c>
      <c r="N2644" s="369" t="str">
        <f t="shared" si="619"/>
        <v/>
      </c>
      <c r="O2644" s="183" t="str">
        <f t="shared" si="620"/>
        <v/>
      </c>
      <c r="P2644" s="199" t="str">
        <f t="shared" si="621"/>
        <v/>
      </c>
      <c r="Q2644" s="199" t="str">
        <f>IF(B2644="","",IFERROR(IF('עלויות כח אדם (6)'!J2644&gt;=VLOOKUP(I2644,'סיווג התפקידים והעלויות'!$B$23:$C$32,2,0),"תקין","לא תקין"),""))</f>
        <v/>
      </c>
      <c r="R2644" s="199" t="str">
        <f t="shared" si="622"/>
        <v/>
      </c>
      <c r="S2644" s="199" t="str">
        <f t="shared" si="623"/>
        <v/>
      </c>
      <c r="T2644" s="199" t="str">
        <f t="shared" si="631"/>
        <v/>
      </c>
      <c r="U2644" s="199" t="str">
        <f t="shared" si="624"/>
        <v/>
      </c>
      <c r="V2644" s="989"/>
      <c r="X2644" s="374" t="str">
        <f t="shared" si="625"/>
        <v/>
      </c>
      <c r="Y2644" s="375" t="str">
        <f t="shared" si="626"/>
        <v/>
      </c>
      <c r="Z2644" s="374" t="str">
        <f t="shared" si="627"/>
        <v/>
      </c>
      <c r="AA2644" s="374" t="b">
        <f t="shared" si="628"/>
        <v>1</v>
      </c>
      <c r="AB2644" s="374">
        <f>COUNTIFS(B:B,B2644,H:H,'סיווג התפקידים והעלויות'!$C$2)</f>
        <v>0</v>
      </c>
      <c r="AC2644" s="374">
        <f>COUNTIFS(B:B,B2644,H:H,'סיווג התפקידים והעלויות'!$D$2)</f>
        <v>0</v>
      </c>
      <c r="AD2644" s="374" t="str">
        <f>IF(OR(AND(H2644='סיווג התפקידים והעלויות'!$A$2,I2644='סיווג התפקידים והעלויות'!$A$3),'עלויות כח אדם (6)'!H2644='סיווג התפקידים והעלויות'!$C$2,'עלויות כח אדם (6)'!H2644='סיווג התפקידים והעלויות'!$D$2),IF('עלויות כח אדם (6)'!J2644&lt;75,"לא תקין","תקין"),"")</f>
        <v/>
      </c>
      <c r="AE2644" s="374" t="str">
        <f t="shared" si="629"/>
        <v/>
      </c>
      <c r="AF2644" s="532" t="str">
        <f t="shared" si="630"/>
        <v/>
      </c>
    </row>
    <row r="2645" spans="2:32" x14ac:dyDescent="0.25">
      <c r="B2645" s="695"/>
      <c r="C2645" s="197" t="str">
        <f>IF(B2645&lt;&gt;"",IFERROR(VLOOKUP(B:B,'מצבת והרשמה (2)'!$C$20:$N$520,2,0)," ")," ")</f>
        <v xml:space="preserve"> </v>
      </c>
      <c r="D2645" s="695"/>
      <c r="E2645" s="696"/>
      <c r="F2645" s="696"/>
      <c r="G2645" s="696"/>
      <c r="H2645" s="696"/>
      <c r="I2645" s="1050" t="str">
        <f t="shared" si="617"/>
        <v/>
      </c>
      <c r="J2645" s="696"/>
      <c r="K2645" s="697"/>
      <c r="L2645" s="696"/>
      <c r="M2645" s="198" t="str">
        <f t="shared" si="618"/>
        <v/>
      </c>
      <c r="N2645" s="369" t="str">
        <f t="shared" si="619"/>
        <v/>
      </c>
      <c r="O2645" s="183" t="str">
        <f t="shared" si="620"/>
        <v/>
      </c>
      <c r="P2645" s="199" t="str">
        <f t="shared" si="621"/>
        <v/>
      </c>
      <c r="Q2645" s="199" t="str">
        <f>IF(B2645="","",IFERROR(IF('עלויות כח אדם (6)'!J2645&gt;=VLOOKUP(I2645,'סיווג התפקידים והעלויות'!$B$23:$C$32,2,0),"תקין","לא תקין"),""))</f>
        <v/>
      </c>
      <c r="R2645" s="199" t="str">
        <f t="shared" si="622"/>
        <v/>
      </c>
      <c r="S2645" s="199" t="str">
        <f t="shared" si="623"/>
        <v/>
      </c>
      <c r="T2645" s="199" t="str">
        <f t="shared" si="631"/>
        <v/>
      </c>
      <c r="U2645" s="199" t="str">
        <f t="shared" si="624"/>
        <v/>
      </c>
      <c r="V2645" s="989"/>
      <c r="X2645" s="374" t="str">
        <f t="shared" si="625"/>
        <v/>
      </c>
      <c r="Y2645" s="375" t="str">
        <f t="shared" si="626"/>
        <v/>
      </c>
      <c r="Z2645" s="374" t="str">
        <f t="shared" si="627"/>
        <v/>
      </c>
      <c r="AA2645" s="374" t="b">
        <f t="shared" si="628"/>
        <v>1</v>
      </c>
      <c r="AB2645" s="374">
        <f>COUNTIFS(B:B,B2645,H:H,'סיווג התפקידים והעלויות'!$C$2)</f>
        <v>0</v>
      </c>
      <c r="AC2645" s="374">
        <f>COUNTIFS(B:B,B2645,H:H,'סיווג התפקידים והעלויות'!$D$2)</f>
        <v>0</v>
      </c>
      <c r="AD2645" s="374" t="str">
        <f>IF(OR(AND(H2645='סיווג התפקידים והעלויות'!$A$2,I2645='סיווג התפקידים והעלויות'!$A$3),'עלויות כח אדם (6)'!H2645='סיווג התפקידים והעלויות'!$C$2,'עלויות כח אדם (6)'!H2645='סיווג התפקידים והעלויות'!$D$2),IF('עלויות כח אדם (6)'!J2645&lt;75,"לא תקין","תקין"),"")</f>
        <v/>
      </c>
      <c r="AE2645" s="374" t="str">
        <f t="shared" si="629"/>
        <v/>
      </c>
      <c r="AF2645" s="532" t="str">
        <f t="shared" si="630"/>
        <v/>
      </c>
    </row>
    <row r="2646" spans="2:32" x14ac:dyDescent="0.25">
      <c r="B2646" s="695"/>
      <c r="C2646" s="197" t="str">
        <f>IF(B2646&lt;&gt;"",IFERROR(VLOOKUP(B:B,'מצבת והרשמה (2)'!$C$20:$N$520,2,0)," ")," ")</f>
        <v xml:space="preserve"> </v>
      </c>
      <c r="D2646" s="695"/>
      <c r="E2646" s="696"/>
      <c r="F2646" s="696"/>
      <c r="G2646" s="696"/>
      <c r="H2646" s="696"/>
      <c r="I2646" s="1050" t="str">
        <f t="shared" si="617"/>
        <v/>
      </c>
      <c r="J2646" s="696"/>
      <c r="K2646" s="697"/>
      <c r="L2646" s="696"/>
      <c r="M2646" s="198" t="str">
        <f t="shared" si="618"/>
        <v/>
      </c>
      <c r="N2646" s="369" t="str">
        <f t="shared" si="619"/>
        <v/>
      </c>
      <c r="O2646" s="183" t="str">
        <f t="shared" si="620"/>
        <v/>
      </c>
      <c r="P2646" s="199" t="str">
        <f t="shared" si="621"/>
        <v/>
      </c>
      <c r="Q2646" s="199" t="str">
        <f>IF(B2646="","",IFERROR(IF('עלויות כח אדם (6)'!J2646&gt;=VLOOKUP(I2646,'סיווג התפקידים והעלויות'!$B$23:$C$32,2,0),"תקין","לא תקין"),""))</f>
        <v/>
      </c>
      <c r="R2646" s="199" t="str">
        <f t="shared" si="622"/>
        <v/>
      </c>
      <c r="S2646" s="199" t="str">
        <f t="shared" si="623"/>
        <v/>
      </c>
      <c r="T2646" s="199" t="str">
        <f t="shared" si="631"/>
        <v/>
      </c>
      <c r="U2646" s="199" t="str">
        <f t="shared" si="624"/>
        <v/>
      </c>
      <c r="V2646" s="989"/>
      <c r="X2646" s="374" t="str">
        <f t="shared" si="625"/>
        <v/>
      </c>
      <c r="Y2646" s="375" t="str">
        <f t="shared" si="626"/>
        <v/>
      </c>
      <c r="Z2646" s="374" t="str">
        <f t="shared" si="627"/>
        <v/>
      </c>
      <c r="AA2646" s="374" t="b">
        <f t="shared" si="628"/>
        <v>1</v>
      </c>
      <c r="AB2646" s="374">
        <f>COUNTIFS(B:B,B2646,H:H,'סיווג התפקידים והעלויות'!$C$2)</f>
        <v>0</v>
      </c>
      <c r="AC2646" s="374">
        <f>COUNTIFS(B:B,B2646,H:H,'סיווג התפקידים והעלויות'!$D$2)</f>
        <v>0</v>
      </c>
      <c r="AD2646" s="374" t="str">
        <f>IF(OR(AND(H2646='סיווג התפקידים והעלויות'!$A$2,I2646='סיווג התפקידים והעלויות'!$A$3),'עלויות כח אדם (6)'!H2646='סיווג התפקידים והעלויות'!$C$2,'עלויות כח אדם (6)'!H2646='סיווג התפקידים והעלויות'!$D$2),IF('עלויות כח אדם (6)'!J2646&lt;75,"לא תקין","תקין"),"")</f>
        <v/>
      </c>
      <c r="AE2646" s="374" t="str">
        <f t="shared" si="629"/>
        <v/>
      </c>
      <c r="AF2646" s="532" t="str">
        <f t="shared" si="630"/>
        <v/>
      </c>
    </row>
    <row r="2647" spans="2:32" x14ac:dyDescent="0.25">
      <c r="B2647" s="695"/>
      <c r="C2647" s="197" t="str">
        <f>IF(B2647&lt;&gt;"",IFERROR(VLOOKUP(B:B,'מצבת והרשמה (2)'!$C$20:$N$520,2,0)," ")," ")</f>
        <v xml:space="preserve"> </v>
      </c>
      <c r="D2647" s="695"/>
      <c r="E2647" s="696"/>
      <c r="F2647" s="696"/>
      <c r="G2647" s="696"/>
      <c r="H2647" s="696"/>
      <c r="I2647" s="1050" t="str">
        <f t="shared" si="617"/>
        <v/>
      </c>
      <c r="J2647" s="696"/>
      <c r="K2647" s="697"/>
      <c r="L2647" s="696"/>
      <c r="M2647" s="198" t="str">
        <f t="shared" si="618"/>
        <v/>
      </c>
      <c r="N2647" s="369" t="str">
        <f t="shared" si="619"/>
        <v/>
      </c>
      <c r="O2647" s="183" t="str">
        <f t="shared" si="620"/>
        <v/>
      </c>
      <c r="P2647" s="199" t="str">
        <f t="shared" si="621"/>
        <v/>
      </c>
      <c r="Q2647" s="199" t="str">
        <f>IF(B2647="","",IFERROR(IF('עלויות כח אדם (6)'!J2647&gt;=VLOOKUP(I2647,'סיווג התפקידים והעלויות'!$B$23:$C$32,2,0),"תקין","לא תקין"),""))</f>
        <v/>
      </c>
      <c r="R2647" s="199" t="str">
        <f t="shared" si="622"/>
        <v/>
      </c>
      <c r="S2647" s="199" t="str">
        <f t="shared" si="623"/>
        <v/>
      </c>
      <c r="T2647" s="199" t="str">
        <f t="shared" si="631"/>
        <v/>
      </c>
      <c r="U2647" s="199" t="str">
        <f t="shared" si="624"/>
        <v/>
      </c>
      <c r="V2647" s="989"/>
      <c r="X2647" s="374" t="str">
        <f t="shared" si="625"/>
        <v/>
      </c>
      <c r="Y2647" s="375" t="str">
        <f t="shared" si="626"/>
        <v/>
      </c>
      <c r="Z2647" s="374" t="str">
        <f t="shared" si="627"/>
        <v/>
      </c>
      <c r="AA2647" s="374" t="b">
        <f t="shared" si="628"/>
        <v>1</v>
      </c>
      <c r="AB2647" s="374">
        <f>COUNTIFS(B:B,B2647,H:H,'סיווג התפקידים והעלויות'!$C$2)</f>
        <v>0</v>
      </c>
      <c r="AC2647" s="374">
        <f>COUNTIFS(B:B,B2647,H:H,'סיווג התפקידים והעלויות'!$D$2)</f>
        <v>0</v>
      </c>
      <c r="AD2647" s="374" t="str">
        <f>IF(OR(AND(H2647='סיווג התפקידים והעלויות'!$A$2,I2647='סיווג התפקידים והעלויות'!$A$3),'עלויות כח אדם (6)'!H2647='סיווג התפקידים והעלויות'!$C$2,'עלויות כח אדם (6)'!H2647='סיווג התפקידים והעלויות'!$D$2),IF('עלויות כח אדם (6)'!J2647&lt;75,"לא תקין","תקין"),"")</f>
        <v/>
      </c>
      <c r="AE2647" s="374" t="str">
        <f t="shared" si="629"/>
        <v/>
      </c>
      <c r="AF2647" s="532" t="str">
        <f t="shared" si="630"/>
        <v/>
      </c>
    </row>
    <row r="2648" spans="2:32" x14ac:dyDescent="0.25">
      <c r="B2648" s="695"/>
      <c r="C2648" s="197" t="str">
        <f>IF(B2648&lt;&gt;"",IFERROR(VLOOKUP(B:B,'מצבת והרשמה (2)'!$C$20:$N$520,2,0)," ")," ")</f>
        <v xml:space="preserve"> </v>
      </c>
      <c r="D2648" s="695"/>
      <c r="E2648" s="696"/>
      <c r="F2648" s="696"/>
      <c r="G2648" s="696"/>
      <c r="H2648" s="696"/>
      <c r="I2648" s="1050" t="str">
        <f t="shared" si="617"/>
        <v/>
      </c>
      <c r="J2648" s="696"/>
      <c r="K2648" s="697"/>
      <c r="L2648" s="696"/>
      <c r="M2648" s="198" t="str">
        <f t="shared" si="618"/>
        <v/>
      </c>
      <c r="N2648" s="369" t="str">
        <f t="shared" si="619"/>
        <v/>
      </c>
      <c r="O2648" s="183" t="str">
        <f t="shared" si="620"/>
        <v/>
      </c>
      <c r="P2648" s="199" t="str">
        <f t="shared" si="621"/>
        <v/>
      </c>
      <c r="Q2648" s="199" t="str">
        <f>IF(B2648="","",IFERROR(IF('עלויות כח אדם (6)'!J2648&gt;=VLOOKUP(I2648,'סיווג התפקידים והעלויות'!$B$23:$C$32,2,0),"תקין","לא תקין"),""))</f>
        <v/>
      </c>
      <c r="R2648" s="199" t="str">
        <f t="shared" si="622"/>
        <v/>
      </c>
      <c r="S2648" s="199" t="str">
        <f t="shared" si="623"/>
        <v/>
      </c>
      <c r="T2648" s="199" t="str">
        <f t="shared" si="631"/>
        <v/>
      </c>
      <c r="U2648" s="199" t="str">
        <f t="shared" si="624"/>
        <v/>
      </c>
      <c r="V2648" s="989"/>
      <c r="X2648" s="374" t="str">
        <f t="shared" si="625"/>
        <v/>
      </c>
      <c r="Y2648" s="375" t="str">
        <f t="shared" si="626"/>
        <v/>
      </c>
      <c r="Z2648" s="374" t="str">
        <f t="shared" si="627"/>
        <v/>
      </c>
      <c r="AA2648" s="374" t="b">
        <f t="shared" si="628"/>
        <v>1</v>
      </c>
      <c r="AB2648" s="374">
        <f>COUNTIFS(B:B,B2648,H:H,'סיווג התפקידים והעלויות'!$C$2)</f>
        <v>0</v>
      </c>
      <c r="AC2648" s="374">
        <f>COUNTIFS(B:B,B2648,H:H,'סיווג התפקידים והעלויות'!$D$2)</f>
        <v>0</v>
      </c>
      <c r="AD2648" s="374" t="str">
        <f>IF(OR(AND(H2648='סיווג התפקידים והעלויות'!$A$2,I2648='סיווג התפקידים והעלויות'!$A$3),'עלויות כח אדם (6)'!H2648='סיווג התפקידים והעלויות'!$C$2,'עלויות כח אדם (6)'!H2648='סיווג התפקידים והעלויות'!$D$2),IF('עלויות כח אדם (6)'!J2648&lt;75,"לא תקין","תקין"),"")</f>
        <v/>
      </c>
      <c r="AE2648" s="374" t="str">
        <f t="shared" si="629"/>
        <v/>
      </c>
      <c r="AF2648" s="532" t="str">
        <f t="shared" si="630"/>
        <v/>
      </c>
    </row>
    <row r="2649" spans="2:32" x14ac:dyDescent="0.25">
      <c r="B2649" s="695"/>
      <c r="C2649" s="197" t="str">
        <f>IF(B2649&lt;&gt;"",IFERROR(VLOOKUP(B:B,'מצבת והרשמה (2)'!$C$20:$N$520,2,0)," ")," ")</f>
        <v xml:space="preserve"> </v>
      </c>
      <c r="D2649" s="695"/>
      <c r="E2649" s="696"/>
      <c r="F2649" s="696"/>
      <c r="G2649" s="696"/>
      <c r="H2649" s="696"/>
      <c r="I2649" s="1050" t="str">
        <f t="shared" si="617"/>
        <v/>
      </c>
      <c r="J2649" s="696"/>
      <c r="K2649" s="697"/>
      <c r="L2649" s="696"/>
      <c r="M2649" s="198" t="str">
        <f t="shared" si="618"/>
        <v/>
      </c>
      <c r="N2649" s="369" t="str">
        <f t="shared" si="619"/>
        <v/>
      </c>
      <c r="O2649" s="183" t="str">
        <f t="shared" si="620"/>
        <v/>
      </c>
      <c r="P2649" s="199" t="str">
        <f t="shared" si="621"/>
        <v/>
      </c>
      <c r="Q2649" s="199" t="str">
        <f>IF(B2649="","",IFERROR(IF('עלויות כח אדם (6)'!J2649&gt;=VLOOKUP(I2649,'סיווג התפקידים והעלויות'!$B$23:$C$32,2,0),"תקין","לא תקין"),""))</f>
        <v/>
      </c>
      <c r="R2649" s="199" t="str">
        <f t="shared" si="622"/>
        <v/>
      </c>
      <c r="S2649" s="199" t="str">
        <f t="shared" si="623"/>
        <v/>
      </c>
      <c r="T2649" s="199" t="str">
        <f t="shared" si="631"/>
        <v/>
      </c>
      <c r="U2649" s="199" t="str">
        <f t="shared" si="624"/>
        <v/>
      </c>
      <c r="V2649" s="989"/>
      <c r="X2649" s="374" t="str">
        <f t="shared" si="625"/>
        <v/>
      </c>
      <c r="Y2649" s="375" t="str">
        <f t="shared" si="626"/>
        <v/>
      </c>
      <c r="Z2649" s="374" t="str">
        <f t="shared" si="627"/>
        <v/>
      </c>
      <c r="AA2649" s="374" t="b">
        <f t="shared" si="628"/>
        <v>1</v>
      </c>
      <c r="AB2649" s="374">
        <f>COUNTIFS(B:B,B2649,H:H,'סיווג התפקידים והעלויות'!$C$2)</f>
        <v>0</v>
      </c>
      <c r="AC2649" s="374">
        <f>COUNTIFS(B:B,B2649,H:H,'סיווג התפקידים והעלויות'!$D$2)</f>
        <v>0</v>
      </c>
      <c r="AD2649" s="374" t="str">
        <f>IF(OR(AND(H2649='סיווג התפקידים והעלויות'!$A$2,I2649='סיווג התפקידים והעלויות'!$A$3),'עלויות כח אדם (6)'!H2649='סיווג התפקידים והעלויות'!$C$2,'עלויות כח אדם (6)'!H2649='סיווג התפקידים והעלויות'!$D$2),IF('עלויות כח אדם (6)'!J2649&lt;75,"לא תקין","תקין"),"")</f>
        <v/>
      </c>
      <c r="AE2649" s="374" t="str">
        <f t="shared" si="629"/>
        <v/>
      </c>
      <c r="AF2649" s="532" t="str">
        <f t="shared" si="630"/>
        <v/>
      </c>
    </row>
    <row r="2650" spans="2:32" x14ac:dyDescent="0.25">
      <c r="B2650" s="695"/>
      <c r="C2650" s="197" t="str">
        <f>IF(B2650&lt;&gt;"",IFERROR(VLOOKUP(B:B,'מצבת והרשמה (2)'!$C$20:$N$520,2,0)," ")," ")</f>
        <v xml:space="preserve"> </v>
      </c>
      <c r="D2650" s="695"/>
      <c r="E2650" s="696"/>
      <c r="F2650" s="696"/>
      <c r="G2650" s="696"/>
      <c r="H2650" s="696"/>
      <c r="I2650" s="1050" t="str">
        <f t="shared" si="617"/>
        <v/>
      </c>
      <c r="J2650" s="696"/>
      <c r="K2650" s="697"/>
      <c r="L2650" s="696"/>
      <c r="M2650" s="198" t="str">
        <f t="shared" si="618"/>
        <v/>
      </c>
      <c r="N2650" s="369" t="str">
        <f t="shared" si="619"/>
        <v/>
      </c>
      <c r="O2650" s="183" t="str">
        <f t="shared" si="620"/>
        <v/>
      </c>
      <c r="P2650" s="199" t="str">
        <f t="shared" si="621"/>
        <v/>
      </c>
      <c r="Q2650" s="199" t="str">
        <f>IF(B2650="","",IFERROR(IF('עלויות כח אדם (6)'!J2650&gt;=VLOOKUP(I2650,'סיווג התפקידים והעלויות'!$B$23:$C$32,2,0),"תקין","לא תקין"),""))</f>
        <v/>
      </c>
      <c r="R2650" s="199" t="str">
        <f t="shared" si="622"/>
        <v/>
      </c>
      <c r="S2650" s="199" t="str">
        <f t="shared" si="623"/>
        <v/>
      </c>
      <c r="T2650" s="199" t="str">
        <f t="shared" si="631"/>
        <v/>
      </c>
      <c r="U2650" s="199" t="str">
        <f t="shared" si="624"/>
        <v/>
      </c>
      <c r="V2650" s="989"/>
      <c r="X2650" s="374" t="str">
        <f t="shared" si="625"/>
        <v/>
      </c>
      <c r="Y2650" s="375" t="str">
        <f t="shared" si="626"/>
        <v/>
      </c>
      <c r="Z2650" s="374" t="str">
        <f t="shared" si="627"/>
        <v/>
      </c>
      <c r="AA2650" s="374" t="b">
        <f t="shared" si="628"/>
        <v>1</v>
      </c>
      <c r="AB2650" s="374">
        <f>COUNTIFS(B:B,B2650,H:H,'סיווג התפקידים והעלויות'!$C$2)</f>
        <v>0</v>
      </c>
      <c r="AC2650" s="374">
        <f>COUNTIFS(B:B,B2650,H:H,'סיווג התפקידים והעלויות'!$D$2)</f>
        <v>0</v>
      </c>
      <c r="AD2650" s="374" t="str">
        <f>IF(OR(AND(H2650='סיווג התפקידים והעלויות'!$A$2,I2650='סיווג התפקידים והעלויות'!$A$3),'עלויות כח אדם (6)'!H2650='סיווג התפקידים והעלויות'!$C$2,'עלויות כח אדם (6)'!H2650='סיווג התפקידים והעלויות'!$D$2),IF('עלויות כח אדם (6)'!J2650&lt;75,"לא תקין","תקין"),"")</f>
        <v/>
      </c>
      <c r="AE2650" s="374" t="str">
        <f t="shared" si="629"/>
        <v/>
      </c>
      <c r="AF2650" s="532" t="str">
        <f t="shared" si="630"/>
        <v/>
      </c>
    </row>
    <row r="2651" spans="2:32" x14ac:dyDescent="0.25">
      <c r="B2651" s="695"/>
      <c r="C2651" s="197" t="str">
        <f>IF(B2651&lt;&gt;"",IFERROR(VLOOKUP(B:B,'מצבת והרשמה (2)'!$C$20:$N$520,2,0)," ")," ")</f>
        <v xml:space="preserve"> </v>
      </c>
      <c r="D2651" s="695"/>
      <c r="E2651" s="696"/>
      <c r="F2651" s="696"/>
      <c r="G2651" s="696"/>
      <c r="H2651" s="696"/>
      <c r="I2651" s="1050" t="str">
        <f t="shared" si="617"/>
        <v/>
      </c>
      <c r="J2651" s="696"/>
      <c r="K2651" s="697"/>
      <c r="L2651" s="696"/>
      <c r="M2651" s="198" t="str">
        <f t="shared" si="618"/>
        <v/>
      </c>
      <c r="N2651" s="369" t="str">
        <f t="shared" si="619"/>
        <v/>
      </c>
      <c r="O2651" s="183" t="str">
        <f t="shared" si="620"/>
        <v/>
      </c>
      <c r="P2651" s="199" t="str">
        <f t="shared" si="621"/>
        <v/>
      </c>
      <c r="Q2651" s="199" t="str">
        <f>IF(B2651="","",IFERROR(IF('עלויות כח אדם (6)'!J2651&gt;=VLOOKUP(I2651,'סיווג התפקידים והעלויות'!$B$23:$C$32,2,0),"תקין","לא תקין"),""))</f>
        <v/>
      </c>
      <c r="R2651" s="199" t="str">
        <f t="shared" si="622"/>
        <v/>
      </c>
      <c r="S2651" s="199" t="str">
        <f t="shared" si="623"/>
        <v/>
      </c>
      <c r="T2651" s="199" t="str">
        <f t="shared" si="631"/>
        <v/>
      </c>
      <c r="U2651" s="199" t="str">
        <f t="shared" si="624"/>
        <v/>
      </c>
      <c r="V2651" s="989"/>
      <c r="X2651" s="374" t="str">
        <f t="shared" si="625"/>
        <v/>
      </c>
      <c r="Y2651" s="375" t="str">
        <f t="shared" si="626"/>
        <v/>
      </c>
      <c r="Z2651" s="374" t="str">
        <f t="shared" si="627"/>
        <v/>
      </c>
      <c r="AA2651" s="374" t="b">
        <f t="shared" si="628"/>
        <v>1</v>
      </c>
      <c r="AB2651" s="374">
        <f>COUNTIFS(B:B,B2651,H:H,'סיווג התפקידים והעלויות'!$C$2)</f>
        <v>0</v>
      </c>
      <c r="AC2651" s="374">
        <f>COUNTIFS(B:B,B2651,H:H,'סיווג התפקידים והעלויות'!$D$2)</f>
        <v>0</v>
      </c>
      <c r="AD2651" s="374" t="str">
        <f>IF(OR(AND(H2651='סיווג התפקידים והעלויות'!$A$2,I2651='סיווג התפקידים והעלויות'!$A$3),'עלויות כח אדם (6)'!H2651='סיווג התפקידים והעלויות'!$C$2,'עלויות כח אדם (6)'!H2651='סיווג התפקידים והעלויות'!$D$2),IF('עלויות כח אדם (6)'!J2651&lt;75,"לא תקין","תקין"),"")</f>
        <v/>
      </c>
      <c r="AE2651" s="374" t="str">
        <f t="shared" si="629"/>
        <v/>
      </c>
      <c r="AF2651" s="532" t="str">
        <f t="shared" si="630"/>
        <v/>
      </c>
    </row>
    <row r="2652" spans="2:32" x14ac:dyDescent="0.25">
      <c r="B2652" s="695"/>
      <c r="C2652" s="197" t="str">
        <f>IF(B2652&lt;&gt;"",IFERROR(VLOOKUP(B:B,'מצבת והרשמה (2)'!$C$20:$N$520,2,0)," ")," ")</f>
        <v xml:space="preserve"> </v>
      </c>
      <c r="D2652" s="695"/>
      <c r="E2652" s="696"/>
      <c r="F2652" s="696"/>
      <c r="G2652" s="696"/>
      <c r="H2652" s="696"/>
      <c r="I2652" s="1050" t="str">
        <f t="shared" si="617"/>
        <v/>
      </c>
      <c r="J2652" s="696"/>
      <c r="K2652" s="697"/>
      <c r="L2652" s="696"/>
      <c r="M2652" s="198" t="str">
        <f t="shared" si="618"/>
        <v/>
      </c>
      <c r="N2652" s="369" t="str">
        <f t="shared" si="619"/>
        <v/>
      </c>
      <c r="O2652" s="183" t="str">
        <f t="shared" si="620"/>
        <v/>
      </c>
      <c r="P2652" s="199" t="str">
        <f t="shared" si="621"/>
        <v/>
      </c>
      <c r="Q2652" s="199" t="str">
        <f>IF(B2652="","",IFERROR(IF('עלויות כח אדם (6)'!J2652&gt;=VLOOKUP(I2652,'סיווג התפקידים והעלויות'!$B$23:$C$32,2,0),"תקין","לא תקין"),""))</f>
        <v/>
      </c>
      <c r="R2652" s="199" t="str">
        <f t="shared" si="622"/>
        <v/>
      </c>
      <c r="S2652" s="199" t="str">
        <f t="shared" si="623"/>
        <v/>
      </c>
      <c r="T2652" s="199" t="str">
        <f t="shared" si="631"/>
        <v/>
      </c>
      <c r="U2652" s="199" t="str">
        <f t="shared" si="624"/>
        <v/>
      </c>
      <c r="V2652" s="989"/>
      <c r="X2652" s="374" t="str">
        <f t="shared" si="625"/>
        <v/>
      </c>
      <c r="Y2652" s="375" t="str">
        <f t="shared" si="626"/>
        <v/>
      </c>
      <c r="Z2652" s="374" t="str">
        <f t="shared" si="627"/>
        <v/>
      </c>
      <c r="AA2652" s="374" t="b">
        <f t="shared" si="628"/>
        <v>1</v>
      </c>
      <c r="AB2652" s="374">
        <f>COUNTIFS(B:B,B2652,H:H,'סיווג התפקידים והעלויות'!$C$2)</f>
        <v>0</v>
      </c>
      <c r="AC2652" s="374">
        <f>COUNTIFS(B:B,B2652,H:H,'סיווג התפקידים והעלויות'!$D$2)</f>
        <v>0</v>
      </c>
      <c r="AD2652" s="374" t="str">
        <f>IF(OR(AND(H2652='סיווג התפקידים והעלויות'!$A$2,I2652='סיווג התפקידים והעלויות'!$A$3),'עלויות כח אדם (6)'!H2652='סיווג התפקידים והעלויות'!$C$2,'עלויות כח אדם (6)'!H2652='סיווג התפקידים והעלויות'!$D$2),IF('עלויות כח אדם (6)'!J2652&lt;75,"לא תקין","תקין"),"")</f>
        <v/>
      </c>
      <c r="AE2652" s="374" t="str">
        <f t="shared" si="629"/>
        <v/>
      </c>
      <c r="AF2652" s="532" t="str">
        <f t="shared" si="630"/>
        <v/>
      </c>
    </row>
    <row r="2653" spans="2:32" x14ac:dyDescent="0.25">
      <c r="B2653" s="695"/>
      <c r="C2653" s="197" t="str">
        <f>IF(B2653&lt;&gt;"",IFERROR(VLOOKUP(B:B,'מצבת והרשמה (2)'!$C$20:$N$520,2,0)," ")," ")</f>
        <v xml:space="preserve"> </v>
      </c>
      <c r="D2653" s="695"/>
      <c r="E2653" s="696"/>
      <c r="F2653" s="696"/>
      <c r="G2653" s="696"/>
      <c r="H2653" s="696"/>
      <c r="I2653" s="1050" t="str">
        <f t="shared" si="617"/>
        <v/>
      </c>
      <c r="J2653" s="696"/>
      <c r="K2653" s="697"/>
      <c r="L2653" s="696"/>
      <c r="M2653" s="198" t="str">
        <f t="shared" si="618"/>
        <v/>
      </c>
      <c r="N2653" s="369" t="str">
        <f t="shared" si="619"/>
        <v/>
      </c>
      <c r="O2653" s="183" t="str">
        <f t="shared" si="620"/>
        <v/>
      </c>
      <c r="P2653" s="199" t="str">
        <f t="shared" si="621"/>
        <v/>
      </c>
      <c r="Q2653" s="199" t="str">
        <f>IF(B2653="","",IFERROR(IF('עלויות כח אדם (6)'!J2653&gt;=VLOOKUP(I2653,'סיווג התפקידים והעלויות'!$B$23:$C$32,2,0),"תקין","לא תקין"),""))</f>
        <v/>
      </c>
      <c r="R2653" s="199" t="str">
        <f t="shared" si="622"/>
        <v/>
      </c>
      <c r="S2653" s="199" t="str">
        <f t="shared" si="623"/>
        <v/>
      </c>
      <c r="T2653" s="199" t="str">
        <f t="shared" si="631"/>
        <v/>
      </c>
      <c r="U2653" s="199" t="str">
        <f t="shared" si="624"/>
        <v/>
      </c>
      <c r="V2653" s="989"/>
      <c r="X2653" s="374" t="str">
        <f t="shared" si="625"/>
        <v/>
      </c>
      <c r="Y2653" s="375" t="str">
        <f t="shared" si="626"/>
        <v/>
      </c>
      <c r="Z2653" s="374" t="str">
        <f t="shared" si="627"/>
        <v/>
      </c>
      <c r="AA2653" s="374" t="b">
        <f t="shared" si="628"/>
        <v>1</v>
      </c>
      <c r="AB2653" s="374">
        <f>COUNTIFS(B:B,B2653,H:H,'סיווג התפקידים והעלויות'!$C$2)</f>
        <v>0</v>
      </c>
      <c r="AC2653" s="374">
        <f>COUNTIFS(B:B,B2653,H:H,'סיווג התפקידים והעלויות'!$D$2)</f>
        <v>0</v>
      </c>
      <c r="AD2653" s="374" t="str">
        <f>IF(OR(AND(H2653='סיווג התפקידים והעלויות'!$A$2,I2653='סיווג התפקידים והעלויות'!$A$3),'עלויות כח אדם (6)'!H2653='סיווג התפקידים והעלויות'!$C$2,'עלויות כח אדם (6)'!H2653='סיווג התפקידים והעלויות'!$D$2),IF('עלויות כח אדם (6)'!J2653&lt;75,"לא תקין","תקין"),"")</f>
        <v/>
      </c>
      <c r="AE2653" s="374" t="str">
        <f t="shared" si="629"/>
        <v/>
      </c>
      <c r="AF2653" s="532" t="str">
        <f t="shared" si="630"/>
        <v/>
      </c>
    </row>
    <row r="2654" spans="2:32" x14ac:dyDescent="0.25">
      <c r="B2654" s="695"/>
      <c r="C2654" s="197" t="str">
        <f>IF(B2654&lt;&gt;"",IFERROR(VLOOKUP(B:B,'מצבת והרשמה (2)'!$C$20:$N$520,2,0)," ")," ")</f>
        <v xml:space="preserve"> </v>
      </c>
      <c r="D2654" s="695"/>
      <c r="E2654" s="696"/>
      <c r="F2654" s="696"/>
      <c r="G2654" s="696"/>
      <c r="H2654" s="696"/>
      <c r="I2654" s="1050" t="str">
        <f t="shared" si="617"/>
        <v/>
      </c>
      <c r="J2654" s="696"/>
      <c r="K2654" s="697"/>
      <c r="L2654" s="696"/>
      <c r="M2654" s="198" t="str">
        <f t="shared" si="618"/>
        <v/>
      </c>
      <c r="N2654" s="369" t="str">
        <f t="shared" si="619"/>
        <v/>
      </c>
      <c r="O2654" s="183" t="str">
        <f t="shared" si="620"/>
        <v/>
      </c>
      <c r="P2654" s="199" t="str">
        <f t="shared" si="621"/>
        <v/>
      </c>
      <c r="Q2654" s="199" t="str">
        <f>IF(B2654="","",IFERROR(IF('עלויות כח אדם (6)'!J2654&gt;=VLOOKUP(I2654,'סיווג התפקידים והעלויות'!$B$23:$C$32,2,0),"תקין","לא תקין"),""))</f>
        <v/>
      </c>
      <c r="R2654" s="199" t="str">
        <f t="shared" si="622"/>
        <v/>
      </c>
      <c r="S2654" s="199" t="str">
        <f t="shared" si="623"/>
        <v/>
      </c>
      <c r="T2654" s="199" t="str">
        <f t="shared" si="631"/>
        <v/>
      </c>
      <c r="U2654" s="199" t="str">
        <f t="shared" si="624"/>
        <v/>
      </c>
      <c r="V2654" s="989"/>
      <c r="X2654" s="374" t="str">
        <f t="shared" si="625"/>
        <v/>
      </c>
      <c r="Y2654" s="375" t="str">
        <f t="shared" si="626"/>
        <v/>
      </c>
      <c r="Z2654" s="374" t="str">
        <f t="shared" si="627"/>
        <v/>
      </c>
      <c r="AA2654" s="374" t="b">
        <f t="shared" si="628"/>
        <v>1</v>
      </c>
      <c r="AB2654" s="374">
        <f>COUNTIFS(B:B,B2654,H:H,'סיווג התפקידים והעלויות'!$C$2)</f>
        <v>0</v>
      </c>
      <c r="AC2654" s="374">
        <f>COUNTIFS(B:B,B2654,H:H,'סיווג התפקידים והעלויות'!$D$2)</f>
        <v>0</v>
      </c>
      <c r="AD2654" s="374" t="str">
        <f>IF(OR(AND(H2654='סיווג התפקידים והעלויות'!$A$2,I2654='סיווג התפקידים והעלויות'!$A$3),'עלויות כח אדם (6)'!H2654='סיווג התפקידים והעלויות'!$C$2,'עלויות כח אדם (6)'!H2654='סיווג התפקידים והעלויות'!$D$2),IF('עלויות כח אדם (6)'!J2654&lt;75,"לא תקין","תקין"),"")</f>
        <v/>
      </c>
      <c r="AE2654" s="374" t="str">
        <f t="shared" si="629"/>
        <v/>
      </c>
      <c r="AF2654" s="532" t="str">
        <f t="shared" si="630"/>
        <v/>
      </c>
    </row>
    <row r="2655" spans="2:32" x14ac:dyDescent="0.25">
      <c r="B2655" s="695"/>
      <c r="C2655" s="197" t="str">
        <f>IF(B2655&lt;&gt;"",IFERROR(VLOOKUP(B:B,'מצבת והרשמה (2)'!$C$20:$N$520,2,0)," ")," ")</f>
        <v xml:space="preserve"> </v>
      </c>
      <c r="D2655" s="695"/>
      <c r="E2655" s="696"/>
      <c r="F2655" s="696"/>
      <c r="G2655" s="696"/>
      <c r="H2655" s="696"/>
      <c r="I2655" s="1050" t="str">
        <f t="shared" si="617"/>
        <v/>
      </c>
      <c r="J2655" s="696"/>
      <c r="K2655" s="697"/>
      <c r="L2655" s="696"/>
      <c r="M2655" s="198" t="str">
        <f t="shared" si="618"/>
        <v/>
      </c>
      <c r="N2655" s="369" t="str">
        <f t="shared" si="619"/>
        <v/>
      </c>
      <c r="O2655" s="183" t="str">
        <f t="shared" si="620"/>
        <v/>
      </c>
      <c r="P2655" s="199" t="str">
        <f t="shared" si="621"/>
        <v/>
      </c>
      <c r="Q2655" s="199" t="str">
        <f>IF(B2655="","",IFERROR(IF('עלויות כח אדם (6)'!J2655&gt;=VLOOKUP(I2655,'סיווג התפקידים והעלויות'!$B$23:$C$32,2,0),"תקין","לא תקין"),""))</f>
        <v/>
      </c>
      <c r="R2655" s="199" t="str">
        <f t="shared" si="622"/>
        <v/>
      </c>
      <c r="S2655" s="199" t="str">
        <f t="shared" si="623"/>
        <v/>
      </c>
      <c r="T2655" s="199" t="str">
        <f t="shared" si="631"/>
        <v/>
      </c>
      <c r="U2655" s="199" t="str">
        <f t="shared" si="624"/>
        <v/>
      </c>
      <c r="V2655" s="989"/>
      <c r="X2655" s="374" t="str">
        <f t="shared" si="625"/>
        <v/>
      </c>
      <c r="Y2655" s="375" t="str">
        <f t="shared" si="626"/>
        <v/>
      </c>
      <c r="Z2655" s="374" t="str">
        <f t="shared" si="627"/>
        <v/>
      </c>
      <c r="AA2655" s="374" t="b">
        <f t="shared" si="628"/>
        <v>1</v>
      </c>
      <c r="AB2655" s="374">
        <f>COUNTIFS(B:B,B2655,H:H,'סיווג התפקידים והעלויות'!$C$2)</f>
        <v>0</v>
      </c>
      <c r="AC2655" s="374">
        <f>COUNTIFS(B:B,B2655,H:H,'סיווג התפקידים והעלויות'!$D$2)</f>
        <v>0</v>
      </c>
      <c r="AD2655" s="374" t="str">
        <f>IF(OR(AND(H2655='סיווג התפקידים והעלויות'!$A$2,I2655='סיווג התפקידים והעלויות'!$A$3),'עלויות כח אדם (6)'!H2655='סיווג התפקידים והעלויות'!$C$2,'עלויות כח אדם (6)'!H2655='סיווג התפקידים והעלויות'!$D$2),IF('עלויות כח אדם (6)'!J2655&lt;75,"לא תקין","תקין"),"")</f>
        <v/>
      </c>
      <c r="AE2655" s="374" t="str">
        <f t="shared" si="629"/>
        <v/>
      </c>
      <c r="AF2655" s="532" t="str">
        <f t="shared" si="630"/>
        <v/>
      </c>
    </row>
    <row r="2656" spans="2:32" x14ac:dyDescent="0.25">
      <c r="B2656" s="695"/>
      <c r="C2656" s="197" t="str">
        <f>IF(B2656&lt;&gt;"",IFERROR(VLOOKUP(B:B,'מצבת והרשמה (2)'!$C$20:$N$520,2,0)," ")," ")</f>
        <v xml:space="preserve"> </v>
      </c>
      <c r="D2656" s="695"/>
      <c r="E2656" s="696"/>
      <c r="F2656" s="696"/>
      <c r="G2656" s="696"/>
      <c r="H2656" s="696"/>
      <c r="I2656" s="1050" t="str">
        <f t="shared" si="617"/>
        <v/>
      </c>
      <c r="J2656" s="696"/>
      <c r="K2656" s="697"/>
      <c r="L2656" s="696"/>
      <c r="M2656" s="198" t="str">
        <f t="shared" si="618"/>
        <v/>
      </c>
      <c r="N2656" s="369" t="str">
        <f t="shared" si="619"/>
        <v/>
      </c>
      <c r="O2656" s="183" t="str">
        <f t="shared" si="620"/>
        <v/>
      </c>
      <c r="P2656" s="199" t="str">
        <f t="shared" si="621"/>
        <v/>
      </c>
      <c r="Q2656" s="199" t="str">
        <f>IF(B2656="","",IFERROR(IF('עלויות כח אדם (6)'!J2656&gt;=VLOOKUP(I2656,'סיווג התפקידים והעלויות'!$B$23:$C$32,2,0),"תקין","לא תקין"),""))</f>
        <v/>
      </c>
      <c r="R2656" s="199" t="str">
        <f t="shared" si="622"/>
        <v/>
      </c>
      <c r="S2656" s="199" t="str">
        <f t="shared" si="623"/>
        <v/>
      </c>
      <c r="T2656" s="199" t="str">
        <f t="shared" si="631"/>
        <v/>
      </c>
      <c r="U2656" s="199" t="str">
        <f t="shared" si="624"/>
        <v/>
      </c>
      <c r="V2656" s="989"/>
      <c r="X2656" s="374" t="str">
        <f t="shared" si="625"/>
        <v/>
      </c>
      <c r="Y2656" s="375" t="str">
        <f t="shared" si="626"/>
        <v/>
      </c>
      <c r="Z2656" s="374" t="str">
        <f t="shared" si="627"/>
        <v/>
      </c>
      <c r="AA2656" s="374" t="b">
        <f t="shared" si="628"/>
        <v>1</v>
      </c>
      <c r="AB2656" s="374">
        <f>COUNTIFS(B:B,B2656,H:H,'סיווג התפקידים והעלויות'!$C$2)</f>
        <v>0</v>
      </c>
      <c r="AC2656" s="374">
        <f>COUNTIFS(B:B,B2656,H:H,'סיווג התפקידים והעלויות'!$D$2)</f>
        <v>0</v>
      </c>
      <c r="AD2656" s="374" t="str">
        <f>IF(OR(AND(H2656='סיווג התפקידים והעלויות'!$A$2,I2656='סיווג התפקידים והעלויות'!$A$3),'עלויות כח אדם (6)'!H2656='סיווג התפקידים והעלויות'!$C$2,'עלויות כח אדם (6)'!H2656='סיווג התפקידים והעלויות'!$D$2),IF('עלויות כח אדם (6)'!J2656&lt;75,"לא תקין","תקין"),"")</f>
        <v/>
      </c>
      <c r="AE2656" s="374" t="str">
        <f t="shared" si="629"/>
        <v/>
      </c>
      <c r="AF2656" s="532" t="str">
        <f t="shared" si="630"/>
        <v/>
      </c>
    </row>
    <row r="2657" spans="2:32" x14ac:dyDescent="0.25">
      <c r="B2657" s="695"/>
      <c r="C2657" s="197" t="str">
        <f>IF(B2657&lt;&gt;"",IFERROR(VLOOKUP(B:B,'מצבת והרשמה (2)'!$C$20:$N$520,2,0)," ")," ")</f>
        <v xml:space="preserve"> </v>
      </c>
      <c r="D2657" s="695"/>
      <c r="E2657" s="696"/>
      <c r="F2657" s="696"/>
      <c r="G2657" s="696"/>
      <c r="H2657" s="696"/>
      <c r="I2657" s="1050" t="str">
        <f t="shared" si="617"/>
        <v/>
      </c>
      <c r="J2657" s="696"/>
      <c r="K2657" s="697"/>
      <c r="L2657" s="696"/>
      <c r="M2657" s="198" t="str">
        <f t="shared" si="618"/>
        <v/>
      </c>
      <c r="N2657" s="369" t="str">
        <f t="shared" si="619"/>
        <v/>
      </c>
      <c r="O2657" s="183" t="str">
        <f t="shared" si="620"/>
        <v/>
      </c>
      <c r="P2657" s="199" t="str">
        <f t="shared" si="621"/>
        <v/>
      </c>
      <c r="Q2657" s="199" t="str">
        <f>IF(B2657="","",IFERROR(IF('עלויות כח אדם (6)'!J2657&gt;=VLOOKUP(I2657,'סיווג התפקידים והעלויות'!$B$23:$C$32,2,0),"תקין","לא תקין"),""))</f>
        <v/>
      </c>
      <c r="R2657" s="199" t="str">
        <f t="shared" si="622"/>
        <v/>
      </c>
      <c r="S2657" s="199" t="str">
        <f t="shared" si="623"/>
        <v/>
      </c>
      <c r="T2657" s="199" t="str">
        <f t="shared" si="631"/>
        <v/>
      </c>
      <c r="U2657" s="199" t="str">
        <f t="shared" si="624"/>
        <v/>
      </c>
      <c r="V2657" s="989"/>
      <c r="X2657" s="374" t="str">
        <f t="shared" si="625"/>
        <v/>
      </c>
      <c r="Y2657" s="375" t="str">
        <f t="shared" si="626"/>
        <v/>
      </c>
      <c r="Z2657" s="374" t="str">
        <f t="shared" si="627"/>
        <v/>
      </c>
      <c r="AA2657" s="374" t="b">
        <f t="shared" si="628"/>
        <v>1</v>
      </c>
      <c r="AB2657" s="374">
        <f>COUNTIFS(B:B,B2657,H:H,'סיווג התפקידים והעלויות'!$C$2)</f>
        <v>0</v>
      </c>
      <c r="AC2657" s="374">
        <f>COUNTIFS(B:B,B2657,H:H,'סיווג התפקידים והעלויות'!$D$2)</f>
        <v>0</v>
      </c>
      <c r="AD2657" s="374" t="str">
        <f>IF(OR(AND(H2657='סיווג התפקידים והעלויות'!$A$2,I2657='סיווג התפקידים והעלויות'!$A$3),'עלויות כח אדם (6)'!H2657='סיווג התפקידים והעלויות'!$C$2,'עלויות כח אדם (6)'!H2657='סיווג התפקידים והעלויות'!$D$2),IF('עלויות כח אדם (6)'!J2657&lt;75,"לא תקין","תקין"),"")</f>
        <v/>
      </c>
      <c r="AE2657" s="374" t="str">
        <f t="shared" si="629"/>
        <v/>
      </c>
      <c r="AF2657" s="532" t="str">
        <f t="shared" si="630"/>
        <v/>
      </c>
    </row>
    <row r="2658" spans="2:32" x14ac:dyDescent="0.25">
      <c r="B2658" s="695"/>
      <c r="C2658" s="197" t="str">
        <f>IF(B2658&lt;&gt;"",IFERROR(VLOOKUP(B:B,'מצבת והרשמה (2)'!$C$20:$N$520,2,0)," ")," ")</f>
        <v xml:space="preserve"> </v>
      </c>
      <c r="D2658" s="695"/>
      <c r="E2658" s="696"/>
      <c r="F2658" s="696"/>
      <c r="G2658" s="696"/>
      <c r="H2658" s="696"/>
      <c r="I2658" s="1050" t="str">
        <f t="shared" si="617"/>
        <v/>
      </c>
      <c r="J2658" s="696"/>
      <c r="K2658" s="697"/>
      <c r="L2658" s="696"/>
      <c r="M2658" s="198" t="str">
        <f t="shared" si="618"/>
        <v/>
      </c>
      <c r="N2658" s="369" t="str">
        <f t="shared" si="619"/>
        <v/>
      </c>
      <c r="O2658" s="183" t="str">
        <f t="shared" si="620"/>
        <v/>
      </c>
      <c r="P2658" s="199" t="str">
        <f t="shared" si="621"/>
        <v/>
      </c>
      <c r="Q2658" s="199" t="str">
        <f>IF(B2658="","",IFERROR(IF('עלויות כח אדם (6)'!J2658&gt;=VLOOKUP(I2658,'סיווג התפקידים והעלויות'!$B$23:$C$32,2,0),"תקין","לא תקין"),""))</f>
        <v/>
      </c>
      <c r="R2658" s="199" t="str">
        <f t="shared" si="622"/>
        <v/>
      </c>
      <c r="S2658" s="199" t="str">
        <f t="shared" si="623"/>
        <v/>
      </c>
      <c r="T2658" s="199" t="str">
        <f t="shared" si="631"/>
        <v/>
      </c>
      <c r="U2658" s="199" t="str">
        <f t="shared" si="624"/>
        <v/>
      </c>
      <c r="V2658" s="989"/>
      <c r="X2658" s="374" t="str">
        <f t="shared" si="625"/>
        <v/>
      </c>
      <c r="Y2658" s="375" t="str">
        <f t="shared" si="626"/>
        <v/>
      </c>
      <c r="Z2658" s="374" t="str">
        <f t="shared" si="627"/>
        <v/>
      </c>
      <c r="AA2658" s="374" t="b">
        <f t="shared" si="628"/>
        <v>1</v>
      </c>
      <c r="AB2658" s="374">
        <f>COUNTIFS(B:B,B2658,H:H,'סיווג התפקידים והעלויות'!$C$2)</f>
        <v>0</v>
      </c>
      <c r="AC2658" s="374">
        <f>COUNTIFS(B:B,B2658,H:H,'סיווג התפקידים והעלויות'!$D$2)</f>
        <v>0</v>
      </c>
      <c r="AD2658" s="374" t="str">
        <f>IF(OR(AND(H2658='סיווג התפקידים והעלויות'!$A$2,I2658='סיווג התפקידים והעלויות'!$A$3),'עלויות כח אדם (6)'!H2658='סיווג התפקידים והעלויות'!$C$2,'עלויות כח אדם (6)'!H2658='סיווג התפקידים והעלויות'!$D$2),IF('עלויות כח אדם (6)'!J2658&lt;75,"לא תקין","תקין"),"")</f>
        <v/>
      </c>
      <c r="AE2658" s="374" t="str">
        <f t="shared" si="629"/>
        <v/>
      </c>
      <c r="AF2658" s="532" t="str">
        <f t="shared" si="630"/>
        <v/>
      </c>
    </row>
    <row r="2659" spans="2:32" x14ac:dyDescent="0.25">
      <c r="B2659" s="695"/>
      <c r="C2659" s="197" t="str">
        <f>IF(B2659&lt;&gt;"",IFERROR(VLOOKUP(B:B,'מצבת והרשמה (2)'!$C$20:$N$520,2,0)," ")," ")</f>
        <v xml:space="preserve"> </v>
      </c>
      <c r="D2659" s="695"/>
      <c r="E2659" s="696"/>
      <c r="F2659" s="696"/>
      <c r="G2659" s="696"/>
      <c r="H2659" s="696"/>
      <c r="I2659" s="1050" t="str">
        <f t="shared" si="617"/>
        <v/>
      </c>
      <c r="J2659" s="696"/>
      <c r="K2659" s="697"/>
      <c r="L2659" s="696"/>
      <c r="M2659" s="198" t="str">
        <f t="shared" si="618"/>
        <v/>
      </c>
      <c r="N2659" s="369" t="str">
        <f t="shared" si="619"/>
        <v/>
      </c>
      <c r="O2659" s="183" t="str">
        <f t="shared" si="620"/>
        <v/>
      </c>
      <c r="P2659" s="199" t="str">
        <f t="shared" si="621"/>
        <v/>
      </c>
      <c r="Q2659" s="199" t="str">
        <f>IF(B2659="","",IFERROR(IF('עלויות כח אדם (6)'!J2659&gt;=VLOOKUP(I2659,'סיווג התפקידים והעלויות'!$B$23:$C$32,2,0),"תקין","לא תקין"),""))</f>
        <v/>
      </c>
      <c r="R2659" s="199" t="str">
        <f t="shared" si="622"/>
        <v/>
      </c>
      <c r="S2659" s="199" t="str">
        <f t="shared" si="623"/>
        <v/>
      </c>
      <c r="T2659" s="199" t="str">
        <f t="shared" si="631"/>
        <v/>
      </c>
      <c r="U2659" s="199" t="str">
        <f t="shared" si="624"/>
        <v/>
      </c>
      <c r="V2659" s="989"/>
      <c r="X2659" s="374" t="str">
        <f t="shared" si="625"/>
        <v/>
      </c>
      <c r="Y2659" s="375" t="str">
        <f t="shared" si="626"/>
        <v/>
      </c>
      <c r="Z2659" s="374" t="str">
        <f t="shared" si="627"/>
        <v/>
      </c>
      <c r="AA2659" s="374" t="b">
        <f t="shared" si="628"/>
        <v>1</v>
      </c>
      <c r="AB2659" s="374">
        <f>COUNTIFS(B:B,B2659,H:H,'סיווג התפקידים והעלויות'!$C$2)</f>
        <v>0</v>
      </c>
      <c r="AC2659" s="374">
        <f>COUNTIFS(B:B,B2659,H:H,'סיווג התפקידים והעלויות'!$D$2)</f>
        <v>0</v>
      </c>
      <c r="AD2659" s="374" t="str">
        <f>IF(OR(AND(H2659='סיווג התפקידים והעלויות'!$A$2,I2659='סיווג התפקידים והעלויות'!$A$3),'עלויות כח אדם (6)'!H2659='סיווג התפקידים והעלויות'!$C$2,'עלויות כח אדם (6)'!H2659='סיווג התפקידים והעלויות'!$D$2),IF('עלויות כח אדם (6)'!J2659&lt;75,"לא תקין","תקין"),"")</f>
        <v/>
      </c>
      <c r="AE2659" s="374" t="str">
        <f t="shared" si="629"/>
        <v/>
      </c>
      <c r="AF2659" s="532" t="str">
        <f t="shared" si="630"/>
        <v/>
      </c>
    </row>
    <row r="2660" spans="2:32" x14ac:dyDescent="0.25">
      <c r="B2660" s="695"/>
      <c r="C2660" s="197" t="str">
        <f>IF(B2660&lt;&gt;"",IFERROR(VLOOKUP(B:B,'מצבת והרשמה (2)'!$C$20:$N$520,2,0)," ")," ")</f>
        <v xml:space="preserve"> </v>
      </c>
      <c r="D2660" s="695"/>
      <c r="E2660" s="696"/>
      <c r="F2660" s="696"/>
      <c r="G2660" s="696"/>
      <c r="H2660" s="696"/>
      <c r="I2660" s="1050" t="str">
        <f t="shared" si="617"/>
        <v/>
      </c>
      <c r="J2660" s="696"/>
      <c r="K2660" s="697"/>
      <c r="L2660" s="696"/>
      <c r="M2660" s="198" t="str">
        <f t="shared" si="618"/>
        <v/>
      </c>
      <c r="N2660" s="369" t="str">
        <f t="shared" si="619"/>
        <v/>
      </c>
      <c r="O2660" s="183" t="str">
        <f t="shared" si="620"/>
        <v/>
      </c>
      <c r="P2660" s="199" t="str">
        <f t="shared" si="621"/>
        <v/>
      </c>
      <c r="Q2660" s="199" t="str">
        <f>IF(B2660="","",IFERROR(IF('עלויות כח אדם (6)'!J2660&gt;=VLOOKUP(I2660,'סיווג התפקידים והעלויות'!$B$23:$C$32,2,0),"תקין","לא תקין"),""))</f>
        <v/>
      </c>
      <c r="R2660" s="199" t="str">
        <f t="shared" si="622"/>
        <v/>
      </c>
      <c r="S2660" s="199" t="str">
        <f t="shared" si="623"/>
        <v/>
      </c>
      <c r="T2660" s="199" t="str">
        <f t="shared" si="631"/>
        <v/>
      </c>
      <c r="U2660" s="199" t="str">
        <f t="shared" si="624"/>
        <v/>
      </c>
      <c r="V2660" s="989"/>
      <c r="X2660" s="374" t="str">
        <f t="shared" si="625"/>
        <v/>
      </c>
      <c r="Y2660" s="375" t="str">
        <f t="shared" si="626"/>
        <v/>
      </c>
      <c r="Z2660" s="374" t="str">
        <f t="shared" si="627"/>
        <v/>
      </c>
      <c r="AA2660" s="374" t="b">
        <f t="shared" si="628"/>
        <v>1</v>
      </c>
      <c r="AB2660" s="374">
        <f>COUNTIFS(B:B,B2660,H:H,'סיווג התפקידים והעלויות'!$C$2)</f>
        <v>0</v>
      </c>
      <c r="AC2660" s="374">
        <f>COUNTIFS(B:B,B2660,H:H,'סיווג התפקידים והעלויות'!$D$2)</f>
        <v>0</v>
      </c>
      <c r="AD2660" s="374" t="str">
        <f>IF(OR(AND(H2660='סיווג התפקידים והעלויות'!$A$2,I2660='סיווג התפקידים והעלויות'!$A$3),'עלויות כח אדם (6)'!H2660='סיווג התפקידים והעלויות'!$C$2,'עלויות כח אדם (6)'!H2660='סיווג התפקידים והעלויות'!$D$2),IF('עלויות כח אדם (6)'!J2660&lt;75,"לא תקין","תקין"),"")</f>
        <v/>
      </c>
      <c r="AE2660" s="374" t="str">
        <f t="shared" si="629"/>
        <v/>
      </c>
      <c r="AF2660" s="532" t="str">
        <f t="shared" si="630"/>
        <v/>
      </c>
    </row>
    <row r="2661" spans="2:32" x14ac:dyDescent="0.25">
      <c r="B2661" s="695"/>
      <c r="C2661" s="197" t="str">
        <f>IF(B2661&lt;&gt;"",IFERROR(VLOOKUP(B:B,'מצבת והרשמה (2)'!$C$20:$N$520,2,0)," ")," ")</f>
        <v xml:space="preserve"> </v>
      </c>
      <c r="D2661" s="695"/>
      <c r="E2661" s="696"/>
      <c r="F2661" s="696"/>
      <c r="G2661" s="696"/>
      <c r="H2661" s="696"/>
      <c r="I2661" s="1050" t="str">
        <f t="shared" si="617"/>
        <v/>
      </c>
      <c r="J2661" s="696"/>
      <c r="K2661" s="697"/>
      <c r="L2661" s="696"/>
      <c r="M2661" s="198" t="str">
        <f t="shared" si="618"/>
        <v/>
      </c>
      <c r="N2661" s="369" t="str">
        <f t="shared" si="619"/>
        <v/>
      </c>
      <c r="O2661" s="183" t="str">
        <f t="shared" si="620"/>
        <v/>
      </c>
      <c r="P2661" s="199" t="str">
        <f t="shared" si="621"/>
        <v/>
      </c>
      <c r="Q2661" s="199" t="str">
        <f>IF(B2661="","",IFERROR(IF('עלויות כח אדם (6)'!J2661&gt;=VLOOKUP(I2661,'סיווג התפקידים והעלויות'!$B$23:$C$32,2,0),"תקין","לא תקין"),""))</f>
        <v/>
      </c>
      <c r="R2661" s="199" t="str">
        <f t="shared" si="622"/>
        <v/>
      </c>
      <c r="S2661" s="199" t="str">
        <f t="shared" si="623"/>
        <v/>
      </c>
      <c r="T2661" s="199" t="str">
        <f t="shared" si="631"/>
        <v/>
      </c>
      <c r="U2661" s="199" t="str">
        <f t="shared" si="624"/>
        <v/>
      </c>
      <c r="V2661" s="989"/>
      <c r="X2661" s="374" t="str">
        <f t="shared" si="625"/>
        <v/>
      </c>
      <c r="Y2661" s="375" t="str">
        <f t="shared" si="626"/>
        <v/>
      </c>
      <c r="Z2661" s="374" t="str">
        <f t="shared" si="627"/>
        <v/>
      </c>
      <c r="AA2661" s="374" t="b">
        <f t="shared" si="628"/>
        <v>1</v>
      </c>
      <c r="AB2661" s="374">
        <f>COUNTIFS(B:B,B2661,H:H,'סיווג התפקידים והעלויות'!$C$2)</f>
        <v>0</v>
      </c>
      <c r="AC2661" s="374">
        <f>COUNTIFS(B:B,B2661,H:H,'סיווג התפקידים והעלויות'!$D$2)</f>
        <v>0</v>
      </c>
      <c r="AD2661" s="374" t="str">
        <f>IF(OR(AND(H2661='סיווג התפקידים והעלויות'!$A$2,I2661='סיווג התפקידים והעלויות'!$A$3),'עלויות כח אדם (6)'!H2661='סיווג התפקידים והעלויות'!$C$2,'עלויות כח אדם (6)'!H2661='סיווג התפקידים והעלויות'!$D$2),IF('עלויות כח אדם (6)'!J2661&lt;75,"לא תקין","תקין"),"")</f>
        <v/>
      </c>
      <c r="AE2661" s="374" t="str">
        <f t="shared" si="629"/>
        <v/>
      </c>
      <c r="AF2661" s="532" t="str">
        <f t="shared" si="630"/>
        <v/>
      </c>
    </row>
    <row r="2662" spans="2:32" x14ac:dyDescent="0.25">
      <c r="B2662" s="695"/>
      <c r="C2662" s="197" t="str">
        <f>IF(B2662&lt;&gt;"",IFERROR(VLOOKUP(B:B,'מצבת והרשמה (2)'!$C$20:$N$520,2,0)," ")," ")</f>
        <v xml:space="preserve"> </v>
      </c>
      <c r="D2662" s="695"/>
      <c r="E2662" s="696"/>
      <c r="F2662" s="696"/>
      <c r="G2662" s="696"/>
      <c r="H2662" s="696"/>
      <c r="I2662" s="1050" t="str">
        <f t="shared" si="617"/>
        <v/>
      </c>
      <c r="J2662" s="696"/>
      <c r="K2662" s="697"/>
      <c r="L2662" s="696"/>
      <c r="M2662" s="198" t="str">
        <f t="shared" si="618"/>
        <v/>
      </c>
      <c r="N2662" s="369" t="str">
        <f t="shared" si="619"/>
        <v/>
      </c>
      <c r="O2662" s="183" t="str">
        <f t="shared" si="620"/>
        <v/>
      </c>
      <c r="P2662" s="199" t="str">
        <f t="shared" si="621"/>
        <v/>
      </c>
      <c r="Q2662" s="199" t="str">
        <f>IF(B2662="","",IFERROR(IF('עלויות כח אדם (6)'!J2662&gt;=VLOOKUP(I2662,'סיווג התפקידים והעלויות'!$B$23:$C$32,2,0),"תקין","לא תקין"),""))</f>
        <v/>
      </c>
      <c r="R2662" s="199" t="str">
        <f t="shared" si="622"/>
        <v/>
      </c>
      <c r="S2662" s="199" t="str">
        <f t="shared" si="623"/>
        <v/>
      </c>
      <c r="T2662" s="199" t="str">
        <f t="shared" si="631"/>
        <v/>
      </c>
      <c r="U2662" s="199" t="str">
        <f t="shared" si="624"/>
        <v/>
      </c>
      <c r="V2662" s="989"/>
      <c r="X2662" s="374" t="str">
        <f t="shared" si="625"/>
        <v/>
      </c>
      <c r="Y2662" s="375" t="str">
        <f t="shared" si="626"/>
        <v/>
      </c>
      <c r="Z2662" s="374" t="str">
        <f t="shared" si="627"/>
        <v/>
      </c>
      <c r="AA2662" s="374" t="b">
        <f t="shared" si="628"/>
        <v>1</v>
      </c>
      <c r="AB2662" s="374">
        <f>COUNTIFS(B:B,B2662,H:H,'סיווג התפקידים והעלויות'!$C$2)</f>
        <v>0</v>
      </c>
      <c r="AC2662" s="374">
        <f>COUNTIFS(B:B,B2662,H:H,'סיווג התפקידים והעלויות'!$D$2)</f>
        <v>0</v>
      </c>
      <c r="AD2662" s="374" t="str">
        <f>IF(OR(AND(H2662='סיווג התפקידים והעלויות'!$A$2,I2662='סיווג התפקידים והעלויות'!$A$3),'עלויות כח אדם (6)'!H2662='סיווג התפקידים והעלויות'!$C$2,'עלויות כח אדם (6)'!H2662='סיווג התפקידים והעלויות'!$D$2),IF('עלויות כח אדם (6)'!J2662&lt;75,"לא תקין","תקין"),"")</f>
        <v/>
      </c>
      <c r="AE2662" s="374" t="str">
        <f t="shared" si="629"/>
        <v/>
      </c>
      <c r="AF2662" s="532" t="str">
        <f t="shared" si="630"/>
        <v/>
      </c>
    </row>
    <row r="2663" spans="2:32" x14ac:dyDescent="0.25">
      <c r="B2663" s="695"/>
      <c r="C2663" s="197" t="str">
        <f>IF(B2663&lt;&gt;"",IFERROR(VLOOKUP(B:B,'מצבת והרשמה (2)'!$C$20:$N$520,2,0)," ")," ")</f>
        <v xml:space="preserve"> </v>
      </c>
      <c r="D2663" s="695"/>
      <c r="E2663" s="696"/>
      <c r="F2663" s="696"/>
      <c r="G2663" s="696"/>
      <c r="H2663" s="696"/>
      <c r="I2663" s="1050" t="str">
        <f t="shared" si="617"/>
        <v/>
      </c>
      <c r="J2663" s="696"/>
      <c r="K2663" s="697"/>
      <c r="L2663" s="696"/>
      <c r="M2663" s="198" t="str">
        <f t="shared" si="618"/>
        <v/>
      </c>
      <c r="N2663" s="369" t="str">
        <f t="shared" si="619"/>
        <v/>
      </c>
      <c r="O2663" s="183" t="str">
        <f t="shared" si="620"/>
        <v/>
      </c>
      <c r="P2663" s="199" t="str">
        <f t="shared" si="621"/>
        <v/>
      </c>
      <c r="Q2663" s="199" t="str">
        <f>IF(B2663="","",IFERROR(IF('עלויות כח אדם (6)'!J2663&gt;=VLOOKUP(I2663,'סיווג התפקידים והעלויות'!$B$23:$C$32,2,0),"תקין","לא תקין"),""))</f>
        <v/>
      </c>
      <c r="R2663" s="199" t="str">
        <f t="shared" si="622"/>
        <v/>
      </c>
      <c r="S2663" s="199" t="str">
        <f t="shared" si="623"/>
        <v/>
      </c>
      <c r="T2663" s="199" t="str">
        <f t="shared" si="631"/>
        <v/>
      </c>
      <c r="U2663" s="199" t="str">
        <f t="shared" si="624"/>
        <v/>
      </c>
      <c r="V2663" s="989"/>
      <c r="X2663" s="374" t="str">
        <f t="shared" si="625"/>
        <v/>
      </c>
      <c r="Y2663" s="375" t="str">
        <f t="shared" si="626"/>
        <v/>
      </c>
      <c r="Z2663" s="374" t="str">
        <f t="shared" si="627"/>
        <v/>
      </c>
      <c r="AA2663" s="374" t="b">
        <f t="shared" si="628"/>
        <v>1</v>
      </c>
      <c r="AB2663" s="374">
        <f>COUNTIFS(B:B,B2663,H:H,'סיווג התפקידים והעלויות'!$C$2)</f>
        <v>0</v>
      </c>
      <c r="AC2663" s="374">
        <f>COUNTIFS(B:B,B2663,H:H,'סיווג התפקידים והעלויות'!$D$2)</f>
        <v>0</v>
      </c>
      <c r="AD2663" s="374" t="str">
        <f>IF(OR(AND(H2663='סיווג התפקידים והעלויות'!$A$2,I2663='סיווג התפקידים והעלויות'!$A$3),'עלויות כח אדם (6)'!H2663='סיווג התפקידים והעלויות'!$C$2,'עלויות כח אדם (6)'!H2663='סיווג התפקידים והעלויות'!$D$2),IF('עלויות כח אדם (6)'!J2663&lt;75,"לא תקין","תקין"),"")</f>
        <v/>
      </c>
      <c r="AE2663" s="374" t="str">
        <f t="shared" si="629"/>
        <v/>
      </c>
      <c r="AF2663" s="532" t="str">
        <f t="shared" si="630"/>
        <v/>
      </c>
    </row>
    <row r="2664" spans="2:32" x14ac:dyDescent="0.25">
      <c r="B2664" s="695"/>
      <c r="C2664" s="197" t="str">
        <f>IF(B2664&lt;&gt;"",IFERROR(VLOOKUP(B:B,'מצבת והרשמה (2)'!$C$20:$N$520,2,0)," ")," ")</f>
        <v xml:space="preserve"> </v>
      </c>
      <c r="D2664" s="695"/>
      <c r="E2664" s="696"/>
      <c r="F2664" s="696"/>
      <c r="G2664" s="696"/>
      <c r="H2664" s="696"/>
      <c r="I2664" s="1050" t="str">
        <f t="shared" si="617"/>
        <v/>
      </c>
      <c r="J2664" s="696"/>
      <c r="K2664" s="697"/>
      <c r="L2664" s="696"/>
      <c r="M2664" s="198" t="str">
        <f t="shared" si="618"/>
        <v/>
      </c>
      <c r="N2664" s="369" t="str">
        <f t="shared" si="619"/>
        <v/>
      </c>
      <c r="O2664" s="183" t="str">
        <f t="shared" si="620"/>
        <v/>
      </c>
      <c r="P2664" s="199" t="str">
        <f t="shared" si="621"/>
        <v/>
      </c>
      <c r="Q2664" s="199" t="str">
        <f>IF(B2664="","",IFERROR(IF('עלויות כח אדם (6)'!J2664&gt;=VLOOKUP(I2664,'סיווג התפקידים והעלויות'!$B$23:$C$32,2,0),"תקין","לא תקין"),""))</f>
        <v/>
      </c>
      <c r="R2664" s="199" t="str">
        <f t="shared" si="622"/>
        <v/>
      </c>
      <c r="S2664" s="199" t="str">
        <f t="shared" si="623"/>
        <v/>
      </c>
      <c r="T2664" s="199" t="str">
        <f t="shared" si="631"/>
        <v/>
      </c>
      <c r="U2664" s="199" t="str">
        <f t="shared" si="624"/>
        <v/>
      </c>
      <c r="V2664" s="989"/>
      <c r="X2664" s="374" t="str">
        <f t="shared" si="625"/>
        <v/>
      </c>
      <c r="Y2664" s="375" t="str">
        <f t="shared" si="626"/>
        <v/>
      </c>
      <c r="Z2664" s="374" t="str">
        <f t="shared" si="627"/>
        <v/>
      </c>
      <c r="AA2664" s="374" t="b">
        <f t="shared" si="628"/>
        <v>1</v>
      </c>
      <c r="AB2664" s="374">
        <f>COUNTIFS(B:B,B2664,H:H,'סיווג התפקידים והעלויות'!$C$2)</f>
        <v>0</v>
      </c>
      <c r="AC2664" s="374">
        <f>COUNTIFS(B:B,B2664,H:H,'סיווג התפקידים והעלויות'!$D$2)</f>
        <v>0</v>
      </c>
      <c r="AD2664" s="374" t="str">
        <f>IF(OR(AND(H2664='סיווג התפקידים והעלויות'!$A$2,I2664='סיווג התפקידים והעלויות'!$A$3),'עלויות כח אדם (6)'!H2664='סיווג התפקידים והעלויות'!$C$2,'עלויות כח אדם (6)'!H2664='סיווג התפקידים והעלויות'!$D$2),IF('עלויות כח אדם (6)'!J2664&lt;75,"לא תקין","תקין"),"")</f>
        <v/>
      </c>
      <c r="AE2664" s="374" t="str">
        <f t="shared" si="629"/>
        <v/>
      </c>
      <c r="AF2664" s="532" t="str">
        <f t="shared" si="630"/>
        <v/>
      </c>
    </row>
    <row r="2665" spans="2:32" x14ac:dyDescent="0.25">
      <c r="B2665" s="695"/>
      <c r="C2665" s="197" t="str">
        <f>IF(B2665&lt;&gt;"",IFERROR(VLOOKUP(B:B,'מצבת והרשמה (2)'!$C$20:$N$520,2,0)," ")," ")</f>
        <v xml:space="preserve"> </v>
      </c>
      <c r="D2665" s="695"/>
      <c r="E2665" s="696"/>
      <c r="F2665" s="696"/>
      <c r="G2665" s="696"/>
      <c r="H2665" s="696"/>
      <c r="I2665" s="1050" t="str">
        <f t="shared" si="617"/>
        <v/>
      </c>
      <c r="J2665" s="696"/>
      <c r="K2665" s="697"/>
      <c r="L2665" s="696"/>
      <c r="M2665" s="198" t="str">
        <f t="shared" si="618"/>
        <v/>
      </c>
      <c r="N2665" s="369" t="str">
        <f t="shared" si="619"/>
        <v/>
      </c>
      <c r="O2665" s="183" t="str">
        <f t="shared" si="620"/>
        <v/>
      </c>
      <c r="P2665" s="199" t="str">
        <f t="shared" si="621"/>
        <v/>
      </c>
      <c r="Q2665" s="199" t="str">
        <f>IF(B2665="","",IFERROR(IF('עלויות כח אדם (6)'!J2665&gt;=VLOOKUP(I2665,'סיווג התפקידים והעלויות'!$B$23:$C$32,2,0),"תקין","לא תקין"),""))</f>
        <v/>
      </c>
      <c r="R2665" s="199" t="str">
        <f t="shared" si="622"/>
        <v/>
      </c>
      <c r="S2665" s="199" t="str">
        <f t="shared" si="623"/>
        <v/>
      </c>
      <c r="T2665" s="199" t="str">
        <f t="shared" si="631"/>
        <v/>
      </c>
      <c r="U2665" s="199" t="str">
        <f t="shared" si="624"/>
        <v/>
      </c>
      <c r="V2665" s="989"/>
      <c r="X2665" s="374" t="str">
        <f t="shared" si="625"/>
        <v/>
      </c>
      <c r="Y2665" s="375" t="str">
        <f t="shared" si="626"/>
        <v/>
      </c>
      <c r="Z2665" s="374" t="str">
        <f t="shared" si="627"/>
        <v/>
      </c>
      <c r="AA2665" s="374" t="b">
        <f t="shared" si="628"/>
        <v>1</v>
      </c>
      <c r="AB2665" s="374">
        <f>COUNTIFS(B:B,B2665,H:H,'סיווג התפקידים והעלויות'!$C$2)</f>
        <v>0</v>
      </c>
      <c r="AC2665" s="374">
        <f>COUNTIFS(B:B,B2665,H:H,'סיווג התפקידים והעלויות'!$D$2)</f>
        <v>0</v>
      </c>
      <c r="AD2665" s="374" t="str">
        <f>IF(OR(AND(H2665='סיווג התפקידים והעלויות'!$A$2,I2665='סיווג התפקידים והעלויות'!$A$3),'עלויות כח אדם (6)'!H2665='סיווג התפקידים והעלויות'!$C$2,'עלויות כח אדם (6)'!H2665='סיווג התפקידים והעלויות'!$D$2),IF('עלויות כח אדם (6)'!J2665&lt;75,"לא תקין","תקין"),"")</f>
        <v/>
      </c>
      <c r="AE2665" s="374" t="str">
        <f t="shared" si="629"/>
        <v/>
      </c>
      <c r="AF2665" s="532" t="str">
        <f t="shared" si="630"/>
        <v/>
      </c>
    </row>
    <row r="2666" spans="2:32" x14ac:dyDescent="0.25">
      <c r="B2666" s="695"/>
      <c r="C2666" s="197" t="str">
        <f>IF(B2666&lt;&gt;"",IFERROR(VLOOKUP(B:B,'מצבת והרשמה (2)'!$C$20:$N$520,2,0)," ")," ")</f>
        <v xml:space="preserve"> </v>
      </c>
      <c r="D2666" s="695"/>
      <c r="E2666" s="696"/>
      <c r="F2666" s="696"/>
      <c r="G2666" s="696"/>
      <c r="H2666" s="696"/>
      <c r="I2666" s="1050" t="str">
        <f t="shared" si="617"/>
        <v/>
      </c>
      <c r="J2666" s="696"/>
      <c r="K2666" s="697"/>
      <c r="L2666" s="696"/>
      <c r="M2666" s="198" t="str">
        <f t="shared" si="618"/>
        <v/>
      </c>
      <c r="N2666" s="369" t="str">
        <f t="shared" si="619"/>
        <v/>
      </c>
      <c r="O2666" s="183" t="str">
        <f t="shared" si="620"/>
        <v/>
      </c>
      <c r="P2666" s="199" t="str">
        <f t="shared" si="621"/>
        <v/>
      </c>
      <c r="Q2666" s="199" t="str">
        <f>IF(B2666="","",IFERROR(IF('עלויות כח אדם (6)'!J2666&gt;=VLOOKUP(I2666,'סיווג התפקידים והעלויות'!$B$23:$C$32,2,0),"תקין","לא תקין"),""))</f>
        <v/>
      </c>
      <c r="R2666" s="199" t="str">
        <f t="shared" si="622"/>
        <v/>
      </c>
      <c r="S2666" s="199" t="str">
        <f t="shared" si="623"/>
        <v/>
      </c>
      <c r="T2666" s="199" t="str">
        <f t="shared" si="631"/>
        <v/>
      </c>
      <c r="U2666" s="199" t="str">
        <f t="shared" si="624"/>
        <v/>
      </c>
      <c r="V2666" s="989"/>
      <c r="X2666" s="374" t="str">
        <f t="shared" si="625"/>
        <v/>
      </c>
      <c r="Y2666" s="375" t="str">
        <f t="shared" si="626"/>
        <v/>
      </c>
      <c r="Z2666" s="374" t="str">
        <f t="shared" si="627"/>
        <v/>
      </c>
      <c r="AA2666" s="374" t="b">
        <f t="shared" si="628"/>
        <v>1</v>
      </c>
      <c r="AB2666" s="374">
        <f>COUNTIFS(B:B,B2666,H:H,'סיווג התפקידים והעלויות'!$C$2)</f>
        <v>0</v>
      </c>
      <c r="AC2666" s="374">
        <f>COUNTIFS(B:B,B2666,H:H,'סיווג התפקידים והעלויות'!$D$2)</f>
        <v>0</v>
      </c>
      <c r="AD2666" s="374" t="str">
        <f>IF(OR(AND(H2666='סיווג התפקידים והעלויות'!$A$2,I2666='סיווג התפקידים והעלויות'!$A$3),'עלויות כח אדם (6)'!H2666='סיווג התפקידים והעלויות'!$C$2,'עלויות כח אדם (6)'!H2666='סיווג התפקידים והעלויות'!$D$2),IF('עלויות כח אדם (6)'!J2666&lt;75,"לא תקין","תקין"),"")</f>
        <v/>
      </c>
      <c r="AE2666" s="374" t="str">
        <f t="shared" si="629"/>
        <v/>
      </c>
      <c r="AF2666" s="532" t="str">
        <f t="shared" si="630"/>
        <v/>
      </c>
    </row>
    <row r="2667" spans="2:32" x14ac:dyDescent="0.25">
      <c r="B2667" s="695"/>
      <c r="C2667" s="197" t="str">
        <f>IF(B2667&lt;&gt;"",IFERROR(VLOOKUP(B:B,'מצבת והרשמה (2)'!$C$20:$N$520,2,0)," ")," ")</f>
        <v xml:space="preserve"> </v>
      </c>
      <c r="D2667" s="695"/>
      <c r="E2667" s="696"/>
      <c r="F2667" s="696"/>
      <c r="G2667" s="696"/>
      <c r="H2667" s="696"/>
      <c r="I2667" s="1050" t="str">
        <f t="shared" si="617"/>
        <v/>
      </c>
      <c r="J2667" s="696"/>
      <c r="K2667" s="697"/>
      <c r="L2667" s="696"/>
      <c r="M2667" s="198" t="str">
        <f t="shared" si="618"/>
        <v/>
      </c>
      <c r="N2667" s="369" t="str">
        <f t="shared" si="619"/>
        <v/>
      </c>
      <c r="O2667" s="183" t="str">
        <f t="shared" si="620"/>
        <v/>
      </c>
      <c r="P2667" s="199" t="str">
        <f t="shared" si="621"/>
        <v/>
      </c>
      <c r="Q2667" s="199" t="str">
        <f>IF(B2667="","",IFERROR(IF('עלויות כח אדם (6)'!J2667&gt;=VLOOKUP(I2667,'סיווג התפקידים והעלויות'!$B$23:$C$32,2,0),"תקין","לא תקין"),""))</f>
        <v/>
      </c>
      <c r="R2667" s="199" t="str">
        <f t="shared" si="622"/>
        <v/>
      </c>
      <c r="S2667" s="199" t="str">
        <f t="shared" si="623"/>
        <v/>
      </c>
      <c r="T2667" s="199" t="str">
        <f t="shared" si="631"/>
        <v/>
      </c>
      <c r="U2667" s="199" t="str">
        <f t="shared" si="624"/>
        <v/>
      </c>
      <c r="V2667" s="989"/>
      <c r="X2667" s="374" t="str">
        <f t="shared" si="625"/>
        <v/>
      </c>
      <c r="Y2667" s="375" t="str">
        <f t="shared" si="626"/>
        <v/>
      </c>
      <c r="Z2667" s="374" t="str">
        <f t="shared" si="627"/>
        <v/>
      </c>
      <c r="AA2667" s="374" t="b">
        <f t="shared" si="628"/>
        <v>1</v>
      </c>
      <c r="AB2667" s="374">
        <f>COUNTIFS(B:B,B2667,H:H,'סיווג התפקידים והעלויות'!$C$2)</f>
        <v>0</v>
      </c>
      <c r="AC2667" s="374">
        <f>COUNTIFS(B:B,B2667,H:H,'סיווג התפקידים והעלויות'!$D$2)</f>
        <v>0</v>
      </c>
      <c r="AD2667" s="374" t="str">
        <f>IF(OR(AND(H2667='סיווג התפקידים והעלויות'!$A$2,I2667='סיווג התפקידים והעלויות'!$A$3),'עלויות כח אדם (6)'!H2667='סיווג התפקידים והעלויות'!$C$2,'עלויות כח אדם (6)'!H2667='סיווג התפקידים והעלויות'!$D$2),IF('עלויות כח אדם (6)'!J2667&lt;75,"לא תקין","תקין"),"")</f>
        <v/>
      </c>
      <c r="AE2667" s="374" t="str">
        <f t="shared" si="629"/>
        <v/>
      </c>
      <c r="AF2667" s="532" t="str">
        <f t="shared" si="630"/>
        <v/>
      </c>
    </row>
    <row r="2668" spans="2:32" x14ac:dyDescent="0.25">
      <c r="B2668" s="695"/>
      <c r="C2668" s="197" t="str">
        <f>IF(B2668&lt;&gt;"",IFERROR(VLOOKUP(B:B,'מצבת והרשמה (2)'!$C$20:$N$520,2,0)," ")," ")</f>
        <v xml:space="preserve"> </v>
      </c>
      <c r="D2668" s="695"/>
      <c r="E2668" s="696"/>
      <c r="F2668" s="696"/>
      <c r="G2668" s="696"/>
      <c r="H2668" s="696"/>
      <c r="I2668" s="1050" t="str">
        <f t="shared" si="617"/>
        <v/>
      </c>
      <c r="J2668" s="696"/>
      <c r="K2668" s="697"/>
      <c r="L2668" s="696"/>
      <c r="M2668" s="198" t="str">
        <f t="shared" si="618"/>
        <v/>
      </c>
      <c r="N2668" s="369" t="str">
        <f t="shared" si="619"/>
        <v/>
      </c>
      <c r="O2668" s="183" t="str">
        <f t="shared" si="620"/>
        <v/>
      </c>
      <c r="P2668" s="199" t="str">
        <f t="shared" si="621"/>
        <v/>
      </c>
      <c r="Q2668" s="199" t="str">
        <f>IF(B2668="","",IFERROR(IF('עלויות כח אדם (6)'!J2668&gt;=VLOOKUP(I2668,'סיווג התפקידים והעלויות'!$B$23:$C$32,2,0),"תקין","לא תקין"),""))</f>
        <v/>
      </c>
      <c r="R2668" s="199" t="str">
        <f t="shared" si="622"/>
        <v/>
      </c>
      <c r="S2668" s="199" t="str">
        <f t="shared" si="623"/>
        <v/>
      </c>
      <c r="T2668" s="199" t="str">
        <f t="shared" si="631"/>
        <v/>
      </c>
      <c r="U2668" s="199" t="str">
        <f t="shared" si="624"/>
        <v/>
      </c>
      <c r="V2668" s="989"/>
      <c r="X2668" s="374" t="str">
        <f t="shared" si="625"/>
        <v/>
      </c>
      <c r="Y2668" s="375" t="str">
        <f t="shared" si="626"/>
        <v/>
      </c>
      <c r="Z2668" s="374" t="str">
        <f t="shared" si="627"/>
        <v/>
      </c>
      <c r="AA2668" s="374" t="b">
        <f t="shared" si="628"/>
        <v>1</v>
      </c>
      <c r="AB2668" s="374">
        <f>COUNTIFS(B:B,B2668,H:H,'סיווג התפקידים והעלויות'!$C$2)</f>
        <v>0</v>
      </c>
      <c r="AC2668" s="374">
        <f>COUNTIFS(B:B,B2668,H:H,'סיווג התפקידים והעלויות'!$D$2)</f>
        <v>0</v>
      </c>
      <c r="AD2668" s="374" t="str">
        <f>IF(OR(AND(H2668='סיווג התפקידים והעלויות'!$A$2,I2668='סיווג התפקידים והעלויות'!$A$3),'עלויות כח אדם (6)'!H2668='סיווג התפקידים והעלויות'!$C$2,'עלויות כח אדם (6)'!H2668='סיווג התפקידים והעלויות'!$D$2),IF('עלויות כח אדם (6)'!J2668&lt;75,"לא תקין","תקין"),"")</f>
        <v/>
      </c>
      <c r="AE2668" s="374" t="str">
        <f t="shared" si="629"/>
        <v/>
      </c>
      <c r="AF2668" s="532" t="str">
        <f t="shared" si="630"/>
        <v/>
      </c>
    </row>
    <row r="2669" spans="2:32" x14ac:dyDescent="0.25">
      <c r="B2669" s="695"/>
      <c r="C2669" s="197" t="str">
        <f>IF(B2669&lt;&gt;"",IFERROR(VLOOKUP(B:B,'מצבת והרשמה (2)'!$C$20:$N$520,2,0)," ")," ")</f>
        <v xml:space="preserve"> </v>
      </c>
      <c r="D2669" s="695"/>
      <c r="E2669" s="696"/>
      <c r="F2669" s="696"/>
      <c r="G2669" s="696"/>
      <c r="H2669" s="696"/>
      <c r="I2669" s="1050" t="str">
        <f t="shared" si="617"/>
        <v/>
      </c>
      <c r="J2669" s="696"/>
      <c r="K2669" s="697"/>
      <c r="L2669" s="696"/>
      <c r="M2669" s="198" t="str">
        <f t="shared" si="618"/>
        <v/>
      </c>
      <c r="N2669" s="369" t="str">
        <f t="shared" si="619"/>
        <v/>
      </c>
      <c r="O2669" s="183" t="str">
        <f t="shared" si="620"/>
        <v/>
      </c>
      <c r="P2669" s="199" t="str">
        <f t="shared" si="621"/>
        <v/>
      </c>
      <c r="Q2669" s="199" t="str">
        <f>IF(B2669="","",IFERROR(IF('עלויות כח אדם (6)'!J2669&gt;=VLOOKUP(I2669,'סיווג התפקידים והעלויות'!$B$23:$C$32,2,0),"תקין","לא תקין"),""))</f>
        <v/>
      </c>
      <c r="R2669" s="199" t="str">
        <f t="shared" si="622"/>
        <v/>
      </c>
      <c r="S2669" s="199" t="str">
        <f t="shared" si="623"/>
        <v/>
      </c>
      <c r="T2669" s="199" t="str">
        <f t="shared" si="631"/>
        <v/>
      </c>
      <c r="U2669" s="199" t="str">
        <f t="shared" si="624"/>
        <v/>
      </c>
      <c r="V2669" s="989"/>
      <c r="X2669" s="374" t="str">
        <f t="shared" si="625"/>
        <v/>
      </c>
      <c r="Y2669" s="375" t="str">
        <f t="shared" si="626"/>
        <v/>
      </c>
      <c r="Z2669" s="374" t="str">
        <f t="shared" si="627"/>
        <v/>
      </c>
      <c r="AA2669" s="374" t="b">
        <f t="shared" si="628"/>
        <v>1</v>
      </c>
      <c r="AB2669" s="374">
        <f>COUNTIFS(B:B,B2669,H:H,'סיווג התפקידים והעלויות'!$C$2)</f>
        <v>0</v>
      </c>
      <c r="AC2669" s="374">
        <f>COUNTIFS(B:B,B2669,H:H,'סיווג התפקידים והעלויות'!$D$2)</f>
        <v>0</v>
      </c>
      <c r="AD2669" s="374" t="str">
        <f>IF(OR(AND(H2669='סיווג התפקידים והעלויות'!$A$2,I2669='סיווג התפקידים והעלויות'!$A$3),'עלויות כח אדם (6)'!H2669='סיווג התפקידים והעלויות'!$C$2,'עלויות כח אדם (6)'!H2669='סיווג התפקידים והעלויות'!$D$2),IF('עלויות כח אדם (6)'!J2669&lt;75,"לא תקין","תקין"),"")</f>
        <v/>
      </c>
      <c r="AE2669" s="374" t="str">
        <f t="shared" si="629"/>
        <v/>
      </c>
      <c r="AF2669" s="532" t="str">
        <f t="shared" si="630"/>
        <v/>
      </c>
    </row>
    <row r="2670" spans="2:32" x14ac:dyDescent="0.25">
      <c r="B2670" s="695"/>
      <c r="C2670" s="197" t="str">
        <f>IF(B2670&lt;&gt;"",IFERROR(VLOOKUP(B:B,'מצבת והרשמה (2)'!$C$20:$N$520,2,0)," ")," ")</f>
        <v xml:space="preserve"> </v>
      </c>
      <c r="D2670" s="695"/>
      <c r="E2670" s="696"/>
      <c r="F2670" s="696"/>
      <c r="G2670" s="696"/>
      <c r="H2670" s="696"/>
      <c r="I2670" s="1050" t="str">
        <f t="shared" si="617"/>
        <v/>
      </c>
      <c r="J2670" s="696"/>
      <c r="K2670" s="697"/>
      <c r="L2670" s="696"/>
      <c r="M2670" s="198" t="str">
        <f t="shared" si="618"/>
        <v/>
      </c>
      <c r="N2670" s="369" t="str">
        <f t="shared" si="619"/>
        <v/>
      </c>
      <c r="O2670" s="183" t="str">
        <f t="shared" si="620"/>
        <v/>
      </c>
      <c r="P2670" s="199" t="str">
        <f t="shared" si="621"/>
        <v/>
      </c>
      <c r="Q2670" s="199" t="str">
        <f>IF(B2670="","",IFERROR(IF('עלויות כח אדם (6)'!J2670&gt;=VLOOKUP(I2670,'סיווג התפקידים והעלויות'!$B$23:$C$32,2,0),"תקין","לא תקין"),""))</f>
        <v/>
      </c>
      <c r="R2670" s="199" t="str">
        <f t="shared" si="622"/>
        <v/>
      </c>
      <c r="S2670" s="199" t="str">
        <f t="shared" si="623"/>
        <v/>
      </c>
      <c r="T2670" s="199" t="str">
        <f t="shared" si="631"/>
        <v/>
      </c>
      <c r="U2670" s="199" t="str">
        <f t="shared" si="624"/>
        <v/>
      </c>
      <c r="V2670" s="989"/>
      <c r="X2670" s="374" t="str">
        <f t="shared" si="625"/>
        <v/>
      </c>
      <c r="Y2670" s="375" t="str">
        <f t="shared" si="626"/>
        <v/>
      </c>
      <c r="Z2670" s="374" t="str">
        <f t="shared" si="627"/>
        <v/>
      </c>
      <c r="AA2670" s="374" t="b">
        <f t="shared" si="628"/>
        <v>1</v>
      </c>
      <c r="AB2670" s="374">
        <f>COUNTIFS(B:B,B2670,H:H,'סיווג התפקידים והעלויות'!$C$2)</f>
        <v>0</v>
      </c>
      <c r="AC2670" s="374">
        <f>COUNTIFS(B:B,B2670,H:H,'סיווג התפקידים והעלויות'!$D$2)</f>
        <v>0</v>
      </c>
      <c r="AD2670" s="374" t="str">
        <f>IF(OR(AND(H2670='סיווג התפקידים והעלויות'!$A$2,I2670='סיווג התפקידים והעלויות'!$A$3),'עלויות כח אדם (6)'!H2670='סיווג התפקידים והעלויות'!$C$2,'עלויות כח אדם (6)'!H2670='סיווג התפקידים והעלויות'!$D$2),IF('עלויות כח אדם (6)'!J2670&lt;75,"לא תקין","תקין"),"")</f>
        <v/>
      </c>
      <c r="AE2670" s="374" t="str">
        <f t="shared" si="629"/>
        <v/>
      </c>
      <c r="AF2670" s="532" t="str">
        <f t="shared" si="630"/>
        <v/>
      </c>
    </row>
    <row r="2671" spans="2:32" x14ac:dyDescent="0.25">
      <c r="B2671" s="695"/>
      <c r="C2671" s="197" t="str">
        <f>IF(B2671&lt;&gt;"",IFERROR(VLOOKUP(B:B,'מצבת והרשמה (2)'!$C$20:$N$520,2,0)," ")," ")</f>
        <v xml:space="preserve"> </v>
      </c>
      <c r="D2671" s="695"/>
      <c r="E2671" s="696"/>
      <c r="F2671" s="696"/>
      <c r="G2671" s="696"/>
      <c r="H2671" s="696"/>
      <c r="I2671" s="1050" t="str">
        <f t="shared" si="617"/>
        <v/>
      </c>
      <c r="J2671" s="696"/>
      <c r="K2671" s="697"/>
      <c r="L2671" s="696"/>
      <c r="M2671" s="198" t="str">
        <f t="shared" si="618"/>
        <v/>
      </c>
      <c r="N2671" s="369" t="str">
        <f t="shared" si="619"/>
        <v/>
      </c>
      <c r="O2671" s="183" t="str">
        <f t="shared" si="620"/>
        <v/>
      </c>
      <c r="P2671" s="199" t="str">
        <f t="shared" si="621"/>
        <v/>
      </c>
      <c r="Q2671" s="199" t="str">
        <f>IF(B2671="","",IFERROR(IF('עלויות כח אדם (6)'!J2671&gt;=VLOOKUP(I2671,'סיווג התפקידים והעלויות'!$B$23:$C$32,2,0),"תקין","לא תקין"),""))</f>
        <v/>
      </c>
      <c r="R2671" s="199" t="str">
        <f t="shared" si="622"/>
        <v/>
      </c>
      <c r="S2671" s="199" t="str">
        <f t="shared" si="623"/>
        <v/>
      </c>
      <c r="T2671" s="199" t="str">
        <f t="shared" si="631"/>
        <v/>
      </c>
      <c r="U2671" s="199" t="str">
        <f t="shared" si="624"/>
        <v/>
      </c>
      <c r="V2671" s="989"/>
      <c r="X2671" s="374" t="str">
        <f t="shared" si="625"/>
        <v/>
      </c>
      <c r="Y2671" s="375" t="str">
        <f t="shared" si="626"/>
        <v/>
      </c>
      <c r="Z2671" s="374" t="str">
        <f t="shared" si="627"/>
        <v/>
      </c>
      <c r="AA2671" s="374" t="b">
        <f t="shared" si="628"/>
        <v>1</v>
      </c>
      <c r="AB2671" s="374">
        <f>COUNTIFS(B:B,B2671,H:H,'סיווג התפקידים והעלויות'!$C$2)</f>
        <v>0</v>
      </c>
      <c r="AC2671" s="374">
        <f>COUNTIFS(B:B,B2671,H:H,'סיווג התפקידים והעלויות'!$D$2)</f>
        <v>0</v>
      </c>
      <c r="AD2671" s="374" t="str">
        <f>IF(OR(AND(H2671='סיווג התפקידים והעלויות'!$A$2,I2671='סיווג התפקידים והעלויות'!$A$3),'עלויות כח אדם (6)'!H2671='סיווג התפקידים והעלויות'!$C$2,'עלויות כח אדם (6)'!H2671='סיווג התפקידים והעלויות'!$D$2),IF('עלויות כח אדם (6)'!J2671&lt;75,"לא תקין","תקין"),"")</f>
        <v/>
      </c>
      <c r="AE2671" s="374" t="str">
        <f t="shared" si="629"/>
        <v/>
      </c>
      <c r="AF2671" s="532" t="str">
        <f t="shared" si="630"/>
        <v/>
      </c>
    </row>
    <row r="2672" spans="2:32" x14ac:dyDescent="0.25">
      <c r="B2672" s="695"/>
      <c r="C2672" s="197" t="str">
        <f>IF(B2672&lt;&gt;"",IFERROR(VLOOKUP(B:B,'מצבת והרשמה (2)'!$C$20:$N$520,2,0)," ")," ")</f>
        <v xml:space="preserve"> </v>
      </c>
      <c r="D2672" s="695"/>
      <c r="E2672" s="696"/>
      <c r="F2672" s="696"/>
      <c r="G2672" s="696"/>
      <c r="H2672" s="696"/>
      <c r="I2672" s="1050" t="str">
        <f t="shared" si="617"/>
        <v/>
      </c>
      <c r="J2672" s="696"/>
      <c r="K2672" s="697"/>
      <c r="L2672" s="696"/>
      <c r="M2672" s="198" t="str">
        <f t="shared" si="618"/>
        <v/>
      </c>
      <c r="N2672" s="369" t="str">
        <f t="shared" si="619"/>
        <v/>
      </c>
      <c r="O2672" s="183" t="str">
        <f t="shared" si="620"/>
        <v/>
      </c>
      <c r="P2672" s="199" t="str">
        <f t="shared" si="621"/>
        <v/>
      </c>
      <c r="Q2672" s="199" t="str">
        <f>IF(B2672="","",IFERROR(IF('עלויות כח אדם (6)'!J2672&gt;=VLOOKUP(I2672,'סיווג התפקידים והעלויות'!$B$23:$C$32,2,0),"תקין","לא תקין"),""))</f>
        <v/>
      </c>
      <c r="R2672" s="199" t="str">
        <f t="shared" si="622"/>
        <v/>
      </c>
      <c r="S2672" s="199" t="str">
        <f t="shared" si="623"/>
        <v/>
      </c>
      <c r="T2672" s="199" t="str">
        <f t="shared" si="631"/>
        <v/>
      </c>
      <c r="U2672" s="199" t="str">
        <f t="shared" si="624"/>
        <v/>
      </c>
      <c r="V2672" s="989"/>
      <c r="X2672" s="374" t="str">
        <f t="shared" si="625"/>
        <v/>
      </c>
      <c r="Y2672" s="375" t="str">
        <f t="shared" si="626"/>
        <v/>
      </c>
      <c r="Z2672" s="374" t="str">
        <f t="shared" si="627"/>
        <v/>
      </c>
      <c r="AA2672" s="374" t="b">
        <f t="shared" si="628"/>
        <v>1</v>
      </c>
      <c r="AB2672" s="374">
        <f>COUNTIFS(B:B,B2672,H:H,'סיווג התפקידים והעלויות'!$C$2)</f>
        <v>0</v>
      </c>
      <c r="AC2672" s="374">
        <f>COUNTIFS(B:B,B2672,H:H,'סיווג התפקידים והעלויות'!$D$2)</f>
        <v>0</v>
      </c>
      <c r="AD2672" s="374" t="str">
        <f>IF(OR(AND(H2672='סיווג התפקידים והעלויות'!$A$2,I2672='סיווג התפקידים והעלויות'!$A$3),'עלויות כח אדם (6)'!H2672='סיווג התפקידים והעלויות'!$C$2,'עלויות כח אדם (6)'!H2672='סיווג התפקידים והעלויות'!$D$2),IF('עלויות כח אדם (6)'!J2672&lt;75,"לא תקין","תקין"),"")</f>
        <v/>
      </c>
      <c r="AE2672" s="374" t="str">
        <f t="shared" si="629"/>
        <v/>
      </c>
      <c r="AF2672" s="532" t="str">
        <f t="shared" si="630"/>
        <v/>
      </c>
    </row>
    <row r="2673" spans="2:32" x14ac:dyDescent="0.25">
      <c r="B2673" s="695"/>
      <c r="C2673" s="197" t="str">
        <f>IF(B2673&lt;&gt;"",IFERROR(VLOOKUP(B:B,'מצבת והרשמה (2)'!$C$20:$N$520,2,0)," ")," ")</f>
        <v xml:space="preserve"> </v>
      </c>
      <c r="D2673" s="695"/>
      <c r="E2673" s="696"/>
      <c r="F2673" s="696"/>
      <c r="G2673" s="696"/>
      <c r="H2673" s="696"/>
      <c r="I2673" s="1050" t="str">
        <f t="shared" si="617"/>
        <v/>
      </c>
      <c r="J2673" s="696"/>
      <c r="K2673" s="697"/>
      <c r="L2673" s="696"/>
      <c r="M2673" s="198" t="str">
        <f t="shared" si="618"/>
        <v/>
      </c>
      <c r="N2673" s="369" t="str">
        <f t="shared" si="619"/>
        <v/>
      </c>
      <c r="O2673" s="183" t="str">
        <f t="shared" si="620"/>
        <v/>
      </c>
      <c r="P2673" s="199" t="str">
        <f t="shared" si="621"/>
        <v/>
      </c>
      <c r="Q2673" s="199" t="str">
        <f>IF(B2673="","",IFERROR(IF('עלויות כח אדם (6)'!J2673&gt;=VLOOKUP(I2673,'סיווג התפקידים והעלויות'!$B$23:$C$32,2,0),"תקין","לא תקין"),""))</f>
        <v/>
      </c>
      <c r="R2673" s="199" t="str">
        <f t="shared" si="622"/>
        <v/>
      </c>
      <c r="S2673" s="199" t="str">
        <f t="shared" si="623"/>
        <v/>
      </c>
      <c r="T2673" s="199" t="str">
        <f t="shared" si="631"/>
        <v/>
      </c>
      <c r="U2673" s="199" t="str">
        <f t="shared" si="624"/>
        <v/>
      </c>
      <c r="V2673" s="989"/>
      <c r="X2673" s="374" t="str">
        <f t="shared" si="625"/>
        <v/>
      </c>
      <c r="Y2673" s="375" t="str">
        <f t="shared" si="626"/>
        <v/>
      </c>
      <c r="Z2673" s="374" t="str">
        <f t="shared" si="627"/>
        <v/>
      </c>
      <c r="AA2673" s="374" t="b">
        <f t="shared" si="628"/>
        <v>1</v>
      </c>
      <c r="AB2673" s="374">
        <f>COUNTIFS(B:B,B2673,H:H,'סיווג התפקידים והעלויות'!$C$2)</f>
        <v>0</v>
      </c>
      <c r="AC2673" s="374">
        <f>COUNTIFS(B:B,B2673,H:H,'סיווג התפקידים והעלויות'!$D$2)</f>
        <v>0</v>
      </c>
      <c r="AD2673" s="374" t="str">
        <f>IF(OR(AND(H2673='סיווג התפקידים והעלויות'!$A$2,I2673='סיווג התפקידים והעלויות'!$A$3),'עלויות כח אדם (6)'!H2673='סיווג התפקידים והעלויות'!$C$2,'עלויות כח אדם (6)'!H2673='סיווג התפקידים והעלויות'!$D$2),IF('עלויות כח אדם (6)'!J2673&lt;75,"לא תקין","תקין"),"")</f>
        <v/>
      </c>
      <c r="AE2673" s="374" t="str">
        <f t="shared" si="629"/>
        <v/>
      </c>
      <c r="AF2673" s="532" t="str">
        <f t="shared" si="630"/>
        <v/>
      </c>
    </row>
    <row r="2674" spans="2:32" x14ac:dyDescent="0.25">
      <c r="B2674" s="695"/>
      <c r="C2674" s="197" t="str">
        <f>IF(B2674&lt;&gt;"",IFERROR(VLOOKUP(B:B,'מצבת והרשמה (2)'!$C$20:$N$520,2,0)," ")," ")</f>
        <v xml:space="preserve"> </v>
      </c>
      <c r="D2674" s="695"/>
      <c r="E2674" s="696"/>
      <c r="F2674" s="696"/>
      <c r="G2674" s="696"/>
      <c r="H2674" s="696"/>
      <c r="I2674" s="1050" t="str">
        <f t="shared" si="617"/>
        <v/>
      </c>
      <c r="J2674" s="696"/>
      <c r="K2674" s="697"/>
      <c r="L2674" s="696"/>
      <c r="M2674" s="198" t="str">
        <f t="shared" si="618"/>
        <v/>
      </c>
      <c r="N2674" s="369" t="str">
        <f t="shared" si="619"/>
        <v/>
      </c>
      <c r="O2674" s="183" t="str">
        <f t="shared" si="620"/>
        <v/>
      </c>
      <c r="P2674" s="199" t="str">
        <f t="shared" si="621"/>
        <v/>
      </c>
      <c r="Q2674" s="199" t="str">
        <f>IF(B2674="","",IFERROR(IF('עלויות כח אדם (6)'!J2674&gt;=VLOOKUP(I2674,'סיווג התפקידים והעלויות'!$B$23:$C$32,2,0),"תקין","לא תקין"),""))</f>
        <v/>
      </c>
      <c r="R2674" s="199" t="str">
        <f t="shared" si="622"/>
        <v/>
      </c>
      <c r="S2674" s="199" t="str">
        <f t="shared" si="623"/>
        <v/>
      </c>
      <c r="T2674" s="199" t="str">
        <f t="shared" si="631"/>
        <v/>
      </c>
      <c r="U2674" s="199" t="str">
        <f t="shared" si="624"/>
        <v/>
      </c>
      <c r="V2674" s="989"/>
      <c r="X2674" s="374" t="str">
        <f t="shared" si="625"/>
        <v/>
      </c>
      <c r="Y2674" s="375" t="str">
        <f t="shared" si="626"/>
        <v/>
      </c>
      <c r="Z2674" s="374" t="str">
        <f t="shared" si="627"/>
        <v/>
      </c>
      <c r="AA2674" s="374" t="b">
        <f t="shared" si="628"/>
        <v>1</v>
      </c>
      <c r="AB2674" s="374">
        <f>COUNTIFS(B:B,B2674,H:H,'סיווג התפקידים והעלויות'!$C$2)</f>
        <v>0</v>
      </c>
      <c r="AC2674" s="374">
        <f>COUNTIFS(B:B,B2674,H:H,'סיווג התפקידים והעלויות'!$D$2)</f>
        <v>0</v>
      </c>
      <c r="AD2674" s="374" t="str">
        <f>IF(OR(AND(H2674='סיווג התפקידים והעלויות'!$A$2,I2674='סיווג התפקידים והעלויות'!$A$3),'עלויות כח אדם (6)'!H2674='סיווג התפקידים והעלויות'!$C$2,'עלויות כח אדם (6)'!H2674='סיווג התפקידים והעלויות'!$D$2),IF('עלויות כח אדם (6)'!J2674&lt;75,"לא תקין","תקין"),"")</f>
        <v/>
      </c>
      <c r="AE2674" s="374" t="str">
        <f t="shared" si="629"/>
        <v/>
      </c>
      <c r="AF2674" s="532" t="str">
        <f t="shared" si="630"/>
        <v/>
      </c>
    </row>
    <row r="2675" spans="2:32" x14ac:dyDescent="0.25">
      <c r="B2675" s="695"/>
      <c r="C2675" s="197" t="str">
        <f>IF(B2675&lt;&gt;"",IFERROR(VLOOKUP(B:B,'מצבת והרשמה (2)'!$C$20:$N$520,2,0)," ")," ")</f>
        <v xml:space="preserve"> </v>
      </c>
      <c r="D2675" s="695"/>
      <c r="E2675" s="696"/>
      <c r="F2675" s="696"/>
      <c r="G2675" s="696"/>
      <c r="H2675" s="696"/>
      <c r="I2675" s="1050" t="str">
        <f t="shared" si="617"/>
        <v/>
      </c>
      <c r="J2675" s="696"/>
      <c r="K2675" s="697"/>
      <c r="L2675" s="696"/>
      <c r="M2675" s="198" t="str">
        <f t="shared" si="618"/>
        <v/>
      </c>
      <c r="N2675" s="369" t="str">
        <f t="shared" si="619"/>
        <v/>
      </c>
      <c r="O2675" s="183" t="str">
        <f t="shared" si="620"/>
        <v/>
      </c>
      <c r="P2675" s="199" t="str">
        <f t="shared" si="621"/>
        <v/>
      </c>
      <c r="Q2675" s="199" t="str">
        <f>IF(B2675="","",IFERROR(IF('עלויות כח אדם (6)'!J2675&gt;=VLOOKUP(I2675,'סיווג התפקידים והעלויות'!$B$23:$C$32,2,0),"תקין","לא תקין"),""))</f>
        <v/>
      </c>
      <c r="R2675" s="199" t="str">
        <f t="shared" si="622"/>
        <v/>
      </c>
      <c r="S2675" s="199" t="str">
        <f t="shared" si="623"/>
        <v/>
      </c>
      <c r="T2675" s="199" t="str">
        <f t="shared" si="631"/>
        <v/>
      </c>
      <c r="U2675" s="199" t="str">
        <f t="shared" si="624"/>
        <v/>
      </c>
      <c r="V2675" s="989"/>
      <c r="X2675" s="374" t="str">
        <f t="shared" si="625"/>
        <v/>
      </c>
      <c r="Y2675" s="375" t="str">
        <f t="shared" si="626"/>
        <v/>
      </c>
      <c r="Z2675" s="374" t="str">
        <f t="shared" si="627"/>
        <v/>
      </c>
      <c r="AA2675" s="374" t="b">
        <f t="shared" si="628"/>
        <v>1</v>
      </c>
      <c r="AB2675" s="374">
        <f>COUNTIFS(B:B,B2675,H:H,'סיווג התפקידים והעלויות'!$C$2)</f>
        <v>0</v>
      </c>
      <c r="AC2675" s="374">
        <f>COUNTIFS(B:B,B2675,H:H,'סיווג התפקידים והעלויות'!$D$2)</f>
        <v>0</v>
      </c>
      <c r="AD2675" s="374" t="str">
        <f>IF(OR(AND(H2675='סיווג התפקידים והעלויות'!$A$2,I2675='סיווג התפקידים והעלויות'!$A$3),'עלויות כח אדם (6)'!H2675='סיווג התפקידים והעלויות'!$C$2,'עלויות כח אדם (6)'!H2675='סיווג התפקידים והעלויות'!$D$2),IF('עלויות כח אדם (6)'!J2675&lt;75,"לא תקין","תקין"),"")</f>
        <v/>
      </c>
      <c r="AE2675" s="374" t="str">
        <f t="shared" si="629"/>
        <v/>
      </c>
      <c r="AF2675" s="532" t="str">
        <f t="shared" si="630"/>
        <v/>
      </c>
    </row>
    <row r="2676" spans="2:32" x14ac:dyDescent="0.25">
      <c r="B2676" s="695"/>
      <c r="C2676" s="197" t="str">
        <f>IF(B2676&lt;&gt;"",IFERROR(VLOOKUP(B:B,'מצבת והרשמה (2)'!$C$20:$N$520,2,0)," ")," ")</f>
        <v xml:space="preserve"> </v>
      </c>
      <c r="D2676" s="695"/>
      <c r="E2676" s="696"/>
      <c r="F2676" s="696"/>
      <c r="G2676" s="696"/>
      <c r="H2676" s="696"/>
      <c r="I2676" s="1050" t="str">
        <f t="shared" si="617"/>
        <v/>
      </c>
      <c r="J2676" s="696"/>
      <c r="K2676" s="697"/>
      <c r="L2676" s="696"/>
      <c r="M2676" s="198" t="str">
        <f t="shared" si="618"/>
        <v/>
      </c>
      <c r="N2676" s="369" t="str">
        <f t="shared" si="619"/>
        <v/>
      </c>
      <c r="O2676" s="183" t="str">
        <f t="shared" si="620"/>
        <v/>
      </c>
      <c r="P2676" s="199" t="str">
        <f t="shared" si="621"/>
        <v/>
      </c>
      <c r="Q2676" s="199" t="str">
        <f>IF(B2676="","",IFERROR(IF('עלויות כח אדם (6)'!J2676&gt;=VLOOKUP(I2676,'סיווג התפקידים והעלויות'!$B$23:$C$32,2,0),"תקין","לא תקין"),""))</f>
        <v/>
      </c>
      <c r="R2676" s="199" t="str">
        <f t="shared" si="622"/>
        <v/>
      </c>
      <c r="S2676" s="199" t="str">
        <f t="shared" si="623"/>
        <v/>
      </c>
      <c r="T2676" s="199" t="str">
        <f t="shared" si="631"/>
        <v/>
      </c>
      <c r="U2676" s="199" t="str">
        <f t="shared" si="624"/>
        <v/>
      </c>
      <c r="V2676" s="989"/>
      <c r="X2676" s="374" t="str">
        <f t="shared" si="625"/>
        <v/>
      </c>
      <c r="Y2676" s="375" t="str">
        <f t="shared" si="626"/>
        <v/>
      </c>
      <c r="Z2676" s="374" t="str">
        <f t="shared" si="627"/>
        <v/>
      </c>
      <c r="AA2676" s="374" t="b">
        <f t="shared" si="628"/>
        <v>1</v>
      </c>
      <c r="AB2676" s="374">
        <f>COUNTIFS(B:B,B2676,H:H,'סיווג התפקידים והעלויות'!$C$2)</f>
        <v>0</v>
      </c>
      <c r="AC2676" s="374">
        <f>COUNTIFS(B:B,B2676,H:H,'סיווג התפקידים והעלויות'!$D$2)</f>
        <v>0</v>
      </c>
      <c r="AD2676" s="374" t="str">
        <f>IF(OR(AND(H2676='סיווג התפקידים והעלויות'!$A$2,I2676='סיווג התפקידים והעלויות'!$A$3),'עלויות כח אדם (6)'!H2676='סיווג התפקידים והעלויות'!$C$2,'עלויות כח אדם (6)'!H2676='סיווג התפקידים והעלויות'!$D$2),IF('עלויות כח אדם (6)'!J2676&lt;75,"לא תקין","תקין"),"")</f>
        <v/>
      </c>
      <c r="AE2676" s="374" t="str">
        <f t="shared" si="629"/>
        <v/>
      </c>
      <c r="AF2676" s="532" t="str">
        <f t="shared" si="630"/>
        <v/>
      </c>
    </row>
    <row r="2677" spans="2:32" x14ac:dyDescent="0.25">
      <c r="B2677" s="695"/>
      <c r="C2677" s="197" t="str">
        <f>IF(B2677&lt;&gt;"",IFERROR(VLOOKUP(B:B,'מצבת והרשמה (2)'!$C$20:$N$520,2,0)," ")," ")</f>
        <v xml:space="preserve"> </v>
      </c>
      <c r="D2677" s="695"/>
      <c r="E2677" s="696"/>
      <c r="F2677" s="696"/>
      <c r="G2677" s="696"/>
      <c r="H2677" s="696"/>
      <c r="I2677" s="1050" t="str">
        <f t="shared" si="617"/>
        <v/>
      </c>
      <c r="J2677" s="696"/>
      <c r="K2677" s="697"/>
      <c r="L2677" s="696"/>
      <c r="M2677" s="198" t="str">
        <f t="shared" si="618"/>
        <v/>
      </c>
      <c r="N2677" s="369" t="str">
        <f t="shared" si="619"/>
        <v/>
      </c>
      <c r="O2677" s="183" t="str">
        <f t="shared" si="620"/>
        <v/>
      </c>
      <c r="P2677" s="199" t="str">
        <f t="shared" si="621"/>
        <v/>
      </c>
      <c r="Q2677" s="199" t="str">
        <f>IF(B2677="","",IFERROR(IF('עלויות כח אדם (6)'!J2677&gt;=VLOOKUP(I2677,'סיווג התפקידים והעלויות'!$B$23:$C$32,2,0),"תקין","לא תקין"),""))</f>
        <v/>
      </c>
      <c r="R2677" s="199" t="str">
        <f t="shared" si="622"/>
        <v/>
      </c>
      <c r="S2677" s="199" t="str">
        <f t="shared" si="623"/>
        <v/>
      </c>
      <c r="T2677" s="199" t="str">
        <f t="shared" si="631"/>
        <v/>
      </c>
      <c r="U2677" s="199" t="str">
        <f t="shared" si="624"/>
        <v/>
      </c>
      <c r="V2677" s="989"/>
      <c r="X2677" s="374" t="str">
        <f t="shared" si="625"/>
        <v/>
      </c>
      <c r="Y2677" s="375" t="str">
        <f t="shared" si="626"/>
        <v/>
      </c>
      <c r="Z2677" s="374" t="str">
        <f t="shared" si="627"/>
        <v/>
      </c>
      <c r="AA2677" s="374" t="b">
        <f t="shared" si="628"/>
        <v>1</v>
      </c>
      <c r="AB2677" s="374">
        <f>COUNTIFS(B:B,B2677,H:H,'סיווג התפקידים והעלויות'!$C$2)</f>
        <v>0</v>
      </c>
      <c r="AC2677" s="374">
        <f>COUNTIFS(B:B,B2677,H:H,'סיווג התפקידים והעלויות'!$D$2)</f>
        <v>0</v>
      </c>
      <c r="AD2677" s="374" t="str">
        <f>IF(OR(AND(H2677='סיווג התפקידים והעלויות'!$A$2,I2677='סיווג התפקידים והעלויות'!$A$3),'עלויות כח אדם (6)'!H2677='סיווג התפקידים והעלויות'!$C$2,'עלויות כח אדם (6)'!H2677='סיווג התפקידים והעלויות'!$D$2),IF('עלויות כח אדם (6)'!J2677&lt;75,"לא תקין","תקין"),"")</f>
        <v/>
      </c>
      <c r="AE2677" s="374" t="str">
        <f t="shared" si="629"/>
        <v/>
      </c>
      <c r="AF2677" s="532" t="str">
        <f t="shared" si="630"/>
        <v/>
      </c>
    </row>
    <row r="2678" spans="2:32" x14ac:dyDescent="0.25">
      <c r="B2678" s="695"/>
      <c r="C2678" s="197" t="str">
        <f>IF(B2678&lt;&gt;"",IFERROR(VLOOKUP(B:B,'מצבת והרשמה (2)'!$C$20:$N$520,2,0)," ")," ")</f>
        <v xml:space="preserve"> </v>
      </c>
      <c r="D2678" s="695"/>
      <c r="E2678" s="696"/>
      <c r="F2678" s="696"/>
      <c r="G2678" s="696"/>
      <c r="H2678" s="696"/>
      <c r="I2678" s="1050" t="str">
        <f t="shared" si="617"/>
        <v/>
      </c>
      <c r="J2678" s="696"/>
      <c r="K2678" s="697"/>
      <c r="L2678" s="696"/>
      <c r="M2678" s="198" t="str">
        <f t="shared" si="618"/>
        <v/>
      </c>
      <c r="N2678" s="369" t="str">
        <f t="shared" si="619"/>
        <v/>
      </c>
      <c r="O2678" s="183" t="str">
        <f t="shared" si="620"/>
        <v/>
      </c>
      <c r="P2678" s="199" t="str">
        <f t="shared" si="621"/>
        <v/>
      </c>
      <c r="Q2678" s="199" t="str">
        <f>IF(B2678="","",IFERROR(IF('עלויות כח אדם (6)'!J2678&gt;=VLOOKUP(I2678,'סיווג התפקידים והעלויות'!$B$23:$C$32,2,0),"תקין","לא תקין"),""))</f>
        <v/>
      </c>
      <c r="R2678" s="199" t="str">
        <f t="shared" si="622"/>
        <v/>
      </c>
      <c r="S2678" s="199" t="str">
        <f t="shared" si="623"/>
        <v/>
      </c>
      <c r="T2678" s="199" t="str">
        <f t="shared" si="631"/>
        <v/>
      </c>
      <c r="U2678" s="199" t="str">
        <f t="shared" si="624"/>
        <v/>
      </c>
      <c r="V2678" s="989"/>
      <c r="X2678" s="374" t="str">
        <f t="shared" si="625"/>
        <v/>
      </c>
      <c r="Y2678" s="375" t="str">
        <f t="shared" si="626"/>
        <v/>
      </c>
      <c r="Z2678" s="374" t="str">
        <f t="shared" si="627"/>
        <v/>
      </c>
      <c r="AA2678" s="374" t="b">
        <f t="shared" si="628"/>
        <v>1</v>
      </c>
      <c r="AB2678" s="374">
        <f>COUNTIFS(B:B,B2678,H:H,'סיווג התפקידים והעלויות'!$C$2)</f>
        <v>0</v>
      </c>
      <c r="AC2678" s="374">
        <f>COUNTIFS(B:B,B2678,H:H,'סיווג התפקידים והעלויות'!$D$2)</f>
        <v>0</v>
      </c>
      <c r="AD2678" s="374" t="str">
        <f>IF(OR(AND(H2678='סיווג התפקידים והעלויות'!$A$2,I2678='סיווג התפקידים והעלויות'!$A$3),'עלויות כח אדם (6)'!H2678='סיווג התפקידים והעלויות'!$C$2,'עלויות כח אדם (6)'!H2678='סיווג התפקידים והעלויות'!$D$2),IF('עלויות כח אדם (6)'!J2678&lt;75,"לא תקין","תקין"),"")</f>
        <v/>
      </c>
      <c r="AE2678" s="374" t="str">
        <f t="shared" si="629"/>
        <v/>
      </c>
      <c r="AF2678" s="532" t="str">
        <f t="shared" si="630"/>
        <v/>
      </c>
    </row>
    <row r="2679" spans="2:32" x14ac:dyDescent="0.25">
      <c r="B2679" s="695"/>
      <c r="C2679" s="197" t="str">
        <f>IF(B2679&lt;&gt;"",IFERROR(VLOOKUP(B:B,'מצבת והרשמה (2)'!$C$20:$N$520,2,0)," ")," ")</f>
        <v xml:space="preserve"> </v>
      </c>
      <c r="D2679" s="695"/>
      <c r="E2679" s="696"/>
      <c r="F2679" s="696"/>
      <c r="G2679" s="696"/>
      <c r="H2679" s="696"/>
      <c r="I2679" s="1050" t="str">
        <f t="shared" si="617"/>
        <v/>
      </c>
      <c r="J2679" s="696"/>
      <c r="K2679" s="697"/>
      <c r="L2679" s="696"/>
      <c r="M2679" s="198" t="str">
        <f t="shared" si="618"/>
        <v/>
      </c>
      <c r="N2679" s="369" t="str">
        <f t="shared" si="619"/>
        <v/>
      </c>
      <c r="O2679" s="183" t="str">
        <f t="shared" si="620"/>
        <v/>
      </c>
      <c r="P2679" s="199" t="str">
        <f t="shared" si="621"/>
        <v/>
      </c>
      <c r="Q2679" s="199" t="str">
        <f>IF(B2679="","",IFERROR(IF('עלויות כח אדם (6)'!J2679&gt;=VLOOKUP(I2679,'סיווג התפקידים והעלויות'!$B$23:$C$32,2,0),"תקין","לא תקין"),""))</f>
        <v/>
      </c>
      <c r="R2679" s="199" t="str">
        <f t="shared" si="622"/>
        <v/>
      </c>
      <c r="S2679" s="199" t="str">
        <f t="shared" si="623"/>
        <v/>
      </c>
      <c r="T2679" s="199" t="str">
        <f t="shared" si="631"/>
        <v/>
      </c>
      <c r="U2679" s="199" t="str">
        <f t="shared" si="624"/>
        <v/>
      </c>
      <c r="V2679" s="989"/>
      <c r="X2679" s="374" t="str">
        <f t="shared" si="625"/>
        <v/>
      </c>
      <c r="Y2679" s="375" t="str">
        <f t="shared" si="626"/>
        <v/>
      </c>
      <c r="Z2679" s="374" t="str">
        <f t="shared" si="627"/>
        <v/>
      </c>
      <c r="AA2679" s="374" t="b">
        <f t="shared" si="628"/>
        <v>1</v>
      </c>
      <c r="AB2679" s="374">
        <f>COUNTIFS(B:B,B2679,H:H,'סיווג התפקידים והעלויות'!$C$2)</f>
        <v>0</v>
      </c>
      <c r="AC2679" s="374">
        <f>COUNTIFS(B:B,B2679,H:H,'סיווג התפקידים והעלויות'!$D$2)</f>
        <v>0</v>
      </c>
      <c r="AD2679" s="374" t="str">
        <f>IF(OR(AND(H2679='סיווג התפקידים והעלויות'!$A$2,I2679='סיווג התפקידים והעלויות'!$A$3),'עלויות כח אדם (6)'!H2679='סיווג התפקידים והעלויות'!$C$2,'עלויות כח אדם (6)'!H2679='סיווג התפקידים והעלויות'!$D$2),IF('עלויות כח אדם (6)'!J2679&lt;75,"לא תקין","תקין"),"")</f>
        <v/>
      </c>
      <c r="AE2679" s="374" t="str">
        <f t="shared" si="629"/>
        <v/>
      </c>
      <c r="AF2679" s="532" t="str">
        <f t="shared" si="630"/>
        <v/>
      </c>
    </row>
    <row r="2680" spans="2:32" x14ac:dyDescent="0.25">
      <c r="B2680" s="695"/>
      <c r="C2680" s="197" t="str">
        <f>IF(B2680&lt;&gt;"",IFERROR(VLOOKUP(B:B,'מצבת והרשמה (2)'!$C$20:$N$520,2,0)," ")," ")</f>
        <v xml:space="preserve"> </v>
      </c>
      <c r="D2680" s="695"/>
      <c r="E2680" s="696"/>
      <c r="F2680" s="696"/>
      <c r="G2680" s="696"/>
      <c r="H2680" s="696"/>
      <c r="I2680" s="1050" t="str">
        <f t="shared" si="617"/>
        <v/>
      </c>
      <c r="J2680" s="696"/>
      <c r="K2680" s="697"/>
      <c r="L2680" s="696"/>
      <c r="M2680" s="198" t="str">
        <f t="shared" si="618"/>
        <v/>
      </c>
      <c r="N2680" s="369" t="str">
        <f t="shared" si="619"/>
        <v/>
      </c>
      <c r="O2680" s="183" t="str">
        <f t="shared" si="620"/>
        <v/>
      </c>
      <c r="P2680" s="199" t="str">
        <f t="shared" si="621"/>
        <v/>
      </c>
      <c r="Q2680" s="199" t="str">
        <f>IF(B2680="","",IFERROR(IF('עלויות כח אדם (6)'!J2680&gt;=VLOOKUP(I2680,'סיווג התפקידים והעלויות'!$B$23:$C$32,2,0),"תקין","לא תקין"),""))</f>
        <v/>
      </c>
      <c r="R2680" s="199" t="str">
        <f t="shared" si="622"/>
        <v/>
      </c>
      <c r="S2680" s="199" t="str">
        <f t="shared" si="623"/>
        <v/>
      </c>
      <c r="T2680" s="199" t="str">
        <f t="shared" si="631"/>
        <v/>
      </c>
      <c r="U2680" s="199" t="str">
        <f t="shared" si="624"/>
        <v/>
      </c>
      <c r="V2680" s="989"/>
      <c r="X2680" s="374" t="str">
        <f t="shared" si="625"/>
        <v/>
      </c>
      <c r="Y2680" s="375" t="str">
        <f t="shared" si="626"/>
        <v/>
      </c>
      <c r="Z2680" s="374" t="str">
        <f t="shared" si="627"/>
        <v/>
      </c>
      <c r="AA2680" s="374" t="b">
        <f t="shared" si="628"/>
        <v>1</v>
      </c>
      <c r="AB2680" s="374">
        <f>COUNTIFS(B:B,B2680,H:H,'סיווג התפקידים והעלויות'!$C$2)</f>
        <v>0</v>
      </c>
      <c r="AC2680" s="374">
        <f>COUNTIFS(B:B,B2680,H:H,'סיווג התפקידים והעלויות'!$D$2)</f>
        <v>0</v>
      </c>
      <c r="AD2680" s="374" t="str">
        <f>IF(OR(AND(H2680='סיווג התפקידים והעלויות'!$A$2,I2680='סיווג התפקידים והעלויות'!$A$3),'עלויות כח אדם (6)'!H2680='סיווג התפקידים והעלויות'!$C$2,'עלויות כח אדם (6)'!H2680='סיווג התפקידים והעלויות'!$D$2),IF('עלויות כח אדם (6)'!J2680&lt;75,"לא תקין","תקין"),"")</f>
        <v/>
      </c>
      <c r="AE2680" s="374" t="str">
        <f t="shared" si="629"/>
        <v/>
      </c>
      <c r="AF2680" s="532" t="str">
        <f t="shared" si="630"/>
        <v/>
      </c>
    </row>
    <row r="2681" spans="2:32" x14ac:dyDescent="0.25">
      <c r="B2681" s="695"/>
      <c r="C2681" s="197" t="str">
        <f>IF(B2681&lt;&gt;"",IFERROR(VLOOKUP(B:B,'מצבת והרשמה (2)'!$C$20:$N$520,2,0)," ")," ")</f>
        <v xml:space="preserve"> </v>
      </c>
      <c r="D2681" s="695"/>
      <c r="E2681" s="696"/>
      <c r="F2681" s="696"/>
      <c r="G2681" s="696"/>
      <c r="H2681" s="696"/>
      <c r="I2681" s="1050" t="str">
        <f t="shared" si="617"/>
        <v/>
      </c>
      <c r="J2681" s="696"/>
      <c r="K2681" s="697"/>
      <c r="L2681" s="696"/>
      <c r="M2681" s="198" t="str">
        <f t="shared" si="618"/>
        <v/>
      </c>
      <c r="N2681" s="369" t="str">
        <f t="shared" si="619"/>
        <v/>
      </c>
      <c r="O2681" s="183" t="str">
        <f t="shared" si="620"/>
        <v/>
      </c>
      <c r="P2681" s="199" t="str">
        <f t="shared" si="621"/>
        <v/>
      </c>
      <c r="Q2681" s="199" t="str">
        <f>IF(B2681="","",IFERROR(IF('עלויות כח אדם (6)'!J2681&gt;=VLOOKUP(I2681,'סיווג התפקידים והעלויות'!$B$23:$C$32,2,0),"תקין","לא תקין"),""))</f>
        <v/>
      </c>
      <c r="R2681" s="199" t="str">
        <f t="shared" si="622"/>
        <v/>
      </c>
      <c r="S2681" s="199" t="str">
        <f t="shared" si="623"/>
        <v/>
      </c>
      <c r="T2681" s="199" t="str">
        <f t="shared" si="631"/>
        <v/>
      </c>
      <c r="U2681" s="199" t="str">
        <f t="shared" si="624"/>
        <v/>
      </c>
      <c r="V2681" s="989"/>
      <c r="X2681" s="374" t="str">
        <f t="shared" si="625"/>
        <v/>
      </c>
      <c r="Y2681" s="375" t="str">
        <f t="shared" si="626"/>
        <v/>
      </c>
      <c r="Z2681" s="374" t="str">
        <f t="shared" si="627"/>
        <v/>
      </c>
      <c r="AA2681" s="374" t="b">
        <f t="shared" si="628"/>
        <v>1</v>
      </c>
      <c r="AB2681" s="374">
        <f>COUNTIFS(B:B,B2681,H:H,'סיווג התפקידים והעלויות'!$C$2)</f>
        <v>0</v>
      </c>
      <c r="AC2681" s="374">
        <f>COUNTIFS(B:B,B2681,H:H,'סיווג התפקידים והעלויות'!$D$2)</f>
        <v>0</v>
      </c>
      <c r="AD2681" s="374" t="str">
        <f>IF(OR(AND(H2681='סיווג התפקידים והעלויות'!$A$2,I2681='סיווג התפקידים והעלויות'!$A$3),'עלויות כח אדם (6)'!H2681='סיווג התפקידים והעלויות'!$C$2,'עלויות כח אדם (6)'!H2681='סיווג התפקידים והעלויות'!$D$2),IF('עלויות כח אדם (6)'!J2681&lt;75,"לא תקין","תקין"),"")</f>
        <v/>
      </c>
      <c r="AE2681" s="374" t="str">
        <f t="shared" si="629"/>
        <v/>
      </c>
      <c r="AF2681" s="532" t="str">
        <f t="shared" si="630"/>
        <v/>
      </c>
    </row>
    <row r="2682" spans="2:32" x14ac:dyDescent="0.25">
      <c r="B2682" s="695"/>
      <c r="C2682" s="197" t="str">
        <f>IF(B2682&lt;&gt;"",IFERROR(VLOOKUP(B:B,'מצבת והרשמה (2)'!$C$20:$N$520,2,0)," ")," ")</f>
        <v xml:space="preserve"> </v>
      </c>
      <c r="D2682" s="695"/>
      <c r="E2682" s="696"/>
      <c r="F2682" s="696"/>
      <c r="G2682" s="696"/>
      <c r="H2682" s="696"/>
      <c r="I2682" s="1050" t="str">
        <f t="shared" si="617"/>
        <v/>
      </c>
      <c r="J2682" s="696"/>
      <c r="K2682" s="697"/>
      <c r="L2682" s="696"/>
      <c r="M2682" s="198" t="str">
        <f t="shared" si="618"/>
        <v/>
      </c>
      <c r="N2682" s="369" t="str">
        <f t="shared" si="619"/>
        <v/>
      </c>
      <c r="O2682" s="183" t="str">
        <f t="shared" si="620"/>
        <v/>
      </c>
      <c r="P2682" s="199" t="str">
        <f t="shared" si="621"/>
        <v/>
      </c>
      <c r="Q2682" s="199" t="str">
        <f>IF(B2682="","",IFERROR(IF('עלויות כח אדם (6)'!J2682&gt;=VLOOKUP(I2682,'סיווג התפקידים והעלויות'!$B$23:$C$32,2,0),"תקין","לא תקין"),""))</f>
        <v/>
      </c>
      <c r="R2682" s="199" t="str">
        <f t="shared" si="622"/>
        <v/>
      </c>
      <c r="S2682" s="199" t="str">
        <f t="shared" si="623"/>
        <v/>
      </c>
      <c r="T2682" s="199" t="str">
        <f t="shared" si="631"/>
        <v/>
      </c>
      <c r="U2682" s="199" t="str">
        <f t="shared" si="624"/>
        <v/>
      </c>
      <c r="V2682" s="989"/>
      <c r="X2682" s="374" t="str">
        <f t="shared" si="625"/>
        <v/>
      </c>
      <c r="Y2682" s="375" t="str">
        <f t="shared" si="626"/>
        <v/>
      </c>
      <c r="Z2682" s="374" t="str">
        <f t="shared" si="627"/>
        <v/>
      </c>
      <c r="AA2682" s="374" t="b">
        <f t="shared" si="628"/>
        <v>1</v>
      </c>
      <c r="AB2682" s="374">
        <f>COUNTIFS(B:B,B2682,H:H,'סיווג התפקידים והעלויות'!$C$2)</f>
        <v>0</v>
      </c>
      <c r="AC2682" s="374">
        <f>COUNTIFS(B:B,B2682,H:H,'סיווג התפקידים והעלויות'!$D$2)</f>
        <v>0</v>
      </c>
      <c r="AD2682" s="374" t="str">
        <f>IF(OR(AND(H2682='סיווג התפקידים והעלויות'!$A$2,I2682='סיווג התפקידים והעלויות'!$A$3),'עלויות כח אדם (6)'!H2682='סיווג התפקידים והעלויות'!$C$2,'עלויות כח אדם (6)'!H2682='סיווג התפקידים והעלויות'!$D$2),IF('עלויות כח אדם (6)'!J2682&lt;75,"לא תקין","תקין"),"")</f>
        <v/>
      </c>
      <c r="AE2682" s="374" t="str">
        <f t="shared" si="629"/>
        <v/>
      </c>
      <c r="AF2682" s="532" t="str">
        <f t="shared" si="630"/>
        <v/>
      </c>
    </row>
    <row r="2683" spans="2:32" x14ac:dyDescent="0.25">
      <c r="B2683" s="695"/>
      <c r="C2683" s="197" t="str">
        <f>IF(B2683&lt;&gt;"",IFERROR(VLOOKUP(B:B,'מצבת והרשמה (2)'!$C$20:$N$520,2,0)," ")," ")</f>
        <v xml:space="preserve"> </v>
      </c>
      <c r="D2683" s="695"/>
      <c r="E2683" s="696"/>
      <c r="F2683" s="696"/>
      <c r="G2683" s="696"/>
      <c r="H2683" s="696"/>
      <c r="I2683" s="1050" t="str">
        <f t="shared" si="617"/>
        <v/>
      </c>
      <c r="J2683" s="696"/>
      <c r="K2683" s="697"/>
      <c r="L2683" s="696"/>
      <c r="M2683" s="198" t="str">
        <f t="shared" si="618"/>
        <v/>
      </c>
      <c r="N2683" s="369" t="str">
        <f t="shared" si="619"/>
        <v/>
      </c>
      <c r="O2683" s="183" t="str">
        <f t="shared" si="620"/>
        <v/>
      </c>
      <c r="P2683" s="199" t="str">
        <f t="shared" si="621"/>
        <v/>
      </c>
      <c r="Q2683" s="199" t="str">
        <f>IF(B2683="","",IFERROR(IF('עלויות כח אדם (6)'!J2683&gt;=VLOOKUP(I2683,'סיווג התפקידים והעלויות'!$B$23:$C$32,2,0),"תקין","לא תקין"),""))</f>
        <v/>
      </c>
      <c r="R2683" s="199" t="str">
        <f t="shared" si="622"/>
        <v/>
      </c>
      <c r="S2683" s="199" t="str">
        <f t="shared" si="623"/>
        <v/>
      </c>
      <c r="T2683" s="199" t="str">
        <f t="shared" si="631"/>
        <v/>
      </c>
      <c r="U2683" s="199" t="str">
        <f t="shared" si="624"/>
        <v/>
      </c>
      <c r="V2683" s="989"/>
      <c r="X2683" s="374" t="str">
        <f t="shared" si="625"/>
        <v/>
      </c>
      <c r="Y2683" s="375" t="str">
        <f t="shared" si="626"/>
        <v/>
      </c>
      <c r="Z2683" s="374" t="str">
        <f t="shared" si="627"/>
        <v/>
      </c>
      <c r="AA2683" s="374" t="b">
        <f t="shared" si="628"/>
        <v>1</v>
      </c>
      <c r="AB2683" s="374">
        <f>COUNTIFS(B:B,B2683,H:H,'סיווג התפקידים והעלויות'!$C$2)</f>
        <v>0</v>
      </c>
      <c r="AC2683" s="374">
        <f>COUNTIFS(B:B,B2683,H:H,'סיווג התפקידים והעלויות'!$D$2)</f>
        <v>0</v>
      </c>
      <c r="AD2683" s="374" t="str">
        <f>IF(OR(AND(H2683='סיווג התפקידים והעלויות'!$A$2,I2683='סיווג התפקידים והעלויות'!$A$3),'עלויות כח אדם (6)'!H2683='סיווג התפקידים והעלויות'!$C$2,'עלויות כח אדם (6)'!H2683='סיווג התפקידים והעלויות'!$D$2),IF('עלויות כח אדם (6)'!J2683&lt;75,"לא תקין","תקין"),"")</f>
        <v/>
      </c>
      <c r="AE2683" s="374" t="str">
        <f t="shared" si="629"/>
        <v/>
      </c>
      <c r="AF2683" s="532" t="str">
        <f t="shared" si="630"/>
        <v/>
      </c>
    </row>
    <row r="2684" spans="2:32" x14ac:dyDescent="0.25">
      <c r="B2684" s="695"/>
      <c r="C2684" s="197" t="str">
        <f>IF(B2684&lt;&gt;"",IFERROR(VLOOKUP(B:B,'מצבת והרשמה (2)'!$C$20:$N$520,2,0)," ")," ")</f>
        <v xml:space="preserve"> </v>
      </c>
      <c r="D2684" s="695"/>
      <c r="E2684" s="696"/>
      <c r="F2684" s="696"/>
      <c r="G2684" s="696"/>
      <c r="H2684" s="696"/>
      <c r="I2684" s="1050" t="str">
        <f t="shared" si="617"/>
        <v/>
      </c>
      <c r="J2684" s="696"/>
      <c r="K2684" s="697"/>
      <c r="L2684" s="696"/>
      <c r="M2684" s="198" t="str">
        <f t="shared" si="618"/>
        <v/>
      </c>
      <c r="N2684" s="369" t="str">
        <f t="shared" si="619"/>
        <v/>
      </c>
      <c r="O2684" s="183" t="str">
        <f t="shared" si="620"/>
        <v/>
      </c>
      <c r="P2684" s="199" t="str">
        <f t="shared" si="621"/>
        <v/>
      </c>
      <c r="Q2684" s="199" t="str">
        <f>IF(B2684="","",IFERROR(IF('עלויות כח אדם (6)'!J2684&gt;=VLOOKUP(I2684,'סיווג התפקידים והעלויות'!$B$23:$C$32,2,0),"תקין","לא תקין"),""))</f>
        <v/>
      </c>
      <c r="R2684" s="199" t="str">
        <f t="shared" si="622"/>
        <v/>
      </c>
      <c r="S2684" s="199" t="str">
        <f t="shared" si="623"/>
        <v/>
      </c>
      <c r="T2684" s="199" t="str">
        <f t="shared" si="631"/>
        <v/>
      </c>
      <c r="U2684" s="199" t="str">
        <f t="shared" si="624"/>
        <v/>
      </c>
      <c r="V2684" s="989"/>
      <c r="X2684" s="374" t="str">
        <f t="shared" si="625"/>
        <v/>
      </c>
      <c r="Y2684" s="375" t="str">
        <f t="shared" si="626"/>
        <v/>
      </c>
      <c r="Z2684" s="374" t="str">
        <f t="shared" si="627"/>
        <v/>
      </c>
      <c r="AA2684" s="374" t="b">
        <f t="shared" si="628"/>
        <v>1</v>
      </c>
      <c r="AB2684" s="374">
        <f>COUNTIFS(B:B,B2684,H:H,'סיווג התפקידים והעלויות'!$C$2)</f>
        <v>0</v>
      </c>
      <c r="AC2684" s="374">
        <f>COUNTIFS(B:B,B2684,H:H,'סיווג התפקידים והעלויות'!$D$2)</f>
        <v>0</v>
      </c>
      <c r="AD2684" s="374" t="str">
        <f>IF(OR(AND(H2684='סיווג התפקידים והעלויות'!$A$2,I2684='סיווג התפקידים והעלויות'!$A$3),'עלויות כח אדם (6)'!H2684='סיווג התפקידים והעלויות'!$C$2,'עלויות כח אדם (6)'!H2684='סיווג התפקידים והעלויות'!$D$2),IF('עלויות כח אדם (6)'!J2684&lt;75,"לא תקין","תקין"),"")</f>
        <v/>
      </c>
      <c r="AE2684" s="374" t="str">
        <f t="shared" si="629"/>
        <v/>
      </c>
      <c r="AF2684" s="532" t="str">
        <f t="shared" si="630"/>
        <v/>
      </c>
    </row>
    <row r="2685" spans="2:32" x14ac:dyDescent="0.25">
      <c r="B2685" s="695"/>
      <c r="C2685" s="197" t="str">
        <f>IF(B2685&lt;&gt;"",IFERROR(VLOOKUP(B:B,'מצבת והרשמה (2)'!$C$20:$N$520,2,0)," ")," ")</f>
        <v xml:space="preserve"> </v>
      </c>
      <c r="D2685" s="695"/>
      <c r="E2685" s="696"/>
      <c r="F2685" s="696"/>
      <c r="G2685" s="696"/>
      <c r="H2685" s="696"/>
      <c r="I2685" s="1050" t="str">
        <f t="shared" si="617"/>
        <v/>
      </c>
      <c r="J2685" s="696"/>
      <c r="K2685" s="697"/>
      <c r="L2685" s="696"/>
      <c r="M2685" s="198" t="str">
        <f t="shared" si="618"/>
        <v/>
      </c>
      <c r="N2685" s="369" t="str">
        <f t="shared" si="619"/>
        <v/>
      </c>
      <c r="O2685" s="183" t="str">
        <f t="shared" si="620"/>
        <v/>
      </c>
      <c r="P2685" s="199" t="str">
        <f t="shared" si="621"/>
        <v/>
      </c>
      <c r="Q2685" s="199" t="str">
        <f>IF(B2685="","",IFERROR(IF('עלויות כח אדם (6)'!J2685&gt;=VLOOKUP(I2685,'סיווג התפקידים והעלויות'!$B$23:$C$32,2,0),"תקין","לא תקין"),""))</f>
        <v/>
      </c>
      <c r="R2685" s="199" t="str">
        <f t="shared" si="622"/>
        <v/>
      </c>
      <c r="S2685" s="199" t="str">
        <f t="shared" si="623"/>
        <v/>
      </c>
      <c r="T2685" s="199" t="str">
        <f t="shared" si="631"/>
        <v/>
      </c>
      <c r="U2685" s="199" t="str">
        <f t="shared" si="624"/>
        <v/>
      </c>
      <c r="V2685" s="989"/>
      <c r="X2685" s="374" t="str">
        <f t="shared" si="625"/>
        <v/>
      </c>
      <c r="Y2685" s="375" t="str">
        <f t="shared" si="626"/>
        <v/>
      </c>
      <c r="Z2685" s="374" t="str">
        <f t="shared" si="627"/>
        <v/>
      </c>
      <c r="AA2685" s="374" t="b">
        <f t="shared" si="628"/>
        <v>1</v>
      </c>
      <c r="AB2685" s="374">
        <f>COUNTIFS(B:B,B2685,H:H,'סיווג התפקידים והעלויות'!$C$2)</f>
        <v>0</v>
      </c>
      <c r="AC2685" s="374">
        <f>COUNTIFS(B:B,B2685,H:H,'סיווג התפקידים והעלויות'!$D$2)</f>
        <v>0</v>
      </c>
      <c r="AD2685" s="374" t="str">
        <f>IF(OR(AND(H2685='סיווג התפקידים והעלויות'!$A$2,I2685='סיווג התפקידים והעלויות'!$A$3),'עלויות כח אדם (6)'!H2685='סיווג התפקידים והעלויות'!$C$2,'עלויות כח אדם (6)'!H2685='סיווג התפקידים והעלויות'!$D$2),IF('עלויות כח אדם (6)'!J2685&lt;75,"לא תקין","תקין"),"")</f>
        <v/>
      </c>
      <c r="AE2685" s="374" t="str">
        <f t="shared" si="629"/>
        <v/>
      </c>
      <c r="AF2685" s="532" t="str">
        <f t="shared" si="630"/>
        <v/>
      </c>
    </row>
    <row r="2686" spans="2:32" x14ac:dyDescent="0.25">
      <c r="B2686" s="695"/>
      <c r="C2686" s="197" t="str">
        <f>IF(B2686&lt;&gt;"",IFERROR(VLOOKUP(B:B,'מצבת והרשמה (2)'!$C$20:$N$520,2,0)," ")," ")</f>
        <v xml:space="preserve"> </v>
      </c>
      <c r="D2686" s="695"/>
      <c r="E2686" s="696"/>
      <c r="F2686" s="696"/>
      <c r="G2686" s="696"/>
      <c r="H2686" s="696"/>
      <c r="I2686" s="1050" t="str">
        <f t="shared" si="617"/>
        <v/>
      </c>
      <c r="J2686" s="696"/>
      <c r="K2686" s="697"/>
      <c r="L2686" s="696"/>
      <c r="M2686" s="198" t="str">
        <f t="shared" si="618"/>
        <v/>
      </c>
      <c r="N2686" s="369" t="str">
        <f t="shared" si="619"/>
        <v/>
      </c>
      <c r="O2686" s="183" t="str">
        <f t="shared" si="620"/>
        <v/>
      </c>
      <c r="P2686" s="199" t="str">
        <f t="shared" si="621"/>
        <v/>
      </c>
      <c r="Q2686" s="199" t="str">
        <f>IF(B2686="","",IFERROR(IF('עלויות כח אדם (6)'!J2686&gt;=VLOOKUP(I2686,'סיווג התפקידים והעלויות'!$B$23:$C$32,2,0),"תקין","לא תקין"),""))</f>
        <v/>
      </c>
      <c r="R2686" s="199" t="str">
        <f t="shared" si="622"/>
        <v/>
      </c>
      <c r="S2686" s="199" t="str">
        <f t="shared" si="623"/>
        <v/>
      </c>
      <c r="T2686" s="199" t="str">
        <f t="shared" si="631"/>
        <v/>
      </c>
      <c r="U2686" s="199" t="str">
        <f t="shared" si="624"/>
        <v/>
      </c>
      <c r="V2686" s="989"/>
      <c r="X2686" s="374" t="str">
        <f t="shared" si="625"/>
        <v/>
      </c>
      <c r="Y2686" s="375" t="str">
        <f t="shared" si="626"/>
        <v/>
      </c>
      <c r="Z2686" s="374" t="str">
        <f t="shared" si="627"/>
        <v/>
      </c>
      <c r="AA2686" s="374" t="b">
        <f t="shared" si="628"/>
        <v>1</v>
      </c>
      <c r="AB2686" s="374">
        <f>COUNTIFS(B:B,B2686,H:H,'סיווג התפקידים והעלויות'!$C$2)</f>
        <v>0</v>
      </c>
      <c r="AC2686" s="374">
        <f>COUNTIFS(B:B,B2686,H:H,'סיווג התפקידים והעלויות'!$D$2)</f>
        <v>0</v>
      </c>
      <c r="AD2686" s="374" t="str">
        <f>IF(OR(AND(H2686='סיווג התפקידים והעלויות'!$A$2,I2686='סיווג התפקידים והעלויות'!$A$3),'עלויות כח אדם (6)'!H2686='סיווג התפקידים והעלויות'!$C$2,'עלויות כח אדם (6)'!H2686='סיווג התפקידים והעלויות'!$D$2),IF('עלויות כח אדם (6)'!J2686&lt;75,"לא תקין","תקין"),"")</f>
        <v/>
      </c>
      <c r="AE2686" s="374" t="str">
        <f t="shared" si="629"/>
        <v/>
      </c>
      <c r="AF2686" s="532" t="str">
        <f t="shared" si="630"/>
        <v/>
      </c>
    </row>
    <row r="2687" spans="2:32" x14ac:dyDescent="0.25">
      <c r="B2687" s="695"/>
      <c r="C2687" s="197" t="str">
        <f>IF(B2687&lt;&gt;"",IFERROR(VLOOKUP(B:B,'מצבת והרשמה (2)'!$C$20:$N$520,2,0)," ")," ")</f>
        <v xml:space="preserve"> </v>
      </c>
      <c r="D2687" s="695"/>
      <c r="E2687" s="696"/>
      <c r="F2687" s="696"/>
      <c r="G2687" s="696"/>
      <c r="H2687" s="696"/>
      <c r="I2687" s="1050" t="str">
        <f t="shared" si="617"/>
        <v/>
      </c>
      <c r="J2687" s="696"/>
      <c r="K2687" s="697"/>
      <c r="L2687" s="696"/>
      <c r="M2687" s="198" t="str">
        <f t="shared" si="618"/>
        <v/>
      </c>
      <c r="N2687" s="369" t="str">
        <f t="shared" si="619"/>
        <v/>
      </c>
      <c r="O2687" s="183" t="str">
        <f t="shared" si="620"/>
        <v/>
      </c>
      <c r="P2687" s="199" t="str">
        <f t="shared" si="621"/>
        <v/>
      </c>
      <c r="Q2687" s="199" t="str">
        <f>IF(B2687="","",IFERROR(IF('עלויות כח אדם (6)'!J2687&gt;=VLOOKUP(I2687,'סיווג התפקידים והעלויות'!$B$23:$C$32,2,0),"תקין","לא תקין"),""))</f>
        <v/>
      </c>
      <c r="R2687" s="199" t="str">
        <f t="shared" si="622"/>
        <v/>
      </c>
      <c r="S2687" s="199" t="str">
        <f t="shared" si="623"/>
        <v/>
      </c>
      <c r="T2687" s="199" t="str">
        <f t="shared" si="631"/>
        <v/>
      </c>
      <c r="U2687" s="199" t="str">
        <f t="shared" si="624"/>
        <v/>
      </c>
      <c r="V2687" s="989"/>
      <c r="X2687" s="374" t="str">
        <f t="shared" si="625"/>
        <v/>
      </c>
      <c r="Y2687" s="375" t="str">
        <f t="shared" si="626"/>
        <v/>
      </c>
      <c r="Z2687" s="374" t="str">
        <f t="shared" si="627"/>
        <v/>
      </c>
      <c r="AA2687" s="374" t="b">
        <f t="shared" si="628"/>
        <v>1</v>
      </c>
      <c r="AB2687" s="374">
        <f>COUNTIFS(B:B,B2687,H:H,'סיווג התפקידים והעלויות'!$C$2)</f>
        <v>0</v>
      </c>
      <c r="AC2687" s="374">
        <f>COUNTIFS(B:B,B2687,H:H,'סיווג התפקידים והעלויות'!$D$2)</f>
        <v>0</v>
      </c>
      <c r="AD2687" s="374" t="str">
        <f>IF(OR(AND(H2687='סיווג התפקידים והעלויות'!$A$2,I2687='סיווג התפקידים והעלויות'!$A$3),'עלויות כח אדם (6)'!H2687='סיווג התפקידים והעלויות'!$C$2,'עלויות כח אדם (6)'!H2687='סיווג התפקידים והעלויות'!$D$2),IF('עלויות כח אדם (6)'!J2687&lt;75,"לא תקין","תקין"),"")</f>
        <v/>
      </c>
      <c r="AE2687" s="374" t="str">
        <f t="shared" si="629"/>
        <v/>
      </c>
      <c r="AF2687" s="532" t="str">
        <f t="shared" si="630"/>
        <v/>
      </c>
    </row>
    <row r="2688" spans="2:32" x14ac:dyDescent="0.25">
      <c r="B2688" s="695"/>
      <c r="C2688" s="197" t="str">
        <f>IF(B2688&lt;&gt;"",IFERROR(VLOOKUP(B:B,'מצבת והרשמה (2)'!$C$20:$N$520,2,0)," ")," ")</f>
        <v xml:space="preserve"> </v>
      </c>
      <c r="D2688" s="695"/>
      <c r="E2688" s="696"/>
      <c r="F2688" s="696"/>
      <c r="G2688" s="696"/>
      <c r="H2688" s="696"/>
      <c r="I2688" s="1050" t="str">
        <f t="shared" si="617"/>
        <v/>
      </c>
      <c r="J2688" s="696"/>
      <c r="K2688" s="697"/>
      <c r="L2688" s="696"/>
      <c r="M2688" s="198" t="str">
        <f t="shared" si="618"/>
        <v/>
      </c>
      <c r="N2688" s="369" t="str">
        <f t="shared" si="619"/>
        <v/>
      </c>
      <c r="O2688" s="183" t="str">
        <f t="shared" si="620"/>
        <v/>
      </c>
      <c r="P2688" s="199" t="str">
        <f t="shared" si="621"/>
        <v/>
      </c>
      <c r="Q2688" s="199" t="str">
        <f>IF(B2688="","",IFERROR(IF('עלויות כח אדם (6)'!J2688&gt;=VLOOKUP(I2688,'סיווג התפקידים והעלויות'!$B$23:$C$32,2,0),"תקין","לא תקין"),""))</f>
        <v/>
      </c>
      <c r="R2688" s="199" t="str">
        <f t="shared" si="622"/>
        <v/>
      </c>
      <c r="S2688" s="199" t="str">
        <f t="shared" si="623"/>
        <v/>
      </c>
      <c r="T2688" s="199" t="str">
        <f t="shared" si="631"/>
        <v/>
      </c>
      <c r="U2688" s="199" t="str">
        <f t="shared" si="624"/>
        <v/>
      </c>
      <c r="V2688" s="989"/>
      <c r="X2688" s="374" t="str">
        <f t="shared" si="625"/>
        <v/>
      </c>
      <c r="Y2688" s="375" t="str">
        <f t="shared" si="626"/>
        <v/>
      </c>
      <c r="Z2688" s="374" t="str">
        <f t="shared" si="627"/>
        <v/>
      </c>
      <c r="AA2688" s="374" t="b">
        <f t="shared" si="628"/>
        <v>1</v>
      </c>
      <c r="AB2688" s="374">
        <f>COUNTIFS(B:B,B2688,H:H,'סיווג התפקידים והעלויות'!$C$2)</f>
        <v>0</v>
      </c>
      <c r="AC2688" s="374">
        <f>COUNTIFS(B:B,B2688,H:H,'סיווג התפקידים והעלויות'!$D$2)</f>
        <v>0</v>
      </c>
      <c r="AD2688" s="374" t="str">
        <f>IF(OR(AND(H2688='סיווג התפקידים והעלויות'!$A$2,I2688='סיווג התפקידים והעלויות'!$A$3),'עלויות כח אדם (6)'!H2688='סיווג התפקידים והעלויות'!$C$2,'עלויות כח אדם (6)'!H2688='סיווג התפקידים והעלויות'!$D$2),IF('עלויות כח אדם (6)'!J2688&lt;75,"לא תקין","תקין"),"")</f>
        <v/>
      </c>
      <c r="AE2688" s="374" t="str">
        <f t="shared" si="629"/>
        <v/>
      </c>
      <c r="AF2688" s="532" t="str">
        <f t="shared" si="630"/>
        <v/>
      </c>
    </row>
    <row r="2689" spans="2:32" x14ac:dyDescent="0.25">
      <c r="B2689" s="695"/>
      <c r="C2689" s="197" t="str">
        <f>IF(B2689&lt;&gt;"",IFERROR(VLOOKUP(B:B,'מצבת והרשמה (2)'!$C$20:$N$520,2,0)," ")," ")</f>
        <v xml:space="preserve"> </v>
      </c>
      <c r="D2689" s="695"/>
      <c r="E2689" s="696"/>
      <c r="F2689" s="696"/>
      <c r="G2689" s="696"/>
      <c r="H2689" s="696"/>
      <c r="I2689" s="1050" t="str">
        <f t="shared" si="617"/>
        <v/>
      </c>
      <c r="J2689" s="696"/>
      <c r="K2689" s="697"/>
      <c r="L2689" s="696"/>
      <c r="M2689" s="198" t="str">
        <f t="shared" si="618"/>
        <v/>
      </c>
      <c r="N2689" s="369" t="str">
        <f t="shared" si="619"/>
        <v/>
      </c>
      <c r="O2689" s="183" t="str">
        <f t="shared" si="620"/>
        <v/>
      </c>
      <c r="P2689" s="199" t="str">
        <f t="shared" si="621"/>
        <v/>
      </c>
      <c r="Q2689" s="199" t="str">
        <f>IF(B2689="","",IFERROR(IF('עלויות כח אדם (6)'!J2689&gt;=VLOOKUP(I2689,'סיווג התפקידים והעלויות'!$B$23:$C$32,2,0),"תקין","לא תקין"),""))</f>
        <v/>
      </c>
      <c r="R2689" s="199" t="str">
        <f t="shared" si="622"/>
        <v/>
      </c>
      <c r="S2689" s="199" t="str">
        <f t="shared" si="623"/>
        <v/>
      </c>
      <c r="T2689" s="199" t="str">
        <f t="shared" si="631"/>
        <v/>
      </c>
      <c r="U2689" s="199" t="str">
        <f t="shared" si="624"/>
        <v/>
      </c>
      <c r="V2689" s="989"/>
      <c r="X2689" s="374" t="str">
        <f t="shared" si="625"/>
        <v/>
      </c>
      <c r="Y2689" s="375" t="str">
        <f t="shared" si="626"/>
        <v/>
      </c>
      <c r="Z2689" s="374" t="str">
        <f t="shared" si="627"/>
        <v/>
      </c>
      <c r="AA2689" s="374" t="b">
        <f t="shared" si="628"/>
        <v>1</v>
      </c>
      <c r="AB2689" s="374">
        <f>COUNTIFS(B:B,B2689,H:H,'סיווג התפקידים והעלויות'!$C$2)</f>
        <v>0</v>
      </c>
      <c r="AC2689" s="374">
        <f>COUNTIFS(B:B,B2689,H:H,'סיווג התפקידים והעלויות'!$D$2)</f>
        <v>0</v>
      </c>
      <c r="AD2689" s="374" t="str">
        <f>IF(OR(AND(H2689='סיווג התפקידים והעלויות'!$A$2,I2689='סיווג התפקידים והעלויות'!$A$3),'עלויות כח אדם (6)'!H2689='סיווג התפקידים והעלויות'!$C$2,'עלויות כח אדם (6)'!H2689='סיווג התפקידים והעלויות'!$D$2),IF('עלויות כח אדם (6)'!J2689&lt;75,"לא תקין","תקין"),"")</f>
        <v/>
      </c>
      <c r="AE2689" s="374" t="str">
        <f t="shared" si="629"/>
        <v/>
      </c>
      <c r="AF2689" s="532" t="str">
        <f t="shared" si="630"/>
        <v/>
      </c>
    </row>
    <row r="2690" spans="2:32" x14ac:dyDescent="0.25">
      <c r="B2690" s="695"/>
      <c r="C2690" s="197" t="str">
        <f>IF(B2690&lt;&gt;"",IFERROR(VLOOKUP(B:B,'מצבת והרשמה (2)'!$C$20:$N$520,2,0)," ")," ")</f>
        <v xml:space="preserve"> </v>
      </c>
      <c r="D2690" s="695"/>
      <c r="E2690" s="696"/>
      <c r="F2690" s="696"/>
      <c r="G2690" s="696"/>
      <c r="H2690" s="696"/>
      <c r="I2690" s="1050" t="str">
        <f t="shared" si="617"/>
        <v/>
      </c>
      <c r="J2690" s="696"/>
      <c r="K2690" s="697"/>
      <c r="L2690" s="696"/>
      <c r="M2690" s="198" t="str">
        <f t="shared" si="618"/>
        <v/>
      </c>
      <c r="N2690" s="369" t="str">
        <f t="shared" si="619"/>
        <v/>
      </c>
      <c r="O2690" s="183" t="str">
        <f t="shared" si="620"/>
        <v/>
      </c>
      <c r="P2690" s="199" t="str">
        <f t="shared" si="621"/>
        <v/>
      </c>
      <c r="Q2690" s="199" t="str">
        <f>IF(B2690="","",IFERROR(IF('עלויות כח אדם (6)'!J2690&gt;=VLOOKUP(I2690,'סיווג התפקידים והעלויות'!$B$23:$C$32,2,0),"תקין","לא תקין"),""))</f>
        <v/>
      </c>
      <c r="R2690" s="199" t="str">
        <f t="shared" si="622"/>
        <v/>
      </c>
      <c r="S2690" s="199" t="str">
        <f t="shared" si="623"/>
        <v/>
      </c>
      <c r="T2690" s="199" t="str">
        <f t="shared" si="631"/>
        <v/>
      </c>
      <c r="U2690" s="199" t="str">
        <f t="shared" si="624"/>
        <v/>
      </c>
      <c r="V2690" s="989"/>
      <c r="X2690" s="374" t="str">
        <f t="shared" si="625"/>
        <v/>
      </c>
      <c r="Y2690" s="375" t="str">
        <f t="shared" si="626"/>
        <v/>
      </c>
      <c r="Z2690" s="374" t="str">
        <f t="shared" si="627"/>
        <v/>
      </c>
      <c r="AA2690" s="374" t="b">
        <f t="shared" si="628"/>
        <v>1</v>
      </c>
      <c r="AB2690" s="374">
        <f>COUNTIFS(B:B,B2690,H:H,'סיווג התפקידים והעלויות'!$C$2)</f>
        <v>0</v>
      </c>
      <c r="AC2690" s="374">
        <f>COUNTIFS(B:B,B2690,H:H,'סיווג התפקידים והעלויות'!$D$2)</f>
        <v>0</v>
      </c>
      <c r="AD2690" s="374" t="str">
        <f>IF(OR(AND(H2690='סיווג התפקידים והעלויות'!$A$2,I2690='סיווג התפקידים והעלויות'!$A$3),'עלויות כח אדם (6)'!H2690='סיווג התפקידים והעלויות'!$C$2,'עלויות כח אדם (6)'!H2690='סיווג התפקידים והעלויות'!$D$2),IF('עלויות כח אדם (6)'!J2690&lt;75,"לא תקין","תקין"),"")</f>
        <v/>
      </c>
      <c r="AE2690" s="374" t="str">
        <f t="shared" si="629"/>
        <v/>
      </c>
      <c r="AF2690" s="532" t="str">
        <f t="shared" si="630"/>
        <v/>
      </c>
    </row>
    <row r="2691" spans="2:32" x14ac:dyDescent="0.25">
      <c r="B2691" s="695"/>
      <c r="C2691" s="197" t="str">
        <f>IF(B2691&lt;&gt;"",IFERROR(VLOOKUP(B:B,'מצבת והרשמה (2)'!$C$20:$N$520,2,0)," ")," ")</f>
        <v xml:space="preserve"> </v>
      </c>
      <c r="D2691" s="695"/>
      <c r="E2691" s="696"/>
      <c r="F2691" s="696"/>
      <c r="G2691" s="696"/>
      <c r="H2691" s="696"/>
      <c r="I2691" s="1050" t="str">
        <f t="shared" si="617"/>
        <v/>
      </c>
      <c r="J2691" s="696"/>
      <c r="K2691" s="697"/>
      <c r="L2691" s="696"/>
      <c r="M2691" s="198" t="str">
        <f t="shared" si="618"/>
        <v/>
      </c>
      <c r="N2691" s="369" t="str">
        <f t="shared" si="619"/>
        <v/>
      </c>
      <c r="O2691" s="183" t="str">
        <f t="shared" si="620"/>
        <v/>
      </c>
      <c r="P2691" s="199" t="str">
        <f t="shared" si="621"/>
        <v/>
      </c>
      <c r="Q2691" s="199" t="str">
        <f>IF(B2691="","",IFERROR(IF('עלויות כח אדם (6)'!J2691&gt;=VLOOKUP(I2691,'סיווג התפקידים והעלויות'!$B$23:$C$32,2,0),"תקין","לא תקין"),""))</f>
        <v/>
      </c>
      <c r="R2691" s="199" t="str">
        <f t="shared" si="622"/>
        <v/>
      </c>
      <c r="S2691" s="199" t="str">
        <f t="shared" si="623"/>
        <v/>
      </c>
      <c r="T2691" s="199" t="str">
        <f t="shared" si="631"/>
        <v/>
      </c>
      <c r="U2691" s="199" t="str">
        <f t="shared" si="624"/>
        <v/>
      </c>
      <c r="V2691" s="989"/>
      <c r="X2691" s="374" t="str">
        <f t="shared" si="625"/>
        <v/>
      </c>
      <c r="Y2691" s="375" t="str">
        <f t="shared" si="626"/>
        <v/>
      </c>
      <c r="Z2691" s="374" t="str">
        <f t="shared" si="627"/>
        <v/>
      </c>
      <c r="AA2691" s="374" t="b">
        <f t="shared" si="628"/>
        <v>1</v>
      </c>
      <c r="AB2691" s="374">
        <f>COUNTIFS(B:B,B2691,H:H,'סיווג התפקידים והעלויות'!$C$2)</f>
        <v>0</v>
      </c>
      <c r="AC2691" s="374">
        <f>COUNTIFS(B:B,B2691,H:H,'סיווג התפקידים והעלויות'!$D$2)</f>
        <v>0</v>
      </c>
      <c r="AD2691" s="374" t="str">
        <f>IF(OR(AND(H2691='סיווג התפקידים והעלויות'!$A$2,I2691='סיווג התפקידים והעלויות'!$A$3),'עלויות כח אדם (6)'!H2691='סיווג התפקידים והעלויות'!$C$2,'עלויות כח אדם (6)'!H2691='סיווג התפקידים והעלויות'!$D$2),IF('עלויות כח אדם (6)'!J2691&lt;75,"לא תקין","תקין"),"")</f>
        <v/>
      </c>
      <c r="AE2691" s="374" t="str">
        <f t="shared" si="629"/>
        <v/>
      </c>
      <c r="AF2691" s="532" t="str">
        <f t="shared" si="630"/>
        <v/>
      </c>
    </row>
    <row r="2692" spans="2:32" x14ac:dyDescent="0.25">
      <c r="B2692" s="695"/>
      <c r="C2692" s="197" t="str">
        <f>IF(B2692&lt;&gt;"",IFERROR(VLOOKUP(B:B,'מצבת והרשמה (2)'!$C$20:$N$520,2,0)," ")," ")</f>
        <v xml:space="preserve"> </v>
      </c>
      <c r="D2692" s="695"/>
      <c r="E2692" s="696"/>
      <c r="F2692" s="696"/>
      <c r="G2692" s="696"/>
      <c r="H2692" s="696"/>
      <c r="I2692" s="1050" t="str">
        <f t="shared" si="617"/>
        <v/>
      </c>
      <c r="J2692" s="696"/>
      <c r="K2692" s="697"/>
      <c r="L2692" s="696"/>
      <c r="M2692" s="198" t="str">
        <f t="shared" si="618"/>
        <v/>
      </c>
      <c r="N2692" s="369" t="str">
        <f t="shared" si="619"/>
        <v/>
      </c>
      <c r="O2692" s="183" t="str">
        <f t="shared" si="620"/>
        <v/>
      </c>
      <c r="P2692" s="199" t="str">
        <f t="shared" si="621"/>
        <v/>
      </c>
      <c r="Q2692" s="199" t="str">
        <f>IF(B2692="","",IFERROR(IF('עלויות כח אדם (6)'!J2692&gt;=VLOOKUP(I2692,'סיווג התפקידים והעלויות'!$B$23:$C$32,2,0),"תקין","לא תקין"),""))</f>
        <v/>
      </c>
      <c r="R2692" s="199" t="str">
        <f t="shared" si="622"/>
        <v/>
      </c>
      <c r="S2692" s="199" t="str">
        <f t="shared" si="623"/>
        <v/>
      </c>
      <c r="T2692" s="199" t="str">
        <f t="shared" si="631"/>
        <v/>
      </c>
      <c r="U2692" s="199" t="str">
        <f t="shared" si="624"/>
        <v/>
      </c>
      <c r="V2692" s="989"/>
      <c r="X2692" s="374" t="str">
        <f t="shared" si="625"/>
        <v/>
      </c>
      <c r="Y2692" s="375" t="str">
        <f t="shared" si="626"/>
        <v/>
      </c>
      <c r="Z2692" s="374" t="str">
        <f t="shared" si="627"/>
        <v/>
      </c>
      <c r="AA2692" s="374" t="b">
        <f t="shared" si="628"/>
        <v>1</v>
      </c>
      <c r="AB2692" s="374">
        <f>COUNTIFS(B:B,B2692,H:H,'סיווג התפקידים והעלויות'!$C$2)</f>
        <v>0</v>
      </c>
      <c r="AC2692" s="374">
        <f>COUNTIFS(B:B,B2692,H:H,'סיווג התפקידים והעלויות'!$D$2)</f>
        <v>0</v>
      </c>
      <c r="AD2692" s="374" t="str">
        <f>IF(OR(AND(H2692='סיווג התפקידים והעלויות'!$A$2,I2692='סיווג התפקידים והעלויות'!$A$3),'עלויות כח אדם (6)'!H2692='סיווג התפקידים והעלויות'!$C$2,'עלויות כח אדם (6)'!H2692='סיווג התפקידים והעלויות'!$D$2),IF('עלויות כח אדם (6)'!J2692&lt;75,"לא תקין","תקין"),"")</f>
        <v/>
      </c>
      <c r="AE2692" s="374" t="str">
        <f t="shared" si="629"/>
        <v/>
      </c>
      <c r="AF2692" s="532" t="str">
        <f t="shared" si="630"/>
        <v/>
      </c>
    </row>
    <row r="2693" spans="2:32" x14ac:dyDescent="0.25">
      <c r="B2693" s="695"/>
      <c r="C2693" s="197" t="str">
        <f>IF(B2693&lt;&gt;"",IFERROR(VLOOKUP(B:B,'מצבת והרשמה (2)'!$C$20:$N$520,2,0)," ")," ")</f>
        <v xml:space="preserve"> </v>
      </c>
      <c r="D2693" s="695"/>
      <c r="E2693" s="696"/>
      <c r="F2693" s="696"/>
      <c r="G2693" s="696"/>
      <c r="H2693" s="696"/>
      <c r="I2693" s="1050" t="str">
        <f t="shared" si="617"/>
        <v/>
      </c>
      <c r="J2693" s="696"/>
      <c r="K2693" s="697"/>
      <c r="L2693" s="696"/>
      <c r="M2693" s="198" t="str">
        <f t="shared" si="618"/>
        <v/>
      </c>
      <c r="N2693" s="369" t="str">
        <f t="shared" si="619"/>
        <v/>
      </c>
      <c r="O2693" s="183" t="str">
        <f t="shared" si="620"/>
        <v/>
      </c>
      <c r="P2693" s="199" t="str">
        <f t="shared" si="621"/>
        <v/>
      </c>
      <c r="Q2693" s="199" t="str">
        <f>IF(B2693="","",IFERROR(IF('עלויות כח אדם (6)'!J2693&gt;=VLOOKUP(I2693,'סיווג התפקידים והעלויות'!$B$23:$C$32,2,0),"תקין","לא תקין"),""))</f>
        <v/>
      </c>
      <c r="R2693" s="199" t="str">
        <f t="shared" si="622"/>
        <v/>
      </c>
      <c r="S2693" s="199" t="str">
        <f t="shared" si="623"/>
        <v/>
      </c>
      <c r="T2693" s="199" t="str">
        <f t="shared" si="631"/>
        <v/>
      </c>
      <c r="U2693" s="199" t="str">
        <f t="shared" si="624"/>
        <v/>
      </c>
      <c r="V2693" s="989"/>
      <c r="X2693" s="374" t="str">
        <f t="shared" si="625"/>
        <v/>
      </c>
      <c r="Y2693" s="375" t="str">
        <f t="shared" si="626"/>
        <v/>
      </c>
      <c r="Z2693" s="374" t="str">
        <f t="shared" si="627"/>
        <v/>
      </c>
      <c r="AA2693" s="374" t="b">
        <f t="shared" si="628"/>
        <v>1</v>
      </c>
      <c r="AB2693" s="374">
        <f>COUNTIFS(B:B,B2693,H:H,'סיווג התפקידים והעלויות'!$C$2)</f>
        <v>0</v>
      </c>
      <c r="AC2693" s="374">
        <f>COUNTIFS(B:B,B2693,H:H,'סיווג התפקידים והעלויות'!$D$2)</f>
        <v>0</v>
      </c>
      <c r="AD2693" s="374" t="str">
        <f>IF(OR(AND(H2693='סיווג התפקידים והעלויות'!$A$2,I2693='סיווג התפקידים והעלויות'!$A$3),'עלויות כח אדם (6)'!H2693='סיווג התפקידים והעלויות'!$C$2,'עלויות כח אדם (6)'!H2693='סיווג התפקידים והעלויות'!$D$2),IF('עלויות כח אדם (6)'!J2693&lt;75,"לא תקין","תקין"),"")</f>
        <v/>
      </c>
      <c r="AE2693" s="374" t="str">
        <f t="shared" si="629"/>
        <v/>
      </c>
      <c r="AF2693" s="532" t="str">
        <f t="shared" si="630"/>
        <v/>
      </c>
    </row>
    <row r="2694" spans="2:32" x14ac:dyDescent="0.25">
      <c r="B2694" s="695"/>
      <c r="C2694" s="197" t="str">
        <f>IF(B2694&lt;&gt;"",IFERROR(VLOOKUP(B:B,'מצבת והרשמה (2)'!$C$20:$N$520,2,0)," ")," ")</f>
        <v xml:space="preserve"> </v>
      </c>
      <c r="D2694" s="695"/>
      <c r="E2694" s="696"/>
      <c r="F2694" s="696"/>
      <c r="G2694" s="696"/>
      <c r="H2694" s="696"/>
      <c r="I2694" s="1050" t="str">
        <f t="shared" si="617"/>
        <v/>
      </c>
      <c r="J2694" s="696"/>
      <c r="K2694" s="697"/>
      <c r="L2694" s="696"/>
      <c r="M2694" s="198" t="str">
        <f t="shared" si="618"/>
        <v/>
      </c>
      <c r="N2694" s="369" t="str">
        <f t="shared" si="619"/>
        <v/>
      </c>
      <c r="O2694" s="183" t="str">
        <f t="shared" si="620"/>
        <v/>
      </c>
      <c r="P2694" s="199" t="str">
        <f t="shared" si="621"/>
        <v/>
      </c>
      <c r="Q2694" s="199" t="str">
        <f>IF(B2694="","",IFERROR(IF('עלויות כח אדם (6)'!J2694&gt;=VLOOKUP(I2694,'סיווג התפקידים והעלויות'!$B$23:$C$32,2,0),"תקין","לא תקין"),""))</f>
        <v/>
      </c>
      <c r="R2694" s="199" t="str">
        <f t="shared" si="622"/>
        <v/>
      </c>
      <c r="S2694" s="199" t="str">
        <f t="shared" si="623"/>
        <v/>
      </c>
      <c r="T2694" s="199" t="str">
        <f t="shared" si="631"/>
        <v/>
      </c>
      <c r="U2694" s="199" t="str">
        <f t="shared" si="624"/>
        <v/>
      </c>
      <c r="V2694" s="989"/>
      <c r="X2694" s="374" t="str">
        <f t="shared" si="625"/>
        <v/>
      </c>
      <c r="Y2694" s="375" t="str">
        <f t="shared" si="626"/>
        <v/>
      </c>
      <c r="Z2694" s="374" t="str">
        <f t="shared" si="627"/>
        <v/>
      </c>
      <c r="AA2694" s="374" t="b">
        <f t="shared" si="628"/>
        <v>1</v>
      </c>
      <c r="AB2694" s="374">
        <f>COUNTIFS(B:B,B2694,H:H,'סיווג התפקידים והעלויות'!$C$2)</f>
        <v>0</v>
      </c>
      <c r="AC2694" s="374">
        <f>COUNTIFS(B:B,B2694,H:H,'סיווג התפקידים והעלויות'!$D$2)</f>
        <v>0</v>
      </c>
      <c r="AD2694" s="374" t="str">
        <f>IF(OR(AND(H2694='סיווג התפקידים והעלויות'!$A$2,I2694='סיווג התפקידים והעלויות'!$A$3),'עלויות כח אדם (6)'!H2694='סיווג התפקידים והעלויות'!$C$2,'עלויות כח אדם (6)'!H2694='סיווג התפקידים והעלויות'!$D$2),IF('עלויות כח אדם (6)'!J2694&lt;75,"לא תקין","תקין"),"")</f>
        <v/>
      </c>
      <c r="AE2694" s="374" t="str">
        <f t="shared" si="629"/>
        <v/>
      </c>
      <c r="AF2694" s="532" t="str">
        <f t="shared" si="630"/>
        <v/>
      </c>
    </row>
    <row r="2695" spans="2:32" x14ac:dyDescent="0.25">
      <c r="B2695" s="695"/>
      <c r="C2695" s="197" t="str">
        <f>IF(B2695&lt;&gt;"",IFERROR(VLOOKUP(B:B,'מצבת והרשמה (2)'!$C$20:$N$520,2,0)," ")," ")</f>
        <v xml:space="preserve"> </v>
      </c>
      <c r="D2695" s="695"/>
      <c r="E2695" s="696"/>
      <c r="F2695" s="696"/>
      <c r="G2695" s="696"/>
      <c r="H2695" s="696"/>
      <c r="I2695" s="1050" t="str">
        <f t="shared" si="617"/>
        <v/>
      </c>
      <c r="J2695" s="696"/>
      <c r="K2695" s="697"/>
      <c r="L2695" s="696"/>
      <c r="M2695" s="198" t="str">
        <f t="shared" si="618"/>
        <v/>
      </c>
      <c r="N2695" s="369" t="str">
        <f t="shared" si="619"/>
        <v/>
      </c>
      <c r="O2695" s="183" t="str">
        <f t="shared" si="620"/>
        <v/>
      </c>
      <c r="P2695" s="199" t="str">
        <f t="shared" si="621"/>
        <v/>
      </c>
      <c r="Q2695" s="199" t="str">
        <f>IF(B2695="","",IFERROR(IF('עלויות כח אדם (6)'!J2695&gt;=VLOOKUP(I2695,'סיווג התפקידים והעלויות'!$B$23:$C$32,2,0),"תקין","לא תקין"),""))</f>
        <v/>
      </c>
      <c r="R2695" s="199" t="str">
        <f t="shared" si="622"/>
        <v/>
      </c>
      <c r="S2695" s="199" t="str">
        <f t="shared" si="623"/>
        <v/>
      </c>
      <c r="T2695" s="199" t="str">
        <f t="shared" si="631"/>
        <v/>
      </c>
      <c r="U2695" s="199" t="str">
        <f t="shared" si="624"/>
        <v/>
      </c>
      <c r="V2695" s="989"/>
      <c r="X2695" s="374" t="str">
        <f t="shared" si="625"/>
        <v/>
      </c>
      <c r="Y2695" s="375" t="str">
        <f t="shared" si="626"/>
        <v/>
      </c>
      <c r="Z2695" s="374" t="str">
        <f t="shared" si="627"/>
        <v/>
      </c>
      <c r="AA2695" s="374" t="b">
        <f t="shared" si="628"/>
        <v>1</v>
      </c>
      <c r="AB2695" s="374">
        <f>COUNTIFS(B:B,B2695,H:H,'סיווג התפקידים והעלויות'!$C$2)</f>
        <v>0</v>
      </c>
      <c r="AC2695" s="374">
        <f>COUNTIFS(B:B,B2695,H:H,'סיווג התפקידים והעלויות'!$D$2)</f>
        <v>0</v>
      </c>
      <c r="AD2695" s="374" t="str">
        <f>IF(OR(AND(H2695='סיווג התפקידים והעלויות'!$A$2,I2695='סיווג התפקידים והעלויות'!$A$3),'עלויות כח אדם (6)'!H2695='סיווג התפקידים והעלויות'!$C$2,'עלויות כח אדם (6)'!H2695='סיווג התפקידים והעלויות'!$D$2),IF('עלויות כח אדם (6)'!J2695&lt;75,"לא תקין","תקין"),"")</f>
        <v/>
      </c>
      <c r="AE2695" s="374" t="str">
        <f t="shared" si="629"/>
        <v/>
      </c>
      <c r="AF2695" s="532" t="str">
        <f t="shared" si="630"/>
        <v/>
      </c>
    </row>
    <row r="2696" spans="2:32" x14ac:dyDescent="0.25">
      <c r="B2696" s="695"/>
      <c r="C2696" s="197" t="str">
        <f>IF(B2696&lt;&gt;"",IFERROR(VLOOKUP(B:B,'מצבת והרשמה (2)'!$C$20:$N$520,2,0)," ")," ")</f>
        <v xml:space="preserve"> </v>
      </c>
      <c r="D2696" s="695"/>
      <c r="E2696" s="696"/>
      <c r="F2696" s="696"/>
      <c r="G2696" s="696"/>
      <c r="H2696" s="696"/>
      <c r="I2696" s="1050" t="str">
        <f t="shared" si="617"/>
        <v/>
      </c>
      <c r="J2696" s="696"/>
      <c r="K2696" s="697"/>
      <c r="L2696" s="696"/>
      <c r="M2696" s="198" t="str">
        <f t="shared" si="618"/>
        <v/>
      </c>
      <c r="N2696" s="369" t="str">
        <f t="shared" si="619"/>
        <v/>
      </c>
      <c r="O2696" s="183" t="str">
        <f t="shared" si="620"/>
        <v/>
      </c>
      <c r="P2696" s="199" t="str">
        <f t="shared" si="621"/>
        <v/>
      </c>
      <c r="Q2696" s="199" t="str">
        <f>IF(B2696="","",IFERROR(IF('עלויות כח אדם (6)'!J2696&gt;=VLOOKUP(I2696,'סיווג התפקידים והעלויות'!$B$23:$C$32,2,0),"תקין","לא תקין"),""))</f>
        <v/>
      </c>
      <c r="R2696" s="199" t="str">
        <f t="shared" si="622"/>
        <v/>
      </c>
      <c r="S2696" s="199" t="str">
        <f t="shared" si="623"/>
        <v/>
      </c>
      <c r="T2696" s="199" t="str">
        <f t="shared" si="631"/>
        <v/>
      </c>
      <c r="U2696" s="199" t="str">
        <f t="shared" si="624"/>
        <v/>
      </c>
      <c r="V2696" s="989"/>
      <c r="X2696" s="374" t="str">
        <f t="shared" si="625"/>
        <v/>
      </c>
      <c r="Y2696" s="375" t="str">
        <f t="shared" si="626"/>
        <v/>
      </c>
      <c r="Z2696" s="374" t="str">
        <f t="shared" si="627"/>
        <v/>
      </c>
      <c r="AA2696" s="374" t="b">
        <f t="shared" si="628"/>
        <v>1</v>
      </c>
      <c r="AB2696" s="374">
        <f>COUNTIFS(B:B,B2696,H:H,'סיווג התפקידים והעלויות'!$C$2)</f>
        <v>0</v>
      </c>
      <c r="AC2696" s="374">
        <f>COUNTIFS(B:B,B2696,H:H,'סיווג התפקידים והעלויות'!$D$2)</f>
        <v>0</v>
      </c>
      <c r="AD2696" s="374" t="str">
        <f>IF(OR(AND(H2696='סיווג התפקידים והעלויות'!$A$2,I2696='סיווג התפקידים והעלויות'!$A$3),'עלויות כח אדם (6)'!H2696='סיווג התפקידים והעלויות'!$C$2,'עלויות כח אדם (6)'!H2696='סיווג התפקידים והעלויות'!$D$2),IF('עלויות כח אדם (6)'!J2696&lt;75,"לא תקין","תקין"),"")</f>
        <v/>
      </c>
      <c r="AE2696" s="374" t="str">
        <f t="shared" si="629"/>
        <v/>
      </c>
      <c r="AF2696" s="532" t="str">
        <f t="shared" si="630"/>
        <v/>
      </c>
    </row>
    <row r="2697" spans="2:32" x14ac:dyDescent="0.25">
      <c r="B2697" s="695"/>
      <c r="C2697" s="197" t="str">
        <f>IF(B2697&lt;&gt;"",IFERROR(VLOOKUP(B:B,'מצבת והרשמה (2)'!$C$20:$N$520,2,0)," ")," ")</f>
        <v xml:space="preserve"> </v>
      </c>
      <c r="D2697" s="695"/>
      <c r="E2697" s="696"/>
      <c r="F2697" s="696"/>
      <c r="G2697" s="696"/>
      <c r="H2697" s="696"/>
      <c r="I2697" s="1050" t="str">
        <f t="shared" si="617"/>
        <v/>
      </c>
      <c r="J2697" s="696"/>
      <c r="K2697" s="697"/>
      <c r="L2697" s="696"/>
      <c r="M2697" s="198" t="str">
        <f t="shared" si="618"/>
        <v/>
      </c>
      <c r="N2697" s="369" t="str">
        <f t="shared" si="619"/>
        <v/>
      </c>
      <c r="O2697" s="183" t="str">
        <f t="shared" si="620"/>
        <v/>
      </c>
      <c r="P2697" s="199" t="str">
        <f t="shared" si="621"/>
        <v/>
      </c>
      <c r="Q2697" s="199" t="str">
        <f>IF(B2697="","",IFERROR(IF('עלויות כח אדם (6)'!J2697&gt;=VLOOKUP(I2697,'סיווג התפקידים והעלויות'!$B$23:$C$32,2,0),"תקין","לא תקין"),""))</f>
        <v/>
      </c>
      <c r="R2697" s="199" t="str">
        <f t="shared" si="622"/>
        <v/>
      </c>
      <c r="S2697" s="199" t="str">
        <f t="shared" si="623"/>
        <v/>
      </c>
      <c r="T2697" s="199" t="str">
        <f t="shared" si="631"/>
        <v/>
      </c>
      <c r="U2697" s="199" t="str">
        <f t="shared" si="624"/>
        <v/>
      </c>
      <c r="V2697" s="989"/>
      <c r="X2697" s="374" t="str">
        <f t="shared" si="625"/>
        <v/>
      </c>
      <c r="Y2697" s="375" t="str">
        <f t="shared" si="626"/>
        <v/>
      </c>
      <c r="Z2697" s="374" t="str">
        <f t="shared" si="627"/>
        <v/>
      </c>
      <c r="AA2697" s="374" t="b">
        <f t="shared" si="628"/>
        <v>1</v>
      </c>
      <c r="AB2697" s="374">
        <f>COUNTIFS(B:B,B2697,H:H,'סיווג התפקידים והעלויות'!$C$2)</f>
        <v>0</v>
      </c>
      <c r="AC2697" s="374">
        <f>COUNTIFS(B:B,B2697,H:H,'סיווג התפקידים והעלויות'!$D$2)</f>
        <v>0</v>
      </c>
      <c r="AD2697" s="374" t="str">
        <f>IF(OR(AND(H2697='סיווג התפקידים והעלויות'!$A$2,I2697='סיווג התפקידים והעלויות'!$A$3),'עלויות כח אדם (6)'!H2697='סיווג התפקידים והעלויות'!$C$2,'עלויות כח אדם (6)'!H2697='סיווג התפקידים והעלויות'!$D$2),IF('עלויות כח אדם (6)'!J2697&lt;75,"לא תקין","תקין"),"")</f>
        <v/>
      </c>
      <c r="AE2697" s="374" t="str">
        <f t="shared" si="629"/>
        <v/>
      </c>
      <c r="AF2697" s="532" t="str">
        <f t="shared" si="630"/>
        <v/>
      </c>
    </row>
    <row r="2698" spans="2:32" x14ac:dyDescent="0.25">
      <c r="B2698" s="695"/>
      <c r="C2698" s="197" t="str">
        <f>IF(B2698&lt;&gt;"",IFERROR(VLOOKUP(B:B,'מצבת והרשמה (2)'!$C$20:$N$520,2,0)," ")," ")</f>
        <v xml:space="preserve"> </v>
      </c>
      <c r="D2698" s="695"/>
      <c r="E2698" s="696"/>
      <c r="F2698" s="696"/>
      <c r="G2698" s="696"/>
      <c r="H2698" s="696"/>
      <c r="I2698" s="1050" t="str">
        <f t="shared" si="617"/>
        <v/>
      </c>
      <c r="J2698" s="696"/>
      <c r="K2698" s="697"/>
      <c r="L2698" s="696"/>
      <c r="M2698" s="198" t="str">
        <f t="shared" si="618"/>
        <v/>
      </c>
      <c r="N2698" s="369" t="str">
        <f t="shared" si="619"/>
        <v/>
      </c>
      <c r="O2698" s="183" t="str">
        <f t="shared" si="620"/>
        <v/>
      </c>
      <c r="P2698" s="199" t="str">
        <f t="shared" si="621"/>
        <v/>
      </c>
      <c r="Q2698" s="199" t="str">
        <f>IF(B2698="","",IFERROR(IF('עלויות כח אדם (6)'!J2698&gt;=VLOOKUP(I2698,'סיווג התפקידים והעלויות'!$B$23:$C$32,2,0),"תקין","לא תקין"),""))</f>
        <v/>
      </c>
      <c r="R2698" s="199" t="str">
        <f t="shared" si="622"/>
        <v/>
      </c>
      <c r="S2698" s="199" t="str">
        <f t="shared" si="623"/>
        <v/>
      </c>
      <c r="T2698" s="199" t="str">
        <f t="shared" si="631"/>
        <v/>
      </c>
      <c r="U2698" s="199" t="str">
        <f t="shared" si="624"/>
        <v/>
      </c>
      <c r="V2698" s="989"/>
      <c r="X2698" s="374" t="str">
        <f t="shared" si="625"/>
        <v/>
      </c>
      <c r="Y2698" s="375" t="str">
        <f t="shared" si="626"/>
        <v/>
      </c>
      <c r="Z2698" s="374" t="str">
        <f t="shared" si="627"/>
        <v/>
      </c>
      <c r="AA2698" s="374" t="b">
        <f t="shared" si="628"/>
        <v>1</v>
      </c>
      <c r="AB2698" s="374">
        <f>COUNTIFS(B:B,B2698,H:H,'סיווג התפקידים והעלויות'!$C$2)</f>
        <v>0</v>
      </c>
      <c r="AC2698" s="374">
        <f>COUNTIFS(B:B,B2698,H:H,'סיווג התפקידים והעלויות'!$D$2)</f>
        <v>0</v>
      </c>
      <c r="AD2698" s="374" t="str">
        <f>IF(OR(AND(H2698='סיווג התפקידים והעלויות'!$A$2,I2698='סיווג התפקידים והעלויות'!$A$3),'עלויות כח אדם (6)'!H2698='סיווג התפקידים והעלויות'!$C$2,'עלויות כח אדם (6)'!H2698='סיווג התפקידים והעלויות'!$D$2),IF('עלויות כח אדם (6)'!J2698&lt;75,"לא תקין","תקין"),"")</f>
        <v/>
      </c>
      <c r="AE2698" s="374" t="str">
        <f t="shared" si="629"/>
        <v/>
      </c>
      <c r="AF2698" s="532" t="str">
        <f t="shared" si="630"/>
        <v/>
      </c>
    </row>
    <row r="2699" spans="2:32" x14ac:dyDescent="0.25">
      <c r="B2699" s="695"/>
      <c r="C2699" s="197" t="str">
        <f>IF(B2699&lt;&gt;"",IFERROR(VLOOKUP(B:B,'מצבת והרשמה (2)'!$C$20:$N$520,2,0)," ")," ")</f>
        <v xml:space="preserve"> </v>
      </c>
      <c r="D2699" s="695"/>
      <c r="E2699" s="696"/>
      <c r="F2699" s="696"/>
      <c r="G2699" s="696"/>
      <c r="H2699" s="696"/>
      <c r="I2699" s="1050" t="str">
        <f t="shared" si="617"/>
        <v/>
      </c>
      <c r="J2699" s="696"/>
      <c r="K2699" s="697"/>
      <c r="L2699" s="696"/>
      <c r="M2699" s="198" t="str">
        <f t="shared" si="618"/>
        <v/>
      </c>
      <c r="N2699" s="369" t="str">
        <f t="shared" si="619"/>
        <v/>
      </c>
      <c r="O2699" s="183" t="str">
        <f t="shared" si="620"/>
        <v/>
      </c>
      <c r="P2699" s="199" t="str">
        <f t="shared" si="621"/>
        <v/>
      </c>
      <c r="Q2699" s="199" t="str">
        <f>IF(B2699="","",IFERROR(IF('עלויות כח אדם (6)'!J2699&gt;=VLOOKUP(I2699,'סיווג התפקידים והעלויות'!$B$23:$C$32,2,0),"תקין","לא תקין"),""))</f>
        <v/>
      </c>
      <c r="R2699" s="199" t="str">
        <f t="shared" si="622"/>
        <v/>
      </c>
      <c r="S2699" s="199" t="str">
        <f t="shared" si="623"/>
        <v/>
      </c>
      <c r="T2699" s="199" t="str">
        <f t="shared" si="631"/>
        <v/>
      </c>
      <c r="U2699" s="199" t="str">
        <f t="shared" si="624"/>
        <v/>
      </c>
      <c r="V2699" s="989"/>
      <c r="X2699" s="374" t="str">
        <f t="shared" si="625"/>
        <v/>
      </c>
      <c r="Y2699" s="375" t="str">
        <f t="shared" si="626"/>
        <v/>
      </c>
      <c r="Z2699" s="374" t="str">
        <f t="shared" si="627"/>
        <v/>
      </c>
      <c r="AA2699" s="374" t="b">
        <f t="shared" si="628"/>
        <v>1</v>
      </c>
      <c r="AB2699" s="374">
        <f>COUNTIFS(B:B,B2699,H:H,'סיווג התפקידים והעלויות'!$C$2)</f>
        <v>0</v>
      </c>
      <c r="AC2699" s="374">
        <f>COUNTIFS(B:B,B2699,H:H,'סיווג התפקידים והעלויות'!$D$2)</f>
        <v>0</v>
      </c>
      <c r="AD2699" s="374" t="str">
        <f>IF(OR(AND(H2699='סיווג התפקידים והעלויות'!$A$2,I2699='סיווג התפקידים והעלויות'!$A$3),'עלויות כח אדם (6)'!H2699='סיווג התפקידים והעלויות'!$C$2,'עלויות כח אדם (6)'!H2699='סיווג התפקידים והעלויות'!$D$2),IF('עלויות כח אדם (6)'!J2699&lt;75,"לא תקין","תקין"),"")</f>
        <v/>
      </c>
      <c r="AE2699" s="374" t="str">
        <f t="shared" si="629"/>
        <v/>
      </c>
      <c r="AF2699" s="532" t="str">
        <f t="shared" si="630"/>
        <v/>
      </c>
    </row>
    <row r="2700" spans="2:32" x14ac:dyDescent="0.25">
      <c r="B2700" s="695"/>
      <c r="C2700" s="197" t="str">
        <f>IF(B2700&lt;&gt;"",IFERROR(VLOOKUP(B:B,'מצבת והרשמה (2)'!$C$20:$N$520,2,0)," ")," ")</f>
        <v xml:space="preserve"> </v>
      </c>
      <c r="D2700" s="695"/>
      <c r="E2700" s="696"/>
      <c r="F2700" s="696"/>
      <c r="G2700" s="696"/>
      <c r="H2700" s="696"/>
      <c r="I2700" s="1050" t="str">
        <f t="shared" si="617"/>
        <v/>
      </c>
      <c r="J2700" s="696"/>
      <c r="K2700" s="697"/>
      <c r="L2700" s="696"/>
      <c r="M2700" s="198" t="str">
        <f t="shared" si="618"/>
        <v/>
      </c>
      <c r="N2700" s="369" t="str">
        <f t="shared" si="619"/>
        <v/>
      </c>
      <c r="O2700" s="183" t="str">
        <f t="shared" si="620"/>
        <v/>
      </c>
      <c r="P2700" s="199" t="str">
        <f t="shared" si="621"/>
        <v/>
      </c>
      <c r="Q2700" s="199" t="str">
        <f>IF(B2700="","",IFERROR(IF('עלויות כח אדם (6)'!J2700&gt;=VLOOKUP(I2700,'סיווג התפקידים והעלויות'!$B$23:$C$32,2,0),"תקין","לא תקין"),""))</f>
        <v/>
      </c>
      <c r="R2700" s="199" t="str">
        <f t="shared" si="622"/>
        <v/>
      </c>
      <c r="S2700" s="199" t="str">
        <f t="shared" si="623"/>
        <v/>
      </c>
      <c r="T2700" s="199" t="str">
        <f t="shared" si="631"/>
        <v/>
      </c>
      <c r="U2700" s="199" t="str">
        <f t="shared" si="624"/>
        <v/>
      </c>
      <c r="V2700" s="989"/>
      <c r="X2700" s="374" t="str">
        <f t="shared" si="625"/>
        <v/>
      </c>
      <c r="Y2700" s="375" t="str">
        <f t="shared" si="626"/>
        <v/>
      </c>
      <c r="Z2700" s="374" t="str">
        <f t="shared" si="627"/>
        <v/>
      </c>
      <c r="AA2700" s="374" t="b">
        <f t="shared" si="628"/>
        <v>1</v>
      </c>
      <c r="AB2700" s="374">
        <f>COUNTIFS(B:B,B2700,H:H,'סיווג התפקידים והעלויות'!$C$2)</f>
        <v>0</v>
      </c>
      <c r="AC2700" s="374">
        <f>COUNTIFS(B:B,B2700,H:H,'סיווג התפקידים והעלויות'!$D$2)</f>
        <v>0</v>
      </c>
      <c r="AD2700" s="374" t="str">
        <f>IF(OR(AND(H2700='סיווג התפקידים והעלויות'!$A$2,I2700='סיווג התפקידים והעלויות'!$A$3),'עלויות כח אדם (6)'!H2700='סיווג התפקידים והעלויות'!$C$2,'עלויות כח אדם (6)'!H2700='סיווג התפקידים והעלויות'!$D$2),IF('עלויות כח אדם (6)'!J2700&lt;75,"לא תקין","תקין"),"")</f>
        <v/>
      </c>
      <c r="AE2700" s="374" t="str">
        <f t="shared" si="629"/>
        <v/>
      </c>
      <c r="AF2700" s="532" t="str">
        <f t="shared" si="630"/>
        <v/>
      </c>
    </row>
    <row r="2701" spans="2:32" x14ac:dyDescent="0.25">
      <c r="B2701" s="695"/>
      <c r="C2701" s="197" t="str">
        <f>IF(B2701&lt;&gt;"",IFERROR(VLOOKUP(B:B,'מצבת והרשמה (2)'!$C$20:$N$520,2,0)," ")," ")</f>
        <v xml:space="preserve"> </v>
      </c>
      <c r="D2701" s="695"/>
      <c r="E2701" s="696"/>
      <c r="F2701" s="696"/>
      <c r="G2701" s="696"/>
      <c r="H2701" s="696"/>
      <c r="I2701" s="1050" t="str">
        <f t="shared" si="617"/>
        <v/>
      </c>
      <c r="J2701" s="696"/>
      <c r="K2701" s="697"/>
      <c r="L2701" s="696"/>
      <c r="M2701" s="198" t="str">
        <f t="shared" si="618"/>
        <v/>
      </c>
      <c r="N2701" s="369" t="str">
        <f t="shared" si="619"/>
        <v/>
      </c>
      <c r="O2701" s="183" t="str">
        <f t="shared" si="620"/>
        <v/>
      </c>
      <c r="P2701" s="199" t="str">
        <f t="shared" si="621"/>
        <v/>
      </c>
      <c r="Q2701" s="199" t="str">
        <f>IF(B2701="","",IFERROR(IF('עלויות כח אדם (6)'!J2701&gt;=VLOOKUP(I2701,'סיווג התפקידים והעלויות'!$B$23:$C$32,2,0),"תקין","לא תקין"),""))</f>
        <v/>
      </c>
      <c r="R2701" s="199" t="str">
        <f t="shared" si="622"/>
        <v/>
      </c>
      <c r="S2701" s="199" t="str">
        <f t="shared" si="623"/>
        <v/>
      </c>
      <c r="T2701" s="199" t="str">
        <f t="shared" si="631"/>
        <v/>
      </c>
      <c r="U2701" s="199" t="str">
        <f t="shared" si="624"/>
        <v/>
      </c>
      <c r="V2701" s="989"/>
      <c r="X2701" s="374" t="str">
        <f t="shared" si="625"/>
        <v/>
      </c>
      <c r="Y2701" s="375" t="str">
        <f t="shared" si="626"/>
        <v/>
      </c>
      <c r="Z2701" s="374" t="str">
        <f t="shared" si="627"/>
        <v/>
      </c>
      <c r="AA2701" s="374" t="b">
        <f t="shared" si="628"/>
        <v>1</v>
      </c>
      <c r="AB2701" s="374">
        <f>COUNTIFS(B:B,B2701,H:H,'סיווג התפקידים והעלויות'!$C$2)</f>
        <v>0</v>
      </c>
      <c r="AC2701" s="374">
        <f>COUNTIFS(B:B,B2701,H:H,'סיווג התפקידים והעלויות'!$D$2)</f>
        <v>0</v>
      </c>
      <c r="AD2701" s="374" t="str">
        <f>IF(OR(AND(H2701='סיווג התפקידים והעלויות'!$A$2,I2701='סיווג התפקידים והעלויות'!$A$3),'עלויות כח אדם (6)'!H2701='סיווג התפקידים והעלויות'!$C$2,'עלויות כח אדם (6)'!H2701='סיווג התפקידים והעלויות'!$D$2),IF('עלויות כח אדם (6)'!J2701&lt;75,"לא תקין","תקין"),"")</f>
        <v/>
      </c>
      <c r="AE2701" s="374" t="str">
        <f t="shared" si="629"/>
        <v/>
      </c>
      <c r="AF2701" s="532" t="str">
        <f t="shared" si="630"/>
        <v/>
      </c>
    </row>
    <row r="2702" spans="2:32" x14ac:dyDescent="0.25">
      <c r="B2702" s="695"/>
      <c r="C2702" s="197" t="str">
        <f>IF(B2702&lt;&gt;"",IFERROR(VLOOKUP(B:B,'מצבת והרשמה (2)'!$C$20:$N$520,2,0)," ")," ")</f>
        <v xml:space="preserve"> </v>
      </c>
      <c r="D2702" s="695"/>
      <c r="E2702" s="696"/>
      <c r="F2702" s="696"/>
      <c r="G2702" s="696"/>
      <c r="H2702" s="696"/>
      <c r="I2702" s="1050" t="str">
        <f t="shared" si="617"/>
        <v/>
      </c>
      <c r="J2702" s="696"/>
      <c r="K2702" s="697"/>
      <c r="L2702" s="696"/>
      <c r="M2702" s="198" t="str">
        <f t="shared" si="618"/>
        <v/>
      </c>
      <c r="N2702" s="369" t="str">
        <f t="shared" si="619"/>
        <v/>
      </c>
      <c r="O2702" s="183" t="str">
        <f t="shared" si="620"/>
        <v/>
      </c>
      <c r="P2702" s="199" t="str">
        <f t="shared" si="621"/>
        <v/>
      </c>
      <c r="Q2702" s="199" t="str">
        <f>IF(B2702="","",IFERROR(IF('עלויות כח אדם (6)'!J2702&gt;=VLOOKUP(I2702,'סיווג התפקידים והעלויות'!$B$23:$C$32,2,0),"תקין","לא תקין"),""))</f>
        <v/>
      </c>
      <c r="R2702" s="199" t="str">
        <f t="shared" si="622"/>
        <v/>
      </c>
      <c r="S2702" s="199" t="str">
        <f t="shared" si="623"/>
        <v/>
      </c>
      <c r="T2702" s="199" t="str">
        <f t="shared" si="631"/>
        <v/>
      </c>
      <c r="U2702" s="199" t="str">
        <f t="shared" si="624"/>
        <v/>
      </c>
      <c r="V2702" s="989"/>
      <c r="X2702" s="374" t="str">
        <f t="shared" si="625"/>
        <v/>
      </c>
      <c r="Y2702" s="375" t="str">
        <f t="shared" si="626"/>
        <v/>
      </c>
      <c r="Z2702" s="374" t="str">
        <f t="shared" si="627"/>
        <v/>
      </c>
      <c r="AA2702" s="374" t="b">
        <f t="shared" si="628"/>
        <v>1</v>
      </c>
      <c r="AB2702" s="374">
        <f>COUNTIFS(B:B,B2702,H:H,'סיווג התפקידים והעלויות'!$C$2)</f>
        <v>0</v>
      </c>
      <c r="AC2702" s="374">
        <f>COUNTIFS(B:B,B2702,H:H,'סיווג התפקידים והעלויות'!$D$2)</f>
        <v>0</v>
      </c>
      <c r="AD2702" s="374" t="str">
        <f>IF(OR(AND(H2702='סיווג התפקידים והעלויות'!$A$2,I2702='סיווג התפקידים והעלויות'!$A$3),'עלויות כח אדם (6)'!H2702='סיווג התפקידים והעלויות'!$C$2,'עלויות כח אדם (6)'!H2702='סיווג התפקידים והעלויות'!$D$2),IF('עלויות כח אדם (6)'!J2702&lt;75,"לא תקין","תקין"),"")</f>
        <v/>
      </c>
      <c r="AE2702" s="374" t="str">
        <f t="shared" si="629"/>
        <v/>
      </c>
      <c r="AF2702" s="532" t="str">
        <f t="shared" si="630"/>
        <v/>
      </c>
    </row>
    <row r="2703" spans="2:32" x14ac:dyDescent="0.25">
      <c r="B2703" s="695"/>
      <c r="C2703" s="197" t="str">
        <f>IF(B2703&lt;&gt;"",IFERROR(VLOOKUP(B:B,'מצבת והרשמה (2)'!$C$20:$N$520,2,0)," ")," ")</f>
        <v xml:space="preserve"> </v>
      </c>
      <c r="D2703" s="695"/>
      <c r="E2703" s="696"/>
      <c r="F2703" s="696"/>
      <c r="G2703" s="696"/>
      <c r="H2703" s="696"/>
      <c r="I2703" s="1050" t="str">
        <f t="shared" ref="I2703:I2766" si="632">SUBSTITUTE(IFERROR(IF(H2703="מדצ","מדצ/ית",IF(H2703="סגנית רכזת מעל 150","סגנ/ית רכז/ת&gt;150",IF(H2703="רכזת תכנית בבית הספר","רכז/ת תכנית בבית הספר"))),""),"FALSE","")</f>
        <v/>
      </c>
      <c r="J2703" s="696"/>
      <c r="K2703" s="697"/>
      <c r="L2703" s="696"/>
      <c r="M2703" s="198" t="str">
        <f t="shared" ref="M2703:M2766" si="633">IF(AND(L2703&gt;0,K2703&gt;0),K2703*L2703,"")</f>
        <v/>
      </c>
      <c r="N2703" s="369" t="str">
        <f t="shared" ref="N2703:N2766" si="634">TEXT(LEFT(H2703,2),0)</f>
        <v/>
      </c>
      <c r="O2703" s="183" t="str">
        <f t="shared" ref="O2703:O2766" si="635">IF(ISNUMBER(M2703&gt;0),IF(ISBLANK(B2703),"יש להזין סמל מוסד בעמודה B",""),"")</f>
        <v/>
      </c>
      <c r="P2703" s="199" t="str">
        <f t="shared" ref="P2703:P2766" si="636">IF(B2703="","",IF(AA2703=FALSE,"לא תקין","תקין"))</f>
        <v/>
      </c>
      <c r="Q2703" s="199" t="str">
        <f>IF(B2703="","",IFERROR(IF('עלויות כח אדם (6)'!J2703&gt;=VLOOKUP(I2703,'סיווג התפקידים והעלויות'!$B$23:$C$32,2,0),"תקין","לא תקין"),""))</f>
        <v/>
      </c>
      <c r="R2703" s="199" t="str">
        <f t="shared" ref="R2703:R2766" si="637">IF(B2703="","",IF(OR(Y2703&lt;100%,Y2703&gt;140%),"לא תקין","תקין"))</f>
        <v/>
      </c>
      <c r="S2703" s="199" t="str">
        <f t="shared" ref="S2703:S2766" si="638">IF(B2703="","",IFERROR(IF(J2703&gt;120,"לא תקין","תקין"),""))</f>
        <v/>
      </c>
      <c r="T2703" s="199" t="str">
        <f t="shared" si="631"/>
        <v/>
      </c>
      <c r="U2703" s="199" t="str">
        <f t="shared" ref="U2703:U2766" si="639">IF(B2703="","",IF(Z2703&gt;1,IF(SUMIF(D:D,D2703,L:L)&gt;90,"לא תקין","תקין"),"תקין"))</f>
        <v/>
      </c>
      <c r="V2703" s="989"/>
      <c r="X2703" s="374" t="str">
        <f t="shared" ref="X2703:X2766" si="640">IF(B2703="","",IF(OR(R2703="לא תקין",S2703="לא תקין",T2703="לא תקין",,U2703="לא תקין"),"לא תקין","תקין"))</f>
        <v/>
      </c>
      <c r="Y2703" s="375" t="str">
        <f t="shared" ref="Y2703:Y2766" si="641">IFERROR(IF(B2703="","",K2703/J2703),"")</f>
        <v/>
      </c>
      <c r="Z2703" s="374" t="str">
        <f t="shared" ref="Z2703:Z2766" si="642">IF(B2703="","",COUNTIF(D:D,D2703))</f>
        <v/>
      </c>
      <c r="AA2703" s="374" t="b">
        <f t="shared" ref="AA2703:AA2766" si="643">MOD(MID(REPT(0,9-LEN(D2703))&amp;D2703,1,1)+MID("0246813579",MID(REPT(0,9-LEN(D2703))&amp;D2703,2,1)+1,1)+MID(REPT(0,9-LEN(D2703))&amp;D2703,3,1)+MID("0246813579",MID(REPT(0,9-LEN(D2703))&amp;D2703,4,1)+1,1)+MID(REPT(0,9-LEN(D2703))&amp;D2703,5,1)+MID("0246813579",MID(REPT(0,9-LEN(D2703))&amp;D2703,6,1)+1,1)+MID(REPT(0,9-LEN(D2703))&amp;D2703,7,1)+MID("0246813579",MID(REPT(0,9-LEN(D2703))&amp;D2703,8,1)+1,1)+MID(REPT(0,9-LEN(D2703))&amp;D2703,9,1),10)=0</f>
        <v>1</v>
      </c>
      <c r="AB2703" s="374">
        <f>COUNTIFS(B:B,B2703,H:H,'סיווג התפקידים והעלויות'!$C$2)</f>
        <v>0</v>
      </c>
      <c r="AC2703" s="374">
        <f>COUNTIFS(B:B,B2703,H:H,'סיווג התפקידים והעלויות'!$D$2)</f>
        <v>0</v>
      </c>
      <c r="AD2703" s="374" t="str">
        <f>IF(OR(AND(H2703='סיווג התפקידים והעלויות'!$A$2,I2703='סיווג התפקידים והעלויות'!$A$3),'עלויות כח אדם (6)'!H2703='סיווג התפקידים והעלויות'!$C$2,'עלויות כח אדם (6)'!H2703='סיווג התפקידים והעלויות'!$D$2),IF('עלויות כח אדם (6)'!J2703&lt;75,"לא תקין","תקין"),"")</f>
        <v/>
      </c>
      <c r="AE2703" s="374" t="str">
        <f t="shared" ref="AE2703:AE2766" si="644">IF(B2703&lt;&gt;"",B2703&amp;H2703,"")</f>
        <v/>
      </c>
      <c r="AF2703" s="532" t="str">
        <f t="shared" ref="AF2703:AF2766" si="645">M2703</f>
        <v/>
      </c>
    </row>
    <row r="2704" spans="2:32" x14ac:dyDescent="0.25">
      <c r="B2704" s="695"/>
      <c r="C2704" s="197" t="str">
        <f>IF(B2704&lt;&gt;"",IFERROR(VLOOKUP(B:B,'מצבת והרשמה (2)'!$C$20:$N$520,2,0)," ")," ")</f>
        <v xml:space="preserve"> </v>
      </c>
      <c r="D2704" s="695"/>
      <c r="E2704" s="696"/>
      <c r="F2704" s="696"/>
      <c r="G2704" s="696"/>
      <c r="H2704" s="696"/>
      <c r="I2704" s="1050" t="str">
        <f t="shared" si="632"/>
        <v/>
      </c>
      <c r="J2704" s="696"/>
      <c r="K2704" s="697"/>
      <c r="L2704" s="696"/>
      <c r="M2704" s="198" t="str">
        <f t="shared" si="633"/>
        <v/>
      </c>
      <c r="N2704" s="369" t="str">
        <f t="shared" si="634"/>
        <v/>
      </c>
      <c r="O2704" s="183" t="str">
        <f t="shared" si="635"/>
        <v/>
      </c>
      <c r="P2704" s="199" t="str">
        <f t="shared" si="636"/>
        <v/>
      </c>
      <c r="Q2704" s="199" t="str">
        <f>IF(B2704="","",IFERROR(IF('עלויות כח אדם (6)'!J2704&gt;=VLOOKUP(I2704,'סיווג התפקידים והעלויות'!$B$23:$C$32,2,0),"תקין","לא תקין"),""))</f>
        <v/>
      </c>
      <c r="R2704" s="199" t="str">
        <f t="shared" si="637"/>
        <v/>
      </c>
      <c r="S2704" s="199" t="str">
        <f t="shared" si="638"/>
        <v/>
      </c>
      <c r="T2704" s="199" t="str">
        <f t="shared" ref="T2704:T2767" si="646">IF(B2704="","",IF(H2704="","יש להזין איש צוות",IF(OR(H2704="מורה",H2704="גננת",H2704="רכז גן",H2704="רכזת גן",H2704="סייעת",H2704="מדצית",H2704="מדצ",H2704="מדריך",H2704="מדריכה",H2704="תוספת כח אדם"),IF(L2704&lt;=90,"תקין","לא תקין"),IF(OR(H2704="רכז בית ספר",H2704="רכזת תכנית בבית הספר",H2704="רכזת בית ספר"),IF(L2704&lt;=137,"תקין","לא תקין"),IF(OR(H2704="סגנית רכזת מעל 150",H2704="סגן רכז"),IF(L2704&lt;=93,"תקין","לא תקין"),"לא תקין")))))</f>
        <v/>
      </c>
      <c r="U2704" s="199" t="str">
        <f t="shared" si="639"/>
        <v/>
      </c>
      <c r="V2704" s="989"/>
      <c r="X2704" s="374" t="str">
        <f t="shared" si="640"/>
        <v/>
      </c>
      <c r="Y2704" s="375" t="str">
        <f t="shared" si="641"/>
        <v/>
      </c>
      <c r="Z2704" s="374" t="str">
        <f t="shared" si="642"/>
        <v/>
      </c>
      <c r="AA2704" s="374" t="b">
        <f t="shared" si="643"/>
        <v>1</v>
      </c>
      <c r="AB2704" s="374">
        <f>COUNTIFS(B:B,B2704,H:H,'סיווג התפקידים והעלויות'!$C$2)</f>
        <v>0</v>
      </c>
      <c r="AC2704" s="374">
        <f>COUNTIFS(B:B,B2704,H:H,'סיווג התפקידים והעלויות'!$D$2)</f>
        <v>0</v>
      </c>
      <c r="AD2704" s="374" t="str">
        <f>IF(OR(AND(H2704='סיווג התפקידים והעלויות'!$A$2,I2704='סיווג התפקידים והעלויות'!$A$3),'עלויות כח אדם (6)'!H2704='סיווג התפקידים והעלויות'!$C$2,'עלויות כח אדם (6)'!H2704='סיווג התפקידים והעלויות'!$D$2),IF('עלויות כח אדם (6)'!J2704&lt;75,"לא תקין","תקין"),"")</f>
        <v/>
      </c>
      <c r="AE2704" s="374" t="str">
        <f t="shared" si="644"/>
        <v/>
      </c>
      <c r="AF2704" s="532" t="str">
        <f t="shared" si="645"/>
        <v/>
      </c>
    </row>
    <row r="2705" spans="2:32" x14ac:dyDescent="0.25">
      <c r="B2705" s="695"/>
      <c r="C2705" s="197" t="str">
        <f>IF(B2705&lt;&gt;"",IFERROR(VLOOKUP(B:B,'מצבת והרשמה (2)'!$C$20:$N$520,2,0)," ")," ")</f>
        <v xml:space="preserve"> </v>
      </c>
      <c r="D2705" s="695"/>
      <c r="E2705" s="696"/>
      <c r="F2705" s="696"/>
      <c r="G2705" s="696"/>
      <c r="H2705" s="696"/>
      <c r="I2705" s="1050" t="str">
        <f t="shared" si="632"/>
        <v/>
      </c>
      <c r="J2705" s="696"/>
      <c r="K2705" s="697"/>
      <c r="L2705" s="696"/>
      <c r="M2705" s="198" t="str">
        <f t="shared" si="633"/>
        <v/>
      </c>
      <c r="N2705" s="369" t="str">
        <f t="shared" si="634"/>
        <v/>
      </c>
      <c r="O2705" s="183" t="str">
        <f t="shared" si="635"/>
        <v/>
      </c>
      <c r="P2705" s="199" t="str">
        <f t="shared" si="636"/>
        <v/>
      </c>
      <c r="Q2705" s="199" t="str">
        <f>IF(B2705="","",IFERROR(IF('עלויות כח אדם (6)'!J2705&gt;=VLOOKUP(I2705,'סיווג התפקידים והעלויות'!$B$23:$C$32,2,0),"תקין","לא תקין"),""))</f>
        <v/>
      </c>
      <c r="R2705" s="199" t="str">
        <f t="shared" si="637"/>
        <v/>
      </c>
      <c r="S2705" s="199" t="str">
        <f t="shared" si="638"/>
        <v/>
      </c>
      <c r="T2705" s="199" t="str">
        <f t="shared" si="646"/>
        <v/>
      </c>
      <c r="U2705" s="199" t="str">
        <f t="shared" si="639"/>
        <v/>
      </c>
      <c r="V2705" s="989"/>
      <c r="X2705" s="374" t="str">
        <f t="shared" si="640"/>
        <v/>
      </c>
      <c r="Y2705" s="375" t="str">
        <f t="shared" si="641"/>
        <v/>
      </c>
      <c r="Z2705" s="374" t="str">
        <f t="shared" si="642"/>
        <v/>
      </c>
      <c r="AA2705" s="374" t="b">
        <f t="shared" si="643"/>
        <v>1</v>
      </c>
      <c r="AB2705" s="374">
        <f>COUNTIFS(B:B,B2705,H:H,'סיווג התפקידים והעלויות'!$C$2)</f>
        <v>0</v>
      </c>
      <c r="AC2705" s="374">
        <f>COUNTIFS(B:B,B2705,H:H,'סיווג התפקידים והעלויות'!$D$2)</f>
        <v>0</v>
      </c>
      <c r="AD2705" s="374" t="str">
        <f>IF(OR(AND(H2705='סיווג התפקידים והעלויות'!$A$2,I2705='סיווג התפקידים והעלויות'!$A$3),'עלויות כח אדם (6)'!H2705='סיווג התפקידים והעלויות'!$C$2,'עלויות כח אדם (6)'!H2705='סיווג התפקידים והעלויות'!$D$2),IF('עלויות כח אדם (6)'!J2705&lt;75,"לא תקין","תקין"),"")</f>
        <v/>
      </c>
      <c r="AE2705" s="374" t="str">
        <f t="shared" si="644"/>
        <v/>
      </c>
      <c r="AF2705" s="532" t="str">
        <f t="shared" si="645"/>
        <v/>
      </c>
    </row>
    <row r="2706" spans="2:32" x14ac:dyDescent="0.25">
      <c r="B2706" s="695"/>
      <c r="C2706" s="197" t="str">
        <f>IF(B2706&lt;&gt;"",IFERROR(VLOOKUP(B:B,'מצבת והרשמה (2)'!$C$20:$N$520,2,0)," ")," ")</f>
        <v xml:space="preserve"> </v>
      </c>
      <c r="D2706" s="695"/>
      <c r="E2706" s="696"/>
      <c r="F2706" s="696"/>
      <c r="G2706" s="696"/>
      <c r="H2706" s="696"/>
      <c r="I2706" s="1050" t="str">
        <f t="shared" si="632"/>
        <v/>
      </c>
      <c r="J2706" s="696"/>
      <c r="K2706" s="697"/>
      <c r="L2706" s="696"/>
      <c r="M2706" s="198" t="str">
        <f t="shared" si="633"/>
        <v/>
      </c>
      <c r="N2706" s="369" t="str">
        <f t="shared" si="634"/>
        <v/>
      </c>
      <c r="O2706" s="183" t="str">
        <f t="shared" si="635"/>
        <v/>
      </c>
      <c r="P2706" s="199" t="str">
        <f t="shared" si="636"/>
        <v/>
      </c>
      <c r="Q2706" s="199" t="str">
        <f>IF(B2706="","",IFERROR(IF('עלויות כח אדם (6)'!J2706&gt;=VLOOKUP(I2706,'סיווג התפקידים והעלויות'!$B$23:$C$32,2,0),"תקין","לא תקין"),""))</f>
        <v/>
      </c>
      <c r="R2706" s="199" t="str">
        <f t="shared" si="637"/>
        <v/>
      </c>
      <c r="S2706" s="199" t="str">
        <f t="shared" si="638"/>
        <v/>
      </c>
      <c r="T2706" s="199" t="str">
        <f t="shared" si="646"/>
        <v/>
      </c>
      <c r="U2706" s="199" t="str">
        <f t="shared" si="639"/>
        <v/>
      </c>
      <c r="V2706" s="989"/>
      <c r="X2706" s="374" t="str">
        <f t="shared" si="640"/>
        <v/>
      </c>
      <c r="Y2706" s="375" t="str">
        <f t="shared" si="641"/>
        <v/>
      </c>
      <c r="Z2706" s="374" t="str">
        <f t="shared" si="642"/>
        <v/>
      </c>
      <c r="AA2706" s="374" t="b">
        <f t="shared" si="643"/>
        <v>1</v>
      </c>
      <c r="AB2706" s="374">
        <f>COUNTIFS(B:B,B2706,H:H,'סיווג התפקידים והעלויות'!$C$2)</f>
        <v>0</v>
      </c>
      <c r="AC2706" s="374">
        <f>COUNTIFS(B:B,B2706,H:H,'סיווג התפקידים והעלויות'!$D$2)</f>
        <v>0</v>
      </c>
      <c r="AD2706" s="374" t="str">
        <f>IF(OR(AND(H2706='סיווג התפקידים והעלויות'!$A$2,I2706='סיווג התפקידים והעלויות'!$A$3),'עלויות כח אדם (6)'!H2706='סיווג התפקידים והעלויות'!$C$2,'עלויות כח אדם (6)'!H2706='סיווג התפקידים והעלויות'!$D$2),IF('עלויות כח אדם (6)'!J2706&lt;75,"לא תקין","תקין"),"")</f>
        <v/>
      </c>
      <c r="AE2706" s="374" t="str">
        <f t="shared" si="644"/>
        <v/>
      </c>
      <c r="AF2706" s="532" t="str">
        <f t="shared" si="645"/>
        <v/>
      </c>
    </row>
    <row r="2707" spans="2:32" x14ac:dyDescent="0.25">
      <c r="B2707" s="695"/>
      <c r="C2707" s="197" t="str">
        <f>IF(B2707&lt;&gt;"",IFERROR(VLOOKUP(B:B,'מצבת והרשמה (2)'!$C$20:$N$520,2,0)," ")," ")</f>
        <v xml:space="preserve"> </v>
      </c>
      <c r="D2707" s="695"/>
      <c r="E2707" s="696"/>
      <c r="F2707" s="696"/>
      <c r="G2707" s="696"/>
      <c r="H2707" s="696"/>
      <c r="I2707" s="1050" t="str">
        <f t="shared" si="632"/>
        <v/>
      </c>
      <c r="J2707" s="696"/>
      <c r="K2707" s="697"/>
      <c r="L2707" s="696"/>
      <c r="M2707" s="198" t="str">
        <f t="shared" si="633"/>
        <v/>
      </c>
      <c r="N2707" s="369" t="str">
        <f t="shared" si="634"/>
        <v/>
      </c>
      <c r="O2707" s="183" t="str">
        <f t="shared" si="635"/>
        <v/>
      </c>
      <c r="P2707" s="199" t="str">
        <f t="shared" si="636"/>
        <v/>
      </c>
      <c r="Q2707" s="199" t="str">
        <f>IF(B2707="","",IFERROR(IF('עלויות כח אדם (6)'!J2707&gt;=VLOOKUP(I2707,'סיווג התפקידים והעלויות'!$B$23:$C$32,2,0),"תקין","לא תקין"),""))</f>
        <v/>
      </c>
      <c r="R2707" s="199" t="str">
        <f t="shared" si="637"/>
        <v/>
      </c>
      <c r="S2707" s="199" t="str">
        <f t="shared" si="638"/>
        <v/>
      </c>
      <c r="T2707" s="199" t="str">
        <f t="shared" si="646"/>
        <v/>
      </c>
      <c r="U2707" s="199" t="str">
        <f t="shared" si="639"/>
        <v/>
      </c>
      <c r="V2707" s="989"/>
      <c r="X2707" s="374" t="str">
        <f t="shared" si="640"/>
        <v/>
      </c>
      <c r="Y2707" s="375" t="str">
        <f t="shared" si="641"/>
        <v/>
      </c>
      <c r="Z2707" s="374" t="str">
        <f t="shared" si="642"/>
        <v/>
      </c>
      <c r="AA2707" s="374" t="b">
        <f t="shared" si="643"/>
        <v>1</v>
      </c>
      <c r="AB2707" s="374">
        <f>COUNTIFS(B:B,B2707,H:H,'סיווג התפקידים והעלויות'!$C$2)</f>
        <v>0</v>
      </c>
      <c r="AC2707" s="374">
        <f>COUNTIFS(B:B,B2707,H:H,'סיווג התפקידים והעלויות'!$D$2)</f>
        <v>0</v>
      </c>
      <c r="AD2707" s="374" t="str">
        <f>IF(OR(AND(H2707='סיווג התפקידים והעלויות'!$A$2,I2707='סיווג התפקידים והעלויות'!$A$3),'עלויות כח אדם (6)'!H2707='סיווג התפקידים והעלויות'!$C$2,'עלויות כח אדם (6)'!H2707='סיווג התפקידים והעלויות'!$D$2),IF('עלויות כח אדם (6)'!J2707&lt;75,"לא תקין","תקין"),"")</f>
        <v/>
      </c>
      <c r="AE2707" s="374" t="str">
        <f t="shared" si="644"/>
        <v/>
      </c>
      <c r="AF2707" s="532" t="str">
        <f t="shared" si="645"/>
        <v/>
      </c>
    </row>
    <row r="2708" spans="2:32" x14ac:dyDescent="0.25">
      <c r="B2708" s="695"/>
      <c r="C2708" s="197" t="str">
        <f>IF(B2708&lt;&gt;"",IFERROR(VLOOKUP(B:B,'מצבת והרשמה (2)'!$C$20:$N$520,2,0)," ")," ")</f>
        <v xml:space="preserve"> </v>
      </c>
      <c r="D2708" s="695"/>
      <c r="E2708" s="696"/>
      <c r="F2708" s="696"/>
      <c r="G2708" s="696"/>
      <c r="H2708" s="696"/>
      <c r="I2708" s="1050" t="str">
        <f t="shared" si="632"/>
        <v/>
      </c>
      <c r="J2708" s="696"/>
      <c r="K2708" s="697"/>
      <c r="L2708" s="696"/>
      <c r="M2708" s="198" t="str">
        <f t="shared" si="633"/>
        <v/>
      </c>
      <c r="N2708" s="369" t="str">
        <f t="shared" si="634"/>
        <v/>
      </c>
      <c r="O2708" s="183" t="str">
        <f t="shared" si="635"/>
        <v/>
      </c>
      <c r="P2708" s="199" t="str">
        <f t="shared" si="636"/>
        <v/>
      </c>
      <c r="Q2708" s="199" t="str">
        <f>IF(B2708="","",IFERROR(IF('עלויות כח אדם (6)'!J2708&gt;=VLOOKUP(I2708,'סיווג התפקידים והעלויות'!$B$23:$C$32,2,0),"תקין","לא תקין"),""))</f>
        <v/>
      </c>
      <c r="R2708" s="199" t="str">
        <f t="shared" si="637"/>
        <v/>
      </c>
      <c r="S2708" s="199" t="str">
        <f t="shared" si="638"/>
        <v/>
      </c>
      <c r="T2708" s="199" t="str">
        <f t="shared" si="646"/>
        <v/>
      </c>
      <c r="U2708" s="199" t="str">
        <f t="shared" si="639"/>
        <v/>
      </c>
      <c r="V2708" s="989"/>
      <c r="X2708" s="374" t="str">
        <f t="shared" si="640"/>
        <v/>
      </c>
      <c r="Y2708" s="375" t="str">
        <f t="shared" si="641"/>
        <v/>
      </c>
      <c r="Z2708" s="374" t="str">
        <f t="shared" si="642"/>
        <v/>
      </c>
      <c r="AA2708" s="374" t="b">
        <f t="shared" si="643"/>
        <v>1</v>
      </c>
      <c r="AB2708" s="374">
        <f>COUNTIFS(B:B,B2708,H:H,'סיווג התפקידים והעלויות'!$C$2)</f>
        <v>0</v>
      </c>
      <c r="AC2708" s="374">
        <f>COUNTIFS(B:B,B2708,H:H,'סיווג התפקידים והעלויות'!$D$2)</f>
        <v>0</v>
      </c>
      <c r="AD2708" s="374" t="str">
        <f>IF(OR(AND(H2708='סיווג התפקידים והעלויות'!$A$2,I2708='סיווג התפקידים והעלויות'!$A$3),'עלויות כח אדם (6)'!H2708='סיווג התפקידים והעלויות'!$C$2,'עלויות כח אדם (6)'!H2708='סיווג התפקידים והעלויות'!$D$2),IF('עלויות כח אדם (6)'!J2708&lt;75,"לא תקין","תקין"),"")</f>
        <v/>
      </c>
      <c r="AE2708" s="374" t="str">
        <f t="shared" si="644"/>
        <v/>
      </c>
      <c r="AF2708" s="532" t="str">
        <f t="shared" si="645"/>
        <v/>
      </c>
    </row>
    <row r="2709" spans="2:32" x14ac:dyDescent="0.25">
      <c r="B2709" s="695"/>
      <c r="C2709" s="197" t="str">
        <f>IF(B2709&lt;&gt;"",IFERROR(VLOOKUP(B:B,'מצבת והרשמה (2)'!$C$20:$N$520,2,0)," ")," ")</f>
        <v xml:space="preserve"> </v>
      </c>
      <c r="D2709" s="695"/>
      <c r="E2709" s="696"/>
      <c r="F2709" s="696"/>
      <c r="G2709" s="696"/>
      <c r="H2709" s="696"/>
      <c r="I2709" s="1050" t="str">
        <f t="shared" si="632"/>
        <v/>
      </c>
      <c r="J2709" s="696"/>
      <c r="K2709" s="697"/>
      <c r="L2709" s="696"/>
      <c r="M2709" s="198" t="str">
        <f t="shared" si="633"/>
        <v/>
      </c>
      <c r="N2709" s="369" t="str">
        <f t="shared" si="634"/>
        <v/>
      </c>
      <c r="O2709" s="183" t="str">
        <f t="shared" si="635"/>
        <v/>
      </c>
      <c r="P2709" s="199" t="str">
        <f t="shared" si="636"/>
        <v/>
      </c>
      <c r="Q2709" s="199" t="str">
        <f>IF(B2709="","",IFERROR(IF('עלויות כח אדם (6)'!J2709&gt;=VLOOKUP(I2709,'סיווג התפקידים והעלויות'!$B$23:$C$32,2,0),"תקין","לא תקין"),""))</f>
        <v/>
      </c>
      <c r="R2709" s="199" t="str">
        <f t="shared" si="637"/>
        <v/>
      </c>
      <c r="S2709" s="199" t="str">
        <f t="shared" si="638"/>
        <v/>
      </c>
      <c r="T2709" s="199" t="str">
        <f t="shared" si="646"/>
        <v/>
      </c>
      <c r="U2709" s="199" t="str">
        <f t="shared" si="639"/>
        <v/>
      </c>
      <c r="V2709" s="989"/>
      <c r="X2709" s="374" t="str">
        <f t="shared" si="640"/>
        <v/>
      </c>
      <c r="Y2709" s="375" t="str">
        <f t="shared" si="641"/>
        <v/>
      </c>
      <c r="Z2709" s="374" t="str">
        <f t="shared" si="642"/>
        <v/>
      </c>
      <c r="AA2709" s="374" t="b">
        <f t="shared" si="643"/>
        <v>1</v>
      </c>
      <c r="AB2709" s="374">
        <f>COUNTIFS(B:B,B2709,H:H,'סיווג התפקידים והעלויות'!$C$2)</f>
        <v>0</v>
      </c>
      <c r="AC2709" s="374">
        <f>COUNTIFS(B:B,B2709,H:H,'סיווג התפקידים והעלויות'!$D$2)</f>
        <v>0</v>
      </c>
      <c r="AD2709" s="374" t="str">
        <f>IF(OR(AND(H2709='סיווג התפקידים והעלויות'!$A$2,I2709='סיווג התפקידים והעלויות'!$A$3),'עלויות כח אדם (6)'!H2709='סיווג התפקידים והעלויות'!$C$2,'עלויות כח אדם (6)'!H2709='סיווג התפקידים והעלויות'!$D$2),IF('עלויות כח אדם (6)'!J2709&lt;75,"לא תקין","תקין"),"")</f>
        <v/>
      </c>
      <c r="AE2709" s="374" t="str">
        <f t="shared" si="644"/>
        <v/>
      </c>
      <c r="AF2709" s="532" t="str">
        <f t="shared" si="645"/>
        <v/>
      </c>
    </row>
    <row r="2710" spans="2:32" x14ac:dyDescent="0.25">
      <c r="B2710" s="695"/>
      <c r="C2710" s="197" t="str">
        <f>IF(B2710&lt;&gt;"",IFERROR(VLOOKUP(B:B,'מצבת והרשמה (2)'!$C$20:$N$520,2,0)," ")," ")</f>
        <v xml:space="preserve"> </v>
      </c>
      <c r="D2710" s="695"/>
      <c r="E2710" s="696"/>
      <c r="F2710" s="696"/>
      <c r="G2710" s="696"/>
      <c r="H2710" s="696"/>
      <c r="I2710" s="1050" t="str">
        <f t="shared" si="632"/>
        <v/>
      </c>
      <c r="J2710" s="696"/>
      <c r="K2710" s="697"/>
      <c r="L2710" s="696"/>
      <c r="M2710" s="198" t="str">
        <f t="shared" si="633"/>
        <v/>
      </c>
      <c r="N2710" s="369" t="str">
        <f t="shared" si="634"/>
        <v/>
      </c>
      <c r="O2710" s="183" t="str">
        <f t="shared" si="635"/>
        <v/>
      </c>
      <c r="P2710" s="199" t="str">
        <f t="shared" si="636"/>
        <v/>
      </c>
      <c r="Q2710" s="199" t="str">
        <f>IF(B2710="","",IFERROR(IF('עלויות כח אדם (6)'!J2710&gt;=VLOOKUP(I2710,'סיווג התפקידים והעלויות'!$B$23:$C$32,2,0),"תקין","לא תקין"),""))</f>
        <v/>
      </c>
      <c r="R2710" s="199" t="str">
        <f t="shared" si="637"/>
        <v/>
      </c>
      <c r="S2710" s="199" t="str">
        <f t="shared" si="638"/>
        <v/>
      </c>
      <c r="T2710" s="199" t="str">
        <f t="shared" si="646"/>
        <v/>
      </c>
      <c r="U2710" s="199" t="str">
        <f t="shared" si="639"/>
        <v/>
      </c>
      <c r="V2710" s="989"/>
      <c r="X2710" s="374" t="str">
        <f t="shared" si="640"/>
        <v/>
      </c>
      <c r="Y2710" s="375" t="str">
        <f t="shared" si="641"/>
        <v/>
      </c>
      <c r="Z2710" s="374" t="str">
        <f t="shared" si="642"/>
        <v/>
      </c>
      <c r="AA2710" s="374" t="b">
        <f t="shared" si="643"/>
        <v>1</v>
      </c>
      <c r="AB2710" s="374">
        <f>COUNTIFS(B:B,B2710,H:H,'סיווג התפקידים והעלויות'!$C$2)</f>
        <v>0</v>
      </c>
      <c r="AC2710" s="374">
        <f>COUNTIFS(B:B,B2710,H:H,'סיווג התפקידים והעלויות'!$D$2)</f>
        <v>0</v>
      </c>
      <c r="AD2710" s="374" t="str">
        <f>IF(OR(AND(H2710='סיווג התפקידים והעלויות'!$A$2,I2710='סיווג התפקידים והעלויות'!$A$3),'עלויות כח אדם (6)'!H2710='סיווג התפקידים והעלויות'!$C$2,'עלויות כח אדם (6)'!H2710='סיווג התפקידים והעלויות'!$D$2),IF('עלויות כח אדם (6)'!J2710&lt;75,"לא תקין","תקין"),"")</f>
        <v/>
      </c>
      <c r="AE2710" s="374" t="str">
        <f t="shared" si="644"/>
        <v/>
      </c>
      <c r="AF2710" s="532" t="str">
        <f t="shared" si="645"/>
        <v/>
      </c>
    </row>
    <row r="2711" spans="2:32" x14ac:dyDescent="0.25">
      <c r="B2711" s="695"/>
      <c r="C2711" s="197" t="str">
        <f>IF(B2711&lt;&gt;"",IFERROR(VLOOKUP(B:B,'מצבת והרשמה (2)'!$C$20:$N$520,2,0)," ")," ")</f>
        <v xml:space="preserve"> </v>
      </c>
      <c r="D2711" s="695"/>
      <c r="E2711" s="696"/>
      <c r="F2711" s="696"/>
      <c r="G2711" s="696"/>
      <c r="H2711" s="696"/>
      <c r="I2711" s="1050" t="str">
        <f t="shared" si="632"/>
        <v/>
      </c>
      <c r="J2711" s="696"/>
      <c r="K2711" s="697"/>
      <c r="L2711" s="696"/>
      <c r="M2711" s="198" t="str">
        <f t="shared" si="633"/>
        <v/>
      </c>
      <c r="N2711" s="369" t="str">
        <f t="shared" si="634"/>
        <v/>
      </c>
      <c r="O2711" s="183" t="str">
        <f t="shared" si="635"/>
        <v/>
      </c>
      <c r="P2711" s="199" t="str">
        <f t="shared" si="636"/>
        <v/>
      </c>
      <c r="Q2711" s="199" t="str">
        <f>IF(B2711="","",IFERROR(IF('עלויות כח אדם (6)'!J2711&gt;=VLOOKUP(I2711,'סיווג התפקידים והעלויות'!$B$23:$C$32,2,0),"תקין","לא תקין"),""))</f>
        <v/>
      </c>
      <c r="R2711" s="199" t="str">
        <f t="shared" si="637"/>
        <v/>
      </c>
      <c r="S2711" s="199" t="str">
        <f t="shared" si="638"/>
        <v/>
      </c>
      <c r="T2711" s="199" t="str">
        <f t="shared" si="646"/>
        <v/>
      </c>
      <c r="U2711" s="199" t="str">
        <f t="shared" si="639"/>
        <v/>
      </c>
      <c r="V2711" s="989"/>
      <c r="X2711" s="374" t="str">
        <f t="shared" si="640"/>
        <v/>
      </c>
      <c r="Y2711" s="375" t="str">
        <f t="shared" si="641"/>
        <v/>
      </c>
      <c r="Z2711" s="374" t="str">
        <f t="shared" si="642"/>
        <v/>
      </c>
      <c r="AA2711" s="374" t="b">
        <f t="shared" si="643"/>
        <v>1</v>
      </c>
      <c r="AB2711" s="374">
        <f>COUNTIFS(B:B,B2711,H:H,'סיווג התפקידים והעלויות'!$C$2)</f>
        <v>0</v>
      </c>
      <c r="AC2711" s="374">
        <f>COUNTIFS(B:B,B2711,H:H,'סיווג התפקידים והעלויות'!$D$2)</f>
        <v>0</v>
      </c>
      <c r="AD2711" s="374" t="str">
        <f>IF(OR(AND(H2711='סיווג התפקידים והעלויות'!$A$2,I2711='סיווג התפקידים והעלויות'!$A$3),'עלויות כח אדם (6)'!H2711='סיווג התפקידים והעלויות'!$C$2,'עלויות כח אדם (6)'!H2711='סיווג התפקידים והעלויות'!$D$2),IF('עלויות כח אדם (6)'!J2711&lt;75,"לא תקין","תקין"),"")</f>
        <v/>
      </c>
      <c r="AE2711" s="374" t="str">
        <f t="shared" si="644"/>
        <v/>
      </c>
      <c r="AF2711" s="532" t="str">
        <f t="shared" si="645"/>
        <v/>
      </c>
    </row>
    <row r="2712" spans="2:32" x14ac:dyDescent="0.25">
      <c r="B2712" s="695"/>
      <c r="C2712" s="197" t="str">
        <f>IF(B2712&lt;&gt;"",IFERROR(VLOOKUP(B:B,'מצבת והרשמה (2)'!$C$20:$N$520,2,0)," ")," ")</f>
        <v xml:space="preserve"> </v>
      </c>
      <c r="D2712" s="695"/>
      <c r="E2712" s="696"/>
      <c r="F2712" s="696"/>
      <c r="G2712" s="696"/>
      <c r="H2712" s="696"/>
      <c r="I2712" s="1050" t="str">
        <f t="shared" si="632"/>
        <v/>
      </c>
      <c r="J2712" s="696"/>
      <c r="K2712" s="697"/>
      <c r="L2712" s="696"/>
      <c r="M2712" s="198" t="str">
        <f t="shared" si="633"/>
        <v/>
      </c>
      <c r="N2712" s="369" t="str">
        <f t="shared" si="634"/>
        <v/>
      </c>
      <c r="O2712" s="183" t="str">
        <f t="shared" si="635"/>
        <v/>
      </c>
      <c r="P2712" s="199" t="str">
        <f t="shared" si="636"/>
        <v/>
      </c>
      <c r="Q2712" s="199" t="str">
        <f>IF(B2712="","",IFERROR(IF('עלויות כח אדם (6)'!J2712&gt;=VLOOKUP(I2712,'סיווג התפקידים והעלויות'!$B$23:$C$32,2,0),"תקין","לא תקין"),""))</f>
        <v/>
      </c>
      <c r="R2712" s="199" t="str">
        <f t="shared" si="637"/>
        <v/>
      </c>
      <c r="S2712" s="199" t="str">
        <f t="shared" si="638"/>
        <v/>
      </c>
      <c r="T2712" s="199" t="str">
        <f t="shared" si="646"/>
        <v/>
      </c>
      <c r="U2712" s="199" t="str">
        <f t="shared" si="639"/>
        <v/>
      </c>
      <c r="V2712" s="989"/>
      <c r="X2712" s="374" t="str">
        <f t="shared" si="640"/>
        <v/>
      </c>
      <c r="Y2712" s="375" t="str">
        <f t="shared" si="641"/>
        <v/>
      </c>
      <c r="Z2712" s="374" t="str">
        <f t="shared" si="642"/>
        <v/>
      </c>
      <c r="AA2712" s="374" t="b">
        <f t="shared" si="643"/>
        <v>1</v>
      </c>
      <c r="AB2712" s="374">
        <f>COUNTIFS(B:B,B2712,H:H,'סיווג התפקידים והעלויות'!$C$2)</f>
        <v>0</v>
      </c>
      <c r="AC2712" s="374">
        <f>COUNTIFS(B:B,B2712,H:H,'סיווג התפקידים והעלויות'!$D$2)</f>
        <v>0</v>
      </c>
      <c r="AD2712" s="374" t="str">
        <f>IF(OR(AND(H2712='סיווג התפקידים והעלויות'!$A$2,I2712='סיווג התפקידים והעלויות'!$A$3),'עלויות כח אדם (6)'!H2712='סיווג התפקידים והעלויות'!$C$2,'עלויות כח אדם (6)'!H2712='סיווג התפקידים והעלויות'!$D$2),IF('עלויות כח אדם (6)'!J2712&lt;75,"לא תקין","תקין"),"")</f>
        <v/>
      </c>
      <c r="AE2712" s="374" t="str">
        <f t="shared" si="644"/>
        <v/>
      </c>
      <c r="AF2712" s="532" t="str">
        <f t="shared" si="645"/>
        <v/>
      </c>
    </row>
    <row r="2713" spans="2:32" x14ac:dyDescent="0.25">
      <c r="B2713" s="695"/>
      <c r="C2713" s="197" t="str">
        <f>IF(B2713&lt;&gt;"",IFERROR(VLOOKUP(B:B,'מצבת והרשמה (2)'!$C$20:$N$520,2,0)," ")," ")</f>
        <v xml:space="preserve"> </v>
      </c>
      <c r="D2713" s="695"/>
      <c r="E2713" s="696"/>
      <c r="F2713" s="696"/>
      <c r="G2713" s="696"/>
      <c r="H2713" s="696"/>
      <c r="I2713" s="1050" t="str">
        <f t="shared" si="632"/>
        <v/>
      </c>
      <c r="J2713" s="696"/>
      <c r="K2713" s="697"/>
      <c r="L2713" s="696"/>
      <c r="M2713" s="198" t="str">
        <f t="shared" si="633"/>
        <v/>
      </c>
      <c r="N2713" s="369" t="str">
        <f t="shared" si="634"/>
        <v/>
      </c>
      <c r="O2713" s="183" t="str">
        <f t="shared" si="635"/>
        <v/>
      </c>
      <c r="P2713" s="199" t="str">
        <f t="shared" si="636"/>
        <v/>
      </c>
      <c r="Q2713" s="199" t="str">
        <f>IF(B2713="","",IFERROR(IF('עלויות כח אדם (6)'!J2713&gt;=VLOOKUP(I2713,'סיווג התפקידים והעלויות'!$B$23:$C$32,2,0),"תקין","לא תקין"),""))</f>
        <v/>
      </c>
      <c r="R2713" s="199" t="str">
        <f t="shared" si="637"/>
        <v/>
      </c>
      <c r="S2713" s="199" t="str">
        <f t="shared" si="638"/>
        <v/>
      </c>
      <c r="T2713" s="199" t="str">
        <f t="shared" si="646"/>
        <v/>
      </c>
      <c r="U2713" s="199" t="str">
        <f t="shared" si="639"/>
        <v/>
      </c>
      <c r="V2713" s="989"/>
      <c r="X2713" s="374" t="str">
        <f t="shared" si="640"/>
        <v/>
      </c>
      <c r="Y2713" s="375" t="str">
        <f t="shared" si="641"/>
        <v/>
      </c>
      <c r="Z2713" s="374" t="str">
        <f t="shared" si="642"/>
        <v/>
      </c>
      <c r="AA2713" s="374" t="b">
        <f t="shared" si="643"/>
        <v>1</v>
      </c>
      <c r="AB2713" s="374">
        <f>COUNTIFS(B:B,B2713,H:H,'סיווג התפקידים והעלויות'!$C$2)</f>
        <v>0</v>
      </c>
      <c r="AC2713" s="374">
        <f>COUNTIFS(B:B,B2713,H:H,'סיווג התפקידים והעלויות'!$D$2)</f>
        <v>0</v>
      </c>
      <c r="AD2713" s="374" t="str">
        <f>IF(OR(AND(H2713='סיווג התפקידים והעלויות'!$A$2,I2713='סיווג התפקידים והעלויות'!$A$3),'עלויות כח אדם (6)'!H2713='סיווג התפקידים והעלויות'!$C$2,'עלויות כח אדם (6)'!H2713='סיווג התפקידים והעלויות'!$D$2),IF('עלויות כח אדם (6)'!J2713&lt;75,"לא תקין","תקין"),"")</f>
        <v/>
      </c>
      <c r="AE2713" s="374" t="str">
        <f t="shared" si="644"/>
        <v/>
      </c>
      <c r="AF2713" s="532" t="str">
        <f t="shared" si="645"/>
        <v/>
      </c>
    </row>
    <row r="2714" spans="2:32" x14ac:dyDescent="0.25">
      <c r="B2714" s="695"/>
      <c r="C2714" s="197" t="str">
        <f>IF(B2714&lt;&gt;"",IFERROR(VLOOKUP(B:B,'מצבת והרשמה (2)'!$C$20:$N$520,2,0)," ")," ")</f>
        <v xml:space="preserve"> </v>
      </c>
      <c r="D2714" s="695"/>
      <c r="E2714" s="696"/>
      <c r="F2714" s="696"/>
      <c r="G2714" s="696"/>
      <c r="H2714" s="696"/>
      <c r="I2714" s="1050" t="str">
        <f t="shared" si="632"/>
        <v/>
      </c>
      <c r="J2714" s="696"/>
      <c r="K2714" s="697"/>
      <c r="L2714" s="696"/>
      <c r="M2714" s="198" t="str">
        <f t="shared" si="633"/>
        <v/>
      </c>
      <c r="N2714" s="369" t="str">
        <f t="shared" si="634"/>
        <v/>
      </c>
      <c r="O2714" s="183" t="str">
        <f t="shared" si="635"/>
        <v/>
      </c>
      <c r="P2714" s="199" t="str">
        <f t="shared" si="636"/>
        <v/>
      </c>
      <c r="Q2714" s="199" t="str">
        <f>IF(B2714="","",IFERROR(IF('עלויות כח אדם (6)'!J2714&gt;=VLOOKUP(I2714,'סיווג התפקידים והעלויות'!$B$23:$C$32,2,0),"תקין","לא תקין"),""))</f>
        <v/>
      </c>
      <c r="R2714" s="199" t="str">
        <f t="shared" si="637"/>
        <v/>
      </c>
      <c r="S2714" s="199" t="str">
        <f t="shared" si="638"/>
        <v/>
      </c>
      <c r="T2714" s="199" t="str">
        <f t="shared" si="646"/>
        <v/>
      </c>
      <c r="U2714" s="199" t="str">
        <f t="shared" si="639"/>
        <v/>
      </c>
      <c r="V2714" s="989"/>
      <c r="X2714" s="374" t="str">
        <f t="shared" si="640"/>
        <v/>
      </c>
      <c r="Y2714" s="375" t="str">
        <f t="shared" si="641"/>
        <v/>
      </c>
      <c r="Z2714" s="374" t="str">
        <f t="shared" si="642"/>
        <v/>
      </c>
      <c r="AA2714" s="374" t="b">
        <f t="shared" si="643"/>
        <v>1</v>
      </c>
      <c r="AB2714" s="374">
        <f>COUNTIFS(B:B,B2714,H:H,'סיווג התפקידים והעלויות'!$C$2)</f>
        <v>0</v>
      </c>
      <c r="AC2714" s="374">
        <f>COUNTIFS(B:B,B2714,H:H,'סיווג התפקידים והעלויות'!$D$2)</f>
        <v>0</v>
      </c>
      <c r="AD2714" s="374" t="str">
        <f>IF(OR(AND(H2714='סיווג התפקידים והעלויות'!$A$2,I2714='סיווג התפקידים והעלויות'!$A$3),'עלויות כח אדם (6)'!H2714='סיווג התפקידים והעלויות'!$C$2,'עלויות כח אדם (6)'!H2714='סיווג התפקידים והעלויות'!$D$2),IF('עלויות כח אדם (6)'!J2714&lt;75,"לא תקין","תקין"),"")</f>
        <v/>
      </c>
      <c r="AE2714" s="374" t="str">
        <f t="shared" si="644"/>
        <v/>
      </c>
      <c r="AF2714" s="532" t="str">
        <f t="shared" si="645"/>
        <v/>
      </c>
    </row>
    <row r="2715" spans="2:32" x14ac:dyDescent="0.25">
      <c r="B2715" s="695"/>
      <c r="C2715" s="197" t="str">
        <f>IF(B2715&lt;&gt;"",IFERROR(VLOOKUP(B:B,'מצבת והרשמה (2)'!$C$20:$N$520,2,0)," ")," ")</f>
        <v xml:space="preserve"> </v>
      </c>
      <c r="D2715" s="695"/>
      <c r="E2715" s="696"/>
      <c r="F2715" s="696"/>
      <c r="G2715" s="696"/>
      <c r="H2715" s="696"/>
      <c r="I2715" s="1050" t="str">
        <f t="shared" si="632"/>
        <v/>
      </c>
      <c r="J2715" s="696"/>
      <c r="K2715" s="697"/>
      <c r="L2715" s="696"/>
      <c r="M2715" s="198" t="str">
        <f t="shared" si="633"/>
        <v/>
      </c>
      <c r="N2715" s="369" t="str">
        <f t="shared" si="634"/>
        <v/>
      </c>
      <c r="O2715" s="183" t="str">
        <f t="shared" si="635"/>
        <v/>
      </c>
      <c r="P2715" s="199" t="str">
        <f t="shared" si="636"/>
        <v/>
      </c>
      <c r="Q2715" s="199" t="str">
        <f>IF(B2715="","",IFERROR(IF('עלויות כח אדם (6)'!J2715&gt;=VLOOKUP(I2715,'סיווג התפקידים והעלויות'!$B$23:$C$32,2,0),"תקין","לא תקין"),""))</f>
        <v/>
      </c>
      <c r="R2715" s="199" t="str">
        <f t="shared" si="637"/>
        <v/>
      </c>
      <c r="S2715" s="199" t="str">
        <f t="shared" si="638"/>
        <v/>
      </c>
      <c r="T2715" s="199" t="str">
        <f t="shared" si="646"/>
        <v/>
      </c>
      <c r="U2715" s="199" t="str">
        <f t="shared" si="639"/>
        <v/>
      </c>
      <c r="V2715" s="989"/>
      <c r="X2715" s="374" t="str">
        <f t="shared" si="640"/>
        <v/>
      </c>
      <c r="Y2715" s="375" t="str">
        <f t="shared" si="641"/>
        <v/>
      </c>
      <c r="Z2715" s="374" t="str">
        <f t="shared" si="642"/>
        <v/>
      </c>
      <c r="AA2715" s="374" t="b">
        <f t="shared" si="643"/>
        <v>1</v>
      </c>
      <c r="AB2715" s="374">
        <f>COUNTIFS(B:B,B2715,H:H,'סיווג התפקידים והעלויות'!$C$2)</f>
        <v>0</v>
      </c>
      <c r="AC2715" s="374">
        <f>COUNTIFS(B:B,B2715,H:H,'סיווג התפקידים והעלויות'!$D$2)</f>
        <v>0</v>
      </c>
      <c r="AD2715" s="374" t="str">
        <f>IF(OR(AND(H2715='סיווג התפקידים והעלויות'!$A$2,I2715='סיווג התפקידים והעלויות'!$A$3),'עלויות כח אדם (6)'!H2715='סיווג התפקידים והעלויות'!$C$2,'עלויות כח אדם (6)'!H2715='סיווג התפקידים והעלויות'!$D$2),IF('עלויות כח אדם (6)'!J2715&lt;75,"לא תקין","תקין"),"")</f>
        <v/>
      </c>
      <c r="AE2715" s="374" t="str">
        <f t="shared" si="644"/>
        <v/>
      </c>
      <c r="AF2715" s="532" t="str">
        <f t="shared" si="645"/>
        <v/>
      </c>
    </row>
    <row r="2716" spans="2:32" x14ac:dyDescent="0.25">
      <c r="B2716" s="695"/>
      <c r="C2716" s="197" t="str">
        <f>IF(B2716&lt;&gt;"",IFERROR(VLOOKUP(B:B,'מצבת והרשמה (2)'!$C$20:$N$520,2,0)," ")," ")</f>
        <v xml:space="preserve"> </v>
      </c>
      <c r="D2716" s="695"/>
      <c r="E2716" s="696"/>
      <c r="F2716" s="696"/>
      <c r="G2716" s="696"/>
      <c r="H2716" s="696"/>
      <c r="I2716" s="1050" t="str">
        <f t="shared" si="632"/>
        <v/>
      </c>
      <c r="J2716" s="696"/>
      <c r="K2716" s="697"/>
      <c r="L2716" s="696"/>
      <c r="M2716" s="198" t="str">
        <f t="shared" si="633"/>
        <v/>
      </c>
      <c r="N2716" s="369" t="str">
        <f t="shared" si="634"/>
        <v/>
      </c>
      <c r="O2716" s="183" t="str">
        <f t="shared" si="635"/>
        <v/>
      </c>
      <c r="P2716" s="199" t="str">
        <f t="shared" si="636"/>
        <v/>
      </c>
      <c r="Q2716" s="199" t="str">
        <f>IF(B2716="","",IFERROR(IF('עלויות כח אדם (6)'!J2716&gt;=VLOOKUP(I2716,'סיווג התפקידים והעלויות'!$B$23:$C$32,2,0),"תקין","לא תקין"),""))</f>
        <v/>
      </c>
      <c r="R2716" s="199" t="str">
        <f t="shared" si="637"/>
        <v/>
      </c>
      <c r="S2716" s="199" t="str">
        <f t="shared" si="638"/>
        <v/>
      </c>
      <c r="T2716" s="199" t="str">
        <f t="shared" si="646"/>
        <v/>
      </c>
      <c r="U2716" s="199" t="str">
        <f t="shared" si="639"/>
        <v/>
      </c>
      <c r="V2716" s="989"/>
      <c r="X2716" s="374" t="str">
        <f t="shared" si="640"/>
        <v/>
      </c>
      <c r="Y2716" s="375" t="str">
        <f t="shared" si="641"/>
        <v/>
      </c>
      <c r="Z2716" s="374" t="str">
        <f t="shared" si="642"/>
        <v/>
      </c>
      <c r="AA2716" s="374" t="b">
        <f t="shared" si="643"/>
        <v>1</v>
      </c>
      <c r="AB2716" s="374">
        <f>COUNTIFS(B:B,B2716,H:H,'סיווג התפקידים והעלויות'!$C$2)</f>
        <v>0</v>
      </c>
      <c r="AC2716" s="374">
        <f>COUNTIFS(B:B,B2716,H:H,'סיווג התפקידים והעלויות'!$D$2)</f>
        <v>0</v>
      </c>
      <c r="AD2716" s="374" t="str">
        <f>IF(OR(AND(H2716='סיווג התפקידים והעלויות'!$A$2,I2716='סיווג התפקידים והעלויות'!$A$3),'עלויות כח אדם (6)'!H2716='סיווג התפקידים והעלויות'!$C$2,'עלויות כח אדם (6)'!H2716='סיווג התפקידים והעלויות'!$D$2),IF('עלויות כח אדם (6)'!J2716&lt;75,"לא תקין","תקין"),"")</f>
        <v/>
      </c>
      <c r="AE2716" s="374" t="str">
        <f t="shared" si="644"/>
        <v/>
      </c>
      <c r="AF2716" s="532" t="str">
        <f t="shared" si="645"/>
        <v/>
      </c>
    </row>
    <row r="2717" spans="2:32" x14ac:dyDescent="0.25">
      <c r="B2717" s="695"/>
      <c r="C2717" s="197" t="str">
        <f>IF(B2717&lt;&gt;"",IFERROR(VLOOKUP(B:B,'מצבת והרשמה (2)'!$C$20:$N$520,2,0)," ")," ")</f>
        <v xml:space="preserve"> </v>
      </c>
      <c r="D2717" s="695"/>
      <c r="E2717" s="696"/>
      <c r="F2717" s="696"/>
      <c r="G2717" s="696"/>
      <c r="H2717" s="696"/>
      <c r="I2717" s="1050" t="str">
        <f t="shared" si="632"/>
        <v/>
      </c>
      <c r="J2717" s="696"/>
      <c r="K2717" s="697"/>
      <c r="L2717" s="696"/>
      <c r="M2717" s="198" t="str">
        <f t="shared" si="633"/>
        <v/>
      </c>
      <c r="N2717" s="369" t="str">
        <f t="shared" si="634"/>
        <v/>
      </c>
      <c r="O2717" s="183" t="str">
        <f t="shared" si="635"/>
        <v/>
      </c>
      <c r="P2717" s="199" t="str">
        <f t="shared" si="636"/>
        <v/>
      </c>
      <c r="Q2717" s="199" t="str">
        <f>IF(B2717="","",IFERROR(IF('עלויות כח אדם (6)'!J2717&gt;=VLOOKUP(I2717,'סיווג התפקידים והעלויות'!$B$23:$C$32,2,0),"תקין","לא תקין"),""))</f>
        <v/>
      </c>
      <c r="R2717" s="199" t="str">
        <f t="shared" si="637"/>
        <v/>
      </c>
      <c r="S2717" s="199" t="str">
        <f t="shared" si="638"/>
        <v/>
      </c>
      <c r="T2717" s="199" t="str">
        <f t="shared" si="646"/>
        <v/>
      </c>
      <c r="U2717" s="199" t="str">
        <f t="shared" si="639"/>
        <v/>
      </c>
      <c r="V2717" s="989"/>
      <c r="X2717" s="374" t="str">
        <f t="shared" si="640"/>
        <v/>
      </c>
      <c r="Y2717" s="375" t="str">
        <f t="shared" si="641"/>
        <v/>
      </c>
      <c r="Z2717" s="374" t="str">
        <f t="shared" si="642"/>
        <v/>
      </c>
      <c r="AA2717" s="374" t="b">
        <f t="shared" si="643"/>
        <v>1</v>
      </c>
      <c r="AB2717" s="374">
        <f>COUNTIFS(B:B,B2717,H:H,'סיווג התפקידים והעלויות'!$C$2)</f>
        <v>0</v>
      </c>
      <c r="AC2717" s="374">
        <f>COUNTIFS(B:B,B2717,H:H,'סיווג התפקידים והעלויות'!$D$2)</f>
        <v>0</v>
      </c>
      <c r="AD2717" s="374" t="str">
        <f>IF(OR(AND(H2717='סיווג התפקידים והעלויות'!$A$2,I2717='סיווג התפקידים והעלויות'!$A$3),'עלויות כח אדם (6)'!H2717='סיווג התפקידים והעלויות'!$C$2,'עלויות כח אדם (6)'!H2717='סיווג התפקידים והעלויות'!$D$2),IF('עלויות כח אדם (6)'!J2717&lt;75,"לא תקין","תקין"),"")</f>
        <v/>
      </c>
      <c r="AE2717" s="374" t="str">
        <f t="shared" si="644"/>
        <v/>
      </c>
      <c r="AF2717" s="532" t="str">
        <f t="shared" si="645"/>
        <v/>
      </c>
    </row>
    <row r="2718" spans="2:32" x14ac:dyDescent="0.25">
      <c r="B2718" s="695"/>
      <c r="C2718" s="197" t="str">
        <f>IF(B2718&lt;&gt;"",IFERROR(VLOOKUP(B:B,'מצבת והרשמה (2)'!$C$20:$N$520,2,0)," ")," ")</f>
        <v xml:space="preserve"> </v>
      </c>
      <c r="D2718" s="695"/>
      <c r="E2718" s="696"/>
      <c r="F2718" s="696"/>
      <c r="G2718" s="696"/>
      <c r="H2718" s="696"/>
      <c r="I2718" s="1050" t="str">
        <f t="shared" si="632"/>
        <v/>
      </c>
      <c r="J2718" s="696"/>
      <c r="K2718" s="697"/>
      <c r="L2718" s="696"/>
      <c r="M2718" s="198" t="str">
        <f t="shared" si="633"/>
        <v/>
      </c>
      <c r="N2718" s="369" t="str">
        <f t="shared" si="634"/>
        <v/>
      </c>
      <c r="O2718" s="183" t="str">
        <f t="shared" si="635"/>
        <v/>
      </c>
      <c r="P2718" s="199" t="str">
        <f t="shared" si="636"/>
        <v/>
      </c>
      <c r="Q2718" s="199" t="str">
        <f>IF(B2718="","",IFERROR(IF('עלויות כח אדם (6)'!J2718&gt;=VLOOKUP(I2718,'סיווג התפקידים והעלויות'!$B$23:$C$32,2,0),"תקין","לא תקין"),""))</f>
        <v/>
      </c>
      <c r="R2718" s="199" t="str">
        <f t="shared" si="637"/>
        <v/>
      </c>
      <c r="S2718" s="199" t="str">
        <f t="shared" si="638"/>
        <v/>
      </c>
      <c r="T2718" s="199" t="str">
        <f t="shared" si="646"/>
        <v/>
      </c>
      <c r="U2718" s="199" t="str">
        <f t="shared" si="639"/>
        <v/>
      </c>
      <c r="V2718" s="989"/>
      <c r="X2718" s="374" t="str">
        <f t="shared" si="640"/>
        <v/>
      </c>
      <c r="Y2718" s="375" t="str">
        <f t="shared" si="641"/>
        <v/>
      </c>
      <c r="Z2718" s="374" t="str">
        <f t="shared" si="642"/>
        <v/>
      </c>
      <c r="AA2718" s="374" t="b">
        <f t="shared" si="643"/>
        <v>1</v>
      </c>
      <c r="AB2718" s="374">
        <f>COUNTIFS(B:B,B2718,H:H,'סיווג התפקידים והעלויות'!$C$2)</f>
        <v>0</v>
      </c>
      <c r="AC2718" s="374">
        <f>COUNTIFS(B:B,B2718,H:H,'סיווג התפקידים והעלויות'!$D$2)</f>
        <v>0</v>
      </c>
      <c r="AD2718" s="374" t="str">
        <f>IF(OR(AND(H2718='סיווג התפקידים והעלויות'!$A$2,I2718='סיווג התפקידים והעלויות'!$A$3),'עלויות כח אדם (6)'!H2718='סיווג התפקידים והעלויות'!$C$2,'עלויות כח אדם (6)'!H2718='סיווג התפקידים והעלויות'!$D$2),IF('עלויות כח אדם (6)'!J2718&lt;75,"לא תקין","תקין"),"")</f>
        <v/>
      </c>
      <c r="AE2718" s="374" t="str">
        <f t="shared" si="644"/>
        <v/>
      </c>
      <c r="AF2718" s="532" t="str">
        <f t="shared" si="645"/>
        <v/>
      </c>
    </row>
    <row r="2719" spans="2:32" x14ac:dyDescent="0.25">
      <c r="B2719" s="695"/>
      <c r="C2719" s="197" t="str">
        <f>IF(B2719&lt;&gt;"",IFERROR(VLOOKUP(B:B,'מצבת והרשמה (2)'!$C$20:$N$520,2,0)," ")," ")</f>
        <v xml:space="preserve"> </v>
      </c>
      <c r="D2719" s="695"/>
      <c r="E2719" s="696"/>
      <c r="F2719" s="696"/>
      <c r="G2719" s="696"/>
      <c r="H2719" s="696"/>
      <c r="I2719" s="1050" t="str">
        <f t="shared" si="632"/>
        <v/>
      </c>
      <c r="J2719" s="696"/>
      <c r="K2719" s="697"/>
      <c r="L2719" s="696"/>
      <c r="M2719" s="198" t="str">
        <f t="shared" si="633"/>
        <v/>
      </c>
      <c r="N2719" s="369" t="str">
        <f t="shared" si="634"/>
        <v/>
      </c>
      <c r="O2719" s="183" t="str">
        <f t="shared" si="635"/>
        <v/>
      </c>
      <c r="P2719" s="199" t="str">
        <f t="shared" si="636"/>
        <v/>
      </c>
      <c r="Q2719" s="199" t="str">
        <f>IF(B2719="","",IFERROR(IF('עלויות כח אדם (6)'!J2719&gt;=VLOOKUP(I2719,'סיווג התפקידים והעלויות'!$B$23:$C$32,2,0),"תקין","לא תקין"),""))</f>
        <v/>
      </c>
      <c r="R2719" s="199" t="str">
        <f t="shared" si="637"/>
        <v/>
      </c>
      <c r="S2719" s="199" t="str">
        <f t="shared" si="638"/>
        <v/>
      </c>
      <c r="T2719" s="199" t="str">
        <f t="shared" si="646"/>
        <v/>
      </c>
      <c r="U2719" s="199" t="str">
        <f t="shared" si="639"/>
        <v/>
      </c>
      <c r="V2719" s="989"/>
      <c r="X2719" s="374" t="str">
        <f t="shared" si="640"/>
        <v/>
      </c>
      <c r="Y2719" s="375" t="str">
        <f t="shared" si="641"/>
        <v/>
      </c>
      <c r="Z2719" s="374" t="str">
        <f t="shared" si="642"/>
        <v/>
      </c>
      <c r="AA2719" s="374" t="b">
        <f t="shared" si="643"/>
        <v>1</v>
      </c>
      <c r="AB2719" s="374">
        <f>COUNTIFS(B:B,B2719,H:H,'סיווג התפקידים והעלויות'!$C$2)</f>
        <v>0</v>
      </c>
      <c r="AC2719" s="374">
        <f>COUNTIFS(B:B,B2719,H:H,'סיווג התפקידים והעלויות'!$D$2)</f>
        <v>0</v>
      </c>
      <c r="AD2719" s="374" t="str">
        <f>IF(OR(AND(H2719='סיווג התפקידים והעלויות'!$A$2,I2719='סיווג התפקידים והעלויות'!$A$3),'עלויות כח אדם (6)'!H2719='סיווג התפקידים והעלויות'!$C$2,'עלויות כח אדם (6)'!H2719='סיווג התפקידים והעלויות'!$D$2),IF('עלויות כח אדם (6)'!J2719&lt;75,"לא תקין","תקין"),"")</f>
        <v/>
      </c>
      <c r="AE2719" s="374" t="str">
        <f t="shared" si="644"/>
        <v/>
      </c>
      <c r="AF2719" s="532" t="str">
        <f t="shared" si="645"/>
        <v/>
      </c>
    </row>
    <row r="2720" spans="2:32" x14ac:dyDescent="0.25">
      <c r="B2720" s="695"/>
      <c r="C2720" s="197" t="str">
        <f>IF(B2720&lt;&gt;"",IFERROR(VLOOKUP(B:B,'מצבת והרשמה (2)'!$C$20:$N$520,2,0)," ")," ")</f>
        <v xml:space="preserve"> </v>
      </c>
      <c r="D2720" s="695"/>
      <c r="E2720" s="696"/>
      <c r="F2720" s="696"/>
      <c r="G2720" s="696"/>
      <c r="H2720" s="696"/>
      <c r="I2720" s="1050" t="str">
        <f t="shared" si="632"/>
        <v/>
      </c>
      <c r="J2720" s="696"/>
      <c r="K2720" s="697"/>
      <c r="L2720" s="696"/>
      <c r="M2720" s="198" t="str">
        <f t="shared" si="633"/>
        <v/>
      </c>
      <c r="N2720" s="369" t="str">
        <f t="shared" si="634"/>
        <v/>
      </c>
      <c r="O2720" s="183" t="str">
        <f t="shared" si="635"/>
        <v/>
      </c>
      <c r="P2720" s="199" t="str">
        <f t="shared" si="636"/>
        <v/>
      </c>
      <c r="Q2720" s="199" t="str">
        <f>IF(B2720="","",IFERROR(IF('עלויות כח אדם (6)'!J2720&gt;=VLOOKUP(I2720,'סיווג התפקידים והעלויות'!$B$23:$C$32,2,0),"תקין","לא תקין"),""))</f>
        <v/>
      </c>
      <c r="R2720" s="199" t="str">
        <f t="shared" si="637"/>
        <v/>
      </c>
      <c r="S2720" s="199" t="str">
        <f t="shared" si="638"/>
        <v/>
      </c>
      <c r="T2720" s="199" t="str">
        <f t="shared" si="646"/>
        <v/>
      </c>
      <c r="U2720" s="199" t="str">
        <f t="shared" si="639"/>
        <v/>
      </c>
      <c r="V2720" s="989"/>
      <c r="X2720" s="374" t="str">
        <f t="shared" si="640"/>
        <v/>
      </c>
      <c r="Y2720" s="375" t="str">
        <f t="shared" si="641"/>
        <v/>
      </c>
      <c r="Z2720" s="374" t="str">
        <f t="shared" si="642"/>
        <v/>
      </c>
      <c r="AA2720" s="374" t="b">
        <f t="shared" si="643"/>
        <v>1</v>
      </c>
      <c r="AB2720" s="374">
        <f>COUNTIFS(B:B,B2720,H:H,'סיווג התפקידים והעלויות'!$C$2)</f>
        <v>0</v>
      </c>
      <c r="AC2720" s="374">
        <f>COUNTIFS(B:B,B2720,H:H,'סיווג התפקידים והעלויות'!$D$2)</f>
        <v>0</v>
      </c>
      <c r="AD2720" s="374" t="str">
        <f>IF(OR(AND(H2720='סיווג התפקידים והעלויות'!$A$2,I2720='סיווג התפקידים והעלויות'!$A$3),'עלויות כח אדם (6)'!H2720='סיווג התפקידים והעלויות'!$C$2,'עלויות כח אדם (6)'!H2720='סיווג התפקידים והעלויות'!$D$2),IF('עלויות כח אדם (6)'!J2720&lt;75,"לא תקין","תקין"),"")</f>
        <v/>
      </c>
      <c r="AE2720" s="374" t="str">
        <f t="shared" si="644"/>
        <v/>
      </c>
      <c r="AF2720" s="532" t="str">
        <f t="shared" si="645"/>
        <v/>
      </c>
    </row>
    <row r="2721" spans="2:32" x14ac:dyDescent="0.25">
      <c r="B2721" s="695"/>
      <c r="C2721" s="197" t="str">
        <f>IF(B2721&lt;&gt;"",IFERROR(VLOOKUP(B:B,'מצבת והרשמה (2)'!$C$20:$N$520,2,0)," ")," ")</f>
        <v xml:space="preserve"> </v>
      </c>
      <c r="D2721" s="695"/>
      <c r="E2721" s="696"/>
      <c r="F2721" s="696"/>
      <c r="G2721" s="696"/>
      <c r="H2721" s="696"/>
      <c r="I2721" s="1050" t="str">
        <f t="shared" si="632"/>
        <v/>
      </c>
      <c r="J2721" s="696"/>
      <c r="K2721" s="697"/>
      <c r="L2721" s="696"/>
      <c r="M2721" s="198" t="str">
        <f t="shared" si="633"/>
        <v/>
      </c>
      <c r="N2721" s="369" t="str">
        <f t="shared" si="634"/>
        <v/>
      </c>
      <c r="O2721" s="183" t="str">
        <f t="shared" si="635"/>
        <v/>
      </c>
      <c r="P2721" s="199" t="str">
        <f t="shared" si="636"/>
        <v/>
      </c>
      <c r="Q2721" s="199" t="str">
        <f>IF(B2721="","",IFERROR(IF('עלויות כח אדם (6)'!J2721&gt;=VLOOKUP(I2721,'סיווג התפקידים והעלויות'!$B$23:$C$32,2,0),"תקין","לא תקין"),""))</f>
        <v/>
      </c>
      <c r="R2721" s="199" t="str">
        <f t="shared" si="637"/>
        <v/>
      </c>
      <c r="S2721" s="199" t="str">
        <f t="shared" si="638"/>
        <v/>
      </c>
      <c r="T2721" s="199" t="str">
        <f t="shared" si="646"/>
        <v/>
      </c>
      <c r="U2721" s="199" t="str">
        <f t="shared" si="639"/>
        <v/>
      </c>
      <c r="V2721" s="989"/>
      <c r="X2721" s="374" t="str">
        <f t="shared" si="640"/>
        <v/>
      </c>
      <c r="Y2721" s="375" t="str">
        <f t="shared" si="641"/>
        <v/>
      </c>
      <c r="Z2721" s="374" t="str">
        <f t="shared" si="642"/>
        <v/>
      </c>
      <c r="AA2721" s="374" t="b">
        <f t="shared" si="643"/>
        <v>1</v>
      </c>
      <c r="AB2721" s="374">
        <f>COUNTIFS(B:B,B2721,H:H,'סיווג התפקידים והעלויות'!$C$2)</f>
        <v>0</v>
      </c>
      <c r="AC2721" s="374">
        <f>COUNTIFS(B:B,B2721,H:H,'סיווג התפקידים והעלויות'!$D$2)</f>
        <v>0</v>
      </c>
      <c r="AD2721" s="374" t="str">
        <f>IF(OR(AND(H2721='סיווג התפקידים והעלויות'!$A$2,I2721='סיווג התפקידים והעלויות'!$A$3),'עלויות כח אדם (6)'!H2721='סיווג התפקידים והעלויות'!$C$2,'עלויות כח אדם (6)'!H2721='סיווג התפקידים והעלויות'!$D$2),IF('עלויות כח אדם (6)'!J2721&lt;75,"לא תקין","תקין"),"")</f>
        <v/>
      </c>
      <c r="AE2721" s="374" t="str">
        <f t="shared" si="644"/>
        <v/>
      </c>
      <c r="AF2721" s="532" t="str">
        <f t="shared" si="645"/>
        <v/>
      </c>
    </row>
    <row r="2722" spans="2:32" x14ac:dyDescent="0.25">
      <c r="B2722" s="695"/>
      <c r="C2722" s="197" t="str">
        <f>IF(B2722&lt;&gt;"",IFERROR(VLOOKUP(B:B,'מצבת והרשמה (2)'!$C$20:$N$520,2,0)," ")," ")</f>
        <v xml:space="preserve"> </v>
      </c>
      <c r="D2722" s="695"/>
      <c r="E2722" s="696"/>
      <c r="F2722" s="696"/>
      <c r="G2722" s="696"/>
      <c r="H2722" s="696"/>
      <c r="I2722" s="1050" t="str">
        <f t="shared" si="632"/>
        <v/>
      </c>
      <c r="J2722" s="696"/>
      <c r="K2722" s="697"/>
      <c r="L2722" s="696"/>
      <c r="M2722" s="198" t="str">
        <f t="shared" si="633"/>
        <v/>
      </c>
      <c r="N2722" s="369" t="str">
        <f t="shared" si="634"/>
        <v/>
      </c>
      <c r="O2722" s="183" t="str">
        <f t="shared" si="635"/>
        <v/>
      </c>
      <c r="P2722" s="199" t="str">
        <f t="shared" si="636"/>
        <v/>
      </c>
      <c r="Q2722" s="199" t="str">
        <f>IF(B2722="","",IFERROR(IF('עלויות כח אדם (6)'!J2722&gt;=VLOOKUP(I2722,'סיווג התפקידים והעלויות'!$B$23:$C$32,2,0),"תקין","לא תקין"),""))</f>
        <v/>
      </c>
      <c r="R2722" s="199" t="str">
        <f t="shared" si="637"/>
        <v/>
      </c>
      <c r="S2722" s="199" t="str">
        <f t="shared" si="638"/>
        <v/>
      </c>
      <c r="T2722" s="199" t="str">
        <f t="shared" si="646"/>
        <v/>
      </c>
      <c r="U2722" s="199" t="str">
        <f t="shared" si="639"/>
        <v/>
      </c>
      <c r="V2722" s="989"/>
      <c r="X2722" s="374" t="str">
        <f t="shared" si="640"/>
        <v/>
      </c>
      <c r="Y2722" s="375" t="str">
        <f t="shared" si="641"/>
        <v/>
      </c>
      <c r="Z2722" s="374" t="str">
        <f t="shared" si="642"/>
        <v/>
      </c>
      <c r="AA2722" s="374" t="b">
        <f t="shared" si="643"/>
        <v>1</v>
      </c>
      <c r="AB2722" s="374">
        <f>COUNTIFS(B:B,B2722,H:H,'סיווג התפקידים והעלויות'!$C$2)</f>
        <v>0</v>
      </c>
      <c r="AC2722" s="374">
        <f>COUNTIFS(B:B,B2722,H:H,'סיווג התפקידים והעלויות'!$D$2)</f>
        <v>0</v>
      </c>
      <c r="AD2722" s="374" t="str">
        <f>IF(OR(AND(H2722='סיווג התפקידים והעלויות'!$A$2,I2722='סיווג התפקידים והעלויות'!$A$3),'עלויות כח אדם (6)'!H2722='סיווג התפקידים והעלויות'!$C$2,'עלויות כח אדם (6)'!H2722='סיווג התפקידים והעלויות'!$D$2),IF('עלויות כח אדם (6)'!J2722&lt;75,"לא תקין","תקין"),"")</f>
        <v/>
      </c>
      <c r="AE2722" s="374" t="str">
        <f t="shared" si="644"/>
        <v/>
      </c>
      <c r="AF2722" s="532" t="str">
        <f t="shared" si="645"/>
        <v/>
      </c>
    </row>
    <row r="2723" spans="2:32" x14ac:dyDescent="0.25">
      <c r="B2723" s="695"/>
      <c r="C2723" s="197" t="str">
        <f>IF(B2723&lt;&gt;"",IFERROR(VLOOKUP(B:B,'מצבת והרשמה (2)'!$C$20:$N$520,2,0)," ")," ")</f>
        <v xml:space="preserve"> </v>
      </c>
      <c r="D2723" s="695"/>
      <c r="E2723" s="696"/>
      <c r="F2723" s="696"/>
      <c r="G2723" s="696"/>
      <c r="H2723" s="696"/>
      <c r="I2723" s="1050" t="str">
        <f t="shared" si="632"/>
        <v/>
      </c>
      <c r="J2723" s="696"/>
      <c r="K2723" s="697"/>
      <c r="L2723" s="696"/>
      <c r="M2723" s="198" t="str">
        <f t="shared" si="633"/>
        <v/>
      </c>
      <c r="N2723" s="369" t="str">
        <f t="shared" si="634"/>
        <v/>
      </c>
      <c r="O2723" s="183" t="str">
        <f t="shared" si="635"/>
        <v/>
      </c>
      <c r="P2723" s="199" t="str">
        <f t="shared" si="636"/>
        <v/>
      </c>
      <c r="Q2723" s="199" t="str">
        <f>IF(B2723="","",IFERROR(IF('עלויות כח אדם (6)'!J2723&gt;=VLOOKUP(I2723,'סיווג התפקידים והעלויות'!$B$23:$C$32,2,0),"תקין","לא תקין"),""))</f>
        <v/>
      </c>
      <c r="R2723" s="199" t="str">
        <f t="shared" si="637"/>
        <v/>
      </c>
      <c r="S2723" s="199" t="str">
        <f t="shared" si="638"/>
        <v/>
      </c>
      <c r="T2723" s="199" t="str">
        <f t="shared" si="646"/>
        <v/>
      </c>
      <c r="U2723" s="199" t="str">
        <f t="shared" si="639"/>
        <v/>
      </c>
      <c r="V2723" s="989"/>
      <c r="X2723" s="374" t="str">
        <f t="shared" si="640"/>
        <v/>
      </c>
      <c r="Y2723" s="375" t="str">
        <f t="shared" si="641"/>
        <v/>
      </c>
      <c r="Z2723" s="374" t="str">
        <f t="shared" si="642"/>
        <v/>
      </c>
      <c r="AA2723" s="374" t="b">
        <f t="shared" si="643"/>
        <v>1</v>
      </c>
      <c r="AB2723" s="374">
        <f>COUNTIFS(B:B,B2723,H:H,'סיווג התפקידים והעלויות'!$C$2)</f>
        <v>0</v>
      </c>
      <c r="AC2723" s="374">
        <f>COUNTIFS(B:B,B2723,H:H,'סיווג התפקידים והעלויות'!$D$2)</f>
        <v>0</v>
      </c>
      <c r="AD2723" s="374" t="str">
        <f>IF(OR(AND(H2723='סיווג התפקידים והעלויות'!$A$2,I2723='סיווג התפקידים והעלויות'!$A$3),'עלויות כח אדם (6)'!H2723='סיווג התפקידים והעלויות'!$C$2,'עלויות כח אדם (6)'!H2723='סיווג התפקידים והעלויות'!$D$2),IF('עלויות כח אדם (6)'!J2723&lt;75,"לא תקין","תקין"),"")</f>
        <v/>
      </c>
      <c r="AE2723" s="374" t="str">
        <f t="shared" si="644"/>
        <v/>
      </c>
      <c r="AF2723" s="532" t="str">
        <f t="shared" si="645"/>
        <v/>
      </c>
    </row>
    <row r="2724" spans="2:32" x14ac:dyDescent="0.25">
      <c r="B2724" s="695"/>
      <c r="C2724" s="197" t="str">
        <f>IF(B2724&lt;&gt;"",IFERROR(VLOOKUP(B:B,'מצבת והרשמה (2)'!$C$20:$N$520,2,0)," ")," ")</f>
        <v xml:space="preserve"> </v>
      </c>
      <c r="D2724" s="695"/>
      <c r="E2724" s="696"/>
      <c r="F2724" s="696"/>
      <c r="G2724" s="696"/>
      <c r="H2724" s="696"/>
      <c r="I2724" s="1050" t="str">
        <f t="shared" si="632"/>
        <v/>
      </c>
      <c r="J2724" s="696"/>
      <c r="K2724" s="697"/>
      <c r="L2724" s="696"/>
      <c r="M2724" s="198" t="str">
        <f t="shared" si="633"/>
        <v/>
      </c>
      <c r="N2724" s="369" t="str">
        <f t="shared" si="634"/>
        <v/>
      </c>
      <c r="O2724" s="183" t="str">
        <f t="shared" si="635"/>
        <v/>
      </c>
      <c r="P2724" s="199" t="str">
        <f t="shared" si="636"/>
        <v/>
      </c>
      <c r="Q2724" s="199" t="str">
        <f>IF(B2724="","",IFERROR(IF('עלויות כח אדם (6)'!J2724&gt;=VLOOKUP(I2724,'סיווג התפקידים והעלויות'!$B$23:$C$32,2,0),"תקין","לא תקין"),""))</f>
        <v/>
      </c>
      <c r="R2724" s="199" t="str">
        <f t="shared" si="637"/>
        <v/>
      </c>
      <c r="S2724" s="199" t="str">
        <f t="shared" si="638"/>
        <v/>
      </c>
      <c r="T2724" s="199" t="str">
        <f t="shared" si="646"/>
        <v/>
      </c>
      <c r="U2724" s="199" t="str">
        <f t="shared" si="639"/>
        <v/>
      </c>
      <c r="V2724" s="989"/>
      <c r="X2724" s="374" t="str">
        <f t="shared" si="640"/>
        <v/>
      </c>
      <c r="Y2724" s="375" t="str">
        <f t="shared" si="641"/>
        <v/>
      </c>
      <c r="Z2724" s="374" t="str">
        <f t="shared" si="642"/>
        <v/>
      </c>
      <c r="AA2724" s="374" t="b">
        <f t="shared" si="643"/>
        <v>1</v>
      </c>
      <c r="AB2724" s="374">
        <f>COUNTIFS(B:B,B2724,H:H,'סיווג התפקידים והעלויות'!$C$2)</f>
        <v>0</v>
      </c>
      <c r="AC2724" s="374">
        <f>COUNTIFS(B:B,B2724,H:H,'סיווג התפקידים והעלויות'!$D$2)</f>
        <v>0</v>
      </c>
      <c r="AD2724" s="374" t="str">
        <f>IF(OR(AND(H2724='סיווג התפקידים והעלויות'!$A$2,I2724='סיווג התפקידים והעלויות'!$A$3),'עלויות כח אדם (6)'!H2724='סיווג התפקידים והעלויות'!$C$2,'עלויות כח אדם (6)'!H2724='סיווג התפקידים והעלויות'!$D$2),IF('עלויות כח אדם (6)'!J2724&lt;75,"לא תקין","תקין"),"")</f>
        <v/>
      </c>
      <c r="AE2724" s="374" t="str">
        <f t="shared" si="644"/>
        <v/>
      </c>
      <c r="AF2724" s="532" t="str">
        <f t="shared" si="645"/>
        <v/>
      </c>
    </row>
    <row r="2725" spans="2:32" x14ac:dyDescent="0.25">
      <c r="B2725" s="695"/>
      <c r="C2725" s="197" t="str">
        <f>IF(B2725&lt;&gt;"",IFERROR(VLOOKUP(B:B,'מצבת והרשמה (2)'!$C$20:$N$520,2,0)," ")," ")</f>
        <v xml:space="preserve"> </v>
      </c>
      <c r="D2725" s="695"/>
      <c r="E2725" s="696"/>
      <c r="F2725" s="696"/>
      <c r="G2725" s="696"/>
      <c r="H2725" s="696"/>
      <c r="I2725" s="1050" t="str">
        <f t="shared" si="632"/>
        <v/>
      </c>
      <c r="J2725" s="696"/>
      <c r="K2725" s="697"/>
      <c r="L2725" s="696"/>
      <c r="M2725" s="198" t="str">
        <f t="shared" si="633"/>
        <v/>
      </c>
      <c r="N2725" s="369" t="str">
        <f t="shared" si="634"/>
        <v/>
      </c>
      <c r="O2725" s="183" t="str">
        <f t="shared" si="635"/>
        <v/>
      </c>
      <c r="P2725" s="199" t="str">
        <f t="shared" si="636"/>
        <v/>
      </c>
      <c r="Q2725" s="199" t="str">
        <f>IF(B2725="","",IFERROR(IF('עלויות כח אדם (6)'!J2725&gt;=VLOOKUP(I2725,'סיווג התפקידים והעלויות'!$B$23:$C$32,2,0),"תקין","לא תקין"),""))</f>
        <v/>
      </c>
      <c r="R2725" s="199" t="str">
        <f t="shared" si="637"/>
        <v/>
      </c>
      <c r="S2725" s="199" t="str">
        <f t="shared" si="638"/>
        <v/>
      </c>
      <c r="T2725" s="199" t="str">
        <f t="shared" si="646"/>
        <v/>
      </c>
      <c r="U2725" s="199" t="str">
        <f t="shared" si="639"/>
        <v/>
      </c>
      <c r="V2725" s="989"/>
      <c r="X2725" s="374" t="str">
        <f t="shared" si="640"/>
        <v/>
      </c>
      <c r="Y2725" s="375" t="str">
        <f t="shared" si="641"/>
        <v/>
      </c>
      <c r="Z2725" s="374" t="str">
        <f t="shared" si="642"/>
        <v/>
      </c>
      <c r="AA2725" s="374" t="b">
        <f t="shared" si="643"/>
        <v>1</v>
      </c>
      <c r="AB2725" s="374">
        <f>COUNTIFS(B:B,B2725,H:H,'סיווג התפקידים והעלויות'!$C$2)</f>
        <v>0</v>
      </c>
      <c r="AC2725" s="374">
        <f>COUNTIFS(B:B,B2725,H:H,'סיווג התפקידים והעלויות'!$D$2)</f>
        <v>0</v>
      </c>
      <c r="AD2725" s="374" t="str">
        <f>IF(OR(AND(H2725='סיווג התפקידים והעלויות'!$A$2,I2725='סיווג התפקידים והעלויות'!$A$3),'עלויות כח אדם (6)'!H2725='סיווג התפקידים והעלויות'!$C$2,'עלויות כח אדם (6)'!H2725='סיווג התפקידים והעלויות'!$D$2),IF('עלויות כח אדם (6)'!J2725&lt;75,"לא תקין","תקין"),"")</f>
        <v/>
      </c>
      <c r="AE2725" s="374" t="str">
        <f t="shared" si="644"/>
        <v/>
      </c>
      <c r="AF2725" s="532" t="str">
        <f t="shared" si="645"/>
        <v/>
      </c>
    </row>
    <row r="2726" spans="2:32" x14ac:dyDescent="0.25">
      <c r="B2726" s="695"/>
      <c r="C2726" s="197" t="str">
        <f>IF(B2726&lt;&gt;"",IFERROR(VLOOKUP(B:B,'מצבת והרשמה (2)'!$C$20:$N$520,2,0)," ")," ")</f>
        <v xml:space="preserve"> </v>
      </c>
      <c r="D2726" s="695"/>
      <c r="E2726" s="696"/>
      <c r="F2726" s="696"/>
      <c r="G2726" s="696"/>
      <c r="H2726" s="696"/>
      <c r="I2726" s="1050" t="str">
        <f t="shared" si="632"/>
        <v/>
      </c>
      <c r="J2726" s="696"/>
      <c r="K2726" s="697"/>
      <c r="L2726" s="696"/>
      <c r="M2726" s="198" t="str">
        <f t="shared" si="633"/>
        <v/>
      </c>
      <c r="N2726" s="369" t="str">
        <f t="shared" si="634"/>
        <v/>
      </c>
      <c r="O2726" s="183" t="str">
        <f t="shared" si="635"/>
        <v/>
      </c>
      <c r="P2726" s="199" t="str">
        <f t="shared" si="636"/>
        <v/>
      </c>
      <c r="Q2726" s="199" t="str">
        <f>IF(B2726="","",IFERROR(IF('עלויות כח אדם (6)'!J2726&gt;=VLOOKUP(I2726,'סיווג התפקידים והעלויות'!$B$23:$C$32,2,0),"תקין","לא תקין"),""))</f>
        <v/>
      </c>
      <c r="R2726" s="199" t="str">
        <f t="shared" si="637"/>
        <v/>
      </c>
      <c r="S2726" s="199" t="str">
        <f t="shared" si="638"/>
        <v/>
      </c>
      <c r="T2726" s="199" t="str">
        <f t="shared" si="646"/>
        <v/>
      </c>
      <c r="U2726" s="199" t="str">
        <f t="shared" si="639"/>
        <v/>
      </c>
      <c r="V2726" s="989"/>
      <c r="X2726" s="374" t="str">
        <f t="shared" si="640"/>
        <v/>
      </c>
      <c r="Y2726" s="375" t="str">
        <f t="shared" si="641"/>
        <v/>
      </c>
      <c r="Z2726" s="374" t="str">
        <f t="shared" si="642"/>
        <v/>
      </c>
      <c r="AA2726" s="374" t="b">
        <f t="shared" si="643"/>
        <v>1</v>
      </c>
      <c r="AB2726" s="374">
        <f>COUNTIFS(B:B,B2726,H:H,'סיווג התפקידים והעלויות'!$C$2)</f>
        <v>0</v>
      </c>
      <c r="AC2726" s="374">
        <f>COUNTIFS(B:B,B2726,H:H,'סיווג התפקידים והעלויות'!$D$2)</f>
        <v>0</v>
      </c>
      <c r="AD2726" s="374" t="str">
        <f>IF(OR(AND(H2726='סיווג התפקידים והעלויות'!$A$2,I2726='סיווג התפקידים והעלויות'!$A$3),'עלויות כח אדם (6)'!H2726='סיווג התפקידים והעלויות'!$C$2,'עלויות כח אדם (6)'!H2726='סיווג התפקידים והעלויות'!$D$2),IF('עלויות כח אדם (6)'!J2726&lt;75,"לא תקין","תקין"),"")</f>
        <v/>
      </c>
      <c r="AE2726" s="374" t="str">
        <f t="shared" si="644"/>
        <v/>
      </c>
      <c r="AF2726" s="532" t="str">
        <f t="shared" si="645"/>
        <v/>
      </c>
    </row>
    <row r="2727" spans="2:32" x14ac:dyDescent="0.25">
      <c r="B2727" s="695"/>
      <c r="C2727" s="197" t="str">
        <f>IF(B2727&lt;&gt;"",IFERROR(VLOOKUP(B:B,'מצבת והרשמה (2)'!$C$20:$N$520,2,0)," ")," ")</f>
        <v xml:space="preserve"> </v>
      </c>
      <c r="D2727" s="695"/>
      <c r="E2727" s="696"/>
      <c r="F2727" s="696"/>
      <c r="G2727" s="696"/>
      <c r="H2727" s="696"/>
      <c r="I2727" s="1050" t="str">
        <f t="shared" si="632"/>
        <v/>
      </c>
      <c r="J2727" s="696"/>
      <c r="K2727" s="697"/>
      <c r="L2727" s="696"/>
      <c r="M2727" s="198" t="str">
        <f t="shared" si="633"/>
        <v/>
      </c>
      <c r="N2727" s="369" t="str">
        <f t="shared" si="634"/>
        <v/>
      </c>
      <c r="O2727" s="183" t="str">
        <f t="shared" si="635"/>
        <v/>
      </c>
      <c r="P2727" s="199" t="str">
        <f t="shared" si="636"/>
        <v/>
      </c>
      <c r="Q2727" s="199" t="str">
        <f>IF(B2727="","",IFERROR(IF('עלויות כח אדם (6)'!J2727&gt;=VLOOKUP(I2727,'סיווג התפקידים והעלויות'!$B$23:$C$32,2,0),"תקין","לא תקין"),""))</f>
        <v/>
      </c>
      <c r="R2727" s="199" t="str">
        <f t="shared" si="637"/>
        <v/>
      </c>
      <c r="S2727" s="199" t="str">
        <f t="shared" si="638"/>
        <v/>
      </c>
      <c r="T2727" s="199" t="str">
        <f t="shared" si="646"/>
        <v/>
      </c>
      <c r="U2727" s="199" t="str">
        <f t="shared" si="639"/>
        <v/>
      </c>
      <c r="V2727" s="989"/>
      <c r="X2727" s="374" t="str">
        <f t="shared" si="640"/>
        <v/>
      </c>
      <c r="Y2727" s="375" t="str">
        <f t="shared" si="641"/>
        <v/>
      </c>
      <c r="Z2727" s="374" t="str">
        <f t="shared" si="642"/>
        <v/>
      </c>
      <c r="AA2727" s="374" t="b">
        <f t="shared" si="643"/>
        <v>1</v>
      </c>
      <c r="AB2727" s="374">
        <f>COUNTIFS(B:B,B2727,H:H,'סיווג התפקידים והעלויות'!$C$2)</f>
        <v>0</v>
      </c>
      <c r="AC2727" s="374">
        <f>COUNTIFS(B:B,B2727,H:H,'סיווג התפקידים והעלויות'!$D$2)</f>
        <v>0</v>
      </c>
      <c r="AD2727" s="374" t="str">
        <f>IF(OR(AND(H2727='סיווג התפקידים והעלויות'!$A$2,I2727='סיווג התפקידים והעלויות'!$A$3),'עלויות כח אדם (6)'!H2727='סיווג התפקידים והעלויות'!$C$2,'עלויות כח אדם (6)'!H2727='סיווג התפקידים והעלויות'!$D$2),IF('עלויות כח אדם (6)'!J2727&lt;75,"לא תקין","תקין"),"")</f>
        <v/>
      </c>
      <c r="AE2727" s="374" t="str">
        <f t="shared" si="644"/>
        <v/>
      </c>
      <c r="AF2727" s="532" t="str">
        <f t="shared" si="645"/>
        <v/>
      </c>
    </row>
    <row r="2728" spans="2:32" x14ac:dyDescent="0.25">
      <c r="B2728" s="695"/>
      <c r="C2728" s="197" t="str">
        <f>IF(B2728&lt;&gt;"",IFERROR(VLOOKUP(B:B,'מצבת והרשמה (2)'!$C$20:$N$520,2,0)," ")," ")</f>
        <v xml:space="preserve"> </v>
      </c>
      <c r="D2728" s="695"/>
      <c r="E2728" s="696"/>
      <c r="F2728" s="696"/>
      <c r="G2728" s="696"/>
      <c r="H2728" s="696"/>
      <c r="I2728" s="1050" t="str">
        <f t="shared" si="632"/>
        <v/>
      </c>
      <c r="J2728" s="696"/>
      <c r="K2728" s="697"/>
      <c r="L2728" s="696"/>
      <c r="M2728" s="198" t="str">
        <f t="shared" si="633"/>
        <v/>
      </c>
      <c r="N2728" s="369" t="str">
        <f t="shared" si="634"/>
        <v/>
      </c>
      <c r="O2728" s="183" t="str">
        <f t="shared" si="635"/>
        <v/>
      </c>
      <c r="P2728" s="199" t="str">
        <f t="shared" si="636"/>
        <v/>
      </c>
      <c r="Q2728" s="199" t="str">
        <f>IF(B2728="","",IFERROR(IF('עלויות כח אדם (6)'!J2728&gt;=VLOOKUP(I2728,'סיווג התפקידים והעלויות'!$B$23:$C$32,2,0),"תקין","לא תקין"),""))</f>
        <v/>
      </c>
      <c r="R2728" s="199" t="str">
        <f t="shared" si="637"/>
        <v/>
      </c>
      <c r="S2728" s="199" t="str">
        <f t="shared" si="638"/>
        <v/>
      </c>
      <c r="T2728" s="199" t="str">
        <f t="shared" si="646"/>
        <v/>
      </c>
      <c r="U2728" s="199" t="str">
        <f t="shared" si="639"/>
        <v/>
      </c>
      <c r="V2728" s="989"/>
      <c r="X2728" s="374" t="str">
        <f t="shared" si="640"/>
        <v/>
      </c>
      <c r="Y2728" s="375" t="str">
        <f t="shared" si="641"/>
        <v/>
      </c>
      <c r="Z2728" s="374" t="str">
        <f t="shared" si="642"/>
        <v/>
      </c>
      <c r="AA2728" s="374" t="b">
        <f t="shared" si="643"/>
        <v>1</v>
      </c>
      <c r="AB2728" s="374">
        <f>COUNTIFS(B:B,B2728,H:H,'סיווג התפקידים והעלויות'!$C$2)</f>
        <v>0</v>
      </c>
      <c r="AC2728" s="374">
        <f>COUNTIFS(B:B,B2728,H:H,'סיווג התפקידים והעלויות'!$D$2)</f>
        <v>0</v>
      </c>
      <c r="AD2728" s="374" t="str">
        <f>IF(OR(AND(H2728='סיווג התפקידים והעלויות'!$A$2,I2728='סיווג התפקידים והעלויות'!$A$3),'עלויות כח אדם (6)'!H2728='סיווג התפקידים והעלויות'!$C$2,'עלויות כח אדם (6)'!H2728='סיווג התפקידים והעלויות'!$D$2),IF('עלויות כח אדם (6)'!J2728&lt;75,"לא תקין","תקין"),"")</f>
        <v/>
      </c>
      <c r="AE2728" s="374" t="str">
        <f t="shared" si="644"/>
        <v/>
      </c>
      <c r="AF2728" s="532" t="str">
        <f t="shared" si="645"/>
        <v/>
      </c>
    </row>
    <row r="2729" spans="2:32" x14ac:dyDescent="0.25">
      <c r="B2729" s="695"/>
      <c r="C2729" s="197" t="str">
        <f>IF(B2729&lt;&gt;"",IFERROR(VLOOKUP(B:B,'מצבת והרשמה (2)'!$C$20:$N$520,2,0)," ")," ")</f>
        <v xml:space="preserve"> </v>
      </c>
      <c r="D2729" s="695"/>
      <c r="E2729" s="696"/>
      <c r="F2729" s="696"/>
      <c r="G2729" s="696"/>
      <c r="H2729" s="696"/>
      <c r="I2729" s="1050" t="str">
        <f t="shared" si="632"/>
        <v/>
      </c>
      <c r="J2729" s="696"/>
      <c r="K2729" s="697"/>
      <c r="L2729" s="696"/>
      <c r="M2729" s="198" t="str">
        <f t="shared" si="633"/>
        <v/>
      </c>
      <c r="N2729" s="369" t="str">
        <f t="shared" si="634"/>
        <v/>
      </c>
      <c r="O2729" s="183" t="str">
        <f t="shared" si="635"/>
        <v/>
      </c>
      <c r="P2729" s="199" t="str">
        <f t="shared" si="636"/>
        <v/>
      </c>
      <c r="Q2729" s="199" t="str">
        <f>IF(B2729="","",IFERROR(IF('עלויות כח אדם (6)'!J2729&gt;=VLOOKUP(I2729,'סיווג התפקידים והעלויות'!$B$23:$C$32,2,0),"תקין","לא תקין"),""))</f>
        <v/>
      </c>
      <c r="R2729" s="199" t="str">
        <f t="shared" si="637"/>
        <v/>
      </c>
      <c r="S2729" s="199" t="str">
        <f t="shared" si="638"/>
        <v/>
      </c>
      <c r="T2729" s="199" t="str">
        <f t="shared" si="646"/>
        <v/>
      </c>
      <c r="U2729" s="199" t="str">
        <f t="shared" si="639"/>
        <v/>
      </c>
      <c r="V2729" s="989"/>
      <c r="X2729" s="374" t="str">
        <f t="shared" si="640"/>
        <v/>
      </c>
      <c r="Y2729" s="375" t="str">
        <f t="shared" si="641"/>
        <v/>
      </c>
      <c r="Z2729" s="374" t="str">
        <f t="shared" si="642"/>
        <v/>
      </c>
      <c r="AA2729" s="374" t="b">
        <f t="shared" si="643"/>
        <v>1</v>
      </c>
      <c r="AB2729" s="374">
        <f>COUNTIFS(B:B,B2729,H:H,'סיווג התפקידים והעלויות'!$C$2)</f>
        <v>0</v>
      </c>
      <c r="AC2729" s="374">
        <f>COUNTIFS(B:B,B2729,H:H,'סיווג התפקידים והעלויות'!$D$2)</f>
        <v>0</v>
      </c>
      <c r="AD2729" s="374" t="str">
        <f>IF(OR(AND(H2729='סיווג התפקידים והעלויות'!$A$2,I2729='סיווג התפקידים והעלויות'!$A$3),'עלויות כח אדם (6)'!H2729='סיווג התפקידים והעלויות'!$C$2,'עלויות כח אדם (6)'!H2729='סיווג התפקידים והעלויות'!$D$2),IF('עלויות כח אדם (6)'!J2729&lt;75,"לא תקין","תקין"),"")</f>
        <v/>
      </c>
      <c r="AE2729" s="374" t="str">
        <f t="shared" si="644"/>
        <v/>
      </c>
      <c r="AF2729" s="532" t="str">
        <f t="shared" si="645"/>
        <v/>
      </c>
    </row>
    <row r="2730" spans="2:32" x14ac:dyDescent="0.25">
      <c r="B2730" s="695"/>
      <c r="C2730" s="197" t="str">
        <f>IF(B2730&lt;&gt;"",IFERROR(VLOOKUP(B:B,'מצבת והרשמה (2)'!$C$20:$N$520,2,0)," ")," ")</f>
        <v xml:space="preserve"> </v>
      </c>
      <c r="D2730" s="695"/>
      <c r="E2730" s="696"/>
      <c r="F2730" s="696"/>
      <c r="G2730" s="696"/>
      <c r="H2730" s="696"/>
      <c r="I2730" s="1050" t="str">
        <f t="shared" si="632"/>
        <v/>
      </c>
      <c r="J2730" s="696"/>
      <c r="K2730" s="697"/>
      <c r="L2730" s="696"/>
      <c r="M2730" s="198" t="str">
        <f t="shared" si="633"/>
        <v/>
      </c>
      <c r="N2730" s="369" t="str">
        <f t="shared" si="634"/>
        <v/>
      </c>
      <c r="O2730" s="183" t="str">
        <f t="shared" si="635"/>
        <v/>
      </c>
      <c r="P2730" s="199" t="str">
        <f t="shared" si="636"/>
        <v/>
      </c>
      <c r="Q2730" s="199" t="str">
        <f>IF(B2730="","",IFERROR(IF('עלויות כח אדם (6)'!J2730&gt;=VLOOKUP(I2730,'סיווג התפקידים והעלויות'!$B$23:$C$32,2,0),"תקין","לא תקין"),""))</f>
        <v/>
      </c>
      <c r="R2730" s="199" t="str">
        <f t="shared" si="637"/>
        <v/>
      </c>
      <c r="S2730" s="199" t="str">
        <f t="shared" si="638"/>
        <v/>
      </c>
      <c r="T2730" s="199" t="str">
        <f t="shared" si="646"/>
        <v/>
      </c>
      <c r="U2730" s="199" t="str">
        <f t="shared" si="639"/>
        <v/>
      </c>
      <c r="V2730" s="989"/>
      <c r="X2730" s="374" t="str">
        <f t="shared" si="640"/>
        <v/>
      </c>
      <c r="Y2730" s="375" t="str">
        <f t="shared" si="641"/>
        <v/>
      </c>
      <c r="Z2730" s="374" t="str">
        <f t="shared" si="642"/>
        <v/>
      </c>
      <c r="AA2730" s="374" t="b">
        <f t="shared" si="643"/>
        <v>1</v>
      </c>
      <c r="AB2730" s="374">
        <f>COUNTIFS(B:B,B2730,H:H,'סיווג התפקידים והעלויות'!$C$2)</f>
        <v>0</v>
      </c>
      <c r="AC2730" s="374">
        <f>COUNTIFS(B:B,B2730,H:H,'סיווג התפקידים והעלויות'!$D$2)</f>
        <v>0</v>
      </c>
      <c r="AD2730" s="374" t="str">
        <f>IF(OR(AND(H2730='סיווג התפקידים והעלויות'!$A$2,I2730='סיווג התפקידים והעלויות'!$A$3),'עלויות כח אדם (6)'!H2730='סיווג התפקידים והעלויות'!$C$2,'עלויות כח אדם (6)'!H2730='סיווג התפקידים והעלויות'!$D$2),IF('עלויות כח אדם (6)'!J2730&lt;75,"לא תקין","תקין"),"")</f>
        <v/>
      </c>
      <c r="AE2730" s="374" t="str">
        <f t="shared" si="644"/>
        <v/>
      </c>
      <c r="AF2730" s="532" t="str">
        <f t="shared" si="645"/>
        <v/>
      </c>
    </row>
    <row r="2731" spans="2:32" x14ac:dyDescent="0.25">
      <c r="B2731" s="695"/>
      <c r="C2731" s="197" t="str">
        <f>IF(B2731&lt;&gt;"",IFERROR(VLOOKUP(B:B,'מצבת והרשמה (2)'!$C$20:$N$520,2,0)," ")," ")</f>
        <v xml:space="preserve"> </v>
      </c>
      <c r="D2731" s="695"/>
      <c r="E2731" s="696"/>
      <c r="F2731" s="696"/>
      <c r="G2731" s="696"/>
      <c r="H2731" s="696"/>
      <c r="I2731" s="1050" t="str">
        <f t="shared" si="632"/>
        <v/>
      </c>
      <c r="J2731" s="696"/>
      <c r="K2731" s="697"/>
      <c r="L2731" s="696"/>
      <c r="M2731" s="198" t="str">
        <f t="shared" si="633"/>
        <v/>
      </c>
      <c r="N2731" s="369" t="str">
        <f t="shared" si="634"/>
        <v/>
      </c>
      <c r="O2731" s="183" t="str">
        <f t="shared" si="635"/>
        <v/>
      </c>
      <c r="P2731" s="199" t="str">
        <f t="shared" si="636"/>
        <v/>
      </c>
      <c r="Q2731" s="199" t="str">
        <f>IF(B2731="","",IFERROR(IF('עלויות כח אדם (6)'!J2731&gt;=VLOOKUP(I2731,'סיווג התפקידים והעלויות'!$B$23:$C$32,2,0),"תקין","לא תקין"),""))</f>
        <v/>
      </c>
      <c r="R2731" s="199" t="str">
        <f t="shared" si="637"/>
        <v/>
      </c>
      <c r="S2731" s="199" t="str">
        <f t="shared" si="638"/>
        <v/>
      </c>
      <c r="T2731" s="199" t="str">
        <f t="shared" si="646"/>
        <v/>
      </c>
      <c r="U2731" s="199" t="str">
        <f t="shared" si="639"/>
        <v/>
      </c>
      <c r="V2731" s="989"/>
      <c r="X2731" s="374" t="str">
        <f t="shared" si="640"/>
        <v/>
      </c>
      <c r="Y2731" s="375" t="str">
        <f t="shared" si="641"/>
        <v/>
      </c>
      <c r="Z2731" s="374" t="str">
        <f t="shared" si="642"/>
        <v/>
      </c>
      <c r="AA2731" s="374" t="b">
        <f t="shared" si="643"/>
        <v>1</v>
      </c>
      <c r="AB2731" s="374">
        <f>COUNTIFS(B:B,B2731,H:H,'סיווג התפקידים והעלויות'!$C$2)</f>
        <v>0</v>
      </c>
      <c r="AC2731" s="374">
        <f>COUNTIFS(B:B,B2731,H:H,'סיווג התפקידים והעלויות'!$D$2)</f>
        <v>0</v>
      </c>
      <c r="AD2731" s="374" t="str">
        <f>IF(OR(AND(H2731='סיווג התפקידים והעלויות'!$A$2,I2731='סיווג התפקידים והעלויות'!$A$3),'עלויות כח אדם (6)'!H2731='סיווג התפקידים והעלויות'!$C$2,'עלויות כח אדם (6)'!H2731='סיווג התפקידים והעלויות'!$D$2),IF('עלויות כח אדם (6)'!J2731&lt;75,"לא תקין","תקין"),"")</f>
        <v/>
      </c>
      <c r="AE2731" s="374" t="str">
        <f t="shared" si="644"/>
        <v/>
      </c>
      <c r="AF2731" s="532" t="str">
        <f t="shared" si="645"/>
        <v/>
      </c>
    </row>
    <row r="2732" spans="2:32" x14ac:dyDescent="0.25">
      <c r="B2732" s="695"/>
      <c r="C2732" s="197" t="str">
        <f>IF(B2732&lt;&gt;"",IFERROR(VLOOKUP(B:B,'מצבת והרשמה (2)'!$C$20:$N$520,2,0)," ")," ")</f>
        <v xml:space="preserve"> </v>
      </c>
      <c r="D2732" s="695"/>
      <c r="E2732" s="696"/>
      <c r="F2732" s="696"/>
      <c r="G2732" s="696"/>
      <c r="H2732" s="696"/>
      <c r="I2732" s="1050" t="str">
        <f t="shared" si="632"/>
        <v/>
      </c>
      <c r="J2732" s="696"/>
      <c r="K2732" s="697"/>
      <c r="L2732" s="696"/>
      <c r="M2732" s="198" t="str">
        <f t="shared" si="633"/>
        <v/>
      </c>
      <c r="N2732" s="369" t="str">
        <f t="shared" si="634"/>
        <v/>
      </c>
      <c r="O2732" s="183" t="str">
        <f t="shared" si="635"/>
        <v/>
      </c>
      <c r="P2732" s="199" t="str">
        <f t="shared" si="636"/>
        <v/>
      </c>
      <c r="Q2732" s="199" t="str">
        <f>IF(B2732="","",IFERROR(IF('עלויות כח אדם (6)'!J2732&gt;=VLOOKUP(I2732,'סיווג התפקידים והעלויות'!$B$23:$C$32,2,0),"תקין","לא תקין"),""))</f>
        <v/>
      </c>
      <c r="R2732" s="199" t="str">
        <f t="shared" si="637"/>
        <v/>
      </c>
      <c r="S2732" s="199" t="str">
        <f t="shared" si="638"/>
        <v/>
      </c>
      <c r="T2732" s="199" t="str">
        <f t="shared" si="646"/>
        <v/>
      </c>
      <c r="U2732" s="199" t="str">
        <f t="shared" si="639"/>
        <v/>
      </c>
      <c r="V2732" s="989"/>
      <c r="X2732" s="374" t="str">
        <f t="shared" si="640"/>
        <v/>
      </c>
      <c r="Y2732" s="375" t="str">
        <f t="shared" si="641"/>
        <v/>
      </c>
      <c r="Z2732" s="374" t="str">
        <f t="shared" si="642"/>
        <v/>
      </c>
      <c r="AA2732" s="374" t="b">
        <f t="shared" si="643"/>
        <v>1</v>
      </c>
      <c r="AB2732" s="374">
        <f>COUNTIFS(B:B,B2732,H:H,'סיווג התפקידים והעלויות'!$C$2)</f>
        <v>0</v>
      </c>
      <c r="AC2732" s="374">
        <f>COUNTIFS(B:B,B2732,H:H,'סיווג התפקידים והעלויות'!$D$2)</f>
        <v>0</v>
      </c>
      <c r="AD2732" s="374" t="str">
        <f>IF(OR(AND(H2732='סיווג התפקידים והעלויות'!$A$2,I2732='סיווג התפקידים והעלויות'!$A$3),'עלויות כח אדם (6)'!H2732='סיווג התפקידים והעלויות'!$C$2,'עלויות כח אדם (6)'!H2732='סיווג התפקידים והעלויות'!$D$2),IF('עלויות כח אדם (6)'!J2732&lt;75,"לא תקין","תקין"),"")</f>
        <v/>
      </c>
      <c r="AE2732" s="374" t="str">
        <f t="shared" si="644"/>
        <v/>
      </c>
      <c r="AF2732" s="532" t="str">
        <f t="shared" si="645"/>
        <v/>
      </c>
    </row>
    <row r="2733" spans="2:32" x14ac:dyDescent="0.25">
      <c r="B2733" s="695"/>
      <c r="C2733" s="197" t="str">
        <f>IF(B2733&lt;&gt;"",IFERROR(VLOOKUP(B:B,'מצבת והרשמה (2)'!$C$20:$N$520,2,0)," ")," ")</f>
        <v xml:space="preserve"> </v>
      </c>
      <c r="D2733" s="695"/>
      <c r="E2733" s="696"/>
      <c r="F2733" s="696"/>
      <c r="G2733" s="696"/>
      <c r="H2733" s="696"/>
      <c r="I2733" s="1050" t="str">
        <f t="shared" si="632"/>
        <v/>
      </c>
      <c r="J2733" s="696"/>
      <c r="K2733" s="697"/>
      <c r="L2733" s="696"/>
      <c r="M2733" s="198" t="str">
        <f t="shared" si="633"/>
        <v/>
      </c>
      <c r="N2733" s="369" t="str">
        <f t="shared" si="634"/>
        <v/>
      </c>
      <c r="O2733" s="183" t="str">
        <f t="shared" si="635"/>
        <v/>
      </c>
      <c r="P2733" s="199" t="str">
        <f t="shared" si="636"/>
        <v/>
      </c>
      <c r="Q2733" s="199" t="str">
        <f>IF(B2733="","",IFERROR(IF('עלויות כח אדם (6)'!J2733&gt;=VLOOKUP(I2733,'סיווג התפקידים והעלויות'!$B$23:$C$32,2,0),"תקין","לא תקין"),""))</f>
        <v/>
      </c>
      <c r="R2733" s="199" t="str">
        <f t="shared" si="637"/>
        <v/>
      </c>
      <c r="S2733" s="199" t="str">
        <f t="shared" si="638"/>
        <v/>
      </c>
      <c r="T2733" s="199" t="str">
        <f t="shared" si="646"/>
        <v/>
      </c>
      <c r="U2733" s="199" t="str">
        <f t="shared" si="639"/>
        <v/>
      </c>
      <c r="V2733" s="989"/>
      <c r="X2733" s="374" t="str">
        <f t="shared" si="640"/>
        <v/>
      </c>
      <c r="Y2733" s="375" t="str">
        <f t="shared" si="641"/>
        <v/>
      </c>
      <c r="Z2733" s="374" t="str">
        <f t="shared" si="642"/>
        <v/>
      </c>
      <c r="AA2733" s="374" t="b">
        <f t="shared" si="643"/>
        <v>1</v>
      </c>
      <c r="AB2733" s="374">
        <f>COUNTIFS(B:B,B2733,H:H,'סיווג התפקידים והעלויות'!$C$2)</f>
        <v>0</v>
      </c>
      <c r="AC2733" s="374">
        <f>COUNTIFS(B:B,B2733,H:H,'סיווג התפקידים והעלויות'!$D$2)</f>
        <v>0</v>
      </c>
      <c r="AD2733" s="374" t="str">
        <f>IF(OR(AND(H2733='סיווג התפקידים והעלויות'!$A$2,I2733='סיווג התפקידים והעלויות'!$A$3),'עלויות כח אדם (6)'!H2733='סיווג התפקידים והעלויות'!$C$2,'עלויות כח אדם (6)'!H2733='סיווג התפקידים והעלויות'!$D$2),IF('עלויות כח אדם (6)'!J2733&lt;75,"לא תקין","תקין"),"")</f>
        <v/>
      </c>
      <c r="AE2733" s="374" t="str">
        <f t="shared" si="644"/>
        <v/>
      </c>
      <c r="AF2733" s="532" t="str">
        <f t="shared" si="645"/>
        <v/>
      </c>
    </row>
    <row r="2734" spans="2:32" x14ac:dyDescent="0.25">
      <c r="B2734" s="695"/>
      <c r="C2734" s="197" t="str">
        <f>IF(B2734&lt;&gt;"",IFERROR(VLOOKUP(B:B,'מצבת והרשמה (2)'!$C$20:$N$520,2,0)," ")," ")</f>
        <v xml:space="preserve"> </v>
      </c>
      <c r="D2734" s="695"/>
      <c r="E2734" s="696"/>
      <c r="F2734" s="696"/>
      <c r="G2734" s="696"/>
      <c r="H2734" s="696"/>
      <c r="I2734" s="1050" t="str">
        <f t="shared" si="632"/>
        <v/>
      </c>
      <c r="J2734" s="696"/>
      <c r="K2734" s="697"/>
      <c r="L2734" s="696"/>
      <c r="M2734" s="198" t="str">
        <f t="shared" si="633"/>
        <v/>
      </c>
      <c r="N2734" s="369" t="str">
        <f t="shared" si="634"/>
        <v/>
      </c>
      <c r="O2734" s="183" t="str">
        <f t="shared" si="635"/>
        <v/>
      </c>
      <c r="P2734" s="199" t="str">
        <f t="shared" si="636"/>
        <v/>
      </c>
      <c r="Q2734" s="199" t="str">
        <f>IF(B2734="","",IFERROR(IF('עלויות כח אדם (6)'!J2734&gt;=VLOOKUP(I2734,'סיווג התפקידים והעלויות'!$B$23:$C$32,2,0),"תקין","לא תקין"),""))</f>
        <v/>
      </c>
      <c r="R2734" s="199" t="str">
        <f t="shared" si="637"/>
        <v/>
      </c>
      <c r="S2734" s="199" t="str">
        <f t="shared" si="638"/>
        <v/>
      </c>
      <c r="T2734" s="199" t="str">
        <f t="shared" si="646"/>
        <v/>
      </c>
      <c r="U2734" s="199" t="str">
        <f t="shared" si="639"/>
        <v/>
      </c>
      <c r="V2734" s="989"/>
      <c r="X2734" s="374" t="str">
        <f t="shared" si="640"/>
        <v/>
      </c>
      <c r="Y2734" s="375" t="str">
        <f t="shared" si="641"/>
        <v/>
      </c>
      <c r="Z2734" s="374" t="str">
        <f t="shared" si="642"/>
        <v/>
      </c>
      <c r="AA2734" s="374" t="b">
        <f t="shared" si="643"/>
        <v>1</v>
      </c>
      <c r="AB2734" s="374">
        <f>COUNTIFS(B:B,B2734,H:H,'סיווג התפקידים והעלויות'!$C$2)</f>
        <v>0</v>
      </c>
      <c r="AC2734" s="374">
        <f>COUNTIFS(B:B,B2734,H:H,'סיווג התפקידים והעלויות'!$D$2)</f>
        <v>0</v>
      </c>
      <c r="AD2734" s="374" t="str">
        <f>IF(OR(AND(H2734='סיווג התפקידים והעלויות'!$A$2,I2734='סיווג התפקידים והעלויות'!$A$3),'עלויות כח אדם (6)'!H2734='סיווג התפקידים והעלויות'!$C$2,'עלויות כח אדם (6)'!H2734='סיווג התפקידים והעלויות'!$D$2),IF('עלויות כח אדם (6)'!J2734&lt;75,"לא תקין","תקין"),"")</f>
        <v/>
      </c>
      <c r="AE2734" s="374" t="str">
        <f t="shared" si="644"/>
        <v/>
      </c>
      <c r="AF2734" s="532" t="str">
        <f t="shared" si="645"/>
        <v/>
      </c>
    </row>
    <row r="2735" spans="2:32" x14ac:dyDescent="0.25">
      <c r="B2735" s="695"/>
      <c r="C2735" s="197" t="str">
        <f>IF(B2735&lt;&gt;"",IFERROR(VLOOKUP(B:B,'מצבת והרשמה (2)'!$C$20:$N$520,2,0)," ")," ")</f>
        <v xml:space="preserve"> </v>
      </c>
      <c r="D2735" s="695"/>
      <c r="E2735" s="696"/>
      <c r="F2735" s="696"/>
      <c r="G2735" s="696"/>
      <c r="H2735" s="696"/>
      <c r="I2735" s="1050" t="str">
        <f t="shared" si="632"/>
        <v/>
      </c>
      <c r="J2735" s="696"/>
      <c r="K2735" s="697"/>
      <c r="L2735" s="696"/>
      <c r="M2735" s="198" t="str">
        <f t="shared" si="633"/>
        <v/>
      </c>
      <c r="N2735" s="369" t="str">
        <f t="shared" si="634"/>
        <v/>
      </c>
      <c r="O2735" s="183" t="str">
        <f t="shared" si="635"/>
        <v/>
      </c>
      <c r="P2735" s="199" t="str">
        <f t="shared" si="636"/>
        <v/>
      </c>
      <c r="Q2735" s="199" t="str">
        <f>IF(B2735="","",IFERROR(IF('עלויות כח אדם (6)'!J2735&gt;=VLOOKUP(I2735,'סיווג התפקידים והעלויות'!$B$23:$C$32,2,0),"תקין","לא תקין"),""))</f>
        <v/>
      </c>
      <c r="R2735" s="199" t="str">
        <f t="shared" si="637"/>
        <v/>
      </c>
      <c r="S2735" s="199" t="str">
        <f t="shared" si="638"/>
        <v/>
      </c>
      <c r="T2735" s="199" t="str">
        <f t="shared" si="646"/>
        <v/>
      </c>
      <c r="U2735" s="199" t="str">
        <f t="shared" si="639"/>
        <v/>
      </c>
      <c r="V2735" s="989"/>
      <c r="X2735" s="374" t="str">
        <f t="shared" si="640"/>
        <v/>
      </c>
      <c r="Y2735" s="375" t="str">
        <f t="shared" si="641"/>
        <v/>
      </c>
      <c r="Z2735" s="374" t="str">
        <f t="shared" si="642"/>
        <v/>
      </c>
      <c r="AA2735" s="374" t="b">
        <f t="shared" si="643"/>
        <v>1</v>
      </c>
      <c r="AB2735" s="374">
        <f>COUNTIFS(B:B,B2735,H:H,'סיווג התפקידים והעלויות'!$C$2)</f>
        <v>0</v>
      </c>
      <c r="AC2735" s="374">
        <f>COUNTIFS(B:B,B2735,H:H,'סיווג התפקידים והעלויות'!$D$2)</f>
        <v>0</v>
      </c>
      <c r="AD2735" s="374" t="str">
        <f>IF(OR(AND(H2735='סיווג התפקידים והעלויות'!$A$2,I2735='סיווג התפקידים והעלויות'!$A$3),'עלויות כח אדם (6)'!H2735='סיווג התפקידים והעלויות'!$C$2,'עלויות כח אדם (6)'!H2735='סיווג התפקידים והעלויות'!$D$2),IF('עלויות כח אדם (6)'!J2735&lt;75,"לא תקין","תקין"),"")</f>
        <v/>
      </c>
      <c r="AE2735" s="374" t="str">
        <f t="shared" si="644"/>
        <v/>
      </c>
      <c r="AF2735" s="532" t="str">
        <f t="shared" si="645"/>
        <v/>
      </c>
    </row>
    <row r="2736" spans="2:32" x14ac:dyDescent="0.25">
      <c r="B2736" s="695"/>
      <c r="C2736" s="197" t="str">
        <f>IF(B2736&lt;&gt;"",IFERROR(VLOOKUP(B:B,'מצבת והרשמה (2)'!$C$20:$N$520,2,0)," ")," ")</f>
        <v xml:space="preserve"> </v>
      </c>
      <c r="D2736" s="695"/>
      <c r="E2736" s="696"/>
      <c r="F2736" s="696"/>
      <c r="G2736" s="696"/>
      <c r="H2736" s="696"/>
      <c r="I2736" s="1050" t="str">
        <f t="shared" si="632"/>
        <v/>
      </c>
      <c r="J2736" s="696"/>
      <c r="K2736" s="697"/>
      <c r="L2736" s="696"/>
      <c r="M2736" s="198" t="str">
        <f t="shared" si="633"/>
        <v/>
      </c>
      <c r="N2736" s="369" t="str">
        <f t="shared" si="634"/>
        <v/>
      </c>
      <c r="O2736" s="183" t="str">
        <f t="shared" si="635"/>
        <v/>
      </c>
      <c r="P2736" s="199" t="str">
        <f t="shared" si="636"/>
        <v/>
      </c>
      <c r="Q2736" s="199" t="str">
        <f>IF(B2736="","",IFERROR(IF('עלויות כח אדם (6)'!J2736&gt;=VLOOKUP(I2736,'סיווג התפקידים והעלויות'!$B$23:$C$32,2,0),"תקין","לא תקין"),""))</f>
        <v/>
      </c>
      <c r="R2736" s="199" t="str">
        <f t="shared" si="637"/>
        <v/>
      </c>
      <c r="S2736" s="199" t="str">
        <f t="shared" si="638"/>
        <v/>
      </c>
      <c r="T2736" s="199" t="str">
        <f t="shared" si="646"/>
        <v/>
      </c>
      <c r="U2736" s="199" t="str">
        <f t="shared" si="639"/>
        <v/>
      </c>
      <c r="V2736" s="989"/>
      <c r="X2736" s="374" t="str">
        <f t="shared" si="640"/>
        <v/>
      </c>
      <c r="Y2736" s="375" t="str">
        <f t="shared" si="641"/>
        <v/>
      </c>
      <c r="Z2736" s="374" t="str">
        <f t="shared" si="642"/>
        <v/>
      </c>
      <c r="AA2736" s="374" t="b">
        <f t="shared" si="643"/>
        <v>1</v>
      </c>
      <c r="AB2736" s="374">
        <f>COUNTIFS(B:B,B2736,H:H,'סיווג התפקידים והעלויות'!$C$2)</f>
        <v>0</v>
      </c>
      <c r="AC2736" s="374">
        <f>COUNTIFS(B:B,B2736,H:H,'סיווג התפקידים והעלויות'!$D$2)</f>
        <v>0</v>
      </c>
      <c r="AD2736" s="374" t="str">
        <f>IF(OR(AND(H2736='סיווג התפקידים והעלויות'!$A$2,I2736='סיווג התפקידים והעלויות'!$A$3),'עלויות כח אדם (6)'!H2736='סיווג התפקידים והעלויות'!$C$2,'עלויות כח אדם (6)'!H2736='סיווג התפקידים והעלויות'!$D$2),IF('עלויות כח אדם (6)'!J2736&lt;75,"לא תקין","תקין"),"")</f>
        <v/>
      </c>
      <c r="AE2736" s="374" t="str">
        <f t="shared" si="644"/>
        <v/>
      </c>
      <c r="AF2736" s="532" t="str">
        <f t="shared" si="645"/>
        <v/>
      </c>
    </row>
    <row r="2737" spans="2:32" x14ac:dyDescent="0.25">
      <c r="B2737" s="695"/>
      <c r="C2737" s="197" t="str">
        <f>IF(B2737&lt;&gt;"",IFERROR(VLOOKUP(B:B,'מצבת והרשמה (2)'!$C$20:$N$520,2,0)," ")," ")</f>
        <v xml:space="preserve"> </v>
      </c>
      <c r="D2737" s="695"/>
      <c r="E2737" s="696"/>
      <c r="F2737" s="696"/>
      <c r="G2737" s="696"/>
      <c r="H2737" s="696"/>
      <c r="I2737" s="1050" t="str">
        <f t="shared" si="632"/>
        <v/>
      </c>
      <c r="J2737" s="696"/>
      <c r="K2737" s="697"/>
      <c r="L2737" s="696"/>
      <c r="M2737" s="198" t="str">
        <f t="shared" si="633"/>
        <v/>
      </c>
      <c r="N2737" s="369" t="str">
        <f t="shared" si="634"/>
        <v/>
      </c>
      <c r="O2737" s="183" t="str">
        <f t="shared" si="635"/>
        <v/>
      </c>
      <c r="P2737" s="199" t="str">
        <f t="shared" si="636"/>
        <v/>
      </c>
      <c r="Q2737" s="199" t="str">
        <f>IF(B2737="","",IFERROR(IF('עלויות כח אדם (6)'!J2737&gt;=VLOOKUP(I2737,'סיווג התפקידים והעלויות'!$B$23:$C$32,2,0),"תקין","לא תקין"),""))</f>
        <v/>
      </c>
      <c r="R2737" s="199" t="str">
        <f t="shared" si="637"/>
        <v/>
      </c>
      <c r="S2737" s="199" t="str">
        <f t="shared" si="638"/>
        <v/>
      </c>
      <c r="T2737" s="199" t="str">
        <f t="shared" si="646"/>
        <v/>
      </c>
      <c r="U2737" s="199" t="str">
        <f t="shared" si="639"/>
        <v/>
      </c>
      <c r="V2737" s="989"/>
      <c r="X2737" s="374" t="str">
        <f t="shared" si="640"/>
        <v/>
      </c>
      <c r="Y2737" s="375" t="str">
        <f t="shared" si="641"/>
        <v/>
      </c>
      <c r="Z2737" s="374" t="str">
        <f t="shared" si="642"/>
        <v/>
      </c>
      <c r="AA2737" s="374" t="b">
        <f t="shared" si="643"/>
        <v>1</v>
      </c>
      <c r="AB2737" s="374">
        <f>COUNTIFS(B:B,B2737,H:H,'סיווג התפקידים והעלויות'!$C$2)</f>
        <v>0</v>
      </c>
      <c r="AC2737" s="374">
        <f>COUNTIFS(B:B,B2737,H:H,'סיווג התפקידים והעלויות'!$D$2)</f>
        <v>0</v>
      </c>
      <c r="AD2737" s="374" t="str">
        <f>IF(OR(AND(H2737='סיווג התפקידים והעלויות'!$A$2,I2737='סיווג התפקידים והעלויות'!$A$3),'עלויות כח אדם (6)'!H2737='סיווג התפקידים והעלויות'!$C$2,'עלויות כח אדם (6)'!H2737='סיווג התפקידים והעלויות'!$D$2),IF('עלויות כח אדם (6)'!J2737&lt;75,"לא תקין","תקין"),"")</f>
        <v/>
      </c>
      <c r="AE2737" s="374" t="str">
        <f t="shared" si="644"/>
        <v/>
      </c>
      <c r="AF2737" s="532" t="str">
        <f t="shared" si="645"/>
        <v/>
      </c>
    </row>
    <row r="2738" spans="2:32" x14ac:dyDescent="0.25">
      <c r="B2738" s="695"/>
      <c r="C2738" s="197" t="str">
        <f>IF(B2738&lt;&gt;"",IFERROR(VLOOKUP(B:B,'מצבת והרשמה (2)'!$C$20:$N$520,2,0)," ")," ")</f>
        <v xml:space="preserve"> </v>
      </c>
      <c r="D2738" s="695"/>
      <c r="E2738" s="696"/>
      <c r="F2738" s="696"/>
      <c r="G2738" s="696"/>
      <c r="H2738" s="696"/>
      <c r="I2738" s="1050" t="str">
        <f t="shared" si="632"/>
        <v/>
      </c>
      <c r="J2738" s="696"/>
      <c r="K2738" s="697"/>
      <c r="L2738" s="696"/>
      <c r="M2738" s="198" t="str">
        <f t="shared" si="633"/>
        <v/>
      </c>
      <c r="N2738" s="369" t="str">
        <f t="shared" si="634"/>
        <v/>
      </c>
      <c r="O2738" s="183" t="str">
        <f t="shared" si="635"/>
        <v/>
      </c>
      <c r="P2738" s="199" t="str">
        <f t="shared" si="636"/>
        <v/>
      </c>
      <c r="Q2738" s="199" t="str">
        <f>IF(B2738="","",IFERROR(IF('עלויות כח אדם (6)'!J2738&gt;=VLOOKUP(I2738,'סיווג התפקידים והעלויות'!$B$23:$C$32,2,0),"תקין","לא תקין"),""))</f>
        <v/>
      </c>
      <c r="R2738" s="199" t="str">
        <f t="shared" si="637"/>
        <v/>
      </c>
      <c r="S2738" s="199" t="str">
        <f t="shared" si="638"/>
        <v/>
      </c>
      <c r="T2738" s="199" t="str">
        <f t="shared" si="646"/>
        <v/>
      </c>
      <c r="U2738" s="199" t="str">
        <f t="shared" si="639"/>
        <v/>
      </c>
      <c r="V2738" s="989"/>
      <c r="X2738" s="374" t="str">
        <f t="shared" si="640"/>
        <v/>
      </c>
      <c r="Y2738" s="375" t="str">
        <f t="shared" si="641"/>
        <v/>
      </c>
      <c r="Z2738" s="374" t="str">
        <f t="shared" si="642"/>
        <v/>
      </c>
      <c r="AA2738" s="374" t="b">
        <f t="shared" si="643"/>
        <v>1</v>
      </c>
      <c r="AB2738" s="374">
        <f>COUNTIFS(B:B,B2738,H:H,'סיווג התפקידים והעלויות'!$C$2)</f>
        <v>0</v>
      </c>
      <c r="AC2738" s="374">
        <f>COUNTIFS(B:B,B2738,H:H,'סיווג התפקידים והעלויות'!$D$2)</f>
        <v>0</v>
      </c>
      <c r="AD2738" s="374" t="str">
        <f>IF(OR(AND(H2738='סיווג התפקידים והעלויות'!$A$2,I2738='סיווג התפקידים והעלויות'!$A$3),'עלויות כח אדם (6)'!H2738='סיווג התפקידים והעלויות'!$C$2,'עלויות כח אדם (6)'!H2738='סיווג התפקידים והעלויות'!$D$2),IF('עלויות כח אדם (6)'!J2738&lt;75,"לא תקין","תקין"),"")</f>
        <v/>
      </c>
      <c r="AE2738" s="374" t="str">
        <f t="shared" si="644"/>
        <v/>
      </c>
      <c r="AF2738" s="532" t="str">
        <f t="shared" si="645"/>
        <v/>
      </c>
    </row>
    <row r="2739" spans="2:32" x14ac:dyDescent="0.25">
      <c r="B2739" s="695"/>
      <c r="C2739" s="197" t="str">
        <f>IF(B2739&lt;&gt;"",IFERROR(VLOOKUP(B:B,'מצבת והרשמה (2)'!$C$20:$N$520,2,0)," ")," ")</f>
        <v xml:space="preserve"> </v>
      </c>
      <c r="D2739" s="695"/>
      <c r="E2739" s="696"/>
      <c r="F2739" s="696"/>
      <c r="G2739" s="696"/>
      <c r="H2739" s="696"/>
      <c r="I2739" s="1050" t="str">
        <f t="shared" si="632"/>
        <v/>
      </c>
      <c r="J2739" s="696"/>
      <c r="K2739" s="697"/>
      <c r="L2739" s="696"/>
      <c r="M2739" s="198" t="str">
        <f t="shared" si="633"/>
        <v/>
      </c>
      <c r="N2739" s="369" t="str">
        <f t="shared" si="634"/>
        <v/>
      </c>
      <c r="O2739" s="183" t="str">
        <f t="shared" si="635"/>
        <v/>
      </c>
      <c r="P2739" s="199" t="str">
        <f t="shared" si="636"/>
        <v/>
      </c>
      <c r="Q2739" s="199" t="str">
        <f>IF(B2739="","",IFERROR(IF('עלויות כח אדם (6)'!J2739&gt;=VLOOKUP(I2739,'סיווג התפקידים והעלויות'!$B$23:$C$32,2,0),"תקין","לא תקין"),""))</f>
        <v/>
      </c>
      <c r="R2739" s="199" t="str">
        <f t="shared" si="637"/>
        <v/>
      </c>
      <c r="S2739" s="199" t="str">
        <f t="shared" si="638"/>
        <v/>
      </c>
      <c r="T2739" s="199" t="str">
        <f t="shared" si="646"/>
        <v/>
      </c>
      <c r="U2739" s="199" t="str">
        <f t="shared" si="639"/>
        <v/>
      </c>
      <c r="V2739" s="989"/>
      <c r="X2739" s="374" t="str">
        <f t="shared" si="640"/>
        <v/>
      </c>
      <c r="Y2739" s="375" t="str">
        <f t="shared" si="641"/>
        <v/>
      </c>
      <c r="Z2739" s="374" t="str">
        <f t="shared" si="642"/>
        <v/>
      </c>
      <c r="AA2739" s="374" t="b">
        <f t="shared" si="643"/>
        <v>1</v>
      </c>
      <c r="AB2739" s="374">
        <f>COUNTIFS(B:B,B2739,H:H,'סיווג התפקידים והעלויות'!$C$2)</f>
        <v>0</v>
      </c>
      <c r="AC2739" s="374">
        <f>COUNTIFS(B:B,B2739,H:H,'סיווג התפקידים והעלויות'!$D$2)</f>
        <v>0</v>
      </c>
      <c r="AD2739" s="374" t="str">
        <f>IF(OR(AND(H2739='סיווג התפקידים והעלויות'!$A$2,I2739='סיווג התפקידים והעלויות'!$A$3),'עלויות כח אדם (6)'!H2739='סיווג התפקידים והעלויות'!$C$2,'עלויות כח אדם (6)'!H2739='סיווג התפקידים והעלויות'!$D$2),IF('עלויות כח אדם (6)'!J2739&lt;75,"לא תקין","תקין"),"")</f>
        <v/>
      </c>
      <c r="AE2739" s="374" t="str">
        <f t="shared" si="644"/>
        <v/>
      </c>
      <c r="AF2739" s="532" t="str">
        <f t="shared" si="645"/>
        <v/>
      </c>
    </row>
    <row r="2740" spans="2:32" x14ac:dyDescent="0.25">
      <c r="B2740" s="695"/>
      <c r="C2740" s="197" t="str">
        <f>IF(B2740&lt;&gt;"",IFERROR(VLOOKUP(B:B,'מצבת והרשמה (2)'!$C$20:$N$520,2,0)," ")," ")</f>
        <v xml:space="preserve"> </v>
      </c>
      <c r="D2740" s="695"/>
      <c r="E2740" s="696"/>
      <c r="F2740" s="696"/>
      <c r="G2740" s="696"/>
      <c r="H2740" s="696"/>
      <c r="I2740" s="1050" t="str">
        <f t="shared" si="632"/>
        <v/>
      </c>
      <c r="J2740" s="696"/>
      <c r="K2740" s="697"/>
      <c r="L2740" s="696"/>
      <c r="M2740" s="198" t="str">
        <f t="shared" si="633"/>
        <v/>
      </c>
      <c r="N2740" s="369" t="str">
        <f t="shared" si="634"/>
        <v/>
      </c>
      <c r="O2740" s="183" t="str">
        <f t="shared" si="635"/>
        <v/>
      </c>
      <c r="P2740" s="199" t="str">
        <f t="shared" si="636"/>
        <v/>
      </c>
      <c r="Q2740" s="199" t="str">
        <f>IF(B2740="","",IFERROR(IF('עלויות כח אדם (6)'!J2740&gt;=VLOOKUP(I2740,'סיווג התפקידים והעלויות'!$B$23:$C$32,2,0),"תקין","לא תקין"),""))</f>
        <v/>
      </c>
      <c r="R2740" s="199" t="str">
        <f t="shared" si="637"/>
        <v/>
      </c>
      <c r="S2740" s="199" t="str">
        <f t="shared" si="638"/>
        <v/>
      </c>
      <c r="T2740" s="199" t="str">
        <f t="shared" si="646"/>
        <v/>
      </c>
      <c r="U2740" s="199" t="str">
        <f t="shared" si="639"/>
        <v/>
      </c>
      <c r="V2740" s="989"/>
      <c r="X2740" s="374" t="str">
        <f t="shared" si="640"/>
        <v/>
      </c>
      <c r="Y2740" s="375" t="str">
        <f t="shared" si="641"/>
        <v/>
      </c>
      <c r="Z2740" s="374" t="str">
        <f t="shared" si="642"/>
        <v/>
      </c>
      <c r="AA2740" s="374" t="b">
        <f t="shared" si="643"/>
        <v>1</v>
      </c>
      <c r="AB2740" s="374">
        <f>COUNTIFS(B:B,B2740,H:H,'סיווג התפקידים והעלויות'!$C$2)</f>
        <v>0</v>
      </c>
      <c r="AC2740" s="374">
        <f>COUNTIFS(B:B,B2740,H:H,'סיווג התפקידים והעלויות'!$D$2)</f>
        <v>0</v>
      </c>
      <c r="AD2740" s="374" t="str">
        <f>IF(OR(AND(H2740='סיווג התפקידים והעלויות'!$A$2,I2740='סיווג התפקידים והעלויות'!$A$3),'עלויות כח אדם (6)'!H2740='סיווג התפקידים והעלויות'!$C$2,'עלויות כח אדם (6)'!H2740='סיווג התפקידים והעלויות'!$D$2),IF('עלויות כח אדם (6)'!J2740&lt;75,"לא תקין","תקין"),"")</f>
        <v/>
      </c>
      <c r="AE2740" s="374" t="str">
        <f t="shared" si="644"/>
        <v/>
      </c>
      <c r="AF2740" s="532" t="str">
        <f t="shared" si="645"/>
        <v/>
      </c>
    </row>
    <row r="2741" spans="2:32" x14ac:dyDescent="0.25">
      <c r="B2741" s="695"/>
      <c r="C2741" s="197" t="str">
        <f>IF(B2741&lt;&gt;"",IFERROR(VLOOKUP(B:B,'מצבת והרשמה (2)'!$C$20:$N$520,2,0)," ")," ")</f>
        <v xml:space="preserve"> </v>
      </c>
      <c r="D2741" s="695"/>
      <c r="E2741" s="696"/>
      <c r="F2741" s="696"/>
      <c r="G2741" s="696"/>
      <c r="H2741" s="696"/>
      <c r="I2741" s="1050" t="str">
        <f t="shared" si="632"/>
        <v/>
      </c>
      <c r="J2741" s="696"/>
      <c r="K2741" s="697"/>
      <c r="L2741" s="696"/>
      <c r="M2741" s="198" t="str">
        <f t="shared" si="633"/>
        <v/>
      </c>
      <c r="N2741" s="369" t="str">
        <f t="shared" si="634"/>
        <v/>
      </c>
      <c r="O2741" s="183" t="str">
        <f t="shared" si="635"/>
        <v/>
      </c>
      <c r="P2741" s="199" t="str">
        <f t="shared" si="636"/>
        <v/>
      </c>
      <c r="Q2741" s="199" t="str">
        <f>IF(B2741="","",IFERROR(IF('עלויות כח אדם (6)'!J2741&gt;=VLOOKUP(I2741,'סיווג התפקידים והעלויות'!$B$23:$C$32,2,0),"תקין","לא תקין"),""))</f>
        <v/>
      </c>
      <c r="R2741" s="199" t="str">
        <f t="shared" si="637"/>
        <v/>
      </c>
      <c r="S2741" s="199" t="str">
        <f t="shared" si="638"/>
        <v/>
      </c>
      <c r="T2741" s="199" t="str">
        <f t="shared" si="646"/>
        <v/>
      </c>
      <c r="U2741" s="199" t="str">
        <f t="shared" si="639"/>
        <v/>
      </c>
      <c r="V2741" s="989"/>
      <c r="X2741" s="374" t="str">
        <f t="shared" si="640"/>
        <v/>
      </c>
      <c r="Y2741" s="375" t="str">
        <f t="shared" si="641"/>
        <v/>
      </c>
      <c r="Z2741" s="374" t="str">
        <f t="shared" si="642"/>
        <v/>
      </c>
      <c r="AA2741" s="374" t="b">
        <f t="shared" si="643"/>
        <v>1</v>
      </c>
      <c r="AB2741" s="374">
        <f>COUNTIFS(B:B,B2741,H:H,'סיווג התפקידים והעלויות'!$C$2)</f>
        <v>0</v>
      </c>
      <c r="AC2741" s="374">
        <f>COUNTIFS(B:B,B2741,H:H,'סיווג התפקידים והעלויות'!$D$2)</f>
        <v>0</v>
      </c>
      <c r="AD2741" s="374" t="str">
        <f>IF(OR(AND(H2741='סיווג התפקידים והעלויות'!$A$2,I2741='סיווג התפקידים והעלויות'!$A$3),'עלויות כח אדם (6)'!H2741='סיווג התפקידים והעלויות'!$C$2,'עלויות כח אדם (6)'!H2741='סיווג התפקידים והעלויות'!$D$2),IF('עלויות כח אדם (6)'!J2741&lt;75,"לא תקין","תקין"),"")</f>
        <v/>
      </c>
      <c r="AE2741" s="374" t="str">
        <f t="shared" si="644"/>
        <v/>
      </c>
      <c r="AF2741" s="532" t="str">
        <f t="shared" si="645"/>
        <v/>
      </c>
    </row>
    <row r="2742" spans="2:32" x14ac:dyDescent="0.25">
      <c r="B2742" s="695"/>
      <c r="C2742" s="197" t="str">
        <f>IF(B2742&lt;&gt;"",IFERROR(VLOOKUP(B:B,'מצבת והרשמה (2)'!$C$20:$N$520,2,0)," ")," ")</f>
        <v xml:space="preserve"> </v>
      </c>
      <c r="D2742" s="695"/>
      <c r="E2742" s="696"/>
      <c r="F2742" s="696"/>
      <c r="G2742" s="696"/>
      <c r="H2742" s="696"/>
      <c r="I2742" s="1050" t="str">
        <f t="shared" si="632"/>
        <v/>
      </c>
      <c r="J2742" s="696"/>
      <c r="K2742" s="697"/>
      <c r="L2742" s="696"/>
      <c r="M2742" s="198" t="str">
        <f t="shared" si="633"/>
        <v/>
      </c>
      <c r="N2742" s="369" t="str">
        <f t="shared" si="634"/>
        <v/>
      </c>
      <c r="O2742" s="183" t="str">
        <f t="shared" si="635"/>
        <v/>
      </c>
      <c r="P2742" s="199" t="str">
        <f t="shared" si="636"/>
        <v/>
      </c>
      <c r="Q2742" s="199" t="str">
        <f>IF(B2742="","",IFERROR(IF('עלויות כח אדם (6)'!J2742&gt;=VLOOKUP(I2742,'סיווג התפקידים והעלויות'!$B$23:$C$32,2,0),"תקין","לא תקין"),""))</f>
        <v/>
      </c>
      <c r="R2742" s="199" t="str">
        <f t="shared" si="637"/>
        <v/>
      </c>
      <c r="S2742" s="199" t="str">
        <f t="shared" si="638"/>
        <v/>
      </c>
      <c r="T2742" s="199" t="str">
        <f t="shared" si="646"/>
        <v/>
      </c>
      <c r="U2742" s="199" t="str">
        <f t="shared" si="639"/>
        <v/>
      </c>
      <c r="V2742" s="989"/>
      <c r="X2742" s="374" t="str">
        <f t="shared" si="640"/>
        <v/>
      </c>
      <c r="Y2742" s="375" t="str">
        <f t="shared" si="641"/>
        <v/>
      </c>
      <c r="Z2742" s="374" t="str">
        <f t="shared" si="642"/>
        <v/>
      </c>
      <c r="AA2742" s="374" t="b">
        <f t="shared" si="643"/>
        <v>1</v>
      </c>
      <c r="AB2742" s="374">
        <f>COUNTIFS(B:B,B2742,H:H,'סיווג התפקידים והעלויות'!$C$2)</f>
        <v>0</v>
      </c>
      <c r="AC2742" s="374">
        <f>COUNTIFS(B:B,B2742,H:H,'סיווג התפקידים והעלויות'!$D$2)</f>
        <v>0</v>
      </c>
      <c r="AD2742" s="374" t="str">
        <f>IF(OR(AND(H2742='סיווג התפקידים והעלויות'!$A$2,I2742='סיווג התפקידים והעלויות'!$A$3),'עלויות כח אדם (6)'!H2742='סיווג התפקידים והעלויות'!$C$2,'עלויות כח אדם (6)'!H2742='סיווג התפקידים והעלויות'!$D$2),IF('עלויות כח אדם (6)'!J2742&lt;75,"לא תקין","תקין"),"")</f>
        <v/>
      </c>
      <c r="AE2742" s="374" t="str">
        <f t="shared" si="644"/>
        <v/>
      </c>
      <c r="AF2742" s="532" t="str">
        <f t="shared" si="645"/>
        <v/>
      </c>
    </row>
    <row r="2743" spans="2:32" x14ac:dyDescent="0.25">
      <c r="B2743" s="695"/>
      <c r="C2743" s="197" t="str">
        <f>IF(B2743&lt;&gt;"",IFERROR(VLOOKUP(B:B,'מצבת והרשמה (2)'!$C$20:$N$520,2,0)," ")," ")</f>
        <v xml:space="preserve"> </v>
      </c>
      <c r="D2743" s="695"/>
      <c r="E2743" s="696"/>
      <c r="F2743" s="696"/>
      <c r="G2743" s="696"/>
      <c r="H2743" s="696"/>
      <c r="I2743" s="1050" t="str">
        <f t="shared" si="632"/>
        <v/>
      </c>
      <c r="J2743" s="696"/>
      <c r="K2743" s="697"/>
      <c r="L2743" s="696"/>
      <c r="M2743" s="198" t="str">
        <f t="shared" si="633"/>
        <v/>
      </c>
      <c r="N2743" s="369" t="str">
        <f t="shared" si="634"/>
        <v/>
      </c>
      <c r="O2743" s="183" t="str">
        <f t="shared" si="635"/>
        <v/>
      </c>
      <c r="P2743" s="199" t="str">
        <f t="shared" si="636"/>
        <v/>
      </c>
      <c r="Q2743" s="199" t="str">
        <f>IF(B2743="","",IFERROR(IF('עלויות כח אדם (6)'!J2743&gt;=VLOOKUP(I2743,'סיווג התפקידים והעלויות'!$B$23:$C$32,2,0),"תקין","לא תקין"),""))</f>
        <v/>
      </c>
      <c r="R2743" s="199" t="str">
        <f t="shared" si="637"/>
        <v/>
      </c>
      <c r="S2743" s="199" t="str">
        <f t="shared" si="638"/>
        <v/>
      </c>
      <c r="T2743" s="199" t="str">
        <f t="shared" si="646"/>
        <v/>
      </c>
      <c r="U2743" s="199" t="str">
        <f t="shared" si="639"/>
        <v/>
      </c>
      <c r="V2743" s="989"/>
      <c r="X2743" s="374" t="str">
        <f t="shared" si="640"/>
        <v/>
      </c>
      <c r="Y2743" s="375" t="str">
        <f t="shared" si="641"/>
        <v/>
      </c>
      <c r="Z2743" s="374" t="str">
        <f t="shared" si="642"/>
        <v/>
      </c>
      <c r="AA2743" s="374" t="b">
        <f t="shared" si="643"/>
        <v>1</v>
      </c>
      <c r="AB2743" s="374">
        <f>COUNTIFS(B:B,B2743,H:H,'סיווג התפקידים והעלויות'!$C$2)</f>
        <v>0</v>
      </c>
      <c r="AC2743" s="374">
        <f>COUNTIFS(B:B,B2743,H:H,'סיווג התפקידים והעלויות'!$D$2)</f>
        <v>0</v>
      </c>
      <c r="AD2743" s="374" t="str">
        <f>IF(OR(AND(H2743='סיווג התפקידים והעלויות'!$A$2,I2743='סיווג התפקידים והעלויות'!$A$3),'עלויות כח אדם (6)'!H2743='סיווג התפקידים והעלויות'!$C$2,'עלויות כח אדם (6)'!H2743='סיווג התפקידים והעלויות'!$D$2),IF('עלויות כח אדם (6)'!J2743&lt;75,"לא תקין","תקין"),"")</f>
        <v/>
      </c>
      <c r="AE2743" s="374" t="str">
        <f t="shared" si="644"/>
        <v/>
      </c>
      <c r="AF2743" s="532" t="str">
        <f t="shared" si="645"/>
        <v/>
      </c>
    </row>
    <row r="2744" spans="2:32" x14ac:dyDescent="0.25">
      <c r="B2744" s="695"/>
      <c r="C2744" s="197" t="str">
        <f>IF(B2744&lt;&gt;"",IFERROR(VLOOKUP(B:B,'מצבת והרשמה (2)'!$C$20:$N$520,2,0)," ")," ")</f>
        <v xml:space="preserve"> </v>
      </c>
      <c r="D2744" s="695"/>
      <c r="E2744" s="696"/>
      <c r="F2744" s="696"/>
      <c r="G2744" s="696"/>
      <c r="H2744" s="696"/>
      <c r="I2744" s="1050" t="str">
        <f t="shared" si="632"/>
        <v/>
      </c>
      <c r="J2744" s="696"/>
      <c r="K2744" s="697"/>
      <c r="L2744" s="696"/>
      <c r="M2744" s="198" t="str">
        <f t="shared" si="633"/>
        <v/>
      </c>
      <c r="N2744" s="369" t="str">
        <f t="shared" si="634"/>
        <v/>
      </c>
      <c r="O2744" s="183" t="str">
        <f t="shared" si="635"/>
        <v/>
      </c>
      <c r="P2744" s="199" t="str">
        <f t="shared" si="636"/>
        <v/>
      </c>
      <c r="Q2744" s="199" t="str">
        <f>IF(B2744="","",IFERROR(IF('עלויות כח אדם (6)'!J2744&gt;=VLOOKUP(I2744,'סיווג התפקידים והעלויות'!$B$23:$C$32,2,0),"תקין","לא תקין"),""))</f>
        <v/>
      </c>
      <c r="R2744" s="199" t="str">
        <f t="shared" si="637"/>
        <v/>
      </c>
      <c r="S2744" s="199" t="str">
        <f t="shared" si="638"/>
        <v/>
      </c>
      <c r="T2744" s="199" t="str">
        <f t="shared" si="646"/>
        <v/>
      </c>
      <c r="U2744" s="199" t="str">
        <f t="shared" si="639"/>
        <v/>
      </c>
      <c r="V2744" s="989"/>
      <c r="X2744" s="374" t="str">
        <f t="shared" si="640"/>
        <v/>
      </c>
      <c r="Y2744" s="375" t="str">
        <f t="shared" si="641"/>
        <v/>
      </c>
      <c r="Z2744" s="374" t="str">
        <f t="shared" si="642"/>
        <v/>
      </c>
      <c r="AA2744" s="374" t="b">
        <f t="shared" si="643"/>
        <v>1</v>
      </c>
      <c r="AB2744" s="374">
        <f>COUNTIFS(B:B,B2744,H:H,'סיווג התפקידים והעלויות'!$C$2)</f>
        <v>0</v>
      </c>
      <c r="AC2744" s="374">
        <f>COUNTIFS(B:B,B2744,H:H,'סיווג התפקידים והעלויות'!$D$2)</f>
        <v>0</v>
      </c>
      <c r="AD2744" s="374" t="str">
        <f>IF(OR(AND(H2744='סיווג התפקידים והעלויות'!$A$2,I2744='סיווג התפקידים והעלויות'!$A$3),'עלויות כח אדם (6)'!H2744='סיווג התפקידים והעלויות'!$C$2,'עלויות כח אדם (6)'!H2744='סיווג התפקידים והעלויות'!$D$2),IF('עלויות כח אדם (6)'!J2744&lt;75,"לא תקין","תקין"),"")</f>
        <v/>
      </c>
      <c r="AE2744" s="374" t="str">
        <f t="shared" si="644"/>
        <v/>
      </c>
      <c r="AF2744" s="532" t="str">
        <f t="shared" si="645"/>
        <v/>
      </c>
    </row>
    <row r="2745" spans="2:32" x14ac:dyDescent="0.25">
      <c r="B2745" s="695"/>
      <c r="C2745" s="197" t="str">
        <f>IF(B2745&lt;&gt;"",IFERROR(VLOOKUP(B:B,'מצבת והרשמה (2)'!$C$20:$N$520,2,0)," ")," ")</f>
        <v xml:space="preserve"> </v>
      </c>
      <c r="D2745" s="695"/>
      <c r="E2745" s="696"/>
      <c r="F2745" s="696"/>
      <c r="G2745" s="696"/>
      <c r="H2745" s="696"/>
      <c r="I2745" s="1050" t="str">
        <f t="shared" si="632"/>
        <v/>
      </c>
      <c r="J2745" s="696"/>
      <c r="K2745" s="697"/>
      <c r="L2745" s="696"/>
      <c r="M2745" s="198" t="str">
        <f t="shared" si="633"/>
        <v/>
      </c>
      <c r="N2745" s="369" t="str">
        <f t="shared" si="634"/>
        <v/>
      </c>
      <c r="O2745" s="183" t="str">
        <f t="shared" si="635"/>
        <v/>
      </c>
      <c r="P2745" s="199" t="str">
        <f t="shared" si="636"/>
        <v/>
      </c>
      <c r="Q2745" s="199" t="str">
        <f>IF(B2745="","",IFERROR(IF('עלויות כח אדם (6)'!J2745&gt;=VLOOKUP(I2745,'סיווג התפקידים והעלויות'!$B$23:$C$32,2,0),"תקין","לא תקין"),""))</f>
        <v/>
      </c>
      <c r="R2745" s="199" t="str">
        <f t="shared" si="637"/>
        <v/>
      </c>
      <c r="S2745" s="199" t="str">
        <f t="shared" si="638"/>
        <v/>
      </c>
      <c r="T2745" s="199" t="str">
        <f t="shared" si="646"/>
        <v/>
      </c>
      <c r="U2745" s="199" t="str">
        <f t="shared" si="639"/>
        <v/>
      </c>
      <c r="V2745" s="989"/>
      <c r="X2745" s="374" t="str">
        <f t="shared" si="640"/>
        <v/>
      </c>
      <c r="Y2745" s="375" t="str">
        <f t="shared" si="641"/>
        <v/>
      </c>
      <c r="Z2745" s="374" t="str">
        <f t="shared" si="642"/>
        <v/>
      </c>
      <c r="AA2745" s="374" t="b">
        <f t="shared" si="643"/>
        <v>1</v>
      </c>
      <c r="AB2745" s="374">
        <f>COUNTIFS(B:B,B2745,H:H,'סיווג התפקידים והעלויות'!$C$2)</f>
        <v>0</v>
      </c>
      <c r="AC2745" s="374">
        <f>COUNTIFS(B:B,B2745,H:H,'סיווג התפקידים והעלויות'!$D$2)</f>
        <v>0</v>
      </c>
      <c r="AD2745" s="374" t="str">
        <f>IF(OR(AND(H2745='סיווג התפקידים והעלויות'!$A$2,I2745='סיווג התפקידים והעלויות'!$A$3),'עלויות כח אדם (6)'!H2745='סיווג התפקידים והעלויות'!$C$2,'עלויות כח אדם (6)'!H2745='סיווג התפקידים והעלויות'!$D$2),IF('עלויות כח אדם (6)'!J2745&lt;75,"לא תקין","תקין"),"")</f>
        <v/>
      </c>
      <c r="AE2745" s="374" t="str">
        <f t="shared" si="644"/>
        <v/>
      </c>
      <c r="AF2745" s="532" t="str">
        <f t="shared" si="645"/>
        <v/>
      </c>
    </row>
    <row r="2746" spans="2:32" x14ac:dyDescent="0.25">
      <c r="B2746" s="695"/>
      <c r="C2746" s="197" t="str">
        <f>IF(B2746&lt;&gt;"",IFERROR(VLOOKUP(B:B,'מצבת והרשמה (2)'!$C$20:$N$520,2,0)," ")," ")</f>
        <v xml:space="preserve"> </v>
      </c>
      <c r="D2746" s="695"/>
      <c r="E2746" s="696"/>
      <c r="F2746" s="696"/>
      <c r="G2746" s="696"/>
      <c r="H2746" s="696"/>
      <c r="I2746" s="1050" t="str">
        <f t="shared" si="632"/>
        <v/>
      </c>
      <c r="J2746" s="696"/>
      <c r="K2746" s="697"/>
      <c r="L2746" s="696"/>
      <c r="M2746" s="198" t="str">
        <f t="shared" si="633"/>
        <v/>
      </c>
      <c r="N2746" s="369" t="str">
        <f t="shared" si="634"/>
        <v/>
      </c>
      <c r="O2746" s="183" t="str">
        <f t="shared" si="635"/>
        <v/>
      </c>
      <c r="P2746" s="199" t="str">
        <f t="shared" si="636"/>
        <v/>
      </c>
      <c r="Q2746" s="199" t="str">
        <f>IF(B2746="","",IFERROR(IF('עלויות כח אדם (6)'!J2746&gt;=VLOOKUP(I2746,'סיווג התפקידים והעלויות'!$B$23:$C$32,2,0),"תקין","לא תקין"),""))</f>
        <v/>
      </c>
      <c r="R2746" s="199" t="str">
        <f t="shared" si="637"/>
        <v/>
      </c>
      <c r="S2746" s="199" t="str">
        <f t="shared" si="638"/>
        <v/>
      </c>
      <c r="T2746" s="199" t="str">
        <f t="shared" si="646"/>
        <v/>
      </c>
      <c r="U2746" s="199" t="str">
        <f t="shared" si="639"/>
        <v/>
      </c>
      <c r="V2746" s="989"/>
      <c r="X2746" s="374" t="str">
        <f t="shared" si="640"/>
        <v/>
      </c>
      <c r="Y2746" s="375" t="str">
        <f t="shared" si="641"/>
        <v/>
      </c>
      <c r="Z2746" s="374" t="str">
        <f t="shared" si="642"/>
        <v/>
      </c>
      <c r="AA2746" s="374" t="b">
        <f t="shared" si="643"/>
        <v>1</v>
      </c>
      <c r="AB2746" s="374">
        <f>COUNTIFS(B:B,B2746,H:H,'סיווג התפקידים והעלויות'!$C$2)</f>
        <v>0</v>
      </c>
      <c r="AC2746" s="374">
        <f>COUNTIFS(B:B,B2746,H:H,'סיווג התפקידים והעלויות'!$D$2)</f>
        <v>0</v>
      </c>
      <c r="AD2746" s="374" t="str">
        <f>IF(OR(AND(H2746='סיווג התפקידים והעלויות'!$A$2,I2746='סיווג התפקידים והעלויות'!$A$3),'עלויות כח אדם (6)'!H2746='סיווג התפקידים והעלויות'!$C$2,'עלויות כח אדם (6)'!H2746='סיווג התפקידים והעלויות'!$D$2),IF('עלויות כח אדם (6)'!J2746&lt;75,"לא תקין","תקין"),"")</f>
        <v/>
      </c>
      <c r="AE2746" s="374" t="str">
        <f t="shared" si="644"/>
        <v/>
      </c>
      <c r="AF2746" s="532" t="str">
        <f t="shared" si="645"/>
        <v/>
      </c>
    </row>
    <row r="2747" spans="2:32" x14ac:dyDescent="0.25">
      <c r="B2747" s="695"/>
      <c r="C2747" s="197" t="str">
        <f>IF(B2747&lt;&gt;"",IFERROR(VLOOKUP(B:B,'מצבת והרשמה (2)'!$C$20:$N$520,2,0)," ")," ")</f>
        <v xml:space="preserve"> </v>
      </c>
      <c r="D2747" s="695"/>
      <c r="E2747" s="696"/>
      <c r="F2747" s="696"/>
      <c r="G2747" s="696"/>
      <c r="H2747" s="696"/>
      <c r="I2747" s="1050" t="str">
        <f t="shared" si="632"/>
        <v/>
      </c>
      <c r="J2747" s="696"/>
      <c r="K2747" s="697"/>
      <c r="L2747" s="696"/>
      <c r="M2747" s="198" t="str">
        <f t="shared" si="633"/>
        <v/>
      </c>
      <c r="N2747" s="369" t="str">
        <f t="shared" si="634"/>
        <v/>
      </c>
      <c r="O2747" s="183" t="str">
        <f t="shared" si="635"/>
        <v/>
      </c>
      <c r="P2747" s="199" t="str">
        <f t="shared" si="636"/>
        <v/>
      </c>
      <c r="Q2747" s="199" t="str">
        <f>IF(B2747="","",IFERROR(IF('עלויות כח אדם (6)'!J2747&gt;=VLOOKUP(I2747,'סיווג התפקידים והעלויות'!$B$23:$C$32,2,0),"תקין","לא תקין"),""))</f>
        <v/>
      </c>
      <c r="R2747" s="199" t="str">
        <f t="shared" si="637"/>
        <v/>
      </c>
      <c r="S2747" s="199" t="str">
        <f t="shared" si="638"/>
        <v/>
      </c>
      <c r="T2747" s="199" t="str">
        <f t="shared" si="646"/>
        <v/>
      </c>
      <c r="U2747" s="199" t="str">
        <f t="shared" si="639"/>
        <v/>
      </c>
      <c r="V2747" s="989"/>
      <c r="X2747" s="374" t="str">
        <f t="shared" si="640"/>
        <v/>
      </c>
      <c r="Y2747" s="375" t="str">
        <f t="shared" si="641"/>
        <v/>
      </c>
      <c r="Z2747" s="374" t="str">
        <f t="shared" si="642"/>
        <v/>
      </c>
      <c r="AA2747" s="374" t="b">
        <f t="shared" si="643"/>
        <v>1</v>
      </c>
      <c r="AB2747" s="374">
        <f>COUNTIFS(B:B,B2747,H:H,'סיווג התפקידים והעלויות'!$C$2)</f>
        <v>0</v>
      </c>
      <c r="AC2747" s="374">
        <f>COUNTIFS(B:B,B2747,H:H,'סיווג התפקידים והעלויות'!$D$2)</f>
        <v>0</v>
      </c>
      <c r="AD2747" s="374" t="str">
        <f>IF(OR(AND(H2747='סיווג התפקידים והעלויות'!$A$2,I2747='סיווג התפקידים והעלויות'!$A$3),'עלויות כח אדם (6)'!H2747='סיווג התפקידים והעלויות'!$C$2,'עלויות כח אדם (6)'!H2747='סיווג התפקידים והעלויות'!$D$2),IF('עלויות כח אדם (6)'!J2747&lt;75,"לא תקין","תקין"),"")</f>
        <v/>
      </c>
      <c r="AE2747" s="374" t="str">
        <f t="shared" si="644"/>
        <v/>
      </c>
      <c r="AF2747" s="532" t="str">
        <f t="shared" si="645"/>
        <v/>
      </c>
    </row>
    <row r="2748" spans="2:32" x14ac:dyDescent="0.25">
      <c r="B2748" s="695"/>
      <c r="C2748" s="197" t="str">
        <f>IF(B2748&lt;&gt;"",IFERROR(VLOOKUP(B:B,'מצבת והרשמה (2)'!$C$20:$N$520,2,0)," ")," ")</f>
        <v xml:space="preserve"> </v>
      </c>
      <c r="D2748" s="695"/>
      <c r="E2748" s="696"/>
      <c r="F2748" s="696"/>
      <c r="G2748" s="696"/>
      <c r="H2748" s="696"/>
      <c r="I2748" s="1050" t="str">
        <f t="shared" si="632"/>
        <v/>
      </c>
      <c r="J2748" s="696"/>
      <c r="K2748" s="697"/>
      <c r="L2748" s="696"/>
      <c r="M2748" s="198" t="str">
        <f t="shared" si="633"/>
        <v/>
      </c>
      <c r="N2748" s="369" t="str">
        <f t="shared" si="634"/>
        <v/>
      </c>
      <c r="O2748" s="183" t="str">
        <f t="shared" si="635"/>
        <v/>
      </c>
      <c r="P2748" s="199" t="str">
        <f t="shared" si="636"/>
        <v/>
      </c>
      <c r="Q2748" s="199" t="str">
        <f>IF(B2748="","",IFERROR(IF('עלויות כח אדם (6)'!J2748&gt;=VLOOKUP(I2748,'סיווג התפקידים והעלויות'!$B$23:$C$32,2,0),"תקין","לא תקין"),""))</f>
        <v/>
      </c>
      <c r="R2748" s="199" t="str">
        <f t="shared" si="637"/>
        <v/>
      </c>
      <c r="S2748" s="199" t="str">
        <f t="shared" si="638"/>
        <v/>
      </c>
      <c r="T2748" s="199" t="str">
        <f t="shared" si="646"/>
        <v/>
      </c>
      <c r="U2748" s="199" t="str">
        <f t="shared" si="639"/>
        <v/>
      </c>
      <c r="V2748" s="989"/>
      <c r="X2748" s="374" t="str">
        <f t="shared" si="640"/>
        <v/>
      </c>
      <c r="Y2748" s="375" t="str">
        <f t="shared" si="641"/>
        <v/>
      </c>
      <c r="Z2748" s="374" t="str">
        <f t="shared" si="642"/>
        <v/>
      </c>
      <c r="AA2748" s="374" t="b">
        <f t="shared" si="643"/>
        <v>1</v>
      </c>
      <c r="AB2748" s="374">
        <f>COUNTIFS(B:B,B2748,H:H,'סיווג התפקידים והעלויות'!$C$2)</f>
        <v>0</v>
      </c>
      <c r="AC2748" s="374">
        <f>COUNTIFS(B:B,B2748,H:H,'סיווג התפקידים והעלויות'!$D$2)</f>
        <v>0</v>
      </c>
      <c r="AD2748" s="374" t="str">
        <f>IF(OR(AND(H2748='סיווג התפקידים והעלויות'!$A$2,I2748='סיווג התפקידים והעלויות'!$A$3),'עלויות כח אדם (6)'!H2748='סיווג התפקידים והעלויות'!$C$2,'עלויות כח אדם (6)'!H2748='סיווג התפקידים והעלויות'!$D$2),IF('עלויות כח אדם (6)'!J2748&lt;75,"לא תקין","תקין"),"")</f>
        <v/>
      </c>
      <c r="AE2748" s="374" t="str">
        <f t="shared" si="644"/>
        <v/>
      </c>
      <c r="AF2748" s="532" t="str">
        <f t="shared" si="645"/>
        <v/>
      </c>
    </row>
    <row r="2749" spans="2:32" x14ac:dyDescent="0.25">
      <c r="B2749" s="695"/>
      <c r="C2749" s="197" t="str">
        <f>IF(B2749&lt;&gt;"",IFERROR(VLOOKUP(B:B,'מצבת והרשמה (2)'!$C$20:$N$520,2,0)," ")," ")</f>
        <v xml:space="preserve"> </v>
      </c>
      <c r="D2749" s="695"/>
      <c r="E2749" s="696"/>
      <c r="F2749" s="696"/>
      <c r="G2749" s="696"/>
      <c r="H2749" s="696"/>
      <c r="I2749" s="1050" t="str">
        <f t="shared" si="632"/>
        <v/>
      </c>
      <c r="J2749" s="696"/>
      <c r="K2749" s="697"/>
      <c r="L2749" s="696"/>
      <c r="M2749" s="198" t="str">
        <f t="shared" si="633"/>
        <v/>
      </c>
      <c r="N2749" s="369" t="str">
        <f t="shared" si="634"/>
        <v/>
      </c>
      <c r="O2749" s="183" t="str">
        <f t="shared" si="635"/>
        <v/>
      </c>
      <c r="P2749" s="199" t="str">
        <f t="shared" si="636"/>
        <v/>
      </c>
      <c r="Q2749" s="199" t="str">
        <f>IF(B2749="","",IFERROR(IF('עלויות כח אדם (6)'!J2749&gt;=VLOOKUP(I2749,'סיווג התפקידים והעלויות'!$B$23:$C$32,2,0),"תקין","לא תקין"),""))</f>
        <v/>
      </c>
      <c r="R2749" s="199" t="str">
        <f t="shared" si="637"/>
        <v/>
      </c>
      <c r="S2749" s="199" t="str">
        <f t="shared" si="638"/>
        <v/>
      </c>
      <c r="T2749" s="199" t="str">
        <f t="shared" si="646"/>
        <v/>
      </c>
      <c r="U2749" s="199" t="str">
        <f t="shared" si="639"/>
        <v/>
      </c>
      <c r="V2749" s="989"/>
      <c r="X2749" s="374" t="str">
        <f t="shared" si="640"/>
        <v/>
      </c>
      <c r="Y2749" s="375" t="str">
        <f t="shared" si="641"/>
        <v/>
      </c>
      <c r="Z2749" s="374" t="str">
        <f t="shared" si="642"/>
        <v/>
      </c>
      <c r="AA2749" s="374" t="b">
        <f t="shared" si="643"/>
        <v>1</v>
      </c>
      <c r="AB2749" s="374">
        <f>COUNTIFS(B:B,B2749,H:H,'סיווג התפקידים והעלויות'!$C$2)</f>
        <v>0</v>
      </c>
      <c r="AC2749" s="374">
        <f>COUNTIFS(B:B,B2749,H:H,'סיווג התפקידים והעלויות'!$D$2)</f>
        <v>0</v>
      </c>
      <c r="AD2749" s="374" t="str">
        <f>IF(OR(AND(H2749='סיווג התפקידים והעלויות'!$A$2,I2749='סיווג התפקידים והעלויות'!$A$3),'עלויות כח אדם (6)'!H2749='סיווג התפקידים והעלויות'!$C$2,'עלויות כח אדם (6)'!H2749='סיווג התפקידים והעלויות'!$D$2),IF('עלויות כח אדם (6)'!J2749&lt;75,"לא תקין","תקין"),"")</f>
        <v/>
      </c>
      <c r="AE2749" s="374" t="str">
        <f t="shared" si="644"/>
        <v/>
      </c>
      <c r="AF2749" s="532" t="str">
        <f t="shared" si="645"/>
        <v/>
      </c>
    </row>
    <row r="2750" spans="2:32" x14ac:dyDescent="0.25">
      <c r="B2750" s="695"/>
      <c r="C2750" s="197" t="str">
        <f>IF(B2750&lt;&gt;"",IFERROR(VLOOKUP(B:B,'מצבת והרשמה (2)'!$C$20:$N$520,2,0)," ")," ")</f>
        <v xml:space="preserve"> </v>
      </c>
      <c r="D2750" s="695"/>
      <c r="E2750" s="696"/>
      <c r="F2750" s="696"/>
      <c r="G2750" s="696"/>
      <c r="H2750" s="696"/>
      <c r="I2750" s="1050" t="str">
        <f t="shared" si="632"/>
        <v/>
      </c>
      <c r="J2750" s="696"/>
      <c r="K2750" s="697"/>
      <c r="L2750" s="696"/>
      <c r="M2750" s="198" t="str">
        <f t="shared" si="633"/>
        <v/>
      </c>
      <c r="N2750" s="369" t="str">
        <f t="shared" si="634"/>
        <v/>
      </c>
      <c r="O2750" s="183" t="str">
        <f t="shared" si="635"/>
        <v/>
      </c>
      <c r="P2750" s="199" t="str">
        <f t="shared" si="636"/>
        <v/>
      </c>
      <c r="Q2750" s="199" t="str">
        <f>IF(B2750="","",IFERROR(IF('עלויות כח אדם (6)'!J2750&gt;=VLOOKUP(I2750,'סיווג התפקידים והעלויות'!$B$23:$C$32,2,0),"תקין","לא תקין"),""))</f>
        <v/>
      </c>
      <c r="R2750" s="199" t="str">
        <f t="shared" si="637"/>
        <v/>
      </c>
      <c r="S2750" s="199" t="str">
        <f t="shared" si="638"/>
        <v/>
      </c>
      <c r="T2750" s="199" t="str">
        <f t="shared" si="646"/>
        <v/>
      </c>
      <c r="U2750" s="199" t="str">
        <f t="shared" si="639"/>
        <v/>
      </c>
      <c r="V2750" s="989"/>
      <c r="X2750" s="374" t="str">
        <f t="shared" si="640"/>
        <v/>
      </c>
      <c r="Y2750" s="375" t="str">
        <f t="shared" si="641"/>
        <v/>
      </c>
      <c r="Z2750" s="374" t="str">
        <f t="shared" si="642"/>
        <v/>
      </c>
      <c r="AA2750" s="374" t="b">
        <f t="shared" si="643"/>
        <v>1</v>
      </c>
      <c r="AB2750" s="374">
        <f>COUNTIFS(B:B,B2750,H:H,'סיווג התפקידים והעלויות'!$C$2)</f>
        <v>0</v>
      </c>
      <c r="AC2750" s="374">
        <f>COUNTIFS(B:B,B2750,H:H,'סיווג התפקידים והעלויות'!$D$2)</f>
        <v>0</v>
      </c>
      <c r="AD2750" s="374" t="str">
        <f>IF(OR(AND(H2750='סיווג התפקידים והעלויות'!$A$2,I2750='סיווג התפקידים והעלויות'!$A$3),'עלויות כח אדם (6)'!H2750='סיווג התפקידים והעלויות'!$C$2,'עלויות כח אדם (6)'!H2750='סיווג התפקידים והעלויות'!$D$2),IF('עלויות כח אדם (6)'!J2750&lt;75,"לא תקין","תקין"),"")</f>
        <v/>
      </c>
      <c r="AE2750" s="374" t="str">
        <f t="shared" si="644"/>
        <v/>
      </c>
      <c r="AF2750" s="532" t="str">
        <f t="shared" si="645"/>
        <v/>
      </c>
    </row>
    <row r="2751" spans="2:32" x14ac:dyDescent="0.25">
      <c r="B2751" s="695"/>
      <c r="C2751" s="197" t="str">
        <f>IF(B2751&lt;&gt;"",IFERROR(VLOOKUP(B:B,'מצבת והרשמה (2)'!$C$20:$N$520,2,0)," ")," ")</f>
        <v xml:space="preserve"> </v>
      </c>
      <c r="D2751" s="695"/>
      <c r="E2751" s="696"/>
      <c r="F2751" s="696"/>
      <c r="G2751" s="696"/>
      <c r="H2751" s="696"/>
      <c r="I2751" s="1050" t="str">
        <f t="shared" si="632"/>
        <v/>
      </c>
      <c r="J2751" s="696"/>
      <c r="K2751" s="697"/>
      <c r="L2751" s="696"/>
      <c r="M2751" s="198" t="str">
        <f t="shared" si="633"/>
        <v/>
      </c>
      <c r="N2751" s="369" t="str">
        <f t="shared" si="634"/>
        <v/>
      </c>
      <c r="O2751" s="183" t="str">
        <f t="shared" si="635"/>
        <v/>
      </c>
      <c r="P2751" s="199" t="str">
        <f t="shared" si="636"/>
        <v/>
      </c>
      <c r="Q2751" s="199" t="str">
        <f>IF(B2751="","",IFERROR(IF('עלויות כח אדם (6)'!J2751&gt;=VLOOKUP(I2751,'סיווג התפקידים והעלויות'!$B$23:$C$32,2,0),"תקין","לא תקין"),""))</f>
        <v/>
      </c>
      <c r="R2751" s="199" t="str">
        <f t="shared" si="637"/>
        <v/>
      </c>
      <c r="S2751" s="199" t="str">
        <f t="shared" si="638"/>
        <v/>
      </c>
      <c r="T2751" s="199" t="str">
        <f t="shared" si="646"/>
        <v/>
      </c>
      <c r="U2751" s="199" t="str">
        <f t="shared" si="639"/>
        <v/>
      </c>
      <c r="V2751" s="989"/>
      <c r="X2751" s="374" t="str">
        <f t="shared" si="640"/>
        <v/>
      </c>
      <c r="Y2751" s="375" t="str">
        <f t="shared" si="641"/>
        <v/>
      </c>
      <c r="Z2751" s="374" t="str">
        <f t="shared" si="642"/>
        <v/>
      </c>
      <c r="AA2751" s="374" t="b">
        <f t="shared" si="643"/>
        <v>1</v>
      </c>
      <c r="AB2751" s="374">
        <f>COUNTIFS(B:B,B2751,H:H,'סיווג התפקידים והעלויות'!$C$2)</f>
        <v>0</v>
      </c>
      <c r="AC2751" s="374">
        <f>COUNTIFS(B:B,B2751,H:H,'סיווג התפקידים והעלויות'!$D$2)</f>
        <v>0</v>
      </c>
      <c r="AD2751" s="374" t="str">
        <f>IF(OR(AND(H2751='סיווג התפקידים והעלויות'!$A$2,I2751='סיווג התפקידים והעלויות'!$A$3),'עלויות כח אדם (6)'!H2751='סיווג התפקידים והעלויות'!$C$2,'עלויות כח אדם (6)'!H2751='סיווג התפקידים והעלויות'!$D$2),IF('עלויות כח אדם (6)'!J2751&lt;75,"לא תקין","תקין"),"")</f>
        <v/>
      </c>
      <c r="AE2751" s="374" t="str">
        <f t="shared" si="644"/>
        <v/>
      </c>
      <c r="AF2751" s="532" t="str">
        <f t="shared" si="645"/>
        <v/>
      </c>
    </row>
    <row r="2752" spans="2:32" x14ac:dyDescent="0.25">
      <c r="B2752" s="695"/>
      <c r="C2752" s="197" t="str">
        <f>IF(B2752&lt;&gt;"",IFERROR(VLOOKUP(B:B,'מצבת והרשמה (2)'!$C$20:$N$520,2,0)," ")," ")</f>
        <v xml:space="preserve"> </v>
      </c>
      <c r="D2752" s="695"/>
      <c r="E2752" s="696"/>
      <c r="F2752" s="696"/>
      <c r="G2752" s="696"/>
      <c r="H2752" s="696"/>
      <c r="I2752" s="1050" t="str">
        <f t="shared" si="632"/>
        <v/>
      </c>
      <c r="J2752" s="696"/>
      <c r="K2752" s="697"/>
      <c r="L2752" s="696"/>
      <c r="M2752" s="198" t="str">
        <f t="shared" si="633"/>
        <v/>
      </c>
      <c r="N2752" s="369" t="str">
        <f t="shared" si="634"/>
        <v/>
      </c>
      <c r="O2752" s="183" t="str">
        <f t="shared" si="635"/>
        <v/>
      </c>
      <c r="P2752" s="199" t="str">
        <f t="shared" si="636"/>
        <v/>
      </c>
      <c r="Q2752" s="199" t="str">
        <f>IF(B2752="","",IFERROR(IF('עלויות כח אדם (6)'!J2752&gt;=VLOOKUP(I2752,'סיווג התפקידים והעלויות'!$B$23:$C$32,2,0),"תקין","לא תקין"),""))</f>
        <v/>
      </c>
      <c r="R2752" s="199" t="str">
        <f t="shared" si="637"/>
        <v/>
      </c>
      <c r="S2752" s="199" t="str">
        <f t="shared" si="638"/>
        <v/>
      </c>
      <c r="T2752" s="199" t="str">
        <f t="shared" si="646"/>
        <v/>
      </c>
      <c r="U2752" s="199" t="str">
        <f t="shared" si="639"/>
        <v/>
      </c>
      <c r="V2752" s="989"/>
      <c r="X2752" s="374" t="str">
        <f t="shared" si="640"/>
        <v/>
      </c>
      <c r="Y2752" s="375" t="str">
        <f t="shared" si="641"/>
        <v/>
      </c>
      <c r="Z2752" s="374" t="str">
        <f t="shared" si="642"/>
        <v/>
      </c>
      <c r="AA2752" s="374" t="b">
        <f t="shared" si="643"/>
        <v>1</v>
      </c>
      <c r="AB2752" s="374">
        <f>COUNTIFS(B:B,B2752,H:H,'סיווג התפקידים והעלויות'!$C$2)</f>
        <v>0</v>
      </c>
      <c r="AC2752" s="374">
        <f>COUNTIFS(B:B,B2752,H:H,'סיווג התפקידים והעלויות'!$D$2)</f>
        <v>0</v>
      </c>
      <c r="AD2752" s="374" t="str">
        <f>IF(OR(AND(H2752='סיווג התפקידים והעלויות'!$A$2,I2752='סיווג התפקידים והעלויות'!$A$3),'עלויות כח אדם (6)'!H2752='סיווג התפקידים והעלויות'!$C$2,'עלויות כח אדם (6)'!H2752='סיווג התפקידים והעלויות'!$D$2),IF('עלויות כח אדם (6)'!J2752&lt;75,"לא תקין","תקין"),"")</f>
        <v/>
      </c>
      <c r="AE2752" s="374" t="str">
        <f t="shared" si="644"/>
        <v/>
      </c>
      <c r="AF2752" s="532" t="str">
        <f t="shared" si="645"/>
        <v/>
      </c>
    </row>
    <row r="2753" spans="2:32" x14ac:dyDescent="0.25">
      <c r="B2753" s="695"/>
      <c r="C2753" s="197" t="str">
        <f>IF(B2753&lt;&gt;"",IFERROR(VLOOKUP(B:B,'מצבת והרשמה (2)'!$C$20:$N$520,2,0)," ")," ")</f>
        <v xml:space="preserve"> </v>
      </c>
      <c r="D2753" s="695"/>
      <c r="E2753" s="696"/>
      <c r="F2753" s="696"/>
      <c r="G2753" s="696"/>
      <c r="H2753" s="696"/>
      <c r="I2753" s="1050" t="str">
        <f t="shared" si="632"/>
        <v/>
      </c>
      <c r="J2753" s="696"/>
      <c r="K2753" s="697"/>
      <c r="L2753" s="696"/>
      <c r="M2753" s="198" t="str">
        <f t="shared" si="633"/>
        <v/>
      </c>
      <c r="N2753" s="369" t="str">
        <f t="shared" si="634"/>
        <v/>
      </c>
      <c r="O2753" s="183" t="str">
        <f t="shared" si="635"/>
        <v/>
      </c>
      <c r="P2753" s="199" t="str">
        <f t="shared" si="636"/>
        <v/>
      </c>
      <c r="Q2753" s="199" t="str">
        <f>IF(B2753="","",IFERROR(IF('עלויות כח אדם (6)'!J2753&gt;=VLOOKUP(I2753,'סיווג התפקידים והעלויות'!$B$23:$C$32,2,0),"תקין","לא תקין"),""))</f>
        <v/>
      </c>
      <c r="R2753" s="199" t="str">
        <f t="shared" si="637"/>
        <v/>
      </c>
      <c r="S2753" s="199" t="str">
        <f t="shared" si="638"/>
        <v/>
      </c>
      <c r="T2753" s="199" t="str">
        <f t="shared" si="646"/>
        <v/>
      </c>
      <c r="U2753" s="199" t="str">
        <f t="shared" si="639"/>
        <v/>
      </c>
      <c r="V2753" s="989"/>
      <c r="X2753" s="374" t="str">
        <f t="shared" si="640"/>
        <v/>
      </c>
      <c r="Y2753" s="375" t="str">
        <f t="shared" si="641"/>
        <v/>
      </c>
      <c r="Z2753" s="374" t="str">
        <f t="shared" si="642"/>
        <v/>
      </c>
      <c r="AA2753" s="374" t="b">
        <f t="shared" si="643"/>
        <v>1</v>
      </c>
      <c r="AB2753" s="374">
        <f>COUNTIFS(B:B,B2753,H:H,'סיווג התפקידים והעלויות'!$C$2)</f>
        <v>0</v>
      </c>
      <c r="AC2753" s="374">
        <f>COUNTIFS(B:B,B2753,H:H,'סיווג התפקידים והעלויות'!$D$2)</f>
        <v>0</v>
      </c>
      <c r="AD2753" s="374" t="str">
        <f>IF(OR(AND(H2753='סיווג התפקידים והעלויות'!$A$2,I2753='סיווג התפקידים והעלויות'!$A$3),'עלויות כח אדם (6)'!H2753='סיווג התפקידים והעלויות'!$C$2,'עלויות כח אדם (6)'!H2753='סיווג התפקידים והעלויות'!$D$2),IF('עלויות כח אדם (6)'!J2753&lt;75,"לא תקין","תקין"),"")</f>
        <v/>
      </c>
      <c r="AE2753" s="374" t="str">
        <f t="shared" si="644"/>
        <v/>
      </c>
      <c r="AF2753" s="532" t="str">
        <f t="shared" si="645"/>
        <v/>
      </c>
    </row>
    <row r="2754" spans="2:32" x14ac:dyDescent="0.25">
      <c r="B2754" s="695"/>
      <c r="C2754" s="197" t="str">
        <f>IF(B2754&lt;&gt;"",IFERROR(VLOOKUP(B:B,'מצבת והרשמה (2)'!$C$20:$N$520,2,0)," ")," ")</f>
        <v xml:space="preserve"> </v>
      </c>
      <c r="D2754" s="695"/>
      <c r="E2754" s="696"/>
      <c r="F2754" s="696"/>
      <c r="G2754" s="696"/>
      <c r="H2754" s="696"/>
      <c r="I2754" s="1050" t="str">
        <f t="shared" si="632"/>
        <v/>
      </c>
      <c r="J2754" s="696"/>
      <c r="K2754" s="697"/>
      <c r="L2754" s="696"/>
      <c r="M2754" s="198" t="str">
        <f t="shared" si="633"/>
        <v/>
      </c>
      <c r="N2754" s="369" t="str">
        <f t="shared" si="634"/>
        <v/>
      </c>
      <c r="O2754" s="183" t="str">
        <f t="shared" si="635"/>
        <v/>
      </c>
      <c r="P2754" s="199" t="str">
        <f t="shared" si="636"/>
        <v/>
      </c>
      <c r="Q2754" s="199" t="str">
        <f>IF(B2754="","",IFERROR(IF('עלויות כח אדם (6)'!J2754&gt;=VLOOKUP(I2754,'סיווג התפקידים והעלויות'!$B$23:$C$32,2,0),"תקין","לא תקין"),""))</f>
        <v/>
      </c>
      <c r="R2754" s="199" t="str">
        <f t="shared" si="637"/>
        <v/>
      </c>
      <c r="S2754" s="199" t="str">
        <f t="shared" si="638"/>
        <v/>
      </c>
      <c r="T2754" s="199" t="str">
        <f t="shared" si="646"/>
        <v/>
      </c>
      <c r="U2754" s="199" t="str">
        <f t="shared" si="639"/>
        <v/>
      </c>
      <c r="V2754" s="989"/>
      <c r="X2754" s="374" t="str">
        <f t="shared" si="640"/>
        <v/>
      </c>
      <c r="Y2754" s="375" t="str">
        <f t="shared" si="641"/>
        <v/>
      </c>
      <c r="Z2754" s="374" t="str">
        <f t="shared" si="642"/>
        <v/>
      </c>
      <c r="AA2754" s="374" t="b">
        <f t="shared" si="643"/>
        <v>1</v>
      </c>
      <c r="AB2754" s="374">
        <f>COUNTIFS(B:B,B2754,H:H,'סיווג התפקידים והעלויות'!$C$2)</f>
        <v>0</v>
      </c>
      <c r="AC2754" s="374">
        <f>COUNTIFS(B:B,B2754,H:H,'סיווג התפקידים והעלויות'!$D$2)</f>
        <v>0</v>
      </c>
      <c r="AD2754" s="374" t="str">
        <f>IF(OR(AND(H2754='סיווג התפקידים והעלויות'!$A$2,I2754='סיווג התפקידים והעלויות'!$A$3),'עלויות כח אדם (6)'!H2754='סיווג התפקידים והעלויות'!$C$2,'עלויות כח אדם (6)'!H2754='סיווג התפקידים והעלויות'!$D$2),IF('עלויות כח אדם (6)'!J2754&lt;75,"לא תקין","תקין"),"")</f>
        <v/>
      </c>
      <c r="AE2754" s="374" t="str">
        <f t="shared" si="644"/>
        <v/>
      </c>
      <c r="AF2754" s="532" t="str">
        <f t="shared" si="645"/>
        <v/>
      </c>
    </row>
    <row r="2755" spans="2:32" x14ac:dyDescent="0.25">
      <c r="B2755" s="695"/>
      <c r="C2755" s="197" t="str">
        <f>IF(B2755&lt;&gt;"",IFERROR(VLOOKUP(B:B,'מצבת והרשמה (2)'!$C$20:$N$520,2,0)," ")," ")</f>
        <v xml:space="preserve"> </v>
      </c>
      <c r="D2755" s="695"/>
      <c r="E2755" s="696"/>
      <c r="F2755" s="696"/>
      <c r="G2755" s="696"/>
      <c r="H2755" s="696"/>
      <c r="I2755" s="1050" t="str">
        <f t="shared" si="632"/>
        <v/>
      </c>
      <c r="J2755" s="696"/>
      <c r="K2755" s="697"/>
      <c r="L2755" s="696"/>
      <c r="M2755" s="198" t="str">
        <f t="shared" si="633"/>
        <v/>
      </c>
      <c r="N2755" s="369" t="str">
        <f t="shared" si="634"/>
        <v/>
      </c>
      <c r="O2755" s="183" t="str">
        <f t="shared" si="635"/>
        <v/>
      </c>
      <c r="P2755" s="199" t="str">
        <f t="shared" si="636"/>
        <v/>
      </c>
      <c r="Q2755" s="199" t="str">
        <f>IF(B2755="","",IFERROR(IF('עלויות כח אדם (6)'!J2755&gt;=VLOOKUP(I2755,'סיווג התפקידים והעלויות'!$B$23:$C$32,2,0),"תקין","לא תקין"),""))</f>
        <v/>
      </c>
      <c r="R2755" s="199" t="str">
        <f t="shared" si="637"/>
        <v/>
      </c>
      <c r="S2755" s="199" t="str">
        <f t="shared" si="638"/>
        <v/>
      </c>
      <c r="T2755" s="199" t="str">
        <f t="shared" si="646"/>
        <v/>
      </c>
      <c r="U2755" s="199" t="str">
        <f t="shared" si="639"/>
        <v/>
      </c>
      <c r="V2755" s="989"/>
      <c r="X2755" s="374" t="str">
        <f t="shared" si="640"/>
        <v/>
      </c>
      <c r="Y2755" s="375" t="str">
        <f t="shared" si="641"/>
        <v/>
      </c>
      <c r="Z2755" s="374" t="str">
        <f t="shared" si="642"/>
        <v/>
      </c>
      <c r="AA2755" s="374" t="b">
        <f t="shared" si="643"/>
        <v>1</v>
      </c>
      <c r="AB2755" s="374">
        <f>COUNTIFS(B:B,B2755,H:H,'סיווג התפקידים והעלויות'!$C$2)</f>
        <v>0</v>
      </c>
      <c r="AC2755" s="374">
        <f>COUNTIFS(B:B,B2755,H:H,'סיווג התפקידים והעלויות'!$D$2)</f>
        <v>0</v>
      </c>
      <c r="AD2755" s="374" t="str">
        <f>IF(OR(AND(H2755='סיווג התפקידים והעלויות'!$A$2,I2755='סיווג התפקידים והעלויות'!$A$3),'עלויות כח אדם (6)'!H2755='סיווג התפקידים והעלויות'!$C$2,'עלויות כח אדם (6)'!H2755='סיווג התפקידים והעלויות'!$D$2),IF('עלויות כח אדם (6)'!J2755&lt;75,"לא תקין","תקין"),"")</f>
        <v/>
      </c>
      <c r="AE2755" s="374" t="str">
        <f t="shared" si="644"/>
        <v/>
      </c>
      <c r="AF2755" s="532" t="str">
        <f t="shared" si="645"/>
        <v/>
      </c>
    </row>
    <row r="2756" spans="2:32" x14ac:dyDescent="0.25">
      <c r="B2756" s="695"/>
      <c r="C2756" s="197" t="str">
        <f>IF(B2756&lt;&gt;"",IFERROR(VLOOKUP(B:B,'מצבת והרשמה (2)'!$C$20:$N$520,2,0)," ")," ")</f>
        <v xml:space="preserve"> </v>
      </c>
      <c r="D2756" s="695"/>
      <c r="E2756" s="696"/>
      <c r="F2756" s="696"/>
      <c r="G2756" s="696"/>
      <c r="H2756" s="696"/>
      <c r="I2756" s="1050" t="str">
        <f t="shared" si="632"/>
        <v/>
      </c>
      <c r="J2756" s="696"/>
      <c r="K2756" s="697"/>
      <c r="L2756" s="696"/>
      <c r="M2756" s="198" t="str">
        <f t="shared" si="633"/>
        <v/>
      </c>
      <c r="N2756" s="369" t="str">
        <f t="shared" si="634"/>
        <v/>
      </c>
      <c r="O2756" s="183" t="str">
        <f t="shared" si="635"/>
        <v/>
      </c>
      <c r="P2756" s="199" t="str">
        <f t="shared" si="636"/>
        <v/>
      </c>
      <c r="Q2756" s="199" t="str">
        <f>IF(B2756="","",IFERROR(IF('עלויות כח אדם (6)'!J2756&gt;=VLOOKUP(I2756,'סיווג התפקידים והעלויות'!$B$23:$C$32,2,0),"תקין","לא תקין"),""))</f>
        <v/>
      </c>
      <c r="R2756" s="199" t="str">
        <f t="shared" si="637"/>
        <v/>
      </c>
      <c r="S2756" s="199" t="str">
        <f t="shared" si="638"/>
        <v/>
      </c>
      <c r="T2756" s="199" t="str">
        <f t="shared" si="646"/>
        <v/>
      </c>
      <c r="U2756" s="199" t="str">
        <f t="shared" si="639"/>
        <v/>
      </c>
      <c r="V2756" s="989"/>
      <c r="X2756" s="374" t="str">
        <f t="shared" si="640"/>
        <v/>
      </c>
      <c r="Y2756" s="375" t="str">
        <f t="shared" si="641"/>
        <v/>
      </c>
      <c r="Z2756" s="374" t="str">
        <f t="shared" si="642"/>
        <v/>
      </c>
      <c r="AA2756" s="374" t="b">
        <f t="shared" si="643"/>
        <v>1</v>
      </c>
      <c r="AB2756" s="374">
        <f>COUNTIFS(B:B,B2756,H:H,'סיווג התפקידים והעלויות'!$C$2)</f>
        <v>0</v>
      </c>
      <c r="AC2756" s="374">
        <f>COUNTIFS(B:B,B2756,H:H,'סיווג התפקידים והעלויות'!$D$2)</f>
        <v>0</v>
      </c>
      <c r="AD2756" s="374" t="str">
        <f>IF(OR(AND(H2756='סיווג התפקידים והעלויות'!$A$2,I2756='סיווג התפקידים והעלויות'!$A$3),'עלויות כח אדם (6)'!H2756='סיווג התפקידים והעלויות'!$C$2,'עלויות כח אדם (6)'!H2756='סיווג התפקידים והעלויות'!$D$2),IF('עלויות כח אדם (6)'!J2756&lt;75,"לא תקין","תקין"),"")</f>
        <v/>
      </c>
      <c r="AE2756" s="374" t="str">
        <f t="shared" si="644"/>
        <v/>
      </c>
      <c r="AF2756" s="532" t="str">
        <f t="shared" si="645"/>
        <v/>
      </c>
    </row>
    <row r="2757" spans="2:32" x14ac:dyDescent="0.25">
      <c r="B2757" s="695"/>
      <c r="C2757" s="197" t="str">
        <f>IF(B2757&lt;&gt;"",IFERROR(VLOOKUP(B:B,'מצבת והרשמה (2)'!$C$20:$N$520,2,0)," ")," ")</f>
        <v xml:space="preserve"> </v>
      </c>
      <c r="D2757" s="695"/>
      <c r="E2757" s="696"/>
      <c r="F2757" s="696"/>
      <c r="G2757" s="696"/>
      <c r="H2757" s="696"/>
      <c r="I2757" s="1050" t="str">
        <f t="shared" si="632"/>
        <v/>
      </c>
      <c r="J2757" s="696"/>
      <c r="K2757" s="697"/>
      <c r="L2757" s="696"/>
      <c r="M2757" s="198" t="str">
        <f t="shared" si="633"/>
        <v/>
      </c>
      <c r="N2757" s="369" t="str">
        <f t="shared" si="634"/>
        <v/>
      </c>
      <c r="O2757" s="183" t="str">
        <f t="shared" si="635"/>
        <v/>
      </c>
      <c r="P2757" s="199" t="str">
        <f t="shared" si="636"/>
        <v/>
      </c>
      <c r="Q2757" s="199" t="str">
        <f>IF(B2757="","",IFERROR(IF('עלויות כח אדם (6)'!J2757&gt;=VLOOKUP(I2757,'סיווג התפקידים והעלויות'!$B$23:$C$32,2,0),"תקין","לא תקין"),""))</f>
        <v/>
      </c>
      <c r="R2757" s="199" t="str">
        <f t="shared" si="637"/>
        <v/>
      </c>
      <c r="S2757" s="199" t="str">
        <f t="shared" si="638"/>
        <v/>
      </c>
      <c r="T2757" s="199" t="str">
        <f t="shared" si="646"/>
        <v/>
      </c>
      <c r="U2757" s="199" t="str">
        <f t="shared" si="639"/>
        <v/>
      </c>
      <c r="V2757" s="989"/>
      <c r="X2757" s="374" t="str">
        <f t="shared" si="640"/>
        <v/>
      </c>
      <c r="Y2757" s="375" t="str">
        <f t="shared" si="641"/>
        <v/>
      </c>
      <c r="Z2757" s="374" t="str">
        <f t="shared" si="642"/>
        <v/>
      </c>
      <c r="AA2757" s="374" t="b">
        <f t="shared" si="643"/>
        <v>1</v>
      </c>
      <c r="AB2757" s="374">
        <f>COUNTIFS(B:B,B2757,H:H,'סיווג התפקידים והעלויות'!$C$2)</f>
        <v>0</v>
      </c>
      <c r="AC2757" s="374">
        <f>COUNTIFS(B:B,B2757,H:H,'סיווג התפקידים והעלויות'!$D$2)</f>
        <v>0</v>
      </c>
      <c r="AD2757" s="374" t="str">
        <f>IF(OR(AND(H2757='סיווג התפקידים והעלויות'!$A$2,I2757='סיווג התפקידים והעלויות'!$A$3),'עלויות כח אדם (6)'!H2757='סיווג התפקידים והעלויות'!$C$2,'עלויות כח אדם (6)'!H2757='סיווג התפקידים והעלויות'!$D$2),IF('עלויות כח אדם (6)'!J2757&lt;75,"לא תקין","תקין"),"")</f>
        <v/>
      </c>
      <c r="AE2757" s="374" t="str">
        <f t="shared" si="644"/>
        <v/>
      </c>
      <c r="AF2757" s="532" t="str">
        <f t="shared" si="645"/>
        <v/>
      </c>
    </row>
    <row r="2758" spans="2:32" x14ac:dyDescent="0.25">
      <c r="B2758" s="695"/>
      <c r="C2758" s="197" t="str">
        <f>IF(B2758&lt;&gt;"",IFERROR(VLOOKUP(B:B,'מצבת והרשמה (2)'!$C$20:$N$520,2,0)," ")," ")</f>
        <v xml:space="preserve"> </v>
      </c>
      <c r="D2758" s="695"/>
      <c r="E2758" s="696"/>
      <c r="F2758" s="696"/>
      <c r="G2758" s="696"/>
      <c r="H2758" s="696"/>
      <c r="I2758" s="1050" t="str">
        <f t="shared" si="632"/>
        <v/>
      </c>
      <c r="J2758" s="696"/>
      <c r="K2758" s="697"/>
      <c r="L2758" s="696"/>
      <c r="M2758" s="198" t="str">
        <f t="shared" si="633"/>
        <v/>
      </c>
      <c r="N2758" s="369" t="str">
        <f t="shared" si="634"/>
        <v/>
      </c>
      <c r="O2758" s="183" t="str">
        <f t="shared" si="635"/>
        <v/>
      </c>
      <c r="P2758" s="199" t="str">
        <f t="shared" si="636"/>
        <v/>
      </c>
      <c r="Q2758" s="199" t="str">
        <f>IF(B2758="","",IFERROR(IF('עלויות כח אדם (6)'!J2758&gt;=VLOOKUP(I2758,'סיווג התפקידים והעלויות'!$B$23:$C$32,2,0),"תקין","לא תקין"),""))</f>
        <v/>
      </c>
      <c r="R2758" s="199" t="str">
        <f t="shared" si="637"/>
        <v/>
      </c>
      <c r="S2758" s="199" t="str">
        <f t="shared" si="638"/>
        <v/>
      </c>
      <c r="T2758" s="199" t="str">
        <f t="shared" si="646"/>
        <v/>
      </c>
      <c r="U2758" s="199" t="str">
        <f t="shared" si="639"/>
        <v/>
      </c>
      <c r="V2758" s="989"/>
      <c r="X2758" s="374" t="str">
        <f t="shared" si="640"/>
        <v/>
      </c>
      <c r="Y2758" s="375" t="str">
        <f t="shared" si="641"/>
        <v/>
      </c>
      <c r="Z2758" s="374" t="str">
        <f t="shared" si="642"/>
        <v/>
      </c>
      <c r="AA2758" s="374" t="b">
        <f t="shared" si="643"/>
        <v>1</v>
      </c>
      <c r="AB2758" s="374">
        <f>COUNTIFS(B:B,B2758,H:H,'סיווג התפקידים והעלויות'!$C$2)</f>
        <v>0</v>
      </c>
      <c r="AC2758" s="374">
        <f>COUNTIFS(B:B,B2758,H:H,'סיווג התפקידים והעלויות'!$D$2)</f>
        <v>0</v>
      </c>
      <c r="AD2758" s="374" t="str">
        <f>IF(OR(AND(H2758='סיווג התפקידים והעלויות'!$A$2,I2758='סיווג התפקידים והעלויות'!$A$3),'עלויות כח אדם (6)'!H2758='סיווג התפקידים והעלויות'!$C$2,'עלויות כח אדם (6)'!H2758='סיווג התפקידים והעלויות'!$D$2),IF('עלויות כח אדם (6)'!J2758&lt;75,"לא תקין","תקין"),"")</f>
        <v/>
      </c>
      <c r="AE2758" s="374" t="str">
        <f t="shared" si="644"/>
        <v/>
      </c>
      <c r="AF2758" s="532" t="str">
        <f t="shared" si="645"/>
        <v/>
      </c>
    </row>
    <row r="2759" spans="2:32" x14ac:dyDescent="0.25">
      <c r="B2759" s="695"/>
      <c r="C2759" s="197" t="str">
        <f>IF(B2759&lt;&gt;"",IFERROR(VLOOKUP(B:B,'מצבת והרשמה (2)'!$C$20:$N$520,2,0)," ")," ")</f>
        <v xml:space="preserve"> </v>
      </c>
      <c r="D2759" s="695"/>
      <c r="E2759" s="696"/>
      <c r="F2759" s="696"/>
      <c r="G2759" s="696"/>
      <c r="H2759" s="696"/>
      <c r="I2759" s="1050" t="str">
        <f t="shared" si="632"/>
        <v/>
      </c>
      <c r="J2759" s="696"/>
      <c r="K2759" s="697"/>
      <c r="L2759" s="696"/>
      <c r="M2759" s="198" t="str">
        <f t="shared" si="633"/>
        <v/>
      </c>
      <c r="N2759" s="369" t="str">
        <f t="shared" si="634"/>
        <v/>
      </c>
      <c r="O2759" s="183" t="str">
        <f t="shared" si="635"/>
        <v/>
      </c>
      <c r="P2759" s="199" t="str">
        <f t="shared" si="636"/>
        <v/>
      </c>
      <c r="Q2759" s="199" t="str">
        <f>IF(B2759="","",IFERROR(IF('עלויות כח אדם (6)'!J2759&gt;=VLOOKUP(I2759,'סיווג התפקידים והעלויות'!$B$23:$C$32,2,0),"תקין","לא תקין"),""))</f>
        <v/>
      </c>
      <c r="R2759" s="199" t="str">
        <f t="shared" si="637"/>
        <v/>
      </c>
      <c r="S2759" s="199" t="str">
        <f t="shared" si="638"/>
        <v/>
      </c>
      <c r="T2759" s="199" t="str">
        <f t="shared" si="646"/>
        <v/>
      </c>
      <c r="U2759" s="199" t="str">
        <f t="shared" si="639"/>
        <v/>
      </c>
      <c r="V2759" s="989"/>
      <c r="X2759" s="374" t="str">
        <f t="shared" si="640"/>
        <v/>
      </c>
      <c r="Y2759" s="375" t="str">
        <f t="shared" si="641"/>
        <v/>
      </c>
      <c r="Z2759" s="374" t="str">
        <f t="shared" si="642"/>
        <v/>
      </c>
      <c r="AA2759" s="374" t="b">
        <f t="shared" si="643"/>
        <v>1</v>
      </c>
      <c r="AB2759" s="374">
        <f>COUNTIFS(B:B,B2759,H:H,'סיווג התפקידים והעלויות'!$C$2)</f>
        <v>0</v>
      </c>
      <c r="AC2759" s="374">
        <f>COUNTIFS(B:B,B2759,H:H,'סיווג התפקידים והעלויות'!$D$2)</f>
        <v>0</v>
      </c>
      <c r="AD2759" s="374" t="str">
        <f>IF(OR(AND(H2759='סיווג התפקידים והעלויות'!$A$2,I2759='סיווג התפקידים והעלויות'!$A$3),'עלויות כח אדם (6)'!H2759='סיווג התפקידים והעלויות'!$C$2,'עלויות כח אדם (6)'!H2759='סיווג התפקידים והעלויות'!$D$2),IF('עלויות כח אדם (6)'!J2759&lt;75,"לא תקין","תקין"),"")</f>
        <v/>
      </c>
      <c r="AE2759" s="374" t="str">
        <f t="shared" si="644"/>
        <v/>
      </c>
      <c r="AF2759" s="532" t="str">
        <f t="shared" si="645"/>
        <v/>
      </c>
    </row>
    <row r="2760" spans="2:32" x14ac:dyDescent="0.25">
      <c r="B2760" s="695"/>
      <c r="C2760" s="197" t="str">
        <f>IF(B2760&lt;&gt;"",IFERROR(VLOOKUP(B:B,'מצבת והרשמה (2)'!$C$20:$N$520,2,0)," ")," ")</f>
        <v xml:space="preserve"> </v>
      </c>
      <c r="D2760" s="695"/>
      <c r="E2760" s="696"/>
      <c r="F2760" s="696"/>
      <c r="G2760" s="696"/>
      <c r="H2760" s="696"/>
      <c r="I2760" s="1050" t="str">
        <f t="shared" si="632"/>
        <v/>
      </c>
      <c r="J2760" s="696"/>
      <c r="K2760" s="697"/>
      <c r="L2760" s="696"/>
      <c r="M2760" s="198" t="str">
        <f t="shared" si="633"/>
        <v/>
      </c>
      <c r="N2760" s="369" t="str">
        <f t="shared" si="634"/>
        <v/>
      </c>
      <c r="O2760" s="183" t="str">
        <f t="shared" si="635"/>
        <v/>
      </c>
      <c r="P2760" s="199" t="str">
        <f t="shared" si="636"/>
        <v/>
      </c>
      <c r="Q2760" s="199" t="str">
        <f>IF(B2760="","",IFERROR(IF('עלויות כח אדם (6)'!J2760&gt;=VLOOKUP(I2760,'סיווג התפקידים והעלויות'!$B$23:$C$32,2,0),"תקין","לא תקין"),""))</f>
        <v/>
      </c>
      <c r="R2760" s="199" t="str">
        <f t="shared" si="637"/>
        <v/>
      </c>
      <c r="S2760" s="199" t="str">
        <f t="shared" si="638"/>
        <v/>
      </c>
      <c r="T2760" s="199" t="str">
        <f t="shared" si="646"/>
        <v/>
      </c>
      <c r="U2760" s="199" t="str">
        <f t="shared" si="639"/>
        <v/>
      </c>
      <c r="V2760" s="989"/>
      <c r="X2760" s="374" t="str">
        <f t="shared" si="640"/>
        <v/>
      </c>
      <c r="Y2760" s="375" t="str">
        <f t="shared" si="641"/>
        <v/>
      </c>
      <c r="Z2760" s="374" t="str">
        <f t="shared" si="642"/>
        <v/>
      </c>
      <c r="AA2760" s="374" t="b">
        <f t="shared" si="643"/>
        <v>1</v>
      </c>
      <c r="AB2760" s="374">
        <f>COUNTIFS(B:B,B2760,H:H,'סיווג התפקידים והעלויות'!$C$2)</f>
        <v>0</v>
      </c>
      <c r="AC2760" s="374">
        <f>COUNTIFS(B:B,B2760,H:H,'סיווג התפקידים והעלויות'!$D$2)</f>
        <v>0</v>
      </c>
      <c r="AD2760" s="374" t="str">
        <f>IF(OR(AND(H2760='סיווג התפקידים והעלויות'!$A$2,I2760='סיווג התפקידים והעלויות'!$A$3),'עלויות כח אדם (6)'!H2760='סיווג התפקידים והעלויות'!$C$2,'עלויות כח אדם (6)'!H2760='סיווג התפקידים והעלויות'!$D$2),IF('עלויות כח אדם (6)'!J2760&lt;75,"לא תקין","תקין"),"")</f>
        <v/>
      </c>
      <c r="AE2760" s="374" t="str">
        <f t="shared" si="644"/>
        <v/>
      </c>
      <c r="AF2760" s="532" t="str">
        <f t="shared" si="645"/>
        <v/>
      </c>
    </row>
    <row r="2761" spans="2:32" x14ac:dyDescent="0.25">
      <c r="B2761" s="695"/>
      <c r="C2761" s="197" t="str">
        <f>IF(B2761&lt;&gt;"",IFERROR(VLOOKUP(B:B,'מצבת והרשמה (2)'!$C$20:$N$520,2,0)," ")," ")</f>
        <v xml:space="preserve"> </v>
      </c>
      <c r="D2761" s="695"/>
      <c r="E2761" s="696"/>
      <c r="F2761" s="696"/>
      <c r="G2761" s="696"/>
      <c r="H2761" s="696"/>
      <c r="I2761" s="1050" t="str">
        <f t="shared" si="632"/>
        <v/>
      </c>
      <c r="J2761" s="696"/>
      <c r="K2761" s="697"/>
      <c r="L2761" s="696"/>
      <c r="M2761" s="198" t="str">
        <f t="shared" si="633"/>
        <v/>
      </c>
      <c r="N2761" s="369" t="str">
        <f t="shared" si="634"/>
        <v/>
      </c>
      <c r="O2761" s="183" t="str">
        <f t="shared" si="635"/>
        <v/>
      </c>
      <c r="P2761" s="199" t="str">
        <f t="shared" si="636"/>
        <v/>
      </c>
      <c r="Q2761" s="199" t="str">
        <f>IF(B2761="","",IFERROR(IF('עלויות כח אדם (6)'!J2761&gt;=VLOOKUP(I2761,'סיווג התפקידים והעלויות'!$B$23:$C$32,2,0),"תקין","לא תקין"),""))</f>
        <v/>
      </c>
      <c r="R2761" s="199" t="str">
        <f t="shared" si="637"/>
        <v/>
      </c>
      <c r="S2761" s="199" t="str">
        <f t="shared" si="638"/>
        <v/>
      </c>
      <c r="T2761" s="199" t="str">
        <f t="shared" si="646"/>
        <v/>
      </c>
      <c r="U2761" s="199" t="str">
        <f t="shared" si="639"/>
        <v/>
      </c>
      <c r="V2761" s="989"/>
      <c r="X2761" s="374" t="str">
        <f t="shared" si="640"/>
        <v/>
      </c>
      <c r="Y2761" s="375" t="str">
        <f t="shared" si="641"/>
        <v/>
      </c>
      <c r="Z2761" s="374" t="str">
        <f t="shared" si="642"/>
        <v/>
      </c>
      <c r="AA2761" s="374" t="b">
        <f t="shared" si="643"/>
        <v>1</v>
      </c>
      <c r="AB2761" s="374">
        <f>COUNTIFS(B:B,B2761,H:H,'סיווג התפקידים והעלויות'!$C$2)</f>
        <v>0</v>
      </c>
      <c r="AC2761" s="374">
        <f>COUNTIFS(B:B,B2761,H:H,'סיווג התפקידים והעלויות'!$D$2)</f>
        <v>0</v>
      </c>
      <c r="AD2761" s="374" t="str">
        <f>IF(OR(AND(H2761='סיווג התפקידים והעלויות'!$A$2,I2761='סיווג התפקידים והעלויות'!$A$3),'עלויות כח אדם (6)'!H2761='סיווג התפקידים והעלויות'!$C$2,'עלויות כח אדם (6)'!H2761='סיווג התפקידים והעלויות'!$D$2),IF('עלויות כח אדם (6)'!J2761&lt;75,"לא תקין","תקין"),"")</f>
        <v/>
      </c>
      <c r="AE2761" s="374" t="str">
        <f t="shared" si="644"/>
        <v/>
      </c>
      <c r="AF2761" s="532" t="str">
        <f t="shared" si="645"/>
        <v/>
      </c>
    </row>
    <row r="2762" spans="2:32" x14ac:dyDescent="0.25">
      <c r="B2762" s="695"/>
      <c r="C2762" s="197" t="str">
        <f>IF(B2762&lt;&gt;"",IFERROR(VLOOKUP(B:B,'מצבת והרשמה (2)'!$C$20:$N$520,2,0)," ")," ")</f>
        <v xml:space="preserve"> </v>
      </c>
      <c r="D2762" s="695"/>
      <c r="E2762" s="696"/>
      <c r="F2762" s="696"/>
      <c r="G2762" s="696"/>
      <c r="H2762" s="696"/>
      <c r="I2762" s="1050" t="str">
        <f t="shared" si="632"/>
        <v/>
      </c>
      <c r="J2762" s="696"/>
      <c r="K2762" s="697"/>
      <c r="L2762" s="696"/>
      <c r="M2762" s="198" t="str">
        <f t="shared" si="633"/>
        <v/>
      </c>
      <c r="N2762" s="369" t="str">
        <f t="shared" si="634"/>
        <v/>
      </c>
      <c r="O2762" s="183" t="str">
        <f t="shared" si="635"/>
        <v/>
      </c>
      <c r="P2762" s="199" t="str">
        <f t="shared" si="636"/>
        <v/>
      </c>
      <c r="Q2762" s="199" t="str">
        <f>IF(B2762="","",IFERROR(IF('עלויות כח אדם (6)'!J2762&gt;=VLOOKUP(I2762,'סיווג התפקידים והעלויות'!$B$23:$C$32,2,0),"תקין","לא תקין"),""))</f>
        <v/>
      </c>
      <c r="R2762" s="199" t="str">
        <f t="shared" si="637"/>
        <v/>
      </c>
      <c r="S2762" s="199" t="str">
        <f t="shared" si="638"/>
        <v/>
      </c>
      <c r="T2762" s="199" t="str">
        <f t="shared" si="646"/>
        <v/>
      </c>
      <c r="U2762" s="199" t="str">
        <f t="shared" si="639"/>
        <v/>
      </c>
      <c r="V2762" s="989"/>
      <c r="X2762" s="374" t="str">
        <f t="shared" si="640"/>
        <v/>
      </c>
      <c r="Y2762" s="375" t="str">
        <f t="shared" si="641"/>
        <v/>
      </c>
      <c r="Z2762" s="374" t="str">
        <f t="shared" si="642"/>
        <v/>
      </c>
      <c r="AA2762" s="374" t="b">
        <f t="shared" si="643"/>
        <v>1</v>
      </c>
      <c r="AB2762" s="374">
        <f>COUNTIFS(B:B,B2762,H:H,'סיווג התפקידים והעלויות'!$C$2)</f>
        <v>0</v>
      </c>
      <c r="AC2762" s="374">
        <f>COUNTIFS(B:B,B2762,H:H,'סיווג התפקידים והעלויות'!$D$2)</f>
        <v>0</v>
      </c>
      <c r="AD2762" s="374" t="str">
        <f>IF(OR(AND(H2762='סיווג התפקידים והעלויות'!$A$2,I2762='סיווג התפקידים והעלויות'!$A$3),'עלויות כח אדם (6)'!H2762='סיווג התפקידים והעלויות'!$C$2,'עלויות כח אדם (6)'!H2762='סיווג התפקידים והעלויות'!$D$2),IF('עלויות כח אדם (6)'!J2762&lt;75,"לא תקין","תקין"),"")</f>
        <v/>
      </c>
      <c r="AE2762" s="374" t="str">
        <f t="shared" si="644"/>
        <v/>
      </c>
      <c r="AF2762" s="532" t="str">
        <f t="shared" si="645"/>
        <v/>
      </c>
    </row>
    <row r="2763" spans="2:32" x14ac:dyDescent="0.25">
      <c r="B2763" s="695"/>
      <c r="C2763" s="197" t="str">
        <f>IF(B2763&lt;&gt;"",IFERROR(VLOOKUP(B:B,'מצבת והרשמה (2)'!$C$20:$N$520,2,0)," ")," ")</f>
        <v xml:space="preserve"> </v>
      </c>
      <c r="D2763" s="695"/>
      <c r="E2763" s="696"/>
      <c r="F2763" s="696"/>
      <c r="G2763" s="696"/>
      <c r="H2763" s="696"/>
      <c r="I2763" s="1050" t="str">
        <f t="shared" si="632"/>
        <v/>
      </c>
      <c r="J2763" s="696"/>
      <c r="K2763" s="697"/>
      <c r="L2763" s="696"/>
      <c r="M2763" s="198" t="str">
        <f t="shared" si="633"/>
        <v/>
      </c>
      <c r="N2763" s="369" t="str">
        <f t="shared" si="634"/>
        <v/>
      </c>
      <c r="O2763" s="183" t="str">
        <f t="shared" si="635"/>
        <v/>
      </c>
      <c r="P2763" s="199" t="str">
        <f t="shared" si="636"/>
        <v/>
      </c>
      <c r="Q2763" s="199" t="str">
        <f>IF(B2763="","",IFERROR(IF('עלויות כח אדם (6)'!J2763&gt;=VLOOKUP(I2763,'סיווג התפקידים והעלויות'!$B$23:$C$32,2,0),"תקין","לא תקין"),""))</f>
        <v/>
      </c>
      <c r="R2763" s="199" t="str">
        <f t="shared" si="637"/>
        <v/>
      </c>
      <c r="S2763" s="199" t="str">
        <f t="shared" si="638"/>
        <v/>
      </c>
      <c r="T2763" s="199" t="str">
        <f t="shared" si="646"/>
        <v/>
      </c>
      <c r="U2763" s="199" t="str">
        <f t="shared" si="639"/>
        <v/>
      </c>
      <c r="V2763" s="989"/>
      <c r="X2763" s="374" t="str">
        <f t="shared" si="640"/>
        <v/>
      </c>
      <c r="Y2763" s="375" t="str">
        <f t="shared" si="641"/>
        <v/>
      </c>
      <c r="Z2763" s="374" t="str">
        <f t="shared" si="642"/>
        <v/>
      </c>
      <c r="AA2763" s="374" t="b">
        <f t="shared" si="643"/>
        <v>1</v>
      </c>
      <c r="AB2763" s="374">
        <f>COUNTIFS(B:B,B2763,H:H,'סיווג התפקידים והעלויות'!$C$2)</f>
        <v>0</v>
      </c>
      <c r="AC2763" s="374">
        <f>COUNTIFS(B:B,B2763,H:H,'סיווג התפקידים והעלויות'!$D$2)</f>
        <v>0</v>
      </c>
      <c r="AD2763" s="374" t="str">
        <f>IF(OR(AND(H2763='סיווג התפקידים והעלויות'!$A$2,I2763='סיווג התפקידים והעלויות'!$A$3),'עלויות כח אדם (6)'!H2763='סיווג התפקידים והעלויות'!$C$2,'עלויות כח אדם (6)'!H2763='סיווג התפקידים והעלויות'!$D$2),IF('עלויות כח אדם (6)'!J2763&lt;75,"לא תקין","תקין"),"")</f>
        <v/>
      </c>
      <c r="AE2763" s="374" t="str">
        <f t="shared" si="644"/>
        <v/>
      </c>
      <c r="AF2763" s="532" t="str">
        <f t="shared" si="645"/>
        <v/>
      </c>
    </row>
    <row r="2764" spans="2:32" x14ac:dyDescent="0.25">
      <c r="B2764" s="695"/>
      <c r="C2764" s="197" t="str">
        <f>IF(B2764&lt;&gt;"",IFERROR(VLOOKUP(B:B,'מצבת והרשמה (2)'!$C$20:$N$520,2,0)," ")," ")</f>
        <v xml:space="preserve"> </v>
      </c>
      <c r="D2764" s="695"/>
      <c r="E2764" s="696"/>
      <c r="F2764" s="696"/>
      <c r="G2764" s="696"/>
      <c r="H2764" s="696"/>
      <c r="I2764" s="1050" t="str">
        <f t="shared" si="632"/>
        <v/>
      </c>
      <c r="J2764" s="696"/>
      <c r="K2764" s="697"/>
      <c r="L2764" s="696"/>
      <c r="M2764" s="198" t="str">
        <f t="shared" si="633"/>
        <v/>
      </c>
      <c r="N2764" s="369" t="str">
        <f t="shared" si="634"/>
        <v/>
      </c>
      <c r="O2764" s="183" t="str">
        <f t="shared" si="635"/>
        <v/>
      </c>
      <c r="P2764" s="199" t="str">
        <f t="shared" si="636"/>
        <v/>
      </c>
      <c r="Q2764" s="199" t="str">
        <f>IF(B2764="","",IFERROR(IF('עלויות כח אדם (6)'!J2764&gt;=VLOOKUP(I2764,'סיווג התפקידים והעלויות'!$B$23:$C$32,2,0),"תקין","לא תקין"),""))</f>
        <v/>
      </c>
      <c r="R2764" s="199" t="str">
        <f t="shared" si="637"/>
        <v/>
      </c>
      <c r="S2764" s="199" t="str">
        <f t="shared" si="638"/>
        <v/>
      </c>
      <c r="T2764" s="199" t="str">
        <f t="shared" si="646"/>
        <v/>
      </c>
      <c r="U2764" s="199" t="str">
        <f t="shared" si="639"/>
        <v/>
      </c>
      <c r="V2764" s="989"/>
      <c r="X2764" s="374" t="str">
        <f t="shared" si="640"/>
        <v/>
      </c>
      <c r="Y2764" s="375" t="str">
        <f t="shared" si="641"/>
        <v/>
      </c>
      <c r="Z2764" s="374" t="str">
        <f t="shared" si="642"/>
        <v/>
      </c>
      <c r="AA2764" s="374" t="b">
        <f t="shared" si="643"/>
        <v>1</v>
      </c>
      <c r="AB2764" s="374">
        <f>COUNTIFS(B:B,B2764,H:H,'סיווג התפקידים והעלויות'!$C$2)</f>
        <v>0</v>
      </c>
      <c r="AC2764" s="374">
        <f>COUNTIFS(B:B,B2764,H:H,'סיווג התפקידים והעלויות'!$D$2)</f>
        <v>0</v>
      </c>
      <c r="AD2764" s="374" t="str">
        <f>IF(OR(AND(H2764='סיווג התפקידים והעלויות'!$A$2,I2764='סיווג התפקידים והעלויות'!$A$3),'עלויות כח אדם (6)'!H2764='סיווג התפקידים והעלויות'!$C$2,'עלויות כח אדם (6)'!H2764='סיווג התפקידים והעלויות'!$D$2),IF('עלויות כח אדם (6)'!J2764&lt;75,"לא תקין","תקין"),"")</f>
        <v/>
      </c>
      <c r="AE2764" s="374" t="str">
        <f t="shared" si="644"/>
        <v/>
      </c>
      <c r="AF2764" s="532" t="str">
        <f t="shared" si="645"/>
        <v/>
      </c>
    </row>
    <row r="2765" spans="2:32" x14ac:dyDescent="0.25">
      <c r="B2765" s="695"/>
      <c r="C2765" s="197" t="str">
        <f>IF(B2765&lt;&gt;"",IFERROR(VLOOKUP(B:B,'מצבת והרשמה (2)'!$C$20:$N$520,2,0)," ")," ")</f>
        <v xml:space="preserve"> </v>
      </c>
      <c r="D2765" s="695"/>
      <c r="E2765" s="696"/>
      <c r="F2765" s="696"/>
      <c r="G2765" s="696"/>
      <c r="H2765" s="696"/>
      <c r="I2765" s="1050" t="str">
        <f t="shared" si="632"/>
        <v/>
      </c>
      <c r="J2765" s="696"/>
      <c r="K2765" s="697"/>
      <c r="L2765" s="696"/>
      <c r="M2765" s="198" t="str">
        <f t="shared" si="633"/>
        <v/>
      </c>
      <c r="N2765" s="369" t="str">
        <f t="shared" si="634"/>
        <v/>
      </c>
      <c r="O2765" s="183" t="str">
        <f t="shared" si="635"/>
        <v/>
      </c>
      <c r="P2765" s="199" t="str">
        <f t="shared" si="636"/>
        <v/>
      </c>
      <c r="Q2765" s="199" t="str">
        <f>IF(B2765="","",IFERROR(IF('עלויות כח אדם (6)'!J2765&gt;=VLOOKUP(I2765,'סיווג התפקידים והעלויות'!$B$23:$C$32,2,0),"תקין","לא תקין"),""))</f>
        <v/>
      </c>
      <c r="R2765" s="199" t="str">
        <f t="shared" si="637"/>
        <v/>
      </c>
      <c r="S2765" s="199" t="str">
        <f t="shared" si="638"/>
        <v/>
      </c>
      <c r="T2765" s="199" t="str">
        <f t="shared" si="646"/>
        <v/>
      </c>
      <c r="U2765" s="199" t="str">
        <f t="shared" si="639"/>
        <v/>
      </c>
      <c r="V2765" s="989"/>
      <c r="X2765" s="374" t="str">
        <f t="shared" si="640"/>
        <v/>
      </c>
      <c r="Y2765" s="375" t="str">
        <f t="shared" si="641"/>
        <v/>
      </c>
      <c r="Z2765" s="374" t="str">
        <f t="shared" si="642"/>
        <v/>
      </c>
      <c r="AA2765" s="374" t="b">
        <f t="shared" si="643"/>
        <v>1</v>
      </c>
      <c r="AB2765" s="374">
        <f>COUNTIFS(B:B,B2765,H:H,'סיווג התפקידים והעלויות'!$C$2)</f>
        <v>0</v>
      </c>
      <c r="AC2765" s="374">
        <f>COUNTIFS(B:B,B2765,H:H,'סיווג התפקידים והעלויות'!$D$2)</f>
        <v>0</v>
      </c>
      <c r="AD2765" s="374" t="str">
        <f>IF(OR(AND(H2765='סיווג התפקידים והעלויות'!$A$2,I2765='סיווג התפקידים והעלויות'!$A$3),'עלויות כח אדם (6)'!H2765='סיווג התפקידים והעלויות'!$C$2,'עלויות כח אדם (6)'!H2765='סיווג התפקידים והעלויות'!$D$2),IF('עלויות כח אדם (6)'!J2765&lt;75,"לא תקין","תקין"),"")</f>
        <v/>
      </c>
      <c r="AE2765" s="374" t="str">
        <f t="shared" si="644"/>
        <v/>
      </c>
      <c r="AF2765" s="532" t="str">
        <f t="shared" si="645"/>
        <v/>
      </c>
    </row>
    <row r="2766" spans="2:32" x14ac:dyDescent="0.25">
      <c r="B2766" s="695"/>
      <c r="C2766" s="197" t="str">
        <f>IF(B2766&lt;&gt;"",IFERROR(VLOOKUP(B:B,'מצבת והרשמה (2)'!$C$20:$N$520,2,0)," ")," ")</f>
        <v xml:space="preserve"> </v>
      </c>
      <c r="D2766" s="695"/>
      <c r="E2766" s="696"/>
      <c r="F2766" s="696"/>
      <c r="G2766" s="696"/>
      <c r="H2766" s="696"/>
      <c r="I2766" s="1050" t="str">
        <f t="shared" si="632"/>
        <v/>
      </c>
      <c r="J2766" s="696"/>
      <c r="K2766" s="697"/>
      <c r="L2766" s="696"/>
      <c r="M2766" s="198" t="str">
        <f t="shared" si="633"/>
        <v/>
      </c>
      <c r="N2766" s="369" t="str">
        <f t="shared" si="634"/>
        <v/>
      </c>
      <c r="O2766" s="183" t="str">
        <f t="shared" si="635"/>
        <v/>
      </c>
      <c r="P2766" s="199" t="str">
        <f t="shared" si="636"/>
        <v/>
      </c>
      <c r="Q2766" s="199" t="str">
        <f>IF(B2766="","",IFERROR(IF('עלויות כח אדם (6)'!J2766&gt;=VLOOKUP(I2766,'סיווג התפקידים והעלויות'!$B$23:$C$32,2,0),"תקין","לא תקין"),""))</f>
        <v/>
      </c>
      <c r="R2766" s="199" t="str">
        <f t="shared" si="637"/>
        <v/>
      </c>
      <c r="S2766" s="199" t="str">
        <f t="shared" si="638"/>
        <v/>
      </c>
      <c r="T2766" s="199" t="str">
        <f t="shared" si="646"/>
        <v/>
      </c>
      <c r="U2766" s="199" t="str">
        <f t="shared" si="639"/>
        <v/>
      </c>
      <c r="V2766" s="989"/>
      <c r="X2766" s="374" t="str">
        <f t="shared" si="640"/>
        <v/>
      </c>
      <c r="Y2766" s="375" t="str">
        <f t="shared" si="641"/>
        <v/>
      </c>
      <c r="Z2766" s="374" t="str">
        <f t="shared" si="642"/>
        <v/>
      </c>
      <c r="AA2766" s="374" t="b">
        <f t="shared" si="643"/>
        <v>1</v>
      </c>
      <c r="AB2766" s="374">
        <f>COUNTIFS(B:B,B2766,H:H,'סיווג התפקידים והעלויות'!$C$2)</f>
        <v>0</v>
      </c>
      <c r="AC2766" s="374">
        <f>COUNTIFS(B:B,B2766,H:H,'סיווג התפקידים והעלויות'!$D$2)</f>
        <v>0</v>
      </c>
      <c r="AD2766" s="374" t="str">
        <f>IF(OR(AND(H2766='סיווג התפקידים והעלויות'!$A$2,I2766='סיווג התפקידים והעלויות'!$A$3),'עלויות כח אדם (6)'!H2766='סיווג התפקידים והעלויות'!$C$2,'עלויות כח אדם (6)'!H2766='סיווג התפקידים והעלויות'!$D$2),IF('עלויות כח אדם (6)'!J2766&lt;75,"לא תקין","תקין"),"")</f>
        <v/>
      </c>
      <c r="AE2766" s="374" t="str">
        <f t="shared" si="644"/>
        <v/>
      </c>
      <c r="AF2766" s="532" t="str">
        <f t="shared" si="645"/>
        <v/>
      </c>
    </row>
    <row r="2767" spans="2:32" x14ac:dyDescent="0.25">
      <c r="B2767" s="695"/>
      <c r="C2767" s="197" t="str">
        <f>IF(B2767&lt;&gt;"",IFERROR(VLOOKUP(B:B,'מצבת והרשמה (2)'!$C$20:$N$520,2,0)," ")," ")</f>
        <v xml:space="preserve"> </v>
      </c>
      <c r="D2767" s="695"/>
      <c r="E2767" s="696"/>
      <c r="F2767" s="696"/>
      <c r="G2767" s="696"/>
      <c r="H2767" s="696"/>
      <c r="I2767" s="1050" t="str">
        <f t="shared" ref="I2767:I2830" si="647">SUBSTITUTE(IFERROR(IF(H2767="מדצ","מדצ/ית",IF(H2767="סגנית רכזת מעל 150","סגנ/ית רכז/ת&gt;150",IF(H2767="רכזת תכנית בבית הספר","רכז/ת תכנית בבית הספר"))),""),"FALSE","")</f>
        <v/>
      </c>
      <c r="J2767" s="696"/>
      <c r="K2767" s="697"/>
      <c r="L2767" s="696"/>
      <c r="M2767" s="198" t="str">
        <f t="shared" ref="M2767:M2830" si="648">IF(AND(L2767&gt;0,K2767&gt;0),K2767*L2767,"")</f>
        <v/>
      </c>
      <c r="N2767" s="369" t="str">
        <f t="shared" ref="N2767:N2830" si="649">TEXT(LEFT(H2767,2),0)</f>
        <v/>
      </c>
      <c r="O2767" s="183" t="str">
        <f t="shared" ref="O2767:O2830" si="650">IF(ISNUMBER(M2767&gt;0),IF(ISBLANK(B2767),"יש להזין סמל מוסד בעמודה B",""),"")</f>
        <v/>
      </c>
      <c r="P2767" s="199" t="str">
        <f t="shared" ref="P2767:P2830" si="651">IF(B2767="","",IF(AA2767=FALSE,"לא תקין","תקין"))</f>
        <v/>
      </c>
      <c r="Q2767" s="199" t="str">
        <f>IF(B2767="","",IFERROR(IF('עלויות כח אדם (6)'!J2767&gt;=VLOOKUP(I2767,'סיווג התפקידים והעלויות'!$B$23:$C$32,2,0),"תקין","לא תקין"),""))</f>
        <v/>
      </c>
      <c r="R2767" s="199" t="str">
        <f t="shared" ref="R2767:R2830" si="652">IF(B2767="","",IF(OR(Y2767&lt;100%,Y2767&gt;140%),"לא תקין","תקין"))</f>
        <v/>
      </c>
      <c r="S2767" s="199" t="str">
        <f t="shared" ref="S2767:S2830" si="653">IF(B2767="","",IFERROR(IF(J2767&gt;120,"לא תקין","תקין"),""))</f>
        <v/>
      </c>
      <c r="T2767" s="199" t="str">
        <f t="shared" si="646"/>
        <v/>
      </c>
      <c r="U2767" s="199" t="str">
        <f t="shared" ref="U2767:U2830" si="654">IF(B2767="","",IF(Z2767&gt;1,IF(SUMIF(D:D,D2767,L:L)&gt;90,"לא תקין","תקין"),"תקין"))</f>
        <v/>
      </c>
      <c r="V2767" s="989"/>
      <c r="X2767" s="374" t="str">
        <f t="shared" ref="X2767:X2830" si="655">IF(B2767="","",IF(OR(R2767="לא תקין",S2767="לא תקין",T2767="לא תקין",,U2767="לא תקין"),"לא תקין","תקין"))</f>
        <v/>
      </c>
      <c r="Y2767" s="375" t="str">
        <f t="shared" ref="Y2767:Y2830" si="656">IFERROR(IF(B2767="","",K2767/J2767),"")</f>
        <v/>
      </c>
      <c r="Z2767" s="374" t="str">
        <f t="shared" ref="Z2767:Z2830" si="657">IF(B2767="","",COUNTIF(D:D,D2767))</f>
        <v/>
      </c>
      <c r="AA2767" s="374" t="b">
        <f t="shared" ref="AA2767:AA2830" si="658">MOD(MID(REPT(0,9-LEN(D2767))&amp;D2767,1,1)+MID("0246813579",MID(REPT(0,9-LEN(D2767))&amp;D2767,2,1)+1,1)+MID(REPT(0,9-LEN(D2767))&amp;D2767,3,1)+MID("0246813579",MID(REPT(0,9-LEN(D2767))&amp;D2767,4,1)+1,1)+MID(REPT(0,9-LEN(D2767))&amp;D2767,5,1)+MID("0246813579",MID(REPT(0,9-LEN(D2767))&amp;D2767,6,1)+1,1)+MID(REPT(0,9-LEN(D2767))&amp;D2767,7,1)+MID("0246813579",MID(REPT(0,9-LEN(D2767))&amp;D2767,8,1)+1,1)+MID(REPT(0,9-LEN(D2767))&amp;D2767,9,1),10)=0</f>
        <v>1</v>
      </c>
      <c r="AB2767" s="374">
        <f>COUNTIFS(B:B,B2767,H:H,'סיווג התפקידים והעלויות'!$C$2)</f>
        <v>0</v>
      </c>
      <c r="AC2767" s="374">
        <f>COUNTIFS(B:B,B2767,H:H,'סיווג התפקידים והעלויות'!$D$2)</f>
        <v>0</v>
      </c>
      <c r="AD2767" s="374" t="str">
        <f>IF(OR(AND(H2767='סיווג התפקידים והעלויות'!$A$2,I2767='סיווג התפקידים והעלויות'!$A$3),'עלויות כח אדם (6)'!H2767='סיווג התפקידים והעלויות'!$C$2,'עלויות כח אדם (6)'!H2767='סיווג התפקידים והעלויות'!$D$2),IF('עלויות כח אדם (6)'!J2767&lt;75,"לא תקין","תקין"),"")</f>
        <v/>
      </c>
      <c r="AE2767" s="374" t="str">
        <f t="shared" ref="AE2767:AE2830" si="659">IF(B2767&lt;&gt;"",B2767&amp;H2767,"")</f>
        <v/>
      </c>
      <c r="AF2767" s="532" t="str">
        <f t="shared" ref="AF2767:AF2830" si="660">M2767</f>
        <v/>
      </c>
    </row>
    <row r="2768" spans="2:32" x14ac:dyDescent="0.25">
      <c r="B2768" s="695"/>
      <c r="C2768" s="197" t="str">
        <f>IF(B2768&lt;&gt;"",IFERROR(VLOOKUP(B:B,'מצבת והרשמה (2)'!$C$20:$N$520,2,0)," ")," ")</f>
        <v xml:space="preserve"> </v>
      </c>
      <c r="D2768" s="695"/>
      <c r="E2768" s="696"/>
      <c r="F2768" s="696"/>
      <c r="G2768" s="696"/>
      <c r="H2768" s="696"/>
      <c r="I2768" s="1050" t="str">
        <f t="shared" si="647"/>
        <v/>
      </c>
      <c r="J2768" s="696"/>
      <c r="K2768" s="697"/>
      <c r="L2768" s="696"/>
      <c r="M2768" s="198" t="str">
        <f t="shared" si="648"/>
        <v/>
      </c>
      <c r="N2768" s="369" t="str">
        <f t="shared" si="649"/>
        <v/>
      </c>
      <c r="O2768" s="183" t="str">
        <f t="shared" si="650"/>
        <v/>
      </c>
      <c r="P2768" s="199" t="str">
        <f t="shared" si="651"/>
        <v/>
      </c>
      <c r="Q2768" s="199" t="str">
        <f>IF(B2768="","",IFERROR(IF('עלויות כח אדם (6)'!J2768&gt;=VLOOKUP(I2768,'סיווג התפקידים והעלויות'!$B$23:$C$32,2,0),"תקין","לא תקין"),""))</f>
        <v/>
      </c>
      <c r="R2768" s="199" t="str">
        <f t="shared" si="652"/>
        <v/>
      </c>
      <c r="S2768" s="199" t="str">
        <f t="shared" si="653"/>
        <v/>
      </c>
      <c r="T2768" s="199" t="str">
        <f t="shared" ref="T2768:T2831" si="661">IF(B2768="","",IF(H2768="","יש להזין איש צוות",IF(OR(H2768="מורה",H2768="גננת",H2768="רכז גן",H2768="רכזת גן",H2768="סייעת",H2768="מדצית",H2768="מדצ",H2768="מדריך",H2768="מדריכה",H2768="תוספת כח אדם"),IF(L2768&lt;=90,"תקין","לא תקין"),IF(OR(H2768="רכז בית ספר",H2768="רכזת תכנית בבית הספר",H2768="רכזת בית ספר"),IF(L2768&lt;=137,"תקין","לא תקין"),IF(OR(H2768="סגנית רכזת מעל 150",H2768="סגן רכז"),IF(L2768&lt;=93,"תקין","לא תקין"),"לא תקין")))))</f>
        <v/>
      </c>
      <c r="U2768" s="199" t="str">
        <f t="shared" si="654"/>
        <v/>
      </c>
      <c r="V2768" s="989"/>
      <c r="X2768" s="374" t="str">
        <f t="shared" si="655"/>
        <v/>
      </c>
      <c r="Y2768" s="375" t="str">
        <f t="shared" si="656"/>
        <v/>
      </c>
      <c r="Z2768" s="374" t="str">
        <f t="shared" si="657"/>
        <v/>
      </c>
      <c r="AA2768" s="374" t="b">
        <f t="shared" si="658"/>
        <v>1</v>
      </c>
      <c r="AB2768" s="374">
        <f>COUNTIFS(B:B,B2768,H:H,'סיווג התפקידים והעלויות'!$C$2)</f>
        <v>0</v>
      </c>
      <c r="AC2768" s="374">
        <f>COUNTIFS(B:B,B2768,H:H,'סיווג התפקידים והעלויות'!$D$2)</f>
        <v>0</v>
      </c>
      <c r="AD2768" s="374" t="str">
        <f>IF(OR(AND(H2768='סיווג התפקידים והעלויות'!$A$2,I2768='סיווג התפקידים והעלויות'!$A$3),'עלויות כח אדם (6)'!H2768='סיווג התפקידים והעלויות'!$C$2,'עלויות כח אדם (6)'!H2768='סיווג התפקידים והעלויות'!$D$2),IF('עלויות כח אדם (6)'!J2768&lt;75,"לא תקין","תקין"),"")</f>
        <v/>
      </c>
      <c r="AE2768" s="374" t="str">
        <f t="shared" si="659"/>
        <v/>
      </c>
      <c r="AF2768" s="532" t="str">
        <f t="shared" si="660"/>
        <v/>
      </c>
    </row>
    <row r="2769" spans="2:32" x14ac:dyDescent="0.25">
      <c r="B2769" s="695"/>
      <c r="C2769" s="197" t="str">
        <f>IF(B2769&lt;&gt;"",IFERROR(VLOOKUP(B:B,'מצבת והרשמה (2)'!$C$20:$N$520,2,0)," ")," ")</f>
        <v xml:space="preserve"> </v>
      </c>
      <c r="D2769" s="695"/>
      <c r="E2769" s="696"/>
      <c r="F2769" s="696"/>
      <c r="G2769" s="696"/>
      <c r="H2769" s="696"/>
      <c r="I2769" s="1050" t="str">
        <f t="shared" si="647"/>
        <v/>
      </c>
      <c r="J2769" s="696"/>
      <c r="K2769" s="697"/>
      <c r="L2769" s="696"/>
      <c r="M2769" s="198" t="str">
        <f t="shared" si="648"/>
        <v/>
      </c>
      <c r="N2769" s="369" t="str">
        <f t="shared" si="649"/>
        <v/>
      </c>
      <c r="O2769" s="183" t="str">
        <f t="shared" si="650"/>
        <v/>
      </c>
      <c r="P2769" s="199" t="str">
        <f t="shared" si="651"/>
        <v/>
      </c>
      <c r="Q2769" s="199" t="str">
        <f>IF(B2769="","",IFERROR(IF('עלויות כח אדם (6)'!J2769&gt;=VLOOKUP(I2769,'סיווג התפקידים והעלויות'!$B$23:$C$32,2,0),"תקין","לא תקין"),""))</f>
        <v/>
      </c>
      <c r="R2769" s="199" t="str">
        <f t="shared" si="652"/>
        <v/>
      </c>
      <c r="S2769" s="199" t="str">
        <f t="shared" si="653"/>
        <v/>
      </c>
      <c r="T2769" s="199" t="str">
        <f t="shared" si="661"/>
        <v/>
      </c>
      <c r="U2769" s="199" t="str">
        <f t="shared" si="654"/>
        <v/>
      </c>
      <c r="V2769" s="989"/>
      <c r="X2769" s="374" t="str">
        <f t="shared" si="655"/>
        <v/>
      </c>
      <c r="Y2769" s="375" t="str">
        <f t="shared" si="656"/>
        <v/>
      </c>
      <c r="Z2769" s="374" t="str">
        <f t="shared" si="657"/>
        <v/>
      </c>
      <c r="AA2769" s="374" t="b">
        <f t="shared" si="658"/>
        <v>1</v>
      </c>
      <c r="AB2769" s="374">
        <f>COUNTIFS(B:B,B2769,H:H,'סיווג התפקידים והעלויות'!$C$2)</f>
        <v>0</v>
      </c>
      <c r="AC2769" s="374">
        <f>COUNTIFS(B:B,B2769,H:H,'סיווג התפקידים והעלויות'!$D$2)</f>
        <v>0</v>
      </c>
      <c r="AD2769" s="374" t="str">
        <f>IF(OR(AND(H2769='סיווג התפקידים והעלויות'!$A$2,I2769='סיווג התפקידים והעלויות'!$A$3),'עלויות כח אדם (6)'!H2769='סיווג התפקידים והעלויות'!$C$2,'עלויות כח אדם (6)'!H2769='סיווג התפקידים והעלויות'!$D$2),IF('עלויות כח אדם (6)'!J2769&lt;75,"לא תקין","תקין"),"")</f>
        <v/>
      </c>
      <c r="AE2769" s="374" t="str">
        <f t="shared" si="659"/>
        <v/>
      </c>
      <c r="AF2769" s="532" t="str">
        <f t="shared" si="660"/>
        <v/>
      </c>
    </row>
    <row r="2770" spans="2:32" x14ac:dyDescent="0.25">
      <c r="B2770" s="695"/>
      <c r="C2770" s="197" t="str">
        <f>IF(B2770&lt;&gt;"",IFERROR(VLOOKUP(B:B,'מצבת והרשמה (2)'!$C$20:$N$520,2,0)," ")," ")</f>
        <v xml:space="preserve"> </v>
      </c>
      <c r="D2770" s="695"/>
      <c r="E2770" s="696"/>
      <c r="F2770" s="696"/>
      <c r="G2770" s="696"/>
      <c r="H2770" s="696"/>
      <c r="I2770" s="1050" t="str">
        <f t="shared" si="647"/>
        <v/>
      </c>
      <c r="J2770" s="696"/>
      <c r="K2770" s="697"/>
      <c r="L2770" s="696"/>
      <c r="M2770" s="198" t="str">
        <f t="shared" si="648"/>
        <v/>
      </c>
      <c r="N2770" s="369" t="str">
        <f t="shared" si="649"/>
        <v/>
      </c>
      <c r="O2770" s="183" t="str">
        <f t="shared" si="650"/>
        <v/>
      </c>
      <c r="P2770" s="199" t="str">
        <f t="shared" si="651"/>
        <v/>
      </c>
      <c r="Q2770" s="199" t="str">
        <f>IF(B2770="","",IFERROR(IF('עלויות כח אדם (6)'!J2770&gt;=VLOOKUP(I2770,'סיווג התפקידים והעלויות'!$B$23:$C$32,2,0),"תקין","לא תקין"),""))</f>
        <v/>
      </c>
      <c r="R2770" s="199" t="str">
        <f t="shared" si="652"/>
        <v/>
      </c>
      <c r="S2770" s="199" t="str">
        <f t="shared" si="653"/>
        <v/>
      </c>
      <c r="T2770" s="199" t="str">
        <f t="shared" si="661"/>
        <v/>
      </c>
      <c r="U2770" s="199" t="str">
        <f t="shared" si="654"/>
        <v/>
      </c>
      <c r="V2770" s="989"/>
      <c r="X2770" s="374" t="str">
        <f t="shared" si="655"/>
        <v/>
      </c>
      <c r="Y2770" s="375" t="str">
        <f t="shared" si="656"/>
        <v/>
      </c>
      <c r="Z2770" s="374" t="str">
        <f t="shared" si="657"/>
        <v/>
      </c>
      <c r="AA2770" s="374" t="b">
        <f t="shared" si="658"/>
        <v>1</v>
      </c>
      <c r="AB2770" s="374">
        <f>COUNTIFS(B:B,B2770,H:H,'סיווג התפקידים והעלויות'!$C$2)</f>
        <v>0</v>
      </c>
      <c r="AC2770" s="374">
        <f>COUNTIFS(B:B,B2770,H:H,'סיווג התפקידים והעלויות'!$D$2)</f>
        <v>0</v>
      </c>
      <c r="AD2770" s="374" t="str">
        <f>IF(OR(AND(H2770='סיווג התפקידים והעלויות'!$A$2,I2770='סיווג התפקידים והעלויות'!$A$3),'עלויות כח אדם (6)'!H2770='סיווג התפקידים והעלויות'!$C$2,'עלויות כח אדם (6)'!H2770='סיווג התפקידים והעלויות'!$D$2),IF('עלויות כח אדם (6)'!J2770&lt;75,"לא תקין","תקין"),"")</f>
        <v/>
      </c>
      <c r="AE2770" s="374" t="str">
        <f t="shared" si="659"/>
        <v/>
      </c>
      <c r="AF2770" s="532" t="str">
        <f t="shared" si="660"/>
        <v/>
      </c>
    </row>
    <row r="2771" spans="2:32" x14ac:dyDescent="0.25">
      <c r="B2771" s="695"/>
      <c r="C2771" s="197" t="str">
        <f>IF(B2771&lt;&gt;"",IFERROR(VLOOKUP(B:B,'מצבת והרשמה (2)'!$C$20:$N$520,2,0)," ")," ")</f>
        <v xml:space="preserve"> </v>
      </c>
      <c r="D2771" s="695"/>
      <c r="E2771" s="696"/>
      <c r="F2771" s="696"/>
      <c r="G2771" s="696"/>
      <c r="H2771" s="696"/>
      <c r="I2771" s="1050" t="str">
        <f t="shared" si="647"/>
        <v/>
      </c>
      <c r="J2771" s="696"/>
      <c r="K2771" s="697"/>
      <c r="L2771" s="696"/>
      <c r="M2771" s="198" t="str">
        <f t="shared" si="648"/>
        <v/>
      </c>
      <c r="N2771" s="369" t="str">
        <f t="shared" si="649"/>
        <v/>
      </c>
      <c r="O2771" s="183" t="str">
        <f t="shared" si="650"/>
        <v/>
      </c>
      <c r="P2771" s="199" t="str">
        <f t="shared" si="651"/>
        <v/>
      </c>
      <c r="Q2771" s="199" t="str">
        <f>IF(B2771="","",IFERROR(IF('עלויות כח אדם (6)'!J2771&gt;=VLOOKUP(I2771,'סיווג התפקידים והעלויות'!$B$23:$C$32,2,0),"תקין","לא תקין"),""))</f>
        <v/>
      </c>
      <c r="R2771" s="199" t="str">
        <f t="shared" si="652"/>
        <v/>
      </c>
      <c r="S2771" s="199" t="str">
        <f t="shared" si="653"/>
        <v/>
      </c>
      <c r="T2771" s="199" t="str">
        <f t="shared" si="661"/>
        <v/>
      </c>
      <c r="U2771" s="199" t="str">
        <f t="shared" si="654"/>
        <v/>
      </c>
      <c r="V2771" s="989"/>
      <c r="X2771" s="374" t="str">
        <f t="shared" si="655"/>
        <v/>
      </c>
      <c r="Y2771" s="375" t="str">
        <f t="shared" si="656"/>
        <v/>
      </c>
      <c r="Z2771" s="374" t="str">
        <f t="shared" si="657"/>
        <v/>
      </c>
      <c r="AA2771" s="374" t="b">
        <f t="shared" si="658"/>
        <v>1</v>
      </c>
      <c r="AB2771" s="374">
        <f>COUNTIFS(B:B,B2771,H:H,'סיווג התפקידים והעלויות'!$C$2)</f>
        <v>0</v>
      </c>
      <c r="AC2771" s="374">
        <f>COUNTIFS(B:B,B2771,H:H,'סיווג התפקידים והעלויות'!$D$2)</f>
        <v>0</v>
      </c>
      <c r="AD2771" s="374" t="str">
        <f>IF(OR(AND(H2771='סיווג התפקידים והעלויות'!$A$2,I2771='סיווג התפקידים והעלויות'!$A$3),'עלויות כח אדם (6)'!H2771='סיווג התפקידים והעלויות'!$C$2,'עלויות כח אדם (6)'!H2771='סיווג התפקידים והעלויות'!$D$2),IF('עלויות כח אדם (6)'!J2771&lt;75,"לא תקין","תקין"),"")</f>
        <v/>
      </c>
      <c r="AE2771" s="374" t="str">
        <f t="shared" si="659"/>
        <v/>
      </c>
      <c r="AF2771" s="532" t="str">
        <f t="shared" si="660"/>
        <v/>
      </c>
    </row>
    <row r="2772" spans="2:32" x14ac:dyDescent="0.25">
      <c r="B2772" s="695"/>
      <c r="C2772" s="197" t="str">
        <f>IF(B2772&lt;&gt;"",IFERROR(VLOOKUP(B:B,'מצבת והרשמה (2)'!$C$20:$N$520,2,0)," ")," ")</f>
        <v xml:space="preserve"> </v>
      </c>
      <c r="D2772" s="695"/>
      <c r="E2772" s="696"/>
      <c r="F2772" s="696"/>
      <c r="G2772" s="696"/>
      <c r="H2772" s="696"/>
      <c r="I2772" s="1050" t="str">
        <f t="shared" si="647"/>
        <v/>
      </c>
      <c r="J2772" s="696"/>
      <c r="K2772" s="697"/>
      <c r="L2772" s="696"/>
      <c r="M2772" s="198" t="str">
        <f t="shared" si="648"/>
        <v/>
      </c>
      <c r="N2772" s="369" t="str">
        <f t="shared" si="649"/>
        <v/>
      </c>
      <c r="O2772" s="183" t="str">
        <f t="shared" si="650"/>
        <v/>
      </c>
      <c r="P2772" s="199" t="str">
        <f t="shared" si="651"/>
        <v/>
      </c>
      <c r="Q2772" s="199" t="str">
        <f>IF(B2772="","",IFERROR(IF('עלויות כח אדם (6)'!J2772&gt;=VLOOKUP(I2772,'סיווג התפקידים והעלויות'!$B$23:$C$32,2,0),"תקין","לא תקין"),""))</f>
        <v/>
      </c>
      <c r="R2772" s="199" t="str">
        <f t="shared" si="652"/>
        <v/>
      </c>
      <c r="S2772" s="199" t="str">
        <f t="shared" si="653"/>
        <v/>
      </c>
      <c r="T2772" s="199" t="str">
        <f t="shared" si="661"/>
        <v/>
      </c>
      <c r="U2772" s="199" t="str">
        <f t="shared" si="654"/>
        <v/>
      </c>
      <c r="V2772" s="989"/>
      <c r="X2772" s="374" t="str">
        <f t="shared" si="655"/>
        <v/>
      </c>
      <c r="Y2772" s="375" t="str">
        <f t="shared" si="656"/>
        <v/>
      </c>
      <c r="Z2772" s="374" t="str">
        <f t="shared" si="657"/>
        <v/>
      </c>
      <c r="AA2772" s="374" t="b">
        <f t="shared" si="658"/>
        <v>1</v>
      </c>
      <c r="AB2772" s="374">
        <f>COUNTIFS(B:B,B2772,H:H,'סיווג התפקידים והעלויות'!$C$2)</f>
        <v>0</v>
      </c>
      <c r="AC2772" s="374">
        <f>COUNTIFS(B:B,B2772,H:H,'סיווג התפקידים והעלויות'!$D$2)</f>
        <v>0</v>
      </c>
      <c r="AD2772" s="374" t="str">
        <f>IF(OR(AND(H2772='סיווג התפקידים והעלויות'!$A$2,I2772='סיווג התפקידים והעלויות'!$A$3),'עלויות כח אדם (6)'!H2772='סיווג התפקידים והעלויות'!$C$2,'עלויות כח אדם (6)'!H2772='סיווג התפקידים והעלויות'!$D$2),IF('עלויות כח אדם (6)'!J2772&lt;75,"לא תקין","תקין"),"")</f>
        <v/>
      </c>
      <c r="AE2772" s="374" t="str">
        <f t="shared" si="659"/>
        <v/>
      </c>
      <c r="AF2772" s="532" t="str">
        <f t="shared" si="660"/>
        <v/>
      </c>
    </row>
    <row r="2773" spans="2:32" x14ac:dyDescent="0.25">
      <c r="B2773" s="695"/>
      <c r="C2773" s="197" t="str">
        <f>IF(B2773&lt;&gt;"",IFERROR(VLOOKUP(B:B,'מצבת והרשמה (2)'!$C$20:$N$520,2,0)," ")," ")</f>
        <v xml:space="preserve"> </v>
      </c>
      <c r="D2773" s="695"/>
      <c r="E2773" s="696"/>
      <c r="F2773" s="696"/>
      <c r="G2773" s="696"/>
      <c r="H2773" s="696"/>
      <c r="I2773" s="1050" t="str">
        <f t="shared" si="647"/>
        <v/>
      </c>
      <c r="J2773" s="696"/>
      <c r="K2773" s="697"/>
      <c r="L2773" s="696"/>
      <c r="M2773" s="198" t="str">
        <f t="shared" si="648"/>
        <v/>
      </c>
      <c r="N2773" s="369" t="str">
        <f t="shared" si="649"/>
        <v/>
      </c>
      <c r="O2773" s="183" t="str">
        <f t="shared" si="650"/>
        <v/>
      </c>
      <c r="P2773" s="199" t="str">
        <f t="shared" si="651"/>
        <v/>
      </c>
      <c r="Q2773" s="199" t="str">
        <f>IF(B2773="","",IFERROR(IF('עלויות כח אדם (6)'!J2773&gt;=VLOOKUP(I2773,'סיווג התפקידים והעלויות'!$B$23:$C$32,2,0),"תקין","לא תקין"),""))</f>
        <v/>
      </c>
      <c r="R2773" s="199" t="str">
        <f t="shared" si="652"/>
        <v/>
      </c>
      <c r="S2773" s="199" t="str">
        <f t="shared" si="653"/>
        <v/>
      </c>
      <c r="T2773" s="199" t="str">
        <f t="shared" si="661"/>
        <v/>
      </c>
      <c r="U2773" s="199" t="str">
        <f t="shared" si="654"/>
        <v/>
      </c>
      <c r="V2773" s="989"/>
      <c r="X2773" s="374" t="str">
        <f t="shared" si="655"/>
        <v/>
      </c>
      <c r="Y2773" s="375" t="str">
        <f t="shared" si="656"/>
        <v/>
      </c>
      <c r="Z2773" s="374" t="str">
        <f t="shared" si="657"/>
        <v/>
      </c>
      <c r="AA2773" s="374" t="b">
        <f t="shared" si="658"/>
        <v>1</v>
      </c>
      <c r="AB2773" s="374">
        <f>COUNTIFS(B:B,B2773,H:H,'סיווג התפקידים והעלויות'!$C$2)</f>
        <v>0</v>
      </c>
      <c r="AC2773" s="374">
        <f>COUNTIFS(B:B,B2773,H:H,'סיווג התפקידים והעלויות'!$D$2)</f>
        <v>0</v>
      </c>
      <c r="AD2773" s="374" t="str">
        <f>IF(OR(AND(H2773='סיווג התפקידים והעלויות'!$A$2,I2773='סיווג התפקידים והעלויות'!$A$3),'עלויות כח אדם (6)'!H2773='סיווג התפקידים והעלויות'!$C$2,'עלויות כח אדם (6)'!H2773='סיווג התפקידים והעלויות'!$D$2),IF('עלויות כח אדם (6)'!J2773&lt;75,"לא תקין","תקין"),"")</f>
        <v/>
      </c>
      <c r="AE2773" s="374" t="str">
        <f t="shared" si="659"/>
        <v/>
      </c>
      <c r="AF2773" s="532" t="str">
        <f t="shared" si="660"/>
        <v/>
      </c>
    </row>
    <row r="2774" spans="2:32" x14ac:dyDescent="0.25">
      <c r="B2774" s="695"/>
      <c r="C2774" s="197" t="str">
        <f>IF(B2774&lt;&gt;"",IFERROR(VLOOKUP(B:B,'מצבת והרשמה (2)'!$C$20:$N$520,2,0)," ")," ")</f>
        <v xml:space="preserve"> </v>
      </c>
      <c r="D2774" s="695"/>
      <c r="E2774" s="696"/>
      <c r="F2774" s="696"/>
      <c r="G2774" s="696"/>
      <c r="H2774" s="696"/>
      <c r="I2774" s="1050" t="str">
        <f t="shared" si="647"/>
        <v/>
      </c>
      <c r="J2774" s="696"/>
      <c r="K2774" s="697"/>
      <c r="L2774" s="696"/>
      <c r="M2774" s="198" t="str">
        <f t="shared" si="648"/>
        <v/>
      </c>
      <c r="N2774" s="369" t="str">
        <f t="shared" si="649"/>
        <v/>
      </c>
      <c r="O2774" s="183" t="str">
        <f t="shared" si="650"/>
        <v/>
      </c>
      <c r="P2774" s="199" t="str">
        <f t="shared" si="651"/>
        <v/>
      </c>
      <c r="Q2774" s="199" t="str">
        <f>IF(B2774="","",IFERROR(IF('עלויות כח אדם (6)'!J2774&gt;=VLOOKUP(I2774,'סיווג התפקידים והעלויות'!$B$23:$C$32,2,0),"תקין","לא תקין"),""))</f>
        <v/>
      </c>
      <c r="R2774" s="199" t="str">
        <f t="shared" si="652"/>
        <v/>
      </c>
      <c r="S2774" s="199" t="str">
        <f t="shared" si="653"/>
        <v/>
      </c>
      <c r="T2774" s="199" t="str">
        <f t="shared" si="661"/>
        <v/>
      </c>
      <c r="U2774" s="199" t="str">
        <f t="shared" si="654"/>
        <v/>
      </c>
      <c r="V2774" s="989"/>
      <c r="X2774" s="374" t="str">
        <f t="shared" si="655"/>
        <v/>
      </c>
      <c r="Y2774" s="375" t="str">
        <f t="shared" si="656"/>
        <v/>
      </c>
      <c r="Z2774" s="374" t="str">
        <f t="shared" si="657"/>
        <v/>
      </c>
      <c r="AA2774" s="374" t="b">
        <f t="shared" si="658"/>
        <v>1</v>
      </c>
      <c r="AB2774" s="374">
        <f>COUNTIFS(B:B,B2774,H:H,'סיווג התפקידים והעלויות'!$C$2)</f>
        <v>0</v>
      </c>
      <c r="AC2774" s="374">
        <f>COUNTIFS(B:B,B2774,H:H,'סיווג התפקידים והעלויות'!$D$2)</f>
        <v>0</v>
      </c>
      <c r="AD2774" s="374" t="str">
        <f>IF(OR(AND(H2774='סיווג התפקידים והעלויות'!$A$2,I2774='סיווג התפקידים והעלויות'!$A$3),'עלויות כח אדם (6)'!H2774='סיווג התפקידים והעלויות'!$C$2,'עלויות כח אדם (6)'!H2774='סיווג התפקידים והעלויות'!$D$2),IF('עלויות כח אדם (6)'!J2774&lt;75,"לא תקין","תקין"),"")</f>
        <v/>
      </c>
      <c r="AE2774" s="374" t="str">
        <f t="shared" si="659"/>
        <v/>
      </c>
      <c r="AF2774" s="532" t="str">
        <f t="shared" si="660"/>
        <v/>
      </c>
    </row>
    <row r="2775" spans="2:32" x14ac:dyDescent="0.25">
      <c r="B2775" s="695"/>
      <c r="C2775" s="197" t="str">
        <f>IF(B2775&lt;&gt;"",IFERROR(VLOOKUP(B:B,'מצבת והרשמה (2)'!$C$20:$N$520,2,0)," ")," ")</f>
        <v xml:space="preserve"> </v>
      </c>
      <c r="D2775" s="695"/>
      <c r="E2775" s="696"/>
      <c r="F2775" s="696"/>
      <c r="G2775" s="696"/>
      <c r="H2775" s="696"/>
      <c r="I2775" s="1050" t="str">
        <f t="shared" si="647"/>
        <v/>
      </c>
      <c r="J2775" s="696"/>
      <c r="K2775" s="697"/>
      <c r="L2775" s="696"/>
      <c r="M2775" s="198" t="str">
        <f t="shared" si="648"/>
        <v/>
      </c>
      <c r="N2775" s="369" t="str">
        <f t="shared" si="649"/>
        <v/>
      </c>
      <c r="O2775" s="183" t="str">
        <f t="shared" si="650"/>
        <v/>
      </c>
      <c r="P2775" s="199" t="str">
        <f t="shared" si="651"/>
        <v/>
      </c>
      <c r="Q2775" s="199" t="str">
        <f>IF(B2775="","",IFERROR(IF('עלויות כח אדם (6)'!J2775&gt;=VLOOKUP(I2775,'סיווג התפקידים והעלויות'!$B$23:$C$32,2,0),"תקין","לא תקין"),""))</f>
        <v/>
      </c>
      <c r="R2775" s="199" t="str">
        <f t="shared" si="652"/>
        <v/>
      </c>
      <c r="S2775" s="199" t="str">
        <f t="shared" si="653"/>
        <v/>
      </c>
      <c r="T2775" s="199" t="str">
        <f t="shared" si="661"/>
        <v/>
      </c>
      <c r="U2775" s="199" t="str">
        <f t="shared" si="654"/>
        <v/>
      </c>
      <c r="V2775" s="989"/>
      <c r="X2775" s="374" t="str">
        <f t="shared" si="655"/>
        <v/>
      </c>
      <c r="Y2775" s="375" t="str">
        <f t="shared" si="656"/>
        <v/>
      </c>
      <c r="Z2775" s="374" t="str">
        <f t="shared" si="657"/>
        <v/>
      </c>
      <c r="AA2775" s="374" t="b">
        <f t="shared" si="658"/>
        <v>1</v>
      </c>
      <c r="AB2775" s="374">
        <f>COUNTIFS(B:B,B2775,H:H,'סיווג התפקידים והעלויות'!$C$2)</f>
        <v>0</v>
      </c>
      <c r="AC2775" s="374">
        <f>COUNTIFS(B:B,B2775,H:H,'סיווג התפקידים והעלויות'!$D$2)</f>
        <v>0</v>
      </c>
      <c r="AD2775" s="374" t="str">
        <f>IF(OR(AND(H2775='סיווג התפקידים והעלויות'!$A$2,I2775='סיווג התפקידים והעלויות'!$A$3),'עלויות כח אדם (6)'!H2775='סיווג התפקידים והעלויות'!$C$2,'עלויות כח אדם (6)'!H2775='סיווג התפקידים והעלויות'!$D$2),IF('עלויות כח אדם (6)'!J2775&lt;75,"לא תקין","תקין"),"")</f>
        <v/>
      </c>
      <c r="AE2775" s="374" t="str">
        <f t="shared" si="659"/>
        <v/>
      </c>
      <c r="AF2775" s="532" t="str">
        <f t="shared" si="660"/>
        <v/>
      </c>
    </row>
    <row r="2776" spans="2:32" x14ac:dyDescent="0.25">
      <c r="B2776" s="695"/>
      <c r="C2776" s="197" t="str">
        <f>IF(B2776&lt;&gt;"",IFERROR(VLOOKUP(B:B,'מצבת והרשמה (2)'!$C$20:$N$520,2,0)," ")," ")</f>
        <v xml:space="preserve"> </v>
      </c>
      <c r="D2776" s="695"/>
      <c r="E2776" s="696"/>
      <c r="F2776" s="696"/>
      <c r="G2776" s="696"/>
      <c r="H2776" s="696"/>
      <c r="I2776" s="1050" t="str">
        <f t="shared" si="647"/>
        <v/>
      </c>
      <c r="J2776" s="696"/>
      <c r="K2776" s="697"/>
      <c r="L2776" s="696"/>
      <c r="M2776" s="198" t="str">
        <f t="shared" si="648"/>
        <v/>
      </c>
      <c r="N2776" s="369" t="str">
        <f t="shared" si="649"/>
        <v/>
      </c>
      <c r="O2776" s="183" t="str">
        <f t="shared" si="650"/>
        <v/>
      </c>
      <c r="P2776" s="199" t="str">
        <f t="shared" si="651"/>
        <v/>
      </c>
      <c r="Q2776" s="199" t="str">
        <f>IF(B2776="","",IFERROR(IF('עלויות כח אדם (6)'!J2776&gt;=VLOOKUP(I2776,'סיווג התפקידים והעלויות'!$B$23:$C$32,2,0),"תקין","לא תקין"),""))</f>
        <v/>
      </c>
      <c r="R2776" s="199" t="str">
        <f t="shared" si="652"/>
        <v/>
      </c>
      <c r="S2776" s="199" t="str">
        <f t="shared" si="653"/>
        <v/>
      </c>
      <c r="T2776" s="199" t="str">
        <f t="shared" si="661"/>
        <v/>
      </c>
      <c r="U2776" s="199" t="str">
        <f t="shared" si="654"/>
        <v/>
      </c>
      <c r="V2776" s="989"/>
      <c r="X2776" s="374" t="str">
        <f t="shared" si="655"/>
        <v/>
      </c>
      <c r="Y2776" s="375" t="str">
        <f t="shared" si="656"/>
        <v/>
      </c>
      <c r="Z2776" s="374" t="str">
        <f t="shared" si="657"/>
        <v/>
      </c>
      <c r="AA2776" s="374" t="b">
        <f t="shared" si="658"/>
        <v>1</v>
      </c>
      <c r="AB2776" s="374">
        <f>COUNTIFS(B:B,B2776,H:H,'סיווג התפקידים והעלויות'!$C$2)</f>
        <v>0</v>
      </c>
      <c r="AC2776" s="374">
        <f>COUNTIFS(B:B,B2776,H:H,'סיווג התפקידים והעלויות'!$D$2)</f>
        <v>0</v>
      </c>
      <c r="AD2776" s="374" t="str">
        <f>IF(OR(AND(H2776='סיווג התפקידים והעלויות'!$A$2,I2776='סיווג התפקידים והעלויות'!$A$3),'עלויות כח אדם (6)'!H2776='סיווג התפקידים והעלויות'!$C$2,'עלויות כח אדם (6)'!H2776='סיווג התפקידים והעלויות'!$D$2),IF('עלויות כח אדם (6)'!J2776&lt;75,"לא תקין","תקין"),"")</f>
        <v/>
      </c>
      <c r="AE2776" s="374" t="str">
        <f t="shared" si="659"/>
        <v/>
      </c>
      <c r="AF2776" s="532" t="str">
        <f t="shared" si="660"/>
        <v/>
      </c>
    </row>
    <row r="2777" spans="2:32" x14ac:dyDescent="0.25">
      <c r="B2777" s="695"/>
      <c r="C2777" s="197" t="str">
        <f>IF(B2777&lt;&gt;"",IFERROR(VLOOKUP(B:B,'מצבת והרשמה (2)'!$C$20:$N$520,2,0)," ")," ")</f>
        <v xml:space="preserve"> </v>
      </c>
      <c r="D2777" s="695"/>
      <c r="E2777" s="696"/>
      <c r="F2777" s="696"/>
      <c r="G2777" s="696"/>
      <c r="H2777" s="696"/>
      <c r="I2777" s="1050" t="str">
        <f t="shared" si="647"/>
        <v/>
      </c>
      <c r="J2777" s="696"/>
      <c r="K2777" s="697"/>
      <c r="L2777" s="696"/>
      <c r="M2777" s="198" t="str">
        <f t="shared" si="648"/>
        <v/>
      </c>
      <c r="N2777" s="369" t="str">
        <f t="shared" si="649"/>
        <v/>
      </c>
      <c r="O2777" s="183" t="str">
        <f t="shared" si="650"/>
        <v/>
      </c>
      <c r="P2777" s="199" t="str">
        <f t="shared" si="651"/>
        <v/>
      </c>
      <c r="Q2777" s="199" t="str">
        <f>IF(B2777="","",IFERROR(IF('עלויות כח אדם (6)'!J2777&gt;=VLOOKUP(I2777,'סיווג התפקידים והעלויות'!$B$23:$C$32,2,0),"תקין","לא תקין"),""))</f>
        <v/>
      </c>
      <c r="R2777" s="199" t="str">
        <f t="shared" si="652"/>
        <v/>
      </c>
      <c r="S2777" s="199" t="str">
        <f t="shared" si="653"/>
        <v/>
      </c>
      <c r="T2777" s="199" t="str">
        <f t="shared" si="661"/>
        <v/>
      </c>
      <c r="U2777" s="199" t="str">
        <f t="shared" si="654"/>
        <v/>
      </c>
      <c r="V2777" s="989"/>
      <c r="X2777" s="374" t="str">
        <f t="shared" si="655"/>
        <v/>
      </c>
      <c r="Y2777" s="375" t="str">
        <f t="shared" si="656"/>
        <v/>
      </c>
      <c r="Z2777" s="374" t="str">
        <f t="shared" si="657"/>
        <v/>
      </c>
      <c r="AA2777" s="374" t="b">
        <f t="shared" si="658"/>
        <v>1</v>
      </c>
      <c r="AB2777" s="374">
        <f>COUNTIFS(B:B,B2777,H:H,'סיווג התפקידים והעלויות'!$C$2)</f>
        <v>0</v>
      </c>
      <c r="AC2777" s="374">
        <f>COUNTIFS(B:B,B2777,H:H,'סיווג התפקידים והעלויות'!$D$2)</f>
        <v>0</v>
      </c>
      <c r="AD2777" s="374" t="str">
        <f>IF(OR(AND(H2777='סיווג התפקידים והעלויות'!$A$2,I2777='סיווג התפקידים והעלויות'!$A$3),'עלויות כח אדם (6)'!H2777='סיווג התפקידים והעלויות'!$C$2,'עלויות כח אדם (6)'!H2777='סיווג התפקידים והעלויות'!$D$2),IF('עלויות כח אדם (6)'!J2777&lt;75,"לא תקין","תקין"),"")</f>
        <v/>
      </c>
      <c r="AE2777" s="374" t="str">
        <f t="shared" si="659"/>
        <v/>
      </c>
      <c r="AF2777" s="532" t="str">
        <f t="shared" si="660"/>
        <v/>
      </c>
    </row>
    <row r="2778" spans="2:32" x14ac:dyDescent="0.25">
      <c r="B2778" s="695"/>
      <c r="C2778" s="197" t="str">
        <f>IF(B2778&lt;&gt;"",IFERROR(VLOOKUP(B:B,'מצבת והרשמה (2)'!$C$20:$N$520,2,0)," ")," ")</f>
        <v xml:space="preserve"> </v>
      </c>
      <c r="D2778" s="695"/>
      <c r="E2778" s="696"/>
      <c r="F2778" s="696"/>
      <c r="G2778" s="696"/>
      <c r="H2778" s="696"/>
      <c r="I2778" s="1050" t="str">
        <f t="shared" si="647"/>
        <v/>
      </c>
      <c r="J2778" s="696"/>
      <c r="K2778" s="697"/>
      <c r="L2778" s="696"/>
      <c r="M2778" s="198" t="str">
        <f t="shared" si="648"/>
        <v/>
      </c>
      <c r="N2778" s="369" t="str">
        <f t="shared" si="649"/>
        <v/>
      </c>
      <c r="O2778" s="183" t="str">
        <f t="shared" si="650"/>
        <v/>
      </c>
      <c r="P2778" s="199" t="str">
        <f t="shared" si="651"/>
        <v/>
      </c>
      <c r="Q2778" s="199" t="str">
        <f>IF(B2778="","",IFERROR(IF('עלויות כח אדם (6)'!J2778&gt;=VLOOKUP(I2778,'סיווג התפקידים והעלויות'!$B$23:$C$32,2,0),"תקין","לא תקין"),""))</f>
        <v/>
      </c>
      <c r="R2778" s="199" t="str">
        <f t="shared" si="652"/>
        <v/>
      </c>
      <c r="S2778" s="199" t="str">
        <f t="shared" si="653"/>
        <v/>
      </c>
      <c r="T2778" s="199" t="str">
        <f t="shared" si="661"/>
        <v/>
      </c>
      <c r="U2778" s="199" t="str">
        <f t="shared" si="654"/>
        <v/>
      </c>
      <c r="V2778" s="989"/>
      <c r="X2778" s="374" t="str">
        <f t="shared" si="655"/>
        <v/>
      </c>
      <c r="Y2778" s="375" t="str">
        <f t="shared" si="656"/>
        <v/>
      </c>
      <c r="Z2778" s="374" t="str">
        <f t="shared" si="657"/>
        <v/>
      </c>
      <c r="AA2778" s="374" t="b">
        <f t="shared" si="658"/>
        <v>1</v>
      </c>
      <c r="AB2778" s="374">
        <f>COUNTIFS(B:B,B2778,H:H,'סיווג התפקידים והעלויות'!$C$2)</f>
        <v>0</v>
      </c>
      <c r="AC2778" s="374">
        <f>COUNTIFS(B:B,B2778,H:H,'סיווג התפקידים והעלויות'!$D$2)</f>
        <v>0</v>
      </c>
      <c r="AD2778" s="374" t="str">
        <f>IF(OR(AND(H2778='סיווג התפקידים והעלויות'!$A$2,I2778='סיווג התפקידים והעלויות'!$A$3),'עלויות כח אדם (6)'!H2778='סיווג התפקידים והעלויות'!$C$2,'עלויות כח אדם (6)'!H2778='סיווג התפקידים והעלויות'!$D$2),IF('עלויות כח אדם (6)'!J2778&lt;75,"לא תקין","תקין"),"")</f>
        <v/>
      </c>
      <c r="AE2778" s="374" t="str">
        <f t="shared" si="659"/>
        <v/>
      </c>
      <c r="AF2778" s="532" t="str">
        <f t="shared" si="660"/>
        <v/>
      </c>
    </row>
    <row r="2779" spans="2:32" x14ac:dyDescent="0.25">
      <c r="B2779" s="695"/>
      <c r="C2779" s="197" t="str">
        <f>IF(B2779&lt;&gt;"",IFERROR(VLOOKUP(B:B,'מצבת והרשמה (2)'!$C$20:$N$520,2,0)," ")," ")</f>
        <v xml:space="preserve"> </v>
      </c>
      <c r="D2779" s="695"/>
      <c r="E2779" s="696"/>
      <c r="F2779" s="696"/>
      <c r="G2779" s="696"/>
      <c r="H2779" s="696"/>
      <c r="I2779" s="1050" t="str">
        <f t="shared" si="647"/>
        <v/>
      </c>
      <c r="J2779" s="696"/>
      <c r="K2779" s="697"/>
      <c r="L2779" s="696"/>
      <c r="M2779" s="198" t="str">
        <f t="shared" si="648"/>
        <v/>
      </c>
      <c r="N2779" s="369" t="str">
        <f t="shared" si="649"/>
        <v/>
      </c>
      <c r="O2779" s="183" t="str">
        <f t="shared" si="650"/>
        <v/>
      </c>
      <c r="P2779" s="199" t="str">
        <f t="shared" si="651"/>
        <v/>
      </c>
      <c r="Q2779" s="199" t="str">
        <f>IF(B2779="","",IFERROR(IF('עלויות כח אדם (6)'!J2779&gt;=VLOOKUP(I2779,'סיווג התפקידים והעלויות'!$B$23:$C$32,2,0),"תקין","לא תקין"),""))</f>
        <v/>
      </c>
      <c r="R2779" s="199" t="str">
        <f t="shared" si="652"/>
        <v/>
      </c>
      <c r="S2779" s="199" t="str">
        <f t="shared" si="653"/>
        <v/>
      </c>
      <c r="T2779" s="199" t="str">
        <f t="shared" si="661"/>
        <v/>
      </c>
      <c r="U2779" s="199" t="str">
        <f t="shared" si="654"/>
        <v/>
      </c>
      <c r="V2779" s="989"/>
      <c r="X2779" s="374" t="str">
        <f t="shared" si="655"/>
        <v/>
      </c>
      <c r="Y2779" s="375" t="str">
        <f t="shared" si="656"/>
        <v/>
      </c>
      <c r="Z2779" s="374" t="str">
        <f t="shared" si="657"/>
        <v/>
      </c>
      <c r="AA2779" s="374" t="b">
        <f t="shared" si="658"/>
        <v>1</v>
      </c>
      <c r="AB2779" s="374">
        <f>COUNTIFS(B:B,B2779,H:H,'סיווג התפקידים והעלויות'!$C$2)</f>
        <v>0</v>
      </c>
      <c r="AC2779" s="374">
        <f>COUNTIFS(B:B,B2779,H:H,'סיווג התפקידים והעלויות'!$D$2)</f>
        <v>0</v>
      </c>
      <c r="AD2779" s="374" t="str">
        <f>IF(OR(AND(H2779='סיווג התפקידים והעלויות'!$A$2,I2779='סיווג התפקידים והעלויות'!$A$3),'עלויות כח אדם (6)'!H2779='סיווג התפקידים והעלויות'!$C$2,'עלויות כח אדם (6)'!H2779='סיווג התפקידים והעלויות'!$D$2),IF('עלויות כח אדם (6)'!J2779&lt;75,"לא תקין","תקין"),"")</f>
        <v/>
      </c>
      <c r="AE2779" s="374" t="str">
        <f t="shared" si="659"/>
        <v/>
      </c>
      <c r="AF2779" s="532" t="str">
        <f t="shared" si="660"/>
        <v/>
      </c>
    </row>
    <row r="2780" spans="2:32" x14ac:dyDescent="0.25">
      <c r="B2780" s="695"/>
      <c r="C2780" s="197" t="str">
        <f>IF(B2780&lt;&gt;"",IFERROR(VLOOKUP(B:B,'מצבת והרשמה (2)'!$C$20:$N$520,2,0)," ")," ")</f>
        <v xml:space="preserve"> </v>
      </c>
      <c r="D2780" s="695"/>
      <c r="E2780" s="696"/>
      <c r="F2780" s="696"/>
      <c r="G2780" s="696"/>
      <c r="H2780" s="696"/>
      <c r="I2780" s="1050" t="str">
        <f t="shared" si="647"/>
        <v/>
      </c>
      <c r="J2780" s="696"/>
      <c r="K2780" s="697"/>
      <c r="L2780" s="696"/>
      <c r="M2780" s="198" t="str">
        <f t="shared" si="648"/>
        <v/>
      </c>
      <c r="N2780" s="369" t="str">
        <f t="shared" si="649"/>
        <v/>
      </c>
      <c r="O2780" s="183" t="str">
        <f t="shared" si="650"/>
        <v/>
      </c>
      <c r="P2780" s="199" t="str">
        <f t="shared" si="651"/>
        <v/>
      </c>
      <c r="Q2780" s="199" t="str">
        <f>IF(B2780="","",IFERROR(IF('עלויות כח אדם (6)'!J2780&gt;=VLOOKUP(I2780,'סיווג התפקידים והעלויות'!$B$23:$C$32,2,0),"תקין","לא תקין"),""))</f>
        <v/>
      </c>
      <c r="R2780" s="199" t="str">
        <f t="shared" si="652"/>
        <v/>
      </c>
      <c r="S2780" s="199" t="str">
        <f t="shared" si="653"/>
        <v/>
      </c>
      <c r="T2780" s="199" t="str">
        <f t="shared" si="661"/>
        <v/>
      </c>
      <c r="U2780" s="199" t="str">
        <f t="shared" si="654"/>
        <v/>
      </c>
      <c r="V2780" s="989"/>
      <c r="X2780" s="374" t="str">
        <f t="shared" si="655"/>
        <v/>
      </c>
      <c r="Y2780" s="375" t="str">
        <f t="shared" si="656"/>
        <v/>
      </c>
      <c r="Z2780" s="374" t="str">
        <f t="shared" si="657"/>
        <v/>
      </c>
      <c r="AA2780" s="374" t="b">
        <f t="shared" si="658"/>
        <v>1</v>
      </c>
      <c r="AB2780" s="374">
        <f>COUNTIFS(B:B,B2780,H:H,'סיווג התפקידים והעלויות'!$C$2)</f>
        <v>0</v>
      </c>
      <c r="AC2780" s="374">
        <f>COUNTIFS(B:B,B2780,H:H,'סיווג התפקידים והעלויות'!$D$2)</f>
        <v>0</v>
      </c>
      <c r="AD2780" s="374" t="str">
        <f>IF(OR(AND(H2780='סיווג התפקידים והעלויות'!$A$2,I2780='סיווג התפקידים והעלויות'!$A$3),'עלויות כח אדם (6)'!H2780='סיווג התפקידים והעלויות'!$C$2,'עלויות כח אדם (6)'!H2780='סיווג התפקידים והעלויות'!$D$2),IF('עלויות כח אדם (6)'!J2780&lt;75,"לא תקין","תקין"),"")</f>
        <v/>
      </c>
      <c r="AE2780" s="374" t="str">
        <f t="shared" si="659"/>
        <v/>
      </c>
      <c r="AF2780" s="532" t="str">
        <f t="shared" si="660"/>
        <v/>
      </c>
    </row>
    <row r="2781" spans="2:32" x14ac:dyDescent="0.25">
      <c r="B2781" s="695"/>
      <c r="C2781" s="197" t="str">
        <f>IF(B2781&lt;&gt;"",IFERROR(VLOOKUP(B:B,'מצבת והרשמה (2)'!$C$20:$N$520,2,0)," ")," ")</f>
        <v xml:space="preserve"> </v>
      </c>
      <c r="D2781" s="695"/>
      <c r="E2781" s="696"/>
      <c r="F2781" s="696"/>
      <c r="G2781" s="696"/>
      <c r="H2781" s="696"/>
      <c r="I2781" s="1050" t="str">
        <f t="shared" si="647"/>
        <v/>
      </c>
      <c r="J2781" s="696"/>
      <c r="K2781" s="697"/>
      <c r="L2781" s="696"/>
      <c r="M2781" s="198" t="str">
        <f t="shared" si="648"/>
        <v/>
      </c>
      <c r="N2781" s="369" t="str">
        <f t="shared" si="649"/>
        <v/>
      </c>
      <c r="O2781" s="183" t="str">
        <f t="shared" si="650"/>
        <v/>
      </c>
      <c r="P2781" s="199" t="str">
        <f t="shared" si="651"/>
        <v/>
      </c>
      <c r="Q2781" s="199" t="str">
        <f>IF(B2781="","",IFERROR(IF('עלויות כח אדם (6)'!J2781&gt;=VLOOKUP(I2781,'סיווג התפקידים והעלויות'!$B$23:$C$32,2,0),"תקין","לא תקין"),""))</f>
        <v/>
      </c>
      <c r="R2781" s="199" t="str">
        <f t="shared" si="652"/>
        <v/>
      </c>
      <c r="S2781" s="199" t="str">
        <f t="shared" si="653"/>
        <v/>
      </c>
      <c r="T2781" s="199" t="str">
        <f t="shared" si="661"/>
        <v/>
      </c>
      <c r="U2781" s="199" t="str">
        <f t="shared" si="654"/>
        <v/>
      </c>
      <c r="V2781" s="989"/>
      <c r="X2781" s="374" t="str">
        <f t="shared" si="655"/>
        <v/>
      </c>
      <c r="Y2781" s="375" t="str">
        <f t="shared" si="656"/>
        <v/>
      </c>
      <c r="Z2781" s="374" t="str">
        <f t="shared" si="657"/>
        <v/>
      </c>
      <c r="AA2781" s="374" t="b">
        <f t="shared" si="658"/>
        <v>1</v>
      </c>
      <c r="AB2781" s="374">
        <f>COUNTIFS(B:B,B2781,H:H,'סיווג התפקידים והעלויות'!$C$2)</f>
        <v>0</v>
      </c>
      <c r="AC2781" s="374">
        <f>COUNTIFS(B:B,B2781,H:H,'סיווג התפקידים והעלויות'!$D$2)</f>
        <v>0</v>
      </c>
      <c r="AD2781" s="374" t="str">
        <f>IF(OR(AND(H2781='סיווג התפקידים והעלויות'!$A$2,I2781='סיווג התפקידים והעלויות'!$A$3),'עלויות כח אדם (6)'!H2781='סיווג התפקידים והעלויות'!$C$2,'עלויות כח אדם (6)'!H2781='סיווג התפקידים והעלויות'!$D$2),IF('עלויות כח אדם (6)'!J2781&lt;75,"לא תקין","תקין"),"")</f>
        <v/>
      </c>
      <c r="AE2781" s="374" t="str">
        <f t="shared" si="659"/>
        <v/>
      </c>
      <c r="AF2781" s="532" t="str">
        <f t="shared" si="660"/>
        <v/>
      </c>
    </row>
    <row r="2782" spans="2:32" x14ac:dyDescent="0.25">
      <c r="B2782" s="695"/>
      <c r="C2782" s="197" t="str">
        <f>IF(B2782&lt;&gt;"",IFERROR(VLOOKUP(B:B,'מצבת והרשמה (2)'!$C$20:$N$520,2,0)," ")," ")</f>
        <v xml:space="preserve"> </v>
      </c>
      <c r="D2782" s="695"/>
      <c r="E2782" s="696"/>
      <c r="F2782" s="696"/>
      <c r="G2782" s="696"/>
      <c r="H2782" s="696"/>
      <c r="I2782" s="1050" t="str">
        <f t="shared" si="647"/>
        <v/>
      </c>
      <c r="J2782" s="696"/>
      <c r="K2782" s="697"/>
      <c r="L2782" s="696"/>
      <c r="M2782" s="198" t="str">
        <f t="shared" si="648"/>
        <v/>
      </c>
      <c r="N2782" s="369" t="str">
        <f t="shared" si="649"/>
        <v/>
      </c>
      <c r="O2782" s="183" t="str">
        <f t="shared" si="650"/>
        <v/>
      </c>
      <c r="P2782" s="199" t="str">
        <f t="shared" si="651"/>
        <v/>
      </c>
      <c r="Q2782" s="199" t="str">
        <f>IF(B2782="","",IFERROR(IF('עלויות כח אדם (6)'!J2782&gt;=VLOOKUP(I2782,'סיווג התפקידים והעלויות'!$B$23:$C$32,2,0),"תקין","לא תקין"),""))</f>
        <v/>
      </c>
      <c r="R2782" s="199" t="str">
        <f t="shared" si="652"/>
        <v/>
      </c>
      <c r="S2782" s="199" t="str">
        <f t="shared" si="653"/>
        <v/>
      </c>
      <c r="T2782" s="199" t="str">
        <f t="shared" si="661"/>
        <v/>
      </c>
      <c r="U2782" s="199" t="str">
        <f t="shared" si="654"/>
        <v/>
      </c>
      <c r="V2782" s="989"/>
      <c r="X2782" s="374" t="str">
        <f t="shared" si="655"/>
        <v/>
      </c>
      <c r="Y2782" s="375" t="str">
        <f t="shared" si="656"/>
        <v/>
      </c>
      <c r="Z2782" s="374" t="str">
        <f t="shared" si="657"/>
        <v/>
      </c>
      <c r="AA2782" s="374" t="b">
        <f t="shared" si="658"/>
        <v>1</v>
      </c>
      <c r="AB2782" s="374">
        <f>COUNTIFS(B:B,B2782,H:H,'סיווג התפקידים והעלויות'!$C$2)</f>
        <v>0</v>
      </c>
      <c r="AC2782" s="374">
        <f>COUNTIFS(B:B,B2782,H:H,'סיווג התפקידים והעלויות'!$D$2)</f>
        <v>0</v>
      </c>
      <c r="AD2782" s="374" t="str">
        <f>IF(OR(AND(H2782='סיווג התפקידים והעלויות'!$A$2,I2782='סיווג התפקידים והעלויות'!$A$3),'עלויות כח אדם (6)'!H2782='סיווג התפקידים והעלויות'!$C$2,'עלויות כח אדם (6)'!H2782='סיווג התפקידים והעלויות'!$D$2),IF('עלויות כח אדם (6)'!J2782&lt;75,"לא תקין","תקין"),"")</f>
        <v/>
      </c>
      <c r="AE2782" s="374" t="str">
        <f t="shared" si="659"/>
        <v/>
      </c>
      <c r="AF2782" s="532" t="str">
        <f t="shared" si="660"/>
        <v/>
      </c>
    </row>
    <row r="2783" spans="2:32" x14ac:dyDescent="0.25">
      <c r="B2783" s="695"/>
      <c r="C2783" s="197" t="str">
        <f>IF(B2783&lt;&gt;"",IFERROR(VLOOKUP(B:B,'מצבת והרשמה (2)'!$C$20:$N$520,2,0)," ")," ")</f>
        <v xml:space="preserve"> </v>
      </c>
      <c r="D2783" s="695"/>
      <c r="E2783" s="696"/>
      <c r="F2783" s="696"/>
      <c r="G2783" s="696"/>
      <c r="H2783" s="696"/>
      <c r="I2783" s="1050" t="str">
        <f t="shared" si="647"/>
        <v/>
      </c>
      <c r="J2783" s="696"/>
      <c r="K2783" s="697"/>
      <c r="L2783" s="696"/>
      <c r="M2783" s="198" t="str">
        <f t="shared" si="648"/>
        <v/>
      </c>
      <c r="N2783" s="369" t="str">
        <f t="shared" si="649"/>
        <v/>
      </c>
      <c r="O2783" s="183" t="str">
        <f t="shared" si="650"/>
        <v/>
      </c>
      <c r="P2783" s="199" t="str">
        <f t="shared" si="651"/>
        <v/>
      </c>
      <c r="Q2783" s="199" t="str">
        <f>IF(B2783="","",IFERROR(IF('עלויות כח אדם (6)'!J2783&gt;=VLOOKUP(I2783,'סיווג התפקידים והעלויות'!$B$23:$C$32,2,0),"תקין","לא תקין"),""))</f>
        <v/>
      </c>
      <c r="R2783" s="199" t="str">
        <f t="shared" si="652"/>
        <v/>
      </c>
      <c r="S2783" s="199" t="str">
        <f t="shared" si="653"/>
        <v/>
      </c>
      <c r="T2783" s="199" t="str">
        <f t="shared" si="661"/>
        <v/>
      </c>
      <c r="U2783" s="199" t="str">
        <f t="shared" si="654"/>
        <v/>
      </c>
      <c r="V2783" s="989"/>
      <c r="X2783" s="374" t="str">
        <f t="shared" si="655"/>
        <v/>
      </c>
      <c r="Y2783" s="375" t="str">
        <f t="shared" si="656"/>
        <v/>
      </c>
      <c r="Z2783" s="374" t="str">
        <f t="shared" si="657"/>
        <v/>
      </c>
      <c r="AA2783" s="374" t="b">
        <f t="shared" si="658"/>
        <v>1</v>
      </c>
      <c r="AB2783" s="374">
        <f>COUNTIFS(B:B,B2783,H:H,'סיווג התפקידים והעלויות'!$C$2)</f>
        <v>0</v>
      </c>
      <c r="AC2783" s="374">
        <f>COUNTIFS(B:B,B2783,H:H,'סיווג התפקידים והעלויות'!$D$2)</f>
        <v>0</v>
      </c>
      <c r="AD2783" s="374" t="str">
        <f>IF(OR(AND(H2783='סיווג התפקידים והעלויות'!$A$2,I2783='סיווג התפקידים והעלויות'!$A$3),'עלויות כח אדם (6)'!H2783='סיווג התפקידים והעלויות'!$C$2,'עלויות כח אדם (6)'!H2783='סיווג התפקידים והעלויות'!$D$2),IF('עלויות כח אדם (6)'!J2783&lt;75,"לא תקין","תקין"),"")</f>
        <v/>
      </c>
      <c r="AE2783" s="374" t="str">
        <f t="shared" si="659"/>
        <v/>
      </c>
      <c r="AF2783" s="532" t="str">
        <f t="shared" si="660"/>
        <v/>
      </c>
    </row>
    <row r="2784" spans="2:32" x14ac:dyDescent="0.25">
      <c r="B2784" s="695"/>
      <c r="C2784" s="197" t="str">
        <f>IF(B2784&lt;&gt;"",IFERROR(VLOOKUP(B:B,'מצבת והרשמה (2)'!$C$20:$N$520,2,0)," ")," ")</f>
        <v xml:space="preserve"> </v>
      </c>
      <c r="D2784" s="695"/>
      <c r="E2784" s="696"/>
      <c r="F2784" s="696"/>
      <c r="G2784" s="696"/>
      <c r="H2784" s="696"/>
      <c r="I2784" s="1050" t="str">
        <f t="shared" si="647"/>
        <v/>
      </c>
      <c r="J2784" s="696"/>
      <c r="K2784" s="697"/>
      <c r="L2784" s="696"/>
      <c r="M2784" s="198" t="str">
        <f t="shared" si="648"/>
        <v/>
      </c>
      <c r="N2784" s="369" t="str">
        <f t="shared" si="649"/>
        <v/>
      </c>
      <c r="O2784" s="183" t="str">
        <f t="shared" si="650"/>
        <v/>
      </c>
      <c r="P2784" s="199" t="str">
        <f t="shared" si="651"/>
        <v/>
      </c>
      <c r="Q2784" s="199" t="str">
        <f>IF(B2784="","",IFERROR(IF('עלויות כח אדם (6)'!J2784&gt;=VLOOKUP(I2784,'סיווג התפקידים והעלויות'!$B$23:$C$32,2,0),"תקין","לא תקין"),""))</f>
        <v/>
      </c>
      <c r="R2784" s="199" t="str">
        <f t="shared" si="652"/>
        <v/>
      </c>
      <c r="S2784" s="199" t="str">
        <f t="shared" si="653"/>
        <v/>
      </c>
      <c r="T2784" s="199" t="str">
        <f t="shared" si="661"/>
        <v/>
      </c>
      <c r="U2784" s="199" t="str">
        <f t="shared" si="654"/>
        <v/>
      </c>
      <c r="V2784" s="989"/>
      <c r="X2784" s="374" t="str">
        <f t="shared" si="655"/>
        <v/>
      </c>
      <c r="Y2784" s="375" t="str">
        <f t="shared" si="656"/>
        <v/>
      </c>
      <c r="Z2784" s="374" t="str">
        <f t="shared" si="657"/>
        <v/>
      </c>
      <c r="AA2784" s="374" t="b">
        <f t="shared" si="658"/>
        <v>1</v>
      </c>
      <c r="AB2784" s="374">
        <f>COUNTIFS(B:B,B2784,H:H,'סיווג התפקידים והעלויות'!$C$2)</f>
        <v>0</v>
      </c>
      <c r="AC2784" s="374">
        <f>COUNTIFS(B:B,B2784,H:H,'סיווג התפקידים והעלויות'!$D$2)</f>
        <v>0</v>
      </c>
      <c r="AD2784" s="374" t="str">
        <f>IF(OR(AND(H2784='סיווג התפקידים והעלויות'!$A$2,I2784='סיווג התפקידים והעלויות'!$A$3),'עלויות כח אדם (6)'!H2784='סיווג התפקידים והעלויות'!$C$2,'עלויות כח אדם (6)'!H2784='סיווג התפקידים והעלויות'!$D$2),IF('עלויות כח אדם (6)'!J2784&lt;75,"לא תקין","תקין"),"")</f>
        <v/>
      </c>
      <c r="AE2784" s="374" t="str">
        <f t="shared" si="659"/>
        <v/>
      </c>
      <c r="AF2784" s="532" t="str">
        <f t="shared" si="660"/>
        <v/>
      </c>
    </row>
    <row r="2785" spans="2:32" x14ac:dyDescent="0.25">
      <c r="B2785" s="695"/>
      <c r="C2785" s="197" t="str">
        <f>IF(B2785&lt;&gt;"",IFERROR(VLOOKUP(B:B,'מצבת והרשמה (2)'!$C$20:$N$520,2,0)," ")," ")</f>
        <v xml:space="preserve"> </v>
      </c>
      <c r="D2785" s="695"/>
      <c r="E2785" s="696"/>
      <c r="F2785" s="696"/>
      <c r="G2785" s="696"/>
      <c r="H2785" s="696"/>
      <c r="I2785" s="1050" t="str">
        <f t="shared" si="647"/>
        <v/>
      </c>
      <c r="J2785" s="696"/>
      <c r="K2785" s="697"/>
      <c r="L2785" s="696"/>
      <c r="M2785" s="198" t="str">
        <f t="shared" si="648"/>
        <v/>
      </c>
      <c r="N2785" s="369" t="str">
        <f t="shared" si="649"/>
        <v/>
      </c>
      <c r="O2785" s="183" t="str">
        <f t="shared" si="650"/>
        <v/>
      </c>
      <c r="P2785" s="199" t="str">
        <f t="shared" si="651"/>
        <v/>
      </c>
      <c r="Q2785" s="199" t="str">
        <f>IF(B2785="","",IFERROR(IF('עלויות כח אדם (6)'!J2785&gt;=VLOOKUP(I2785,'סיווג התפקידים והעלויות'!$B$23:$C$32,2,0),"תקין","לא תקין"),""))</f>
        <v/>
      </c>
      <c r="R2785" s="199" t="str">
        <f t="shared" si="652"/>
        <v/>
      </c>
      <c r="S2785" s="199" t="str">
        <f t="shared" si="653"/>
        <v/>
      </c>
      <c r="T2785" s="199" t="str">
        <f t="shared" si="661"/>
        <v/>
      </c>
      <c r="U2785" s="199" t="str">
        <f t="shared" si="654"/>
        <v/>
      </c>
      <c r="V2785" s="989"/>
      <c r="X2785" s="374" t="str">
        <f t="shared" si="655"/>
        <v/>
      </c>
      <c r="Y2785" s="375" t="str">
        <f t="shared" si="656"/>
        <v/>
      </c>
      <c r="Z2785" s="374" t="str">
        <f t="shared" si="657"/>
        <v/>
      </c>
      <c r="AA2785" s="374" t="b">
        <f t="shared" si="658"/>
        <v>1</v>
      </c>
      <c r="AB2785" s="374">
        <f>COUNTIFS(B:B,B2785,H:H,'סיווג התפקידים והעלויות'!$C$2)</f>
        <v>0</v>
      </c>
      <c r="AC2785" s="374">
        <f>COUNTIFS(B:B,B2785,H:H,'סיווג התפקידים והעלויות'!$D$2)</f>
        <v>0</v>
      </c>
      <c r="AD2785" s="374" t="str">
        <f>IF(OR(AND(H2785='סיווג התפקידים והעלויות'!$A$2,I2785='סיווג התפקידים והעלויות'!$A$3),'עלויות כח אדם (6)'!H2785='סיווג התפקידים והעלויות'!$C$2,'עלויות כח אדם (6)'!H2785='סיווג התפקידים והעלויות'!$D$2),IF('עלויות כח אדם (6)'!J2785&lt;75,"לא תקין","תקין"),"")</f>
        <v/>
      </c>
      <c r="AE2785" s="374" t="str">
        <f t="shared" si="659"/>
        <v/>
      </c>
      <c r="AF2785" s="532" t="str">
        <f t="shared" si="660"/>
        <v/>
      </c>
    </row>
    <row r="2786" spans="2:32" x14ac:dyDescent="0.25">
      <c r="B2786" s="695"/>
      <c r="C2786" s="197" t="str">
        <f>IF(B2786&lt;&gt;"",IFERROR(VLOOKUP(B:B,'מצבת והרשמה (2)'!$C$20:$N$520,2,0)," ")," ")</f>
        <v xml:space="preserve"> </v>
      </c>
      <c r="D2786" s="695"/>
      <c r="E2786" s="696"/>
      <c r="F2786" s="696"/>
      <c r="G2786" s="696"/>
      <c r="H2786" s="696"/>
      <c r="I2786" s="1050" t="str">
        <f t="shared" si="647"/>
        <v/>
      </c>
      <c r="J2786" s="696"/>
      <c r="K2786" s="697"/>
      <c r="L2786" s="696"/>
      <c r="M2786" s="198" t="str">
        <f t="shared" si="648"/>
        <v/>
      </c>
      <c r="N2786" s="369" t="str">
        <f t="shared" si="649"/>
        <v/>
      </c>
      <c r="O2786" s="183" t="str">
        <f t="shared" si="650"/>
        <v/>
      </c>
      <c r="P2786" s="199" t="str">
        <f t="shared" si="651"/>
        <v/>
      </c>
      <c r="Q2786" s="199" t="str">
        <f>IF(B2786="","",IFERROR(IF('עלויות כח אדם (6)'!J2786&gt;=VLOOKUP(I2786,'סיווג התפקידים והעלויות'!$B$23:$C$32,2,0),"תקין","לא תקין"),""))</f>
        <v/>
      </c>
      <c r="R2786" s="199" t="str">
        <f t="shared" si="652"/>
        <v/>
      </c>
      <c r="S2786" s="199" t="str">
        <f t="shared" si="653"/>
        <v/>
      </c>
      <c r="T2786" s="199" t="str">
        <f t="shared" si="661"/>
        <v/>
      </c>
      <c r="U2786" s="199" t="str">
        <f t="shared" si="654"/>
        <v/>
      </c>
      <c r="V2786" s="989"/>
      <c r="X2786" s="374" t="str">
        <f t="shared" si="655"/>
        <v/>
      </c>
      <c r="Y2786" s="375" t="str">
        <f t="shared" si="656"/>
        <v/>
      </c>
      <c r="Z2786" s="374" t="str">
        <f t="shared" si="657"/>
        <v/>
      </c>
      <c r="AA2786" s="374" t="b">
        <f t="shared" si="658"/>
        <v>1</v>
      </c>
      <c r="AB2786" s="374">
        <f>COUNTIFS(B:B,B2786,H:H,'סיווג התפקידים והעלויות'!$C$2)</f>
        <v>0</v>
      </c>
      <c r="AC2786" s="374">
        <f>COUNTIFS(B:B,B2786,H:H,'סיווג התפקידים והעלויות'!$D$2)</f>
        <v>0</v>
      </c>
      <c r="AD2786" s="374" t="str">
        <f>IF(OR(AND(H2786='סיווג התפקידים והעלויות'!$A$2,I2786='סיווג התפקידים והעלויות'!$A$3),'עלויות כח אדם (6)'!H2786='סיווג התפקידים והעלויות'!$C$2,'עלויות כח אדם (6)'!H2786='סיווג התפקידים והעלויות'!$D$2),IF('עלויות כח אדם (6)'!J2786&lt;75,"לא תקין","תקין"),"")</f>
        <v/>
      </c>
      <c r="AE2786" s="374" t="str">
        <f t="shared" si="659"/>
        <v/>
      </c>
      <c r="AF2786" s="532" t="str">
        <f t="shared" si="660"/>
        <v/>
      </c>
    </row>
    <row r="2787" spans="2:32" x14ac:dyDescent="0.25">
      <c r="B2787" s="695"/>
      <c r="C2787" s="197" t="str">
        <f>IF(B2787&lt;&gt;"",IFERROR(VLOOKUP(B:B,'מצבת והרשמה (2)'!$C$20:$N$520,2,0)," ")," ")</f>
        <v xml:space="preserve"> </v>
      </c>
      <c r="D2787" s="695"/>
      <c r="E2787" s="696"/>
      <c r="F2787" s="696"/>
      <c r="G2787" s="696"/>
      <c r="H2787" s="696"/>
      <c r="I2787" s="1050" t="str">
        <f t="shared" si="647"/>
        <v/>
      </c>
      <c r="J2787" s="696"/>
      <c r="K2787" s="697"/>
      <c r="L2787" s="696"/>
      <c r="M2787" s="198" t="str">
        <f t="shared" si="648"/>
        <v/>
      </c>
      <c r="N2787" s="369" t="str">
        <f t="shared" si="649"/>
        <v/>
      </c>
      <c r="O2787" s="183" t="str">
        <f t="shared" si="650"/>
        <v/>
      </c>
      <c r="P2787" s="199" t="str">
        <f t="shared" si="651"/>
        <v/>
      </c>
      <c r="Q2787" s="199" t="str">
        <f>IF(B2787="","",IFERROR(IF('עלויות כח אדם (6)'!J2787&gt;=VLOOKUP(I2787,'סיווג התפקידים והעלויות'!$B$23:$C$32,2,0),"תקין","לא תקין"),""))</f>
        <v/>
      </c>
      <c r="R2787" s="199" t="str">
        <f t="shared" si="652"/>
        <v/>
      </c>
      <c r="S2787" s="199" t="str">
        <f t="shared" si="653"/>
        <v/>
      </c>
      <c r="T2787" s="199" t="str">
        <f t="shared" si="661"/>
        <v/>
      </c>
      <c r="U2787" s="199" t="str">
        <f t="shared" si="654"/>
        <v/>
      </c>
      <c r="V2787" s="989"/>
      <c r="X2787" s="374" t="str">
        <f t="shared" si="655"/>
        <v/>
      </c>
      <c r="Y2787" s="375" t="str">
        <f t="shared" si="656"/>
        <v/>
      </c>
      <c r="Z2787" s="374" t="str">
        <f t="shared" si="657"/>
        <v/>
      </c>
      <c r="AA2787" s="374" t="b">
        <f t="shared" si="658"/>
        <v>1</v>
      </c>
      <c r="AB2787" s="374">
        <f>COUNTIFS(B:B,B2787,H:H,'סיווג התפקידים והעלויות'!$C$2)</f>
        <v>0</v>
      </c>
      <c r="AC2787" s="374">
        <f>COUNTIFS(B:B,B2787,H:H,'סיווג התפקידים והעלויות'!$D$2)</f>
        <v>0</v>
      </c>
      <c r="AD2787" s="374" t="str">
        <f>IF(OR(AND(H2787='סיווג התפקידים והעלויות'!$A$2,I2787='סיווג התפקידים והעלויות'!$A$3),'עלויות כח אדם (6)'!H2787='סיווג התפקידים והעלויות'!$C$2,'עלויות כח אדם (6)'!H2787='סיווג התפקידים והעלויות'!$D$2),IF('עלויות כח אדם (6)'!J2787&lt;75,"לא תקין","תקין"),"")</f>
        <v/>
      </c>
      <c r="AE2787" s="374" t="str">
        <f t="shared" si="659"/>
        <v/>
      </c>
      <c r="AF2787" s="532" t="str">
        <f t="shared" si="660"/>
        <v/>
      </c>
    </row>
    <row r="2788" spans="2:32" x14ac:dyDescent="0.25">
      <c r="B2788" s="695"/>
      <c r="C2788" s="197" t="str">
        <f>IF(B2788&lt;&gt;"",IFERROR(VLOOKUP(B:B,'מצבת והרשמה (2)'!$C$20:$N$520,2,0)," ")," ")</f>
        <v xml:space="preserve"> </v>
      </c>
      <c r="D2788" s="695"/>
      <c r="E2788" s="696"/>
      <c r="F2788" s="696"/>
      <c r="G2788" s="696"/>
      <c r="H2788" s="696"/>
      <c r="I2788" s="1050" t="str">
        <f t="shared" si="647"/>
        <v/>
      </c>
      <c r="J2788" s="696"/>
      <c r="K2788" s="697"/>
      <c r="L2788" s="696"/>
      <c r="M2788" s="198" t="str">
        <f t="shared" si="648"/>
        <v/>
      </c>
      <c r="N2788" s="369" t="str">
        <f t="shared" si="649"/>
        <v/>
      </c>
      <c r="O2788" s="183" t="str">
        <f t="shared" si="650"/>
        <v/>
      </c>
      <c r="P2788" s="199" t="str">
        <f t="shared" si="651"/>
        <v/>
      </c>
      <c r="Q2788" s="199" t="str">
        <f>IF(B2788="","",IFERROR(IF('עלויות כח אדם (6)'!J2788&gt;=VLOOKUP(I2788,'סיווג התפקידים והעלויות'!$B$23:$C$32,2,0),"תקין","לא תקין"),""))</f>
        <v/>
      </c>
      <c r="R2788" s="199" t="str">
        <f t="shared" si="652"/>
        <v/>
      </c>
      <c r="S2788" s="199" t="str">
        <f t="shared" si="653"/>
        <v/>
      </c>
      <c r="T2788" s="199" t="str">
        <f t="shared" si="661"/>
        <v/>
      </c>
      <c r="U2788" s="199" t="str">
        <f t="shared" si="654"/>
        <v/>
      </c>
      <c r="V2788" s="989"/>
      <c r="X2788" s="374" t="str">
        <f t="shared" si="655"/>
        <v/>
      </c>
      <c r="Y2788" s="375" t="str">
        <f t="shared" si="656"/>
        <v/>
      </c>
      <c r="Z2788" s="374" t="str">
        <f t="shared" si="657"/>
        <v/>
      </c>
      <c r="AA2788" s="374" t="b">
        <f t="shared" si="658"/>
        <v>1</v>
      </c>
      <c r="AB2788" s="374">
        <f>COUNTIFS(B:B,B2788,H:H,'סיווג התפקידים והעלויות'!$C$2)</f>
        <v>0</v>
      </c>
      <c r="AC2788" s="374">
        <f>COUNTIFS(B:B,B2788,H:H,'סיווג התפקידים והעלויות'!$D$2)</f>
        <v>0</v>
      </c>
      <c r="AD2788" s="374" t="str">
        <f>IF(OR(AND(H2788='סיווג התפקידים והעלויות'!$A$2,I2788='סיווג התפקידים והעלויות'!$A$3),'עלויות כח אדם (6)'!H2788='סיווג התפקידים והעלויות'!$C$2,'עלויות כח אדם (6)'!H2788='סיווג התפקידים והעלויות'!$D$2),IF('עלויות כח אדם (6)'!J2788&lt;75,"לא תקין","תקין"),"")</f>
        <v/>
      </c>
      <c r="AE2788" s="374" t="str">
        <f t="shared" si="659"/>
        <v/>
      </c>
      <c r="AF2788" s="532" t="str">
        <f t="shared" si="660"/>
        <v/>
      </c>
    </row>
    <row r="2789" spans="2:32" x14ac:dyDescent="0.25">
      <c r="B2789" s="695"/>
      <c r="C2789" s="197" t="str">
        <f>IF(B2789&lt;&gt;"",IFERROR(VLOOKUP(B:B,'מצבת והרשמה (2)'!$C$20:$N$520,2,0)," ")," ")</f>
        <v xml:space="preserve"> </v>
      </c>
      <c r="D2789" s="695"/>
      <c r="E2789" s="696"/>
      <c r="F2789" s="696"/>
      <c r="G2789" s="696"/>
      <c r="H2789" s="696"/>
      <c r="I2789" s="1050" t="str">
        <f t="shared" si="647"/>
        <v/>
      </c>
      <c r="J2789" s="696"/>
      <c r="K2789" s="697"/>
      <c r="L2789" s="696"/>
      <c r="M2789" s="198" t="str">
        <f t="shared" si="648"/>
        <v/>
      </c>
      <c r="N2789" s="369" t="str">
        <f t="shared" si="649"/>
        <v/>
      </c>
      <c r="O2789" s="183" t="str">
        <f t="shared" si="650"/>
        <v/>
      </c>
      <c r="P2789" s="199" t="str">
        <f t="shared" si="651"/>
        <v/>
      </c>
      <c r="Q2789" s="199" t="str">
        <f>IF(B2789="","",IFERROR(IF('עלויות כח אדם (6)'!J2789&gt;=VLOOKUP(I2789,'סיווג התפקידים והעלויות'!$B$23:$C$32,2,0),"תקין","לא תקין"),""))</f>
        <v/>
      </c>
      <c r="R2789" s="199" t="str">
        <f t="shared" si="652"/>
        <v/>
      </c>
      <c r="S2789" s="199" t="str">
        <f t="shared" si="653"/>
        <v/>
      </c>
      <c r="T2789" s="199" t="str">
        <f t="shared" si="661"/>
        <v/>
      </c>
      <c r="U2789" s="199" t="str">
        <f t="shared" si="654"/>
        <v/>
      </c>
      <c r="V2789" s="989"/>
      <c r="X2789" s="374" t="str">
        <f t="shared" si="655"/>
        <v/>
      </c>
      <c r="Y2789" s="375" t="str">
        <f t="shared" si="656"/>
        <v/>
      </c>
      <c r="Z2789" s="374" t="str">
        <f t="shared" si="657"/>
        <v/>
      </c>
      <c r="AA2789" s="374" t="b">
        <f t="shared" si="658"/>
        <v>1</v>
      </c>
      <c r="AB2789" s="374">
        <f>COUNTIFS(B:B,B2789,H:H,'סיווג התפקידים והעלויות'!$C$2)</f>
        <v>0</v>
      </c>
      <c r="AC2789" s="374">
        <f>COUNTIFS(B:B,B2789,H:H,'סיווג התפקידים והעלויות'!$D$2)</f>
        <v>0</v>
      </c>
      <c r="AD2789" s="374" t="str">
        <f>IF(OR(AND(H2789='סיווג התפקידים והעלויות'!$A$2,I2789='סיווג התפקידים והעלויות'!$A$3),'עלויות כח אדם (6)'!H2789='סיווג התפקידים והעלויות'!$C$2,'עלויות כח אדם (6)'!H2789='סיווג התפקידים והעלויות'!$D$2),IF('עלויות כח אדם (6)'!J2789&lt;75,"לא תקין","תקין"),"")</f>
        <v/>
      </c>
      <c r="AE2789" s="374" t="str">
        <f t="shared" si="659"/>
        <v/>
      </c>
      <c r="AF2789" s="532" t="str">
        <f t="shared" si="660"/>
        <v/>
      </c>
    </row>
    <row r="2790" spans="2:32" x14ac:dyDescent="0.25">
      <c r="B2790" s="695"/>
      <c r="C2790" s="197" t="str">
        <f>IF(B2790&lt;&gt;"",IFERROR(VLOOKUP(B:B,'מצבת והרשמה (2)'!$C$20:$N$520,2,0)," ")," ")</f>
        <v xml:space="preserve"> </v>
      </c>
      <c r="D2790" s="695"/>
      <c r="E2790" s="696"/>
      <c r="F2790" s="696"/>
      <c r="G2790" s="696"/>
      <c r="H2790" s="696"/>
      <c r="I2790" s="1050" t="str">
        <f t="shared" si="647"/>
        <v/>
      </c>
      <c r="J2790" s="696"/>
      <c r="K2790" s="697"/>
      <c r="L2790" s="696"/>
      <c r="M2790" s="198" t="str">
        <f t="shared" si="648"/>
        <v/>
      </c>
      <c r="N2790" s="369" t="str">
        <f t="shared" si="649"/>
        <v/>
      </c>
      <c r="O2790" s="183" t="str">
        <f t="shared" si="650"/>
        <v/>
      </c>
      <c r="P2790" s="199" t="str">
        <f t="shared" si="651"/>
        <v/>
      </c>
      <c r="Q2790" s="199" t="str">
        <f>IF(B2790="","",IFERROR(IF('עלויות כח אדם (6)'!J2790&gt;=VLOOKUP(I2790,'סיווג התפקידים והעלויות'!$B$23:$C$32,2,0),"תקין","לא תקין"),""))</f>
        <v/>
      </c>
      <c r="R2790" s="199" t="str">
        <f t="shared" si="652"/>
        <v/>
      </c>
      <c r="S2790" s="199" t="str">
        <f t="shared" si="653"/>
        <v/>
      </c>
      <c r="T2790" s="199" t="str">
        <f t="shared" si="661"/>
        <v/>
      </c>
      <c r="U2790" s="199" t="str">
        <f t="shared" si="654"/>
        <v/>
      </c>
      <c r="V2790" s="989"/>
      <c r="X2790" s="374" t="str">
        <f t="shared" si="655"/>
        <v/>
      </c>
      <c r="Y2790" s="375" t="str">
        <f t="shared" si="656"/>
        <v/>
      </c>
      <c r="Z2790" s="374" t="str">
        <f t="shared" si="657"/>
        <v/>
      </c>
      <c r="AA2790" s="374" t="b">
        <f t="shared" si="658"/>
        <v>1</v>
      </c>
      <c r="AB2790" s="374">
        <f>COUNTIFS(B:B,B2790,H:H,'סיווג התפקידים והעלויות'!$C$2)</f>
        <v>0</v>
      </c>
      <c r="AC2790" s="374">
        <f>COUNTIFS(B:B,B2790,H:H,'סיווג התפקידים והעלויות'!$D$2)</f>
        <v>0</v>
      </c>
      <c r="AD2790" s="374" t="str">
        <f>IF(OR(AND(H2790='סיווג התפקידים והעלויות'!$A$2,I2790='סיווג התפקידים והעלויות'!$A$3),'עלויות כח אדם (6)'!H2790='סיווג התפקידים והעלויות'!$C$2,'עלויות כח אדם (6)'!H2790='סיווג התפקידים והעלויות'!$D$2),IF('עלויות כח אדם (6)'!J2790&lt;75,"לא תקין","תקין"),"")</f>
        <v/>
      </c>
      <c r="AE2790" s="374" t="str">
        <f t="shared" si="659"/>
        <v/>
      </c>
      <c r="AF2790" s="532" t="str">
        <f t="shared" si="660"/>
        <v/>
      </c>
    </row>
    <row r="2791" spans="2:32" x14ac:dyDescent="0.25">
      <c r="B2791" s="695"/>
      <c r="C2791" s="197" t="str">
        <f>IF(B2791&lt;&gt;"",IFERROR(VLOOKUP(B:B,'מצבת והרשמה (2)'!$C$20:$N$520,2,0)," ")," ")</f>
        <v xml:space="preserve"> </v>
      </c>
      <c r="D2791" s="695"/>
      <c r="E2791" s="696"/>
      <c r="F2791" s="696"/>
      <c r="G2791" s="696"/>
      <c r="H2791" s="696"/>
      <c r="I2791" s="1050" t="str">
        <f t="shared" si="647"/>
        <v/>
      </c>
      <c r="J2791" s="696"/>
      <c r="K2791" s="697"/>
      <c r="L2791" s="696"/>
      <c r="M2791" s="198" t="str">
        <f t="shared" si="648"/>
        <v/>
      </c>
      <c r="N2791" s="369" t="str">
        <f t="shared" si="649"/>
        <v/>
      </c>
      <c r="O2791" s="183" t="str">
        <f t="shared" si="650"/>
        <v/>
      </c>
      <c r="P2791" s="199" t="str">
        <f t="shared" si="651"/>
        <v/>
      </c>
      <c r="Q2791" s="199" t="str">
        <f>IF(B2791="","",IFERROR(IF('עלויות כח אדם (6)'!J2791&gt;=VLOOKUP(I2791,'סיווג התפקידים והעלויות'!$B$23:$C$32,2,0),"תקין","לא תקין"),""))</f>
        <v/>
      </c>
      <c r="R2791" s="199" t="str">
        <f t="shared" si="652"/>
        <v/>
      </c>
      <c r="S2791" s="199" t="str">
        <f t="shared" si="653"/>
        <v/>
      </c>
      <c r="T2791" s="199" t="str">
        <f t="shared" si="661"/>
        <v/>
      </c>
      <c r="U2791" s="199" t="str">
        <f t="shared" si="654"/>
        <v/>
      </c>
      <c r="V2791" s="989"/>
      <c r="X2791" s="374" t="str">
        <f t="shared" si="655"/>
        <v/>
      </c>
      <c r="Y2791" s="375" t="str">
        <f t="shared" si="656"/>
        <v/>
      </c>
      <c r="Z2791" s="374" t="str">
        <f t="shared" si="657"/>
        <v/>
      </c>
      <c r="AA2791" s="374" t="b">
        <f t="shared" si="658"/>
        <v>1</v>
      </c>
      <c r="AB2791" s="374">
        <f>COUNTIFS(B:B,B2791,H:H,'סיווג התפקידים והעלויות'!$C$2)</f>
        <v>0</v>
      </c>
      <c r="AC2791" s="374">
        <f>COUNTIFS(B:B,B2791,H:H,'סיווג התפקידים והעלויות'!$D$2)</f>
        <v>0</v>
      </c>
      <c r="AD2791" s="374" t="str">
        <f>IF(OR(AND(H2791='סיווג התפקידים והעלויות'!$A$2,I2791='סיווג התפקידים והעלויות'!$A$3),'עלויות כח אדם (6)'!H2791='סיווג התפקידים והעלויות'!$C$2,'עלויות כח אדם (6)'!H2791='סיווג התפקידים והעלויות'!$D$2),IF('עלויות כח אדם (6)'!J2791&lt;75,"לא תקין","תקין"),"")</f>
        <v/>
      </c>
      <c r="AE2791" s="374" t="str">
        <f t="shared" si="659"/>
        <v/>
      </c>
      <c r="AF2791" s="532" t="str">
        <f t="shared" si="660"/>
        <v/>
      </c>
    </row>
    <row r="2792" spans="2:32" x14ac:dyDescent="0.25">
      <c r="B2792" s="695"/>
      <c r="C2792" s="197" t="str">
        <f>IF(B2792&lt;&gt;"",IFERROR(VLOOKUP(B:B,'מצבת והרשמה (2)'!$C$20:$N$520,2,0)," ")," ")</f>
        <v xml:space="preserve"> </v>
      </c>
      <c r="D2792" s="695"/>
      <c r="E2792" s="696"/>
      <c r="F2792" s="696"/>
      <c r="G2792" s="696"/>
      <c r="H2792" s="696"/>
      <c r="I2792" s="1050" t="str">
        <f t="shared" si="647"/>
        <v/>
      </c>
      <c r="J2792" s="696"/>
      <c r="K2792" s="697"/>
      <c r="L2792" s="696"/>
      <c r="M2792" s="198" t="str">
        <f t="shared" si="648"/>
        <v/>
      </c>
      <c r="N2792" s="369" t="str">
        <f t="shared" si="649"/>
        <v/>
      </c>
      <c r="O2792" s="183" t="str">
        <f t="shared" si="650"/>
        <v/>
      </c>
      <c r="P2792" s="199" t="str">
        <f t="shared" si="651"/>
        <v/>
      </c>
      <c r="Q2792" s="199" t="str">
        <f>IF(B2792="","",IFERROR(IF('עלויות כח אדם (6)'!J2792&gt;=VLOOKUP(I2792,'סיווג התפקידים והעלויות'!$B$23:$C$32,2,0),"תקין","לא תקין"),""))</f>
        <v/>
      </c>
      <c r="R2792" s="199" t="str">
        <f t="shared" si="652"/>
        <v/>
      </c>
      <c r="S2792" s="199" t="str">
        <f t="shared" si="653"/>
        <v/>
      </c>
      <c r="T2792" s="199" t="str">
        <f t="shared" si="661"/>
        <v/>
      </c>
      <c r="U2792" s="199" t="str">
        <f t="shared" si="654"/>
        <v/>
      </c>
      <c r="V2792" s="989"/>
      <c r="X2792" s="374" t="str">
        <f t="shared" si="655"/>
        <v/>
      </c>
      <c r="Y2792" s="375" t="str">
        <f t="shared" si="656"/>
        <v/>
      </c>
      <c r="Z2792" s="374" t="str">
        <f t="shared" si="657"/>
        <v/>
      </c>
      <c r="AA2792" s="374" t="b">
        <f t="shared" si="658"/>
        <v>1</v>
      </c>
      <c r="AB2792" s="374">
        <f>COUNTIFS(B:B,B2792,H:H,'סיווג התפקידים והעלויות'!$C$2)</f>
        <v>0</v>
      </c>
      <c r="AC2792" s="374">
        <f>COUNTIFS(B:B,B2792,H:H,'סיווג התפקידים והעלויות'!$D$2)</f>
        <v>0</v>
      </c>
      <c r="AD2792" s="374" t="str">
        <f>IF(OR(AND(H2792='סיווג התפקידים והעלויות'!$A$2,I2792='סיווג התפקידים והעלויות'!$A$3),'עלויות כח אדם (6)'!H2792='סיווג התפקידים והעלויות'!$C$2,'עלויות כח אדם (6)'!H2792='סיווג התפקידים והעלויות'!$D$2),IF('עלויות כח אדם (6)'!J2792&lt;75,"לא תקין","תקין"),"")</f>
        <v/>
      </c>
      <c r="AE2792" s="374" t="str">
        <f t="shared" si="659"/>
        <v/>
      </c>
      <c r="AF2792" s="532" t="str">
        <f t="shared" si="660"/>
        <v/>
      </c>
    </row>
    <row r="2793" spans="2:32" x14ac:dyDescent="0.25">
      <c r="B2793" s="695"/>
      <c r="C2793" s="197" t="str">
        <f>IF(B2793&lt;&gt;"",IFERROR(VLOOKUP(B:B,'מצבת והרשמה (2)'!$C$20:$N$520,2,0)," ")," ")</f>
        <v xml:space="preserve"> </v>
      </c>
      <c r="D2793" s="695"/>
      <c r="E2793" s="696"/>
      <c r="F2793" s="696"/>
      <c r="G2793" s="696"/>
      <c r="H2793" s="696"/>
      <c r="I2793" s="1050" t="str">
        <f t="shared" si="647"/>
        <v/>
      </c>
      <c r="J2793" s="696"/>
      <c r="K2793" s="697"/>
      <c r="L2793" s="696"/>
      <c r="M2793" s="198" t="str">
        <f t="shared" si="648"/>
        <v/>
      </c>
      <c r="N2793" s="369" t="str">
        <f t="shared" si="649"/>
        <v/>
      </c>
      <c r="O2793" s="183" t="str">
        <f t="shared" si="650"/>
        <v/>
      </c>
      <c r="P2793" s="199" t="str">
        <f t="shared" si="651"/>
        <v/>
      </c>
      <c r="Q2793" s="199" t="str">
        <f>IF(B2793="","",IFERROR(IF('עלויות כח אדם (6)'!J2793&gt;=VLOOKUP(I2793,'סיווג התפקידים והעלויות'!$B$23:$C$32,2,0),"תקין","לא תקין"),""))</f>
        <v/>
      </c>
      <c r="R2793" s="199" t="str">
        <f t="shared" si="652"/>
        <v/>
      </c>
      <c r="S2793" s="199" t="str">
        <f t="shared" si="653"/>
        <v/>
      </c>
      <c r="T2793" s="199" t="str">
        <f t="shared" si="661"/>
        <v/>
      </c>
      <c r="U2793" s="199" t="str">
        <f t="shared" si="654"/>
        <v/>
      </c>
      <c r="V2793" s="989"/>
      <c r="X2793" s="374" t="str">
        <f t="shared" si="655"/>
        <v/>
      </c>
      <c r="Y2793" s="375" t="str">
        <f t="shared" si="656"/>
        <v/>
      </c>
      <c r="Z2793" s="374" t="str">
        <f t="shared" si="657"/>
        <v/>
      </c>
      <c r="AA2793" s="374" t="b">
        <f t="shared" si="658"/>
        <v>1</v>
      </c>
      <c r="AB2793" s="374">
        <f>COUNTIFS(B:B,B2793,H:H,'סיווג התפקידים והעלויות'!$C$2)</f>
        <v>0</v>
      </c>
      <c r="AC2793" s="374">
        <f>COUNTIFS(B:B,B2793,H:H,'סיווג התפקידים והעלויות'!$D$2)</f>
        <v>0</v>
      </c>
      <c r="AD2793" s="374" t="str">
        <f>IF(OR(AND(H2793='סיווג התפקידים והעלויות'!$A$2,I2793='סיווג התפקידים והעלויות'!$A$3),'עלויות כח אדם (6)'!H2793='סיווג התפקידים והעלויות'!$C$2,'עלויות כח אדם (6)'!H2793='סיווג התפקידים והעלויות'!$D$2),IF('עלויות כח אדם (6)'!J2793&lt;75,"לא תקין","תקין"),"")</f>
        <v/>
      </c>
      <c r="AE2793" s="374" t="str">
        <f t="shared" si="659"/>
        <v/>
      </c>
      <c r="AF2793" s="532" t="str">
        <f t="shared" si="660"/>
        <v/>
      </c>
    </row>
    <row r="2794" spans="2:32" x14ac:dyDescent="0.25">
      <c r="B2794" s="695"/>
      <c r="C2794" s="197" t="str">
        <f>IF(B2794&lt;&gt;"",IFERROR(VLOOKUP(B:B,'מצבת והרשמה (2)'!$C$20:$N$520,2,0)," ")," ")</f>
        <v xml:space="preserve"> </v>
      </c>
      <c r="D2794" s="695"/>
      <c r="E2794" s="696"/>
      <c r="F2794" s="696"/>
      <c r="G2794" s="696"/>
      <c r="H2794" s="696"/>
      <c r="I2794" s="1050" t="str">
        <f t="shared" si="647"/>
        <v/>
      </c>
      <c r="J2794" s="696"/>
      <c r="K2794" s="697"/>
      <c r="L2794" s="696"/>
      <c r="M2794" s="198" t="str">
        <f t="shared" si="648"/>
        <v/>
      </c>
      <c r="N2794" s="369" t="str">
        <f t="shared" si="649"/>
        <v/>
      </c>
      <c r="O2794" s="183" t="str">
        <f t="shared" si="650"/>
        <v/>
      </c>
      <c r="P2794" s="199" t="str">
        <f t="shared" si="651"/>
        <v/>
      </c>
      <c r="Q2794" s="199" t="str">
        <f>IF(B2794="","",IFERROR(IF('עלויות כח אדם (6)'!J2794&gt;=VLOOKUP(I2794,'סיווג התפקידים והעלויות'!$B$23:$C$32,2,0),"תקין","לא תקין"),""))</f>
        <v/>
      </c>
      <c r="R2794" s="199" t="str">
        <f t="shared" si="652"/>
        <v/>
      </c>
      <c r="S2794" s="199" t="str">
        <f t="shared" si="653"/>
        <v/>
      </c>
      <c r="T2794" s="199" t="str">
        <f t="shared" si="661"/>
        <v/>
      </c>
      <c r="U2794" s="199" t="str">
        <f t="shared" si="654"/>
        <v/>
      </c>
      <c r="V2794" s="989"/>
      <c r="X2794" s="374" t="str">
        <f t="shared" si="655"/>
        <v/>
      </c>
      <c r="Y2794" s="375" t="str">
        <f t="shared" si="656"/>
        <v/>
      </c>
      <c r="Z2794" s="374" t="str">
        <f t="shared" si="657"/>
        <v/>
      </c>
      <c r="AA2794" s="374" t="b">
        <f t="shared" si="658"/>
        <v>1</v>
      </c>
      <c r="AB2794" s="374">
        <f>COUNTIFS(B:B,B2794,H:H,'סיווג התפקידים והעלויות'!$C$2)</f>
        <v>0</v>
      </c>
      <c r="AC2794" s="374">
        <f>COUNTIFS(B:B,B2794,H:H,'סיווג התפקידים והעלויות'!$D$2)</f>
        <v>0</v>
      </c>
      <c r="AD2794" s="374" t="str">
        <f>IF(OR(AND(H2794='סיווג התפקידים והעלויות'!$A$2,I2794='סיווג התפקידים והעלויות'!$A$3),'עלויות כח אדם (6)'!H2794='סיווג התפקידים והעלויות'!$C$2,'עלויות כח אדם (6)'!H2794='סיווג התפקידים והעלויות'!$D$2),IF('עלויות כח אדם (6)'!J2794&lt;75,"לא תקין","תקין"),"")</f>
        <v/>
      </c>
      <c r="AE2794" s="374" t="str">
        <f t="shared" si="659"/>
        <v/>
      </c>
      <c r="AF2794" s="532" t="str">
        <f t="shared" si="660"/>
        <v/>
      </c>
    </row>
    <row r="2795" spans="2:32" x14ac:dyDescent="0.25">
      <c r="B2795" s="695"/>
      <c r="C2795" s="197" t="str">
        <f>IF(B2795&lt;&gt;"",IFERROR(VLOOKUP(B:B,'מצבת והרשמה (2)'!$C$20:$N$520,2,0)," ")," ")</f>
        <v xml:space="preserve"> </v>
      </c>
      <c r="D2795" s="695"/>
      <c r="E2795" s="696"/>
      <c r="F2795" s="696"/>
      <c r="G2795" s="696"/>
      <c r="H2795" s="696"/>
      <c r="I2795" s="1050" t="str">
        <f t="shared" si="647"/>
        <v/>
      </c>
      <c r="J2795" s="696"/>
      <c r="K2795" s="697"/>
      <c r="L2795" s="696"/>
      <c r="M2795" s="198" t="str">
        <f t="shared" si="648"/>
        <v/>
      </c>
      <c r="N2795" s="369" t="str">
        <f t="shared" si="649"/>
        <v/>
      </c>
      <c r="O2795" s="183" t="str">
        <f t="shared" si="650"/>
        <v/>
      </c>
      <c r="P2795" s="199" t="str">
        <f t="shared" si="651"/>
        <v/>
      </c>
      <c r="Q2795" s="199" t="str">
        <f>IF(B2795="","",IFERROR(IF('עלויות כח אדם (6)'!J2795&gt;=VLOOKUP(I2795,'סיווג התפקידים והעלויות'!$B$23:$C$32,2,0),"תקין","לא תקין"),""))</f>
        <v/>
      </c>
      <c r="R2795" s="199" t="str">
        <f t="shared" si="652"/>
        <v/>
      </c>
      <c r="S2795" s="199" t="str">
        <f t="shared" si="653"/>
        <v/>
      </c>
      <c r="T2795" s="199" t="str">
        <f t="shared" si="661"/>
        <v/>
      </c>
      <c r="U2795" s="199" t="str">
        <f t="shared" si="654"/>
        <v/>
      </c>
      <c r="V2795" s="989"/>
      <c r="X2795" s="374" t="str">
        <f t="shared" si="655"/>
        <v/>
      </c>
      <c r="Y2795" s="375" t="str">
        <f t="shared" si="656"/>
        <v/>
      </c>
      <c r="Z2795" s="374" t="str">
        <f t="shared" si="657"/>
        <v/>
      </c>
      <c r="AA2795" s="374" t="b">
        <f t="shared" si="658"/>
        <v>1</v>
      </c>
      <c r="AB2795" s="374">
        <f>COUNTIFS(B:B,B2795,H:H,'סיווג התפקידים והעלויות'!$C$2)</f>
        <v>0</v>
      </c>
      <c r="AC2795" s="374">
        <f>COUNTIFS(B:B,B2795,H:H,'סיווג התפקידים והעלויות'!$D$2)</f>
        <v>0</v>
      </c>
      <c r="AD2795" s="374" t="str">
        <f>IF(OR(AND(H2795='סיווג התפקידים והעלויות'!$A$2,I2795='סיווג התפקידים והעלויות'!$A$3),'עלויות כח אדם (6)'!H2795='סיווג התפקידים והעלויות'!$C$2,'עלויות כח אדם (6)'!H2795='סיווג התפקידים והעלויות'!$D$2),IF('עלויות כח אדם (6)'!J2795&lt;75,"לא תקין","תקין"),"")</f>
        <v/>
      </c>
      <c r="AE2795" s="374" t="str">
        <f t="shared" si="659"/>
        <v/>
      </c>
      <c r="AF2795" s="532" t="str">
        <f t="shared" si="660"/>
        <v/>
      </c>
    </row>
    <row r="2796" spans="2:32" x14ac:dyDescent="0.25">
      <c r="B2796" s="695"/>
      <c r="C2796" s="197" t="str">
        <f>IF(B2796&lt;&gt;"",IFERROR(VLOOKUP(B:B,'מצבת והרשמה (2)'!$C$20:$N$520,2,0)," ")," ")</f>
        <v xml:space="preserve"> </v>
      </c>
      <c r="D2796" s="695"/>
      <c r="E2796" s="696"/>
      <c r="F2796" s="696"/>
      <c r="G2796" s="696"/>
      <c r="H2796" s="696"/>
      <c r="I2796" s="1050" t="str">
        <f t="shared" si="647"/>
        <v/>
      </c>
      <c r="J2796" s="696"/>
      <c r="K2796" s="697"/>
      <c r="L2796" s="696"/>
      <c r="M2796" s="198" t="str">
        <f t="shared" si="648"/>
        <v/>
      </c>
      <c r="N2796" s="369" t="str">
        <f t="shared" si="649"/>
        <v/>
      </c>
      <c r="O2796" s="183" t="str">
        <f t="shared" si="650"/>
        <v/>
      </c>
      <c r="P2796" s="199" t="str">
        <f t="shared" si="651"/>
        <v/>
      </c>
      <c r="Q2796" s="199" t="str">
        <f>IF(B2796="","",IFERROR(IF('עלויות כח אדם (6)'!J2796&gt;=VLOOKUP(I2796,'סיווג התפקידים והעלויות'!$B$23:$C$32,2,0),"תקין","לא תקין"),""))</f>
        <v/>
      </c>
      <c r="R2796" s="199" t="str">
        <f t="shared" si="652"/>
        <v/>
      </c>
      <c r="S2796" s="199" t="str">
        <f t="shared" si="653"/>
        <v/>
      </c>
      <c r="T2796" s="199" t="str">
        <f t="shared" si="661"/>
        <v/>
      </c>
      <c r="U2796" s="199" t="str">
        <f t="shared" si="654"/>
        <v/>
      </c>
      <c r="V2796" s="989"/>
      <c r="X2796" s="374" t="str">
        <f t="shared" si="655"/>
        <v/>
      </c>
      <c r="Y2796" s="375" t="str">
        <f t="shared" si="656"/>
        <v/>
      </c>
      <c r="Z2796" s="374" t="str">
        <f t="shared" si="657"/>
        <v/>
      </c>
      <c r="AA2796" s="374" t="b">
        <f t="shared" si="658"/>
        <v>1</v>
      </c>
      <c r="AB2796" s="374">
        <f>COUNTIFS(B:B,B2796,H:H,'סיווג התפקידים והעלויות'!$C$2)</f>
        <v>0</v>
      </c>
      <c r="AC2796" s="374">
        <f>COUNTIFS(B:B,B2796,H:H,'סיווג התפקידים והעלויות'!$D$2)</f>
        <v>0</v>
      </c>
      <c r="AD2796" s="374" t="str">
        <f>IF(OR(AND(H2796='סיווג התפקידים והעלויות'!$A$2,I2796='סיווג התפקידים והעלויות'!$A$3),'עלויות כח אדם (6)'!H2796='סיווג התפקידים והעלויות'!$C$2,'עלויות כח אדם (6)'!H2796='סיווג התפקידים והעלויות'!$D$2),IF('עלויות כח אדם (6)'!J2796&lt;75,"לא תקין","תקין"),"")</f>
        <v/>
      </c>
      <c r="AE2796" s="374" t="str">
        <f t="shared" si="659"/>
        <v/>
      </c>
      <c r="AF2796" s="532" t="str">
        <f t="shared" si="660"/>
        <v/>
      </c>
    </row>
    <row r="2797" spans="2:32" x14ac:dyDescent="0.25">
      <c r="B2797" s="695"/>
      <c r="C2797" s="197" t="str">
        <f>IF(B2797&lt;&gt;"",IFERROR(VLOOKUP(B:B,'מצבת והרשמה (2)'!$C$20:$N$520,2,0)," ")," ")</f>
        <v xml:space="preserve"> </v>
      </c>
      <c r="D2797" s="695"/>
      <c r="E2797" s="696"/>
      <c r="F2797" s="696"/>
      <c r="G2797" s="696"/>
      <c r="H2797" s="696"/>
      <c r="I2797" s="1050" t="str">
        <f t="shared" si="647"/>
        <v/>
      </c>
      <c r="J2797" s="696"/>
      <c r="K2797" s="697"/>
      <c r="L2797" s="696"/>
      <c r="M2797" s="198" t="str">
        <f t="shared" si="648"/>
        <v/>
      </c>
      <c r="N2797" s="369" t="str">
        <f t="shared" si="649"/>
        <v/>
      </c>
      <c r="O2797" s="183" t="str">
        <f t="shared" si="650"/>
        <v/>
      </c>
      <c r="P2797" s="199" t="str">
        <f t="shared" si="651"/>
        <v/>
      </c>
      <c r="Q2797" s="199" t="str">
        <f>IF(B2797="","",IFERROR(IF('עלויות כח אדם (6)'!J2797&gt;=VLOOKUP(I2797,'סיווג התפקידים והעלויות'!$B$23:$C$32,2,0),"תקין","לא תקין"),""))</f>
        <v/>
      </c>
      <c r="R2797" s="199" t="str">
        <f t="shared" si="652"/>
        <v/>
      </c>
      <c r="S2797" s="199" t="str">
        <f t="shared" si="653"/>
        <v/>
      </c>
      <c r="T2797" s="199" t="str">
        <f t="shared" si="661"/>
        <v/>
      </c>
      <c r="U2797" s="199" t="str">
        <f t="shared" si="654"/>
        <v/>
      </c>
      <c r="V2797" s="989"/>
      <c r="X2797" s="374" t="str">
        <f t="shared" si="655"/>
        <v/>
      </c>
      <c r="Y2797" s="375" t="str">
        <f t="shared" si="656"/>
        <v/>
      </c>
      <c r="Z2797" s="374" t="str">
        <f t="shared" si="657"/>
        <v/>
      </c>
      <c r="AA2797" s="374" t="b">
        <f t="shared" si="658"/>
        <v>1</v>
      </c>
      <c r="AB2797" s="374">
        <f>COUNTIFS(B:B,B2797,H:H,'סיווג התפקידים והעלויות'!$C$2)</f>
        <v>0</v>
      </c>
      <c r="AC2797" s="374">
        <f>COUNTIFS(B:B,B2797,H:H,'סיווג התפקידים והעלויות'!$D$2)</f>
        <v>0</v>
      </c>
      <c r="AD2797" s="374" t="str">
        <f>IF(OR(AND(H2797='סיווג התפקידים והעלויות'!$A$2,I2797='סיווג התפקידים והעלויות'!$A$3),'עלויות כח אדם (6)'!H2797='סיווג התפקידים והעלויות'!$C$2,'עלויות כח אדם (6)'!H2797='סיווג התפקידים והעלויות'!$D$2),IF('עלויות כח אדם (6)'!J2797&lt;75,"לא תקין","תקין"),"")</f>
        <v/>
      </c>
      <c r="AE2797" s="374" t="str">
        <f t="shared" si="659"/>
        <v/>
      </c>
      <c r="AF2797" s="532" t="str">
        <f t="shared" si="660"/>
        <v/>
      </c>
    </row>
    <row r="2798" spans="2:32" x14ac:dyDescent="0.25">
      <c r="B2798" s="695"/>
      <c r="C2798" s="197" t="str">
        <f>IF(B2798&lt;&gt;"",IFERROR(VLOOKUP(B:B,'מצבת והרשמה (2)'!$C$20:$N$520,2,0)," ")," ")</f>
        <v xml:space="preserve"> </v>
      </c>
      <c r="D2798" s="695"/>
      <c r="E2798" s="696"/>
      <c r="F2798" s="696"/>
      <c r="G2798" s="696"/>
      <c r="H2798" s="696"/>
      <c r="I2798" s="1050" t="str">
        <f t="shared" si="647"/>
        <v/>
      </c>
      <c r="J2798" s="696"/>
      <c r="K2798" s="697"/>
      <c r="L2798" s="696"/>
      <c r="M2798" s="198" t="str">
        <f t="shared" si="648"/>
        <v/>
      </c>
      <c r="N2798" s="369" t="str">
        <f t="shared" si="649"/>
        <v/>
      </c>
      <c r="O2798" s="183" t="str">
        <f t="shared" si="650"/>
        <v/>
      </c>
      <c r="P2798" s="199" t="str">
        <f t="shared" si="651"/>
        <v/>
      </c>
      <c r="Q2798" s="199" t="str">
        <f>IF(B2798="","",IFERROR(IF('עלויות כח אדם (6)'!J2798&gt;=VLOOKUP(I2798,'סיווג התפקידים והעלויות'!$B$23:$C$32,2,0),"תקין","לא תקין"),""))</f>
        <v/>
      </c>
      <c r="R2798" s="199" t="str">
        <f t="shared" si="652"/>
        <v/>
      </c>
      <c r="S2798" s="199" t="str">
        <f t="shared" si="653"/>
        <v/>
      </c>
      <c r="T2798" s="199" t="str">
        <f t="shared" si="661"/>
        <v/>
      </c>
      <c r="U2798" s="199" t="str">
        <f t="shared" si="654"/>
        <v/>
      </c>
      <c r="V2798" s="989"/>
      <c r="X2798" s="374" t="str">
        <f t="shared" si="655"/>
        <v/>
      </c>
      <c r="Y2798" s="375" t="str">
        <f t="shared" si="656"/>
        <v/>
      </c>
      <c r="Z2798" s="374" t="str">
        <f t="shared" si="657"/>
        <v/>
      </c>
      <c r="AA2798" s="374" t="b">
        <f t="shared" si="658"/>
        <v>1</v>
      </c>
      <c r="AB2798" s="374">
        <f>COUNTIFS(B:B,B2798,H:H,'סיווג התפקידים והעלויות'!$C$2)</f>
        <v>0</v>
      </c>
      <c r="AC2798" s="374">
        <f>COUNTIFS(B:B,B2798,H:H,'סיווג התפקידים והעלויות'!$D$2)</f>
        <v>0</v>
      </c>
      <c r="AD2798" s="374" t="str">
        <f>IF(OR(AND(H2798='סיווג התפקידים והעלויות'!$A$2,I2798='סיווג התפקידים והעלויות'!$A$3),'עלויות כח אדם (6)'!H2798='סיווג התפקידים והעלויות'!$C$2,'עלויות כח אדם (6)'!H2798='סיווג התפקידים והעלויות'!$D$2),IF('עלויות כח אדם (6)'!J2798&lt;75,"לא תקין","תקין"),"")</f>
        <v/>
      </c>
      <c r="AE2798" s="374" t="str">
        <f t="shared" si="659"/>
        <v/>
      </c>
      <c r="AF2798" s="532" t="str">
        <f t="shared" si="660"/>
        <v/>
      </c>
    </row>
    <row r="2799" spans="2:32" x14ac:dyDescent="0.25">
      <c r="B2799" s="695"/>
      <c r="C2799" s="197" t="str">
        <f>IF(B2799&lt;&gt;"",IFERROR(VLOOKUP(B:B,'מצבת והרשמה (2)'!$C$20:$N$520,2,0)," ")," ")</f>
        <v xml:space="preserve"> </v>
      </c>
      <c r="D2799" s="695"/>
      <c r="E2799" s="696"/>
      <c r="F2799" s="696"/>
      <c r="G2799" s="696"/>
      <c r="H2799" s="696"/>
      <c r="I2799" s="1050" t="str">
        <f t="shared" si="647"/>
        <v/>
      </c>
      <c r="J2799" s="696"/>
      <c r="K2799" s="697"/>
      <c r="L2799" s="696"/>
      <c r="M2799" s="198" t="str">
        <f t="shared" si="648"/>
        <v/>
      </c>
      <c r="N2799" s="369" t="str">
        <f t="shared" si="649"/>
        <v/>
      </c>
      <c r="O2799" s="183" t="str">
        <f t="shared" si="650"/>
        <v/>
      </c>
      <c r="P2799" s="199" t="str">
        <f t="shared" si="651"/>
        <v/>
      </c>
      <c r="Q2799" s="199" t="str">
        <f>IF(B2799="","",IFERROR(IF('עלויות כח אדם (6)'!J2799&gt;=VLOOKUP(I2799,'סיווג התפקידים והעלויות'!$B$23:$C$32,2,0),"תקין","לא תקין"),""))</f>
        <v/>
      </c>
      <c r="R2799" s="199" t="str">
        <f t="shared" si="652"/>
        <v/>
      </c>
      <c r="S2799" s="199" t="str">
        <f t="shared" si="653"/>
        <v/>
      </c>
      <c r="T2799" s="199" t="str">
        <f t="shared" si="661"/>
        <v/>
      </c>
      <c r="U2799" s="199" t="str">
        <f t="shared" si="654"/>
        <v/>
      </c>
      <c r="V2799" s="989"/>
      <c r="X2799" s="374" t="str">
        <f t="shared" si="655"/>
        <v/>
      </c>
      <c r="Y2799" s="375" t="str">
        <f t="shared" si="656"/>
        <v/>
      </c>
      <c r="Z2799" s="374" t="str">
        <f t="shared" si="657"/>
        <v/>
      </c>
      <c r="AA2799" s="374" t="b">
        <f t="shared" si="658"/>
        <v>1</v>
      </c>
      <c r="AB2799" s="374">
        <f>COUNTIFS(B:B,B2799,H:H,'סיווג התפקידים והעלויות'!$C$2)</f>
        <v>0</v>
      </c>
      <c r="AC2799" s="374">
        <f>COUNTIFS(B:B,B2799,H:H,'סיווג התפקידים והעלויות'!$D$2)</f>
        <v>0</v>
      </c>
      <c r="AD2799" s="374" t="str">
        <f>IF(OR(AND(H2799='סיווג התפקידים והעלויות'!$A$2,I2799='סיווג התפקידים והעלויות'!$A$3),'עלויות כח אדם (6)'!H2799='סיווג התפקידים והעלויות'!$C$2,'עלויות כח אדם (6)'!H2799='סיווג התפקידים והעלויות'!$D$2),IF('עלויות כח אדם (6)'!J2799&lt;75,"לא תקין","תקין"),"")</f>
        <v/>
      </c>
      <c r="AE2799" s="374" t="str">
        <f t="shared" si="659"/>
        <v/>
      </c>
      <c r="AF2799" s="532" t="str">
        <f t="shared" si="660"/>
        <v/>
      </c>
    </row>
    <row r="2800" spans="2:32" x14ac:dyDescent="0.25">
      <c r="B2800" s="695"/>
      <c r="C2800" s="197" t="str">
        <f>IF(B2800&lt;&gt;"",IFERROR(VLOOKUP(B:B,'מצבת והרשמה (2)'!$C$20:$N$520,2,0)," ")," ")</f>
        <v xml:space="preserve"> </v>
      </c>
      <c r="D2800" s="695"/>
      <c r="E2800" s="696"/>
      <c r="F2800" s="696"/>
      <c r="G2800" s="696"/>
      <c r="H2800" s="696"/>
      <c r="I2800" s="1050" t="str">
        <f t="shared" si="647"/>
        <v/>
      </c>
      <c r="J2800" s="696"/>
      <c r="K2800" s="697"/>
      <c r="L2800" s="696"/>
      <c r="M2800" s="198" t="str">
        <f t="shared" si="648"/>
        <v/>
      </c>
      <c r="N2800" s="369" t="str">
        <f t="shared" si="649"/>
        <v/>
      </c>
      <c r="O2800" s="183" t="str">
        <f t="shared" si="650"/>
        <v/>
      </c>
      <c r="P2800" s="199" t="str">
        <f t="shared" si="651"/>
        <v/>
      </c>
      <c r="Q2800" s="199" t="str">
        <f>IF(B2800="","",IFERROR(IF('עלויות כח אדם (6)'!J2800&gt;=VLOOKUP(I2800,'סיווג התפקידים והעלויות'!$B$23:$C$32,2,0),"תקין","לא תקין"),""))</f>
        <v/>
      </c>
      <c r="R2800" s="199" t="str">
        <f t="shared" si="652"/>
        <v/>
      </c>
      <c r="S2800" s="199" t="str">
        <f t="shared" si="653"/>
        <v/>
      </c>
      <c r="T2800" s="199" t="str">
        <f t="shared" si="661"/>
        <v/>
      </c>
      <c r="U2800" s="199" t="str">
        <f t="shared" si="654"/>
        <v/>
      </c>
      <c r="V2800" s="989"/>
      <c r="X2800" s="374" t="str">
        <f t="shared" si="655"/>
        <v/>
      </c>
      <c r="Y2800" s="375" t="str">
        <f t="shared" si="656"/>
        <v/>
      </c>
      <c r="Z2800" s="374" t="str">
        <f t="shared" si="657"/>
        <v/>
      </c>
      <c r="AA2800" s="374" t="b">
        <f t="shared" si="658"/>
        <v>1</v>
      </c>
      <c r="AB2800" s="374">
        <f>COUNTIFS(B:B,B2800,H:H,'סיווג התפקידים והעלויות'!$C$2)</f>
        <v>0</v>
      </c>
      <c r="AC2800" s="374">
        <f>COUNTIFS(B:B,B2800,H:H,'סיווג התפקידים והעלויות'!$D$2)</f>
        <v>0</v>
      </c>
      <c r="AD2800" s="374" t="str">
        <f>IF(OR(AND(H2800='סיווג התפקידים והעלויות'!$A$2,I2800='סיווג התפקידים והעלויות'!$A$3),'עלויות כח אדם (6)'!H2800='סיווג התפקידים והעלויות'!$C$2,'עלויות כח אדם (6)'!H2800='סיווג התפקידים והעלויות'!$D$2),IF('עלויות כח אדם (6)'!J2800&lt;75,"לא תקין","תקין"),"")</f>
        <v/>
      </c>
      <c r="AE2800" s="374" t="str">
        <f t="shared" si="659"/>
        <v/>
      </c>
      <c r="AF2800" s="532" t="str">
        <f t="shared" si="660"/>
        <v/>
      </c>
    </row>
    <row r="2801" spans="2:32" x14ac:dyDescent="0.25">
      <c r="B2801" s="695"/>
      <c r="C2801" s="197" t="str">
        <f>IF(B2801&lt;&gt;"",IFERROR(VLOOKUP(B:B,'מצבת והרשמה (2)'!$C$20:$N$520,2,0)," ")," ")</f>
        <v xml:space="preserve"> </v>
      </c>
      <c r="D2801" s="695"/>
      <c r="E2801" s="696"/>
      <c r="F2801" s="696"/>
      <c r="G2801" s="696"/>
      <c r="H2801" s="696"/>
      <c r="I2801" s="1050" t="str">
        <f t="shared" si="647"/>
        <v/>
      </c>
      <c r="J2801" s="696"/>
      <c r="K2801" s="697"/>
      <c r="L2801" s="696"/>
      <c r="M2801" s="198" t="str">
        <f t="shared" si="648"/>
        <v/>
      </c>
      <c r="N2801" s="369" t="str">
        <f t="shared" si="649"/>
        <v/>
      </c>
      <c r="O2801" s="183" t="str">
        <f t="shared" si="650"/>
        <v/>
      </c>
      <c r="P2801" s="199" t="str">
        <f t="shared" si="651"/>
        <v/>
      </c>
      <c r="Q2801" s="199" t="str">
        <f>IF(B2801="","",IFERROR(IF('עלויות כח אדם (6)'!J2801&gt;=VLOOKUP(I2801,'סיווג התפקידים והעלויות'!$B$23:$C$32,2,0),"תקין","לא תקין"),""))</f>
        <v/>
      </c>
      <c r="R2801" s="199" t="str">
        <f t="shared" si="652"/>
        <v/>
      </c>
      <c r="S2801" s="199" t="str">
        <f t="shared" si="653"/>
        <v/>
      </c>
      <c r="T2801" s="199" t="str">
        <f t="shared" si="661"/>
        <v/>
      </c>
      <c r="U2801" s="199" t="str">
        <f t="shared" si="654"/>
        <v/>
      </c>
      <c r="V2801" s="989"/>
      <c r="X2801" s="374" t="str">
        <f t="shared" si="655"/>
        <v/>
      </c>
      <c r="Y2801" s="375" t="str">
        <f t="shared" si="656"/>
        <v/>
      </c>
      <c r="Z2801" s="374" t="str">
        <f t="shared" si="657"/>
        <v/>
      </c>
      <c r="AA2801" s="374" t="b">
        <f t="shared" si="658"/>
        <v>1</v>
      </c>
      <c r="AB2801" s="374">
        <f>COUNTIFS(B:B,B2801,H:H,'סיווג התפקידים והעלויות'!$C$2)</f>
        <v>0</v>
      </c>
      <c r="AC2801" s="374">
        <f>COUNTIFS(B:B,B2801,H:H,'סיווג התפקידים והעלויות'!$D$2)</f>
        <v>0</v>
      </c>
      <c r="AD2801" s="374" t="str">
        <f>IF(OR(AND(H2801='סיווג התפקידים והעלויות'!$A$2,I2801='סיווג התפקידים והעלויות'!$A$3),'עלויות כח אדם (6)'!H2801='סיווג התפקידים והעלויות'!$C$2,'עלויות כח אדם (6)'!H2801='סיווג התפקידים והעלויות'!$D$2),IF('עלויות כח אדם (6)'!J2801&lt;75,"לא תקין","תקין"),"")</f>
        <v/>
      </c>
      <c r="AE2801" s="374" t="str">
        <f t="shared" si="659"/>
        <v/>
      </c>
      <c r="AF2801" s="532" t="str">
        <f t="shared" si="660"/>
        <v/>
      </c>
    </row>
    <row r="2802" spans="2:32" x14ac:dyDescent="0.25">
      <c r="B2802" s="695"/>
      <c r="C2802" s="197" t="str">
        <f>IF(B2802&lt;&gt;"",IFERROR(VLOOKUP(B:B,'מצבת והרשמה (2)'!$C$20:$N$520,2,0)," ")," ")</f>
        <v xml:space="preserve"> </v>
      </c>
      <c r="D2802" s="695"/>
      <c r="E2802" s="696"/>
      <c r="F2802" s="696"/>
      <c r="G2802" s="696"/>
      <c r="H2802" s="696"/>
      <c r="I2802" s="1050" t="str">
        <f t="shared" si="647"/>
        <v/>
      </c>
      <c r="J2802" s="696"/>
      <c r="K2802" s="697"/>
      <c r="L2802" s="696"/>
      <c r="M2802" s="198" t="str">
        <f t="shared" si="648"/>
        <v/>
      </c>
      <c r="N2802" s="369" t="str">
        <f t="shared" si="649"/>
        <v/>
      </c>
      <c r="O2802" s="183" t="str">
        <f t="shared" si="650"/>
        <v/>
      </c>
      <c r="P2802" s="199" t="str">
        <f t="shared" si="651"/>
        <v/>
      </c>
      <c r="Q2802" s="199" t="str">
        <f>IF(B2802="","",IFERROR(IF('עלויות כח אדם (6)'!J2802&gt;=VLOOKUP(I2802,'סיווג התפקידים והעלויות'!$B$23:$C$32,2,0),"תקין","לא תקין"),""))</f>
        <v/>
      </c>
      <c r="R2802" s="199" t="str">
        <f t="shared" si="652"/>
        <v/>
      </c>
      <c r="S2802" s="199" t="str">
        <f t="shared" si="653"/>
        <v/>
      </c>
      <c r="T2802" s="199" t="str">
        <f t="shared" si="661"/>
        <v/>
      </c>
      <c r="U2802" s="199" t="str">
        <f t="shared" si="654"/>
        <v/>
      </c>
      <c r="V2802" s="989"/>
      <c r="X2802" s="374" t="str">
        <f t="shared" si="655"/>
        <v/>
      </c>
      <c r="Y2802" s="375" t="str">
        <f t="shared" si="656"/>
        <v/>
      </c>
      <c r="Z2802" s="374" t="str">
        <f t="shared" si="657"/>
        <v/>
      </c>
      <c r="AA2802" s="374" t="b">
        <f t="shared" si="658"/>
        <v>1</v>
      </c>
      <c r="AB2802" s="374">
        <f>COUNTIFS(B:B,B2802,H:H,'סיווג התפקידים והעלויות'!$C$2)</f>
        <v>0</v>
      </c>
      <c r="AC2802" s="374">
        <f>COUNTIFS(B:B,B2802,H:H,'סיווג התפקידים והעלויות'!$D$2)</f>
        <v>0</v>
      </c>
      <c r="AD2802" s="374" t="str">
        <f>IF(OR(AND(H2802='סיווג התפקידים והעלויות'!$A$2,I2802='סיווג התפקידים והעלויות'!$A$3),'עלויות כח אדם (6)'!H2802='סיווג התפקידים והעלויות'!$C$2,'עלויות כח אדם (6)'!H2802='סיווג התפקידים והעלויות'!$D$2),IF('עלויות כח אדם (6)'!J2802&lt;75,"לא תקין","תקין"),"")</f>
        <v/>
      </c>
      <c r="AE2802" s="374" t="str">
        <f t="shared" si="659"/>
        <v/>
      </c>
      <c r="AF2802" s="532" t="str">
        <f t="shared" si="660"/>
        <v/>
      </c>
    </row>
    <row r="2803" spans="2:32" x14ac:dyDescent="0.25">
      <c r="B2803" s="695"/>
      <c r="C2803" s="197" t="str">
        <f>IF(B2803&lt;&gt;"",IFERROR(VLOOKUP(B:B,'מצבת והרשמה (2)'!$C$20:$N$520,2,0)," ")," ")</f>
        <v xml:space="preserve"> </v>
      </c>
      <c r="D2803" s="695"/>
      <c r="E2803" s="696"/>
      <c r="F2803" s="696"/>
      <c r="G2803" s="696"/>
      <c r="H2803" s="696"/>
      <c r="I2803" s="1050" t="str">
        <f t="shared" si="647"/>
        <v/>
      </c>
      <c r="J2803" s="696"/>
      <c r="K2803" s="697"/>
      <c r="L2803" s="696"/>
      <c r="M2803" s="198" t="str">
        <f t="shared" si="648"/>
        <v/>
      </c>
      <c r="N2803" s="369" t="str">
        <f t="shared" si="649"/>
        <v/>
      </c>
      <c r="O2803" s="183" t="str">
        <f t="shared" si="650"/>
        <v/>
      </c>
      <c r="P2803" s="199" t="str">
        <f t="shared" si="651"/>
        <v/>
      </c>
      <c r="Q2803" s="199" t="str">
        <f>IF(B2803="","",IFERROR(IF('עלויות כח אדם (6)'!J2803&gt;=VLOOKUP(I2803,'סיווג התפקידים והעלויות'!$B$23:$C$32,2,0),"תקין","לא תקין"),""))</f>
        <v/>
      </c>
      <c r="R2803" s="199" t="str">
        <f t="shared" si="652"/>
        <v/>
      </c>
      <c r="S2803" s="199" t="str">
        <f t="shared" si="653"/>
        <v/>
      </c>
      <c r="T2803" s="199" t="str">
        <f t="shared" si="661"/>
        <v/>
      </c>
      <c r="U2803" s="199" t="str">
        <f t="shared" si="654"/>
        <v/>
      </c>
      <c r="V2803" s="989"/>
      <c r="X2803" s="374" t="str">
        <f t="shared" si="655"/>
        <v/>
      </c>
      <c r="Y2803" s="375" t="str">
        <f t="shared" si="656"/>
        <v/>
      </c>
      <c r="Z2803" s="374" t="str">
        <f t="shared" si="657"/>
        <v/>
      </c>
      <c r="AA2803" s="374" t="b">
        <f t="shared" si="658"/>
        <v>1</v>
      </c>
      <c r="AB2803" s="374">
        <f>COUNTIFS(B:B,B2803,H:H,'סיווג התפקידים והעלויות'!$C$2)</f>
        <v>0</v>
      </c>
      <c r="AC2803" s="374">
        <f>COUNTIFS(B:B,B2803,H:H,'סיווג התפקידים והעלויות'!$D$2)</f>
        <v>0</v>
      </c>
      <c r="AD2803" s="374" t="str">
        <f>IF(OR(AND(H2803='סיווג התפקידים והעלויות'!$A$2,I2803='סיווג התפקידים והעלויות'!$A$3),'עלויות כח אדם (6)'!H2803='סיווג התפקידים והעלויות'!$C$2,'עלויות כח אדם (6)'!H2803='סיווג התפקידים והעלויות'!$D$2),IF('עלויות כח אדם (6)'!J2803&lt;75,"לא תקין","תקין"),"")</f>
        <v/>
      </c>
      <c r="AE2803" s="374" t="str">
        <f t="shared" si="659"/>
        <v/>
      </c>
      <c r="AF2803" s="532" t="str">
        <f t="shared" si="660"/>
        <v/>
      </c>
    </row>
    <row r="2804" spans="2:32" x14ac:dyDescent="0.25">
      <c r="B2804" s="695"/>
      <c r="C2804" s="197" t="str">
        <f>IF(B2804&lt;&gt;"",IFERROR(VLOOKUP(B:B,'מצבת והרשמה (2)'!$C$20:$N$520,2,0)," ")," ")</f>
        <v xml:space="preserve"> </v>
      </c>
      <c r="D2804" s="695"/>
      <c r="E2804" s="696"/>
      <c r="F2804" s="696"/>
      <c r="G2804" s="696"/>
      <c r="H2804" s="696"/>
      <c r="I2804" s="1050" t="str">
        <f t="shared" si="647"/>
        <v/>
      </c>
      <c r="J2804" s="696"/>
      <c r="K2804" s="697"/>
      <c r="L2804" s="696"/>
      <c r="M2804" s="198" t="str">
        <f t="shared" si="648"/>
        <v/>
      </c>
      <c r="N2804" s="369" t="str">
        <f t="shared" si="649"/>
        <v/>
      </c>
      <c r="O2804" s="183" t="str">
        <f t="shared" si="650"/>
        <v/>
      </c>
      <c r="P2804" s="199" t="str">
        <f t="shared" si="651"/>
        <v/>
      </c>
      <c r="Q2804" s="199" t="str">
        <f>IF(B2804="","",IFERROR(IF('עלויות כח אדם (6)'!J2804&gt;=VLOOKUP(I2804,'סיווג התפקידים והעלויות'!$B$23:$C$32,2,0),"תקין","לא תקין"),""))</f>
        <v/>
      </c>
      <c r="R2804" s="199" t="str">
        <f t="shared" si="652"/>
        <v/>
      </c>
      <c r="S2804" s="199" t="str">
        <f t="shared" si="653"/>
        <v/>
      </c>
      <c r="T2804" s="199" t="str">
        <f t="shared" si="661"/>
        <v/>
      </c>
      <c r="U2804" s="199" t="str">
        <f t="shared" si="654"/>
        <v/>
      </c>
      <c r="V2804" s="989"/>
      <c r="X2804" s="374" t="str">
        <f t="shared" si="655"/>
        <v/>
      </c>
      <c r="Y2804" s="375" t="str">
        <f t="shared" si="656"/>
        <v/>
      </c>
      <c r="Z2804" s="374" t="str">
        <f t="shared" si="657"/>
        <v/>
      </c>
      <c r="AA2804" s="374" t="b">
        <f t="shared" si="658"/>
        <v>1</v>
      </c>
      <c r="AB2804" s="374">
        <f>COUNTIFS(B:B,B2804,H:H,'סיווג התפקידים והעלויות'!$C$2)</f>
        <v>0</v>
      </c>
      <c r="AC2804" s="374">
        <f>COUNTIFS(B:B,B2804,H:H,'סיווג התפקידים והעלויות'!$D$2)</f>
        <v>0</v>
      </c>
      <c r="AD2804" s="374" t="str">
        <f>IF(OR(AND(H2804='סיווג התפקידים והעלויות'!$A$2,I2804='סיווג התפקידים והעלויות'!$A$3),'עלויות כח אדם (6)'!H2804='סיווג התפקידים והעלויות'!$C$2,'עלויות כח אדם (6)'!H2804='סיווג התפקידים והעלויות'!$D$2),IF('עלויות כח אדם (6)'!J2804&lt;75,"לא תקין","תקין"),"")</f>
        <v/>
      </c>
      <c r="AE2804" s="374" t="str">
        <f t="shared" si="659"/>
        <v/>
      </c>
      <c r="AF2804" s="532" t="str">
        <f t="shared" si="660"/>
        <v/>
      </c>
    </row>
    <row r="2805" spans="2:32" x14ac:dyDescent="0.25">
      <c r="B2805" s="695"/>
      <c r="C2805" s="197" t="str">
        <f>IF(B2805&lt;&gt;"",IFERROR(VLOOKUP(B:B,'מצבת והרשמה (2)'!$C$20:$N$520,2,0)," ")," ")</f>
        <v xml:space="preserve"> </v>
      </c>
      <c r="D2805" s="695"/>
      <c r="E2805" s="696"/>
      <c r="F2805" s="696"/>
      <c r="G2805" s="696"/>
      <c r="H2805" s="696"/>
      <c r="I2805" s="1050" t="str">
        <f t="shared" si="647"/>
        <v/>
      </c>
      <c r="J2805" s="696"/>
      <c r="K2805" s="697"/>
      <c r="L2805" s="696"/>
      <c r="M2805" s="198" t="str">
        <f t="shared" si="648"/>
        <v/>
      </c>
      <c r="N2805" s="369" t="str">
        <f t="shared" si="649"/>
        <v/>
      </c>
      <c r="O2805" s="183" t="str">
        <f t="shared" si="650"/>
        <v/>
      </c>
      <c r="P2805" s="199" t="str">
        <f t="shared" si="651"/>
        <v/>
      </c>
      <c r="Q2805" s="199" t="str">
        <f>IF(B2805="","",IFERROR(IF('עלויות כח אדם (6)'!J2805&gt;=VLOOKUP(I2805,'סיווג התפקידים והעלויות'!$B$23:$C$32,2,0),"תקין","לא תקין"),""))</f>
        <v/>
      </c>
      <c r="R2805" s="199" t="str">
        <f t="shared" si="652"/>
        <v/>
      </c>
      <c r="S2805" s="199" t="str">
        <f t="shared" si="653"/>
        <v/>
      </c>
      <c r="T2805" s="199" t="str">
        <f t="shared" si="661"/>
        <v/>
      </c>
      <c r="U2805" s="199" t="str">
        <f t="shared" si="654"/>
        <v/>
      </c>
      <c r="V2805" s="989"/>
      <c r="X2805" s="374" t="str">
        <f t="shared" si="655"/>
        <v/>
      </c>
      <c r="Y2805" s="375" t="str">
        <f t="shared" si="656"/>
        <v/>
      </c>
      <c r="Z2805" s="374" t="str">
        <f t="shared" si="657"/>
        <v/>
      </c>
      <c r="AA2805" s="374" t="b">
        <f t="shared" si="658"/>
        <v>1</v>
      </c>
      <c r="AB2805" s="374">
        <f>COUNTIFS(B:B,B2805,H:H,'סיווג התפקידים והעלויות'!$C$2)</f>
        <v>0</v>
      </c>
      <c r="AC2805" s="374">
        <f>COUNTIFS(B:B,B2805,H:H,'סיווג התפקידים והעלויות'!$D$2)</f>
        <v>0</v>
      </c>
      <c r="AD2805" s="374" t="str">
        <f>IF(OR(AND(H2805='סיווג התפקידים והעלויות'!$A$2,I2805='סיווג התפקידים והעלויות'!$A$3),'עלויות כח אדם (6)'!H2805='סיווג התפקידים והעלויות'!$C$2,'עלויות כח אדם (6)'!H2805='סיווג התפקידים והעלויות'!$D$2),IF('עלויות כח אדם (6)'!J2805&lt;75,"לא תקין","תקין"),"")</f>
        <v/>
      </c>
      <c r="AE2805" s="374" t="str">
        <f t="shared" si="659"/>
        <v/>
      </c>
      <c r="AF2805" s="532" t="str">
        <f t="shared" si="660"/>
        <v/>
      </c>
    </row>
    <row r="2806" spans="2:32" x14ac:dyDescent="0.25">
      <c r="B2806" s="695"/>
      <c r="C2806" s="197" t="str">
        <f>IF(B2806&lt;&gt;"",IFERROR(VLOOKUP(B:B,'מצבת והרשמה (2)'!$C$20:$N$520,2,0)," ")," ")</f>
        <v xml:space="preserve"> </v>
      </c>
      <c r="D2806" s="695"/>
      <c r="E2806" s="696"/>
      <c r="F2806" s="696"/>
      <c r="G2806" s="696"/>
      <c r="H2806" s="696"/>
      <c r="I2806" s="1050" t="str">
        <f t="shared" si="647"/>
        <v/>
      </c>
      <c r="J2806" s="696"/>
      <c r="K2806" s="697"/>
      <c r="L2806" s="696"/>
      <c r="M2806" s="198" t="str">
        <f t="shared" si="648"/>
        <v/>
      </c>
      <c r="N2806" s="369" t="str">
        <f t="shared" si="649"/>
        <v/>
      </c>
      <c r="O2806" s="183" t="str">
        <f t="shared" si="650"/>
        <v/>
      </c>
      <c r="P2806" s="199" t="str">
        <f t="shared" si="651"/>
        <v/>
      </c>
      <c r="Q2806" s="199" t="str">
        <f>IF(B2806="","",IFERROR(IF('עלויות כח אדם (6)'!J2806&gt;=VLOOKUP(I2806,'סיווג התפקידים והעלויות'!$B$23:$C$32,2,0),"תקין","לא תקין"),""))</f>
        <v/>
      </c>
      <c r="R2806" s="199" t="str">
        <f t="shared" si="652"/>
        <v/>
      </c>
      <c r="S2806" s="199" t="str">
        <f t="shared" si="653"/>
        <v/>
      </c>
      <c r="T2806" s="199" t="str">
        <f t="shared" si="661"/>
        <v/>
      </c>
      <c r="U2806" s="199" t="str">
        <f t="shared" si="654"/>
        <v/>
      </c>
      <c r="V2806" s="989"/>
      <c r="X2806" s="374" t="str">
        <f t="shared" si="655"/>
        <v/>
      </c>
      <c r="Y2806" s="375" t="str">
        <f t="shared" si="656"/>
        <v/>
      </c>
      <c r="Z2806" s="374" t="str">
        <f t="shared" si="657"/>
        <v/>
      </c>
      <c r="AA2806" s="374" t="b">
        <f t="shared" si="658"/>
        <v>1</v>
      </c>
      <c r="AB2806" s="374">
        <f>COUNTIFS(B:B,B2806,H:H,'סיווג התפקידים והעלויות'!$C$2)</f>
        <v>0</v>
      </c>
      <c r="AC2806" s="374">
        <f>COUNTIFS(B:B,B2806,H:H,'סיווג התפקידים והעלויות'!$D$2)</f>
        <v>0</v>
      </c>
      <c r="AD2806" s="374" t="str">
        <f>IF(OR(AND(H2806='סיווג התפקידים והעלויות'!$A$2,I2806='סיווג התפקידים והעלויות'!$A$3),'עלויות כח אדם (6)'!H2806='סיווג התפקידים והעלויות'!$C$2,'עלויות כח אדם (6)'!H2806='סיווג התפקידים והעלויות'!$D$2),IF('עלויות כח אדם (6)'!J2806&lt;75,"לא תקין","תקין"),"")</f>
        <v/>
      </c>
      <c r="AE2806" s="374" t="str">
        <f t="shared" si="659"/>
        <v/>
      </c>
      <c r="AF2806" s="532" t="str">
        <f t="shared" si="660"/>
        <v/>
      </c>
    </row>
    <row r="2807" spans="2:32" x14ac:dyDescent="0.25">
      <c r="B2807" s="695"/>
      <c r="C2807" s="197" t="str">
        <f>IF(B2807&lt;&gt;"",IFERROR(VLOOKUP(B:B,'מצבת והרשמה (2)'!$C$20:$N$520,2,0)," ")," ")</f>
        <v xml:space="preserve"> </v>
      </c>
      <c r="D2807" s="695"/>
      <c r="E2807" s="696"/>
      <c r="F2807" s="696"/>
      <c r="G2807" s="696"/>
      <c r="H2807" s="696"/>
      <c r="I2807" s="1050" t="str">
        <f t="shared" si="647"/>
        <v/>
      </c>
      <c r="J2807" s="696"/>
      <c r="K2807" s="697"/>
      <c r="L2807" s="696"/>
      <c r="M2807" s="198" t="str">
        <f t="shared" si="648"/>
        <v/>
      </c>
      <c r="N2807" s="369" t="str">
        <f t="shared" si="649"/>
        <v/>
      </c>
      <c r="O2807" s="183" t="str">
        <f t="shared" si="650"/>
        <v/>
      </c>
      <c r="P2807" s="199" t="str">
        <f t="shared" si="651"/>
        <v/>
      </c>
      <c r="Q2807" s="199" t="str">
        <f>IF(B2807="","",IFERROR(IF('עלויות כח אדם (6)'!J2807&gt;=VLOOKUP(I2807,'סיווג התפקידים והעלויות'!$B$23:$C$32,2,0),"תקין","לא תקין"),""))</f>
        <v/>
      </c>
      <c r="R2807" s="199" t="str">
        <f t="shared" si="652"/>
        <v/>
      </c>
      <c r="S2807" s="199" t="str">
        <f t="shared" si="653"/>
        <v/>
      </c>
      <c r="T2807" s="199" t="str">
        <f t="shared" si="661"/>
        <v/>
      </c>
      <c r="U2807" s="199" t="str">
        <f t="shared" si="654"/>
        <v/>
      </c>
      <c r="V2807" s="989"/>
      <c r="X2807" s="374" t="str">
        <f t="shared" si="655"/>
        <v/>
      </c>
      <c r="Y2807" s="375" t="str">
        <f t="shared" si="656"/>
        <v/>
      </c>
      <c r="Z2807" s="374" t="str">
        <f t="shared" si="657"/>
        <v/>
      </c>
      <c r="AA2807" s="374" t="b">
        <f t="shared" si="658"/>
        <v>1</v>
      </c>
      <c r="AB2807" s="374">
        <f>COUNTIFS(B:B,B2807,H:H,'סיווג התפקידים והעלויות'!$C$2)</f>
        <v>0</v>
      </c>
      <c r="AC2807" s="374">
        <f>COUNTIFS(B:B,B2807,H:H,'סיווג התפקידים והעלויות'!$D$2)</f>
        <v>0</v>
      </c>
      <c r="AD2807" s="374" t="str">
        <f>IF(OR(AND(H2807='סיווג התפקידים והעלויות'!$A$2,I2807='סיווג התפקידים והעלויות'!$A$3),'עלויות כח אדם (6)'!H2807='סיווג התפקידים והעלויות'!$C$2,'עלויות כח אדם (6)'!H2807='סיווג התפקידים והעלויות'!$D$2),IF('עלויות כח אדם (6)'!J2807&lt;75,"לא תקין","תקין"),"")</f>
        <v/>
      </c>
      <c r="AE2807" s="374" t="str">
        <f t="shared" si="659"/>
        <v/>
      </c>
      <c r="AF2807" s="532" t="str">
        <f t="shared" si="660"/>
        <v/>
      </c>
    </row>
    <row r="2808" spans="2:32" x14ac:dyDescent="0.25">
      <c r="B2808" s="695"/>
      <c r="C2808" s="197" t="str">
        <f>IF(B2808&lt;&gt;"",IFERROR(VLOOKUP(B:B,'מצבת והרשמה (2)'!$C$20:$N$520,2,0)," ")," ")</f>
        <v xml:space="preserve"> </v>
      </c>
      <c r="D2808" s="695"/>
      <c r="E2808" s="696"/>
      <c r="F2808" s="696"/>
      <c r="G2808" s="696"/>
      <c r="H2808" s="696"/>
      <c r="I2808" s="1050" t="str">
        <f t="shared" si="647"/>
        <v/>
      </c>
      <c r="J2808" s="696"/>
      <c r="K2808" s="697"/>
      <c r="L2808" s="696"/>
      <c r="M2808" s="198" t="str">
        <f t="shared" si="648"/>
        <v/>
      </c>
      <c r="N2808" s="369" t="str">
        <f t="shared" si="649"/>
        <v/>
      </c>
      <c r="O2808" s="183" t="str">
        <f t="shared" si="650"/>
        <v/>
      </c>
      <c r="P2808" s="199" t="str">
        <f t="shared" si="651"/>
        <v/>
      </c>
      <c r="Q2808" s="199" t="str">
        <f>IF(B2808="","",IFERROR(IF('עלויות כח אדם (6)'!J2808&gt;=VLOOKUP(I2808,'סיווג התפקידים והעלויות'!$B$23:$C$32,2,0),"תקין","לא תקין"),""))</f>
        <v/>
      </c>
      <c r="R2808" s="199" t="str">
        <f t="shared" si="652"/>
        <v/>
      </c>
      <c r="S2808" s="199" t="str">
        <f t="shared" si="653"/>
        <v/>
      </c>
      <c r="T2808" s="199" t="str">
        <f t="shared" si="661"/>
        <v/>
      </c>
      <c r="U2808" s="199" t="str">
        <f t="shared" si="654"/>
        <v/>
      </c>
      <c r="V2808" s="989"/>
      <c r="X2808" s="374" t="str">
        <f t="shared" si="655"/>
        <v/>
      </c>
      <c r="Y2808" s="375" t="str">
        <f t="shared" si="656"/>
        <v/>
      </c>
      <c r="Z2808" s="374" t="str">
        <f t="shared" si="657"/>
        <v/>
      </c>
      <c r="AA2808" s="374" t="b">
        <f t="shared" si="658"/>
        <v>1</v>
      </c>
      <c r="AB2808" s="374">
        <f>COUNTIFS(B:B,B2808,H:H,'סיווג התפקידים והעלויות'!$C$2)</f>
        <v>0</v>
      </c>
      <c r="AC2808" s="374">
        <f>COUNTIFS(B:B,B2808,H:H,'סיווג התפקידים והעלויות'!$D$2)</f>
        <v>0</v>
      </c>
      <c r="AD2808" s="374" t="str">
        <f>IF(OR(AND(H2808='סיווג התפקידים והעלויות'!$A$2,I2808='סיווג התפקידים והעלויות'!$A$3),'עלויות כח אדם (6)'!H2808='סיווג התפקידים והעלויות'!$C$2,'עלויות כח אדם (6)'!H2808='סיווג התפקידים והעלויות'!$D$2),IF('עלויות כח אדם (6)'!J2808&lt;75,"לא תקין","תקין"),"")</f>
        <v/>
      </c>
      <c r="AE2808" s="374" t="str">
        <f t="shared" si="659"/>
        <v/>
      </c>
      <c r="AF2808" s="532" t="str">
        <f t="shared" si="660"/>
        <v/>
      </c>
    </row>
    <row r="2809" spans="2:32" x14ac:dyDescent="0.25">
      <c r="B2809" s="695"/>
      <c r="C2809" s="197" t="str">
        <f>IF(B2809&lt;&gt;"",IFERROR(VLOOKUP(B:B,'מצבת והרשמה (2)'!$C$20:$N$520,2,0)," ")," ")</f>
        <v xml:space="preserve"> </v>
      </c>
      <c r="D2809" s="695"/>
      <c r="E2809" s="696"/>
      <c r="F2809" s="696"/>
      <c r="G2809" s="696"/>
      <c r="H2809" s="696"/>
      <c r="I2809" s="1050" t="str">
        <f t="shared" si="647"/>
        <v/>
      </c>
      <c r="J2809" s="696"/>
      <c r="K2809" s="697"/>
      <c r="L2809" s="696"/>
      <c r="M2809" s="198" t="str">
        <f t="shared" si="648"/>
        <v/>
      </c>
      <c r="N2809" s="369" t="str">
        <f t="shared" si="649"/>
        <v/>
      </c>
      <c r="O2809" s="183" t="str">
        <f t="shared" si="650"/>
        <v/>
      </c>
      <c r="P2809" s="199" t="str">
        <f t="shared" si="651"/>
        <v/>
      </c>
      <c r="Q2809" s="199" t="str">
        <f>IF(B2809="","",IFERROR(IF('עלויות כח אדם (6)'!J2809&gt;=VLOOKUP(I2809,'סיווג התפקידים והעלויות'!$B$23:$C$32,2,0),"תקין","לא תקין"),""))</f>
        <v/>
      </c>
      <c r="R2809" s="199" t="str">
        <f t="shared" si="652"/>
        <v/>
      </c>
      <c r="S2809" s="199" t="str">
        <f t="shared" si="653"/>
        <v/>
      </c>
      <c r="T2809" s="199" t="str">
        <f t="shared" si="661"/>
        <v/>
      </c>
      <c r="U2809" s="199" t="str">
        <f t="shared" si="654"/>
        <v/>
      </c>
      <c r="V2809" s="989"/>
      <c r="X2809" s="374" t="str">
        <f t="shared" si="655"/>
        <v/>
      </c>
      <c r="Y2809" s="375" t="str">
        <f t="shared" si="656"/>
        <v/>
      </c>
      <c r="Z2809" s="374" t="str">
        <f t="shared" si="657"/>
        <v/>
      </c>
      <c r="AA2809" s="374" t="b">
        <f t="shared" si="658"/>
        <v>1</v>
      </c>
      <c r="AB2809" s="374">
        <f>COUNTIFS(B:B,B2809,H:H,'סיווג התפקידים והעלויות'!$C$2)</f>
        <v>0</v>
      </c>
      <c r="AC2809" s="374">
        <f>COUNTIFS(B:B,B2809,H:H,'סיווג התפקידים והעלויות'!$D$2)</f>
        <v>0</v>
      </c>
      <c r="AD2809" s="374" t="str">
        <f>IF(OR(AND(H2809='סיווג התפקידים והעלויות'!$A$2,I2809='סיווג התפקידים והעלויות'!$A$3),'עלויות כח אדם (6)'!H2809='סיווג התפקידים והעלויות'!$C$2,'עלויות כח אדם (6)'!H2809='סיווג התפקידים והעלויות'!$D$2),IF('עלויות כח אדם (6)'!J2809&lt;75,"לא תקין","תקין"),"")</f>
        <v/>
      </c>
      <c r="AE2809" s="374" t="str">
        <f t="shared" si="659"/>
        <v/>
      </c>
      <c r="AF2809" s="532" t="str">
        <f t="shared" si="660"/>
        <v/>
      </c>
    </row>
    <row r="2810" spans="2:32" x14ac:dyDescent="0.25">
      <c r="B2810" s="695"/>
      <c r="C2810" s="197" t="str">
        <f>IF(B2810&lt;&gt;"",IFERROR(VLOOKUP(B:B,'מצבת והרשמה (2)'!$C$20:$N$520,2,0)," ")," ")</f>
        <v xml:space="preserve"> </v>
      </c>
      <c r="D2810" s="695"/>
      <c r="E2810" s="696"/>
      <c r="F2810" s="696"/>
      <c r="G2810" s="696"/>
      <c r="H2810" s="696"/>
      <c r="I2810" s="1050" t="str">
        <f t="shared" si="647"/>
        <v/>
      </c>
      <c r="J2810" s="696"/>
      <c r="K2810" s="697"/>
      <c r="L2810" s="696"/>
      <c r="M2810" s="198" t="str">
        <f t="shared" si="648"/>
        <v/>
      </c>
      <c r="N2810" s="369" t="str">
        <f t="shared" si="649"/>
        <v/>
      </c>
      <c r="O2810" s="183" t="str">
        <f t="shared" si="650"/>
        <v/>
      </c>
      <c r="P2810" s="199" t="str">
        <f t="shared" si="651"/>
        <v/>
      </c>
      <c r="Q2810" s="199" t="str">
        <f>IF(B2810="","",IFERROR(IF('עלויות כח אדם (6)'!J2810&gt;=VLOOKUP(I2810,'סיווג התפקידים והעלויות'!$B$23:$C$32,2,0),"תקין","לא תקין"),""))</f>
        <v/>
      </c>
      <c r="R2810" s="199" t="str">
        <f t="shared" si="652"/>
        <v/>
      </c>
      <c r="S2810" s="199" t="str">
        <f t="shared" si="653"/>
        <v/>
      </c>
      <c r="T2810" s="199" t="str">
        <f t="shared" si="661"/>
        <v/>
      </c>
      <c r="U2810" s="199" t="str">
        <f t="shared" si="654"/>
        <v/>
      </c>
      <c r="V2810" s="989"/>
      <c r="X2810" s="374" t="str">
        <f t="shared" si="655"/>
        <v/>
      </c>
      <c r="Y2810" s="375" t="str">
        <f t="shared" si="656"/>
        <v/>
      </c>
      <c r="Z2810" s="374" t="str">
        <f t="shared" si="657"/>
        <v/>
      </c>
      <c r="AA2810" s="374" t="b">
        <f t="shared" si="658"/>
        <v>1</v>
      </c>
      <c r="AB2810" s="374">
        <f>COUNTIFS(B:B,B2810,H:H,'סיווג התפקידים והעלויות'!$C$2)</f>
        <v>0</v>
      </c>
      <c r="AC2810" s="374">
        <f>COUNTIFS(B:B,B2810,H:H,'סיווג התפקידים והעלויות'!$D$2)</f>
        <v>0</v>
      </c>
      <c r="AD2810" s="374" t="str">
        <f>IF(OR(AND(H2810='סיווג התפקידים והעלויות'!$A$2,I2810='סיווג התפקידים והעלויות'!$A$3),'עלויות כח אדם (6)'!H2810='סיווג התפקידים והעלויות'!$C$2,'עלויות כח אדם (6)'!H2810='סיווג התפקידים והעלויות'!$D$2),IF('עלויות כח אדם (6)'!J2810&lt;75,"לא תקין","תקין"),"")</f>
        <v/>
      </c>
      <c r="AE2810" s="374" t="str">
        <f t="shared" si="659"/>
        <v/>
      </c>
      <c r="AF2810" s="532" t="str">
        <f t="shared" si="660"/>
        <v/>
      </c>
    </row>
    <row r="2811" spans="2:32" x14ac:dyDescent="0.25">
      <c r="B2811" s="695"/>
      <c r="C2811" s="197" t="str">
        <f>IF(B2811&lt;&gt;"",IFERROR(VLOOKUP(B:B,'מצבת והרשמה (2)'!$C$20:$N$520,2,0)," ")," ")</f>
        <v xml:space="preserve"> </v>
      </c>
      <c r="D2811" s="695"/>
      <c r="E2811" s="696"/>
      <c r="F2811" s="696"/>
      <c r="G2811" s="696"/>
      <c r="H2811" s="696"/>
      <c r="I2811" s="1050" t="str">
        <f t="shared" si="647"/>
        <v/>
      </c>
      <c r="J2811" s="696"/>
      <c r="K2811" s="697"/>
      <c r="L2811" s="696"/>
      <c r="M2811" s="198" t="str">
        <f t="shared" si="648"/>
        <v/>
      </c>
      <c r="N2811" s="369" t="str">
        <f t="shared" si="649"/>
        <v/>
      </c>
      <c r="O2811" s="183" t="str">
        <f t="shared" si="650"/>
        <v/>
      </c>
      <c r="P2811" s="199" t="str">
        <f t="shared" si="651"/>
        <v/>
      </c>
      <c r="Q2811" s="199" t="str">
        <f>IF(B2811="","",IFERROR(IF('עלויות כח אדם (6)'!J2811&gt;=VLOOKUP(I2811,'סיווג התפקידים והעלויות'!$B$23:$C$32,2,0),"תקין","לא תקין"),""))</f>
        <v/>
      </c>
      <c r="R2811" s="199" t="str">
        <f t="shared" si="652"/>
        <v/>
      </c>
      <c r="S2811" s="199" t="str">
        <f t="shared" si="653"/>
        <v/>
      </c>
      <c r="T2811" s="199" t="str">
        <f t="shared" si="661"/>
        <v/>
      </c>
      <c r="U2811" s="199" t="str">
        <f t="shared" si="654"/>
        <v/>
      </c>
      <c r="V2811" s="989"/>
      <c r="X2811" s="374" t="str">
        <f t="shared" si="655"/>
        <v/>
      </c>
      <c r="Y2811" s="375" t="str">
        <f t="shared" si="656"/>
        <v/>
      </c>
      <c r="Z2811" s="374" t="str">
        <f t="shared" si="657"/>
        <v/>
      </c>
      <c r="AA2811" s="374" t="b">
        <f t="shared" si="658"/>
        <v>1</v>
      </c>
      <c r="AB2811" s="374">
        <f>COUNTIFS(B:B,B2811,H:H,'סיווג התפקידים והעלויות'!$C$2)</f>
        <v>0</v>
      </c>
      <c r="AC2811" s="374">
        <f>COUNTIFS(B:B,B2811,H:H,'סיווג התפקידים והעלויות'!$D$2)</f>
        <v>0</v>
      </c>
      <c r="AD2811" s="374" t="str">
        <f>IF(OR(AND(H2811='סיווג התפקידים והעלויות'!$A$2,I2811='סיווג התפקידים והעלויות'!$A$3),'עלויות כח אדם (6)'!H2811='סיווג התפקידים והעלויות'!$C$2,'עלויות כח אדם (6)'!H2811='סיווג התפקידים והעלויות'!$D$2),IF('עלויות כח אדם (6)'!J2811&lt;75,"לא תקין","תקין"),"")</f>
        <v/>
      </c>
      <c r="AE2811" s="374" t="str">
        <f t="shared" si="659"/>
        <v/>
      </c>
      <c r="AF2811" s="532" t="str">
        <f t="shared" si="660"/>
        <v/>
      </c>
    </row>
    <row r="2812" spans="2:32" x14ac:dyDescent="0.25">
      <c r="B2812" s="695"/>
      <c r="C2812" s="197" t="str">
        <f>IF(B2812&lt;&gt;"",IFERROR(VLOOKUP(B:B,'מצבת והרשמה (2)'!$C$20:$N$520,2,0)," ")," ")</f>
        <v xml:space="preserve"> </v>
      </c>
      <c r="D2812" s="695"/>
      <c r="E2812" s="696"/>
      <c r="F2812" s="696"/>
      <c r="G2812" s="696"/>
      <c r="H2812" s="696"/>
      <c r="I2812" s="1050" t="str">
        <f t="shared" si="647"/>
        <v/>
      </c>
      <c r="J2812" s="696"/>
      <c r="K2812" s="697"/>
      <c r="L2812" s="696"/>
      <c r="M2812" s="198" t="str">
        <f t="shared" si="648"/>
        <v/>
      </c>
      <c r="N2812" s="369" t="str">
        <f t="shared" si="649"/>
        <v/>
      </c>
      <c r="O2812" s="183" t="str">
        <f t="shared" si="650"/>
        <v/>
      </c>
      <c r="P2812" s="199" t="str">
        <f t="shared" si="651"/>
        <v/>
      </c>
      <c r="Q2812" s="199" t="str">
        <f>IF(B2812="","",IFERROR(IF('עלויות כח אדם (6)'!J2812&gt;=VLOOKUP(I2812,'סיווג התפקידים והעלויות'!$B$23:$C$32,2,0),"תקין","לא תקין"),""))</f>
        <v/>
      </c>
      <c r="R2812" s="199" t="str">
        <f t="shared" si="652"/>
        <v/>
      </c>
      <c r="S2812" s="199" t="str">
        <f t="shared" si="653"/>
        <v/>
      </c>
      <c r="T2812" s="199" t="str">
        <f t="shared" si="661"/>
        <v/>
      </c>
      <c r="U2812" s="199" t="str">
        <f t="shared" si="654"/>
        <v/>
      </c>
      <c r="V2812" s="989"/>
      <c r="X2812" s="374" t="str">
        <f t="shared" si="655"/>
        <v/>
      </c>
      <c r="Y2812" s="375" t="str">
        <f t="shared" si="656"/>
        <v/>
      </c>
      <c r="Z2812" s="374" t="str">
        <f t="shared" si="657"/>
        <v/>
      </c>
      <c r="AA2812" s="374" t="b">
        <f t="shared" si="658"/>
        <v>1</v>
      </c>
      <c r="AB2812" s="374">
        <f>COUNTIFS(B:B,B2812,H:H,'סיווג התפקידים והעלויות'!$C$2)</f>
        <v>0</v>
      </c>
      <c r="AC2812" s="374">
        <f>COUNTIFS(B:B,B2812,H:H,'סיווג התפקידים והעלויות'!$D$2)</f>
        <v>0</v>
      </c>
      <c r="AD2812" s="374" t="str">
        <f>IF(OR(AND(H2812='סיווג התפקידים והעלויות'!$A$2,I2812='סיווג התפקידים והעלויות'!$A$3),'עלויות כח אדם (6)'!H2812='סיווג התפקידים והעלויות'!$C$2,'עלויות כח אדם (6)'!H2812='סיווג התפקידים והעלויות'!$D$2),IF('עלויות כח אדם (6)'!J2812&lt;75,"לא תקין","תקין"),"")</f>
        <v/>
      </c>
      <c r="AE2812" s="374" t="str">
        <f t="shared" si="659"/>
        <v/>
      </c>
      <c r="AF2812" s="532" t="str">
        <f t="shared" si="660"/>
        <v/>
      </c>
    </row>
    <row r="2813" spans="2:32" x14ac:dyDescent="0.25">
      <c r="B2813" s="695"/>
      <c r="C2813" s="197" t="str">
        <f>IF(B2813&lt;&gt;"",IFERROR(VLOOKUP(B:B,'מצבת והרשמה (2)'!$C$20:$N$520,2,0)," ")," ")</f>
        <v xml:space="preserve"> </v>
      </c>
      <c r="D2813" s="695"/>
      <c r="E2813" s="696"/>
      <c r="F2813" s="696"/>
      <c r="G2813" s="696"/>
      <c r="H2813" s="696"/>
      <c r="I2813" s="1050" t="str">
        <f t="shared" si="647"/>
        <v/>
      </c>
      <c r="J2813" s="696"/>
      <c r="K2813" s="697"/>
      <c r="L2813" s="696"/>
      <c r="M2813" s="198" t="str">
        <f t="shared" si="648"/>
        <v/>
      </c>
      <c r="N2813" s="369" t="str">
        <f t="shared" si="649"/>
        <v/>
      </c>
      <c r="O2813" s="183" t="str">
        <f t="shared" si="650"/>
        <v/>
      </c>
      <c r="P2813" s="199" t="str">
        <f t="shared" si="651"/>
        <v/>
      </c>
      <c r="Q2813" s="199" t="str">
        <f>IF(B2813="","",IFERROR(IF('עלויות כח אדם (6)'!J2813&gt;=VLOOKUP(I2813,'סיווג התפקידים והעלויות'!$B$23:$C$32,2,0),"תקין","לא תקין"),""))</f>
        <v/>
      </c>
      <c r="R2813" s="199" t="str">
        <f t="shared" si="652"/>
        <v/>
      </c>
      <c r="S2813" s="199" t="str">
        <f t="shared" si="653"/>
        <v/>
      </c>
      <c r="T2813" s="199" t="str">
        <f t="shared" si="661"/>
        <v/>
      </c>
      <c r="U2813" s="199" t="str">
        <f t="shared" si="654"/>
        <v/>
      </c>
      <c r="V2813" s="989"/>
      <c r="X2813" s="374" t="str">
        <f t="shared" si="655"/>
        <v/>
      </c>
      <c r="Y2813" s="375" t="str">
        <f t="shared" si="656"/>
        <v/>
      </c>
      <c r="Z2813" s="374" t="str">
        <f t="shared" si="657"/>
        <v/>
      </c>
      <c r="AA2813" s="374" t="b">
        <f t="shared" si="658"/>
        <v>1</v>
      </c>
      <c r="AB2813" s="374">
        <f>COUNTIFS(B:B,B2813,H:H,'סיווג התפקידים והעלויות'!$C$2)</f>
        <v>0</v>
      </c>
      <c r="AC2813" s="374">
        <f>COUNTIFS(B:B,B2813,H:H,'סיווג התפקידים והעלויות'!$D$2)</f>
        <v>0</v>
      </c>
      <c r="AD2813" s="374" t="str">
        <f>IF(OR(AND(H2813='סיווג התפקידים והעלויות'!$A$2,I2813='סיווג התפקידים והעלויות'!$A$3),'עלויות כח אדם (6)'!H2813='סיווג התפקידים והעלויות'!$C$2,'עלויות כח אדם (6)'!H2813='סיווג התפקידים והעלויות'!$D$2),IF('עלויות כח אדם (6)'!J2813&lt;75,"לא תקין","תקין"),"")</f>
        <v/>
      </c>
      <c r="AE2813" s="374" t="str">
        <f t="shared" si="659"/>
        <v/>
      </c>
      <c r="AF2813" s="532" t="str">
        <f t="shared" si="660"/>
        <v/>
      </c>
    </row>
    <row r="2814" spans="2:32" x14ac:dyDescent="0.25">
      <c r="B2814" s="695"/>
      <c r="C2814" s="197" t="str">
        <f>IF(B2814&lt;&gt;"",IFERROR(VLOOKUP(B:B,'מצבת והרשמה (2)'!$C$20:$N$520,2,0)," ")," ")</f>
        <v xml:space="preserve"> </v>
      </c>
      <c r="D2814" s="695"/>
      <c r="E2814" s="696"/>
      <c r="F2814" s="696"/>
      <c r="G2814" s="696"/>
      <c r="H2814" s="696"/>
      <c r="I2814" s="1050" t="str">
        <f t="shared" si="647"/>
        <v/>
      </c>
      <c r="J2814" s="696"/>
      <c r="K2814" s="697"/>
      <c r="L2814" s="696"/>
      <c r="M2814" s="198" t="str">
        <f t="shared" si="648"/>
        <v/>
      </c>
      <c r="N2814" s="369" t="str">
        <f t="shared" si="649"/>
        <v/>
      </c>
      <c r="O2814" s="183" t="str">
        <f t="shared" si="650"/>
        <v/>
      </c>
      <c r="P2814" s="199" t="str">
        <f t="shared" si="651"/>
        <v/>
      </c>
      <c r="Q2814" s="199" t="str">
        <f>IF(B2814="","",IFERROR(IF('עלויות כח אדם (6)'!J2814&gt;=VLOOKUP(I2814,'סיווג התפקידים והעלויות'!$B$23:$C$32,2,0),"תקין","לא תקין"),""))</f>
        <v/>
      </c>
      <c r="R2814" s="199" t="str">
        <f t="shared" si="652"/>
        <v/>
      </c>
      <c r="S2814" s="199" t="str">
        <f t="shared" si="653"/>
        <v/>
      </c>
      <c r="T2814" s="199" t="str">
        <f t="shared" si="661"/>
        <v/>
      </c>
      <c r="U2814" s="199" t="str">
        <f t="shared" si="654"/>
        <v/>
      </c>
      <c r="V2814" s="989"/>
      <c r="X2814" s="374" t="str">
        <f t="shared" si="655"/>
        <v/>
      </c>
      <c r="Y2814" s="375" t="str">
        <f t="shared" si="656"/>
        <v/>
      </c>
      <c r="Z2814" s="374" t="str">
        <f t="shared" si="657"/>
        <v/>
      </c>
      <c r="AA2814" s="374" t="b">
        <f t="shared" si="658"/>
        <v>1</v>
      </c>
      <c r="AB2814" s="374">
        <f>COUNTIFS(B:B,B2814,H:H,'סיווג התפקידים והעלויות'!$C$2)</f>
        <v>0</v>
      </c>
      <c r="AC2814" s="374">
        <f>COUNTIFS(B:B,B2814,H:H,'סיווג התפקידים והעלויות'!$D$2)</f>
        <v>0</v>
      </c>
      <c r="AD2814" s="374" t="str">
        <f>IF(OR(AND(H2814='סיווג התפקידים והעלויות'!$A$2,I2814='סיווג התפקידים והעלויות'!$A$3),'עלויות כח אדם (6)'!H2814='סיווג התפקידים והעלויות'!$C$2,'עלויות כח אדם (6)'!H2814='סיווג התפקידים והעלויות'!$D$2),IF('עלויות כח אדם (6)'!J2814&lt;75,"לא תקין","תקין"),"")</f>
        <v/>
      </c>
      <c r="AE2814" s="374" t="str">
        <f t="shared" si="659"/>
        <v/>
      </c>
      <c r="AF2814" s="532" t="str">
        <f t="shared" si="660"/>
        <v/>
      </c>
    </row>
    <row r="2815" spans="2:32" x14ac:dyDescent="0.25">
      <c r="B2815" s="695"/>
      <c r="C2815" s="197" t="str">
        <f>IF(B2815&lt;&gt;"",IFERROR(VLOOKUP(B:B,'מצבת והרשמה (2)'!$C$20:$N$520,2,0)," ")," ")</f>
        <v xml:space="preserve"> </v>
      </c>
      <c r="D2815" s="695"/>
      <c r="E2815" s="696"/>
      <c r="F2815" s="696"/>
      <c r="G2815" s="696"/>
      <c r="H2815" s="696"/>
      <c r="I2815" s="1050" t="str">
        <f t="shared" si="647"/>
        <v/>
      </c>
      <c r="J2815" s="696"/>
      <c r="K2815" s="697"/>
      <c r="L2815" s="696"/>
      <c r="M2815" s="198" t="str">
        <f t="shared" si="648"/>
        <v/>
      </c>
      <c r="N2815" s="369" t="str">
        <f t="shared" si="649"/>
        <v/>
      </c>
      <c r="O2815" s="183" t="str">
        <f t="shared" si="650"/>
        <v/>
      </c>
      <c r="P2815" s="199" t="str">
        <f t="shared" si="651"/>
        <v/>
      </c>
      <c r="Q2815" s="199" t="str">
        <f>IF(B2815="","",IFERROR(IF('עלויות כח אדם (6)'!J2815&gt;=VLOOKUP(I2815,'סיווג התפקידים והעלויות'!$B$23:$C$32,2,0),"תקין","לא תקין"),""))</f>
        <v/>
      </c>
      <c r="R2815" s="199" t="str">
        <f t="shared" si="652"/>
        <v/>
      </c>
      <c r="S2815" s="199" t="str">
        <f t="shared" si="653"/>
        <v/>
      </c>
      <c r="T2815" s="199" t="str">
        <f t="shared" si="661"/>
        <v/>
      </c>
      <c r="U2815" s="199" t="str">
        <f t="shared" si="654"/>
        <v/>
      </c>
      <c r="V2815" s="989"/>
      <c r="X2815" s="374" t="str">
        <f t="shared" si="655"/>
        <v/>
      </c>
      <c r="Y2815" s="375" t="str">
        <f t="shared" si="656"/>
        <v/>
      </c>
      <c r="Z2815" s="374" t="str">
        <f t="shared" si="657"/>
        <v/>
      </c>
      <c r="AA2815" s="374" t="b">
        <f t="shared" si="658"/>
        <v>1</v>
      </c>
      <c r="AB2815" s="374">
        <f>COUNTIFS(B:B,B2815,H:H,'סיווג התפקידים והעלויות'!$C$2)</f>
        <v>0</v>
      </c>
      <c r="AC2815" s="374">
        <f>COUNTIFS(B:B,B2815,H:H,'סיווג התפקידים והעלויות'!$D$2)</f>
        <v>0</v>
      </c>
      <c r="AD2815" s="374" t="str">
        <f>IF(OR(AND(H2815='סיווג התפקידים והעלויות'!$A$2,I2815='סיווג התפקידים והעלויות'!$A$3),'עלויות כח אדם (6)'!H2815='סיווג התפקידים והעלויות'!$C$2,'עלויות כח אדם (6)'!H2815='סיווג התפקידים והעלויות'!$D$2),IF('עלויות כח אדם (6)'!J2815&lt;75,"לא תקין","תקין"),"")</f>
        <v/>
      </c>
      <c r="AE2815" s="374" t="str">
        <f t="shared" si="659"/>
        <v/>
      </c>
      <c r="AF2815" s="532" t="str">
        <f t="shared" si="660"/>
        <v/>
      </c>
    </row>
    <row r="2816" spans="2:32" x14ac:dyDescent="0.25">
      <c r="B2816" s="695"/>
      <c r="C2816" s="197" t="str">
        <f>IF(B2816&lt;&gt;"",IFERROR(VLOOKUP(B:B,'מצבת והרשמה (2)'!$C$20:$N$520,2,0)," ")," ")</f>
        <v xml:space="preserve"> </v>
      </c>
      <c r="D2816" s="695"/>
      <c r="E2816" s="696"/>
      <c r="F2816" s="696"/>
      <c r="G2816" s="696"/>
      <c r="H2816" s="696"/>
      <c r="I2816" s="1050" t="str">
        <f t="shared" si="647"/>
        <v/>
      </c>
      <c r="J2816" s="696"/>
      <c r="K2816" s="697"/>
      <c r="L2816" s="696"/>
      <c r="M2816" s="198" t="str">
        <f t="shared" si="648"/>
        <v/>
      </c>
      <c r="N2816" s="369" t="str">
        <f t="shared" si="649"/>
        <v/>
      </c>
      <c r="O2816" s="183" t="str">
        <f t="shared" si="650"/>
        <v/>
      </c>
      <c r="P2816" s="199" t="str">
        <f t="shared" si="651"/>
        <v/>
      </c>
      <c r="Q2816" s="199" t="str">
        <f>IF(B2816="","",IFERROR(IF('עלויות כח אדם (6)'!J2816&gt;=VLOOKUP(I2816,'סיווג התפקידים והעלויות'!$B$23:$C$32,2,0),"תקין","לא תקין"),""))</f>
        <v/>
      </c>
      <c r="R2816" s="199" t="str">
        <f t="shared" si="652"/>
        <v/>
      </c>
      <c r="S2816" s="199" t="str">
        <f t="shared" si="653"/>
        <v/>
      </c>
      <c r="T2816" s="199" t="str">
        <f t="shared" si="661"/>
        <v/>
      </c>
      <c r="U2816" s="199" t="str">
        <f t="shared" si="654"/>
        <v/>
      </c>
      <c r="V2816" s="989"/>
      <c r="X2816" s="374" t="str">
        <f t="shared" si="655"/>
        <v/>
      </c>
      <c r="Y2816" s="375" t="str">
        <f t="shared" si="656"/>
        <v/>
      </c>
      <c r="Z2816" s="374" t="str">
        <f t="shared" si="657"/>
        <v/>
      </c>
      <c r="AA2816" s="374" t="b">
        <f t="shared" si="658"/>
        <v>1</v>
      </c>
      <c r="AB2816" s="374">
        <f>COUNTIFS(B:B,B2816,H:H,'סיווג התפקידים והעלויות'!$C$2)</f>
        <v>0</v>
      </c>
      <c r="AC2816" s="374">
        <f>COUNTIFS(B:B,B2816,H:H,'סיווג התפקידים והעלויות'!$D$2)</f>
        <v>0</v>
      </c>
      <c r="AD2816" s="374" t="str">
        <f>IF(OR(AND(H2816='סיווג התפקידים והעלויות'!$A$2,I2816='סיווג התפקידים והעלויות'!$A$3),'עלויות כח אדם (6)'!H2816='סיווג התפקידים והעלויות'!$C$2,'עלויות כח אדם (6)'!H2816='סיווג התפקידים והעלויות'!$D$2),IF('עלויות כח אדם (6)'!J2816&lt;75,"לא תקין","תקין"),"")</f>
        <v/>
      </c>
      <c r="AE2816" s="374" t="str">
        <f t="shared" si="659"/>
        <v/>
      </c>
      <c r="AF2816" s="532" t="str">
        <f t="shared" si="660"/>
        <v/>
      </c>
    </row>
    <row r="2817" spans="2:32" x14ac:dyDescent="0.25">
      <c r="B2817" s="695"/>
      <c r="C2817" s="197" t="str">
        <f>IF(B2817&lt;&gt;"",IFERROR(VLOOKUP(B:B,'מצבת והרשמה (2)'!$C$20:$N$520,2,0)," ")," ")</f>
        <v xml:space="preserve"> </v>
      </c>
      <c r="D2817" s="695"/>
      <c r="E2817" s="696"/>
      <c r="F2817" s="696"/>
      <c r="G2817" s="696"/>
      <c r="H2817" s="696"/>
      <c r="I2817" s="1050" t="str">
        <f t="shared" si="647"/>
        <v/>
      </c>
      <c r="J2817" s="696"/>
      <c r="K2817" s="697"/>
      <c r="L2817" s="696"/>
      <c r="M2817" s="198" t="str">
        <f t="shared" si="648"/>
        <v/>
      </c>
      <c r="N2817" s="369" t="str">
        <f t="shared" si="649"/>
        <v/>
      </c>
      <c r="O2817" s="183" t="str">
        <f t="shared" si="650"/>
        <v/>
      </c>
      <c r="P2817" s="199" t="str">
        <f t="shared" si="651"/>
        <v/>
      </c>
      <c r="Q2817" s="199" t="str">
        <f>IF(B2817="","",IFERROR(IF('עלויות כח אדם (6)'!J2817&gt;=VLOOKUP(I2817,'סיווג התפקידים והעלויות'!$B$23:$C$32,2,0),"תקין","לא תקין"),""))</f>
        <v/>
      </c>
      <c r="R2817" s="199" t="str">
        <f t="shared" si="652"/>
        <v/>
      </c>
      <c r="S2817" s="199" t="str">
        <f t="shared" si="653"/>
        <v/>
      </c>
      <c r="T2817" s="199" t="str">
        <f t="shared" si="661"/>
        <v/>
      </c>
      <c r="U2817" s="199" t="str">
        <f t="shared" si="654"/>
        <v/>
      </c>
      <c r="V2817" s="989"/>
      <c r="X2817" s="374" t="str">
        <f t="shared" si="655"/>
        <v/>
      </c>
      <c r="Y2817" s="375" t="str">
        <f t="shared" si="656"/>
        <v/>
      </c>
      <c r="Z2817" s="374" t="str">
        <f t="shared" si="657"/>
        <v/>
      </c>
      <c r="AA2817" s="374" t="b">
        <f t="shared" si="658"/>
        <v>1</v>
      </c>
      <c r="AB2817" s="374">
        <f>COUNTIFS(B:B,B2817,H:H,'סיווג התפקידים והעלויות'!$C$2)</f>
        <v>0</v>
      </c>
      <c r="AC2817" s="374">
        <f>COUNTIFS(B:B,B2817,H:H,'סיווג התפקידים והעלויות'!$D$2)</f>
        <v>0</v>
      </c>
      <c r="AD2817" s="374" t="str">
        <f>IF(OR(AND(H2817='סיווג התפקידים והעלויות'!$A$2,I2817='סיווג התפקידים והעלויות'!$A$3),'עלויות כח אדם (6)'!H2817='סיווג התפקידים והעלויות'!$C$2,'עלויות כח אדם (6)'!H2817='סיווג התפקידים והעלויות'!$D$2),IF('עלויות כח אדם (6)'!J2817&lt;75,"לא תקין","תקין"),"")</f>
        <v/>
      </c>
      <c r="AE2817" s="374" t="str">
        <f t="shared" si="659"/>
        <v/>
      </c>
      <c r="AF2817" s="532" t="str">
        <f t="shared" si="660"/>
        <v/>
      </c>
    </row>
    <row r="2818" spans="2:32" x14ac:dyDescent="0.25">
      <c r="B2818" s="695"/>
      <c r="C2818" s="197" t="str">
        <f>IF(B2818&lt;&gt;"",IFERROR(VLOOKUP(B:B,'מצבת והרשמה (2)'!$C$20:$N$520,2,0)," ")," ")</f>
        <v xml:space="preserve"> </v>
      </c>
      <c r="D2818" s="695"/>
      <c r="E2818" s="696"/>
      <c r="F2818" s="696"/>
      <c r="G2818" s="696"/>
      <c r="H2818" s="696"/>
      <c r="I2818" s="1050" t="str">
        <f t="shared" si="647"/>
        <v/>
      </c>
      <c r="J2818" s="696"/>
      <c r="K2818" s="697"/>
      <c r="L2818" s="696"/>
      <c r="M2818" s="198" t="str">
        <f t="shared" si="648"/>
        <v/>
      </c>
      <c r="N2818" s="369" t="str">
        <f t="shared" si="649"/>
        <v/>
      </c>
      <c r="O2818" s="183" t="str">
        <f t="shared" si="650"/>
        <v/>
      </c>
      <c r="P2818" s="199" t="str">
        <f t="shared" si="651"/>
        <v/>
      </c>
      <c r="Q2818" s="199" t="str">
        <f>IF(B2818="","",IFERROR(IF('עלויות כח אדם (6)'!J2818&gt;=VLOOKUP(I2818,'סיווג התפקידים והעלויות'!$B$23:$C$32,2,0),"תקין","לא תקין"),""))</f>
        <v/>
      </c>
      <c r="R2818" s="199" t="str">
        <f t="shared" si="652"/>
        <v/>
      </c>
      <c r="S2818" s="199" t="str">
        <f t="shared" si="653"/>
        <v/>
      </c>
      <c r="T2818" s="199" t="str">
        <f t="shared" si="661"/>
        <v/>
      </c>
      <c r="U2818" s="199" t="str">
        <f t="shared" si="654"/>
        <v/>
      </c>
      <c r="V2818" s="989"/>
      <c r="X2818" s="374" t="str">
        <f t="shared" si="655"/>
        <v/>
      </c>
      <c r="Y2818" s="375" t="str">
        <f t="shared" si="656"/>
        <v/>
      </c>
      <c r="Z2818" s="374" t="str">
        <f t="shared" si="657"/>
        <v/>
      </c>
      <c r="AA2818" s="374" t="b">
        <f t="shared" si="658"/>
        <v>1</v>
      </c>
      <c r="AB2818" s="374">
        <f>COUNTIFS(B:B,B2818,H:H,'סיווג התפקידים והעלויות'!$C$2)</f>
        <v>0</v>
      </c>
      <c r="AC2818" s="374">
        <f>COUNTIFS(B:B,B2818,H:H,'סיווג התפקידים והעלויות'!$D$2)</f>
        <v>0</v>
      </c>
      <c r="AD2818" s="374" t="str">
        <f>IF(OR(AND(H2818='סיווג התפקידים והעלויות'!$A$2,I2818='סיווג התפקידים והעלויות'!$A$3),'עלויות כח אדם (6)'!H2818='סיווג התפקידים והעלויות'!$C$2,'עלויות כח אדם (6)'!H2818='סיווג התפקידים והעלויות'!$D$2),IF('עלויות כח אדם (6)'!J2818&lt;75,"לא תקין","תקין"),"")</f>
        <v/>
      </c>
      <c r="AE2818" s="374" t="str">
        <f t="shared" si="659"/>
        <v/>
      </c>
      <c r="AF2818" s="532" t="str">
        <f t="shared" si="660"/>
        <v/>
      </c>
    </row>
    <row r="2819" spans="2:32" x14ac:dyDescent="0.25">
      <c r="B2819" s="695"/>
      <c r="C2819" s="197" t="str">
        <f>IF(B2819&lt;&gt;"",IFERROR(VLOOKUP(B:B,'מצבת והרשמה (2)'!$C$20:$N$520,2,0)," ")," ")</f>
        <v xml:space="preserve"> </v>
      </c>
      <c r="D2819" s="695"/>
      <c r="E2819" s="696"/>
      <c r="F2819" s="696"/>
      <c r="G2819" s="696"/>
      <c r="H2819" s="696"/>
      <c r="I2819" s="1050" t="str">
        <f t="shared" si="647"/>
        <v/>
      </c>
      <c r="J2819" s="696"/>
      <c r="K2819" s="697"/>
      <c r="L2819" s="696"/>
      <c r="M2819" s="198" t="str">
        <f t="shared" si="648"/>
        <v/>
      </c>
      <c r="N2819" s="369" t="str">
        <f t="shared" si="649"/>
        <v/>
      </c>
      <c r="O2819" s="183" t="str">
        <f t="shared" si="650"/>
        <v/>
      </c>
      <c r="P2819" s="199" t="str">
        <f t="shared" si="651"/>
        <v/>
      </c>
      <c r="Q2819" s="199" t="str">
        <f>IF(B2819="","",IFERROR(IF('עלויות כח אדם (6)'!J2819&gt;=VLOOKUP(I2819,'סיווג התפקידים והעלויות'!$B$23:$C$32,2,0),"תקין","לא תקין"),""))</f>
        <v/>
      </c>
      <c r="R2819" s="199" t="str">
        <f t="shared" si="652"/>
        <v/>
      </c>
      <c r="S2819" s="199" t="str">
        <f t="shared" si="653"/>
        <v/>
      </c>
      <c r="T2819" s="199" t="str">
        <f t="shared" si="661"/>
        <v/>
      </c>
      <c r="U2819" s="199" t="str">
        <f t="shared" si="654"/>
        <v/>
      </c>
      <c r="V2819" s="989"/>
      <c r="X2819" s="374" t="str">
        <f t="shared" si="655"/>
        <v/>
      </c>
      <c r="Y2819" s="375" t="str">
        <f t="shared" si="656"/>
        <v/>
      </c>
      <c r="Z2819" s="374" t="str">
        <f t="shared" si="657"/>
        <v/>
      </c>
      <c r="AA2819" s="374" t="b">
        <f t="shared" si="658"/>
        <v>1</v>
      </c>
      <c r="AB2819" s="374">
        <f>COUNTIFS(B:B,B2819,H:H,'סיווג התפקידים והעלויות'!$C$2)</f>
        <v>0</v>
      </c>
      <c r="AC2819" s="374">
        <f>COUNTIFS(B:B,B2819,H:H,'סיווג התפקידים והעלויות'!$D$2)</f>
        <v>0</v>
      </c>
      <c r="AD2819" s="374" t="str">
        <f>IF(OR(AND(H2819='סיווג התפקידים והעלויות'!$A$2,I2819='סיווג התפקידים והעלויות'!$A$3),'עלויות כח אדם (6)'!H2819='סיווג התפקידים והעלויות'!$C$2,'עלויות כח אדם (6)'!H2819='סיווג התפקידים והעלויות'!$D$2),IF('עלויות כח אדם (6)'!J2819&lt;75,"לא תקין","תקין"),"")</f>
        <v/>
      </c>
      <c r="AE2819" s="374" t="str">
        <f t="shared" si="659"/>
        <v/>
      </c>
      <c r="AF2819" s="532" t="str">
        <f t="shared" si="660"/>
        <v/>
      </c>
    </row>
    <row r="2820" spans="2:32" x14ac:dyDescent="0.25">
      <c r="B2820" s="695"/>
      <c r="C2820" s="197" t="str">
        <f>IF(B2820&lt;&gt;"",IFERROR(VLOOKUP(B:B,'מצבת והרשמה (2)'!$C$20:$N$520,2,0)," ")," ")</f>
        <v xml:space="preserve"> </v>
      </c>
      <c r="D2820" s="695"/>
      <c r="E2820" s="696"/>
      <c r="F2820" s="696"/>
      <c r="G2820" s="696"/>
      <c r="H2820" s="696"/>
      <c r="I2820" s="1050" t="str">
        <f t="shared" si="647"/>
        <v/>
      </c>
      <c r="J2820" s="696"/>
      <c r="K2820" s="697"/>
      <c r="L2820" s="696"/>
      <c r="M2820" s="198" t="str">
        <f t="shared" si="648"/>
        <v/>
      </c>
      <c r="N2820" s="369" t="str">
        <f t="shared" si="649"/>
        <v/>
      </c>
      <c r="O2820" s="183" t="str">
        <f t="shared" si="650"/>
        <v/>
      </c>
      <c r="P2820" s="199" t="str">
        <f t="shared" si="651"/>
        <v/>
      </c>
      <c r="Q2820" s="199" t="str">
        <f>IF(B2820="","",IFERROR(IF('עלויות כח אדם (6)'!J2820&gt;=VLOOKUP(I2820,'סיווג התפקידים והעלויות'!$B$23:$C$32,2,0),"תקין","לא תקין"),""))</f>
        <v/>
      </c>
      <c r="R2820" s="199" t="str">
        <f t="shared" si="652"/>
        <v/>
      </c>
      <c r="S2820" s="199" t="str">
        <f t="shared" si="653"/>
        <v/>
      </c>
      <c r="T2820" s="199" t="str">
        <f t="shared" si="661"/>
        <v/>
      </c>
      <c r="U2820" s="199" t="str">
        <f t="shared" si="654"/>
        <v/>
      </c>
      <c r="V2820" s="989"/>
      <c r="X2820" s="374" t="str">
        <f t="shared" si="655"/>
        <v/>
      </c>
      <c r="Y2820" s="375" t="str">
        <f t="shared" si="656"/>
        <v/>
      </c>
      <c r="Z2820" s="374" t="str">
        <f t="shared" si="657"/>
        <v/>
      </c>
      <c r="AA2820" s="374" t="b">
        <f t="shared" si="658"/>
        <v>1</v>
      </c>
      <c r="AB2820" s="374">
        <f>COUNTIFS(B:B,B2820,H:H,'סיווג התפקידים והעלויות'!$C$2)</f>
        <v>0</v>
      </c>
      <c r="AC2820" s="374">
        <f>COUNTIFS(B:B,B2820,H:H,'סיווג התפקידים והעלויות'!$D$2)</f>
        <v>0</v>
      </c>
      <c r="AD2820" s="374" t="str">
        <f>IF(OR(AND(H2820='סיווג התפקידים והעלויות'!$A$2,I2820='סיווג התפקידים והעלויות'!$A$3),'עלויות כח אדם (6)'!H2820='סיווג התפקידים והעלויות'!$C$2,'עלויות כח אדם (6)'!H2820='סיווג התפקידים והעלויות'!$D$2),IF('עלויות כח אדם (6)'!J2820&lt;75,"לא תקין","תקין"),"")</f>
        <v/>
      </c>
      <c r="AE2820" s="374" t="str">
        <f t="shared" si="659"/>
        <v/>
      </c>
      <c r="AF2820" s="532" t="str">
        <f t="shared" si="660"/>
        <v/>
      </c>
    </row>
    <row r="2821" spans="2:32" x14ac:dyDescent="0.25">
      <c r="B2821" s="695"/>
      <c r="C2821" s="197" t="str">
        <f>IF(B2821&lt;&gt;"",IFERROR(VLOOKUP(B:B,'מצבת והרשמה (2)'!$C$20:$N$520,2,0)," ")," ")</f>
        <v xml:space="preserve"> </v>
      </c>
      <c r="D2821" s="695"/>
      <c r="E2821" s="696"/>
      <c r="F2821" s="696"/>
      <c r="G2821" s="696"/>
      <c r="H2821" s="696"/>
      <c r="I2821" s="1050" t="str">
        <f t="shared" si="647"/>
        <v/>
      </c>
      <c r="J2821" s="696"/>
      <c r="K2821" s="697"/>
      <c r="L2821" s="696"/>
      <c r="M2821" s="198" t="str">
        <f t="shared" si="648"/>
        <v/>
      </c>
      <c r="N2821" s="369" t="str">
        <f t="shared" si="649"/>
        <v/>
      </c>
      <c r="O2821" s="183" t="str">
        <f t="shared" si="650"/>
        <v/>
      </c>
      <c r="P2821" s="199" t="str">
        <f t="shared" si="651"/>
        <v/>
      </c>
      <c r="Q2821" s="199" t="str">
        <f>IF(B2821="","",IFERROR(IF('עלויות כח אדם (6)'!J2821&gt;=VLOOKUP(I2821,'סיווג התפקידים והעלויות'!$B$23:$C$32,2,0),"תקין","לא תקין"),""))</f>
        <v/>
      </c>
      <c r="R2821" s="199" t="str">
        <f t="shared" si="652"/>
        <v/>
      </c>
      <c r="S2821" s="199" t="str">
        <f t="shared" si="653"/>
        <v/>
      </c>
      <c r="T2821" s="199" t="str">
        <f t="shared" si="661"/>
        <v/>
      </c>
      <c r="U2821" s="199" t="str">
        <f t="shared" si="654"/>
        <v/>
      </c>
      <c r="V2821" s="989"/>
      <c r="X2821" s="374" t="str">
        <f t="shared" si="655"/>
        <v/>
      </c>
      <c r="Y2821" s="375" t="str">
        <f t="shared" si="656"/>
        <v/>
      </c>
      <c r="Z2821" s="374" t="str">
        <f t="shared" si="657"/>
        <v/>
      </c>
      <c r="AA2821" s="374" t="b">
        <f t="shared" si="658"/>
        <v>1</v>
      </c>
      <c r="AB2821" s="374">
        <f>COUNTIFS(B:B,B2821,H:H,'סיווג התפקידים והעלויות'!$C$2)</f>
        <v>0</v>
      </c>
      <c r="AC2821" s="374">
        <f>COUNTIFS(B:B,B2821,H:H,'סיווג התפקידים והעלויות'!$D$2)</f>
        <v>0</v>
      </c>
      <c r="AD2821" s="374" t="str">
        <f>IF(OR(AND(H2821='סיווג התפקידים והעלויות'!$A$2,I2821='סיווג התפקידים והעלויות'!$A$3),'עלויות כח אדם (6)'!H2821='סיווג התפקידים והעלויות'!$C$2,'עלויות כח אדם (6)'!H2821='סיווג התפקידים והעלויות'!$D$2),IF('עלויות כח אדם (6)'!J2821&lt;75,"לא תקין","תקין"),"")</f>
        <v/>
      </c>
      <c r="AE2821" s="374" t="str">
        <f t="shared" si="659"/>
        <v/>
      </c>
      <c r="AF2821" s="532" t="str">
        <f t="shared" si="660"/>
        <v/>
      </c>
    </row>
    <row r="2822" spans="2:32" x14ac:dyDescent="0.25">
      <c r="B2822" s="695"/>
      <c r="C2822" s="197" t="str">
        <f>IF(B2822&lt;&gt;"",IFERROR(VLOOKUP(B:B,'מצבת והרשמה (2)'!$C$20:$N$520,2,0)," ")," ")</f>
        <v xml:space="preserve"> </v>
      </c>
      <c r="D2822" s="695"/>
      <c r="E2822" s="696"/>
      <c r="F2822" s="696"/>
      <c r="G2822" s="696"/>
      <c r="H2822" s="696"/>
      <c r="I2822" s="1050" t="str">
        <f t="shared" si="647"/>
        <v/>
      </c>
      <c r="J2822" s="696"/>
      <c r="K2822" s="697"/>
      <c r="L2822" s="696"/>
      <c r="M2822" s="198" t="str">
        <f t="shared" si="648"/>
        <v/>
      </c>
      <c r="N2822" s="369" t="str">
        <f t="shared" si="649"/>
        <v/>
      </c>
      <c r="O2822" s="183" t="str">
        <f t="shared" si="650"/>
        <v/>
      </c>
      <c r="P2822" s="199" t="str">
        <f t="shared" si="651"/>
        <v/>
      </c>
      <c r="Q2822" s="199" t="str">
        <f>IF(B2822="","",IFERROR(IF('עלויות כח אדם (6)'!J2822&gt;=VLOOKUP(I2822,'סיווג התפקידים והעלויות'!$B$23:$C$32,2,0),"תקין","לא תקין"),""))</f>
        <v/>
      </c>
      <c r="R2822" s="199" t="str">
        <f t="shared" si="652"/>
        <v/>
      </c>
      <c r="S2822" s="199" t="str">
        <f t="shared" si="653"/>
        <v/>
      </c>
      <c r="T2822" s="199" t="str">
        <f t="shared" si="661"/>
        <v/>
      </c>
      <c r="U2822" s="199" t="str">
        <f t="shared" si="654"/>
        <v/>
      </c>
      <c r="V2822" s="989"/>
      <c r="X2822" s="374" t="str">
        <f t="shared" si="655"/>
        <v/>
      </c>
      <c r="Y2822" s="375" t="str">
        <f t="shared" si="656"/>
        <v/>
      </c>
      <c r="Z2822" s="374" t="str">
        <f t="shared" si="657"/>
        <v/>
      </c>
      <c r="AA2822" s="374" t="b">
        <f t="shared" si="658"/>
        <v>1</v>
      </c>
      <c r="AB2822" s="374">
        <f>COUNTIFS(B:B,B2822,H:H,'סיווג התפקידים והעלויות'!$C$2)</f>
        <v>0</v>
      </c>
      <c r="AC2822" s="374">
        <f>COUNTIFS(B:B,B2822,H:H,'סיווג התפקידים והעלויות'!$D$2)</f>
        <v>0</v>
      </c>
      <c r="AD2822" s="374" t="str">
        <f>IF(OR(AND(H2822='סיווג התפקידים והעלויות'!$A$2,I2822='סיווג התפקידים והעלויות'!$A$3),'עלויות כח אדם (6)'!H2822='סיווג התפקידים והעלויות'!$C$2,'עלויות כח אדם (6)'!H2822='סיווג התפקידים והעלויות'!$D$2),IF('עלויות כח אדם (6)'!J2822&lt;75,"לא תקין","תקין"),"")</f>
        <v/>
      </c>
      <c r="AE2822" s="374" t="str">
        <f t="shared" si="659"/>
        <v/>
      </c>
      <c r="AF2822" s="532" t="str">
        <f t="shared" si="660"/>
        <v/>
      </c>
    </row>
    <row r="2823" spans="2:32" x14ac:dyDescent="0.25">
      <c r="B2823" s="695"/>
      <c r="C2823" s="197" t="str">
        <f>IF(B2823&lt;&gt;"",IFERROR(VLOOKUP(B:B,'מצבת והרשמה (2)'!$C$20:$N$520,2,0)," ")," ")</f>
        <v xml:space="preserve"> </v>
      </c>
      <c r="D2823" s="695"/>
      <c r="E2823" s="696"/>
      <c r="F2823" s="696"/>
      <c r="G2823" s="696"/>
      <c r="H2823" s="696"/>
      <c r="I2823" s="1050" t="str">
        <f t="shared" si="647"/>
        <v/>
      </c>
      <c r="J2823" s="696"/>
      <c r="K2823" s="697"/>
      <c r="L2823" s="696"/>
      <c r="M2823" s="198" t="str">
        <f t="shared" si="648"/>
        <v/>
      </c>
      <c r="N2823" s="369" t="str">
        <f t="shared" si="649"/>
        <v/>
      </c>
      <c r="O2823" s="183" t="str">
        <f t="shared" si="650"/>
        <v/>
      </c>
      <c r="P2823" s="199" t="str">
        <f t="shared" si="651"/>
        <v/>
      </c>
      <c r="Q2823" s="199" t="str">
        <f>IF(B2823="","",IFERROR(IF('עלויות כח אדם (6)'!J2823&gt;=VLOOKUP(I2823,'סיווג התפקידים והעלויות'!$B$23:$C$32,2,0),"תקין","לא תקין"),""))</f>
        <v/>
      </c>
      <c r="R2823" s="199" t="str">
        <f t="shared" si="652"/>
        <v/>
      </c>
      <c r="S2823" s="199" t="str">
        <f t="shared" si="653"/>
        <v/>
      </c>
      <c r="T2823" s="199" t="str">
        <f t="shared" si="661"/>
        <v/>
      </c>
      <c r="U2823" s="199" t="str">
        <f t="shared" si="654"/>
        <v/>
      </c>
      <c r="V2823" s="989"/>
      <c r="X2823" s="374" t="str">
        <f t="shared" si="655"/>
        <v/>
      </c>
      <c r="Y2823" s="375" t="str">
        <f t="shared" si="656"/>
        <v/>
      </c>
      <c r="Z2823" s="374" t="str">
        <f t="shared" si="657"/>
        <v/>
      </c>
      <c r="AA2823" s="374" t="b">
        <f t="shared" si="658"/>
        <v>1</v>
      </c>
      <c r="AB2823" s="374">
        <f>COUNTIFS(B:B,B2823,H:H,'סיווג התפקידים והעלויות'!$C$2)</f>
        <v>0</v>
      </c>
      <c r="AC2823" s="374">
        <f>COUNTIFS(B:B,B2823,H:H,'סיווג התפקידים והעלויות'!$D$2)</f>
        <v>0</v>
      </c>
      <c r="AD2823" s="374" t="str">
        <f>IF(OR(AND(H2823='סיווג התפקידים והעלויות'!$A$2,I2823='סיווג התפקידים והעלויות'!$A$3),'עלויות כח אדם (6)'!H2823='סיווג התפקידים והעלויות'!$C$2,'עלויות כח אדם (6)'!H2823='סיווג התפקידים והעלויות'!$D$2),IF('עלויות כח אדם (6)'!J2823&lt;75,"לא תקין","תקין"),"")</f>
        <v/>
      </c>
      <c r="AE2823" s="374" t="str">
        <f t="shared" si="659"/>
        <v/>
      </c>
      <c r="AF2823" s="532" t="str">
        <f t="shared" si="660"/>
        <v/>
      </c>
    </row>
    <row r="2824" spans="2:32" x14ac:dyDescent="0.25">
      <c r="B2824" s="695"/>
      <c r="C2824" s="197" t="str">
        <f>IF(B2824&lt;&gt;"",IFERROR(VLOOKUP(B:B,'מצבת והרשמה (2)'!$C$20:$N$520,2,0)," ")," ")</f>
        <v xml:space="preserve"> </v>
      </c>
      <c r="D2824" s="695"/>
      <c r="E2824" s="696"/>
      <c r="F2824" s="696"/>
      <c r="G2824" s="696"/>
      <c r="H2824" s="696"/>
      <c r="I2824" s="1050" t="str">
        <f t="shared" si="647"/>
        <v/>
      </c>
      <c r="J2824" s="696"/>
      <c r="K2824" s="697"/>
      <c r="L2824" s="696"/>
      <c r="M2824" s="198" t="str">
        <f t="shared" si="648"/>
        <v/>
      </c>
      <c r="N2824" s="369" t="str">
        <f t="shared" si="649"/>
        <v/>
      </c>
      <c r="O2824" s="183" t="str">
        <f t="shared" si="650"/>
        <v/>
      </c>
      <c r="P2824" s="199" t="str">
        <f t="shared" si="651"/>
        <v/>
      </c>
      <c r="Q2824" s="199" t="str">
        <f>IF(B2824="","",IFERROR(IF('עלויות כח אדם (6)'!J2824&gt;=VLOOKUP(I2824,'סיווג התפקידים והעלויות'!$B$23:$C$32,2,0),"תקין","לא תקין"),""))</f>
        <v/>
      </c>
      <c r="R2824" s="199" t="str">
        <f t="shared" si="652"/>
        <v/>
      </c>
      <c r="S2824" s="199" t="str">
        <f t="shared" si="653"/>
        <v/>
      </c>
      <c r="T2824" s="199" t="str">
        <f t="shared" si="661"/>
        <v/>
      </c>
      <c r="U2824" s="199" t="str">
        <f t="shared" si="654"/>
        <v/>
      </c>
      <c r="V2824" s="989"/>
      <c r="X2824" s="374" t="str">
        <f t="shared" si="655"/>
        <v/>
      </c>
      <c r="Y2824" s="375" t="str">
        <f t="shared" si="656"/>
        <v/>
      </c>
      <c r="Z2824" s="374" t="str">
        <f t="shared" si="657"/>
        <v/>
      </c>
      <c r="AA2824" s="374" t="b">
        <f t="shared" si="658"/>
        <v>1</v>
      </c>
      <c r="AB2824" s="374">
        <f>COUNTIFS(B:B,B2824,H:H,'סיווג התפקידים והעלויות'!$C$2)</f>
        <v>0</v>
      </c>
      <c r="AC2824" s="374">
        <f>COUNTIFS(B:B,B2824,H:H,'סיווג התפקידים והעלויות'!$D$2)</f>
        <v>0</v>
      </c>
      <c r="AD2824" s="374" t="str">
        <f>IF(OR(AND(H2824='סיווג התפקידים והעלויות'!$A$2,I2824='סיווג התפקידים והעלויות'!$A$3),'עלויות כח אדם (6)'!H2824='סיווג התפקידים והעלויות'!$C$2,'עלויות כח אדם (6)'!H2824='סיווג התפקידים והעלויות'!$D$2),IF('עלויות כח אדם (6)'!J2824&lt;75,"לא תקין","תקין"),"")</f>
        <v/>
      </c>
      <c r="AE2824" s="374" t="str">
        <f t="shared" si="659"/>
        <v/>
      </c>
      <c r="AF2824" s="532" t="str">
        <f t="shared" si="660"/>
        <v/>
      </c>
    </row>
    <row r="2825" spans="2:32" x14ac:dyDescent="0.25">
      <c r="B2825" s="695"/>
      <c r="C2825" s="197" t="str">
        <f>IF(B2825&lt;&gt;"",IFERROR(VLOOKUP(B:B,'מצבת והרשמה (2)'!$C$20:$N$520,2,0)," ")," ")</f>
        <v xml:space="preserve"> </v>
      </c>
      <c r="D2825" s="695"/>
      <c r="E2825" s="696"/>
      <c r="F2825" s="696"/>
      <c r="G2825" s="696"/>
      <c r="H2825" s="696"/>
      <c r="I2825" s="1050" t="str">
        <f t="shared" si="647"/>
        <v/>
      </c>
      <c r="J2825" s="696"/>
      <c r="K2825" s="697"/>
      <c r="L2825" s="696"/>
      <c r="M2825" s="198" t="str">
        <f t="shared" si="648"/>
        <v/>
      </c>
      <c r="N2825" s="369" t="str">
        <f t="shared" si="649"/>
        <v/>
      </c>
      <c r="O2825" s="183" t="str">
        <f t="shared" si="650"/>
        <v/>
      </c>
      <c r="P2825" s="199" t="str">
        <f t="shared" si="651"/>
        <v/>
      </c>
      <c r="Q2825" s="199" t="str">
        <f>IF(B2825="","",IFERROR(IF('עלויות כח אדם (6)'!J2825&gt;=VLOOKUP(I2825,'סיווג התפקידים והעלויות'!$B$23:$C$32,2,0),"תקין","לא תקין"),""))</f>
        <v/>
      </c>
      <c r="R2825" s="199" t="str">
        <f t="shared" si="652"/>
        <v/>
      </c>
      <c r="S2825" s="199" t="str">
        <f t="shared" si="653"/>
        <v/>
      </c>
      <c r="T2825" s="199" t="str">
        <f t="shared" si="661"/>
        <v/>
      </c>
      <c r="U2825" s="199" t="str">
        <f t="shared" si="654"/>
        <v/>
      </c>
      <c r="V2825" s="989"/>
      <c r="X2825" s="374" t="str">
        <f t="shared" si="655"/>
        <v/>
      </c>
      <c r="Y2825" s="375" t="str">
        <f t="shared" si="656"/>
        <v/>
      </c>
      <c r="Z2825" s="374" t="str">
        <f t="shared" si="657"/>
        <v/>
      </c>
      <c r="AA2825" s="374" t="b">
        <f t="shared" si="658"/>
        <v>1</v>
      </c>
      <c r="AB2825" s="374">
        <f>COUNTIFS(B:B,B2825,H:H,'סיווג התפקידים והעלויות'!$C$2)</f>
        <v>0</v>
      </c>
      <c r="AC2825" s="374">
        <f>COUNTIFS(B:B,B2825,H:H,'סיווג התפקידים והעלויות'!$D$2)</f>
        <v>0</v>
      </c>
      <c r="AD2825" s="374" t="str">
        <f>IF(OR(AND(H2825='סיווג התפקידים והעלויות'!$A$2,I2825='סיווג התפקידים והעלויות'!$A$3),'עלויות כח אדם (6)'!H2825='סיווג התפקידים והעלויות'!$C$2,'עלויות כח אדם (6)'!H2825='סיווג התפקידים והעלויות'!$D$2),IF('עלויות כח אדם (6)'!J2825&lt;75,"לא תקין","תקין"),"")</f>
        <v/>
      </c>
      <c r="AE2825" s="374" t="str">
        <f t="shared" si="659"/>
        <v/>
      </c>
      <c r="AF2825" s="532" t="str">
        <f t="shared" si="660"/>
        <v/>
      </c>
    </row>
    <row r="2826" spans="2:32" x14ac:dyDescent="0.25">
      <c r="B2826" s="695"/>
      <c r="C2826" s="197" t="str">
        <f>IF(B2826&lt;&gt;"",IFERROR(VLOOKUP(B:B,'מצבת והרשמה (2)'!$C$20:$N$520,2,0)," ")," ")</f>
        <v xml:space="preserve"> </v>
      </c>
      <c r="D2826" s="695"/>
      <c r="E2826" s="696"/>
      <c r="F2826" s="696"/>
      <c r="G2826" s="696"/>
      <c r="H2826" s="696"/>
      <c r="I2826" s="1050" t="str">
        <f t="shared" si="647"/>
        <v/>
      </c>
      <c r="J2826" s="696"/>
      <c r="K2826" s="697"/>
      <c r="L2826" s="696"/>
      <c r="M2826" s="198" t="str">
        <f t="shared" si="648"/>
        <v/>
      </c>
      <c r="N2826" s="369" t="str">
        <f t="shared" si="649"/>
        <v/>
      </c>
      <c r="O2826" s="183" t="str">
        <f t="shared" si="650"/>
        <v/>
      </c>
      <c r="P2826" s="199" t="str">
        <f t="shared" si="651"/>
        <v/>
      </c>
      <c r="Q2826" s="199" t="str">
        <f>IF(B2826="","",IFERROR(IF('עלויות כח אדם (6)'!J2826&gt;=VLOOKUP(I2826,'סיווג התפקידים והעלויות'!$B$23:$C$32,2,0),"תקין","לא תקין"),""))</f>
        <v/>
      </c>
      <c r="R2826" s="199" t="str">
        <f t="shared" si="652"/>
        <v/>
      </c>
      <c r="S2826" s="199" t="str">
        <f t="shared" si="653"/>
        <v/>
      </c>
      <c r="T2826" s="199" t="str">
        <f t="shared" si="661"/>
        <v/>
      </c>
      <c r="U2826" s="199" t="str">
        <f t="shared" si="654"/>
        <v/>
      </c>
      <c r="V2826" s="989"/>
      <c r="X2826" s="374" t="str">
        <f t="shared" si="655"/>
        <v/>
      </c>
      <c r="Y2826" s="375" t="str">
        <f t="shared" si="656"/>
        <v/>
      </c>
      <c r="Z2826" s="374" t="str">
        <f t="shared" si="657"/>
        <v/>
      </c>
      <c r="AA2826" s="374" t="b">
        <f t="shared" si="658"/>
        <v>1</v>
      </c>
      <c r="AB2826" s="374">
        <f>COUNTIFS(B:B,B2826,H:H,'סיווג התפקידים והעלויות'!$C$2)</f>
        <v>0</v>
      </c>
      <c r="AC2826" s="374">
        <f>COUNTIFS(B:B,B2826,H:H,'סיווג התפקידים והעלויות'!$D$2)</f>
        <v>0</v>
      </c>
      <c r="AD2826" s="374" t="str">
        <f>IF(OR(AND(H2826='סיווג התפקידים והעלויות'!$A$2,I2826='סיווג התפקידים והעלויות'!$A$3),'עלויות כח אדם (6)'!H2826='סיווג התפקידים והעלויות'!$C$2,'עלויות כח אדם (6)'!H2826='סיווג התפקידים והעלויות'!$D$2),IF('עלויות כח אדם (6)'!J2826&lt;75,"לא תקין","תקין"),"")</f>
        <v/>
      </c>
      <c r="AE2826" s="374" t="str">
        <f t="shared" si="659"/>
        <v/>
      </c>
      <c r="AF2826" s="532" t="str">
        <f t="shared" si="660"/>
        <v/>
      </c>
    </row>
    <row r="2827" spans="2:32" x14ac:dyDescent="0.25">
      <c r="B2827" s="695"/>
      <c r="C2827" s="197" t="str">
        <f>IF(B2827&lt;&gt;"",IFERROR(VLOOKUP(B:B,'מצבת והרשמה (2)'!$C$20:$N$520,2,0)," ")," ")</f>
        <v xml:space="preserve"> </v>
      </c>
      <c r="D2827" s="695"/>
      <c r="E2827" s="696"/>
      <c r="F2827" s="696"/>
      <c r="G2827" s="696"/>
      <c r="H2827" s="696"/>
      <c r="I2827" s="1050" t="str">
        <f t="shared" si="647"/>
        <v/>
      </c>
      <c r="J2827" s="696"/>
      <c r="K2827" s="697"/>
      <c r="L2827" s="696"/>
      <c r="M2827" s="198" t="str">
        <f t="shared" si="648"/>
        <v/>
      </c>
      <c r="N2827" s="369" t="str">
        <f t="shared" si="649"/>
        <v/>
      </c>
      <c r="O2827" s="183" t="str">
        <f t="shared" si="650"/>
        <v/>
      </c>
      <c r="P2827" s="199" t="str">
        <f t="shared" si="651"/>
        <v/>
      </c>
      <c r="Q2827" s="199" t="str">
        <f>IF(B2827="","",IFERROR(IF('עלויות כח אדם (6)'!J2827&gt;=VLOOKUP(I2827,'סיווג התפקידים והעלויות'!$B$23:$C$32,2,0),"תקין","לא תקין"),""))</f>
        <v/>
      </c>
      <c r="R2827" s="199" t="str">
        <f t="shared" si="652"/>
        <v/>
      </c>
      <c r="S2827" s="199" t="str">
        <f t="shared" si="653"/>
        <v/>
      </c>
      <c r="T2827" s="199" t="str">
        <f t="shared" si="661"/>
        <v/>
      </c>
      <c r="U2827" s="199" t="str">
        <f t="shared" si="654"/>
        <v/>
      </c>
      <c r="V2827" s="989"/>
      <c r="X2827" s="374" t="str">
        <f t="shared" si="655"/>
        <v/>
      </c>
      <c r="Y2827" s="375" t="str">
        <f t="shared" si="656"/>
        <v/>
      </c>
      <c r="Z2827" s="374" t="str">
        <f t="shared" si="657"/>
        <v/>
      </c>
      <c r="AA2827" s="374" t="b">
        <f t="shared" si="658"/>
        <v>1</v>
      </c>
      <c r="AB2827" s="374">
        <f>COUNTIFS(B:B,B2827,H:H,'סיווג התפקידים והעלויות'!$C$2)</f>
        <v>0</v>
      </c>
      <c r="AC2827" s="374">
        <f>COUNTIFS(B:B,B2827,H:H,'סיווג התפקידים והעלויות'!$D$2)</f>
        <v>0</v>
      </c>
      <c r="AD2827" s="374" t="str">
        <f>IF(OR(AND(H2827='סיווג התפקידים והעלויות'!$A$2,I2827='סיווג התפקידים והעלויות'!$A$3),'עלויות כח אדם (6)'!H2827='סיווג התפקידים והעלויות'!$C$2,'עלויות כח אדם (6)'!H2827='סיווג התפקידים והעלויות'!$D$2),IF('עלויות כח אדם (6)'!J2827&lt;75,"לא תקין","תקין"),"")</f>
        <v/>
      </c>
      <c r="AE2827" s="374" t="str">
        <f t="shared" si="659"/>
        <v/>
      </c>
      <c r="AF2827" s="532" t="str">
        <f t="shared" si="660"/>
        <v/>
      </c>
    </row>
    <row r="2828" spans="2:32" x14ac:dyDescent="0.25">
      <c r="B2828" s="695"/>
      <c r="C2828" s="197" t="str">
        <f>IF(B2828&lt;&gt;"",IFERROR(VLOOKUP(B:B,'מצבת והרשמה (2)'!$C$20:$N$520,2,0)," ")," ")</f>
        <v xml:space="preserve"> </v>
      </c>
      <c r="D2828" s="695"/>
      <c r="E2828" s="696"/>
      <c r="F2828" s="696"/>
      <c r="G2828" s="696"/>
      <c r="H2828" s="696"/>
      <c r="I2828" s="1050" t="str">
        <f t="shared" si="647"/>
        <v/>
      </c>
      <c r="J2828" s="696"/>
      <c r="K2828" s="697"/>
      <c r="L2828" s="696"/>
      <c r="M2828" s="198" t="str">
        <f t="shared" si="648"/>
        <v/>
      </c>
      <c r="N2828" s="369" t="str">
        <f t="shared" si="649"/>
        <v/>
      </c>
      <c r="O2828" s="183" t="str">
        <f t="shared" si="650"/>
        <v/>
      </c>
      <c r="P2828" s="199" t="str">
        <f t="shared" si="651"/>
        <v/>
      </c>
      <c r="Q2828" s="199" t="str">
        <f>IF(B2828="","",IFERROR(IF('עלויות כח אדם (6)'!J2828&gt;=VLOOKUP(I2828,'סיווג התפקידים והעלויות'!$B$23:$C$32,2,0),"תקין","לא תקין"),""))</f>
        <v/>
      </c>
      <c r="R2828" s="199" t="str">
        <f t="shared" si="652"/>
        <v/>
      </c>
      <c r="S2828" s="199" t="str">
        <f t="shared" si="653"/>
        <v/>
      </c>
      <c r="T2828" s="199" t="str">
        <f t="shared" si="661"/>
        <v/>
      </c>
      <c r="U2828" s="199" t="str">
        <f t="shared" si="654"/>
        <v/>
      </c>
      <c r="V2828" s="989"/>
      <c r="X2828" s="374" t="str">
        <f t="shared" si="655"/>
        <v/>
      </c>
      <c r="Y2828" s="375" t="str">
        <f t="shared" si="656"/>
        <v/>
      </c>
      <c r="Z2828" s="374" t="str">
        <f t="shared" si="657"/>
        <v/>
      </c>
      <c r="AA2828" s="374" t="b">
        <f t="shared" si="658"/>
        <v>1</v>
      </c>
      <c r="AB2828" s="374">
        <f>COUNTIFS(B:B,B2828,H:H,'סיווג התפקידים והעלויות'!$C$2)</f>
        <v>0</v>
      </c>
      <c r="AC2828" s="374">
        <f>COUNTIFS(B:B,B2828,H:H,'סיווג התפקידים והעלויות'!$D$2)</f>
        <v>0</v>
      </c>
      <c r="AD2828" s="374" t="str">
        <f>IF(OR(AND(H2828='סיווג התפקידים והעלויות'!$A$2,I2828='סיווג התפקידים והעלויות'!$A$3),'עלויות כח אדם (6)'!H2828='סיווג התפקידים והעלויות'!$C$2,'עלויות כח אדם (6)'!H2828='סיווג התפקידים והעלויות'!$D$2),IF('עלויות כח אדם (6)'!J2828&lt;75,"לא תקין","תקין"),"")</f>
        <v/>
      </c>
      <c r="AE2828" s="374" t="str">
        <f t="shared" si="659"/>
        <v/>
      </c>
      <c r="AF2828" s="532" t="str">
        <f t="shared" si="660"/>
        <v/>
      </c>
    </row>
    <row r="2829" spans="2:32" x14ac:dyDescent="0.25">
      <c r="B2829" s="695"/>
      <c r="C2829" s="197" t="str">
        <f>IF(B2829&lt;&gt;"",IFERROR(VLOOKUP(B:B,'מצבת והרשמה (2)'!$C$20:$N$520,2,0)," ")," ")</f>
        <v xml:space="preserve"> </v>
      </c>
      <c r="D2829" s="695"/>
      <c r="E2829" s="696"/>
      <c r="F2829" s="696"/>
      <c r="G2829" s="696"/>
      <c r="H2829" s="696"/>
      <c r="I2829" s="1050" t="str">
        <f t="shared" si="647"/>
        <v/>
      </c>
      <c r="J2829" s="696"/>
      <c r="K2829" s="697"/>
      <c r="L2829" s="696"/>
      <c r="M2829" s="198" t="str">
        <f t="shared" si="648"/>
        <v/>
      </c>
      <c r="N2829" s="369" t="str">
        <f t="shared" si="649"/>
        <v/>
      </c>
      <c r="O2829" s="183" t="str">
        <f t="shared" si="650"/>
        <v/>
      </c>
      <c r="P2829" s="199" t="str">
        <f t="shared" si="651"/>
        <v/>
      </c>
      <c r="Q2829" s="199" t="str">
        <f>IF(B2829="","",IFERROR(IF('עלויות כח אדם (6)'!J2829&gt;=VLOOKUP(I2829,'סיווג התפקידים והעלויות'!$B$23:$C$32,2,0),"תקין","לא תקין"),""))</f>
        <v/>
      </c>
      <c r="R2829" s="199" t="str">
        <f t="shared" si="652"/>
        <v/>
      </c>
      <c r="S2829" s="199" t="str">
        <f t="shared" si="653"/>
        <v/>
      </c>
      <c r="T2829" s="199" t="str">
        <f t="shared" si="661"/>
        <v/>
      </c>
      <c r="U2829" s="199" t="str">
        <f t="shared" si="654"/>
        <v/>
      </c>
      <c r="V2829" s="989"/>
      <c r="X2829" s="374" t="str">
        <f t="shared" si="655"/>
        <v/>
      </c>
      <c r="Y2829" s="375" t="str">
        <f t="shared" si="656"/>
        <v/>
      </c>
      <c r="Z2829" s="374" t="str">
        <f t="shared" si="657"/>
        <v/>
      </c>
      <c r="AA2829" s="374" t="b">
        <f t="shared" si="658"/>
        <v>1</v>
      </c>
      <c r="AB2829" s="374">
        <f>COUNTIFS(B:B,B2829,H:H,'סיווג התפקידים והעלויות'!$C$2)</f>
        <v>0</v>
      </c>
      <c r="AC2829" s="374">
        <f>COUNTIFS(B:B,B2829,H:H,'סיווג התפקידים והעלויות'!$D$2)</f>
        <v>0</v>
      </c>
      <c r="AD2829" s="374" t="str">
        <f>IF(OR(AND(H2829='סיווג התפקידים והעלויות'!$A$2,I2829='סיווג התפקידים והעלויות'!$A$3),'עלויות כח אדם (6)'!H2829='סיווג התפקידים והעלויות'!$C$2,'עלויות כח אדם (6)'!H2829='סיווג התפקידים והעלויות'!$D$2),IF('עלויות כח אדם (6)'!J2829&lt;75,"לא תקין","תקין"),"")</f>
        <v/>
      </c>
      <c r="AE2829" s="374" t="str">
        <f t="shared" si="659"/>
        <v/>
      </c>
      <c r="AF2829" s="532" t="str">
        <f t="shared" si="660"/>
        <v/>
      </c>
    </row>
    <row r="2830" spans="2:32" x14ac:dyDescent="0.25">
      <c r="B2830" s="695"/>
      <c r="C2830" s="197" t="str">
        <f>IF(B2830&lt;&gt;"",IFERROR(VLOOKUP(B:B,'מצבת והרשמה (2)'!$C$20:$N$520,2,0)," ")," ")</f>
        <v xml:space="preserve"> </v>
      </c>
      <c r="D2830" s="695"/>
      <c r="E2830" s="696"/>
      <c r="F2830" s="696"/>
      <c r="G2830" s="696"/>
      <c r="H2830" s="696"/>
      <c r="I2830" s="1050" t="str">
        <f t="shared" si="647"/>
        <v/>
      </c>
      <c r="J2830" s="696"/>
      <c r="K2830" s="697"/>
      <c r="L2830" s="696"/>
      <c r="M2830" s="198" t="str">
        <f t="shared" si="648"/>
        <v/>
      </c>
      <c r="N2830" s="369" t="str">
        <f t="shared" si="649"/>
        <v/>
      </c>
      <c r="O2830" s="183" t="str">
        <f t="shared" si="650"/>
        <v/>
      </c>
      <c r="P2830" s="199" t="str">
        <f t="shared" si="651"/>
        <v/>
      </c>
      <c r="Q2830" s="199" t="str">
        <f>IF(B2830="","",IFERROR(IF('עלויות כח אדם (6)'!J2830&gt;=VLOOKUP(I2830,'סיווג התפקידים והעלויות'!$B$23:$C$32,2,0),"תקין","לא תקין"),""))</f>
        <v/>
      </c>
      <c r="R2830" s="199" t="str">
        <f t="shared" si="652"/>
        <v/>
      </c>
      <c r="S2830" s="199" t="str">
        <f t="shared" si="653"/>
        <v/>
      </c>
      <c r="T2830" s="199" t="str">
        <f t="shared" si="661"/>
        <v/>
      </c>
      <c r="U2830" s="199" t="str">
        <f t="shared" si="654"/>
        <v/>
      </c>
      <c r="V2830" s="989"/>
      <c r="X2830" s="374" t="str">
        <f t="shared" si="655"/>
        <v/>
      </c>
      <c r="Y2830" s="375" t="str">
        <f t="shared" si="656"/>
        <v/>
      </c>
      <c r="Z2830" s="374" t="str">
        <f t="shared" si="657"/>
        <v/>
      </c>
      <c r="AA2830" s="374" t="b">
        <f t="shared" si="658"/>
        <v>1</v>
      </c>
      <c r="AB2830" s="374">
        <f>COUNTIFS(B:B,B2830,H:H,'סיווג התפקידים והעלויות'!$C$2)</f>
        <v>0</v>
      </c>
      <c r="AC2830" s="374">
        <f>COUNTIFS(B:B,B2830,H:H,'סיווג התפקידים והעלויות'!$D$2)</f>
        <v>0</v>
      </c>
      <c r="AD2830" s="374" t="str">
        <f>IF(OR(AND(H2830='סיווג התפקידים והעלויות'!$A$2,I2830='סיווג התפקידים והעלויות'!$A$3),'עלויות כח אדם (6)'!H2830='סיווג התפקידים והעלויות'!$C$2,'עלויות כח אדם (6)'!H2830='סיווג התפקידים והעלויות'!$D$2),IF('עלויות כח אדם (6)'!J2830&lt;75,"לא תקין","תקין"),"")</f>
        <v/>
      </c>
      <c r="AE2830" s="374" t="str">
        <f t="shared" si="659"/>
        <v/>
      </c>
      <c r="AF2830" s="532" t="str">
        <f t="shared" si="660"/>
        <v/>
      </c>
    </row>
    <row r="2831" spans="2:32" x14ac:dyDescent="0.25">
      <c r="B2831" s="695"/>
      <c r="C2831" s="197" t="str">
        <f>IF(B2831&lt;&gt;"",IFERROR(VLOOKUP(B:B,'מצבת והרשמה (2)'!$C$20:$N$520,2,0)," ")," ")</f>
        <v xml:space="preserve"> </v>
      </c>
      <c r="D2831" s="695"/>
      <c r="E2831" s="696"/>
      <c r="F2831" s="696"/>
      <c r="G2831" s="696"/>
      <c r="H2831" s="696"/>
      <c r="I2831" s="1050" t="str">
        <f t="shared" ref="I2831:I2894" si="662">SUBSTITUTE(IFERROR(IF(H2831="מדצ","מדצ/ית",IF(H2831="סגנית רכזת מעל 150","סגנ/ית רכז/ת&gt;150",IF(H2831="רכזת תכנית בבית הספר","רכז/ת תכנית בבית הספר"))),""),"FALSE","")</f>
        <v/>
      </c>
      <c r="J2831" s="696"/>
      <c r="K2831" s="697"/>
      <c r="L2831" s="696"/>
      <c r="M2831" s="198" t="str">
        <f t="shared" ref="M2831:M2894" si="663">IF(AND(L2831&gt;0,K2831&gt;0),K2831*L2831,"")</f>
        <v/>
      </c>
      <c r="N2831" s="369" t="str">
        <f t="shared" ref="N2831:N2894" si="664">TEXT(LEFT(H2831,2),0)</f>
        <v/>
      </c>
      <c r="O2831" s="183" t="str">
        <f t="shared" ref="O2831:O2894" si="665">IF(ISNUMBER(M2831&gt;0),IF(ISBLANK(B2831),"יש להזין סמל מוסד בעמודה B",""),"")</f>
        <v/>
      </c>
      <c r="P2831" s="199" t="str">
        <f t="shared" ref="P2831:P2894" si="666">IF(B2831="","",IF(AA2831=FALSE,"לא תקין","תקין"))</f>
        <v/>
      </c>
      <c r="Q2831" s="199" t="str">
        <f>IF(B2831="","",IFERROR(IF('עלויות כח אדם (6)'!J2831&gt;=VLOOKUP(I2831,'סיווג התפקידים והעלויות'!$B$23:$C$32,2,0),"תקין","לא תקין"),""))</f>
        <v/>
      </c>
      <c r="R2831" s="199" t="str">
        <f t="shared" ref="R2831:R2894" si="667">IF(B2831="","",IF(OR(Y2831&lt;100%,Y2831&gt;140%),"לא תקין","תקין"))</f>
        <v/>
      </c>
      <c r="S2831" s="199" t="str">
        <f t="shared" ref="S2831:S2894" si="668">IF(B2831="","",IFERROR(IF(J2831&gt;120,"לא תקין","תקין"),""))</f>
        <v/>
      </c>
      <c r="T2831" s="199" t="str">
        <f t="shared" si="661"/>
        <v/>
      </c>
      <c r="U2831" s="199" t="str">
        <f t="shared" ref="U2831:U2894" si="669">IF(B2831="","",IF(Z2831&gt;1,IF(SUMIF(D:D,D2831,L:L)&gt;90,"לא תקין","תקין"),"תקין"))</f>
        <v/>
      </c>
      <c r="V2831" s="989"/>
      <c r="X2831" s="374" t="str">
        <f t="shared" ref="X2831:X2894" si="670">IF(B2831="","",IF(OR(R2831="לא תקין",S2831="לא תקין",T2831="לא תקין",,U2831="לא תקין"),"לא תקין","תקין"))</f>
        <v/>
      </c>
      <c r="Y2831" s="375" t="str">
        <f t="shared" ref="Y2831:Y2894" si="671">IFERROR(IF(B2831="","",K2831/J2831),"")</f>
        <v/>
      </c>
      <c r="Z2831" s="374" t="str">
        <f t="shared" ref="Z2831:Z2894" si="672">IF(B2831="","",COUNTIF(D:D,D2831))</f>
        <v/>
      </c>
      <c r="AA2831" s="374" t="b">
        <f t="shared" ref="AA2831:AA2894" si="673">MOD(MID(REPT(0,9-LEN(D2831))&amp;D2831,1,1)+MID("0246813579",MID(REPT(0,9-LEN(D2831))&amp;D2831,2,1)+1,1)+MID(REPT(0,9-LEN(D2831))&amp;D2831,3,1)+MID("0246813579",MID(REPT(0,9-LEN(D2831))&amp;D2831,4,1)+1,1)+MID(REPT(0,9-LEN(D2831))&amp;D2831,5,1)+MID("0246813579",MID(REPT(0,9-LEN(D2831))&amp;D2831,6,1)+1,1)+MID(REPT(0,9-LEN(D2831))&amp;D2831,7,1)+MID("0246813579",MID(REPT(0,9-LEN(D2831))&amp;D2831,8,1)+1,1)+MID(REPT(0,9-LEN(D2831))&amp;D2831,9,1),10)=0</f>
        <v>1</v>
      </c>
      <c r="AB2831" s="374">
        <f>COUNTIFS(B:B,B2831,H:H,'סיווג התפקידים והעלויות'!$C$2)</f>
        <v>0</v>
      </c>
      <c r="AC2831" s="374">
        <f>COUNTIFS(B:B,B2831,H:H,'סיווג התפקידים והעלויות'!$D$2)</f>
        <v>0</v>
      </c>
      <c r="AD2831" s="374" t="str">
        <f>IF(OR(AND(H2831='סיווג התפקידים והעלויות'!$A$2,I2831='סיווג התפקידים והעלויות'!$A$3),'עלויות כח אדם (6)'!H2831='סיווג התפקידים והעלויות'!$C$2,'עלויות כח אדם (6)'!H2831='סיווג התפקידים והעלויות'!$D$2),IF('עלויות כח אדם (6)'!J2831&lt;75,"לא תקין","תקין"),"")</f>
        <v/>
      </c>
      <c r="AE2831" s="374" t="str">
        <f t="shared" ref="AE2831:AE2894" si="674">IF(B2831&lt;&gt;"",B2831&amp;H2831,"")</f>
        <v/>
      </c>
      <c r="AF2831" s="532" t="str">
        <f t="shared" ref="AF2831:AF2894" si="675">M2831</f>
        <v/>
      </c>
    </row>
    <row r="2832" spans="2:32" x14ac:dyDescent="0.25">
      <c r="B2832" s="695"/>
      <c r="C2832" s="197" t="str">
        <f>IF(B2832&lt;&gt;"",IFERROR(VLOOKUP(B:B,'מצבת והרשמה (2)'!$C$20:$N$520,2,0)," ")," ")</f>
        <v xml:space="preserve"> </v>
      </c>
      <c r="D2832" s="695"/>
      <c r="E2832" s="696"/>
      <c r="F2832" s="696"/>
      <c r="G2832" s="696"/>
      <c r="H2832" s="696"/>
      <c r="I2832" s="1050" t="str">
        <f t="shared" si="662"/>
        <v/>
      </c>
      <c r="J2832" s="696"/>
      <c r="K2832" s="697"/>
      <c r="L2832" s="696"/>
      <c r="M2832" s="198" t="str">
        <f t="shared" si="663"/>
        <v/>
      </c>
      <c r="N2832" s="369" t="str">
        <f t="shared" si="664"/>
        <v/>
      </c>
      <c r="O2832" s="183" t="str">
        <f t="shared" si="665"/>
        <v/>
      </c>
      <c r="P2832" s="199" t="str">
        <f t="shared" si="666"/>
        <v/>
      </c>
      <c r="Q2832" s="199" t="str">
        <f>IF(B2832="","",IFERROR(IF('עלויות כח אדם (6)'!J2832&gt;=VLOOKUP(I2832,'סיווג התפקידים והעלויות'!$B$23:$C$32,2,0),"תקין","לא תקין"),""))</f>
        <v/>
      </c>
      <c r="R2832" s="199" t="str">
        <f t="shared" si="667"/>
        <v/>
      </c>
      <c r="S2832" s="199" t="str">
        <f t="shared" si="668"/>
        <v/>
      </c>
      <c r="T2832" s="199" t="str">
        <f t="shared" ref="T2832:T2895" si="676">IF(B2832="","",IF(H2832="","יש להזין איש צוות",IF(OR(H2832="מורה",H2832="גננת",H2832="רכז גן",H2832="רכזת גן",H2832="סייעת",H2832="מדצית",H2832="מדצ",H2832="מדריך",H2832="מדריכה",H2832="תוספת כח אדם"),IF(L2832&lt;=90,"תקין","לא תקין"),IF(OR(H2832="רכז בית ספר",H2832="רכזת תכנית בבית הספר",H2832="רכזת בית ספר"),IF(L2832&lt;=137,"תקין","לא תקין"),IF(OR(H2832="סגנית רכזת מעל 150",H2832="סגן רכז"),IF(L2832&lt;=93,"תקין","לא תקין"),"לא תקין")))))</f>
        <v/>
      </c>
      <c r="U2832" s="199" t="str">
        <f t="shared" si="669"/>
        <v/>
      </c>
      <c r="V2832" s="989"/>
      <c r="X2832" s="374" t="str">
        <f t="shared" si="670"/>
        <v/>
      </c>
      <c r="Y2832" s="375" t="str">
        <f t="shared" si="671"/>
        <v/>
      </c>
      <c r="Z2832" s="374" t="str">
        <f t="shared" si="672"/>
        <v/>
      </c>
      <c r="AA2832" s="374" t="b">
        <f t="shared" si="673"/>
        <v>1</v>
      </c>
      <c r="AB2832" s="374">
        <f>COUNTIFS(B:B,B2832,H:H,'סיווג התפקידים והעלויות'!$C$2)</f>
        <v>0</v>
      </c>
      <c r="AC2832" s="374">
        <f>COUNTIFS(B:B,B2832,H:H,'סיווג התפקידים והעלויות'!$D$2)</f>
        <v>0</v>
      </c>
      <c r="AD2832" s="374" t="str">
        <f>IF(OR(AND(H2832='סיווג התפקידים והעלויות'!$A$2,I2832='סיווג התפקידים והעלויות'!$A$3),'עלויות כח אדם (6)'!H2832='סיווג התפקידים והעלויות'!$C$2,'עלויות כח אדם (6)'!H2832='סיווג התפקידים והעלויות'!$D$2),IF('עלויות כח אדם (6)'!J2832&lt;75,"לא תקין","תקין"),"")</f>
        <v/>
      </c>
      <c r="AE2832" s="374" t="str">
        <f t="shared" si="674"/>
        <v/>
      </c>
      <c r="AF2832" s="532" t="str">
        <f t="shared" si="675"/>
        <v/>
      </c>
    </row>
    <row r="2833" spans="2:32" x14ac:dyDescent="0.25">
      <c r="B2833" s="695"/>
      <c r="C2833" s="197" t="str">
        <f>IF(B2833&lt;&gt;"",IFERROR(VLOOKUP(B:B,'מצבת והרשמה (2)'!$C$20:$N$520,2,0)," ")," ")</f>
        <v xml:space="preserve"> </v>
      </c>
      <c r="D2833" s="695"/>
      <c r="E2833" s="696"/>
      <c r="F2833" s="696"/>
      <c r="G2833" s="696"/>
      <c r="H2833" s="696"/>
      <c r="I2833" s="1050" t="str">
        <f t="shared" si="662"/>
        <v/>
      </c>
      <c r="J2833" s="696"/>
      <c r="K2833" s="697"/>
      <c r="L2833" s="696"/>
      <c r="M2833" s="198" t="str">
        <f t="shared" si="663"/>
        <v/>
      </c>
      <c r="N2833" s="369" t="str">
        <f t="shared" si="664"/>
        <v/>
      </c>
      <c r="O2833" s="183" t="str">
        <f t="shared" si="665"/>
        <v/>
      </c>
      <c r="P2833" s="199" t="str">
        <f t="shared" si="666"/>
        <v/>
      </c>
      <c r="Q2833" s="199" t="str">
        <f>IF(B2833="","",IFERROR(IF('עלויות כח אדם (6)'!J2833&gt;=VLOOKUP(I2833,'סיווג התפקידים והעלויות'!$B$23:$C$32,2,0),"תקין","לא תקין"),""))</f>
        <v/>
      </c>
      <c r="R2833" s="199" t="str">
        <f t="shared" si="667"/>
        <v/>
      </c>
      <c r="S2833" s="199" t="str">
        <f t="shared" si="668"/>
        <v/>
      </c>
      <c r="T2833" s="199" t="str">
        <f t="shared" si="676"/>
        <v/>
      </c>
      <c r="U2833" s="199" t="str">
        <f t="shared" si="669"/>
        <v/>
      </c>
      <c r="V2833" s="989"/>
      <c r="X2833" s="374" t="str">
        <f t="shared" si="670"/>
        <v/>
      </c>
      <c r="Y2833" s="375" t="str">
        <f t="shared" si="671"/>
        <v/>
      </c>
      <c r="Z2833" s="374" t="str">
        <f t="shared" si="672"/>
        <v/>
      </c>
      <c r="AA2833" s="374" t="b">
        <f t="shared" si="673"/>
        <v>1</v>
      </c>
      <c r="AB2833" s="374">
        <f>COUNTIFS(B:B,B2833,H:H,'סיווג התפקידים והעלויות'!$C$2)</f>
        <v>0</v>
      </c>
      <c r="AC2833" s="374">
        <f>COUNTIFS(B:B,B2833,H:H,'סיווג התפקידים והעלויות'!$D$2)</f>
        <v>0</v>
      </c>
      <c r="AD2833" s="374" t="str">
        <f>IF(OR(AND(H2833='סיווג התפקידים והעלויות'!$A$2,I2833='סיווג התפקידים והעלויות'!$A$3),'עלויות כח אדם (6)'!H2833='סיווג התפקידים והעלויות'!$C$2,'עלויות כח אדם (6)'!H2833='סיווג התפקידים והעלויות'!$D$2),IF('עלויות כח אדם (6)'!J2833&lt;75,"לא תקין","תקין"),"")</f>
        <v/>
      </c>
      <c r="AE2833" s="374" t="str">
        <f t="shared" si="674"/>
        <v/>
      </c>
      <c r="AF2833" s="532" t="str">
        <f t="shared" si="675"/>
        <v/>
      </c>
    </row>
    <row r="2834" spans="2:32" x14ac:dyDescent="0.25">
      <c r="B2834" s="695"/>
      <c r="C2834" s="197" t="str">
        <f>IF(B2834&lt;&gt;"",IFERROR(VLOOKUP(B:B,'מצבת והרשמה (2)'!$C$20:$N$520,2,0)," ")," ")</f>
        <v xml:space="preserve"> </v>
      </c>
      <c r="D2834" s="695"/>
      <c r="E2834" s="696"/>
      <c r="F2834" s="696"/>
      <c r="G2834" s="696"/>
      <c r="H2834" s="696"/>
      <c r="I2834" s="1050" t="str">
        <f t="shared" si="662"/>
        <v/>
      </c>
      <c r="J2834" s="696"/>
      <c r="K2834" s="697"/>
      <c r="L2834" s="696"/>
      <c r="M2834" s="198" t="str">
        <f t="shared" si="663"/>
        <v/>
      </c>
      <c r="N2834" s="369" t="str">
        <f t="shared" si="664"/>
        <v/>
      </c>
      <c r="O2834" s="183" t="str">
        <f t="shared" si="665"/>
        <v/>
      </c>
      <c r="P2834" s="199" t="str">
        <f t="shared" si="666"/>
        <v/>
      </c>
      <c r="Q2834" s="199" t="str">
        <f>IF(B2834="","",IFERROR(IF('עלויות כח אדם (6)'!J2834&gt;=VLOOKUP(I2834,'סיווג התפקידים והעלויות'!$B$23:$C$32,2,0),"תקין","לא תקין"),""))</f>
        <v/>
      </c>
      <c r="R2834" s="199" t="str">
        <f t="shared" si="667"/>
        <v/>
      </c>
      <c r="S2834" s="199" t="str">
        <f t="shared" si="668"/>
        <v/>
      </c>
      <c r="T2834" s="199" t="str">
        <f t="shared" si="676"/>
        <v/>
      </c>
      <c r="U2834" s="199" t="str">
        <f t="shared" si="669"/>
        <v/>
      </c>
      <c r="V2834" s="989"/>
      <c r="X2834" s="374" t="str">
        <f t="shared" si="670"/>
        <v/>
      </c>
      <c r="Y2834" s="375" t="str">
        <f t="shared" si="671"/>
        <v/>
      </c>
      <c r="Z2834" s="374" t="str">
        <f t="shared" si="672"/>
        <v/>
      </c>
      <c r="AA2834" s="374" t="b">
        <f t="shared" si="673"/>
        <v>1</v>
      </c>
      <c r="AB2834" s="374">
        <f>COUNTIFS(B:B,B2834,H:H,'סיווג התפקידים והעלויות'!$C$2)</f>
        <v>0</v>
      </c>
      <c r="AC2834" s="374">
        <f>COUNTIFS(B:B,B2834,H:H,'סיווג התפקידים והעלויות'!$D$2)</f>
        <v>0</v>
      </c>
      <c r="AD2834" s="374" t="str">
        <f>IF(OR(AND(H2834='סיווג התפקידים והעלויות'!$A$2,I2834='סיווג התפקידים והעלויות'!$A$3),'עלויות כח אדם (6)'!H2834='סיווג התפקידים והעלויות'!$C$2,'עלויות כח אדם (6)'!H2834='סיווג התפקידים והעלויות'!$D$2),IF('עלויות כח אדם (6)'!J2834&lt;75,"לא תקין","תקין"),"")</f>
        <v/>
      </c>
      <c r="AE2834" s="374" t="str">
        <f t="shared" si="674"/>
        <v/>
      </c>
      <c r="AF2834" s="532" t="str">
        <f t="shared" si="675"/>
        <v/>
      </c>
    </row>
    <row r="2835" spans="2:32" x14ac:dyDescent="0.25">
      <c r="B2835" s="695"/>
      <c r="C2835" s="197" t="str">
        <f>IF(B2835&lt;&gt;"",IFERROR(VLOOKUP(B:B,'מצבת והרשמה (2)'!$C$20:$N$520,2,0)," ")," ")</f>
        <v xml:space="preserve"> </v>
      </c>
      <c r="D2835" s="695"/>
      <c r="E2835" s="696"/>
      <c r="F2835" s="696"/>
      <c r="G2835" s="696"/>
      <c r="H2835" s="696"/>
      <c r="I2835" s="1050" t="str">
        <f t="shared" si="662"/>
        <v/>
      </c>
      <c r="J2835" s="696"/>
      <c r="K2835" s="697"/>
      <c r="L2835" s="696"/>
      <c r="M2835" s="198" t="str">
        <f t="shared" si="663"/>
        <v/>
      </c>
      <c r="N2835" s="369" t="str">
        <f t="shared" si="664"/>
        <v/>
      </c>
      <c r="O2835" s="183" t="str">
        <f t="shared" si="665"/>
        <v/>
      </c>
      <c r="P2835" s="199" t="str">
        <f t="shared" si="666"/>
        <v/>
      </c>
      <c r="Q2835" s="199" t="str">
        <f>IF(B2835="","",IFERROR(IF('עלויות כח אדם (6)'!J2835&gt;=VLOOKUP(I2835,'סיווג התפקידים והעלויות'!$B$23:$C$32,2,0),"תקין","לא תקין"),""))</f>
        <v/>
      </c>
      <c r="R2835" s="199" t="str">
        <f t="shared" si="667"/>
        <v/>
      </c>
      <c r="S2835" s="199" t="str">
        <f t="shared" si="668"/>
        <v/>
      </c>
      <c r="T2835" s="199" t="str">
        <f t="shared" si="676"/>
        <v/>
      </c>
      <c r="U2835" s="199" t="str">
        <f t="shared" si="669"/>
        <v/>
      </c>
      <c r="V2835" s="989"/>
      <c r="X2835" s="374" t="str">
        <f t="shared" si="670"/>
        <v/>
      </c>
      <c r="Y2835" s="375" t="str">
        <f t="shared" si="671"/>
        <v/>
      </c>
      <c r="Z2835" s="374" t="str">
        <f t="shared" si="672"/>
        <v/>
      </c>
      <c r="AA2835" s="374" t="b">
        <f t="shared" si="673"/>
        <v>1</v>
      </c>
      <c r="AB2835" s="374">
        <f>COUNTIFS(B:B,B2835,H:H,'סיווג התפקידים והעלויות'!$C$2)</f>
        <v>0</v>
      </c>
      <c r="AC2835" s="374">
        <f>COUNTIFS(B:B,B2835,H:H,'סיווג התפקידים והעלויות'!$D$2)</f>
        <v>0</v>
      </c>
      <c r="AD2835" s="374" t="str">
        <f>IF(OR(AND(H2835='סיווג התפקידים והעלויות'!$A$2,I2835='סיווג התפקידים והעלויות'!$A$3),'עלויות כח אדם (6)'!H2835='סיווג התפקידים והעלויות'!$C$2,'עלויות כח אדם (6)'!H2835='סיווג התפקידים והעלויות'!$D$2),IF('עלויות כח אדם (6)'!J2835&lt;75,"לא תקין","תקין"),"")</f>
        <v/>
      </c>
      <c r="AE2835" s="374" t="str">
        <f t="shared" si="674"/>
        <v/>
      </c>
      <c r="AF2835" s="532" t="str">
        <f t="shared" si="675"/>
        <v/>
      </c>
    </row>
    <row r="2836" spans="2:32" x14ac:dyDescent="0.25">
      <c r="B2836" s="695"/>
      <c r="C2836" s="197" t="str">
        <f>IF(B2836&lt;&gt;"",IFERROR(VLOOKUP(B:B,'מצבת והרשמה (2)'!$C$20:$N$520,2,0)," ")," ")</f>
        <v xml:space="preserve"> </v>
      </c>
      <c r="D2836" s="695"/>
      <c r="E2836" s="696"/>
      <c r="F2836" s="696"/>
      <c r="G2836" s="696"/>
      <c r="H2836" s="696"/>
      <c r="I2836" s="1050" t="str">
        <f t="shared" si="662"/>
        <v/>
      </c>
      <c r="J2836" s="696"/>
      <c r="K2836" s="697"/>
      <c r="L2836" s="696"/>
      <c r="M2836" s="198" t="str">
        <f t="shared" si="663"/>
        <v/>
      </c>
      <c r="N2836" s="369" t="str">
        <f t="shared" si="664"/>
        <v/>
      </c>
      <c r="O2836" s="183" t="str">
        <f t="shared" si="665"/>
        <v/>
      </c>
      <c r="P2836" s="199" t="str">
        <f t="shared" si="666"/>
        <v/>
      </c>
      <c r="Q2836" s="199" t="str">
        <f>IF(B2836="","",IFERROR(IF('עלויות כח אדם (6)'!J2836&gt;=VLOOKUP(I2836,'סיווג התפקידים והעלויות'!$B$23:$C$32,2,0),"תקין","לא תקין"),""))</f>
        <v/>
      </c>
      <c r="R2836" s="199" t="str">
        <f t="shared" si="667"/>
        <v/>
      </c>
      <c r="S2836" s="199" t="str">
        <f t="shared" si="668"/>
        <v/>
      </c>
      <c r="T2836" s="199" t="str">
        <f t="shared" si="676"/>
        <v/>
      </c>
      <c r="U2836" s="199" t="str">
        <f t="shared" si="669"/>
        <v/>
      </c>
      <c r="V2836" s="989"/>
      <c r="X2836" s="374" t="str">
        <f t="shared" si="670"/>
        <v/>
      </c>
      <c r="Y2836" s="375" t="str">
        <f t="shared" si="671"/>
        <v/>
      </c>
      <c r="Z2836" s="374" t="str">
        <f t="shared" si="672"/>
        <v/>
      </c>
      <c r="AA2836" s="374" t="b">
        <f t="shared" si="673"/>
        <v>1</v>
      </c>
      <c r="AB2836" s="374">
        <f>COUNTIFS(B:B,B2836,H:H,'סיווג התפקידים והעלויות'!$C$2)</f>
        <v>0</v>
      </c>
      <c r="AC2836" s="374">
        <f>COUNTIFS(B:B,B2836,H:H,'סיווג התפקידים והעלויות'!$D$2)</f>
        <v>0</v>
      </c>
      <c r="AD2836" s="374" t="str">
        <f>IF(OR(AND(H2836='סיווג התפקידים והעלויות'!$A$2,I2836='סיווג התפקידים והעלויות'!$A$3),'עלויות כח אדם (6)'!H2836='סיווג התפקידים והעלויות'!$C$2,'עלויות כח אדם (6)'!H2836='סיווג התפקידים והעלויות'!$D$2),IF('עלויות כח אדם (6)'!J2836&lt;75,"לא תקין","תקין"),"")</f>
        <v/>
      </c>
      <c r="AE2836" s="374" t="str">
        <f t="shared" si="674"/>
        <v/>
      </c>
      <c r="AF2836" s="532" t="str">
        <f t="shared" si="675"/>
        <v/>
      </c>
    </row>
    <row r="2837" spans="2:32" x14ac:dyDescent="0.25">
      <c r="B2837" s="695"/>
      <c r="C2837" s="197" t="str">
        <f>IF(B2837&lt;&gt;"",IFERROR(VLOOKUP(B:B,'מצבת והרשמה (2)'!$C$20:$N$520,2,0)," ")," ")</f>
        <v xml:space="preserve"> </v>
      </c>
      <c r="D2837" s="695"/>
      <c r="E2837" s="696"/>
      <c r="F2837" s="696"/>
      <c r="G2837" s="696"/>
      <c r="H2837" s="696"/>
      <c r="I2837" s="1050" t="str">
        <f t="shared" si="662"/>
        <v/>
      </c>
      <c r="J2837" s="696"/>
      <c r="K2837" s="697"/>
      <c r="L2837" s="696"/>
      <c r="M2837" s="198" t="str">
        <f t="shared" si="663"/>
        <v/>
      </c>
      <c r="N2837" s="369" t="str">
        <f t="shared" si="664"/>
        <v/>
      </c>
      <c r="O2837" s="183" t="str">
        <f t="shared" si="665"/>
        <v/>
      </c>
      <c r="P2837" s="199" t="str">
        <f t="shared" si="666"/>
        <v/>
      </c>
      <c r="Q2837" s="199" t="str">
        <f>IF(B2837="","",IFERROR(IF('עלויות כח אדם (6)'!J2837&gt;=VLOOKUP(I2837,'סיווג התפקידים והעלויות'!$B$23:$C$32,2,0),"תקין","לא תקין"),""))</f>
        <v/>
      </c>
      <c r="R2837" s="199" t="str">
        <f t="shared" si="667"/>
        <v/>
      </c>
      <c r="S2837" s="199" t="str">
        <f t="shared" si="668"/>
        <v/>
      </c>
      <c r="T2837" s="199" t="str">
        <f t="shared" si="676"/>
        <v/>
      </c>
      <c r="U2837" s="199" t="str">
        <f t="shared" si="669"/>
        <v/>
      </c>
      <c r="V2837" s="989"/>
      <c r="X2837" s="374" t="str">
        <f t="shared" si="670"/>
        <v/>
      </c>
      <c r="Y2837" s="375" t="str">
        <f t="shared" si="671"/>
        <v/>
      </c>
      <c r="Z2837" s="374" t="str">
        <f t="shared" si="672"/>
        <v/>
      </c>
      <c r="AA2837" s="374" t="b">
        <f t="shared" si="673"/>
        <v>1</v>
      </c>
      <c r="AB2837" s="374">
        <f>COUNTIFS(B:B,B2837,H:H,'סיווג התפקידים והעלויות'!$C$2)</f>
        <v>0</v>
      </c>
      <c r="AC2837" s="374">
        <f>COUNTIFS(B:B,B2837,H:H,'סיווג התפקידים והעלויות'!$D$2)</f>
        <v>0</v>
      </c>
      <c r="AD2837" s="374" t="str">
        <f>IF(OR(AND(H2837='סיווג התפקידים והעלויות'!$A$2,I2837='סיווג התפקידים והעלויות'!$A$3),'עלויות כח אדם (6)'!H2837='סיווג התפקידים והעלויות'!$C$2,'עלויות כח אדם (6)'!H2837='סיווג התפקידים והעלויות'!$D$2),IF('עלויות כח אדם (6)'!J2837&lt;75,"לא תקין","תקין"),"")</f>
        <v/>
      </c>
      <c r="AE2837" s="374" t="str">
        <f t="shared" si="674"/>
        <v/>
      </c>
      <c r="AF2837" s="532" t="str">
        <f t="shared" si="675"/>
        <v/>
      </c>
    </row>
    <row r="2838" spans="2:32" x14ac:dyDescent="0.25">
      <c r="B2838" s="695"/>
      <c r="C2838" s="197" t="str">
        <f>IF(B2838&lt;&gt;"",IFERROR(VLOOKUP(B:B,'מצבת והרשמה (2)'!$C$20:$N$520,2,0)," ")," ")</f>
        <v xml:space="preserve"> </v>
      </c>
      <c r="D2838" s="695"/>
      <c r="E2838" s="696"/>
      <c r="F2838" s="696"/>
      <c r="G2838" s="696"/>
      <c r="H2838" s="696"/>
      <c r="I2838" s="1050" t="str">
        <f t="shared" si="662"/>
        <v/>
      </c>
      <c r="J2838" s="696"/>
      <c r="K2838" s="697"/>
      <c r="L2838" s="696"/>
      <c r="M2838" s="198" t="str">
        <f t="shared" si="663"/>
        <v/>
      </c>
      <c r="N2838" s="369" t="str">
        <f t="shared" si="664"/>
        <v/>
      </c>
      <c r="O2838" s="183" t="str">
        <f t="shared" si="665"/>
        <v/>
      </c>
      <c r="P2838" s="199" t="str">
        <f t="shared" si="666"/>
        <v/>
      </c>
      <c r="Q2838" s="199" t="str">
        <f>IF(B2838="","",IFERROR(IF('עלויות כח אדם (6)'!J2838&gt;=VLOOKUP(I2838,'סיווג התפקידים והעלויות'!$B$23:$C$32,2,0),"תקין","לא תקין"),""))</f>
        <v/>
      </c>
      <c r="R2838" s="199" t="str">
        <f t="shared" si="667"/>
        <v/>
      </c>
      <c r="S2838" s="199" t="str">
        <f t="shared" si="668"/>
        <v/>
      </c>
      <c r="T2838" s="199" t="str">
        <f t="shared" si="676"/>
        <v/>
      </c>
      <c r="U2838" s="199" t="str">
        <f t="shared" si="669"/>
        <v/>
      </c>
      <c r="V2838" s="989"/>
      <c r="X2838" s="374" t="str">
        <f t="shared" si="670"/>
        <v/>
      </c>
      <c r="Y2838" s="375" t="str">
        <f t="shared" si="671"/>
        <v/>
      </c>
      <c r="Z2838" s="374" t="str">
        <f t="shared" si="672"/>
        <v/>
      </c>
      <c r="AA2838" s="374" t="b">
        <f t="shared" si="673"/>
        <v>1</v>
      </c>
      <c r="AB2838" s="374">
        <f>COUNTIFS(B:B,B2838,H:H,'סיווג התפקידים והעלויות'!$C$2)</f>
        <v>0</v>
      </c>
      <c r="AC2838" s="374">
        <f>COUNTIFS(B:B,B2838,H:H,'סיווג התפקידים והעלויות'!$D$2)</f>
        <v>0</v>
      </c>
      <c r="AD2838" s="374" t="str">
        <f>IF(OR(AND(H2838='סיווג התפקידים והעלויות'!$A$2,I2838='סיווג התפקידים והעלויות'!$A$3),'עלויות כח אדם (6)'!H2838='סיווג התפקידים והעלויות'!$C$2,'עלויות כח אדם (6)'!H2838='סיווג התפקידים והעלויות'!$D$2),IF('עלויות כח אדם (6)'!J2838&lt;75,"לא תקין","תקין"),"")</f>
        <v/>
      </c>
      <c r="AE2838" s="374" t="str">
        <f t="shared" si="674"/>
        <v/>
      </c>
      <c r="AF2838" s="532" t="str">
        <f t="shared" si="675"/>
        <v/>
      </c>
    </row>
    <row r="2839" spans="2:32" x14ac:dyDescent="0.25">
      <c r="B2839" s="695"/>
      <c r="C2839" s="197" t="str">
        <f>IF(B2839&lt;&gt;"",IFERROR(VLOOKUP(B:B,'מצבת והרשמה (2)'!$C$20:$N$520,2,0)," ")," ")</f>
        <v xml:space="preserve"> </v>
      </c>
      <c r="D2839" s="695"/>
      <c r="E2839" s="696"/>
      <c r="F2839" s="696"/>
      <c r="G2839" s="696"/>
      <c r="H2839" s="696"/>
      <c r="I2839" s="1050" t="str">
        <f t="shared" si="662"/>
        <v/>
      </c>
      <c r="J2839" s="696"/>
      <c r="K2839" s="697"/>
      <c r="L2839" s="696"/>
      <c r="M2839" s="198" t="str">
        <f t="shared" si="663"/>
        <v/>
      </c>
      <c r="N2839" s="369" t="str">
        <f t="shared" si="664"/>
        <v/>
      </c>
      <c r="O2839" s="183" t="str">
        <f t="shared" si="665"/>
        <v/>
      </c>
      <c r="P2839" s="199" t="str">
        <f t="shared" si="666"/>
        <v/>
      </c>
      <c r="Q2839" s="199" t="str">
        <f>IF(B2839="","",IFERROR(IF('עלויות כח אדם (6)'!J2839&gt;=VLOOKUP(I2839,'סיווג התפקידים והעלויות'!$B$23:$C$32,2,0),"תקין","לא תקין"),""))</f>
        <v/>
      </c>
      <c r="R2839" s="199" t="str">
        <f t="shared" si="667"/>
        <v/>
      </c>
      <c r="S2839" s="199" t="str">
        <f t="shared" si="668"/>
        <v/>
      </c>
      <c r="T2839" s="199" t="str">
        <f t="shared" si="676"/>
        <v/>
      </c>
      <c r="U2839" s="199" t="str">
        <f t="shared" si="669"/>
        <v/>
      </c>
      <c r="V2839" s="989"/>
      <c r="X2839" s="374" t="str">
        <f t="shared" si="670"/>
        <v/>
      </c>
      <c r="Y2839" s="375" t="str">
        <f t="shared" si="671"/>
        <v/>
      </c>
      <c r="Z2839" s="374" t="str">
        <f t="shared" si="672"/>
        <v/>
      </c>
      <c r="AA2839" s="374" t="b">
        <f t="shared" si="673"/>
        <v>1</v>
      </c>
      <c r="AB2839" s="374">
        <f>COUNTIFS(B:B,B2839,H:H,'סיווג התפקידים והעלויות'!$C$2)</f>
        <v>0</v>
      </c>
      <c r="AC2839" s="374">
        <f>COUNTIFS(B:B,B2839,H:H,'סיווג התפקידים והעלויות'!$D$2)</f>
        <v>0</v>
      </c>
      <c r="AD2839" s="374" t="str">
        <f>IF(OR(AND(H2839='סיווג התפקידים והעלויות'!$A$2,I2839='סיווג התפקידים והעלויות'!$A$3),'עלויות כח אדם (6)'!H2839='סיווג התפקידים והעלויות'!$C$2,'עלויות כח אדם (6)'!H2839='סיווג התפקידים והעלויות'!$D$2),IF('עלויות כח אדם (6)'!J2839&lt;75,"לא תקין","תקין"),"")</f>
        <v/>
      </c>
      <c r="AE2839" s="374" t="str">
        <f t="shared" si="674"/>
        <v/>
      </c>
      <c r="AF2839" s="532" t="str">
        <f t="shared" si="675"/>
        <v/>
      </c>
    </row>
    <row r="2840" spans="2:32" x14ac:dyDescent="0.25">
      <c r="B2840" s="695"/>
      <c r="C2840" s="197" t="str">
        <f>IF(B2840&lt;&gt;"",IFERROR(VLOOKUP(B:B,'מצבת והרשמה (2)'!$C$20:$N$520,2,0)," ")," ")</f>
        <v xml:space="preserve"> </v>
      </c>
      <c r="D2840" s="695"/>
      <c r="E2840" s="696"/>
      <c r="F2840" s="696"/>
      <c r="G2840" s="696"/>
      <c r="H2840" s="696"/>
      <c r="I2840" s="1050" t="str">
        <f t="shared" si="662"/>
        <v/>
      </c>
      <c r="J2840" s="696"/>
      <c r="K2840" s="697"/>
      <c r="L2840" s="696"/>
      <c r="M2840" s="198" t="str">
        <f t="shared" si="663"/>
        <v/>
      </c>
      <c r="N2840" s="369" t="str">
        <f t="shared" si="664"/>
        <v/>
      </c>
      <c r="O2840" s="183" t="str">
        <f t="shared" si="665"/>
        <v/>
      </c>
      <c r="P2840" s="199" t="str">
        <f t="shared" si="666"/>
        <v/>
      </c>
      <c r="Q2840" s="199" t="str">
        <f>IF(B2840="","",IFERROR(IF('עלויות כח אדם (6)'!J2840&gt;=VLOOKUP(I2840,'סיווג התפקידים והעלויות'!$B$23:$C$32,2,0),"תקין","לא תקין"),""))</f>
        <v/>
      </c>
      <c r="R2840" s="199" t="str">
        <f t="shared" si="667"/>
        <v/>
      </c>
      <c r="S2840" s="199" t="str">
        <f t="shared" si="668"/>
        <v/>
      </c>
      <c r="T2840" s="199" t="str">
        <f t="shared" si="676"/>
        <v/>
      </c>
      <c r="U2840" s="199" t="str">
        <f t="shared" si="669"/>
        <v/>
      </c>
      <c r="V2840" s="989"/>
      <c r="X2840" s="374" t="str">
        <f t="shared" si="670"/>
        <v/>
      </c>
      <c r="Y2840" s="375" t="str">
        <f t="shared" si="671"/>
        <v/>
      </c>
      <c r="Z2840" s="374" t="str">
        <f t="shared" si="672"/>
        <v/>
      </c>
      <c r="AA2840" s="374" t="b">
        <f t="shared" si="673"/>
        <v>1</v>
      </c>
      <c r="AB2840" s="374">
        <f>COUNTIFS(B:B,B2840,H:H,'סיווג התפקידים והעלויות'!$C$2)</f>
        <v>0</v>
      </c>
      <c r="AC2840" s="374">
        <f>COUNTIFS(B:B,B2840,H:H,'סיווג התפקידים והעלויות'!$D$2)</f>
        <v>0</v>
      </c>
      <c r="AD2840" s="374" t="str">
        <f>IF(OR(AND(H2840='סיווג התפקידים והעלויות'!$A$2,I2840='סיווג התפקידים והעלויות'!$A$3),'עלויות כח אדם (6)'!H2840='סיווג התפקידים והעלויות'!$C$2,'עלויות כח אדם (6)'!H2840='סיווג התפקידים והעלויות'!$D$2),IF('עלויות כח אדם (6)'!J2840&lt;75,"לא תקין","תקין"),"")</f>
        <v/>
      </c>
      <c r="AE2840" s="374" t="str">
        <f t="shared" si="674"/>
        <v/>
      </c>
      <c r="AF2840" s="532" t="str">
        <f t="shared" si="675"/>
        <v/>
      </c>
    </row>
    <row r="2841" spans="2:32" x14ac:dyDescent="0.25">
      <c r="B2841" s="695"/>
      <c r="C2841" s="197" t="str">
        <f>IF(B2841&lt;&gt;"",IFERROR(VLOOKUP(B:B,'מצבת והרשמה (2)'!$C$20:$N$520,2,0)," ")," ")</f>
        <v xml:space="preserve"> </v>
      </c>
      <c r="D2841" s="695"/>
      <c r="E2841" s="696"/>
      <c r="F2841" s="696"/>
      <c r="G2841" s="696"/>
      <c r="H2841" s="696"/>
      <c r="I2841" s="1050" t="str">
        <f t="shared" si="662"/>
        <v/>
      </c>
      <c r="J2841" s="696"/>
      <c r="K2841" s="697"/>
      <c r="L2841" s="696"/>
      <c r="M2841" s="198" t="str">
        <f t="shared" si="663"/>
        <v/>
      </c>
      <c r="N2841" s="369" t="str">
        <f t="shared" si="664"/>
        <v/>
      </c>
      <c r="O2841" s="183" t="str">
        <f t="shared" si="665"/>
        <v/>
      </c>
      <c r="P2841" s="199" t="str">
        <f t="shared" si="666"/>
        <v/>
      </c>
      <c r="Q2841" s="199" t="str">
        <f>IF(B2841="","",IFERROR(IF('עלויות כח אדם (6)'!J2841&gt;=VLOOKUP(I2841,'סיווג התפקידים והעלויות'!$B$23:$C$32,2,0),"תקין","לא תקין"),""))</f>
        <v/>
      </c>
      <c r="R2841" s="199" t="str">
        <f t="shared" si="667"/>
        <v/>
      </c>
      <c r="S2841" s="199" t="str">
        <f t="shared" si="668"/>
        <v/>
      </c>
      <c r="T2841" s="199" t="str">
        <f t="shared" si="676"/>
        <v/>
      </c>
      <c r="U2841" s="199" t="str">
        <f t="shared" si="669"/>
        <v/>
      </c>
      <c r="V2841" s="989"/>
      <c r="X2841" s="374" t="str">
        <f t="shared" si="670"/>
        <v/>
      </c>
      <c r="Y2841" s="375" t="str">
        <f t="shared" si="671"/>
        <v/>
      </c>
      <c r="Z2841" s="374" t="str">
        <f t="shared" si="672"/>
        <v/>
      </c>
      <c r="AA2841" s="374" t="b">
        <f t="shared" si="673"/>
        <v>1</v>
      </c>
      <c r="AB2841" s="374">
        <f>COUNTIFS(B:B,B2841,H:H,'סיווג התפקידים והעלויות'!$C$2)</f>
        <v>0</v>
      </c>
      <c r="AC2841" s="374">
        <f>COUNTIFS(B:B,B2841,H:H,'סיווג התפקידים והעלויות'!$D$2)</f>
        <v>0</v>
      </c>
      <c r="AD2841" s="374" t="str">
        <f>IF(OR(AND(H2841='סיווג התפקידים והעלויות'!$A$2,I2841='סיווג התפקידים והעלויות'!$A$3),'עלויות כח אדם (6)'!H2841='סיווג התפקידים והעלויות'!$C$2,'עלויות כח אדם (6)'!H2841='סיווג התפקידים והעלויות'!$D$2),IF('עלויות כח אדם (6)'!J2841&lt;75,"לא תקין","תקין"),"")</f>
        <v/>
      </c>
      <c r="AE2841" s="374" t="str">
        <f t="shared" si="674"/>
        <v/>
      </c>
      <c r="AF2841" s="532" t="str">
        <f t="shared" si="675"/>
        <v/>
      </c>
    </row>
    <row r="2842" spans="2:32" x14ac:dyDescent="0.25">
      <c r="B2842" s="695"/>
      <c r="C2842" s="197" t="str">
        <f>IF(B2842&lt;&gt;"",IFERROR(VLOOKUP(B:B,'מצבת והרשמה (2)'!$C$20:$N$520,2,0)," ")," ")</f>
        <v xml:space="preserve"> </v>
      </c>
      <c r="D2842" s="695"/>
      <c r="E2842" s="696"/>
      <c r="F2842" s="696"/>
      <c r="G2842" s="696"/>
      <c r="H2842" s="696"/>
      <c r="I2842" s="1050" t="str">
        <f t="shared" si="662"/>
        <v/>
      </c>
      <c r="J2842" s="696"/>
      <c r="K2842" s="697"/>
      <c r="L2842" s="696"/>
      <c r="M2842" s="198" t="str">
        <f t="shared" si="663"/>
        <v/>
      </c>
      <c r="N2842" s="369" t="str">
        <f t="shared" si="664"/>
        <v/>
      </c>
      <c r="O2842" s="183" t="str">
        <f t="shared" si="665"/>
        <v/>
      </c>
      <c r="P2842" s="199" t="str">
        <f t="shared" si="666"/>
        <v/>
      </c>
      <c r="Q2842" s="199" t="str">
        <f>IF(B2842="","",IFERROR(IF('עלויות כח אדם (6)'!J2842&gt;=VLOOKUP(I2842,'סיווג התפקידים והעלויות'!$B$23:$C$32,2,0),"תקין","לא תקין"),""))</f>
        <v/>
      </c>
      <c r="R2842" s="199" t="str">
        <f t="shared" si="667"/>
        <v/>
      </c>
      <c r="S2842" s="199" t="str">
        <f t="shared" si="668"/>
        <v/>
      </c>
      <c r="T2842" s="199" t="str">
        <f t="shared" si="676"/>
        <v/>
      </c>
      <c r="U2842" s="199" t="str">
        <f t="shared" si="669"/>
        <v/>
      </c>
      <c r="V2842" s="989"/>
      <c r="X2842" s="374" t="str">
        <f t="shared" si="670"/>
        <v/>
      </c>
      <c r="Y2842" s="375" t="str">
        <f t="shared" si="671"/>
        <v/>
      </c>
      <c r="Z2842" s="374" t="str">
        <f t="shared" si="672"/>
        <v/>
      </c>
      <c r="AA2842" s="374" t="b">
        <f t="shared" si="673"/>
        <v>1</v>
      </c>
      <c r="AB2842" s="374">
        <f>COUNTIFS(B:B,B2842,H:H,'סיווג התפקידים והעלויות'!$C$2)</f>
        <v>0</v>
      </c>
      <c r="AC2842" s="374">
        <f>COUNTIFS(B:B,B2842,H:H,'סיווג התפקידים והעלויות'!$D$2)</f>
        <v>0</v>
      </c>
      <c r="AD2842" s="374" t="str">
        <f>IF(OR(AND(H2842='סיווג התפקידים והעלויות'!$A$2,I2842='סיווג התפקידים והעלויות'!$A$3),'עלויות כח אדם (6)'!H2842='סיווג התפקידים והעלויות'!$C$2,'עלויות כח אדם (6)'!H2842='סיווג התפקידים והעלויות'!$D$2),IF('עלויות כח אדם (6)'!J2842&lt;75,"לא תקין","תקין"),"")</f>
        <v/>
      </c>
      <c r="AE2842" s="374" t="str">
        <f t="shared" si="674"/>
        <v/>
      </c>
      <c r="AF2842" s="532" t="str">
        <f t="shared" si="675"/>
        <v/>
      </c>
    </row>
    <row r="2843" spans="2:32" x14ac:dyDescent="0.25">
      <c r="B2843" s="695"/>
      <c r="C2843" s="197" t="str">
        <f>IF(B2843&lt;&gt;"",IFERROR(VLOOKUP(B:B,'מצבת והרשמה (2)'!$C$20:$N$520,2,0)," ")," ")</f>
        <v xml:space="preserve"> </v>
      </c>
      <c r="D2843" s="695"/>
      <c r="E2843" s="696"/>
      <c r="F2843" s="696"/>
      <c r="G2843" s="696"/>
      <c r="H2843" s="696"/>
      <c r="I2843" s="1050" t="str">
        <f t="shared" si="662"/>
        <v/>
      </c>
      <c r="J2843" s="696"/>
      <c r="K2843" s="697"/>
      <c r="L2843" s="696"/>
      <c r="M2843" s="198" t="str">
        <f t="shared" si="663"/>
        <v/>
      </c>
      <c r="N2843" s="369" t="str">
        <f t="shared" si="664"/>
        <v/>
      </c>
      <c r="O2843" s="183" t="str">
        <f t="shared" si="665"/>
        <v/>
      </c>
      <c r="P2843" s="199" t="str">
        <f t="shared" si="666"/>
        <v/>
      </c>
      <c r="Q2843" s="199" t="str">
        <f>IF(B2843="","",IFERROR(IF('עלויות כח אדם (6)'!J2843&gt;=VLOOKUP(I2843,'סיווג התפקידים והעלויות'!$B$23:$C$32,2,0),"תקין","לא תקין"),""))</f>
        <v/>
      </c>
      <c r="R2843" s="199" t="str">
        <f t="shared" si="667"/>
        <v/>
      </c>
      <c r="S2843" s="199" t="str">
        <f t="shared" si="668"/>
        <v/>
      </c>
      <c r="T2843" s="199" t="str">
        <f t="shared" si="676"/>
        <v/>
      </c>
      <c r="U2843" s="199" t="str">
        <f t="shared" si="669"/>
        <v/>
      </c>
      <c r="V2843" s="989"/>
      <c r="X2843" s="374" t="str">
        <f t="shared" si="670"/>
        <v/>
      </c>
      <c r="Y2843" s="375" t="str">
        <f t="shared" si="671"/>
        <v/>
      </c>
      <c r="Z2843" s="374" t="str">
        <f t="shared" si="672"/>
        <v/>
      </c>
      <c r="AA2843" s="374" t="b">
        <f t="shared" si="673"/>
        <v>1</v>
      </c>
      <c r="AB2843" s="374">
        <f>COUNTIFS(B:B,B2843,H:H,'סיווג התפקידים והעלויות'!$C$2)</f>
        <v>0</v>
      </c>
      <c r="AC2843" s="374">
        <f>COUNTIFS(B:B,B2843,H:H,'סיווג התפקידים והעלויות'!$D$2)</f>
        <v>0</v>
      </c>
      <c r="AD2843" s="374" t="str">
        <f>IF(OR(AND(H2843='סיווג התפקידים והעלויות'!$A$2,I2843='סיווג התפקידים והעלויות'!$A$3),'עלויות כח אדם (6)'!H2843='סיווג התפקידים והעלויות'!$C$2,'עלויות כח אדם (6)'!H2843='סיווג התפקידים והעלויות'!$D$2),IF('עלויות כח אדם (6)'!J2843&lt;75,"לא תקין","תקין"),"")</f>
        <v/>
      </c>
      <c r="AE2843" s="374" t="str">
        <f t="shared" si="674"/>
        <v/>
      </c>
      <c r="AF2843" s="532" t="str">
        <f t="shared" si="675"/>
        <v/>
      </c>
    </row>
    <row r="2844" spans="2:32" x14ac:dyDescent="0.25">
      <c r="B2844" s="695"/>
      <c r="C2844" s="197" t="str">
        <f>IF(B2844&lt;&gt;"",IFERROR(VLOOKUP(B:B,'מצבת והרשמה (2)'!$C$20:$N$520,2,0)," ")," ")</f>
        <v xml:space="preserve"> </v>
      </c>
      <c r="D2844" s="695"/>
      <c r="E2844" s="696"/>
      <c r="F2844" s="696"/>
      <c r="G2844" s="696"/>
      <c r="H2844" s="696"/>
      <c r="I2844" s="1050" t="str">
        <f t="shared" si="662"/>
        <v/>
      </c>
      <c r="J2844" s="696"/>
      <c r="K2844" s="697"/>
      <c r="L2844" s="696"/>
      <c r="M2844" s="198" t="str">
        <f t="shared" si="663"/>
        <v/>
      </c>
      <c r="N2844" s="369" t="str">
        <f t="shared" si="664"/>
        <v/>
      </c>
      <c r="O2844" s="183" t="str">
        <f t="shared" si="665"/>
        <v/>
      </c>
      <c r="P2844" s="199" t="str">
        <f t="shared" si="666"/>
        <v/>
      </c>
      <c r="Q2844" s="199" t="str">
        <f>IF(B2844="","",IFERROR(IF('עלויות כח אדם (6)'!J2844&gt;=VLOOKUP(I2844,'סיווג התפקידים והעלויות'!$B$23:$C$32,2,0),"תקין","לא תקין"),""))</f>
        <v/>
      </c>
      <c r="R2844" s="199" t="str">
        <f t="shared" si="667"/>
        <v/>
      </c>
      <c r="S2844" s="199" t="str">
        <f t="shared" si="668"/>
        <v/>
      </c>
      <c r="T2844" s="199" t="str">
        <f t="shared" si="676"/>
        <v/>
      </c>
      <c r="U2844" s="199" t="str">
        <f t="shared" si="669"/>
        <v/>
      </c>
      <c r="V2844" s="989"/>
      <c r="X2844" s="374" t="str">
        <f t="shared" si="670"/>
        <v/>
      </c>
      <c r="Y2844" s="375" t="str">
        <f t="shared" si="671"/>
        <v/>
      </c>
      <c r="Z2844" s="374" t="str">
        <f t="shared" si="672"/>
        <v/>
      </c>
      <c r="AA2844" s="374" t="b">
        <f t="shared" si="673"/>
        <v>1</v>
      </c>
      <c r="AB2844" s="374">
        <f>COUNTIFS(B:B,B2844,H:H,'סיווג התפקידים והעלויות'!$C$2)</f>
        <v>0</v>
      </c>
      <c r="AC2844" s="374">
        <f>COUNTIFS(B:B,B2844,H:H,'סיווג התפקידים והעלויות'!$D$2)</f>
        <v>0</v>
      </c>
      <c r="AD2844" s="374" t="str">
        <f>IF(OR(AND(H2844='סיווג התפקידים והעלויות'!$A$2,I2844='סיווג התפקידים והעלויות'!$A$3),'עלויות כח אדם (6)'!H2844='סיווג התפקידים והעלויות'!$C$2,'עלויות כח אדם (6)'!H2844='סיווג התפקידים והעלויות'!$D$2),IF('עלויות כח אדם (6)'!J2844&lt;75,"לא תקין","תקין"),"")</f>
        <v/>
      </c>
      <c r="AE2844" s="374" t="str">
        <f t="shared" si="674"/>
        <v/>
      </c>
      <c r="AF2844" s="532" t="str">
        <f t="shared" si="675"/>
        <v/>
      </c>
    </row>
    <row r="2845" spans="2:32" x14ac:dyDescent="0.25">
      <c r="B2845" s="695"/>
      <c r="C2845" s="197" t="str">
        <f>IF(B2845&lt;&gt;"",IFERROR(VLOOKUP(B:B,'מצבת והרשמה (2)'!$C$20:$N$520,2,0)," ")," ")</f>
        <v xml:space="preserve"> </v>
      </c>
      <c r="D2845" s="695"/>
      <c r="E2845" s="696"/>
      <c r="F2845" s="696"/>
      <c r="G2845" s="696"/>
      <c r="H2845" s="696"/>
      <c r="I2845" s="1050" t="str">
        <f t="shared" si="662"/>
        <v/>
      </c>
      <c r="J2845" s="696"/>
      <c r="K2845" s="697"/>
      <c r="L2845" s="696"/>
      <c r="M2845" s="198" t="str">
        <f t="shared" si="663"/>
        <v/>
      </c>
      <c r="N2845" s="369" t="str">
        <f t="shared" si="664"/>
        <v/>
      </c>
      <c r="O2845" s="183" t="str">
        <f t="shared" si="665"/>
        <v/>
      </c>
      <c r="P2845" s="199" t="str">
        <f t="shared" si="666"/>
        <v/>
      </c>
      <c r="Q2845" s="199" t="str">
        <f>IF(B2845="","",IFERROR(IF('עלויות כח אדם (6)'!J2845&gt;=VLOOKUP(I2845,'סיווג התפקידים והעלויות'!$B$23:$C$32,2,0),"תקין","לא תקין"),""))</f>
        <v/>
      </c>
      <c r="R2845" s="199" t="str">
        <f t="shared" si="667"/>
        <v/>
      </c>
      <c r="S2845" s="199" t="str">
        <f t="shared" si="668"/>
        <v/>
      </c>
      <c r="T2845" s="199" t="str">
        <f t="shared" si="676"/>
        <v/>
      </c>
      <c r="U2845" s="199" t="str">
        <f t="shared" si="669"/>
        <v/>
      </c>
      <c r="V2845" s="989"/>
      <c r="X2845" s="374" t="str">
        <f t="shared" si="670"/>
        <v/>
      </c>
      <c r="Y2845" s="375" t="str">
        <f t="shared" si="671"/>
        <v/>
      </c>
      <c r="Z2845" s="374" t="str">
        <f t="shared" si="672"/>
        <v/>
      </c>
      <c r="AA2845" s="374" t="b">
        <f t="shared" si="673"/>
        <v>1</v>
      </c>
      <c r="AB2845" s="374">
        <f>COUNTIFS(B:B,B2845,H:H,'סיווג התפקידים והעלויות'!$C$2)</f>
        <v>0</v>
      </c>
      <c r="AC2845" s="374">
        <f>COUNTIFS(B:B,B2845,H:H,'סיווג התפקידים והעלויות'!$D$2)</f>
        <v>0</v>
      </c>
      <c r="AD2845" s="374" t="str">
        <f>IF(OR(AND(H2845='סיווג התפקידים והעלויות'!$A$2,I2845='סיווג התפקידים והעלויות'!$A$3),'עלויות כח אדם (6)'!H2845='סיווג התפקידים והעלויות'!$C$2,'עלויות כח אדם (6)'!H2845='סיווג התפקידים והעלויות'!$D$2),IF('עלויות כח אדם (6)'!J2845&lt;75,"לא תקין","תקין"),"")</f>
        <v/>
      </c>
      <c r="AE2845" s="374" t="str">
        <f t="shared" si="674"/>
        <v/>
      </c>
      <c r="AF2845" s="532" t="str">
        <f t="shared" si="675"/>
        <v/>
      </c>
    </row>
    <row r="2846" spans="2:32" x14ac:dyDescent="0.25">
      <c r="B2846" s="695"/>
      <c r="C2846" s="197" t="str">
        <f>IF(B2846&lt;&gt;"",IFERROR(VLOOKUP(B:B,'מצבת והרשמה (2)'!$C$20:$N$520,2,0)," ")," ")</f>
        <v xml:space="preserve"> </v>
      </c>
      <c r="D2846" s="695"/>
      <c r="E2846" s="696"/>
      <c r="F2846" s="696"/>
      <c r="G2846" s="696"/>
      <c r="H2846" s="696"/>
      <c r="I2846" s="1050" t="str">
        <f t="shared" si="662"/>
        <v/>
      </c>
      <c r="J2846" s="696"/>
      <c r="K2846" s="697"/>
      <c r="L2846" s="696"/>
      <c r="M2846" s="198" t="str">
        <f t="shared" si="663"/>
        <v/>
      </c>
      <c r="N2846" s="369" t="str">
        <f t="shared" si="664"/>
        <v/>
      </c>
      <c r="O2846" s="183" t="str">
        <f t="shared" si="665"/>
        <v/>
      </c>
      <c r="P2846" s="199" t="str">
        <f t="shared" si="666"/>
        <v/>
      </c>
      <c r="Q2846" s="199" t="str">
        <f>IF(B2846="","",IFERROR(IF('עלויות כח אדם (6)'!J2846&gt;=VLOOKUP(I2846,'סיווג התפקידים והעלויות'!$B$23:$C$32,2,0),"תקין","לא תקין"),""))</f>
        <v/>
      </c>
      <c r="R2846" s="199" t="str">
        <f t="shared" si="667"/>
        <v/>
      </c>
      <c r="S2846" s="199" t="str">
        <f t="shared" si="668"/>
        <v/>
      </c>
      <c r="T2846" s="199" t="str">
        <f t="shared" si="676"/>
        <v/>
      </c>
      <c r="U2846" s="199" t="str">
        <f t="shared" si="669"/>
        <v/>
      </c>
      <c r="V2846" s="989"/>
      <c r="X2846" s="374" t="str">
        <f t="shared" si="670"/>
        <v/>
      </c>
      <c r="Y2846" s="375" t="str">
        <f t="shared" si="671"/>
        <v/>
      </c>
      <c r="Z2846" s="374" t="str">
        <f t="shared" si="672"/>
        <v/>
      </c>
      <c r="AA2846" s="374" t="b">
        <f t="shared" si="673"/>
        <v>1</v>
      </c>
      <c r="AB2846" s="374">
        <f>COUNTIFS(B:B,B2846,H:H,'סיווג התפקידים והעלויות'!$C$2)</f>
        <v>0</v>
      </c>
      <c r="AC2846" s="374">
        <f>COUNTIFS(B:B,B2846,H:H,'סיווג התפקידים והעלויות'!$D$2)</f>
        <v>0</v>
      </c>
      <c r="AD2846" s="374" t="str">
        <f>IF(OR(AND(H2846='סיווג התפקידים והעלויות'!$A$2,I2846='סיווג התפקידים והעלויות'!$A$3),'עלויות כח אדם (6)'!H2846='סיווג התפקידים והעלויות'!$C$2,'עלויות כח אדם (6)'!H2846='סיווג התפקידים והעלויות'!$D$2),IF('עלויות כח אדם (6)'!J2846&lt;75,"לא תקין","תקין"),"")</f>
        <v/>
      </c>
      <c r="AE2846" s="374" t="str">
        <f t="shared" si="674"/>
        <v/>
      </c>
      <c r="AF2846" s="532" t="str">
        <f t="shared" si="675"/>
        <v/>
      </c>
    </row>
    <row r="2847" spans="2:32" x14ac:dyDescent="0.25">
      <c r="B2847" s="695"/>
      <c r="C2847" s="197" t="str">
        <f>IF(B2847&lt;&gt;"",IFERROR(VLOOKUP(B:B,'מצבת והרשמה (2)'!$C$20:$N$520,2,0)," ")," ")</f>
        <v xml:space="preserve"> </v>
      </c>
      <c r="D2847" s="695"/>
      <c r="E2847" s="696"/>
      <c r="F2847" s="696"/>
      <c r="G2847" s="696"/>
      <c r="H2847" s="696"/>
      <c r="I2847" s="1050" t="str">
        <f t="shared" si="662"/>
        <v/>
      </c>
      <c r="J2847" s="696"/>
      <c r="K2847" s="697"/>
      <c r="L2847" s="696"/>
      <c r="M2847" s="198" t="str">
        <f t="shared" si="663"/>
        <v/>
      </c>
      <c r="N2847" s="369" t="str">
        <f t="shared" si="664"/>
        <v/>
      </c>
      <c r="O2847" s="183" t="str">
        <f t="shared" si="665"/>
        <v/>
      </c>
      <c r="P2847" s="199" t="str">
        <f t="shared" si="666"/>
        <v/>
      </c>
      <c r="Q2847" s="199" t="str">
        <f>IF(B2847="","",IFERROR(IF('עלויות כח אדם (6)'!J2847&gt;=VLOOKUP(I2847,'סיווג התפקידים והעלויות'!$B$23:$C$32,2,0),"תקין","לא תקין"),""))</f>
        <v/>
      </c>
      <c r="R2847" s="199" t="str">
        <f t="shared" si="667"/>
        <v/>
      </c>
      <c r="S2847" s="199" t="str">
        <f t="shared" si="668"/>
        <v/>
      </c>
      <c r="T2847" s="199" t="str">
        <f t="shared" si="676"/>
        <v/>
      </c>
      <c r="U2847" s="199" t="str">
        <f t="shared" si="669"/>
        <v/>
      </c>
      <c r="V2847" s="989"/>
      <c r="X2847" s="374" t="str">
        <f t="shared" si="670"/>
        <v/>
      </c>
      <c r="Y2847" s="375" t="str">
        <f t="shared" si="671"/>
        <v/>
      </c>
      <c r="Z2847" s="374" t="str">
        <f t="shared" si="672"/>
        <v/>
      </c>
      <c r="AA2847" s="374" t="b">
        <f t="shared" si="673"/>
        <v>1</v>
      </c>
      <c r="AB2847" s="374">
        <f>COUNTIFS(B:B,B2847,H:H,'סיווג התפקידים והעלויות'!$C$2)</f>
        <v>0</v>
      </c>
      <c r="AC2847" s="374">
        <f>COUNTIFS(B:B,B2847,H:H,'סיווג התפקידים והעלויות'!$D$2)</f>
        <v>0</v>
      </c>
      <c r="AD2847" s="374" t="str">
        <f>IF(OR(AND(H2847='סיווג התפקידים והעלויות'!$A$2,I2847='סיווג התפקידים והעלויות'!$A$3),'עלויות כח אדם (6)'!H2847='סיווג התפקידים והעלויות'!$C$2,'עלויות כח אדם (6)'!H2847='סיווג התפקידים והעלויות'!$D$2),IF('עלויות כח אדם (6)'!J2847&lt;75,"לא תקין","תקין"),"")</f>
        <v/>
      </c>
      <c r="AE2847" s="374" t="str">
        <f t="shared" si="674"/>
        <v/>
      </c>
      <c r="AF2847" s="532" t="str">
        <f t="shared" si="675"/>
        <v/>
      </c>
    </row>
    <row r="2848" spans="2:32" x14ac:dyDescent="0.25">
      <c r="B2848" s="695"/>
      <c r="C2848" s="197" t="str">
        <f>IF(B2848&lt;&gt;"",IFERROR(VLOOKUP(B:B,'מצבת והרשמה (2)'!$C$20:$N$520,2,0)," ")," ")</f>
        <v xml:space="preserve"> </v>
      </c>
      <c r="D2848" s="695"/>
      <c r="E2848" s="696"/>
      <c r="F2848" s="696"/>
      <c r="G2848" s="696"/>
      <c r="H2848" s="696"/>
      <c r="I2848" s="1050" t="str">
        <f t="shared" si="662"/>
        <v/>
      </c>
      <c r="J2848" s="696"/>
      <c r="K2848" s="697"/>
      <c r="L2848" s="696"/>
      <c r="M2848" s="198" t="str">
        <f t="shared" si="663"/>
        <v/>
      </c>
      <c r="N2848" s="369" t="str">
        <f t="shared" si="664"/>
        <v/>
      </c>
      <c r="O2848" s="183" t="str">
        <f t="shared" si="665"/>
        <v/>
      </c>
      <c r="P2848" s="199" t="str">
        <f t="shared" si="666"/>
        <v/>
      </c>
      <c r="Q2848" s="199" t="str">
        <f>IF(B2848="","",IFERROR(IF('עלויות כח אדם (6)'!J2848&gt;=VLOOKUP(I2848,'סיווג התפקידים והעלויות'!$B$23:$C$32,2,0),"תקין","לא תקין"),""))</f>
        <v/>
      </c>
      <c r="R2848" s="199" t="str">
        <f t="shared" si="667"/>
        <v/>
      </c>
      <c r="S2848" s="199" t="str">
        <f t="shared" si="668"/>
        <v/>
      </c>
      <c r="T2848" s="199" t="str">
        <f t="shared" si="676"/>
        <v/>
      </c>
      <c r="U2848" s="199" t="str">
        <f t="shared" si="669"/>
        <v/>
      </c>
      <c r="V2848" s="989"/>
      <c r="X2848" s="374" t="str">
        <f t="shared" si="670"/>
        <v/>
      </c>
      <c r="Y2848" s="375" t="str">
        <f t="shared" si="671"/>
        <v/>
      </c>
      <c r="Z2848" s="374" t="str">
        <f t="shared" si="672"/>
        <v/>
      </c>
      <c r="AA2848" s="374" t="b">
        <f t="shared" si="673"/>
        <v>1</v>
      </c>
      <c r="AB2848" s="374">
        <f>COUNTIFS(B:B,B2848,H:H,'סיווג התפקידים והעלויות'!$C$2)</f>
        <v>0</v>
      </c>
      <c r="AC2848" s="374">
        <f>COUNTIFS(B:B,B2848,H:H,'סיווג התפקידים והעלויות'!$D$2)</f>
        <v>0</v>
      </c>
      <c r="AD2848" s="374" t="str">
        <f>IF(OR(AND(H2848='סיווג התפקידים והעלויות'!$A$2,I2848='סיווג התפקידים והעלויות'!$A$3),'עלויות כח אדם (6)'!H2848='סיווג התפקידים והעלויות'!$C$2,'עלויות כח אדם (6)'!H2848='סיווג התפקידים והעלויות'!$D$2),IF('עלויות כח אדם (6)'!J2848&lt;75,"לא תקין","תקין"),"")</f>
        <v/>
      </c>
      <c r="AE2848" s="374" t="str">
        <f t="shared" si="674"/>
        <v/>
      </c>
      <c r="AF2848" s="532" t="str">
        <f t="shared" si="675"/>
        <v/>
      </c>
    </row>
    <row r="2849" spans="2:32" x14ac:dyDescent="0.25">
      <c r="B2849" s="695"/>
      <c r="C2849" s="197" t="str">
        <f>IF(B2849&lt;&gt;"",IFERROR(VLOOKUP(B:B,'מצבת והרשמה (2)'!$C$20:$N$520,2,0)," ")," ")</f>
        <v xml:space="preserve"> </v>
      </c>
      <c r="D2849" s="695"/>
      <c r="E2849" s="696"/>
      <c r="F2849" s="696"/>
      <c r="G2849" s="696"/>
      <c r="H2849" s="696"/>
      <c r="I2849" s="1050" t="str">
        <f t="shared" si="662"/>
        <v/>
      </c>
      <c r="J2849" s="696"/>
      <c r="K2849" s="697"/>
      <c r="L2849" s="696"/>
      <c r="M2849" s="198" t="str">
        <f t="shared" si="663"/>
        <v/>
      </c>
      <c r="N2849" s="369" t="str">
        <f t="shared" si="664"/>
        <v/>
      </c>
      <c r="O2849" s="183" t="str">
        <f t="shared" si="665"/>
        <v/>
      </c>
      <c r="P2849" s="199" t="str">
        <f t="shared" si="666"/>
        <v/>
      </c>
      <c r="Q2849" s="199" t="str">
        <f>IF(B2849="","",IFERROR(IF('עלויות כח אדם (6)'!J2849&gt;=VLOOKUP(I2849,'סיווג התפקידים והעלויות'!$B$23:$C$32,2,0),"תקין","לא תקין"),""))</f>
        <v/>
      </c>
      <c r="R2849" s="199" t="str">
        <f t="shared" si="667"/>
        <v/>
      </c>
      <c r="S2849" s="199" t="str">
        <f t="shared" si="668"/>
        <v/>
      </c>
      <c r="T2849" s="199" t="str">
        <f t="shared" si="676"/>
        <v/>
      </c>
      <c r="U2849" s="199" t="str">
        <f t="shared" si="669"/>
        <v/>
      </c>
      <c r="V2849" s="989"/>
      <c r="X2849" s="374" t="str">
        <f t="shared" si="670"/>
        <v/>
      </c>
      <c r="Y2849" s="375" t="str">
        <f t="shared" si="671"/>
        <v/>
      </c>
      <c r="Z2849" s="374" t="str">
        <f t="shared" si="672"/>
        <v/>
      </c>
      <c r="AA2849" s="374" t="b">
        <f t="shared" si="673"/>
        <v>1</v>
      </c>
      <c r="AB2849" s="374">
        <f>COUNTIFS(B:B,B2849,H:H,'סיווג התפקידים והעלויות'!$C$2)</f>
        <v>0</v>
      </c>
      <c r="AC2849" s="374">
        <f>COUNTIFS(B:B,B2849,H:H,'סיווג התפקידים והעלויות'!$D$2)</f>
        <v>0</v>
      </c>
      <c r="AD2849" s="374" t="str">
        <f>IF(OR(AND(H2849='סיווג התפקידים והעלויות'!$A$2,I2849='סיווג התפקידים והעלויות'!$A$3),'עלויות כח אדם (6)'!H2849='סיווג התפקידים והעלויות'!$C$2,'עלויות כח אדם (6)'!H2849='סיווג התפקידים והעלויות'!$D$2),IF('עלויות כח אדם (6)'!J2849&lt;75,"לא תקין","תקין"),"")</f>
        <v/>
      </c>
      <c r="AE2849" s="374" t="str">
        <f t="shared" si="674"/>
        <v/>
      </c>
      <c r="AF2849" s="532" t="str">
        <f t="shared" si="675"/>
        <v/>
      </c>
    </row>
    <row r="2850" spans="2:32" x14ac:dyDescent="0.25">
      <c r="B2850" s="695"/>
      <c r="C2850" s="197" t="str">
        <f>IF(B2850&lt;&gt;"",IFERROR(VLOOKUP(B:B,'מצבת והרשמה (2)'!$C$20:$N$520,2,0)," ")," ")</f>
        <v xml:space="preserve"> </v>
      </c>
      <c r="D2850" s="695"/>
      <c r="E2850" s="696"/>
      <c r="F2850" s="696"/>
      <c r="G2850" s="696"/>
      <c r="H2850" s="696"/>
      <c r="I2850" s="1050" t="str">
        <f t="shared" si="662"/>
        <v/>
      </c>
      <c r="J2850" s="696"/>
      <c r="K2850" s="697"/>
      <c r="L2850" s="696"/>
      <c r="M2850" s="198" t="str">
        <f t="shared" si="663"/>
        <v/>
      </c>
      <c r="N2850" s="369" t="str">
        <f t="shared" si="664"/>
        <v/>
      </c>
      <c r="O2850" s="183" t="str">
        <f t="shared" si="665"/>
        <v/>
      </c>
      <c r="P2850" s="199" t="str">
        <f t="shared" si="666"/>
        <v/>
      </c>
      <c r="Q2850" s="199" t="str">
        <f>IF(B2850="","",IFERROR(IF('עלויות כח אדם (6)'!J2850&gt;=VLOOKUP(I2850,'סיווג התפקידים והעלויות'!$B$23:$C$32,2,0),"תקין","לא תקין"),""))</f>
        <v/>
      </c>
      <c r="R2850" s="199" t="str">
        <f t="shared" si="667"/>
        <v/>
      </c>
      <c r="S2850" s="199" t="str">
        <f t="shared" si="668"/>
        <v/>
      </c>
      <c r="T2850" s="199" t="str">
        <f t="shared" si="676"/>
        <v/>
      </c>
      <c r="U2850" s="199" t="str">
        <f t="shared" si="669"/>
        <v/>
      </c>
      <c r="V2850" s="989"/>
      <c r="X2850" s="374" t="str">
        <f t="shared" si="670"/>
        <v/>
      </c>
      <c r="Y2850" s="375" t="str">
        <f t="shared" si="671"/>
        <v/>
      </c>
      <c r="Z2850" s="374" t="str">
        <f t="shared" si="672"/>
        <v/>
      </c>
      <c r="AA2850" s="374" t="b">
        <f t="shared" si="673"/>
        <v>1</v>
      </c>
      <c r="AB2850" s="374">
        <f>COUNTIFS(B:B,B2850,H:H,'סיווג התפקידים והעלויות'!$C$2)</f>
        <v>0</v>
      </c>
      <c r="AC2850" s="374">
        <f>COUNTIFS(B:B,B2850,H:H,'סיווג התפקידים והעלויות'!$D$2)</f>
        <v>0</v>
      </c>
      <c r="AD2850" s="374" t="str">
        <f>IF(OR(AND(H2850='סיווג התפקידים והעלויות'!$A$2,I2850='סיווג התפקידים והעלויות'!$A$3),'עלויות כח אדם (6)'!H2850='סיווג התפקידים והעלויות'!$C$2,'עלויות כח אדם (6)'!H2850='סיווג התפקידים והעלויות'!$D$2),IF('עלויות כח אדם (6)'!J2850&lt;75,"לא תקין","תקין"),"")</f>
        <v/>
      </c>
      <c r="AE2850" s="374" t="str">
        <f t="shared" si="674"/>
        <v/>
      </c>
      <c r="AF2850" s="532" t="str">
        <f t="shared" si="675"/>
        <v/>
      </c>
    </row>
    <row r="2851" spans="2:32" x14ac:dyDescent="0.25">
      <c r="B2851" s="695"/>
      <c r="C2851" s="197" t="str">
        <f>IF(B2851&lt;&gt;"",IFERROR(VLOOKUP(B:B,'מצבת והרשמה (2)'!$C$20:$N$520,2,0)," ")," ")</f>
        <v xml:space="preserve"> </v>
      </c>
      <c r="D2851" s="695"/>
      <c r="E2851" s="696"/>
      <c r="F2851" s="696"/>
      <c r="G2851" s="696"/>
      <c r="H2851" s="696"/>
      <c r="I2851" s="1050" t="str">
        <f t="shared" si="662"/>
        <v/>
      </c>
      <c r="J2851" s="696"/>
      <c r="K2851" s="697"/>
      <c r="L2851" s="696"/>
      <c r="M2851" s="198" t="str">
        <f t="shared" si="663"/>
        <v/>
      </c>
      <c r="N2851" s="369" t="str">
        <f t="shared" si="664"/>
        <v/>
      </c>
      <c r="O2851" s="183" t="str">
        <f t="shared" si="665"/>
        <v/>
      </c>
      <c r="P2851" s="199" t="str">
        <f t="shared" si="666"/>
        <v/>
      </c>
      <c r="Q2851" s="199" t="str">
        <f>IF(B2851="","",IFERROR(IF('עלויות כח אדם (6)'!J2851&gt;=VLOOKUP(I2851,'סיווג התפקידים והעלויות'!$B$23:$C$32,2,0),"תקין","לא תקין"),""))</f>
        <v/>
      </c>
      <c r="R2851" s="199" t="str">
        <f t="shared" si="667"/>
        <v/>
      </c>
      <c r="S2851" s="199" t="str">
        <f t="shared" si="668"/>
        <v/>
      </c>
      <c r="T2851" s="199" t="str">
        <f t="shared" si="676"/>
        <v/>
      </c>
      <c r="U2851" s="199" t="str">
        <f t="shared" si="669"/>
        <v/>
      </c>
      <c r="V2851" s="989"/>
      <c r="X2851" s="374" t="str">
        <f t="shared" si="670"/>
        <v/>
      </c>
      <c r="Y2851" s="375" t="str">
        <f t="shared" si="671"/>
        <v/>
      </c>
      <c r="Z2851" s="374" t="str">
        <f t="shared" si="672"/>
        <v/>
      </c>
      <c r="AA2851" s="374" t="b">
        <f t="shared" si="673"/>
        <v>1</v>
      </c>
      <c r="AB2851" s="374">
        <f>COUNTIFS(B:B,B2851,H:H,'סיווג התפקידים והעלויות'!$C$2)</f>
        <v>0</v>
      </c>
      <c r="AC2851" s="374">
        <f>COUNTIFS(B:B,B2851,H:H,'סיווג התפקידים והעלויות'!$D$2)</f>
        <v>0</v>
      </c>
      <c r="AD2851" s="374" t="str">
        <f>IF(OR(AND(H2851='סיווג התפקידים והעלויות'!$A$2,I2851='סיווג התפקידים והעלויות'!$A$3),'עלויות כח אדם (6)'!H2851='סיווג התפקידים והעלויות'!$C$2,'עלויות כח אדם (6)'!H2851='סיווג התפקידים והעלויות'!$D$2),IF('עלויות כח אדם (6)'!J2851&lt;75,"לא תקין","תקין"),"")</f>
        <v/>
      </c>
      <c r="AE2851" s="374" t="str">
        <f t="shared" si="674"/>
        <v/>
      </c>
      <c r="AF2851" s="532" t="str">
        <f t="shared" si="675"/>
        <v/>
      </c>
    </row>
    <row r="2852" spans="2:32" x14ac:dyDescent="0.25">
      <c r="B2852" s="695"/>
      <c r="C2852" s="197" t="str">
        <f>IF(B2852&lt;&gt;"",IFERROR(VLOOKUP(B:B,'מצבת והרשמה (2)'!$C$20:$N$520,2,0)," ")," ")</f>
        <v xml:space="preserve"> </v>
      </c>
      <c r="D2852" s="695"/>
      <c r="E2852" s="696"/>
      <c r="F2852" s="696"/>
      <c r="G2852" s="696"/>
      <c r="H2852" s="696"/>
      <c r="I2852" s="1050" t="str">
        <f t="shared" si="662"/>
        <v/>
      </c>
      <c r="J2852" s="696"/>
      <c r="K2852" s="697"/>
      <c r="L2852" s="696"/>
      <c r="M2852" s="198" t="str">
        <f t="shared" si="663"/>
        <v/>
      </c>
      <c r="N2852" s="369" t="str">
        <f t="shared" si="664"/>
        <v/>
      </c>
      <c r="O2852" s="183" t="str">
        <f t="shared" si="665"/>
        <v/>
      </c>
      <c r="P2852" s="199" t="str">
        <f t="shared" si="666"/>
        <v/>
      </c>
      <c r="Q2852" s="199" t="str">
        <f>IF(B2852="","",IFERROR(IF('עלויות כח אדם (6)'!J2852&gt;=VLOOKUP(I2852,'סיווג התפקידים והעלויות'!$B$23:$C$32,2,0),"תקין","לא תקין"),""))</f>
        <v/>
      </c>
      <c r="R2852" s="199" t="str">
        <f t="shared" si="667"/>
        <v/>
      </c>
      <c r="S2852" s="199" t="str">
        <f t="shared" si="668"/>
        <v/>
      </c>
      <c r="T2852" s="199" t="str">
        <f t="shared" si="676"/>
        <v/>
      </c>
      <c r="U2852" s="199" t="str">
        <f t="shared" si="669"/>
        <v/>
      </c>
      <c r="V2852" s="989"/>
      <c r="X2852" s="374" t="str">
        <f t="shared" si="670"/>
        <v/>
      </c>
      <c r="Y2852" s="375" t="str">
        <f t="shared" si="671"/>
        <v/>
      </c>
      <c r="Z2852" s="374" t="str">
        <f t="shared" si="672"/>
        <v/>
      </c>
      <c r="AA2852" s="374" t="b">
        <f t="shared" si="673"/>
        <v>1</v>
      </c>
      <c r="AB2852" s="374">
        <f>COUNTIFS(B:B,B2852,H:H,'סיווג התפקידים והעלויות'!$C$2)</f>
        <v>0</v>
      </c>
      <c r="AC2852" s="374">
        <f>COUNTIFS(B:B,B2852,H:H,'סיווג התפקידים והעלויות'!$D$2)</f>
        <v>0</v>
      </c>
      <c r="AD2852" s="374" t="str">
        <f>IF(OR(AND(H2852='סיווג התפקידים והעלויות'!$A$2,I2852='סיווג התפקידים והעלויות'!$A$3),'עלויות כח אדם (6)'!H2852='סיווג התפקידים והעלויות'!$C$2,'עלויות כח אדם (6)'!H2852='סיווג התפקידים והעלויות'!$D$2),IF('עלויות כח אדם (6)'!J2852&lt;75,"לא תקין","תקין"),"")</f>
        <v/>
      </c>
      <c r="AE2852" s="374" t="str">
        <f t="shared" si="674"/>
        <v/>
      </c>
      <c r="AF2852" s="532" t="str">
        <f t="shared" si="675"/>
        <v/>
      </c>
    </row>
    <row r="2853" spans="2:32" x14ac:dyDescent="0.25">
      <c r="B2853" s="695"/>
      <c r="C2853" s="197" t="str">
        <f>IF(B2853&lt;&gt;"",IFERROR(VLOOKUP(B:B,'מצבת והרשמה (2)'!$C$20:$N$520,2,0)," ")," ")</f>
        <v xml:space="preserve"> </v>
      </c>
      <c r="D2853" s="695"/>
      <c r="E2853" s="696"/>
      <c r="F2853" s="696"/>
      <c r="G2853" s="696"/>
      <c r="H2853" s="696"/>
      <c r="I2853" s="1050" t="str">
        <f t="shared" si="662"/>
        <v/>
      </c>
      <c r="J2853" s="696"/>
      <c r="K2853" s="697"/>
      <c r="L2853" s="696"/>
      <c r="M2853" s="198" t="str">
        <f t="shared" si="663"/>
        <v/>
      </c>
      <c r="N2853" s="369" t="str">
        <f t="shared" si="664"/>
        <v/>
      </c>
      <c r="O2853" s="183" t="str">
        <f t="shared" si="665"/>
        <v/>
      </c>
      <c r="P2853" s="199" t="str">
        <f t="shared" si="666"/>
        <v/>
      </c>
      <c r="Q2853" s="199" t="str">
        <f>IF(B2853="","",IFERROR(IF('עלויות כח אדם (6)'!J2853&gt;=VLOOKUP(I2853,'סיווג התפקידים והעלויות'!$B$23:$C$32,2,0),"תקין","לא תקין"),""))</f>
        <v/>
      </c>
      <c r="R2853" s="199" t="str">
        <f t="shared" si="667"/>
        <v/>
      </c>
      <c r="S2853" s="199" t="str">
        <f t="shared" si="668"/>
        <v/>
      </c>
      <c r="T2853" s="199" t="str">
        <f t="shared" si="676"/>
        <v/>
      </c>
      <c r="U2853" s="199" t="str">
        <f t="shared" si="669"/>
        <v/>
      </c>
      <c r="V2853" s="989"/>
      <c r="X2853" s="374" t="str">
        <f t="shared" si="670"/>
        <v/>
      </c>
      <c r="Y2853" s="375" t="str">
        <f t="shared" si="671"/>
        <v/>
      </c>
      <c r="Z2853" s="374" t="str">
        <f t="shared" si="672"/>
        <v/>
      </c>
      <c r="AA2853" s="374" t="b">
        <f t="shared" si="673"/>
        <v>1</v>
      </c>
      <c r="AB2853" s="374">
        <f>COUNTIFS(B:B,B2853,H:H,'סיווג התפקידים והעלויות'!$C$2)</f>
        <v>0</v>
      </c>
      <c r="AC2853" s="374">
        <f>COUNTIFS(B:B,B2853,H:H,'סיווג התפקידים והעלויות'!$D$2)</f>
        <v>0</v>
      </c>
      <c r="AD2853" s="374" t="str">
        <f>IF(OR(AND(H2853='סיווג התפקידים והעלויות'!$A$2,I2853='סיווג התפקידים והעלויות'!$A$3),'עלויות כח אדם (6)'!H2853='סיווג התפקידים והעלויות'!$C$2,'עלויות כח אדם (6)'!H2853='סיווג התפקידים והעלויות'!$D$2),IF('עלויות כח אדם (6)'!J2853&lt;75,"לא תקין","תקין"),"")</f>
        <v/>
      </c>
      <c r="AE2853" s="374" t="str">
        <f t="shared" si="674"/>
        <v/>
      </c>
      <c r="AF2853" s="532" t="str">
        <f t="shared" si="675"/>
        <v/>
      </c>
    </row>
    <row r="2854" spans="2:32" x14ac:dyDescent="0.25">
      <c r="B2854" s="695"/>
      <c r="C2854" s="197" t="str">
        <f>IF(B2854&lt;&gt;"",IFERROR(VLOOKUP(B:B,'מצבת והרשמה (2)'!$C$20:$N$520,2,0)," ")," ")</f>
        <v xml:space="preserve"> </v>
      </c>
      <c r="D2854" s="695"/>
      <c r="E2854" s="696"/>
      <c r="F2854" s="696"/>
      <c r="G2854" s="696"/>
      <c r="H2854" s="696"/>
      <c r="I2854" s="1050" t="str">
        <f t="shared" si="662"/>
        <v/>
      </c>
      <c r="J2854" s="696"/>
      <c r="K2854" s="697"/>
      <c r="L2854" s="696"/>
      <c r="M2854" s="198" t="str">
        <f t="shared" si="663"/>
        <v/>
      </c>
      <c r="N2854" s="369" t="str">
        <f t="shared" si="664"/>
        <v/>
      </c>
      <c r="O2854" s="183" t="str">
        <f t="shared" si="665"/>
        <v/>
      </c>
      <c r="P2854" s="199" t="str">
        <f t="shared" si="666"/>
        <v/>
      </c>
      <c r="Q2854" s="199" t="str">
        <f>IF(B2854="","",IFERROR(IF('עלויות כח אדם (6)'!J2854&gt;=VLOOKUP(I2854,'סיווג התפקידים והעלויות'!$B$23:$C$32,2,0),"תקין","לא תקין"),""))</f>
        <v/>
      </c>
      <c r="R2854" s="199" t="str">
        <f t="shared" si="667"/>
        <v/>
      </c>
      <c r="S2854" s="199" t="str">
        <f t="shared" si="668"/>
        <v/>
      </c>
      <c r="T2854" s="199" t="str">
        <f t="shared" si="676"/>
        <v/>
      </c>
      <c r="U2854" s="199" t="str">
        <f t="shared" si="669"/>
        <v/>
      </c>
      <c r="V2854" s="989"/>
      <c r="X2854" s="374" t="str">
        <f t="shared" si="670"/>
        <v/>
      </c>
      <c r="Y2854" s="375" t="str">
        <f t="shared" si="671"/>
        <v/>
      </c>
      <c r="Z2854" s="374" t="str">
        <f t="shared" si="672"/>
        <v/>
      </c>
      <c r="AA2854" s="374" t="b">
        <f t="shared" si="673"/>
        <v>1</v>
      </c>
      <c r="AB2854" s="374">
        <f>COUNTIFS(B:B,B2854,H:H,'סיווג התפקידים והעלויות'!$C$2)</f>
        <v>0</v>
      </c>
      <c r="AC2854" s="374">
        <f>COUNTIFS(B:B,B2854,H:H,'סיווג התפקידים והעלויות'!$D$2)</f>
        <v>0</v>
      </c>
      <c r="AD2854" s="374" t="str">
        <f>IF(OR(AND(H2854='סיווג התפקידים והעלויות'!$A$2,I2854='סיווג התפקידים והעלויות'!$A$3),'עלויות כח אדם (6)'!H2854='סיווג התפקידים והעלויות'!$C$2,'עלויות כח אדם (6)'!H2854='סיווג התפקידים והעלויות'!$D$2),IF('עלויות כח אדם (6)'!J2854&lt;75,"לא תקין","תקין"),"")</f>
        <v/>
      </c>
      <c r="AE2854" s="374" t="str">
        <f t="shared" si="674"/>
        <v/>
      </c>
      <c r="AF2854" s="532" t="str">
        <f t="shared" si="675"/>
        <v/>
      </c>
    </row>
    <row r="2855" spans="2:32" x14ac:dyDescent="0.25">
      <c r="B2855" s="695"/>
      <c r="C2855" s="197" t="str">
        <f>IF(B2855&lt;&gt;"",IFERROR(VLOOKUP(B:B,'מצבת והרשמה (2)'!$C$20:$N$520,2,0)," ")," ")</f>
        <v xml:space="preserve"> </v>
      </c>
      <c r="D2855" s="695"/>
      <c r="E2855" s="696"/>
      <c r="F2855" s="696"/>
      <c r="G2855" s="696"/>
      <c r="H2855" s="696"/>
      <c r="I2855" s="1050" t="str">
        <f t="shared" si="662"/>
        <v/>
      </c>
      <c r="J2855" s="696"/>
      <c r="K2855" s="697"/>
      <c r="L2855" s="696"/>
      <c r="M2855" s="198" t="str">
        <f t="shared" si="663"/>
        <v/>
      </c>
      <c r="N2855" s="369" t="str">
        <f t="shared" si="664"/>
        <v/>
      </c>
      <c r="O2855" s="183" t="str">
        <f t="shared" si="665"/>
        <v/>
      </c>
      <c r="P2855" s="199" t="str">
        <f t="shared" si="666"/>
        <v/>
      </c>
      <c r="Q2855" s="199" t="str">
        <f>IF(B2855="","",IFERROR(IF('עלויות כח אדם (6)'!J2855&gt;=VLOOKUP(I2855,'סיווג התפקידים והעלויות'!$B$23:$C$32,2,0),"תקין","לא תקין"),""))</f>
        <v/>
      </c>
      <c r="R2855" s="199" t="str">
        <f t="shared" si="667"/>
        <v/>
      </c>
      <c r="S2855" s="199" t="str">
        <f t="shared" si="668"/>
        <v/>
      </c>
      <c r="T2855" s="199" t="str">
        <f t="shared" si="676"/>
        <v/>
      </c>
      <c r="U2855" s="199" t="str">
        <f t="shared" si="669"/>
        <v/>
      </c>
      <c r="V2855" s="989"/>
      <c r="X2855" s="374" t="str">
        <f t="shared" si="670"/>
        <v/>
      </c>
      <c r="Y2855" s="375" t="str">
        <f t="shared" si="671"/>
        <v/>
      </c>
      <c r="Z2855" s="374" t="str">
        <f t="shared" si="672"/>
        <v/>
      </c>
      <c r="AA2855" s="374" t="b">
        <f t="shared" si="673"/>
        <v>1</v>
      </c>
      <c r="AB2855" s="374">
        <f>COUNTIFS(B:B,B2855,H:H,'סיווג התפקידים והעלויות'!$C$2)</f>
        <v>0</v>
      </c>
      <c r="AC2855" s="374">
        <f>COUNTIFS(B:B,B2855,H:H,'סיווג התפקידים והעלויות'!$D$2)</f>
        <v>0</v>
      </c>
      <c r="AD2855" s="374" t="str">
        <f>IF(OR(AND(H2855='סיווג התפקידים והעלויות'!$A$2,I2855='סיווג התפקידים והעלויות'!$A$3),'עלויות כח אדם (6)'!H2855='סיווג התפקידים והעלויות'!$C$2,'עלויות כח אדם (6)'!H2855='סיווג התפקידים והעלויות'!$D$2),IF('עלויות כח אדם (6)'!J2855&lt;75,"לא תקין","תקין"),"")</f>
        <v/>
      </c>
      <c r="AE2855" s="374" t="str">
        <f t="shared" si="674"/>
        <v/>
      </c>
      <c r="AF2855" s="532" t="str">
        <f t="shared" si="675"/>
        <v/>
      </c>
    </row>
    <row r="2856" spans="2:32" x14ac:dyDescent="0.25">
      <c r="B2856" s="695"/>
      <c r="C2856" s="197" t="str">
        <f>IF(B2856&lt;&gt;"",IFERROR(VLOOKUP(B:B,'מצבת והרשמה (2)'!$C$20:$N$520,2,0)," ")," ")</f>
        <v xml:space="preserve"> </v>
      </c>
      <c r="D2856" s="695"/>
      <c r="E2856" s="696"/>
      <c r="F2856" s="696"/>
      <c r="G2856" s="696"/>
      <c r="H2856" s="696"/>
      <c r="I2856" s="1050" t="str">
        <f t="shared" si="662"/>
        <v/>
      </c>
      <c r="J2856" s="696"/>
      <c r="K2856" s="697"/>
      <c r="L2856" s="696"/>
      <c r="M2856" s="198" t="str">
        <f t="shared" si="663"/>
        <v/>
      </c>
      <c r="N2856" s="369" t="str">
        <f t="shared" si="664"/>
        <v/>
      </c>
      <c r="O2856" s="183" t="str">
        <f t="shared" si="665"/>
        <v/>
      </c>
      <c r="P2856" s="199" t="str">
        <f t="shared" si="666"/>
        <v/>
      </c>
      <c r="Q2856" s="199" t="str">
        <f>IF(B2856="","",IFERROR(IF('עלויות כח אדם (6)'!J2856&gt;=VLOOKUP(I2856,'סיווג התפקידים והעלויות'!$B$23:$C$32,2,0),"תקין","לא תקין"),""))</f>
        <v/>
      </c>
      <c r="R2856" s="199" t="str">
        <f t="shared" si="667"/>
        <v/>
      </c>
      <c r="S2856" s="199" t="str">
        <f t="shared" si="668"/>
        <v/>
      </c>
      <c r="T2856" s="199" t="str">
        <f t="shared" si="676"/>
        <v/>
      </c>
      <c r="U2856" s="199" t="str">
        <f t="shared" si="669"/>
        <v/>
      </c>
      <c r="V2856" s="989"/>
      <c r="X2856" s="374" t="str">
        <f t="shared" si="670"/>
        <v/>
      </c>
      <c r="Y2856" s="375" t="str">
        <f t="shared" si="671"/>
        <v/>
      </c>
      <c r="Z2856" s="374" t="str">
        <f t="shared" si="672"/>
        <v/>
      </c>
      <c r="AA2856" s="374" t="b">
        <f t="shared" si="673"/>
        <v>1</v>
      </c>
      <c r="AB2856" s="374">
        <f>COUNTIFS(B:B,B2856,H:H,'סיווג התפקידים והעלויות'!$C$2)</f>
        <v>0</v>
      </c>
      <c r="AC2856" s="374">
        <f>COUNTIFS(B:B,B2856,H:H,'סיווג התפקידים והעלויות'!$D$2)</f>
        <v>0</v>
      </c>
      <c r="AD2856" s="374" t="str">
        <f>IF(OR(AND(H2856='סיווג התפקידים והעלויות'!$A$2,I2856='סיווג התפקידים והעלויות'!$A$3),'עלויות כח אדם (6)'!H2856='סיווג התפקידים והעלויות'!$C$2,'עלויות כח אדם (6)'!H2856='סיווג התפקידים והעלויות'!$D$2),IF('עלויות כח אדם (6)'!J2856&lt;75,"לא תקין","תקין"),"")</f>
        <v/>
      </c>
      <c r="AE2856" s="374" t="str">
        <f t="shared" si="674"/>
        <v/>
      </c>
      <c r="AF2856" s="532" t="str">
        <f t="shared" si="675"/>
        <v/>
      </c>
    </row>
    <row r="2857" spans="2:32" x14ac:dyDescent="0.25">
      <c r="B2857" s="695"/>
      <c r="C2857" s="197" t="str">
        <f>IF(B2857&lt;&gt;"",IFERROR(VLOOKUP(B:B,'מצבת והרשמה (2)'!$C$20:$N$520,2,0)," ")," ")</f>
        <v xml:space="preserve"> </v>
      </c>
      <c r="D2857" s="695"/>
      <c r="E2857" s="696"/>
      <c r="F2857" s="696"/>
      <c r="G2857" s="696"/>
      <c r="H2857" s="696"/>
      <c r="I2857" s="1050" t="str">
        <f t="shared" si="662"/>
        <v/>
      </c>
      <c r="J2857" s="696"/>
      <c r="K2857" s="697"/>
      <c r="L2857" s="696"/>
      <c r="M2857" s="198" t="str">
        <f t="shared" si="663"/>
        <v/>
      </c>
      <c r="N2857" s="369" t="str">
        <f t="shared" si="664"/>
        <v/>
      </c>
      <c r="O2857" s="183" t="str">
        <f t="shared" si="665"/>
        <v/>
      </c>
      <c r="P2857" s="199" t="str">
        <f t="shared" si="666"/>
        <v/>
      </c>
      <c r="Q2857" s="199" t="str">
        <f>IF(B2857="","",IFERROR(IF('עלויות כח אדם (6)'!J2857&gt;=VLOOKUP(I2857,'סיווג התפקידים והעלויות'!$B$23:$C$32,2,0),"תקין","לא תקין"),""))</f>
        <v/>
      </c>
      <c r="R2857" s="199" t="str">
        <f t="shared" si="667"/>
        <v/>
      </c>
      <c r="S2857" s="199" t="str">
        <f t="shared" si="668"/>
        <v/>
      </c>
      <c r="T2857" s="199" t="str">
        <f t="shared" si="676"/>
        <v/>
      </c>
      <c r="U2857" s="199" t="str">
        <f t="shared" si="669"/>
        <v/>
      </c>
      <c r="V2857" s="989"/>
      <c r="X2857" s="374" t="str">
        <f t="shared" si="670"/>
        <v/>
      </c>
      <c r="Y2857" s="375" t="str">
        <f t="shared" si="671"/>
        <v/>
      </c>
      <c r="Z2857" s="374" t="str">
        <f t="shared" si="672"/>
        <v/>
      </c>
      <c r="AA2857" s="374" t="b">
        <f t="shared" si="673"/>
        <v>1</v>
      </c>
      <c r="AB2857" s="374">
        <f>COUNTIFS(B:B,B2857,H:H,'סיווג התפקידים והעלויות'!$C$2)</f>
        <v>0</v>
      </c>
      <c r="AC2857" s="374">
        <f>COUNTIFS(B:B,B2857,H:H,'סיווג התפקידים והעלויות'!$D$2)</f>
        <v>0</v>
      </c>
      <c r="AD2857" s="374" t="str">
        <f>IF(OR(AND(H2857='סיווג התפקידים והעלויות'!$A$2,I2857='סיווג התפקידים והעלויות'!$A$3),'עלויות כח אדם (6)'!H2857='סיווג התפקידים והעלויות'!$C$2,'עלויות כח אדם (6)'!H2857='סיווג התפקידים והעלויות'!$D$2),IF('עלויות כח אדם (6)'!J2857&lt;75,"לא תקין","תקין"),"")</f>
        <v/>
      </c>
      <c r="AE2857" s="374" t="str">
        <f t="shared" si="674"/>
        <v/>
      </c>
      <c r="AF2857" s="532" t="str">
        <f t="shared" si="675"/>
        <v/>
      </c>
    </row>
    <row r="2858" spans="2:32" x14ac:dyDescent="0.25">
      <c r="B2858" s="695"/>
      <c r="C2858" s="197" t="str">
        <f>IF(B2858&lt;&gt;"",IFERROR(VLOOKUP(B:B,'מצבת והרשמה (2)'!$C$20:$N$520,2,0)," ")," ")</f>
        <v xml:space="preserve"> </v>
      </c>
      <c r="D2858" s="695"/>
      <c r="E2858" s="696"/>
      <c r="F2858" s="696"/>
      <c r="G2858" s="696"/>
      <c r="H2858" s="696"/>
      <c r="I2858" s="1050" t="str">
        <f t="shared" si="662"/>
        <v/>
      </c>
      <c r="J2858" s="696"/>
      <c r="K2858" s="697"/>
      <c r="L2858" s="696"/>
      <c r="M2858" s="198" t="str">
        <f t="shared" si="663"/>
        <v/>
      </c>
      <c r="N2858" s="369" t="str">
        <f t="shared" si="664"/>
        <v/>
      </c>
      <c r="O2858" s="183" t="str">
        <f t="shared" si="665"/>
        <v/>
      </c>
      <c r="P2858" s="199" t="str">
        <f t="shared" si="666"/>
        <v/>
      </c>
      <c r="Q2858" s="199" t="str">
        <f>IF(B2858="","",IFERROR(IF('עלויות כח אדם (6)'!J2858&gt;=VLOOKUP(I2858,'סיווג התפקידים והעלויות'!$B$23:$C$32,2,0),"תקין","לא תקין"),""))</f>
        <v/>
      </c>
      <c r="R2858" s="199" t="str">
        <f t="shared" si="667"/>
        <v/>
      </c>
      <c r="S2858" s="199" t="str">
        <f t="shared" si="668"/>
        <v/>
      </c>
      <c r="T2858" s="199" t="str">
        <f t="shared" si="676"/>
        <v/>
      </c>
      <c r="U2858" s="199" t="str">
        <f t="shared" si="669"/>
        <v/>
      </c>
      <c r="V2858" s="989"/>
      <c r="X2858" s="374" t="str">
        <f t="shared" si="670"/>
        <v/>
      </c>
      <c r="Y2858" s="375" t="str">
        <f t="shared" si="671"/>
        <v/>
      </c>
      <c r="Z2858" s="374" t="str">
        <f t="shared" si="672"/>
        <v/>
      </c>
      <c r="AA2858" s="374" t="b">
        <f t="shared" si="673"/>
        <v>1</v>
      </c>
      <c r="AB2858" s="374">
        <f>COUNTIFS(B:B,B2858,H:H,'סיווג התפקידים והעלויות'!$C$2)</f>
        <v>0</v>
      </c>
      <c r="AC2858" s="374">
        <f>COUNTIFS(B:B,B2858,H:H,'סיווג התפקידים והעלויות'!$D$2)</f>
        <v>0</v>
      </c>
      <c r="AD2858" s="374" t="str">
        <f>IF(OR(AND(H2858='סיווג התפקידים והעלויות'!$A$2,I2858='סיווג התפקידים והעלויות'!$A$3),'עלויות כח אדם (6)'!H2858='סיווג התפקידים והעלויות'!$C$2,'עלויות כח אדם (6)'!H2858='סיווג התפקידים והעלויות'!$D$2),IF('עלויות כח אדם (6)'!J2858&lt;75,"לא תקין","תקין"),"")</f>
        <v/>
      </c>
      <c r="AE2858" s="374" t="str">
        <f t="shared" si="674"/>
        <v/>
      </c>
      <c r="AF2858" s="532" t="str">
        <f t="shared" si="675"/>
        <v/>
      </c>
    </row>
    <row r="2859" spans="2:32" x14ac:dyDescent="0.25">
      <c r="B2859" s="695"/>
      <c r="C2859" s="197" t="str">
        <f>IF(B2859&lt;&gt;"",IFERROR(VLOOKUP(B:B,'מצבת והרשמה (2)'!$C$20:$N$520,2,0)," ")," ")</f>
        <v xml:space="preserve"> </v>
      </c>
      <c r="D2859" s="695"/>
      <c r="E2859" s="696"/>
      <c r="F2859" s="696"/>
      <c r="G2859" s="696"/>
      <c r="H2859" s="696"/>
      <c r="I2859" s="1050" t="str">
        <f t="shared" si="662"/>
        <v/>
      </c>
      <c r="J2859" s="696"/>
      <c r="K2859" s="697"/>
      <c r="L2859" s="696"/>
      <c r="M2859" s="198" t="str">
        <f t="shared" si="663"/>
        <v/>
      </c>
      <c r="N2859" s="369" t="str">
        <f t="shared" si="664"/>
        <v/>
      </c>
      <c r="O2859" s="183" t="str">
        <f t="shared" si="665"/>
        <v/>
      </c>
      <c r="P2859" s="199" t="str">
        <f t="shared" si="666"/>
        <v/>
      </c>
      <c r="Q2859" s="199" t="str">
        <f>IF(B2859="","",IFERROR(IF('עלויות כח אדם (6)'!J2859&gt;=VLOOKUP(I2859,'סיווג התפקידים והעלויות'!$B$23:$C$32,2,0),"תקין","לא תקין"),""))</f>
        <v/>
      </c>
      <c r="R2859" s="199" t="str">
        <f t="shared" si="667"/>
        <v/>
      </c>
      <c r="S2859" s="199" t="str">
        <f t="shared" si="668"/>
        <v/>
      </c>
      <c r="T2859" s="199" t="str">
        <f t="shared" si="676"/>
        <v/>
      </c>
      <c r="U2859" s="199" t="str">
        <f t="shared" si="669"/>
        <v/>
      </c>
      <c r="V2859" s="989"/>
      <c r="X2859" s="374" t="str">
        <f t="shared" si="670"/>
        <v/>
      </c>
      <c r="Y2859" s="375" t="str">
        <f t="shared" si="671"/>
        <v/>
      </c>
      <c r="Z2859" s="374" t="str">
        <f t="shared" si="672"/>
        <v/>
      </c>
      <c r="AA2859" s="374" t="b">
        <f t="shared" si="673"/>
        <v>1</v>
      </c>
      <c r="AB2859" s="374">
        <f>COUNTIFS(B:B,B2859,H:H,'סיווג התפקידים והעלויות'!$C$2)</f>
        <v>0</v>
      </c>
      <c r="AC2859" s="374">
        <f>COUNTIFS(B:B,B2859,H:H,'סיווג התפקידים והעלויות'!$D$2)</f>
        <v>0</v>
      </c>
      <c r="AD2859" s="374" t="str">
        <f>IF(OR(AND(H2859='סיווג התפקידים והעלויות'!$A$2,I2859='סיווג התפקידים והעלויות'!$A$3),'עלויות כח אדם (6)'!H2859='סיווג התפקידים והעלויות'!$C$2,'עלויות כח אדם (6)'!H2859='סיווג התפקידים והעלויות'!$D$2),IF('עלויות כח אדם (6)'!J2859&lt;75,"לא תקין","תקין"),"")</f>
        <v/>
      </c>
      <c r="AE2859" s="374" t="str">
        <f t="shared" si="674"/>
        <v/>
      </c>
      <c r="AF2859" s="532" t="str">
        <f t="shared" si="675"/>
        <v/>
      </c>
    </row>
    <row r="2860" spans="2:32" x14ac:dyDescent="0.25">
      <c r="B2860" s="695"/>
      <c r="C2860" s="197" t="str">
        <f>IF(B2860&lt;&gt;"",IFERROR(VLOOKUP(B:B,'מצבת והרשמה (2)'!$C$20:$N$520,2,0)," ")," ")</f>
        <v xml:space="preserve"> </v>
      </c>
      <c r="D2860" s="695"/>
      <c r="E2860" s="696"/>
      <c r="F2860" s="696"/>
      <c r="G2860" s="696"/>
      <c r="H2860" s="696"/>
      <c r="I2860" s="1050" t="str">
        <f t="shared" si="662"/>
        <v/>
      </c>
      <c r="J2860" s="696"/>
      <c r="K2860" s="697"/>
      <c r="L2860" s="696"/>
      <c r="M2860" s="198" t="str">
        <f t="shared" si="663"/>
        <v/>
      </c>
      <c r="N2860" s="369" t="str">
        <f t="shared" si="664"/>
        <v/>
      </c>
      <c r="O2860" s="183" t="str">
        <f t="shared" si="665"/>
        <v/>
      </c>
      <c r="P2860" s="199" t="str">
        <f t="shared" si="666"/>
        <v/>
      </c>
      <c r="Q2860" s="199" t="str">
        <f>IF(B2860="","",IFERROR(IF('עלויות כח אדם (6)'!J2860&gt;=VLOOKUP(I2860,'סיווג התפקידים והעלויות'!$B$23:$C$32,2,0),"תקין","לא תקין"),""))</f>
        <v/>
      </c>
      <c r="R2860" s="199" t="str">
        <f t="shared" si="667"/>
        <v/>
      </c>
      <c r="S2860" s="199" t="str">
        <f t="shared" si="668"/>
        <v/>
      </c>
      <c r="T2860" s="199" t="str">
        <f t="shared" si="676"/>
        <v/>
      </c>
      <c r="U2860" s="199" t="str">
        <f t="shared" si="669"/>
        <v/>
      </c>
      <c r="V2860" s="989"/>
      <c r="X2860" s="374" t="str">
        <f t="shared" si="670"/>
        <v/>
      </c>
      <c r="Y2860" s="375" t="str">
        <f t="shared" si="671"/>
        <v/>
      </c>
      <c r="Z2860" s="374" t="str">
        <f t="shared" si="672"/>
        <v/>
      </c>
      <c r="AA2860" s="374" t="b">
        <f t="shared" si="673"/>
        <v>1</v>
      </c>
      <c r="AB2860" s="374">
        <f>COUNTIFS(B:B,B2860,H:H,'סיווג התפקידים והעלויות'!$C$2)</f>
        <v>0</v>
      </c>
      <c r="AC2860" s="374">
        <f>COUNTIFS(B:B,B2860,H:H,'סיווג התפקידים והעלויות'!$D$2)</f>
        <v>0</v>
      </c>
      <c r="AD2860" s="374" t="str">
        <f>IF(OR(AND(H2860='סיווג התפקידים והעלויות'!$A$2,I2860='סיווג התפקידים והעלויות'!$A$3),'עלויות כח אדם (6)'!H2860='סיווג התפקידים והעלויות'!$C$2,'עלויות כח אדם (6)'!H2860='סיווג התפקידים והעלויות'!$D$2),IF('עלויות כח אדם (6)'!J2860&lt;75,"לא תקין","תקין"),"")</f>
        <v/>
      </c>
      <c r="AE2860" s="374" t="str">
        <f t="shared" si="674"/>
        <v/>
      </c>
      <c r="AF2860" s="532" t="str">
        <f t="shared" si="675"/>
        <v/>
      </c>
    </row>
    <row r="2861" spans="2:32" x14ac:dyDescent="0.25">
      <c r="B2861" s="695"/>
      <c r="C2861" s="197" t="str">
        <f>IF(B2861&lt;&gt;"",IFERROR(VLOOKUP(B:B,'מצבת והרשמה (2)'!$C$20:$N$520,2,0)," ")," ")</f>
        <v xml:space="preserve"> </v>
      </c>
      <c r="D2861" s="695"/>
      <c r="E2861" s="696"/>
      <c r="F2861" s="696"/>
      <c r="G2861" s="696"/>
      <c r="H2861" s="696"/>
      <c r="I2861" s="1050" t="str">
        <f t="shared" si="662"/>
        <v/>
      </c>
      <c r="J2861" s="696"/>
      <c r="K2861" s="697"/>
      <c r="L2861" s="696"/>
      <c r="M2861" s="198" t="str">
        <f t="shared" si="663"/>
        <v/>
      </c>
      <c r="N2861" s="369" t="str">
        <f t="shared" si="664"/>
        <v/>
      </c>
      <c r="O2861" s="183" t="str">
        <f t="shared" si="665"/>
        <v/>
      </c>
      <c r="P2861" s="199" t="str">
        <f t="shared" si="666"/>
        <v/>
      </c>
      <c r="Q2861" s="199" t="str">
        <f>IF(B2861="","",IFERROR(IF('עלויות כח אדם (6)'!J2861&gt;=VLOOKUP(I2861,'סיווג התפקידים והעלויות'!$B$23:$C$32,2,0),"תקין","לא תקין"),""))</f>
        <v/>
      </c>
      <c r="R2861" s="199" t="str">
        <f t="shared" si="667"/>
        <v/>
      </c>
      <c r="S2861" s="199" t="str">
        <f t="shared" si="668"/>
        <v/>
      </c>
      <c r="T2861" s="199" t="str">
        <f t="shared" si="676"/>
        <v/>
      </c>
      <c r="U2861" s="199" t="str">
        <f t="shared" si="669"/>
        <v/>
      </c>
      <c r="V2861" s="989"/>
      <c r="X2861" s="374" t="str">
        <f t="shared" si="670"/>
        <v/>
      </c>
      <c r="Y2861" s="375" t="str">
        <f t="shared" si="671"/>
        <v/>
      </c>
      <c r="Z2861" s="374" t="str">
        <f t="shared" si="672"/>
        <v/>
      </c>
      <c r="AA2861" s="374" t="b">
        <f t="shared" si="673"/>
        <v>1</v>
      </c>
      <c r="AB2861" s="374">
        <f>COUNTIFS(B:B,B2861,H:H,'סיווג התפקידים והעלויות'!$C$2)</f>
        <v>0</v>
      </c>
      <c r="AC2861" s="374">
        <f>COUNTIFS(B:B,B2861,H:H,'סיווג התפקידים והעלויות'!$D$2)</f>
        <v>0</v>
      </c>
      <c r="AD2861" s="374" t="str">
        <f>IF(OR(AND(H2861='סיווג התפקידים והעלויות'!$A$2,I2861='סיווג התפקידים והעלויות'!$A$3),'עלויות כח אדם (6)'!H2861='סיווג התפקידים והעלויות'!$C$2,'עלויות כח אדם (6)'!H2861='סיווג התפקידים והעלויות'!$D$2),IF('עלויות כח אדם (6)'!J2861&lt;75,"לא תקין","תקין"),"")</f>
        <v/>
      </c>
      <c r="AE2861" s="374" t="str">
        <f t="shared" si="674"/>
        <v/>
      </c>
      <c r="AF2861" s="532" t="str">
        <f t="shared" si="675"/>
        <v/>
      </c>
    </row>
    <row r="2862" spans="2:32" x14ac:dyDescent="0.25">
      <c r="B2862" s="695"/>
      <c r="C2862" s="197" t="str">
        <f>IF(B2862&lt;&gt;"",IFERROR(VLOOKUP(B:B,'מצבת והרשמה (2)'!$C$20:$N$520,2,0)," ")," ")</f>
        <v xml:space="preserve"> </v>
      </c>
      <c r="D2862" s="695"/>
      <c r="E2862" s="696"/>
      <c r="F2862" s="696"/>
      <c r="G2862" s="696"/>
      <c r="H2862" s="696"/>
      <c r="I2862" s="1050" t="str">
        <f t="shared" si="662"/>
        <v/>
      </c>
      <c r="J2862" s="696"/>
      <c r="K2862" s="697"/>
      <c r="L2862" s="696"/>
      <c r="M2862" s="198" t="str">
        <f t="shared" si="663"/>
        <v/>
      </c>
      <c r="N2862" s="369" t="str">
        <f t="shared" si="664"/>
        <v/>
      </c>
      <c r="O2862" s="183" t="str">
        <f t="shared" si="665"/>
        <v/>
      </c>
      <c r="P2862" s="199" t="str">
        <f t="shared" si="666"/>
        <v/>
      </c>
      <c r="Q2862" s="199" t="str">
        <f>IF(B2862="","",IFERROR(IF('עלויות כח אדם (6)'!J2862&gt;=VLOOKUP(I2862,'סיווג התפקידים והעלויות'!$B$23:$C$32,2,0),"תקין","לא תקין"),""))</f>
        <v/>
      </c>
      <c r="R2862" s="199" t="str">
        <f t="shared" si="667"/>
        <v/>
      </c>
      <c r="S2862" s="199" t="str">
        <f t="shared" si="668"/>
        <v/>
      </c>
      <c r="T2862" s="199" t="str">
        <f t="shared" si="676"/>
        <v/>
      </c>
      <c r="U2862" s="199" t="str">
        <f t="shared" si="669"/>
        <v/>
      </c>
      <c r="V2862" s="989"/>
      <c r="X2862" s="374" t="str">
        <f t="shared" si="670"/>
        <v/>
      </c>
      <c r="Y2862" s="375" t="str">
        <f t="shared" si="671"/>
        <v/>
      </c>
      <c r="Z2862" s="374" t="str">
        <f t="shared" si="672"/>
        <v/>
      </c>
      <c r="AA2862" s="374" t="b">
        <f t="shared" si="673"/>
        <v>1</v>
      </c>
      <c r="AB2862" s="374">
        <f>COUNTIFS(B:B,B2862,H:H,'סיווג התפקידים והעלויות'!$C$2)</f>
        <v>0</v>
      </c>
      <c r="AC2862" s="374">
        <f>COUNTIFS(B:B,B2862,H:H,'סיווג התפקידים והעלויות'!$D$2)</f>
        <v>0</v>
      </c>
      <c r="AD2862" s="374" t="str">
        <f>IF(OR(AND(H2862='סיווג התפקידים והעלויות'!$A$2,I2862='סיווג התפקידים והעלויות'!$A$3),'עלויות כח אדם (6)'!H2862='סיווג התפקידים והעלויות'!$C$2,'עלויות כח אדם (6)'!H2862='סיווג התפקידים והעלויות'!$D$2),IF('עלויות כח אדם (6)'!J2862&lt;75,"לא תקין","תקין"),"")</f>
        <v/>
      </c>
      <c r="AE2862" s="374" t="str">
        <f t="shared" si="674"/>
        <v/>
      </c>
      <c r="AF2862" s="532" t="str">
        <f t="shared" si="675"/>
        <v/>
      </c>
    </row>
    <row r="2863" spans="2:32" x14ac:dyDescent="0.25">
      <c r="B2863" s="695"/>
      <c r="C2863" s="197" t="str">
        <f>IF(B2863&lt;&gt;"",IFERROR(VLOOKUP(B:B,'מצבת והרשמה (2)'!$C$20:$N$520,2,0)," ")," ")</f>
        <v xml:space="preserve"> </v>
      </c>
      <c r="D2863" s="695"/>
      <c r="E2863" s="696"/>
      <c r="F2863" s="696"/>
      <c r="G2863" s="696"/>
      <c r="H2863" s="696"/>
      <c r="I2863" s="1050" t="str">
        <f t="shared" si="662"/>
        <v/>
      </c>
      <c r="J2863" s="696"/>
      <c r="K2863" s="697"/>
      <c r="L2863" s="696"/>
      <c r="M2863" s="198" t="str">
        <f t="shared" si="663"/>
        <v/>
      </c>
      <c r="N2863" s="369" t="str">
        <f t="shared" si="664"/>
        <v/>
      </c>
      <c r="O2863" s="183" t="str">
        <f t="shared" si="665"/>
        <v/>
      </c>
      <c r="P2863" s="199" t="str">
        <f t="shared" si="666"/>
        <v/>
      </c>
      <c r="Q2863" s="199" t="str">
        <f>IF(B2863="","",IFERROR(IF('עלויות כח אדם (6)'!J2863&gt;=VLOOKUP(I2863,'סיווג התפקידים והעלויות'!$B$23:$C$32,2,0),"תקין","לא תקין"),""))</f>
        <v/>
      </c>
      <c r="R2863" s="199" t="str">
        <f t="shared" si="667"/>
        <v/>
      </c>
      <c r="S2863" s="199" t="str">
        <f t="shared" si="668"/>
        <v/>
      </c>
      <c r="T2863" s="199" t="str">
        <f t="shared" si="676"/>
        <v/>
      </c>
      <c r="U2863" s="199" t="str">
        <f t="shared" si="669"/>
        <v/>
      </c>
      <c r="V2863" s="989"/>
      <c r="X2863" s="374" t="str">
        <f t="shared" si="670"/>
        <v/>
      </c>
      <c r="Y2863" s="375" t="str">
        <f t="shared" si="671"/>
        <v/>
      </c>
      <c r="Z2863" s="374" t="str">
        <f t="shared" si="672"/>
        <v/>
      </c>
      <c r="AA2863" s="374" t="b">
        <f t="shared" si="673"/>
        <v>1</v>
      </c>
      <c r="AB2863" s="374">
        <f>COUNTIFS(B:B,B2863,H:H,'סיווג התפקידים והעלויות'!$C$2)</f>
        <v>0</v>
      </c>
      <c r="AC2863" s="374">
        <f>COUNTIFS(B:B,B2863,H:H,'סיווג התפקידים והעלויות'!$D$2)</f>
        <v>0</v>
      </c>
      <c r="AD2863" s="374" t="str">
        <f>IF(OR(AND(H2863='סיווג התפקידים והעלויות'!$A$2,I2863='סיווג התפקידים והעלויות'!$A$3),'עלויות כח אדם (6)'!H2863='סיווג התפקידים והעלויות'!$C$2,'עלויות כח אדם (6)'!H2863='סיווג התפקידים והעלויות'!$D$2),IF('עלויות כח אדם (6)'!J2863&lt;75,"לא תקין","תקין"),"")</f>
        <v/>
      </c>
      <c r="AE2863" s="374" t="str">
        <f t="shared" si="674"/>
        <v/>
      </c>
      <c r="AF2863" s="532" t="str">
        <f t="shared" si="675"/>
        <v/>
      </c>
    </row>
    <row r="2864" spans="2:32" x14ac:dyDescent="0.25">
      <c r="B2864" s="695"/>
      <c r="C2864" s="197" t="str">
        <f>IF(B2864&lt;&gt;"",IFERROR(VLOOKUP(B:B,'מצבת והרשמה (2)'!$C$20:$N$520,2,0)," ")," ")</f>
        <v xml:space="preserve"> </v>
      </c>
      <c r="D2864" s="695"/>
      <c r="E2864" s="696"/>
      <c r="F2864" s="696"/>
      <c r="G2864" s="696"/>
      <c r="H2864" s="696"/>
      <c r="I2864" s="1050" t="str">
        <f t="shared" si="662"/>
        <v/>
      </c>
      <c r="J2864" s="696"/>
      <c r="K2864" s="697"/>
      <c r="L2864" s="696"/>
      <c r="M2864" s="198" t="str">
        <f t="shared" si="663"/>
        <v/>
      </c>
      <c r="N2864" s="369" t="str">
        <f t="shared" si="664"/>
        <v/>
      </c>
      <c r="O2864" s="183" t="str">
        <f t="shared" si="665"/>
        <v/>
      </c>
      <c r="P2864" s="199" t="str">
        <f t="shared" si="666"/>
        <v/>
      </c>
      <c r="Q2864" s="199" t="str">
        <f>IF(B2864="","",IFERROR(IF('עלויות כח אדם (6)'!J2864&gt;=VLOOKUP(I2864,'סיווג התפקידים והעלויות'!$B$23:$C$32,2,0),"תקין","לא תקין"),""))</f>
        <v/>
      </c>
      <c r="R2864" s="199" t="str">
        <f t="shared" si="667"/>
        <v/>
      </c>
      <c r="S2864" s="199" t="str">
        <f t="shared" si="668"/>
        <v/>
      </c>
      <c r="T2864" s="199" t="str">
        <f t="shared" si="676"/>
        <v/>
      </c>
      <c r="U2864" s="199" t="str">
        <f t="shared" si="669"/>
        <v/>
      </c>
      <c r="V2864" s="989"/>
      <c r="X2864" s="374" t="str">
        <f t="shared" si="670"/>
        <v/>
      </c>
      <c r="Y2864" s="375" t="str">
        <f t="shared" si="671"/>
        <v/>
      </c>
      <c r="Z2864" s="374" t="str">
        <f t="shared" si="672"/>
        <v/>
      </c>
      <c r="AA2864" s="374" t="b">
        <f t="shared" si="673"/>
        <v>1</v>
      </c>
      <c r="AB2864" s="374">
        <f>COUNTIFS(B:B,B2864,H:H,'סיווג התפקידים והעלויות'!$C$2)</f>
        <v>0</v>
      </c>
      <c r="AC2864" s="374">
        <f>COUNTIFS(B:B,B2864,H:H,'סיווג התפקידים והעלויות'!$D$2)</f>
        <v>0</v>
      </c>
      <c r="AD2864" s="374" t="str">
        <f>IF(OR(AND(H2864='סיווג התפקידים והעלויות'!$A$2,I2864='סיווג התפקידים והעלויות'!$A$3),'עלויות כח אדם (6)'!H2864='סיווג התפקידים והעלויות'!$C$2,'עלויות כח אדם (6)'!H2864='סיווג התפקידים והעלויות'!$D$2),IF('עלויות כח אדם (6)'!J2864&lt;75,"לא תקין","תקין"),"")</f>
        <v/>
      </c>
      <c r="AE2864" s="374" t="str">
        <f t="shared" si="674"/>
        <v/>
      </c>
      <c r="AF2864" s="532" t="str">
        <f t="shared" si="675"/>
        <v/>
      </c>
    </row>
    <row r="2865" spans="2:32" x14ac:dyDescent="0.25">
      <c r="B2865" s="695"/>
      <c r="C2865" s="197" t="str">
        <f>IF(B2865&lt;&gt;"",IFERROR(VLOOKUP(B:B,'מצבת והרשמה (2)'!$C$20:$N$520,2,0)," ")," ")</f>
        <v xml:space="preserve"> </v>
      </c>
      <c r="D2865" s="695"/>
      <c r="E2865" s="696"/>
      <c r="F2865" s="696"/>
      <c r="G2865" s="696"/>
      <c r="H2865" s="696"/>
      <c r="I2865" s="1050" t="str">
        <f t="shared" si="662"/>
        <v/>
      </c>
      <c r="J2865" s="696"/>
      <c r="K2865" s="697"/>
      <c r="L2865" s="696"/>
      <c r="M2865" s="198" t="str">
        <f t="shared" si="663"/>
        <v/>
      </c>
      <c r="N2865" s="369" t="str">
        <f t="shared" si="664"/>
        <v/>
      </c>
      <c r="O2865" s="183" t="str">
        <f t="shared" si="665"/>
        <v/>
      </c>
      <c r="P2865" s="199" t="str">
        <f t="shared" si="666"/>
        <v/>
      </c>
      <c r="Q2865" s="199" t="str">
        <f>IF(B2865="","",IFERROR(IF('עלויות כח אדם (6)'!J2865&gt;=VLOOKUP(I2865,'סיווג התפקידים והעלויות'!$B$23:$C$32,2,0),"תקין","לא תקין"),""))</f>
        <v/>
      </c>
      <c r="R2865" s="199" t="str">
        <f t="shared" si="667"/>
        <v/>
      </c>
      <c r="S2865" s="199" t="str">
        <f t="shared" si="668"/>
        <v/>
      </c>
      <c r="T2865" s="199" t="str">
        <f t="shared" si="676"/>
        <v/>
      </c>
      <c r="U2865" s="199" t="str">
        <f t="shared" si="669"/>
        <v/>
      </c>
      <c r="V2865" s="989"/>
      <c r="X2865" s="374" t="str">
        <f t="shared" si="670"/>
        <v/>
      </c>
      <c r="Y2865" s="375" t="str">
        <f t="shared" si="671"/>
        <v/>
      </c>
      <c r="Z2865" s="374" t="str">
        <f t="shared" si="672"/>
        <v/>
      </c>
      <c r="AA2865" s="374" t="b">
        <f t="shared" si="673"/>
        <v>1</v>
      </c>
      <c r="AB2865" s="374">
        <f>COUNTIFS(B:B,B2865,H:H,'סיווג התפקידים והעלויות'!$C$2)</f>
        <v>0</v>
      </c>
      <c r="AC2865" s="374">
        <f>COUNTIFS(B:B,B2865,H:H,'סיווג התפקידים והעלויות'!$D$2)</f>
        <v>0</v>
      </c>
      <c r="AD2865" s="374" t="str">
        <f>IF(OR(AND(H2865='סיווג התפקידים והעלויות'!$A$2,I2865='סיווג התפקידים והעלויות'!$A$3),'עלויות כח אדם (6)'!H2865='סיווג התפקידים והעלויות'!$C$2,'עלויות כח אדם (6)'!H2865='סיווג התפקידים והעלויות'!$D$2),IF('עלויות כח אדם (6)'!J2865&lt;75,"לא תקין","תקין"),"")</f>
        <v/>
      </c>
      <c r="AE2865" s="374" t="str">
        <f t="shared" si="674"/>
        <v/>
      </c>
      <c r="AF2865" s="532" t="str">
        <f t="shared" si="675"/>
        <v/>
      </c>
    </row>
    <row r="2866" spans="2:32" x14ac:dyDescent="0.25">
      <c r="B2866" s="695"/>
      <c r="C2866" s="197" t="str">
        <f>IF(B2866&lt;&gt;"",IFERROR(VLOOKUP(B:B,'מצבת והרשמה (2)'!$C$20:$N$520,2,0)," ")," ")</f>
        <v xml:space="preserve"> </v>
      </c>
      <c r="D2866" s="695"/>
      <c r="E2866" s="696"/>
      <c r="F2866" s="696"/>
      <c r="G2866" s="696"/>
      <c r="H2866" s="696"/>
      <c r="I2866" s="1050" t="str">
        <f t="shared" si="662"/>
        <v/>
      </c>
      <c r="J2866" s="696"/>
      <c r="K2866" s="697"/>
      <c r="L2866" s="696"/>
      <c r="M2866" s="198" t="str">
        <f t="shared" si="663"/>
        <v/>
      </c>
      <c r="N2866" s="369" t="str">
        <f t="shared" si="664"/>
        <v/>
      </c>
      <c r="O2866" s="183" t="str">
        <f t="shared" si="665"/>
        <v/>
      </c>
      <c r="P2866" s="199" t="str">
        <f t="shared" si="666"/>
        <v/>
      </c>
      <c r="Q2866" s="199" t="str">
        <f>IF(B2866="","",IFERROR(IF('עלויות כח אדם (6)'!J2866&gt;=VLOOKUP(I2866,'סיווג התפקידים והעלויות'!$B$23:$C$32,2,0),"תקין","לא תקין"),""))</f>
        <v/>
      </c>
      <c r="R2866" s="199" t="str">
        <f t="shared" si="667"/>
        <v/>
      </c>
      <c r="S2866" s="199" t="str">
        <f t="shared" si="668"/>
        <v/>
      </c>
      <c r="T2866" s="199" t="str">
        <f t="shared" si="676"/>
        <v/>
      </c>
      <c r="U2866" s="199" t="str">
        <f t="shared" si="669"/>
        <v/>
      </c>
      <c r="V2866" s="989"/>
      <c r="X2866" s="374" t="str">
        <f t="shared" si="670"/>
        <v/>
      </c>
      <c r="Y2866" s="375" t="str">
        <f t="shared" si="671"/>
        <v/>
      </c>
      <c r="Z2866" s="374" t="str">
        <f t="shared" si="672"/>
        <v/>
      </c>
      <c r="AA2866" s="374" t="b">
        <f t="shared" si="673"/>
        <v>1</v>
      </c>
      <c r="AB2866" s="374">
        <f>COUNTIFS(B:B,B2866,H:H,'סיווג התפקידים והעלויות'!$C$2)</f>
        <v>0</v>
      </c>
      <c r="AC2866" s="374">
        <f>COUNTIFS(B:B,B2866,H:H,'סיווג התפקידים והעלויות'!$D$2)</f>
        <v>0</v>
      </c>
      <c r="AD2866" s="374" t="str">
        <f>IF(OR(AND(H2866='סיווג התפקידים והעלויות'!$A$2,I2866='סיווג התפקידים והעלויות'!$A$3),'עלויות כח אדם (6)'!H2866='סיווג התפקידים והעלויות'!$C$2,'עלויות כח אדם (6)'!H2866='סיווג התפקידים והעלויות'!$D$2),IF('עלויות כח אדם (6)'!J2866&lt;75,"לא תקין","תקין"),"")</f>
        <v/>
      </c>
      <c r="AE2866" s="374" t="str">
        <f t="shared" si="674"/>
        <v/>
      </c>
      <c r="AF2866" s="532" t="str">
        <f t="shared" si="675"/>
        <v/>
      </c>
    </row>
    <row r="2867" spans="2:32" x14ac:dyDescent="0.25">
      <c r="B2867" s="695"/>
      <c r="C2867" s="197" t="str">
        <f>IF(B2867&lt;&gt;"",IFERROR(VLOOKUP(B:B,'מצבת והרשמה (2)'!$C$20:$N$520,2,0)," ")," ")</f>
        <v xml:space="preserve"> </v>
      </c>
      <c r="D2867" s="695"/>
      <c r="E2867" s="696"/>
      <c r="F2867" s="696"/>
      <c r="G2867" s="696"/>
      <c r="H2867" s="696"/>
      <c r="I2867" s="1050" t="str">
        <f t="shared" si="662"/>
        <v/>
      </c>
      <c r="J2867" s="696"/>
      <c r="K2867" s="697"/>
      <c r="L2867" s="696"/>
      <c r="M2867" s="198" t="str">
        <f t="shared" si="663"/>
        <v/>
      </c>
      <c r="N2867" s="369" t="str">
        <f t="shared" si="664"/>
        <v/>
      </c>
      <c r="O2867" s="183" t="str">
        <f t="shared" si="665"/>
        <v/>
      </c>
      <c r="P2867" s="199" t="str">
        <f t="shared" si="666"/>
        <v/>
      </c>
      <c r="Q2867" s="199" t="str">
        <f>IF(B2867="","",IFERROR(IF('עלויות כח אדם (6)'!J2867&gt;=VLOOKUP(I2867,'סיווג התפקידים והעלויות'!$B$23:$C$32,2,0),"תקין","לא תקין"),""))</f>
        <v/>
      </c>
      <c r="R2867" s="199" t="str">
        <f t="shared" si="667"/>
        <v/>
      </c>
      <c r="S2867" s="199" t="str">
        <f t="shared" si="668"/>
        <v/>
      </c>
      <c r="T2867" s="199" t="str">
        <f t="shared" si="676"/>
        <v/>
      </c>
      <c r="U2867" s="199" t="str">
        <f t="shared" si="669"/>
        <v/>
      </c>
      <c r="V2867" s="989"/>
      <c r="X2867" s="374" t="str">
        <f t="shared" si="670"/>
        <v/>
      </c>
      <c r="Y2867" s="375" t="str">
        <f t="shared" si="671"/>
        <v/>
      </c>
      <c r="Z2867" s="374" t="str">
        <f t="shared" si="672"/>
        <v/>
      </c>
      <c r="AA2867" s="374" t="b">
        <f t="shared" si="673"/>
        <v>1</v>
      </c>
      <c r="AB2867" s="374">
        <f>COUNTIFS(B:B,B2867,H:H,'סיווג התפקידים והעלויות'!$C$2)</f>
        <v>0</v>
      </c>
      <c r="AC2867" s="374">
        <f>COUNTIFS(B:B,B2867,H:H,'סיווג התפקידים והעלויות'!$D$2)</f>
        <v>0</v>
      </c>
      <c r="AD2867" s="374" t="str">
        <f>IF(OR(AND(H2867='סיווג התפקידים והעלויות'!$A$2,I2867='סיווג התפקידים והעלויות'!$A$3),'עלויות כח אדם (6)'!H2867='סיווג התפקידים והעלויות'!$C$2,'עלויות כח אדם (6)'!H2867='סיווג התפקידים והעלויות'!$D$2),IF('עלויות כח אדם (6)'!J2867&lt;75,"לא תקין","תקין"),"")</f>
        <v/>
      </c>
      <c r="AE2867" s="374" t="str">
        <f t="shared" si="674"/>
        <v/>
      </c>
      <c r="AF2867" s="532" t="str">
        <f t="shared" si="675"/>
        <v/>
      </c>
    </row>
    <row r="2868" spans="2:32" x14ac:dyDescent="0.25">
      <c r="B2868" s="695"/>
      <c r="C2868" s="197" t="str">
        <f>IF(B2868&lt;&gt;"",IFERROR(VLOOKUP(B:B,'מצבת והרשמה (2)'!$C$20:$N$520,2,0)," ")," ")</f>
        <v xml:space="preserve"> </v>
      </c>
      <c r="D2868" s="695"/>
      <c r="E2868" s="696"/>
      <c r="F2868" s="696"/>
      <c r="G2868" s="696"/>
      <c r="H2868" s="696"/>
      <c r="I2868" s="1050" t="str">
        <f t="shared" si="662"/>
        <v/>
      </c>
      <c r="J2868" s="696"/>
      <c r="K2868" s="697"/>
      <c r="L2868" s="696"/>
      <c r="M2868" s="198" t="str">
        <f t="shared" si="663"/>
        <v/>
      </c>
      <c r="N2868" s="369" t="str">
        <f t="shared" si="664"/>
        <v/>
      </c>
      <c r="O2868" s="183" t="str">
        <f t="shared" si="665"/>
        <v/>
      </c>
      <c r="P2868" s="199" t="str">
        <f t="shared" si="666"/>
        <v/>
      </c>
      <c r="Q2868" s="199" t="str">
        <f>IF(B2868="","",IFERROR(IF('עלויות כח אדם (6)'!J2868&gt;=VLOOKUP(I2868,'סיווג התפקידים והעלויות'!$B$23:$C$32,2,0),"תקין","לא תקין"),""))</f>
        <v/>
      </c>
      <c r="R2868" s="199" t="str">
        <f t="shared" si="667"/>
        <v/>
      </c>
      <c r="S2868" s="199" t="str">
        <f t="shared" si="668"/>
        <v/>
      </c>
      <c r="T2868" s="199" t="str">
        <f t="shared" si="676"/>
        <v/>
      </c>
      <c r="U2868" s="199" t="str">
        <f t="shared" si="669"/>
        <v/>
      </c>
      <c r="V2868" s="989"/>
      <c r="X2868" s="374" t="str">
        <f t="shared" si="670"/>
        <v/>
      </c>
      <c r="Y2868" s="375" t="str">
        <f t="shared" si="671"/>
        <v/>
      </c>
      <c r="Z2868" s="374" t="str">
        <f t="shared" si="672"/>
        <v/>
      </c>
      <c r="AA2868" s="374" t="b">
        <f t="shared" si="673"/>
        <v>1</v>
      </c>
      <c r="AB2868" s="374">
        <f>COUNTIFS(B:B,B2868,H:H,'סיווג התפקידים והעלויות'!$C$2)</f>
        <v>0</v>
      </c>
      <c r="AC2868" s="374">
        <f>COUNTIFS(B:B,B2868,H:H,'סיווג התפקידים והעלויות'!$D$2)</f>
        <v>0</v>
      </c>
      <c r="AD2868" s="374" t="str">
        <f>IF(OR(AND(H2868='סיווג התפקידים והעלויות'!$A$2,I2868='סיווג התפקידים והעלויות'!$A$3),'עלויות כח אדם (6)'!H2868='סיווג התפקידים והעלויות'!$C$2,'עלויות כח אדם (6)'!H2868='סיווג התפקידים והעלויות'!$D$2),IF('עלויות כח אדם (6)'!J2868&lt;75,"לא תקין","תקין"),"")</f>
        <v/>
      </c>
      <c r="AE2868" s="374" t="str">
        <f t="shared" si="674"/>
        <v/>
      </c>
      <c r="AF2868" s="532" t="str">
        <f t="shared" si="675"/>
        <v/>
      </c>
    </row>
    <row r="2869" spans="2:32" x14ac:dyDescent="0.25">
      <c r="B2869" s="695"/>
      <c r="C2869" s="197" t="str">
        <f>IF(B2869&lt;&gt;"",IFERROR(VLOOKUP(B:B,'מצבת והרשמה (2)'!$C$20:$N$520,2,0)," ")," ")</f>
        <v xml:space="preserve"> </v>
      </c>
      <c r="D2869" s="695"/>
      <c r="E2869" s="696"/>
      <c r="F2869" s="696"/>
      <c r="G2869" s="696"/>
      <c r="H2869" s="696"/>
      <c r="I2869" s="1050" t="str">
        <f t="shared" si="662"/>
        <v/>
      </c>
      <c r="J2869" s="696"/>
      <c r="K2869" s="697"/>
      <c r="L2869" s="696"/>
      <c r="M2869" s="198" t="str">
        <f t="shared" si="663"/>
        <v/>
      </c>
      <c r="N2869" s="369" t="str">
        <f t="shared" si="664"/>
        <v/>
      </c>
      <c r="O2869" s="183" t="str">
        <f t="shared" si="665"/>
        <v/>
      </c>
      <c r="P2869" s="199" t="str">
        <f t="shared" si="666"/>
        <v/>
      </c>
      <c r="Q2869" s="199" t="str">
        <f>IF(B2869="","",IFERROR(IF('עלויות כח אדם (6)'!J2869&gt;=VLOOKUP(I2869,'סיווג התפקידים והעלויות'!$B$23:$C$32,2,0),"תקין","לא תקין"),""))</f>
        <v/>
      </c>
      <c r="R2869" s="199" t="str">
        <f t="shared" si="667"/>
        <v/>
      </c>
      <c r="S2869" s="199" t="str">
        <f t="shared" si="668"/>
        <v/>
      </c>
      <c r="T2869" s="199" t="str">
        <f t="shared" si="676"/>
        <v/>
      </c>
      <c r="U2869" s="199" t="str">
        <f t="shared" si="669"/>
        <v/>
      </c>
      <c r="V2869" s="989"/>
      <c r="X2869" s="374" t="str">
        <f t="shared" si="670"/>
        <v/>
      </c>
      <c r="Y2869" s="375" t="str">
        <f t="shared" si="671"/>
        <v/>
      </c>
      <c r="Z2869" s="374" t="str">
        <f t="shared" si="672"/>
        <v/>
      </c>
      <c r="AA2869" s="374" t="b">
        <f t="shared" si="673"/>
        <v>1</v>
      </c>
      <c r="AB2869" s="374">
        <f>COUNTIFS(B:B,B2869,H:H,'סיווג התפקידים והעלויות'!$C$2)</f>
        <v>0</v>
      </c>
      <c r="AC2869" s="374">
        <f>COUNTIFS(B:B,B2869,H:H,'סיווג התפקידים והעלויות'!$D$2)</f>
        <v>0</v>
      </c>
      <c r="AD2869" s="374" t="str">
        <f>IF(OR(AND(H2869='סיווג התפקידים והעלויות'!$A$2,I2869='סיווג התפקידים והעלויות'!$A$3),'עלויות כח אדם (6)'!H2869='סיווג התפקידים והעלויות'!$C$2,'עלויות כח אדם (6)'!H2869='סיווג התפקידים והעלויות'!$D$2),IF('עלויות כח אדם (6)'!J2869&lt;75,"לא תקין","תקין"),"")</f>
        <v/>
      </c>
      <c r="AE2869" s="374" t="str">
        <f t="shared" si="674"/>
        <v/>
      </c>
      <c r="AF2869" s="532" t="str">
        <f t="shared" si="675"/>
        <v/>
      </c>
    </row>
    <row r="2870" spans="2:32" x14ac:dyDescent="0.25">
      <c r="B2870" s="695"/>
      <c r="C2870" s="197" t="str">
        <f>IF(B2870&lt;&gt;"",IFERROR(VLOOKUP(B:B,'מצבת והרשמה (2)'!$C$20:$N$520,2,0)," ")," ")</f>
        <v xml:space="preserve"> </v>
      </c>
      <c r="D2870" s="695"/>
      <c r="E2870" s="696"/>
      <c r="F2870" s="696"/>
      <c r="G2870" s="696"/>
      <c r="H2870" s="696"/>
      <c r="I2870" s="1050" t="str">
        <f t="shared" si="662"/>
        <v/>
      </c>
      <c r="J2870" s="696"/>
      <c r="K2870" s="697"/>
      <c r="L2870" s="696"/>
      <c r="M2870" s="198" t="str">
        <f t="shared" si="663"/>
        <v/>
      </c>
      <c r="N2870" s="369" t="str">
        <f t="shared" si="664"/>
        <v/>
      </c>
      <c r="O2870" s="183" t="str">
        <f t="shared" si="665"/>
        <v/>
      </c>
      <c r="P2870" s="199" t="str">
        <f t="shared" si="666"/>
        <v/>
      </c>
      <c r="Q2870" s="199" t="str">
        <f>IF(B2870="","",IFERROR(IF('עלויות כח אדם (6)'!J2870&gt;=VLOOKUP(I2870,'סיווג התפקידים והעלויות'!$B$23:$C$32,2,0),"תקין","לא תקין"),""))</f>
        <v/>
      </c>
      <c r="R2870" s="199" t="str">
        <f t="shared" si="667"/>
        <v/>
      </c>
      <c r="S2870" s="199" t="str">
        <f t="shared" si="668"/>
        <v/>
      </c>
      <c r="T2870" s="199" t="str">
        <f t="shared" si="676"/>
        <v/>
      </c>
      <c r="U2870" s="199" t="str">
        <f t="shared" si="669"/>
        <v/>
      </c>
      <c r="V2870" s="989"/>
      <c r="X2870" s="374" t="str">
        <f t="shared" si="670"/>
        <v/>
      </c>
      <c r="Y2870" s="375" t="str">
        <f t="shared" si="671"/>
        <v/>
      </c>
      <c r="Z2870" s="374" t="str">
        <f t="shared" si="672"/>
        <v/>
      </c>
      <c r="AA2870" s="374" t="b">
        <f t="shared" si="673"/>
        <v>1</v>
      </c>
      <c r="AB2870" s="374">
        <f>COUNTIFS(B:B,B2870,H:H,'סיווג התפקידים והעלויות'!$C$2)</f>
        <v>0</v>
      </c>
      <c r="AC2870" s="374">
        <f>COUNTIFS(B:B,B2870,H:H,'סיווג התפקידים והעלויות'!$D$2)</f>
        <v>0</v>
      </c>
      <c r="AD2870" s="374" t="str">
        <f>IF(OR(AND(H2870='סיווג התפקידים והעלויות'!$A$2,I2870='סיווג התפקידים והעלויות'!$A$3),'עלויות כח אדם (6)'!H2870='סיווג התפקידים והעלויות'!$C$2,'עלויות כח אדם (6)'!H2870='סיווג התפקידים והעלויות'!$D$2),IF('עלויות כח אדם (6)'!J2870&lt;75,"לא תקין","תקין"),"")</f>
        <v/>
      </c>
      <c r="AE2870" s="374" t="str">
        <f t="shared" si="674"/>
        <v/>
      </c>
      <c r="AF2870" s="532" t="str">
        <f t="shared" si="675"/>
        <v/>
      </c>
    </row>
    <row r="2871" spans="2:32" x14ac:dyDescent="0.25">
      <c r="B2871" s="695"/>
      <c r="C2871" s="197" t="str">
        <f>IF(B2871&lt;&gt;"",IFERROR(VLOOKUP(B:B,'מצבת והרשמה (2)'!$C$20:$N$520,2,0)," ")," ")</f>
        <v xml:space="preserve"> </v>
      </c>
      <c r="D2871" s="695"/>
      <c r="E2871" s="696"/>
      <c r="F2871" s="696"/>
      <c r="G2871" s="696"/>
      <c r="H2871" s="696"/>
      <c r="I2871" s="1050" t="str">
        <f t="shared" si="662"/>
        <v/>
      </c>
      <c r="J2871" s="696"/>
      <c r="K2871" s="697"/>
      <c r="L2871" s="696"/>
      <c r="M2871" s="198" t="str">
        <f t="shared" si="663"/>
        <v/>
      </c>
      <c r="N2871" s="369" t="str">
        <f t="shared" si="664"/>
        <v/>
      </c>
      <c r="O2871" s="183" t="str">
        <f t="shared" si="665"/>
        <v/>
      </c>
      <c r="P2871" s="199" t="str">
        <f t="shared" si="666"/>
        <v/>
      </c>
      <c r="Q2871" s="199" t="str">
        <f>IF(B2871="","",IFERROR(IF('עלויות כח אדם (6)'!J2871&gt;=VLOOKUP(I2871,'סיווג התפקידים והעלויות'!$B$23:$C$32,2,0),"תקין","לא תקין"),""))</f>
        <v/>
      </c>
      <c r="R2871" s="199" t="str">
        <f t="shared" si="667"/>
        <v/>
      </c>
      <c r="S2871" s="199" t="str">
        <f t="shared" si="668"/>
        <v/>
      </c>
      <c r="T2871" s="199" t="str">
        <f t="shared" si="676"/>
        <v/>
      </c>
      <c r="U2871" s="199" t="str">
        <f t="shared" si="669"/>
        <v/>
      </c>
      <c r="V2871" s="989"/>
      <c r="X2871" s="374" t="str">
        <f t="shared" si="670"/>
        <v/>
      </c>
      <c r="Y2871" s="375" t="str">
        <f t="shared" si="671"/>
        <v/>
      </c>
      <c r="Z2871" s="374" t="str">
        <f t="shared" si="672"/>
        <v/>
      </c>
      <c r="AA2871" s="374" t="b">
        <f t="shared" si="673"/>
        <v>1</v>
      </c>
      <c r="AB2871" s="374">
        <f>COUNTIFS(B:B,B2871,H:H,'סיווג התפקידים והעלויות'!$C$2)</f>
        <v>0</v>
      </c>
      <c r="AC2871" s="374">
        <f>COUNTIFS(B:B,B2871,H:H,'סיווג התפקידים והעלויות'!$D$2)</f>
        <v>0</v>
      </c>
      <c r="AD2871" s="374" t="str">
        <f>IF(OR(AND(H2871='סיווג התפקידים והעלויות'!$A$2,I2871='סיווג התפקידים והעלויות'!$A$3),'עלויות כח אדם (6)'!H2871='סיווג התפקידים והעלויות'!$C$2,'עלויות כח אדם (6)'!H2871='סיווג התפקידים והעלויות'!$D$2),IF('עלויות כח אדם (6)'!J2871&lt;75,"לא תקין","תקין"),"")</f>
        <v/>
      </c>
      <c r="AE2871" s="374" t="str">
        <f t="shared" si="674"/>
        <v/>
      </c>
      <c r="AF2871" s="532" t="str">
        <f t="shared" si="675"/>
        <v/>
      </c>
    </row>
    <row r="2872" spans="2:32" x14ac:dyDescent="0.25">
      <c r="B2872" s="695"/>
      <c r="C2872" s="197" t="str">
        <f>IF(B2872&lt;&gt;"",IFERROR(VLOOKUP(B:B,'מצבת והרשמה (2)'!$C$20:$N$520,2,0)," ")," ")</f>
        <v xml:space="preserve"> </v>
      </c>
      <c r="D2872" s="695"/>
      <c r="E2872" s="696"/>
      <c r="F2872" s="696"/>
      <c r="G2872" s="696"/>
      <c r="H2872" s="696"/>
      <c r="I2872" s="1050" t="str">
        <f t="shared" si="662"/>
        <v/>
      </c>
      <c r="J2872" s="696"/>
      <c r="K2872" s="697"/>
      <c r="L2872" s="696"/>
      <c r="M2872" s="198" t="str">
        <f t="shared" si="663"/>
        <v/>
      </c>
      <c r="N2872" s="369" t="str">
        <f t="shared" si="664"/>
        <v/>
      </c>
      <c r="O2872" s="183" t="str">
        <f t="shared" si="665"/>
        <v/>
      </c>
      <c r="P2872" s="199" t="str">
        <f t="shared" si="666"/>
        <v/>
      </c>
      <c r="Q2872" s="199" t="str">
        <f>IF(B2872="","",IFERROR(IF('עלויות כח אדם (6)'!J2872&gt;=VLOOKUP(I2872,'סיווג התפקידים והעלויות'!$B$23:$C$32,2,0),"תקין","לא תקין"),""))</f>
        <v/>
      </c>
      <c r="R2872" s="199" t="str">
        <f t="shared" si="667"/>
        <v/>
      </c>
      <c r="S2872" s="199" t="str">
        <f t="shared" si="668"/>
        <v/>
      </c>
      <c r="T2872" s="199" t="str">
        <f t="shared" si="676"/>
        <v/>
      </c>
      <c r="U2872" s="199" t="str">
        <f t="shared" si="669"/>
        <v/>
      </c>
      <c r="V2872" s="989"/>
      <c r="X2872" s="374" t="str">
        <f t="shared" si="670"/>
        <v/>
      </c>
      <c r="Y2872" s="375" t="str">
        <f t="shared" si="671"/>
        <v/>
      </c>
      <c r="Z2872" s="374" t="str">
        <f t="shared" si="672"/>
        <v/>
      </c>
      <c r="AA2872" s="374" t="b">
        <f t="shared" si="673"/>
        <v>1</v>
      </c>
      <c r="AB2872" s="374">
        <f>COUNTIFS(B:B,B2872,H:H,'סיווג התפקידים והעלויות'!$C$2)</f>
        <v>0</v>
      </c>
      <c r="AC2872" s="374">
        <f>COUNTIFS(B:B,B2872,H:H,'סיווג התפקידים והעלויות'!$D$2)</f>
        <v>0</v>
      </c>
      <c r="AD2872" s="374" t="str">
        <f>IF(OR(AND(H2872='סיווג התפקידים והעלויות'!$A$2,I2872='סיווג התפקידים והעלויות'!$A$3),'עלויות כח אדם (6)'!H2872='סיווג התפקידים והעלויות'!$C$2,'עלויות כח אדם (6)'!H2872='סיווג התפקידים והעלויות'!$D$2),IF('עלויות כח אדם (6)'!J2872&lt;75,"לא תקין","תקין"),"")</f>
        <v/>
      </c>
      <c r="AE2872" s="374" t="str">
        <f t="shared" si="674"/>
        <v/>
      </c>
      <c r="AF2872" s="532" t="str">
        <f t="shared" si="675"/>
        <v/>
      </c>
    </row>
    <row r="2873" spans="2:32" x14ac:dyDescent="0.25">
      <c r="B2873" s="695"/>
      <c r="C2873" s="197" t="str">
        <f>IF(B2873&lt;&gt;"",IFERROR(VLOOKUP(B:B,'מצבת והרשמה (2)'!$C$20:$N$520,2,0)," ")," ")</f>
        <v xml:space="preserve"> </v>
      </c>
      <c r="D2873" s="695"/>
      <c r="E2873" s="696"/>
      <c r="F2873" s="696"/>
      <c r="G2873" s="696"/>
      <c r="H2873" s="696"/>
      <c r="I2873" s="1050" t="str">
        <f t="shared" si="662"/>
        <v/>
      </c>
      <c r="J2873" s="696"/>
      <c r="K2873" s="697"/>
      <c r="L2873" s="696"/>
      <c r="M2873" s="198" t="str">
        <f t="shared" si="663"/>
        <v/>
      </c>
      <c r="N2873" s="369" t="str">
        <f t="shared" si="664"/>
        <v/>
      </c>
      <c r="O2873" s="183" t="str">
        <f t="shared" si="665"/>
        <v/>
      </c>
      <c r="P2873" s="199" t="str">
        <f t="shared" si="666"/>
        <v/>
      </c>
      <c r="Q2873" s="199" t="str">
        <f>IF(B2873="","",IFERROR(IF('עלויות כח אדם (6)'!J2873&gt;=VLOOKUP(I2873,'סיווג התפקידים והעלויות'!$B$23:$C$32,2,0),"תקין","לא תקין"),""))</f>
        <v/>
      </c>
      <c r="R2873" s="199" t="str">
        <f t="shared" si="667"/>
        <v/>
      </c>
      <c r="S2873" s="199" t="str">
        <f t="shared" si="668"/>
        <v/>
      </c>
      <c r="T2873" s="199" t="str">
        <f t="shared" si="676"/>
        <v/>
      </c>
      <c r="U2873" s="199" t="str">
        <f t="shared" si="669"/>
        <v/>
      </c>
      <c r="V2873" s="989"/>
      <c r="X2873" s="374" t="str">
        <f t="shared" si="670"/>
        <v/>
      </c>
      <c r="Y2873" s="375" t="str">
        <f t="shared" si="671"/>
        <v/>
      </c>
      <c r="Z2873" s="374" t="str">
        <f t="shared" si="672"/>
        <v/>
      </c>
      <c r="AA2873" s="374" t="b">
        <f t="shared" si="673"/>
        <v>1</v>
      </c>
      <c r="AB2873" s="374">
        <f>COUNTIFS(B:B,B2873,H:H,'סיווג התפקידים והעלויות'!$C$2)</f>
        <v>0</v>
      </c>
      <c r="AC2873" s="374">
        <f>COUNTIFS(B:B,B2873,H:H,'סיווג התפקידים והעלויות'!$D$2)</f>
        <v>0</v>
      </c>
      <c r="AD2873" s="374" t="str">
        <f>IF(OR(AND(H2873='סיווג התפקידים והעלויות'!$A$2,I2873='סיווג התפקידים והעלויות'!$A$3),'עלויות כח אדם (6)'!H2873='סיווג התפקידים והעלויות'!$C$2,'עלויות כח אדם (6)'!H2873='סיווג התפקידים והעלויות'!$D$2),IF('עלויות כח אדם (6)'!J2873&lt;75,"לא תקין","תקין"),"")</f>
        <v/>
      </c>
      <c r="AE2873" s="374" t="str">
        <f t="shared" si="674"/>
        <v/>
      </c>
      <c r="AF2873" s="532" t="str">
        <f t="shared" si="675"/>
        <v/>
      </c>
    </row>
    <row r="2874" spans="2:32" x14ac:dyDescent="0.25">
      <c r="B2874" s="695"/>
      <c r="C2874" s="197" t="str">
        <f>IF(B2874&lt;&gt;"",IFERROR(VLOOKUP(B:B,'מצבת והרשמה (2)'!$C$20:$N$520,2,0)," ")," ")</f>
        <v xml:space="preserve"> </v>
      </c>
      <c r="D2874" s="695"/>
      <c r="E2874" s="696"/>
      <c r="F2874" s="696"/>
      <c r="G2874" s="696"/>
      <c r="H2874" s="696"/>
      <c r="I2874" s="1050" t="str">
        <f t="shared" si="662"/>
        <v/>
      </c>
      <c r="J2874" s="696"/>
      <c r="K2874" s="697"/>
      <c r="L2874" s="696"/>
      <c r="M2874" s="198" t="str">
        <f t="shared" si="663"/>
        <v/>
      </c>
      <c r="N2874" s="369" t="str">
        <f t="shared" si="664"/>
        <v/>
      </c>
      <c r="O2874" s="183" t="str">
        <f t="shared" si="665"/>
        <v/>
      </c>
      <c r="P2874" s="199" t="str">
        <f t="shared" si="666"/>
        <v/>
      </c>
      <c r="Q2874" s="199" t="str">
        <f>IF(B2874="","",IFERROR(IF('עלויות כח אדם (6)'!J2874&gt;=VLOOKUP(I2874,'סיווג התפקידים והעלויות'!$B$23:$C$32,2,0),"תקין","לא תקין"),""))</f>
        <v/>
      </c>
      <c r="R2874" s="199" t="str">
        <f t="shared" si="667"/>
        <v/>
      </c>
      <c r="S2874" s="199" t="str">
        <f t="shared" si="668"/>
        <v/>
      </c>
      <c r="T2874" s="199" t="str">
        <f t="shared" si="676"/>
        <v/>
      </c>
      <c r="U2874" s="199" t="str">
        <f t="shared" si="669"/>
        <v/>
      </c>
      <c r="V2874" s="989"/>
      <c r="X2874" s="374" t="str">
        <f t="shared" si="670"/>
        <v/>
      </c>
      <c r="Y2874" s="375" t="str">
        <f t="shared" si="671"/>
        <v/>
      </c>
      <c r="Z2874" s="374" t="str">
        <f t="shared" si="672"/>
        <v/>
      </c>
      <c r="AA2874" s="374" t="b">
        <f t="shared" si="673"/>
        <v>1</v>
      </c>
      <c r="AB2874" s="374">
        <f>COUNTIFS(B:B,B2874,H:H,'סיווג התפקידים והעלויות'!$C$2)</f>
        <v>0</v>
      </c>
      <c r="AC2874" s="374">
        <f>COUNTIFS(B:B,B2874,H:H,'סיווג התפקידים והעלויות'!$D$2)</f>
        <v>0</v>
      </c>
      <c r="AD2874" s="374" t="str">
        <f>IF(OR(AND(H2874='סיווג התפקידים והעלויות'!$A$2,I2874='סיווג התפקידים והעלויות'!$A$3),'עלויות כח אדם (6)'!H2874='סיווג התפקידים והעלויות'!$C$2,'עלויות כח אדם (6)'!H2874='סיווג התפקידים והעלויות'!$D$2),IF('עלויות כח אדם (6)'!J2874&lt;75,"לא תקין","תקין"),"")</f>
        <v/>
      </c>
      <c r="AE2874" s="374" t="str">
        <f t="shared" si="674"/>
        <v/>
      </c>
      <c r="AF2874" s="532" t="str">
        <f t="shared" si="675"/>
        <v/>
      </c>
    </row>
    <row r="2875" spans="2:32" x14ac:dyDescent="0.25">
      <c r="B2875" s="695"/>
      <c r="C2875" s="197" t="str">
        <f>IF(B2875&lt;&gt;"",IFERROR(VLOOKUP(B:B,'מצבת והרשמה (2)'!$C$20:$N$520,2,0)," ")," ")</f>
        <v xml:space="preserve"> </v>
      </c>
      <c r="D2875" s="695"/>
      <c r="E2875" s="696"/>
      <c r="F2875" s="696"/>
      <c r="G2875" s="696"/>
      <c r="H2875" s="696"/>
      <c r="I2875" s="1050" t="str">
        <f t="shared" si="662"/>
        <v/>
      </c>
      <c r="J2875" s="696"/>
      <c r="K2875" s="697"/>
      <c r="L2875" s="696"/>
      <c r="M2875" s="198" t="str">
        <f t="shared" si="663"/>
        <v/>
      </c>
      <c r="N2875" s="369" t="str">
        <f t="shared" si="664"/>
        <v/>
      </c>
      <c r="O2875" s="183" t="str">
        <f t="shared" si="665"/>
        <v/>
      </c>
      <c r="P2875" s="199" t="str">
        <f t="shared" si="666"/>
        <v/>
      </c>
      <c r="Q2875" s="199" t="str">
        <f>IF(B2875="","",IFERROR(IF('עלויות כח אדם (6)'!J2875&gt;=VLOOKUP(I2875,'סיווג התפקידים והעלויות'!$B$23:$C$32,2,0),"תקין","לא תקין"),""))</f>
        <v/>
      </c>
      <c r="R2875" s="199" t="str">
        <f t="shared" si="667"/>
        <v/>
      </c>
      <c r="S2875" s="199" t="str">
        <f t="shared" si="668"/>
        <v/>
      </c>
      <c r="T2875" s="199" t="str">
        <f t="shared" si="676"/>
        <v/>
      </c>
      <c r="U2875" s="199" t="str">
        <f t="shared" si="669"/>
        <v/>
      </c>
      <c r="V2875" s="989"/>
      <c r="X2875" s="374" t="str">
        <f t="shared" si="670"/>
        <v/>
      </c>
      <c r="Y2875" s="375" t="str">
        <f t="shared" si="671"/>
        <v/>
      </c>
      <c r="Z2875" s="374" t="str">
        <f t="shared" si="672"/>
        <v/>
      </c>
      <c r="AA2875" s="374" t="b">
        <f t="shared" si="673"/>
        <v>1</v>
      </c>
      <c r="AB2875" s="374">
        <f>COUNTIFS(B:B,B2875,H:H,'סיווג התפקידים והעלויות'!$C$2)</f>
        <v>0</v>
      </c>
      <c r="AC2875" s="374">
        <f>COUNTIFS(B:B,B2875,H:H,'סיווג התפקידים והעלויות'!$D$2)</f>
        <v>0</v>
      </c>
      <c r="AD2875" s="374" t="str">
        <f>IF(OR(AND(H2875='סיווג התפקידים והעלויות'!$A$2,I2875='סיווג התפקידים והעלויות'!$A$3),'עלויות כח אדם (6)'!H2875='סיווג התפקידים והעלויות'!$C$2,'עלויות כח אדם (6)'!H2875='סיווג התפקידים והעלויות'!$D$2),IF('עלויות כח אדם (6)'!J2875&lt;75,"לא תקין","תקין"),"")</f>
        <v/>
      </c>
      <c r="AE2875" s="374" t="str">
        <f t="shared" si="674"/>
        <v/>
      </c>
      <c r="AF2875" s="532" t="str">
        <f t="shared" si="675"/>
        <v/>
      </c>
    </row>
    <row r="2876" spans="2:32" x14ac:dyDescent="0.25">
      <c r="B2876" s="695"/>
      <c r="C2876" s="197" t="str">
        <f>IF(B2876&lt;&gt;"",IFERROR(VLOOKUP(B:B,'מצבת והרשמה (2)'!$C$20:$N$520,2,0)," ")," ")</f>
        <v xml:space="preserve"> </v>
      </c>
      <c r="D2876" s="695"/>
      <c r="E2876" s="696"/>
      <c r="F2876" s="696"/>
      <c r="G2876" s="696"/>
      <c r="H2876" s="696"/>
      <c r="I2876" s="1050" t="str">
        <f t="shared" si="662"/>
        <v/>
      </c>
      <c r="J2876" s="696"/>
      <c r="K2876" s="697"/>
      <c r="L2876" s="696"/>
      <c r="M2876" s="198" t="str">
        <f t="shared" si="663"/>
        <v/>
      </c>
      <c r="N2876" s="369" t="str">
        <f t="shared" si="664"/>
        <v/>
      </c>
      <c r="O2876" s="183" t="str">
        <f t="shared" si="665"/>
        <v/>
      </c>
      <c r="P2876" s="199" t="str">
        <f t="shared" si="666"/>
        <v/>
      </c>
      <c r="Q2876" s="199" t="str">
        <f>IF(B2876="","",IFERROR(IF('עלויות כח אדם (6)'!J2876&gt;=VLOOKUP(I2876,'סיווג התפקידים והעלויות'!$B$23:$C$32,2,0),"תקין","לא תקין"),""))</f>
        <v/>
      </c>
      <c r="R2876" s="199" t="str">
        <f t="shared" si="667"/>
        <v/>
      </c>
      <c r="S2876" s="199" t="str">
        <f t="shared" si="668"/>
        <v/>
      </c>
      <c r="T2876" s="199" t="str">
        <f t="shared" si="676"/>
        <v/>
      </c>
      <c r="U2876" s="199" t="str">
        <f t="shared" si="669"/>
        <v/>
      </c>
      <c r="V2876" s="989"/>
      <c r="X2876" s="374" t="str">
        <f t="shared" si="670"/>
        <v/>
      </c>
      <c r="Y2876" s="375" t="str">
        <f t="shared" si="671"/>
        <v/>
      </c>
      <c r="Z2876" s="374" t="str">
        <f t="shared" si="672"/>
        <v/>
      </c>
      <c r="AA2876" s="374" t="b">
        <f t="shared" si="673"/>
        <v>1</v>
      </c>
      <c r="AB2876" s="374">
        <f>COUNTIFS(B:B,B2876,H:H,'סיווג התפקידים והעלויות'!$C$2)</f>
        <v>0</v>
      </c>
      <c r="AC2876" s="374">
        <f>COUNTIFS(B:B,B2876,H:H,'סיווג התפקידים והעלויות'!$D$2)</f>
        <v>0</v>
      </c>
      <c r="AD2876" s="374" t="str">
        <f>IF(OR(AND(H2876='סיווג התפקידים והעלויות'!$A$2,I2876='סיווג התפקידים והעלויות'!$A$3),'עלויות כח אדם (6)'!H2876='סיווג התפקידים והעלויות'!$C$2,'עלויות כח אדם (6)'!H2876='סיווג התפקידים והעלויות'!$D$2),IF('עלויות כח אדם (6)'!J2876&lt;75,"לא תקין","תקין"),"")</f>
        <v/>
      </c>
      <c r="AE2876" s="374" t="str">
        <f t="shared" si="674"/>
        <v/>
      </c>
      <c r="AF2876" s="532" t="str">
        <f t="shared" si="675"/>
        <v/>
      </c>
    </row>
    <row r="2877" spans="2:32" x14ac:dyDescent="0.25">
      <c r="B2877" s="695"/>
      <c r="C2877" s="197" t="str">
        <f>IF(B2877&lt;&gt;"",IFERROR(VLOOKUP(B:B,'מצבת והרשמה (2)'!$C$20:$N$520,2,0)," ")," ")</f>
        <v xml:space="preserve"> </v>
      </c>
      <c r="D2877" s="695"/>
      <c r="E2877" s="696"/>
      <c r="F2877" s="696"/>
      <c r="G2877" s="696"/>
      <c r="H2877" s="696"/>
      <c r="I2877" s="1050" t="str">
        <f t="shared" si="662"/>
        <v/>
      </c>
      <c r="J2877" s="696"/>
      <c r="K2877" s="697"/>
      <c r="L2877" s="696"/>
      <c r="M2877" s="198" t="str">
        <f t="shared" si="663"/>
        <v/>
      </c>
      <c r="N2877" s="369" t="str">
        <f t="shared" si="664"/>
        <v/>
      </c>
      <c r="O2877" s="183" t="str">
        <f t="shared" si="665"/>
        <v/>
      </c>
      <c r="P2877" s="199" t="str">
        <f t="shared" si="666"/>
        <v/>
      </c>
      <c r="Q2877" s="199" t="str">
        <f>IF(B2877="","",IFERROR(IF('עלויות כח אדם (6)'!J2877&gt;=VLOOKUP(I2877,'סיווג התפקידים והעלויות'!$B$23:$C$32,2,0),"תקין","לא תקין"),""))</f>
        <v/>
      </c>
      <c r="R2877" s="199" t="str">
        <f t="shared" si="667"/>
        <v/>
      </c>
      <c r="S2877" s="199" t="str">
        <f t="shared" si="668"/>
        <v/>
      </c>
      <c r="T2877" s="199" t="str">
        <f t="shared" si="676"/>
        <v/>
      </c>
      <c r="U2877" s="199" t="str">
        <f t="shared" si="669"/>
        <v/>
      </c>
      <c r="V2877" s="989"/>
      <c r="X2877" s="374" t="str">
        <f t="shared" si="670"/>
        <v/>
      </c>
      <c r="Y2877" s="375" t="str">
        <f t="shared" si="671"/>
        <v/>
      </c>
      <c r="Z2877" s="374" t="str">
        <f t="shared" si="672"/>
        <v/>
      </c>
      <c r="AA2877" s="374" t="b">
        <f t="shared" si="673"/>
        <v>1</v>
      </c>
      <c r="AB2877" s="374">
        <f>COUNTIFS(B:B,B2877,H:H,'סיווג התפקידים והעלויות'!$C$2)</f>
        <v>0</v>
      </c>
      <c r="AC2877" s="374">
        <f>COUNTIFS(B:B,B2877,H:H,'סיווג התפקידים והעלויות'!$D$2)</f>
        <v>0</v>
      </c>
      <c r="AD2877" s="374" t="str">
        <f>IF(OR(AND(H2877='סיווג התפקידים והעלויות'!$A$2,I2877='סיווג התפקידים והעלויות'!$A$3),'עלויות כח אדם (6)'!H2877='סיווג התפקידים והעלויות'!$C$2,'עלויות כח אדם (6)'!H2877='סיווג התפקידים והעלויות'!$D$2),IF('עלויות כח אדם (6)'!J2877&lt;75,"לא תקין","תקין"),"")</f>
        <v/>
      </c>
      <c r="AE2877" s="374" t="str">
        <f t="shared" si="674"/>
        <v/>
      </c>
      <c r="AF2877" s="532" t="str">
        <f t="shared" si="675"/>
        <v/>
      </c>
    </row>
    <row r="2878" spans="2:32" x14ac:dyDescent="0.25">
      <c r="B2878" s="695"/>
      <c r="C2878" s="197" t="str">
        <f>IF(B2878&lt;&gt;"",IFERROR(VLOOKUP(B:B,'מצבת והרשמה (2)'!$C$20:$N$520,2,0)," ")," ")</f>
        <v xml:space="preserve"> </v>
      </c>
      <c r="D2878" s="695"/>
      <c r="E2878" s="696"/>
      <c r="F2878" s="696"/>
      <c r="G2878" s="696"/>
      <c r="H2878" s="696"/>
      <c r="I2878" s="1050" t="str">
        <f t="shared" si="662"/>
        <v/>
      </c>
      <c r="J2878" s="696"/>
      <c r="K2878" s="697"/>
      <c r="L2878" s="696"/>
      <c r="M2878" s="198" t="str">
        <f t="shared" si="663"/>
        <v/>
      </c>
      <c r="N2878" s="369" t="str">
        <f t="shared" si="664"/>
        <v/>
      </c>
      <c r="O2878" s="183" t="str">
        <f t="shared" si="665"/>
        <v/>
      </c>
      <c r="P2878" s="199" t="str">
        <f t="shared" si="666"/>
        <v/>
      </c>
      <c r="Q2878" s="199" t="str">
        <f>IF(B2878="","",IFERROR(IF('עלויות כח אדם (6)'!J2878&gt;=VLOOKUP(I2878,'סיווג התפקידים והעלויות'!$B$23:$C$32,2,0),"תקין","לא תקין"),""))</f>
        <v/>
      </c>
      <c r="R2878" s="199" t="str">
        <f t="shared" si="667"/>
        <v/>
      </c>
      <c r="S2878" s="199" t="str">
        <f t="shared" si="668"/>
        <v/>
      </c>
      <c r="T2878" s="199" t="str">
        <f t="shared" si="676"/>
        <v/>
      </c>
      <c r="U2878" s="199" t="str">
        <f t="shared" si="669"/>
        <v/>
      </c>
      <c r="V2878" s="989"/>
      <c r="X2878" s="374" t="str">
        <f t="shared" si="670"/>
        <v/>
      </c>
      <c r="Y2878" s="375" t="str">
        <f t="shared" si="671"/>
        <v/>
      </c>
      <c r="Z2878" s="374" t="str">
        <f t="shared" si="672"/>
        <v/>
      </c>
      <c r="AA2878" s="374" t="b">
        <f t="shared" si="673"/>
        <v>1</v>
      </c>
      <c r="AB2878" s="374">
        <f>COUNTIFS(B:B,B2878,H:H,'סיווג התפקידים והעלויות'!$C$2)</f>
        <v>0</v>
      </c>
      <c r="AC2878" s="374">
        <f>COUNTIFS(B:B,B2878,H:H,'סיווג התפקידים והעלויות'!$D$2)</f>
        <v>0</v>
      </c>
      <c r="AD2878" s="374" t="str">
        <f>IF(OR(AND(H2878='סיווג התפקידים והעלויות'!$A$2,I2878='סיווג התפקידים והעלויות'!$A$3),'עלויות כח אדם (6)'!H2878='סיווג התפקידים והעלויות'!$C$2,'עלויות כח אדם (6)'!H2878='סיווג התפקידים והעלויות'!$D$2),IF('עלויות כח אדם (6)'!J2878&lt;75,"לא תקין","תקין"),"")</f>
        <v/>
      </c>
      <c r="AE2878" s="374" t="str">
        <f t="shared" si="674"/>
        <v/>
      </c>
      <c r="AF2878" s="532" t="str">
        <f t="shared" si="675"/>
        <v/>
      </c>
    </row>
    <row r="2879" spans="2:32" x14ac:dyDescent="0.25">
      <c r="B2879" s="695"/>
      <c r="C2879" s="197" t="str">
        <f>IF(B2879&lt;&gt;"",IFERROR(VLOOKUP(B:B,'מצבת והרשמה (2)'!$C$20:$N$520,2,0)," ")," ")</f>
        <v xml:space="preserve"> </v>
      </c>
      <c r="D2879" s="695"/>
      <c r="E2879" s="696"/>
      <c r="F2879" s="696"/>
      <c r="G2879" s="696"/>
      <c r="H2879" s="696"/>
      <c r="I2879" s="1050" t="str">
        <f t="shared" si="662"/>
        <v/>
      </c>
      <c r="J2879" s="696"/>
      <c r="K2879" s="697"/>
      <c r="L2879" s="696"/>
      <c r="M2879" s="198" t="str">
        <f t="shared" si="663"/>
        <v/>
      </c>
      <c r="N2879" s="369" t="str">
        <f t="shared" si="664"/>
        <v/>
      </c>
      <c r="O2879" s="183" t="str">
        <f t="shared" si="665"/>
        <v/>
      </c>
      <c r="P2879" s="199" t="str">
        <f t="shared" si="666"/>
        <v/>
      </c>
      <c r="Q2879" s="199" t="str">
        <f>IF(B2879="","",IFERROR(IF('עלויות כח אדם (6)'!J2879&gt;=VLOOKUP(I2879,'סיווג התפקידים והעלויות'!$B$23:$C$32,2,0),"תקין","לא תקין"),""))</f>
        <v/>
      </c>
      <c r="R2879" s="199" t="str">
        <f t="shared" si="667"/>
        <v/>
      </c>
      <c r="S2879" s="199" t="str">
        <f t="shared" si="668"/>
        <v/>
      </c>
      <c r="T2879" s="199" t="str">
        <f t="shared" si="676"/>
        <v/>
      </c>
      <c r="U2879" s="199" t="str">
        <f t="shared" si="669"/>
        <v/>
      </c>
      <c r="V2879" s="989"/>
      <c r="X2879" s="374" t="str">
        <f t="shared" si="670"/>
        <v/>
      </c>
      <c r="Y2879" s="375" t="str">
        <f t="shared" si="671"/>
        <v/>
      </c>
      <c r="Z2879" s="374" t="str">
        <f t="shared" si="672"/>
        <v/>
      </c>
      <c r="AA2879" s="374" t="b">
        <f t="shared" si="673"/>
        <v>1</v>
      </c>
      <c r="AB2879" s="374">
        <f>COUNTIFS(B:B,B2879,H:H,'סיווג התפקידים והעלויות'!$C$2)</f>
        <v>0</v>
      </c>
      <c r="AC2879" s="374">
        <f>COUNTIFS(B:B,B2879,H:H,'סיווג התפקידים והעלויות'!$D$2)</f>
        <v>0</v>
      </c>
      <c r="AD2879" s="374" t="str">
        <f>IF(OR(AND(H2879='סיווג התפקידים והעלויות'!$A$2,I2879='סיווג התפקידים והעלויות'!$A$3),'עלויות כח אדם (6)'!H2879='סיווג התפקידים והעלויות'!$C$2,'עלויות כח אדם (6)'!H2879='סיווג התפקידים והעלויות'!$D$2),IF('עלויות כח אדם (6)'!J2879&lt;75,"לא תקין","תקין"),"")</f>
        <v/>
      </c>
      <c r="AE2879" s="374" t="str">
        <f t="shared" si="674"/>
        <v/>
      </c>
      <c r="AF2879" s="532" t="str">
        <f t="shared" si="675"/>
        <v/>
      </c>
    </row>
    <row r="2880" spans="2:32" x14ac:dyDescent="0.25">
      <c r="B2880" s="695"/>
      <c r="C2880" s="197" t="str">
        <f>IF(B2880&lt;&gt;"",IFERROR(VLOOKUP(B:B,'מצבת והרשמה (2)'!$C$20:$N$520,2,0)," ")," ")</f>
        <v xml:space="preserve"> </v>
      </c>
      <c r="D2880" s="695"/>
      <c r="E2880" s="696"/>
      <c r="F2880" s="696"/>
      <c r="G2880" s="696"/>
      <c r="H2880" s="696"/>
      <c r="I2880" s="1050" t="str">
        <f t="shared" si="662"/>
        <v/>
      </c>
      <c r="J2880" s="696"/>
      <c r="K2880" s="697"/>
      <c r="L2880" s="696"/>
      <c r="M2880" s="198" t="str">
        <f t="shared" si="663"/>
        <v/>
      </c>
      <c r="N2880" s="369" t="str">
        <f t="shared" si="664"/>
        <v/>
      </c>
      <c r="O2880" s="183" t="str">
        <f t="shared" si="665"/>
        <v/>
      </c>
      <c r="P2880" s="199" t="str">
        <f t="shared" si="666"/>
        <v/>
      </c>
      <c r="Q2880" s="199" t="str">
        <f>IF(B2880="","",IFERROR(IF('עלויות כח אדם (6)'!J2880&gt;=VLOOKUP(I2880,'סיווג התפקידים והעלויות'!$B$23:$C$32,2,0),"תקין","לא תקין"),""))</f>
        <v/>
      </c>
      <c r="R2880" s="199" t="str">
        <f t="shared" si="667"/>
        <v/>
      </c>
      <c r="S2880" s="199" t="str">
        <f t="shared" si="668"/>
        <v/>
      </c>
      <c r="T2880" s="199" t="str">
        <f t="shared" si="676"/>
        <v/>
      </c>
      <c r="U2880" s="199" t="str">
        <f t="shared" si="669"/>
        <v/>
      </c>
      <c r="V2880" s="989"/>
      <c r="X2880" s="374" t="str">
        <f t="shared" si="670"/>
        <v/>
      </c>
      <c r="Y2880" s="375" t="str">
        <f t="shared" si="671"/>
        <v/>
      </c>
      <c r="Z2880" s="374" t="str">
        <f t="shared" si="672"/>
        <v/>
      </c>
      <c r="AA2880" s="374" t="b">
        <f t="shared" si="673"/>
        <v>1</v>
      </c>
      <c r="AB2880" s="374">
        <f>COUNTIFS(B:B,B2880,H:H,'סיווג התפקידים והעלויות'!$C$2)</f>
        <v>0</v>
      </c>
      <c r="AC2880" s="374">
        <f>COUNTIFS(B:B,B2880,H:H,'סיווג התפקידים והעלויות'!$D$2)</f>
        <v>0</v>
      </c>
      <c r="AD2880" s="374" t="str">
        <f>IF(OR(AND(H2880='סיווג התפקידים והעלויות'!$A$2,I2880='סיווג התפקידים והעלויות'!$A$3),'עלויות כח אדם (6)'!H2880='סיווג התפקידים והעלויות'!$C$2,'עלויות כח אדם (6)'!H2880='סיווג התפקידים והעלויות'!$D$2),IF('עלויות כח אדם (6)'!J2880&lt;75,"לא תקין","תקין"),"")</f>
        <v/>
      </c>
      <c r="AE2880" s="374" t="str">
        <f t="shared" si="674"/>
        <v/>
      </c>
      <c r="AF2880" s="532" t="str">
        <f t="shared" si="675"/>
        <v/>
      </c>
    </row>
    <row r="2881" spans="2:32" x14ac:dyDescent="0.25">
      <c r="B2881" s="695"/>
      <c r="C2881" s="197" t="str">
        <f>IF(B2881&lt;&gt;"",IFERROR(VLOOKUP(B:B,'מצבת והרשמה (2)'!$C$20:$N$520,2,0)," ")," ")</f>
        <v xml:space="preserve"> </v>
      </c>
      <c r="D2881" s="695"/>
      <c r="E2881" s="696"/>
      <c r="F2881" s="696"/>
      <c r="G2881" s="696"/>
      <c r="H2881" s="696"/>
      <c r="I2881" s="1050" t="str">
        <f t="shared" si="662"/>
        <v/>
      </c>
      <c r="J2881" s="696"/>
      <c r="K2881" s="697"/>
      <c r="L2881" s="696"/>
      <c r="M2881" s="198" t="str">
        <f t="shared" si="663"/>
        <v/>
      </c>
      <c r="N2881" s="369" t="str">
        <f t="shared" si="664"/>
        <v/>
      </c>
      <c r="O2881" s="183" t="str">
        <f t="shared" si="665"/>
        <v/>
      </c>
      <c r="P2881" s="199" t="str">
        <f t="shared" si="666"/>
        <v/>
      </c>
      <c r="Q2881" s="199" t="str">
        <f>IF(B2881="","",IFERROR(IF('עלויות כח אדם (6)'!J2881&gt;=VLOOKUP(I2881,'סיווג התפקידים והעלויות'!$B$23:$C$32,2,0),"תקין","לא תקין"),""))</f>
        <v/>
      </c>
      <c r="R2881" s="199" t="str">
        <f t="shared" si="667"/>
        <v/>
      </c>
      <c r="S2881" s="199" t="str">
        <f t="shared" si="668"/>
        <v/>
      </c>
      <c r="T2881" s="199" t="str">
        <f t="shared" si="676"/>
        <v/>
      </c>
      <c r="U2881" s="199" t="str">
        <f t="shared" si="669"/>
        <v/>
      </c>
      <c r="V2881" s="989"/>
      <c r="X2881" s="374" t="str">
        <f t="shared" si="670"/>
        <v/>
      </c>
      <c r="Y2881" s="375" t="str">
        <f t="shared" si="671"/>
        <v/>
      </c>
      <c r="Z2881" s="374" t="str">
        <f t="shared" si="672"/>
        <v/>
      </c>
      <c r="AA2881" s="374" t="b">
        <f t="shared" si="673"/>
        <v>1</v>
      </c>
      <c r="AB2881" s="374">
        <f>COUNTIFS(B:B,B2881,H:H,'סיווג התפקידים והעלויות'!$C$2)</f>
        <v>0</v>
      </c>
      <c r="AC2881" s="374">
        <f>COUNTIFS(B:B,B2881,H:H,'סיווג התפקידים והעלויות'!$D$2)</f>
        <v>0</v>
      </c>
      <c r="AD2881" s="374" t="str">
        <f>IF(OR(AND(H2881='סיווג התפקידים והעלויות'!$A$2,I2881='סיווג התפקידים והעלויות'!$A$3),'עלויות כח אדם (6)'!H2881='סיווג התפקידים והעלויות'!$C$2,'עלויות כח אדם (6)'!H2881='סיווג התפקידים והעלויות'!$D$2),IF('עלויות כח אדם (6)'!J2881&lt;75,"לא תקין","תקין"),"")</f>
        <v/>
      </c>
      <c r="AE2881" s="374" t="str">
        <f t="shared" si="674"/>
        <v/>
      </c>
      <c r="AF2881" s="532" t="str">
        <f t="shared" si="675"/>
        <v/>
      </c>
    </row>
    <row r="2882" spans="2:32" x14ac:dyDescent="0.25">
      <c r="B2882" s="695"/>
      <c r="C2882" s="197" t="str">
        <f>IF(B2882&lt;&gt;"",IFERROR(VLOOKUP(B:B,'מצבת והרשמה (2)'!$C$20:$N$520,2,0)," ")," ")</f>
        <v xml:space="preserve"> </v>
      </c>
      <c r="D2882" s="695"/>
      <c r="E2882" s="696"/>
      <c r="F2882" s="696"/>
      <c r="G2882" s="696"/>
      <c r="H2882" s="696"/>
      <c r="I2882" s="1050" t="str">
        <f t="shared" si="662"/>
        <v/>
      </c>
      <c r="J2882" s="696"/>
      <c r="K2882" s="697"/>
      <c r="L2882" s="696"/>
      <c r="M2882" s="198" t="str">
        <f t="shared" si="663"/>
        <v/>
      </c>
      <c r="N2882" s="369" t="str">
        <f t="shared" si="664"/>
        <v/>
      </c>
      <c r="O2882" s="183" t="str">
        <f t="shared" si="665"/>
        <v/>
      </c>
      <c r="P2882" s="199" t="str">
        <f t="shared" si="666"/>
        <v/>
      </c>
      <c r="Q2882" s="199" t="str">
        <f>IF(B2882="","",IFERROR(IF('עלויות כח אדם (6)'!J2882&gt;=VLOOKUP(I2882,'סיווג התפקידים והעלויות'!$B$23:$C$32,2,0),"תקין","לא תקין"),""))</f>
        <v/>
      </c>
      <c r="R2882" s="199" t="str">
        <f t="shared" si="667"/>
        <v/>
      </c>
      <c r="S2882" s="199" t="str">
        <f t="shared" si="668"/>
        <v/>
      </c>
      <c r="T2882" s="199" t="str">
        <f t="shared" si="676"/>
        <v/>
      </c>
      <c r="U2882" s="199" t="str">
        <f t="shared" si="669"/>
        <v/>
      </c>
      <c r="V2882" s="989"/>
      <c r="X2882" s="374" t="str">
        <f t="shared" si="670"/>
        <v/>
      </c>
      <c r="Y2882" s="375" t="str">
        <f t="shared" si="671"/>
        <v/>
      </c>
      <c r="Z2882" s="374" t="str">
        <f t="shared" si="672"/>
        <v/>
      </c>
      <c r="AA2882" s="374" t="b">
        <f t="shared" si="673"/>
        <v>1</v>
      </c>
      <c r="AB2882" s="374">
        <f>COUNTIFS(B:B,B2882,H:H,'סיווג התפקידים והעלויות'!$C$2)</f>
        <v>0</v>
      </c>
      <c r="AC2882" s="374">
        <f>COUNTIFS(B:B,B2882,H:H,'סיווג התפקידים והעלויות'!$D$2)</f>
        <v>0</v>
      </c>
      <c r="AD2882" s="374" t="str">
        <f>IF(OR(AND(H2882='סיווג התפקידים והעלויות'!$A$2,I2882='סיווג התפקידים והעלויות'!$A$3),'עלויות כח אדם (6)'!H2882='סיווג התפקידים והעלויות'!$C$2,'עלויות כח אדם (6)'!H2882='סיווג התפקידים והעלויות'!$D$2),IF('עלויות כח אדם (6)'!J2882&lt;75,"לא תקין","תקין"),"")</f>
        <v/>
      </c>
      <c r="AE2882" s="374" t="str">
        <f t="shared" si="674"/>
        <v/>
      </c>
      <c r="AF2882" s="532" t="str">
        <f t="shared" si="675"/>
        <v/>
      </c>
    </row>
    <row r="2883" spans="2:32" x14ac:dyDescent="0.25">
      <c r="B2883" s="695"/>
      <c r="C2883" s="197" t="str">
        <f>IF(B2883&lt;&gt;"",IFERROR(VLOOKUP(B:B,'מצבת והרשמה (2)'!$C$20:$N$520,2,0)," ")," ")</f>
        <v xml:space="preserve"> </v>
      </c>
      <c r="D2883" s="695"/>
      <c r="E2883" s="696"/>
      <c r="F2883" s="696"/>
      <c r="G2883" s="696"/>
      <c r="H2883" s="696"/>
      <c r="I2883" s="1050" t="str">
        <f t="shared" si="662"/>
        <v/>
      </c>
      <c r="J2883" s="696"/>
      <c r="K2883" s="697"/>
      <c r="L2883" s="696"/>
      <c r="M2883" s="198" t="str">
        <f t="shared" si="663"/>
        <v/>
      </c>
      <c r="N2883" s="369" t="str">
        <f t="shared" si="664"/>
        <v/>
      </c>
      <c r="O2883" s="183" t="str">
        <f t="shared" si="665"/>
        <v/>
      </c>
      <c r="P2883" s="199" t="str">
        <f t="shared" si="666"/>
        <v/>
      </c>
      <c r="Q2883" s="199" t="str">
        <f>IF(B2883="","",IFERROR(IF('עלויות כח אדם (6)'!J2883&gt;=VLOOKUP(I2883,'סיווג התפקידים והעלויות'!$B$23:$C$32,2,0),"תקין","לא תקין"),""))</f>
        <v/>
      </c>
      <c r="R2883" s="199" t="str">
        <f t="shared" si="667"/>
        <v/>
      </c>
      <c r="S2883" s="199" t="str">
        <f t="shared" si="668"/>
        <v/>
      </c>
      <c r="T2883" s="199" t="str">
        <f t="shared" si="676"/>
        <v/>
      </c>
      <c r="U2883" s="199" t="str">
        <f t="shared" si="669"/>
        <v/>
      </c>
      <c r="V2883" s="989"/>
      <c r="X2883" s="374" t="str">
        <f t="shared" si="670"/>
        <v/>
      </c>
      <c r="Y2883" s="375" t="str">
        <f t="shared" si="671"/>
        <v/>
      </c>
      <c r="Z2883" s="374" t="str">
        <f t="shared" si="672"/>
        <v/>
      </c>
      <c r="AA2883" s="374" t="b">
        <f t="shared" si="673"/>
        <v>1</v>
      </c>
      <c r="AB2883" s="374">
        <f>COUNTIFS(B:B,B2883,H:H,'סיווג התפקידים והעלויות'!$C$2)</f>
        <v>0</v>
      </c>
      <c r="AC2883" s="374">
        <f>COUNTIFS(B:B,B2883,H:H,'סיווג התפקידים והעלויות'!$D$2)</f>
        <v>0</v>
      </c>
      <c r="AD2883" s="374" t="str">
        <f>IF(OR(AND(H2883='סיווג התפקידים והעלויות'!$A$2,I2883='סיווג התפקידים והעלויות'!$A$3),'עלויות כח אדם (6)'!H2883='סיווג התפקידים והעלויות'!$C$2,'עלויות כח אדם (6)'!H2883='סיווג התפקידים והעלויות'!$D$2),IF('עלויות כח אדם (6)'!J2883&lt;75,"לא תקין","תקין"),"")</f>
        <v/>
      </c>
      <c r="AE2883" s="374" t="str">
        <f t="shared" si="674"/>
        <v/>
      </c>
      <c r="AF2883" s="532" t="str">
        <f t="shared" si="675"/>
        <v/>
      </c>
    </row>
    <row r="2884" spans="2:32" x14ac:dyDescent="0.25">
      <c r="B2884" s="695"/>
      <c r="C2884" s="197" t="str">
        <f>IF(B2884&lt;&gt;"",IFERROR(VLOOKUP(B:B,'מצבת והרשמה (2)'!$C$20:$N$520,2,0)," ")," ")</f>
        <v xml:space="preserve"> </v>
      </c>
      <c r="D2884" s="695"/>
      <c r="E2884" s="696"/>
      <c r="F2884" s="696"/>
      <c r="G2884" s="696"/>
      <c r="H2884" s="696"/>
      <c r="I2884" s="1050" t="str">
        <f t="shared" si="662"/>
        <v/>
      </c>
      <c r="J2884" s="696"/>
      <c r="K2884" s="697"/>
      <c r="L2884" s="696"/>
      <c r="M2884" s="198" t="str">
        <f t="shared" si="663"/>
        <v/>
      </c>
      <c r="N2884" s="369" t="str">
        <f t="shared" si="664"/>
        <v/>
      </c>
      <c r="O2884" s="183" t="str">
        <f t="shared" si="665"/>
        <v/>
      </c>
      <c r="P2884" s="199" t="str">
        <f t="shared" si="666"/>
        <v/>
      </c>
      <c r="Q2884" s="199" t="str">
        <f>IF(B2884="","",IFERROR(IF('עלויות כח אדם (6)'!J2884&gt;=VLOOKUP(I2884,'סיווג התפקידים והעלויות'!$B$23:$C$32,2,0),"תקין","לא תקין"),""))</f>
        <v/>
      </c>
      <c r="R2884" s="199" t="str">
        <f t="shared" si="667"/>
        <v/>
      </c>
      <c r="S2884" s="199" t="str">
        <f t="shared" si="668"/>
        <v/>
      </c>
      <c r="T2884" s="199" t="str">
        <f t="shared" si="676"/>
        <v/>
      </c>
      <c r="U2884" s="199" t="str">
        <f t="shared" si="669"/>
        <v/>
      </c>
      <c r="V2884" s="989"/>
      <c r="X2884" s="374" t="str">
        <f t="shared" si="670"/>
        <v/>
      </c>
      <c r="Y2884" s="375" t="str">
        <f t="shared" si="671"/>
        <v/>
      </c>
      <c r="Z2884" s="374" t="str">
        <f t="shared" si="672"/>
        <v/>
      </c>
      <c r="AA2884" s="374" t="b">
        <f t="shared" si="673"/>
        <v>1</v>
      </c>
      <c r="AB2884" s="374">
        <f>COUNTIFS(B:B,B2884,H:H,'סיווג התפקידים והעלויות'!$C$2)</f>
        <v>0</v>
      </c>
      <c r="AC2884" s="374">
        <f>COUNTIFS(B:B,B2884,H:H,'סיווג התפקידים והעלויות'!$D$2)</f>
        <v>0</v>
      </c>
      <c r="AD2884" s="374" t="str">
        <f>IF(OR(AND(H2884='סיווג התפקידים והעלויות'!$A$2,I2884='סיווג התפקידים והעלויות'!$A$3),'עלויות כח אדם (6)'!H2884='סיווג התפקידים והעלויות'!$C$2,'עלויות כח אדם (6)'!H2884='סיווג התפקידים והעלויות'!$D$2),IF('עלויות כח אדם (6)'!J2884&lt;75,"לא תקין","תקין"),"")</f>
        <v/>
      </c>
      <c r="AE2884" s="374" t="str">
        <f t="shared" si="674"/>
        <v/>
      </c>
      <c r="AF2884" s="532" t="str">
        <f t="shared" si="675"/>
        <v/>
      </c>
    </row>
    <row r="2885" spans="2:32" x14ac:dyDescent="0.25">
      <c r="B2885" s="695"/>
      <c r="C2885" s="197" t="str">
        <f>IF(B2885&lt;&gt;"",IFERROR(VLOOKUP(B:B,'מצבת והרשמה (2)'!$C$20:$N$520,2,0)," ")," ")</f>
        <v xml:space="preserve"> </v>
      </c>
      <c r="D2885" s="695"/>
      <c r="E2885" s="696"/>
      <c r="F2885" s="696"/>
      <c r="G2885" s="696"/>
      <c r="H2885" s="696"/>
      <c r="I2885" s="1050" t="str">
        <f t="shared" si="662"/>
        <v/>
      </c>
      <c r="J2885" s="696"/>
      <c r="K2885" s="697"/>
      <c r="L2885" s="696"/>
      <c r="M2885" s="198" t="str">
        <f t="shared" si="663"/>
        <v/>
      </c>
      <c r="N2885" s="369" t="str">
        <f t="shared" si="664"/>
        <v/>
      </c>
      <c r="O2885" s="183" t="str">
        <f t="shared" si="665"/>
        <v/>
      </c>
      <c r="P2885" s="199" t="str">
        <f t="shared" si="666"/>
        <v/>
      </c>
      <c r="Q2885" s="199" t="str">
        <f>IF(B2885="","",IFERROR(IF('עלויות כח אדם (6)'!J2885&gt;=VLOOKUP(I2885,'סיווג התפקידים והעלויות'!$B$23:$C$32,2,0),"תקין","לא תקין"),""))</f>
        <v/>
      </c>
      <c r="R2885" s="199" t="str">
        <f t="shared" si="667"/>
        <v/>
      </c>
      <c r="S2885" s="199" t="str">
        <f t="shared" si="668"/>
        <v/>
      </c>
      <c r="T2885" s="199" t="str">
        <f t="shared" si="676"/>
        <v/>
      </c>
      <c r="U2885" s="199" t="str">
        <f t="shared" si="669"/>
        <v/>
      </c>
      <c r="V2885" s="989"/>
      <c r="X2885" s="374" t="str">
        <f t="shared" si="670"/>
        <v/>
      </c>
      <c r="Y2885" s="375" t="str">
        <f t="shared" si="671"/>
        <v/>
      </c>
      <c r="Z2885" s="374" t="str">
        <f t="shared" si="672"/>
        <v/>
      </c>
      <c r="AA2885" s="374" t="b">
        <f t="shared" si="673"/>
        <v>1</v>
      </c>
      <c r="AB2885" s="374">
        <f>COUNTIFS(B:B,B2885,H:H,'סיווג התפקידים והעלויות'!$C$2)</f>
        <v>0</v>
      </c>
      <c r="AC2885" s="374">
        <f>COUNTIFS(B:B,B2885,H:H,'סיווג התפקידים והעלויות'!$D$2)</f>
        <v>0</v>
      </c>
      <c r="AD2885" s="374" t="str">
        <f>IF(OR(AND(H2885='סיווג התפקידים והעלויות'!$A$2,I2885='סיווג התפקידים והעלויות'!$A$3),'עלויות כח אדם (6)'!H2885='סיווג התפקידים והעלויות'!$C$2,'עלויות כח אדם (6)'!H2885='סיווג התפקידים והעלויות'!$D$2),IF('עלויות כח אדם (6)'!J2885&lt;75,"לא תקין","תקין"),"")</f>
        <v/>
      </c>
      <c r="AE2885" s="374" t="str">
        <f t="shared" si="674"/>
        <v/>
      </c>
      <c r="AF2885" s="532" t="str">
        <f t="shared" si="675"/>
        <v/>
      </c>
    </row>
    <row r="2886" spans="2:32" x14ac:dyDescent="0.25">
      <c r="B2886" s="695"/>
      <c r="C2886" s="197" t="str">
        <f>IF(B2886&lt;&gt;"",IFERROR(VLOOKUP(B:B,'מצבת והרשמה (2)'!$C$20:$N$520,2,0)," ")," ")</f>
        <v xml:space="preserve"> </v>
      </c>
      <c r="D2886" s="695"/>
      <c r="E2886" s="696"/>
      <c r="F2886" s="696"/>
      <c r="G2886" s="696"/>
      <c r="H2886" s="696"/>
      <c r="I2886" s="1050" t="str">
        <f t="shared" si="662"/>
        <v/>
      </c>
      <c r="J2886" s="696"/>
      <c r="K2886" s="697"/>
      <c r="L2886" s="696"/>
      <c r="M2886" s="198" t="str">
        <f t="shared" si="663"/>
        <v/>
      </c>
      <c r="N2886" s="369" t="str">
        <f t="shared" si="664"/>
        <v/>
      </c>
      <c r="O2886" s="183" t="str">
        <f t="shared" si="665"/>
        <v/>
      </c>
      <c r="P2886" s="199" t="str">
        <f t="shared" si="666"/>
        <v/>
      </c>
      <c r="Q2886" s="199" t="str">
        <f>IF(B2886="","",IFERROR(IF('עלויות כח אדם (6)'!J2886&gt;=VLOOKUP(I2886,'סיווג התפקידים והעלויות'!$B$23:$C$32,2,0),"תקין","לא תקין"),""))</f>
        <v/>
      </c>
      <c r="R2886" s="199" t="str">
        <f t="shared" si="667"/>
        <v/>
      </c>
      <c r="S2886" s="199" t="str">
        <f t="shared" si="668"/>
        <v/>
      </c>
      <c r="T2886" s="199" t="str">
        <f t="shared" si="676"/>
        <v/>
      </c>
      <c r="U2886" s="199" t="str">
        <f t="shared" si="669"/>
        <v/>
      </c>
      <c r="V2886" s="989"/>
      <c r="X2886" s="374" t="str">
        <f t="shared" si="670"/>
        <v/>
      </c>
      <c r="Y2886" s="375" t="str">
        <f t="shared" si="671"/>
        <v/>
      </c>
      <c r="Z2886" s="374" t="str">
        <f t="shared" si="672"/>
        <v/>
      </c>
      <c r="AA2886" s="374" t="b">
        <f t="shared" si="673"/>
        <v>1</v>
      </c>
      <c r="AB2886" s="374">
        <f>COUNTIFS(B:B,B2886,H:H,'סיווג התפקידים והעלויות'!$C$2)</f>
        <v>0</v>
      </c>
      <c r="AC2886" s="374">
        <f>COUNTIFS(B:B,B2886,H:H,'סיווג התפקידים והעלויות'!$D$2)</f>
        <v>0</v>
      </c>
      <c r="AD2886" s="374" t="str">
        <f>IF(OR(AND(H2886='סיווג התפקידים והעלויות'!$A$2,I2886='סיווג התפקידים והעלויות'!$A$3),'עלויות כח אדם (6)'!H2886='סיווג התפקידים והעלויות'!$C$2,'עלויות כח אדם (6)'!H2886='סיווג התפקידים והעלויות'!$D$2),IF('עלויות כח אדם (6)'!J2886&lt;75,"לא תקין","תקין"),"")</f>
        <v/>
      </c>
      <c r="AE2886" s="374" t="str">
        <f t="shared" si="674"/>
        <v/>
      </c>
      <c r="AF2886" s="532" t="str">
        <f t="shared" si="675"/>
        <v/>
      </c>
    </row>
    <row r="2887" spans="2:32" x14ac:dyDescent="0.25">
      <c r="B2887" s="695"/>
      <c r="C2887" s="197" t="str">
        <f>IF(B2887&lt;&gt;"",IFERROR(VLOOKUP(B:B,'מצבת והרשמה (2)'!$C$20:$N$520,2,0)," ")," ")</f>
        <v xml:space="preserve"> </v>
      </c>
      <c r="D2887" s="695"/>
      <c r="E2887" s="696"/>
      <c r="F2887" s="696"/>
      <c r="G2887" s="696"/>
      <c r="H2887" s="696"/>
      <c r="I2887" s="1050" t="str">
        <f t="shared" si="662"/>
        <v/>
      </c>
      <c r="J2887" s="696"/>
      <c r="K2887" s="697"/>
      <c r="L2887" s="696"/>
      <c r="M2887" s="198" t="str">
        <f t="shared" si="663"/>
        <v/>
      </c>
      <c r="N2887" s="369" t="str">
        <f t="shared" si="664"/>
        <v/>
      </c>
      <c r="O2887" s="183" t="str">
        <f t="shared" si="665"/>
        <v/>
      </c>
      <c r="P2887" s="199" t="str">
        <f t="shared" si="666"/>
        <v/>
      </c>
      <c r="Q2887" s="199" t="str">
        <f>IF(B2887="","",IFERROR(IF('עלויות כח אדם (6)'!J2887&gt;=VLOOKUP(I2887,'סיווג התפקידים והעלויות'!$B$23:$C$32,2,0),"תקין","לא תקין"),""))</f>
        <v/>
      </c>
      <c r="R2887" s="199" t="str">
        <f t="shared" si="667"/>
        <v/>
      </c>
      <c r="S2887" s="199" t="str">
        <f t="shared" si="668"/>
        <v/>
      </c>
      <c r="T2887" s="199" t="str">
        <f t="shared" si="676"/>
        <v/>
      </c>
      <c r="U2887" s="199" t="str">
        <f t="shared" si="669"/>
        <v/>
      </c>
      <c r="V2887" s="989"/>
      <c r="X2887" s="374" t="str">
        <f t="shared" si="670"/>
        <v/>
      </c>
      <c r="Y2887" s="375" t="str">
        <f t="shared" si="671"/>
        <v/>
      </c>
      <c r="Z2887" s="374" t="str">
        <f t="shared" si="672"/>
        <v/>
      </c>
      <c r="AA2887" s="374" t="b">
        <f t="shared" si="673"/>
        <v>1</v>
      </c>
      <c r="AB2887" s="374">
        <f>COUNTIFS(B:B,B2887,H:H,'סיווג התפקידים והעלויות'!$C$2)</f>
        <v>0</v>
      </c>
      <c r="AC2887" s="374">
        <f>COUNTIFS(B:B,B2887,H:H,'סיווג התפקידים והעלויות'!$D$2)</f>
        <v>0</v>
      </c>
      <c r="AD2887" s="374" t="str">
        <f>IF(OR(AND(H2887='סיווג התפקידים והעלויות'!$A$2,I2887='סיווג התפקידים והעלויות'!$A$3),'עלויות כח אדם (6)'!H2887='סיווג התפקידים והעלויות'!$C$2,'עלויות כח אדם (6)'!H2887='סיווג התפקידים והעלויות'!$D$2),IF('עלויות כח אדם (6)'!J2887&lt;75,"לא תקין","תקין"),"")</f>
        <v/>
      </c>
      <c r="AE2887" s="374" t="str">
        <f t="shared" si="674"/>
        <v/>
      </c>
      <c r="AF2887" s="532" t="str">
        <f t="shared" si="675"/>
        <v/>
      </c>
    </row>
    <row r="2888" spans="2:32" x14ac:dyDescent="0.25">
      <c r="B2888" s="695"/>
      <c r="C2888" s="197" t="str">
        <f>IF(B2888&lt;&gt;"",IFERROR(VLOOKUP(B:B,'מצבת והרשמה (2)'!$C$20:$N$520,2,0)," ")," ")</f>
        <v xml:space="preserve"> </v>
      </c>
      <c r="D2888" s="695"/>
      <c r="E2888" s="696"/>
      <c r="F2888" s="696"/>
      <c r="G2888" s="696"/>
      <c r="H2888" s="696"/>
      <c r="I2888" s="1050" t="str">
        <f t="shared" si="662"/>
        <v/>
      </c>
      <c r="J2888" s="696"/>
      <c r="K2888" s="697"/>
      <c r="L2888" s="696"/>
      <c r="M2888" s="198" t="str">
        <f t="shared" si="663"/>
        <v/>
      </c>
      <c r="N2888" s="369" t="str">
        <f t="shared" si="664"/>
        <v/>
      </c>
      <c r="O2888" s="183" t="str">
        <f t="shared" si="665"/>
        <v/>
      </c>
      <c r="P2888" s="199" t="str">
        <f t="shared" si="666"/>
        <v/>
      </c>
      <c r="Q2888" s="199" t="str">
        <f>IF(B2888="","",IFERROR(IF('עלויות כח אדם (6)'!J2888&gt;=VLOOKUP(I2888,'סיווג התפקידים והעלויות'!$B$23:$C$32,2,0),"תקין","לא תקין"),""))</f>
        <v/>
      </c>
      <c r="R2888" s="199" t="str">
        <f t="shared" si="667"/>
        <v/>
      </c>
      <c r="S2888" s="199" t="str">
        <f t="shared" si="668"/>
        <v/>
      </c>
      <c r="T2888" s="199" t="str">
        <f t="shared" si="676"/>
        <v/>
      </c>
      <c r="U2888" s="199" t="str">
        <f t="shared" si="669"/>
        <v/>
      </c>
      <c r="V2888" s="989"/>
      <c r="X2888" s="374" t="str">
        <f t="shared" si="670"/>
        <v/>
      </c>
      <c r="Y2888" s="375" t="str">
        <f t="shared" si="671"/>
        <v/>
      </c>
      <c r="Z2888" s="374" t="str">
        <f t="shared" si="672"/>
        <v/>
      </c>
      <c r="AA2888" s="374" t="b">
        <f t="shared" si="673"/>
        <v>1</v>
      </c>
      <c r="AB2888" s="374">
        <f>COUNTIFS(B:B,B2888,H:H,'סיווג התפקידים והעלויות'!$C$2)</f>
        <v>0</v>
      </c>
      <c r="AC2888" s="374">
        <f>COUNTIFS(B:B,B2888,H:H,'סיווג התפקידים והעלויות'!$D$2)</f>
        <v>0</v>
      </c>
      <c r="AD2888" s="374" t="str">
        <f>IF(OR(AND(H2888='סיווג התפקידים והעלויות'!$A$2,I2888='סיווג התפקידים והעלויות'!$A$3),'עלויות כח אדם (6)'!H2888='סיווג התפקידים והעלויות'!$C$2,'עלויות כח אדם (6)'!H2888='סיווג התפקידים והעלויות'!$D$2),IF('עלויות כח אדם (6)'!J2888&lt;75,"לא תקין","תקין"),"")</f>
        <v/>
      </c>
      <c r="AE2888" s="374" t="str">
        <f t="shared" si="674"/>
        <v/>
      </c>
      <c r="AF2888" s="532" t="str">
        <f t="shared" si="675"/>
        <v/>
      </c>
    </row>
    <row r="2889" spans="2:32" x14ac:dyDescent="0.25">
      <c r="B2889" s="695"/>
      <c r="C2889" s="197" t="str">
        <f>IF(B2889&lt;&gt;"",IFERROR(VLOOKUP(B:B,'מצבת והרשמה (2)'!$C$20:$N$520,2,0)," ")," ")</f>
        <v xml:space="preserve"> </v>
      </c>
      <c r="D2889" s="695"/>
      <c r="E2889" s="696"/>
      <c r="F2889" s="696"/>
      <c r="G2889" s="696"/>
      <c r="H2889" s="696"/>
      <c r="I2889" s="1050" t="str">
        <f t="shared" si="662"/>
        <v/>
      </c>
      <c r="J2889" s="696"/>
      <c r="K2889" s="697"/>
      <c r="L2889" s="696"/>
      <c r="M2889" s="198" t="str">
        <f t="shared" si="663"/>
        <v/>
      </c>
      <c r="N2889" s="369" t="str">
        <f t="shared" si="664"/>
        <v/>
      </c>
      <c r="O2889" s="183" t="str">
        <f t="shared" si="665"/>
        <v/>
      </c>
      <c r="P2889" s="199" t="str">
        <f t="shared" si="666"/>
        <v/>
      </c>
      <c r="Q2889" s="199" t="str">
        <f>IF(B2889="","",IFERROR(IF('עלויות כח אדם (6)'!J2889&gt;=VLOOKUP(I2889,'סיווג התפקידים והעלויות'!$B$23:$C$32,2,0),"תקין","לא תקין"),""))</f>
        <v/>
      </c>
      <c r="R2889" s="199" t="str">
        <f t="shared" si="667"/>
        <v/>
      </c>
      <c r="S2889" s="199" t="str">
        <f t="shared" si="668"/>
        <v/>
      </c>
      <c r="T2889" s="199" t="str">
        <f t="shared" si="676"/>
        <v/>
      </c>
      <c r="U2889" s="199" t="str">
        <f t="shared" si="669"/>
        <v/>
      </c>
      <c r="V2889" s="989"/>
      <c r="X2889" s="374" t="str">
        <f t="shared" si="670"/>
        <v/>
      </c>
      <c r="Y2889" s="375" t="str">
        <f t="shared" si="671"/>
        <v/>
      </c>
      <c r="Z2889" s="374" t="str">
        <f t="shared" si="672"/>
        <v/>
      </c>
      <c r="AA2889" s="374" t="b">
        <f t="shared" si="673"/>
        <v>1</v>
      </c>
      <c r="AB2889" s="374">
        <f>COUNTIFS(B:B,B2889,H:H,'סיווג התפקידים והעלויות'!$C$2)</f>
        <v>0</v>
      </c>
      <c r="AC2889" s="374">
        <f>COUNTIFS(B:B,B2889,H:H,'סיווג התפקידים והעלויות'!$D$2)</f>
        <v>0</v>
      </c>
      <c r="AD2889" s="374" t="str">
        <f>IF(OR(AND(H2889='סיווג התפקידים והעלויות'!$A$2,I2889='סיווג התפקידים והעלויות'!$A$3),'עלויות כח אדם (6)'!H2889='סיווג התפקידים והעלויות'!$C$2,'עלויות כח אדם (6)'!H2889='סיווג התפקידים והעלויות'!$D$2),IF('עלויות כח אדם (6)'!J2889&lt;75,"לא תקין","תקין"),"")</f>
        <v/>
      </c>
      <c r="AE2889" s="374" t="str">
        <f t="shared" si="674"/>
        <v/>
      </c>
      <c r="AF2889" s="532" t="str">
        <f t="shared" si="675"/>
        <v/>
      </c>
    </row>
    <row r="2890" spans="2:32" x14ac:dyDescent="0.25">
      <c r="B2890" s="695"/>
      <c r="C2890" s="197" t="str">
        <f>IF(B2890&lt;&gt;"",IFERROR(VLOOKUP(B:B,'מצבת והרשמה (2)'!$C$20:$N$520,2,0)," ")," ")</f>
        <v xml:space="preserve"> </v>
      </c>
      <c r="D2890" s="695"/>
      <c r="E2890" s="696"/>
      <c r="F2890" s="696"/>
      <c r="G2890" s="696"/>
      <c r="H2890" s="696"/>
      <c r="I2890" s="1050" t="str">
        <f t="shared" si="662"/>
        <v/>
      </c>
      <c r="J2890" s="696"/>
      <c r="K2890" s="697"/>
      <c r="L2890" s="696"/>
      <c r="M2890" s="198" t="str">
        <f t="shared" si="663"/>
        <v/>
      </c>
      <c r="N2890" s="369" t="str">
        <f t="shared" si="664"/>
        <v/>
      </c>
      <c r="O2890" s="183" t="str">
        <f t="shared" si="665"/>
        <v/>
      </c>
      <c r="P2890" s="199" t="str">
        <f t="shared" si="666"/>
        <v/>
      </c>
      <c r="Q2890" s="199" t="str">
        <f>IF(B2890="","",IFERROR(IF('עלויות כח אדם (6)'!J2890&gt;=VLOOKUP(I2890,'סיווג התפקידים והעלויות'!$B$23:$C$32,2,0),"תקין","לא תקין"),""))</f>
        <v/>
      </c>
      <c r="R2890" s="199" t="str">
        <f t="shared" si="667"/>
        <v/>
      </c>
      <c r="S2890" s="199" t="str">
        <f t="shared" si="668"/>
        <v/>
      </c>
      <c r="T2890" s="199" t="str">
        <f t="shared" si="676"/>
        <v/>
      </c>
      <c r="U2890" s="199" t="str">
        <f t="shared" si="669"/>
        <v/>
      </c>
      <c r="V2890" s="989"/>
      <c r="X2890" s="374" t="str">
        <f t="shared" si="670"/>
        <v/>
      </c>
      <c r="Y2890" s="375" t="str">
        <f t="shared" si="671"/>
        <v/>
      </c>
      <c r="Z2890" s="374" t="str">
        <f t="shared" si="672"/>
        <v/>
      </c>
      <c r="AA2890" s="374" t="b">
        <f t="shared" si="673"/>
        <v>1</v>
      </c>
      <c r="AB2890" s="374">
        <f>COUNTIFS(B:B,B2890,H:H,'סיווג התפקידים והעלויות'!$C$2)</f>
        <v>0</v>
      </c>
      <c r="AC2890" s="374">
        <f>COUNTIFS(B:B,B2890,H:H,'סיווג התפקידים והעלויות'!$D$2)</f>
        <v>0</v>
      </c>
      <c r="AD2890" s="374" t="str">
        <f>IF(OR(AND(H2890='סיווג התפקידים והעלויות'!$A$2,I2890='סיווג התפקידים והעלויות'!$A$3),'עלויות כח אדם (6)'!H2890='סיווג התפקידים והעלויות'!$C$2,'עלויות כח אדם (6)'!H2890='סיווג התפקידים והעלויות'!$D$2),IF('עלויות כח אדם (6)'!J2890&lt;75,"לא תקין","תקין"),"")</f>
        <v/>
      </c>
      <c r="AE2890" s="374" t="str">
        <f t="shared" si="674"/>
        <v/>
      </c>
      <c r="AF2890" s="532" t="str">
        <f t="shared" si="675"/>
        <v/>
      </c>
    </row>
    <row r="2891" spans="2:32" x14ac:dyDescent="0.25">
      <c r="B2891" s="695"/>
      <c r="C2891" s="197" t="str">
        <f>IF(B2891&lt;&gt;"",IFERROR(VLOOKUP(B:B,'מצבת והרשמה (2)'!$C$20:$N$520,2,0)," ")," ")</f>
        <v xml:space="preserve"> </v>
      </c>
      <c r="D2891" s="695"/>
      <c r="E2891" s="696"/>
      <c r="F2891" s="696"/>
      <c r="G2891" s="696"/>
      <c r="H2891" s="696"/>
      <c r="I2891" s="1050" t="str">
        <f t="shared" si="662"/>
        <v/>
      </c>
      <c r="J2891" s="696"/>
      <c r="K2891" s="697"/>
      <c r="L2891" s="696"/>
      <c r="M2891" s="198" t="str">
        <f t="shared" si="663"/>
        <v/>
      </c>
      <c r="N2891" s="369" t="str">
        <f t="shared" si="664"/>
        <v/>
      </c>
      <c r="O2891" s="183" t="str">
        <f t="shared" si="665"/>
        <v/>
      </c>
      <c r="P2891" s="199" t="str">
        <f t="shared" si="666"/>
        <v/>
      </c>
      <c r="Q2891" s="199" t="str">
        <f>IF(B2891="","",IFERROR(IF('עלויות כח אדם (6)'!J2891&gt;=VLOOKUP(I2891,'סיווג התפקידים והעלויות'!$B$23:$C$32,2,0),"תקין","לא תקין"),""))</f>
        <v/>
      </c>
      <c r="R2891" s="199" t="str">
        <f t="shared" si="667"/>
        <v/>
      </c>
      <c r="S2891" s="199" t="str">
        <f t="shared" si="668"/>
        <v/>
      </c>
      <c r="T2891" s="199" t="str">
        <f t="shared" si="676"/>
        <v/>
      </c>
      <c r="U2891" s="199" t="str">
        <f t="shared" si="669"/>
        <v/>
      </c>
      <c r="V2891" s="989"/>
      <c r="X2891" s="374" t="str">
        <f t="shared" si="670"/>
        <v/>
      </c>
      <c r="Y2891" s="375" t="str">
        <f t="shared" si="671"/>
        <v/>
      </c>
      <c r="Z2891" s="374" t="str">
        <f t="shared" si="672"/>
        <v/>
      </c>
      <c r="AA2891" s="374" t="b">
        <f t="shared" si="673"/>
        <v>1</v>
      </c>
      <c r="AB2891" s="374">
        <f>COUNTIFS(B:B,B2891,H:H,'סיווג התפקידים והעלויות'!$C$2)</f>
        <v>0</v>
      </c>
      <c r="AC2891" s="374">
        <f>COUNTIFS(B:B,B2891,H:H,'סיווג התפקידים והעלויות'!$D$2)</f>
        <v>0</v>
      </c>
      <c r="AD2891" s="374" t="str">
        <f>IF(OR(AND(H2891='סיווג התפקידים והעלויות'!$A$2,I2891='סיווג התפקידים והעלויות'!$A$3),'עלויות כח אדם (6)'!H2891='סיווג התפקידים והעלויות'!$C$2,'עלויות כח אדם (6)'!H2891='סיווג התפקידים והעלויות'!$D$2),IF('עלויות כח אדם (6)'!J2891&lt;75,"לא תקין","תקין"),"")</f>
        <v/>
      </c>
      <c r="AE2891" s="374" t="str">
        <f t="shared" si="674"/>
        <v/>
      </c>
      <c r="AF2891" s="532" t="str">
        <f t="shared" si="675"/>
        <v/>
      </c>
    </row>
    <row r="2892" spans="2:32" x14ac:dyDescent="0.25">
      <c r="B2892" s="695"/>
      <c r="C2892" s="197" t="str">
        <f>IF(B2892&lt;&gt;"",IFERROR(VLOOKUP(B:B,'מצבת והרשמה (2)'!$C$20:$N$520,2,0)," ")," ")</f>
        <v xml:space="preserve"> </v>
      </c>
      <c r="D2892" s="695"/>
      <c r="E2892" s="696"/>
      <c r="F2892" s="696"/>
      <c r="G2892" s="696"/>
      <c r="H2892" s="696"/>
      <c r="I2892" s="1050" t="str">
        <f t="shared" si="662"/>
        <v/>
      </c>
      <c r="J2892" s="696"/>
      <c r="K2892" s="697"/>
      <c r="L2892" s="696"/>
      <c r="M2892" s="198" t="str">
        <f t="shared" si="663"/>
        <v/>
      </c>
      <c r="N2892" s="369" t="str">
        <f t="shared" si="664"/>
        <v/>
      </c>
      <c r="O2892" s="183" t="str">
        <f t="shared" si="665"/>
        <v/>
      </c>
      <c r="P2892" s="199" t="str">
        <f t="shared" si="666"/>
        <v/>
      </c>
      <c r="Q2892" s="199" t="str">
        <f>IF(B2892="","",IFERROR(IF('עלויות כח אדם (6)'!J2892&gt;=VLOOKUP(I2892,'סיווג התפקידים והעלויות'!$B$23:$C$32,2,0),"תקין","לא תקין"),""))</f>
        <v/>
      </c>
      <c r="R2892" s="199" t="str">
        <f t="shared" si="667"/>
        <v/>
      </c>
      <c r="S2892" s="199" t="str">
        <f t="shared" si="668"/>
        <v/>
      </c>
      <c r="T2892" s="199" t="str">
        <f t="shared" si="676"/>
        <v/>
      </c>
      <c r="U2892" s="199" t="str">
        <f t="shared" si="669"/>
        <v/>
      </c>
      <c r="V2892" s="989"/>
      <c r="X2892" s="374" t="str">
        <f t="shared" si="670"/>
        <v/>
      </c>
      <c r="Y2892" s="375" t="str">
        <f t="shared" si="671"/>
        <v/>
      </c>
      <c r="Z2892" s="374" t="str">
        <f t="shared" si="672"/>
        <v/>
      </c>
      <c r="AA2892" s="374" t="b">
        <f t="shared" si="673"/>
        <v>1</v>
      </c>
      <c r="AB2892" s="374">
        <f>COUNTIFS(B:B,B2892,H:H,'סיווג התפקידים והעלויות'!$C$2)</f>
        <v>0</v>
      </c>
      <c r="AC2892" s="374">
        <f>COUNTIFS(B:B,B2892,H:H,'סיווג התפקידים והעלויות'!$D$2)</f>
        <v>0</v>
      </c>
      <c r="AD2892" s="374" t="str">
        <f>IF(OR(AND(H2892='סיווג התפקידים והעלויות'!$A$2,I2892='סיווג התפקידים והעלויות'!$A$3),'עלויות כח אדם (6)'!H2892='סיווג התפקידים והעלויות'!$C$2,'עלויות כח אדם (6)'!H2892='סיווג התפקידים והעלויות'!$D$2),IF('עלויות כח אדם (6)'!J2892&lt;75,"לא תקין","תקין"),"")</f>
        <v/>
      </c>
      <c r="AE2892" s="374" t="str">
        <f t="shared" si="674"/>
        <v/>
      </c>
      <c r="AF2892" s="532" t="str">
        <f t="shared" si="675"/>
        <v/>
      </c>
    </row>
    <row r="2893" spans="2:32" x14ac:dyDescent="0.25">
      <c r="B2893" s="695"/>
      <c r="C2893" s="197" t="str">
        <f>IF(B2893&lt;&gt;"",IFERROR(VLOOKUP(B:B,'מצבת והרשמה (2)'!$C$20:$N$520,2,0)," ")," ")</f>
        <v xml:space="preserve"> </v>
      </c>
      <c r="D2893" s="695"/>
      <c r="E2893" s="696"/>
      <c r="F2893" s="696"/>
      <c r="G2893" s="696"/>
      <c r="H2893" s="696"/>
      <c r="I2893" s="1050" t="str">
        <f t="shared" si="662"/>
        <v/>
      </c>
      <c r="J2893" s="696"/>
      <c r="K2893" s="697"/>
      <c r="L2893" s="696"/>
      <c r="M2893" s="198" t="str">
        <f t="shared" si="663"/>
        <v/>
      </c>
      <c r="N2893" s="369" t="str">
        <f t="shared" si="664"/>
        <v/>
      </c>
      <c r="O2893" s="183" t="str">
        <f t="shared" si="665"/>
        <v/>
      </c>
      <c r="P2893" s="199" t="str">
        <f t="shared" si="666"/>
        <v/>
      </c>
      <c r="Q2893" s="199" t="str">
        <f>IF(B2893="","",IFERROR(IF('עלויות כח אדם (6)'!J2893&gt;=VLOOKUP(I2893,'סיווג התפקידים והעלויות'!$B$23:$C$32,2,0),"תקין","לא תקין"),""))</f>
        <v/>
      </c>
      <c r="R2893" s="199" t="str">
        <f t="shared" si="667"/>
        <v/>
      </c>
      <c r="S2893" s="199" t="str">
        <f t="shared" si="668"/>
        <v/>
      </c>
      <c r="T2893" s="199" t="str">
        <f t="shared" si="676"/>
        <v/>
      </c>
      <c r="U2893" s="199" t="str">
        <f t="shared" si="669"/>
        <v/>
      </c>
      <c r="V2893" s="989"/>
      <c r="X2893" s="374" t="str">
        <f t="shared" si="670"/>
        <v/>
      </c>
      <c r="Y2893" s="375" t="str">
        <f t="shared" si="671"/>
        <v/>
      </c>
      <c r="Z2893" s="374" t="str">
        <f t="shared" si="672"/>
        <v/>
      </c>
      <c r="AA2893" s="374" t="b">
        <f t="shared" si="673"/>
        <v>1</v>
      </c>
      <c r="AB2893" s="374">
        <f>COUNTIFS(B:B,B2893,H:H,'סיווג התפקידים והעלויות'!$C$2)</f>
        <v>0</v>
      </c>
      <c r="AC2893" s="374">
        <f>COUNTIFS(B:B,B2893,H:H,'סיווג התפקידים והעלויות'!$D$2)</f>
        <v>0</v>
      </c>
      <c r="AD2893" s="374" t="str">
        <f>IF(OR(AND(H2893='סיווג התפקידים והעלויות'!$A$2,I2893='סיווג התפקידים והעלויות'!$A$3),'עלויות כח אדם (6)'!H2893='סיווג התפקידים והעלויות'!$C$2,'עלויות כח אדם (6)'!H2893='סיווג התפקידים והעלויות'!$D$2),IF('עלויות כח אדם (6)'!J2893&lt;75,"לא תקין","תקין"),"")</f>
        <v/>
      </c>
      <c r="AE2893" s="374" t="str">
        <f t="shared" si="674"/>
        <v/>
      </c>
      <c r="AF2893" s="532" t="str">
        <f t="shared" si="675"/>
        <v/>
      </c>
    </row>
    <row r="2894" spans="2:32" x14ac:dyDescent="0.25">
      <c r="B2894" s="695"/>
      <c r="C2894" s="197" t="str">
        <f>IF(B2894&lt;&gt;"",IFERROR(VLOOKUP(B:B,'מצבת והרשמה (2)'!$C$20:$N$520,2,0)," ")," ")</f>
        <v xml:space="preserve"> </v>
      </c>
      <c r="D2894" s="695"/>
      <c r="E2894" s="696"/>
      <c r="F2894" s="696"/>
      <c r="G2894" s="696"/>
      <c r="H2894" s="696"/>
      <c r="I2894" s="1050" t="str">
        <f t="shared" si="662"/>
        <v/>
      </c>
      <c r="J2894" s="696"/>
      <c r="K2894" s="697"/>
      <c r="L2894" s="696"/>
      <c r="M2894" s="198" t="str">
        <f t="shared" si="663"/>
        <v/>
      </c>
      <c r="N2894" s="369" t="str">
        <f t="shared" si="664"/>
        <v/>
      </c>
      <c r="O2894" s="183" t="str">
        <f t="shared" si="665"/>
        <v/>
      </c>
      <c r="P2894" s="199" t="str">
        <f t="shared" si="666"/>
        <v/>
      </c>
      <c r="Q2894" s="199" t="str">
        <f>IF(B2894="","",IFERROR(IF('עלויות כח אדם (6)'!J2894&gt;=VLOOKUP(I2894,'סיווג התפקידים והעלויות'!$B$23:$C$32,2,0),"תקין","לא תקין"),""))</f>
        <v/>
      </c>
      <c r="R2894" s="199" t="str">
        <f t="shared" si="667"/>
        <v/>
      </c>
      <c r="S2894" s="199" t="str">
        <f t="shared" si="668"/>
        <v/>
      </c>
      <c r="T2894" s="199" t="str">
        <f t="shared" si="676"/>
        <v/>
      </c>
      <c r="U2894" s="199" t="str">
        <f t="shared" si="669"/>
        <v/>
      </c>
      <c r="V2894" s="989"/>
      <c r="X2894" s="374" t="str">
        <f t="shared" si="670"/>
        <v/>
      </c>
      <c r="Y2894" s="375" t="str">
        <f t="shared" si="671"/>
        <v/>
      </c>
      <c r="Z2894" s="374" t="str">
        <f t="shared" si="672"/>
        <v/>
      </c>
      <c r="AA2894" s="374" t="b">
        <f t="shared" si="673"/>
        <v>1</v>
      </c>
      <c r="AB2894" s="374">
        <f>COUNTIFS(B:B,B2894,H:H,'סיווג התפקידים והעלויות'!$C$2)</f>
        <v>0</v>
      </c>
      <c r="AC2894" s="374">
        <f>COUNTIFS(B:B,B2894,H:H,'סיווג התפקידים והעלויות'!$D$2)</f>
        <v>0</v>
      </c>
      <c r="AD2894" s="374" t="str">
        <f>IF(OR(AND(H2894='סיווג התפקידים והעלויות'!$A$2,I2894='סיווג התפקידים והעלויות'!$A$3),'עלויות כח אדם (6)'!H2894='סיווג התפקידים והעלויות'!$C$2,'עלויות כח אדם (6)'!H2894='סיווג התפקידים והעלויות'!$D$2),IF('עלויות כח אדם (6)'!J2894&lt;75,"לא תקין","תקין"),"")</f>
        <v/>
      </c>
      <c r="AE2894" s="374" t="str">
        <f t="shared" si="674"/>
        <v/>
      </c>
      <c r="AF2894" s="532" t="str">
        <f t="shared" si="675"/>
        <v/>
      </c>
    </row>
    <row r="2895" spans="2:32" x14ac:dyDescent="0.25">
      <c r="B2895" s="695"/>
      <c r="C2895" s="197" t="str">
        <f>IF(B2895&lt;&gt;"",IFERROR(VLOOKUP(B:B,'מצבת והרשמה (2)'!$C$20:$N$520,2,0)," ")," ")</f>
        <v xml:space="preserve"> </v>
      </c>
      <c r="D2895" s="695"/>
      <c r="E2895" s="696"/>
      <c r="F2895" s="696"/>
      <c r="G2895" s="696"/>
      <c r="H2895" s="696"/>
      <c r="I2895" s="1050" t="str">
        <f t="shared" ref="I2895:I2958" si="677">SUBSTITUTE(IFERROR(IF(H2895="מדצ","מדצ/ית",IF(H2895="סגנית רכזת מעל 150","סגנ/ית רכז/ת&gt;150",IF(H2895="רכזת תכנית בבית הספר","רכז/ת תכנית בבית הספר"))),""),"FALSE","")</f>
        <v/>
      </c>
      <c r="J2895" s="696"/>
      <c r="K2895" s="697"/>
      <c r="L2895" s="696"/>
      <c r="M2895" s="198" t="str">
        <f t="shared" ref="M2895:M2958" si="678">IF(AND(L2895&gt;0,K2895&gt;0),K2895*L2895,"")</f>
        <v/>
      </c>
      <c r="N2895" s="369" t="str">
        <f t="shared" ref="N2895:N2958" si="679">TEXT(LEFT(H2895,2),0)</f>
        <v/>
      </c>
      <c r="O2895" s="183" t="str">
        <f t="shared" ref="O2895:O2959" si="680">IF(ISNUMBER(M2895&gt;0),IF(ISBLANK(B2895),"יש להזין סמל מוסד בעמודה B",""),"")</f>
        <v/>
      </c>
      <c r="P2895" s="199" t="str">
        <f t="shared" ref="P2895:P2958" si="681">IF(B2895="","",IF(AA2895=FALSE,"לא תקין","תקין"))</f>
        <v/>
      </c>
      <c r="Q2895" s="199" t="str">
        <f>IF(B2895="","",IFERROR(IF('עלויות כח אדם (6)'!J2895&gt;=VLOOKUP(I2895,'סיווג התפקידים והעלויות'!$B$23:$C$32,2,0),"תקין","לא תקין"),""))</f>
        <v/>
      </c>
      <c r="R2895" s="199" t="str">
        <f t="shared" ref="R2895:R2958" si="682">IF(B2895="","",IF(OR(Y2895&lt;100%,Y2895&gt;140%),"לא תקין","תקין"))</f>
        <v/>
      </c>
      <c r="S2895" s="199" t="str">
        <f t="shared" ref="S2895:S2958" si="683">IF(B2895="","",IFERROR(IF(J2895&gt;120,"לא תקין","תקין"),""))</f>
        <v/>
      </c>
      <c r="T2895" s="199" t="str">
        <f t="shared" si="676"/>
        <v/>
      </c>
      <c r="U2895" s="199" t="str">
        <f t="shared" ref="U2895:U2958" si="684">IF(B2895="","",IF(Z2895&gt;1,IF(SUMIF(D:D,D2895,L:L)&gt;90,"לא תקין","תקין"),"תקין"))</f>
        <v/>
      </c>
      <c r="V2895" s="989"/>
      <c r="X2895" s="374" t="str">
        <f t="shared" ref="X2895:X2958" si="685">IF(B2895="","",IF(OR(R2895="לא תקין",S2895="לא תקין",T2895="לא תקין",,U2895="לא תקין"),"לא תקין","תקין"))</f>
        <v/>
      </c>
      <c r="Y2895" s="375" t="str">
        <f t="shared" ref="Y2895:Y2958" si="686">IFERROR(IF(B2895="","",K2895/J2895),"")</f>
        <v/>
      </c>
      <c r="Z2895" s="374" t="str">
        <f t="shared" ref="Z2895:Z2958" si="687">IF(B2895="","",COUNTIF(D:D,D2895))</f>
        <v/>
      </c>
      <c r="AA2895" s="374" t="b">
        <f t="shared" ref="AA2895:AA2958" si="688">MOD(MID(REPT(0,9-LEN(D2895))&amp;D2895,1,1)+MID("0246813579",MID(REPT(0,9-LEN(D2895))&amp;D2895,2,1)+1,1)+MID(REPT(0,9-LEN(D2895))&amp;D2895,3,1)+MID("0246813579",MID(REPT(0,9-LEN(D2895))&amp;D2895,4,1)+1,1)+MID(REPT(0,9-LEN(D2895))&amp;D2895,5,1)+MID("0246813579",MID(REPT(0,9-LEN(D2895))&amp;D2895,6,1)+1,1)+MID(REPT(0,9-LEN(D2895))&amp;D2895,7,1)+MID("0246813579",MID(REPT(0,9-LEN(D2895))&amp;D2895,8,1)+1,1)+MID(REPT(0,9-LEN(D2895))&amp;D2895,9,1),10)=0</f>
        <v>1</v>
      </c>
      <c r="AB2895" s="374">
        <f>COUNTIFS(B:B,B2895,H:H,'סיווג התפקידים והעלויות'!$C$2)</f>
        <v>0</v>
      </c>
      <c r="AC2895" s="374">
        <f>COUNTIFS(B:B,B2895,H:H,'סיווג התפקידים והעלויות'!$D$2)</f>
        <v>0</v>
      </c>
      <c r="AD2895" s="374" t="str">
        <f>IF(OR(AND(H2895='סיווג התפקידים והעלויות'!$A$2,I2895='סיווג התפקידים והעלויות'!$A$3),'עלויות כח אדם (6)'!H2895='סיווג התפקידים והעלויות'!$C$2,'עלויות כח אדם (6)'!H2895='סיווג התפקידים והעלויות'!$D$2),IF('עלויות כח אדם (6)'!J2895&lt;75,"לא תקין","תקין"),"")</f>
        <v/>
      </c>
      <c r="AE2895" s="374" t="str">
        <f t="shared" ref="AE2895:AE2959" si="689">IF(B2895&lt;&gt;"",B2895&amp;H2895,"")</f>
        <v/>
      </c>
      <c r="AF2895" s="532" t="str">
        <f t="shared" ref="AF2895:AF2959" si="690">M2895</f>
        <v/>
      </c>
    </row>
    <row r="2896" spans="2:32" x14ac:dyDescent="0.25">
      <c r="B2896" s="695"/>
      <c r="C2896" s="197" t="str">
        <f>IF(B2896&lt;&gt;"",IFERROR(VLOOKUP(B:B,'מצבת והרשמה (2)'!$C$20:$N$520,2,0)," ")," ")</f>
        <v xml:space="preserve"> </v>
      </c>
      <c r="D2896" s="695"/>
      <c r="E2896" s="696"/>
      <c r="F2896" s="696"/>
      <c r="G2896" s="696"/>
      <c r="H2896" s="696"/>
      <c r="I2896" s="1050" t="str">
        <f t="shared" si="677"/>
        <v/>
      </c>
      <c r="J2896" s="696"/>
      <c r="K2896" s="697"/>
      <c r="L2896" s="696"/>
      <c r="M2896" s="198" t="str">
        <f t="shared" si="678"/>
        <v/>
      </c>
      <c r="N2896" s="369" t="str">
        <f t="shared" si="679"/>
        <v/>
      </c>
      <c r="O2896" s="183" t="str">
        <f t="shared" si="680"/>
        <v/>
      </c>
      <c r="P2896" s="199" t="str">
        <f t="shared" si="681"/>
        <v/>
      </c>
      <c r="Q2896" s="199" t="str">
        <f>IF(B2896="","",IFERROR(IF('עלויות כח אדם (6)'!J2896&gt;=VLOOKUP(I2896,'סיווג התפקידים והעלויות'!$B$23:$C$32,2,0),"תקין","לא תקין"),""))</f>
        <v/>
      </c>
      <c r="R2896" s="199" t="str">
        <f t="shared" si="682"/>
        <v/>
      </c>
      <c r="S2896" s="199" t="str">
        <f t="shared" si="683"/>
        <v/>
      </c>
      <c r="T2896" s="199" t="str">
        <f t="shared" ref="T2896:T2959" si="691">IF(B2896="","",IF(H2896="","יש להזין איש צוות",IF(OR(H2896="מורה",H2896="גננת",H2896="רכז גן",H2896="רכזת גן",H2896="סייעת",H2896="מדצית",H2896="מדצ",H2896="מדריך",H2896="מדריכה",H2896="תוספת כח אדם"),IF(L2896&lt;=90,"תקין","לא תקין"),IF(OR(H2896="רכז בית ספר",H2896="רכזת תכנית בבית הספר",H2896="רכזת בית ספר"),IF(L2896&lt;=137,"תקין","לא תקין"),IF(OR(H2896="סגנית רכזת מעל 150",H2896="סגן רכז"),IF(L2896&lt;=93,"תקין","לא תקין"),"לא תקין")))))</f>
        <v/>
      </c>
      <c r="U2896" s="199" t="str">
        <f t="shared" si="684"/>
        <v/>
      </c>
      <c r="V2896" s="989"/>
      <c r="X2896" s="374" t="str">
        <f t="shared" si="685"/>
        <v/>
      </c>
      <c r="Y2896" s="375" t="str">
        <f t="shared" si="686"/>
        <v/>
      </c>
      <c r="Z2896" s="374" t="str">
        <f t="shared" si="687"/>
        <v/>
      </c>
      <c r="AA2896" s="374" t="b">
        <f t="shared" si="688"/>
        <v>1</v>
      </c>
      <c r="AB2896" s="374">
        <f>COUNTIFS(B:B,B2896,H:H,'סיווג התפקידים והעלויות'!$C$2)</f>
        <v>0</v>
      </c>
      <c r="AC2896" s="374">
        <f>COUNTIFS(B:B,B2896,H:H,'סיווג התפקידים והעלויות'!$D$2)</f>
        <v>0</v>
      </c>
      <c r="AD2896" s="374" t="str">
        <f>IF(OR(AND(H2896='סיווג התפקידים והעלויות'!$A$2,I2896='סיווג התפקידים והעלויות'!$A$3),'עלויות כח אדם (6)'!H2896='סיווג התפקידים והעלויות'!$C$2,'עלויות כח אדם (6)'!H2896='סיווג התפקידים והעלויות'!$D$2),IF('עלויות כח אדם (6)'!J2896&lt;75,"לא תקין","תקין"),"")</f>
        <v/>
      </c>
      <c r="AE2896" s="374" t="str">
        <f t="shared" si="689"/>
        <v/>
      </c>
      <c r="AF2896" s="532" t="str">
        <f t="shared" si="690"/>
        <v/>
      </c>
    </row>
    <row r="2897" spans="2:32" x14ac:dyDescent="0.25">
      <c r="B2897" s="695"/>
      <c r="C2897" s="197" t="str">
        <f>IF(B2897&lt;&gt;"",IFERROR(VLOOKUP(B:B,'מצבת והרשמה (2)'!$C$20:$N$520,2,0)," ")," ")</f>
        <v xml:space="preserve"> </v>
      </c>
      <c r="D2897" s="695"/>
      <c r="E2897" s="696"/>
      <c r="F2897" s="696"/>
      <c r="G2897" s="696"/>
      <c r="H2897" s="696"/>
      <c r="I2897" s="1050" t="str">
        <f t="shared" si="677"/>
        <v/>
      </c>
      <c r="J2897" s="696"/>
      <c r="K2897" s="697"/>
      <c r="L2897" s="696"/>
      <c r="M2897" s="198" t="str">
        <f t="shared" si="678"/>
        <v/>
      </c>
      <c r="N2897" s="369" t="str">
        <f t="shared" si="679"/>
        <v/>
      </c>
      <c r="O2897" s="183" t="str">
        <f t="shared" si="680"/>
        <v/>
      </c>
      <c r="P2897" s="199" t="str">
        <f t="shared" si="681"/>
        <v/>
      </c>
      <c r="Q2897" s="199" t="str">
        <f>IF(B2897="","",IFERROR(IF('עלויות כח אדם (6)'!J2897&gt;=VLOOKUP(I2897,'סיווג התפקידים והעלויות'!$B$23:$C$32,2,0),"תקין","לא תקין"),""))</f>
        <v/>
      </c>
      <c r="R2897" s="199" t="str">
        <f t="shared" si="682"/>
        <v/>
      </c>
      <c r="S2897" s="199" t="str">
        <f t="shared" si="683"/>
        <v/>
      </c>
      <c r="T2897" s="199" t="str">
        <f t="shared" si="691"/>
        <v/>
      </c>
      <c r="U2897" s="199" t="str">
        <f t="shared" si="684"/>
        <v/>
      </c>
      <c r="V2897" s="989"/>
      <c r="X2897" s="374" t="str">
        <f t="shared" si="685"/>
        <v/>
      </c>
      <c r="Y2897" s="375" t="str">
        <f t="shared" si="686"/>
        <v/>
      </c>
      <c r="Z2897" s="374" t="str">
        <f t="shared" si="687"/>
        <v/>
      </c>
      <c r="AA2897" s="374" t="b">
        <f t="shared" si="688"/>
        <v>1</v>
      </c>
      <c r="AB2897" s="374">
        <f>COUNTIFS(B:B,B2897,H:H,'סיווג התפקידים והעלויות'!$C$2)</f>
        <v>0</v>
      </c>
      <c r="AC2897" s="374">
        <f>COUNTIFS(B:B,B2897,H:H,'סיווג התפקידים והעלויות'!$D$2)</f>
        <v>0</v>
      </c>
      <c r="AD2897" s="374" t="str">
        <f>IF(OR(AND(H2897='סיווג התפקידים והעלויות'!$A$2,I2897='סיווג התפקידים והעלויות'!$A$3),'עלויות כח אדם (6)'!H2897='סיווג התפקידים והעלויות'!$C$2,'עלויות כח אדם (6)'!H2897='סיווג התפקידים והעלויות'!$D$2),IF('עלויות כח אדם (6)'!J2897&lt;75,"לא תקין","תקין"),"")</f>
        <v/>
      </c>
      <c r="AE2897" s="374" t="str">
        <f t="shared" si="689"/>
        <v/>
      </c>
      <c r="AF2897" s="532" t="str">
        <f t="shared" si="690"/>
        <v/>
      </c>
    </row>
    <row r="2898" spans="2:32" x14ac:dyDescent="0.25">
      <c r="B2898" s="695"/>
      <c r="C2898" s="197" t="str">
        <f>IF(B2898&lt;&gt;"",IFERROR(VLOOKUP(B:B,'מצבת והרשמה (2)'!$C$20:$N$520,2,0)," ")," ")</f>
        <v xml:space="preserve"> </v>
      </c>
      <c r="D2898" s="695"/>
      <c r="E2898" s="696"/>
      <c r="F2898" s="696"/>
      <c r="G2898" s="696"/>
      <c r="H2898" s="696"/>
      <c r="I2898" s="1050" t="str">
        <f t="shared" si="677"/>
        <v/>
      </c>
      <c r="J2898" s="696"/>
      <c r="K2898" s="697"/>
      <c r="L2898" s="696"/>
      <c r="M2898" s="198" t="str">
        <f t="shared" si="678"/>
        <v/>
      </c>
      <c r="N2898" s="369" t="str">
        <f t="shared" si="679"/>
        <v/>
      </c>
      <c r="O2898" s="183" t="str">
        <f t="shared" si="680"/>
        <v/>
      </c>
      <c r="P2898" s="199" t="str">
        <f t="shared" si="681"/>
        <v/>
      </c>
      <c r="Q2898" s="199" t="str">
        <f>IF(B2898="","",IFERROR(IF('עלויות כח אדם (6)'!J2898&gt;=VLOOKUP(I2898,'סיווג התפקידים והעלויות'!$B$23:$C$32,2,0),"תקין","לא תקין"),""))</f>
        <v/>
      </c>
      <c r="R2898" s="199" t="str">
        <f t="shared" si="682"/>
        <v/>
      </c>
      <c r="S2898" s="199" t="str">
        <f t="shared" si="683"/>
        <v/>
      </c>
      <c r="T2898" s="199" t="str">
        <f t="shared" si="691"/>
        <v/>
      </c>
      <c r="U2898" s="199" t="str">
        <f t="shared" si="684"/>
        <v/>
      </c>
      <c r="V2898" s="989"/>
      <c r="X2898" s="374" t="str">
        <f t="shared" si="685"/>
        <v/>
      </c>
      <c r="Y2898" s="375" t="str">
        <f t="shared" si="686"/>
        <v/>
      </c>
      <c r="Z2898" s="374" t="str">
        <f t="shared" si="687"/>
        <v/>
      </c>
      <c r="AA2898" s="374" t="b">
        <f t="shared" si="688"/>
        <v>1</v>
      </c>
      <c r="AB2898" s="374">
        <f>COUNTIFS(B:B,B2898,H:H,'סיווג התפקידים והעלויות'!$C$2)</f>
        <v>0</v>
      </c>
      <c r="AC2898" s="374">
        <f>COUNTIFS(B:B,B2898,H:H,'סיווג התפקידים והעלויות'!$D$2)</f>
        <v>0</v>
      </c>
      <c r="AD2898" s="374" t="str">
        <f>IF(OR(AND(H2898='סיווג התפקידים והעלויות'!$A$2,I2898='סיווג התפקידים והעלויות'!$A$3),'עלויות כח אדם (6)'!H2898='סיווג התפקידים והעלויות'!$C$2,'עלויות כח אדם (6)'!H2898='סיווג התפקידים והעלויות'!$D$2),IF('עלויות כח אדם (6)'!J2898&lt;75,"לא תקין","תקין"),"")</f>
        <v/>
      </c>
      <c r="AE2898" s="374" t="str">
        <f t="shared" si="689"/>
        <v/>
      </c>
      <c r="AF2898" s="532" t="str">
        <f t="shared" si="690"/>
        <v/>
      </c>
    </row>
    <row r="2899" spans="2:32" x14ac:dyDescent="0.25">
      <c r="B2899" s="695"/>
      <c r="C2899" s="197" t="str">
        <f>IF(B2899&lt;&gt;"",IFERROR(VLOOKUP(B:B,'מצבת והרשמה (2)'!$C$20:$N$520,2,0)," ")," ")</f>
        <v xml:space="preserve"> </v>
      </c>
      <c r="D2899" s="695"/>
      <c r="E2899" s="696"/>
      <c r="F2899" s="696"/>
      <c r="G2899" s="696"/>
      <c r="H2899" s="696"/>
      <c r="I2899" s="1050" t="str">
        <f t="shared" si="677"/>
        <v/>
      </c>
      <c r="J2899" s="696"/>
      <c r="K2899" s="697"/>
      <c r="L2899" s="696"/>
      <c r="M2899" s="198" t="str">
        <f t="shared" si="678"/>
        <v/>
      </c>
      <c r="N2899" s="369" t="str">
        <f t="shared" si="679"/>
        <v/>
      </c>
      <c r="O2899" s="183" t="str">
        <f t="shared" si="680"/>
        <v/>
      </c>
      <c r="P2899" s="199" t="str">
        <f t="shared" si="681"/>
        <v/>
      </c>
      <c r="Q2899" s="199" t="str">
        <f>IF(B2899="","",IFERROR(IF('עלויות כח אדם (6)'!J2899&gt;=VLOOKUP(I2899,'סיווג התפקידים והעלויות'!$B$23:$C$32,2,0),"תקין","לא תקין"),""))</f>
        <v/>
      </c>
      <c r="R2899" s="199" t="str">
        <f t="shared" si="682"/>
        <v/>
      </c>
      <c r="S2899" s="199" t="str">
        <f t="shared" si="683"/>
        <v/>
      </c>
      <c r="T2899" s="199" t="str">
        <f t="shared" si="691"/>
        <v/>
      </c>
      <c r="U2899" s="199" t="str">
        <f t="shared" si="684"/>
        <v/>
      </c>
      <c r="V2899" s="989"/>
      <c r="X2899" s="374" t="str">
        <f t="shared" si="685"/>
        <v/>
      </c>
      <c r="Y2899" s="375" t="str">
        <f t="shared" si="686"/>
        <v/>
      </c>
      <c r="Z2899" s="374" t="str">
        <f t="shared" si="687"/>
        <v/>
      </c>
      <c r="AA2899" s="374" t="b">
        <f t="shared" si="688"/>
        <v>1</v>
      </c>
      <c r="AB2899" s="374">
        <f>COUNTIFS(B:B,B2899,H:H,'סיווג התפקידים והעלויות'!$C$2)</f>
        <v>0</v>
      </c>
      <c r="AC2899" s="374">
        <f>COUNTIFS(B:B,B2899,H:H,'סיווג התפקידים והעלויות'!$D$2)</f>
        <v>0</v>
      </c>
      <c r="AD2899" s="374" t="str">
        <f>IF(OR(AND(H2899='סיווג התפקידים והעלויות'!$A$2,I2899='סיווג התפקידים והעלויות'!$A$3),'עלויות כח אדם (6)'!H2899='סיווג התפקידים והעלויות'!$C$2,'עלויות כח אדם (6)'!H2899='סיווג התפקידים והעלויות'!$D$2),IF('עלויות כח אדם (6)'!J2899&lt;75,"לא תקין","תקין"),"")</f>
        <v/>
      </c>
      <c r="AE2899" s="374" t="str">
        <f t="shared" si="689"/>
        <v/>
      </c>
      <c r="AF2899" s="532" t="str">
        <f t="shared" si="690"/>
        <v/>
      </c>
    </row>
    <row r="2900" spans="2:32" x14ac:dyDescent="0.25">
      <c r="B2900" s="695"/>
      <c r="C2900" s="197" t="str">
        <f>IF(B2900&lt;&gt;"",IFERROR(VLOOKUP(B:B,'מצבת והרשמה (2)'!$C$20:$N$520,2,0)," ")," ")</f>
        <v xml:space="preserve"> </v>
      </c>
      <c r="D2900" s="695"/>
      <c r="E2900" s="696"/>
      <c r="F2900" s="696"/>
      <c r="G2900" s="696"/>
      <c r="H2900" s="696"/>
      <c r="I2900" s="1050" t="str">
        <f t="shared" si="677"/>
        <v/>
      </c>
      <c r="J2900" s="696"/>
      <c r="K2900" s="697"/>
      <c r="L2900" s="696"/>
      <c r="M2900" s="198" t="str">
        <f t="shared" si="678"/>
        <v/>
      </c>
      <c r="N2900" s="369" t="str">
        <f t="shared" si="679"/>
        <v/>
      </c>
      <c r="O2900" s="183" t="str">
        <f t="shared" si="680"/>
        <v/>
      </c>
      <c r="P2900" s="199" t="str">
        <f t="shared" si="681"/>
        <v/>
      </c>
      <c r="Q2900" s="199" t="str">
        <f>IF(B2900="","",IFERROR(IF('עלויות כח אדם (6)'!J2900&gt;=VLOOKUP(I2900,'סיווג התפקידים והעלויות'!$B$23:$C$32,2,0),"תקין","לא תקין"),""))</f>
        <v/>
      </c>
      <c r="R2900" s="199" t="str">
        <f t="shared" si="682"/>
        <v/>
      </c>
      <c r="S2900" s="199" t="str">
        <f t="shared" si="683"/>
        <v/>
      </c>
      <c r="T2900" s="199" t="str">
        <f t="shared" si="691"/>
        <v/>
      </c>
      <c r="U2900" s="199" t="str">
        <f t="shared" si="684"/>
        <v/>
      </c>
      <c r="V2900" s="989"/>
      <c r="X2900" s="374" t="str">
        <f t="shared" si="685"/>
        <v/>
      </c>
      <c r="Y2900" s="375" t="str">
        <f t="shared" si="686"/>
        <v/>
      </c>
      <c r="Z2900" s="374" t="str">
        <f t="shared" si="687"/>
        <v/>
      </c>
      <c r="AA2900" s="374" t="b">
        <f t="shared" si="688"/>
        <v>1</v>
      </c>
      <c r="AB2900" s="374">
        <f>COUNTIFS(B:B,B2900,H:H,'סיווג התפקידים והעלויות'!$C$2)</f>
        <v>0</v>
      </c>
      <c r="AC2900" s="374">
        <f>COUNTIFS(B:B,B2900,H:H,'סיווג התפקידים והעלויות'!$D$2)</f>
        <v>0</v>
      </c>
      <c r="AD2900" s="374" t="str">
        <f>IF(OR(AND(H2900='סיווג התפקידים והעלויות'!$A$2,I2900='סיווג התפקידים והעלויות'!$A$3),'עלויות כח אדם (6)'!H2900='סיווג התפקידים והעלויות'!$C$2,'עלויות כח אדם (6)'!H2900='סיווג התפקידים והעלויות'!$D$2),IF('עלויות כח אדם (6)'!J2900&lt;75,"לא תקין","תקין"),"")</f>
        <v/>
      </c>
      <c r="AE2900" s="374" t="str">
        <f t="shared" si="689"/>
        <v/>
      </c>
      <c r="AF2900" s="532" t="str">
        <f t="shared" si="690"/>
        <v/>
      </c>
    </row>
    <row r="2901" spans="2:32" x14ac:dyDescent="0.25">
      <c r="B2901" s="695"/>
      <c r="C2901" s="197" t="str">
        <f>IF(B2901&lt;&gt;"",IFERROR(VLOOKUP(B:B,'מצבת והרשמה (2)'!$C$20:$N$520,2,0)," ")," ")</f>
        <v xml:space="preserve"> </v>
      </c>
      <c r="D2901" s="695"/>
      <c r="E2901" s="696"/>
      <c r="F2901" s="696"/>
      <c r="G2901" s="696"/>
      <c r="H2901" s="696"/>
      <c r="I2901" s="1050" t="str">
        <f t="shared" si="677"/>
        <v/>
      </c>
      <c r="J2901" s="696"/>
      <c r="K2901" s="697"/>
      <c r="L2901" s="696"/>
      <c r="M2901" s="198" t="str">
        <f t="shared" si="678"/>
        <v/>
      </c>
      <c r="N2901" s="369" t="str">
        <f t="shared" si="679"/>
        <v/>
      </c>
      <c r="O2901" s="183" t="str">
        <f t="shared" si="680"/>
        <v/>
      </c>
      <c r="P2901" s="199" t="str">
        <f t="shared" si="681"/>
        <v/>
      </c>
      <c r="Q2901" s="199" t="str">
        <f>IF(B2901="","",IFERROR(IF('עלויות כח אדם (6)'!J2901&gt;=VLOOKUP(I2901,'סיווג התפקידים והעלויות'!$B$23:$C$32,2,0),"תקין","לא תקין"),""))</f>
        <v/>
      </c>
      <c r="R2901" s="199" t="str">
        <f t="shared" si="682"/>
        <v/>
      </c>
      <c r="S2901" s="199" t="str">
        <f t="shared" si="683"/>
        <v/>
      </c>
      <c r="T2901" s="199" t="str">
        <f t="shared" si="691"/>
        <v/>
      </c>
      <c r="U2901" s="199" t="str">
        <f t="shared" si="684"/>
        <v/>
      </c>
      <c r="V2901" s="989"/>
      <c r="X2901" s="374" t="str">
        <f t="shared" si="685"/>
        <v/>
      </c>
      <c r="Y2901" s="375" t="str">
        <f t="shared" si="686"/>
        <v/>
      </c>
      <c r="Z2901" s="374" t="str">
        <f t="shared" si="687"/>
        <v/>
      </c>
      <c r="AA2901" s="374" t="b">
        <f t="shared" si="688"/>
        <v>1</v>
      </c>
      <c r="AB2901" s="374">
        <f>COUNTIFS(B:B,B2901,H:H,'סיווג התפקידים והעלויות'!$C$2)</f>
        <v>0</v>
      </c>
      <c r="AC2901" s="374">
        <f>COUNTIFS(B:B,B2901,H:H,'סיווג התפקידים והעלויות'!$D$2)</f>
        <v>0</v>
      </c>
      <c r="AD2901" s="374" t="str">
        <f>IF(OR(AND(H2901='סיווג התפקידים והעלויות'!$A$2,I2901='סיווג התפקידים והעלויות'!$A$3),'עלויות כח אדם (6)'!H2901='סיווג התפקידים והעלויות'!$C$2,'עלויות כח אדם (6)'!H2901='סיווג התפקידים והעלויות'!$D$2),IF('עלויות כח אדם (6)'!J2901&lt;75,"לא תקין","תקין"),"")</f>
        <v/>
      </c>
      <c r="AE2901" s="374" t="str">
        <f t="shared" si="689"/>
        <v/>
      </c>
      <c r="AF2901" s="532" t="str">
        <f t="shared" si="690"/>
        <v/>
      </c>
    </row>
    <row r="2902" spans="2:32" x14ac:dyDescent="0.25">
      <c r="B2902" s="695"/>
      <c r="C2902" s="197" t="str">
        <f>IF(B2902&lt;&gt;"",IFERROR(VLOOKUP(B:B,'מצבת והרשמה (2)'!$C$20:$N$520,2,0)," ")," ")</f>
        <v xml:space="preserve"> </v>
      </c>
      <c r="D2902" s="695"/>
      <c r="E2902" s="696"/>
      <c r="F2902" s="696"/>
      <c r="G2902" s="696"/>
      <c r="H2902" s="696"/>
      <c r="I2902" s="1050" t="str">
        <f t="shared" si="677"/>
        <v/>
      </c>
      <c r="J2902" s="696"/>
      <c r="K2902" s="697"/>
      <c r="L2902" s="696"/>
      <c r="M2902" s="198" t="str">
        <f t="shared" si="678"/>
        <v/>
      </c>
      <c r="N2902" s="369" t="str">
        <f t="shared" si="679"/>
        <v/>
      </c>
      <c r="O2902" s="183" t="str">
        <f t="shared" si="680"/>
        <v/>
      </c>
      <c r="P2902" s="199" t="str">
        <f t="shared" si="681"/>
        <v/>
      </c>
      <c r="Q2902" s="199" t="str">
        <f>IF(B2902="","",IFERROR(IF('עלויות כח אדם (6)'!J2902&gt;=VLOOKUP(I2902,'סיווג התפקידים והעלויות'!$B$23:$C$32,2,0),"תקין","לא תקין"),""))</f>
        <v/>
      </c>
      <c r="R2902" s="199" t="str">
        <f t="shared" si="682"/>
        <v/>
      </c>
      <c r="S2902" s="199" t="str">
        <f t="shared" si="683"/>
        <v/>
      </c>
      <c r="T2902" s="199" t="str">
        <f t="shared" si="691"/>
        <v/>
      </c>
      <c r="U2902" s="199" t="str">
        <f t="shared" si="684"/>
        <v/>
      </c>
      <c r="V2902" s="989"/>
      <c r="X2902" s="374" t="str">
        <f t="shared" si="685"/>
        <v/>
      </c>
      <c r="Y2902" s="375" t="str">
        <f t="shared" si="686"/>
        <v/>
      </c>
      <c r="Z2902" s="374" t="str">
        <f t="shared" si="687"/>
        <v/>
      </c>
      <c r="AA2902" s="374" t="b">
        <f t="shared" si="688"/>
        <v>1</v>
      </c>
      <c r="AB2902" s="374">
        <f>COUNTIFS(B:B,B2902,H:H,'סיווג התפקידים והעלויות'!$C$2)</f>
        <v>0</v>
      </c>
      <c r="AC2902" s="374">
        <f>COUNTIFS(B:B,B2902,H:H,'סיווג התפקידים והעלויות'!$D$2)</f>
        <v>0</v>
      </c>
      <c r="AD2902" s="374" t="str">
        <f>IF(OR(AND(H2902='סיווג התפקידים והעלויות'!$A$2,I2902='סיווג התפקידים והעלויות'!$A$3),'עלויות כח אדם (6)'!H2902='סיווג התפקידים והעלויות'!$C$2,'עלויות כח אדם (6)'!H2902='סיווג התפקידים והעלויות'!$D$2),IF('עלויות כח אדם (6)'!J2902&lt;75,"לא תקין","תקין"),"")</f>
        <v/>
      </c>
      <c r="AE2902" s="374" t="str">
        <f t="shared" si="689"/>
        <v/>
      </c>
      <c r="AF2902" s="532" t="str">
        <f t="shared" si="690"/>
        <v/>
      </c>
    </row>
    <row r="2903" spans="2:32" x14ac:dyDescent="0.25">
      <c r="B2903" s="695"/>
      <c r="C2903" s="197" t="str">
        <f>IF(B2903&lt;&gt;"",IFERROR(VLOOKUP(B:B,'מצבת והרשמה (2)'!$C$20:$N$520,2,0)," ")," ")</f>
        <v xml:space="preserve"> </v>
      </c>
      <c r="D2903" s="695"/>
      <c r="E2903" s="696"/>
      <c r="F2903" s="696"/>
      <c r="G2903" s="696"/>
      <c r="H2903" s="696"/>
      <c r="I2903" s="1050" t="str">
        <f t="shared" si="677"/>
        <v/>
      </c>
      <c r="J2903" s="696"/>
      <c r="K2903" s="697"/>
      <c r="L2903" s="696"/>
      <c r="M2903" s="198" t="str">
        <f t="shared" si="678"/>
        <v/>
      </c>
      <c r="N2903" s="369" t="str">
        <f t="shared" si="679"/>
        <v/>
      </c>
      <c r="O2903" s="183" t="str">
        <f t="shared" si="680"/>
        <v/>
      </c>
      <c r="P2903" s="199" t="str">
        <f t="shared" si="681"/>
        <v/>
      </c>
      <c r="Q2903" s="199" t="str">
        <f>IF(B2903="","",IFERROR(IF('עלויות כח אדם (6)'!J2903&gt;=VLOOKUP(I2903,'סיווג התפקידים והעלויות'!$B$23:$C$32,2,0),"תקין","לא תקין"),""))</f>
        <v/>
      </c>
      <c r="R2903" s="199" t="str">
        <f t="shared" si="682"/>
        <v/>
      </c>
      <c r="S2903" s="199" t="str">
        <f t="shared" si="683"/>
        <v/>
      </c>
      <c r="T2903" s="199" t="str">
        <f t="shared" si="691"/>
        <v/>
      </c>
      <c r="U2903" s="199" t="str">
        <f t="shared" si="684"/>
        <v/>
      </c>
      <c r="V2903" s="989"/>
      <c r="X2903" s="374" t="str">
        <f t="shared" si="685"/>
        <v/>
      </c>
      <c r="Y2903" s="375" t="str">
        <f t="shared" si="686"/>
        <v/>
      </c>
      <c r="Z2903" s="374" t="str">
        <f t="shared" si="687"/>
        <v/>
      </c>
      <c r="AA2903" s="374" t="b">
        <f t="shared" si="688"/>
        <v>1</v>
      </c>
      <c r="AB2903" s="374">
        <f>COUNTIFS(B:B,B2903,H:H,'סיווג התפקידים והעלויות'!$C$2)</f>
        <v>0</v>
      </c>
      <c r="AC2903" s="374">
        <f>COUNTIFS(B:B,B2903,H:H,'סיווג התפקידים והעלויות'!$D$2)</f>
        <v>0</v>
      </c>
      <c r="AD2903" s="374" t="str">
        <f>IF(OR(AND(H2903='סיווג התפקידים והעלויות'!$A$2,I2903='סיווג התפקידים והעלויות'!$A$3),'עלויות כח אדם (6)'!H2903='סיווג התפקידים והעלויות'!$C$2,'עלויות כח אדם (6)'!H2903='סיווג התפקידים והעלויות'!$D$2),IF('עלויות כח אדם (6)'!J2903&lt;75,"לא תקין","תקין"),"")</f>
        <v/>
      </c>
      <c r="AE2903" s="374" t="str">
        <f t="shared" si="689"/>
        <v/>
      </c>
      <c r="AF2903" s="532" t="str">
        <f t="shared" si="690"/>
        <v/>
      </c>
    </row>
    <row r="2904" spans="2:32" x14ac:dyDescent="0.25">
      <c r="B2904" s="695"/>
      <c r="C2904" s="197" t="str">
        <f>IF(B2904&lt;&gt;"",IFERROR(VLOOKUP(B:B,'מצבת והרשמה (2)'!$C$20:$N$520,2,0)," ")," ")</f>
        <v xml:space="preserve"> </v>
      </c>
      <c r="D2904" s="695"/>
      <c r="E2904" s="696"/>
      <c r="F2904" s="696"/>
      <c r="G2904" s="696"/>
      <c r="H2904" s="696"/>
      <c r="I2904" s="1050" t="str">
        <f t="shared" si="677"/>
        <v/>
      </c>
      <c r="J2904" s="696"/>
      <c r="K2904" s="697"/>
      <c r="L2904" s="696"/>
      <c r="M2904" s="198" t="str">
        <f t="shared" si="678"/>
        <v/>
      </c>
      <c r="N2904" s="369" t="str">
        <f t="shared" si="679"/>
        <v/>
      </c>
      <c r="O2904" s="183" t="str">
        <f t="shared" si="680"/>
        <v/>
      </c>
      <c r="P2904" s="199" t="str">
        <f t="shared" si="681"/>
        <v/>
      </c>
      <c r="Q2904" s="199" t="str">
        <f>IF(B2904="","",IFERROR(IF('עלויות כח אדם (6)'!J2904&gt;=VLOOKUP(I2904,'סיווג התפקידים והעלויות'!$B$23:$C$32,2,0),"תקין","לא תקין"),""))</f>
        <v/>
      </c>
      <c r="R2904" s="199" t="str">
        <f t="shared" si="682"/>
        <v/>
      </c>
      <c r="S2904" s="199" t="str">
        <f t="shared" si="683"/>
        <v/>
      </c>
      <c r="T2904" s="199" t="str">
        <f t="shared" si="691"/>
        <v/>
      </c>
      <c r="U2904" s="199" t="str">
        <f t="shared" si="684"/>
        <v/>
      </c>
      <c r="V2904" s="989"/>
      <c r="X2904" s="374" t="str">
        <f t="shared" si="685"/>
        <v/>
      </c>
      <c r="Y2904" s="375" t="str">
        <f t="shared" si="686"/>
        <v/>
      </c>
      <c r="Z2904" s="374" t="str">
        <f t="shared" si="687"/>
        <v/>
      </c>
      <c r="AA2904" s="374" t="b">
        <f t="shared" si="688"/>
        <v>1</v>
      </c>
      <c r="AB2904" s="374">
        <f>COUNTIFS(B:B,B2904,H:H,'סיווג התפקידים והעלויות'!$C$2)</f>
        <v>0</v>
      </c>
      <c r="AC2904" s="374">
        <f>COUNTIFS(B:B,B2904,H:H,'סיווג התפקידים והעלויות'!$D$2)</f>
        <v>0</v>
      </c>
      <c r="AD2904" s="374" t="str">
        <f>IF(OR(AND(H2904='סיווג התפקידים והעלויות'!$A$2,I2904='סיווג התפקידים והעלויות'!$A$3),'עלויות כח אדם (6)'!H2904='סיווג התפקידים והעלויות'!$C$2,'עלויות כח אדם (6)'!H2904='סיווג התפקידים והעלויות'!$D$2),IF('עלויות כח אדם (6)'!J2904&lt;75,"לא תקין","תקין"),"")</f>
        <v/>
      </c>
      <c r="AE2904" s="374" t="str">
        <f t="shared" si="689"/>
        <v/>
      </c>
      <c r="AF2904" s="532" t="str">
        <f t="shared" si="690"/>
        <v/>
      </c>
    </row>
    <row r="2905" spans="2:32" x14ac:dyDescent="0.25">
      <c r="B2905" s="695"/>
      <c r="C2905" s="197" t="str">
        <f>IF(B2905&lt;&gt;"",IFERROR(VLOOKUP(B:B,'מצבת והרשמה (2)'!$C$20:$N$520,2,0)," ")," ")</f>
        <v xml:space="preserve"> </v>
      </c>
      <c r="D2905" s="695"/>
      <c r="E2905" s="696"/>
      <c r="F2905" s="696"/>
      <c r="G2905" s="696"/>
      <c r="H2905" s="696"/>
      <c r="I2905" s="1050" t="str">
        <f t="shared" si="677"/>
        <v/>
      </c>
      <c r="J2905" s="696"/>
      <c r="K2905" s="697"/>
      <c r="L2905" s="696"/>
      <c r="M2905" s="198" t="str">
        <f t="shared" si="678"/>
        <v/>
      </c>
      <c r="N2905" s="369" t="str">
        <f t="shared" si="679"/>
        <v/>
      </c>
      <c r="O2905" s="183" t="str">
        <f t="shared" si="680"/>
        <v/>
      </c>
      <c r="P2905" s="199" t="str">
        <f t="shared" si="681"/>
        <v/>
      </c>
      <c r="Q2905" s="199" t="str">
        <f>IF(B2905="","",IFERROR(IF('עלויות כח אדם (6)'!J2905&gt;=VLOOKUP(I2905,'סיווג התפקידים והעלויות'!$B$23:$C$32,2,0),"תקין","לא תקין"),""))</f>
        <v/>
      </c>
      <c r="R2905" s="199" t="str">
        <f t="shared" si="682"/>
        <v/>
      </c>
      <c r="S2905" s="199" t="str">
        <f t="shared" si="683"/>
        <v/>
      </c>
      <c r="T2905" s="199" t="str">
        <f t="shared" si="691"/>
        <v/>
      </c>
      <c r="U2905" s="199" t="str">
        <f t="shared" si="684"/>
        <v/>
      </c>
      <c r="V2905" s="989"/>
      <c r="X2905" s="374" t="str">
        <f t="shared" si="685"/>
        <v/>
      </c>
      <c r="Y2905" s="375" t="str">
        <f t="shared" si="686"/>
        <v/>
      </c>
      <c r="Z2905" s="374" t="str">
        <f t="shared" si="687"/>
        <v/>
      </c>
      <c r="AA2905" s="374" t="b">
        <f t="shared" si="688"/>
        <v>1</v>
      </c>
      <c r="AB2905" s="374">
        <f>COUNTIFS(B:B,B2905,H:H,'סיווג התפקידים והעלויות'!$C$2)</f>
        <v>0</v>
      </c>
      <c r="AC2905" s="374">
        <f>COUNTIFS(B:B,B2905,H:H,'סיווג התפקידים והעלויות'!$D$2)</f>
        <v>0</v>
      </c>
      <c r="AD2905" s="374" t="str">
        <f>IF(OR(AND(H2905='סיווג התפקידים והעלויות'!$A$2,I2905='סיווג התפקידים והעלויות'!$A$3),'עלויות כח אדם (6)'!H2905='סיווג התפקידים והעלויות'!$C$2,'עלויות כח אדם (6)'!H2905='סיווג התפקידים והעלויות'!$D$2),IF('עלויות כח אדם (6)'!J2905&lt;75,"לא תקין","תקין"),"")</f>
        <v/>
      </c>
      <c r="AE2905" s="374" t="str">
        <f t="shared" si="689"/>
        <v/>
      </c>
      <c r="AF2905" s="532" t="str">
        <f t="shared" si="690"/>
        <v/>
      </c>
    </row>
    <row r="2906" spans="2:32" x14ac:dyDescent="0.25">
      <c r="B2906" s="695"/>
      <c r="C2906" s="197" t="str">
        <f>IF(B2906&lt;&gt;"",IFERROR(VLOOKUP(B:B,'מצבת והרשמה (2)'!$C$20:$N$520,2,0)," ")," ")</f>
        <v xml:space="preserve"> </v>
      </c>
      <c r="D2906" s="695"/>
      <c r="E2906" s="696"/>
      <c r="F2906" s="696"/>
      <c r="G2906" s="696"/>
      <c r="H2906" s="696"/>
      <c r="I2906" s="1050" t="str">
        <f t="shared" si="677"/>
        <v/>
      </c>
      <c r="J2906" s="696"/>
      <c r="K2906" s="697"/>
      <c r="L2906" s="696"/>
      <c r="M2906" s="198" t="str">
        <f t="shared" si="678"/>
        <v/>
      </c>
      <c r="N2906" s="369" t="str">
        <f t="shared" si="679"/>
        <v/>
      </c>
      <c r="O2906" s="183" t="str">
        <f t="shared" si="680"/>
        <v/>
      </c>
      <c r="P2906" s="199" t="str">
        <f t="shared" si="681"/>
        <v/>
      </c>
      <c r="Q2906" s="199" t="str">
        <f>IF(B2906="","",IFERROR(IF('עלויות כח אדם (6)'!J2906&gt;=VLOOKUP(I2906,'סיווג התפקידים והעלויות'!$B$23:$C$32,2,0),"תקין","לא תקין"),""))</f>
        <v/>
      </c>
      <c r="R2906" s="199" t="str">
        <f t="shared" si="682"/>
        <v/>
      </c>
      <c r="S2906" s="199" t="str">
        <f t="shared" si="683"/>
        <v/>
      </c>
      <c r="T2906" s="199" t="str">
        <f t="shared" si="691"/>
        <v/>
      </c>
      <c r="U2906" s="199" t="str">
        <f t="shared" si="684"/>
        <v/>
      </c>
      <c r="V2906" s="989"/>
      <c r="X2906" s="374" t="str">
        <f t="shared" si="685"/>
        <v/>
      </c>
      <c r="Y2906" s="375" t="str">
        <f t="shared" si="686"/>
        <v/>
      </c>
      <c r="Z2906" s="374" t="str">
        <f t="shared" si="687"/>
        <v/>
      </c>
      <c r="AA2906" s="374" t="b">
        <f t="shared" si="688"/>
        <v>1</v>
      </c>
      <c r="AB2906" s="374">
        <f>COUNTIFS(B:B,B2906,H:H,'סיווג התפקידים והעלויות'!$C$2)</f>
        <v>0</v>
      </c>
      <c r="AC2906" s="374">
        <f>COUNTIFS(B:B,B2906,H:H,'סיווג התפקידים והעלויות'!$D$2)</f>
        <v>0</v>
      </c>
      <c r="AD2906" s="374" t="str">
        <f>IF(OR(AND(H2906='סיווג התפקידים והעלויות'!$A$2,I2906='סיווג התפקידים והעלויות'!$A$3),'עלויות כח אדם (6)'!H2906='סיווג התפקידים והעלויות'!$C$2,'עלויות כח אדם (6)'!H2906='סיווג התפקידים והעלויות'!$D$2),IF('עלויות כח אדם (6)'!J2906&lt;75,"לא תקין","תקין"),"")</f>
        <v/>
      </c>
      <c r="AE2906" s="374" t="str">
        <f t="shared" si="689"/>
        <v/>
      </c>
      <c r="AF2906" s="532" t="str">
        <f t="shared" si="690"/>
        <v/>
      </c>
    </row>
    <row r="2907" spans="2:32" x14ac:dyDescent="0.25">
      <c r="B2907" s="695"/>
      <c r="C2907" s="197" t="str">
        <f>IF(B2907&lt;&gt;"",IFERROR(VLOOKUP(B:B,'מצבת והרשמה (2)'!$C$20:$N$520,2,0)," ")," ")</f>
        <v xml:space="preserve"> </v>
      </c>
      <c r="D2907" s="695"/>
      <c r="E2907" s="696"/>
      <c r="F2907" s="696"/>
      <c r="G2907" s="696"/>
      <c r="H2907" s="696"/>
      <c r="I2907" s="1050" t="str">
        <f t="shared" si="677"/>
        <v/>
      </c>
      <c r="J2907" s="696"/>
      <c r="K2907" s="697"/>
      <c r="L2907" s="696"/>
      <c r="M2907" s="198" t="str">
        <f t="shared" si="678"/>
        <v/>
      </c>
      <c r="N2907" s="369" t="str">
        <f t="shared" si="679"/>
        <v/>
      </c>
      <c r="O2907" s="183" t="str">
        <f t="shared" si="680"/>
        <v/>
      </c>
      <c r="P2907" s="199" t="str">
        <f t="shared" si="681"/>
        <v/>
      </c>
      <c r="Q2907" s="199" t="str">
        <f>IF(B2907="","",IFERROR(IF('עלויות כח אדם (6)'!J2907&gt;=VLOOKUP(I2907,'סיווג התפקידים והעלויות'!$B$23:$C$32,2,0),"תקין","לא תקין"),""))</f>
        <v/>
      </c>
      <c r="R2907" s="199" t="str">
        <f t="shared" si="682"/>
        <v/>
      </c>
      <c r="S2907" s="199" t="str">
        <f t="shared" si="683"/>
        <v/>
      </c>
      <c r="T2907" s="199" t="str">
        <f t="shared" si="691"/>
        <v/>
      </c>
      <c r="U2907" s="199" t="str">
        <f t="shared" si="684"/>
        <v/>
      </c>
      <c r="V2907" s="989"/>
      <c r="X2907" s="374" t="str">
        <f t="shared" si="685"/>
        <v/>
      </c>
      <c r="Y2907" s="375" t="str">
        <f t="shared" si="686"/>
        <v/>
      </c>
      <c r="Z2907" s="374" t="str">
        <f t="shared" si="687"/>
        <v/>
      </c>
      <c r="AA2907" s="374" t="b">
        <f t="shared" si="688"/>
        <v>1</v>
      </c>
      <c r="AB2907" s="374">
        <f>COUNTIFS(B:B,B2907,H:H,'סיווג התפקידים והעלויות'!$C$2)</f>
        <v>0</v>
      </c>
      <c r="AC2907" s="374">
        <f>COUNTIFS(B:B,B2907,H:H,'סיווג התפקידים והעלויות'!$D$2)</f>
        <v>0</v>
      </c>
      <c r="AD2907" s="374" t="str">
        <f>IF(OR(AND(H2907='סיווג התפקידים והעלויות'!$A$2,I2907='סיווג התפקידים והעלויות'!$A$3),'עלויות כח אדם (6)'!H2907='סיווג התפקידים והעלויות'!$C$2,'עלויות כח אדם (6)'!H2907='סיווג התפקידים והעלויות'!$D$2),IF('עלויות כח אדם (6)'!J2907&lt;75,"לא תקין","תקין"),"")</f>
        <v/>
      </c>
      <c r="AE2907" s="374" t="str">
        <f t="shared" si="689"/>
        <v/>
      </c>
      <c r="AF2907" s="532" t="str">
        <f t="shared" si="690"/>
        <v/>
      </c>
    </row>
    <row r="2908" spans="2:32" x14ac:dyDescent="0.25">
      <c r="B2908" s="695"/>
      <c r="C2908" s="197" t="str">
        <f>IF(B2908&lt;&gt;"",IFERROR(VLOOKUP(B:B,'מצבת והרשמה (2)'!$C$20:$N$520,2,0)," ")," ")</f>
        <v xml:space="preserve"> </v>
      </c>
      <c r="D2908" s="695"/>
      <c r="E2908" s="696"/>
      <c r="F2908" s="696"/>
      <c r="G2908" s="696"/>
      <c r="H2908" s="696"/>
      <c r="I2908" s="1050" t="str">
        <f t="shared" si="677"/>
        <v/>
      </c>
      <c r="J2908" s="696"/>
      <c r="K2908" s="697"/>
      <c r="L2908" s="696"/>
      <c r="M2908" s="198" t="str">
        <f t="shared" si="678"/>
        <v/>
      </c>
      <c r="N2908" s="369" t="str">
        <f t="shared" si="679"/>
        <v/>
      </c>
      <c r="O2908" s="183" t="str">
        <f t="shared" si="680"/>
        <v/>
      </c>
      <c r="P2908" s="199" t="str">
        <f t="shared" si="681"/>
        <v/>
      </c>
      <c r="Q2908" s="199" t="str">
        <f>IF(B2908="","",IFERROR(IF('עלויות כח אדם (6)'!J2908&gt;=VLOOKUP(I2908,'סיווג התפקידים והעלויות'!$B$23:$C$32,2,0),"תקין","לא תקין"),""))</f>
        <v/>
      </c>
      <c r="R2908" s="199" t="str">
        <f t="shared" si="682"/>
        <v/>
      </c>
      <c r="S2908" s="199" t="str">
        <f t="shared" si="683"/>
        <v/>
      </c>
      <c r="T2908" s="199" t="str">
        <f t="shared" si="691"/>
        <v/>
      </c>
      <c r="U2908" s="199" t="str">
        <f t="shared" si="684"/>
        <v/>
      </c>
      <c r="V2908" s="989"/>
      <c r="X2908" s="374" t="str">
        <f t="shared" si="685"/>
        <v/>
      </c>
      <c r="Y2908" s="375" t="str">
        <f t="shared" si="686"/>
        <v/>
      </c>
      <c r="Z2908" s="374" t="str">
        <f t="shared" si="687"/>
        <v/>
      </c>
      <c r="AA2908" s="374" t="b">
        <f t="shared" si="688"/>
        <v>1</v>
      </c>
      <c r="AB2908" s="374">
        <f>COUNTIFS(B:B,B2908,H:H,'סיווג התפקידים והעלויות'!$C$2)</f>
        <v>0</v>
      </c>
      <c r="AC2908" s="374">
        <f>COUNTIFS(B:B,B2908,H:H,'סיווג התפקידים והעלויות'!$D$2)</f>
        <v>0</v>
      </c>
      <c r="AD2908" s="374" t="str">
        <f>IF(OR(AND(H2908='סיווג התפקידים והעלויות'!$A$2,I2908='סיווג התפקידים והעלויות'!$A$3),'עלויות כח אדם (6)'!H2908='סיווג התפקידים והעלויות'!$C$2,'עלויות כח אדם (6)'!H2908='סיווג התפקידים והעלויות'!$D$2),IF('עלויות כח אדם (6)'!J2908&lt;75,"לא תקין","תקין"),"")</f>
        <v/>
      </c>
      <c r="AE2908" s="374" t="str">
        <f t="shared" si="689"/>
        <v/>
      </c>
      <c r="AF2908" s="532" t="str">
        <f t="shared" si="690"/>
        <v/>
      </c>
    </row>
    <row r="2909" spans="2:32" x14ac:dyDescent="0.25">
      <c r="B2909" s="695"/>
      <c r="C2909" s="197" t="str">
        <f>IF(B2909&lt;&gt;"",IFERROR(VLOOKUP(B:B,'מצבת והרשמה (2)'!$C$20:$N$520,2,0)," ")," ")</f>
        <v xml:space="preserve"> </v>
      </c>
      <c r="D2909" s="695"/>
      <c r="E2909" s="696"/>
      <c r="F2909" s="696"/>
      <c r="G2909" s="696"/>
      <c r="H2909" s="696"/>
      <c r="I2909" s="1050" t="str">
        <f t="shared" si="677"/>
        <v/>
      </c>
      <c r="J2909" s="696"/>
      <c r="K2909" s="697"/>
      <c r="L2909" s="696"/>
      <c r="M2909" s="198" t="str">
        <f t="shared" si="678"/>
        <v/>
      </c>
      <c r="N2909" s="369" t="str">
        <f t="shared" si="679"/>
        <v/>
      </c>
      <c r="O2909" s="183" t="str">
        <f t="shared" si="680"/>
        <v/>
      </c>
      <c r="P2909" s="199" t="str">
        <f t="shared" si="681"/>
        <v/>
      </c>
      <c r="Q2909" s="199" t="str">
        <f>IF(B2909="","",IFERROR(IF('עלויות כח אדם (6)'!J2909&gt;=VLOOKUP(I2909,'סיווג התפקידים והעלויות'!$B$23:$C$32,2,0),"תקין","לא תקין"),""))</f>
        <v/>
      </c>
      <c r="R2909" s="199" t="str">
        <f t="shared" si="682"/>
        <v/>
      </c>
      <c r="S2909" s="199" t="str">
        <f t="shared" si="683"/>
        <v/>
      </c>
      <c r="T2909" s="199" t="str">
        <f t="shared" si="691"/>
        <v/>
      </c>
      <c r="U2909" s="199" t="str">
        <f t="shared" si="684"/>
        <v/>
      </c>
      <c r="V2909" s="989"/>
      <c r="X2909" s="374" t="str">
        <f t="shared" si="685"/>
        <v/>
      </c>
      <c r="Y2909" s="375" t="str">
        <f t="shared" si="686"/>
        <v/>
      </c>
      <c r="Z2909" s="374" t="str">
        <f t="shared" si="687"/>
        <v/>
      </c>
      <c r="AA2909" s="374" t="b">
        <f t="shared" si="688"/>
        <v>1</v>
      </c>
      <c r="AB2909" s="374">
        <f>COUNTIFS(B:B,B2909,H:H,'סיווג התפקידים והעלויות'!$C$2)</f>
        <v>0</v>
      </c>
      <c r="AC2909" s="374">
        <f>COUNTIFS(B:B,B2909,H:H,'סיווג התפקידים והעלויות'!$D$2)</f>
        <v>0</v>
      </c>
      <c r="AD2909" s="374" t="str">
        <f>IF(OR(AND(H2909='סיווג התפקידים והעלויות'!$A$2,I2909='סיווג התפקידים והעלויות'!$A$3),'עלויות כח אדם (6)'!H2909='סיווג התפקידים והעלויות'!$C$2,'עלויות כח אדם (6)'!H2909='סיווג התפקידים והעלויות'!$D$2),IF('עלויות כח אדם (6)'!J2909&lt;75,"לא תקין","תקין"),"")</f>
        <v/>
      </c>
      <c r="AE2909" s="374" t="str">
        <f t="shared" si="689"/>
        <v/>
      </c>
      <c r="AF2909" s="532" t="str">
        <f t="shared" si="690"/>
        <v/>
      </c>
    </row>
    <row r="2910" spans="2:32" x14ac:dyDescent="0.25">
      <c r="B2910" s="695"/>
      <c r="C2910" s="197" t="str">
        <f>IF(B2910&lt;&gt;"",IFERROR(VLOOKUP(B:B,'מצבת והרשמה (2)'!$C$20:$N$520,2,0)," ")," ")</f>
        <v xml:space="preserve"> </v>
      </c>
      <c r="D2910" s="695"/>
      <c r="E2910" s="696"/>
      <c r="F2910" s="696"/>
      <c r="G2910" s="696"/>
      <c r="H2910" s="696"/>
      <c r="I2910" s="1050" t="str">
        <f t="shared" si="677"/>
        <v/>
      </c>
      <c r="J2910" s="696"/>
      <c r="K2910" s="697"/>
      <c r="L2910" s="696"/>
      <c r="M2910" s="198" t="str">
        <f t="shared" si="678"/>
        <v/>
      </c>
      <c r="N2910" s="369" t="str">
        <f t="shared" si="679"/>
        <v/>
      </c>
      <c r="O2910" s="183" t="str">
        <f t="shared" si="680"/>
        <v/>
      </c>
      <c r="P2910" s="199" t="str">
        <f t="shared" si="681"/>
        <v/>
      </c>
      <c r="Q2910" s="199" t="str">
        <f>IF(B2910="","",IFERROR(IF('עלויות כח אדם (6)'!J2910&gt;=VLOOKUP(I2910,'סיווג התפקידים והעלויות'!$B$23:$C$32,2,0),"תקין","לא תקין"),""))</f>
        <v/>
      </c>
      <c r="R2910" s="199" t="str">
        <f t="shared" si="682"/>
        <v/>
      </c>
      <c r="S2910" s="199" t="str">
        <f t="shared" si="683"/>
        <v/>
      </c>
      <c r="T2910" s="199" t="str">
        <f t="shared" si="691"/>
        <v/>
      </c>
      <c r="U2910" s="199" t="str">
        <f t="shared" si="684"/>
        <v/>
      </c>
      <c r="V2910" s="989"/>
      <c r="X2910" s="374" t="str">
        <f t="shared" si="685"/>
        <v/>
      </c>
      <c r="Y2910" s="375" t="str">
        <f t="shared" si="686"/>
        <v/>
      </c>
      <c r="Z2910" s="374" t="str">
        <f t="shared" si="687"/>
        <v/>
      </c>
      <c r="AA2910" s="374" t="b">
        <f t="shared" si="688"/>
        <v>1</v>
      </c>
      <c r="AB2910" s="374">
        <f>COUNTIFS(B:B,B2910,H:H,'סיווג התפקידים והעלויות'!$C$2)</f>
        <v>0</v>
      </c>
      <c r="AC2910" s="374">
        <f>COUNTIFS(B:B,B2910,H:H,'סיווג התפקידים והעלויות'!$D$2)</f>
        <v>0</v>
      </c>
      <c r="AD2910" s="374" t="str">
        <f>IF(OR(AND(H2910='סיווג התפקידים והעלויות'!$A$2,I2910='סיווג התפקידים והעלויות'!$A$3),'עלויות כח אדם (6)'!H2910='סיווג התפקידים והעלויות'!$C$2,'עלויות כח אדם (6)'!H2910='סיווג התפקידים והעלויות'!$D$2),IF('עלויות כח אדם (6)'!J2910&lt;75,"לא תקין","תקין"),"")</f>
        <v/>
      </c>
      <c r="AE2910" s="374" t="str">
        <f t="shared" si="689"/>
        <v/>
      </c>
      <c r="AF2910" s="532" t="str">
        <f t="shared" si="690"/>
        <v/>
      </c>
    </row>
    <row r="2911" spans="2:32" x14ac:dyDescent="0.25">
      <c r="B2911" s="695"/>
      <c r="C2911" s="197" t="str">
        <f>IF(B2911&lt;&gt;"",IFERROR(VLOOKUP(B:B,'מצבת והרשמה (2)'!$C$20:$N$520,2,0)," ")," ")</f>
        <v xml:space="preserve"> </v>
      </c>
      <c r="D2911" s="695"/>
      <c r="E2911" s="696"/>
      <c r="F2911" s="696"/>
      <c r="G2911" s="696"/>
      <c r="H2911" s="696"/>
      <c r="I2911" s="1050" t="str">
        <f t="shared" si="677"/>
        <v/>
      </c>
      <c r="J2911" s="696"/>
      <c r="K2911" s="697"/>
      <c r="L2911" s="696"/>
      <c r="M2911" s="198" t="str">
        <f t="shared" si="678"/>
        <v/>
      </c>
      <c r="N2911" s="369" t="str">
        <f t="shared" si="679"/>
        <v/>
      </c>
      <c r="O2911" s="183" t="str">
        <f t="shared" si="680"/>
        <v/>
      </c>
      <c r="P2911" s="199" t="str">
        <f t="shared" si="681"/>
        <v/>
      </c>
      <c r="Q2911" s="199" t="str">
        <f>IF(B2911="","",IFERROR(IF('עלויות כח אדם (6)'!J2911&gt;=VLOOKUP(I2911,'סיווג התפקידים והעלויות'!$B$23:$C$32,2,0),"תקין","לא תקין"),""))</f>
        <v/>
      </c>
      <c r="R2911" s="199" t="str">
        <f t="shared" si="682"/>
        <v/>
      </c>
      <c r="S2911" s="199" t="str">
        <f t="shared" si="683"/>
        <v/>
      </c>
      <c r="T2911" s="199" t="str">
        <f t="shared" si="691"/>
        <v/>
      </c>
      <c r="U2911" s="199" t="str">
        <f t="shared" si="684"/>
        <v/>
      </c>
      <c r="V2911" s="989"/>
      <c r="X2911" s="374" t="str">
        <f t="shared" si="685"/>
        <v/>
      </c>
      <c r="Y2911" s="375" t="str">
        <f t="shared" si="686"/>
        <v/>
      </c>
      <c r="Z2911" s="374" t="str">
        <f t="shared" si="687"/>
        <v/>
      </c>
      <c r="AA2911" s="374" t="b">
        <f t="shared" si="688"/>
        <v>1</v>
      </c>
      <c r="AB2911" s="374">
        <f>COUNTIFS(B:B,B2911,H:H,'סיווג התפקידים והעלויות'!$C$2)</f>
        <v>0</v>
      </c>
      <c r="AC2911" s="374">
        <f>COUNTIFS(B:B,B2911,H:H,'סיווג התפקידים והעלויות'!$D$2)</f>
        <v>0</v>
      </c>
      <c r="AD2911" s="374" t="str">
        <f>IF(OR(AND(H2911='סיווג התפקידים והעלויות'!$A$2,I2911='סיווג התפקידים והעלויות'!$A$3),'עלויות כח אדם (6)'!H2911='סיווג התפקידים והעלויות'!$C$2,'עלויות כח אדם (6)'!H2911='סיווג התפקידים והעלויות'!$D$2),IF('עלויות כח אדם (6)'!J2911&lt;75,"לא תקין","תקין"),"")</f>
        <v/>
      </c>
      <c r="AE2911" s="374" t="str">
        <f t="shared" si="689"/>
        <v/>
      </c>
      <c r="AF2911" s="532" t="str">
        <f t="shared" si="690"/>
        <v/>
      </c>
    </row>
    <row r="2912" spans="2:32" x14ac:dyDescent="0.25">
      <c r="B2912" s="695"/>
      <c r="C2912" s="197" t="str">
        <f>IF(B2912&lt;&gt;"",IFERROR(VLOOKUP(B:B,'מצבת והרשמה (2)'!$C$20:$N$520,2,0)," ")," ")</f>
        <v xml:space="preserve"> </v>
      </c>
      <c r="D2912" s="695"/>
      <c r="E2912" s="696"/>
      <c r="F2912" s="696"/>
      <c r="G2912" s="696"/>
      <c r="H2912" s="696"/>
      <c r="I2912" s="1050" t="str">
        <f t="shared" si="677"/>
        <v/>
      </c>
      <c r="J2912" s="696"/>
      <c r="K2912" s="697"/>
      <c r="L2912" s="696"/>
      <c r="M2912" s="198" t="str">
        <f t="shared" si="678"/>
        <v/>
      </c>
      <c r="N2912" s="369" t="str">
        <f t="shared" si="679"/>
        <v/>
      </c>
      <c r="O2912" s="183" t="str">
        <f t="shared" si="680"/>
        <v/>
      </c>
      <c r="P2912" s="199" t="str">
        <f t="shared" si="681"/>
        <v/>
      </c>
      <c r="Q2912" s="199" t="str">
        <f>IF(B2912="","",IFERROR(IF('עלויות כח אדם (6)'!J2912&gt;=VLOOKUP(I2912,'סיווג התפקידים והעלויות'!$B$23:$C$32,2,0),"תקין","לא תקין"),""))</f>
        <v/>
      </c>
      <c r="R2912" s="199" t="str">
        <f t="shared" si="682"/>
        <v/>
      </c>
      <c r="S2912" s="199" t="str">
        <f t="shared" si="683"/>
        <v/>
      </c>
      <c r="T2912" s="199" t="str">
        <f t="shared" si="691"/>
        <v/>
      </c>
      <c r="U2912" s="199" t="str">
        <f t="shared" si="684"/>
        <v/>
      </c>
      <c r="V2912" s="989"/>
      <c r="X2912" s="374" t="str">
        <f t="shared" si="685"/>
        <v/>
      </c>
      <c r="Y2912" s="375" t="str">
        <f t="shared" si="686"/>
        <v/>
      </c>
      <c r="Z2912" s="374" t="str">
        <f t="shared" si="687"/>
        <v/>
      </c>
      <c r="AA2912" s="374" t="b">
        <f t="shared" si="688"/>
        <v>1</v>
      </c>
      <c r="AB2912" s="374">
        <f>COUNTIFS(B:B,B2912,H:H,'סיווג התפקידים והעלויות'!$C$2)</f>
        <v>0</v>
      </c>
      <c r="AC2912" s="374">
        <f>COUNTIFS(B:B,B2912,H:H,'סיווג התפקידים והעלויות'!$D$2)</f>
        <v>0</v>
      </c>
      <c r="AD2912" s="374" t="str">
        <f>IF(OR(AND(H2912='סיווג התפקידים והעלויות'!$A$2,I2912='סיווג התפקידים והעלויות'!$A$3),'עלויות כח אדם (6)'!H2912='סיווג התפקידים והעלויות'!$C$2,'עלויות כח אדם (6)'!H2912='סיווג התפקידים והעלויות'!$D$2),IF('עלויות כח אדם (6)'!J2912&lt;75,"לא תקין","תקין"),"")</f>
        <v/>
      </c>
      <c r="AE2912" s="374" t="str">
        <f t="shared" si="689"/>
        <v/>
      </c>
      <c r="AF2912" s="532" t="str">
        <f t="shared" si="690"/>
        <v/>
      </c>
    </row>
    <row r="2913" spans="2:32" x14ac:dyDescent="0.25">
      <c r="B2913" s="695"/>
      <c r="C2913" s="197" t="str">
        <f>IF(B2913&lt;&gt;"",IFERROR(VLOOKUP(B:B,'מצבת והרשמה (2)'!$C$20:$N$520,2,0)," ")," ")</f>
        <v xml:space="preserve"> </v>
      </c>
      <c r="D2913" s="695"/>
      <c r="E2913" s="696"/>
      <c r="F2913" s="696"/>
      <c r="G2913" s="696"/>
      <c r="H2913" s="696"/>
      <c r="I2913" s="1050" t="str">
        <f t="shared" si="677"/>
        <v/>
      </c>
      <c r="J2913" s="696"/>
      <c r="K2913" s="697"/>
      <c r="L2913" s="696"/>
      <c r="M2913" s="198" t="str">
        <f t="shared" si="678"/>
        <v/>
      </c>
      <c r="N2913" s="369" t="str">
        <f t="shared" si="679"/>
        <v/>
      </c>
      <c r="O2913" s="183" t="str">
        <f t="shared" si="680"/>
        <v/>
      </c>
      <c r="P2913" s="199" t="str">
        <f t="shared" si="681"/>
        <v/>
      </c>
      <c r="Q2913" s="199" t="str">
        <f>IF(B2913="","",IFERROR(IF('עלויות כח אדם (6)'!J2913&gt;=VLOOKUP(I2913,'סיווג התפקידים והעלויות'!$B$23:$C$32,2,0),"תקין","לא תקין"),""))</f>
        <v/>
      </c>
      <c r="R2913" s="199" t="str">
        <f t="shared" si="682"/>
        <v/>
      </c>
      <c r="S2913" s="199" t="str">
        <f t="shared" si="683"/>
        <v/>
      </c>
      <c r="T2913" s="199" t="str">
        <f t="shared" si="691"/>
        <v/>
      </c>
      <c r="U2913" s="199" t="str">
        <f t="shared" si="684"/>
        <v/>
      </c>
      <c r="V2913" s="989"/>
      <c r="X2913" s="374" t="str">
        <f t="shared" si="685"/>
        <v/>
      </c>
      <c r="Y2913" s="375" t="str">
        <f t="shared" si="686"/>
        <v/>
      </c>
      <c r="Z2913" s="374" t="str">
        <f t="shared" si="687"/>
        <v/>
      </c>
      <c r="AA2913" s="374" t="b">
        <f t="shared" si="688"/>
        <v>1</v>
      </c>
      <c r="AB2913" s="374">
        <f>COUNTIFS(B:B,B2913,H:H,'סיווג התפקידים והעלויות'!$C$2)</f>
        <v>0</v>
      </c>
      <c r="AC2913" s="374">
        <f>COUNTIFS(B:B,B2913,H:H,'סיווג התפקידים והעלויות'!$D$2)</f>
        <v>0</v>
      </c>
      <c r="AD2913" s="374" t="str">
        <f>IF(OR(AND(H2913='סיווג התפקידים והעלויות'!$A$2,I2913='סיווג התפקידים והעלויות'!$A$3),'עלויות כח אדם (6)'!H2913='סיווג התפקידים והעלויות'!$C$2,'עלויות כח אדם (6)'!H2913='סיווג התפקידים והעלויות'!$D$2),IF('עלויות כח אדם (6)'!J2913&lt;75,"לא תקין","תקין"),"")</f>
        <v/>
      </c>
      <c r="AE2913" s="374" t="str">
        <f t="shared" si="689"/>
        <v/>
      </c>
      <c r="AF2913" s="532" t="str">
        <f t="shared" si="690"/>
        <v/>
      </c>
    </row>
    <row r="2914" spans="2:32" x14ac:dyDescent="0.25">
      <c r="B2914" s="695"/>
      <c r="C2914" s="197" t="str">
        <f>IF(B2914&lt;&gt;"",IFERROR(VLOOKUP(B:B,'מצבת והרשמה (2)'!$C$20:$N$520,2,0)," ")," ")</f>
        <v xml:space="preserve"> </v>
      </c>
      <c r="D2914" s="695"/>
      <c r="E2914" s="696"/>
      <c r="F2914" s="696"/>
      <c r="G2914" s="696"/>
      <c r="H2914" s="696"/>
      <c r="I2914" s="1050" t="str">
        <f t="shared" si="677"/>
        <v/>
      </c>
      <c r="J2914" s="696"/>
      <c r="K2914" s="697"/>
      <c r="L2914" s="696"/>
      <c r="M2914" s="198" t="str">
        <f t="shared" si="678"/>
        <v/>
      </c>
      <c r="N2914" s="369" t="str">
        <f t="shared" si="679"/>
        <v/>
      </c>
      <c r="O2914" s="183" t="str">
        <f t="shared" si="680"/>
        <v/>
      </c>
      <c r="P2914" s="199" t="str">
        <f t="shared" si="681"/>
        <v/>
      </c>
      <c r="Q2914" s="199" t="str">
        <f>IF(B2914="","",IFERROR(IF('עלויות כח אדם (6)'!J2914&gt;=VLOOKUP(I2914,'סיווג התפקידים והעלויות'!$B$23:$C$32,2,0),"תקין","לא תקין"),""))</f>
        <v/>
      </c>
      <c r="R2914" s="199" t="str">
        <f t="shared" si="682"/>
        <v/>
      </c>
      <c r="S2914" s="199" t="str">
        <f t="shared" si="683"/>
        <v/>
      </c>
      <c r="T2914" s="199" t="str">
        <f t="shared" si="691"/>
        <v/>
      </c>
      <c r="U2914" s="199" t="str">
        <f t="shared" si="684"/>
        <v/>
      </c>
      <c r="V2914" s="989"/>
      <c r="X2914" s="374" t="str">
        <f t="shared" si="685"/>
        <v/>
      </c>
      <c r="Y2914" s="375" t="str">
        <f t="shared" si="686"/>
        <v/>
      </c>
      <c r="Z2914" s="374" t="str">
        <f t="shared" si="687"/>
        <v/>
      </c>
      <c r="AA2914" s="374" t="b">
        <f t="shared" si="688"/>
        <v>1</v>
      </c>
      <c r="AB2914" s="374">
        <f>COUNTIFS(B:B,B2914,H:H,'סיווג התפקידים והעלויות'!$C$2)</f>
        <v>0</v>
      </c>
      <c r="AC2914" s="374">
        <f>COUNTIFS(B:B,B2914,H:H,'סיווג התפקידים והעלויות'!$D$2)</f>
        <v>0</v>
      </c>
      <c r="AD2914" s="374" t="str">
        <f>IF(OR(AND(H2914='סיווג התפקידים והעלויות'!$A$2,I2914='סיווג התפקידים והעלויות'!$A$3),'עלויות כח אדם (6)'!H2914='סיווג התפקידים והעלויות'!$C$2,'עלויות כח אדם (6)'!H2914='סיווג התפקידים והעלויות'!$D$2),IF('עלויות כח אדם (6)'!J2914&lt;75,"לא תקין","תקין"),"")</f>
        <v/>
      </c>
      <c r="AE2914" s="374" t="str">
        <f t="shared" si="689"/>
        <v/>
      </c>
      <c r="AF2914" s="532" t="str">
        <f t="shared" si="690"/>
        <v/>
      </c>
    </row>
    <row r="2915" spans="2:32" x14ac:dyDescent="0.25">
      <c r="B2915" s="695"/>
      <c r="C2915" s="197" t="str">
        <f>IF(B2915&lt;&gt;"",IFERROR(VLOOKUP(B:B,'מצבת והרשמה (2)'!$C$20:$N$520,2,0)," ")," ")</f>
        <v xml:space="preserve"> </v>
      </c>
      <c r="D2915" s="695"/>
      <c r="E2915" s="696"/>
      <c r="F2915" s="696"/>
      <c r="G2915" s="696"/>
      <c r="H2915" s="696"/>
      <c r="I2915" s="1050" t="str">
        <f t="shared" si="677"/>
        <v/>
      </c>
      <c r="J2915" s="696"/>
      <c r="K2915" s="697"/>
      <c r="L2915" s="696"/>
      <c r="M2915" s="198" t="str">
        <f t="shared" si="678"/>
        <v/>
      </c>
      <c r="N2915" s="369" t="str">
        <f t="shared" si="679"/>
        <v/>
      </c>
      <c r="O2915" s="183" t="str">
        <f t="shared" si="680"/>
        <v/>
      </c>
      <c r="P2915" s="199" t="str">
        <f t="shared" si="681"/>
        <v/>
      </c>
      <c r="Q2915" s="199" t="str">
        <f>IF(B2915="","",IFERROR(IF('עלויות כח אדם (6)'!J2915&gt;=VLOOKUP(I2915,'סיווג התפקידים והעלויות'!$B$23:$C$32,2,0),"תקין","לא תקין"),""))</f>
        <v/>
      </c>
      <c r="R2915" s="199" t="str">
        <f t="shared" si="682"/>
        <v/>
      </c>
      <c r="S2915" s="199" t="str">
        <f t="shared" si="683"/>
        <v/>
      </c>
      <c r="T2915" s="199" t="str">
        <f t="shared" si="691"/>
        <v/>
      </c>
      <c r="U2915" s="199" t="str">
        <f t="shared" si="684"/>
        <v/>
      </c>
      <c r="V2915" s="989"/>
      <c r="X2915" s="374" t="str">
        <f t="shared" si="685"/>
        <v/>
      </c>
      <c r="Y2915" s="375" t="str">
        <f t="shared" si="686"/>
        <v/>
      </c>
      <c r="Z2915" s="374" t="str">
        <f t="shared" si="687"/>
        <v/>
      </c>
      <c r="AA2915" s="374" t="b">
        <f t="shared" si="688"/>
        <v>1</v>
      </c>
      <c r="AB2915" s="374">
        <f>COUNTIFS(B:B,B2915,H:H,'סיווג התפקידים והעלויות'!$C$2)</f>
        <v>0</v>
      </c>
      <c r="AC2915" s="374">
        <f>COUNTIFS(B:B,B2915,H:H,'סיווג התפקידים והעלויות'!$D$2)</f>
        <v>0</v>
      </c>
      <c r="AD2915" s="374" t="str">
        <f>IF(OR(AND(H2915='סיווג התפקידים והעלויות'!$A$2,I2915='סיווג התפקידים והעלויות'!$A$3),'עלויות כח אדם (6)'!H2915='סיווג התפקידים והעלויות'!$C$2,'עלויות כח אדם (6)'!H2915='סיווג התפקידים והעלויות'!$D$2),IF('עלויות כח אדם (6)'!J2915&lt;75,"לא תקין","תקין"),"")</f>
        <v/>
      </c>
      <c r="AE2915" s="374" t="str">
        <f t="shared" si="689"/>
        <v/>
      </c>
      <c r="AF2915" s="532" t="str">
        <f t="shared" si="690"/>
        <v/>
      </c>
    </row>
    <row r="2916" spans="2:32" x14ac:dyDescent="0.25">
      <c r="B2916" s="695"/>
      <c r="C2916" s="197" t="str">
        <f>IF(B2916&lt;&gt;"",IFERROR(VLOOKUP(B:B,'מצבת והרשמה (2)'!$C$20:$N$520,2,0)," ")," ")</f>
        <v xml:space="preserve"> </v>
      </c>
      <c r="D2916" s="695"/>
      <c r="E2916" s="696"/>
      <c r="F2916" s="696"/>
      <c r="G2916" s="696"/>
      <c r="H2916" s="696"/>
      <c r="I2916" s="1050" t="str">
        <f t="shared" si="677"/>
        <v/>
      </c>
      <c r="J2916" s="696"/>
      <c r="K2916" s="697"/>
      <c r="L2916" s="696"/>
      <c r="M2916" s="198" t="str">
        <f t="shared" si="678"/>
        <v/>
      </c>
      <c r="N2916" s="369" t="str">
        <f t="shared" si="679"/>
        <v/>
      </c>
      <c r="O2916" s="183" t="str">
        <f t="shared" si="680"/>
        <v/>
      </c>
      <c r="P2916" s="199" t="str">
        <f t="shared" si="681"/>
        <v/>
      </c>
      <c r="Q2916" s="199" t="str">
        <f>IF(B2916="","",IFERROR(IF('עלויות כח אדם (6)'!J2916&gt;=VLOOKUP(I2916,'סיווג התפקידים והעלויות'!$B$23:$C$32,2,0),"תקין","לא תקין"),""))</f>
        <v/>
      </c>
      <c r="R2916" s="199" t="str">
        <f t="shared" si="682"/>
        <v/>
      </c>
      <c r="S2916" s="199" t="str">
        <f t="shared" si="683"/>
        <v/>
      </c>
      <c r="T2916" s="199" t="str">
        <f t="shared" si="691"/>
        <v/>
      </c>
      <c r="U2916" s="199" t="str">
        <f t="shared" si="684"/>
        <v/>
      </c>
      <c r="V2916" s="989"/>
      <c r="X2916" s="374" t="str">
        <f t="shared" si="685"/>
        <v/>
      </c>
      <c r="Y2916" s="375" t="str">
        <f t="shared" si="686"/>
        <v/>
      </c>
      <c r="Z2916" s="374" t="str">
        <f t="shared" si="687"/>
        <v/>
      </c>
      <c r="AA2916" s="374" t="b">
        <f t="shared" si="688"/>
        <v>1</v>
      </c>
      <c r="AB2916" s="374">
        <f>COUNTIFS(B:B,B2916,H:H,'סיווג התפקידים והעלויות'!$C$2)</f>
        <v>0</v>
      </c>
      <c r="AC2916" s="374">
        <f>COUNTIFS(B:B,B2916,H:H,'סיווג התפקידים והעלויות'!$D$2)</f>
        <v>0</v>
      </c>
      <c r="AD2916" s="374" t="str">
        <f>IF(OR(AND(H2916='סיווג התפקידים והעלויות'!$A$2,I2916='סיווג התפקידים והעלויות'!$A$3),'עלויות כח אדם (6)'!H2916='סיווג התפקידים והעלויות'!$C$2,'עלויות כח אדם (6)'!H2916='סיווג התפקידים והעלויות'!$D$2),IF('עלויות כח אדם (6)'!J2916&lt;75,"לא תקין","תקין"),"")</f>
        <v/>
      </c>
      <c r="AE2916" s="374" t="str">
        <f t="shared" si="689"/>
        <v/>
      </c>
      <c r="AF2916" s="532" t="str">
        <f t="shared" si="690"/>
        <v/>
      </c>
    </row>
    <row r="2917" spans="2:32" x14ac:dyDescent="0.25">
      <c r="B2917" s="695"/>
      <c r="C2917" s="197" t="str">
        <f>IF(B2917&lt;&gt;"",IFERROR(VLOOKUP(B:B,'מצבת והרשמה (2)'!$C$20:$N$520,2,0)," ")," ")</f>
        <v xml:space="preserve"> </v>
      </c>
      <c r="D2917" s="695"/>
      <c r="E2917" s="696"/>
      <c r="F2917" s="696"/>
      <c r="G2917" s="696"/>
      <c r="H2917" s="696"/>
      <c r="I2917" s="1050" t="str">
        <f t="shared" si="677"/>
        <v/>
      </c>
      <c r="J2917" s="696"/>
      <c r="K2917" s="697"/>
      <c r="L2917" s="696"/>
      <c r="M2917" s="198" t="str">
        <f t="shared" si="678"/>
        <v/>
      </c>
      <c r="N2917" s="369" t="str">
        <f t="shared" si="679"/>
        <v/>
      </c>
      <c r="O2917" s="183" t="str">
        <f t="shared" si="680"/>
        <v/>
      </c>
      <c r="P2917" s="199" t="str">
        <f t="shared" si="681"/>
        <v/>
      </c>
      <c r="Q2917" s="199" t="str">
        <f>IF(B2917="","",IFERROR(IF('עלויות כח אדם (6)'!J2917&gt;=VLOOKUP(I2917,'סיווג התפקידים והעלויות'!$B$23:$C$32,2,0),"תקין","לא תקין"),""))</f>
        <v/>
      </c>
      <c r="R2917" s="199" t="str">
        <f t="shared" si="682"/>
        <v/>
      </c>
      <c r="S2917" s="199" t="str">
        <f t="shared" si="683"/>
        <v/>
      </c>
      <c r="T2917" s="199" t="str">
        <f t="shared" si="691"/>
        <v/>
      </c>
      <c r="U2917" s="199" t="str">
        <f t="shared" si="684"/>
        <v/>
      </c>
      <c r="V2917" s="989"/>
      <c r="X2917" s="374" t="str">
        <f t="shared" si="685"/>
        <v/>
      </c>
      <c r="Y2917" s="375" t="str">
        <f t="shared" si="686"/>
        <v/>
      </c>
      <c r="Z2917" s="374" t="str">
        <f t="shared" si="687"/>
        <v/>
      </c>
      <c r="AA2917" s="374" t="b">
        <f t="shared" si="688"/>
        <v>1</v>
      </c>
      <c r="AB2917" s="374">
        <f>COUNTIFS(B:B,B2917,H:H,'סיווג התפקידים והעלויות'!$C$2)</f>
        <v>0</v>
      </c>
      <c r="AC2917" s="374">
        <f>COUNTIFS(B:B,B2917,H:H,'סיווג התפקידים והעלויות'!$D$2)</f>
        <v>0</v>
      </c>
      <c r="AD2917" s="374" t="str">
        <f>IF(OR(AND(H2917='סיווג התפקידים והעלויות'!$A$2,I2917='סיווג התפקידים והעלויות'!$A$3),'עלויות כח אדם (6)'!H2917='סיווג התפקידים והעלויות'!$C$2,'עלויות כח אדם (6)'!H2917='סיווג התפקידים והעלויות'!$D$2),IF('עלויות כח אדם (6)'!J2917&lt;75,"לא תקין","תקין"),"")</f>
        <v/>
      </c>
      <c r="AE2917" s="374" t="str">
        <f t="shared" si="689"/>
        <v/>
      </c>
      <c r="AF2917" s="532" t="str">
        <f t="shared" si="690"/>
        <v/>
      </c>
    </row>
    <row r="2918" spans="2:32" x14ac:dyDescent="0.25">
      <c r="B2918" s="695"/>
      <c r="C2918" s="197" t="str">
        <f>IF(B2918&lt;&gt;"",IFERROR(VLOOKUP(B:B,'מצבת והרשמה (2)'!$C$20:$N$520,2,0)," ")," ")</f>
        <v xml:space="preserve"> </v>
      </c>
      <c r="D2918" s="695"/>
      <c r="E2918" s="696"/>
      <c r="F2918" s="696"/>
      <c r="G2918" s="696"/>
      <c r="H2918" s="696"/>
      <c r="I2918" s="1050" t="str">
        <f t="shared" si="677"/>
        <v/>
      </c>
      <c r="J2918" s="696"/>
      <c r="K2918" s="697"/>
      <c r="L2918" s="696"/>
      <c r="M2918" s="198" t="str">
        <f t="shared" si="678"/>
        <v/>
      </c>
      <c r="N2918" s="369" t="str">
        <f t="shared" si="679"/>
        <v/>
      </c>
      <c r="O2918" s="183" t="str">
        <f t="shared" si="680"/>
        <v/>
      </c>
      <c r="P2918" s="199" t="str">
        <f t="shared" si="681"/>
        <v/>
      </c>
      <c r="Q2918" s="199" t="str">
        <f>IF(B2918="","",IFERROR(IF('עלויות כח אדם (6)'!J2918&gt;=VLOOKUP(I2918,'סיווג התפקידים והעלויות'!$B$23:$C$32,2,0),"תקין","לא תקין"),""))</f>
        <v/>
      </c>
      <c r="R2918" s="199" t="str">
        <f t="shared" si="682"/>
        <v/>
      </c>
      <c r="S2918" s="199" t="str">
        <f t="shared" si="683"/>
        <v/>
      </c>
      <c r="T2918" s="199" t="str">
        <f t="shared" si="691"/>
        <v/>
      </c>
      <c r="U2918" s="199" t="str">
        <f t="shared" si="684"/>
        <v/>
      </c>
      <c r="V2918" s="989"/>
      <c r="X2918" s="374" t="str">
        <f t="shared" si="685"/>
        <v/>
      </c>
      <c r="Y2918" s="375" t="str">
        <f t="shared" si="686"/>
        <v/>
      </c>
      <c r="Z2918" s="374" t="str">
        <f t="shared" si="687"/>
        <v/>
      </c>
      <c r="AA2918" s="374" t="b">
        <f t="shared" si="688"/>
        <v>1</v>
      </c>
      <c r="AB2918" s="374">
        <f>COUNTIFS(B:B,B2918,H:H,'סיווג התפקידים והעלויות'!$C$2)</f>
        <v>0</v>
      </c>
      <c r="AC2918" s="374">
        <f>COUNTIFS(B:B,B2918,H:H,'סיווג התפקידים והעלויות'!$D$2)</f>
        <v>0</v>
      </c>
      <c r="AD2918" s="374" t="str">
        <f>IF(OR(AND(H2918='סיווג התפקידים והעלויות'!$A$2,I2918='סיווג התפקידים והעלויות'!$A$3),'עלויות כח אדם (6)'!H2918='סיווג התפקידים והעלויות'!$C$2,'עלויות כח אדם (6)'!H2918='סיווג התפקידים והעלויות'!$D$2),IF('עלויות כח אדם (6)'!J2918&lt;75,"לא תקין","תקין"),"")</f>
        <v/>
      </c>
      <c r="AE2918" s="374" t="str">
        <f t="shared" si="689"/>
        <v/>
      </c>
      <c r="AF2918" s="532" t="str">
        <f t="shared" si="690"/>
        <v/>
      </c>
    </row>
    <row r="2919" spans="2:32" x14ac:dyDescent="0.25">
      <c r="B2919" s="695"/>
      <c r="C2919" s="197" t="str">
        <f>IF(B2919&lt;&gt;"",IFERROR(VLOOKUP(B:B,'מצבת והרשמה (2)'!$C$20:$N$520,2,0)," ")," ")</f>
        <v xml:space="preserve"> </v>
      </c>
      <c r="D2919" s="695"/>
      <c r="E2919" s="696"/>
      <c r="F2919" s="696"/>
      <c r="G2919" s="696"/>
      <c r="H2919" s="696"/>
      <c r="I2919" s="1050" t="str">
        <f t="shared" si="677"/>
        <v/>
      </c>
      <c r="J2919" s="696"/>
      <c r="K2919" s="697"/>
      <c r="L2919" s="696"/>
      <c r="M2919" s="198" t="str">
        <f t="shared" si="678"/>
        <v/>
      </c>
      <c r="N2919" s="369" t="str">
        <f t="shared" si="679"/>
        <v/>
      </c>
      <c r="O2919" s="183" t="str">
        <f t="shared" si="680"/>
        <v/>
      </c>
      <c r="P2919" s="199" t="str">
        <f t="shared" si="681"/>
        <v/>
      </c>
      <c r="Q2919" s="199" t="str">
        <f>IF(B2919="","",IFERROR(IF('עלויות כח אדם (6)'!J2919&gt;=VLOOKUP(I2919,'סיווג התפקידים והעלויות'!$B$23:$C$32,2,0),"תקין","לא תקין"),""))</f>
        <v/>
      </c>
      <c r="R2919" s="199" t="str">
        <f t="shared" si="682"/>
        <v/>
      </c>
      <c r="S2919" s="199" t="str">
        <f t="shared" si="683"/>
        <v/>
      </c>
      <c r="T2919" s="199" t="str">
        <f t="shared" si="691"/>
        <v/>
      </c>
      <c r="U2919" s="199" t="str">
        <f t="shared" si="684"/>
        <v/>
      </c>
      <c r="V2919" s="989"/>
      <c r="X2919" s="374" t="str">
        <f t="shared" si="685"/>
        <v/>
      </c>
      <c r="Y2919" s="375" t="str">
        <f t="shared" si="686"/>
        <v/>
      </c>
      <c r="Z2919" s="374" t="str">
        <f t="shared" si="687"/>
        <v/>
      </c>
      <c r="AA2919" s="374" t="b">
        <f t="shared" si="688"/>
        <v>1</v>
      </c>
      <c r="AB2919" s="374">
        <f>COUNTIFS(B:B,B2919,H:H,'סיווג התפקידים והעלויות'!$C$2)</f>
        <v>0</v>
      </c>
      <c r="AC2919" s="374">
        <f>COUNTIFS(B:B,B2919,H:H,'סיווג התפקידים והעלויות'!$D$2)</f>
        <v>0</v>
      </c>
      <c r="AD2919" s="374" t="str">
        <f>IF(OR(AND(H2919='סיווג התפקידים והעלויות'!$A$2,I2919='סיווג התפקידים והעלויות'!$A$3),'עלויות כח אדם (6)'!H2919='סיווג התפקידים והעלויות'!$C$2,'עלויות כח אדם (6)'!H2919='סיווג התפקידים והעלויות'!$D$2),IF('עלויות כח אדם (6)'!J2919&lt;75,"לא תקין","תקין"),"")</f>
        <v/>
      </c>
      <c r="AE2919" s="374" t="str">
        <f t="shared" si="689"/>
        <v/>
      </c>
      <c r="AF2919" s="532" t="str">
        <f t="shared" si="690"/>
        <v/>
      </c>
    </row>
    <row r="2920" spans="2:32" x14ac:dyDescent="0.25">
      <c r="B2920" s="695"/>
      <c r="C2920" s="197" t="str">
        <f>IF(B2920&lt;&gt;"",IFERROR(VLOOKUP(B:B,'מצבת והרשמה (2)'!$C$20:$N$520,2,0)," ")," ")</f>
        <v xml:space="preserve"> </v>
      </c>
      <c r="D2920" s="695"/>
      <c r="E2920" s="696"/>
      <c r="F2920" s="696"/>
      <c r="G2920" s="696"/>
      <c r="H2920" s="696"/>
      <c r="I2920" s="1050" t="str">
        <f t="shared" si="677"/>
        <v/>
      </c>
      <c r="J2920" s="696"/>
      <c r="K2920" s="697"/>
      <c r="L2920" s="696"/>
      <c r="M2920" s="198" t="str">
        <f t="shared" si="678"/>
        <v/>
      </c>
      <c r="N2920" s="369" t="str">
        <f t="shared" si="679"/>
        <v/>
      </c>
      <c r="O2920" s="183" t="str">
        <f t="shared" si="680"/>
        <v/>
      </c>
      <c r="P2920" s="199" t="str">
        <f t="shared" si="681"/>
        <v/>
      </c>
      <c r="Q2920" s="199" t="str">
        <f>IF(B2920="","",IFERROR(IF('עלויות כח אדם (6)'!J2920&gt;=VLOOKUP(I2920,'סיווג התפקידים והעלויות'!$B$23:$C$32,2,0),"תקין","לא תקין"),""))</f>
        <v/>
      </c>
      <c r="R2920" s="199" t="str">
        <f t="shared" si="682"/>
        <v/>
      </c>
      <c r="S2920" s="199" t="str">
        <f t="shared" si="683"/>
        <v/>
      </c>
      <c r="T2920" s="199" t="str">
        <f t="shared" si="691"/>
        <v/>
      </c>
      <c r="U2920" s="199" t="str">
        <f t="shared" si="684"/>
        <v/>
      </c>
      <c r="V2920" s="989"/>
      <c r="X2920" s="374" t="str">
        <f t="shared" si="685"/>
        <v/>
      </c>
      <c r="Y2920" s="375" t="str">
        <f t="shared" si="686"/>
        <v/>
      </c>
      <c r="Z2920" s="374" t="str">
        <f t="shared" si="687"/>
        <v/>
      </c>
      <c r="AA2920" s="374" t="b">
        <f t="shared" si="688"/>
        <v>1</v>
      </c>
      <c r="AB2920" s="374">
        <f>COUNTIFS(B:B,B2920,H:H,'סיווג התפקידים והעלויות'!$C$2)</f>
        <v>0</v>
      </c>
      <c r="AC2920" s="374">
        <f>COUNTIFS(B:B,B2920,H:H,'סיווג התפקידים והעלויות'!$D$2)</f>
        <v>0</v>
      </c>
      <c r="AD2920" s="374" t="str">
        <f>IF(OR(AND(H2920='סיווג התפקידים והעלויות'!$A$2,I2920='סיווג התפקידים והעלויות'!$A$3),'עלויות כח אדם (6)'!H2920='סיווג התפקידים והעלויות'!$C$2,'עלויות כח אדם (6)'!H2920='סיווג התפקידים והעלויות'!$D$2),IF('עלויות כח אדם (6)'!J2920&lt;75,"לא תקין","תקין"),"")</f>
        <v/>
      </c>
      <c r="AE2920" s="374" t="str">
        <f t="shared" si="689"/>
        <v/>
      </c>
      <c r="AF2920" s="532" t="str">
        <f t="shared" si="690"/>
        <v/>
      </c>
    </row>
    <row r="2921" spans="2:32" x14ac:dyDescent="0.25">
      <c r="B2921" s="695"/>
      <c r="C2921" s="197" t="str">
        <f>IF(B2921&lt;&gt;"",IFERROR(VLOOKUP(B:B,'מצבת והרשמה (2)'!$C$20:$N$520,2,0)," ")," ")</f>
        <v xml:space="preserve"> </v>
      </c>
      <c r="D2921" s="695"/>
      <c r="E2921" s="696"/>
      <c r="F2921" s="696"/>
      <c r="G2921" s="696"/>
      <c r="H2921" s="696"/>
      <c r="I2921" s="1050" t="str">
        <f t="shared" si="677"/>
        <v/>
      </c>
      <c r="J2921" s="696"/>
      <c r="K2921" s="697"/>
      <c r="L2921" s="696"/>
      <c r="M2921" s="198" t="str">
        <f t="shared" si="678"/>
        <v/>
      </c>
      <c r="N2921" s="369" t="str">
        <f t="shared" si="679"/>
        <v/>
      </c>
      <c r="O2921" s="183" t="str">
        <f t="shared" si="680"/>
        <v/>
      </c>
      <c r="P2921" s="199" t="str">
        <f t="shared" si="681"/>
        <v/>
      </c>
      <c r="Q2921" s="199" t="str">
        <f>IF(B2921="","",IFERROR(IF('עלויות כח אדם (6)'!J2921&gt;=VLOOKUP(I2921,'סיווג התפקידים והעלויות'!$B$23:$C$32,2,0),"תקין","לא תקין"),""))</f>
        <v/>
      </c>
      <c r="R2921" s="199" t="str">
        <f t="shared" si="682"/>
        <v/>
      </c>
      <c r="S2921" s="199" t="str">
        <f t="shared" si="683"/>
        <v/>
      </c>
      <c r="T2921" s="199" t="str">
        <f t="shared" si="691"/>
        <v/>
      </c>
      <c r="U2921" s="199" t="str">
        <f t="shared" si="684"/>
        <v/>
      </c>
      <c r="V2921" s="989"/>
      <c r="X2921" s="374" t="str">
        <f t="shared" si="685"/>
        <v/>
      </c>
      <c r="Y2921" s="375" t="str">
        <f t="shared" si="686"/>
        <v/>
      </c>
      <c r="Z2921" s="374" t="str">
        <f t="shared" si="687"/>
        <v/>
      </c>
      <c r="AA2921" s="374" t="b">
        <f t="shared" si="688"/>
        <v>1</v>
      </c>
      <c r="AB2921" s="374">
        <f>COUNTIFS(B:B,B2921,H:H,'סיווג התפקידים והעלויות'!$C$2)</f>
        <v>0</v>
      </c>
      <c r="AC2921" s="374">
        <f>COUNTIFS(B:B,B2921,H:H,'סיווג התפקידים והעלויות'!$D$2)</f>
        <v>0</v>
      </c>
      <c r="AD2921" s="374" t="str">
        <f>IF(OR(AND(H2921='סיווג התפקידים והעלויות'!$A$2,I2921='סיווג התפקידים והעלויות'!$A$3),'עלויות כח אדם (6)'!H2921='סיווג התפקידים והעלויות'!$C$2,'עלויות כח אדם (6)'!H2921='סיווג התפקידים והעלויות'!$D$2),IF('עלויות כח אדם (6)'!J2921&lt;75,"לא תקין","תקין"),"")</f>
        <v/>
      </c>
      <c r="AE2921" s="374" t="str">
        <f t="shared" si="689"/>
        <v/>
      </c>
      <c r="AF2921" s="532" t="str">
        <f t="shared" si="690"/>
        <v/>
      </c>
    </row>
    <row r="2922" spans="2:32" x14ac:dyDescent="0.25">
      <c r="B2922" s="695"/>
      <c r="C2922" s="197" t="str">
        <f>IF(B2922&lt;&gt;"",IFERROR(VLOOKUP(B:B,'מצבת והרשמה (2)'!$C$20:$N$520,2,0)," ")," ")</f>
        <v xml:space="preserve"> </v>
      </c>
      <c r="D2922" s="695"/>
      <c r="E2922" s="696"/>
      <c r="F2922" s="696"/>
      <c r="G2922" s="696"/>
      <c r="H2922" s="696"/>
      <c r="I2922" s="1050" t="str">
        <f t="shared" si="677"/>
        <v/>
      </c>
      <c r="J2922" s="696"/>
      <c r="K2922" s="697"/>
      <c r="L2922" s="696"/>
      <c r="M2922" s="198" t="str">
        <f t="shared" si="678"/>
        <v/>
      </c>
      <c r="N2922" s="369" t="str">
        <f t="shared" si="679"/>
        <v/>
      </c>
      <c r="O2922" s="183" t="str">
        <f t="shared" si="680"/>
        <v/>
      </c>
      <c r="P2922" s="199" t="str">
        <f t="shared" si="681"/>
        <v/>
      </c>
      <c r="Q2922" s="199" t="str">
        <f>IF(B2922="","",IFERROR(IF('עלויות כח אדם (6)'!J2922&gt;=VLOOKUP(I2922,'סיווג התפקידים והעלויות'!$B$23:$C$32,2,0),"תקין","לא תקין"),""))</f>
        <v/>
      </c>
      <c r="R2922" s="199" t="str">
        <f t="shared" si="682"/>
        <v/>
      </c>
      <c r="S2922" s="199" t="str">
        <f t="shared" si="683"/>
        <v/>
      </c>
      <c r="T2922" s="199" t="str">
        <f t="shared" si="691"/>
        <v/>
      </c>
      <c r="U2922" s="199" t="str">
        <f t="shared" si="684"/>
        <v/>
      </c>
      <c r="V2922" s="989"/>
      <c r="X2922" s="374" t="str">
        <f t="shared" si="685"/>
        <v/>
      </c>
      <c r="Y2922" s="375" t="str">
        <f t="shared" si="686"/>
        <v/>
      </c>
      <c r="Z2922" s="374" t="str">
        <f t="shared" si="687"/>
        <v/>
      </c>
      <c r="AA2922" s="374" t="b">
        <f t="shared" si="688"/>
        <v>1</v>
      </c>
      <c r="AB2922" s="374">
        <f>COUNTIFS(B:B,B2922,H:H,'סיווג התפקידים והעלויות'!$C$2)</f>
        <v>0</v>
      </c>
      <c r="AC2922" s="374">
        <f>COUNTIFS(B:B,B2922,H:H,'סיווג התפקידים והעלויות'!$D$2)</f>
        <v>0</v>
      </c>
      <c r="AD2922" s="374" t="str">
        <f>IF(OR(AND(H2922='סיווג התפקידים והעלויות'!$A$2,I2922='סיווג התפקידים והעלויות'!$A$3),'עלויות כח אדם (6)'!H2922='סיווג התפקידים והעלויות'!$C$2,'עלויות כח אדם (6)'!H2922='סיווג התפקידים והעלויות'!$D$2),IF('עלויות כח אדם (6)'!J2922&lt;75,"לא תקין","תקין"),"")</f>
        <v/>
      </c>
      <c r="AE2922" s="374" t="str">
        <f t="shared" si="689"/>
        <v/>
      </c>
      <c r="AF2922" s="532" t="str">
        <f t="shared" si="690"/>
        <v/>
      </c>
    </row>
    <row r="2923" spans="2:32" x14ac:dyDescent="0.25">
      <c r="B2923" s="695"/>
      <c r="C2923" s="197" t="str">
        <f>IF(B2923&lt;&gt;"",IFERROR(VLOOKUP(B:B,'מצבת והרשמה (2)'!$C$20:$N$520,2,0)," ")," ")</f>
        <v xml:space="preserve"> </v>
      </c>
      <c r="D2923" s="695"/>
      <c r="E2923" s="696"/>
      <c r="F2923" s="696"/>
      <c r="G2923" s="696"/>
      <c r="H2923" s="696"/>
      <c r="I2923" s="1050" t="str">
        <f t="shared" si="677"/>
        <v/>
      </c>
      <c r="J2923" s="696"/>
      <c r="K2923" s="697"/>
      <c r="L2923" s="696"/>
      <c r="M2923" s="198" t="str">
        <f t="shared" si="678"/>
        <v/>
      </c>
      <c r="N2923" s="369" t="str">
        <f t="shared" si="679"/>
        <v/>
      </c>
      <c r="O2923" s="183" t="str">
        <f t="shared" si="680"/>
        <v/>
      </c>
      <c r="P2923" s="199" t="str">
        <f t="shared" si="681"/>
        <v/>
      </c>
      <c r="Q2923" s="199" t="str">
        <f>IF(B2923="","",IFERROR(IF('עלויות כח אדם (6)'!J2923&gt;=VLOOKUP(I2923,'סיווג התפקידים והעלויות'!$B$23:$C$32,2,0),"תקין","לא תקין"),""))</f>
        <v/>
      </c>
      <c r="R2923" s="199" t="str">
        <f t="shared" si="682"/>
        <v/>
      </c>
      <c r="S2923" s="199" t="str">
        <f t="shared" si="683"/>
        <v/>
      </c>
      <c r="T2923" s="199" t="str">
        <f t="shared" si="691"/>
        <v/>
      </c>
      <c r="U2923" s="199" t="str">
        <f t="shared" si="684"/>
        <v/>
      </c>
      <c r="V2923" s="989"/>
      <c r="X2923" s="374" t="str">
        <f t="shared" si="685"/>
        <v/>
      </c>
      <c r="Y2923" s="375" t="str">
        <f t="shared" si="686"/>
        <v/>
      </c>
      <c r="Z2923" s="374" t="str">
        <f t="shared" si="687"/>
        <v/>
      </c>
      <c r="AA2923" s="374" t="b">
        <f t="shared" si="688"/>
        <v>1</v>
      </c>
      <c r="AB2923" s="374">
        <f>COUNTIFS(B:B,B2923,H:H,'סיווג התפקידים והעלויות'!$C$2)</f>
        <v>0</v>
      </c>
      <c r="AC2923" s="374">
        <f>COUNTIFS(B:B,B2923,H:H,'סיווג התפקידים והעלויות'!$D$2)</f>
        <v>0</v>
      </c>
      <c r="AD2923" s="374" t="str">
        <f>IF(OR(AND(H2923='סיווג התפקידים והעלויות'!$A$2,I2923='סיווג התפקידים והעלויות'!$A$3),'עלויות כח אדם (6)'!H2923='סיווג התפקידים והעלויות'!$C$2,'עלויות כח אדם (6)'!H2923='סיווג התפקידים והעלויות'!$D$2),IF('עלויות כח אדם (6)'!J2923&lt;75,"לא תקין","תקין"),"")</f>
        <v/>
      </c>
      <c r="AE2923" s="374" t="str">
        <f t="shared" si="689"/>
        <v/>
      </c>
      <c r="AF2923" s="532" t="str">
        <f t="shared" si="690"/>
        <v/>
      </c>
    </row>
    <row r="2924" spans="2:32" x14ac:dyDescent="0.25">
      <c r="B2924" s="695"/>
      <c r="C2924" s="197" t="str">
        <f>IF(B2924&lt;&gt;"",IFERROR(VLOOKUP(B:B,'מצבת והרשמה (2)'!$C$20:$N$520,2,0)," ")," ")</f>
        <v xml:space="preserve"> </v>
      </c>
      <c r="D2924" s="695"/>
      <c r="E2924" s="696"/>
      <c r="F2924" s="696"/>
      <c r="G2924" s="696"/>
      <c r="H2924" s="696"/>
      <c r="I2924" s="1050" t="str">
        <f t="shared" si="677"/>
        <v/>
      </c>
      <c r="J2924" s="696"/>
      <c r="K2924" s="697"/>
      <c r="L2924" s="696"/>
      <c r="M2924" s="198" t="str">
        <f t="shared" si="678"/>
        <v/>
      </c>
      <c r="N2924" s="369" t="str">
        <f t="shared" si="679"/>
        <v/>
      </c>
      <c r="O2924" s="183" t="str">
        <f t="shared" si="680"/>
        <v/>
      </c>
      <c r="P2924" s="199" t="str">
        <f t="shared" si="681"/>
        <v/>
      </c>
      <c r="Q2924" s="199" t="str">
        <f>IF(B2924="","",IFERROR(IF('עלויות כח אדם (6)'!J2924&gt;=VLOOKUP(I2924,'סיווג התפקידים והעלויות'!$B$23:$C$32,2,0),"תקין","לא תקין"),""))</f>
        <v/>
      </c>
      <c r="R2924" s="199" t="str">
        <f t="shared" si="682"/>
        <v/>
      </c>
      <c r="S2924" s="199" t="str">
        <f t="shared" si="683"/>
        <v/>
      </c>
      <c r="T2924" s="199" t="str">
        <f t="shared" si="691"/>
        <v/>
      </c>
      <c r="U2924" s="199" t="str">
        <f t="shared" si="684"/>
        <v/>
      </c>
      <c r="V2924" s="989"/>
      <c r="X2924" s="374" t="str">
        <f t="shared" si="685"/>
        <v/>
      </c>
      <c r="Y2924" s="375" t="str">
        <f t="shared" si="686"/>
        <v/>
      </c>
      <c r="Z2924" s="374" t="str">
        <f t="shared" si="687"/>
        <v/>
      </c>
      <c r="AA2924" s="374" t="b">
        <f t="shared" si="688"/>
        <v>1</v>
      </c>
      <c r="AB2924" s="374">
        <f>COUNTIFS(B:B,B2924,H:H,'סיווג התפקידים והעלויות'!$C$2)</f>
        <v>0</v>
      </c>
      <c r="AC2924" s="374">
        <f>COUNTIFS(B:B,B2924,H:H,'סיווג התפקידים והעלויות'!$D$2)</f>
        <v>0</v>
      </c>
      <c r="AD2924" s="374" t="str">
        <f>IF(OR(AND(H2924='סיווג התפקידים והעלויות'!$A$2,I2924='סיווג התפקידים והעלויות'!$A$3),'עלויות כח אדם (6)'!H2924='סיווג התפקידים והעלויות'!$C$2,'עלויות כח אדם (6)'!H2924='סיווג התפקידים והעלויות'!$D$2),IF('עלויות כח אדם (6)'!J2924&lt;75,"לא תקין","תקין"),"")</f>
        <v/>
      </c>
      <c r="AE2924" s="374" t="str">
        <f t="shared" si="689"/>
        <v/>
      </c>
      <c r="AF2924" s="532" t="str">
        <f t="shared" si="690"/>
        <v/>
      </c>
    </row>
    <row r="2925" spans="2:32" x14ac:dyDescent="0.25">
      <c r="B2925" s="695"/>
      <c r="C2925" s="197" t="str">
        <f>IF(B2925&lt;&gt;"",IFERROR(VLOOKUP(B:B,'מצבת והרשמה (2)'!$C$20:$N$520,2,0)," ")," ")</f>
        <v xml:space="preserve"> </v>
      </c>
      <c r="D2925" s="695"/>
      <c r="E2925" s="696"/>
      <c r="F2925" s="696"/>
      <c r="G2925" s="696"/>
      <c r="H2925" s="696"/>
      <c r="I2925" s="1050" t="str">
        <f t="shared" si="677"/>
        <v/>
      </c>
      <c r="J2925" s="696"/>
      <c r="K2925" s="697"/>
      <c r="L2925" s="696"/>
      <c r="M2925" s="198" t="str">
        <f t="shared" si="678"/>
        <v/>
      </c>
      <c r="N2925" s="369" t="str">
        <f t="shared" si="679"/>
        <v/>
      </c>
      <c r="O2925" s="183" t="str">
        <f t="shared" si="680"/>
        <v/>
      </c>
      <c r="P2925" s="199" t="str">
        <f t="shared" si="681"/>
        <v/>
      </c>
      <c r="Q2925" s="199" t="str">
        <f>IF(B2925="","",IFERROR(IF('עלויות כח אדם (6)'!J2925&gt;=VLOOKUP(I2925,'סיווג התפקידים והעלויות'!$B$23:$C$32,2,0),"תקין","לא תקין"),""))</f>
        <v/>
      </c>
      <c r="R2925" s="199" t="str">
        <f t="shared" si="682"/>
        <v/>
      </c>
      <c r="S2925" s="199" t="str">
        <f t="shared" si="683"/>
        <v/>
      </c>
      <c r="T2925" s="199" t="str">
        <f t="shared" si="691"/>
        <v/>
      </c>
      <c r="U2925" s="199" t="str">
        <f t="shared" si="684"/>
        <v/>
      </c>
      <c r="V2925" s="989"/>
      <c r="X2925" s="374" t="str">
        <f t="shared" si="685"/>
        <v/>
      </c>
      <c r="Y2925" s="375" t="str">
        <f t="shared" si="686"/>
        <v/>
      </c>
      <c r="Z2925" s="374" t="str">
        <f t="shared" si="687"/>
        <v/>
      </c>
      <c r="AA2925" s="374" t="b">
        <f t="shared" si="688"/>
        <v>1</v>
      </c>
      <c r="AB2925" s="374">
        <f>COUNTIFS(B:B,B2925,H:H,'סיווג התפקידים והעלויות'!$C$2)</f>
        <v>0</v>
      </c>
      <c r="AC2925" s="374">
        <f>COUNTIFS(B:B,B2925,H:H,'סיווג התפקידים והעלויות'!$D$2)</f>
        <v>0</v>
      </c>
      <c r="AD2925" s="374" t="str">
        <f>IF(OR(AND(H2925='סיווג התפקידים והעלויות'!$A$2,I2925='סיווג התפקידים והעלויות'!$A$3),'עלויות כח אדם (6)'!H2925='סיווג התפקידים והעלויות'!$C$2,'עלויות כח אדם (6)'!H2925='סיווג התפקידים והעלויות'!$D$2),IF('עלויות כח אדם (6)'!J2925&lt;75,"לא תקין","תקין"),"")</f>
        <v/>
      </c>
      <c r="AE2925" s="374" t="str">
        <f t="shared" si="689"/>
        <v/>
      </c>
      <c r="AF2925" s="532" t="str">
        <f t="shared" si="690"/>
        <v/>
      </c>
    </row>
    <row r="2926" spans="2:32" x14ac:dyDescent="0.25">
      <c r="B2926" s="695"/>
      <c r="C2926" s="197" t="str">
        <f>IF(B2926&lt;&gt;"",IFERROR(VLOOKUP(B:B,'מצבת והרשמה (2)'!$C$20:$N$520,2,0)," ")," ")</f>
        <v xml:space="preserve"> </v>
      </c>
      <c r="D2926" s="695"/>
      <c r="E2926" s="696"/>
      <c r="F2926" s="696"/>
      <c r="G2926" s="696"/>
      <c r="H2926" s="696"/>
      <c r="I2926" s="1050" t="str">
        <f t="shared" si="677"/>
        <v/>
      </c>
      <c r="J2926" s="696"/>
      <c r="K2926" s="697"/>
      <c r="L2926" s="696"/>
      <c r="M2926" s="198" t="str">
        <f t="shared" si="678"/>
        <v/>
      </c>
      <c r="N2926" s="369" t="str">
        <f t="shared" si="679"/>
        <v/>
      </c>
      <c r="O2926" s="183" t="str">
        <f t="shared" si="680"/>
        <v/>
      </c>
      <c r="P2926" s="199" t="str">
        <f t="shared" si="681"/>
        <v/>
      </c>
      <c r="Q2926" s="199" t="str">
        <f>IF(B2926="","",IFERROR(IF('עלויות כח אדם (6)'!J2926&gt;=VLOOKUP(I2926,'סיווג התפקידים והעלויות'!$B$23:$C$32,2,0),"תקין","לא תקין"),""))</f>
        <v/>
      </c>
      <c r="R2926" s="199" t="str">
        <f t="shared" si="682"/>
        <v/>
      </c>
      <c r="S2926" s="199" t="str">
        <f t="shared" si="683"/>
        <v/>
      </c>
      <c r="T2926" s="199" t="str">
        <f t="shared" si="691"/>
        <v/>
      </c>
      <c r="U2926" s="199" t="str">
        <f t="shared" si="684"/>
        <v/>
      </c>
      <c r="V2926" s="989"/>
      <c r="X2926" s="374" t="str">
        <f t="shared" si="685"/>
        <v/>
      </c>
      <c r="Y2926" s="375" t="str">
        <f t="shared" si="686"/>
        <v/>
      </c>
      <c r="Z2926" s="374" t="str">
        <f t="shared" si="687"/>
        <v/>
      </c>
      <c r="AA2926" s="374" t="b">
        <f t="shared" si="688"/>
        <v>1</v>
      </c>
      <c r="AB2926" s="374">
        <f>COUNTIFS(B:B,B2926,H:H,'סיווג התפקידים והעלויות'!$C$2)</f>
        <v>0</v>
      </c>
      <c r="AC2926" s="374">
        <f>COUNTIFS(B:B,B2926,H:H,'סיווג התפקידים והעלויות'!$D$2)</f>
        <v>0</v>
      </c>
      <c r="AD2926" s="374" t="str">
        <f>IF(OR(AND(H2926='סיווג התפקידים והעלויות'!$A$2,I2926='סיווג התפקידים והעלויות'!$A$3),'עלויות כח אדם (6)'!H2926='סיווג התפקידים והעלויות'!$C$2,'עלויות כח אדם (6)'!H2926='סיווג התפקידים והעלויות'!$D$2),IF('עלויות כח אדם (6)'!J2926&lt;75,"לא תקין","תקין"),"")</f>
        <v/>
      </c>
      <c r="AE2926" s="374" t="str">
        <f t="shared" si="689"/>
        <v/>
      </c>
      <c r="AF2926" s="532" t="str">
        <f t="shared" si="690"/>
        <v/>
      </c>
    </row>
    <row r="2927" spans="2:32" x14ac:dyDescent="0.25">
      <c r="B2927" s="695"/>
      <c r="C2927" s="197" t="str">
        <f>IF(B2927&lt;&gt;"",IFERROR(VLOOKUP(B:B,'מצבת והרשמה (2)'!$C$20:$N$520,2,0)," ")," ")</f>
        <v xml:space="preserve"> </v>
      </c>
      <c r="D2927" s="695"/>
      <c r="E2927" s="696"/>
      <c r="F2927" s="696"/>
      <c r="G2927" s="696"/>
      <c r="H2927" s="696"/>
      <c r="I2927" s="1050" t="str">
        <f t="shared" si="677"/>
        <v/>
      </c>
      <c r="J2927" s="696"/>
      <c r="K2927" s="697"/>
      <c r="L2927" s="696"/>
      <c r="M2927" s="198" t="str">
        <f t="shared" si="678"/>
        <v/>
      </c>
      <c r="N2927" s="369" t="str">
        <f t="shared" si="679"/>
        <v/>
      </c>
      <c r="O2927" s="183" t="str">
        <f t="shared" si="680"/>
        <v/>
      </c>
      <c r="P2927" s="199" t="str">
        <f t="shared" si="681"/>
        <v/>
      </c>
      <c r="Q2927" s="199" t="str">
        <f>IF(B2927="","",IFERROR(IF('עלויות כח אדם (6)'!J2927&gt;=VLOOKUP(I2927,'סיווג התפקידים והעלויות'!$B$23:$C$32,2,0),"תקין","לא תקין"),""))</f>
        <v/>
      </c>
      <c r="R2927" s="199" t="str">
        <f t="shared" si="682"/>
        <v/>
      </c>
      <c r="S2927" s="199" t="str">
        <f t="shared" si="683"/>
        <v/>
      </c>
      <c r="T2927" s="199" t="str">
        <f t="shared" si="691"/>
        <v/>
      </c>
      <c r="U2927" s="199" t="str">
        <f t="shared" si="684"/>
        <v/>
      </c>
      <c r="V2927" s="989"/>
      <c r="X2927" s="374" t="str">
        <f t="shared" si="685"/>
        <v/>
      </c>
      <c r="Y2927" s="375" t="str">
        <f t="shared" si="686"/>
        <v/>
      </c>
      <c r="Z2927" s="374" t="str">
        <f t="shared" si="687"/>
        <v/>
      </c>
      <c r="AA2927" s="374" t="b">
        <f t="shared" si="688"/>
        <v>1</v>
      </c>
      <c r="AB2927" s="374">
        <f>COUNTIFS(B:B,B2927,H:H,'סיווג התפקידים והעלויות'!$C$2)</f>
        <v>0</v>
      </c>
      <c r="AC2927" s="374">
        <f>COUNTIFS(B:B,B2927,H:H,'סיווג התפקידים והעלויות'!$D$2)</f>
        <v>0</v>
      </c>
      <c r="AD2927" s="374" t="str">
        <f>IF(OR(AND(H2927='סיווג התפקידים והעלויות'!$A$2,I2927='סיווג התפקידים והעלויות'!$A$3),'עלויות כח אדם (6)'!H2927='סיווג התפקידים והעלויות'!$C$2,'עלויות כח אדם (6)'!H2927='סיווג התפקידים והעלויות'!$D$2),IF('עלויות כח אדם (6)'!J2927&lt;75,"לא תקין","תקין"),"")</f>
        <v/>
      </c>
      <c r="AE2927" s="374" t="str">
        <f t="shared" si="689"/>
        <v/>
      </c>
      <c r="AF2927" s="532" t="str">
        <f t="shared" si="690"/>
        <v/>
      </c>
    </row>
    <row r="2928" spans="2:32" x14ac:dyDescent="0.25">
      <c r="B2928" s="695"/>
      <c r="C2928" s="197" t="str">
        <f>IF(B2928&lt;&gt;"",IFERROR(VLOOKUP(B:B,'מצבת והרשמה (2)'!$C$20:$N$520,2,0)," ")," ")</f>
        <v xml:space="preserve"> </v>
      </c>
      <c r="D2928" s="695"/>
      <c r="E2928" s="696"/>
      <c r="F2928" s="696"/>
      <c r="G2928" s="696"/>
      <c r="H2928" s="696"/>
      <c r="I2928" s="1050" t="str">
        <f t="shared" si="677"/>
        <v/>
      </c>
      <c r="J2928" s="696"/>
      <c r="K2928" s="697"/>
      <c r="L2928" s="696"/>
      <c r="M2928" s="198" t="str">
        <f t="shared" si="678"/>
        <v/>
      </c>
      <c r="N2928" s="369" t="str">
        <f t="shared" si="679"/>
        <v/>
      </c>
      <c r="O2928" s="183" t="str">
        <f t="shared" si="680"/>
        <v/>
      </c>
      <c r="P2928" s="199" t="str">
        <f t="shared" si="681"/>
        <v/>
      </c>
      <c r="Q2928" s="199" t="str">
        <f>IF(B2928="","",IFERROR(IF('עלויות כח אדם (6)'!J2928&gt;=VLOOKUP(I2928,'סיווג התפקידים והעלויות'!$B$23:$C$32,2,0),"תקין","לא תקין"),""))</f>
        <v/>
      </c>
      <c r="R2928" s="199" t="str">
        <f t="shared" si="682"/>
        <v/>
      </c>
      <c r="S2928" s="199" t="str">
        <f t="shared" si="683"/>
        <v/>
      </c>
      <c r="T2928" s="199" t="str">
        <f t="shared" si="691"/>
        <v/>
      </c>
      <c r="U2928" s="199" t="str">
        <f t="shared" si="684"/>
        <v/>
      </c>
      <c r="V2928" s="989"/>
      <c r="X2928" s="374" t="str">
        <f t="shared" si="685"/>
        <v/>
      </c>
      <c r="Y2928" s="375" t="str">
        <f t="shared" si="686"/>
        <v/>
      </c>
      <c r="Z2928" s="374" t="str">
        <f t="shared" si="687"/>
        <v/>
      </c>
      <c r="AA2928" s="374" t="b">
        <f t="shared" si="688"/>
        <v>1</v>
      </c>
      <c r="AB2928" s="374">
        <f>COUNTIFS(B:B,B2928,H:H,'סיווג התפקידים והעלויות'!$C$2)</f>
        <v>0</v>
      </c>
      <c r="AC2928" s="374">
        <f>COUNTIFS(B:B,B2928,H:H,'סיווג התפקידים והעלויות'!$D$2)</f>
        <v>0</v>
      </c>
      <c r="AD2928" s="374" t="str">
        <f>IF(OR(AND(H2928='סיווג התפקידים והעלויות'!$A$2,I2928='סיווג התפקידים והעלויות'!$A$3),'עלויות כח אדם (6)'!H2928='סיווג התפקידים והעלויות'!$C$2,'עלויות כח אדם (6)'!H2928='סיווג התפקידים והעלויות'!$D$2),IF('עלויות כח אדם (6)'!J2928&lt;75,"לא תקין","תקין"),"")</f>
        <v/>
      </c>
      <c r="AE2928" s="374" t="str">
        <f t="shared" si="689"/>
        <v/>
      </c>
      <c r="AF2928" s="532" t="str">
        <f t="shared" si="690"/>
        <v/>
      </c>
    </row>
    <row r="2929" spans="2:32" x14ac:dyDescent="0.25">
      <c r="B2929" s="695"/>
      <c r="C2929" s="197" t="str">
        <f>IF(B2929&lt;&gt;"",IFERROR(VLOOKUP(B:B,'מצבת והרשמה (2)'!$C$20:$N$520,2,0)," ")," ")</f>
        <v xml:space="preserve"> </v>
      </c>
      <c r="D2929" s="695"/>
      <c r="E2929" s="696"/>
      <c r="F2929" s="696"/>
      <c r="G2929" s="696"/>
      <c r="H2929" s="696"/>
      <c r="I2929" s="1050" t="str">
        <f t="shared" si="677"/>
        <v/>
      </c>
      <c r="J2929" s="696"/>
      <c r="K2929" s="697"/>
      <c r="L2929" s="696"/>
      <c r="M2929" s="198" t="str">
        <f t="shared" si="678"/>
        <v/>
      </c>
      <c r="N2929" s="369" t="str">
        <f t="shared" si="679"/>
        <v/>
      </c>
      <c r="O2929" s="183" t="str">
        <f t="shared" si="680"/>
        <v/>
      </c>
      <c r="P2929" s="199" t="str">
        <f t="shared" si="681"/>
        <v/>
      </c>
      <c r="Q2929" s="199" t="str">
        <f>IF(B2929="","",IFERROR(IF('עלויות כח אדם (6)'!J2929&gt;=VLOOKUP(I2929,'סיווג התפקידים והעלויות'!$B$23:$C$32,2,0),"תקין","לא תקין"),""))</f>
        <v/>
      </c>
      <c r="R2929" s="199" t="str">
        <f t="shared" si="682"/>
        <v/>
      </c>
      <c r="S2929" s="199" t="str">
        <f t="shared" si="683"/>
        <v/>
      </c>
      <c r="T2929" s="199" t="str">
        <f t="shared" si="691"/>
        <v/>
      </c>
      <c r="U2929" s="199" t="str">
        <f t="shared" si="684"/>
        <v/>
      </c>
      <c r="V2929" s="989"/>
      <c r="X2929" s="374" t="str">
        <f t="shared" si="685"/>
        <v/>
      </c>
      <c r="Y2929" s="375" t="str">
        <f t="shared" si="686"/>
        <v/>
      </c>
      <c r="Z2929" s="374" t="str">
        <f t="shared" si="687"/>
        <v/>
      </c>
      <c r="AA2929" s="374" t="b">
        <f t="shared" si="688"/>
        <v>1</v>
      </c>
      <c r="AB2929" s="374">
        <f>COUNTIFS(B:B,B2929,H:H,'סיווג התפקידים והעלויות'!$C$2)</f>
        <v>0</v>
      </c>
      <c r="AC2929" s="374">
        <f>COUNTIFS(B:B,B2929,H:H,'סיווג התפקידים והעלויות'!$D$2)</f>
        <v>0</v>
      </c>
      <c r="AD2929" s="374" t="str">
        <f>IF(OR(AND(H2929='סיווג התפקידים והעלויות'!$A$2,I2929='סיווג התפקידים והעלויות'!$A$3),'עלויות כח אדם (6)'!H2929='סיווג התפקידים והעלויות'!$C$2,'עלויות כח אדם (6)'!H2929='סיווג התפקידים והעלויות'!$D$2),IF('עלויות כח אדם (6)'!J2929&lt;75,"לא תקין","תקין"),"")</f>
        <v/>
      </c>
      <c r="AE2929" s="374" t="str">
        <f t="shared" si="689"/>
        <v/>
      </c>
      <c r="AF2929" s="532" t="str">
        <f t="shared" si="690"/>
        <v/>
      </c>
    </row>
    <row r="2930" spans="2:32" x14ac:dyDescent="0.25">
      <c r="B2930" s="695"/>
      <c r="C2930" s="197" t="str">
        <f>IF(B2930&lt;&gt;"",IFERROR(VLOOKUP(B:B,'מצבת והרשמה (2)'!$C$20:$N$520,2,0)," ")," ")</f>
        <v xml:space="preserve"> </v>
      </c>
      <c r="D2930" s="695"/>
      <c r="E2930" s="696"/>
      <c r="F2930" s="696"/>
      <c r="G2930" s="696"/>
      <c r="H2930" s="696"/>
      <c r="I2930" s="1050" t="str">
        <f t="shared" si="677"/>
        <v/>
      </c>
      <c r="J2930" s="696"/>
      <c r="K2930" s="697"/>
      <c r="L2930" s="696"/>
      <c r="M2930" s="198" t="str">
        <f t="shared" si="678"/>
        <v/>
      </c>
      <c r="N2930" s="369" t="str">
        <f t="shared" si="679"/>
        <v/>
      </c>
      <c r="O2930" s="183" t="str">
        <f t="shared" si="680"/>
        <v/>
      </c>
      <c r="P2930" s="199" t="str">
        <f t="shared" si="681"/>
        <v/>
      </c>
      <c r="Q2930" s="199" t="str">
        <f>IF(B2930="","",IFERROR(IF('עלויות כח אדם (6)'!J2930&gt;=VLOOKUP(I2930,'סיווג התפקידים והעלויות'!$B$23:$C$32,2,0),"תקין","לא תקין"),""))</f>
        <v/>
      </c>
      <c r="R2930" s="199" t="str">
        <f t="shared" si="682"/>
        <v/>
      </c>
      <c r="S2930" s="199" t="str">
        <f t="shared" si="683"/>
        <v/>
      </c>
      <c r="T2930" s="199" t="str">
        <f t="shared" si="691"/>
        <v/>
      </c>
      <c r="U2930" s="199" t="str">
        <f t="shared" si="684"/>
        <v/>
      </c>
      <c r="V2930" s="989"/>
      <c r="X2930" s="374" t="str">
        <f t="shared" si="685"/>
        <v/>
      </c>
      <c r="Y2930" s="375" t="str">
        <f t="shared" si="686"/>
        <v/>
      </c>
      <c r="Z2930" s="374" t="str">
        <f t="shared" si="687"/>
        <v/>
      </c>
      <c r="AA2930" s="374" t="b">
        <f t="shared" si="688"/>
        <v>1</v>
      </c>
      <c r="AB2930" s="374">
        <f>COUNTIFS(B:B,B2930,H:H,'סיווג התפקידים והעלויות'!$C$2)</f>
        <v>0</v>
      </c>
      <c r="AC2930" s="374">
        <f>COUNTIFS(B:B,B2930,H:H,'סיווג התפקידים והעלויות'!$D$2)</f>
        <v>0</v>
      </c>
      <c r="AD2930" s="374" t="str">
        <f>IF(OR(AND(H2930='סיווג התפקידים והעלויות'!$A$2,I2930='סיווג התפקידים והעלויות'!$A$3),'עלויות כח אדם (6)'!H2930='סיווג התפקידים והעלויות'!$C$2,'עלויות כח אדם (6)'!H2930='סיווג התפקידים והעלויות'!$D$2),IF('עלויות כח אדם (6)'!J2930&lt;75,"לא תקין","תקין"),"")</f>
        <v/>
      </c>
      <c r="AE2930" s="374" t="str">
        <f t="shared" si="689"/>
        <v/>
      </c>
      <c r="AF2930" s="532" t="str">
        <f t="shared" si="690"/>
        <v/>
      </c>
    </row>
    <row r="2931" spans="2:32" x14ac:dyDescent="0.25">
      <c r="B2931" s="695"/>
      <c r="C2931" s="197" t="str">
        <f>IF(B2931&lt;&gt;"",IFERROR(VLOOKUP(B:B,'מצבת והרשמה (2)'!$C$20:$N$520,2,0)," ")," ")</f>
        <v xml:space="preserve"> </v>
      </c>
      <c r="D2931" s="695"/>
      <c r="E2931" s="696"/>
      <c r="F2931" s="696"/>
      <c r="G2931" s="696"/>
      <c r="H2931" s="696"/>
      <c r="I2931" s="1050" t="str">
        <f t="shared" si="677"/>
        <v/>
      </c>
      <c r="J2931" s="696"/>
      <c r="K2931" s="697"/>
      <c r="L2931" s="696"/>
      <c r="M2931" s="198" t="str">
        <f t="shared" si="678"/>
        <v/>
      </c>
      <c r="N2931" s="369" t="str">
        <f t="shared" si="679"/>
        <v/>
      </c>
      <c r="O2931" s="183" t="str">
        <f t="shared" si="680"/>
        <v/>
      </c>
      <c r="P2931" s="199" t="str">
        <f t="shared" si="681"/>
        <v/>
      </c>
      <c r="Q2931" s="199" t="str">
        <f>IF(B2931="","",IFERROR(IF('עלויות כח אדם (6)'!J2931&gt;=VLOOKUP(I2931,'סיווג התפקידים והעלויות'!$B$23:$C$32,2,0),"תקין","לא תקין"),""))</f>
        <v/>
      </c>
      <c r="R2931" s="199" t="str">
        <f t="shared" si="682"/>
        <v/>
      </c>
      <c r="S2931" s="199" t="str">
        <f t="shared" si="683"/>
        <v/>
      </c>
      <c r="T2931" s="199" t="str">
        <f t="shared" si="691"/>
        <v/>
      </c>
      <c r="U2931" s="199" t="str">
        <f t="shared" si="684"/>
        <v/>
      </c>
      <c r="V2931" s="989"/>
      <c r="X2931" s="374" t="str">
        <f t="shared" si="685"/>
        <v/>
      </c>
      <c r="Y2931" s="375" t="str">
        <f t="shared" si="686"/>
        <v/>
      </c>
      <c r="Z2931" s="374" t="str">
        <f t="shared" si="687"/>
        <v/>
      </c>
      <c r="AA2931" s="374" t="b">
        <f t="shared" si="688"/>
        <v>1</v>
      </c>
      <c r="AB2931" s="374">
        <f>COUNTIFS(B:B,B2931,H:H,'סיווג התפקידים והעלויות'!$C$2)</f>
        <v>0</v>
      </c>
      <c r="AC2931" s="374">
        <f>COUNTIFS(B:B,B2931,H:H,'סיווג התפקידים והעלויות'!$D$2)</f>
        <v>0</v>
      </c>
      <c r="AD2931" s="374" t="str">
        <f>IF(OR(AND(H2931='סיווג התפקידים והעלויות'!$A$2,I2931='סיווג התפקידים והעלויות'!$A$3),'עלויות כח אדם (6)'!H2931='סיווג התפקידים והעלויות'!$C$2,'עלויות כח אדם (6)'!H2931='סיווג התפקידים והעלויות'!$D$2),IF('עלויות כח אדם (6)'!J2931&lt;75,"לא תקין","תקין"),"")</f>
        <v/>
      </c>
      <c r="AE2931" s="374" t="str">
        <f t="shared" si="689"/>
        <v/>
      </c>
      <c r="AF2931" s="532" t="str">
        <f t="shared" si="690"/>
        <v/>
      </c>
    </row>
    <row r="2932" spans="2:32" x14ac:dyDescent="0.25">
      <c r="B2932" s="695"/>
      <c r="C2932" s="197" t="str">
        <f>IF(B2932&lt;&gt;"",IFERROR(VLOOKUP(B:B,'מצבת והרשמה (2)'!$C$20:$N$520,2,0)," ")," ")</f>
        <v xml:space="preserve"> </v>
      </c>
      <c r="D2932" s="695"/>
      <c r="E2932" s="696"/>
      <c r="F2932" s="696"/>
      <c r="G2932" s="696"/>
      <c r="H2932" s="696"/>
      <c r="I2932" s="1050" t="str">
        <f t="shared" si="677"/>
        <v/>
      </c>
      <c r="J2932" s="696"/>
      <c r="K2932" s="697"/>
      <c r="L2932" s="696"/>
      <c r="M2932" s="198" t="str">
        <f t="shared" si="678"/>
        <v/>
      </c>
      <c r="N2932" s="369" t="str">
        <f t="shared" si="679"/>
        <v/>
      </c>
      <c r="O2932" s="183" t="str">
        <f t="shared" si="680"/>
        <v/>
      </c>
      <c r="P2932" s="199" t="str">
        <f t="shared" si="681"/>
        <v/>
      </c>
      <c r="Q2932" s="199" t="str">
        <f>IF(B2932="","",IFERROR(IF('עלויות כח אדם (6)'!J2932&gt;=VLOOKUP(I2932,'סיווג התפקידים והעלויות'!$B$23:$C$32,2,0),"תקין","לא תקין"),""))</f>
        <v/>
      </c>
      <c r="R2932" s="199" t="str">
        <f t="shared" si="682"/>
        <v/>
      </c>
      <c r="S2932" s="199" t="str">
        <f t="shared" si="683"/>
        <v/>
      </c>
      <c r="T2932" s="199" t="str">
        <f t="shared" si="691"/>
        <v/>
      </c>
      <c r="U2932" s="199" t="str">
        <f t="shared" si="684"/>
        <v/>
      </c>
      <c r="V2932" s="989"/>
      <c r="X2932" s="374" t="str">
        <f t="shared" si="685"/>
        <v/>
      </c>
      <c r="Y2932" s="375" t="str">
        <f t="shared" si="686"/>
        <v/>
      </c>
      <c r="Z2932" s="374" t="str">
        <f t="shared" si="687"/>
        <v/>
      </c>
      <c r="AA2932" s="374" t="b">
        <f t="shared" si="688"/>
        <v>1</v>
      </c>
      <c r="AB2932" s="374">
        <f>COUNTIFS(B:B,B2932,H:H,'סיווג התפקידים והעלויות'!$C$2)</f>
        <v>0</v>
      </c>
      <c r="AC2932" s="374">
        <f>COUNTIFS(B:B,B2932,H:H,'סיווג התפקידים והעלויות'!$D$2)</f>
        <v>0</v>
      </c>
      <c r="AD2932" s="374" t="str">
        <f>IF(OR(AND(H2932='סיווג התפקידים והעלויות'!$A$2,I2932='סיווג התפקידים והעלויות'!$A$3),'עלויות כח אדם (6)'!H2932='סיווג התפקידים והעלויות'!$C$2,'עלויות כח אדם (6)'!H2932='סיווג התפקידים והעלויות'!$D$2),IF('עלויות כח אדם (6)'!J2932&lt;75,"לא תקין","תקין"),"")</f>
        <v/>
      </c>
      <c r="AE2932" s="374" t="str">
        <f t="shared" si="689"/>
        <v/>
      </c>
      <c r="AF2932" s="532" t="str">
        <f t="shared" si="690"/>
        <v/>
      </c>
    </row>
    <row r="2933" spans="2:32" x14ac:dyDescent="0.25">
      <c r="B2933" s="695"/>
      <c r="C2933" s="197" t="str">
        <f>IF(B2933&lt;&gt;"",IFERROR(VLOOKUP(B:B,'מצבת והרשמה (2)'!$C$20:$N$520,2,0)," ")," ")</f>
        <v xml:space="preserve"> </v>
      </c>
      <c r="D2933" s="695"/>
      <c r="E2933" s="696"/>
      <c r="F2933" s="696"/>
      <c r="G2933" s="696"/>
      <c r="H2933" s="696"/>
      <c r="I2933" s="1050" t="str">
        <f t="shared" si="677"/>
        <v/>
      </c>
      <c r="J2933" s="696"/>
      <c r="K2933" s="697"/>
      <c r="L2933" s="696"/>
      <c r="M2933" s="198" t="str">
        <f t="shared" si="678"/>
        <v/>
      </c>
      <c r="N2933" s="369" t="str">
        <f t="shared" si="679"/>
        <v/>
      </c>
      <c r="O2933" s="183" t="str">
        <f t="shared" si="680"/>
        <v/>
      </c>
      <c r="P2933" s="199" t="str">
        <f t="shared" si="681"/>
        <v/>
      </c>
      <c r="Q2933" s="199" t="str">
        <f>IF(B2933="","",IFERROR(IF('עלויות כח אדם (6)'!J2933&gt;=VLOOKUP(I2933,'סיווג התפקידים והעלויות'!$B$23:$C$32,2,0),"תקין","לא תקין"),""))</f>
        <v/>
      </c>
      <c r="R2933" s="199" t="str">
        <f t="shared" si="682"/>
        <v/>
      </c>
      <c r="S2933" s="199" t="str">
        <f t="shared" si="683"/>
        <v/>
      </c>
      <c r="T2933" s="199" t="str">
        <f t="shared" si="691"/>
        <v/>
      </c>
      <c r="U2933" s="199" t="str">
        <f t="shared" si="684"/>
        <v/>
      </c>
      <c r="V2933" s="989"/>
      <c r="X2933" s="374" t="str">
        <f t="shared" si="685"/>
        <v/>
      </c>
      <c r="Y2933" s="375" t="str">
        <f t="shared" si="686"/>
        <v/>
      </c>
      <c r="Z2933" s="374" t="str">
        <f t="shared" si="687"/>
        <v/>
      </c>
      <c r="AA2933" s="374" t="b">
        <f t="shared" si="688"/>
        <v>1</v>
      </c>
      <c r="AB2933" s="374">
        <f>COUNTIFS(B:B,B2933,H:H,'סיווג התפקידים והעלויות'!$C$2)</f>
        <v>0</v>
      </c>
      <c r="AC2933" s="374">
        <f>COUNTIFS(B:B,B2933,H:H,'סיווג התפקידים והעלויות'!$D$2)</f>
        <v>0</v>
      </c>
      <c r="AD2933" s="374" t="str">
        <f>IF(OR(AND(H2933='סיווג התפקידים והעלויות'!$A$2,I2933='סיווג התפקידים והעלויות'!$A$3),'עלויות כח אדם (6)'!H2933='סיווג התפקידים והעלויות'!$C$2,'עלויות כח אדם (6)'!H2933='סיווג התפקידים והעלויות'!$D$2),IF('עלויות כח אדם (6)'!J2933&lt;75,"לא תקין","תקין"),"")</f>
        <v/>
      </c>
      <c r="AE2933" s="374" t="str">
        <f t="shared" si="689"/>
        <v/>
      </c>
      <c r="AF2933" s="532" t="str">
        <f t="shared" si="690"/>
        <v/>
      </c>
    </row>
    <row r="2934" spans="2:32" x14ac:dyDescent="0.25">
      <c r="B2934" s="695"/>
      <c r="C2934" s="197" t="str">
        <f>IF(B2934&lt;&gt;"",IFERROR(VLOOKUP(B:B,'מצבת והרשמה (2)'!$C$20:$N$520,2,0)," ")," ")</f>
        <v xml:space="preserve"> </v>
      </c>
      <c r="D2934" s="695"/>
      <c r="E2934" s="696"/>
      <c r="F2934" s="696"/>
      <c r="G2934" s="696"/>
      <c r="H2934" s="696"/>
      <c r="I2934" s="1050" t="str">
        <f t="shared" si="677"/>
        <v/>
      </c>
      <c r="J2934" s="696"/>
      <c r="K2934" s="697"/>
      <c r="L2934" s="696"/>
      <c r="M2934" s="198" t="str">
        <f t="shared" si="678"/>
        <v/>
      </c>
      <c r="N2934" s="369" t="str">
        <f t="shared" si="679"/>
        <v/>
      </c>
      <c r="O2934" s="183" t="str">
        <f t="shared" si="680"/>
        <v/>
      </c>
      <c r="P2934" s="199" t="str">
        <f t="shared" si="681"/>
        <v/>
      </c>
      <c r="Q2934" s="199" t="str">
        <f>IF(B2934="","",IFERROR(IF('עלויות כח אדם (6)'!J2934&gt;=VLOOKUP(I2934,'סיווג התפקידים והעלויות'!$B$23:$C$32,2,0),"תקין","לא תקין"),""))</f>
        <v/>
      </c>
      <c r="R2934" s="199" t="str">
        <f t="shared" si="682"/>
        <v/>
      </c>
      <c r="S2934" s="199" t="str">
        <f t="shared" si="683"/>
        <v/>
      </c>
      <c r="T2934" s="199" t="str">
        <f t="shared" si="691"/>
        <v/>
      </c>
      <c r="U2934" s="199" t="str">
        <f t="shared" si="684"/>
        <v/>
      </c>
      <c r="V2934" s="989"/>
      <c r="X2934" s="374" t="str">
        <f t="shared" si="685"/>
        <v/>
      </c>
      <c r="Y2934" s="375" t="str">
        <f t="shared" si="686"/>
        <v/>
      </c>
      <c r="Z2934" s="374" t="str">
        <f t="shared" si="687"/>
        <v/>
      </c>
      <c r="AA2934" s="374" t="b">
        <f t="shared" si="688"/>
        <v>1</v>
      </c>
      <c r="AB2934" s="374">
        <f>COUNTIFS(B:B,B2934,H:H,'סיווג התפקידים והעלויות'!$C$2)</f>
        <v>0</v>
      </c>
      <c r="AC2934" s="374">
        <f>COUNTIFS(B:B,B2934,H:H,'סיווג התפקידים והעלויות'!$D$2)</f>
        <v>0</v>
      </c>
      <c r="AD2934" s="374" t="str">
        <f>IF(OR(AND(H2934='סיווג התפקידים והעלויות'!$A$2,I2934='סיווג התפקידים והעלויות'!$A$3),'עלויות כח אדם (6)'!H2934='סיווג התפקידים והעלויות'!$C$2,'עלויות כח אדם (6)'!H2934='סיווג התפקידים והעלויות'!$D$2),IF('עלויות כח אדם (6)'!J2934&lt;75,"לא תקין","תקין"),"")</f>
        <v/>
      </c>
      <c r="AE2934" s="374" t="str">
        <f t="shared" si="689"/>
        <v/>
      </c>
      <c r="AF2934" s="532" t="str">
        <f t="shared" si="690"/>
        <v/>
      </c>
    </row>
    <row r="2935" spans="2:32" x14ac:dyDescent="0.25">
      <c r="B2935" s="695"/>
      <c r="C2935" s="197" t="str">
        <f>IF(B2935&lt;&gt;"",IFERROR(VLOOKUP(B:B,'מצבת והרשמה (2)'!$C$20:$N$520,2,0)," ")," ")</f>
        <v xml:space="preserve"> </v>
      </c>
      <c r="D2935" s="695"/>
      <c r="E2935" s="696"/>
      <c r="F2935" s="696"/>
      <c r="G2935" s="696"/>
      <c r="H2935" s="696"/>
      <c r="I2935" s="1050" t="str">
        <f t="shared" si="677"/>
        <v/>
      </c>
      <c r="J2935" s="696"/>
      <c r="K2935" s="697"/>
      <c r="L2935" s="696"/>
      <c r="M2935" s="198" t="str">
        <f t="shared" si="678"/>
        <v/>
      </c>
      <c r="N2935" s="369" t="str">
        <f t="shared" si="679"/>
        <v/>
      </c>
      <c r="O2935" s="183" t="str">
        <f t="shared" si="680"/>
        <v/>
      </c>
      <c r="P2935" s="199" t="str">
        <f t="shared" si="681"/>
        <v/>
      </c>
      <c r="Q2935" s="199" t="str">
        <f>IF(B2935="","",IFERROR(IF('עלויות כח אדם (6)'!J2935&gt;=VLOOKUP(I2935,'סיווג התפקידים והעלויות'!$B$23:$C$32,2,0),"תקין","לא תקין"),""))</f>
        <v/>
      </c>
      <c r="R2935" s="199" t="str">
        <f t="shared" si="682"/>
        <v/>
      </c>
      <c r="S2935" s="199" t="str">
        <f t="shared" si="683"/>
        <v/>
      </c>
      <c r="T2935" s="199" t="str">
        <f t="shared" si="691"/>
        <v/>
      </c>
      <c r="U2935" s="199" t="str">
        <f t="shared" si="684"/>
        <v/>
      </c>
      <c r="V2935" s="989"/>
      <c r="X2935" s="374" t="str">
        <f t="shared" si="685"/>
        <v/>
      </c>
      <c r="Y2935" s="375" t="str">
        <f t="shared" si="686"/>
        <v/>
      </c>
      <c r="Z2935" s="374" t="str">
        <f t="shared" si="687"/>
        <v/>
      </c>
      <c r="AA2935" s="374" t="b">
        <f t="shared" si="688"/>
        <v>1</v>
      </c>
      <c r="AB2935" s="374">
        <f>COUNTIFS(B:B,B2935,H:H,'סיווג התפקידים והעלויות'!$C$2)</f>
        <v>0</v>
      </c>
      <c r="AC2935" s="374">
        <f>COUNTIFS(B:B,B2935,H:H,'סיווג התפקידים והעלויות'!$D$2)</f>
        <v>0</v>
      </c>
      <c r="AD2935" s="374" t="str">
        <f>IF(OR(AND(H2935='סיווג התפקידים והעלויות'!$A$2,I2935='סיווג התפקידים והעלויות'!$A$3),'עלויות כח אדם (6)'!H2935='סיווג התפקידים והעלויות'!$C$2,'עלויות כח אדם (6)'!H2935='סיווג התפקידים והעלויות'!$D$2),IF('עלויות כח אדם (6)'!J2935&lt;75,"לא תקין","תקין"),"")</f>
        <v/>
      </c>
      <c r="AE2935" s="374" t="str">
        <f t="shared" si="689"/>
        <v/>
      </c>
      <c r="AF2935" s="532" t="str">
        <f t="shared" si="690"/>
        <v/>
      </c>
    </row>
    <row r="2936" spans="2:32" x14ac:dyDescent="0.25">
      <c r="B2936" s="695"/>
      <c r="C2936" s="197" t="str">
        <f>IF(B2936&lt;&gt;"",IFERROR(VLOOKUP(B:B,'מצבת והרשמה (2)'!$C$20:$N$520,2,0)," ")," ")</f>
        <v xml:space="preserve"> </v>
      </c>
      <c r="D2936" s="695"/>
      <c r="E2936" s="696"/>
      <c r="F2936" s="696"/>
      <c r="G2936" s="696"/>
      <c r="H2936" s="696"/>
      <c r="I2936" s="1050" t="str">
        <f t="shared" si="677"/>
        <v/>
      </c>
      <c r="J2936" s="696"/>
      <c r="K2936" s="697"/>
      <c r="L2936" s="696"/>
      <c r="M2936" s="198" t="str">
        <f t="shared" si="678"/>
        <v/>
      </c>
      <c r="N2936" s="369" t="str">
        <f t="shared" si="679"/>
        <v/>
      </c>
      <c r="O2936" s="183" t="str">
        <f t="shared" si="680"/>
        <v/>
      </c>
      <c r="P2936" s="199" t="str">
        <f t="shared" si="681"/>
        <v/>
      </c>
      <c r="Q2936" s="199" t="str">
        <f>IF(B2936="","",IFERROR(IF('עלויות כח אדם (6)'!J2936&gt;=VLOOKUP(I2936,'סיווג התפקידים והעלויות'!$B$23:$C$32,2,0),"תקין","לא תקין"),""))</f>
        <v/>
      </c>
      <c r="R2936" s="199" t="str">
        <f t="shared" si="682"/>
        <v/>
      </c>
      <c r="S2936" s="199" t="str">
        <f t="shared" si="683"/>
        <v/>
      </c>
      <c r="T2936" s="199" t="str">
        <f t="shared" si="691"/>
        <v/>
      </c>
      <c r="U2936" s="199" t="str">
        <f t="shared" si="684"/>
        <v/>
      </c>
      <c r="V2936" s="989"/>
      <c r="X2936" s="374" t="str">
        <f t="shared" si="685"/>
        <v/>
      </c>
      <c r="Y2936" s="375" t="str">
        <f t="shared" si="686"/>
        <v/>
      </c>
      <c r="Z2936" s="374" t="str">
        <f t="shared" si="687"/>
        <v/>
      </c>
      <c r="AA2936" s="374" t="b">
        <f t="shared" si="688"/>
        <v>1</v>
      </c>
      <c r="AB2936" s="374">
        <f>COUNTIFS(B:B,B2936,H:H,'סיווג התפקידים והעלויות'!$C$2)</f>
        <v>0</v>
      </c>
      <c r="AC2936" s="374">
        <f>COUNTIFS(B:B,B2936,H:H,'סיווג התפקידים והעלויות'!$D$2)</f>
        <v>0</v>
      </c>
      <c r="AD2936" s="374" t="str">
        <f>IF(OR(AND(H2936='סיווג התפקידים והעלויות'!$A$2,I2936='סיווג התפקידים והעלויות'!$A$3),'עלויות כח אדם (6)'!H2936='סיווג התפקידים והעלויות'!$C$2,'עלויות כח אדם (6)'!H2936='סיווג התפקידים והעלויות'!$D$2),IF('עלויות כח אדם (6)'!J2936&lt;75,"לא תקין","תקין"),"")</f>
        <v/>
      </c>
      <c r="AE2936" s="374" t="str">
        <f t="shared" si="689"/>
        <v/>
      </c>
      <c r="AF2936" s="532" t="str">
        <f t="shared" si="690"/>
        <v/>
      </c>
    </row>
    <row r="2937" spans="2:32" x14ac:dyDescent="0.25">
      <c r="B2937" s="695"/>
      <c r="C2937" s="197" t="str">
        <f>IF(B2937&lt;&gt;"",IFERROR(VLOOKUP(B:B,'מצבת והרשמה (2)'!$C$20:$N$520,2,0)," ")," ")</f>
        <v xml:space="preserve"> </v>
      </c>
      <c r="D2937" s="695"/>
      <c r="E2937" s="696"/>
      <c r="F2937" s="696"/>
      <c r="G2937" s="696"/>
      <c r="H2937" s="696"/>
      <c r="I2937" s="1050" t="str">
        <f t="shared" si="677"/>
        <v/>
      </c>
      <c r="J2937" s="696"/>
      <c r="K2937" s="697"/>
      <c r="L2937" s="696"/>
      <c r="M2937" s="198" t="str">
        <f t="shared" si="678"/>
        <v/>
      </c>
      <c r="N2937" s="369" t="str">
        <f t="shared" si="679"/>
        <v/>
      </c>
      <c r="O2937" s="183" t="str">
        <f t="shared" si="680"/>
        <v/>
      </c>
      <c r="P2937" s="199" t="str">
        <f t="shared" si="681"/>
        <v/>
      </c>
      <c r="Q2937" s="199" t="str">
        <f>IF(B2937="","",IFERROR(IF('עלויות כח אדם (6)'!J2937&gt;=VLOOKUP(I2937,'סיווג התפקידים והעלויות'!$B$23:$C$32,2,0),"תקין","לא תקין"),""))</f>
        <v/>
      </c>
      <c r="R2937" s="199" t="str">
        <f t="shared" si="682"/>
        <v/>
      </c>
      <c r="S2937" s="199" t="str">
        <f t="shared" si="683"/>
        <v/>
      </c>
      <c r="T2937" s="199" t="str">
        <f t="shared" si="691"/>
        <v/>
      </c>
      <c r="U2937" s="199" t="str">
        <f t="shared" si="684"/>
        <v/>
      </c>
      <c r="V2937" s="989"/>
      <c r="X2937" s="374" t="str">
        <f t="shared" si="685"/>
        <v/>
      </c>
      <c r="Y2937" s="375" t="str">
        <f t="shared" si="686"/>
        <v/>
      </c>
      <c r="Z2937" s="374" t="str">
        <f t="shared" si="687"/>
        <v/>
      </c>
      <c r="AA2937" s="374" t="b">
        <f t="shared" si="688"/>
        <v>1</v>
      </c>
      <c r="AB2937" s="374">
        <f>COUNTIFS(B:B,B2937,H:H,'סיווג התפקידים והעלויות'!$C$2)</f>
        <v>0</v>
      </c>
      <c r="AC2937" s="374">
        <f>COUNTIFS(B:B,B2937,H:H,'סיווג התפקידים והעלויות'!$D$2)</f>
        <v>0</v>
      </c>
      <c r="AD2937" s="374" t="str">
        <f>IF(OR(AND(H2937='סיווג התפקידים והעלויות'!$A$2,I2937='סיווג התפקידים והעלויות'!$A$3),'עלויות כח אדם (6)'!H2937='סיווג התפקידים והעלויות'!$C$2,'עלויות כח אדם (6)'!H2937='סיווג התפקידים והעלויות'!$D$2),IF('עלויות כח אדם (6)'!J2937&lt;75,"לא תקין","תקין"),"")</f>
        <v/>
      </c>
      <c r="AE2937" s="374" t="str">
        <f t="shared" si="689"/>
        <v/>
      </c>
      <c r="AF2937" s="532" t="str">
        <f t="shared" si="690"/>
        <v/>
      </c>
    </row>
    <row r="2938" spans="2:32" x14ac:dyDescent="0.25">
      <c r="B2938" s="695"/>
      <c r="C2938" s="197" t="str">
        <f>IF(B2938&lt;&gt;"",IFERROR(VLOOKUP(B:B,'מצבת והרשמה (2)'!$C$20:$N$520,2,0)," ")," ")</f>
        <v xml:space="preserve"> </v>
      </c>
      <c r="D2938" s="695"/>
      <c r="E2938" s="696"/>
      <c r="F2938" s="696"/>
      <c r="G2938" s="696"/>
      <c r="H2938" s="696"/>
      <c r="I2938" s="1050" t="str">
        <f t="shared" si="677"/>
        <v/>
      </c>
      <c r="J2938" s="696"/>
      <c r="K2938" s="697"/>
      <c r="L2938" s="696"/>
      <c r="M2938" s="198" t="str">
        <f t="shared" si="678"/>
        <v/>
      </c>
      <c r="N2938" s="369" t="str">
        <f t="shared" si="679"/>
        <v/>
      </c>
      <c r="O2938" s="183" t="str">
        <f t="shared" si="680"/>
        <v/>
      </c>
      <c r="P2938" s="199" t="str">
        <f t="shared" si="681"/>
        <v/>
      </c>
      <c r="Q2938" s="199" t="str">
        <f>IF(B2938="","",IFERROR(IF('עלויות כח אדם (6)'!J2938&gt;=VLOOKUP(I2938,'סיווג התפקידים והעלויות'!$B$23:$C$32,2,0),"תקין","לא תקין"),""))</f>
        <v/>
      </c>
      <c r="R2938" s="199" t="str">
        <f t="shared" si="682"/>
        <v/>
      </c>
      <c r="S2938" s="199" t="str">
        <f t="shared" si="683"/>
        <v/>
      </c>
      <c r="T2938" s="199" t="str">
        <f t="shared" si="691"/>
        <v/>
      </c>
      <c r="U2938" s="199" t="str">
        <f t="shared" si="684"/>
        <v/>
      </c>
      <c r="V2938" s="989"/>
      <c r="X2938" s="374" t="str">
        <f t="shared" si="685"/>
        <v/>
      </c>
      <c r="Y2938" s="375" t="str">
        <f t="shared" si="686"/>
        <v/>
      </c>
      <c r="Z2938" s="374" t="str">
        <f t="shared" si="687"/>
        <v/>
      </c>
      <c r="AA2938" s="374" t="b">
        <f t="shared" si="688"/>
        <v>1</v>
      </c>
      <c r="AB2938" s="374">
        <f>COUNTIFS(B:B,B2938,H:H,'סיווג התפקידים והעלויות'!$C$2)</f>
        <v>0</v>
      </c>
      <c r="AC2938" s="374">
        <f>COUNTIFS(B:B,B2938,H:H,'סיווג התפקידים והעלויות'!$D$2)</f>
        <v>0</v>
      </c>
      <c r="AD2938" s="374" t="str">
        <f>IF(OR(AND(H2938='סיווג התפקידים והעלויות'!$A$2,I2938='סיווג התפקידים והעלויות'!$A$3),'עלויות כח אדם (6)'!H2938='סיווג התפקידים והעלויות'!$C$2,'עלויות כח אדם (6)'!H2938='סיווג התפקידים והעלויות'!$D$2),IF('עלויות כח אדם (6)'!J2938&lt;75,"לא תקין","תקין"),"")</f>
        <v/>
      </c>
      <c r="AE2938" s="374" t="str">
        <f t="shared" si="689"/>
        <v/>
      </c>
      <c r="AF2938" s="532" t="str">
        <f t="shared" si="690"/>
        <v/>
      </c>
    </row>
    <row r="2939" spans="2:32" x14ac:dyDescent="0.25">
      <c r="B2939" s="695"/>
      <c r="C2939" s="197" t="str">
        <f>IF(B2939&lt;&gt;"",IFERROR(VLOOKUP(B:B,'מצבת והרשמה (2)'!$C$20:$N$520,2,0)," ")," ")</f>
        <v xml:space="preserve"> </v>
      </c>
      <c r="D2939" s="695"/>
      <c r="E2939" s="696"/>
      <c r="F2939" s="696"/>
      <c r="G2939" s="696"/>
      <c r="H2939" s="696"/>
      <c r="I2939" s="1050" t="str">
        <f t="shared" si="677"/>
        <v/>
      </c>
      <c r="J2939" s="696"/>
      <c r="K2939" s="697"/>
      <c r="L2939" s="696"/>
      <c r="M2939" s="198" t="str">
        <f t="shared" si="678"/>
        <v/>
      </c>
      <c r="N2939" s="369" t="str">
        <f t="shared" si="679"/>
        <v/>
      </c>
      <c r="O2939" s="183" t="str">
        <f t="shared" si="680"/>
        <v/>
      </c>
      <c r="P2939" s="199" t="str">
        <f t="shared" si="681"/>
        <v/>
      </c>
      <c r="Q2939" s="199" t="str">
        <f>IF(B2939="","",IFERROR(IF('עלויות כח אדם (6)'!J2939&gt;=VLOOKUP(I2939,'סיווג התפקידים והעלויות'!$B$23:$C$32,2,0),"תקין","לא תקין"),""))</f>
        <v/>
      </c>
      <c r="R2939" s="199" t="str">
        <f t="shared" si="682"/>
        <v/>
      </c>
      <c r="S2939" s="199" t="str">
        <f t="shared" si="683"/>
        <v/>
      </c>
      <c r="T2939" s="199" t="str">
        <f t="shared" si="691"/>
        <v/>
      </c>
      <c r="U2939" s="199" t="str">
        <f t="shared" si="684"/>
        <v/>
      </c>
      <c r="V2939" s="989"/>
      <c r="X2939" s="374" t="str">
        <f t="shared" si="685"/>
        <v/>
      </c>
      <c r="Y2939" s="375" t="str">
        <f t="shared" si="686"/>
        <v/>
      </c>
      <c r="Z2939" s="374" t="str">
        <f t="shared" si="687"/>
        <v/>
      </c>
      <c r="AA2939" s="374" t="b">
        <f t="shared" si="688"/>
        <v>1</v>
      </c>
      <c r="AB2939" s="374">
        <f>COUNTIFS(B:B,B2939,H:H,'סיווג התפקידים והעלויות'!$C$2)</f>
        <v>0</v>
      </c>
      <c r="AC2939" s="374">
        <f>COUNTIFS(B:B,B2939,H:H,'סיווג התפקידים והעלויות'!$D$2)</f>
        <v>0</v>
      </c>
      <c r="AD2939" s="374" t="str">
        <f>IF(OR(AND(H2939='סיווג התפקידים והעלויות'!$A$2,I2939='סיווג התפקידים והעלויות'!$A$3),'עלויות כח אדם (6)'!H2939='סיווג התפקידים והעלויות'!$C$2,'עלויות כח אדם (6)'!H2939='סיווג התפקידים והעלויות'!$D$2),IF('עלויות כח אדם (6)'!J2939&lt;75,"לא תקין","תקין"),"")</f>
        <v/>
      </c>
      <c r="AE2939" s="374" t="str">
        <f t="shared" si="689"/>
        <v/>
      </c>
      <c r="AF2939" s="532" t="str">
        <f t="shared" si="690"/>
        <v/>
      </c>
    </row>
    <row r="2940" spans="2:32" x14ac:dyDescent="0.25">
      <c r="B2940" s="695"/>
      <c r="C2940" s="197" t="str">
        <f>IF(B2940&lt;&gt;"",IFERROR(VLOOKUP(B:B,'מצבת והרשמה (2)'!$C$20:$N$520,2,0)," ")," ")</f>
        <v xml:space="preserve"> </v>
      </c>
      <c r="D2940" s="695"/>
      <c r="E2940" s="696"/>
      <c r="F2940" s="696"/>
      <c r="G2940" s="696"/>
      <c r="H2940" s="696"/>
      <c r="I2940" s="1050" t="str">
        <f t="shared" si="677"/>
        <v/>
      </c>
      <c r="J2940" s="696"/>
      <c r="K2940" s="697"/>
      <c r="L2940" s="696"/>
      <c r="M2940" s="198" t="str">
        <f t="shared" si="678"/>
        <v/>
      </c>
      <c r="N2940" s="369" t="str">
        <f t="shared" si="679"/>
        <v/>
      </c>
      <c r="O2940" s="183" t="str">
        <f t="shared" si="680"/>
        <v/>
      </c>
      <c r="P2940" s="199" t="str">
        <f t="shared" si="681"/>
        <v/>
      </c>
      <c r="Q2940" s="199" t="str">
        <f>IF(B2940="","",IFERROR(IF('עלויות כח אדם (6)'!J2940&gt;=VLOOKUP(I2940,'סיווג התפקידים והעלויות'!$B$23:$C$32,2,0),"תקין","לא תקין"),""))</f>
        <v/>
      </c>
      <c r="R2940" s="199" t="str">
        <f t="shared" si="682"/>
        <v/>
      </c>
      <c r="S2940" s="199" t="str">
        <f t="shared" si="683"/>
        <v/>
      </c>
      <c r="T2940" s="199" t="str">
        <f t="shared" si="691"/>
        <v/>
      </c>
      <c r="U2940" s="199" t="str">
        <f t="shared" si="684"/>
        <v/>
      </c>
      <c r="V2940" s="989"/>
      <c r="X2940" s="374" t="str">
        <f t="shared" si="685"/>
        <v/>
      </c>
      <c r="Y2940" s="375" t="str">
        <f t="shared" si="686"/>
        <v/>
      </c>
      <c r="Z2940" s="374" t="str">
        <f t="shared" si="687"/>
        <v/>
      </c>
      <c r="AA2940" s="374" t="b">
        <f t="shared" si="688"/>
        <v>1</v>
      </c>
      <c r="AB2940" s="374">
        <f>COUNTIFS(B:B,B2940,H:H,'סיווג התפקידים והעלויות'!$C$2)</f>
        <v>0</v>
      </c>
      <c r="AC2940" s="374">
        <f>COUNTIFS(B:B,B2940,H:H,'סיווג התפקידים והעלויות'!$D$2)</f>
        <v>0</v>
      </c>
      <c r="AD2940" s="374" t="str">
        <f>IF(OR(AND(H2940='סיווג התפקידים והעלויות'!$A$2,I2940='סיווג התפקידים והעלויות'!$A$3),'עלויות כח אדם (6)'!H2940='סיווג התפקידים והעלויות'!$C$2,'עלויות כח אדם (6)'!H2940='סיווג התפקידים והעלויות'!$D$2),IF('עלויות כח אדם (6)'!J2940&lt;75,"לא תקין","תקין"),"")</f>
        <v/>
      </c>
      <c r="AE2940" s="374" t="str">
        <f t="shared" si="689"/>
        <v/>
      </c>
      <c r="AF2940" s="532" t="str">
        <f t="shared" si="690"/>
        <v/>
      </c>
    </row>
    <row r="2941" spans="2:32" x14ac:dyDescent="0.25">
      <c r="B2941" s="695"/>
      <c r="C2941" s="197" t="str">
        <f>IF(B2941&lt;&gt;"",IFERROR(VLOOKUP(B:B,'מצבת והרשמה (2)'!$C$20:$N$520,2,0)," ")," ")</f>
        <v xml:space="preserve"> </v>
      </c>
      <c r="D2941" s="695"/>
      <c r="E2941" s="696"/>
      <c r="F2941" s="696"/>
      <c r="G2941" s="696"/>
      <c r="H2941" s="696"/>
      <c r="I2941" s="1050" t="str">
        <f t="shared" si="677"/>
        <v/>
      </c>
      <c r="J2941" s="696"/>
      <c r="K2941" s="697"/>
      <c r="L2941" s="696"/>
      <c r="M2941" s="198" t="str">
        <f t="shared" si="678"/>
        <v/>
      </c>
      <c r="N2941" s="369" t="str">
        <f t="shared" si="679"/>
        <v/>
      </c>
      <c r="O2941" s="183" t="str">
        <f t="shared" si="680"/>
        <v/>
      </c>
      <c r="P2941" s="199" t="str">
        <f t="shared" si="681"/>
        <v/>
      </c>
      <c r="Q2941" s="199" t="str">
        <f>IF(B2941="","",IFERROR(IF('עלויות כח אדם (6)'!J2941&gt;=VLOOKUP(I2941,'סיווג התפקידים והעלויות'!$B$23:$C$32,2,0),"תקין","לא תקין"),""))</f>
        <v/>
      </c>
      <c r="R2941" s="199" t="str">
        <f t="shared" si="682"/>
        <v/>
      </c>
      <c r="S2941" s="199" t="str">
        <f t="shared" si="683"/>
        <v/>
      </c>
      <c r="T2941" s="199" t="str">
        <f t="shared" si="691"/>
        <v/>
      </c>
      <c r="U2941" s="199" t="str">
        <f t="shared" si="684"/>
        <v/>
      </c>
      <c r="V2941" s="989"/>
      <c r="X2941" s="374" t="str">
        <f t="shared" si="685"/>
        <v/>
      </c>
      <c r="Y2941" s="375" t="str">
        <f t="shared" si="686"/>
        <v/>
      </c>
      <c r="Z2941" s="374" t="str">
        <f t="shared" si="687"/>
        <v/>
      </c>
      <c r="AA2941" s="374" t="b">
        <f t="shared" si="688"/>
        <v>1</v>
      </c>
      <c r="AB2941" s="374">
        <f>COUNTIFS(B:B,B2941,H:H,'סיווג התפקידים והעלויות'!$C$2)</f>
        <v>0</v>
      </c>
      <c r="AC2941" s="374">
        <f>COUNTIFS(B:B,B2941,H:H,'סיווג התפקידים והעלויות'!$D$2)</f>
        <v>0</v>
      </c>
      <c r="AD2941" s="374" t="str">
        <f>IF(OR(AND(H2941='סיווג התפקידים והעלויות'!$A$2,I2941='סיווג התפקידים והעלויות'!$A$3),'עלויות כח אדם (6)'!H2941='סיווג התפקידים והעלויות'!$C$2,'עלויות כח אדם (6)'!H2941='סיווג התפקידים והעלויות'!$D$2),IF('עלויות כח אדם (6)'!J2941&lt;75,"לא תקין","תקין"),"")</f>
        <v/>
      </c>
      <c r="AE2941" s="374" t="str">
        <f t="shared" si="689"/>
        <v/>
      </c>
      <c r="AF2941" s="532" t="str">
        <f t="shared" si="690"/>
        <v/>
      </c>
    </row>
    <row r="2942" spans="2:32" x14ac:dyDescent="0.25">
      <c r="B2942" s="695"/>
      <c r="C2942" s="197" t="str">
        <f>IF(B2942&lt;&gt;"",IFERROR(VLOOKUP(B:B,'מצבת והרשמה (2)'!$C$20:$N$520,2,0)," ")," ")</f>
        <v xml:space="preserve"> </v>
      </c>
      <c r="D2942" s="695"/>
      <c r="E2942" s="696"/>
      <c r="F2942" s="696"/>
      <c r="G2942" s="696"/>
      <c r="H2942" s="696"/>
      <c r="I2942" s="1050" t="str">
        <f t="shared" si="677"/>
        <v/>
      </c>
      <c r="J2942" s="696"/>
      <c r="K2942" s="697"/>
      <c r="L2942" s="696"/>
      <c r="M2942" s="198" t="str">
        <f t="shared" si="678"/>
        <v/>
      </c>
      <c r="N2942" s="369" t="str">
        <f t="shared" si="679"/>
        <v/>
      </c>
      <c r="O2942" s="183" t="str">
        <f t="shared" si="680"/>
        <v/>
      </c>
      <c r="P2942" s="199" t="str">
        <f t="shared" si="681"/>
        <v/>
      </c>
      <c r="Q2942" s="199" t="str">
        <f>IF(B2942="","",IFERROR(IF('עלויות כח אדם (6)'!J2942&gt;=VLOOKUP(I2942,'סיווג התפקידים והעלויות'!$B$23:$C$32,2,0),"תקין","לא תקין"),""))</f>
        <v/>
      </c>
      <c r="R2942" s="199" t="str">
        <f t="shared" si="682"/>
        <v/>
      </c>
      <c r="S2942" s="199" t="str">
        <f t="shared" si="683"/>
        <v/>
      </c>
      <c r="T2942" s="199" t="str">
        <f t="shared" si="691"/>
        <v/>
      </c>
      <c r="U2942" s="199" t="str">
        <f t="shared" si="684"/>
        <v/>
      </c>
      <c r="V2942" s="989"/>
      <c r="X2942" s="374" t="str">
        <f t="shared" si="685"/>
        <v/>
      </c>
      <c r="Y2942" s="375" t="str">
        <f t="shared" si="686"/>
        <v/>
      </c>
      <c r="Z2942" s="374" t="str">
        <f t="shared" si="687"/>
        <v/>
      </c>
      <c r="AA2942" s="374" t="b">
        <f t="shared" si="688"/>
        <v>1</v>
      </c>
      <c r="AB2942" s="374">
        <f>COUNTIFS(B:B,B2942,H:H,'סיווג התפקידים והעלויות'!$C$2)</f>
        <v>0</v>
      </c>
      <c r="AC2942" s="374">
        <f>COUNTIFS(B:B,B2942,H:H,'סיווג התפקידים והעלויות'!$D$2)</f>
        <v>0</v>
      </c>
      <c r="AD2942" s="374" t="str">
        <f>IF(OR(AND(H2942='סיווג התפקידים והעלויות'!$A$2,I2942='סיווג התפקידים והעלויות'!$A$3),'עלויות כח אדם (6)'!H2942='סיווג התפקידים והעלויות'!$C$2,'עלויות כח אדם (6)'!H2942='סיווג התפקידים והעלויות'!$D$2),IF('עלויות כח אדם (6)'!J2942&lt;75,"לא תקין","תקין"),"")</f>
        <v/>
      </c>
      <c r="AE2942" s="374" t="str">
        <f t="shared" si="689"/>
        <v/>
      </c>
      <c r="AF2942" s="532" t="str">
        <f t="shared" si="690"/>
        <v/>
      </c>
    </row>
    <row r="2943" spans="2:32" x14ac:dyDescent="0.25">
      <c r="B2943" s="695"/>
      <c r="C2943" s="197" t="str">
        <f>IF(B2943&lt;&gt;"",IFERROR(VLOOKUP(B:B,'מצבת והרשמה (2)'!$C$20:$N$520,2,0)," ")," ")</f>
        <v xml:space="preserve"> </v>
      </c>
      <c r="D2943" s="695"/>
      <c r="E2943" s="696"/>
      <c r="F2943" s="696"/>
      <c r="G2943" s="696"/>
      <c r="H2943" s="696"/>
      <c r="I2943" s="1050" t="str">
        <f t="shared" si="677"/>
        <v/>
      </c>
      <c r="J2943" s="696"/>
      <c r="K2943" s="697"/>
      <c r="L2943" s="696"/>
      <c r="M2943" s="198" t="str">
        <f t="shared" si="678"/>
        <v/>
      </c>
      <c r="N2943" s="369" t="str">
        <f t="shared" si="679"/>
        <v/>
      </c>
      <c r="O2943" s="183" t="str">
        <f t="shared" si="680"/>
        <v/>
      </c>
      <c r="P2943" s="199" t="str">
        <f t="shared" si="681"/>
        <v/>
      </c>
      <c r="Q2943" s="199" t="str">
        <f>IF(B2943="","",IFERROR(IF('עלויות כח אדם (6)'!J2943&gt;=VLOOKUP(I2943,'סיווג התפקידים והעלויות'!$B$23:$C$32,2,0),"תקין","לא תקין"),""))</f>
        <v/>
      </c>
      <c r="R2943" s="199" t="str">
        <f t="shared" si="682"/>
        <v/>
      </c>
      <c r="S2943" s="199" t="str">
        <f t="shared" si="683"/>
        <v/>
      </c>
      <c r="T2943" s="199" t="str">
        <f t="shared" si="691"/>
        <v/>
      </c>
      <c r="U2943" s="199" t="str">
        <f t="shared" si="684"/>
        <v/>
      </c>
      <c r="V2943" s="989"/>
      <c r="X2943" s="374" t="str">
        <f t="shared" si="685"/>
        <v/>
      </c>
      <c r="Y2943" s="375" t="str">
        <f t="shared" si="686"/>
        <v/>
      </c>
      <c r="Z2943" s="374" t="str">
        <f t="shared" si="687"/>
        <v/>
      </c>
      <c r="AA2943" s="374" t="b">
        <f t="shared" si="688"/>
        <v>1</v>
      </c>
      <c r="AB2943" s="374">
        <f>COUNTIFS(B:B,B2943,H:H,'סיווג התפקידים והעלויות'!$C$2)</f>
        <v>0</v>
      </c>
      <c r="AC2943" s="374">
        <f>COUNTIFS(B:B,B2943,H:H,'סיווג התפקידים והעלויות'!$D$2)</f>
        <v>0</v>
      </c>
      <c r="AD2943" s="374" t="str">
        <f>IF(OR(AND(H2943='סיווג התפקידים והעלויות'!$A$2,I2943='סיווג התפקידים והעלויות'!$A$3),'עלויות כח אדם (6)'!H2943='סיווג התפקידים והעלויות'!$C$2,'עלויות כח אדם (6)'!H2943='סיווג התפקידים והעלויות'!$D$2),IF('עלויות כח אדם (6)'!J2943&lt;75,"לא תקין","תקין"),"")</f>
        <v/>
      </c>
      <c r="AE2943" s="374" t="str">
        <f t="shared" si="689"/>
        <v/>
      </c>
      <c r="AF2943" s="532" t="str">
        <f t="shared" si="690"/>
        <v/>
      </c>
    </row>
    <row r="2944" spans="2:32" x14ac:dyDescent="0.25">
      <c r="B2944" s="695"/>
      <c r="C2944" s="197" t="str">
        <f>IF(B2944&lt;&gt;"",IFERROR(VLOOKUP(B:B,'מצבת והרשמה (2)'!$C$20:$N$520,2,0)," ")," ")</f>
        <v xml:space="preserve"> </v>
      </c>
      <c r="D2944" s="695"/>
      <c r="E2944" s="696"/>
      <c r="F2944" s="696"/>
      <c r="G2944" s="696"/>
      <c r="H2944" s="696"/>
      <c r="I2944" s="1050" t="str">
        <f t="shared" si="677"/>
        <v/>
      </c>
      <c r="J2944" s="696"/>
      <c r="K2944" s="697"/>
      <c r="L2944" s="696"/>
      <c r="M2944" s="198" t="str">
        <f t="shared" si="678"/>
        <v/>
      </c>
      <c r="N2944" s="369" t="str">
        <f t="shared" si="679"/>
        <v/>
      </c>
      <c r="O2944" s="183" t="str">
        <f t="shared" si="680"/>
        <v/>
      </c>
      <c r="P2944" s="199" t="str">
        <f t="shared" si="681"/>
        <v/>
      </c>
      <c r="Q2944" s="199" t="str">
        <f>IF(B2944="","",IFERROR(IF('עלויות כח אדם (6)'!J2944&gt;=VLOOKUP(I2944,'סיווג התפקידים והעלויות'!$B$23:$C$32,2,0),"תקין","לא תקין"),""))</f>
        <v/>
      </c>
      <c r="R2944" s="199" t="str">
        <f t="shared" si="682"/>
        <v/>
      </c>
      <c r="S2944" s="199" t="str">
        <f t="shared" si="683"/>
        <v/>
      </c>
      <c r="T2944" s="199" t="str">
        <f t="shared" si="691"/>
        <v/>
      </c>
      <c r="U2944" s="199" t="str">
        <f t="shared" si="684"/>
        <v/>
      </c>
      <c r="V2944" s="989"/>
      <c r="X2944" s="374" t="str">
        <f t="shared" si="685"/>
        <v/>
      </c>
      <c r="Y2944" s="375" t="str">
        <f t="shared" si="686"/>
        <v/>
      </c>
      <c r="Z2944" s="374" t="str">
        <f t="shared" si="687"/>
        <v/>
      </c>
      <c r="AA2944" s="374" t="b">
        <f t="shared" si="688"/>
        <v>1</v>
      </c>
      <c r="AB2944" s="374">
        <f>COUNTIFS(B:B,B2944,H:H,'סיווג התפקידים והעלויות'!$C$2)</f>
        <v>0</v>
      </c>
      <c r="AC2944" s="374">
        <f>COUNTIFS(B:B,B2944,H:H,'סיווג התפקידים והעלויות'!$D$2)</f>
        <v>0</v>
      </c>
      <c r="AD2944" s="374" t="str">
        <f>IF(OR(AND(H2944='סיווג התפקידים והעלויות'!$A$2,I2944='סיווג התפקידים והעלויות'!$A$3),'עלויות כח אדם (6)'!H2944='סיווג התפקידים והעלויות'!$C$2,'עלויות כח אדם (6)'!H2944='סיווג התפקידים והעלויות'!$D$2),IF('עלויות כח אדם (6)'!J2944&lt;75,"לא תקין","תקין"),"")</f>
        <v/>
      </c>
      <c r="AE2944" s="374" t="str">
        <f t="shared" si="689"/>
        <v/>
      </c>
      <c r="AF2944" s="532" t="str">
        <f t="shared" si="690"/>
        <v/>
      </c>
    </row>
    <row r="2945" spans="2:32" x14ac:dyDescent="0.25">
      <c r="B2945" s="695"/>
      <c r="C2945" s="197" t="str">
        <f>IF(B2945&lt;&gt;"",IFERROR(VLOOKUP(B:B,'מצבת והרשמה (2)'!$C$20:$N$520,2,0)," ")," ")</f>
        <v xml:space="preserve"> </v>
      </c>
      <c r="D2945" s="695"/>
      <c r="E2945" s="696"/>
      <c r="F2945" s="696"/>
      <c r="G2945" s="696"/>
      <c r="H2945" s="696"/>
      <c r="I2945" s="1050" t="str">
        <f t="shared" si="677"/>
        <v/>
      </c>
      <c r="J2945" s="696"/>
      <c r="K2945" s="697"/>
      <c r="L2945" s="696"/>
      <c r="M2945" s="198" t="str">
        <f t="shared" si="678"/>
        <v/>
      </c>
      <c r="N2945" s="369" t="str">
        <f t="shared" si="679"/>
        <v/>
      </c>
      <c r="O2945" s="183" t="str">
        <f t="shared" si="680"/>
        <v/>
      </c>
      <c r="P2945" s="199" t="str">
        <f t="shared" si="681"/>
        <v/>
      </c>
      <c r="Q2945" s="199" t="str">
        <f>IF(B2945="","",IFERROR(IF('עלויות כח אדם (6)'!J2945&gt;=VLOOKUP(I2945,'סיווג התפקידים והעלויות'!$B$23:$C$32,2,0),"תקין","לא תקין"),""))</f>
        <v/>
      </c>
      <c r="R2945" s="199" t="str">
        <f t="shared" si="682"/>
        <v/>
      </c>
      <c r="S2945" s="199" t="str">
        <f t="shared" si="683"/>
        <v/>
      </c>
      <c r="T2945" s="199" t="str">
        <f t="shared" si="691"/>
        <v/>
      </c>
      <c r="U2945" s="199" t="str">
        <f t="shared" si="684"/>
        <v/>
      </c>
      <c r="V2945" s="989"/>
      <c r="X2945" s="374" t="str">
        <f t="shared" si="685"/>
        <v/>
      </c>
      <c r="Y2945" s="375" t="str">
        <f t="shared" si="686"/>
        <v/>
      </c>
      <c r="Z2945" s="374" t="str">
        <f t="shared" si="687"/>
        <v/>
      </c>
      <c r="AA2945" s="374" t="b">
        <f t="shared" si="688"/>
        <v>1</v>
      </c>
      <c r="AB2945" s="374">
        <f>COUNTIFS(B:B,B2945,H:H,'סיווג התפקידים והעלויות'!$C$2)</f>
        <v>0</v>
      </c>
      <c r="AC2945" s="374">
        <f>COUNTIFS(B:B,B2945,H:H,'סיווג התפקידים והעלויות'!$D$2)</f>
        <v>0</v>
      </c>
      <c r="AD2945" s="374" t="str">
        <f>IF(OR(AND(H2945='סיווג התפקידים והעלויות'!$A$2,I2945='סיווג התפקידים והעלויות'!$A$3),'עלויות כח אדם (6)'!H2945='סיווג התפקידים והעלויות'!$C$2,'עלויות כח אדם (6)'!H2945='סיווג התפקידים והעלויות'!$D$2),IF('עלויות כח אדם (6)'!J2945&lt;75,"לא תקין","תקין"),"")</f>
        <v/>
      </c>
      <c r="AE2945" s="374" t="str">
        <f t="shared" si="689"/>
        <v/>
      </c>
      <c r="AF2945" s="532" t="str">
        <f t="shared" si="690"/>
        <v/>
      </c>
    </row>
    <row r="2946" spans="2:32" x14ac:dyDescent="0.25">
      <c r="B2946" s="695"/>
      <c r="C2946" s="197" t="str">
        <f>IF(B2946&lt;&gt;"",IFERROR(VLOOKUP(B:B,'מצבת והרשמה (2)'!$C$20:$N$520,2,0)," ")," ")</f>
        <v xml:space="preserve"> </v>
      </c>
      <c r="D2946" s="695"/>
      <c r="E2946" s="696"/>
      <c r="F2946" s="696"/>
      <c r="G2946" s="696"/>
      <c r="H2946" s="696"/>
      <c r="I2946" s="1050" t="str">
        <f t="shared" si="677"/>
        <v/>
      </c>
      <c r="J2946" s="696"/>
      <c r="K2946" s="697"/>
      <c r="L2946" s="696"/>
      <c r="M2946" s="198" t="str">
        <f t="shared" si="678"/>
        <v/>
      </c>
      <c r="N2946" s="369" t="str">
        <f t="shared" si="679"/>
        <v/>
      </c>
      <c r="O2946" s="183" t="str">
        <f t="shared" si="680"/>
        <v/>
      </c>
      <c r="P2946" s="199" t="str">
        <f t="shared" si="681"/>
        <v/>
      </c>
      <c r="Q2946" s="199" t="str">
        <f>IF(B2946="","",IFERROR(IF('עלויות כח אדם (6)'!J2946&gt;=VLOOKUP(I2946,'סיווג התפקידים והעלויות'!$B$23:$C$32,2,0),"תקין","לא תקין"),""))</f>
        <v/>
      </c>
      <c r="R2946" s="199" t="str">
        <f t="shared" si="682"/>
        <v/>
      </c>
      <c r="S2946" s="199" t="str">
        <f t="shared" si="683"/>
        <v/>
      </c>
      <c r="T2946" s="199" t="str">
        <f t="shared" si="691"/>
        <v/>
      </c>
      <c r="U2946" s="199" t="str">
        <f t="shared" si="684"/>
        <v/>
      </c>
      <c r="V2946" s="989"/>
      <c r="X2946" s="374" t="str">
        <f t="shared" si="685"/>
        <v/>
      </c>
      <c r="Y2946" s="375" t="str">
        <f t="shared" si="686"/>
        <v/>
      </c>
      <c r="Z2946" s="374" t="str">
        <f t="shared" si="687"/>
        <v/>
      </c>
      <c r="AA2946" s="374" t="b">
        <f t="shared" si="688"/>
        <v>1</v>
      </c>
      <c r="AB2946" s="374">
        <f>COUNTIFS(B:B,B2946,H:H,'סיווג התפקידים והעלויות'!$C$2)</f>
        <v>0</v>
      </c>
      <c r="AC2946" s="374">
        <f>COUNTIFS(B:B,B2946,H:H,'סיווג התפקידים והעלויות'!$D$2)</f>
        <v>0</v>
      </c>
      <c r="AD2946" s="374" t="str">
        <f>IF(OR(AND(H2946='סיווג התפקידים והעלויות'!$A$2,I2946='סיווג התפקידים והעלויות'!$A$3),'עלויות כח אדם (6)'!H2946='סיווג התפקידים והעלויות'!$C$2,'עלויות כח אדם (6)'!H2946='סיווג התפקידים והעלויות'!$D$2),IF('עלויות כח אדם (6)'!J2946&lt;75,"לא תקין","תקין"),"")</f>
        <v/>
      </c>
      <c r="AE2946" s="374" t="str">
        <f t="shared" si="689"/>
        <v/>
      </c>
      <c r="AF2946" s="532" t="str">
        <f t="shared" si="690"/>
        <v/>
      </c>
    </row>
    <row r="2947" spans="2:32" x14ac:dyDescent="0.25">
      <c r="B2947" s="695"/>
      <c r="C2947" s="197" t="str">
        <f>IF(B2947&lt;&gt;"",IFERROR(VLOOKUP(B:B,'מצבת והרשמה (2)'!$C$20:$N$520,2,0)," ")," ")</f>
        <v xml:space="preserve"> </v>
      </c>
      <c r="D2947" s="695"/>
      <c r="E2947" s="696"/>
      <c r="F2947" s="696"/>
      <c r="G2947" s="696"/>
      <c r="H2947" s="696"/>
      <c r="I2947" s="1050" t="str">
        <f t="shared" si="677"/>
        <v/>
      </c>
      <c r="J2947" s="696"/>
      <c r="K2947" s="697"/>
      <c r="L2947" s="696"/>
      <c r="M2947" s="198" t="str">
        <f t="shared" si="678"/>
        <v/>
      </c>
      <c r="N2947" s="369" t="str">
        <f t="shared" si="679"/>
        <v/>
      </c>
      <c r="O2947" s="183" t="str">
        <f t="shared" si="680"/>
        <v/>
      </c>
      <c r="P2947" s="199" t="str">
        <f t="shared" si="681"/>
        <v/>
      </c>
      <c r="Q2947" s="199" t="str">
        <f>IF(B2947="","",IFERROR(IF('עלויות כח אדם (6)'!J2947&gt;=VLOOKUP(I2947,'סיווג התפקידים והעלויות'!$B$23:$C$32,2,0),"תקין","לא תקין"),""))</f>
        <v/>
      </c>
      <c r="R2947" s="199" t="str">
        <f t="shared" si="682"/>
        <v/>
      </c>
      <c r="S2947" s="199" t="str">
        <f t="shared" si="683"/>
        <v/>
      </c>
      <c r="T2947" s="199" t="str">
        <f t="shared" si="691"/>
        <v/>
      </c>
      <c r="U2947" s="199" t="str">
        <f t="shared" si="684"/>
        <v/>
      </c>
      <c r="V2947" s="989"/>
      <c r="X2947" s="374" t="str">
        <f t="shared" si="685"/>
        <v/>
      </c>
      <c r="Y2947" s="375" t="str">
        <f t="shared" si="686"/>
        <v/>
      </c>
      <c r="Z2947" s="374" t="str">
        <f t="shared" si="687"/>
        <v/>
      </c>
      <c r="AA2947" s="374" t="b">
        <f t="shared" si="688"/>
        <v>1</v>
      </c>
      <c r="AB2947" s="374">
        <f>COUNTIFS(B:B,B2947,H:H,'סיווג התפקידים והעלויות'!$C$2)</f>
        <v>0</v>
      </c>
      <c r="AC2947" s="374">
        <f>COUNTIFS(B:B,B2947,H:H,'סיווג התפקידים והעלויות'!$D$2)</f>
        <v>0</v>
      </c>
      <c r="AD2947" s="374" t="str">
        <f>IF(OR(AND(H2947='סיווג התפקידים והעלויות'!$A$2,I2947='סיווג התפקידים והעלויות'!$A$3),'עלויות כח אדם (6)'!H2947='סיווג התפקידים והעלויות'!$C$2,'עלויות כח אדם (6)'!H2947='סיווג התפקידים והעלויות'!$D$2),IF('עלויות כח אדם (6)'!J2947&lt;75,"לא תקין","תקין"),"")</f>
        <v/>
      </c>
      <c r="AE2947" s="374" t="str">
        <f t="shared" si="689"/>
        <v/>
      </c>
      <c r="AF2947" s="532" t="str">
        <f t="shared" si="690"/>
        <v/>
      </c>
    </row>
    <row r="2948" spans="2:32" x14ac:dyDescent="0.25">
      <c r="B2948" s="695"/>
      <c r="C2948" s="197" t="str">
        <f>IF(B2948&lt;&gt;"",IFERROR(VLOOKUP(B:B,'מצבת והרשמה (2)'!$C$20:$N$520,2,0)," ")," ")</f>
        <v xml:space="preserve"> </v>
      </c>
      <c r="D2948" s="695"/>
      <c r="E2948" s="696"/>
      <c r="F2948" s="696"/>
      <c r="G2948" s="696"/>
      <c r="H2948" s="696"/>
      <c r="I2948" s="1050" t="str">
        <f t="shared" si="677"/>
        <v/>
      </c>
      <c r="J2948" s="696"/>
      <c r="K2948" s="697"/>
      <c r="L2948" s="696"/>
      <c r="M2948" s="198" t="str">
        <f t="shared" si="678"/>
        <v/>
      </c>
      <c r="N2948" s="369" t="str">
        <f t="shared" si="679"/>
        <v/>
      </c>
      <c r="O2948" s="183" t="str">
        <f t="shared" si="680"/>
        <v/>
      </c>
      <c r="P2948" s="199" t="str">
        <f t="shared" si="681"/>
        <v/>
      </c>
      <c r="Q2948" s="199" t="str">
        <f>IF(B2948="","",IFERROR(IF('עלויות כח אדם (6)'!J2948&gt;=VLOOKUP(I2948,'סיווג התפקידים והעלויות'!$B$23:$C$32,2,0),"תקין","לא תקין"),""))</f>
        <v/>
      </c>
      <c r="R2948" s="199" t="str">
        <f t="shared" si="682"/>
        <v/>
      </c>
      <c r="S2948" s="199" t="str">
        <f t="shared" si="683"/>
        <v/>
      </c>
      <c r="T2948" s="199" t="str">
        <f t="shared" si="691"/>
        <v/>
      </c>
      <c r="U2948" s="199" t="str">
        <f t="shared" si="684"/>
        <v/>
      </c>
      <c r="V2948" s="989"/>
      <c r="X2948" s="374" t="str">
        <f t="shared" si="685"/>
        <v/>
      </c>
      <c r="Y2948" s="375" t="str">
        <f t="shared" si="686"/>
        <v/>
      </c>
      <c r="Z2948" s="374" t="str">
        <f t="shared" si="687"/>
        <v/>
      </c>
      <c r="AA2948" s="374" t="b">
        <f t="shared" si="688"/>
        <v>1</v>
      </c>
      <c r="AB2948" s="374">
        <f>COUNTIFS(B:B,B2948,H:H,'סיווג התפקידים והעלויות'!$C$2)</f>
        <v>0</v>
      </c>
      <c r="AC2948" s="374">
        <f>COUNTIFS(B:B,B2948,H:H,'סיווג התפקידים והעלויות'!$D$2)</f>
        <v>0</v>
      </c>
      <c r="AD2948" s="374" t="str">
        <f>IF(OR(AND(H2948='סיווג התפקידים והעלויות'!$A$2,I2948='סיווג התפקידים והעלויות'!$A$3),'עלויות כח אדם (6)'!H2948='סיווג התפקידים והעלויות'!$C$2,'עלויות כח אדם (6)'!H2948='סיווג התפקידים והעלויות'!$D$2),IF('עלויות כח אדם (6)'!J2948&lt;75,"לא תקין","תקין"),"")</f>
        <v/>
      </c>
      <c r="AE2948" s="374" t="str">
        <f t="shared" si="689"/>
        <v/>
      </c>
      <c r="AF2948" s="532" t="str">
        <f t="shared" si="690"/>
        <v/>
      </c>
    </row>
    <row r="2949" spans="2:32" x14ac:dyDescent="0.25">
      <c r="B2949" s="695"/>
      <c r="C2949" s="197" t="str">
        <f>IF(B2949&lt;&gt;"",IFERROR(VLOOKUP(B:B,'מצבת והרשמה (2)'!$C$20:$N$520,2,0)," ")," ")</f>
        <v xml:space="preserve"> </v>
      </c>
      <c r="D2949" s="695"/>
      <c r="E2949" s="696"/>
      <c r="F2949" s="696"/>
      <c r="G2949" s="696"/>
      <c r="H2949" s="696"/>
      <c r="I2949" s="1050" t="str">
        <f t="shared" si="677"/>
        <v/>
      </c>
      <c r="J2949" s="696"/>
      <c r="K2949" s="697"/>
      <c r="L2949" s="696"/>
      <c r="M2949" s="198" t="str">
        <f t="shared" si="678"/>
        <v/>
      </c>
      <c r="N2949" s="369" t="str">
        <f t="shared" si="679"/>
        <v/>
      </c>
      <c r="O2949" s="183" t="str">
        <f t="shared" si="680"/>
        <v/>
      </c>
      <c r="P2949" s="199" t="str">
        <f t="shared" si="681"/>
        <v/>
      </c>
      <c r="Q2949" s="199" t="str">
        <f>IF(B2949="","",IFERROR(IF('עלויות כח אדם (6)'!J2949&gt;=VLOOKUP(I2949,'סיווג התפקידים והעלויות'!$B$23:$C$32,2,0),"תקין","לא תקין"),""))</f>
        <v/>
      </c>
      <c r="R2949" s="199" t="str">
        <f t="shared" si="682"/>
        <v/>
      </c>
      <c r="S2949" s="199" t="str">
        <f t="shared" si="683"/>
        <v/>
      </c>
      <c r="T2949" s="199" t="str">
        <f t="shared" si="691"/>
        <v/>
      </c>
      <c r="U2949" s="199" t="str">
        <f t="shared" si="684"/>
        <v/>
      </c>
      <c r="V2949" s="989"/>
      <c r="X2949" s="374" t="str">
        <f t="shared" si="685"/>
        <v/>
      </c>
      <c r="Y2949" s="375" t="str">
        <f t="shared" si="686"/>
        <v/>
      </c>
      <c r="Z2949" s="374" t="str">
        <f t="shared" si="687"/>
        <v/>
      </c>
      <c r="AA2949" s="374" t="b">
        <f t="shared" si="688"/>
        <v>1</v>
      </c>
      <c r="AB2949" s="374">
        <f>COUNTIFS(B:B,B2949,H:H,'סיווג התפקידים והעלויות'!$C$2)</f>
        <v>0</v>
      </c>
      <c r="AC2949" s="374">
        <f>COUNTIFS(B:B,B2949,H:H,'סיווג התפקידים והעלויות'!$D$2)</f>
        <v>0</v>
      </c>
      <c r="AD2949" s="374" t="str">
        <f>IF(OR(AND(H2949='סיווג התפקידים והעלויות'!$A$2,I2949='סיווג התפקידים והעלויות'!$A$3),'עלויות כח אדם (6)'!H2949='סיווג התפקידים והעלויות'!$C$2,'עלויות כח אדם (6)'!H2949='סיווג התפקידים והעלויות'!$D$2),IF('עלויות כח אדם (6)'!J2949&lt;75,"לא תקין","תקין"),"")</f>
        <v/>
      </c>
      <c r="AE2949" s="374" t="str">
        <f t="shared" si="689"/>
        <v/>
      </c>
      <c r="AF2949" s="532" t="str">
        <f t="shared" si="690"/>
        <v/>
      </c>
    </row>
    <row r="2950" spans="2:32" x14ac:dyDescent="0.25">
      <c r="B2950" s="695"/>
      <c r="C2950" s="197" t="str">
        <f>IF(B2950&lt;&gt;"",IFERROR(VLOOKUP(B:B,'מצבת והרשמה (2)'!$C$20:$N$520,2,0)," ")," ")</f>
        <v xml:space="preserve"> </v>
      </c>
      <c r="D2950" s="695"/>
      <c r="E2950" s="696"/>
      <c r="F2950" s="696"/>
      <c r="G2950" s="696"/>
      <c r="H2950" s="696"/>
      <c r="I2950" s="1050" t="str">
        <f t="shared" si="677"/>
        <v/>
      </c>
      <c r="J2950" s="696"/>
      <c r="K2950" s="697"/>
      <c r="L2950" s="696"/>
      <c r="M2950" s="198" t="str">
        <f t="shared" si="678"/>
        <v/>
      </c>
      <c r="N2950" s="369" t="str">
        <f t="shared" si="679"/>
        <v/>
      </c>
      <c r="O2950" s="183" t="str">
        <f t="shared" si="680"/>
        <v/>
      </c>
      <c r="P2950" s="199" t="str">
        <f t="shared" si="681"/>
        <v/>
      </c>
      <c r="Q2950" s="199" t="str">
        <f>IF(B2950="","",IFERROR(IF('עלויות כח אדם (6)'!J2950&gt;=VLOOKUP(I2950,'סיווג התפקידים והעלויות'!$B$23:$C$32,2,0),"תקין","לא תקין"),""))</f>
        <v/>
      </c>
      <c r="R2950" s="199" t="str">
        <f t="shared" si="682"/>
        <v/>
      </c>
      <c r="S2950" s="199" t="str">
        <f t="shared" si="683"/>
        <v/>
      </c>
      <c r="T2950" s="199" t="str">
        <f t="shared" si="691"/>
        <v/>
      </c>
      <c r="U2950" s="199" t="str">
        <f t="shared" si="684"/>
        <v/>
      </c>
      <c r="V2950" s="989"/>
      <c r="X2950" s="374" t="str">
        <f t="shared" si="685"/>
        <v/>
      </c>
      <c r="Y2950" s="375" t="str">
        <f t="shared" si="686"/>
        <v/>
      </c>
      <c r="Z2950" s="374" t="str">
        <f t="shared" si="687"/>
        <v/>
      </c>
      <c r="AA2950" s="374" t="b">
        <f t="shared" si="688"/>
        <v>1</v>
      </c>
      <c r="AB2950" s="374">
        <f>COUNTIFS(B:B,B2950,H:H,'סיווג התפקידים והעלויות'!$C$2)</f>
        <v>0</v>
      </c>
      <c r="AC2950" s="374">
        <f>COUNTIFS(B:B,B2950,H:H,'סיווג התפקידים והעלויות'!$D$2)</f>
        <v>0</v>
      </c>
      <c r="AD2950" s="374" t="str">
        <f>IF(OR(AND(H2950='סיווג התפקידים והעלויות'!$A$2,I2950='סיווג התפקידים והעלויות'!$A$3),'עלויות כח אדם (6)'!H2950='סיווג התפקידים והעלויות'!$C$2,'עלויות כח אדם (6)'!H2950='סיווג התפקידים והעלויות'!$D$2),IF('עלויות כח אדם (6)'!J2950&lt;75,"לא תקין","תקין"),"")</f>
        <v/>
      </c>
      <c r="AE2950" s="374" t="str">
        <f t="shared" si="689"/>
        <v/>
      </c>
      <c r="AF2950" s="532" t="str">
        <f t="shared" si="690"/>
        <v/>
      </c>
    </row>
    <row r="2951" spans="2:32" x14ac:dyDescent="0.25">
      <c r="B2951" s="695"/>
      <c r="C2951" s="197" t="str">
        <f>IF(B2951&lt;&gt;"",IFERROR(VLOOKUP(B:B,'מצבת והרשמה (2)'!$C$20:$N$520,2,0)," ")," ")</f>
        <v xml:space="preserve"> </v>
      </c>
      <c r="D2951" s="695"/>
      <c r="E2951" s="696"/>
      <c r="F2951" s="696"/>
      <c r="G2951" s="696"/>
      <c r="H2951" s="696"/>
      <c r="I2951" s="1050" t="str">
        <f t="shared" si="677"/>
        <v/>
      </c>
      <c r="J2951" s="696"/>
      <c r="K2951" s="697"/>
      <c r="L2951" s="696"/>
      <c r="M2951" s="198" t="str">
        <f t="shared" si="678"/>
        <v/>
      </c>
      <c r="N2951" s="369" t="str">
        <f t="shared" si="679"/>
        <v/>
      </c>
      <c r="O2951" s="183" t="str">
        <f t="shared" si="680"/>
        <v/>
      </c>
      <c r="P2951" s="199" t="str">
        <f t="shared" si="681"/>
        <v/>
      </c>
      <c r="Q2951" s="199" t="str">
        <f>IF(B2951="","",IFERROR(IF('עלויות כח אדם (6)'!J2951&gt;=VLOOKUP(I2951,'סיווג התפקידים והעלויות'!$B$23:$C$32,2,0),"תקין","לא תקין"),""))</f>
        <v/>
      </c>
      <c r="R2951" s="199" t="str">
        <f t="shared" si="682"/>
        <v/>
      </c>
      <c r="S2951" s="199" t="str">
        <f t="shared" si="683"/>
        <v/>
      </c>
      <c r="T2951" s="199" t="str">
        <f t="shared" si="691"/>
        <v/>
      </c>
      <c r="U2951" s="199" t="str">
        <f t="shared" si="684"/>
        <v/>
      </c>
      <c r="V2951" s="989"/>
      <c r="X2951" s="374" t="str">
        <f t="shared" si="685"/>
        <v/>
      </c>
      <c r="Y2951" s="375" t="str">
        <f t="shared" si="686"/>
        <v/>
      </c>
      <c r="Z2951" s="374" t="str">
        <f t="shared" si="687"/>
        <v/>
      </c>
      <c r="AA2951" s="374" t="b">
        <f t="shared" si="688"/>
        <v>1</v>
      </c>
      <c r="AB2951" s="374">
        <f>COUNTIFS(B:B,B2951,H:H,'סיווג התפקידים והעלויות'!$C$2)</f>
        <v>0</v>
      </c>
      <c r="AC2951" s="374">
        <f>COUNTIFS(B:B,B2951,H:H,'סיווג התפקידים והעלויות'!$D$2)</f>
        <v>0</v>
      </c>
      <c r="AD2951" s="374" t="str">
        <f>IF(OR(AND(H2951='סיווג התפקידים והעלויות'!$A$2,I2951='סיווג התפקידים והעלויות'!$A$3),'עלויות כח אדם (6)'!H2951='סיווג התפקידים והעלויות'!$C$2,'עלויות כח אדם (6)'!H2951='סיווג התפקידים והעלויות'!$D$2),IF('עלויות כח אדם (6)'!J2951&lt;75,"לא תקין","תקין"),"")</f>
        <v/>
      </c>
      <c r="AE2951" s="374" t="str">
        <f t="shared" si="689"/>
        <v/>
      </c>
      <c r="AF2951" s="532" t="str">
        <f t="shared" si="690"/>
        <v/>
      </c>
    </row>
    <row r="2952" spans="2:32" x14ac:dyDescent="0.25">
      <c r="B2952" s="695"/>
      <c r="C2952" s="197" t="str">
        <f>IF(B2952&lt;&gt;"",IFERROR(VLOOKUP(B:B,'מצבת והרשמה (2)'!$C$20:$N$520,2,0)," ")," ")</f>
        <v xml:space="preserve"> </v>
      </c>
      <c r="D2952" s="695"/>
      <c r="E2952" s="696"/>
      <c r="F2952" s="696"/>
      <c r="G2952" s="696"/>
      <c r="H2952" s="696"/>
      <c r="I2952" s="1050" t="str">
        <f t="shared" si="677"/>
        <v/>
      </c>
      <c r="J2952" s="696"/>
      <c r="K2952" s="697"/>
      <c r="L2952" s="696"/>
      <c r="M2952" s="198" t="str">
        <f t="shared" si="678"/>
        <v/>
      </c>
      <c r="N2952" s="369" t="str">
        <f t="shared" si="679"/>
        <v/>
      </c>
      <c r="O2952" s="183" t="str">
        <f t="shared" si="680"/>
        <v/>
      </c>
      <c r="P2952" s="199" t="str">
        <f t="shared" si="681"/>
        <v/>
      </c>
      <c r="Q2952" s="199" t="str">
        <f>IF(B2952="","",IFERROR(IF('עלויות כח אדם (6)'!J2952&gt;=VLOOKUP(I2952,'סיווג התפקידים והעלויות'!$B$23:$C$32,2,0),"תקין","לא תקין"),""))</f>
        <v/>
      </c>
      <c r="R2952" s="199" t="str">
        <f t="shared" si="682"/>
        <v/>
      </c>
      <c r="S2952" s="199" t="str">
        <f t="shared" si="683"/>
        <v/>
      </c>
      <c r="T2952" s="199" t="str">
        <f t="shared" si="691"/>
        <v/>
      </c>
      <c r="U2952" s="199" t="str">
        <f t="shared" si="684"/>
        <v/>
      </c>
      <c r="V2952" s="989"/>
      <c r="X2952" s="374" t="str">
        <f t="shared" si="685"/>
        <v/>
      </c>
      <c r="Y2952" s="375" t="str">
        <f t="shared" si="686"/>
        <v/>
      </c>
      <c r="Z2952" s="374" t="str">
        <f t="shared" si="687"/>
        <v/>
      </c>
      <c r="AA2952" s="374" t="b">
        <f t="shared" si="688"/>
        <v>1</v>
      </c>
      <c r="AB2952" s="374">
        <f>COUNTIFS(B:B,B2952,H:H,'סיווג התפקידים והעלויות'!$C$2)</f>
        <v>0</v>
      </c>
      <c r="AC2952" s="374">
        <f>COUNTIFS(B:B,B2952,H:H,'סיווג התפקידים והעלויות'!$D$2)</f>
        <v>0</v>
      </c>
      <c r="AD2952" s="374" t="str">
        <f>IF(OR(AND(H2952='סיווג התפקידים והעלויות'!$A$2,I2952='סיווג התפקידים והעלויות'!$A$3),'עלויות כח אדם (6)'!H2952='סיווג התפקידים והעלויות'!$C$2,'עלויות כח אדם (6)'!H2952='סיווג התפקידים והעלויות'!$D$2),IF('עלויות כח אדם (6)'!J2952&lt;75,"לא תקין","תקין"),"")</f>
        <v/>
      </c>
      <c r="AE2952" s="374" t="str">
        <f t="shared" si="689"/>
        <v/>
      </c>
      <c r="AF2952" s="532" t="str">
        <f t="shared" si="690"/>
        <v/>
      </c>
    </row>
    <row r="2953" spans="2:32" x14ac:dyDescent="0.25">
      <c r="B2953" s="695"/>
      <c r="C2953" s="197" t="str">
        <f>IF(B2953&lt;&gt;"",IFERROR(VLOOKUP(B:B,'מצבת והרשמה (2)'!$C$20:$N$520,2,0)," ")," ")</f>
        <v xml:space="preserve"> </v>
      </c>
      <c r="D2953" s="695"/>
      <c r="E2953" s="696"/>
      <c r="F2953" s="696"/>
      <c r="G2953" s="696"/>
      <c r="H2953" s="696"/>
      <c r="I2953" s="1050" t="str">
        <f t="shared" si="677"/>
        <v/>
      </c>
      <c r="J2953" s="696"/>
      <c r="K2953" s="697"/>
      <c r="L2953" s="696"/>
      <c r="M2953" s="198" t="str">
        <f t="shared" si="678"/>
        <v/>
      </c>
      <c r="N2953" s="369" t="str">
        <f t="shared" si="679"/>
        <v/>
      </c>
      <c r="O2953" s="183" t="str">
        <f t="shared" si="680"/>
        <v/>
      </c>
      <c r="P2953" s="199" t="str">
        <f t="shared" si="681"/>
        <v/>
      </c>
      <c r="Q2953" s="199" t="str">
        <f>IF(B2953="","",IFERROR(IF('עלויות כח אדם (6)'!J2953&gt;=VLOOKUP(I2953,'סיווג התפקידים והעלויות'!$B$23:$C$32,2,0),"תקין","לא תקין"),""))</f>
        <v/>
      </c>
      <c r="R2953" s="199" t="str">
        <f t="shared" si="682"/>
        <v/>
      </c>
      <c r="S2953" s="199" t="str">
        <f t="shared" si="683"/>
        <v/>
      </c>
      <c r="T2953" s="199" t="str">
        <f t="shared" si="691"/>
        <v/>
      </c>
      <c r="U2953" s="199" t="str">
        <f t="shared" si="684"/>
        <v/>
      </c>
      <c r="V2953" s="989"/>
      <c r="X2953" s="374" t="str">
        <f t="shared" si="685"/>
        <v/>
      </c>
      <c r="Y2953" s="375" t="str">
        <f t="shared" si="686"/>
        <v/>
      </c>
      <c r="Z2953" s="374" t="str">
        <f t="shared" si="687"/>
        <v/>
      </c>
      <c r="AA2953" s="374" t="b">
        <f t="shared" si="688"/>
        <v>1</v>
      </c>
      <c r="AB2953" s="374">
        <f>COUNTIFS(B:B,B2953,H:H,'סיווג התפקידים והעלויות'!$C$2)</f>
        <v>0</v>
      </c>
      <c r="AC2953" s="374">
        <f>COUNTIFS(B:B,B2953,H:H,'סיווג התפקידים והעלויות'!$D$2)</f>
        <v>0</v>
      </c>
      <c r="AD2953" s="374" t="str">
        <f>IF(OR(AND(H2953='סיווג התפקידים והעלויות'!$A$2,I2953='סיווג התפקידים והעלויות'!$A$3),'עלויות כח אדם (6)'!H2953='סיווג התפקידים והעלויות'!$C$2,'עלויות כח אדם (6)'!H2953='סיווג התפקידים והעלויות'!$D$2),IF('עלויות כח אדם (6)'!J2953&lt;75,"לא תקין","תקין"),"")</f>
        <v/>
      </c>
      <c r="AE2953" s="374" t="str">
        <f t="shared" si="689"/>
        <v/>
      </c>
      <c r="AF2953" s="532" t="str">
        <f t="shared" si="690"/>
        <v/>
      </c>
    </row>
    <row r="2954" spans="2:32" x14ac:dyDescent="0.25">
      <c r="B2954" s="695"/>
      <c r="C2954" s="197" t="str">
        <f>IF(B2954&lt;&gt;"",IFERROR(VLOOKUP(B:B,'מצבת והרשמה (2)'!$C$20:$N$520,2,0)," ")," ")</f>
        <v xml:space="preserve"> </v>
      </c>
      <c r="D2954" s="695"/>
      <c r="E2954" s="696"/>
      <c r="F2954" s="696"/>
      <c r="G2954" s="696"/>
      <c r="H2954" s="696"/>
      <c r="I2954" s="1050" t="str">
        <f t="shared" si="677"/>
        <v/>
      </c>
      <c r="J2954" s="696"/>
      <c r="K2954" s="697"/>
      <c r="L2954" s="696"/>
      <c r="M2954" s="198" t="str">
        <f t="shared" si="678"/>
        <v/>
      </c>
      <c r="N2954" s="369" t="str">
        <f t="shared" si="679"/>
        <v/>
      </c>
      <c r="O2954" s="183" t="str">
        <f t="shared" si="680"/>
        <v/>
      </c>
      <c r="P2954" s="199" t="str">
        <f t="shared" si="681"/>
        <v/>
      </c>
      <c r="Q2954" s="199" t="str">
        <f>IF(B2954="","",IFERROR(IF('עלויות כח אדם (6)'!J2954&gt;=VLOOKUP(I2954,'סיווג התפקידים והעלויות'!$B$23:$C$32,2,0),"תקין","לא תקין"),""))</f>
        <v/>
      </c>
      <c r="R2954" s="199" t="str">
        <f t="shared" si="682"/>
        <v/>
      </c>
      <c r="S2954" s="199" t="str">
        <f t="shared" si="683"/>
        <v/>
      </c>
      <c r="T2954" s="199" t="str">
        <f t="shared" si="691"/>
        <v/>
      </c>
      <c r="U2954" s="199" t="str">
        <f t="shared" si="684"/>
        <v/>
      </c>
      <c r="V2954" s="989"/>
      <c r="X2954" s="374" t="str">
        <f t="shared" si="685"/>
        <v/>
      </c>
      <c r="Y2954" s="375" t="str">
        <f t="shared" si="686"/>
        <v/>
      </c>
      <c r="Z2954" s="374" t="str">
        <f t="shared" si="687"/>
        <v/>
      </c>
      <c r="AA2954" s="374" t="b">
        <f t="shared" si="688"/>
        <v>1</v>
      </c>
      <c r="AB2954" s="374">
        <f>COUNTIFS(B:B,B2954,H:H,'סיווג התפקידים והעלויות'!$C$2)</f>
        <v>0</v>
      </c>
      <c r="AC2954" s="374">
        <f>COUNTIFS(B:B,B2954,H:H,'סיווג התפקידים והעלויות'!$D$2)</f>
        <v>0</v>
      </c>
      <c r="AD2954" s="374" t="str">
        <f>IF(OR(AND(H2954='סיווג התפקידים והעלויות'!$A$2,I2954='סיווג התפקידים והעלויות'!$A$3),'עלויות כח אדם (6)'!H2954='סיווג התפקידים והעלויות'!$C$2,'עלויות כח אדם (6)'!H2954='סיווג התפקידים והעלויות'!$D$2),IF('עלויות כח אדם (6)'!J2954&lt;75,"לא תקין","תקין"),"")</f>
        <v/>
      </c>
      <c r="AE2954" s="374" t="str">
        <f t="shared" si="689"/>
        <v/>
      </c>
      <c r="AF2954" s="532" t="str">
        <f t="shared" si="690"/>
        <v/>
      </c>
    </row>
    <row r="2955" spans="2:32" x14ac:dyDescent="0.25">
      <c r="B2955" s="695"/>
      <c r="C2955" s="197" t="str">
        <f>IF(B2955&lt;&gt;"",IFERROR(VLOOKUP(B:B,'מצבת והרשמה (2)'!$C$20:$N$520,2,0)," ")," ")</f>
        <v xml:space="preserve"> </v>
      </c>
      <c r="D2955" s="695"/>
      <c r="E2955" s="696"/>
      <c r="F2955" s="696"/>
      <c r="G2955" s="696"/>
      <c r="H2955" s="696"/>
      <c r="I2955" s="1050" t="str">
        <f t="shared" si="677"/>
        <v/>
      </c>
      <c r="J2955" s="696"/>
      <c r="K2955" s="697"/>
      <c r="L2955" s="696"/>
      <c r="M2955" s="198" t="str">
        <f t="shared" si="678"/>
        <v/>
      </c>
      <c r="N2955" s="369" t="str">
        <f t="shared" si="679"/>
        <v/>
      </c>
      <c r="O2955" s="183" t="str">
        <f t="shared" si="680"/>
        <v/>
      </c>
      <c r="P2955" s="199" t="str">
        <f t="shared" si="681"/>
        <v/>
      </c>
      <c r="Q2955" s="199" t="str">
        <f>IF(B2955="","",IFERROR(IF('עלויות כח אדם (6)'!J2955&gt;=VLOOKUP(I2955,'סיווג התפקידים והעלויות'!$B$23:$C$32,2,0),"תקין","לא תקין"),""))</f>
        <v/>
      </c>
      <c r="R2955" s="199" t="str">
        <f t="shared" si="682"/>
        <v/>
      </c>
      <c r="S2955" s="199" t="str">
        <f t="shared" si="683"/>
        <v/>
      </c>
      <c r="T2955" s="199" t="str">
        <f t="shared" si="691"/>
        <v/>
      </c>
      <c r="U2955" s="199" t="str">
        <f t="shared" si="684"/>
        <v/>
      </c>
      <c r="V2955" s="989"/>
      <c r="X2955" s="374" t="str">
        <f t="shared" si="685"/>
        <v/>
      </c>
      <c r="Y2955" s="375" t="str">
        <f t="shared" si="686"/>
        <v/>
      </c>
      <c r="Z2955" s="374" t="str">
        <f t="shared" si="687"/>
        <v/>
      </c>
      <c r="AA2955" s="374" t="b">
        <f t="shared" si="688"/>
        <v>1</v>
      </c>
      <c r="AB2955" s="374">
        <f>COUNTIFS(B:B,B2955,H:H,'סיווג התפקידים והעלויות'!$C$2)</f>
        <v>0</v>
      </c>
      <c r="AC2955" s="374">
        <f>COUNTIFS(B:B,B2955,H:H,'סיווג התפקידים והעלויות'!$D$2)</f>
        <v>0</v>
      </c>
      <c r="AD2955" s="374" t="str">
        <f>IF(OR(AND(H2955='סיווג התפקידים והעלויות'!$A$2,I2955='סיווג התפקידים והעלויות'!$A$3),'עלויות כח אדם (6)'!H2955='סיווג התפקידים והעלויות'!$C$2,'עלויות כח אדם (6)'!H2955='סיווג התפקידים והעלויות'!$D$2),IF('עלויות כח אדם (6)'!J2955&lt;75,"לא תקין","תקין"),"")</f>
        <v/>
      </c>
      <c r="AE2955" s="374" t="str">
        <f t="shared" si="689"/>
        <v/>
      </c>
      <c r="AF2955" s="532" t="str">
        <f t="shared" si="690"/>
        <v/>
      </c>
    </row>
    <row r="2956" spans="2:32" x14ac:dyDescent="0.25">
      <c r="B2956" s="695"/>
      <c r="C2956" s="197" t="str">
        <f>IF(B2956&lt;&gt;"",IFERROR(VLOOKUP(B:B,'מצבת והרשמה (2)'!$C$20:$N$520,2,0)," ")," ")</f>
        <v xml:space="preserve"> </v>
      </c>
      <c r="D2956" s="695"/>
      <c r="E2956" s="696"/>
      <c r="F2956" s="696"/>
      <c r="G2956" s="696"/>
      <c r="H2956" s="696"/>
      <c r="I2956" s="1050" t="str">
        <f t="shared" si="677"/>
        <v/>
      </c>
      <c r="J2956" s="696"/>
      <c r="K2956" s="697"/>
      <c r="L2956" s="696"/>
      <c r="M2956" s="198" t="str">
        <f t="shared" si="678"/>
        <v/>
      </c>
      <c r="N2956" s="369" t="str">
        <f t="shared" si="679"/>
        <v/>
      </c>
      <c r="O2956" s="183" t="str">
        <f t="shared" si="680"/>
        <v/>
      </c>
      <c r="P2956" s="199" t="str">
        <f t="shared" si="681"/>
        <v/>
      </c>
      <c r="Q2956" s="199" t="str">
        <f>IF(B2956="","",IFERROR(IF('עלויות כח אדם (6)'!J2956&gt;=VLOOKUP(I2956,'סיווג התפקידים והעלויות'!$B$23:$C$32,2,0),"תקין","לא תקין"),""))</f>
        <v/>
      </c>
      <c r="R2956" s="199" t="str">
        <f t="shared" si="682"/>
        <v/>
      </c>
      <c r="S2956" s="199" t="str">
        <f t="shared" si="683"/>
        <v/>
      </c>
      <c r="T2956" s="199" t="str">
        <f t="shared" si="691"/>
        <v/>
      </c>
      <c r="U2956" s="199" t="str">
        <f t="shared" si="684"/>
        <v/>
      </c>
      <c r="V2956" s="989"/>
      <c r="X2956" s="374" t="str">
        <f t="shared" si="685"/>
        <v/>
      </c>
      <c r="Y2956" s="375" t="str">
        <f t="shared" si="686"/>
        <v/>
      </c>
      <c r="Z2956" s="374" t="str">
        <f t="shared" si="687"/>
        <v/>
      </c>
      <c r="AA2956" s="374" t="b">
        <f t="shared" si="688"/>
        <v>1</v>
      </c>
      <c r="AB2956" s="374">
        <f>COUNTIFS(B:B,B2956,H:H,'סיווג התפקידים והעלויות'!$C$2)</f>
        <v>0</v>
      </c>
      <c r="AC2956" s="374">
        <f>COUNTIFS(B:B,B2956,H:H,'סיווג התפקידים והעלויות'!$D$2)</f>
        <v>0</v>
      </c>
      <c r="AD2956" s="374" t="str">
        <f>IF(OR(AND(H2956='סיווג התפקידים והעלויות'!$A$2,I2956='סיווג התפקידים והעלויות'!$A$3),'עלויות כח אדם (6)'!H2956='סיווג התפקידים והעלויות'!$C$2,'עלויות כח אדם (6)'!H2956='סיווג התפקידים והעלויות'!$D$2),IF('עלויות כח אדם (6)'!J2956&lt;75,"לא תקין","תקין"),"")</f>
        <v/>
      </c>
      <c r="AE2956" s="374" t="str">
        <f t="shared" si="689"/>
        <v/>
      </c>
      <c r="AF2956" s="532" t="str">
        <f t="shared" si="690"/>
        <v/>
      </c>
    </row>
    <row r="2957" spans="2:32" x14ac:dyDescent="0.25">
      <c r="B2957" s="695"/>
      <c r="C2957" s="197" t="str">
        <f>IF(B2957&lt;&gt;"",IFERROR(VLOOKUP(B:B,'מצבת והרשמה (2)'!$C$20:$N$520,2,0)," ")," ")</f>
        <v xml:space="preserve"> </v>
      </c>
      <c r="D2957" s="695"/>
      <c r="E2957" s="696"/>
      <c r="F2957" s="696"/>
      <c r="G2957" s="696"/>
      <c r="H2957" s="696"/>
      <c r="I2957" s="1050" t="str">
        <f t="shared" si="677"/>
        <v/>
      </c>
      <c r="J2957" s="696"/>
      <c r="K2957" s="697"/>
      <c r="L2957" s="696"/>
      <c r="M2957" s="198" t="str">
        <f t="shared" si="678"/>
        <v/>
      </c>
      <c r="N2957" s="369" t="str">
        <f t="shared" si="679"/>
        <v/>
      </c>
      <c r="O2957" s="183" t="str">
        <f t="shared" si="680"/>
        <v/>
      </c>
      <c r="P2957" s="199" t="str">
        <f t="shared" si="681"/>
        <v/>
      </c>
      <c r="Q2957" s="199" t="str">
        <f>IF(B2957="","",IFERROR(IF('עלויות כח אדם (6)'!J2957&gt;=VLOOKUP(I2957,'סיווג התפקידים והעלויות'!$B$23:$C$32,2,0),"תקין","לא תקין"),""))</f>
        <v/>
      </c>
      <c r="R2957" s="199" t="str">
        <f t="shared" si="682"/>
        <v/>
      </c>
      <c r="S2957" s="199" t="str">
        <f t="shared" si="683"/>
        <v/>
      </c>
      <c r="T2957" s="199" t="str">
        <f t="shared" si="691"/>
        <v/>
      </c>
      <c r="U2957" s="199" t="str">
        <f t="shared" si="684"/>
        <v/>
      </c>
      <c r="V2957" s="989"/>
      <c r="X2957" s="374" t="str">
        <f t="shared" si="685"/>
        <v/>
      </c>
      <c r="Y2957" s="375" t="str">
        <f t="shared" si="686"/>
        <v/>
      </c>
      <c r="Z2957" s="374" t="str">
        <f t="shared" si="687"/>
        <v/>
      </c>
      <c r="AA2957" s="374" t="b">
        <f t="shared" si="688"/>
        <v>1</v>
      </c>
      <c r="AB2957" s="374">
        <f>COUNTIFS(B:B,B2957,H:H,'סיווג התפקידים והעלויות'!$C$2)</f>
        <v>0</v>
      </c>
      <c r="AC2957" s="374">
        <f>COUNTIFS(B:B,B2957,H:H,'סיווג התפקידים והעלויות'!$D$2)</f>
        <v>0</v>
      </c>
      <c r="AD2957" s="374" t="str">
        <f>IF(OR(AND(H2957='סיווג התפקידים והעלויות'!$A$2,I2957='סיווג התפקידים והעלויות'!$A$3),'עלויות כח אדם (6)'!H2957='סיווג התפקידים והעלויות'!$C$2,'עלויות כח אדם (6)'!H2957='סיווג התפקידים והעלויות'!$D$2),IF('עלויות כח אדם (6)'!J2957&lt;75,"לא תקין","תקין"),"")</f>
        <v/>
      </c>
      <c r="AE2957" s="374" t="str">
        <f t="shared" si="689"/>
        <v/>
      </c>
      <c r="AF2957" s="532" t="str">
        <f t="shared" si="690"/>
        <v/>
      </c>
    </row>
    <row r="2958" spans="2:32" x14ac:dyDescent="0.25">
      <c r="B2958" s="695"/>
      <c r="C2958" s="197" t="str">
        <f>IF(B2958&lt;&gt;"",IFERROR(VLOOKUP(B:B,'מצבת והרשמה (2)'!$C$20:$N$520,2,0)," ")," ")</f>
        <v xml:space="preserve"> </v>
      </c>
      <c r="D2958" s="695"/>
      <c r="E2958" s="696"/>
      <c r="F2958" s="696"/>
      <c r="G2958" s="696"/>
      <c r="H2958" s="696"/>
      <c r="I2958" s="1050" t="str">
        <f t="shared" si="677"/>
        <v/>
      </c>
      <c r="J2958" s="696"/>
      <c r="K2958" s="697"/>
      <c r="L2958" s="696"/>
      <c r="M2958" s="198" t="str">
        <f t="shared" si="678"/>
        <v/>
      </c>
      <c r="N2958" s="369" t="str">
        <f t="shared" si="679"/>
        <v/>
      </c>
      <c r="O2958" s="183" t="str">
        <f t="shared" si="680"/>
        <v/>
      </c>
      <c r="P2958" s="199" t="str">
        <f t="shared" si="681"/>
        <v/>
      </c>
      <c r="Q2958" s="199" t="str">
        <f>IF(B2958="","",IFERROR(IF('עלויות כח אדם (6)'!J2958&gt;=VLOOKUP(I2958,'סיווג התפקידים והעלויות'!$B$23:$C$32,2,0),"תקין","לא תקין"),""))</f>
        <v/>
      </c>
      <c r="R2958" s="199" t="str">
        <f t="shared" si="682"/>
        <v/>
      </c>
      <c r="S2958" s="199" t="str">
        <f t="shared" si="683"/>
        <v/>
      </c>
      <c r="T2958" s="199" t="str">
        <f t="shared" si="691"/>
        <v/>
      </c>
      <c r="U2958" s="199" t="str">
        <f t="shared" si="684"/>
        <v/>
      </c>
      <c r="V2958" s="989"/>
      <c r="X2958" s="374" t="str">
        <f t="shared" si="685"/>
        <v/>
      </c>
      <c r="Y2958" s="375" t="str">
        <f t="shared" si="686"/>
        <v/>
      </c>
      <c r="Z2958" s="374" t="str">
        <f t="shared" si="687"/>
        <v/>
      </c>
      <c r="AA2958" s="374" t="b">
        <f t="shared" si="688"/>
        <v>1</v>
      </c>
      <c r="AB2958" s="374">
        <f>COUNTIFS(B:B,B2958,H:H,'סיווג התפקידים והעלויות'!$C$2)</f>
        <v>0</v>
      </c>
      <c r="AC2958" s="374">
        <f>COUNTIFS(B:B,B2958,H:H,'סיווג התפקידים והעלויות'!$D$2)</f>
        <v>0</v>
      </c>
      <c r="AD2958" s="374" t="str">
        <f>IF(OR(AND(H2958='סיווג התפקידים והעלויות'!$A$2,I2958='סיווג התפקידים והעלויות'!$A$3),'עלויות כח אדם (6)'!H2958='סיווג התפקידים והעלויות'!$C$2,'עלויות כח אדם (6)'!H2958='סיווג התפקידים והעלויות'!$D$2),IF('עלויות כח אדם (6)'!J2958&lt;75,"לא תקין","תקין"),"")</f>
        <v/>
      </c>
      <c r="AE2958" s="374" t="str">
        <f t="shared" si="689"/>
        <v/>
      </c>
      <c r="AF2958" s="532" t="str">
        <f t="shared" si="690"/>
        <v/>
      </c>
    </row>
    <row r="2959" spans="2:32" x14ac:dyDescent="0.25">
      <c r="B2959" s="695"/>
      <c r="C2959" s="197" t="str">
        <f>IF(B2959&lt;&gt;"",IFERROR(VLOOKUP(B:B,'מצבת והרשמה (2)'!$C$20:$N$520,2,0)," ")," ")</f>
        <v xml:space="preserve"> </v>
      </c>
      <c r="D2959" s="695"/>
      <c r="E2959" s="696"/>
      <c r="F2959" s="696"/>
      <c r="G2959" s="696"/>
      <c r="H2959" s="696"/>
      <c r="I2959" s="1050" t="str">
        <f t="shared" ref="I2959:I2992" si="692">SUBSTITUTE(IFERROR(IF(H2959="מדצ","מדצ/ית",IF(H2959="סגנית רכזת מעל 150","סגנ/ית רכז/ת&gt;150",IF(H2959="רכזת תכנית בבית הספר","רכז/ת תכנית בבית הספר"))),""),"FALSE","")</f>
        <v/>
      </c>
      <c r="J2959" s="696"/>
      <c r="K2959" s="697"/>
      <c r="L2959" s="696"/>
      <c r="M2959" s="198" t="str">
        <f t="shared" ref="M2959:M3014" si="693">IF(AND(L2959&gt;0,K2959&gt;0),K2959*L2959,"")</f>
        <v/>
      </c>
      <c r="N2959" s="369" t="str">
        <f t="shared" ref="N2959:N3014" si="694">TEXT(LEFT(H2959,2),0)</f>
        <v/>
      </c>
      <c r="O2959" s="183" t="str">
        <f t="shared" si="680"/>
        <v/>
      </c>
      <c r="P2959" s="199" t="str">
        <f t="shared" ref="P2959:P3014" si="695">IF(B2959="","",IF(AA2959=FALSE,"לא תקין","תקין"))</f>
        <v/>
      </c>
      <c r="Q2959" s="199" t="str">
        <f>IF(B2959="","",IFERROR(IF('עלויות כח אדם (6)'!J2959&gt;=VLOOKUP(I2959,'סיווג התפקידים והעלויות'!$B$23:$C$32,2,0),"תקין","לא תקין"),""))</f>
        <v/>
      </c>
      <c r="R2959" s="199" t="str">
        <f t="shared" ref="R2959:R3014" si="696">IF(B2959="","",IF(OR(Y2959&lt;100%,Y2959&gt;140%),"לא תקין","תקין"))</f>
        <v/>
      </c>
      <c r="S2959" s="199" t="str">
        <f t="shared" ref="S2959:S3014" si="697">IF(B2959="","",IFERROR(IF(J2959&gt;120,"לא תקין","תקין"),""))</f>
        <v/>
      </c>
      <c r="T2959" s="199" t="str">
        <f t="shared" si="691"/>
        <v/>
      </c>
      <c r="U2959" s="199" t="str">
        <f t="shared" ref="U2959:U3014" si="698">IF(B2959="","",IF(Z2959&gt;1,IF(SUMIF(D:D,D2959,L:L)&gt;90,"לא תקין","תקין"),"תקין"))</f>
        <v/>
      </c>
      <c r="V2959" s="989"/>
      <c r="X2959" s="374" t="str">
        <f t="shared" ref="X2959:X3014" si="699">IF(B2959="","",IF(OR(R2959="לא תקין",S2959="לא תקין",T2959="לא תקין",,U2959="לא תקין"),"לא תקין","תקין"))</f>
        <v/>
      </c>
      <c r="Y2959" s="375" t="str">
        <f t="shared" ref="Y2959:Y3014" si="700">IFERROR(IF(B2959="","",K2959/J2959),"")</f>
        <v/>
      </c>
      <c r="Z2959" s="374" t="str">
        <f t="shared" ref="Z2959:Z3014" si="701">IF(B2959="","",COUNTIF(D:D,D2959))</f>
        <v/>
      </c>
      <c r="AA2959" s="374" t="b">
        <f t="shared" ref="AA2959:AA2965" si="702">MOD(MID(REPT(0,9-LEN(D2959))&amp;D2959,1,1)+MID("0246813579",MID(REPT(0,9-LEN(D2959))&amp;D2959,2,1)+1,1)+MID(REPT(0,9-LEN(D2959))&amp;D2959,3,1)+MID("0246813579",MID(REPT(0,9-LEN(D2959))&amp;D2959,4,1)+1,1)+MID(REPT(0,9-LEN(D2959))&amp;D2959,5,1)+MID("0246813579",MID(REPT(0,9-LEN(D2959))&amp;D2959,6,1)+1,1)+MID(REPT(0,9-LEN(D2959))&amp;D2959,7,1)+MID("0246813579",MID(REPT(0,9-LEN(D2959))&amp;D2959,8,1)+1,1)+MID(REPT(0,9-LEN(D2959))&amp;D2959,9,1),10)=0</f>
        <v>1</v>
      </c>
      <c r="AB2959" s="374">
        <f>COUNTIFS(B:B,B2959,H:H,'סיווג התפקידים והעלויות'!$C$2)</f>
        <v>0</v>
      </c>
      <c r="AC2959" s="374">
        <f>COUNTIFS(B:B,B2959,H:H,'סיווג התפקידים והעלויות'!$D$2)</f>
        <v>0</v>
      </c>
      <c r="AD2959" s="374" t="str">
        <f>IF(OR(AND(H2959='סיווג התפקידים והעלויות'!$A$2,I2959='סיווג התפקידים והעלויות'!$A$3),'עלויות כח אדם (6)'!H2959='סיווג התפקידים והעלויות'!$C$2,'עלויות כח אדם (6)'!H2959='סיווג התפקידים והעלויות'!$D$2),IF('עלויות כח אדם (6)'!J2959&lt;75,"לא תקין","תקין"),"")</f>
        <v/>
      </c>
      <c r="AE2959" s="374" t="str">
        <f t="shared" si="689"/>
        <v/>
      </c>
      <c r="AF2959" s="532" t="str">
        <f t="shared" si="690"/>
        <v/>
      </c>
    </row>
    <row r="2960" spans="2:32" x14ac:dyDescent="0.25">
      <c r="B2960" s="695"/>
      <c r="C2960" s="197" t="str">
        <f>IF(B2960&lt;&gt;"",IFERROR(VLOOKUP(B:B,'מצבת והרשמה (2)'!$C$20:$N$520,2,0)," ")," ")</f>
        <v xml:space="preserve"> </v>
      </c>
      <c r="D2960" s="695"/>
      <c r="E2960" s="696"/>
      <c r="F2960" s="696"/>
      <c r="G2960" s="696"/>
      <c r="H2960" s="696"/>
      <c r="I2960" s="1050" t="str">
        <f t="shared" si="692"/>
        <v/>
      </c>
      <c r="J2960" s="696"/>
      <c r="K2960" s="697"/>
      <c r="L2960" s="696"/>
      <c r="M2960" s="198" t="str">
        <f t="shared" si="693"/>
        <v/>
      </c>
      <c r="N2960" s="369" t="str">
        <f t="shared" si="694"/>
        <v/>
      </c>
      <c r="O2960" s="183" t="str">
        <f t="shared" ref="O2960:O3014" si="703">IF(ISNUMBER(M2960&gt;0),IF(ISBLANK(B2960),"יש להזין סמל מוסד בעמודה B",""),"")</f>
        <v/>
      </c>
      <c r="P2960" s="199" t="str">
        <f t="shared" si="695"/>
        <v/>
      </c>
      <c r="Q2960" s="199" t="str">
        <f>IF(B2960="","",IFERROR(IF('עלויות כח אדם (6)'!J2960&gt;=VLOOKUP(I2960,'סיווג התפקידים והעלויות'!$B$23:$C$32,2,0),"תקין","לא תקין"),""))</f>
        <v/>
      </c>
      <c r="R2960" s="199" t="str">
        <f t="shared" si="696"/>
        <v/>
      </c>
      <c r="S2960" s="199" t="str">
        <f t="shared" si="697"/>
        <v/>
      </c>
      <c r="T2960" s="199" t="str">
        <f t="shared" ref="T2960:T3014" si="704">IF(B2960="","",IF(H2960="","יש להזין איש צוות",IF(OR(H2960="מורה",H2960="גננת",H2960="רכז גן",H2960="רכזת גן",H2960="סייעת",H2960="מדצית",H2960="מדצ",H2960="מדריך",H2960="מדריכה",H2960="תוספת כח אדם"),IF(L2960&lt;=90,"תקין","לא תקין"),IF(OR(H2960="רכז בית ספר",H2960="רכזת תכנית בבית הספר",H2960="רכזת בית ספר"),IF(L2960&lt;=137,"תקין","לא תקין"),IF(OR(H2960="סגנית רכזת מעל 150",H2960="סגן רכז"),IF(L2960&lt;=93,"תקין","לא תקין"),"לא תקין")))))</f>
        <v/>
      </c>
      <c r="U2960" s="199" t="str">
        <f t="shared" si="698"/>
        <v/>
      </c>
      <c r="V2960" s="989"/>
      <c r="X2960" s="374" t="str">
        <f t="shared" si="699"/>
        <v/>
      </c>
      <c r="Y2960" s="375" t="str">
        <f t="shared" si="700"/>
        <v/>
      </c>
      <c r="Z2960" s="374" t="str">
        <f t="shared" si="701"/>
        <v/>
      </c>
      <c r="AA2960" s="374" t="b">
        <f t="shared" si="702"/>
        <v>1</v>
      </c>
      <c r="AB2960" s="374">
        <f>COUNTIFS(B:B,B2960,H:H,'סיווג התפקידים והעלויות'!$C$2)</f>
        <v>0</v>
      </c>
      <c r="AC2960" s="374">
        <f>COUNTIFS(B:B,B2960,H:H,'סיווג התפקידים והעלויות'!$D$2)</f>
        <v>0</v>
      </c>
      <c r="AD2960" s="374" t="str">
        <f>IF(OR(AND(H2960='סיווג התפקידים והעלויות'!$A$2,I2960='סיווג התפקידים והעלויות'!$A$3),'עלויות כח אדם (6)'!H2960='סיווג התפקידים והעלויות'!$C$2,'עלויות כח אדם (6)'!H2960='סיווג התפקידים והעלויות'!$D$2),IF('עלויות כח אדם (6)'!J2960&lt;75,"לא תקין","תקין"),"")</f>
        <v/>
      </c>
      <c r="AE2960" s="374" t="str">
        <f t="shared" ref="AE2960:AE3014" si="705">IF(B2960&lt;&gt;"",B2960&amp;H2960,"")</f>
        <v/>
      </c>
      <c r="AF2960" s="532" t="str">
        <f t="shared" ref="AF2960:AF3014" si="706">M2960</f>
        <v/>
      </c>
    </row>
    <row r="2961" spans="2:32" x14ac:dyDescent="0.25">
      <c r="B2961" s="695"/>
      <c r="C2961" s="197" t="str">
        <f>IF(B2961&lt;&gt;"",IFERROR(VLOOKUP(B:B,'מצבת והרשמה (2)'!$C$20:$N$520,2,0)," ")," ")</f>
        <v xml:space="preserve"> </v>
      </c>
      <c r="D2961" s="695"/>
      <c r="E2961" s="696"/>
      <c r="F2961" s="696"/>
      <c r="G2961" s="696"/>
      <c r="H2961" s="696"/>
      <c r="I2961" s="1050" t="str">
        <f t="shared" si="692"/>
        <v/>
      </c>
      <c r="J2961" s="696"/>
      <c r="K2961" s="697"/>
      <c r="L2961" s="696"/>
      <c r="M2961" s="198" t="str">
        <f t="shared" si="693"/>
        <v/>
      </c>
      <c r="N2961" s="369" t="str">
        <f t="shared" si="694"/>
        <v/>
      </c>
      <c r="O2961" s="183" t="str">
        <f t="shared" si="703"/>
        <v/>
      </c>
      <c r="P2961" s="199" t="str">
        <f t="shared" si="695"/>
        <v/>
      </c>
      <c r="Q2961" s="199" t="str">
        <f>IF(B2961="","",IFERROR(IF('עלויות כח אדם (6)'!J2961&gt;=VLOOKUP(I2961,'סיווג התפקידים והעלויות'!$B$23:$C$32,2,0),"תקין","לא תקין"),""))</f>
        <v/>
      </c>
      <c r="R2961" s="199" t="str">
        <f t="shared" si="696"/>
        <v/>
      </c>
      <c r="S2961" s="199" t="str">
        <f t="shared" si="697"/>
        <v/>
      </c>
      <c r="T2961" s="199" t="str">
        <f t="shared" si="704"/>
        <v/>
      </c>
      <c r="U2961" s="199" t="str">
        <f t="shared" si="698"/>
        <v/>
      </c>
      <c r="V2961" s="989"/>
      <c r="X2961" s="374" t="str">
        <f t="shared" si="699"/>
        <v/>
      </c>
      <c r="Y2961" s="375" t="str">
        <f t="shared" si="700"/>
        <v/>
      </c>
      <c r="Z2961" s="374" t="str">
        <f t="shared" si="701"/>
        <v/>
      </c>
      <c r="AA2961" s="374" t="b">
        <f t="shared" si="702"/>
        <v>1</v>
      </c>
      <c r="AB2961" s="374">
        <f>COUNTIFS(B:B,B2961,H:H,'סיווג התפקידים והעלויות'!$C$2)</f>
        <v>0</v>
      </c>
      <c r="AC2961" s="374">
        <f>COUNTIFS(B:B,B2961,H:H,'סיווג התפקידים והעלויות'!$D$2)</f>
        <v>0</v>
      </c>
      <c r="AD2961" s="374" t="str">
        <f>IF(OR(AND(H2961='סיווג התפקידים והעלויות'!$A$2,I2961='סיווג התפקידים והעלויות'!$A$3),'עלויות כח אדם (6)'!H2961='סיווג התפקידים והעלויות'!$C$2,'עלויות כח אדם (6)'!H2961='סיווג התפקידים והעלויות'!$D$2),IF('עלויות כח אדם (6)'!J2961&lt;75,"לא תקין","תקין"),"")</f>
        <v/>
      </c>
      <c r="AE2961" s="374" t="str">
        <f t="shared" si="705"/>
        <v/>
      </c>
      <c r="AF2961" s="532" t="str">
        <f t="shared" si="706"/>
        <v/>
      </c>
    </row>
    <row r="2962" spans="2:32" x14ac:dyDescent="0.25">
      <c r="B2962" s="695"/>
      <c r="C2962" s="197" t="str">
        <f>IF(B2962&lt;&gt;"",IFERROR(VLOOKUP(B:B,'מצבת והרשמה (2)'!$C$20:$N$520,2,0)," ")," ")</f>
        <v xml:space="preserve"> </v>
      </c>
      <c r="D2962" s="695"/>
      <c r="E2962" s="696"/>
      <c r="F2962" s="696"/>
      <c r="G2962" s="696"/>
      <c r="H2962" s="696"/>
      <c r="I2962" s="1050" t="str">
        <f t="shared" si="692"/>
        <v/>
      </c>
      <c r="J2962" s="696"/>
      <c r="K2962" s="697"/>
      <c r="L2962" s="696"/>
      <c r="M2962" s="198" t="str">
        <f t="shared" si="693"/>
        <v/>
      </c>
      <c r="N2962" s="369" t="str">
        <f t="shared" si="694"/>
        <v/>
      </c>
      <c r="O2962" s="183" t="str">
        <f t="shared" si="703"/>
        <v/>
      </c>
      <c r="P2962" s="199" t="str">
        <f t="shared" si="695"/>
        <v/>
      </c>
      <c r="Q2962" s="199" t="str">
        <f>IF(B2962="","",IFERROR(IF('עלויות כח אדם (6)'!J2962&gt;=VLOOKUP(I2962,'סיווג התפקידים והעלויות'!$B$23:$C$32,2,0),"תקין","לא תקין"),""))</f>
        <v/>
      </c>
      <c r="R2962" s="199" t="str">
        <f t="shared" si="696"/>
        <v/>
      </c>
      <c r="S2962" s="199" t="str">
        <f t="shared" si="697"/>
        <v/>
      </c>
      <c r="T2962" s="199" t="str">
        <f t="shared" si="704"/>
        <v/>
      </c>
      <c r="U2962" s="199" t="str">
        <f t="shared" si="698"/>
        <v/>
      </c>
      <c r="V2962" s="989"/>
      <c r="X2962" s="374" t="str">
        <f t="shared" si="699"/>
        <v/>
      </c>
      <c r="Y2962" s="375" t="str">
        <f t="shared" si="700"/>
        <v/>
      </c>
      <c r="Z2962" s="374" t="str">
        <f t="shared" si="701"/>
        <v/>
      </c>
      <c r="AA2962" s="374" t="b">
        <f t="shared" si="702"/>
        <v>1</v>
      </c>
      <c r="AB2962" s="374">
        <f>COUNTIFS(B:B,B2962,H:H,'סיווג התפקידים והעלויות'!$C$2)</f>
        <v>0</v>
      </c>
      <c r="AC2962" s="374">
        <f>COUNTIFS(B:B,B2962,H:H,'סיווג התפקידים והעלויות'!$D$2)</f>
        <v>0</v>
      </c>
      <c r="AD2962" s="374" t="str">
        <f>IF(OR(AND(H2962='סיווג התפקידים והעלויות'!$A$2,I2962='סיווג התפקידים והעלויות'!$A$3),'עלויות כח אדם (6)'!H2962='סיווג התפקידים והעלויות'!$C$2,'עלויות כח אדם (6)'!H2962='סיווג התפקידים והעלויות'!$D$2),IF('עלויות כח אדם (6)'!J2962&lt;75,"לא תקין","תקין"),"")</f>
        <v/>
      </c>
      <c r="AE2962" s="374" t="str">
        <f t="shared" si="705"/>
        <v/>
      </c>
      <c r="AF2962" s="532" t="str">
        <f t="shared" si="706"/>
        <v/>
      </c>
    </row>
    <row r="2963" spans="2:32" x14ac:dyDescent="0.25">
      <c r="B2963" s="695"/>
      <c r="C2963" s="197" t="str">
        <f>IF(B2963&lt;&gt;"",IFERROR(VLOOKUP(B:B,'מצבת והרשמה (2)'!$C$20:$N$520,2,0)," ")," ")</f>
        <v xml:space="preserve"> </v>
      </c>
      <c r="D2963" s="695"/>
      <c r="E2963" s="696"/>
      <c r="F2963" s="696"/>
      <c r="G2963" s="696"/>
      <c r="H2963" s="696"/>
      <c r="I2963" s="1050" t="str">
        <f t="shared" si="692"/>
        <v/>
      </c>
      <c r="J2963" s="696"/>
      <c r="K2963" s="697"/>
      <c r="L2963" s="696"/>
      <c r="M2963" s="198" t="str">
        <f t="shared" si="693"/>
        <v/>
      </c>
      <c r="N2963" s="369" t="str">
        <f t="shared" si="694"/>
        <v/>
      </c>
      <c r="O2963" s="183" t="str">
        <f t="shared" si="703"/>
        <v/>
      </c>
      <c r="P2963" s="199" t="str">
        <f t="shared" si="695"/>
        <v/>
      </c>
      <c r="Q2963" s="199" t="str">
        <f>IF(B2963="","",IFERROR(IF('עלויות כח אדם (6)'!J2963&gt;=VLOOKUP(I2963,'סיווג התפקידים והעלויות'!$B$23:$C$32,2,0),"תקין","לא תקין"),""))</f>
        <v/>
      </c>
      <c r="R2963" s="199" t="str">
        <f t="shared" si="696"/>
        <v/>
      </c>
      <c r="S2963" s="199" t="str">
        <f t="shared" si="697"/>
        <v/>
      </c>
      <c r="T2963" s="199" t="str">
        <f t="shared" si="704"/>
        <v/>
      </c>
      <c r="U2963" s="199" t="str">
        <f t="shared" si="698"/>
        <v/>
      </c>
      <c r="V2963" s="989"/>
      <c r="X2963" s="374" t="str">
        <f t="shared" si="699"/>
        <v/>
      </c>
      <c r="Y2963" s="375" t="str">
        <f t="shared" si="700"/>
        <v/>
      </c>
      <c r="Z2963" s="374" t="str">
        <f t="shared" si="701"/>
        <v/>
      </c>
      <c r="AA2963" s="374" t="b">
        <f t="shared" si="702"/>
        <v>1</v>
      </c>
      <c r="AB2963" s="374">
        <f>COUNTIFS(B:B,B2963,H:H,'סיווג התפקידים והעלויות'!$C$2)</f>
        <v>0</v>
      </c>
      <c r="AC2963" s="374">
        <f>COUNTIFS(B:B,B2963,H:H,'סיווג התפקידים והעלויות'!$D$2)</f>
        <v>0</v>
      </c>
      <c r="AD2963" s="374" t="str">
        <f>IF(OR(AND(H2963='סיווג התפקידים והעלויות'!$A$2,I2963='סיווג התפקידים והעלויות'!$A$3),'עלויות כח אדם (6)'!H2963='סיווג התפקידים והעלויות'!$C$2,'עלויות כח אדם (6)'!H2963='סיווג התפקידים והעלויות'!$D$2),IF('עלויות כח אדם (6)'!J2963&lt;75,"לא תקין","תקין"),"")</f>
        <v/>
      </c>
      <c r="AE2963" s="374" t="str">
        <f t="shared" si="705"/>
        <v/>
      </c>
      <c r="AF2963" s="532" t="str">
        <f t="shared" si="706"/>
        <v/>
      </c>
    </row>
    <row r="2964" spans="2:32" x14ac:dyDescent="0.25">
      <c r="B2964" s="695"/>
      <c r="C2964" s="197" t="str">
        <f>IF(B2964&lt;&gt;"",IFERROR(VLOOKUP(B:B,'מצבת והרשמה (2)'!$C$20:$N$520,2,0)," ")," ")</f>
        <v xml:space="preserve"> </v>
      </c>
      <c r="D2964" s="695"/>
      <c r="E2964" s="696"/>
      <c r="F2964" s="696"/>
      <c r="G2964" s="696"/>
      <c r="H2964" s="696"/>
      <c r="I2964" s="1050" t="str">
        <f t="shared" si="692"/>
        <v/>
      </c>
      <c r="J2964" s="696"/>
      <c r="K2964" s="697"/>
      <c r="L2964" s="696"/>
      <c r="M2964" s="198" t="str">
        <f t="shared" si="693"/>
        <v/>
      </c>
      <c r="N2964" s="369" t="str">
        <f t="shared" si="694"/>
        <v/>
      </c>
      <c r="O2964" s="183" t="str">
        <f t="shared" si="703"/>
        <v/>
      </c>
      <c r="P2964" s="199" t="str">
        <f t="shared" si="695"/>
        <v/>
      </c>
      <c r="Q2964" s="199" t="str">
        <f>IF(B2964="","",IFERROR(IF('עלויות כח אדם (6)'!J2964&gt;=VLOOKUP(I2964,'סיווג התפקידים והעלויות'!$B$23:$C$32,2,0),"תקין","לא תקין"),""))</f>
        <v/>
      </c>
      <c r="R2964" s="199" t="str">
        <f t="shared" si="696"/>
        <v/>
      </c>
      <c r="S2964" s="199" t="str">
        <f t="shared" si="697"/>
        <v/>
      </c>
      <c r="T2964" s="199" t="str">
        <f t="shared" si="704"/>
        <v/>
      </c>
      <c r="U2964" s="199" t="str">
        <f t="shared" si="698"/>
        <v/>
      </c>
      <c r="V2964" s="989"/>
      <c r="X2964" s="374" t="str">
        <f t="shared" si="699"/>
        <v/>
      </c>
      <c r="Y2964" s="375" t="str">
        <f t="shared" si="700"/>
        <v/>
      </c>
      <c r="Z2964" s="374" t="str">
        <f t="shared" si="701"/>
        <v/>
      </c>
      <c r="AA2964" s="374" t="b">
        <f t="shared" si="702"/>
        <v>1</v>
      </c>
      <c r="AB2964" s="374">
        <f>COUNTIFS(B:B,B2964,H:H,'סיווג התפקידים והעלויות'!$C$2)</f>
        <v>0</v>
      </c>
      <c r="AC2964" s="374">
        <f>COUNTIFS(B:B,B2964,H:H,'סיווג התפקידים והעלויות'!$D$2)</f>
        <v>0</v>
      </c>
      <c r="AD2964" s="374" t="str">
        <f>IF(OR(AND(H2964='סיווג התפקידים והעלויות'!$A$2,I2964='סיווג התפקידים והעלויות'!$A$3),'עלויות כח אדם (6)'!H2964='סיווג התפקידים והעלויות'!$C$2,'עלויות כח אדם (6)'!H2964='סיווג התפקידים והעלויות'!$D$2),IF('עלויות כח אדם (6)'!J2964&lt;75,"לא תקין","תקין"),"")</f>
        <v/>
      </c>
      <c r="AE2964" s="374" t="str">
        <f t="shared" si="705"/>
        <v/>
      </c>
      <c r="AF2964" s="532" t="str">
        <f t="shared" si="706"/>
        <v/>
      </c>
    </row>
    <row r="2965" spans="2:32" x14ac:dyDescent="0.25">
      <c r="B2965" s="695"/>
      <c r="C2965" s="197" t="str">
        <f>IF(B2965&lt;&gt;"",IFERROR(VLOOKUP(B:B,'מצבת והרשמה (2)'!$C$20:$N$520,2,0)," ")," ")</f>
        <v xml:space="preserve"> </v>
      </c>
      <c r="D2965" s="695"/>
      <c r="E2965" s="696"/>
      <c r="F2965" s="696"/>
      <c r="G2965" s="696"/>
      <c r="H2965" s="696"/>
      <c r="I2965" s="1050" t="str">
        <f t="shared" si="692"/>
        <v/>
      </c>
      <c r="J2965" s="696"/>
      <c r="K2965" s="697"/>
      <c r="L2965" s="696"/>
      <c r="M2965" s="198" t="str">
        <f t="shared" si="693"/>
        <v/>
      </c>
      <c r="N2965" s="369" t="str">
        <f t="shared" si="694"/>
        <v/>
      </c>
      <c r="O2965" s="183" t="str">
        <f t="shared" si="703"/>
        <v/>
      </c>
      <c r="P2965" s="199" t="str">
        <f t="shared" si="695"/>
        <v/>
      </c>
      <c r="Q2965" s="199" t="str">
        <f>IF(B2965="","",IFERROR(IF('עלויות כח אדם (6)'!J2965&gt;=VLOOKUP(I2965,'סיווג התפקידים והעלויות'!$B$23:$C$32,2,0),"תקין","לא תקין"),""))</f>
        <v/>
      </c>
      <c r="R2965" s="199" t="str">
        <f t="shared" si="696"/>
        <v/>
      </c>
      <c r="S2965" s="199" t="str">
        <f t="shared" si="697"/>
        <v/>
      </c>
      <c r="T2965" s="199" t="str">
        <f t="shared" si="704"/>
        <v/>
      </c>
      <c r="U2965" s="199" t="str">
        <f t="shared" si="698"/>
        <v/>
      </c>
      <c r="V2965" s="989"/>
      <c r="X2965" s="374" t="str">
        <f t="shared" si="699"/>
        <v/>
      </c>
      <c r="Y2965" s="375" t="str">
        <f t="shared" si="700"/>
        <v/>
      </c>
      <c r="Z2965" s="374" t="str">
        <f t="shared" si="701"/>
        <v/>
      </c>
      <c r="AA2965" s="374" t="b">
        <f t="shared" si="702"/>
        <v>1</v>
      </c>
      <c r="AB2965" s="374">
        <f>COUNTIFS(B:B,B2965,H:H,'סיווג התפקידים והעלויות'!$C$2)</f>
        <v>0</v>
      </c>
      <c r="AC2965" s="374">
        <f>COUNTIFS(B:B,B2965,H:H,'סיווג התפקידים והעלויות'!$D$2)</f>
        <v>0</v>
      </c>
      <c r="AD2965" s="374" t="str">
        <f>IF(OR(AND(H2965='סיווג התפקידים והעלויות'!$A$2,I2965='סיווג התפקידים והעלויות'!$A$3),'עלויות כח אדם (6)'!H2965='סיווג התפקידים והעלויות'!$C$2,'עלויות כח אדם (6)'!H2965='סיווג התפקידים והעלויות'!$D$2),IF('עלויות כח אדם (6)'!J2965&lt;75,"לא תקין","תקין"),"")</f>
        <v/>
      </c>
      <c r="AE2965" s="374" t="str">
        <f t="shared" si="705"/>
        <v/>
      </c>
      <c r="AF2965" s="532" t="str">
        <f t="shared" si="706"/>
        <v/>
      </c>
    </row>
    <row r="2966" spans="2:32" x14ac:dyDescent="0.25">
      <c r="B2966" s="695"/>
      <c r="C2966" s="197" t="str">
        <f>IF(B2966&lt;&gt;"",IFERROR(VLOOKUP(B:B,'מצבת והרשמה (2)'!$C$20:$N$520,2,0)," ")," ")</f>
        <v xml:space="preserve"> </v>
      </c>
      <c r="D2966" s="695"/>
      <c r="E2966" s="696"/>
      <c r="F2966" s="696"/>
      <c r="G2966" s="696"/>
      <c r="H2966" s="696"/>
      <c r="I2966" s="1050" t="str">
        <f t="shared" si="692"/>
        <v/>
      </c>
      <c r="J2966" s="696"/>
      <c r="K2966" s="697"/>
      <c r="L2966" s="696"/>
      <c r="M2966" s="198" t="str">
        <f t="shared" si="693"/>
        <v/>
      </c>
      <c r="N2966" s="369" t="str">
        <f t="shared" si="694"/>
        <v/>
      </c>
      <c r="O2966" s="183" t="str">
        <f t="shared" si="703"/>
        <v/>
      </c>
      <c r="P2966" s="199" t="str">
        <f t="shared" si="695"/>
        <v/>
      </c>
      <c r="Q2966" s="199" t="str">
        <f>IF(B2966="","",IFERROR(IF('עלויות כח אדם (6)'!J2966&gt;=VLOOKUP(I2966,'סיווג התפקידים והעלויות'!$B$23:$C$32,2,0),"תקין","לא תקין"),""))</f>
        <v/>
      </c>
      <c r="R2966" s="199" t="str">
        <f t="shared" si="696"/>
        <v/>
      </c>
      <c r="S2966" s="199" t="str">
        <f t="shared" si="697"/>
        <v/>
      </c>
      <c r="T2966" s="199" t="str">
        <f t="shared" si="704"/>
        <v/>
      </c>
      <c r="U2966" s="199" t="str">
        <f t="shared" si="698"/>
        <v/>
      </c>
      <c r="V2966" s="989"/>
      <c r="X2966" s="374" t="str">
        <f t="shared" si="699"/>
        <v/>
      </c>
      <c r="Y2966" s="375" t="str">
        <f t="shared" si="700"/>
        <v/>
      </c>
      <c r="Z2966" s="374" t="str">
        <f t="shared" si="701"/>
        <v/>
      </c>
      <c r="AA2966" s="374" t="b">
        <f t="shared" ref="AA2966:AA3014" si="707">MOD(MID(REPT(0,9-LEN(D2966))&amp;D2966,1,1)+MID("0246813579",MID(REPT(0,9-LEN(D2966))&amp;D2966,2,1)+1,1)+MID(REPT(0,9-LEN(D2966))&amp;D2966,3,1)+MID("0246813579",MID(REPT(0,9-LEN(D2966))&amp;D2966,4,1)+1,1)+MID(REPT(0,9-LEN(D2966))&amp;D2966,5,1)+MID("0246813579",MID(REPT(0,9-LEN(D2966))&amp;D2966,6,1)+1,1)+MID(REPT(0,9-LEN(D2966))&amp;D2966,7,1)+MID("0246813579",MID(REPT(0,9-LEN(D2966))&amp;D2966,8,1)+1,1)+MID(REPT(0,9-LEN(D2966))&amp;D2966,9,1),10)=0</f>
        <v>1</v>
      </c>
      <c r="AB2966" s="374">
        <f>COUNTIFS(B:B,B2966,H:H,'סיווג התפקידים והעלויות'!$C$2)</f>
        <v>0</v>
      </c>
      <c r="AC2966" s="374">
        <f>COUNTIFS(B:B,B2966,H:H,'סיווג התפקידים והעלויות'!$D$2)</f>
        <v>0</v>
      </c>
      <c r="AD2966" s="374" t="str">
        <f>IF(OR(AND(H2966='סיווג התפקידים והעלויות'!$A$2,I2966='סיווג התפקידים והעלויות'!$A$3),'עלויות כח אדם (6)'!H2966='סיווג התפקידים והעלויות'!$C$2,'עלויות כח אדם (6)'!H2966='סיווג התפקידים והעלויות'!$D$2),IF('עלויות כח אדם (6)'!J2966&lt;75,"לא תקין","תקין"),"")</f>
        <v/>
      </c>
      <c r="AE2966" s="374" t="str">
        <f t="shared" si="705"/>
        <v/>
      </c>
      <c r="AF2966" s="532" t="str">
        <f t="shared" si="706"/>
        <v/>
      </c>
    </row>
    <row r="2967" spans="2:32" x14ac:dyDescent="0.25">
      <c r="B2967" s="695"/>
      <c r="C2967" s="197" t="str">
        <f>IF(B2967&lt;&gt;"",IFERROR(VLOOKUP(B:B,'מצבת והרשמה (2)'!$C$20:$N$520,2,0)," ")," ")</f>
        <v xml:space="preserve"> </v>
      </c>
      <c r="D2967" s="695"/>
      <c r="E2967" s="696"/>
      <c r="F2967" s="696"/>
      <c r="G2967" s="696"/>
      <c r="H2967" s="696"/>
      <c r="I2967" s="1050" t="str">
        <f t="shared" si="692"/>
        <v/>
      </c>
      <c r="J2967" s="696"/>
      <c r="K2967" s="697"/>
      <c r="L2967" s="696"/>
      <c r="M2967" s="198" t="str">
        <f t="shared" si="693"/>
        <v/>
      </c>
      <c r="N2967" s="369" t="str">
        <f t="shared" si="694"/>
        <v/>
      </c>
      <c r="O2967" s="183" t="str">
        <f t="shared" si="703"/>
        <v/>
      </c>
      <c r="P2967" s="199" t="str">
        <f t="shared" si="695"/>
        <v/>
      </c>
      <c r="Q2967" s="199" t="str">
        <f>IF(B2967="","",IFERROR(IF('עלויות כח אדם (6)'!J2967&gt;=VLOOKUP(I2967,'סיווג התפקידים והעלויות'!$B$23:$C$32,2,0),"תקין","לא תקין"),""))</f>
        <v/>
      </c>
      <c r="R2967" s="199" t="str">
        <f t="shared" si="696"/>
        <v/>
      </c>
      <c r="S2967" s="199" t="str">
        <f t="shared" si="697"/>
        <v/>
      </c>
      <c r="T2967" s="199" t="str">
        <f t="shared" si="704"/>
        <v/>
      </c>
      <c r="U2967" s="199" t="str">
        <f t="shared" si="698"/>
        <v/>
      </c>
      <c r="V2967" s="989"/>
      <c r="X2967" s="374" t="str">
        <f t="shared" si="699"/>
        <v/>
      </c>
      <c r="Y2967" s="375" t="str">
        <f t="shared" si="700"/>
        <v/>
      </c>
      <c r="Z2967" s="374" t="str">
        <f t="shared" si="701"/>
        <v/>
      </c>
      <c r="AA2967" s="374" t="b">
        <f t="shared" si="707"/>
        <v>1</v>
      </c>
      <c r="AB2967" s="374">
        <f>COUNTIFS(B:B,B2967,H:H,'סיווג התפקידים והעלויות'!$C$2)</f>
        <v>0</v>
      </c>
      <c r="AC2967" s="374">
        <f>COUNTIFS(B:B,B2967,H:H,'סיווג התפקידים והעלויות'!$D$2)</f>
        <v>0</v>
      </c>
      <c r="AD2967" s="374" t="str">
        <f>IF(OR(AND(H2967='סיווג התפקידים והעלויות'!$A$2,I2967='סיווג התפקידים והעלויות'!$A$3),'עלויות כח אדם (6)'!H2967='סיווג התפקידים והעלויות'!$C$2,'עלויות כח אדם (6)'!H2967='סיווג התפקידים והעלויות'!$D$2),IF('עלויות כח אדם (6)'!J2967&lt;75,"לא תקין","תקין"),"")</f>
        <v/>
      </c>
      <c r="AE2967" s="374" t="str">
        <f t="shared" si="705"/>
        <v/>
      </c>
      <c r="AF2967" s="532" t="str">
        <f t="shared" si="706"/>
        <v/>
      </c>
    </row>
    <row r="2968" spans="2:32" x14ac:dyDescent="0.25">
      <c r="B2968" s="695"/>
      <c r="C2968" s="197" t="str">
        <f>IF(B2968&lt;&gt;"",IFERROR(VLOOKUP(B:B,'מצבת והרשמה (2)'!$C$20:$N$520,2,0)," ")," ")</f>
        <v xml:space="preserve"> </v>
      </c>
      <c r="D2968" s="695"/>
      <c r="E2968" s="696"/>
      <c r="F2968" s="696"/>
      <c r="G2968" s="696"/>
      <c r="H2968" s="696"/>
      <c r="I2968" s="1050" t="str">
        <f t="shared" si="692"/>
        <v/>
      </c>
      <c r="J2968" s="696"/>
      <c r="K2968" s="697"/>
      <c r="L2968" s="696"/>
      <c r="M2968" s="198" t="str">
        <f t="shared" si="693"/>
        <v/>
      </c>
      <c r="N2968" s="369" t="str">
        <f t="shared" si="694"/>
        <v/>
      </c>
      <c r="O2968" s="183" t="str">
        <f t="shared" si="703"/>
        <v/>
      </c>
      <c r="P2968" s="199" t="str">
        <f t="shared" si="695"/>
        <v/>
      </c>
      <c r="Q2968" s="199" t="str">
        <f>IF(B2968="","",IFERROR(IF('עלויות כח אדם (6)'!J2968&gt;=VLOOKUP(I2968,'סיווג התפקידים והעלויות'!$B$23:$C$32,2,0),"תקין","לא תקין"),""))</f>
        <v/>
      </c>
      <c r="R2968" s="199" t="str">
        <f t="shared" si="696"/>
        <v/>
      </c>
      <c r="S2968" s="199" t="str">
        <f t="shared" si="697"/>
        <v/>
      </c>
      <c r="T2968" s="199" t="str">
        <f t="shared" si="704"/>
        <v/>
      </c>
      <c r="U2968" s="199" t="str">
        <f t="shared" si="698"/>
        <v/>
      </c>
      <c r="V2968" s="989"/>
      <c r="X2968" s="374" t="str">
        <f t="shared" si="699"/>
        <v/>
      </c>
      <c r="Y2968" s="375" t="str">
        <f t="shared" si="700"/>
        <v/>
      </c>
      <c r="Z2968" s="374" t="str">
        <f t="shared" si="701"/>
        <v/>
      </c>
      <c r="AA2968" s="374" t="b">
        <f t="shared" si="707"/>
        <v>1</v>
      </c>
      <c r="AB2968" s="374">
        <f>COUNTIFS(B:B,B2968,H:H,'סיווג התפקידים והעלויות'!$C$2)</f>
        <v>0</v>
      </c>
      <c r="AC2968" s="374">
        <f>COUNTIFS(B:B,B2968,H:H,'סיווג התפקידים והעלויות'!$D$2)</f>
        <v>0</v>
      </c>
      <c r="AD2968" s="374" t="str">
        <f>IF(OR(AND(H2968='סיווג התפקידים והעלויות'!$A$2,I2968='סיווג התפקידים והעלויות'!$A$3),'עלויות כח אדם (6)'!H2968='סיווג התפקידים והעלויות'!$C$2,'עלויות כח אדם (6)'!H2968='סיווג התפקידים והעלויות'!$D$2),IF('עלויות כח אדם (6)'!J2968&lt;75,"לא תקין","תקין"),"")</f>
        <v/>
      </c>
      <c r="AE2968" s="374" t="str">
        <f t="shared" si="705"/>
        <v/>
      </c>
      <c r="AF2968" s="532" t="str">
        <f t="shared" si="706"/>
        <v/>
      </c>
    </row>
    <row r="2969" spans="2:32" x14ac:dyDescent="0.25">
      <c r="B2969" s="695"/>
      <c r="C2969" s="197" t="str">
        <f>IF(B2969&lt;&gt;"",IFERROR(VLOOKUP(B:B,'מצבת והרשמה (2)'!$C$20:$N$520,2,0)," ")," ")</f>
        <v xml:space="preserve"> </v>
      </c>
      <c r="D2969" s="695"/>
      <c r="E2969" s="696"/>
      <c r="F2969" s="696"/>
      <c r="G2969" s="696"/>
      <c r="H2969" s="696"/>
      <c r="I2969" s="1050" t="str">
        <f t="shared" si="692"/>
        <v/>
      </c>
      <c r="J2969" s="696"/>
      <c r="K2969" s="697"/>
      <c r="L2969" s="696"/>
      <c r="M2969" s="198" t="str">
        <f t="shared" si="693"/>
        <v/>
      </c>
      <c r="N2969" s="369" t="str">
        <f t="shared" si="694"/>
        <v/>
      </c>
      <c r="O2969" s="183" t="str">
        <f t="shared" si="703"/>
        <v/>
      </c>
      <c r="P2969" s="199" t="str">
        <f t="shared" si="695"/>
        <v/>
      </c>
      <c r="Q2969" s="199" t="str">
        <f>IF(B2969="","",IFERROR(IF('עלויות כח אדם (6)'!J2969&gt;=VLOOKUP(I2969,'סיווג התפקידים והעלויות'!$B$23:$C$32,2,0),"תקין","לא תקין"),""))</f>
        <v/>
      </c>
      <c r="R2969" s="199" t="str">
        <f t="shared" si="696"/>
        <v/>
      </c>
      <c r="S2969" s="199" t="str">
        <f t="shared" si="697"/>
        <v/>
      </c>
      <c r="T2969" s="199" t="str">
        <f t="shared" si="704"/>
        <v/>
      </c>
      <c r="U2969" s="199" t="str">
        <f t="shared" si="698"/>
        <v/>
      </c>
      <c r="V2969" s="989"/>
      <c r="X2969" s="374" t="str">
        <f t="shared" si="699"/>
        <v/>
      </c>
      <c r="Y2969" s="375" t="str">
        <f t="shared" si="700"/>
        <v/>
      </c>
      <c r="Z2969" s="374" t="str">
        <f t="shared" si="701"/>
        <v/>
      </c>
      <c r="AA2969" s="374" t="b">
        <f t="shared" si="707"/>
        <v>1</v>
      </c>
      <c r="AB2969" s="374">
        <f>COUNTIFS(B:B,B2969,H:H,'סיווג התפקידים והעלויות'!$C$2)</f>
        <v>0</v>
      </c>
      <c r="AC2969" s="374">
        <f>COUNTIFS(B:B,B2969,H:H,'סיווג התפקידים והעלויות'!$D$2)</f>
        <v>0</v>
      </c>
      <c r="AD2969" s="374" t="str">
        <f>IF(OR(AND(H2969='סיווג התפקידים והעלויות'!$A$2,I2969='סיווג התפקידים והעלויות'!$A$3),'עלויות כח אדם (6)'!H2969='סיווג התפקידים והעלויות'!$C$2,'עלויות כח אדם (6)'!H2969='סיווג התפקידים והעלויות'!$D$2),IF('עלויות כח אדם (6)'!J2969&lt;75,"לא תקין","תקין"),"")</f>
        <v/>
      </c>
      <c r="AE2969" s="374" t="str">
        <f t="shared" si="705"/>
        <v/>
      </c>
      <c r="AF2969" s="532" t="str">
        <f t="shared" si="706"/>
        <v/>
      </c>
    </row>
    <row r="2970" spans="2:32" x14ac:dyDescent="0.25">
      <c r="B2970" s="695"/>
      <c r="C2970" s="197" t="str">
        <f>IF(B2970&lt;&gt;"",IFERROR(VLOOKUP(B:B,'מצבת והרשמה (2)'!$C$20:$N$520,2,0)," ")," ")</f>
        <v xml:space="preserve"> </v>
      </c>
      <c r="D2970" s="695"/>
      <c r="E2970" s="696"/>
      <c r="F2970" s="696"/>
      <c r="G2970" s="696"/>
      <c r="H2970" s="696"/>
      <c r="I2970" s="1050" t="str">
        <f t="shared" si="692"/>
        <v/>
      </c>
      <c r="J2970" s="696"/>
      <c r="K2970" s="697"/>
      <c r="L2970" s="696"/>
      <c r="M2970" s="198" t="str">
        <f t="shared" si="693"/>
        <v/>
      </c>
      <c r="N2970" s="369" t="str">
        <f t="shared" si="694"/>
        <v/>
      </c>
      <c r="O2970" s="183" t="str">
        <f t="shared" si="703"/>
        <v/>
      </c>
      <c r="P2970" s="199" t="str">
        <f t="shared" si="695"/>
        <v/>
      </c>
      <c r="Q2970" s="199" t="str">
        <f>IF(B2970="","",IFERROR(IF('עלויות כח אדם (6)'!J2970&gt;=VLOOKUP(I2970,'סיווג התפקידים והעלויות'!$B$23:$C$32,2,0),"תקין","לא תקין"),""))</f>
        <v/>
      </c>
      <c r="R2970" s="199" t="str">
        <f t="shared" si="696"/>
        <v/>
      </c>
      <c r="S2970" s="199" t="str">
        <f t="shared" si="697"/>
        <v/>
      </c>
      <c r="T2970" s="199" t="str">
        <f t="shared" si="704"/>
        <v/>
      </c>
      <c r="U2970" s="199" t="str">
        <f t="shared" si="698"/>
        <v/>
      </c>
      <c r="V2970" s="989"/>
      <c r="X2970" s="374" t="str">
        <f t="shared" si="699"/>
        <v/>
      </c>
      <c r="Y2970" s="375" t="str">
        <f t="shared" si="700"/>
        <v/>
      </c>
      <c r="Z2970" s="374" t="str">
        <f t="shared" si="701"/>
        <v/>
      </c>
      <c r="AA2970" s="374" t="b">
        <f t="shared" si="707"/>
        <v>1</v>
      </c>
      <c r="AB2970" s="374">
        <f>COUNTIFS(B:B,B2970,H:H,'סיווג התפקידים והעלויות'!$C$2)</f>
        <v>0</v>
      </c>
      <c r="AC2970" s="374">
        <f>COUNTIFS(B:B,B2970,H:H,'סיווג התפקידים והעלויות'!$D$2)</f>
        <v>0</v>
      </c>
      <c r="AD2970" s="374" t="str">
        <f>IF(OR(AND(H2970='סיווג התפקידים והעלויות'!$A$2,I2970='סיווג התפקידים והעלויות'!$A$3),'עלויות כח אדם (6)'!H2970='סיווג התפקידים והעלויות'!$C$2,'עלויות כח אדם (6)'!H2970='סיווג התפקידים והעלויות'!$D$2),IF('עלויות כח אדם (6)'!J2970&lt;75,"לא תקין","תקין"),"")</f>
        <v/>
      </c>
      <c r="AE2970" s="374" t="str">
        <f t="shared" si="705"/>
        <v/>
      </c>
      <c r="AF2970" s="532" t="str">
        <f t="shared" si="706"/>
        <v/>
      </c>
    </row>
    <row r="2971" spans="2:32" x14ac:dyDescent="0.25">
      <c r="B2971" s="695"/>
      <c r="C2971" s="197" t="str">
        <f>IF(B2971&lt;&gt;"",IFERROR(VLOOKUP(B:B,'מצבת והרשמה (2)'!$C$20:$N$520,2,0)," ")," ")</f>
        <v xml:space="preserve"> </v>
      </c>
      <c r="D2971" s="695"/>
      <c r="E2971" s="696"/>
      <c r="F2971" s="696"/>
      <c r="G2971" s="696"/>
      <c r="H2971" s="696"/>
      <c r="I2971" s="1050" t="str">
        <f t="shared" si="692"/>
        <v/>
      </c>
      <c r="J2971" s="696"/>
      <c r="K2971" s="697"/>
      <c r="L2971" s="696"/>
      <c r="M2971" s="198" t="str">
        <f t="shared" si="693"/>
        <v/>
      </c>
      <c r="N2971" s="369" t="str">
        <f t="shared" si="694"/>
        <v/>
      </c>
      <c r="O2971" s="183" t="str">
        <f t="shared" si="703"/>
        <v/>
      </c>
      <c r="P2971" s="199" t="str">
        <f t="shared" si="695"/>
        <v/>
      </c>
      <c r="Q2971" s="199" t="str">
        <f>IF(B2971="","",IFERROR(IF('עלויות כח אדם (6)'!J2971&gt;=VLOOKUP(I2971,'סיווג התפקידים והעלויות'!$B$23:$C$32,2,0),"תקין","לא תקין"),""))</f>
        <v/>
      </c>
      <c r="R2971" s="199" t="str">
        <f t="shared" si="696"/>
        <v/>
      </c>
      <c r="S2971" s="199" t="str">
        <f t="shared" si="697"/>
        <v/>
      </c>
      <c r="T2971" s="199" t="str">
        <f t="shared" si="704"/>
        <v/>
      </c>
      <c r="U2971" s="199" t="str">
        <f t="shared" si="698"/>
        <v/>
      </c>
      <c r="V2971" s="989"/>
      <c r="X2971" s="374" t="str">
        <f t="shared" si="699"/>
        <v/>
      </c>
      <c r="Y2971" s="375" t="str">
        <f t="shared" si="700"/>
        <v/>
      </c>
      <c r="Z2971" s="374" t="str">
        <f t="shared" si="701"/>
        <v/>
      </c>
      <c r="AA2971" s="374" t="b">
        <f t="shared" si="707"/>
        <v>1</v>
      </c>
      <c r="AB2971" s="374">
        <f>COUNTIFS(B:B,B2971,H:H,'סיווג התפקידים והעלויות'!$C$2)</f>
        <v>0</v>
      </c>
      <c r="AC2971" s="374">
        <f>COUNTIFS(B:B,B2971,H:H,'סיווג התפקידים והעלויות'!$D$2)</f>
        <v>0</v>
      </c>
      <c r="AD2971" s="374" t="str">
        <f>IF(OR(AND(H2971='סיווג התפקידים והעלויות'!$A$2,I2971='סיווג התפקידים והעלויות'!$A$3),'עלויות כח אדם (6)'!H2971='סיווג התפקידים והעלויות'!$C$2,'עלויות כח אדם (6)'!H2971='סיווג התפקידים והעלויות'!$D$2),IF('עלויות כח אדם (6)'!J2971&lt;75,"לא תקין","תקין"),"")</f>
        <v/>
      </c>
      <c r="AE2971" s="374" t="str">
        <f t="shared" si="705"/>
        <v/>
      </c>
      <c r="AF2971" s="532" t="str">
        <f t="shared" si="706"/>
        <v/>
      </c>
    </row>
    <row r="2972" spans="2:32" x14ac:dyDescent="0.25">
      <c r="B2972" s="695"/>
      <c r="C2972" s="197" t="str">
        <f>IF(B2972&lt;&gt;"",IFERROR(VLOOKUP(B:B,'מצבת והרשמה (2)'!$C$20:$N$520,2,0)," ")," ")</f>
        <v xml:space="preserve"> </v>
      </c>
      <c r="D2972" s="695"/>
      <c r="E2972" s="696"/>
      <c r="F2972" s="696"/>
      <c r="G2972" s="696"/>
      <c r="H2972" s="696"/>
      <c r="I2972" s="1050" t="str">
        <f t="shared" si="692"/>
        <v/>
      </c>
      <c r="J2972" s="696"/>
      <c r="K2972" s="697"/>
      <c r="L2972" s="696"/>
      <c r="M2972" s="198" t="str">
        <f t="shared" si="693"/>
        <v/>
      </c>
      <c r="N2972" s="369" t="str">
        <f t="shared" si="694"/>
        <v/>
      </c>
      <c r="O2972" s="183" t="str">
        <f t="shared" si="703"/>
        <v/>
      </c>
      <c r="P2972" s="199" t="str">
        <f t="shared" si="695"/>
        <v/>
      </c>
      <c r="Q2972" s="199" t="str">
        <f>IF(B2972="","",IFERROR(IF('עלויות כח אדם (6)'!J2972&gt;=VLOOKUP(I2972,'סיווג התפקידים והעלויות'!$B$23:$C$32,2,0),"תקין","לא תקין"),""))</f>
        <v/>
      </c>
      <c r="R2972" s="199" t="str">
        <f t="shared" si="696"/>
        <v/>
      </c>
      <c r="S2972" s="199" t="str">
        <f t="shared" si="697"/>
        <v/>
      </c>
      <c r="T2972" s="199" t="str">
        <f t="shared" si="704"/>
        <v/>
      </c>
      <c r="U2972" s="199" t="str">
        <f t="shared" si="698"/>
        <v/>
      </c>
      <c r="V2972" s="989"/>
      <c r="X2972" s="374" t="str">
        <f t="shared" si="699"/>
        <v/>
      </c>
      <c r="Y2972" s="375" t="str">
        <f t="shared" si="700"/>
        <v/>
      </c>
      <c r="Z2972" s="374" t="str">
        <f t="shared" si="701"/>
        <v/>
      </c>
      <c r="AA2972" s="374" t="b">
        <f t="shared" si="707"/>
        <v>1</v>
      </c>
      <c r="AB2972" s="374">
        <f>COUNTIFS(B:B,B2972,H:H,'סיווג התפקידים והעלויות'!$C$2)</f>
        <v>0</v>
      </c>
      <c r="AC2972" s="374">
        <f>COUNTIFS(B:B,B2972,H:H,'סיווג התפקידים והעלויות'!$D$2)</f>
        <v>0</v>
      </c>
      <c r="AD2972" s="374" t="str">
        <f>IF(OR(AND(H2972='סיווג התפקידים והעלויות'!$A$2,I2972='סיווג התפקידים והעלויות'!$A$3),'עלויות כח אדם (6)'!H2972='סיווג התפקידים והעלויות'!$C$2,'עלויות כח אדם (6)'!H2972='סיווג התפקידים והעלויות'!$D$2),IF('עלויות כח אדם (6)'!J2972&lt;75,"לא תקין","תקין"),"")</f>
        <v/>
      </c>
      <c r="AE2972" s="374" t="str">
        <f t="shared" si="705"/>
        <v/>
      </c>
      <c r="AF2972" s="532" t="str">
        <f t="shared" si="706"/>
        <v/>
      </c>
    </row>
    <row r="2973" spans="2:32" x14ac:dyDescent="0.25">
      <c r="B2973" s="695"/>
      <c r="C2973" s="197" t="str">
        <f>IF(B2973&lt;&gt;"",IFERROR(VLOOKUP(B:B,'מצבת והרשמה (2)'!$C$20:$N$520,2,0)," ")," ")</f>
        <v xml:space="preserve"> </v>
      </c>
      <c r="D2973" s="695"/>
      <c r="E2973" s="696"/>
      <c r="F2973" s="696"/>
      <c r="G2973" s="696"/>
      <c r="H2973" s="696"/>
      <c r="I2973" s="1050" t="str">
        <f t="shared" si="692"/>
        <v/>
      </c>
      <c r="J2973" s="696"/>
      <c r="K2973" s="697"/>
      <c r="L2973" s="696"/>
      <c r="M2973" s="198" t="str">
        <f t="shared" si="693"/>
        <v/>
      </c>
      <c r="N2973" s="369" t="str">
        <f t="shared" si="694"/>
        <v/>
      </c>
      <c r="O2973" s="183" t="str">
        <f t="shared" si="703"/>
        <v/>
      </c>
      <c r="P2973" s="199" t="str">
        <f t="shared" si="695"/>
        <v/>
      </c>
      <c r="Q2973" s="199" t="str">
        <f>IF(B2973="","",IFERROR(IF('עלויות כח אדם (6)'!J2973&gt;=VLOOKUP(I2973,'סיווג התפקידים והעלויות'!$B$23:$C$32,2,0),"תקין","לא תקין"),""))</f>
        <v/>
      </c>
      <c r="R2973" s="199" t="str">
        <f t="shared" si="696"/>
        <v/>
      </c>
      <c r="S2973" s="199" t="str">
        <f t="shared" si="697"/>
        <v/>
      </c>
      <c r="T2973" s="199" t="str">
        <f t="shared" si="704"/>
        <v/>
      </c>
      <c r="U2973" s="199" t="str">
        <f t="shared" si="698"/>
        <v/>
      </c>
      <c r="V2973" s="989"/>
      <c r="X2973" s="374" t="str">
        <f t="shared" si="699"/>
        <v/>
      </c>
      <c r="Y2973" s="375" t="str">
        <f t="shared" si="700"/>
        <v/>
      </c>
      <c r="Z2973" s="374" t="str">
        <f t="shared" si="701"/>
        <v/>
      </c>
      <c r="AA2973" s="374" t="b">
        <f t="shared" si="707"/>
        <v>1</v>
      </c>
      <c r="AB2973" s="374">
        <f>COUNTIFS(B:B,B2973,H:H,'סיווג התפקידים והעלויות'!$C$2)</f>
        <v>0</v>
      </c>
      <c r="AC2973" s="374">
        <f>COUNTIFS(B:B,B2973,H:H,'סיווג התפקידים והעלויות'!$D$2)</f>
        <v>0</v>
      </c>
      <c r="AD2973" s="374" t="str">
        <f>IF(OR(AND(H2973='סיווג התפקידים והעלויות'!$A$2,I2973='סיווג התפקידים והעלויות'!$A$3),'עלויות כח אדם (6)'!H2973='סיווג התפקידים והעלויות'!$C$2,'עלויות כח אדם (6)'!H2973='סיווג התפקידים והעלויות'!$D$2),IF('עלויות כח אדם (6)'!J2973&lt;75,"לא תקין","תקין"),"")</f>
        <v/>
      </c>
      <c r="AE2973" s="374" t="str">
        <f t="shared" si="705"/>
        <v/>
      </c>
      <c r="AF2973" s="532" t="str">
        <f t="shared" si="706"/>
        <v/>
      </c>
    </row>
    <row r="2974" spans="2:32" x14ac:dyDescent="0.25">
      <c r="B2974" s="695"/>
      <c r="C2974" s="197" t="str">
        <f>IF(B2974&lt;&gt;"",IFERROR(VLOOKUP(B:B,'מצבת והרשמה (2)'!$C$20:$N$520,2,0)," ")," ")</f>
        <v xml:space="preserve"> </v>
      </c>
      <c r="D2974" s="695"/>
      <c r="E2974" s="696"/>
      <c r="F2974" s="696"/>
      <c r="G2974" s="696"/>
      <c r="H2974" s="696"/>
      <c r="I2974" s="1050" t="str">
        <f t="shared" si="692"/>
        <v/>
      </c>
      <c r="J2974" s="696"/>
      <c r="K2974" s="697"/>
      <c r="L2974" s="696"/>
      <c r="M2974" s="198" t="str">
        <f t="shared" si="693"/>
        <v/>
      </c>
      <c r="N2974" s="369" t="str">
        <f t="shared" si="694"/>
        <v/>
      </c>
      <c r="O2974" s="183" t="str">
        <f t="shared" si="703"/>
        <v/>
      </c>
      <c r="P2974" s="199" t="str">
        <f t="shared" si="695"/>
        <v/>
      </c>
      <c r="Q2974" s="199" t="str">
        <f>IF(B2974="","",IFERROR(IF('עלויות כח אדם (6)'!J2974&gt;=VLOOKUP(I2974,'סיווג התפקידים והעלויות'!$B$23:$C$32,2,0),"תקין","לא תקין"),""))</f>
        <v/>
      </c>
      <c r="R2974" s="199" t="str">
        <f t="shared" si="696"/>
        <v/>
      </c>
      <c r="S2974" s="199" t="str">
        <f t="shared" si="697"/>
        <v/>
      </c>
      <c r="T2974" s="199" t="str">
        <f t="shared" si="704"/>
        <v/>
      </c>
      <c r="U2974" s="199" t="str">
        <f t="shared" si="698"/>
        <v/>
      </c>
      <c r="V2974" s="989"/>
      <c r="X2974" s="374" t="str">
        <f t="shared" si="699"/>
        <v/>
      </c>
      <c r="Y2974" s="375" t="str">
        <f t="shared" si="700"/>
        <v/>
      </c>
      <c r="Z2974" s="374" t="str">
        <f t="shared" si="701"/>
        <v/>
      </c>
      <c r="AA2974" s="374" t="b">
        <f t="shared" si="707"/>
        <v>1</v>
      </c>
      <c r="AB2974" s="374">
        <f>COUNTIFS(B:B,B2974,H:H,'סיווג התפקידים והעלויות'!$C$2)</f>
        <v>0</v>
      </c>
      <c r="AC2974" s="374">
        <f>COUNTIFS(B:B,B2974,H:H,'סיווג התפקידים והעלויות'!$D$2)</f>
        <v>0</v>
      </c>
      <c r="AD2974" s="374" t="str">
        <f>IF(OR(AND(H2974='סיווג התפקידים והעלויות'!$A$2,I2974='סיווג התפקידים והעלויות'!$A$3),'עלויות כח אדם (6)'!H2974='סיווג התפקידים והעלויות'!$C$2,'עלויות כח אדם (6)'!H2974='סיווג התפקידים והעלויות'!$D$2),IF('עלויות כח אדם (6)'!J2974&lt;75,"לא תקין","תקין"),"")</f>
        <v/>
      </c>
      <c r="AE2974" s="374" t="str">
        <f t="shared" si="705"/>
        <v/>
      </c>
      <c r="AF2974" s="532" t="str">
        <f t="shared" si="706"/>
        <v/>
      </c>
    </row>
    <row r="2975" spans="2:32" x14ac:dyDescent="0.25">
      <c r="B2975" s="695"/>
      <c r="C2975" s="197" t="str">
        <f>IF(B2975&lt;&gt;"",IFERROR(VLOOKUP(B:B,'מצבת והרשמה (2)'!$C$20:$N$520,2,0)," ")," ")</f>
        <v xml:space="preserve"> </v>
      </c>
      <c r="D2975" s="695"/>
      <c r="E2975" s="696"/>
      <c r="F2975" s="696"/>
      <c r="G2975" s="696"/>
      <c r="H2975" s="696"/>
      <c r="I2975" s="1050" t="str">
        <f t="shared" si="692"/>
        <v/>
      </c>
      <c r="J2975" s="696"/>
      <c r="K2975" s="697"/>
      <c r="L2975" s="696"/>
      <c r="M2975" s="198" t="str">
        <f t="shared" si="693"/>
        <v/>
      </c>
      <c r="N2975" s="369" t="str">
        <f t="shared" si="694"/>
        <v/>
      </c>
      <c r="O2975" s="183" t="str">
        <f t="shared" si="703"/>
        <v/>
      </c>
      <c r="P2975" s="199" t="str">
        <f t="shared" si="695"/>
        <v/>
      </c>
      <c r="Q2975" s="199" t="str">
        <f>IF(B2975="","",IFERROR(IF('עלויות כח אדם (6)'!J2975&gt;=VLOOKUP(I2975,'סיווג התפקידים והעלויות'!$B$23:$C$32,2,0),"תקין","לא תקין"),""))</f>
        <v/>
      </c>
      <c r="R2975" s="199" t="str">
        <f t="shared" si="696"/>
        <v/>
      </c>
      <c r="S2975" s="199" t="str">
        <f t="shared" si="697"/>
        <v/>
      </c>
      <c r="T2975" s="199" t="str">
        <f t="shared" si="704"/>
        <v/>
      </c>
      <c r="U2975" s="199" t="str">
        <f t="shared" si="698"/>
        <v/>
      </c>
      <c r="V2975" s="989"/>
      <c r="X2975" s="374" t="str">
        <f t="shared" si="699"/>
        <v/>
      </c>
      <c r="Y2975" s="375" t="str">
        <f t="shared" si="700"/>
        <v/>
      </c>
      <c r="Z2975" s="374" t="str">
        <f t="shared" si="701"/>
        <v/>
      </c>
      <c r="AA2975" s="374" t="b">
        <f t="shared" si="707"/>
        <v>1</v>
      </c>
      <c r="AB2975" s="374">
        <f>COUNTIFS(B:B,B2975,H:H,'סיווג התפקידים והעלויות'!$C$2)</f>
        <v>0</v>
      </c>
      <c r="AC2975" s="374">
        <f>COUNTIFS(B:B,B2975,H:H,'סיווג התפקידים והעלויות'!$D$2)</f>
        <v>0</v>
      </c>
      <c r="AD2975" s="374" t="str">
        <f>IF(OR(AND(H2975='סיווג התפקידים והעלויות'!$A$2,I2975='סיווג התפקידים והעלויות'!$A$3),'עלויות כח אדם (6)'!H2975='סיווג התפקידים והעלויות'!$C$2,'עלויות כח אדם (6)'!H2975='סיווג התפקידים והעלויות'!$D$2),IF('עלויות כח אדם (6)'!J2975&lt;75,"לא תקין","תקין"),"")</f>
        <v/>
      </c>
      <c r="AE2975" s="374" t="str">
        <f t="shared" si="705"/>
        <v/>
      </c>
      <c r="AF2975" s="532" t="str">
        <f t="shared" si="706"/>
        <v/>
      </c>
    </row>
    <row r="2976" spans="2:32" x14ac:dyDescent="0.25">
      <c r="B2976" s="695"/>
      <c r="C2976" s="197" t="str">
        <f>IF(B2976&lt;&gt;"",IFERROR(VLOOKUP(B:B,'מצבת והרשמה (2)'!$C$20:$N$520,2,0)," ")," ")</f>
        <v xml:space="preserve"> </v>
      </c>
      <c r="D2976" s="695"/>
      <c r="E2976" s="696"/>
      <c r="F2976" s="696"/>
      <c r="G2976" s="696"/>
      <c r="H2976" s="696"/>
      <c r="I2976" s="1050" t="str">
        <f t="shared" si="692"/>
        <v/>
      </c>
      <c r="J2976" s="696"/>
      <c r="K2976" s="697"/>
      <c r="L2976" s="696"/>
      <c r="M2976" s="198" t="str">
        <f t="shared" si="693"/>
        <v/>
      </c>
      <c r="N2976" s="369" t="str">
        <f t="shared" si="694"/>
        <v/>
      </c>
      <c r="O2976" s="183" t="str">
        <f t="shared" si="703"/>
        <v/>
      </c>
      <c r="P2976" s="199" t="str">
        <f t="shared" si="695"/>
        <v/>
      </c>
      <c r="Q2976" s="199" t="str">
        <f>IF(B2976="","",IFERROR(IF('עלויות כח אדם (6)'!J2976&gt;=VLOOKUP(I2976,'סיווג התפקידים והעלויות'!$B$23:$C$32,2,0),"תקין","לא תקין"),""))</f>
        <v/>
      </c>
      <c r="R2976" s="199" t="str">
        <f t="shared" si="696"/>
        <v/>
      </c>
      <c r="S2976" s="199" t="str">
        <f t="shared" si="697"/>
        <v/>
      </c>
      <c r="T2976" s="199" t="str">
        <f t="shared" si="704"/>
        <v/>
      </c>
      <c r="U2976" s="199" t="str">
        <f t="shared" si="698"/>
        <v/>
      </c>
      <c r="V2976" s="989"/>
      <c r="X2976" s="374" t="str">
        <f t="shared" si="699"/>
        <v/>
      </c>
      <c r="Y2976" s="375" t="str">
        <f t="shared" si="700"/>
        <v/>
      </c>
      <c r="Z2976" s="374" t="str">
        <f t="shared" si="701"/>
        <v/>
      </c>
      <c r="AA2976" s="374" t="b">
        <f t="shared" si="707"/>
        <v>1</v>
      </c>
      <c r="AB2976" s="374">
        <f>COUNTIFS(B:B,B2976,H:H,'סיווג התפקידים והעלויות'!$C$2)</f>
        <v>0</v>
      </c>
      <c r="AC2976" s="374">
        <f>COUNTIFS(B:B,B2976,H:H,'סיווג התפקידים והעלויות'!$D$2)</f>
        <v>0</v>
      </c>
      <c r="AD2976" s="374" t="str">
        <f>IF(OR(AND(H2976='סיווג התפקידים והעלויות'!$A$2,I2976='סיווג התפקידים והעלויות'!$A$3),'עלויות כח אדם (6)'!H2976='סיווג התפקידים והעלויות'!$C$2,'עלויות כח אדם (6)'!H2976='סיווג התפקידים והעלויות'!$D$2),IF('עלויות כח אדם (6)'!J2976&lt;75,"לא תקין","תקין"),"")</f>
        <v/>
      </c>
      <c r="AE2976" s="374" t="str">
        <f t="shared" si="705"/>
        <v/>
      </c>
      <c r="AF2976" s="532" t="str">
        <f t="shared" si="706"/>
        <v/>
      </c>
    </row>
    <row r="2977" spans="2:32" x14ac:dyDescent="0.25">
      <c r="B2977" s="695"/>
      <c r="C2977" s="197" t="str">
        <f>IF(B2977&lt;&gt;"",IFERROR(VLOOKUP(B:B,'מצבת והרשמה (2)'!$C$20:$N$520,2,0)," ")," ")</f>
        <v xml:space="preserve"> </v>
      </c>
      <c r="D2977" s="695"/>
      <c r="E2977" s="696"/>
      <c r="F2977" s="696"/>
      <c r="G2977" s="696"/>
      <c r="H2977" s="696"/>
      <c r="I2977" s="1050" t="str">
        <f t="shared" si="692"/>
        <v/>
      </c>
      <c r="J2977" s="696"/>
      <c r="K2977" s="697"/>
      <c r="L2977" s="696"/>
      <c r="M2977" s="198" t="str">
        <f t="shared" si="693"/>
        <v/>
      </c>
      <c r="N2977" s="369" t="str">
        <f t="shared" si="694"/>
        <v/>
      </c>
      <c r="O2977" s="183" t="str">
        <f t="shared" si="703"/>
        <v/>
      </c>
      <c r="P2977" s="199" t="str">
        <f t="shared" si="695"/>
        <v/>
      </c>
      <c r="Q2977" s="199" t="str">
        <f>IF(B2977="","",IFERROR(IF('עלויות כח אדם (6)'!J2977&gt;=VLOOKUP(I2977,'סיווג התפקידים והעלויות'!$B$23:$C$32,2,0),"תקין","לא תקין"),""))</f>
        <v/>
      </c>
      <c r="R2977" s="199" t="str">
        <f t="shared" si="696"/>
        <v/>
      </c>
      <c r="S2977" s="199" t="str">
        <f t="shared" si="697"/>
        <v/>
      </c>
      <c r="T2977" s="199" t="str">
        <f t="shared" si="704"/>
        <v/>
      </c>
      <c r="U2977" s="199" t="str">
        <f t="shared" si="698"/>
        <v/>
      </c>
      <c r="V2977" s="989"/>
      <c r="X2977" s="374" t="str">
        <f t="shared" si="699"/>
        <v/>
      </c>
      <c r="Y2977" s="375" t="str">
        <f t="shared" si="700"/>
        <v/>
      </c>
      <c r="Z2977" s="374" t="str">
        <f t="shared" si="701"/>
        <v/>
      </c>
      <c r="AA2977" s="374" t="b">
        <f t="shared" si="707"/>
        <v>1</v>
      </c>
      <c r="AB2977" s="374">
        <f>COUNTIFS(B:B,B2977,H:H,'סיווג התפקידים והעלויות'!$C$2)</f>
        <v>0</v>
      </c>
      <c r="AC2977" s="374">
        <f>COUNTIFS(B:B,B2977,H:H,'סיווג התפקידים והעלויות'!$D$2)</f>
        <v>0</v>
      </c>
      <c r="AD2977" s="374" t="str">
        <f>IF(OR(AND(H2977='סיווג התפקידים והעלויות'!$A$2,I2977='סיווג התפקידים והעלויות'!$A$3),'עלויות כח אדם (6)'!H2977='סיווג התפקידים והעלויות'!$C$2,'עלויות כח אדם (6)'!H2977='סיווג התפקידים והעלויות'!$D$2),IF('עלויות כח אדם (6)'!J2977&lt;75,"לא תקין","תקין"),"")</f>
        <v/>
      </c>
      <c r="AE2977" s="374" t="str">
        <f t="shared" si="705"/>
        <v/>
      </c>
      <c r="AF2977" s="532" t="str">
        <f t="shared" si="706"/>
        <v/>
      </c>
    </row>
    <row r="2978" spans="2:32" x14ac:dyDescent="0.25">
      <c r="B2978" s="695"/>
      <c r="C2978" s="197" t="str">
        <f>IF(B2978&lt;&gt;"",IFERROR(VLOOKUP(B:B,'מצבת והרשמה (2)'!$C$20:$N$520,2,0)," ")," ")</f>
        <v xml:space="preserve"> </v>
      </c>
      <c r="D2978" s="695"/>
      <c r="E2978" s="696"/>
      <c r="F2978" s="696"/>
      <c r="G2978" s="696"/>
      <c r="H2978" s="696"/>
      <c r="I2978" s="1050" t="str">
        <f t="shared" si="692"/>
        <v/>
      </c>
      <c r="J2978" s="696"/>
      <c r="K2978" s="697"/>
      <c r="L2978" s="696"/>
      <c r="M2978" s="198" t="str">
        <f t="shared" si="693"/>
        <v/>
      </c>
      <c r="N2978" s="369" t="str">
        <f t="shared" si="694"/>
        <v/>
      </c>
      <c r="O2978" s="183" t="str">
        <f t="shared" si="703"/>
        <v/>
      </c>
      <c r="P2978" s="199" t="str">
        <f t="shared" si="695"/>
        <v/>
      </c>
      <c r="Q2978" s="199" t="str">
        <f>IF(B2978="","",IFERROR(IF('עלויות כח אדם (6)'!J2978&gt;=VLOOKUP(I2978,'סיווג התפקידים והעלויות'!$B$23:$C$32,2,0),"תקין","לא תקין"),""))</f>
        <v/>
      </c>
      <c r="R2978" s="199" t="str">
        <f t="shared" si="696"/>
        <v/>
      </c>
      <c r="S2978" s="199" t="str">
        <f t="shared" si="697"/>
        <v/>
      </c>
      <c r="T2978" s="199" t="str">
        <f t="shared" si="704"/>
        <v/>
      </c>
      <c r="U2978" s="199" t="str">
        <f t="shared" si="698"/>
        <v/>
      </c>
      <c r="V2978" s="989"/>
      <c r="X2978" s="374" t="str">
        <f t="shared" si="699"/>
        <v/>
      </c>
      <c r="Y2978" s="375" t="str">
        <f t="shared" si="700"/>
        <v/>
      </c>
      <c r="Z2978" s="374" t="str">
        <f t="shared" si="701"/>
        <v/>
      </c>
      <c r="AA2978" s="374" t="b">
        <f t="shared" si="707"/>
        <v>1</v>
      </c>
      <c r="AB2978" s="374">
        <f>COUNTIFS(B:B,B2978,H:H,'סיווג התפקידים והעלויות'!$C$2)</f>
        <v>0</v>
      </c>
      <c r="AC2978" s="374">
        <f>COUNTIFS(B:B,B2978,H:H,'סיווג התפקידים והעלויות'!$D$2)</f>
        <v>0</v>
      </c>
      <c r="AD2978" s="374" t="str">
        <f>IF(OR(AND(H2978='סיווג התפקידים והעלויות'!$A$2,I2978='סיווג התפקידים והעלויות'!$A$3),'עלויות כח אדם (6)'!H2978='סיווג התפקידים והעלויות'!$C$2,'עלויות כח אדם (6)'!H2978='סיווג התפקידים והעלויות'!$D$2),IF('עלויות כח אדם (6)'!J2978&lt;75,"לא תקין","תקין"),"")</f>
        <v/>
      </c>
      <c r="AE2978" s="374" t="str">
        <f t="shared" si="705"/>
        <v/>
      </c>
      <c r="AF2978" s="532" t="str">
        <f t="shared" si="706"/>
        <v/>
      </c>
    </row>
    <row r="2979" spans="2:32" x14ac:dyDescent="0.25">
      <c r="B2979" s="695"/>
      <c r="C2979" s="197" t="str">
        <f>IF(B2979&lt;&gt;"",IFERROR(VLOOKUP(B:B,'מצבת והרשמה (2)'!$C$20:$N$520,2,0)," ")," ")</f>
        <v xml:space="preserve"> </v>
      </c>
      <c r="D2979" s="695"/>
      <c r="E2979" s="696"/>
      <c r="F2979" s="696"/>
      <c r="G2979" s="696"/>
      <c r="H2979" s="696"/>
      <c r="I2979" s="1050" t="str">
        <f t="shared" si="692"/>
        <v/>
      </c>
      <c r="J2979" s="696"/>
      <c r="K2979" s="697"/>
      <c r="L2979" s="696"/>
      <c r="M2979" s="198" t="str">
        <f t="shared" si="693"/>
        <v/>
      </c>
      <c r="N2979" s="369" t="str">
        <f t="shared" si="694"/>
        <v/>
      </c>
      <c r="O2979" s="183" t="str">
        <f t="shared" si="703"/>
        <v/>
      </c>
      <c r="P2979" s="199" t="str">
        <f t="shared" si="695"/>
        <v/>
      </c>
      <c r="Q2979" s="199" t="str">
        <f>IF(B2979="","",IFERROR(IF('עלויות כח אדם (6)'!J2979&gt;=VLOOKUP(I2979,'סיווג התפקידים והעלויות'!$B$23:$C$32,2,0),"תקין","לא תקין"),""))</f>
        <v/>
      </c>
      <c r="R2979" s="199" t="str">
        <f t="shared" si="696"/>
        <v/>
      </c>
      <c r="S2979" s="199" t="str">
        <f t="shared" si="697"/>
        <v/>
      </c>
      <c r="T2979" s="199" t="str">
        <f t="shared" si="704"/>
        <v/>
      </c>
      <c r="U2979" s="199" t="str">
        <f t="shared" si="698"/>
        <v/>
      </c>
      <c r="V2979" s="989"/>
      <c r="X2979" s="374" t="str">
        <f t="shared" si="699"/>
        <v/>
      </c>
      <c r="Y2979" s="375" t="str">
        <f t="shared" si="700"/>
        <v/>
      </c>
      <c r="Z2979" s="374" t="str">
        <f t="shared" si="701"/>
        <v/>
      </c>
      <c r="AA2979" s="374" t="b">
        <f t="shared" si="707"/>
        <v>1</v>
      </c>
      <c r="AB2979" s="374">
        <f>COUNTIFS(B:B,B2979,H:H,'סיווג התפקידים והעלויות'!$C$2)</f>
        <v>0</v>
      </c>
      <c r="AC2979" s="374">
        <f>COUNTIFS(B:B,B2979,H:H,'סיווג התפקידים והעלויות'!$D$2)</f>
        <v>0</v>
      </c>
      <c r="AD2979" s="374" t="str">
        <f>IF(OR(AND(H2979='סיווג התפקידים והעלויות'!$A$2,I2979='סיווג התפקידים והעלויות'!$A$3),'עלויות כח אדם (6)'!H2979='סיווג התפקידים והעלויות'!$C$2,'עלויות כח אדם (6)'!H2979='סיווג התפקידים והעלויות'!$D$2),IF('עלויות כח אדם (6)'!J2979&lt;75,"לא תקין","תקין"),"")</f>
        <v/>
      </c>
      <c r="AE2979" s="374" t="str">
        <f t="shared" si="705"/>
        <v/>
      </c>
      <c r="AF2979" s="532" t="str">
        <f t="shared" si="706"/>
        <v/>
      </c>
    </row>
    <row r="2980" spans="2:32" x14ac:dyDescent="0.25">
      <c r="B2980" s="695"/>
      <c r="C2980" s="197" t="str">
        <f>IF(B2980&lt;&gt;"",IFERROR(VLOOKUP(B:B,'מצבת והרשמה (2)'!$C$20:$N$520,2,0)," ")," ")</f>
        <v xml:space="preserve"> </v>
      </c>
      <c r="D2980" s="695"/>
      <c r="E2980" s="696"/>
      <c r="F2980" s="696"/>
      <c r="G2980" s="696"/>
      <c r="H2980" s="696"/>
      <c r="I2980" s="1050" t="str">
        <f t="shared" si="692"/>
        <v/>
      </c>
      <c r="J2980" s="696"/>
      <c r="K2980" s="697"/>
      <c r="L2980" s="696"/>
      <c r="M2980" s="198" t="str">
        <f t="shared" si="693"/>
        <v/>
      </c>
      <c r="N2980" s="369" t="str">
        <f t="shared" si="694"/>
        <v/>
      </c>
      <c r="O2980" s="183" t="str">
        <f t="shared" si="703"/>
        <v/>
      </c>
      <c r="P2980" s="199" t="str">
        <f t="shared" si="695"/>
        <v/>
      </c>
      <c r="Q2980" s="199" t="str">
        <f>IF(B2980="","",IFERROR(IF('עלויות כח אדם (6)'!J2980&gt;=VLOOKUP(I2980,'סיווג התפקידים והעלויות'!$B$23:$C$32,2,0),"תקין","לא תקין"),""))</f>
        <v/>
      </c>
      <c r="R2980" s="199" t="str">
        <f t="shared" si="696"/>
        <v/>
      </c>
      <c r="S2980" s="199" t="str">
        <f t="shared" si="697"/>
        <v/>
      </c>
      <c r="T2980" s="199" t="str">
        <f t="shared" si="704"/>
        <v/>
      </c>
      <c r="U2980" s="199" t="str">
        <f t="shared" si="698"/>
        <v/>
      </c>
      <c r="V2980" s="989"/>
      <c r="X2980" s="374" t="str">
        <f t="shared" si="699"/>
        <v/>
      </c>
      <c r="Y2980" s="375" t="str">
        <f t="shared" si="700"/>
        <v/>
      </c>
      <c r="Z2980" s="374" t="str">
        <f t="shared" si="701"/>
        <v/>
      </c>
      <c r="AA2980" s="374" t="b">
        <f t="shared" si="707"/>
        <v>1</v>
      </c>
      <c r="AB2980" s="374">
        <f>COUNTIFS(B:B,B2980,H:H,'סיווג התפקידים והעלויות'!$C$2)</f>
        <v>0</v>
      </c>
      <c r="AC2980" s="374">
        <f>COUNTIFS(B:B,B2980,H:H,'סיווג התפקידים והעלויות'!$D$2)</f>
        <v>0</v>
      </c>
      <c r="AD2980" s="374" t="str">
        <f>IF(OR(AND(H2980='סיווג התפקידים והעלויות'!$A$2,I2980='סיווג התפקידים והעלויות'!$A$3),'עלויות כח אדם (6)'!H2980='סיווג התפקידים והעלויות'!$C$2,'עלויות כח אדם (6)'!H2980='סיווג התפקידים והעלויות'!$D$2),IF('עלויות כח אדם (6)'!J2980&lt;75,"לא תקין","תקין"),"")</f>
        <v/>
      </c>
      <c r="AE2980" s="374" t="str">
        <f t="shared" si="705"/>
        <v/>
      </c>
      <c r="AF2980" s="532" t="str">
        <f t="shared" si="706"/>
        <v/>
      </c>
    </row>
    <row r="2981" spans="2:32" x14ac:dyDescent="0.25">
      <c r="B2981" s="695"/>
      <c r="C2981" s="197" t="str">
        <f>IF(B2981&lt;&gt;"",IFERROR(VLOOKUP(B:B,'מצבת והרשמה (2)'!$C$20:$N$520,2,0)," ")," ")</f>
        <v xml:space="preserve"> </v>
      </c>
      <c r="D2981" s="695"/>
      <c r="E2981" s="696"/>
      <c r="F2981" s="696"/>
      <c r="G2981" s="696"/>
      <c r="H2981" s="696"/>
      <c r="I2981" s="1050" t="str">
        <f t="shared" si="692"/>
        <v/>
      </c>
      <c r="J2981" s="696"/>
      <c r="K2981" s="697"/>
      <c r="L2981" s="696"/>
      <c r="M2981" s="198" t="str">
        <f t="shared" si="693"/>
        <v/>
      </c>
      <c r="N2981" s="369" t="str">
        <f t="shared" si="694"/>
        <v/>
      </c>
      <c r="O2981" s="183" t="str">
        <f t="shared" si="703"/>
        <v/>
      </c>
      <c r="P2981" s="199" t="str">
        <f t="shared" si="695"/>
        <v/>
      </c>
      <c r="Q2981" s="199" t="str">
        <f>IF(B2981="","",IFERROR(IF('עלויות כח אדם (6)'!J2981&gt;=VLOOKUP(I2981,'סיווג התפקידים והעלויות'!$B$23:$C$32,2,0),"תקין","לא תקין"),""))</f>
        <v/>
      </c>
      <c r="R2981" s="199" t="str">
        <f t="shared" si="696"/>
        <v/>
      </c>
      <c r="S2981" s="199" t="str">
        <f t="shared" si="697"/>
        <v/>
      </c>
      <c r="T2981" s="199" t="str">
        <f t="shared" si="704"/>
        <v/>
      </c>
      <c r="U2981" s="199" t="str">
        <f t="shared" si="698"/>
        <v/>
      </c>
      <c r="V2981" s="989"/>
      <c r="X2981" s="374" t="str">
        <f t="shared" si="699"/>
        <v/>
      </c>
      <c r="Y2981" s="375" t="str">
        <f t="shared" si="700"/>
        <v/>
      </c>
      <c r="Z2981" s="374" t="str">
        <f t="shared" si="701"/>
        <v/>
      </c>
      <c r="AA2981" s="374" t="b">
        <f t="shared" si="707"/>
        <v>1</v>
      </c>
      <c r="AB2981" s="374">
        <f>COUNTIFS(B:B,B2981,H:H,'סיווג התפקידים והעלויות'!$C$2)</f>
        <v>0</v>
      </c>
      <c r="AC2981" s="374">
        <f>COUNTIFS(B:B,B2981,H:H,'סיווג התפקידים והעלויות'!$D$2)</f>
        <v>0</v>
      </c>
      <c r="AD2981" s="374" t="str">
        <f>IF(OR(AND(H2981='סיווג התפקידים והעלויות'!$A$2,I2981='סיווג התפקידים והעלויות'!$A$3),'עלויות כח אדם (6)'!H2981='סיווג התפקידים והעלויות'!$C$2,'עלויות כח אדם (6)'!H2981='סיווג התפקידים והעלויות'!$D$2),IF('עלויות כח אדם (6)'!J2981&lt;75,"לא תקין","תקין"),"")</f>
        <v/>
      </c>
      <c r="AE2981" s="374" t="str">
        <f t="shared" si="705"/>
        <v/>
      </c>
      <c r="AF2981" s="532" t="str">
        <f t="shared" si="706"/>
        <v/>
      </c>
    </row>
    <row r="2982" spans="2:32" x14ac:dyDescent="0.25">
      <c r="B2982" s="695"/>
      <c r="C2982" s="197" t="str">
        <f>IF(B2982&lt;&gt;"",IFERROR(VLOOKUP(B:B,'מצבת והרשמה (2)'!$C$20:$N$520,2,0)," ")," ")</f>
        <v xml:space="preserve"> </v>
      </c>
      <c r="D2982" s="695"/>
      <c r="E2982" s="696"/>
      <c r="F2982" s="696"/>
      <c r="G2982" s="696"/>
      <c r="H2982" s="696"/>
      <c r="I2982" s="1050" t="str">
        <f t="shared" si="692"/>
        <v/>
      </c>
      <c r="J2982" s="696"/>
      <c r="K2982" s="697"/>
      <c r="L2982" s="696"/>
      <c r="M2982" s="198" t="str">
        <f t="shared" si="693"/>
        <v/>
      </c>
      <c r="N2982" s="369" t="str">
        <f t="shared" si="694"/>
        <v/>
      </c>
      <c r="O2982" s="183" t="str">
        <f t="shared" si="703"/>
        <v/>
      </c>
      <c r="P2982" s="199" t="str">
        <f t="shared" si="695"/>
        <v/>
      </c>
      <c r="Q2982" s="199" t="str">
        <f>IF(B2982="","",IFERROR(IF('עלויות כח אדם (6)'!J2982&gt;=VLOOKUP(I2982,'סיווג התפקידים והעלויות'!$B$23:$C$32,2,0),"תקין","לא תקין"),""))</f>
        <v/>
      </c>
      <c r="R2982" s="199" t="str">
        <f t="shared" si="696"/>
        <v/>
      </c>
      <c r="S2982" s="199" t="str">
        <f t="shared" si="697"/>
        <v/>
      </c>
      <c r="T2982" s="199" t="str">
        <f t="shared" si="704"/>
        <v/>
      </c>
      <c r="U2982" s="199" t="str">
        <f t="shared" si="698"/>
        <v/>
      </c>
      <c r="V2982" s="989"/>
      <c r="X2982" s="374" t="str">
        <f t="shared" si="699"/>
        <v/>
      </c>
      <c r="Y2982" s="375" t="str">
        <f t="shared" si="700"/>
        <v/>
      </c>
      <c r="Z2982" s="374" t="str">
        <f t="shared" si="701"/>
        <v/>
      </c>
      <c r="AA2982" s="374" t="b">
        <f t="shared" si="707"/>
        <v>1</v>
      </c>
      <c r="AB2982" s="374">
        <f>COUNTIFS(B:B,B2982,H:H,'סיווג התפקידים והעלויות'!$C$2)</f>
        <v>0</v>
      </c>
      <c r="AC2982" s="374">
        <f>COUNTIFS(B:B,B2982,H:H,'סיווג התפקידים והעלויות'!$D$2)</f>
        <v>0</v>
      </c>
      <c r="AD2982" s="374" t="str">
        <f>IF(OR(AND(H2982='סיווג התפקידים והעלויות'!$A$2,I2982='סיווג התפקידים והעלויות'!$A$3),'עלויות כח אדם (6)'!H2982='סיווג התפקידים והעלויות'!$C$2,'עלויות כח אדם (6)'!H2982='סיווג התפקידים והעלויות'!$D$2),IF('עלויות כח אדם (6)'!J2982&lt;75,"לא תקין","תקין"),"")</f>
        <v/>
      </c>
      <c r="AE2982" s="374" t="str">
        <f t="shared" si="705"/>
        <v/>
      </c>
      <c r="AF2982" s="532" t="str">
        <f t="shared" si="706"/>
        <v/>
      </c>
    </row>
    <row r="2983" spans="2:32" x14ac:dyDescent="0.25">
      <c r="B2983" s="695"/>
      <c r="C2983" s="197" t="str">
        <f>IF(B2983&lt;&gt;"",IFERROR(VLOOKUP(B:B,'מצבת והרשמה (2)'!$C$20:$N$520,2,0)," ")," ")</f>
        <v xml:space="preserve"> </v>
      </c>
      <c r="D2983" s="695"/>
      <c r="E2983" s="696"/>
      <c r="F2983" s="696"/>
      <c r="G2983" s="696"/>
      <c r="H2983" s="696"/>
      <c r="I2983" s="1050" t="str">
        <f t="shared" si="692"/>
        <v/>
      </c>
      <c r="J2983" s="696"/>
      <c r="K2983" s="697"/>
      <c r="L2983" s="696"/>
      <c r="M2983" s="198" t="str">
        <f t="shared" si="693"/>
        <v/>
      </c>
      <c r="N2983" s="369" t="str">
        <f t="shared" si="694"/>
        <v/>
      </c>
      <c r="O2983" s="183" t="str">
        <f t="shared" si="703"/>
        <v/>
      </c>
      <c r="P2983" s="199" t="str">
        <f t="shared" si="695"/>
        <v/>
      </c>
      <c r="Q2983" s="199" t="str">
        <f>IF(B2983="","",IFERROR(IF('עלויות כח אדם (6)'!J2983&gt;=VLOOKUP(I2983,'סיווג התפקידים והעלויות'!$B$23:$C$32,2,0),"תקין","לא תקין"),""))</f>
        <v/>
      </c>
      <c r="R2983" s="199" t="str">
        <f t="shared" si="696"/>
        <v/>
      </c>
      <c r="S2983" s="199" t="str">
        <f t="shared" si="697"/>
        <v/>
      </c>
      <c r="T2983" s="199" t="str">
        <f t="shared" si="704"/>
        <v/>
      </c>
      <c r="U2983" s="199" t="str">
        <f t="shared" si="698"/>
        <v/>
      </c>
      <c r="V2983" s="989"/>
      <c r="X2983" s="374" t="str">
        <f t="shared" si="699"/>
        <v/>
      </c>
      <c r="Y2983" s="375" t="str">
        <f t="shared" si="700"/>
        <v/>
      </c>
      <c r="Z2983" s="374" t="str">
        <f t="shared" si="701"/>
        <v/>
      </c>
      <c r="AA2983" s="374" t="b">
        <f t="shared" si="707"/>
        <v>1</v>
      </c>
      <c r="AB2983" s="374">
        <f>COUNTIFS(B:B,B2983,H:H,'סיווג התפקידים והעלויות'!$C$2)</f>
        <v>0</v>
      </c>
      <c r="AC2983" s="374">
        <f>COUNTIFS(B:B,B2983,H:H,'סיווג התפקידים והעלויות'!$D$2)</f>
        <v>0</v>
      </c>
      <c r="AD2983" s="374" t="str">
        <f>IF(OR(AND(H2983='סיווג התפקידים והעלויות'!$A$2,I2983='סיווג התפקידים והעלויות'!$A$3),'עלויות כח אדם (6)'!H2983='סיווג התפקידים והעלויות'!$C$2,'עלויות כח אדם (6)'!H2983='סיווג התפקידים והעלויות'!$D$2),IF('עלויות כח אדם (6)'!J2983&lt;75,"לא תקין","תקין"),"")</f>
        <v/>
      </c>
      <c r="AE2983" s="374" t="str">
        <f t="shared" si="705"/>
        <v/>
      </c>
      <c r="AF2983" s="532" t="str">
        <f t="shared" si="706"/>
        <v/>
      </c>
    </row>
    <row r="2984" spans="2:32" x14ac:dyDescent="0.25">
      <c r="B2984" s="695"/>
      <c r="C2984" s="197" t="str">
        <f>IF(B2984&lt;&gt;"",IFERROR(VLOOKUP(B:B,'מצבת והרשמה (2)'!$C$20:$N$520,2,0)," ")," ")</f>
        <v xml:space="preserve"> </v>
      </c>
      <c r="D2984" s="695"/>
      <c r="E2984" s="696"/>
      <c r="F2984" s="696"/>
      <c r="G2984" s="696"/>
      <c r="H2984" s="696"/>
      <c r="I2984" s="1050" t="str">
        <f t="shared" si="692"/>
        <v/>
      </c>
      <c r="J2984" s="696"/>
      <c r="K2984" s="697"/>
      <c r="L2984" s="696"/>
      <c r="M2984" s="198" t="str">
        <f t="shared" si="693"/>
        <v/>
      </c>
      <c r="N2984" s="369" t="str">
        <f t="shared" si="694"/>
        <v/>
      </c>
      <c r="O2984" s="183" t="str">
        <f t="shared" si="703"/>
        <v/>
      </c>
      <c r="P2984" s="199" t="str">
        <f t="shared" si="695"/>
        <v/>
      </c>
      <c r="Q2984" s="199" t="str">
        <f>IF(B2984="","",IFERROR(IF('עלויות כח אדם (6)'!J2984&gt;=VLOOKUP(I2984,'סיווג התפקידים והעלויות'!$B$23:$C$32,2,0),"תקין","לא תקין"),""))</f>
        <v/>
      </c>
      <c r="R2984" s="199" t="str">
        <f t="shared" si="696"/>
        <v/>
      </c>
      <c r="S2984" s="199" t="str">
        <f t="shared" si="697"/>
        <v/>
      </c>
      <c r="T2984" s="199" t="str">
        <f t="shared" si="704"/>
        <v/>
      </c>
      <c r="U2984" s="199" t="str">
        <f t="shared" si="698"/>
        <v/>
      </c>
      <c r="V2984" s="989"/>
      <c r="X2984" s="374" t="str">
        <f t="shared" si="699"/>
        <v/>
      </c>
      <c r="Y2984" s="375" t="str">
        <f t="shared" si="700"/>
        <v/>
      </c>
      <c r="Z2984" s="374" t="str">
        <f t="shared" si="701"/>
        <v/>
      </c>
      <c r="AA2984" s="374" t="b">
        <f t="shared" si="707"/>
        <v>1</v>
      </c>
      <c r="AB2984" s="374">
        <f>COUNTIFS(B:B,B2984,H:H,'סיווג התפקידים והעלויות'!$C$2)</f>
        <v>0</v>
      </c>
      <c r="AC2984" s="374">
        <f>COUNTIFS(B:B,B2984,H:H,'סיווג התפקידים והעלויות'!$D$2)</f>
        <v>0</v>
      </c>
      <c r="AD2984" s="374" t="str">
        <f>IF(OR(AND(H2984='סיווג התפקידים והעלויות'!$A$2,I2984='סיווג התפקידים והעלויות'!$A$3),'עלויות כח אדם (6)'!H2984='סיווג התפקידים והעלויות'!$C$2,'עלויות כח אדם (6)'!H2984='סיווג התפקידים והעלויות'!$D$2),IF('עלויות כח אדם (6)'!J2984&lt;75,"לא תקין","תקין"),"")</f>
        <v/>
      </c>
      <c r="AE2984" s="374" t="str">
        <f t="shared" si="705"/>
        <v/>
      </c>
      <c r="AF2984" s="532" t="str">
        <f t="shared" si="706"/>
        <v/>
      </c>
    </row>
    <row r="2985" spans="2:32" x14ac:dyDescent="0.25">
      <c r="B2985" s="695"/>
      <c r="C2985" s="197" t="str">
        <f>IF(B2985&lt;&gt;"",IFERROR(VLOOKUP(B:B,'מצבת והרשמה (2)'!$C$20:$N$520,2,0)," ")," ")</f>
        <v xml:space="preserve"> </v>
      </c>
      <c r="D2985" s="695"/>
      <c r="E2985" s="696"/>
      <c r="F2985" s="696"/>
      <c r="G2985" s="696"/>
      <c r="H2985" s="696"/>
      <c r="I2985" s="1050" t="str">
        <f t="shared" si="692"/>
        <v/>
      </c>
      <c r="J2985" s="696"/>
      <c r="K2985" s="697"/>
      <c r="L2985" s="696"/>
      <c r="M2985" s="198" t="str">
        <f t="shared" si="693"/>
        <v/>
      </c>
      <c r="N2985" s="369" t="str">
        <f t="shared" si="694"/>
        <v/>
      </c>
      <c r="O2985" s="183" t="str">
        <f t="shared" si="703"/>
        <v/>
      </c>
      <c r="P2985" s="199" t="str">
        <f t="shared" si="695"/>
        <v/>
      </c>
      <c r="Q2985" s="199" t="str">
        <f>IF(B2985="","",IFERROR(IF('עלויות כח אדם (6)'!J2985&gt;=VLOOKUP(I2985,'סיווג התפקידים והעלויות'!$B$23:$C$32,2,0),"תקין","לא תקין"),""))</f>
        <v/>
      </c>
      <c r="R2985" s="199" t="str">
        <f t="shared" si="696"/>
        <v/>
      </c>
      <c r="S2985" s="199" t="str">
        <f t="shared" si="697"/>
        <v/>
      </c>
      <c r="T2985" s="199" t="str">
        <f t="shared" si="704"/>
        <v/>
      </c>
      <c r="U2985" s="199" t="str">
        <f t="shared" si="698"/>
        <v/>
      </c>
      <c r="V2985" s="989"/>
      <c r="X2985" s="374" t="str">
        <f t="shared" si="699"/>
        <v/>
      </c>
      <c r="Y2985" s="375" t="str">
        <f t="shared" si="700"/>
        <v/>
      </c>
      <c r="Z2985" s="374" t="str">
        <f t="shared" si="701"/>
        <v/>
      </c>
      <c r="AA2985" s="374" t="b">
        <f t="shared" si="707"/>
        <v>1</v>
      </c>
      <c r="AB2985" s="374">
        <f>COUNTIFS(B:B,B2985,H:H,'סיווג התפקידים והעלויות'!$C$2)</f>
        <v>0</v>
      </c>
      <c r="AC2985" s="374">
        <f>COUNTIFS(B:B,B2985,H:H,'סיווג התפקידים והעלויות'!$D$2)</f>
        <v>0</v>
      </c>
      <c r="AD2985" s="374" t="str">
        <f>IF(OR(AND(H2985='סיווג התפקידים והעלויות'!$A$2,I2985='סיווג התפקידים והעלויות'!$A$3),'עלויות כח אדם (6)'!H2985='סיווג התפקידים והעלויות'!$C$2,'עלויות כח אדם (6)'!H2985='סיווג התפקידים והעלויות'!$D$2),IF('עלויות כח אדם (6)'!J2985&lt;75,"לא תקין","תקין"),"")</f>
        <v/>
      </c>
      <c r="AE2985" s="374" t="str">
        <f t="shared" si="705"/>
        <v/>
      </c>
      <c r="AF2985" s="532" t="str">
        <f t="shared" si="706"/>
        <v/>
      </c>
    </row>
    <row r="2986" spans="2:32" x14ac:dyDescent="0.25">
      <c r="B2986" s="695"/>
      <c r="C2986" s="197" t="str">
        <f>IF(B2986&lt;&gt;"",IFERROR(VLOOKUP(B:B,'מצבת והרשמה (2)'!$C$20:$N$520,2,0)," ")," ")</f>
        <v xml:space="preserve"> </v>
      </c>
      <c r="D2986" s="695"/>
      <c r="E2986" s="696"/>
      <c r="F2986" s="696"/>
      <c r="G2986" s="696"/>
      <c r="H2986" s="696"/>
      <c r="I2986" s="1050" t="str">
        <f t="shared" si="692"/>
        <v/>
      </c>
      <c r="J2986" s="696"/>
      <c r="K2986" s="697"/>
      <c r="L2986" s="696"/>
      <c r="M2986" s="198" t="str">
        <f t="shared" si="693"/>
        <v/>
      </c>
      <c r="N2986" s="369" t="str">
        <f t="shared" si="694"/>
        <v/>
      </c>
      <c r="O2986" s="183" t="str">
        <f t="shared" si="703"/>
        <v/>
      </c>
      <c r="P2986" s="199" t="str">
        <f t="shared" si="695"/>
        <v/>
      </c>
      <c r="Q2986" s="199" t="str">
        <f>IF(B2986="","",IFERROR(IF('עלויות כח אדם (6)'!J2986&gt;=VLOOKUP(I2986,'סיווג התפקידים והעלויות'!$B$23:$C$32,2,0),"תקין","לא תקין"),""))</f>
        <v/>
      </c>
      <c r="R2986" s="199" t="str">
        <f t="shared" si="696"/>
        <v/>
      </c>
      <c r="S2986" s="199" t="str">
        <f t="shared" si="697"/>
        <v/>
      </c>
      <c r="T2986" s="199" t="str">
        <f t="shared" si="704"/>
        <v/>
      </c>
      <c r="U2986" s="199" t="str">
        <f t="shared" si="698"/>
        <v/>
      </c>
      <c r="V2986" s="989"/>
      <c r="X2986" s="374" t="str">
        <f t="shared" si="699"/>
        <v/>
      </c>
      <c r="Y2986" s="375" t="str">
        <f t="shared" si="700"/>
        <v/>
      </c>
      <c r="Z2986" s="374" t="str">
        <f t="shared" si="701"/>
        <v/>
      </c>
      <c r="AA2986" s="374" t="b">
        <f t="shared" si="707"/>
        <v>1</v>
      </c>
      <c r="AB2986" s="374">
        <f>COUNTIFS(B:B,B2986,H:H,'סיווג התפקידים והעלויות'!$C$2)</f>
        <v>0</v>
      </c>
      <c r="AC2986" s="374">
        <f>COUNTIFS(B:B,B2986,H:H,'סיווג התפקידים והעלויות'!$D$2)</f>
        <v>0</v>
      </c>
      <c r="AD2986" s="374" t="str">
        <f>IF(OR(AND(H2986='סיווג התפקידים והעלויות'!$A$2,I2986='סיווג התפקידים והעלויות'!$A$3),'עלויות כח אדם (6)'!H2986='סיווג התפקידים והעלויות'!$C$2,'עלויות כח אדם (6)'!H2986='סיווג התפקידים והעלויות'!$D$2),IF('עלויות כח אדם (6)'!J2986&lt;75,"לא תקין","תקין"),"")</f>
        <v/>
      </c>
      <c r="AE2986" s="374" t="str">
        <f t="shared" si="705"/>
        <v/>
      </c>
      <c r="AF2986" s="532" t="str">
        <f t="shared" si="706"/>
        <v/>
      </c>
    </row>
    <row r="2987" spans="2:32" x14ac:dyDescent="0.25">
      <c r="B2987" s="695"/>
      <c r="C2987" s="197" t="str">
        <f>IF(B2987&lt;&gt;"",IFERROR(VLOOKUP(B:B,'מצבת והרשמה (2)'!$C$20:$N$520,2,0)," ")," ")</f>
        <v xml:space="preserve"> </v>
      </c>
      <c r="D2987" s="695"/>
      <c r="E2987" s="696"/>
      <c r="F2987" s="696"/>
      <c r="G2987" s="696"/>
      <c r="H2987" s="696"/>
      <c r="I2987" s="1050" t="str">
        <f t="shared" si="692"/>
        <v/>
      </c>
      <c r="J2987" s="696"/>
      <c r="K2987" s="697"/>
      <c r="L2987" s="696"/>
      <c r="M2987" s="198" t="str">
        <f t="shared" si="693"/>
        <v/>
      </c>
      <c r="N2987" s="369" t="str">
        <f t="shared" si="694"/>
        <v/>
      </c>
      <c r="O2987" s="183" t="str">
        <f t="shared" si="703"/>
        <v/>
      </c>
      <c r="P2987" s="199" t="str">
        <f t="shared" si="695"/>
        <v/>
      </c>
      <c r="Q2987" s="199" t="str">
        <f>IF(B2987="","",IFERROR(IF('עלויות כח אדם (6)'!J2987&gt;=VLOOKUP(I2987,'סיווג התפקידים והעלויות'!$B$23:$C$32,2,0),"תקין","לא תקין"),""))</f>
        <v/>
      </c>
      <c r="R2987" s="199" t="str">
        <f t="shared" si="696"/>
        <v/>
      </c>
      <c r="S2987" s="199" t="str">
        <f t="shared" si="697"/>
        <v/>
      </c>
      <c r="T2987" s="199" t="str">
        <f t="shared" si="704"/>
        <v/>
      </c>
      <c r="U2987" s="199" t="str">
        <f t="shared" si="698"/>
        <v/>
      </c>
      <c r="V2987" s="989"/>
      <c r="X2987" s="374" t="str">
        <f t="shared" si="699"/>
        <v/>
      </c>
      <c r="Y2987" s="375" t="str">
        <f t="shared" si="700"/>
        <v/>
      </c>
      <c r="Z2987" s="374" t="str">
        <f t="shared" si="701"/>
        <v/>
      </c>
      <c r="AA2987" s="374" t="b">
        <f t="shared" si="707"/>
        <v>1</v>
      </c>
      <c r="AB2987" s="374">
        <f>COUNTIFS(B:B,B2987,H:H,'סיווג התפקידים והעלויות'!$C$2)</f>
        <v>0</v>
      </c>
      <c r="AC2987" s="374">
        <f>COUNTIFS(B:B,B2987,H:H,'סיווג התפקידים והעלויות'!$D$2)</f>
        <v>0</v>
      </c>
      <c r="AD2987" s="374" t="str">
        <f>IF(OR(AND(H2987='סיווג התפקידים והעלויות'!$A$2,I2987='סיווג התפקידים והעלויות'!$A$3),'עלויות כח אדם (6)'!H2987='סיווג התפקידים והעלויות'!$C$2,'עלויות כח אדם (6)'!H2987='סיווג התפקידים והעלויות'!$D$2),IF('עלויות כח אדם (6)'!J2987&lt;75,"לא תקין","תקין"),"")</f>
        <v/>
      </c>
      <c r="AE2987" s="374" t="str">
        <f t="shared" si="705"/>
        <v/>
      </c>
      <c r="AF2987" s="532" t="str">
        <f t="shared" si="706"/>
        <v/>
      </c>
    </row>
    <row r="2988" spans="2:32" x14ac:dyDescent="0.25">
      <c r="B2988" s="695"/>
      <c r="C2988" s="197" t="str">
        <f>IF(B2988&lt;&gt;"",IFERROR(VLOOKUP(B:B,'מצבת והרשמה (2)'!$C$20:$N$520,2,0)," ")," ")</f>
        <v xml:space="preserve"> </v>
      </c>
      <c r="D2988" s="695"/>
      <c r="E2988" s="696"/>
      <c r="F2988" s="696"/>
      <c r="G2988" s="696"/>
      <c r="H2988" s="696"/>
      <c r="I2988" s="1050" t="str">
        <f t="shared" si="692"/>
        <v/>
      </c>
      <c r="J2988" s="696"/>
      <c r="K2988" s="697"/>
      <c r="L2988" s="696"/>
      <c r="M2988" s="198" t="str">
        <f t="shared" si="693"/>
        <v/>
      </c>
      <c r="N2988" s="369" t="str">
        <f t="shared" si="694"/>
        <v/>
      </c>
      <c r="O2988" s="183" t="str">
        <f t="shared" si="703"/>
        <v/>
      </c>
      <c r="P2988" s="199" t="str">
        <f t="shared" si="695"/>
        <v/>
      </c>
      <c r="Q2988" s="199" t="str">
        <f>IF(B2988="","",IFERROR(IF('עלויות כח אדם (6)'!J2988&gt;=VLOOKUP(I2988,'סיווג התפקידים והעלויות'!$B$23:$C$32,2,0),"תקין","לא תקין"),""))</f>
        <v/>
      </c>
      <c r="R2988" s="199" t="str">
        <f t="shared" si="696"/>
        <v/>
      </c>
      <c r="S2988" s="199" t="str">
        <f t="shared" si="697"/>
        <v/>
      </c>
      <c r="T2988" s="199" t="str">
        <f t="shared" si="704"/>
        <v/>
      </c>
      <c r="U2988" s="199" t="str">
        <f t="shared" si="698"/>
        <v/>
      </c>
      <c r="V2988" s="989"/>
      <c r="X2988" s="374" t="str">
        <f t="shared" si="699"/>
        <v/>
      </c>
      <c r="Y2988" s="375" t="str">
        <f t="shared" si="700"/>
        <v/>
      </c>
      <c r="Z2988" s="374" t="str">
        <f t="shared" si="701"/>
        <v/>
      </c>
      <c r="AA2988" s="374" t="b">
        <f t="shared" si="707"/>
        <v>1</v>
      </c>
      <c r="AB2988" s="374">
        <f>COUNTIFS(B:B,B2988,H:H,'סיווג התפקידים והעלויות'!$C$2)</f>
        <v>0</v>
      </c>
      <c r="AC2988" s="374">
        <f>COUNTIFS(B:B,B2988,H:H,'סיווג התפקידים והעלויות'!$D$2)</f>
        <v>0</v>
      </c>
      <c r="AD2988" s="374" t="str">
        <f>IF(OR(AND(H2988='סיווג התפקידים והעלויות'!$A$2,I2988='סיווג התפקידים והעלויות'!$A$3),'עלויות כח אדם (6)'!H2988='סיווג התפקידים והעלויות'!$C$2,'עלויות כח אדם (6)'!H2988='סיווג התפקידים והעלויות'!$D$2),IF('עלויות כח אדם (6)'!J2988&lt;75,"לא תקין","תקין"),"")</f>
        <v/>
      </c>
      <c r="AE2988" s="374" t="str">
        <f t="shared" si="705"/>
        <v/>
      </c>
      <c r="AF2988" s="532" t="str">
        <f t="shared" si="706"/>
        <v/>
      </c>
    </row>
    <row r="2989" spans="2:32" x14ac:dyDescent="0.25">
      <c r="B2989" s="695"/>
      <c r="C2989" s="197" t="str">
        <f>IF(B2989&lt;&gt;"",IFERROR(VLOOKUP(B:B,'מצבת והרשמה (2)'!$C$20:$N$520,2,0)," ")," ")</f>
        <v xml:space="preserve"> </v>
      </c>
      <c r="D2989" s="695"/>
      <c r="E2989" s="696"/>
      <c r="F2989" s="696"/>
      <c r="G2989" s="696"/>
      <c r="H2989" s="696"/>
      <c r="I2989" s="1050" t="str">
        <f t="shared" si="692"/>
        <v/>
      </c>
      <c r="J2989" s="696"/>
      <c r="K2989" s="697"/>
      <c r="L2989" s="696"/>
      <c r="M2989" s="198" t="str">
        <f t="shared" si="693"/>
        <v/>
      </c>
      <c r="N2989" s="369" t="str">
        <f t="shared" si="694"/>
        <v/>
      </c>
      <c r="O2989" s="183" t="str">
        <f t="shared" si="703"/>
        <v/>
      </c>
      <c r="P2989" s="199" t="str">
        <f t="shared" si="695"/>
        <v/>
      </c>
      <c r="Q2989" s="199" t="str">
        <f>IF(B2989="","",IFERROR(IF('עלויות כח אדם (6)'!J2989&gt;=VLOOKUP(I2989,'סיווג התפקידים והעלויות'!$B$23:$C$32,2,0),"תקין","לא תקין"),""))</f>
        <v/>
      </c>
      <c r="R2989" s="199" t="str">
        <f t="shared" si="696"/>
        <v/>
      </c>
      <c r="S2989" s="199" t="str">
        <f t="shared" si="697"/>
        <v/>
      </c>
      <c r="T2989" s="199" t="str">
        <f t="shared" si="704"/>
        <v/>
      </c>
      <c r="U2989" s="199" t="str">
        <f t="shared" si="698"/>
        <v/>
      </c>
      <c r="V2989" s="989"/>
      <c r="X2989" s="374" t="str">
        <f t="shared" si="699"/>
        <v/>
      </c>
      <c r="Y2989" s="375" t="str">
        <f t="shared" si="700"/>
        <v/>
      </c>
      <c r="Z2989" s="374" t="str">
        <f t="shared" si="701"/>
        <v/>
      </c>
      <c r="AA2989" s="374" t="b">
        <f t="shared" si="707"/>
        <v>1</v>
      </c>
      <c r="AB2989" s="374">
        <f>COUNTIFS(B:B,B2989,H:H,'סיווג התפקידים והעלויות'!$C$2)</f>
        <v>0</v>
      </c>
      <c r="AC2989" s="374">
        <f>COUNTIFS(B:B,B2989,H:H,'סיווג התפקידים והעלויות'!$D$2)</f>
        <v>0</v>
      </c>
      <c r="AD2989" s="374" t="str">
        <f>IF(OR(AND(H2989='סיווג התפקידים והעלויות'!$A$2,I2989='סיווג התפקידים והעלויות'!$A$3),'עלויות כח אדם (6)'!H2989='סיווג התפקידים והעלויות'!$C$2,'עלויות כח אדם (6)'!H2989='סיווג התפקידים והעלויות'!$D$2),IF('עלויות כח אדם (6)'!J2989&lt;75,"לא תקין","תקין"),"")</f>
        <v/>
      </c>
      <c r="AE2989" s="374" t="str">
        <f t="shared" si="705"/>
        <v/>
      </c>
      <c r="AF2989" s="532" t="str">
        <f t="shared" si="706"/>
        <v/>
      </c>
    </row>
    <row r="2990" spans="2:32" x14ac:dyDescent="0.25">
      <c r="B2990" s="695"/>
      <c r="C2990" s="197" t="str">
        <f>IF(B2990&lt;&gt;"",IFERROR(VLOOKUP(B:B,'מצבת והרשמה (2)'!$C$20:$N$520,2,0)," ")," ")</f>
        <v xml:space="preserve"> </v>
      </c>
      <c r="D2990" s="695"/>
      <c r="E2990" s="696"/>
      <c r="F2990" s="696"/>
      <c r="G2990" s="696"/>
      <c r="H2990" s="696"/>
      <c r="I2990" s="1050" t="str">
        <f t="shared" si="692"/>
        <v/>
      </c>
      <c r="J2990" s="696"/>
      <c r="K2990" s="697"/>
      <c r="L2990" s="696"/>
      <c r="M2990" s="198" t="str">
        <f t="shared" si="693"/>
        <v/>
      </c>
      <c r="N2990" s="369" t="str">
        <f t="shared" si="694"/>
        <v/>
      </c>
      <c r="O2990" s="183" t="str">
        <f t="shared" si="703"/>
        <v/>
      </c>
      <c r="P2990" s="199" t="str">
        <f t="shared" si="695"/>
        <v/>
      </c>
      <c r="Q2990" s="199" t="str">
        <f>IF(B2990="","",IFERROR(IF('עלויות כח אדם (6)'!J2990&gt;=VLOOKUP(I2990,'סיווג התפקידים והעלויות'!$B$23:$C$32,2,0),"תקין","לא תקין"),""))</f>
        <v/>
      </c>
      <c r="R2990" s="199" t="str">
        <f t="shared" si="696"/>
        <v/>
      </c>
      <c r="S2990" s="199" t="str">
        <f t="shared" si="697"/>
        <v/>
      </c>
      <c r="T2990" s="199" t="str">
        <f t="shared" si="704"/>
        <v/>
      </c>
      <c r="U2990" s="199" t="str">
        <f t="shared" si="698"/>
        <v/>
      </c>
      <c r="V2990" s="989"/>
      <c r="X2990" s="374" t="str">
        <f t="shared" si="699"/>
        <v/>
      </c>
      <c r="Y2990" s="375" t="str">
        <f t="shared" si="700"/>
        <v/>
      </c>
      <c r="Z2990" s="374" t="str">
        <f t="shared" si="701"/>
        <v/>
      </c>
      <c r="AA2990" s="374" t="b">
        <f t="shared" si="707"/>
        <v>1</v>
      </c>
      <c r="AB2990" s="374">
        <f>COUNTIFS(B:B,B2990,H:H,'סיווג התפקידים והעלויות'!$C$2)</f>
        <v>0</v>
      </c>
      <c r="AC2990" s="374">
        <f>COUNTIFS(B:B,B2990,H:H,'סיווג התפקידים והעלויות'!$D$2)</f>
        <v>0</v>
      </c>
      <c r="AD2990" s="374" t="str">
        <f>IF(OR(AND(H2990='סיווג התפקידים והעלויות'!$A$2,I2990='סיווג התפקידים והעלויות'!$A$3),'עלויות כח אדם (6)'!H2990='סיווג התפקידים והעלויות'!$C$2,'עלויות כח אדם (6)'!H2990='סיווג התפקידים והעלויות'!$D$2),IF('עלויות כח אדם (6)'!J2990&lt;75,"לא תקין","תקין"),"")</f>
        <v/>
      </c>
      <c r="AE2990" s="374" t="str">
        <f t="shared" si="705"/>
        <v/>
      </c>
      <c r="AF2990" s="532" t="str">
        <f t="shared" si="706"/>
        <v/>
      </c>
    </row>
    <row r="2991" spans="2:32" x14ac:dyDescent="0.25">
      <c r="B2991" s="695"/>
      <c r="C2991" s="197" t="str">
        <f>IF(B2991&lt;&gt;"",IFERROR(VLOOKUP(B:B,'מצבת והרשמה (2)'!$C$20:$N$520,2,0)," ")," ")</f>
        <v xml:space="preserve"> </v>
      </c>
      <c r="D2991" s="695"/>
      <c r="E2991" s="696"/>
      <c r="F2991" s="696"/>
      <c r="G2991" s="696"/>
      <c r="H2991" s="696"/>
      <c r="I2991" s="1050" t="str">
        <f t="shared" si="692"/>
        <v/>
      </c>
      <c r="J2991" s="696"/>
      <c r="K2991" s="697"/>
      <c r="L2991" s="696"/>
      <c r="M2991" s="198" t="str">
        <f t="shared" si="693"/>
        <v/>
      </c>
      <c r="N2991" s="369" t="str">
        <f t="shared" si="694"/>
        <v/>
      </c>
      <c r="O2991" s="183" t="str">
        <f t="shared" si="703"/>
        <v/>
      </c>
      <c r="P2991" s="199" t="str">
        <f t="shared" si="695"/>
        <v/>
      </c>
      <c r="Q2991" s="199" t="str">
        <f>IF(B2991="","",IFERROR(IF('עלויות כח אדם (6)'!J2991&gt;=VLOOKUP(I2991,'סיווג התפקידים והעלויות'!$B$23:$C$32,2,0),"תקין","לא תקין"),""))</f>
        <v/>
      </c>
      <c r="R2991" s="199" t="str">
        <f t="shared" si="696"/>
        <v/>
      </c>
      <c r="S2991" s="199" t="str">
        <f t="shared" si="697"/>
        <v/>
      </c>
      <c r="T2991" s="199" t="str">
        <f t="shared" si="704"/>
        <v/>
      </c>
      <c r="U2991" s="199" t="str">
        <f t="shared" si="698"/>
        <v/>
      </c>
      <c r="V2991" s="989"/>
      <c r="X2991" s="374" t="str">
        <f t="shared" si="699"/>
        <v/>
      </c>
      <c r="Y2991" s="375" t="str">
        <f t="shared" si="700"/>
        <v/>
      </c>
      <c r="Z2991" s="374" t="str">
        <f t="shared" si="701"/>
        <v/>
      </c>
      <c r="AA2991" s="374" t="b">
        <f t="shared" si="707"/>
        <v>1</v>
      </c>
      <c r="AB2991" s="374">
        <f>COUNTIFS(B:B,B2991,H:H,'סיווג התפקידים והעלויות'!$C$2)</f>
        <v>0</v>
      </c>
      <c r="AC2991" s="374">
        <f>COUNTIFS(B:B,B2991,H:H,'סיווג התפקידים והעלויות'!$D$2)</f>
        <v>0</v>
      </c>
      <c r="AD2991" s="374" t="str">
        <f>IF(OR(AND(H2991='סיווג התפקידים והעלויות'!$A$2,I2991='סיווג התפקידים והעלויות'!$A$3),'עלויות כח אדם (6)'!H2991='סיווג התפקידים והעלויות'!$C$2,'עלויות כח אדם (6)'!H2991='סיווג התפקידים והעלויות'!$D$2),IF('עלויות כח אדם (6)'!J2991&lt;75,"לא תקין","תקין"),"")</f>
        <v/>
      </c>
      <c r="AE2991" s="374" t="str">
        <f t="shared" si="705"/>
        <v/>
      </c>
      <c r="AF2991" s="532" t="str">
        <f t="shared" si="706"/>
        <v/>
      </c>
    </row>
    <row r="2992" spans="2:32" x14ac:dyDescent="0.25">
      <c r="B2992" s="695"/>
      <c r="C2992" s="197" t="str">
        <f>IF(B2992&lt;&gt;"",IFERROR(VLOOKUP(B:B,'מצבת והרשמה (2)'!$C$20:$N$520,2,0)," ")," ")</f>
        <v xml:space="preserve"> </v>
      </c>
      <c r="D2992" s="695"/>
      <c r="E2992" s="696"/>
      <c r="F2992" s="696"/>
      <c r="G2992" s="696"/>
      <c r="H2992" s="696"/>
      <c r="I2992" s="1050" t="str">
        <f t="shared" si="692"/>
        <v/>
      </c>
      <c r="J2992" s="696"/>
      <c r="K2992" s="697"/>
      <c r="L2992" s="696"/>
      <c r="M2992" s="198" t="str">
        <f t="shared" si="693"/>
        <v/>
      </c>
      <c r="N2992" s="369" t="str">
        <f t="shared" si="694"/>
        <v/>
      </c>
      <c r="O2992" s="183" t="str">
        <f t="shared" si="703"/>
        <v/>
      </c>
      <c r="P2992" s="199" t="str">
        <f t="shared" si="695"/>
        <v/>
      </c>
      <c r="Q2992" s="199" t="str">
        <f>IF(B2992="","",IFERROR(IF('עלויות כח אדם (6)'!J2992&gt;=VLOOKUP(I2992,'סיווג התפקידים והעלויות'!$B$23:$C$32,2,0),"תקין","לא תקין"),""))</f>
        <v/>
      </c>
      <c r="R2992" s="199" t="str">
        <f t="shared" si="696"/>
        <v/>
      </c>
      <c r="S2992" s="199" t="str">
        <f t="shared" si="697"/>
        <v/>
      </c>
      <c r="T2992" s="199" t="str">
        <f t="shared" si="704"/>
        <v/>
      </c>
      <c r="U2992" s="199" t="str">
        <f t="shared" si="698"/>
        <v/>
      </c>
      <c r="V2992" s="989"/>
      <c r="X2992" s="374" t="str">
        <f t="shared" si="699"/>
        <v/>
      </c>
      <c r="Y2992" s="375" t="str">
        <f t="shared" si="700"/>
        <v/>
      </c>
      <c r="Z2992" s="374" t="str">
        <f t="shared" si="701"/>
        <v/>
      </c>
      <c r="AA2992" s="374" t="b">
        <f t="shared" si="707"/>
        <v>1</v>
      </c>
      <c r="AB2992" s="374">
        <f>COUNTIFS(B:B,B2992,H:H,'סיווג התפקידים והעלויות'!$C$2)</f>
        <v>0</v>
      </c>
      <c r="AC2992" s="374">
        <f>COUNTIFS(B:B,B2992,H:H,'סיווג התפקידים והעלויות'!$D$2)</f>
        <v>0</v>
      </c>
      <c r="AD2992" s="374" t="str">
        <f>IF(OR(AND(H2992='סיווג התפקידים והעלויות'!$A$2,I2992='סיווג התפקידים והעלויות'!$A$3),'עלויות כח אדם (6)'!H2992='סיווג התפקידים והעלויות'!$C$2,'עלויות כח אדם (6)'!H2992='סיווג התפקידים והעלויות'!$D$2),IF('עלויות כח אדם (6)'!J2992&lt;75,"לא תקין","תקין"),"")</f>
        <v/>
      </c>
      <c r="AE2992" s="374" t="str">
        <f t="shared" si="705"/>
        <v/>
      </c>
      <c r="AF2992" s="532" t="str">
        <f t="shared" si="706"/>
        <v/>
      </c>
    </row>
    <row r="2993" spans="2:32" x14ac:dyDescent="0.25">
      <c r="B2993" s="695"/>
      <c r="C2993" s="197" t="str">
        <f>IF(B2993&lt;&gt;"",IFERROR(VLOOKUP(B:B,'מצבת והרשמה (2)'!$C$20:$N$520,2,0)," ")," ")</f>
        <v xml:space="preserve"> </v>
      </c>
      <c r="D2993" s="695"/>
      <c r="E2993" s="696"/>
      <c r="F2993" s="696"/>
      <c r="G2993" s="696"/>
      <c r="H2993" s="696"/>
      <c r="I2993" s="1050" t="str">
        <f t="shared" ref="I2993:I3014" si="708">SUBSTITUTE(IFERROR(IF(H2993="מדצ","מדצ/ית",IF(H2993="סגנית רכזת מעל 150","סגנ/ית רכז/ת&gt;150",IF(H2993="רכזת תכנית בבית הספר","רכז/ת תכנית בבית הספר"))),""),"FALSE","")</f>
        <v/>
      </c>
      <c r="J2993" s="696"/>
      <c r="K2993" s="697"/>
      <c r="L2993" s="696"/>
      <c r="M2993" s="198" t="str">
        <f t="shared" si="693"/>
        <v/>
      </c>
      <c r="N2993" s="369" t="str">
        <f t="shared" si="694"/>
        <v/>
      </c>
      <c r="O2993" s="183" t="str">
        <f t="shared" si="703"/>
        <v/>
      </c>
      <c r="P2993" s="199" t="str">
        <f t="shared" si="695"/>
        <v/>
      </c>
      <c r="Q2993" s="199" t="str">
        <f>IF(B2993="","",IFERROR(IF('עלויות כח אדם (6)'!J2993&gt;=VLOOKUP(I2993,'סיווג התפקידים והעלויות'!$B$23:$C$32,2,0),"תקין","לא תקין"),""))</f>
        <v/>
      </c>
      <c r="R2993" s="199" t="str">
        <f t="shared" si="696"/>
        <v/>
      </c>
      <c r="S2993" s="199" t="str">
        <f t="shared" si="697"/>
        <v/>
      </c>
      <c r="T2993" s="199" t="str">
        <f t="shared" si="704"/>
        <v/>
      </c>
      <c r="U2993" s="199" t="str">
        <f t="shared" si="698"/>
        <v/>
      </c>
      <c r="V2993" s="989"/>
      <c r="X2993" s="374" t="str">
        <f t="shared" si="699"/>
        <v/>
      </c>
      <c r="Y2993" s="375" t="str">
        <f t="shared" si="700"/>
        <v/>
      </c>
      <c r="Z2993" s="374" t="str">
        <f t="shared" si="701"/>
        <v/>
      </c>
      <c r="AA2993" s="374" t="b">
        <f t="shared" si="707"/>
        <v>1</v>
      </c>
      <c r="AB2993" s="374">
        <f>COUNTIFS(B:B,B2993,H:H,'סיווג התפקידים והעלויות'!$C$2)</f>
        <v>0</v>
      </c>
      <c r="AC2993" s="374">
        <f>COUNTIFS(B:B,B2993,H:H,'סיווג התפקידים והעלויות'!$D$2)</f>
        <v>0</v>
      </c>
      <c r="AD2993" s="374" t="str">
        <f>IF(OR(AND(H2993='סיווג התפקידים והעלויות'!$A$2,I2993='סיווג התפקידים והעלויות'!$A$3),'עלויות כח אדם (6)'!H2993='סיווג התפקידים והעלויות'!$C$2,'עלויות כח אדם (6)'!H2993='סיווג התפקידים והעלויות'!$D$2),IF('עלויות כח אדם (6)'!J2993&lt;75,"לא תקין","תקין"),"")</f>
        <v/>
      </c>
      <c r="AE2993" s="374" t="str">
        <f t="shared" si="705"/>
        <v/>
      </c>
      <c r="AF2993" s="532" t="str">
        <f t="shared" si="706"/>
        <v/>
      </c>
    </row>
    <row r="2994" spans="2:32" x14ac:dyDescent="0.25">
      <c r="B2994" s="695"/>
      <c r="C2994" s="197" t="str">
        <f>IF(B2994&lt;&gt;"",IFERROR(VLOOKUP(B:B,'מצבת והרשמה (2)'!$C$20:$N$520,2,0)," ")," ")</f>
        <v xml:space="preserve"> </v>
      </c>
      <c r="D2994" s="695"/>
      <c r="E2994" s="696"/>
      <c r="F2994" s="696"/>
      <c r="G2994" s="696"/>
      <c r="H2994" s="696"/>
      <c r="I2994" s="1050" t="str">
        <f t="shared" si="708"/>
        <v/>
      </c>
      <c r="J2994" s="696"/>
      <c r="K2994" s="697"/>
      <c r="L2994" s="696"/>
      <c r="M2994" s="198" t="str">
        <f t="shared" si="693"/>
        <v/>
      </c>
      <c r="N2994" s="369" t="str">
        <f t="shared" si="694"/>
        <v/>
      </c>
      <c r="O2994" s="183" t="str">
        <f t="shared" si="703"/>
        <v/>
      </c>
      <c r="P2994" s="199" t="str">
        <f t="shared" si="695"/>
        <v/>
      </c>
      <c r="Q2994" s="199" t="str">
        <f>IF(B2994="","",IFERROR(IF('עלויות כח אדם (6)'!J2994&gt;=VLOOKUP(I2994,'סיווג התפקידים והעלויות'!$B$23:$C$32,2,0),"תקין","לא תקין"),""))</f>
        <v/>
      </c>
      <c r="R2994" s="199" t="str">
        <f t="shared" si="696"/>
        <v/>
      </c>
      <c r="S2994" s="199" t="str">
        <f t="shared" si="697"/>
        <v/>
      </c>
      <c r="T2994" s="199" t="str">
        <f t="shared" si="704"/>
        <v/>
      </c>
      <c r="U2994" s="199" t="str">
        <f t="shared" si="698"/>
        <v/>
      </c>
      <c r="V2994" s="989"/>
      <c r="X2994" s="374" t="str">
        <f t="shared" si="699"/>
        <v/>
      </c>
      <c r="Y2994" s="375" t="str">
        <f t="shared" si="700"/>
        <v/>
      </c>
      <c r="Z2994" s="374" t="str">
        <f t="shared" si="701"/>
        <v/>
      </c>
      <c r="AA2994" s="374" t="b">
        <f t="shared" si="707"/>
        <v>1</v>
      </c>
      <c r="AB2994" s="374">
        <f>COUNTIFS(B:B,B2994,H:H,'סיווג התפקידים והעלויות'!$C$2)</f>
        <v>0</v>
      </c>
      <c r="AC2994" s="374">
        <f>COUNTIFS(B:B,B2994,H:H,'סיווג התפקידים והעלויות'!$D$2)</f>
        <v>0</v>
      </c>
      <c r="AD2994" s="374" t="str">
        <f>IF(OR(AND(H2994='סיווג התפקידים והעלויות'!$A$2,I2994='סיווג התפקידים והעלויות'!$A$3),'עלויות כח אדם (6)'!H2994='סיווג התפקידים והעלויות'!$C$2,'עלויות כח אדם (6)'!H2994='סיווג התפקידים והעלויות'!$D$2),IF('עלויות כח אדם (6)'!J2994&lt;75,"לא תקין","תקין"),"")</f>
        <v/>
      </c>
      <c r="AE2994" s="374" t="str">
        <f t="shared" si="705"/>
        <v/>
      </c>
      <c r="AF2994" s="532" t="str">
        <f t="shared" si="706"/>
        <v/>
      </c>
    </row>
    <row r="2995" spans="2:32" x14ac:dyDescent="0.25">
      <c r="B2995" s="695"/>
      <c r="C2995" s="197" t="str">
        <f>IF(B2995&lt;&gt;"",IFERROR(VLOOKUP(B:B,'מצבת והרשמה (2)'!$C$20:$N$520,2,0)," ")," ")</f>
        <v xml:space="preserve"> </v>
      </c>
      <c r="D2995" s="695"/>
      <c r="E2995" s="696"/>
      <c r="F2995" s="696"/>
      <c r="G2995" s="696"/>
      <c r="H2995" s="696"/>
      <c r="I2995" s="1050" t="str">
        <f t="shared" si="708"/>
        <v/>
      </c>
      <c r="J2995" s="696"/>
      <c r="K2995" s="697"/>
      <c r="L2995" s="696"/>
      <c r="M2995" s="198" t="str">
        <f t="shared" si="693"/>
        <v/>
      </c>
      <c r="N2995" s="369" t="str">
        <f t="shared" si="694"/>
        <v/>
      </c>
      <c r="O2995" s="183" t="str">
        <f t="shared" si="703"/>
        <v/>
      </c>
      <c r="P2995" s="199" t="str">
        <f t="shared" si="695"/>
        <v/>
      </c>
      <c r="Q2995" s="199" t="str">
        <f>IF(B2995="","",IFERROR(IF('עלויות כח אדם (6)'!J2995&gt;=VLOOKUP(I2995,'סיווג התפקידים והעלויות'!$B$23:$C$32,2,0),"תקין","לא תקין"),""))</f>
        <v/>
      </c>
      <c r="R2995" s="199" t="str">
        <f t="shared" si="696"/>
        <v/>
      </c>
      <c r="S2995" s="199" t="str">
        <f t="shared" si="697"/>
        <v/>
      </c>
      <c r="T2995" s="199" t="str">
        <f t="shared" si="704"/>
        <v/>
      </c>
      <c r="U2995" s="199" t="str">
        <f t="shared" si="698"/>
        <v/>
      </c>
      <c r="V2995" s="989"/>
      <c r="X2995" s="374" t="str">
        <f t="shared" si="699"/>
        <v/>
      </c>
      <c r="Y2995" s="375" t="str">
        <f t="shared" si="700"/>
        <v/>
      </c>
      <c r="Z2995" s="374" t="str">
        <f t="shared" si="701"/>
        <v/>
      </c>
      <c r="AA2995" s="374" t="b">
        <f t="shared" si="707"/>
        <v>1</v>
      </c>
      <c r="AB2995" s="374">
        <f>COUNTIFS(B:B,B2995,H:H,'סיווג התפקידים והעלויות'!$C$2)</f>
        <v>0</v>
      </c>
      <c r="AC2995" s="374">
        <f>COUNTIFS(B:B,B2995,H:H,'סיווג התפקידים והעלויות'!$D$2)</f>
        <v>0</v>
      </c>
      <c r="AD2995" s="374" t="str">
        <f>IF(OR(AND(H2995='סיווג התפקידים והעלויות'!$A$2,I2995='סיווג התפקידים והעלויות'!$A$3),'עלויות כח אדם (6)'!H2995='סיווג התפקידים והעלויות'!$C$2,'עלויות כח אדם (6)'!H2995='סיווג התפקידים והעלויות'!$D$2),IF('עלויות כח אדם (6)'!J2995&lt;75,"לא תקין","תקין"),"")</f>
        <v/>
      </c>
      <c r="AE2995" s="374" t="str">
        <f t="shared" si="705"/>
        <v/>
      </c>
      <c r="AF2995" s="532" t="str">
        <f t="shared" si="706"/>
        <v/>
      </c>
    </row>
    <row r="2996" spans="2:32" x14ac:dyDescent="0.25">
      <c r="B2996" s="695"/>
      <c r="C2996" s="197" t="str">
        <f>IF(B2996&lt;&gt;"",IFERROR(VLOOKUP(B:B,'מצבת והרשמה (2)'!$C$20:$N$520,2,0)," ")," ")</f>
        <v xml:space="preserve"> </v>
      </c>
      <c r="D2996" s="695"/>
      <c r="E2996" s="696"/>
      <c r="F2996" s="696"/>
      <c r="G2996" s="696"/>
      <c r="H2996" s="696"/>
      <c r="I2996" s="1050" t="str">
        <f t="shared" si="708"/>
        <v/>
      </c>
      <c r="J2996" s="696"/>
      <c r="K2996" s="697"/>
      <c r="L2996" s="696"/>
      <c r="M2996" s="198" t="str">
        <f t="shared" si="693"/>
        <v/>
      </c>
      <c r="N2996" s="369" t="str">
        <f t="shared" si="694"/>
        <v/>
      </c>
      <c r="O2996" s="183" t="str">
        <f t="shared" si="703"/>
        <v/>
      </c>
      <c r="P2996" s="199" t="str">
        <f t="shared" si="695"/>
        <v/>
      </c>
      <c r="Q2996" s="199" t="str">
        <f>IF(B2996="","",IFERROR(IF('עלויות כח אדם (6)'!J2996&gt;=VLOOKUP(I2996,'סיווג התפקידים והעלויות'!$B$23:$C$32,2,0),"תקין","לא תקין"),""))</f>
        <v/>
      </c>
      <c r="R2996" s="199" t="str">
        <f t="shared" si="696"/>
        <v/>
      </c>
      <c r="S2996" s="199" t="str">
        <f t="shared" si="697"/>
        <v/>
      </c>
      <c r="T2996" s="199" t="str">
        <f t="shared" si="704"/>
        <v/>
      </c>
      <c r="U2996" s="199" t="str">
        <f t="shared" si="698"/>
        <v/>
      </c>
      <c r="V2996" s="989"/>
      <c r="X2996" s="374" t="str">
        <f t="shared" si="699"/>
        <v/>
      </c>
      <c r="Y2996" s="375" t="str">
        <f t="shared" si="700"/>
        <v/>
      </c>
      <c r="Z2996" s="374" t="str">
        <f t="shared" si="701"/>
        <v/>
      </c>
      <c r="AA2996" s="374" t="b">
        <f t="shared" si="707"/>
        <v>1</v>
      </c>
      <c r="AB2996" s="374">
        <f>COUNTIFS(B:B,B2996,H:H,'סיווג התפקידים והעלויות'!$C$2)</f>
        <v>0</v>
      </c>
      <c r="AC2996" s="374">
        <f>COUNTIFS(B:B,B2996,H:H,'סיווג התפקידים והעלויות'!$D$2)</f>
        <v>0</v>
      </c>
      <c r="AD2996" s="374" t="str">
        <f>IF(OR(AND(H2996='סיווג התפקידים והעלויות'!$A$2,I2996='סיווג התפקידים והעלויות'!$A$3),'עלויות כח אדם (6)'!H2996='סיווג התפקידים והעלויות'!$C$2,'עלויות כח אדם (6)'!H2996='סיווג התפקידים והעלויות'!$D$2),IF('עלויות כח אדם (6)'!J2996&lt;75,"לא תקין","תקין"),"")</f>
        <v/>
      </c>
      <c r="AE2996" s="374" t="str">
        <f t="shared" si="705"/>
        <v/>
      </c>
      <c r="AF2996" s="532" t="str">
        <f t="shared" si="706"/>
        <v/>
      </c>
    </row>
    <row r="2997" spans="2:32" x14ac:dyDescent="0.25">
      <c r="B2997" s="695"/>
      <c r="C2997" s="197" t="str">
        <f>IF(B2997&lt;&gt;"",IFERROR(VLOOKUP(B:B,'מצבת והרשמה (2)'!$C$20:$N$520,2,0)," ")," ")</f>
        <v xml:space="preserve"> </v>
      </c>
      <c r="D2997" s="695"/>
      <c r="E2997" s="696"/>
      <c r="F2997" s="696"/>
      <c r="G2997" s="696"/>
      <c r="H2997" s="696"/>
      <c r="I2997" s="1050" t="str">
        <f t="shared" si="708"/>
        <v/>
      </c>
      <c r="J2997" s="696"/>
      <c r="K2997" s="697"/>
      <c r="L2997" s="696"/>
      <c r="M2997" s="198" t="str">
        <f t="shared" si="693"/>
        <v/>
      </c>
      <c r="N2997" s="369" t="str">
        <f t="shared" si="694"/>
        <v/>
      </c>
      <c r="O2997" s="183" t="str">
        <f t="shared" si="703"/>
        <v/>
      </c>
      <c r="P2997" s="199" t="str">
        <f t="shared" si="695"/>
        <v/>
      </c>
      <c r="Q2997" s="199" t="str">
        <f>IF(B2997="","",IFERROR(IF('עלויות כח אדם (6)'!J2997&gt;=VLOOKUP(I2997,'סיווג התפקידים והעלויות'!$B$23:$C$32,2,0),"תקין","לא תקין"),""))</f>
        <v/>
      </c>
      <c r="R2997" s="199" t="str">
        <f t="shared" si="696"/>
        <v/>
      </c>
      <c r="S2997" s="199" t="str">
        <f t="shared" si="697"/>
        <v/>
      </c>
      <c r="T2997" s="199" t="str">
        <f t="shared" si="704"/>
        <v/>
      </c>
      <c r="U2997" s="199" t="str">
        <f t="shared" si="698"/>
        <v/>
      </c>
      <c r="V2997" s="989"/>
      <c r="X2997" s="374" t="str">
        <f t="shared" si="699"/>
        <v/>
      </c>
      <c r="Y2997" s="375" t="str">
        <f t="shared" si="700"/>
        <v/>
      </c>
      <c r="Z2997" s="374" t="str">
        <f t="shared" si="701"/>
        <v/>
      </c>
      <c r="AA2997" s="374" t="b">
        <f t="shared" si="707"/>
        <v>1</v>
      </c>
      <c r="AB2997" s="374">
        <f>COUNTIFS(B:B,B2997,H:H,'סיווג התפקידים והעלויות'!$C$2)</f>
        <v>0</v>
      </c>
      <c r="AC2997" s="374">
        <f>COUNTIFS(B:B,B2997,H:H,'סיווג התפקידים והעלויות'!$D$2)</f>
        <v>0</v>
      </c>
      <c r="AD2997" s="374" t="str">
        <f>IF(OR(AND(H2997='סיווג התפקידים והעלויות'!$A$2,I2997='סיווג התפקידים והעלויות'!$A$3),'עלויות כח אדם (6)'!H2997='סיווג התפקידים והעלויות'!$C$2,'עלויות כח אדם (6)'!H2997='סיווג התפקידים והעלויות'!$D$2),IF('עלויות כח אדם (6)'!J2997&lt;75,"לא תקין","תקין"),"")</f>
        <v/>
      </c>
      <c r="AE2997" s="374" t="str">
        <f t="shared" si="705"/>
        <v/>
      </c>
      <c r="AF2997" s="532" t="str">
        <f t="shared" si="706"/>
        <v/>
      </c>
    </row>
    <row r="2998" spans="2:32" x14ac:dyDescent="0.25">
      <c r="B2998" s="695"/>
      <c r="C2998" s="197" t="str">
        <f>IF(B2998&lt;&gt;"",IFERROR(VLOOKUP(B:B,'מצבת והרשמה (2)'!$C$20:$N$520,2,0)," ")," ")</f>
        <v xml:space="preserve"> </v>
      </c>
      <c r="D2998" s="695"/>
      <c r="E2998" s="696"/>
      <c r="F2998" s="696"/>
      <c r="G2998" s="696"/>
      <c r="H2998" s="696"/>
      <c r="I2998" s="1050" t="str">
        <f t="shared" si="708"/>
        <v/>
      </c>
      <c r="J2998" s="696"/>
      <c r="K2998" s="697"/>
      <c r="L2998" s="696"/>
      <c r="M2998" s="198" t="str">
        <f t="shared" si="693"/>
        <v/>
      </c>
      <c r="N2998" s="369" t="str">
        <f t="shared" si="694"/>
        <v/>
      </c>
      <c r="O2998" s="183" t="str">
        <f t="shared" si="703"/>
        <v/>
      </c>
      <c r="P2998" s="199" t="str">
        <f t="shared" si="695"/>
        <v/>
      </c>
      <c r="Q2998" s="199" t="str">
        <f>IF(B2998="","",IFERROR(IF('עלויות כח אדם (6)'!J2998&gt;=VLOOKUP(I2998,'סיווג התפקידים והעלויות'!$B$23:$C$32,2,0),"תקין","לא תקין"),""))</f>
        <v/>
      </c>
      <c r="R2998" s="199" t="str">
        <f t="shared" si="696"/>
        <v/>
      </c>
      <c r="S2998" s="199" t="str">
        <f t="shared" si="697"/>
        <v/>
      </c>
      <c r="T2998" s="199" t="str">
        <f t="shared" si="704"/>
        <v/>
      </c>
      <c r="U2998" s="199" t="str">
        <f t="shared" si="698"/>
        <v/>
      </c>
      <c r="V2998" s="989"/>
      <c r="X2998" s="374" t="str">
        <f t="shared" si="699"/>
        <v/>
      </c>
      <c r="Y2998" s="375" t="str">
        <f t="shared" si="700"/>
        <v/>
      </c>
      <c r="Z2998" s="374" t="str">
        <f t="shared" si="701"/>
        <v/>
      </c>
      <c r="AA2998" s="374" t="b">
        <f t="shared" si="707"/>
        <v>1</v>
      </c>
      <c r="AB2998" s="374">
        <f>COUNTIFS(B:B,B2998,H:H,'סיווג התפקידים והעלויות'!$C$2)</f>
        <v>0</v>
      </c>
      <c r="AC2998" s="374">
        <f>COUNTIFS(B:B,B2998,H:H,'סיווג התפקידים והעלויות'!$D$2)</f>
        <v>0</v>
      </c>
      <c r="AD2998" s="374" t="str">
        <f>IF(OR(AND(H2998='סיווג התפקידים והעלויות'!$A$2,I2998='סיווג התפקידים והעלויות'!$A$3),'עלויות כח אדם (6)'!H2998='סיווג התפקידים והעלויות'!$C$2,'עלויות כח אדם (6)'!H2998='סיווג התפקידים והעלויות'!$D$2),IF('עלויות כח אדם (6)'!J2998&lt;75,"לא תקין","תקין"),"")</f>
        <v/>
      </c>
      <c r="AE2998" s="374" t="str">
        <f t="shared" si="705"/>
        <v/>
      </c>
      <c r="AF2998" s="532" t="str">
        <f t="shared" si="706"/>
        <v/>
      </c>
    </row>
    <row r="2999" spans="2:32" x14ac:dyDescent="0.25">
      <c r="B2999" s="695"/>
      <c r="C2999" s="197" t="str">
        <f>IF(B2999&lt;&gt;"",IFERROR(VLOOKUP(B:B,'מצבת והרשמה (2)'!$C$20:$N$520,2,0)," ")," ")</f>
        <v xml:space="preserve"> </v>
      </c>
      <c r="D2999" s="695"/>
      <c r="E2999" s="696"/>
      <c r="F2999" s="696"/>
      <c r="G2999" s="696"/>
      <c r="H2999" s="696"/>
      <c r="I2999" s="1050" t="str">
        <f t="shared" si="708"/>
        <v/>
      </c>
      <c r="J2999" s="696"/>
      <c r="K2999" s="697"/>
      <c r="L2999" s="696"/>
      <c r="M2999" s="198" t="str">
        <f t="shared" si="693"/>
        <v/>
      </c>
      <c r="N2999" s="369" t="str">
        <f t="shared" si="694"/>
        <v/>
      </c>
      <c r="O2999" s="183" t="str">
        <f t="shared" si="703"/>
        <v/>
      </c>
      <c r="P2999" s="199" t="str">
        <f t="shared" si="695"/>
        <v/>
      </c>
      <c r="Q2999" s="199" t="str">
        <f>IF(B2999="","",IFERROR(IF('עלויות כח אדם (6)'!J2999&gt;=VLOOKUP(I2999,'סיווג התפקידים והעלויות'!$B$23:$C$32,2,0),"תקין","לא תקין"),""))</f>
        <v/>
      </c>
      <c r="R2999" s="199" t="str">
        <f t="shared" si="696"/>
        <v/>
      </c>
      <c r="S2999" s="199" t="str">
        <f t="shared" si="697"/>
        <v/>
      </c>
      <c r="T2999" s="199" t="str">
        <f t="shared" si="704"/>
        <v/>
      </c>
      <c r="U2999" s="199" t="str">
        <f t="shared" si="698"/>
        <v/>
      </c>
      <c r="V2999" s="989"/>
      <c r="X2999" s="374" t="str">
        <f t="shared" si="699"/>
        <v/>
      </c>
      <c r="Y2999" s="375" t="str">
        <f t="shared" si="700"/>
        <v/>
      </c>
      <c r="Z2999" s="374" t="str">
        <f t="shared" si="701"/>
        <v/>
      </c>
      <c r="AA2999" s="374" t="b">
        <f t="shared" si="707"/>
        <v>1</v>
      </c>
      <c r="AB2999" s="374">
        <f>COUNTIFS(B:B,B2999,H:H,'סיווג התפקידים והעלויות'!$C$2)</f>
        <v>0</v>
      </c>
      <c r="AC2999" s="374">
        <f>COUNTIFS(B:B,B2999,H:H,'סיווג התפקידים והעלויות'!$D$2)</f>
        <v>0</v>
      </c>
      <c r="AD2999" s="374" t="str">
        <f>IF(OR(AND(H2999='סיווג התפקידים והעלויות'!$A$2,I2999='סיווג התפקידים והעלויות'!$A$3),'עלויות כח אדם (6)'!H2999='סיווג התפקידים והעלויות'!$C$2,'עלויות כח אדם (6)'!H2999='סיווג התפקידים והעלויות'!$D$2),IF('עלויות כח אדם (6)'!J2999&lt;75,"לא תקין","תקין"),"")</f>
        <v/>
      </c>
      <c r="AE2999" s="374" t="str">
        <f t="shared" si="705"/>
        <v/>
      </c>
      <c r="AF2999" s="532" t="str">
        <f t="shared" si="706"/>
        <v/>
      </c>
    </row>
    <row r="3000" spans="2:32" x14ac:dyDescent="0.25">
      <c r="B3000" s="695"/>
      <c r="C3000" s="197" t="str">
        <f>IF(B3000&lt;&gt;"",IFERROR(VLOOKUP(B:B,'מצבת והרשמה (2)'!$C$20:$N$520,2,0)," ")," ")</f>
        <v xml:space="preserve"> </v>
      </c>
      <c r="D3000" s="695"/>
      <c r="E3000" s="696"/>
      <c r="F3000" s="696"/>
      <c r="G3000" s="696"/>
      <c r="H3000" s="696"/>
      <c r="I3000" s="1050" t="str">
        <f t="shared" si="708"/>
        <v/>
      </c>
      <c r="J3000" s="696"/>
      <c r="K3000" s="697"/>
      <c r="L3000" s="696"/>
      <c r="M3000" s="198" t="str">
        <f t="shared" si="693"/>
        <v/>
      </c>
      <c r="N3000" s="369" t="str">
        <f t="shared" si="694"/>
        <v/>
      </c>
      <c r="O3000" s="183" t="str">
        <f t="shared" si="703"/>
        <v/>
      </c>
      <c r="P3000" s="199" t="str">
        <f t="shared" si="695"/>
        <v/>
      </c>
      <c r="Q3000" s="199" t="str">
        <f>IF(B3000="","",IFERROR(IF('עלויות כח אדם (6)'!J3000&gt;=VLOOKUP(I3000,'סיווג התפקידים והעלויות'!$B$23:$C$32,2,0),"תקין","לא תקין"),""))</f>
        <v/>
      </c>
      <c r="R3000" s="199" t="str">
        <f t="shared" si="696"/>
        <v/>
      </c>
      <c r="S3000" s="199" t="str">
        <f t="shared" si="697"/>
        <v/>
      </c>
      <c r="T3000" s="199" t="str">
        <f t="shared" si="704"/>
        <v/>
      </c>
      <c r="U3000" s="199" t="str">
        <f t="shared" si="698"/>
        <v/>
      </c>
      <c r="V3000" s="989"/>
      <c r="X3000" s="374" t="str">
        <f t="shared" si="699"/>
        <v/>
      </c>
      <c r="Y3000" s="375" t="str">
        <f t="shared" si="700"/>
        <v/>
      </c>
      <c r="Z3000" s="374" t="str">
        <f t="shared" si="701"/>
        <v/>
      </c>
      <c r="AA3000" s="374" t="b">
        <f t="shared" si="707"/>
        <v>1</v>
      </c>
      <c r="AB3000" s="374">
        <f>COUNTIFS(B:B,B3000,H:H,'סיווג התפקידים והעלויות'!$C$2)</f>
        <v>0</v>
      </c>
      <c r="AC3000" s="374">
        <f>COUNTIFS(B:B,B3000,H:H,'סיווג התפקידים והעלויות'!$D$2)</f>
        <v>0</v>
      </c>
      <c r="AD3000" s="374" t="str">
        <f>IF(OR(AND(H3000='סיווג התפקידים והעלויות'!$A$2,I3000='סיווג התפקידים והעלויות'!$A$3),'עלויות כח אדם (6)'!H3000='סיווג התפקידים והעלויות'!$C$2,'עלויות כח אדם (6)'!H3000='סיווג התפקידים והעלויות'!$D$2),IF('עלויות כח אדם (6)'!J3000&lt;75,"לא תקין","תקין"),"")</f>
        <v/>
      </c>
      <c r="AE3000" s="374" t="str">
        <f t="shared" si="705"/>
        <v/>
      </c>
      <c r="AF3000" s="532" t="str">
        <f t="shared" si="706"/>
        <v/>
      </c>
    </row>
    <row r="3001" spans="2:32" x14ac:dyDescent="0.25">
      <c r="B3001" s="695"/>
      <c r="C3001" s="197" t="str">
        <f>IF(B3001&lt;&gt;"",IFERROR(VLOOKUP(B:B,'מצבת והרשמה (2)'!$C$20:$N$520,2,0)," ")," ")</f>
        <v xml:space="preserve"> </v>
      </c>
      <c r="D3001" s="695"/>
      <c r="E3001" s="696"/>
      <c r="F3001" s="696"/>
      <c r="G3001" s="696"/>
      <c r="H3001" s="696"/>
      <c r="I3001" s="1050" t="str">
        <f t="shared" si="708"/>
        <v/>
      </c>
      <c r="J3001" s="696"/>
      <c r="K3001" s="697"/>
      <c r="L3001" s="696"/>
      <c r="M3001" s="198" t="str">
        <f t="shared" si="693"/>
        <v/>
      </c>
      <c r="N3001" s="369" t="str">
        <f t="shared" si="694"/>
        <v/>
      </c>
      <c r="O3001" s="183" t="str">
        <f t="shared" si="703"/>
        <v/>
      </c>
      <c r="P3001" s="199" t="str">
        <f t="shared" si="695"/>
        <v/>
      </c>
      <c r="Q3001" s="199" t="str">
        <f>IF(B3001="","",IFERROR(IF('עלויות כח אדם (6)'!J3001&gt;=VLOOKUP(I3001,'סיווג התפקידים והעלויות'!$B$23:$C$32,2,0),"תקין","לא תקין"),""))</f>
        <v/>
      </c>
      <c r="R3001" s="199" t="str">
        <f t="shared" si="696"/>
        <v/>
      </c>
      <c r="S3001" s="199" t="str">
        <f t="shared" si="697"/>
        <v/>
      </c>
      <c r="T3001" s="199" t="str">
        <f t="shared" si="704"/>
        <v/>
      </c>
      <c r="U3001" s="199" t="str">
        <f t="shared" si="698"/>
        <v/>
      </c>
      <c r="V3001" s="989"/>
      <c r="X3001" s="374" t="str">
        <f t="shared" si="699"/>
        <v/>
      </c>
      <c r="Y3001" s="375" t="str">
        <f t="shared" si="700"/>
        <v/>
      </c>
      <c r="Z3001" s="374" t="str">
        <f t="shared" si="701"/>
        <v/>
      </c>
      <c r="AA3001" s="374" t="b">
        <f t="shared" si="707"/>
        <v>1</v>
      </c>
      <c r="AB3001" s="374">
        <f>COUNTIFS(B:B,B3001,H:H,'סיווג התפקידים והעלויות'!$C$2)</f>
        <v>0</v>
      </c>
      <c r="AC3001" s="374">
        <f>COUNTIFS(B:B,B3001,H:H,'סיווג התפקידים והעלויות'!$D$2)</f>
        <v>0</v>
      </c>
      <c r="AD3001" s="374" t="str">
        <f>IF(OR(AND(H3001='סיווג התפקידים והעלויות'!$A$2,I3001='סיווג התפקידים והעלויות'!$A$3),'עלויות כח אדם (6)'!H3001='סיווג התפקידים והעלויות'!$C$2,'עלויות כח אדם (6)'!H3001='סיווג התפקידים והעלויות'!$D$2),IF('עלויות כח אדם (6)'!J3001&lt;75,"לא תקין","תקין"),"")</f>
        <v/>
      </c>
      <c r="AE3001" s="374" t="str">
        <f t="shared" si="705"/>
        <v/>
      </c>
      <c r="AF3001" s="532" t="str">
        <f t="shared" si="706"/>
        <v/>
      </c>
    </row>
    <row r="3002" spans="2:32" x14ac:dyDescent="0.25">
      <c r="B3002" s="695"/>
      <c r="C3002" s="197" t="str">
        <f>IF(B3002&lt;&gt;"",IFERROR(VLOOKUP(B:B,'מצבת והרשמה (2)'!$C$20:$N$520,2,0)," ")," ")</f>
        <v xml:space="preserve"> </v>
      </c>
      <c r="D3002" s="695"/>
      <c r="E3002" s="696"/>
      <c r="F3002" s="696"/>
      <c r="G3002" s="696"/>
      <c r="H3002" s="696"/>
      <c r="I3002" s="1050" t="str">
        <f t="shared" si="708"/>
        <v/>
      </c>
      <c r="J3002" s="696"/>
      <c r="K3002" s="697"/>
      <c r="L3002" s="696"/>
      <c r="M3002" s="198" t="str">
        <f t="shared" si="693"/>
        <v/>
      </c>
      <c r="N3002" s="369" t="str">
        <f t="shared" si="694"/>
        <v/>
      </c>
      <c r="O3002" s="183" t="str">
        <f t="shared" si="703"/>
        <v/>
      </c>
      <c r="P3002" s="199" t="str">
        <f t="shared" si="695"/>
        <v/>
      </c>
      <c r="Q3002" s="199" t="str">
        <f>IF(B3002="","",IFERROR(IF('עלויות כח אדם (6)'!J3002&gt;=VLOOKUP(I3002,'סיווג התפקידים והעלויות'!$B$23:$C$32,2,0),"תקין","לא תקין"),""))</f>
        <v/>
      </c>
      <c r="R3002" s="199" t="str">
        <f t="shared" si="696"/>
        <v/>
      </c>
      <c r="S3002" s="199" t="str">
        <f t="shared" si="697"/>
        <v/>
      </c>
      <c r="T3002" s="199" t="str">
        <f t="shared" si="704"/>
        <v/>
      </c>
      <c r="U3002" s="199" t="str">
        <f t="shared" si="698"/>
        <v/>
      </c>
      <c r="V3002" s="989"/>
      <c r="X3002" s="374" t="str">
        <f t="shared" si="699"/>
        <v/>
      </c>
      <c r="Y3002" s="375" t="str">
        <f t="shared" si="700"/>
        <v/>
      </c>
      <c r="Z3002" s="374" t="str">
        <f t="shared" si="701"/>
        <v/>
      </c>
      <c r="AA3002" s="374" t="b">
        <f t="shared" si="707"/>
        <v>1</v>
      </c>
      <c r="AB3002" s="374">
        <f>COUNTIFS(B:B,B3002,H:H,'סיווג התפקידים והעלויות'!$C$2)</f>
        <v>0</v>
      </c>
      <c r="AC3002" s="374">
        <f>COUNTIFS(B:B,B3002,H:H,'סיווג התפקידים והעלויות'!$D$2)</f>
        <v>0</v>
      </c>
      <c r="AD3002" s="374" t="str">
        <f>IF(OR(AND(H3002='סיווג התפקידים והעלויות'!$A$2,I3002='סיווג התפקידים והעלויות'!$A$3),'עלויות כח אדם (6)'!H3002='סיווג התפקידים והעלויות'!$C$2,'עלויות כח אדם (6)'!H3002='סיווג התפקידים והעלויות'!$D$2),IF('עלויות כח אדם (6)'!J3002&lt;75,"לא תקין","תקין"),"")</f>
        <v/>
      </c>
      <c r="AE3002" s="374" t="str">
        <f t="shared" si="705"/>
        <v/>
      </c>
      <c r="AF3002" s="532" t="str">
        <f t="shared" si="706"/>
        <v/>
      </c>
    </row>
    <row r="3003" spans="2:32" x14ac:dyDescent="0.25">
      <c r="B3003" s="695"/>
      <c r="C3003" s="197" t="str">
        <f>IF(B3003&lt;&gt;"",IFERROR(VLOOKUP(B:B,'מצבת והרשמה (2)'!$C$20:$N$520,2,0)," ")," ")</f>
        <v xml:space="preserve"> </v>
      </c>
      <c r="D3003" s="695"/>
      <c r="E3003" s="696"/>
      <c r="F3003" s="696"/>
      <c r="G3003" s="696"/>
      <c r="H3003" s="696"/>
      <c r="I3003" s="1050" t="str">
        <f t="shared" si="708"/>
        <v/>
      </c>
      <c r="J3003" s="696"/>
      <c r="K3003" s="697"/>
      <c r="L3003" s="696"/>
      <c r="M3003" s="198" t="str">
        <f t="shared" si="693"/>
        <v/>
      </c>
      <c r="N3003" s="369" t="str">
        <f t="shared" si="694"/>
        <v/>
      </c>
      <c r="O3003" s="183" t="str">
        <f t="shared" si="703"/>
        <v/>
      </c>
      <c r="P3003" s="199" t="str">
        <f t="shared" si="695"/>
        <v/>
      </c>
      <c r="Q3003" s="199" t="str">
        <f>IF(B3003="","",IFERROR(IF('עלויות כח אדם (6)'!J3003&gt;=VLOOKUP(I3003,'סיווג התפקידים והעלויות'!$B$23:$C$32,2,0),"תקין","לא תקין"),""))</f>
        <v/>
      </c>
      <c r="R3003" s="199" t="str">
        <f t="shared" si="696"/>
        <v/>
      </c>
      <c r="S3003" s="199" t="str">
        <f t="shared" si="697"/>
        <v/>
      </c>
      <c r="T3003" s="199" t="str">
        <f t="shared" si="704"/>
        <v/>
      </c>
      <c r="U3003" s="199" t="str">
        <f t="shared" si="698"/>
        <v/>
      </c>
      <c r="V3003" s="989"/>
      <c r="X3003" s="374" t="str">
        <f t="shared" si="699"/>
        <v/>
      </c>
      <c r="Y3003" s="375" t="str">
        <f t="shared" si="700"/>
        <v/>
      </c>
      <c r="Z3003" s="374" t="str">
        <f t="shared" si="701"/>
        <v/>
      </c>
      <c r="AA3003" s="374" t="b">
        <f t="shared" si="707"/>
        <v>1</v>
      </c>
      <c r="AB3003" s="374">
        <f>COUNTIFS(B:B,B3003,H:H,'סיווג התפקידים והעלויות'!$C$2)</f>
        <v>0</v>
      </c>
      <c r="AC3003" s="374">
        <f>COUNTIFS(B:B,B3003,H:H,'סיווג התפקידים והעלויות'!$D$2)</f>
        <v>0</v>
      </c>
      <c r="AD3003" s="374" t="str">
        <f>IF(OR(AND(H3003='סיווג התפקידים והעלויות'!$A$2,I3003='סיווג התפקידים והעלויות'!$A$3),'עלויות כח אדם (6)'!H3003='סיווג התפקידים והעלויות'!$C$2,'עלויות כח אדם (6)'!H3003='סיווג התפקידים והעלויות'!$D$2),IF('עלויות כח אדם (6)'!J3003&lt;75,"לא תקין","תקין"),"")</f>
        <v/>
      </c>
      <c r="AE3003" s="374" t="str">
        <f t="shared" si="705"/>
        <v/>
      </c>
      <c r="AF3003" s="532" t="str">
        <f t="shared" si="706"/>
        <v/>
      </c>
    </row>
    <row r="3004" spans="2:32" x14ac:dyDescent="0.25">
      <c r="B3004" s="695"/>
      <c r="C3004" s="197" t="str">
        <f>IF(B3004&lt;&gt;"",IFERROR(VLOOKUP(B:B,'מצבת והרשמה (2)'!$C$20:$N$520,2,0)," ")," ")</f>
        <v xml:space="preserve"> </v>
      </c>
      <c r="D3004" s="695"/>
      <c r="E3004" s="696"/>
      <c r="F3004" s="696"/>
      <c r="G3004" s="696"/>
      <c r="H3004" s="696"/>
      <c r="I3004" s="1050" t="str">
        <f t="shared" si="708"/>
        <v/>
      </c>
      <c r="J3004" s="696"/>
      <c r="K3004" s="697"/>
      <c r="L3004" s="696"/>
      <c r="M3004" s="198" t="str">
        <f t="shared" si="693"/>
        <v/>
      </c>
      <c r="N3004" s="369" t="str">
        <f t="shared" si="694"/>
        <v/>
      </c>
      <c r="O3004" s="183" t="str">
        <f t="shared" si="703"/>
        <v/>
      </c>
      <c r="P3004" s="199" t="str">
        <f t="shared" si="695"/>
        <v/>
      </c>
      <c r="Q3004" s="199" t="str">
        <f>IF(B3004="","",IFERROR(IF('עלויות כח אדם (6)'!J3004&gt;=VLOOKUP(I3004,'סיווג התפקידים והעלויות'!$B$23:$C$32,2,0),"תקין","לא תקין"),""))</f>
        <v/>
      </c>
      <c r="R3004" s="199" t="str">
        <f t="shared" si="696"/>
        <v/>
      </c>
      <c r="S3004" s="199" t="str">
        <f t="shared" si="697"/>
        <v/>
      </c>
      <c r="T3004" s="199" t="str">
        <f t="shared" si="704"/>
        <v/>
      </c>
      <c r="U3004" s="199" t="str">
        <f t="shared" si="698"/>
        <v/>
      </c>
      <c r="V3004" s="989"/>
      <c r="X3004" s="374" t="str">
        <f t="shared" si="699"/>
        <v/>
      </c>
      <c r="Y3004" s="375" t="str">
        <f t="shared" si="700"/>
        <v/>
      </c>
      <c r="Z3004" s="374" t="str">
        <f t="shared" si="701"/>
        <v/>
      </c>
      <c r="AA3004" s="374" t="b">
        <f t="shared" si="707"/>
        <v>1</v>
      </c>
      <c r="AB3004" s="374">
        <f>COUNTIFS(B:B,B3004,H:H,'סיווג התפקידים והעלויות'!$C$2)</f>
        <v>0</v>
      </c>
      <c r="AC3004" s="374">
        <f>COUNTIFS(B:B,B3004,H:H,'סיווג התפקידים והעלויות'!$D$2)</f>
        <v>0</v>
      </c>
      <c r="AD3004" s="374" t="str">
        <f>IF(OR(AND(H3004='סיווג התפקידים והעלויות'!$A$2,I3004='סיווג התפקידים והעלויות'!$A$3),'עלויות כח אדם (6)'!H3004='סיווג התפקידים והעלויות'!$C$2,'עלויות כח אדם (6)'!H3004='סיווג התפקידים והעלויות'!$D$2),IF('עלויות כח אדם (6)'!J3004&lt;75,"לא תקין","תקין"),"")</f>
        <v/>
      </c>
      <c r="AE3004" s="374" t="str">
        <f t="shared" si="705"/>
        <v/>
      </c>
      <c r="AF3004" s="532" t="str">
        <f t="shared" si="706"/>
        <v/>
      </c>
    </row>
    <row r="3005" spans="2:32" x14ac:dyDescent="0.25">
      <c r="B3005" s="695"/>
      <c r="C3005" s="197" t="str">
        <f>IF(B3005&lt;&gt;"",IFERROR(VLOOKUP(B:B,'מצבת והרשמה (2)'!$C$20:$N$520,2,0)," ")," ")</f>
        <v xml:space="preserve"> </v>
      </c>
      <c r="D3005" s="695"/>
      <c r="E3005" s="696"/>
      <c r="F3005" s="696"/>
      <c r="G3005" s="696"/>
      <c r="H3005" s="696"/>
      <c r="I3005" s="1050" t="str">
        <f t="shared" si="708"/>
        <v/>
      </c>
      <c r="J3005" s="696"/>
      <c r="K3005" s="697"/>
      <c r="L3005" s="696"/>
      <c r="M3005" s="198" t="str">
        <f t="shared" si="693"/>
        <v/>
      </c>
      <c r="N3005" s="369" t="str">
        <f t="shared" si="694"/>
        <v/>
      </c>
      <c r="O3005" s="183" t="str">
        <f t="shared" si="703"/>
        <v/>
      </c>
      <c r="P3005" s="199" t="str">
        <f t="shared" si="695"/>
        <v/>
      </c>
      <c r="Q3005" s="199" t="str">
        <f>IF(B3005="","",IFERROR(IF('עלויות כח אדם (6)'!J3005&gt;=VLOOKUP(I3005,'סיווג התפקידים והעלויות'!$B$23:$C$32,2,0),"תקין","לא תקין"),""))</f>
        <v/>
      </c>
      <c r="R3005" s="199" t="str">
        <f t="shared" si="696"/>
        <v/>
      </c>
      <c r="S3005" s="199" t="str">
        <f t="shared" si="697"/>
        <v/>
      </c>
      <c r="T3005" s="199" t="str">
        <f t="shared" si="704"/>
        <v/>
      </c>
      <c r="U3005" s="199" t="str">
        <f t="shared" si="698"/>
        <v/>
      </c>
      <c r="V3005" s="989"/>
      <c r="X3005" s="374" t="str">
        <f t="shared" si="699"/>
        <v/>
      </c>
      <c r="Y3005" s="375" t="str">
        <f t="shared" si="700"/>
        <v/>
      </c>
      <c r="Z3005" s="374" t="str">
        <f t="shared" si="701"/>
        <v/>
      </c>
      <c r="AA3005" s="374" t="b">
        <f t="shared" si="707"/>
        <v>1</v>
      </c>
      <c r="AB3005" s="374">
        <f>COUNTIFS(B:B,B3005,H:H,'סיווג התפקידים והעלויות'!$C$2)</f>
        <v>0</v>
      </c>
      <c r="AC3005" s="374">
        <f>COUNTIFS(B:B,B3005,H:H,'סיווג התפקידים והעלויות'!$D$2)</f>
        <v>0</v>
      </c>
      <c r="AD3005" s="374" t="str">
        <f>IF(OR(AND(H3005='סיווג התפקידים והעלויות'!$A$2,I3005='סיווג התפקידים והעלויות'!$A$3),'עלויות כח אדם (6)'!H3005='סיווג התפקידים והעלויות'!$C$2,'עלויות כח אדם (6)'!H3005='סיווג התפקידים והעלויות'!$D$2),IF('עלויות כח אדם (6)'!J3005&lt;75,"לא תקין","תקין"),"")</f>
        <v/>
      </c>
      <c r="AE3005" s="374" t="str">
        <f t="shared" si="705"/>
        <v/>
      </c>
      <c r="AF3005" s="532" t="str">
        <f t="shared" si="706"/>
        <v/>
      </c>
    </row>
    <row r="3006" spans="2:32" x14ac:dyDescent="0.25">
      <c r="B3006" s="695"/>
      <c r="C3006" s="197" t="str">
        <f>IF(B3006&lt;&gt;"",IFERROR(VLOOKUP(B:B,'מצבת והרשמה (2)'!$C$20:$N$520,2,0)," ")," ")</f>
        <v xml:space="preserve"> </v>
      </c>
      <c r="D3006" s="695"/>
      <c r="E3006" s="696"/>
      <c r="F3006" s="696"/>
      <c r="G3006" s="696"/>
      <c r="H3006" s="696"/>
      <c r="I3006" s="1050" t="str">
        <f t="shared" si="708"/>
        <v/>
      </c>
      <c r="J3006" s="696"/>
      <c r="K3006" s="697"/>
      <c r="L3006" s="696"/>
      <c r="M3006" s="198" t="str">
        <f t="shared" si="693"/>
        <v/>
      </c>
      <c r="N3006" s="369" t="str">
        <f t="shared" si="694"/>
        <v/>
      </c>
      <c r="O3006" s="183" t="str">
        <f t="shared" si="703"/>
        <v/>
      </c>
      <c r="P3006" s="199" t="str">
        <f t="shared" si="695"/>
        <v/>
      </c>
      <c r="Q3006" s="199" t="str">
        <f>IF(B3006="","",IFERROR(IF('עלויות כח אדם (6)'!J3006&gt;=VLOOKUP(I3006,'סיווג התפקידים והעלויות'!$B$23:$C$32,2,0),"תקין","לא תקין"),""))</f>
        <v/>
      </c>
      <c r="R3006" s="199" t="str">
        <f t="shared" si="696"/>
        <v/>
      </c>
      <c r="S3006" s="199" t="str">
        <f t="shared" si="697"/>
        <v/>
      </c>
      <c r="T3006" s="199" t="str">
        <f t="shared" si="704"/>
        <v/>
      </c>
      <c r="U3006" s="199" t="str">
        <f t="shared" si="698"/>
        <v/>
      </c>
      <c r="V3006" s="989"/>
      <c r="X3006" s="374" t="str">
        <f t="shared" si="699"/>
        <v/>
      </c>
      <c r="Y3006" s="375" t="str">
        <f t="shared" si="700"/>
        <v/>
      </c>
      <c r="Z3006" s="374" t="str">
        <f t="shared" si="701"/>
        <v/>
      </c>
      <c r="AA3006" s="374" t="b">
        <f t="shared" si="707"/>
        <v>1</v>
      </c>
      <c r="AB3006" s="374">
        <f>COUNTIFS(B:B,B3006,H:H,'סיווג התפקידים והעלויות'!$C$2)</f>
        <v>0</v>
      </c>
      <c r="AC3006" s="374">
        <f>COUNTIFS(B:B,B3006,H:H,'סיווג התפקידים והעלויות'!$D$2)</f>
        <v>0</v>
      </c>
      <c r="AD3006" s="374" t="str">
        <f>IF(OR(AND(H3006='סיווג התפקידים והעלויות'!$A$2,I3006='סיווג התפקידים והעלויות'!$A$3),'עלויות כח אדם (6)'!H3006='סיווג התפקידים והעלויות'!$C$2,'עלויות כח אדם (6)'!H3006='סיווג התפקידים והעלויות'!$D$2),IF('עלויות כח אדם (6)'!J3006&lt;75,"לא תקין","תקין"),"")</f>
        <v/>
      </c>
      <c r="AE3006" s="374" t="str">
        <f t="shared" si="705"/>
        <v/>
      </c>
      <c r="AF3006" s="532" t="str">
        <f t="shared" si="706"/>
        <v/>
      </c>
    </row>
    <row r="3007" spans="2:32" x14ac:dyDescent="0.25">
      <c r="B3007" s="695"/>
      <c r="C3007" s="197" t="str">
        <f>IF(B3007&lt;&gt;"",IFERROR(VLOOKUP(B:B,'מצבת והרשמה (2)'!$C$20:$N$520,2,0)," ")," ")</f>
        <v xml:space="preserve"> </v>
      </c>
      <c r="D3007" s="695"/>
      <c r="E3007" s="696"/>
      <c r="F3007" s="696"/>
      <c r="G3007" s="696"/>
      <c r="H3007" s="696"/>
      <c r="I3007" s="1050" t="str">
        <f t="shared" si="708"/>
        <v/>
      </c>
      <c r="J3007" s="696"/>
      <c r="K3007" s="697"/>
      <c r="L3007" s="696"/>
      <c r="M3007" s="198" t="str">
        <f t="shared" si="693"/>
        <v/>
      </c>
      <c r="N3007" s="369" t="str">
        <f t="shared" si="694"/>
        <v/>
      </c>
      <c r="O3007" s="183" t="str">
        <f t="shared" si="703"/>
        <v/>
      </c>
      <c r="P3007" s="199" t="str">
        <f t="shared" si="695"/>
        <v/>
      </c>
      <c r="Q3007" s="199" t="str">
        <f>IF(B3007="","",IFERROR(IF('עלויות כח אדם (6)'!J3007&gt;=VLOOKUP(I3007,'סיווג התפקידים והעלויות'!$B$23:$C$32,2,0),"תקין","לא תקין"),""))</f>
        <v/>
      </c>
      <c r="R3007" s="199" t="str">
        <f t="shared" si="696"/>
        <v/>
      </c>
      <c r="S3007" s="199" t="str">
        <f t="shared" si="697"/>
        <v/>
      </c>
      <c r="T3007" s="199" t="str">
        <f t="shared" si="704"/>
        <v/>
      </c>
      <c r="U3007" s="199" t="str">
        <f t="shared" si="698"/>
        <v/>
      </c>
      <c r="V3007" s="989"/>
      <c r="X3007" s="374" t="str">
        <f t="shared" si="699"/>
        <v/>
      </c>
      <c r="Y3007" s="375" t="str">
        <f t="shared" si="700"/>
        <v/>
      </c>
      <c r="Z3007" s="374" t="str">
        <f t="shared" si="701"/>
        <v/>
      </c>
      <c r="AA3007" s="374" t="b">
        <f t="shared" si="707"/>
        <v>1</v>
      </c>
      <c r="AB3007" s="374">
        <f>COUNTIFS(B:B,B3007,H:H,'סיווג התפקידים והעלויות'!$C$2)</f>
        <v>0</v>
      </c>
      <c r="AC3007" s="374">
        <f>COUNTIFS(B:B,B3007,H:H,'סיווג התפקידים והעלויות'!$D$2)</f>
        <v>0</v>
      </c>
      <c r="AD3007" s="374" t="str">
        <f>IF(OR(AND(H3007='סיווג התפקידים והעלויות'!$A$2,I3007='סיווג התפקידים והעלויות'!$A$3),'עלויות כח אדם (6)'!H3007='סיווג התפקידים והעלויות'!$C$2,'עלויות כח אדם (6)'!H3007='סיווג התפקידים והעלויות'!$D$2),IF('עלויות כח אדם (6)'!J3007&lt;75,"לא תקין","תקין"),"")</f>
        <v/>
      </c>
      <c r="AE3007" s="374" t="str">
        <f t="shared" si="705"/>
        <v/>
      </c>
      <c r="AF3007" s="532" t="str">
        <f t="shared" si="706"/>
        <v/>
      </c>
    </row>
    <row r="3008" spans="2:32" x14ac:dyDescent="0.25">
      <c r="B3008" s="695"/>
      <c r="C3008" s="197" t="str">
        <f>IF(B3008&lt;&gt;"",IFERROR(VLOOKUP(B:B,'מצבת והרשמה (2)'!$C$20:$N$520,2,0)," ")," ")</f>
        <v xml:space="preserve"> </v>
      </c>
      <c r="D3008" s="695"/>
      <c r="E3008" s="696"/>
      <c r="F3008" s="696"/>
      <c r="G3008" s="696"/>
      <c r="H3008" s="696"/>
      <c r="I3008" s="1050" t="str">
        <f t="shared" si="708"/>
        <v/>
      </c>
      <c r="J3008" s="696"/>
      <c r="K3008" s="697"/>
      <c r="L3008" s="696"/>
      <c r="M3008" s="198" t="str">
        <f t="shared" si="693"/>
        <v/>
      </c>
      <c r="N3008" s="369" t="str">
        <f t="shared" si="694"/>
        <v/>
      </c>
      <c r="O3008" s="183" t="str">
        <f t="shared" si="703"/>
        <v/>
      </c>
      <c r="P3008" s="199" t="str">
        <f t="shared" si="695"/>
        <v/>
      </c>
      <c r="Q3008" s="199" t="str">
        <f>IF(B3008="","",IFERROR(IF('עלויות כח אדם (6)'!J3008&gt;=VLOOKUP(I3008,'סיווג התפקידים והעלויות'!$B$23:$C$32,2,0),"תקין","לא תקין"),""))</f>
        <v/>
      </c>
      <c r="R3008" s="199" t="str">
        <f t="shared" si="696"/>
        <v/>
      </c>
      <c r="S3008" s="199" t="str">
        <f t="shared" si="697"/>
        <v/>
      </c>
      <c r="T3008" s="199" t="str">
        <f t="shared" si="704"/>
        <v/>
      </c>
      <c r="U3008" s="199" t="str">
        <f t="shared" si="698"/>
        <v/>
      </c>
      <c r="V3008" s="989"/>
      <c r="X3008" s="374" t="str">
        <f t="shared" si="699"/>
        <v/>
      </c>
      <c r="Y3008" s="375" t="str">
        <f t="shared" si="700"/>
        <v/>
      </c>
      <c r="Z3008" s="374" t="str">
        <f t="shared" si="701"/>
        <v/>
      </c>
      <c r="AA3008" s="374" t="b">
        <f t="shared" si="707"/>
        <v>1</v>
      </c>
      <c r="AB3008" s="374">
        <f>COUNTIFS(B:B,B3008,H:H,'סיווג התפקידים והעלויות'!$C$2)</f>
        <v>0</v>
      </c>
      <c r="AC3008" s="374">
        <f>COUNTIFS(B:B,B3008,H:H,'סיווג התפקידים והעלויות'!$D$2)</f>
        <v>0</v>
      </c>
      <c r="AD3008" s="374" t="str">
        <f>IF(OR(AND(H3008='סיווג התפקידים והעלויות'!$A$2,I3008='סיווג התפקידים והעלויות'!$A$3),'עלויות כח אדם (6)'!H3008='סיווג התפקידים והעלויות'!$C$2,'עלויות כח אדם (6)'!H3008='סיווג התפקידים והעלויות'!$D$2),IF('עלויות כח אדם (6)'!J3008&lt;75,"לא תקין","תקין"),"")</f>
        <v/>
      </c>
      <c r="AE3008" s="374" t="str">
        <f t="shared" si="705"/>
        <v/>
      </c>
      <c r="AF3008" s="532" t="str">
        <f t="shared" si="706"/>
        <v/>
      </c>
    </row>
    <row r="3009" spans="2:32" x14ac:dyDescent="0.25">
      <c r="B3009" s="695"/>
      <c r="C3009" s="197" t="str">
        <f>IF(B3009&lt;&gt;"",IFERROR(VLOOKUP(B:B,'מצבת והרשמה (2)'!$C$20:$N$520,2,0)," ")," ")</f>
        <v xml:space="preserve"> </v>
      </c>
      <c r="D3009" s="695"/>
      <c r="E3009" s="696"/>
      <c r="F3009" s="696"/>
      <c r="G3009" s="696"/>
      <c r="H3009" s="696"/>
      <c r="I3009" s="1050" t="str">
        <f t="shared" si="708"/>
        <v/>
      </c>
      <c r="J3009" s="696"/>
      <c r="K3009" s="697"/>
      <c r="L3009" s="696"/>
      <c r="M3009" s="198" t="str">
        <f t="shared" si="693"/>
        <v/>
      </c>
      <c r="N3009" s="369" t="str">
        <f t="shared" si="694"/>
        <v/>
      </c>
      <c r="O3009" s="183" t="str">
        <f t="shared" si="703"/>
        <v/>
      </c>
      <c r="P3009" s="199" t="str">
        <f t="shared" si="695"/>
        <v/>
      </c>
      <c r="Q3009" s="199" t="str">
        <f>IF(B3009="","",IFERROR(IF('עלויות כח אדם (6)'!J3009&gt;=VLOOKUP(I3009,'סיווג התפקידים והעלויות'!$B$23:$C$32,2,0),"תקין","לא תקין"),""))</f>
        <v/>
      </c>
      <c r="R3009" s="199" t="str">
        <f t="shared" si="696"/>
        <v/>
      </c>
      <c r="S3009" s="199" t="str">
        <f t="shared" si="697"/>
        <v/>
      </c>
      <c r="T3009" s="199" t="str">
        <f t="shared" si="704"/>
        <v/>
      </c>
      <c r="U3009" s="199" t="str">
        <f t="shared" si="698"/>
        <v/>
      </c>
      <c r="V3009" s="989"/>
      <c r="X3009" s="374" t="str">
        <f t="shared" si="699"/>
        <v/>
      </c>
      <c r="Y3009" s="375" t="str">
        <f t="shared" si="700"/>
        <v/>
      </c>
      <c r="Z3009" s="374" t="str">
        <f t="shared" si="701"/>
        <v/>
      </c>
      <c r="AA3009" s="374" t="b">
        <f t="shared" si="707"/>
        <v>1</v>
      </c>
      <c r="AB3009" s="374">
        <f>COUNTIFS(B:B,B3009,H:H,'סיווג התפקידים והעלויות'!$C$2)</f>
        <v>0</v>
      </c>
      <c r="AC3009" s="374">
        <f>COUNTIFS(B:B,B3009,H:H,'סיווג התפקידים והעלויות'!$D$2)</f>
        <v>0</v>
      </c>
      <c r="AD3009" s="374" t="str">
        <f>IF(OR(AND(H3009='סיווג התפקידים והעלויות'!$A$2,I3009='סיווג התפקידים והעלויות'!$A$3),'עלויות כח אדם (6)'!H3009='סיווג התפקידים והעלויות'!$C$2,'עלויות כח אדם (6)'!H3009='סיווג התפקידים והעלויות'!$D$2),IF('עלויות כח אדם (6)'!J3009&lt;75,"לא תקין","תקין"),"")</f>
        <v/>
      </c>
      <c r="AE3009" s="374" t="str">
        <f t="shared" si="705"/>
        <v/>
      </c>
      <c r="AF3009" s="532" t="str">
        <f t="shared" si="706"/>
        <v/>
      </c>
    </row>
    <row r="3010" spans="2:32" x14ac:dyDescent="0.25">
      <c r="B3010" s="695"/>
      <c r="C3010" s="197" t="str">
        <f>IF(B3010&lt;&gt;"",IFERROR(VLOOKUP(B:B,'מצבת והרשמה (2)'!$C$20:$N$520,2,0)," ")," ")</f>
        <v xml:space="preserve"> </v>
      </c>
      <c r="D3010" s="695"/>
      <c r="E3010" s="696"/>
      <c r="F3010" s="696"/>
      <c r="G3010" s="696"/>
      <c r="H3010" s="696"/>
      <c r="I3010" s="1050" t="str">
        <f t="shared" si="708"/>
        <v/>
      </c>
      <c r="J3010" s="696"/>
      <c r="K3010" s="697"/>
      <c r="L3010" s="696"/>
      <c r="M3010" s="198" t="str">
        <f t="shared" si="693"/>
        <v/>
      </c>
      <c r="N3010" s="369" t="str">
        <f t="shared" si="694"/>
        <v/>
      </c>
      <c r="O3010" s="183" t="str">
        <f t="shared" si="703"/>
        <v/>
      </c>
      <c r="P3010" s="199" t="str">
        <f t="shared" si="695"/>
        <v/>
      </c>
      <c r="Q3010" s="199" t="str">
        <f>IF(B3010="","",IFERROR(IF('עלויות כח אדם (6)'!J3010&gt;=VLOOKUP(I3010,'סיווג התפקידים והעלויות'!$B$23:$C$32,2,0),"תקין","לא תקין"),""))</f>
        <v/>
      </c>
      <c r="R3010" s="199" t="str">
        <f t="shared" si="696"/>
        <v/>
      </c>
      <c r="S3010" s="199" t="str">
        <f t="shared" si="697"/>
        <v/>
      </c>
      <c r="T3010" s="199" t="str">
        <f t="shared" si="704"/>
        <v/>
      </c>
      <c r="U3010" s="199" t="str">
        <f t="shared" si="698"/>
        <v/>
      </c>
      <c r="V3010" s="989"/>
      <c r="X3010" s="374" t="str">
        <f t="shared" si="699"/>
        <v/>
      </c>
      <c r="Y3010" s="375" t="str">
        <f t="shared" si="700"/>
        <v/>
      </c>
      <c r="Z3010" s="374" t="str">
        <f t="shared" si="701"/>
        <v/>
      </c>
      <c r="AA3010" s="374" t="b">
        <f t="shared" si="707"/>
        <v>1</v>
      </c>
      <c r="AB3010" s="374">
        <f>COUNTIFS(B:B,B3010,H:H,'סיווג התפקידים והעלויות'!$C$2)</f>
        <v>0</v>
      </c>
      <c r="AC3010" s="374">
        <f>COUNTIFS(B:B,B3010,H:H,'סיווג התפקידים והעלויות'!$D$2)</f>
        <v>0</v>
      </c>
      <c r="AD3010" s="374" t="str">
        <f>IF(OR(AND(H3010='סיווג התפקידים והעלויות'!$A$2,I3010='סיווג התפקידים והעלויות'!$A$3),'עלויות כח אדם (6)'!H3010='סיווג התפקידים והעלויות'!$C$2,'עלויות כח אדם (6)'!H3010='סיווג התפקידים והעלויות'!$D$2),IF('עלויות כח אדם (6)'!J3010&lt;75,"לא תקין","תקין"),"")</f>
        <v/>
      </c>
      <c r="AE3010" s="374" t="str">
        <f t="shared" si="705"/>
        <v/>
      </c>
      <c r="AF3010" s="532" t="str">
        <f t="shared" si="706"/>
        <v/>
      </c>
    </row>
    <row r="3011" spans="2:32" x14ac:dyDescent="0.25">
      <c r="B3011" s="695"/>
      <c r="C3011" s="197" t="str">
        <f>IF(B3011&lt;&gt;"",IFERROR(VLOOKUP(B:B,'מצבת והרשמה (2)'!$C$20:$N$520,2,0)," ")," ")</f>
        <v xml:space="preserve"> </v>
      </c>
      <c r="D3011" s="695"/>
      <c r="E3011" s="696"/>
      <c r="F3011" s="696"/>
      <c r="G3011" s="696"/>
      <c r="H3011" s="696"/>
      <c r="I3011" s="1050" t="str">
        <f t="shared" si="708"/>
        <v/>
      </c>
      <c r="J3011" s="696"/>
      <c r="K3011" s="697"/>
      <c r="L3011" s="696"/>
      <c r="M3011" s="198" t="str">
        <f t="shared" si="693"/>
        <v/>
      </c>
      <c r="N3011" s="369" t="str">
        <f t="shared" si="694"/>
        <v/>
      </c>
      <c r="O3011" s="183" t="str">
        <f t="shared" si="703"/>
        <v/>
      </c>
      <c r="P3011" s="199" t="str">
        <f t="shared" si="695"/>
        <v/>
      </c>
      <c r="Q3011" s="199" t="str">
        <f>IF(B3011="","",IFERROR(IF('עלויות כח אדם (6)'!J3011&gt;=VLOOKUP(I3011,'סיווג התפקידים והעלויות'!$B$23:$C$32,2,0),"תקין","לא תקין"),""))</f>
        <v/>
      </c>
      <c r="R3011" s="199" t="str">
        <f t="shared" si="696"/>
        <v/>
      </c>
      <c r="S3011" s="199" t="str">
        <f t="shared" si="697"/>
        <v/>
      </c>
      <c r="T3011" s="199" t="str">
        <f t="shared" si="704"/>
        <v/>
      </c>
      <c r="U3011" s="199" t="str">
        <f t="shared" si="698"/>
        <v/>
      </c>
      <c r="V3011" s="989"/>
      <c r="X3011" s="374" t="str">
        <f t="shared" si="699"/>
        <v/>
      </c>
      <c r="Y3011" s="375" t="str">
        <f t="shared" si="700"/>
        <v/>
      </c>
      <c r="Z3011" s="374" t="str">
        <f t="shared" si="701"/>
        <v/>
      </c>
      <c r="AA3011" s="374" t="b">
        <f t="shared" si="707"/>
        <v>1</v>
      </c>
      <c r="AB3011" s="374">
        <f>COUNTIFS(B:B,B3011,H:H,'סיווג התפקידים והעלויות'!$C$2)</f>
        <v>0</v>
      </c>
      <c r="AC3011" s="374">
        <f>COUNTIFS(B:B,B3011,H:H,'סיווג התפקידים והעלויות'!$D$2)</f>
        <v>0</v>
      </c>
      <c r="AD3011" s="374" t="str">
        <f>IF(OR(AND(H3011='סיווג התפקידים והעלויות'!$A$2,I3011='סיווג התפקידים והעלויות'!$A$3),'עלויות כח אדם (6)'!H3011='סיווג התפקידים והעלויות'!$C$2,'עלויות כח אדם (6)'!H3011='סיווג התפקידים והעלויות'!$D$2),IF('עלויות כח אדם (6)'!J3011&lt;75,"לא תקין","תקין"),"")</f>
        <v/>
      </c>
      <c r="AE3011" s="374" t="str">
        <f t="shared" si="705"/>
        <v/>
      </c>
      <c r="AF3011" s="532" t="str">
        <f t="shared" si="706"/>
        <v/>
      </c>
    </row>
    <row r="3012" spans="2:32" x14ac:dyDescent="0.25">
      <c r="B3012" s="695"/>
      <c r="C3012" s="197" t="str">
        <f>IF(B3012&lt;&gt;"",IFERROR(VLOOKUP(B:B,'מצבת והרשמה (2)'!$C$20:$N$520,2,0)," ")," ")</f>
        <v xml:space="preserve"> </v>
      </c>
      <c r="D3012" s="695"/>
      <c r="E3012" s="696"/>
      <c r="F3012" s="696"/>
      <c r="G3012" s="696"/>
      <c r="H3012" s="696"/>
      <c r="I3012" s="1050" t="str">
        <f t="shared" si="708"/>
        <v/>
      </c>
      <c r="J3012" s="696"/>
      <c r="K3012" s="697"/>
      <c r="L3012" s="696"/>
      <c r="M3012" s="198" t="str">
        <f t="shared" si="693"/>
        <v/>
      </c>
      <c r="N3012" s="369" t="str">
        <f t="shared" si="694"/>
        <v/>
      </c>
      <c r="O3012" s="183" t="str">
        <f t="shared" si="703"/>
        <v/>
      </c>
      <c r="P3012" s="199" t="str">
        <f t="shared" si="695"/>
        <v/>
      </c>
      <c r="Q3012" s="199" t="str">
        <f>IF(B3012="","",IFERROR(IF('עלויות כח אדם (6)'!J3012&gt;=VLOOKUP(I3012,'סיווג התפקידים והעלויות'!$B$23:$C$32,2,0),"תקין","לא תקין"),""))</f>
        <v/>
      </c>
      <c r="R3012" s="199" t="str">
        <f t="shared" si="696"/>
        <v/>
      </c>
      <c r="S3012" s="199" t="str">
        <f t="shared" si="697"/>
        <v/>
      </c>
      <c r="T3012" s="199" t="str">
        <f t="shared" si="704"/>
        <v/>
      </c>
      <c r="U3012" s="199" t="str">
        <f t="shared" si="698"/>
        <v/>
      </c>
      <c r="V3012" s="989"/>
      <c r="X3012" s="374" t="str">
        <f t="shared" si="699"/>
        <v/>
      </c>
      <c r="Y3012" s="375" t="str">
        <f t="shared" si="700"/>
        <v/>
      </c>
      <c r="Z3012" s="374" t="str">
        <f t="shared" si="701"/>
        <v/>
      </c>
      <c r="AA3012" s="374" t="b">
        <f t="shared" si="707"/>
        <v>1</v>
      </c>
      <c r="AB3012" s="374">
        <f>COUNTIFS(B:B,B3012,H:H,'סיווג התפקידים והעלויות'!$C$2)</f>
        <v>0</v>
      </c>
      <c r="AC3012" s="374">
        <f>COUNTIFS(B:B,B3012,H:H,'סיווג התפקידים והעלויות'!$D$2)</f>
        <v>0</v>
      </c>
      <c r="AD3012" s="374" t="str">
        <f>IF(OR(AND(H3012='סיווג התפקידים והעלויות'!$A$2,I3012='סיווג התפקידים והעלויות'!$A$3),'עלויות כח אדם (6)'!H3012='סיווג התפקידים והעלויות'!$C$2,'עלויות כח אדם (6)'!H3012='סיווג התפקידים והעלויות'!$D$2),IF('עלויות כח אדם (6)'!J3012&lt;75,"לא תקין","תקין"),"")</f>
        <v/>
      </c>
      <c r="AE3012" s="374" t="str">
        <f t="shared" si="705"/>
        <v/>
      </c>
      <c r="AF3012" s="532" t="str">
        <f t="shared" si="706"/>
        <v/>
      </c>
    </row>
    <row r="3013" spans="2:32" x14ac:dyDescent="0.25">
      <c r="B3013" s="695"/>
      <c r="C3013" s="197" t="str">
        <f>IF(B3013&lt;&gt;"",IFERROR(VLOOKUP(B:B,'מצבת והרשמה (2)'!$C$20:$N$520,2,0)," ")," ")</f>
        <v xml:space="preserve"> </v>
      </c>
      <c r="D3013" s="695"/>
      <c r="E3013" s="696"/>
      <c r="F3013" s="696"/>
      <c r="G3013" s="696"/>
      <c r="H3013" s="696"/>
      <c r="I3013" s="1050" t="str">
        <f t="shared" si="708"/>
        <v/>
      </c>
      <c r="J3013" s="696"/>
      <c r="K3013" s="697"/>
      <c r="L3013" s="696"/>
      <c r="M3013" s="198" t="str">
        <f t="shared" si="693"/>
        <v/>
      </c>
      <c r="N3013" s="369" t="str">
        <f t="shared" si="694"/>
        <v/>
      </c>
      <c r="O3013" s="183" t="str">
        <f t="shared" si="703"/>
        <v/>
      </c>
      <c r="P3013" s="199" t="str">
        <f t="shared" si="695"/>
        <v/>
      </c>
      <c r="Q3013" s="199" t="str">
        <f>IF(B3013="","",IFERROR(IF('עלויות כח אדם (6)'!J3013&gt;=VLOOKUP(I3013,'סיווג התפקידים והעלויות'!$B$23:$C$32,2,0),"תקין","לא תקין"),""))</f>
        <v/>
      </c>
      <c r="R3013" s="199" t="str">
        <f t="shared" si="696"/>
        <v/>
      </c>
      <c r="S3013" s="199" t="str">
        <f t="shared" si="697"/>
        <v/>
      </c>
      <c r="T3013" s="199" t="str">
        <f t="shared" si="704"/>
        <v/>
      </c>
      <c r="U3013" s="199" t="str">
        <f t="shared" si="698"/>
        <v/>
      </c>
      <c r="V3013" s="989"/>
      <c r="X3013" s="374" t="str">
        <f t="shared" si="699"/>
        <v/>
      </c>
      <c r="Y3013" s="375" t="str">
        <f t="shared" si="700"/>
        <v/>
      </c>
      <c r="Z3013" s="374" t="str">
        <f t="shared" si="701"/>
        <v/>
      </c>
      <c r="AA3013" s="374" t="b">
        <f t="shared" si="707"/>
        <v>1</v>
      </c>
      <c r="AB3013" s="374">
        <f>COUNTIFS(B:B,B3013,H:H,'סיווג התפקידים והעלויות'!$C$2)</f>
        <v>0</v>
      </c>
      <c r="AC3013" s="374">
        <f>COUNTIFS(B:B,B3013,H:H,'סיווג התפקידים והעלויות'!$D$2)</f>
        <v>0</v>
      </c>
      <c r="AD3013" s="374" t="str">
        <f>IF(OR(AND(H3013='סיווג התפקידים והעלויות'!$A$2,I3013='סיווג התפקידים והעלויות'!$A$3),'עלויות כח אדם (6)'!H3013='סיווג התפקידים והעלויות'!$C$2,'עלויות כח אדם (6)'!H3013='סיווג התפקידים והעלויות'!$D$2),IF('עלויות כח אדם (6)'!J3013&lt;75,"לא תקין","תקין"),"")</f>
        <v/>
      </c>
      <c r="AE3013" s="374" t="str">
        <f t="shared" si="705"/>
        <v/>
      </c>
      <c r="AF3013" s="532" t="str">
        <f t="shared" si="706"/>
        <v/>
      </c>
    </row>
    <row r="3014" spans="2:32" x14ac:dyDescent="0.25">
      <c r="B3014" s="695"/>
      <c r="C3014" s="197" t="str">
        <f>IF(B3014&lt;&gt;"",IFERROR(VLOOKUP(B:B,'מצבת והרשמה (2)'!$C$20:$N$520,2,0)," ")," ")</f>
        <v xml:space="preserve"> </v>
      </c>
      <c r="D3014" s="695"/>
      <c r="E3014" s="696"/>
      <c r="F3014" s="696"/>
      <c r="G3014" s="696"/>
      <c r="H3014" s="696"/>
      <c r="I3014" s="1050" t="str">
        <f t="shared" si="708"/>
        <v/>
      </c>
      <c r="J3014" s="696"/>
      <c r="K3014" s="697"/>
      <c r="L3014" s="696"/>
      <c r="M3014" s="198" t="str">
        <f t="shared" si="693"/>
        <v/>
      </c>
      <c r="N3014" s="369" t="str">
        <f t="shared" si="694"/>
        <v/>
      </c>
      <c r="O3014" s="183" t="str">
        <f t="shared" si="703"/>
        <v/>
      </c>
      <c r="P3014" s="199" t="str">
        <f t="shared" si="695"/>
        <v/>
      </c>
      <c r="Q3014" s="199" t="str">
        <f>IF(B3014="","",IFERROR(IF('עלויות כח אדם (6)'!J3014&gt;=VLOOKUP(I3014,'סיווג התפקידים והעלויות'!$B$23:$C$32,2,0),"תקין","לא תקין"),""))</f>
        <v/>
      </c>
      <c r="R3014" s="199" t="str">
        <f t="shared" si="696"/>
        <v/>
      </c>
      <c r="S3014" s="199" t="str">
        <f t="shared" si="697"/>
        <v/>
      </c>
      <c r="T3014" s="199" t="str">
        <f t="shared" si="704"/>
        <v/>
      </c>
      <c r="U3014" s="199" t="str">
        <f t="shared" si="698"/>
        <v/>
      </c>
      <c r="V3014" s="989"/>
      <c r="X3014" s="374" t="str">
        <f t="shared" si="699"/>
        <v/>
      </c>
      <c r="Y3014" s="375" t="str">
        <f t="shared" si="700"/>
        <v/>
      </c>
      <c r="Z3014" s="374" t="str">
        <f t="shared" si="701"/>
        <v/>
      </c>
      <c r="AA3014" s="374" t="b">
        <f t="shared" si="707"/>
        <v>1</v>
      </c>
      <c r="AB3014" s="374">
        <f>COUNTIFS(B:B,B3014,H:H,'סיווג התפקידים והעלויות'!$C$2)</f>
        <v>0</v>
      </c>
      <c r="AC3014" s="374">
        <f>COUNTIFS(B:B,B3014,H:H,'סיווג התפקידים והעלויות'!$D$2)</f>
        <v>0</v>
      </c>
      <c r="AD3014" s="374" t="str">
        <f>IF(OR(AND(H3014='סיווג התפקידים והעלויות'!$A$2,I3014='סיווג התפקידים והעלויות'!$A$3),'עלויות כח אדם (6)'!H3014='סיווג התפקידים והעלויות'!$C$2,'עלויות כח אדם (6)'!H3014='סיווג התפקידים והעלויות'!$D$2),IF('עלויות כח אדם (6)'!J3014&lt;75,"לא תקין","תקין"),"")</f>
        <v/>
      </c>
      <c r="AE3014" s="374" t="str">
        <f t="shared" si="705"/>
        <v/>
      </c>
      <c r="AF3014" s="532" t="str">
        <f t="shared" si="706"/>
        <v/>
      </c>
    </row>
    <row r="3019" spans="2:32" x14ac:dyDescent="0.25">
      <c r="B3019" s="17"/>
      <c r="C3019" s="17"/>
      <c r="D3019" s="17"/>
      <c r="E3019" s="17"/>
      <c r="F3019" s="17"/>
    </row>
    <row r="3020" spans="2:32" x14ac:dyDescent="0.25">
      <c r="B3020" s="17"/>
      <c r="C3020" s="17"/>
      <c r="D3020" s="17"/>
      <c r="E3020" s="17"/>
      <c r="F3020" s="17"/>
    </row>
    <row r="3021" spans="2:32" x14ac:dyDescent="0.25">
      <c r="B3021" s="17"/>
      <c r="C3021" s="17"/>
      <c r="D3021" s="17"/>
      <c r="E3021" s="17"/>
      <c r="F3021" s="17"/>
    </row>
    <row r="3022" spans="2:32" x14ac:dyDescent="0.25">
      <c r="B3022" s="17"/>
      <c r="C3022" s="17"/>
      <c r="D3022" s="17"/>
      <c r="E3022" s="17"/>
      <c r="F3022" s="17"/>
    </row>
    <row r="3023" spans="2:32" x14ac:dyDescent="0.25">
      <c r="B3023" s="17"/>
      <c r="C3023" s="17"/>
      <c r="D3023" s="17"/>
      <c r="E3023" s="17"/>
      <c r="F3023" s="17"/>
    </row>
  </sheetData>
  <sheetProtection algorithmName="SHA-512" hashValue="uRwgHVp8c+pJGTUBQZ5f8wBPDX5Fu8nUsUsvhRfN+75NDbZeZgsIBSn4qzsdz66MT69OgTxOVve8EK3QkrxInw==" saltValue="NBjqev+c213um0/Vt3JRZg==" spinCount="100000" sheet="1" objects="1" scenarios="1"/>
  <customSheetViews>
    <customSheetView guid="{BA0A6883-E808-4711-BE2E-E9E96FA9E885}">
      <selection activeCell="B30" sqref="B30"/>
      <pageMargins left="0.7" right="0.7" top="0.75" bottom="0.75" header="0.3" footer="0.3"/>
      <pageSetup orientation="portrait" r:id="rId1"/>
    </customSheetView>
    <customSheetView guid="{ACD441E8-3AD2-4F62-A341-3CB1D0C27992}">
      <selection activeCell="H13" sqref="H13"/>
      <pageMargins left="0.7" right="0.7" top="0.75" bottom="0.75" header="0.3" footer="0.3"/>
      <pageSetup orientation="portrait" r:id="rId2"/>
    </customSheetView>
    <customSheetView guid="{4C449889-8AC9-4BD3-9CEA-74B4C2A98249}" topLeftCell="A472">
      <selection activeCell="G486" sqref="G486"/>
      <pageMargins left="0.7" right="0.7" top="0.75" bottom="0.75" header="0.3" footer="0.3"/>
      <pageSetup orientation="portrait" r:id="rId3"/>
    </customSheetView>
  </customSheetViews>
  <conditionalFormatting sqref="I1 I4:I5 I14:I1048576">
    <cfRule type="containsText" dxfId="157" priority="50" operator="containsText" text="סגנ/ית רכז/ת&gt;150">
      <formula>NOT(ISERROR(SEARCH("סגנ/ית רכז/ת&gt;150",I1)))</formula>
    </cfRule>
    <cfRule type="containsText" dxfId="156" priority="51" operator="containsText" text="רכז/ת תכנית בבית הספר">
      <formula>NOT(ISERROR(SEARCH("רכז/ת תכנית בבית הספר",I1)))</formula>
    </cfRule>
  </conditionalFormatting>
  <conditionalFormatting sqref="I14:I3014">
    <cfRule type="containsText" dxfId="155" priority="52" operator="containsText" text="מדצ/ית">
      <formula>NOT(ISERROR(SEARCH("מדצ/ית",I14)))</formula>
    </cfRule>
  </conditionalFormatting>
  <conditionalFormatting sqref="O15:O3014">
    <cfRule type="containsText" dxfId="154" priority="22" operator="containsText" text="יש">
      <formula>NOT(ISERROR(SEARCH("יש",O15)))</formula>
    </cfRule>
  </conditionalFormatting>
  <conditionalFormatting sqref="X15:AA3014 P15:U3014">
    <cfRule type="cellIs" dxfId="153" priority="13" operator="equal">
      <formula>"לא תקין"</formula>
    </cfRule>
  </conditionalFormatting>
  <conditionalFormatting sqref="T1:T1048576">
    <cfRule type="cellIs" dxfId="152" priority="11" operator="equal">
      <formula>"יש להזין איש צוות"</formula>
    </cfRule>
  </conditionalFormatting>
  <conditionalFormatting sqref="AB15:AB3014">
    <cfRule type="cellIs" dxfId="151" priority="8" operator="equal">
      <formula>"לא תקין"</formula>
    </cfRule>
  </conditionalFormatting>
  <conditionalFormatting sqref="AC15:AC3014">
    <cfRule type="cellIs" dxfId="150" priority="7" operator="equal">
      <formula>"לא תקין"</formula>
    </cfRule>
  </conditionalFormatting>
  <conditionalFormatting sqref="AD15:AD3014">
    <cfRule type="cellIs" dxfId="149" priority="6" operator="equal">
      <formula>"לא תקין"</formula>
    </cfRule>
  </conditionalFormatting>
  <conditionalFormatting sqref="AE15:AF3014">
    <cfRule type="cellIs" dxfId="148" priority="5" operator="equal">
      <formula>"לא תקין"</formula>
    </cfRule>
  </conditionalFormatting>
  <conditionalFormatting sqref="C9">
    <cfRule type="cellIs" dxfId="147" priority="1" operator="equal">
      <formula>"המוסד לא דווח בגיליון מצבת והרשמה"</formula>
    </cfRule>
    <cfRule type="cellIs" dxfId="146" priority="2" operator="equal">
      <formula>"המוסד לא קיים"</formula>
    </cfRule>
  </conditionalFormatting>
  <dataValidations count="10">
    <dataValidation type="list" allowBlank="1" showInputMessage="1" showErrorMessage="1" sqref="H16:H3014" xr:uid="{00000000-0002-0000-0900-000000000000}">
      <formula1>סוג</formula1>
    </dataValidation>
    <dataValidation type="list" showInputMessage="1" showErrorMessage="1" sqref="I16:I3014" xr:uid="{00000000-0002-0000-0900-000001000000}">
      <formula1>INDIRECT(SUBSTITUTE($H16," ","_"))</formula1>
    </dataValidation>
    <dataValidation type="custom" allowBlank="1" showInputMessage="1" showErrorMessage="1" sqref="D15" xr:uid="{00000000-0002-0000-0900-000002000000}">
      <formula1>E6</formula1>
    </dataValidation>
    <dataValidation allowBlank="1" showInputMessage="1" showErrorMessage="1" promptTitle="תעריף שכר שעתי" prompt="רכזת, מורה, גננת - מינמום 75 ש&quot;ח, מדריכה מוסמכת ועוזרת חינוך - מינימום 50 ש&quot;ח, סייעת - מינימום 37 ש&quot;ח, שאר עובדים - לפחות שכר מינימום. תעריף מירבי - 120 ש&quot;ח" sqref="J14" xr:uid="{00000000-0002-0000-0900-000003000000}"/>
    <dataValidation allowBlank="1" showInputMessage="1" showErrorMessage="1" promptTitle="עלות שכר" prompt="מחושב באופן אוטומטי" sqref="M14" xr:uid="{00000000-0002-0000-0900-000004000000}"/>
    <dataValidation allowBlank="1" showInputMessage="1" showErrorMessage="1" promptTitle="כמות שעות מקסימלית לפי קול קורא" prompt="רכז בי&quot;ס - 114 ש', סגן רכז בי&quot;ס - 93 ש', שאר עובדים - 90 ש'" sqref="L14" xr:uid="{00000000-0002-0000-0900-000005000000}"/>
    <dataValidation allowBlank="1" showInputMessage="1" showErrorMessage="1" prompt="יש למלא סמל מקום פעילות כפי המופיע בגיליון דוח ביצוע" sqref="B14" xr:uid="{284464D0-1538-4863-9703-FFA31AAF21E6}"/>
    <dataValidation allowBlank="1" showInputMessage="1" showErrorMessage="1" error="יש לבחור את סוג ההוצאה מתוך הרשימה הנפתחת!" sqref="D10:F10" xr:uid="{4FE5BC19-952E-49A1-AF46-B3DE4A08DDC4}"/>
    <dataValidation type="list" allowBlank="1" showInputMessage="1" showErrorMessage="1" sqref="B16:B3014" xr:uid="{9DBD771F-BE64-4121-ACE6-9AE9D727E7F5}">
      <formula1>סמלפעילות</formula1>
    </dataValidation>
    <dataValidation type="custom" allowBlank="1" showInputMessage="1" showErrorMessage="1" sqref="B15:C15" xr:uid="{37923AD3-CEBC-4F03-B215-9818D7835288}">
      <formula1>0</formula1>
    </dataValidation>
  </dataValidations>
  <hyperlinks>
    <hyperlink ref="B1" location="'תוכן העניינים'!A1" tooltip="הנחיות למילוי גיליון" display="תוכן העניינים" xr:uid="{76D1348C-C1B7-4528-805F-201AB81180C9}"/>
  </hyperlinks>
  <pageMargins left="0.7" right="0.7" top="0.75" bottom="0.75" header="0.3" footer="0.3"/>
  <pageSetup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8AD6-7767-4A6E-99B4-EB99A8732C09}">
  <sheetPr codeName="גיליון18">
    <tabColor rgb="FF00FFFF"/>
  </sheetPr>
  <dimension ref="A1:R384"/>
  <sheetViews>
    <sheetView showGridLines="0" rightToLeft="1" tabSelected="1" topLeftCell="A9" workbookViewId="0">
      <selection activeCell="F17" sqref="F17:G384"/>
    </sheetView>
  </sheetViews>
  <sheetFormatPr defaultRowHeight="14.25" x14ac:dyDescent="0.2"/>
  <cols>
    <col min="1" max="1" width="12.25" customWidth="1"/>
    <col min="2" max="2" width="9" customWidth="1"/>
    <col min="3" max="3" width="20.625" customWidth="1"/>
    <col min="4" max="4" width="14.5" customWidth="1"/>
    <col min="5" max="5" width="10.5" style="561" customWidth="1"/>
    <col min="6" max="6" width="12.25" style="561" customWidth="1"/>
    <col min="7" max="7" width="13.75" customWidth="1"/>
    <col min="10" max="14" width="9.875" customWidth="1"/>
    <col min="15" max="15" width="9" style="628" hidden="1" customWidth="1"/>
    <col min="16" max="17" width="9" style="554"/>
    <col min="18" max="18" width="9" style="710" hidden="1" customWidth="1"/>
  </cols>
  <sheetData>
    <row r="1" spans="1:18" ht="19.5" thickBot="1" x14ac:dyDescent="0.35">
      <c r="A1" s="802" t="s">
        <v>2851</v>
      </c>
      <c r="B1" s="538"/>
      <c r="C1" s="538"/>
      <c r="D1" s="33"/>
      <c r="E1" s="557"/>
      <c r="F1" s="557" t="str">
        <f>'גנים ובתי ספר- מבנה תקציב'!$E$1</f>
        <v>תכנית בתי הספר והגנים של החופש הגדול, קיץ תשפ"ו</v>
      </c>
      <c r="G1" s="33"/>
      <c r="H1" s="556"/>
      <c r="O1" s="628" t="s">
        <v>2525</v>
      </c>
      <c r="R1" s="710" t="s">
        <v>2525</v>
      </c>
    </row>
    <row r="2" spans="1:18" ht="18.75" x14ac:dyDescent="0.3">
      <c r="A2" s="160"/>
      <c r="B2" s="538"/>
      <c r="C2" s="538"/>
      <c r="D2" s="33"/>
      <c r="E2" s="557"/>
      <c r="F2" s="557"/>
      <c r="G2" s="33"/>
      <c r="H2" s="556"/>
    </row>
    <row r="3" spans="1:18" ht="19.5" thickBot="1" x14ac:dyDescent="0.35">
      <c r="A3" s="258"/>
      <c r="B3" s="539"/>
      <c r="C3" s="539"/>
      <c r="D3" s="258"/>
      <c r="E3" s="558"/>
      <c r="F3" s="558"/>
      <c r="G3" s="259"/>
      <c r="H3" s="556"/>
    </row>
    <row r="4" spans="1:18" ht="19.5" thickBot="1" x14ac:dyDescent="0.35">
      <c r="A4" s="160"/>
      <c r="B4" s="540"/>
      <c r="C4" s="540" t="s">
        <v>16</v>
      </c>
      <c r="D4" s="562">
        <f>'נתונים כלליים (1)'!$C$5</f>
        <v>0</v>
      </c>
      <c r="G4" s="22"/>
      <c r="H4" s="556"/>
    </row>
    <row r="5" spans="1:18" ht="19.5" thickBot="1" x14ac:dyDescent="0.35">
      <c r="A5" s="160"/>
      <c r="B5" s="540"/>
      <c r="C5" s="540" t="s">
        <v>77</v>
      </c>
      <c r="D5" s="563" t="s">
        <v>78</v>
      </c>
      <c r="G5" s="260"/>
      <c r="H5" s="556"/>
    </row>
    <row r="6" spans="1:18" ht="19.5" thickBot="1" x14ac:dyDescent="0.35">
      <c r="A6" s="258"/>
      <c r="B6" s="541"/>
      <c r="C6" s="541" t="s">
        <v>7</v>
      </c>
      <c r="D6" s="564" t="str">
        <f>'נתונים כלליים (1)'!$C$6</f>
        <v/>
      </c>
      <c r="G6" s="259"/>
      <c r="H6" s="556"/>
    </row>
    <row r="7" spans="1:18" ht="18.75" x14ac:dyDescent="0.3">
      <c r="A7" s="22"/>
      <c r="B7" s="542"/>
      <c r="C7" s="542"/>
      <c r="D7" s="537"/>
      <c r="E7" s="559"/>
      <c r="F7" s="559"/>
      <c r="G7" s="262"/>
      <c r="H7" s="556"/>
      <c r="R7" s="710">
        <f>75*59.57</f>
        <v>4467.75</v>
      </c>
    </row>
    <row r="8" spans="1:18" ht="18.75" x14ac:dyDescent="0.3">
      <c r="A8" s="40"/>
      <c r="B8" s="538"/>
      <c r="C8" s="538"/>
      <c r="D8" s="33"/>
      <c r="E8" s="557"/>
      <c r="F8" s="557" t="s">
        <v>2780</v>
      </c>
      <c r="G8" s="33"/>
      <c r="H8" s="556"/>
    </row>
    <row r="9" spans="1:18" ht="15" customHeight="1" x14ac:dyDescent="0.25">
      <c r="A9" s="40"/>
      <c r="C9" s="1127" t="s">
        <v>2896</v>
      </c>
      <c r="D9" s="1127"/>
      <c r="E9" s="1127"/>
      <c r="F9" s="1127"/>
      <c r="G9" s="1127"/>
      <c r="H9" s="1127"/>
      <c r="I9" s="1127"/>
      <c r="J9" s="1127"/>
      <c r="K9" s="1030"/>
      <c r="L9" s="1030"/>
      <c r="M9" s="1030"/>
      <c r="N9" s="1030"/>
    </row>
    <row r="10" spans="1:18" ht="48" customHeight="1" x14ac:dyDescent="0.25">
      <c r="A10" s="40"/>
      <c r="B10" s="569"/>
      <c r="C10" s="1127"/>
      <c r="D10" s="1127"/>
      <c r="E10" s="1127"/>
      <c r="F10" s="1127"/>
      <c r="G10" s="1127"/>
      <c r="H10" s="1127"/>
      <c r="I10" s="1127"/>
      <c r="J10" s="1127"/>
      <c r="K10" s="1030"/>
      <c r="L10" s="1030"/>
      <c r="M10" s="1030"/>
      <c r="N10" s="1030"/>
    </row>
    <row r="11" spans="1:18" ht="15" x14ac:dyDescent="0.25">
      <c r="A11" s="40"/>
      <c r="B11" s="543"/>
      <c r="C11" s="543"/>
      <c r="D11" s="22"/>
      <c r="E11" s="560"/>
      <c r="F11" s="560"/>
      <c r="G11" s="263"/>
      <c r="H11" s="556"/>
    </row>
    <row r="12" spans="1:18" ht="30" customHeight="1" x14ac:dyDescent="0.25">
      <c r="A12" s="55"/>
      <c r="B12" s="555"/>
      <c r="C12" s="570" t="s">
        <v>2781</v>
      </c>
      <c r="D12" s="570" t="s">
        <v>2792</v>
      </c>
      <c r="E12" s="570" t="s">
        <v>2782</v>
      </c>
      <c r="F12" s="570" t="s">
        <v>2783</v>
      </c>
      <c r="H12" s="556"/>
      <c r="J12" s="1041"/>
    </row>
    <row r="13" spans="1:18" ht="15" customHeight="1" x14ac:dyDescent="0.25">
      <c r="A13" s="266"/>
      <c r="B13" s="565"/>
      <c r="C13" s="571">
        <f>COUNT(F17:F399)</f>
        <v>0</v>
      </c>
      <c r="D13" s="572">
        <f>SUM(J17:J399)</f>
        <v>0</v>
      </c>
      <c r="E13" s="230">
        <f>SUM(P17:P385)</f>
        <v>0</v>
      </c>
      <c r="F13" s="230">
        <f>SUM(Q17:Q385)</f>
        <v>0</v>
      </c>
      <c r="H13" s="556"/>
    </row>
    <row r="14" spans="1:18" ht="15" thickBot="1" x14ac:dyDescent="0.25">
      <c r="I14" s="1037"/>
      <c r="J14" s="1037"/>
    </row>
    <row r="15" spans="1:18" ht="15.75" thickBot="1" x14ac:dyDescent="0.3">
      <c r="H15" s="1128" t="s">
        <v>3402</v>
      </c>
      <c r="I15" s="1129"/>
      <c r="J15" s="1130"/>
      <c r="K15" s="1128" t="s">
        <v>3403</v>
      </c>
      <c r="L15" s="1129"/>
      <c r="M15" s="1129"/>
      <c r="N15" s="1130"/>
    </row>
    <row r="16" spans="1:18" ht="47.25" x14ac:dyDescent="0.2">
      <c r="C16" s="194" t="s">
        <v>97</v>
      </c>
      <c r="D16" s="194" t="s">
        <v>2784</v>
      </c>
      <c r="E16" s="194" t="s">
        <v>3395</v>
      </c>
      <c r="F16" s="194" t="s">
        <v>2791</v>
      </c>
      <c r="G16" s="194" t="s">
        <v>2785</v>
      </c>
      <c r="H16" s="1038" t="s">
        <v>2786</v>
      </c>
      <c r="I16" s="1039" t="s">
        <v>2787</v>
      </c>
      <c r="J16" s="1040" t="s">
        <v>2788</v>
      </c>
      <c r="K16" s="1039" t="s">
        <v>2367</v>
      </c>
      <c r="L16" s="1039" t="s">
        <v>2368</v>
      </c>
      <c r="M16" s="1039" t="s">
        <v>105</v>
      </c>
      <c r="N16" s="1040" t="s">
        <v>106</v>
      </c>
      <c r="O16" s="629" t="s">
        <v>2789</v>
      </c>
      <c r="P16" s="566" t="s">
        <v>2782</v>
      </c>
      <c r="Q16" s="566" t="s">
        <v>2783</v>
      </c>
      <c r="R16" s="711" t="s">
        <v>2790</v>
      </c>
    </row>
    <row r="17" spans="3:18" ht="15.75" x14ac:dyDescent="0.25">
      <c r="C17" s="695"/>
      <c r="D17" s="567" t="str">
        <f>IFERROR(VLOOKUP(C17,'נתוני רישום ומצבת'!B:G,6,0),"")</f>
        <v/>
      </c>
      <c r="E17" s="713"/>
      <c r="F17" s="713"/>
      <c r="G17" s="713"/>
      <c r="H17" s="714"/>
      <c r="I17" s="714"/>
      <c r="J17" s="568">
        <f>IFERROR(H17*I17,"")</f>
        <v>0</v>
      </c>
      <c r="K17" s="1051"/>
      <c r="L17" s="1051"/>
      <c r="M17" s="1051"/>
      <c r="N17" s="1036">
        <f>L17*M17</f>
        <v>0</v>
      </c>
      <c r="O17" s="1052">
        <f>COUNTIF($G$16:$G$4001,G17)</f>
        <v>0</v>
      </c>
      <c r="P17" s="1036">
        <f>IF(C17&gt;0,IF(AND(E17="א-ג",J17&gt;0),MIN(I17,15)*MIN(H17,75),IF(AND(E17="ד-ו",N17&gt;0),MIN(L17,59.57)*MIN(M17,75),0)),0)</f>
        <v>0</v>
      </c>
      <c r="Q17" s="1053">
        <f>IF(E17="א-ג",MIN(J17,P17),MIN(N17,P17))</f>
        <v>0</v>
      </c>
      <c r="R17" s="712">
        <f>IF(E17="א-ג",Q17/1125,Q17/$R$7)</f>
        <v>0</v>
      </c>
    </row>
    <row r="18" spans="3:18" ht="15.75" x14ac:dyDescent="0.25">
      <c r="C18" s="695"/>
      <c r="D18" s="567" t="str">
        <f>IFERROR(VLOOKUP(C18,'נתוני רישום ומצבת'!B:G,6,0),"")</f>
        <v/>
      </c>
      <c r="E18" s="713"/>
      <c r="F18" s="713"/>
      <c r="G18" s="713"/>
      <c r="H18" s="715"/>
      <c r="I18" s="715"/>
      <c r="J18" s="568">
        <f t="shared" ref="J18:J25" si="0">IFERROR(H18*I18,"")</f>
        <v>0</v>
      </c>
      <c r="K18" s="1051"/>
      <c r="L18" s="1051"/>
      <c r="M18" s="1051"/>
      <c r="N18" s="1036">
        <f t="shared" ref="N18:N81" si="1">L18*M18</f>
        <v>0</v>
      </c>
      <c r="O18" s="1052">
        <f t="shared" ref="O18:O81" si="2">COUNTIF($G$16:$G$4001,G18)</f>
        <v>0</v>
      </c>
      <c r="P18" s="1036">
        <f t="shared" ref="P18:P81" si="3">IF(C18&gt;0,IF(AND(E18="א-ג",J18&gt;0),MIN(I18,15)*MIN(H18,75),IF(AND(E18="ד-ו",N18&gt;0),MIN(L18,59.57)*MIN(M18,75),0)),0)</f>
        <v>0</v>
      </c>
      <c r="Q18" s="1053">
        <f t="shared" ref="Q18:Q81" si="4">IF(E18="א-ג",MIN(J18,P18),MIN(N18,P18))</f>
        <v>0</v>
      </c>
      <c r="R18" s="712">
        <f t="shared" ref="R18:R81" si="5">IF(E18="א-ג",Q18/1125,Q18/$R$7)</f>
        <v>0</v>
      </c>
    </row>
    <row r="19" spans="3:18" ht="15.75" x14ac:dyDescent="0.25">
      <c r="C19" s="695"/>
      <c r="D19" s="567" t="str">
        <f>IFERROR(VLOOKUP(C19,'נתוני רישום ומצבת'!B:G,6,0),"")</f>
        <v/>
      </c>
      <c r="E19" s="713"/>
      <c r="F19" s="713"/>
      <c r="G19" s="713"/>
      <c r="H19" s="715"/>
      <c r="I19" s="715"/>
      <c r="J19" s="568">
        <f t="shared" si="0"/>
        <v>0</v>
      </c>
      <c r="K19" s="1051"/>
      <c r="L19" s="1051"/>
      <c r="M19" s="1051"/>
      <c r="N19" s="1036">
        <f t="shared" si="1"/>
        <v>0</v>
      </c>
      <c r="O19" s="1052">
        <f t="shared" si="2"/>
        <v>0</v>
      </c>
      <c r="P19" s="1036">
        <f t="shared" si="3"/>
        <v>0</v>
      </c>
      <c r="Q19" s="1053">
        <f t="shared" si="4"/>
        <v>0</v>
      </c>
      <c r="R19" s="712">
        <f t="shared" si="5"/>
        <v>0</v>
      </c>
    </row>
    <row r="20" spans="3:18" ht="15.75" x14ac:dyDescent="0.25">
      <c r="C20" s="695"/>
      <c r="D20" s="567" t="str">
        <f>IFERROR(VLOOKUP(C20,'נתוני רישום ומצבת'!B:G,6,0),"")</f>
        <v/>
      </c>
      <c r="E20" s="713"/>
      <c r="F20" s="713"/>
      <c r="G20" s="713"/>
      <c r="H20" s="715"/>
      <c r="I20" s="715"/>
      <c r="J20" s="568">
        <f t="shared" si="0"/>
        <v>0</v>
      </c>
      <c r="K20" s="1051"/>
      <c r="L20" s="1051"/>
      <c r="M20" s="1051"/>
      <c r="N20" s="1036">
        <f t="shared" si="1"/>
        <v>0</v>
      </c>
      <c r="O20" s="1052">
        <f t="shared" si="2"/>
        <v>0</v>
      </c>
      <c r="P20" s="1036">
        <f t="shared" si="3"/>
        <v>0</v>
      </c>
      <c r="Q20" s="1053">
        <f t="shared" si="4"/>
        <v>0</v>
      </c>
      <c r="R20" s="712">
        <f t="shared" si="5"/>
        <v>0</v>
      </c>
    </row>
    <row r="21" spans="3:18" ht="15.75" x14ac:dyDescent="0.25">
      <c r="C21" s="695"/>
      <c r="D21" s="567" t="str">
        <f>IFERROR(VLOOKUP(C21,'נתוני רישום ומצבת'!B:G,6,0),"")</f>
        <v/>
      </c>
      <c r="E21" s="713"/>
      <c r="F21" s="713"/>
      <c r="G21" s="713"/>
      <c r="H21" s="714"/>
      <c r="I21" s="714"/>
      <c r="J21" s="568">
        <f t="shared" si="0"/>
        <v>0</v>
      </c>
      <c r="K21" s="1051"/>
      <c r="L21" s="1051"/>
      <c r="M21" s="1051"/>
      <c r="N21" s="1036">
        <f t="shared" si="1"/>
        <v>0</v>
      </c>
      <c r="O21" s="1052">
        <f t="shared" si="2"/>
        <v>0</v>
      </c>
      <c r="P21" s="1036">
        <f t="shared" si="3"/>
        <v>0</v>
      </c>
      <c r="Q21" s="1053">
        <f t="shared" si="4"/>
        <v>0</v>
      </c>
      <c r="R21" s="712">
        <f t="shared" si="5"/>
        <v>0</v>
      </c>
    </row>
    <row r="22" spans="3:18" ht="15.75" x14ac:dyDescent="0.25">
      <c r="C22" s="695"/>
      <c r="D22" s="567" t="str">
        <f>IFERROR(VLOOKUP(C22,'נתוני רישום ומצבת'!B:G,6,0),"")</f>
        <v/>
      </c>
      <c r="E22" s="713"/>
      <c r="F22" s="713"/>
      <c r="G22" s="713"/>
      <c r="H22" s="715"/>
      <c r="I22" s="715"/>
      <c r="J22" s="568">
        <f t="shared" si="0"/>
        <v>0</v>
      </c>
      <c r="K22" s="1051"/>
      <c r="L22" s="1051"/>
      <c r="M22" s="1051"/>
      <c r="N22" s="1036">
        <f t="shared" si="1"/>
        <v>0</v>
      </c>
      <c r="O22" s="1052">
        <f t="shared" si="2"/>
        <v>0</v>
      </c>
      <c r="P22" s="1036">
        <f t="shared" si="3"/>
        <v>0</v>
      </c>
      <c r="Q22" s="1053">
        <f t="shared" si="4"/>
        <v>0</v>
      </c>
      <c r="R22" s="712">
        <f t="shared" si="5"/>
        <v>0</v>
      </c>
    </row>
    <row r="23" spans="3:18" ht="15.75" x14ac:dyDescent="0.25">
      <c r="C23" s="695"/>
      <c r="D23" s="567" t="str">
        <f>IFERROR(VLOOKUP(C23,'נתוני רישום ומצבת'!B:G,6,0),"")</f>
        <v/>
      </c>
      <c r="E23" s="713"/>
      <c r="F23" s="713"/>
      <c r="G23" s="713"/>
      <c r="H23" s="715"/>
      <c r="I23" s="715"/>
      <c r="J23" s="568">
        <f t="shared" si="0"/>
        <v>0</v>
      </c>
      <c r="K23" s="1051"/>
      <c r="L23" s="1051"/>
      <c r="M23" s="1051"/>
      <c r="N23" s="1036">
        <f t="shared" si="1"/>
        <v>0</v>
      </c>
      <c r="O23" s="1052">
        <f t="shared" si="2"/>
        <v>0</v>
      </c>
      <c r="P23" s="1036">
        <f t="shared" si="3"/>
        <v>0</v>
      </c>
      <c r="Q23" s="1053">
        <f t="shared" si="4"/>
        <v>0</v>
      </c>
      <c r="R23" s="712">
        <f t="shared" si="5"/>
        <v>0</v>
      </c>
    </row>
    <row r="24" spans="3:18" ht="15.75" x14ac:dyDescent="0.25">
      <c r="C24" s="695"/>
      <c r="D24" s="567" t="str">
        <f>IFERROR(VLOOKUP(C24,'נתוני רישום ומצבת'!B:G,6,0),"")</f>
        <v/>
      </c>
      <c r="E24" s="713"/>
      <c r="F24" s="713"/>
      <c r="G24" s="713"/>
      <c r="H24" s="715"/>
      <c r="I24" s="715"/>
      <c r="J24" s="568">
        <f t="shared" si="0"/>
        <v>0</v>
      </c>
      <c r="K24" s="1051"/>
      <c r="L24" s="1051"/>
      <c r="M24" s="1051"/>
      <c r="N24" s="1036">
        <f t="shared" si="1"/>
        <v>0</v>
      </c>
      <c r="O24" s="1052">
        <f t="shared" si="2"/>
        <v>0</v>
      </c>
      <c r="P24" s="1036">
        <f t="shared" si="3"/>
        <v>0</v>
      </c>
      <c r="Q24" s="1053">
        <f t="shared" si="4"/>
        <v>0</v>
      </c>
      <c r="R24" s="712">
        <f t="shared" si="5"/>
        <v>0</v>
      </c>
    </row>
    <row r="25" spans="3:18" ht="15.75" x14ac:dyDescent="0.25">
      <c r="C25" s="695"/>
      <c r="D25" s="567" t="str">
        <f>IFERROR(VLOOKUP(C25,'נתוני רישום ומצבת'!B:G,6,0),"")</f>
        <v/>
      </c>
      <c r="E25" s="713"/>
      <c r="F25" s="713"/>
      <c r="G25" s="713"/>
      <c r="H25" s="714"/>
      <c r="I25" s="714"/>
      <c r="J25" s="568">
        <f t="shared" si="0"/>
        <v>0</v>
      </c>
      <c r="K25" s="1051"/>
      <c r="L25" s="1051"/>
      <c r="M25" s="1051"/>
      <c r="N25" s="1036">
        <f t="shared" si="1"/>
        <v>0</v>
      </c>
      <c r="O25" s="1052">
        <f t="shared" si="2"/>
        <v>0</v>
      </c>
      <c r="P25" s="1036">
        <f t="shared" si="3"/>
        <v>0</v>
      </c>
      <c r="Q25" s="1053">
        <f t="shared" si="4"/>
        <v>0</v>
      </c>
      <c r="R25" s="712">
        <f t="shared" si="5"/>
        <v>0</v>
      </c>
    </row>
    <row r="26" spans="3:18" ht="15.75" x14ac:dyDescent="0.25">
      <c r="C26" s="695"/>
      <c r="D26" s="567" t="str">
        <f>IFERROR(VLOOKUP(C26,'נתוני רישום ומצבת'!B:G,6,0),"")</f>
        <v/>
      </c>
      <c r="E26" s="713"/>
      <c r="F26" s="713"/>
      <c r="G26" s="713"/>
      <c r="H26" s="715"/>
      <c r="I26" s="715"/>
      <c r="J26" s="568">
        <f t="shared" ref="J26:J89" si="6">IFERROR(H26*I26,"")</f>
        <v>0</v>
      </c>
      <c r="K26" s="1051"/>
      <c r="L26" s="1051"/>
      <c r="M26" s="1051"/>
      <c r="N26" s="1036">
        <f t="shared" si="1"/>
        <v>0</v>
      </c>
      <c r="O26" s="1052">
        <f t="shared" si="2"/>
        <v>0</v>
      </c>
      <c r="P26" s="1036">
        <f t="shared" si="3"/>
        <v>0</v>
      </c>
      <c r="Q26" s="1053">
        <f t="shared" si="4"/>
        <v>0</v>
      </c>
      <c r="R26" s="712">
        <f t="shared" si="5"/>
        <v>0</v>
      </c>
    </row>
    <row r="27" spans="3:18" ht="15.75" x14ac:dyDescent="0.25">
      <c r="C27" s="695"/>
      <c r="D27" s="567" t="str">
        <f>IFERROR(VLOOKUP(C27,'נתוני רישום ומצבת'!B:G,6,0),"")</f>
        <v/>
      </c>
      <c r="E27" s="713"/>
      <c r="F27" s="713"/>
      <c r="G27" s="713"/>
      <c r="H27" s="715"/>
      <c r="I27" s="715"/>
      <c r="J27" s="568">
        <f t="shared" si="6"/>
        <v>0</v>
      </c>
      <c r="K27" s="1051"/>
      <c r="L27" s="1051"/>
      <c r="M27" s="1051"/>
      <c r="N27" s="1036">
        <f t="shared" si="1"/>
        <v>0</v>
      </c>
      <c r="O27" s="1052">
        <f t="shared" si="2"/>
        <v>0</v>
      </c>
      <c r="P27" s="1036">
        <f t="shared" si="3"/>
        <v>0</v>
      </c>
      <c r="Q27" s="1053">
        <f t="shared" si="4"/>
        <v>0</v>
      </c>
      <c r="R27" s="712">
        <f t="shared" si="5"/>
        <v>0</v>
      </c>
    </row>
    <row r="28" spans="3:18" ht="15.75" x14ac:dyDescent="0.25">
      <c r="C28" s="695"/>
      <c r="D28" s="567" t="str">
        <f>IFERROR(VLOOKUP(C28,'נתוני רישום ומצבת'!B:G,6,0),"")</f>
        <v/>
      </c>
      <c r="E28" s="713"/>
      <c r="F28" s="713"/>
      <c r="G28" s="713"/>
      <c r="H28" s="715"/>
      <c r="I28" s="715"/>
      <c r="J28" s="568">
        <f t="shared" si="6"/>
        <v>0</v>
      </c>
      <c r="K28" s="1051"/>
      <c r="L28" s="1051"/>
      <c r="M28" s="1051"/>
      <c r="N28" s="1036">
        <f t="shared" si="1"/>
        <v>0</v>
      </c>
      <c r="O28" s="1052">
        <f t="shared" si="2"/>
        <v>0</v>
      </c>
      <c r="P28" s="1036">
        <f t="shared" si="3"/>
        <v>0</v>
      </c>
      <c r="Q28" s="1053">
        <f t="shared" si="4"/>
        <v>0</v>
      </c>
      <c r="R28" s="712">
        <f t="shared" si="5"/>
        <v>0</v>
      </c>
    </row>
    <row r="29" spans="3:18" ht="15.75" x14ac:dyDescent="0.25">
      <c r="C29" s="695"/>
      <c r="D29" s="567" t="str">
        <f>IFERROR(VLOOKUP(C29,'נתוני רישום ומצבת'!B:G,6,0),"")</f>
        <v/>
      </c>
      <c r="E29" s="713"/>
      <c r="F29" s="713"/>
      <c r="G29" s="713"/>
      <c r="H29" s="714"/>
      <c r="I29" s="714"/>
      <c r="J29" s="568">
        <f t="shared" si="6"/>
        <v>0</v>
      </c>
      <c r="K29" s="1051"/>
      <c r="L29" s="1051"/>
      <c r="M29" s="1051"/>
      <c r="N29" s="1036">
        <f t="shared" si="1"/>
        <v>0</v>
      </c>
      <c r="O29" s="1052">
        <f t="shared" si="2"/>
        <v>0</v>
      </c>
      <c r="P29" s="1036">
        <f t="shared" si="3"/>
        <v>0</v>
      </c>
      <c r="Q29" s="1053">
        <f t="shared" si="4"/>
        <v>0</v>
      </c>
      <c r="R29" s="712">
        <f t="shared" si="5"/>
        <v>0</v>
      </c>
    </row>
    <row r="30" spans="3:18" ht="15.75" x14ac:dyDescent="0.25">
      <c r="C30" s="695"/>
      <c r="D30" s="567" t="str">
        <f>IFERROR(VLOOKUP(C30,'נתוני רישום ומצבת'!B:G,6,0),"")</f>
        <v/>
      </c>
      <c r="E30" s="713"/>
      <c r="F30" s="713"/>
      <c r="G30" s="713"/>
      <c r="H30" s="715"/>
      <c r="I30" s="715"/>
      <c r="J30" s="568">
        <f t="shared" si="6"/>
        <v>0</v>
      </c>
      <c r="K30" s="1051"/>
      <c r="L30" s="1051"/>
      <c r="M30" s="1051"/>
      <c r="N30" s="1036">
        <f t="shared" si="1"/>
        <v>0</v>
      </c>
      <c r="O30" s="1052">
        <f t="shared" si="2"/>
        <v>0</v>
      </c>
      <c r="P30" s="1036">
        <f t="shared" si="3"/>
        <v>0</v>
      </c>
      <c r="Q30" s="1053">
        <f t="shared" si="4"/>
        <v>0</v>
      </c>
      <c r="R30" s="712">
        <f t="shared" si="5"/>
        <v>0</v>
      </c>
    </row>
    <row r="31" spans="3:18" ht="15.75" x14ac:dyDescent="0.25">
      <c r="C31" s="695"/>
      <c r="D31" s="567" t="str">
        <f>IFERROR(VLOOKUP(C31,'נתוני רישום ומצבת'!B:G,6,0),"")</f>
        <v/>
      </c>
      <c r="E31" s="713"/>
      <c r="F31" s="713"/>
      <c r="G31" s="713"/>
      <c r="H31" s="715"/>
      <c r="I31" s="715"/>
      <c r="J31" s="568">
        <f t="shared" si="6"/>
        <v>0</v>
      </c>
      <c r="K31" s="1051"/>
      <c r="L31" s="1051"/>
      <c r="M31" s="1051"/>
      <c r="N31" s="1036">
        <f t="shared" si="1"/>
        <v>0</v>
      </c>
      <c r="O31" s="1052">
        <f t="shared" si="2"/>
        <v>0</v>
      </c>
      <c r="P31" s="1036">
        <f t="shared" si="3"/>
        <v>0</v>
      </c>
      <c r="Q31" s="1053">
        <f t="shared" si="4"/>
        <v>0</v>
      </c>
      <c r="R31" s="712">
        <f t="shared" si="5"/>
        <v>0</v>
      </c>
    </row>
    <row r="32" spans="3:18" ht="15.75" x14ac:dyDescent="0.25">
      <c r="C32" s="695"/>
      <c r="D32" s="567" t="str">
        <f>IFERROR(VLOOKUP(C32,'נתוני רישום ומצבת'!B:G,6,0),"")</f>
        <v/>
      </c>
      <c r="E32" s="713"/>
      <c r="F32" s="713"/>
      <c r="G32" s="713"/>
      <c r="H32" s="715"/>
      <c r="I32" s="715"/>
      <c r="J32" s="568">
        <f t="shared" si="6"/>
        <v>0</v>
      </c>
      <c r="K32" s="1051"/>
      <c r="L32" s="1051"/>
      <c r="M32" s="1051"/>
      <c r="N32" s="1036">
        <f t="shared" si="1"/>
        <v>0</v>
      </c>
      <c r="O32" s="1052">
        <f t="shared" si="2"/>
        <v>0</v>
      </c>
      <c r="P32" s="1036">
        <f t="shared" si="3"/>
        <v>0</v>
      </c>
      <c r="Q32" s="1053">
        <f t="shared" si="4"/>
        <v>0</v>
      </c>
      <c r="R32" s="712">
        <f t="shared" si="5"/>
        <v>0</v>
      </c>
    </row>
    <row r="33" spans="3:18" ht="15.75" x14ac:dyDescent="0.25">
      <c r="C33" s="695"/>
      <c r="D33" s="567" t="str">
        <f>IFERROR(VLOOKUP(C33,'נתוני רישום ומצבת'!B:G,6,0),"")</f>
        <v/>
      </c>
      <c r="E33" s="713"/>
      <c r="F33" s="713"/>
      <c r="G33" s="713"/>
      <c r="H33" s="714"/>
      <c r="I33" s="714"/>
      <c r="J33" s="568">
        <f t="shared" si="6"/>
        <v>0</v>
      </c>
      <c r="K33" s="1051"/>
      <c r="L33" s="1051"/>
      <c r="M33" s="1051"/>
      <c r="N33" s="1036">
        <f t="shared" si="1"/>
        <v>0</v>
      </c>
      <c r="O33" s="1052">
        <f t="shared" si="2"/>
        <v>0</v>
      </c>
      <c r="P33" s="1036">
        <f t="shared" si="3"/>
        <v>0</v>
      </c>
      <c r="Q33" s="1053">
        <f t="shared" si="4"/>
        <v>0</v>
      </c>
      <c r="R33" s="712">
        <f t="shared" si="5"/>
        <v>0</v>
      </c>
    </row>
    <row r="34" spans="3:18" ht="15.75" x14ac:dyDescent="0.25">
      <c r="C34" s="695"/>
      <c r="D34" s="567" t="str">
        <f>IFERROR(VLOOKUP(C34,'נתוני רישום ומצבת'!B:G,6,0),"")</f>
        <v/>
      </c>
      <c r="E34" s="713"/>
      <c r="F34" s="713"/>
      <c r="G34" s="713"/>
      <c r="H34" s="715"/>
      <c r="I34" s="715"/>
      <c r="J34" s="568">
        <f t="shared" si="6"/>
        <v>0</v>
      </c>
      <c r="K34" s="1051"/>
      <c r="L34" s="1051"/>
      <c r="M34" s="1051"/>
      <c r="N34" s="1036">
        <f t="shared" si="1"/>
        <v>0</v>
      </c>
      <c r="O34" s="1052">
        <f t="shared" si="2"/>
        <v>0</v>
      </c>
      <c r="P34" s="1036">
        <f t="shared" si="3"/>
        <v>0</v>
      </c>
      <c r="Q34" s="1053">
        <f t="shared" si="4"/>
        <v>0</v>
      </c>
      <c r="R34" s="712">
        <f t="shared" si="5"/>
        <v>0</v>
      </c>
    </row>
    <row r="35" spans="3:18" ht="15.75" x14ac:dyDescent="0.25">
      <c r="C35" s="695"/>
      <c r="D35" s="567" t="str">
        <f>IFERROR(VLOOKUP(C35,'נתוני רישום ומצבת'!B:G,6,0),"")</f>
        <v/>
      </c>
      <c r="E35" s="713"/>
      <c r="F35" s="713"/>
      <c r="G35" s="713"/>
      <c r="H35" s="715"/>
      <c r="I35" s="715"/>
      <c r="J35" s="568">
        <f t="shared" si="6"/>
        <v>0</v>
      </c>
      <c r="K35" s="1051"/>
      <c r="L35" s="1051"/>
      <c r="M35" s="1051"/>
      <c r="N35" s="1036">
        <f t="shared" si="1"/>
        <v>0</v>
      </c>
      <c r="O35" s="1052">
        <f t="shared" si="2"/>
        <v>0</v>
      </c>
      <c r="P35" s="1036">
        <f t="shared" si="3"/>
        <v>0</v>
      </c>
      <c r="Q35" s="1053">
        <f t="shared" si="4"/>
        <v>0</v>
      </c>
      <c r="R35" s="712">
        <f t="shared" si="5"/>
        <v>0</v>
      </c>
    </row>
    <row r="36" spans="3:18" ht="15.75" x14ac:dyDescent="0.25">
      <c r="C36" s="695"/>
      <c r="D36" s="567" t="str">
        <f>IFERROR(VLOOKUP(C36,'נתוני רישום ומצבת'!B:G,6,0),"")</f>
        <v/>
      </c>
      <c r="E36" s="713"/>
      <c r="F36" s="713"/>
      <c r="G36" s="713"/>
      <c r="H36" s="715"/>
      <c r="I36" s="715"/>
      <c r="J36" s="568">
        <f t="shared" si="6"/>
        <v>0</v>
      </c>
      <c r="K36" s="1051"/>
      <c r="L36" s="1051"/>
      <c r="M36" s="1051"/>
      <c r="N36" s="1036">
        <f t="shared" si="1"/>
        <v>0</v>
      </c>
      <c r="O36" s="1052">
        <f t="shared" si="2"/>
        <v>0</v>
      </c>
      <c r="P36" s="1036">
        <f t="shared" si="3"/>
        <v>0</v>
      </c>
      <c r="Q36" s="1053">
        <f t="shared" si="4"/>
        <v>0</v>
      </c>
      <c r="R36" s="712">
        <f t="shared" si="5"/>
        <v>0</v>
      </c>
    </row>
    <row r="37" spans="3:18" ht="15.75" x14ac:dyDescent="0.25">
      <c r="C37" s="695"/>
      <c r="D37" s="567" t="str">
        <f>IFERROR(VLOOKUP(C37,'נתוני רישום ומצבת'!B:G,6,0),"")</f>
        <v/>
      </c>
      <c r="E37" s="713"/>
      <c r="F37" s="713"/>
      <c r="G37" s="713"/>
      <c r="H37" s="714"/>
      <c r="I37" s="714"/>
      <c r="J37" s="568">
        <f t="shared" si="6"/>
        <v>0</v>
      </c>
      <c r="K37" s="1051"/>
      <c r="L37" s="1051"/>
      <c r="M37" s="1051"/>
      <c r="N37" s="1036">
        <f t="shared" si="1"/>
        <v>0</v>
      </c>
      <c r="O37" s="1052">
        <f t="shared" si="2"/>
        <v>0</v>
      </c>
      <c r="P37" s="1036">
        <f t="shared" si="3"/>
        <v>0</v>
      </c>
      <c r="Q37" s="1053">
        <f t="shared" si="4"/>
        <v>0</v>
      </c>
      <c r="R37" s="712">
        <f t="shared" si="5"/>
        <v>0</v>
      </c>
    </row>
    <row r="38" spans="3:18" ht="15.75" x14ac:dyDescent="0.25">
      <c r="C38" s="695"/>
      <c r="D38" s="567" t="str">
        <f>IFERROR(VLOOKUP(C38,'נתוני רישום ומצבת'!B:G,6,0),"")</f>
        <v/>
      </c>
      <c r="E38" s="713"/>
      <c r="F38" s="713"/>
      <c r="G38" s="713"/>
      <c r="H38" s="715"/>
      <c r="I38" s="715"/>
      <c r="J38" s="568">
        <f t="shared" si="6"/>
        <v>0</v>
      </c>
      <c r="K38" s="1051"/>
      <c r="L38" s="1051"/>
      <c r="M38" s="1051"/>
      <c r="N38" s="1036">
        <f t="shared" si="1"/>
        <v>0</v>
      </c>
      <c r="O38" s="1052">
        <f t="shared" si="2"/>
        <v>0</v>
      </c>
      <c r="P38" s="1036">
        <f t="shared" si="3"/>
        <v>0</v>
      </c>
      <c r="Q38" s="1053">
        <f t="shared" si="4"/>
        <v>0</v>
      </c>
      <c r="R38" s="712">
        <f t="shared" si="5"/>
        <v>0</v>
      </c>
    </row>
    <row r="39" spans="3:18" ht="15.75" x14ac:dyDescent="0.25">
      <c r="C39" s="695"/>
      <c r="D39" s="567" t="str">
        <f>IFERROR(VLOOKUP(C39,'נתוני רישום ומצבת'!B:G,6,0),"")</f>
        <v/>
      </c>
      <c r="E39" s="713"/>
      <c r="F39" s="713"/>
      <c r="G39" s="713"/>
      <c r="H39" s="715"/>
      <c r="I39" s="715"/>
      <c r="J39" s="568">
        <f t="shared" si="6"/>
        <v>0</v>
      </c>
      <c r="K39" s="1051"/>
      <c r="L39" s="1051"/>
      <c r="M39" s="1051"/>
      <c r="N39" s="1036">
        <f t="shared" si="1"/>
        <v>0</v>
      </c>
      <c r="O39" s="1052">
        <f t="shared" si="2"/>
        <v>0</v>
      </c>
      <c r="P39" s="1036">
        <f t="shared" si="3"/>
        <v>0</v>
      </c>
      <c r="Q39" s="1053">
        <f t="shared" si="4"/>
        <v>0</v>
      </c>
      <c r="R39" s="712">
        <f t="shared" si="5"/>
        <v>0</v>
      </c>
    </row>
    <row r="40" spans="3:18" ht="15.75" x14ac:dyDescent="0.25">
      <c r="C40" s="695"/>
      <c r="D40" s="567" t="str">
        <f>IFERROR(VLOOKUP(C40,'נתוני רישום ומצבת'!B:G,6,0),"")</f>
        <v/>
      </c>
      <c r="E40" s="713"/>
      <c r="F40" s="713"/>
      <c r="G40" s="713"/>
      <c r="H40" s="715"/>
      <c r="I40" s="715"/>
      <c r="J40" s="568">
        <f t="shared" si="6"/>
        <v>0</v>
      </c>
      <c r="K40" s="1051"/>
      <c r="L40" s="1051"/>
      <c r="M40" s="1051"/>
      <c r="N40" s="1036">
        <f t="shared" si="1"/>
        <v>0</v>
      </c>
      <c r="O40" s="1052">
        <f t="shared" si="2"/>
        <v>0</v>
      </c>
      <c r="P40" s="1036">
        <f t="shared" si="3"/>
        <v>0</v>
      </c>
      <c r="Q40" s="1053">
        <f t="shared" si="4"/>
        <v>0</v>
      </c>
      <c r="R40" s="712">
        <f t="shared" si="5"/>
        <v>0</v>
      </c>
    </row>
    <row r="41" spans="3:18" ht="15.75" x14ac:dyDescent="0.25">
      <c r="C41" s="695"/>
      <c r="D41" s="567" t="str">
        <f>IFERROR(VLOOKUP(C41,'נתוני רישום ומצבת'!B:G,6,0),"")</f>
        <v/>
      </c>
      <c r="E41" s="713"/>
      <c r="F41" s="713"/>
      <c r="G41" s="713"/>
      <c r="H41" s="714"/>
      <c r="I41" s="714"/>
      <c r="J41" s="568">
        <f t="shared" si="6"/>
        <v>0</v>
      </c>
      <c r="K41" s="1051"/>
      <c r="L41" s="1051"/>
      <c r="M41" s="1051"/>
      <c r="N41" s="1036">
        <f t="shared" si="1"/>
        <v>0</v>
      </c>
      <c r="O41" s="1052">
        <f t="shared" si="2"/>
        <v>0</v>
      </c>
      <c r="P41" s="1036">
        <f t="shared" si="3"/>
        <v>0</v>
      </c>
      <c r="Q41" s="1053">
        <f t="shared" si="4"/>
        <v>0</v>
      </c>
      <c r="R41" s="712">
        <f t="shared" si="5"/>
        <v>0</v>
      </c>
    </row>
    <row r="42" spans="3:18" ht="15.75" x14ac:dyDescent="0.25">
      <c r="C42" s="695"/>
      <c r="D42" s="567" t="str">
        <f>IFERROR(VLOOKUP(C42,'נתוני רישום ומצבת'!B:G,6,0),"")</f>
        <v/>
      </c>
      <c r="E42" s="713"/>
      <c r="F42" s="713"/>
      <c r="G42" s="713"/>
      <c r="H42" s="715"/>
      <c r="I42" s="715"/>
      <c r="J42" s="568">
        <f t="shared" si="6"/>
        <v>0</v>
      </c>
      <c r="K42" s="1051"/>
      <c r="L42" s="1051"/>
      <c r="M42" s="1051"/>
      <c r="N42" s="1036">
        <f t="shared" si="1"/>
        <v>0</v>
      </c>
      <c r="O42" s="1052">
        <f t="shared" si="2"/>
        <v>0</v>
      </c>
      <c r="P42" s="1036">
        <f t="shared" si="3"/>
        <v>0</v>
      </c>
      <c r="Q42" s="1053">
        <f t="shared" si="4"/>
        <v>0</v>
      </c>
      <c r="R42" s="712">
        <f t="shared" si="5"/>
        <v>0</v>
      </c>
    </row>
    <row r="43" spans="3:18" ht="15.75" x14ac:dyDescent="0.25">
      <c r="C43" s="695"/>
      <c r="D43" s="567" t="str">
        <f>IFERROR(VLOOKUP(C43,'נתוני רישום ומצבת'!B:G,6,0),"")</f>
        <v/>
      </c>
      <c r="E43" s="713"/>
      <c r="F43" s="713"/>
      <c r="G43" s="713"/>
      <c r="H43" s="715"/>
      <c r="I43" s="715"/>
      <c r="J43" s="568">
        <f t="shared" si="6"/>
        <v>0</v>
      </c>
      <c r="K43" s="1051"/>
      <c r="L43" s="1051"/>
      <c r="M43" s="1051"/>
      <c r="N43" s="1036">
        <f t="shared" si="1"/>
        <v>0</v>
      </c>
      <c r="O43" s="1052">
        <f t="shared" si="2"/>
        <v>0</v>
      </c>
      <c r="P43" s="1036">
        <f t="shared" si="3"/>
        <v>0</v>
      </c>
      <c r="Q43" s="1053">
        <f t="shared" si="4"/>
        <v>0</v>
      </c>
      <c r="R43" s="712">
        <f t="shared" si="5"/>
        <v>0</v>
      </c>
    </row>
    <row r="44" spans="3:18" ht="15.75" x14ac:dyDescent="0.25">
      <c r="C44" s="695"/>
      <c r="D44" s="567" t="str">
        <f>IFERROR(VLOOKUP(C44,'נתוני רישום ומצבת'!B:G,6,0),"")</f>
        <v/>
      </c>
      <c r="E44" s="713"/>
      <c r="F44" s="713"/>
      <c r="G44" s="713"/>
      <c r="H44" s="715"/>
      <c r="I44" s="715"/>
      <c r="J44" s="568">
        <f t="shared" si="6"/>
        <v>0</v>
      </c>
      <c r="K44" s="1051"/>
      <c r="L44" s="1051"/>
      <c r="M44" s="1051"/>
      <c r="N44" s="1036">
        <f t="shared" si="1"/>
        <v>0</v>
      </c>
      <c r="O44" s="1052">
        <f t="shared" si="2"/>
        <v>0</v>
      </c>
      <c r="P44" s="1036">
        <f t="shared" si="3"/>
        <v>0</v>
      </c>
      <c r="Q44" s="1053">
        <f t="shared" si="4"/>
        <v>0</v>
      </c>
      <c r="R44" s="712">
        <f t="shared" si="5"/>
        <v>0</v>
      </c>
    </row>
    <row r="45" spans="3:18" ht="15.75" x14ac:dyDescent="0.25">
      <c r="C45" s="695"/>
      <c r="D45" s="567" t="str">
        <f>IFERROR(VLOOKUP(C45,'נתוני רישום ומצבת'!B:G,6,0),"")</f>
        <v/>
      </c>
      <c r="E45" s="713"/>
      <c r="F45" s="713"/>
      <c r="G45" s="713"/>
      <c r="H45" s="714"/>
      <c r="I45" s="714"/>
      <c r="J45" s="568">
        <f t="shared" si="6"/>
        <v>0</v>
      </c>
      <c r="K45" s="1051"/>
      <c r="L45" s="1051"/>
      <c r="M45" s="1051"/>
      <c r="N45" s="1036">
        <f t="shared" si="1"/>
        <v>0</v>
      </c>
      <c r="O45" s="1052">
        <f t="shared" si="2"/>
        <v>0</v>
      </c>
      <c r="P45" s="1036">
        <f t="shared" si="3"/>
        <v>0</v>
      </c>
      <c r="Q45" s="1053">
        <f t="shared" si="4"/>
        <v>0</v>
      </c>
      <c r="R45" s="712">
        <f t="shared" si="5"/>
        <v>0</v>
      </c>
    </row>
    <row r="46" spans="3:18" ht="15.75" x14ac:dyDescent="0.25">
      <c r="C46" s="695"/>
      <c r="D46" s="567" t="str">
        <f>IFERROR(VLOOKUP(C46,'נתוני רישום ומצבת'!B:G,6,0),"")</f>
        <v/>
      </c>
      <c r="E46" s="713"/>
      <c r="F46" s="713"/>
      <c r="G46" s="713"/>
      <c r="H46" s="715"/>
      <c r="I46" s="715"/>
      <c r="J46" s="568">
        <f t="shared" si="6"/>
        <v>0</v>
      </c>
      <c r="K46" s="1051"/>
      <c r="L46" s="1051"/>
      <c r="M46" s="1051"/>
      <c r="N46" s="1036">
        <f t="shared" si="1"/>
        <v>0</v>
      </c>
      <c r="O46" s="1052">
        <f t="shared" si="2"/>
        <v>0</v>
      </c>
      <c r="P46" s="1036">
        <f t="shared" si="3"/>
        <v>0</v>
      </c>
      <c r="Q46" s="1053">
        <f t="shared" si="4"/>
        <v>0</v>
      </c>
      <c r="R46" s="712">
        <f t="shared" si="5"/>
        <v>0</v>
      </c>
    </row>
    <row r="47" spans="3:18" ht="15.75" x14ac:dyDescent="0.25">
      <c r="C47" s="695"/>
      <c r="D47" s="567" t="str">
        <f>IFERROR(VLOOKUP(C47,'נתוני רישום ומצבת'!B:G,6,0),"")</f>
        <v/>
      </c>
      <c r="E47" s="713"/>
      <c r="F47" s="713"/>
      <c r="G47" s="713"/>
      <c r="H47" s="715"/>
      <c r="I47" s="715"/>
      <c r="J47" s="568">
        <f t="shared" si="6"/>
        <v>0</v>
      </c>
      <c r="K47" s="1051"/>
      <c r="L47" s="1051"/>
      <c r="M47" s="1051"/>
      <c r="N47" s="1036">
        <f t="shared" si="1"/>
        <v>0</v>
      </c>
      <c r="O47" s="1052">
        <f t="shared" si="2"/>
        <v>0</v>
      </c>
      <c r="P47" s="1036">
        <f t="shared" si="3"/>
        <v>0</v>
      </c>
      <c r="Q47" s="1053">
        <f t="shared" si="4"/>
        <v>0</v>
      </c>
      <c r="R47" s="712">
        <f t="shared" si="5"/>
        <v>0</v>
      </c>
    </row>
    <row r="48" spans="3:18" ht="15.75" x14ac:dyDescent="0.25">
      <c r="C48" s="695"/>
      <c r="D48" s="567" t="str">
        <f>IFERROR(VLOOKUP(C48,'נתוני רישום ומצבת'!B:G,6,0),"")</f>
        <v/>
      </c>
      <c r="E48" s="713"/>
      <c r="F48" s="713"/>
      <c r="G48" s="713"/>
      <c r="H48" s="715"/>
      <c r="I48" s="715"/>
      <c r="J48" s="568">
        <f t="shared" si="6"/>
        <v>0</v>
      </c>
      <c r="K48" s="1051"/>
      <c r="L48" s="1051"/>
      <c r="M48" s="1051"/>
      <c r="N48" s="1036">
        <f t="shared" si="1"/>
        <v>0</v>
      </c>
      <c r="O48" s="1052">
        <f t="shared" si="2"/>
        <v>0</v>
      </c>
      <c r="P48" s="1036">
        <f t="shared" si="3"/>
        <v>0</v>
      </c>
      <c r="Q48" s="1053">
        <f t="shared" si="4"/>
        <v>0</v>
      </c>
      <c r="R48" s="712">
        <f t="shared" si="5"/>
        <v>0</v>
      </c>
    </row>
    <row r="49" spans="3:18" ht="15.75" x14ac:dyDescent="0.25">
      <c r="C49" s="695"/>
      <c r="D49" s="567" t="str">
        <f>IFERROR(VLOOKUP(C49,'נתוני רישום ומצבת'!B:G,6,0),"")</f>
        <v/>
      </c>
      <c r="E49" s="713"/>
      <c r="F49" s="713"/>
      <c r="G49" s="713"/>
      <c r="H49" s="714"/>
      <c r="I49" s="714"/>
      <c r="J49" s="568">
        <f t="shared" si="6"/>
        <v>0</v>
      </c>
      <c r="K49" s="1051"/>
      <c r="L49" s="1051"/>
      <c r="M49" s="1051"/>
      <c r="N49" s="1036">
        <f t="shared" si="1"/>
        <v>0</v>
      </c>
      <c r="O49" s="1052">
        <f t="shared" si="2"/>
        <v>0</v>
      </c>
      <c r="P49" s="1036">
        <f t="shared" si="3"/>
        <v>0</v>
      </c>
      <c r="Q49" s="1053">
        <f t="shared" si="4"/>
        <v>0</v>
      </c>
      <c r="R49" s="712">
        <f t="shared" si="5"/>
        <v>0</v>
      </c>
    </row>
    <row r="50" spans="3:18" ht="15.75" x14ac:dyDescent="0.25">
      <c r="C50" s="695"/>
      <c r="D50" s="567" t="str">
        <f>IFERROR(VLOOKUP(C50,'נתוני רישום ומצבת'!B:G,6,0),"")</f>
        <v/>
      </c>
      <c r="E50" s="713"/>
      <c r="F50" s="713"/>
      <c r="G50" s="713"/>
      <c r="H50" s="715"/>
      <c r="I50" s="715"/>
      <c r="J50" s="568">
        <f t="shared" si="6"/>
        <v>0</v>
      </c>
      <c r="K50" s="1051"/>
      <c r="L50" s="1051"/>
      <c r="M50" s="1051"/>
      <c r="N50" s="1036">
        <f t="shared" si="1"/>
        <v>0</v>
      </c>
      <c r="O50" s="1052">
        <f t="shared" si="2"/>
        <v>0</v>
      </c>
      <c r="P50" s="1036">
        <f t="shared" si="3"/>
        <v>0</v>
      </c>
      <c r="Q50" s="1053">
        <f t="shared" si="4"/>
        <v>0</v>
      </c>
      <c r="R50" s="712">
        <f t="shared" si="5"/>
        <v>0</v>
      </c>
    </row>
    <row r="51" spans="3:18" ht="15.75" x14ac:dyDescent="0.25">
      <c r="C51" s="695"/>
      <c r="D51" s="567" t="str">
        <f>IFERROR(VLOOKUP(C51,'נתוני רישום ומצבת'!B:G,6,0),"")</f>
        <v/>
      </c>
      <c r="E51" s="713"/>
      <c r="F51" s="713"/>
      <c r="G51" s="713"/>
      <c r="H51" s="715"/>
      <c r="I51" s="715"/>
      <c r="J51" s="568">
        <f t="shared" si="6"/>
        <v>0</v>
      </c>
      <c r="K51" s="1051"/>
      <c r="L51" s="1051"/>
      <c r="M51" s="1051"/>
      <c r="N51" s="1036">
        <f t="shared" si="1"/>
        <v>0</v>
      </c>
      <c r="O51" s="1052">
        <f t="shared" si="2"/>
        <v>0</v>
      </c>
      <c r="P51" s="1036">
        <f t="shared" si="3"/>
        <v>0</v>
      </c>
      <c r="Q51" s="1053">
        <f t="shared" si="4"/>
        <v>0</v>
      </c>
      <c r="R51" s="712">
        <f t="shared" si="5"/>
        <v>0</v>
      </c>
    </row>
    <row r="52" spans="3:18" ht="15.75" x14ac:dyDescent="0.25">
      <c r="C52" s="695"/>
      <c r="D52" s="567" t="str">
        <f>IFERROR(VLOOKUP(C52,'נתוני רישום ומצבת'!B:G,6,0),"")</f>
        <v/>
      </c>
      <c r="E52" s="713"/>
      <c r="F52" s="713"/>
      <c r="G52" s="713"/>
      <c r="H52" s="715"/>
      <c r="I52" s="715"/>
      <c r="J52" s="568">
        <f t="shared" si="6"/>
        <v>0</v>
      </c>
      <c r="K52" s="1051"/>
      <c r="L52" s="1051"/>
      <c r="M52" s="1051"/>
      <c r="N52" s="1036">
        <f t="shared" si="1"/>
        <v>0</v>
      </c>
      <c r="O52" s="1052">
        <f t="shared" si="2"/>
        <v>0</v>
      </c>
      <c r="P52" s="1036">
        <f t="shared" si="3"/>
        <v>0</v>
      </c>
      <c r="Q52" s="1053">
        <f t="shared" si="4"/>
        <v>0</v>
      </c>
      <c r="R52" s="712">
        <f t="shared" si="5"/>
        <v>0</v>
      </c>
    </row>
    <row r="53" spans="3:18" ht="15.75" x14ac:dyDescent="0.25">
      <c r="C53" s="695"/>
      <c r="D53" s="567" t="str">
        <f>IFERROR(VLOOKUP(C53,'נתוני רישום ומצבת'!B:G,6,0),"")</f>
        <v/>
      </c>
      <c r="E53" s="713"/>
      <c r="F53" s="713"/>
      <c r="G53" s="713"/>
      <c r="H53" s="714"/>
      <c r="I53" s="714"/>
      <c r="J53" s="568">
        <f t="shared" si="6"/>
        <v>0</v>
      </c>
      <c r="K53" s="1051"/>
      <c r="L53" s="1051"/>
      <c r="M53" s="1051"/>
      <c r="N53" s="1036">
        <f t="shared" si="1"/>
        <v>0</v>
      </c>
      <c r="O53" s="1052">
        <f t="shared" si="2"/>
        <v>0</v>
      </c>
      <c r="P53" s="1036">
        <f t="shared" si="3"/>
        <v>0</v>
      </c>
      <c r="Q53" s="1053">
        <f t="shared" si="4"/>
        <v>0</v>
      </c>
      <c r="R53" s="712">
        <f t="shared" si="5"/>
        <v>0</v>
      </c>
    </row>
    <row r="54" spans="3:18" ht="15.75" x14ac:dyDescent="0.25">
      <c r="C54" s="695"/>
      <c r="D54" s="567" t="str">
        <f>IFERROR(VLOOKUP(C54,'נתוני רישום ומצבת'!B:G,6,0),"")</f>
        <v/>
      </c>
      <c r="E54" s="713"/>
      <c r="F54" s="713"/>
      <c r="G54" s="713"/>
      <c r="H54" s="715"/>
      <c r="I54" s="715"/>
      <c r="J54" s="568">
        <f t="shared" si="6"/>
        <v>0</v>
      </c>
      <c r="K54" s="1051"/>
      <c r="L54" s="1051"/>
      <c r="M54" s="1051"/>
      <c r="N54" s="1036">
        <f t="shared" si="1"/>
        <v>0</v>
      </c>
      <c r="O54" s="1052">
        <f t="shared" si="2"/>
        <v>0</v>
      </c>
      <c r="P54" s="1036">
        <f t="shared" si="3"/>
        <v>0</v>
      </c>
      <c r="Q54" s="1053">
        <f t="shared" si="4"/>
        <v>0</v>
      </c>
      <c r="R54" s="712">
        <f t="shared" si="5"/>
        <v>0</v>
      </c>
    </row>
    <row r="55" spans="3:18" ht="15.75" x14ac:dyDescent="0.25">
      <c r="C55" s="695"/>
      <c r="D55" s="567" t="str">
        <f>IFERROR(VLOOKUP(C55,'נתוני רישום ומצבת'!B:G,6,0),"")</f>
        <v/>
      </c>
      <c r="E55" s="713"/>
      <c r="F55" s="713"/>
      <c r="G55" s="713"/>
      <c r="H55" s="715"/>
      <c r="I55" s="715"/>
      <c r="J55" s="568">
        <f t="shared" si="6"/>
        <v>0</v>
      </c>
      <c r="K55" s="1051"/>
      <c r="L55" s="1051"/>
      <c r="M55" s="1051"/>
      <c r="N55" s="1036">
        <f t="shared" si="1"/>
        <v>0</v>
      </c>
      <c r="O55" s="1052">
        <f t="shared" si="2"/>
        <v>0</v>
      </c>
      <c r="P55" s="1036">
        <f t="shared" si="3"/>
        <v>0</v>
      </c>
      <c r="Q55" s="1053">
        <f t="shared" si="4"/>
        <v>0</v>
      </c>
      <c r="R55" s="712">
        <f t="shared" si="5"/>
        <v>0</v>
      </c>
    </row>
    <row r="56" spans="3:18" ht="15.75" x14ac:dyDescent="0.25">
      <c r="C56" s="695"/>
      <c r="D56" s="567" t="str">
        <f>IFERROR(VLOOKUP(C56,'נתוני רישום ומצבת'!B:G,6,0),"")</f>
        <v/>
      </c>
      <c r="E56" s="713"/>
      <c r="F56" s="713"/>
      <c r="G56" s="713"/>
      <c r="H56" s="715"/>
      <c r="I56" s="715"/>
      <c r="J56" s="568">
        <f t="shared" si="6"/>
        <v>0</v>
      </c>
      <c r="K56" s="1051"/>
      <c r="L56" s="1051"/>
      <c r="M56" s="1051"/>
      <c r="N56" s="1036">
        <f t="shared" si="1"/>
        <v>0</v>
      </c>
      <c r="O56" s="1052">
        <f t="shared" si="2"/>
        <v>0</v>
      </c>
      <c r="P56" s="1036">
        <f t="shared" si="3"/>
        <v>0</v>
      </c>
      <c r="Q56" s="1053">
        <f t="shared" si="4"/>
        <v>0</v>
      </c>
      <c r="R56" s="712">
        <f t="shared" si="5"/>
        <v>0</v>
      </c>
    </row>
    <row r="57" spans="3:18" ht="15.75" x14ac:dyDescent="0.25">
      <c r="C57" s="695"/>
      <c r="D57" s="567" t="str">
        <f>IFERROR(VLOOKUP(C57,'נתוני רישום ומצבת'!B:G,6,0),"")</f>
        <v/>
      </c>
      <c r="E57" s="713"/>
      <c r="F57" s="713"/>
      <c r="G57" s="713"/>
      <c r="H57" s="714"/>
      <c r="I57" s="714"/>
      <c r="J57" s="568">
        <f t="shared" si="6"/>
        <v>0</v>
      </c>
      <c r="K57" s="1051"/>
      <c r="L57" s="1051"/>
      <c r="M57" s="1051"/>
      <c r="N57" s="1036">
        <f t="shared" si="1"/>
        <v>0</v>
      </c>
      <c r="O57" s="1052">
        <f t="shared" si="2"/>
        <v>0</v>
      </c>
      <c r="P57" s="1036">
        <f t="shared" si="3"/>
        <v>0</v>
      </c>
      <c r="Q57" s="1053">
        <f t="shared" si="4"/>
        <v>0</v>
      </c>
      <c r="R57" s="712">
        <f t="shared" si="5"/>
        <v>0</v>
      </c>
    </row>
    <row r="58" spans="3:18" ht="15.75" x14ac:dyDescent="0.25">
      <c r="C58" s="695"/>
      <c r="D58" s="567"/>
      <c r="E58" s="713"/>
      <c r="F58" s="713"/>
      <c r="G58" s="713"/>
      <c r="H58" s="715"/>
      <c r="I58" s="715"/>
      <c r="J58" s="568">
        <f t="shared" si="6"/>
        <v>0</v>
      </c>
      <c r="K58" s="1051"/>
      <c r="L58" s="1051"/>
      <c r="M58" s="1051"/>
      <c r="N58" s="1036">
        <f t="shared" si="1"/>
        <v>0</v>
      </c>
      <c r="O58" s="1052">
        <f t="shared" si="2"/>
        <v>0</v>
      </c>
      <c r="P58" s="1036">
        <f t="shared" si="3"/>
        <v>0</v>
      </c>
      <c r="Q58" s="1053">
        <f t="shared" si="4"/>
        <v>0</v>
      </c>
      <c r="R58" s="712">
        <f t="shared" si="5"/>
        <v>0</v>
      </c>
    </row>
    <row r="59" spans="3:18" ht="15.75" x14ac:dyDescent="0.25">
      <c r="C59" s="695"/>
      <c r="D59" s="567"/>
      <c r="E59" s="713"/>
      <c r="F59" s="713"/>
      <c r="G59" s="713"/>
      <c r="H59" s="714"/>
      <c r="I59" s="714"/>
      <c r="J59" s="568">
        <f t="shared" si="6"/>
        <v>0</v>
      </c>
      <c r="K59" s="1051"/>
      <c r="L59" s="1051"/>
      <c r="M59" s="1051"/>
      <c r="N59" s="1036">
        <f t="shared" si="1"/>
        <v>0</v>
      </c>
      <c r="O59" s="1052">
        <f t="shared" si="2"/>
        <v>0</v>
      </c>
      <c r="P59" s="1036">
        <f t="shared" si="3"/>
        <v>0</v>
      </c>
      <c r="Q59" s="1053">
        <f t="shared" si="4"/>
        <v>0</v>
      </c>
      <c r="R59" s="712">
        <f t="shared" si="5"/>
        <v>0</v>
      </c>
    </row>
    <row r="60" spans="3:18" ht="15.75" x14ac:dyDescent="0.25">
      <c r="C60" s="695"/>
      <c r="D60" s="567"/>
      <c r="E60" s="713"/>
      <c r="F60" s="713"/>
      <c r="G60" s="713"/>
      <c r="H60" s="715"/>
      <c r="I60" s="715"/>
      <c r="J60" s="568">
        <f t="shared" si="6"/>
        <v>0</v>
      </c>
      <c r="K60" s="1051"/>
      <c r="L60" s="1051"/>
      <c r="M60" s="1051"/>
      <c r="N60" s="1036">
        <f t="shared" si="1"/>
        <v>0</v>
      </c>
      <c r="O60" s="1052">
        <f t="shared" si="2"/>
        <v>0</v>
      </c>
      <c r="P60" s="1036">
        <f t="shared" si="3"/>
        <v>0</v>
      </c>
      <c r="Q60" s="1053">
        <f t="shared" si="4"/>
        <v>0</v>
      </c>
      <c r="R60" s="712">
        <f t="shared" si="5"/>
        <v>0</v>
      </c>
    </row>
    <row r="61" spans="3:18" ht="15.75" x14ac:dyDescent="0.25">
      <c r="C61" s="695"/>
      <c r="D61" s="567"/>
      <c r="E61" s="713"/>
      <c r="F61" s="713"/>
      <c r="G61" s="713"/>
      <c r="H61" s="715"/>
      <c r="I61" s="715"/>
      <c r="J61" s="568">
        <f t="shared" si="6"/>
        <v>0</v>
      </c>
      <c r="K61" s="1051"/>
      <c r="L61" s="1051"/>
      <c r="M61" s="1051"/>
      <c r="N61" s="1036">
        <f t="shared" si="1"/>
        <v>0</v>
      </c>
      <c r="O61" s="1052">
        <f t="shared" si="2"/>
        <v>0</v>
      </c>
      <c r="P61" s="1036">
        <f t="shared" si="3"/>
        <v>0</v>
      </c>
      <c r="Q61" s="1053">
        <f t="shared" si="4"/>
        <v>0</v>
      </c>
      <c r="R61" s="712">
        <f t="shared" si="5"/>
        <v>0</v>
      </c>
    </row>
    <row r="62" spans="3:18" ht="15.75" x14ac:dyDescent="0.25">
      <c r="C62" s="695"/>
      <c r="D62" s="567"/>
      <c r="E62" s="713"/>
      <c r="F62" s="713"/>
      <c r="G62" s="713"/>
      <c r="H62" s="715"/>
      <c r="I62" s="715"/>
      <c r="J62" s="568">
        <f t="shared" si="6"/>
        <v>0</v>
      </c>
      <c r="K62" s="1051"/>
      <c r="L62" s="1051"/>
      <c r="M62" s="1051"/>
      <c r="N62" s="1036">
        <f t="shared" si="1"/>
        <v>0</v>
      </c>
      <c r="O62" s="1052">
        <f t="shared" si="2"/>
        <v>0</v>
      </c>
      <c r="P62" s="1036">
        <f t="shared" si="3"/>
        <v>0</v>
      </c>
      <c r="Q62" s="1053">
        <f t="shared" si="4"/>
        <v>0</v>
      </c>
      <c r="R62" s="712">
        <f t="shared" si="5"/>
        <v>0</v>
      </c>
    </row>
    <row r="63" spans="3:18" ht="15.75" x14ac:dyDescent="0.25">
      <c r="C63" s="695"/>
      <c r="D63" s="567"/>
      <c r="E63" s="713"/>
      <c r="F63" s="713"/>
      <c r="G63" s="713"/>
      <c r="H63" s="714"/>
      <c r="I63" s="714"/>
      <c r="J63" s="568">
        <f t="shared" si="6"/>
        <v>0</v>
      </c>
      <c r="K63" s="1051"/>
      <c r="L63" s="1051"/>
      <c r="M63" s="1051"/>
      <c r="N63" s="1036">
        <f t="shared" si="1"/>
        <v>0</v>
      </c>
      <c r="O63" s="1052">
        <f t="shared" si="2"/>
        <v>0</v>
      </c>
      <c r="P63" s="1036">
        <f t="shared" si="3"/>
        <v>0</v>
      </c>
      <c r="Q63" s="1053">
        <f t="shared" si="4"/>
        <v>0</v>
      </c>
      <c r="R63" s="712">
        <f t="shared" si="5"/>
        <v>0</v>
      </c>
    </row>
    <row r="64" spans="3:18" ht="15.75" x14ac:dyDescent="0.25">
      <c r="C64" s="695"/>
      <c r="D64" s="567"/>
      <c r="E64" s="713"/>
      <c r="F64" s="713"/>
      <c r="G64" s="713"/>
      <c r="H64" s="714"/>
      <c r="I64" s="714"/>
      <c r="J64" s="568">
        <f t="shared" si="6"/>
        <v>0</v>
      </c>
      <c r="K64" s="1051"/>
      <c r="L64" s="1051"/>
      <c r="M64" s="1051"/>
      <c r="N64" s="1036">
        <f t="shared" si="1"/>
        <v>0</v>
      </c>
      <c r="O64" s="1052">
        <f t="shared" si="2"/>
        <v>0</v>
      </c>
      <c r="P64" s="1036">
        <f t="shared" si="3"/>
        <v>0</v>
      </c>
      <c r="Q64" s="1053">
        <f t="shared" si="4"/>
        <v>0</v>
      </c>
      <c r="R64" s="712">
        <f t="shared" si="5"/>
        <v>0</v>
      </c>
    </row>
    <row r="65" spans="3:18" ht="15.75" x14ac:dyDescent="0.25">
      <c r="C65" s="695"/>
      <c r="D65" s="567"/>
      <c r="E65" s="713"/>
      <c r="F65" s="713"/>
      <c r="G65" s="713"/>
      <c r="H65" s="715"/>
      <c r="I65" s="715"/>
      <c r="J65" s="568">
        <f t="shared" si="6"/>
        <v>0</v>
      </c>
      <c r="K65" s="1051"/>
      <c r="L65" s="1051"/>
      <c r="M65" s="1051"/>
      <c r="N65" s="1036">
        <f t="shared" si="1"/>
        <v>0</v>
      </c>
      <c r="O65" s="1052">
        <f t="shared" si="2"/>
        <v>0</v>
      </c>
      <c r="P65" s="1036">
        <f t="shared" si="3"/>
        <v>0</v>
      </c>
      <c r="Q65" s="1053">
        <f t="shared" si="4"/>
        <v>0</v>
      </c>
      <c r="R65" s="712">
        <f t="shared" si="5"/>
        <v>0</v>
      </c>
    </row>
    <row r="66" spans="3:18" ht="15.75" x14ac:dyDescent="0.25">
      <c r="C66" s="695"/>
      <c r="D66" s="567"/>
      <c r="E66" s="713"/>
      <c r="F66" s="713"/>
      <c r="G66" s="713"/>
      <c r="H66" s="715"/>
      <c r="I66" s="715"/>
      <c r="J66" s="568">
        <f t="shared" si="6"/>
        <v>0</v>
      </c>
      <c r="K66" s="1051"/>
      <c r="L66" s="1051"/>
      <c r="M66" s="1051"/>
      <c r="N66" s="1036">
        <f t="shared" si="1"/>
        <v>0</v>
      </c>
      <c r="O66" s="1052">
        <f t="shared" si="2"/>
        <v>0</v>
      </c>
      <c r="P66" s="1036">
        <f t="shared" si="3"/>
        <v>0</v>
      </c>
      <c r="Q66" s="1053">
        <f t="shared" si="4"/>
        <v>0</v>
      </c>
      <c r="R66" s="712">
        <f t="shared" si="5"/>
        <v>0</v>
      </c>
    </row>
    <row r="67" spans="3:18" ht="15.75" x14ac:dyDescent="0.25">
      <c r="C67" s="695"/>
      <c r="D67" s="567"/>
      <c r="E67" s="713"/>
      <c r="F67" s="713"/>
      <c r="G67" s="713"/>
      <c r="H67" s="715"/>
      <c r="I67" s="715"/>
      <c r="J67" s="568">
        <f t="shared" si="6"/>
        <v>0</v>
      </c>
      <c r="K67" s="1051"/>
      <c r="L67" s="1051"/>
      <c r="M67" s="1051"/>
      <c r="N67" s="1036">
        <f t="shared" si="1"/>
        <v>0</v>
      </c>
      <c r="O67" s="1052">
        <f t="shared" si="2"/>
        <v>0</v>
      </c>
      <c r="P67" s="1036">
        <f t="shared" si="3"/>
        <v>0</v>
      </c>
      <c r="Q67" s="1053">
        <f t="shared" si="4"/>
        <v>0</v>
      </c>
      <c r="R67" s="712">
        <f t="shared" si="5"/>
        <v>0</v>
      </c>
    </row>
    <row r="68" spans="3:18" ht="15.75" x14ac:dyDescent="0.25">
      <c r="C68" s="695"/>
      <c r="D68" s="567"/>
      <c r="E68" s="713"/>
      <c r="F68" s="713"/>
      <c r="G68" s="713"/>
      <c r="H68" s="714"/>
      <c r="I68" s="714"/>
      <c r="J68" s="568">
        <f t="shared" si="6"/>
        <v>0</v>
      </c>
      <c r="K68" s="1051"/>
      <c r="L68" s="1051"/>
      <c r="M68" s="1051"/>
      <c r="N68" s="1036">
        <f t="shared" si="1"/>
        <v>0</v>
      </c>
      <c r="O68" s="1052">
        <f t="shared" si="2"/>
        <v>0</v>
      </c>
      <c r="P68" s="1036">
        <f t="shared" si="3"/>
        <v>0</v>
      </c>
      <c r="Q68" s="1053">
        <f t="shared" si="4"/>
        <v>0</v>
      </c>
      <c r="R68" s="712">
        <f t="shared" si="5"/>
        <v>0</v>
      </c>
    </row>
    <row r="69" spans="3:18" ht="15.75" x14ac:dyDescent="0.25">
      <c r="C69" s="695"/>
      <c r="D69" s="567"/>
      <c r="E69" s="713"/>
      <c r="F69" s="713"/>
      <c r="G69" s="713"/>
      <c r="H69" s="715"/>
      <c r="I69" s="715"/>
      <c r="J69" s="568">
        <f t="shared" si="6"/>
        <v>0</v>
      </c>
      <c r="K69" s="1051"/>
      <c r="L69" s="1051"/>
      <c r="M69" s="1051"/>
      <c r="N69" s="1036">
        <f t="shared" si="1"/>
        <v>0</v>
      </c>
      <c r="O69" s="1052">
        <f t="shared" si="2"/>
        <v>0</v>
      </c>
      <c r="P69" s="1036">
        <f t="shared" si="3"/>
        <v>0</v>
      </c>
      <c r="Q69" s="1053">
        <f t="shared" si="4"/>
        <v>0</v>
      </c>
      <c r="R69" s="712">
        <f t="shared" si="5"/>
        <v>0</v>
      </c>
    </row>
    <row r="70" spans="3:18" ht="15.75" x14ac:dyDescent="0.25">
      <c r="C70" s="695"/>
      <c r="D70" s="567"/>
      <c r="E70" s="713"/>
      <c r="F70" s="713"/>
      <c r="G70" s="713"/>
      <c r="H70" s="715"/>
      <c r="I70" s="715"/>
      <c r="J70" s="568">
        <f t="shared" si="6"/>
        <v>0</v>
      </c>
      <c r="K70" s="1051"/>
      <c r="L70" s="1051"/>
      <c r="M70" s="1051"/>
      <c r="N70" s="1036">
        <f t="shared" si="1"/>
        <v>0</v>
      </c>
      <c r="O70" s="1052">
        <f t="shared" si="2"/>
        <v>0</v>
      </c>
      <c r="P70" s="1036">
        <f t="shared" si="3"/>
        <v>0</v>
      </c>
      <c r="Q70" s="1053">
        <f t="shared" si="4"/>
        <v>0</v>
      </c>
      <c r="R70" s="712">
        <f t="shared" si="5"/>
        <v>0</v>
      </c>
    </row>
    <row r="71" spans="3:18" ht="15.75" x14ac:dyDescent="0.25">
      <c r="C71" s="695"/>
      <c r="D71" s="567"/>
      <c r="E71" s="713"/>
      <c r="F71" s="713"/>
      <c r="G71" s="713"/>
      <c r="H71" s="715"/>
      <c r="I71" s="715"/>
      <c r="J71" s="568">
        <f t="shared" si="6"/>
        <v>0</v>
      </c>
      <c r="K71" s="1051"/>
      <c r="L71" s="1051"/>
      <c r="M71" s="1051"/>
      <c r="N71" s="1036">
        <f t="shared" si="1"/>
        <v>0</v>
      </c>
      <c r="O71" s="1052">
        <f t="shared" si="2"/>
        <v>0</v>
      </c>
      <c r="P71" s="1036">
        <f t="shared" si="3"/>
        <v>0</v>
      </c>
      <c r="Q71" s="1053">
        <f t="shared" si="4"/>
        <v>0</v>
      </c>
      <c r="R71" s="712">
        <f t="shared" si="5"/>
        <v>0</v>
      </c>
    </row>
    <row r="72" spans="3:18" ht="15.75" x14ac:dyDescent="0.25">
      <c r="C72" s="695"/>
      <c r="D72" s="567"/>
      <c r="E72" s="713"/>
      <c r="F72" s="713"/>
      <c r="G72" s="713"/>
      <c r="H72" s="714"/>
      <c r="I72" s="714"/>
      <c r="J72" s="568">
        <f t="shared" si="6"/>
        <v>0</v>
      </c>
      <c r="K72" s="1051"/>
      <c r="L72" s="1051"/>
      <c r="M72" s="1051"/>
      <c r="N72" s="1036">
        <f t="shared" si="1"/>
        <v>0</v>
      </c>
      <c r="O72" s="1052">
        <f t="shared" si="2"/>
        <v>0</v>
      </c>
      <c r="P72" s="1036">
        <f t="shared" si="3"/>
        <v>0</v>
      </c>
      <c r="Q72" s="1053">
        <f t="shared" si="4"/>
        <v>0</v>
      </c>
      <c r="R72" s="712">
        <f t="shared" si="5"/>
        <v>0</v>
      </c>
    </row>
    <row r="73" spans="3:18" ht="15.75" x14ac:dyDescent="0.25">
      <c r="C73" s="695"/>
      <c r="D73" s="567"/>
      <c r="E73" s="713"/>
      <c r="F73" s="713"/>
      <c r="G73" s="713"/>
      <c r="H73" s="715"/>
      <c r="I73" s="715"/>
      <c r="J73" s="568">
        <f t="shared" si="6"/>
        <v>0</v>
      </c>
      <c r="K73" s="1051"/>
      <c r="L73" s="1051"/>
      <c r="M73" s="1051"/>
      <c r="N73" s="1036">
        <f t="shared" si="1"/>
        <v>0</v>
      </c>
      <c r="O73" s="1052">
        <f t="shared" si="2"/>
        <v>0</v>
      </c>
      <c r="P73" s="1036">
        <f t="shared" si="3"/>
        <v>0</v>
      </c>
      <c r="Q73" s="1053">
        <f t="shared" si="4"/>
        <v>0</v>
      </c>
      <c r="R73" s="712">
        <f t="shared" si="5"/>
        <v>0</v>
      </c>
    </row>
    <row r="74" spans="3:18" ht="15.75" x14ac:dyDescent="0.25">
      <c r="C74" s="695"/>
      <c r="D74" s="567"/>
      <c r="E74" s="713"/>
      <c r="F74" s="713"/>
      <c r="G74" s="713"/>
      <c r="H74" s="715"/>
      <c r="I74" s="715"/>
      <c r="J74" s="568">
        <f t="shared" si="6"/>
        <v>0</v>
      </c>
      <c r="K74" s="1051"/>
      <c r="L74" s="1051"/>
      <c r="M74" s="1051"/>
      <c r="N74" s="1036">
        <f t="shared" si="1"/>
        <v>0</v>
      </c>
      <c r="O74" s="1052">
        <f t="shared" si="2"/>
        <v>0</v>
      </c>
      <c r="P74" s="1036">
        <f t="shared" si="3"/>
        <v>0</v>
      </c>
      <c r="Q74" s="1053">
        <f t="shared" si="4"/>
        <v>0</v>
      </c>
      <c r="R74" s="712">
        <f t="shared" si="5"/>
        <v>0</v>
      </c>
    </row>
    <row r="75" spans="3:18" ht="15.75" x14ac:dyDescent="0.25">
      <c r="C75" s="695"/>
      <c r="D75" s="567"/>
      <c r="E75" s="713"/>
      <c r="F75" s="713"/>
      <c r="G75" s="713"/>
      <c r="H75" s="715"/>
      <c r="I75" s="715"/>
      <c r="J75" s="568">
        <f t="shared" si="6"/>
        <v>0</v>
      </c>
      <c r="K75" s="1051"/>
      <c r="L75" s="1051"/>
      <c r="M75" s="1051"/>
      <c r="N75" s="1036">
        <f t="shared" si="1"/>
        <v>0</v>
      </c>
      <c r="O75" s="1052">
        <f t="shared" si="2"/>
        <v>0</v>
      </c>
      <c r="P75" s="1036">
        <f t="shared" si="3"/>
        <v>0</v>
      </c>
      <c r="Q75" s="1053">
        <f t="shared" si="4"/>
        <v>0</v>
      </c>
      <c r="R75" s="712">
        <f t="shared" si="5"/>
        <v>0</v>
      </c>
    </row>
    <row r="76" spans="3:18" ht="15.75" x14ac:dyDescent="0.25">
      <c r="C76" s="695"/>
      <c r="D76" s="567"/>
      <c r="E76" s="713"/>
      <c r="F76" s="713"/>
      <c r="G76" s="713"/>
      <c r="H76" s="714"/>
      <c r="I76" s="714"/>
      <c r="J76" s="568">
        <f t="shared" si="6"/>
        <v>0</v>
      </c>
      <c r="K76" s="1051"/>
      <c r="L76" s="1051"/>
      <c r="M76" s="1051"/>
      <c r="N76" s="1036">
        <f t="shared" si="1"/>
        <v>0</v>
      </c>
      <c r="O76" s="1052">
        <f t="shared" si="2"/>
        <v>0</v>
      </c>
      <c r="P76" s="1036">
        <f t="shared" si="3"/>
        <v>0</v>
      </c>
      <c r="Q76" s="1053">
        <f t="shared" si="4"/>
        <v>0</v>
      </c>
      <c r="R76" s="712">
        <f t="shared" si="5"/>
        <v>0</v>
      </c>
    </row>
    <row r="77" spans="3:18" ht="15.75" x14ac:dyDescent="0.25">
      <c r="C77" s="695"/>
      <c r="D77" s="567"/>
      <c r="E77" s="713"/>
      <c r="F77" s="713"/>
      <c r="G77" s="713"/>
      <c r="H77" s="715"/>
      <c r="I77" s="715"/>
      <c r="J77" s="568">
        <f t="shared" si="6"/>
        <v>0</v>
      </c>
      <c r="K77" s="1051"/>
      <c r="L77" s="1051"/>
      <c r="M77" s="1051"/>
      <c r="N77" s="1036">
        <f t="shared" si="1"/>
        <v>0</v>
      </c>
      <c r="O77" s="1052">
        <f t="shared" si="2"/>
        <v>0</v>
      </c>
      <c r="P77" s="1036">
        <f t="shared" si="3"/>
        <v>0</v>
      </c>
      <c r="Q77" s="1053">
        <f t="shared" si="4"/>
        <v>0</v>
      </c>
      <c r="R77" s="712">
        <f t="shared" si="5"/>
        <v>0</v>
      </c>
    </row>
    <row r="78" spans="3:18" ht="15.75" x14ac:dyDescent="0.25">
      <c r="C78" s="695"/>
      <c r="D78" s="567"/>
      <c r="E78" s="713"/>
      <c r="F78" s="713"/>
      <c r="G78" s="713"/>
      <c r="H78" s="715"/>
      <c r="I78" s="715"/>
      <c r="J78" s="568">
        <f t="shared" si="6"/>
        <v>0</v>
      </c>
      <c r="K78" s="1051"/>
      <c r="L78" s="1051"/>
      <c r="M78" s="1051"/>
      <c r="N78" s="1036">
        <f t="shared" si="1"/>
        <v>0</v>
      </c>
      <c r="O78" s="1052">
        <f t="shared" si="2"/>
        <v>0</v>
      </c>
      <c r="P78" s="1036">
        <f t="shared" si="3"/>
        <v>0</v>
      </c>
      <c r="Q78" s="1053">
        <f t="shared" si="4"/>
        <v>0</v>
      </c>
      <c r="R78" s="712">
        <f t="shared" si="5"/>
        <v>0</v>
      </c>
    </row>
    <row r="79" spans="3:18" ht="15.75" x14ac:dyDescent="0.25">
      <c r="C79" s="695"/>
      <c r="D79" s="567"/>
      <c r="E79" s="713"/>
      <c r="F79" s="713"/>
      <c r="G79" s="713"/>
      <c r="H79" s="715"/>
      <c r="I79" s="715"/>
      <c r="J79" s="568">
        <f t="shared" si="6"/>
        <v>0</v>
      </c>
      <c r="K79" s="1051"/>
      <c r="L79" s="1051"/>
      <c r="M79" s="1051"/>
      <c r="N79" s="1036">
        <f t="shared" si="1"/>
        <v>0</v>
      </c>
      <c r="O79" s="1052">
        <f t="shared" si="2"/>
        <v>0</v>
      </c>
      <c r="P79" s="1036">
        <f t="shared" si="3"/>
        <v>0</v>
      </c>
      <c r="Q79" s="1053">
        <f t="shared" si="4"/>
        <v>0</v>
      </c>
      <c r="R79" s="712">
        <f t="shared" si="5"/>
        <v>0</v>
      </c>
    </row>
    <row r="80" spans="3:18" ht="15.75" x14ac:dyDescent="0.25">
      <c r="C80" s="695"/>
      <c r="D80" s="567"/>
      <c r="E80" s="713"/>
      <c r="F80" s="713"/>
      <c r="G80" s="713"/>
      <c r="H80" s="714"/>
      <c r="I80" s="714"/>
      <c r="J80" s="568">
        <f t="shared" si="6"/>
        <v>0</v>
      </c>
      <c r="K80" s="1051"/>
      <c r="L80" s="1051"/>
      <c r="M80" s="1051"/>
      <c r="N80" s="1036">
        <f t="shared" si="1"/>
        <v>0</v>
      </c>
      <c r="O80" s="1052">
        <f t="shared" si="2"/>
        <v>0</v>
      </c>
      <c r="P80" s="1036">
        <f t="shared" si="3"/>
        <v>0</v>
      </c>
      <c r="Q80" s="1053">
        <f t="shared" si="4"/>
        <v>0</v>
      </c>
      <c r="R80" s="712">
        <f t="shared" si="5"/>
        <v>0</v>
      </c>
    </row>
    <row r="81" spans="3:18" ht="15.75" x14ac:dyDescent="0.25">
      <c r="C81" s="695"/>
      <c r="D81" s="567"/>
      <c r="E81" s="713"/>
      <c r="F81" s="713"/>
      <c r="G81" s="713"/>
      <c r="H81" s="715"/>
      <c r="I81" s="715"/>
      <c r="J81" s="568">
        <f t="shared" si="6"/>
        <v>0</v>
      </c>
      <c r="K81" s="1051"/>
      <c r="L81" s="1051"/>
      <c r="M81" s="1051"/>
      <c r="N81" s="1036">
        <f t="shared" si="1"/>
        <v>0</v>
      </c>
      <c r="O81" s="1052">
        <f t="shared" si="2"/>
        <v>0</v>
      </c>
      <c r="P81" s="1036">
        <f t="shared" si="3"/>
        <v>0</v>
      </c>
      <c r="Q81" s="1053">
        <f t="shared" si="4"/>
        <v>0</v>
      </c>
      <c r="R81" s="712">
        <f t="shared" si="5"/>
        <v>0</v>
      </c>
    </row>
    <row r="82" spans="3:18" ht="15.75" x14ac:dyDescent="0.25">
      <c r="C82" s="695"/>
      <c r="D82" s="567"/>
      <c r="E82" s="713"/>
      <c r="F82" s="713"/>
      <c r="G82" s="713"/>
      <c r="H82" s="715"/>
      <c r="I82" s="715"/>
      <c r="J82" s="568">
        <f t="shared" si="6"/>
        <v>0</v>
      </c>
      <c r="K82" s="1051"/>
      <c r="L82" s="1051"/>
      <c r="M82" s="1051"/>
      <c r="N82" s="1036">
        <f t="shared" ref="N82:N145" si="7">L82*M82</f>
        <v>0</v>
      </c>
      <c r="O82" s="1052">
        <f t="shared" ref="O82:O145" si="8">COUNTIF($G$16:$G$4001,G82)</f>
        <v>0</v>
      </c>
      <c r="P82" s="1036">
        <f t="shared" ref="P82:P145" si="9">IF(C82&gt;0,IF(AND(E82="א-ג",J82&gt;0),MIN(I82,15)*MIN(H82,75),IF(AND(E82="ד-ו",N82&gt;0),MIN(L82,59.57)*MIN(M82,75),0)),0)</f>
        <v>0</v>
      </c>
      <c r="Q82" s="1053">
        <f t="shared" ref="Q82:Q145" si="10">IF(E82="א-ג",MIN(J82,P82),MIN(N82,P82))</f>
        <v>0</v>
      </c>
      <c r="R82" s="712">
        <f t="shared" ref="R82:R145" si="11">IF(E82="א-ג",Q82/1125,Q82/$R$7)</f>
        <v>0</v>
      </c>
    </row>
    <row r="83" spans="3:18" ht="15.75" x14ac:dyDescent="0.25">
      <c r="C83" s="695"/>
      <c r="D83" s="567"/>
      <c r="E83" s="713"/>
      <c r="F83" s="713"/>
      <c r="G83" s="713"/>
      <c r="H83" s="715"/>
      <c r="I83" s="715"/>
      <c r="J83" s="568">
        <f t="shared" si="6"/>
        <v>0</v>
      </c>
      <c r="K83" s="1051"/>
      <c r="L83" s="1051"/>
      <c r="M83" s="1051"/>
      <c r="N83" s="1036">
        <f t="shared" si="7"/>
        <v>0</v>
      </c>
      <c r="O83" s="1052">
        <f t="shared" si="8"/>
        <v>0</v>
      </c>
      <c r="P83" s="1036">
        <f t="shared" si="9"/>
        <v>0</v>
      </c>
      <c r="Q83" s="1053">
        <f t="shared" si="10"/>
        <v>0</v>
      </c>
      <c r="R83" s="712">
        <f t="shared" si="11"/>
        <v>0</v>
      </c>
    </row>
    <row r="84" spans="3:18" ht="15.75" x14ac:dyDescent="0.25">
      <c r="C84" s="695"/>
      <c r="D84" s="567"/>
      <c r="E84" s="713"/>
      <c r="F84" s="713"/>
      <c r="G84" s="713"/>
      <c r="H84" s="714"/>
      <c r="I84" s="714"/>
      <c r="J84" s="568">
        <f t="shared" si="6"/>
        <v>0</v>
      </c>
      <c r="K84" s="1051"/>
      <c r="L84" s="1051"/>
      <c r="M84" s="1051"/>
      <c r="N84" s="1036">
        <f t="shared" si="7"/>
        <v>0</v>
      </c>
      <c r="O84" s="1052">
        <f t="shared" si="8"/>
        <v>0</v>
      </c>
      <c r="P84" s="1036">
        <f t="shared" si="9"/>
        <v>0</v>
      </c>
      <c r="Q84" s="1053">
        <f t="shared" si="10"/>
        <v>0</v>
      </c>
      <c r="R84" s="712">
        <f t="shared" si="11"/>
        <v>0</v>
      </c>
    </row>
    <row r="85" spans="3:18" ht="15.75" x14ac:dyDescent="0.25">
      <c r="C85" s="695"/>
      <c r="D85" s="567"/>
      <c r="E85" s="713"/>
      <c r="F85" s="713"/>
      <c r="G85" s="713"/>
      <c r="H85" s="715"/>
      <c r="I85" s="715"/>
      <c r="J85" s="568">
        <f t="shared" si="6"/>
        <v>0</v>
      </c>
      <c r="K85" s="1051"/>
      <c r="L85" s="1051"/>
      <c r="M85" s="1051"/>
      <c r="N85" s="1036">
        <f t="shared" si="7"/>
        <v>0</v>
      </c>
      <c r="O85" s="1052">
        <f t="shared" si="8"/>
        <v>0</v>
      </c>
      <c r="P85" s="1036">
        <f t="shared" si="9"/>
        <v>0</v>
      </c>
      <c r="Q85" s="1053">
        <f t="shared" si="10"/>
        <v>0</v>
      </c>
      <c r="R85" s="712">
        <f t="shared" si="11"/>
        <v>0</v>
      </c>
    </row>
    <row r="86" spans="3:18" ht="15.75" x14ac:dyDescent="0.25">
      <c r="C86" s="695"/>
      <c r="D86" s="567"/>
      <c r="E86" s="713"/>
      <c r="F86" s="713"/>
      <c r="G86" s="713"/>
      <c r="H86" s="715"/>
      <c r="I86" s="715"/>
      <c r="J86" s="568">
        <f t="shared" si="6"/>
        <v>0</v>
      </c>
      <c r="K86" s="1051"/>
      <c r="L86" s="1051"/>
      <c r="M86" s="1051"/>
      <c r="N86" s="1036">
        <f t="shared" si="7"/>
        <v>0</v>
      </c>
      <c r="O86" s="1052">
        <f t="shared" si="8"/>
        <v>0</v>
      </c>
      <c r="P86" s="1036">
        <f t="shared" si="9"/>
        <v>0</v>
      </c>
      <c r="Q86" s="1053">
        <f t="shared" si="10"/>
        <v>0</v>
      </c>
      <c r="R86" s="712">
        <f t="shared" si="11"/>
        <v>0</v>
      </c>
    </row>
    <row r="87" spans="3:18" ht="15.75" x14ac:dyDescent="0.25">
      <c r="C87" s="695"/>
      <c r="D87" s="567"/>
      <c r="E87" s="713"/>
      <c r="F87" s="713"/>
      <c r="G87" s="713"/>
      <c r="H87" s="715"/>
      <c r="I87" s="715"/>
      <c r="J87" s="568">
        <f t="shared" si="6"/>
        <v>0</v>
      </c>
      <c r="K87" s="1051"/>
      <c r="L87" s="1051"/>
      <c r="M87" s="1051"/>
      <c r="N87" s="1036">
        <f t="shared" si="7"/>
        <v>0</v>
      </c>
      <c r="O87" s="1052">
        <f t="shared" si="8"/>
        <v>0</v>
      </c>
      <c r="P87" s="1036">
        <f t="shared" si="9"/>
        <v>0</v>
      </c>
      <c r="Q87" s="1053">
        <f t="shared" si="10"/>
        <v>0</v>
      </c>
      <c r="R87" s="712">
        <f t="shared" si="11"/>
        <v>0</v>
      </c>
    </row>
    <row r="88" spans="3:18" ht="15.75" x14ac:dyDescent="0.25">
      <c r="C88" s="695"/>
      <c r="D88" s="567"/>
      <c r="E88" s="713"/>
      <c r="F88" s="713"/>
      <c r="G88" s="713"/>
      <c r="H88" s="714"/>
      <c r="I88" s="714"/>
      <c r="J88" s="568">
        <f t="shared" si="6"/>
        <v>0</v>
      </c>
      <c r="K88" s="1051"/>
      <c r="L88" s="1051"/>
      <c r="M88" s="1051"/>
      <c r="N88" s="1036">
        <f t="shared" si="7"/>
        <v>0</v>
      </c>
      <c r="O88" s="1052">
        <f t="shared" si="8"/>
        <v>0</v>
      </c>
      <c r="P88" s="1036">
        <f t="shared" si="9"/>
        <v>0</v>
      </c>
      <c r="Q88" s="1053">
        <f t="shared" si="10"/>
        <v>0</v>
      </c>
      <c r="R88" s="712">
        <f t="shared" si="11"/>
        <v>0</v>
      </c>
    </row>
    <row r="89" spans="3:18" ht="15.75" x14ac:dyDescent="0.25">
      <c r="C89" s="695"/>
      <c r="D89" s="567"/>
      <c r="E89" s="713"/>
      <c r="F89" s="713"/>
      <c r="G89" s="713"/>
      <c r="H89" s="715"/>
      <c r="I89" s="715"/>
      <c r="J89" s="568">
        <f t="shared" si="6"/>
        <v>0</v>
      </c>
      <c r="K89" s="1051"/>
      <c r="L89" s="1051"/>
      <c r="M89" s="1051"/>
      <c r="N89" s="1036">
        <f t="shared" si="7"/>
        <v>0</v>
      </c>
      <c r="O89" s="1052">
        <f t="shared" si="8"/>
        <v>0</v>
      </c>
      <c r="P89" s="1036">
        <f t="shared" si="9"/>
        <v>0</v>
      </c>
      <c r="Q89" s="1053">
        <f t="shared" si="10"/>
        <v>0</v>
      </c>
      <c r="R89" s="712">
        <f t="shared" si="11"/>
        <v>0</v>
      </c>
    </row>
    <row r="90" spans="3:18" ht="15.75" x14ac:dyDescent="0.25">
      <c r="C90" s="695"/>
      <c r="D90" s="567"/>
      <c r="E90" s="713"/>
      <c r="F90" s="713"/>
      <c r="G90" s="713"/>
      <c r="H90" s="715"/>
      <c r="I90" s="715"/>
      <c r="J90" s="568">
        <f t="shared" ref="J90:J153" si="12">IFERROR(H90*I90,"")</f>
        <v>0</v>
      </c>
      <c r="K90" s="1051"/>
      <c r="L90" s="1051"/>
      <c r="M90" s="1051"/>
      <c r="N90" s="1036">
        <f t="shared" si="7"/>
        <v>0</v>
      </c>
      <c r="O90" s="1052">
        <f t="shared" si="8"/>
        <v>0</v>
      </c>
      <c r="P90" s="1036">
        <f t="shared" si="9"/>
        <v>0</v>
      </c>
      <c r="Q90" s="1053">
        <f t="shared" si="10"/>
        <v>0</v>
      </c>
      <c r="R90" s="712">
        <f t="shared" si="11"/>
        <v>0</v>
      </c>
    </row>
    <row r="91" spans="3:18" ht="15.75" x14ac:dyDescent="0.25">
      <c r="C91" s="695"/>
      <c r="D91" s="567"/>
      <c r="E91" s="713"/>
      <c r="F91" s="713"/>
      <c r="G91" s="713"/>
      <c r="H91" s="715"/>
      <c r="I91" s="715"/>
      <c r="J91" s="568">
        <f t="shared" si="12"/>
        <v>0</v>
      </c>
      <c r="K91" s="1051"/>
      <c r="L91" s="1051"/>
      <c r="M91" s="1051"/>
      <c r="N91" s="1036">
        <f t="shared" si="7"/>
        <v>0</v>
      </c>
      <c r="O91" s="1052">
        <f t="shared" si="8"/>
        <v>0</v>
      </c>
      <c r="P91" s="1036">
        <f t="shared" si="9"/>
        <v>0</v>
      </c>
      <c r="Q91" s="1053">
        <f t="shared" si="10"/>
        <v>0</v>
      </c>
      <c r="R91" s="712">
        <f t="shared" si="11"/>
        <v>0</v>
      </c>
    </row>
    <row r="92" spans="3:18" ht="15.75" x14ac:dyDescent="0.25">
      <c r="C92" s="695"/>
      <c r="D92" s="567"/>
      <c r="E92" s="713"/>
      <c r="F92" s="713"/>
      <c r="G92" s="713"/>
      <c r="H92" s="714"/>
      <c r="I92" s="714"/>
      <c r="J92" s="568">
        <f t="shared" si="12"/>
        <v>0</v>
      </c>
      <c r="K92" s="1051"/>
      <c r="L92" s="1051"/>
      <c r="M92" s="1051"/>
      <c r="N92" s="1036">
        <f t="shared" si="7"/>
        <v>0</v>
      </c>
      <c r="O92" s="1052">
        <f t="shared" si="8"/>
        <v>0</v>
      </c>
      <c r="P92" s="1036">
        <f t="shared" si="9"/>
        <v>0</v>
      </c>
      <c r="Q92" s="1053">
        <f t="shared" si="10"/>
        <v>0</v>
      </c>
      <c r="R92" s="712">
        <f t="shared" si="11"/>
        <v>0</v>
      </c>
    </row>
    <row r="93" spans="3:18" ht="15.75" x14ac:dyDescent="0.25">
      <c r="C93" s="695"/>
      <c r="D93" s="567"/>
      <c r="E93" s="713"/>
      <c r="F93" s="713"/>
      <c r="G93" s="713"/>
      <c r="H93" s="715"/>
      <c r="I93" s="715"/>
      <c r="J93" s="568">
        <f t="shared" si="12"/>
        <v>0</v>
      </c>
      <c r="K93" s="1051"/>
      <c r="L93" s="1051"/>
      <c r="M93" s="1051"/>
      <c r="N93" s="1036">
        <f t="shared" si="7"/>
        <v>0</v>
      </c>
      <c r="O93" s="1052">
        <f t="shared" si="8"/>
        <v>0</v>
      </c>
      <c r="P93" s="1036">
        <f t="shared" si="9"/>
        <v>0</v>
      </c>
      <c r="Q93" s="1053">
        <f t="shared" si="10"/>
        <v>0</v>
      </c>
      <c r="R93" s="712">
        <f t="shared" si="11"/>
        <v>0</v>
      </c>
    </row>
    <row r="94" spans="3:18" ht="15.75" x14ac:dyDescent="0.25">
      <c r="C94" s="695"/>
      <c r="D94" s="567"/>
      <c r="E94" s="713"/>
      <c r="F94" s="713"/>
      <c r="G94" s="713"/>
      <c r="H94" s="715"/>
      <c r="I94" s="715"/>
      <c r="J94" s="568">
        <f t="shared" si="12"/>
        <v>0</v>
      </c>
      <c r="K94" s="1051"/>
      <c r="L94" s="1051"/>
      <c r="M94" s="1051"/>
      <c r="N94" s="1036">
        <f t="shared" si="7"/>
        <v>0</v>
      </c>
      <c r="O94" s="1052">
        <f t="shared" si="8"/>
        <v>0</v>
      </c>
      <c r="P94" s="1036">
        <f t="shared" si="9"/>
        <v>0</v>
      </c>
      <c r="Q94" s="1053">
        <f t="shared" si="10"/>
        <v>0</v>
      </c>
      <c r="R94" s="712">
        <f t="shared" si="11"/>
        <v>0</v>
      </c>
    </row>
    <row r="95" spans="3:18" ht="15.75" x14ac:dyDescent="0.25">
      <c r="C95" s="695"/>
      <c r="D95" s="567"/>
      <c r="E95" s="713"/>
      <c r="F95" s="713"/>
      <c r="G95" s="713"/>
      <c r="H95" s="715"/>
      <c r="I95" s="715"/>
      <c r="J95" s="568">
        <f t="shared" si="12"/>
        <v>0</v>
      </c>
      <c r="K95" s="1051"/>
      <c r="L95" s="1051"/>
      <c r="M95" s="1051"/>
      <c r="N95" s="1036">
        <f t="shared" si="7"/>
        <v>0</v>
      </c>
      <c r="O95" s="1052">
        <f t="shared" si="8"/>
        <v>0</v>
      </c>
      <c r="P95" s="1036">
        <f t="shared" si="9"/>
        <v>0</v>
      </c>
      <c r="Q95" s="1053">
        <f t="shared" si="10"/>
        <v>0</v>
      </c>
      <c r="R95" s="712">
        <f t="shared" si="11"/>
        <v>0</v>
      </c>
    </row>
    <row r="96" spans="3:18" ht="15.75" x14ac:dyDescent="0.25">
      <c r="C96" s="695"/>
      <c r="D96" s="567"/>
      <c r="E96" s="713"/>
      <c r="F96" s="713"/>
      <c r="G96" s="713"/>
      <c r="H96" s="714"/>
      <c r="I96" s="714"/>
      <c r="J96" s="568">
        <f t="shared" si="12"/>
        <v>0</v>
      </c>
      <c r="K96" s="1051"/>
      <c r="L96" s="1051"/>
      <c r="M96" s="1051"/>
      <c r="N96" s="1036">
        <f t="shared" si="7"/>
        <v>0</v>
      </c>
      <c r="O96" s="1052">
        <f t="shared" si="8"/>
        <v>0</v>
      </c>
      <c r="P96" s="1036">
        <f t="shared" si="9"/>
        <v>0</v>
      </c>
      <c r="Q96" s="1053">
        <f t="shared" si="10"/>
        <v>0</v>
      </c>
      <c r="R96" s="712">
        <f t="shared" si="11"/>
        <v>0</v>
      </c>
    </row>
    <row r="97" spans="3:18" ht="15.75" x14ac:dyDescent="0.25">
      <c r="C97" s="695"/>
      <c r="D97" s="567"/>
      <c r="E97" s="713"/>
      <c r="F97" s="713"/>
      <c r="G97" s="713"/>
      <c r="H97" s="715"/>
      <c r="I97" s="715"/>
      <c r="J97" s="568">
        <f t="shared" si="12"/>
        <v>0</v>
      </c>
      <c r="K97" s="1051"/>
      <c r="L97" s="1051"/>
      <c r="M97" s="1051"/>
      <c r="N97" s="1036">
        <f t="shared" si="7"/>
        <v>0</v>
      </c>
      <c r="O97" s="1052">
        <f t="shared" si="8"/>
        <v>0</v>
      </c>
      <c r="P97" s="1036">
        <f t="shared" si="9"/>
        <v>0</v>
      </c>
      <c r="Q97" s="1053">
        <f t="shared" si="10"/>
        <v>0</v>
      </c>
      <c r="R97" s="712">
        <f t="shared" si="11"/>
        <v>0</v>
      </c>
    </row>
    <row r="98" spans="3:18" ht="15.75" x14ac:dyDescent="0.25">
      <c r="C98" s="695"/>
      <c r="D98" s="567"/>
      <c r="E98" s="713"/>
      <c r="F98" s="713"/>
      <c r="G98" s="713"/>
      <c r="H98" s="715"/>
      <c r="I98" s="715"/>
      <c r="J98" s="568">
        <f t="shared" si="12"/>
        <v>0</v>
      </c>
      <c r="K98" s="1051"/>
      <c r="L98" s="1051"/>
      <c r="M98" s="1051"/>
      <c r="N98" s="1036">
        <f t="shared" si="7"/>
        <v>0</v>
      </c>
      <c r="O98" s="1052">
        <f t="shared" si="8"/>
        <v>0</v>
      </c>
      <c r="P98" s="1036">
        <f t="shared" si="9"/>
        <v>0</v>
      </c>
      <c r="Q98" s="1053">
        <f t="shared" si="10"/>
        <v>0</v>
      </c>
      <c r="R98" s="712">
        <f t="shared" si="11"/>
        <v>0</v>
      </c>
    </row>
    <row r="99" spans="3:18" ht="15.75" x14ac:dyDescent="0.25">
      <c r="C99" s="695"/>
      <c r="D99" s="567"/>
      <c r="E99" s="713"/>
      <c r="F99" s="713"/>
      <c r="G99" s="713"/>
      <c r="H99" s="715"/>
      <c r="I99" s="715"/>
      <c r="J99" s="568">
        <f t="shared" si="12"/>
        <v>0</v>
      </c>
      <c r="K99" s="1051"/>
      <c r="L99" s="1051"/>
      <c r="M99" s="1051"/>
      <c r="N99" s="1036">
        <f t="shared" si="7"/>
        <v>0</v>
      </c>
      <c r="O99" s="1052">
        <f t="shared" si="8"/>
        <v>0</v>
      </c>
      <c r="P99" s="1036">
        <f t="shared" si="9"/>
        <v>0</v>
      </c>
      <c r="Q99" s="1053">
        <f t="shared" si="10"/>
        <v>0</v>
      </c>
      <c r="R99" s="712">
        <f t="shared" si="11"/>
        <v>0</v>
      </c>
    </row>
    <row r="100" spans="3:18" ht="15.75" x14ac:dyDescent="0.25">
      <c r="C100" s="695"/>
      <c r="D100" s="567"/>
      <c r="E100" s="713"/>
      <c r="F100" s="713"/>
      <c r="G100" s="713"/>
      <c r="H100" s="714"/>
      <c r="I100" s="714"/>
      <c r="J100" s="568">
        <f t="shared" si="12"/>
        <v>0</v>
      </c>
      <c r="K100" s="1051"/>
      <c r="L100" s="1051"/>
      <c r="M100" s="1051"/>
      <c r="N100" s="1036">
        <f t="shared" si="7"/>
        <v>0</v>
      </c>
      <c r="O100" s="1052">
        <f t="shared" si="8"/>
        <v>0</v>
      </c>
      <c r="P100" s="1036">
        <f t="shared" si="9"/>
        <v>0</v>
      </c>
      <c r="Q100" s="1053">
        <f t="shared" si="10"/>
        <v>0</v>
      </c>
      <c r="R100" s="712">
        <f t="shared" si="11"/>
        <v>0</v>
      </c>
    </row>
    <row r="101" spans="3:18" ht="15.75" x14ac:dyDescent="0.25">
      <c r="C101" s="695"/>
      <c r="D101" s="567"/>
      <c r="E101" s="713"/>
      <c r="F101" s="713"/>
      <c r="G101" s="713"/>
      <c r="H101" s="715"/>
      <c r="I101" s="715"/>
      <c r="J101" s="568">
        <f t="shared" si="12"/>
        <v>0</v>
      </c>
      <c r="K101" s="1051"/>
      <c r="L101" s="1051"/>
      <c r="M101" s="1051"/>
      <c r="N101" s="1036">
        <f t="shared" si="7"/>
        <v>0</v>
      </c>
      <c r="O101" s="1052">
        <f t="shared" si="8"/>
        <v>0</v>
      </c>
      <c r="P101" s="1036">
        <f t="shared" si="9"/>
        <v>0</v>
      </c>
      <c r="Q101" s="1053">
        <f t="shared" si="10"/>
        <v>0</v>
      </c>
      <c r="R101" s="712">
        <f t="shared" si="11"/>
        <v>0</v>
      </c>
    </row>
    <row r="102" spans="3:18" ht="15.75" x14ac:dyDescent="0.25">
      <c r="C102" s="695"/>
      <c r="D102" s="567"/>
      <c r="E102" s="713"/>
      <c r="F102" s="713"/>
      <c r="G102" s="713"/>
      <c r="H102" s="715"/>
      <c r="I102" s="715"/>
      <c r="J102" s="568">
        <f t="shared" si="12"/>
        <v>0</v>
      </c>
      <c r="K102" s="1051"/>
      <c r="L102" s="1051"/>
      <c r="M102" s="1051"/>
      <c r="N102" s="1036">
        <f t="shared" si="7"/>
        <v>0</v>
      </c>
      <c r="O102" s="1052">
        <f t="shared" si="8"/>
        <v>0</v>
      </c>
      <c r="P102" s="1036">
        <f t="shared" si="9"/>
        <v>0</v>
      </c>
      <c r="Q102" s="1053">
        <f t="shared" si="10"/>
        <v>0</v>
      </c>
      <c r="R102" s="712">
        <f t="shared" si="11"/>
        <v>0</v>
      </c>
    </row>
    <row r="103" spans="3:18" ht="15.75" x14ac:dyDescent="0.25">
      <c r="C103" s="695"/>
      <c r="D103" s="567"/>
      <c r="E103" s="713"/>
      <c r="F103" s="713"/>
      <c r="G103" s="713"/>
      <c r="H103" s="715"/>
      <c r="I103" s="715"/>
      <c r="J103" s="568">
        <f t="shared" si="12"/>
        <v>0</v>
      </c>
      <c r="K103" s="1051"/>
      <c r="L103" s="1051"/>
      <c r="M103" s="1051"/>
      <c r="N103" s="1036">
        <f t="shared" si="7"/>
        <v>0</v>
      </c>
      <c r="O103" s="1052">
        <f t="shared" si="8"/>
        <v>0</v>
      </c>
      <c r="P103" s="1036">
        <f t="shared" si="9"/>
        <v>0</v>
      </c>
      <c r="Q103" s="1053">
        <f t="shared" si="10"/>
        <v>0</v>
      </c>
      <c r="R103" s="712">
        <f t="shared" si="11"/>
        <v>0</v>
      </c>
    </row>
    <row r="104" spans="3:18" ht="15.75" x14ac:dyDescent="0.25">
      <c r="C104" s="695"/>
      <c r="D104" s="567"/>
      <c r="E104" s="713"/>
      <c r="F104" s="713"/>
      <c r="G104" s="713"/>
      <c r="H104" s="714"/>
      <c r="I104" s="714"/>
      <c r="J104" s="568">
        <f t="shared" si="12"/>
        <v>0</v>
      </c>
      <c r="K104" s="1051"/>
      <c r="L104" s="1051"/>
      <c r="M104" s="1051"/>
      <c r="N104" s="1036">
        <f t="shared" si="7"/>
        <v>0</v>
      </c>
      <c r="O104" s="1052">
        <f t="shared" si="8"/>
        <v>0</v>
      </c>
      <c r="P104" s="1036">
        <f t="shared" si="9"/>
        <v>0</v>
      </c>
      <c r="Q104" s="1053">
        <f t="shared" si="10"/>
        <v>0</v>
      </c>
      <c r="R104" s="712">
        <f t="shared" si="11"/>
        <v>0</v>
      </c>
    </row>
    <row r="105" spans="3:18" ht="15.75" x14ac:dyDescent="0.25">
      <c r="C105" s="695"/>
      <c r="D105" s="567"/>
      <c r="E105" s="713"/>
      <c r="F105" s="713"/>
      <c r="G105" s="713"/>
      <c r="H105" s="715"/>
      <c r="I105" s="715"/>
      <c r="J105" s="568">
        <f t="shared" si="12"/>
        <v>0</v>
      </c>
      <c r="K105" s="1051"/>
      <c r="L105" s="1051"/>
      <c r="M105" s="1051"/>
      <c r="N105" s="1036">
        <f t="shared" si="7"/>
        <v>0</v>
      </c>
      <c r="O105" s="1052">
        <f t="shared" si="8"/>
        <v>0</v>
      </c>
      <c r="P105" s="1036">
        <f t="shared" si="9"/>
        <v>0</v>
      </c>
      <c r="Q105" s="1053">
        <f t="shared" si="10"/>
        <v>0</v>
      </c>
      <c r="R105" s="712">
        <f t="shared" si="11"/>
        <v>0</v>
      </c>
    </row>
    <row r="106" spans="3:18" ht="15.75" x14ac:dyDescent="0.25">
      <c r="C106" s="695"/>
      <c r="D106" s="567"/>
      <c r="E106" s="713"/>
      <c r="F106" s="713"/>
      <c r="G106" s="713"/>
      <c r="H106" s="714"/>
      <c r="I106" s="714"/>
      <c r="J106" s="568">
        <f t="shared" si="12"/>
        <v>0</v>
      </c>
      <c r="K106" s="1051"/>
      <c r="L106" s="1051"/>
      <c r="M106" s="1051"/>
      <c r="N106" s="1036">
        <f t="shared" si="7"/>
        <v>0</v>
      </c>
      <c r="O106" s="1052">
        <f t="shared" si="8"/>
        <v>0</v>
      </c>
      <c r="P106" s="1036">
        <f t="shared" si="9"/>
        <v>0</v>
      </c>
      <c r="Q106" s="1053">
        <f t="shared" si="10"/>
        <v>0</v>
      </c>
      <c r="R106" s="712">
        <f t="shared" si="11"/>
        <v>0</v>
      </c>
    </row>
    <row r="107" spans="3:18" ht="15.75" x14ac:dyDescent="0.25">
      <c r="C107" s="695"/>
      <c r="D107" s="567"/>
      <c r="E107" s="713"/>
      <c r="F107" s="713"/>
      <c r="G107" s="713"/>
      <c r="H107" s="715"/>
      <c r="I107" s="715"/>
      <c r="J107" s="568">
        <f t="shared" si="12"/>
        <v>0</v>
      </c>
      <c r="K107" s="1051"/>
      <c r="L107" s="1051"/>
      <c r="M107" s="1051"/>
      <c r="N107" s="1036">
        <f t="shared" si="7"/>
        <v>0</v>
      </c>
      <c r="O107" s="1052">
        <f t="shared" si="8"/>
        <v>0</v>
      </c>
      <c r="P107" s="1036">
        <f t="shared" si="9"/>
        <v>0</v>
      </c>
      <c r="Q107" s="1053">
        <f t="shared" si="10"/>
        <v>0</v>
      </c>
      <c r="R107" s="712">
        <f t="shared" si="11"/>
        <v>0</v>
      </c>
    </row>
    <row r="108" spans="3:18" ht="15.75" x14ac:dyDescent="0.25">
      <c r="C108" s="695"/>
      <c r="D108" s="567"/>
      <c r="E108" s="713"/>
      <c r="F108" s="713"/>
      <c r="G108" s="713"/>
      <c r="H108" s="715"/>
      <c r="I108" s="715"/>
      <c r="J108" s="568">
        <f t="shared" si="12"/>
        <v>0</v>
      </c>
      <c r="K108" s="1051"/>
      <c r="L108" s="1051"/>
      <c r="M108" s="1051"/>
      <c r="N108" s="1036">
        <f t="shared" si="7"/>
        <v>0</v>
      </c>
      <c r="O108" s="1052">
        <f t="shared" si="8"/>
        <v>0</v>
      </c>
      <c r="P108" s="1036">
        <f t="shared" si="9"/>
        <v>0</v>
      </c>
      <c r="Q108" s="1053">
        <f t="shared" si="10"/>
        <v>0</v>
      </c>
      <c r="R108" s="712">
        <f t="shared" si="11"/>
        <v>0</v>
      </c>
    </row>
    <row r="109" spans="3:18" ht="15.75" x14ac:dyDescent="0.25">
      <c r="C109" s="695"/>
      <c r="D109" s="567"/>
      <c r="E109" s="713"/>
      <c r="F109" s="713"/>
      <c r="G109" s="713"/>
      <c r="H109" s="715"/>
      <c r="I109" s="715"/>
      <c r="J109" s="568">
        <f t="shared" si="12"/>
        <v>0</v>
      </c>
      <c r="K109" s="1051"/>
      <c r="L109" s="1051"/>
      <c r="M109" s="1051"/>
      <c r="N109" s="1036">
        <f t="shared" si="7"/>
        <v>0</v>
      </c>
      <c r="O109" s="1052">
        <f t="shared" si="8"/>
        <v>0</v>
      </c>
      <c r="P109" s="1036">
        <f t="shared" si="9"/>
        <v>0</v>
      </c>
      <c r="Q109" s="1053">
        <f t="shared" si="10"/>
        <v>0</v>
      </c>
      <c r="R109" s="712">
        <f t="shared" si="11"/>
        <v>0</v>
      </c>
    </row>
    <row r="110" spans="3:18" ht="15.75" x14ac:dyDescent="0.25">
      <c r="C110" s="695"/>
      <c r="D110" s="567"/>
      <c r="E110" s="713"/>
      <c r="F110" s="713"/>
      <c r="G110" s="713"/>
      <c r="H110" s="714"/>
      <c r="I110" s="714"/>
      <c r="J110" s="568">
        <f t="shared" si="12"/>
        <v>0</v>
      </c>
      <c r="K110" s="1051"/>
      <c r="L110" s="1051"/>
      <c r="M110" s="1051"/>
      <c r="N110" s="1036">
        <f t="shared" si="7"/>
        <v>0</v>
      </c>
      <c r="O110" s="1052">
        <f t="shared" si="8"/>
        <v>0</v>
      </c>
      <c r="P110" s="1036">
        <f t="shared" si="9"/>
        <v>0</v>
      </c>
      <c r="Q110" s="1053">
        <f t="shared" si="10"/>
        <v>0</v>
      </c>
      <c r="R110" s="712">
        <f t="shared" si="11"/>
        <v>0</v>
      </c>
    </row>
    <row r="111" spans="3:18" ht="15.75" x14ac:dyDescent="0.25">
      <c r="C111" s="695"/>
      <c r="D111" s="567"/>
      <c r="E111" s="713"/>
      <c r="F111" s="713"/>
      <c r="G111" s="713"/>
      <c r="H111" s="714"/>
      <c r="I111" s="714"/>
      <c r="J111" s="568">
        <f t="shared" si="12"/>
        <v>0</v>
      </c>
      <c r="K111" s="1051"/>
      <c r="L111" s="1051"/>
      <c r="M111" s="1051"/>
      <c r="N111" s="1036">
        <f t="shared" si="7"/>
        <v>0</v>
      </c>
      <c r="O111" s="1052">
        <f t="shared" si="8"/>
        <v>0</v>
      </c>
      <c r="P111" s="1036">
        <f t="shared" si="9"/>
        <v>0</v>
      </c>
      <c r="Q111" s="1053">
        <f t="shared" si="10"/>
        <v>0</v>
      </c>
      <c r="R111" s="712">
        <f t="shared" si="11"/>
        <v>0</v>
      </c>
    </row>
    <row r="112" spans="3:18" ht="15.75" x14ac:dyDescent="0.25">
      <c r="C112" s="695"/>
      <c r="D112" s="567"/>
      <c r="E112" s="713"/>
      <c r="F112" s="713"/>
      <c r="G112" s="713"/>
      <c r="H112" s="715"/>
      <c r="I112" s="715"/>
      <c r="J112" s="568">
        <f t="shared" si="12"/>
        <v>0</v>
      </c>
      <c r="K112" s="1051"/>
      <c r="L112" s="1051"/>
      <c r="M112" s="1051"/>
      <c r="N112" s="1036">
        <f t="shared" si="7"/>
        <v>0</v>
      </c>
      <c r="O112" s="1052">
        <f t="shared" si="8"/>
        <v>0</v>
      </c>
      <c r="P112" s="1036">
        <f t="shared" si="9"/>
        <v>0</v>
      </c>
      <c r="Q112" s="1053">
        <f t="shared" si="10"/>
        <v>0</v>
      </c>
      <c r="R112" s="712">
        <f t="shared" si="11"/>
        <v>0</v>
      </c>
    </row>
    <row r="113" spans="3:18" ht="15.75" x14ac:dyDescent="0.25">
      <c r="C113" s="695"/>
      <c r="D113" s="567"/>
      <c r="E113" s="713"/>
      <c r="F113" s="713"/>
      <c r="G113" s="713"/>
      <c r="H113" s="715"/>
      <c r="I113" s="715"/>
      <c r="J113" s="568">
        <f t="shared" si="12"/>
        <v>0</v>
      </c>
      <c r="K113" s="1051"/>
      <c r="L113" s="1051"/>
      <c r="M113" s="1051"/>
      <c r="N113" s="1036">
        <f t="shared" si="7"/>
        <v>0</v>
      </c>
      <c r="O113" s="1052">
        <f t="shared" si="8"/>
        <v>0</v>
      </c>
      <c r="P113" s="1036">
        <f t="shared" si="9"/>
        <v>0</v>
      </c>
      <c r="Q113" s="1053">
        <f t="shared" si="10"/>
        <v>0</v>
      </c>
      <c r="R113" s="712">
        <f t="shared" si="11"/>
        <v>0</v>
      </c>
    </row>
    <row r="114" spans="3:18" ht="15.75" x14ac:dyDescent="0.25">
      <c r="C114" s="695"/>
      <c r="D114" s="567"/>
      <c r="E114" s="713"/>
      <c r="F114" s="713"/>
      <c r="G114" s="713"/>
      <c r="H114" s="715"/>
      <c r="I114" s="715"/>
      <c r="J114" s="568">
        <f t="shared" si="12"/>
        <v>0</v>
      </c>
      <c r="K114" s="1051"/>
      <c r="L114" s="1051"/>
      <c r="M114" s="1051"/>
      <c r="N114" s="1036">
        <f t="shared" si="7"/>
        <v>0</v>
      </c>
      <c r="O114" s="1052">
        <f t="shared" si="8"/>
        <v>0</v>
      </c>
      <c r="P114" s="1036">
        <f t="shared" si="9"/>
        <v>0</v>
      </c>
      <c r="Q114" s="1053">
        <f t="shared" si="10"/>
        <v>0</v>
      </c>
      <c r="R114" s="712">
        <f t="shared" si="11"/>
        <v>0</v>
      </c>
    </row>
    <row r="115" spans="3:18" ht="15.75" x14ac:dyDescent="0.25">
      <c r="C115" s="695"/>
      <c r="D115" s="567"/>
      <c r="E115" s="713"/>
      <c r="F115" s="713"/>
      <c r="G115" s="713"/>
      <c r="H115" s="714"/>
      <c r="I115" s="714"/>
      <c r="J115" s="568">
        <f t="shared" si="12"/>
        <v>0</v>
      </c>
      <c r="K115" s="1051"/>
      <c r="L115" s="1051"/>
      <c r="M115" s="1051"/>
      <c r="N115" s="1036">
        <f t="shared" si="7"/>
        <v>0</v>
      </c>
      <c r="O115" s="1052">
        <f t="shared" si="8"/>
        <v>0</v>
      </c>
      <c r="P115" s="1036">
        <f t="shared" si="9"/>
        <v>0</v>
      </c>
      <c r="Q115" s="1053">
        <f t="shared" si="10"/>
        <v>0</v>
      </c>
      <c r="R115" s="712">
        <f t="shared" si="11"/>
        <v>0</v>
      </c>
    </row>
    <row r="116" spans="3:18" ht="15.75" x14ac:dyDescent="0.25">
      <c r="C116" s="695"/>
      <c r="D116" s="567"/>
      <c r="E116" s="713"/>
      <c r="F116" s="713"/>
      <c r="G116" s="713"/>
      <c r="H116" s="715"/>
      <c r="I116" s="715"/>
      <c r="J116" s="568">
        <f t="shared" si="12"/>
        <v>0</v>
      </c>
      <c r="K116" s="1051"/>
      <c r="L116" s="1051"/>
      <c r="M116" s="1051"/>
      <c r="N116" s="1036">
        <f t="shared" si="7"/>
        <v>0</v>
      </c>
      <c r="O116" s="1052">
        <f t="shared" si="8"/>
        <v>0</v>
      </c>
      <c r="P116" s="1036">
        <f t="shared" si="9"/>
        <v>0</v>
      </c>
      <c r="Q116" s="1053">
        <f t="shared" si="10"/>
        <v>0</v>
      </c>
      <c r="R116" s="712">
        <f t="shared" si="11"/>
        <v>0</v>
      </c>
    </row>
    <row r="117" spans="3:18" ht="15.75" x14ac:dyDescent="0.25">
      <c r="C117" s="695"/>
      <c r="D117" s="567"/>
      <c r="E117" s="713"/>
      <c r="F117" s="713"/>
      <c r="G117" s="713"/>
      <c r="H117" s="715"/>
      <c r="I117" s="715"/>
      <c r="J117" s="568">
        <f t="shared" si="12"/>
        <v>0</v>
      </c>
      <c r="K117" s="1051"/>
      <c r="L117" s="1051"/>
      <c r="M117" s="1051"/>
      <c r="N117" s="1036">
        <f t="shared" si="7"/>
        <v>0</v>
      </c>
      <c r="O117" s="1052">
        <f t="shared" si="8"/>
        <v>0</v>
      </c>
      <c r="P117" s="1036">
        <f t="shared" si="9"/>
        <v>0</v>
      </c>
      <c r="Q117" s="1053">
        <f t="shared" si="10"/>
        <v>0</v>
      </c>
      <c r="R117" s="712">
        <f t="shared" si="11"/>
        <v>0</v>
      </c>
    </row>
    <row r="118" spans="3:18" ht="15.75" x14ac:dyDescent="0.25">
      <c r="C118" s="695"/>
      <c r="D118" s="567"/>
      <c r="E118" s="713"/>
      <c r="F118" s="713"/>
      <c r="G118" s="713"/>
      <c r="H118" s="715"/>
      <c r="I118" s="715"/>
      <c r="J118" s="568">
        <f t="shared" si="12"/>
        <v>0</v>
      </c>
      <c r="K118" s="1051"/>
      <c r="L118" s="1051"/>
      <c r="M118" s="1051"/>
      <c r="N118" s="1036">
        <f t="shared" si="7"/>
        <v>0</v>
      </c>
      <c r="O118" s="1052">
        <f t="shared" si="8"/>
        <v>0</v>
      </c>
      <c r="P118" s="1036">
        <f t="shared" si="9"/>
        <v>0</v>
      </c>
      <c r="Q118" s="1053">
        <f t="shared" si="10"/>
        <v>0</v>
      </c>
      <c r="R118" s="712">
        <f t="shared" si="11"/>
        <v>0</v>
      </c>
    </row>
    <row r="119" spans="3:18" ht="15.75" x14ac:dyDescent="0.25">
      <c r="C119" s="695"/>
      <c r="D119" s="567"/>
      <c r="E119" s="713"/>
      <c r="F119" s="713"/>
      <c r="G119" s="713"/>
      <c r="H119" s="714"/>
      <c r="I119" s="714"/>
      <c r="J119" s="568">
        <f t="shared" si="12"/>
        <v>0</v>
      </c>
      <c r="K119" s="1051"/>
      <c r="L119" s="1051"/>
      <c r="M119" s="1051"/>
      <c r="N119" s="1036">
        <f t="shared" si="7"/>
        <v>0</v>
      </c>
      <c r="O119" s="1052">
        <f t="shared" si="8"/>
        <v>0</v>
      </c>
      <c r="P119" s="1036">
        <f t="shared" si="9"/>
        <v>0</v>
      </c>
      <c r="Q119" s="1053">
        <f t="shared" si="10"/>
        <v>0</v>
      </c>
      <c r="R119" s="712">
        <f t="shared" si="11"/>
        <v>0</v>
      </c>
    </row>
    <row r="120" spans="3:18" ht="15.75" x14ac:dyDescent="0.25">
      <c r="C120" s="695"/>
      <c r="D120" s="567"/>
      <c r="E120" s="713"/>
      <c r="F120" s="713"/>
      <c r="G120" s="713"/>
      <c r="H120" s="715"/>
      <c r="I120" s="715"/>
      <c r="J120" s="568">
        <f t="shared" si="12"/>
        <v>0</v>
      </c>
      <c r="K120" s="1051"/>
      <c r="L120" s="1051"/>
      <c r="M120" s="1051"/>
      <c r="N120" s="1036">
        <f t="shared" si="7"/>
        <v>0</v>
      </c>
      <c r="O120" s="1052">
        <f t="shared" si="8"/>
        <v>0</v>
      </c>
      <c r="P120" s="1036">
        <f t="shared" si="9"/>
        <v>0</v>
      </c>
      <c r="Q120" s="1053">
        <f t="shared" si="10"/>
        <v>0</v>
      </c>
      <c r="R120" s="712">
        <f t="shared" si="11"/>
        <v>0</v>
      </c>
    </row>
    <row r="121" spans="3:18" ht="15.75" x14ac:dyDescent="0.25">
      <c r="C121" s="695"/>
      <c r="D121" s="567"/>
      <c r="E121" s="713"/>
      <c r="F121" s="713"/>
      <c r="G121" s="713"/>
      <c r="H121" s="715"/>
      <c r="I121" s="715"/>
      <c r="J121" s="568">
        <f t="shared" si="12"/>
        <v>0</v>
      </c>
      <c r="K121" s="1051"/>
      <c r="L121" s="1051"/>
      <c r="M121" s="1051"/>
      <c r="N121" s="1036">
        <f t="shared" si="7"/>
        <v>0</v>
      </c>
      <c r="O121" s="1052">
        <f t="shared" si="8"/>
        <v>0</v>
      </c>
      <c r="P121" s="1036">
        <f t="shared" si="9"/>
        <v>0</v>
      </c>
      <c r="Q121" s="1053">
        <f t="shared" si="10"/>
        <v>0</v>
      </c>
      <c r="R121" s="712">
        <f t="shared" si="11"/>
        <v>0</v>
      </c>
    </row>
    <row r="122" spans="3:18" ht="15.75" x14ac:dyDescent="0.25">
      <c r="C122" s="695"/>
      <c r="D122" s="567"/>
      <c r="E122" s="713"/>
      <c r="F122" s="713"/>
      <c r="G122" s="713"/>
      <c r="H122" s="715"/>
      <c r="I122" s="715"/>
      <c r="J122" s="568">
        <f t="shared" si="12"/>
        <v>0</v>
      </c>
      <c r="K122" s="1051"/>
      <c r="L122" s="1051"/>
      <c r="M122" s="1051"/>
      <c r="N122" s="1036">
        <f t="shared" si="7"/>
        <v>0</v>
      </c>
      <c r="O122" s="1052">
        <f t="shared" si="8"/>
        <v>0</v>
      </c>
      <c r="P122" s="1036">
        <f t="shared" si="9"/>
        <v>0</v>
      </c>
      <c r="Q122" s="1053">
        <f t="shared" si="10"/>
        <v>0</v>
      </c>
      <c r="R122" s="712">
        <f t="shared" si="11"/>
        <v>0</v>
      </c>
    </row>
    <row r="123" spans="3:18" ht="15.75" x14ac:dyDescent="0.25">
      <c r="C123" s="695"/>
      <c r="D123" s="567"/>
      <c r="E123" s="713"/>
      <c r="F123" s="713"/>
      <c r="G123" s="713"/>
      <c r="H123" s="714"/>
      <c r="I123" s="714"/>
      <c r="J123" s="568">
        <f t="shared" si="12"/>
        <v>0</v>
      </c>
      <c r="K123" s="1051"/>
      <c r="L123" s="1051"/>
      <c r="M123" s="1051"/>
      <c r="N123" s="1036">
        <f t="shared" si="7"/>
        <v>0</v>
      </c>
      <c r="O123" s="1052">
        <f t="shared" si="8"/>
        <v>0</v>
      </c>
      <c r="P123" s="1036">
        <f t="shared" si="9"/>
        <v>0</v>
      </c>
      <c r="Q123" s="1053">
        <f t="shared" si="10"/>
        <v>0</v>
      </c>
      <c r="R123" s="712">
        <f t="shared" si="11"/>
        <v>0</v>
      </c>
    </row>
    <row r="124" spans="3:18" ht="15.75" x14ac:dyDescent="0.25">
      <c r="C124" s="695"/>
      <c r="D124" s="567"/>
      <c r="E124" s="713"/>
      <c r="F124" s="713"/>
      <c r="G124" s="713"/>
      <c r="H124" s="715"/>
      <c r="I124" s="715"/>
      <c r="J124" s="568">
        <f t="shared" si="12"/>
        <v>0</v>
      </c>
      <c r="K124" s="1051"/>
      <c r="L124" s="1051"/>
      <c r="M124" s="1051"/>
      <c r="N124" s="1036">
        <f t="shared" si="7"/>
        <v>0</v>
      </c>
      <c r="O124" s="1052">
        <f t="shared" si="8"/>
        <v>0</v>
      </c>
      <c r="P124" s="1036">
        <f t="shared" si="9"/>
        <v>0</v>
      </c>
      <c r="Q124" s="1053">
        <f t="shared" si="10"/>
        <v>0</v>
      </c>
      <c r="R124" s="712">
        <f t="shared" si="11"/>
        <v>0</v>
      </c>
    </row>
    <row r="125" spans="3:18" ht="15.75" x14ac:dyDescent="0.25">
      <c r="C125" s="695"/>
      <c r="D125" s="567"/>
      <c r="E125" s="713"/>
      <c r="F125" s="713"/>
      <c r="G125" s="713"/>
      <c r="H125" s="715"/>
      <c r="I125" s="715"/>
      <c r="J125" s="568">
        <f t="shared" si="12"/>
        <v>0</v>
      </c>
      <c r="K125" s="1051"/>
      <c r="L125" s="1051"/>
      <c r="M125" s="1051"/>
      <c r="N125" s="1036">
        <f t="shared" si="7"/>
        <v>0</v>
      </c>
      <c r="O125" s="1052">
        <f t="shared" si="8"/>
        <v>0</v>
      </c>
      <c r="P125" s="1036">
        <f t="shared" si="9"/>
        <v>0</v>
      </c>
      <c r="Q125" s="1053">
        <f t="shared" si="10"/>
        <v>0</v>
      </c>
      <c r="R125" s="712">
        <f t="shared" si="11"/>
        <v>0</v>
      </c>
    </row>
    <row r="126" spans="3:18" ht="15.75" x14ac:dyDescent="0.25">
      <c r="C126" s="695"/>
      <c r="D126" s="567"/>
      <c r="E126" s="713"/>
      <c r="F126" s="713"/>
      <c r="G126" s="713"/>
      <c r="H126" s="715"/>
      <c r="I126" s="715"/>
      <c r="J126" s="568">
        <f t="shared" si="12"/>
        <v>0</v>
      </c>
      <c r="K126" s="1051"/>
      <c r="L126" s="1051"/>
      <c r="M126" s="1051"/>
      <c r="N126" s="1036">
        <f t="shared" si="7"/>
        <v>0</v>
      </c>
      <c r="O126" s="1052">
        <f t="shared" si="8"/>
        <v>0</v>
      </c>
      <c r="P126" s="1036">
        <f t="shared" si="9"/>
        <v>0</v>
      </c>
      <c r="Q126" s="1053">
        <f t="shared" si="10"/>
        <v>0</v>
      </c>
      <c r="R126" s="712">
        <f t="shared" si="11"/>
        <v>0</v>
      </c>
    </row>
    <row r="127" spans="3:18" ht="15.75" x14ac:dyDescent="0.25">
      <c r="C127" s="695"/>
      <c r="D127" s="567"/>
      <c r="E127" s="713"/>
      <c r="F127" s="713"/>
      <c r="G127" s="713"/>
      <c r="H127" s="714"/>
      <c r="I127" s="714"/>
      <c r="J127" s="568">
        <f t="shared" si="12"/>
        <v>0</v>
      </c>
      <c r="K127" s="1051"/>
      <c r="L127" s="1051"/>
      <c r="M127" s="1051"/>
      <c r="N127" s="1036">
        <f t="shared" si="7"/>
        <v>0</v>
      </c>
      <c r="O127" s="1052">
        <f t="shared" si="8"/>
        <v>0</v>
      </c>
      <c r="P127" s="1036">
        <f t="shared" si="9"/>
        <v>0</v>
      </c>
      <c r="Q127" s="1053">
        <f t="shared" si="10"/>
        <v>0</v>
      </c>
      <c r="R127" s="712">
        <f t="shared" si="11"/>
        <v>0</v>
      </c>
    </row>
    <row r="128" spans="3:18" ht="15.75" x14ac:dyDescent="0.25">
      <c r="C128" s="695"/>
      <c r="D128" s="567"/>
      <c r="E128" s="713"/>
      <c r="F128" s="713"/>
      <c r="G128" s="713"/>
      <c r="H128" s="715"/>
      <c r="I128" s="715"/>
      <c r="J128" s="568">
        <f t="shared" si="12"/>
        <v>0</v>
      </c>
      <c r="K128" s="1051"/>
      <c r="L128" s="1051"/>
      <c r="M128" s="1051"/>
      <c r="N128" s="1036">
        <f t="shared" si="7"/>
        <v>0</v>
      </c>
      <c r="O128" s="1052">
        <f t="shared" si="8"/>
        <v>0</v>
      </c>
      <c r="P128" s="1036">
        <f t="shared" si="9"/>
        <v>0</v>
      </c>
      <c r="Q128" s="1053">
        <f t="shared" si="10"/>
        <v>0</v>
      </c>
      <c r="R128" s="712">
        <f t="shared" si="11"/>
        <v>0</v>
      </c>
    </row>
    <row r="129" spans="3:18" ht="15.75" x14ac:dyDescent="0.25">
      <c r="C129" s="695"/>
      <c r="D129" s="567"/>
      <c r="E129" s="713"/>
      <c r="F129" s="713"/>
      <c r="G129" s="713"/>
      <c r="H129" s="715"/>
      <c r="I129" s="715"/>
      <c r="J129" s="568">
        <f t="shared" si="12"/>
        <v>0</v>
      </c>
      <c r="K129" s="1051"/>
      <c r="L129" s="1051"/>
      <c r="M129" s="1051"/>
      <c r="N129" s="1036">
        <f t="shared" si="7"/>
        <v>0</v>
      </c>
      <c r="O129" s="1052">
        <f t="shared" si="8"/>
        <v>0</v>
      </c>
      <c r="P129" s="1036">
        <f t="shared" si="9"/>
        <v>0</v>
      </c>
      <c r="Q129" s="1053">
        <f t="shared" si="10"/>
        <v>0</v>
      </c>
      <c r="R129" s="712">
        <f t="shared" si="11"/>
        <v>0</v>
      </c>
    </row>
    <row r="130" spans="3:18" ht="15.75" x14ac:dyDescent="0.25">
      <c r="C130" s="695"/>
      <c r="D130" s="567"/>
      <c r="E130" s="713"/>
      <c r="F130" s="713"/>
      <c r="G130" s="713"/>
      <c r="H130" s="715"/>
      <c r="I130" s="715"/>
      <c r="J130" s="568">
        <f t="shared" si="12"/>
        <v>0</v>
      </c>
      <c r="K130" s="1051"/>
      <c r="L130" s="1051"/>
      <c r="M130" s="1051"/>
      <c r="N130" s="1036">
        <f t="shared" si="7"/>
        <v>0</v>
      </c>
      <c r="O130" s="1052">
        <f t="shared" si="8"/>
        <v>0</v>
      </c>
      <c r="P130" s="1036">
        <f t="shared" si="9"/>
        <v>0</v>
      </c>
      <c r="Q130" s="1053">
        <f t="shared" si="10"/>
        <v>0</v>
      </c>
      <c r="R130" s="712">
        <f t="shared" si="11"/>
        <v>0</v>
      </c>
    </row>
    <row r="131" spans="3:18" ht="15.75" x14ac:dyDescent="0.25">
      <c r="C131" s="695"/>
      <c r="D131" s="567"/>
      <c r="E131" s="713"/>
      <c r="F131" s="713"/>
      <c r="G131" s="713"/>
      <c r="H131" s="714"/>
      <c r="I131" s="714"/>
      <c r="J131" s="568">
        <f t="shared" si="12"/>
        <v>0</v>
      </c>
      <c r="K131" s="1051"/>
      <c r="L131" s="1051"/>
      <c r="M131" s="1051"/>
      <c r="N131" s="1036">
        <f t="shared" si="7"/>
        <v>0</v>
      </c>
      <c r="O131" s="1052">
        <f t="shared" si="8"/>
        <v>0</v>
      </c>
      <c r="P131" s="1036">
        <f t="shared" si="9"/>
        <v>0</v>
      </c>
      <c r="Q131" s="1053">
        <f t="shared" si="10"/>
        <v>0</v>
      </c>
      <c r="R131" s="712">
        <f t="shared" si="11"/>
        <v>0</v>
      </c>
    </row>
    <row r="132" spans="3:18" ht="15.75" x14ac:dyDescent="0.25">
      <c r="C132" s="695"/>
      <c r="D132" s="567"/>
      <c r="E132" s="713"/>
      <c r="F132" s="713"/>
      <c r="G132" s="713"/>
      <c r="H132" s="715"/>
      <c r="I132" s="715"/>
      <c r="J132" s="568">
        <f t="shared" si="12"/>
        <v>0</v>
      </c>
      <c r="K132" s="1051"/>
      <c r="L132" s="1051"/>
      <c r="M132" s="1051"/>
      <c r="N132" s="1036">
        <f t="shared" si="7"/>
        <v>0</v>
      </c>
      <c r="O132" s="1052">
        <f t="shared" si="8"/>
        <v>0</v>
      </c>
      <c r="P132" s="1036">
        <f t="shared" si="9"/>
        <v>0</v>
      </c>
      <c r="Q132" s="1053">
        <f t="shared" si="10"/>
        <v>0</v>
      </c>
      <c r="R132" s="712">
        <f t="shared" si="11"/>
        <v>0</v>
      </c>
    </row>
    <row r="133" spans="3:18" ht="15.75" x14ac:dyDescent="0.25">
      <c r="C133" s="695"/>
      <c r="D133" s="567"/>
      <c r="E133" s="713"/>
      <c r="F133" s="713"/>
      <c r="G133" s="713"/>
      <c r="H133" s="715"/>
      <c r="I133" s="715"/>
      <c r="J133" s="568">
        <f t="shared" si="12"/>
        <v>0</v>
      </c>
      <c r="K133" s="1051"/>
      <c r="L133" s="1051"/>
      <c r="M133" s="1051"/>
      <c r="N133" s="1036">
        <f t="shared" si="7"/>
        <v>0</v>
      </c>
      <c r="O133" s="1052">
        <f t="shared" si="8"/>
        <v>0</v>
      </c>
      <c r="P133" s="1036">
        <f t="shared" si="9"/>
        <v>0</v>
      </c>
      <c r="Q133" s="1053">
        <f t="shared" si="10"/>
        <v>0</v>
      </c>
      <c r="R133" s="712">
        <f t="shared" si="11"/>
        <v>0</v>
      </c>
    </row>
    <row r="134" spans="3:18" ht="15.75" x14ac:dyDescent="0.25">
      <c r="C134" s="695"/>
      <c r="D134" s="567"/>
      <c r="E134" s="713"/>
      <c r="F134" s="713"/>
      <c r="G134" s="713"/>
      <c r="H134" s="715"/>
      <c r="I134" s="715"/>
      <c r="J134" s="568">
        <f t="shared" si="12"/>
        <v>0</v>
      </c>
      <c r="K134" s="1051"/>
      <c r="L134" s="1051"/>
      <c r="M134" s="1051"/>
      <c r="N134" s="1036">
        <f t="shared" si="7"/>
        <v>0</v>
      </c>
      <c r="O134" s="1052">
        <f t="shared" si="8"/>
        <v>0</v>
      </c>
      <c r="P134" s="1036">
        <f t="shared" si="9"/>
        <v>0</v>
      </c>
      <c r="Q134" s="1053">
        <f t="shared" si="10"/>
        <v>0</v>
      </c>
      <c r="R134" s="712">
        <f t="shared" si="11"/>
        <v>0</v>
      </c>
    </row>
    <row r="135" spans="3:18" ht="15.75" x14ac:dyDescent="0.25">
      <c r="C135" s="695"/>
      <c r="D135" s="567"/>
      <c r="E135" s="713"/>
      <c r="F135" s="713"/>
      <c r="G135" s="713"/>
      <c r="H135" s="714"/>
      <c r="I135" s="714"/>
      <c r="J135" s="568">
        <f t="shared" si="12"/>
        <v>0</v>
      </c>
      <c r="K135" s="1051"/>
      <c r="L135" s="1051"/>
      <c r="M135" s="1051"/>
      <c r="N135" s="1036">
        <f t="shared" si="7"/>
        <v>0</v>
      </c>
      <c r="O135" s="1052">
        <f t="shared" si="8"/>
        <v>0</v>
      </c>
      <c r="P135" s="1036">
        <f t="shared" si="9"/>
        <v>0</v>
      </c>
      <c r="Q135" s="1053">
        <f t="shared" si="10"/>
        <v>0</v>
      </c>
      <c r="R135" s="712">
        <f t="shared" si="11"/>
        <v>0</v>
      </c>
    </row>
    <row r="136" spans="3:18" ht="15.75" x14ac:dyDescent="0.25">
      <c r="C136" s="695"/>
      <c r="D136" s="567"/>
      <c r="E136" s="713"/>
      <c r="F136" s="713"/>
      <c r="G136" s="713"/>
      <c r="H136" s="715"/>
      <c r="I136" s="715"/>
      <c r="J136" s="568">
        <f t="shared" si="12"/>
        <v>0</v>
      </c>
      <c r="K136" s="1051"/>
      <c r="L136" s="1051"/>
      <c r="M136" s="1051"/>
      <c r="N136" s="1036">
        <f t="shared" si="7"/>
        <v>0</v>
      </c>
      <c r="O136" s="1052">
        <f t="shared" si="8"/>
        <v>0</v>
      </c>
      <c r="P136" s="1036">
        <f t="shared" si="9"/>
        <v>0</v>
      </c>
      <c r="Q136" s="1053">
        <f t="shared" si="10"/>
        <v>0</v>
      </c>
      <c r="R136" s="712">
        <f t="shared" si="11"/>
        <v>0</v>
      </c>
    </row>
    <row r="137" spans="3:18" ht="15.75" x14ac:dyDescent="0.25">
      <c r="C137" s="695"/>
      <c r="D137" s="567"/>
      <c r="E137" s="713"/>
      <c r="F137" s="713"/>
      <c r="G137" s="713"/>
      <c r="H137" s="715"/>
      <c r="I137" s="715"/>
      <c r="J137" s="568">
        <f t="shared" si="12"/>
        <v>0</v>
      </c>
      <c r="K137" s="1051"/>
      <c r="L137" s="1051"/>
      <c r="M137" s="1051"/>
      <c r="N137" s="1036">
        <f t="shared" si="7"/>
        <v>0</v>
      </c>
      <c r="O137" s="1052">
        <f t="shared" si="8"/>
        <v>0</v>
      </c>
      <c r="P137" s="1036">
        <f t="shared" si="9"/>
        <v>0</v>
      </c>
      <c r="Q137" s="1053">
        <f t="shared" si="10"/>
        <v>0</v>
      </c>
      <c r="R137" s="712">
        <f t="shared" si="11"/>
        <v>0</v>
      </c>
    </row>
    <row r="138" spans="3:18" ht="15.75" x14ac:dyDescent="0.25">
      <c r="C138" s="695"/>
      <c r="D138" s="567"/>
      <c r="E138" s="713"/>
      <c r="F138" s="713"/>
      <c r="G138" s="713"/>
      <c r="H138" s="715"/>
      <c r="I138" s="715"/>
      <c r="J138" s="568">
        <f t="shared" si="12"/>
        <v>0</v>
      </c>
      <c r="K138" s="1051"/>
      <c r="L138" s="1051"/>
      <c r="M138" s="1051"/>
      <c r="N138" s="1036">
        <f t="shared" si="7"/>
        <v>0</v>
      </c>
      <c r="O138" s="1052">
        <f t="shared" si="8"/>
        <v>0</v>
      </c>
      <c r="P138" s="1036">
        <f t="shared" si="9"/>
        <v>0</v>
      </c>
      <c r="Q138" s="1053">
        <f t="shared" si="10"/>
        <v>0</v>
      </c>
      <c r="R138" s="712">
        <f t="shared" si="11"/>
        <v>0</v>
      </c>
    </row>
    <row r="139" spans="3:18" ht="15.75" x14ac:dyDescent="0.25">
      <c r="C139" s="695"/>
      <c r="D139" s="567"/>
      <c r="E139" s="713"/>
      <c r="F139" s="713"/>
      <c r="G139" s="713"/>
      <c r="H139" s="714"/>
      <c r="I139" s="714"/>
      <c r="J139" s="568">
        <f t="shared" si="12"/>
        <v>0</v>
      </c>
      <c r="K139" s="1051"/>
      <c r="L139" s="1051"/>
      <c r="M139" s="1051"/>
      <c r="N139" s="1036">
        <f t="shared" si="7"/>
        <v>0</v>
      </c>
      <c r="O139" s="1052">
        <f t="shared" si="8"/>
        <v>0</v>
      </c>
      <c r="P139" s="1036">
        <f t="shared" si="9"/>
        <v>0</v>
      </c>
      <c r="Q139" s="1053">
        <f t="shared" si="10"/>
        <v>0</v>
      </c>
      <c r="R139" s="712">
        <f t="shared" si="11"/>
        <v>0</v>
      </c>
    </row>
    <row r="140" spans="3:18" ht="15.75" x14ac:dyDescent="0.25">
      <c r="C140" s="695"/>
      <c r="D140" s="567"/>
      <c r="E140" s="713"/>
      <c r="F140" s="713"/>
      <c r="G140" s="713"/>
      <c r="H140" s="715"/>
      <c r="I140" s="715"/>
      <c r="J140" s="568">
        <f t="shared" si="12"/>
        <v>0</v>
      </c>
      <c r="K140" s="1051"/>
      <c r="L140" s="1051"/>
      <c r="M140" s="1051"/>
      <c r="N140" s="1036">
        <f t="shared" si="7"/>
        <v>0</v>
      </c>
      <c r="O140" s="1052">
        <f t="shared" si="8"/>
        <v>0</v>
      </c>
      <c r="P140" s="1036">
        <f t="shared" si="9"/>
        <v>0</v>
      </c>
      <c r="Q140" s="1053">
        <f t="shared" si="10"/>
        <v>0</v>
      </c>
      <c r="R140" s="712">
        <f t="shared" si="11"/>
        <v>0</v>
      </c>
    </row>
    <row r="141" spans="3:18" ht="15.75" x14ac:dyDescent="0.25">
      <c r="C141" s="695"/>
      <c r="D141" s="567"/>
      <c r="E141" s="713"/>
      <c r="F141" s="713"/>
      <c r="G141" s="713"/>
      <c r="H141" s="715"/>
      <c r="I141" s="715"/>
      <c r="J141" s="568">
        <f t="shared" si="12"/>
        <v>0</v>
      </c>
      <c r="K141" s="1051"/>
      <c r="L141" s="1051"/>
      <c r="M141" s="1051"/>
      <c r="N141" s="1036">
        <f t="shared" si="7"/>
        <v>0</v>
      </c>
      <c r="O141" s="1052">
        <f t="shared" si="8"/>
        <v>0</v>
      </c>
      <c r="P141" s="1036">
        <f t="shared" si="9"/>
        <v>0</v>
      </c>
      <c r="Q141" s="1053">
        <f t="shared" si="10"/>
        <v>0</v>
      </c>
      <c r="R141" s="712">
        <f t="shared" si="11"/>
        <v>0</v>
      </c>
    </row>
    <row r="142" spans="3:18" ht="15.75" x14ac:dyDescent="0.25">
      <c r="C142" s="695"/>
      <c r="D142" s="567"/>
      <c r="E142" s="713"/>
      <c r="F142" s="713"/>
      <c r="G142" s="713"/>
      <c r="H142" s="715"/>
      <c r="I142" s="715"/>
      <c r="J142" s="568">
        <f t="shared" si="12"/>
        <v>0</v>
      </c>
      <c r="K142" s="1051"/>
      <c r="L142" s="1051"/>
      <c r="M142" s="1051"/>
      <c r="N142" s="1036">
        <f t="shared" si="7"/>
        <v>0</v>
      </c>
      <c r="O142" s="1052">
        <f t="shared" si="8"/>
        <v>0</v>
      </c>
      <c r="P142" s="1036">
        <f t="shared" si="9"/>
        <v>0</v>
      </c>
      <c r="Q142" s="1053">
        <f t="shared" si="10"/>
        <v>0</v>
      </c>
      <c r="R142" s="712">
        <f t="shared" si="11"/>
        <v>0</v>
      </c>
    </row>
    <row r="143" spans="3:18" ht="15.75" x14ac:dyDescent="0.25">
      <c r="C143" s="695"/>
      <c r="D143" s="567"/>
      <c r="E143" s="713"/>
      <c r="F143" s="713"/>
      <c r="G143" s="713"/>
      <c r="H143" s="714"/>
      <c r="I143" s="714"/>
      <c r="J143" s="568">
        <f t="shared" si="12"/>
        <v>0</v>
      </c>
      <c r="K143" s="1051"/>
      <c r="L143" s="1051"/>
      <c r="M143" s="1051"/>
      <c r="N143" s="1036">
        <f t="shared" si="7"/>
        <v>0</v>
      </c>
      <c r="O143" s="1052">
        <f t="shared" si="8"/>
        <v>0</v>
      </c>
      <c r="P143" s="1036">
        <f t="shared" si="9"/>
        <v>0</v>
      </c>
      <c r="Q143" s="1053">
        <f t="shared" si="10"/>
        <v>0</v>
      </c>
      <c r="R143" s="712">
        <f t="shared" si="11"/>
        <v>0</v>
      </c>
    </row>
    <row r="144" spans="3:18" ht="15.75" x14ac:dyDescent="0.25">
      <c r="C144" s="695"/>
      <c r="D144" s="567"/>
      <c r="E144" s="713"/>
      <c r="F144" s="713"/>
      <c r="G144" s="713"/>
      <c r="H144" s="715"/>
      <c r="I144" s="715"/>
      <c r="J144" s="568">
        <f t="shared" si="12"/>
        <v>0</v>
      </c>
      <c r="K144" s="1051"/>
      <c r="L144" s="1051"/>
      <c r="M144" s="1051"/>
      <c r="N144" s="1036">
        <f t="shared" si="7"/>
        <v>0</v>
      </c>
      <c r="O144" s="1052">
        <f t="shared" si="8"/>
        <v>0</v>
      </c>
      <c r="P144" s="1036">
        <f t="shared" si="9"/>
        <v>0</v>
      </c>
      <c r="Q144" s="1053">
        <f t="shared" si="10"/>
        <v>0</v>
      </c>
      <c r="R144" s="712">
        <f t="shared" si="11"/>
        <v>0</v>
      </c>
    </row>
    <row r="145" spans="3:18" ht="15.75" x14ac:dyDescent="0.25">
      <c r="C145" s="695"/>
      <c r="D145" s="567"/>
      <c r="E145" s="713"/>
      <c r="F145" s="713"/>
      <c r="G145" s="713"/>
      <c r="H145" s="715"/>
      <c r="I145" s="715"/>
      <c r="J145" s="568">
        <f t="shared" si="12"/>
        <v>0</v>
      </c>
      <c r="K145" s="1051"/>
      <c r="L145" s="1051"/>
      <c r="M145" s="1051"/>
      <c r="N145" s="1036">
        <f t="shared" si="7"/>
        <v>0</v>
      </c>
      <c r="O145" s="1052">
        <f t="shared" si="8"/>
        <v>0</v>
      </c>
      <c r="P145" s="1036">
        <f t="shared" si="9"/>
        <v>0</v>
      </c>
      <c r="Q145" s="1053">
        <f t="shared" si="10"/>
        <v>0</v>
      </c>
      <c r="R145" s="712">
        <f t="shared" si="11"/>
        <v>0</v>
      </c>
    </row>
    <row r="146" spans="3:18" ht="15.75" x14ac:dyDescent="0.25">
      <c r="C146" s="695"/>
      <c r="D146" s="567"/>
      <c r="E146" s="713"/>
      <c r="F146" s="713"/>
      <c r="G146" s="713"/>
      <c r="H146" s="715"/>
      <c r="I146" s="715"/>
      <c r="J146" s="568">
        <f t="shared" si="12"/>
        <v>0</v>
      </c>
      <c r="K146" s="1051"/>
      <c r="L146" s="1051"/>
      <c r="M146" s="1051"/>
      <c r="N146" s="1036">
        <f t="shared" ref="N146:N209" si="13">L146*M146</f>
        <v>0</v>
      </c>
      <c r="O146" s="1052">
        <f t="shared" ref="O146:O209" si="14">COUNTIF($G$16:$G$4001,G146)</f>
        <v>0</v>
      </c>
      <c r="P146" s="1036">
        <f t="shared" ref="P146:P209" si="15">IF(C146&gt;0,IF(AND(E146="א-ג",J146&gt;0),MIN(I146,15)*MIN(H146,75),IF(AND(E146="ד-ו",N146&gt;0),MIN(L146,59.57)*MIN(M146,75),0)),0)</f>
        <v>0</v>
      </c>
      <c r="Q146" s="1053">
        <f t="shared" ref="Q146:Q209" si="16">IF(E146="א-ג",MIN(J146,P146),MIN(N146,P146))</f>
        <v>0</v>
      </c>
      <c r="R146" s="712">
        <f t="shared" ref="R146:R209" si="17">IF(E146="א-ג",Q146/1125,Q146/$R$7)</f>
        <v>0</v>
      </c>
    </row>
    <row r="147" spans="3:18" ht="15.75" x14ac:dyDescent="0.25">
      <c r="C147" s="695"/>
      <c r="D147" s="567"/>
      <c r="E147" s="713"/>
      <c r="F147" s="713"/>
      <c r="G147" s="713"/>
      <c r="H147" s="714"/>
      <c r="I147" s="714"/>
      <c r="J147" s="568">
        <f t="shared" si="12"/>
        <v>0</v>
      </c>
      <c r="K147" s="1051"/>
      <c r="L147" s="1051"/>
      <c r="M147" s="1051"/>
      <c r="N147" s="1036">
        <f t="shared" si="13"/>
        <v>0</v>
      </c>
      <c r="O147" s="1052">
        <f t="shared" si="14"/>
        <v>0</v>
      </c>
      <c r="P147" s="1036">
        <f t="shared" si="15"/>
        <v>0</v>
      </c>
      <c r="Q147" s="1053">
        <f t="shared" si="16"/>
        <v>0</v>
      </c>
      <c r="R147" s="712">
        <f t="shared" si="17"/>
        <v>0</v>
      </c>
    </row>
    <row r="148" spans="3:18" ht="15.75" x14ac:dyDescent="0.25">
      <c r="C148" s="695"/>
      <c r="D148" s="567"/>
      <c r="E148" s="713"/>
      <c r="F148" s="713"/>
      <c r="G148" s="713"/>
      <c r="H148" s="715"/>
      <c r="I148" s="715"/>
      <c r="J148" s="568">
        <f t="shared" si="12"/>
        <v>0</v>
      </c>
      <c r="K148" s="1051"/>
      <c r="L148" s="1051"/>
      <c r="M148" s="1051"/>
      <c r="N148" s="1036">
        <f t="shared" si="13"/>
        <v>0</v>
      </c>
      <c r="O148" s="1052">
        <f t="shared" si="14"/>
        <v>0</v>
      </c>
      <c r="P148" s="1036">
        <f t="shared" si="15"/>
        <v>0</v>
      </c>
      <c r="Q148" s="1053">
        <f t="shared" si="16"/>
        <v>0</v>
      </c>
      <c r="R148" s="712">
        <f t="shared" si="17"/>
        <v>0</v>
      </c>
    </row>
    <row r="149" spans="3:18" ht="15.75" x14ac:dyDescent="0.25">
      <c r="C149" s="695"/>
      <c r="D149" s="567"/>
      <c r="E149" s="713"/>
      <c r="F149" s="713"/>
      <c r="G149" s="713"/>
      <c r="H149" s="715"/>
      <c r="I149" s="715"/>
      <c r="J149" s="568">
        <f t="shared" si="12"/>
        <v>0</v>
      </c>
      <c r="K149" s="1051"/>
      <c r="L149" s="1051"/>
      <c r="M149" s="1051"/>
      <c r="N149" s="1036">
        <f t="shared" si="13"/>
        <v>0</v>
      </c>
      <c r="O149" s="1052">
        <f t="shared" si="14"/>
        <v>0</v>
      </c>
      <c r="P149" s="1036">
        <f t="shared" si="15"/>
        <v>0</v>
      </c>
      <c r="Q149" s="1053">
        <f t="shared" si="16"/>
        <v>0</v>
      </c>
      <c r="R149" s="712">
        <f t="shared" si="17"/>
        <v>0</v>
      </c>
    </row>
    <row r="150" spans="3:18" ht="15.75" x14ac:dyDescent="0.25">
      <c r="C150" s="695"/>
      <c r="D150" s="567"/>
      <c r="E150" s="713"/>
      <c r="F150" s="713"/>
      <c r="G150" s="713"/>
      <c r="H150" s="715"/>
      <c r="I150" s="715"/>
      <c r="J150" s="568">
        <f t="shared" si="12"/>
        <v>0</v>
      </c>
      <c r="K150" s="1051"/>
      <c r="L150" s="1051"/>
      <c r="M150" s="1051"/>
      <c r="N150" s="1036">
        <f t="shared" si="13"/>
        <v>0</v>
      </c>
      <c r="O150" s="1052">
        <f t="shared" si="14"/>
        <v>0</v>
      </c>
      <c r="P150" s="1036">
        <f t="shared" si="15"/>
        <v>0</v>
      </c>
      <c r="Q150" s="1053">
        <f t="shared" si="16"/>
        <v>0</v>
      </c>
      <c r="R150" s="712">
        <f t="shared" si="17"/>
        <v>0</v>
      </c>
    </row>
    <row r="151" spans="3:18" ht="15.75" x14ac:dyDescent="0.25">
      <c r="C151" s="695"/>
      <c r="D151" s="567"/>
      <c r="E151" s="713"/>
      <c r="F151" s="713"/>
      <c r="G151" s="713"/>
      <c r="H151" s="714"/>
      <c r="I151" s="714"/>
      <c r="J151" s="568">
        <f t="shared" si="12"/>
        <v>0</v>
      </c>
      <c r="K151" s="1051"/>
      <c r="L151" s="1051"/>
      <c r="M151" s="1051"/>
      <c r="N151" s="1036">
        <f t="shared" si="13"/>
        <v>0</v>
      </c>
      <c r="O151" s="1052">
        <f t="shared" si="14"/>
        <v>0</v>
      </c>
      <c r="P151" s="1036">
        <f t="shared" si="15"/>
        <v>0</v>
      </c>
      <c r="Q151" s="1053">
        <f t="shared" si="16"/>
        <v>0</v>
      </c>
      <c r="R151" s="712">
        <f t="shared" si="17"/>
        <v>0</v>
      </c>
    </row>
    <row r="152" spans="3:18" ht="15.75" x14ac:dyDescent="0.25">
      <c r="C152" s="695"/>
      <c r="D152" s="567"/>
      <c r="E152" s="713"/>
      <c r="F152" s="713"/>
      <c r="G152" s="713"/>
      <c r="H152" s="715"/>
      <c r="I152" s="715"/>
      <c r="J152" s="568">
        <f t="shared" si="12"/>
        <v>0</v>
      </c>
      <c r="K152" s="1051"/>
      <c r="L152" s="1051"/>
      <c r="M152" s="1051"/>
      <c r="N152" s="1036">
        <f t="shared" si="13"/>
        <v>0</v>
      </c>
      <c r="O152" s="1052">
        <f t="shared" si="14"/>
        <v>0</v>
      </c>
      <c r="P152" s="1036">
        <f t="shared" si="15"/>
        <v>0</v>
      </c>
      <c r="Q152" s="1053">
        <f t="shared" si="16"/>
        <v>0</v>
      </c>
      <c r="R152" s="712">
        <f t="shared" si="17"/>
        <v>0</v>
      </c>
    </row>
    <row r="153" spans="3:18" ht="15.75" x14ac:dyDescent="0.25">
      <c r="C153" s="695"/>
      <c r="D153" s="567"/>
      <c r="E153" s="713"/>
      <c r="F153" s="713"/>
      <c r="G153" s="713"/>
      <c r="H153" s="714"/>
      <c r="I153" s="714"/>
      <c r="J153" s="568">
        <f t="shared" si="12"/>
        <v>0</v>
      </c>
      <c r="K153" s="1051"/>
      <c r="L153" s="1051"/>
      <c r="M153" s="1051"/>
      <c r="N153" s="1036">
        <f t="shared" si="13"/>
        <v>0</v>
      </c>
      <c r="O153" s="1052">
        <f t="shared" si="14"/>
        <v>0</v>
      </c>
      <c r="P153" s="1036">
        <f t="shared" si="15"/>
        <v>0</v>
      </c>
      <c r="Q153" s="1053">
        <f t="shared" si="16"/>
        <v>0</v>
      </c>
      <c r="R153" s="712">
        <f t="shared" si="17"/>
        <v>0</v>
      </c>
    </row>
    <row r="154" spans="3:18" ht="15.75" x14ac:dyDescent="0.25">
      <c r="C154" s="695"/>
      <c r="D154" s="567"/>
      <c r="E154" s="713"/>
      <c r="F154" s="713"/>
      <c r="G154" s="713"/>
      <c r="H154" s="715"/>
      <c r="I154" s="715"/>
      <c r="J154" s="568">
        <f t="shared" ref="J154:J217" si="18">IFERROR(H154*I154,"")</f>
        <v>0</v>
      </c>
      <c r="K154" s="1051"/>
      <c r="L154" s="1051"/>
      <c r="M154" s="1051"/>
      <c r="N154" s="1036">
        <f t="shared" si="13"/>
        <v>0</v>
      </c>
      <c r="O154" s="1052">
        <f t="shared" si="14"/>
        <v>0</v>
      </c>
      <c r="P154" s="1036">
        <f t="shared" si="15"/>
        <v>0</v>
      </c>
      <c r="Q154" s="1053">
        <f t="shared" si="16"/>
        <v>0</v>
      </c>
      <c r="R154" s="712">
        <f t="shared" si="17"/>
        <v>0</v>
      </c>
    </row>
    <row r="155" spans="3:18" ht="15.75" x14ac:dyDescent="0.25">
      <c r="C155" s="695"/>
      <c r="D155" s="567"/>
      <c r="E155" s="713"/>
      <c r="F155" s="713"/>
      <c r="G155" s="713"/>
      <c r="H155" s="715"/>
      <c r="I155" s="715"/>
      <c r="J155" s="568">
        <f t="shared" si="18"/>
        <v>0</v>
      </c>
      <c r="K155" s="1051"/>
      <c r="L155" s="1051"/>
      <c r="M155" s="1051"/>
      <c r="N155" s="1036">
        <f t="shared" si="13"/>
        <v>0</v>
      </c>
      <c r="O155" s="1052">
        <f t="shared" si="14"/>
        <v>0</v>
      </c>
      <c r="P155" s="1036">
        <f t="shared" si="15"/>
        <v>0</v>
      </c>
      <c r="Q155" s="1053">
        <f t="shared" si="16"/>
        <v>0</v>
      </c>
      <c r="R155" s="712">
        <f t="shared" si="17"/>
        <v>0</v>
      </c>
    </row>
    <row r="156" spans="3:18" ht="15.75" x14ac:dyDescent="0.25">
      <c r="C156" s="695"/>
      <c r="D156" s="567"/>
      <c r="E156" s="713"/>
      <c r="F156" s="713"/>
      <c r="G156" s="713"/>
      <c r="H156" s="715"/>
      <c r="I156" s="715"/>
      <c r="J156" s="568">
        <f t="shared" si="18"/>
        <v>0</v>
      </c>
      <c r="K156" s="1051"/>
      <c r="L156" s="1051"/>
      <c r="M156" s="1051"/>
      <c r="N156" s="1036">
        <f t="shared" si="13"/>
        <v>0</v>
      </c>
      <c r="O156" s="1052">
        <f t="shared" si="14"/>
        <v>0</v>
      </c>
      <c r="P156" s="1036">
        <f t="shared" si="15"/>
        <v>0</v>
      </c>
      <c r="Q156" s="1053">
        <f t="shared" si="16"/>
        <v>0</v>
      </c>
      <c r="R156" s="712">
        <f t="shared" si="17"/>
        <v>0</v>
      </c>
    </row>
    <row r="157" spans="3:18" ht="15.75" x14ac:dyDescent="0.25">
      <c r="C157" s="695"/>
      <c r="D157" s="567"/>
      <c r="E157" s="713"/>
      <c r="F157" s="713"/>
      <c r="G157" s="713"/>
      <c r="H157" s="714"/>
      <c r="I157" s="714"/>
      <c r="J157" s="568">
        <f t="shared" si="18"/>
        <v>0</v>
      </c>
      <c r="K157" s="1051"/>
      <c r="L157" s="1051"/>
      <c r="M157" s="1051"/>
      <c r="N157" s="1036">
        <f t="shared" si="13"/>
        <v>0</v>
      </c>
      <c r="O157" s="1052">
        <f t="shared" si="14"/>
        <v>0</v>
      </c>
      <c r="P157" s="1036">
        <f t="shared" si="15"/>
        <v>0</v>
      </c>
      <c r="Q157" s="1053">
        <f t="shared" si="16"/>
        <v>0</v>
      </c>
      <c r="R157" s="712">
        <f t="shared" si="17"/>
        <v>0</v>
      </c>
    </row>
    <row r="158" spans="3:18" ht="15.75" x14ac:dyDescent="0.25">
      <c r="C158" s="695"/>
      <c r="D158" s="567"/>
      <c r="E158" s="713"/>
      <c r="F158" s="713"/>
      <c r="G158" s="713"/>
      <c r="H158" s="714"/>
      <c r="I158" s="714"/>
      <c r="J158" s="568">
        <f t="shared" si="18"/>
        <v>0</v>
      </c>
      <c r="K158" s="1051"/>
      <c r="L158" s="1051"/>
      <c r="M158" s="1051"/>
      <c r="N158" s="1036">
        <f t="shared" si="13"/>
        <v>0</v>
      </c>
      <c r="O158" s="1052">
        <f t="shared" si="14"/>
        <v>0</v>
      </c>
      <c r="P158" s="1036">
        <f t="shared" si="15"/>
        <v>0</v>
      </c>
      <c r="Q158" s="1053">
        <f t="shared" si="16"/>
        <v>0</v>
      </c>
      <c r="R158" s="712">
        <f t="shared" si="17"/>
        <v>0</v>
      </c>
    </row>
    <row r="159" spans="3:18" ht="15.75" x14ac:dyDescent="0.25">
      <c r="C159" s="695"/>
      <c r="D159" s="567"/>
      <c r="E159" s="713"/>
      <c r="F159" s="713"/>
      <c r="G159" s="713"/>
      <c r="H159" s="715"/>
      <c r="I159" s="715"/>
      <c r="J159" s="568">
        <f t="shared" si="18"/>
        <v>0</v>
      </c>
      <c r="K159" s="1051"/>
      <c r="L159" s="1051"/>
      <c r="M159" s="1051"/>
      <c r="N159" s="1036">
        <f t="shared" si="13"/>
        <v>0</v>
      </c>
      <c r="O159" s="1052">
        <f t="shared" si="14"/>
        <v>0</v>
      </c>
      <c r="P159" s="1036">
        <f t="shared" si="15"/>
        <v>0</v>
      </c>
      <c r="Q159" s="1053">
        <f t="shared" si="16"/>
        <v>0</v>
      </c>
      <c r="R159" s="712">
        <f t="shared" si="17"/>
        <v>0</v>
      </c>
    </row>
    <row r="160" spans="3:18" ht="15.75" x14ac:dyDescent="0.25">
      <c r="C160" s="695"/>
      <c r="D160" s="567"/>
      <c r="E160" s="713"/>
      <c r="F160" s="713"/>
      <c r="G160" s="713"/>
      <c r="H160" s="715"/>
      <c r="I160" s="715"/>
      <c r="J160" s="568">
        <f t="shared" si="18"/>
        <v>0</v>
      </c>
      <c r="K160" s="1051"/>
      <c r="L160" s="1051"/>
      <c r="M160" s="1051"/>
      <c r="N160" s="1036">
        <f t="shared" si="13"/>
        <v>0</v>
      </c>
      <c r="O160" s="1052">
        <f t="shared" si="14"/>
        <v>0</v>
      </c>
      <c r="P160" s="1036">
        <f t="shared" si="15"/>
        <v>0</v>
      </c>
      <c r="Q160" s="1053">
        <f t="shared" si="16"/>
        <v>0</v>
      </c>
      <c r="R160" s="712">
        <f t="shared" si="17"/>
        <v>0</v>
      </c>
    </row>
    <row r="161" spans="3:18" ht="15.75" x14ac:dyDescent="0.25">
      <c r="C161" s="695"/>
      <c r="D161" s="567"/>
      <c r="E161" s="713"/>
      <c r="F161" s="713"/>
      <c r="G161" s="713"/>
      <c r="H161" s="715"/>
      <c r="I161" s="715"/>
      <c r="J161" s="568">
        <f t="shared" si="18"/>
        <v>0</v>
      </c>
      <c r="K161" s="1051"/>
      <c r="L161" s="1051"/>
      <c r="M161" s="1051"/>
      <c r="N161" s="1036">
        <f t="shared" si="13"/>
        <v>0</v>
      </c>
      <c r="O161" s="1052">
        <f t="shared" si="14"/>
        <v>0</v>
      </c>
      <c r="P161" s="1036">
        <f t="shared" si="15"/>
        <v>0</v>
      </c>
      <c r="Q161" s="1053">
        <f t="shared" si="16"/>
        <v>0</v>
      </c>
      <c r="R161" s="712">
        <f t="shared" si="17"/>
        <v>0</v>
      </c>
    </row>
    <row r="162" spans="3:18" ht="15.75" x14ac:dyDescent="0.25">
      <c r="C162" s="695"/>
      <c r="D162" s="567"/>
      <c r="E162" s="713"/>
      <c r="F162" s="713"/>
      <c r="G162" s="713"/>
      <c r="H162" s="714"/>
      <c r="I162" s="714"/>
      <c r="J162" s="568">
        <f t="shared" si="18"/>
        <v>0</v>
      </c>
      <c r="K162" s="1051"/>
      <c r="L162" s="1051"/>
      <c r="M162" s="1051"/>
      <c r="N162" s="1036">
        <f t="shared" si="13"/>
        <v>0</v>
      </c>
      <c r="O162" s="1052">
        <f t="shared" si="14"/>
        <v>0</v>
      </c>
      <c r="P162" s="1036">
        <f t="shared" si="15"/>
        <v>0</v>
      </c>
      <c r="Q162" s="1053">
        <f t="shared" si="16"/>
        <v>0</v>
      </c>
      <c r="R162" s="712">
        <f t="shared" si="17"/>
        <v>0</v>
      </c>
    </row>
    <row r="163" spans="3:18" ht="15.75" x14ac:dyDescent="0.25">
      <c r="C163" s="695"/>
      <c r="D163" s="567"/>
      <c r="E163" s="713"/>
      <c r="F163" s="713"/>
      <c r="G163" s="713"/>
      <c r="H163" s="715"/>
      <c r="I163" s="715"/>
      <c r="J163" s="568">
        <f t="shared" si="18"/>
        <v>0</v>
      </c>
      <c r="K163" s="1051"/>
      <c r="L163" s="1051"/>
      <c r="M163" s="1051"/>
      <c r="N163" s="1036">
        <f t="shared" si="13"/>
        <v>0</v>
      </c>
      <c r="O163" s="1052">
        <f t="shared" si="14"/>
        <v>0</v>
      </c>
      <c r="P163" s="1036">
        <f t="shared" si="15"/>
        <v>0</v>
      </c>
      <c r="Q163" s="1053">
        <f t="shared" si="16"/>
        <v>0</v>
      </c>
      <c r="R163" s="712">
        <f t="shared" si="17"/>
        <v>0</v>
      </c>
    </row>
    <row r="164" spans="3:18" ht="15.75" x14ac:dyDescent="0.25">
      <c r="C164" s="695"/>
      <c r="D164" s="567"/>
      <c r="E164" s="713"/>
      <c r="F164" s="713"/>
      <c r="G164" s="713"/>
      <c r="H164" s="715"/>
      <c r="I164" s="715"/>
      <c r="J164" s="568">
        <f t="shared" si="18"/>
        <v>0</v>
      </c>
      <c r="K164" s="1051"/>
      <c r="L164" s="1051"/>
      <c r="M164" s="1051"/>
      <c r="N164" s="1036">
        <f t="shared" si="13"/>
        <v>0</v>
      </c>
      <c r="O164" s="1052">
        <f t="shared" si="14"/>
        <v>0</v>
      </c>
      <c r="P164" s="1036">
        <f t="shared" si="15"/>
        <v>0</v>
      </c>
      <c r="Q164" s="1053">
        <f t="shared" si="16"/>
        <v>0</v>
      </c>
      <c r="R164" s="712">
        <f t="shared" si="17"/>
        <v>0</v>
      </c>
    </row>
    <row r="165" spans="3:18" ht="15.75" x14ac:dyDescent="0.25">
      <c r="C165" s="695"/>
      <c r="D165" s="567"/>
      <c r="E165" s="713"/>
      <c r="F165" s="713"/>
      <c r="G165" s="713"/>
      <c r="H165" s="715"/>
      <c r="I165" s="715"/>
      <c r="J165" s="568">
        <f t="shared" si="18"/>
        <v>0</v>
      </c>
      <c r="K165" s="1051"/>
      <c r="L165" s="1051"/>
      <c r="M165" s="1051"/>
      <c r="N165" s="1036">
        <f t="shared" si="13"/>
        <v>0</v>
      </c>
      <c r="O165" s="1052">
        <f t="shared" si="14"/>
        <v>0</v>
      </c>
      <c r="P165" s="1036">
        <f t="shared" si="15"/>
        <v>0</v>
      </c>
      <c r="Q165" s="1053">
        <f t="shared" si="16"/>
        <v>0</v>
      </c>
      <c r="R165" s="712">
        <f t="shared" si="17"/>
        <v>0</v>
      </c>
    </row>
    <row r="166" spans="3:18" ht="15.75" x14ac:dyDescent="0.25">
      <c r="C166" s="695"/>
      <c r="D166" s="567"/>
      <c r="E166" s="713"/>
      <c r="F166" s="713"/>
      <c r="G166" s="713"/>
      <c r="H166" s="714"/>
      <c r="I166" s="714"/>
      <c r="J166" s="568">
        <f t="shared" si="18"/>
        <v>0</v>
      </c>
      <c r="K166" s="1051"/>
      <c r="L166" s="1051"/>
      <c r="M166" s="1051"/>
      <c r="N166" s="1036">
        <f t="shared" si="13"/>
        <v>0</v>
      </c>
      <c r="O166" s="1052">
        <f t="shared" si="14"/>
        <v>0</v>
      </c>
      <c r="P166" s="1036">
        <f t="shared" si="15"/>
        <v>0</v>
      </c>
      <c r="Q166" s="1053">
        <f t="shared" si="16"/>
        <v>0</v>
      </c>
      <c r="R166" s="712">
        <f t="shared" si="17"/>
        <v>0</v>
      </c>
    </row>
    <row r="167" spans="3:18" ht="15.75" x14ac:dyDescent="0.25">
      <c r="C167" s="695"/>
      <c r="D167" s="567"/>
      <c r="E167" s="713"/>
      <c r="F167" s="713"/>
      <c r="G167" s="713"/>
      <c r="H167" s="715"/>
      <c r="I167" s="715"/>
      <c r="J167" s="568">
        <f t="shared" si="18"/>
        <v>0</v>
      </c>
      <c r="K167" s="1051"/>
      <c r="L167" s="1051"/>
      <c r="M167" s="1051"/>
      <c r="N167" s="1036">
        <f t="shared" si="13"/>
        <v>0</v>
      </c>
      <c r="O167" s="1052">
        <f t="shared" si="14"/>
        <v>0</v>
      </c>
      <c r="P167" s="1036">
        <f t="shared" si="15"/>
        <v>0</v>
      </c>
      <c r="Q167" s="1053">
        <f t="shared" si="16"/>
        <v>0</v>
      </c>
      <c r="R167" s="712">
        <f t="shared" si="17"/>
        <v>0</v>
      </c>
    </row>
    <row r="168" spans="3:18" ht="15.75" x14ac:dyDescent="0.25">
      <c r="C168" s="695"/>
      <c r="D168" s="567"/>
      <c r="E168" s="713"/>
      <c r="F168" s="713"/>
      <c r="G168" s="713"/>
      <c r="H168" s="715"/>
      <c r="I168" s="715"/>
      <c r="J168" s="568">
        <f t="shared" si="18"/>
        <v>0</v>
      </c>
      <c r="K168" s="1051"/>
      <c r="L168" s="1051"/>
      <c r="M168" s="1051"/>
      <c r="N168" s="1036">
        <f t="shared" si="13"/>
        <v>0</v>
      </c>
      <c r="O168" s="1052">
        <f t="shared" si="14"/>
        <v>0</v>
      </c>
      <c r="P168" s="1036">
        <f t="shared" si="15"/>
        <v>0</v>
      </c>
      <c r="Q168" s="1053">
        <f t="shared" si="16"/>
        <v>0</v>
      </c>
      <c r="R168" s="712">
        <f t="shared" si="17"/>
        <v>0</v>
      </c>
    </row>
    <row r="169" spans="3:18" ht="15.75" x14ac:dyDescent="0.25">
      <c r="C169" s="695"/>
      <c r="D169" s="567"/>
      <c r="E169" s="713"/>
      <c r="F169" s="713"/>
      <c r="G169" s="713"/>
      <c r="H169" s="715"/>
      <c r="I169" s="715"/>
      <c r="J169" s="568">
        <f t="shared" si="18"/>
        <v>0</v>
      </c>
      <c r="K169" s="1051"/>
      <c r="L169" s="1051"/>
      <c r="M169" s="1051"/>
      <c r="N169" s="1036">
        <f t="shared" si="13"/>
        <v>0</v>
      </c>
      <c r="O169" s="1052">
        <f t="shared" si="14"/>
        <v>0</v>
      </c>
      <c r="P169" s="1036">
        <f t="shared" si="15"/>
        <v>0</v>
      </c>
      <c r="Q169" s="1053">
        <f t="shared" si="16"/>
        <v>0</v>
      </c>
      <c r="R169" s="712">
        <f t="shared" si="17"/>
        <v>0</v>
      </c>
    </row>
    <row r="170" spans="3:18" ht="15.75" x14ac:dyDescent="0.25">
      <c r="C170" s="695"/>
      <c r="D170" s="567"/>
      <c r="E170" s="713"/>
      <c r="F170" s="713"/>
      <c r="G170" s="713"/>
      <c r="H170" s="714"/>
      <c r="I170" s="714"/>
      <c r="J170" s="568">
        <f t="shared" si="18"/>
        <v>0</v>
      </c>
      <c r="K170" s="1051"/>
      <c r="L170" s="1051"/>
      <c r="M170" s="1051"/>
      <c r="N170" s="1036">
        <f t="shared" si="13"/>
        <v>0</v>
      </c>
      <c r="O170" s="1052">
        <f t="shared" si="14"/>
        <v>0</v>
      </c>
      <c r="P170" s="1036">
        <f t="shared" si="15"/>
        <v>0</v>
      </c>
      <c r="Q170" s="1053">
        <f t="shared" si="16"/>
        <v>0</v>
      </c>
      <c r="R170" s="712">
        <f t="shared" si="17"/>
        <v>0</v>
      </c>
    </row>
    <row r="171" spans="3:18" ht="15.75" x14ac:dyDescent="0.25">
      <c r="C171" s="695"/>
      <c r="D171" s="567"/>
      <c r="E171" s="713"/>
      <c r="F171" s="713"/>
      <c r="G171" s="713"/>
      <c r="H171" s="715"/>
      <c r="I171" s="715"/>
      <c r="J171" s="568">
        <f t="shared" si="18"/>
        <v>0</v>
      </c>
      <c r="K171" s="1051"/>
      <c r="L171" s="1051"/>
      <c r="M171" s="1051"/>
      <c r="N171" s="1036">
        <f t="shared" si="13"/>
        <v>0</v>
      </c>
      <c r="O171" s="1052">
        <f t="shared" si="14"/>
        <v>0</v>
      </c>
      <c r="P171" s="1036">
        <f t="shared" si="15"/>
        <v>0</v>
      </c>
      <c r="Q171" s="1053">
        <f t="shared" si="16"/>
        <v>0</v>
      </c>
      <c r="R171" s="712">
        <f t="shared" si="17"/>
        <v>0</v>
      </c>
    </row>
    <row r="172" spans="3:18" ht="15.75" x14ac:dyDescent="0.25">
      <c r="C172" s="695"/>
      <c r="D172" s="567"/>
      <c r="E172" s="713"/>
      <c r="F172" s="713"/>
      <c r="G172" s="713"/>
      <c r="H172" s="715"/>
      <c r="I172" s="715"/>
      <c r="J172" s="568">
        <f t="shared" si="18"/>
        <v>0</v>
      </c>
      <c r="K172" s="1051"/>
      <c r="L172" s="1051"/>
      <c r="M172" s="1051"/>
      <c r="N172" s="1036">
        <f t="shared" si="13"/>
        <v>0</v>
      </c>
      <c r="O172" s="1052">
        <f t="shared" si="14"/>
        <v>0</v>
      </c>
      <c r="P172" s="1036">
        <f t="shared" si="15"/>
        <v>0</v>
      </c>
      <c r="Q172" s="1053">
        <f t="shared" si="16"/>
        <v>0</v>
      </c>
      <c r="R172" s="712">
        <f t="shared" si="17"/>
        <v>0</v>
      </c>
    </row>
    <row r="173" spans="3:18" ht="15.75" x14ac:dyDescent="0.25">
      <c r="C173" s="695"/>
      <c r="D173" s="567"/>
      <c r="E173" s="713"/>
      <c r="F173" s="713"/>
      <c r="G173" s="713"/>
      <c r="H173" s="715"/>
      <c r="I173" s="715"/>
      <c r="J173" s="568">
        <f t="shared" si="18"/>
        <v>0</v>
      </c>
      <c r="K173" s="1051"/>
      <c r="L173" s="1051"/>
      <c r="M173" s="1051"/>
      <c r="N173" s="1036">
        <f t="shared" si="13"/>
        <v>0</v>
      </c>
      <c r="O173" s="1052">
        <f t="shared" si="14"/>
        <v>0</v>
      </c>
      <c r="P173" s="1036">
        <f t="shared" si="15"/>
        <v>0</v>
      </c>
      <c r="Q173" s="1053">
        <f t="shared" si="16"/>
        <v>0</v>
      </c>
      <c r="R173" s="712">
        <f t="shared" si="17"/>
        <v>0</v>
      </c>
    </row>
    <row r="174" spans="3:18" ht="15.75" x14ac:dyDescent="0.25">
      <c r="C174" s="695"/>
      <c r="D174" s="567"/>
      <c r="E174" s="713"/>
      <c r="F174" s="713"/>
      <c r="G174" s="713"/>
      <c r="H174" s="714"/>
      <c r="I174" s="714"/>
      <c r="J174" s="568">
        <f t="shared" si="18"/>
        <v>0</v>
      </c>
      <c r="K174" s="1051"/>
      <c r="L174" s="1051"/>
      <c r="M174" s="1051"/>
      <c r="N174" s="1036">
        <f t="shared" si="13"/>
        <v>0</v>
      </c>
      <c r="O174" s="1052">
        <f t="shared" si="14"/>
        <v>0</v>
      </c>
      <c r="P174" s="1036">
        <f t="shared" si="15"/>
        <v>0</v>
      </c>
      <c r="Q174" s="1053">
        <f t="shared" si="16"/>
        <v>0</v>
      </c>
      <c r="R174" s="712">
        <f t="shared" si="17"/>
        <v>0</v>
      </c>
    </row>
    <row r="175" spans="3:18" ht="15.75" x14ac:dyDescent="0.25">
      <c r="C175" s="695"/>
      <c r="D175" s="567"/>
      <c r="E175" s="713"/>
      <c r="F175" s="713"/>
      <c r="G175" s="713"/>
      <c r="H175" s="715"/>
      <c r="I175" s="715"/>
      <c r="J175" s="568">
        <f t="shared" si="18"/>
        <v>0</v>
      </c>
      <c r="K175" s="1051"/>
      <c r="L175" s="1051"/>
      <c r="M175" s="1051"/>
      <c r="N175" s="1036">
        <f t="shared" si="13"/>
        <v>0</v>
      </c>
      <c r="O175" s="1052">
        <f t="shared" si="14"/>
        <v>0</v>
      </c>
      <c r="P175" s="1036">
        <f t="shared" si="15"/>
        <v>0</v>
      </c>
      <c r="Q175" s="1053">
        <f t="shared" si="16"/>
        <v>0</v>
      </c>
      <c r="R175" s="712">
        <f t="shared" si="17"/>
        <v>0</v>
      </c>
    </row>
    <row r="176" spans="3:18" ht="15.75" x14ac:dyDescent="0.25">
      <c r="C176" s="695"/>
      <c r="D176" s="567"/>
      <c r="E176" s="713"/>
      <c r="F176" s="713"/>
      <c r="G176" s="713"/>
      <c r="H176" s="715"/>
      <c r="I176" s="715"/>
      <c r="J176" s="568">
        <f t="shared" si="18"/>
        <v>0</v>
      </c>
      <c r="K176" s="1051"/>
      <c r="L176" s="1051"/>
      <c r="M176" s="1051"/>
      <c r="N176" s="1036">
        <f t="shared" si="13"/>
        <v>0</v>
      </c>
      <c r="O176" s="1052">
        <f t="shared" si="14"/>
        <v>0</v>
      </c>
      <c r="P176" s="1036">
        <f t="shared" si="15"/>
        <v>0</v>
      </c>
      <c r="Q176" s="1053">
        <f t="shared" si="16"/>
        <v>0</v>
      </c>
      <c r="R176" s="712">
        <f t="shared" si="17"/>
        <v>0</v>
      </c>
    </row>
    <row r="177" spans="3:18" ht="15.75" x14ac:dyDescent="0.25">
      <c r="C177" s="695"/>
      <c r="D177" s="567"/>
      <c r="E177" s="713"/>
      <c r="F177" s="713"/>
      <c r="G177" s="713"/>
      <c r="H177" s="715"/>
      <c r="I177" s="715"/>
      <c r="J177" s="568">
        <f t="shared" si="18"/>
        <v>0</v>
      </c>
      <c r="K177" s="1051"/>
      <c r="L177" s="1051"/>
      <c r="M177" s="1051"/>
      <c r="N177" s="1036">
        <f t="shared" si="13"/>
        <v>0</v>
      </c>
      <c r="O177" s="1052">
        <f t="shared" si="14"/>
        <v>0</v>
      </c>
      <c r="P177" s="1036">
        <f t="shared" si="15"/>
        <v>0</v>
      </c>
      <c r="Q177" s="1053">
        <f t="shared" si="16"/>
        <v>0</v>
      </c>
      <c r="R177" s="712">
        <f t="shared" si="17"/>
        <v>0</v>
      </c>
    </row>
    <row r="178" spans="3:18" ht="15.75" x14ac:dyDescent="0.25">
      <c r="C178" s="695"/>
      <c r="D178" s="567"/>
      <c r="E178" s="713"/>
      <c r="F178" s="713"/>
      <c r="G178" s="713"/>
      <c r="H178" s="714"/>
      <c r="I178" s="714"/>
      <c r="J178" s="568">
        <f t="shared" si="18"/>
        <v>0</v>
      </c>
      <c r="K178" s="1051"/>
      <c r="L178" s="1051"/>
      <c r="M178" s="1051"/>
      <c r="N178" s="1036">
        <f t="shared" si="13"/>
        <v>0</v>
      </c>
      <c r="O178" s="1052">
        <f t="shared" si="14"/>
        <v>0</v>
      </c>
      <c r="P178" s="1036">
        <f t="shared" si="15"/>
        <v>0</v>
      </c>
      <c r="Q178" s="1053">
        <f t="shared" si="16"/>
        <v>0</v>
      </c>
      <c r="R178" s="712">
        <f t="shared" si="17"/>
        <v>0</v>
      </c>
    </row>
    <row r="179" spans="3:18" ht="15.75" x14ac:dyDescent="0.25">
      <c r="C179" s="695"/>
      <c r="D179" s="567"/>
      <c r="E179" s="713"/>
      <c r="F179" s="713"/>
      <c r="G179" s="713"/>
      <c r="H179" s="715"/>
      <c r="I179" s="715"/>
      <c r="J179" s="568">
        <f t="shared" si="18"/>
        <v>0</v>
      </c>
      <c r="K179" s="1051"/>
      <c r="L179" s="1051"/>
      <c r="M179" s="1051"/>
      <c r="N179" s="1036">
        <f t="shared" si="13"/>
        <v>0</v>
      </c>
      <c r="O179" s="1052">
        <f t="shared" si="14"/>
        <v>0</v>
      </c>
      <c r="P179" s="1036">
        <f t="shared" si="15"/>
        <v>0</v>
      </c>
      <c r="Q179" s="1053">
        <f t="shared" si="16"/>
        <v>0</v>
      </c>
      <c r="R179" s="712">
        <f t="shared" si="17"/>
        <v>0</v>
      </c>
    </row>
    <row r="180" spans="3:18" ht="15.75" x14ac:dyDescent="0.25">
      <c r="C180" s="695"/>
      <c r="D180" s="567"/>
      <c r="E180" s="713"/>
      <c r="F180" s="713"/>
      <c r="G180" s="713"/>
      <c r="H180" s="715"/>
      <c r="I180" s="715"/>
      <c r="J180" s="568">
        <f t="shared" si="18"/>
        <v>0</v>
      </c>
      <c r="K180" s="1051"/>
      <c r="L180" s="1051"/>
      <c r="M180" s="1051"/>
      <c r="N180" s="1036">
        <f t="shared" si="13"/>
        <v>0</v>
      </c>
      <c r="O180" s="1052">
        <f t="shared" si="14"/>
        <v>0</v>
      </c>
      <c r="P180" s="1036">
        <f t="shared" si="15"/>
        <v>0</v>
      </c>
      <c r="Q180" s="1053">
        <f t="shared" si="16"/>
        <v>0</v>
      </c>
      <c r="R180" s="712">
        <f t="shared" si="17"/>
        <v>0</v>
      </c>
    </row>
    <row r="181" spans="3:18" ht="15.75" x14ac:dyDescent="0.25">
      <c r="C181" s="695"/>
      <c r="D181" s="567"/>
      <c r="E181" s="713"/>
      <c r="F181" s="713"/>
      <c r="G181" s="713"/>
      <c r="H181" s="715"/>
      <c r="I181" s="715"/>
      <c r="J181" s="568">
        <f t="shared" si="18"/>
        <v>0</v>
      </c>
      <c r="K181" s="1051"/>
      <c r="L181" s="1051"/>
      <c r="M181" s="1051"/>
      <c r="N181" s="1036">
        <f t="shared" si="13"/>
        <v>0</v>
      </c>
      <c r="O181" s="1052">
        <f t="shared" si="14"/>
        <v>0</v>
      </c>
      <c r="P181" s="1036">
        <f t="shared" si="15"/>
        <v>0</v>
      </c>
      <c r="Q181" s="1053">
        <f t="shared" si="16"/>
        <v>0</v>
      </c>
      <c r="R181" s="712">
        <f t="shared" si="17"/>
        <v>0</v>
      </c>
    </row>
    <row r="182" spans="3:18" ht="15.75" x14ac:dyDescent="0.25">
      <c r="C182" s="695"/>
      <c r="D182" s="567"/>
      <c r="E182" s="713"/>
      <c r="F182" s="713"/>
      <c r="G182" s="713"/>
      <c r="H182" s="714"/>
      <c r="I182" s="714"/>
      <c r="J182" s="568">
        <f t="shared" si="18"/>
        <v>0</v>
      </c>
      <c r="K182" s="1051"/>
      <c r="L182" s="1051"/>
      <c r="M182" s="1051"/>
      <c r="N182" s="1036">
        <f t="shared" si="13"/>
        <v>0</v>
      </c>
      <c r="O182" s="1052">
        <f t="shared" si="14"/>
        <v>0</v>
      </c>
      <c r="P182" s="1036">
        <f t="shared" si="15"/>
        <v>0</v>
      </c>
      <c r="Q182" s="1053">
        <f t="shared" si="16"/>
        <v>0</v>
      </c>
      <c r="R182" s="712">
        <f t="shared" si="17"/>
        <v>0</v>
      </c>
    </row>
    <row r="183" spans="3:18" ht="15.75" x14ac:dyDescent="0.25">
      <c r="C183" s="695"/>
      <c r="D183" s="567"/>
      <c r="E183" s="713"/>
      <c r="F183" s="713"/>
      <c r="G183" s="713"/>
      <c r="H183" s="715"/>
      <c r="I183" s="715"/>
      <c r="J183" s="568">
        <f t="shared" si="18"/>
        <v>0</v>
      </c>
      <c r="K183" s="1051"/>
      <c r="L183" s="1051"/>
      <c r="M183" s="1051"/>
      <c r="N183" s="1036">
        <f t="shared" si="13"/>
        <v>0</v>
      </c>
      <c r="O183" s="1052">
        <f t="shared" si="14"/>
        <v>0</v>
      </c>
      <c r="P183" s="1036">
        <f t="shared" si="15"/>
        <v>0</v>
      </c>
      <c r="Q183" s="1053">
        <f t="shared" si="16"/>
        <v>0</v>
      </c>
      <c r="R183" s="712">
        <f t="shared" si="17"/>
        <v>0</v>
      </c>
    </row>
    <row r="184" spans="3:18" ht="15.75" x14ac:dyDescent="0.25">
      <c r="C184" s="695"/>
      <c r="D184" s="567"/>
      <c r="E184" s="713"/>
      <c r="F184" s="713"/>
      <c r="G184" s="713"/>
      <c r="H184" s="715"/>
      <c r="I184" s="715"/>
      <c r="J184" s="568">
        <f t="shared" si="18"/>
        <v>0</v>
      </c>
      <c r="K184" s="1051"/>
      <c r="L184" s="1051"/>
      <c r="M184" s="1051"/>
      <c r="N184" s="1036">
        <f t="shared" si="13"/>
        <v>0</v>
      </c>
      <c r="O184" s="1052">
        <f t="shared" si="14"/>
        <v>0</v>
      </c>
      <c r="P184" s="1036">
        <f t="shared" si="15"/>
        <v>0</v>
      </c>
      <c r="Q184" s="1053">
        <f t="shared" si="16"/>
        <v>0</v>
      </c>
      <c r="R184" s="712">
        <f t="shared" si="17"/>
        <v>0</v>
      </c>
    </row>
    <row r="185" spans="3:18" ht="15.75" x14ac:dyDescent="0.25">
      <c r="C185" s="695"/>
      <c r="D185" s="567"/>
      <c r="E185" s="713"/>
      <c r="F185" s="713"/>
      <c r="G185" s="713"/>
      <c r="H185" s="715"/>
      <c r="I185" s="715"/>
      <c r="J185" s="568">
        <f t="shared" si="18"/>
        <v>0</v>
      </c>
      <c r="K185" s="1051"/>
      <c r="L185" s="1051"/>
      <c r="M185" s="1051"/>
      <c r="N185" s="1036">
        <f t="shared" si="13"/>
        <v>0</v>
      </c>
      <c r="O185" s="1052">
        <f t="shared" si="14"/>
        <v>0</v>
      </c>
      <c r="P185" s="1036">
        <f t="shared" si="15"/>
        <v>0</v>
      </c>
      <c r="Q185" s="1053">
        <f t="shared" si="16"/>
        <v>0</v>
      </c>
      <c r="R185" s="712">
        <f t="shared" si="17"/>
        <v>0</v>
      </c>
    </row>
    <row r="186" spans="3:18" ht="15.75" x14ac:dyDescent="0.25">
      <c r="C186" s="695"/>
      <c r="D186" s="567"/>
      <c r="E186" s="713"/>
      <c r="F186" s="713"/>
      <c r="G186" s="713"/>
      <c r="H186" s="714"/>
      <c r="I186" s="714"/>
      <c r="J186" s="568">
        <f t="shared" si="18"/>
        <v>0</v>
      </c>
      <c r="K186" s="1051"/>
      <c r="L186" s="1051"/>
      <c r="M186" s="1051"/>
      <c r="N186" s="1036">
        <f t="shared" si="13"/>
        <v>0</v>
      </c>
      <c r="O186" s="1052">
        <f t="shared" si="14"/>
        <v>0</v>
      </c>
      <c r="P186" s="1036">
        <f t="shared" si="15"/>
        <v>0</v>
      </c>
      <c r="Q186" s="1053">
        <f t="shared" si="16"/>
        <v>0</v>
      </c>
      <c r="R186" s="712">
        <f t="shared" si="17"/>
        <v>0</v>
      </c>
    </row>
    <row r="187" spans="3:18" ht="15.75" x14ac:dyDescent="0.25">
      <c r="C187" s="695"/>
      <c r="D187" s="567"/>
      <c r="E187" s="713"/>
      <c r="F187" s="713"/>
      <c r="G187" s="713"/>
      <c r="H187" s="715"/>
      <c r="I187" s="715"/>
      <c r="J187" s="568">
        <f t="shared" si="18"/>
        <v>0</v>
      </c>
      <c r="K187" s="1051"/>
      <c r="L187" s="1051"/>
      <c r="M187" s="1051"/>
      <c r="N187" s="1036">
        <f t="shared" si="13"/>
        <v>0</v>
      </c>
      <c r="O187" s="1052">
        <f t="shared" si="14"/>
        <v>0</v>
      </c>
      <c r="P187" s="1036">
        <f t="shared" si="15"/>
        <v>0</v>
      </c>
      <c r="Q187" s="1053">
        <f t="shared" si="16"/>
        <v>0</v>
      </c>
      <c r="R187" s="712">
        <f t="shared" si="17"/>
        <v>0</v>
      </c>
    </row>
    <row r="188" spans="3:18" ht="15.75" x14ac:dyDescent="0.25">
      <c r="C188" s="695"/>
      <c r="D188" s="567"/>
      <c r="E188" s="713"/>
      <c r="F188" s="713"/>
      <c r="G188" s="713"/>
      <c r="H188" s="715"/>
      <c r="I188" s="715"/>
      <c r="J188" s="568">
        <f t="shared" si="18"/>
        <v>0</v>
      </c>
      <c r="K188" s="1051"/>
      <c r="L188" s="1051"/>
      <c r="M188" s="1051"/>
      <c r="N188" s="1036">
        <f t="shared" si="13"/>
        <v>0</v>
      </c>
      <c r="O188" s="1052">
        <f t="shared" si="14"/>
        <v>0</v>
      </c>
      <c r="P188" s="1036">
        <f t="shared" si="15"/>
        <v>0</v>
      </c>
      <c r="Q188" s="1053">
        <f t="shared" si="16"/>
        <v>0</v>
      </c>
      <c r="R188" s="712">
        <f t="shared" si="17"/>
        <v>0</v>
      </c>
    </row>
    <row r="189" spans="3:18" ht="15.75" x14ac:dyDescent="0.25">
      <c r="C189" s="695"/>
      <c r="D189" s="567"/>
      <c r="E189" s="713"/>
      <c r="F189" s="713"/>
      <c r="G189" s="713"/>
      <c r="H189" s="715"/>
      <c r="I189" s="715"/>
      <c r="J189" s="568">
        <f t="shared" si="18"/>
        <v>0</v>
      </c>
      <c r="K189" s="1051"/>
      <c r="L189" s="1051"/>
      <c r="M189" s="1051"/>
      <c r="N189" s="1036">
        <f t="shared" si="13"/>
        <v>0</v>
      </c>
      <c r="O189" s="1052">
        <f t="shared" si="14"/>
        <v>0</v>
      </c>
      <c r="P189" s="1036">
        <f t="shared" si="15"/>
        <v>0</v>
      </c>
      <c r="Q189" s="1053">
        <f t="shared" si="16"/>
        <v>0</v>
      </c>
      <c r="R189" s="712">
        <f t="shared" si="17"/>
        <v>0</v>
      </c>
    </row>
    <row r="190" spans="3:18" ht="15.75" x14ac:dyDescent="0.25">
      <c r="C190" s="695"/>
      <c r="D190" s="567"/>
      <c r="E190" s="713"/>
      <c r="F190" s="713"/>
      <c r="G190" s="713"/>
      <c r="H190" s="714"/>
      <c r="I190" s="714"/>
      <c r="J190" s="568">
        <f t="shared" si="18"/>
        <v>0</v>
      </c>
      <c r="K190" s="1051"/>
      <c r="L190" s="1051"/>
      <c r="M190" s="1051"/>
      <c r="N190" s="1036">
        <f t="shared" si="13"/>
        <v>0</v>
      </c>
      <c r="O190" s="1052">
        <f t="shared" si="14"/>
        <v>0</v>
      </c>
      <c r="P190" s="1036">
        <f t="shared" si="15"/>
        <v>0</v>
      </c>
      <c r="Q190" s="1053">
        <f t="shared" si="16"/>
        <v>0</v>
      </c>
      <c r="R190" s="712">
        <f t="shared" si="17"/>
        <v>0</v>
      </c>
    </row>
    <row r="191" spans="3:18" ht="15.75" x14ac:dyDescent="0.25">
      <c r="C191" s="695"/>
      <c r="D191" s="567"/>
      <c r="E191" s="713"/>
      <c r="F191" s="713"/>
      <c r="G191" s="713"/>
      <c r="H191" s="715"/>
      <c r="I191" s="715"/>
      <c r="J191" s="568">
        <f t="shared" si="18"/>
        <v>0</v>
      </c>
      <c r="K191" s="1051"/>
      <c r="L191" s="1051"/>
      <c r="M191" s="1051"/>
      <c r="N191" s="1036">
        <f t="shared" si="13"/>
        <v>0</v>
      </c>
      <c r="O191" s="1052">
        <f t="shared" si="14"/>
        <v>0</v>
      </c>
      <c r="P191" s="1036">
        <f t="shared" si="15"/>
        <v>0</v>
      </c>
      <c r="Q191" s="1053">
        <f t="shared" si="16"/>
        <v>0</v>
      </c>
      <c r="R191" s="712">
        <f t="shared" si="17"/>
        <v>0</v>
      </c>
    </row>
    <row r="192" spans="3:18" ht="15.75" x14ac:dyDescent="0.25">
      <c r="C192" s="695"/>
      <c r="D192" s="567"/>
      <c r="E192" s="713"/>
      <c r="F192" s="713"/>
      <c r="G192" s="713"/>
      <c r="H192" s="715"/>
      <c r="I192" s="715"/>
      <c r="J192" s="568">
        <f t="shared" si="18"/>
        <v>0</v>
      </c>
      <c r="K192" s="1051"/>
      <c r="L192" s="1051"/>
      <c r="M192" s="1051"/>
      <c r="N192" s="1036">
        <f t="shared" si="13"/>
        <v>0</v>
      </c>
      <c r="O192" s="1052">
        <f t="shared" si="14"/>
        <v>0</v>
      </c>
      <c r="P192" s="1036">
        <f t="shared" si="15"/>
        <v>0</v>
      </c>
      <c r="Q192" s="1053">
        <f t="shared" si="16"/>
        <v>0</v>
      </c>
      <c r="R192" s="712">
        <f t="shared" si="17"/>
        <v>0</v>
      </c>
    </row>
    <row r="193" spans="3:18" ht="15.75" x14ac:dyDescent="0.25">
      <c r="C193" s="695"/>
      <c r="D193" s="567"/>
      <c r="E193" s="713"/>
      <c r="F193" s="713"/>
      <c r="G193" s="713"/>
      <c r="H193" s="715"/>
      <c r="I193" s="715"/>
      <c r="J193" s="568">
        <f t="shared" si="18"/>
        <v>0</v>
      </c>
      <c r="K193" s="1051"/>
      <c r="L193" s="1051"/>
      <c r="M193" s="1051"/>
      <c r="N193" s="1036">
        <f t="shared" si="13"/>
        <v>0</v>
      </c>
      <c r="O193" s="1052">
        <f t="shared" si="14"/>
        <v>0</v>
      </c>
      <c r="P193" s="1036">
        <f t="shared" si="15"/>
        <v>0</v>
      </c>
      <c r="Q193" s="1053">
        <f t="shared" si="16"/>
        <v>0</v>
      </c>
      <c r="R193" s="712">
        <f t="shared" si="17"/>
        <v>0</v>
      </c>
    </row>
    <row r="194" spans="3:18" ht="15.75" x14ac:dyDescent="0.25">
      <c r="C194" s="695"/>
      <c r="D194" s="567"/>
      <c r="E194" s="713"/>
      <c r="F194" s="713"/>
      <c r="G194" s="713"/>
      <c r="H194" s="714"/>
      <c r="I194" s="714"/>
      <c r="J194" s="568">
        <f t="shared" si="18"/>
        <v>0</v>
      </c>
      <c r="K194" s="1051"/>
      <c r="L194" s="1051"/>
      <c r="M194" s="1051"/>
      <c r="N194" s="1036">
        <f t="shared" si="13"/>
        <v>0</v>
      </c>
      <c r="O194" s="1052">
        <f t="shared" si="14"/>
        <v>0</v>
      </c>
      <c r="P194" s="1036">
        <f t="shared" si="15"/>
        <v>0</v>
      </c>
      <c r="Q194" s="1053">
        <f t="shared" si="16"/>
        <v>0</v>
      </c>
      <c r="R194" s="712">
        <f t="shared" si="17"/>
        <v>0</v>
      </c>
    </row>
    <row r="195" spans="3:18" ht="15.75" x14ac:dyDescent="0.25">
      <c r="C195" s="695"/>
      <c r="D195" s="567"/>
      <c r="E195" s="713"/>
      <c r="F195" s="713"/>
      <c r="G195" s="713"/>
      <c r="H195" s="715"/>
      <c r="I195" s="715"/>
      <c r="J195" s="568">
        <f t="shared" si="18"/>
        <v>0</v>
      </c>
      <c r="K195" s="1051"/>
      <c r="L195" s="1051"/>
      <c r="M195" s="1051"/>
      <c r="N195" s="1036">
        <f t="shared" si="13"/>
        <v>0</v>
      </c>
      <c r="O195" s="1052">
        <f t="shared" si="14"/>
        <v>0</v>
      </c>
      <c r="P195" s="1036">
        <f t="shared" si="15"/>
        <v>0</v>
      </c>
      <c r="Q195" s="1053">
        <f t="shared" si="16"/>
        <v>0</v>
      </c>
      <c r="R195" s="712">
        <f t="shared" si="17"/>
        <v>0</v>
      </c>
    </row>
    <row r="196" spans="3:18" ht="15.75" x14ac:dyDescent="0.25">
      <c r="C196" s="695"/>
      <c r="D196" s="567"/>
      <c r="E196" s="713"/>
      <c r="F196" s="713"/>
      <c r="G196" s="713"/>
      <c r="H196" s="715"/>
      <c r="I196" s="715"/>
      <c r="J196" s="568">
        <f t="shared" si="18"/>
        <v>0</v>
      </c>
      <c r="K196" s="1051"/>
      <c r="L196" s="1051"/>
      <c r="M196" s="1051"/>
      <c r="N196" s="1036">
        <f t="shared" si="13"/>
        <v>0</v>
      </c>
      <c r="O196" s="1052">
        <f t="shared" si="14"/>
        <v>0</v>
      </c>
      <c r="P196" s="1036">
        <f t="shared" si="15"/>
        <v>0</v>
      </c>
      <c r="Q196" s="1053">
        <f t="shared" si="16"/>
        <v>0</v>
      </c>
      <c r="R196" s="712">
        <f t="shared" si="17"/>
        <v>0</v>
      </c>
    </row>
    <row r="197" spans="3:18" ht="15.75" x14ac:dyDescent="0.25">
      <c r="C197" s="695"/>
      <c r="D197" s="567"/>
      <c r="E197" s="713"/>
      <c r="F197" s="713"/>
      <c r="G197" s="713"/>
      <c r="H197" s="715"/>
      <c r="I197" s="715"/>
      <c r="J197" s="568">
        <f t="shared" si="18"/>
        <v>0</v>
      </c>
      <c r="K197" s="1051"/>
      <c r="L197" s="1051"/>
      <c r="M197" s="1051"/>
      <c r="N197" s="1036">
        <f t="shared" si="13"/>
        <v>0</v>
      </c>
      <c r="O197" s="1052">
        <f t="shared" si="14"/>
        <v>0</v>
      </c>
      <c r="P197" s="1036">
        <f t="shared" si="15"/>
        <v>0</v>
      </c>
      <c r="Q197" s="1053">
        <f t="shared" si="16"/>
        <v>0</v>
      </c>
      <c r="R197" s="712">
        <f t="shared" si="17"/>
        <v>0</v>
      </c>
    </row>
    <row r="198" spans="3:18" ht="15.75" x14ac:dyDescent="0.25">
      <c r="C198" s="695"/>
      <c r="D198" s="567"/>
      <c r="E198" s="713"/>
      <c r="F198" s="713"/>
      <c r="G198" s="713"/>
      <c r="H198" s="714"/>
      <c r="I198" s="714"/>
      <c r="J198" s="568">
        <f t="shared" si="18"/>
        <v>0</v>
      </c>
      <c r="K198" s="1051"/>
      <c r="L198" s="1051"/>
      <c r="M198" s="1051"/>
      <c r="N198" s="1036">
        <f t="shared" si="13"/>
        <v>0</v>
      </c>
      <c r="O198" s="1052">
        <f t="shared" si="14"/>
        <v>0</v>
      </c>
      <c r="P198" s="1036">
        <f t="shared" si="15"/>
        <v>0</v>
      </c>
      <c r="Q198" s="1053">
        <f t="shared" si="16"/>
        <v>0</v>
      </c>
      <c r="R198" s="712">
        <f t="shared" si="17"/>
        <v>0</v>
      </c>
    </row>
    <row r="199" spans="3:18" ht="15.75" x14ac:dyDescent="0.25">
      <c r="C199" s="695"/>
      <c r="D199" s="567"/>
      <c r="E199" s="713"/>
      <c r="F199" s="713"/>
      <c r="G199" s="713"/>
      <c r="H199" s="715"/>
      <c r="I199" s="715"/>
      <c r="J199" s="568">
        <f t="shared" si="18"/>
        <v>0</v>
      </c>
      <c r="K199" s="1051"/>
      <c r="L199" s="1051"/>
      <c r="M199" s="1051"/>
      <c r="N199" s="1036">
        <f t="shared" si="13"/>
        <v>0</v>
      </c>
      <c r="O199" s="1052">
        <f t="shared" si="14"/>
        <v>0</v>
      </c>
      <c r="P199" s="1036">
        <f t="shared" si="15"/>
        <v>0</v>
      </c>
      <c r="Q199" s="1053">
        <f t="shared" si="16"/>
        <v>0</v>
      </c>
      <c r="R199" s="712">
        <f t="shared" si="17"/>
        <v>0</v>
      </c>
    </row>
    <row r="200" spans="3:18" ht="15.75" x14ac:dyDescent="0.25">
      <c r="C200" s="695"/>
      <c r="D200" s="567"/>
      <c r="E200" s="713"/>
      <c r="F200" s="713"/>
      <c r="G200" s="713"/>
      <c r="H200" s="714"/>
      <c r="I200" s="714"/>
      <c r="J200" s="568">
        <f t="shared" si="18"/>
        <v>0</v>
      </c>
      <c r="K200" s="1051"/>
      <c r="L200" s="1051"/>
      <c r="M200" s="1051"/>
      <c r="N200" s="1036">
        <f t="shared" si="13"/>
        <v>0</v>
      </c>
      <c r="O200" s="1052">
        <f t="shared" si="14"/>
        <v>0</v>
      </c>
      <c r="P200" s="1036">
        <f t="shared" si="15"/>
        <v>0</v>
      </c>
      <c r="Q200" s="1053">
        <f t="shared" si="16"/>
        <v>0</v>
      </c>
      <c r="R200" s="712">
        <f t="shared" si="17"/>
        <v>0</v>
      </c>
    </row>
    <row r="201" spans="3:18" ht="15.75" x14ac:dyDescent="0.25">
      <c r="C201" s="695"/>
      <c r="D201" s="567"/>
      <c r="E201" s="713"/>
      <c r="F201" s="713"/>
      <c r="G201" s="713"/>
      <c r="H201" s="715"/>
      <c r="I201" s="715"/>
      <c r="J201" s="568">
        <f t="shared" si="18"/>
        <v>0</v>
      </c>
      <c r="K201" s="1051"/>
      <c r="L201" s="1051"/>
      <c r="M201" s="1051"/>
      <c r="N201" s="1036">
        <f t="shared" si="13"/>
        <v>0</v>
      </c>
      <c r="O201" s="1052">
        <f t="shared" si="14"/>
        <v>0</v>
      </c>
      <c r="P201" s="1036">
        <f t="shared" si="15"/>
        <v>0</v>
      </c>
      <c r="Q201" s="1053">
        <f t="shared" si="16"/>
        <v>0</v>
      </c>
      <c r="R201" s="712">
        <f t="shared" si="17"/>
        <v>0</v>
      </c>
    </row>
    <row r="202" spans="3:18" ht="15.75" x14ac:dyDescent="0.25">
      <c r="C202" s="695"/>
      <c r="D202" s="567"/>
      <c r="E202" s="713"/>
      <c r="F202" s="713"/>
      <c r="G202" s="713"/>
      <c r="H202" s="715"/>
      <c r="I202" s="715"/>
      <c r="J202" s="568">
        <f t="shared" si="18"/>
        <v>0</v>
      </c>
      <c r="K202" s="1051"/>
      <c r="L202" s="1051"/>
      <c r="M202" s="1051"/>
      <c r="N202" s="1036">
        <f t="shared" si="13"/>
        <v>0</v>
      </c>
      <c r="O202" s="1052">
        <f t="shared" si="14"/>
        <v>0</v>
      </c>
      <c r="P202" s="1036">
        <f t="shared" si="15"/>
        <v>0</v>
      </c>
      <c r="Q202" s="1053">
        <f t="shared" si="16"/>
        <v>0</v>
      </c>
      <c r="R202" s="712">
        <f t="shared" si="17"/>
        <v>0</v>
      </c>
    </row>
    <row r="203" spans="3:18" ht="15.75" x14ac:dyDescent="0.25">
      <c r="C203" s="695"/>
      <c r="D203" s="567"/>
      <c r="E203" s="713"/>
      <c r="F203" s="713"/>
      <c r="G203" s="713"/>
      <c r="H203" s="715"/>
      <c r="I203" s="715"/>
      <c r="J203" s="568">
        <f t="shared" si="18"/>
        <v>0</v>
      </c>
      <c r="K203" s="1051"/>
      <c r="L203" s="1051"/>
      <c r="M203" s="1051"/>
      <c r="N203" s="1036">
        <f t="shared" si="13"/>
        <v>0</v>
      </c>
      <c r="O203" s="1052">
        <f t="shared" si="14"/>
        <v>0</v>
      </c>
      <c r="P203" s="1036">
        <f t="shared" si="15"/>
        <v>0</v>
      </c>
      <c r="Q203" s="1053">
        <f t="shared" si="16"/>
        <v>0</v>
      </c>
      <c r="R203" s="712">
        <f t="shared" si="17"/>
        <v>0</v>
      </c>
    </row>
    <row r="204" spans="3:18" ht="15.75" x14ac:dyDescent="0.25">
      <c r="C204" s="695"/>
      <c r="D204" s="567"/>
      <c r="E204" s="713"/>
      <c r="F204" s="713"/>
      <c r="G204" s="713"/>
      <c r="H204" s="714"/>
      <c r="I204" s="714"/>
      <c r="J204" s="568">
        <f t="shared" si="18"/>
        <v>0</v>
      </c>
      <c r="K204" s="1051"/>
      <c r="L204" s="1051"/>
      <c r="M204" s="1051"/>
      <c r="N204" s="1036">
        <f t="shared" si="13"/>
        <v>0</v>
      </c>
      <c r="O204" s="1052">
        <f t="shared" si="14"/>
        <v>0</v>
      </c>
      <c r="P204" s="1036">
        <f t="shared" si="15"/>
        <v>0</v>
      </c>
      <c r="Q204" s="1053">
        <f t="shared" si="16"/>
        <v>0</v>
      </c>
      <c r="R204" s="712">
        <f t="shared" si="17"/>
        <v>0</v>
      </c>
    </row>
    <row r="205" spans="3:18" ht="15.75" x14ac:dyDescent="0.25">
      <c r="C205" s="695"/>
      <c r="D205" s="567"/>
      <c r="E205" s="713"/>
      <c r="F205" s="713"/>
      <c r="G205" s="713"/>
      <c r="H205" s="714"/>
      <c r="I205" s="714"/>
      <c r="J205" s="568">
        <f t="shared" si="18"/>
        <v>0</v>
      </c>
      <c r="K205" s="1051"/>
      <c r="L205" s="1051"/>
      <c r="M205" s="1051"/>
      <c r="N205" s="1036">
        <f t="shared" si="13"/>
        <v>0</v>
      </c>
      <c r="O205" s="1052">
        <f t="shared" si="14"/>
        <v>0</v>
      </c>
      <c r="P205" s="1036">
        <f t="shared" si="15"/>
        <v>0</v>
      </c>
      <c r="Q205" s="1053">
        <f t="shared" si="16"/>
        <v>0</v>
      </c>
      <c r="R205" s="712">
        <f t="shared" si="17"/>
        <v>0</v>
      </c>
    </row>
    <row r="206" spans="3:18" ht="15.75" x14ac:dyDescent="0.25">
      <c r="C206" s="695"/>
      <c r="D206" s="567"/>
      <c r="E206" s="713"/>
      <c r="F206" s="713"/>
      <c r="G206" s="713"/>
      <c r="H206" s="715"/>
      <c r="I206" s="715"/>
      <c r="J206" s="568">
        <f t="shared" si="18"/>
        <v>0</v>
      </c>
      <c r="K206" s="1051"/>
      <c r="L206" s="1051"/>
      <c r="M206" s="1051"/>
      <c r="N206" s="1036">
        <f t="shared" si="13"/>
        <v>0</v>
      </c>
      <c r="O206" s="1052">
        <f t="shared" si="14"/>
        <v>0</v>
      </c>
      <c r="P206" s="1036">
        <f t="shared" si="15"/>
        <v>0</v>
      </c>
      <c r="Q206" s="1053">
        <f t="shared" si="16"/>
        <v>0</v>
      </c>
      <c r="R206" s="712">
        <f t="shared" si="17"/>
        <v>0</v>
      </c>
    </row>
    <row r="207" spans="3:18" ht="15.75" x14ac:dyDescent="0.25">
      <c r="C207" s="695"/>
      <c r="D207" s="567"/>
      <c r="E207" s="713"/>
      <c r="F207" s="713"/>
      <c r="G207" s="713"/>
      <c r="H207" s="715"/>
      <c r="I207" s="715"/>
      <c r="J207" s="568">
        <f t="shared" si="18"/>
        <v>0</v>
      </c>
      <c r="K207" s="1051"/>
      <c r="L207" s="1051"/>
      <c r="M207" s="1051"/>
      <c r="N207" s="1036">
        <f t="shared" si="13"/>
        <v>0</v>
      </c>
      <c r="O207" s="1052">
        <f t="shared" si="14"/>
        <v>0</v>
      </c>
      <c r="P207" s="1036">
        <f t="shared" si="15"/>
        <v>0</v>
      </c>
      <c r="Q207" s="1053">
        <f t="shared" si="16"/>
        <v>0</v>
      </c>
      <c r="R207" s="712">
        <f t="shared" si="17"/>
        <v>0</v>
      </c>
    </row>
    <row r="208" spans="3:18" ht="15.75" x14ac:dyDescent="0.25">
      <c r="C208" s="695"/>
      <c r="D208" s="567"/>
      <c r="E208" s="713"/>
      <c r="F208" s="713"/>
      <c r="G208" s="713"/>
      <c r="H208" s="715"/>
      <c r="I208" s="715"/>
      <c r="J208" s="568">
        <f t="shared" si="18"/>
        <v>0</v>
      </c>
      <c r="K208" s="1051"/>
      <c r="L208" s="1051"/>
      <c r="M208" s="1051"/>
      <c r="N208" s="1036">
        <f t="shared" si="13"/>
        <v>0</v>
      </c>
      <c r="O208" s="1052">
        <f t="shared" si="14"/>
        <v>0</v>
      </c>
      <c r="P208" s="1036">
        <f t="shared" si="15"/>
        <v>0</v>
      </c>
      <c r="Q208" s="1053">
        <f t="shared" si="16"/>
        <v>0</v>
      </c>
      <c r="R208" s="712">
        <f t="shared" si="17"/>
        <v>0</v>
      </c>
    </row>
    <row r="209" spans="3:18" ht="15.75" x14ac:dyDescent="0.25">
      <c r="C209" s="695"/>
      <c r="D209" s="567"/>
      <c r="E209" s="713"/>
      <c r="F209" s="713"/>
      <c r="G209" s="713"/>
      <c r="H209" s="714"/>
      <c r="I209" s="714"/>
      <c r="J209" s="568">
        <f t="shared" si="18"/>
        <v>0</v>
      </c>
      <c r="K209" s="1051"/>
      <c r="L209" s="1051"/>
      <c r="M209" s="1051"/>
      <c r="N209" s="1036">
        <f t="shared" si="13"/>
        <v>0</v>
      </c>
      <c r="O209" s="1052">
        <f t="shared" si="14"/>
        <v>0</v>
      </c>
      <c r="P209" s="1036">
        <f t="shared" si="15"/>
        <v>0</v>
      </c>
      <c r="Q209" s="1053">
        <f t="shared" si="16"/>
        <v>0</v>
      </c>
      <c r="R209" s="712">
        <f t="shared" si="17"/>
        <v>0</v>
      </c>
    </row>
    <row r="210" spans="3:18" ht="15.75" x14ac:dyDescent="0.25">
      <c r="C210" s="695"/>
      <c r="D210" s="567"/>
      <c r="E210" s="713"/>
      <c r="F210" s="713"/>
      <c r="G210" s="713"/>
      <c r="H210" s="715"/>
      <c r="I210" s="715"/>
      <c r="J210" s="568">
        <f t="shared" si="18"/>
        <v>0</v>
      </c>
      <c r="K210" s="1051"/>
      <c r="L210" s="1051"/>
      <c r="M210" s="1051"/>
      <c r="N210" s="1036">
        <f t="shared" ref="N210:N273" si="19">L210*M210</f>
        <v>0</v>
      </c>
      <c r="O210" s="1052">
        <f t="shared" ref="O210:O273" si="20">COUNTIF($G$16:$G$4001,G210)</f>
        <v>0</v>
      </c>
      <c r="P210" s="1036">
        <f t="shared" ref="P210:P273" si="21">IF(C210&gt;0,IF(AND(E210="א-ג",J210&gt;0),MIN(I210,15)*MIN(H210,75),IF(AND(E210="ד-ו",N210&gt;0),MIN(L210,59.57)*MIN(M210,75),0)),0)</f>
        <v>0</v>
      </c>
      <c r="Q210" s="1053">
        <f t="shared" ref="Q210:Q273" si="22">IF(E210="א-ג",MIN(J210,P210),MIN(N210,P210))</f>
        <v>0</v>
      </c>
      <c r="R210" s="712">
        <f t="shared" ref="R210:R273" si="23">IF(E210="א-ג",Q210/1125,Q210/$R$7)</f>
        <v>0</v>
      </c>
    </row>
    <row r="211" spans="3:18" ht="15.75" x14ac:dyDescent="0.25">
      <c r="C211" s="695"/>
      <c r="D211" s="567"/>
      <c r="E211" s="713"/>
      <c r="F211" s="713"/>
      <c r="G211" s="713"/>
      <c r="H211" s="715"/>
      <c r="I211" s="715"/>
      <c r="J211" s="568">
        <f t="shared" si="18"/>
        <v>0</v>
      </c>
      <c r="K211" s="1051"/>
      <c r="L211" s="1051"/>
      <c r="M211" s="1051"/>
      <c r="N211" s="1036">
        <f t="shared" si="19"/>
        <v>0</v>
      </c>
      <c r="O211" s="1052">
        <f t="shared" si="20"/>
        <v>0</v>
      </c>
      <c r="P211" s="1036">
        <f t="shared" si="21"/>
        <v>0</v>
      </c>
      <c r="Q211" s="1053">
        <f t="shared" si="22"/>
        <v>0</v>
      </c>
      <c r="R211" s="712">
        <f t="shared" si="23"/>
        <v>0</v>
      </c>
    </row>
    <row r="212" spans="3:18" ht="15.75" x14ac:dyDescent="0.25">
      <c r="C212" s="695"/>
      <c r="D212" s="567"/>
      <c r="E212" s="713"/>
      <c r="F212" s="713"/>
      <c r="G212" s="713"/>
      <c r="H212" s="715"/>
      <c r="I212" s="715"/>
      <c r="J212" s="568">
        <f t="shared" si="18"/>
        <v>0</v>
      </c>
      <c r="K212" s="1051"/>
      <c r="L212" s="1051"/>
      <c r="M212" s="1051"/>
      <c r="N212" s="1036">
        <f t="shared" si="19"/>
        <v>0</v>
      </c>
      <c r="O212" s="1052">
        <f t="shared" si="20"/>
        <v>0</v>
      </c>
      <c r="P212" s="1036">
        <f t="shared" si="21"/>
        <v>0</v>
      </c>
      <c r="Q212" s="1053">
        <f t="shared" si="22"/>
        <v>0</v>
      </c>
      <c r="R212" s="712">
        <f t="shared" si="23"/>
        <v>0</v>
      </c>
    </row>
    <row r="213" spans="3:18" ht="15.75" x14ac:dyDescent="0.25">
      <c r="C213" s="695"/>
      <c r="D213" s="567"/>
      <c r="E213" s="713"/>
      <c r="F213" s="713"/>
      <c r="G213" s="713"/>
      <c r="H213" s="714"/>
      <c r="I213" s="714"/>
      <c r="J213" s="568">
        <f t="shared" si="18"/>
        <v>0</v>
      </c>
      <c r="K213" s="1051"/>
      <c r="L213" s="1051"/>
      <c r="M213" s="1051"/>
      <c r="N213" s="1036">
        <f t="shared" si="19"/>
        <v>0</v>
      </c>
      <c r="O213" s="1052">
        <f t="shared" si="20"/>
        <v>0</v>
      </c>
      <c r="P213" s="1036">
        <f t="shared" si="21"/>
        <v>0</v>
      </c>
      <c r="Q213" s="1053">
        <f t="shared" si="22"/>
        <v>0</v>
      </c>
      <c r="R213" s="712">
        <f t="shared" si="23"/>
        <v>0</v>
      </c>
    </row>
    <row r="214" spans="3:18" ht="15.75" x14ac:dyDescent="0.25">
      <c r="C214" s="695"/>
      <c r="D214" s="567"/>
      <c r="E214" s="713"/>
      <c r="F214" s="713"/>
      <c r="G214" s="713"/>
      <c r="H214" s="715"/>
      <c r="I214" s="715"/>
      <c r="J214" s="568">
        <f t="shared" si="18"/>
        <v>0</v>
      </c>
      <c r="K214" s="1051"/>
      <c r="L214" s="1051"/>
      <c r="M214" s="1051"/>
      <c r="N214" s="1036">
        <f t="shared" si="19"/>
        <v>0</v>
      </c>
      <c r="O214" s="1052">
        <f t="shared" si="20"/>
        <v>0</v>
      </c>
      <c r="P214" s="1036">
        <f t="shared" si="21"/>
        <v>0</v>
      </c>
      <c r="Q214" s="1053">
        <f t="shared" si="22"/>
        <v>0</v>
      </c>
      <c r="R214" s="712">
        <f t="shared" si="23"/>
        <v>0</v>
      </c>
    </row>
    <row r="215" spans="3:18" ht="15.75" x14ac:dyDescent="0.25">
      <c r="C215" s="695"/>
      <c r="D215" s="567"/>
      <c r="E215" s="713"/>
      <c r="F215" s="713"/>
      <c r="G215" s="713"/>
      <c r="H215" s="715"/>
      <c r="I215" s="715"/>
      <c r="J215" s="568">
        <f t="shared" si="18"/>
        <v>0</v>
      </c>
      <c r="K215" s="1051"/>
      <c r="L215" s="1051"/>
      <c r="M215" s="1051"/>
      <c r="N215" s="1036">
        <f t="shared" si="19"/>
        <v>0</v>
      </c>
      <c r="O215" s="1052">
        <f t="shared" si="20"/>
        <v>0</v>
      </c>
      <c r="P215" s="1036">
        <f t="shared" si="21"/>
        <v>0</v>
      </c>
      <c r="Q215" s="1053">
        <f t="shared" si="22"/>
        <v>0</v>
      </c>
      <c r="R215" s="712">
        <f t="shared" si="23"/>
        <v>0</v>
      </c>
    </row>
    <row r="216" spans="3:18" ht="15.75" x14ac:dyDescent="0.25">
      <c r="C216" s="695"/>
      <c r="D216" s="567"/>
      <c r="E216" s="713"/>
      <c r="F216" s="713"/>
      <c r="G216" s="713"/>
      <c r="H216" s="715"/>
      <c r="I216" s="715"/>
      <c r="J216" s="568">
        <f t="shared" si="18"/>
        <v>0</v>
      </c>
      <c r="K216" s="1051"/>
      <c r="L216" s="1051"/>
      <c r="M216" s="1051"/>
      <c r="N216" s="1036">
        <f t="shared" si="19"/>
        <v>0</v>
      </c>
      <c r="O216" s="1052">
        <f t="shared" si="20"/>
        <v>0</v>
      </c>
      <c r="P216" s="1036">
        <f t="shared" si="21"/>
        <v>0</v>
      </c>
      <c r="Q216" s="1053">
        <f t="shared" si="22"/>
        <v>0</v>
      </c>
      <c r="R216" s="712">
        <f t="shared" si="23"/>
        <v>0</v>
      </c>
    </row>
    <row r="217" spans="3:18" ht="15.75" x14ac:dyDescent="0.25">
      <c r="C217" s="695"/>
      <c r="D217" s="567"/>
      <c r="E217" s="713"/>
      <c r="F217" s="713"/>
      <c r="G217" s="713"/>
      <c r="H217" s="714"/>
      <c r="I217" s="714"/>
      <c r="J217" s="568">
        <f t="shared" si="18"/>
        <v>0</v>
      </c>
      <c r="K217" s="1051"/>
      <c r="L217" s="1051"/>
      <c r="M217" s="1051"/>
      <c r="N217" s="1036">
        <f t="shared" si="19"/>
        <v>0</v>
      </c>
      <c r="O217" s="1052">
        <f t="shared" si="20"/>
        <v>0</v>
      </c>
      <c r="P217" s="1036">
        <f t="shared" si="21"/>
        <v>0</v>
      </c>
      <c r="Q217" s="1053">
        <f t="shared" si="22"/>
        <v>0</v>
      </c>
      <c r="R217" s="712">
        <f t="shared" si="23"/>
        <v>0</v>
      </c>
    </row>
    <row r="218" spans="3:18" ht="15.75" x14ac:dyDescent="0.25">
      <c r="C218" s="695"/>
      <c r="D218" s="567"/>
      <c r="E218" s="713"/>
      <c r="F218" s="713"/>
      <c r="G218" s="713"/>
      <c r="H218" s="715"/>
      <c r="I218" s="715"/>
      <c r="J218" s="568">
        <f t="shared" ref="J218:J281" si="24">IFERROR(H218*I218,"")</f>
        <v>0</v>
      </c>
      <c r="K218" s="1051"/>
      <c r="L218" s="1051"/>
      <c r="M218" s="1051"/>
      <c r="N218" s="1036">
        <f t="shared" si="19"/>
        <v>0</v>
      </c>
      <c r="O218" s="1052">
        <f t="shared" si="20"/>
        <v>0</v>
      </c>
      <c r="P218" s="1036">
        <f t="shared" si="21"/>
        <v>0</v>
      </c>
      <c r="Q218" s="1053">
        <f t="shared" si="22"/>
        <v>0</v>
      </c>
      <c r="R218" s="712">
        <f t="shared" si="23"/>
        <v>0</v>
      </c>
    </row>
    <row r="219" spans="3:18" ht="15.75" x14ac:dyDescent="0.25">
      <c r="C219" s="695"/>
      <c r="D219" s="567"/>
      <c r="E219" s="713"/>
      <c r="F219" s="713"/>
      <c r="G219" s="713"/>
      <c r="H219" s="715"/>
      <c r="I219" s="715"/>
      <c r="J219" s="568">
        <f t="shared" si="24"/>
        <v>0</v>
      </c>
      <c r="K219" s="1051"/>
      <c r="L219" s="1051"/>
      <c r="M219" s="1051"/>
      <c r="N219" s="1036">
        <f t="shared" si="19"/>
        <v>0</v>
      </c>
      <c r="O219" s="1052">
        <f t="shared" si="20"/>
        <v>0</v>
      </c>
      <c r="P219" s="1036">
        <f t="shared" si="21"/>
        <v>0</v>
      </c>
      <c r="Q219" s="1053">
        <f t="shared" si="22"/>
        <v>0</v>
      </c>
      <c r="R219" s="712">
        <f t="shared" si="23"/>
        <v>0</v>
      </c>
    </row>
    <row r="220" spans="3:18" ht="15.75" x14ac:dyDescent="0.25">
      <c r="C220" s="695"/>
      <c r="D220" s="567"/>
      <c r="E220" s="713"/>
      <c r="F220" s="713"/>
      <c r="G220" s="713"/>
      <c r="H220" s="715"/>
      <c r="I220" s="715"/>
      <c r="J220" s="568">
        <f t="shared" si="24"/>
        <v>0</v>
      </c>
      <c r="K220" s="1051"/>
      <c r="L220" s="1051"/>
      <c r="M220" s="1051"/>
      <c r="N220" s="1036">
        <f t="shared" si="19"/>
        <v>0</v>
      </c>
      <c r="O220" s="1052">
        <f t="shared" si="20"/>
        <v>0</v>
      </c>
      <c r="P220" s="1036">
        <f t="shared" si="21"/>
        <v>0</v>
      </c>
      <c r="Q220" s="1053">
        <f t="shared" si="22"/>
        <v>0</v>
      </c>
      <c r="R220" s="712">
        <f t="shared" si="23"/>
        <v>0</v>
      </c>
    </row>
    <row r="221" spans="3:18" ht="15.75" x14ac:dyDescent="0.25">
      <c r="C221" s="695"/>
      <c r="D221" s="567"/>
      <c r="E221" s="713"/>
      <c r="F221" s="713"/>
      <c r="G221" s="713"/>
      <c r="H221" s="714"/>
      <c r="I221" s="714"/>
      <c r="J221" s="568">
        <f t="shared" si="24"/>
        <v>0</v>
      </c>
      <c r="K221" s="1051"/>
      <c r="L221" s="1051"/>
      <c r="M221" s="1051"/>
      <c r="N221" s="1036">
        <f t="shared" si="19"/>
        <v>0</v>
      </c>
      <c r="O221" s="1052">
        <f t="shared" si="20"/>
        <v>0</v>
      </c>
      <c r="P221" s="1036">
        <f t="shared" si="21"/>
        <v>0</v>
      </c>
      <c r="Q221" s="1053">
        <f t="shared" si="22"/>
        <v>0</v>
      </c>
      <c r="R221" s="712">
        <f t="shared" si="23"/>
        <v>0</v>
      </c>
    </row>
    <row r="222" spans="3:18" ht="15.75" x14ac:dyDescent="0.25">
      <c r="C222" s="695"/>
      <c r="D222" s="567"/>
      <c r="E222" s="713"/>
      <c r="F222" s="713"/>
      <c r="G222" s="713"/>
      <c r="H222" s="715"/>
      <c r="I222" s="715"/>
      <c r="J222" s="568">
        <f t="shared" si="24"/>
        <v>0</v>
      </c>
      <c r="K222" s="1051"/>
      <c r="L222" s="1051"/>
      <c r="M222" s="1051"/>
      <c r="N222" s="1036">
        <f t="shared" si="19"/>
        <v>0</v>
      </c>
      <c r="O222" s="1052">
        <f t="shared" si="20"/>
        <v>0</v>
      </c>
      <c r="P222" s="1036">
        <f t="shared" si="21"/>
        <v>0</v>
      </c>
      <c r="Q222" s="1053">
        <f t="shared" si="22"/>
        <v>0</v>
      </c>
      <c r="R222" s="712">
        <f t="shared" si="23"/>
        <v>0</v>
      </c>
    </row>
    <row r="223" spans="3:18" ht="15.75" x14ac:dyDescent="0.25">
      <c r="C223" s="695"/>
      <c r="D223" s="567"/>
      <c r="E223" s="713"/>
      <c r="F223" s="713"/>
      <c r="G223" s="713"/>
      <c r="H223" s="715"/>
      <c r="I223" s="715"/>
      <c r="J223" s="568">
        <f t="shared" si="24"/>
        <v>0</v>
      </c>
      <c r="K223" s="1051"/>
      <c r="L223" s="1051"/>
      <c r="M223" s="1051"/>
      <c r="N223" s="1036">
        <f t="shared" si="19"/>
        <v>0</v>
      </c>
      <c r="O223" s="1052">
        <f t="shared" si="20"/>
        <v>0</v>
      </c>
      <c r="P223" s="1036">
        <f t="shared" si="21"/>
        <v>0</v>
      </c>
      <c r="Q223" s="1053">
        <f t="shared" si="22"/>
        <v>0</v>
      </c>
      <c r="R223" s="712">
        <f t="shared" si="23"/>
        <v>0</v>
      </c>
    </row>
    <row r="224" spans="3:18" ht="15.75" x14ac:dyDescent="0.25">
      <c r="C224" s="695"/>
      <c r="D224" s="567"/>
      <c r="E224" s="713"/>
      <c r="F224" s="713"/>
      <c r="G224" s="713"/>
      <c r="H224" s="715"/>
      <c r="I224" s="715"/>
      <c r="J224" s="568">
        <f t="shared" si="24"/>
        <v>0</v>
      </c>
      <c r="K224" s="1051"/>
      <c r="L224" s="1051"/>
      <c r="M224" s="1051"/>
      <c r="N224" s="1036">
        <f t="shared" si="19"/>
        <v>0</v>
      </c>
      <c r="O224" s="1052">
        <f t="shared" si="20"/>
        <v>0</v>
      </c>
      <c r="P224" s="1036">
        <f t="shared" si="21"/>
        <v>0</v>
      </c>
      <c r="Q224" s="1053">
        <f t="shared" si="22"/>
        <v>0</v>
      </c>
      <c r="R224" s="712">
        <f t="shared" si="23"/>
        <v>0</v>
      </c>
    </row>
    <row r="225" spans="3:18" ht="15.75" x14ac:dyDescent="0.25">
      <c r="C225" s="695"/>
      <c r="D225" s="567"/>
      <c r="E225" s="713"/>
      <c r="F225" s="713"/>
      <c r="G225" s="713"/>
      <c r="H225" s="714"/>
      <c r="I225" s="714"/>
      <c r="J225" s="568">
        <f t="shared" si="24"/>
        <v>0</v>
      </c>
      <c r="K225" s="1051"/>
      <c r="L225" s="1051"/>
      <c r="M225" s="1051"/>
      <c r="N225" s="1036">
        <f t="shared" si="19"/>
        <v>0</v>
      </c>
      <c r="O225" s="1052">
        <f t="shared" si="20"/>
        <v>0</v>
      </c>
      <c r="P225" s="1036">
        <f t="shared" si="21"/>
        <v>0</v>
      </c>
      <c r="Q225" s="1053">
        <f t="shared" si="22"/>
        <v>0</v>
      </c>
      <c r="R225" s="712">
        <f t="shared" si="23"/>
        <v>0</v>
      </c>
    </row>
    <row r="226" spans="3:18" ht="15.75" x14ac:dyDescent="0.25">
      <c r="C226" s="695"/>
      <c r="D226" s="567"/>
      <c r="E226" s="713"/>
      <c r="F226" s="713"/>
      <c r="G226" s="713"/>
      <c r="H226" s="715"/>
      <c r="I226" s="715"/>
      <c r="J226" s="568">
        <f t="shared" si="24"/>
        <v>0</v>
      </c>
      <c r="K226" s="1051"/>
      <c r="L226" s="1051"/>
      <c r="M226" s="1051"/>
      <c r="N226" s="1036">
        <f t="shared" si="19"/>
        <v>0</v>
      </c>
      <c r="O226" s="1052">
        <f t="shared" si="20"/>
        <v>0</v>
      </c>
      <c r="P226" s="1036">
        <f t="shared" si="21"/>
        <v>0</v>
      </c>
      <c r="Q226" s="1053">
        <f t="shared" si="22"/>
        <v>0</v>
      </c>
      <c r="R226" s="712">
        <f t="shared" si="23"/>
        <v>0</v>
      </c>
    </row>
    <row r="227" spans="3:18" ht="15.75" x14ac:dyDescent="0.25">
      <c r="C227" s="695"/>
      <c r="D227" s="567"/>
      <c r="E227" s="713"/>
      <c r="F227" s="713"/>
      <c r="G227" s="713"/>
      <c r="H227" s="715"/>
      <c r="I227" s="715"/>
      <c r="J227" s="568">
        <f t="shared" si="24"/>
        <v>0</v>
      </c>
      <c r="K227" s="1051"/>
      <c r="L227" s="1051"/>
      <c r="M227" s="1051"/>
      <c r="N227" s="1036">
        <f t="shared" si="19"/>
        <v>0</v>
      </c>
      <c r="O227" s="1052">
        <f t="shared" si="20"/>
        <v>0</v>
      </c>
      <c r="P227" s="1036">
        <f t="shared" si="21"/>
        <v>0</v>
      </c>
      <c r="Q227" s="1053">
        <f t="shared" si="22"/>
        <v>0</v>
      </c>
      <c r="R227" s="712">
        <f t="shared" si="23"/>
        <v>0</v>
      </c>
    </row>
    <row r="228" spans="3:18" ht="15.75" x14ac:dyDescent="0.25">
      <c r="C228" s="695"/>
      <c r="D228" s="567"/>
      <c r="E228" s="713"/>
      <c r="F228" s="713"/>
      <c r="G228" s="713"/>
      <c r="H228" s="715"/>
      <c r="I228" s="715"/>
      <c r="J228" s="568">
        <f t="shared" si="24"/>
        <v>0</v>
      </c>
      <c r="K228" s="1051"/>
      <c r="L228" s="1051"/>
      <c r="M228" s="1051"/>
      <c r="N228" s="1036">
        <f t="shared" si="19"/>
        <v>0</v>
      </c>
      <c r="O228" s="1052">
        <f t="shared" si="20"/>
        <v>0</v>
      </c>
      <c r="P228" s="1036">
        <f t="shared" si="21"/>
        <v>0</v>
      </c>
      <c r="Q228" s="1053">
        <f t="shared" si="22"/>
        <v>0</v>
      </c>
      <c r="R228" s="712">
        <f t="shared" si="23"/>
        <v>0</v>
      </c>
    </row>
    <row r="229" spans="3:18" ht="15.75" x14ac:dyDescent="0.25">
      <c r="C229" s="695"/>
      <c r="D229" s="567"/>
      <c r="E229" s="713"/>
      <c r="F229" s="713"/>
      <c r="G229" s="713"/>
      <c r="H229" s="714"/>
      <c r="I229" s="714"/>
      <c r="J229" s="568">
        <f t="shared" si="24"/>
        <v>0</v>
      </c>
      <c r="K229" s="1051"/>
      <c r="L229" s="1051"/>
      <c r="M229" s="1051"/>
      <c r="N229" s="1036">
        <f t="shared" si="19"/>
        <v>0</v>
      </c>
      <c r="O229" s="1052">
        <f t="shared" si="20"/>
        <v>0</v>
      </c>
      <c r="P229" s="1036">
        <f t="shared" si="21"/>
        <v>0</v>
      </c>
      <c r="Q229" s="1053">
        <f t="shared" si="22"/>
        <v>0</v>
      </c>
      <c r="R229" s="712">
        <f t="shared" si="23"/>
        <v>0</v>
      </c>
    </row>
    <row r="230" spans="3:18" ht="15.75" x14ac:dyDescent="0.25">
      <c r="C230" s="695"/>
      <c r="D230" s="567"/>
      <c r="E230" s="713"/>
      <c r="F230" s="713"/>
      <c r="G230" s="713"/>
      <c r="H230" s="715"/>
      <c r="I230" s="715"/>
      <c r="J230" s="568">
        <f t="shared" si="24"/>
        <v>0</v>
      </c>
      <c r="K230" s="1051"/>
      <c r="L230" s="1051"/>
      <c r="M230" s="1051"/>
      <c r="N230" s="1036">
        <f t="shared" si="19"/>
        <v>0</v>
      </c>
      <c r="O230" s="1052">
        <f t="shared" si="20"/>
        <v>0</v>
      </c>
      <c r="P230" s="1036">
        <f t="shared" si="21"/>
        <v>0</v>
      </c>
      <c r="Q230" s="1053">
        <f t="shared" si="22"/>
        <v>0</v>
      </c>
      <c r="R230" s="712">
        <f t="shared" si="23"/>
        <v>0</v>
      </c>
    </row>
    <row r="231" spans="3:18" ht="15.75" x14ac:dyDescent="0.25">
      <c r="C231" s="695"/>
      <c r="D231" s="567"/>
      <c r="E231" s="713"/>
      <c r="F231" s="713"/>
      <c r="G231" s="713"/>
      <c r="H231" s="715"/>
      <c r="I231" s="715"/>
      <c r="J231" s="568">
        <f t="shared" si="24"/>
        <v>0</v>
      </c>
      <c r="K231" s="1051"/>
      <c r="L231" s="1051"/>
      <c r="M231" s="1051"/>
      <c r="N231" s="1036">
        <f t="shared" si="19"/>
        <v>0</v>
      </c>
      <c r="O231" s="1052">
        <f t="shared" si="20"/>
        <v>0</v>
      </c>
      <c r="P231" s="1036">
        <f t="shared" si="21"/>
        <v>0</v>
      </c>
      <c r="Q231" s="1053">
        <f t="shared" si="22"/>
        <v>0</v>
      </c>
      <c r="R231" s="712">
        <f t="shared" si="23"/>
        <v>0</v>
      </c>
    </row>
    <row r="232" spans="3:18" ht="15.75" x14ac:dyDescent="0.25">
      <c r="C232" s="695"/>
      <c r="D232" s="567"/>
      <c r="E232" s="713"/>
      <c r="F232" s="713"/>
      <c r="G232" s="713"/>
      <c r="H232" s="715"/>
      <c r="I232" s="715"/>
      <c r="J232" s="568">
        <f t="shared" si="24"/>
        <v>0</v>
      </c>
      <c r="K232" s="1051"/>
      <c r="L232" s="1051"/>
      <c r="M232" s="1051"/>
      <c r="N232" s="1036">
        <f t="shared" si="19"/>
        <v>0</v>
      </c>
      <c r="O232" s="1052">
        <f t="shared" si="20"/>
        <v>0</v>
      </c>
      <c r="P232" s="1036">
        <f t="shared" si="21"/>
        <v>0</v>
      </c>
      <c r="Q232" s="1053">
        <f t="shared" si="22"/>
        <v>0</v>
      </c>
      <c r="R232" s="712">
        <f t="shared" si="23"/>
        <v>0</v>
      </c>
    </row>
    <row r="233" spans="3:18" ht="15.75" x14ac:dyDescent="0.25">
      <c r="C233" s="695"/>
      <c r="D233" s="567"/>
      <c r="E233" s="713"/>
      <c r="F233" s="713"/>
      <c r="G233" s="713"/>
      <c r="H233" s="714"/>
      <c r="I233" s="714"/>
      <c r="J233" s="568">
        <f t="shared" si="24"/>
        <v>0</v>
      </c>
      <c r="K233" s="1051"/>
      <c r="L233" s="1051"/>
      <c r="M233" s="1051"/>
      <c r="N233" s="1036">
        <f t="shared" si="19"/>
        <v>0</v>
      </c>
      <c r="O233" s="1052">
        <f t="shared" si="20"/>
        <v>0</v>
      </c>
      <c r="P233" s="1036">
        <f t="shared" si="21"/>
        <v>0</v>
      </c>
      <c r="Q233" s="1053">
        <f t="shared" si="22"/>
        <v>0</v>
      </c>
      <c r="R233" s="712">
        <f t="shared" si="23"/>
        <v>0</v>
      </c>
    </row>
    <row r="234" spans="3:18" ht="15.75" x14ac:dyDescent="0.25">
      <c r="C234" s="695"/>
      <c r="D234" s="567"/>
      <c r="E234" s="713"/>
      <c r="F234" s="713"/>
      <c r="G234" s="713"/>
      <c r="H234" s="715"/>
      <c r="I234" s="715"/>
      <c r="J234" s="568">
        <f t="shared" si="24"/>
        <v>0</v>
      </c>
      <c r="K234" s="1051"/>
      <c r="L234" s="1051"/>
      <c r="M234" s="1051"/>
      <c r="N234" s="1036">
        <f t="shared" si="19"/>
        <v>0</v>
      </c>
      <c r="O234" s="1052">
        <f t="shared" si="20"/>
        <v>0</v>
      </c>
      <c r="P234" s="1036">
        <f t="shared" si="21"/>
        <v>0</v>
      </c>
      <c r="Q234" s="1053">
        <f t="shared" si="22"/>
        <v>0</v>
      </c>
      <c r="R234" s="712">
        <f t="shared" si="23"/>
        <v>0</v>
      </c>
    </row>
    <row r="235" spans="3:18" ht="15.75" x14ac:dyDescent="0.25">
      <c r="C235" s="695"/>
      <c r="D235" s="567"/>
      <c r="E235" s="713"/>
      <c r="F235" s="713"/>
      <c r="G235" s="713"/>
      <c r="H235" s="715"/>
      <c r="I235" s="715"/>
      <c r="J235" s="568">
        <f t="shared" si="24"/>
        <v>0</v>
      </c>
      <c r="K235" s="1051"/>
      <c r="L235" s="1051"/>
      <c r="M235" s="1051"/>
      <c r="N235" s="1036">
        <f t="shared" si="19"/>
        <v>0</v>
      </c>
      <c r="O235" s="1052">
        <f t="shared" si="20"/>
        <v>0</v>
      </c>
      <c r="P235" s="1036">
        <f t="shared" si="21"/>
        <v>0</v>
      </c>
      <c r="Q235" s="1053">
        <f t="shared" si="22"/>
        <v>0</v>
      </c>
      <c r="R235" s="712">
        <f t="shared" si="23"/>
        <v>0</v>
      </c>
    </row>
    <row r="236" spans="3:18" ht="15.75" x14ac:dyDescent="0.25">
      <c r="C236" s="695"/>
      <c r="D236" s="567"/>
      <c r="E236" s="713"/>
      <c r="F236" s="713"/>
      <c r="G236" s="713"/>
      <c r="H236" s="715"/>
      <c r="I236" s="715"/>
      <c r="J236" s="568">
        <f t="shared" si="24"/>
        <v>0</v>
      </c>
      <c r="K236" s="1051"/>
      <c r="L236" s="1051"/>
      <c r="M236" s="1051"/>
      <c r="N236" s="1036">
        <f t="shared" si="19"/>
        <v>0</v>
      </c>
      <c r="O236" s="1052">
        <f t="shared" si="20"/>
        <v>0</v>
      </c>
      <c r="P236" s="1036">
        <f t="shared" si="21"/>
        <v>0</v>
      </c>
      <c r="Q236" s="1053">
        <f t="shared" si="22"/>
        <v>0</v>
      </c>
      <c r="R236" s="712">
        <f t="shared" si="23"/>
        <v>0</v>
      </c>
    </row>
    <row r="237" spans="3:18" ht="15.75" x14ac:dyDescent="0.25">
      <c r="C237" s="695"/>
      <c r="D237" s="567"/>
      <c r="E237" s="713"/>
      <c r="F237" s="713"/>
      <c r="G237" s="713"/>
      <c r="H237" s="714"/>
      <c r="I237" s="714"/>
      <c r="J237" s="568">
        <f t="shared" si="24"/>
        <v>0</v>
      </c>
      <c r="K237" s="1051"/>
      <c r="L237" s="1051"/>
      <c r="M237" s="1051"/>
      <c r="N237" s="1036">
        <f t="shared" si="19"/>
        <v>0</v>
      </c>
      <c r="O237" s="1052">
        <f t="shared" si="20"/>
        <v>0</v>
      </c>
      <c r="P237" s="1036">
        <f t="shared" si="21"/>
        <v>0</v>
      </c>
      <c r="Q237" s="1053">
        <f t="shared" si="22"/>
        <v>0</v>
      </c>
      <c r="R237" s="712">
        <f t="shared" si="23"/>
        <v>0</v>
      </c>
    </row>
    <row r="238" spans="3:18" ht="15.75" x14ac:dyDescent="0.25">
      <c r="C238" s="695"/>
      <c r="D238" s="567"/>
      <c r="E238" s="713"/>
      <c r="F238" s="713"/>
      <c r="G238" s="713"/>
      <c r="H238" s="715"/>
      <c r="I238" s="715"/>
      <c r="J238" s="568">
        <f t="shared" si="24"/>
        <v>0</v>
      </c>
      <c r="K238" s="1051"/>
      <c r="L238" s="1051"/>
      <c r="M238" s="1051"/>
      <c r="N238" s="1036">
        <f t="shared" si="19"/>
        <v>0</v>
      </c>
      <c r="O238" s="1052">
        <f t="shared" si="20"/>
        <v>0</v>
      </c>
      <c r="P238" s="1036">
        <f t="shared" si="21"/>
        <v>0</v>
      </c>
      <c r="Q238" s="1053">
        <f t="shared" si="22"/>
        <v>0</v>
      </c>
      <c r="R238" s="712">
        <f t="shared" si="23"/>
        <v>0</v>
      </c>
    </row>
    <row r="239" spans="3:18" ht="15.75" x14ac:dyDescent="0.25">
      <c r="C239" s="695"/>
      <c r="D239" s="567"/>
      <c r="E239" s="713"/>
      <c r="F239" s="713"/>
      <c r="G239" s="713"/>
      <c r="H239" s="714"/>
      <c r="I239" s="714"/>
      <c r="J239" s="568">
        <f t="shared" si="24"/>
        <v>0</v>
      </c>
      <c r="K239" s="1051"/>
      <c r="L239" s="1051"/>
      <c r="M239" s="1051"/>
      <c r="N239" s="1036">
        <f t="shared" si="19"/>
        <v>0</v>
      </c>
      <c r="O239" s="1052">
        <f t="shared" si="20"/>
        <v>0</v>
      </c>
      <c r="P239" s="1036">
        <f t="shared" si="21"/>
        <v>0</v>
      </c>
      <c r="Q239" s="1053">
        <f t="shared" si="22"/>
        <v>0</v>
      </c>
      <c r="R239" s="712">
        <f t="shared" si="23"/>
        <v>0</v>
      </c>
    </row>
    <row r="240" spans="3:18" ht="15.75" x14ac:dyDescent="0.25">
      <c r="C240" s="695"/>
      <c r="D240" s="567"/>
      <c r="E240" s="713"/>
      <c r="F240" s="713"/>
      <c r="G240" s="713"/>
      <c r="H240" s="715"/>
      <c r="I240" s="715"/>
      <c r="J240" s="568">
        <f t="shared" si="24"/>
        <v>0</v>
      </c>
      <c r="K240" s="1051"/>
      <c r="L240" s="1051"/>
      <c r="M240" s="1051"/>
      <c r="N240" s="1036">
        <f t="shared" si="19"/>
        <v>0</v>
      </c>
      <c r="O240" s="1052">
        <f t="shared" si="20"/>
        <v>0</v>
      </c>
      <c r="P240" s="1036">
        <f t="shared" si="21"/>
        <v>0</v>
      </c>
      <c r="Q240" s="1053">
        <f t="shared" si="22"/>
        <v>0</v>
      </c>
      <c r="R240" s="712">
        <f t="shared" si="23"/>
        <v>0</v>
      </c>
    </row>
    <row r="241" spans="3:18" ht="15.75" x14ac:dyDescent="0.25">
      <c r="C241" s="695"/>
      <c r="D241" s="567"/>
      <c r="E241" s="713"/>
      <c r="F241" s="713"/>
      <c r="G241" s="713"/>
      <c r="H241" s="715"/>
      <c r="I241" s="715"/>
      <c r="J241" s="568">
        <f t="shared" si="24"/>
        <v>0</v>
      </c>
      <c r="K241" s="1051"/>
      <c r="L241" s="1051"/>
      <c r="M241" s="1051"/>
      <c r="N241" s="1036">
        <f t="shared" si="19"/>
        <v>0</v>
      </c>
      <c r="O241" s="1052">
        <f t="shared" si="20"/>
        <v>0</v>
      </c>
      <c r="P241" s="1036">
        <f t="shared" si="21"/>
        <v>0</v>
      </c>
      <c r="Q241" s="1053">
        <f t="shared" si="22"/>
        <v>0</v>
      </c>
      <c r="R241" s="712">
        <f t="shared" si="23"/>
        <v>0</v>
      </c>
    </row>
    <row r="242" spans="3:18" ht="15.75" x14ac:dyDescent="0.25">
      <c r="C242" s="695"/>
      <c r="D242" s="567"/>
      <c r="E242" s="713"/>
      <c r="F242" s="713"/>
      <c r="G242" s="713"/>
      <c r="H242" s="715"/>
      <c r="I242" s="715"/>
      <c r="J242" s="568">
        <f t="shared" si="24"/>
        <v>0</v>
      </c>
      <c r="K242" s="1051"/>
      <c r="L242" s="1051"/>
      <c r="M242" s="1051"/>
      <c r="N242" s="1036">
        <f t="shared" si="19"/>
        <v>0</v>
      </c>
      <c r="O242" s="1052">
        <f t="shared" si="20"/>
        <v>0</v>
      </c>
      <c r="P242" s="1036">
        <f t="shared" si="21"/>
        <v>0</v>
      </c>
      <c r="Q242" s="1053">
        <f t="shared" si="22"/>
        <v>0</v>
      </c>
      <c r="R242" s="712">
        <f t="shared" si="23"/>
        <v>0</v>
      </c>
    </row>
    <row r="243" spans="3:18" ht="15.75" x14ac:dyDescent="0.25">
      <c r="C243" s="695"/>
      <c r="D243" s="567"/>
      <c r="E243" s="713"/>
      <c r="F243" s="713"/>
      <c r="G243" s="713"/>
      <c r="H243" s="714"/>
      <c r="I243" s="714"/>
      <c r="J243" s="568">
        <f t="shared" si="24"/>
        <v>0</v>
      </c>
      <c r="K243" s="1051"/>
      <c r="L243" s="1051"/>
      <c r="M243" s="1051"/>
      <c r="N243" s="1036">
        <f t="shared" si="19"/>
        <v>0</v>
      </c>
      <c r="O243" s="1052">
        <f t="shared" si="20"/>
        <v>0</v>
      </c>
      <c r="P243" s="1036">
        <f t="shared" si="21"/>
        <v>0</v>
      </c>
      <c r="Q243" s="1053">
        <f t="shared" si="22"/>
        <v>0</v>
      </c>
      <c r="R243" s="712">
        <f t="shared" si="23"/>
        <v>0</v>
      </c>
    </row>
    <row r="244" spans="3:18" ht="15.75" x14ac:dyDescent="0.25">
      <c r="C244" s="695"/>
      <c r="D244" s="567"/>
      <c r="E244" s="713"/>
      <c r="F244" s="713"/>
      <c r="G244" s="713"/>
      <c r="H244" s="714"/>
      <c r="I244" s="714"/>
      <c r="J244" s="568">
        <f t="shared" si="24"/>
        <v>0</v>
      </c>
      <c r="K244" s="1051"/>
      <c r="L244" s="1051"/>
      <c r="M244" s="1051"/>
      <c r="N244" s="1036">
        <f t="shared" si="19"/>
        <v>0</v>
      </c>
      <c r="O244" s="1052">
        <f t="shared" si="20"/>
        <v>0</v>
      </c>
      <c r="P244" s="1036">
        <f t="shared" si="21"/>
        <v>0</v>
      </c>
      <c r="Q244" s="1053">
        <f t="shared" si="22"/>
        <v>0</v>
      </c>
      <c r="R244" s="712">
        <f t="shared" si="23"/>
        <v>0</v>
      </c>
    </row>
    <row r="245" spans="3:18" ht="15.75" x14ac:dyDescent="0.25">
      <c r="C245" s="695"/>
      <c r="D245" s="567"/>
      <c r="E245" s="713"/>
      <c r="F245" s="713"/>
      <c r="G245" s="713"/>
      <c r="H245" s="715"/>
      <c r="I245" s="715"/>
      <c r="J245" s="568">
        <f t="shared" si="24"/>
        <v>0</v>
      </c>
      <c r="K245" s="1051"/>
      <c r="L245" s="1051"/>
      <c r="M245" s="1051"/>
      <c r="N245" s="1036">
        <f t="shared" si="19"/>
        <v>0</v>
      </c>
      <c r="O245" s="1052">
        <f t="shared" si="20"/>
        <v>0</v>
      </c>
      <c r="P245" s="1036">
        <f t="shared" si="21"/>
        <v>0</v>
      </c>
      <c r="Q245" s="1053">
        <f t="shared" si="22"/>
        <v>0</v>
      </c>
      <c r="R245" s="712">
        <f t="shared" si="23"/>
        <v>0</v>
      </c>
    </row>
    <row r="246" spans="3:18" ht="15.75" x14ac:dyDescent="0.25">
      <c r="C246" s="695"/>
      <c r="D246" s="567"/>
      <c r="E246" s="713"/>
      <c r="F246" s="713"/>
      <c r="G246" s="713"/>
      <c r="H246" s="715"/>
      <c r="I246" s="715"/>
      <c r="J246" s="568">
        <f t="shared" si="24"/>
        <v>0</v>
      </c>
      <c r="K246" s="1051"/>
      <c r="L246" s="1051"/>
      <c r="M246" s="1051"/>
      <c r="N246" s="1036">
        <f t="shared" si="19"/>
        <v>0</v>
      </c>
      <c r="O246" s="1052">
        <f t="shared" si="20"/>
        <v>0</v>
      </c>
      <c r="P246" s="1036">
        <f t="shared" si="21"/>
        <v>0</v>
      </c>
      <c r="Q246" s="1053">
        <f t="shared" si="22"/>
        <v>0</v>
      </c>
      <c r="R246" s="712">
        <f t="shared" si="23"/>
        <v>0</v>
      </c>
    </row>
    <row r="247" spans="3:18" ht="15.75" x14ac:dyDescent="0.25">
      <c r="C247" s="695"/>
      <c r="D247" s="567"/>
      <c r="E247" s="713"/>
      <c r="F247" s="713"/>
      <c r="G247" s="713"/>
      <c r="H247" s="715"/>
      <c r="I247" s="715"/>
      <c r="J247" s="568">
        <f t="shared" si="24"/>
        <v>0</v>
      </c>
      <c r="K247" s="1051"/>
      <c r="L247" s="1051"/>
      <c r="M247" s="1051"/>
      <c r="N247" s="1036">
        <f t="shared" si="19"/>
        <v>0</v>
      </c>
      <c r="O247" s="1052">
        <f t="shared" si="20"/>
        <v>0</v>
      </c>
      <c r="P247" s="1036">
        <f t="shared" si="21"/>
        <v>0</v>
      </c>
      <c r="Q247" s="1053">
        <f t="shared" si="22"/>
        <v>0</v>
      </c>
      <c r="R247" s="712">
        <f t="shared" si="23"/>
        <v>0</v>
      </c>
    </row>
    <row r="248" spans="3:18" ht="15.75" x14ac:dyDescent="0.25">
      <c r="C248" s="695"/>
      <c r="D248" s="567"/>
      <c r="E248" s="713"/>
      <c r="F248" s="713"/>
      <c r="G248" s="713"/>
      <c r="H248" s="714"/>
      <c r="I248" s="714"/>
      <c r="J248" s="568">
        <f t="shared" si="24"/>
        <v>0</v>
      </c>
      <c r="K248" s="1051"/>
      <c r="L248" s="1051"/>
      <c r="M248" s="1051"/>
      <c r="N248" s="1036">
        <f t="shared" si="19"/>
        <v>0</v>
      </c>
      <c r="O248" s="1052">
        <f t="shared" si="20"/>
        <v>0</v>
      </c>
      <c r="P248" s="1036">
        <f t="shared" si="21"/>
        <v>0</v>
      </c>
      <c r="Q248" s="1053">
        <f t="shared" si="22"/>
        <v>0</v>
      </c>
      <c r="R248" s="712">
        <f t="shared" si="23"/>
        <v>0</v>
      </c>
    </row>
    <row r="249" spans="3:18" ht="15.75" x14ac:dyDescent="0.25">
      <c r="C249" s="695"/>
      <c r="D249" s="567"/>
      <c r="E249" s="713"/>
      <c r="F249" s="713"/>
      <c r="G249" s="713"/>
      <c r="H249" s="715"/>
      <c r="I249" s="715"/>
      <c r="J249" s="568">
        <f t="shared" si="24"/>
        <v>0</v>
      </c>
      <c r="K249" s="1051"/>
      <c r="L249" s="1051"/>
      <c r="M249" s="1051"/>
      <c r="N249" s="1036">
        <f t="shared" si="19"/>
        <v>0</v>
      </c>
      <c r="O249" s="1052">
        <f t="shared" si="20"/>
        <v>0</v>
      </c>
      <c r="P249" s="1036">
        <f t="shared" si="21"/>
        <v>0</v>
      </c>
      <c r="Q249" s="1053">
        <f t="shared" si="22"/>
        <v>0</v>
      </c>
      <c r="R249" s="712">
        <f t="shared" si="23"/>
        <v>0</v>
      </c>
    </row>
    <row r="250" spans="3:18" ht="15.75" x14ac:dyDescent="0.25">
      <c r="C250" s="695"/>
      <c r="D250" s="567"/>
      <c r="E250" s="713"/>
      <c r="F250" s="713"/>
      <c r="G250" s="713"/>
      <c r="H250" s="715"/>
      <c r="I250" s="715"/>
      <c r="J250" s="568">
        <f t="shared" si="24"/>
        <v>0</v>
      </c>
      <c r="K250" s="1051"/>
      <c r="L250" s="1051"/>
      <c r="M250" s="1051"/>
      <c r="N250" s="1036">
        <f t="shared" si="19"/>
        <v>0</v>
      </c>
      <c r="O250" s="1052">
        <f t="shared" si="20"/>
        <v>0</v>
      </c>
      <c r="P250" s="1036">
        <f t="shared" si="21"/>
        <v>0</v>
      </c>
      <c r="Q250" s="1053">
        <f t="shared" si="22"/>
        <v>0</v>
      </c>
      <c r="R250" s="712">
        <f t="shared" si="23"/>
        <v>0</v>
      </c>
    </row>
    <row r="251" spans="3:18" ht="15.75" x14ac:dyDescent="0.25">
      <c r="C251" s="695"/>
      <c r="D251" s="567"/>
      <c r="E251" s="713"/>
      <c r="F251" s="713"/>
      <c r="G251" s="713"/>
      <c r="H251" s="715"/>
      <c r="I251" s="715"/>
      <c r="J251" s="568">
        <f t="shared" si="24"/>
        <v>0</v>
      </c>
      <c r="K251" s="1051"/>
      <c r="L251" s="1051"/>
      <c r="M251" s="1051"/>
      <c r="N251" s="1036">
        <f t="shared" si="19"/>
        <v>0</v>
      </c>
      <c r="O251" s="1052">
        <f t="shared" si="20"/>
        <v>0</v>
      </c>
      <c r="P251" s="1036">
        <f t="shared" si="21"/>
        <v>0</v>
      </c>
      <c r="Q251" s="1053">
        <f t="shared" si="22"/>
        <v>0</v>
      </c>
      <c r="R251" s="712">
        <f t="shared" si="23"/>
        <v>0</v>
      </c>
    </row>
    <row r="252" spans="3:18" ht="15.75" x14ac:dyDescent="0.25">
      <c r="C252" s="695"/>
      <c r="D252" s="567"/>
      <c r="E252" s="713"/>
      <c r="F252" s="713"/>
      <c r="G252" s="713"/>
      <c r="H252" s="714"/>
      <c r="I252" s="714"/>
      <c r="J252" s="568">
        <f t="shared" si="24"/>
        <v>0</v>
      </c>
      <c r="K252" s="1051"/>
      <c r="L252" s="1051"/>
      <c r="M252" s="1051"/>
      <c r="N252" s="1036">
        <f t="shared" si="19"/>
        <v>0</v>
      </c>
      <c r="O252" s="1052">
        <f t="shared" si="20"/>
        <v>0</v>
      </c>
      <c r="P252" s="1036">
        <f t="shared" si="21"/>
        <v>0</v>
      </c>
      <c r="Q252" s="1053">
        <f t="shared" si="22"/>
        <v>0</v>
      </c>
      <c r="R252" s="712">
        <f t="shared" si="23"/>
        <v>0</v>
      </c>
    </row>
    <row r="253" spans="3:18" ht="15.75" x14ac:dyDescent="0.25">
      <c r="C253" s="695"/>
      <c r="D253" s="567"/>
      <c r="E253" s="713"/>
      <c r="F253" s="713"/>
      <c r="G253" s="713"/>
      <c r="H253" s="715"/>
      <c r="I253" s="715"/>
      <c r="J253" s="568">
        <f t="shared" si="24"/>
        <v>0</v>
      </c>
      <c r="K253" s="1051"/>
      <c r="L253" s="1051"/>
      <c r="M253" s="1051"/>
      <c r="N253" s="1036">
        <f t="shared" si="19"/>
        <v>0</v>
      </c>
      <c r="O253" s="1052">
        <f t="shared" si="20"/>
        <v>0</v>
      </c>
      <c r="P253" s="1036">
        <f t="shared" si="21"/>
        <v>0</v>
      </c>
      <c r="Q253" s="1053">
        <f t="shared" si="22"/>
        <v>0</v>
      </c>
      <c r="R253" s="712">
        <f t="shared" si="23"/>
        <v>0</v>
      </c>
    </row>
    <row r="254" spans="3:18" ht="15.75" x14ac:dyDescent="0.25">
      <c r="C254" s="695"/>
      <c r="D254" s="567"/>
      <c r="E254" s="713"/>
      <c r="F254" s="713"/>
      <c r="G254" s="713"/>
      <c r="H254" s="715"/>
      <c r="I254" s="715"/>
      <c r="J254" s="568">
        <f t="shared" si="24"/>
        <v>0</v>
      </c>
      <c r="K254" s="1051"/>
      <c r="L254" s="1051"/>
      <c r="M254" s="1051"/>
      <c r="N254" s="1036">
        <f t="shared" si="19"/>
        <v>0</v>
      </c>
      <c r="O254" s="1052">
        <f t="shared" si="20"/>
        <v>0</v>
      </c>
      <c r="P254" s="1036">
        <f t="shared" si="21"/>
        <v>0</v>
      </c>
      <c r="Q254" s="1053">
        <f t="shared" si="22"/>
        <v>0</v>
      </c>
      <c r="R254" s="712">
        <f t="shared" si="23"/>
        <v>0</v>
      </c>
    </row>
    <row r="255" spans="3:18" ht="15.75" x14ac:dyDescent="0.25">
      <c r="C255" s="695"/>
      <c r="D255" s="567"/>
      <c r="E255" s="713"/>
      <c r="F255" s="713"/>
      <c r="G255" s="713"/>
      <c r="H255" s="715"/>
      <c r="I255" s="715"/>
      <c r="J255" s="568">
        <f t="shared" si="24"/>
        <v>0</v>
      </c>
      <c r="K255" s="1051"/>
      <c r="L255" s="1051"/>
      <c r="M255" s="1051"/>
      <c r="N255" s="1036">
        <f t="shared" si="19"/>
        <v>0</v>
      </c>
      <c r="O255" s="1052">
        <f t="shared" si="20"/>
        <v>0</v>
      </c>
      <c r="P255" s="1036">
        <f t="shared" si="21"/>
        <v>0</v>
      </c>
      <c r="Q255" s="1053">
        <f t="shared" si="22"/>
        <v>0</v>
      </c>
      <c r="R255" s="712">
        <f t="shared" si="23"/>
        <v>0</v>
      </c>
    </row>
    <row r="256" spans="3:18" ht="15.75" x14ac:dyDescent="0.25">
      <c r="C256" s="695"/>
      <c r="D256" s="567"/>
      <c r="E256" s="713"/>
      <c r="F256" s="713"/>
      <c r="G256" s="713"/>
      <c r="H256" s="714"/>
      <c r="I256" s="714"/>
      <c r="J256" s="568">
        <f t="shared" si="24"/>
        <v>0</v>
      </c>
      <c r="K256" s="1051"/>
      <c r="L256" s="1051"/>
      <c r="M256" s="1051"/>
      <c r="N256" s="1036">
        <f t="shared" si="19"/>
        <v>0</v>
      </c>
      <c r="O256" s="1052">
        <f t="shared" si="20"/>
        <v>0</v>
      </c>
      <c r="P256" s="1036">
        <f t="shared" si="21"/>
        <v>0</v>
      </c>
      <c r="Q256" s="1053">
        <f t="shared" si="22"/>
        <v>0</v>
      </c>
      <c r="R256" s="712">
        <f t="shared" si="23"/>
        <v>0</v>
      </c>
    </row>
    <row r="257" spans="3:18" ht="15.75" x14ac:dyDescent="0.25">
      <c r="C257" s="695"/>
      <c r="D257" s="567"/>
      <c r="E257" s="713"/>
      <c r="F257" s="713"/>
      <c r="G257" s="713"/>
      <c r="H257" s="715"/>
      <c r="I257" s="715"/>
      <c r="J257" s="568">
        <f t="shared" si="24"/>
        <v>0</v>
      </c>
      <c r="K257" s="1051"/>
      <c r="L257" s="1051"/>
      <c r="M257" s="1051"/>
      <c r="N257" s="1036">
        <f t="shared" si="19"/>
        <v>0</v>
      </c>
      <c r="O257" s="1052">
        <f t="shared" si="20"/>
        <v>0</v>
      </c>
      <c r="P257" s="1036">
        <f t="shared" si="21"/>
        <v>0</v>
      </c>
      <c r="Q257" s="1053">
        <f t="shared" si="22"/>
        <v>0</v>
      </c>
      <c r="R257" s="712">
        <f t="shared" si="23"/>
        <v>0</v>
      </c>
    </row>
    <row r="258" spans="3:18" ht="15.75" x14ac:dyDescent="0.25">
      <c r="C258" s="695"/>
      <c r="D258" s="567"/>
      <c r="E258" s="713"/>
      <c r="F258" s="713"/>
      <c r="G258" s="713"/>
      <c r="H258" s="715"/>
      <c r="I258" s="715"/>
      <c r="J258" s="568">
        <f t="shared" si="24"/>
        <v>0</v>
      </c>
      <c r="K258" s="1051"/>
      <c r="L258" s="1051"/>
      <c r="M258" s="1051"/>
      <c r="N258" s="1036">
        <f t="shared" si="19"/>
        <v>0</v>
      </c>
      <c r="O258" s="1052">
        <f t="shared" si="20"/>
        <v>0</v>
      </c>
      <c r="P258" s="1036">
        <f t="shared" si="21"/>
        <v>0</v>
      </c>
      <c r="Q258" s="1053">
        <f t="shared" si="22"/>
        <v>0</v>
      </c>
      <c r="R258" s="712">
        <f t="shared" si="23"/>
        <v>0</v>
      </c>
    </row>
    <row r="259" spans="3:18" ht="15.75" x14ac:dyDescent="0.25">
      <c r="C259" s="695"/>
      <c r="D259" s="567"/>
      <c r="E259" s="713"/>
      <c r="F259" s="713"/>
      <c r="G259" s="713"/>
      <c r="H259" s="715"/>
      <c r="I259" s="715"/>
      <c r="J259" s="568">
        <f t="shared" si="24"/>
        <v>0</v>
      </c>
      <c r="K259" s="1051"/>
      <c r="L259" s="1051"/>
      <c r="M259" s="1051"/>
      <c r="N259" s="1036">
        <f t="shared" si="19"/>
        <v>0</v>
      </c>
      <c r="O259" s="1052">
        <f t="shared" si="20"/>
        <v>0</v>
      </c>
      <c r="P259" s="1036">
        <f t="shared" si="21"/>
        <v>0</v>
      </c>
      <c r="Q259" s="1053">
        <f t="shared" si="22"/>
        <v>0</v>
      </c>
      <c r="R259" s="712">
        <f t="shared" si="23"/>
        <v>0</v>
      </c>
    </row>
    <row r="260" spans="3:18" ht="15.75" x14ac:dyDescent="0.25">
      <c r="C260" s="695"/>
      <c r="D260" s="567"/>
      <c r="E260" s="713"/>
      <c r="F260" s="713"/>
      <c r="G260" s="713"/>
      <c r="H260" s="714"/>
      <c r="I260" s="714"/>
      <c r="J260" s="568">
        <f t="shared" si="24"/>
        <v>0</v>
      </c>
      <c r="K260" s="1051"/>
      <c r="L260" s="1051"/>
      <c r="M260" s="1051"/>
      <c r="N260" s="1036">
        <f t="shared" si="19"/>
        <v>0</v>
      </c>
      <c r="O260" s="1052">
        <f t="shared" si="20"/>
        <v>0</v>
      </c>
      <c r="P260" s="1036">
        <f t="shared" si="21"/>
        <v>0</v>
      </c>
      <c r="Q260" s="1053">
        <f t="shared" si="22"/>
        <v>0</v>
      </c>
      <c r="R260" s="712">
        <f t="shared" si="23"/>
        <v>0</v>
      </c>
    </row>
    <row r="261" spans="3:18" ht="15.75" x14ac:dyDescent="0.25">
      <c r="C261" s="695"/>
      <c r="D261" s="567"/>
      <c r="E261" s="713"/>
      <c r="F261" s="713"/>
      <c r="G261" s="713"/>
      <c r="H261" s="715"/>
      <c r="I261" s="715"/>
      <c r="J261" s="568">
        <f t="shared" si="24"/>
        <v>0</v>
      </c>
      <c r="K261" s="1051"/>
      <c r="L261" s="1051"/>
      <c r="M261" s="1051"/>
      <c r="N261" s="1036">
        <f t="shared" si="19"/>
        <v>0</v>
      </c>
      <c r="O261" s="1052">
        <f t="shared" si="20"/>
        <v>0</v>
      </c>
      <c r="P261" s="1036">
        <f t="shared" si="21"/>
        <v>0</v>
      </c>
      <c r="Q261" s="1053">
        <f t="shared" si="22"/>
        <v>0</v>
      </c>
      <c r="R261" s="712">
        <f t="shared" si="23"/>
        <v>0</v>
      </c>
    </row>
    <row r="262" spans="3:18" ht="15.75" x14ac:dyDescent="0.25">
      <c r="C262" s="695"/>
      <c r="D262" s="567"/>
      <c r="E262" s="713"/>
      <c r="F262" s="713"/>
      <c r="G262" s="713"/>
      <c r="H262" s="715"/>
      <c r="I262" s="715"/>
      <c r="J262" s="568">
        <f t="shared" si="24"/>
        <v>0</v>
      </c>
      <c r="K262" s="1051"/>
      <c r="L262" s="1051"/>
      <c r="M262" s="1051"/>
      <c r="N262" s="1036">
        <f t="shared" si="19"/>
        <v>0</v>
      </c>
      <c r="O262" s="1052">
        <f t="shared" si="20"/>
        <v>0</v>
      </c>
      <c r="P262" s="1036">
        <f t="shared" si="21"/>
        <v>0</v>
      </c>
      <c r="Q262" s="1053">
        <f t="shared" si="22"/>
        <v>0</v>
      </c>
      <c r="R262" s="712">
        <f t="shared" si="23"/>
        <v>0</v>
      </c>
    </row>
    <row r="263" spans="3:18" ht="15.75" x14ac:dyDescent="0.25">
      <c r="C263" s="695"/>
      <c r="D263" s="567"/>
      <c r="E263" s="713"/>
      <c r="F263" s="713"/>
      <c r="G263" s="713"/>
      <c r="H263" s="715"/>
      <c r="I263" s="715"/>
      <c r="J263" s="568">
        <f t="shared" si="24"/>
        <v>0</v>
      </c>
      <c r="K263" s="1051"/>
      <c r="L263" s="1051"/>
      <c r="M263" s="1051"/>
      <c r="N263" s="1036">
        <f t="shared" si="19"/>
        <v>0</v>
      </c>
      <c r="O263" s="1052">
        <f t="shared" si="20"/>
        <v>0</v>
      </c>
      <c r="P263" s="1036">
        <f t="shared" si="21"/>
        <v>0</v>
      </c>
      <c r="Q263" s="1053">
        <f t="shared" si="22"/>
        <v>0</v>
      </c>
      <c r="R263" s="712">
        <f t="shared" si="23"/>
        <v>0</v>
      </c>
    </row>
    <row r="264" spans="3:18" ht="15.75" x14ac:dyDescent="0.25">
      <c r="C264" s="695"/>
      <c r="D264" s="567"/>
      <c r="E264" s="713"/>
      <c r="F264" s="713"/>
      <c r="G264" s="713"/>
      <c r="H264" s="714"/>
      <c r="I264" s="714"/>
      <c r="J264" s="568">
        <f t="shared" si="24"/>
        <v>0</v>
      </c>
      <c r="K264" s="1051"/>
      <c r="L264" s="1051"/>
      <c r="M264" s="1051"/>
      <c r="N264" s="1036">
        <f t="shared" si="19"/>
        <v>0</v>
      </c>
      <c r="O264" s="1052">
        <f t="shared" si="20"/>
        <v>0</v>
      </c>
      <c r="P264" s="1036">
        <f t="shared" si="21"/>
        <v>0</v>
      </c>
      <c r="Q264" s="1053">
        <f t="shared" si="22"/>
        <v>0</v>
      </c>
      <c r="R264" s="712">
        <f t="shared" si="23"/>
        <v>0</v>
      </c>
    </row>
    <row r="265" spans="3:18" ht="15.75" x14ac:dyDescent="0.25">
      <c r="C265" s="695"/>
      <c r="D265" s="567"/>
      <c r="E265" s="713"/>
      <c r="F265" s="713"/>
      <c r="G265" s="713"/>
      <c r="H265" s="715"/>
      <c r="I265" s="715"/>
      <c r="J265" s="568">
        <f t="shared" si="24"/>
        <v>0</v>
      </c>
      <c r="K265" s="1051"/>
      <c r="L265" s="1051"/>
      <c r="M265" s="1051"/>
      <c r="N265" s="1036">
        <f t="shared" si="19"/>
        <v>0</v>
      </c>
      <c r="O265" s="1052">
        <f t="shared" si="20"/>
        <v>0</v>
      </c>
      <c r="P265" s="1036">
        <f t="shared" si="21"/>
        <v>0</v>
      </c>
      <c r="Q265" s="1053">
        <f t="shared" si="22"/>
        <v>0</v>
      </c>
      <c r="R265" s="712">
        <f t="shared" si="23"/>
        <v>0</v>
      </c>
    </row>
    <row r="266" spans="3:18" ht="15.75" x14ac:dyDescent="0.25">
      <c r="C266" s="695"/>
      <c r="D266" s="567"/>
      <c r="E266" s="713"/>
      <c r="F266" s="713"/>
      <c r="G266" s="713"/>
      <c r="H266" s="715"/>
      <c r="I266" s="715"/>
      <c r="J266" s="568">
        <f t="shared" si="24"/>
        <v>0</v>
      </c>
      <c r="K266" s="1051"/>
      <c r="L266" s="1051"/>
      <c r="M266" s="1051"/>
      <c r="N266" s="1036">
        <f t="shared" si="19"/>
        <v>0</v>
      </c>
      <c r="O266" s="1052">
        <f t="shared" si="20"/>
        <v>0</v>
      </c>
      <c r="P266" s="1036">
        <f t="shared" si="21"/>
        <v>0</v>
      </c>
      <c r="Q266" s="1053">
        <f t="shared" si="22"/>
        <v>0</v>
      </c>
      <c r="R266" s="712">
        <f t="shared" si="23"/>
        <v>0</v>
      </c>
    </row>
    <row r="267" spans="3:18" ht="15.75" x14ac:dyDescent="0.25">
      <c r="C267" s="695"/>
      <c r="D267" s="567"/>
      <c r="E267" s="713"/>
      <c r="F267" s="713"/>
      <c r="G267" s="713"/>
      <c r="H267" s="715"/>
      <c r="I267" s="715"/>
      <c r="J267" s="568">
        <f t="shared" si="24"/>
        <v>0</v>
      </c>
      <c r="K267" s="1051"/>
      <c r="L267" s="1051"/>
      <c r="M267" s="1051"/>
      <c r="N267" s="1036">
        <f t="shared" si="19"/>
        <v>0</v>
      </c>
      <c r="O267" s="1052">
        <f t="shared" si="20"/>
        <v>0</v>
      </c>
      <c r="P267" s="1036">
        <f t="shared" si="21"/>
        <v>0</v>
      </c>
      <c r="Q267" s="1053">
        <f t="shared" si="22"/>
        <v>0</v>
      </c>
      <c r="R267" s="712">
        <f t="shared" si="23"/>
        <v>0</v>
      </c>
    </row>
    <row r="268" spans="3:18" ht="15.75" x14ac:dyDescent="0.25">
      <c r="C268" s="695"/>
      <c r="D268" s="567"/>
      <c r="E268" s="713"/>
      <c r="F268" s="713"/>
      <c r="G268" s="713"/>
      <c r="H268" s="714"/>
      <c r="I268" s="714"/>
      <c r="J268" s="568">
        <f t="shared" si="24"/>
        <v>0</v>
      </c>
      <c r="K268" s="1051"/>
      <c r="L268" s="1051"/>
      <c r="M268" s="1051"/>
      <c r="N268" s="1036">
        <f t="shared" si="19"/>
        <v>0</v>
      </c>
      <c r="O268" s="1052">
        <f t="shared" si="20"/>
        <v>0</v>
      </c>
      <c r="P268" s="1036">
        <f t="shared" si="21"/>
        <v>0</v>
      </c>
      <c r="Q268" s="1053">
        <f t="shared" si="22"/>
        <v>0</v>
      </c>
      <c r="R268" s="712">
        <f t="shared" si="23"/>
        <v>0</v>
      </c>
    </row>
    <row r="269" spans="3:18" ht="15.75" x14ac:dyDescent="0.25">
      <c r="C269" s="695"/>
      <c r="D269" s="567"/>
      <c r="E269" s="713"/>
      <c r="F269" s="713"/>
      <c r="G269" s="713"/>
      <c r="H269" s="715"/>
      <c r="I269" s="715"/>
      <c r="J269" s="568">
        <f t="shared" si="24"/>
        <v>0</v>
      </c>
      <c r="K269" s="1051"/>
      <c r="L269" s="1051"/>
      <c r="M269" s="1051"/>
      <c r="N269" s="1036">
        <f t="shared" si="19"/>
        <v>0</v>
      </c>
      <c r="O269" s="1052">
        <f t="shared" si="20"/>
        <v>0</v>
      </c>
      <c r="P269" s="1036">
        <f t="shared" si="21"/>
        <v>0</v>
      </c>
      <c r="Q269" s="1053">
        <f t="shared" si="22"/>
        <v>0</v>
      </c>
      <c r="R269" s="712">
        <f t="shared" si="23"/>
        <v>0</v>
      </c>
    </row>
    <row r="270" spans="3:18" ht="15.75" x14ac:dyDescent="0.25">
      <c r="C270" s="695"/>
      <c r="D270" s="567"/>
      <c r="E270" s="713"/>
      <c r="F270" s="713"/>
      <c r="G270" s="713"/>
      <c r="H270" s="715"/>
      <c r="I270" s="715"/>
      <c r="J270" s="568">
        <f t="shared" si="24"/>
        <v>0</v>
      </c>
      <c r="K270" s="1051"/>
      <c r="L270" s="1051"/>
      <c r="M270" s="1051"/>
      <c r="N270" s="1036">
        <f t="shared" si="19"/>
        <v>0</v>
      </c>
      <c r="O270" s="1052">
        <f t="shared" si="20"/>
        <v>0</v>
      </c>
      <c r="P270" s="1036">
        <f t="shared" si="21"/>
        <v>0</v>
      </c>
      <c r="Q270" s="1053">
        <f t="shared" si="22"/>
        <v>0</v>
      </c>
      <c r="R270" s="712">
        <f t="shared" si="23"/>
        <v>0</v>
      </c>
    </row>
    <row r="271" spans="3:18" ht="15.75" x14ac:dyDescent="0.25">
      <c r="C271" s="695"/>
      <c r="D271" s="567"/>
      <c r="E271" s="713"/>
      <c r="F271" s="713"/>
      <c r="G271" s="713"/>
      <c r="H271" s="715"/>
      <c r="I271" s="715"/>
      <c r="J271" s="568">
        <f t="shared" si="24"/>
        <v>0</v>
      </c>
      <c r="K271" s="1051"/>
      <c r="L271" s="1051"/>
      <c r="M271" s="1051"/>
      <c r="N271" s="1036">
        <f t="shared" si="19"/>
        <v>0</v>
      </c>
      <c r="O271" s="1052">
        <f t="shared" si="20"/>
        <v>0</v>
      </c>
      <c r="P271" s="1036">
        <f t="shared" si="21"/>
        <v>0</v>
      </c>
      <c r="Q271" s="1053">
        <f t="shared" si="22"/>
        <v>0</v>
      </c>
      <c r="R271" s="712">
        <f t="shared" si="23"/>
        <v>0</v>
      </c>
    </row>
    <row r="272" spans="3:18" ht="15.75" x14ac:dyDescent="0.25">
      <c r="C272" s="695"/>
      <c r="D272" s="567"/>
      <c r="E272" s="713"/>
      <c r="F272" s="713"/>
      <c r="G272" s="713"/>
      <c r="H272" s="714"/>
      <c r="I272" s="714"/>
      <c r="J272" s="568">
        <f t="shared" si="24"/>
        <v>0</v>
      </c>
      <c r="K272" s="1051"/>
      <c r="L272" s="1051"/>
      <c r="M272" s="1051"/>
      <c r="N272" s="1036">
        <f t="shared" si="19"/>
        <v>0</v>
      </c>
      <c r="O272" s="1052">
        <f t="shared" si="20"/>
        <v>0</v>
      </c>
      <c r="P272" s="1036">
        <f t="shared" si="21"/>
        <v>0</v>
      </c>
      <c r="Q272" s="1053">
        <f t="shared" si="22"/>
        <v>0</v>
      </c>
      <c r="R272" s="712">
        <f t="shared" si="23"/>
        <v>0</v>
      </c>
    </row>
    <row r="273" spans="3:18" ht="15.75" x14ac:dyDescent="0.25">
      <c r="C273" s="695"/>
      <c r="D273" s="567"/>
      <c r="E273" s="713"/>
      <c r="F273" s="713"/>
      <c r="G273" s="713"/>
      <c r="H273" s="715"/>
      <c r="I273" s="715"/>
      <c r="J273" s="568">
        <f t="shared" si="24"/>
        <v>0</v>
      </c>
      <c r="K273" s="1051"/>
      <c r="L273" s="1051"/>
      <c r="M273" s="1051"/>
      <c r="N273" s="1036">
        <f t="shared" si="19"/>
        <v>0</v>
      </c>
      <c r="O273" s="1052">
        <f t="shared" si="20"/>
        <v>0</v>
      </c>
      <c r="P273" s="1036">
        <f t="shared" si="21"/>
        <v>0</v>
      </c>
      <c r="Q273" s="1053">
        <f t="shared" si="22"/>
        <v>0</v>
      </c>
      <c r="R273" s="712">
        <f t="shared" si="23"/>
        <v>0</v>
      </c>
    </row>
    <row r="274" spans="3:18" ht="15.75" x14ac:dyDescent="0.25">
      <c r="C274" s="695"/>
      <c r="D274" s="567"/>
      <c r="E274" s="713"/>
      <c r="F274" s="713"/>
      <c r="G274" s="713"/>
      <c r="H274" s="715"/>
      <c r="I274" s="715"/>
      <c r="J274" s="568">
        <f t="shared" si="24"/>
        <v>0</v>
      </c>
      <c r="K274" s="1051"/>
      <c r="L274" s="1051"/>
      <c r="M274" s="1051"/>
      <c r="N274" s="1036">
        <f t="shared" ref="N274:N337" si="25">L274*M274</f>
        <v>0</v>
      </c>
      <c r="O274" s="1052">
        <f t="shared" ref="O274:O337" si="26">COUNTIF($G$16:$G$4001,G274)</f>
        <v>0</v>
      </c>
      <c r="P274" s="1036">
        <f t="shared" ref="P274:P337" si="27">IF(C274&gt;0,IF(AND(E274="א-ג",J274&gt;0),MIN(I274,15)*MIN(H274,75),IF(AND(E274="ד-ו",N274&gt;0),MIN(L274,59.57)*MIN(M274,75),0)),0)</f>
        <v>0</v>
      </c>
      <c r="Q274" s="1053">
        <f t="shared" ref="Q274:Q337" si="28">IF(E274="א-ג",MIN(J274,P274),MIN(N274,P274))</f>
        <v>0</v>
      </c>
      <c r="R274" s="712">
        <f t="shared" ref="R274:R337" si="29">IF(E274="א-ג",Q274/1125,Q274/$R$7)</f>
        <v>0</v>
      </c>
    </row>
    <row r="275" spans="3:18" ht="15.75" x14ac:dyDescent="0.25">
      <c r="C275" s="695"/>
      <c r="D275" s="567"/>
      <c r="E275" s="713"/>
      <c r="F275" s="713"/>
      <c r="G275" s="713"/>
      <c r="H275" s="715"/>
      <c r="I275" s="715"/>
      <c r="J275" s="568">
        <f t="shared" si="24"/>
        <v>0</v>
      </c>
      <c r="K275" s="1051"/>
      <c r="L275" s="1051"/>
      <c r="M275" s="1051"/>
      <c r="N275" s="1036">
        <f t="shared" si="25"/>
        <v>0</v>
      </c>
      <c r="O275" s="1052">
        <f t="shared" si="26"/>
        <v>0</v>
      </c>
      <c r="P275" s="1036">
        <f t="shared" si="27"/>
        <v>0</v>
      </c>
      <c r="Q275" s="1053">
        <f t="shared" si="28"/>
        <v>0</v>
      </c>
      <c r="R275" s="712">
        <f t="shared" si="29"/>
        <v>0</v>
      </c>
    </row>
    <row r="276" spans="3:18" ht="15.75" x14ac:dyDescent="0.25">
      <c r="C276" s="695"/>
      <c r="D276" s="567"/>
      <c r="E276" s="713"/>
      <c r="F276" s="713"/>
      <c r="G276" s="713"/>
      <c r="H276" s="714"/>
      <c r="I276" s="714"/>
      <c r="J276" s="568">
        <f t="shared" si="24"/>
        <v>0</v>
      </c>
      <c r="K276" s="1051"/>
      <c r="L276" s="1051"/>
      <c r="M276" s="1051"/>
      <c r="N276" s="1036">
        <f t="shared" si="25"/>
        <v>0</v>
      </c>
      <c r="O276" s="1052">
        <f t="shared" si="26"/>
        <v>0</v>
      </c>
      <c r="P276" s="1036">
        <f t="shared" si="27"/>
        <v>0</v>
      </c>
      <c r="Q276" s="1053">
        <f t="shared" si="28"/>
        <v>0</v>
      </c>
      <c r="R276" s="712">
        <f t="shared" si="29"/>
        <v>0</v>
      </c>
    </row>
    <row r="277" spans="3:18" ht="15.75" x14ac:dyDescent="0.25">
      <c r="C277" s="695"/>
      <c r="D277" s="567"/>
      <c r="E277" s="713"/>
      <c r="F277" s="713"/>
      <c r="G277" s="713"/>
      <c r="H277" s="715"/>
      <c r="I277" s="715"/>
      <c r="J277" s="568">
        <f t="shared" si="24"/>
        <v>0</v>
      </c>
      <c r="K277" s="1051"/>
      <c r="L277" s="1051"/>
      <c r="M277" s="1051"/>
      <c r="N277" s="1036">
        <f t="shared" si="25"/>
        <v>0</v>
      </c>
      <c r="O277" s="1052">
        <f t="shared" si="26"/>
        <v>0</v>
      </c>
      <c r="P277" s="1036">
        <f t="shared" si="27"/>
        <v>0</v>
      </c>
      <c r="Q277" s="1053">
        <f t="shared" si="28"/>
        <v>0</v>
      </c>
      <c r="R277" s="712">
        <f t="shared" si="29"/>
        <v>0</v>
      </c>
    </row>
    <row r="278" spans="3:18" ht="15.75" x14ac:dyDescent="0.25">
      <c r="C278" s="695"/>
      <c r="D278" s="567"/>
      <c r="E278" s="713"/>
      <c r="F278" s="713"/>
      <c r="G278" s="713"/>
      <c r="H278" s="715"/>
      <c r="I278" s="715"/>
      <c r="J278" s="568">
        <f t="shared" si="24"/>
        <v>0</v>
      </c>
      <c r="K278" s="1051"/>
      <c r="L278" s="1051"/>
      <c r="M278" s="1051"/>
      <c r="N278" s="1036">
        <f t="shared" si="25"/>
        <v>0</v>
      </c>
      <c r="O278" s="1052">
        <f t="shared" si="26"/>
        <v>0</v>
      </c>
      <c r="P278" s="1036">
        <f t="shared" si="27"/>
        <v>0</v>
      </c>
      <c r="Q278" s="1053">
        <f t="shared" si="28"/>
        <v>0</v>
      </c>
      <c r="R278" s="712">
        <f t="shared" si="29"/>
        <v>0</v>
      </c>
    </row>
    <row r="279" spans="3:18" ht="15.75" x14ac:dyDescent="0.25">
      <c r="C279" s="695"/>
      <c r="D279" s="567"/>
      <c r="E279" s="713"/>
      <c r="F279" s="713"/>
      <c r="G279" s="713"/>
      <c r="H279" s="715"/>
      <c r="I279" s="715"/>
      <c r="J279" s="568">
        <f t="shared" si="24"/>
        <v>0</v>
      </c>
      <c r="K279" s="1051"/>
      <c r="L279" s="1051"/>
      <c r="M279" s="1051"/>
      <c r="N279" s="1036">
        <f t="shared" si="25"/>
        <v>0</v>
      </c>
      <c r="O279" s="1052">
        <f t="shared" si="26"/>
        <v>0</v>
      </c>
      <c r="P279" s="1036">
        <f t="shared" si="27"/>
        <v>0</v>
      </c>
      <c r="Q279" s="1053">
        <f t="shared" si="28"/>
        <v>0</v>
      </c>
      <c r="R279" s="712">
        <f t="shared" si="29"/>
        <v>0</v>
      </c>
    </row>
    <row r="280" spans="3:18" ht="15.75" x14ac:dyDescent="0.25">
      <c r="C280" s="695"/>
      <c r="D280" s="567"/>
      <c r="E280" s="713"/>
      <c r="F280" s="713"/>
      <c r="G280" s="713"/>
      <c r="H280" s="714"/>
      <c r="I280" s="714"/>
      <c r="J280" s="568">
        <f t="shared" si="24"/>
        <v>0</v>
      </c>
      <c r="K280" s="1051"/>
      <c r="L280" s="1051"/>
      <c r="M280" s="1051"/>
      <c r="N280" s="1036">
        <f t="shared" si="25"/>
        <v>0</v>
      </c>
      <c r="O280" s="1052">
        <f t="shared" si="26"/>
        <v>0</v>
      </c>
      <c r="P280" s="1036">
        <f t="shared" si="27"/>
        <v>0</v>
      </c>
      <c r="Q280" s="1053">
        <f t="shared" si="28"/>
        <v>0</v>
      </c>
      <c r="R280" s="712">
        <f t="shared" si="29"/>
        <v>0</v>
      </c>
    </row>
    <row r="281" spans="3:18" ht="15.75" x14ac:dyDescent="0.25">
      <c r="C281" s="695"/>
      <c r="D281" s="567"/>
      <c r="E281" s="713"/>
      <c r="F281" s="713"/>
      <c r="G281" s="713"/>
      <c r="H281" s="715"/>
      <c r="I281" s="715"/>
      <c r="J281" s="568">
        <f t="shared" si="24"/>
        <v>0</v>
      </c>
      <c r="K281" s="1051"/>
      <c r="L281" s="1051"/>
      <c r="M281" s="1051"/>
      <c r="N281" s="1036">
        <f t="shared" si="25"/>
        <v>0</v>
      </c>
      <c r="O281" s="1052">
        <f t="shared" si="26"/>
        <v>0</v>
      </c>
      <c r="P281" s="1036">
        <f t="shared" si="27"/>
        <v>0</v>
      </c>
      <c r="Q281" s="1053">
        <f t="shared" si="28"/>
        <v>0</v>
      </c>
      <c r="R281" s="712">
        <f t="shared" si="29"/>
        <v>0</v>
      </c>
    </row>
    <row r="282" spans="3:18" ht="15.75" x14ac:dyDescent="0.25">
      <c r="C282" s="695"/>
      <c r="D282" s="567"/>
      <c r="E282" s="713"/>
      <c r="F282" s="713"/>
      <c r="G282" s="713"/>
      <c r="H282" s="715"/>
      <c r="I282" s="715"/>
      <c r="J282" s="568">
        <f t="shared" ref="J282:J345" si="30">IFERROR(H282*I282,"")</f>
        <v>0</v>
      </c>
      <c r="K282" s="1051"/>
      <c r="L282" s="1051"/>
      <c r="M282" s="1051"/>
      <c r="N282" s="1036">
        <f t="shared" si="25"/>
        <v>0</v>
      </c>
      <c r="O282" s="1052">
        <f t="shared" si="26"/>
        <v>0</v>
      </c>
      <c r="P282" s="1036">
        <f t="shared" si="27"/>
        <v>0</v>
      </c>
      <c r="Q282" s="1053">
        <f t="shared" si="28"/>
        <v>0</v>
      </c>
      <c r="R282" s="712">
        <f t="shared" si="29"/>
        <v>0</v>
      </c>
    </row>
    <row r="283" spans="3:18" ht="15.75" x14ac:dyDescent="0.25">
      <c r="C283" s="695"/>
      <c r="D283" s="567"/>
      <c r="E283" s="713"/>
      <c r="F283" s="713"/>
      <c r="G283" s="713"/>
      <c r="H283" s="715"/>
      <c r="I283" s="715"/>
      <c r="J283" s="568">
        <f t="shared" si="30"/>
        <v>0</v>
      </c>
      <c r="K283" s="1051"/>
      <c r="L283" s="1051"/>
      <c r="M283" s="1051"/>
      <c r="N283" s="1036">
        <f t="shared" si="25"/>
        <v>0</v>
      </c>
      <c r="O283" s="1052">
        <f t="shared" si="26"/>
        <v>0</v>
      </c>
      <c r="P283" s="1036">
        <f t="shared" si="27"/>
        <v>0</v>
      </c>
      <c r="Q283" s="1053">
        <f t="shared" si="28"/>
        <v>0</v>
      </c>
      <c r="R283" s="712">
        <f t="shared" si="29"/>
        <v>0</v>
      </c>
    </row>
    <row r="284" spans="3:18" ht="15.75" x14ac:dyDescent="0.25">
      <c r="C284" s="695"/>
      <c r="D284" s="567"/>
      <c r="E284" s="713"/>
      <c r="F284" s="713"/>
      <c r="G284" s="713"/>
      <c r="H284" s="714"/>
      <c r="I284" s="714"/>
      <c r="J284" s="568">
        <f t="shared" si="30"/>
        <v>0</v>
      </c>
      <c r="K284" s="1051"/>
      <c r="L284" s="1051"/>
      <c r="M284" s="1051"/>
      <c r="N284" s="1036">
        <f t="shared" si="25"/>
        <v>0</v>
      </c>
      <c r="O284" s="1052">
        <f t="shared" si="26"/>
        <v>0</v>
      </c>
      <c r="P284" s="1036">
        <f t="shared" si="27"/>
        <v>0</v>
      </c>
      <c r="Q284" s="1053">
        <f t="shared" si="28"/>
        <v>0</v>
      </c>
      <c r="R284" s="712">
        <f t="shared" si="29"/>
        <v>0</v>
      </c>
    </row>
    <row r="285" spans="3:18" ht="15.75" x14ac:dyDescent="0.25">
      <c r="C285" s="695"/>
      <c r="D285" s="567"/>
      <c r="E285" s="713"/>
      <c r="F285" s="713"/>
      <c r="G285" s="713"/>
      <c r="H285" s="715"/>
      <c r="I285" s="715"/>
      <c r="J285" s="568">
        <f t="shared" si="30"/>
        <v>0</v>
      </c>
      <c r="K285" s="1051"/>
      <c r="L285" s="1051"/>
      <c r="M285" s="1051"/>
      <c r="N285" s="1036">
        <f t="shared" si="25"/>
        <v>0</v>
      </c>
      <c r="O285" s="1052">
        <f t="shared" si="26"/>
        <v>0</v>
      </c>
      <c r="P285" s="1036">
        <f t="shared" si="27"/>
        <v>0</v>
      </c>
      <c r="Q285" s="1053">
        <f t="shared" si="28"/>
        <v>0</v>
      </c>
      <c r="R285" s="712">
        <f t="shared" si="29"/>
        <v>0</v>
      </c>
    </row>
    <row r="286" spans="3:18" ht="15.75" x14ac:dyDescent="0.25">
      <c r="C286" s="695"/>
      <c r="D286" s="567"/>
      <c r="E286" s="713"/>
      <c r="F286" s="713"/>
      <c r="G286" s="713"/>
      <c r="H286" s="714"/>
      <c r="I286" s="714"/>
      <c r="J286" s="568">
        <f t="shared" si="30"/>
        <v>0</v>
      </c>
      <c r="K286" s="1051"/>
      <c r="L286" s="1051"/>
      <c r="M286" s="1051"/>
      <c r="N286" s="1036">
        <f t="shared" si="25"/>
        <v>0</v>
      </c>
      <c r="O286" s="1052">
        <f t="shared" si="26"/>
        <v>0</v>
      </c>
      <c r="P286" s="1036">
        <f t="shared" si="27"/>
        <v>0</v>
      </c>
      <c r="Q286" s="1053">
        <f t="shared" si="28"/>
        <v>0</v>
      </c>
      <c r="R286" s="712">
        <f t="shared" si="29"/>
        <v>0</v>
      </c>
    </row>
    <row r="287" spans="3:18" ht="15.75" x14ac:dyDescent="0.25">
      <c r="C287" s="695"/>
      <c r="D287" s="567"/>
      <c r="E287" s="713"/>
      <c r="F287" s="713"/>
      <c r="G287" s="713"/>
      <c r="H287" s="715"/>
      <c r="I287" s="715"/>
      <c r="J287" s="568">
        <f t="shared" si="30"/>
        <v>0</v>
      </c>
      <c r="K287" s="1051"/>
      <c r="L287" s="1051"/>
      <c r="M287" s="1051"/>
      <c r="N287" s="1036">
        <f t="shared" si="25"/>
        <v>0</v>
      </c>
      <c r="O287" s="1052">
        <f t="shared" si="26"/>
        <v>0</v>
      </c>
      <c r="P287" s="1036">
        <f t="shared" si="27"/>
        <v>0</v>
      </c>
      <c r="Q287" s="1053">
        <f t="shared" si="28"/>
        <v>0</v>
      </c>
      <c r="R287" s="712">
        <f t="shared" si="29"/>
        <v>0</v>
      </c>
    </row>
    <row r="288" spans="3:18" ht="15.75" x14ac:dyDescent="0.25">
      <c r="C288" s="695"/>
      <c r="D288" s="567"/>
      <c r="E288" s="713"/>
      <c r="F288" s="713"/>
      <c r="G288" s="713"/>
      <c r="H288" s="715"/>
      <c r="I288" s="715"/>
      <c r="J288" s="568">
        <f t="shared" si="30"/>
        <v>0</v>
      </c>
      <c r="K288" s="1051"/>
      <c r="L288" s="1051"/>
      <c r="M288" s="1051"/>
      <c r="N288" s="1036">
        <f t="shared" si="25"/>
        <v>0</v>
      </c>
      <c r="O288" s="1052">
        <f t="shared" si="26"/>
        <v>0</v>
      </c>
      <c r="P288" s="1036">
        <f t="shared" si="27"/>
        <v>0</v>
      </c>
      <c r="Q288" s="1053">
        <f t="shared" si="28"/>
        <v>0</v>
      </c>
      <c r="R288" s="712">
        <f t="shared" si="29"/>
        <v>0</v>
      </c>
    </row>
    <row r="289" spans="3:18" ht="15.75" x14ac:dyDescent="0.25">
      <c r="C289" s="695"/>
      <c r="D289" s="567"/>
      <c r="E289" s="713"/>
      <c r="F289" s="713"/>
      <c r="G289" s="713"/>
      <c r="H289" s="715"/>
      <c r="I289" s="715"/>
      <c r="J289" s="568">
        <f t="shared" si="30"/>
        <v>0</v>
      </c>
      <c r="K289" s="1051"/>
      <c r="L289" s="1051"/>
      <c r="M289" s="1051"/>
      <c r="N289" s="1036">
        <f t="shared" si="25"/>
        <v>0</v>
      </c>
      <c r="O289" s="1052">
        <f t="shared" si="26"/>
        <v>0</v>
      </c>
      <c r="P289" s="1036">
        <f t="shared" si="27"/>
        <v>0</v>
      </c>
      <c r="Q289" s="1053">
        <f t="shared" si="28"/>
        <v>0</v>
      </c>
      <c r="R289" s="712">
        <f t="shared" si="29"/>
        <v>0</v>
      </c>
    </row>
    <row r="290" spans="3:18" ht="15.75" x14ac:dyDescent="0.25">
      <c r="C290" s="695"/>
      <c r="D290" s="567"/>
      <c r="E290" s="713"/>
      <c r="F290" s="713"/>
      <c r="G290" s="713"/>
      <c r="H290" s="714"/>
      <c r="I290" s="714"/>
      <c r="J290" s="568">
        <f t="shared" si="30"/>
        <v>0</v>
      </c>
      <c r="K290" s="1051"/>
      <c r="L290" s="1051"/>
      <c r="M290" s="1051"/>
      <c r="N290" s="1036">
        <f t="shared" si="25"/>
        <v>0</v>
      </c>
      <c r="O290" s="1052">
        <f t="shared" si="26"/>
        <v>0</v>
      </c>
      <c r="P290" s="1036">
        <f t="shared" si="27"/>
        <v>0</v>
      </c>
      <c r="Q290" s="1053">
        <f t="shared" si="28"/>
        <v>0</v>
      </c>
      <c r="R290" s="712">
        <f t="shared" si="29"/>
        <v>0</v>
      </c>
    </row>
    <row r="291" spans="3:18" ht="15.75" x14ac:dyDescent="0.25">
      <c r="C291" s="695"/>
      <c r="D291" s="567"/>
      <c r="E291" s="713"/>
      <c r="F291" s="713"/>
      <c r="G291" s="713"/>
      <c r="H291" s="714"/>
      <c r="I291" s="714"/>
      <c r="J291" s="568">
        <f t="shared" si="30"/>
        <v>0</v>
      </c>
      <c r="K291" s="1051"/>
      <c r="L291" s="1051"/>
      <c r="M291" s="1051"/>
      <c r="N291" s="1036">
        <f t="shared" si="25"/>
        <v>0</v>
      </c>
      <c r="O291" s="1052">
        <f t="shared" si="26"/>
        <v>0</v>
      </c>
      <c r="P291" s="1036">
        <f t="shared" si="27"/>
        <v>0</v>
      </c>
      <c r="Q291" s="1053">
        <f t="shared" si="28"/>
        <v>0</v>
      </c>
      <c r="R291" s="712">
        <f t="shared" si="29"/>
        <v>0</v>
      </c>
    </row>
    <row r="292" spans="3:18" ht="15.75" x14ac:dyDescent="0.25">
      <c r="C292" s="695"/>
      <c r="D292" s="567"/>
      <c r="E292" s="713"/>
      <c r="F292" s="713"/>
      <c r="G292" s="713"/>
      <c r="H292" s="715"/>
      <c r="I292" s="715"/>
      <c r="J292" s="568">
        <f t="shared" si="30"/>
        <v>0</v>
      </c>
      <c r="K292" s="1051"/>
      <c r="L292" s="1051"/>
      <c r="M292" s="1051"/>
      <c r="N292" s="1036">
        <f t="shared" si="25"/>
        <v>0</v>
      </c>
      <c r="O292" s="1052">
        <f t="shared" si="26"/>
        <v>0</v>
      </c>
      <c r="P292" s="1036">
        <f t="shared" si="27"/>
        <v>0</v>
      </c>
      <c r="Q292" s="1053">
        <f t="shared" si="28"/>
        <v>0</v>
      </c>
      <c r="R292" s="712">
        <f t="shared" si="29"/>
        <v>0</v>
      </c>
    </row>
    <row r="293" spans="3:18" ht="15.75" x14ac:dyDescent="0.25">
      <c r="C293" s="695"/>
      <c r="D293" s="567"/>
      <c r="E293" s="713"/>
      <c r="F293" s="713"/>
      <c r="G293" s="713"/>
      <c r="H293" s="715"/>
      <c r="I293" s="715"/>
      <c r="J293" s="568">
        <f t="shared" si="30"/>
        <v>0</v>
      </c>
      <c r="K293" s="1051"/>
      <c r="L293" s="1051"/>
      <c r="M293" s="1051"/>
      <c r="N293" s="1036">
        <f t="shared" si="25"/>
        <v>0</v>
      </c>
      <c r="O293" s="1052">
        <f t="shared" si="26"/>
        <v>0</v>
      </c>
      <c r="P293" s="1036">
        <f t="shared" si="27"/>
        <v>0</v>
      </c>
      <c r="Q293" s="1053">
        <f t="shared" si="28"/>
        <v>0</v>
      </c>
      <c r="R293" s="712">
        <f t="shared" si="29"/>
        <v>0</v>
      </c>
    </row>
    <row r="294" spans="3:18" ht="15.75" x14ac:dyDescent="0.25">
      <c r="C294" s="695"/>
      <c r="D294" s="567"/>
      <c r="E294" s="713"/>
      <c r="F294" s="713"/>
      <c r="G294" s="713"/>
      <c r="H294" s="715"/>
      <c r="I294" s="715"/>
      <c r="J294" s="568">
        <f t="shared" si="30"/>
        <v>0</v>
      </c>
      <c r="K294" s="1051"/>
      <c r="L294" s="1051"/>
      <c r="M294" s="1051"/>
      <c r="N294" s="1036">
        <f t="shared" si="25"/>
        <v>0</v>
      </c>
      <c r="O294" s="1052">
        <f t="shared" si="26"/>
        <v>0</v>
      </c>
      <c r="P294" s="1036">
        <f t="shared" si="27"/>
        <v>0</v>
      </c>
      <c r="Q294" s="1053">
        <f t="shared" si="28"/>
        <v>0</v>
      </c>
      <c r="R294" s="712">
        <f t="shared" si="29"/>
        <v>0</v>
      </c>
    </row>
    <row r="295" spans="3:18" ht="15.75" x14ac:dyDescent="0.25">
      <c r="C295" s="695"/>
      <c r="D295" s="567"/>
      <c r="E295" s="713"/>
      <c r="F295" s="713"/>
      <c r="G295" s="713"/>
      <c r="H295" s="714"/>
      <c r="I295" s="714"/>
      <c r="J295" s="568">
        <f t="shared" si="30"/>
        <v>0</v>
      </c>
      <c r="K295" s="1051"/>
      <c r="L295" s="1051"/>
      <c r="M295" s="1051"/>
      <c r="N295" s="1036">
        <f t="shared" si="25"/>
        <v>0</v>
      </c>
      <c r="O295" s="1052">
        <f t="shared" si="26"/>
        <v>0</v>
      </c>
      <c r="P295" s="1036">
        <f t="shared" si="27"/>
        <v>0</v>
      </c>
      <c r="Q295" s="1053">
        <f t="shared" si="28"/>
        <v>0</v>
      </c>
      <c r="R295" s="712">
        <f t="shared" si="29"/>
        <v>0</v>
      </c>
    </row>
    <row r="296" spans="3:18" ht="15.75" x14ac:dyDescent="0.25">
      <c r="C296" s="695"/>
      <c r="D296" s="567"/>
      <c r="E296" s="713"/>
      <c r="F296" s="713"/>
      <c r="G296" s="713"/>
      <c r="H296" s="715"/>
      <c r="I296" s="715"/>
      <c r="J296" s="568">
        <f t="shared" si="30"/>
        <v>0</v>
      </c>
      <c r="K296" s="1051"/>
      <c r="L296" s="1051"/>
      <c r="M296" s="1051"/>
      <c r="N296" s="1036">
        <f t="shared" si="25"/>
        <v>0</v>
      </c>
      <c r="O296" s="1052">
        <f t="shared" si="26"/>
        <v>0</v>
      </c>
      <c r="P296" s="1036">
        <f t="shared" si="27"/>
        <v>0</v>
      </c>
      <c r="Q296" s="1053">
        <f t="shared" si="28"/>
        <v>0</v>
      </c>
      <c r="R296" s="712">
        <f t="shared" si="29"/>
        <v>0</v>
      </c>
    </row>
    <row r="297" spans="3:18" ht="15.75" x14ac:dyDescent="0.25">
      <c r="C297" s="695"/>
      <c r="D297" s="567"/>
      <c r="E297" s="713"/>
      <c r="F297" s="713"/>
      <c r="G297" s="713"/>
      <c r="H297" s="715"/>
      <c r="I297" s="715"/>
      <c r="J297" s="568">
        <f t="shared" si="30"/>
        <v>0</v>
      </c>
      <c r="K297" s="1051"/>
      <c r="L297" s="1051"/>
      <c r="M297" s="1051"/>
      <c r="N297" s="1036">
        <f t="shared" si="25"/>
        <v>0</v>
      </c>
      <c r="O297" s="1052">
        <f t="shared" si="26"/>
        <v>0</v>
      </c>
      <c r="P297" s="1036">
        <f t="shared" si="27"/>
        <v>0</v>
      </c>
      <c r="Q297" s="1053">
        <f t="shared" si="28"/>
        <v>0</v>
      </c>
      <c r="R297" s="712">
        <f t="shared" si="29"/>
        <v>0</v>
      </c>
    </row>
    <row r="298" spans="3:18" ht="15.75" x14ac:dyDescent="0.25">
      <c r="C298" s="695"/>
      <c r="D298" s="567"/>
      <c r="E298" s="713"/>
      <c r="F298" s="713"/>
      <c r="G298" s="713"/>
      <c r="H298" s="715"/>
      <c r="I298" s="715"/>
      <c r="J298" s="568">
        <f t="shared" si="30"/>
        <v>0</v>
      </c>
      <c r="K298" s="1051"/>
      <c r="L298" s="1051"/>
      <c r="M298" s="1051"/>
      <c r="N298" s="1036">
        <f t="shared" si="25"/>
        <v>0</v>
      </c>
      <c r="O298" s="1052">
        <f t="shared" si="26"/>
        <v>0</v>
      </c>
      <c r="P298" s="1036">
        <f t="shared" si="27"/>
        <v>0</v>
      </c>
      <c r="Q298" s="1053">
        <f t="shared" si="28"/>
        <v>0</v>
      </c>
      <c r="R298" s="712">
        <f t="shared" si="29"/>
        <v>0</v>
      </c>
    </row>
    <row r="299" spans="3:18" ht="15.75" x14ac:dyDescent="0.25">
      <c r="C299" s="695"/>
      <c r="D299" s="567"/>
      <c r="E299" s="713"/>
      <c r="F299" s="713"/>
      <c r="G299" s="713"/>
      <c r="H299" s="714"/>
      <c r="I299" s="714"/>
      <c r="J299" s="568">
        <f t="shared" si="30"/>
        <v>0</v>
      </c>
      <c r="K299" s="1051"/>
      <c r="L299" s="1051"/>
      <c r="M299" s="1051"/>
      <c r="N299" s="1036">
        <f t="shared" si="25"/>
        <v>0</v>
      </c>
      <c r="O299" s="1052">
        <f t="shared" si="26"/>
        <v>0</v>
      </c>
      <c r="P299" s="1036">
        <f t="shared" si="27"/>
        <v>0</v>
      </c>
      <c r="Q299" s="1053">
        <f t="shared" si="28"/>
        <v>0</v>
      </c>
      <c r="R299" s="712">
        <f t="shared" si="29"/>
        <v>0</v>
      </c>
    </row>
    <row r="300" spans="3:18" ht="15.75" x14ac:dyDescent="0.25">
      <c r="C300" s="695"/>
      <c r="D300" s="567"/>
      <c r="E300" s="713"/>
      <c r="F300" s="713"/>
      <c r="G300" s="713"/>
      <c r="H300" s="715"/>
      <c r="I300" s="715"/>
      <c r="J300" s="568">
        <f t="shared" si="30"/>
        <v>0</v>
      </c>
      <c r="K300" s="1051"/>
      <c r="L300" s="1051"/>
      <c r="M300" s="1051"/>
      <c r="N300" s="1036">
        <f t="shared" si="25"/>
        <v>0</v>
      </c>
      <c r="O300" s="1052">
        <f t="shared" si="26"/>
        <v>0</v>
      </c>
      <c r="P300" s="1036">
        <f t="shared" si="27"/>
        <v>0</v>
      </c>
      <c r="Q300" s="1053">
        <f t="shared" si="28"/>
        <v>0</v>
      </c>
      <c r="R300" s="712">
        <f t="shared" si="29"/>
        <v>0</v>
      </c>
    </row>
    <row r="301" spans="3:18" ht="15.75" x14ac:dyDescent="0.25">
      <c r="C301" s="695"/>
      <c r="D301" s="567"/>
      <c r="E301" s="713"/>
      <c r="F301" s="713"/>
      <c r="G301" s="713"/>
      <c r="H301" s="715"/>
      <c r="I301" s="715"/>
      <c r="J301" s="568">
        <f t="shared" si="30"/>
        <v>0</v>
      </c>
      <c r="K301" s="1051"/>
      <c r="L301" s="1051"/>
      <c r="M301" s="1051"/>
      <c r="N301" s="1036">
        <f t="shared" si="25"/>
        <v>0</v>
      </c>
      <c r="O301" s="1052">
        <f t="shared" si="26"/>
        <v>0</v>
      </c>
      <c r="P301" s="1036">
        <f t="shared" si="27"/>
        <v>0</v>
      </c>
      <c r="Q301" s="1053">
        <f t="shared" si="28"/>
        <v>0</v>
      </c>
      <c r="R301" s="712">
        <f t="shared" si="29"/>
        <v>0</v>
      </c>
    </row>
    <row r="302" spans="3:18" ht="15.75" x14ac:dyDescent="0.25">
      <c r="C302" s="695"/>
      <c r="D302" s="567"/>
      <c r="E302" s="713"/>
      <c r="F302" s="713"/>
      <c r="G302" s="713"/>
      <c r="H302" s="715"/>
      <c r="I302" s="715"/>
      <c r="J302" s="568">
        <f t="shared" si="30"/>
        <v>0</v>
      </c>
      <c r="K302" s="1051"/>
      <c r="L302" s="1051"/>
      <c r="M302" s="1051"/>
      <c r="N302" s="1036">
        <f t="shared" si="25"/>
        <v>0</v>
      </c>
      <c r="O302" s="1052">
        <f t="shared" si="26"/>
        <v>0</v>
      </c>
      <c r="P302" s="1036">
        <f t="shared" si="27"/>
        <v>0</v>
      </c>
      <c r="Q302" s="1053">
        <f t="shared" si="28"/>
        <v>0</v>
      </c>
      <c r="R302" s="712">
        <f t="shared" si="29"/>
        <v>0</v>
      </c>
    </row>
    <row r="303" spans="3:18" ht="15.75" x14ac:dyDescent="0.25">
      <c r="C303" s="695"/>
      <c r="D303" s="567"/>
      <c r="E303" s="713"/>
      <c r="F303" s="713"/>
      <c r="G303" s="713"/>
      <c r="H303" s="714"/>
      <c r="I303" s="714"/>
      <c r="J303" s="568">
        <f t="shared" si="30"/>
        <v>0</v>
      </c>
      <c r="K303" s="1051"/>
      <c r="L303" s="1051"/>
      <c r="M303" s="1051"/>
      <c r="N303" s="1036">
        <f t="shared" si="25"/>
        <v>0</v>
      </c>
      <c r="O303" s="1052">
        <f t="shared" si="26"/>
        <v>0</v>
      </c>
      <c r="P303" s="1036">
        <f t="shared" si="27"/>
        <v>0</v>
      </c>
      <c r="Q303" s="1053">
        <f t="shared" si="28"/>
        <v>0</v>
      </c>
      <c r="R303" s="712">
        <f t="shared" si="29"/>
        <v>0</v>
      </c>
    </row>
    <row r="304" spans="3:18" ht="15.75" x14ac:dyDescent="0.25">
      <c r="C304" s="695"/>
      <c r="D304" s="567"/>
      <c r="E304" s="713"/>
      <c r="F304" s="713"/>
      <c r="G304" s="713"/>
      <c r="H304" s="715"/>
      <c r="I304" s="715"/>
      <c r="J304" s="568">
        <f t="shared" si="30"/>
        <v>0</v>
      </c>
      <c r="K304" s="1051"/>
      <c r="L304" s="1051"/>
      <c r="M304" s="1051"/>
      <c r="N304" s="1036">
        <f t="shared" si="25"/>
        <v>0</v>
      </c>
      <c r="O304" s="1052">
        <f t="shared" si="26"/>
        <v>0</v>
      </c>
      <c r="P304" s="1036">
        <f t="shared" si="27"/>
        <v>0</v>
      </c>
      <c r="Q304" s="1053">
        <f t="shared" si="28"/>
        <v>0</v>
      </c>
      <c r="R304" s="712">
        <f t="shared" si="29"/>
        <v>0</v>
      </c>
    </row>
    <row r="305" spans="3:18" ht="15.75" x14ac:dyDescent="0.25">
      <c r="C305" s="695"/>
      <c r="D305" s="567"/>
      <c r="E305" s="713"/>
      <c r="F305" s="713"/>
      <c r="G305" s="713"/>
      <c r="H305" s="715"/>
      <c r="I305" s="715"/>
      <c r="J305" s="568">
        <f t="shared" si="30"/>
        <v>0</v>
      </c>
      <c r="K305" s="1051"/>
      <c r="L305" s="1051"/>
      <c r="M305" s="1051"/>
      <c r="N305" s="1036">
        <f t="shared" si="25"/>
        <v>0</v>
      </c>
      <c r="O305" s="1052">
        <f t="shared" si="26"/>
        <v>0</v>
      </c>
      <c r="P305" s="1036">
        <f t="shared" si="27"/>
        <v>0</v>
      </c>
      <c r="Q305" s="1053">
        <f t="shared" si="28"/>
        <v>0</v>
      </c>
      <c r="R305" s="712">
        <f t="shared" si="29"/>
        <v>0</v>
      </c>
    </row>
    <row r="306" spans="3:18" ht="15.75" x14ac:dyDescent="0.25">
      <c r="C306" s="695"/>
      <c r="D306" s="567"/>
      <c r="E306" s="713"/>
      <c r="F306" s="713"/>
      <c r="G306" s="713"/>
      <c r="H306" s="715"/>
      <c r="I306" s="715"/>
      <c r="J306" s="568">
        <f t="shared" si="30"/>
        <v>0</v>
      </c>
      <c r="K306" s="1051"/>
      <c r="L306" s="1051"/>
      <c r="M306" s="1051"/>
      <c r="N306" s="1036">
        <f t="shared" si="25"/>
        <v>0</v>
      </c>
      <c r="O306" s="1052">
        <f t="shared" si="26"/>
        <v>0</v>
      </c>
      <c r="P306" s="1036">
        <f t="shared" si="27"/>
        <v>0</v>
      </c>
      <c r="Q306" s="1053">
        <f t="shared" si="28"/>
        <v>0</v>
      </c>
      <c r="R306" s="712">
        <f t="shared" si="29"/>
        <v>0</v>
      </c>
    </row>
    <row r="307" spans="3:18" ht="15.75" x14ac:dyDescent="0.25">
      <c r="C307" s="695"/>
      <c r="D307" s="567"/>
      <c r="E307" s="713"/>
      <c r="F307" s="713"/>
      <c r="G307" s="713"/>
      <c r="H307" s="714"/>
      <c r="I307" s="714"/>
      <c r="J307" s="568">
        <f t="shared" si="30"/>
        <v>0</v>
      </c>
      <c r="K307" s="1051"/>
      <c r="L307" s="1051"/>
      <c r="M307" s="1051"/>
      <c r="N307" s="1036">
        <f t="shared" si="25"/>
        <v>0</v>
      </c>
      <c r="O307" s="1052">
        <f t="shared" si="26"/>
        <v>0</v>
      </c>
      <c r="P307" s="1036">
        <f t="shared" si="27"/>
        <v>0</v>
      </c>
      <c r="Q307" s="1053">
        <f t="shared" si="28"/>
        <v>0</v>
      </c>
      <c r="R307" s="712">
        <f t="shared" si="29"/>
        <v>0</v>
      </c>
    </row>
    <row r="308" spans="3:18" ht="15.75" x14ac:dyDescent="0.25">
      <c r="C308" s="695"/>
      <c r="D308" s="567"/>
      <c r="E308" s="713"/>
      <c r="F308" s="713"/>
      <c r="G308" s="713"/>
      <c r="H308" s="715"/>
      <c r="I308" s="715"/>
      <c r="J308" s="568">
        <f t="shared" si="30"/>
        <v>0</v>
      </c>
      <c r="K308" s="1051"/>
      <c r="L308" s="1051"/>
      <c r="M308" s="1051"/>
      <c r="N308" s="1036">
        <f t="shared" si="25"/>
        <v>0</v>
      </c>
      <c r="O308" s="1052">
        <f t="shared" si="26"/>
        <v>0</v>
      </c>
      <c r="P308" s="1036">
        <f t="shared" si="27"/>
        <v>0</v>
      </c>
      <c r="Q308" s="1053">
        <f t="shared" si="28"/>
        <v>0</v>
      </c>
      <c r="R308" s="712">
        <f t="shared" si="29"/>
        <v>0</v>
      </c>
    </row>
    <row r="309" spans="3:18" ht="15.75" x14ac:dyDescent="0.25">
      <c r="C309" s="695"/>
      <c r="D309" s="567"/>
      <c r="E309" s="713"/>
      <c r="F309" s="713"/>
      <c r="G309" s="713"/>
      <c r="H309" s="715"/>
      <c r="I309" s="715"/>
      <c r="J309" s="568">
        <f t="shared" si="30"/>
        <v>0</v>
      </c>
      <c r="K309" s="1051"/>
      <c r="L309" s="1051"/>
      <c r="M309" s="1051"/>
      <c r="N309" s="1036">
        <f t="shared" si="25"/>
        <v>0</v>
      </c>
      <c r="O309" s="1052">
        <f t="shared" si="26"/>
        <v>0</v>
      </c>
      <c r="P309" s="1036">
        <f t="shared" si="27"/>
        <v>0</v>
      </c>
      <c r="Q309" s="1053">
        <f t="shared" si="28"/>
        <v>0</v>
      </c>
      <c r="R309" s="712">
        <f t="shared" si="29"/>
        <v>0</v>
      </c>
    </row>
    <row r="310" spans="3:18" ht="15.75" x14ac:dyDescent="0.25">
      <c r="C310" s="695"/>
      <c r="D310" s="567"/>
      <c r="E310" s="713"/>
      <c r="F310" s="713"/>
      <c r="G310" s="713"/>
      <c r="H310" s="715"/>
      <c r="I310" s="715"/>
      <c r="J310" s="568">
        <f t="shared" si="30"/>
        <v>0</v>
      </c>
      <c r="K310" s="1051"/>
      <c r="L310" s="1051"/>
      <c r="M310" s="1051"/>
      <c r="N310" s="1036">
        <f t="shared" si="25"/>
        <v>0</v>
      </c>
      <c r="O310" s="1052">
        <f t="shared" si="26"/>
        <v>0</v>
      </c>
      <c r="P310" s="1036">
        <f t="shared" si="27"/>
        <v>0</v>
      </c>
      <c r="Q310" s="1053">
        <f t="shared" si="28"/>
        <v>0</v>
      </c>
      <c r="R310" s="712">
        <f t="shared" si="29"/>
        <v>0</v>
      </c>
    </row>
    <row r="311" spans="3:18" ht="15.75" x14ac:dyDescent="0.25">
      <c r="C311" s="695"/>
      <c r="D311" s="567"/>
      <c r="E311" s="713"/>
      <c r="F311" s="713"/>
      <c r="G311" s="713"/>
      <c r="H311" s="714"/>
      <c r="I311" s="714"/>
      <c r="J311" s="568">
        <f t="shared" si="30"/>
        <v>0</v>
      </c>
      <c r="K311" s="1051"/>
      <c r="L311" s="1051"/>
      <c r="M311" s="1051"/>
      <c r="N311" s="1036">
        <f t="shared" si="25"/>
        <v>0</v>
      </c>
      <c r="O311" s="1052">
        <f t="shared" si="26"/>
        <v>0</v>
      </c>
      <c r="P311" s="1036">
        <f t="shared" si="27"/>
        <v>0</v>
      </c>
      <c r="Q311" s="1053">
        <f t="shared" si="28"/>
        <v>0</v>
      </c>
      <c r="R311" s="712">
        <f t="shared" si="29"/>
        <v>0</v>
      </c>
    </row>
    <row r="312" spans="3:18" ht="15.75" x14ac:dyDescent="0.25">
      <c r="C312" s="695"/>
      <c r="D312" s="567"/>
      <c r="E312" s="713"/>
      <c r="F312" s="713"/>
      <c r="G312" s="713"/>
      <c r="H312" s="715"/>
      <c r="I312" s="715"/>
      <c r="J312" s="568">
        <f t="shared" si="30"/>
        <v>0</v>
      </c>
      <c r="K312" s="1051"/>
      <c r="L312" s="1051"/>
      <c r="M312" s="1051"/>
      <c r="N312" s="1036">
        <f t="shared" si="25"/>
        <v>0</v>
      </c>
      <c r="O312" s="1052">
        <f t="shared" si="26"/>
        <v>0</v>
      </c>
      <c r="P312" s="1036">
        <f t="shared" si="27"/>
        <v>0</v>
      </c>
      <c r="Q312" s="1053">
        <f t="shared" si="28"/>
        <v>0</v>
      </c>
      <c r="R312" s="712">
        <f t="shared" si="29"/>
        <v>0</v>
      </c>
    </row>
    <row r="313" spans="3:18" ht="15.75" x14ac:dyDescent="0.25">
      <c r="C313" s="695"/>
      <c r="D313" s="567"/>
      <c r="E313" s="713"/>
      <c r="F313" s="713"/>
      <c r="G313" s="713"/>
      <c r="H313" s="715"/>
      <c r="I313" s="715"/>
      <c r="J313" s="568">
        <f t="shared" si="30"/>
        <v>0</v>
      </c>
      <c r="K313" s="1051"/>
      <c r="L313" s="1051"/>
      <c r="M313" s="1051"/>
      <c r="N313" s="1036">
        <f t="shared" si="25"/>
        <v>0</v>
      </c>
      <c r="O313" s="1052">
        <f t="shared" si="26"/>
        <v>0</v>
      </c>
      <c r="P313" s="1036">
        <f t="shared" si="27"/>
        <v>0</v>
      </c>
      <c r="Q313" s="1053">
        <f t="shared" si="28"/>
        <v>0</v>
      </c>
      <c r="R313" s="712">
        <f t="shared" si="29"/>
        <v>0</v>
      </c>
    </row>
    <row r="314" spans="3:18" ht="15.75" x14ac:dyDescent="0.25">
      <c r="C314" s="695"/>
      <c r="D314" s="567"/>
      <c r="E314" s="713"/>
      <c r="F314" s="713"/>
      <c r="G314" s="713"/>
      <c r="H314" s="715"/>
      <c r="I314" s="715"/>
      <c r="J314" s="568">
        <f t="shared" si="30"/>
        <v>0</v>
      </c>
      <c r="K314" s="1051"/>
      <c r="L314" s="1051"/>
      <c r="M314" s="1051"/>
      <c r="N314" s="1036">
        <f t="shared" si="25"/>
        <v>0</v>
      </c>
      <c r="O314" s="1052">
        <f t="shared" si="26"/>
        <v>0</v>
      </c>
      <c r="P314" s="1036">
        <f t="shared" si="27"/>
        <v>0</v>
      </c>
      <c r="Q314" s="1053">
        <f t="shared" si="28"/>
        <v>0</v>
      </c>
      <c r="R314" s="712">
        <f t="shared" si="29"/>
        <v>0</v>
      </c>
    </row>
    <row r="315" spans="3:18" ht="15.75" x14ac:dyDescent="0.25">
      <c r="C315" s="695"/>
      <c r="D315" s="567"/>
      <c r="E315" s="713"/>
      <c r="F315" s="713"/>
      <c r="G315" s="713"/>
      <c r="H315" s="714"/>
      <c r="I315" s="714"/>
      <c r="J315" s="568">
        <f t="shared" si="30"/>
        <v>0</v>
      </c>
      <c r="K315" s="1051"/>
      <c r="L315" s="1051"/>
      <c r="M315" s="1051"/>
      <c r="N315" s="1036">
        <f t="shared" si="25"/>
        <v>0</v>
      </c>
      <c r="O315" s="1052">
        <f t="shared" si="26"/>
        <v>0</v>
      </c>
      <c r="P315" s="1036">
        <f t="shared" si="27"/>
        <v>0</v>
      </c>
      <c r="Q315" s="1053">
        <f t="shared" si="28"/>
        <v>0</v>
      </c>
      <c r="R315" s="712">
        <f t="shared" si="29"/>
        <v>0</v>
      </c>
    </row>
    <row r="316" spans="3:18" ht="15.75" x14ac:dyDescent="0.25">
      <c r="C316" s="695"/>
      <c r="D316" s="567"/>
      <c r="E316" s="713"/>
      <c r="F316" s="713"/>
      <c r="G316" s="713"/>
      <c r="H316" s="715"/>
      <c r="I316" s="715"/>
      <c r="J316" s="568">
        <f t="shared" si="30"/>
        <v>0</v>
      </c>
      <c r="K316" s="1051"/>
      <c r="L316" s="1051"/>
      <c r="M316" s="1051"/>
      <c r="N316" s="1036">
        <f t="shared" si="25"/>
        <v>0</v>
      </c>
      <c r="O316" s="1052">
        <f t="shared" si="26"/>
        <v>0</v>
      </c>
      <c r="P316" s="1036">
        <f t="shared" si="27"/>
        <v>0</v>
      </c>
      <c r="Q316" s="1053">
        <f t="shared" si="28"/>
        <v>0</v>
      </c>
      <c r="R316" s="712">
        <f t="shared" si="29"/>
        <v>0</v>
      </c>
    </row>
    <row r="317" spans="3:18" ht="15.75" x14ac:dyDescent="0.25">
      <c r="C317" s="695"/>
      <c r="D317" s="567"/>
      <c r="E317" s="713"/>
      <c r="F317" s="713"/>
      <c r="G317" s="713"/>
      <c r="H317" s="715"/>
      <c r="I317" s="715"/>
      <c r="J317" s="568">
        <f t="shared" si="30"/>
        <v>0</v>
      </c>
      <c r="K317" s="1051"/>
      <c r="L317" s="1051"/>
      <c r="M317" s="1051"/>
      <c r="N317" s="1036">
        <f t="shared" si="25"/>
        <v>0</v>
      </c>
      <c r="O317" s="1052">
        <f t="shared" si="26"/>
        <v>0</v>
      </c>
      <c r="P317" s="1036">
        <f t="shared" si="27"/>
        <v>0</v>
      </c>
      <c r="Q317" s="1053">
        <f t="shared" si="28"/>
        <v>0</v>
      </c>
      <c r="R317" s="712">
        <f t="shared" si="29"/>
        <v>0</v>
      </c>
    </row>
    <row r="318" spans="3:18" ht="15.75" x14ac:dyDescent="0.25">
      <c r="C318" s="695"/>
      <c r="D318" s="567"/>
      <c r="E318" s="713"/>
      <c r="F318" s="713"/>
      <c r="G318" s="713"/>
      <c r="H318" s="715"/>
      <c r="I318" s="715"/>
      <c r="J318" s="568">
        <f t="shared" si="30"/>
        <v>0</v>
      </c>
      <c r="K318" s="1051"/>
      <c r="L318" s="1051"/>
      <c r="M318" s="1051"/>
      <c r="N318" s="1036">
        <f t="shared" si="25"/>
        <v>0</v>
      </c>
      <c r="O318" s="1052">
        <f t="shared" si="26"/>
        <v>0</v>
      </c>
      <c r="P318" s="1036">
        <f t="shared" si="27"/>
        <v>0</v>
      </c>
      <c r="Q318" s="1053">
        <f t="shared" si="28"/>
        <v>0</v>
      </c>
      <c r="R318" s="712">
        <f t="shared" si="29"/>
        <v>0</v>
      </c>
    </row>
    <row r="319" spans="3:18" ht="15.75" x14ac:dyDescent="0.25">
      <c r="C319" s="695"/>
      <c r="D319" s="567"/>
      <c r="E319" s="713"/>
      <c r="F319" s="713"/>
      <c r="G319" s="713"/>
      <c r="H319" s="714"/>
      <c r="I319" s="714"/>
      <c r="J319" s="568">
        <f t="shared" si="30"/>
        <v>0</v>
      </c>
      <c r="K319" s="1051"/>
      <c r="L319" s="1051"/>
      <c r="M319" s="1051"/>
      <c r="N319" s="1036">
        <f t="shared" si="25"/>
        <v>0</v>
      </c>
      <c r="O319" s="1052">
        <f t="shared" si="26"/>
        <v>0</v>
      </c>
      <c r="P319" s="1036">
        <f t="shared" si="27"/>
        <v>0</v>
      </c>
      <c r="Q319" s="1053">
        <f t="shared" si="28"/>
        <v>0</v>
      </c>
      <c r="R319" s="712">
        <f t="shared" si="29"/>
        <v>0</v>
      </c>
    </row>
    <row r="320" spans="3:18" ht="15.75" x14ac:dyDescent="0.25">
      <c r="C320" s="695"/>
      <c r="D320" s="567"/>
      <c r="E320" s="713"/>
      <c r="F320" s="713"/>
      <c r="G320" s="713"/>
      <c r="H320" s="715"/>
      <c r="I320" s="715"/>
      <c r="J320" s="568">
        <f t="shared" si="30"/>
        <v>0</v>
      </c>
      <c r="K320" s="1051"/>
      <c r="L320" s="1051"/>
      <c r="M320" s="1051"/>
      <c r="N320" s="1036">
        <f t="shared" si="25"/>
        <v>0</v>
      </c>
      <c r="O320" s="1052">
        <f t="shared" si="26"/>
        <v>0</v>
      </c>
      <c r="P320" s="1036">
        <f t="shared" si="27"/>
        <v>0</v>
      </c>
      <c r="Q320" s="1053">
        <f t="shared" si="28"/>
        <v>0</v>
      </c>
      <c r="R320" s="712">
        <f t="shared" si="29"/>
        <v>0</v>
      </c>
    </row>
    <row r="321" spans="3:18" ht="15.75" x14ac:dyDescent="0.25">
      <c r="C321" s="695"/>
      <c r="D321" s="567"/>
      <c r="E321" s="713"/>
      <c r="F321" s="713"/>
      <c r="G321" s="713"/>
      <c r="H321" s="715"/>
      <c r="I321" s="715"/>
      <c r="J321" s="568">
        <f t="shared" si="30"/>
        <v>0</v>
      </c>
      <c r="K321" s="1051"/>
      <c r="L321" s="1051"/>
      <c r="M321" s="1051"/>
      <c r="N321" s="1036">
        <f t="shared" si="25"/>
        <v>0</v>
      </c>
      <c r="O321" s="1052">
        <f t="shared" si="26"/>
        <v>0</v>
      </c>
      <c r="P321" s="1036">
        <f t="shared" si="27"/>
        <v>0</v>
      </c>
      <c r="Q321" s="1053">
        <f t="shared" si="28"/>
        <v>0</v>
      </c>
      <c r="R321" s="712">
        <f t="shared" si="29"/>
        <v>0</v>
      </c>
    </row>
    <row r="322" spans="3:18" ht="15.75" x14ac:dyDescent="0.25">
      <c r="C322" s="695"/>
      <c r="D322" s="567"/>
      <c r="E322" s="713"/>
      <c r="F322" s="713"/>
      <c r="G322" s="713"/>
      <c r="H322" s="715"/>
      <c r="I322" s="715"/>
      <c r="J322" s="568">
        <f t="shared" si="30"/>
        <v>0</v>
      </c>
      <c r="K322" s="1051"/>
      <c r="L322" s="1051"/>
      <c r="M322" s="1051"/>
      <c r="N322" s="1036">
        <f t="shared" si="25"/>
        <v>0</v>
      </c>
      <c r="O322" s="1052">
        <f t="shared" si="26"/>
        <v>0</v>
      </c>
      <c r="P322" s="1036">
        <f t="shared" si="27"/>
        <v>0</v>
      </c>
      <c r="Q322" s="1053">
        <f t="shared" si="28"/>
        <v>0</v>
      </c>
      <c r="R322" s="712">
        <f t="shared" si="29"/>
        <v>0</v>
      </c>
    </row>
    <row r="323" spans="3:18" ht="15.75" x14ac:dyDescent="0.25">
      <c r="C323" s="695"/>
      <c r="D323" s="567"/>
      <c r="E323" s="713"/>
      <c r="F323" s="713"/>
      <c r="G323" s="713"/>
      <c r="H323" s="714"/>
      <c r="I323" s="714"/>
      <c r="J323" s="568">
        <f t="shared" si="30"/>
        <v>0</v>
      </c>
      <c r="K323" s="1051"/>
      <c r="L323" s="1051"/>
      <c r="M323" s="1051"/>
      <c r="N323" s="1036">
        <f t="shared" si="25"/>
        <v>0</v>
      </c>
      <c r="O323" s="1052">
        <f t="shared" si="26"/>
        <v>0</v>
      </c>
      <c r="P323" s="1036">
        <f t="shared" si="27"/>
        <v>0</v>
      </c>
      <c r="Q323" s="1053">
        <f t="shared" si="28"/>
        <v>0</v>
      </c>
      <c r="R323" s="712">
        <f t="shared" si="29"/>
        <v>0</v>
      </c>
    </row>
    <row r="324" spans="3:18" ht="15.75" x14ac:dyDescent="0.25">
      <c r="C324" s="695"/>
      <c r="D324" s="567"/>
      <c r="E324" s="713"/>
      <c r="F324" s="713"/>
      <c r="G324" s="713"/>
      <c r="H324" s="715"/>
      <c r="I324" s="715"/>
      <c r="J324" s="568">
        <f t="shared" si="30"/>
        <v>0</v>
      </c>
      <c r="K324" s="1051"/>
      <c r="L324" s="1051"/>
      <c r="M324" s="1051"/>
      <c r="N324" s="1036">
        <f t="shared" si="25"/>
        <v>0</v>
      </c>
      <c r="O324" s="1052">
        <f t="shared" si="26"/>
        <v>0</v>
      </c>
      <c r="P324" s="1036">
        <f t="shared" si="27"/>
        <v>0</v>
      </c>
      <c r="Q324" s="1053">
        <f t="shared" si="28"/>
        <v>0</v>
      </c>
      <c r="R324" s="712">
        <f t="shared" si="29"/>
        <v>0</v>
      </c>
    </row>
    <row r="325" spans="3:18" ht="15.75" x14ac:dyDescent="0.25">
      <c r="C325" s="695"/>
      <c r="D325" s="567"/>
      <c r="E325" s="713"/>
      <c r="F325" s="713"/>
      <c r="G325" s="713"/>
      <c r="H325" s="715"/>
      <c r="I325" s="715"/>
      <c r="J325" s="568">
        <f t="shared" si="30"/>
        <v>0</v>
      </c>
      <c r="K325" s="1051"/>
      <c r="L325" s="1051"/>
      <c r="M325" s="1051"/>
      <c r="N325" s="1036">
        <f t="shared" si="25"/>
        <v>0</v>
      </c>
      <c r="O325" s="1052">
        <f t="shared" si="26"/>
        <v>0</v>
      </c>
      <c r="P325" s="1036">
        <f t="shared" si="27"/>
        <v>0</v>
      </c>
      <c r="Q325" s="1053">
        <f t="shared" si="28"/>
        <v>0</v>
      </c>
      <c r="R325" s="712">
        <f t="shared" si="29"/>
        <v>0</v>
      </c>
    </row>
    <row r="326" spans="3:18" ht="15.75" x14ac:dyDescent="0.25">
      <c r="C326" s="695"/>
      <c r="D326" s="567"/>
      <c r="E326" s="713"/>
      <c r="F326" s="713"/>
      <c r="G326" s="713"/>
      <c r="H326" s="715"/>
      <c r="I326" s="715"/>
      <c r="J326" s="568">
        <f t="shared" si="30"/>
        <v>0</v>
      </c>
      <c r="K326" s="1051"/>
      <c r="L326" s="1051"/>
      <c r="M326" s="1051"/>
      <c r="N326" s="1036">
        <f t="shared" si="25"/>
        <v>0</v>
      </c>
      <c r="O326" s="1052">
        <f t="shared" si="26"/>
        <v>0</v>
      </c>
      <c r="P326" s="1036">
        <f t="shared" si="27"/>
        <v>0</v>
      </c>
      <c r="Q326" s="1053">
        <f t="shared" si="28"/>
        <v>0</v>
      </c>
      <c r="R326" s="712">
        <f t="shared" si="29"/>
        <v>0</v>
      </c>
    </row>
    <row r="327" spans="3:18" ht="15.75" x14ac:dyDescent="0.25">
      <c r="C327" s="695"/>
      <c r="D327" s="567"/>
      <c r="E327" s="713"/>
      <c r="F327" s="713"/>
      <c r="G327" s="713"/>
      <c r="H327" s="714"/>
      <c r="I327" s="714"/>
      <c r="J327" s="568">
        <f t="shared" si="30"/>
        <v>0</v>
      </c>
      <c r="K327" s="1051"/>
      <c r="L327" s="1051"/>
      <c r="M327" s="1051"/>
      <c r="N327" s="1036">
        <f t="shared" si="25"/>
        <v>0</v>
      </c>
      <c r="O327" s="1052">
        <f t="shared" si="26"/>
        <v>0</v>
      </c>
      <c r="P327" s="1036">
        <f t="shared" si="27"/>
        <v>0</v>
      </c>
      <c r="Q327" s="1053">
        <f t="shared" si="28"/>
        <v>0</v>
      </c>
      <c r="R327" s="712">
        <f t="shared" si="29"/>
        <v>0</v>
      </c>
    </row>
    <row r="328" spans="3:18" ht="15.75" x14ac:dyDescent="0.25">
      <c r="C328" s="695"/>
      <c r="D328" s="567"/>
      <c r="E328" s="713"/>
      <c r="F328" s="713"/>
      <c r="G328" s="713"/>
      <c r="H328" s="715"/>
      <c r="I328" s="715"/>
      <c r="J328" s="568">
        <f t="shared" si="30"/>
        <v>0</v>
      </c>
      <c r="K328" s="1051"/>
      <c r="L328" s="1051"/>
      <c r="M328" s="1051"/>
      <c r="N328" s="1036">
        <f t="shared" si="25"/>
        <v>0</v>
      </c>
      <c r="O328" s="1052">
        <f t="shared" si="26"/>
        <v>0</v>
      </c>
      <c r="P328" s="1036">
        <f t="shared" si="27"/>
        <v>0</v>
      </c>
      <c r="Q328" s="1053">
        <f t="shared" si="28"/>
        <v>0</v>
      </c>
      <c r="R328" s="712">
        <f t="shared" si="29"/>
        <v>0</v>
      </c>
    </row>
    <row r="329" spans="3:18" ht="15.75" x14ac:dyDescent="0.25">
      <c r="C329" s="695"/>
      <c r="D329" s="567"/>
      <c r="E329" s="713"/>
      <c r="F329" s="713"/>
      <c r="G329" s="713"/>
      <c r="H329" s="715"/>
      <c r="I329" s="715"/>
      <c r="J329" s="568">
        <f t="shared" si="30"/>
        <v>0</v>
      </c>
      <c r="K329" s="1051"/>
      <c r="L329" s="1051"/>
      <c r="M329" s="1051"/>
      <c r="N329" s="1036">
        <f t="shared" si="25"/>
        <v>0</v>
      </c>
      <c r="O329" s="1052">
        <f t="shared" si="26"/>
        <v>0</v>
      </c>
      <c r="P329" s="1036">
        <f t="shared" si="27"/>
        <v>0</v>
      </c>
      <c r="Q329" s="1053">
        <f t="shared" si="28"/>
        <v>0</v>
      </c>
      <c r="R329" s="712">
        <f t="shared" si="29"/>
        <v>0</v>
      </c>
    </row>
    <row r="330" spans="3:18" ht="15.75" x14ac:dyDescent="0.25">
      <c r="C330" s="695"/>
      <c r="D330" s="567"/>
      <c r="E330" s="713"/>
      <c r="F330" s="713"/>
      <c r="G330" s="713"/>
      <c r="H330" s="715"/>
      <c r="I330" s="715"/>
      <c r="J330" s="568">
        <f t="shared" si="30"/>
        <v>0</v>
      </c>
      <c r="K330" s="1051"/>
      <c r="L330" s="1051"/>
      <c r="M330" s="1051"/>
      <c r="N330" s="1036">
        <f t="shared" si="25"/>
        <v>0</v>
      </c>
      <c r="O330" s="1052">
        <f t="shared" si="26"/>
        <v>0</v>
      </c>
      <c r="P330" s="1036">
        <f t="shared" si="27"/>
        <v>0</v>
      </c>
      <c r="Q330" s="1053">
        <f t="shared" si="28"/>
        <v>0</v>
      </c>
      <c r="R330" s="712">
        <f t="shared" si="29"/>
        <v>0</v>
      </c>
    </row>
    <row r="331" spans="3:18" ht="15.75" x14ac:dyDescent="0.25">
      <c r="C331" s="695"/>
      <c r="D331" s="567"/>
      <c r="E331" s="713"/>
      <c r="F331" s="713"/>
      <c r="G331" s="713"/>
      <c r="H331" s="714"/>
      <c r="I331" s="714"/>
      <c r="J331" s="568">
        <f t="shared" si="30"/>
        <v>0</v>
      </c>
      <c r="K331" s="1051"/>
      <c r="L331" s="1051"/>
      <c r="M331" s="1051"/>
      <c r="N331" s="1036">
        <f t="shared" si="25"/>
        <v>0</v>
      </c>
      <c r="O331" s="1052">
        <f t="shared" si="26"/>
        <v>0</v>
      </c>
      <c r="P331" s="1036">
        <f t="shared" si="27"/>
        <v>0</v>
      </c>
      <c r="Q331" s="1053">
        <f t="shared" si="28"/>
        <v>0</v>
      </c>
      <c r="R331" s="712">
        <f t="shared" si="29"/>
        <v>0</v>
      </c>
    </row>
    <row r="332" spans="3:18" ht="15.75" x14ac:dyDescent="0.25">
      <c r="C332" s="695"/>
      <c r="D332" s="567"/>
      <c r="E332" s="713"/>
      <c r="F332" s="713"/>
      <c r="G332" s="713"/>
      <c r="H332" s="715"/>
      <c r="I332" s="715"/>
      <c r="J332" s="568">
        <f t="shared" si="30"/>
        <v>0</v>
      </c>
      <c r="K332" s="1051"/>
      <c r="L332" s="1051"/>
      <c r="M332" s="1051"/>
      <c r="N332" s="1036">
        <f t="shared" si="25"/>
        <v>0</v>
      </c>
      <c r="O332" s="1052">
        <f t="shared" si="26"/>
        <v>0</v>
      </c>
      <c r="P332" s="1036">
        <f t="shared" si="27"/>
        <v>0</v>
      </c>
      <c r="Q332" s="1053">
        <f t="shared" si="28"/>
        <v>0</v>
      </c>
      <c r="R332" s="712">
        <f t="shared" si="29"/>
        <v>0</v>
      </c>
    </row>
    <row r="333" spans="3:18" ht="15.75" x14ac:dyDescent="0.25">
      <c r="C333" s="695"/>
      <c r="D333" s="567"/>
      <c r="E333" s="713"/>
      <c r="F333" s="713"/>
      <c r="G333" s="713"/>
      <c r="H333" s="714"/>
      <c r="I333" s="714"/>
      <c r="J333" s="568">
        <f t="shared" si="30"/>
        <v>0</v>
      </c>
      <c r="K333" s="1051"/>
      <c r="L333" s="1051"/>
      <c r="M333" s="1051"/>
      <c r="N333" s="1036">
        <f t="shared" si="25"/>
        <v>0</v>
      </c>
      <c r="O333" s="1052">
        <f t="shared" si="26"/>
        <v>0</v>
      </c>
      <c r="P333" s="1036">
        <f t="shared" si="27"/>
        <v>0</v>
      </c>
      <c r="Q333" s="1053">
        <f t="shared" si="28"/>
        <v>0</v>
      </c>
      <c r="R333" s="712">
        <f t="shared" si="29"/>
        <v>0</v>
      </c>
    </row>
    <row r="334" spans="3:18" ht="15.75" x14ac:dyDescent="0.25">
      <c r="C334" s="695"/>
      <c r="D334" s="567"/>
      <c r="E334" s="713"/>
      <c r="F334" s="713"/>
      <c r="G334" s="713"/>
      <c r="H334" s="715"/>
      <c r="I334" s="715"/>
      <c r="J334" s="568">
        <f t="shared" si="30"/>
        <v>0</v>
      </c>
      <c r="K334" s="1051"/>
      <c r="L334" s="1051"/>
      <c r="M334" s="1051"/>
      <c r="N334" s="1036">
        <f t="shared" si="25"/>
        <v>0</v>
      </c>
      <c r="O334" s="1052">
        <f t="shared" si="26"/>
        <v>0</v>
      </c>
      <c r="P334" s="1036">
        <f t="shared" si="27"/>
        <v>0</v>
      </c>
      <c r="Q334" s="1053">
        <f t="shared" si="28"/>
        <v>0</v>
      </c>
      <c r="R334" s="712">
        <f t="shared" si="29"/>
        <v>0</v>
      </c>
    </row>
    <row r="335" spans="3:18" ht="15.75" x14ac:dyDescent="0.25">
      <c r="C335" s="695"/>
      <c r="D335" s="567"/>
      <c r="E335" s="713"/>
      <c r="F335" s="713"/>
      <c r="G335" s="713"/>
      <c r="H335" s="715"/>
      <c r="I335" s="715"/>
      <c r="J335" s="568">
        <f t="shared" si="30"/>
        <v>0</v>
      </c>
      <c r="K335" s="1051"/>
      <c r="L335" s="1051"/>
      <c r="M335" s="1051"/>
      <c r="N335" s="1036">
        <f t="shared" si="25"/>
        <v>0</v>
      </c>
      <c r="O335" s="1052">
        <f t="shared" si="26"/>
        <v>0</v>
      </c>
      <c r="P335" s="1036">
        <f t="shared" si="27"/>
        <v>0</v>
      </c>
      <c r="Q335" s="1053">
        <f t="shared" si="28"/>
        <v>0</v>
      </c>
      <c r="R335" s="712">
        <f t="shared" si="29"/>
        <v>0</v>
      </c>
    </row>
    <row r="336" spans="3:18" ht="15.75" x14ac:dyDescent="0.25">
      <c r="C336" s="695"/>
      <c r="D336" s="567"/>
      <c r="E336" s="713"/>
      <c r="F336" s="713"/>
      <c r="G336" s="713"/>
      <c r="H336" s="715"/>
      <c r="I336" s="715"/>
      <c r="J336" s="568">
        <f t="shared" si="30"/>
        <v>0</v>
      </c>
      <c r="K336" s="1051"/>
      <c r="L336" s="1051"/>
      <c r="M336" s="1051"/>
      <c r="N336" s="1036">
        <f t="shared" si="25"/>
        <v>0</v>
      </c>
      <c r="O336" s="1052">
        <f t="shared" si="26"/>
        <v>0</v>
      </c>
      <c r="P336" s="1036">
        <f t="shared" si="27"/>
        <v>0</v>
      </c>
      <c r="Q336" s="1053">
        <f t="shared" si="28"/>
        <v>0</v>
      </c>
      <c r="R336" s="712">
        <f t="shared" si="29"/>
        <v>0</v>
      </c>
    </row>
    <row r="337" spans="3:18" ht="15.75" x14ac:dyDescent="0.25">
      <c r="C337" s="695"/>
      <c r="D337" s="567"/>
      <c r="E337" s="713"/>
      <c r="F337" s="713"/>
      <c r="G337" s="713"/>
      <c r="H337" s="714"/>
      <c r="I337" s="714"/>
      <c r="J337" s="568">
        <f t="shared" si="30"/>
        <v>0</v>
      </c>
      <c r="K337" s="1051"/>
      <c r="L337" s="1051"/>
      <c r="M337" s="1051"/>
      <c r="N337" s="1036">
        <f t="shared" si="25"/>
        <v>0</v>
      </c>
      <c r="O337" s="1052">
        <f t="shared" si="26"/>
        <v>0</v>
      </c>
      <c r="P337" s="1036">
        <f t="shared" si="27"/>
        <v>0</v>
      </c>
      <c r="Q337" s="1053">
        <f t="shared" si="28"/>
        <v>0</v>
      </c>
      <c r="R337" s="712">
        <f t="shared" si="29"/>
        <v>0</v>
      </c>
    </row>
    <row r="338" spans="3:18" ht="15.75" x14ac:dyDescent="0.25">
      <c r="C338" s="695"/>
      <c r="D338" s="567"/>
      <c r="E338" s="713"/>
      <c r="F338" s="713"/>
      <c r="G338" s="713"/>
      <c r="H338" s="714"/>
      <c r="I338" s="714"/>
      <c r="J338" s="568">
        <f t="shared" si="30"/>
        <v>0</v>
      </c>
      <c r="K338" s="1051"/>
      <c r="L338" s="1051"/>
      <c r="M338" s="1051"/>
      <c r="N338" s="1036">
        <f t="shared" ref="N338:N384" si="31">L338*M338</f>
        <v>0</v>
      </c>
      <c r="O338" s="1052">
        <f t="shared" ref="O338:O384" si="32">COUNTIF($G$16:$G$4001,G338)</f>
        <v>0</v>
      </c>
      <c r="P338" s="1036">
        <f t="shared" ref="P338:P384" si="33">IF(C338&gt;0,IF(AND(E338="א-ג",J338&gt;0),MIN(I338,15)*MIN(H338,75),IF(AND(E338="ד-ו",N338&gt;0),MIN(L338,59.57)*MIN(M338,75),0)),0)</f>
        <v>0</v>
      </c>
      <c r="Q338" s="1053">
        <f t="shared" ref="Q338:Q384" si="34">IF(E338="א-ג",MIN(J338,P338),MIN(N338,P338))</f>
        <v>0</v>
      </c>
      <c r="R338" s="712">
        <f t="shared" ref="R338:R384" si="35">IF(E338="א-ג",Q338/1125,Q338/$R$7)</f>
        <v>0</v>
      </c>
    </row>
    <row r="339" spans="3:18" ht="15.75" x14ac:dyDescent="0.25">
      <c r="C339" s="695"/>
      <c r="D339" s="567"/>
      <c r="E339" s="713"/>
      <c r="F339" s="713"/>
      <c r="G339" s="713"/>
      <c r="H339" s="715"/>
      <c r="I339" s="715"/>
      <c r="J339" s="568">
        <f t="shared" si="30"/>
        <v>0</v>
      </c>
      <c r="K339" s="1051"/>
      <c r="L339" s="1051"/>
      <c r="M339" s="1051"/>
      <c r="N339" s="1036">
        <f t="shared" si="31"/>
        <v>0</v>
      </c>
      <c r="O339" s="1052">
        <f t="shared" si="32"/>
        <v>0</v>
      </c>
      <c r="P339" s="1036">
        <f t="shared" si="33"/>
        <v>0</v>
      </c>
      <c r="Q339" s="1053">
        <f t="shared" si="34"/>
        <v>0</v>
      </c>
      <c r="R339" s="712">
        <f t="shared" si="35"/>
        <v>0</v>
      </c>
    </row>
    <row r="340" spans="3:18" ht="15.75" x14ac:dyDescent="0.25">
      <c r="C340" s="695"/>
      <c r="D340" s="567"/>
      <c r="E340" s="713"/>
      <c r="F340" s="713"/>
      <c r="G340" s="713"/>
      <c r="H340" s="715"/>
      <c r="I340" s="715"/>
      <c r="J340" s="568">
        <f t="shared" si="30"/>
        <v>0</v>
      </c>
      <c r="K340" s="1051"/>
      <c r="L340" s="1051"/>
      <c r="M340" s="1051"/>
      <c r="N340" s="1036">
        <f t="shared" si="31"/>
        <v>0</v>
      </c>
      <c r="O340" s="1052">
        <f t="shared" si="32"/>
        <v>0</v>
      </c>
      <c r="P340" s="1036">
        <f t="shared" si="33"/>
        <v>0</v>
      </c>
      <c r="Q340" s="1053">
        <f t="shared" si="34"/>
        <v>0</v>
      </c>
      <c r="R340" s="712">
        <f t="shared" si="35"/>
        <v>0</v>
      </c>
    </row>
    <row r="341" spans="3:18" ht="15.75" x14ac:dyDescent="0.25">
      <c r="C341" s="695"/>
      <c r="D341" s="567"/>
      <c r="E341" s="713"/>
      <c r="F341" s="713"/>
      <c r="G341" s="713"/>
      <c r="H341" s="715"/>
      <c r="I341" s="715"/>
      <c r="J341" s="568">
        <f t="shared" si="30"/>
        <v>0</v>
      </c>
      <c r="K341" s="1051"/>
      <c r="L341" s="1051"/>
      <c r="M341" s="1051"/>
      <c r="N341" s="1036">
        <f t="shared" si="31"/>
        <v>0</v>
      </c>
      <c r="O341" s="1052">
        <f t="shared" si="32"/>
        <v>0</v>
      </c>
      <c r="P341" s="1036">
        <f t="shared" si="33"/>
        <v>0</v>
      </c>
      <c r="Q341" s="1053">
        <f t="shared" si="34"/>
        <v>0</v>
      </c>
      <c r="R341" s="712">
        <f t="shared" si="35"/>
        <v>0</v>
      </c>
    </row>
    <row r="342" spans="3:18" ht="15.75" x14ac:dyDescent="0.25">
      <c r="C342" s="695"/>
      <c r="D342" s="567"/>
      <c r="E342" s="713"/>
      <c r="F342" s="713"/>
      <c r="G342" s="713"/>
      <c r="H342" s="714"/>
      <c r="I342" s="714"/>
      <c r="J342" s="568">
        <f t="shared" si="30"/>
        <v>0</v>
      </c>
      <c r="K342" s="1051"/>
      <c r="L342" s="1051"/>
      <c r="M342" s="1051"/>
      <c r="N342" s="1036">
        <f t="shared" si="31"/>
        <v>0</v>
      </c>
      <c r="O342" s="1052">
        <f t="shared" si="32"/>
        <v>0</v>
      </c>
      <c r="P342" s="1036">
        <f t="shared" si="33"/>
        <v>0</v>
      </c>
      <c r="Q342" s="1053">
        <f t="shared" si="34"/>
        <v>0</v>
      </c>
      <c r="R342" s="712">
        <f t="shared" si="35"/>
        <v>0</v>
      </c>
    </row>
    <row r="343" spans="3:18" ht="15.75" x14ac:dyDescent="0.25">
      <c r="C343" s="695"/>
      <c r="D343" s="567"/>
      <c r="E343" s="713"/>
      <c r="F343" s="713"/>
      <c r="G343" s="713"/>
      <c r="H343" s="715"/>
      <c r="I343" s="715"/>
      <c r="J343" s="568">
        <f t="shared" si="30"/>
        <v>0</v>
      </c>
      <c r="K343" s="1051"/>
      <c r="L343" s="1051"/>
      <c r="M343" s="1051"/>
      <c r="N343" s="1036">
        <f t="shared" si="31"/>
        <v>0</v>
      </c>
      <c r="O343" s="1052">
        <f t="shared" si="32"/>
        <v>0</v>
      </c>
      <c r="P343" s="1036">
        <f t="shared" si="33"/>
        <v>0</v>
      </c>
      <c r="Q343" s="1053">
        <f t="shared" si="34"/>
        <v>0</v>
      </c>
      <c r="R343" s="712">
        <f t="shared" si="35"/>
        <v>0</v>
      </c>
    </row>
    <row r="344" spans="3:18" ht="15.75" x14ac:dyDescent="0.25">
      <c r="C344" s="695"/>
      <c r="D344" s="567"/>
      <c r="E344" s="713"/>
      <c r="F344" s="713"/>
      <c r="G344" s="713"/>
      <c r="H344" s="715"/>
      <c r="I344" s="715"/>
      <c r="J344" s="568">
        <f t="shared" si="30"/>
        <v>0</v>
      </c>
      <c r="K344" s="1051"/>
      <c r="L344" s="1051"/>
      <c r="M344" s="1051"/>
      <c r="N344" s="1036">
        <f t="shared" si="31"/>
        <v>0</v>
      </c>
      <c r="O344" s="1052">
        <f t="shared" si="32"/>
        <v>0</v>
      </c>
      <c r="P344" s="1036">
        <f t="shared" si="33"/>
        <v>0</v>
      </c>
      <c r="Q344" s="1053">
        <f t="shared" si="34"/>
        <v>0</v>
      </c>
      <c r="R344" s="712">
        <f t="shared" si="35"/>
        <v>0</v>
      </c>
    </row>
    <row r="345" spans="3:18" ht="15.75" x14ac:dyDescent="0.25">
      <c r="C345" s="695"/>
      <c r="D345" s="567"/>
      <c r="E345" s="713"/>
      <c r="F345" s="713"/>
      <c r="G345" s="713"/>
      <c r="H345" s="715"/>
      <c r="I345" s="715"/>
      <c r="J345" s="568">
        <f t="shared" si="30"/>
        <v>0</v>
      </c>
      <c r="K345" s="1051"/>
      <c r="L345" s="1051"/>
      <c r="M345" s="1051"/>
      <c r="N345" s="1036">
        <f t="shared" si="31"/>
        <v>0</v>
      </c>
      <c r="O345" s="1052">
        <f t="shared" si="32"/>
        <v>0</v>
      </c>
      <c r="P345" s="1036">
        <f t="shared" si="33"/>
        <v>0</v>
      </c>
      <c r="Q345" s="1053">
        <f t="shared" si="34"/>
        <v>0</v>
      </c>
      <c r="R345" s="712">
        <f t="shared" si="35"/>
        <v>0</v>
      </c>
    </row>
    <row r="346" spans="3:18" ht="15.75" x14ac:dyDescent="0.25">
      <c r="C346" s="695"/>
      <c r="D346" s="567"/>
      <c r="E346" s="713"/>
      <c r="F346" s="713"/>
      <c r="G346" s="713"/>
      <c r="H346" s="714"/>
      <c r="I346" s="714"/>
      <c r="J346" s="568">
        <f t="shared" ref="J346:J384" si="36">IFERROR(H346*I346,"")</f>
        <v>0</v>
      </c>
      <c r="K346" s="1051"/>
      <c r="L346" s="1051"/>
      <c r="M346" s="1051"/>
      <c r="N346" s="1036">
        <f t="shared" si="31"/>
        <v>0</v>
      </c>
      <c r="O346" s="1052">
        <f t="shared" si="32"/>
        <v>0</v>
      </c>
      <c r="P346" s="1036">
        <f t="shared" si="33"/>
        <v>0</v>
      </c>
      <c r="Q346" s="1053">
        <f t="shared" si="34"/>
        <v>0</v>
      </c>
      <c r="R346" s="712">
        <f t="shared" si="35"/>
        <v>0</v>
      </c>
    </row>
    <row r="347" spans="3:18" ht="15.75" x14ac:dyDescent="0.25">
      <c r="C347" s="695"/>
      <c r="D347" s="567"/>
      <c r="E347" s="713"/>
      <c r="F347" s="713"/>
      <c r="G347" s="713"/>
      <c r="H347" s="715"/>
      <c r="I347" s="715"/>
      <c r="J347" s="568">
        <f t="shared" si="36"/>
        <v>0</v>
      </c>
      <c r="K347" s="1051"/>
      <c r="L347" s="1051"/>
      <c r="M347" s="1051"/>
      <c r="N347" s="1036">
        <f t="shared" si="31"/>
        <v>0</v>
      </c>
      <c r="O347" s="1052">
        <f t="shared" si="32"/>
        <v>0</v>
      </c>
      <c r="P347" s="1036">
        <f t="shared" si="33"/>
        <v>0</v>
      </c>
      <c r="Q347" s="1053">
        <f t="shared" si="34"/>
        <v>0</v>
      </c>
      <c r="R347" s="712">
        <f t="shared" si="35"/>
        <v>0</v>
      </c>
    </row>
    <row r="348" spans="3:18" ht="15.75" x14ac:dyDescent="0.25">
      <c r="C348" s="695"/>
      <c r="D348" s="567"/>
      <c r="E348" s="713"/>
      <c r="F348" s="713"/>
      <c r="G348" s="713"/>
      <c r="H348" s="715"/>
      <c r="I348" s="715"/>
      <c r="J348" s="568">
        <f t="shared" si="36"/>
        <v>0</v>
      </c>
      <c r="K348" s="1051"/>
      <c r="L348" s="1051"/>
      <c r="M348" s="1051"/>
      <c r="N348" s="1036">
        <f t="shared" si="31"/>
        <v>0</v>
      </c>
      <c r="O348" s="1052">
        <f t="shared" si="32"/>
        <v>0</v>
      </c>
      <c r="P348" s="1036">
        <f t="shared" si="33"/>
        <v>0</v>
      </c>
      <c r="Q348" s="1053">
        <f t="shared" si="34"/>
        <v>0</v>
      </c>
      <c r="R348" s="712">
        <f t="shared" si="35"/>
        <v>0</v>
      </c>
    </row>
    <row r="349" spans="3:18" ht="15.75" x14ac:dyDescent="0.25">
      <c r="C349" s="695"/>
      <c r="D349" s="567"/>
      <c r="E349" s="713"/>
      <c r="F349" s="713"/>
      <c r="G349" s="713"/>
      <c r="H349" s="715"/>
      <c r="I349" s="715"/>
      <c r="J349" s="568">
        <f t="shared" si="36"/>
        <v>0</v>
      </c>
      <c r="K349" s="1051"/>
      <c r="L349" s="1051"/>
      <c r="M349" s="1051"/>
      <c r="N349" s="1036">
        <f t="shared" si="31"/>
        <v>0</v>
      </c>
      <c r="O349" s="1052">
        <f t="shared" si="32"/>
        <v>0</v>
      </c>
      <c r="P349" s="1036">
        <f t="shared" si="33"/>
        <v>0</v>
      </c>
      <c r="Q349" s="1053">
        <f t="shared" si="34"/>
        <v>0</v>
      </c>
      <c r="R349" s="712">
        <f t="shared" si="35"/>
        <v>0</v>
      </c>
    </row>
    <row r="350" spans="3:18" ht="15.75" x14ac:dyDescent="0.25">
      <c r="C350" s="695"/>
      <c r="D350" s="567"/>
      <c r="E350" s="713"/>
      <c r="F350" s="713"/>
      <c r="G350" s="713"/>
      <c r="H350" s="714"/>
      <c r="I350" s="714"/>
      <c r="J350" s="568">
        <f t="shared" si="36"/>
        <v>0</v>
      </c>
      <c r="K350" s="1051"/>
      <c r="L350" s="1051"/>
      <c r="M350" s="1051"/>
      <c r="N350" s="1036">
        <f t="shared" si="31"/>
        <v>0</v>
      </c>
      <c r="O350" s="1052">
        <f t="shared" si="32"/>
        <v>0</v>
      </c>
      <c r="P350" s="1036">
        <f t="shared" si="33"/>
        <v>0</v>
      </c>
      <c r="Q350" s="1053">
        <f t="shared" si="34"/>
        <v>0</v>
      </c>
      <c r="R350" s="712">
        <f t="shared" si="35"/>
        <v>0</v>
      </c>
    </row>
    <row r="351" spans="3:18" ht="15.75" x14ac:dyDescent="0.25">
      <c r="C351" s="695"/>
      <c r="D351" s="567"/>
      <c r="E351" s="713"/>
      <c r="F351" s="713"/>
      <c r="G351" s="713"/>
      <c r="H351" s="715"/>
      <c r="I351" s="715"/>
      <c r="J351" s="568">
        <f t="shared" si="36"/>
        <v>0</v>
      </c>
      <c r="K351" s="1051"/>
      <c r="L351" s="1051"/>
      <c r="M351" s="1051"/>
      <c r="N351" s="1036">
        <f t="shared" si="31"/>
        <v>0</v>
      </c>
      <c r="O351" s="1052">
        <f t="shared" si="32"/>
        <v>0</v>
      </c>
      <c r="P351" s="1036">
        <f t="shared" si="33"/>
        <v>0</v>
      </c>
      <c r="Q351" s="1053">
        <f t="shared" si="34"/>
        <v>0</v>
      </c>
      <c r="R351" s="712">
        <f t="shared" si="35"/>
        <v>0</v>
      </c>
    </row>
    <row r="352" spans="3:18" ht="15.75" x14ac:dyDescent="0.25">
      <c r="C352" s="695"/>
      <c r="D352" s="567"/>
      <c r="E352" s="713"/>
      <c r="F352" s="713"/>
      <c r="G352" s="713"/>
      <c r="H352" s="715"/>
      <c r="I352" s="715"/>
      <c r="J352" s="568">
        <f t="shared" si="36"/>
        <v>0</v>
      </c>
      <c r="K352" s="1051"/>
      <c r="L352" s="1051"/>
      <c r="M352" s="1051"/>
      <c r="N352" s="1036">
        <f t="shared" si="31"/>
        <v>0</v>
      </c>
      <c r="O352" s="1052">
        <f t="shared" si="32"/>
        <v>0</v>
      </c>
      <c r="P352" s="1036">
        <f t="shared" si="33"/>
        <v>0</v>
      </c>
      <c r="Q352" s="1053">
        <f t="shared" si="34"/>
        <v>0</v>
      </c>
      <c r="R352" s="712">
        <f t="shared" si="35"/>
        <v>0</v>
      </c>
    </row>
    <row r="353" spans="3:18" ht="15.75" x14ac:dyDescent="0.25">
      <c r="C353" s="695"/>
      <c r="D353" s="567"/>
      <c r="E353" s="713"/>
      <c r="F353" s="713"/>
      <c r="G353" s="713"/>
      <c r="H353" s="715"/>
      <c r="I353" s="715"/>
      <c r="J353" s="568">
        <f t="shared" si="36"/>
        <v>0</v>
      </c>
      <c r="K353" s="1051"/>
      <c r="L353" s="1051"/>
      <c r="M353" s="1051"/>
      <c r="N353" s="1036">
        <f t="shared" si="31"/>
        <v>0</v>
      </c>
      <c r="O353" s="1052">
        <f t="shared" si="32"/>
        <v>0</v>
      </c>
      <c r="P353" s="1036">
        <f t="shared" si="33"/>
        <v>0</v>
      </c>
      <c r="Q353" s="1053">
        <f t="shared" si="34"/>
        <v>0</v>
      </c>
      <c r="R353" s="712">
        <f t="shared" si="35"/>
        <v>0</v>
      </c>
    </row>
    <row r="354" spans="3:18" ht="15.75" x14ac:dyDescent="0.25">
      <c r="C354" s="695"/>
      <c r="D354" s="567"/>
      <c r="E354" s="713"/>
      <c r="F354" s="713"/>
      <c r="G354" s="713"/>
      <c r="H354" s="714"/>
      <c r="I354" s="714"/>
      <c r="J354" s="568">
        <f t="shared" si="36"/>
        <v>0</v>
      </c>
      <c r="K354" s="1051"/>
      <c r="L354" s="1051"/>
      <c r="M354" s="1051"/>
      <c r="N354" s="1036">
        <f t="shared" si="31"/>
        <v>0</v>
      </c>
      <c r="O354" s="1052">
        <f t="shared" si="32"/>
        <v>0</v>
      </c>
      <c r="P354" s="1036">
        <f t="shared" si="33"/>
        <v>0</v>
      </c>
      <c r="Q354" s="1053">
        <f t="shared" si="34"/>
        <v>0</v>
      </c>
      <c r="R354" s="712">
        <f t="shared" si="35"/>
        <v>0</v>
      </c>
    </row>
    <row r="355" spans="3:18" ht="15.75" x14ac:dyDescent="0.25">
      <c r="C355" s="695"/>
      <c r="D355" s="567"/>
      <c r="E355" s="713"/>
      <c r="F355" s="713"/>
      <c r="G355" s="713"/>
      <c r="H355" s="715"/>
      <c r="I355" s="715"/>
      <c r="J355" s="568">
        <f t="shared" si="36"/>
        <v>0</v>
      </c>
      <c r="K355" s="1051"/>
      <c r="L355" s="1051"/>
      <c r="M355" s="1051"/>
      <c r="N355" s="1036">
        <f t="shared" si="31"/>
        <v>0</v>
      </c>
      <c r="O355" s="1052">
        <f t="shared" si="32"/>
        <v>0</v>
      </c>
      <c r="P355" s="1036">
        <f t="shared" si="33"/>
        <v>0</v>
      </c>
      <c r="Q355" s="1053">
        <f t="shared" si="34"/>
        <v>0</v>
      </c>
      <c r="R355" s="712">
        <f t="shared" si="35"/>
        <v>0</v>
      </c>
    </row>
    <row r="356" spans="3:18" ht="15.75" x14ac:dyDescent="0.25">
      <c r="C356" s="695"/>
      <c r="D356" s="567"/>
      <c r="E356" s="713"/>
      <c r="F356" s="713"/>
      <c r="G356" s="713"/>
      <c r="H356" s="715"/>
      <c r="I356" s="715"/>
      <c r="J356" s="568">
        <f t="shared" si="36"/>
        <v>0</v>
      </c>
      <c r="K356" s="1051"/>
      <c r="L356" s="1051"/>
      <c r="M356" s="1051"/>
      <c r="N356" s="1036">
        <f t="shared" si="31"/>
        <v>0</v>
      </c>
      <c r="O356" s="1052">
        <f t="shared" si="32"/>
        <v>0</v>
      </c>
      <c r="P356" s="1036">
        <f t="shared" si="33"/>
        <v>0</v>
      </c>
      <c r="Q356" s="1053">
        <f t="shared" si="34"/>
        <v>0</v>
      </c>
      <c r="R356" s="712">
        <f t="shared" si="35"/>
        <v>0</v>
      </c>
    </row>
    <row r="357" spans="3:18" ht="15.75" x14ac:dyDescent="0.25">
      <c r="C357" s="695"/>
      <c r="D357" s="567"/>
      <c r="E357" s="713"/>
      <c r="F357" s="713"/>
      <c r="G357" s="713"/>
      <c r="H357" s="715"/>
      <c r="I357" s="715"/>
      <c r="J357" s="568">
        <f t="shared" si="36"/>
        <v>0</v>
      </c>
      <c r="K357" s="1051"/>
      <c r="L357" s="1051"/>
      <c r="M357" s="1051"/>
      <c r="N357" s="1036">
        <f t="shared" si="31"/>
        <v>0</v>
      </c>
      <c r="O357" s="1052">
        <f t="shared" si="32"/>
        <v>0</v>
      </c>
      <c r="P357" s="1036">
        <f t="shared" si="33"/>
        <v>0</v>
      </c>
      <c r="Q357" s="1053">
        <f t="shared" si="34"/>
        <v>0</v>
      </c>
      <c r="R357" s="712">
        <f t="shared" si="35"/>
        <v>0</v>
      </c>
    </row>
    <row r="358" spans="3:18" ht="15.75" x14ac:dyDescent="0.25">
      <c r="C358" s="695"/>
      <c r="D358" s="567"/>
      <c r="E358" s="713"/>
      <c r="F358" s="713"/>
      <c r="G358" s="713"/>
      <c r="H358" s="714"/>
      <c r="I358" s="714"/>
      <c r="J358" s="568">
        <f t="shared" si="36"/>
        <v>0</v>
      </c>
      <c r="K358" s="1051"/>
      <c r="L358" s="1051"/>
      <c r="M358" s="1051"/>
      <c r="N358" s="1036">
        <f t="shared" si="31"/>
        <v>0</v>
      </c>
      <c r="O358" s="1052">
        <f t="shared" si="32"/>
        <v>0</v>
      </c>
      <c r="P358" s="1036">
        <f t="shared" si="33"/>
        <v>0</v>
      </c>
      <c r="Q358" s="1053">
        <f t="shared" si="34"/>
        <v>0</v>
      </c>
      <c r="R358" s="712">
        <f t="shared" si="35"/>
        <v>0</v>
      </c>
    </row>
    <row r="359" spans="3:18" ht="15.75" x14ac:dyDescent="0.25">
      <c r="C359" s="695"/>
      <c r="D359" s="567"/>
      <c r="E359" s="713"/>
      <c r="F359" s="713"/>
      <c r="G359" s="713"/>
      <c r="H359" s="715"/>
      <c r="I359" s="715"/>
      <c r="J359" s="568">
        <f t="shared" si="36"/>
        <v>0</v>
      </c>
      <c r="K359" s="1051"/>
      <c r="L359" s="1051"/>
      <c r="M359" s="1051"/>
      <c r="N359" s="1036">
        <f t="shared" si="31"/>
        <v>0</v>
      </c>
      <c r="O359" s="1052">
        <f t="shared" si="32"/>
        <v>0</v>
      </c>
      <c r="P359" s="1036">
        <f t="shared" si="33"/>
        <v>0</v>
      </c>
      <c r="Q359" s="1053">
        <f t="shared" si="34"/>
        <v>0</v>
      </c>
      <c r="R359" s="712">
        <f t="shared" si="35"/>
        <v>0</v>
      </c>
    </row>
    <row r="360" spans="3:18" ht="15.75" x14ac:dyDescent="0.25">
      <c r="C360" s="695"/>
      <c r="D360" s="567"/>
      <c r="E360" s="713"/>
      <c r="F360" s="713"/>
      <c r="G360" s="713"/>
      <c r="H360" s="715"/>
      <c r="I360" s="715"/>
      <c r="J360" s="568">
        <f t="shared" si="36"/>
        <v>0</v>
      </c>
      <c r="K360" s="1051"/>
      <c r="L360" s="1051"/>
      <c r="M360" s="1051"/>
      <c r="N360" s="1036">
        <f t="shared" si="31"/>
        <v>0</v>
      </c>
      <c r="O360" s="1052">
        <f t="shared" si="32"/>
        <v>0</v>
      </c>
      <c r="P360" s="1036">
        <f t="shared" si="33"/>
        <v>0</v>
      </c>
      <c r="Q360" s="1053">
        <f t="shared" si="34"/>
        <v>0</v>
      </c>
      <c r="R360" s="712">
        <f t="shared" si="35"/>
        <v>0</v>
      </c>
    </row>
    <row r="361" spans="3:18" ht="15.75" x14ac:dyDescent="0.25">
      <c r="C361" s="695"/>
      <c r="D361" s="567"/>
      <c r="E361" s="713"/>
      <c r="F361" s="713"/>
      <c r="G361" s="713"/>
      <c r="H361" s="715"/>
      <c r="I361" s="715"/>
      <c r="J361" s="568">
        <f t="shared" si="36"/>
        <v>0</v>
      </c>
      <c r="K361" s="1051"/>
      <c r="L361" s="1051"/>
      <c r="M361" s="1051"/>
      <c r="N361" s="1036">
        <f t="shared" si="31"/>
        <v>0</v>
      </c>
      <c r="O361" s="1052">
        <f t="shared" si="32"/>
        <v>0</v>
      </c>
      <c r="P361" s="1036">
        <f t="shared" si="33"/>
        <v>0</v>
      </c>
      <c r="Q361" s="1053">
        <f t="shared" si="34"/>
        <v>0</v>
      </c>
      <c r="R361" s="712">
        <f t="shared" si="35"/>
        <v>0</v>
      </c>
    </row>
    <row r="362" spans="3:18" ht="15.75" x14ac:dyDescent="0.25">
      <c r="C362" s="695"/>
      <c r="D362" s="567"/>
      <c r="E362" s="713"/>
      <c r="F362" s="713"/>
      <c r="G362" s="713"/>
      <c r="H362" s="714"/>
      <c r="I362" s="714"/>
      <c r="J362" s="568">
        <f t="shared" si="36"/>
        <v>0</v>
      </c>
      <c r="K362" s="1051"/>
      <c r="L362" s="1051"/>
      <c r="M362" s="1051"/>
      <c r="N362" s="1036">
        <f t="shared" si="31"/>
        <v>0</v>
      </c>
      <c r="O362" s="1052">
        <f t="shared" si="32"/>
        <v>0</v>
      </c>
      <c r="P362" s="1036">
        <f t="shared" si="33"/>
        <v>0</v>
      </c>
      <c r="Q362" s="1053">
        <f t="shared" si="34"/>
        <v>0</v>
      </c>
      <c r="R362" s="712">
        <f t="shared" si="35"/>
        <v>0</v>
      </c>
    </row>
    <row r="363" spans="3:18" ht="15.75" x14ac:dyDescent="0.25">
      <c r="C363" s="695"/>
      <c r="D363" s="567"/>
      <c r="E363" s="713"/>
      <c r="F363" s="713"/>
      <c r="G363" s="713"/>
      <c r="H363" s="715"/>
      <c r="I363" s="715"/>
      <c r="J363" s="568">
        <f t="shared" si="36"/>
        <v>0</v>
      </c>
      <c r="K363" s="1051"/>
      <c r="L363" s="1051"/>
      <c r="M363" s="1051"/>
      <c r="N363" s="1036">
        <f t="shared" si="31"/>
        <v>0</v>
      </c>
      <c r="O363" s="1052">
        <f t="shared" si="32"/>
        <v>0</v>
      </c>
      <c r="P363" s="1036">
        <f t="shared" si="33"/>
        <v>0</v>
      </c>
      <c r="Q363" s="1053">
        <f t="shared" si="34"/>
        <v>0</v>
      </c>
      <c r="R363" s="712">
        <f t="shared" si="35"/>
        <v>0</v>
      </c>
    </row>
    <row r="364" spans="3:18" ht="15.75" x14ac:dyDescent="0.25">
      <c r="C364" s="695"/>
      <c r="D364" s="567"/>
      <c r="E364" s="713"/>
      <c r="F364" s="713"/>
      <c r="G364" s="713"/>
      <c r="H364" s="715"/>
      <c r="I364" s="715"/>
      <c r="J364" s="568">
        <f t="shared" si="36"/>
        <v>0</v>
      </c>
      <c r="K364" s="1051"/>
      <c r="L364" s="1051"/>
      <c r="M364" s="1051"/>
      <c r="N364" s="1036">
        <f t="shared" si="31"/>
        <v>0</v>
      </c>
      <c r="O364" s="1052">
        <f t="shared" si="32"/>
        <v>0</v>
      </c>
      <c r="P364" s="1036">
        <f t="shared" si="33"/>
        <v>0</v>
      </c>
      <c r="Q364" s="1053">
        <f t="shared" si="34"/>
        <v>0</v>
      </c>
      <c r="R364" s="712">
        <f t="shared" si="35"/>
        <v>0</v>
      </c>
    </row>
    <row r="365" spans="3:18" ht="15.75" x14ac:dyDescent="0.25">
      <c r="C365" s="695"/>
      <c r="D365" s="567"/>
      <c r="E365" s="713"/>
      <c r="F365" s="713"/>
      <c r="G365" s="713"/>
      <c r="H365" s="715"/>
      <c r="I365" s="715"/>
      <c r="J365" s="568">
        <f t="shared" si="36"/>
        <v>0</v>
      </c>
      <c r="K365" s="1051"/>
      <c r="L365" s="1051"/>
      <c r="M365" s="1051"/>
      <c r="N365" s="1036">
        <f t="shared" si="31"/>
        <v>0</v>
      </c>
      <c r="O365" s="1052">
        <f t="shared" si="32"/>
        <v>0</v>
      </c>
      <c r="P365" s="1036">
        <f t="shared" si="33"/>
        <v>0</v>
      </c>
      <c r="Q365" s="1053">
        <f t="shared" si="34"/>
        <v>0</v>
      </c>
      <c r="R365" s="712">
        <f t="shared" si="35"/>
        <v>0</v>
      </c>
    </row>
    <row r="366" spans="3:18" ht="15.75" x14ac:dyDescent="0.25">
      <c r="C366" s="695"/>
      <c r="D366" s="567"/>
      <c r="E366" s="713"/>
      <c r="F366" s="713"/>
      <c r="G366" s="713"/>
      <c r="H366" s="714"/>
      <c r="I366" s="714"/>
      <c r="J366" s="568">
        <f t="shared" si="36"/>
        <v>0</v>
      </c>
      <c r="K366" s="1051"/>
      <c r="L366" s="1051"/>
      <c r="M366" s="1051"/>
      <c r="N366" s="1036">
        <f t="shared" si="31"/>
        <v>0</v>
      </c>
      <c r="O366" s="1052">
        <f t="shared" si="32"/>
        <v>0</v>
      </c>
      <c r="P366" s="1036">
        <f t="shared" si="33"/>
        <v>0</v>
      </c>
      <c r="Q366" s="1053">
        <f t="shared" si="34"/>
        <v>0</v>
      </c>
      <c r="R366" s="712">
        <f t="shared" si="35"/>
        <v>0</v>
      </c>
    </row>
    <row r="367" spans="3:18" ht="15.75" x14ac:dyDescent="0.25">
      <c r="C367" s="695"/>
      <c r="D367" s="567"/>
      <c r="E367" s="713"/>
      <c r="F367" s="713"/>
      <c r="G367" s="713"/>
      <c r="H367" s="715"/>
      <c r="I367" s="715"/>
      <c r="J367" s="568">
        <f t="shared" si="36"/>
        <v>0</v>
      </c>
      <c r="K367" s="1051"/>
      <c r="L367" s="1051"/>
      <c r="M367" s="1051"/>
      <c r="N367" s="1036">
        <f t="shared" si="31"/>
        <v>0</v>
      </c>
      <c r="O367" s="1052">
        <f t="shared" si="32"/>
        <v>0</v>
      </c>
      <c r="P367" s="1036">
        <f t="shared" si="33"/>
        <v>0</v>
      </c>
      <c r="Q367" s="1053">
        <f t="shared" si="34"/>
        <v>0</v>
      </c>
      <c r="R367" s="712">
        <f t="shared" si="35"/>
        <v>0</v>
      </c>
    </row>
    <row r="368" spans="3:18" ht="15.75" x14ac:dyDescent="0.25">
      <c r="C368" s="695"/>
      <c r="D368" s="567"/>
      <c r="E368" s="713"/>
      <c r="F368" s="713"/>
      <c r="G368" s="713"/>
      <c r="H368" s="715"/>
      <c r="I368" s="715"/>
      <c r="J368" s="568">
        <f t="shared" si="36"/>
        <v>0</v>
      </c>
      <c r="K368" s="1051"/>
      <c r="L368" s="1051"/>
      <c r="M368" s="1051"/>
      <c r="N368" s="1036">
        <f t="shared" si="31"/>
        <v>0</v>
      </c>
      <c r="O368" s="1052">
        <f t="shared" si="32"/>
        <v>0</v>
      </c>
      <c r="P368" s="1036">
        <f t="shared" si="33"/>
        <v>0</v>
      </c>
      <c r="Q368" s="1053">
        <f t="shared" si="34"/>
        <v>0</v>
      </c>
      <c r="R368" s="712">
        <f t="shared" si="35"/>
        <v>0</v>
      </c>
    </row>
    <row r="369" spans="3:18" ht="15.75" x14ac:dyDescent="0.25">
      <c r="C369" s="695"/>
      <c r="D369" s="567"/>
      <c r="E369" s="713"/>
      <c r="F369" s="713"/>
      <c r="G369" s="713"/>
      <c r="H369" s="715"/>
      <c r="I369" s="715"/>
      <c r="J369" s="568">
        <f t="shared" si="36"/>
        <v>0</v>
      </c>
      <c r="K369" s="1051"/>
      <c r="L369" s="1051"/>
      <c r="M369" s="1051"/>
      <c r="N369" s="1036">
        <f t="shared" si="31"/>
        <v>0</v>
      </c>
      <c r="O369" s="1052">
        <f t="shared" si="32"/>
        <v>0</v>
      </c>
      <c r="P369" s="1036">
        <f t="shared" si="33"/>
        <v>0</v>
      </c>
      <c r="Q369" s="1053">
        <f t="shared" si="34"/>
        <v>0</v>
      </c>
      <c r="R369" s="712">
        <f t="shared" si="35"/>
        <v>0</v>
      </c>
    </row>
    <row r="370" spans="3:18" ht="15.75" x14ac:dyDescent="0.25">
      <c r="C370" s="695"/>
      <c r="D370" s="567"/>
      <c r="E370" s="713"/>
      <c r="F370" s="713"/>
      <c r="G370" s="713"/>
      <c r="H370" s="714"/>
      <c r="I370" s="714"/>
      <c r="J370" s="568">
        <f t="shared" si="36"/>
        <v>0</v>
      </c>
      <c r="K370" s="1051"/>
      <c r="L370" s="1051"/>
      <c r="M370" s="1051"/>
      <c r="N370" s="1036">
        <f t="shared" si="31"/>
        <v>0</v>
      </c>
      <c r="O370" s="1052">
        <f t="shared" si="32"/>
        <v>0</v>
      </c>
      <c r="P370" s="1036">
        <f t="shared" si="33"/>
        <v>0</v>
      </c>
      <c r="Q370" s="1053">
        <f t="shared" si="34"/>
        <v>0</v>
      </c>
      <c r="R370" s="712">
        <f t="shared" si="35"/>
        <v>0</v>
      </c>
    </row>
    <row r="371" spans="3:18" ht="15.75" x14ac:dyDescent="0.25">
      <c r="C371" s="695"/>
      <c r="D371" s="567"/>
      <c r="E371" s="713"/>
      <c r="F371" s="713"/>
      <c r="G371" s="713"/>
      <c r="H371" s="715"/>
      <c r="I371" s="715"/>
      <c r="J371" s="568">
        <f t="shared" si="36"/>
        <v>0</v>
      </c>
      <c r="K371" s="1051"/>
      <c r="L371" s="1051"/>
      <c r="M371" s="1051"/>
      <c r="N371" s="1036">
        <f t="shared" si="31"/>
        <v>0</v>
      </c>
      <c r="O371" s="1052">
        <f t="shared" si="32"/>
        <v>0</v>
      </c>
      <c r="P371" s="1036">
        <f t="shared" si="33"/>
        <v>0</v>
      </c>
      <c r="Q371" s="1053">
        <f t="shared" si="34"/>
        <v>0</v>
      </c>
      <c r="R371" s="712">
        <f t="shared" si="35"/>
        <v>0</v>
      </c>
    </row>
    <row r="372" spans="3:18" ht="15.75" x14ac:dyDescent="0.25">
      <c r="C372" s="695"/>
      <c r="D372" s="567"/>
      <c r="E372" s="713"/>
      <c r="F372" s="713"/>
      <c r="G372" s="713"/>
      <c r="H372" s="715"/>
      <c r="I372" s="715"/>
      <c r="J372" s="568">
        <f t="shared" si="36"/>
        <v>0</v>
      </c>
      <c r="K372" s="1051"/>
      <c r="L372" s="1051"/>
      <c r="M372" s="1051"/>
      <c r="N372" s="1036">
        <f t="shared" si="31"/>
        <v>0</v>
      </c>
      <c r="O372" s="1052">
        <f t="shared" si="32"/>
        <v>0</v>
      </c>
      <c r="P372" s="1036">
        <f t="shared" si="33"/>
        <v>0</v>
      </c>
      <c r="Q372" s="1053">
        <f t="shared" si="34"/>
        <v>0</v>
      </c>
      <c r="R372" s="712">
        <f t="shared" si="35"/>
        <v>0</v>
      </c>
    </row>
    <row r="373" spans="3:18" ht="15.75" x14ac:dyDescent="0.25">
      <c r="C373" s="695"/>
      <c r="D373" s="567"/>
      <c r="E373" s="713"/>
      <c r="F373" s="713"/>
      <c r="G373" s="713"/>
      <c r="H373" s="715"/>
      <c r="I373" s="715"/>
      <c r="J373" s="568">
        <f t="shared" si="36"/>
        <v>0</v>
      </c>
      <c r="K373" s="1051"/>
      <c r="L373" s="1051"/>
      <c r="M373" s="1051"/>
      <c r="N373" s="1036">
        <f t="shared" si="31"/>
        <v>0</v>
      </c>
      <c r="O373" s="1052">
        <f t="shared" si="32"/>
        <v>0</v>
      </c>
      <c r="P373" s="1036">
        <f t="shared" si="33"/>
        <v>0</v>
      </c>
      <c r="Q373" s="1053">
        <f t="shared" si="34"/>
        <v>0</v>
      </c>
      <c r="R373" s="712">
        <f t="shared" si="35"/>
        <v>0</v>
      </c>
    </row>
    <row r="374" spans="3:18" ht="15.75" x14ac:dyDescent="0.25">
      <c r="C374" s="695"/>
      <c r="D374" s="567"/>
      <c r="E374" s="713"/>
      <c r="F374" s="713"/>
      <c r="G374" s="713"/>
      <c r="H374" s="714"/>
      <c r="I374" s="714"/>
      <c r="J374" s="568">
        <f t="shared" si="36"/>
        <v>0</v>
      </c>
      <c r="K374" s="1051"/>
      <c r="L374" s="1051"/>
      <c r="M374" s="1051"/>
      <c r="N374" s="1036">
        <f t="shared" si="31"/>
        <v>0</v>
      </c>
      <c r="O374" s="1052">
        <f t="shared" si="32"/>
        <v>0</v>
      </c>
      <c r="P374" s="1036">
        <f t="shared" si="33"/>
        <v>0</v>
      </c>
      <c r="Q374" s="1053">
        <f t="shared" si="34"/>
        <v>0</v>
      </c>
      <c r="R374" s="712">
        <f t="shared" si="35"/>
        <v>0</v>
      </c>
    </row>
    <row r="375" spans="3:18" ht="15.75" x14ac:dyDescent="0.25">
      <c r="C375" s="695"/>
      <c r="D375" s="567"/>
      <c r="E375" s="713"/>
      <c r="F375" s="713"/>
      <c r="G375" s="713"/>
      <c r="H375" s="715"/>
      <c r="I375" s="715"/>
      <c r="J375" s="568">
        <f t="shared" si="36"/>
        <v>0</v>
      </c>
      <c r="K375" s="1051"/>
      <c r="L375" s="1051"/>
      <c r="M375" s="1051"/>
      <c r="N375" s="1036">
        <f t="shared" si="31"/>
        <v>0</v>
      </c>
      <c r="O375" s="1052">
        <f t="shared" si="32"/>
        <v>0</v>
      </c>
      <c r="P375" s="1036">
        <f t="shared" si="33"/>
        <v>0</v>
      </c>
      <c r="Q375" s="1053">
        <f t="shared" si="34"/>
        <v>0</v>
      </c>
      <c r="R375" s="712">
        <f t="shared" si="35"/>
        <v>0</v>
      </c>
    </row>
    <row r="376" spans="3:18" ht="15.75" x14ac:dyDescent="0.25">
      <c r="C376" s="695"/>
      <c r="D376" s="567"/>
      <c r="E376" s="713"/>
      <c r="F376" s="713"/>
      <c r="G376" s="713"/>
      <c r="H376" s="715"/>
      <c r="I376" s="715"/>
      <c r="J376" s="568">
        <f t="shared" si="36"/>
        <v>0</v>
      </c>
      <c r="K376" s="1051"/>
      <c r="L376" s="1051"/>
      <c r="M376" s="1051"/>
      <c r="N376" s="1036">
        <f t="shared" si="31"/>
        <v>0</v>
      </c>
      <c r="O376" s="1052">
        <f t="shared" si="32"/>
        <v>0</v>
      </c>
      <c r="P376" s="1036">
        <f t="shared" si="33"/>
        <v>0</v>
      </c>
      <c r="Q376" s="1053">
        <f t="shared" si="34"/>
        <v>0</v>
      </c>
      <c r="R376" s="712">
        <f t="shared" si="35"/>
        <v>0</v>
      </c>
    </row>
    <row r="377" spans="3:18" ht="15.75" x14ac:dyDescent="0.25">
      <c r="C377" s="695"/>
      <c r="D377" s="567"/>
      <c r="E377" s="713"/>
      <c r="F377" s="713"/>
      <c r="G377" s="713"/>
      <c r="H377" s="715"/>
      <c r="I377" s="715"/>
      <c r="J377" s="568">
        <f t="shared" si="36"/>
        <v>0</v>
      </c>
      <c r="K377" s="1051"/>
      <c r="L377" s="1051"/>
      <c r="M377" s="1051"/>
      <c r="N377" s="1036">
        <f t="shared" si="31"/>
        <v>0</v>
      </c>
      <c r="O377" s="1052">
        <f t="shared" si="32"/>
        <v>0</v>
      </c>
      <c r="P377" s="1036">
        <f t="shared" si="33"/>
        <v>0</v>
      </c>
      <c r="Q377" s="1053">
        <f t="shared" si="34"/>
        <v>0</v>
      </c>
      <c r="R377" s="712">
        <f t="shared" si="35"/>
        <v>0</v>
      </c>
    </row>
    <row r="378" spans="3:18" ht="15.75" x14ac:dyDescent="0.25">
      <c r="C378" s="695"/>
      <c r="D378" s="567"/>
      <c r="E378" s="713"/>
      <c r="F378" s="713"/>
      <c r="G378" s="713"/>
      <c r="H378" s="714"/>
      <c r="I378" s="714"/>
      <c r="J378" s="568">
        <f t="shared" si="36"/>
        <v>0</v>
      </c>
      <c r="K378" s="1051"/>
      <c r="L378" s="1051"/>
      <c r="M378" s="1051"/>
      <c r="N378" s="1036">
        <f t="shared" si="31"/>
        <v>0</v>
      </c>
      <c r="O378" s="1052">
        <f t="shared" si="32"/>
        <v>0</v>
      </c>
      <c r="P378" s="1036">
        <f t="shared" si="33"/>
        <v>0</v>
      </c>
      <c r="Q378" s="1053">
        <f t="shared" si="34"/>
        <v>0</v>
      </c>
      <c r="R378" s="712">
        <f t="shared" si="35"/>
        <v>0</v>
      </c>
    </row>
    <row r="379" spans="3:18" ht="15.75" x14ac:dyDescent="0.25">
      <c r="C379" s="695"/>
      <c r="D379" s="567"/>
      <c r="E379" s="713"/>
      <c r="F379" s="713"/>
      <c r="G379" s="713"/>
      <c r="H379" s="715"/>
      <c r="I379" s="715"/>
      <c r="J379" s="568">
        <f t="shared" si="36"/>
        <v>0</v>
      </c>
      <c r="K379" s="1051"/>
      <c r="L379" s="1051"/>
      <c r="M379" s="1051"/>
      <c r="N379" s="1036">
        <f t="shared" si="31"/>
        <v>0</v>
      </c>
      <c r="O379" s="1052">
        <f t="shared" si="32"/>
        <v>0</v>
      </c>
      <c r="P379" s="1036">
        <f t="shared" si="33"/>
        <v>0</v>
      </c>
      <c r="Q379" s="1053">
        <f t="shared" si="34"/>
        <v>0</v>
      </c>
      <c r="R379" s="712">
        <f t="shared" si="35"/>
        <v>0</v>
      </c>
    </row>
    <row r="380" spans="3:18" ht="15.75" x14ac:dyDescent="0.25">
      <c r="C380" s="695"/>
      <c r="D380" s="567"/>
      <c r="E380" s="713"/>
      <c r="F380" s="713"/>
      <c r="G380" s="713"/>
      <c r="H380" s="714"/>
      <c r="I380" s="714"/>
      <c r="J380" s="568">
        <f t="shared" si="36"/>
        <v>0</v>
      </c>
      <c r="K380" s="1051"/>
      <c r="L380" s="1051"/>
      <c r="M380" s="1051"/>
      <c r="N380" s="1036">
        <f t="shared" si="31"/>
        <v>0</v>
      </c>
      <c r="O380" s="1052">
        <f t="shared" si="32"/>
        <v>0</v>
      </c>
      <c r="P380" s="1036">
        <f t="shared" si="33"/>
        <v>0</v>
      </c>
      <c r="Q380" s="1053">
        <f t="shared" si="34"/>
        <v>0</v>
      </c>
      <c r="R380" s="712">
        <f t="shared" si="35"/>
        <v>0</v>
      </c>
    </row>
    <row r="381" spans="3:18" ht="15.75" x14ac:dyDescent="0.25">
      <c r="C381" s="695"/>
      <c r="D381" s="567"/>
      <c r="E381" s="713"/>
      <c r="F381" s="713"/>
      <c r="G381" s="713"/>
      <c r="H381" s="715"/>
      <c r="I381" s="715"/>
      <c r="J381" s="568">
        <f t="shared" si="36"/>
        <v>0</v>
      </c>
      <c r="K381" s="1051"/>
      <c r="L381" s="1051"/>
      <c r="M381" s="1051"/>
      <c r="N381" s="1036">
        <f t="shared" si="31"/>
        <v>0</v>
      </c>
      <c r="O381" s="1052">
        <f t="shared" si="32"/>
        <v>0</v>
      </c>
      <c r="P381" s="1036">
        <f t="shared" si="33"/>
        <v>0</v>
      </c>
      <c r="Q381" s="1053">
        <f t="shared" si="34"/>
        <v>0</v>
      </c>
      <c r="R381" s="712">
        <f t="shared" si="35"/>
        <v>0</v>
      </c>
    </row>
    <row r="382" spans="3:18" ht="15.75" x14ac:dyDescent="0.25">
      <c r="C382" s="695"/>
      <c r="D382" s="567"/>
      <c r="E382" s="713"/>
      <c r="F382" s="713"/>
      <c r="G382" s="713"/>
      <c r="H382" s="715"/>
      <c r="I382" s="715"/>
      <c r="J382" s="568">
        <f t="shared" si="36"/>
        <v>0</v>
      </c>
      <c r="K382" s="1051"/>
      <c r="L382" s="1051"/>
      <c r="M382" s="1051"/>
      <c r="N382" s="1036">
        <f t="shared" si="31"/>
        <v>0</v>
      </c>
      <c r="O382" s="1052">
        <f t="shared" si="32"/>
        <v>0</v>
      </c>
      <c r="P382" s="1036">
        <f t="shared" si="33"/>
        <v>0</v>
      </c>
      <c r="Q382" s="1053">
        <f t="shared" si="34"/>
        <v>0</v>
      </c>
      <c r="R382" s="712">
        <f t="shared" si="35"/>
        <v>0</v>
      </c>
    </row>
    <row r="383" spans="3:18" ht="15.75" x14ac:dyDescent="0.25">
      <c r="C383" s="695"/>
      <c r="D383" s="567"/>
      <c r="E383" s="713"/>
      <c r="F383" s="713"/>
      <c r="G383" s="713"/>
      <c r="H383" s="715"/>
      <c r="I383" s="715"/>
      <c r="J383" s="568">
        <f t="shared" si="36"/>
        <v>0</v>
      </c>
      <c r="K383" s="1051"/>
      <c r="L383" s="1051"/>
      <c r="M383" s="1051"/>
      <c r="N383" s="1036">
        <f t="shared" si="31"/>
        <v>0</v>
      </c>
      <c r="O383" s="1052">
        <f t="shared" si="32"/>
        <v>0</v>
      </c>
      <c r="P383" s="1036">
        <f t="shared" si="33"/>
        <v>0</v>
      </c>
      <c r="Q383" s="1053">
        <f t="shared" si="34"/>
        <v>0</v>
      </c>
      <c r="R383" s="712">
        <f t="shared" si="35"/>
        <v>0</v>
      </c>
    </row>
    <row r="384" spans="3:18" ht="15.75" x14ac:dyDescent="0.25">
      <c r="C384" s="695"/>
      <c r="D384" s="567"/>
      <c r="E384" s="713"/>
      <c r="F384" s="713"/>
      <c r="G384" s="713"/>
      <c r="H384" s="714"/>
      <c r="I384" s="714"/>
      <c r="J384" s="568">
        <f t="shared" si="36"/>
        <v>0</v>
      </c>
      <c r="K384" s="1051"/>
      <c r="L384" s="1051"/>
      <c r="M384" s="1051"/>
      <c r="N384" s="1036">
        <f t="shared" si="31"/>
        <v>0</v>
      </c>
      <c r="O384" s="1052">
        <f t="shared" si="32"/>
        <v>0</v>
      </c>
      <c r="P384" s="1036">
        <f t="shared" si="33"/>
        <v>0</v>
      </c>
      <c r="Q384" s="1053">
        <f t="shared" si="34"/>
        <v>0</v>
      </c>
      <c r="R384" s="712">
        <f t="shared" si="35"/>
        <v>0</v>
      </c>
    </row>
  </sheetData>
  <sheetProtection algorithmName="SHA-512" hashValue="gAube55XljkPK0+ax0QGB3nVJApNfnBCMAYAxR0smsasirEMkp7EKojLJke0yh7Gg3bnIPBxdMShT072+7rBYg==" saltValue="seal17uUndzpUh5Jx86G/A==" spinCount="100000" sheet="1" objects="1" scenarios="1"/>
  <mergeCells count="3">
    <mergeCell ref="C9:J10"/>
    <mergeCell ref="H15:J15"/>
    <mergeCell ref="K15:N15"/>
  </mergeCells>
  <conditionalFormatting sqref="D11 D13 D1:D8">
    <cfRule type="containsText" dxfId="145" priority="3" operator="containsText" text="אינו במעמד">
      <formula>NOT(ISERROR(SEARCH("אינו במעמד",D1)))</formula>
    </cfRule>
  </conditionalFormatting>
  <conditionalFormatting sqref="H16">
    <cfRule type="cellIs" dxfId="144" priority="1" operator="equal">
      <formula>"המוסד לא דווח בגיליון מצבת והרשמה"</formula>
    </cfRule>
    <cfRule type="cellIs" dxfId="143" priority="2" operator="equal">
      <formula>"המוסד לא קיים"</formula>
    </cfRule>
  </conditionalFormatting>
  <dataValidations count="3">
    <dataValidation type="list" allowBlank="1" showInputMessage="1" showErrorMessage="1" sqref="C17:C384" xr:uid="{5D3D6851-5B99-40E8-8444-81EDA05EA985}">
      <formula1>סמלפעילות</formula1>
    </dataValidation>
    <dataValidation type="list" allowBlank="1" showInputMessage="1" showErrorMessage="1" sqref="E17:E384" xr:uid="{2158C54D-B4A8-4A9C-B49E-D3A4B6472F43}">
      <formula1>"א-ג, ד-ו"</formula1>
    </dataValidation>
    <dataValidation allowBlank="1" showInputMessage="1" showErrorMessage="1" promptTitle="כמות שעות מקסימלית לפי קול קורא" prompt="רכז בי&quot;ס - 114 ש', סגן רכז בי&quot;ס - 93 ש', שאר עובדים - 90 ש'" sqref="M16" xr:uid="{104B6D05-6657-41C8-84D6-9EB9311E4B01}"/>
  </dataValidations>
  <hyperlinks>
    <hyperlink ref="A1" location="'תוכן העניינים'!A1" tooltip="הנחיות למילוי גיליון" display="תוכן העניינים" xr:uid="{CFF131FA-9EF0-41A4-A820-367BD44DA218}"/>
  </hyperlink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8">
    <tabColor rgb="FF00FFFF"/>
    <pageSetUpPr fitToPage="1"/>
  </sheetPr>
  <dimension ref="A1:R515"/>
  <sheetViews>
    <sheetView showGridLines="0" rightToLeft="1" workbookViewId="0">
      <selection activeCell="G19" sqref="G19"/>
    </sheetView>
  </sheetViews>
  <sheetFormatPr defaultColWidth="9" defaultRowHeight="15" x14ac:dyDescent="0.25"/>
  <cols>
    <col min="1" max="1" width="4" style="22" customWidth="1"/>
    <col min="2" max="2" width="6.125" style="22" customWidth="1"/>
    <col min="3" max="3" width="11.5" style="22" customWidth="1"/>
    <col min="4" max="4" width="22.25" style="22" customWidth="1"/>
    <col min="5" max="6" width="14.875" style="22" customWidth="1"/>
    <col min="7" max="7" width="14.5" style="22" customWidth="1"/>
    <col min="8" max="8" width="10.625" style="22" customWidth="1"/>
    <col min="9" max="10" width="10.625" style="155" customWidth="1"/>
    <col min="11" max="11" width="39.875" style="22" customWidth="1"/>
    <col min="12" max="12" width="32.75" style="22" customWidth="1"/>
    <col min="13" max="13" width="22.625" style="22" customWidth="1"/>
    <col min="14" max="14" width="8" style="525" hidden="1" customWidth="1"/>
    <col min="15" max="15" width="18.25" style="525" hidden="1" customWidth="1"/>
    <col min="16" max="16" width="16" style="525" hidden="1" customWidth="1"/>
    <col min="17" max="16384" width="9" style="22"/>
  </cols>
  <sheetData>
    <row r="1" spans="1:18" ht="18.75" x14ac:dyDescent="0.3">
      <c r="A1" s="1131" t="s">
        <v>2851</v>
      </c>
      <c r="B1" s="1132"/>
      <c r="E1" s="42" t="str">
        <f>'גנים ובתי ספר- מבנה תקציב'!$E$1</f>
        <v>תכנית בתי הספר והגנים של החופש הגדול, קיץ תשפ"ו</v>
      </c>
      <c r="F1" s="42"/>
      <c r="N1" s="525" t="s">
        <v>2525</v>
      </c>
      <c r="O1" s="525" t="s">
        <v>2525</v>
      </c>
      <c r="P1" s="525" t="s">
        <v>2525</v>
      </c>
    </row>
    <row r="2" spans="1:18" ht="15.75" thickBot="1" x14ac:dyDescent="0.3"/>
    <row r="3" spans="1:18" s="55" customFormat="1" ht="19.5" thickBot="1" x14ac:dyDescent="0.3">
      <c r="C3" s="49" t="s">
        <v>16</v>
      </c>
      <c r="E3" s="157">
        <f>'נתונים כלליים (1)'!$C$5</f>
        <v>0</v>
      </c>
      <c r="F3" s="158"/>
      <c r="G3" s="22"/>
      <c r="H3" s="22"/>
      <c r="I3" s="155"/>
      <c r="J3" s="155"/>
      <c r="K3" s="22"/>
      <c r="N3" s="526"/>
      <c r="O3" s="526"/>
      <c r="P3" s="526"/>
    </row>
    <row r="4" spans="1:18" s="160" customFormat="1" ht="19.5" thickBot="1" x14ac:dyDescent="0.35">
      <c r="C4" s="49" t="s">
        <v>77</v>
      </c>
      <c r="E4" s="161" t="s">
        <v>78</v>
      </c>
      <c r="F4" s="158"/>
      <c r="I4" s="162"/>
      <c r="J4" s="162"/>
      <c r="L4" s="55"/>
      <c r="M4" s="55"/>
      <c r="N4" s="527"/>
      <c r="O4" s="527"/>
      <c r="P4" s="527"/>
    </row>
    <row r="5" spans="1:18" s="164" customFormat="1" ht="21" customHeight="1" thickBot="1" x14ac:dyDescent="0.35">
      <c r="C5" s="61" t="s">
        <v>7</v>
      </c>
      <c r="E5" s="165" t="str">
        <f>'נתונים כלליים (1)'!$C$6</f>
        <v/>
      </c>
      <c r="F5" s="166"/>
      <c r="I5" s="167"/>
      <c r="J5" s="167"/>
      <c r="K5" s="743" t="str">
        <f>IF(K6=""," ","שגיאות בגיליון:")</f>
        <v xml:space="preserve"> </v>
      </c>
      <c r="L5" s="31"/>
      <c r="N5" s="528"/>
      <c r="O5" s="528"/>
      <c r="P5" s="528"/>
    </row>
    <row r="6" spans="1:18" ht="18.75" x14ac:dyDescent="0.3">
      <c r="A6" s="168"/>
      <c r="K6" s="743" t="str">
        <f>IF(SUM(N16:N515)&gt;0,CONCATENATE("שימו לב! קיימים ",SUM(N16:N515)," מוסדות בהם לא הועסקו אנשי צוות כנדרש ולכן אין זכאות לתקציב עבור מוסדות אלו"),"")</f>
        <v/>
      </c>
      <c r="M6" s="31"/>
      <c r="N6" s="529"/>
      <c r="O6" s="529"/>
      <c r="P6" s="529"/>
      <c r="Q6" s="31"/>
      <c r="R6" s="31"/>
    </row>
    <row r="7" spans="1:18" s="55" customFormat="1" ht="15.75" x14ac:dyDescent="0.25">
      <c r="B7" s="17"/>
      <c r="C7" s="17"/>
      <c r="D7" s="17"/>
      <c r="E7" s="17"/>
      <c r="F7" s="17"/>
      <c r="G7" s="17"/>
      <c r="H7" s="17"/>
      <c r="I7" s="169"/>
      <c r="J7" s="169"/>
      <c r="K7" s="17"/>
      <c r="N7" s="526"/>
      <c r="O7" s="526"/>
      <c r="P7" s="526"/>
    </row>
    <row r="8" spans="1:18" s="55" customFormat="1" ht="20.25" x14ac:dyDescent="0.3">
      <c r="C8" s="170"/>
      <c r="D8" s="170"/>
      <c r="E8" s="171" t="s">
        <v>2304</v>
      </c>
      <c r="F8" s="171"/>
      <c r="G8" s="170"/>
      <c r="H8" s="170"/>
      <c r="J8" s="172"/>
      <c r="K8" s="170"/>
      <c r="L8" s="170"/>
      <c r="N8" s="526"/>
      <c r="O8" s="526"/>
      <c r="P8" s="526"/>
    </row>
    <row r="9" spans="1:18" s="55" customFormat="1" ht="13.5" customHeight="1" x14ac:dyDescent="0.3">
      <c r="C9" s="170"/>
      <c r="D9" s="170"/>
      <c r="E9" s="171"/>
      <c r="F9" s="171"/>
      <c r="G9" s="170"/>
      <c r="H9" s="170"/>
      <c r="J9" s="173"/>
      <c r="L9" s="170"/>
      <c r="N9" s="526"/>
      <c r="O9" s="526"/>
      <c r="P9" s="526"/>
    </row>
    <row r="10" spans="1:18" s="55" customFormat="1" ht="20.25" x14ac:dyDescent="0.3">
      <c r="B10" s="719" t="s">
        <v>2819</v>
      </c>
      <c r="C10" s="716"/>
      <c r="D10" s="716"/>
      <c r="E10" s="54"/>
      <c r="F10" s="686"/>
      <c r="G10" s="716"/>
      <c r="H10" s="716"/>
      <c r="I10" s="172"/>
      <c r="J10" s="172"/>
      <c r="K10" s="170"/>
      <c r="L10" s="170"/>
      <c r="N10" s="526"/>
      <c r="O10" s="526"/>
      <c r="P10" s="526"/>
    </row>
    <row r="11" spans="1:18" s="55" customFormat="1" ht="20.25" x14ac:dyDescent="0.3">
      <c r="B11" s="719" t="s">
        <v>2327</v>
      </c>
      <c r="C11" s="716"/>
      <c r="D11" s="716"/>
      <c r="E11" s="54"/>
      <c r="F11" s="686"/>
      <c r="G11" s="716"/>
      <c r="H11" s="716"/>
      <c r="I11" s="172"/>
      <c r="J11" s="172"/>
      <c r="K11" s="170"/>
      <c r="L11" s="170"/>
      <c r="N11" s="526"/>
      <c r="O11" s="526"/>
      <c r="P11" s="526"/>
    </row>
    <row r="12" spans="1:18" s="55" customFormat="1" ht="15.75" x14ac:dyDescent="0.25">
      <c r="B12" s="17"/>
      <c r="C12" s="17"/>
      <c r="D12" s="17"/>
      <c r="E12" s="17"/>
      <c r="F12" s="17"/>
      <c r="G12" s="17"/>
      <c r="H12" s="17"/>
      <c r="I12" s="169"/>
      <c r="J12" s="169"/>
      <c r="K12" s="17"/>
      <c r="N12" s="526"/>
      <c r="O12" s="526"/>
      <c r="P12" s="526"/>
    </row>
    <row r="13" spans="1:18" s="55" customFormat="1" ht="15.75" x14ac:dyDescent="0.25">
      <c r="B13" s="17"/>
      <c r="C13" s="17"/>
      <c r="D13" s="17"/>
      <c r="E13" s="17"/>
      <c r="F13" s="17"/>
      <c r="G13" s="17"/>
      <c r="H13" s="17"/>
      <c r="I13" s="169"/>
      <c r="J13" s="169"/>
      <c r="K13" s="17"/>
      <c r="N13" s="526"/>
      <c r="O13" s="526"/>
      <c r="P13" s="526"/>
    </row>
    <row r="14" spans="1:18" s="55" customFormat="1" ht="15.75" x14ac:dyDescent="0.25">
      <c r="B14" s="17"/>
      <c r="C14" s="17"/>
      <c r="D14" s="17"/>
      <c r="E14" s="17"/>
      <c r="F14" s="17"/>
      <c r="G14" s="17"/>
      <c r="H14" s="17"/>
      <c r="I14" s="169"/>
      <c r="J14" s="169"/>
      <c r="K14" s="17"/>
      <c r="N14" s="526"/>
      <c r="O14" s="526"/>
      <c r="P14" s="526"/>
    </row>
    <row r="15" spans="1:18" s="19" customFormat="1" ht="30" x14ac:dyDescent="0.2">
      <c r="B15" s="174" t="s">
        <v>1</v>
      </c>
      <c r="C15" s="174" t="s">
        <v>137</v>
      </c>
      <c r="D15" s="174" t="s">
        <v>134</v>
      </c>
      <c r="E15" s="174" t="s">
        <v>2307</v>
      </c>
      <c r="F15" s="174" t="s">
        <v>2352</v>
      </c>
      <c r="G15" s="174" t="s">
        <v>2309</v>
      </c>
      <c r="H15" s="174" t="s">
        <v>2310</v>
      </c>
      <c r="I15" s="175" t="s">
        <v>2305</v>
      </c>
      <c r="J15" s="175" t="s">
        <v>2311</v>
      </c>
      <c r="K15" s="174" t="s">
        <v>2308</v>
      </c>
      <c r="L15" s="174" t="s">
        <v>2315</v>
      </c>
      <c r="M15" s="174" t="s">
        <v>86</v>
      </c>
      <c r="N15" s="530" t="s">
        <v>2895</v>
      </c>
      <c r="O15" s="530" t="s">
        <v>2686</v>
      </c>
      <c r="P15" s="530" t="s">
        <v>2687</v>
      </c>
    </row>
    <row r="16" spans="1:18" ht="15.75" x14ac:dyDescent="0.25">
      <c r="B16" s="176">
        <v>1</v>
      </c>
      <c r="C16" s="176" t="str">
        <f>IF(VLOOKUP(B16,'דוח ביצוע (3)'!$A$21:$B$520,2,0)="","",VLOOKUP(B16,'דוח ביצוע (3)'!$A$21:$B$520,2,0))</f>
        <v/>
      </c>
      <c r="D16" s="177" t="str">
        <f>IFERROR(VLOOKUP($C:$C,'מצבת והרשמה (2)'!$C$20:$N$520,2,0)," ")</f>
        <v/>
      </c>
      <c r="E16" s="177" t="str">
        <f>IFERROR(VLOOKUP(C16,'דוח ביצוע (3)'!B:V,5,0)," ")</f>
        <v xml:space="preserve"> </v>
      </c>
      <c r="F16" s="177" t="str">
        <f>IF(C16&lt;&gt;"",IF(ISNUMBER(E16),IF(E16&gt;149,"זכאי","לא זכאי"),""),"")</f>
        <v/>
      </c>
      <c r="G16" s="179">
        <f>SUMIFS('עלויות כח אדם (6)'!M:M,'עלויות כח אדם (6)'!B:B,' איוש משרות (8)'!C16,'עלויות כח אדם (6)'!N:N,"רכ")</f>
        <v>0</v>
      </c>
      <c r="H16" s="179">
        <f>IFERROR(VLOOKUP(P16,'עלויות כח אדם (6)'!$AE$16:$AF$3014,2,0),0)</f>
        <v>0</v>
      </c>
      <c r="I16" s="178">
        <f>IF(G16&gt;0,G16,H16)</f>
        <v>0</v>
      </c>
      <c r="J16" s="178">
        <f>IF(AND(F16="זכאי",G16&gt;0),H16,0)</f>
        <v>0</v>
      </c>
      <c r="K16" s="179" t="str">
        <f>IF(ISNUMBER(C16),IF(I16=0,CONCATENATE("המוסד לא העסיק רכז ",IF(AND(F16="זכאי",J16=0),"וסגן רכז ",""),"ועל כן אין זכאות לקבלת תקציב"),"תקין"),"")</f>
        <v/>
      </c>
      <c r="L16" s="717"/>
      <c r="M16" s="180" t="str">
        <f t="shared" ref="M16:M17" si="0">IF(ISNUMBER(C16),IF(COUNTIF($C$16:$C$1994,C16)=1,"תקין",IFERROR(CONCATENATE("סמל בית הספר הוקלד ",COUNTIF($C$16:$C$1994,C16)," פעמים"),"")),"")</f>
        <v/>
      </c>
      <c r="N16" s="531">
        <f>IF(LEFT(K16,14)="המוסד לא העסיק",1,0)</f>
        <v>0</v>
      </c>
      <c r="O16" s="531" t="str">
        <f>IF(C16&lt;&gt;"",C16&amp;'סיווג התפקידים והעלויות'!$C$2,"")</f>
        <v/>
      </c>
      <c r="P16" s="531" t="str">
        <f>IF(C16&lt;&gt;"",C16&amp;'סיווג התפקידים והעלויות'!$D$2,"")</f>
        <v/>
      </c>
    </row>
    <row r="17" spans="2:16" ht="15.75" x14ac:dyDescent="0.25">
      <c r="B17" s="57">
        <v>2</v>
      </c>
      <c r="C17" s="176" t="str">
        <f>IF(VLOOKUP(B17,'דוח ביצוע (3)'!$A$21:$B$520,2,0)="","",VLOOKUP(B17,'דוח ביצוע (3)'!$A$21:$B$520,2,0))</f>
        <v/>
      </c>
      <c r="D17" s="177" t="str">
        <f>IFERROR(VLOOKUP($C:$C,'מצבת והרשמה (2)'!$C$20:$N$520,2,0)," ")</f>
        <v/>
      </c>
      <c r="E17" s="177" t="str">
        <f>IFERROR(VLOOKUP(C17,'דוח ביצוע (3)'!B:V,5,0)," ")</f>
        <v xml:space="preserve"> </v>
      </c>
      <c r="F17" s="177" t="str">
        <f t="shared" ref="F17:F80" si="1">IF(C17&lt;&gt;"",IF(ISNUMBER(E17),IF(E17&gt;149,"זכאי","לא זכאי"),""),"")</f>
        <v/>
      </c>
      <c r="G17" s="179">
        <f>SUMIFS('עלויות כח אדם (6)'!M:M,'עלויות כח אדם (6)'!B:B,' איוש משרות (8)'!C17,'עלויות כח אדם (6)'!N:N,"רכ")</f>
        <v>0</v>
      </c>
      <c r="H17" s="179">
        <f>IFERROR(VLOOKUP(P17,'עלויות כח אדם (6)'!$AE$16:$AF$3014,2,0),0)</f>
        <v>0</v>
      </c>
      <c r="I17" s="178">
        <f>IF(G17&gt;0,G17,H17)</f>
        <v>0</v>
      </c>
      <c r="J17" s="178">
        <f>IF(AND(F17="זכאי",G17&gt;0),H17,0)</f>
        <v>0</v>
      </c>
      <c r="K17" s="179" t="str">
        <f>IF(ISNUMBER(C17),IF(I17=0,CONCATENATE("המוסד לא העסיק רכז ",IF(AND(F17="זכאי",J17=0),"וסגן רכז ",""),"ועל כן אין זכאות לקבלת תקציב"),"תקין"),"")</f>
        <v/>
      </c>
      <c r="L17" s="717"/>
      <c r="M17" s="180" t="str">
        <f t="shared" si="0"/>
        <v/>
      </c>
      <c r="N17" s="531">
        <f t="shared" ref="N17:N80" si="2">IF(LEFT(K17,14)="המוסד לא העסיק",1,0)</f>
        <v>0</v>
      </c>
      <c r="O17" s="531" t="str">
        <f>IF(C17&lt;&gt;"",C17&amp;'סיווג התפקידים והעלויות'!$C$2,"")</f>
        <v/>
      </c>
      <c r="P17" s="531" t="str">
        <f>IF(C17&lt;&gt;"",C17&amp;'סיווג התפקידים והעלויות'!$D$2,"")</f>
        <v/>
      </c>
    </row>
    <row r="18" spans="2:16" ht="15.75" x14ac:dyDescent="0.25">
      <c r="B18" s="176">
        <v>3</v>
      </c>
      <c r="C18" s="176" t="str">
        <f>IF(VLOOKUP(B18,'דוח ביצוע (3)'!$A$21:$B$520,2,0)="","",VLOOKUP(B18,'דוח ביצוע (3)'!$A$21:$B$520,2,0))</f>
        <v/>
      </c>
      <c r="D18" s="177" t="str">
        <f>IFERROR(VLOOKUP($C:$C,'מצבת והרשמה (2)'!$C$20:$N$520,2,0)," ")</f>
        <v/>
      </c>
      <c r="E18" s="177" t="str">
        <f>IFERROR(VLOOKUP(C18,'דוח ביצוע (3)'!B:V,5,0)," ")</f>
        <v xml:space="preserve"> </v>
      </c>
      <c r="F18" s="177" t="str">
        <f t="shared" si="1"/>
        <v/>
      </c>
      <c r="G18" s="179">
        <f>SUMIFS('עלויות כח אדם (6)'!M:M,'עלויות כח אדם (6)'!B:B,' איוש משרות (8)'!C18,'עלויות כח אדם (6)'!N:N,"רכ")</f>
        <v>0</v>
      </c>
      <c r="H18" s="179">
        <f>IFERROR(VLOOKUP(P18,'עלויות כח אדם (6)'!$AE$16:$AF$3014,2,0),0)</f>
        <v>0</v>
      </c>
      <c r="I18" s="178">
        <f t="shared" ref="I18:I81" si="3">IF(G18&gt;0,G18,H18)</f>
        <v>0</v>
      </c>
      <c r="J18" s="178">
        <f t="shared" ref="J18:J81" si="4">IF(AND(F18="זכאי",G18&gt;0),H18,0)</f>
        <v>0</v>
      </c>
      <c r="K18" s="179" t="str">
        <f t="shared" ref="K18:K80" si="5">IF(ISNUMBER(C18),IF(I18=0,CONCATENATE("המוסד לא העסיק רכז ",IF(AND(F18="זכאי",J18=0),"וסגן רכז ",""),"ועל כן אין זכאות לקבלת תקציב"),"תקין"),"")</f>
        <v/>
      </c>
      <c r="L18" s="717"/>
      <c r="M18" s="180" t="str">
        <f>IF(ISNUMBER(C18),IF(COUNTIF($C$16:$C$1994,C18)=1,"תקין",IFERROR(CONCATENATE("סמל בית הספר הוקלד ",COUNTIF($C$16:$C$1994,C18)," פעמים"),"")),"")</f>
        <v/>
      </c>
      <c r="N18" s="531">
        <f t="shared" si="2"/>
        <v>0</v>
      </c>
      <c r="O18" s="531" t="str">
        <f>IF(C18&lt;&gt;"",C18&amp;'סיווג התפקידים והעלויות'!$C$2,"")</f>
        <v/>
      </c>
      <c r="P18" s="531" t="str">
        <f>IF(C18&lt;&gt;"",C18&amp;'סיווג התפקידים והעלויות'!$D$2,"")</f>
        <v/>
      </c>
    </row>
    <row r="19" spans="2:16" ht="15.75" x14ac:dyDescent="0.25">
      <c r="B19" s="57">
        <v>4</v>
      </c>
      <c r="C19" s="176" t="str">
        <f>IF(VLOOKUP(B19,'דוח ביצוע (3)'!$A$21:$B$520,2,0)="","",VLOOKUP(B19,'דוח ביצוע (3)'!$A$21:$B$520,2,0))</f>
        <v/>
      </c>
      <c r="D19" s="177" t="str">
        <f>IFERROR(VLOOKUP($C:$C,'מצבת והרשמה (2)'!$C$20:$N$520,2,0)," ")</f>
        <v/>
      </c>
      <c r="E19" s="177" t="str">
        <f>IFERROR(VLOOKUP(C19,'דוח ביצוע (3)'!B:V,5,0)," ")</f>
        <v xml:space="preserve"> </v>
      </c>
      <c r="F19" s="177" t="str">
        <f t="shared" si="1"/>
        <v/>
      </c>
      <c r="G19" s="179">
        <f>SUMIFS('עלויות כח אדם (6)'!M:M,'עלויות כח אדם (6)'!B:B,' איוש משרות (8)'!C19,'עלויות כח אדם (6)'!N:N,"רכ")</f>
        <v>0</v>
      </c>
      <c r="H19" s="179">
        <f>IFERROR(VLOOKUP(P19,'עלויות כח אדם (6)'!$AE$16:$AF$3014,2,0),0)</f>
        <v>0</v>
      </c>
      <c r="I19" s="178">
        <f t="shared" si="3"/>
        <v>0</v>
      </c>
      <c r="J19" s="178">
        <f t="shared" si="4"/>
        <v>0</v>
      </c>
      <c r="K19" s="179" t="str">
        <f t="shared" si="5"/>
        <v/>
      </c>
      <c r="L19" s="717"/>
      <c r="M19" s="180" t="str">
        <f t="shared" ref="M19:M82" si="6">IF(ISNUMBER(C19),IF(COUNTIF($C$16:$C$1994,C19)=1,"תקין",IFERROR(CONCATENATE("סמל בית הספר הוקלד ",COUNTIF($C$16:$C$1994,C19)," פעמים"),"")),"")</f>
        <v/>
      </c>
      <c r="N19" s="531">
        <f t="shared" si="2"/>
        <v>0</v>
      </c>
      <c r="O19" s="531" t="str">
        <f>IF(C19&lt;&gt;"",C19&amp;'סיווג התפקידים והעלויות'!$C$2,"")</f>
        <v/>
      </c>
      <c r="P19" s="531" t="str">
        <f>IF(C19&lt;&gt;"",C19&amp;'סיווג התפקידים והעלויות'!$D$2,"")</f>
        <v/>
      </c>
    </row>
    <row r="20" spans="2:16" ht="15.75" x14ac:dyDescent="0.25">
      <c r="B20" s="176">
        <v>5</v>
      </c>
      <c r="C20" s="176" t="str">
        <f>IF(VLOOKUP(B20,'דוח ביצוע (3)'!$A$21:$B$520,2,0)="","",VLOOKUP(B20,'דוח ביצוע (3)'!$A$21:$B$520,2,0))</f>
        <v/>
      </c>
      <c r="D20" s="177" t="str">
        <f>IFERROR(VLOOKUP($C:$C,'מצבת והרשמה (2)'!$C$20:$N$520,2,0)," ")</f>
        <v/>
      </c>
      <c r="E20" s="177" t="str">
        <f>IFERROR(VLOOKUP(C20,'דוח ביצוע (3)'!B:V,5,0)," ")</f>
        <v xml:space="preserve"> </v>
      </c>
      <c r="F20" s="177" t="str">
        <f t="shared" si="1"/>
        <v/>
      </c>
      <c r="G20" s="179">
        <f>SUMIFS('עלויות כח אדם (6)'!M:M,'עלויות כח אדם (6)'!B:B,' איוש משרות (8)'!C20,'עלויות כח אדם (6)'!N:N,"רכ")</f>
        <v>0</v>
      </c>
      <c r="H20" s="179">
        <f>IFERROR(VLOOKUP(P20,'עלויות כח אדם (6)'!$AE$16:$AF$3014,2,0),0)</f>
        <v>0</v>
      </c>
      <c r="I20" s="178">
        <f t="shared" si="3"/>
        <v>0</v>
      </c>
      <c r="J20" s="178">
        <f t="shared" si="4"/>
        <v>0</v>
      </c>
      <c r="K20" s="179" t="str">
        <f t="shared" si="5"/>
        <v/>
      </c>
      <c r="L20" s="718"/>
      <c r="M20" s="180" t="str">
        <f t="shared" si="6"/>
        <v/>
      </c>
      <c r="N20" s="531">
        <f t="shared" si="2"/>
        <v>0</v>
      </c>
      <c r="O20" s="531" t="str">
        <f>IF(C20&lt;&gt;"",C20&amp;'סיווג התפקידים והעלויות'!$C$2,"")</f>
        <v/>
      </c>
      <c r="P20" s="531" t="str">
        <f>IF(C20&lt;&gt;"",C20&amp;'סיווג התפקידים והעלויות'!$D$2,"")</f>
        <v/>
      </c>
    </row>
    <row r="21" spans="2:16" ht="15.75" x14ac:dyDescent="0.25">
      <c r="B21" s="57">
        <v>6</v>
      </c>
      <c r="C21" s="176" t="str">
        <f>IF(VLOOKUP(B21,'דוח ביצוע (3)'!$A$21:$B$520,2,0)="","",VLOOKUP(B21,'דוח ביצוע (3)'!$A$21:$B$520,2,0))</f>
        <v/>
      </c>
      <c r="D21" s="177" t="str">
        <f>IFERROR(VLOOKUP($C:$C,'מצבת והרשמה (2)'!$C$20:$N$520,2,0)," ")</f>
        <v/>
      </c>
      <c r="E21" s="177" t="str">
        <f>IFERROR(VLOOKUP(C21,'דוח ביצוע (3)'!B:V,5,0)," ")</f>
        <v xml:space="preserve"> </v>
      </c>
      <c r="F21" s="177" t="str">
        <f t="shared" si="1"/>
        <v/>
      </c>
      <c r="G21" s="179">
        <f>SUMIFS('עלויות כח אדם (6)'!M:M,'עלויות כח אדם (6)'!B:B,' איוש משרות (8)'!C21,'עלויות כח אדם (6)'!N:N,"רכ")</f>
        <v>0</v>
      </c>
      <c r="H21" s="179">
        <f>IFERROR(VLOOKUP(P21,'עלויות כח אדם (6)'!$AE$16:$AF$3014,2,0),0)</f>
        <v>0</v>
      </c>
      <c r="I21" s="178">
        <f t="shared" si="3"/>
        <v>0</v>
      </c>
      <c r="J21" s="178">
        <f t="shared" si="4"/>
        <v>0</v>
      </c>
      <c r="K21" s="179" t="str">
        <f t="shared" si="5"/>
        <v/>
      </c>
      <c r="L21" s="718"/>
      <c r="M21" s="180" t="str">
        <f t="shared" si="6"/>
        <v/>
      </c>
      <c r="N21" s="531">
        <f t="shared" si="2"/>
        <v>0</v>
      </c>
      <c r="O21" s="531" t="str">
        <f>IF(C21&lt;&gt;"",C21&amp;'סיווג התפקידים והעלויות'!$C$2,"")</f>
        <v/>
      </c>
      <c r="P21" s="531" t="str">
        <f>IF(C21&lt;&gt;"",C21&amp;'סיווג התפקידים והעלויות'!$D$2,"")</f>
        <v/>
      </c>
    </row>
    <row r="22" spans="2:16" ht="15.75" x14ac:dyDescent="0.25">
      <c r="B22" s="176">
        <v>7</v>
      </c>
      <c r="C22" s="176" t="str">
        <f>IF(VLOOKUP(B22,'דוח ביצוע (3)'!$A$21:$B$520,2,0)="","",VLOOKUP(B22,'דוח ביצוע (3)'!$A$21:$B$520,2,0))</f>
        <v/>
      </c>
      <c r="D22" s="177" t="str">
        <f>IFERROR(VLOOKUP($C:$C,'מצבת והרשמה (2)'!$C$20:$N$520,2,0)," ")</f>
        <v/>
      </c>
      <c r="E22" s="177" t="str">
        <f>IFERROR(VLOOKUP(C22,'דוח ביצוע (3)'!B:V,5,0)," ")</f>
        <v xml:space="preserve"> </v>
      </c>
      <c r="F22" s="177" t="str">
        <f t="shared" si="1"/>
        <v/>
      </c>
      <c r="G22" s="179">
        <f>SUMIFS('עלויות כח אדם (6)'!M:M,'עלויות כח אדם (6)'!B:B,' איוש משרות (8)'!C22,'עלויות כח אדם (6)'!N:N,"רכ")</f>
        <v>0</v>
      </c>
      <c r="H22" s="179">
        <f>IFERROR(VLOOKUP(P22,'עלויות כח אדם (6)'!$AE$16:$AF$3014,2,0),0)</f>
        <v>0</v>
      </c>
      <c r="I22" s="178">
        <f t="shared" si="3"/>
        <v>0</v>
      </c>
      <c r="J22" s="178">
        <f t="shared" si="4"/>
        <v>0</v>
      </c>
      <c r="K22" s="179" t="str">
        <f t="shared" si="5"/>
        <v/>
      </c>
      <c r="L22" s="718"/>
      <c r="M22" s="180" t="str">
        <f t="shared" si="6"/>
        <v/>
      </c>
      <c r="N22" s="531">
        <f t="shared" si="2"/>
        <v>0</v>
      </c>
      <c r="O22" s="531" t="str">
        <f>IF(C22&lt;&gt;"",C22&amp;'סיווג התפקידים והעלויות'!$C$2,"")</f>
        <v/>
      </c>
      <c r="P22" s="531" t="str">
        <f>IF(C22&lt;&gt;"",C22&amp;'סיווג התפקידים והעלויות'!$D$2,"")</f>
        <v/>
      </c>
    </row>
    <row r="23" spans="2:16" ht="15.75" x14ac:dyDescent="0.25">
      <c r="B23" s="57">
        <v>8</v>
      </c>
      <c r="C23" s="176" t="str">
        <f>IF(VLOOKUP(B23,'דוח ביצוע (3)'!$A$21:$B$520,2,0)="","",VLOOKUP(B23,'דוח ביצוע (3)'!$A$21:$B$520,2,0))</f>
        <v/>
      </c>
      <c r="D23" s="177" t="str">
        <f>IFERROR(VLOOKUP($C:$C,'מצבת והרשמה (2)'!$C$20:$N$520,2,0)," ")</f>
        <v/>
      </c>
      <c r="E23" s="177" t="str">
        <f>IFERROR(VLOOKUP(C23,'דוח ביצוע (3)'!B:V,5,0)," ")</f>
        <v xml:space="preserve"> </v>
      </c>
      <c r="F23" s="177" t="str">
        <f t="shared" si="1"/>
        <v/>
      </c>
      <c r="G23" s="179">
        <f>SUMIFS('עלויות כח אדם (6)'!M:M,'עלויות כח אדם (6)'!B:B,' איוש משרות (8)'!C23,'עלויות כח אדם (6)'!N:N,"רכ")</f>
        <v>0</v>
      </c>
      <c r="H23" s="179">
        <f>IFERROR(VLOOKUP(P23,'עלויות כח אדם (6)'!$AE$16:$AF$3014,2,0),0)</f>
        <v>0</v>
      </c>
      <c r="I23" s="178">
        <f t="shared" si="3"/>
        <v>0</v>
      </c>
      <c r="J23" s="178">
        <f t="shared" si="4"/>
        <v>0</v>
      </c>
      <c r="K23" s="179" t="str">
        <f t="shared" si="5"/>
        <v/>
      </c>
      <c r="L23" s="718"/>
      <c r="M23" s="180" t="str">
        <f t="shared" si="6"/>
        <v/>
      </c>
      <c r="N23" s="531">
        <f t="shared" si="2"/>
        <v>0</v>
      </c>
      <c r="O23" s="531" t="str">
        <f>IF(C23&lt;&gt;"",C23&amp;'סיווג התפקידים והעלויות'!$C$2,"")</f>
        <v/>
      </c>
      <c r="P23" s="531" t="str">
        <f>IF(C23&lt;&gt;"",C23&amp;'סיווג התפקידים והעלויות'!$D$2,"")</f>
        <v/>
      </c>
    </row>
    <row r="24" spans="2:16" ht="15.75" x14ac:dyDescent="0.25">
      <c r="B24" s="176">
        <v>9</v>
      </c>
      <c r="C24" s="176" t="str">
        <f>IF(VLOOKUP(B24,'דוח ביצוע (3)'!$A$21:$B$520,2,0)="","",VLOOKUP(B24,'דוח ביצוע (3)'!$A$21:$B$520,2,0))</f>
        <v/>
      </c>
      <c r="D24" s="177" t="str">
        <f>IFERROR(VLOOKUP($C:$C,'מצבת והרשמה (2)'!$C$20:$N$520,2,0)," ")</f>
        <v/>
      </c>
      <c r="E24" s="177" t="str">
        <f>IFERROR(VLOOKUP(C24,'דוח ביצוע (3)'!B:V,5,0)," ")</f>
        <v xml:space="preserve"> </v>
      </c>
      <c r="F24" s="177" t="str">
        <f t="shared" si="1"/>
        <v/>
      </c>
      <c r="G24" s="179">
        <f>SUMIFS('עלויות כח אדם (6)'!M:M,'עלויות כח אדם (6)'!B:B,' איוש משרות (8)'!C24,'עלויות כח אדם (6)'!N:N,"רכ")</f>
        <v>0</v>
      </c>
      <c r="H24" s="179">
        <f>IFERROR(VLOOKUP(P24,'עלויות כח אדם (6)'!$AE$16:$AF$3014,2,0),0)</f>
        <v>0</v>
      </c>
      <c r="I24" s="178">
        <f t="shared" si="3"/>
        <v>0</v>
      </c>
      <c r="J24" s="178">
        <f t="shared" si="4"/>
        <v>0</v>
      </c>
      <c r="K24" s="179" t="str">
        <f t="shared" si="5"/>
        <v/>
      </c>
      <c r="L24" s="718"/>
      <c r="M24" s="180" t="str">
        <f t="shared" si="6"/>
        <v/>
      </c>
      <c r="N24" s="531">
        <f t="shared" si="2"/>
        <v>0</v>
      </c>
      <c r="O24" s="531" t="str">
        <f>IF(C24&lt;&gt;"",C24&amp;'סיווג התפקידים והעלויות'!$C$2,"")</f>
        <v/>
      </c>
      <c r="P24" s="531" t="str">
        <f>IF(C24&lt;&gt;"",C24&amp;'סיווג התפקידים והעלויות'!$D$2,"")</f>
        <v/>
      </c>
    </row>
    <row r="25" spans="2:16" ht="15.75" x14ac:dyDescent="0.25">
      <c r="B25" s="57">
        <v>10</v>
      </c>
      <c r="C25" s="176" t="str">
        <f>IF(VLOOKUP(B25,'דוח ביצוע (3)'!$A$21:$B$520,2,0)="","",VLOOKUP(B25,'דוח ביצוע (3)'!$A$21:$B$520,2,0))</f>
        <v/>
      </c>
      <c r="D25" s="177" t="str">
        <f>IFERROR(VLOOKUP($C:$C,'מצבת והרשמה (2)'!$C$20:$N$520,2,0)," ")</f>
        <v/>
      </c>
      <c r="E25" s="177" t="str">
        <f>IFERROR(VLOOKUP(C25,'דוח ביצוע (3)'!B:V,5,0)," ")</f>
        <v xml:space="preserve"> </v>
      </c>
      <c r="F25" s="177" t="str">
        <f t="shared" si="1"/>
        <v/>
      </c>
      <c r="G25" s="179">
        <f>SUMIFS('עלויות כח אדם (6)'!M:M,'עלויות כח אדם (6)'!B:B,' איוש משרות (8)'!C25,'עלויות כח אדם (6)'!N:N,"רכ")</f>
        <v>0</v>
      </c>
      <c r="H25" s="179">
        <f>IFERROR(VLOOKUP(P25,'עלויות כח אדם (6)'!$AE$16:$AF$3014,2,0),0)</f>
        <v>0</v>
      </c>
      <c r="I25" s="178">
        <f t="shared" si="3"/>
        <v>0</v>
      </c>
      <c r="J25" s="178">
        <f t="shared" si="4"/>
        <v>0</v>
      </c>
      <c r="K25" s="179" t="str">
        <f t="shared" si="5"/>
        <v/>
      </c>
      <c r="L25" s="718"/>
      <c r="M25" s="180" t="str">
        <f t="shared" si="6"/>
        <v/>
      </c>
      <c r="N25" s="531">
        <f t="shared" si="2"/>
        <v>0</v>
      </c>
      <c r="O25" s="531" t="str">
        <f>IF(C25&lt;&gt;"",C25&amp;'סיווג התפקידים והעלויות'!$C$2,"")</f>
        <v/>
      </c>
      <c r="P25" s="531" t="str">
        <f>IF(C25&lt;&gt;"",C25&amp;'סיווג התפקידים והעלויות'!$D$2,"")</f>
        <v/>
      </c>
    </row>
    <row r="26" spans="2:16" ht="15.75" x14ac:dyDescent="0.25">
      <c r="B26" s="176">
        <v>11</v>
      </c>
      <c r="C26" s="176" t="str">
        <f>IF(VLOOKUP(B26,'דוח ביצוע (3)'!$A$21:$B$520,2,0)="","",VLOOKUP(B26,'דוח ביצוע (3)'!$A$21:$B$520,2,0))</f>
        <v/>
      </c>
      <c r="D26" s="177" t="str">
        <f>IFERROR(VLOOKUP($C:$C,'מצבת והרשמה (2)'!$C$20:$N$520,2,0)," ")</f>
        <v/>
      </c>
      <c r="E26" s="177" t="str">
        <f>IFERROR(VLOOKUP(C26,'דוח ביצוע (3)'!B:V,5,0)," ")</f>
        <v xml:space="preserve"> </v>
      </c>
      <c r="F26" s="177" t="str">
        <f t="shared" si="1"/>
        <v/>
      </c>
      <c r="G26" s="179">
        <f>SUMIFS('עלויות כח אדם (6)'!M:M,'עלויות כח אדם (6)'!B:B,' איוש משרות (8)'!C26,'עלויות כח אדם (6)'!N:N,"רכ")</f>
        <v>0</v>
      </c>
      <c r="H26" s="179">
        <f>IFERROR(VLOOKUP(P26,'עלויות כח אדם (6)'!$AE$16:$AF$3014,2,0),0)</f>
        <v>0</v>
      </c>
      <c r="I26" s="178">
        <f t="shared" si="3"/>
        <v>0</v>
      </c>
      <c r="J26" s="178">
        <f t="shared" si="4"/>
        <v>0</v>
      </c>
      <c r="K26" s="179" t="str">
        <f t="shared" si="5"/>
        <v/>
      </c>
      <c r="L26" s="718"/>
      <c r="M26" s="180" t="str">
        <f t="shared" si="6"/>
        <v/>
      </c>
      <c r="N26" s="531">
        <f t="shared" si="2"/>
        <v>0</v>
      </c>
      <c r="O26" s="531" t="str">
        <f>IF(C26&lt;&gt;"",C26&amp;'סיווג התפקידים והעלויות'!$C$2,"")</f>
        <v/>
      </c>
      <c r="P26" s="531" t="str">
        <f>IF(C26&lt;&gt;"",C26&amp;'סיווג התפקידים והעלויות'!$D$2,"")</f>
        <v/>
      </c>
    </row>
    <row r="27" spans="2:16" ht="15.75" x14ac:dyDescent="0.25">
      <c r="B27" s="57">
        <v>12</v>
      </c>
      <c r="C27" s="176" t="str">
        <f>IF(VLOOKUP(B27,'דוח ביצוע (3)'!$A$21:$B$520,2,0)="","",VLOOKUP(B27,'דוח ביצוע (3)'!$A$21:$B$520,2,0))</f>
        <v/>
      </c>
      <c r="D27" s="177" t="str">
        <f>IFERROR(VLOOKUP($C:$C,'מצבת והרשמה (2)'!$C$20:$N$520,2,0)," ")</f>
        <v/>
      </c>
      <c r="E27" s="177" t="str">
        <f>IFERROR(VLOOKUP(C27,'דוח ביצוע (3)'!B:V,5,0)," ")</f>
        <v xml:space="preserve"> </v>
      </c>
      <c r="F27" s="177" t="str">
        <f t="shared" si="1"/>
        <v/>
      </c>
      <c r="G27" s="179">
        <f>SUMIFS('עלויות כח אדם (6)'!M:M,'עלויות כח אדם (6)'!B:B,' איוש משרות (8)'!C27,'עלויות כח אדם (6)'!N:N,"רכ")</f>
        <v>0</v>
      </c>
      <c r="H27" s="179">
        <f>IFERROR(VLOOKUP(P27,'עלויות כח אדם (6)'!$AE$16:$AF$3014,2,0),0)</f>
        <v>0</v>
      </c>
      <c r="I27" s="178">
        <f t="shared" si="3"/>
        <v>0</v>
      </c>
      <c r="J27" s="178">
        <f t="shared" si="4"/>
        <v>0</v>
      </c>
      <c r="K27" s="179" t="str">
        <f t="shared" si="5"/>
        <v/>
      </c>
      <c r="L27" s="718"/>
      <c r="M27" s="180" t="str">
        <f t="shared" si="6"/>
        <v/>
      </c>
      <c r="N27" s="531">
        <f t="shared" si="2"/>
        <v>0</v>
      </c>
      <c r="O27" s="531" t="str">
        <f>IF(C27&lt;&gt;"",C27&amp;'סיווג התפקידים והעלויות'!$C$2,"")</f>
        <v/>
      </c>
      <c r="P27" s="531" t="str">
        <f>IF(C27&lt;&gt;"",C27&amp;'סיווג התפקידים והעלויות'!$D$2,"")</f>
        <v/>
      </c>
    </row>
    <row r="28" spans="2:16" ht="15.75" x14ac:dyDescent="0.25">
      <c r="B28" s="176">
        <v>13</v>
      </c>
      <c r="C28" s="176" t="str">
        <f>IF(VLOOKUP(B28,'דוח ביצוע (3)'!$A$21:$B$520,2,0)="","",VLOOKUP(B28,'דוח ביצוע (3)'!$A$21:$B$520,2,0))</f>
        <v/>
      </c>
      <c r="D28" s="177" t="str">
        <f>IFERROR(VLOOKUP($C:$C,'מצבת והרשמה (2)'!$C$20:$N$520,2,0)," ")</f>
        <v/>
      </c>
      <c r="E28" s="177" t="str">
        <f>IFERROR(VLOOKUP(C28,'דוח ביצוע (3)'!B:V,5,0)," ")</f>
        <v xml:space="preserve"> </v>
      </c>
      <c r="F28" s="177" t="str">
        <f t="shared" si="1"/>
        <v/>
      </c>
      <c r="G28" s="179">
        <f>SUMIFS('עלויות כח אדם (6)'!M:M,'עלויות כח אדם (6)'!B:B,' איוש משרות (8)'!C28,'עלויות כח אדם (6)'!N:N,"רכ")</f>
        <v>0</v>
      </c>
      <c r="H28" s="179">
        <f>IFERROR(VLOOKUP(P28,'עלויות כח אדם (6)'!$AE$16:$AF$3014,2,0),0)</f>
        <v>0</v>
      </c>
      <c r="I28" s="178">
        <f t="shared" si="3"/>
        <v>0</v>
      </c>
      <c r="J28" s="178">
        <f t="shared" si="4"/>
        <v>0</v>
      </c>
      <c r="K28" s="179" t="str">
        <f t="shared" si="5"/>
        <v/>
      </c>
      <c r="L28" s="718"/>
      <c r="M28" s="180" t="str">
        <f t="shared" si="6"/>
        <v/>
      </c>
      <c r="N28" s="531">
        <f t="shared" si="2"/>
        <v>0</v>
      </c>
      <c r="O28" s="531" t="str">
        <f>IF(C28&lt;&gt;"",C28&amp;'סיווג התפקידים והעלויות'!$C$2,"")</f>
        <v/>
      </c>
      <c r="P28" s="531" t="str">
        <f>IF(C28&lt;&gt;"",C28&amp;'סיווג התפקידים והעלויות'!$D$2,"")</f>
        <v/>
      </c>
    </row>
    <row r="29" spans="2:16" ht="15.75" x14ac:dyDescent="0.25">
      <c r="B29" s="57">
        <v>14</v>
      </c>
      <c r="C29" s="176" t="str">
        <f>IF(VLOOKUP(B29,'דוח ביצוע (3)'!$A$21:$B$520,2,0)="","",VLOOKUP(B29,'דוח ביצוע (3)'!$A$21:$B$520,2,0))</f>
        <v/>
      </c>
      <c r="D29" s="177" t="str">
        <f>IFERROR(VLOOKUP($C:$C,'מצבת והרשמה (2)'!$C$20:$N$520,2,0)," ")</f>
        <v/>
      </c>
      <c r="E29" s="177" t="str">
        <f>IFERROR(VLOOKUP(C29,'דוח ביצוע (3)'!B:V,5,0)," ")</f>
        <v xml:space="preserve"> </v>
      </c>
      <c r="F29" s="177" t="str">
        <f t="shared" si="1"/>
        <v/>
      </c>
      <c r="G29" s="179">
        <f>SUMIFS('עלויות כח אדם (6)'!M:M,'עלויות כח אדם (6)'!B:B,' איוש משרות (8)'!C29,'עלויות כח אדם (6)'!N:N,"רכ")</f>
        <v>0</v>
      </c>
      <c r="H29" s="179">
        <f>IFERROR(VLOOKUP(P29,'עלויות כח אדם (6)'!$AE$16:$AF$3014,2,0),0)</f>
        <v>0</v>
      </c>
      <c r="I29" s="178">
        <f t="shared" si="3"/>
        <v>0</v>
      </c>
      <c r="J29" s="178">
        <f t="shared" si="4"/>
        <v>0</v>
      </c>
      <c r="K29" s="179" t="str">
        <f t="shared" si="5"/>
        <v/>
      </c>
      <c r="L29" s="718"/>
      <c r="M29" s="180" t="str">
        <f t="shared" si="6"/>
        <v/>
      </c>
      <c r="N29" s="531">
        <f t="shared" si="2"/>
        <v>0</v>
      </c>
      <c r="O29" s="531" t="str">
        <f>IF(C29&lt;&gt;"",C29&amp;'סיווג התפקידים והעלויות'!$C$2,"")</f>
        <v/>
      </c>
      <c r="P29" s="531" t="str">
        <f>IF(C29&lt;&gt;"",C29&amp;'סיווג התפקידים והעלויות'!$D$2,"")</f>
        <v/>
      </c>
    </row>
    <row r="30" spans="2:16" ht="15.75" x14ac:dyDescent="0.25">
      <c r="B30" s="176">
        <v>15</v>
      </c>
      <c r="C30" s="176" t="str">
        <f>IF(VLOOKUP(B30,'דוח ביצוע (3)'!$A$21:$B$520,2,0)="","",VLOOKUP(B30,'דוח ביצוע (3)'!$A$21:$B$520,2,0))</f>
        <v/>
      </c>
      <c r="D30" s="177" t="str">
        <f>IFERROR(VLOOKUP($C:$C,'מצבת והרשמה (2)'!$C$20:$N$520,2,0)," ")</f>
        <v/>
      </c>
      <c r="E30" s="177" t="str">
        <f>IFERROR(VLOOKUP(C30,'דוח ביצוע (3)'!B:V,5,0)," ")</f>
        <v xml:space="preserve"> </v>
      </c>
      <c r="F30" s="177" t="str">
        <f t="shared" si="1"/>
        <v/>
      </c>
      <c r="G30" s="179">
        <f>SUMIFS('עלויות כח אדם (6)'!M:M,'עלויות כח אדם (6)'!B:B,' איוש משרות (8)'!C30,'עלויות כח אדם (6)'!N:N,"רכ")</f>
        <v>0</v>
      </c>
      <c r="H30" s="179">
        <f>IFERROR(VLOOKUP(P30,'עלויות כח אדם (6)'!$AE$16:$AF$3014,2,0),0)</f>
        <v>0</v>
      </c>
      <c r="I30" s="178">
        <f t="shared" si="3"/>
        <v>0</v>
      </c>
      <c r="J30" s="178">
        <f t="shared" si="4"/>
        <v>0</v>
      </c>
      <c r="K30" s="179" t="str">
        <f t="shared" si="5"/>
        <v/>
      </c>
      <c r="L30" s="718"/>
      <c r="M30" s="180" t="str">
        <f t="shared" si="6"/>
        <v/>
      </c>
      <c r="N30" s="531">
        <f t="shared" si="2"/>
        <v>0</v>
      </c>
      <c r="O30" s="531" t="str">
        <f>IF(C30&lt;&gt;"",C30&amp;'סיווג התפקידים והעלויות'!$C$2,"")</f>
        <v/>
      </c>
      <c r="P30" s="531" t="str">
        <f>IF(C30&lt;&gt;"",C30&amp;'סיווג התפקידים והעלויות'!$D$2,"")</f>
        <v/>
      </c>
    </row>
    <row r="31" spans="2:16" ht="15.75" x14ac:dyDescent="0.25">
      <c r="B31" s="57">
        <v>16</v>
      </c>
      <c r="C31" s="176" t="str">
        <f>IF(VLOOKUP(B31,'דוח ביצוע (3)'!$A$21:$B$520,2,0)="","",VLOOKUP(B31,'דוח ביצוע (3)'!$A$21:$B$520,2,0))</f>
        <v/>
      </c>
      <c r="D31" s="177" t="str">
        <f>IFERROR(VLOOKUP($C:$C,'מצבת והרשמה (2)'!$C$20:$N$520,2,0)," ")</f>
        <v/>
      </c>
      <c r="E31" s="177" t="str">
        <f>IFERROR(VLOOKUP(C31,'דוח ביצוע (3)'!B:V,5,0)," ")</f>
        <v xml:space="preserve"> </v>
      </c>
      <c r="F31" s="177" t="str">
        <f t="shared" si="1"/>
        <v/>
      </c>
      <c r="G31" s="179">
        <f>SUMIFS('עלויות כח אדם (6)'!M:M,'עלויות כח אדם (6)'!B:B,' איוש משרות (8)'!C31,'עלויות כח אדם (6)'!N:N,"רכ")</f>
        <v>0</v>
      </c>
      <c r="H31" s="179">
        <f>IFERROR(VLOOKUP(P31,'עלויות כח אדם (6)'!$AE$16:$AF$3014,2,0),0)</f>
        <v>0</v>
      </c>
      <c r="I31" s="178">
        <f t="shared" si="3"/>
        <v>0</v>
      </c>
      <c r="J31" s="178">
        <f t="shared" si="4"/>
        <v>0</v>
      </c>
      <c r="K31" s="179" t="str">
        <f t="shared" si="5"/>
        <v/>
      </c>
      <c r="L31" s="718"/>
      <c r="M31" s="180" t="str">
        <f t="shared" si="6"/>
        <v/>
      </c>
      <c r="N31" s="531">
        <f t="shared" si="2"/>
        <v>0</v>
      </c>
      <c r="O31" s="531" t="str">
        <f>IF(C31&lt;&gt;"",C31&amp;'סיווג התפקידים והעלויות'!$C$2,"")</f>
        <v/>
      </c>
      <c r="P31" s="531" t="str">
        <f>IF(C31&lt;&gt;"",C31&amp;'סיווג התפקידים והעלויות'!$D$2,"")</f>
        <v/>
      </c>
    </row>
    <row r="32" spans="2:16" ht="15.75" x14ac:dyDescent="0.25">
      <c r="B32" s="176">
        <v>17</v>
      </c>
      <c r="C32" s="176" t="str">
        <f>IF(VLOOKUP(B32,'דוח ביצוע (3)'!$A$21:$B$520,2,0)="","",VLOOKUP(B32,'דוח ביצוע (3)'!$A$21:$B$520,2,0))</f>
        <v/>
      </c>
      <c r="D32" s="177" t="str">
        <f>IFERROR(VLOOKUP($C:$C,'מצבת והרשמה (2)'!$C$20:$N$520,2,0)," ")</f>
        <v/>
      </c>
      <c r="E32" s="177" t="str">
        <f>IFERROR(VLOOKUP(C32,'דוח ביצוע (3)'!B:V,5,0)," ")</f>
        <v xml:space="preserve"> </v>
      </c>
      <c r="F32" s="177" t="str">
        <f t="shared" si="1"/>
        <v/>
      </c>
      <c r="G32" s="179">
        <f>SUMIFS('עלויות כח אדם (6)'!M:M,'עלויות כח אדם (6)'!B:B,' איוש משרות (8)'!C32,'עלויות כח אדם (6)'!N:N,"רכ")</f>
        <v>0</v>
      </c>
      <c r="H32" s="179">
        <f>IFERROR(VLOOKUP(P32,'עלויות כח אדם (6)'!$AE$16:$AF$3014,2,0),0)</f>
        <v>0</v>
      </c>
      <c r="I32" s="178">
        <f t="shared" si="3"/>
        <v>0</v>
      </c>
      <c r="J32" s="178">
        <f t="shared" si="4"/>
        <v>0</v>
      </c>
      <c r="K32" s="179" t="str">
        <f t="shared" si="5"/>
        <v/>
      </c>
      <c r="L32" s="718"/>
      <c r="M32" s="180" t="str">
        <f t="shared" si="6"/>
        <v/>
      </c>
      <c r="N32" s="531">
        <f t="shared" si="2"/>
        <v>0</v>
      </c>
      <c r="O32" s="531" t="str">
        <f>IF(C32&lt;&gt;"",C32&amp;'סיווג התפקידים והעלויות'!$C$2,"")</f>
        <v/>
      </c>
      <c r="P32" s="531" t="str">
        <f>IF(C32&lt;&gt;"",C32&amp;'סיווג התפקידים והעלויות'!$D$2,"")</f>
        <v/>
      </c>
    </row>
    <row r="33" spans="2:16" ht="15.75" x14ac:dyDescent="0.25">
      <c r="B33" s="57">
        <v>18</v>
      </c>
      <c r="C33" s="176" t="str">
        <f>IF(VLOOKUP(B33,'דוח ביצוע (3)'!$A$21:$B$520,2,0)="","",VLOOKUP(B33,'דוח ביצוע (3)'!$A$21:$B$520,2,0))</f>
        <v/>
      </c>
      <c r="D33" s="177" t="str">
        <f>IFERROR(VLOOKUP($C:$C,'מצבת והרשמה (2)'!$C$20:$N$520,2,0)," ")</f>
        <v/>
      </c>
      <c r="E33" s="177" t="str">
        <f>IFERROR(VLOOKUP(C33,'דוח ביצוע (3)'!B:V,5,0)," ")</f>
        <v xml:space="preserve"> </v>
      </c>
      <c r="F33" s="177" t="str">
        <f t="shared" si="1"/>
        <v/>
      </c>
      <c r="G33" s="179">
        <f>SUMIFS('עלויות כח אדם (6)'!M:M,'עלויות כח אדם (6)'!B:B,' איוש משרות (8)'!C33,'עלויות כח אדם (6)'!N:N,"רכ")</f>
        <v>0</v>
      </c>
      <c r="H33" s="179">
        <f>IFERROR(VLOOKUP(P33,'עלויות כח אדם (6)'!$AE$16:$AF$3014,2,0),0)</f>
        <v>0</v>
      </c>
      <c r="I33" s="178">
        <f t="shared" si="3"/>
        <v>0</v>
      </c>
      <c r="J33" s="178">
        <f t="shared" si="4"/>
        <v>0</v>
      </c>
      <c r="K33" s="179" t="str">
        <f t="shared" si="5"/>
        <v/>
      </c>
      <c r="L33" s="718"/>
      <c r="M33" s="180" t="str">
        <f t="shared" si="6"/>
        <v/>
      </c>
      <c r="N33" s="531">
        <f t="shared" si="2"/>
        <v>0</v>
      </c>
      <c r="O33" s="531" t="str">
        <f>IF(C33&lt;&gt;"",C33&amp;'סיווג התפקידים והעלויות'!$C$2,"")</f>
        <v/>
      </c>
      <c r="P33" s="531" t="str">
        <f>IF(C33&lt;&gt;"",C33&amp;'סיווג התפקידים והעלויות'!$D$2,"")</f>
        <v/>
      </c>
    </row>
    <row r="34" spans="2:16" ht="15.75" x14ac:dyDescent="0.25">
      <c r="B34" s="176">
        <v>19</v>
      </c>
      <c r="C34" s="176" t="str">
        <f>IF(VLOOKUP(B34,'דוח ביצוע (3)'!$A$21:$B$520,2,0)="","",VLOOKUP(B34,'דוח ביצוע (3)'!$A$21:$B$520,2,0))</f>
        <v/>
      </c>
      <c r="D34" s="177" t="str">
        <f>IFERROR(VLOOKUP($C:$C,'מצבת והרשמה (2)'!$C$20:$N$520,2,0)," ")</f>
        <v/>
      </c>
      <c r="E34" s="177" t="str">
        <f>IFERROR(VLOOKUP(C34,'דוח ביצוע (3)'!B:V,5,0)," ")</f>
        <v xml:space="preserve"> </v>
      </c>
      <c r="F34" s="177" t="str">
        <f t="shared" si="1"/>
        <v/>
      </c>
      <c r="G34" s="179">
        <f>SUMIFS('עלויות כח אדם (6)'!M:M,'עלויות כח אדם (6)'!B:B,' איוש משרות (8)'!C34,'עלויות כח אדם (6)'!N:N,"רכ")</f>
        <v>0</v>
      </c>
      <c r="H34" s="179">
        <f>IFERROR(VLOOKUP(P34,'עלויות כח אדם (6)'!$AE$16:$AF$3014,2,0),0)</f>
        <v>0</v>
      </c>
      <c r="I34" s="178">
        <f t="shared" si="3"/>
        <v>0</v>
      </c>
      <c r="J34" s="178">
        <f t="shared" si="4"/>
        <v>0</v>
      </c>
      <c r="K34" s="179" t="str">
        <f t="shared" si="5"/>
        <v/>
      </c>
      <c r="L34" s="718"/>
      <c r="M34" s="180" t="str">
        <f t="shared" si="6"/>
        <v/>
      </c>
      <c r="N34" s="531">
        <f t="shared" si="2"/>
        <v>0</v>
      </c>
      <c r="O34" s="531" t="str">
        <f>IF(C34&lt;&gt;"",C34&amp;'סיווג התפקידים והעלויות'!$C$2,"")</f>
        <v/>
      </c>
      <c r="P34" s="531" t="str">
        <f>IF(C34&lt;&gt;"",C34&amp;'סיווג התפקידים והעלויות'!$D$2,"")</f>
        <v/>
      </c>
    </row>
    <row r="35" spans="2:16" ht="15.75" x14ac:dyDescent="0.25">
      <c r="B35" s="57">
        <v>20</v>
      </c>
      <c r="C35" s="176" t="str">
        <f>IF(VLOOKUP(B35,'דוח ביצוע (3)'!$A$21:$B$520,2,0)="","",VLOOKUP(B35,'דוח ביצוע (3)'!$A$21:$B$520,2,0))</f>
        <v/>
      </c>
      <c r="D35" s="177" t="str">
        <f>IFERROR(VLOOKUP($C:$C,'מצבת והרשמה (2)'!$C$20:$N$520,2,0)," ")</f>
        <v/>
      </c>
      <c r="E35" s="177" t="str">
        <f>IFERROR(VLOOKUP(C35,'דוח ביצוע (3)'!B:V,5,0)," ")</f>
        <v xml:space="preserve"> </v>
      </c>
      <c r="F35" s="177" t="str">
        <f t="shared" si="1"/>
        <v/>
      </c>
      <c r="G35" s="179">
        <f>SUMIFS('עלויות כח אדם (6)'!M:M,'עלויות כח אדם (6)'!B:B,' איוש משרות (8)'!C35,'עלויות כח אדם (6)'!N:N,"רכ")</f>
        <v>0</v>
      </c>
      <c r="H35" s="179">
        <f>IFERROR(VLOOKUP(P35,'עלויות כח אדם (6)'!$AE$16:$AF$3014,2,0),0)</f>
        <v>0</v>
      </c>
      <c r="I35" s="178">
        <f t="shared" si="3"/>
        <v>0</v>
      </c>
      <c r="J35" s="178">
        <f t="shared" si="4"/>
        <v>0</v>
      </c>
      <c r="K35" s="179" t="str">
        <f t="shared" si="5"/>
        <v/>
      </c>
      <c r="L35" s="718"/>
      <c r="M35" s="180" t="str">
        <f t="shared" si="6"/>
        <v/>
      </c>
      <c r="N35" s="531">
        <f t="shared" si="2"/>
        <v>0</v>
      </c>
      <c r="O35" s="531" t="str">
        <f>IF(C35&lt;&gt;"",C35&amp;'סיווג התפקידים והעלויות'!$C$2,"")</f>
        <v/>
      </c>
      <c r="P35" s="531" t="str">
        <f>IF(C35&lt;&gt;"",C35&amp;'סיווג התפקידים והעלויות'!$D$2,"")</f>
        <v/>
      </c>
    </row>
    <row r="36" spans="2:16" ht="15.75" x14ac:dyDescent="0.25">
      <c r="B36" s="176">
        <v>21</v>
      </c>
      <c r="C36" s="176" t="str">
        <f>IF(VLOOKUP(B36,'דוח ביצוע (3)'!$A$21:$B$520,2,0)="","",VLOOKUP(B36,'דוח ביצוע (3)'!$A$21:$B$520,2,0))</f>
        <v/>
      </c>
      <c r="D36" s="177" t="str">
        <f>IFERROR(VLOOKUP($C:$C,'מצבת והרשמה (2)'!$C$20:$N$520,2,0)," ")</f>
        <v/>
      </c>
      <c r="E36" s="177" t="str">
        <f>IFERROR(VLOOKUP(C36,'דוח ביצוע (3)'!B:V,5,0)," ")</f>
        <v xml:space="preserve"> </v>
      </c>
      <c r="F36" s="177" t="str">
        <f t="shared" si="1"/>
        <v/>
      </c>
      <c r="G36" s="179">
        <f>SUMIFS('עלויות כח אדם (6)'!M:M,'עלויות כח אדם (6)'!B:B,' איוש משרות (8)'!C36,'עלויות כח אדם (6)'!N:N,"רכ")</f>
        <v>0</v>
      </c>
      <c r="H36" s="179">
        <f>IFERROR(VLOOKUP(P36,'עלויות כח אדם (6)'!$AE$16:$AF$3014,2,0),0)</f>
        <v>0</v>
      </c>
      <c r="I36" s="178">
        <f t="shared" si="3"/>
        <v>0</v>
      </c>
      <c r="J36" s="178">
        <f t="shared" si="4"/>
        <v>0</v>
      </c>
      <c r="K36" s="179" t="str">
        <f t="shared" si="5"/>
        <v/>
      </c>
      <c r="L36" s="718"/>
      <c r="M36" s="180" t="str">
        <f t="shared" si="6"/>
        <v/>
      </c>
      <c r="N36" s="531">
        <f t="shared" si="2"/>
        <v>0</v>
      </c>
      <c r="O36" s="531" t="str">
        <f>IF(C36&lt;&gt;"",C36&amp;'סיווג התפקידים והעלויות'!$C$2,"")</f>
        <v/>
      </c>
      <c r="P36" s="531" t="str">
        <f>IF(C36&lt;&gt;"",C36&amp;'סיווג התפקידים והעלויות'!$D$2,"")</f>
        <v/>
      </c>
    </row>
    <row r="37" spans="2:16" ht="15.75" x14ac:dyDescent="0.25">
      <c r="B37" s="57">
        <v>22</v>
      </c>
      <c r="C37" s="176" t="str">
        <f>IF(VLOOKUP(B37,'דוח ביצוע (3)'!$A$21:$B$520,2,0)="","",VLOOKUP(B37,'דוח ביצוע (3)'!$A$21:$B$520,2,0))</f>
        <v/>
      </c>
      <c r="D37" s="177" t="str">
        <f>IFERROR(VLOOKUP($C:$C,'מצבת והרשמה (2)'!$C$20:$N$520,2,0)," ")</f>
        <v/>
      </c>
      <c r="E37" s="177" t="str">
        <f>IFERROR(VLOOKUP(C37,'דוח ביצוע (3)'!B:V,5,0)," ")</f>
        <v xml:space="preserve"> </v>
      </c>
      <c r="F37" s="177" t="str">
        <f t="shared" si="1"/>
        <v/>
      </c>
      <c r="G37" s="179">
        <f>SUMIFS('עלויות כח אדם (6)'!M:M,'עלויות כח אדם (6)'!B:B,' איוש משרות (8)'!C37,'עלויות כח אדם (6)'!N:N,"רכ")</f>
        <v>0</v>
      </c>
      <c r="H37" s="179">
        <f>IFERROR(VLOOKUP(P37,'עלויות כח אדם (6)'!$AE$16:$AF$3014,2,0),0)</f>
        <v>0</v>
      </c>
      <c r="I37" s="178">
        <f t="shared" si="3"/>
        <v>0</v>
      </c>
      <c r="J37" s="178">
        <f t="shared" si="4"/>
        <v>0</v>
      </c>
      <c r="K37" s="179" t="str">
        <f t="shared" si="5"/>
        <v/>
      </c>
      <c r="L37" s="718"/>
      <c r="M37" s="180" t="str">
        <f t="shared" si="6"/>
        <v/>
      </c>
      <c r="N37" s="531">
        <f t="shared" si="2"/>
        <v>0</v>
      </c>
      <c r="O37" s="531" t="str">
        <f>IF(C37&lt;&gt;"",C37&amp;'סיווג התפקידים והעלויות'!$C$2,"")</f>
        <v/>
      </c>
      <c r="P37" s="531" t="str">
        <f>IF(C37&lt;&gt;"",C37&amp;'סיווג התפקידים והעלויות'!$D$2,"")</f>
        <v/>
      </c>
    </row>
    <row r="38" spans="2:16" ht="15.75" x14ac:dyDescent="0.25">
      <c r="B38" s="176">
        <v>23</v>
      </c>
      <c r="C38" s="176" t="str">
        <f>IF(VLOOKUP(B38,'דוח ביצוע (3)'!$A$21:$B$520,2,0)="","",VLOOKUP(B38,'דוח ביצוע (3)'!$A$21:$B$520,2,0))</f>
        <v/>
      </c>
      <c r="D38" s="177" t="str">
        <f>IFERROR(VLOOKUP($C:$C,'מצבת והרשמה (2)'!$C$20:$N$520,2,0)," ")</f>
        <v/>
      </c>
      <c r="E38" s="177" t="str">
        <f>IFERROR(VLOOKUP(C38,'דוח ביצוע (3)'!B:V,5,0)," ")</f>
        <v xml:space="preserve"> </v>
      </c>
      <c r="F38" s="177" t="str">
        <f t="shared" si="1"/>
        <v/>
      </c>
      <c r="G38" s="179">
        <f>SUMIFS('עלויות כח אדם (6)'!M:M,'עלויות כח אדם (6)'!B:B,' איוש משרות (8)'!C38,'עלויות כח אדם (6)'!N:N,"רכ")</f>
        <v>0</v>
      </c>
      <c r="H38" s="179">
        <f>IFERROR(VLOOKUP(P38,'עלויות כח אדם (6)'!$AE$16:$AF$3014,2,0),0)</f>
        <v>0</v>
      </c>
      <c r="I38" s="178">
        <f t="shared" si="3"/>
        <v>0</v>
      </c>
      <c r="J38" s="178">
        <f t="shared" si="4"/>
        <v>0</v>
      </c>
      <c r="K38" s="179" t="str">
        <f t="shared" si="5"/>
        <v/>
      </c>
      <c r="L38" s="718"/>
      <c r="M38" s="180" t="str">
        <f t="shared" si="6"/>
        <v/>
      </c>
      <c r="N38" s="531">
        <f t="shared" si="2"/>
        <v>0</v>
      </c>
      <c r="O38" s="531" t="str">
        <f>IF(C38&lt;&gt;"",C38&amp;'סיווג התפקידים והעלויות'!$C$2,"")</f>
        <v/>
      </c>
      <c r="P38" s="531" t="str">
        <f>IF(C38&lt;&gt;"",C38&amp;'סיווג התפקידים והעלויות'!$D$2,"")</f>
        <v/>
      </c>
    </row>
    <row r="39" spans="2:16" ht="15.75" x14ac:dyDescent="0.25">
      <c r="B39" s="57">
        <v>24</v>
      </c>
      <c r="C39" s="176" t="str">
        <f>IF(VLOOKUP(B39,'דוח ביצוע (3)'!$A$21:$B$520,2,0)="","",VLOOKUP(B39,'דוח ביצוע (3)'!$A$21:$B$520,2,0))</f>
        <v/>
      </c>
      <c r="D39" s="177" t="str">
        <f>IFERROR(VLOOKUP($C:$C,'מצבת והרשמה (2)'!$C$20:$N$520,2,0)," ")</f>
        <v/>
      </c>
      <c r="E39" s="177" t="str">
        <f>IFERROR(VLOOKUP(C39,'דוח ביצוע (3)'!B:V,5,0)," ")</f>
        <v xml:space="preserve"> </v>
      </c>
      <c r="F39" s="177" t="str">
        <f t="shared" si="1"/>
        <v/>
      </c>
      <c r="G39" s="179">
        <f>SUMIFS('עלויות כח אדם (6)'!M:M,'עלויות כח אדם (6)'!B:B,' איוש משרות (8)'!C39,'עלויות כח אדם (6)'!N:N,"רכ")</f>
        <v>0</v>
      </c>
      <c r="H39" s="179">
        <f>IFERROR(VLOOKUP(P39,'עלויות כח אדם (6)'!$AE$16:$AF$3014,2,0),0)</f>
        <v>0</v>
      </c>
      <c r="I39" s="178">
        <f t="shared" si="3"/>
        <v>0</v>
      </c>
      <c r="J39" s="178">
        <f t="shared" si="4"/>
        <v>0</v>
      </c>
      <c r="K39" s="179" t="str">
        <f t="shared" si="5"/>
        <v/>
      </c>
      <c r="L39" s="718"/>
      <c r="M39" s="180" t="str">
        <f t="shared" si="6"/>
        <v/>
      </c>
      <c r="N39" s="531">
        <f t="shared" si="2"/>
        <v>0</v>
      </c>
      <c r="O39" s="531" t="str">
        <f>IF(C39&lt;&gt;"",C39&amp;'סיווג התפקידים והעלויות'!$C$2,"")</f>
        <v/>
      </c>
      <c r="P39" s="531" t="str">
        <f>IF(C39&lt;&gt;"",C39&amp;'סיווג התפקידים והעלויות'!$D$2,"")</f>
        <v/>
      </c>
    </row>
    <row r="40" spans="2:16" ht="15.75" x14ac:dyDescent="0.25">
      <c r="B40" s="176">
        <v>25</v>
      </c>
      <c r="C40" s="176" t="str">
        <f>IF(VLOOKUP(B40,'דוח ביצוע (3)'!$A$21:$B$520,2,0)="","",VLOOKUP(B40,'דוח ביצוע (3)'!$A$21:$B$520,2,0))</f>
        <v/>
      </c>
      <c r="D40" s="177" t="str">
        <f>IFERROR(VLOOKUP($C:$C,'מצבת והרשמה (2)'!$C$20:$N$520,2,0)," ")</f>
        <v/>
      </c>
      <c r="E40" s="177" t="str">
        <f>IFERROR(VLOOKUP(C40,'דוח ביצוע (3)'!B:V,5,0)," ")</f>
        <v xml:space="preserve"> </v>
      </c>
      <c r="F40" s="177" t="str">
        <f t="shared" si="1"/>
        <v/>
      </c>
      <c r="G40" s="179">
        <f>SUMIFS('עלויות כח אדם (6)'!M:M,'עלויות כח אדם (6)'!B:B,' איוש משרות (8)'!C40,'עלויות כח אדם (6)'!N:N,"רכ")</f>
        <v>0</v>
      </c>
      <c r="H40" s="179">
        <f>IFERROR(VLOOKUP(P40,'עלויות כח אדם (6)'!$AE$16:$AF$3014,2,0),0)</f>
        <v>0</v>
      </c>
      <c r="I40" s="178">
        <f t="shared" si="3"/>
        <v>0</v>
      </c>
      <c r="J40" s="178">
        <f t="shared" si="4"/>
        <v>0</v>
      </c>
      <c r="K40" s="179" t="str">
        <f t="shared" si="5"/>
        <v/>
      </c>
      <c r="L40" s="718"/>
      <c r="M40" s="180" t="str">
        <f t="shared" si="6"/>
        <v/>
      </c>
      <c r="N40" s="531">
        <f t="shared" si="2"/>
        <v>0</v>
      </c>
      <c r="O40" s="531" t="str">
        <f>IF(C40&lt;&gt;"",C40&amp;'סיווג התפקידים והעלויות'!$C$2,"")</f>
        <v/>
      </c>
      <c r="P40" s="531" t="str">
        <f>IF(C40&lt;&gt;"",C40&amp;'סיווג התפקידים והעלויות'!$D$2,"")</f>
        <v/>
      </c>
    </row>
    <row r="41" spans="2:16" ht="15.75" x14ac:dyDescent="0.25">
      <c r="B41" s="57">
        <v>26</v>
      </c>
      <c r="C41" s="176" t="str">
        <f>IF(VLOOKUP(B41,'דוח ביצוע (3)'!$A$21:$B$520,2,0)="","",VLOOKUP(B41,'דוח ביצוע (3)'!$A$21:$B$520,2,0))</f>
        <v/>
      </c>
      <c r="D41" s="177" t="str">
        <f>IFERROR(VLOOKUP($C:$C,'מצבת והרשמה (2)'!$C$20:$N$520,2,0)," ")</f>
        <v/>
      </c>
      <c r="E41" s="177" t="str">
        <f>IFERROR(VLOOKUP(C41,'דוח ביצוע (3)'!B:V,5,0)," ")</f>
        <v xml:space="preserve"> </v>
      </c>
      <c r="F41" s="177" t="str">
        <f t="shared" si="1"/>
        <v/>
      </c>
      <c r="G41" s="179">
        <f>SUMIFS('עלויות כח אדם (6)'!M:M,'עלויות כח אדם (6)'!B:B,' איוש משרות (8)'!C41,'עלויות כח אדם (6)'!N:N,"רכ")</f>
        <v>0</v>
      </c>
      <c r="H41" s="179">
        <f>IFERROR(VLOOKUP(P41,'עלויות כח אדם (6)'!$AE$16:$AF$3014,2,0),0)</f>
        <v>0</v>
      </c>
      <c r="I41" s="178">
        <f t="shared" si="3"/>
        <v>0</v>
      </c>
      <c r="J41" s="178">
        <f t="shared" si="4"/>
        <v>0</v>
      </c>
      <c r="K41" s="179" t="str">
        <f t="shared" si="5"/>
        <v/>
      </c>
      <c r="L41" s="718"/>
      <c r="M41" s="180" t="str">
        <f t="shared" si="6"/>
        <v/>
      </c>
      <c r="N41" s="531">
        <f t="shared" si="2"/>
        <v>0</v>
      </c>
      <c r="O41" s="531" t="str">
        <f>IF(C41&lt;&gt;"",C41&amp;'סיווג התפקידים והעלויות'!$C$2,"")</f>
        <v/>
      </c>
      <c r="P41" s="531" t="str">
        <f>IF(C41&lt;&gt;"",C41&amp;'סיווג התפקידים והעלויות'!$D$2,"")</f>
        <v/>
      </c>
    </row>
    <row r="42" spans="2:16" ht="15.75" x14ac:dyDescent="0.25">
      <c r="B42" s="176">
        <v>27</v>
      </c>
      <c r="C42" s="176" t="str">
        <f>IF(VLOOKUP(B42,'דוח ביצוע (3)'!$A$21:$B$520,2,0)="","",VLOOKUP(B42,'דוח ביצוע (3)'!$A$21:$B$520,2,0))</f>
        <v/>
      </c>
      <c r="D42" s="177" t="str">
        <f>IFERROR(VLOOKUP($C:$C,'מצבת והרשמה (2)'!$C$20:$N$520,2,0)," ")</f>
        <v/>
      </c>
      <c r="E42" s="177" t="str">
        <f>IFERROR(VLOOKUP(C42,'דוח ביצוע (3)'!B:V,5,0)," ")</f>
        <v xml:space="preserve"> </v>
      </c>
      <c r="F42" s="177" t="str">
        <f t="shared" si="1"/>
        <v/>
      </c>
      <c r="G42" s="179">
        <f>SUMIFS('עלויות כח אדם (6)'!M:M,'עלויות כח אדם (6)'!B:B,' איוש משרות (8)'!C42,'עלויות כח אדם (6)'!N:N,"רכ")</f>
        <v>0</v>
      </c>
      <c r="H42" s="179">
        <f>IFERROR(VLOOKUP(P42,'עלויות כח אדם (6)'!$AE$16:$AF$3014,2,0),0)</f>
        <v>0</v>
      </c>
      <c r="I42" s="178">
        <f t="shared" si="3"/>
        <v>0</v>
      </c>
      <c r="J42" s="178">
        <f t="shared" si="4"/>
        <v>0</v>
      </c>
      <c r="K42" s="179" t="str">
        <f t="shared" si="5"/>
        <v/>
      </c>
      <c r="L42" s="718"/>
      <c r="M42" s="180" t="str">
        <f t="shared" si="6"/>
        <v/>
      </c>
      <c r="N42" s="531">
        <f t="shared" si="2"/>
        <v>0</v>
      </c>
      <c r="O42" s="531" t="str">
        <f>IF(C42&lt;&gt;"",C42&amp;'סיווג התפקידים והעלויות'!$C$2,"")</f>
        <v/>
      </c>
      <c r="P42" s="531" t="str">
        <f>IF(C42&lt;&gt;"",C42&amp;'סיווג התפקידים והעלויות'!$D$2,"")</f>
        <v/>
      </c>
    </row>
    <row r="43" spans="2:16" ht="15.75" x14ac:dyDescent="0.25">
      <c r="B43" s="57">
        <v>28</v>
      </c>
      <c r="C43" s="176" t="str">
        <f>IF(VLOOKUP(B43,'דוח ביצוע (3)'!$A$21:$B$520,2,0)="","",VLOOKUP(B43,'דוח ביצוע (3)'!$A$21:$B$520,2,0))</f>
        <v/>
      </c>
      <c r="D43" s="177" t="str">
        <f>IFERROR(VLOOKUP($C:$C,'מצבת והרשמה (2)'!$C$20:$N$520,2,0)," ")</f>
        <v/>
      </c>
      <c r="E43" s="177" t="str">
        <f>IFERROR(VLOOKUP(C43,'דוח ביצוע (3)'!B:V,5,0)," ")</f>
        <v xml:space="preserve"> </v>
      </c>
      <c r="F43" s="177" t="str">
        <f t="shared" si="1"/>
        <v/>
      </c>
      <c r="G43" s="179">
        <f>SUMIFS('עלויות כח אדם (6)'!M:M,'עלויות כח אדם (6)'!B:B,' איוש משרות (8)'!C43,'עלויות כח אדם (6)'!N:N,"רכ")</f>
        <v>0</v>
      </c>
      <c r="H43" s="179">
        <f>IFERROR(VLOOKUP(P43,'עלויות כח אדם (6)'!$AE$16:$AF$3014,2,0),0)</f>
        <v>0</v>
      </c>
      <c r="I43" s="178">
        <f t="shared" si="3"/>
        <v>0</v>
      </c>
      <c r="J43" s="178">
        <f t="shared" si="4"/>
        <v>0</v>
      </c>
      <c r="K43" s="179" t="str">
        <f t="shared" si="5"/>
        <v/>
      </c>
      <c r="L43" s="718"/>
      <c r="M43" s="180" t="str">
        <f t="shared" si="6"/>
        <v/>
      </c>
      <c r="N43" s="531">
        <f t="shared" si="2"/>
        <v>0</v>
      </c>
      <c r="O43" s="531" t="str">
        <f>IF(C43&lt;&gt;"",C43&amp;'סיווג התפקידים והעלויות'!$C$2,"")</f>
        <v/>
      </c>
      <c r="P43" s="531" t="str">
        <f>IF(C43&lt;&gt;"",C43&amp;'סיווג התפקידים והעלויות'!$D$2,"")</f>
        <v/>
      </c>
    </row>
    <row r="44" spans="2:16" ht="15.75" x14ac:dyDescent="0.25">
      <c r="B44" s="176">
        <v>29</v>
      </c>
      <c r="C44" s="176" t="str">
        <f>IF(VLOOKUP(B44,'דוח ביצוע (3)'!$A$21:$B$520,2,0)="","",VLOOKUP(B44,'דוח ביצוע (3)'!$A$21:$B$520,2,0))</f>
        <v/>
      </c>
      <c r="D44" s="177" t="str">
        <f>IFERROR(VLOOKUP($C:$C,'מצבת והרשמה (2)'!$C$20:$N$520,2,0)," ")</f>
        <v/>
      </c>
      <c r="E44" s="177" t="str">
        <f>IFERROR(VLOOKUP(C44,'דוח ביצוע (3)'!B:V,5,0)," ")</f>
        <v xml:space="preserve"> </v>
      </c>
      <c r="F44" s="177" t="str">
        <f t="shared" si="1"/>
        <v/>
      </c>
      <c r="G44" s="179">
        <f>SUMIFS('עלויות כח אדם (6)'!M:M,'עלויות כח אדם (6)'!B:B,' איוש משרות (8)'!C44,'עלויות כח אדם (6)'!N:N,"רכ")</f>
        <v>0</v>
      </c>
      <c r="H44" s="179">
        <f>IFERROR(VLOOKUP(P44,'עלויות כח אדם (6)'!$AE$16:$AF$3014,2,0),0)</f>
        <v>0</v>
      </c>
      <c r="I44" s="178">
        <f t="shared" si="3"/>
        <v>0</v>
      </c>
      <c r="J44" s="178">
        <f t="shared" si="4"/>
        <v>0</v>
      </c>
      <c r="K44" s="179" t="str">
        <f t="shared" si="5"/>
        <v/>
      </c>
      <c r="L44" s="718"/>
      <c r="M44" s="180" t="str">
        <f t="shared" si="6"/>
        <v/>
      </c>
      <c r="N44" s="531">
        <f t="shared" si="2"/>
        <v>0</v>
      </c>
      <c r="O44" s="531" t="str">
        <f>IF(C44&lt;&gt;"",C44&amp;'סיווג התפקידים והעלויות'!$C$2,"")</f>
        <v/>
      </c>
      <c r="P44" s="531" t="str">
        <f>IF(C44&lt;&gt;"",C44&amp;'סיווג התפקידים והעלויות'!$D$2,"")</f>
        <v/>
      </c>
    </row>
    <row r="45" spans="2:16" ht="15.75" x14ac:dyDescent="0.25">
      <c r="B45" s="57">
        <v>30</v>
      </c>
      <c r="C45" s="176" t="str">
        <f>IF(VLOOKUP(B45,'דוח ביצוע (3)'!$A$21:$B$520,2,0)="","",VLOOKUP(B45,'דוח ביצוע (3)'!$A$21:$B$520,2,0))</f>
        <v/>
      </c>
      <c r="D45" s="177" t="str">
        <f>IFERROR(VLOOKUP($C:$C,'מצבת והרשמה (2)'!$C$20:$N$520,2,0)," ")</f>
        <v/>
      </c>
      <c r="E45" s="177" t="str">
        <f>IFERROR(VLOOKUP(C45,'דוח ביצוע (3)'!B:V,5,0)," ")</f>
        <v xml:space="preserve"> </v>
      </c>
      <c r="F45" s="177" t="str">
        <f t="shared" si="1"/>
        <v/>
      </c>
      <c r="G45" s="179">
        <f>SUMIFS('עלויות כח אדם (6)'!M:M,'עלויות כח אדם (6)'!B:B,' איוש משרות (8)'!C45,'עלויות כח אדם (6)'!N:N,"רכ")</f>
        <v>0</v>
      </c>
      <c r="H45" s="179">
        <f>IFERROR(VLOOKUP(P45,'עלויות כח אדם (6)'!$AE$16:$AF$3014,2,0),0)</f>
        <v>0</v>
      </c>
      <c r="I45" s="178">
        <f t="shared" si="3"/>
        <v>0</v>
      </c>
      <c r="J45" s="178">
        <f t="shared" si="4"/>
        <v>0</v>
      </c>
      <c r="K45" s="179" t="str">
        <f t="shared" si="5"/>
        <v/>
      </c>
      <c r="L45" s="718"/>
      <c r="M45" s="180" t="str">
        <f t="shared" si="6"/>
        <v/>
      </c>
      <c r="N45" s="531">
        <f t="shared" si="2"/>
        <v>0</v>
      </c>
      <c r="O45" s="531" t="str">
        <f>IF(C45&lt;&gt;"",C45&amp;'סיווג התפקידים והעלויות'!$C$2,"")</f>
        <v/>
      </c>
      <c r="P45" s="531" t="str">
        <f>IF(C45&lt;&gt;"",C45&amp;'סיווג התפקידים והעלויות'!$D$2,"")</f>
        <v/>
      </c>
    </row>
    <row r="46" spans="2:16" ht="15.75" x14ac:dyDescent="0.25">
      <c r="B46" s="176">
        <v>31</v>
      </c>
      <c r="C46" s="176" t="str">
        <f>IF(VLOOKUP(B46,'דוח ביצוע (3)'!$A$21:$B$520,2,0)="","",VLOOKUP(B46,'דוח ביצוע (3)'!$A$21:$B$520,2,0))</f>
        <v/>
      </c>
      <c r="D46" s="177" t="str">
        <f>IFERROR(VLOOKUP($C:$C,'מצבת והרשמה (2)'!$C$20:$N$520,2,0)," ")</f>
        <v/>
      </c>
      <c r="E46" s="177" t="str">
        <f>IFERROR(VLOOKUP(C46,'דוח ביצוע (3)'!B:V,5,0)," ")</f>
        <v xml:space="preserve"> </v>
      </c>
      <c r="F46" s="177" t="str">
        <f t="shared" si="1"/>
        <v/>
      </c>
      <c r="G46" s="179">
        <f>SUMIFS('עלויות כח אדם (6)'!M:M,'עלויות כח אדם (6)'!B:B,' איוש משרות (8)'!C46,'עלויות כח אדם (6)'!N:N,"רכ")</f>
        <v>0</v>
      </c>
      <c r="H46" s="179">
        <f>IFERROR(VLOOKUP(P46,'עלויות כח אדם (6)'!$AE$16:$AF$3014,2,0),0)</f>
        <v>0</v>
      </c>
      <c r="I46" s="178">
        <f t="shared" si="3"/>
        <v>0</v>
      </c>
      <c r="J46" s="178">
        <f t="shared" si="4"/>
        <v>0</v>
      </c>
      <c r="K46" s="179" t="str">
        <f t="shared" si="5"/>
        <v/>
      </c>
      <c r="L46" s="718"/>
      <c r="M46" s="180" t="str">
        <f t="shared" si="6"/>
        <v/>
      </c>
      <c r="N46" s="531">
        <f t="shared" si="2"/>
        <v>0</v>
      </c>
      <c r="O46" s="531" t="str">
        <f>IF(C46&lt;&gt;"",C46&amp;'סיווג התפקידים והעלויות'!$C$2,"")</f>
        <v/>
      </c>
      <c r="P46" s="531" t="str">
        <f>IF(C46&lt;&gt;"",C46&amp;'סיווג התפקידים והעלויות'!$D$2,"")</f>
        <v/>
      </c>
    </row>
    <row r="47" spans="2:16" ht="15.75" x14ac:dyDescent="0.25">
      <c r="B47" s="57">
        <v>32</v>
      </c>
      <c r="C47" s="176" t="str">
        <f>IF(VLOOKUP(B47,'דוח ביצוע (3)'!$A$21:$B$520,2,0)="","",VLOOKUP(B47,'דוח ביצוע (3)'!$A$21:$B$520,2,0))</f>
        <v/>
      </c>
      <c r="D47" s="177" t="str">
        <f>IFERROR(VLOOKUP($C:$C,'מצבת והרשמה (2)'!$C$20:$N$520,2,0)," ")</f>
        <v/>
      </c>
      <c r="E47" s="177" t="str">
        <f>IFERROR(VLOOKUP(C47,'דוח ביצוע (3)'!B:V,5,0)," ")</f>
        <v xml:space="preserve"> </v>
      </c>
      <c r="F47" s="177" t="str">
        <f t="shared" si="1"/>
        <v/>
      </c>
      <c r="G47" s="179">
        <f>SUMIFS('עלויות כח אדם (6)'!M:M,'עלויות כח אדם (6)'!B:B,' איוש משרות (8)'!C47,'עלויות כח אדם (6)'!N:N,"רכ")</f>
        <v>0</v>
      </c>
      <c r="H47" s="179">
        <f>IFERROR(VLOOKUP(P47,'עלויות כח אדם (6)'!$AE$16:$AF$3014,2,0),0)</f>
        <v>0</v>
      </c>
      <c r="I47" s="178">
        <f t="shared" si="3"/>
        <v>0</v>
      </c>
      <c r="J47" s="178">
        <f t="shared" si="4"/>
        <v>0</v>
      </c>
      <c r="K47" s="179" t="str">
        <f t="shared" si="5"/>
        <v/>
      </c>
      <c r="L47" s="718"/>
      <c r="M47" s="180" t="str">
        <f t="shared" si="6"/>
        <v/>
      </c>
      <c r="N47" s="531">
        <f t="shared" si="2"/>
        <v>0</v>
      </c>
      <c r="O47" s="531" t="str">
        <f>IF(C47&lt;&gt;"",C47&amp;'סיווג התפקידים והעלויות'!$C$2,"")</f>
        <v/>
      </c>
      <c r="P47" s="531" t="str">
        <f>IF(C47&lt;&gt;"",C47&amp;'סיווג התפקידים והעלויות'!$D$2,"")</f>
        <v/>
      </c>
    </row>
    <row r="48" spans="2:16" ht="15.75" x14ac:dyDescent="0.25">
      <c r="B48" s="176">
        <v>33</v>
      </c>
      <c r="C48" s="176" t="str">
        <f>IF(VLOOKUP(B48,'דוח ביצוע (3)'!$A$21:$B$520,2,0)="","",VLOOKUP(B48,'דוח ביצוע (3)'!$A$21:$B$520,2,0))</f>
        <v/>
      </c>
      <c r="D48" s="177" t="str">
        <f>IFERROR(VLOOKUP($C:$C,'מצבת והרשמה (2)'!$C$20:$N$520,2,0)," ")</f>
        <v/>
      </c>
      <c r="E48" s="177" t="str">
        <f>IFERROR(VLOOKUP(C48,'דוח ביצוע (3)'!B:V,5,0)," ")</f>
        <v xml:space="preserve"> </v>
      </c>
      <c r="F48" s="177" t="str">
        <f t="shared" si="1"/>
        <v/>
      </c>
      <c r="G48" s="179">
        <f>SUMIFS('עלויות כח אדם (6)'!M:M,'עלויות כח אדם (6)'!B:B,' איוש משרות (8)'!C48,'עלויות כח אדם (6)'!N:N,"רכ")</f>
        <v>0</v>
      </c>
      <c r="H48" s="179">
        <f>IFERROR(VLOOKUP(P48,'עלויות כח אדם (6)'!$AE$16:$AF$3014,2,0),0)</f>
        <v>0</v>
      </c>
      <c r="I48" s="178">
        <f t="shared" si="3"/>
        <v>0</v>
      </c>
      <c r="J48" s="178">
        <f t="shared" si="4"/>
        <v>0</v>
      </c>
      <c r="K48" s="179" t="str">
        <f t="shared" si="5"/>
        <v/>
      </c>
      <c r="L48" s="718"/>
      <c r="M48" s="180" t="str">
        <f t="shared" si="6"/>
        <v/>
      </c>
      <c r="N48" s="531">
        <f t="shared" si="2"/>
        <v>0</v>
      </c>
      <c r="O48" s="531" t="str">
        <f>IF(C48&lt;&gt;"",C48&amp;'סיווג התפקידים והעלויות'!$C$2,"")</f>
        <v/>
      </c>
      <c r="P48" s="531" t="str">
        <f>IF(C48&lt;&gt;"",C48&amp;'סיווג התפקידים והעלויות'!$D$2,"")</f>
        <v/>
      </c>
    </row>
    <row r="49" spans="2:16" ht="15.75" x14ac:dyDescent="0.25">
      <c r="B49" s="57">
        <v>34</v>
      </c>
      <c r="C49" s="176" t="str">
        <f>IF(VLOOKUP(B49,'דוח ביצוע (3)'!$A$21:$B$520,2,0)="","",VLOOKUP(B49,'דוח ביצוע (3)'!$A$21:$B$520,2,0))</f>
        <v/>
      </c>
      <c r="D49" s="177" t="str">
        <f>IFERROR(VLOOKUP($C:$C,'מצבת והרשמה (2)'!$C$20:$N$520,2,0)," ")</f>
        <v/>
      </c>
      <c r="E49" s="177" t="str">
        <f>IFERROR(VLOOKUP(C49,'דוח ביצוע (3)'!B:V,5,0)," ")</f>
        <v xml:space="preserve"> </v>
      </c>
      <c r="F49" s="177" t="str">
        <f t="shared" si="1"/>
        <v/>
      </c>
      <c r="G49" s="179">
        <f>SUMIFS('עלויות כח אדם (6)'!M:M,'עלויות כח אדם (6)'!B:B,' איוש משרות (8)'!C49,'עלויות כח אדם (6)'!N:N,"רכ")</f>
        <v>0</v>
      </c>
      <c r="H49" s="179">
        <f>IFERROR(VLOOKUP(P49,'עלויות כח אדם (6)'!$AE$16:$AF$3014,2,0),0)</f>
        <v>0</v>
      </c>
      <c r="I49" s="178">
        <f t="shared" si="3"/>
        <v>0</v>
      </c>
      <c r="J49" s="178">
        <f t="shared" si="4"/>
        <v>0</v>
      </c>
      <c r="K49" s="179" t="str">
        <f t="shared" si="5"/>
        <v/>
      </c>
      <c r="L49" s="718"/>
      <c r="M49" s="180" t="str">
        <f t="shared" si="6"/>
        <v/>
      </c>
      <c r="N49" s="531">
        <f t="shared" si="2"/>
        <v>0</v>
      </c>
      <c r="O49" s="531" t="str">
        <f>IF(C49&lt;&gt;"",C49&amp;'סיווג התפקידים והעלויות'!$C$2,"")</f>
        <v/>
      </c>
      <c r="P49" s="531" t="str">
        <f>IF(C49&lt;&gt;"",C49&amp;'סיווג התפקידים והעלויות'!$D$2,"")</f>
        <v/>
      </c>
    </row>
    <row r="50" spans="2:16" ht="15.75" x14ac:dyDescent="0.25">
      <c r="B50" s="176">
        <v>35</v>
      </c>
      <c r="C50" s="176" t="str">
        <f>IF(VLOOKUP(B50,'דוח ביצוע (3)'!$A$21:$B$520,2,0)="","",VLOOKUP(B50,'דוח ביצוע (3)'!$A$21:$B$520,2,0))</f>
        <v/>
      </c>
      <c r="D50" s="177" t="str">
        <f>IFERROR(VLOOKUP($C:$C,'מצבת והרשמה (2)'!$C$20:$N$520,2,0)," ")</f>
        <v/>
      </c>
      <c r="E50" s="177" t="str">
        <f>IFERROR(VLOOKUP(C50,'דוח ביצוע (3)'!B:V,5,0)," ")</f>
        <v xml:space="preserve"> </v>
      </c>
      <c r="F50" s="177" t="str">
        <f t="shared" si="1"/>
        <v/>
      </c>
      <c r="G50" s="179">
        <f>SUMIFS('עלויות כח אדם (6)'!M:M,'עלויות כח אדם (6)'!B:B,' איוש משרות (8)'!C50,'עלויות כח אדם (6)'!N:N,"רכ")</f>
        <v>0</v>
      </c>
      <c r="H50" s="179">
        <f>IFERROR(VLOOKUP(P50,'עלויות כח אדם (6)'!$AE$16:$AF$3014,2,0),0)</f>
        <v>0</v>
      </c>
      <c r="I50" s="178">
        <f t="shared" si="3"/>
        <v>0</v>
      </c>
      <c r="J50" s="178">
        <f t="shared" si="4"/>
        <v>0</v>
      </c>
      <c r="K50" s="179" t="str">
        <f t="shared" si="5"/>
        <v/>
      </c>
      <c r="L50" s="718"/>
      <c r="M50" s="180" t="str">
        <f t="shared" si="6"/>
        <v/>
      </c>
      <c r="N50" s="531">
        <f t="shared" si="2"/>
        <v>0</v>
      </c>
      <c r="O50" s="531" t="str">
        <f>IF(C50&lt;&gt;"",C50&amp;'סיווג התפקידים והעלויות'!$C$2,"")</f>
        <v/>
      </c>
      <c r="P50" s="531" t="str">
        <f>IF(C50&lt;&gt;"",C50&amp;'סיווג התפקידים והעלויות'!$D$2,"")</f>
        <v/>
      </c>
    </row>
    <row r="51" spans="2:16" ht="15.75" x14ac:dyDescent="0.25">
      <c r="B51" s="57">
        <v>36</v>
      </c>
      <c r="C51" s="176" t="str">
        <f>IF(VLOOKUP(B51,'דוח ביצוע (3)'!$A$21:$B$520,2,0)="","",VLOOKUP(B51,'דוח ביצוע (3)'!$A$21:$B$520,2,0))</f>
        <v/>
      </c>
      <c r="D51" s="177" t="str">
        <f>IFERROR(VLOOKUP($C:$C,'מצבת והרשמה (2)'!$C$20:$N$520,2,0)," ")</f>
        <v/>
      </c>
      <c r="E51" s="177" t="str">
        <f>IFERROR(VLOOKUP(C51,'דוח ביצוע (3)'!B:V,5,0)," ")</f>
        <v xml:space="preserve"> </v>
      </c>
      <c r="F51" s="177" t="str">
        <f t="shared" si="1"/>
        <v/>
      </c>
      <c r="G51" s="179">
        <f>SUMIFS('עלויות כח אדם (6)'!M:M,'עלויות כח אדם (6)'!B:B,' איוש משרות (8)'!C51,'עלויות כח אדם (6)'!N:N,"רכ")</f>
        <v>0</v>
      </c>
      <c r="H51" s="179">
        <f>IFERROR(VLOOKUP(P51,'עלויות כח אדם (6)'!$AE$16:$AF$3014,2,0),0)</f>
        <v>0</v>
      </c>
      <c r="I51" s="178">
        <f t="shared" si="3"/>
        <v>0</v>
      </c>
      <c r="J51" s="178">
        <f t="shared" si="4"/>
        <v>0</v>
      </c>
      <c r="K51" s="179" t="str">
        <f t="shared" si="5"/>
        <v/>
      </c>
      <c r="L51" s="718"/>
      <c r="M51" s="180" t="str">
        <f t="shared" si="6"/>
        <v/>
      </c>
      <c r="N51" s="531">
        <f t="shared" si="2"/>
        <v>0</v>
      </c>
      <c r="O51" s="531" t="str">
        <f>IF(C51&lt;&gt;"",C51&amp;'סיווג התפקידים והעלויות'!$C$2,"")</f>
        <v/>
      </c>
      <c r="P51" s="531" t="str">
        <f>IF(C51&lt;&gt;"",C51&amp;'סיווג התפקידים והעלויות'!$D$2,"")</f>
        <v/>
      </c>
    </row>
    <row r="52" spans="2:16" ht="15.75" x14ac:dyDescent="0.25">
      <c r="B52" s="176">
        <v>37</v>
      </c>
      <c r="C52" s="176" t="str">
        <f>IF(VLOOKUP(B52,'דוח ביצוע (3)'!$A$21:$B$520,2,0)="","",VLOOKUP(B52,'דוח ביצוע (3)'!$A$21:$B$520,2,0))</f>
        <v/>
      </c>
      <c r="D52" s="177" t="str">
        <f>IFERROR(VLOOKUP($C:$C,'מצבת והרשמה (2)'!$C$20:$N$520,2,0)," ")</f>
        <v/>
      </c>
      <c r="E52" s="177" t="str">
        <f>IFERROR(VLOOKUP(C52,'דוח ביצוע (3)'!B:V,5,0)," ")</f>
        <v xml:space="preserve"> </v>
      </c>
      <c r="F52" s="177" t="str">
        <f t="shared" si="1"/>
        <v/>
      </c>
      <c r="G52" s="179">
        <f>SUMIFS('עלויות כח אדם (6)'!M:M,'עלויות כח אדם (6)'!B:B,' איוש משרות (8)'!C52,'עלויות כח אדם (6)'!N:N,"רכ")</f>
        <v>0</v>
      </c>
      <c r="H52" s="179">
        <f>IFERROR(VLOOKUP(P52,'עלויות כח אדם (6)'!$AE$16:$AF$3014,2,0),0)</f>
        <v>0</v>
      </c>
      <c r="I52" s="178">
        <f t="shared" si="3"/>
        <v>0</v>
      </c>
      <c r="J52" s="178">
        <f t="shared" si="4"/>
        <v>0</v>
      </c>
      <c r="K52" s="179" t="str">
        <f t="shared" si="5"/>
        <v/>
      </c>
      <c r="L52" s="718"/>
      <c r="M52" s="180" t="str">
        <f t="shared" si="6"/>
        <v/>
      </c>
      <c r="N52" s="531">
        <f t="shared" si="2"/>
        <v>0</v>
      </c>
      <c r="O52" s="531" t="str">
        <f>IF(C52&lt;&gt;"",C52&amp;'סיווג התפקידים והעלויות'!$C$2,"")</f>
        <v/>
      </c>
      <c r="P52" s="531" t="str">
        <f>IF(C52&lt;&gt;"",C52&amp;'סיווג התפקידים והעלויות'!$D$2,"")</f>
        <v/>
      </c>
    </row>
    <row r="53" spans="2:16" ht="15.75" x14ac:dyDescent="0.25">
      <c r="B53" s="57">
        <v>38</v>
      </c>
      <c r="C53" s="176" t="str">
        <f>IF(VLOOKUP(B53,'דוח ביצוע (3)'!$A$21:$B$520,2,0)="","",VLOOKUP(B53,'דוח ביצוע (3)'!$A$21:$B$520,2,0))</f>
        <v/>
      </c>
      <c r="D53" s="177" t="str">
        <f>IFERROR(VLOOKUP($C:$C,'מצבת והרשמה (2)'!$C$20:$N$520,2,0)," ")</f>
        <v/>
      </c>
      <c r="E53" s="177" t="str">
        <f>IFERROR(VLOOKUP(C53,'דוח ביצוע (3)'!B:V,5,0)," ")</f>
        <v xml:space="preserve"> </v>
      </c>
      <c r="F53" s="177" t="str">
        <f t="shared" si="1"/>
        <v/>
      </c>
      <c r="G53" s="179">
        <f>SUMIFS('עלויות כח אדם (6)'!M:M,'עלויות כח אדם (6)'!B:B,' איוש משרות (8)'!C53,'עלויות כח אדם (6)'!N:N,"רכ")</f>
        <v>0</v>
      </c>
      <c r="H53" s="179">
        <f>IFERROR(VLOOKUP(P53,'עלויות כח אדם (6)'!$AE$16:$AF$3014,2,0),0)</f>
        <v>0</v>
      </c>
      <c r="I53" s="178">
        <f t="shared" si="3"/>
        <v>0</v>
      </c>
      <c r="J53" s="178">
        <f t="shared" si="4"/>
        <v>0</v>
      </c>
      <c r="K53" s="179" t="str">
        <f t="shared" si="5"/>
        <v/>
      </c>
      <c r="L53" s="718"/>
      <c r="M53" s="180" t="str">
        <f t="shared" si="6"/>
        <v/>
      </c>
      <c r="N53" s="531">
        <f t="shared" si="2"/>
        <v>0</v>
      </c>
      <c r="O53" s="531" t="str">
        <f>IF(C53&lt;&gt;"",C53&amp;'סיווג התפקידים והעלויות'!$C$2,"")</f>
        <v/>
      </c>
      <c r="P53" s="531" t="str">
        <f>IF(C53&lt;&gt;"",C53&amp;'סיווג התפקידים והעלויות'!$D$2,"")</f>
        <v/>
      </c>
    </row>
    <row r="54" spans="2:16" ht="15.75" x14ac:dyDescent="0.25">
      <c r="B54" s="176">
        <v>39</v>
      </c>
      <c r="C54" s="176" t="str">
        <f>IF(VLOOKUP(B54,'דוח ביצוע (3)'!$A$21:$B$520,2,0)="","",VLOOKUP(B54,'דוח ביצוע (3)'!$A$21:$B$520,2,0))</f>
        <v/>
      </c>
      <c r="D54" s="177" t="str">
        <f>IFERROR(VLOOKUP($C:$C,'מצבת והרשמה (2)'!$C$20:$N$520,2,0)," ")</f>
        <v/>
      </c>
      <c r="E54" s="177" t="str">
        <f>IFERROR(VLOOKUP(C54,'דוח ביצוע (3)'!B:V,5,0)," ")</f>
        <v xml:space="preserve"> </v>
      </c>
      <c r="F54" s="177" t="str">
        <f t="shared" si="1"/>
        <v/>
      </c>
      <c r="G54" s="179">
        <f>SUMIFS('עלויות כח אדם (6)'!M:M,'עלויות כח אדם (6)'!B:B,' איוש משרות (8)'!C54,'עלויות כח אדם (6)'!N:N,"רכ")</f>
        <v>0</v>
      </c>
      <c r="H54" s="179">
        <f>IFERROR(VLOOKUP(P54,'עלויות כח אדם (6)'!$AE$16:$AF$3014,2,0),0)</f>
        <v>0</v>
      </c>
      <c r="I54" s="178">
        <f t="shared" si="3"/>
        <v>0</v>
      </c>
      <c r="J54" s="178">
        <f t="shared" si="4"/>
        <v>0</v>
      </c>
      <c r="K54" s="179" t="str">
        <f t="shared" si="5"/>
        <v/>
      </c>
      <c r="L54" s="718"/>
      <c r="M54" s="180" t="str">
        <f t="shared" si="6"/>
        <v/>
      </c>
      <c r="N54" s="531">
        <f t="shared" si="2"/>
        <v>0</v>
      </c>
      <c r="O54" s="531" t="str">
        <f>IF(C54&lt;&gt;"",C54&amp;'סיווג התפקידים והעלויות'!$C$2,"")</f>
        <v/>
      </c>
      <c r="P54" s="531" t="str">
        <f>IF(C54&lt;&gt;"",C54&amp;'סיווג התפקידים והעלויות'!$D$2,"")</f>
        <v/>
      </c>
    </row>
    <row r="55" spans="2:16" ht="15.75" x14ac:dyDescent="0.25">
      <c r="B55" s="57">
        <v>40</v>
      </c>
      <c r="C55" s="176" t="str">
        <f>IF(VLOOKUP(B55,'דוח ביצוע (3)'!$A$21:$B$520,2,0)="","",VLOOKUP(B55,'דוח ביצוע (3)'!$A$21:$B$520,2,0))</f>
        <v/>
      </c>
      <c r="D55" s="177" t="str">
        <f>IFERROR(VLOOKUP($C:$C,'מצבת והרשמה (2)'!$C$20:$N$520,2,0)," ")</f>
        <v/>
      </c>
      <c r="E55" s="177" t="str">
        <f>IFERROR(VLOOKUP(C55,'דוח ביצוע (3)'!B:V,5,0)," ")</f>
        <v xml:space="preserve"> </v>
      </c>
      <c r="F55" s="177" t="str">
        <f t="shared" si="1"/>
        <v/>
      </c>
      <c r="G55" s="179">
        <f>SUMIFS('עלויות כח אדם (6)'!M:M,'עלויות כח אדם (6)'!B:B,' איוש משרות (8)'!C55,'עלויות כח אדם (6)'!N:N,"רכ")</f>
        <v>0</v>
      </c>
      <c r="H55" s="179">
        <f>IFERROR(VLOOKUP(P55,'עלויות כח אדם (6)'!$AE$16:$AF$3014,2,0),0)</f>
        <v>0</v>
      </c>
      <c r="I55" s="178">
        <f t="shared" si="3"/>
        <v>0</v>
      </c>
      <c r="J55" s="178">
        <f t="shared" si="4"/>
        <v>0</v>
      </c>
      <c r="K55" s="179" t="str">
        <f t="shared" si="5"/>
        <v/>
      </c>
      <c r="L55" s="718"/>
      <c r="M55" s="180" t="str">
        <f t="shared" si="6"/>
        <v/>
      </c>
      <c r="N55" s="531">
        <f t="shared" si="2"/>
        <v>0</v>
      </c>
      <c r="O55" s="531" t="str">
        <f>IF(C55&lt;&gt;"",C55&amp;'סיווג התפקידים והעלויות'!$C$2,"")</f>
        <v/>
      </c>
      <c r="P55" s="531" t="str">
        <f>IF(C55&lt;&gt;"",C55&amp;'סיווג התפקידים והעלויות'!$D$2,"")</f>
        <v/>
      </c>
    </row>
    <row r="56" spans="2:16" ht="15.75" x14ac:dyDescent="0.25">
      <c r="B56" s="176">
        <v>41</v>
      </c>
      <c r="C56" s="176" t="str">
        <f>IF(VLOOKUP(B56,'דוח ביצוע (3)'!$A$21:$B$520,2,0)="","",VLOOKUP(B56,'דוח ביצוע (3)'!$A$21:$B$520,2,0))</f>
        <v/>
      </c>
      <c r="D56" s="177" t="str">
        <f>IFERROR(VLOOKUP($C:$C,'מצבת והרשמה (2)'!$C$20:$N$520,2,0)," ")</f>
        <v/>
      </c>
      <c r="E56" s="177" t="str">
        <f>IFERROR(VLOOKUP(C56,'דוח ביצוע (3)'!B:V,5,0)," ")</f>
        <v xml:space="preserve"> </v>
      </c>
      <c r="F56" s="177" t="str">
        <f t="shared" si="1"/>
        <v/>
      </c>
      <c r="G56" s="179">
        <f>SUMIFS('עלויות כח אדם (6)'!M:M,'עלויות כח אדם (6)'!B:B,' איוש משרות (8)'!C56,'עלויות כח אדם (6)'!N:N,"רכ")</f>
        <v>0</v>
      </c>
      <c r="H56" s="179">
        <f>IFERROR(VLOOKUP(P56,'עלויות כח אדם (6)'!$AE$16:$AF$3014,2,0),0)</f>
        <v>0</v>
      </c>
      <c r="I56" s="178">
        <f t="shared" si="3"/>
        <v>0</v>
      </c>
      <c r="J56" s="178">
        <f t="shared" si="4"/>
        <v>0</v>
      </c>
      <c r="K56" s="179" t="str">
        <f t="shared" si="5"/>
        <v/>
      </c>
      <c r="L56" s="718"/>
      <c r="M56" s="180" t="str">
        <f t="shared" si="6"/>
        <v/>
      </c>
      <c r="N56" s="531">
        <f t="shared" si="2"/>
        <v>0</v>
      </c>
      <c r="O56" s="531" t="str">
        <f>IF(C56&lt;&gt;"",C56&amp;'סיווג התפקידים והעלויות'!$C$2,"")</f>
        <v/>
      </c>
      <c r="P56" s="531" t="str">
        <f>IF(C56&lt;&gt;"",C56&amp;'סיווג התפקידים והעלויות'!$D$2,"")</f>
        <v/>
      </c>
    </row>
    <row r="57" spans="2:16" ht="15.75" x14ac:dyDescent="0.25">
      <c r="B57" s="57">
        <v>42</v>
      </c>
      <c r="C57" s="176" t="str">
        <f>IF(VLOOKUP(B57,'דוח ביצוע (3)'!$A$21:$B$520,2,0)="","",VLOOKUP(B57,'דוח ביצוע (3)'!$A$21:$B$520,2,0))</f>
        <v/>
      </c>
      <c r="D57" s="177" t="str">
        <f>IFERROR(VLOOKUP($C:$C,'מצבת והרשמה (2)'!$C$20:$N$520,2,0)," ")</f>
        <v/>
      </c>
      <c r="E57" s="177" t="str">
        <f>IFERROR(VLOOKUP(C57,'דוח ביצוע (3)'!B:V,5,0)," ")</f>
        <v xml:space="preserve"> </v>
      </c>
      <c r="F57" s="177" t="str">
        <f t="shared" si="1"/>
        <v/>
      </c>
      <c r="G57" s="179">
        <f>SUMIFS('עלויות כח אדם (6)'!M:M,'עלויות כח אדם (6)'!B:B,' איוש משרות (8)'!C57,'עלויות כח אדם (6)'!N:N,"רכ")</f>
        <v>0</v>
      </c>
      <c r="H57" s="179">
        <f>IFERROR(VLOOKUP(P57,'עלויות כח אדם (6)'!$AE$16:$AF$3014,2,0),0)</f>
        <v>0</v>
      </c>
      <c r="I57" s="178">
        <f t="shared" si="3"/>
        <v>0</v>
      </c>
      <c r="J57" s="178">
        <f t="shared" si="4"/>
        <v>0</v>
      </c>
      <c r="K57" s="179" t="str">
        <f t="shared" si="5"/>
        <v/>
      </c>
      <c r="L57" s="718"/>
      <c r="M57" s="180" t="str">
        <f t="shared" si="6"/>
        <v/>
      </c>
      <c r="N57" s="531">
        <f t="shared" si="2"/>
        <v>0</v>
      </c>
      <c r="O57" s="531" t="str">
        <f>IF(C57&lt;&gt;"",C57&amp;'סיווג התפקידים והעלויות'!$C$2,"")</f>
        <v/>
      </c>
      <c r="P57" s="531" t="str">
        <f>IF(C57&lt;&gt;"",C57&amp;'סיווג התפקידים והעלויות'!$D$2,"")</f>
        <v/>
      </c>
    </row>
    <row r="58" spans="2:16" ht="15.75" x14ac:dyDescent="0.25">
      <c r="B58" s="176">
        <v>43</v>
      </c>
      <c r="C58" s="176" t="str">
        <f>IF(VLOOKUP(B58,'דוח ביצוע (3)'!$A$21:$B$520,2,0)="","",VLOOKUP(B58,'דוח ביצוע (3)'!$A$21:$B$520,2,0))</f>
        <v/>
      </c>
      <c r="D58" s="177" t="str">
        <f>IFERROR(VLOOKUP($C:$C,'מצבת והרשמה (2)'!$C$20:$N$520,2,0)," ")</f>
        <v/>
      </c>
      <c r="E58" s="177" t="str">
        <f>IFERROR(VLOOKUP(C58,'דוח ביצוע (3)'!B:V,5,0)," ")</f>
        <v xml:space="preserve"> </v>
      </c>
      <c r="F58" s="177" t="str">
        <f t="shared" si="1"/>
        <v/>
      </c>
      <c r="G58" s="179">
        <f>SUMIFS('עלויות כח אדם (6)'!M:M,'עלויות כח אדם (6)'!B:B,' איוש משרות (8)'!C58,'עלויות כח אדם (6)'!N:N,"רכ")</f>
        <v>0</v>
      </c>
      <c r="H58" s="179">
        <f>IFERROR(VLOOKUP(P58,'עלויות כח אדם (6)'!$AE$16:$AF$3014,2,0),0)</f>
        <v>0</v>
      </c>
      <c r="I58" s="178">
        <f t="shared" si="3"/>
        <v>0</v>
      </c>
      <c r="J58" s="178">
        <f t="shared" si="4"/>
        <v>0</v>
      </c>
      <c r="K58" s="179" t="str">
        <f t="shared" si="5"/>
        <v/>
      </c>
      <c r="L58" s="718"/>
      <c r="M58" s="180" t="str">
        <f t="shared" si="6"/>
        <v/>
      </c>
      <c r="N58" s="531">
        <f t="shared" si="2"/>
        <v>0</v>
      </c>
      <c r="O58" s="531" t="str">
        <f>IF(C58&lt;&gt;"",C58&amp;'סיווג התפקידים והעלויות'!$C$2,"")</f>
        <v/>
      </c>
      <c r="P58" s="531" t="str">
        <f>IF(C58&lt;&gt;"",C58&amp;'סיווג התפקידים והעלויות'!$D$2,"")</f>
        <v/>
      </c>
    </row>
    <row r="59" spans="2:16" ht="15.75" x14ac:dyDescent="0.25">
      <c r="B59" s="57">
        <v>44</v>
      </c>
      <c r="C59" s="176" t="str">
        <f>IF(VLOOKUP(B59,'דוח ביצוע (3)'!$A$21:$B$520,2,0)="","",VLOOKUP(B59,'דוח ביצוע (3)'!$A$21:$B$520,2,0))</f>
        <v/>
      </c>
      <c r="D59" s="177" t="str">
        <f>IFERROR(VLOOKUP($C:$C,'מצבת והרשמה (2)'!$C$20:$N$520,2,0)," ")</f>
        <v/>
      </c>
      <c r="E59" s="177" t="str">
        <f>IFERROR(VLOOKUP(C59,'דוח ביצוע (3)'!B:V,5,0)," ")</f>
        <v xml:space="preserve"> </v>
      </c>
      <c r="F59" s="177" t="str">
        <f t="shared" si="1"/>
        <v/>
      </c>
      <c r="G59" s="179">
        <f>SUMIFS('עלויות כח אדם (6)'!M:M,'עלויות כח אדם (6)'!B:B,' איוש משרות (8)'!C59,'עלויות כח אדם (6)'!N:N,"רכ")</f>
        <v>0</v>
      </c>
      <c r="H59" s="179">
        <f>IFERROR(VLOOKUP(P59,'עלויות כח אדם (6)'!$AE$16:$AF$3014,2,0),0)</f>
        <v>0</v>
      </c>
      <c r="I59" s="178">
        <f t="shared" si="3"/>
        <v>0</v>
      </c>
      <c r="J59" s="178">
        <f t="shared" si="4"/>
        <v>0</v>
      </c>
      <c r="K59" s="179" t="str">
        <f t="shared" si="5"/>
        <v/>
      </c>
      <c r="L59" s="718"/>
      <c r="M59" s="180" t="str">
        <f t="shared" si="6"/>
        <v/>
      </c>
      <c r="N59" s="531">
        <f t="shared" si="2"/>
        <v>0</v>
      </c>
      <c r="O59" s="531" t="str">
        <f>IF(C59&lt;&gt;"",C59&amp;'סיווג התפקידים והעלויות'!$C$2,"")</f>
        <v/>
      </c>
      <c r="P59" s="531" t="str">
        <f>IF(C59&lt;&gt;"",C59&amp;'סיווג התפקידים והעלויות'!$D$2,"")</f>
        <v/>
      </c>
    </row>
    <row r="60" spans="2:16" ht="15.75" x14ac:dyDescent="0.25">
      <c r="B60" s="176">
        <v>45</v>
      </c>
      <c r="C60" s="176" t="str">
        <f>IF(VLOOKUP(B60,'דוח ביצוע (3)'!$A$21:$B$520,2,0)="","",VLOOKUP(B60,'דוח ביצוע (3)'!$A$21:$B$520,2,0))</f>
        <v/>
      </c>
      <c r="D60" s="177" t="str">
        <f>IFERROR(VLOOKUP($C:$C,'מצבת והרשמה (2)'!$C$20:$N$520,2,0)," ")</f>
        <v/>
      </c>
      <c r="E60" s="177" t="str">
        <f>IFERROR(VLOOKUP(C60,'דוח ביצוע (3)'!B:V,5,0)," ")</f>
        <v xml:space="preserve"> </v>
      </c>
      <c r="F60" s="177" t="str">
        <f t="shared" si="1"/>
        <v/>
      </c>
      <c r="G60" s="179">
        <f>SUMIFS('עלויות כח אדם (6)'!M:M,'עלויות כח אדם (6)'!B:B,' איוש משרות (8)'!C60,'עלויות כח אדם (6)'!N:N,"רכ")</f>
        <v>0</v>
      </c>
      <c r="H60" s="179">
        <f>IFERROR(VLOOKUP(P60,'עלויות כח אדם (6)'!$AE$16:$AF$3014,2,0),0)</f>
        <v>0</v>
      </c>
      <c r="I60" s="178">
        <f t="shared" si="3"/>
        <v>0</v>
      </c>
      <c r="J60" s="178">
        <f t="shared" si="4"/>
        <v>0</v>
      </c>
      <c r="K60" s="179" t="str">
        <f t="shared" si="5"/>
        <v/>
      </c>
      <c r="L60" s="718"/>
      <c r="M60" s="180" t="str">
        <f t="shared" si="6"/>
        <v/>
      </c>
      <c r="N60" s="531">
        <f t="shared" si="2"/>
        <v>0</v>
      </c>
      <c r="O60" s="531" t="str">
        <f>IF(C60&lt;&gt;"",C60&amp;'סיווג התפקידים והעלויות'!$C$2,"")</f>
        <v/>
      </c>
      <c r="P60" s="531" t="str">
        <f>IF(C60&lt;&gt;"",C60&amp;'סיווג התפקידים והעלויות'!$D$2,"")</f>
        <v/>
      </c>
    </row>
    <row r="61" spans="2:16" ht="15.75" x14ac:dyDescent="0.25">
      <c r="B61" s="57">
        <v>46</v>
      </c>
      <c r="C61" s="176" t="str">
        <f>IF(VLOOKUP(B61,'דוח ביצוע (3)'!$A$21:$B$520,2,0)="","",VLOOKUP(B61,'דוח ביצוע (3)'!$A$21:$B$520,2,0))</f>
        <v/>
      </c>
      <c r="D61" s="177" t="str">
        <f>IFERROR(VLOOKUP($C:$C,'מצבת והרשמה (2)'!$C$20:$N$520,2,0)," ")</f>
        <v/>
      </c>
      <c r="E61" s="177" t="str">
        <f>IFERROR(VLOOKUP(C61,'דוח ביצוע (3)'!B:V,5,0)," ")</f>
        <v xml:space="preserve"> </v>
      </c>
      <c r="F61" s="177" t="str">
        <f t="shared" si="1"/>
        <v/>
      </c>
      <c r="G61" s="179">
        <f>SUMIFS('עלויות כח אדם (6)'!M:M,'עלויות כח אדם (6)'!B:B,' איוש משרות (8)'!C61,'עלויות כח אדם (6)'!N:N,"רכ")</f>
        <v>0</v>
      </c>
      <c r="H61" s="179">
        <f>IFERROR(VLOOKUP(P61,'עלויות כח אדם (6)'!$AE$16:$AF$3014,2,0),0)</f>
        <v>0</v>
      </c>
      <c r="I61" s="178">
        <f t="shared" si="3"/>
        <v>0</v>
      </c>
      <c r="J61" s="178">
        <f t="shared" si="4"/>
        <v>0</v>
      </c>
      <c r="K61" s="179" t="str">
        <f t="shared" si="5"/>
        <v/>
      </c>
      <c r="L61" s="718"/>
      <c r="M61" s="180" t="str">
        <f t="shared" si="6"/>
        <v/>
      </c>
      <c r="N61" s="531">
        <f t="shared" si="2"/>
        <v>0</v>
      </c>
      <c r="O61" s="531" t="str">
        <f>IF(C61&lt;&gt;"",C61&amp;'סיווג התפקידים והעלויות'!$C$2,"")</f>
        <v/>
      </c>
      <c r="P61" s="531" t="str">
        <f>IF(C61&lt;&gt;"",C61&amp;'סיווג התפקידים והעלויות'!$D$2,"")</f>
        <v/>
      </c>
    </row>
    <row r="62" spans="2:16" ht="15.75" x14ac:dyDescent="0.25">
      <c r="B62" s="176">
        <v>47</v>
      </c>
      <c r="C62" s="176" t="str">
        <f>IF(VLOOKUP(B62,'דוח ביצוע (3)'!$A$21:$B$520,2,0)="","",VLOOKUP(B62,'דוח ביצוע (3)'!$A$21:$B$520,2,0))</f>
        <v/>
      </c>
      <c r="D62" s="177" t="str">
        <f>IFERROR(VLOOKUP($C:$C,'מצבת והרשמה (2)'!$C$20:$N$520,2,0)," ")</f>
        <v/>
      </c>
      <c r="E62" s="177" t="str">
        <f>IFERROR(VLOOKUP(C62,'דוח ביצוע (3)'!B:V,5,0)," ")</f>
        <v xml:space="preserve"> </v>
      </c>
      <c r="F62" s="177" t="str">
        <f t="shared" si="1"/>
        <v/>
      </c>
      <c r="G62" s="179">
        <f>SUMIFS('עלויות כח אדם (6)'!M:M,'עלויות כח אדם (6)'!B:B,' איוש משרות (8)'!C62,'עלויות כח אדם (6)'!N:N,"רכ")</f>
        <v>0</v>
      </c>
      <c r="H62" s="179">
        <f>IFERROR(VLOOKUP(P62,'עלויות כח אדם (6)'!$AE$16:$AF$3014,2,0),0)</f>
        <v>0</v>
      </c>
      <c r="I62" s="178">
        <f t="shared" si="3"/>
        <v>0</v>
      </c>
      <c r="J62" s="178">
        <f t="shared" si="4"/>
        <v>0</v>
      </c>
      <c r="K62" s="179" t="str">
        <f t="shared" si="5"/>
        <v/>
      </c>
      <c r="L62" s="718"/>
      <c r="M62" s="180" t="str">
        <f t="shared" si="6"/>
        <v/>
      </c>
      <c r="N62" s="531">
        <f t="shared" si="2"/>
        <v>0</v>
      </c>
      <c r="O62" s="531" t="str">
        <f>IF(C62&lt;&gt;"",C62&amp;'סיווג התפקידים והעלויות'!$C$2,"")</f>
        <v/>
      </c>
      <c r="P62" s="531" t="str">
        <f>IF(C62&lt;&gt;"",C62&amp;'סיווג התפקידים והעלויות'!$D$2,"")</f>
        <v/>
      </c>
    </row>
    <row r="63" spans="2:16" ht="15.75" x14ac:dyDescent="0.25">
      <c r="B63" s="57">
        <v>48</v>
      </c>
      <c r="C63" s="176" t="str">
        <f>IF(VLOOKUP(B63,'דוח ביצוע (3)'!$A$21:$B$520,2,0)="","",VLOOKUP(B63,'דוח ביצוע (3)'!$A$21:$B$520,2,0))</f>
        <v/>
      </c>
      <c r="D63" s="177" t="str">
        <f>IFERROR(VLOOKUP($C:$C,'מצבת והרשמה (2)'!$C$20:$N$520,2,0)," ")</f>
        <v/>
      </c>
      <c r="E63" s="177" t="str">
        <f>IFERROR(VLOOKUP(C63,'דוח ביצוע (3)'!B:V,5,0)," ")</f>
        <v xml:space="preserve"> </v>
      </c>
      <c r="F63" s="177" t="str">
        <f t="shared" si="1"/>
        <v/>
      </c>
      <c r="G63" s="179">
        <f>SUMIFS('עלויות כח אדם (6)'!M:M,'עלויות כח אדם (6)'!B:B,' איוש משרות (8)'!C63,'עלויות כח אדם (6)'!N:N,"רכ")</f>
        <v>0</v>
      </c>
      <c r="H63" s="179">
        <f>IFERROR(VLOOKUP(P63,'עלויות כח אדם (6)'!$AE$16:$AF$3014,2,0),0)</f>
        <v>0</v>
      </c>
      <c r="I63" s="178">
        <f t="shared" si="3"/>
        <v>0</v>
      </c>
      <c r="J63" s="178">
        <f t="shared" si="4"/>
        <v>0</v>
      </c>
      <c r="K63" s="179" t="str">
        <f t="shared" si="5"/>
        <v/>
      </c>
      <c r="L63" s="718"/>
      <c r="M63" s="180" t="str">
        <f t="shared" si="6"/>
        <v/>
      </c>
      <c r="N63" s="531">
        <f t="shared" si="2"/>
        <v>0</v>
      </c>
      <c r="O63" s="531" t="str">
        <f>IF(C63&lt;&gt;"",C63&amp;'סיווג התפקידים והעלויות'!$C$2,"")</f>
        <v/>
      </c>
      <c r="P63" s="531" t="str">
        <f>IF(C63&lt;&gt;"",C63&amp;'סיווג התפקידים והעלויות'!$D$2,"")</f>
        <v/>
      </c>
    </row>
    <row r="64" spans="2:16" ht="15.75" x14ac:dyDescent="0.25">
      <c r="B64" s="176">
        <v>49</v>
      </c>
      <c r="C64" s="176" t="str">
        <f>IF(VLOOKUP(B64,'דוח ביצוע (3)'!$A$21:$B$520,2,0)="","",VLOOKUP(B64,'דוח ביצוע (3)'!$A$21:$B$520,2,0))</f>
        <v/>
      </c>
      <c r="D64" s="177" t="str">
        <f>IFERROR(VLOOKUP($C:$C,'מצבת והרשמה (2)'!$C$20:$N$520,2,0)," ")</f>
        <v/>
      </c>
      <c r="E64" s="177" t="str">
        <f>IFERROR(VLOOKUP(C64,'דוח ביצוע (3)'!B:V,5,0)," ")</f>
        <v xml:space="preserve"> </v>
      </c>
      <c r="F64" s="177" t="str">
        <f t="shared" si="1"/>
        <v/>
      </c>
      <c r="G64" s="179">
        <f>SUMIFS('עלויות כח אדם (6)'!M:M,'עלויות כח אדם (6)'!B:B,' איוש משרות (8)'!C64,'עלויות כח אדם (6)'!N:N,"רכ")</f>
        <v>0</v>
      </c>
      <c r="H64" s="179">
        <f>IFERROR(VLOOKUP(P64,'עלויות כח אדם (6)'!$AE$16:$AF$3014,2,0),0)</f>
        <v>0</v>
      </c>
      <c r="I64" s="178">
        <f t="shared" si="3"/>
        <v>0</v>
      </c>
      <c r="J64" s="178">
        <f t="shared" si="4"/>
        <v>0</v>
      </c>
      <c r="K64" s="179" t="str">
        <f t="shared" si="5"/>
        <v/>
      </c>
      <c r="L64" s="718"/>
      <c r="M64" s="180" t="str">
        <f t="shared" si="6"/>
        <v/>
      </c>
      <c r="N64" s="531">
        <f t="shared" si="2"/>
        <v>0</v>
      </c>
      <c r="O64" s="531" t="str">
        <f>IF(C64&lt;&gt;"",C64&amp;'סיווג התפקידים והעלויות'!$C$2,"")</f>
        <v/>
      </c>
      <c r="P64" s="531" t="str">
        <f>IF(C64&lt;&gt;"",C64&amp;'סיווג התפקידים והעלויות'!$D$2,"")</f>
        <v/>
      </c>
    </row>
    <row r="65" spans="2:16" ht="15.75" x14ac:dyDescent="0.25">
      <c r="B65" s="57">
        <v>50</v>
      </c>
      <c r="C65" s="176" t="str">
        <f>IF(VLOOKUP(B65,'דוח ביצוע (3)'!$A$21:$B$520,2,0)="","",VLOOKUP(B65,'דוח ביצוע (3)'!$A$21:$B$520,2,0))</f>
        <v/>
      </c>
      <c r="D65" s="177" t="str">
        <f>IFERROR(VLOOKUP($C:$C,'מצבת והרשמה (2)'!$C$20:$N$520,2,0)," ")</f>
        <v/>
      </c>
      <c r="E65" s="177" t="str">
        <f>IFERROR(VLOOKUP(C65,'דוח ביצוע (3)'!B:V,5,0)," ")</f>
        <v xml:space="preserve"> </v>
      </c>
      <c r="F65" s="177" t="str">
        <f t="shared" si="1"/>
        <v/>
      </c>
      <c r="G65" s="179">
        <f>SUMIFS('עלויות כח אדם (6)'!M:M,'עלויות כח אדם (6)'!B:B,' איוש משרות (8)'!C65,'עלויות כח אדם (6)'!N:N,"רכ")</f>
        <v>0</v>
      </c>
      <c r="H65" s="179">
        <f>IFERROR(VLOOKUP(P65,'עלויות כח אדם (6)'!$AE$16:$AF$3014,2,0),0)</f>
        <v>0</v>
      </c>
      <c r="I65" s="178">
        <f t="shared" si="3"/>
        <v>0</v>
      </c>
      <c r="J65" s="178">
        <f t="shared" si="4"/>
        <v>0</v>
      </c>
      <c r="K65" s="179" t="str">
        <f t="shared" si="5"/>
        <v/>
      </c>
      <c r="L65" s="718"/>
      <c r="M65" s="180" t="str">
        <f t="shared" si="6"/>
        <v/>
      </c>
      <c r="N65" s="531">
        <f t="shared" si="2"/>
        <v>0</v>
      </c>
      <c r="O65" s="531" t="str">
        <f>IF(C65&lt;&gt;"",C65&amp;'סיווג התפקידים והעלויות'!$C$2,"")</f>
        <v/>
      </c>
      <c r="P65" s="531" t="str">
        <f>IF(C65&lt;&gt;"",C65&amp;'סיווג התפקידים והעלויות'!$D$2,"")</f>
        <v/>
      </c>
    </row>
    <row r="66" spans="2:16" ht="15.75" x14ac:dyDescent="0.25">
      <c r="B66" s="176">
        <v>51</v>
      </c>
      <c r="C66" s="176" t="str">
        <f>IF(VLOOKUP(B66,'דוח ביצוע (3)'!$A$21:$B$520,2,0)="","",VLOOKUP(B66,'דוח ביצוע (3)'!$A$21:$B$520,2,0))</f>
        <v/>
      </c>
      <c r="D66" s="177" t="str">
        <f>IFERROR(VLOOKUP($C:$C,'מצבת והרשמה (2)'!$C$20:$N$520,2,0)," ")</f>
        <v/>
      </c>
      <c r="E66" s="177" t="str">
        <f>IFERROR(VLOOKUP(C66,'דוח ביצוע (3)'!B:V,5,0)," ")</f>
        <v xml:space="preserve"> </v>
      </c>
      <c r="F66" s="177" t="str">
        <f t="shared" si="1"/>
        <v/>
      </c>
      <c r="G66" s="179">
        <f>SUMIFS('עלויות כח אדם (6)'!M:M,'עלויות כח אדם (6)'!B:B,' איוש משרות (8)'!C66,'עלויות כח אדם (6)'!N:N,"רכ")</f>
        <v>0</v>
      </c>
      <c r="H66" s="179">
        <f>IFERROR(VLOOKUP(P66,'עלויות כח אדם (6)'!$AE$16:$AF$3014,2,0),0)</f>
        <v>0</v>
      </c>
      <c r="I66" s="178">
        <f t="shared" si="3"/>
        <v>0</v>
      </c>
      <c r="J66" s="178">
        <f t="shared" si="4"/>
        <v>0</v>
      </c>
      <c r="K66" s="179" t="str">
        <f t="shared" si="5"/>
        <v/>
      </c>
      <c r="L66" s="718"/>
      <c r="M66" s="180" t="str">
        <f t="shared" si="6"/>
        <v/>
      </c>
      <c r="N66" s="531">
        <f t="shared" si="2"/>
        <v>0</v>
      </c>
      <c r="O66" s="531" t="str">
        <f>IF(C66&lt;&gt;"",C66&amp;'סיווג התפקידים והעלויות'!$C$2,"")</f>
        <v/>
      </c>
      <c r="P66" s="531" t="str">
        <f>IF(C66&lt;&gt;"",C66&amp;'סיווג התפקידים והעלויות'!$D$2,"")</f>
        <v/>
      </c>
    </row>
    <row r="67" spans="2:16" ht="15.75" x14ac:dyDescent="0.25">
      <c r="B67" s="57">
        <v>52</v>
      </c>
      <c r="C67" s="176" t="str">
        <f>IF(VLOOKUP(B67,'דוח ביצוע (3)'!$A$21:$B$520,2,0)="","",VLOOKUP(B67,'דוח ביצוע (3)'!$A$21:$B$520,2,0))</f>
        <v/>
      </c>
      <c r="D67" s="177" t="str">
        <f>IFERROR(VLOOKUP($C:$C,'מצבת והרשמה (2)'!$C$20:$N$520,2,0)," ")</f>
        <v/>
      </c>
      <c r="E67" s="177" t="str">
        <f>IFERROR(VLOOKUP(C67,'דוח ביצוע (3)'!B:V,5,0)," ")</f>
        <v xml:space="preserve"> </v>
      </c>
      <c r="F67" s="177" t="str">
        <f t="shared" si="1"/>
        <v/>
      </c>
      <c r="G67" s="179">
        <f>SUMIFS('עלויות כח אדם (6)'!M:M,'עלויות כח אדם (6)'!B:B,' איוש משרות (8)'!C67,'עלויות כח אדם (6)'!N:N,"רכ")</f>
        <v>0</v>
      </c>
      <c r="H67" s="179">
        <f>IFERROR(VLOOKUP(P67,'עלויות כח אדם (6)'!$AE$16:$AF$3014,2,0),0)</f>
        <v>0</v>
      </c>
      <c r="I67" s="178">
        <f t="shared" si="3"/>
        <v>0</v>
      </c>
      <c r="J67" s="178">
        <f t="shared" si="4"/>
        <v>0</v>
      </c>
      <c r="K67" s="179" t="str">
        <f t="shared" si="5"/>
        <v/>
      </c>
      <c r="L67" s="718"/>
      <c r="M67" s="180" t="str">
        <f t="shared" si="6"/>
        <v/>
      </c>
      <c r="N67" s="531">
        <f t="shared" si="2"/>
        <v>0</v>
      </c>
      <c r="O67" s="531" t="str">
        <f>IF(C67&lt;&gt;"",C67&amp;'סיווג התפקידים והעלויות'!$C$2,"")</f>
        <v/>
      </c>
      <c r="P67" s="531" t="str">
        <f>IF(C67&lt;&gt;"",C67&amp;'סיווג התפקידים והעלויות'!$D$2,"")</f>
        <v/>
      </c>
    </row>
    <row r="68" spans="2:16" ht="15.75" x14ac:dyDescent="0.25">
      <c r="B68" s="176">
        <v>53</v>
      </c>
      <c r="C68" s="176" t="str">
        <f>IF(VLOOKUP(B68,'דוח ביצוע (3)'!$A$21:$B$520,2,0)="","",VLOOKUP(B68,'דוח ביצוע (3)'!$A$21:$B$520,2,0))</f>
        <v/>
      </c>
      <c r="D68" s="177" t="str">
        <f>IFERROR(VLOOKUP($C:$C,'מצבת והרשמה (2)'!$C$20:$N$520,2,0)," ")</f>
        <v/>
      </c>
      <c r="E68" s="177" t="str">
        <f>IFERROR(VLOOKUP(C68,'דוח ביצוע (3)'!B:V,5,0)," ")</f>
        <v xml:space="preserve"> </v>
      </c>
      <c r="F68" s="177" t="str">
        <f t="shared" si="1"/>
        <v/>
      </c>
      <c r="G68" s="179">
        <f>SUMIFS('עלויות כח אדם (6)'!M:M,'עלויות כח אדם (6)'!B:B,' איוש משרות (8)'!C68,'עלויות כח אדם (6)'!N:N,"רכ")</f>
        <v>0</v>
      </c>
      <c r="H68" s="179">
        <f>IFERROR(VLOOKUP(P68,'עלויות כח אדם (6)'!$AE$16:$AF$3014,2,0),0)</f>
        <v>0</v>
      </c>
      <c r="I68" s="178">
        <f t="shared" si="3"/>
        <v>0</v>
      </c>
      <c r="J68" s="178">
        <f t="shared" si="4"/>
        <v>0</v>
      </c>
      <c r="K68" s="179" t="str">
        <f t="shared" si="5"/>
        <v/>
      </c>
      <c r="L68" s="718"/>
      <c r="M68" s="180" t="str">
        <f t="shared" si="6"/>
        <v/>
      </c>
      <c r="N68" s="531">
        <f t="shared" si="2"/>
        <v>0</v>
      </c>
      <c r="O68" s="531" t="str">
        <f>IF(C68&lt;&gt;"",C68&amp;'סיווג התפקידים והעלויות'!$C$2,"")</f>
        <v/>
      </c>
      <c r="P68" s="531" t="str">
        <f>IF(C68&lt;&gt;"",C68&amp;'סיווג התפקידים והעלויות'!$D$2,"")</f>
        <v/>
      </c>
    </row>
    <row r="69" spans="2:16" ht="15.75" x14ac:dyDescent="0.25">
      <c r="B69" s="57">
        <v>54</v>
      </c>
      <c r="C69" s="176" t="str">
        <f>IF(VLOOKUP(B69,'דוח ביצוע (3)'!$A$21:$B$520,2,0)="","",VLOOKUP(B69,'דוח ביצוע (3)'!$A$21:$B$520,2,0))</f>
        <v/>
      </c>
      <c r="D69" s="177" t="str">
        <f>IFERROR(VLOOKUP($C:$C,'מצבת והרשמה (2)'!$C$20:$N$520,2,0)," ")</f>
        <v/>
      </c>
      <c r="E69" s="177" t="str">
        <f>IFERROR(VLOOKUP(C69,'דוח ביצוע (3)'!B:V,5,0)," ")</f>
        <v xml:space="preserve"> </v>
      </c>
      <c r="F69" s="177" t="str">
        <f t="shared" si="1"/>
        <v/>
      </c>
      <c r="G69" s="179">
        <f>SUMIFS('עלויות כח אדם (6)'!M:M,'עלויות כח אדם (6)'!B:B,' איוש משרות (8)'!C69,'עלויות כח אדם (6)'!N:N,"רכ")</f>
        <v>0</v>
      </c>
      <c r="H69" s="179">
        <f>IFERROR(VLOOKUP(P69,'עלויות כח אדם (6)'!$AE$16:$AF$3014,2,0),0)</f>
        <v>0</v>
      </c>
      <c r="I69" s="178">
        <f t="shared" si="3"/>
        <v>0</v>
      </c>
      <c r="J69" s="178">
        <f t="shared" si="4"/>
        <v>0</v>
      </c>
      <c r="K69" s="179" t="str">
        <f t="shared" si="5"/>
        <v/>
      </c>
      <c r="L69" s="718"/>
      <c r="M69" s="180" t="str">
        <f t="shared" si="6"/>
        <v/>
      </c>
      <c r="N69" s="531">
        <f t="shared" si="2"/>
        <v>0</v>
      </c>
      <c r="O69" s="531" t="str">
        <f>IF(C69&lt;&gt;"",C69&amp;'סיווג התפקידים והעלויות'!$C$2,"")</f>
        <v/>
      </c>
      <c r="P69" s="531" t="str">
        <f>IF(C69&lt;&gt;"",C69&amp;'סיווג התפקידים והעלויות'!$D$2,"")</f>
        <v/>
      </c>
    </row>
    <row r="70" spans="2:16" ht="15.75" x14ac:dyDescent="0.25">
      <c r="B70" s="176">
        <v>55</v>
      </c>
      <c r="C70" s="176" t="str">
        <f>IF(VLOOKUP(B70,'דוח ביצוע (3)'!$A$21:$B$520,2,0)="","",VLOOKUP(B70,'דוח ביצוע (3)'!$A$21:$B$520,2,0))</f>
        <v/>
      </c>
      <c r="D70" s="177" t="str">
        <f>IFERROR(VLOOKUP($C:$C,'מצבת והרשמה (2)'!$C$20:$N$520,2,0)," ")</f>
        <v/>
      </c>
      <c r="E70" s="177" t="str">
        <f>IFERROR(VLOOKUP(C70,'דוח ביצוע (3)'!B:V,5,0)," ")</f>
        <v xml:space="preserve"> </v>
      </c>
      <c r="F70" s="177" t="str">
        <f t="shared" si="1"/>
        <v/>
      </c>
      <c r="G70" s="179">
        <f>SUMIFS('עלויות כח אדם (6)'!M:M,'עלויות כח אדם (6)'!B:B,' איוש משרות (8)'!C70,'עלויות כח אדם (6)'!N:N,"רכ")</f>
        <v>0</v>
      </c>
      <c r="H70" s="179">
        <f>IFERROR(VLOOKUP(P70,'עלויות כח אדם (6)'!$AE$16:$AF$3014,2,0),0)</f>
        <v>0</v>
      </c>
      <c r="I70" s="178">
        <f t="shared" si="3"/>
        <v>0</v>
      </c>
      <c r="J70" s="178">
        <f t="shared" si="4"/>
        <v>0</v>
      </c>
      <c r="K70" s="179" t="str">
        <f t="shared" si="5"/>
        <v/>
      </c>
      <c r="L70" s="718"/>
      <c r="M70" s="180" t="str">
        <f t="shared" si="6"/>
        <v/>
      </c>
      <c r="N70" s="531">
        <f t="shared" si="2"/>
        <v>0</v>
      </c>
      <c r="O70" s="531" t="str">
        <f>IF(C70&lt;&gt;"",C70&amp;'סיווג התפקידים והעלויות'!$C$2,"")</f>
        <v/>
      </c>
      <c r="P70" s="531" t="str">
        <f>IF(C70&lt;&gt;"",C70&amp;'סיווג התפקידים והעלויות'!$D$2,"")</f>
        <v/>
      </c>
    </row>
    <row r="71" spans="2:16" ht="15.75" x14ac:dyDescent="0.25">
      <c r="B71" s="57">
        <v>56</v>
      </c>
      <c r="C71" s="176" t="str">
        <f>IF(VLOOKUP(B71,'דוח ביצוע (3)'!$A$21:$B$520,2,0)="","",VLOOKUP(B71,'דוח ביצוע (3)'!$A$21:$B$520,2,0))</f>
        <v/>
      </c>
      <c r="D71" s="177" t="str">
        <f>IFERROR(VLOOKUP($C:$C,'מצבת והרשמה (2)'!$C$20:$N$520,2,0)," ")</f>
        <v/>
      </c>
      <c r="E71" s="177" t="str">
        <f>IFERROR(VLOOKUP(C71,'דוח ביצוע (3)'!B:V,5,0)," ")</f>
        <v xml:space="preserve"> </v>
      </c>
      <c r="F71" s="177" t="str">
        <f t="shared" si="1"/>
        <v/>
      </c>
      <c r="G71" s="179">
        <f>SUMIFS('עלויות כח אדם (6)'!M:M,'עלויות כח אדם (6)'!B:B,' איוש משרות (8)'!C71,'עלויות כח אדם (6)'!N:N,"רכ")</f>
        <v>0</v>
      </c>
      <c r="H71" s="179">
        <f>IFERROR(VLOOKUP(P71,'עלויות כח אדם (6)'!$AE$16:$AF$3014,2,0),0)</f>
        <v>0</v>
      </c>
      <c r="I71" s="178">
        <f t="shared" si="3"/>
        <v>0</v>
      </c>
      <c r="J71" s="178">
        <f t="shared" si="4"/>
        <v>0</v>
      </c>
      <c r="K71" s="179" t="str">
        <f t="shared" si="5"/>
        <v/>
      </c>
      <c r="L71" s="718"/>
      <c r="M71" s="180" t="str">
        <f t="shared" si="6"/>
        <v/>
      </c>
      <c r="N71" s="531">
        <f t="shared" si="2"/>
        <v>0</v>
      </c>
      <c r="O71" s="531" t="str">
        <f>IF(C71&lt;&gt;"",C71&amp;'סיווג התפקידים והעלויות'!$C$2,"")</f>
        <v/>
      </c>
      <c r="P71" s="531" t="str">
        <f>IF(C71&lt;&gt;"",C71&amp;'סיווג התפקידים והעלויות'!$D$2,"")</f>
        <v/>
      </c>
    </row>
    <row r="72" spans="2:16" ht="15.75" x14ac:dyDescent="0.25">
      <c r="B72" s="176">
        <v>57</v>
      </c>
      <c r="C72" s="176" t="str">
        <f>IF(VLOOKUP(B72,'דוח ביצוע (3)'!$A$21:$B$520,2,0)="","",VLOOKUP(B72,'דוח ביצוע (3)'!$A$21:$B$520,2,0))</f>
        <v/>
      </c>
      <c r="D72" s="177" t="str">
        <f>IFERROR(VLOOKUP($C:$C,'מצבת והרשמה (2)'!$C$20:$N$520,2,0)," ")</f>
        <v/>
      </c>
      <c r="E72" s="177" t="str">
        <f>IFERROR(VLOOKUP(C72,'דוח ביצוע (3)'!B:V,5,0)," ")</f>
        <v xml:space="preserve"> </v>
      </c>
      <c r="F72" s="177" t="str">
        <f t="shared" si="1"/>
        <v/>
      </c>
      <c r="G72" s="179">
        <f>SUMIFS('עלויות כח אדם (6)'!M:M,'עלויות כח אדם (6)'!B:B,' איוש משרות (8)'!C72,'עלויות כח אדם (6)'!N:N,"רכ")</f>
        <v>0</v>
      </c>
      <c r="H72" s="179">
        <f>IFERROR(VLOOKUP(P72,'עלויות כח אדם (6)'!$AE$16:$AF$3014,2,0),0)</f>
        <v>0</v>
      </c>
      <c r="I72" s="178">
        <f t="shared" si="3"/>
        <v>0</v>
      </c>
      <c r="J72" s="178">
        <f t="shared" si="4"/>
        <v>0</v>
      </c>
      <c r="K72" s="179" t="str">
        <f t="shared" si="5"/>
        <v/>
      </c>
      <c r="L72" s="718"/>
      <c r="M72" s="180" t="str">
        <f t="shared" si="6"/>
        <v/>
      </c>
      <c r="N72" s="531">
        <f t="shared" si="2"/>
        <v>0</v>
      </c>
      <c r="O72" s="531" t="str">
        <f>IF(C72&lt;&gt;"",C72&amp;'סיווג התפקידים והעלויות'!$C$2,"")</f>
        <v/>
      </c>
      <c r="P72" s="531" t="str">
        <f>IF(C72&lt;&gt;"",C72&amp;'סיווג התפקידים והעלויות'!$D$2,"")</f>
        <v/>
      </c>
    </row>
    <row r="73" spans="2:16" ht="15.75" x14ac:dyDescent="0.25">
      <c r="B73" s="57">
        <v>58</v>
      </c>
      <c r="C73" s="176" t="str">
        <f>IF(VLOOKUP(B73,'דוח ביצוע (3)'!$A$21:$B$520,2,0)="","",VLOOKUP(B73,'דוח ביצוע (3)'!$A$21:$B$520,2,0))</f>
        <v/>
      </c>
      <c r="D73" s="177" t="str">
        <f>IFERROR(VLOOKUP($C:$C,'מצבת והרשמה (2)'!$C$20:$N$520,2,0)," ")</f>
        <v/>
      </c>
      <c r="E73" s="177" t="str">
        <f>IFERROR(VLOOKUP(C73,'דוח ביצוע (3)'!B:V,5,0)," ")</f>
        <v xml:space="preserve"> </v>
      </c>
      <c r="F73" s="177" t="str">
        <f t="shared" si="1"/>
        <v/>
      </c>
      <c r="G73" s="179">
        <f>SUMIFS('עלויות כח אדם (6)'!M:M,'עלויות כח אדם (6)'!B:B,' איוש משרות (8)'!C73,'עלויות כח אדם (6)'!N:N,"רכ")</f>
        <v>0</v>
      </c>
      <c r="H73" s="179">
        <f>IFERROR(VLOOKUP(P73,'עלויות כח אדם (6)'!$AE$16:$AF$3014,2,0),0)</f>
        <v>0</v>
      </c>
      <c r="I73" s="178">
        <f t="shared" si="3"/>
        <v>0</v>
      </c>
      <c r="J73" s="178">
        <f t="shared" si="4"/>
        <v>0</v>
      </c>
      <c r="K73" s="179" t="str">
        <f t="shared" si="5"/>
        <v/>
      </c>
      <c r="L73" s="718"/>
      <c r="M73" s="180" t="str">
        <f t="shared" si="6"/>
        <v/>
      </c>
      <c r="N73" s="531">
        <f t="shared" si="2"/>
        <v>0</v>
      </c>
      <c r="O73" s="531" t="str">
        <f>IF(C73&lt;&gt;"",C73&amp;'סיווג התפקידים והעלויות'!$C$2,"")</f>
        <v/>
      </c>
      <c r="P73" s="531" t="str">
        <f>IF(C73&lt;&gt;"",C73&amp;'סיווג התפקידים והעלויות'!$D$2,"")</f>
        <v/>
      </c>
    </row>
    <row r="74" spans="2:16" ht="15.75" x14ac:dyDescent="0.25">
      <c r="B74" s="176">
        <v>59</v>
      </c>
      <c r="C74" s="176" t="str">
        <f>IF(VLOOKUP(B74,'דוח ביצוע (3)'!$A$21:$B$520,2,0)="","",VLOOKUP(B74,'דוח ביצוע (3)'!$A$21:$B$520,2,0))</f>
        <v/>
      </c>
      <c r="D74" s="177" t="str">
        <f>IFERROR(VLOOKUP($C:$C,'מצבת והרשמה (2)'!$C$20:$N$520,2,0)," ")</f>
        <v/>
      </c>
      <c r="E74" s="177" t="str">
        <f>IFERROR(VLOOKUP(C74,'דוח ביצוע (3)'!B:V,5,0)," ")</f>
        <v xml:space="preserve"> </v>
      </c>
      <c r="F74" s="177" t="str">
        <f t="shared" si="1"/>
        <v/>
      </c>
      <c r="G74" s="179">
        <f>SUMIFS('עלויות כח אדם (6)'!M:M,'עלויות כח אדם (6)'!B:B,' איוש משרות (8)'!C74,'עלויות כח אדם (6)'!N:N,"רכ")</f>
        <v>0</v>
      </c>
      <c r="H74" s="179">
        <f>IFERROR(VLOOKUP(P74,'עלויות כח אדם (6)'!$AE$16:$AF$3014,2,0),0)</f>
        <v>0</v>
      </c>
      <c r="I74" s="178">
        <f t="shared" si="3"/>
        <v>0</v>
      </c>
      <c r="J74" s="178">
        <f t="shared" si="4"/>
        <v>0</v>
      </c>
      <c r="K74" s="179" t="str">
        <f t="shared" si="5"/>
        <v/>
      </c>
      <c r="L74" s="718"/>
      <c r="M74" s="180" t="str">
        <f t="shared" si="6"/>
        <v/>
      </c>
      <c r="N74" s="531">
        <f t="shared" si="2"/>
        <v>0</v>
      </c>
      <c r="O74" s="531" t="str">
        <f>IF(C74&lt;&gt;"",C74&amp;'סיווג התפקידים והעלויות'!$C$2,"")</f>
        <v/>
      </c>
      <c r="P74" s="531" t="str">
        <f>IF(C74&lt;&gt;"",C74&amp;'סיווג התפקידים והעלויות'!$D$2,"")</f>
        <v/>
      </c>
    </row>
    <row r="75" spans="2:16" ht="15.75" x14ac:dyDescent="0.25">
      <c r="B75" s="57">
        <v>60</v>
      </c>
      <c r="C75" s="176" t="str">
        <f>IF(VLOOKUP(B75,'דוח ביצוע (3)'!$A$21:$B$520,2,0)="","",VLOOKUP(B75,'דוח ביצוע (3)'!$A$21:$B$520,2,0))</f>
        <v/>
      </c>
      <c r="D75" s="177" t="str">
        <f>IFERROR(VLOOKUP($C:$C,'מצבת והרשמה (2)'!$C$20:$N$520,2,0)," ")</f>
        <v/>
      </c>
      <c r="E75" s="177" t="str">
        <f>IFERROR(VLOOKUP(C75,'דוח ביצוע (3)'!B:V,5,0)," ")</f>
        <v xml:space="preserve"> </v>
      </c>
      <c r="F75" s="177" t="str">
        <f t="shared" si="1"/>
        <v/>
      </c>
      <c r="G75" s="179">
        <f>SUMIFS('עלויות כח אדם (6)'!M:M,'עלויות כח אדם (6)'!B:B,' איוש משרות (8)'!C75,'עלויות כח אדם (6)'!N:N,"רכ")</f>
        <v>0</v>
      </c>
      <c r="H75" s="179">
        <f>IFERROR(VLOOKUP(P75,'עלויות כח אדם (6)'!$AE$16:$AF$3014,2,0),0)</f>
        <v>0</v>
      </c>
      <c r="I75" s="178">
        <f t="shared" si="3"/>
        <v>0</v>
      </c>
      <c r="J75" s="178">
        <f t="shared" si="4"/>
        <v>0</v>
      </c>
      <c r="K75" s="179" t="str">
        <f t="shared" si="5"/>
        <v/>
      </c>
      <c r="L75" s="718"/>
      <c r="M75" s="180" t="str">
        <f t="shared" si="6"/>
        <v/>
      </c>
      <c r="N75" s="531">
        <f t="shared" si="2"/>
        <v>0</v>
      </c>
      <c r="O75" s="531" t="str">
        <f>IF(C75&lt;&gt;"",C75&amp;'סיווג התפקידים והעלויות'!$C$2,"")</f>
        <v/>
      </c>
      <c r="P75" s="531" t="str">
        <f>IF(C75&lt;&gt;"",C75&amp;'סיווג התפקידים והעלויות'!$D$2,"")</f>
        <v/>
      </c>
    </row>
    <row r="76" spans="2:16" ht="15.75" x14ac:dyDescent="0.25">
      <c r="B76" s="176">
        <v>61</v>
      </c>
      <c r="C76" s="176" t="str">
        <f>IF(VLOOKUP(B76,'דוח ביצוע (3)'!$A$21:$B$520,2,0)="","",VLOOKUP(B76,'דוח ביצוע (3)'!$A$21:$B$520,2,0))</f>
        <v/>
      </c>
      <c r="D76" s="177" t="str">
        <f>IFERROR(VLOOKUP($C:$C,'מצבת והרשמה (2)'!$C$20:$N$520,2,0)," ")</f>
        <v/>
      </c>
      <c r="E76" s="177" t="str">
        <f>IFERROR(VLOOKUP(C76,'דוח ביצוע (3)'!B:V,5,0)," ")</f>
        <v xml:space="preserve"> </v>
      </c>
      <c r="F76" s="177" t="str">
        <f t="shared" si="1"/>
        <v/>
      </c>
      <c r="G76" s="179">
        <f>SUMIFS('עלויות כח אדם (6)'!M:M,'עלויות כח אדם (6)'!B:B,' איוש משרות (8)'!C76,'עלויות כח אדם (6)'!N:N,"רכ")</f>
        <v>0</v>
      </c>
      <c r="H76" s="179">
        <f>IFERROR(VLOOKUP(P76,'עלויות כח אדם (6)'!$AE$16:$AF$3014,2,0),0)</f>
        <v>0</v>
      </c>
      <c r="I76" s="178">
        <f t="shared" si="3"/>
        <v>0</v>
      </c>
      <c r="J76" s="178">
        <f t="shared" si="4"/>
        <v>0</v>
      </c>
      <c r="K76" s="179" t="str">
        <f t="shared" si="5"/>
        <v/>
      </c>
      <c r="L76" s="718"/>
      <c r="M76" s="180" t="str">
        <f t="shared" si="6"/>
        <v/>
      </c>
      <c r="N76" s="531">
        <f t="shared" si="2"/>
        <v>0</v>
      </c>
      <c r="O76" s="531" t="str">
        <f>IF(C76&lt;&gt;"",C76&amp;'סיווג התפקידים והעלויות'!$C$2,"")</f>
        <v/>
      </c>
      <c r="P76" s="531" t="str">
        <f>IF(C76&lt;&gt;"",C76&amp;'סיווג התפקידים והעלויות'!$D$2,"")</f>
        <v/>
      </c>
    </row>
    <row r="77" spans="2:16" ht="15.75" x14ac:dyDescent="0.25">
      <c r="B77" s="57">
        <v>62</v>
      </c>
      <c r="C77" s="176" t="str">
        <f>IF(VLOOKUP(B77,'דוח ביצוע (3)'!$A$21:$B$520,2,0)="","",VLOOKUP(B77,'דוח ביצוע (3)'!$A$21:$B$520,2,0))</f>
        <v/>
      </c>
      <c r="D77" s="177" t="str">
        <f>IFERROR(VLOOKUP($C:$C,'מצבת והרשמה (2)'!$C$20:$N$520,2,0)," ")</f>
        <v/>
      </c>
      <c r="E77" s="177" t="str">
        <f>IFERROR(VLOOKUP(C77,'דוח ביצוע (3)'!B:V,5,0)," ")</f>
        <v xml:space="preserve"> </v>
      </c>
      <c r="F77" s="177" t="str">
        <f t="shared" si="1"/>
        <v/>
      </c>
      <c r="G77" s="179">
        <f>SUMIFS('עלויות כח אדם (6)'!M:M,'עלויות כח אדם (6)'!B:B,' איוש משרות (8)'!C77,'עלויות כח אדם (6)'!N:N,"רכ")</f>
        <v>0</v>
      </c>
      <c r="H77" s="179">
        <f>IFERROR(VLOOKUP(P77,'עלויות כח אדם (6)'!$AE$16:$AF$3014,2,0),0)</f>
        <v>0</v>
      </c>
      <c r="I77" s="178">
        <f t="shared" si="3"/>
        <v>0</v>
      </c>
      <c r="J77" s="178">
        <f t="shared" si="4"/>
        <v>0</v>
      </c>
      <c r="K77" s="179" t="str">
        <f t="shared" si="5"/>
        <v/>
      </c>
      <c r="L77" s="718"/>
      <c r="M77" s="180" t="str">
        <f t="shared" si="6"/>
        <v/>
      </c>
      <c r="N77" s="531">
        <f t="shared" si="2"/>
        <v>0</v>
      </c>
      <c r="O77" s="531" t="str">
        <f>IF(C77&lt;&gt;"",C77&amp;'סיווג התפקידים והעלויות'!$C$2,"")</f>
        <v/>
      </c>
      <c r="P77" s="531" t="str">
        <f>IF(C77&lt;&gt;"",C77&amp;'סיווג התפקידים והעלויות'!$D$2,"")</f>
        <v/>
      </c>
    </row>
    <row r="78" spans="2:16" ht="15.75" x14ac:dyDescent="0.25">
      <c r="B78" s="176">
        <v>63</v>
      </c>
      <c r="C78" s="176" t="str">
        <f>IF(VLOOKUP(B78,'דוח ביצוע (3)'!$A$21:$B$520,2,0)="","",VLOOKUP(B78,'דוח ביצוע (3)'!$A$21:$B$520,2,0))</f>
        <v/>
      </c>
      <c r="D78" s="177" t="str">
        <f>IFERROR(VLOOKUP($C:$C,'מצבת והרשמה (2)'!$C$20:$N$520,2,0)," ")</f>
        <v/>
      </c>
      <c r="E78" s="177" t="str">
        <f>IFERROR(VLOOKUP(C78,'דוח ביצוע (3)'!B:V,5,0)," ")</f>
        <v xml:space="preserve"> </v>
      </c>
      <c r="F78" s="177" t="str">
        <f t="shared" si="1"/>
        <v/>
      </c>
      <c r="G78" s="179">
        <f>SUMIFS('עלויות כח אדם (6)'!M:M,'עלויות כח אדם (6)'!B:B,' איוש משרות (8)'!C78,'עלויות כח אדם (6)'!N:N,"רכ")</f>
        <v>0</v>
      </c>
      <c r="H78" s="179">
        <f>IFERROR(VLOOKUP(P78,'עלויות כח אדם (6)'!$AE$16:$AF$3014,2,0),0)</f>
        <v>0</v>
      </c>
      <c r="I78" s="178">
        <f t="shared" si="3"/>
        <v>0</v>
      </c>
      <c r="J78" s="178">
        <f t="shared" si="4"/>
        <v>0</v>
      </c>
      <c r="K78" s="179" t="str">
        <f t="shared" si="5"/>
        <v/>
      </c>
      <c r="L78" s="718"/>
      <c r="M78" s="180" t="str">
        <f t="shared" si="6"/>
        <v/>
      </c>
      <c r="N78" s="531">
        <f t="shared" si="2"/>
        <v>0</v>
      </c>
      <c r="O78" s="531" t="str">
        <f>IF(C78&lt;&gt;"",C78&amp;'סיווג התפקידים והעלויות'!$C$2,"")</f>
        <v/>
      </c>
      <c r="P78" s="531" t="str">
        <f>IF(C78&lt;&gt;"",C78&amp;'סיווג התפקידים והעלויות'!$D$2,"")</f>
        <v/>
      </c>
    </row>
    <row r="79" spans="2:16" ht="15.75" x14ac:dyDescent="0.25">
      <c r="B79" s="57">
        <v>64</v>
      </c>
      <c r="C79" s="176" t="str">
        <f>IF(VLOOKUP(B79,'דוח ביצוע (3)'!$A$21:$B$520,2,0)="","",VLOOKUP(B79,'דוח ביצוע (3)'!$A$21:$B$520,2,0))</f>
        <v/>
      </c>
      <c r="D79" s="177" t="str">
        <f>IFERROR(VLOOKUP($C:$C,'מצבת והרשמה (2)'!$C$20:$N$520,2,0)," ")</f>
        <v/>
      </c>
      <c r="E79" s="177" t="str">
        <f>IFERROR(VLOOKUP(C79,'דוח ביצוע (3)'!B:V,5,0)," ")</f>
        <v xml:space="preserve"> </v>
      </c>
      <c r="F79" s="177" t="str">
        <f t="shared" si="1"/>
        <v/>
      </c>
      <c r="G79" s="179">
        <f>SUMIFS('עלויות כח אדם (6)'!M:M,'עלויות כח אדם (6)'!B:B,' איוש משרות (8)'!C79,'עלויות כח אדם (6)'!N:N,"רכ")</f>
        <v>0</v>
      </c>
      <c r="H79" s="179">
        <f>IFERROR(VLOOKUP(P79,'עלויות כח אדם (6)'!$AE$16:$AF$3014,2,0),0)</f>
        <v>0</v>
      </c>
      <c r="I79" s="178">
        <f t="shared" si="3"/>
        <v>0</v>
      </c>
      <c r="J79" s="178">
        <f t="shared" si="4"/>
        <v>0</v>
      </c>
      <c r="K79" s="179" t="str">
        <f t="shared" si="5"/>
        <v/>
      </c>
      <c r="L79" s="718"/>
      <c r="M79" s="180" t="str">
        <f t="shared" si="6"/>
        <v/>
      </c>
      <c r="N79" s="531">
        <f t="shared" si="2"/>
        <v>0</v>
      </c>
      <c r="O79" s="531" t="str">
        <f>IF(C79&lt;&gt;"",C79&amp;'סיווג התפקידים והעלויות'!$C$2,"")</f>
        <v/>
      </c>
      <c r="P79" s="531" t="str">
        <f>IF(C79&lt;&gt;"",C79&amp;'סיווג התפקידים והעלויות'!$D$2,"")</f>
        <v/>
      </c>
    </row>
    <row r="80" spans="2:16" ht="15.75" x14ac:dyDescent="0.25">
      <c r="B80" s="176">
        <v>65</v>
      </c>
      <c r="C80" s="176" t="str">
        <f>IF(VLOOKUP(B80,'דוח ביצוע (3)'!$A$21:$B$520,2,0)="","",VLOOKUP(B80,'דוח ביצוע (3)'!$A$21:$B$520,2,0))</f>
        <v/>
      </c>
      <c r="D80" s="177" t="str">
        <f>IFERROR(VLOOKUP($C:$C,'מצבת והרשמה (2)'!$C$20:$N$520,2,0)," ")</f>
        <v/>
      </c>
      <c r="E80" s="177" t="str">
        <f>IFERROR(VLOOKUP(C80,'דוח ביצוע (3)'!B:V,5,0)," ")</f>
        <v xml:space="preserve"> </v>
      </c>
      <c r="F80" s="177" t="str">
        <f t="shared" si="1"/>
        <v/>
      </c>
      <c r="G80" s="179">
        <f>SUMIFS('עלויות כח אדם (6)'!M:M,'עלויות כח אדם (6)'!B:B,' איוש משרות (8)'!C80,'עלויות כח אדם (6)'!N:N,"רכ")</f>
        <v>0</v>
      </c>
      <c r="H80" s="179">
        <f>IFERROR(VLOOKUP(P80,'עלויות כח אדם (6)'!$AE$16:$AF$3014,2,0),0)</f>
        <v>0</v>
      </c>
      <c r="I80" s="178">
        <f t="shared" si="3"/>
        <v>0</v>
      </c>
      <c r="J80" s="178">
        <f t="shared" si="4"/>
        <v>0</v>
      </c>
      <c r="K80" s="179" t="str">
        <f t="shared" si="5"/>
        <v/>
      </c>
      <c r="L80" s="718"/>
      <c r="M80" s="180" t="str">
        <f t="shared" si="6"/>
        <v/>
      </c>
      <c r="N80" s="531">
        <f t="shared" si="2"/>
        <v>0</v>
      </c>
      <c r="O80" s="531" t="str">
        <f>IF(C80&lt;&gt;"",C80&amp;'סיווג התפקידים והעלויות'!$C$2,"")</f>
        <v/>
      </c>
      <c r="P80" s="531" t="str">
        <f>IF(C80&lt;&gt;"",C80&amp;'סיווג התפקידים והעלויות'!$D$2,"")</f>
        <v/>
      </c>
    </row>
    <row r="81" spans="2:16" ht="15.75" x14ac:dyDescent="0.25">
      <c r="B81" s="57">
        <v>66</v>
      </c>
      <c r="C81" s="176" t="str">
        <f>IF(VLOOKUP(B81,'דוח ביצוע (3)'!$A$21:$B$520,2,0)="","",VLOOKUP(B81,'דוח ביצוע (3)'!$A$21:$B$520,2,0))</f>
        <v/>
      </c>
      <c r="D81" s="177" t="str">
        <f>IFERROR(VLOOKUP($C:$C,'מצבת והרשמה (2)'!$C$20:$N$520,2,0)," ")</f>
        <v/>
      </c>
      <c r="E81" s="177" t="str">
        <f>IFERROR(VLOOKUP(C81,'דוח ביצוע (3)'!B:V,5,0)," ")</f>
        <v xml:space="preserve"> </v>
      </c>
      <c r="F81" s="177" t="str">
        <f t="shared" ref="F81:F144" si="7">IF(C81&lt;&gt;"",IF(ISNUMBER(E81),IF(E81&gt;149,"זכאי","לא זכאי"),""),"")</f>
        <v/>
      </c>
      <c r="G81" s="179">
        <f>SUMIFS('עלויות כח אדם (6)'!M:M,'עלויות כח אדם (6)'!B:B,' איוש משרות (8)'!C81,'עלויות כח אדם (6)'!N:N,"רכ")</f>
        <v>0</v>
      </c>
      <c r="H81" s="179">
        <f>IFERROR(VLOOKUP(P81,'עלויות כח אדם (6)'!$AE$16:$AF$3014,2,0),0)</f>
        <v>0</v>
      </c>
      <c r="I81" s="178">
        <f t="shared" si="3"/>
        <v>0</v>
      </c>
      <c r="J81" s="178">
        <f t="shared" si="4"/>
        <v>0</v>
      </c>
      <c r="K81" s="179" t="str">
        <f t="shared" ref="K81:K144" si="8">IF(ISNUMBER(C81),IF(I81=0,CONCATENATE("המוסד לא העסיק רכז ",IF(AND(F81="זכאי",J81=0),"וסגן רכז ",""),"ועל כן אין זכאות לקבלת תקציב"),"תקין"),"")</f>
        <v/>
      </c>
      <c r="L81" s="718"/>
      <c r="M81" s="180" t="str">
        <f t="shared" si="6"/>
        <v/>
      </c>
      <c r="N81" s="531">
        <f t="shared" ref="N81:N144" si="9">IF(LEFT(K81,14)="המוסד לא העסיק",1,0)</f>
        <v>0</v>
      </c>
      <c r="O81" s="531" t="str">
        <f>IF(C81&lt;&gt;"",C81&amp;'סיווג התפקידים והעלויות'!$C$2,"")</f>
        <v/>
      </c>
      <c r="P81" s="531" t="str">
        <f>IF(C81&lt;&gt;"",C81&amp;'סיווג התפקידים והעלויות'!$D$2,"")</f>
        <v/>
      </c>
    </row>
    <row r="82" spans="2:16" ht="15.75" x14ac:dyDescent="0.25">
      <c r="B82" s="176">
        <v>67</v>
      </c>
      <c r="C82" s="176" t="str">
        <f>IF(VLOOKUP(B82,'דוח ביצוע (3)'!$A$21:$B$520,2,0)="","",VLOOKUP(B82,'דוח ביצוע (3)'!$A$21:$B$520,2,0))</f>
        <v/>
      </c>
      <c r="D82" s="177" t="str">
        <f>IFERROR(VLOOKUP($C:$C,'מצבת והרשמה (2)'!$C$20:$N$520,2,0)," ")</f>
        <v/>
      </c>
      <c r="E82" s="177" t="str">
        <f>IFERROR(VLOOKUP(C82,'דוח ביצוע (3)'!B:V,5,0)," ")</f>
        <v xml:space="preserve"> </v>
      </c>
      <c r="F82" s="177" t="str">
        <f t="shared" si="7"/>
        <v/>
      </c>
      <c r="G82" s="179">
        <f>SUMIFS('עלויות כח אדם (6)'!M:M,'עלויות כח אדם (6)'!B:B,' איוש משרות (8)'!C82,'עלויות כח אדם (6)'!N:N,"רכ")</f>
        <v>0</v>
      </c>
      <c r="H82" s="179">
        <f>IFERROR(VLOOKUP(P82,'עלויות כח אדם (6)'!$AE$16:$AF$3014,2,0),0)</f>
        <v>0</v>
      </c>
      <c r="I82" s="178">
        <f t="shared" ref="I82:I145" si="10">IF(G82&gt;0,G82,H82)</f>
        <v>0</v>
      </c>
      <c r="J82" s="178">
        <f t="shared" ref="J82:J145" si="11">IF(AND(F82="זכאי",G82&gt;0),H82,0)</f>
        <v>0</v>
      </c>
      <c r="K82" s="179" t="str">
        <f t="shared" si="8"/>
        <v/>
      </c>
      <c r="L82" s="718"/>
      <c r="M82" s="180" t="str">
        <f t="shared" si="6"/>
        <v/>
      </c>
      <c r="N82" s="531">
        <f t="shared" si="9"/>
        <v>0</v>
      </c>
      <c r="O82" s="531" t="str">
        <f>IF(C82&lt;&gt;"",C82&amp;'סיווג התפקידים והעלויות'!$C$2,"")</f>
        <v/>
      </c>
      <c r="P82" s="531" t="str">
        <f>IF(C82&lt;&gt;"",C82&amp;'סיווג התפקידים והעלויות'!$D$2,"")</f>
        <v/>
      </c>
    </row>
    <row r="83" spans="2:16" ht="15.75" x14ac:dyDescent="0.25">
      <c r="B83" s="57">
        <v>68</v>
      </c>
      <c r="C83" s="176" t="str">
        <f>IF(VLOOKUP(B83,'דוח ביצוע (3)'!$A$21:$B$520,2,0)="","",VLOOKUP(B83,'דוח ביצוע (3)'!$A$21:$B$520,2,0))</f>
        <v/>
      </c>
      <c r="D83" s="177" t="str">
        <f>IFERROR(VLOOKUP($C:$C,'מצבת והרשמה (2)'!$C$20:$N$520,2,0)," ")</f>
        <v/>
      </c>
      <c r="E83" s="177" t="str">
        <f>IFERROR(VLOOKUP(C83,'דוח ביצוע (3)'!B:V,5,0)," ")</f>
        <v xml:space="preserve"> </v>
      </c>
      <c r="F83" s="177" t="str">
        <f t="shared" si="7"/>
        <v/>
      </c>
      <c r="G83" s="179">
        <f>SUMIFS('עלויות כח אדם (6)'!M:M,'עלויות כח אדם (6)'!B:B,' איוש משרות (8)'!C83,'עלויות כח אדם (6)'!N:N,"רכ")</f>
        <v>0</v>
      </c>
      <c r="H83" s="179">
        <f>IFERROR(VLOOKUP(P83,'עלויות כח אדם (6)'!$AE$16:$AF$3014,2,0),0)</f>
        <v>0</v>
      </c>
      <c r="I83" s="178">
        <f t="shared" si="10"/>
        <v>0</v>
      </c>
      <c r="J83" s="178">
        <f t="shared" si="11"/>
        <v>0</v>
      </c>
      <c r="K83" s="179" t="str">
        <f t="shared" si="8"/>
        <v/>
      </c>
      <c r="L83" s="718"/>
      <c r="M83" s="180" t="str">
        <f t="shared" ref="M83:M146" si="12">IF(ISNUMBER(C83),IF(COUNTIF($C$16:$C$1994,C83)=1,"תקין",IFERROR(CONCATENATE("סמל בית הספר הוקלד ",COUNTIF($C$16:$C$1994,C83)," פעמים"),"")),"")</f>
        <v/>
      </c>
      <c r="N83" s="531">
        <f t="shared" si="9"/>
        <v>0</v>
      </c>
      <c r="O83" s="531" t="str">
        <f>IF(C83&lt;&gt;"",C83&amp;'סיווג התפקידים והעלויות'!$C$2,"")</f>
        <v/>
      </c>
      <c r="P83" s="531" t="str">
        <f>IF(C83&lt;&gt;"",C83&amp;'סיווג התפקידים והעלויות'!$D$2,"")</f>
        <v/>
      </c>
    </row>
    <row r="84" spans="2:16" ht="15.75" x14ac:dyDescent="0.25">
      <c r="B84" s="176">
        <v>69</v>
      </c>
      <c r="C84" s="176" t="str">
        <f>IF(VLOOKUP(B84,'דוח ביצוע (3)'!$A$21:$B$520,2,0)="","",VLOOKUP(B84,'דוח ביצוע (3)'!$A$21:$B$520,2,0))</f>
        <v/>
      </c>
      <c r="D84" s="177" t="str">
        <f>IFERROR(VLOOKUP($C:$C,'מצבת והרשמה (2)'!$C$20:$N$520,2,0)," ")</f>
        <v/>
      </c>
      <c r="E84" s="177" t="str">
        <f>IFERROR(VLOOKUP(C84,'דוח ביצוע (3)'!B:V,5,0)," ")</f>
        <v xml:space="preserve"> </v>
      </c>
      <c r="F84" s="177" t="str">
        <f t="shared" si="7"/>
        <v/>
      </c>
      <c r="G84" s="179">
        <f>SUMIFS('עלויות כח אדם (6)'!M:M,'עלויות כח אדם (6)'!B:B,' איוש משרות (8)'!C84,'עלויות כח אדם (6)'!N:N,"רכ")</f>
        <v>0</v>
      </c>
      <c r="H84" s="179">
        <f>IFERROR(VLOOKUP(P84,'עלויות כח אדם (6)'!$AE$16:$AF$3014,2,0),0)</f>
        <v>0</v>
      </c>
      <c r="I84" s="178">
        <f t="shared" si="10"/>
        <v>0</v>
      </c>
      <c r="J84" s="178">
        <f t="shared" si="11"/>
        <v>0</v>
      </c>
      <c r="K84" s="179" t="str">
        <f t="shared" si="8"/>
        <v/>
      </c>
      <c r="L84" s="718"/>
      <c r="M84" s="180" t="str">
        <f t="shared" si="12"/>
        <v/>
      </c>
      <c r="N84" s="531">
        <f t="shared" si="9"/>
        <v>0</v>
      </c>
      <c r="O84" s="531" t="str">
        <f>IF(C84&lt;&gt;"",C84&amp;'סיווג התפקידים והעלויות'!$C$2,"")</f>
        <v/>
      </c>
      <c r="P84" s="531" t="str">
        <f>IF(C84&lt;&gt;"",C84&amp;'סיווג התפקידים והעלויות'!$D$2,"")</f>
        <v/>
      </c>
    </row>
    <row r="85" spans="2:16" ht="15.75" x14ac:dyDescent="0.25">
      <c r="B85" s="57">
        <v>70</v>
      </c>
      <c r="C85" s="176" t="str">
        <f>IF(VLOOKUP(B85,'דוח ביצוע (3)'!$A$21:$B$520,2,0)="","",VLOOKUP(B85,'דוח ביצוע (3)'!$A$21:$B$520,2,0))</f>
        <v/>
      </c>
      <c r="D85" s="177" t="str">
        <f>IFERROR(VLOOKUP($C:$C,'מצבת והרשמה (2)'!$C$20:$N$520,2,0)," ")</f>
        <v/>
      </c>
      <c r="E85" s="177" t="str">
        <f>IFERROR(VLOOKUP(C85,'דוח ביצוע (3)'!B:V,5,0)," ")</f>
        <v xml:space="preserve"> </v>
      </c>
      <c r="F85" s="177" t="str">
        <f t="shared" si="7"/>
        <v/>
      </c>
      <c r="G85" s="179">
        <f>SUMIFS('עלויות כח אדם (6)'!M:M,'עלויות כח אדם (6)'!B:B,' איוש משרות (8)'!C85,'עלויות כח אדם (6)'!N:N,"רכ")</f>
        <v>0</v>
      </c>
      <c r="H85" s="179">
        <f>IFERROR(VLOOKUP(P85,'עלויות כח אדם (6)'!$AE$16:$AF$3014,2,0),0)</f>
        <v>0</v>
      </c>
      <c r="I85" s="178">
        <f t="shared" si="10"/>
        <v>0</v>
      </c>
      <c r="J85" s="178">
        <f t="shared" si="11"/>
        <v>0</v>
      </c>
      <c r="K85" s="179" t="str">
        <f t="shared" si="8"/>
        <v/>
      </c>
      <c r="L85" s="718"/>
      <c r="M85" s="180" t="str">
        <f t="shared" si="12"/>
        <v/>
      </c>
      <c r="N85" s="531">
        <f t="shared" si="9"/>
        <v>0</v>
      </c>
      <c r="O85" s="531" t="str">
        <f>IF(C85&lt;&gt;"",C85&amp;'סיווג התפקידים והעלויות'!$C$2,"")</f>
        <v/>
      </c>
      <c r="P85" s="531" t="str">
        <f>IF(C85&lt;&gt;"",C85&amp;'סיווג התפקידים והעלויות'!$D$2,"")</f>
        <v/>
      </c>
    </row>
    <row r="86" spans="2:16" ht="15.75" x14ac:dyDescent="0.25">
      <c r="B86" s="176">
        <v>71</v>
      </c>
      <c r="C86" s="176" t="str">
        <f>IF(VLOOKUP(B86,'דוח ביצוע (3)'!$A$21:$B$520,2,0)="","",VLOOKUP(B86,'דוח ביצוע (3)'!$A$21:$B$520,2,0))</f>
        <v/>
      </c>
      <c r="D86" s="177" t="str">
        <f>IFERROR(VLOOKUP($C:$C,'מצבת והרשמה (2)'!$C$20:$N$520,2,0)," ")</f>
        <v/>
      </c>
      <c r="E86" s="177" t="str">
        <f>IFERROR(VLOOKUP(C86,'דוח ביצוע (3)'!B:V,5,0)," ")</f>
        <v xml:space="preserve"> </v>
      </c>
      <c r="F86" s="177" t="str">
        <f t="shared" si="7"/>
        <v/>
      </c>
      <c r="G86" s="179">
        <f>SUMIFS('עלויות כח אדם (6)'!M:M,'עלויות כח אדם (6)'!B:B,' איוש משרות (8)'!C86,'עלויות כח אדם (6)'!N:N,"רכ")</f>
        <v>0</v>
      </c>
      <c r="H86" s="179">
        <f>IFERROR(VLOOKUP(P86,'עלויות כח אדם (6)'!$AE$16:$AF$3014,2,0),0)</f>
        <v>0</v>
      </c>
      <c r="I86" s="178">
        <f t="shared" si="10"/>
        <v>0</v>
      </c>
      <c r="J86" s="178">
        <f t="shared" si="11"/>
        <v>0</v>
      </c>
      <c r="K86" s="179" t="str">
        <f t="shared" si="8"/>
        <v/>
      </c>
      <c r="L86" s="718"/>
      <c r="M86" s="180" t="str">
        <f t="shared" si="12"/>
        <v/>
      </c>
      <c r="N86" s="531">
        <f t="shared" si="9"/>
        <v>0</v>
      </c>
      <c r="O86" s="531" t="str">
        <f>IF(C86&lt;&gt;"",C86&amp;'סיווג התפקידים והעלויות'!$C$2,"")</f>
        <v/>
      </c>
      <c r="P86" s="531" t="str">
        <f>IF(C86&lt;&gt;"",C86&amp;'סיווג התפקידים והעלויות'!$D$2,"")</f>
        <v/>
      </c>
    </row>
    <row r="87" spans="2:16" ht="15.75" x14ac:dyDescent="0.25">
      <c r="B87" s="57">
        <v>72</v>
      </c>
      <c r="C87" s="176" t="str">
        <f>IF(VLOOKUP(B87,'דוח ביצוע (3)'!$A$21:$B$520,2,0)="","",VLOOKUP(B87,'דוח ביצוע (3)'!$A$21:$B$520,2,0))</f>
        <v/>
      </c>
      <c r="D87" s="177" t="str">
        <f>IFERROR(VLOOKUP($C:$C,'מצבת והרשמה (2)'!$C$20:$N$520,2,0)," ")</f>
        <v/>
      </c>
      <c r="E87" s="177" t="str">
        <f>IFERROR(VLOOKUP(C87,'דוח ביצוע (3)'!B:V,5,0)," ")</f>
        <v xml:space="preserve"> </v>
      </c>
      <c r="F87" s="177" t="str">
        <f t="shared" si="7"/>
        <v/>
      </c>
      <c r="G87" s="179">
        <f>SUMIFS('עלויות כח אדם (6)'!M:M,'עלויות כח אדם (6)'!B:B,' איוש משרות (8)'!C87,'עלויות כח אדם (6)'!N:N,"רכ")</f>
        <v>0</v>
      </c>
      <c r="H87" s="179">
        <f>IFERROR(VLOOKUP(P87,'עלויות כח אדם (6)'!$AE$16:$AF$3014,2,0),0)</f>
        <v>0</v>
      </c>
      <c r="I87" s="178">
        <f t="shared" si="10"/>
        <v>0</v>
      </c>
      <c r="J87" s="178">
        <f t="shared" si="11"/>
        <v>0</v>
      </c>
      <c r="K87" s="179" t="str">
        <f t="shared" si="8"/>
        <v/>
      </c>
      <c r="L87" s="718"/>
      <c r="M87" s="180" t="str">
        <f t="shared" si="12"/>
        <v/>
      </c>
      <c r="N87" s="531">
        <f t="shared" si="9"/>
        <v>0</v>
      </c>
      <c r="O87" s="531" t="str">
        <f>IF(C87&lt;&gt;"",C87&amp;'סיווג התפקידים והעלויות'!$C$2,"")</f>
        <v/>
      </c>
      <c r="P87" s="531" t="str">
        <f>IF(C87&lt;&gt;"",C87&amp;'סיווג התפקידים והעלויות'!$D$2,"")</f>
        <v/>
      </c>
    </row>
    <row r="88" spans="2:16" ht="15.75" x14ac:dyDescent="0.25">
      <c r="B88" s="176">
        <v>73</v>
      </c>
      <c r="C88" s="176" t="str">
        <f>IF(VLOOKUP(B88,'דוח ביצוע (3)'!$A$21:$B$520,2,0)="","",VLOOKUP(B88,'דוח ביצוע (3)'!$A$21:$B$520,2,0))</f>
        <v/>
      </c>
      <c r="D88" s="177" t="str">
        <f>IFERROR(VLOOKUP($C:$C,'מצבת והרשמה (2)'!$C$20:$N$520,2,0)," ")</f>
        <v/>
      </c>
      <c r="E88" s="177" t="str">
        <f>IFERROR(VLOOKUP(C88,'דוח ביצוע (3)'!B:V,5,0)," ")</f>
        <v xml:space="preserve"> </v>
      </c>
      <c r="F88" s="177" t="str">
        <f t="shared" si="7"/>
        <v/>
      </c>
      <c r="G88" s="179">
        <f>SUMIFS('עלויות כח אדם (6)'!M:M,'עלויות כח אדם (6)'!B:B,' איוש משרות (8)'!C88,'עלויות כח אדם (6)'!N:N,"רכ")</f>
        <v>0</v>
      </c>
      <c r="H88" s="179">
        <f>IFERROR(VLOOKUP(P88,'עלויות כח אדם (6)'!$AE$16:$AF$3014,2,0),0)</f>
        <v>0</v>
      </c>
      <c r="I88" s="178">
        <f t="shared" si="10"/>
        <v>0</v>
      </c>
      <c r="J88" s="178">
        <f t="shared" si="11"/>
        <v>0</v>
      </c>
      <c r="K88" s="179" t="str">
        <f t="shared" si="8"/>
        <v/>
      </c>
      <c r="L88" s="718"/>
      <c r="M88" s="180" t="str">
        <f t="shared" si="12"/>
        <v/>
      </c>
      <c r="N88" s="531">
        <f t="shared" si="9"/>
        <v>0</v>
      </c>
      <c r="O88" s="531" t="str">
        <f>IF(C88&lt;&gt;"",C88&amp;'סיווג התפקידים והעלויות'!$C$2,"")</f>
        <v/>
      </c>
      <c r="P88" s="531" t="str">
        <f>IF(C88&lt;&gt;"",C88&amp;'סיווג התפקידים והעלויות'!$D$2,"")</f>
        <v/>
      </c>
    </row>
    <row r="89" spans="2:16" ht="15.75" x14ac:dyDescent="0.25">
      <c r="B89" s="57">
        <v>74</v>
      </c>
      <c r="C89" s="176" t="str">
        <f>IF(VLOOKUP(B89,'דוח ביצוע (3)'!$A$21:$B$520,2,0)="","",VLOOKUP(B89,'דוח ביצוע (3)'!$A$21:$B$520,2,0))</f>
        <v/>
      </c>
      <c r="D89" s="177" t="str">
        <f>IFERROR(VLOOKUP($C:$C,'מצבת והרשמה (2)'!$C$20:$N$520,2,0)," ")</f>
        <v/>
      </c>
      <c r="E89" s="177" t="str">
        <f>IFERROR(VLOOKUP(C89,'דוח ביצוע (3)'!B:V,5,0)," ")</f>
        <v xml:space="preserve"> </v>
      </c>
      <c r="F89" s="177" t="str">
        <f t="shared" si="7"/>
        <v/>
      </c>
      <c r="G89" s="179">
        <f>SUMIFS('עלויות כח אדם (6)'!M:M,'עלויות כח אדם (6)'!B:B,' איוש משרות (8)'!C89,'עלויות כח אדם (6)'!N:N,"רכ")</f>
        <v>0</v>
      </c>
      <c r="H89" s="179">
        <f>IFERROR(VLOOKUP(P89,'עלויות כח אדם (6)'!$AE$16:$AF$3014,2,0),0)</f>
        <v>0</v>
      </c>
      <c r="I89" s="178">
        <f t="shared" si="10"/>
        <v>0</v>
      </c>
      <c r="J89" s="178">
        <f t="shared" si="11"/>
        <v>0</v>
      </c>
      <c r="K89" s="179" t="str">
        <f t="shared" si="8"/>
        <v/>
      </c>
      <c r="L89" s="718"/>
      <c r="M89" s="180" t="str">
        <f t="shared" si="12"/>
        <v/>
      </c>
      <c r="N89" s="531">
        <f t="shared" si="9"/>
        <v>0</v>
      </c>
      <c r="O89" s="531" t="str">
        <f>IF(C89&lt;&gt;"",C89&amp;'סיווג התפקידים והעלויות'!$C$2,"")</f>
        <v/>
      </c>
      <c r="P89" s="531" t="str">
        <f>IF(C89&lt;&gt;"",C89&amp;'סיווג התפקידים והעלויות'!$D$2,"")</f>
        <v/>
      </c>
    </row>
    <row r="90" spans="2:16" ht="15.75" x14ac:dyDescent="0.25">
      <c r="B90" s="176">
        <v>75</v>
      </c>
      <c r="C90" s="176" t="str">
        <f>IF(VLOOKUP(B90,'דוח ביצוע (3)'!$A$21:$B$520,2,0)="","",VLOOKUP(B90,'דוח ביצוע (3)'!$A$21:$B$520,2,0))</f>
        <v/>
      </c>
      <c r="D90" s="177" t="str">
        <f>IFERROR(VLOOKUP($C:$C,'מצבת והרשמה (2)'!$C$20:$N$520,2,0)," ")</f>
        <v/>
      </c>
      <c r="E90" s="177" t="str">
        <f>IFERROR(VLOOKUP(C90,'דוח ביצוע (3)'!B:V,5,0)," ")</f>
        <v xml:space="preserve"> </v>
      </c>
      <c r="F90" s="177" t="str">
        <f t="shared" si="7"/>
        <v/>
      </c>
      <c r="G90" s="179">
        <f>SUMIFS('עלויות כח אדם (6)'!M:M,'עלויות כח אדם (6)'!B:B,' איוש משרות (8)'!C90,'עלויות כח אדם (6)'!N:N,"רכ")</f>
        <v>0</v>
      </c>
      <c r="H90" s="179">
        <f>IFERROR(VLOOKUP(P90,'עלויות כח אדם (6)'!$AE$16:$AF$3014,2,0),0)</f>
        <v>0</v>
      </c>
      <c r="I90" s="178">
        <f t="shared" si="10"/>
        <v>0</v>
      </c>
      <c r="J90" s="178">
        <f t="shared" si="11"/>
        <v>0</v>
      </c>
      <c r="K90" s="179" t="str">
        <f t="shared" si="8"/>
        <v/>
      </c>
      <c r="L90" s="718"/>
      <c r="M90" s="180" t="str">
        <f t="shared" si="12"/>
        <v/>
      </c>
      <c r="N90" s="531">
        <f t="shared" si="9"/>
        <v>0</v>
      </c>
      <c r="O90" s="531" t="str">
        <f>IF(C90&lt;&gt;"",C90&amp;'סיווג התפקידים והעלויות'!$C$2,"")</f>
        <v/>
      </c>
      <c r="P90" s="531" t="str">
        <f>IF(C90&lt;&gt;"",C90&amp;'סיווג התפקידים והעלויות'!$D$2,"")</f>
        <v/>
      </c>
    </row>
    <row r="91" spans="2:16" ht="15.75" x14ac:dyDescent="0.25">
      <c r="B91" s="57">
        <v>76</v>
      </c>
      <c r="C91" s="176" t="str">
        <f>IF(VLOOKUP(B91,'דוח ביצוע (3)'!$A$21:$B$520,2,0)="","",VLOOKUP(B91,'דוח ביצוע (3)'!$A$21:$B$520,2,0))</f>
        <v/>
      </c>
      <c r="D91" s="177" t="str">
        <f>IFERROR(VLOOKUP($C:$C,'מצבת והרשמה (2)'!$C$20:$N$520,2,0)," ")</f>
        <v/>
      </c>
      <c r="E91" s="177" t="str">
        <f>IFERROR(VLOOKUP(C91,'דוח ביצוע (3)'!B:V,5,0)," ")</f>
        <v xml:space="preserve"> </v>
      </c>
      <c r="F91" s="177" t="str">
        <f t="shared" si="7"/>
        <v/>
      </c>
      <c r="G91" s="179">
        <f>SUMIFS('עלויות כח אדם (6)'!M:M,'עלויות כח אדם (6)'!B:B,' איוש משרות (8)'!C91,'עלויות כח אדם (6)'!N:N,"רכ")</f>
        <v>0</v>
      </c>
      <c r="H91" s="179">
        <f>IFERROR(VLOOKUP(P91,'עלויות כח אדם (6)'!$AE$16:$AF$3014,2,0),0)</f>
        <v>0</v>
      </c>
      <c r="I91" s="178">
        <f t="shared" si="10"/>
        <v>0</v>
      </c>
      <c r="J91" s="178">
        <f t="shared" si="11"/>
        <v>0</v>
      </c>
      <c r="K91" s="179" t="str">
        <f t="shared" si="8"/>
        <v/>
      </c>
      <c r="L91" s="718"/>
      <c r="M91" s="180" t="str">
        <f t="shared" si="12"/>
        <v/>
      </c>
      <c r="N91" s="531">
        <f t="shared" si="9"/>
        <v>0</v>
      </c>
      <c r="O91" s="531" t="str">
        <f>IF(C91&lt;&gt;"",C91&amp;'סיווג התפקידים והעלויות'!$C$2,"")</f>
        <v/>
      </c>
      <c r="P91" s="531" t="str">
        <f>IF(C91&lt;&gt;"",C91&amp;'סיווג התפקידים והעלויות'!$D$2,"")</f>
        <v/>
      </c>
    </row>
    <row r="92" spans="2:16" ht="15.75" x14ac:dyDescent="0.25">
      <c r="B92" s="176">
        <v>77</v>
      </c>
      <c r="C92" s="176" t="str">
        <f>IF(VLOOKUP(B92,'דוח ביצוע (3)'!$A$21:$B$520,2,0)="","",VLOOKUP(B92,'דוח ביצוע (3)'!$A$21:$B$520,2,0))</f>
        <v/>
      </c>
      <c r="D92" s="177" t="str">
        <f>IFERROR(VLOOKUP($C:$C,'מצבת והרשמה (2)'!$C$20:$N$520,2,0)," ")</f>
        <v/>
      </c>
      <c r="E92" s="177" t="str">
        <f>IFERROR(VLOOKUP(C92,'דוח ביצוע (3)'!B:V,5,0)," ")</f>
        <v xml:space="preserve"> </v>
      </c>
      <c r="F92" s="177" t="str">
        <f t="shared" si="7"/>
        <v/>
      </c>
      <c r="G92" s="179">
        <f>SUMIFS('עלויות כח אדם (6)'!M:M,'עלויות כח אדם (6)'!B:B,' איוש משרות (8)'!C92,'עלויות כח אדם (6)'!N:N,"רכ")</f>
        <v>0</v>
      </c>
      <c r="H92" s="179">
        <f>IFERROR(VLOOKUP(P92,'עלויות כח אדם (6)'!$AE$16:$AF$3014,2,0),0)</f>
        <v>0</v>
      </c>
      <c r="I92" s="178">
        <f t="shared" si="10"/>
        <v>0</v>
      </c>
      <c r="J92" s="178">
        <f t="shared" si="11"/>
        <v>0</v>
      </c>
      <c r="K92" s="179" t="str">
        <f t="shared" si="8"/>
        <v/>
      </c>
      <c r="L92" s="718"/>
      <c r="M92" s="180" t="str">
        <f t="shared" si="12"/>
        <v/>
      </c>
      <c r="N92" s="531">
        <f t="shared" si="9"/>
        <v>0</v>
      </c>
      <c r="O92" s="531" t="str">
        <f>IF(C92&lt;&gt;"",C92&amp;'סיווג התפקידים והעלויות'!$C$2,"")</f>
        <v/>
      </c>
      <c r="P92" s="531" t="str">
        <f>IF(C92&lt;&gt;"",C92&amp;'סיווג התפקידים והעלויות'!$D$2,"")</f>
        <v/>
      </c>
    </row>
    <row r="93" spans="2:16" ht="15.75" x14ac:dyDescent="0.25">
      <c r="B93" s="57">
        <v>78</v>
      </c>
      <c r="C93" s="176" t="str">
        <f>IF(VLOOKUP(B93,'דוח ביצוע (3)'!$A$21:$B$520,2,0)="","",VLOOKUP(B93,'דוח ביצוע (3)'!$A$21:$B$520,2,0))</f>
        <v/>
      </c>
      <c r="D93" s="177" t="str">
        <f>IFERROR(VLOOKUP($C:$C,'מצבת והרשמה (2)'!$C$20:$N$520,2,0)," ")</f>
        <v/>
      </c>
      <c r="E93" s="177" t="str">
        <f>IFERROR(VLOOKUP(C93,'דוח ביצוע (3)'!B:V,5,0)," ")</f>
        <v xml:space="preserve"> </v>
      </c>
      <c r="F93" s="177" t="str">
        <f t="shared" si="7"/>
        <v/>
      </c>
      <c r="G93" s="179">
        <f>SUMIFS('עלויות כח אדם (6)'!M:M,'עלויות כח אדם (6)'!B:B,' איוש משרות (8)'!C93,'עלויות כח אדם (6)'!N:N,"רכ")</f>
        <v>0</v>
      </c>
      <c r="H93" s="179">
        <f>IFERROR(VLOOKUP(P93,'עלויות כח אדם (6)'!$AE$16:$AF$3014,2,0),0)</f>
        <v>0</v>
      </c>
      <c r="I93" s="178">
        <f t="shared" si="10"/>
        <v>0</v>
      </c>
      <c r="J93" s="178">
        <f t="shared" si="11"/>
        <v>0</v>
      </c>
      <c r="K93" s="179" t="str">
        <f t="shared" si="8"/>
        <v/>
      </c>
      <c r="L93" s="718"/>
      <c r="M93" s="180" t="str">
        <f t="shared" si="12"/>
        <v/>
      </c>
      <c r="N93" s="531">
        <f t="shared" si="9"/>
        <v>0</v>
      </c>
      <c r="O93" s="531" t="str">
        <f>IF(C93&lt;&gt;"",C93&amp;'סיווג התפקידים והעלויות'!$C$2,"")</f>
        <v/>
      </c>
      <c r="P93" s="531" t="str">
        <f>IF(C93&lt;&gt;"",C93&amp;'סיווג התפקידים והעלויות'!$D$2,"")</f>
        <v/>
      </c>
    </row>
    <row r="94" spans="2:16" ht="15.75" x14ac:dyDescent="0.25">
      <c r="B94" s="176">
        <v>79</v>
      </c>
      <c r="C94" s="176" t="str">
        <f>IF(VLOOKUP(B94,'דוח ביצוע (3)'!$A$21:$B$520,2,0)="","",VLOOKUP(B94,'דוח ביצוע (3)'!$A$21:$B$520,2,0))</f>
        <v/>
      </c>
      <c r="D94" s="177" t="str">
        <f>IFERROR(VLOOKUP($C:$C,'מצבת והרשמה (2)'!$C$20:$N$520,2,0)," ")</f>
        <v/>
      </c>
      <c r="E94" s="177" t="str">
        <f>IFERROR(VLOOKUP(C94,'דוח ביצוע (3)'!B:V,5,0)," ")</f>
        <v xml:space="preserve"> </v>
      </c>
      <c r="F94" s="177" t="str">
        <f t="shared" si="7"/>
        <v/>
      </c>
      <c r="G94" s="179">
        <f>SUMIFS('עלויות כח אדם (6)'!M:M,'עלויות כח אדם (6)'!B:B,' איוש משרות (8)'!C94,'עלויות כח אדם (6)'!N:N,"רכ")</f>
        <v>0</v>
      </c>
      <c r="H94" s="179">
        <f>IFERROR(VLOOKUP(P94,'עלויות כח אדם (6)'!$AE$16:$AF$3014,2,0),0)</f>
        <v>0</v>
      </c>
      <c r="I94" s="178">
        <f t="shared" si="10"/>
        <v>0</v>
      </c>
      <c r="J94" s="178">
        <f t="shared" si="11"/>
        <v>0</v>
      </c>
      <c r="K94" s="179" t="str">
        <f t="shared" si="8"/>
        <v/>
      </c>
      <c r="L94" s="718"/>
      <c r="M94" s="180" t="str">
        <f t="shared" si="12"/>
        <v/>
      </c>
      <c r="N94" s="531">
        <f t="shared" si="9"/>
        <v>0</v>
      </c>
      <c r="O94" s="531" t="str">
        <f>IF(C94&lt;&gt;"",C94&amp;'סיווג התפקידים והעלויות'!$C$2,"")</f>
        <v/>
      </c>
      <c r="P94" s="531" t="str">
        <f>IF(C94&lt;&gt;"",C94&amp;'סיווג התפקידים והעלויות'!$D$2,"")</f>
        <v/>
      </c>
    </row>
    <row r="95" spans="2:16" ht="15.75" x14ac:dyDescent="0.25">
      <c r="B95" s="57">
        <v>80</v>
      </c>
      <c r="C95" s="176" t="str">
        <f>IF(VLOOKUP(B95,'דוח ביצוע (3)'!$A$21:$B$520,2,0)="","",VLOOKUP(B95,'דוח ביצוע (3)'!$A$21:$B$520,2,0))</f>
        <v/>
      </c>
      <c r="D95" s="177" t="str">
        <f>IFERROR(VLOOKUP($C:$C,'מצבת והרשמה (2)'!$C$20:$N$520,2,0)," ")</f>
        <v/>
      </c>
      <c r="E95" s="177" t="str">
        <f>IFERROR(VLOOKUP(C95,'דוח ביצוע (3)'!B:V,5,0)," ")</f>
        <v xml:space="preserve"> </v>
      </c>
      <c r="F95" s="177" t="str">
        <f t="shared" si="7"/>
        <v/>
      </c>
      <c r="G95" s="179">
        <f>SUMIFS('עלויות כח אדם (6)'!M:M,'עלויות כח אדם (6)'!B:B,' איוש משרות (8)'!C95,'עלויות כח אדם (6)'!N:N,"רכ")</f>
        <v>0</v>
      </c>
      <c r="H95" s="179">
        <f>IFERROR(VLOOKUP(P95,'עלויות כח אדם (6)'!$AE$16:$AF$3014,2,0),0)</f>
        <v>0</v>
      </c>
      <c r="I95" s="178">
        <f t="shared" si="10"/>
        <v>0</v>
      </c>
      <c r="J95" s="178">
        <f t="shared" si="11"/>
        <v>0</v>
      </c>
      <c r="K95" s="179" t="str">
        <f t="shared" si="8"/>
        <v/>
      </c>
      <c r="L95" s="718"/>
      <c r="M95" s="180" t="str">
        <f t="shared" si="12"/>
        <v/>
      </c>
      <c r="N95" s="531">
        <f t="shared" si="9"/>
        <v>0</v>
      </c>
      <c r="O95" s="531" t="str">
        <f>IF(C95&lt;&gt;"",C95&amp;'סיווג התפקידים והעלויות'!$C$2,"")</f>
        <v/>
      </c>
      <c r="P95" s="531" t="str">
        <f>IF(C95&lt;&gt;"",C95&amp;'סיווג התפקידים והעלויות'!$D$2,"")</f>
        <v/>
      </c>
    </row>
    <row r="96" spans="2:16" ht="15.75" x14ac:dyDescent="0.25">
      <c r="B96" s="176">
        <v>81</v>
      </c>
      <c r="C96" s="176" t="str">
        <f>IF(VLOOKUP(B96,'דוח ביצוע (3)'!$A$21:$B$520,2,0)="","",VLOOKUP(B96,'דוח ביצוע (3)'!$A$21:$B$520,2,0))</f>
        <v/>
      </c>
      <c r="D96" s="177" t="str">
        <f>IFERROR(VLOOKUP($C:$C,'מצבת והרשמה (2)'!$C$20:$N$520,2,0)," ")</f>
        <v/>
      </c>
      <c r="E96" s="177" t="str">
        <f>IFERROR(VLOOKUP(C96,'דוח ביצוע (3)'!B:V,5,0)," ")</f>
        <v xml:space="preserve"> </v>
      </c>
      <c r="F96" s="177" t="str">
        <f t="shared" si="7"/>
        <v/>
      </c>
      <c r="G96" s="179">
        <f>SUMIFS('עלויות כח אדם (6)'!M:M,'עלויות כח אדם (6)'!B:B,' איוש משרות (8)'!C96,'עלויות כח אדם (6)'!N:N,"רכ")</f>
        <v>0</v>
      </c>
      <c r="H96" s="179">
        <f>IFERROR(VLOOKUP(P96,'עלויות כח אדם (6)'!$AE$16:$AF$3014,2,0),0)</f>
        <v>0</v>
      </c>
      <c r="I96" s="178">
        <f t="shared" si="10"/>
        <v>0</v>
      </c>
      <c r="J96" s="178">
        <f t="shared" si="11"/>
        <v>0</v>
      </c>
      <c r="K96" s="179" t="str">
        <f t="shared" si="8"/>
        <v/>
      </c>
      <c r="L96" s="718"/>
      <c r="M96" s="180" t="str">
        <f t="shared" si="12"/>
        <v/>
      </c>
      <c r="N96" s="531">
        <f t="shared" si="9"/>
        <v>0</v>
      </c>
      <c r="O96" s="531" t="str">
        <f>IF(C96&lt;&gt;"",C96&amp;'סיווג התפקידים והעלויות'!$C$2,"")</f>
        <v/>
      </c>
      <c r="P96" s="531" t="str">
        <f>IF(C96&lt;&gt;"",C96&amp;'סיווג התפקידים והעלויות'!$D$2,"")</f>
        <v/>
      </c>
    </row>
    <row r="97" spans="2:16" ht="15.75" x14ac:dyDescent="0.25">
      <c r="B97" s="57">
        <v>82</v>
      </c>
      <c r="C97" s="176" t="str">
        <f>IF(VLOOKUP(B97,'דוח ביצוע (3)'!$A$21:$B$520,2,0)="","",VLOOKUP(B97,'דוח ביצוע (3)'!$A$21:$B$520,2,0))</f>
        <v/>
      </c>
      <c r="D97" s="177" t="str">
        <f>IFERROR(VLOOKUP($C:$C,'מצבת והרשמה (2)'!$C$20:$N$520,2,0)," ")</f>
        <v/>
      </c>
      <c r="E97" s="177" t="str">
        <f>IFERROR(VLOOKUP(C97,'דוח ביצוע (3)'!B:V,5,0)," ")</f>
        <v xml:space="preserve"> </v>
      </c>
      <c r="F97" s="177" t="str">
        <f t="shared" si="7"/>
        <v/>
      </c>
      <c r="G97" s="179">
        <f>SUMIFS('עלויות כח אדם (6)'!M:M,'עלויות כח אדם (6)'!B:B,' איוש משרות (8)'!C97,'עלויות כח אדם (6)'!N:N,"רכ")</f>
        <v>0</v>
      </c>
      <c r="H97" s="179">
        <f>IFERROR(VLOOKUP(P97,'עלויות כח אדם (6)'!$AE$16:$AF$3014,2,0),0)</f>
        <v>0</v>
      </c>
      <c r="I97" s="178">
        <f t="shared" si="10"/>
        <v>0</v>
      </c>
      <c r="J97" s="178">
        <f t="shared" si="11"/>
        <v>0</v>
      </c>
      <c r="K97" s="179" t="str">
        <f t="shared" si="8"/>
        <v/>
      </c>
      <c r="L97" s="718"/>
      <c r="M97" s="180" t="str">
        <f t="shared" si="12"/>
        <v/>
      </c>
      <c r="N97" s="531">
        <f t="shared" si="9"/>
        <v>0</v>
      </c>
      <c r="O97" s="531" t="str">
        <f>IF(C97&lt;&gt;"",C97&amp;'סיווג התפקידים והעלויות'!$C$2,"")</f>
        <v/>
      </c>
      <c r="P97" s="531" t="str">
        <f>IF(C97&lt;&gt;"",C97&amp;'סיווג התפקידים והעלויות'!$D$2,"")</f>
        <v/>
      </c>
    </row>
    <row r="98" spans="2:16" ht="15.75" x14ac:dyDescent="0.25">
      <c r="B98" s="176">
        <v>83</v>
      </c>
      <c r="C98" s="176" t="str">
        <f>IF(VLOOKUP(B98,'דוח ביצוע (3)'!$A$21:$B$520,2,0)="","",VLOOKUP(B98,'דוח ביצוע (3)'!$A$21:$B$520,2,0))</f>
        <v/>
      </c>
      <c r="D98" s="177" t="str">
        <f>IFERROR(VLOOKUP($C:$C,'מצבת והרשמה (2)'!$C$20:$N$520,2,0)," ")</f>
        <v/>
      </c>
      <c r="E98" s="177" t="str">
        <f>IFERROR(VLOOKUP(C98,'דוח ביצוע (3)'!B:V,5,0)," ")</f>
        <v xml:space="preserve"> </v>
      </c>
      <c r="F98" s="177" t="str">
        <f t="shared" si="7"/>
        <v/>
      </c>
      <c r="G98" s="179">
        <f>SUMIFS('עלויות כח אדם (6)'!M:M,'עלויות כח אדם (6)'!B:B,' איוש משרות (8)'!C98,'עלויות כח אדם (6)'!N:N,"רכ")</f>
        <v>0</v>
      </c>
      <c r="H98" s="179">
        <f>IFERROR(VLOOKUP(P98,'עלויות כח אדם (6)'!$AE$16:$AF$3014,2,0),0)</f>
        <v>0</v>
      </c>
      <c r="I98" s="178">
        <f t="shared" si="10"/>
        <v>0</v>
      </c>
      <c r="J98" s="178">
        <f t="shared" si="11"/>
        <v>0</v>
      </c>
      <c r="K98" s="179" t="str">
        <f t="shared" si="8"/>
        <v/>
      </c>
      <c r="L98" s="718"/>
      <c r="M98" s="180" t="str">
        <f t="shared" si="12"/>
        <v/>
      </c>
      <c r="N98" s="531">
        <f t="shared" si="9"/>
        <v>0</v>
      </c>
      <c r="O98" s="531" t="str">
        <f>IF(C98&lt;&gt;"",C98&amp;'סיווג התפקידים והעלויות'!$C$2,"")</f>
        <v/>
      </c>
      <c r="P98" s="531" t="str">
        <f>IF(C98&lt;&gt;"",C98&amp;'סיווג התפקידים והעלויות'!$D$2,"")</f>
        <v/>
      </c>
    </row>
    <row r="99" spans="2:16" ht="15.75" x14ac:dyDescent="0.25">
      <c r="B99" s="57">
        <v>84</v>
      </c>
      <c r="C99" s="176" t="str">
        <f>IF(VLOOKUP(B99,'דוח ביצוע (3)'!$A$21:$B$520,2,0)="","",VLOOKUP(B99,'דוח ביצוע (3)'!$A$21:$B$520,2,0))</f>
        <v/>
      </c>
      <c r="D99" s="177" t="str">
        <f>IFERROR(VLOOKUP($C:$C,'מצבת והרשמה (2)'!$C$20:$N$520,2,0)," ")</f>
        <v/>
      </c>
      <c r="E99" s="177" t="str">
        <f>IFERROR(VLOOKUP(C99,'דוח ביצוע (3)'!B:V,5,0)," ")</f>
        <v xml:space="preserve"> </v>
      </c>
      <c r="F99" s="177" t="str">
        <f t="shared" si="7"/>
        <v/>
      </c>
      <c r="G99" s="179">
        <f>SUMIFS('עלויות כח אדם (6)'!M:M,'עלויות כח אדם (6)'!B:B,' איוש משרות (8)'!C99,'עלויות כח אדם (6)'!N:N,"רכ")</f>
        <v>0</v>
      </c>
      <c r="H99" s="179">
        <f>IFERROR(VLOOKUP(P99,'עלויות כח אדם (6)'!$AE$16:$AF$3014,2,0),0)</f>
        <v>0</v>
      </c>
      <c r="I99" s="178">
        <f t="shared" si="10"/>
        <v>0</v>
      </c>
      <c r="J99" s="178">
        <f t="shared" si="11"/>
        <v>0</v>
      </c>
      <c r="K99" s="179" t="str">
        <f t="shared" si="8"/>
        <v/>
      </c>
      <c r="L99" s="718"/>
      <c r="M99" s="180" t="str">
        <f t="shared" si="12"/>
        <v/>
      </c>
      <c r="N99" s="531">
        <f t="shared" si="9"/>
        <v>0</v>
      </c>
      <c r="O99" s="531" t="str">
        <f>IF(C99&lt;&gt;"",C99&amp;'סיווג התפקידים והעלויות'!$C$2,"")</f>
        <v/>
      </c>
      <c r="P99" s="531" t="str">
        <f>IF(C99&lt;&gt;"",C99&amp;'סיווג התפקידים והעלויות'!$D$2,"")</f>
        <v/>
      </c>
    </row>
    <row r="100" spans="2:16" ht="15.75" x14ac:dyDescent="0.25">
      <c r="B100" s="176">
        <v>85</v>
      </c>
      <c r="C100" s="176" t="str">
        <f>IF(VLOOKUP(B100,'דוח ביצוע (3)'!$A$21:$B$520,2,0)="","",VLOOKUP(B100,'דוח ביצוע (3)'!$A$21:$B$520,2,0))</f>
        <v/>
      </c>
      <c r="D100" s="177" t="str">
        <f>IFERROR(VLOOKUP($C:$C,'מצבת והרשמה (2)'!$C$20:$N$520,2,0)," ")</f>
        <v/>
      </c>
      <c r="E100" s="177" t="str">
        <f>IFERROR(VLOOKUP(C100,'דוח ביצוע (3)'!B:V,5,0)," ")</f>
        <v xml:space="preserve"> </v>
      </c>
      <c r="F100" s="177" t="str">
        <f t="shared" si="7"/>
        <v/>
      </c>
      <c r="G100" s="179">
        <f>SUMIFS('עלויות כח אדם (6)'!M:M,'עלויות כח אדם (6)'!B:B,' איוש משרות (8)'!C100,'עלויות כח אדם (6)'!N:N,"רכ")</f>
        <v>0</v>
      </c>
      <c r="H100" s="179">
        <f>IFERROR(VLOOKUP(P100,'עלויות כח אדם (6)'!$AE$16:$AF$3014,2,0),0)</f>
        <v>0</v>
      </c>
      <c r="I100" s="178">
        <f t="shared" si="10"/>
        <v>0</v>
      </c>
      <c r="J100" s="178">
        <f t="shared" si="11"/>
        <v>0</v>
      </c>
      <c r="K100" s="179" t="str">
        <f t="shared" si="8"/>
        <v/>
      </c>
      <c r="L100" s="718"/>
      <c r="M100" s="180" t="str">
        <f t="shared" si="12"/>
        <v/>
      </c>
      <c r="N100" s="531">
        <f t="shared" si="9"/>
        <v>0</v>
      </c>
      <c r="O100" s="531" t="str">
        <f>IF(C100&lt;&gt;"",C100&amp;'סיווג התפקידים והעלויות'!$C$2,"")</f>
        <v/>
      </c>
      <c r="P100" s="531" t="str">
        <f>IF(C100&lt;&gt;"",C100&amp;'סיווג התפקידים והעלויות'!$D$2,"")</f>
        <v/>
      </c>
    </row>
    <row r="101" spans="2:16" ht="15.75" x14ac:dyDescent="0.25">
      <c r="B101" s="57">
        <v>86</v>
      </c>
      <c r="C101" s="176" t="str">
        <f>IF(VLOOKUP(B101,'דוח ביצוע (3)'!$A$21:$B$520,2,0)="","",VLOOKUP(B101,'דוח ביצוע (3)'!$A$21:$B$520,2,0))</f>
        <v/>
      </c>
      <c r="D101" s="177" t="str">
        <f>IFERROR(VLOOKUP($C:$C,'מצבת והרשמה (2)'!$C$20:$N$520,2,0)," ")</f>
        <v/>
      </c>
      <c r="E101" s="177" t="str">
        <f>IFERROR(VLOOKUP(C101,'דוח ביצוע (3)'!B:V,5,0)," ")</f>
        <v xml:space="preserve"> </v>
      </c>
      <c r="F101" s="177" t="str">
        <f t="shared" si="7"/>
        <v/>
      </c>
      <c r="G101" s="179">
        <f>SUMIFS('עלויות כח אדם (6)'!M:M,'עלויות כח אדם (6)'!B:B,' איוש משרות (8)'!C101,'עלויות כח אדם (6)'!N:N,"רכ")</f>
        <v>0</v>
      </c>
      <c r="H101" s="179">
        <f>IFERROR(VLOOKUP(P101,'עלויות כח אדם (6)'!$AE$16:$AF$3014,2,0),0)</f>
        <v>0</v>
      </c>
      <c r="I101" s="178">
        <f t="shared" si="10"/>
        <v>0</v>
      </c>
      <c r="J101" s="178">
        <f t="shared" si="11"/>
        <v>0</v>
      </c>
      <c r="K101" s="179" t="str">
        <f t="shared" si="8"/>
        <v/>
      </c>
      <c r="L101" s="718"/>
      <c r="M101" s="180" t="str">
        <f t="shared" si="12"/>
        <v/>
      </c>
      <c r="N101" s="531">
        <f t="shared" si="9"/>
        <v>0</v>
      </c>
      <c r="O101" s="531" t="str">
        <f>IF(C101&lt;&gt;"",C101&amp;'סיווג התפקידים והעלויות'!$C$2,"")</f>
        <v/>
      </c>
      <c r="P101" s="531" t="str">
        <f>IF(C101&lt;&gt;"",C101&amp;'סיווג התפקידים והעלויות'!$D$2,"")</f>
        <v/>
      </c>
    </row>
    <row r="102" spans="2:16" ht="15.75" x14ac:dyDescent="0.25">
      <c r="B102" s="176">
        <v>87</v>
      </c>
      <c r="C102" s="176" t="str">
        <f>IF(VLOOKUP(B102,'דוח ביצוע (3)'!$A$21:$B$520,2,0)="","",VLOOKUP(B102,'דוח ביצוע (3)'!$A$21:$B$520,2,0))</f>
        <v/>
      </c>
      <c r="D102" s="177" t="str">
        <f>IFERROR(VLOOKUP($C:$C,'מצבת והרשמה (2)'!$C$20:$N$520,2,0)," ")</f>
        <v/>
      </c>
      <c r="E102" s="177" t="str">
        <f>IFERROR(VLOOKUP(C102,'דוח ביצוע (3)'!B:V,5,0)," ")</f>
        <v xml:space="preserve"> </v>
      </c>
      <c r="F102" s="177" t="str">
        <f t="shared" si="7"/>
        <v/>
      </c>
      <c r="G102" s="179">
        <f>SUMIFS('עלויות כח אדם (6)'!M:M,'עלויות כח אדם (6)'!B:B,' איוש משרות (8)'!C102,'עלויות כח אדם (6)'!N:N,"רכ")</f>
        <v>0</v>
      </c>
      <c r="H102" s="179">
        <f>IFERROR(VLOOKUP(P102,'עלויות כח אדם (6)'!$AE$16:$AF$3014,2,0),0)</f>
        <v>0</v>
      </c>
      <c r="I102" s="178">
        <f t="shared" si="10"/>
        <v>0</v>
      </c>
      <c r="J102" s="178">
        <f t="shared" si="11"/>
        <v>0</v>
      </c>
      <c r="K102" s="179" t="str">
        <f t="shared" si="8"/>
        <v/>
      </c>
      <c r="L102" s="718"/>
      <c r="M102" s="180" t="str">
        <f t="shared" si="12"/>
        <v/>
      </c>
      <c r="N102" s="531">
        <f t="shared" si="9"/>
        <v>0</v>
      </c>
      <c r="O102" s="531" t="str">
        <f>IF(C102&lt;&gt;"",C102&amp;'סיווג התפקידים והעלויות'!$C$2,"")</f>
        <v/>
      </c>
      <c r="P102" s="531" t="str">
        <f>IF(C102&lt;&gt;"",C102&amp;'סיווג התפקידים והעלויות'!$D$2,"")</f>
        <v/>
      </c>
    </row>
    <row r="103" spans="2:16" ht="15.75" x14ac:dyDescent="0.25">
      <c r="B103" s="57">
        <v>88</v>
      </c>
      <c r="C103" s="176" t="str">
        <f>IF(VLOOKUP(B103,'דוח ביצוע (3)'!$A$21:$B$520,2,0)="","",VLOOKUP(B103,'דוח ביצוע (3)'!$A$21:$B$520,2,0))</f>
        <v/>
      </c>
      <c r="D103" s="177" t="str">
        <f>IFERROR(VLOOKUP($C:$C,'מצבת והרשמה (2)'!$C$20:$N$520,2,0)," ")</f>
        <v/>
      </c>
      <c r="E103" s="177" t="str">
        <f>IFERROR(VLOOKUP(C103,'דוח ביצוע (3)'!B:V,5,0)," ")</f>
        <v xml:space="preserve"> </v>
      </c>
      <c r="F103" s="177" t="str">
        <f t="shared" si="7"/>
        <v/>
      </c>
      <c r="G103" s="179">
        <f>SUMIFS('עלויות כח אדם (6)'!M:M,'עלויות כח אדם (6)'!B:B,' איוש משרות (8)'!C103,'עלויות כח אדם (6)'!N:N,"רכ")</f>
        <v>0</v>
      </c>
      <c r="H103" s="179">
        <f>IFERROR(VLOOKUP(P103,'עלויות כח אדם (6)'!$AE$16:$AF$3014,2,0),0)</f>
        <v>0</v>
      </c>
      <c r="I103" s="178">
        <f t="shared" si="10"/>
        <v>0</v>
      </c>
      <c r="J103" s="178">
        <f t="shared" si="11"/>
        <v>0</v>
      </c>
      <c r="K103" s="179" t="str">
        <f t="shared" si="8"/>
        <v/>
      </c>
      <c r="L103" s="718"/>
      <c r="M103" s="180" t="str">
        <f t="shared" si="12"/>
        <v/>
      </c>
      <c r="N103" s="531">
        <f t="shared" si="9"/>
        <v>0</v>
      </c>
      <c r="O103" s="531" t="str">
        <f>IF(C103&lt;&gt;"",C103&amp;'סיווג התפקידים והעלויות'!$C$2,"")</f>
        <v/>
      </c>
      <c r="P103" s="531" t="str">
        <f>IF(C103&lt;&gt;"",C103&amp;'סיווג התפקידים והעלויות'!$D$2,"")</f>
        <v/>
      </c>
    </row>
    <row r="104" spans="2:16" ht="15.75" x14ac:dyDescent="0.25">
      <c r="B104" s="176">
        <v>89</v>
      </c>
      <c r="C104" s="176" t="str">
        <f>IF(VLOOKUP(B104,'דוח ביצוע (3)'!$A$21:$B$520,2,0)="","",VLOOKUP(B104,'דוח ביצוע (3)'!$A$21:$B$520,2,0))</f>
        <v/>
      </c>
      <c r="D104" s="177" t="str">
        <f>IFERROR(VLOOKUP($C:$C,'מצבת והרשמה (2)'!$C$20:$N$520,2,0)," ")</f>
        <v/>
      </c>
      <c r="E104" s="177" t="str">
        <f>IFERROR(VLOOKUP(C104,'דוח ביצוע (3)'!B:V,5,0)," ")</f>
        <v xml:space="preserve"> </v>
      </c>
      <c r="F104" s="177" t="str">
        <f t="shared" si="7"/>
        <v/>
      </c>
      <c r="G104" s="179">
        <f>SUMIFS('עלויות כח אדם (6)'!M:M,'עלויות כח אדם (6)'!B:B,' איוש משרות (8)'!C104,'עלויות כח אדם (6)'!N:N,"רכ")</f>
        <v>0</v>
      </c>
      <c r="H104" s="179">
        <f>IFERROR(VLOOKUP(P104,'עלויות כח אדם (6)'!$AE$16:$AF$3014,2,0),0)</f>
        <v>0</v>
      </c>
      <c r="I104" s="178">
        <f t="shared" si="10"/>
        <v>0</v>
      </c>
      <c r="J104" s="178">
        <f t="shared" si="11"/>
        <v>0</v>
      </c>
      <c r="K104" s="179" t="str">
        <f t="shared" si="8"/>
        <v/>
      </c>
      <c r="L104" s="718"/>
      <c r="M104" s="180" t="str">
        <f t="shared" si="12"/>
        <v/>
      </c>
      <c r="N104" s="531">
        <f t="shared" si="9"/>
        <v>0</v>
      </c>
      <c r="O104" s="531" t="str">
        <f>IF(C104&lt;&gt;"",C104&amp;'סיווג התפקידים והעלויות'!$C$2,"")</f>
        <v/>
      </c>
      <c r="P104" s="531" t="str">
        <f>IF(C104&lt;&gt;"",C104&amp;'סיווג התפקידים והעלויות'!$D$2,"")</f>
        <v/>
      </c>
    </row>
    <row r="105" spans="2:16" ht="15.75" x14ac:dyDescent="0.25">
      <c r="B105" s="57">
        <v>90</v>
      </c>
      <c r="C105" s="176" t="str">
        <f>IF(VLOOKUP(B105,'דוח ביצוע (3)'!$A$21:$B$520,2,0)="","",VLOOKUP(B105,'דוח ביצוע (3)'!$A$21:$B$520,2,0))</f>
        <v/>
      </c>
      <c r="D105" s="177" t="str">
        <f>IFERROR(VLOOKUP($C:$C,'מצבת והרשמה (2)'!$C$20:$N$520,2,0)," ")</f>
        <v/>
      </c>
      <c r="E105" s="177" t="str">
        <f>IFERROR(VLOOKUP(C105,'דוח ביצוע (3)'!B:V,5,0)," ")</f>
        <v xml:space="preserve"> </v>
      </c>
      <c r="F105" s="177" t="str">
        <f t="shared" si="7"/>
        <v/>
      </c>
      <c r="G105" s="179">
        <f>SUMIFS('עלויות כח אדם (6)'!M:M,'עלויות כח אדם (6)'!B:B,' איוש משרות (8)'!C105,'עלויות כח אדם (6)'!N:N,"רכ")</f>
        <v>0</v>
      </c>
      <c r="H105" s="179">
        <f>IFERROR(VLOOKUP(P105,'עלויות כח אדם (6)'!$AE$16:$AF$3014,2,0),0)</f>
        <v>0</v>
      </c>
      <c r="I105" s="178">
        <f t="shared" si="10"/>
        <v>0</v>
      </c>
      <c r="J105" s="178">
        <f t="shared" si="11"/>
        <v>0</v>
      </c>
      <c r="K105" s="179" t="str">
        <f t="shared" si="8"/>
        <v/>
      </c>
      <c r="L105" s="718"/>
      <c r="M105" s="180" t="str">
        <f t="shared" si="12"/>
        <v/>
      </c>
      <c r="N105" s="531">
        <f t="shared" si="9"/>
        <v>0</v>
      </c>
      <c r="O105" s="531" t="str">
        <f>IF(C105&lt;&gt;"",C105&amp;'סיווג התפקידים והעלויות'!$C$2,"")</f>
        <v/>
      </c>
      <c r="P105" s="531" t="str">
        <f>IF(C105&lt;&gt;"",C105&amp;'סיווג התפקידים והעלויות'!$D$2,"")</f>
        <v/>
      </c>
    </row>
    <row r="106" spans="2:16" ht="15.75" x14ac:dyDescent="0.25">
      <c r="B106" s="176">
        <v>91</v>
      </c>
      <c r="C106" s="176" t="str">
        <f>IF(VLOOKUP(B106,'דוח ביצוע (3)'!$A$21:$B$520,2,0)="","",VLOOKUP(B106,'דוח ביצוע (3)'!$A$21:$B$520,2,0))</f>
        <v/>
      </c>
      <c r="D106" s="177" t="str">
        <f>IFERROR(VLOOKUP($C:$C,'מצבת והרשמה (2)'!$C$20:$N$520,2,0)," ")</f>
        <v/>
      </c>
      <c r="E106" s="177" t="str">
        <f>IFERROR(VLOOKUP(C106,'דוח ביצוע (3)'!B:V,5,0)," ")</f>
        <v xml:space="preserve"> </v>
      </c>
      <c r="F106" s="177" t="str">
        <f t="shared" si="7"/>
        <v/>
      </c>
      <c r="G106" s="179">
        <f>SUMIFS('עלויות כח אדם (6)'!M:M,'עלויות כח אדם (6)'!B:B,' איוש משרות (8)'!C106,'עלויות כח אדם (6)'!N:N,"רכ")</f>
        <v>0</v>
      </c>
      <c r="H106" s="179">
        <f>IFERROR(VLOOKUP(P106,'עלויות כח אדם (6)'!$AE$16:$AF$3014,2,0),0)</f>
        <v>0</v>
      </c>
      <c r="I106" s="178">
        <f t="shared" si="10"/>
        <v>0</v>
      </c>
      <c r="J106" s="178">
        <f t="shared" si="11"/>
        <v>0</v>
      </c>
      <c r="K106" s="179" t="str">
        <f t="shared" si="8"/>
        <v/>
      </c>
      <c r="L106" s="718"/>
      <c r="M106" s="180" t="str">
        <f t="shared" si="12"/>
        <v/>
      </c>
      <c r="N106" s="531">
        <f t="shared" si="9"/>
        <v>0</v>
      </c>
      <c r="O106" s="531" t="str">
        <f>IF(C106&lt;&gt;"",C106&amp;'סיווג התפקידים והעלויות'!$C$2,"")</f>
        <v/>
      </c>
      <c r="P106" s="531" t="str">
        <f>IF(C106&lt;&gt;"",C106&amp;'סיווג התפקידים והעלויות'!$D$2,"")</f>
        <v/>
      </c>
    </row>
    <row r="107" spans="2:16" ht="15.75" x14ac:dyDescent="0.25">
      <c r="B107" s="57">
        <v>92</v>
      </c>
      <c r="C107" s="176" t="str">
        <f>IF(VLOOKUP(B107,'דוח ביצוע (3)'!$A$21:$B$520,2,0)="","",VLOOKUP(B107,'דוח ביצוע (3)'!$A$21:$B$520,2,0))</f>
        <v/>
      </c>
      <c r="D107" s="177" t="str">
        <f>IFERROR(VLOOKUP($C:$C,'מצבת והרשמה (2)'!$C$20:$N$520,2,0)," ")</f>
        <v/>
      </c>
      <c r="E107" s="177" t="str">
        <f>IFERROR(VLOOKUP(C107,'דוח ביצוע (3)'!B:V,5,0)," ")</f>
        <v xml:space="preserve"> </v>
      </c>
      <c r="F107" s="177" t="str">
        <f t="shared" si="7"/>
        <v/>
      </c>
      <c r="G107" s="179">
        <f>SUMIFS('עלויות כח אדם (6)'!M:M,'עלויות כח אדם (6)'!B:B,' איוש משרות (8)'!C107,'עלויות כח אדם (6)'!N:N,"רכ")</f>
        <v>0</v>
      </c>
      <c r="H107" s="179">
        <f>IFERROR(VLOOKUP(P107,'עלויות כח אדם (6)'!$AE$16:$AF$3014,2,0),0)</f>
        <v>0</v>
      </c>
      <c r="I107" s="178">
        <f t="shared" si="10"/>
        <v>0</v>
      </c>
      <c r="J107" s="178">
        <f t="shared" si="11"/>
        <v>0</v>
      </c>
      <c r="K107" s="179" t="str">
        <f t="shared" si="8"/>
        <v/>
      </c>
      <c r="L107" s="718"/>
      <c r="M107" s="180" t="str">
        <f t="shared" si="12"/>
        <v/>
      </c>
      <c r="N107" s="531">
        <f t="shared" si="9"/>
        <v>0</v>
      </c>
      <c r="O107" s="531" t="str">
        <f>IF(C107&lt;&gt;"",C107&amp;'סיווג התפקידים והעלויות'!$C$2,"")</f>
        <v/>
      </c>
      <c r="P107" s="531" t="str">
        <f>IF(C107&lt;&gt;"",C107&amp;'סיווג התפקידים והעלויות'!$D$2,"")</f>
        <v/>
      </c>
    </row>
    <row r="108" spans="2:16" ht="15.75" x14ac:dyDescent="0.25">
      <c r="B108" s="176">
        <v>93</v>
      </c>
      <c r="C108" s="176" t="str">
        <f>IF(VLOOKUP(B108,'דוח ביצוע (3)'!$A$21:$B$520,2,0)="","",VLOOKUP(B108,'דוח ביצוע (3)'!$A$21:$B$520,2,0))</f>
        <v/>
      </c>
      <c r="D108" s="177" t="str">
        <f>IFERROR(VLOOKUP($C:$C,'מצבת והרשמה (2)'!$C$20:$N$520,2,0)," ")</f>
        <v/>
      </c>
      <c r="E108" s="177" t="str">
        <f>IFERROR(VLOOKUP(C108,'דוח ביצוע (3)'!B:V,5,0)," ")</f>
        <v xml:space="preserve"> </v>
      </c>
      <c r="F108" s="177" t="str">
        <f t="shared" si="7"/>
        <v/>
      </c>
      <c r="G108" s="179">
        <f>SUMIFS('עלויות כח אדם (6)'!M:M,'עלויות כח אדם (6)'!B:B,' איוש משרות (8)'!C108,'עלויות כח אדם (6)'!N:N,"רכ")</f>
        <v>0</v>
      </c>
      <c r="H108" s="179">
        <f>IFERROR(VLOOKUP(P108,'עלויות כח אדם (6)'!$AE$16:$AF$3014,2,0),0)</f>
        <v>0</v>
      </c>
      <c r="I108" s="178">
        <f t="shared" si="10"/>
        <v>0</v>
      </c>
      <c r="J108" s="178">
        <f t="shared" si="11"/>
        <v>0</v>
      </c>
      <c r="K108" s="179" t="str">
        <f t="shared" si="8"/>
        <v/>
      </c>
      <c r="L108" s="718"/>
      <c r="M108" s="180" t="str">
        <f t="shared" si="12"/>
        <v/>
      </c>
      <c r="N108" s="531">
        <f t="shared" si="9"/>
        <v>0</v>
      </c>
      <c r="O108" s="531" t="str">
        <f>IF(C108&lt;&gt;"",C108&amp;'סיווג התפקידים והעלויות'!$C$2,"")</f>
        <v/>
      </c>
      <c r="P108" s="531" t="str">
        <f>IF(C108&lt;&gt;"",C108&amp;'סיווג התפקידים והעלויות'!$D$2,"")</f>
        <v/>
      </c>
    </row>
    <row r="109" spans="2:16" ht="15.75" x14ac:dyDescent="0.25">
      <c r="B109" s="57">
        <v>94</v>
      </c>
      <c r="C109" s="176" t="str">
        <f>IF(VLOOKUP(B109,'דוח ביצוע (3)'!$A$21:$B$520,2,0)="","",VLOOKUP(B109,'דוח ביצוע (3)'!$A$21:$B$520,2,0))</f>
        <v/>
      </c>
      <c r="D109" s="177" t="str">
        <f>IFERROR(VLOOKUP($C:$C,'מצבת והרשמה (2)'!$C$20:$N$520,2,0)," ")</f>
        <v/>
      </c>
      <c r="E109" s="177" t="str">
        <f>IFERROR(VLOOKUP(C109,'דוח ביצוע (3)'!B:V,5,0)," ")</f>
        <v xml:space="preserve"> </v>
      </c>
      <c r="F109" s="177" t="str">
        <f t="shared" si="7"/>
        <v/>
      </c>
      <c r="G109" s="179">
        <f>SUMIFS('עלויות כח אדם (6)'!M:M,'עלויות כח אדם (6)'!B:B,' איוש משרות (8)'!C109,'עלויות כח אדם (6)'!N:N,"רכ")</f>
        <v>0</v>
      </c>
      <c r="H109" s="179">
        <f>IFERROR(VLOOKUP(P109,'עלויות כח אדם (6)'!$AE$16:$AF$3014,2,0),0)</f>
        <v>0</v>
      </c>
      <c r="I109" s="178">
        <f t="shared" si="10"/>
        <v>0</v>
      </c>
      <c r="J109" s="178">
        <f t="shared" si="11"/>
        <v>0</v>
      </c>
      <c r="K109" s="179" t="str">
        <f t="shared" si="8"/>
        <v/>
      </c>
      <c r="L109" s="718"/>
      <c r="M109" s="180" t="str">
        <f t="shared" si="12"/>
        <v/>
      </c>
      <c r="N109" s="531">
        <f t="shared" si="9"/>
        <v>0</v>
      </c>
      <c r="O109" s="531" t="str">
        <f>IF(C109&lt;&gt;"",C109&amp;'סיווג התפקידים והעלויות'!$C$2,"")</f>
        <v/>
      </c>
      <c r="P109" s="531" t="str">
        <f>IF(C109&lt;&gt;"",C109&amp;'סיווג התפקידים והעלויות'!$D$2,"")</f>
        <v/>
      </c>
    </row>
    <row r="110" spans="2:16" ht="15.75" x14ac:dyDescent="0.25">
      <c r="B110" s="176">
        <v>95</v>
      </c>
      <c r="C110" s="176" t="str">
        <f>IF(VLOOKUP(B110,'דוח ביצוע (3)'!$A$21:$B$520,2,0)="","",VLOOKUP(B110,'דוח ביצוע (3)'!$A$21:$B$520,2,0))</f>
        <v/>
      </c>
      <c r="D110" s="177" t="str">
        <f>IFERROR(VLOOKUP($C:$C,'מצבת והרשמה (2)'!$C$20:$N$520,2,0)," ")</f>
        <v/>
      </c>
      <c r="E110" s="177" t="str">
        <f>IFERROR(VLOOKUP(C110,'דוח ביצוע (3)'!B:V,5,0)," ")</f>
        <v xml:space="preserve"> </v>
      </c>
      <c r="F110" s="177" t="str">
        <f t="shared" si="7"/>
        <v/>
      </c>
      <c r="G110" s="179">
        <f>SUMIFS('עלויות כח אדם (6)'!M:M,'עלויות כח אדם (6)'!B:B,' איוש משרות (8)'!C110,'עלויות כח אדם (6)'!N:N,"רכ")</f>
        <v>0</v>
      </c>
      <c r="H110" s="179">
        <f>IFERROR(VLOOKUP(P110,'עלויות כח אדם (6)'!$AE$16:$AF$3014,2,0),0)</f>
        <v>0</v>
      </c>
      <c r="I110" s="178">
        <f t="shared" si="10"/>
        <v>0</v>
      </c>
      <c r="J110" s="178">
        <f t="shared" si="11"/>
        <v>0</v>
      </c>
      <c r="K110" s="179" t="str">
        <f t="shared" si="8"/>
        <v/>
      </c>
      <c r="L110" s="718"/>
      <c r="M110" s="180" t="str">
        <f t="shared" si="12"/>
        <v/>
      </c>
      <c r="N110" s="531">
        <f t="shared" si="9"/>
        <v>0</v>
      </c>
      <c r="O110" s="531" t="str">
        <f>IF(C110&lt;&gt;"",C110&amp;'סיווג התפקידים והעלויות'!$C$2,"")</f>
        <v/>
      </c>
      <c r="P110" s="531" t="str">
        <f>IF(C110&lt;&gt;"",C110&amp;'סיווג התפקידים והעלויות'!$D$2,"")</f>
        <v/>
      </c>
    </row>
    <row r="111" spans="2:16" ht="15.75" x14ac:dyDescent="0.25">
      <c r="B111" s="57">
        <v>96</v>
      </c>
      <c r="C111" s="176" t="str">
        <f>IF(VLOOKUP(B111,'דוח ביצוע (3)'!$A$21:$B$520,2,0)="","",VLOOKUP(B111,'דוח ביצוע (3)'!$A$21:$B$520,2,0))</f>
        <v/>
      </c>
      <c r="D111" s="177" t="str">
        <f>IFERROR(VLOOKUP($C:$C,'מצבת והרשמה (2)'!$C$20:$N$520,2,0)," ")</f>
        <v/>
      </c>
      <c r="E111" s="177" t="str">
        <f>IFERROR(VLOOKUP(C111,'דוח ביצוע (3)'!B:V,5,0)," ")</f>
        <v xml:space="preserve"> </v>
      </c>
      <c r="F111" s="177" t="str">
        <f t="shared" si="7"/>
        <v/>
      </c>
      <c r="G111" s="179">
        <f>SUMIFS('עלויות כח אדם (6)'!M:M,'עלויות כח אדם (6)'!B:B,' איוש משרות (8)'!C111,'עלויות כח אדם (6)'!N:N,"רכ")</f>
        <v>0</v>
      </c>
      <c r="H111" s="179">
        <f>IFERROR(VLOOKUP(P111,'עלויות כח אדם (6)'!$AE$16:$AF$3014,2,0),0)</f>
        <v>0</v>
      </c>
      <c r="I111" s="178">
        <f t="shared" si="10"/>
        <v>0</v>
      </c>
      <c r="J111" s="178">
        <f t="shared" si="11"/>
        <v>0</v>
      </c>
      <c r="K111" s="179" t="str">
        <f t="shared" si="8"/>
        <v/>
      </c>
      <c r="L111" s="718"/>
      <c r="M111" s="180" t="str">
        <f t="shared" si="12"/>
        <v/>
      </c>
      <c r="N111" s="531">
        <f t="shared" si="9"/>
        <v>0</v>
      </c>
      <c r="O111" s="531" t="str">
        <f>IF(C111&lt;&gt;"",C111&amp;'סיווג התפקידים והעלויות'!$C$2,"")</f>
        <v/>
      </c>
      <c r="P111" s="531" t="str">
        <f>IF(C111&lt;&gt;"",C111&amp;'סיווג התפקידים והעלויות'!$D$2,"")</f>
        <v/>
      </c>
    </row>
    <row r="112" spans="2:16" ht="15.75" x14ac:dyDescent="0.25">
      <c r="B112" s="176">
        <v>97</v>
      </c>
      <c r="C112" s="176" t="str">
        <f>IF(VLOOKUP(B112,'דוח ביצוע (3)'!$A$21:$B$520,2,0)="","",VLOOKUP(B112,'דוח ביצוע (3)'!$A$21:$B$520,2,0))</f>
        <v/>
      </c>
      <c r="D112" s="177" t="str">
        <f>IFERROR(VLOOKUP($C:$C,'מצבת והרשמה (2)'!$C$20:$N$520,2,0)," ")</f>
        <v/>
      </c>
      <c r="E112" s="177" t="str">
        <f>IFERROR(VLOOKUP(C112,'דוח ביצוע (3)'!B:V,5,0)," ")</f>
        <v xml:space="preserve"> </v>
      </c>
      <c r="F112" s="177" t="str">
        <f t="shared" si="7"/>
        <v/>
      </c>
      <c r="G112" s="179">
        <f>SUMIFS('עלויות כח אדם (6)'!M:M,'עלויות כח אדם (6)'!B:B,' איוש משרות (8)'!C112,'עלויות כח אדם (6)'!N:N,"רכ")</f>
        <v>0</v>
      </c>
      <c r="H112" s="179">
        <f>IFERROR(VLOOKUP(P112,'עלויות כח אדם (6)'!$AE$16:$AF$3014,2,0),0)</f>
        <v>0</v>
      </c>
      <c r="I112" s="178">
        <f t="shared" si="10"/>
        <v>0</v>
      </c>
      <c r="J112" s="178">
        <f t="shared" si="11"/>
        <v>0</v>
      </c>
      <c r="K112" s="179" t="str">
        <f t="shared" si="8"/>
        <v/>
      </c>
      <c r="L112" s="718"/>
      <c r="M112" s="180" t="str">
        <f t="shared" si="12"/>
        <v/>
      </c>
      <c r="N112" s="531">
        <f t="shared" si="9"/>
        <v>0</v>
      </c>
      <c r="O112" s="531" t="str">
        <f>IF(C112&lt;&gt;"",C112&amp;'סיווג התפקידים והעלויות'!$C$2,"")</f>
        <v/>
      </c>
      <c r="P112" s="531" t="str">
        <f>IF(C112&lt;&gt;"",C112&amp;'סיווג התפקידים והעלויות'!$D$2,"")</f>
        <v/>
      </c>
    </row>
    <row r="113" spans="2:16" ht="15.75" x14ac:dyDescent="0.25">
      <c r="B113" s="57">
        <v>98</v>
      </c>
      <c r="C113" s="176" t="str">
        <f>IF(VLOOKUP(B113,'דוח ביצוע (3)'!$A$21:$B$520,2,0)="","",VLOOKUP(B113,'דוח ביצוע (3)'!$A$21:$B$520,2,0))</f>
        <v/>
      </c>
      <c r="D113" s="177" t="str">
        <f>IFERROR(VLOOKUP($C:$C,'מצבת והרשמה (2)'!$C$20:$N$520,2,0)," ")</f>
        <v/>
      </c>
      <c r="E113" s="177" t="str">
        <f>IFERROR(VLOOKUP(C113,'דוח ביצוע (3)'!B:V,5,0)," ")</f>
        <v xml:space="preserve"> </v>
      </c>
      <c r="F113" s="177" t="str">
        <f t="shared" si="7"/>
        <v/>
      </c>
      <c r="G113" s="179">
        <f>SUMIFS('עלויות כח אדם (6)'!M:M,'עלויות כח אדם (6)'!B:B,' איוש משרות (8)'!C113,'עלויות כח אדם (6)'!N:N,"רכ")</f>
        <v>0</v>
      </c>
      <c r="H113" s="179">
        <f>IFERROR(VLOOKUP(P113,'עלויות כח אדם (6)'!$AE$16:$AF$3014,2,0),0)</f>
        <v>0</v>
      </c>
      <c r="I113" s="178">
        <f t="shared" si="10"/>
        <v>0</v>
      </c>
      <c r="J113" s="178">
        <f t="shared" si="11"/>
        <v>0</v>
      </c>
      <c r="K113" s="179" t="str">
        <f t="shared" si="8"/>
        <v/>
      </c>
      <c r="L113" s="718"/>
      <c r="M113" s="180" t="str">
        <f t="shared" si="12"/>
        <v/>
      </c>
      <c r="N113" s="531">
        <f t="shared" si="9"/>
        <v>0</v>
      </c>
      <c r="O113" s="531" t="str">
        <f>IF(C113&lt;&gt;"",C113&amp;'סיווג התפקידים והעלויות'!$C$2,"")</f>
        <v/>
      </c>
      <c r="P113" s="531" t="str">
        <f>IF(C113&lt;&gt;"",C113&amp;'סיווג התפקידים והעלויות'!$D$2,"")</f>
        <v/>
      </c>
    </row>
    <row r="114" spans="2:16" ht="15.75" x14ac:dyDescent="0.25">
      <c r="B114" s="176">
        <v>99</v>
      </c>
      <c r="C114" s="176" t="str">
        <f>IF(VLOOKUP(B114,'דוח ביצוע (3)'!$A$21:$B$520,2,0)="","",VLOOKUP(B114,'דוח ביצוע (3)'!$A$21:$B$520,2,0))</f>
        <v/>
      </c>
      <c r="D114" s="177" t="str">
        <f>IFERROR(VLOOKUP($C:$C,'מצבת והרשמה (2)'!$C$20:$N$520,2,0)," ")</f>
        <v/>
      </c>
      <c r="E114" s="177" t="str">
        <f>IFERROR(VLOOKUP(C114,'דוח ביצוע (3)'!B:V,5,0)," ")</f>
        <v xml:space="preserve"> </v>
      </c>
      <c r="F114" s="177" t="str">
        <f t="shared" si="7"/>
        <v/>
      </c>
      <c r="G114" s="179">
        <f>SUMIFS('עלויות כח אדם (6)'!M:M,'עלויות כח אדם (6)'!B:B,' איוש משרות (8)'!C114,'עלויות כח אדם (6)'!N:N,"רכ")</f>
        <v>0</v>
      </c>
      <c r="H114" s="179">
        <f>IFERROR(VLOOKUP(P114,'עלויות כח אדם (6)'!$AE$16:$AF$3014,2,0),0)</f>
        <v>0</v>
      </c>
      <c r="I114" s="178">
        <f t="shared" si="10"/>
        <v>0</v>
      </c>
      <c r="J114" s="178">
        <f t="shared" si="11"/>
        <v>0</v>
      </c>
      <c r="K114" s="179" t="str">
        <f t="shared" si="8"/>
        <v/>
      </c>
      <c r="L114" s="718"/>
      <c r="M114" s="180" t="str">
        <f t="shared" si="12"/>
        <v/>
      </c>
      <c r="N114" s="531">
        <f t="shared" si="9"/>
        <v>0</v>
      </c>
      <c r="O114" s="531" t="str">
        <f>IF(C114&lt;&gt;"",C114&amp;'סיווג התפקידים והעלויות'!$C$2,"")</f>
        <v/>
      </c>
      <c r="P114" s="531" t="str">
        <f>IF(C114&lt;&gt;"",C114&amp;'סיווג התפקידים והעלויות'!$D$2,"")</f>
        <v/>
      </c>
    </row>
    <row r="115" spans="2:16" ht="15.75" x14ac:dyDescent="0.25">
      <c r="B115" s="57">
        <v>100</v>
      </c>
      <c r="C115" s="176" t="str">
        <f>IF(VLOOKUP(B115,'דוח ביצוע (3)'!$A$21:$B$520,2,0)="","",VLOOKUP(B115,'דוח ביצוע (3)'!$A$21:$B$520,2,0))</f>
        <v/>
      </c>
      <c r="D115" s="177" t="str">
        <f>IFERROR(VLOOKUP($C:$C,'מצבת והרשמה (2)'!$C$20:$N$520,2,0)," ")</f>
        <v/>
      </c>
      <c r="E115" s="177" t="str">
        <f>IFERROR(VLOOKUP(C115,'דוח ביצוע (3)'!B:V,5,0)," ")</f>
        <v xml:space="preserve"> </v>
      </c>
      <c r="F115" s="177" t="str">
        <f t="shared" si="7"/>
        <v/>
      </c>
      <c r="G115" s="179">
        <f>SUMIFS('עלויות כח אדם (6)'!M:M,'עלויות כח אדם (6)'!B:B,' איוש משרות (8)'!C115,'עלויות כח אדם (6)'!N:N,"רכ")</f>
        <v>0</v>
      </c>
      <c r="H115" s="179">
        <f>IFERROR(VLOOKUP(P115,'עלויות כח אדם (6)'!$AE$16:$AF$3014,2,0),0)</f>
        <v>0</v>
      </c>
      <c r="I115" s="178">
        <f t="shared" si="10"/>
        <v>0</v>
      </c>
      <c r="J115" s="178">
        <f t="shared" si="11"/>
        <v>0</v>
      </c>
      <c r="K115" s="179" t="str">
        <f t="shared" si="8"/>
        <v/>
      </c>
      <c r="L115" s="718"/>
      <c r="M115" s="180" t="str">
        <f t="shared" si="12"/>
        <v/>
      </c>
      <c r="N115" s="531">
        <f t="shared" si="9"/>
        <v>0</v>
      </c>
      <c r="O115" s="531" t="str">
        <f>IF(C115&lt;&gt;"",C115&amp;'סיווג התפקידים והעלויות'!$C$2,"")</f>
        <v/>
      </c>
      <c r="P115" s="531" t="str">
        <f>IF(C115&lt;&gt;"",C115&amp;'סיווג התפקידים והעלויות'!$D$2,"")</f>
        <v/>
      </c>
    </row>
    <row r="116" spans="2:16" ht="15.75" x14ac:dyDescent="0.25">
      <c r="B116" s="176">
        <v>101</v>
      </c>
      <c r="C116" s="176" t="str">
        <f>IF(VLOOKUP(B116,'דוח ביצוע (3)'!$A$21:$B$520,2,0)="","",VLOOKUP(B116,'דוח ביצוע (3)'!$A$21:$B$520,2,0))</f>
        <v/>
      </c>
      <c r="D116" s="177" t="str">
        <f>IFERROR(VLOOKUP($C:$C,'מצבת והרשמה (2)'!$C$20:$N$520,2,0)," ")</f>
        <v/>
      </c>
      <c r="E116" s="177" t="str">
        <f>IFERROR(VLOOKUP(C116,'דוח ביצוע (3)'!B:V,5,0)," ")</f>
        <v xml:space="preserve"> </v>
      </c>
      <c r="F116" s="177" t="str">
        <f t="shared" si="7"/>
        <v/>
      </c>
      <c r="G116" s="179">
        <f>SUMIFS('עלויות כח אדם (6)'!M:M,'עלויות כח אדם (6)'!B:B,' איוש משרות (8)'!C116,'עלויות כח אדם (6)'!N:N,"רכ")</f>
        <v>0</v>
      </c>
      <c r="H116" s="179">
        <f>IFERROR(VLOOKUP(P116,'עלויות כח אדם (6)'!$AE$16:$AF$3014,2,0),0)</f>
        <v>0</v>
      </c>
      <c r="I116" s="178">
        <f t="shared" si="10"/>
        <v>0</v>
      </c>
      <c r="J116" s="178">
        <f t="shared" si="11"/>
        <v>0</v>
      </c>
      <c r="K116" s="179" t="str">
        <f t="shared" si="8"/>
        <v/>
      </c>
      <c r="L116" s="718"/>
      <c r="M116" s="180" t="str">
        <f t="shared" si="12"/>
        <v/>
      </c>
      <c r="N116" s="531">
        <f t="shared" si="9"/>
        <v>0</v>
      </c>
      <c r="O116" s="531" t="str">
        <f>IF(C116&lt;&gt;"",C116&amp;'סיווג התפקידים והעלויות'!$C$2,"")</f>
        <v/>
      </c>
      <c r="P116" s="531" t="str">
        <f>IF(C116&lt;&gt;"",C116&amp;'סיווג התפקידים והעלויות'!$D$2,"")</f>
        <v/>
      </c>
    </row>
    <row r="117" spans="2:16" ht="15.75" x14ac:dyDescent="0.25">
      <c r="B117" s="57">
        <v>102</v>
      </c>
      <c r="C117" s="176" t="str">
        <f>IF(VLOOKUP(B117,'דוח ביצוע (3)'!$A$21:$B$520,2,0)="","",VLOOKUP(B117,'דוח ביצוע (3)'!$A$21:$B$520,2,0))</f>
        <v/>
      </c>
      <c r="D117" s="177" t="str">
        <f>IFERROR(VLOOKUP($C:$C,'מצבת והרשמה (2)'!$C$20:$N$520,2,0)," ")</f>
        <v/>
      </c>
      <c r="E117" s="177" t="str">
        <f>IFERROR(VLOOKUP(C117,'דוח ביצוע (3)'!B:V,5,0)," ")</f>
        <v xml:space="preserve"> </v>
      </c>
      <c r="F117" s="177" t="str">
        <f t="shared" si="7"/>
        <v/>
      </c>
      <c r="G117" s="179">
        <f>SUMIFS('עלויות כח אדם (6)'!M:M,'עלויות כח אדם (6)'!B:B,' איוש משרות (8)'!C117,'עלויות כח אדם (6)'!N:N,"רכ")</f>
        <v>0</v>
      </c>
      <c r="H117" s="179">
        <f>IFERROR(VLOOKUP(P117,'עלויות כח אדם (6)'!$AE$16:$AF$3014,2,0),0)</f>
        <v>0</v>
      </c>
      <c r="I117" s="178">
        <f t="shared" si="10"/>
        <v>0</v>
      </c>
      <c r="J117" s="178">
        <f t="shared" si="11"/>
        <v>0</v>
      </c>
      <c r="K117" s="179" t="str">
        <f t="shared" si="8"/>
        <v/>
      </c>
      <c r="L117" s="718"/>
      <c r="M117" s="180" t="str">
        <f t="shared" si="12"/>
        <v/>
      </c>
      <c r="N117" s="531">
        <f t="shared" si="9"/>
        <v>0</v>
      </c>
      <c r="O117" s="531" t="str">
        <f>IF(C117&lt;&gt;"",C117&amp;'סיווג התפקידים והעלויות'!$C$2,"")</f>
        <v/>
      </c>
      <c r="P117" s="531" t="str">
        <f>IF(C117&lt;&gt;"",C117&amp;'סיווג התפקידים והעלויות'!$D$2,"")</f>
        <v/>
      </c>
    </row>
    <row r="118" spans="2:16" ht="15.75" x14ac:dyDescent="0.25">
      <c r="B118" s="176">
        <v>103</v>
      </c>
      <c r="C118" s="176" t="str">
        <f>IF(VLOOKUP(B118,'דוח ביצוע (3)'!$A$21:$B$520,2,0)="","",VLOOKUP(B118,'דוח ביצוע (3)'!$A$21:$B$520,2,0))</f>
        <v/>
      </c>
      <c r="D118" s="177" t="str">
        <f>IFERROR(VLOOKUP($C:$C,'מצבת והרשמה (2)'!$C$20:$N$520,2,0)," ")</f>
        <v/>
      </c>
      <c r="E118" s="177" t="str">
        <f>IFERROR(VLOOKUP(C118,'דוח ביצוע (3)'!B:V,5,0)," ")</f>
        <v xml:space="preserve"> </v>
      </c>
      <c r="F118" s="177" t="str">
        <f t="shared" si="7"/>
        <v/>
      </c>
      <c r="G118" s="179">
        <f>SUMIFS('עלויות כח אדם (6)'!M:M,'עלויות כח אדם (6)'!B:B,' איוש משרות (8)'!C118,'עלויות כח אדם (6)'!N:N,"רכ")</f>
        <v>0</v>
      </c>
      <c r="H118" s="179">
        <f>IFERROR(VLOOKUP(P118,'עלויות כח אדם (6)'!$AE$16:$AF$3014,2,0),0)</f>
        <v>0</v>
      </c>
      <c r="I118" s="178">
        <f t="shared" si="10"/>
        <v>0</v>
      </c>
      <c r="J118" s="178">
        <f t="shared" si="11"/>
        <v>0</v>
      </c>
      <c r="K118" s="179" t="str">
        <f t="shared" si="8"/>
        <v/>
      </c>
      <c r="L118" s="718"/>
      <c r="M118" s="180" t="str">
        <f t="shared" si="12"/>
        <v/>
      </c>
      <c r="N118" s="531">
        <f t="shared" si="9"/>
        <v>0</v>
      </c>
      <c r="O118" s="531" t="str">
        <f>IF(C118&lt;&gt;"",C118&amp;'סיווג התפקידים והעלויות'!$C$2,"")</f>
        <v/>
      </c>
      <c r="P118" s="531" t="str">
        <f>IF(C118&lt;&gt;"",C118&amp;'סיווג התפקידים והעלויות'!$D$2,"")</f>
        <v/>
      </c>
    </row>
    <row r="119" spans="2:16" ht="15.75" x14ac:dyDescent="0.25">
      <c r="B119" s="57">
        <v>104</v>
      </c>
      <c r="C119" s="176" t="str">
        <f>IF(VLOOKUP(B119,'דוח ביצוע (3)'!$A$21:$B$520,2,0)="","",VLOOKUP(B119,'דוח ביצוע (3)'!$A$21:$B$520,2,0))</f>
        <v/>
      </c>
      <c r="D119" s="177" t="str">
        <f>IFERROR(VLOOKUP($C:$C,'מצבת והרשמה (2)'!$C$20:$N$520,2,0)," ")</f>
        <v/>
      </c>
      <c r="E119" s="177" t="str">
        <f>IFERROR(VLOOKUP(C119,'דוח ביצוע (3)'!B:V,5,0)," ")</f>
        <v xml:space="preserve"> </v>
      </c>
      <c r="F119" s="177" t="str">
        <f t="shared" si="7"/>
        <v/>
      </c>
      <c r="G119" s="179">
        <f>SUMIFS('עלויות כח אדם (6)'!M:M,'עלויות כח אדם (6)'!B:B,' איוש משרות (8)'!C119,'עלויות כח אדם (6)'!N:N,"רכ")</f>
        <v>0</v>
      </c>
      <c r="H119" s="179">
        <f>IFERROR(VLOOKUP(P119,'עלויות כח אדם (6)'!$AE$16:$AF$3014,2,0),0)</f>
        <v>0</v>
      </c>
      <c r="I119" s="178">
        <f t="shared" si="10"/>
        <v>0</v>
      </c>
      <c r="J119" s="178">
        <f t="shared" si="11"/>
        <v>0</v>
      </c>
      <c r="K119" s="179" t="str">
        <f t="shared" si="8"/>
        <v/>
      </c>
      <c r="L119" s="718"/>
      <c r="M119" s="180" t="str">
        <f t="shared" si="12"/>
        <v/>
      </c>
      <c r="N119" s="531">
        <f t="shared" si="9"/>
        <v>0</v>
      </c>
      <c r="O119" s="531" t="str">
        <f>IF(C119&lt;&gt;"",C119&amp;'סיווג התפקידים והעלויות'!$C$2,"")</f>
        <v/>
      </c>
      <c r="P119" s="531" t="str">
        <f>IF(C119&lt;&gt;"",C119&amp;'סיווג התפקידים והעלויות'!$D$2,"")</f>
        <v/>
      </c>
    </row>
    <row r="120" spans="2:16" ht="15.75" x14ac:dyDescent="0.25">
      <c r="B120" s="176">
        <v>105</v>
      </c>
      <c r="C120" s="176" t="str">
        <f>IF(VLOOKUP(B120,'דוח ביצוע (3)'!$A$21:$B$520,2,0)="","",VLOOKUP(B120,'דוח ביצוע (3)'!$A$21:$B$520,2,0))</f>
        <v/>
      </c>
      <c r="D120" s="177" t="str">
        <f>IFERROR(VLOOKUP($C:$C,'מצבת והרשמה (2)'!$C$20:$N$520,2,0)," ")</f>
        <v/>
      </c>
      <c r="E120" s="177" t="str">
        <f>IFERROR(VLOOKUP(C120,'דוח ביצוע (3)'!B:V,5,0)," ")</f>
        <v xml:space="preserve"> </v>
      </c>
      <c r="F120" s="177" t="str">
        <f t="shared" si="7"/>
        <v/>
      </c>
      <c r="G120" s="179">
        <f>SUMIFS('עלויות כח אדם (6)'!M:M,'עלויות כח אדם (6)'!B:B,' איוש משרות (8)'!C120,'עלויות כח אדם (6)'!N:N,"רכ")</f>
        <v>0</v>
      </c>
      <c r="H120" s="179">
        <f>IFERROR(VLOOKUP(P120,'עלויות כח אדם (6)'!$AE$16:$AF$3014,2,0),0)</f>
        <v>0</v>
      </c>
      <c r="I120" s="178">
        <f t="shared" si="10"/>
        <v>0</v>
      </c>
      <c r="J120" s="178">
        <f t="shared" si="11"/>
        <v>0</v>
      </c>
      <c r="K120" s="179" t="str">
        <f t="shared" si="8"/>
        <v/>
      </c>
      <c r="L120" s="718"/>
      <c r="M120" s="180" t="str">
        <f t="shared" si="12"/>
        <v/>
      </c>
      <c r="N120" s="531">
        <f t="shared" si="9"/>
        <v>0</v>
      </c>
      <c r="O120" s="531" t="str">
        <f>IF(C120&lt;&gt;"",C120&amp;'סיווג התפקידים והעלויות'!$C$2,"")</f>
        <v/>
      </c>
      <c r="P120" s="531" t="str">
        <f>IF(C120&lt;&gt;"",C120&amp;'סיווג התפקידים והעלויות'!$D$2,"")</f>
        <v/>
      </c>
    </row>
    <row r="121" spans="2:16" ht="15.75" x14ac:dyDescent="0.25">
      <c r="B121" s="57">
        <v>106</v>
      </c>
      <c r="C121" s="176" t="str">
        <f>IF(VLOOKUP(B121,'דוח ביצוע (3)'!$A$21:$B$520,2,0)="","",VLOOKUP(B121,'דוח ביצוע (3)'!$A$21:$B$520,2,0))</f>
        <v/>
      </c>
      <c r="D121" s="177" t="str">
        <f>IFERROR(VLOOKUP($C:$C,'מצבת והרשמה (2)'!$C$20:$N$520,2,0)," ")</f>
        <v/>
      </c>
      <c r="E121" s="177" t="str">
        <f>IFERROR(VLOOKUP(C121,'דוח ביצוע (3)'!B:V,5,0)," ")</f>
        <v xml:space="preserve"> </v>
      </c>
      <c r="F121" s="177" t="str">
        <f t="shared" si="7"/>
        <v/>
      </c>
      <c r="G121" s="179">
        <f>SUMIFS('עלויות כח אדם (6)'!M:M,'עלויות כח אדם (6)'!B:B,' איוש משרות (8)'!C121,'עלויות כח אדם (6)'!N:N,"רכ")</f>
        <v>0</v>
      </c>
      <c r="H121" s="179">
        <f>IFERROR(VLOOKUP(P121,'עלויות כח אדם (6)'!$AE$16:$AF$3014,2,0),0)</f>
        <v>0</v>
      </c>
      <c r="I121" s="178">
        <f t="shared" si="10"/>
        <v>0</v>
      </c>
      <c r="J121" s="178">
        <f t="shared" si="11"/>
        <v>0</v>
      </c>
      <c r="K121" s="179" t="str">
        <f t="shared" si="8"/>
        <v/>
      </c>
      <c r="L121" s="718"/>
      <c r="M121" s="180" t="str">
        <f t="shared" si="12"/>
        <v/>
      </c>
      <c r="N121" s="531">
        <f t="shared" si="9"/>
        <v>0</v>
      </c>
      <c r="O121" s="531" t="str">
        <f>IF(C121&lt;&gt;"",C121&amp;'סיווג התפקידים והעלויות'!$C$2,"")</f>
        <v/>
      </c>
      <c r="P121" s="531" t="str">
        <f>IF(C121&lt;&gt;"",C121&amp;'סיווג התפקידים והעלויות'!$D$2,"")</f>
        <v/>
      </c>
    </row>
    <row r="122" spans="2:16" ht="15.75" x14ac:dyDescent="0.25">
      <c r="B122" s="176">
        <v>107</v>
      </c>
      <c r="C122" s="176" t="str">
        <f>IF(VLOOKUP(B122,'דוח ביצוע (3)'!$A$21:$B$520,2,0)="","",VLOOKUP(B122,'דוח ביצוע (3)'!$A$21:$B$520,2,0))</f>
        <v/>
      </c>
      <c r="D122" s="177" t="str">
        <f>IFERROR(VLOOKUP($C:$C,'מצבת והרשמה (2)'!$C$20:$N$520,2,0)," ")</f>
        <v/>
      </c>
      <c r="E122" s="177" t="str">
        <f>IFERROR(VLOOKUP(C122,'דוח ביצוע (3)'!B:V,5,0)," ")</f>
        <v xml:space="preserve"> </v>
      </c>
      <c r="F122" s="177" t="str">
        <f t="shared" si="7"/>
        <v/>
      </c>
      <c r="G122" s="179">
        <f>SUMIFS('עלויות כח אדם (6)'!M:M,'עלויות כח אדם (6)'!B:B,' איוש משרות (8)'!C122,'עלויות כח אדם (6)'!N:N,"רכ")</f>
        <v>0</v>
      </c>
      <c r="H122" s="179">
        <f>IFERROR(VLOOKUP(P122,'עלויות כח אדם (6)'!$AE$16:$AF$3014,2,0),0)</f>
        <v>0</v>
      </c>
      <c r="I122" s="178">
        <f t="shared" si="10"/>
        <v>0</v>
      </c>
      <c r="J122" s="178">
        <f t="shared" si="11"/>
        <v>0</v>
      </c>
      <c r="K122" s="179" t="str">
        <f t="shared" si="8"/>
        <v/>
      </c>
      <c r="L122" s="718"/>
      <c r="M122" s="180" t="str">
        <f t="shared" si="12"/>
        <v/>
      </c>
      <c r="N122" s="531">
        <f t="shared" si="9"/>
        <v>0</v>
      </c>
      <c r="O122" s="531" t="str">
        <f>IF(C122&lt;&gt;"",C122&amp;'סיווג התפקידים והעלויות'!$C$2,"")</f>
        <v/>
      </c>
      <c r="P122" s="531" t="str">
        <f>IF(C122&lt;&gt;"",C122&amp;'סיווג התפקידים והעלויות'!$D$2,"")</f>
        <v/>
      </c>
    </row>
    <row r="123" spans="2:16" ht="15.75" x14ac:dyDescent="0.25">
      <c r="B123" s="57">
        <v>108</v>
      </c>
      <c r="C123" s="176" t="str">
        <f>IF(VLOOKUP(B123,'דוח ביצוע (3)'!$A$21:$B$520,2,0)="","",VLOOKUP(B123,'דוח ביצוע (3)'!$A$21:$B$520,2,0))</f>
        <v/>
      </c>
      <c r="D123" s="177" t="str">
        <f>IFERROR(VLOOKUP($C:$C,'מצבת והרשמה (2)'!$C$20:$N$520,2,0)," ")</f>
        <v/>
      </c>
      <c r="E123" s="177" t="str">
        <f>IFERROR(VLOOKUP(C123,'דוח ביצוע (3)'!B:V,5,0)," ")</f>
        <v xml:space="preserve"> </v>
      </c>
      <c r="F123" s="177" t="str">
        <f t="shared" si="7"/>
        <v/>
      </c>
      <c r="G123" s="179">
        <f>SUMIFS('עלויות כח אדם (6)'!M:M,'עלויות כח אדם (6)'!B:B,' איוש משרות (8)'!C123,'עלויות כח אדם (6)'!N:N,"רכ")</f>
        <v>0</v>
      </c>
      <c r="H123" s="179">
        <f>IFERROR(VLOOKUP(P123,'עלויות כח אדם (6)'!$AE$16:$AF$3014,2,0),0)</f>
        <v>0</v>
      </c>
      <c r="I123" s="178">
        <f t="shared" si="10"/>
        <v>0</v>
      </c>
      <c r="J123" s="178">
        <f t="shared" si="11"/>
        <v>0</v>
      </c>
      <c r="K123" s="179" t="str">
        <f t="shared" si="8"/>
        <v/>
      </c>
      <c r="L123" s="718"/>
      <c r="M123" s="180" t="str">
        <f t="shared" si="12"/>
        <v/>
      </c>
      <c r="N123" s="531">
        <f t="shared" si="9"/>
        <v>0</v>
      </c>
      <c r="O123" s="531" t="str">
        <f>IF(C123&lt;&gt;"",C123&amp;'סיווג התפקידים והעלויות'!$C$2,"")</f>
        <v/>
      </c>
      <c r="P123" s="531" t="str">
        <f>IF(C123&lt;&gt;"",C123&amp;'סיווג התפקידים והעלויות'!$D$2,"")</f>
        <v/>
      </c>
    </row>
    <row r="124" spans="2:16" ht="15.75" x14ac:dyDescent="0.25">
      <c r="B124" s="176">
        <v>109</v>
      </c>
      <c r="C124" s="176" t="str">
        <f>IF(VLOOKUP(B124,'דוח ביצוע (3)'!$A$21:$B$520,2,0)="","",VLOOKUP(B124,'דוח ביצוע (3)'!$A$21:$B$520,2,0))</f>
        <v/>
      </c>
      <c r="D124" s="177" t="str">
        <f>IFERROR(VLOOKUP($C:$C,'מצבת והרשמה (2)'!$C$20:$N$520,2,0)," ")</f>
        <v/>
      </c>
      <c r="E124" s="177" t="str">
        <f>IFERROR(VLOOKUP(C124,'דוח ביצוע (3)'!B:V,5,0)," ")</f>
        <v xml:space="preserve"> </v>
      </c>
      <c r="F124" s="177" t="str">
        <f t="shared" si="7"/>
        <v/>
      </c>
      <c r="G124" s="179">
        <f>SUMIFS('עלויות כח אדם (6)'!M:M,'עלויות כח אדם (6)'!B:B,' איוש משרות (8)'!C124,'עלויות כח אדם (6)'!N:N,"רכ")</f>
        <v>0</v>
      </c>
      <c r="H124" s="179">
        <f>IFERROR(VLOOKUP(P124,'עלויות כח אדם (6)'!$AE$16:$AF$3014,2,0),0)</f>
        <v>0</v>
      </c>
      <c r="I124" s="178">
        <f t="shared" si="10"/>
        <v>0</v>
      </c>
      <c r="J124" s="178">
        <f t="shared" si="11"/>
        <v>0</v>
      </c>
      <c r="K124" s="179" t="str">
        <f t="shared" si="8"/>
        <v/>
      </c>
      <c r="L124" s="718"/>
      <c r="M124" s="180" t="str">
        <f t="shared" si="12"/>
        <v/>
      </c>
      <c r="N124" s="531">
        <f t="shared" si="9"/>
        <v>0</v>
      </c>
      <c r="O124" s="531" t="str">
        <f>IF(C124&lt;&gt;"",C124&amp;'סיווג התפקידים והעלויות'!$C$2,"")</f>
        <v/>
      </c>
      <c r="P124" s="531" t="str">
        <f>IF(C124&lt;&gt;"",C124&amp;'סיווג התפקידים והעלויות'!$D$2,"")</f>
        <v/>
      </c>
    </row>
    <row r="125" spans="2:16" ht="15.75" x14ac:dyDescent="0.25">
      <c r="B125" s="57">
        <v>110</v>
      </c>
      <c r="C125" s="176" t="str">
        <f>IF(VLOOKUP(B125,'דוח ביצוע (3)'!$A$21:$B$520,2,0)="","",VLOOKUP(B125,'דוח ביצוע (3)'!$A$21:$B$520,2,0))</f>
        <v/>
      </c>
      <c r="D125" s="177" t="str">
        <f>IFERROR(VLOOKUP($C:$C,'מצבת והרשמה (2)'!$C$20:$N$520,2,0)," ")</f>
        <v/>
      </c>
      <c r="E125" s="177" t="str">
        <f>IFERROR(VLOOKUP(C125,'דוח ביצוע (3)'!B:V,5,0)," ")</f>
        <v xml:space="preserve"> </v>
      </c>
      <c r="F125" s="177" t="str">
        <f t="shared" si="7"/>
        <v/>
      </c>
      <c r="G125" s="179">
        <f>SUMIFS('עלויות כח אדם (6)'!M:M,'עלויות כח אדם (6)'!B:B,' איוש משרות (8)'!C125,'עלויות כח אדם (6)'!N:N,"רכ")</f>
        <v>0</v>
      </c>
      <c r="H125" s="179">
        <f>IFERROR(VLOOKUP(P125,'עלויות כח אדם (6)'!$AE$16:$AF$3014,2,0),0)</f>
        <v>0</v>
      </c>
      <c r="I125" s="178">
        <f t="shared" si="10"/>
        <v>0</v>
      </c>
      <c r="J125" s="178">
        <f t="shared" si="11"/>
        <v>0</v>
      </c>
      <c r="K125" s="179" t="str">
        <f t="shared" si="8"/>
        <v/>
      </c>
      <c r="L125" s="718"/>
      <c r="M125" s="180" t="str">
        <f t="shared" si="12"/>
        <v/>
      </c>
      <c r="N125" s="531">
        <f t="shared" si="9"/>
        <v>0</v>
      </c>
      <c r="O125" s="531" t="str">
        <f>IF(C125&lt;&gt;"",C125&amp;'סיווג התפקידים והעלויות'!$C$2,"")</f>
        <v/>
      </c>
      <c r="P125" s="531" t="str">
        <f>IF(C125&lt;&gt;"",C125&amp;'סיווג התפקידים והעלויות'!$D$2,"")</f>
        <v/>
      </c>
    </row>
    <row r="126" spans="2:16" ht="15.75" x14ac:dyDescent="0.25">
      <c r="B126" s="176">
        <v>111</v>
      </c>
      <c r="C126" s="176" t="str">
        <f>IF(VLOOKUP(B126,'דוח ביצוע (3)'!$A$21:$B$520,2,0)="","",VLOOKUP(B126,'דוח ביצוע (3)'!$A$21:$B$520,2,0))</f>
        <v/>
      </c>
      <c r="D126" s="177" t="str">
        <f>IFERROR(VLOOKUP($C:$C,'מצבת והרשמה (2)'!$C$20:$N$520,2,0)," ")</f>
        <v/>
      </c>
      <c r="E126" s="177" t="str">
        <f>IFERROR(VLOOKUP(C126,'דוח ביצוע (3)'!B:V,5,0)," ")</f>
        <v xml:space="preserve"> </v>
      </c>
      <c r="F126" s="177" t="str">
        <f t="shared" si="7"/>
        <v/>
      </c>
      <c r="G126" s="179">
        <f>SUMIFS('עלויות כח אדם (6)'!M:M,'עלויות כח אדם (6)'!B:B,' איוש משרות (8)'!C126,'עלויות כח אדם (6)'!N:N,"רכ")</f>
        <v>0</v>
      </c>
      <c r="H126" s="179">
        <f>IFERROR(VLOOKUP(P126,'עלויות כח אדם (6)'!$AE$16:$AF$3014,2,0),0)</f>
        <v>0</v>
      </c>
      <c r="I126" s="178">
        <f t="shared" si="10"/>
        <v>0</v>
      </c>
      <c r="J126" s="178">
        <f t="shared" si="11"/>
        <v>0</v>
      </c>
      <c r="K126" s="179" t="str">
        <f t="shared" si="8"/>
        <v/>
      </c>
      <c r="L126" s="718"/>
      <c r="M126" s="180" t="str">
        <f t="shared" si="12"/>
        <v/>
      </c>
      <c r="N126" s="531">
        <f t="shared" si="9"/>
        <v>0</v>
      </c>
      <c r="O126" s="531" t="str">
        <f>IF(C126&lt;&gt;"",C126&amp;'סיווג התפקידים והעלויות'!$C$2,"")</f>
        <v/>
      </c>
      <c r="P126" s="531" t="str">
        <f>IF(C126&lt;&gt;"",C126&amp;'סיווג התפקידים והעלויות'!$D$2,"")</f>
        <v/>
      </c>
    </row>
    <row r="127" spans="2:16" ht="15.75" x14ac:dyDescent="0.25">
      <c r="B127" s="57">
        <v>112</v>
      </c>
      <c r="C127" s="176" t="str">
        <f>IF(VLOOKUP(B127,'דוח ביצוע (3)'!$A$21:$B$520,2,0)="","",VLOOKUP(B127,'דוח ביצוע (3)'!$A$21:$B$520,2,0))</f>
        <v/>
      </c>
      <c r="D127" s="177" t="str">
        <f>IFERROR(VLOOKUP($C:$C,'מצבת והרשמה (2)'!$C$20:$N$520,2,0)," ")</f>
        <v/>
      </c>
      <c r="E127" s="177" t="str">
        <f>IFERROR(VLOOKUP(C127,'דוח ביצוע (3)'!B:V,5,0)," ")</f>
        <v xml:space="preserve"> </v>
      </c>
      <c r="F127" s="177" t="str">
        <f t="shared" si="7"/>
        <v/>
      </c>
      <c r="G127" s="179">
        <f>SUMIFS('עלויות כח אדם (6)'!M:M,'עלויות כח אדם (6)'!B:B,' איוש משרות (8)'!C127,'עלויות כח אדם (6)'!N:N,"רכ")</f>
        <v>0</v>
      </c>
      <c r="H127" s="179">
        <f>IFERROR(VLOOKUP(P127,'עלויות כח אדם (6)'!$AE$16:$AF$3014,2,0),0)</f>
        <v>0</v>
      </c>
      <c r="I127" s="178">
        <f t="shared" si="10"/>
        <v>0</v>
      </c>
      <c r="J127" s="178">
        <f t="shared" si="11"/>
        <v>0</v>
      </c>
      <c r="K127" s="179" t="str">
        <f t="shared" si="8"/>
        <v/>
      </c>
      <c r="L127" s="718"/>
      <c r="M127" s="180" t="str">
        <f t="shared" si="12"/>
        <v/>
      </c>
      <c r="N127" s="531">
        <f t="shared" si="9"/>
        <v>0</v>
      </c>
      <c r="O127" s="531" t="str">
        <f>IF(C127&lt;&gt;"",C127&amp;'סיווג התפקידים והעלויות'!$C$2,"")</f>
        <v/>
      </c>
      <c r="P127" s="531" t="str">
        <f>IF(C127&lt;&gt;"",C127&amp;'סיווג התפקידים והעלויות'!$D$2,"")</f>
        <v/>
      </c>
    </row>
    <row r="128" spans="2:16" ht="15.75" x14ac:dyDescent="0.25">
      <c r="B128" s="176">
        <v>113</v>
      </c>
      <c r="C128" s="176" t="str">
        <f>IF(VLOOKUP(B128,'דוח ביצוע (3)'!$A$21:$B$520,2,0)="","",VLOOKUP(B128,'דוח ביצוע (3)'!$A$21:$B$520,2,0))</f>
        <v/>
      </c>
      <c r="D128" s="177" t="str">
        <f>IFERROR(VLOOKUP($C:$C,'מצבת והרשמה (2)'!$C$20:$N$520,2,0)," ")</f>
        <v/>
      </c>
      <c r="E128" s="177" t="str">
        <f>IFERROR(VLOOKUP(C128,'דוח ביצוע (3)'!B:V,5,0)," ")</f>
        <v xml:space="preserve"> </v>
      </c>
      <c r="F128" s="177" t="str">
        <f t="shared" si="7"/>
        <v/>
      </c>
      <c r="G128" s="179">
        <f>SUMIFS('עלויות כח אדם (6)'!M:M,'עלויות כח אדם (6)'!B:B,' איוש משרות (8)'!C128,'עלויות כח אדם (6)'!N:N,"רכ")</f>
        <v>0</v>
      </c>
      <c r="H128" s="179">
        <f>IFERROR(VLOOKUP(P128,'עלויות כח אדם (6)'!$AE$16:$AF$3014,2,0),0)</f>
        <v>0</v>
      </c>
      <c r="I128" s="178">
        <f t="shared" si="10"/>
        <v>0</v>
      </c>
      <c r="J128" s="178">
        <f t="shared" si="11"/>
        <v>0</v>
      </c>
      <c r="K128" s="179" t="str">
        <f t="shared" si="8"/>
        <v/>
      </c>
      <c r="L128" s="718"/>
      <c r="M128" s="180" t="str">
        <f t="shared" si="12"/>
        <v/>
      </c>
      <c r="N128" s="531">
        <f t="shared" si="9"/>
        <v>0</v>
      </c>
      <c r="O128" s="531" t="str">
        <f>IF(C128&lt;&gt;"",C128&amp;'סיווג התפקידים והעלויות'!$C$2,"")</f>
        <v/>
      </c>
      <c r="P128" s="531" t="str">
        <f>IF(C128&lt;&gt;"",C128&amp;'סיווג התפקידים והעלויות'!$D$2,"")</f>
        <v/>
      </c>
    </row>
    <row r="129" spans="2:16" ht="15.75" x14ac:dyDescent="0.25">
      <c r="B129" s="57">
        <v>114</v>
      </c>
      <c r="C129" s="176" t="str">
        <f>IF(VLOOKUP(B129,'דוח ביצוע (3)'!$A$21:$B$520,2,0)="","",VLOOKUP(B129,'דוח ביצוע (3)'!$A$21:$B$520,2,0))</f>
        <v/>
      </c>
      <c r="D129" s="177" t="str">
        <f>IFERROR(VLOOKUP($C:$C,'מצבת והרשמה (2)'!$C$20:$N$520,2,0)," ")</f>
        <v/>
      </c>
      <c r="E129" s="177" t="str">
        <f>IFERROR(VLOOKUP(C129,'דוח ביצוע (3)'!B:V,5,0)," ")</f>
        <v xml:space="preserve"> </v>
      </c>
      <c r="F129" s="177" t="str">
        <f t="shared" si="7"/>
        <v/>
      </c>
      <c r="G129" s="179">
        <f>SUMIFS('עלויות כח אדם (6)'!M:M,'עלויות כח אדם (6)'!B:B,' איוש משרות (8)'!C129,'עלויות כח אדם (6)'!N:N,"רכ")</f>
        <v>0</v>
      </c>
      <c r="H129" s="179">
        <f>IFERROR(VLOOKUP(P129,'עלויות כח אדם (6)'!$AE$16:$AF$3014,2,0),0)</f>
        <v>0</v>
      </c>
      <c r="I129" s="178">
        <f t="shared" si="10"/>
        <v>0</v>
      </c>
      <c r="J129" s="178">
        <f t="shared" si="11"/>
        <v>0</v>
      </c>
      <c r="K129" s="179" t="str">
        <f t="shared" si="8"/>
        <v/>
      </c>
      <c r="L129" s="718"/>
      <c r="M129" s="180" t="str">
        <f t="shared" si="12"/>
        <v/>
      </c>
      <c r="N129" s="531">
        <f t="shared" si="9"/>
        <v>0</v>
      </c>
      <c r="O129" s="531" t="str">
        <f>IF(C129&lt;&gt;"",C129&amp;'סיווג התפקידים והעלויות'!$C$2,"")</f>
        <v/>
      </c>
      <c r="P129" s="531" t="str">
        <f>IF(C129&lt;&gt;"",C129&amp;'סיווג התפקידים והעלויות'!$D$2,"")</f>
        <v/>
      </c>
    </row>
    <row r="130" spans="2:16" ht="15.75" x14ac:dyDescent="0.25">
      <c r="B130" s="176">
        <v>115</v>
      </c>
      <c r="C130" s="176" t="str">
        <f>IF(VLOOKUP(B130,'דוח ביצוע (3)'!$A$21:$B$520,2,0)="","",VLOOKUP(B130,'דוח ביצוע (3)'!$A$21:$B$520,2,0))</f>
        <v/>
      </c>
      <c r="D130" s="177" t="str">
        <f>IFERROR(VLOOKUP($C:$C,'מצבת והרשמה (2)'!$C$20:$N$520,2,0)," ")</f>
        <v/>
      </c>
      <c r="E130" s="177" t="str">
        <f>IFERROR(VLOOKUP(C130,'דוח ביצוע (3)'!B:V,5,0)," ")</f>
        <v xml:space="preserve"> </v>
      </c>
      <c r="F130" s="177" t="str">
        <f t="shared" si="7"/>
        <v/>
      </c>
      <c r="G130" s="179">
        <f>SUMIFS('עלויות כח אדם (6)'!M:M,'עלויות כח אדם (6)'!B:B,' איוש משרות (8)'!C130,'עלויות כח אדם (6)'!N:N,"רכ")</f>
        <v>0</v>
      </c>
      <c r="H130" s="179">
        <f>IFERROR(VLOOKUP(P130,'עלויות כח אדם (6)'!$AE$16:$AF$3014,2,0),0)</f>
        <v>0</v>
      </c>
      <c r="I130" s="178">
        <f t="shared" si="10"/>
        <v>0</v>
      </c>
      <c r="J130" s="178">
        <f t="shared" si="11"/>
        <v>0</v>
      </c>
      <c r="K130" s="179" t="str">
        <f t="shared" si="8"/>
        <v/>
      </c>
      <c r="L130" s="718"/>
      <c r="M130" s="180" t="str">
        <f t="shared" si="12"/>
        <v/>
      </c>
      <c r="N130" s="531">
        <f t="shared" si="9"/>
        <v>0</v>
      </c>
      <c r="O130" s="531" t="str">
        <f>IF(C130&lt;&gt;"",C130&amp;'סיווג התפקידים והעלויות'!$C$2,"")</f>
        <v/>
      </c>
      <c r="P130" s="531" t="str">
        <f>IF(C130&lt;&gt;"",C130&amp;'סיווג התפקידים והעלויות'!$D$2,"")</f>
        <v/>
      </c>
    </row>
    <row r="131" spans="2:16" ht="15.75" x14ac:dyDescent="0.25">
      <c r="B131" s="57">
        <v>116</v>
      </c>
      <c r="C131" s="176" t="str">
        <f>IF(VLOOKUP(B131,'דוח ביצוע (3)'!$A$21:$B$520,2,0)="","",VLOOKUP(B131,'דוח ביצוע (3)'!$A$21:$B$520,2,0))</f>
        <v/>
      </c>
      <c r="D131" s="177" t="str">
        <f>IFERROR(VLOOKUP($C:$C,'מצבת והרשמה (2)'!$C$20:$N$520,2,0)," ")</f>
        <v/>
      </c>
      <c r="E131" s="177" t="str">
        <f>IFERROR(VLOOKUP(C131,'דוח ביצוע (3)'!B:V,5,0)," ")</f>
        <v xml:space="preserve"> </v>
      </c>
      <c r="F131" s="177" t="str">
        <f t="shared" si="7"/>
        <v/>
      </c>
      <c r="G131" s="179">
        <f>SUMIFS('עלויות כח אדם (6)'!M:M,'עלויות כח אדם (6)'!B:B,' איוש משרות (8)'!C131,'עלויות כח אדם (6)'!N:N,"רכ")</f>
        <v>0</v>
      </c>
      <c r="H131" s="179">
        <f>IFERROR(VLOOKUP(P131,'עלויות כח אדם (6)'!$AE$16:$AF$3014,2,0),0)</f>
        <v>0</v>
      </c>
      <c r="I131" s="178">
        <f t="shared" si="10"/>
        <v>0</v>
      </c>
      <c r="J131" s="178">
        <f t="shared" si="11"/>
        <v>0</v>
      </c>
      <c r="K131" s="179" t="str">
        <f t="shared" si="8"/>
        <v/>
      </c>
      <c r="L131" s="718"/>
      <c r="M131" s="180" t="str">
        <f t="shared" si="12"/>
        <v/>
      </c>
      <c r="N131" s="531">
        <f t="shared" si="9"/>
        <v>0</v>
      </c>
      <c r="O131" s="531" t="str">
        <f>IF(C131&lt;&gt;"",C131&amp;'סיווג התפקידים והעלויות'!$C$2,"")</f>
        <v/>
      </c>
      <c r="P131" s="531" t="str">
        <f>IF(C131&lt;&gt;"",C131&amp;'סיווג התפקידים והעלויות'!$D$2,"")</f>
        <v/>
      </c>
    </row>
    <row r="132" spans="2:16" ht="15.75" x14ac:dyDescent="0.25">
      <c r="B132" s="176">
        <v>117</v>
      </c>
      <c r="C132" s="176" t="str">
        <f>IF(VLOOKUP(B132,'דוח ביצוע (3)'!$A$21:$B$520,2,0)="","",VLOOKUP(B132,'דוח ביצוע (3)'!$A$21:$B$520,2,0))</f>
        <v/>
      </c>
      <c r="D132" s="177" t="str">
        <f>IFERROR(VLOOKUP($C:$C,'מצבת והרשמה (2)'!$C$20:$N$520,2,0)," ")</f>
        <v/>
      </c>
      <c r="E132" s="177" t="str">
        <f>IFERROR(VLOOKUP(C132,'דוח ביצוע (3)'!B:V,5,0)," ")</f>
        <v xml:space="preserve"> </v>
      </c>
      <c r="F132" s="177" t="str">
        <f t="shared" si="7"/>
        <v/>
      </c>
      <c r="G132" s="179">
        <f>SUMIFS('עלויות כח אדם (6)'!M:M,'עלויות כח אדם (6)'!B:B,' איוש משרות (8)'!C132,'עלויות כח אדם (6)'!N:N,"רכ")</f>
        <v>0</v>
      </c>
      <c r="H132" s="179">
        <f>IFERROR(VLOOKUP(P132,'עלויות כח אדם (6)'!$AE$16:$AF$3014,2,0),0)</f>
        <v>0</v>
      </c>
      <c r="I132" s="178">
        <f t="shared" si="10"/>
        <v>0</v>
      </c>
      <c r="J132" s="178">
        <f t="shared" si="11"/>
        <v>0</v>
      </c>
      <c r="K132" s="179" t="str">
        <f t="shared" si="8"/>
        <v/>
      </c>
      <c r="L132" s="718"/>
      <c r="M132" s="180" t="str">
        <f t="shared" si="12"/>
        <v/>
      </c>
      <c r="N132" s="531">
        <f t="shared" si="9"/>
        <v>0</v>
      </c>
      <c r="O132" s="531" t="str">
        <f>IF(C132&lt;&gt;"",C132&amp;'סיווג התפקידים והעלויות'!$C$2,"")</f>
        <v/>
      </c>
      <c r="P132" s="531" t="str">
        <f>IF(C132&lt;&gt;"",C132&amp;'סיווג התפקידים והעלויות'!$D$2,"")</f>
        <v/>
      </c>
    </row>
    <row r="133" spans="2:16" ht="15.75" x14ac:dyDescent="0.25">
      <c r="B133" s="57">
        <v>118</v>
      </c>
      <c r="C133" s="176" t="str">
        <f>IF(VLOOKUP(B133,'דוח ביצוע (3)'!$A$21:$B$520,2,0)="","",VLOOKUP(B133,'דוח ביצוע (3)'!$A$21:$B$520,2,0))</f>
        <v/>
      </c>
      <c r="D133" s="177" t="str">
        <f>IFERROR(VLOOKUP($C:$C,'מצבת והרשמה (2)'!$C$20:$N$520,2,0)," ")</f>
        <v/>
      </c>
      <c r="E133" s="177" t="str">
        <f>IFERROR(VLOOKUP(C133,'דוח ביצוע (3)'!B:V,5,0)," ")</f>
        <v xml:space="preserve"> </v>
      </c>
      <c r="F133" s="177" t="str">
        <f t="shared" si="7"/>
        <v/>
      </c>
      <c r="G133" s="179">
        <f>SUMIFS('עלויות כח אדם (6)'!M:M,'עלויות כח אדם (6)'!B:B,' איוש משרות (8)'!C133,'עלויות כח אדם (6)'!N:N,"רכ")</f>
        <v>0</v>
      </c>
      <c r="H133" s="179">
        <f>IFERROR(VLOOKUP(P133,'עלויות כח אדם (6)'!$AE$16:$AF$3014,2,0),0)</f>
        <v>0</v>
      </c>
      <c r="I133" s="178">
        <f t="shared" si="10"/>
        <v>0</v>
      </c>
      <c r="J133" s="178">
        <f t="shared" si="11"/>
        <v>0</v>
      </c>
      <c r="K133" s="179" t="str">
        <f t="shared" si="8"/>
        <v/>
      </c>
      <c r="L133" s="718"/>
      <c r="M133" s="180" t="str">
        <f t="shared" si="12"/>
        <v/>
      </c>
      <c r="N133" s="531">
        <f t="shared" si="9"/>
        <v>0</v>
      </c>
      <c r="O133" s="531" t="str">
        <f>IF(C133&lt;&gt;"",C133&amp;'סיווג התפקידים והעלויות'!$C$2,"")</f>
        <v/>
      </c>
      <c r="P133" s="531" t="str">
        <f>IF(C133&lt;&gt;"",C133&amp;'סיווג התפקידים והעלויות'!$D$2,"")</f>
        <v/>
      </c>
    </row>
    <row r="134" spans="2:16" ht="15.75" x14ac:dyDescent="0.25">
      <c r="B134" s="176">
        <v>119</v>
      </c>
      <c r="C134" s="176" t="str">
        <f>IF(VLOOKUP(B134,'דוח ביצוע (3)'!$A$21:$B$520,2,0)="","",VLOOKUP(B134,'דוח ביצוע (3)'!$A$21:$B$520,2,0))</f>
        <v/>
      </c>
      <c r="D134" s="177" t="str">
        <f>IFERROR(VLOOKUP($C:$C,'מצבת והרשמה (2)'!$C$20:$N$520,2,0)," ")</f>
        <v/>
      </c>
      <c r="E134" s="177" t="str">
        <f>IFERROR(VLOOKUP(C134,'דוח ביצוע (3)'!B:V,5,0)," ")</f>
        <v xml:space="preserve"> </v>
      </c>
      <c r="F134" s="177" t="str">
        <f t="shared" si="7"/>
        <v/>
      </c>
      <c r="G134" s="179">
        <f>SUMIFS('עלויות כח אדם (6)'!M:M,'עלויות כח אדם (6)'!B:B,' איוש משרות (8)'!C134,'עלויות כח אדם (6)'!N:N,"רכ")</f>
        <v>0</v>
      </c>
      <c r="H134" s="179">
        <f>IFERROR(VLOOKUP(P134,'עלויות כח אדם (6)'!$AE$16:$AF$3014,2,0),0)</f>
        <v>0</v>
      </c>
      <c r="I134" s="178">
        <f t="shared" si="10"/>
        <v>0</v>
      </c>
      <c r="J134" s="178">
        <f t="shared" si="11"/>
        <v>0</v>
      </c>
      <c r="K134" s="179" t="str">
        <f t="shared" si="8"/>
        <v/>
      </c>
      <c r="L134" s="718"/>
      <c r="M134" s="180" t="str">
        <f t="shared" si="12"/>
        <v/>
      </c>
      <c r="N134" s="531">
        <f t="shared" si="9"/>
        <v>0</v>
      </c>
      <c r="O134" s="531" t="str">
        <f>IF(C134&lt;&gt;"",C134&amp;'סיווג התפקידים והעלויות'!$C$2,"")</f>
        <v/>
      </c>
      <c r="P134" s="531" t="str">
        <f>IF(C134&lt;&gt;"",C134&amp;'סיווג התפקידים והעלויות'!$D$2,"")</f>
        <v/>
      </c>
    </row>
    <row r="135" spans="2:16" ht="15.75" x14ac:dyDescent="0.25">
      <c r="B135" s="57">
        <v>120</v>
      </c>
      <c r="C135" s="176" t="str">
        <f>IF(VLOOKUP(B135,'דוח ביצוע (3)'!$A$21:$B$520,2,0)="","",VLOOKUP(B135,'דוח ביצוע (3)'!$A$21:$B$520,2,0))</f>
        <v/>
      </c>
      <c r="D135" s="177" t="str">
        <f>IFERROR(VLOOKUP($C:$C,'מצבת והרשמה (2)'!$C$20:$N$520,2,0)," ")</f>
        <v/>
      </c>
      <c r="E135" s="177" t="str">
        <f>IFERROR(VLOOKUP(C135,'דוח ביצוע (3)'!B:V,5,0)," ")</f>
        <v xml:space="preserve"> </v>
      </c>
      <c r="F135" s="177" t="str">
        <f t="shared" si="7"/>
        <v/>
      </c>
      <c r="G135" s="179">
        <f>SUMIFS('עלויות כח אדם (6)'!M:M,'עלויות כח אדם (6)'!B:B,' איוש משרות (8)'!C135,'עלויות כח אדם (6)'!N:N,"רכ")</f>
        <v>0</v>
      </c>
      <c r="H135" s="179">
        <f>IFERROR(VLOOKUP(P135,'עלויות כח אדם (6)'!$AE$16:$AF$3014,2,0),0)</f>
        <v>0</v>
      </c>
      <c r="I135" s="178">
        <f t="shared" si="10"/>
        <v>0</v>
      </c>
      <c r="J135" s="178">
        <f t="shared" si="11"/>
        <v>0</v>
      </c>
      <c r="K135" s="179" t="str">
        <f t="shared" si="8"/>
        <v/>
      </c>
      <c r="L135" s="718"/>
      <c r="M135" s="180" t="str">
        <f t="shared" si="12"/>
        <v/>
      </c>
      <c r="N135" s="531">
        <f t="shared" si="9"/>
        <v>0</v>
      </c>
      <c r="O135" s="531" t="str">
        <f>IF(C135&lt;&gt;"",C135&amp;'סיווג התפקידים והעלויות'!$C$2,"")</f>
        <v/>
      </c>
      <c r="P135" s="531" t="str">
        <f>IF(C135&lt;&gt;"",C135&amp;'סיווג התפקידים והעלויות'!$D$2,"")</f>
        <v/>
      </c>
    </row>
    <row r="136" spans="2:16" ht="15.75" x14ac:dyDescent="0.25">
      <c r="B136" s="176">
        <v>121</v>
      </c>
      <c r="C136" s="176" t="str">
        <f>IF(VLOOKUP(B136,'דוח ביצוע (3)'!$A$21:$B$520,2,0)="","",VLOOKUP(B136,'דוח ביצוע (3)'!$A$21:$B$520,2,0))</f>
        <v/>
      </c>
      <c r="D136" s="177" t="str">
        <f>IFERROR(VLOOKUP($C:$C,'מצבת והרשמה (2)'!$C$20:$N$520,2,0)," ")</f>
        <v/>
      </c>
      <c r="E136" s="177" t="str">
        <f>IFERROR(VLOOKUP(C136,'דוח ביצוע (3)'!B:V,5,0)," ")</f>
        <v xml:space="preserve"> </v>
      </c>
      <c r="F136" s="177" t="str">
        <f t="shared" si="7"/>
        <v/>
      </c>
      <c r="G136" s="179">
        <f>SUMIFS('עלויות כח אדם (6)'!M:M,'עלויות כח אדם (6)'!B:B,' איוש משרות (8)'!C136,'עלויות כח אדם (6)'!N:N,"רכ")</f>
        <v>0</v>
      </c>
      <c r="H136" s="179">
        <f>IFERROR(VLOOKUP(P136,'עלויות כח אדם (6)'!$AE$16:$AF$3014,2,0),0)</f>
        <v>0</v>
      </c>
      <c r="I136" s="178">
        <f t="shared" si="10"/>
        <v>0</v>
      </c>
      <c r="J136" s="178">
        <f t="shared" si="11"/>
        <v>0</v>
      </c>
      <c r="K136" s="179" t="str">
        <f t="shared" si="8"/>
        <v/>
      </c>
      <c r="L136" s="718"/>
      <c r="M136" s="180" t="str">
        <f t="shared" si="12"/>
        <v/>
      </c>
      <c r="N136" s="531">
        <f t="shared" si="9"/>
        <v>0</v>
      </c>
      <c r="O136" s="531" t="str">
        <f>IF(C136&lt;&gt;"",C136&amp;'סיווג התפקידים והעלויות'!$C$2,"")</f>
        <v/>
      </c>
      <c r="P136" s="531" t="str">
        <f>IF(C136&lt;&gt;"",C136&amp;'סיווג התפקידים והעלויות'!$D$2,"")</f>
        <v/>
      </c>
    </row>
    <row r="137" spans="2:16" ht="15.75" x14ac:dyDescent="0.25">
      <c r="B137" s="57">
        <v>122</v>
      </c>
      <c r="C137" s="176" t="str">
        <f>IF(VLOOKUP(B137,'דוח ביצוע (3)'!$A$21:$B$520,2,0)="","",VLOOKUP(B137,'דוח ביצוע (3)'!$A$21:$B$520,2,0))</f>
        <v/>
      </c>
      <c r="D137" s="177" t="str">
        <f>IFERROR(VLOOKUP($C:$C,'מצבת והרשמה (2)'!$C$20:$N$520,2,0)," ")</f>
        <v/>
      </c>
      <c r="E137" s="177" t="str">
        <f>IFERROR(VLOOKUP(C137,'דוח ביצוע (3)'!B:V,5,0)," ")</f>
        <v xml:space="preserve"> </v>
      </c>
      <c r="F137" s="177" t="str">
        <f t="shared" si="7"/>
        <v/>
      </c>
      <c r="G137" s="179">
        <f>SUMIFS('עלויות כח אדם (6)'!M:M,'עלויות כח אדם (6)'!B:B,' איוש משרות (8)'!C137,'עלויות כח אדם (6)'!N:N,"רכ")</f>
        <v>0</v>
      </c>
      <c r="H137" s="179">
        <f>IFERROR(VLOOKUP(P137,'עלויות כח אדם (6)'!$AE$16:$AF$3014,2,0),0)</f>
        <v>0</v>
      </c>
      <c r="I137" s="178">
        <f t="shared" si="10"/>
        <v>0</v>
      </c>
      <c r="J137" s="178">
        <f t="shared" si="11"/>
        <v>0</v>
      </c>
      <c r="K137" s="179" t="str">
        <f t="shared" si="8"/>
        <v/>
      </c>
      <c r="L137" s="718"/>
      <c r="M137" s="180" t="str">
        <f t="shared" si="12"/>
        <v/>
      </c>
      <c r="N137" s="531">
        <f t="shared" si="9"/>
        <v>0</v>
      </c>
      <c r="O137" s="531" t="str">
        <f>IF(C137&lt;&gt;"",C137&amp;'סיווג התפקידים והעלויות'!$C$2,"")</f>
        <v/>
      </c>
      <c r="P137" s="531" t="str">
        <f>IF(C137&lt;&gt;"",C137&amp;'סיווג התפקידים והעלויות'!$D$2,"")</f>
        <v/>
      </c>
    </row>
    <row r="138" spans="2:16" ht="15.75" x14ac:dyDescent="0.25">
      <c r="B138" s="176">
        <v>123</v>
      </c>
      <c r="C138" s="176" t="str">
        <f>IF(VLOOKUP(B138,'דוח ביצוע (3)'!$A$21:$B$520,2,0)="","",VLOOKUP(B138,'דוח ביצוע (3)'!$A$21:$B$520,2,0))</f>
        <v/>
      </c>
      <c r="D138" s="177" t="str">
        <f>IFERROR(VLOOKUP($C:$C,'מצבת והרשמה (2)'!$C$20:$N$520,2,0)," ")</f>
        <v/>
      </c>
      <c r="E138" s="177" t="str">
        <f>IFERROR(VLOOKUP(C138,'דוח ביצוע (3)'!B:V,5,0)," ")</f>
        <v xml:space="preserve"> </v>
      </c>
      <c r="F138" s="177" t="str">
        <f t="shared" si="7"/>
        <v/>
      </c>
      <c r="G138" s="179">
        <f>SUMIFS('עלויות כח אדם (6)'!M:M,'עלויות כח אדם (6)'!B:B,' איוש משרות (8)'!C138,'עלויות כח אדם (6)'!N:N,"רכ")</f>
        <v>0</v>
      </c>
      <c r="H138" s="179">
        <f>IFERROR(VLOOKUP(P138,'עלויות כח אדם (6)'!$AE$16:$AF$3014,2,0),0)</f>
        <v>0</v>
      </c>
      <c r="I138" s="178">
        <f t="shared" si="10"/>
        <v>0</v>
      </c>
      <c r="J138" s="178">
        <f t="shared" si="11"/>
        <v>0</v>
      </c>
      <c r="K138" s="179" t="str">
        <f t="shared" si="8"/>
        <v/>
      </c>
      <c r="L138" s="718"/>
      <c r="M138" s="180" t="str">
        <f t="shared" si="12"/>
        <v/>
      </c>
      <c r="N138" s="531">
        <f t="shared" si="9"/>
        <v>0</v>
      </c>
      <c r="O138" s="531" t="str">
        <f>IF(C138&lt;&gt;"",C138&amp;'סיווג התפקידים והעלויות'!$C$2,"")</f>
        <v/>
      </c>
      <c r="P138" s="531" t="str">
        <f>IF(C138&lt;&gt;"",C138&amp;'סיווג התפקידים והעלויות'!$D$2,"")</f>
        <v/>
      </c>
    </row>
    <row r="139" spans="2:16" ht="15.75" x14ac:dyDescent="0.25">
      <c r="B139" s="57">
        <v>124</v>
      </c>
      <c r="C139" s="176" t="str">
        <f>IF(VLOOKUP(B139,'דוח ביצוע (3)'!$A$21:$B$520,2,0)="","",VLOOKUP(B139,'דוח ביצוע (3)'!$A$21:$B$520,2,0))</f>
        <v/>
      </c>
      <c r="D139" s="177" t="str">
        <f>IFERROR(VLOOKUP($C:$C,'מצבת והרשמה (2)'!$C$20:$N$520,2,0)," ")</f>
        <v/>
      </c>
      <c r="E139" s="177" t="str">
        <f>IFERROR(VLOOKUP(C139,'דוח ביצוע (3)'!B:V,5,0)," ")</f>
        <v xml:space="preserve"> </v>
      </c>
      <c r="F139" s="177" t="str">
        <f t="shared" si="7"/>
        <v/>
      </c>
      <c r="G139" s="179">
        <f>SUMIFS('עלויות כח אדם (6)'!M:M,'עלויות כח אדם (6)'!B:B,' איוש משרות (8)'!C139,'עלויות כח אדם (6)'!N:N,"רכ")</f>
        <v>0</v>
      </c>
      <c r="H139" s="179">
        <f>IFERROR(VLOOKUP(P139,'עלויות כח אדם (6)'!$AE$16:$AF$3014,2,0),0)</f>
        <v>0</v>
      </c>
      <c r="I139" s="178">
        <f t="shared" si="10"/>
        <v>0</v>
      </c>
      <c r="J139" s="178">
        <f t="shared" si="11"/>
        <v>0</v>
      </c>
      <c r="K139" s="179" t="str">
        <f t="shared" si="8"/>
        <v/>
      </c>
      <c r="L139" s="718"/>
      <c r="M139" s="180" t="str">
        <f t="shared" si="12"/>
        <v/>
      </c>
      <c r="N139" s="531">
        <f t="shared" si="9"/>
        <v>0</v>
      </c>
      <c r="O139" s="531" t="str">
        <f>IF(C139&lt;&gt;"",C139&amp;'סיווג התפקידים והעלויות'!$C$2,"")</f>
        <v/>
      </c>
      <c r="P139" s="531" t="str">
        <f>IF(C139&lt;&gt;"",C139&amp;'סיווג התפקידים והעלויות'!$D$2,"")</f>
        <v/>
      </c>
    </row>
    <row r="140" spans="2:16" ht="15.75" x14ac:dyDescent="0.25">
      <c r="B140" s="176">
        <v>125</v>
      </c>
      <c r="C140" s="176" t="str">
        <f>IF(VLOOKUP(B140,'דוח ביצוע (3)'!$A$21:$B$520,2,0)="","",VLOOKUP(B140,'דוח ביצוע (3)'!$A$21:$B$520,2,0))</f>
        <v/>
      </c>
      <c r="D140" s="177" t="str">
        <f>IFERROR(VLOOKUP($C:$C,'מצבת והרשמה (2)'!$C$20:$N$520,2,0)," ")</f>
        <v/>
      </c>
      <c r="E140" s="177" t="str">
        <f>IFERROR(VLOOKUP(C140,'דוח ביצוע (3)'!B:V,5,0)," ")</f>
        <v xml:space="preserve"> </v>
      </c>
      <c r="F140" s="177" t="str">
        <f t="shared" si="7"/>
        <v/>
      </c>
      <c r="G140" s="179">
        <f>SUMIFS('עלויות כח אדם (6)'!M:M,'עלויות כח אדם (6)'!B:B,' איוש משרות (8)'!C140,'עלויות כח אדם (6)'!N:N,"רכ")</f>
        <v>0</v>
      </c>
      <c r="H140" s="179">
        <f>IFERROR(VLOOKUP(P140,'עלויות כח אדם (6)'!$AE$16:$AF$3014,2,0),0)</f>
        <v>0</v>
      </c>
      <c r="I140" s="178">
        <f t="shared" si="10"/>
        <v>0</v>
      </c>
      <c r="J140" s="178">
        <f t="shared" si="11"/>
        <v>0</v>
      </c>
      <c r="K140" s="179" t="str">
        <f t="shared" si="8"/>
        <v/>
      </c>
      <c r="L140" s="718"/>
      <c r="M140" s="180" t="str">
        <f t="shared" si="12"/>
        <v/>
      </c>
      <c r="N140" s="531">
        <f t="shared" si="9"/>
        <v>0</v>
      </c>
      <c r="O140" s="531" t="str">
        <f>IF(C140&lt;&gt;"",C140&amp;'סיווג התפקידים והעלויות'!$C$2,"")</f>
        <v/>
      </c>
      <c r="P140" s="531" t="str">
        <f>IF(C140&lt;&gt;"",C140&amp;'סיווג התפקידים והעלויות'!$D$2,"")</f>
        <v/>
      </c>
    </row>
    <row r="141" spans="2:16" ht="15.75" x14ac:dyDescent="0.25">
      <c r="B141" s="57">
        <v>126</v>
      </c>
      <c r="C141" s="176" t="str">
        <f>IF(VLOOKUP(B141,'דוח ביצוע (3)'!$A$21:$B$520,2,0)="","",VLOOKUP(B141,'דוח ביצוע (3)'!$A$21:$B$520,2,0))</f>
        <v/>
      </c>
      <c r="D141" s="177" t="str">
        <f>IFERROR(VLOOKUP($C:$C,'מצבת והרשמה (2)'!$C$20:$N$520,2,0)," ")</f>
        <v/>
      </c>
      <c r="E141" s="177" t="str">
        <f>IFERROR(VLOOKUP(C141,'דוח ביצוע (3)'!B:V,5,0)," ")</f>
        <v xml:space="preserve"> </v>
      </c>
      <c r="F141" s="177" t="str">
        <f t="shared" si="7"/>
        <v/>
      </c>
      <c r="G141" s="179">
        <f>SUMIFS('עלויות כח אדם (6)'!M:M,'עלויות כח אדם (6)'!B:B,' איוש משרות (8)'!C141,'עלויות כח אדם (6)'!N:N,"רכ")</f>
        <v>0</v>
      </c>
      <c r="H141" s="179">
        <f>IFERROR(VLOOKUP(P141,'עלויות כח אדם (6)'!$AE$16:$AF$3014,2,0),0)</f>
        <v>0</v>
      </c>
      <c r="I141" s="178">
        <f t="shared" si="10"/>
        <v>0</v>
      </c>
      <c r="J141" s="178">
        <f t="shared" si="11"/>
        <v>0</v>
      </c>
      <c r="K141" s="179" t="str">
        <f t="shared" si="8"/>
        <v/>
      </c>
      <c r="L141" s="718"/>
      <c r="M141" s="180" t="str">
        <f t="shared" si="12"/>
        <v/>
      </c>
      <c r="N141" s="531">
        <f t="shared" si="9"/>
        <v>0</v>
      </c>
      <c r="O141" s="531" t="str">
        <f>IF(C141&lt;&gt;"",C141&amp;'סיווג התפקידים והעלויות'!$C$2,"")</f>
        <v/>
      </c>
      <c r="P141" s="531" t="str">
        <f>IF(C141&lt;&gt;"",C141&amp;'סיווג התפקידים והעלויות'!$D$2,"")</f>
        <v/>
      </c>
    </row>
    <row r="142" spans="2:16" ht="15.75" x14ac:dyDescent="0.25">
      <c r="B142" s="176">
        <v>127</v>
      </c>
      <c r="C142" s="176" t="str">
        <f>IF(VLOOKUP(B142,'דוח ביצוע (3)'!$A$21:$B$520,2,0)="","",VLOOKUP(B142,'דוח ביצוע (3)'!$A$21:$B$520,2,0))</f>
        <v/>
      </c>
      <c r="D142" s="177" t="str">
        <f>IFERROR(VLOOKUP($C:$C,'מצבת והרשמה (2)'!$C$20:$N$520,2,0)," ")</f>
        <v/>
      </c>
      <c r="E142" s="177" t="str">
        <f>IFERROR(VLOOKUP(C142,'דוח ביצוע (3)'!B:V,5,0)," ")</f>
        <v xml:space="preserve"> </v>
      </c>
      <c r="F142" s="177" t="str">
        <f t="shared" si="7"/>
        <v/>
      </c>
      <c r="G142" s="179">
        <f>SUMIFS('עלויות כח אדם (6)'!M:M,'עלויות כח אדם (6)'!B:B,' איוש משרות (8)'!C142,'עלויות כח אדם (6)'!N:N,"רכ")</f>
        <v>0</v>
      </c>
      <c r="H142" s="179">
        <f>IFERROR(VLOOKUP(P142,'עלויות כח אדם (6)'!$AE$16:$AF$3014,2,0),0)</f>
        <v>0</v>
      </c>
      <c r="I142" s="178">
        <f t="shared" si="10"/>
        <v>0</v>
      </c>
      <c r="J142" s="178">
        <f t="shared" si="11"/>
        <v>0</v>
      </c>
      <c r="K142" s="179" t="str">
        <f t="shared" si="8"/>
        <v/>
      </c>
      <c r="L142" s="718"/>
      <c r="M142" s="180" t="str">
        <f t="shared" si="12"/>
        <v/>
      </c>
      <c r="N142" s="531">
        <f t="shared" si="9"/>
        <v>0</v>
      </c>
      <c r="O142" s="531" t="str">
        <f>IF(C142&lt;&gt;"",C142&amp;'סיווג התפקידים והעלויות'!$C$2,"")</f>
        <v/>
      </c>
      <c r="P142" s="531" t="str">
        <f>IF(C142&lt;&gt;"",C142&amp;'סיווג התפקידים והעלויות'!$D$2,"")</f>
        <v/>
      </c>
    </row>
    <row r="143" spans="2:16" ht="15.75" x14ac:dyDescent="0.25">
      <c r="B143" s="57">
        <v>128</v>
      </c>
      <c r="C143" s="176" t="str">
        <f>IF(VLOOKUP(B143,'דוח ביצוע (3)'!$A$21:$B$520,2,0)="","",VLOOKUP(B143,'דוח ביצוע (3)'!$A$21:$B$520,2,0))</f>
        <v/>
      </c>
      <c r="D143" s="177" t="str">
        <f>IFERROR(VLOOKUP($C:$C,'מצבת והרשמה (2)'!$C$20:$N$520,2,0)," ")</f>
        <v/>
      </c>
      <c r="E143" s="177" t="str">
        <f>IFERROR(VLOOKUP(C143,'דוח ביצוע (3)'!B:V,5,0)," ")</f>
        <v xml:space="preserve"> </v>
      </c>
      <c r="F143" s="177" t="str">
        <f t="shared" si="7"/>
        <v/>
      </c>
      <c r="G143" s="179">
        <f>SUMIFS('עלויות כח אדם (6)'!M:M,'עלויות כח אדם (6)'!B:B,' איוש משרות (8)'!C143,'עלויות כח אדם (6)'!N:N,"רכ")</f>
        <v>0</v>
      </c>
      <c r="H143" s="179">
        <f>IFERROR(VLOOKUP(P143,'עלויות כח אדם (6)'!$AE$16:$AF$3014,2,0),0)</f>
        <v>0</v>
      </c>
      <c r="I143" s="178">
        <f t="shared" si="10"/>
        <v>0</v>
      </c>
      <c r="J143" s="178">
        <f t="shared" si="11"/>
        <v>0</v>
      </c>
      <c r="K143" s="179" t="str">
        <f t="shared" si="8"/>
        <v/>
      </c>
      <c r="L143" s="718"/>
      <c r="M143" s="180" t="str">
        <f t="shared" si="12"/>
        <v/>
      </c>
      <c r="N143" s="531">
        <f t="shared" si="9"/>
        <v>0</v>
      </c>
      <c r="O143" s="531" t="str">
        <f>IF(C143&lt;&gt;"",C143&amp;'סיווג התפקידים והעלויות'!$C$2,"")</f>
        <v/>
      </c>
      <c r="P143" s="531" t="str">
        <f>IF(C143&lt;&gt;"",C143&amp;'סיווג התפקידים והעלויות'!$D$2,"")</f>
        <v/>
      </c>
    </row>
    <row r="144" spans="2:16" ht="15.75" x14ac:dyDescent="0.25">
      <c r="B144" s="176">
        <v>129</v>
      </c>
      <c r="C144" s="176" t="str">
        <f>IF(VLOOKUP(B144,'דוח ביצוע (3)'!$A$21:$B$520,2,0)="","",VLOOKUP(B144,'דוח ביצוע (3)'!$A$21:$B$520,2,0))</f>
        <v/>
      </c>
      <c r="D144" s="177" t="str">
        <f>IFERROR(VLOOKUP($C:$C,'מצבת והרשמה (2)'!$C$20:$N$520,2,0)," ")</f>
        <v/>
      </c>
      <c r="E144" s="177" t="str">
        <f>IFERROR(VLOOKUP(C144,'דוח ביצוע (3)'!B:V,5,0)," ")</f>
        <v xml:space="preserve"> </v>
      </c>
      <c r="F144" s="177" t="str">
        <f t="shared" si="7"/>
        <v/>
      </c>
      <c r="G144" s="179">
        <f>SUMIFS('עלויות כח אדם (6)'!M:M,'עלויות כח אדם (6)'!B:B,' איוש משרות (8)'!C144,'עלויות כח אדם (6)'!N:N,"רכ")</f>
        <v>0</v>
      </c>
      <c r="H144" s="179">
        <f>IFERROR(VLOOKUP(P144,'עלויות כח אדם (6)'!$AE$16:$AF$3014,2,0),0)</f>
        <v>0</v>
      </c>
      <c r="I144" s="178">
        <f t="shared" si="10"/>
        <v>0</v>
      </c>
      <c r="J144" s="178">
        <f t="shared" si="11"/>
        <v>0</v>
      </c>
      <c r="K144" s="179" t="str">
        <f t="shared" si="8"/>
        <v/>
      </c>
      <c r="L144" s="718"/>
      <c r="M144" s="180" t="str">
        <f t="shared" si="12"/>
        <v/>
      </c>
      <c r="N144" s="531">
        <f t="shared" si="9"/>
        <v>0</v>
      </c>
      <c r="O144" s="531" t="str">
        <f>IF(C144&lt;&gt;"",C144&amp;'סיווג התפקידים והעלויות'!$C$2,"")</f>
        <v/>
      </c>
      <c r="P144" s="531" t="str">
        <f>IF(C144&lt;&gt;"",C144&amp;'סיווג התפקידים והעלויות'!$D$2,"")</f>
        <v/>
      </c>
    </row>
    <row r="145" spans="2:16" ht="15.75" x14ac:dyDescent="0.25">
      <c r="B145" s="57">
        <v>130</v>
      </c>
      <c r="C145" s="176" t="str">
        <f>IF(VLOOKUP(B145,'דוח ביצוע (3)'!$A$21:$B$520,2,0)="","",VLOOKUP(B145,'דוח ביצוע (3)'!$A$21:$B$520,2,0))</f>
        <v/>
      </c>
      <c r="D145" s="177" t="str">
        <f>IFERROR(VLOOKUP($C:$C,'מצבת והרשמה (2)'!$C$20:$N$520,2,0)," ")</f>
        <v/>
      </c>
      <c r="E145" s="177" t="str">
        <f>IFERROR(VLOOKUP(C145,'דוח ביצוע (3)'!B:V,5,0)," ")</f>
        <v xml:space="preserve"> </v>
      </c>
      <c r="F145" s="177" t="str">
        <f t="shared" ref="F145:F208" si="13">IF(C145&lt;&gt;"",IF(ISNUMBER(E145),IF(E145&gt;149,"זכאי","לא זכאי"),""),"")</f>
        <v/>
      </c>
      <c r="G145" s="179">
        <f>SUMIFS('עלויות כח אדם (6)'!M:M,'עלויות כח אדם (6)'!B:B,' איוש משרות (8)'!C145,'עלויות כח אדם (6)'!N:N,"רכ")</f>
        <v>0</v>
      </c>
      <c r="H145" s="179">
        <f>IFERROR(VLOOKUP(P145,'עלויות כח אדם (6)'!$AE$16:$AF$3014,2,0),0)</f>
        <v>0</v>
      </c>
      <c r="I145" s="178">
        <f t="shared" si="10"/>
        <v>0</v>
      </c>
      <c r="J145" s="178">
        <f t="shared" si="11"/>
        <v>0</v>
      </c>
      <c r="K145" s="179" t="str">
        <f t="shared" ref="K145:K208" si="14">IF(ISNUMBER(C145),IF(I145=0,CONCATENATE("המוסד לא העסיק רכז ",IF(AND(F145="זכאי",J145=0),"וסגן רכז ",""),"ועל כן אין זכאות לקבלת תקציב"),"תקין"),"")</f>
        <v/>
      </c>
      <c r="L145" s="718"/>
      <c r="M145" s="180" t="str">
        <f t="shared" si="12"/>
        <v/>
      </c>
      <c r="N145" s="531">
        <f t="shared" ref="N145:N208" si="15">IF(LEFT(K145,14)="המוסד לא העסיק",1,0)</f>
        <v>0</v>
      </c>
      <c r="O145" s="531" t="str">
        <f>IF(C145&lt;&gt;"",C145&amp;'סיווג התפקידים והעלויות'!$C$2,"")</f>
        <v/>
      </c>
      <c r="P145" s="531" t="str">
        <f>IF(C145&lt;&gt;"",C145&amp;'סיווג התפקידים והעלויות'!$D$2,"")</f>
        <v/>
      </c>
    </row>
    <row r="146" spans="2:16" ht="15.75" x14ac:dyDescent="0.25">
      <c r="B146" s="176">
        <v>131</v>
      </c>
      <c r="C146" s="176" t="str">
        <f>IF(VLOOKUP(B146,'דוח ביצוע (3)'!$A$21:$B$520,2,0)="","",VLOOKUP(B146,'דוח ביצוע (3)'!$A$21:$B$520,2,0))</f>
        <v/>
      </c>
      <c r="D146" s="177" t="str">
        <f>IFERROR(VLOOKUP($C:$C,'מצבת והרשמה (2)'!$C$20:$N$520,2,0)," ")</f>
        <v/>
      </c>
      <c r="E146" s="177" t="str">
        <f>IFERROR(VLOOKUP(C146,'דוח ביצוע (3)'!B:V,5,0)," ")</f>
        <v xml:space="preserve"> </v>
      </c>
      <c r="F146" s="177" t="str">
        <f t="shared" si="13"/>
        <v/>
      </c>
      <c r="G146" s="179">
        <f>SUMIFS('עלויות כח אדם (6)'!M:M,'עלויות כח אדם (6)'!B:B,' איוש משרות (8)'!C146,'עלויות כח אדם (6)'!N:N,"רכ")</f>
        <v>0</v>
      </c>
      <c r="H146" s="179">
        <f>IFERROR(VLOOKUP(P146,'עלויות כח אדם (6)'!$AE$16:$AF$3014,2,0),0)</f>
        <v>0</v>
      </c>
      <c r="I146" s="178">
        <f t="shared" ref="I146:I209" si="16">IF(G146&gt;0,G146,H146)</f>
        <v>0</v>
      </c>
      <c r="J146" s="178">
        <f t="shared" ref="J146:J209" si="17">IF(AND(F146="זכאי",G146&gt;0),H146,0)</f>
        <v>0</v>
      </c>
      <c r="K146" s="179" t="str">
        <f t="shared" si="14"/>
        <v/>
      </c>
      <c r="L146" s="718"/>
      <c r="M146" s="180" t="str">
        <f t="shared" si="12"/>
        <v/>
      </c>
      <c r="N146" s="531">
        <f t="shared" si="15"/>
        <v>0</v>
      </c>
      <c r="O146" s="531" t="str">
        <f>IF(C146&lt;&gt;"",C146&amp;'סיווג התפקידים והעלויות'!$C$2,"")</f>
        <v/>
      </c>
      <c r="P146" s="531" t="str">
        <f>IF(C146&lt;&gt;"",C146&amp;'סיווג התפקידים והעלויות'!$D$2,"")</f>
        <v/>
      </c>
    </row>
    <row r="147" spans="2:16" ht="15.75" x14ac:dyDescent="0.25">
      <c r="B147" s="57">
        <v>132</v>
      </c>
      <c r="C147" s="176" t="str">
        <f>IF(VLOOKUP(B147,'דוח ביצוע (3)'!$A$21:$B$520,2,0)="","",VLOOKUP(B147,'דוח ביצוע (3)'!$A$21:$B$520,2,0))</f>
        <v/>
      </c>
      <c r="D147" s="177" t="str">
        <f>IFERROR(VLOOKUP($C:$C,'מצבת והרשמה (2)'!$C$20:$N$520,2,0)," ")</f>
        <v/>
      </c>
      <c r="E147" s="177" t="str">
        <f>IFERROR(VLOOKUP(C147,'דוח ביצוע (3)'!B:V,5,0)," ")</f>
        <v xml:space="preserve"> </v>
      </c>
      <c r="F147" s="177" t="str">
        <f t="shared" si="13"/>
        <v/>
      </c>
      <c r="G147" s="179">
        <f>SUMIFS('עלויות כח אדם (6)'!M:M,'עלויות כח אדם (6)'!B:B,' איוש משרות (8)'!C147,'עלויות כח אדם (6)'!N:N,"רכ")</f>
        <v>0</v>
      </c>
      <c r="H147" s="179">
        <f>IFERROR(VLOOKUP(P147,'עלויות כח אדם (6)'!$AE$16:$AF$3014,2,0),0)</f>
        <v>0</v>
      </c>
      <c r="I147" s="178">
        <f t="shared" si="16"/>
        <v>0</v>
      </c>
      <c r="J147" s="178">
        <f t="shared" si="17"/>
        <v>0</v>
      </c>
      <c r="K147" s="179" t="str">
        <f t="shared" si="14"/>
        <v/>
      </c>
      <c r="L147" s="718"/>
      <c r="M147" s="180" t="str">
        <f t="shared" ref="M147:M210" si="18">IF(ISNUMBER(C147),IF(COUNTIF($C$16:$C$1994,C147)=1,"תקין",IFERROR(CONCATENATE("סמל בית הספר הוקלד ",COUNTIF($C$16:$C$1994,C147)," פעמים"),"")),"")</f>
        <v/>
      </c>
      <c r="N147" s="531">
        <f t="shared" si="15"/>
        <v>0</v>
      </c>
      <c r="O147" s="531" t="str">
        <f>IF(C147&lt;&gt;"",C147&amp;'סיווג התפקידים והעלויות'!$C$2,"")</f>
        <v/>
      </c>
      <c r="P147" s="531" t="str">
        <f>IF(C147&lt;&gt;"",C147&amp;'סיווג התפקידים והעלויות'!$D$2,"")</f>
        <v/>
      </c>
    </row>
    <row r="148" spans="2:16" ht="15.75" x14ac:dyDescent="0.25">
      <c r="B148" s="176">
        <v>133</v>
      </c>
      <c r="C148" s="176" t="str">
        <f>IF(VLOOKUP(B148,'דוח ביצוע (3)'!$A$21:$B$520,2,0)="","",VLOOKUP(B148,'דוח ביצוע (3)'!$A$21:$B$520,2,0))</f>
        <v/>
      </c>
      <c r="D148" s="177" t="str">
        <f>IFERROR(VLOOKUP($C:$C,'מצבת והרשמה (2)'!$C$20:$N$520,2,0)," ")</f>
        <v/>
      </c>
      <c r="E148" s="177" t="str">
        <f>IFERROR(VLOOKUP(C148,'דוח ביצוע (3)'!B:V,5,0)," ")</f>
        <v xml:space="preserve"> </v>
      </c>
      <c r="F148" s="177" t="str">
        <f t="shared" si="13"/>
        <v/>
      </c>
      <c r="G148" s="179">
        <f>SUMIFS('עלויות כח אדם (6)'!M:M,'עלויות כח אדם (6)'!B:B,' איוש משרות (8)'!C148,'עלויות כח אדם (6)'!N:N,"רכ")</f>
        <v>0</v>
      </c>
      <c r="H148" s="179">
        <f>IFERROR(VLOOKUP(P148,'עלויות כח אדם (6)'!$AE$16:$AF$3014,2,0),0)</f>
        <v>0</v>
      </c>
      <c r="I148" s="178">
        <f t="shared" si="16"/>
        <v>0</v>
      </c>
      <c r="J148" s="178">
        <f t="shared" si="17"/>
        <v>0</v>
      </c>
      <c r="K148" s="179" t="str">
        <f t="shared" si="14"/>
        <v/>
      </c>
      <c r="L148" s="718"/>
      <c r="M148" s="180" t="str">
        <f t="shared" si="18"/>
        <v/>
      </c>
      <c r="N148" s="531">
        <f t="shared" si="15"/>
        <v>0</v>
      </c>
      <c r="O148" s="531" t="str">
        <f>IF(C148&lt;&gt;"",C148&amp;'סיווג התפקידים והעלויות'!$C$2,"")</f>
        <v/>
      </c>
      <c r="P148" s="531" t="str">
        <f>IF(C148&lt;&gt;"",C148&amp;'סיווג התפקידים והעלויות'!$D$2,"")</f>
        <v/>
      </c>
    </row>
    <row r="149" spans="2:16" ht="15.75" x14ac:dyDescent="0.25">
      <c r="B149" s="57">
        <v>134</v>
      </c>
      <c r="C149" s="176" t="str">
        <f>IF(VLOOKUP(B149,'דוח ביצוע (3)'!$A$21:$B$520,2,0)="","",VLOOKUP(B149,'דוח ביצוע (3)'!$A$21:$B$520,2,0))</f>
        <v/>
      </c>
      <c r="D149" s="177" t="str">
        <f>IFERROR(VLOOKUP($C:$C,'מצבת והרשמה (2)'!$C$20:$N$520,2,0)," ")</f>
        <v/>
      </c>
      <c r="E149" s="177" t="str">
        <f>IFERROR(VLOOKUP(C149,'דוח ביצוע (3)'!B:V,5,0)," ")</f>
        <v xml:space="preserve"> </v>
      </c>
      <c r="F149" s="177" t="str">
        <f t="shared" si="13"/>
        <v/>
      </c>
      <c r="G149" s="179">
        <f>SUMIFS('עלויות כח אדם (6)'!M:M,'עלויות כח אדם (6)'!B:B,' איוש משרות (8)'!C149,'עלויות כח אדם (6)'!N:N,"רכ")</f>
        <v>0</v>
      </c>
      <c r="H149" s="179">
        <f>IFERROR(VLOOKUP(P149,'עלויות כח אדם (6)'!$AE$16:$AF$3014,2,0),0)</f>
        <v>0</v>
      </c>
      <c r="I149" s="178">
        <f t="shared" si="16"/>
        <v>0</v>
      </c>
      <c r="J149" s="178">
        <f t="shared" si="17"/>
        <v>0</v>
      </c>
      <c r="K149" s="179" t="str">
        <f t="shared" si="14"/>
        <v/>
      </c>
      <c r="L149" s="718"/>
      <c r="M149" s="180" t="str">
        <f t="shared" si="18"/>
        <v/>
      </c>
      <c r="N149" s="531">
        <f t="shared" si="15"/>
        <v>0</v>
      </c>
      <c r="O149" s="531" t="str">
        <f>IF(C149&lt;&gt;"",C149&amp;'סיווג התפקידים והעלויות'!$C$2,"")</f>
        <v/>
      </c>
      <c r="P149" s="531" t="str">
        <f>IF(C149&lt;&gt;"",C149&amp;'סיווג התפקידים והעלויות'!$D$2,"")</f>
        <v/>
      </c>
    </row>
    <row r="150" spans="2:16" ht="15.75" x14ac:dyDescent="0.25">
      <c r="B150" s="176">
        <v>135</v>
      </c>
      <c r="C150" s="176" t="str">
        <f>IF(VLOOKUP(B150,'דוח ביצוע (3)'!$A$21:$B$520,2,0)="","",VLOOKUP(B150,'דוח ביצוע (3)'!$A$21:$B$520,2,0))</f>
        <v/>
      </c>
      <c r="D150" s="177" t="str">
        <f>IFERROR(VLOOKUP($C:$C,'מצבת והרשמה (2)'!$C$20:$N$520,2,0)," ")</f>
        <v/>
      </c>
      <c r="E150" s="177" t="str">
        <f>IFERROR(VLOOKUP(C150,'דוח ביצוע (3)'!B:V,5,0)," ")</f>
        <v xml:space="preserve"> </v>
      </c>
      <c r="F150" s="177" t="str">
        <f t="shared" si="13"/>
        <v/>
      </c>
      <c r="G150" s="179">
        <f>SUMIFS('עלויות כח אדם (6)'!M:M,'עלויות כח אדם (6)'!B:B,' איוש משרות (8)'!C150,'עלויות כח אדם (6)'!N:N,"רכ")</f>
        <v>0</v>
      </c>
      <c r="H150" s="179">
        <f>IFERROR(VLOOKUP(P150,'עלויות כח אדם (6)'!$AE$16:$AF$3014,2,0),0)</f>
        <v>0</v>
      </c>
      <c r="I150" s="178">
        <f t="shared" si="16"/>
        <v>0</v>
      </c>
      <c r="J150" s="178">
        <f t="shared" si="17"/>
        <v>0</v>
      </c>
      <c r="K150" s="179" t="str">
        <f t="shared" si="14"/>
        <v/>
      </c>
      <c r="L150" s="718"/>
      <c r="M150" s="180" t="str">
        <f t="shared" si="18"/>
        <v/>
      </c>
      <c r="N150" s="531">
        <f t="shared" si="15"/>
        <v>0</v>
      </c>
      <c r="O150" s="531" t="str">
        <f>IF(C150&lt;&gt;"",C150&amp;'סיווג התפקידים והעלויות'!$C$2,"")</f>
        <v/>
      </c>
      <c r="P150" s="531" t="str">
        <f>IF(C150&lt;&gt;"",C150&amp;'סיווג התפקידים והעלויות'!$D$2,"")</f>
        <v/>
      </c>
    </row>
    <row r="151" spans="2:16" ht="15.75" x14ac:dyDescent="0.25">
      <c r="B151" s="57">
        <v>136</v>
      </c>
      <c r="C151" s="176" t="str">
        <f>IF(VLOOKUP(B151,'דוח ביצוע (3)'!$A$21:$B$520,2,0)="","",VLOOKUP(B151,'דוח ביצוע (3)'!$A$21:$B$520,2,0))</f>
        <v/>
      </c>
      <c r="D151" s="177" t="str">
        <f>IFERROR(VLOOKUP($C:$C,'מצבת והרשמה (2)'!$C$20:$N$520,2,0)," ")</f>
        <v/>
      </c>
      <c r="E151" s="177" t="str">
        <f>IFERROR(VLOOKUP(C151,'דוח ביצוע (3)'!B:V,5,0)," ")</f>
        <v xml:space="preserve"> </v>
      </c>
      <c r="F151" s="177" t="str">
        <f t="shared" si="13"/>
        <v/>
      </c>
      <c r="G151" s="179">
        <f>SUMIFS('עלויות כח אדם (6)'!M:M,'עלויות כח אדם (6)'!B:B,' איוש משרות (8)'!C151,'עלויות כח אדם (6)'!N:N,"רכ")</f>
        <v>0</v>
      </c>
      <c r="H151" s="179">
        <f>IFERROR(VLOOKUP(P151,'עלויות כח אדם (6)'!$AE$16:$AF$3014,2,0),0)</f>
        <v>0</v>
      </c>
      <c r="I151" s="178">
        <f t="shared" si="16"/>
        <v>0</v>
      </c>
      <c r="J151" s="178">
        <f t="shared" si="17"/>
        <v>0</v>
      </c>
      <c r="K151" s="179" t="str">
        <f t="shared" si="14"/>
        <v/>
      </c>
      <c r="L151" s="718"/>
      <c r="M151" s="180" t="str">
        <f t="shared" si="18"/>
        <v/>
      </c>
      <c r="N151" s="531">
        <f t="shared" si="15"/>
        <v>0</v>
      </c>
      <c r="O151" s="531" t="str">
        <f>IF(C151&lt;&gt;"",C151&amp;'סיווג התפקידים והעלויות'!$C$2,"")</f>
        <v/>
      </c>
      <c r="P151" s="531" t="str">
        <f>IF(C151&lt;&gt;"",C151&amp;'סיווג התפקידים והעלויות'!$D$2,"")</f>
        <v/>
      </c>
    </row>
    <row r="152" spans="2:16" ht="15.75" x14ac:dyDescent="0.25">
      <c r="B152" s="176">
        <v>137</v>
      </c>
      <c r="C152" s="176" t="str">
        <f>IF(VLOOKUP(B152,'דוח ביצוע (3)'!$A$21:$B$520,2,0)="","",VLOOKUP(B152,'דוח ביצוע (3)'!$A$21:$B$520,2,0))</f>
        <v/>
      </c>
      <c r="D152" s="177" t="str">
        <f>IFERROR(VLOOKUP($C:$C,'מצבת והרשמה (2)'!$C$20:$N$520,2,0)," ")</f>
        <v/>
      </c>
      <c r="E152" s="177" t="str">
        <f>IFERROR(VLOOKUP(C152,'דוח ביצוע (3)'!B:V,5,0)," ")</f>
        <v xml:space="preserve"> </v>
      </c>
      <c r="F152" s="177" t="str">
        <f t="shared" si="13"/>
        <v/>
      </c>
      <c r="G152" s="179">
        <f>SUMIFS('עלויות כח אדם (6)'!M:M,'עלויות כח אדם (6)'!B:B,' איוש משרות (8)'!C152,'עלויות כח אדם (6)'!N:N,"רכ")</f>
        <v>0</v>
      </c>
      <c r="H152" s="179">
        <f>IFERROR(VLOOKUP(P152,'עלויות כח אדם (6)'!$AE$16:$AF$3014,2,0),0)</f>
        <v>0</v>
      </c>
      <c r="I152" s="178">
        <f t="shared" si="16"/>
        <v>0</v>
      </c>
      <c r="J152" s="178">
        <f t="shared" si="17"/>
        <v>0</v>
      </c>
      <c r="K152" s="179" t="str">
        <f t="shared" si="14"/>
        <v/>
      </c>
      <c r="L152" s="718"/>
      <c r="M152" s="180" t="str">
        <f t="shared" si="18"/>
        <v/>
      </c>
      <c r="N152" s="531">
        <f t="shared" si="15"/>
        <v>0</v>
      </c>
      <c r="O152" s="531" t="str">
        <f>IF(C152&lt;&gt;"",C152&amp;'סיווג התפקידים והעלויות'!$C$2,"")</f>
        <v/>
      </c>
      <c r="P152" s="531" t="str">
        <f>IF(C152&lt;&gt;"",C152&amp;'סיווג התפקידים והעלויות'!$D$2,"")</f>
        <v/>
      </c>
    </row>
    <row r="153" spans="2:16" ht="15.75" x14ac:dyDescent="0.25">
      <c r="B153" s="57">
        <v>138</v>
      </c>
      <c r="C153" s="176" t="str">
        <f>IF(VLOOKUP(B153,'דוח ביצוע (3)'!$A$21:$B$520,2,0)="","",VLOOKUP(B153,'דוח ביצוע (3)'!$A$21:$B$520,2,0))</f>
        <v/>
      </c>
      <c r="D153" s="177" t="str">
        <f>IFERROR(VLOOKUP($C:$C,'מצבת והרשמה (2)'!$C$20:$N$520,2,0)," ")</f>
        <v/>
      </c>
      <c r="E153" s="177" t="str">
        <f>IFERROR(VLOOKUP(C153,'דוח ביצוע (3)'!B:V,5,0)," ")</f>
        <v xml:space="preserve"> </v>
      </c>
      <c r="F153" s="177" t="str">
        <f t="shared" si="13"/>
        <v/>
      </c>
      <c r="G153" s="179">
        <f>SUMIFS('עלויות כח אדם (6)'!M:M,'עלויות כח אדם (6)'!B:B,' איוש משרות (8)'!C153,'עלויות כח אדם (6)'!N:N,"רכ")</f>
        <v>0</v>
      </c>
      <c r="H153" s="179">
        <f>IFERROR(VLOOKUP(P153,'עלויות כח אדם (6)'!$AE$16:$AF$3014,2,0),0)</f>
        <v>0</v>
      </c>
      <c r="I153" s="178">
        <f t="shared" si="16"/>
        <v>0</v>
      </c>
      <c r="J153" s="178">
        <f t="shared" si="17"/>
        <v>0</v>
      </c>
      <c r="K153" s="179" t="str">
        <f t="shared" si="14"/>
        <v/>
      </c>
      <c r="L153" s="718"/>
      <c r="M153" s="180" t="str">
        <f t="shared" si="18"/>
        <v/>
      </c>
      <c r="N153" s="531">
        <f t="shared" si="15"/>
        <v>0</v>
      </c>
      <c r="O153" s="531" t="str">
        <f>IF(C153&lt;&gt;"",C153&amp;'סיווג התפקידים והעלויות'!$C$2,"")</f>
        <v/>
      </c>
      <c r="P153" s="531" t="str">
        <f>IF(C153&lt;&gt;"",C153&amp;'סיווג התפקידים והעלויות'!$D$2,"")</f>
        <v/>
      </c>
    </row>
    <row r="154" spans="2:16" ht="15.75" x14ac:dyDescent="0.25">
      <c r="B154" s="176">
        <v>139</v>
      </c>
      <c r="C154" s="176" t="str">
        <f>IF(VLOOKUP(B154,'דוח ביצוע (3)'!$A$21:$B$520,2,0)="","",VLOOKUP(B154,'דוח ביצוע (3)'!$A$21:$B$520,2,0))</f>
        <v/>
      </c>
      <c r="D154" s="177" t="str">
        <f>IFERROR(VLOOKUP($C:$C,'מצבת והרשמה (2)'!$C$20:$N$520,2,0)," ")</f>
        <v/>
      </c>
      <c r="E154" s="177" t="str">
        <f>IFERROR(VLOOKUP(C154,'דוח ביצוע (3)'!B:V,5,0)," ")</f>
        <v xml:space="preserve"> </v>
      </c>
      <c r="F154" s="177" t="str">
        <f t="shared" si="13"/>
        <v/>
      </c>
      <c r="G154" s="179">
        <f>SUMIFS('עלויות כח אדם (6)'!M:M,'עלויות כח אדם (6)'!B:B,' איוש משרות (8)'!C154,'עלויות כח אדם (6)'!N:N,"רכ")</f>
        <v>0</v>
      </c>
      <c r="H154" s="179">
        <f>IFERROR(VLOOKUP(P154,'עלויות כח אדם (6)'!$AE$16:$AF$3014,2,0),0)</f>
        <v>0</v>
      </c>
      <c r="I154" s="178">
        <f t="shared" si="16"/>
        <v>0</v>
      </c>
      <c r="J154" s="178">
        <f t="shared" si="17"/>
        <v>0</v>
      </c>
      <c r="K154" s="179" t="str">
        <f t="shared" si="14"/>
        <v/>
      </c>
      <c r="L154" s="718"/>
      <c r="M154" s="180" t="str">
        <f t="shared" si="18"/>
        <v/>
      </c>
      <c r="N154" s="531">
        <f t="shared" si="15"/>
        <v>0</v>
      </c>
      <c r="O154" s="531" t="str">
        <f>IF(C154&lt;&gt;"",C154&amp;'סיווג התפקידים והעלויות'!$C$2,"")</f>
        <v/>
      </c>
      <c r="P154" s="531" t="str">
        <f>IF(C154&lt;&gt;"",C154&amp;'סיווג התפקידים והעלויות'!$D$2,"")</f>
        <v/>
      </c>
    </row>
    <row r="155" spans="2:16" ht="15.75" x14ac:dyDescent="0.25">
      <c r="B155" s="57">
        <v>140</v>
      </c>
      <c r="C155" s="176" t="str">
        <f>IF(VLOOKUP(B155,'דוח ביצוע (3)'!$A$21:$B$520,2,0)="","",VLOOKUP(B155,'דוח ביצוע (3)'!$A$21:$B$520,2,0))</f>
        <v/>
      </c>
      <c r="D155" s="177" t="str">
        <f>IFERROR(VLOOKUP($C:$C,'מצבת והרשמה (2)'!$C$20:$N$520,2,0)," ")</f>
        <v/>
      </c>
      <c r="E155" s="177" t="str">
        <f>IFERROR(VLOOKUP(C155,'דוח ביצוע (3)'!B:V,5,0)," ")</f>
        <v xml:space="preserve"> </v>
      </c>
      <c r="F155" s="177" t="str">
        <f t="shared" si="13"/>
        <v/>
      </c>
      <c r="G155" s="179">
        <f>SUMIFS('עלויות כח אדם (6)'!M:M,'עלויות כח אדם (6)'!B:B,' איוש משרות (8)'!C155,'עלויות כח אדם (6)'!N:N,"רכ")</f>
        <v>0</v>
      </c>
      <c r="H155" s="179">
        <f>IFERROR(VLOOKUP(P155,'עלויות כח אדם (6)'!$AE$16:$AF$3014,2,0),0)</f>
        <v>0</v>
      </c>
      <c r="I155" s="178">
        <f t="shared" si="16"/>
        <v>0</v>
      </c>
      <c r="J155" s="178">
        <f t="shared" si="17"/>
        <v>0</v>
      </c>
      <c r="K155" s="179" t="str">
        <f t="shared" si="14"/>
        <v/>
      </c>
      <c r="L155" s="718"/>
      <c r="M155" s="180" t="str">
        <f t="shared" si="18"/>
        <v/>
      </c>
      <c r="N155" s="531">
        <f t="shared" si="15"/>
        <v>0</v>
      </c>
      <c r="O155" s="531" t="str">
        <f>IF(C155&lt;&gt;"",C155&amp;'סיווג התפקידים והעלויות'!$C$2,"")</f>
        <v/>
      </c>
      <c r="P155" s="531" t="str">
        <f>IF(C155&lt;&gt;"",C155&amp;'סיווג התפקידים והעלויות'!$D$2,"")</f>
        <v/>
      </c>
    </row>
    <row r="156" spans="2:16" ht="15.75" x14ac:dyDescent="0.25">
      <c r="B156" s="176">
        <v>141</v>
      </c>
      <c r="C156" s="176" t="str">
        <f>IF(VLOOKUP(B156,'דוח ביצוע (3)'!$A$21:$B$520,2,0)="","",VLOOKUP(B156,'דוח ביצוע (3)'!$A$21:$B$520,2,0))</f>
        <v/>
      </c>
      <c r="D156" s="177" t="str">
        <f>IFERROR(VLOOKUP($C:$C,'מצבת והרשמה (2)'!$C$20:$N$520,2,0)," ")</f>
        <v/>
      </c>
      <c r="E156" s="177" t="str">
        <f>IFERROR(VLOOKUP(C156,'דוח ביצוע (3)'!B:V,5,0)," ")</f>
        <v xml:space="preserve"> </v>
      </c>
      <c r="F156" s="177" t="str">
        <f t="shared" si="13"/>
        <v/>
      </c>
      <c r="G156" s="179">
        <f>SUMIFS('עלויות כח אדם (6)'!M:M,'עלויות כח אדם (6)'!B:B,' איוש משרות (8)'!C156,'עלויות כח אדם (6)'!N:N,"רכ")</f>
        <v>0</v>
      </c>
      <c r="H156" s="179">
        <f>IFERROR(VLOOKUP(P156,'עלויות כח אדם (6)'!$AE$16:$AF$3014,2,0),0)</f>
        <v>0</v>
      </c>
      <c r="I156" s="178">
        <f t="shared" si="16"/>
        <v>0</v>
      </c>
      <c r="J156" s="178">
        <f t="shared" si="17"/>
        <v>0</v>
      </c>
      <c r="K156" s="179" t="str">
        <f t="shared" si="14"/>
        <v/>
      </c>
      <c r="L156" s="718"/>
      <c r="M156" s="180" t="str">
        <f t="shared" si="18"/>
        <v/>
      </c>
      <c r="N156" s="531">
        <f t="shared" si="15"/>
        <v>0</v>
      </c>
      <c r="O156" s="531" t="str">
        <f>IF(C156&lt;&gt;"",C156&amp;'סיווג התפקידים והעלויות'!$C$2,"")</f>
        <v/>
      </c>
      <c r="P156" s="531" t="str">
        <f>IF(C156&lt;&gt;"",C156&amp;'סיווג התפקידים והעלויות'!$D$2,"")</f>
        <v/>
      </c>
    </row>
    <row r="157" spans="2:16" ht="15.75" x14ac:dyDescent="0.25">
      <c r="B157" s="57">
        <v>142</v>
      </c>
      <c r="C157" s="176" t="str">
        <f>IF(VLOOKUP(B157,'דוח ביצוע (3)'!$A$21:$B$520,2,0)="","",VLOOKUP(B157,'דוח ביצוע (3)'!$A$21:$B$520,2,0))</f>
        <v/>
      </c>
      <c r="D157" s="177" t="str">
        <f>IFERROR(VLOOKUP($C:$C,'מצבת והרשמה (2)'!$C$20:$N$520,2,0)," ")</f>
        <v/>
      </c>
      <c r="E157" s="177" t="str">
        <f>IFERROR(VLOOKUP(C157,'דוח ביצוע (3)'!B:V,5,0)," ")</f>
        <v xml:space="preserve"> </v>
      </c>
      <c r="F157" s="177" t="str">
        <f t="shared" si="13"/>
        <v/>
      </c>
      <c r="G157" s="179">
        <f>SUMIFS('עלויות כח אדם (6)'!M:M,'עלויות כח אדם (6)'!B:B,' איוש משרות (8)'!C157,'עלויות כח אדם (6)'!N:N,"רכ")</f>
        <v>0</v>
      </c>
      <c r="H157" s="179">
        <f>IFERROR(VLOOKUP(P157,'עלויות כח אדם (6)'!$AE$16:$AF$3014,2,0),0)</f>
        <v>0</v>
      </c>
      <c r="I157" s="178">
        <f t="shared" si="16"/>
        <v>0</v>
      </c>
      <c r="J157" s="178">
        <f t="shared" si="17"/>
        <v>0</v>
      </c>
      <c r="K157" s="179" t="str">
        <f t="shared" si="14"/>
        <v/>
      </c>
      <c r="L157" s="718"/>
      <c r="M157" s="180" t="str">
        <f t="shared" si="18"/>
        <v/>
      </c>
      <c r="N157" s="531">
        <f t="shared" si="15"/>
        <v>0</v>
      </c>
      <c r="O157" s="531" t="str">
        <f>IF(C157&lt;&gt;"",C157&amp;'סיווג התפקידים והעלויות'!$C$2,"")</f>
        <v/>
      </c>
      <c r="P157" s="531" t="str">
        <f>IF(C157&lt;&gt;"",C157&amp;'סיווג התפקידים והעלויות'!$D$2,"")</f>
        <v/>
      </c>
    </row>
    <row r="158" spans="2:16" ht="15.75" x14ac:dyDescent="0.25">
      <c r="B158" s="176">
        <v>143</v>
      </c>
      <c r="C158" s="176" t="str">
        <f>IF(VLOOKUP(B158,'דוח ביצוע (3)'!$A$21:$B$520,2,0)="","",VLOOKUP(B158,'דוח ביצוע (3)'!$A$21:$B$520,2,0))</f>
        <v/>
      </c>
      <c r="D158" s="177" t="str">
        <f>IFERROR(VLOOKUP($C:$C,'מצבת והרשמה (2)'!$C$20:$N$520,2,0)," ")</f>
        <v/>
      </c>
      <c r="E158" s="177" t="str">
        <f>IFERROR(VLOOKUP(C158,'דוח ביצוע (3)'!B:V,5,0)," ")</f>
        <v xml:space="preserve"> </v>
      </c>
      <c r="F158" s="177" t="str">
        <f t="shared" si="13"/>
        <v/>
      </c>
      <c r="G158" s="179">
        <f>SUMIFS('עלויות כח אדם (6)'!M:M,'עלויות כח אדם (6)'!B:B,' איוש משרות (8)'!C158,'עלויות כח אדם (6)'!N:N,"רכ")</f>
        <v>0</v>
      </c>
      <c r="H158" s="179">
        <f>IFERROR(VLOOKUP(P158,'עלויות כח אדם (6)'!$AE$16:$AF$3014,2,0),0)</f>
        <v>0</v>
      </c>
      <c r="I158" s="178">
        <f t="shared" si="16"/>
        <v>0</v>
      </c>
      <c r="J158" s="178">
        <f t="shared" si="17"/>
        <v>0</v>
      </c>
      <c r="K158" s="179" t="str">
        <f t="shared" si="14"/>
        <v/>
      </c>
      <c r="L158" s="718"/>
      <c r="M158" s="180" t="str">
        <f t="shared" si="18"/>
        <v/>
      </c>
      <c r="N158" s="531">
        <f t="shared" si="15"/>
        <v>0</v>
      </c>
      <c r="O158" s="531" t="str">
        <f>IF(C158&lt;&gt;"",C158&amp;'סיווג התפקידים והעלויות'!$C$2,"")</f>
        <v/>
      </c>
      <c r="P158" s="531" t="str">
        <f>IF(C158&lt;&gt;"",C158&amp;'סיווג התפקידים והעלויות'!$D$2,"")</f>
        <v/>
      </c>
    </row>
    <row r="159" spans="2:16" ht="15.75" x14ac:dyDescent="0.25">
      <c r="B159" s="57">
        <v>144</v>
      </c>
      <c r="C159" s="176" t="str">
        <f>IF(VLOOKUP(B159,'דוח ביצוע (3)'!$A$21:$B$520,2,0)="","",VLOOKUP(B159,'דוח ביצוע (3)'!$A$21:$B$520,2,0))</f>
        <v/>
      </c>
      <c r="D159" s="177" t="str">
        <f>IFERROR(VLOOKUP($C:$C,'מצבת והרשמה (2)'!$C$20:$N$520,2,0)," ")</f>
        <v/>
      </c>
      <c r="E159" s="177" t="str">
        <f>IFERROR(VLOOKUP(C159,'דוח ביצוע (3)'!B:V,5,0)," ")</f>
        <v xml:space="preserve"> </v>
      </c>
      <c r="F159" s="177" t="str">
        <f t="shared" si="13"/>
        <v/>
      </c>
      <c r="G159" s="179">
        <f>SUMIFS('עלויות כח אדם (6)'!M:M,'עלויות כח אדם (6)'!B:B,' איוש משרות (8)'!C159,'עלויות כח אדם (6)'!N:N,"רכ")</f>
        <v>0</v>
      </c>
      <c r="H159" s="179">
        <f>IFERROR(VLOOKUP(P159,'עלויות כח אדם (6)'!$AE$16:$AF$3014,2,0),0)</f>
        <v>0</v>
      </c>
      <c r="I159" s="178">
        <f t="shared" si="16"/>
        <v>0</v>
      </c>
      <c r="J159" s="178">
        <f t="shared" si="17"/>
        <v>0</v>
      </c>
      <c r="K159" s="179" t="str">
        <f t="shared" si="14"/>
        <v/>
      </c>
      <c r="L159" s="718"/>
      <c r="M159" s="180" t="str">
        <f t="shared" si="18"/>
        <v/>
      </c>
      <c r="N159" s="531">
        <f t="shared" si="15"/>
        <v>0</v>
      </c>
      <c r="O159" s="531" t="str">
        <f>IF(C159&lt;&gt;"",C159&amp;'סיווג התפקידים והעלויות'!$C$2,"")</f>
        <v/>
      </c>
      <c r="P159" s="531" t="str">
        <f>IF(C159&lt;&gt;"",C159&amp;'סיווג התפקידים והעלויות'!$D$2,"")</f>
        <v/>
      </c>
    </row>
    <row r="160" spans="2:16" ht="15.75" x14ac:dyDescent="0.25">
      <c r="B160" s="176">
        <v>145</v>
      </c>
      <c r="C160" s="176" t="str">
        <f>IF(VLOOKUP(B160,'דוח ביצוע (3)'!$A$21:$B$520,2,0)="","",VLOOKUP(B160,'דוח ביצוע (3)'!$A$21:$B$520,2,0))</f>
        <v/>
      </c>
      <c r="D160" s="177" t="str">
        <f>IFERROR(VLOOKUP($C:$C,'מצבת והרשמה (2)'!$C$20:$N$520,2,0)," ")</f>
        <v/>
      </c>
      <c r="E160" s="177" t="str">
        <f>IFERROR(VLOOKUP(C160,'דוח ביצוע (3)'!B:V,5,0)," ")</f>
        <v xml:space="preserve"> </v>
      </c>
      <c r="F160" s="177" t="str">
        <f t="shared" si="13"/>
        <v/>
      </c>
      <c r="G160" s="179">
        <f>SUMIFS('עלויות כח אדם (6)'!M:M,'עלויות כח אדם (6)'!B:B,' איוש משרות (8)'!C160,'עלויות כח אדם (6)'!N:N,"רכ")</f>
        <v>0</v>
      </c>
      <c r="H160" s="179">
        <f>IFERROR(VLOOKUP(P160,'עלויות כח אדם (6)'!$AE$16:$AF$3014,2,0),0)</f>
        <v>0</v>
      </c>
      <c r="I160" s="178">
        <f t="shared" si="16"/>
        <v>0</v>
      </c>
      <c r="J160" s="178">
        <f t="shared" si="17"/>
        <v>0</v>
      </c>
      <c r="K160" s="179" t="str">
        <f t="shared" si="14"/>
        <v/>
      </c>
      <c r="L160" s="718"/>
      <c r="M160" s="180" t="str">
        <f t="shared" si="18"/>
        <v/>
      </c>
      <c r="N160" s="531">
        <f t="shared" si="15"/>
        <v>0</v>
      </c>
      <c r="O160" s="531" t="str">
        <f>IF(C160&lt;&gt;"",C160&amp;'סיווג התפקידים והעלויות'!$C$2,"")</f>
        <v/>
      </c>
      <c r="P160" s="531" t="str">
        <f>IF(C160&lt;&gt;"",C160&amp;'סיווג התפקידים והעלויות'!$D$2,"")</f>
        <v/>
      </c>
    </row>
    <row r="161" spans="2:16" ht="15.75" x14ac:dyDescent="0.25">
      <c r="B161" s="57">
        <v>146</v>
      </c>
      <c r="C161" s="176" t="str">
        <f>IF(VLOOKUP(B161,'דוח ביצוע (3)'!$A$21:$B$520,2,0)="","",VLOOKUP(B161,'דוח ביצוע (3)'!$A$21:$B$520,2,0))</f>
        <v/>
      </c>
      <c r="D161" s="177" t="str">
        <f>IFERROR(VLOOKUP($C:$C,'מצבת והרשמה (2)'!$C$20:$N$520,2,0)," ")</f>
        <v/>
      </c>
      <c r="E161" s="177" t="str">
        <f>IFERROR(VLOOKUP(C161,'דוח ביצוע (3)'!B:V,5,0)," ")</f>
        <v xml:space="preserve"> </v>
      </c>
      <c r="F161" s="177" t="str">
        <f t="shared" si="13"/>
        <v/>
      </c>
      <c r="G161" s="179">
        <f>SUMIFS('עלויות כח אדם (6)'!M:M,'עלויות כח אדם (6)'!B:B,' איוש משרות (8)'!C161,'עלויות כח אדם (6)'!N:N,"רכ")</f>
        <v>0</v>
      </c>
      <c r="H161" s="179">
        <f>IFERROR(VLOOKUP(P161,'עלויות כח אדם (6)'!$AE$16:$AF$3014,2,0),0)</f>
        <v>0</v>
      </c>
      <c r="I161" s="178">
        <f t="shared" si="16"/>
        <v>0</v>
      </c>
      <c r="J161" s="178">
        <f t="shared" si="17"/>
        <v>0</v>
      </c>
      <c r="K161" s="179" t="str">
        <f t="shared" si="14"/>
        <v/>
      </c>
      <c r="L161" s="718"/>
      <c r="M161" s="180" t="str">
        <f t="shared" si="18"/>
        <v/>
      </c>
      <c r="N161" s="531">
        <f t="shared" si="15"/>
        <v>0</v>
      </c>
      <c r="O161" s="531" t="str">
        <f>IF(C161&lt;&gt;"",C161&amp;'סיווג התפקידים והעלויות'!$C$2,"")</f>
        <v/>
      </c>
      <c r="P161" s="531" t="str">
        <f>IF(C161&lt;&gt;"",C161&amp;'סיווג התפקידים והעלויות'!$D$2,"")</f>
        <v/>
      </c>
    </row>
    <row r="162" spans="2:16" ht="15.75" x14ac:dyDescent="0.25">
      <c r="B162" s="176">
        <v>147</v>
      </c>
      <c r="C162" s="176" t="str">
        <f>IF(VLOOKUP(B162,'דוח ביצוע (3)'!$A$21:$B$520,2,0)="","",VLOOKUP(B162,'דוח ביצוע (3)'!$A$21:$B$520,2,0))</f>
        <v/>
      </c>
      <c r="D162" s="177" t="str">
        <f>IFERROR(VLOOKUP($C:$C,'מצבת והרשמה (2)'!$C$20:$N$520,2,0)," ")</f>
        <v/>
      </c>
      <c r="E162" s="177" t="str">
        <f>IFERROR(VLOOKUP(C162,'דוח ביצוע (3)'!B:V,5,0)," ")</f>
        <v xml:space="preserve"> </v>
      </c>
      <c r="F162" s="177" t="str">
        <f t="shared" si="13"/>
        <v/>
      </c>
      <c r="G162" s="179">
        <f>SUMIFS('עלויות כח אדם (6)'!M:M,'עלויות כח אדם (6)'!B:B,' איוש משרות (8)'!C162,'עלויות כח אדם (6)'!N:N,"רכ")</f>
        <v>0</v>
      </c>
      <c r="H162" s="179">
        <f>IFERROR(VLOOKUP(P162,'עלויות כח אדם (6)'!$AE$16:$AF$3014,2,0),0)</f>
        <v>0</v>
      </c>
      <c r="I162" s="178">
        <f t="shared" si="16"/>
        <v>0</v>
      </c>
      <c r="J162" s="178">
        <f t="shared" si="17"/>
        <v>0</v>
      </c>
      <c r="K162" s="179" t="str">
        <f t="shared" si="14"/>
        <v/>
      </c>
      <c r="L162" s="718"/>
      <c r="M162" s="180" t="str">
        <f t="shared" si="18"/>
        <v/>
      </c>
      <c r="N162" s="531">
        <f t="shared" si="15"/>
        <v>0</v>
      </c>
      <c r="O162" s="531" t="str">
        <f>IF(C162&lt;&gt;"",C162&amp;'סיווג התפקידים והעלויות'!$C$2,"")</f>
        <v/>
      </c>
      <c r="P162" s="531" t="str">
        <f>IF(C162&lt;&gt;"",C162&amp;'סיווג התפקידים והעלויות'!$D$2,"")</f>
        <v/>
      </c>
    </row>
    <row r="163" spans="2:16" ht="15.75" x14ac:dyDescent="0.25">
      <c r="B163" s="57">
        <v>148</v>
      </c>
      <c r="C163" s="176" t="str">
        <f>IF(VLOOKUP(B163,'דוח ביצוע (3)'!$A$21:$B$520,2,0)="","",VLOOKUP(B163,'דוח ביצוע (3)'!$A$21:$B$520,2,0))</f>
        <v/>
      </c>
      <c r="D163" s="177" t="str">
        <f>IFERROR(VLOOKUP($C:$C,'מצבת והרשמה (2)'!$C$20:$N$520,2,0)," ")</f>
        <v/>
      </c>
      <c r="E163" s="177" t="str">
        <f>IFERROR(VLOOKUP(C163,'דוח ביצוע (3)'!B:V,5,0)," ")</f>
        <v xml:space="preserve"> </v>
      </c>
      <c r="F163" s="177" t="str">
        <f t="shared" si="13"/>
        <v/>
      </c>
      <c r="G163" s="179">
        <f>SUMIFS('עלויות כח אדם (6)'!M:M,'עלויות כח אדם (6)'!B:B,' איוש משרות (8)'!C163,'עלויות כח אדם (6)'!N:N,"רכ")</f>
        <v>0</v>
      </c>
      <c r="H163" s="179">
        <f>IFERROR(VLOOKUP(P163,'עלויות כח אדם (6)'!$AE$16:$AF$3014,2,0),0)</f>
        <v>0</v>
      </c>
      <c r="I163" s="178">
        <f t="shared" si="16"/>
        <v>0</v>
      </c>
      <c r="J163" s="178">
        <f t="shared" si="17"/>
        <v>0</v>
      </c>
      <c r="K163" s="179" t="str">
        <f t="shared" si="14"/>
        <v/>
      </c>
      <c r="L163" s="718"/>
      <c r="M163" s="180" t="str">
        <f t="shared" si="18"/>
        <v/>
      </c>
      <c r="N163" s="531">
        <f t="shared" si="15"/>
        <v>0</v>
      </c>
      <c r="O163" s="531" t="str">
        <f>IF(C163&lt;&gt;"",C163&amp;'סיווג התפקידים והעלויות'!$C$2,"")</f>
        <v/>
      </c>
      <c r="P163" s="531" t="str">
        <f>IF(C163&lt;&gt;"",C163&amp;'סיווג התפקידים והעלויות'!$D$2,"")</f>
        <v/>
      </c>
    </row>
    <row r="164" spans="2:16" ht="15.75" x14ac:dyDescent="0.25">
      <c r="B164" s="176">
        <v>149</v>
      </c>
      <c r="C164" s="176" t="str">
        <f>IF(VLOOKUP(B164,'דוח ביצוע (3)'!$A$21:$B$520,2,0)="","",VLOOKUP(B164,'דוח ביצוע (3)'!$A$21:$B$520,2,0))</f>
        <v/>
      </c>
      <c r="D164" s="177" t="str">
        <f>IFERROR(VLOOKUP($C:$C,'מצבת והרשמה (2)'!$C$20:$N$520,2,0)," ")</f>
        <v/>
      </c>
      <c r="E164" s="177" t="str">
        <f>IFERROR(VLOOKUP(C164,'דוח ביצוע (3)'!B:V,5,0)," ")</f>
        <v xml:space="preserve"> </v>
      </c>
      <c r="F164" s="177" t="str">
        <f t="shared" si="13"/>
        <v/>
      </c>
      <c r="G164" s="179">
        <f>SUMIFS('עלויות כח אדם (6)'!M:M,'עלויות כח אדם (6)'!B:B,' איוש משרות (8)'!C164,'עלויות כח אדם (6)'!N:N,"רכ")</f>
        <v>0</v>
      </c>
      <c r="H164" s="179">
        <f>IFERROR(VLOOKUP(P164,'עלויות כח אדם (6)'!$AE$16:$AF$3014,2,0),0)</f>
        <v>0</v>
      </c>
      <c r="I164" s="178">
        <f t="shared" si="16"/>
        <v>0</v>
      </c>
      <c r="J164" s="178">
        <f t="shared" si="17"/>
        <v>0</v>
      </c>
      <c r="K164" s="179" t="str">
        <f t="shared" si="14"/>
        <v/>
      </c>
      <c r="L164" s="718"/>
      <c r="M164" s="180" t="str">
        <f t="shared" si="18"/>
        <v/>
      </c>
      <c r="N164" s="531">
        <f t="shared" si="15"/>
        <v>0</v>
      </c>
      <c r="O164" s="531" t="str">
        <f>IF(C164&lt;&gt;"",C164&amp;'סיווג התפקידים והעלויות'!$C$2,"")</f>
        <v/>
      </c>
      <c r="P164" s="531" t="str">
        <f>IF(C164&lt;&gt;"",C164&amp;'סיווג התפקידים והעלויות'!$D$2,"")</f>
        <v/>
      </c>
    </row>
    <row r="165" spans="2:16" ht="15.75" x14ac:dyDescent="0.25">
      <c r="B165" s="57">
        <v>150</v>
      </c>
      <c r="C165" s="176" t="str">
        <f>IF(VLOOKUP(B165,'דוח ביצוע (3)'!$A$21:$B$520,2,0)="","",VLOOKUP(B165,'דוח ביצוע (3)'!$A$21:$B$520,2,0))</f>
        <v/>
      </c>
      <c r="D165" s="177" t="str">
        <f>IFERROR(VLOOKUP($C:$C,'מצבת והרשמה (2)'!$C$20:$N$520,2,0)," ")</f>
        <v/>
      </c>
      <c r="E165" s="177" t="str">
        <f>IFERROR(VLOOKUP(C165,'דוח ביצוע (3)'!B:V,5,0)," ")</f>
        <v xml:space="preserve"> </v>
      </c>
      <c r="F165" s="177" t="str">
        <f t="shared" si="13"/>
        <v/>
      </c>
      <c r="G165" s="179">
        <f>SUMIFS('עלויות כח אדם (6)'!M:M,'עלויות כח אדם (6)'!B:B,' איוש משרות (8)'!C165,'עלויות כח אדם (6)'!N:N,"רכ")</f>
        <v>0</v>
      </c>
      <c r="H165" s="179">
        <f>IFERROR(VLOOKUP(P165,'עלויות כח אדם (6)'!$AE$16:$AF$3014,2,0),0)</f>
        <v>0</v>
      </c>
      <c r="I165" s="178">
        <f t="shared" si="16"/>
        <v>0</v>
      </c>
      <c r="J165" s="178">
        <f t="shared" si="17"/>
        <v>0</v>
      </c>
      <c r="K165" s="179" t="str">
        <f t="shared" si="14"/>
        <v/>
      </c>
      <c r="L165" s="718"/>
      <c r="M165" s="180" t="str">
        <f t="shared" si="18"/>
        <v/>
      </c>
      <c r="N165" s="531">
        <f t="shared" si="15"/>
        <v>0</v>
      </c>
      <c r="O165" s="531" t="str">
        <f>IF(C165&lt;&gt;"",C165&amp;'סיווג התפקידים והעלויות'!$C$2,"")</f>
        <v/>
      </c>
      <c r="P165" s="531" t="str">
        <f>IF(C165&lt;&gt;"",C165&amp;'סיווג התפקידים והעלויות'!$D$2,"")</f>
        <v/>
      </c>
    </row>
    <row r="166" spans="2:16" ht="15.75" x14ac:dyDescent="0.25">
      <c r="B166" s="176">
        <v>151</v>
      </c>
      <c r="C166" s="176" t="str">
        <f>IF(VLOOKUP(B166,'דוח ביצוע (3)'!$A$21:$B$520,2,0)="","",VLOOKUP(B166,'דוח ביצוע (3)'!$A$21:$B$520,2,0))</f>
        <v/>
      </c>
      <c r="D166" s="177" t="str">
        <f>IFERROR(VLOOKUP($C:$C,'מצבת והרשמה (2)'!$C$20:$N$520,2,0)," ")</f>
        <v/>
      </c>
      <c r="E166" s="177" t="str">
        <f>IFERROR(VLOOKUP(C166,'דוח ביצוע (3)'!B:V,5,0)," ")</f>
        <v xml:space="preserve"> </v>
      </c>
      <c r="F166" s="177" t="str">
        <f t="shared" si="13"/>
        <v/>
      </c>
      <c r="G166" s="179">
        <f>SUMIFS('עלויות כח אדם (6)'!M:M,'עלויות כח אדם (6)'!B:B,' איוש משרות (8)'!C166,'עלויות כח אדם (6)'!N:N,"רכ")</f>
        <v>0</v>
      </c>
      <c r="H166" s="179">
        <f>IFERROR(VLOOKUP(P166,'עלויות כח אדם (6)'!$AE$16:$AF$3014,2,0),0)</f>
        <v>0</v>
      </c>
      <c r="I166" s="178">
        <f t="shared" si="16"/>
        <v>0</v>
      </c>
      <c r="J166" s="178">
        <f t="shared" si="17"/>
        <v>0</v>
      </c>
      <c r="K166" s="179" t="str">
        <f t="shared" si="14"/>
        <v/>
      </c>
      <c r="L166" s="718"/>
      <c r="M166" s="180" t="str">
        <f t="shared" si="18"/>
        <v/>
      </c>
      <c r="N166" s="531">
        <f t="shared" si="15"/>
        <v>0</v>
      </c>
      <c r="O166" s="531" t="str">
        <f>IF(C166&lt;&gt;"",C166&amp;'סיווג התפקידים והעלויות'!$C$2,"")</f>
        <v/>
      </c>
      <c r="P166" s="531" t="str">
        <f>IF(C166&lt;&gt;"",C166&amp;'סיווג התפקידים והעלויות'!$D$2,"")</f>
        <v/>
      </c>
    </row>
    <row r="167" spans="2:16" ht="15.75" x14ac:dyDescent="0.25">
      <c r="B167" s="57">
        <v>152</v>
      </c>
      <c r="C167" s="176" t="str">
        <f>IF(VLOOKUP(B167,'דוח ביצוע (3)'!$A$21:$B$520,2,0)="","",VLOOKUP(B167,'דוח ביצוע (3)'!$A$21:$B$520,2,0))</f>
        <v/>
      </c>
      <c r="D167" s="177" t="str">
        <f>IFERROR(VLOOKUP($C:$C,'מצבת והרשמה (2)'!$C$20:$N$520,2,0)," ")</f>
        <v/>
      </c>
      <c r="E167" s="177" t="str">
        <f>IFERROR(VLOOKUP(C167,'דוח ביצוע (3)'!B:V,5,0)," ")</f>
        <v xml:space="preserve"> </v>
      </c>
      <c r="F167" s="177" t="str">
        <f t="shared" si="13"/>
        <v/>
      </c>
      <c r="G167" s="179">
        <f>SUMIFS('עלויות כח אדם (6)'!M:M,'עלויות כח אדם (6)'!B:B,' איוש משרות (8)'!C167,'עלויות כח אדם (6)'!N:N,"רכ")</f>
        <v>0</v>
      </c>
      <c r="H167" s="179">
        <f>IFERROR(VLOOKUP(P167,'עלויות כח אדם (6)'!$AE$16:$AF$3014,2,0),0)</f>
        <v>0</v>
      </c>
      <c r="I167" s="178">
        <f t="shared" si="16"/>
        <v>0</v>
      </c>
      <c r="J167" s="178">
        <f t="shared" si="17"/>
        <v>0</v>
      </c>
      <c r="K167" s="179" t="str">
        <f t="shared" si="14"/>
        <v/>
      </c>
      <c r="L167" s="718"/>
      <c r="M167" s="180" t="str">
        <f t="shared" si="18"/>
        <v/>
      </c>
      <c r="N167" s="531">
        <f t="shared" si="15"/>
        <v>0</v>
      </c>
      <c r="O167" s="531" t="str">
        <f>IF(C167&lt;&gt;"",C167&amp;'סיווג התפקידים והעלויות'!$C$2,"")</f>
        <v/>
      </c>
      <c r="P167" s="531" t="str">
        <f>IF(C167&lt;&gt;"",C167&amp;'סיווג התפקידים והעלויות'!$D$2,"")</f>
        <v/>
      </c>
    </row>
    <row r="168" spans="2:16" ht="15.75" x14ac:dyDescent="0.25">
      <c r="B168" s="176">
        <v>153</v>
      </c>
      <c r="C168" s="176" t="str">
        <f>IF(VLOOKUP(B168,'דוח ביצוע (3)'!$A$21:$B$520,2,0)="","",VLOOKUP(B168,'דוח ביצוע (3)'!$A$21:$B$520,2,0))</f>
        <v/>
      </c>
      <c r="D168" s="177" t="str">
        <f>IFERROR(VLOOKUP($C:$C,'מצבת והרשמה (2)'!$C$20:$N$520,2,0)," ")</f>
        <v/>
      </c>
      <c r="E168" s="177" t="str">
        <f>IFERROR(VLOOKUP(C168,'דוח ביצוע (3)'!B:V,5,0)," ")</f>
        <v xml:space="preserve"> </v>
      </c>
      <c r="F168" s="177" t="str">
        <f t="shared" si="13"/>
        <v/>
      </c>
      <c r="G168" s="179">
        <f>SUMIFS('עלויות כח אדם (6)'!M:M,'עלויות כח אדם (6)'!B:B,' איוש משרות (8)'!C168,'עלויות כח אדם (6)'!N:N,"רכ")</f>
        <v>0</v>
      </c>
      <c r="H168" s="179">
        <f>IFERROR(VLOOKUP(P168,'עלויות כח אדם (6)'!$AE$16:$AF$3014,2,0),0)</f>
        <v>0</v>
      </c>
      <c r="I168" s="178">
        <f t="shared" si="16"/>
        <v>0</v>
      </c>
      <c r="J168" s="178">
        <f t="shared" si="17"/>
        <v>0</v>
      </c>
      <c r="K168" s="179" t="str">
        <f t="shared" si="14"/>
        <v/>
      </c>
      <c r="L168" s="718"/>
      <c r="M168" s="180" t="str">
        <f t="shared" si="18"/>
        <v/>
      </c>
      <c r="N168" s="531">
        <f t="shared" si="15"/>
        <v>0</v>
      </c>
      <c r="O168" s="531" t="str">
        <f>IF(C168&lt;&gt;"",C168&amp;'סיווג התפקידים והעלויות'!$C$2,"")</f>
        <v/>
      </c>
      <c r="P168" s="531" t="str">
        <f>IF(C168&lt;&gt;"",C168&amp;'סיווג התפקידים והעלויות'!$D$2,"")</f>
        <v/>
      </c>
    </row>
    <row r="169" spans="2:16" ht="15.75" x14ac:dyDescent="0.25">
      <c r="B169" s="57">
        <v>154</v>
      </c>
      <c r="C169" s="176" t="str">
        <f>IF(VLOOKUP(B169,'דוח ביצוע (3)'!$A$21:$B$520,2,0)="","",VLOOKUP(B169,'דוח ביצוע (3)'!$A$21:$B$520,2,0))</f>
        <v/>
      </c>
      <c r="D169" s="177" t="str">
        <f>IFERROR(VLOOKUP($C:$C,'מצבת והרשמה (2)'!$C$20:$N$520,2,0)," ")</f>
        <v/>
      </c>
      <c r="E169" s="177" t="str">
        <f>IFERROR(VLOOKUP(C169,'דוח ביצוע (3)'!B:V,5,0)," ")</f>
        <v xml:space="preserve"> </v>
      </c>
      <c r="F169" s="177" t="str">
        <f t="shared" si="13"/>
        <v/>
      </c>
      <c r="G169" s="179">
        <f>SUMIFS('עלויות כח אדם (6)'!M:M,'עלויות כח אדם (6)'!B:B,' איוש משרות (8)'!C169,'עלויות כח אדם (6)'!N:N,"רכ")</f>
        <v>0</v>
      </c>
      <c r="H169" s="179">
        <f>IFERROR(VLOOKUP(P169,'עלויות כח אדם (6)'!$AE$16:$AF$3014,2,0),0)</f>
        <v>0</v>
      </c>
      <c r="I169" s="178">
        <f t="shared" si="16"/>
        <v>0</v>
      </c>
      <c r="J169" s="178">
        <f t="shared" si="17"/>
        <v>0</v>
      </c>
      <c r="K169" s="179" t="str">
        <f t="shared" si="14"/>
        <v/>
      </c>
      <c r="L169" s="718"/>
      <c r="M169" s="180" t="str">
        <f t="shared" si="18"/>
        <v/>
      </c>
      <c r="N169" s="531">
        <f t="shared" si="15"/>
        <v>0</v>
      </c>
      <c r="O169" s="531" t="str">
        <f>IF(C169&lt;&gt;"",C169&amp;'סיווג התפקידים והעלויות'!$C$2,"")</f>
        <v/>
      </c>
      <c r="P169" s="531" t="str">
        <f>IF(C169&lt;&gt;"",C169&amp;'סיווג התפקידים והעלויות'!$D$2,"")</f>
        <v/>
      </c>
    </row>
    <row r="170" spans="2:16" ht="15.75" x14ac:dyDescent="0.25">
      <c r="B170" s="176">
        <v>155</v>
      </c>
      <c r="C170" s="176" t="str">
        <f>IF(VLOOKUP(B170,'דוח ביצוע (3)'!$A$21:$B$520,2,0)="","",VLOOKUP(B170,'דוח ביצוע (3)'!$A$21:$B$520,2,0))</f>
        <v/>
      </c>
      <c r="D170" s="177" t="str">
        <f>IFERROR(VLOOKUP($C:$C,'מצבת והרשמה (2)'!$C$20:$N$520,2,0)," ")</f>
        <v/>
      </c>
      <c r="E170" s="177" t="str">
        <f>IFERROR(VLOOKUP(C170,'דוח ביצוע (3)'!B:V,5,0)," ")</f>
        <v xml:space="preserve"> </v>
      </c>
      <c r="F170" s="177" t="str">
        <f t="shared" si="13"/>
        <v/>
      </c>
      <c r="G170" s="179">
        <f>SUMIFS('עלויות כח אדם (6)'!M:M,'עלויות כח אדם (6)'!B:B,' איוש משרות (8)'!C170,'עלויות כח אדם (6)'!N:N,"רכ")</f>
        <v>0</v>
      </c>
      <c r="H170" s="179">
        <f>IFERROR(VLOOKUP(P170,'עלויות כח אדם (6)'!$AE$16:$AF$3014,2,0),0)</f>
        <v>0</v>
      </c>
      <c r="I170" s="178">
        <f t="shared" si="16"/>
        <v>0</v>
      </c>
      <c r="J170" s="178">
        <f t="shared" si="17"/>
        <v>0</v>
      </c>
      <c r="K170" s="179" t="str">
        <f t="shared" si="14"/>
        <v/>
      </c>
      <c r="L170" s="718"/>
      <c r="M170" s="180" t="str">
        <f t="shared" si="18"/>
        <v/>
      </c>
      <c r="N170" s="531">
        <f t="shared" si="15"/>
        <v>0</v>
      </c>
      <c r="O170" s="531" t="str">
        <f>IF(C170&lt;&gt;"",C170&amp;'סיווג התפקידים והעלויות'!$C$2,"")</f>
        <v/>
      </c>
      <c r="P170" s="531" t="str">
        <f>IF(C170&lt;&gt;"",C170&amp;'סיווג התפקידים והעלויות'!$D$2,"")</f>
        <v/>
      </c>
    </row>
    <row r="171" spans="2:16" ht="15.75" x14ac:dyDescent="0.25">
      <c r="B171" s="57">
        <v>156</v>
      </c>
      <c r="C171" s="176" t="str">
        <f>IF(VLOOKUP(B171,'דוח ביצוע (3)'!$A$21:$B$520,2,0)="","",VLOOKUP(B171,'דוח ביצוע (3)'!$A$21:$B$520,2,0))</f>
        <v/>
      </c>
      <c r="D171" s="177" t="str">
        <f>IFERROR(VLOOKUP($C:$C,'מצבת והרשמה (2)'!$C$20:$N$520,2,0)," ")</f>
        <v/>
      </c>
      <c r="E171" s="177" t="str">
        <f>IFERROR(VLOOKUP(C171,'דוח ביצוע (3)'!B:V,5,0)," ")</f>
        <v xml:space="preserve"> </v>
      </c>
      <c r="F171" s="177" t="str">
        <f t="shared" si="13"/>
        <v/>
      </c>
      <c r="G171" s="179">
        <f>SUMIFS('עלויות כח אדם (6)'!M:M,'עלויות כח אדם (6)'!B:B,' איוש משרות (8)'!C171,'עלויות כח אדם (6)'!N:N,"רכ")</f>
        <v>0</v>
      </c>
      <c r="H171" s="179">
        <f>IFERROR(VLOOKUP(P171,'עלויות כח אדם (6)'!$AE$16:$AF$3014,2,0),0)</f>
        <v>0</v>
      </c>
      <c r="I171" s="178">
        <f t="shared" si="16"/>
        <v>0</v>
      </c>
      <c r="J171" s="178">
        <f t="shared" si="17"/>
        <v>0</v>
      </c>
      <c r="K171" s="179" t="str">
        <f t="shared" si="14"/>
        <v/>
      </c>
      <c r="L171" s="718"/>
      <c r="M171" s="180" t="str">
        <f t="shared" si="18"/>
        <v/>
      </c>
      <c r="N171" s="531">
        <f t="shared" si="15"/>
        <v>0</v>
      </c>
      <c r="O171" s="531" t="str">
        <f>IF(C171&lt;&gt;"",C171&amp;'סיווג התפקידים והעלויות'!$C$2,"")</f>
        <v/>
      </c>
      <c r="P171" s="531" t="str">
        <f>IF(C171&lt;&gt;"",C171&amp;'סיווג התפקידים והעלויות'!$D$2,"")</f>
        <v/>
      </c>
    </row>
    <row r="172" spans="2:16" ht="15.75" x14ac:dyDescent="0.25">
      <c r="B172" s="176">
        <v>157</v>
      </c>
      <c r="C172" s="176" t="str">
        <f>IF(VLOOKUP(B172,'דוח ביצוע (3)'!$A$21:$B$520,2,0)="","",VLOOKUP(B172,'דוח ביצוע (3)'!$A$21:$B$520,2,0))</f>
        <v/>
      </c>
      <c r="D172" s="177" t="str">
        <f>IFERROR(VLOOKUP($C:$C,'מצבת והרשמה (2)'!$C$20:$N$520,2,0)," ")</f>
        <v/>
      </c>
      <c r="E172" s="177" t="str">
        <f>IFERROR(VLOOKUP(C172,'דוח ביצוע (3)'!B:V,5,0)," ")</f>
        <v xml:space="preserve"> </v>
      </c>
      <c r="F172" s="177" t="str">
        <f t="shared" si="13"/>
        <v/>
      </c>
      <c r="G172" s="179">
        <f>SUMIFS('עלויות כח אדם (6)'!M:M,'עלויות כח אדם (6)'!B:B,' איוש משרות (8)'!C172,'עלויות כח אדם (6)'!N:N,"רכ")</f>
        <v>0</v>
      </c>
      <c r="H172" s="179">
        <f>IFERROR(VLOOKUP(P172,'עלויות כח אדם (6)'!$AE$16:$AF$3014,2,0),0)</f>
        <v>0</v>
      </c>
      <c r="I172" s="178">
        <f t="shared" si="16"/>
        <v>0</v>
      </c>
      <c r="J172" s="178">
        <f t="shared" si="17"/>
        <v>0</v>
      </c>
      <c r="K172" s="179" t="str">
        <f t="shared" si="14"/>
        <v/>
      </c>
      <c r="L172" s="718"/>
      <c r="M172" s="180" t="str">
        <f t="shared" si="18"/>
        <v/>
      </c>
      <c r="N172" s="531">
        <f t="shared" si="15"/>
        <v>0</v>
      </c>
      <c r="O172" s="531" t="str">
        <f>IF(C172&lt;&gt;"",C172&amp;'סיווג התפקידים והעלויות'!$C$2,"")</f>
        <v/>
      </c>
      <c r="P172" s="531" t="str">
        <f>IF(C172&lt;&gt;"",C172&amp;'סיווג התפקידים והעלויות'!$D$2,"")</f>
        <v/>
      </c>
    </row>
    <row r="173" spans="2:16" ht="15.75" x14ac:dyDescent="0.25">
      <c r="B173" s="57">
        <v>158</v>
      </c>
      <c r="C173" s="176" t="str">
        <f>IF(VLOOKUP(B173,'דוח ביצוע (3)'!$A$21:$B$520,2,0)="","",VLOOKUP(B173,'דוח ביצוע (3)'!$A$21:$B$520,2,0))</f>
        <v/>
      </c>
      <c r="D173" s="177" t="str">
        <f>IFERROR(VLOOKUP($C:$C,'מצבת והרשמה (2)'!$C$20:$N$520,2,0)," ")</f>
        <v/>
      </c>
      <c r="E173" s="177" t="str">
        <f>IFERROR(VLOOKUP(C173,'דוח ביצוע (3)'!B:V,5,0)," ")</f>
        <v xml:space="preserve"> </v>
      </c>
      <c r="F173" s="177" t="str">
        <f t="shared" si="13"/>
        <v/>
      </c>
      <c r="G173" s="179">
        <f>SUMIFS('עלויות כח אדם (6)'!M:M,'עלויות כח אדם (6)'!B:B,' איוש משרות (8)'!C173,'עלויות כח אדם (6)'!N:N,"רכ")</f>
        <v>0</v>
      </c>
      <c r="H173" s="179">
        <f>IFERROR(VLOOKUP(P173,'עלויות כח אדם (6)'!$AE$16:$AF$3014,2,0),0)</f>
        <v>0</v>
      </c>
      <c r="I173" s="178">
        <f t="shared" si="16"/>
        <v>0</v>
      </c>
      <c r="J173" s="178">
        <f t="shared" si="17"/>
        <v>0</v>
      </c>
      <c r="K173" s="179" t="str">
        <f t="shared" si="14"/>
        <v/>
      </c>
      <c r="L173" s="718"/>
      <c r="M173" s="180" t="str">
        <f t="shared" si="18"/>
        <v/>
      </c>
      <c r="N173" s="531">
        <f t="shared" si="15"/>
        <v>0</v>
      </c>
      <c r="O173" s="531" t="str">
        <f>IF(C173&lt;&gt;"",C173&amp;'סיווג התפקידים והעלויות'!$C$2,"")</f>
        <v/>
      </c>
      <c r="P173" s="531" t="str">
        <f>IF(C173&lt;&gt;"",C173&amp;'סיווג התפקידים והעלויות'!$D$2,"")</f>
        <v/>
      </c>
    </row>
    <row r="174" spans="2:16" ht="15.75" x14ac:dyDescent="0.25">
      <c r="B174" s="176">
        <v>159</v>
      </c>
      <c r="C174" s="176" t="str">
        <f>IF(VLOOKUP(B174,'דוח ביצוע (3)'!$A$21:$B$520,2,0)="","",VLOOKUP(B174,'דוח ביצוע (3)'!$A$21:$B$520,2,0))</f>
        <v/>
      </c>
      <c r="D174" s="177" t="str">
        <f>IFERROR(VLOOKUP($C:$C,'מצבת והרשמה (2)'!$C$20:$N$520,2,0)," ")</f>
        <v/>
      </c>
      <c r="E174" s="177" t="str">
        <f>IFERROR(VLOOKUP(C174,'דוח ביצוע (3)'!B:V,5,0)," ")</f>
        <v xml:space="preserve"> </v>
      </c>
      <c r="F174" s="177" t="str">
        <f t="shared" si="13"/>
        <v/>
      </c>
      <c r="G174" s="179">
        <f>SUMIFS('עלויות כח אדם (6)'!M:M,'עלויות כח אדם (6)'!B:B,' איוש משרות (8)'!C174,'עלויות כח אדם (6)'!N:N,"רכ")</f>
        <v>0</v>
      </c>
      <c r="H174" s="179">
        <f>IFERROR(VLOOKUP(P174,'עלויות כח אדם (6)'!$AE$16:$AF$3014,2,0),0)</f>
        <v>0</v>
      </c>
      <c r="I174" s="178">
        <f t="shared" si="16"/>
        <v>0</v>
      </c>
      <c r="J174" s="178">
        <f t="shared" si="17"/>
        <v>0</v>
      </c>
      <c r="K174" s="179" t="str">
        <f t="shared" si="14"/>
        <v/>
      </c>
      <c r="L174" s="718"/>
      <c r="M174" s="180" t="str">
        <f t="shared" si="18"/>
        <v/>
      </c>
      <c r="N174" s="531">
        <f t="shared" si="15"/>
        <v>0</v>
      </c>
      <c r="O174" s="531" t="str">
        <f>IF(C174&lt;&gt;"",C174&amp;'סיווג התפקידים והעלויות'!$C$2,"")</f>
        <v/>
      </c>
      <c r="P174" s="531" t="str">
        <f>IF(C174&lt;&gt;"",C174&amp;'סיווג התפקידים והעלויות'!$D$2,"")</f>
        <v/>
      </c>
    </row>
    <row r="175" spans="2:16" ht="15.75" x14ac:dyDescent="0.25">
      <c r="B175" s="57">
        <v>160</v>
      </c>
      <c r="C175" s="176" t="str">
        <f>IF(VLOOKUP(B175,'דוח ביצוע (3)'!$A$21:$B$520,2,0)="","",VLOOKUP(B175,'דוח ביצוע (3)'!$A$21:$B$520,2,0))</f>
        <v/>
      </c>
      <c r="D175" s="177" t="str">
        <f>IFERROR(VLOOKUP($C:$C,'מצבת והרשמה (2)'!$C$20:$N$520,2,0)," ")</f>
        <v/>
      </c>
      <c r="E175" s="177" t="str">
        <f>IFERROR(VLOOKUP(C175,'דוח ביצוע (3)'!B:V,5,0)," ")</f>
        <v xml:space="preserve"> </v>
      </c>
      <c r="F175" s="177" t="str">
        <f t="shared" si="13"/>
        <v/>
      </c>
      <c r="G175" s="179">
        <f>SUMIFS('עלויות כח אדם (6)'!M:M,'עלויות כח אדם (6)'!B:B,' איוש משרות (8)'!C175,'עלויות כח אדם (6)'!N:N,"רכ")</f>
        <v>0</v>
      </c>
      <c r="H175" s="179">
        <f>IFERROR(VLOOKUP(P175,'עלויות כח אדם (6)'!$AE$16:$AF$3014,2,0),0)</f>
        <v>0</v>
      </c>
      <c r="I175" s="178">
        <f t="shared" si="16"/>
        <v>0</v>
      </c>
      <c r="J175" s="178">
        <f t="shared" si="17"/>
        <v>0</v>
      </c>
      <c r="K175" s="179" t="str">
        <f t="shared" si="14"/>
        <v/>
      </c>
      <c r="L175" s="718"/>
      <c r="M175" s="180" t="str">
        <f t="shared" si="18"/>
        <v/>
      </c>
      <c r="N175" s="531">
        <f t="shared" si="15"/>
        <v>0</v>
      </c>
      <c r="O175" s="531" t="str">
        <f>IF(C175&lt;&gt;"",C175&amp;'סיווג התפקידים והעלויות'!$C$2,"")</f>
        <v/>
      </c>
      <c r="P175" s="531" t="str">
        <f>IF(C175&lt;&gt;"",C175&amp;'סיווג התפקידים והעלויות'!$D$2,"")</f>
        <v/>
      </c>
    </row>
    <row r="176" spans="2:16" ht="15.75" x14ac:dyDescent="0.25">
      <c r="B176" s="176">
        <v>161</v>
      </c>
      <c r="C176" s="176" t="str">
        <f>IF(VLOOKUP(B176,'דוח ביצוע (3)'!$A$21:$B$520,2,0)="","",VLOOKUP(B176,'דוח ביצוע (3)'!$A$21:$B$520,2,0))</f>
        <v/>
      </c>
      <c r="D176" s="177" t="str">
        <f>IFERROR(VLOOKUP($C:$C,'מצבת והרשמה (2)'!$C$20:$N$520,2,0)," ")</f>
        <v/>
      </c>
      <c r="E176" s="177" t="str">
        <f>IFERROR(VLOOKUP(C176,'דוח ביצוע (3)'!B:V,5,0)," ")</f>
        <v xml:space="preserve"> </v>
      </c>
      <c r="F176" s="177" t="str">
        <f t="shared" si="13"/>
        <v/>
      </c>
      <c r="G176" s="179">
        <f>SUMIFS('עלויות כח אדם (6)'!M:M,'עלויות כח אדם (6)'!B:B,' איוש משרות (8)'!C176,'עלויות כח אדם (6)'!N:N,"רכ")</f>
        <v>0</v>
      </c>
      <c r="H176" s="179">
        <f>IFERROR(VLOOKUP(P176,'עלויות כח אדם (6)'!$AE$16:$AF$3014,2,0),0)</f>
        <v>0</v>
      </c>
      <c r="I176" s="178">
        <f t="shared" si="16"/>
        <v>0</v>
      </c>
      <c r="J176" s="178">
        <f t="shared" si="17"/>
        <v>0</v>
      </c>
      <c r="K176" s="179" t="str">
        <f t="shared" si="14"/>
        <v/>
      </c>
      <c r="L176" s="718"/>
      <c r="M176" s="180" t="str">
        <f t="shared" si="18"/>
        <v/>
      </c>
      <c r="N176" s="531">
        <f t="shared" si="15"/>
        <v>0</v>
      </c>
      <c r="O176" s="531" t="str">
        <f>IF(C176&lt;&gt;"",C176&amp;'סיווג התפקידים והעלויות'!$C$2,"")</f>
        <v/>
      </c>
      <c r="P176" s="531" t="str">
        <f>IF(C176&lt;&gt;"",C176&amp;'סיווג התפקידים והעלויות'!$D$2,"")</f>
        <v/>
      </c>
    </row>
    <row r="177" spans="2:16" ht="15.75" x14ac:dyDescent="0.25">
      <c r="B177" s="57">
        <v>162</v>
      </c>
      <c r="C177" s="176" t="str">
        <f>IF(VLOOKUP(B177,'דוח ביצוע (3)'!$A$21:$B$520,2,0)="","",VLOOKUP(B177,'דוח ביצוע (3)'!$A$21:$B$520,2,0))</f>
        <v/>
      </c>
      <c r="D177" s="177" t="str">
        <f>IFERROR(VLOOKUP($C:$C,'מצבת והרשמה (2)'!$C$20:$N$520,2,0)," ")</f>
        <v/>
      </c>
      <c r="E177" s="177" t="str">
        <f>IFERROR(VLOOKUP(C177,'דוח ביצוע (3)'!B:V,5,0)," ")</f>
        <v xml:space="preserve"> </v>
      </c>
      <c r="F177" s="177" t="str">
        <f t="shared" si="13"/>
        <v/>
      </c>
      <c r="G177" s="179">
        <f>SUMIFS('עלויות כח אדם (6)'!M:M,'עלויות כח אדם (6)'!B:B,' איוש משרות (8)'!C177,'עלויות כח אדם (6)'!N:N,"רכ")</f>
        <v>0</v>
      </c>
      <c r="H177" s="179">
        <f>IFERROR(VLOOKUP(P177,'עלויות כח אדם (6)'!$AE$16:$AF$3014,2,0),0)</f>
        <v>0</v>
      </c>
      <c r="I177" s="178">
        <f t="shared" si="16"/>
        <v>0</v>
      </c>
      <c r="J177" s="178">
        <f t="shared" si="17"/>
        <v>0</v>
      </c>
      <c r="K177" s="179" t="str">
        <f t="shared" si="14"/>
        <v/>
      </c>
      <c r="L177" s="718"/>
      <c r="M177" s="180" t="str">
        <f t="shared" si="18"/>
        <v/>
      </c>
      <c r="N177" s="531">
        <f t="shared" si="15"/>
        <v>0</v>
      </c>
      <c r="O177" s="531" t="str">
        <f>IF(C177&lt;&gt;"",C177&amp;'סיווג התפקידים והעלויות'!$C$2,"")</f>
        <v/>
      </c>
      <c r="P177" s="531" t="str">
        <f>IF(C177&lt;&gt;"",C177&amp;'סיווג התפקידים והעלויות'!$D$2,"")</f>
        <v/>
      </c>
    </row>
    <row r="178" spans="2:16" ht="15.75" x14ac:dyDescent="0.25">
      <c r="B178" s="176">
        <v>163</v>
      </c>
      <c r="C178" s="176" t="str">
        <f>IF(VLOOKUP(B178,'דוח ביצוע (3)'!$A$21:$B$520,2,0)="","",VLOOKUP(B178,'דוח ביצוע (3)'!$A$21:$B$520,2,0))</f>
        <v/>
      </c>
      <c r="D178" s="177" t="str">
        <f>IFERROR(VLOOKUP($C:$C,'מצבת והרשמה (2)'!$C$20:$N$520,2,0)," ")</f>
        <v/>
      </c>
      <c r="E178" s="177" t="str">
        <f>IFERROR(VLOOKUP(C178,'דוח ביצוע (3)'!B:V,5,0)," ")</f>
        <v xml:space="preserve"> </v>
      </c>
      <c r="F178" s="177" t="str">
        <f t="shared" si="13"/>
        <v/>
      </c>
      <c r="G178" s="179">
        <f>SUMIFS('עלויות כח אדם (6)'!M:M,'עלויות כח אדם (6)'!B:B,' איוש משרות (8)'!C178,'עלויות כח אדם (6)'!N:N,"רכ")</f>
        <v>0</v>
      </c>
      <c r="H178" s="179">
        <f>IFERROR(VLOOKUP(P178,'עלויות כח אדם (6)'!$AE$16:$AF$3014,2,0),0)</f>
        <v>0</v>
      </c>
      <c r="I178" s="178">
        <f t="shared" si="16"/>
        <v>0</v>
      </c>
      <c r="J178" s="178">
        <f t="shared" si="17"/>
        <v>0</v>
      </c>
      <c r="K178" s="179" t="str">
        <f t="shared" si="14"/>
        <v/>
      </c>
      <c r="L178" s="718"/>
      <c r="M178" s="180" t="str">
        <f t="shared" si="18"/>
        <v/>
      </c>
      <c r="N178" s="531">
        <f t="shared" si="15"/>
        <v>0</v>
      </c>
      <c r="O178" s="531" t="str">
        <f>IF(C178&lt;&gt;"",C178&amp;'סיווג התפקידים והעלויות'!$C$2,"")</f>
        <v/>
      </c>
      <c r="P178" s="531" t="str">
        <f>IF(C178&lt;&gt;"",C178&amp;'סיווג התפקידים והעלויות'!$D$2,"")</f>
        <v/>
      </c>
    </row>
    <row r="179" spans="2:16" ht="15.75" x14ac:dyDescent="0.25">
      <c r="B179" s="57">
        <v>164</v>
      </c>
      <c r="C179" s="176" t="str">
        <f>IF(VLOOKUP(B179,'דוח ביצוע (3)'!$A$21:$B$520,2,0)="","",VLOOKUP(B179,'דוח ביצוע (3)'!$A$21:$B$520,2,0))</f>
        <v/>
      </c>
      <c r="D179" s="177" t="str">
        <f>IFERROR(VLOOKUP($C:$C,'מצבת והרשמה (2)'!$C$20:$N$520,2,0)," ")</f>
        <v/>
      </c>
      <c r="E179" s="177" t="str">
        <f>IFERROR(VLOOKUP(C179,'דוח ביצוע (3)'!B:V,5,0)," ")</f>
        <v xml:space="preserve"> </v>
      </c>
      <c r="F179" s="177" t="str">
        <f t="shared" si="13"/>
        <v/>
      </c>
      <c r="G179" s="179">
        <f>SUMIFS('עלויות כח אדם (6)'!M:M,'עלויות כח אדם (6)'!B:B,' איוש משרות (8)'!C179,'עלויות כח אדם (6)'!N:N,"רכ")</f>
        <v>0</v>
      </c>
      <c r="H179" s="179">
        <f>IFERROR(VLOOKUP(P179,'עלויות כח אדם (6)'!$AE$16:$AF$3014,2,0),0)</f>
        <v>0</v>
      </c>
      <c r="I179" s="178">
        <f t="shared" si="16"/>
        <v>0</v>
      </c>
      <c r="J179" s="178">
        <f t="shared" si="17"/>
        <v>0</v>
      </c>
      <c r="K179" s="179" t="str">
        <f t="shared" si="14"/>
        <v/>
      </c>
      <c r="L179" s="718"/>
      <c r="M179" s="180" t="str">
        <f t="shared" si="18"/>
        <v/>
      </c>
      <c r="N179" s="531">
        <f t="shared" si="15"/>
        <v>0</v>
      </c>
      <c r="O179" s="531" t="str">
        <f>IF(C179&lt;&gt;"",C179&amp;'סיווג התפקידים והעלויות'!$C$2,"")</f>
        <v/>
      </c>
      <c r="P179" s="531" t="str">
        <f>IF(C179&lt;&gt;"",C179&amp;'סיווג התפקידים והעלויות'!$D$2,"")</f>
        <v/>
      </c>
    </row>
    <row r="180" spans="2:16" ht="15.75" x14ac:dyDescent="0.25">
      <c r="B180" s="176">
        <v>165</v>
      </c>
      <c r="C180" s="176" t="str">
        <f>IF(VLOOKUP(B180,'דוח ביצוע (3)'!$A$21:$B$520,2,0)="","",VLOOKUP(B180,'דוח ביצוע (3)'!$A$21:$B$520,2,0))</f>
        <v/>
      </c>
      <c r="D180" s="177" t="str">
        <f>IFERROR(VLOOKUP($C:$C,'מצבת והרשמה (2)'!$C$20:$N$520,2,0)," ")</f>
        <v/>
      </c>
      <c r="E180" s="177" t="str">
        <f>IFERROR(VLOOKUP(C180,'דוח ביצוע (3)'!B:V,5,0)," ")</f>
        <v xml:space="preserve"> </v>
      </c>
      <c r="F180" s="177" t="str">
        <f t="shared" si="13"/>
        <v/>
      </c>
      <c r="G180" s="179">
        <f>SUMIFS('עלויות כח אדם (6)'!M:M,'עלויות כח אדם (6)'!B:B,' איוש משרות (8)'!C180,'עלויות כח אדם (6)'!N:N,"רכ")</f>
        <v>0</v>
      </c>
      <c r="H180" s="179">
        <f>IFERROR(VLOOKUP(P180,'עלויות כח אדם (6)'!$AE$16:$AF$3014,2,0),0)</f>
        <v>0</v>
      </c>
      <c r="I180" s="178">
        <f t="shared" si="16"/>
        <v>0</v>
      </c>
      <c r="J180" s="178">
        <f t="shared" si="17"/>
        <v>0</v>
      </c>
      <c r="K180" s="179" t="str">
        <f t="shared" si="14"/>
        <v/>
      </c>
      <c r="L180" s="718"/>
      <c r="M180" s="180" t="str">
        <f t="shared" si="18"/>
        <v/>
      </c>
      <c r="N180" s="531">
        <f t="shared" si="15"/>
        <v>0</v>
      </c>
      <c r="O180" s="531" t="str">
        <f>IF(C180&lt;&gt;"",C180&amp;'סיווג התפקידים והעלויות'!$C$2,"")</f>
        <v/>
      </c>
      <c r="P180" s="531" t="str">
        <f>IF(C180&lt;&gt;"",C180&amp;'סיווג התפקידים והעלויות'!$D$2,"")</f>
        <v/>
      </c>
    </row>
    <row r="181" spans="2:16" ht="15.75" x14ac:dyDescent="0.25">
      <c r="B181" s="57">
        <v>166</v>
      </c>
      <c r="C181" s="176" t="str">
        <f>IF(VLOOKUP(B181,'דוח ביצוע (3)'!$A$21:$B$520,2,0)="","",VLOOKUP(B181,'דוח ביצוע (3)'!$A$21:$B$520,2,0))</f>
        <v/>
      </c>
      <c r="D181" s="177" t="str">
        <f>IFERROR(VLOOKUP($C:$C,'מצבת והרשמה (2)'!$C$20:$N$520,2,0)," ")</f>
        <v/>
      </c>
      <c r="E181" s="177" t="str">
        <f>IFERROR(VLOOKUP(C181,'דוח ביצוע (3)'!B:V,5,0)," ")</f>
        <v xml:space="preserve"> </v>
      </c>
      <c r="F181" s="177" t="str">
        <f t="shared" si="13"/>
        <v/>
      </c>
      <c r="G181" s="179">
        <f>SUMIFS('עלויות כח אדם (6)'!M:M,'עלויות כח אדם (6)'!B:B,' איוש משרות (8)'!C181,'עלויות כח אדם (6)'!N:N,"רכ")</f>
        <v>0</v>
      </c>
      <c r="H181" s="179">
        <f>IFERROR(VLOOKUP(P181,'עלויות כח אדם (6)'!$AE$16:$AF$3014,2,0),0)</f>
        <v>0</v>
      </c>
      <c r="I181" s="178">
        <f t="shared" si="16"/>
        <v>0</v>
      </c>
      <c r="J181" s="178">
        <f t="shared" si="17"/>
        <v>0</v>
      </c>
      <c r="K181" s="179" t="str">
        <f t="shared" si="14"/>
        <v/>
      </c>
      <c r="L181" s="718"/>
      <c r="M181" s="180" t="str">
        <f t="shared" si="18"/>
        <v/>
      </c>
      <c r="N181" s="531">
        <f t="shared" si="15"/>
        <v>0</v>
      </c>
      <c r="O181" s="531" t="str">
        <f>IF(C181&lt;&gt;"",C181&amp;'סיווג התפקידים והעלויות'!$C$2,"")</f>
        <v/>
      </c>
      <c r="P181" s="531" t="str">
        <f>IF(C181&lt;&gt;"",C181&amp;'סיווג התפקידים והעלויות'!$D$2,"")</f>
        <v/>
      </c>
    </row>
    <row r="182" spans="2:16" ht="15.75" x14ac:dyDescent="0.25">
      <c r="B182" s="176">
        <v>167</v>
      </c>
      <c r="C182" s="176" t="str">
        <f>IF(VLOOKUP(B182,'דוח ביצוע (3)'!$A$21:$B$520,2,0)="","",VLOOKUP(B182,'דוח ביצוע (3)'!$A$21:$B$520,2,0))</f>
        <v/>
      </c>
      <c r="D182" s="177" t="str">
        <f>IFERROR(VLOOKUP($C:$C,'מצבת והרשמה (2)'!$C$20:$N$520,2,0)," ")</f>
        <v/>
      </c>
      <c r="E182" s="177" t="str">
        <f>IFERROR(VLOOKUP(C182,'דוח ביצוע (3)'!B:V,5,0)," ")</f>
        <v xml:space="preserve"> </v>
      </c>
      <c r="F182" s="177" t="str">
        <f t="shared" si="13"/>
        <v/>
      </c>
      <c r="G182" s="179">
        <f>SUMIFS('עלויות כח אדם (6)'!M:M,'עלויות כח אדם (6)'!B:B,' איוש משרות (8)'!C182,'עלויות כח אדם (6)'!N:N,"רכ")</f>
        <v>0</v>
      </c>
      <c r="H182" s="179">
        <f>IFERROR(VLOOKUP(P182,'עלויות כח אדם (6)'!$AE$16:$AF$3014,2,0),0)</f>
        <v>0</v>
      </c>
      <c r="I182" s="178">
        <f t="shared" si="16"/>
        <v>0</v>
      </c>
      <c r="J182" s="178">
        <f t="shared" si="17"/>
        <v>0</v>
      </c>
      <c r="K182" s="179" t="str">
        <f t="shared" si="14"/>
        <v/>
      </c>
      <c r="L182" s="718"/>
      <c r="M182" s="180" t="str">
        <f t="shared" si="18"/>
        <v/>
      </c>
      <c r="N182" s="531">
        <f t="shared" si="15"/>
        <v>0</v>
      </c>
      <c r="O182" s="531" t="str">
        <f>IF(C182&lt;&gt;"",C182&amp;'סיווג התפקידים והעלויות'!$C$2,"")</f>
        <v/>
      </c>
      <c r="P182" s="531" t="str">
        <f>IF(C182&lt;&gt;"",C182&amp;'סיווג התפקידים והעלויות'!$D$2,"")</f>
        <v/>
      </c>
    </row>
    <row r="183" spans="2:16" ht="15.75" x14ac:dyDescent="0.25">
      <c r="B183" s="57">
        <v>168</v>
      </c>
      <c r="C183" s="176" t="str">
        <f>IF(VLOOKUP(B183,'דוח ביצוע (3)'!$A$21:$B$520,2,0)="","",VLOOKUP(B183,'דוח ביצוע (3)'!$A$21:$B$520,2,0))</f>
        <v/>
      </c>
      <c r="D183" s="177" t="str">
        <f>IFERROR(VLOOKUP($C:$C,'מצבת והרשמה (2)'!$C$20:$N$520,2,0)," ")</f>
        <v/>
      </c>
      <c r="E183" s="177" t="str">
        <f>IFERROR(VLOOKUP(C183,'דוח ביצוע (3)'!B:V,5,0)," ")</f>
        <v xml:space="preserve"> </v>
      </c>
      <c r="F183" s="177" t="str">
        <f t="shared" si="13"/>
        <v/>
      </c>
      <c r="G183" s="179">
        <f>SUMIFS('עלויות כח אדם (6)'!M:M,'עלויות כח אדם (6)'!B:B,' איוש משרות (8)'!C183,'עלויות כח אדם (6)'!N:N,"רכ")</f>
        <v>0</v>
      </c>
      <c r="H183" s="179">
        <f>IFERROR(VLOOKUP(P183,'עלויות כח אדם (6)'!$AE$16:$AF$3014,2,0),0)</f>
        <v>0</v>
      </c>
      <c r="I183" s="178">
        <f t="shared" si="16"/>
        <v>0</v>
      </c>
      <c r="J183" s="178">
        <f t="shared" si="17"/>
        <v>0</v>
      </c>
      <c r="K183" s="179" t="str">
        <f t="shared" si="14"/>
        <v/>
      </c>
      <c r="L183" s="718"/>
      <c r="M183" s="180" t="str">
        <f t="shared" si="18"/>
        <v/>
      </c>
      <c r="N183" s="531">
        <f t="shared" si="15"/>
        <v>0</v>
      </c>
      <c r="O183" s="531" t="str">
        <f>IF(C183&lt;&gt;"",C183&amp;'סיווג התפקידים והעלויות'!$C$2,"")</f>
        <v/>
      </c>
      <c r="P183" s="531" t="str">
        <f>IF(C183&lt;&gt;"",C183&amp;'סיווג התפקידים והעלויות'!$D$2,"")</f>
        <v/>
      </c>
    </row>
    <row r="184" spans="2:16" ht="15.75" x14ac:dyDescent="0.25">
      <c r="B184" s="176">
        <v>169</v>
      </c>
      <c r="C184" s="176" t="str">
        <f>IF(VLOOKUP(B184,'דוח ביצוע (3)'!$A$21:$B$520,2,0)="","",VLOOKUP(B184,'דוח ביצוע (3)'!$A$21:$B$520,2,0))</f>
        <v/>
      </c>
      <c r="D184" s="177" t="str">
        <f>IFERROR(VLOOKUP($C:$C,'מצבת והרשמה (2)'!$C$20:$N$520,2,0)," ")</f>
        <v/>
      </c>
      <c r="E184" s="177" t="str">
        <f>IFERROR(VLOOKUP(C184,'דוח ביצוע (3)'!B:V,5,0)," ")</f>
        <v xml:space="preserve"> </v>
      </c>
      <c r="F184" s="177" t="str">
        <f t="shared" si="13"/>
        <v/>
      </c>
      <c r="G184" s="179">
        <f>SUMIFS('עלויות כח אדם (6)'!M:M,'עלויות כח אדם (6)'!B:B,' איוש משרות (8)'!C184,'עלויות כח אדם (6)'!N:N,"רכ")</f>
        <v>0</v>
      </c>
      <c r="H184" s="179">
        <f>IFERROR(VLOOKUP(P184,'עלויות כח אדם (6)'!$AE$16:$AF$3014,2,0),0)</f>
        <v>0</v>
      </c>
      <c r="I184" s="178">
        <f t="shared" si="16"/>
        <v>0</v>
      </c>
      <c r="J184" s="178">
        <f t="shared" si="17"/>
        <v>0</v>
      </c>
      <c r="K184" s="179" t="str">
        <f t="shared" si="14"/>
        <v/>
      </c>
      <c r="L184" s="718"/>
      <c r="M184" s="180" t="str">
        <f t="shared" si="18"/>
        <v/>
      </c>
      <c r="N184" s="531">
        <f t="shared" si="15"/>
        <v>0</v>
      </c>
      <c r="O184" s="531" t="str">
        <f>IF(C184&lt;&gt;"",C184&amp;'סיווג התפקידים והעלויות'!$C$2,"")</f>
        <v/>
      </c>
      <c r="P184" s="531" t="str">
        <f>IF(C184&lt;&gt;"",C184&amp;'סיווג התפקידים והעלויות'!$D$2,"")</f>
        <v/>
      </c>
    </row>
    <row r="185" spans="2:16" ht="15.75" x14ac:dyDescent="0.25">
      <c r="B185" s="57">
        <v>170</v>
      </c>
      <c r="C185" s="176" t="str">
        <f>IF(VLOOKUP(B185,'דוח ביצוע (3)'!$A$21:$B$520,2,0)="","",VLOOKUP(B185,'דוח ביצוע (3)'!$A$21:$B$520,2,0))</f>
        <v/>
      </c>
      <c r="D185" s="177" t="str">
        <f>IFERROR(VLOOKUP($C:$C,'מצבת והרשמה (2)'!$C$20:$N$520,2,0)," ")</f>
        <v/>
      </c>
      <c r="E185" s="177" t="str">
        <f>IFERROR(VLOOKUP(C185,'דוח ביצוע (3)'!B:V,5,0)," ")</f>
        <v xml:space="preserve"> </v>
      </c>
      <c r="F185" s="177" t="str">
        <f t="shared" si="13"/>
        <v/>
      </c>
      <c r="G185" s="179">
        <f>SUMIFS('עלויות כח אדם (6)'!M:M,'עלויות כח אדם (6)'!B:B,' איוש משרות (8)'!C185,'עלויות כח אדם (6)'!N:N,"רכ")</f>
        <v>0</v>
      </c>
      <c r="H185" s="179">
        <f>IFERROR(VLOOKUP(P185,'עלויות כח אדם (6)'!$AE$16:$AF$3014,2,0),0)</f>
        <v>0</v>
      </c>
      <c r="I185" s="178">
        <f t="shared" si="16"/>
        <v>0</v>
      </c>
      <c r="J185" s="178">
        <f t="shared" si="17"/>
        <v>0</v>
      </c>
      <c r="K185" s="179" t="str">
        <f t="shared" si="14"/>
        <v/>
      </c>
      <c r="L185" s="718"/>
      <c r="M185" s="180" t="str">
        <f t="shared" si="18"/>
        <v/>
      </c>
      <c r="N185" s="531">
        <f t="shared" si="15"/>
        <v>0</v>
      </c>
      <c r="O185" s="531" t="str">
        <f>IF(C185&lt;&gt;"",C185&amp;'סיווג התפקידים והעלויות'!$C$2,"")</f>
        <v/>
      </c>
      <c r="P185" s="531" t="str">
        <f>IF(C185&lt;&gt;"",C185&amp;'סיווג התפקידים והעלויות'!$D$2,"")</f>
        <v/>
      </c>
    </row>
    <row r="186" spans="2:16" ht="15.75" x14ac:dyDescent="0.25">
      <c r="B186" s="176">
        <v>171</v>
      </c>
      <c r="C186" s="176" t="str">
        <f>IF(VLOOKUP(B186,'דוח ביצוע (3)'!$A$21:$B$520,2,0)="","",VLOOKUP(B186,'דוח ביצוע (3)'!$A$21:$B$520,2,0))</f>
        <v/>
      </c>
      <c r="D186" s="177" t="str">
        <f>IFERROR(VLOOKUP($C:$C,'מצבת והרשמה (2)'!$C$20:$N$520,2,0)," ")</f>
        <v/>
      </c>
      <c r="E186" s="177" t="str">
        <f>IFERROR(VLOOKUP(C186,'דוח ביצוע (3)'!B:V,5,0)," ")</f>
        <v xml:space="preserve"> </v>
      </c>
      <c r="F186" s="177" t="str">
        <f t="shared" si="13"/>
        <v/>
      </c>
      <c r="G186" s="179">
        <f>SUMIFS('עלויות כח אדם (6)'!M:M,'עלויות כח אדם (6)'!B:B,' איוש משרות (8)'!C186,'עלויות כח אדם (6)'!N:N,"רכ")</f>
        <v>0</v>
      </c>
      <c r="H186" s="179">
        <f>IFERROR(VLOOKUP(P186,'עלויות כח אדם (6)'!$AE$16:$AF$3014,2,0),0)</f>
        <v>0</v>
      </c>
      <c r="I186" s="178">
        <f t="shared" si="16"/>
        <v>0</v>
      </c>
      <c r="J186" s="178">
        <f t="shared" si="17"/>
        <v>0</v>
      </c>
      <c r="K186" s="179" t="str">
        <f t="shared" si="14"/>
        <v/>
      </c>
      <c r="L186" s="718"/>
      <c r="M186" s="180" t="str">
        <f t="shared" si="18"/>
        <v/>
      </c>
      <c r="N186" s="531">
        <f t="shared" si="15"/>
        <v>0</v>
      </c>
      <c r="O186" s="531" t="str">
        <f>IF(C186&lt;&gt;"",C186&amp;'סיווג התפקידים והעלויות'!$C$2,"")</f>
        <v/>
      </c>
      <c r="P186" s="531" t="str">
        <f>IF(C186&lt;&gt;"",C186&amp;'סיווג התפקידים והעלויות'!$D$2,"")</f>
        <v/>
      </c>
    </row>
    <row r="187" spans="2:16" ht="15.75" x14ac:dyDescent="0.25">
      <c r="B187" s="57">
        <v>172</v>
      </c>
      <c r="C187" s="176" t="str">
        <f>IF(VLOOKUP(B187,'דוח ביצוע (3)'!$A$21:$B$520,2,0)="","",VLOOKUP(B187,'דוח ביצוע (3)'!$A$21:$B$520,2,0))</f>
        <v/>
      </c>
      <c r="D187" s="177" t="str">
        <f>IFERROR(VLOOKUP($C:$C,'מצבת והרשמה (2)'!$C$20:$N$520,2,0)," ")</f>
        <v/>
      </c>
      <c r="E187" s="177" t="str">
        <f>IFERROR(VLOOKUP(C187,'דוח ביצוע (3)'!B:V,5,0)," ")</f>
        <v xml:space="preserve"> </v>
      </c>
      <c r="F187" s="177" t="str">
        <f t="shared" si="13"/>
        <v/>
      </c>
      <c r="G187" s="179">
        <f>SUMIFS('עלויות כח אדם (6)'!M:M,'עלויות כח אדם (6)'!B:B,' איוש משרות (8)'!C187,'עלויות כח אדם (6)'!N:N,"רכ")</f>
        <v>0</v>
      </c>
      <c r="H187" s="179">
        <f>IFERROR(VLOOKUP(P187,'עלויות כח אדם (6)'!$AE$16:$AF$3014,2,0),0)</f>
        <v>0</v>
      </c>
      <c r="I187" s="178">
        <f t="shared" si="16"/>
        <v>0</v>
      </c>
      <c r="J187" s="178">
        <f t="shared" si="17"/>
        <v>0</v>
      </c>
      <c r="K187" s="179" t="str">
        <f t="shared" si="14"/>
        <v/>
      </c>
      <c r="L187" s="718"/>
      <c r="M187" s="180" t="str">
        <f t="shared" si="18"/>
        <v/>
      </c>
      <c r="N187" s="531">
        <f t="shared" si="15"/>
        <v>0</v>
      </c>
      <c r="O187" s="531" t="str">
        <f>IF(C187&lt;&gt;"",C187&amp;'סיווג התפקידים והעלויות'!$C$2,"")</f>
        <v/>
      </c>
      <c r="P187" s="531" t="str">
        <f>IF(C187&lt;&gt;"",C187&amp;'סיווג התפקידים והעלויות'!$D$2,"")</f>
        <v/>
      </c>
    </row>
    <row r="188" spans="2:16" ht="15.75" x14ac:dyDescent="0.25">
      <c r="B188" s="176">
        <v>173</v>
      </c>
      <c r="C188" s="176" t="str">
        <f>IF(VLOOKUP(B188,'דוח ביצוע (3)'!$A$21:$B$520,2,0)="","",VLOOKUP(B188,'דוח ביצוע (3)'!$A$21:$B$520,2,0))</f>
        <v/>
      </c>
      <c r="D188" s="177" t="str">
        <f>IFERROR(VLOOKUP($C:$C,'מצבת והרשמה (2)'!$C$20:$N$520,2,0)," ")</f>
        <v/>
      </c>
      <c r="E188" s="177" t="str">
        <f>IFERROR(VLOOKUP(C188,'דוח ביצוע (3)'!B:V,5,0)," ")</f>
        <v xml:space="preserve"> </v>
      </c>
      <c r="F188" s="177" t="str">
        <f t="shared" si="13"/>
        <v/>
      </c>
      <c r="G188" s="179">
        <f>SUMIFS('עלויות כח אדם (6)'!M:M,'עלויות כח אדם (6)'!B:B,' איוש משרות (8)'!C188,'עלויות כח אדם (6)'!N:N,"רכ")</f>
        <v>0</v>
      </c>
      <c r="H188" s="179">
        <f>IFERROR(VLOOKUP(P188,'עלויות כח אדם (6)'!$AE$16:$AF$3014,2,0),0)</f>
        <v>0</v>
      </c>
      <c r="I188" s="178">
        <f t="shared" si="16"/>
        <v>0</v>
      </c>
      <c r="J188" s="178">
        <f t="shared" si="17"/>
        <v>0</v>
      </c>
      <c r="K188" s="179" t="str">
        <f t="shared" si="14"/>
        <v/>
      </c>
      <c r="L188" s="718"/>
      <c r="M188" s="180" t="str">
        <f t="shared" si="18"/>
        <v/>
      </c>
      <c r="N188" s="531">
        <f t="shared" si="15"/>
        <v>0</v>
      </c>
      <c r="O188" s="531" t="str">
        <f>IF(C188&lt;&gt;"",C188&amp;'סיווג התפקידים והעלויות'!$C$2,"")</f>
        <v/>
      </c>
      <c r="P188" s="531" t="str">
        <f>IF(C188&lt;&gt;"",C188&amp;'סיווג התפקידים והעלויות'!$D$2,"")</f>
        <v/>
      </c>
    </row>
    <row r="189" spans="2:16" ht="15.75" x14ac:dyDescent="0.25">
      <c r="B189" s="57">
        <v>174</v>
      </c>
      <c r="C189" s="176" t="str">
        <f>IF(VLOOKUP(B189,'דוח ביצוע (3)'!$A$21:$B$520,2,0)="","",VLOOKUP(B189,'דוח ביצוע (3)'!$A$21:$B$520,2,0))</f>
        <v/>
      </c>
      <c r="D189" s="177" t="str">
        <f>IFERROR(VLOOKUP($C:$C,'מצבת והרשמה (2)'!$C$20:$N$520,2,0)," ")</f>
        <v/>
      </c>
      <c r="E189" s="177" t="str">
        <f>IFERROR(VLOOKUP(C189,'דוח ביצוע (3)'!B:V,5,0)," ")</f>
        <v xml:space="preserve"> </v>
      </c>
      <c r="F189" s="177" t="str">
        <f t="shared" si="13"/>
        <v/>
      </c>
      <c r="G189" s="179">
        <f>SUMIFS('עלויות כח אדם (6)'!M:M,'עלויות כח אדם (6)'!B:B,' איוש משרות (8)'!C189,'עלויות כח אדם (6)'!N:N,"רכ")</f>
        <v>0</v>
      </c>
      <c r="H189" s="179">
        <f>IFERROR(VLOOKUP(P189,'עלויות כח אדם (6)'!$AE$16:$AF$3014,2,0),0)</f>
        <v>0</v>
      </c>
      <c r="I189" s="178">
        <f t="shared" si="16"/>
        <v>0</v>
      </c>
      <c r="J189" s="178">
        <f t="shared" si="17"/>
        <v>0</v>
      </c>
      <c r="K189" s="179" t="str">
        <f t="shared" si="14"/>
        <v/>
      </c>
      <c r="L189" s="718"/>
      <c r="M189" s="180" t="str">
        <f t="shared" si="18"/>
        <v/>
      </c>
      <c r="N189" s="531">
        <f t="shared" si="15"/>
        <v>0</v>
      </c>
      <c r="O189" s="531" t="str">
        <f>IF(C189&lt;&gt;"",C189&amp;'סיווג התפקידים והעלויות'!$C$2,"")</f>
        <v/>
      </c>
      <c r="P189" s="531" t="str">
        <f>IF(C189&lt;&gt;"",C189&amp;'סיווג התפקידים והעלויות'!$D$2,"")</f>
        <v/>
      </c>
    </row>
    <row r="190" spans="2:16" ht="15.75" x14ac:dyDescent="0.25">
      <c r="B190" s="176">
        <v>175</v>
      </c>
      <c r="C190" s="176" t="str">
        <f>IF(VLOOKUP(B190,'דוח ביצוע (3)'!$A$21:$B$520,2,0)="","",VLOOKUP(B190,'דוח ביצוע (3)'!$A$21:$B$520,2,0))</f>
        <v/>
      </c>
      <c r="D190" s="177" t="str">
        <f>IFERROR(VLOOKUP($C:$C,'מצבת והרשמה (2)'!$C$20:$N$520,2,0)," ")</f>
        <v/>
      </c>
      <c r="E190" s="177" t="str">
        <f>IFERROR(VLOOKUP(C190,'דוח ביצוע (3)'!B:V,5,0)," ")</f>
        <v xml:space="preserve"> </v>
      </c>
      <c r="F190" s="177" t="str">
        <f t="shared" si="13"/>
        <v/>
      </c>
      <c r="G190" s="179">
        <f>SUMIFS('עלויות כח אדם (6)'!M:M,'עלויות כח אדם (6)'!B:B,' איוש משרות (8)'!C190,'עלויות כח אדם (6)'!N:N,"רכ")</f>
        <v>0</v>
      </c>
      <c r="H190" s="179">
        <f>IFERROR(VLOOKUP(P190,'עלויות כח אדם (6)'!$AE$16:$AF$3014,2,0),0)</f>
        <v>0</v>
      </c>
      <c r="I190" s="178">
        <f t="shared" si="16"/>
        <v>0</v>
      </c>
      <c r="J190" s="178">
        <f t="shared" si="17"/>
        <v>0</v>
      </c>
      <c r="K190" s="179" t="str">
        <f t="shared" si="14"/>
        <v/>
      </c>
      <c r="L190" s="718"/>
      <c r="M190" s="180" t="str">
        <f t="shared" si="18"/>
        <v/>
      </c>
      <c r="N190" s="531">
        <f t="shared" si="15"/>
        <v>0</v>
      </c>
      <c r="O190" s="531" t="str">
        <f>IF(C190&lt;&gt;"",C190&amp;'סיווג התפקידים והעלויות'!$C$2,"")</f>
        <v/>
      </c>
      <c r="P190" s="531" t="str">
        <f>IF(C190&lt;&gt;"",C190&amp;'סיווג התפקידים והעלויות'!$D$2,"")</f>
        <v/>
      </c>
    </row>
    <row r="191" spans="2:16" ht="15.75" x14ac:dyDescent="0.25">
      <c r="B191" s="57">
        <v>176</v>
      </c>
      <c r="C191" s="176" t="str">
        <f>IF(VLOOKUP(B191,'דוח ביצוע (3)'!$A$21:$B$520,2,0)="","",VLOOKUP(B191,'דוח ביצוע (3)'!$A$21:$B$520,2,0))</f>
        <v/>
      </c>
      <c r="D191" s="177" t="str">
        <f>IFERROR(VLOOKUP($C:$C,'מצבת והרשמה (2)'!$C$20:$N$520,2,0)," ")</f>
        <v/>
      </c>
      <c r="E191" s="177" t="str">
        <f>IFERROR(VLOOKUP(C191,'דוח ביצוע (3)'!B:V,5,0)," ")</f>
        <v xml:space="preserve"> </v>
      </c>
      <c r="F191" s="177" t="str">
        <f t="shared" si="13"/>
        <v/>
      </c>
      <c r="G191" s="179">
        <f>SUMIFS('עלויות כח אדם (6)'!M:M,'עלויות כח אדם (6)'!B:B,' איוש משרות (8)'!C191,'עלויות כח אדם (6)'!N:N,"רכ")</f>
        <v>0</v>
      </c>
      <c r="H191" s="179">
        <f>IFERROR(VLOOKUP(P191,'עלויות כח אדם (6)'!$AE$16:$AF$3014,2,0),0)</f>
        <v>0</v>
      </c>
      <c r="I191" s="178">
        <f t="shared" si="16"/>
        <v>0</v>
      </c>
      <c r="J191" s="178">
        <f t="shared" si="17"/>
        <v>0</v>
      </c>
      <c r="K191" s="179" t="str">
        <f t="shared" si="14"/>
        <v/>
      </c>
      <c r="L191" s="718"/>
      <c r="M191" s="180" t="str">
        <f t="shared" si="18"/>
        <v/>
      </c>
      <c r="N191" s="531">
        <f t="shared" si="15"/>
        <v>0</v>
      </c>
      <c r="O191" s="531" t="str">
        <f>IF(C191&lt;&gt;"",C191&amp;'סיווג התפקידים והעלויות'!$C$2,"")</f>
        <v/>
      </c>
      <c r="P191" s="531" t="str">
        <f>IF(C191&lt;&gt;"",C191&amp;'סיווג התפקידים והעלויות'!$D$2,"")</f>
        <v/>
      </c>
    </row>
    <row r="192" spans="2:16" ht="15.75" x14ac:dyDescent="0.25">
      <c r="B192" s="176">
        <v>177</v>
      </c>
      <c r="C192" s="176" t="str">
        <f>IF(VLOOKUP(B192,'דוח ביצוע (3)'!$A$21:$B$520,2,0)="","",VLOOKUP(B192,'דוח ביצוע (3)'!$A$21:$B$520,2,0))</f>
        <v/>
      </c>
      <c r="D192" s="177" t="str">
        <f>IFERROR(VLOOKUP($C:$C,'מצבת והרשמה (2)'!$C$20:$N$520,2,0)," ")</f>
        <v/>
      </c>
      <c r="E192" s="177" t="str">
        <f>IFERROR(VLOOKUP(C192,'דוח ביצוע (3)'!B:V,5,0)," ")</f>
        <v xml:space="preserve"> </v>
      </c>
      <c r="F192" s="177" t="str">
        <f t="shared" si="13"/>
        <v/>
      </c>
      <c r="G192" s="179">
        <f>SUMIFS('עלויות כח אדם (6)'!M:M,'עלויות כח אדם (6)'!B:B,' איוש משרות (8)'!C192,'עלויות כח אדם (6)'!N:N,"רכ")</f>
        <v>0</v>
      </c>
      <c r="H192" s="179">
        <f>IFERROR(VLOOKUP(P192,'עלויות כח אדם (6)'!$AE$16:$AF$3014,2,0),0)</f>
        <v>0</v>
      </c>
      <c r="I192" s="178">
        <f t="shared" si="16"/>
        <v>0</v>
      </c>
      <c r="J192" s="178">
        <f t="shared" si="17"/>
        <v>0</v>
      </c>
      <c r="K192" s="179" t="str">
        <f t="shared" si="14"/>
        <v/>
      </c>
      <c r="L192" s="718"/>
      <c r="M192" s="180" t="str">
        <f t="shared" si="18"/>
        <v/>
      </c>
      <c r="N192" s="531">
        <f t="shared" si="15"/>
        <v>0</v>
      </c>
      <c r="O192" s="531" t="str">
        <f>IF(C192&lt;&gt;"",C192&amp;'סיווג התפקידים והעלויות'!$C$2,"")</f>
        <v/>
      </c>
      <c r="P192" s="531" t="str">
        <f>IF(C192&lt;&gt;"",C192&amp;'סיווג התפקידים והעלויות'!$D$2,"")</f>
        <v/>
      </c>
    </row>
    <row r="193" spans="2:16" ht="15.75" x14ac:dyDescent="0.25">
      <c r="B193" s="57">
        <v>178</v>
      </c>
      <c r="C193" s="176" t="str">
        <f>IF(VLOOKUP(B193,'דוח ביצוע (3)'!$A$21:$B$520,2,0)="","",VLOOKUP(B193,'דוח ביצוע (3)'!$A$21:$B$520,2,0))</f>
        <v/>
      </c>
      <c r="D193" s="177" t="str">
        <f>IFERROR(VLOOKUP($C:$C,'מצבת והרשמה (2)'!$C$20:$N$520,2,0)," ")</f>
        <v/>
      </c>
      <c r="E193" s="177" t="str">
        <f>IFERROR(VLOOKUP(C193,'דוח ביצוע (3)'!B:V,5,0)," ")</f>
        <v xml:space="preserve"> </v>
      </c>
      <c r="F193" s="177" t="str">
        <f t="shared" si="13"/>
        <v/>
      </c>
      <c r="G193" s="179">
        <f>SUMIFS('עלויות כח אדם (6)'!M:M,'עלויות כח אדם (6)'!B:B,' איוש משרות (8)'!C193,'עלויות כח אדם (6)'!N:N,"רכ")</f>
        <v>0</v>
      </c>
      <c r="H193" s="179">
        <f>IFERROR(VLOOKUP(P193,'עלויות כח אדם (6)'!$AE$16:$AF$3014,2,0),0)</f>
        <v>0</v>
      </c>
      <c r="I193" s="178">
        <f t="shared" si="16"/>
        <v>0</v>
      </c>
      <c r="J193" s="178">
        <f t="shared" si="17"/>
        <v>0</v>
      </c>
      <c r="K193" s="179" t="str">
        <f t="shared" si="14"/>
        <v/>
      </c>
      <c r="L193" s="718"/>
      <c r="M193" s="180" t="str">
        <f t="shared" si="18"/>
        <v/>
      </c>
      <c r="N193" s="531">
        <f t="shared" si="15"/>
        <v>0</v>
      </c>
      <c r="O193" s="531" t="str">
        <f>IF(C193&lt;&gt;"",C193&amp;'סיווג התפקידים והעלויות'!$C$2,"")</f>
        <v/>
      </c>
      <c r="P193" s="531" t="str">
        <f>IF(C193&lt;&gt;"",C193&amp;'סיווג התפקידים והעלויות'!$D$2,"")</f>
        <v/>
      </c>
    </row>
    <row r="194" spans="2:16" ht="15.75" x14ac:dyDescent="0.25">
      <c r="B194" s="176">
        <v>179</v>
      </c>
      <c r="C194" s="176" t="str">
        <f>IF(VLOOKUP(B194,'דוח ביצוע (3)'!$A$21:$B$520,2,0)="","",VLOOKUP(B194,'דוח ביצוע (3)'!$A$21:$B$520,2,0))</f>
        <v/>
      </c>
      <c r="D194" s="177" t="str">
        <f>IFERROR(VLOOKUP($C:$C,'מצבת והרשמה (2)'!$C$20:$N$520,2,0)," ")</f>
        <v/>
      </c>
      <c r="E194" s="177" t="str">
        <f>IFERROR(VLOOKUP(C194,'דוח ביצוע (3)'!B:V,5,0)," ")</f>
        <v xml:space="preserve"> </v>
      </c>
      <c r="F194" s="177" t="str">
        <f t="shared" si="13"/>
        <v/>
      </c>
      <c r="G194" s="179">
        <f>SUMIFS('עלויות כח אדם (6)'!M:M,'עלויות כח אדם (6)'!B:B,' איוש משרות (8)'!C194,'עלויות כח אדם (6)'!N:N,"רכ")</f>
        <v>0</v>
      </c>
      <c r="H194" s="179">
        <f>IFERROR(VLOOKUP(P194,'עלויות כח אדם (6)'!$AE$16:$AF$3014,2,0),0)</f>
        <v>0</v>
      </c>
      <c r="I194" s="178">
        <f t="shared" si="16"/>
        <v>0</v>
      </c>
      <c r="J194" s="178">
        <f t="shared" si="17"/>
        <v>0</v>
      </c>
      <c r="K194" s="179" t="str">
        <f t="shared" si="14"/>
        <v/>
      </c>
      <c r="L194" s="718"/>
      <c r="M194" s="180" t="str">
        <f t="shared" si="18"/>
        <v/>
      </c>
      <c r="N194" s="531">
        <f t="shared" si="15"/>
        <v>0</v>
      </c>
      <c r="O194" s="531" t="str">
        <f>IF(C194&lt;&gt;"",C194&amp;'סיווג התפקידים והעלויות'!$C$2,"")</f>
        <v/>
      </c>
      <c r="P194" s="531" t="str">
        <f>IF(C194&lt;&gt;"",C194&amp;'סיווג התפקידים והעלויות'!$D$2,"")</f>
        <v/>
      </c>
    </row>
    <row r="195" spans="2:16" ht="15.75" x14ac:dyDescent="0.25">
      <c r="B195" s="57">
        <v>180</v>
      </c>
      <c r="C195" s="176" t="str">
        <f>IF(VLOOKUP(B195,'דוח ביצוע (3)'!$A$21:$B$520,2,0)="","",VLOOKUP(B195,'דוח ביצוע (3)'!$A$21:$B$520,2,0))</f>
        <v/>
      </c>
      <c r="D195" s="177" t="str">
        <f>IFERROR(VLOOKUP($C:$C,'מצבת והרשמה (2)'!$C$20:$N$520,2,0)," ")</f>
        <v/>
      </c>
      <c r="E195" s="177" t="str">
        <f>IFERROR(VLOOKUP(C195,'דוח ביצוע (3)'!B:V,5,0)," ")</f>
        <v xml:space="preserve"> </v>
      </c>
      <c r="F195" s="177" t="str">
        <f t="shared" si="13"/>
        <v/>
      </c>
      <c r="G195" s="179">
        <f>SUMIFS('עלויות כח אדם (6)'!M:M,'עלויות כח אדם (6)'!B:B,' איוש משרות (8)'!C195,'עלויות כח אדם (6)'!N:N,"רכ")</f>
        <v>0</v>
      </c>
      <c r="H195" s="179">
        <f>IFERROR(VLOOKUP(P195,'עלויות כח אדם (6)'!$AE$16:$AF$3014,2,0),0)</f>
        <v>0</v>
      </c>
      <c r="I195" s="178">
        <f t="shared" si="16"/>
        <v>0</v>
      </c>
      <c r="J195" s="178">
        <f t="shared" si="17"/>
        <v>0</v>
      </c>
      <c r="K195" s="179" t="str">
        <f t="shared" si="14"/>
        <v/>
      </c>
      <c r="L195" s="718"/>
      <c r="M195" s="180" t="str">
        <f t="shared" si="18"/>
        <v/>
      </c>
      <c r="N195" s="531">
        <f t="shared" si="15"/>
        <v>0</v>
      </c>
      <c r="O195" s="531" t="str">
        <f>IF(C195&lt;&gt;"",C195&amp;'סיווג התפקידים והעלויות'!$C$2,"")</f>
        <v/>
      </c>
      <c r="P195" s="531" t="str">
        <f>IF(C195&lt;&gt;"",C195&amp;'סיווג התפקידים והעלויות'!$D$2,"")</f>
        <v/>
      </c>
    </row>
    <row r="196" spans="2:16" ht="15.75" x14ac:dyDescent="0.25">
      <c r="B196" s="176">
        <v>181</v>
      </c>
      <c r="C196" s="176" t="str">
        <f>IF(VLOOKUP(B196,'דוח ביצוע (3)'!$A$21:$B$520,2,0)="","",VLOOKUP(B196,'דוח ביצוע (3)'!$A$21:$B$520,2,0))</f>
        <v/>
      </c>
      <c r="D196" s="177" t="str">
        <f>IFERROR(VLOOKUP($C:$C,'מצבת והרשמה (2)'!$C$20:$N$520,2,0)," ")</f>
        <v/>
      </c>
      <c r="E196" s="177" t="str">
        <f>IFERROR(VLOOKUP(C196,'דוח ביצוע (3)'!B:V,5,0)," ")</f>
        <v xml:space="preserve"> </v>
      </c>
      <c r="F196" s="177" t="str">
        <f t="shared" si="13"/>
        <v/>
      </c>
      <c r="G196" s="179">
        <f>SUMIFS('עלויות כח אדם (6)'!M:M,'עלויות כח אדם (6)'!B:B,' איוש משרות (8)'!C196,'עלויות כח אדם (6)'!N:N,"רכ")</f>
        <v>0</v>
      </c>
      <c r="H196" s="179">
        <f>IFERROR(VLOOKUP(P196,'עלויות כח אדם (6)'!$AE$16:$AF$3014,2,0),0)</f>
        <v>0</v>
      </c>
      <c r="I196" s="178">
        <f t="shared" si="16"/>
        <v>0</v>
      </c>
      <c r="J196" s="178">
        <f t="shared" si="17"/>
        <v>0</v>
      </c>
      <c r="K196" s="179" t="str">
        <f t="shared" si="14"/>
        <v/>
      </c>
      <c r="L196" s="718"/>
      <c r="M196" s="180" t="str">
        <f t="shared" si="18"/>
        <v/>
      </c>
      <c r="N196" s="531">
        <f t="shared" si="15"/>
        <v>0</v>
      </c>
      <c r="O196" s="531" t="str">
        <f>IF(C196&lt;&gt;"",C196&amp;'סיווג התפקידים והעלויות'!$C$2,"")</f>
        <v/>
      </c>
      <c r="P196" s="531" t="str">
        <f>IF(C196&lt;&gt;"",C196&amp;'סיווג התפקידים והעלויות'!$D$2,"")</f>
        <v/>
      </c>
    </row>
    <row r="197" spans="2:16" ht="15.75" x14ac:dyDescent="0.25">
      <c r="B197" s="57">
        <v>182</v>
      </c>
      <c r="C197" s="176" t="str">
        <f>IF(VLOOKUP(B197,'דוח ביצוע (3)'!$A$21:$B$520,2,0)="","",VLOOKUP(B197,'דוח ביצוע (3)'!$A$21:$B$520,2,0))</f>
        <v/>
      </c>
      <c r="D197" s="177" t="str">
        <f>IFERROR(VLOOKUP($C:$C,'מצבת והרשמה (2)'!$C$20:$N$520,2,0)," ")</f>
        <v/>
      </c>
      <c r="E197" s="177" t="str">
        <f>IFERROR(VLOOKUP(C197,'דוח ביצוע (3)'!B:V,5,0)," ")</f>
        <v xml:space="preserve"> </v>
      </c>
      <c r="F197" s="177" t="str">
        <f t="shared" si="13"/>
        <v/>
      </c>
      <c r="G197" s="179">
        <f>SUMIFS('עלויות כח אדם (6)'!M:M,'עלויות כח אדם (6)'!B:B,' איוש משרות (8)'!C197,'עלויות כח אדם (6)'!N:N,"רכ")</f>
        <v>0</v>
      </c>
      <c r="H197" s="179">
        <f>IFERROR(VLOOKUP(P197,'עלויות כח אדם (6)'!$AE$16:$AF$3014,2,0),0)</f>
        <v>0</v>
      </c>
      <c r="I197" s="178">
        <f t="shared" si="16"/>
        <v>0</v>
      </c>
      <c r="J197" s="178">
        <f t="shared" si="17"/>
        <v>0</v>
      </c>
      <c r="K197" s="179" t="str">
        <f t="shared" si="14"/>
        <v/>
      </c>
      <c r="L197" s="718"/>
      <c r="M197" s="180" t="str">
        <f t="shared" si="18"/>
        <v/>
      </c>
      <c r="N197" s="531">
        <f t="shared" si="15"/>
        <v>0</v>
      </c>
      <c r="O197" s="531" t="str">
        <f>IF(C197&lt;&gt;"",C197&amp;'סיווג התפקידים והעלויות'!$C$2,"")</f>
        <v/>
      </c>
      <c r="P197" s="531" t="str">
        <f>IF(C197&lt;&gt;"",C197&amp;'סיווג התפקידים והעלויות'!$D$2,"")</f>
        <v/>
      </c>
    </row>
    <row r="198" spans="2:16" ht="15.75" x14ac:dyDescent="0.25">
      <c r="B198" s="176">
        <v>183</v>
      </c>
      <c r="C198" s="176" t="str">
        <f>IF(VLOOKUP(B198,'דוח ביצוע (3)'!$A$21:$B$520,2,0)="","",VLOOKUP(B198,'דוח ביצוע (3)'!$A$21:$B$520,2,0))</f>
        <v/>
      </c>
      <c r="D198" s="177" t="str">
        <f>IFERROR(VLOOKUP($C:$C,'מצבת והרשמה (2)'!$C$20:$N$520,2,0)," ")</f>
        <v/>
      </c>
      <c r="E198" s="177" t="str">
        <f>IFERROR(VLOOKUP(C198,'דוח ביצוע (3)'!B:V,5,0)," ")</f>
        <v xml:space="preserve"> </v>
      </c>
      <c r="F198" s="177" t="str">
        <f t="shared" si="13"/>
        <v/>
      </c>
      <c r="G198" s="179">
        <f>SUMIFS('עלויות כח אדם (6)'!M:M,'עלויות כח אדם (6)'!B:B,' איוש משרות (8)'!C198,'עלויות כח אדם (6)'!N:N,"רכ")</f>
        <v>0</v>
      </c>
      <c r="H198" s="179">
        <f>IFERROR(VLOOKUP(P198,'עלויות כח אדם (6)'!$AE$16:$AF$3014,2,0),0)</f>
        <v>0</v>
      </c>
      <c r="I198" s="178">
        <f t="shared" si="16"/>
        <v>0</v>
      </c>
      <c r="J198" s="178">
        <f t="shared" si="17"/>
        <v>0</v>
      </c>
      <c r="K198" s="179" t="str">
        <f t="shared" si="14"/>
        <v/>
      </c>
      <c r="L198" s="718"/>
      <c r="M198" s="180" t="str">
        <f t="shared" si="18"/>
        <v/>
      </c>
      <c r="N198" s="531">
        <f t="shared" si="15"/>
        <v>0</v>
      </c>
      <c r="O198" s="531" t="str">
        <f>IF(C198&lt;&gt;"",C198&amp;'סיווג התפקידים והעלויות'!$C$2,"")</f>
        <v/>
      </c>
      <c r="P198" s="531" t="str">
        <f>IF(C198&lt;&gt;"",C198&amp;'סיווג התפקידים והעלויות'!$D$2,"")</f>
        <v/>
      </c>
    </row>
    <row r="199" spans="2:16" ht="15.75" x14ac:dyDescent="0.25">
      <c r="B199" s="57">
        <v>184</v>
      </c>
      <c r="C199" s="176" t="str">
        <f>IF(VLOOKUP(B199,'דוח ביצוע (3)'!$A$21:$B$520,2,0)="","",VLOOKUP(B199,'דוח ביצוע (3)'!$A$21:$B$520,2,0))</f>
        <v/>
      </c>
      <c r="D199" s="177" t="str">
        <f>IFERROR(VLOOKUP($C:$C,'מצבת והרשמה (2)'!$C$20:$N$520,2,0)," ")</f>
        <v/>
      </c>
      <c r="E199" s="177" t="str">
        <f>IFERROR(VLOOKUP(C199,'דוח ביצוע (3)'!B:V,5,0)," ")</f>
        <v xml:space="preserve"> </v>
      </c>
      <c r="F199" s="177" t="str">
        <f t="shared" si="13"/>
        <v/>
      </c>
      <c r="G199" s="179">
        <f>SUMIFS('עלויות כח אדם (6)'!M:M,'עלויות כח אדם (6)'!B:B,' איוש משרות (8)'!C199,'עלויות כח אדם (6)'!N:N,"רכ")</f>
        <v>0</v>
      </c>
      <c r="H199" s="179">
        <f>IFERROR(VLOOKUP(P199,'עלויות כח אדם (6)'!$AE$16:$AF$3014,2,0),0)</f>
        <v>0</v>
      </c>
      <c r="I199" s="178">
        <f t="shared" si="16"/>
        <v>0</v>
      </c>
      <c r="J199" s="178">
        <f t="shared" si="17"/>
        <v>0</v>
      </c>
      <c r="K199" s="179" t="str">
        <f t="shared" si="14"/>
        <v/>
      </c>
      <c r="L199" s="718"/>
      <c r="M199" s="180" t="str">
        <f t="shared" si="18"/>
        <v/>
      </c>
      <c r="N199" s="531">
        <f t="shared" si="15"/>
        <v>0</v>
      </c>
      <c r="O199" s="531" t="str">
        <f>IF(C199&lt;&gt;"",C199&amp;'סיווג התפקידים והעלויות'!$C$2,"")</f>
        <v/>
      </c>
      <c r="P199" s="531" t="str">
        <f>IF(C199&lt;&gt;"",C199&amp;'סיווג התפקידים והעלויות'!$D$2,"")</f>
        <v/>
      </c>
    </row>
    <row r="200" spans="2:16" ht="15.75" x14ac:dyDescent="0.25">
      <c r="B200" s="176">
        <v>185</v>
      </c>
      <c r="C200" s="176" t="str">
        <f>IF(VLOOKUP(B200,'דוח ביצוע (3)'!$A$21:$B$520,2,0)="","",VLOOKUP(B200,'דוח ביצוע (3)'!$A$21:$B$520,2,0))</f>
        <v/>
      </c>
      <c r="D200" s="177" t="str">
        <f>IFERROR(VLOOKUP($C:$C,'מצבת והרשמה (2)'!$C$20:$N$520,2,0)," ")</f>
        <v/>
      </c>
      <c r="E200" s="177" t="str">
        <f>IFERROR(VLOOKUP(C200,'דוח ביצוע (3)'!B:V,5,0)," ")</f>
        <v xml:space="preserve"> </v>
      </c>
      <c r="F200" s="177" t="str">
        <f t="shared" si="13"/>
        <v/>
      </c>
      <c r="G200" s="179">
        <f>SUMIFS('עלויות כח אדם (6)'!M:M,'עלויות כח אדם (6)'!B:B,' איוש משרות (8)'!C200,'עלויות כח אדם (6)'!N:N,"רכ")</f>
        <v>0</v>
      </c>
      <c r="H200" s="179">
        <f>IFERROR(VLOOKUP(P200,'עלויות כח אדם (6)'!$AE$16:$AF$3014,2,0),0)</f>
        <v>0</v>
      </c>
      <c r="I200" s="178">
        <f t="shared" si="16"/>
        <v>0</v>
      </c>
      <c r="J200" s="178">
        <f t="shared" si="17"/>
        <v>0</v>
      </c>
      <c r="K200" s="179" t="str">
        <f t="shared" si="14"/>
        <v/>
      </c>
      <c r="L200" s="718"/>
      <c r="M200" s="180" t="str">
        <f t="shared" si="18"/>
        <v/>
      </c>
      <c r="N200" s="531">
        <f t="shared" si="15"/>
        <v>0</v>
      </c>
      <c r="O200" s="531" t="str">
        <f>IF(C200&lt;&gt;"",C200&amp;'סיווג התפקידים והעלויות'!$C$2,"")</f>
        <v/>
      </c>
      <c r="P200" s="531" t="str">
        <f>IF(C200&lt;&gt;"",C200&amp;'סיווג התפקידים והעלויות'!$D$2,"")</f>
        <v/>
      </c>
    </row>
    <row r="201" spans="2:16" ht="15.75" x14ac:dyDescent="0.25">
      <c r="B201" s="57">
        <v>186</v>
      </c>
      <c r="C201" s="176" t="str">
        <f>IF(VLOOKUP(B201,'דוח ביצוע (3)'!$A$21:$B$520,2,0)="","",VLOOKUP(B201,'דוח ביצוע (3)'!$A$21:$B$520,2,0))</f>
        <v/>
      </c>
      <c r="D201" s="177" t="str">
        <f>IFERROR(VLOOKUP($C:$C,'מצבת והרשמה (2)'!$C$20:$N$520,2,0)," ")</f>
        <v/>
      </c>
      <c r="E201" s="177" t="str">
        <f>IFERROR(VLOOKUP(C201,'דוח ביצוע (3)'!B:V,5,0)," ")</f>
        <v xml:space="preserve"> </v>
      </c>
      <c r="F201" s="177" t="str">
        <f t="shared" si="13"/>
        <v/>
      </c>
      <c r="G201" s="179">
        <f>SUMIFS('עלויות כח אדם (6)'!M:M,'עלויות כח אדם (6)'!B:B,' איוש משרות (8)'!C201,'עלויות כח אדם (6)'!N:N,"רכ")</f>
        <v>0</v>
      </c>
      <c r="H201" s="179">
        <f>IFERROR(VLOOKUP(P201,'עלויות כח אדם (6)'!$AE$16:$AF$3014,2,0),0)</f>
        <v>0</v>
      </c>
      <c r="I201" s="178">
        <f t="shared" si="16"/>
        <v>0</v>
      </c>
      <c r="J201" s="178">
        <f t="shared" si="17"/>
        <v>0</v>
      </c>
      <c r="K201" s="179" t="str">
        <f t="shared" si="14"/>
        <v/>
      </c>
      <c r="L201" s="718"/>
      <c r="M201" s="180" t="str">
        <f t="shared" si="18"/>
        <v/>
      </c>
      <c r="N201" s="531">
        <f t="shared" si="15"/>
        <v>0</v>
      </c>
      <c r="O201" s="531" t="str">
        <f>IF(C201&lt;&gt;"",C201&amp;'סיווג התפקידים והעלויות'!$C$2,"")</f>
        <v/>
      </c>
      <c r="P201" s="531" t="str">
        <f>IF(C201&lt;&gt;"",C201&amp;'סיווג התפקידים והעלויות'!$D$2,"")</f>
        <v/>
      </c>
    </row>
    <row r="202" spans="2:16" ht="15.75" x14ac:dyDescent="0.25">
      <c r="B202" s="176">
        <v>187</v>
      </c>
      <c r="C202" s="176" t="str">
        <f>IF(VLOOKUP(B202,'דוח ביצוע (3)'!$A$21:$B$520,2,0)="","",VLOOKUP(B202,'דוח ביצוע (3)'!$A$21:$B$520,2,0))</f>
        <v/>
      </c>
      <c r="D202" s="177" t="str">
        <f>IFERROR(VLOOKUP($C:$C,'מצבת והרשמה (2)'!$C$20:$N$520,2,0)," ")</f>
        <v/>
      </c>
      <c r="E202" s="177" t="str">
        <f>IFERROR(VLOOKUP(C202,'דוח ביצוע (3)'!B:V,5,0)," ")</f>
        <v xml:space="preserve"> </v>
      </c>
      <c r="F202" s="177" t="str">
        <f t="shared" si="13"/>
        <v/>
      </c>
      <c r="G202" s="179">
        <f>SUMIFS('עלויות כח אדם (6)'!M:M,'עלויות כח אדם (6)'!B:B,' איוש משרות (8)'!C202,'עלויות כח אדם (6)'!N:N,"רכ")</f>
        <v>0</v>
      </c>
      <c r="H202" s="179">
        <f>IFERROR(VLOOKUP(P202,'עלויות כח אדם (6)'!$AE$16:$AF$3014,2,0),0)</f>
        <v>0</v>
      </c>
      <c r="I202" s="178">
        <f t="shared" si="16"/>
        <v>0</v>
      </c>
      <c r="J202" s="178">
        <f t="shared" si="17"/>
        <v>0</v>
      </c>
      <c r="K202" s="179" t="str">
        <f t="shared" si="14"/>
        <v/>
      </c>
      <c r="L202" s="718"/>
      <c r="M202" s="180" t="str">
        <f t="shared" si="18"/>
        <v/>
      </c>
      <c r="N202" s="531">
        <f t="shared" si="15"/>
        <v>0</v>
      </c>
      <c r="O202" s="531" t="str">
        <f>IF(C202&lt;&gt;"",C202&amp;'סיווג התפקידים והעלויות'!$C$2,"")</f>
        <v/>
      </c>
      <c r="P202" s="531" t="str">
        <f>IF(C202&lt;&gt;"",C202&amp;'סיווג התפקידים והעלויות'!$D$2,"")</f>
        <v/>
      </c>
    </row>
    <row r="203" spans="2:16" ht="15.75" x14ac:dyDescent="0.25">
      <c r="B203" s="57">
        <v>188</v>
      </c>
      <c r="C203" s="176" t="str">
        <f>IF(VLOOKUP(B203,'דוח ביצוע (3)'!$A$21:$B$520,2,0)="","",VLOOKUP(B203,'דוח ביצוע (3)'!$A$21:$B$520,2,0))</f>
        <v/>
      </c>
      <c r="D203" s="177" t="str">
        <f>IFERROR(VLOOKUP($C:$C,'מצבת והרשמה (2)'!$C$20:$N$520,2,0)," ")</f>
        <v/>
      </c>
      <c r="E203" s="177" t="str">
        <f>IFERROR(VLOOKUP(C203,'דוח ביצוע (3)'!B:V,5,0)," ")</f>
        <v xml:space="preserve"> </v>
      </c>
      <c r="F203" s="177" t="str">
        <f t="shared" si="13"/>
        <v/>
      </c>
      <c r="G203" s="179">
        <f>SUMIFS('עלויות כח אדם (6)'!M:M,'עלויות כח אדם (6)'!B:B,' איוש משרות (8)'!C203,'עלויות כח אדם (6)'!N:N,"רכ")</f>
        <v>0</v>
      </c>
      <c r="H203" s="179">
        <f>IFERROR(VLOOKUP(P203,'עלויות כח אדם (6)'!$AE$16:$AF$3014,2,0),0)</f>
        <v>0</v>
      </c>
      <c r="I203" s="178">
        <f t="shared" si="16"/>
        <v>0</v>
      </c>
      <c r="J203" s="178">
        <f t="shared" si="17"/>
        <v>0</v>
      </c>
      <c r="K203" s="179" t="str">
        <f t="shared" si="14"/>
        <v/>
      </c>
      <c r="L203" s="718"/>
      <c r="M203" s="180" t="str">
        <f t="shared" si="18"/>
        <v/>
      </c>
      <c r="N203" s="531">
        <f t="shared" si="15"/>
        <v>0</v>
      </c>
      <c r="O203" s="531" t="str">
        <f>IF(C203&lt;&gt;"",C203&amp;'סיווג התפקידים והעלויות'!$C$2,"")</f>
        <v/>
      </c>
      <c r="P203" s="531" t="str">
        <f>IF(C203&lt;&gt;"",C203&amp;'סיווג התפקידים והעלויות'!$D$2,"")</f>
        <v/>
      </c>
    </row>
    <row r="204" spans="2:16" ht="15.75" x14ac:dyDescent="0.25">
      <c r="B204" s="176">
        <v>189</v>
      </c>
      <c r="C204" s="176" t="str">
        <f>IF(VLOOKUP(B204,'דוח ביצוע (3)'!$A$21:$B$520,2,0)="","",VLOOKUP(B204,'דוח ביצוע (3)'!$A$21:$B$520,2,0))</f>
        <v/>
      </c>
      <c r="D204" s="177" t="str">
        <f>IFERROR(VLOOKUP($C:$C,'מצבת והרשמה (2)'!$C$20:$N$520,2,0)," ")</f>
        <v/>
      </c>
      <c r="E204" s="177" t="str">
        <f>IFERROR(VLOOKUP(C204,'דוח ביצוע (3)'!B:V,5,0)," ")</f>
        <v xml:space="preserve"> </v>
      </c>
      <c r="F204" s="177" t="str">
        <f t="shared" si="13"/>
        <v/>
      </c>
      <c r="G204" s="179">
        <f>SUMIFS('עלויות כח אדם (6)'!M:M,'עלויות כח אדם (6)'!B:B,' איוש משרות (8)'!C204,'עלויות כח אדם (6)'!N:N,"רכ")</f>
        <v>0</v>
      </c>
      <c r="H204" s="179">
        <f>IFERROR(VLOOKUP(P204,'עלויות כח אדם (6)'!$AE$16:$AF$3014,2,0),0)</f>
        <v>0</v>
      </c>
      <c r="I204" s="178">
        <f t="shared" si="16"/>
        <v>0</v>
      </c>
      <c r="J204" s="178">
        <f t="shared" si="17"/>
        <v>0</v>
      </c>
      <c r="K204" s="179" t="str">
        <f t="shared" si="14"/>
        <v/>
      </c>
      <c r="L204" s="718"/>
      <c r="M204" s="180" t="str">
        <f t="shared" si="18"/>
        <v/>
      </c>
      <c r="N204" s="531">
        <f t="shared" si="15"/>
        <v>0</v>
      </c>
      <c r="O204" s="531" t="str">
        <f>IF(C204&lt;&gt;"",C204&amp;'סיווג התפקידים והעלויות'!$C$2,"")</f>
        <v/>
      </c>
      <c r="P204" s="531" t="str">
        <f>IF(C204&lt;&gt;"",C204&amp;'סיווג התפקידים והעלויות'!$D$2,"")</f>
        <v/>
      </c>
    </row>
    <row r="205" spans="2:16" ht="15.75" x14ac:dyDescent="0.25">
      <c r="B205" s="57">
        <v>190</v>
      </c>
      <c r="C205" s="176" t="str">
        <f>IF(VLOOKUP(B205,'דוח ביצוע (3)'!$A$21:$B$520,2,0)="","",VLOOKUP(B205,'דוח ביצוע (3)'!$A$21:$B$520,2,0))</f>
        <v/>
      </c>
      <c r="D205" s="177" t="str">
        <f>IFERROR(VLOOKUP($C:$C,'מצבת והרשמה (2)'!$C$20:$N$520,2,0)," ")</f>
        <v/>
      </c>
      <c r="E205" s="177" t="str">
        <f>IFERROR(VLOOKUP(C205,'דוח ביצוע (3)'!B:V,5,0)," ")</f>
        <v xml:space="preserve"> </v>
      </c>
      <c r="F205" s="177" t="str">
        <f t="shared" si="13"/>
        <v/>
      </c>
      <c r="G205" s="179">
        <f>SUMIFS('עלויות כח אדם (6)'!M:M,'עלויות כח אדם (6)'!B:B,' איוש משרות (8)'!C205,'עלויות כח אדם (6)'!N:N,"רכ")</f>
        <v>0</v>
      </c>
      <c r="H205" s="179">
        <f>IFERROR(VLOOKUP(P205,'עלויות כח אדם (6)'!$AE$16:$AF$3014,2,0),0)</f>
        <v>0</v>
      </c>
      <c r="I205" s="178">
        <f t="shared" si="16"/>
        <v>0</v>
      </c>
      <c r="J205" s="178">
        <f t="shared" si="17"/>
        <v>0</v>
      </c>
      <c r="K205" s="179" t="str">
        <f t="shared" si="14"/>
        <v/>
      </c>
      <c r="L205" s="718"/>
      <c r="M205" s="180" t="str">
        <f t="shared" si="18"/>
        <v/>
      </c>
      <c r="N205" s="531">
        <f t="shared" si="15"/>
        <v>0</v>
      </c>
      <c r="O205" s="531" t="str">
        <f>IF(C205&lt;&gt;"",C205&amp;'סיווג התפקידים והעלויות'!$C$2,"")</f>
        <v/>
      </c>
      <c r="P205" s="531" t="str">
        <f>IF(C205&lt;&gt;"",C205&amp;'סיווג התפקידים והעלויות'!$D$2,"")</f>
        <v/>
      </c>
    </row>
    <row r="206" spans="2:16" ht="15.75" x14ac:dyDescent="0.25">
      <c r="B206" s="176">
        <v>191</v>
      </c>
      <c r="C206" s="176" t="str">
        <f>IF(VLOOKUP(B206,'דוח ביצוע (3)'!$A$21:$B$520,2,0)="","",VLOOKUP(B206,'דוח ביצוע (3)'!$A$21:$B$520,2,0))</f>
        <v/>
      </c>
      <c r="D206" s="177" t="str">
        <f>IFERROR(VLOOKUP($C:$C,'מצבת והרשמה (2)'!$C$20:$N$520,2,0)," ")</f>
        <v/>
      </c>
      <c r="E206" s="177" t="str">
        <f>IFERROR(VLOOKUP(C206,'דוח ביצוע (3)'!B:V,5,0)," ")</f>
        <v xml:space="preserve"> </v>
      </c>
      <c r="F206" s="177" t="str">
        <f t="shared" si="13"/>
        <v/>
      </c>
      <c r="G206" s="179">
        <f>SUMIFS('עלויות כח אדם (6)'!M:M,'עלויות כח אדם (6)'!B:B,' איוש משרות (8)'!C206,'עלויות כח אדם (6)'!N:N,"רכ")</f>
        <v>0</v>
      </c>
      <c r="H206" s="179">
        <f>IFERROR(VLOOKUP(P206,'עלויות כח אדם (6)'!$AE$16:$AF$3014,2,0),0)</f>
        <v>0</v>
      </c>
      <c r="I206" s="178">
        <f t="shared" si="16"/>
        <v>0</v>
      </c>
      <c r="J206" s="178">
        <f t="shared" si="17"/>
        <v>0</v>
      </c>
      <c r="K206" s="179" t="str">
        <f t="shared" si="14"/>
        <v/>
      </c>
      <c r="L206" s="718"/>
      <c r="M206" s="180" t="str">
        <f t="shared" si="18"/>
        <v/>
      </c>
      <c r="N206" s="531">
        <f t="shared" si="15"/>
        <v>0</v>
      </c>
      <c r="O206" s="531" t="str">
        <f>IF(C206&lt;&gt;"",C206&amp;'סיווג התפקידים והעלויות'!$C$2,"")</f>
        <v/>
      </c>
      <c r="P206" s="531" t="str">
        <f>IF(C206&lt;&gt;"",C206&amp;'סיווג התפקידים והעלויות'!$D$2,"")</f>
        <v/>
      </c>
    </row>
    <row r="207" spans="2:16" ht="15.75" x14ac:dyDescent="0.25">
      <c r="B207" s="57">
        <v>192</v>
      </c>
      <c r="C207" s="176" t="str">
        <f>IF(VLOOKUP(B207,'דוח ביצוע (3)'!$A$21:$B$520,2,0)="","",VLOOKUP(B207,'דוח ביצוע (3)'!$A$21:$B$520,2,0))</f>
        <v/>
      </c>
      <c r="D207" s="177" t="str">
        <f>IFERROR(VLOOKUP($C:$C,'מצבת והרשמה (2)'!$C$20:$N$520,2,0)," ")</f>
        <v/>
      </c>
      <c r="E207" s="177" t="str">
        <f>IFERROR(VLOOKUP(C207,'דוח ביצוע (3)'!B:V,5,0)," ")</f>
        <v xml:space="preserve"> </v>
      </c>
      <c r="F207" s="177" t="str">
        <f t="shared" si="13"/>
        <v/>
      </c>
      <c r="G207" s="179">
        <f>SUMIFS('עלויות כח אדם (6)'!M:M,'עלויות כח אדם (6)'!B:B,' איוש משרות (8)'!C207,'עלויות כח אדם (6)'!N:N,"רכ")</f>
        <v>0</v>
      </c>
      <c r="H207" s="179">
        <f>IFERROR(VLOOKUP(P207,'עלויות כח אדם (6)'!$AE$16:$AF$3014,2,0),0)</f>
        <v>0</v>
      </c>
      <c r="I207" s="178">
        <f t="shared" si="16"/>
        <v>0</v>
      </c>
      <c r="J207" s="178">
        <f t="shared" si="17"/>
        <v>0</v>
      </c>
      <c r="K207" s="179" t="str">
        <f t="shared" si="14"/>
        <v/>
      </c>
      <c r="L207" s="718"/>
      <c r="M207" s="180" t="str">
        <f t="shared" si="18"/>
        <v/>
      </c>
      <c r="N207" s="531">
        <f t="shared" si="15"/>
        <v>0</v>
      </c>
      <c r="O207" s="531" t="str">
        <f>IF(C207&lt;&gt;"",C207&amp;'סיווג התפקידים והעלויות'!$C$2,"")</f>
        <v/>
      </c>
      <c r="P207" s="531" t="str">
        <f>IF(C207&lt;&gt;"",C207&amp;'סיווג התפקידים והעלויות'!$D$2,"")</f>
        <v/>
      </c>
    </row>
    <row r="208" spans="2:16" ht="15.75" x14ac:dyDescent="0.25">
      <c r="B208" s="176">
        <v>193</v>
      </c>
      <c r="C208" s="176" t="str">
        <f>IF(VLOOKUP(B208,'דוח ביצוע (3)'!$A$21:$B$520,2,0)="","",VLOOKUP(B208,'דוח ביצוע (3)'!$A$21:$B$520,2,0))</f>
        <v/>
      </c>
      <c r="D208" s="177" t="str">
        <f>IFERROR(VLOOKUP($C:$C,'מצבת והרשמה (2)'!$C$20:$N$520,2,0)," ")</f>
        <v/>
      </c>
      <c r="E208" s="177" t="str">
        <f>IFERROR(VLOOKUP(C208,'דוח ביצוע (3)'!B:V,5,0)," ")</f>
        <v xml:space="preserve"> </v>
      </c>
      <c r="F208" s="177" t="str">
        <f t="shared" si="13"/>
        <v/>
      </c>
      <c r="G208" s="179">
        <f>SUMIFS('עלויות כח אדם (6)'!M:M,'עלויות כח אדם (6)'!B:B,' איוש משרות (8)'!C208,'עלויות כח אדם (6)'!N:N,"רכ")</f>
        <v>0</v>
      </c>
      <c r="H208" s="179">
        <f>IFERROR(VLOOKUP(P208,'עלויות כח אדם (6)'!$AE$16:$AF$3014,2,0),0)</f>
        <v>0</v>
      </c>
      <c r="I208" s="178">
        <f t="shared" si="16"/>
        <v>0</v>
      </c>
      <c r="J208" s="178">
        <f t="shared" si="17"/>
        <v>0</v>
      </c>
      <c r="K208" s="179" t="str">
        <f t="shared" si="14"/>
        <v/>
      </c>
      <c r="L208" s="718"/>
      <c r="M208" s="180" t="str">
        <f t="shared" si="18"/>
        <v/>
      </c>
      <c r="N208" s="531">
        <f t="shared" si="15"/>
        <v>0</v>
      </c>
      <c r="O208" s="531" t="str">
        <f>IF(C208&lt;&gt;"",C208&amp;'סיווג התפקידים והעלויות'!$C$2,"")</f>
        <v/>
      </c>
      <c r="P208" s="531" t="str">
        <f>IF(C208&lt;&gt;"",C208&amp;'סיווג התפקידים והעלויות'!$D$2,"")</f>
        <v/>
      </c>
    </row>
    <row r="209" spans="2:16" ht="15.75" x14ac:dyDescent="0.25">
      <c r="B209" s="57">
        <v>194</v>
      </c>
      <c r="C209" s="176" t="str">
        <f>IF(VLOOKUP(B209,'דוח ביצוע (3)'!$A$21:$B$520,2,0)="","",VLOOKUP(B209,'דוח ביצוע (3)'!$A$21:$B$520,2,0))</f>
        <v/>
      </c>
      <c r="D209" s="177" t="str">
        <f>IFERROR(VLOOKUP($C:$C,'מצבת והרשמה (2)'!$C$20:$N$520,2,0)," ")</f>
        <v/>
      </c>
      <c r="E209" s="177" t="str">
        <f>IFERROR(VLOOKUP(C209,'דוח ביצוע (3)'!B:V,5,0)," ")</f>
        <v xml:space="preserve"> </v>
      </c>
      <c r="F209" s="177" t="str">
        <f t="shared" ref="F209:F272" si="19">IF(C209&lt;&gt;"",IF(ISNUMBER(E209),IF(E209&gt;149,"זכאי","לא זכאי"),""),"")</f>
        <v/>
      </c>
      <c r="G209" s="179">
        <f>SUMIFS('עלויות כח אדם (6)'!M:M,'עלויות כח אדם (6)'!B:B,' איוש משרות (8)'!C209,'עלויות כח אדם (6)'!N:N,"רכ")</f>
        <v>0</v>
      </c>
      <c r="H209" s="179">
        <f>IFERROR(VLOOKUP(P209,'עלויות כח אדם (6)'!$AE$16:$AF$3014,2,0),0)</f>
        <v>0</v>
      </c>
      <c r="I209" s="178">
        <f t="shared" si="16"/>
        <v>0</v>
      </c>
      <c r="J209" s="178">
        <f t="shared" si="17"/>
        <v>0</v>
      </c>
      <c r="K209" s="179" t="str">
        <f t="shared" ref="K209:K272" si="20">IF(ISNUMBER(C209),IF(I209=0,CONCATENATE("המוסד לא העסיק רכז ",IF(AND(F209="זכאי",J209=0),"וסגן רכז ",""),"ועל כן אין זכאות לקבלת תקציב"),"תקין"),"")</f>
        <v/>
      </c>
      <c r="L209" s="718"/>
      <c r="M209" s="180" t="str">
        <f t="shared" si="18"/>
        <v/>
      </c>
      <c r="N209" s="531">
        <f t="shared" ref="N209:N272" si="21">IF(LEFT(K209,14)="המוסד לא העסיק",1,0)</f>
        <v>0</v>
      </c>
      <c r="O209" s="531" t="str">
        <f>IF(C209&lt;&gt;"",C209&amp;'סיווג התפקידים והעלויות'!$C$2,"")</f>
        <v/>
      </c>
      <c r="P209" s="531" t="str">
        <f>IF(C209&lt;&gt;"",C209&amp;'סיווג התפקידים והעלויות'!$D$2,"")</f>
        <v/>
      </c>
    </row>
    <row r="210" spans="2:16" ht="15.75" x14ac:dyDescent="0.25">
      <c r="B210" s="176">
        <v>195</v>
      </c>
      <c r="C210" s="176" t="str">
        <f>IF(VLOOKUP(B210,'דוח ביצוע (3)'!$A$21:$B$520,2,0)="","",VLOOKUP(B210,'דוח ביצוע (3)'!$A$21:$B$520,2,0))</f>
        <v/>
      </c>
      <c r="D210" s="177" t="str">
        <f>IFERROR(VLOOKUP($C:$C,'מצבת והרשמה (2)'!$C$20:$N$520,2,0)," ")</f>
        <v/>
      </c>
      <c r="E210" s="177" t="str">
        <f>IFERROR(VLOOKUP(C210,'דוח ביצוע (3)'!B:V,5,0)," ")</f>
        <v xml:space="preserve"> </v>
      </c>
      <c r="F210" s="177" t="str">
        <f t="shared" si="19"/>
        <v/>
      </c>
      <c r="G210" s="179">
        <f>SUMIFS('עלויות כח אדם (6)'!M:M,'עלויות כח אדם (6)'!B:B,' איוש משרות (8)'!C210,'עלויות כח אדם (6)'!N:N,"רכ")</f>
        <v>0</v>
      </c>
      <c r="H210" s="179">
        <f>IFERROR(VLOOKUP(P210,'עלויות כח אדם (6)'!$AE$16:$AF$3014,2,0),0)</f>
        <v>0</v>
      </c>
      <c r="I210" s="178">
        <f t="shared" ref="I210:I273" si="22">IF(G210&gt;0,G210,H210)</f>
        <v>0</v>
      </c>
      <c r="J210" s="178">
        <f t="shared" ref="J210:J273" si="23">IF(AND(F210="זכאי",G210&gt;0),H210,0)</f>
        <v>0</v>
      </c>
      <c r="K210" s="179" t="str">
        <f t="shared" si="20"/>
        <v/>
      </c>
      <c r="L210" s="718"/>
      <c r="M210" s="180" t="str">
        <f t="shared" si="18"/>
        <v/>
      </c>
      <c r="N210" s="531">
        <f t="shared" si="21"/>
        <v>0</v>
      </c>
      <c r="O210" s="531" t="str">
        <f>IF(C210&lt;&gt;"",C210&amp;'סיווג התפקידים והעלויות'!$C$2,"")</f>
        <v/>
      </c>
      <c r="P210" s="531" t="str">
        <f>IF(C210&lt;&gt;"",C210&amp;'סיווג התפקידים והעלויות'!$D$2,"")</f>
        <v/>
      </c>
    </row>
    <row r="211" spans="2:16" ht="15.75" x14ac:dyDescent="0.25">
      <c r="B211" s="57">
        <v>196</v>
      </c>
      <c r="C211" s="176" t="str">
        <f>IF(VLOOKUP(B211,'דוח ביצוע (3)'!$A$21:$B$520,2,0)="","",VLOOKUP(B211,'דוח ביצוע (3)'!$A$21:$B$520,2,0))</f>
        <v/>
      </c>
      <c r="D211" s="177" t="str">
        <f>IFERROR(VLOOKUP($C:$C,'מצבת והרשמה (2)'!$C$20:$N$520,2,0)," ")</f>
        <v/>
      </c>
      <c r="E211" s="177" t="str">
        <f>IFERROR(VLOOKUP(C211,'דוח ביצוע (3)'!B:V,5,0)," ")</f>
        <v xml:space="preserve"> </v>
      </c>
      <c r="F211" s="177" t="str">
        <f t="shared" si="19"/>
        <v/>
      </c>
      <c r="G211" s="179">
        <f>SUMIFS('עלויות כח אדם (6)'!M:M,'עלויות כח אדם (6)'!B:B,' איוש משרות (8)'!C211,'עלויות כח אדם (6)'!N:N,"רכ")</f>
        <v>0</v>
      </c>
      <c r="H211" s="179">
        <f>IFERROR(VLOOKUP(P211,'עלויות כח אדם (6)'!$AE$16:$AF$3014,2,0),0)</f>
        <v>0</v>
      </c>
      <c r="I211" s="178">
        <f t="shared" si="22"/>
        <v>0</v>
      </c>
      <c r="J211" s="178">
        <f t="shared" si="23"/>
        <v>0</v>
      </c>
      <c r="K211" s="179" t="str">
        <f t="shared" si="20"/>
        <v/>
      </c>
      <c r="L211" s="718"/>
      <c r="M211" s="180" t="str">
        <f t="shared" ref="M211:M274" si="24">IF(ISNUMBER(C211),IF(COUNTIF($C$16:$C$1994,C211)=1,"תקין",IFERROR(CONCATENATE("סמל בית הספר הוקלד ",COUNTIF($C$16:$C$1994,C211)," פעמים"),"")),"")</f>
        <v/>
      </c>
      <c r="N211" s="531">
        <f t="shared" si="21"/>
        <v>0</v>
      </c>
      <c r="O211" s="531" t="str">
        <f>IF(C211&lt;&gt;"",C211&amp;'סיווג התפקידים והעלויות'!$C$2,"")</f>
        <v/>
      </c>
      <c r="P211" s="531" t="str">
        <f>IF(C211&lt;&gt;"",C211&amp;'סיווג התפקידים והעלויות'!$D$2,"")</f>
        <v/>
      </c>
    </row>
    <row r="212" spans="2:16" ht="15.75" x14ac:dyDescent="0.25">
      <c r="B212" s="176">
        <v>197</v>
      </c>
      <c r="C212" s="176" t="str">
        <f>IF(VLOOKUP(B212,'דוח ביצוע (3)'!$A$21:$B$520,2,0)="","",VLOOKUP(B212,'דוח ביצוע (3)'!$A$21:$B$520,2,0))</f>
        <v/>
      </c>
      <c r="D212" s="177" t="str">
        <f>IFERROR(VLOOKUP($C:$C,'מצבת והרשמה (2)'!$C$20:$N$520,2,0)," ")</f>
        <v/>
      </c>
      <c r="E212" s="177" t="str">
        <f>IFERROR(VLOOKUP(C212,'דוח ביצוע (3)'!B:V,5,0)," ")</f>
        <v xml:space="preserve"> </v>
      </c>
      <c r="F212" s="177" t="str">
        <f t="shared" si="19"/>
        <v/>
      </c>
      <c r="G212" s="179">
        <f>SUMIFS('עלויות כח אדם (6)'!M:M,'עלויות כח אדם (6)'!B:B,' איוש משרות (8)'!C212,'עלויות כח אדם (6)'!N:N,"רכ")</f>
        <v>0</v>
      </c>
      <c r="H212" s="179">
        <f>IFERROR(VLOOKUP(P212,'עלויות כח אדם (6)'!$AE$16:$AF$3014,2,0),0)</f>
        <v>0</v>
      </c>
      <c r="I212" s="178">
        <f t="shared" si="22"/>
        <v>0</v>
      </c>
      <c r="J212" s="178">
        <f t="shared" si="23"/>
        <v>0</v>
      </c>
      <c r="K212" s="179" t="str">
        <f t="shared" si="20"/>
        <v/>
      </c>
      <c r="L212" s="718"/>
      <c r="M212" s="180" t="str">
        <f t="shared" si="24"/>
        <v/>
      </c>
      <c r="N212" s="531">
        <f t="shared" si="21"/>
        <v>0</v>
      </c>
      <c r="O212" s="531" t="str">
        <f>IF(C212&lt;&gt;"",C212&amp;'סיווג התפקידים והעלויות'!$C$2,"")</f>
        <v/>
      </c>
      <c r="P212" s="531" t="str">
        <f>IF(C212&lt;&gt;"",C212&amp;'סיווג התפקידים והעלויות'!$D$2,"")</f>
        <v/>
      </c>
    </row>
    <row r="213" spans="2:16" ht="15.75" x14ac:dyDescent="0.25">
      <c r="B213" s="57">
        <v>198</v>
      </c>
      <c r="C213" s="176" t="str">
        <f>IF(VLOOKUP(B213,'דוח ביצוע (3)'!$A$21:$B$520,2,0)="","",VLOOKUP(B213,'דוח ביצוע (3)'!$A$21:$B$520,2,0))</f>
        <v/>
      </c>
      <c r="D213" s="177" t="str">
        <f>IFERROR(VLOOKUP($C:$C,'מצבת והרשמה (2)'!$C$20:$N$520,2,0)," ")</f>
        <v/>
      </c>
      <c r="E213" s="177" t="str">
        <f>IFERROR(VLOOKUP(C213,'דוח ביצוע (3)'!B:V,5,0)," ")</f>
        <v xml:space="preserve"> </v>
      </c>
      <c r="F213" s="177" t="str">
        <f t="shared" si="19"/>
        <v/>
      </c>
      <c r="G213" s="179">
        <f>SUMIFS('עלויות כח אדם (6)'!M:M,'עלויות כח אדם (6)'!B:B,' איוש משרות (8)'!C213,'עלויות כח אדם (6)'!N:N,"רכ")</f>
        <v>0</v>
      </c>
      <c r="H213" s="179">
        <f>IFERROR(VLOOKUP(P213,'עלויות כח אדם (6)'!$AE$16:$AF$3014,2,0),0)</f>
        <v>0</v>
      </c>
      <c r="I213" s="178">
        <f t="shared" si="22"/>
        <v>0</v>
      </c>
      <c r="J213" s="178">
        <f t="shared" si="23"/>
        <v>0</v>
      </c>
      <c r="K213" s="179" t="str">
        <f t="shared" si="20"/>
        <v/>
      </c>
      <c r="L213" s="718"/>
      <c r="M213" s="180" t="str">
        <f t="shared" si="24"/>
        <v/>
      </c>
      <c r="N213" s="531">
        <f t="shared" si="21"/>
        <v>0</v>
      </c>
      <c r="O213" s="531" t="str">
        <f>IF(C213&lt;&gt;"",C213&amp;'סיווג התפקידים והעלויות'!$C$2,"")</f>
        <v/>
      </c>
      <c r="P213" s="531" t="str">
        <f>IF(C213&lt;&gt;"",C213&amp;'סיווג התפקידים והעלויות'!$D$2,"")</f>
        <v/>
      </c>
    </row>
    <row r="214" spans="2:16" ht="15.75" x14ac:dyDescent="0.25">
      <c r="B214" s="176">
        <v>199</v>
      </c>
      <c r="C214" s="176" t="str">
        <f>IF(VLOOKUP(B214,'דוח ביצוע (3)'!$A$21:$B$520,2,0)="","",VLOOKUP(B214,'דוח ביצוע (3)'!$A$21:$B$520,2,0))</f>
        <v/>
      </c>
      <c r="D214" s="177" t="str">
        <f>IFERROR(VLOOKUP($C:$C,'מצבת והרשמה (2)'!$C$20:$N$520,2,0)," ")</f>
        <v/>
      </c>
      <c r="E214" s="177" t="str">
        <f>IFERROR(VLOOKUP(C214,'דוח ביצוע (3)'!B:V,5,0)," ")</f>
        <v xml:space="preserve"> </v>
      </c>
      <c r="F214" s="177" t="str">
        <f t="shared" si="19"/>
        <v/>
      </c>
      <c r="G214" s="179">
        <f>SUMIFS('עלויות כח אדם (6)'!M:M,'עלויות כח אדם (6)'!B:B,' איוש משרות (8)'!C214,'עלויות כח אדם (6)'!N:N,"רכ")</f>
        <v>0</v>
      </c>
      <c r="H214" s="179">
        <f>IFERROR(VLOOKUP(P214,'עלויות כח אדם (6)'!$AE$16:$AF$3014,2,0),0)</f>
        <v>0</v>
      </c>
      <c r="I214" s="178">
        <f t="shared" si="22"/>
        <v>0</v>
      </c>
      <c r="J214" s="178">
        <f t="shared" si="23"/>
        <v>0</v>
      </c>
      <c r="K214" s="179" t="str">
        <f t="shared" si="20"/>
        <v/>
      </c>
      <c r="L214" s="718"/>
      <c r="M214" s="180" t="str">
        <f t="shared" si="24"/>
        <v/>
      </c>
      <c r="N214" s="531">
        <f t="shared" si="21"/>
        <v>0</v>
      </c>
      <c r="O214" s="531" t="str">
        <f>IF(C214&lt;&gt;"",C214&amp;'סיווג התפקידים והעלויות'!$C$2,"")</f>
        <v/>
      </c>
      <c r="P214" s="531" t="str">
        <f>IF(C214&lt;&gt;"",C214&amp;'סיווג התפקידים והעלויות'!$D$2,"")</f>
        <v/>
      </c>
    </row>
    <row r="215" spans="2:16" ht="15.75" x14ac:dyDescent="0.25">
      <c r="B215" s="57">
        <v>200</v>
      </c>
      <c r="C215" s="176" t="str">
        <f>IF(VLOOKUP(B215,'דוח ביצוע (3)'!$A$21:$B$520,2,0)="","",VLOOKUP(B215,'דוח ביצוע (3)'!$A$21:$B$520,2,0))</f>
        <v/>
      </c>
      <c r="D215" s="177" t="str">
        <f>IFERROR(VLOOKUP($C:$C,'מצבת והרשמה (2)'!$C$20:$N$520,2,0)," ")</f>
        <v/>
      </c>
      <c r="E215" s="177" t="str">
        <f>IFERROR(VLOOKUP(C215,'דוח ביצוע (3)'!B:V,5,0)," ")</f>
        <v xml:space="preserve"> </v>
      </c>
      <c r="F215" s="177" t="str">
        <f t="shared" si="19"/>
        <v/>
      </c>
      <c r="G215" s="179">
        <f>SUMIFS('עלויות כח אדם (6)'!M:M,'עלויות כח אדם (6)'!B:B,' איוש משרות (8)'!C215,'עלויות כח אדם (6)'!N:N,"רכ")</f>
        <v>0</v>
      </c>
      <c r="H215" s="179">
        <f>IFERROR(VLOOKUP(P215,'עלויות כח אדם (6)'!$AE$16:$AF$3014,2,0),0)</f>
        <v>0</v>
      </c>
      <c r="I215" s="178">
        <f t="shared" si="22"/>
        <v>0</v>
      </c>
      <c r="J215" s="178">
        <f t="shared" si="23"/>
        <v>0</v>
      </c>
      <c r="K215" s="179" t="str">
        <f t="shared" si="20"/>
        <v/>
      </c>
      <c r="L215" s="718"/>
      <c r="M215" s="180" t="str">
        <f t="shared" si="24"/>
        <v/>
      </c>
      <c r="N215" s="531">
        <f t="shared" si="21"/>
        <v>0</v>
      </c>
      <c r="O215" s="531" t="str">
        <f>IF(C215&lt;&gt;"",C215&amp;'סיווג התפקידים והעלויות'!$C$2,"")</f>
        <v/>
      </c>
      <c r="P215" s="531" t="str">
        <f>IF(C215&lt;&gt;"",C215&amp;'סיווג התפקידים והעלויות'!$D$2,"")</f>
        <v/>
      </c>
    </row>
    <row r="216" spans="2:16" ht="15.75" x14ac:dyDescent="0.25">
      <c r="B216" s="176">
        <v>201</v>
      </c>
      <c r="C216" s="176" t="str">
        <f>IF(VLOOKUP(B216,'דוח ביצוע (3)'!$A$21:$B$520,2,0)="","",VLOOKUP(B216,'דוח ביצוע (3)'!$A$21:$B$520,2,0))</f>
        <v/>
      </c>
      <c r="D216" s="177" t="str">
        <f>IFERROR(VLOOKUP($C:$C,'מצבת והרשמה (2)'!$C$20:$N$520,2,0)," ")</f>
        <v/>
      </c>
      <c r="E216" s="177" t="str">
        <f>IFERROR(VLOOKUP(C216,'דוח ביצוע (3)'!B:V,5,0)," ")</f>
        <v xml:space="preserve"> </v>
      </c>
      <c r="F216" s="177" t="str">
        <f t="shared" si="19"/>
        <v/>
      </c>
      <c r="G216" s="179">
        <f>SUMIFS('עלויות כח אדם (6)'!M:M,'עלויות כח אדם (6)'!B:B,' איוש משרות (8)'!C216,'עלויות כח אדם (6)'!N:N,"רכ")</f>
        <v>0</v>
      </c>
      <c r="H216" s="179">
        <f>IFERROR(VLOOKUP(P216,'עלויות כח אדם (6)'!$AE$16:$AF$3014,2,0),0)</f>
        <v>0</v>
      </c>
      <c r="I216" s="178">
        <f t="shared" si="22"/>
        <v>0</v>
      </c>
      <c r="J216" s="178">
        <f t="shared" si="23"/>
        <v>0</v>
      </c>
      <c r="K216" s="179" t="str">
        <f t="shared" si="20"/>
        <v/>
      </c>
      <c r="L216" s="718"/>
      <c r="M216" s="180" t="str">
        <f t="shared" si="24"/>
        <v/>
      </c>
      <c r="N216" s="531">
        <f t="shared" si="21"/>
        <v>0</v>
      </c>
      <c r="O216" s="531" t="str">
        <f>IF(C216&lt;&gt;"",C216&amp;'סיווג התפקידים והעלויות'!$C$2,"")</f>
        <v/>
      </c>
      <c r="P216" s="531" t="str">
        <f>IF(C216&lt;&gt;"",C216&amp;'סיווג התפקידים והעלויות'!$D$2,"")</f>
        <v/>
      </c>
    </row>
    <row r="217" spans="2:16" ht="15.75" x14ac:dyDescent="0.25">
      <c r="B217" s="57">
        <v>202</v>
      </c>
      <c r="C217" s="176" t="str">
        <f>IF(VLOOKUP(B217,'דוח ביצוע (3)'!$A$21:$B$520,2,0)="","",VLOOKUP(B217,'דוח ביצוע (3)'!$A$21:$B$520,2,0))</f>
        <v/>
      </c>
      <c r="D217" s="177" t="str">
        <f>IFERROR(VLOOKUP($C:$C,'מצבת והרשמה (2)'!$C$20:$N$520,2,0)," ")</f>
        <v/>
      </c>
      <c r="E217" s="177" t="str">
        <f>IFERROR(VLOOKUP(C217,'דוח ביצוע (3)'!B:V,5,0)," ")</f>
        <v xml:space="preserve"> </v>
      </c>
      <c r="F217" s="177" t="str">
        <f t="shared" si="19"/>
        <v/>
      </c>
      <c r="G217" s="179">
        <f>SUMIFS('עלויות כח אדם (6)'!M:M,'עלויות כח אדם (6)'!B:B,' איוש משרות (8)'!C217,'עלויות כח אדם (6)'!N:N,"רכ")</f>
        <v>0</v>
      </c>
      <c r="H217" s="179">
        <f>IFERROR(VLOOKUP(P217,'עלויות כח אדם (6)'!$AE$16:$AF$3014,2,0),0)</f>
        <v>0</v>
      </c>
      <c r="I217" s="178">
        <f t="shared" si="22"/>
        <v>0</v>
      </c>
      <c r="J217" s="178">
        <f t="shared" si="23"/>
        <v>0</v>
      </c>
      <c r="K217" s="179" t="str">
        <f t="shared" si="20"/>
        <v/>
      </c>
      <c r="L217" s="718"/>
      <c r="M217" s="180" t="str">
        <f t="shared" si="24"/>
        <v/>
      </c>
      <c r="N217" s="531">
        <f t="shared" si="21"/>
        <v>0</v>
      </c>
      <c r="O217" s="531" t="str">
        <f>IF(C217&lt;&gt;"",C217&amp;'סיווג התפקידים והעלויות'!$C$2,"")</f>
        <v/>
      </c>
      <c r="P217" s="531" t="str">
        <f>IF(C217&lt;&gt;"",C217&amp;'סיווג התפקידים והעלויות'!$D$2,"")</f>
        <v/>
      </c>
    </row>
    <row r="218" spans="2:16" ht="15.75" x14ac:dyDescent="0.25">
      <c r="B218" s="176">
        <v>203</v>
      </c>
      <c r="C218" s="176" t="str">
        <f>IF(VLOOKUP(B218,'דוח ביצוע (3)'!$A$21:$B$520,2,0)="","",VLOOKUP(B218,'דוח ביצוע (3)'!$A$21:$B$520,2,0))</f>
        <v/>
      </c>
      <c r="D218" s="177" t="str">
        <f>IFERROR(VLOOKUP($C:$C,'מצבת והרשמה (2)'!$C$20:$N$520,2,0)," ")</f>
        <v/>
      </c>
      <c r="E218" s="177" t="str">
        <f>IFERROR(VLOOKUP(C218,'דוח ביצוע (3)'!B:V,5,0)," ")</f>
        <v xml:space="preserve"> </v>
      </c>
      <c r="F218" s="177" t="str">
        <f t="shared" si="19"/>
        <v/>
      </c>
      <c r="G218" s="179">
        <f>SUMIFS('עלויות כח אדם (6)'!M:M,'עלויות כח אדם (6)'!B:B,' איוש משרות (8)'!C218,'עלויות כח אדם (6)'!N:N,"רכ")</f>
        <v>0</v>
      </c>
      <c r="H218" s="179">
        <f>IFERROR(VLOOKUP(P218,'עלויות כח אדם (6)'!$AE$16:$AF$3014,2,0),0)</f>
        <v>0</v>
      </c>
      <c r="I218" s="178">
        <f t="shared" si="22"/>
        <v>0</v>
      </c>
      <c r="J218" s="178">
        <f t="shared" si="23"/>
        <v>0</v>
      </c>
      <c r="K218" s="179" t="str">
        <f t="shared" si="20"/>
        <v/>
      </c>
      <c r="L218" s="718"/>
      <c r="M218" s="180" t="str">
        <f t="shared" si="24"/>
        <v/>
      </c>
      <c r="N218" s="531">
        <f t="shared" si="21"/>
        <v>0</v>
      </c>
      <c r="O218" s="531" t="str">
        <f>IF(C218&lt;&gt;"",C218&amp;'סיווג התפקידים והעלויות'!$C$2,"")</f>
        <v/>
      </c>
      <c r="P218" s="531" t="str">
        <f>IF(C218&lt;&gt;"",C218&amp;'סיווג התפקידים והעלויות'!$D$2,"")</f>
        <v/>
      </c>
    </row>
    <row r="219" spans="2:16" ht="15.75" x14ac:dyDescent="0.25">
      <c r="B219" s="57">
        <v>204</v>
      </c>
      <c r="C219" s="176" t="str">
        <f>IF(VLOOKUP(B219,'דוח ביצוע (3)'!$A$21:$B$520,2,0)="","",VLOOKUP(B219,'דוח ביצוע (3)'!$A$21:$B$520,2,0))</f>
        <v/>
      </c>
      <c r="D219" s="177" t="str">
        <f>IFERROR(VLOOKUP($C:$C,'מצבת והרשמה (2)'!$C$20:$N$520,2,0)," ")</f>
        <v/>
      </c>
      <c r="E219" s="177" t="str">
        <f>IFERROR(VLOOKUP(C219,'דוח ביצוע (3)'!B:V,5,0)," ")</f>
        <v xml:space="preserve"> </v>
      </c>
      <c r="F219" s="177" t="str">
        <f t="shared" si="19"/>
        <v/>
      </c>
      <c r="G219" s="179">
        <f>SUMIFS('עלויות כח אדם (6)'!M:M,'עלויות כח אדם (6)'!B:B,' איוש משרות (8)'!C219,'עלויות כח אדם (6)'!N:N,"רכ")</f>
        <v>0</v>
      </c>
      <c r="H219" s="179">
        <f>IFERROR(VLOOKUP(P219,'עלויות כח אדם (6)'!$AE$16:$AF$3014,2,0),0)</f>
        <v>0</v>
      </c>
      <c r="I219" s="178">
        <f t="shared" si="22"/>
        <v>0</v>
      </c>
      <c r="J219" s="178">
        <f t="shared" si="23"/>
        <v>0</v>
      </c>
      <c r="K219" s="179" t="str">
        <f t="shared" si="20"/>
        <v/>
      </c>
      <c r="L219" s="718"/>
      <c r="M219" s="180" t="str">
        <f t="shared" si="24"/>
        <v/>
      </c>
      <c r="N219" s="531">
        <f t="shared" si="21"/>
        <v>0</v>
      </c>
      <c r="O219" s="531" t="str">
        <f>IF(C219&lt;&gt;"",C219&amp;'סיווג התפקידים והעלויות'!$C$2,"")</f>
        <v/>
      </c>
      <c r="P219" s="531" t="str">
        <f>IF(C219&lt;&gt;"",C219&amp;'סיווג התפקידים והעלויות'!$D$2,"")</f>
        <v/>
      </c>
    </row>
    <row r="220" spans="2:16" ht="15.75" x14ac:dyDescent="0.25">
      <c r="B220" s="176">
        <v>205</v>
      </c>
      <c r="C220" s="176" t="str">
        <f>IF(VLOOKUP(B220,'דוח ביצוע (3)'!$A$21:$B$520,2,0)="","",VLOOKUP(B220,'דוח ביצוע (3)'!$A$21:$B$520,2,0))</f>
        <v/>
      </c>
      <c r="D220" s="177" t="str">
        <f>IFERROR(VLOOKUP($C:$C,'מצבת והרשמה (2)'!$C$20:$N$520,2,0)," ")</f>
        <v/>
      </c>
      <c r="E220" s="177" t="str">
        <f>IFERROR(VLOOKUP(C220,'דוח ביצוע (3)'!B:V,5,0)," ")</f>
        <v xml:space="preserve"> </v>
      </c>
      <c r="F220" s="177" t="str">
        <f t="shared" si="19"/>
        <v/>
      </c>
      <c r="G220" s="179">
        <f>SUMIFS('עלויות כח אדם (6)'!M:M,'עלויות כח אדם (6)'!B:B,' איוש משרות (8)'!C220,'עלויות כח אדם (6)'!N:N,"רכ")</f>
        <v>0</v>
      </c>
      <c r="H220" s="179">
        <f>IFERROR(VLOOKUP(P220,'עלויות כח אדם (6)'!$AE$16:$AF$3014,2,0),0)</f>
        <v>0</v>
      </c>
      <c r="I220" s="178">
        <f t="shared" si="22"/>
        <v>0</v>
      </c>
      <c r="J220" s="178">
        <f t="shared" si="23"/>
        <v>0</v>
      </c>
      <c r="K220" s="179" t="str">
        <f t="shared" si="20"/>
        <v/>
      </c>
      <c r="L220" s="718"/>
      <c r="M220" s="180" t="str">
        <f t="shared" si="24"/>
        <v/>
      </c>
      <c r="N220" s="531">
        <f t="shared" si="21"/>
        <v>0</v>
      </c>
      <c r="O220" s="531" t="str">
        <f>IF(C220&lt;&gt;"",C220&amp;'סיווג התפקידים והעלויות'!$C$2,"")</f>
        <v/>
      </c>
      <c r="P220" s="531" t="str">
        <f>IF(C220&lt;&gt;"",C220&amp;'סיווג התפקידים והעלויות'!$D$2,"")</f>
        <v/>
      </c>
    </row>
    <row r="221" spans="2:16" ht="15.75" x14ac:dyDescent="0.25">
      <c r="B221" s="57">
        <v>206</v>
      </c>
      <c r="C221" s="176" t="str">
        <f>IF(VLOOKUP(B221,'דוח ביצוע (3)'!$A$21:$B$520,2,0)="","",VLOOKUP(B221,'דוח ביצוע (3)'!$A$21:$B$520,2,0))</f>
        <v/>
      </c>
      <c r="D221" s="177" t="str">
        <f>IFERROR(VLOOKUP($C:$C,'מצבת והרשמה (2)'!$C$20:$N$520,2,0)," ")</f>
        <v/>
      </c>
      <c r="E221" s="177" t="str">
        <f>IFERROR(VLOOKUP(C221,'דוח ביצוע (3)'!B:V,5,0)," ")</f>
        <v xml:space="preserve"> </v>
      </c>
      <c r="F221" s="177" t="str">
        <f t="shared" si="19"/>
        <v/>
      </c>
      <c r="G221" s="179">
        <f>SUMIFS('עלויות כח אדם (6)'!M:M,'עלויות כח אדם (6)'!B:B,' איוש משרות (8)'!C221,'עלויות כח אדם (6)'!N:N,"רכ")</f>
        <v>0</v>
      </c>
      <c r="H221" s="179">
        <f>IFERROR(VLOOKUP(P221,'עלויות כח אדם (6)'!$AE$16:$AF$3014,2,0),0)</f>
        <v>0</v>
      </c>
      <c r="I221" s="178">
        <f t="shared" si="22"/>
        <v>0</v>
      </c>
      <c r="J221" s="178">
        <f t="shared" si="23"/>
        <v>0</v>
      </c>
      <c r="K221" s="179" t="str">
        <f t="shared" si="20"/>
        <v/>
      </c>
      <c r="L221" s="718"/>
      <c r="M221" s="180" t="str">
        <f t="shared" si="24"/>
        <v/>
      </c>
      <c r="N221" s="531">
        <f t="shared" si="21"/>
        <v>0</v>
      </c>
      <c r="O221" s="531" t="str">
        <f>IF(C221&lt;&gt;"",C221&amp;'סיווג התפקידים והעלויות'!$C$2,"")</f>
        <v/>
      </c>
      <c r="P221" s="531" t="str">
        <f>IF(C221&lt;&gt;"",C221&amp;'סיווג התפקידים והעלויות'!$D$2,"")</f>
        <v/>
      </c>
    </row>
    <row r="222" spans="2:16" ht="15.75" x14ac:dyDescent="0.25">
      <c r="B222" s="176">
        <v>207</v>
      </c>
      <c r="C222" s="176" t="str">
        <f>IF(VLOOKUP(B222,'דוח ביצוע (3)'!$A$21:$B$520,2,0)="","",VLOOKUP(B222,'דוח ביצוע (3)'!$A$21:$B$520,2,0))</f>
        <v/>
      </c>
      <c r="D222" s="177" t="str">
        <f>IFERROR(VLOOKUP($C:$C,'מצבת והרשמה (2)'!$C$20:$N$520,2,0)," ")</f>
        <v/>
      </c>
      <c r="E222" s="177" t="str">
        <f>IFERROR(VLOOKUP(C222,'דוח ביצוע (3)'!B:V,5,0)," ")</f>
        <v xml:space="preserve"> </v>
      </c>
      <c r="F222" s="177" t="str">
        <f t="shared" si="19"/>
        <v/>
      </c>
      <c r="G222" s="179">
        <f>SUMIFS('עלויות כח אדם (6)'!M:M,'עלויות כח אדם (6)'!B:B,' איוש משרות (8)'!C222,'עלויות כח אדם (6)'!N:N,"רכ")</f>
        <v>0</v>
      </c>
      <c r="H222" s="179">
        <f>IFERROR(VLOOKUP(P222,'עלויות כח אדם (6)'!$AE$16:$AF$3014,2,0),0)</f>
        <v>0</v>
      </c>
      <c r="I222" s="178">
        <f t="shared" si="22"/>
        <v>0</v>
      </c>
      <c r="J222" s="178">
        <f t="shared" si="23"/>
        <v>0</v>
      </c>
      <c r="K222" s="179" t="str">
        <f t="shared" si="20"/>
        <v/>
      </c>
      <c r="L222" s="718"/>
      <c r="M222" s="180" t="str">
        <f t="shared" si="24"/>
        <v/>
      </c>
      <c r="N222" s="531">
        <f t="shared" si="21"/>
        <v>0</v>
      </c>
      <c r="O222" s="531" t="str">
        <f>IF(C222&lt;&gt;"",C222&amp;'סיווג התפקידים והעלויות'!$C$2,"")</f>
        <v/>
      </c>
      <c r="P222" s="531" t="str">
        <f>IF(C222&lt;&gt;"",C222&amp;'סיווג התפקידים והעלויות'!$D$2,"")</f>
        <v/>
      </c>
    </row>
    <row r="223" spans="2:16" ht="15.75" x14ac:dyDescent="0.25">
      <c r="B223" s="57">
        <v>208</v>
      </c>
      <c r="C223" s="176" t="str">
        <f>IF(VLOOKUP(B223,'דוח ביצוע (3)'!$A$21:$B$520,2,0)="","",VLOOKUP(B223,'דוח ביצוע (3)'!$A$21:$B$520,2,0))</f>
        <v/>
      </c>
      <c r="D223" s="177" t="str">
        <f>IFERROR(VLOOKUP($C:$C,'מצבת והרשמה (2)'!$C$20:$N$520,2,0)," ")</f>
        <v/>
      </c>
      <c r="E223" s="177" t="str">
        <f>IFERROR(VLOOKUP(C223,'דוח ביצוע (3)'!B:V,5,0)," ")</f>
        <v xml:space="preserve"> </v>
      </c>
      <c r="F223" s="177" t="str">
        <f t="shared" si="19"/>
        <v/>
      </c>
      <c r="G223" s="179">
        <f>SUMIFS('עלויות כח אדם (6)'!M:M,'עלויות כח אדם (6)'!B:B,' איוש משרות (8)'!C223,'עלויות כח אדם (6)'!N:N,"רכ")</f>
        <v>0</v>
      </c>
      <c r="H223" s="179">
        <f>IFERROR(VLOOKUP(P223,'עלויות כח אדם (6)'!$AE$16:$AF$3014,2,0),0)</f>
        <v>0</v>
      </c>
      <c r="I223" s="178">
        <f t="shared" si="22"/>
        <v>0</v>
      </c>
      <c r="J223" s="178">
        <f t="shared" si="23"/>
        <v>0</v>
      </c>
      <c r="K223" s="179" t="str">
        <f t="shared" si="20"/>
        <v/>
      </c>
      <c r="L223" s="718"/>
      <c r="M223" s="180" t="str">
        <f t="shared" si="24"/>
        <v/>
      </c>
      <c r="N223" s="531">
        <f t="shared" si="21"/>
        <v>0</v>
      </c>
      <c r="O223" s="531" t="str">
        <f>IF(C223&lt;&gt;"",C223&amp;'סיווג התפקידים והעלויות'!$C$2,"")</f>
        <v/>
      </c>
      <c r="P223" s="531" t="str">
        <f>IF(C223&lt;&gt;"",C223&amp;'סיווג התפקידים והעלויות'!$D$2,"")</f>
        <v/>
      </c>
    </row>
    <row r="224" spans="2:16" ht="15.75" x14ac:dyDescent="0.25">
      <c r="B224" s="176">
        <v>209</v>
      </c>
      <c r="C224" s="176" t="str">
        <f>IF(VLOOKUP(B224,'דוח ביצוע (3)'!$A$21:$B$520,2,0)="","",VLOOKUP(B224,'דוח ביצוע (3)'!$A$21:$B$520,2,0))</f>
        <v/>
      </c>
      <c r="D224" s="177" t="str">
        <f>IFERROR(VLOOKUP($C:$C,'מצבת והרשמה (2)'!$C$20:$N$520,2,0)," ")</f>
        <v/>
      </c>
      <c r="E224" s="177" t="str">
        <f>IFERROR(VLOOKUP(C224,'דוח ביצוע (3)'!B:V,5,0)," ")</f>
        <v xml:space="preserve"> </v>
      </c>
      <c r="F224" s="177" t="str">
        <f t="shared" si="19"/>
        <v/>
      </c>
      <c r="G224" s="179">
        <f>SUMIFS('עלויות כח אדם (6)'!M:M,'עלויות כח אדם (6)'!B:B,' איוש משרות (8)'!C224,'עלויות כח אדם (6)'!N:N,"רכ")</f>
        <v>0</v>
      </c>
      <c r="H224" s="179">
        <f>IFERROR(VLOOKUP(P224,'עלויות כח אדם (6)'!$AE$16:$AF$3014,2,0),0)</f>
        <v>0</v>
      </c>
      <c r="I224" s="178">
        <f t="shared" si="22"/>
        <v>0</v>
      </c>
      <c r="J224" s="178">
        <f t="shared" si="23"/>
        <v>0</v>
      </c>
      <c r="K224" s="179" t="str">
        <f t="shared" si="20"/>
        <v/>
      </c>
      <c r="L224" s="718"/>
      <c r="M224" s="180" t="str">
        <f t="shared" si="24"/>
        <v/>
      </c>
      <c r="N224" s="531">
        <f t="shared" si="21"/>
        <v>0</v>
      </c>
      <c r="O224" s="531" t="str">
        <f>IF(C224&lt;&gt;"",C224&amp;'סיווג התפקידים והעלויות'!$C$2,"")</f>
        <v/>
      </c>
      <c r="P224" s="531" t="str">
        <f>IF(C224&lt;&gt;"",C224&amp;'סיווג התפקידים והעלויות'!$D$2,"")</f>
        <v/>
      </c>
    </row>
    <row r="225" spans="2:16" ht="15.75" x14ac:dyDescent="0.25">
      <c r="B225" s="57">
        <v>210</v>
      </c>
      <c r="C225" s="176" t="str">
        <f>IF(VLOOKUP(B225,'דוח ביצוע (3)'!$A$21:$B$520,2,0)="","",VLOOKUP(B225,'דוח ביצוע (3)'!$A$21:$B$520,2,0))</f>
        <v/>
      </c>
      <c r="D225" s="177" t="str">
        <f>IFERROR(VLOOKUP($C:$C,'מצבת והרשמה (2)'!$C$20:$N$520,2,0)," ")</f>
        <v/>
      </c>
      <c r="E225" s="177" t="str">
        <f>IFERROR(VLOOKUP(C225,'דוח ביצוע (3)'!B:V,5,0)," ")</f>
        <v xml:space="preserve"> </v>
      </c>
      <c r="F225" s="177" t="str">
        <f t="shared" si="19"/>
        <v/>
      </c>
      <c r="G225" s="179">
        <f>SUMIFS('עלויות כח אדם (6)'!M:M,'עלויות כח אדם (6)'!B:B,' איוש משרות (8)'!C225,'עלויות כח אדם (6)'!N:N,"רכ")</f>
        <v>0</v>
      </c>
      <c r="H225" s="179">
        <f>IFERROR(VLOOKUP(P225,'עלויות כח אדם (6)'!$AE$16:$AF$3014,2,0),0)</f>
        <v>0</v>
      </c>
      <c r="I225" s="178">
        <f t="shared" si="22"/>
        <v>0</v>
      </c>
      <c r="J225" s="178">
        <f t="shared" si="23"/>
        <v>0</v>
      </c>
      <c r="K225" s="179" t="str">
        <f t="shared" si="20"/>
        <v/>
      </c>
      <c r="L225" s="718"/>
      <c r="M225" s="180" t="str">
        <f t="shared" si="24"/>
        <v/>
      </c>
      <c r="N225" s="531">
        <f t="shared" si="21"/>
        <v>0</v>
      </c>
      <c r="O225" s="531" t="str">
        <f>IF(C225&lt;&gt;"",C225&amp;'סיווג התפקידים והעלויות'!$C$2,"")</f>
        <v/>
      </c>
      <c r="P225" s="531" t="str">
        <f>IF(C225&lt;&gt;"",C225&amp;'סיווג התפקידים והעלויות'!$D$2,"")</f>
        <v/>
      </c>
    </row>
    <row r="226" spans="2:16" ht="15.75" x14ac:dyDescent="0.25">
      <c r="B226" s="176">
        <v>211</v>
      </c>
      <c r="C226" s="176" t="str">
        <f>IF(VLOOKUP(B226,'דוח ביצוע (3)'!$A$21:$B$520,2,0)="","",VLOOKUP(B226,'דוח ביצוע (3)'!$A$21:$B$520,2,0))</f>
        <v/>
      </c>
      <c r="D226" s="177" t="str">
        <f>IFERROR(VLOOKUP($C:$C,'מצבת והרשמה (2)'!$C$20:$N$520,2,0)," ")</f>
        <v/>
      </c>
      <c r="E226" s="177" t="str">
        <f>IFERROR(VLOOKUP(C226,'דוח ביצוע (3)'!B:V,5,0)," ")</f>
        <v xml:space="preserve"> </v>
      </c>
      <c r="F226" s="177" t="str">
        <f t="shared" si="19"/>
        <v/>
      </c>
      <c r="G226" s="179">
        <f>SUMIFS('עלויות כח אדם (6)'!M:M,'עלויות כח אדם (6)'!B:B,' איוש משרות (8)'!C226,'עלויות כח אדם (6)'!N:N,"רכ")</f>
        <v>0</v>
      </c>
      <c r="H226" s="179">
        <f>IFERROR(VLOOKUP(P226,'עלויות כח אדם (6)'!$AE$16:$AF$3014,2,0),0)</f>
        <v>0</v>
      </c>
      <c r="I226" s="178">
        <f t="shared" si="22"/>
        <v>0</v>
      </c>
      <c r="J226" s="178">
        <f t="shared" si="23"/>
        <v>0</v>
      </c>
      <c r="K226" s="179" t="str">
        <f t="shared" si="20"/>
        <v/>
      </c>
      <c r="L226" s="718"/>
      <c r="M226" s="180" t="str">
        <f t="shared" si="24"/>
        <v/>
      </c>
      <c r="N226" s="531">
        <f t="shared" si="21"/>
        <v>0</v>
      </c>
      <c r="O226" s="531" t="str">
        <f>IF(C226&lt;&gt;"",C226&amp;'סיווג התפקידים והעלויות'!$C$2,"")</f>
        <v/>
      </c>
      <c r="P226" s="531" t="str">
        <f>IF(C226&lt;&gt;"",C226&amp;'סיווג התפקידים והעלויות'!$D$2,"")</f>
        <v/>
      </c>
    </row>
    <row r="227" spans="2:16" ht="15.75" x14ac:dyDescent="0.25">
      <c r="B227" s="57">
        <v>212</v>
      </c>
      <c r="C227" s="176" t="str">
        <f>IF(VLOOKUP(B227,'דוח ביצוע (3)'!$A$21:$B$520,2,0)="","",VLOOKUP(B227,'דוח ביצוע (3)'!$A$21:$B$520,2,0))</f>
        <v/>
      </c>
      <c r="D227" s="177" t="str">
        <f>IFERROR(VLOOKUP($C:$C,'מצבת והרשמה (2)'!$C$20:$N$520,2,0)," ")</f>
        <v/>
      </c>
      <c r="E227" s="177" t="str">
        <f>IFERROR(VLOOKUP(C227,'דוח ביצוע (3)'!B:V,5,0)," ")</f>
        <v xml:space="preserve"> </v>
      </c>
      <c r="F227" s="177" t="str">
        <f t="shared" si="19"/>
        <v/>
      </c>
      <c r="G227" s="179">
        <f>SUMIFS('עלויות כח אדם (6)'!M:M,'עלויות כח אדם (6)'!B:B,' איוש משרות (8)'!C227,'עלויות כח אדם (6)'!N:N,"רכ")</f>
        <v>0</v>
      </c>
      <c r="H227" s="179">
        <f>IFERROR(VLOOKUP(P227,'עלויות כח אדם (6)'!$AE$16:$AF$3014,2,0),0)</f>
        <v>0</v>
      </c>
      <c r="I227" s="178">
        <f t="shared" si="22"/>
        <v>0</v>
      </c>
      <c r="J227" s="178">
        <f t="shared" si="23"/>
        <v>0</v>
      </c>
      <c r="K227" s="179" t="str">
        <f t="shared" si="20"/>
        <v/>
      </c>
      <c r="L227" s="718"/>
      <c r="M227" s="180" t="str">
        <f t="shared" si="24"/>
        <v/>
      </c>
      <c r="N227" s="531">
        <f t="shared" si="21"/>
        <v>0</v>
      </c>
      <c r="O227" s="531" t="str">
        <f>IF(C227&lt;&gt;"",C227&amp;'סיווג התפקידים והעלויות'!$C$2,"")</f>
        <v/>
      </c>
      <c r="P227" s="531" t="str">
        <f>IF(C227&lt;&gt;"",C227&amp;'סיווג התפקידים והעלויות'!$D$2,"")</f>
        <v/>
      </c>
    </row>
    <row r="228" spans="2:16" ht="15.75" x14ac:dyDescent="0.25">
      <c r="B228" s="176">
        <v>213</v>
      </c>
      <c r="C228" s="176" t="str">
        <f>IF(VLOOKUP(B228,'דוח ביצוע (3)'!$A$21:$B$520,2,0)="","",VLOOKUP(B228,'דוח ביצוע (3)'!$A$21:$B$520,2,0))</f>
        <v/>
      </c>
      <c r="D228" s="177" t="str">
        <f>IFERROR(VLOOKUP($C:$C,'מצבת והרשמה (2)'!$C$20:$N$520,2,0)," ")</f>
        <v/>
      </c>
      <c r="E228" s="177" t="str">
        <f>IFERROR(VLOOKUP(C228,'דוח ביצוע (3)'!B:V,5,0)," ")</f>
        <v xml:space="preserve"> </v>
      </c>
      <c r="F228" s="177" t="str">
        <f t="shared" si="19"/>
        <v/>
      </c>
      <c r="G228" s="179">
        <f>SUMIFS('עלויות כח אדם (6)'!M:M,'עלויות כח אדם (6)'!B:B,' איוש משרות (8)'!C228,'עלויות כח אדם (6)'!N:N,"רכ")</f>
        <v>0</v>
      </c>
      <c r="H228" s="179">
        <f>IFERROR(VLOOKUP(P228,'עלויות כח אדם (6)'!$AE$16:$AF$3014,2,0),0)</f>
        <v>0</v>
      </c>
      <c r="I228" s="178">
        <f t="shared" si="22"/>
        <v>0</v>
      </c>
      <c r="J228" s="178">
        <f t="shared" si="23"/>
        <v>0</v>
      </c>
      <c r="K228" s="179" t="str">
        <f t="shared" si="20"/>
        <v/>
      </c>
      <c r="L228" s="718"/>
      <c r="M228" s="180" t="str">
        <f t="shared" si="24"/>
        <v/>
      </c>
      <c r="N228" s="531">
        <f t="shared" si="21"/>
        <v>0</v>
      </c>
      <c r="O228" s="531" t="str">
        <f>IF(C228&lt;&gt;"",C228&amp;'סיווג התפקידים והעלויות'!$C$2,"")</f>
        <v/>
      </c>
      <c r="P228" s="531" t="str">
        <f>IF(C228&lt;&gt;"",C228&amp;'סיווג התפקידים והעלויות'!$D$2,"")</f>
        <v/>
      </c>
    </row>
    <row r="229" spans="2:16" ht="15.75" x14ac:dyDescent="0.25">
      <c r="B229" s="57">
        <v>214</v>
      </c>
      <c r="C229" s="176" t="str">
        <f>IF(VLOOKUP(B229,'דוח ביצוע (3)'!$A$21:$B$520,2,0)="","",VLOOKUP(B229,'דוח ביצוע (3)'!$A$21:$B$520,2,0))</f>
        <v/>
      </c>
      <c r="D229" s="177" t="str">
        <f>IFERROR(VLOOKUP($C:$C,'מצבת והרשמה (2)'!$C$20:$N$520,2,0)," ")</f>
        <v/>
      </c>
      <c r="E229" s="177" t="str">
        <f>IFERROR(VLOOKUP(C229,'דוח ביצוע (3)'!B:V,5,0)," ")</f>
        <v xml:space="preserve"> </v>
      </c>
      <c r="F229" s="177" t="str">
        <f t="shared" si="19"/>
        <v/>
      </c>
      <c r="G229" s="179">
        <f>SUMIFS('עלויות כח אדם (6)'!M:M,'עלויות כח אדם (6)'!B:B,' איוש משרות (8)'!C229,'עלויות כח אדם (6)'!N:N,"רכ")</f>
        <v>0</v>
      </c>
      <c r="H229" s="179">
        <f>IFERROR(VLOOKUP(P229,'עלויות כח אדם (6)'!$AE$16:$AF$3014,2,0),0)</f>
        <v>0</v>
      </c>
      <c r="I229" s="178">
        <f t="shared" si="22"/>
        <v>0</v>
      </c>
      <c r="J229" s="178">
        <f t="shared" si="23"/>
        <v>0</v>
      </c>
      <c r="K229" s="179" t="str">
        <f t="shared" si="20"/>
        <v/>
      </c>
      <c r="L229" s="718"/>
      <c r="M229" s="180" t="str">
        <f t="shared" si="24"/>
        <v/>
      </c>
      <c r="N229" s="531">
        <f t="shared" si="21"/>
        <v>0</v>
      </c>
      <c r="O229" s="531" t="str">
        <f>IF(C229&lt;&gt;"",C229&amp;'סיווג התפקידים והעלויות'!$C$2,"")</f>
        <v/>
      </c>
      <c r="P229" s="531" t="str">
        <f>IF(C229&lt;&gt;"",C229&amp;'סיווג התפקידים והעלויות'!$D$2,"")</f>
        <v/>
      </c>
    </row>
    <row r="230" spans="2:16" ht="15.75" x14ac:dyDescent="0.25">
      <c r="B230" s="176">
        <v>215</v>
      </c>
      <c r="C230" s="176" t="str">
        <f>IF(VLOOKUP(B230,'דוח ביצוע (3)'!$A$21:$B$520,2,0)="","",VLOOKUP(B230,'דוח ביצוע (3)'!$A$21:$B$520,2,0))</f>
        <v/>
      </c>
      <c r="D230" s="177" t="str">
        <f>IFERROR(VLOOKUP($C:$C,'מצבת והרשמה (2)'!$C$20:$N$520,2,0)," ")</f>
        <v/>
      </c>
      <c r="E230" s="177" t="str">
        <f>IFERROR(VLOOKUP(C230,'דוח ביצוע (3)'!B:V,5,0)," ")</f>
        <v xml:space="preserve"> </v>
      </c>
      <c r="F230" s="177" t="str">
        <f t="shared" si="19"/>
        <v/>
      </c>
      <c r="G230" s="179">
        <f>SUMIFS('עלויות כח אדם (6)'!M:M,'עלויות כח אדם (6)'!B:B,' איוש משרות (8)'!C230,'עלויות כח אדם (6)'!N:N,"רכ")</f>
        <v>0</v>
      </c>
      <c r="H230" s="179">
        <f>IFERROR(VLOOKUP(P230,'עלויות כח אדם (6)'!$AE$16:$AF$3014,2,0),0)</f>
        <v>0</v>
      </c>
      <c r="I230" s="178">
        <f t="shared" si="22"/>
        <v>0</v>
      </c>
      <c r="J230" s="178">
        <f t="shared" si="23"/>
        <v>0</v>
      </c>
      <c r="K230" s="179" t="str">
        <f t="shared" si="20"/>
        <v/>
      </c>
      <c r="L230" s="718"/>
      <c r="M230" s="180" t="str">
        <f t="shared" si="24"/>
        <v/>
      </c>
      <c r="N230" s="531">
        <f t="shared" si="21"/>
        <v>0</v>
      </c>
      <c r="O230" s="531" t="str">
        <f>IF(C230&lt;&gt;"",C230&amp;'סיווג התפקידים והעלויות'!$C$2,"")</f>
        <v/>
      </c>
      <c r="P230" s="531" t="str">
        <f>IF(C230&lt;&gt;"",C230&amp;'סיווג התפקידים והעלויות'!$D$2,"")</f>
        <v/>
      </c>
    </row>
    <row r="231" spans="2:16" ht="15.75" x14ac:dyDescent="0.25">
      <c r="B231" s="57">
        <v>216</v>
      </c>
      <c r="C231" s="176" t="str">
        <f>IF(VLOOKUP(B231,'דוח ביצוע (3)'!$A$21:$B$520,2,0)="","",VLOOKUP(B231,'דוח ביצוע (3)'!$A$21:$B$520,2,0))</f>
        <v/>
      </c>
      <c r="D231" s="177" t="str">
        <f>IFERROR(VLOOKUP($C:$C,'מצבת והרשמה (2)'!$C$20:$N$520,2,0)," ")</f>
        <v/>
      </c>
      <c r="E231" s="177" t="str">
        <f>IFERROR(VLOOKUP(C231,'דוח ביצוע (3)'!B:V,5,0)," ")</f>
        <v xml:space="preserve"> </v>
      </c>
      <c r="F231" s="177" t="str">
        <f t="shared" si="19"/>
        <v/>
      </c>
      <c r="G231" s="179">
        <f>SUMIFS('עלויות כח אדם (6)'!M:M,'עלויות כח אדם (6)'!B:B,' איוש משרות (8)'!C231,'עלויות כח אדם (6)'!N:N,"רכ")</f>
        <v>0</v>
      </c>
      <c r="H231" s="179">
        <f>IFERROR(VLOOKUP(P231,'עלויות כח אדם (6)'!$AE$16:$AF$3014,2,0),0)</f>
        <v>0</v>
      </c>
      <c r="I231" s="178">
        <f t="shared" si="22"/>
        <v>0</v>
      </c>
      <c r="J231" s="178">
        <f t="shared" si="23"/>
        <v>0</v>
      </c>
      <c r="K231" s="179" t="str">
        <f t="shared" si="20"/>
        <v/>
      </c>
      <c r="L231" s="718"/>
      <c r="M231" s="180" t="str">
        <f t="shared" si="24"/>
        <v/>
      </c>
      <c r="N231" s="531">
        <f t="shared" si="21"/>
        <v>0</v>
      </c>
      <c r="O231" s="531" t="str">
        <f>IF(C231&lt;&gt;"",C231&amp;'סיווג התפקידים והעלויות'!$C$2,"")</f>
        <v/>
      </c>
      <c r="P231" s="531" t="str">
        <f>IF(C231&lt;&gt;"",C231&amp;'סיווג התפקידים והעלויות'!$D$2,"")</f>
        <v/>
      </c>
    </row>
    <row r="232" spans="2:16" ht="15.75" x14ac:dyDescent="0.25">
      <c r="B232" s="176">
        <v>217</v>
      </c>
      <c r="C232" s="176" t="str">
        <f>IF(VLOOKUP(B232,'דוח ביצוע (3)'!$A$21:$B$520,2,0)="","",VLOOKUP(B232,'דוח ביצוע (3)'!$A$21:$B$520,2,0))</f>
        <v/>
      </c>
      <c r="D232" s="177" t="str">
        <f>IFERROR(VLOOKUP($C:$C,'מצבת והרשמה (2)'!$C$20:$N$520,2,0)," ")</f>
        <v/>
      </c>
      <c r="E232" s="177" t="str">
        <f>IFERROR(VLOOKUP(C232,'דוח ביצוע (3)'!B:V,5,0)," ")</f>
        <v xml:space="preserve"> </v>
      </c>
      <c r="F232" s="177" t="str">
        <f t="shared" si="19"/>
        <v/>
      </c>
      <c r="G232" s="179">
        <f>SUMIFS('עלויות כח אדם (6)'!M:M,'עלויות כח אדם (6)'!B:B,' איוש משרות (8)'!C232,'עלויות כח אדם (6)'!N:N,"רכ")</f>
        <v>0</v>
      </c>
      <c r="H232" s="179">
        <f>IFERROR(VLOOKUP(P232,'עלויות כח אדם (6)'!$AE$16:$AF$3014,2,0),0)</f>
        <v>0</v>
      </c>
      <c r="I232" s="178">
        <f t="shared" si="22"/>
        <v>0</v>
      </c>
      <c r="J232" s="178">
        <f t="shared" si="23"/>
        <v>0</v>
      </c>
      <c r="K232" s="179" t="str">
        <f t="shared" si="20"/>
        <v/>
      </c>
      <c r="L232" s="718"/>
      <c r="M232" s="180" t="str">
        <f t="shared" si="24"/>
        <v/>
      </c>
      <c r="N232" s="531">
        <f t="shared" si="21"/>
        <v>0</v>
      </c>
      <c r="O232" s="531" t="str">
        <f>IF(C232&lt;&gt;"",C232&amp;'סיווג התפקידים והעלויות'!$C$2,"")</f>
        <v/>
      </c>
      <c r="P232" s="531" t="str">
        <f>IF(C232&lt;&gt;"",C232&amp;'סיווג התפקידים והעלויות'!$D$2,"")</f>
        <v/>
      </c>
    </row>
    <row r="233" spans="2:16" ht="15.75" x14ac:dyDescent="0.25">
      <c r="B233" s="57">
        <v>218</v>
      </c>
      <c r="C233" s="176" t="str">
        <f>IF(VLOOKUP(B233,'דוח ביצוע (3)'!$A$21:$B$520,2,0)="","",VLOOKUP(B233,'דוח ביצוע (3)'!$A$21:$B$520,2,0))</f>
        <v/>
      </c>
      <c r="D233" s="177" t="str">
        <f>IFERROR(VLOOKUP($C:$C,'מצבת והרשמה (2)'!$C$20:$N$520,2,0)," ")</f>
        <v/>
      </c>
      <c r="E233" s="177" t="str">
        <f>IFERROR(VLOOKUP(C233,'דוח ביצוע (3)'!B:V,5,0)," ")</f>
        <v xml:space="preserve"> </v>
      </c>
      <c r="F233" s="177" t="str">
        <f t="shared" si="19"/>
        <v/>
      </c>
      <c r="G233" s="179">
        <f>SUMIFS('עלויות כח אדם (6)'!M:M,'עלויות כח אדם (6)'!B:B,' איוש משרות (8)'!C233,'עלויות כח אדם (6)'!N:N,"רכ")</f>
        <v>0</v>
      </c>
      <c r="H233" s="179">
        <f>IFERROR(VLOOKUP(P233,'עלויות כח אדם (6)'!$AE$16:$AF$3014,2,0),0)</f>
        <v>0</v>
      </c>
      <c r="I233" s="178">
        <f t="shared" si="22"/>
        <v>0</v>
      </c>
      <c r="J233" s="178">
        <f t="shared" si="23"/>
        <v>0</v>
      </c>
      <c r="K233" s="179" t="str">
        <f t="shared" si="20"/>
        <v/>
      </c>
      <c r="L233" s="718"/>
      <c r="M233" s="180" t="str">
        <f t="shared" si="24"/>
        <v/>
      </c>
      <c r="N233" s="531">
        <f t="shared" si="21"/>
        <v>0</v>
      </c>
      <c r="O233" s="531" t="str">
        <f>IF(C233&lt;&gt;"",C233&amp;'סיווג התפקידים והעלויות'!$C$2,"")</f>
        <v/>
      </c>
      <c r="P233" s="531" t="str">
        <f>IF(C233&lt;&gt;"",C233&amp;'סיווג התפקידים והעלויות'!$D$2,"")</f>
        <v/>
      </c>
    </row>
    <row r="234" spans="2:16" ht="15.75" x14ac:dyDescent="0.25">
      <c r="B234" s="176">
        <v>219</v>
      </c>
      <c r="C234" s="176" t="str">
        <f>IF(VLOOKUP(B234,'דוח ביצוע (3)'!$A$21:$B$520,2,0)="","",VLOOKUP(B234,'דוח ביצוע (3)'!$A$21:$B$520,2,0))</f>
        <v/>
      </c>
      <c r="D234" s="177" t="str">
        <f>IFERROR(VLOOKUP($C:$C,'מצבת והרשמה (2)'!$C$20:$N$520,2,0)," ")</f>
        <v/>
      </c>
      <c r="E234" s="177" t="str">
        <f>IFERROR(VLOOKUP(C234,'דוח ביצוע (3)'!B:V,5,0)," ")</f>
        <v xml:space="preserve"> </v>
      </c>
      <c r="F234" s="177" t="str">
        <f t="shared" si="19"/>
        <v/>
      </c>
      <c r="G234" s="179">
        <f>SUMIFS('עלויות כח אדם (6)'!M:M,'עלויות כח אדם (6)'!B:B,' איוש משרות (8)'!C234,'עלויות כח אדם (6)'!N:N,"רכ")</f>
        <v>0</v>
      </c>
      <c r="H234" s="179">
        <f>IFERROR(VLOOKUP(P234,'עלויות כח אדם (6)'!$AE$16:$AF$3014,2,0),0)</f>
        <v>0</v>
      </c>
      <c r="I234" s="178">
        <f t="shared" si="22"/>
        <v>0</v>
      </c>
      <c r="J234" s="178">
        <f t="shared" si="23"/>
        <v>0</v>
      </c>
      <c r="K234" s="179" t="str">
        <f t="shared" si="20"/>
        <v/>
      </c>
      <c r="L234" s="718"/>
      <c r="M234" s="180" t="str">
        <f t="shared" si="24"/>
        <v/>
      </c>
      <c r="N234" s="531">
        <f t="shared" si="21"/>
        <v>0</v>
      </c>
      <c r="O234" s="531" t="str">
        <f>IF(C234&lt;&gt;"",C234&amp;'סיווג התפקידים והעלויות'!$C$2,"")</f>
        <v/>
      </c>
      <c r="P234" s="531" t="str">
        <f>IF(C234&lt;&gt;"",C234&amp;'סיווג התפקידים והעלויות'!$D$2,"")</f>
        <v/>
      </c>
    </row>
    <row r="235" spans="2:16" ht="15.75" x14ac:dyDescent="0.25">
      <c r="B235" s="57">
        <v>220</v>
      </c>
      <c r="C235" s="176" t="str">
        <f>IF(VLOOKUP(B235,'דוח ביצוע (3)'!$A$21:$B$520,2,0)="","",VLOOKUP(B235,'דוח ביצוע (3)'!$A$21:$B$520,2,0))</f>
        <v/>
      </c>
      <c r="D235" s="177" t="str">
        <f>IFERROR(VLOOKUP($C:$C,'מצבת והרשמה (2)'!$C$20:$N$520,2,0)," ")</f>
        <v/>
      </c>
      <c r="E235" s="177" t="str">
        <f>IFERROR(VLOOKUP(C235,'דוח ביצוע (3)'!B:V,5,0)," ")</f>
        <v xml:space="preserve"> </v>
      </c>
      <c r="F235" s="177" t="str">
        <f t="shared" si="19"/>
        <v/>
      </c>
      <c r="G235" s="179">
        <f>SUMIFS('עלויות כח אדם (6)'!M:M,'עלויות כח אדם (6)'!B:B,' איוש משרות (8)'!C235,'עלויות כח אדם (6)'!N:N,"רכ")</f>
        <v>0</v>
      </c>
      <c r="H235" s="179">
        <f>IFERROR(VLOOKUP(P235,'עלויות כח אדם (6)'!$AE$16:$AF$3014,2,0),0)</f>
        <v>0</v>
      </c>
      <c r="I235" s="178">
        <f t="shared" si="22"/>
        <v>0</v>
      </c>
      <c r="J235" s="178">
        <f t="shared" si="23"/>
        <v>0</v>
      </c>
      <c r="K235" s="179" t="str">
        <f t="shared" si="20"/>
        <v/>
      </c>
      <c r="L235" s="718"/>
      <c r="M235" s="180" t="str">
        <f t="shared" si="24"/>
        <v/>
      </c>
      <c r="N235" s="531">
        <f t="shared" si="21"/>
        <v>0</v>
      </c>
      <c r="O235" s="531" t="str">
        <f>IF(C235&lt;&gt;"",C235&amp;'סיווג התפקידים והעלויות'!$C$2,"")</f>
        <v/>
      </c>
      <c r="P235" s="531" t="str">
        <f>IF(C235&lt;&gt;"",C235&amp;'סיווג התפקידים והעלויות'!$D$2,"")</f>
        <v/>
      </c>
    </row>
    <row r="236" spans="2:16" ht="15.75" x14ac:dyDescent="0.25">
      <c r="B236" s="176">
        <v>221</v>
      </c>
      <c r="C236" s="176" t="str">
        <f>IF(VLOOKUP(B236,'דוח ביצוע (3)'!$A$21:$B$520,2,0)="","",VLOOKUP(B236,'דוח ביצוע (3)'!$A$21:$B$520,2,0))</f>
        <v/>
      </c>
      <c r="D236" s="177" t="str">
        <f>IFERROR(VLOOKUP($C:$C,'מצבת והרשמה (2)'!$C$20:$N$520,2,0)," ")</f>
        <v/>
      </c>
      <c r="E236" s="177" t="str">
        <f>IFERROR(VLOOKUP(C236,'דוח ביצוע (3)'!B:V,5,0)," ")</f>
        <v xml:space="preserve"> </v>
      </c>
      <c r="F236" s="177" t="str">
        <f t="shared" si="19"/>
        <v/>
      </c>
      <c r="G236" s="179">
        <f>SUMIFS('עלויות כח אדם (6)'!M:M,'עלויות כח אדם (6)'!B:B,' איוש משרות (8)'!C236,'עלויות כח אדם (6)'!N:N,"רכ")</f>
        <v>0</v>
      </c>
      <c r="H236" s="179">
        <f>IFERROR(VLOOKUP(P236,'עלויות כח אדם (6)'!$AE$16:$AF$3014,2,0),0)</f>
        <v>0</v>
      </c>
      <c r="I236" s="178">
        <f t="shared" si="22"/>
        <v>0</v>
      </c>
      <c r="J236" s="178">
        <f t="shared" si="23"/>
        <v>0</v>
      </c>
      <c r="K236" s="179" t="str">
        <f t="shared" si="20"/>
        <v/>
      </c>
      <c r="L236" s="718"/>
      <c r="M236" s="180" t="str">
        <f t="shared" si="24"/>
        <v/>
      </c>
      <c r="N236" s="531">
        <f t="shared" si="21"/>
        <v>0</v>
      </c>
      <c r="O236" s="531" t="str">
        <f>IF(C236&lt;&gt;"",C236&amp;'סיווג התפקידים והעלויות'!$C$2,"")</f>
        <v/>
      </c>
      <c r="P236" s="531" t="str">
        <f>IF(C236&lt;&gt;"",C236&amp;'סיווג התפקידים והעלויות'!$D$2,"")</f>
        <v/>
      </c>
    </row>
    <row r="237" spans="2:16" ht="15.75" x14ac:dyDescent="0.25">
      <c r="B237" s="57">
        <v>222</v>
      </c>
      <c r="C237" s="176" t="str">
        <f>IF(VLOOKUP(B237,'דוח ביצוע (3)'!$A$21:$B$520,2,0)="","",VLOOKUP(B237,'דוח ביצוע (3)'!$A$21:$B$520,2,0))</f>
        <v/>
      </c>
      <c r="D237" s="177" t="str">
        <f>IFERROR(VLOOKUP($C:$C,'מצבת והרשמה (2)'!$C$20:$N$520,2,0)," ")</f>
        <v/>
      </c>
      <c r="E237" s="177" t="str">
        <f>IFERROR(VLOOKUP(C237,'דוח ביצוע (3)'!B:V,5,0)," ")</f>
        <v xml:space="preserve"> </v>
      </c>
      <c r="F237" s="177" t="str">
        <f t="shared" si="19"/>
        <v/>
      </c>
      <c r="G237" s="179">
        <f>SUMIFS('עלויות כח אדם (6)'!M:M,'עלויות כח אדם (6)'!B:B,' איוש משרות (8)'!C237,'עלויות כח אדם (6)'!N:N,"רכ")</f>
        <v>0</v>
      </c>
      <c r="H237" s="179">
        <f>IFERROR(VLOOKUP(P237,'עלויות כח אדם (6)'!$AE$16:$AF$3014,2,0),0)</f>
        <v>0</v>
      </c>
      <c r="I237" s="178">
        <f t="shared" si="22"/>
        <v>0</v>
      </c>
      <c r="J237" s="178">
        <f t="shared" si="23"/>
        <v>0</v>
      </c>
      <c r="K237" s="179" t="str">
        <f t="shared" si="20"/>
        <v/>
      </c>
      <c r="L237" s="718"/>
      <c r="M237" s="180" t="str">
        <f t="shared" si="24"/>
        <v/>
      </c>
      <c r="N237" s="531">
        <f t="shared" si="21"/>
        <v>0</v>
      </c>
      <c r="O237" s="531" t="str">
        <f>IF(C237&lt;&gt;"",C237&amp;'סיווג התפקידים והעלויות'!$C$2,"")</f>
        <v/>
      </c>
      <c r="P237" s="531" t="str">
        <f>IF(C237&lt;&gt;"",C237&amp;'סיווג התפקידים והעלויות'!$D$2,"")</f>
        <v/>
      </c>
    </row>
    <row r="238" spans="2:16" ht="15.75" x14ac:dyDescent="0.25">
      <c r="B238" s="176">
        <v>223</v>
      </c>
      <c r="C238" s="176" t="str">
        <f>IF(VLOOKUP(B238,'דוח ביצוע (3)'!$A$21:$B$520,2,0)="","",VLOOKUP(B238,'דוח ביצוע (3)'!$A$21:$B$520,2,0))</f>
        <v/>
      </c>
      <c r="D238" s="177" t="str">
        <f>IFERROR(VLOOKUP($C:$C,'מצבת והרשמה (2)'!$C$20:$N$520,2,0)," ")</f>
        <v/>
      </c>
      <c r="E238" s="177" t="str">
        <f>IFERROR(VLOOKUP(C238,'דוח ביצוע (3)'!B:V,5,0)," ")</f>
        <v xml:space="preserve"> </v>
      </c>
      <c r="F238" s="177" t="str">
        <f t="shared" si="19"/>
        <v/>
      </c>
      <c r="G238" s="179">
        <f>SUMIFS('עלויות כח אדם (6)'!M:M,'עלויות כח אדם (6)'!B:B,' איוש משרות (8)'!C238,'עלויות כח אדם (6)'!N:N,"רכ")</f>
        <v>0</v>
      </c>
      <c r="H238" s="179">
        <f>IFERROR(VLOOKUP(P238,'עלויות כח אדם (6)'!$AE$16:$AF$3014,2,0),0)</f>
        <v>0</v>
      </c>
      <c r="I238" s="178">
        <f t="shared" si="22"/>
        <v>0</v>
      </c>
      <c r="J238" s="178">
        <f t="shared" si="23"/>
        <v>0</v>
      </c>
      <c r="K238" s="179" t="str">
        <f t="shared" si="20"/>
        <v/>
      </c>
      <c r="L238" s="718"/>
      <c r="M238" s="180" t="str">
        <f t="shared" si="24"/>
        <v/>
      </c>
      <c r="N238" s="531">
        <f t="shared" si="21"/>
        <v>0</v>
      </c>
      <c r="O238" s="531" t="str">
        <f>IF(C238&lt;&gt;"",C238&amp;'סיווג התפקידים והעלויות'!$C$2,"")</f>
        <v/>
      </c>
      <c r="P238" s="531" t="str">
        <f>IF(C238&lt;&gt;"",C238&amp;'סיווג התפקידים והעלויות'!$D$2,"")</f>
        <v/>
      </c>
    </row>
    <row r="239" spans="2:16" ht="15.75" x14ac:dyDescent="0.25">
      <c r="B239" s="57">
        <v>224</v>
      </c>
      <c r="C239" s="176" t="str">
        <f>IF(VLOOKUP(B239,'דוח ביצוע (3)'!$A$21:$B$520,2,0)="","",VLOOKUP(B239,'דוח ביצוע (3)'!$A$21:$B$520,2,0))</f>
        <v/>
      </c>
      <c r="D239" s="177" t="str">
        <f>IFERROR(VLOOKUP($C:$C,'מצבת והרשמה (2)'!$C$20:$N$520,2,0)," ")</f>
        <v/>
      </c>
      <c r="E239" s="177" t="str">
        <f>IFERROR(VLOOKUP(C239,'דוח ביצוע (3)'!B:V,5,0)," ")</f>
        <v xml:space="preserve"> </v>
      </c>
      <c r="F239" s="177" t="str">
        <f t="shared" si="19"/>
        <v/>
      </c>
      <c r="G239" s="179">
        <f>SUMIFS('עלויות כח אדם (6)'!M:M,'עלויות כח אדם (6)'!B:B,' איוש משרות (8)'!C239,'עלויות כח אדם (6)'!N:N,"רכ")</f>
        <v>0</v>
      </c>
      <c r="H239" s="179">
        <f>IFERROR(VLOOKUP(P239,'עלויות כח אדם (6)'!$AE$16:$AF$3014,2,0),0)</f>
        <v>0</v>
      </c>
      <c r="I239" s="178">
        <f t="shared" si="22"/>
        <v>0</v>
      </c>
      <c r="J239" s="178">
        <f t="shared" si="23"/>
        <v>0</v>
      </c>
      <c r="K239" s="179" t="str">
        <f t="shared" si="20"/>
        <v/>
      </c>
      <c r="L239" s="718"/>
      <c r="M239" s="180" t="str">
        <f t="shared" si="24"/>
        <v/>
      </c>
      <c r="N239" s="531">
        <f t="shared" si="21"/>
        <v>0</v>
      </c>
      <c r="O239" s="531" t="str">
        <f>IF(C239&lt;&gt;"",C239&amp;'סיווג התפקידים והעלויות'!$C$2,"")</f>
        <v/>
      </c>
      <c r="P239" s="531" t="str">
        <f>IF(C239&lt;&gt;"",C239&amp;'סיווג התפקידים והעלויות'!$D$2,"")</f>
        <v/>
      </c>
    </row>
    <row r="240" spans="2:16" ht="15.75" x14ac:dyDescent="0.25">
      <c r="B240" s="176">
        <v>225</v>
      </c>
      <c r="C240" s="176" t="str">
        <f>IF(VLOOKUP(B240,'דוח ביצוע (3)'!$A$21:$B$520,2,0)="","",VLOOKUP(B240,'דוח ביצוע (3)'!$A$21:$B$520,2,0))</f>
        <v/>
      </c>
      <c r="D240" s="177" t="str">
        <f>IFERROR(VLOOKUP($C:$C,'מצבת והרשמה (2)'!$C$20:$N$520,2,0)," ")</f>
        <v/>
      </c>
      <c r="E240" s="177" t="str">
        <f>IFERROR(VLOOKUP(C240,'דוח ביצוע (3)'!B:V,5,0)," ")</f>
        <v xml:space="preserve"> </v>
      </c>
      <c r="F240" s="177" t="str">
        <f t="shared" si="19"/>
        <v/>
      </c>
      <c r="G240" s="179">
        <f>SUMIFS('עלויות כח אדם (6)'!M:M,'עלויות כח אדם (6)'!B:B,' איוש משרות (8)'!C240,'עלויות כח אדם (6)'!N:N,"רכ")</f>
        <v>0</v>
      </c>
      <c r="H240" s="179">
        <f>IFERROR(VLOOKUP(P240,'עלויות כח אדם (6)'!$AE$16:$AF$3014,2,0),0)</f>
        <v>0</v>
      </c>
      <c r="I240" s="178">
        <f t="shared" si="22"/>
        <v>0</v>
      </c>
      <c r="J240" s="178">
        <f t="shared" si="23"/>
        <v>0</v>
      </c>
      <c r="K240" s="179" t="str">
        <f t="shared" si="20"/>
        <v/>
      </c>
      <c r="L240" s="718"/>
      <c r="M240" s="180" t="str">
        <f t="shared" si="24"/>
        <v/>
      </c>
      <c r="N240" s="531">
        <f t="shared" si="21"/>
        <v>0</v>
      </c>
      <c r="O240" s="531" t="str">
        <f>IF(C240&lt;&gt;"",C240&amp;'סיווג התפקידים והעלויות'!$C$2,"")</f>
        <v/>
      </c>
      <c r="P240" s="531" t="str">
        <f>IF(C240&lt;&gt;"",C240&amp;'סיווג התפקידים והעלויות'!$D$2,"")</f>
        <v/>
      </c>
    </row>
    <row r="241" spans="2:16" ht="15.75" x14ac:dyDescent="0.25">
      <c r="B241" s="57">
        <v>226</v>
      </c>
      <c r="C241" s="176" t="str">
        <f>IF(VLOOKUP(B241,'דוח ביצוע (3)'!$A$21:$B$520,2,0)="","",VLOOKUP(B241,'דוח ביצוע (3)'!$A$21:$B$520,2,0))</f>
        <v/>
      </c>
      <c r="D241" s="177" t="str">
        <f>IFERROR(VLOOKUP($C:$C,'מצבת והרשמה (2)'!$C$20:$N$520,2,0)," ")</f>
        <v/>
      </c>
      <c r="E241" s="177" t="str">
        <f>IFERROR(VLOOKUP(C241,'דוח ביצוע (3)'!B:V,5,0)," ")</f>
        <v xml:space="preserve"> </v>
      </c>
      <c r="F241" s="177" t="str">
        <f t="shared" si="19"/>
        <v/>
      </c>
      <c r="G241" s="179">
        <f>SUMIFS('עלויות כח אדם (6)'!M:M,'עלויות כח אדם (6)'!B:B,' איוש משרות (8)'!C241,'עלויות כח אדם (6)'!N:N,"רכ")</f>
        <v>0</v>
      </c>
      <c r="H241" s="179">
        <f>IFERROR(VLOOKUP(P241,'עלויות כח אדם (6)'!$AE$16:$AF$3014,2,0),0)</f>
        <v>0</v>
      </c>
      <c r="I241" s="178">
        <f t="shared" si="22"/>
        <v>0</v>
      </c>
      <c r="J241" s="178">
        <f t="shared" si="23"/>
        <v>0</v>
      </c>
      <c r="K241" s="179" t="str">
        <f t="shared" si="20"/>
        <v/>
      </c>
      <c r="L241" s="718"/>
      <c r="M241" s="180" t="str">
        <f t="shared" si="24"/>
        <v/>
      </c>
      <c r="N241" s="531">
        <f t="shared" si="21"/>
        <v>0</v>
      </c>
      <c r="O241" s="531" t="str">
        <f>IF(C241&lt;&gt;"",C241&amp;'סיווג התפקידים והעלויות'!$C$2,"")</f>
        <v/>
      </c>
      <c r="P241" s="531" t="str">
        <f>IF(C241&lt;&gt;"",C241&amp;'סיווג התפקידים והעלויות'!$D$2,"")</f>
        <v/>
      </c>
    </row>
    <row r="242" spans="2:16" ht="15.75" x14ac:dyDescent="0.25">
      <c r="B242" s="176">
        <v>227</v>
      </c>
      <c r="C242" s="176" t="str">
        <f>IF(VLOOKUP(B242,'דוח ביצוע (3)'!$A$21:$B$520,2,0)="","",VLOOKUP(B242,'דוח ביצוע (3)'!$A$21:$B$520,2,0))</f>
        <v/>
      </c>
      <c r="D242" s="177" t="str">
        <f>IFERROR(VLOOKUP($C:$C,'מצבת והרשמה (2)'!$C$20:$N$520,2,0)," ")</f>
        <v/>
      </c>
      <c r="E242" s="177" t="str">
        <f>IFERROR(VLOOKUP(C242,'דוח ביצוע (3)'!B:V,5,0)," ")</f>
        <v xml:space="preserve"> </v>
      </c>
      <c r="F242" s="177" t="str">
        <f t="shared" si="19"/>
        <v/>
      </c>
      <c r="G242" s="179">
        <f>SUMIFS('עלויות כח אדם (6)'!M:M,'עלויות כח אדם (6)'!B:B,' איוש משרות (8)'!C242,'עלויות כח אדם (6)'!N:N,"רכ")</f>
        <v>0</v>
      </c>
      <c r="H242" s="179">
        <f>IFERROR(VLOOKUP(P242,'עלויות כח אדם (6)'!$AE$16:$AF$3014,2,0),0)</f>
        <v>0</v>
      </c>
      <c r="I242" s="178">
        <f t="shared" si="22"/>
        <v>0</v>
      </c>
      <c r="J242" s="178">
        <f t="shared" si="23"/>
        <v>0</v>
      </c>
      <c r="K242" s="179" t="str">
        <f t="shared" si="20"/>
        <v/>
      </c>
      <c r="L242" s="718"/>
      <c r="M242" s="180" t="str">
        <f t="shared" si="24"/>
        <v/>
      </c>
      <c r="N242" s="531">
        <f t="shared" si="21"/>
        <v>0</v>
      </c>
      <c r="O242" s="531" t="str">
        <f>IF(C242&lt;&gt;"",C242&amp;'סיווג התפקידים והעלויות'!$C$2,"")</f>
        <v/>
      </c>
      <c r="P242" s="531" t="str">
        <f>IF(C242&lt;&gt;"",C242&amp;'סיווג התפקידים והעלויות'!$D$2,"")</f>
        <v/>
      </c>
    </row>
    <row r="243" spans="2:16" ht="15.75" x14ac:dyDescent="0.25">
      <c r="B243" s="57">
        <v>228</v>
      </c>
      <c r="C243" s="176" t="str">
        <f>IF(VLOOKUP(B243,'דוח ביצוע (3)'!$A$21:$B$520,2,0)="","",VLOOKUP(B243,'דוח ביצוע (3)'!$A$21:$B$520,2,0))</f>
        <v/>
      </c>
      <c r="D243" s="177" t="str">
        <f>IFERROR(VLOOKUP($C:$C,'מצבת והרשמה (2)'!$C$20:$N$520,2,0)," ")</f>
        <v/>
      </c>
      <c r="E243" s="177" t="str">
        <f>IFERROR(VLOOKUP(C243,'דוח ביצוע (3)'!B:V,5,0)," ")</f>
        <v xml:space="preserve"> </v>
      </c>
      <c r="F243" s="177" t="str">
        <f t="shared" si="19"/>
        <v/>
      </c>
      <c r="G243" s="179">
        <f>SUMIFS('עלויות כח אדם (6)'!M:M,'עלויות כח אדם (6)'!B:B,' איוש משרות (8)'!C243,'עלויות כח אדם (6)'!N:N,"רכ")</f>
        <v>0</v>
      </c>
      <c r="H243" s="179">
        <f>IFERROR(VLOOKUP(P243,'עלויות כח אדם (6)'!$AE$16:$AF$3014,2,0),0)</f>
        <v>0</v>
      </c>
      <c r="I243" s="178">
        <f t="shared" si="22"/>
        <v>0</v>
      </c>
      <c r="J243" s="178">
        <f t="shared" si="23"/>
        <v>0</v>
      </c>
      <c r="K243" s="179" t="str">
        <f t="shared" si="20"/>
        <v/>
      </c>
      <c r="L243" s="718"/>
      <c r="M243" s="180" t="str">
        <f t="shared" si="24"/>
        <v/>
      </c>
      <c r="N243" s="531">
        <f t="shared" si="21"/>
        <v>0</v>
      </c>
      <c r="O243" s="531" t="str">
        <f>IF(C243&lt;&gt;"",C243&amp;'סיווג התפקידים והעלויות'!$C$2,"")</f>
        <v/>
      </c>
      <c r="P243" s="531" t="str">
        <f>IF(C243&lt;&gt;"",C243&amp;'סיווג התפקידים והעלויות'!$D$2,"")</f>
        <v/>
      </c>
    </row>
    <row r="244" spans="2:16" ht="15.75" x14ac:dyDescent="0.25">
      <c r="B244" s="176">
        <v>229</v>
      </c>
      <c r="C244" s="176" t="str">
        <f>IF(VLOOKUP(B244,'דוח ביצוע (3)'!$A$21:$B$520,2,0)="","",VLOOKUP(B244,'דוח ביצוע (3)'!$A$21:$B$520,2,0))</f>
        <v/>
      </c>
      <c r="D244" s="177" t="str">
        <f>IFERROR(VLOOKUP($C:$C,'מצבת והרשמה (2)'!$C$20:$N$520,2,0)," ")</f>
        <v/>
      </c>
      <c r="E244" s="177" t="str">
        <f>IFERROR(VLOOKUP(C244,'דוח ביצוע (3)'!B:V,5,0)," ")</f>
        <v xml:space="preserve"> </v>
      </c>
      <c r="F244" s="177" t="str">
        <f t="shared" si="19"/>
        <v/>
      </c>
      <c r="G244" s="179">
        <f>SUMIFS('עלויות כח אדם (6)'!M:M,'עלויות כח אדם (6)'!B:B,' איוש משרות (8)'!C244,'עלויות כח אדם (6)'!N:N,"רכ")</f>
        <v>0</v>
      </c>
      <c r="H244" s="179">
        <f>IFERROR(VLOOKUP(P244,'עלויות כח אדם (6)'!$AE$16:$AF$3014,2,0),0)</f>
        <v>0</v>
      </c>
      <c r="I244" s="178">
        <f t="shared" si="22"/>
        <v>0</v>
      </c>
      <c r="J244" s="178">
        <f t="shared" si="23"/>
        <v>0</v>
      </c>
      <c r="K244" s="179" t="str">
        <f t="shared" si="20"/>
        <v/>
      </c>
      <c r="L244" s="718"/>
      <c r="M244" s="180" t="str">
        <f t="shared" si="24"/>
        <v/>
      </c>
      <c r="N244" s="531">
        <f t="shared" si="21"/>
        <v>0</v>
      </c>
      <c r="O244" s="531" t="str">
        <f>IF(C244&lt;&gt;"",C244&amp;'סיווג התפקידים והעלויות'!$C$2,"")</f>
        <v/>
      </c>
      <c r="P244" s="531" t="str">
        <f>IF(C244&lt;&gt;"",C244&amp;'סיווג התפקידים והעלויות'!$D$2,"")</f>
        <v/>
      </c>
    </row>
    <row r="245" spans="2:16" ht="15.75" x14ac:dyDescent="0.25">
      <c r="B245" s="57">
        <v>230</v>
      </c>
      <c r="C245" s="176" t="str">
        <f>IF(VLOOKUP(B245,'דוח ביצוע (3)'!$A$21:$B$520,2,0)="","",VLOOKUP(B245,'דוח ביצוע (3)'!$A$21:$B$520,2,0))</f>
        <v/>
      </c>
      <c r="D245" s="177" t="str">
        <f>IFERROR(VLOOKUP($C:$C,'מצבת והרשמה (2)'!$C$20:$N$520,2,0)," ")</f>
        <v/>
      </c>
      <c r="E245" s="177" t="str">
        <f>IFERROR(VLOOKUP(C245,'דוח ביצוע (3)'!B:V,5,0)," ")</f>
        <v xml:space="preserve"> </v>
      </c>
      <c r="F245" s="177" t="str">
        <f t="shared" si="19"/>
        <v/>
      </c>
      <c r="G245" s="179">
        <f>SUMIFS('עלויות כח אדם (6)'!M:M,'עלויות כח אדם (6)'!B:B,' איוש משרות (8)'!C245,'עלויות כח אדם (6)'!N:N,"רכ")</f>
        <v>0</v>
      </c>
      <c r="H245" s="179">
        <f>IFERROR(VLOOKUP(P245,'עלויות כח אדם (6)'!$AE$16:$AF$3014,2,0),0)</f>
        <v>0</v>
      </c>
      <c r="I245" s="178">
        <f t="shared" si="22"/>
        <v>0</v>
      </c>
      <c r="J245" s="178">
        <f t="shared" si="23"/>
        <v>0</v>
      </c>
      <c r="K245" s="179" t="str">
        <f t="shared" si="20"/>
        <v/>
      </c>
      <c r="L245" s="718"/>
      <c r="M245" s="180" t="str">
        <f t="shared" si="24"/>
        <v/>
      </c>
      <c r="N245" s="531">
        <f t="shared" si="21"/>
        <v>0</v>
      </c>
      <c r="O245" s="531" t="str">
        <f>IF(C245&lt;&gt;"",C245&amp;'סיווג התפקידים והעלויות'!$C$2,"")</f>
        <v/>
      </c>
      <c r="P245" s="531" t="str">
        <f>IF(C245&lt;&gt;"",C245&amp;'סיווג התפקידים והעלויות'!$D$2,"")</f>
        <v/>
      </c>
    </row>
    <row r="246" spans="2:16" ht="15.75" x14ac:dyDescent="0.25">
      <c r="B246" s="176">
        <v>231</v>
      </c>
      <c r="C246" s="176" t="str">
        <f>IF(VLOOKUP(B246,'דוח ביצוע (3)'!$A$21:$B$520,2,0)="","",VLOOKUP(B246,'דוח ביצוע (3)'!$A$21:$B$520,2,0))</f>
        <v/>
      </c>
      <c r="D246" s="177" t="str">
        <f>IFERROR(VLOOKUP($C:$C,'מצבת והרשמה (2)'!$C$20:$N$520,2,0)," ")</f>
        <v/>
      </c>
      <c r="E246" s="177" t="str">
        <f>IFERROR(VLOOKUP(C246,'דוח ביצוע (3)'!B:V,5,0)," ")</f>
        <v xml:space="preserve"> </v>
      </c>
      <c r="F246" s="177" t="str">
        <f t="shared" si="19"/>
        <v/>
      </c>
      <c r="G246" s="179">
        <f>SUMIFS('עלויות כח אדם (6)'!M:M,'עלויות כח אדם (6)'!B:B,' איוש משרות (8)'!C246,'עלויות כח אדם (6)'!N:N,"רכ")</f>
        <v>0</v>
      </c>
      <c r="H246" s="179">
        <f>IFERROR(VLOOKUP(P246,'עלויות כח אדם (6)'!$AE$16:$AF$3014,2,0),0)</f>
        <v>0</v>
      </c>
      <c r="I246" s="178">
        <f t="shared" si="22"/>
        <v>0</v>
      </c>
      <c r="J246" s="178">
        <f t="shared" si="23"/>
        <v>0</v>
      </c>
      <c r="K246" s="179" t="str">
        <f t="shared" si="20"/>
        <v/>
      </c>
      <c r="L246" s="718"/>
      <c r="M246" s="180" t="str">
        <f t="shared" si="24"/>
        <v/>
      </c>
      <c r="N246" s="531">
        <f t="shared" si="21"/>
        <v>0</v>
      </c>
      <c r="O246" s="531" t="str">
        <f>IF(C246&lt;&gt;"",C246&amp;'סיווג התפקידים והעלויות'!$C$2,"")</f>
        <v/>
      </c>
      <c r="P246" s="531" t="str">
        <f>IF(C246&lt;&gt;"",C246&amp;'סיווג התפקידים והעלויות'!$D$2,"")</f>
        <v/>
      </c>
    </row>
    <row r="247" spans="2:16" ht="15.75" x14ac:dyDescent="0.25">
      <c r="B247" s="57">
        <v>232</v>
      </c>
      <c r="C247" s="176" t="str">
        <f>IF(VLOOKUP(B247,'דוח ביצוע (3)'!$A$21:$B$520,2,0)="","",VLOOKUP(B247,'דוח ביצוע (3)'!$A$21:$B$520,2,0))</f>
        <v/>
      </c>
      <c r="D247" s="177" t="str">
        <f>IFERROR(VLOOKUP($C:$C,'מצבת והרשמה (2)'!$C$20:$N$520,2,0)," ")</f>
        <v/>
      </c>
      <c r="E247" s="177" t="str">
        <f>IFERROR(VLOOKUP(C247,'דוח ביצוע (3)'!B:V,5,0)," ")</f>
        <v xml:space="preserve"> </v>
      </c>
      <c r="F247" s="177" t="str">
        <f t="shared" si="19"/>
        <v/>
      </c>
      <c r="G247" s="179">
        <f>SUMIFS('עלויות כח אדם (6)'!M:M,'עלויות כח אדם (6)'!B:B,' איוש משרות (8)'!C247,'עלויות כח אדם (6)'!N:N,"רכ")</f>
        <v>0</v>
      </c>
      <c r="H247" s="179">
        <f>IFERROR(VLOOKUP(P247,'עלויות כח אדם (6)'!$AE$16:$AF$3014,2,0),0)</f>
        <v>0</v>
      </c>
      <c r="I247" s="178">
        <f t="shared" si="22"/>
        <v>0</v>
      </c>
      <c r="J247" s="178">
        <f t="shared" si="23"/>
        <v>0</v>
      </c>
      <c r="K247" s="179" t="str">
        <f t="shared" si="20"/>
        <v/>
      </c>
      <c r="L247" s="718"/>
      <c r="M247" s="180" t="str">
        <f t="shared" si="24"/>
        <v/>
      </c>
      <c r="N247" s="531">
        <f t="shared" si="21"/>
        <v>0</v>
      </c>
      <c r="O247" s="531" t="str">
        <f>IF(C247&lt;&gt;"",C247&amp;'סיווג התפקידים והעלויות'!$C$2,"")</f>
        <v/>
      </c>
      <c r="P247" s="531" t="str">
        <f>IF(C247&lt;&gt;"",C247&amp;'סיווג התפקידים והעלויות'!$D$2,"")</f>
        <v/>
      </c>
    </row>
    <row r="248" spans="2:16" ht="15.75" x14ac:dyDescent="0.25">
      <c r="B248" s="176">
        <v>233</v>
      </c>
      <c r="C248" s="176" t="str">
        <f>IF(VLOOKUP(B248,'דוח ביצוע (3)'!$A$21:$B$520,2,0)="","",VLOOKUP(B248,'דוח ביצוע (3)'!$A$21:$B$520,2,0))</f>
        <v/>
      </c>
      <c r="D248" s="177" t="str">
        <f>IFERROR(VLOOKUP($C:$C,'מצבת והרשמה (2)'!$C$20:$N$520,2,0)," ")</f>
        <v/>
      </c>
      <c r="E248" s="177" t="str">
        <f>IFERROR(VLOOKUP(C248,'דוח ביצוע (3)'!B:V,5,0)," ")</f>
        <v xml:space="preserve"> </v>
      </c>
      <c r="F248" s="177" t="str">
        <f t="shared" si="19"/>
        <v/>
      </c>
      <c r="G248" s="179">
        <f>SUMIFS('עלויות כח אדם (6)'!M:M,'עלויות כח אדם (6)'!B:B,' איוש משרות (8)'!C248,'עלויות כח אדם (6)'!N:N,"רכ")</f>
        <v>0</v>
      </c>
      <c r="H248" s="179">
        <f>IFERROR(VLOOKUP(P248,'עלויות כח אדם (6)'!$AE$16:$AF$3014,2,0),0)</f>
        <v>0</v>
      </c>
      <c r="I248" s="178">
        <f t="shared" si="22"/>
        <v>0</v>
      </c>
      <c r="J248" s="178">
        <f t="shared" si="23"/>
        <v>0</v>
      </c>
      <c r="K248" s="179" t="str">
        <f t="shared" si="20"/>
        <v/>
      </c>
      <c r="L248" s="718"/>
      <c r="M248" s="180" t="str">
        <f t="shared" si="24"/>
        <v/>
      </c>
      <c r="N248" s="531">
        <f t="shared" si="21"/>
        <v>0</v>
      </c>
      <c r="O248" s="531" t="str">
        <f>IF(C248&lt;&gt;"",C248&amp;'סיווג התפקידים והעלויות'!$C$2,"")</f>
        <v/>
      </c>
      <c r="P248" s="531" t="str">
        <f>IF(C248&lt;&gt;"",C248&amp;'סיווג התפקידים והעלויות'!$D$2,"")</f>
        <v/>
      </c>
    </row>
    <row r="249" spans="2:16" ht="15.75" x14ac:dyDescent="0.25">
      <c r="B249" s="57">
        <v>234</v>
      </c>
      <c r="C249" s="176" t="str">
        <f>IF(VLOOKUP(B249,'דוח ביצוע (3)'!$A$21:$B$520,2,0)="","",VLOOKUP(B249,'דוח ביצוע (3)'!$A$21:$B$520,2,0))</f>
        <v/>
      </c>
      <c r="D249" s="177" t="str">
        <f>IFERROR(VLOOKUP($C:$C,'מצבת והרשמה (2)'!$C$20:$N$520,2,0)," ")</f>
        <v/>
      </c>
      <c r="E249" s="177" t="str">
        <f>IFERROR(VLOOKUP(C249,'דוח ביצוע (3)'!B:V,5,0)," ")</f>
        <v xml:space="preserve"> </v>
      </c>
      <c r="F249" s="177" t="str">
        <f t="shared" si="19"/>
        <v/>
      </c>
      <c r="G249" s="179">
        <f>SUMIFS('עלויות כח אדם (6)'!M:M,'עלויות כח אדם (6)'!B:B,' איוש משרות (8)'!C249,'עלויות כח אדם (6)'!N:N,"רכ")</f>
        <v>0</v>
      </c>
      <c r="H249" s="179">
        <f>IFERROR(VLOOKUP(P249,'עלויות כח אדם (6)'!$AE$16:$AF$3014,2,0),0)</f>
        <v>0</v>
      </c>
      <c r="I249" s="178">
        <f t="shared" si="22"/>
        <v>0</v>
      </c>
      <c r="J249" s="178">
        <f t="shared" si="23"/>
        <v>0</v>
      </c>
      <c r="K249" s="179" t="str">
        <f t="shared" si="20"/>
        <v/>
      </c>
      <c r="L249" s="718"/>
      <c r="M249" s="180" t="str">
        <f t="shared" si="24"/>
        <v/>
      </c>
      <c r="N249" s="531">
        <f t="shared" si="21"/>
        <v>0</v>
      </c>
      <c r="O249" s="531" t="str">
        <f>IF(C249&lt;&gt;"",C249&amp;'סיווג התפקידים והעלויות'!$C$2,"")</f>
        <v/>
      </c>
      <c r="P249" s="531" t="str">
        <f>IF(C249&lt;&gt;"",C249&amp;'סיווג התפקידים והעלויות'!$D$2,"")</f>
        <v/>
      </c>
    </row>
    <row r="250" spans="2:16" ht="15.75" x14ac:dyDescent="0.25">
      <c r="B250" s="176">
        <v>235</v>
      </c>
      <c r="C250" s="176" t="str">
        <f>IF(VLOOKUP(B250,'דוח ביצוע (3)'!$A$21:$B$520,2,0)="","",VLOOKUP(B250,'דוח ביצוע (3)'!$A$21:$B$520,2,0))</f>
        <v/>
      </c>
      <c r="D250" s="177" t="str">
        <f>IFERROR(VLOOKUP($C:$C,'מצבת והרשמה (2)'!$C$20:$N$520,2,0)," ")</f>
        <v/>
      </c>
      <c r="E250" s="177" t="str">
        <f>IFERROR(VLOOKUP(C250,'דוח ביצוע (3)'!B:V,5,0)," ")</f>
        <v xml:space="preserve"> </v>
      </c>
      <c r="F250" s="177" t="str">
        <f t="shared" si="19"/>
        <v/>
      </c>
      <c r="G250" s="179">
        <f>SUMIFS('עלויות כח אדם (6)'!M:M,'עלויות כח אדם (6)'!B:B,' איוש משרות (8)'!C250,'עלויות כח אדם (6)'!N:N,"רכ")</f>
        <v>0</v>
      </c>
      <c r="H250" s="179">
        <f>IFERROR(VLOOKUP(P250,'עלויות כח אדם (6)'!$AE$16:$AF$3014,2,0),0)</f>
        <v>0</v>
      </c>
      <c r="I250" s="178">
        <f t="shared" si="22"/>
        <v>0</v>
      </c>
      <c r="J250" s="178">
        <f t="shared" si="23"/>
        <v>0</v>
      </c>
      <c r="K250" s="179" t="str">
        <f t="shared" si="20"/>
        <v/>
      </c>
      <c r="L250" s="718"/>
      <c r="M250" s="180" t="str">
        <f t="shared" si="24"/>
        <v/>
      </c>
      <c r="N250" s="531">
        <f t="shared" si="21"/>
        <v>0</v>
      </c>
      <c r="O250" s="531" t="str">
        <f>IF(C250&lt;&gt;"",C250&amp;'סיווג התפקידים והעלויות'!$C$2,"")</f>
        <v/>
      </c>
      <c r="P250" s="531" t="str">
        <f>IF(C250&lt;&gt;"",C250&amp;'סיווג התפקידים והעלויות'!$D$2,"")</f>
        <v/>
      </c>
    </row>
    <row r="251" spans="2:16" ht="15.75" x14ac:dyDescent="0.25">
      <c r="B251" s="57">
        <v>236</v>
      </c>
      <c r="C251" s="176" t="str">
        <f>IF(VLOOKUP(B251,'דוח ביצוע (3)'!$A$21:$B$520,2,0)="","",VLOOKUP(B251,'דוח ביצוע (3)'!$A$21:$B$520,2,0))</f>
        <v/>
      </c>
      <c r="D251" s="177" t="str">
        <f>IFERROR(VLOOKUP($C:$C,'מצבת והרשמה (2)'!$C$20:$N$520,2,0)," ")</f>
        <v/>
      </c>
      <c r="E251" s="177" t="str">
        <f>IFERROR(VLOOKUP(C251,'דוח ביצוע (3)'!B:V,5,0)," ")</f>
        <v xml:space="preserve"> </v>
      </c>
      <c r="F251" s="177" t="str">
        <f t="shared" si="19"/>
        <v/>
      </c>
      <c r="G251" s="179">
        <f>SUMIFS('עלויות כח אדם (6)'!M:M,'עלויות כח אדם (6)'!B:B,' איוש משרות (8)'!C251,'עלויות כח אדם (6)'!N:N,"רכ")</f>
        <v>0</v>
      </c>
      <c r="H251" s="179">
        <f>IFERROR(VLOOKUP(P251,'עלויות כח אדם (6)'!$AE$16:$AF$3014,2,0),0)</f>
        <v>0</v>
      </c>
      <c r="I251" s="178">
        <f t="shared" si="22"/>
        <v>0</v>
      </c>
      <c r="J251" s="178">
        <f t="shared" si="23"/>
        <v>0</v>
      </c>
      <c r="K251" s="179" t="str">
        <f t="shared" si="20"/>
        <v/>
      </c>
      <c r="L251" s="718"/>
      <c r="M251" s="180" t="str">
        <f t="shared" si="24"/>
        <v/>
      </c>
      <c r="N251" s="531">
        <f t="shared" si="21"/>
        <v>0</v>
      </c>
      <c r="O251" s="531" t="str">
        <f>IF(C251&lt;&gt;"",C251&amp;'סיווג התפקידים והעלויות'!$C$2,"")</f>
        <v/>
      </c>
      <c r="P251" s="531" t="str">
        <f>IF(C251&lt;&gt;"",C251&amp;'סיווג התפקידים והעלויות'!$D$2,"")</f>
        <v/>
      </c>
    </row>
    <row r="252" spans="2:16" ht="15.75" x14ac:dyDescent="0.25">
      <c r="B252" s="176">
        <v>237</v>
      </c>
      <c r="C252" s="176" t="str">
        <f>IF(VLOOKUP(B252,'דוח ביצוע (3)'!$A$21:$B$520,2,0)="","",VLOOKUP(B252,'דוח ביצוע (3)'!$A$21:$B$520,2,0))</f>
        <v/>
      </c>
      <c r="D252" s="177" t="str">
        <f>IFERROR(VLOOKUP($C:$C,'מצבת והרשמה (2)'!$C$20:$N$520,2,0)," ")</f>
        <v/>
      </c>
      <c r="E252" s="177" t="str">
        <f>IFERROR(VLOOKUP(C252,'דוח ביצוע (3)'!B:V,5,0)," ")</f>
        <v xml:space="preserve"> </v>
      </c>
      <c r="F252" s="177" t="str">
        <f t="shared" si="19"/>
        <v/>
      </c>
      <c r="G252" s="179">
        <f>SUMIFS('עלויות כח אדם (6)'!M:M,'עלויות כח אדם (6)'!B:B,' איוש משרות (8)'!C252,'עלויות כח אדם (6)'!N:N,"רכ")</f>
        <v>0</v>
      </c>
      <c r="H252" s="179">
        <f>IFERROR(VLOOKUP(P252,'עלויות כח אדם (6)'!$AE$16:$AF$3014,2,0),0)</f>
        <v>0</v>
      </c>
      <c r="I252" s="178">
        <f t="shared" si="22"/>
        <v>0</v>
      </c>
      <c r="J252" s="178">
        <f t="shared" si="23"/>
        <v>0</v>
      </c>
      <c r="K252" s="179" t="str">
        <f t="shared" si="20"/>
        <v/>
      </c>
      <c r="L252" s="718"/>
      <c r="M252" s="180" t="str">
        <f t="shared" si="24"/>
        <v/>
      </c>
      <c r="N252" s="531">
        <f t="shared" si="21"/>
        <v>0</v>
      </c>
      <c r="O252" s="531" t="str">
        <f>IF(C252&lt;&gt;"",C252&amp;'סיווג התפקידים והעלויות'!$C$2,"")</f>
        <v/>
      </c>
      <c r="P252" s="531" t="str">
        <f>IF(C252&lt;&gt;"",C252&amp;'סיווג התפקידים והעלויות'!$D$2,"")</f>
        <v/>
      </c>
    </row>
    <row r="253" spans="2:16" ht="15.75" x14ac:dyDescent="0.25">
      <c r="B253" s="57">
        <v>238</v>
      </c>
      <c r="C253" s="176" t="str">
        <f>IF(VLOOKUP(B253,'דוח ביצוע (3)'!$A$21:$B$520,2,0)="","",VLOOKUP(B253,'דוח ביצוע (3)'!$A$21:$B$520,2,0))</f>
        <v/>
      </c>
      <c r="D253" s="177" t="str">
        <f>IFERROR(VLOOKUP($C:$C,'מצבת והרשמה (2)'!$C$20:$N$520,2,0)," ")</f>
        <v/>
      </c>
      <c r="E253" s="177" t="str">
        <f>IFERROR(VLOOKUP(C253,'דוח ביצוע (3)'!B:V,5,0)," ")</f>
        <v xml:space="preserve"> </v>
      </c>
      <c r="F253" s="177" t="str">
        <f t="shared" si="19"/>
        <v/>
      </c>
      <c r="G253" s="179">
        <f>SUMIFS('עלויות כח אדם (6)'!M:M,'עלויות כח אדם (6)'!B:B,' איוש משרות (8)'!C253,'עלויות כח אדם (6)'!N:N,"רכ")</f>
        <v>0</v>
      </c>
      <c r="H253" s="179">
        <f>IFERROR(VLOOKUP(P253,'עלויות כח אדם (6)'!$AE$16:$AF$3014,2,0),0)</f>
        <v>0</v>
      </c>
      <c r="I253" s="178">
        <f t="shared" si="22"/>
        <v>0</v>
      </c>
      <c r="J253" s="178">
        <f t="shared" si="23"/>
        <v>0</v>
      </c>
      <c r="K253" s="179" t="str">
        <f t="shared" si="20"/>
        <v/>
      </c>
      <c r="L253" s="718"/>
      <c r="M253" s="180" t="str">
        <f t="shared" si="24"/>
        <v/>
      </c>
      <c r="N253" s="531">
        <f t="shared" si="21"/>
        <v>0</v>
      </c>
      <c r="O253" s="531" t="str">
        <f>IF(C253&lt;&gt;"",C253&amp;'סיווג התפקידים והעלויות'!$C$2,"")</f>
        <v/>
      </c>
      <c r="P253" s="531" t="str">
        <f>IF(C253&lt;&gt;"",C253&amp;'סיווג התפקידים והעלויות'!$D$2,"")</f>
        <v/>
      </c>
    </row>
    <row r="254" spans="2:16" ht="15.75" x14ac:dyDescent="0.25">
      <c r="B254" s="176">
        <v>239</v>
      </c>
      <c r="C254" s="176" t="str">
        <f>IF(VLOOKUP(B254,'דוח ביצוע (3)'!$A$21:$B$520,2,0)="","",VLOOKUP(B254,'דוח ביצוע (3)'!$A$21:$B$520,2,0))</f>
        <v/>
      </c>
      <c r="D254" s="177" t="str">
        <f>IFERROR(VLOOKUP($C:$C,'מצבת והרשמה (2)'!$C$20:$N$520,2,0)," ")</f>
        <v/>
      </c>
      <c r="E254" s="177" t="str">
        <f>IFERROR(VLOOKUP(C254,'דוח ביצוע (3)'!B:V,5,0)," ")</f>
        <v xml:space="preserve"> </v>
      </c>
      <c r="F254" s="177" t="str">
        <f t="shared" si="19"/>
        <v/>
      </c>
      <c r="G254" s="179">
        <f>SUMIFS('עלויות כח אדם (6)'!M:M,'עלויות כח אדם (6)'!B:B,' איוש משרות (8)'!C254,'עלויות כח אדם (6)'!N:N,"רכ")</f>
        <v>0</v>
      </c>
      <c r="H254" s="179">
        <f>IFERROR(VLOOKUP(P254,'עלויות כח אדם (6)'!$AE$16:$AF$3014,2,0),0)</f>
        <v>0</v>
      </c>
      <c r="I254" s="178">
        <f t="shared" si="22"/>
        <v>0</v>
      </c>
      <c r="J254" s="178">
        <f t="shared" si="23"/>
        <v>0</v>
      </c>
      <c r="K254" s="179" t="str">
        <f t="shared" si="20"/>
        <v/>
      </c>
      <c r="L254" s="718"/>
      <c r="M254" s="180" t="str">
        <f t="shared" si="24"/>
        <v/>
      </c>
      <c r="N254" s="531">
        <f t="shared" si="21"/>
        <v>0</v>
      </c>
      <c r="O254" s="531" t="str">
        <f>IF(C254&lt;&gt;"",C254&amp;'סיווג התפקידים והעלויות'!$C$2,"")</f>
        <v/>
      </c>
      <c r="P254" s="531" t="str">
        <f>IF(C254&lt;&gt;"",C254&amp;'סיווג התפקידים והעלויות'!$D$2,"")</f>
        <v/>
      </c>
    </row>
    <row r="255" spans="2:16" ht="15.75" x14ac:dyDescent="0.25">
      <c r="B255" s="57">
        <v>240</v>
      </c>
      <c r="C255" s="176" t="str">
        <f>IF(VLOOKUP(B255,'דוח ביצוע (3)'!$A$21:$B$520,2,0)="","",VLOOKUP(B255,'דוח ביצוע (3)'!$A$21:$B$520,2,0))</f>
        <v/>
      </c>
      <c r="D255" s="177" t="str">
        <f>IFERROR(VLOOKUP($C:$C,'מצבת והרשמה (2)'!$C$20:$N$520,2,0)," ")</f>
        <v/>
      </c>
      <c r="E255" s="177" t="str">
        <f>IFERROR(VLOOKUP(C255,'דוח ביצוע (3)'!B:V,5,0)," ")</f>
        <v xml:space="preserve"> </v>
      </c>
      <c r="F255" s="177" t="str">
        <f t="shared" si="19"/>
        <v/>
      </c>
      <c r="G255" s="179">
        <f>SUMIFS('עלויות כח אדם (6)'!M:M,'עלויות כח אדם (6)'!B:B,' איוש משרות (8)'!C255,'עלויות כח אדם (6)'!N:N,"רכ")</f>
        <v>0</v>
      </c>
      <c r="H255" s="179">
        <f>IFERROR(VLOOKUP(P255,'עלויות כח אדם (6)'!$AE$16:$AF$3014,2,0),0)</f>
        <v>0</v>
      </c>
      <c r="I255" s="178">
        <f t="shared" si="22"/>
        <v>0</v>
      </c>
      <c r="J255" s="178">
        <f t="shared" si="23"/>
        <v>0</v>
      </c>
      <c r="K255" s="179" t="str">
        <f t="shared" si="20"/>
        <v/>
      </c>
      <c r="L255" s="718"/>
      <c r="M255" s="180" t="str">
        <f t="shared" si="24"/>
        <v/>
      </c>
      <c r="N255" s="531">
        <f t="shared" si="21"/>
        <v>0</v>
      </c>
      <c r="O255" s="531" t="str">
        <f>IF(C255&lt;&gt;"",C255&amp;'סיווג התפקידים והעלויות'!$C$2,"")</f>
        <v/>
      </c>
      <c r="P255" s="531" t="str">
        <f>IF(C255&lt;&gt;"",C255&amp;'סיווג התפקידים והעלויות'!$D$2,"")</f>
        <v/>
      </c>
    </row>
    <row r="256" spans="2:16" ht="15.75" x14ac:dyDescent="0.25">
      <c r="B256" s="176">
        <v>241</v>
      </c>
      <c r="C256" s="176" t="str">
        <f>IF(VLOOKUP(B256,'דוח ביצוע (3)'!$A$21:$B$520,2,0)="","",VLOOKUP(B256,'דוח ביצוע (3)'!$A$21:$B$520,2,0))</f>
        <v/>
      </c>
      <c r="D256" s="177" t="str">
        <f>IFERROR(VLOOKUP($C:$C,'מצבת והרשמה (2)'!$C$20:$N$520,2,0)," ")</f>
        <v/>
      </c>
      <c r="E256" s="177" t="str">
        <f>IFERROR(VLOOKUP(C256,'דוח ביצוע (3)'!B:V,5,0)," ")</f>
        <v xml:space="preserve"> </v>
      </c>
      <c r="F256" s="177" t="str">
        <f t="shared" si="19"/>
        <v/>
      </c>
      <c r="G256" s="179">
        <f>SUMIFS('עלויות כח אדם (6)'!M:M,'עלויות כח אדם (6)'!B:B,' איוש משרות (8)'!C256,'עלויות כח אדם (6)'!N:N,"רכ")</f>
        <v>0</v>
      </c>
      <c r="H256" s="179">
        <f>IFERROR(VLOOKUP(P256,'עלויות כח אדם (6)'!$AE$16:$AF$3014,2,0),0)</f>
        <v>0</v>
      </c>
      <c r="I256" s="178">
        <f t="shared" si="22"/>
        <v>0</v>
      </c>
      <c r="J256" s="178">
        <f t="shared" si="23"/>
        <v>0</v>
      </c>
      <c r="K256" s="179" t="str">
        <f t="shared" si="20"/>
        <v/>
      </c>
      <c r="L256" s="718"/>
      <c r="M256" s="180" t="str">
        <f t="shared" si="24"/>
        <v/>
      </c>
      <c r="N256" s="531">
        <f t="shared" si="21"/>
        <v>0</v>
      </c>
      <c r="O256" s="531" t="str">
        <f>IF(C256&lt;&gt;"",C256&amp;'סיווג התפקידים והעלויות'!$C$2,"")</f>
        <v/>
      </c>
      <c r="P256" s="531" t="str">
        <f>IF(C256&lt;&gt;"",C256&amp;'סיווג התפקידים והעלויות'!$D$2,"")</f>
        <v/>
      </c>
    </row>
    <row r="257" spans="2:16" ht="15.75" x14ac:dyDescent="0.25">
      <c r="B257" s="57">
        <v>242</v>
      </c>
      <c r="C257" s="176" t="str">
        <f>IF(VLOOKUP(B257,'דוח ביצוע (3)'!$A$21:$B$520,2,0)="","",VLOOKUP(B257,'דוח ביצוע (3)'!$A$21:$B$520,2,0))</f>
        <v/>
      </c>
      <c r="D257" s="177" t="str">
        <f>IFERROR(VLOOKUP($C:$C,'מצבת והרשמה (2)'!$C$20:$N$520,2,0)," ")</f>
        <v/>
      </c>
      <c r="E257" s="177" t="str">
        <f>IFERROR(VLOOKUP(C257,'דוח ביצוע (3)'!B:V,5,0)," ")</f>
        <v xml:space="preserve"> </v>
      </c>
      <c r="F257" s="177" t="str">
        <f t="shared" si="19"/>
        <v/>
      </c>
      <c r="G257" s="179">
        <f>SUMIFS('עלויות כח אדם (6)'!M:M,'עלויות כח אדם (6)'!B:B,' איוש משרות (8)'!C257,'עלויות כח אדם (6)'!N:N,"רכ")</f>
        <v>0</v>
      </c>
      <c r="H257" s="179">
        <f>IFERROR(VLOOKUP(P257,'עלויות כח אדם (6)'!$AE$16:$AF$3014,2,0),0)</f>
        <v>0</v>
      </c>
      <c r="I257" s="178">
        <f t="shared" si="22"/>
        <v>0</v>
      </c>
      <c r="J257" s="178">
        <f t="shared" si="23"/>
        <v>0</v>
      </c>
      <c r="K257" s="179" t="str">
        <f t="shared" si="20"/>
        <v/>
      </c>
      <c r="L257" s="718"/>
      <c r="M257" s="180" t="str">
        <f t="shared" si="24"/>
        <v/>
      </c>
      <c r="N257" s="531">
        <f t="shared" si="21"/>
        <v>0</v>
      </c>
      <c r="O257" s="531" t="str">
        <f>IF(C257&lt;&gt;"",C257&amp;'סיווג התפקידים והעלויות'!$C$2,"")</f>
        <v/>
      </c>
      <c r="P257" s="531" t="str">
        <f>IF(C257&lt;&gt;"",C257&amp;'סיווג התפקידים והעלויות'!$D$2,"")</f>
        <v/>
      </c>
    </row>
    <row r="258" spans="2:16" ht="15.75" x14ac:dyDescent="0.25">
      <c r="B258" s="176">
        <v>243</v>
      </c>
      <c r="C258" s="176" t="str">
        <f>IF(VLOOKUP(B258,'דוח ביצוע (3)'!$A$21:$B$520,2,0)="","",VLOOKUP(B258,'דוח ביצוע (3)'!$A$21:$B$520,2,0))</f>
        <v/>
      </c>
      <c r="D258" s="177" t="str">
        <f>IFERROR(VLOOKUP($C:$C,'מצבת והרשמה (2)'!$C$20:$N$520,2,0)," ")</f>
        <v/>
      </c>
      <c r="E258" s="177" t="str">
        <f>IFERROR(VLOOKUP(C258,'דוח ביצוע (3)'!B:V,5,0)," ")</f>
        <v xml:space="preserve"> </v>
      </c>
      <c r="F258" s="177" t="str">
        <f t="shared" si="19"/>
        <v/>
      </c>
      <c r="G258" s="179">
        <f>SUMIFS('עלויות כח אדם (6)'!M:M,'עלויות כח אדם (6)'!B:B,' איוש משרות (8)'!C258,'עלויות כח אדם (6)'!N:N,"רכ")</f>
        <v>0</v>
      </c>
      <c r="H258" s="179">
        <f>IFERROR(VLOOKUP(P258,'עלויות כח אדם (6)'!$AE$16:$AF$3014,2,0),0)</f>
        <v>0</v>
      </c>
      <c r="I258" s="178">
        <f t="shared" si="22"/>
        <v>0</v>
      </c>
      <c r="J258" s="178">
        <f t="shared" si="23"/>
        <v>0</v>
      </c>
      <c r="K258" s="179" t="str">
        <f t="shared" si="20"/>
        <v/>
      </c>
      <c r="L258" s="718"/>
      <c r="M258" s="180" t="str">
        <f t="shared" si="24"/>
        <v/>
      </c>
      <c r="N258" s="531">
        <f t="shared" si="21"/>
        <v>0</v>
      </c>
      <c r="O258" s="531" t="str">
        <f>IF(C258&lt;&gt;"",C258&amp;'סיווג התפקידים והעלויות'!$C$2,"")</f>
        <v/>
      </c>
      <c r="P258" s="531" t="str">
        <f>IF(C258&lt;&gt;"",C258&amp;'סיווג התפקידים והעלויות'!$D$2,"")</f>
        <v/>
      </c>
    </row>
    <row r="259" spans="2:16" ht="15.75" x14ac:dyDescent="0.25">
      <c r="B259" s="57">
        <v>244</v>
      </c>
      <c r="C259" s="176" t="str">
        <f>IF(VLOOKUP(B259,'דוח ביצוע (3)'!$A$21:$B$520,2,0)="","",VLOOKUP(B259,'דוח ביצוע (3)'!$A$21:$B$520,2,0))</f>
        <v/>
      </c>
      <c r="D259" s="177" t="str">
        <f>IFERROR(VLOOKUP($C:$C,'מצבת והרשמה (2)'!$C$20:$N$520,2,0)," ")</f>
        <v/>
      </c>
      <c r="E259" s="177" t="str">
        <f>IFERROR(VLOOKUP(C259,'דוח ביצוע (3)'!B:V,5,0)," ")</f>
        <v xml:space="preserve"> </v>
      </c>
      <c r="F259" s="177" t="str">
        <f t="shared" si="19"/>
        <v/>
      </c>
      <c r="G259" s="179">
        <f>SUMIFS('עלויות כח אדם (6)'!M:M,'עלויות כח אדם (6)'!B:B,' איוש משרות (8)'!C259,'עלויות כח אדם (6)'!N:N,"רכ")</f>
        <v>0</v>
      </c>
      <c r="H259" s="179">
        <f>IFERROR(VLOOKUP(P259,'עלויות כח אדם (6)'!$AE$16:$AF$3014,2,0),0)</f>
        <v>0</v>
      </c>
      <c r="I259" s="178">
        <f t="shared" si="22"/>
        <v>0</v>
      </c>
      <c r="J259" s="178">
        <f t="shared" si="23"/>
        <v>0</v>
      </c>
      <c r="K259" s="179" t="str">
        <f t="shared" si="20"/>
        <v/>
      </c>
      <c r="L259" s="718"/>
      <c r="M259" s="180" t="str">
        <f t="shared" si="24"/>
        <v/>
      </c>
      <c r="N259" s="531">
        <f t="shared" si="21"/>
        <v>0</v>
      </c>
      <c r="O259" s="531" t="str">
        <f>IF(C259&lt;&gt;"",C259&amp;'סיווג התפקידים והעלויות'!$C$2,"")</f>
        <v/>
      </c>
      <c r="P259" s="531" t="str">
        <f>IF(C259&lt;&gt;"",C259&amp;'סיווג התפקידים והעלויות'!$D$2,"")</f>
        <v/>
      </c>
    </row>
    <row r="260" spans="2:16" ht="15.75" x14ac:dyDescent="0.25">
      <c r="B260" s="176">
        <v>245</v>
      </c>
      <c r="C260" s="176" t="str">
        <f>IF(VLOOKUP(B260,'דוח ביצוע (3)'!$A$21:$B$520,2,0)="","",VLOOKUP(B260,'דוח ביצוע (3)'!$A$21:$B$520,2,0))</f>
        <v/>
      </c>
      <c r="D260" s="177" t="str">
        <f>IFERROR(VLOOKUP($C:$C,'מצבת והרשמה (2)'!$C$20:$N$520,2,0)," ")</f>
        <v/>
      </c>
      <c r="E260" s="177" t="str">
        <f>IFERROR(VLOOKUP(C260,'דוח ביצוע (3)'!B:V,5,0)," ")</f>
        <v xml:space="preserve"> </v>
      </c>
      <c r="F260" s="177" t="str">
        <f t="shared" si="19"/>
        <v/>
      </c>
      <c r="G260" s="179">
        <f>SUMIFS('עלויות כח אדם (6)'!M:M,'עלויות כח אדם (6)'!B:B,' איוש משרות (8)'!C260,'עלויות כח אדם (6)'!N:N,"רכ")</f>
        <v>0</v>
      </c>
      <c r="H260" s="179">
        <f>IFERROR(VLOOKUP(P260,'עלויות כח אדם (6)'!$AE$16:$AF$3014,2,0),0)</f>
        <v>0</v>
      </c>
      <c r="I260" s="178">
        <f t="shared" si="22"/>
        <v>0</v>
      </c>
      <c r="J260" s="178">
        <f t="shared" si="23"/>
        <v>0</v>
      </c>
      <c r="K260" s="179" t="str">
        <f t="shared" si="20"/>
        <v/>
      </c>
      <c r="L260" s="718"/>
      <c r="M260" s="180" t="str">
        <f t="shared" si="24"/>
        <v/>
      </c>
      <c r="N260" s="531">
        <f t="shared" si="21"/>
        <v>0</v>
      </c>
      <c r="O260" s="531" t="str">
        <f>IF(C260&lt;&gt;"",C260&amp;'סיווג התפקידים והעלויות'!$C$2,"")</f>
        <v/>
      </c>
      <c r="P260" s="531" t="str">
        <f>IF(C260&lt;&gt;"",C260&amp;'סיווג התפקידים והעלויות'!$D$2,"")</f>
        <v/>
      </c>
    </row>
    <row r="261" spans="2:16" ht="15.75" x14ac:dyDescent="0.25">
      <c r="B261" s="57">
        <v>246</v>
      </c>
      <c r="C261" s="176" t="str">
        <f>IF(VLOOKUP(B261,'דוח ביצוע (3)'!$A$21:$B$520,2,0)="","",VLOOKUP(B261,'דוח ביצוע (3)'!$A$21:$B$520,2,0))</f>
        <v/>
      </c>
      <c r="D261" s="177" t="str">
        <f>IFERROR(VLOOKUP($C:$C,'מצבת והרשמה (2)'!$C$20:$N$520,2,0)," ")</f>
        <v/>
      </c>
      <c r="E261" s="177" t="str">
        <f>IFERROR(VLOOKUP(C261,'דוח ביצוע (3)'!B:V,5,0)," ")</f>
        <v xml:space="preserve"> </v>
      </c>
      <c r="F261" s="177" t="str">
        <f t="shared" si="19"/>
        <v/>
      </c>
      <c r="G261" s="179">
        <f>SUMIFS('עלויות כח אדם (6)'!M:M,'עלויות כח אדם (6)'!B:B,' איוש משרות (8)'!C261,'עלויות כח אדם (6)'!N:N,"רכ")</f>
        <v>0</v>
      </c>
      <c r="H261" s="179">
        <f>IFERROR(VLOOKUP(P261,'עלויות כח אדם (6)'!$AE$16:$AF$3014,2,0),0)</f>
        <v>0</v>
      </c>
      <c r="I261" s="178">
        <f t="shared" si="22"/>
        <v>0</v>
      </c>
      <c r="J261" s="178">
        <f t="shared" si="23"/>
        <v>0</v>
      </c>
      <c r="K261" s="179" t="str">
        <f t="shared" si="20"/>
        <v/>
      </c>
      <c r="L261" s="718"/>
      <c r="M261" s="180" t="str">
        <f t="shared" si="24"/>
        <v/>
      </c>
      <c r="N261" s="531">
        <f t="shared" si="21"/>
        <v>0</v>
      </c>
      <c r="O261" s="531" t="str">
        <f>IF(C261&lt;&gt;"",C261&amp;'סיווג התפקידים והעלויות'!$C$2,"")</f>
        <v/>
      </c>
      <c r="P261" s="531" t="str">
        <f>IF(C261&lt;&gt;"",C261&amp;'סיווג התפקידים והעלויות'!$D$2,"")</f>
        <v/>
      </c>
    </row>
    <row r="262" spans="2:16" ht="15.75" x14ac:dyDescent="0.25">
      <c r="B262" s="176">
        <v>247</v>
      </c>
      <c r="C262" s="176" t="str">
        <f>IF(VLOOKUP(B262,'דוח ביצוע (3)'!$A$21:$B$520,2,0)="","",VLOOKUP(B262,'דוח ביצוע (3)'!$A$21:$B$520,2,0))</f>
        <v/>
      </c>
      <c r="D262" s="177" t="str">
        <f>IFERROR(VLOOKUP($C:$C,'מצבת והרשמה (2)'!$C$20:$N$520,2,0)," ")</f>
        <v/>
      </c>
      <c r="E262" s="177" t="str">
        <f>IFERROR(VLOOKUP(C262,'דוח ביצוע (3)'!B:V,5,0)," ")</f>
        <v xml:space="preserve"> </v>
      </c>
      <c r="F262" s="177" t="str">
        <f t="shared" si="19"/>
        <v/>
      </c>
      <c r="G262" s="179">
        <f>SUMIFS('עלויות כח אדם (6)'!M:M,'עלויות כח אדם (6)'!B:B,' איוש משרות (8)'!C262,'עלויות כח אדם (6)'!N:N,"רכ")</f>
        <v>0</v>
      </c>
      <c r="H262" s="179">
        <f>IFERROR(VLOOKUP(P262,'עלויות כח אדם (6)'!$AE$16:$AF$3014,2,0),0)</f>
        <v>0</v>
      </c>
      <c r="I262" s="178">
        <f t="shared" si="22"/>
        <v>0</v>
      </c>
      <c r="J262" s="178">
        <f t="shared" si="23"/>
        <v>0</v>
      </c>
      <c r="K262" s="179" t="str">
        <f t="shared" si="20"/>
        <v/>
      </c>
      <c r="L262" s="718"/>
      <c r="M262" s="180" t="str">
        <f t="shared" si="24"/>
        <v/>
      </c>
      <c r="N262" s="531">
        <f t="shared" si="21"/>
        <v>0</v>
      </c>
      <c r="O262" s="531" t="str">
        <f>IF(C262&lt;&gt;"",C262&amp;'סיווג התפקידים והעלויות'!$C$2,"")</f>
        <v/>
      </c>
      <c r="P262" s="531" t="str">
        <f>IF(C262&lt;&gt;"",C262&amp;'סיווג התפקידים והעלויות'!$D$2,"")</f>
        <v/>
      </c>
    </row>
    <row r="263" spans="2:16" ht="15.75" x14ac:dyDescent="0.25">
      <c r="B263" s="57">
        <v>248</v>
      </c>
      <c r="C263" s="176" t="str">
        <f>IF(VLOOKUP(B263,'דוח ביצוע (3)'!$A$21:$B$520,2,0)="","",VLOOKUP(B263,'דוח ביצוע (3)'!$A$21:$B$520,2,0))</f>
        <v/>
      </c>
      <c r="D263" s="177" t="str">
        <f>IFERROR(VLOOKUP($C:$C,'מצבת והרשמה (2)'!$C$20:$N$520,2,0)," ")</f>
        <v/>
      </c>
      <c r="E263" s="177" t="str">
        <f>IFERROR(VLOOKUP(C263,'דוח ביצוע (3)'!B:V,5,0)," ")</f>
        <v xml:space="preserve"> </v>
      </c>
      <c r="F263" s="177" t="str">
        <f t="shared" si="19"/>
        <v/>
      </c>
      <c r="G263" s="179">
        <f>SUMIFS('עלויות כח אדם (6)'!M:M,'עלויות כח אדם (6)'!B:B,' איוש משרות (8)'!C263,'עלויות כח אדם (6)'!N:N,"רכ")</f>
        <v>0</v>
      </c>
      <c r="H263" s="179">
        <f>IFERROR(VLOOKUP(P263,'עלויות כח אדם (6)'!$AE$16:$AF$3014,2,0),0)</f>
        <v>0</v>
      </c>
      <c r="I263" s="178">
        <f t="shared" si="22"/>
        <v>0</v>
      </c>
      <c r="J263" s="178">
        <f t="shared" si="23"/>
        <v>0</v>
      </c>
      <c r="K263" s="179" t="str">
        <f t="shared" si="20"/>
        <v/>
      </c>
      <c r="L263" s="718"/>
      <c r="M263" s="180" t="str">
        <f t="shared" si="24"/>
        <v/>
      </c>
      <c r="N263" s="531">
        <f t="shared" si="21"/>
        <v>0</v>
      </c>
      <c r="O263" s="531" t="str">
        <f>IF(C263&lt;&gt;"",C263&amp;'סיווג התפקידים והעלויות'!$C$2,"")</f>
        <v/>
      </c>
      <c r="P263" s="531" t="str">
        <f>IF(C263&lt;&gt;"",C263&amp;'סיווג התפקידים והעלויות'!$D$2,"")</f>
        <v/>
      </c>
    </row>
    <row r="264" spans="2:16" ht="15.75" x14ac:dyDescent="0.25">
      <c r="B264" s="176">
        <v>249</v>
      </c>
      <c r="C264" s="176" t="str">
        <f>IF(VLOOKUP(B264,'דוח ביצוע (3)'!$A$21:$B$520,2,0)="","",VLOOKUP(B264,'דוח ביצוע (3)'!$A$21:$B$520,2,0))</f>
        <v/>
      </c>
      <c r="D264" s="177" t="str">
        <f>IFERROR(VLOOKUP($C:$C,'מצבת והרשמה (2)'!$C$20:$N$520,2,0)," ")</f>
        <v/>
      </c>
      <c r="E264" s="177" t="str">
        <f>IFERROR(VLOOKUP(C264,'דוח ביצוע (3)'!B:V,5,0)," ")</f>
        <v xml:space="preserve"> </v>
      </c>
      <c r="F264" s="177" t="str">
        <f t="shared" si="19"/>
        <v/>
      </c>
      <c r="G264" s="179">
        <f>SUMIFS('עלויות כח אדם (6)'!M:M,'עלויות כח אדם (6)'!B:B,' איוש משרות (8)'!C264,'עלויות כח אדם (6)'!N:N,"רכ")</f>
        <v>0</v>
      </c>
      <c r="H264" s="179">
        <f>IFERROR(VLOOKUP(P264,'עלויות כח אדם (6)'!$AE$16:$AF$3014,2,0),0)</f>
        <v>0</v>
      </c>
      <c r="I264" s="178">
        <f t="shared" si="22"/>
        <v>0</v>
      </c>
      <c r="J264" s="178">
        <f t="shared" si="23"/>
        <v>0</v>
      </c>
      <c r="K264" s="179" t="str">
        <f t="shared" si="20"/>
        <v/>
      </c>
      <c r="L264" s="718"/>
      <c r="M264" s="180" t="str">
        <f t="shared" si="24"/>
        <v/>
      </c>
      <c r="N264" s="531">
        <f t="shared" si="21"/>
        <v>0</v>
      </c>
      <c r="O264" s="531" t="str">
        <f>IF(C264&lt;&gt;"",C264&amp;'סיווג התפקידים והעלויות'!$C$2,"")</f>
        <v/>
      </c>
      <c r="P264" s="531" t="str">
        <f>IF(C264&lt;&gt;"",C264&amp;'סיווג התפקידים והעלויות'!$D$2,"")</f>
        <v/>
      </c>
    </row>
    <row r="265" spans="2:16" ht="15.75" x14ac:dyDescent="0.25">
      <c r="B265" s="57">
        <v>250</v>
      </c>
      <c r="C265" s="176" t="str">
        <f>IF(VLOOKUP(B265,'דוח ביצוע (3)'!$A$21:$B$520,2,0)="","",VLOOKUP(B265,'דוח ביצוע (3)'!$A$21:$B$520,2,0))</f>
        <v/>
      </c>
      <c r="D265" s="177" t="str">
        <f>IFERROR(VLOOKUP($C:$C,'מצבת והרשמה (2)'!$C$20:$N$520,2,0)," ")</f>
        <v/>
      </c>
      <c r="E265" s="177" t="str">
        <f>IFERROR(VLOOKUP(C265,'דוח ביצוע (3)'!B:V,5,0)," ")</f>
        <v xml:space="preserve"> </v>
      </c>
      <c r="F265" s="177" t="str">
        <f t="shared" si="19"/>
        <v/>
      </c>
      <c r="G265" s="179">
        <f>SUMIFS('עלויות כח אדם (6)'!M:M,'עלויות כח אדם (6)'!B:B,' איוש משרות (8)'!C265,'עלויות כח אדם (6)'!N:N,"רכ")</f>
        <v>0</v>
      </c>
      <c r="H265" s="179">
        <f>IFERROR(VLOOKUP(P265,'עלויות כח אדם (6)'!$AE$16:$AF$3014,2,0),0)</f>
        <v>0</v>
      </c>
      <c r="I265" s="178">
        <f t="shared" si="22"/>
        <v>0</v>
      </c>
      <c r="J265" s="178">
        <f t="shared" si="23"/>
        <v>0</v>
      </c>
      <c r="K265" s="179" t="str">
        <f t="shared" si="20"/>
        <v/>
      </c>
      <c r="L265" s="718"/>
      <c r="M265" s="180" t="str">
        <f t="shared" si="24"/>
        <v/>
      </c>
      <c r="N265" s="531">
        <f t="shared" si="21"/>
        <v>0</v>
      </c>
      <c r="O265" s="531" t="str">
        <f>IF(C265&lt;&gt;"",C265&amp;'סיווג התפקידים והעלויות'!$C$2,"")</f>
        <v/>
      </c>
      <c r="P265" s="531" t="str">
        <f>IF(C265&lt;&gt;"",C265&amp;'סיווג התפקידים והעלויות'!$D$2,"")</f>
        <v/>
      </c>
    </row>
    <row r="266" spans="2:16" ht="15.75" x14ac:dyDescent="0.25">
      <c r="B266" s="176">
        <v>251</v>
      </c>
      <c r="C266" s="176" t="str">
        <f>IF(VLOOKUP(B266,'דוח ביצוע (3)'!$A$21:$B$520,2,0)="","",VLOOKUP(B266,'דוח ביצוע (3)'!$A$21:$B$520,2,0))</f>
        <v/>
      </c>
      <c r="D266" s="177" t="str">
        <f>IFERROR(VLOOKUP($C:$C,'מצבת והרשמה (2)'!$C$20:$N$520,2,0)," ")</f>
        <v/>
      </c>
      <c r="E266" s="177" t="str">
        <f>IFERROR(VLOOKUP(C266,'דוח ביצוע (3)'!B:V,5,0)," ")</f>
        <v xml:space="preserve"> </v>
      </c>
      <c r="F266" s="177" t="str">
        <f t="shared" si="19"/>
        <v/>
      </c>
      <c r="G266" s="179">
        <f>SUMIFS('עלויות כח אדם (6)'!M:M,'עלויות כח אדם (6)'!B:B,' איוש משרות (8)'!C266,'עלויות כח אדם (6)'!N:N,"רכ")</f>
        <v>0</v>
      </c>
      <c r="H266" s="179">
        <f>IFERROR(VLOOKUP(P266,'עלויות כח אדם (6)'!$AE$16:$AF$3014,2,0),0)</f>
        <v>0</v>
      </c>
      <c r="I266" s="178">
        <f t="shared" si="22"/>
        <v>0</v>
      </c>
      <c r="J266" s="178">
        <f t="shared" si="23"/>
        <v>0</v>
      </c>
      <c r="K266" s="179" t="str">
        <f t="shared" si="20"/>
        <v/>
      </c>
      <c r="L266" s="718"/>
      <c r="M266" s="180" t="str">
        <f t="shared" si="24"/>
        <v/>
      </c>
      <c r="N266" s="531">
        <f t="shared" si="21"/>
        <v>0</v>
      </c>
      <c r="O266" s="531" t="str">
        <f>IF(C266&lt;&gt;"",C266&amp;'סיווג התפקידים והעלויות'!$C$2,"")</f>
        <v/>
      </c>
      <c r="P266" s="531" t="str">
        <f>IF(C266&lt;&gt;"",C266&amp;'סיווג התפקידים והעלויות'!$D$2,"")</f>
        <v/>
      </c>
    </row>
    <row r="267" spans="2:16" ht="15.75" x14ac:dyDescent="0.25">
      <c r="B267" s="57">
        <v>252</v>
      </c>
      <c r="C267" s="176" t="str">
        <f>IF(VLOOKUP(B267,'דוח ביצוע (3)'!$A$21:$B$520,2,0)="","",VLOOKUP(B267,'דוח ביצוע (3)'!$A$21:$B$520,2,0))</f>
        <v/>
      </c>
      <c r="D267" s="177" t="str">
        <f>IFERROR(VLOOKUP($C:$C,'מצבת והרשמה (2)'!$C$20:$N$520,2,0)," ")</f>
        <v/>
      </c>
      <c r="E267" s="177" t="str">
        <f>IFERROR(VLOOKUP(C267,'דוח ביצוע (3)'!B:V,5,0)," ")</f>
        <v xml:space="preserve"> </v>
      </c>
      <c r="F267" s="177" t="str">
        <f t="shared" si="19"/>
        <v/>
      </c>
      <c r="G267" s="179">
        <f>SUMIFS('עלויות כח אדם (6)'!M:M,'עלויות כח אדם (6)'!B:B,' איוש משרות (8)'!C267,'עלויות כח אדם (6)'!N:N,"רכ")</f>
        <v>0</v>
      </c>
      <c r="H267" s="179">
        <f>IFERROR(VLOOKUP(P267,'עלויות כח אדם (6)'!$AE$16:$AF$3014,2,0),0)</f>
        <v>0</v>
      </c>
      <c r="I267" s="178">
        <f t="shared" si="22"/>
        <v>0</v>
      </c>
      <c r="J267" s="178">
        <f t="shared" si="23"/>
        <v>0</v>
      </c>
      <c r="K267" s="179" t="str">
        <f t="shared" si="20"/>
        <v/>
      </c>
      <c r="L267" s="718"/>
      <c r="M267" s="180" t="str">
        <f t="shared" si="24"/>
        <v/>
      </c>
      <c r="N267" s="531">
        <f t="shared" si="21"/>
        <v>0</v>
      </c>
      <c r="O267" s="531" t="str">
        <f>IF(C267&lt;&gt;"",C267&amp;'סיווג התפקידים והעלויות'!$C$2,"")</f>
        <v/>
      </c>
      <c r="P267" s="531" t="str">
        <f>IF(C267&lt;&gt;"",C267&amp;'סיווג התפקידים והעלויות'!$D$2,"")</f>
        <v/>
      </c>
    </row>
    <row r="268" spans="2:16" ht="15.75" x14ac:dyDescent="0.25">
      <c r="B268" s="176">
        <v>253</v>
      </c>
      <c r="C268" s="176" t="str">
        <f>IF(VLOOKUP(B268,'דוח ביצוע (3)'!$A$21:$B$520,2,0)="","",VLOOKUP(B268,'דוח ביצוע (3)'!$A$21:$B$520,2,0))</f>
        <v/>
      </c>
      <c r="D268" s="177" t="str">
        <f>IFERROR(VLOOKUP($C:$C,'מצבת והרשמה (2)'!$C$20:$N$520,2,0)," ")</f>
        <v/>
      </c>
      <c r="E268" s="177" t="str">
        <f>IFERROR(VLOOKUP(C268,'דוח ביצוע (3)'!B:V,5,0)," ")</f>
        <v xml:space="preserve"> </v>
      </c>
      <c r="F268" s="177" t="str">
        <f t="shared" si="19"/>
        <v/>
      </c>
      <c r="G268" s="179">
        <f>SUMIFS('עלויות כח אדם (6)'!M:M,'עלויות כח אדם (6)'!B:B,' איוש משרות (8)'!C268,'עלויות כח אדם (6)'!N:N,"רכ")</f>
        <v>0</v>
      </c>
      <c r="H268" s="179">
        <f>IFERROR(VLOOKUP(P268,'עלויות כח אדם (6)'!$AE$16:$AF$3014,2,0),0)</f>
        <v>0</v>
      </c>
      <c r="I268" s="178">
        <f t="shared" si="22"/>
        <v>0</v>
      </c>
      <c r="J268" s="178">
        <f t="shared" si="23"/>
        <v>0</v>
      </c>
      <c r="K268" s="179" t="str">
        <f t="shared" si="20"/>
        <v/>
      </c>
      <c r="L268" s="718"/>
      <c r="M268" s="180" t="str">
        <f t="shared" si="24"/>
        <v/>
      </c>
      <c r="N268" s="531">
        <f t="shared" si="21"/>
        <v>0</v>
      </c>
      <c r="O268" s="531" t="str">
        <f>IF(C268&lt;&gt;"",C268&amp;'סיווג התפקידים והעלויות'!$C$2,"")</f>
        <v/>
      </c>
      <c r="P268" s="531" t="str">
        <f>IF(C268&lt;&gt;"",C268&amp;'סיווג התפקידים והעלויות'!$D$2,"")</f>
        <v/>
      </c>
    </row>
    <row r="269" spans="2:16" ht="15.75" x14ac:dyDescent="0.25">
      <c r="B269" s="57">
        <v>254</v>
      </c>
      <c r="C269" s="176" t="str">
        <f>IF(VLOOKUP(B269,'דוח ביצוע (3)'!$A$21:$B$520,2,0)="","",VLOOKUP(B269,'דוח ביצוע (3)'!$A$21:$B$520,2,0))</f>
        <v/>
      </c>
      <c r="D269" s="177" t="str">
        <f>IFERROR(VLOOKUP($C:$C,'מצבת והרשמה (2)'!$C$20:$N$520,2,0)," ")</f>
        <v/>
      </c>
      <c r="E269" s="177" t="str">
        <f>IFERROR(VLOOKUP(C269,'דוח ביצוע (3)'!B:V,5,0)," ")</f>
        <v xml:space="preserve"> </v>
      </c>
      <c r="F269" s="177" t="str">
        <f t="shared" si="19"/>
        <v/>
      </c>
      <c r="G269" s="179">
        <f>SUMIFS('עלויות כח אדם (6)'!M:M,'עלויות כח אדם (6)'!B:B,' איוש משרות (8)'!C269,'עלויות כח אדם (6)'!N:N,"רכ")</f>
        <v>0</v>
      </c>
      <c r="H269" s="179">
        <f>IFERROR(VLOOKUP(P269,'עלויות כח אדם (6)'!$AE$16:$AF$3014,2,0),0)</f>
        <v>0</v>
      </c>
      <c r="I269" s="178">
        <f t="shared" si="22"/>
        <v>0</v>
      </c>
      <c r="J269" s="178">
        <f t="shared" si="23"/>
        <v>0</v>
      </c>
      <c r="K269" s="179" t="str">
        <f t="shared" si="20"/>
        <v/>
      </c>
      <c r="L269" s="718"/>
      <c r="M269" s="180" t="str">
        <f t="shared" si="24"/>
        <v/>
      </c>
      <c r="N269" s="531">
        <f t="shared" si="21"/>
        <v>0</v>
      </c>
      <c r="O269" s="531" t="str">
        <f>IF(C269&lt;&gt;"",C269&amp;'סיווג התפקידים והעלויות'!$C$2,"")</f>
        <v/>
      </c>
      <c r="P269" s="531" t="str">
        <f>IF(C269&lt;&gt;"",C269&amp;'סיווג התפקידים והעלויות'!$D$2,"")</f>
        <v/>
      </c>
    </row>
    <row r="270" spans="2:16" ht="15.75" x14ac:dyDescent="0.25">
      <c r="B270" s="176">
        <v>255</v>
      </c>
      <c r="C270" s="176" t="str">
        <f>IF(VLOOKUP(B270,'דוח ביצוע (3)'!$A$21:$B$520,2,0)="","",VLOOKUP(B270,'דוח ביצוע (3)'!$A$21:$B$520,2,0))</f>
        <v/>
      </c>
      <c r="D270" s="177" t="str">
        <f>IFERROR(VLOOKUP($C:$C,'מצבת והרשמה (2)'!$C$20:$N$520,2,0)," ")</f>
        <v/>
      </c>
      <c r="E270" s="177" t="str">
        <f>IFERROR(VLOOKUP(C270,'דוח ביצוע (3)'!B:V,5,0)," ")</f>
        <v xml:space="preserve"> </v>
      </c>
      <c r="F270" s="177" t="str">
        <f t="shared" si="19"/>
        <v/>
      </c>
      <c r="G270" s="179">
        <f>SUMIFS('עלויות כח אדם (6)'!M:M,'עלויות כח אדם (6)'!B:B,' איוש משרות (8)'!C270,'עלויות כח אדם (6)'!N:N,"רכ")</f>
        <v>0</v>
      </c>
      <c r="H270" s="179">
        <f>IFERROR(VLOOKUP(P270,'עלויות כח אדם (6)'!$AE$16:$AF$3014,2,0),0)</f>
        <v>0</v>
      </c>
      <c r="I270" s="178">
        <f t="shared" si="22"/>
        <v>0</v>
      </c>
      <c r="J270" s="178">
        <f t="shared" si="23"/>
        <v>0</v>
      </c>
      <c r="K270" s="179" t="str">
        <f t="shared" si="20"/>
        <v/>
      </c>
      <c r="L270" s="718"/>
      <c r="M270" s="180" t="str">
        <f t="shared" si="24"/>
        <v/>
      </c>
      <c r="N270" s="531">
        <f t="shared" si="21"/>
        <v>0</v>
      </c>
      <c r="O270" s="531" t="str">
        <f>IF(C270&lt;&gt;"",C270&amp;'סיווג התפקידים והעלויות'!$C$2,"")</f>
        <v/>
      </c>
      <c r="P270" s="531" t="str">
        <f>IF(C270&lt;&gt;"",C270&amp;'סיווג התפקידים והעלויות'!$D$2,"")</f>
        <v/>
      </c>
    </row>
    <row r="271" spans="2:16" ht="15.75" x14ac:dyDescent="0.25">
      <c r="B271" s="57">
        <v>256</v>
      </c>
      <c r="C271" s="176" t="str">
        <f>IF(VLOOKUP(B271,'דוח ביצוע (3)'!$A$21:$B$520,2,0)="","",VLOOKUP(B271,'דוח ביצוע (3)'!$A$21:$B$520,2,0))</f>
        <v/>
      </c>
      <c r="D271" s="177" t="str">
        <f>IFERROR(VLOOKUP($C:$C,'מצבת והרשמה (2)'!$C$20:$N$520,2,0)," ")</f>
        <v/>
      </c>
      <c r="E271" s="177" t="str">
        <f>IFERROR(VLOOKUP(C271,'דוח ביצוע (3)'!B:V,5,0)," ")</f>
        <v xml:space="preserve"> </v>
      </c>
      <c r="F271" s="177" t="str">
        <f t="shared" si="19"/>
        <v/>
      </c>
      <c r="G271" s="179">
        <f>SUMIFS('עלויות כח אדם (6)'!M:M,'עלויות כח אדם (6)'!B:B,' איוש משרות (8)'!C271,'עלויות כח אדם (6)'!N:N,"רכ")</f>
        <v>0</v>
      </c>
      <c r="H271" s="179">
        <f>IFERROR(VLOOKUP(P271,'עלויות כח אדם (6)'!$AE$16:$AF$3014,2,0),0)</f>
        <v>0</v>
      </c>
      <c r="I271" s="178">
        <f t="shared" si="22"/>
        <v>0</v>
      </c>
      <c r="J271" s="178">
        <f t="shared" si="23"/>
        <v>0</v>
      </c>
      <c r="K271" s="179" t="str">
        <f t="shared" si="20"/>
        <v/>
      </c>
      <c r="L271" s="718"/>
      <c r="M271" s="180" t="str">
        <f t="shared" si="24"/>
        <v/>
      </c>
      <c r="N271" s="531">
        <f t="shared" si="21"/>
        <v>0</v>
      </c>
      <c r="O271" s="531" t="str">
        <f>IF(C271&lt;&gt;"",C271&amp;'סיווג התפקידים והעלויות'!$C$2,"")</f>
        <v/>
      </c>
      <c r="P271" s="531" t="str">
        <f>IF(C271&lt;&gt;"",C271&amp;'סיווג התפקידים והעלויות'!$D$2,"")</f>
        <v/>
      </c>
    </row>
    <row r="272" spans="2:16" ht="15.75" x14ac:dyDescent="0.25">
      <c r="B272" s="176">
        <v>257</v>
      </c>
      <c r="C272" s="176" t="str">
        <f>IF(VLOOKUP(B272,'דוח ביצוע (3)'!$A$21:$B$520,2,0)="","",VLOOKUP(B272,'דוח ביצוע (3)'!$A$21:$B$520,2,0))</f>
        <v/>
      </c>
      <c r="D272" s="177" t="str">
        <f>IFERROR(VLOOKUP($C:$C,'מצבת והרשמה (2)'!$C$20:$N$520,2,0)," ")</f>
        <v/>
      </c>
      <c r="E272" s="177" t="str">
        <f>IFERROR(VLOOKUP(C272,'דוח ביצוע (3)'!B:V,5,0)," ")</f>
        <v xml:space="preserve"> </v>
      </c>
      <c r="F272" s="177" t="str">
        <f t="shared" si="19"/>
        <v/>
      </c>
      <c r="G272" s="179">
        <f>SUMIFS('עלויות כח אדם (6)'!M:M,'עלויות כח אדם (6)'!B:B,' איוש משרות (8)'!C272,'עלויות כח אדם (6)'!N:N,"רכ")</f>
        <v>0</v>
      </c>
      <c r="H272" s="179">
        <f>IFERROR(VLOOKUP(P272,'עלויות כח אדם (6)'!$AE$16:$AF$3014,2,0),0)</f>
        <v>0</v>
      </c>
      <c r="I272" s="178">
        <f t="shared" si="22"/>
        <v>0</v>
      </c>
      <c r="J272" s="178">
        <f t="shared" si="23"/>
        <v>0</v>
      </c>
      <c r="K272" s="179" t="str">
        <f t="shared" si="20"/>
        <v/>
      </c>
      <c r="L272" s="718"/>
      <c r="M272" s="180" t="str">
        <f t="shared" si="24"/>
        <v/>
      </c>
      <c r="N272" s="531">
        <f t="shared" si="21"/>
        <v>0</v>
      </c>
      <c r="O272" s="531" t="str">
        <f>IF(C272&lt;&gt;"",C272&amp;'סיווג התפקידים והעלויות'!$C$2,"")</f>
        <v/>
      </c>
      <c r="P272" s="531" t="str">
        <f>IF(C272&lt;&gt;"",C272&amp;'סיווג התפקידים והעלויות'!$D$2,"")</f>
        <v/>
      </c>
    </row>
    <row r="273" spans="2:16" ht="15.75" x14ac:dyDescent="0.25">
      <c r="B273" s="57">
        <v>258</v>
      </c>
      <c r="C273" s="176" t="str">
        <f>IF(VLOOKUP(B273,'דוח ביצוע (3)'!$A$21:$B$520,2,0)="","",VLOOKUP(B273,'דוח ביצוע (3)'!$A$21:$B$520,2,0))</f>
        <v/>
      </c>
      <c r="D273" s="177" t="str">
        <f>IFERROR(VLOOKUP($C:$C,'מצבת והרשמה (2)'!$C$20:$N$520,2,0)," ")</f>
        <v/>
      </c>
      <c r="E273" s="177" t="str">
        <f>IFERROR(VLOOKUP(C273,'דוח ביצוע (3)'!B:V,5,0)," ")</f>
        <v xml:space="preserve"> </v>
      </c>
      <c r="F273" s="177" t="str">
        <f t="shared" ref="F273:F336" si="25">IF(C273&lt;&gt;"",IF(ISNUMBER(E273),IF(E273&gt;149,"זכאי","לא זכאי"),""),"")</f>
        <v/>
      </c>
      <c r="G273" s="179">
        <f>SUMIFS('עלויות כח אדם (6)'!M:M,'עלויות כח אדם (6)'!B:B,' איוש משרות (8)'!C273,'עלויות כח אדם (6)'!N:N,"רכ")</f>
        <v>0</v>
      </c>
      <c r="H273" s="179">
        <f>IFERROR(VLOOKUP(P273,'עלויות כח אדם (6)'!$AE$16:$AF$3014,2,0),0)</f>
        <v>0</v>
      </c>
      <c r="I273" s="178">
        <f t="shared" si="22"/>
        <v>0</v>
      </c>
      <c r="J273" s="178">
        <f t="shared" si="23"/>
        <v>0</v>
      </c>
      <c r="K273" s="179" t="str">
        <f t="shared" ref="K273:K336" si="26">IF(ISNUMBER(C273),IF(I273=0,CONCATENATE("המוסד לא העסיק רכז ",IF(AND(F273="זכאי",J273=0),"וסגן רכז ",""),"ועל כן אין זכאות לקבלת תקציב"),"תקין"),"")</f>
        <v/>
      </c>
      <c r="L273" s="718"/>
      <c r="M273" s="180" t="str">
        <f t="shared" si="24"/>
        <v/>
      </c>
      <c r="N273" s="531">
        <f t="shared" ref="N273:N336" si="27">IF(LEFT(K273,14)="המוסד לא העסיק",1,0)</f>
        <v>0</v>
      </c>
      <c r="O273" s="531" t="str">
        <f>IF(C273&lt;&gt;"",C273&amp;'סיווג התפקידים והעלויות'!$C$2,"")</f>
        <v/>
      </c>
      <c r="P273" s="531" t="str">
        <f>IF(C273&lt;&gt;"",C273&amp;'סיווג התפקידים והעלויות'!$D$2,"")</f>
        <v/>
      </c>
    </row>
    <row r="274" spans="2:16" ht="15.75" x14ac:dyDescent="0.25">
      <c r="B274" s="176">
        <v>259</v>
      </c>
      <c r="C274" s="176" t="str">
        <f>IF(VLOOKUP(B274,'דוח ביצוע (3)'!$A$21:$B$520,2,0)="","",VLOOKUP(B274,'דוח ביצוע (3)'!$A$21:$B$520,2,0))</f>
        <v/>
      </c>
      <c r="D274" s="177" t="str">
        <f>IFERROR(VLOOKUP($C:$C,'מצבת והרשמה (2)'!$C$20:$N$520,2,0)," ")</f>
        <v/>
      </c>
      <c r="E274" s="177" t="str">
        <f>IFERROR(VLOOKUP(C274,'דוח ביצוע (3)'!B:V,5,0)," ")</f>
        <v xml:space="preserve"> </v>
      </c>
      <c r="F274" s="177" t="str">
        <f t="shared" si="25"/>
        <v/>
      </c>
      <c r="G274" s="179">
        <f>SUMIFS('עלויות כח אדם (6)'!M:M,'עלויות כח אדם (6)'!B:B,' איוש משרות (8)'!C274,'עלויות כח אדם (6)'!N:N,"רכ")</f>
        <v>0</v>
      </c>
      <c r="H274" s="179">
        <f>IFERROR(VLOOKUP(P274,'עלויות כח אדם (6)'!$AE$16:$AF$3014,2,0),0)</f>
        <v>0</v>
      </c>
      <c r="I274" s="178">
        <f t="shared" ref="I274:I337" si="28">IF(G274&gt;0,G274,H274)</f>
        <v>0</v>
      </c>
      <c r="J274" s="178">
        <f t="shared" ref="J274:J337" si="29">IF(AND(F274="זכאי",G274&gt;0),H274,0)</f>
        <v>0</v>
      </c>
      <c r="K274" s="179" t="str">
        <f t="shared" si="26"/>
        <v/>
      </c>
      <c r="L274" s="718"/>
      <c r="M274" s="180" t="str">
        <f t="shared" si="24"/>
        <v/>
      </c>
      <c r="N274" s="531">
        <f t="shared" si="27"/>
        <v>0</v>
      </c>
      <c r="O274" s="531" t="str">
        <f>IF(C274&lt;&gt;"",C274&amp;'סיווג התפקידים והעלויות'!$C$2,"")</f>
        <v/>
      </c>
      <c r="P274" s="531" t="str">
        <f>IF(C274&lt;&gt;"",C274&amp;'סיווג התפקידים והעלויות'!$D$2,"")</f>
        <v/>
      </c>
    </row>
    <row r="275" spans="2:16" ht="15.75" x14ac:dyDescent="0.25">
      <c r="B275" s="57">
        <v>260</v>
      </c>
      <c r="C275" s="176" t="str">
        <f>IF(VLOOKUP(B275,'דוח ביצוע (3)'!$A$21:$B$520,2,0)="","",VLOOKUP(B275,'דוח ביצוע (3)'!$A$21:$B$520,2,0))</f>
        <v/>
      </c>
      <c r="D275" s="177" t="str">
        <f>IFERROR(VLOOKUP($C:$C,'מצבת והרשמה (2)'!$C$20:$N$520,2,0)," ")</f>
        <v/>
      </c>
      <c r="E275" s="177" t="str">
        <f>IFERROR(VLOOKUP(C275,'דוח ביצוע (3)'!B:V,5,0)," ")</f>
        <v xml:space="preserve"> </v>
      </c>
      <c r="F275" s="177" t="str">
        <f t="shared" si="25"/>
        <v/>
      </c>
      <c r="G275" s="179">
        <f>SUMIFS('עלויות כח אדם (6)'!M:M,'עלויות כח אדם (6)'!B:B,' איוש משרות (8)'!C275,'עלויות כח אדם (6)'!N:N,"רכ")</f>
        <v>0</v>
      </c>
      <c r="H275" s="179">
        <f>IFERROR(VLOOKUP(P275,'עלויות כח אדם (6)'!$AE$16:$AF$3014,2,0),0)</f>
        <v>0</v>
      </c>
      <c r="I275" s="178">
        <f t="shared" si="28"/>
        <v>0</v>
      </c>
      <c r="J275" s="178">
        <f t="shared" si="29"/>
        <v>0</v>
      </c>
      <c r="K275" s="179" t="str">
        <f t="shared" si="26"/>
        <v/>
      </c>
      <c r="L275" s="718"/>
      <c r="M275" s="180" t="str">
        <f t="shared" ref="M275:M338" si="30">IF(ISNUMBER(C275),IF(COUNTIF($C$16:$C$1994,C275)=1,"תקין",IFERROR(CONCATENATE("סמל בית הספר הוקלד ",COUNTIF($C$16:$C$1994,C275)," פעמים"),"")),"")</f>
        <v/>
      </c>
      <c r="N275" s="531">
        <f t="shared" si="27"/>
        <v>0</v>
      </c>
      <c r="O275" s="531" t="str">
        <f>IF(C275&lt;&gt;"",C275&amp;'סיווג התפקידים והעלויות'!$C$2,"")</f>
        <v/>
      </c>
      <c r="P275" s="531" t="str">
        <f>IF(C275&lt;&gt;"",C275&amp;'סיווג התפקידים והעלויות'!$D$2,"")</f>
        <v/>
      </c>
    </row>
    <row r="276" spans="2:16" ht="15.75" x14ac:dyDescent="0.25">
      <c r="B276" s="176">
        <v>261</v>
      </c>
      <c r="C276" s="176" t="str">
        <f>IF(VLOOKUP(B276,'דוח ביצוע (3)'!$A$21:$B$520,2,0)="","",VLOOKUP(B276,'דוח ביצוע (3)'!$A$21:$B$520,2,0))</f>
        <v/>
      </c>
      <c r="D276" s="177" t="str">
        <f>IFERROR(VLOOKUP($C:$C,'מצבת והרשמה (2)'!$C$20:$N$520,2,0)," ")</f>
        <v/>
      </c>
      <c r="E276" s="177" t="str">
        <f>IFERROR(VLOOKUP(C276,'דוח ביצוע (3)'!B:V,5,0)," ")</f>
        <v xml:space="preserve"> </v>
      </c>
      <c r="F276" s="177" t="str">
        <f t="shared" si="25"/>
        <v/>
      </c>
      <c r="G276" s="179">
        <f>SUMIFS('עלויות כח אדם (6)'!M:M,'עלויות כח אדם (6)'!B:B,' איוש משרות (8)'!C276,'עלויות כח אדם (6)'!N:N,"רכ")</f>
        <v>0</v>
      </c>
      <c r="H276" s="179">
        <f>IFERROR(VLOOKUP(P276,'עלויות כח אדם (6)'!$AE$16:$AF$3014,2,0),0)</f>
        <v>0</v>
      </c>
      <c r="I276" s="178">
        <f t="shared" si="28"/>
        <v>0</v>
      </c>
      <c r="J276" s="178">
        <f t="shared" si="29"/>
        <v>0</v>
      </c>
      <c r="K276" s="179" t="str">
        <f t="shared" si="26"/>
        <v/>
      </c>
      <c r="L276" s="718"/>
      <c r="M276" s="180" t="str">
        <f t="shared" si="30"/>
        <v/>
      </c>
      <c r="N276" s="531">
        <f t="shared" si="27"/>
        <v>0</v>
      </c>
      <c r="O276" s="531" t="str">
        <f>IF(C276&lt;&gt;"",C276&amp;'סיווג התפקידים והעלויות'!$C$2,"")</f>
        <v/>
      </c>
      <c r="P276" s="531" t="str">
        <f>IF(C276&lt;&gt;"",C276&amp;'סיווג התפקידים והעלויות'!$D$2,"")</f>
        <v/>
      </c>
    </row>
    <row r="277" spans="2:16" ht="15.75" x14ac:dyDescent="0.25">
      <c r="B277" s="57">
        <v>262</v>
      </c>
      <c r="C277" s="176" t="str">
        <f>IF(VLOOKUP(B277,'דוח ביצוע (3)'!$A$21:$B$520,2,0)="","",VLOOKUP(B277,'דוח ביצוע (3)'!$A$21:$B$520,2,0))</f>
        <v/>
      </c>
      <c r="D277" s="177" t="str">
        <f>IFERROR(VLOOKUP($C:$C,'מצבת והרשמה (2)'!$C$20:$N$520,2,0)," ")</f>
        <v/>
      </c>
      <c r="E277" s="177" t="str">
        <f>IFERROR(VLOOKUP(C277,'דוח ביצוע (3)'!B:V,5,0)," ")</f>
        <v xml:space="preserve"> </v>
      </c>
      <c r="F277" s="177" t="str">
        <f t="shared" si="25"/>
        <v/>
      </c>
      <c r="G277" s="179">
        <f>SUMIFS('עלויות כח אדם (6)'!M:M,'עלויות כח אדם (6)'!B:B,' איוש משרות (8)'!C277,'עלויות כח אדם (6)'!N:N,"רכ")</f>
        <v>0</v>
      </c>
      <c r="H277" s="179">
        <f>IFERROR(VLOOKUP(P277,'עלויות כח אדם (6)'!$AE$16:$AF$3014,2,0),0)</f>
        <v>0</v>
      </c>
      <c r="I277" s="178">
        <f t="shared" si="28"/>
        <v>0</v>
      </c>
      <c r="J277" s="178">
        <f t="shared" si="29"/>
        <v>0</v>
      </c>
      <c r="K277" s="179" t="str">
        <f t="shared" si="26"/>
        <v/>
      </c>
      <c r="L277" s="718"/>
      <c r="M277" s="180" t="str">
        <f t="shared" si="30"/>
        <v/>
      </c>
      <c r="N277" s="531">
        <f t="shared" si="27"/>
        <v>0</v>
      </c>
      <c r="O277" s="531" t="str">
        <f>IF(C277&lt;&gt;"",C277&amp;'סיווג התפקידים והעלויות'!$C$2,"")</f>
        <v/>
      </c>
      <c r="P277" s="531" t="str">
        <f>IF(C277&lt;&gt;"",C277&amp;'סיווג התפקידים והעלויות'!$D$2,"")</f>
        <v/>
      </c>
    </row>
    <row r="278" spans="2:16" ht="15.75" x14ac:dyDescent="0.25">
      <c r="B278" s="176">
        <v>263</v>
      </c>
      <c r="C278" s="176" t="str">
        <f>IF(VLOOKUP(B278,'דוח ביצוע (3)'!$A$21:$B$520,2,0)="","",VLOOKUP(B278,'דוח ביצוע (3)'!$A$21:$B$520,2,0))</f>
        <v/>
      </c>
      <c r="D278" s="177" t="str">
        <f>IFERROR(VLOOKUP($C:$C,'מצבת והרשמה (2)'!$C$20:$N$520,2,0)," ")</f>
        <v/>
      </c>
      <c r="E278" s="177" t="str">
        <f>IFERROR(VLOOKUP(C278,'דוח ביצוע (3)'!B:V,5,0)," ")</f>
        <v xml:space="preserve"> </v>
      </c>
      <c r="F278" s="177" t="str">
        <f t="shared" si="25"/>
        <v/>
      </c>
      <c r="G278" s="179">
        <f>SUMIFS('עלויות כח אדם (6)'!M:M,'עלויות כח אדם (6)'!B:B,' איוש משרות (8)'!C278,'עלויות כח אדם (6)'!N:N,"רכ")</f>
        <v>0</v>
      </c>
      <c r="H278" s="179">
        <f>IFERROR(VLOOKUP(P278,'עלויות כח אדם (6)'!$AE$16:$AF$3014,2,0),0)</f>
        <v>0</v>
      </c>
      <c r="I278" s="178">
        <f t="shared" si="28"/>
        <v>0</v>
      </c>
      <c r="J278" s="178">
        <f t="shared" si="29"/>
        <v>0</v>
      </c>
      <c r="K278" s="179" t="str">
        <f t="shared" si="26"/>
        <v/>
      </c>
      <c r="L278" s="718"/>
      <c r="M278" s="180" t="str">
        <f t="shared" si="30"/>
        <v/>
      </c>
      <c r="N278" s="531">
        <f t="shared" si="27"/>
        <v>0</v>
      </c>
      <c r="O278" s="531" t="str">
        <f>IF(C278&lt;&gt;"",C278&amp;'סיווג התפקידים והעלויות'!$C$2,"")</f>
        <v/>
      </c>
      <c r="P278" s="531" t="str">
        <f>IF(C278&lt;&gt;"",C278&amp;'סיווג התפקידים והעלויות'!$D$2,"")</f>
        <v/>
      </c>
    </row>
    <row r="279" spans="2:16" ht="15.75" x14ac:dyDescent="0.25">
      <c r="B279" s="57">
        <v>264</v>
      </c>
      <c r="C279" s="176" t="str">
        <f>IF(VLOOKUP(B279,'דוח ביצוע (3)'!$A$21:$B$520,2,0)="","",VLOOKUP(B279,'דוח ביצוע (3)'!$A$21:$B$520,2,0))</f>
        <v/>
      </c>
      <c r="D279" s="177" t="str">
        <f>IFERROR(VLOOKUP($C:$C,'מצבת והרשמה (2)'!$C$20:$N$520,2,0)," ")</f>
        <v/>
      </c>
      <c r="E279" s="177" t="str">
        <f>IFERROR(VLOOKUP(C279,'דוח ביצוע (3)'!B:V,5,0)," ")</f>
        <v xml:space="preserve"> </v>
      </c>
      <c r="F279" s="177" t="str">
        <f t="shared" si="25"/>
        <v/>
      </c>
      <c r="G279" s="179">
        <f>SUMIFS('עלויות כח אדם (6)'!M:M,'עלויות כח אדם (6)'!B:B,' איוש משרות (8)'!C279,'עלויות כח אדם (6)'!N:N,"רכ")</f>
        <v>0</v>
      </c>
      <c r="H279" s="179">
        <f>IFERROR(VLOOKUP(P279,'עלויות כח אדם (6)'!$AE$16:$AF$3014,2,0),0)</f>
        <v>0</v>
      </c>
      <c r="I279" s="178">
        <f t="shared" si="28"/>
        <v>0</v>
      </c>
      <c r="J279" s="178">
        <f t="shared" si="29"/>
        <v>0</v>
      </c>
      <c r="K279" s="179" t="str">
        <f t="shared" si="26"/>
        <v/>
      </c>
      <c r="L279" s="718"/>
      <c r="M279" s="180" t="str">
        <f t="shared" si="30"/>
        <v/>
      </c>
      <c r="N279" s="531">
        <f t="shared" si="27"/>
        <v>0</v>
      </c>
      <c r="O279" s="531" t="str">
        <f>IF(C279&lt;&gt;"",C279&amp;'סיווג התפקידים והעלויות'!$C$2,"")</f>
        <v/>
      </c>
      <c r="P279" s="531" t="str">
        <f>IF(C279&lt;&gt;"",C279&amp;'סיווג התפקידים והעלויות'!$D$2,"")</f>
        <v/>
      </c>
    </row>
    <row r="280" spans="2:16" ht="15.75" x14ac:dyDescent="0.25">
      <c r="B280" s="176">
        <v>265</v>
      </c>
      <c r="C280" s="176" t="str">
        <f>IF(VLOOKUP(B280,'דוח ביצוע (3)'!$A$21:$B$520,2,0)="","",VLOOKUP(B280,'דוח ביצוע (3)'!$A$21:$B$520,2,0))</f>
        <v/>
      </c>
      <c r="D280" s="177" t="str">
        <f>IFERROR(VLOOKUP($C:$C,'מצבת והרשמה (2)'!$C$20:$N$520,2,0)," ")</f>
        <v/>
      </c>
      <c r="E280" s="177" t="str">
        <f>IFERROR(VLOOKUP(C280,'דוח ביצוע (3)'!B:V,5,0)," ")</f>
        <v xml:space="preserve"> </v>
      </c>
      <c r="F280" s="177" t="str">
        <f t="shared" si="25"/>
        <v/>
      </c>
      <c r="G280" s="179">
        <f>SUMIFS('עלויות כח אדם (6)'!M:M,'עלויות כח אדם (6)'!B:B,' איוש משרות (8)'!C280,'עלויות כח אדם (6)'!N:N,"רכ")</f>
        <v>0</v>
      </c>
      <c r="H280" s="179">
        <f>IFERROR(VLOOKUP(P280,'עלויות כח אדם (6)'!$AE$16:$AF$3014,2,0),0)</f>
        <v>0</v>
      </c>
      <c r="I280" s="178">
        <f t="shared" si="28"/>
        <v>0</v>
      </c>
      <c r="J280" s="178">
        <f t="shared" si="29"/>
        <v>0</v>
      </c>
      <c r="K280" s="179" t="str">
        <f t="shared" si="26"/>
        <v/>
      </c>
      <c r="L280" s="718"/>
      <c r="M280" s="180" t="str">
        <f t="shared" si="30"/>
        <v/>
      </c>
      <c r="N280" s="531">
        <f t="shared" si="27"/>
        <v>0</v>
      </c>
      <c r="O280" s="531" t="str">
        <f>IF(C280&lt;&gt;"",C280&amp;'סיווג התפקידים והעלויות'!$C$2,"")</f>
        <v/>
      </c>
      <c r="P280" s="531" t="str">
        <f>IF(C280&lt;&gt;"",C280&amp;'סיווג התפקידים והעלויות'!$D$2,"")</f>
        <v/>
      </c>
    </row>
    <row r="281" spans="2:16" ht="15.75" x14ac:dyDescent="0.25">
      <c r="B281" s="57">
        <v>266</v>
      </c>
      <c r="C281" s="176" t="str">
        <f>IF(VLOOKUP(B281,'דוח ביצוע (3)'!$A$21:$B$520,2,0)="","",VLOOKUP(B281,'דוח ביצוע (3)'!$A$21:$B$520,2,0))</f>
        <v/>
      </c>
      <c r="D281" s="177" t="str">
        <f>IFERROR(VLOOKUP($C:$C,'מצבת והרשמה (2)'!$C$20:$N$520,2,0)," ")</f>
        <v/>
      </c>
      <c r="E281" s="177" t="str">
        <f>IFERROR(VLOOKUP(C281,'דוח ביצוע (3)'!B:V,5,0)," ")</f>
        <v xml:space="preserve"> </v>
      </c>
      <c r="F281" s="177" t="str">
        <f t="shared" si="25"/>
        <v/>
      </c>
      <c r="G281" s="179">
        <f>SUMIFS('עלויות כח אדם (6)'!M:M,'עלויות כח אדם (6)'!B:B,' איוש משרות (8)'!C281,'עלויות כח אדם (6)'!N:N,"רכ")</f>
        <v>0</v>
      </c>
      <c r="H281" s="179">
        <f>IFERROR(VLOOKUP(P281,'עלויות כח אדם (6)'!$AE$16:$AF$3014,2,0),0)</f>
        <v>0</v>
      </c>
      <c r="I281" s="178">
        <f t="shared" si="28"/>
        <v>0</v>
      </c>
      <c r="J281" s="178">
        <f t="shared" si="29"/>
        <v>0</v>
      </c>
      <c r="K281" s="179" t="str">
        <f t="shared" si="26"/>
        <v/>
      </c>
      <c r="L281" s="718"/>
      <c r="M281" s="180" t="str">
        <f t="shared" si="30"/>
        <v/>
      </c>
      <c r="N281" s="531">
        <f t="shared" si="27"/>
        <v>0</v>
      </c>
      <c r="O281" s="531" t="str">
        <f>IF(C281&lt;&gt;"",C281&amp;'סיווג התפקידים והעלויות'!$C$2,"")</f>
        <v/>
      </c>
      <c r="P281" s="531" t="str">
        <f>IF(C281&lt;&gt;"",C281&amp;'סיווג התפקידים והעלויות'!$D$2,"")</f>
        <v/>
      </c>
    </row>
    <row r="282" spans="2:16" ht="15.75" x14ac:dyDescent="0.25">
      <c r="B282" s="176">
        <v>267</v>
      </c>
      <c r="C282" s="176" t="str">
        <f>IF(VLOOKUP(B282,'דוח ביצוע (3)'!$A$21:$B$520,2,0)="","",VLOOKUP(B282,'דוח ביצוע (3)'!$A$21:$B$520,2,0))</f>
        <v/>
      </c>
      <c r="D282" s="177" t="str">
        <f>IFERROR(VLOOKUP($C:$C,'מצבת והרשמה (2)'!$C$20:$N$520,2,0)," ")</f>
        <v/>
      </c>
      <c r="E282" s="177" t="str">
        <f>IFERROR(VLOOKUP(C282,'דוח ביצוע (3)'!B:V,5,0)," ")</f>
        <v xml:space="preserve"> </v>
      </c>
      <c r="F282" s="177" t="str">
        <f t="shared" si="25"/>
        <v/>
      </c>
      <c r="G282" s="179">
        <f>SUMIFS('עלויות כח אדם (6)'!M:M,'עלויות כח אדם (6)'!B:B,' איוש משרות (8)'!C282,'עלויות כח אדם (6)'!N:N,"רכ")</f>
        <v>0</v>
      </c>
      <c r="H282" s="179">
        <f>IFERROR(VLOOKUP(P282,'עלויות כח אדם (6)'!$AE$16:$AF$3014,2,0),0)</f>
        <v>0</v>
      </c>
      <c r="I282" s="178">
        <f t="shared" si="28"/>
        <v>0</v>
      </c>
      <c r="J282" s="178">
        <f t="shared" si="29"/>
        <v>0</v>
      </c>
      <c r="K282" s="179" t="str">
        <f t="shared" si="26"/>
        <v/>
      </c>
      <c r="L282" s="718"/>
      <c r="M282" s="180" t="str">
        <f t="shared" si="30"/>
        <v/>
      </c>
      <c r="N282" s="531">
        <f t="shared" si="27"/>
        <v>0</v>
      </c>
      <c r="O282" s="531" t="str">
        <f>IF(C282&lt;&gt;"",C282&amp;'סיווג התפקידים והעלויות'!$C$2,"")</f>
        <v/>
      </c>
      <c r="P282" s="531" t="str">
        <f>IF(C282&lt;&gt;"",C282&amp;'סיווג התפקידים והעלויות'!$D$2,"")</f>
        <v/>
      </c>
    </row>
    <row r="283" spans="2:16" ht="15.75" x14ac:dyDescent="0.25">
      <c r="B283" s="57">
        <v>268</v>
      </c>
      <c r="C283" s="176" t="str">
        <f>IF(VLOOKUP(B283,'דוח ביצוע (3)'!$A$21:$B$520,2,0)="","",VLOOKUP(B283,'דוח ביצוע (3)'!$A$21:$B$520,2,0))</f>
        <v/>
      </c>
      <c r="D283" s="177" t="str">
        <f>IFERROR(VLOOKUP($C:$C,'מצבת והרשמה (2)'!$C$20:$N$520,2,0)," ")</f>
        <v/>
      </c>
      <c r="E283" s="177" t="str">
        <f>IFERROR(VLOOKUP(C283,'דוח ביצוע (3)'!B:V,5,0)," ")</f>
        <v xml:space="preserve"> </v>
      </c>
      <c r="F283" s="177" t="str">
        <f t="shared" si="25"/>
        <v/>
      </c>
      <c r="G283" s="179">
        <f>SUMIFS('עלויות כח אדם (6)'!M:M,'עלויות כח אדם (6)'!B:B,' איוש משרות (8)'!C283,'עלויות כח אדם (6)'!N:N,"רכ")</f>
        <v>0</v>
      </c>
      <c r="H283" s="179">
        <f>IFERROR(VLOOKUP(P283,'עלויות כח אדם (6)'!$AE$16:$AF$3014,2,0),0)</f>
        <v>0</v>
      </c>
      <c r="I283" s="178">
        <f t="shared" si="28"/>
        <v>0</v>
      </c>
      <c r="J283" s="178">
        <f t="shared" si="29"/>
        <v>0</v>
      </c>
      <c r="K283" s="179" t="str">
        <f t="shared" si="26"/>
        <v/>
      </c>
      <c r="L283" s="718"/>
      <c r="M283" s="180" t="str">
        <f t="shared" si="30"/>
        <v/>
      </c>
      <c r="N283" s="531">
        <f t="shared" si="27"/>
        <v>0</v>
      </c>
      <c r="O283" s="531" t="str">
        <f>IF(C283&lt;&gt;"",C283&amp;'סיווג התפקידים והעלויות'!$C$2,"")</f>
        <v/>
      </c>
      <c r="P283" s="531" t="str">
        <f>IF(C283&lt;&gt;"",C283&amp;'סיווג התפקידים והעלויות'!$D$2,"")</f>
        <v/>
      </c>
    </row>
    <row r="284" spans="2:16" ht="15.75" x14ac:dyDescent="0.25">
      <c r="B284" s="176">
        <v>269</v>
      </c>
      <c r="C284" s="176" t="str">
        <f>IF(VLOOKUP(B284,'דוח ביצוע (3)'!$A$21:$B$520,2,0)="","",VLOOKUP(B284,'דוח ביצוע (3)'!$A$21:$B$520,2,0))</f>
        <v/>
      </c>
      <c r="D284" s="177" t="str">
        <f>IFERROR(VLOOKUP($C:$C,'מצבת והרשמה (2)'!$C$20:$N$520,2,0)," ")</f>
        <v/>
      </c>
      <c r="E284" s="177" t="str">
        <f>IFERROR(VLOOKUP(C284,'דוח ביצוע (3)'!B:V,5,0)," ")</f>
        <v xml:space="preserve"> </v>
      </c>
      <c r="F284" s="177" t="str">
        <f t="shared" si="25"/>
        <v/>
      </c>
      <c r="G284" s="179">
        <f>SUMIFS('עלויות כח אדם (6)'!M:M,'עלויות כח אדם (6)'!B:B,' איוש משרות (8)'!C284,'עלויות כח אדם (6)'!N:N,"רכ")</f>
        <v>0</v>
      </c>
      <c r="H284" s="179">
        <f>IFERROR(VLOOKUP(P284,'עלויות כח אדם (6)'!$AE$16:$AF$3014,2,0),0)</f>
        <v>0</v>
      </c>
      <c r="I284" s="178">
        <f t="shared" si="28"/>
        <v>0</v>
      </c>
      <c r="J284" s="178">
        <f t="shared" si="29"/>
        <v>0</v>
      </c>
      <c r="K284" s="179" t="str">
        <f t="shared" si="26"/>
        <v/>
      </c>
      <c r="L284" s="718"/>
      <c r="M284" s="180" t="str">
        <f t="shared" si="30"/>
        <v/>
      </c>
      <c r="N284" s="531">
        <f t="shared" si="27"/>
        <v>0</v>
      </c>
      <c r="O284" s="531" t="str">
        <f>IF(C284&lt;&gt;"",C284&amp;'סיווג התפקידים והעלויות'!$C$2,"")</f>
        <v/>
      </c>
      <c r="P284" s="531" t="str">
        <f>IF(C284&lt;&gt;"",C284&amp;'סיווג התפקידים והעלויות'!$D$2,"")</f>
        <v/>
      </c>
    </row>
    <row r="285" spans="2:16" ht="15.75" x14ac:dyDescent="0.25">
      <c r="B285" s="57">
        <v>270</v>
      </c>
      <c r="C285" s="176" t="str">
        <f>IF(VLOOKUP(B285,'דוח ביצוע (3)'!$A$21:$B$520,2,0)="","",VLOOKUP(B285,'דוח ביצוע (3)'!$A$21:$B$520,2,0))</f>
        <v/>
      </c>
      <c r="D285" s="177" t="str">
        <f>IFERROR(VLOOKUP($C:$C,'מצבת והרשמה (2)'!$C$20:$N$520,2,0)," ")</f>
        <v/>
      </c>
      <c r="E285" s="177" t="str">
        <f>IFERROR(VLOOKUP(C285,'דוח ביצוע (3)'!B:V,5,0)," ")</f>
        <v xml:space="preserve"> </v>
      </c>
      <c r="F285" s="177" t="str">
        <f t="shared" si="25"/>
        <v/>
      </c>
      <c r="G285" s="179">
        <f>SUMIFS('עלויות כח אדם (6)'!M:M,'עלויות כח אדם (6)'!B:B,' איוש משרות (8)'!C285,'עלויות כח אדם (6)'!N:N,"רכ")</f>
        <v>0</v>
      </c>
      <c r="H285" s="179">
        <f>IFERROR(VLOOKUP(P285,'עלויות כח אדם (6)'!$AE$16:$AF$3014,2,0),0)</f>
        <v>0</v>
      </c>
      <c r="I285" s="178">
        <f t="shared" si="28"/>
        <v>0</v>
      </c>
      <c r="J285" s="178">
        <f t="shared" si="29"/>
        <v>0</v>
      </c>
      <c r="K285" s="179" t="str">
        <f t="shared" si="26"/>
        <v/>
      </c>
      <c r="L285" s="718"/>
      <c r="M285" s="180" t="str">
        <f t="shared" si="30"/>
        <v/>
      </c>
      <c r="N285" s="531">
        <f t="shared" si="27"/>
        <v>0</v>
      </c>
      <c r="O285" s="531" t="str">
        <f>IF(C285&lt;&gt;"",C285&amp;'סיווג התפקידים והעלויות'!$C$2,"")</f>
        <v/>
      </c>
      <c r="P285" s="531" t="str">
        <f>IF(C285&lt;&gt;"",C285&amp;'סיווג התפקידים והעלויות'!$D$2,"")</f>
        <v/>
      </c>
    </row>
    <row r="286" spans="2:16" ht="15.75" x14ac:dyDescent="0.25">
      <c r="B286" s="176">
        <v>271</v>
      </c>
      <c r="C286" s="176" t="str">
        <f>IF(VLOOKUP(B286,'דוח ביצוע (3)'!$A$21:$B$520,2,0)="","",VLOOKUP(B286,'דוח ביצוע (3)'!$A$21:$B$520,2,0))</f>
        <v/>
      </c>
      <c r="D286" s="177" t="str">
        <f>IFERROR(VLOOKUP($C:$C,'מצבת והרשמה (2)'!$C$20:$N$520,2,0)," ")</f>
        <v/>
      </c>
      <c r="E286" s="177" t="str">
        <f>IFERROR(VLOOKUP(C286,'דוח ביצוע (3)'!B:V,5,0)," ")</f>
        <v xml:space="preserve"> </v>
      </c>
      <c r="F286" s="177" t="str">
        <f t="shared" si="25"/>
        <v/>
      </c>
      <c r="G286" s="179">
        <f>SUMIFS('עלויות כח אדם (6)'!M:M,'עלויות כח אדם (6)'!B:B,' איוש משרות (8)'!C286,'עלויות כח אדם (6)'!N:N,"רכ")</f>
        <v>0</v>
      </c>
      <c r="H286" s="179">
        <f>IFERROR(VLOOKUP(P286,'עלויות כח אדם (6)'!$AE$16:$AF$3014,2,0),0)</f>
        <v>0</v>
      </c>
      <c r="I286" s="178">
        <f t="shared" si="28"/>
        <v>0</v>
      </c>
      <c r="J286" s="178">
        <f t="shared" si="29"/>
        <v>0</v>
      </c>
      <c r="K286" s="179" t="str">
        <f t="shared" si="26"/>
        <v/>
      </c>
      <c r="L286" s="718"/>
      <c r="M286" s="180" t="str">
        <f t="shared" si="30"/>
        <v/>
      </c>
      <c r="N286" s="531">
        <f t="shared" si="27"/>
        <v>0</v>
      </c>
      <c r="O286" s="531" t="str">
        <f>IF(C286&lt;&gt;"",C286&amp;'סיווג התפקידים והעלויות'!$C$2,"")</f>
        <v/>
      </c>
      <c r="P286" s="531" t="str">
        <f>IF(C286&lt;&gt;"",C286&amp;'סיווג התפקידים והעלויות'!$D$2,"")</f>
        <v/>
      </c>
    </row>
    <row r="287" spans="2:16" ht="15.75" x14ac:dyDescent="0.25">
      <c r="B287" s="57">
        <v>272</v>
      </c>
      <c r="C287" s="176" t="str">
        <f>IF(VLOOKUP(B287,'דוח ביצוע (3)'!$A$21:$B$520,2,0)="","",VLOOKUP(B287,'דוח ביצוע (3)'!$A$21:$B$520,2,0))</f>
        <v/>
      </c>
      <c r="D287" s="177" t="str">
        <f>IFERROR(VLOOKUP($C:$C,'מצבת והרשמה (2)'!$C$20:$N$520,2,0)," ")</f>
        <v/>
      </c>
      <c r="E287" s="177" t="str">
        <f>IFERROR(VLOOKUP(C287,'דוח ביצוע (3)'!B:V,5,0)," ")</f>
        <v xml:space="preserve"> </v>
      </c>
      <c r="F287" s="177" t="str">
        <f t="shared" si="25"/>
        <v/>
      </c>
      <c r="G287" s="179">
        <f>SUMIFS('עלויות כח אדם (6)'!M:M,'עלויות כח אדם (6)'!B:B,' איוש משרות (8)'!C287,'עלויות כח אדם (6)'!N:N,"רכ")</f>
        <v>0</v>
      </c>
      <c r="H287" s="179">
        <f>IFERROR(VLOOKUP(P287,'עלויות כח אדם (6)'!$AE$16:$AF$3014,2,0),0)</f>
        <v>0</v>
      </c>
      <c r="I287" s="178">
        <f t="shared" si="28"/>
        <v>0</v>
      </c>
      <c r="J287" s="178">
        <f t="shared" si="29"/>
        <v>0</v>
      </c>
      <c r="K287" s="179" t="str">
        <f t="shared" si="26"/>
        <v/>
      </c>
      <c r="L287" s="718"/>
      <c r="M287" s="180" t="str">
        <f t="shared" si="30"/>
        <v/>
      </c>
      <c r="N287" s="531">
        <f t="shared" si="27"/>
        <v>0</v>
      </c>
      <c r="O287" s="531" t="str">
        <f>IF(C287&lt;&gt;"",C287&amp;'סיווג התפקידים והעלויות'!$C$2,"")</f>
        <v/>
      </c>
      <c r="P287" s="531" t="str">
        <f>IF(C287&lt;&gt;"",C287&amp;'סיווג התפקידים והעלויות'!$D$2,"")</f>
        <v/>
      </c>
    </row>
    <row r="288" spans="2:16" ht="15.75" x14ac:dyDescent="0.25">
      <c r="B288" s="176">
        <v>273</v>
      </c>
      <c r="C288" s="176" t="str">
        <f>IF(VLOOKUP(B288,'דוח ביצוע (3)'!$A$21:$B$520,2,0)="","",VLOOKUP(B288,'דוח ביצוע (3)'!$A$21:$B$520,2,0))</f>
        <v/>
      </c>
      <c r="D288" s="177" t="str">
        <f>IFERROR(VLOOKUP($C:$C,'מצבת והרשמה (2)'!$C$20:$N$520,2,0)," ")</f>
        <v/>
      </c>
      <c r="E288" s="177" t="str">
        <f>IFERROR(VLOOKUP(C288,'דוח ביצוע (3)'!B:V,5,0)," ")</f>
        <v xml:space="preserve"> </v>
      </c>
      <c r="F288" s="177" t="str">
        <f t="shared" si="25"/>
        <v/>
      </c>
      <c r="G288" s="179">
        <f>SUMIFS('עלויות כח אדם (6)'!M:M,'עלויות כח אדם (6)'!B:B,' איוש משרות (8)'!C288,'עלויות כח אדם (6)'!N:N,"רכ")</f>
        <v>0</v>
      </c>
      <c r="H288" s="179">
        <f>IFERROR(VLOOKUP(P288,'עלויות כח אדם (6)'!$AE$16:$AF$3014,2,0),0)</f>
        <v>0</v>
      </c>
      <c r="I288" s="178">
        <f t="shared" si="28"/>
        <v>0</v>
      </c>
      <c r="J288" s="178">
        <f t="shared" si="29"/>
        <v>0</v>
      </c>
      <c r="K288" s="179" t="str">
        <f t="shared" si="26"/>
        <v/>
      </c>
      <c r="L288" s="718"/>
      <c r="M288" s="180" t="str">
        <f t="shared" si="30"/>
        <v/>
      </c>
      <c r="N288" s="531">
        <f t="shared" si="27"/>
        <v>0</v>
      </c>
      <c r="O288" s="531" t="str">
        <f>IF(C288&lt;&gt;"",C288&amp;'סיווג התפקידים והעלויות'!$C$2,"")</f>
        <v/>
      </c>
      <c r="P288" s="531" t="str">
        <f>IF(C288&lt;&gt;"",C288&amp;'סיווג התפקידים והעלויות'!$D$2,"")</f>
        <v/>
      </c>
    </row>
    <row r="289" spans="2:16" ht="15.75" x14ac:dyDescent="0.25">
      <c r="B289" s="57">
        <v>274</v>
      </c>
      <c r="C289" s="176" t="str">
        <f>IF(VLOOKUP(B289,'דוח ביצוע (3)'!$A$21:$B$520,2,0)="","",VLOOKUP(B289,'דוח ביצוע (3)'!$A$21:$B$520,2,0))</f>
        <v/>
      </c>
      <c r="D289" s="177" t="str">
        <f>IFERROR(VLOOKUP($C:$C,'מצבת והרשמה (2)'!$C$20:$N$520,2,0)," ")</f>
        <v/>
      </c>
      <c r="E289" s="177" t="str">
        <f>IFERROR(VLOOKUP(C289,'דוח ביצוע (3)'!B:V,5,0)," ")</f>
        <v xml:space="preserve"> </v>
      </c>
      <c r="F289" s="177" t="str">
        <f t="shared" si="25"/>
        <v/>
      </c>
      <c r="G289" s="179">
        <f>SUMIFS('עלויות כח אדם (6)'!M:M,'עלויות כח אדם (6)'!B:B,' איוש משרות (8)'!C289,'עלויות כח אדם (6)'!N:N,"רכ")</f>
        <v>0</v>
      </c>
      <c r="H289" s="179">
        <f>IFERROR(VLOOKUP(P289,'עלויות כח אדם (6)'!$AE$16:$AF$3014,2,0),0)</f>
        <v>0</v>
      </c>
      <c r="I289" s="178">
        <f t="shared" si="28"/>
        <v>0</v>
      </c>
      <c r="J289" s="178">
        <f t="shared" si="29"/>
        <v>0</v>
      </c>
      <c r="K289" s="179" t="str">
        <f t="shared" si="26"/>
        <v/>
      </c>
      <c r="L289" s="718"/>
      <c r="M289" s="180" t="str">
        <f t="shared" si="30"/>
        <v/>
      </c>
      <c r="N289" s="531">
        <f t="shared" si="27"/>
        <v>0</v>
      </c>
      <c r="O289" s="531" t="str">
        <f>IF(C289&lt;&gt;"",C289&amp;'סיווג התפקידים והעלויות'!$C$2,"")</f>
        <v/>
      </c>
      <c r="P289" s="531" t="str">
        <f>IF(C289&lt;&gt;"",C289&amp;'סיווג התפקידים והעלויות'!$D$2,"")</f>
        <v/>
      </c>
    </row>
    <row r="290" spans="2:16" ht="15.75" x14ac:dyDescent="0.25">
      <c r="B290" s="176">
        <v>275</v>
      </c>
      <c r="C290" s="176" t="str">
        <f>IF(VLOOKUP(B290,'דוח ביצוע (3)'!$A$21:$B$520,2,0)="","",VLOOKUP(B290,'דוח ביצוע (3)'!$A$21:$B$520,2,0))</f>
        <v/>
      </c>
      <c r="D290" s="177" t="str">
        <f>IFERROR(VLOOKUP($C:$C,'מצבת והרשמה (2)'!$C$20:$N$520,2,0)," ")</f>
        <v/>
      </c>
      <c r="E290" s="177" t="str">
        <f>IFERROR(VLOOKUP(C290,'דוח ביצוע (3)'!B:V,5,0)," ")</f>
        <v xml:space="preserve"> </v>
      </c>
      <c r="F290" s="177" t="str">
        <f t="shared" si="25"/>
        <v/>
      </c>
      <c r="G290" s="179">
        <f>SUMIFS('עלויות כח אדם (6)'!M:M,'עלויות כח אדם (6)'!B:B,' איוש משרות (8)'!C290,'עלויות כח אדם (6)'!N:N,"רכ")</f>
        <v>0</v>
      </c>
      <c r="H290" s="179">
        <f>IFERROR(VLOOKUP(P290,'עלויות כח אדם (6)'!$AE$16:$AF$3014,2,0),0)</f>
        <v>0</v>
      </c>
      <c r="I290" s="178">
        <f t="shared" si="28"/>
        <v>0</v>
      </c>
      <c r="J290" s="178">
        <f t="shared" si="29"/>
        <v>0</v>
      </c>
      <c r="K290" s="179" t="str">
        <f t="shared" si="26"/>
        <v/>
      </c>
      <c r="L290" s="718"/>
      <c r="M290" s="180" t="str">
        <f t="shared" si="30"/>
        <v/>
      </c>
      <c r="N290" s="531">
        <f t="shared" si="27"/>
        <v>0</v>
      </c>
      <c r="O290" s="531" t="str">
        <f>IF(C290&lt;&gt;"",C290&amp;'סיווג התפקידים והעלויות'!$C$2,"")</f>
        <v/>
      </c>
      <c r="P290" s="531" t="str">
        <f>IF(C290&lt;&gt;"",C290&amp;'סיווג התפקידים והעלויות'!$D$2,"")</f>
        <v/>
      </c>
    </row>
    <row r="291" spans="2:16" ht="15.75" x14ac:dyDescent="0.25">
      <c r="B291" s="57">
        <v>276</v>
      </c>
      <c r="C291" s="176" t="str">
        <f>IF(VLOOKUP(B291,'דוח ביצוע (3)'!$A$21:$B$520,2,0)="","",VLOOKUP(B291,'דוח ביצוע (3)'!$A$21:$B$520,2,0))</f>
        <v/>
      </c>
      <c r="D291" s="177" t="str">
        <f>IFERROR(VLOOKUP($C:$C,'מצבת והרשמה (2)'!$C$20:$N$520,2,0)," ")</f>
        <v/>
      </c>
      <c r="E291" s="177" t="str">
        <f>IFERROR(VLOOKUP(C291,'דוח ביצוע (3)'!B:V,5,0)," ")</f>
        <v xml:space="preserve"> </v>
      </c>
      <c r="F291" s="177" t="str">
        <f t="shared" si="25"/>
        <v/>
      </c>
      <c r="G291" s="179">
        <f>SUMIFS('עלויות כח אדם (6)'!M:M,'עלויות כח אדם (6)'!B:B,' איוש משרות (8)'!C291,'עלויות כח אדם (6)'!N:N,"רכ")</f>
        <v>0</v>
      </c>
      <c r="H291" s="179">
        <f>IFERROR(VLOOKUP(P291,'עלויות כח אדם (6)'!$AE$16:$AF$3014,2,0),0)</f>
        <v>0</v>
      </c>
      <c r="I291" s="178">
        <f t="shared" si="28"/>
        <v>0</v>
      </c>
      <c r="J291" s="178">
        <f t="shared" si="29"/>
        <v>0</v>
      </c>
      <c r="K291" s="179" t="str">
        <f t="shared" si="26"/>
        <v/>
      </c>
      <c r="L291" s="718"/>
      <c r="M291" s="180" t="str">
        <f t="shared" si="30"/>
        <v/>
      </c>
      <c r="N291" s="531">
        <f t="shared" si="27"/>
        <v>0</v>
      </c>
      <c r="O291" s="531" t="str">
        <f>IF(C291&lt;&gt;"",C291&amp;'סיווג התפקידים והעלויות'!$C$2,"")</f>
        <v/>
      </c>
      <c r="P291" s="531" t="str">
        <f>IF(C291&lt;&gt;"",C291&amp;'סיווג התפקידים והעלויות'!$D$2,"")</f>
        <v/>
      </c>
    </row>
    <row r="292" spans="2:16" ht="15.75" x14ac:dyDescent="0.25">
      <c r="B292" s="176">
        <v>277</v>
      </c>
      <c r="C292" s="176" t="str">
        <f>IF(VLOOKUP(B292,'דוח ביצוע (3)'!$A$21:$B$520,2,0)="","",VLOOKUP(B292,'דוח ביצוע (3)'!$A$21:$B$520,2,0))</f>
        <v/>
      </c>
      <c r="D292" s="177" t="str">
        <f>IFERROR(VLOOKUP($C:$C,'מצבת והרשמה (2)'!$C$20:$N$520,2,0)," ")</f>
        <v/>
      </c>
      <c r="E292" s="177" t="str">
        <f>IFERROR(VLOOKUP(C292,'דוח ביצוע (3)'!B:V,5,0)," ")</f>
        <v xml:space="preserve"> </v>
      </c>
      <c r="F292" s="177" t="str">
        <f t="shared" si="25"/>
        <v/>
      </c>
      <c r="G292" s="179">
        <f>SUMIFS('עלויות כח אדם (6)'!M:M,'עלויות כח אדם (6)'!B:B,' איוש משרות (8)'!C292,'עלויות כח אדם (6)'!N:N,"רכ")</f>
        <v>0</v>
      </c>
      <c r="H292" s="179">
        <f>IFERROR(VLOOKUP(P292,'עלויות כח אדם (6)'!$AE$16:$AF$3014,2,0),0)</f>
        <v>0</v>
      </c>
      <c r="I292" s="178">
        <f t="shared" si="28"/>
        <v>0</v>
      </c>
      <c r="J292" s="178">
        <f t="shared" si="29"/>
        <v>0</v>
      </c>
      <c r="K292" s="179" t="str">
        <f t="shared" si="26"/>
        <v/>
      </c>
      <c r="L292" s="718"/>
      <c r="M292" s="180" t="str">
        <f t="shared" si="30"/>
        <v/>
      </c>
      <c r="N292" s="531">
        <f t="shared" si="27"/>
        <v>0</v>
      </c>
      <c r="O292" s="531" t="str">
        <f>IF(C292&lt;&gt;"",C292&amp;'סיווג התפקידים והעלויות'!$C$2,"")</f>
        <v/>
      </c>
      <c r="P292" s="531" t="str">
        <f>IF(C292&lt;&gt;"",C292&amp;'סיווג התפקידים והעלויות'!$D$2,"")</f>
        <v/>
      </c>
    </row>
    <row r="293" spans="2:16" ht="15.75" x14ac:dyDescent="0.25">
      <c r="B293" s="57">
        <v>278</v>
      </c>
      <c r="C293" s="176" t="str">
        <f>IF(VLOOKUP(B293,'דוח ביצוע (3)'!$A$21:$B$520,2,0)="","",VLOOKUP(B293,'דוח ביצוע (3)'!$A$21:$B$520,2,0))</f>
        <v/>
      </c>
      <c r="D293" s="177" t="str">
        <f>IFERROR(VLOOKUP($C:$C,'מצבת והרשמה (2)'!$C$20:$N$520,2,0)," ")</f>
        <v/>
      </c>
      <c r="E293" s="177" t="str">
        <f>IFERROR(VLOOKUP(C293,'דוח ביצוע (3)'!B:V,5,0)," ")</f>
        <v xml:space="preserve"> </v>
      </c>
      <c r="F293" s="177" t="str">
        <f t="shared" si="25"/>
        <v/>
      </c>
      <c r="G293" s="179">
        <f>SUMIFS('עלויות כח אדם (6)'!M:M,'עלויות כח אדם (6)'!B:B,' איוש משרות (8)'!C293,'עלויות כח אדם (6)'!N:N,"רכ")</f>
        <v>0</v>
      </c>
      <c r="H293" s="179">
        <f>IFERROR(VLOOKUP(P293,'עלויות כח אדם (6)'!$AE$16:$AF$3014,2,0),0)</f>
        <v>0</v>
      </c>
      <c r="I293" s="178">
        <f t="shared" si="28"/>
        <v>0</v>
      </c>
      <c r="J293" s="178">
        <f t="shared" si="29"/>
        <v>0</v>
      </c>
      <c r="K293" s="179" t="str">
        <f t="shared" si="26"/>
        <v/>
      </c>
      <c r="L293" s="718"/>
      <c r="M293" s="180" t="str">
        <f t="shared" si="30"/>
        <v/>
      </c>
      <c r="N293" s="531">
        <f t="shared" si="27"/>
        <v>0</v>
      </c>
      <c r="O293" s="531" t="str">
        <f>IF(C293&lt;&gt;"",C293&amp;'סיווג התפקידים והעלויות'!$C$2,"")</f>
        <v/>
      </c>
      <c r="P293" s="531" t="str">
        <f>IF(C293&lt;&gt;"",C293&amp;'סיווג התפקידים והעלויות'!$D$2,"")</f>
        <v/>
      </c>
    </row>
    <row r="294" spans="2:16" ht="15.75" x14ac:dyDescent="0.25">
      <c r="B294" s="176">
        <v>279</v>
      </c>
      <c r="C294" s="176" t="str">
        <f>IF(VLOOKUP(B294,'דוח ביצוע (3)'!$A$21:$B$520,2,0)="","",VLOOKUP(B294,'דוח ביצוע (3)'!$A$21:$B$520,2,0))</f>
        <v/>
      </c>
      <c r="D294" s="177" t="str">
        <f>IFERROR(VLOOKUP($C:$C,'מצבת והרשמה (2)'!$C$20:$N$520,2,0)," ")</f>
        <v/>
      </c>
      <c r="E294" s="177" t="str">
        <f>IFERROR(VLOOKUP(C294,'דוח ביצוע (3)'!B:V,5,0)," ")</f>
        <v xml:space="preserve"> </v>
      </c>
      <c r="F294" s="177" t="str">
        <f t="shared" si="25"/>
        <v/>
      </c>
      <c r="G294" s="179">
        <f>SUMIFS('עלויות כח אדם (6)'!M:M,'עלויות כח אדם (6)'!B:B,' איוש משרות (8)'!C294,'עלויות כח אדם (6)'!N:N,"רכ")</f>
        <v>0</v>
      </c>
      <c r="H294" s="179">
        <f>IFERROR(VLOOKUP(P294,'עלויות כח אדם (6)'!$AE$16:$AF$3014,2,0),0)</f>
        <v>0</v>
      </c>
      <c r="I294" s="178">
        <f t="shared" si="28"/>
        <v>0</v>
      </c>
      <c r="J294" s="178">
        <f t="shared" si="29"/>
        <v>0</v>
      </c>
      <c r="K294" s="179" t="str">
        <f t="shared" si="26"/>
        <v/>
      </c>
      <c r="L294" s="718"/>
      <c r="M294" s="180" t="str">
        <f t="shared" si="30"/>
        <v/>
      </c>
      <c r="N294" s="531">
        <f t="shared" si="27"/>
        <v>0</v>
      </c>
      <c r="O294" s="531" t="str">
        <f>IF(C294&lt;&gt;"",C294&amp;'סיווג התפקידים והעלויות'!$C$2,"")</f>
        <v/>
      </c>
      <c r="P294" s="531" t="str">
        <f>IF(C294&lt;&gt;"",C294&amp;'סיווג התפקידים והעלויות'!$D$2,"")</f>
        <v/>
      </c>
    </row>
    <row r="295" spans="2:16" ht="15.75" x14ac:dyDescent="0.25">
      <c r="B295" s="57">
        <v>280</v>
      </c>
      <c r="C295" s="176" t="str">
        <f>IF(VLOOKUP(B295,'דוח ביצוע (3)'!$A$21:$B$520,2,0)="","",VLOOKUP(B295,'דוח ביצוע (3)'!$A$21:$B$520,2,0))</f>
        <v/>
      </c>
      <c r="D295" s="177" t="str">
        <f>IFERROR(VLOOKUP($C:$C,'מצבת והרשמה (2)'!$C$20:$N$520,2,0)," ")</f>
        <v/>
      </c>
      <c r="E295" s="177" t="str">
        <f>IFERROR(VLOOKUP(C295,'דוח ביצוע (3)'!B:V,5,0)," ")</f>
        <v xml:space="preserve"> </v>
      </c>
      <c r="F295" s="177" t="str">
        <f t="shared" si="25"/>
        <v/>
      </c>
      <c r="G295" s="179">
        <f>SUMIFS('עלויות כח אדם (6)'!M:M,'עלויות כח אדם (6)'!B:B,' איוש משרות (8)'!C295,'עלויות כח אדם (6)'!N:N,"רכ")</f>
        <v>0</v>
      </c>
      <c r="H295" s="179">
        <f>IFERROR(VLOOKUP(P295,'עלויות כח אדם (6)'!$AE$16:$AF$3014,2,0),0)</f>
        <v>0</v>
      </c>
      <c r="I295" s="178">
        <f t="shared" si="28"/>
        <v>0</v>
      </c>
      <c r="J295" s="178">
        <f t="shared" si="29"/>
        <v>0</v>
      </c>
      <c r="K295" s="179" t="str">
        <f t="shared" si="26"/>
        <v/>
      </c>
      <c r="L295" s="718"/>
      <c r="M295" s="180" t="str">
        <f t="shared" si="30"/>
        <v/>
      </c>
      <c r="N295" s="531">
        <f t="shared" si="27"/>
        <v>0</v>
      </c>
      <c r="O295" s="531" t="str">
        <f>IF(C295&lt;&gt;"",C295&amp;'סיווג התפקידים והעלויות'!$C$2,"")</f>
        <v/>
      </c>
      <c r="P295" s="531" t="str">
        <f>IF(C295&lt;&gt;"",C295&amp;'סיווג התפקידים והעלויות'!$D$2,"")</f>
        <v/>
      </c>
    </row>
    <row r="296" spans="2:16" ht="15.75" x14ac:dyDescent="0.25">
      <c r="B296" s="176">
        <v>281</v>
      </c>
      <c r="C296" s="176" t="str">
        <f>IF(VLOOKUP(B296,'דוח ביצוע (3)'!$A$21:$B$520,2,0)="","",VLOOKUP(B296,'דוח ביצוע (3)'!$A$21:$B$520,2,0))</f>
        <v/>
      </c>
      <c r="D296" s="177" t="str">
        <f>IFERROR(VLOOKUP($C:$C,'מצבת והרשמה (2)'!$C$20:$N$520,2,0)," ")</f>
        <v/>
      </c>
      <c r="E296" s="177" t="str">
        <f>IFERROR(VLOOKUP(C296,'דוח ביצוע (3)'!B:V,5,0)," ")</f>
        <v xml:space="preserve"> </v>
      </c>
      <c r="F296" s="177" t="str">
        <f t="shared" si="25"/>
        <v/>
      </c>
      <c r="G296" s="179">
        <f>SUMIFS('עלויות כח אדם (6)'!M:M,'עלויות כח אדם (6)'!B:B,' איוש משרות (8)'!C296,'עלויות כח אדם (6)'!N:N,"רכ")</f>
        <v>0</v>
      </c>
      <c r="H296" s="179">
        <f>IFERROR(VLOOKUP(P296,'עלויות כח אדם (6)'!$AE$16:$AF$3014,2,0),0)</f>
        <v>0</v>
      </c>
      <c r="I296" s="178">
        <f t="shared" si="28"/>
        <v>0</v>
      </c>
      <c r="J296" s="178">
        <f t="shared" si="29"/>
        <v>0</v>
      </c>
      <c r="K296" s="179" t="str">
        <f t="shared" si="26"/>
        <v/>
      </c>
      <c r="L296" s="718"/>
      <c r="M296" s="180" t="str">
        <f t="shared" si="30"/>
        <v/>
      </c>
      <c r="N296" s="531">
        <f t="shared" si="27"/>
        <v>0</v>
      </c>
      <c r="O296" s="531" t="str">
        <f>IF(C296&lt;&gt;"",C296&amp;'סיווג התפקידים והעלויות'!$C$2,"")</f>
        <v/>
      </c>
      <c r="P296" s="531" t="str">
        <f>IF(C296&lt;&gt;"",C296&amp;'סיווג התפקידים והעלויות'!$D$2,"")</f>
        <v/>
      </c>
    </row>
    <row r="297" spans="2:16" ht="15.75" x14ac:dyDescent="0.25">
      <c r="B297" s="57">
        <v>282</v>
      </c>
      <c r="C297" s="176" t="str">
        <f>IF(VLOOKUP(B297,'דוח ביצוע (3)'!$A$21:$B$520,2,0)="","",VLOOKUP(B297,'דוח ביצוע (3)'!$A$21:$B$520,2,0))</f>
        <v/>
      </c>
      <c r="D297" s="177" t="str">
        <f>IFERROR(VLOOKUP($C:$C,'מצבת והרשמה (2)'!$C$20:$N$520,2,0)," ")</f>
        <v/>
      </c>
      <c r="E297" s="177" t="str">
        <f>IFERROR(VLOOKUP(C297,'דוח ביצוע (3)'!B:V,5,0)," ")</f>
        <v xml:space="preserve"> </v>
      </c>
      <c r="F297" s="177" t="str">
        <f t="shared" si="25"/>
        <v/>
      </c>
      <c r="G297" s="179">
        <f>SUMIFS('עלויות כח אדם (6)'!M:M,'עלויות כח אדם (6)'!B:B,' איוש משרות (8)'!C297,'עלויות כח אדם (6)'!N:N,"רכ")</f>
        <v>0</v>
      </c>
      <c r="H297" s="179">
        <f>IFERROR(VLOOKUP(P297,'עלויות כח אדם (6)'!$AE$16:$AF$3014,2,0),0)</f>
        <v>0</v>
      </c>
      <c r="I297" s="178">
        <f t="shared" si="28"/>
        <v>0</v>
      </c>
      <c r="J297" s="178">
        <f t="shared" si="29"/>
        <v>0</v>
      </c>
      <c r="K297" s="179" t="str">
        <f t="shared" si="26"/>
        <v/>
      </c>
      <c r="L297" s="718"/>
      <c r="M297" s="180" t="str">
        <f t="shared" si="30"/>
        <v/>
      </c>
      <c r="N297" s="531">
        <f t="shared" si="27"/>
        <v>0</v>
      </c>
      <c r="O297" s="531" t="str">
        <f>IF(C297&lt;&gt;"",C297&amp;'סיווג התפקידים והעלויות'!$C$2,"")</f>
        <v/>
      </c>
      <c r="P297" s="531" t="str">
        <f>IF(C297&lt;&gt;"",C297&amp;'סיווג התפקידים והעלויות'!$D$2,"")</f>
        <v/>
      </c>
    </row>
    <row r="298" spans="2:16" ht="15.75" x14ac:dyDescent="0.25">
      <c r="B298" s="176">
        <v>283</v>
      </c>
      <c r="C298" s="176" t="str">
        <f>IF(VLOOKUP(B298,'דוח ביצוע (3)'!$A$21:$B$520,2,0)="","",VLOOKUP(B298,'דוח ביצוע (3)'!$A$21:$B$520,2,0))</f>
        <v/>
      </c>
      <c r="D298" s="177" t="str">
        <f>IFERROR(VLOOKUP($C:$C,'מצבת והרשמה (2)'!$C$20:$N$520,2,0)," ")</f>
        <v/>
      </c>
      <c r="E298" s="177" t="str">
        <f>IFERROR(VLOOKUP(C298,'דוח ביצוע (3)'!B:V,5,0)," ")</f>
        <v xml:space="preserve"> </v>
      </c>
      <c r="F298" s="177" t="str">
        <f t="shared" si="25"/>
        <v/>
      </c>
      <c r="G298" s="179">
        <f>SUMIFS('עלויות כח אדם (6)'!M:M,'עלויות כח אדם (6)'!B:B,' איוש משרות (8)'!C298,'עלויות כח אדם (6)'!N:N,"רכ")</f>
        <v>0</v>
      </c>
      <c r="H298" s="179">
        <f>IFERROR(VLOOKUP(P298,'עלויות כח אדם (6)'!$AE$16:$AF$3014,2,0),0)</f>
        <v>0</v>
      </c>
      <c r="I298" s="178">
        <f t="shared" si="28"/>
        <v>0</v>
      </c>
      <c r="J298" s="178">
        <f t="shared" si="29"/>
        <v>0</v>
      </c>
      <c r="K298" s="179" t="str">
        <f t="shared" si="26"/>
        <v/>
      </c>
      <c r="L298" s="718"/>
      <c r="M298" s="180" t="str">
        <f t="shared" si="30"/>
        <v/>
      </c>
      <c r="N298" s="531">
        <f t="shared" si="27"/>
        <v>0</v>
      </c>
      <c r="O298" s="531" t="str">
        <f>IF(C298&lt;&gt;"",C298&amp;'סיווג התפקידים והעלויות'!$C$2,"")</f>
        <v/>
      </c>
      <c r="P298" s="531" t="str">
        <f>IF(C298&lt;&gt;"",C298&amp;'סיווג התפקידים והעלויות'!$D$2,"")</f>
        <v/>
      </c>
    </row>
    <row r="299" spans="2:16" ht="15.75" x14ac:dyDescent="0.25">
      <c r="B299" s="57">
        <v>284</v>
      </c>
      <c r="C299" s="176" t="str">
        <f>IF(VLOOKUP(B299,'דוח ביצוע (3)'!$A$21:$B$520,2,0)="","",VLOOKUP(B299,'דוח ביצוע (3)'!$A$21:$B$520,2,0))</f>
        <v/>
      </c>
      <c r="D299" s="177" t="str">
        <f>IFERROR(VLOOKUP($C:$C,'מצבת והרשמה (2)'!$C$20:$N$520,2,0)," ")</f>
        <v/>
      </c>
      <c r="E299" s="177" t="str">
        <f>IFERROR(VLOOKUP(C299,'דוח ביצוע (3)'!B:V,5,0)," ")</f>
        <v xml:space="preserve"> </v>
      </c>
      <c r="F299" s="177" t="str">
        <f t="shared" si="25"/>
        <v/>
      </c>
      <c r="G299" s="179">
        <f>SUMIFS('עלויות כח אדם (6)'!M:M,'עלויות כח אדם (6)'!B:B,' איוש משרות (8)'!C299,'עלויות כח אדם (6)'!N:N,"רכ")</f>
        <v>0</v>
      </c>
      <c r="H299" s="179">
        <f>IFERROR(VLOOKUP(P299,'עלויות כח אדם (6)'!$AE$16:$AF$3014,2,0),0)</f>
        <v>0</v>
      </c>
      <c r="I299" s="178">
        <f t="shared" si="28"/>
        <v>0</v>
      </c>
      <c r="J299" s="178">
        <f t="shared" si="29"/>
        <v>0</v>
      </c>
      <c r="K299" s="179" t="str">
        <f t="shared" si="26"/>
        <v/>
      </c>
      <c r="L299" s="718"/>
      <c r="M299" s="180" t="str">
        <f t="shared" si="30"/>
        <v/>
      </c>
      <c r="N299" s="531">
        <f t="shared" si="27"/>
        <v>0</v>
      </c>
      <c r="O299" s="531" t="str">
        <f>IF(C299&lt;&gt;"",C299&amp;'סיווג התפקידים והעלויות'!$C$2,"")</f>
        <v/>
      </c>
      <c r="P299" s="531" t="str">
        <f>IF(C299&lt;&gt;"",C299&amp;'סיווג התפקידים והעלויות'!$D$2,"")</f>
        <v/>
      </c>
    </row>
    <row r="300" spans="2:16" ht="15.75" x14ac:dyDescent="0.25">
      <c r="B300" s="176">
        <v>285</v>
      </c>
      <c r="C300" s="176" t="str">
        <f>IF(VLOOKUP(B300,'דוח ביצוע (3)'!$A$21:$B$520,2,0)="","",VLOOKUP(B300,'דוח ביצוע (3)'!$A$21:$B$520,2,0))</f>
        <v/>
      </c>
      <c r="D300" s="177" t="str">
        <f>IFERROR(VLOOKUP($C:$C,'מצבת והרשמה (2)'!$C$20:$N$520,2,0)," ")</f>
        <v/>
      </c>
      <c r="E300" s="177" t="str">
        <f>IFERROR(VLOOKUP(C300,'דוח ביצוע (3)'!B:V,5,0)," ")</f>
        <v xml:space="preserve"> </v>
      </c>
      <c r="F300" s="177" t="str">
        <f t="shared" si="25"/>
        <v/>
      </c>
      <c r="G300" s="179">
        <f>SUMIFS('עלויות כח אדם (6)'!M:M,'עלויות כח אדם (6)'!B:B,' איוש משרות (8)'!C300,'עלויות כח אדם (6)'!N:N,"רכ")</f>
        <v>0</v>
      </c>
      <c r="H300" s="179">
        <f>IFERROR(VLOOKUP(P300,'עלויות כח אדם (6)'!$AE$16:$AF$3014,2,0),0)</f>
        <v>0</v>
      </c>
      <c r="I300" s="178">
        <f t="shared" si="28"/>
        <v>0</v>
      </c>
      <c r="J300" s="178">
        <f t="shared" si="29"/>
        <v>0</v>
      </c>
      <c r="K300" s="179" t="str">
        <f t="shared" si="26"/>
        <v/>
      </c>
      <c r="L300" s="718"/>
      <c r="M300" s="180" t="str">
        <f t="shared" si="30"/>
        <v/>
      </c>
      <c r="N300" s="531">
        <f t="shared" si="27"/>
        <v>0</v>
      </c>
      <c r="O300" s="531" t="str">
        <f>IF(C300&lt;&gt;"",C300&amp;'סיווג התפקידים והעלויות'!$C$2,"")</f>
        <v/>
      </c>
      <c r="P300" s="531" t="str">
        <f>IF(C300&lt;&gt;"",C300&amp;'סיווג התפקידים והעלויות'!$D$2,"")</f>
        <v/>
      </c>
    </row>
    <row r="301" spans="2:16" ht="15.75" x14ac:dyDescent="0.25">
      <c r="B301" s="57">
        <v>286</v>
      </c>
      <c r="C301" s="176" t="str">
        <f>IF(VLOOKUP(B301,'דוח ביצוע (3)'!$A$21:$B$520,2,0)="","",VLOOKUP(B301,'דוח ביצוע (3)'!$A$21:$B$520,2,0))</f>
        <v/>
      </c>
      <c r="D301" s="177" t="str">
        <f>IFERROR(VLOOKUP($C:$C,'מצבת והרשמה (2)'!$C$20:$N$520,2,0)," ")</f>
        <v/>
      </c>
      <c r="E301" s="177" t="str">
        <f>IFERROR(VLOOKUP(C301,'דוח ביצוע (3)'!B:V,5,0)," ")</f>
        <v xml:space="preserve"> </v>
      </c>
      <c r="F301" s="177" t="str">
        <f t="shared" si="25"/>
        <v/>
      </c>
      <c r="G301" s="179">
        <f>SUMIFS('עלויות כח אדם (6)'!M:M,'עלויות כח אדם (6)'!B:B,' איוש משרות (8)'!C301,'עלויות כח אדם (6)'!N:N,"רכ")</f>
        <v>0</v>
      </c>
      <c r="H301" s="179">
        <f>IFERROR(VLOOKUP(P301,'עלויות כח אדם (6)'!$AE$16:$AF$3014,2,0),0)</f>
        <v>0</v>
      </c>
      <c r="I301" s="178">
        <f t="shared" si="28"/>
        <v>0</v>
      </c>
      <c r="J301" s="178">
        <f t="shared" si="29"/>
        <v>0</v>
      </c>
      <c r="K301" s="179" t="str">
        <f t="shared" si="26"/>
        <v/>
      </c>
      <c r="L301" s="718"/>
      <c r="M301" s="180" t="str">
        <f t="shared" si="30"/>
        <v/>
      </c>
      <c r="N301" s="531">
        <f t="shared" si="27"/>
        <v>0</v>
      </c>
      <c r="O301" s="531" t="str">
        <f>IF(C301&lt;&gt;"",C301&amp;'סיווג התפקידים והעלויות'!$C$2,"")</f>
        <v/>
      </c>
      <c r="P301" s="531" t="str">
        <f>IF(C301&lt;&gt;"",C301&amp;'סיווג התפקידים והעלויות'!$D$2,"")</f>
        <v/>
      </c>
    </row>
    <row r="302" spans="2:16" ht="15.75" x14ac:dyDescent="0.25">
      <c r="B302" s="176">
        <v>287</v>
      </c>
      <c r="C302" s="176" t="str">
        <f>IF(VLOOKUP(B302,'דוח ביצוע (3)'!$A$21:$B$520,2,0)="","",VLOOKUP(B302,'דוח ביצוע (3)'!$A$21:$B$520,2,0))</f>
        <v/>
      </c>
      <c r="D302" s="177" t="str">
        <f>IFERROR(VLOOKUP($C:$C,'מצבת והרשמה (2)'!$C$20:$N$520,2,0)," ")</f>
        <v/>
      </c>
      <c r="E302" s="177" t="str">
        <f>IFERROR(VLOOKUP(C302,'דוח ביצוע (3)'!B:V,5,0)," ")</f>
        <v xml:space="preserve"> </v>
      </c>
      <c r="F302" s="177" t="str">
        <f t="shared" si="25"/>
        <v/>
      </c>
      <c r="G302" s="179">
        <f>SUMIFS('עלויות כח אדם (6)'!M:M,'עלויות כח אדם (6)'!B:B,' איוש משרות (8)'!C302,'עלויות כח אדם (6)'!N:N,"רכ")</f>
        <v>0</v>
      </c>
      <c r="H302" s="179">
        <f>IFERROR(VLOOKUP(P302,'עלויות כח אדם (6)'!$AE$16:$AF$3014,2,0),0)</f>
        <v>0</v>
      </c>
      <c r="I302" s="178">
        <f t="shared" si="28"/>
        <v>0</v>
      </c>
      <c r="J302" s="178">
        <f t="shared" si="29"/>
        <v>0</v>
      </c>
      <c r="K302" s="179" t="str">
        <f t="shared" si="26"/>
        <v/>
      </c>
      <c r="L302" s="718"/>
      <c r="M302" s="180" t="str">
        <f t="shared" si="30"/>
        <v/>
      </c>
      <c r="N302" s="531">
        <f t="shared" si="27"/>
        <v>0</v>
      </c>
      <c r="O302" s="531" t="str">
        <f>IF(C302&lt;&gt;"",C302&amp;'סיווג התפקידים והעלויות'!$C$2,"")</f>
        <v/>
      </c>
      <c r="P302" s="531" t="str">
        <f>IF(C302&lt;&gt;"",C302&amp;'סיווג התפקידים והעלויות'!$D$2,"")</f>
        <v/>
      </c>
    </row>
    <row r="303" spans="2:16" ht="15.75" x14ac:dyDescent="0.25">
      <c r="B303" s="57">
        <v>288</v>
      </c>
      <c r="C303" s="176" t="str">
        <f>IF(VLOOKUP(B303,'דוח ביצוע (3)'!$A$21:$B$520,2,0)="","",VLOOKUP(B303,'דוח ביצוע (3)'!$A$21:$B$520,2,0))</f>
        <v/>
      </c>
      <c r="D303" s="177" t="str">
        <f>IFERROR(VLOOKUP($C:$C,'מצבת והרשמה (2)'!$C$20:$N$520,2,0)," ")</f>
        <v/>
      </c>
      <c r="E303" s="177" t="str">
        <f>IFERROR(VLOOKUP(C303,'דוח ביצוע (3)'!B:V,5,0)," ")</f>
        <v xml:space="preserve"> </v>
      </c>
      <c r="F303" s="177" t="str">
        <f t="shared" si="25"/>
        <v/>
      </c>
      <c r="G303" s="179">
        <f>SUMIFS('עלויות כח אדם (6)'!M:M,'עלויות כח אדם (6)'!B:B,' איוש משרות (8)'!C303,'עלויות כח אדם (6)'!N:N,"רכ")</f>
        <v>0</v>
      </c>
      <c r="H303" s="179">
        <f>IFERROR(VLOOKUP(P303,'עלויות כח אדם (6)'!$AE$16:$AF$3014,2,0),0)</f>
        <v>0</v>
      </c>
      <c r="I303" s="178">
        <f t="shared" si="28"/>
        <v>0</v>
      </c>
      <c r="J303" s="178">
        <f t="shared" si="29"/>
        <v>0</v>
      </c>
      <c r="K303" s="179" t="str">
        <f t="shared" si="26"/>
        <v/>
      </c>
      <c r="L303" s="718"/>
      <c r="M303" s="180" t="str">
        <f t="shared" si="30"/>
        <v/>
      </c>
      <c r="N303" s="531">
        <f t="shared" si="27"/>
        <v>0</v>
      </c>
      <c r="O303" s="531" t="str">
        <f>IF(C303&lt;&gt;"",C303&amp;'סיווג התפקידים והעלויות'!$C$2,"")</f>
        <v/>
      </c>
      <c r="P303" s="531" t="str">
        <f>IF(C303&lt;&gt;"",C303&amp;'סיווג התפקידים והעלויות'!$D$2,"")</f>
        <v/>
      </c>
    </row>
    <row r="304" spans="2:16" ht="15.75" x14ac:dyDescent="0.25">
      <c r="B304" s="176">
        <v>289</v>
      </c>
      <c r="C304" s="176" t="str">
        <f>IF(VLOOKUP(B304,'דוח ביצוע (3)'!$A$21:$B$520,2,0)="","",VLOOKUP(B304,'דוח ביצוע (3)'!$A$21:$B$520,2,0))</f>
        <v/>
      </c>
      <c r="D304" s="177" t="str">
        <f>IFERROR(VLOOKUP($C:$C,'מצבת והרשמה (2)'!$C$20:$N$520,2,0)," ")</f>
        <v/>
      </c>
      <c r="E304" s="177" t="str">
        <f>IFERROR(VLOOKUP(C304,'דוח ביצוע (3)'!B:V,5,0)," ")</f>
        <v xml:space="preserve"> </v>
      </c>
      <c r="F304" s="177" t="str">
        <f t="shared" si="25"/>
        <v/>
      </c>
      <c r="G304" s="179">
        <f>SUMIFS('עלויות כח אדם (6)'!M:M,'עלויות כח אדם (6)'!B:B,' איוש משרות (8)'!C304,'עלויות כח אדם (6)'!N:N,"רכ")</f>
        <v>0</v>
      </c>
      <c r="H304" s="179">
        <f>IFERROR(VLOOKUP(P304,'עלויות כח אדם (6)'!$AE$16:$AF$3014,2,0),0)</f>
        <v>0</v>
      </c>
      <c r="I304" s="178">
        <f t="shared" si="28"/>
        <v>0</v>
      </c>
      <c r="J304" s="178">
        <f t="shared" si="29"/>
        <v>0</v>
      </c>
      <c r="K304" s="179" t="str">
        <f t="shared" si="26"/>
        <v/>
      </c>
      <c r="L304" s="718"/>
      <c r="M304" s="180" t="str">
        <f t="shared" si="30"/>
        <v/>
      </c>
      <c r="N304" s="531">
        <f t="shared" si="27"/>
        <v>0</v>
      </c>
      <c r="O304" s="531" t="str">
        <f>IF(C304&lt;&gt;"",C304&amp;'סיווג התפקידים והעלויות'!$C$2,"")</f>
        <v/>
      </c>
      <c r="P304" s="531" t="str">
        <f>IF(C304&lt;&gt;"",C304&amp;'סיווג התפקידים והעלויות'!$D$2,"")</f>
        <v/>
      </c>
    </row>
    <row r="305" spans="2:16" ht="15.75" x14ac:dyDescent="0.25">
      <c r="B305" s="57">
        <v>290</v>
      </c>
      <c r="C305" s="176" t="str">
        <f>IF(VLOOKUP(B305,'דוח ביצוע (3)'!$A$21:$B$520,2,0)="","",VLOOKUP(B305,'דוח ביצוע (3)'!$A$21:$B$520,2,0))</f>
        <v/>
      </c>
      <c r="D305" s="177" t="str">
        <f>IFERROR(VLOOKUP($C:$C,'מצבת והרשמה (2)'!$C$20:$N$520,2,0)," ")</f>
        <v/>
      </c>
      <c r="E305" s="177" t="str">
        <f>IFERROR(VLOOKUP(C305,'דוח ביצוע (3)'!B:V,5,0)," ")</f>
        <v xml:space="preserve"> </v>
      </c>
      <c r="F305" s="177" t="str">
        <f t="shared" si="25"/>
        <v/>
      </c>
      <c r="G305" s="179">
        <f>SUMIFS('עלויות כח אדם (6)'!M:M,'עלויות כח אדם (6)'!B:B,' איוש משרות (8)'!C305,'עלויות כח אדם (6)'!N:N,"רכ")</f>
        <v>0</v>
      </c>
      <c r="H305" s="179">
        <f>IFERROR(VLOOKUP(P305,'עלויות כח אדם (6)'!$AE$16:$AF$3014,2,0),0)</f>
        <v>0</v>
      </c>
      <c r="I305" s="178">
        <f t="shared" si="28"/>
        <v>0</v>
      </c>
      <c r="J305" s="178">
        <f t="shared" si="29"/>
        <v>0</v>
      </c>
      <c r="K305" s="179" t="str">
        <f t="shared" si="26"/>
        <v/>
      </c>
      <c r="L305" s="718"/>
      <c r="M305" s="180" t="str">
        <f t="shared" si="30"/>
        <v/>
      </c>
      <c r="N305" s="531">
        <f t="shared" si="27"/>
        <v>0</v>
      </c>
      <c r="O305" s="531" t="str">
        <f>IF(C305&lt;&gt;"",C305&amp;'סיווג התפקידים והעלויות'!$C$2,"")</f>
        <v/>
      </c>
      <c r="P305" s="531" t="str">
        <f>IF(C305&lt;&gt;"",C305&amp;'סיווג התפקידים והעלויות'!$D$2,"")</f>
        <v/>
      </c>
    </row>
    <row r="306" spans="2:16" ht="15.75" x14ac:dyDescent="0.25">
      <c r="B306" s="176">
        <v>291</v>
      </c>
      <c r="C306" s="176" t="str">
        <f>IF(VLOOKUP(B306,'דוח ביצוע (3)'!$A$21:$B$520,2,0)="","",VLOOKUP(B306,'דוח ביצוע (3)'!$A$21:$B$520,2,0))</f>
        <v/>
      </c>
      <c r="D306" s="177" t="str">
        <f>IFERROR(VLOOKUP($C:$C,'מצבת והרשמה (2)'!$C$20:$N$520,2,0)," ")</f>
        <v/>
      </c>
      <c r="E306" s="177" t="str">
        <f>IFERROR(VLOOKUP(C306,'דוח ביצוע (3)'!B:V,5,0)," ")</f>
        <v xml:space="preserve"> </v>
      </c>
      <c r="F306" s="177" t="str">
        <f t="shared" si="25"/>
        <v/>
      </c>
      <c r="G306" s="179">
        <f>SUMIFS('עלויות כח אדם (6)'!M:M,'עלויות כח אדם (6)'!B:B,' איוש משרות (8)'!C306,'עלויות כח אדם (6)'!N:N,"רכ")</f>
        <v>0</v>
      </c>
      <c r="H306" s="179">
        <f>IFERROR(VLOOKUP(P306,'עלויות כח אדם (6)'!$AE$16:$AF$3014,2,0),0)</f>
        <v>0</v>
      </c>
      <c r="I306" s="178">
        <f t="shared" si="28"/>
        <v>0</v>
      </c>
      <c r="J306" s="178">
        <f t="shared" si="29"/>
        <v>0</v>
      </c>
      <c r="K306" s="179" t="str">
        <f t="shared" si="26"/>
        <v/>
      </c>
      <c r="L306" s="718"/>
      <c r="M306" s="180" t="str">
        <f t="shared" si="30"/>
        <v/>
      </c>
      <c r="N306" s="531">
        <f t="shared" si="27"/>
        <v>0</v>
      </c>
      <c r="O306" s="531" t="str">
        <f>IF(C306&lt;&gt;"",C306&amp;'סיווג התפקידים והעלויות'!$C$2,"")</f>
        <v/>
      </c>
      <c r="P306" s="531" t="str">
        <f>IF(C306&lt;&gt;"",C306&amp;'סיווג התפקידים והעלויות'!$D$2,"")</f>
        <v/>
      </c>
    </row>
    <row r="307" spans="2:16" ht="15.75" x14ac:dyDescent="0.25">
      <c r="B307" s="57">
        <v>292</v>
      </c>
      <c r="C307" s="176" t="str">
        <f>IF(VLOOKUP(B307,'דוח ביצוע (3)'!$A$21:$B$520,2,0)="","",VLOOKUP(B307,'דוח ביצוע (3)'!$A$21:$B$520,2,0))</f>
        <v/>
      </c>
      <c r="D307" s="177" t="str">
        <f>IFERROR(VLOOKUP($C:$C,'מצבת והרשמה (2)'!$C$20:$N$520,2,0)," ")</f>
        <v/>
      </c>
      <c r="E307" s="177" t="str">
        <f>IFERROR(VLOOKUP(C307,'דוח ביצוע (3)'!B:V,5,0)," ")</f>
        <v xml:space="preserve"> </v>
      </c>
      <c r="F307" s="177" t="str">
        <f t="shared" si="25"/>
        <v/>
      </c>
      <c r="G307" s="179">
        <f>SUMIFS('עלויות כח אדם (6)'!M:M,'עלויות כח אדם (6)'!B:B,' איוש משרות (8)'!C307,'עלויות כח אדם (6)'!N:N,"רכ")</f>
        <v>0</v>
      </c>
      <c r="H307" s="179">
        <f>IFERROR(VLOOKUP(P307,'עלויות כח אדם (6)'!$AE$16:$AF$3014,2,0),0)</f>
        <v>0</v>
      </c>
      <c r="I307" s="178">
        <f t="shared" si="28"/>
        <v>0</v>
      </c>
      <c r="J307" s="178">
        <f t="shared" si="29"/>
        <v>0</v>
      </c>
      <c r="K307" s="179" t="str">
        <f t="shared" si="26"/>
        <v/>
      </c>
      <c r="L307" s="718"/>
      <c r="M307" s="180" t="str">
        <f t="shared" si="30"/>
        <v/>
      </c>
      <c r="N307" s="531">
        <f t="shared" si="27"/>
        <v>0</v>
      </c>
      <c r="O307" s="531" t="str">
        <f>IF(C307&lt;&gt;"",C307&amp;'סיווג התפקידים והעלויות'!$C$2,"")</f>
        <v/>
      </c>
      <c r="P307" s="531" t="str">
        <f>IF(C307&lt;&gt;"",C307&amp;'סיווג התפקידים והעלויות'!$D$2,"")</f>
        <v/>
      </c>
    </row>
    <row r="308" spans="2:16" ht="15.75" x14ac:dyDescent="0.25">
      <c r="B308" s="176">
        <v>293</v>
      </c>
      <c r="C308" s="176" t="str">
        <f>IF(VLOOKUP(B308,'דוח ביצוע (3)'!$A$21:$B$520,2,0)="","",VLOOKUP(B308,'דוח ביצוע (3)'!$A$21:$B$520,2,0))</f>
        <v/>
      </c>
      <c r="D308" s="177" t="str">
        <f>IFERROR(VLOOKUP($C:$C,'מצבת והרשמה (2)'!$C$20:$N$520,2,0)," ")</f>
        <v/>
      </c>
      <c r="E308" s="177" t="str">
        <f>IFERROR(VLOOKUP(C308,'דוח ביצוע (3)'!B:V,5,0)," ")</f>
        <v xml:space="preserve"> </v>
      </c>
      <c r="F308" s="177" t="str">
        <f t="shared" si="25"/>
        <v/>
      </c>
      <c r="G308" s="179">
        <f>SUMIFS('עלויות כח אדם (6)'!M:M,'עלויות כח אדם (6)'!B:B,' איוש משרות (8)'!C308,'עלויות כח אדם (6)'!N:N,"רכ")</f>
        <v>0</v>
      </c>
      <c r="H308" s="179">
        <f>IFERROR(VLOOKUP(P308,'עלויות כח אדם (6)'!$AE$16:$AF$3014,2,0),0)</f>
        <v>0</v>
      </c>
      <c r="I308" s="178">
        <f t="shared" si="28"/>
        <v>0</v>
      </c>
      <c r="J308" s="178">
        <f t="shared" si="29"/>
        <v>0</v>
      </c>
      <c r="K308" s="179" t="str">
        <f t="shared" si="26"/>
        <v/>
      </c>
      <c r="L308" s="718"/>
      <c r="M308" s="180" t="str">
        <f t="shared" si="30"/>
        <v/>
      </c>
      <c r="N308" s="531">
        <f t="shared" si="27"/>
        <v>0</v>
      </c>
      <c r="O308" s="531" t="str">
        <f>IF(C308&lt;&gt;"",C308&amp;'סיווג התפקידים והעלויות'!$C$2,"")</f>
        <v/>
      </c>
      <c r="P308" s="531" t="str">
        <f>IF(C308&lt;&gt;"",C308&amp;'סיווג התפקידים והעלויות'!$D$2,"")</f>
        <v/>
      </c>
    </row>
    <row r="309" spans="2:16" ht="15.75" x14ac:dyDescent="0.25">
      <c r="B309" s="57">
        <v>294</v>
      </c>
      <c r="C309" s="176" t="str">
        <f>IF(VLOOKUP(B309,'דוח ביצוע (3)'!$A$21:$B$520,2,0)="","",VLOOKUP(B309,'דוח ביצוע (3)'!$A$21:$B$520,2,0))</f>
        <v/>
      </c>
      <c r="D309" s="177" t="str">
        <f>IFERROR(VLOOKUP($C:$C,'מצבת והרשמה (2)'!$C$20:$N$520,2,0)," ")</f>
        <v/>
      </c>
      <c r="E309" s="177" t="str">
        <f>IFERROR(VLOOKUP(C309,'דוח ביצוע (3)'!B:V,5,0)," ")</f>
        <v xml:space="preserve"> </v>
      </c>
      <c r="F309" s="177" t="str">
        <f t="shared" si="25"/>
        <v/>
      </c>
      <c r="G309" s="179">
        <f>SUMIFS('עלויות כח אדם (6)'!M:M,'עלויות כח אדם (6)'!B:B,' איוש משרות (8)'!C309,'עלויות כח אדם (6)'!N:N,"רכ")</f>
        <v>0</v>
      </c>
      <c r="H309" s="179">
        <f>IFERROR(VLOOKUP(P309,'עלויות כח אדם (6)'!$AE$16:$AF$3014,2,0),0)</f>
        <v>0</v>
      </c>
      <c r="I309" s="178">
        <f t="shared" si="28"/>
        <v>0</v>
      </c>
      <c r="J309" s="178">
        <f t="shared" si="29"/>
        <v>0</v>
      </c>
      <c r="K309" s="179" t="str">
        <f t="shared" si="26"/>
        <v/>
      </c>
      <c r="L309" s="718"/>
      <c r="M309" s="180" t="str">
        <f t="shared" si="30"/>
        <v/>
      </c>
      <c r="N309" s="531">
        <f t="shared" si="27"/>
        <v>0</v>
      </c>
      <c r="O309" s="531" t="str">
        <f>IF(C309&lt;&gt;"",C309&amp;'סיווג התפקידים והעלויות'!$C$2,"")</f>
        <v/>
      </c>
      <c r="P309" s="531" t="str">
        <f>IF(C309&lt;&gt;"",C309&amp;'סיווג התפקידים והעלויות'!$D$2,"")</f>
        <v/>
      </c>
    </row>
    <row r="310" spans="2:16" ht="15.75" x14ac:dyDescent="0.25">
      <c r="B310" s="176">
        <v>295</v>
      </c>
      <c r="C310" s="176" t="str">
        <f>IF(VLOOKUP(B310,'דוח ביצוע (3)'!$A$21:$B$520,2,0)="","",VLOOKUP(B310,'דוח ביצוע (3)'!$A$21:$B$520,2,0))</f>
        <v/>
      </c>
      <c r="D310" s="177" t="str">
        <f>IFERROR(VLOOKUP($C:$C,'מצבת והרשמה (2)'!$C$20:$N$520,2,0)," ")</f>
        <v/>
      </c>
      <c r="E310" s="177" t="str">
        <f>IFERROR(VLOOKUP(C310,'דוח ביצוע (3)'!B:V,5,0)," ")</f>
        <v xml:space="preserve"> </v>
      </c>
      <c r="F310" s="177" t="str">
        <f t="shared" si="25"/>
        <v/>
      </c>
      <c r="G310" s="179">
        <f>SUMIFS('עלויות כח אדם (6)'!M:M,'עלויות כח אדם (6)'!B:B,' איוש משרות (8)'!C310,'עלויות כח אדם (6)'!N:N,"רכ")</f>
        <v>0</v>
      </c>
      <c r="H310" s="179">
        <f>IFERROR(VLOOKUP(P310,'עלויות כח אדם (6)'!$AE$16:$AF$3014,2,0),0)</f>
        <v>0</v>
      </c>
      <c r="I310" s="178">
        <f t="shared" si="28"/>
        <v>0</v>
      </c>
      <c r="J310" s="178">
        <f t="shared" si="29"/>
        <v>0</v>
      </c>
      <c r="K310" s="179" t="str">
        <f t="shared" si="26"/>
        <v/>
      </c>
      <c r="L310" s="718"/>
      <c r="M310" s="180" t="str">
        <f t="shared" si="30"/>
        <v/>
      </c>
      <c r="N310" s="531">
        <f t="shared" si="27"/>
        <v>0</v>
      </c>
      <c r="O310" s="531" t="str">
        <f>IF(C310&lt;&gt;"",C310&amp;'סיווג התפקידים והעלויות'!$C$2,"")</f>
        <v/>
      </c>
      <c r="P310" s="531" t="str">
        <f>IF(C310&lt;&gt;"",C310&amp;'סיווג התפקידים והעלויות'!$D$2,"")</f>
        <v/>
      </c>
    </row>
    <row r="311" spans="2:16" ht="15.75" x14ac:dyDescent="0.25">
      <c r="B311" s="57">
        <v>296</v>
      </c>
      <c r="C311" s="176" t="str">
        <f>IF(VLOOKUP(B311,'דוח ביצוע (3)'!$A$21:$B$520,2,0)="","",VLOOKUP(B311,'דוח ביצוע (3)'!$A$21:$B$520,2,0))</f>
        <v/>
      </c>
      <c r="D311" s="177" t="str">
        <f>IFERROR(VLOOKUP($C:$C,'מצבת והרשמה (2)'!$C$20:$N$520,2,0)," ")</f>
        <v/>
      </c>
      <c r="E311" s="177" t="str">
        <f>IFERROR(VLOOKUP(C311,'דוח ביצוע (3)'!B:V,5,0)," ")</f>
        <v xml:space="preserve"> </v>
      </c>
      <c r="F311" s="177" t="str">
        <f t="shared" si="25"/>
        <v/>
      </c>
      <c r="G311" s="179">
        <f>SUMIFS('עלויות כח אדם (6)'!M:M,'עלויות כח אדם (6)'!B:B,' איוש משרות (8)'!C311,'עלויות כח אדם (6)'!N:N,"רכ")</f>
        <v>0</v>
      </c>
      <c r="H311" s="179">
        <f>IFERROR(VLOOKUP(P311,'עלויות כח אדם (6)'!$AE$16:$AF$3014,2,0),0)</f>
        <v>0</v>
      </c>
      <c r="I311" s="178">
        <f t="shared" si="28"/>
        <v>0</v>
      </c>
      <c r="J311" s="178">
        <f t="shared" si="29"/>
        <v>0</v>
      </c>
      <c r="K311" s="179" t="str">
        <f t="shared" si="26"/>
        <v/>
      </c>
      <c r="L311" s="718"/>
      <c r="M311" s="180" t="str">
        <f t="shared" si="30"/>
        <v/>
      </c>
      <c r="N311" s="531">
        <f t="shared" si="27"/>
        <v>0</v>
      </c>
      <c r="O311" s="531" t="str">
        <f>IF(C311&lt;&gt;"",C311&amp;'סיווג התפקידים והעלויות'!$C$2,"")</f>
        <v/>
      </c>
      <c r="P311" s="531" t="str">
        <f>IF(C311&lt;&gt;"",C311&amp;'סיווג התפקידים והעלויות'!$D$2,"")</f>
        <v/>
      </c>
    </row>
    <row r="312" spans="2:16" ht="15.75" x14ac:dyDescent="0.25">
      <c r="B312" s="176">
        <v>297</v>
      </c>
      <c r="C312" s="176" t="str">
        <f>IF(VLOOKUP(B312,'דוח ביצוע (3)'!$A$21:$B$520,2,0)="","",VLOOKUP(B312,'דוח ביצוע (3)'!$A$21:$B$520,2,0))</f>
        <v/>
      </c>
      <c r="D312" s="177" t="str">
        <f>IFERROR(VLOOKUP($C:$C,'מצבת והרשמה (2)'!$C$20:$N$520,2,0)," ")</f>
        <v/>
      </c>
      <c r="E312" s="177" t="str">
        <f>IFERROR(VLOOKUP(C312,'דוח ביצוע (3)'!B:V,5,0)," ")</f>
        <v xml:space="preserve"> </v>
      </c>
      <c r="F312" s="177" t="str">
        <f t="shared" si="25"/>
        <v/>
      </c>
      <c r="G312" s="179">
        <f>SUMIFS('עלויות כח אדם (6)'!M:M,'עלויות כח אדם (6)'!B:B,' איוש משרות (8)'!C312,'עלויות כח אדם (6)'!N:N,"רכ")</f>
        <v>0</v>
      </c>
      <c r="H312" s="179">
        <f>IFERROR(VLOOKUP(P312,'עלויות כח אדם (6)'!$AE$16:$AF$3014,2,0),0)</f>
        <v>0</v>
      </c>
      <c r="I312" s="178">
        <f t="shared" si="28"/>
        <v>0</v>
      </c>
      <c r="J312" s="178">
        <f t="shared" si="29"/>
        <v>0</v>
      </c>
      <c r="K312" s="179" t="str">
        <f t="shared" si="26"/>
        <v/>
      </c>
      <c r="L312" s="718"/>
      <c r="M312" s="180" t="str">
        <f t="shared" si="30"/>
        <v/>
      </c>
      <c r="N312" s="531">
        <f t="shared" si="27"/>
        <v>0</v>
      </c>
      <c r="O312" s="531" t="str">
        <f>IF(C312&lt;&gt;"",C312&amp;'סיווג התפקידים והעלויות'!$C$2,"")</f>
        <v/>
      </c>
      <c r="P312" s="531" t="str">
        <f>IF(C312&lt;&gt;"",C312&amp;'סיווג התפקידים והעלויות'!$D$2,"")</f>
        <v/>
      </c>
    </row>
    <row r="313" spans="2:16" ht="15.75" x14ac:dyDescent="0.25">
      <c r="B313" s="57">
        <v>298</v>
      </c>
      <c r="C313" s="176" t="str">
        <f>IF(VLOOKUP(B313,'דוח ביצוע (3)'!$A$21:$B$520,2,0)="","",VLOOKUP(B313,'דוח ביצוע (3)'!$A$21:$B$520,2,0))</f>
        <v/>
      </c>
      <c r="D313" s="177" t="str">
        <f>IFERROR(VLOOKUP($C:$C,'מצבת והרשמה (2)'!$C$20:$N$520,2,0)," ")</f>
        <v/>
      </c>
      <c r="E313" s="177" t="str">
        <f>IFERROR(VLOOKUP(C313,'דוח ביצוע (3)'!B:V,5,0)," ")</f>
        <v xml:space="preserve"> </v>
      </c>
      <c r="F313" s="177" t="str">
        <f t="shared" si="25"/>
        <v/>
      </c>
      <c r="G313" s="179">
        <f>SUMIFS('עלויות כח אדם (6)'!M:M,'עלויות כח אדם (6)'!B:B,' איוש משרות (8)'!C313,'עלויות כח אדם (6)'!N:N,"רכ")</f>
        <v>0</v>
      </c>
      <c r="H313" s="179">
        <f>IFERROR(VLOOKUP(P313,'עלויות כח אדם (6)'!$AE$16:$AF$3014,2,0),0)</f>
        <v>0</v>
      </c>
      <c r="I313" s="178">
        <f t="shared" si="28"/>
        <v>0</v>
      </c>
      <c r="J313" s="178">
        <f t="shared" si="29"/>
        <v>0</v>
      </c>
      <c r="K313" s="179" t="str">
        <f t="shared" si="26"/>
        <v/>
      </c>
      <c r="L313" s="718"/>
      <c r="M313" s="180" t="str">
        <f t="shared" si="30"/>
        <v/>
      </c>
      <c r="N313" s="531">
        <f t="shared" si="27"/>
        <v>0</v>
      </c>
      <c r="O313" s="531" t="str">
        <f>IF(C313&lt;&gt;"",C313&amp;'סיווג התפקידים והעלויות'!$C$2,"")</f>
        <v/>
      </c>
      <c r="P313" s="531" t="str">
        <f>IF(C313&lt;&gt;"",C313&amp;'סיווג התפקידים והעלויות'!$D$2,"")</f>
        <v/>
      </c>
    </row>
    <row r="314" spans="2:16" ht="15.75" x14ac:dyDescent="0.25">
      <c r="B314" s="176">
        <v>299</v>
      </c>
      <c r="C314" s="176" t="str">
        <f>IF(VLOOKUP(B314,'דוח ביצוע (3)'!$A$21:$B$520,2,0)="","",VLOOKUP(B314,'דוח ביצוע (3)'!$A$21:$B$520,2,0))</f>
        <v/>
      </c>
      <c r="D314" s="177" t="str">
        <f>IFERROR(VLOOKUP($C:$C,'מצבת והרשמה (2)'!$C$20:$N$520,2,0)," ")</f>
        <v/>
      </c>
      <c r="E314" s="177" t="str">
        <f>IFERROR(VLOOKUP(C314,'דוח ביצוע (3)'!B:V,5,0)," ")</f>
        <v xml:space="preserve"> </v>
      </c>
      <c r="F314" s="177" t="str">
        <f t="shared" si="25"/>
        <v/>
      </c>
      <c r="G314" s="179">
        <f>SUMIFS('עלויות כח אדם (6)'!M:M,'עלויות כח אדם (6)'!B:B,' איוש משרות (8)'!C314,'עלויות כח אדם (6)'!N:N,"רכ")</f>
        <v>0</v>
      </c>
      <c r="H314" s="179">
        <f>IFERROR(VLOOKUP(P314,'עלויות כח אדם (6)'!$AE$16:$AF$3014,2,0),0)</f>
        <v>0</v>
      </c>
      <c r="I314" s="178">
        <f t="shared" si="28"/>
        <v>0</v>
      </c>
      <c r="J314" s="178">
        <f t="shared" si="29"/>
        <v>0</v>
      </c>
      <c r="K314" s="179" t="str">
        <f t="shared" si="26"/>
        <v/>
      </c>
      <c r="L314" s="718"/>
      <c r="M314" s="180" t="str">
        <f t="shared" si="30"/>
        <v/>
      </c>
      <c r="N314" s="531">
        <f t="shared" si="27"/>
        <v>0</v>
      </c>
      <c r="O314" s="531" t="str">
        <f>IF(C314&lt;&gt;"",C314&amp;'סיווג התפקידים והעלויות'!$C$2,"")</f>
        <v/>
      </c>
      <c r="P314" s="531" t="str">
        <f>IF(C314&lt;&gt;"",C314&amp;'סיווג התפקידים והעלויות'!$D$2,"")</f>
        <v/>
      </c>
    </row>
    <row r="315" spans="2:16" ht="15.75" x14ac:dyDescent="0.25">
      <c r="B315" s="57">
        <v>300</v>
      </c>
      <c r="C315" s="176" t="str">
        <f>IF(VLOOKUP(B315,'דוח ביצוע (3)'!$A$21:$B$520,2,0)="","",VLOOKUP(B315,'דוח ביצוע (3)'!$A$21:$B$520,2,0))</f>
        <v/>
      </c>
      <c r="D315" s="177" t="str">
        <f>IFERROR(VLOOKUP($C:$C,'מצבת והרשמה (2)'!$C$20:$N$520,2,0)," ")</f>
        <v/>
      </c>
      <c r="E315" s="177" t="str">
        <f>IFERROR(VLOOKUP(C315,'דוח ביצוע (3)'!B:V,5,0)," ")</f>
        <v xml:space="preserve"> </v>
      </c>
      <c r="F315" s="177" t="str">
        <f t="shared" si="25"/>
        <v/>
      </c>
      <c r="G315" s="179">
        <f>SUMIFS('עלויות כח אדם (6)'!M:M,'עלויות כח אדם (6)'!B:B,' איוש משרות (8)'!C315,'עלויות כח אדם (6)'!N:N,"רכ")</f>
        <v>0</v>
      </c>
      <c r="H315" s="179">
        <f>IFERROR(VLOOKUP(P315,'עלויות כח אדם (6)'!$AE$16:$AF$3014,2,0),0)</f>
        <v>0</v>
      </c>
      <c r="I315" s="178">
        <f t="shared" si="28"/>
        <v>0</v>
      </c>
      <c r="J315" s="178">
        <f t="shared" si="29"/>
        <v>0</v>
      </c>
      <c r="K315" s="179" t="str">
        <f t="shared" si="26"/>
        <v/>
      </c>
      <c r="L315" s="718"/>
      <c r="M315" s="180" t="str">
        <f t="shared" si="30"/>
        <v/>
      </c>
      <c r="N315" s="531">
        <f t="shared" si="27"/>
        <v>0</v>
      </c>
      <c r="O315" s="531" t="str">
        <f>IF(C315&lt;&gt;"",C315&amp;'סיווג התפקידים והעלויות'!$C$2,"")</f>
        <v/>
      </c>
      <c r="P315" s="531" t="str">
        <f>IF(C315&lt;&gt;"",C315&amp;'סיווג התפקידים והעלויות'!$D$2,"")</f>
        <v/>
      </c>
    </row>
    <row r="316" spans="2:16" ht="15.75" x14ac:dyDescent="0.25">
      <c r="B316" s="176">
        <v>301</v>
      </c>
      <c r="C316" s="176" t="str">
        <f>IF(VLOOKUP(B316,'דוח ביצוע (3)'!$A$21:$B$520,2,0)="","",VLOOKUP(B316,'דוח ביצוע (3)'!$A$21:$B$520,2,0))</f>
        <v/>
      </c>
      <c r="D316" s="177" t="str">
        <f>IFERROR(VLOOKUP($C:$C,'מצבת והרשמה (2)'!$C$20:$N$520,2,0)," ")</f>
        <v/>
      </c>
      <c r="E316" s="177" t="str">
        <f>IFERROR(VLOOKUP(C316,'דוח ביצוע (3)'!B:V,5,0)," ")</f>
        <v xml:space="preserve"> </v>
      </c>
      <c r="F316" s="177" t="str">
        <f t="shared" si="25"/>
        <v/>
      </c>
      <c r="G316" s="179">
        <f>SUMIFS('עלויות כח אדם (6)'!M:M,'עלויות כח אדם (6)'!B:B,' איוש משרות (8)'!C316,'עלויות כח אדם (6)'!N:N,"רכ")</f>
        <v>0</v>
      </c>
      <c r="H316" s="179">
        <f>IFERROR(VLOOKUP(P316,'עלויות כח אדם (6)'!$AE$16:$AF$3014,2,0),0)</f>
        <v>0</v>
      </c>
      <c r="I316" s="178">
        <f t="shared" si="28"/>
        <v>0</v>
      </c>
      <c r="J316" s="178">
        <f t="shared" si="29"/>
        <v>0</v>
      </c>
      <c r="K316" s="179" t="str">
        <f t="shared" si="26"/>
        <v/>
      </c>
      <c r="L316" s="718"/>
      <c r="M316" s="180" t="str">
        <f t="shared" si="30"/>
        <v/>
      </c>
      <c r="N316" s="531">
        <f t="shared" si="27"/>
        <v>0</v>
      </c>
      <c r="O316" s="531" t="str">
        <f>IF(C316&lt;&gt;"",C316&amp;'סיווג התפקידים והעלויות'!$C$2,"")</f>
        <v/>
      </c>
      <c r="P316" s="531" t="str">
        <f>IF(C316&lt;&gt;"",C316&amp;'סיווג התפקידים והעלויות'!$D$2,"")</f>
        <v/>
      </c>
    </row>
    <row r="317" spans="2:16" ht="15.75" x14ac:dyDescent="0.25">
      <c r="B317" s="57">
        <v>302</v>
      </c>
      <c r="C317" s="176" t="str">
        <f>IF(VLOOKUP(B317,'דוח ביצוע (3)'!$A$21:$B$520,2,0)="","",VLOOKUP(B317,'דוח ביצוע (3)'!$A$21:$B$520,2,0))</f>
        <v/>
      </c>
      <c r="D317" s="177" t="str">
        <f>IFERROR(VLOOKUP($C:$C,'מצבת והרשמה (2)'!$C$20:$N$520,2,0)," ")</f>
        <v/>
      </c>
      <c r="E317" s="177" t="str">
        <f>IFERROR(VLOOKUP(C317,'דוח ביצוע (3)'!B:V,5,0)," ")</f>
        <v xml:space="preserve"> </v>
      </c>
      <c r="F317" s="177" t="str">
        <f t="shared" si="25"/>
        <v/>
      </c>
      <c r="G317" s="179">
        <f>SUMIFS('עלויות כח אדם (6)'!M:M,'עלויות כח אדם (6)'!B:B,' איוש משרות (8)'!C317,'עלויות כח אדם (6)'!N:N,"רכ")</f>
        <v>0</v>
      </c>
      <c r="H317" s="179">
        <f>IFERROR(VLOOKUP(P317,'עלויות כח אדם (6)'!$AE$16:$AF$3014,2,0),0)</f>
        <v>0</v>
      </c>
      <c r="I317" s="178">
        <f t="shared" si="28"/>
        <v>0</v>
      </c>
      <c r="J317" s="178">
        <f t="shared" si="29"/>
        <v>0</v>
      </c>
      <c r="K317" s="179" t="str">
        <f t="shared" si="26"/>
        <v/>
      </c>
      <c r="L317" s="718"/>
      <c r="M317" s="180" t="str">
        <f t="shared" si="30"/>
        <v/>
      </c>
      <c r="N317" s="531">
        <f t="shared" si="27"/>
        <v>0</v>
      </c>
      <c r="O317" s="531" t="str">
        <f>IF(C317&lt;&gt;"",C317&amp;'סיווג התפקידים והעלויות'!$C$2,"")</f>
        <v/>
      </c>
      <c r="P317" s="531" t="str">
        <f>IF(C317&lt;&gt;"",C317&amp;'סיווג התפקידים והעלויות'!$D$2,"")</f>
        <v/>
      </c>
    </row>
    <row r="318" spans="2:16" ht="15.75" x14ac:dyDescent="0.25">
      <c r="B318" s="176">
        <v>303</v>
      </c>
      <c r="C318" s="176" t="str">
        <f>IF(VLOOKUP(B318,'דוח ביצוע (3)'!$A$21:$B$520,2,0)="","",VLOOKUP(B318,'דוח ביצוע (3)'!$A$21:$B$520,2,0))</f>
        <v/>
      </c>
      <c r="D318" s="177" t="str">
        <f>IFERROR(VLOOKUP($C:$C,'מצבת והרשמה (2)'!$C$20:$N$520,2,0)," ")</f>
        <v/>
      </c>
      <c r="E318" s="177" t="str">
        <f>IFERROR(VLOOKUP(C318,'דוח ביצוע (3)'!B:V,5,0)," ")</f>
        <v xml:space="preserve"> </v>
      </c>
      <c r="F318" s="177" t="str">
        <f t="shared" si="25"/>
        <v/>
      </c>
      <c r="G318" s="179">
        <f>SUMIFS('עלויות כח אדם (6)'!M:M,'עלויות כח אדם (6)'!B:B,' איוש משרות (8)'!C318,'עלויות כח אדם (6)'!N:N,"רכ")</f>
        <v>0</v>
      </c>
      <c r="H318" s="179">
        <f>IFERROR(VLOOKUP(P318,'עלויות כח אדם (6)'!$AE$16:$AF$3014,2,0),0)</f>
        <v>0</v>
      </c>
      <c r="I318" s="178">
        <f t="shared" si="28"/>
        <v>0</v>
      </c>
      <c r="J318" s="178">
        <f t="shared" si="29"/>
        <v>0</v>
      </c>
      <c r="K318" s="179" t="str">
        <f t="shared" si="26"/>
        <v/>
      </c>
      <c r="L318" s="718"/>
      <c r="M318" s="180" t="str">
        <f t="shared" si="30"/>
        <v/>
      </c>
      <c r="N318" s="531">
        <f t="shared" si="27"/>
        <v>0</v>
      </c>
      <c r="O318" s="531" t="str">
        <f>IF(C318&lt;&gt;"",C318&amp;'סיווג התפקידים והעלויות'!$C$2,"")</f>
        <v/>
      </c>
      <c r="P318" s="531" t="str">
        <f>IF(C318&lt;&gt;"",C318&amp;'סיווג התפקידים והעלויות'!$D$2,"")</f>
        <v/>
      </c>
    </row>
    <row r="319" spans="2:16" ht="15.75" x14ac:dyDescent="0.25">
      <c r="B319" s="57">
        <v>304</v>
      </c>
      <c r="C319" s="176" t="str">
        <f>IF(VLOOKUP(B319,'דוח ביצוע (3)'!$A$21:$B$520,2,0)="","",VLOOKUP(B319,'דוח ביצוע (3)'!$A$21:$B$520,2,0))</f>
        <v/>
      </c>
      <c r="D319" s="177" t="str">
        <f>IFERROR(VLOOKUP($C:$C,'מצבת והרשמה (2)'!$C$20:$N$520,2,0)," ")</f>
        <v/>
      </c>
      <c r="E319" s="177" t="str">
        <f>IFERROR(VLOOKUP(C319,'דוח ביצוע (3)'!B:V,5,0)," ")</f>
        <v xml:space="preserve"> </v>
      </c>
      <c r="F319" s="177" t="str">
        <f t="shared" si="25"/>
        <v/>
      </c>
      <c r="G319" s="179">
        <f>SUMIFS('עלויות כח אדם (6)'!M:M,'עלויות כח אדם (6)'!B:B,' איוש משרות (8)'!C319,'עלויות כח אדם (6)'!N:N,"רכ")</f>
        <v>0</v>
      </c>
      <c r="H319" s="179">
        <f>IFERROR(VLOOKUP(P319,'עלויות כח אדם (6)'!$AE$16:$AF$3014,2,0),0)</f>
        <v>0</v>
      </c>
      <c r="I319" s="178">
        <f t="shared" si="28"/>
        <v>0</v>
      </c>
      <c r="J319" s="178">
        <f t="shared" si="29"/>
        <v>0</v>
      </c>
      <c r="K319" s="179" t="str">
        <f t="shared" si="26"/>
        <v/>
      </c>
      <c r="L319" s="718"/>
      <c r="M319" s="180" t="str">
        <f t="shared" si="30"/>
        <v/>
      </c>
      <c r="N319" s="531">
        <f t="shared" si="27"/>
        <v>0</v>
      </c>
      <c r="O319" s="531" t="str">
        <f>IF(C319&lt;&gt;"",C319&amp;'סיווג התפקידים והעלויות'!$C$2,"")</f>
        <v/>
      </c>
      <c r="P319" s="531" t="str">
        <f>IF(C319&lt;&gt;"",C319&amp;'סיווג התפקידים והעלויות'!$D$2,"")</f>
        <v/>
      </c>
    </row>
    <row r="320" spans="2:16" ht="15.75" x14ac:dyDescent="0.25">
      <c r="B320" s="176">
        <v>305</v>
      </c>
      <c r="C320" s="176" t="str">
        <f>IF(VLOOKUP(B320,'דוח ביצוע (3)'!$A$21:$B$520,2,0)="","",VLOOKUP(B320,'דוח ביצוע (3)'!$A$21:$B$520,2,0))</f>
        <v/>
      </c>
      <c r="D320" s="177" t="str">
        <f>IFERROR(VLOOKUP($C:$C,'מצבת והרשמה (2)'!$C$20:$N$520,2,0)," ")</f>
        <v/>
      </c>
      <c r="E320" s="177" t="str">
        <f>IFERROR(VLOOKUP(C320,'דוח ביצוע (3)'!B:V,5,0)," ")</f>
        <v xml:space="preserve"> </v>
      </c>
      <c r="F320" s="177" t="str">
        <f t="shared" si="25"/>
        <v/>
      </c>
      <c r="G320" s="179">
        <f>SUMIFS('עלויות כח אדם (6)'!M:M,'עלויות כח אדם (6)'!B:B,' איוש משרות (8)'!C320,'עלויות כח אדם (6)'!N:N,"רכ")</f>
        <v>0</v>
      </c>
      <c r="H320" s="179">
        <f>IFERROR(VLOOKUP(P320,'עלויות כח אדם (6)'!$AE$16:$AF$3014,2,0),0)</f>
        <v>0</v>
      </c>
      <c r="I320" s="178">
        <f t="shared" si="28"/>
        <v>0</v>
      </c>
      <c r="J320" s="178">
        <f t="shared" si="29"/>
        <v>0</v>
      </c>
      <c r="K320" s="179" t="str">
        <f t="shared" si="26"/>
        <v/>
      </c>
      <c r="L320" s="718"/>
      <c r="M320" s="180" t="str">
        <f t="shared" si="30"/>
        <v/>
      </c>
      <c r="N320" s="531">
        <f t="shared" si="27"/>
        <v>0</v>
      </c>
      <c r="O320" s="531" t="str">
        <f>IF(C320&lt;&gt;"",C320&amp;'סיווג התפקידים והעלויות'!$C$2,"")</f>
        <v/>
      </c>
      <c r="P320" s="531" t="str">
        <f>IF(C320&lt;&gt;"",C320&amp;'סיווג התפקידים והעלויות'!$D$2,"")</f>
        <v/>
      </c>
    </row>
    <row r="321" spans="2:16" ht="15.75" x14ac:dyDescent="0.25">
      <c r="B321" s="57">
        <v>306</v>
      </c>
      <c r="C321" s="176" t="str">
        <f>IF(VLOOKUP(B321,'דוח ביצוע (3)'!$A$21:$B$520,2,0)="","",VLOOKUP(B321,'דוח ביצוע (3)'!$A$21:$B$520,2,0))</f>
        <v/>
      </c>
      <c r="D321" s="177" t="str">
        <f>IFERROR(VLOOKUP($C:$C,'מצבת והרשמה (2)'!$C$20:$N$520,2,0)," ")</f>
        <v/>
      </c>
      <c r="E321" s="177" t="str">
        <f>IFERROR(VLOOKUP(C321,'דוח ביצוע (3)'!B:V,5,0)," ")</f>
        <v xml:space="preserve"> </v>
      </c>
      <c r="F321" s="177" t="str">
        <f t="shared" si="25"/>
        <v/>
      </c>
      <c r="G321" s="179">
        <f>SUMIFS('עלויות כח אדם (6)'!M:M,'עלויות כח אדם (6)'!B:B,' איוש משרות (8)'!C321,'עלויות כח אדם (6)'!N:N,"רכ")</f>
        <v>0</v>
      </c>
      <c r="H321" s="179">
        <f>IFERROR(VLOOKUP(P321,'עלויות כח אדם (6)'!$AE$16:$AF$3014,2,0),0)</f>
        <v>0</v>
      </c>
      <c r="I321" s="178">
        <f t="shared" si="28"/>
        <v>0</v>
      </c>
      <c r="J321" s="178">
        <f t="shared" si="29"/>
        <v>0</v>
      </c>
      <c r="K321" s="179" t="str">
        <f t="shared" si="26"/>
        <v/>
      </c>
      <c r="L321" s="718"/>
      <c r="M321" s="180" t="str">
        <f t="shared" si="30"/>
        <v/>
      </c>
      <c r="N321" s="531">
        <f t="shared" si="27"/>
        <v>0</v>
      </c>
      <c r="O321" s="531" t="str">
        <f>IF(C321&lt;&gt;"",C321&amp;'סיווג התפקידים והעלויות'!$C$2,"")</f>
        <v/>
      </c>
      <c r="P321" s="531" t="str">
        <f>IF(C321&lt;&gt;"",C321&amp;'סיווג התפקידים והעלויות'!$D$2,"")</f>
        <v/>
      </c>
    </row>
    <row r="322" spans="2:16" ht="15.75" x14ac:dyDescent="0.25">
      <c r="B322" s="176">
        <v>307</v>
      </c>
      <c r="C322" s="176" t="str">
        <f>IF(VLOOKUP(B322,'דוח ביצוע (3)'!$A$21:$B$520,2,0)="","",VLOOKUP(B322,'דוח ביצוע (3)'!$A$21:$B$520,2,0))</f>
        <v/>
      </c>
      <c r="D322" s="177" t="str">
        <f>IFERROR(VLOOKUP($C:$C,'מצבת והרשמה (2)'!$C$20:$N$520,2,0)," ")</f>
        <v/>
      </c>
      <c r="E322" s="177" t="str">
        <f>IFERROR(VLOOKUP(C322,'דוח ביצוע (3)'!B:V,5,0)," ")</f>
        <v xml:space="preserve"> </v>
      </c>
      <c r="F322" s="177" t="str">
        <f t="shared" si="25"/>
        <v/>
      </c>
      <c r="G322" s="179">
        <f>SUMIFS('עלויות כח אדם (6)'!M:M,'עלויות כח אדם (6)'!B:B,' איוש משרות (8)'!C322,'עלויות כח אדם (6)'!N:N,"רכ")</f>
        <v>0</v>
      </c>
      <c r="H322" s="179">
        <f>IFERROR(VLOOKUP(P322,'עלויות כח אדם (6)'!$AE$16:$AF$3014,2,0),0)</f>
        <v>0</v>
      </c>
      <c r="I322" s="178">
        <f t="shared" si="28"/>
        <v>0</v>
      </c>
      <c r="J322" s="178">
        <f t="shared" si="29"/>
        <v>0</v>
      </c>
      <c r="K322" s="179" t="str">
        <f t="shared" si="26"/>
        <v/>
      </c>
      <c r="L322" s="718"/>
      <c r="M322" s="180" t="str">
        <f t="shared" si="30"/>
        <v/>
      </c>
      <c r="N322" s="531">
        <f t="shared" si="27"/>
        <v>0</v>
      </c>
      <c r="O322" s="531" t="str">
        <f>IF(C322&lt;&gt;"",C322&amp;'סיווג התפקידים והעלויות'!$C$2,"")</f>
        <v/>
      </c>
      <c r="P322" s="531" t="str">
        <f>IF(C322&lt;&gt;"",C322&amp;'סיווג התפקידים והעלויות'!$D$2,"")</f>
        <v/>
      </c>
    </row>
    <row r="323" spans="2:16" ht="15.75" x14ac:dyDescent="0.25">
      <c r="B323" s="57">
        <v>308</v>
      </c>
      <c r="C323" s="176" t="str">
        <f>IF(VLOOKUP(B323,'דוח ביצוע (3)'!$A$21:$B$520,2,0)="","",VLOOKUP(B323,'דוח ביצוע (3)'!$A$21:$B$520,2,0))</f>
        <v/>
      </c>
      <c r="D323" s="177" t="str">
        <f>IFERROR(VLOOKUP($C:$C,'מצבת והרשמה (2)'!$C$20:$N$520,2,0)," ")</f>
        <v/>
      </c>
      <c r="E323" s="177" t="str">
        <f>IFERROR(VLOOKUP(C323,'דוח ביצוע (3)'!B:V,5,0)," ")</f>
        <v xml:space="preserve"> </v>
      </c>
      <c r="F323" s="177" t="str">
        <f t="shared" si="25"/>
        <v/>
      </c>
      <c r="G323" s="179">
        <f>SUMIFS('עלויות כח אדם (6)'!M:M,'עלויות כח אדם (6)'!B:B,' איוש משרות (8)'!C323,'עלויות כח אדם (6)'!N:N,"רכ")</f>
        <v>0</v>
      </c>
      <c r="H323" s="179">
        <f>IFERROR(VLOOKUP(P323,'עלויות כח אדם (6)'!$AE$16:$AF$3014,2,0),0)</f>
        <v>0</v>
      </c>
      <c r="I323" s="178">
        <f t="shared" si="28"/>
        <v>0</v>
      </c>
      <c r="J323" s="178">
        <f t="shared" si="29"/>
        <v>0</v>
      </c>
      <c r="K323" s="179" t="str">
        <f t="shared" si="26"/>
        <v/>
      </c>
      <c r="L323" s="718"/>
      <c r="M323" s="180" t="str">
        <f t="shared" si="30"/>
        <v/>
      </c>
      <c r="N323" s="531">
        <f t="shared" si="27"/>
        <v>0</v>
      </c>
      <c r="O323" s="531" t="str">
        <f>IF(C323&lt;&gt;"",C323&amp;'סיווג התפקידים והעלויות'!$C$2,"")</f>
        <v/>
      </c>
      <c r="P323" s="531" t="str">
        <f>IF(C323&lt;&gt;"",C323&amp;'סיווג התפקידים והעלויות'!$D$2,"")</f>
        <v/>
      </c>
    </row>
    <row r="324" spans="2:16" ht="15.75" x14ac:dyDescent="0.25">
      <c r="B324" s="176">
        <v>309</v>
      </c>
      <c r="C324" s="176" t="str">
        <f>IF(VLOOKUP(B324,'דוח ביצוע (3)'!$A$21:$B$520,2,0)="","",VLOOKUP(B324,'דוח ביצוע (3)'!$A$21:$B$520,2,0))</f>
        <v/>
      </c>
      <c r="D324" s="177" t="str">
        <f>IFERROR(VLOOKUP($C:$C,'מצבת והרשמה (2)'!$C$20:$N$520,2,0)," ")</f>
        <v/>
      </c>
      <c r="E324" s="177" t="str">
        <f>IFERROR(VLOOKUP(C324,'דוח ביצוע (3)'!B:V,5,0)," ")</f>
        <v xml:space="preserve"> </v>
      </c>
      <c r="F324" s="177" t="str">
        <f t="shared" si="25"/>
        <v/>
      </c>
      <c r="G324" s="179">
        <f>SUMIFS('עלויות כח אדם (6)'!M:M,'עלויות כח אדם (6)'!B:B,' איוש משרות (8)'!C324,'עלויות כח אדם (6)'!N:N,"רכ")</f>
        <v>0</v>
      </c>
      <c r="H324" s="179">
        <f>IFERROR(VLOOKUP(P324,'עלויות כח אדם (6)'!$AE$16:$AF$3014,2,0),0)</f>
        <v>0</v>
      </c>
      <c r="I324" s="178">
        <f t="shared" si="28"/>
        <v>0</v>
      </c>
      <c r="J324" s="178">
        <f t="shared" si="29"/>
        <v>0</v>
      </c>
      <c r="K324" s="179" t="str">
        <f t="shared" si="26"/>
        <v/>
      </c>
      <c r="L324" s="718"/>
      <c r="M324" s="180" t="str">
        <f t="shared" si="30"/>
        <v/>
      </c>
      <c r="N324" s="531">
        <f t="shared" si="27"/>
        <v>0</v>
      </c>
      <c r="O324" s="531" t="str">
        <f>IF(C324&lt;&gt;"",C324&amp;'סיווג התפקידים והעלויות'!$C$2,"")</f>
        <v/>
      </c>
      <c r="P324" s="531" t="str">
        <f>IF(C324&lt;&gt;"",C324&amp;'סיווג התפקידים והעלויות'!$D$2,"")</f>
        <v/>
      </c>
    </row>
    <row r="325" spans="2:16" ht="15.75" x14ac:dyDescent="0.25">
      <c r="B325" s="57">
        <v>310</v>
      </c>
      <c r="C325" s="176" t="str">
        <f>IF(VLOOKUP(B325,'דוח ביצוע (3)'!$A$21:$B$520,2,0)="","",VLOOKUP(B325,'דוח ביצוע (3)'!$A$21:$B$520,2,0))</f>
        <v/>
      </c>
      <c r="D325" s="177" t="str">
        <f>IFERROR(VLOOKUP($C:$C,'מצבת והרשמה (2)'!$C$20:$N$520,2,0)," ")</f>
        <v/>
      </c>
      <c r="E325" s="177" t="str">
        <f>IFERROR(VLOOKUP(C325,'דוח ביצוע (3)'!B:V,5,0)," ")</f>
        <v xml:space="preserve"> </v>
      </c>
      <c r="F325" s="177" t="str">
        <f t="shared" si="25"/>
        <v/>
      </c>
      <c r="G325" s="179">
        <f>SUMIFS('עלויות כח אדם (6)'!M:M,'עלויות כח אדם (6)'!B:B,' איוש משרות (8)'!C325,'עלויות כח אדם (6)'!N:N,"רכ")</f>
        <v>0</v>
      </c>
      <c r="H325" s="179">
        <f>IFERROR(VLOOKUP(P325,'עלויות כח אדם (6)'!$AE$16:$AF$3014,2,0),0)</f>
        <v>0</v>
      </c>
      <c r="I325" s="178">
        <f t="shared" si="28"/>
        <v>0</v>
      </c>
      <c r="J325" s="178">
        <f t="shared" si="29"/>
        <v>0</v>
      </c>
      <c r="K325" s="179" t="str">
        <f t="shared" si="26"/>
        <v/>
      </c>
      <c r="L325" s="718"/>
      <c r="M325" s="180" t="str">
        <f t="shared" si="30"/>
        <v/>
      </c>
      <c r="N325" s="531">
        <f t="shared" si="27"/>
        <v>0</v>
      </c>
      <c r="O325" s="531" t="str">
        <f>IF(C325&lt;&gt;"",C325&amp;'סיווג התפקידים והעלויות'!$C$2,"")</f>
        <v/>
      </c>
      <c r="P325" s="531" t="str">
        <f>IF(C325&lt;&gt;"",C325&amp;'סיווג התפקידים והעלויות'!$D$2,"")</f>
        <v/>
      </c>
    </row>
    <row r="326" spans="2:16" ht="15.75" x14ac:dyDescent="0.25">
      <c r="B326" s="176">
        <v>311</v>
      </c>
      <c r="C326" s="176" t="str">
        <f>IF(VLOOKUP(B326,'דוח ביצוע (3)'!$A$21:$B$520,2,0)="","",VLOOKUP(B326,'דוח ביצוע (3)'!$A$21:$B$520,2,0))</f>
        <v/>
      </c>
      <c r="D326" s="177" t="str">
        <f>IFERROR(VLOOKUP($C:$C,'מצבת והרשמה (2)'!$C$20:$N$520,2,0)," ")</f>
        <v/>
      </c>
      <c r="E326" s="177" t="str">
        <f>IFERROR(VLOOKUP(C326,'דוח ביצוע (3)'!B:V,5,0)," ")</f>
        <v xml:space="preserve"> </v>
      </c>
      <c r="F326" s="177" t="str">
        <f t="shared" si="25"/>
        <v/>
      </c>
      <c r="G326" s="179">
        <f>SUMIFS('עלויות כח אדם (6)'!M:M,'עלויות כח אדם (6)'!B:B,' איוש משרות (8)'!C326,'עלויות כח אדם (6)'!N:N,"רכ")</f>
        <v>0</v>
      </c>
      <c r="H326" s="179">
        <f>IFERROR(VLOOKUP(P326,'עלויות כח אדם (6)'!$AE$16:$AF$3014,2,0),0)</f>
        <v>0</v>
      </c>
      <c r="I326" s="178">
        <f t="shared" si="28"/>
        <v>0</v>
      </c>
      <c r="J326" s="178">
        <f t="shared" si="29"/>
        <v>0</v>
      </c>
      <c r="K326" s="179" t="str">
        <f t="shared" si="26"/>
        <v/>
      </c>
      <c r="L326" s="718"/>
      <c r="M326" s="180" t="str">
        <f t="shared" si="30"/>
        <v/>
      </c>
      <c r="N326" s="531">
        <f t="shared" si="27"/>
        <v>0</v>
      </c>
      <c r="O326" s="531" t="str">
        <f>IF(C326&lt;&gt;"",C326&amp;'סיווג התפקידים והעלויות'!$C$2,"")</f>
        <v/>
      </c>
      <c r="P326" s="531" t="str">
        <f>IF(C326&lt;&gt;"",C326&amp;'סיווג התפקידים והעלויות'!$D$2,"")</f>
        <v/>
      </c>
    </row>
    <row r="327" spans="2:16" ht="15.75" x14ac:dyDescent="0.25">
      <c r="B327" s="57">
        <v>312</v>
      </c>
      <c r="C327" s="176" t="str">
        <f>IF(VLOOKUP(B327,'דוח ביצוע (3)'!$A$21:$B$520,2,0)="","",VLOOKUP(B327,'דוח ביצוע (3)'!$A$21:$B$520,2,0))</f>
        <v/>
      </c>
      <c r="D327" s="177" t="str">
        <f>IFERROR(VLOOKUP($C:$C,'מצבת והרשמה (2)'!$C$20:$N$520,2,0)," ")</f>
        <v/>
      </c>
      <c r="E327" s="177" t="str">
        <f>IFERROR(VLOOKUP(C327,'דוח ביצוע (3)'!B:V,5,0)," ")</f>
        <v xml:space="preserve"> </v>
      </c>
      <c r="F327" s="177" t="str">
        <f t="shared" si="25"/>
        <v/>
      </c>
      <c r="G327" s="179">
        <f>SUMIFS('עלויות כח אדם (6)'!M:M,'עלויות כח אדם (6)'!B:B,' איוש משרות (8)'!C327,'עלויות כח אדם (6)'!N:N,"רכ")</f>
        <v>0</v>
      </c>
      <c r="H327" s="179">
        <f>IFERROR(VLOOKUP(P327,'עלויות כח אדם (6)'!$AE$16:$AF$3014,2,0),0)</f>
        <v>0</v>
      </c>
      <c r="I327" s="178">
        <f t="shared" si="28"/>
        <v>0</v>
      </c>
      <c r="J327" s="178">
        <f t="shared" si="29"/>
        <v>0</v>
      </c>
      <c r="K327" s="179" t="str">
        <f t="shared" si="26"/>
        <v/>
      </c>
      <c r="L327" s="718"/>
      <c r="M327" s="180" t="str">
        <f t="shared" si="30"/>
        <v/>
      </c>
      <c r="N327" s="531">
        <f t="shared" si="27"/>
        <v>0</v>
      </c>
      <c r="O327" s="531" t="str">
        <f>IF(C327&lt;&gt;"",C327&amp;'סיווג התפקידים והעלויות'!$C$2,"")</f>
        <v/>
      </c>
      <c r="P327" s="531" t="str">
        <f>IF(C327&lt;&gt;"",C327&amp;'סיווג התפקידים והעלויות'!$D$2,"")</f>
        <v/>
      </c>
    </row>
    <row r="328" spans="2:16" ht="15.75" x14ac:dyDescent="0.25">
      <c r="B328" s="176">
        <v>313</v>
      </c>
      <c r="C328" s="176" t="str">
        <f>IF(VLOOKUP(B328,'דוח ביצוע (3)'!$A$21:$B$520,2,0)="","",VLOOKUP(B328,'דוח ביצוע (3)'!$A$21:$B$520,2,0))</f>
        <v/>
      </c>
      <c r="D328" s="177" t="str">
        <f>IFERROR(VLOOKUP($C:$C,'מצבת והרשמה (2)'!$C$20:$N$520,2,0)," ")</f>
        <v/>
      </c>
      <c r="E328" s="177" t="str">
        <f>IFERROR(VLOOKUP(C328,'דוח ביצוע (3)'!B:V,5,0)," ")</f>
        <v xml:space="preserve"> </v>
      </c>
      <c r="F328" s="177" t="str">
        <f t="shared" si="25"/>
        <v/>
      </c>
      <c r="G328" s="179">
        <f>SUMIFS('עלויות כח אדם (6)'!M:M,'עלויות כח אדם (6)'!B:B,' איוש משרות (8)'!C328,'עלויות כח אדם (6)'!N:N,"רכ")</f>
        <v>0</v>
      </c>
      <c r="H328" s="179">
        <f>IFERROR(VLOOKUP(P328,'עלויות כח אדם (6)'!$AE$16:$AF$3014,2,0),0)</f>
        <v>0</v>
      </c>
      <c r="I328" s="178">
        <f t="shared" si="28"/>
        <v>0</v>
      </c>
      <c r="J328" s="178">
        <f t="shared" si="29"/>
        <v>0</v>
      </c>
      <c r="K328" s="179" t="str">
        <f t="shared" si="26"/>
        <v/>
      </c>
      <c r="L328" s="718"/>
      <c r="M328" s="180" t="str">
        <f t="shared" si="30"/>
        <v/>
      </c>
      <c r="N328" s="531">
        <f t="shared" si="27"/>
        <v>0</v>
      </c>
      <c r="O328" s="531" t="str">
        <f>IF(C328&lt;&gt;"",C328&amp;'סיווג התפקידים והעלויות'!$C$2,"")</f>
        <v/>
      </c>
      <c r="P328" s="531" t="str">
        <f>IF(C328&lt;&gt;"",C328&amp;'סיווג התפקידים והעלויות'!$D$2,"")</f>
        <v/>
      </c>
    </row>
    <row r="329" spans="2:16" ht="15.75" x14ac:dyDescent="0.25">
      <c r="B329" s="57">
        <v>314</v>
      </c>
      <c r="C329" s="176" t="str">
        <f>IF(VLOOKUP(B329,'דוח ביצוע (3)'!$A$21:$B$520,2,0)="","",VLOOKUP(B329,'דוח ביצוע (3)'!$A$21:$B$520,2,0))</f>
        <v/>
      </c>
      <c r="D329" s="177" t="str">
        <f>IFERROR(VLOOKUP($C:$C,'מצבת והרשמה (2)'!$C$20:$N$520,2,0)," ")</f>
        <v/>
      </c>
      <c r="E329" s="177" t="str">
        <f>IFERROR(VLOOKUP(C329,'דוח ביצוע (3)'!B:V,5,0)," ")</f>
        <v xml:space="preserve"> </v>
      </c>
      <c r="F329" s="177" t="str">
        <f t="shared" si="25"/>
        <v/>
      </c>
      <c r="G329" s="179">
        <f>SUMIFS('עלויות כח אדם (6)'!M:M,'עלויות כח אדם (6)'!B:B,' איוש משרות (8)'!C329,'עלויות כח אדם (6)'!N:N,"רכ")</f>
        <v>0</v>
      </c>
      <c r="H329" s="179">
        <f>IFERROR(VLOOKUP(P329,'עלויות כח אדם (6)'!$AE$16:$AF$3014,2,0),0)</f>
        <v>0</v>
      </c>
      <c r="I329" s="178">
        <f t="shared" si="28"/>
        <v>0</v>
      </c>
      <c r="J329" s="178">
        <f t="shared" si="29"/>
        <v>0</v>
      </c>
      <c r="K329" s="179" t="str">
        <f t="shared" si="26"/>
        <v/>
      </c>
      <c r="L329" s="718"/>
      <c r="M329" s="180" t="str">
        <f t="shared" si="30"/>
        <v/>
      </c>
      <c r="N329" s="531">
        <f t="shared" si="27"/>
        <v>0</v>
      </c>
      <c r="O329" s="531" t="str">
        <f>IF(C329&lt;&gt;"",C329&amp;'סיווג התפקידים והעלויות'!$C$2,"")</f>
        <v/>
      </c>
      <c r="P329" s="531" t="str">
        <f>IF(C329&lt;&gt;"",C329&amp;'סיווג התפקידים והעלויות'!$D$2,"")</f>
        <v/>
      </c>
    </row>
    <row r="330" spans="2:16" ht="15.75" x14ac:dyDescent="0.25">
      <c r="B330" s="176">
        <v>315</v>
      </c>
      <c r="C330" s="176" t="str">
        <f>IF(VLOOKUP(B330,'דוח ביצוע (3)'!$A$21:$B$520,2,0)="","",VLOOKUP(B330,'דוח ביצוע (3)'!$A$21:$B$520,2,0))</f>
        <v/>
      </c>
      <c r="D330" s="177" t="str">
        <f>IFERROR(VLOOKUP($C:$C,'מצבת והרשמה (2)'!$C$20:$N$520,2,0)," ")</f>
        <v/>
      </c>
      <c r="E330" s="177" t="str">
        <f>IFERROR(VLOOKUP(C330,'דוח ביצוע (3)'!B:V,5,0)," ")</f>
        <v xml:space="preserve"> </v>
      </c>
      <c r="F330" s="177" t="str">
        <f t="shared" si="25"/>
        <v/>
      </c>
      <c r="G330" s="179">
        <f>SUMIFS('עלויות כח אדם (6)'!M:M,'עלויות כח אדם (6)'!B:B,' איוש משרות (8)'!C330,'עלויות כח אדם (6)'!N:N,"רכ")</f>
        <v>0</v>
      </c>
      <c r="H330" s="179">
        <f>IFERROR(VLOOKUP(P330,'עלויות כח אדם (6)'!$AE$16:$AF$3014,2,0),0)</f>
        <v>0</v>
      </c>
      <c r="I330" s="178">
        <f t="shared" si="28"/>
        <v>0</v>
      </c>
      <c r="J330" s="178">
        <f t="shared" si="29"/>
        <v>0</v>
      </c>
      <c r="K330" s="179" t="str">
        <f t="shared" si="26"/>
        <v/>
      </c>
      <c r="L330" s="718"/>
      <c r="M330" s="180" t="str">
        <f t="shared" si="30"/>
        <v/>
      </c>
      <c r="N330" s="531">
        <f t="shared" si="27"/>
        <v>0</v>
      </c>
      <c r="O330" s="531" t="str">
        <f>IF(C330&lt;&gt;"",C330&amp;'סיווג התפקידים והעלויות'!$C$2,"")</f>
        <v/>
      </c>
      <c r="P330" s="531" t="str">
        <f>IF(C330&lt;&gt;"",C330&amp;'סיווג התפקידים והעלויות'!$D$2,"")</f>
        <v/>
      </c>
    </row>
    <row r="331" spans="2:16" ht="15.75" x14ac:dyDescent="0.25">
      <c r="B331" s="57">
        <v>316</v>
      </c>
      <c r="C331" s="176" t="str">
        <f>IF(VLOOKUP(B331,'דוח ביצוע (3)'!$A$21:$B$520,2,0)="","",VLOOKUP(B331,'דוח ביצוע (3)'!$A$21:$B$520,2,0))</f>
        <v/>
      </c>
      <c r="D331" s="177" t="str">
        <f>IFERROR(VLOOKUP($C:$C,'מצבת והרשמה (2)'!$C$20:$N$520,2,0)," ")</f>
        <v/>
      </c>
      <c r="E331" s="177" t="str">
        <f>IFERROR(VLOOKUP(C331,'דוח ביצוע (3)'!B:V,5,0)," ")</f>
        <v xml:space="preserve"> </v>
      </c>
      <c r="F331" s="177" t="str">
        <f t="shared" si="25"/>
        <v/>
      </c>
      <c r="G331" s="179">
        <f>SUMIFS('עלויות כח אדם (6)'!M:M,'עלויות כח אדם (6)'!B:B,' איוש משרות (8)'!C331,'עלויות כח אדם (6)'!N:N,"רכ")</f>
        <v>0</v>
      </c>
      <c r="H331" s="179">
        <f>IFERROR(VLOOKUP(P331,'עלויות כח אדם (6)'!$AE$16:$AF$3014,2,0),0)</f>
        <v>0</v>
      </c>
      <c r="I331" s="178">
        <f t="shared" si="28"/>
        <v>0</v>
      </c>
      <c r="J331" s="178">
        <f t="shared" si="29"/>
        <v>0</v>
      </c>
      <c r="K331" s="179" t="str">
        <f t="shared" si="26"/>
        <v/>
      </c>
      <c r="L331" s="718"/>
      <c r="M331" s="180" t="str">
        <f t="shared" si="30"/>
        <v/>
      </c>
      <c r="N331" s="531">
        <f t="shared" si="27"/>
        <v>0</v>
      </c>
      <c r="O331" s="531" t="str">
        <f>IF(C331&lt;&gt;"",C331&amp;'סיווג התפקידים והעלויות'!$C$2,"")</f>
        <v/>
      </c>
      <c r="P331" s="531" t="str">
        <f>IF(C331&lt;&gt;"",C331&amp;'סיווג התפקידים והעלויות'!$D$2,"")</f>
        <v/>
      </c>
    </row>
    <row r="332" spans="2:16" ht="15.75" x14ac:dyDescent="0.25">
      <c r="B332" s="176">
        <v>317</v>
      </c>
      <c r="C332" s="176" t="str">
        <f>IF(VLOOKUP(B332,'דוח ביצוע (3)'!$A$21:$B$520,2,0)="","",VLOOKUP(B332,'דוח ביצוע (3)'!$A$21:$B$520,2,0))</f>
        <v/>
      </c>
      <c r="D332" s="177" t="str">
        <f>IFERROR(VLOOKUP($C:$C,'מצבת והרשמה (2)'!$C$20:$N$520,2,0)," ")</f>
        <v/>
      </c>
      <c r="E332" s="177" t="str">
        <f>IFERROR(VLOOKUP(C332,'דוח ביצוע (3)'!B:V,5,0)," ")</f>
        <v xml:space="preserve"> </v>
      </c>
      <c r="F332" s="177" t="str">
        <f t="shared" si="25"/>
        <v/>
      </c>
      <c r="G332" s="179">
        <f>SUMIFS('עלויות כח אדם (6)'!M:M,'עלויות כח אדם (6)'!B:B,' איוש משרות (8)'!C332,'עלויות כח אדם (6)'!N:N,"רכ")</f>
        <v>0</v>
      </c>
      <c r="H332" s="179">
        <f>IFERROR(VLOOKUP(P332,'עלויות כח אדם (6)'!$AE$16:$AF$3014,2,0),0)</f>
        <v>0</v>
      </c>
      <c r="I332" s="178">
        <f t="shared" si="28"/>
        <v>0</v>
      </c>
      <c r="J332" s="178">
        <f t="shared" si="29"/>
        <v>0</v>
      </c>
      <c r="K332" s="179" t="str">
        <f t="shared" si="26"/>
        <v/>
      </c>
      <c r="L332" s="718"/>
      <c r="M332" s="180" t="str">
        <f t="shared" si="30"/>
        <v/>
      </c>
      <c r="N332" s="531">
        <f t="shared" si="27"/>
        <v>0</v>
      </c>
      <c r="O332" s="531" t="str">
        <f>IF(C332&lt;&gt;"",C332&amp;'סיווג התפקידים והעלויות'!$C$2,"")</f>
        <v/>
      </c>
      <c r="P332" s="531" t="str">
        <f>IF(C332&lt;&gt;"",C332&amp;'סיווג התפקידים והעלויות'!$D$2,"")</f>
        <v/>
      </c>
    </row>
    <row r="333" spans="2:16" ht="15.75" x14ac:dyDescent="0.25">
      <c r="B333" s="57">
        <v>318</v>
      </c>
      <c r="C333" s="176" t="str">
        <f>IF(VLOOKUP(B333,'דוח ביצוע (3)'!$A$21:$B$520,2,0)="","",VLOOKUP(B333,'דוח ביצוע (3)'!$A$21:$B$520,2,0))</f>
        <v/>
      </c>
      <c r="D333" s="177" t="str">
        <f>IFERROR(VLOOKUP($C:$C,'מצבת והרשמה (2)'!$C$20:$N$520,2,0)," ")</f>
        <v/>
      </c>
      <c r="E333" s="177" t="str">
        <f>IFERROR(VLOOKUP(C333,'דוח ביצוע (3)'!B:V,5,0)," ")</f>
        <v xml:space="preserve"> </v>
      </c>
      <c r="F333" s="177" t="str">
        <f t="shared" si="25"/>
        <v/>
      </c>
      <c r="G333" s="179">
        <f>SUMIFS('עלויות כח אדם (6)'!M:M,'עלויות כח אדם (6)'!B:B,' איוש משרות (8)'!C333,'עלויות כח אדם (6)'!N:N,"רכ")</f>
        <v>0</v>
      </c>
      <c r="H333" s="179">
        <f>IFERROR(VLOOKUP(P333,'עלויות כח אדם (6)'!$AE$16:$AF$3014,2,0),0)</f>
        <v>0</v>
      </c>
      <c r="I333" s="178">
        <f t="shared" si="28"/>
        <v>0</v>
      </c>
      <c r="J333" s="178">
        <f t="shared" si="29"/>
        <v>0</v>
      </c>
      <c r="K333" s="179" t="str">
        <f t="shared" si="26"/>
        <v/>
      </c>
      <c r="L333" s="718"/>
      <c r="M333" s="180" t="str">
        <f t="shared" si="30"/>
        <v/>
      </c>
      <c r="N333" s="531">
        <f t="shared" si="27"/>
        <v>0</v>
      </c>
      <c r="O333" s="531" t="str">
        <f>IF(C333&lt;&gt;"",C333&amp;'סיווג התפקידים והעלויות'!$C$2,"")</f>
        <v/>
      </c>
      <c r="P333" s="531" t="str">
        <f>IF(C333&lt;&gt;"",C333&amp;'סיווג התפקידים והעלויות'!$D$2,"")</f>
        <v/>
      </c>
    </row>
    <row r="334" spans="2:16" ht="15.75" x14ac:dyDescent="0.25">
      <c r="B334" s="176">
        <v>319</v>
      </c>
      <c r="C334" s="176" t="str">
        <f>IF(VLOOKUP(B334,'דוח ביצוע (3)'!$A$21:$B$520,2,0)="","",VLOOKUP(B334,'דוח ביצוע (3)'!$A$21:$B$520,2,0))</f>
        <v/>
      </c>
      <c r="D334" s="177" t="str">
        <f>IFERROR(VLOOKUP($C:$C,'מצבת והרשמה (2)'!$C$20:$N$520,2,0)," ")</f>
        <v/>
      </c>
      <c r="E334" s="177" t="str">
        <f>IFERROR(VLOOKUP(C334,'דוח ביצוע (3)'!B:V,5,0)," ")</f>
        <v xml:space="preserve"> </v>
      </c>
      <c r="F334" s="177" t="str">
        <f t="shared" si="25"/>
        <v/>
      </c>
      <c r="G334" s="179">
        <f>SUMIFS('עלויות כח אדם (6)'!M:M,'עלויות כח אדם (6)'!B:B,' איוש משרות (8)'!C334,'עלויות כח אדם (6)'!N:N,"רכ")</f>
        <v>0</v>
      </c>
      <c r="H334" s="179">
        <f>IFERROR(VLOOKUP(P334,'עלויות כח אדם (6)'!$AE$16:$AF$3014,2,0),0)</f>
        <v>0</v>
      </c>
      <c r="I334" s="178">
        <f t="shared" si="28"/>
        <v>0</v>
      </c>
      <c r="J334" s="178">
        <f t="shared" si="29"/>
        <v>0</v>
      </c>
      <c r="K334" s="179" t="str">
        <f t="shared" si="26"/>
        <v/>
      </c>
      <c r="L334" s="718"/>
      <c r="M334" s="180" t="str">
        <f t="shared" si="30"/>
        <v/>
      </c>
      <c r="N334" s="531">
        <f t="shared" si="27"/>
        <v>0</v>
      </c>
      <c r="O334" s="531" t="str">
        <f>IF(C334&lt;&gt;"",C334&amp;'סיווג התפקידים והעלויות'!$C$2,"")</f>
        <v/>
      </c>
      <c r="P334" s="531" t="str">
        <f>IF(C334&lt;&gt;"",C334&amp;'סיווג התפקידים והעלויות'!$D$2,"")</f>
        <v/>
      </c>
    </row>
    <row r="335" spans="2:16" ht="15.75" x14ac:dyDescent="0.25">
      <c r="B335" s="57">
        <v>320</v>
      </c>
      <c r="C335" s="176" t="str">
        <f>IF(VLOOKUP(B335,'דוח ביצוע (3)'!$A$21:$B$520,2,0)="","",VLOOKUP(B335,'דוח ביצוע (3)'!$A$21:$B$520,2,0))</f>
        <v/>
      </c>
      <c r="D335" s="177" t="str">
        <f>IFERROR(VLOOKUP($C:$C,'מצבת והרשמה (2)'!$C$20:$N$520,2,0)," ")</f>
        <v/>
      </c>
      <c r="E335" s="177" t="str">
        <f>IFERROR(VLOOKUP(C335,'דוח ביצוע (3)'!B:V,5,0)," ")</f>
        <v xml:space="preserve"> </v>
      </c>
      <c r="F335" s="177" t="str">
        <f t="shared" si="25"/>
        <v/>
      </c>
      <c r="G335" s="179">
        <f>SUMIFS('עלויות כח אדם (6)'!M:M,'עלויות כח אדם (6)'!B:B,' איוש משרות (8)'!C335,'עלויות כח אדם (6)'!N:N,"רכ")</f>
        <v>0</v>
      </c>
      <c r="H335" s="179">
        <f>IFERROR(VLOOKUP(P335,'עלויות כח אדם (6)'!$AE$16:$AF$3014,2,0),0)</f>
        <v>0</v>
      </c>
      <c r="I335" s="178">
        <f t="shared" si="28"/>
        <v>0</v>
      </c>
      <c r="J335" s="178">
        <f t="shared" si="29"/>
        <v>0</v>
      </c>
      <c r="K335" s="179" t="str">
        <f t="shared" si="26"/>
        <v/>
      </c>
      <c r="L335" s="718"/>
      <c r="M335" s="180" t="str">
        <f t="shared" si="30"/>
        <v/>
      </c>
      <c r="N335" s="531">
        <f t="shared" si="27"/>
        <v>0</v>
      </c>
      <c r="O335" s="531" t="str">
        <f>IF(C335&lt;&gt;"",C335&amp;'סיווג התפקידים והעלויות'!$C$2,"")</f>
        <v/>
      </c>
      <c r="P335" s="531" t="str">
        <f>IF(C335&lt;&gt;"",C335&amp;'סיווג התפקידים והעלויות'!$D$2,"")</f>
        <v/>
      </c>
    </row>
    <row r="336" spans="2:16" ht="15.75" x14ac:dyDescent="0.25">
      <c r="B336" s="176">
        <v>321</v>
      </c>
      <c r="C336" s="176" t="str">
        <f>IF(VLOOKUP(B336,'דוח ביצוע (3)'!$A$21:$B$520,2,0)="","",VLOOKUP(B336,'דוח ביצוע (3)'!$A$21:$B$520,2,0))</f>
        <v/>
      </c>
      <c r="D336" s="177" t="str">
        <f>IFERROR(VLOOKUP($C:$C,'מצבת והרשמה (2)'!$C$20:$N$520,2,0)," ")</f>
        <v/>
      </c>
      <c r="E336" s="177" t="str">
        <f>IFERROR(VLOOKUP(C336,'דוח ביצוע (3)'!B:V,5,0)," ")</f>
        <v xml:space="preserve"> </v>
      </c>
      <c r="F336" s="177" t="str">
        <f t="shared" si="25"/>
        <v/>
      </c>
      <c r="G336" s="179">
        <f>SUMIFS('עלויות כח אדם (6)'!M:M,'עלויות כח אדם (6)'!B:B,' איוש משרות (8)'!C336,'עלויות כח אדם (6)'!N:N,"רכ")</f>
        <v>0</v>
      </c>
      <c r="H336" s="179">
        <f>IFERROR(VLOOKUP(P336,'עלויות כח אדם (6)'!$AE$16:$AF$3014,2,0),0)</f>
        <v>0</v>
      </c>
      <c r="I336" s="178">
        <f t="shared" si="28"/>
        <v>0</v>
      </c>
      <c r="J336" s="178">
        <f t="shared" si="29"/>
        <v>0</v>
      </c>
      <c r="K336" s="179" t="str">
        <f t="shared" si="26"/>
        <v/>
      </c>
      <c r="L336" s="718"/>
      <c r="M336" s="180" t="str">
        <f t="shared" si="30"/>
        <v/>
      </c>
      <c r="N336" s="531">
        <f t="shared" si="27"/>
        <v>0</v>
      </c>
      <c r="O336" s="531" t="str">
        <f>IF(C336&lt;&gt;"",C336&amp;'סיווג התפקידים והעלויות'!$C$2,"")</f>
        <v/>
      </c>
      <c r="P336" s="531" t="str">
        <f>IF(C336&lt;&gt;"",C336&amp;'סיווג התפקידים והעלויות'!$D$2,"")</f>
        <v/>
      </c>
    </row>
    <row r="337" spans="2:16" ht="15.75" x14ac:dyDescent="0.25">
      <c r="B337" s="57">
        <v>322</v>
      </c>
      <c r="C337" s="176" t="str">
        <f>IF(VLOOKUP(B337,'דוח ביצוע (3)'!$A$21:$B$520,2,0)="","",VLOOKUP(B337,'דוח ביצוע (3)'!$A$21:$B$520,2,0))</f>
        <v/>
      </c>
      <c r="D337" s="177" t="str">
        <f>IFERROR(VLOOKUP($C:$C,'מצבת והרשמה (2)'!$C$20:$N$520,2,0)," ")</f>
        <v/>
      </c>
      <c r="E337" s="177" t="str">
        <f>IFERROR(VLOOKUP(C337,'דוח ביצוע (3)'!B:V,5,0)," ")</f>
        <v xml:space="preserve"> </v>
      </c>
      <c r="F337" s="177" t="str">
        <f t="shared" ref="F337:F400" si="31">IF(C337&lt;&gt;"",IF(ISNUMBER(E337),IF(E337&gt;149,"זכאי","לא זכאי"),""),"")</f>
        <v/>
      </c>
      <c r="G337" s="179">
        <f>SUMIFS('עלויות כח אדם (6)'!M:M,'עלויות כח אדם (6)'!B:B,' איוש משרות (8)'!C337,'עלויות כח אדם (6)'!N:N,"רכ")</f>
        <v>0</v>
      </c>
      <c r="H337" s="179">
        <f>IFERROR(VLOOKUP(P337,'עלויות כח אדם (6)'!$AE$16:$AF$3014,2,0),0)</f>
        <v>0</v>
      </c>
      <c r="I337" s="178">
        <f t="shared" si="28"/>
        <v>0</v>
      </c>
      <c r="J337" s="178">
        <f t="shared" si="29"/>
        <v>0</v>
      </c>
      <c r="K337" s="179" t="str">
        <f t="shared" ref="K337:K400" si="32">IF(ISNUMBER(C337),IF(I337=0,CONCATENATE("המוסד לא העסיק רכז ",IF(AND(F337="זכאי",J337=0),"וסגן רכז ",""),"ועל כן אין זכאות לקבלת תקציב"),"תקין"),"")</f>
        <v/>
      </c>
      <c r="L337" s="718"/>
      <c r="M337" s="180" t="str">
        <f t="shared" si="30"/>
        <v/>
      </c>
      <c r="N337" s="531">
        <f t="shared" ref="N337:N400" si="33">IF(LEFT(K337,14)="המוסד לא העסיק",1,0)</f>
        <v>0</v>
      </c>
      <c r="O337" s="531" t="str">
        <f>IF(C337&lt;&gt;"",C337&amp;'סיווג התפקידים והעלויות'!$C$2,"")</f>
        <v/>
      </c>
      <c r="P337" s="531" t="str">
        <f>IF(C337&lt;&gt;"",C337&amp;'סיווג התפקידים והעלויות'!$D$2,"")</f>
        <v/>
      </c>
    </row>
    <row r="338" spans="2:16" ht="15.75" x14ac:dyDescent="0.25">
      <c r="B338" s="176">
        <v>323</v>
      </c>
      <c r="C338" s="176" t="str">
        <f>IF(VLOOKUP(B338,'דוח ביצוע (3)'!$A$21:$B$520,2,0)="","",VLOOKUP(B338,'דוח ביצוע (3)'!$A$21:$B$520,2,0))</f>
        <v/>
      </c>
      <c r="D338" s="177" t="str">
        <f>IFERROR(VLOOKUP($C:$C,'מצבת והרשמה (2)'!$C$20:$N$520,2,0)," ")</f>
        <v/>
      </c>
      <c r="E338" s="177" t="str">
        <f>IFERROR(VLOOKUP(C338,'דוח ביצוע (3)'!B:V,5,0)," ")</f>
        <v xml:space="preserve"> </v>
      </c>
      <c r="F338" s="177" t="str">
        <f t="shared" si="31"/>
        <v/>
      </c>
      <c r="G338" s="179">
        <f>SUMIFS('עלויות כח אדם (6)'!M:M,'עלויות כח אדם (6)'!B:B,' איוש משרות (8)'!C338,'עלויות כח אדם (6)'!N:N,"רכ")</f>
        <v>0</v>
      </c>
      <c r="H338" s="179">
        <f>IFERROR(VLOOKUP(P338,'עלויות כח אדם (6)'!$AE$16:$AF$3014,2,0),0)</f>
        <v>0</v>
      </c>
      <c r="I338" s="178">
        <f t="shared" ref="I338:I401" si="34">IF(G338&gt;0,G338,H338)</f>
        <v>0</v>
      </c>
      <c r="J338" s="178">
        <f t="shared" ref="J338:J401" si="35">IF(AND(F338="זכאי",G338&gt;0),H338,0)</f>
        <v>0</v>
      </c>
      <c r="K338" s="179" t="str">
        <f t="shared" si="32"/>
        <v/>
      </c>
      <c r="L338" s="718"/>
      <c r="M338" s="180" t="str">
        <f t="shared" si="30"/>
        <v/>
      </c>
      <c r="N338" s="531">
        <f t="shared" si="33"/>
        <v>0</v>
      </c>
      <c r="O338" s="531" t="str">
        <f>IF(C338&lt;&gt;"",C338&amp;'סיווג התפקידים והעלויות'!$C$2,"")</f>
        <v/>
      </c>
      <c r="P338" s="531" t="str">
        <f>IF(C338&lt;&gt;"",C338&amp;'סיווג התפקידים והעלויות'!$D$2,"")</f>
        <v/>
      </c>
    </row>
    <row r="339" spans="2:16" ht="15.75" x14ac:dyDescent="0.25">
      <c r="B339" s="57">
        <v>324</v>
      </c>
      <c r="C339" s="176" t="str">
        <f>IF(VLOOKUP(B339,'דוח ביצוע (3)'!$A$21:$B$520,2,0)="","",VLOOKUP(B339,'דוח ביצוע (3)'!$A$21:$B$520,2,0))</f>
        <v/>
      </c>
      <c r="D339" s="177" t="str">
        <f>IFERROR(VLOOKUP($C:$C,'מצבת והרשמה (2)'!$C$20:$N$520,2,0)," ")</f>
        <v/>
      </c>
      <c r="E339" s="177" t="str">
        <f>IFERROR(VLOOKUP(C339,'דוח ביצוע (3)'!B:V,5,0)," ")</f>
        <v xml:space="preserve"> </v>
      </c>
      <c r="F339" s="177" t="str">
        <f t="shared" si="31"/>
        <v/>
      </c>
      <c r="G339" s="179">
        <f>SUMIFS('עלויות כח אדם (6)'!M:M,'עלויות כח אדם (6)'!B:B,' איוש משרות (8)'!C339,'עלויות כח אדם (6)'!N:N,"רכ")</f>
        <v>0</v>
      </c>
      <c r="H339" s="179">
        <f>IFERROR(VLOOKUP(P339,'עלויות כח אדם (6)'!$AE$16:$AF$3014,2,0),0)</f>
        <v>0</v>
      </c>
      <c r="I339" s="178">
        <f t="shared" si="34"/>
        <v>0</v>
      </c>
      <c r="J339" s="178">
        <f t="shared" si="35"/>
        <v>0</v>
      </c>
      <c r="K339" s="179" t="str">
        <f t="shared" si="32"/>
        <v/>
      </c>
      <c r="L339" s="718"/>
      <c r="M339" s="180" t="str">
        <f t="shared" ref="M339:M402" si="36">IF(ISNUMBER(C339),IF(COUNTIF($C$16:$C$1994,C339)=1,"תקין",IFERROR(CONCATENATE("סמל בית הספר הוקלד ",COUNTIF($C$16:$C$1994,C339)," פעמים"),"")),"")</f>
        <v/>
      </c>
      <c r="N339" s="531">
        <f t="shared" si="33"/>
        <v>0</v>
      </c>
      <c r="O339" s="531" t="str">
        <f>IF(C339&lt;&gt;"",C339&amp;'סיווג התפקידים והעלויות'!$C$2,"")</f>
        <v/>
      </c>
      <c r="P339" s="531" t="str">
        <f>IF(C339&lt;&gt;"",C339&amp;'סיווג התפקידים והעלויות'!$D$2,"")</f>
        <v/>
      </c>
    </row>
    <row r="340" spans="2:16" ht="15.75" x14ac:dyDescent="0.25">
      <c r="B340" s="176">
        <v>325</v>
      </c>
      <c r="C340" s="176" t="str">
        <f>IF(VLOOKUP(B340,'דוח ביצוע (3)'!$A$21:$B$520,2,0)="","",VLOOKUP(B340,'דוח ביצוע (3)'!$A$21:$B$520,2,0))</f>
        <v/>
      </c>
      <c r="D340" s="177" t="str">
        <f>IFERROR(VLOOKUP($C:$C,'מצבת והרשמה (2)'!$C$20:$N$520,2,0)," ")</f>
        <v/>
      </c>
      <c r="E340" s="177" t="str">
        <f>IFERROR(VLOOKUP(C340,'דוח ביצוע (3)'!B:V,5,0)," ")</f>
        <v xml:space="preserve"> </v>
      </c>
      <c r="F340" s="177" t="str">
        <f t="shared" si="31"/>
        <v/>
      </c>
      <c r="G340" s="179">
        <f>SUMIFS('עלויות כח אדם (6)'!M:M,'עלויות כח אדם (6)'!B:B,' איוש משרות (8)'!C340,'עלויות כח אדם (6)'!N:N,"רכ")</f>
        <v>0</v>
      </c>
      <c r="H340" s="179">
        <f>IFERROR(VLOOKUP(P340,'עלויות כח אדם (6)'!$AE$16:$AF$3014,2,0),0)</f>
        <v>0</v>
      </c>
      <c r="I340" s="178">
        <f t="shared" si="34"/>
        <v>0</v>
      </c>
      <c r="J340" s="178">
        <f t="shared" si="35"/>
        <v>0</v>
      </c>
      <c r="K340" s="179" t="str">
        <f t="shared" si="32"/>
        <v/>
      </c>
      <c r="L340" s="718"/>
      <c r="M340" s="180" t="str">
        <f t="shared" si="36"/>
        <v/>
      </c>
      <c r="N340" s="531">
        <f t="shared" si="33"/>
        <v>0</v>
      </c>
      <c r="O340" s="531" t="str">
        <f>IF(C340&lt;&gt;"",C340&amp;'סיווג התפקידים והעלויות'!$C$2,"")</f>
        <v/>
      </c>
      <c r="P340" s="531" t="str">
        <f>IF(C340&lt;&gt;"",C340&amp;'סיווג התפקידים והעלויות'!$D$2,"")</f>
        <v/>
      </c>
    </row>
    <row r="341" spans="2:16" ht="15.75" x14ac:dyDescent="0.25">
      <c r="B341" s="57">
        <v>326</v>
      </c>
      <c r="C341" s="176" t="str">
        <f>IF(VLOOKUP(B341,'דוח ביצוע (3)'!$A$21:$B$520,2,0)="","",VLOOKUP(B341,'דוח ביצוע (3)'!$A$21:$B$520,2,0))</f>
        <v/>
      </c>
      <c r="D341" s="177" t="str">
        <f>IFERROR(VLOOKUP($C:$C,'מצבת והרשמה (2)'!$C$20:$N$520,2,0)," ")</f>
        <v/>
      </c>
      <c r="E341" s="177" t="str">
        <f>IFERROR(VLOOKUP(C341,'דוח ביצוע (3)'!B:V,5,0)," ")</f>
        <v xml:space="preserve"> </v>
      </c>
      <c r="F341" s="177" t="str">
        <f t="shared" si="31"/>
        <v/>
      </c>
      <c r="G341" s="179">
        <f>SUMIFS('עלויות כח אדם (6)'!M:M,'עלויות כח אדם (6)'!B:B,' איוש משרות (8)'!C341,'עלויות כח אדם (6)'!N:N,"רכ")</f>
        <v>0</v>
      </c>
      <c r="H341" s="179">
        <f>IFERROR(VLOOKUP(P341,'עלויות כח אדם (6)'!$AE$16:$AF$3014,2,0),0)</f>
        <v>0</v>
      </c>
      <c r="I341" s="178">
        <f t="shared" si="34"/>
        <v>0</v>
      </c>
      <c r="J341" s="178">
        <f t="shared" si="35"/>
        <v>0</v>
      </c>
      <c r="K341" s="179" t="str">
        <f t="shared" si="32"/>
        <v/>
      </c>
      <c r="L341" s="718"/>
      <c r="M341" s="180" t="str">
        <f t="shared" si="36"/>
        <v/>
      </c>
      <c r="N341" s="531">
        <f t="shared" si="33"/>
        <v>0</v>
      </c>
      <c r="O341" s="531" t="str">
        <f>IF(C341&lt;&gt;"",C341&amp;'סיווג התפקידים והעלויות'!$C$2,"")</f>
        <v/>
      </c>
      <c r="P341" s="531" t="str">
        <f>IF(C341&lt;&gt;"",C341&amp;'סיווג התפקידים והעלויות'!$D$2,"")</f>
        <v/>
      </c>
    </row>
    <row r="342" spans="2:16" ht="15.75" x14ac:dyDescent="0.25">
      <c r="B342" s="176">
        <v>327</v>
      </c>
      <c r="C342" s="176" t="str">
        <f>IF(VLOOKUP(B342,'דוח ביצוע (3)'!$A$21:$B$520,2,0)="","",VLOOKUP(B342,'דוח ביצוע (3)'!$A$21:$B$520,2,0))</f>
        <v/>
      </c>
      <c r="D342" s="177" t="str">
        <f>IFERROR(VLOOKUP($C:$C,'מצבת והרשמה (2)'!$C$20:$N$520,2,0)," ")</f>
        <v/>
      </c>
      <c r="E342" s="177" t="str">
        <f>IFERROR(VLOOKUP(C342,'דוח ביצוע (3)'!B:V,5,0)," ")</f>
        <v xml:space="preserve"> </v>
      </c>
      <c r="F342" s="177" t="str">
        <f t="shared" si="31"/>
        <v/>
      </c>
      <c r="G342" s="179">
        <f>SUMIFS('עלויות כח אדם (6)'!M:M,'עלויות כח אדם (6)'!B:B,' איוש משרות (8)'!C342,'עלויות כח אדם (6)'!N:N,"רכ")</f>
        <v>0</v>
      </c>
      <c r="H342" s="179">
        <f>IFERROR(VLOOKUP(P342,'עלויות כח אדם (6)'!$AE$16:$AF$3014,2,0),0)</f>
        <v>0</v>
      </c>
      <c r="I342" s="178">
        <f t="shared" si="34"/>
        <v>0</v>
      </c>
      <c r="J342" s="178">
        <f t="shared" si="35"/>
        <v>0</v>
      </c>
      <c r="K342" s="179" t="str">
        <f t="shared" si="32"/>
        <v/>
      </c>
      <c r="L342" s="718"/>
      <c r="M342" s="180" t="str">
        <f t="shared" si="36"/>
        <v/>
      </c>
      <c r="N342" s="531">
        <f t="shared" si="33"/>
        <v>0</v>
      </c>
      <c r="O342" s="531" t="str">
        <f>IF(C342&lt;&gt;"",C342&amp;'סיווג התפקידים והעלויות'!$C$2,"")</f>
        <v/>
      </c>
      <c r="P342" s="531" t="str">
        <f>IF(C342&lt;&gt;"",C342&amp;'סיווג התפקידים והעלויות'!$D$2,"")</f>
        <v/>
      </c>
    </row>
    <row r="343" spans="2:16" ht="15.75" x14ac:dyDescent="0.25">
      <c r="B343" s="57">
        <v>328</v>
      </c>
      <c r="C343" s="176" t="str">
        <f>IF(VLOOKUP(B343,'דוח ביצוע (3)'!$A$21:$B$520,2,0)="","",VLOOKUP(B343,'דוח ביצוע (3)'!$A$21:$B$520,2,0))</f>
        <v/>
      </c>
      <c r="D343" s="177" t="str">
        <f>IFERROR(VLOOKUP($C:$C,'מצבת והרשמה (2)'!$C$20:$N$520,2,0)," ")</f>
        <v/>
      </c>
      <c r="E343" s="177" t="str">
        <f>IFERROR(VLOOKUP(C343,'דוח ביצוע (3)'!B:V,5,0)," ")</f>
        <v xml:space="preserve"> </v>
      </c>
      <c r="F343" s="177" t="str">
        <f t="shared" si="31"/>
        <v/>
      </c>
      <c r="G343" s="179">
        <f>SUMIFS('עלויות כח אדם (6)'!M:M,'עלויות כח אדם (6)'!B:B,' איוש משרות (8)'!C343,'עלויות כח אדם (6)'!N:N,"רכ")</f>
        <v>0</v>
      </c>
      <c r="H343" s="179">
        <f>IFERROR(VLOOKUP(P343,'עלויות כח אדם (6)'!$AE$16:$AF$3014,2,0),0)</f>
        <v>0</v>
      </c>
      <c r="I343" s="178">
        <f t="shared" si="34"/>
        <v>0</v>
      </c>
      <c r="J343" s="178">
        <f t="shared" si="35"/>
        <v>0</v>
      </c>
      <c r="K343" s="179" t="str">
        <f t="shared" si="32"/>
        <v/>
      </c>
      <c r="L343" s="718"/>
      <c r="M343" s="180" t="str">
        <f t="shared" si="36"/>
        <v/>
      </c>
      <c r="N343" s="531">
        <f t="shared" si="33"/>
        <v>0</v>
      </c>
      <c r="O343" s="531" t="str">
        <f>IF(C343&lt;&gt;"",C343&amp;'סיווג התפקידים והעלויות'!$C$2,"")</f>
        <v/>
      </c>
      <c r="P343" s="531" t="str">
        <f>IF(C343&lt;&gt;"",C343&amp;'סיווג התפקידים והעלויות'!$D$2,"")</f>
        <v/>
      </c>
    </row>
    <row r="344" spans="2:16" ht="15.75" x14ac:dyDescent="0.25">
      <c r="B344" s="176">
        <v>329</v>
      </c>
      <c r="C344" s="176" t="str">
        <f>IF(VLOOKUP(B344,'דוח ביצוע (3)'!$A$21:$B$520,2,0)="","",VLOOKUP(B344,'דוח ביצוע (3)'!$A$21:$B$520,2,0))</f>
        <v/>
      </c>
      <c r="D344" s="177" t="str">
        <f>IFERROR(VLOOKUP($C:$C,'מצבת והרשמה (2)'!$C$20:$N$520,2,0)," ")</f>
        <v/>
      </c>
      <c r="E344" s="177" t="str">
        <f>IFERROR(VLOOKUP(C344,'דוח ביצוע (3)'!B:V,5,0)," ")</f>
        <v xml:space="preserve"> </v>
      </c>
      <c r="F344" s="177" t="str">
        <f t="shared" si="31"/>
        <v/>
      </c>
      <c r="G344" s="179">
        <f>SUMIFS('עלויות כח אדם (6)'!M:M,'עלויות כח אדם (6)'!B:B,' איוש משרות (8)'!C344,'עלויות כח אדם (6)'!N:N,"רכ")</f>
        <v>0</v>
      </c>
      <c r="H344" s="179">
        <f>IFERROR(VLOOKUP(P344,'עלויות כח אדם (6)'!$AE$16:$AF$3014,2,0),0)</f>
        <v>0</v>
      </c>
      <c r="I344" s="178">
        <f t="shared" si="34"/>
        <v>0</v>
      </c>
      <c r="J344" s="178">
        <f t="shared" si="35"/>
        <v>0</v>
      </c>
      <c r="K344" s="179" t="str">
        <f t="shared" si="32"/>
        <v/>
      </c>
      <c r="L344" s="718"/>
      <c r="M344" s="180" t="str">
        <f t="shared" si="36"/>
        <v/>
      </c>
      <c r="N344" s="531">
        <f t="shared" si="33"/>
        <v>0</v>
      </c>
      <c r="O344" s="531" t="str">
        <f>IF(C344&lt;&gt;"",C344&amp;'סיווג התפקידים והעלויות'!$C$2,"")</f>
        <v/>
      </c>
      <c r="P344" s="531" t="str">
        <f>IF(C344&lt;&gt;"",C344&amp;'סיווג התפקידים והעלויות'!$D$2,"")</f>
        <v/>
      </c>
    </row>
    <row r="345" spans="2:16" ht="15.75" x14ac:dyDescent="0.25">
      <c r="B345" s="57">
        <v>330</v>
      </c>
      <c r="C345" s="176" t="str">
        <f>IF(VLOOKUP(B345,'דוח ביצוע (3)'!$A$21:$B$520,2,0)="","",VLOOKUP(B345,'דוח ביצוע (3)'!$A$21:$B$520,2,0))</f>
        <v/>
      </c>
      <c r="D345" s="177" t="str">
        <f>IFERROR(VLOOKUP($C:$C,'מצבת והרשמה (2)'!$C$20:$N$520,2,0)," ")</f>
        <v/>
      </c>
      <c r="E345" s="177" t="str">
        <f>IFERROR(VLOOKUP(C345,'דוח ביצוע (3)'!B:V,5,0)," ")</f>
        <v xml:space="preserve"> </v>
      </c>
      <c r="F345" s="177" t="str">
        <f t="shared" si="31"/>
        <v/>
      </c>
      <c r="G345" s="179">
        <f>SUMIFS('עלויות כח אדם (6)'!M:M,'עלויות כח אדם (6)'!B:B,' איוש משרות (8)'!C345,'עלויות כח אדם (6)'!N:N,"רכ")</f>
        <v>0</v>
      </c>
      <c r="H345" s="179">
        <f>IFERROR(VLOOKUP(P345,'עלויות כח אדם (6)'!$AE$16:$AF$3014,2,0),0)</f>
        <v>0</v>
      </c>
      <c r="I345" s="178">
        <f t="shared" si="34"/>
        <v>0</v>
      </c>
      <c r="J345" s="178">
        <f t="shared" si="35"/>
        <v>0</v>
      </c>
      <c r="K345" s="179" t="str">
        <f t="shared" si="32"/>
        <v/>
      </c>
      <c r="L345" s="718"/>
      <c r="M345" s="180" t="str">
        <f t="shared" si="36"/>
        <v/>
      </c>
      <c r="N345" s="531">
        <f t="shared" si="33"/>
        <v>0</v>
      </c>
      <c r="O345" s="531" t="str">
        <f>IF(C345&lt;&gt;"",C345&amp;'סיווג התפקידים והעלויות'!$C$2,"")</f>
        <v/>
      </c>
      <c r="P345" s="531" t="str">
        <f>IF(C345&lt;&gt;"",C345&amp;'סיווג התפקידים והעלויות'!$D$2,"")</f>
        <v/>
      </c>
    </row>
    <row r="346" spans="2:16" ht="15.75" x14ac:dyDescent="0.25">
      <c r="B346" s="176">
        <v>331</v>
      </c>
      <c r="C346" s="176" t="str">
        <f>IF(VLOOKUP(B346,'דוח ביצוע (3)'!$A$21:$B$520,2,0)="","",VLOOKUP(B346,'דוח ביצוע (3)'!$A$21:$B$520,2,0))</f>
        <v/>
      </c>
      <c r="D346" s="177" t="str">
        <f>IFERROR(VLOOKUP($C:$C,'מצבת והרשמה (2)'!$C$20:$N$520,2,0)," ")</f>
        <v/>
      </c>
      <c r="E346" s="177" t="str">
        <f>IFERROR(VLOOKUP(C346,'דוח ביצוע (3)'!B:V,5,0)," ")</f>
        <v xml:space="preserve"> </v>
      </c>
      <c r="F346" s="177" t="str">
        <f t="shared" si="31"/>
        <v/>
      </c>
      <c r="G346" s="179">
        <f>SUMIFS('עלויות כח אדם (6)'!M:M,'עלויות כח אדם (6)'!B:B,' איוש משרות (8)'!C346,'עלויות כח אדם (6)'!N:N,"רכ")</f>
        <v>0</v>
      </c>
      <c r="H346" s="179">
        <f>IFERROR(VLOOKUP(P346,'עלויות כח אדם (6)'!$AE$16:$AF$3014,2,0),0)</f>
        <v>0</v>
      </c>
      <c r="I346" s="178">
        <f t="shared" si="34"/>
        <v>0</v>
      </c>
      <c r="J346" s="178">
        <f t="shared" si="35"/>
        <v>0</v>
      </c>
      <c r="K346" s="179" t="str">
        <f t="shared" si="32"/>
        <v/>
      </c>
      <c r="L346" s="718"/>
      <c r="M346" s="180" t="str">
        <f t="shared" si="36"/>
        <v/>
      </c>
      <c r="N346" s="531">
        <f t="shared" si="33"/>
        <v>0</v>
      </c>
      <c r="O346" s="531" t="str">
        <f>IF(C346&lt;&gt;"",C346&amp;'סיווג התפקידים והעלויות'!$C$2,"")</f>
        <v/>
      </c>
      <c r="P346" s="531" t="str">
        <f>IF(C346&lt;&gt;"",C346&amp;'סיווג התפקידים והעלויות'!$D$2,"")</f>
        <v/>
      </c>
    </row>
    <row r="347" spans="2:16" ht="15.75" x14ac:dyDescent="0.25">
      <c r="B347" s="57">
        <v>332</v>
      </c>
      <c r="C347" s="176" t="str">
        <f>IF(VLOOKUP(B347,'דוח ביצוע (3)'!$A$21:$B$520,2,0)="","",VLOOKUP(B347,'דוח ביצוע (3)'!$A$21:$B$520,2,0))</f>
        <v/>
      </c>
      <c r="D347" s="177" t="str">
        <f>IFERROR(VLOOKUP($C:$C,'מצבת והרשמה (2)'!$C$20:$N$520,2,0)," ")</f>
        <v/>
      </c>
      <c r="E347" s="177" t="str">
        <f>IFERROR(VLOOKUP(C347,'דוח ביצוע (3)'!B:V,5,0)," ")</f>
        <v xml:space="preserve"> </v>
      </c>
      <c r="F347" s="177" t="str">
        <f t="shared" si="31"/>
        <v/>
      </c>
      <c r="G347" s="179">
        <f>SUMIFS('עלויות כח אדם (6)'!M:M,'עלויות כח אדם (6)'!B:B,' איוש משרות (8)'!C347,'עלויות כח אדם (6)'!N:N,"רכ")</f>
        <v>0</v>
      </c>
      <c r="H347" s="179">
        <f>IFERROR(VLOOKUP(P347,'עלויות כח אדם (6)'!$AE$16:$AF$3014,2,0),0)</f>
        <v>0</v>
      </c>
      <c r="I347" s="178">
        <f t="shared" si="34"/>
        <v>0</v>
      </c>
      <c r="J347" s="178">
        <f t="shared" si="35"/>
        <v>0</v>
      </c>
      <c r="K347" s="179" t="str">
        <f t="shared" si="32"/>
        <v/>
      </c>
      <c r="L347" s="718"/>
      <c r="M347" s="180" t="str">
        <f t="shared" si="36"/>
        <v/>
      </c>
      <c r="N347" s="531">
        <f t="shared" si="33"/>
        <v>0</v>
      </c>
      <c r="O347" s="531" t="str">
        <f>IF(C347&lt;&gt;"",C347&amp;'סיווג התפקידים והעלויות'!$C$2,"")</f>
        <v/>
      </c>
      <c r="P347" s="531" t="str">
        <f>IF(C347&lt;&gt;"",C347&amp;'סיווג התפקידים והעלויות'!$D$2,"")</f>
        <v/>
      </c>
    </row>
    <row r="348" spans="2:16" ht="15.75" x14ac:dyDescent="0.25">
      <c r="B348" s="176">
        <v>333</v>
      </c>
      <c r="C348" s="176" t="str">
        <f>IF(VLOOKUP(B348,'דוח ביצוע (3)'!$A$21:$B$520,2,0)="","",VLOOKUP(B348,'דוח ביצוע (3)'!$A$21:$B$520,2,0))</f>
        <v/>
      </c>
      <c r="D348" s="177" t="str">
        <f>IFERROR(VLOOKUP($C:$C,'מצבת והרשמה (2)'!$C$20:$N$520,2,0)," ")</f>
        <v/>
      </c>
      <c r="E348" s="177" t="str">
        <f>IFERROR(VLOOKUP(C348,'דוח ביצוע (3)'!B:V,5,0)," ")</f>
        <v xml:space="preserve"> </v>
      </c>
      <c r="F348" s="177" t="str">
        <f t="shared" si="31"/>
        <v/>
      </c>
      <c r="G348" s="179">
        <f>SUMIFS('עלויות כח אדם (6)'!M:M,'עלויות כח אדם (6)'!B:B,' איוש משרות (8)'!C348,'עלויות כח אדם (6)'!N:N,"רכ")</f>
        <v>0</v>
      </c>
      <c r="H348" s="179">
        <f>IFERROR(VLOOKUP(P348,'עלויות כח אדם (6)'!$AE$16:$AF$3014,2,0),0)</f>
        <v>0</v>
      </c>
      <c r="I348" s="178">
        <f t="shared" si="34"/>
        <v>0</v>
      </c>
      <c r="J348" s="178">
        <f t="shared" si="35"/>
        <v>0</v>
      </c>
      <c r="K348" s="179" t="str">
        <f t="shared" si="32"/>
        <v/>
      </c>
      <c r="L348" s="718"/>
      <c r="M348" s="180" t="str">
        <f t="shared" si="36"/>
        <v/>
      </c>
      <c r="N348" s="531">
        <f t="shared" si="33"/>
        <v>0</v>
      </c>
      <c r="O348" s="531" t="str">
        <f>IF(C348&lt;&gt;"",C348&amp;'סיווג התפקידים והעלויות'!$C$2,"")</f>
        <v/>
      </c>
      <c r="P348" s="531" t="str">
        <f>IF(C348&lt;&gt;"",C348&amp;'סיווג התפקידים והעלויות'!$D$2,"")</f>
        <v/>
      </c>
    </row>
    <row r="349" spans="2:16" ht="15.75" x14ac:dyDescent="0.25">
      <c r="B349" s="57">
        <v>334</v>
      </c>
      <c r="C349" s="176" t="str">
        <f>IF(VLOOKUP(B349,'דוח ביצוע (3)'!$A$21:$B$520,2,0)="","",VLOOKUP(B349,'דוח ביצוע (3)'!$A$21:$B$520,2,0))</f>
        <v/>
      </c>
      <c r="D349" s="177" t="str">
        <f>IFERROR(VLOOKUP($C:$C,'מצבת והרשמה (2)'!$C$20:$N$520,2,0)," ")</f>
        <v/>
      </c>
      <c r="E349" s="177" t="str">
        <f>IFERROR(VLOOKUP(C349,'דוח ביצוע (3)'!B:V,5,0)," ")</f>
        <v xml:space="preserve"> </v>
      </c>
      <c r="F349" s="177" t="str">
        <f t="shared" si="31"/>
        <v/>
      </c>
      <c r="G349" s="179">
        <f>SUMIFS('עלויות כח אדם (6)'!M:M,'עלויות כח אדם (6)'!B:B,' איוש משרות (8)'!C349,'עלויות כח אדם (6)'!N:N,"רכ")</f>
        <v>0</v>
      </c>
      <c r="H349" s="179">
        <f>IFERROR(VLOOKUP(P349,'עלויות כח אדם (6)'!$AE$16:$AF$3014,2,0),0)</f>
        <v>0</v>
      </c>
      <c r="I349" s="178">
        <f t="shared" si="34"/>
        <v>0</v>
      </c>
      <c r="J349" s="178">
        <f t="shared" si="35"/>
        <v>0</v>
      </c>
      <c r="K349" s="179" t="str">
        <f t="shared" si="32"/>
        <v/>
      </c>
      <c r="L349" s="718"/>
      <c r="M349" s="180" t="str">
        <f t="shared" si="36"/>
        <v/>
      </c>
      <c r="N349" s="531">
        <f t="shared" si="33"/>
        <v>0</v>
      </c>
      <c r="O349" s="531" t="str">
        <f>IF(C349&lt;&gt;"",C349&amp;'סיווג התפקידים והעלויות'!$C$2,"")</f>
        <v/>
      </c>
      <c r="P349" s="531" t="str">
        <f>IF(C349&lt;&gt;"",C349&amp;'סיווג התפקידים והעלויות'!$D$2,"")</f>
        <v/>
      </c>
    </row>
    <row r="350" spans="2:16" ht="15.75" x14ac:dyDescent="0.25">
      <c r="B350" s="176">
        <v>335</v>
      </c>
      <c r="C350" s="176" t="str">
        <f>IF(VLOOKUP(B350,'דוח ביצוע (3)'!$A$21:$B$520,2,0)="","",VLOOKUP(B350,'דוח ביצוע (3)'!$A$21:$B$520,2,0))</f>
        <v/>
      </c>
      <c r="D350" s="177" t="str">
        <f>IFERROR(VLOOKUP($C:$C,'מצבת והרשמה (2)'!$C$20:$N$520,2,0)," ")</f>
        <v/>
      </c>
      <c r="E350" s="177" t="str">
        <f>IFERROR(VLOOKUP(C350,'דוח ביצוע (3)'!B:V,5,0)," ")</f>
        <v xml:space="preserve"> </v>
      </c>
      <c r="F350" s="177" t="str">
        <f t="shared" si="31"/>
        <v/>
      </c>
      <c r="G350" s="179">
        <f>SUMIFS('עלויות כח אדם (6)'!M:M,'עלויות כח אדם (6)'!B:B,' איוש משרות (8)'!C350,'עלויות כח אדם (6)'!N:N,"רכ")</f>
        <v>0</v>
      </c>
      <c r="H350" s="179">
        <f>IFERROR(VLOOKUP(P350,'עלויות כח אדם (6)'!$AE$16:$AF$3014,2,0),0)</f>
        <v>0</v>
      </c>
      <c r="I350" s="178">
        <f t="shared" si="34"/>
        <v>0</v>
      </c>
      <c r="J350" s="178">
        <f t="shared" si="35"/>
        <v>0</v>
      </c>
      <c r="K350" s="179" t="str">
        <f t="shared" si="32"/>
        <v/>
      </c>
      <c r="L350" s="718"/>
      <c r="M350" s="180" t="str">
        <f t="shared" si="36"/>
        <v/>
      </c>
      <c r="N350" s="531">
        <f t="shared" si="33"/>
        <v>0</v>
      </c>
      <c r="O350" s="531" t="str">
        <f>IF(C350&lt;&gt;"",C350&amp;'סיווג התפקידים והעלויות'!$C$2,"")</f>
        <v/>
      </c>
      <c r="P350" s="531" t="str">
        <f>IF(C350&lt;&gt;"",C350&amp;'סיווג התפקידים והעלויות'!$D$2,"")</f>
        <v/>
      </c>
    </row>
    <row r="351" spans="2:16" ht="15.75" x14ac:dyDescent="0.25">
      <c r="B351" s="57">
        <v>336</v>
      </c>
      <c r="C351" s="176" t="str">
        <f>IF(VLOOKUP(B351,'דוח ביצוע (3)'!$A$21:$B$520,2,0)="","",VLOOKUP(B351,'דוח ביצוע (3)'!$A$21:$B$520,2,0))</f>
        <v/>
      </c>
      <c r="D351" s="177" t="str">
        <f>IFERROR(VLOOKUP($C:$C,'מצבת והרשמה (2)'!$C$20:$N$520,2,0)," ")</f>
        <v/>
      </c>
      <c r="E351" s="177" t="str">
        <f>IFERROR(VLOOKUP(C351,'דוח ביצוע (3)'!B:V,5,0)," ")</f>
        <v xml:space="preserve"> </v>
      </c>
      <c r="F351" s="177" t="str">
        <f t="shared" si="31"/>
        <v/>
      </c>
      <c r="G351" s="179">
        <f>SUMIFS('עלויות כח אדם (6)'!M:M,'עלויות כח אדם (6)'!B:B,' איוש משרות (8)'!C351,'עלויות כח אדם (6)'!N:N,"רכ")</f>
        <v>0</v>
      </c>
      <c r="H351" s="179">
        <f>IFERROR(VLOOKUP(P351,'עלויות כח אדם (6)'!$AE$16:$AF$3014,2,0),0)</f>
        <v>0</v>
      </c>
      <c r="I351" s="178">
        <f t="shared" si="34"/>
        <v>0</v>
      </c>
      <c r="J351" s="178">
        <f t="shared" si="35"/>
        <v>0</v>
      </c>
      <c r="K351" s="179" t="str">
        <f t="shared" si="32"/>
        <v/>
      </c>
      <c r="L351" s="718"/>
      <c r="M351" s="180" t="str">
        <f t="shared" si="36"/>
        <v/>
      </c>
      <c r="N351" s="531">
        <f t="shared" si="33"/>
        <v>0</v>
      </c>
      <c r="O351" s="531" t="str">
        <f>IF(C351&lt;&gt;"",C351&amp;'סיווג התפקידים והעלויות'!$C$2,"")</f>
        <v/>
      </c>
      <c r="P351" s="531" t="str">
        <f>IF(C351&lt;&gt;"",C351&amp;'סיווג התפקידים והעלויות'!$D$2,"")</f>
        <v/>
      </c>
    </row>
    <row r="352" spans="2:16" ht="15.75" x14ac:dyDescent="0.25">
      <c r="B352" s="176">
        <v>337</v>
      </c>
      <c r="C352" s="176" t="str">
        <f>IF(VLOOKUP(B352,'דוח ביצוע (3)'!$A$21:$B$520,2,0)="","",VLOOKUP(B352,'דוח ביצוע (3)'!$A$21:$B$520,2,0))</f>
        <v/>
      </c>
      <c r="D352" s="177" t="str">
        <f>IFERROR(VLOOKUP($C:$C,'מצבת והרשמה (2)'!$C$20:$N$520,2,0)," ")</f>
        <v/>
      </c>
      <c r="E352" s="177" t="str">
        <f>IFERROR(VLOOKUP(C352,'דוח ביצוע (3)'!B:V,5,0)," ")</f>
        <v xml:space="preserve"> </v>
      </c>
      <c r="F352" s="177" t="str">
        <f t="shared" si="31"/>
        <v/>
      </c>
      <c r="G352" s="179">
        <f>SUMIFS('עלויות כח אדם (6)'!M:M,'עלויות כח אדם (6)'!B:B,' איוש משרות (8)'!C352,'עלויות כח אדם (6)'!N:N,"רכ")</f>
        <v>0</v>
      </c>
      <c r="H352" s="179">
        <f>IFERROR(VLOOKUP(P352,'עלויות כח אדם (6)'!$AE$16:$AF$3014,2,0),0)</f>
        <v>0</v>
      </c>
      <c r="I352" s="178">
        <f t="shared" si="34"/>
        <v>0</v>
      </c>
      <c r="J352" s="178">
        <f t="shared" si="35"/>
        <v>0</v>
      </c>
      <c r="K352" s="179" t="str">
        <f t="shared" si="32"/>
        <v/>
      </c>
      <c r="L352" s="718"/>
      <c r="M352" s="180" t="str">
        <f t="shared" si="36"/>
        <v/>
      </c>
      <c r="N352" s="531">
        <f t="shared" si="33"/>
        <v>0</v>
      </c>
      <c r="O352" s="531" t="str">
        <f>IF(C352&lt;&gt;"",C352&amp;'סיווג התפקידים והעלויות'!$C$2,"")</f>
        <v/>
      </c>
      <c r="P352" s="531" t="str">
        <f>IF(C352&lt;&gt;"",C352&amp;'סיווג התפקידים והעלויות'!$D$2,"")</f>
        <v/>
      </c>
    </row>
    <row r="353" spans="2:16" ht="15.75" x14ac:dyDescent="0.25">
      <c r="B353" s="57">
        <v>338</v>
      </c>
      <c r="C353" s="176" t="str">
        <f>IF(VLOOKUP(B353,'דוח ביצוע (3)'!$A$21:$B$520,2,0)="","",VLOOKUP(B353,'דוח ביצוע (3)'!$A$21:$B$520,2,0))</f>
        <v/>
      </c>
      <c r="D353" s="177" t="str">
        <f>IFERROR(VLOOKUP($C:$C,'מצבת והרשמה (2)'!$C$20:$N$520,2,0)," ")</f>
        <v/>
      </c>
      <c r="E353" s="177" t="str">
        <f>IFERROR(VLOOKUP(C353,'דוח ביצוע (3)'!B:V,5,0)," ")</f>
        <v xml:space="preserve"> </v>
      </c>
      <c r="F353" s="177" t="str">
        <f t="shared" si="31"/>
        <v/>
      </c>
      <c r="G353" s="179">
        <f>SUMIFS('עלויות כח אדם (6)'!M:M,'עלויות כח אדם (6)'!B:B,' איוש משרות (8)'!C353,'עלויות כח אדם (6)'!N:N,"רכ")</f>
        <v>0</v>
      </c>
      <c r="H353" s="179">
        <f>IFERROR(VLOOKUP(P353,'עלויות כח אדם (6)'!$AE$16:$AF$3014,2,0),0)</f>
        <v>0</v>
      </c>
      <c r="I353" s="178">
        <f t="shared" si="34"/>
        <v>0</v>
      </c>
      <c r="J353" s="178">
        <f t="shared" si="35"/>
        <v>0</v>
      </c>
      <c r="K353" s="179" t="str">
        <f t="shared" si="32"/>
        <v/>
      </c>
      <c r="L353" s="718"/>
      <c r="M353" s="180" t="str">
        <f t="shared" si="36"/>
        <v/>
      </c>
      <c r="N353" s="531">
        <f t="shared" si="33"/>
        <v>0</v>
      </c>
      <c r="O353" s="531" t="str">
        <f>IF(C353&lt;&gt;"",C353&amp;'סיווג התפקידים והעלויות'!$C$2,"")</f>
        <v/>
      </c>
      <c r="P353" s="531" t="str">
        <f>IF(C353&lt;&gt;"",C353&amp;'סיווג התפקידים והעלויות'!$D$2,"")</f>
        <v/>
      </c>
    </row>
    <row r="354" spans="2:16" ht="15.75" x14ac:dyDescent="0.25">
      <c r="B354" s="176">
        <v>339</v>
      </c>
      <c r="C354" s="176" t="str">
        <f>IF(VLOOKUP(B354,'דוח ביצוע (3)'!$A$21:$B$520,2,0)="","",VLOOKUP(B354,'דוח ביצוע (3)'!$A$21:$B$520,2,0))</f>
        <v/>
      </c>
      <c r="D354" s="177" t="str">
        <f>IFERROR(VLOOKUP($C:$C,'מצבת והרשמה (2)'!$C$20:$N$520,2,0)," ")</f>
        <v/>
      </c>
      <c r="E354" s="177" t="str">
        <f>IFERROR(VLOOKUP(C354,'דוח ביצוע (3)'!B:V,5,0)," ")</f>
        <v xml:space="preserve"> </v>
      </c>
      <c r="F354" s="177" t="str">
        <f t="shared" si="31"/>
        <v/>
      </c>
      <c r="G354" s="179">
        <f>SUMIFS('עלויות כח אדם (6)'!M:M,'עלויות כח אדם (6)'!B:B,' איוש משרות (8)'!C354,'עלויות כח אדם (6)'!N:N,"רכ")</f>
        <v>0</v>
      </c>
      <c r="H354" s="179">
        <f>IFERROR(VLOOKUP(P354,'עלויות כח אדם (6)'!$AE$16:$AF$3014,2,0),0)</f>
        <v>0</v>
      </c>
      <c r="I354" s="178">
        <f t="shared" si="34"/>
        <v>0</v>
      </c>
      <c r="J354" s="178">
        <f t="shared" si="35"/>
        <v>0</v>
      </c>
      <c r="K354" s="179" t="str">
        <f t="shared" si="32"/>
        <v/>
      </c>
      <c r="L354" s="718"/>
      <c r="M354" s="180" t="str">
        <f t="shared" si="36"/>
        <v/>
      </c>
      <c r="N354" s="531">
        <f t="shared" si="33"/>
        <v>0</v>
      </c>
      <c r="O354" s="531" t="str">
        <f>IF(C354&lt;&gt;"",C354&amp;'סיווג התפקידים והעלויות'!$C$2,"")</f>
        <v/>
      </c>
      <c r="P354" s="531" t="str">
        <f>IF(C354&lt;&gt;"",C354&amp;'סיווג התפקידים והעלויות'!$D$2,"")</f>
        <v/>
      </c>
    </row>
    <row r="355" spans="2:16" ht="15.75" x14ac:dyDescent="0.25">
      <c r="B355" s="57">
        <v>340</v>
      </c>
      <c r="C355" s="176" t="str">
        <f>IF(VLOOKUP(B355,'דוח ביצוע (3)'!$A$21:$B$520,2,0)="","",VLOOKUP(B355,'דוח ביצוע (3)'!$A$21:$B$520,2,0))</f>
        <v/>
      </c>
      <c r="D355" s="177" t="str">
        <f>IFERROR(VLOOKUP($C:$C,'מצבת והרשמה (2)'!$C$20:$N$520,2,0)," ")</f>
        <v/>
      </c>
      <c r="E355" s="177" t="str">
        <f>IFERROR(VLOOKUP(C355,'דוח ביצוע (3)'!B:V,5,0)," ")</f>
        <v xml:space="preserve"> </v>
      </c>
      <c r="F355" s="177" t="str">
        <f t="shared" si="31"/>
        <v/>
      </c>
      <c r="G355" s="179">
        <f>SUMIFS('עלויות כח אדם (6)'!M:M,'עלויות כח אדם (6)'!B:B,' איוש משרות (8)'!C355,'עלויות כח אדם (6)'!N:N,"רכ")</f>
        <v>0</v>
      </c>
      <c r="H355" s="179">
        <f>IFERROR(VLOOKUP(P355,'עלויות כח אדם (6)'!$AE$16:$AF$3014,2,0),0)</f>
        <v>0</v>
      </c>
      <c r="I355" s="178">
        <f t="shared" si="34"/>
        <v>0</v>
      </c>
      <c r="J355" s="178">
        <f t="shared" si="35"/>
        <v>0</v>
      </c>
      <c r="K355" s="179" t="str">
        <f t="shared" si="32"/>
        <v/>
      </c>
      <c r="L355" s="718"/>
      <c r="M355" s="180" t="str">
        <f t="shared" si="36"/>
        <v/>
      </c>
      <c r="N355" s="531">
        <f t="shared" si="33"/>
        <v>0</v>
      </c>
      <c r="O355" s="531" t="str">
        <f>IF(C355&lt;&gt;"",C355&amp;'סיווג התפקידים והעלויות'!$C$2,"")</f>
        <v/>
      </c>
      <c r="P355" s="531" t="str">
        <f>IF(C355&lt;&gt;"",C355&amp;'סיווג התפקידים והעלויות'!$D$2,"")</f>
        <v/>
      </c>
    </row>
    <row r="356" spans="2:16" ht="15.75" x14ac:dyDescent="0.25">
      <c r="B356" s="176">
        <v>341</v>
      </c>
      <c r="C356" s="176" t="str">
        <f>IF(VLOOKUP(B356,'דוח ביצוע (3)'!$A$21:$B$520,2,0)="","",VLOOKUP(B356,'דוח ביצוע (3)'!$A$21:$B$520,2,0))</f>
        <v/>
      </c>
      <c r="D356" s="177" t="str">
        <f>IFERROR(VLOOKUP($C:$C,'מצבת והרשמה (2)'!$C$20:$N$520,2,0)," ")</f>
        <v/>
      </c>
      <c r="E356" s="177" t="str">
        <f>IFERROR(VLOOKUP(C356,'דוח ביצוע (3)'!B:V,5,0)," ")</f>
        <v xml:space="preserve"> </v>
      </c>
      <c r="F356" s="177" t="str">
        <f t="shared" si="31"/>
        <v/>
      </c>
      <c r="G356" s="179">
        <f>SUMIFS('עלויות כח אדם (6)'!M:M,'עלויות כח אדם (6)'!B:B,' איוש משרות (8)'!C356,'עלויות כח אדם (6)'!N:N,"רכ")</f>
        <v>0</v>
      </c>
      <c r="H356" s="179">
        <f>IFERROR(VLOOKUP(P356,'עלויות כח אדם (6)'!$AE$16:$AF$3014,2,0),0)</f>
        <v>0</v>
      </c>
      <c r="I356" s="178">
        <f t="shared" si="34"/>
        <v>0</v>
      </c>
      <c r="J356" s="178">
        <f t="shared" si="35"/>
        <v>0</v>
      </c>
      <c r="K356" s="179" t="str">
        <f t="shared" si="32"/>
        <v/>
      </c>
      <c r="L356" s="718"/>
      <c r="M356" s="180" t="str">
        <f t="shared" si="36"/>
        <v/>
      </c>
      <c r="N356" s="531">
        <f t="shared" si="33"/>
        <v>0</v>
      </c>
      <c r="O356" s="531" t="str">
        <f>IF(C356&lt;&gt;"",C356&amp;'סיווג התפקידים והעלויות'!$C$2,"")</f>
        <v/>
      </c>
      <c r="P356" s="531" t="str">
        <f>IF(C356&lt;&gt;"",C356&amp;'סיווג התפקידים והעלויות'!$D$2,"")</f>
        <v/>
      </c>
    </row>
    <row r="357" spans="2:16" ht="15.75" x14ac:dyDescent="0.25">
      <c r="B357" s="57">
        <v>342</v>
      </c>
      <c r="C357" s="176" t="str">
        <f>IF(VLOOKUP(B357,'דוח ביצוע (3)'!$A$21:$B$520,2,0)="","",VLOOKUP(B357,'דוח ביצוע (3)'!$A$21:$B$520,2,0))</f>
        <v/>
      </c>
      <c r="D357" s="177" t="str">
        <f>IFERROR(VLOOKUP($C:$C,'מצבת והרשמה (2)'!$C$20:$N$520,2,0)," ")</f>
        <v/>
      </c>
      <c r="E357" s="177" t="str">
        <f>IFERROR(VLOOKUP(C357,'דוח ביצוע (3)'!B:V,5,0)," ")</f>
        <v xml:space="preserve"> </v>
      </c>
      <c r="F357" s="177" t="str">
        <f t="shared" si="31"/>
        <v/>
      </c>
      <c r="G357" s="179">
        <f>SUMIFS('עלויות כח אדם (6)'!M:M,'עלויות כח אדם (6)'!B:B,' איוש משרות (8)'!C357,'עלויות כח אדם (6)'!N:N,"רכ")</f>
        <v>0</v>
      </c>
      <c r="H357" s="179">
        <f>IFERROR(VLOOKUP(P357,'עלויות כח אדם (6)'!$AE$16:$AF$3014,2,0),0)</f>
        <v>0</v>
      </c>
      <c r="I357" s="178">
        <f t="shared" si="34"/>
        <v>0</v>
      </c>
      <c r="J357" s="178">
        <f t="shared" si="35"/>
        <v>0</v>
      </c>
      <c r="K357" s="179" t="str">
        <f t="shared" si="32"/>
        <v/>
      </c>
      <c r="L357" s="718"/>
      <c r="M357" s="180" t="str">
        <f t="shared" si="36"/>
        <v/>
      </c>
      <c r="N357" s="531">
        <f t="shared" si="33"/>
        <v>0</v>
      </c>
      <c r="O357" s="531" t="str">
        <f>IF(C357&lt;&gt;"",C357&amp;'סיווג התפקידים והעלויות'!$C$2,"")</f>
        <v/>
      </c>
      <c r="P357" s="531" t="str">
        <f>IF(C357&lt;&gt;"",C357&amp;'סיווג התפקידים והעלויות'!$D$2,"")</f>
        <v/>
      </c>
    </row>
    <row r="358" spans="2:16" ht="15.75" x14ac:dyDescent="0.25">
      <c r="B358" s="176">
        <v>343</v>
      </c>
      <c r="C358" s="176" t="str">
        <f>IF(VLOOKUP(B358,'דוח ביצוע (3)'!$A$21:$B$520,2,0)="","",VLOOKUP(B358,'דוח ביצוע (3)'!$A$21:$B$520,2,0))</f>
        <v/>
      </c>
      <c r="D358" s="177" t="str">
        <f>IFERROR(VLOOKUP($C:$C,'מצבת והרשמה (2)'!$C$20:$N$520,2,0)," ")</f>
        <v/>
      </c>
      <c r="E358" s="177" t="str">
        <f>IFERROR(VLOOKUP(C358,'דוח ביצוע (3)'!B:V,5,0)," ")</f>
        <v xml:space="preserve"> </v>
      </c>
      <c r="F358" s="177" t="str">
        <f t="shared" si="31"/>
        <v/>
      </c>
      <c r="G358" s="179">
        <f>SUMIFS('עלויות כח אדם (6)'!M:M,'עלויות כח אדם (6)'!B:B,' איוש משרות (8)'!C358,'עלויות כח אדם (6)'!N:N,"רכ")</f>
        <v>0</v>
      </c>
      <c r="H358" s="179">
        <f>IFERROR(VLOOKUP(P358,'עלויות כח אדם (6)'!$AE$16:$AF$3014,2,0),0)</f>
        <v>0</v>
      </c>
      <c r="I358" s="178">
        <f t="shared" si="34"/>
        <v>0</v>
      </c>
      <c r="J358" s="178">
        <f t="shared" si="35"/>
        <v>0</v>
      </c>
      <c r="K358" s="179" t="str">
        <f t="shared" si="32"/>
        <v/>
      </c>
      <c r="L358" s="718"/>
      <c r="M358" s="180" t="str">
        <f t="shared" si="36"/>
        <v/>
      </c>
      <c r="N358" s="531">
        <f t="shared" si="33"/>
        <v>0</v>
      </c>
      <c r="O358" s="531" t="str">
        <f>IF(C358&lt;&gt;"",C358&amp;'סיווג התפקידים והעלויות'!$C$2,"")</f>
        <v/>
      </c>
      <c r="P358" s="531" t="str">
        <f>IF(C358&lt;&gt;"",C358&amp;'סיווג התפקידים והעלויות'!$D$2,"")</f>
        <v/>
      </c>
    </row>
    <row r="359" spans="2:16" ht="15.75" x14ac:dyDescent="0.25">
      <c r="B359" s="57">
        <v>344</v>
      </c>
      <c r="C359" s="176" t="str">
        <f>IF(VLOOKUP(B359,'דוח ביצוע (3)'!$A$21:$B$520,2,0)="","",VLOOKUP(B359,'דוח ביצוע (3)'!$A$21:$B$520,2,0))</f>
        <v/>
      </c>
      <c r="D359" s="177" t="str">
        <f>IFERROR(VLOOKUP($C:$C,'מצבת והרשמה (2)'!$C$20:$N$520,2,0)," ")</f>
        <v/>
      </c>
      <c r="E359" s="177" t="str">
        <f>IFERROR(VLOOKUP(C359,'דוח ביצוע (3)'!B:V,5,0)," ")</f>
        <v xml:space="preserve"> </v>
      </c>
      <c r="F359" s="177" t="str">
        <f t="shared" si="31"/>
        <v/>
      </c>
      <c r="G359" s="179">
        <f>SUMIFS('עלויות כח אדם (6)'!M:M,'עלויות כח אדם (6)'!B:B,' איוש משרות (8)'!C359,'עלויות כח אדם (6)'!N:N,"רכ")</f>
        <v>0</v>
      </c>
      <c r="H359" s="179">
        <f>IFERROR(VLOOKUP(P359,'עלויות כח אדם (6)'!$AE$16:$AF$3014,2,0),0)</f>
        <v>0</v>
      </c>
      <c r="I359" s="178">
        <f t="shared" si="34"/>
        <v>0</v>
      </c>
      <c r="J359" s="178">
        <f t="shared" si="35"/>
        <v>0</v>
      </c>
      <c r="K359" s="179" t="str">
        <f t="shared" si="32"/>
        <v/>
      </c>
      <c r="L359" s="718"/>
      <c r="M359" s="180" t="str">
        <f t="shared" si="36"/>
        <v/>
      </c>
      <c r="N359" s="531">
        <f t="shared" si="33"/>
        <v>0</v>
      </c>
      <c r="O359" s="531" t="str">
        <f>IF(C359&lt;&gt;"",C359&amp;'סיווג התפקידים והעלויות'!$C$2,"")</f>
        <v/>
      </c>
      <c r="P359" s="531" t="str">
        <f>IF(C359&lt;&gt;"",C359&amp;'סיווג התפקידים והעלויות'!$D$2,"")</f>
        <v/>
      </c>
    </row>
    <row r="360" spans="2:16" ht="15.75" x14ac:dyDescent="0.25">
      <c r="B360" s="176">
        <v>345</v>
      </c>
      <c r="C360" s="176" t="str">
        <f>IF(VLOOKUP(B360,'דוח ביצוע (3)'!$A$21:$B$520,2,0)="","",VLOOKUP(B360,'דוח ביצוע (3)'!$A$21:$B$520,2,0))</f>
        <v/>
      </c>
      <c r="D360" s="177" t="str">
        <f>IFERROR(VLOOKUP($C:$C,'מצבת והרשמה (2)'!$C$20:$N$520,2,0)," ")</f>
        <v/>
      </c>
      <c r="E360" s="177" t="str">
        <f>IFERROR(VLOOKUP(C360,'דוח ביצוע (3)'!B:V,5,0)," ")</f>
        <v xml:space="preserve"> </v>
      </c>
      <c r="F360" s="177" t="str">
        <f t="shared" si="31"/>
        <v/>
      </c>
      <c r="G360" s="179">
        <f>SUMIFS('עלויות כח אדם (6)'!M:M,'עלויות כח אדם (6)'!B:B,' איוש משרות (8)'!C360,'עלויות כח אדם (6)'!N:N,"רכ")</f>
        <v>0</v>
      </c>
      <c r="H360" s="179">
        <f>IFERROR(VLOOKUP(P360,'עלויות כח אדם (6)'!$AE$16:$AF$3014,2,0),0)</f>
        <v>0</v>
      </c>
      <c r="I360" s="178">
        <f t="shared" si="34"/>
        <v>0</v>
      </c>
      <c r="J360" s="178">
        <f t="shared" si="35"/>
        <v>0</v>
      </c>
      <c r="K360" s="179" t="str">
        <f t="shared" si="32"/>
        <v/>
      </c>
      <c r="L360" s="718"/>
      <c r="M360" s="180" t="str">
        <f t="shared" si="36"/>
        <v/>
      </c>
      <c r="N360" s="531">
        <f t="shared" si="33"/>
        <v>0</v>
      </c>
      <c r="O360" s="531" t="str">
        <f>IF(C360&lt;&gt;"",C360&amp;'סיווג התפקידים והעלויות'!$C$2,"")</f>
        <v/>
      </c>
      <c r="P360" s="531" t="str">
        <f>IF(C360&lt;&gt;"",C360&amp;'סיווג התפקידים והעלויות'!$D$2,"")</f>
        <v/>
      </c>
    </row>
    <row r="361" spans="2:16" ht="15.75" x14ac:dyDescent="0.25">
      <c r="B361" s="57">
        <v>346</v>
      </c>
      <c r="C361" s="176" t="str">
        <f>IF(VLOOKUP(B361,'דוח ביצוע (3)'!$A$21:$B$520,2,0)="","",VLOOKUP(B361,'דוח ביצוע (3)'!$A$21:$B$520,2,0))</f>
        <v/>
      </c>
      <c r="D361" s="177" t="str">
        <f>IFERROR(VLOOKUP($C:$C,'מצבת והרשמה (2)'!$C$20:$N$520,2,0)," ")</f>
        <v/>
      </c>
      <c r="E361" s="177" t="str">
        <f>IFERROR(VLOOKUP(C361,'דוח ביצוע (3)'!B:V,5,0)," ")</f>
        <v xml:space="preserve"> </v>
      </c>
      <c r="F361" s="177" t="str">
        <f t="shared" si="31"/>
        <v/>
      </c>
      <c r="G361" s="179">
        <f>SUMIFS('עלויות כח אדם (6)'!M:M,'עלויות כח אדם (6)'!B:B,' איוש משרות (8)'!C361,'עלויות כח אדם (6)'!N:N,"רכ")</f>
        <v>0</v>
      </c>
      <c r="H361" s="179">
        <f>IFERROR(VLOOKUP(P361,'עלויות כח אדם (6)'!$AE$16:$AF$3014,2,0),0)</f>
        <v>0</v>
      </c>
      <c r="I361" s="178">
        <f t="shared" si="34"/>
        <v>0</v>
      </c>
      <c r="J361" s="178">
        <f t="shared" si="35"/>
        <v>0</v>
      </c>
      <c r="K361" s="179" t="str">
        <f t="shared" si="32"/>
        <v/>
      </c>
      <c r="L361" s="718"/>
      <c r="M361" s="180" t="str">
        <f t="shared" si="36"/>
        <v/>
      </c>
      <c r="N361" s="531">
        <f t="shared" si="33"/>
        <v>0</v>
      </c>
      <c r="O361" s="531" t="str">
        <f>IF(C361&lt;&gt;"",C361&amp;'סיווג התפקידים והעלויות'!$C$2,"")</f>
        <v/>
      </c>
      <c r="P361" s="531" t="str">
        <f>IF(C361&lt;&gt;"",C361&amp;'סיווג התפקידים והעלויות'!$D$2,"")</f>
        <v/>
      </c>
    </row>
    <row r="362" spans="2:16" ht="15.75" x14ac:dyDescent="0.25">
      <c r="B362" s="176">
        <v>347</v>
      </c>
      <c r="C362" s="176" t="str">
        <f>IF(VLOOKUP(B362,'דוח ביצוע (3)'!$A$21:$B$520,2,0)="","",VLOOKUP(B362,'דוח ביצוע (3)'!$A$21:$B$520,2,0))</f>
        <v/>
      </c>
      <c r="D362" s="177" t="str">
        <f>IFERROR(VLOOKUP($C:$C,'מצבת והרשמה (2)'!$C$20:$N$520,2,0)," ")</f>
        <v/>
      </c>
      <c r="E362" s="177" t="str">
        <f>IFERROR(VLOOKUP(C362,'דוח ביצוע (3)'!B:V,5,0)," ")</f>
        <v xml:space="preserve"> </v>
      </c>
      <c r="F362" s="177" t="str">
        <f t="shared" si="31"/>
        <v/>
      </c>
      <c r="G362" s="179">
        <f>SUMIFS('עלויות כח אדם (6)'!M:M,'עלויות כח אדם (6)'!B:B,' איוש משרות (8)'!C362,'עלויות כח אדם (6)'!N:N,"רכ")</f>
        <v>0</v>
      </c>
      <c r="H362" s="179">
        <f>IFERROR(VLOOKUP(P362,'עלויות כח אדם (6)'!$AE$16:$AF$3014,2,0),0)</f>
        <v>0</v>
      </c>
      <c r="I362" s="178">
        <f t="shared" si="34"/>
        <v>0</v>
      </c>
      <c r="J362" s="178">
        <f t="shared" si="35"/>
        <v>0</v>
      </c>
      <c r="K362" s="179" t="str">
        <f t="shared" si="32"/>
        <v/>
      </c>
      <c r="L362" s="718"/>
      <c r="M362" s="180" t="str">
        <f t="shared" si="36"/>
        <v/>
      </c>
      <c r="N362" s="531">
        <f t="shared" si="33"/>
        <v>0</v>
      </c>
      <c r="O362" s="531" t="str">
        <f>IF(C362&lt;&gt;"",C362&amp;'סיווג התפקידים והעלויות'!$C$2,"")</f>
        <v/>
      </c>
      <c r="P362" s="531" t="str">
        <f>IF(C362&lt;&gt;"",C362&amp;'סיווג התפקידים והעלויות'!$D$2,"")</f>
        <v/>
      </c>
    </row>
    <row r="363" spans="2:16" ht="15.75" x14ac:dyDescent="0.25">
      <c r="B363" s="57">
        <v>348</v>
      </c>
      <c r="C363" s="176" t="str">
        <f>IF(VLOOKUP(B363,'דוח ביצוע (3)'!$A$21:$B$520,2,0)="","",VLOOKUP(B363,'דוח ביצוע (3)'!$A$21:$B$520,2,0))</f>
        <v/>
      </c>
      <c r="D363" s="177" t="str">
        <f>IFERROR(VLOOKUP($C:$C,'מצבת והרשמה (2)'!$C$20:$N$520,2,0)," ")</f>
        <v/>
      </c>
      <c r="E363" s="177" t="str">
        <f>IFERROR(VLOOKUP(C363,'דוח ביצוע (3)'!B:V,5,0)," ")</f>
        <v xml:space="preserve"> </v>
      </c>
      <c r="F363" s="177" t="str">
        <f t="shared" si="31"/>
        <v/>
      </c>
      <c r="G363" s="179">
        <f>SUMIFS('עלויות כח אדם (6)'!M:M,'עלויות כח אדם (6)'!B:B,' איוש משרות (8)'!C363,'עלויות כח אדם (6)'!N:N,"רכ")</f>
        <v>0</v>
      </c>
      <c r="H363" s="179">
        <f>IFERROR(VLOOKUP(P363,'עלויות כח אדם (6)'!$AE$16:$AF$3014,2,0),0)</f>
        <v>0</v>
      </c>
      <c r="I363" s="178">
        <f t="shared" si="34"/>
        <v>0</v>
      </c>
      <c r="J363" s="178">
        <f t="shared" si="35"/>
        <v>0</v>
      </c>
      <c r="K363" s="179" t="str">
        <f t="shared" si="32"/>
        <v/>
      </c>
      <c r="L363" s="718"/>
      <c r="M363" s="180" t="str">
        <f t="shared" si="36"/>
        <v/>
      </c>
      <c r="N363" s="531">
        <f t="shared" si="33"/>
        <v>0</v>
      </c>
      <c r="O363" s="531" t="str">
        <f>IF(C363&lt;&gt;"",C363&amp;'סיווג התפקידים והעלויות'!$C$2,"")</f>
        <v/>
      </c>
      <c r="P363" s="531" t="str">
        <f>IF(C363&lt;&gt;"",C363&amp;'סיווג התפקידים והעלויות'!$D$2,"")</f>
        <v/>
      </c>
    </row>
    <row r="364" spans="2:16" ht="15.75" x14ac:dyDescent="0.25">
      <c r="B364" s="176">
        <v>349</v>
      </c>
      <c r="C364" s="176" t="str">
        <f>IF(VLOOKUP(B364,'דוח ביצוע (3)'!$A$21:$B$520,2,0)="","",VLOOKUP(B364,'דוח ביצוע (3)'!$A$21:$B$520,2,0))</f>
        <v/>
      </c>
      <c r="D364" s="177" t="str">
        <f>IFERROR(VLOOKUP($C:$C,'מצבת והרשמה (2)'!$C$20:$N$520,2,0)," ")</f>
        <v/>
      </c>
      <c r="E364" s="177" t="str">
        <f>IFERROR(VLOOKUP(C364,'דוח ביצוע (3)'!B:V,5,0)," ")</f>
        <v xml:space="preserve"> </v>
      </c>
      <c r="F364" s="177" t="str">
        <f t="shared" si="31"/>
        <v/>
      </c>
      <c r="G364" s="179">
        <f>SUMIFS('עלויות כח אדם (6)'!M:M,'עלויות כח אדם (6)'!B:B,' איוש משרות (8)'!C364,'עלויות כח אדם (6)'!N:N,"רכ")</f>
        <v>0</v>
      </c>
      <c r="H364" s="179">
        <f>IFERROR(VLOOKUP(P364,'עלויות כח אדם (6)'!$AE$16:$AF$3014,2,0),0)</f>
        <v>0</v>
      </c>
      <c r="I364" s="178">
        <f t="shared" si="34"/>
        <v>0</v>
      </c>
      <c r="J364" s="178">
        <f t="shared" si="35"/>
        <v>0</v>
      </c>
      <c r="K364" s="179" t="str">
        <f t="shared" si="32"/>
        <v/>
      </c>
      <c r="L364" s="718"/>
      <c r="M364" s="180" t="str">
        <f t="shared" si="36"/>
        <v/>
      </c>
      <c r="N364" s="531">
        <f t="shared" si="33"/>
        <v>0</v>
      </c>
      <c r="O364" s="531" t="str">
        <f>IF(C364&lt;&gt;"",C364&amp;'סיווג התפקידים והעלויות'!$C$2,"")</f>
        <v/>
      </c>
      <c r="P364" s="531" t="str">
        <f>IF(C364&lt;&gt;"",C364&amp;'סיווג התפקידים והעלויות'!$D$2,"")</f>
        <v/>
      </c>
    </row>
    <row r="365" spans="2:16" ht="15.75" x14ac:dyDescent="0.25">
      <c r="B365" s="57">
        <v>350</v>
      </c>
      <c r="C365" s="176" t="str">
        <f>IF(VLOOKUP(B365,'דוח ביצוע (3)'!$A$21:$B$520,2,0)="","",VLOOKUP(B365,'דוח ביצוע (3)'!$A$21:$B$520,2,0))</f>
        <v/>
      </c>
      <c r="D365" s="177" t="str">
        <f>IFERROR(VLOOKUP($C:$C,'מצבת והרשמה (2)'!$C$20:$N$520,2,0)," ")</f>
        <v/>
      </c>
      <c r="E365" s="177" t="str">
        <f>IFERROR(VLOOKUP(C365,'דוח ביצוע (3)'!B:V,5,0)," ")</f>
        <v xml:space="preserve"> </v>
      </c>
      <c r="F365" s="177" t="str">
        <f t="shared" si="31"/>
        <v/>
      </c>
      <c r="G365" s="179">
        <f>SUMIFS('עלויות כח אדם (6)'!M:M,'עלויות כח אדם (6)'!B:B,' איוש משרות (8)'!C365,'עלויות כח אדם (6)'!N:N,"רכ")</f>
        <v>0</v>
      </c>
      <c r="H365" s="179">
        <f>IFERROR(VLOOKUP(P365,'עלויות כח אדם (6)'!$AE$16:$AF$3014,2,0),0)</f>
        <v>0</v>
      </c>
      <c r="I365" s="178">
        <f t="shared" si="34"/>
        <v>0</v>
      </c>
      <c r="J365" s="178">
        <f t="shared" si="35"/>
        <v>0</v>
      </c>
      <c r="K365" s="179" t="str">
        <f t="shared" si="32"/>
        <v/>
      </c>
      <c r="L365" s="718"/>
      <c r="M365" s="180" t="str">
        <f t="shared" si="36"/>
        <v/>
      </c>
      <c r="N365" s="531">
        <f t="shared" si="33"/>
        <v>0</v>
      </c>
      <c r="O365" s="531" t="str">
        <f>IF(C365&lt;&gt;"",C365&amp;'סיווג התפקידים והעלויות'!$C$2,"")</f>
        <v/>
      </c>
      <c r="P365" s="531" t="str">
        <f>IF(C365&lt;&gt;"",C365&amp;'סיווג התפקידים והעלויות'!$D$2,"")</f>
        <v/>
      </c>
    </row>
    <row r="366" spans="2:16" ht="15.75" x14ac:dyDescent="0.25">
      <c r="B366" s="176">
        <v>351</v>
      </c>
      <c r="C366" s="176" t="str">
        <f>IF(VLOOKUP(B366,'דוח ביצוע (3)'!$A$21:$B$520,2,0)="","",VLOOKUP(B366,'דוח ביצוע (3)'!$A$21:$B$520,2,0))</f>
        <v/>
      </c>
      <c r="D366" s="177" t="str">
        <f>IFERROR(VLOOKUP($C:$C,'מצבת והרשמה (2)'!$C$20:$N$520,2,0)," ")</f>
        <v/>
      </c>
      <c r="E366" s="177" t="str">
        <f>IFERROR(VLOOKUP(C366,'דוח ביצוע (3)'!B:V,5,0)," ")</f>
        <v xml:space="preserve"> </v>
      </c>
      <c r="F366" s="177" t="str">
        <f t="shared" si="31"/>
        <v/>
      </c>
      <c r="G366" s="179">
        <f>SUMIFS('עלויות כח אדם (6)'!M:M,'עלויות כח אדם (6)'!B:B,' איוש משרות (8)'!C366,'עלויות כח אדם (6)'!N:N,"רכ")</f>
        <v>0</v>
      </c>
      <c r="H366" s="179">
        <f>IFERROR(VLOOKUP(P366,'עלויות כח אדם (6)'!$AE$16:$AF$3014,2,0),0)</f>
        <v>0</v>
      </c>
      <c r="I366" s="178">
        <f t="shared" si="34"/>
        <v>0</v>
      </c>
      <c r="J366" s="178">
        <f t="shared" si="35"/>
        <v>0</v>
      </c>
      <c r="K366" s="179" t="str">
        <f t="shared" si="32"/>
        <v/>
      </c>
      <c r="L366" s="718"/>
      <c r="M366" s="180" t="str">
        <f t="shared" si="36"/>
        <v/>
      </c>
      <c r="N366" s="531">
        <f t="shared" si="33"/>
        <v>0</v>
      </c>
      <c r="O366" s="531" t="str">
        <f>IF(C366&lt;&gt;"",C366&amp;'סיווג התפקידים והעלויות'!$C$2,"")</f>
        <v/>
      </c>
      <c r="P366" s="531" t="str">
        <f>IF(C366&lt;&gt;"",C366&amp;'סיווג התפקידים והעלויות'!$D$2,"")</f>
        <v/>
      </c>
    </row>
    <row r="367" spans="2:16" ht="15.75" x14ac:dyDescent="0.25">
      <c r="B367" s="57">
        <v>352</v>
      </c>
      <c r="C367" s="176" t="str">
        <f>IF(VLOOKUP(B367,'דוח ביצוע (3)'!$A$21:$B$520,2,0)="","",VLOOKUP(B367,'דוח ביצוע (3)'!$A$21:$B$520,2,0))</f>
        <v/>
      </c>
      <c r="D367" s="177" t="str">
        <f>IFERROR(VLOOKUP($C:$C,'מצבת והרשמה (2)'!$C$20:$N$520,2,0)," ")</f>
        <v/>
      </c>
      <c r="E367" s="177" t="str">
        <f>IFERROR(VLOOKUP(C367,'דוח ביצוע (3)'!B:V,5,0)," ")</f>
        <v xml:space="preserve"> </v>
      </c>
      <c r="F367" s="177" t="str">
        <f t="shared" si="31"/>
        <v/>
      </c>
      <c r="G367" s="179">
        <f>SUMIFS('עלויות כח אדם (6)'!M:M,'עלויות כח אדם (6)'!B:B,' איוש משרות (8)'!C367,'עלויות כח אדם (6)'!N:N,"רכ")</f>
        <v>0</v>
      </c>
      <c r="H367" s="179">
        <f>IFERROR(VLOOKUP(P367,'עלויות כח אדם (6)'!$AE$16:$AF$3014,2,0),0)</f>
        <v>0</v>
      </c>
      <c r="I367" s="178">
        <f t="shared" si="34"/>
        <v>0</v>
      </c>
      <c r="J367" s="178">
        <f t="shared" si="35"/>
        <v>0</v>
      </c>
      <c r="K367" s="179" t="str">
        <f t="shared" si="32"/>
        <v/>
      </c>
      <c r="L367" s="718"/>
      <c r="M367" s="180" t="str">
        <f t="shared" si="36"/>
        <v/>
      </c>
      <c r="N367" s="531">
        <f t="shared" si="33"/>
        <v>0</v>
      </c>
      <c r="O367" s="531" t="str">
        <f>IF(C367&lt;&gt;"",C367&amp;'סיווג התפקידים והעלויות'!$C$2,"")</f>
        <v/>
      </c>
      <c r="P367" s="531" t="str">
        <f>IF(C367&lt;&gt;"",C367&amp;'סיווג התפקידים והעלויות'!$D$2,"")</f>
        <v/>
      </c>
    </row>
    <row r="368" spans="2:16" ht="15.75" x14ac:dyDescent="0.25">
      <c r="B368" s="176">
        <v>353</v>
      </c>
      <c r="C368" s="176" t="str">
        <f>IF(VLOOKUP(B368,'דוח ביצוע (3)'!$A$21:$B$520,2,0)="","",VLOOKUP(B368,'דוח ביצוע (3)'!$A$21:$B$520,2,0))</f>
        <v/>
      </c>
      <c r="D368" s="177" t="str">
        <f>IFERROR(VLOOKUP($C:$C,'מצבת והרשמה (2)'!$C$20:$N$520,2,0)," ")</f>
        <v/>
      </c>
      <c r="E368" s="177" t="str">
        <f>IFERROR(VLOOKUP(C368,'דוח ביצוע (3)'!B:V,5,0)," ")</f>
        <v xml:space="preserve"> </v>
      </c>
      <c r="F368" s="177" t="str">
        <f t="shared" si="31"/>
        <v/>
      </c>
      <c r="G368" s="179">
        <f>SUMIFS('עלויות כח אדם (6)'!M:M,'עלויות כח אדם (6)'!B:B,' איוש משרות (8)'!C368,'עלויות כח אדם (6)'!N:N,"רכ")</f>
        <v>0</v>
      </c>
      <c r="H368" s="179">
        <f>IFERROR(VLOOKUP(P368,'עלויות כח אדם (6)'!$AE$16:$AF$3014,2,0),0)</f>
        <v>0</v>
      </c>
      <c r="I368" s="178">
        <f t="shared" si="34"/>
        <v>0</v>
      </c>
      <c r="J368" s="178">
        <f t="shared" si="35"/>
        <v>0</v>
      </c>
      <c r="K368" s="179" t="str">
        <f t="shared" si="32"/>
        <v/>
      </c>
      <c r="L368" s="718"/>
      <c r="M368" s="180" t="str">
        <f t="shared" si="36"/>
        <v/>
      </c>
      <c r="N368" s="531">
        <f t="shared" si="33"/>
        <v>0</v>
      </c>
      <c r="O368" s="531" t="str">
        <f>IF(C368&lt;&gt;"",C368&amp;'סיווג התפקידים והעלויות'!$C$2,"")</f>
        <v/>
      </c>
      <c r="P368" s="531" t="str">
        <f>IF(C368&lt;&gt;"",C368&amp;'סיווג התפקידים והעלויות'!$D$2,"")</f>
        <v/>
      </c>
    </row>
    <row r="369" spans="2:16" ht="15.75" x14ac:dyDescent="0.25">
      <c r="B369" s="57">
        <v>354</v>
      </c>
      <c r="C369" s="176" t="str">
        <f>IF(VLOOKUP(B369,'דוח ביצוע (3)'!$A$21:$B$520,2,0)="","",VLOOKUP(B369,'דוח ביצוע (3)'!$A$21:$B$520,2,0))</f>
        <v/>
      </c>
      <c r="D369" s="177" t="str">
        <f>IFERROR(VLOOKUP($C:$C,'מצבת והרשמה (2)'!$C$20:$N$520,2,0)," ")</f>
        <v/>
      </c>
      <c r="E369" s="177" t="str">
        <f>IFERROR(VLOOKUP(C369,'דוח ביצוע (3)'!B:V,5,0)," ")</f>
        <v xml:space="preserve"> </v>
      </c>
      <c r="F369" s="177" t="str">
        <f t="shared" si="31"/>
        <v/>
      </c>
      <c r="G369" s="179">
        <f>SUMIFS('עלויות כח אדם (6)'!M:M,'עלויות כח אדם (6)'!B:B,' איוש משרות (8)'!C369,'עלויות כח אדם (6)'!N:N,"רכ")</f>
        <v>0</v>
      </c>
      <c r="H369" s="179">
        <f>IFERROR(VLOOKUP(P369,'עלויות כח אדם (6)'!$AE$16:$AF$3014,2,0),0)</f>
        <v>0</v>
      </c>
      <c r="I369" s="178">
        <f t="shared" si="34"/>
        <v>0</v>
      </c>
      <c r="J369" s="178">
        <f t="shared" si="35"/>
        <v>0</v>
      </c>
      <c r="K369" s="179" t="str">
        <f t="shared" si="32"/>
        <v/>
      </c>
      <c r="L369" s="718"/>
      <c r="M369" s="180" t="str">
        <f t="shared" si="36"/>
        <v/>
      </c>
      <c r="N369" s="531">
        <f t="shared" si="33"/>
        <v>0</v>
      </c>
      <c r="O369" s="531" t="str">
        <f>IF(C369&lt;&gt;"",C369&amp;'סיווג התפקידים והעלויות'!$C$2,"")</f>
        <v/>
      </c>
      <c r="P369" s="531" t="str">
        <f>IF(C369&lt;&gt;"",C369&amp;'סיווג התפקידים והעלויות'!$D$2,"")</f>
        <v/>
      </c>
    </row>
    <row r="370" spans="2:16" ht="15.75" x14ac:dyDescent="0.25">
      <c r="B370" s="176">
        <v>355</v>
      </c>
      <c r="C370" s="176" t="str">
        <f>IF(VLOOKUP(B370,'דוח ביצוע (3)'!$A$21:$B$520,2,0)="","",VLOOKUP(B370,'דוח ביצוע (3)'!$A$21:$B$520,2,0))</f>
        <v/>
      </c>
      <c r="D370" s="177" t="str">
        <f>IFERROR(VLOOKUP($C:$C,'מצבת והרשמה (2)'!$C$20:$N$520,2,0)," ")</f>
        <v/>
      </c>
      <c r="E370" s="177" t="str">
        <f>IFERROR(VLOOKUP(C370,'דוח ביצוע (3)'!B:V,5,0)," ")</f>
        <v xml:space="preserve"> </v>
      </c>
      <c r="F370" s="177" t="str">
        <f t="shared" si="31"/>
        <v/>
      </c>
      <c r="G370" s="179">
        <f>SUMIFS('עלויות כח אדם (6)'!M:M,'עלויות כח אדם (6)'!B:B,' איוש משרות (8)'!C370,'עלויות כח אדם (6)'!N:N,"רכ")</f>
        <v>0</v>
      </c>
      <c r="H370" s="179">
        <f>IFERROR(VLOOKUP(P370,'עלויות כח אדם (6)'!$AE$16:$AF$3014,2,0),0)</f>
        <v>0</v>
      </c>
      <c r="I370" s="178">
        <f t="shared" si="34"/>
        <v>0</v>
      </c>
      <c r="J370" s="178">
        <f t="shared" si="35"/>
        <v>0</v>
      </c>
      <c r="K370" s="179" t="str">
        <f t="shared" si="32"/>
        <v/>
      </c>
      <c r="L370" s="718"/>
      <c r="M370" s="180" t="str">
        <f t="shared" si="36"/>
        <v/>
      </c>
      <c r="N370" s="531">
        <f t="shared" si="33"/>
        <v>0</v>
      </c>
      <c r="O370" s="531" t="str">
        <f>IF(C370&lt;&gt;"",C370&amp;'סיווג התפקידים והעלויות'!$C$2,"")</f>
        <v/>
      </c>
      <c r="P370" s="531" t="str">
        <f>IF(C370&lt;&gt;"",C370&amp;'סיווג התפקידים והעלויות'!$D$2,"")</f>
        <v/>
      </c>
    </row>
    <row r="371" spans="2:16" ht="15.75" x14ac:dyDescent="0.25">
      <c r="B371" s="57">
        <v>356</v>
      </c>
      <c r="C371" s="176" t="str">
        <f>IF(VLOOKUP(B371,'דוח ביצוע (3)'!$A$21:$B$520,2,0)="","",VLOOKUP(B371,'דוח ביצוע (3)'!$A$21:$B$520,2,0))</f>
        <v/>
      </c>
      <c r="D371" s="177" t="str">
        <f>IFERROR(VLOOKUP($C:$C,'מצבת והרשמה (2)'!$C$20:$N$520,2,0)," ")</f>
        <v/>
      </c>
      <c r="E371" s="177" t="str">
        <f>IFERROR(VLOOKUP(C371,'דוח ביצוע (3)'!B:V,5,0)," ")</f>
        <v xml:space="preserve"> </v>
      </c>
      <c r="F371" s="177" t="str">
        <f t="shared" si="31"/>
        <v/>
      </c>
      <c r="G371" s="179">
        <f>SUMIFS('עלויות כח אדם (6)'!M:M,'עלויות כח אדם (6)'!B:B,' איוש משרות (8)'!C371,'עלויות כח אדם (6)'!N:N,"רכ")</f>
        <v>0</v>
      </c>
      <c r="H371" s="179">
        <f>IFERROR(VLOOKUP(P371,'עלויות כח אדם (6)'!$AE$16:$AF$3014,2,0),0)</f>
        <v>0</v>
      </c>
      <c r="I371" s="178">
        <f t="shared" si="34"/>
        <v>0</v>
      </c>
      <c r="J371" s="178">
        <f t="shared" si="35"/>
        <v>0</v>
      </c>
      <c r="K371" s="179" t="str">
        <f t="shared" si="32"/>
        <v/>
      </c>
      <c r="L371" s="718"/>
      <c r="M371" s="180" t="str">
        <f t="shared" si="36"/>
        <v/>
      </c>
      <c r="N371" s="531">
        <f t="shared" si="33"/>
        <v>0</v>
      </c>
      <c r="O371" s="531" t="str">
        <f>IF(C371&lt;&gt;"",C371&amp;'סיווג התפקידים והעלויות'!$C$2,"")</f>
        <v/>
      </c>
      <c r="P371" s="531" t="str">
        <f>IF(C371&lt;&gt;"",C371&amp;'סיווג התפקידים והעלויות'!$D$2,"")</f>
        <v/>
      </c>
    </row>
    <row r="372" spans="2:16" ht="15.75" x14ac:dyDescent="0.25">
      <c r="B372" s="176">
        <v>357</v>
      </c>
      <c r="C372" s="176" t="str">
        <f>IF(VLOOKUP(B372,'דוח ביצוע (3)'!$A$21:$B$520,2,0)="","",VLOOKUP(B372,'דוח ביצוע (3)'!$A$21:$B$520,2,0))</f>
        <v/>
      </c>
      <c r="D372" s="177" t="str">
        <f>IFERROR(VLOOKUP($C:$C,'מצבת והרשמה (2)'!$C$20:$N$520,2,0)," ")</f>
        <v/>
      </c>
      <c r="E372" s="177" t="str">
        <f>IFERROR(VLOOKUP(C372,'דוח ביצוע (3)'!B:V,5,0)," ")</f>
        <v xml:space="preserve"> </v>
      </c>
      <c r="F372" s="177" t="str">
        <f t="shared" si="31"/>
        <v/>
      </c>
      <c r="G372" s="179">
        <f>SUMIFS('עלויות כח אדם (6)'!M:M,'עלויות כח אדם (6)'!B:B,' איוש משרות (8)'!C372,'עלויות כח אדם (6)'!N:N,"רכ")</f>
        <v>0</v>
      </c>
      <c r="H372" s="179">
        <f>IFERROR(VLOOKUP(P372,'עלויות כח אדם (6)'!$AE$16:$AF$3014,2,0),0)</f>
        <v>0</v>
      </c>
      <c r="I372" s="178">
        <f t="shared" si="34"/>
        <v>0</v>
      </c>
      <c r="J372" s="178">
        <f t="shared" si="35"/>
        <v>0</v>
      </c>
      <c r="K372" s="179" t="str">
        <f t="shared" si="32"/>
        <v/>
      </c>
      <c r="L372" s="718"/>
      <c r="M372" s="180" t="str">
        <f t="shared" si="36"/>
        <v/>
      </c>
      <c r="N372" s="531">
        <f t="shared" si="33"/>
        <v>0</v>
      </c>
      <c r="O372" s="531" t="str">
        <f>IF(C372&lt;&gt;"",C372&amp;'סיווג התפקידים והעלויות'!$C$2,"")</f>
        <v/>
      </c>
      <c r="P372" s="531" t="str">
        <f>IF(C372&lt;&gt;"",C372&amp;'סיווג התפקידים והעלויות'!$D$2,"")</f>
        <v/>
      </c>
    </row>
    <row r="373" spans="2:16" ht="15.75" x14ac:dyDescent="0.25">
      <c r="B373" s="57">
        <v>358</v>
      </c>
      <c r="C373" s="176" t="str">
        <f>IF(VLOOKUP(B373,'דוח ביצוע (3)'!$A$21:$B$520,2,0)="","",VLOOKUP(B373,'דוח ביצוע (3)'!$A$21:$B$520,2,0))</f>
        <v/>
      </c>
      <c r="D373" s="177" t="str">
        <f>IFERROR(VLOOKUP($C:$C,'מצבת והרשמה (2)'!$C$20:$N$520,2,0)," ")</f>
        <v/>
      </c>
      <c r="E373" s="177" t="str">
        <f>IFERROR(VLOOKUP(C373,'דוח ביצוע (3)'!B:V,5,0)," ")</f>
        <v xml:space="preserve"> </v>
      </c>
      <c r="F373" s="177" t="str">
        <f t="shared" si="31"/>
        <v/>
      </c>
      <c r="G373" s="179">
        <f>SUMIFS('עלויות כח אדם (6)'!M:M,'עלויות כח אדם (6)'!B:B,' איוש משרות (8)'!C373,'עלויות כח אדם (6)'!N:N,"רכ")</f>
        <v>0</v>
      </c>
      <c r="H373" s="179">
        <f>IFERROR(VLOOKUP(P373,'עלויות כח אדם (6)'!$AE$16:$AF$3014,2,0),0)</f>
        <v>0</v>
      </c>
      <c r="I373" s="178">
        <f t="shared" si="34"/>
        <v>0</v>
      </c>
      <c r="J373" s="178">
        <f t="shared" si="35"/>
        <v>0</v>
      </c>
      <c r="K373" s="179" t="str">
        <f t="shared" si="32"/>
        <v/>
      </c>
      <c r="L373" s="718"/>
      <c r="M373" s="180" t="str">
        <f t="shared" si="36"/>
        <v/>
      </c>
      <c r="N373" s="531">
        <f t="shared" si="33"/>
        <v>0</v>
      </c>
      <c r="O373" s="531" t="str">
        <f>IF(C373&lt;&gt;"",C373&amp;'סיווג התפקידים והעלויות'!$C$2,"")</f>
        <v/>
      </c>
      <c r="P373" s="531" t="str">
        <f>IF(C373&lt;&gt;"",C373&amp;'סיווג התפקידים והעלויות'!$D$2,"")</f>
        <v/>
      </c>
    </row>
    <row r="374" spans="2:16" ht="15.75" x14ac:dyDescent="0.25">
      <c r="B374" s="176">
        <v>359</v>
      </c>
      <c r="C374" s="176" t="str">
        <f>IF(VLOOKUP(B374,'דוח ביצוע (3)'!$A$21:$B$520,2,0)="","",VLOOKUP(B374,'דוח ביצוע (3)'!$A$21:$B$520,2,0))</f>
        <v/>
      </c>
      <c r="D374" s="177" t="str">
        <f>IFERROR(VLOOKUP($C:$C,'מצבת והרשמה (2)'!$C$20:$N$520,2,0)," ")</f>
        <v/>
      </c>
      <c r="E374" s="177" t="str">
        <f>IFERROR(VLOOKUP(C374,'דוח ביצוע (3)'!B:V,5,0)," ")</f>
        <v xml:space="preserve"> </v>
      </c>
      <c r="F374" s="177" t="str">
        <f t="shared" si="31"/>
        <v/>
      </c>
      <c r="G374" s="179">
        <f>SUMIFS('עלויות כח אדם (6)'!M:M,'עלויות כח אדם (6)'!B:B,' איוש משרות (8)'!C374,'עלויות כח אדם (6)'!N:N,"רכ")</f>
        <v>0</v>
      </c>
      <c r="H374" s="179">
        <f>IFERROR(VLOOKUP(P374,'עלויות כח אדם (6)'!$AE$16:$AF$3014,2,0),0)</f>
        <v>0</v>
      </c>
      <c r="I374" s="178">
        <f t="shared" si="34"/>
        <v>0</v>
      </c>
      <c r="J374" s="178">
        <f t="shared" si="35"/>
        <v>0</v>
      </c>
      <c r="K374" s="179" t="str">
        <f t="shared" si="32"/>
        <v/>
      </c>
      <c r="L374" s="718"/>
      <c r="M374" s="180" t="str">
        <f t="shared" si="36"/>
        <v/>
      </c>
      <c r="N374" s="531">
        <f t="shared" si="33"/>
        <v>0</v>
      </c>
      <c r="O374" s="531" t="str">
        <f>IF(C374&lt;&gt;"",C374&amp;'סיווג התפקידים והעלויות'!$C$2,"")</f>
        <v/>
      </c>
      <c r="P374" s="531" t="str">
        <f>IF(C374&lt;&gt;"",C374&amp;'סיווג התפקידים והעלויות'!$D$2,"")</f>
        <v/>
      </c>
    </row>
    <row r="375" spans="2:16" ht="15.75" x14ac:dyDescent="0.25">
      <c r="B375" s="57">
        <v>360</v>
      </c>
      <c r="C375" s="176" t="str">
        <f>IF(VLOOKUP(B375,'דוח ביצוע (3)'!$A$21:$B$520,2,0)="","",VLOOKUP(B375,'דוח ביצוע (3)'!$A$21:$B$520,2,0))</f>
        <v/>
      </c>
      <c r="D375" s="177" t="str">
        <f>IFERROR(VLOOKUP($C:$C,'מצבת והרשמה (2)'!$C$20:$N$520,2,0)," ")</f>
        <v/>
      </c>
      <c r="E375" s="177" t="str">
        <f>IFERROR(VLOOKUP(C375,'דוח ביצוע (3)'!B:V,5,0)," ")</f>
        <v xml:space="preserve"> </v>
      </c>
      <c r="F375" s="177" t="str">
        <f t="shared" si="31"/>
        <v/>
      </c>
      <c r="G375" s="179">
        <f>SUMIFS('עלויות כח אדם (6)'!M:M,'עלויות כח אדם (6)'!B:B,' איוש משרות (8)'!C375,'עלויות כח אדם (6)'!N:N,"רכ")</f>
        <v>0</v>
      </c>
      <c r="H375" s="179">
        <f>IFERROR(VLOOKUP(P375,'עלויות כח אדם (6)'!$AE$16:$AF$3014,2,0),0)</f>
        <v>0</v>
      </c>
      <c r="I375" s="178">
        <f t="shared" si="34"/>
        <v>0</v>
      </c>
      <c r="J375" s="178">
        <f t="shared" si="35"/>
        <v>0</v>
      </c>
      <c r="K375" s="179" t="str">
        <f t="shared" si="32"/>
        <v/>
      </c>
      <c r="L375" s="718"/>
      <c r="M375" s="180" t="str">
        <f t="shared" si="36"/>
        <v/>
      </c>
      <c r="N375" s="531">
        <f t="shared" si="33"/>
        <v>0</v>
      </c>
      <c r="O375" s="531" t="str">
        <f>IF(C375&lt;&gt;"",C375&amp;'סיווג התפקידים והעלויות'!$C$2,"")</f>
        <v/>
      </c>
      <c r="P375" s="531" t="str">
        <f>IF(C375&lt;&gt;"",C375&amp;'סיווג התפקידים והעלויות'!$D$2,"")</f>
        <v/>
      </c>
    </row>
    <row r="376" spans="2:16" ht="15.75" x14ac:dyDescent="0.25">
      <c r="B376" s="176">
        <v>361</v>
      </c>
      <c r="C376" s="176" t="str">
        <f>IF(VLOOKUP(B376,'דוח ביצוע (3)'!$A$21:$B$520,2,0)="","",VLOOKUP(B376,'דוח ביצוע (3)'!$A$21:$B$520,2,0))</f>
        <v/>
      </c>
      <c r="D376" s="177" t="str">
        <f>IFERROR(VLOOKUP($C:$C,'מצבת והרשמה (2)'!$C$20:$N$520,2,0)," ")</f>
        <v/>
      </c>
      <c r="E376" s="177" t="str">
        <f>IFERROR(VLOOKUP(C376,'דוח ביצוע (3)'!B:V,5,0)," ")</f>
        <v xml:space="preserve"> </v>
      </c>
      <c r="F376" s="177" t="str">
        <f t="shared" si="31"/>
        <v/>
      </c>
      <c r="G376" s="179">
        <f>SUMIFS('עלויות כח אדם (6)'!M:M,'עלויות כח אדם (6)'!B:B,' איוש משרות (8)'!C376,'עלויות כח אדם (6)'!N:N,"רכ")</f>
        <v>0</v>
      </c>
      <c r="H376" s="179">
        <f>IFERROR(VLOOKUP(P376,'עלויות כח אדם (6)'!$AE$16:$AF$3014,2,0),0)</f>
        <v>0</v>
      </c>
      <c r="I376" s="178">
        <f t="shared" si="34"/>
        <v>0</v>
      </c>
      <c r="J376" s="178">
        <f t="shared" si="35"/>
        <v>0</v>
      </c>
      <c r="K376" s="179" t="str">
        <f t="shared" si="32"/>
        <v/>
      </c>
      <c r="L376" s="718"/>
      <c r="M376" s="180" t="str">
        <f t="shared" si="36"/>
        <v/>
      </c>
      <c r="N376" s="531">
        <f t="shared" si="33"/>
        <v>0</v>
      </c>
      <c r="O376" s="531" t="str">
        <f>IF(C376&lt;&gt;"",C376&amp;'סיווג התפקידים והעלויות'!$C$2,"")</f>
        <v/>
      </c>
      <c r="P376" s="531" t="str">
        <f>IF(C376&lt;&gt;"",C376&amp;'סיווג התפקידים והעלויות'!$D$2,"")</f>
        <v/>
      </c>
    </row>
    <row r="377" spans="2:16" ht="15.75" x14ac:dyDescent="0.25">
      <c r="B377" s="57">
        <v>362</v>
      </c>
      <c r="C377" s="176" t="str">
        <f>IF(VLOOKUP(B377,'דוח ביצוע (3)'!$A$21:$B$520,2,0)="","",VLOOKUP(B377,'דוח ביצוע (3)'!$A$21:$B$520,2,0))</f>
        <v/>
      </c>
      <c r="D377" s="177" t="str">
        <f>IFERROR(VLOOKUP($C:$C,'מצבת והרשמה (2)'!$C$20:$N$520,2,0)," ")</f>
        <v/>
      </c>
      <c r="E377" s="177" t="str">
        <f>IFERROR(VLOOKUP(C377,'דוח ביצוע (3)'!B:V,5,0)," ")</f>
        <v xml:space="preserve"> </v>
      </c>
      <c r="F377" s="177" t="str">
        <f t="shared" si="31"/>
        <v/>
      </c>
      <c r="G377" s="179">
        <f>SUMIFS('עלויות כח אדם (6)'!M:M,'עלויות כח אדם (6)'!B:B,' איוש משרות (8)'!C377,'עלויות כח אדם (6)'!N:N,"רכ")</f>
        <v>0</v>
      </c>
      <c r="H377" s="179">
        <f>IFERROR(VLOOKUP(P377,'עלויות כח אדם (6)'!$AE$16:$AF$3014,2,0),0)</f>
        <v>0</v>
      </c>
      <c r="I377" s="178">
        <f t="shared" si="34"/>
        <v>0</v>
      </c>
      <c r="J377" s="178">
        <f t="shared" si="35"/>
        <v>0</v>
      </c>
      <c r="K377" s="179" t="str">
        <f t="shared" si="32"/>
        <v/>
      </c>
      <c r="L377" s="718"/>
      <c r="M377" s="180" t="str">
        <f t="shared" si="36"/>
        <v/>
      </c>
      <c r="N377" s="531">
        <f t="shared" si="33"/>
        <v>0</v>
      </c>
      <c r="O377" s="531" t="str">
        <f>IF(C377&lt;&gt;"",C377&amp;'סיווג התפקידים והעלויות'!$C$2,"")</f>
        <v/>
      </c>
      <c r="P377" s="531" t="str">
        <f>IF(C377&lt;&gt;"",C377&amp;'סיווג התפקידים והעלויות'!$D$2,"")</f>
        <v/>
      </c>
    </row>
    <row r="378" spans="2:16" ht="15.75" x14ac:dyDescent="0.25">
      <c r="B378" s="176">
        <v>363</v>
      </c>
      <c r="C378" s="176" t="str">
        <f>IF(VLOOKUP(B378,'דוח ביצוע (3)'!$A$21:$B$520,2,0)="","",VLOOKUP(B378,'דוח ביצוע (3)'!$A$21:$B$520,2,0))</f>
        <v/>
      </c>
      <c r="D378" s="177" t="str">
        <f>IFERROR(VLOOKUP($C:$C,'מצבת והרשמה (2)'!$C$20:$N$520,2,0)," ")</f>
        <v/>
      </c>
      <c r="E378" s="177" t="str">
        <f>IFERROR(VLOOKUP(C378,'דוח ביצוע (3)'!B:V,5,0)," ")</f>
        <v xml:space="preserve"> </v>
      </c>
      <c r="F378" s="177" t="str">
        <f t="shared" si="31"/>
        <v/>
      </c>
      <c r="G378" s="179">
        <f>SUMIFS('עלויות כח אדם (6)'!M:M,'עלויות כח אדם (6)'!B:B,' איוש משרות (8)'!C378,'עלויות כח אדם (6)'!N:N,"רכ")</f>
        <v>0</v>
      </c>
      <c r="H378" s="179">
        <f>IFERROR(VLOOKUP(P378,'עלויות כח אדם (6)'!$AE$16:$AF$3014,2,0),0)</f>
        <v>0</v>
      </c>
      <c r="I378" s="178">
        <f t="shared" si="34"/>
        <v>0</v>
      </c>
      <c r="J378" s="178">
        <f t="shared" si="35"/>
        <v>0</v>
      </c>
      <c r="K378" s="179" t="str">
        <f t="shared" si="32"/>
        <v/>
      </c>
      <c r="L378" s="718"/>
      <c r="M378" s="180" t="str">
        <f t="shared" si="36"/>
        <v/>
      </c>
      <c r="N378" s="531">
        <f t="shared" si="33"/>
        <v>0</v>
      </c>
      <c r="O378" s="531" t="str">
        <f>IF(C378&lt;&gt;"",C378&amp;'סיווג התפקידים והעלויות'!$C$2,"")</f>
        <v/>
      </c>
      <c r="P378" s="531" t="str">
        <f>IF(C378&lt;&gt;"",C378&amp;'סיווג התפקידים והעלויות'!$D$2,"")</f>
        <v/>
      </c>
    </row>
    <row r="379" spans="2:16" ht="15.75" x14ac:dyDescent="0.25">
      <c r="B379" s="57">
        <v>364</v>
      </c>
      <c r="C379" s="176" t="str">
        <f>IF(VLOOKUP(B379,'דוח ביצוע (3)'!$A$21:$B$520,2,0)="","",VLOOKUP(B379,'דוח ביצוע (3)'!$A$21:$B$520,2,0))</f>
        <v/>
      </c>
      <c r="D379" s="177" t="str">
        <f>IFERROR(VLOOKUP($C:$C,'מצבת והרשמה (2)'!$C$20:$N$520,2,0)," ")</f>
        <v/>
      </c>
      <c r="E379" s="177" t="str">
        <f>IFERROR(VLOOKUP(C379,'דוח ביצוע (3)'!B:V,5,0)," ")</f>
        <v xml:space="preserve"> </v>
      </c>
      <c r="F379" s="177" t="str">
        <f t="shared" si="31"/>
        <v/>
      </c>
      <c r="G379" s="179">
        <f>SUMIFS('עלויות כח אדם (6)'!M:M,'עלויות כח אדם (6)'!B:B,' איוש משרות (8)'!C379,'עלויות כח אדם (6)'!N:N,"רכ")</f>
        <v>0</v>
      </c>
      <c r="H379" s="179">
        <f>IFERROR(VLOOKUP(P379,'עלויות כח אדם (6)'!$AE$16:$AF$3014,2,0),0)</f>
        <v>0</v>
      </c>
      <c r="I379" s="178">
        <f t="shared" si="34"/>
        <v>0</v>
      </c>
      <c r="J379" s="178">
        <f t="shared" si="35"/>
        <v>0</v>
      </c>
      <c r="K379" s="179" t="str">
        <f t="shared" si="32"/>
        <v/>
      </c>
      <c r="L379" s="718"/>
      <c r="M379" s="180" t="str">
        <f t="shared" si="36"/>
        <v/>
      </c>
      <c r="N379" s="531">
        <f t="shared" si="33"/>
        <v>0</v>
      </c>
      <c r="O379" s="531" t="str">
        <f>IF(C379&lt;&gt;"",C379&amp;'סיווג התפקידים והעלויות'!$C$2,"")</f>
        <v/>
      </c>
      <c r="P379" s="531" t="str">
        <f>IF(C379&lt;&gt;"",C379&amp;'סיווג התפקידים והעלויות'!$D$2,"")</f>
        <v/>
      </c>
    </row>
    <row r="380" spans="2:16" ht="15.75" x14ac:dyDescent="0.25">
      <c r="B380" s="176">
        <v>365</v>
      </c>
      <c r="C380" s="176" t="str">
        <f>IF(VLOOKUP(B380,'דוח ביצוע (3)'!$A$21:$B$520,2,0)="","",VLOOKUP(B380,'דוח ביצוע (3)'!$A$21:$B$520,2,0))</f>
        <v/>
      </c>
      <c r="D380" s="177" t="str">
        <f>IFERROR(VLOOKUP($C:$C,'מצבת והרשמה (2)'!$C$20:$N$520,2,0)," ")</f>
        <v/>
      </c>
      <c r="E380" s="177" t="str">
        <f>IFERROR(VLOOKUP(C380,'דוח ביצוע (3)'!B:V,5,0)," ")</f>
        <v xml:space="preserve"> </v>
      </c>
      <c r="F380" s="177" t="str">
        <f t="shared" si="31"/>
        <v/>
      </c>
      <c r="G380" s="179">
        <f>SUMIFS('עלויות כח אדם (6)'!M:M,'עלויות כח אדם (6)'!B:B,' איוש משרות (8)'!C380,'עלויות כח אדם (6)'!N:N,"רכ")</f>
        <v>0</v>
      </c>
      <c r="H380" s="179">
        <f>IFERROR(VLOOKUP(P380,'עלויות כח אדם (6)'!$AE$16:$AF$3014,2,0),0)</f>
        <v>0</v>
      </c>
      <c r="I380" s="178">
        <f t="shared" si="34"/>
        <v>0</v>
      </c>
      <c r="J380" s="178">
        <f t="shared" si="35"/>
        <v>0</v>
      </c>
      <c r="K380" s="179" t="str">
        <f t="shared" si="32"/>
        <v/>
      </c>
      <c r="L380" s="718"/>
      <c r="M380" s="180" t="str">
        <f t="shared" si="36"/>
        <v/>
      </c>
      <c r="N380" s="531">
        <f t="shared" si="33"/>
        <v>0</v>
      </c>
      <c r="O380" s="531" t="str">
        <f>IF(C380&lt;&gt;"",C380&amp;'סיווג התפקידים והעלויות'!$C$2,"")</f>
        <v/>
      </c>
      <c r="P380" s="531" t="str">
        <f>IF(C380&lt;&gt;"",C380&amp;'סיווג התפקידים והעלויות'!$D$2,"")</f>
        <v/>
      </c>
    </row>
    <row r="381" spans="2:16" ht="15.75" x14ac:dyDescent="0.25">
      <c r="B381" s="57">
        <v>366</v>
      </c>
      <c r="C381" s="176" t="str">
        <f>IF(VLOOKUP(B381,'דוח ביצוע (3)'!$A$21:$B$520,2,0)="","",VLOOKUP(B381,'דוח ביצוע (3)'!$A$21:$B$520,2,0))</f>
        <v/>
      </c>
      <c r="D381" s="177" t="str">
        <f>IFERROR(VLOOKUP($C:$C,'מצבת והרשמה (2)'!$C$20:$N$520,2,0)," ")</f>
        <v/>
      </c>
      <c r="E381" s="177" t="str">
        <f>IFERROR(VLOOKUP(C381,'דוח ביצוע (3)'!B:V,5,0)," ")</f>
        <v xml:space="preserve"> </v>
      </c>
      <c r="F381" s="177" t="str">
        <f t="shared" si="31"/>
        <v/>
      </c>
      <c r="G381" s="179">
        <f>SUMIFS('עלויות כח אדם (6)'!M:M,'עלויות כח אדם (6)'!B:B,' איוש משרות (8)'!C381,'עלויות כח אדם (6)'!N:N,"רכ")</f>
        <v>0</v>
      </c>
      <c r="H381" s="179">
        <f>IFERROR(VLOOKUP(P381,'עלויות כח אדם (6)'!$AE$16:$AF$3014,2,0),0)</f>
        <v>0</v>
      </c>
      <c r="I381" s="178">
        <f t="shared" si="34"/>
        <v>0</v>
      </c>
      <c r="J381" s="178">
        <f t="shared" si="35"/>
        <v>0</v>
      </c>
      <c r="K381" s="179" t="str">
        <f t="shared" si="32"/>
        <v/>
      </c>
      <c r="L381" s="718"/>
      <c r="M381" s="180" t="str">
        <f t="shared" si="36"/>
        <v/>
      </c>
      <c r="N381" s="531">
        <f t="shared" si="33"/>
        <v>0</v>
      </c>
      <c r="O381" s="531" t="str">
        <f>IF(C381&lt;&gt;"",C381&amp;'סיווג התפקידים והעלויות'!$C$2,"")</f>
        <v/>
      </c>
      <c r="P381" s="531" t="str">
        <f>IF(C381&lt;&gt;"",C381&amp;'סיווג התפקידים והעלויות'!$D$2,"")</f>
        <v/>
      </c>
    </row>
    <row r="382" spans="2:16" ht="15.75" x14ac:dyDescent="0.25">
      <c r="B382" s="176">
        <v>367</v>
      </c>
      <c r="C382" s="176" t="str">
        <f>IF(VLOOKUP(B382,'דוח ביצוע (3)'!$A$21:$B$520,2,0)="","",VLOOKUP(B382,'דוח ביצוע (3)'!$A$21:$B$520,2,0))</f>
        <v/>
      </c>
      <c r="D382" s="177" t="str">
        <f>IFERROR(VLOOKUP($C:$C,'מצבת והרשמה (2)'!$C$20:$N$520,2,0)," ")</f>
        <v/>
      </c>
      <c r="E382" s="177" t="str">
        <f>IFERROR(VLOOKUP(C382,'דוח ביצוע (3)'!B:V,5,0)," ")</f>
        <v xml:space="preserve"> </v>
      </c>
      <c r="F382" s="177" t="str">
        <f t="shared" si="31"/>
        <v/>
      </c>
      <c r="G382" s="179">
        <f>SUMIFS('עלויות כח אדם (6)'!M:M,'עלויות כח אדם (6)'!B:B,' איוש משרות (8)'!C382,'עלויות כח אדם (6)'!N:N,"רכ")</f>
        <v>0</v>
      </c>
      <c r="H382" s="179">
        <f>IFERROR(VLOOKUP(P382,'עלויות כח אדם (6)'!$AE$16:$AF$3014,2,0),0)</f>
        <v>0</v>
      </c>
      <c r="I382" s="178">
        <f t="shared" si="34"/>
        <v>0</v>
      </c>
      <c r="J382" s="178">
        <f t="shared" si="35"/>
        <v>0</v>
      </c>
      <c r="K382" s="179" t="str">
        <f t="shared" si="32"/>
        <v/>
      </c>
      <c r="L382" s="718"/>
      <c r="M382" s="180" t="str">
        <f t="shared" si="36"/>
        <v/>
      </c>
      <c r="N382" s="531">
        <f t="shared" si="33"/>
        <v>0</v>
      </c>
      <c r="O382" s="531" t="str">
        <f>IF(C382&lt;&gt;"",C382&amp;'סיווג התפקידים והעלויות'!$C$2,"")</f>
        <v/>
      </c>
      <c r="P382" s="531" t="str">
        <f>IF(C382&lt;&gt;"",C382&amp;'סיווג התפקידים והעלויות'!$D$2,"")</f>
        <v/>
      </c>
    </row>
    <row r="383" spans="2:16" ht="15.75" x14ac:dyDescent="0.25">
      <c r="B383" s="57">
        <v>368</v>
      </c>
      <c r="C383" s="176" t="str">
        <f>IF(VLOOKUP(B383,'דוח ביצוע (3)'!$A$21:$B$520,2,0)="","",VLOOKUP(B383,'דוח ביצוע (3)'!$A$21:$B$520,2,0))</f>
        <v/>
      </c>
      <c r="D383" s="177" t="str">
        <f>IFERROR(VLOOKUP($C:$C,'מצבת והרשמה (2)'!$C$20:$N$520,2,0)," ")</f>
        <v/>
      </c>
      <c r="E383" s="177" t="str">
        <f>IFERROR(VLOOKUP(C383,'דוח ביצוע (3)'!B:V,5,0)," ")</f>
        <v xml:space="preserve"> </v>
      </c>
      <c r="F383" s="177" t="str">
        <f t="shared" si="31"/>
        <v/>
      </c>
      <c r="G383" s="179">
        <f>SUMIFS('עלויות כח אדם (6)'!M:M,'עלויות כח אדם (6)'!B:B,' איוש משרות (8)'!C383,'עלויות כח אדם (6)'!N:N,"רכ")</f>
        <v>0</v>
      </c>
      <c r="H383" s="179">
        <f>IFERROR(VLOOKUP(P383,'עלויות כח אדם (6)'!$AE$16:$AF$3014,2,0),0)</f>
        <v>0</v>
      </c>
      <c r="I383" s="178">
        <f t="shared" si="34"/>
        <v>0</v>
      </c>
      <c r="J383" s="178">
        <f t="shared" si="35"/>
        <v>0</v>
      </c>
      <c r="K383" s="179" t="str">
        <f t="shared" si="32"/>
        <v/>
      </c>
      <c r="L383" s="718"/>
      <c r="M383" s="180" t="str">
        <f t="shared" si="36"/>
        <v/>
      </c>
      <c r="N383" s="531">
        <f t="shared" si="33"/>
        <v>0</v>
      </c>
      <c r="O383" s="531" t="str">
        <f>IF(C383&lt;&gt;"",C383&amp;'סיווג התפקידים והעלויות'!$C$2,"")</f>
        <v/>
      </c>
      <c r="P383" s="531" t="str">
        <f>IF(C383&lt;&gt;"",C383&amp;'סיווג התפקידים והעלויות'!$D$2,"")</f>
        <v/>
      </c>
    </row>
    <row r="384" spans="2:16" ht="15.75" x14ac:dyDescent="0.25">
      <c r="B384" s="176">
        <v>369</v>
      </c>
      <c r="C384" s="176" t="str">
        <f>IF(VLOOKUP(B384,'דוח ביצוע (3)'!$A$21:$B$520,2,0)="","",VLOOKUP(B384,'דוח ביצוע (3)'!$A$21:$B$520,2,0))</f>
        <v/>
      </c>
      <c r="D384" s="177" t="str">
        <f>IFERROR(VLOOKUP($C:$C,'מצבת והרשמה (2)'!$C$20:$N$520,2,0)," ")</f>
        <v/>
      </c>
      <c r="E384" s="177" t="str">
        <f>IFERROR(VLOOKUP(C384,'דוח ביצוע (3)'!B:V,5,0)," ")</f>
        <v xml:space="preserve"> </v>
      </c>
      <c r="F384" s="177" t="str">
        <f t="shared" si="31"/>
        <v/>
      </c>
      <c r="G384" s="179">
        <f>SUMIFS('עלויות כח אדם (6)'!M:M,'עלויות כח אדם (6)'!B:B,' איוש משרות (8)'!C384,'עלויות כח אדם (6)'!N:N,"רכ")</f>
        <v>0</v>
      </c>
      <c r="H384" s="179">
        <f>IFERROR(VLOOKUP(P384,'עלויות כח אדם (6)'!$AE$16:$AF$3014,2,0),0)</f>
        <v>0</v>
      </c>
      <c r="I384" s="178">
        <f t="shared" si="34"/>
        <v>0</v>
      </c>
      <c r="J384" s="178">
        <f t="shared" si="35"/>
        <v>0</v>
      </c>
      <c r="K384" s="179" t="str">
        <f t="shared" si="32"/>
        <v/>
      </c>
      <c r="L384" s="718"/>
      <c r="M384" s="180" t="str">
        <f t="shared" si="36"/>
        <v/>
      </c>
      <c r="N384" s="531">
        <f t="shared" si="33"/>
        <v>0</v>
      </c>
      <c r="O384" s="531" t="str">
        <f>IF(C384&lt;&gt;"",C384&amp;'סיווג התפקידים והעלויות'!$C$2,"")</f>
        <v/>
      </c>
      <c r="P384" s="531" t="str">
        <f>IF(C384&lt;&gt;"",C384&amp;'סיווג התפקידים והעלויות'!$D$2,"")</f>
        <v/>
      </c>
    </row>
    <row r="385" spans="2:16" ht="15.75" x14ac:dyDescent="0.25">
      <c r="B385" s="57">
        <v>370</v>
      </c>
      <c r="C385" s="176" t="str">
        <f>IF(VLOOKUP(B385,'דוח ביצוע (3)'!$A$21:$B$520,2,0)="","",VLOOKUP(B385,'דוח ביצוע (3)'!$A$21:$B$520,2,0))</f>
        <v/>
      </c>
      <c r="D385" s="177" t="str">
        <f>IFERROR(VLOOKUP($C:$C,'מצבת והרשמה (2)'!$C$20:$N$520,2,0)," ")</f>
        <v/>
      </c>
      <c r="E385" s="177" t="str">
        <f>IFERROR(VLOOKUP(C385,'דוח ביצוע (3)'!B:V,5,0)," ")</f>
        <v xml:space="preserve"> </v>
      </c>
      <c r="F385" s="177" t="str">
        <f t="shared" si="31"/>
        <v/>
      </c>
      <c r="G385" s="179">
        <f>SUMIFS('עלויות כח אדם (6)'!M:M,'עלויות כח אדם (6)'!B:B,' איוש משרות (8)'!C385,'עלויות כח אדם (6)'!N:N,"רכ")</f>
        <v>0</v>
      </c>
      <c r="H385" s="179">
        <f>IFERROR(VLOOKUP(P385,'עלויות כח אדם (6)'!$AE$16:$AF$3014,2,0),0)</f>
        <v>0</v>
      </c>
      <c r="I385" s="178">
        <f t="shared" si="34"/>
        <v>0</v>
      </c>
      <c r="J385" s="178">
        <f t="shared" si="35"/>
        <v>0</v>
      </c>
      <c r="K385" s="179" t="str">
        <f t="shared" si="32"/>
        <v/>
      </c>
      <c r="L385" s="718"/>
      <c r="M385" s="180" t="str">
        <f t="shared" si="36"/>
        <v/>
      </c>
      <c r="N385" s="531">
        <f t="shared" si="33"/>
        <v>0</v>
      </c>
      <c r="O385" s="531" t="str">
        <f>IF(C385&lt;&gt;"",C385&amp;'סיווג התפקידים והעלויות'!$C$2,"")</f>
        <v/>
      </c>
      <c r="P385" s="531" t="str">
        <f>IF(C385&lt;&gt;"",C385&amp;'סיווג התפקידים והעלויות'!$D$2,"")</f>
        <v/>
      </c>
    </row>
    <row r="386" spans="2:16" ht="15.75" x14ac:dyDescent="0.25">
      <c r="B386" s="176">
        <v>371</v>
      </c>
      <c r="C386" s="176" t="str">
        <f>IF(VLOOKUP(B386,'דוח ביצוע (3)'!$A$21:$B$520,2,0)="","",VLOOKUP(B386,'דוח ביצוע (3)'!$A$21:$B$520,2,0))</f>
        <v/>
      </c>
      <c r="D386" s="177" t="str">
        <f>IFERROR(VLOOKUP($C:$C,'מצבת והרשמה (2)'!$C$20:$N$520,2,0)," ")</f>
        <v/>
      </c>
      <c r="E386" s="177" t="str">
        <f>IFERROR(VLOOKUP(C386,'דוח ביצוע (3)'!B:V,5,0)," ")</f>
        <v xml:space="preserve"> </v>
      </c>
      <c r="F386" s="177" t="str">
        <f t="shared" si="31"/>
        <v/>
      </c>
      <c r="G386" s="179">
        <f>SUMIFS('עלויות כח אדם (6)'!M:M,'עלויות כח אדם (6)'!B:B,' איוש משרות (8)'!C386,'עלויות כח אדם (6)'!N:N,"רכ")</f>
        <v>0</v>
      </c>
      <c r="H386" s="179">
        <f>IFERROR(VLOOKUP(P386,'עלויות כח אדם (6)'!$AE$16:$AF$3014,2,0),0)</f>
        <v>0</v>
      </c>
      <c r="I386" s="178">
        <f t="shared" si="34"/>
        <v>0</v>
      </c>
      <c r="J386" s="178">
        <f t="shared" si="35"/>
        <v>0</v>
      </c>
      <c r="K386" s="179" t="str">
        <f t="shared" si="32"/>
        <v/>
      </c>
      <c r="L386" s="718"/>
      <c r="M386" s="180" t="str">
        <f t="shared" si="36"/>
        <v/>
      </c>
      <c r="N386" s="531">
        <f t="shared" si="33"/>
        <v>0</v>
      </c>
      <c r="O386" s="531" t="str">
        <f>IF(C386&lt;&gt;"",C386&amp;'סיווג התפקידים והעלויות'!$C$2,"")</f>
        <v/>
      </c>
      <c r="P386" s="531" t="str">
        <f>IF(C386&lt;&gt;"",C386&amp;'סיווג התפקידים והעלויות'!$D$2,"")</f>
        <v/>
      </c>
    </row>
    <row r="387" spans="2:16" ht="15.75" x14ac:dyDescent="0.25">
      <c r="B387" s="57">
        <v>372</v>
      </c>
      <c r="C387" s="176" t="str">
        <f>IF(VLOOKUP(B387,'דוח ביצוע (3)'!$A$21:$B$520,2,0)="","",VLOOKUP(B387,'דוח ביצוע (3)'!$A$21:$B$520,2,0))</f>
        <v/>
      </c>
      <c r="D387" s="177" t="str">
        <f>IFERROR(VLOOKUP($C:$C,'מצבת והרשמה (2)'!$C$20:$N$520,2,0)," ")</f>
        <v/>
      </c>
      <c r="E387" s="177" t="str">
        <f>IFERROR(VLOOKUP(C387,'דוח ביצוע (3)'!B:V,5,0)," ")</f>
        <v xml:space="preserve"> </v>
      </c>
      <c r="F387" s="177" t="str">
        <f t="shared" si="31"/>
        <v/>
      </c>
      <c r="G387" s="179">
        <f>SUMIFS('עלויות כח אדם (6)'!M:M,'עלויות כח אדם (6)'!B:B,' איוש משרות (8)'!C387,'עלויות כח אדם (6)'!N:N,"רכ")</f>
        <v>0</v>
      </c>
      <c r="H387" s="179">
        <f>IFERROR(VLOOKUP(P387,'עלויות כח אדם (6)'!$AE$16:$AF$3014,2,0),0)</f>
        <v>0</v>
      </c>
      <c r="I387" s="178">
        <f t="shared" si="34"/>
        <v>0</v>
      </c>
      <c r="J387" s="178">
        <f t="shared" si="35"/>
        <v>0</v>
      </c>
      <c r="K387" s="179" t="str">
        <f t="shared" si="32"/>
        <v/>
      </c>
      <c r="L387" s="718"/>
      <c r="M387" s="180" t="str">
        <f t="shared" si="36"/>
        <v/>
      </c>
      <c r="N387" s="531">
        <f t="shared" si="33"/>
        <v>0</v>
      </c>
      <c r="O387" s="531" t="str">
        <f>IF(C387&lt;&gt;"",C387&amp;'סיווג התפקידים והעלויות'!$C$2,"")</f>
        <v/>
      </c>
      <c r="P387" s="531" t="str">
        <f>IF(C387&lt;&gt;"",C387&amp;'סיווג התפקידים והעלויות'!$D$2,"")</f>
        <v/>
      </c>
    </row>
    <row r="388" spans="2:16" ht="15.75" x14ac:dyDescent="0.25">
      <c r="B388" s="176">
        <v>373</v>
      </c>
      <c r="C388" s="176" t="str">
        <f>IF(VLOOKUP(B388,'דוח ביצוע (3)'!$A$21:$B$520,2,0)="","",VLOOKUP(B388,'דוח ביצוע (3)'!$A$21:$B$520,2,0))</f>
        <v/>
      </c>
      <c r="D388" s="177" t="str">
        <f>IFERROR(VLOOKUP($C:$C,'מצבת והרשמה (2)'!$C$20:$N$520,2,0)," ")</f>
        <v/>
      </c>
      <c r="E388" s="177" t="str">
        <f>IFERROR(VLOOKUP(C388,'דוח ביצוע (3)'!B:V,5,0)," ")</f>
        <v xml:space="preserve"> </v>
      </c>
      <c r="F388" s="177" t="str">
        <f t="shared" si="31"/>
        <v/>
      </c>
      <c r="G388" s="179">
        <f>SUMIFS('עלויות כח אדם (6)'!M:M,'עלויות כח אדם (6)'!B:B,' איוש משרות (8)'!C388,'עלויות כח אדם (6)'!N:N,"רכ")</f>
        <v>0</v>
      </c>
      <c r="H388" s="179">
        <f>IFERROR(VLOOKUP(P388,'עלויות כח אדם (6)'!$AE$16:$AF$3014,2,0),0)</f>
        <v>0</v>
      </c>
      <c r="I388" s="178">
        <f t="shared" si="34"/>
        <v>0</v>
      </c>
      <c r="J388" s="178">
        <f t="shared" si="35"/>
        <v>0</v>
      </c>
      <c r="K388" s="179" t="str">
        <f t="shared" si="32"/>
        <v/>
      </c>
      <c r="L388" s="718"/>
      <c r="M388" s="180" t="str">
        <f t="shared" si="36"/>
        <v/>
      </c>
      <c r="N388" s="531">
        <f t="shared" si="33"/>
        <v>0</v>
      </c>
      <c r="O388" s="531" t="str">
        <f>IF(C388&lt;&gt;"",C388&amp;'סיווג התפקידים והעלויות'!$C$2,"")</f>
        <v/>
      </c>
      <c r="P388" s="531" t="str">
        <f>IF(C388&lt;&gt;"",C388&amp;'סיווג התפקידים והעלויות'!$D$2,"")</f>
        <v/>
      </c>
    </row>
    <row r="389" spans="2:16" ht="15.75" x14ac:dyDescent="0.25">
      <c r="B389" s="57">
        <v>374</v>
      </c>
      <c r="C389" s="176" t="str">
        <f>IF(VLOOKUP(B389,'דוח ביצוע (3)'!$A$21:$B$520,2,0)="","",VLOOKUP(B389,'דוח ביצוע (3)'!$A$21:$B$520,2,0))</f>
        <v/>
      </c>
      <c r="D389" s="177" t="str">
        <f>IFERROR(VLOOKUP($C:$C,'מצבת והרשמה (2)'!$C$20:$N$520,2,0)," ")</f>
        <v/>
      </c>
      <c r="E389" s="177" t="str">
        <f>IFERROR(VLOOKUP(C389,'דוח ביצוע (3)'!B:V,5,0)," ")</f>
        <v xml:space="preserve"> </v>
      </c>
      <c r="F389" s="177" t="str">
        <f t="shared" si="31"/>
        <v/>
      </c>
      <c r="G389" s="179">
        <f>SUMIFS('עלויות כח אדם (6)'!M:M,'עלויות כח אדם (6)'!B:B,' איוש משרות (8)'!C389,'עלויות כח אדם (6)'!N:N,"רכ")</f>
        <v>0</v>
      </c>
      <c r="H389" s="179">
        <f>IFERROR(VLOOKUP(P389,'עלויות כח אדם (6)'!$AE$16:$AF$3014,2,0),0)</f>
        <v>0</v>
      </c>
      <c r="I389" s="178">
        <f t="shared" si="34"/>
        <v>0</v>
      </c>
      <c r="J389" s="178">
        <f t="shared" si="35"/>
        <v>0</v>
      </c>
      <c r="K389" s="179" t="str">
        <f t="shared" si="32"/>
        <v/>
      </c>
      <c r="L389" s="718"/>
      <c r="M389" s="180" t="str">
        <f t="shared" si="36"/>
        <v/>
      </c>
      <c r="N389" s="531">
        <f t="shared" si="33"/>
        <v>0</v>
      </c>
      <c r="O389" s="531" t="str">
        <f>IF(C389&lt;&gt;"",C389&amp;'סיווג התפקידים והעלויות'!$C$2,"")</f>
        <v/>
      </c>
      <c r="P389" s="531" t="str">
        <f>IF(C389&lt;&gt;"",C389&amp;'סיווג התפקידים והעלויות'!$D$2,"")</f>
        <v/>
      </c>
    </row>
    <row r="390" spans="2:16" ht="15.75" x14ac:dyDescent="0.25">
      <c r="B390" s="176">
        <v>375</v>
      </c>
      <c r="C390" s="176" t="str">
        <f>IF(VLOOKUP(B390,'דוח ביצוע (3)'!$A$21:$B$520,2,0)="","",VLOOKUP(B390,'דוח ביצוע (3)'!$A$21:$B$520,2,0))</f>
        <v/>
      </c>
      <c r="D390" s="177" t="str">
        <f>IFERROR(VLOOKUP($C:$C,'מצבת והרשמה (2)'!$C$20:$N$520,2,0)," ")</f>
        <v/>
      </c>
      <c r="E390" s="177" t="str">
        <f>IFERROR(VLOOKUP(C390,'דוח ביצוע (3)'!B:V,5,0)," ")</f>
        <v xml:space="preserve"> </v>
      </c>
      <c r="F390" s="177" t="str">
        <f t="shared" si="31"/>
        <v/>
      </c>
      <c r="G390" s="179">
        <f>SUMIFS('עלויות כח אדם (6)'!M:M,'עלויות כח אדם (6)'!B:B,' איוש משרות (8)'!C390,'עלויות כח אדם (6)'!N:N,"רכ")</f>
        <v>0</v>
      </c>
      <c r="H390" s="179">
        <f>IFERROR(VLOOKUP(P390,'עלויות כח אדם (6)'!$AE$16:$AF$3014,2,0),0)</f>
        <v>0</v>
      </c>
      <c r="I390" s="178">
        <f t="shared" si="34"/>
        <v>0</v>
      </c>
      <c r="J390" s="178">
        <f t="shared" si="35"/>
        <v>0</v>
      </c>
      <c r="K390" s="179" t="str">
        <f t="shared" si="32"/>
        <v/>
      </c>
      <c r="L390" s="718"/>
      <c r="M390" s="180" t="str">
        <f t="shared" si="36"/>
        <v/>
      </c>
      <c r="N390" s="531">
        <f t="shared" si="33"/>
        <v>0</v>
      </c>
      <c r="O390" s="531" t="str">
        <f>IF(C390&lt;&gt;"",C390&amp;'סיווג התפקידים והעלויות'!$C$2,"")</f>
        <v/>
      </c>
      <c r="P390" s="531" t="str">
        <f>IF(C390&lt;&gt;"",C390&amp;'סיווג התפקידים והעלויות'!$D$2,"")</f>
        <v/>
      </c>
    </row>
    <row r="391" spans="2:16" ht="15.75" x14ac:dyDescent="0.25">
      <c r="B391" s="57">
        <v>376</v>
      </c>
      <c r="C391" s="176" t="str">
        <f>IF(VLOOKUP(B391,'דוח ביצוע (3)'!$A$21:$B$520,2,0)="","",VLOOKUP(B391,'דוח ביצוע (3)'!$A$21:$B$520,2,0))</f>
        <v/>
      </c>
      <c r="D391" s="177" t="str">
        <f>IFERROR(VLOOKUP($C:$C,'מצבת והרשמה (2)'!$C$20:$N$520,2,0)," ")</f>
        <v/>
      </c>
      <c r="E391" s="177" t="str">
        <f>IFERROR(VLOOKUP(C391,'דוח ביצוע (3)'!B:V,5,0)," ")</f>
        <v xml:space="preserve"> </v>
      </c>
      <c r="F391" s="177" t="str">
        <f t="shared" si="31"/>
        <v/>
      </c>
      <c r="G391" s="179">
        <f>SUMIFS('עלויות כח אדם (6)'!M:M,'עלויות כח אדם (6)'!B:B,' איוש משרות (8)'!C391,'עלויות כח אדם (6)'!N:N,"רכ")</f>
        <v>0</v>
      </c>
      <c r="H391" s="179">
        <f>IFERROR(VLOOKUP(P391,'עלויות כח אדם (6)'!$AE$16:$AF$3014,2,0),0)</f>
        <v>0</v>
      </c>
      <c r="I391" s="178">
        <f t="shared" si="34"/>
        <v>0</v>
      </c>
      <c r="J391" s="178">
        <f t="shared" si="35"/>
        <v>0</v>
      </c>
      <c r="K391" s="179" t="str">
        <f t="shared" si="32"/>
        <v/>
      </c>
      <c r="L391" s="718"/>
      <c r="M391" s="180" t="str">
        <f t="shared" si="36"/>
        <v/>
      </c>
      <c r="N391" s="531">
        <f t="shared" si="33"/>
        <v>0</v>
      </c>
      <c r="O391" s="531" t="str">
        <f>IF(C391&lt;&gt;"",C391&amp;'סיווג התפקידים והעלויות'!$C$2,"")</f>
        <v/>
      </c>
      <c r="P391" s="531" t="str">
        <f>IF(C391&lt;&gt;"",C391&amp;'סיווג התפקידים והעלויות'!$D$2,"")</f>
        <v/>
      </c>
    </row>
    <row r="392" spans="2:16" ht="15.75" x14ac:dyDescent="0.25">
      <c r="B392" s="176">
        <v>377</v>
      </c>
      <c r="C392" s="176" t="str">
        <f>IF(VLOOKUP(B392,'דוח ביצוע (3)'!$A$21:$B$520,2,0)="","",VLOOKUP(B392,'דוח ביצוע (3)'!$A$21:$B$520,2,0))</f>
        <v/>
      </c>
      <c r="D392" s="177" t="str">
        <f>IFERROR(VLOOKUP($C:$C,'מצבת והרשמה (2)'!$C$20:$N$520,2,0)," ")</f>
        <v/>
      </c>
      <c r="E392" s="177" t="str">
        <f>IFERROR(VLOOKUP(C392,'דוח ביצוע (3)'!B:V,5,0)," ")</f>
        <v xml:space="preserve"> </v>
      </c>
      <c r="F392" s="177" t="str">
        <f t="shared" si="31"/>
        <v/>
      </c>
      <c r="G392" s="179">
        <f>SUMIFS('עלויות כח אדם (6)'!M:M,'עלויות כח אדם (6)'!B:B,' איוש משרות (8)'!C392,'עלויות כח אדם (6)'!N:N,"רכ")</f>
        <v>0</v>
      </c>
      <c r="H392" s="179">
        <f>IFERROR(VLOOKUP(P392,'עלויות כח אדם (6)'!$AE$16:$AF$3014,2,0),0)</f>
        <v>0</v>
      </c>
      <c r="I392" s="178">
        <f t="shared" si="34"/>
        <v>0</v>
      </c>
      <c r="J392" s="178">
        <f t="shared" si="35"/>
        <v>0</v>
      </c>
      <c r="K392" s="179" t="str">
        <f t="shared" si="32"/>
        <v/>
      </c>
      <c r="L392" s="718"/>
      <c r="M392" s="180" t="str">
        <f t="shared" si="36"/>
        <v/>
      </c>
      <c r="N392" s="531">
        <f t="shared" si="33"/>
        <v>0</v>
      </c>
      <c r="O392" s="531" t="str">
        <f>IF(C392&lt;&gt;"",C392&amp;'סיווג התפקידים והעלויות'!$C$2,"")</f>
        <v/>
      </c>
      <c r="P392" s="531" t="str">
        <f>IF(C392&lt;&gt;"",C392&amp;'סיווג התפקידים והעלויות'!$D$2,"")</f>
        <v/>
      </c>
    </row>
    <row r="393" spans="2:16" ht="15.75" x14ac:dyDescent="0.25">
      <c r="B393" s="57">
        <v>378</v>
      </c>
      <c r="C393" s="176" t="str">
        <f>IF(VLOOKUP(B393,'דוח ביצוע (3)'!$A$21:$B$520,2,0)="","",VLOOKUP(B393,'דוח ביצוע (3)'!$A$21:$B$520,2,0))</f>
        <v/>
      </c>
      <c r="D393" s="177" t="str">
        <f>IFERROR(VLOOKUP($C:$C,'מצבת והרשמה (2)'!$C$20:$N$520,2,0)," ")</f>
        <v/>
      </c>
      <c r="E393" s="177" t="str">
        <f>IFERROR(VLOOKUP(C393,'דוח ביצוע (3)'!B:V,5,0)," ")</f>
        <v xml:space="preserve"> </v>
      </c>
      <c r="F393" s="177" t="str">
        <f t="shared" si="31"/>
        <v/>
      </c>
      <c r="G393" s="179">
        <f>SUMIFS('עלויות כח אדם (6)'!M:M,'עלויות כח אדם (6)'!B:B,' איוש משרות (8)'!C393,'עלויות כח אדם (6)'!N:N,"רכ")</f>
        <v>0</v>
      </c>
      <c r="H393" s="179">
        <f>IFERROR(VLOOKUP(P393,'עלויות כח אדם (6)'!$AE$16:$AF$3014,2,0),0)</f>
        <v>0</v>
      </c>
      <c r="I393" s="178">
        <f t="shared" si="34"/>
        <v>0</v>
      </c>
      <c r="J393" s="178">
        <f t="shared" si="35"/>
        <v>0</v>
      </c>
      <c r="K393" s="179" t="str">
        <f t="shared" si="32"/>
        <v/>
      </c>
      <c r="L393" s="718"/>
      <c r="M393" s="180" t="str">
        <f t="shared" si="36"/>
        <v/>
      </c>
      <c r="N393" s="531">
        <f t="shared" si="33"/>
        <v>0</v>
      </c>
      <c r="O393" s="531" t="str">
        <f>IF(C393&lt;&gt;"",C393&amp;'סיווג התפקידים והעלויות'!$C$2,"")</f>
        <v/>
      </c>
      <c r="P393" s="531" t="str">
        <f>IF(C393&lt;&gt;"",C393&amp;'סיווג התפקידים והעלויות'!$D$2,"")</f>
        <v/>
      </c>
    </row>
    <row r="394" spans="2:16" ht="15.75" x14ac:dyDescent="0.25">
      <c r="B394" s="176">
        <v>379</v>
      </c>
      <c r="C394" s="176" t="str">
        <f>IF(VLOOKUP(B394,'דוח ביצוע (3)'!$A$21:$B$520,2,0)="","",VLOOKUP(B394,'דוח ביצוע (3)'!$A$21:$B$520,2,0))</f>
        <v/>
      </c>
      <c r="D394" s="177" t="str">
        <f>IFERROR(VLOOKUP($C:$C,'מצבת והרשמה (2)'!$C$20:$N$520,2,0)," ")</f>
        <v/>
      </c>
      <c r="E394" s="177" t="str">
        <f>IFERROR(VLOOKUP(C394,'דוח ביצוע (3)'!B:V,5,0)," ")</f>
        <v xml:space="preserve"> </v>
      </c>
      <c r="F394" s="177" t="str">
        <f t="shared" si="31"/>
        <v/>
      </c>
      <c r="G394" s="179">
        <f>SUMIFS('עלויות כח אדם (6)'!M:M,'עלויות כח אדם (6)'!B:B,' איוש משרות (8)'!C394,'עלויות כח אדם (6)'!N:N,"רכ")</f>
        <v>0</v>
      </c>
      <c r="H394" s="179">
        <f>IFERROR(VLOOKUP(P394,'עלויות כח אדם (6)'!$AE$16:$AF$3014,2,0),0)</f>
        <v>0</v>
      </c>
      <c r="I394" s="178">
        <f t="shared" si="34"/>
        <v>0</v>
      </c>
      <c r="J394" s="178">
        <f t="shared" si="35"/>
        <v>0</v>
      </c>
      <c r="K394" s="179" t="str">
        <f t="shared" si="32"/>
        <v/>
      </c>
      <c r="L394" s="718"/>
      <c r="M394" s="180" t="str">
        <f t="shared" si="36"/>
        <v/>
      </c>
      <c r="N394" s="531">
        <f t="shared" si="33"/>
        <v>0</v>
      </c>
      <c r="O394" s="531" t="str">
        <f>IF(C394&lt;&gt;"",C394&amp;'סיווג התפקידים והעלויות'!$C$2,"")</f>
        <v/>
      </c>
      <c r="P394" s="531" t="str">
        <f>IF(C394&lt;&gt;"",C394&amp;'סיווג התפקידים והעלויות'!$D$2,"")</f>
        <v/>
      </c>
    </row>
    <row r="395" spans="2:16" ht="15.75" x14ac:dyDescent="0.25">
      <c r="B395" s="57">
        <v>380</v>
      </c>
      <c r="C395" s="176" t="str">
        <f>IF(VLOOKUP(B395,'דוח ביצוע (3)'!$A$21:$B$520,2,0)="","",VLOOKUP(B395,'דוח ביצוע (3)'!$A$21:$B$520,2,0))</f>
        <v/>
      </c>
      <c r="D395" s="177" t="str">
        <f>IFERROR(VLOOKUP($C:$C,'מצבת והרשמה (2)'!$C$20:$N$520,2,0)," ")</f>
        <v/>
      </c>
      <c r="E395" s="177" t="str">
        <f>IFERROR(VLOOKUP(C395,'דוח ביצוע (3)'!B:V,5,0)," ")</f>
        <v xml:space="preserve"> </v>
      </c>
      <c r="F395" s="177" t="str">
        <f t="shared" si="31"/>
        <v/>
      </c>
      <c r="G395" s="179">
        <f>SUMIFS('עלויות כח אדם (6)'!M:M,'עלויות כח אדם (6)'!B:B,' איוש משרות (8)'!C395,'עלויות כח אדם (6)'!N:N,"רכ")</f>
        <v>0</v>
      </c>
      <c r="H395" s="179">
        <f>IFERROR(VLOOKUP(P395,'עלויות כח אדם (6)'!$AE$16:$AF$3014,2,0),0)</f>
        <v>0</v>
      </c>
      <c r="I395" s="178">
        <f t="shared" si="34"/>
        <v>0</v>
      </c>
      <c r="J395" s="178">
        <f t="shared" si="35"/>
        <v>0</v>
      </c>
      <c r="K395" s="179" t="str">
        <f t="shared" si="32"/>
        <v/>
      </c>
      <c r="L395" s="718"/>
      <c r="M395" s="180" t="str">
        <f t="shared" si="36"/>
        <v/>
      </c>
      <c r="N395" s="531">
        <f t="shared" si="33"/>
        <v>0</v>
      </c>
      <c r="O395" s="531" t="str">
        <f>IF(C395&lt;&gt;"",C395&amp;'סיווג התפקידים והעלויות'!$C$2,"")</f>
        <v/>
      </c>
      <c r="P395" s="531" t="str">
        <f>IF(C395&lt;&gt;"",C395&amp;'סיווג התפקידים והעלויות'!$D$2,"")</f>
        <v/>
      </c>
    </row>
    <row r="396" spans="2:16" ht="15.75" x14ac:dyDescent="0.25">
      <c r="B396" s="176">
        <v>381</v>
      </c>
      <c r="C396" s="176" t="str">
        <f>IF(VLOOKUP(B396,'דוח ביצוע (3)'!$A$21:$B$520,2,0)="","",VLOOKUP(B396,'דוח ביצוע (3)'!$A$21:$B$520,2,0))</f>
        <v/>
      </c>
      <c r="D396" s="177" t="str">
        <f>IFERROR(VLOOKUP($C:$C,'מצבת והרשמה (2)'!$C$20:$N$520,2,0)," ")</f>
        <v/>
      </c>
      <c r="E396" s="177" t="str">
        <f>IFERROR(VLOOKUP(C396,'דוח ביצוע (3)'!B:V,5,0)," ")</f>
        <v xml:space="preserve"> </v>
      </c>
      <c r="F396" s="177" t="str">
        <f t="shared" si="31"/>
        <v/>
      </c>
      <c r="G396" s="179">
        <f>SUMIFS('עלויות כח אדם (6)'!M:M,'עלויות כח אדם (6)'!B:B,' איוש משרות (8)'!C396,'עלויות כח אדם (6)'!N:N,"רכ")</f>
        <v>0</v>
      </c>
      <c r="H396" s="179">
        <f>IFERROR(VLOOKUP(P396,'עלויות כח אדם (6)'!$AE$16:$AF$3014,2,0),0)</f>
        <v>0</v>
      </c>
      <c r="I396" s="178">
        <f t="shared" si="34"/>
        <v>0</v>
      </c>
      <c r="J396" s="178">
        <f t="shared" si="35"/>
        <v>0</v>
      </c>
      <c r="K396" s="179" t="str">
        <f t="shared" si="32"/>
        <v/>
      </c>
      <c r="L396" s="718"/>
      <c r="M396" s="180" t="str">
        <f t="shared" si="36"/>
        <v/>
      </c>
      <c r="N396" s="531">
        <f t="shared" si="33"/>
        <v>0</v>
      </c>
      <c r="O396" s="531" t="str">
        <f>IF(C396&lt;&gt;"",C396&amp;'סיווג התפקידים והעלויות'!$C$2,"")</f>
        <v/>
      </c>
      <c r="P396" s="531" t="str">
        <f>IF(C396&lt;&gt;"",C396&amp;'סיווג התפקידים והעלויות'!$D$2,"")</f>
        <v/>
      </c>
    </row>
    <row r="397" spans="2:16" ht="15.75" x14ac:dyDescent="0.25">
      <c r="B397" s="57">
        <v>382</v>
      </c>
      <c r="C397" s="176" t="str">
        <f>IF(VLOOKUP(B397,'דוח ביצוע (3)'!$A$21:$B$520,2,0)="","",VLOOKUP(B397,'דוח ביצוע (3)'!$A$21:$B$520,2,0))</f>
        <v/>
      </c>
      <c r="D397" s="177" t="str">
        <f>IFERROR(VLOOKUP($C:$C,'מצבת והרשמה (2)'!$C$20:$N$520,2,0)," ")</f>
        <v/>
      </c>
      <c r="E397" s="177" t="str">
        <f>IFERROR(VLOOKUP(C397,'דוח ביצוע (3)'!B:V,5,0)," ")</f>
        <v xml:space="preserve"> </v>
      </c>
      <c r="F397" s="177" t="str">
        <f t="shared" si="31"/>
        <v/>
      </c>
      <c r="G397" s="179">
        <f>SUMIFS('עלויות כח אדם (6)'!M:M,'עלויות כח אדם (6)'!B:B,' איוש משרות (8)'!C397,'עלויות כח אדם (6)'!N:N,"רכ")</f>
        <v>0</v>
      </c>
      <c r="H397" s="179">
        <f>IFERROR(VLOOKUP(P397,'עלויות כח אדם (6)'!$AE$16:$AF$3014,2,0),0)</f>
        <v>0</v>
      </c>
      <c r="I397" s="178">
        <f t="shared" si="34"/>
        <v>0</v>
      </c>
      <c r="J397" s="178">
        <f t="shared" si="35"/>
        <v>0</v>
      </c>
      <c r="K397" s="179" t="str">
        <f t="shared" si="32"/>
        <v/>
      </c>
      <c r="L397" s="718"/>
      <c r="M397" s="180" t="str">
        <f t="shared" si="36"/>
        <v/>
      </c>
      <c r="N397" s="531">
        <f t="shared" si="33"/>
        <v>0</v>
      </c>
      <c r="O397" s="531" t="str">
        <f>IF(C397&lt;&gt;"",C397&amp;'סיווג התפקידים והעלויות'!$C$2,"")</f>
        <v/>
      </c>
      <c r="P397" s="531" t="str">
        <f>IF(C397&lt;&gt;"",C397&amp;'סיווג התפקידים והעלויות'!$D$2,"")</f>
        <v/>
      </c>
    </row>
    <row r="398" spans="2:16" ht="15.75" x14ac:dyDescent="0.25">
      <c r="B398" s="176">
        <v>383</v>
      </c>
      <c r="C398" s="176" t="str">
        <f>IF(VLOOKUP(B398,'דוח ביצוע (3)'!$A$21:$B$520,2,0)="","",VLOOKUP(B398,'דוח ביצוע (3)'!$A$21:$B$520,2,0))</f>
        <v/>
      </c>
      <c r="D398" s="177" t="str">
        <f>IFERROR(VLOOKUP($C:$C,'מצבת והרשמה (2)'!$C$20:$N$520,2,0)," ")</f>
        <v/>
      </c>
      <c r="E398" s="177" t="str">
        <f>IFERROR(VLOOKUP(C398,'דוח ביצוע (3)'!B:V,5,0)," ")</f>
        <v xml:space="preserve"> </v>
      </c>
      <c r="F398" s="177" t="str">
        <f t="shared" si="31"/>
        <v/>
      </c>
      <c r="G398" s="179">
        <f>SUMIFS('עלויות כח אדם (6)'!M:M,'עלויות כח אדם (6)'!B:B,' איוש משרות (8)'!C398,'עלויות כח אדם (6)'!N:N,"רכ")</f>
        <v>0</v>
      </c>
      <c r="H398" s="179">
        <f>IFERROR(VLOOKUP(P398,'עלויות כח אדם (6)'!$AE$16:$AF$3014,2,0),0)</f>
        <v>0</v>
      </c>
      <c r="I398" s="178">
        <f t="shared" si="34"/>
        <v>0</v>
      </c>
      <c r="J398" s="178">
        <f t="shared" si="35"/>
        <v>0</v>
      </c>
      <c r="K398" s="179" t="str">
        <f t="shared" si="32"/>
        <v/>
      </c>
      <c r="L398" s="718"/>
      <c r="M398" s="180" t="str">
        <f t="shared" si="36"/>
        <v/>
      </c>
      <c r="N398" s="531">
        <f t="shared" si="33"/>
        <v>0</v>
      </c>
      <c r="O398" s="531" t="str">
        <f>IF(C398&lt;&gt;"",C398&amp;'סיווג התפקידים והעלויות'!$C$2,"")</f>
        <v/>
      </c>
      <c r="P398" s="531" t="str">
        <f>IF(C398&lt;&gt;"",C398&amp;'סיווג התפקידים והעלויות'!$D$2,"")</f>
        <v/>
      </c>
    </row>
    <row r="399" spans="2:16" ht="15.75" x14ac:dyDescent="0.25">
      <c r="B399" s="57">
        <v>384</v>
      </c>
      <c r="C399" s="176" t="str">
        <f>IF(VLOOKUP(B399,'דוח ביצוע (3)'!$A$21:$B$520,2,0)="","",VLOOKUP(B399,'דוח ביצוע (3)'!$A$21:$B$520,2,0))</f>
        <v/>
      </c>
      <c r="D399" s="177" t="str">
        <f>IFERROR(VLOOKUP($C:$C,'מצבת והרשמה (2)'!$C$20:$N$520,2,0)," ")</f>
        <v/>
      </c>
      <c r="E399" s="177" t="str">
        <f>IFERROR(VLOOKUP(C399,'דוח ביצוע (3)'!B:V,5,0)," ")</f>
        <v xml:space="preserve"> </v>
      </c>
      <c r="F399" s="177" t="str">
        <f t="shared" si="31"/>
        <v/>
      </c>
      <c r="G399" s="179">
        <f>SUMIFS('עלויות כח אדם (6)'!M:M,'עלויות כח אדם (6)'!B:B,' איוש משרות (8)'!C399,'עלויות כח אדם (6)'!N:N,"רכ")</f>
        <v>0</v>
      </c>
      <c r="H399" s="179">
        <f>IFERROR(VLOOKUP(P399,'עלויות כח אדם (6)'!$AE$16:$AF$3014,2,0),0)</f>
        <v>0</v>
      </c>
      <c r="I399" s="178">
        <f t="shared" si="34"/>
        <v>0</v>
      </c>
      <c r="J399" s="178">
        <f t="shared" si="35"/>
        <v>0</v>
      </c>
      <c r="K399" s="179" t="str">
        <f t="shared" si="32"/>
        <v/>
      </c>
      <c r="L399" s="718"/>
      <c r="M399" s="180" t="str">
        <f t="shared" si="36"/>
        <v/>
      </c>
      <c r="N399" s="531">
        <f t="shared" si="33"/>
        <v>0</v>
      </c>
      <c r="O399" s="531" t="str">
        <f>IF(C399&lt;&gt;"",C399&amp;'סיווג התפקידים והעלויות'!$C$2,"")</f>
        <v/>
      </c>
      <c r="P399" s="531" t="str">
        <f>IF(C399&lt;&gt;"",C399&amp;'סיווג התפקידים והעלויות'!$D$2,"")</f>
        <v/>
      </c>
    </row>
    <row r="400" spans="2:16" ht="15.75" x14ac:dyDescent="0.25">
      <c r="B400" s="176">
        <v>385</v>
      </c>
      <c r="C400" s="176" t="str">
        <f>IF(VLOOKUP(B400,'דוח ביצוע (3)'!$A$21:$B$520,2,0)="","",VLOOKUP(B400,'דוח ביצוע (3)'!$A$21:$B$520,2,0))</f>
        <v/>
      </c>
      <c r="D400" s="177" t="str">
        <f>IFERROR(VLOOKUP($C:$C,'מצבת והרשמה (2)'!$C$20:$N$520,2,0)," ")</f>
        <v/>
      </c>
      <c r="E400" s="177" t="str">
        <f>IFERROR(VLOOKUP(C400,'דוח ביצוע (3)'!B:V,5,0)," ")</f>
        <v xml:space="preserve"> </v>
      </c>
      <c r="F400" s="177" t="str">
        <f t="shared" si="31"/>
        <v/>
      </c>
      <c r="G400" s="179">
        <f>SUMIFS('עלויות כח אדם (6)'!M:M,'עלויות כח אדם (6)'!B:B,' איוש משרות (8)'!C400,'עלויות כח אדם (6)'!N:N,"רכ")</f>
        <v>0</v>
      </c>
      <c r="H400" s="179">
        <f>IFERROR(VLOOKUP(P400,'עלויות כח אדם (6)'!$AE$16:$AF$3014,2,0),0)</f>
        <v>0</v>
      </c>
      <c r="I400" s="178">
        <f t="shared" si="34"/>
        <v>0</v>
      </c>
      <c r="J400" s="178">
        <f t="shared" si="35"/>
        <v>0</v>
      </c>
      <c r="K400" s="179" t="str">
        <f t="shared" si="32"/>
        <v/>
      </c>
      <c r="L400" s="718"/>
      <c r="M400" s="180" t="str">
        <f t="shared" si="36"/>
        <v/>
      </c>
      <c r="N400" s="531">
        <f t="shared" si="33"/>
        <v>0</v>
      </c>
      <c r="O400" s="531" t="str">
        <f>IF(C400&lt;&gt;"",C400&amp;'סיווג התפקידים והעלויות'!$C$2,"")</f>
        <v/>
      </c>
      <c r="P400" s="531" t="str">
        <f>IF(C400&lt;&gt;"",C400&amp;'סיווג התפקידים והעלויות'!$D$2,"")</f>
        <v/>
      </c>
    </row>
    <row r="401" spans="2:16" ht="15.75" x14ac:dyDescent="0.25">
      <c r="B401" s="57">
        <v>386</v>
      </c>
      <c r="C401" s="176" t="str">
        <f>IF(VLOOKUP(B401,'דוח ביצוע (3)'!$A$21:$B$520,2,0)="","",VLOOKUP(B401,'דוח ביצוע (3)'!$A$21:$B$520,2,0))</f>
        <v/>
      </c>
      <c r="D401" s="177" t="str">
        <f>IFERROR(VLOOKUP($C:$C,'מצבת והרשמה (2)'!$C$20:$N$520,2,0)," ")</f>
        <v/>
      </c>
      <c r="E401" s="177" t="str">
        <f>IFERROR(VLOOKUP(C401,'דוח ביצוע (3)'!B:V,5,0)," ")</f>
        <v xml:space="preserve"> </v>
      </c>
      <c r="F401" s="177" t="str">
        <f t="shared" ref="F401:F464" si="37">IF(C401&lt;&gt;"",IF(ISNUMBER(E401),IF(E401&gt;149,"זכאי","לא זכאי"),""),"")</f>
        <v/>
      </c>
      <c r="G401" s="179">
        <f>SUMIFS('עלויות כח אדם (6)'!M:M,'עלויות כח אדם (6)'!B:B,' איוש משרות (8)'!C401,'עלויות כח אדם (6)'!N:N,"רכ")</f>
        <v>0</v>
      </c>
      <c r="H401" s="179">
        <f>IFERROR(VLOOKUP(P401,'עלויות כח אדם (6)'!$AE$16:$AF$3014,2,0),0)</f>
        <v>0</v>
      </c>
      <c r="I401" s="178">
        <f t="shared" si="34"/>
        <v>0</v>
      </c>
      <c r="J401" s="178">
        <f t="shared" si="35"/>
        <v>0</v>
      </c>
      <c r="K401" s="179" t="str">
        <f t="shared" ref="K401:K464" si="38">IF(ISNUMBER(C401),IF(I401=0,CONCATENATE("המוסד לא העסיק רכז ",IF(AND(F401="זכאי",J401=0),"וסגן רכז ",""),"ועל כן אין זכאות לקבלת תקציב"),"תקין"),"")</f>
        <v/>
      </c>
      <c r="L401" s="718"/>
      <c r="M401" s="180" t="str">
        <f t="shared" si="36"/>
        <v/>
      </c>
      <c r="N401" s="531">
        <f t="shared" ref="N401:N464" si="39">IF(LEFT(K401,14)="המוסד לא העסיק",1,0)</f>
        <v>0</v>
      </c>
      <c r="O401" s="531" t="str">
        <f>IF(C401&lt;&gt;"",C401&amp;'סיווג התפקידים והעלויות'!$C$2,"")</f>
        <v/>
      </c>
      <c r="P401" s="531" t="str">
        <f>IF(C401&lt;&gt;"",C401&amp;'סיווג התפקידים והעלויות'!$D$2,"")</f>
        <v/>
      </c>
    </row>
    <row r="402" spans="2:16" ht="15.75" x14ac:dyDescent="0.25">
      <c r="B402" s="176">
        <v>387</v>
      </c>
      <c r="C402" s="176" t="str">
        <f>IF(VLOOKUP(B402,'דוח ביצוע (3)'!$A$21:$B$520,2,0)="","",VLOOKUP(B402,'דוח ביצוע (3)'!$A$21:$B$520,2,0))</f>
        <v/>
      </c>
      <c r="D402" s="177" t="str">
        <f>IFERROR(VLOOKUP($C:$C,'מצבת והרשמה (2)'!$C$20:$N$520,2,0)," ")</f>
        <v/>
      </c>
      <c r="E402" s="177" t="str">
        <f>IFERROR(VLOOKUP(C402,'דוח ביצוע (3)'!B:V,5,0)," ")</f>
        <v xml:space="preserve"> </v>
      </c>
      <c r="F402" s="177" t="str">
        <f t="shared" si="37"/>
        <v/>
      </c>
      <c r="G402" s="179">
        <f>SUMIFS('עלויות כח אדם (6)'!M:M,'עלויות כח אדם (6)'!B:B,' איוש משרות (8)'!C402,'עלויות כח אדם (6)'!N:N,"רכ")</f>
        <v>0</v>
      </c>
      <c r="H402" s="179">
        <f>IFERROR(VLOOKUP(P402,'עלויות כח אדם (6)'!$AE$16:$AF$3014,2,0),0)</f>
        <v>0</v>
      </c>
      <c r="I402" s="178">
        <f t="shared" ref="I402:I465" si="40">IF(G402&gt;0,G402,H402)</f>
        <v>0</v>
      </c>
      <c r="J402" s="178">
        <f t="shared" ref="J402:J465" si="41">IF(AND(F402="זכאי",G402&gt;0),H402,0)</f>
        <v>0</v>
      </c>
      <c r="K402" s="179" t="str">
        <f t="shared" si="38"/>
        <v/>
      </c>
      <c r="L402" s="718"/>
      <c r="M402" s="180" t="str">
        <f t="shared" si="36"/>
        <v/>
      </c>
      <c r="N402" s="531">
        <f t="shared" si="39"/>
        <v>0</v>
      </c>
      <c r="O402" s="531" t="str">
        <f>IF(C402&lt;&gt;"",C402&amp;'סיווג התפקידים והעלויות'!$C$2,"")</f>
        <v/>
      </c>
      <c r="P402" s="531" t="str">
        <f>IF(C402&lt;&gt;"",C402&amp;'סיווג התפקידים והעלויות'!$D$2,"")</f>
        <v/>
      </c>
    </row>
    <row r="403" spans="2:16" ht="15.75" x14ac:dyDescent="0.25">
      <c r="B403" s="57">
        <v>388</v>
      </c>
      <c r="C403" s="176" t="str">
        <f>IF(VLOOKUP(B403,'דוח ביצוע (3)'!$A$21:$B$520,2,0)="","",VLOOKUP(B403,'דוח ביצוע (3)'!$A$21:$B$520,2,0))</f>
        <v/>
      </c>
      <c r="D403" s="177" t="str">
        <f>IFERROR(VLOOKUP($C:$C,'מצבת והרשמה (2)'!$C$20:$N$520,2,0)," ")</f>
        <v/>
      </c>
      <c r="E403" s="177" t="str">
        <f>IFERROR(VLOOKUP(C403,'דוח ביצוע (3)'!B:V,5,0)," ")</f>
        <v xml:space="preserve"> </v>
      </c>
      <c r="F403" s="177" t="str">
        <f t="shared" si="37"/>
        <v/>
      </c>
      <c r="G403" s="179">
        <f>SUMIFS('עלויות כח אדם (6)'!M:M,'עלויות כח אדם (6)'!B:B,' איוש משרות (8)'!C403,'עלויות כח אדם (6)'!N:N,"רכ")</f>
        <v>0</v>
      </c>
      <c r="H403" s="179">
        <f>IFERROR(VLOOKUP(P403,'עלויות כח אדם (6)'!$AE$16:$AF$3014,2,0),0)</f>
        <v>0</v>
      </c>
      <c r="I403" s="178">
        <f t="shared" si="40"/>
        <v>0</v>
      </c>
      <c r="J403" s="178">
        <f t="shared" si="41"/>
        <v>0</v>
      </c>
      <c r="K403" s="179" t="str">
        <f t="shared" si="38"/>
        <v/>
      </c>
      <c r="L403" s="718"/>
      <c r="M403" s="180" t="str">
        <f t="shared" ref="M403:M466" si="42">IF(ISNUMBER(C403),IF(COUNTIF($C$16:$C$1994,C403)=1,"תקין",IFERROR(CONCATENATE("סמל בית הספר הוקלד ",COUNTIF($C$16:$C$1994,C403)," פעמים"),"")),"")</f>
        <v/>
      </c>
      <c r="N403" s="531">
        <f t="shared" si="39"/>
        <v>0</v>
      </c>
      <c r="O403" s="531" t="str">
        <f>IF(C403&lt;&gt;"",C403&amp;'סיווג התפקידים והעלויות'!$C$2,"")</f>
        <v/>
      </c>
      <c r="P403" s="531" t="str">
        <f>IF(C403&lt;&gt;"",C403&amp;'סיווג התפקידים והעלויות'!$D$2,"")</f>
        <v/>
      </c>
    </row>
    <row r="404" spans="2:16" ht="15.75" x14ac:dyDescent="0.25">
      <c r="B404" s="176">
        <v>389</v>
      </c>
      <c r="C404" s="176" t="str">
        <f>IF(VLOOKUP(B404,'דוח ביצוע (3)'!$A$21:$B$520,2,0)="","",VLOOKUP(B404,'דוח ביצוע (3)'!$A$21:$B$520,2,0))</f>
        <v/>
      </c>
      <c r="D404" s="177" t="str">
        <f>IFERROR(VLOOKUP($C:$C,'מצבת והרשמה (2)'!$C$20:$N$520,2,0)," ")</f>
        <v/>
      </c>
      <c r="E404" s="177" t="str">
        <f>IFERROR(VLOOKUP(C404,'דוח ביצוע (3)'!B:V,5,0)," ")</f>
        <v xml:space="preserve"> </v>
      </c>
      <c r="F404" s="177" t="str">
        <f t="shared" si="37"/>
        <v/>
      </c>
      <c r="G404" s="179">
        <f>SUMIFS('עלויות כח אדם (6)'!M:M,'עלויות כח אדם (6)'!B:B,' איוש משרות (8)'!C404,'עלויות כח אדם (6)'!N:N,"רכ")</f>
        <v>0</v>
      </c>
      <c r="H404" s="179">
        <f>IFERROR(VLOOKUP(P404,'עלויות כח אדם (6)'!$AE$16:$AF$3014,2,0),0)</f>
        <v>0</v>
      </c>
      <c r="I404" s="178">
        <f t="shared" si="40"/>
        <v>0</v>
      </c>
      <c r="J404" s="178">
        <f t="shared" si="41"/>
        <v>0</v>
      </c>
      <c r="K404" s="179" t="str">
        <f t="shared" si="38"/>
        <v/>
      </c>
      <c r="L404" s="718"/>
      <c r="M404" s="180" t="str">
        <f t="shared" si="42"/>
        <v/>
      </c>
      <c r="N404" s="531">
        <f t="shared" si="39"/>
        <v>0</v>
      </c>
      <c r="O404" s="531" t="str">
        <f>IF(C404&lt;&gt;"",C404&amp;'סיווג התפקידים והעלויות'!$C$2,"")</f>
        <v/>
      </c>
      <c r="P404" s="531" t="str">
        <f>IF(C404&lt;&gt;"",C404&amp;'סיווג התפקידים והעלויות'!$D$2,"")</f>
        <v/>
      </c>
    </row>
    <row r="405" spans="2:16" ht="15.75" x14ac:dyDescent="0.25">
      <c r="B405" s="57">
        <v>390</v>
      </c>
      <c r="C405" s="176" t="str">
        <f>IF(VLOOKUP(B405,'דוח ביצוע (3)'!$A$21:$B$520,2,0)="","",VLOOKUP(B405,'דוח ביצוע (3)'!$A$21:$B$520,2,0))</f>
        <v/>
      </c>
      <c r="D405" s="177" t="str">
        <f>IFERROR(VLOOKUP($C:$C,'מצבת והרשמה (2)'!$C$20:$N$520,2,0)," ")</f>
        <v/>
      </c>
      <c r="E405" s="177" t="str">
        <f>IFERROR(VLOOKUP(C405,'דוח ביצוע (3)'!B:V,5,0)," ")</f>
        <v xml:space="preserve"> </v>
      </c>
      <c r="F405" s="177" t="str">
        <f t="shared" si="37"/>
        <v/>
      </c>
      <c r="G405" s="179">
        <f>SUMIFS('עלויות כח אדם (6)'!M:M,'עלויות כח אדם (6)'!B:B,' איוש משרות (8)'!C405,'עלויות כח אדם (6)'!N:N,"רכ")</f>
        <v>0</v>
      </c>
      <c r="H405" s="179">
        <f>IFERROR(VLOOKUP(P405,'עלויות כח אדם (6)'!$AE$16:$AF$3014,2,0),0)</f>
        <v>0</v>
      </c>
      <c r="I405" s="178">
        <f t="shared" si="40"/>
        <v>0</v>
      </c>
      <c r="J405" s="178">
        <f t="shared" si="41"/>
        <v>0</v>
      </c>
      <c r="K405" s="179" t="str">
        <f t="shared" si="38"/>
        <v/>
      </c>
      <c r="L405" s="718"/>
      <c r="M405" s="180" t="str">
        <f t="shared" si="42"/>
        <v/>
      </c>
      <c r="N405" s="531">
        <f t="shared" si="39"/>
        <v>0</v>
      </c>
      <c r="O405" s="531" t="str">
        <f>IF(C405&lt;&gt;"",C405&amp;'סיווג התפקידים והעלויות'!$C$2,"")</f>
        <v/>
      </c>
      <c r="P405" s="531" t="str">
        <f>IF(C405&lt;&gt;"",C405&amp;'סיווג התפקידים והעלויות'!$D$2,"")</f>
        <v/>
      </c>
    </row>
    <row r="406" spans="2:16" ht="15.75" x14ac:dyDescent="0.25">
      <c r="B406" s="176">
        <v>391</v>
      </c>
      <c r="C406" s="176" t="str">
        <f>IF(VLOOKUP(B406,'דוח ביצוע (3)'!$A$21:$B$520,2,0)="","",VLOOKUP(B406,'דוח ביצוע (3)'!$A$21:$B$520,2,0))</f>
        <v/>
      </c>
      <c r="D406" s="177" t="str">
        <f>IFERROR(VLOOKUP($C:$C,'מצבת והרשמה (2)'!$C$20:$N$520,2,0)," ")</f>
        <v/>
      </c>
      <c r="E406" s="177" t="str">
        <f>IFERROR(VLOOKUP(C406,'דוח ביצוע (3)'!B:V,5,0)," ")</f>
        <v xml:space="preserve"> </v>
      </c>
      <c r="F406" s="177" t="str">
        <f t="shared" si="37"/>
        <v/>
      </c>
      <c r="G406" s="179">
        <f>SUMIFS('עלויות כח אדם (6)'!M:M,'עלויות כח אדם (6)'!B:B,' איוש משרות (8)'!C406,'עלויות כח אדם (6)'!N:N,"רכ")</f>
        <v>0</v>
      </c>
      <c r="H406" s="179">
        <f>IFERROR(VLOOKUP(P406,'עלויות כח אדם (6)'!$AE$16:$AF$3014,2,0),0)</f>
        <v>0</v>
      </c>
      <c r="I406" s="178">
        <f t="shared" si="40"/>
        <v>0</v>
      </c>
      <c r="J406" s="178">
        <f t="shared" si="41"/>
        <v>0</v>
      </c>
      <c r="K406" s="179" t="str">
        <f t="shared" si="38"/>
        <v/>
      </c>
      <c r="L406" s="718"/>
      <c r="M406" s="180" t="str">
        <f t="shared" si="42"/>
        <v/>
      </c>
      <c r="N406" s="531">
        <f t="shared" si="39"/>
        <v>0</v>
      </c>
      <c r="O406" s="531" t="str">
        <f>IF(C406&lt;&gt;"",C406&amp;'סיווג התפקידים והעלויות'!$C$2,"")</f>
        <v/>
      </c>
      <c r="P406" s="531" t="str">
        <f>IF(C406&lt;&gt;"",C406&amp;'סיווג התפקידים והעלויות'!$D$2,"")</f>
        <v/>
      </c>
    </row>
    <row r="407" spans="2:16" ht="15.75" x14ac:dyDescent="0.25">
      <c r="B407" s="57">
        <v>392</v>
      </c>
      <c r="C407" s="176" t="str">
        <f>IF(VLOOKUP(B407,'דוח ביצוע (3)'!$A$21:$B$520,2,0)="","",VLOOKUP(B407,'דוח ביצוע (3)'!$A$21:$B$520,2,0))</f>
        <v/>
      </c>
      <c r="D407" s="177" t="str">
        <f>IFERROR(VLOOKUP($C:$C,'מצבת והרשמה (2)'!$C$20:$N$520,2,0)," ")</f>
        <v/>
      </c>
      <c r="E407" s="177" t="str">
        <f>IFERROR(VLOOKUP(C407,'דוח ביצוע (3)'!B:V,5,0)," ")</f>
        <v xml:space="preserve"> </v>
      </c>
      <c r="F407" s="177" t="str">
        <f t="shared" si="37"/>
        <v/>
      </c>
      <c r="G407" s="179">
        <f>SUMIFS('עלויות כח אדם (6)'!M:M,'עלויות כח אדם (6)'!B:B,' איוש משרות (8)'!C407,'עלויות כח אדם (6)'!N:N,"רכ")</f>
        <v>0</v>
      </c>
      <c r="H407" s="179">
        <f>IFERROR(VLOOKUP(P407,'עלויות כח אדם (6)'!$AE$16:$AF$3014,2,0),0)</f>
        <v>0</v>
      </c>
      <c r="I407" s="178">
        <f t="shared" si="40"/>
        <v>0</v>
      </c>
      <c r="J407" s="178">
        <f t="shared" si="41"/>
        <v>0</v>
      </c>
      <c r="K407" s="179" t="str">
        <f t="shared" si="38"/>
        <v/>
      </c>
      <c r="L407" s="718"/>
      <c r="M407" s="180" t="str">
        <f t="shared" si="42"/>
        <v/>
      </c>
      <c r="N407" s="531">
        <f t="shared" si="39"/>
        <v>0</v>
      </c>
      <c r="O407" s="531" t="str">
        <f>IF(C407&lt;&gt;"",C407&amp;'סיווג התפקידים והעלויות'!$C$2,"")</f>
        <v/>
      </c>
      <c r="P407" s="531" t="str">
        <f>IF(C407&lt;&gt;"",C407&amp;'סיווג התפקידים והעלויות'!$D$2,"")</f>
        <v/>
      </c>
    </row>
    <row r="408" spans="2:16" ht="15.75" x14ac:dyDescent="0.25">
      <c r="B408" s="176">
        <v>393</v>
      </c>
      <c r="C408" s="176" t="str">
        <f>IF(VLOOKUP(B408,'דוח ביצוע (3)'!$A$21:$B$520,2,0)="","",VLOOKUP(B408,'דוח ביצוע (3)'!$A$21:$B$520,2,0))</f>
        <v/>
      </c>
      <c r="D408" s="177" t="str">
        <f>IFERROR(VLOOKUP($C:$C,'מצבת והרשמה (2)'!$C$20:$N$520,2,0)," ")</f>
        <v/>
      </c>
      <c r="E408" s="177" t="str">
        <f>IFERROR(VLOOKUP(C408,'דוח ביצוע (3)'!B:V,5,0)," ")</f>
        <v xml:space="preserve"> </v>
      </c>
      <c r="F408" s="177" t="str">
        <f t="shared" si="37"/>
        <v/>
      </c>
      <c r="G408" s="179">
        <f>SUMIFS('עלויות כח אדם (6)'!M:M,'עלויות כח אדם (6)'!B:B,' איוש משרות (8)'!C408,'עלויות כח אדם (6)'!N:N,"רכ")</f>
        <v>0</v>
      </c>
      <c r="H408" s="179">
        <f>IFERROR(VLOOKUP(P408,'עלויות כח אדם (6)'!$AE$16:$AF$3014,2,0),0)</f>
        <v>0</v>
      </c>
      <c r="I408" s="178">
        <f t="shared" si="40"/>
        <v>0</v>
      </c>
      <c r="J408" s="178">
        <f t="shared" si="41"/>
        <v>0</v>
      </c>
      <c r="K408" s="179" t="str">
        <f t="shared" si="38"/>
        <v/>
      </c>
      <c r="L408" s="718"/>
      <c r="M408" s="180" t="str">
        <f t="shared" si="42"/>
        <v/>
      </c>
      <c r="N408" s="531">
        <f t="shared" si="39"/>
        <v>0</v>
      </c>
      <c r="O408" s="531" t="str">
        <f>IF(C408&lt;&gt;"",C408&amp;'סיווג התפקידים והעלויות'!$C$2,"")</f>
        <v/>
      </c>
      <c r="P408" s="531" t="str">
        <f>IF(C408&lt;&gt;"",C408&amp;'סיווג התפקידים והעלויות'!$D$2,"")</f>
        <v/>
      </c>
    </row>
    <row r="409" spans="2:16" ht="15.75" x14ac:dyDescent="0.25">
      <c r="B409" s="57">
        <v>394</v>
      </c>
      <c r="C409" s="176" t="str">
        <f>IF(VLOOKUP(B409,'דוח ביצוע (3)'!$A$21:$B$520,2,0)="","",VLOOKUP(B409,'דוח ביצוע (3)'!$A$21:$B$520,2,0))</f>
        <v/>
      </c>
      <c r="D409" s="177" t="str">
        <f>IFERROR(VLOOKUP($C:$C,'מצבת והרשמה (2)'!$C$20:$N$520,2,0)," ")</f>
        <v/>
      </c>
      <c r="E409" s="177" t="str">
        <f>IFERROR(VLOOKUP(C409,'דוח ביצוע (3)'!B:V,5,0)," ")</f>
        <v xml:space="preserve"> </v>
      </c>
      <c r="F409" s="177" t="str">
        <f t="shared" si="37"/>
        <v/>
      </c>
      <c r="G409" s="179">
        <f>SUMIFS('עלויות כח אדם (6)'!M:M,'עלויות כח אדם (6)'!B:B,' איוש משרות (8)'!C409,'עלויות כח אדם (6)'!N:N,"רכ")</f>
        <v>0</v>
      </c>
      <c r="H409" s="179">
        <f>IFERROR(VLOOKUP(P409,'עלויות כח אדם (6)'!$AE$16:$AF$3014,2,0),0)</f>
        <v>0</v>
      </c>
      <c r="I409" s="178">
        <f t="shared" si="40"/>
        <v>0</v>
      </c>
      <c r="J409" s="178">
        <f t="shared" si="41"/>
        <v>0</v>
      </c>
      <c r="K409" s="179" t="str">
        <f t="shared" si="38"/>
        <v/>
      </c>
      <c r="L409" s="718"/>
      <c r="M409" s="180" t="str">
        <f t="shared" si="42"/>
        <v/>
      </c>
      <c r="N409" s="531">
        <f t="shared" si="39"/>
        <v>0</v>
      </c>
      <c r="O409" s="531" t="str">
        <f>IF(C409&lt;&gt;"",C409&amp;'סיווג התפקידים והעלויות'!$C$2,"")</f>
        <v/>
      </c>
      <c r="P409" s="531" t="str">
        <f>IF(C409&lt;&gt;"",C409&amp;'סיווג התפקידים והעלויות'!$D$2,"")</f>
        <v/>
      </c>
    </row>
    <row r="410" spans="2:16" ht="15.75" x14ac:dyDescent="0.25">
      <c r="B410" s="176">
        <v>395</v>
      </c>
      <c r="C410" s="176" t="str">
        <f>IF(VLOOKUP(B410,'דוח ביצוע (3)'!$A$21:$B$520,2,0)="","",VLOOKUP(B410,'דוח ביצוע (3)'!$A$21:$B$520,2,0))</f>
        <v/>
      </c>
      <c r="D410" s="177" t="str">
        <f>IFERROR(VLOOKUP($C:$C,'מצבת והרשמה (2)'!$C$20:$N$520,2,0)," ")</f>
        <v/>
      </c>
      <c r="E410" s="177" t="str">
        <f>IFERROR(VLOOKUP(C410,'דוח ביצוע (3)'!B:V,5,0)," ")</f>
        <v xml:space="preserve"> </v>
      </c>
      <c r="F410" s="177" t="str">
        <f t="shared" si="37"/>
        <v/>
      </c>
      <c r="G410" s="179">
        <f>SUMIFS('עלויות כח אדם (6)'!M:M,'עלויות כח אדם (6)'!B:B,' איוש משרות (8)'!C410,'עלויות כח אדם (6)'!N:N,"רכ")</f>
        <v>0</v>
      </c>
      <c r="H410" s="179">
        <f>IFERROR(VLOOKUP(P410,'עלויות כח אדם (6)'!$AE$16:$AF$3014,2,0),0)</f>
        <v>0</v>
      </c>
      <c r="I410" s="178">
        <f t="shared" si="40"/>
        <v>0</v>
      </c>
      <c r="J410" s="178">
        <f t="shared" si="41"/>
        <v>0</v>
      </c>
      <c r="K410" s="179" t="str">
        <f t="shared" si="38"/>
        <v/>
      </c>
      <c r="L410" s="718"/>
      <c r="M410" s="180" t="str">
        <f t="shared" si="42"/>
        <v/>
      </c>
      <c r="N410" s="531">
        <f t="shared" si="39"/>
        <v>0</v>
      </c>
      <c r="O410" s="531" t="str">
        <f>IF(C410&lt;&gt;"",C410&amp;'סיווג התפקידים והעלויות'!$C$2,"")</f>
        <v/>
      </c>
      <c r="P410" s="531" t="str">
        <f>IF(C410&lt;&gt;"",C410&amp;'סיווג התפקידים והעלויות'!$D$2,"")</f>
        <v/>
      </c>
    </row>
    <row r="411" spans="2:16" ht="15.75" x14ac:dyDescent="0.25">
      <c r="B411" s="57">
        <v>396</v>
      </c>
      <c r="C411" s="176" t="str">
        <f>IF(VLOOKUP(B411,'דוח ביצוע (3)'!$A$21:$B$520,2,0)="","",VLOOKUP(B411,'דוח ביצוע (3)'!$A$21:$B$520,2,0))</f>
        <v/>
      </c>
      <c r="D411" s="177" t="str">
        <f>IFERROR(VLOOKUP($C:$C,'מצבת והרשמה (2)'!$C$20:$N$520,2,0)," ")</f>
        <v/>
      </c>
      <c r="E411" s="177" t="str">
        <f>IFERROR(VLOOKUP(C411,'דוח ביצוע (3)'!B:V,5,0)," ")</f>
        <v xml:space="preserve"> </v>
      </c>
      <c r="F411" s="177" t="str">
        <f t="shared" si="37"/>
        <v/>
      </c>
      <c r="G411" s="179">
        <f>SUMIFS('עלויות כח אדם (6)'!M:M,'עלויות כח אדם (6)'!B:B,' איוש משרות (8)'!C411,'עלויות כח אדם (6)'!N:N,"רכ")</f>
        <v>0</v>
      </c>
      <c r="H411" s="179">
        <f>IFERROR(VLOOKUP(P411,'עלויות כח אדם (6)'!$AE$16:$AF$3014,2,0),0)</f>
        <v>0</v>
      </c>
      <c r="I411" s="178">
        <f t="shared" si="40"/>
        <v>0</v>
      </c>
      <c r="J411" s="178">
        <f t="shared" si="41"/>
        <v>0</v>
      </c>
      <c r="K411" s="179" t="str">
        <f t="shared" si="38"/>
        <v/>
      </c>
      <c r="L411" s="718"/>
      <c r="M411" s="180" t="str">
        <f t="shared" si="42"/>
        <v/>
      </c>
      <c r="N411" s="531">
        <f t="shared" si="39"/>
        <v>0</v>
      </c>
      <c r="O411" s="531" t="str">
        <f>IF(C411&lt;&gt;"",C411&amp;'סיווג התפקידים והעלויות'!$C$2,"")</f>
        <v/>
      </c>
      <c r="P411" s="531" t="str">
        <f>IF(C411&lt;&gt;"",C411&amp;'סיווג התפקידים והעלויות'!$D$2,"")</f>
        <v/>
      </c>
    </row>
    <row r="412" spans="2:16" ht="15.75" x14ac:dyDescent="0.25">
      <c r="B412" s="176">
        <v>397</v>
      </c>
      <c r="C412" s="176" t="str">
        <f>IF(VLOOKUP(B412,'דוח ביצוע (3)'!$A$21:$B$520,2,0)="","",VLOOKUP(B412,'דוח ביצוע (3)'!$A$21:$B$520,2,0))</f>
        <v/>
      </c>
      <c r="D412" s="177" t="str">
        <f>IFERROR(VLOOKUP($C:$C,'מצבת והרשמה (2)'!$C$20:$N$520,2,0)," ")</f>
        <v/>
      </c>
      <c r="E412" s="177" t="str">
        <f>IFERROR(VLOOKUP(C412,'דוח ביצוע (3)'!B:V,5,0)," ")</f>
        <v xml:space="preserve"> </v>
      </c>
      <c r="F412" s="177" t="str">
        <f t="shared" si="37"/>
        <v/>
      </c>
      <c r="G412" s="179">
        <f>SUMIFS('עלויות כח אדם (6)'!M:M,'עלויות כח אדם (6)'!B:B,' איוש משרות (8)'!C412,'עלויות כח אדם (6)'!N:N,"רכ")</f>
        <v>0</v>
      </c>
      <c r="H412" s="179">
        <f>IFERROR(VLOOKUP(P412,'עלויות כח אדם (6)'!$AE$16:$AF$3014,2,0),0)</f>
        <v>0</v>
      </c>
      <c r="I412" s="178">
        <f t="shared" si="40"/>
        <v>0</v>
      </c>
      <c r="J412" s="178">
        <f t="shared" si="41"/>
        <v>0</v>
      </c>
      <c r="K412" s="179" t="str">
        <f t="shared" si="38"/>
        <v/>
      </c>
      <c r="L412" s="718"/>
      <c r="M412" s="180" t="str">
        <f t="shared" si="42"/>
        <v/>
      </c>
      <c r="N412" s="531">
        <f t="shared" si="39"/>
        <v>0</v>
      </c>
      <c r="O412" s="531" t="str">
        <f>IF(C412&lt;&gt;"",C412&amp;'סיווג התפקידים והעלויות'!$C$2,"")</f>
        <v/>
      </c>
      <c r="P412" s="531" t="str">
        <f>IF(C412&lt;&gt;"",C412&amp;'סיווג התפקידים והעלויות'!$D$2,"")</f>
        <v/>
      </c>
    </row>
    <row r="413" spans="2:16" ht="15.75" x14ac:dyDescent="0.25">
      <c r="B413" s="57">
        <v>398</v>
      </c>
      <c r="C413" s="176" t="str">
        <f>IF(VLOOKUP(B413,'דוח ביצוע (3)'!$A$21:$B$520,2,0)="","",VLOOKUP(B413,'דוח ביצוע (3)'!$A$21:$B$520,2,0))</f>
        <v/>
      </c>
      <c r="D413" s="177" t="str">
        <f>IFERROR(VLOOKUP($C:$C,'מצבת והרשמה (2)'!$C$20:$N$520,2,0)," ")</f>
        <v/>
      </c>
      <c r="E413" s="177" t="str">
        <f>IFERROR(VLOOKUP(C413,'דוח ביצוע (3)'!B:V,5,0)," ")</f>
        <v xml:space="preserve"> </v>
      </c>
      <c r="F413" s="177" t="str">
        <f t="shared" si="37"/>
        <v/>
      </c>
      <c r="G413" s="179">
        <f>SUMIFS('עלויות כח אדם (6)'!M:M,'עלויות כח אדם (6)'!B:B,' איוש משרות (8)'!C413,'עלויות כח אדם (6)'!N:N,"רכ")</f>
        <v>0</v>
      </c>
      <c r="H413" s="179">
        <f>IFERROR(VLOOKUP(P413,'עלויות כח אדם (6)'!$AE$16:$AF$3014,2,0),0)</f>
        <v>0</v>
      </c>
      <c r="I413" s="178">
        <f t="shared" si="40"/>
        <v>0</v>
      </c>
      <c r="J413" s="178">
        <f t="shared" si="41"/>
        <v>0</v>
      </c>
      <c r="K413" s="179" t="str">
        <f t="shared" si="38"/>
        <v/>
      </c>
      <c r="L413" s="718"/>
      <c r="M413" s="180" t="str">
        <f t="shared" si="42"/>
        <v/>
      </c>
      <c r="N413" s="531">
        <f t="shared" si="39"/>
        <v>0</v>
      </c>
      <c r="O413" s="531" t="str">
        <f>IF(C413&lt;&gt;"",C413&amp;'סיווג התפקידים והעלויות'!$C$2,"")</f>
        <v/>
      </c>
      <c r="P413" s="531" t="str">
        <f>IF(C413&lt;&gt;"",C413&amp;'סיווג התפקידים והעלויות'!$D$2,"")</f>
        <v/>
      </c>
    </row>
    <row r="414" spans="2:16" ht="15.75" x14ac:dyDescent="0.25">
      <c r="B414" s="176">
        <v>399</v>
      </c>
      <c r="C414" s="176" t="str">
        <f>IF(VLOOKUP(B414,'דוח ביצוע (3)'!$A$21:$B$520,2,0)="","",VLOOKUP(B414,'דוח ביצוע (3)'!$A$21:$B$520,2,0))</f>
        <v/>
      </c>
      <c r="D414" s="177" t="str">
        <f>IFERROR(VLOOKUP($C:$C,'מצבת והרשמה (2)'!$C$20:$N$520,2,0)," ")</f>
        <v/>
      </c>
      <c r="E414" s="177" t="str">
        <f>IFERROR(VLOOKUP(C414,'דוח ביצוע (3)'!B:V,5,0)," ")</f>
        <v xml:space="preserve"> </v>
      </c>
      <c r="F414" s="177" t="str">
        <f t="shared" si="37"/>
        <v/>
      </c>
      <c r="G414" s="179">
        <f>SUMIFS('עלויות כח אדם (6)'!M:M,'עלויות כח אדם (6)'!B:B,' איוש משרות (8)'!C414,'עלויות כח אדם (6)'!N:N,"רכ")</f>
        <v>0</v>
      </c>
      <c r="H414" s="179">
        <f>IFERROR(VLOOKUP(P414,'עלויות כח אדם (6)'!$AE$16:$AF$3014,2,0),0)</f>
        <v>0</v>
      </c>
      <c r="I414" s="178">
        <f t="shared" si="40"/>
        <v>0</v>
      </c>
      <c r="J414" s="178">
        <f t="shared" si="41"/>
        <v>0</v>
      </c>
      <c r="K414" s="179" t="str">
        <f t="shared" si="38"/>
        <v/>
      </c>
      <c r="L414" s="718"/>
      <c r="M414" s="180" t="str">
        <f t="shared" si="42"/>
        <v/>
      </c>
      <c r="N414" s="531">
        <f t="shared" si="39"/>
        <v>0</v>
      </c>
      <c r="O414" s="531" t="str">
        <f>IF(C414&lt;&gt;"",C414&amp;'סיווג התפקידים והעלויות'!$C$2,"")</f>
        <v/>
      </c>
      <c r="P414" s="531" t="str">
        <f>IF(C414&lt;&gt;"",C414&amp;'סיווג התפקידים והעלויות'!$D$2,"")</f>
        <v/>
      </c>
    </row>
    <row r="415" spans="2:16" ht="15.75" x14ac:dyDescent="0.25">
      <c r="B415" s="57">
        <v>400</v>
      </c>
      <c r="C415" s="176" t="str">
        <f>IF(VLOOKUP(B415,'דוח ביצוע (3)'!$A$21:$B$520,2,0)="","",VLOOKUP(B415,'דוח ביצוע (3)'!$A$21:$B$520,2,0))</f>
        <v/>
      </c>
      <c r="D415" s="177" t="str">
        <f>IFERROR(VLOOKUP($C:$C,'מצבת והרשמה (2)'!$C$20:$N$520,2,0)," ")</f>
        <v/>
      </c>
      <c r="E415" s="177" t="str">
        <f>IFERROR(VLOOKUP(C415,'דוח ביצוע (3)'!B:V,5,0)," ")</f>
        <v xml:space="preserve"> </v>
      </c>
      <c r="F415" s="177" t="str">
        <f t="shared" si="37"/>
        <v/>
      </c>
      <c r="G415" s="179">
        <f>SUMIFS('עלויות כח אדם (6)'!M:M,'עלויות כח אדם (6)'!B:B,' איוש משרות (8)'!C415,'עלויות כח אדם (6)'!N:N,"רכ")</f>
        <v>0</v>
      </c>
      <c r="H415" s="179">
        <f>IFERROR(VLOOKUP(P415,'עלויות כח אדם (6)'!$AE$16:$AF$3014,2,0),0)</f>
        <v>0</v>
      </c>
      <c r="I415" s="178">
        <f t="shared" si="40"/>
        <v>0</v>
      </c>
      <c r="J415" s="178">
        <f t="shared" si="41"/>
        <v>0</v>
      </c>
      <c r="K415" s="179" t="str">
        <f t="shared" si="38"/>
        <v/>
      </c>
      <c r="L415" s="718"/>
      <c r="M415" s="180" t="str">
        <f t="shared" si="42"/>
        <v/>
      </c>
      <c r="N415" s="531">
        <f t="shared" si="39"/>
        <v>0</v>
      </c>
      <c r="O415" s="531" t="str">
        <f>IF(C415&lt;&gt;"",C415&amp;'סיווג התפקידים והעלויות'!$C$2,"")</f>
        <v/>
      </c>
      <c r="P415" s="531" t="str">
        <f>IF(C415&lt;&gt;"",C415&amp;'סיווג התפקידים והעלויות'!$D$2,"")</f>
        <v/>
      </c>
    </row>
    <row r="416" spans="2:16" ht="15.75" x14ac:dyDescent="0.25">
      <c r="B416" s="176">
        <v>401</v>
      </c>
      <c r="C416" s="176" t="str">
        <f>IF(VLOOKUP(B416,'דוח ביצוע (3)'!$A$21:$B$520,2,0)="","",VLOOKUP(B416,'דוח ביצוע (3)'!$A$21:$B$520,2,0))</f>
        <v/>
      </c>
      <c r="D416" s="177" t="str">
        <f>IFERROR(VLOOKUP($C:$C,'מצבת והרשמה (2)'!$C$20:$N$520,2,0)," ")</f>
        <v/>
      </c>
      <c r="E416" s="177" t="str">
        <f>IFERROR(VLOOKUP(C416,'דוח ביצוע (3)'!B:V,5,0)," ")</f>
        <v xml:space="preserve"> </v>
      </c>
      <c r="F416" s="177" t="str">
        <f t="shared" si="37"/>
        <v/>
      </c>
      <c r="G416" s="179">
        <f>SUMIFS('עלויות כח אדם (6)'!M:M,'עלויות כח אדם (6)'!B:B,' איוש משרות (8)'!C416,'עלויות כח אדם (6)'!N:N,"רכ")</f>
        <v>0</v>
      </c>
      <c r="H416" s="179">
        <f>IFERROR(VLOOKUP(P416,'עלויות כח אדם (6)'!$AE$16:$AF$3014,2,0),0)</f>
        <v>0</v>
      </c>
      <c r="I416" s="178">
        <f t="shared" si="40"/>
        <v>0</v>
      </c>
      <c r="J416" s="178">
        <f t="shared" si="41"/>
        <v>0</v>
      </c>
      <c r="K416" s="179" t="str">
        <f t="shared" si="38"/>
        <v/>
      </c>
      <c r="L416" s="718"/>
      <c r="M416" s="180" t="str">
        <f t="shared" si="42"/>
        <v/>
      </c>
      <c r="N416" s="531">
        <f t="shared" si="39"/>
        <v>0</v>
      </c>
      <c r="O416" s="531" t="str">
        <f>IF(C416&lt;&gt;"",C416&amp;'סיווג התפקידים והעלויות'!$C$2,"")</f>
        <v/>
      </c>
      <c r="P416" s="531" t="str">
        <f>IF(C416&lt;&gt;"",C416&amp;'סיווג התפקידים והעלויות'!$D$2,"")</f>
        <v/>
      </c>
    </row>
    <row r="417" spans="2:16" ht="15.75" x14ac:dyDescent="0.25">
      <c r="B417" s="57">
        <v>402</v>
      </c>
      <c r="C417" s="176" t="str">
        <f>IF(VLOOKUP(B417,'דוח ביצוע (3)'!$A$21:$B$520,2,0)="","",VLOOKUP(B417,'דוח ביצוע (3)'!$A$21:$B$520,2,0))</f>
        <v/>
      </c>
      <c r="D417" s="177" t="str">
        <f>IFERROR(VLOOKUP($C:$C,'מצבת והרשמה (2)'!$C$20:$N$520,2,0)," ")</f>
        <v/>
      </c>
      <c r="E417" s="177" t="str">
        <f>IFERROR(VLOOKUP(C417,'דוח ביצוע (3)'!B:V,5,0)," ")</f>
        <v xml:space="preserve"> </v>
      </c>
      <c r="F417" s="177" t="str">
        <f t="shared" si="37"/>
        <v/>
      </c>
      <c r="G417" s="179">
        <f>SUMIFS('עלויות כח אדם (6)'!M:M,'עלויות כח אדם (6)'!B:B,' איוש משרות (8)'!C417,'עלויות כח אדם (6)'!N:N,"רכ")</f>
        <v>0</v>
      </c>
      <c r="H417" s="179">
        <f>IFERROR(VLOOKUP(P417,'עלויות כח אדם (6)'!$AE$16:$AF$3014,2,0),0)</f>
        <v>0</v>
      </c>
      <c r="I417" s="178">
        <f t="shared" si="40"/>
        <v>0</v>
      </c>
      <c r="J417" s="178">
        <f t="shared" si="41"/>
        <v>0</v>
      </c>
      <c r="K417" s="179" t="str">
        <f t="shared" si="38"/>
        <v/>
      </c>
      <c r="L417" s="718"/>
      <c r="M417" s="180" t="str">
        <f t="shared" si="42"/>
        <v/>
      </c>
      <c r="N417" s="531">
        <f t="shared" si="39"/>
        <v>0</v>
      </c>
      <c r="O417" s="531" t="str">
        <f>IF(C417&lt;&gt;"",C417&amp;'סיווג התפקידים והעלויות'!$C$2,"")</f>
        <v/>
      </c>
      <c r="P417" s="531" t="str">
        <f>IF(C417&lt;&gt;"",C417&amp;'סיווג התפקידים והעלויות'!$D$2,"")</f>
        <v/>
      </c>
    </row>
    <row r="418" spans="2:16" ht="15.75" x14ac:dyDescent="0.25">
      <c r="B418" s="176">
        <v>403</v>
      </c>
      <c r="C418" s="176" t="str">
        <f>IF(VLOOKUP(B418,'דוח ביצוע (3)'!$A$21:$B$520,2,0)="","",VLOOKUP(B418,'דוח ביצוע (3)'!$A$21:$B$520,2,0))</f>
        <v/>
      </c>
      <c r="D418" s="177" t="str">
        <f>IFERROR(VLOOKUP($C:$C,'מצבת והרשמה (2)'!$C$20:$N$520,2,0)," ")</f>
        <v/>
      </c>
      <c r="E418" s="177" t="str">
        <f>IFERROR(VLOOKUP(C418,'דוח ביצוע (3)'!B:V,5,0)," ")</f>
        <v xml:space="preserve"> </v>
      </c>
      <c r="F418" s="177" t="str">
        <f t="shared" si="37"/>
        <v/>
      </c>
      <c r="G418" s="179">
        <f>SUMIFS('עלויות כח אדם (6)'!M:M,'עלויות כח אדם (6)'!B:B,' איוש משרות (8)'!C418,'עלויות כח אדם (6)'!N:N,"רכ")</f>
        <v>0</v>
      </c>
      <c r="H418" s="179">
        <f>IFERROR(VLOOKUP(P418,'עלויות כח אדם (6)'!$AE$16:$AF$3014,2,0),0)</f>
        <v>0</v>
      </c>
      <c r="I418" s="178">
        <f t="shared" si="40"/>
        <v>0</v>
      </c>
      <c r="J418" s="178">
        <f t="shared" si="41"/>
        <v>0</v>
      </c>
      <c r="K418" s="179" t="str">
        <f t="shared" si="38"/>
        <v/>
      </c>
      <c r="L418" s="718"/>
      <c r="M418" s="180" t="str">
        <f t="shared" si="42"/>
        <v/>
      </c>
      <c r="N418" s="531">
        <f t="shared" si="39"/>
        <v>0</v>
      </c>
      <c r="O418" s="531" t="str">
        <f>IF(C418&lt;&gt;"",C418&amp;'סיווג התפקידים והעלויות'!$C$2,"")</f>
        <v/>
      </c>
      <c r="P418" s="531" t="str">
        <f>IF(C418&lt;&gt;"",C418&amp;'סיווג התפקידים והעלויות'!$D$2,"")</f>
        <v/>
      </c>
    </row>
    <row r="419" spans="2:16" ht="15.75" x14ac:dyDescent="0.25">
      <c r="B419" s="57">
        <v>404</v>
      </c>
      <c r="C419" s="176" t="str">
        <f>IF(VLOOKUP(B419,'דוח ביצוע (3)'!$A$21:$B$520,2,0)="","",VLOOKUP(B419,'דוח ביצוע (3)'!$A$21:$B$520,2,0))</f>
        <v/>
      </c>
      <c r="D419" s="177" t="str">
        <f>IFERROR(VLOOKUP($C:$C,'מצבת והרשמה (2)'!$C$20:$N$520,2,0)," ")</f>
        <v/>
      </c>
      <c r="E419" s="177" t="str">
        <f>IFERROR(VLOOKUP(C419,'דוח ביצוע (3)'!B:V,5,0)," ")</f>
        <v xml:space="preserve"> </v>
      </c>
      <c r="F419" s="177" t="str">
        <f t="shared" si="37"/>
        <v/>
      </c>
      <c r="G419" s="179">
        <f>SUMIFS('עלויות כח אדם (6)'!M:M,'עלויות כח אדם (6)'!B:B,' איוש משרות (8)'!C419,'עלויות כח אדם (6)'!N:N,"רכ")</f>
        <v>0</v>
      </c>
      <c r="H419" s="179">
        <f>IFERROR(VLOOKUP(P419,'עלויות כח אדם (6)'!$AE$16:$AF$3014,2,0),0)</f>
        <v>0</v>
      </c>
      <c r="I419" s="178">
        <f t="shared" si="40"/>
        <v>0</v>
      </c>
      <c r="J419" s="178">
        <f t="shared" si="41"/>
        <v>0</v>
      </c>
      <c r="K419" s="179" t="str">
        <f t="shared" si="38"/>
        <v/>
      </c>
      <c r="L419" s="718"/>
      <c r="M419" s="180" t="str">
        <f t="shared" si="42"/>
        <v/>
      </c>
      <c r="N419" s="531">
        <f t="shared" si="39"/>
        <v>0</v>
      </c>
      <c r="O419" s="531" t="str">
        <f>IF(C419&lt;&gt;"",C419&amp;'סיווג התפקידים והעלויות'!$C$2,"")</f>
        <v/>
      </c>
      <c r="P419" s="531" t="str">
        <f>IF(C419&lt;&gt;"",C419&amp;'סיווג התפקידים והעלויות'!$D$2,"")</f>
        <v/>
      </c>
    </row>
    <row r="420" spans="2:16" ht="15.75" x14ac:dyDescent="0.25">
      <c r="B420" s="176">
        <v>405</v>
      </c>
      <c r="C420" s="176" t="str">
        <f>IF(VLOOKUP(B420,'דוח ביצוע (3)'!$A$21:$B$520,2,0)="","",VLOOKUP(B420,'דוח ביצוע (3)'!$A$21:$B$520,2,0))</f>
        <v/>
      </c>
      <c r="D420" s="177" t="str">
        <f>IFERROR(VLOOKUP($C:$C,'מצבת והרשמה (2)'!$C$20:$N$520,2,0)," ")</f>
        <v/>
      </c>
      <c r="E420" s="177" t="str">
        <f>IFERROR(VLOOKUP(C420,'דוח ביצוע (3)'!B:V,5,0)," ")</f>
        <v xml:space="preserve"> </v>
      </c>
      <c r="F420" s="177" t="str">
        <f t="shared" si="37"/>
        <v/>
      </c>
      <c r="G420" s="179">
        <f>SUMIFS('עלויות כח אדם (6)'!M:M,'עלויות כח אדם (6)'!B:B,' איוש משרות (8)'!C420,'עלויות כח אדם (6)'!N:N,"רכ")</f>
        <v>0</v>
      </c>
      <c r="H420" s="179">
        <f>IFERROR(VLOOKUP(P420,'עלויות כח אדם (6)'!$AE$16:$AF$3014,2,0),0)</f>
        <v>0</v>
      </c>
      <c r="I420" s="178">
        <f t="shared" si="40"/>
        <v>0</v>
      </c>
      <c r="J420" s="178">
        <f t="shared" si="41"/>
        <v>0</v>
      </c>
      <c r="K420" s="179" t="str">
        <f t="shared" si="38"/>
        <v/>
      </c>
      <c r="L420" s="718"/>
      <c r="M420" s="180" t="str">
        <f t="shared" si="42"/>
        <v/>
      </c>
      <c r="N420" s="531">
        <f t="shared" si="39"/>
        <v>0</v>
      </c>
      <c r="O420" s="531" t="str">
        <f>IF(C420&lt;&gt;"",C420&amp;'סיווג התפקידים והעלויות'!$C$2,"")</f>
        <v/>
      </c>
      <c r="P420" s="531" t="str">
        <f>IF(C420&lt;&gt;"",C420&amp;'סיווג התפקידים והעלויות'!$D$2,"")</f>
        <v/>
      </c>
    </row>
    <row r="421" spans="2:16" ht="15.75" x14ac:dyDescent="0.25">
      <c r="B421" s="57">
        <v>406</v>
      </c>
      <c r="C421" s="176" t="str">
        <f>IF(VLOOKUP(B421,'דוח ביצוע (3)'!$A$21:$B$520,2,0)="","",VLOOKUP(B421,'דוח ביצוע (3)'!$A$21:$B$520,2,0))</f>
        <v/>
      </c>
      <c r="D421" s="177" t="str">
        <f>IFERROR(VLOOKUP($C:$C,'מצבת והרשמה (2)'!$C$20:$N$520,2,0)," ")</f>
        <v/>
      </c>
      <c r="E421" s="177" t="str">
        <f>IFERROR(VLOOKUP(C421,'דוח ביצוע (3)'!B:V,5,0)," ")</f>
        <v xml:space="preserve"> </v>
      </c>
      <c r="F421" s="177" t="str">
        <f t="shared" si="37"/>
        <v/>
      </c>
      <c r="G421" s="179">
        <f>SUMIFS('עלויות כח אדם (6)'!M:M,'עלויות כח אדם (6)'!B:B,' איוש משרות (8)'!C421,'עלויות כח אדם (6)'!N:N,"רכ")</f>
        <v>0</v>
      </c>
      <c r="H421" s="179">
        <f>IFERROR(VLOOKUP(P421,'עלויות כח אדם (6)'!$AE$16:$AF$3014,2,0),0)</f>
        <v>0</v>
      </c>
      <c r="I421" s="178">
        <f t="shared" si="40"/>
        <v>0</v>
      </c>
      <c r="J421" s="178">
        <f t="shared" si="41"/>
        <v>0</v>
      </c>
      <c r="K421" s="179" t="str">
        <f t="shared" si="38"/>
        <v/>
      </c>
      <c r="L421" s="718"/>
      <c r="M421" s="180" t="str">
        <f t="shared" si="42"/>
        <v/>
      </c>
      <c r="N421" s="531">
        <f t="shared" si="39"/>
        <v>0</v>
      </c>
      <c r="O421" s="531" t="str">
        <f>IF(C421&lt;&gt;"",C421&amp;'סיווג התפקידים והעלויות'!$C$2,"")</f>
        <v/>
      </c>
      <c r="P421" s="531" t="str">
        <f>IF(C421&lt;&gt;"",C421&amp;'סיווג התפקידים והעלויות'!$D$2,"")</f>
        <v/>
      </c>
    </row>
    <row r="422" spans="2:16" ht="15.75" x14ac:dyDescent="0.25">
      <c r="B422" s="176">
        <v>407</v>
      </c>
      <c r="C422" s="176" t="str">
        <f>IF(VLOOKUP(B422,'דוח ביצוע (3)'!$A$21:$B$520,2,0)="","",VLOOKUP(B422,'דוח ביצוע (3)'!$A$21:$B$520,2,0))</f>
        <v/>
      </c>
      <c r="D422" s="177" t="str">
        <f>IFERROR(VLOOKUP($C:$C,'מצבת והרשמה (2)'!$C$20:$N$520,2,0)," ")</f>
        <v/>
      </c>
      <c r="E422" s="177" t="str">
        <f>IFERROR(VLOOKUP(C422,'דוח ביצוע (3)'!B:V,5,0)," ")</f>
        <v xml:space="preserve"> </v>
      </c>
      <c r="F422" s="177" t="str">
        <f t="shared" si="37"/>
        <v/>
      </c>
      <c r="G422" s="179">
        <f>SUMIFS('עלויות כח אדם (6)'!M:M,'עלויות כח אדם (6)'!B:B,' איוש משרות (8)'!C422,'עלויות כח אדם (6)'!N:N,"רכ")</f>
        <v>0</v>
      </c>
      <c r="H422" s="179">
        <f>IFERROR(VLOOKUP(P422,'עלויות כח אדם (6)'!$AE$16:$AF$3014,2,0),0)</f>
        <v>0</v>
      </c>
      <c r="I422" s="178">
        <f t="shared" si="40"/>
        <v>0</v>
      </c>
      <c r="J422" s="178">
        <f t="shared" si="41"/>
        <v>0</v>
      </c>
      <c r="K422" s="179" t="str">
        <f t="shared" si="38"/>
        <v/>
      </c>
      <c r="L422" s="718"/>
      <c r="M422" s="180" t="str">
        <f t="shared" si="42"/>
        <v/>
      </c>
      <c r="N422" s="531">
        <f t="shared" si="39"/>
        <v>0</v>
      </c>
      <c r="O422" s="531" t="str">
        <f>IF(C422&lt;&gt;"",C422&amp;'סיווג התפקידים והעלויות'!$C$2,"")</f>
        <v/>
      </c>
      <c r="P422" s="531" t="str">
        <f>IF(C422&lt;&gt;"",C422&amp;'סיווג התפקידים והעלויות'!$D$2,"")</f>
        <v/>
      </c>
    </row>
    <row r="423" spans="2:16" ht="15.75" x14ac:dyDescent="0.25">
      <c r="B423" s="57">
        <v>408</v>
      </c>
      <c r="C423" s="176" t="str">
        <f>IF(VLOOKUP(B423,'דוח ביצוע (3)'!$A$21:$B$520,2,0)="","",VLOOKUP(B423,'דוח ביצוע (3)'!$A$21:$B$520,2,0))</f>
        <v/>
      </c>
      <c r="D423" s="177" t="str">
        <f>IFERROR(VLOOKUP($C:$C,'מצבת והרשמה (2)'!$C$20:$N$520,2,0)," ")</f>
        <v/>
      </c>
      <c r="E423" s="177" t="str">
        <f>IFERROR(VLOOKUP(C423,'דוח ביצוע (3)'!B:V,5,0)," ")</f>
        <v xml:space="preserve"> </v>
      </c>
      <c r="F423" s="177" t="str">
        <f t="shared" si="37"/>
        <v/>
      </c>
      <c r="G423" s="179">
        <f>SUMIFS('עלויות כח אדם (6)'!M:M,'עלויות כח אדם (6)'!B:B,' איוש משרות (8)'!C423,'עלויות כח אדם (6)'!N:N,"רכ")</f>
        <v>0</v>
      </c>
      <c r="H423" s="179">
        <f>IFERROR(VLOOKUP(P423,'עלויות כח אדם (6)'!$AE$16:$AF$3014,2,0),0)</f>
        <v>0</v>
      </c>
      <c r="I423" s="178">
        <f t="shared" si="40"/>
        <v>0</v>
      </c>
      <c r="J423" s="178">
        <f t="shared" si="41"/>
        <v>0</v>
      </c>
      <c r="K423" s="179" t="str">
        <f t="shared" si="38"/>
        <v/>
      </c>
      <c r="L423" s="718"/>
      <c r="M423" s="180" t="str">
        <f t="shared" si="42"/>
        <v/>
      </c>
      <c r="N423" s="531">
        <f t="shared" si="39"/>
        <v>0</v>
      </c>
      <c r="O423" s="531" t="str">
        <f>IF(C423&lt;&gt;"",C423&amp;'סיווג התפקידים והעלויות'!$C$2,"")</f>
        <v/>
      </c>
      <c r="P423" s="531" t="str">
        <f>IF(C423&lt;&gt;"",C423&amp;'סיווג התפקידים והעלויות'!$D$2,"")</f>
        <v/>
      </c>
    </row>
    <row r="424" spans="2:16" ht="15.75" x14ac:dyDescent="0.25">
      <c r="B424" s="176">
        <v>409</v>
      </c>
      <c r="C424" s="176" t="str">
        <f>IF(VLOOKUP(B424,'דוח ביצוע (3)'!$A$21:$B$520,2,0)="","",VLOOKUP(B424,'דוח ביצוע (3)'!$A$21:$B$520,2,0))</f>
        <v/>
      </c>
      <c r="D424" s="177" t="str">
        <f>IFERROR(VLOOKUP($C:$C,'מצבת והרשמה (2)'!$C$20:$N$520,2,0)," ")</f>
        <v/>
      </c>
      <c r="E424" s="177" t="str">
        <f>IFERROR(VLOOKUP(C424,'דוח ביצוע (3)'!B:V,5,0)," ")</f>
        <v xml:space="preserve"> </v>
      </c>
      <c r="F424" s="177" t="str">
        <f t="shared" si="37"/>
        <v/>
      </c>
      <c r="G424" s="179">
        <f>SUMIFS('עלויות כח אדם (6)'!M:M,'עלויות כח אדם (6)'!B:B,' איוש משרות (8)'!C424,'עלויות כח אדם (6)'!N:N,"רכ")</f>
        <v>0</v>
      </c>
      <c r="H424" s="179">
        <f>IFERROR(VLOOKUP(P424,'עלויות כח אדם (6)'!$AE$16:$AF$3014,2,0),0)</f>
        <v>0</v>
      </c>
      <c r="I424" s="178">
        <f t="shared" si="40"/>
        <v>0</v>
      </c>
      <c r="J424" s="178">
        <f t="shared" si="41"/>
        <v>0</v>
      </c>
      <c r="K424" s="179" t="str">
        <f t="shared" si="38"/>
        <v/>
      </c>
      <c r="L424" s="718"/>
      <c r="M424" s="180" t="str">
        <f t="shared" si="42"/>
        <v/>
      </c>
      <c r="N424" s="531">
        <f t="shared" si="39"/>
        <v>0</v>
      </c>
      <c r="O424" s="531" t="str">
        <f>IF(C424&lt;&gt;"",C424&amp;'סיווג התפקידים והעלויות'!$C$2,"")</f>
        <v/>
      </c>
      <c r="P424" s="531" t="str">
        <f>IF(C424&lt;&gt;"",C424&amp;'סיווג התפקידים והעלויות'!$D$2,"")</f>
        <v/>
      </c>
    </row>
    <row r="425" spans="2:16" ht="15.75" x14ac:dyDescent="0.25">
      <c r="B425" s="57">
        <v>410</v>
      </c>
      <c r="C425" s="176" t="str">
        <f>IF(VLOOKUP(B425,'דוח ביצוע (3)'!$A$21:$B$520,2,0)="","",VLOOKUP(B425,'דוח ביצוע (3)'!$A$21:$B$520,2,0))</f>
        <v/>
      </c>
      <c r="D425" s="177" t="str">
        <f>IFERROR(VLOOKUP($C:$C,'מצבת והרשמה (2)'!$C$20:$N$520,2,0)," ")</f>
        <v/>
      </c>
      <c r="E425" s="177" t="str">
        <f>IFERROR(VLOOKUP(C425,'דוח ביצוע (3)'!B:V,5,0)," ")</f>
        <v xml:space="preserve"> </v>
      </c>
      <c r="F425" s="177" t="str">
        <f t="shared" si="37"/>
        <v/>
      </c>
      <c r="G425" s="179">
        <f>SUMIFS('עלויות כח אדם (6)'!M:M,'עלויות כח אדם (6)'!B:B,' איוש משרות (8)'!C425,'עלויות כח אדם (6)'!N:N,"רכ")</f>
        <v>0</v>
      </c>
      <c r="H425" s="179">
        <f>IFERROR(VLOOKUP(P425,'עלויות כח אדם (6)'!$AE$16:$AF$3014,2,0),0)</f>
        <v>0</v>
      </c>
      <c r="I425" s="178">
        <f t="shared" si="40"/>
        <v>0</v>
      </c>
      <c r="J425" s="178">
        <f t="shared" si="41"/>
        <v>0</v>
      </c>
      <c r="K425" s="179" t="str">
        <f t="shared" si="38"/>
        <v/>
      </c>
      <c r="L425" s="718"/>
      <c r="M425" s="180" t="str">
        <f t="shared" si="42"/>
        <v/>
      </c>
      <c r="N425" s="531">
        <f t="shared" si="39"/>
        <v>0</v>
      </c>
      <c r="O425" s="531" t="str">
        <f>IF(C425&lt;&gt;"",C425&amp;'סיווג התפקידים והעלויות'!$C$2,"")</f>
        <v/>
      </c>
      <c r="P425" s="531" t="str">
        <f>IF(C425&lt;&gt;"",C425&amp;'סיווג התפקידים והעלויות'!$D$2,"")</f>
        <v/>
      </c>
    </row>
    <row r="426" spans="2:16" ht="15.75" x14ac:dyDescent="0.25">
      <c r="B426" s="176">
        <v>411</v>
      </c>
      <c r="C426" s="176" t="str">
        <f>IF(VLOOKUP(B426,'דוח ביצוע (3)'!$A$21:$B$520,2,0)="","",VLOOKUP(B426,'דוח ביצוע (3)'!$A$21:$B$520,2,0))</f>
        <v/>
      </c>
      <c r="D426" s="177" t="str">
        <f>IFERROR(VLOOKUP($C:$C,'מצבת והרשמה (2)'!$C$20:$N$520,2,0)," ")</f>
        <v/>
      </c>
      <c r="E426" s="177" t="str">
        <f>IFERROR(VLOOKUP(C426,'דוח ביצוע (3)'!B:V,5,0)," ")</f>
        <v xml:space="preserve"> </v>
      </c>
      <c r="F426" s="177" t="str">
        <f t="shared" si="37"/>
        <v/>
      </c>
      <c r="G426" s="179">
        <f>SUMIFS('עלויות כח אדם (6)'!M:M,'עלויות כח אדם (6)'!B:B,' איוש משרות (8)'!C426,'עלויות כח אדם (6)'!N:N,"רכ")</f>
        <v>0</v>
      </c>
      <c r="H426" s="179">
        <f>IFERROR(VLOOKUP(P426,'עלויות כח אדם (6)'!$AE$16:$AF$3014,2,0),0)</f>
        <v>0</v>
      </c>
      <c r="I426" s="178">
        <f t="shared" si="40"/>
        <v>0</v>
      </c>
      <c r="J426" s="178">
        <f t="shared" si="41"/>
        <v>0</v>
      </c>
      <c r="K426" s="179" t="str">
        <f t="shared" si="38"/>
        <v/>
      </c>
      <c r="L426" s="718"/>
      <c r="M426" s="180" t="str">
        <f t="shared" si="42"/>
        <v/>
      </c>
      <c r="N426" s="531">
        <f t="shared" si="39"/>
        <v>0</v>
      </c>
      <c r="O426" s="531" t="str">
        <f>IF(C426&lt;&gt;"",C426&amp;'סיווג התפקידים והעלויות'!$C$2,"")</f>
        <v/>
      </c>
      <c r="P426" s="531" t="str">
        <f>IF(C426&lt;&gt;"",C426&amp;'סיווג התפקידים והעלויות'!$D$2,"")</f>
        <v/>
      </c>
    </row>
    <row r="427" spans="2:16" ht="15.75" x14ac:dyDescent="0.25">
      <c r="B427" s="57">
        <v>412</v>
      </c>
      <c r="C427" s="176" t="str">
        <f>IF(VLOOKUP(B427,'דוח ביצוע (3)'!$A$21:$B$520,2,0)="","",VLOOKUP(B427,'דוח ביצוע (3)'!$A$21:$B$520,2,0))</f>
        <v/>
      </c>
      <c r="D427" s="177" t="str">
        <f>IFERROR(VLOOKUP($C:$C,'מצבת והרשמה (2)'!$C$20:$N$520,2,0)," ")</f>
        <v/>
      </c>
      <c r="E427" s="177" t="str">
        <f>IFERROR(VLOOKUP(C427,'דוח ביצוע (3)'!B:V,5,0)," ")</f>
        <v xml:space="preserve"> </v>
      </c>
      <c r="F427" s="177" t="str">
        <f t="shared" si="37"/>
        <v/>
      </c>
      <c r="G427" s="179">
        <f>SUMIFS('עלויות כח אדם (6)'!M:M,'עלויות כח אדם (6)'!B:B,' איוש משרות (8)'!C427,'עלויות כח אדם (6)'!N:N,"רכ")</f>
        <v>0</v>
      </c>
      <c r="H427" s="179">
        <f>IFERROR(VLOOKUP(P427,'עלויות כח אדם (6)'!$AE$16:$AF$3014,2,0),0)</f>
        <v>0</v>
      </c>
      <c r="I427" s="178">
        <f t="shared" si="40"/>
        <v>0</v>
      </c>
      <c r="J427" s="178">
        <f t="shared" si="41"/>
        <v>0</v>
      </c>
      <c r="K427" s="179" t="str">
        <f t="shared" si="38"/>
        <v/>
      </c>
      <c r="L427" s="718"/>
      <c r="M427" s="180" t="str">
        <f t="shared" si="42"/>
        <v/>
      </c>
      <c r="N427" s="531">
        <f t="shared" si="39"/>
        <v>0</v>
      </c>
      <c r="O427" s="531" t="str">
        <f>IF(C427&lt;&gt;"",C427&amp;'סיווג התפקידים והעלויות'!$C$2,"")</f>
        <v/>
      </c>
      <c r="P427" s="531" t="str">
        <f>IF(C427&lt;&gt;"",C427&amp;'סיווג התפקידים והעלויות'!$D$2,"")</f>
        <v/>
      </c>
    </row>
    <row r="428" spans="2:16" ht="15.75" x14ac:dyDescent="0.25">
      <c r="B428" s="176">
        <v>413</v>
      </c>
      <c r="C428" s="176" t="str">
        <f>IF(VLOOKUP(B428,'דוח ביצוע (3)'!$A$21:$B$520,2,0)="","",VLOOKUP(B428,'דוח ביצוע (3)'!$A$21:$B$520,2,0))</f>
        <v/>
      </c>
      <c r="D428" s="177" t="str">
        <f>IFERROR(VLOOKUP($C:$C,'מצבת והרשמה (2)'!$C$20:$N$520,2,0)," ")</f>
        <v/>
      </c>
      <c r="E428" s="177" t="str">
        <f>IFERROR(VLOOKUP(C428,'דוח ביצוע (3)'!B:V,5,0)," ")</f>
        <v xml:space="preserve"> </v>
      </c>
      <c r="F428" s="177" t="str">
        <f t="shared" si="37"/>
        <v/>
      </c>
      <c r="G428" s="179">
        <f>SUMIFS('עלויות כח אדם (6)'!M:M,'עלויות כח אדם (6)'!B:B,' איוש משרות (8)'!C428,'עלויות כח אדם (6)'!N:N,"רכ")</f>
        <v>0</v>
      </c>
      <c r="H428" s="179">
        <f>IFERROR(VLOOKUP(P428,'עלויות כח אדם (6)'!$AE$16:$AF$3014,2,0),0)</f>
        <v>0</v>
      </c>
      <c r="I428" s="178">
        <f t="shared" si="40"/>
        <v>0</v>
      </c>
      <c r="J428" s="178">
        <f t="shared" si="41"/>
        <v>0</v>
      </c>
      <c r="K428" s="179" t="str">
        <f t="shared" si="38"/>
        <v/>
      </c>
      <c r="L428" s="718"/>
      <c r="M428" s="180" t="str">
        <f t="shared" si="42"/>
        <v/>
      </c>
      <c r="N428" s="531">
        <f t="shared" si="39"/>
        <v>0</v>
      </c>
      <c r="O428" s="531" t="str">
        <f>IF(C428&lt;&gt;"",C428&amp;'סיווג התפקידים והעלויות'!$C$2,"")</f>
        <v/>
      </c>
      <c r="P428" s="531" t="str">
        <f>IF(C428&lt;&gt;"",C428&amp;'סיווג התפקידים והעלויות'!$D$2,"")</f>
        <v/>
      </c>
    </row>
    <row r="429" spans="2:16" ht="15.75" x14ac:dyDescent="0.25">
      <c r="B429" s="57">
        <v>414</v>
      </c>
      <c r="C429" s="176" t="str">
        <f>IF(VLOOKUP(B429,'דוח ביצוע (3)'!$A$21:$B$520,2,0)="","",VLOOKUP(B429,'דוח ביצוע (3)'!$A$21:$B$520,2,0))</f>
        <v/>
      </c>
      <c r="D429" s="177" t="str">
        <f>IFERROR(VLOOKUP($C:$C,'מצבת והרשמה (2)'!$C$20:$N$520,2,0)," ")</f>
        <v/>
      </c>
      <c r="E429" s="177" t="str">
        <f>IFERROR(VLOOKUP(C429,'דוח ביצוע (3)'!B:V,5,0)," ")</f>
        <v xml:space="preserve"> </v>
      </c>
      <c r="F429" s="177" t="str">
        <f t="shared" si="37"/>
        <v/>
      </c>
      <c r="G429" s="179">
        <f>SUMIFS('עלויות כח אדם (6)'!M:M,'עלויות כח אדם (6)'!B:B,' איוש משרות (8)'!C429,'עלויות כח אדם (6)'!N:N,"רכ")</f>
        <v>0</v>
      </c>
      <c r="H429" s="179">
        <f>IFERROR(VLOOKUP(P429,'עלויות כח אדם (6)'!$AE$16:$AF$3014,2,0),0)</f>
        <v>0</v>
      </c>
      <c r="I429" s="178">
        <f t="shared" si="40"/>
        <v>0</v>
      </c>
      <c r="J429" s="178">
        <f t="shared" si="41"/>
        <v>0</v>
      </c>
      <c r="K429" s="179" t="str">
        <f t="shared" si="38"/>
        <v/>
      </c>
      <c r="L429" s="718"/>
      <c r="M429" s="180" t="str">
        <f t="shared" si="42"/>
        <v/>
      </c>
      <c r="N429" s="531">
        <f t="shared" si="39"/>
        <v>0</v>
      </c>
      <c r="O429" s="531" t="str">
        <f>IF(C429&lt;&gt;"",C429&amp;'סיווג התפקידים והעלויות'!$C$2,"")</f>
        <v/>
      </c>
      <c r="P429" s="531" t="str">
        <f>IF(C429&lt;&gt;"",C429&amp;'סיווג התפקידים והעלויות'!$D$2,"")</f>
        <v/>
      </c>
    </row>
    <row r="430" spans="2:16" ht="15.75" x14ac:dyDescent="0.25">
      <c r="B430" s="176">
        <v>415</v>
      </c>
      <c r="C430" s="176" t="str">
        <f>IF(VLOOKUP(B430,'דוח ביצוע (3)'!$A$21:$B$520,2,0)="","",VLOOKUP(B430,'דוח ביצוע (3)'!$A$21:$B$520,2,0))</f>
        <v/>
      </c>
      <c r="D430" s="177" t="str">
        <f>IFERROR(VLOOKUP($C:$C,'מצבת והרשמה (2)'!$C$20:$N$520,2,0)," ")</f>
        <v/>
      </c>
      <c r="E430" s="177" t="str">
        <f>IFERROR(VLOOKUP(C430,'דוח ביצוע (3)'!B:V,5,0)," ")</f>
        <v xml:space="preserve"> </v>
      </c>
      <c r="F430" s="177" t="str">
        <f t="shared" si="37"/>
        <v/>
      </c>
      <c r="G430" s="179">
        <f>SUMIFS('עלויות כח אדם (6)'!M:M,'עלויות כח אדם (6)'!B:B,' איוש משרות (8)'!C430,'עלויות כח אדם (6)'!N:N,"רכ")</f>
        <v>0</v>
      </c>
      <c r="H430" s="179">
        <f>IFERROR(VLOOKUP(P430,'עלויות כח אדם (6)'!$AE$16:$AF$3014,2,0),0)</f>
        <v>0</v>
      </c>
      <c r="I430" s="178">
        <f t="shared" si="40"/>
        <v>0</v>
      </c>
      <c r="J430" s="178">
        <f t="shared" si="41"/>
        <v>0</v>
      </c>
      <c r="K430" s="179" t="str">
        <f t="shared" si="38"/>
        <v/>
      </c>
      <c r="L430" s="718"/>
      <c r="M430" s="180" t="str">
        <f t="shared" si="42"/>
        <v/>
      </c>
      <c r="N430" s="531">
        <f t="shared" si="39"/>
        <v>0</v>
      </c>
      <c r="O430" s="531" t="str">
        <f>IF(C430&lt;&gt;"",C430&amp;'סיווג התפקידים והעלויות'!$C$2,"")</f>
        <v/>
      </c>
      <c r="P430" s="531" t="str">
        <f>IF(C430&lt;&gt;"",C430&amp;'סיווג התפקידים והעלויות'!$D$2,"")</f>
        <v/>
      </c>
    </row>
    <row r="431" spans="2:16" ht="15.75" x14ac:dyDescent="0.25">
      <c r="B431" s="57">
        <v>416</v>
      </c>
      <c r="C431" s="176" t="str">
        <f>IF(VLOOKUP(B431,'דוח ביצוע (3)'!$A$21:$B$520,2,0)="","",VLOOKUP(B431,'דוח ביצוע (3)'!$A$21:$B$520,2,0))</f>
        <v/>
      </c>
      <c r="D431" s="177" t="str">
        <f>IFERROR(VLOOKUP($C:$C,'מצבת והרשמה (2)'!$C$20:$N$520,2,0)," ")</f>
        <v/>
      </c>
      <c r="E431" s="177" t="str">
        <f>IFERROR(VLOOKUP(C431,'דוח ביצוע (3)'!B:V,5,0)," ")</f>
        <v xml:space="preserve"> </v>
      </c>
      <c r="F431" s="177" t="str">
        <f t="shared" si="37"/>
        <v/>
      </c>
      <c r="G431" s="179">
        <f>SUMIFS('עלויות כח אדם (6)'!M:M,'עלויות כח אדם (6)'!B:B,' איוש משרות (8)'!C431,'עלויות כח אדם (6)'!N:N,"רכ")</f>
        <v>0</v>
      </c>
      <c r="H431" s="179">
        <f>IFERROR(VLOOKUP(P431,'עלויות כח אדם (6)'!$AE$16:$AF$3014,2,0),0)</f>
        <v>0</v>
      </c>
      <c r="I431" s="178">
        <f t="shared" si="40"/>
        <v>0</v>
      </c>
      <c r="J431" s="178">
        <f t="shared" si="41"/>
        <v>0</v>
      </c>
      <c r="K431" s="179" t="str">
        <f t="shared" si="38"/>
        <v/>
      </c>
      <c r="L431" s="718"/>
      <c r="M431" s="180" t="str">
        <f t="shared" si="42"/>
        <v/>
      </c>
      <c r="N431" s="531">
        <f t="shared" si="39"/>
        <v>0</v>
      </c>
      <c r="O431" s="531" t="str">
        <f>IF(C431&lt;&gt;"",C431&amp;'סיווג התפקידים והעלויות'!$C$2,"")</f>
        <v/>
      </c>
      <c r="P431" s="531" t="str">
        <f>IF(C431&lt;&gt;"",C431&amp;'סיווג התפקידים והעלויות'!$D$2,"")</f>
        <v/>
      </c>
    </row>
    <row r="432" spans="2:16" ht="15.75" x14ac:dyDescent="0.25">
      <c r="B432" s="176">
        <v>417</v>
      </c>
      <c r="C432" s="176" t="str">
        <f>IF(VLOOKUP(B432,'דוח ביצוע (3)'!$A$21:$B$520,2,0)="","",VLOOKUP(B432,'דוח ביצוע (3)'!$A$21:$B$520,2,0))</f>
        <v/>
      </c>
      <c r="D432" s="177" t="str">
        <f>IFERROR(VLOOKUP($C:$C,'מצבת והרשמה (2)'!$C$20:$N$520,2,0)," ")</f>
        <v/>
      </c>
      <c r="E432" s="177" t="str">
        <f>IFERROR(VLOOKUP(C432,'דוח ביצוע (3)'!B:V,5,0)," ")</f>
        <v xml:space="preserve"> </v>
      </c>
      <c r="F432" s="177" t="str">
        <f t="shared" si="37"/>
        <v/>
      </c>
      <c r="G432" s="179">
        <f>SUMIFS('עלויות כח אדם (6)'!M:M,'עלויות כח אדם (6)'!B:B,' איוש משרות (8)'!C432,'עלויות כח אדם (6)'!N:N,"רכ")</f>
        <v>0</v>
      </c>
      <c r="H432" s="179">
        <f>IFERROR(VLOOKUP(P432,'עלויות כח אדם (6)'!$AE$16:$AF$3014,2,0),0)</f>
        <v>0</v>
      </c>
      <c r="I432" s="178">
        <f t="shared" si="40"/>
        <v>0</v>
      </c>
      <c r="J432" s="178">
        <f t="shared" si="41"/>
        <v>0</v>
      </c>
      <c r="K432" s="179" t="str">
        <f t="shared" si="38"/>
        <v/>
      </c>
      <c r="L432" s="718"/>
      <c r="M432" s="180" t="str">
        <f t="shared" si="42"/>
        <v/>
      </c>
      <c r="N432" s="531">
        <f t="shared" si="39"/>
        <v>0</v>
      </c>
      <c r="O432" s="531" t="str">
        <f>IF(C432&lt;&gt;"",C432&amp;'סיווג התפקידים והעלויות'!$C$2,"")</f>
        <v/>
      </c>
      <c r="P432" s="531" t="str">
        <f>IF(C432&lt;&gt;"",C432&amp;'סיווג התפקידים והעלויות'!$D$2,"")</f>
        <v/>
      </c>
    </row>
    <row r="433" spans="2:16" ht="15.75" x14ac:dyDescent="0.25">
      <c r="B433" s="57">
        <v>418</v>
      </c>
      <c r="C433" s="176" t="str">
        <f>IF(VLOOKUP(B433,'דוח ביצוע (3)'!$A$21:$B$520,2,0)="","",VLOOKUP(B433,'דוח ביצוע (3)'!$A$21:$B$520,2,0))</f>
        <v/>
      </c>
      <c r="D433" s="177" t="str">
        <f>IFERROR(VLOOKUP($C:$C,'מצבת והרשמה (2)'!$C$20:$N$520,2,0)," ")</f>
        <v/>
      </c>
      <c r="E433" s="177" t="str">
        <f>IFERROR(VLOOKUP(C433,'דוח ביצוע (3)'!B:V,5,0)," ")</f>
        <v xml:space="preserve"> </v>
      </c>
      <c r="F433" s="177" t="str">
        <f t="shared" si="37"/>
        <v/>
      </c>
      <c r="G433" s="179">
        <f>SUMIFS('עלויות כח אדם (6)'!M:M,'עלויות כח אדם (6)'!B:B,' איוש משרות (8)'!C433,'עלויות כח אדם (6)'!N:N,"רכ")</f>
        <v>0</v>
      </c>
      <c r="H433" s="179">
        <f>IFERROR(VLOOKUP(P433,'עלויות כח אדם (6)'!$AE$16:$AF$3014,2,0),0)</f>
        <v>0</v>
      </c>
      <c r="I433" s="178">
        <f t="shared" si="40"/>
        <v>0</v>
      </c>
      <c r="J433" s="178">
        <f t="shared" si="41"/>
        <v>0</v>
      </c>
      <c r="K433" s="179" t="str">
        <f t="shared" si="38"/>
        <v/>
      </c>
      <c r="L433" s="718"/>
      <c r="M433" s="180" t="str">
        <f t="shared" si="42"/>
        <v/>
      </c>
      <c r="N433" s="531">
        <f t="shared" si="39"/>
        <v>0</v>
      </c>
      <c r="O433" s="531" t="str">
        <f>IF(C433&lt;&gt;"",C433&amp;'סיווג התפקידים והעלויות'!$C$2,"")</f>
        <v/>
      </c>
      <c r="P433" s="531" t="str">
        <f>IF(C433&lt;&gt;"",C433&amp;'סיווג התפקידים והעלויות'!$D$2,"")</f>
        <v/>
      </c>
    </row>
    <row r="434" spans="2:16" ht="15.75" x14ac:dyDescent="0.25">
      <c r="B434" s="176">
        <v>419</v>
      </c>
      <c r="C434" s="176" t="str">
        <f>IF(VLOOKUP(B434,'דוח ביצוע (3)'!$A$21:$B$520,2,0)="","",VLOOKUP(B434,'דוח ביצוע (3)'!$A$21:$B$520,2,0))</f>
        <v/>
      </c>
      <c r="D434" s="177" t="str">
        <f>IFERROR(VLOOKUP($C:$C,'מצבת והרשמה (2)'!$C$20:$N$520,2,0)," ")</f>
        <v/>
      </c>
      <c r="E434" s="177" t="str">
        <f>IFERROR(VLOOKUP(C434,'דוח ביצוע (3)'!B:V,5,0)," ")</f>
        <v xml:space="preserve"> </v>
      </c>
      <c r="F434" s="177" t="str">
        <f t="shared" si="37"/>
        <v/>
      </c>
      <c r="G434" s="179">
        <f>SUMIFS('עלויות כח אדם (6)'!M:M,'עלויות כח אדם (6)'!B:B,' איוש משרות (8)'!C434,'עלויות כח אדם (6)'!N:N,"רכ")</f>
        <v>0</v>
      </c>
      <c r="H434" s="179">
        <f>IFERROR(VLOOKUP(P434,'עלויות כח אדם (6)'!$AE$16:$AF$3014,2,0),0)</f>
        <v>0</v>
      </c>
      <c r="I434" s="178">
        <f t="shared" si="40"/>
        <v>0</v>
      </c>
      <c r="J434" s="178">
        <f t="shared" si="41"/>
        <v>0</v>
      </c>
      <c r="K434" s="179" t="str">
        <f t="shared" si="38"/>
        <v/>
      </c>
      <c r="L434" s="718"/>
      <c r="M434" s="180" t="str">
        <f t="shared" si="42"/>
        <v/>
      </c>
      <c r="N434" s="531">
        <f t="shared" si="39"/>
        <v>0</v>
      </c>
      <c r="O434" s="531" t="str">
        <f>IF(C434&lt;&gt;"",C434&amp;'סיווג התפקידים והעלויות'!$C$2,"")</f>
        <v/>
      </c>
      <c r="P434" s="531" t="str">
        <f>IF(C434&lt;&gt;"",C434&amp;'סיווג התפקידים והעלויות'!$D$2,"")</f>
        <v/>
      </c>
    </row>
    <row r="435" spans="2:16" ht="15.75" x14ac:dyDescent="0.25">
      <c r="B435" s="57">
        <v>420</v>
      </c>
      <c r="C435" s="176" t="str">
        <f>IF(VLOOKUP(B435,'דוח ביצוע (3)'!$A$21:$B$520,2,0)="","",VLOOKUP(B435,'דוח ביצוע (3)'!$A$21:$B$520,2,0))</f>
        <v/>
      </c>
      <c r="D435" s="177" t="str">
        <f>IFERROR(VLOOKUP($C:$C,'מצבת והרשמה (2)'!$C$20:$N$520,2,0)," ")</f>
        <v/>
      </c>
      <c r="E435" s="177" t="str">
        <f>IFERROR(VLOOKUP(C435,'דוח ביצוע (3)'!B:V,5,0)," ")</f>
        <v xml:space="preserve"> </v>
      </c>
      <c r="F435" s="177" t="str">
        <f t="shared" si="37"/>
        <v/>
      </c>
      <c r="G435" s="179">
        <f>SUMIFS('עלויות כח אדם (6)'!M:M,'עלויות כח אדם (6)'!B:B,' איוש משרות (8)'!C435,'עלויות כח אדם (6)'!N:N,"רכ")</f>
        <v>0</v>
      </c>
      <c r="H435" s="179">
        <f>IFERROR(VLOOKUP(P435,'עלויות כח אדם (6)'!$AE$16:$AF$3014,2,0),0)</f>
        <v>0</v>
      </c>
      <c r="I435" s="178">
        <f t="shared" si="40"/>
        <v>0</v>
      </c>
      <c r="J435" s="178">
        <f t="shared" si="41"/>
        <v>0</v>
      </c>
      <c r="K435" s="179" t="str">
        <f t="shared" si="38"/>
        <v/>
      </c>
      <c r="L435" s="718"/>
      <c r="M435" s="180" t="str">
        <f t="shared" si="42"/>
        <v/>
      </c>
      <c r="N435" s="531">
        <f t="shared" si="39"/>
        <v>0</v>
      </c>
      <c r="O435" s="531" t="str">
        <f>IF(C435&lt;&gt;"",C435&amp;'סיווג התפקידים והעלויות'!$C$2,"")</f>
        <v/>
      </c>
      <c r="P435" s="531" t="str">
        <f>IF(C435&lt;&gt;"",C435&amp;'סיווג התפקידים והעלויות'!$D$2,"")</f>
        <v/>
      </c>
    </row>
    <row r="436" spans="2:16" ht="15.75" x14ac:dyDescent="0.25">
      <c r="B436" s="176">
        <v>421</v>
      </c>
      <c r="C436" s="176" t="str">
        <f>IF(VLOOKUP(B436,'דוח ביצוע (3)'!$A$21:$B$520,2,0)="","",VLOOKUP(B436,'דוח ביצוע (3)'!$A$21:$B$520,2,0))</f>
        <v/>
      </c>
      <c r="D436" s="177" t="str">
        <f>IFERROR(VLOOKUP($C:$C,'מצבת והרשמה (2)'!$C$20:$N$520,2,0)," ")</f>
        <v/>
      </c>
      <c r="E436" s="177" t="str">
        <f>IFERROR(VLOOKUP(C436,'דוח ביצוע (3)'!B:V,5,0)," ")</f>
        <v xml:space="preserve"> </v>
      </c>
      <c r="F436" s="177" t="str">
        <f t="shared" si="37"/>
        <v/>
      </c>
      <c r="G436" s="179">
        <f>SUMIFS('עלויות כח אדם (6)'!M:M,'עלויות כח אדם (6)'!B:B,' איוש משרות (8)'!C436,'עלויות כח אדם (6)'!N:N,"רכ")</f>
        <v>0</v>
      </c>
      <c r="H436" s="179">
        <f>IFERROR(VLOOKUP(P436,'עלויות כח אדם (6)'!$AE$16:$AF$3014,2,0),0)</f>
        <v>0</v>
      </c>
      <c r="I436" s="178">
        <f t="shared" si="40"/>
        <v>0</v>
      </c>
      <c r="J436" s="178">
        <f t="shared" si="41"/>
        <v>0</v>
      </c>
      <c r="K436" s="179" t="str">
        <f t="shared" si="38"/>
        <v/>
      </c>
      <c r="L436" s="718"/>
      <c r="M436" s="180" t="str">
        <f t="shared" si="42"/>
        <v/>
      </c>
      <c r="N436" s="531">
        <f t="shared" si="39"/>
        <v>0</v>
      </c>
      <c r="O436" s="531" t="str">
        <f>IF(C436&lt;&gt;"",C436&amp;'סיווג התפקידים והעלויות'!$C$2,"")</f>
        <v/>
      </c>
      <c r="P436" s="531" t="str">
        <f>IF(C436&lt;&gt;"",C436&amp;'סיווג התפקידים והעלויות'!$D$2,"")</f>
        <v/>
      </c>
    </row>
    <row r="437" spans="2:16" ht="15.75" x14ac:dyDescent="0.25">
      <c r="B437" s="57">
        <v>422</v>
      </c>
      <c r="C437" s="176" t="str">
        <f>IF(VLOOKUP(B437,'דוח ביצוע (3)'!$A$21:$B$520,2,0)="","",VLOOKUP(B437,'דוח ביצוע (3)'!$A$21:$B$520,2,0))</f>
        <v/>
      </c>
      <c r="D437" s="177" t="str">
        <f>IFERROR(VLOOKUP($C:$C,'מצבת והרשמה (2)'!$C$20:$N$520,2,0)," ")</f>
        <v/>
      </c>
      <c r="E437" s="177" t="str">
        <f>IFERROR(VLOOKUP(C437,'דוח ביצוע (3)'!B:V,5,0)," ")</f>
        <v xml:space="preserve"> </v>
      </c>
      <c r="F437" s="177" t="str">
        <f t="shared" si="37"/>
        <v/>
      </c>
      <c r="G437" s="179">
        <f>SUMIFS('עלויות כח אדם (6)'!M:M,'עלויות כח אדם (6)'!B:B,' איוש משרות (8)'!C437,'עלויות כח אדם (6)'!N:N,"רכ")</f>
        <v>0</v>
      </c>
      <c r="H437" s="179">
        <f>IFERROR(VLOOKUP(P437,'עלויות כח אדם (6)'!$AE$16:$AF$3014,2,0),0)</f>
        <v>0</v>
      </c>
      <c r="I437" s="178">
        <f t="shared" si="40"/>
        <v>0</v>
      </c>
      <c r="J437" s="178">
        <f t="shared" si="41"/>
        <v>0</v>
      </c>
      <c r="K437" s="179" t="str">
        <f t="shared" si="38"/>
        <v/>
      </c>
      <c r="L437" s="718"/>
      <c r="M437" s="180" t="str">
        <f t="shared" si="42"/>
        <v/>
      </c>
      <c r="N437" s="531">
        <f t="shared" si="39"/>
        <v>0</v>
      </c>
      <c r="O437" s="531" t="str">
        <f>IF(C437&lt;&gt;"",C437&amp;'סיווג התפקידים והעלויות'!$C$2,"")</f>
        <v/>
      </c>
      <c r="P437" s="531" t="str">
        <f>IF(C437&lt;&gt;"",C437&amp;'סיווג התפקידים והעלויות'!$D$2,"")</f>
        <v/>
      </c>
    </row>
    <row r="438" spans="2:16" ht="15.75" x14ac:dyDescent="0.25">
      <c r="B438" s="176">
        <v>423</v>
      </c>
      <c r="C438" s="176" t="str">
        <f>IF(VLOOKUP(B438,'דוח ביצוע (3)'!$A$21:$B$520,2,0)="","",VLOOKUP(B438,'דוח ביצוע (3)'!$A$21:$B$520,2,0))</f>
        <v/>
      </c>
      <c r="D438" s="177" t="str">
        <f>IFERROR(VLOOKUP($C:$C,'מצבת והרשמה (2)'!$C$20:$N$520,2,0)," ")</f>
        <v/>
      </c>
      <c r="E438" s="177" t="str">
        <f>IFERROR(VLOOKUP(C438,'דוח ביצוע (3)'!B:V,5,0)," ")</f>
        <v xml:space="preserve"> </v>
      </c>
      <c r="F438" s="177" t="str">
        <f t="shared" si="37"/>
        <v/>
      </c>
      <c r="G438" s="179">
        <f>SUMIFS('עלויות כח אדם (6)'!M:M,'עלויות כח אדם (6)'!B:B,' איוש משרות (8)'!C438,'עלויות כח אדם (6)'!N:N,"רכ")</f>
        <v>0</v>
      </c>
      <c r="H438" s="179">
        <f>IFERROR(VLOOKUP(P438,'עלויות כח אדם (6)'!$AE$16:$AF$3014,2,0),0)</f>
        <v>0</v>
      </c>
      <c r="I438" s="178">
        <f t="shared" si="40"/>
        <v>0</v>
      </c>
      <c r="J438" s="178">
        <f t="shared" si="41"/>
        <v>0</v>
      </c>
      <c r="K438" s="179" t="str">
        <f t="shared" si="38"/>
        <v/>
      </c>
      <c r="L438" s="718"/>
      <c r="M438" s="180" t="str">
        <f t="shared" si="42"/>
        <v/>
      </c>
      <c r="N438" s="531">
        <f t="shared" si="39"/>
        <v>0</v>
      </c>
      <c r="O438" s="531" t="str">
        <f>IF(C438&lt;&gt;"",C438&amp;'סיווג התפקידים והעלויות'!$C$2,"")</f>
        <v/>
      </c>
      <c r="P438" s="531" t="str">
        <f>IF(C438&lt;&gt;"",C438&amp;'סיווג התפקידים והעלויות'!$D$2,"")</f>
        <v/>
      </c>
    </row>
    <row r="439" spans="2:16" ht="15.75" x14ac:dyDescent="0.25">
      <c r="B439" s="57">
        <v>424</v>
      </c>
      <c r="C439" s="176" t="str">
        <f>IF(VLOOKUP(B439,'דוח ביצוע (3)'!$A$21:$B$520,2,0)="","",VLOOKUP(B439,'דוח ביצוע (3)'!$A$21:$B$520,2,0))</f>
        <v/>
      </c>
      <c r="D439" s="177" t="str">
        <f>IFERROR(VLOOKUP($C:$C,'מצבת והרשמה (2)'!$C$20:$N$520,2,0)," ")</f>
        <v/>
      </c>
      <c r="E439" s="177" t="str">
        <f>IFERROR(VLOOKUP(C439,'דוח ביצוע (3)'!B:V,5,0)," ")</f>
        <v xml:space="preserve"> </v>
      </c>
      <c r="F439" s="177" t="str">
        <f t="shared" si="37"/>
        <v/>
      </c>
      <c r="G439" s="179">
        <f>SUMIFS('עלויות כח אדם (6)'!M:M,'עלויות כח אדם (6)'!B:B,' איוש משרות (8)'!C439,'עלויות כח אדם (6)'!N:N,"רכ")</f>
        <v>0</v>
      </c>
      <c r="H439" s="179">
        <f>IFERROR(VLOOKUP(P439,'עלויות כח אדם (6)'!$AE$16:$AF$3014,2,0),0)</f>
        <v>0</v>
      </c>
      <c r="I439" s="178">
        <f t="shared" si="40"/>
        <v>0</v>
      </c>
      <c r="J439" s="178">
        <f t="shared" si="41"/>
        <v>0</v>
      </c>
      <c r="K439" s="179" t="str">
        <f t="shared" si="38"/>
        <v/>
      </c>
      <c r="L439" s="718"/>
      <c r="M439" s="180" t="str">
        <f t="shared" si="42"/>
        <v/>
      </c>
      <c r="N439" s="531">
        <f t="shared" si="39"/>
        <v>0</v>
      </c>
      <c r="O439" s="531" t="str">
        <f>IF(C439&lt;&gt;"",C439&amp;'סיווג התפקידים והעלויות'!$C$2,"")</f>
        <v/>
      </c>
      <c r="P439" s="531" t="str">
        <f>IF(C439&lt;&gt;"",C439&amp;'סיווג התפקידים והעלויות'!$D$2,"")</f>
        <v/>
      </c>
    </row>
    <row r="440" spans="2:16" ht="15.75" x14ac:dyDescent="0.25">
      <c r="B440" s="176">
        <v>425</v>
      </c>
      <c r="C440" s="176" t="str">
        <f>IF(VLOOKUP(B440,'דוח ביצוע (3)'!$A$21:$B$520,2,0)="","",VLOOKUP(B440,'דוח ביצוע (3)'!$A$21:$B$520,2,0))</f>
        <v/>
      </c>
      <c r="D440" s="177" t="str">
        <f>IFERROR(VLOOKUP($C:$C,'מצבת והרשמה (2)'!$C$20:$N$520,2,0)," ")</f>
        <v/>
      </c>
      <c r="E440" s="177" t="str">
        <f>IFERROR(VLOOKUP(C440,'דוח ביצוע (3)'!B:V,5,0)," ")</f>
        <v xml:space="preserve"> </v>
      </c>
      <c r="F440" s="177" t="str">
        <f t="shared" si="37"/>
        <v/>
      </c>
      <c r="G440" s="179">
        <f>SUMIFS('עלויות כח אדם (6)'!M:M,'עלויות כח אדם (6)'!B:B,' איוש משרות (8)'!C440,'עלויות כח אדם (6)'!N:N,"רכ")</f>
        <v>0</v>
      </c>
      <c r="H440" s="179">
        <f>IFERROR(VLOOKUP(P440,'עלויות כח אדם (6)'!$AE$16:$AF$3014,2,0),0)</f>
        <v>0</v>
      </c>
      <c r="I440" s="178">
        <f t="shared" si="40"/>
        <v>0</v>
      </c>
      <c r="J440" s="178">
        <f t="shared" si="41"/>
        <v>0</v>
      </c>
      <c r="K440" s="179" t="str">
        <f t="shared" si="38"/>
        <v/>
      </c>
      <c r="L440" s="718"/>
      <c r="M440" s="180" t="str">
        <f t="shared" si="42"/>
        <v/>
      </c>
      <c r="N440" s="531">
        <f t="shared" si="39"/>
        <v>0</v>
      </c>
      <c r="O440" s="531" t="str">
        <f>IF(C440&lt;&gt;"",C440&amp;'סיווג התפקידים והעלויות'!$C$2,"")</f>
        <v/>
      </c>
      <c r="P440" s="531" t="str">
        <f>IF(C440&lt;&gt;"",C440&amp;'סיווג התפקידים והעלויות'!$D$2,"")</f>
        <v/>
      </c>
    </row>
    <row r="441" spans="2:16" ht="15.75" x14ac:dyDescent="0.25">
      <c r="B441" s="57">
        <v>426</v>
      </c>
      <c r="C441" s="176" t="str">
        <f>IF(VLOOKUP(B441,'דוח ביצוע (3)'!$A$21:$B$520,2,0)="","",VLOOKUP(B441,'דוח ביצוע (3)'!$A$21:$B$520,2,0))</f>
        <v/>
      </c>
      <c r="D441" s="177" t="str">
        <f>IFERROR(VLOOKUP($C:$C,'מצבת והרשמה (2)'!$C$20:$N$520,2,0)," ")</f>
        <v/>
      </c>
      <c r="E441" s="177" t="str">
        <f>IFERROR(VLOOKUP(C441,'דוח ביצוע (3)'!B:V,5,0)," ")</f>
        <v xml:space="preserve"> </v>
      </c>
      <c r="F441" s="177" t="str">
        <f t="shared" si="37"/>
        <v/>
      </c>
      <c r="G441" s="179">
        <f>SUMIFS('עלויות כח אדם (6)'!M:M,'עלויות כח אדם (6)'!B:B,' איוש משרות (8)'!C441,'עלויות כח אדם (6)'!N:N,"רכ")</f>
        <v>0</v>
      </c>
      <c r="H441" s="179">
        <f>IFERROR(VLOOKUP(P441,'עלויות כח אדם (6)'!$AE$16:$AF$3014,2,0),0)</f>
        <v>0</v>
      </c>
      <c r="I441" s="178">
        <f t="shared" si="40"/>
        <v>0</v>
      </c>
      <c r="J441" s="178">
        <f t="shared" si="41"/>
        <v>0</v>
      </c>
      <c r="K441" s="179" t="str">
        <f t="shared" si="38"/>
        <v/>
      </c>
      <c r="L441" s="718"/>
      <c r="M441" s="180" t="str">
        <f t="shared" si="42"/>
        <v/>
      </c>
      <c r="N441" s="531">
        <f t="shared" si="39"/>
        <v>0</v>
      </c>
      <c r="O441" s="531" t="str">
        <f>IF(C441&lt;&gt;"",C441&amp;'סיווג התפקידים והעלויות'!$C$2,"")</f>
        <v/>
      </c>
      <c r="P441" s="531" t="str">
        <f>IF(C441&lt;&gt;"",C441&amp;'סיווג התפקידים והעלויות'!$D$2,"")</f>
        <v/>
      </c>
    </row>
    <row r="442" spans="2:16" ht="15.75" x14ac:dyDescent="0.25">
      <c r="B442" s="176">
        <v>427</v>
      </c>
      <c r="C442" s="176" t="str">
        <f>IF(VLOOKUP(B442,'דוח ביצוע (3)'!$A$21:$B$520,2,0)="","",VLOOKUP(B442,'דוח ביצוע (3)'!$A$21:$B$520,2,0))</f>
        <v/>
      </c>
      <c r="D442" s="177" t="str">
        <f>IFERROR(VLOOKUP($C:$C,'מצבת והרשמה (2)'!$C$20:$N$520,2,0)," ")</f>
        <v/>
      </c>
      <c r="E442" s="177" t="str">
        <f>IFERROR(VLOOKUP(C442,'דוח ביצוע (3)'!B:V,5,0)," ")</f>
        <v xml:space="preserve"> </v>
      </c>
      <c r="F442" s="177" t="str">
        <f t="shared" si="37"/>
        <v/>
      </c>
      <c r="G442" s="179">
        <f>SUMIFS('עלויות כח אדם (6)'!M:M,'עלויות כח אדם (6)'!B:B,' איוש משרות (8)'!C442,'עלויות כח אדם (6)'!N:N,"רכ")</f>
        <v>0</v>
      </c>
      <c r="H442" s="179">
        <f>IFERROR(VLOOKUP(P442,'עלויות כח אדם (6)'!$AE$16:$AF$3014,2,0),0)</f>
        <v>0</v>
      </c>
      <c r="I442" s="178">
        <f t="shared" si="40"/>
        <v>0</v>
      </c>
      <c r="J442" s="178">
        <f t="shared" si="41"/>
        <v>0</v>
      </c>
      <c r="K442" s="179" t="str">
        <f t="shared" si="38"/>
        <v/>
      </c>
      <c r="L442" s="718"/>
      <c r="M442" s="180" t="str">
        <f t="shared" si="42"/>
        <v/>
      </c>
      <c r="N442" s="531">
        <f t="shared" si="39"/>
        <v>0</v>
      </c>
      <c r="O442" s="531" t="str">
        <f>IF(C442&lt;&gt;"",C442&amp;'סיווג התפקידים והעלויות'!$C$2,"")</f>
        <v/>
      </c>
      <c r="P442" s="531" t="str">
        <f>IF(C442&lt;&gt;"",C442&amp;'סיווג התפקידים והעלויות'!$D$2,"")</f>
        <v/>
      </c>
    </row>
    <row r="443" spans="2:16" ht="15.75" x14ac:dyDescent="0.25">
      <c r="B443" s="57">
        <v>428</v>
      </c>
      <c r="C443" s="176" t="str">
        <f>IF(VLOOKUP(B443,'דוח ביצוע (3)'!$A$21:$B$520,2,0)="","",VLOOKUP(B443,'דוח ביצוע (3)'!$A$21:$B$520,2,0))</f>
        <v/>
      </c>
      <c r="D443" s="177" t="str">
        <f>IFERROR(VLOOKUP($C:$C,'מצבת והרשמה (2)'!$C$20:$N$520,2,0)," ")</f>
        <v/>
      </c>
      <c r="E443" s="177" t="str">
        <f>IFERROR(VLOOKUP(C443,'דוח ביצוע (3)'!B:V,5,0)," ")</f>
        <v xml:space="preserve"> </v>
      </c>
      <c r="F443" s="177" t="str">
        <f t="shared" si="37"/>
        <v/>
      </c>
      <c r="G443" s="179">
        <f>SUMIFS('עלויות כח אדם (6)'!M:M,'עלויות כח אדם (6)'!B:B,' איוש משרות (8)'!C443,'עלויות כח אדם (6)'!N:N,"רכ")</f>
        <v>0</v>
      </c>
      <c r="H443" s="179">
        <f>IFERROR(VLOOKUP(P443,'עלויות כח אדם (6)'!$AE$16:$AF$3014,2,0),0)</f>
        <v>0</v>
      </c>
      <c r="I443" s="178">
        <f t="shared" si="40"/>
        <v>0</v>
      </c>
      <c r="J443" s="178">
        <f t="shared" si="41"/>
        <v>0</v>
      </c>
      <c r="K443" s="179" t="str">
        <f t="shared" si="38"/>
        <v/>
      </c>
      <c r="L443" s="718"/>
      <c r="M443" s="180" t="str">
        <f t="shared" si="42"/>
        <v/>
      </c>
      <c r="N443" s="531">
        <f t="shared" si="39"/>
        <v>0</v>
      </c>
      <c r="O443" s="531" t="str">
        <f>IF(C443&lt;&gt;"",C443&amp;'סיווג התפקידים והעלויות'!$C$2,"")</f>
        <v/>
      </c>
      <c r="P443" s="531" t="str">
        <f>IF(C443&lt;&gt;"",C443&amp;'סיווג התפקידים והעלויות'!$D$2,"")</f>
        <v/>
      </c>
    </row>
    <row r="444" spans="2:16" ht="15.75" x14ac:dyDescent="0.25">
      <c r="B444" s="176">
        <v>429</v>
      </c>
      <c r="C444" s="176" t="str">
        <f>IF(VLOOKUP(B444,'דוח ביצוע (3)'!$A$21:$B$520,2,0)="","",VLOOKUP(B444,'דוח ביצוע (3)'!$A$21:$B$520,2,0))</f>
        <v/>
      </c>
      <c r="D444" s="177" t="str">
        <f>IFERROR(VLOOKUP($C:$C,'מצבת והרשמה (2)'!$C$20:$N$520,2,0)," ")</f>
        <v/>
      </c>
      <c r="E444" s="177" t="str">
        <f>IFERROR(VLOOKUP(C444,'דוח ביצוע (3)'!B:V,5,0)," ")</f>
        <v xml:space="preserve"> </v>
      </c>
      <c r="F444" s="177" t="str">
        <f t="shared" si="37"/>
        <v/>
      </c>
      <c r="G444" s="179">
        <f>SUMIFS('עלויות כח אדם (6)'!M:M,'עלויות כח אדם (6)'!B:B,' איוש משרות (8)'!C444,'עלויות כח אדם (6)'!N:N,"רכ")</f>
        <v>0</v>
      </c>
      <c r="H444" s="179">
        <f>IFERROR(VLOOKUP(P444,'עלויות כח אדם (6)'!$AE$16:$AF$3014,2,0),0)</f>
        <v>0</v>
      </c>
      <c r="I444" s="178">
        <f t="shared" si="40"/>
        <v>0</v>
      </c>
      <c r="J444" s="178">
        <f t="shared" si="41"/>
        <v>0</v>
      </c>
      <c r="K444" s="179" t="str">
        <f t="shared" si="38"/>
        <v/>
      </c>
      <c r="L444" s="718"/>
      <c r="M444" s="180" t="str">
        <f t="shared" si="42"/>
        <v/>
      </c>
      <c r="N444" s="531">
        <f t="shared" si="39"/>
        <v>0</v>
      </c>
      <c r="O444" s="531" t="str">
        <f>IF(C444&lt;&gt;"",C444&amp;'סיווג התפקידים והעלויות'!$C$2,"")</f>
        <v/>
      </c>
      <c r="P444" s="531" t="str">
        <f>IF(C444&lt;&gt;"",C444&amp;'סיווג התפקידים והעלויות'!$D$2,"")</f>
        <v/>
      </c>
    </row>
    <row r="445" spans="2:16" ht="15.75" x14ac:dyDescent="0.25">
      <c r="B445" s="57">
        <v>430</v>
      </c>
      <c r="C445" s="176" t="str">
        <f>IF(VLOOKUP(B445,'דוח ביצוע (3)'!$A$21:$B$520,2,0)="","",VLOOKUP(B445,'דוח ביצוע (3)'!$A$21:$B$520,2,0))</f>
        <v/>
      </c>
      <c r="D445" s="177" t="str">
        <f>IFERROR(VLOOKUP($C:$C,'מצבת והרשמה (2)'!$C$20:$N$520,2,0)," ")</f>
        <v/>
      </c>
      <c r="E445" s="177" t="str">
        <f>IFERROR(VLOOKUP(C445,'דוח ביצוע (3)'!B:V,5,0)," ")</f>
        <v xml:space="preserve"> </v>
      </c>
      <c r="F445" s="177" t="str">
        <f t="shared" si="37"/>
        <v/>
      </c>
      <c r="G445" s="179">
        <f>SUMIFS('עלויות כח אדם (6)'!M:M,'עלויות כח אדם (6)'!B:B,' איוש משרות (8)'!C445,'עלויות כח אדם (6)'!N:N,"רכ")</f>
        <v>0</v>
      </c>
      <c r="H445" s="179">
        <f>IFERROR(VLOOKUP(P445,'עלויות כח אדם (6)'!$AE$16:$AF$3014,2,0),0)</f>
        <v>0</v>
      </c>
      <c r="I445" s="178">
        <f t="shared" si="40"/>
        <v>0</v>
      </c>
      <c r="J445" s="178">
        <f t="shared" si="41"/>
        <v>0</v>
      </c>
      <c r="K445" s="179" t="str">
        <f t="shared" si="38"/>
        <v/>
      </c>
      <c r="L445" s="718"/>
      <c r="M445" s="180" t="str">
        <f t="shared" si="42"/>
        <v/>
      </c>
      <c r="N445" s="531">
        <f t="shared" si="39"/>
        <v>0</v>
      </c>
      <c r="O445" s="531" t="str">
        <f>IF(C445&lt;&gt;"",C445&amp;'סיווג התפקידים והעלויות'!$C$2,"")</f>
        <v/>
      </c>
      <c r="P445" s="531" t="str">
        <f>IF(C445&lt;&gt;"",C445&amp;'סיווג התפקידים והעלויות'!$D$2,"")</f>
        <v/>
      </c>
    </row>
    <row r="446" spans="2:16" ht="15.75" x14ac:dyDescent="0.25">
      <c r="B446" s="176">
        <v>431</v>
      </c>
      <c r="C446" s="176" t="str">
        <f>IF(VLOOKUP(B446,'דוח ביצוע (3)'!$A$21:$B$520,2,0)="","",VLOOKUP(B446,'דוח ביצוע (3)'!$A$21:$B$520,2,0))</f>
        <v/>
      </c>
      <c r="D446" s="177" t="str">
        <f>IFERROR(VLOOKUP($C:$C,'מצבת והרשמה (2)'!$C$20:$N$520,2,0)," ")</f>
        <v/>
      </c>
      <c r="E446" s="177" t="str">
        <f>IFERROR(VLOOKUP(C446,'דוח ביצוע (3)'!B:V,5,0)," ")</f>
        <v xml:space="preserve"> </v>
      </c>
      <c r="F446" s="177" t="str">
        <f t="shared" si="37"/>
        <v/>
      </c>
      <c r="G446" s="179">
        <f>SUMIFS('עלויות כח אדם (6)'!M:M,'עלויות כח אדם (6)'!B:B,' איוש משרות (8)'!C446,'עלויות כח אדם (6)'!N:N,"רכ")</f>
        <v>0</v>
      </c>
      <c r="H446" s="179">
        <f>IFERROR(VLOOKUP(P446,'עלויות כח אדם (6)'!$AE$16:$AF$3014,2,0),0)</f>
        <v>0</v>
      </c>
      <c r="I446" s="178">
        <f t="shared" si="40"/>
        <v>0</v>
      </c>
      <c r="J446" s="178">
        <f t="shared" si="41"/>
        <v>0</v>
      </c>
      <c r="K446" s="179" t="str">
        <f t="shared" si="38"/>
        <v/>
      </c>
      <c r="L446" s="718"/>
      <c r="M446" s="180" t="str">
        <f t="shared" si="42"/>
        <v/>
      </c>
      <c r="N446" s="531">
        <f t="shared" si="39"/>
        <v>0</v>
      </c>
      <c r="O446" s="531" t="str">
        <f>IF(C446&lt;&gt;"",C446&amp;'סיווג התפקידים והעלויות'!$C$2,"")</f>
        <v/>
      </c>
      <c r="P446" s="531" t="str">
        <f>IF(C446&lt;&gt;"",C446&amp;'סיווג התפקידים והעלויות'!$D$2,"")</f>
        <v/>
      </c>
    </row>
    <row r="447" spans="2:16" ht="15.75" x14ac:dyDescent="0.25">
      <c r="B447" s="57">
        <v>432</v>
      </c>
      <c r="C447" s="176" t="str">
        <f>IF(VLOOKUP(B447,'דוח ביצוע (3)'!$A$21:$B$520,2,0)="","",VLOOKUP(B447,'דוח ביצוע (3)'!$A$21:$B$520,2,0))</f>
        <v/>
      </c>
      <c r="D447" s="177" t="str">
        <f>IFERROR(VLOOKUP($C:$C,'מצבת והרשמה (2)'!$C$20:$N$520,2,0)," ")</f>
        <v/>
      </c>
      <c r="E447" s="177" t="str">
        <f>IFERROR(VLOOKUP(C447,'דוח ביצוע (3)'!B:V,5,0)," ")</f>
        <v xml:space="preserve"> </v>
      </c>
      <c r="F447" s="177" t="str">
        <f t="shared" si="37"/>
        <v/>
      </c>
      <c r="G447" s="179">
        <f>SUMIFS('עלויות כח אדם (6)'!M:M,'עלויות כח אדם (6)'!B:B,' איוש משרות (8)'!C447,'עלויות כח אדם (6)'!N:N,"רכ")</f>
        <v>0</v>
      </c>
      <c r="H447" s="179">
        <f>IFERROR(VLOOKUP(P447,'עלויות כח אדם (6)'!$AE$16:$AF$3014,2,0),0)</f>
        <v>0</v>
      </c>
      <c r="I447" s="178">
        <f t="shared" si="40"/>
        <v>0</v>
      </c>
      <c r="J447" s="178">
        <f t="shared" si="41"/>
        <v>0</v>
      </c>
      <c r="K447" s="179" t="str">
        <f t="shared" si="38"/>
        <v/>
      </c>
      <c r="L447" s="718"/>
      <c r="M447" s="180" t="str">
        <f t="shared" si="42"/>
        <v/>
      </c>
      <c r="N447" s="531">
        <f t="shared" si="39"/>
        <v>0</v>
      </c>
      <c r="O447" s="531" t="str">
        <f>IF(C447&lt;&gt;"",C447&amp;'סיווג התפקידים והעלויות'!$C$2,"")</f>
        <v/>
      </c>
      <c r="P447" s="531" t="str">
        <f>IF(C447&lt;&gt;"",C447&amp;'סיווג התפקידים והעלויות'!$D$2,"")</f>
        <v/>
      </c>
    </row>
    <row r="448" spans="2:16" ht="15.75" x14ac:dyDescent="0.25">
      <c r="B448" s="176">
        <v>433</v>
      </c>
      <c r="C448" s="176" t="str">
        <f>IF(VLOOKUP(B448,'דוח ביצוע (3)'!$A$21:$B$520,2,0)="","",VLOOKUP(B448,'דוח ביצוע (3)'!$A$21:$B$520,2,0))</f>
        <v/>
      </c>
      <c r="D448" s="177" t="str">
        <f>IFERROR(VLOOKUP($C:$C,'מצבת והרשמה (2)'!$C$20:$N$520,2,0)," ")</f>
        <v/>
      </c>
      <c r="E448" s="177" t="str">
        <f>IFERROR(VLOOKUP(C448,'דוח ביצוע (3)'!B:V,5,0)," ")</f>
        <v xml:space="preserve"> </v>
      </c>
      <c r="F448" s="177" t="str">
        <f t="shared" si="37"/>
        <v/>
      </c>
      <c r="G448" s="179">
        <f>SUMIFS('עלויות כח אדם (6)'!M:M,'עלויות כח אדם (6)'!B:B,' איוש משרות (8)'!C448,'עלויות כח אדם (6)'!N:N,"רכ")</f>
        <v>0</v>
      </c>
      <c r="H448" s="179">
        <f>IFERROR(VLOOKUP(P448,'עלויות כח אדם (6)'!$AE$16:$AF$3014,2,0),0)</f>
        <v>0</v>
      </c>
      <c r="I448" s="178">
        <f t="shared" si="40"/>
        <v>0</v>
      </c>
      <c r="J448" s="178">
        <f t="shared" si="41"/>
        <v>0</v>
      </c>
      <c r="K448" s="179" t="str">
        <f t="shared" si="38"/>
        <v/>
      </c>
      <c r="L448" s="718"/>
      <c r="M448" s="180" t="str">
        <f t="shared" si="42"/>
        <v/>
      </c>
      <c r="N448" s="531">
        <f t="shared" si="39"/>
        <v>0</v>
      </c>
      <c r="O448" s="531" t="str">
        <f>IF(C448&lt;&gt;"",C448&amp;'סיווג התפקידים והעלויות'!$C$2,"")</f>
        <v/>
      </c>
      <c r="P448" s="531" t="str">
        <f>IF(C448&lt;&gt;"",C448&amp;'סיווג התפקידים והעלויות'!$D$2,"")</f>
        <v/>
      </c>
    </row>
    <row r="449" spans="2:16" ht="15.75" x14ac:dyDescent="0.25">
      <c r="B449" s="57">
        <v>434</v>
      </c>
      <c r="C449" s="176" t="str">
        <f>IF(VLOOKUP(B449,'דוח ביצוע (3)'!$A$21:$B$520,2,0)="","",VLOOKUP(B449,'דוח ביצוע (3)'!$A$21:$B$520,2,0))</f>
        <v/>
      </c>
      <c r="D449" s="177" t="str">
        <f>IFERROR(VLOOKUP($C:$C,'מצבת והרשמה (2)'!$C$20:$N$520,2,0)," ")</f>
        <v/>
      </c>
      <c r="E449" s="177" t="str">
        <f>IFERROR(VLOOKUP(C449,'דוח ביצוע (3)'!B:V,5,0)," ")</f>
        <v xml:space="preserve"> </v>
      </c>
      <c r="F449" s="177" t="str">
        <f t="shared" si="37"/>
        <v/>
      </c>
      <c r="G449" s="179">
        <f>SUMIFS('עלויות כח אדם (6)'!M:M,'עלויות כח אדם (6)'!B:B,' איוש משרות (8)'!C449,'עלויות כח אדם (6)'!N:N,"רכ")</f>
        <v>0</v>
      </c>
      <c r="H449" s="179">
        <f>IFERROR(VLOOKUP(P449,'עלויות כח אדם (6)'!$AE$16:$AF$3014,2,0),0)</f>
        <v>0</v>
      </c>
      <c r="I449" s="178">
        <f t="shared" si="40"/>
        <v>0</v>
      </c>
      <c r="J449" s="178">
        <f t="shared" si="41"/>
        <v>0</v>
      </c>
      <c r="K449" s="179" t="str">
        <f t="shared" si="38"/>
        <v/>
      </c>
      <c r="L449" s="718"/>
      <c r="M449" s="180" t="str">
        <f t="shared" si="42"/>
        <v/>
      </c>
      <c r="N449" s="531">
        <f t="shared" si="39"/>
        <v>0</v>
      </c>
      <c r="O449" s="531" t="str">
        <f>IF(C449&lt;&gt;"",C449&amp;'סיווג התפקידים והעלויות'!$C$2,"")</f>
        <v/>
      </c>
      <c r="P449" s="531" t="str">
        <f>IF(C449&lt;&gt;"",C449&amp;'סיווג התפקידים והעלויות'!$D$2,"")</f>
        <v/>
      </c>
    </row>
    <row r="450" spans="2:16" ht="15.75" x14ac:dyDescent="0.25">
      <c r="B450" s="176">
        <v>435</v>
      </c>
      <c r="C450" s="176" t="str">
        <f>IF(VLOOKUP(B450,'דוח ביצוע (3)'!$A$21:$B$520,2,0)="","",VLOOKUP(B450,'דוח ביצוע (3)'!$A$21:$B$520,2,0))</f>
        <v/>
      </c>
      <c r="D450" s="177" t="str">
        <f>IFERROR(VLOOKUP($C:$C,'מצבת והרשמה (2)'!$C$20:$N$520,2,0)," ")</f>
        <v/>
      </c>
      <c r="E450" s="177" t="str">
        <f>IFERROR(VLOOKUP(C450,'דוח ביצוע (3)'!B:V,5,0)," ")</f>
        <v xml:space="preserve"> </v>
      </c>
      <c r="F450" s="177" t="str">
        <f t="shared" si="37"/>
        <v/>
      </c>
      <c r="G450" s="179">
        <f>SUMIFS('עלויות כח אדם (6)'!M:M,'עלויות כח אדם (6)'!B:B,' איוש משרות (8)'!C450,'עלויות כח אדם (6)'!N:N,"רכ")</f>
        <v>0</v>
      </c>
      <c r="H450" s="179">
        <f>IFERROR(VLOOKUP(P450,'עלויות כח אדם (6)'!$AE$16:$AF$3014,2,0),0)</f>
        <v>0</v>
      </c>
      <c r="I450" s="178">
        <f t="shared" si="40"/>
        <v>0</v>
      </c>
      <c r="J450" s="178">
        <f t="shared" si="41"/>
        <v>0</v>
      </c>
      <c r="K450" s="179" t="str">
        <f t="shared" si="38"/>
        <v/>
      </c>
      <c r="L450" s="718"/>
      <c r="M450" s="180" t="str">
        <f t="shared" si="42"/>
        <v/>
      </c>
      <c r="N450" s="531">
        <f t="shared" si="39"/>
        <v>0</v>
      </c>
      <c r="O450" s="531" t="str">
        <f>IF(C450&lt;&gt;"",C450&amp;'סיווג התפקידים והעלויות'!$C$2,"")</f>
        <v/>
      </c>
      <c r="P450" s="531" t="str">
        <f>IF(C450&lt;&gt;"",C450&amp;'סיווג התפקידים והעלויות'!$D$2,"")</f>
        <v/>
      </c>
    </row>
    <row r="451" spans="2:16" ht="15.75" x14ac:dyDescent="0.25">
      <c r="B451" s="57">
        <v>436</v>
      </c>
      <c r="C451" s="176" t="str">
        <f>IF(VLOOKUP(B451,'דוח ביצוע (3)'!$A$21:$B$520,2,0)="","",VLOOKUP(B451,'דוח ביצוע (3)'!$A$21:$B$520,2,0))</f>
        <v/>
      </c>
      <c r="D451" s="177" t="str">
        <f>IFERROR(VLOOKUP($C:$C,'מצבת והרשמה (2)'!$C$20:$N$520,2,0)," ")</f>
        <v/>
      </c>
      <c r="E451" s="177" t="str">
        <f>IFERROR(VLOOKUP(C451,'דוח ביצוע (3)'!B:V,5,0)," ")</f>
        <v xml:space="preserve"> </v>
      </c>
      <c r="F451" s="177" t="str">
        <f t="shared" si="37"/>
        <v/>
      </c>
      <c r="G451" s="179">
        <f>SUMIFS('עלויות כח אדם (6)'!M:M,'עלויות כח אדם (6)'!B:B,' איוש משרות (8)'!C451,'עלויות כח אדם (6)'!N:N,"רכ")</f>
        <v>0</v>
      </c>
      <c r="H451" s="179">
        <f>IFERROR(VLOOKUP(P451,'עלויות כח אדם (6)'!$AE$16:$AF$3014,2,0),0)</f>
        <v>0</v>
      </c>
      <c r="I451" s="178">
        <f t="shared" si="40"/>
        <v>0</v>
      </c>
      <c r="J451" s="178">
        <f t="shared" si="41"/>
        <v>0</v>
      </c>
      <c r="K451" s="179" t="str">
        <f t="shared" si="38"/>
        <v/>
      </c>
      <c r="L451" s="718"/>
      <c r="M451" s="180" t="str">
        <f t="shared" si="42"/>
        <v/>
      </c>
      <c r="N451" s="531">
        <f t="shared" si="39"/>
        <v>0</v>
      </c>
      <c r="O451" s="531" t="str">
        <f>IF(C451&lt;&gt;"",C451&amp;'סיווג התפקידים והעלויות'!$C$2,"")</f>
        <v/>
      </c>
      <c r="P451" s="531" t="str">
        <f>IF(C451&lt;&gt;"",C451&amp;'סיווג התפקידים והעלויות'!$D$2,"")</f>
        <v/>
      </c>
    </row>
    <row r="452" spans="2:16" ht="15.75" x14ac:dyDescent="0.25">
      <c r="B452" s="176">
        <v>437</v>
      </c>
      <c r="C452" s="176" t="str">
        <f>IF(VLOOKUP(B452,'דוח ביצוע (3)'!$A$21:$B$520,2,0)="","",VLOOKUP(B452,'דוח ביצוע (3)'!$A$21:$B$520,2,0))</f>
        <v/>
      </c>
      <c r="D452" s="177" t="str">
        <f>IFERROR(VLOOKUP($C:$C,'מצבת והרשמה (2)'!$C$20:$N$520,2,0)," ")</f>
        <v/>
      </c>
      <c r="E452" s="177" t="str">
        <f>IFERROR(VLOOKUP(C452,'דוח ביצוע (3)'!B:V,5,0)," ")</f>
        <v xml:space="preserve"> </v>
      </c>
      <c r="F452" s="177" t="str">
        <f t="shared" si="37"/>
        <v/>
      </c>
      <c r="G452" s="179">
        <f>SUMIFS('עלויות כח אדם (6)'!M:M,'עלויות כח אדם (6)'!B:B,' איוש משרות (8)'!C452,'עלויות כח אדם (6)'!N:N,"רכ")</f>
        <v>0</v>
      </c>
      <c r="H452" s="179">
        <f>IFERROR(VLOOKUP(P452,'עלויות כח אדם (6)'!$AE$16:$AF$3014,2,0),0)</f>
        <v>0</v>
      </c>
      <c r="I452" s="178">
        <f t="shared" si="40"/>
        <v>0</v>
      </c>
      <c r="J452" s="178">
        <f t="shared" si="41"/>
        <v>0</v>
      </c>
      <c r="K452" s="179" t="str">
        <f t="shared" si="38"/>
        <v/>
      </c>
      <c r="L452" s="718"/>
      <c r="M452" s="180" t="str">
        <f t="shared" si="42"/>
        <v/>
      </c>
      <c r="N452" s="531">
        <f t="shared" si="39"/>
        <v>0</v>
      </c>
      <c r="O452" s="531" t="str">
        <f>IF(C452&lt;&gt;"",C452&amp;'סיווג התפקידים והעלויות'!$C$2,"")</f>
        <v/>
      </c>
      <c r="P452" s="531" t="str">
        <f>IF(C452&lt;&gt;"",C452&amp;'סיווג התפקידים והעלויות'!$D$2,"")</f>
        <v/>
      </c>
    </row>
    <row r="453" spans="2:16" ht="15.75" x14ac:dyDescent="0.25">
      <c r="B453" s="57">
        <v>438</v>
      </c>
      <c r="C453" s="176" t="str">
        <f>IF(VLOOKUP(B453,'דוח ביצוע (3)'!$A$21:$B$520,2,0)="","",VLOOKUP(B453,'דוח ביצוע (3)'!$A$21:$B$520,2,0))</f>
        <v/>
      </c>
      <c r="D453" s="177" t="str">
        <f>IFERROR(VLOOKUP($C:$C,'מצבת והרשמה (2)'!$C$20:$N$520,2,0)," ")</f>
        <v/>
      </c>
      <c r="E453" s="177" t="str">
        <f>IFERROR(VLOOKUP(C453,'דוח ביצוע (3)'!B:V,5,0)," ")</f>
        <v xml:space="preserve"> </v>
      </c>
      <c r="F453" s="177" t="str">
        <f t="shared" si="37"/>
        <v/>
      </c>
      <c r="G453" s="179">
        <f>SUMIFS('עלויות כח אדם (6)'!M:M,'עלויות כח אדם (6)'!B:B,' איוש משרות (8)'!C453,'עלויות כח אדם (6)'!N:N,"רכ")</f>
        <v>0</v>
      </c>
      <c r="H453" s="179">
        <f>IFERROR(VLOOKUP(P453,'עלויות כח אדם (6)'!$AE$16:$AF$3014,2,0),0)</f>
        <v>0</v>
      </c>
      <c r="I453" s="178">
        <f t="shared" si="40"/>
        <v>0</v>
      </c>
      <c r="J453" s="178">
        <f t="shared" si="41"/>
        <v>0</v>
      </c>
      <c r="K453" s="179" t="str">
        <f t="shared" si="38"/>
        <v/>
      </c>
      <c r="L453" s="718"/>
      <c r="M453" s="180" t="str">
        <f t="shared" si="42"/>
        <v/>
      </c>
      <c r="N453" s="531">
        <f t="shared" si="39"/>
        <v>0</v>
      </c>
      <c r="O453" s="531" t="str">
        <f>IF(C453&lt;&gt;"",C453&amp;'סיווג התפקידים והעלויות'!$C$2,"")</f>
        <v/>
      </c>
      <c r="P453" s="531" t="str">
        <f>IF(C453&lt;&gt;"",C453&amp;'סיווג התפקידים והעלויות'!$D$2,"")</f>
        <v/>
      </c>
    </row>
    <row r="454" spans="2:16" ht="15.75" x14ac:dyDescent="0.25">
      <c r="B454" s="176">
        <v>439</v>
      </c>
      <c r="C454" s="176" t="str">
        <f>IF(VLOOKUP(B454,'דוח ביצוע (3)'!$A$21:$B$520,2,0)="","",VLOOKUP(B454,'דוח ביצוע (3)'!$A$21:$B$520,2,0))</f>
        <v/>
      </c>
      <c r="D454" s="177" t="str">
        <f>IFERROR(VLOOKUP($C:$C,'מצבת והרשמה (2)'!$C$20:$N$520,2,0)," ")</f>
        <v/>
      </c>
      <c r="E454" s="177" t="str">
        <f>IFERROR(VLOOKUP(C454,'דוח ביצוע (3)'!B:V,5,0)," ")</f>
        <v xml:space="preserve"> </v>
      </c>
      <c r="F454" s="177" t="str">
        <f t="shared" si="37"/>
        <v/>
      </c>
      <c r="G454" s="179">
        <f>SUMIFS('עלויות כח אדם (6)'!M:M,'עלויות כח אדם (6)'!B:B,' איוש משרות (8)'!C454,'עלויות כח אדם (6)'!N:N,"רכ")</f>
        <v>0</v>
      </c>
      <c r="H454" s="179">
        <f>IFERROR(VLOOKUP(P454,'עלויות כח אדם (6)'!$AE$16:$AF$3014,2,0),0)</f>
        <v>0</v>
      </c>
      <c r="I454" s="178">
        <f t="shared" si="40"/>
        <v>0</v>
      </c>
      <c r="J454" s="178">
        <f t="shared" si="41"/>
        <v>0</v>
      </c>
      <c r="K454" s="179" t="str">
        <f t="shared" si="38"/>
        <v/>
      </c>
      <c r="L454" s="718"/>
      <c r="M454" s="180" t="str">
        <f t="shared" si="42"/>
        <v/>
      </c>
      <c r="N454" s="531">
        <f t="shared" si="39"/>
        <v>0</v>
      </c>
      <c r="O454" s="531" t="str">
        <f>IF(C454&lt;&gt;"",C454&amp;'סיווג התפקידים והעלויות'!$C$2,"")</f>
        <v/>
      </c>
      <c r="P454" s="531" t="str">
        <f>IF(C454&lt;&gt;"",C454&amp;'סיווג התפקידים והעלויות'!$D$2,"")</f>
        <v/>
      </c>
    </row>
    <row r="455" spans="2:16" ht="15.75" x14ac:dyDescent="0.25">
      <c r="B455" s="57">
        <v>440</v>
      </c>
      <c r="C455" s="176" t="str">
        <f>IF(VLOOKUP(B455,'דוח ביצוע (3)'!$A$21:$B$520,2,0)="","",VLOOKUP(B455,'דוח ביצוע (3)'!$A$21:$B$520,2,0))</f>
        <v/>
      </c>
      <c r="D455" s="177" t="str">
        <f>IFERROR(VLOOKUP($C:$C,'מצבת והרשמה (2)'!$C$20:$N$520,2,0)," ")</f>
        <v/>
      </c>
      <c r="E455" s="177" t="str">
        <f>IFERROR(VLOOKUP(C455,'דוח ביצוע (3)'!B:V,5,0)," ")</f>
        <v xml:space="preserve"> </v>
      </c>
      <c r="F455" s="177" t="str">
        <f t="shared" si="37"/>
        <v/>
      </c>
      <c r="G455" s="179">
        <f>SUMIFS('עלויות כח אדם (6)'!M:M,'עלויות כח אדם (6)'!B:B,' איוש משרות (8)'!C455,'עלויות כח אדם (6)'!N:N,"רכ")</f>
        <v>0</v>
      </c>
      <c r="H455" s="179">
        <f>IFERROR(VLOOKUP(P455,'עלויות כח אדם (6)'!$AE$16:$AF$3014,2,0),0)</f>
        <v>0</v>
      </c>
      <c r="I455" s="178">
        <f t="shared" si="40"/>
        <v>0</v>
      </c>
      <c r="J455" s="178">
        <f t="shared" si="41"/>
        <v>0</v>
      </c>
      <c r="K455" s="179" t="str">
        <f t="shared" si="38"/>
        <v/>
      </c>
      <c r="L455" s="718"/>
      <c r="M455" s="180" t="str">
        <f t="shared" si="42"/>
        <v/>
      </c>
      <c r="N455" s="531">
        <f t="shared" si="39"/>
        <v>0</v>
      </c>
      <c r="O455" s="531" t="str">
        <f>IF(C455&lt;&gt;"",C455&amp;'סיווג התפקידים והעלויות'!$C$2,"")</f>
        <v/>
      </c>
      <c r="P455" s="531" t="str">
        <f>IF(C455&lt;&gt;"",C455&amp;'סיווג התפקידים והעלויות'!$D$2,"")</f>
        <v/>
      </c>
    </row>
    <row r="456" spans="2:16" ht="15.75" x14ac:dyDescent="0.25">
      <c r="B456" s="176">
        <v>441</v>
      </c>
      <c r="C456" s="176" t="str">
        <f>IF(VLOOKUP(B456,'דוח ביצוע (3)'!$A$21:$B$520,2,0)="","",VLOOKUP(B456,'דוח ביצוע (3)'!$A$21:$B$520,2,0))</f>
        <v/>
      </c>
      <c r="D456" s="177" t="str">
        <f>IFERROR(VLOOKUP($C:$C,'מצבת והרשמה (2)'!$C$20:$N$520,2,0)," ")</f>
        <v/>
      </c>
      <c r="E456" s="177" t="str">
        <f>IFERROR(VLOOKUP(C456,'דוח ביצוע (3)'!B:V,5,0)," ")</f>
        <v xml:space="preserve"> </v>
      </c>
      <c r="F456" s="177" t="str">
        <f t="shared" si="37"/>
        <v/>
      </c>
      <c r="G456" s="179">
        <f>SUMIFS('עלויות כח אדם (6)'!M:M,'עלויות כח אדם (6)'!B:B,' איוש משרות (8)'!C456,'עלויות כח אדם (6)'!N:N,"רכ")</f>
        <v>0</v>
      </c>
      <c r="H456" s="179">
        <f>IFERROR(VLOOKUP(P456,'עלויות כח אדם (6)'!$AE$16:$AF$3014,2,0),0)</f>
        <v>0</v>
      </c>
      <c r="I456" s="178">
        <f t="shared" si="40"/>
        <v>0</v>
      </c>
      <c r="J456" s="178">
        <f t="shared" si="41"/>
        <v>0</v>
      </c>
      <c r="K456" s="179" t="str">
        <f t="shared" si="38"/>
        <v/>
      </c>
      <c r="L456" s="718"/>
      <c r="M456" s="180" t="str">
        <f t="shared" si="42"/>
        <v/>
      </c>
      <c r="N456" s="531">
        <f t="shared" si="39"/>
        <v>0</v>
      </c>
      <c r="O456" s="531" t="str">
        <f>IF(C456&lt;&gt;"",C456&amp;'סיווג התפקידים והעלויות'!$C$2,"")</f>
        <v/>
      </c>
      <c r="P456" s="531" t="str">
        <f>IF(C456&lt;&gt;"",C456&amp;'סיווג התפקידים והעלויות'!$D$2,"")</f>
        <v/>
      </c>
    </row>
    <row r="457" spans="2:16" ht="15.75" x14ac:dyDescent="0.25">
      <c r="B457" s="57">
        <v>442</v>
      </c>
      <c r="C457" s="176" t="str">
        <f>IF(VLOOKUP(B457,'דוח ביצוע (3)'!$A$21:$B$520,2,0)="","",VLOOKUP(B457,'דוח ביצוע (3)'!$A$21:$B$520,2,0))</f>
        <v/>
      </c>
      <c r="D457" s="177" t="str">
        <f>IFERROR(VLOOKUP($C:$C,'מצבת והרשמה (2)'!$C$20:$N$520,2,0)," ")</f>
        <v/>
      </c>
      <c r="E457" s="177" t="str">
        <f>IFERROR(VLOOKUP(C457,'דוח ביצוע (3)'!B:V,5,0)," ")</f>
        <v xml:space="preserve"> </v>
      </c>
      <c r="F457" s="177" t="str">
        <f t="shared" si="37"/>
        <v/>
      </c>
      <c r="G457" s="179">
        <f>SUMIFS('עלויות כח אדם (6)'!M:M,'עלויות כח אדם (6)'!B:B,' איוש משרות (8)'!C457,'עלויות כח אדם (6)'!N:N,"רכ")</f>
        <v>0</v>
      </c>
      <c r="H457" s="179">
        <f>IFERROR(VLOOKUP(P457,'עלויות כח אדם (6)'!$AE$16:$AF$3014,2,0),0)</f>
        <v>0</v>
      </c>
      <c r="I457" s="178">
        <f t="shared" si="40"/>
        <v>0</v>
      </c>
      <c r="J457" s="178">
        <f t="shared" si="41"/>
        <v>0</v>
      </c>
      <c r="K457" s="179" t="str">
        <f t="shared" si="38"/>
        <v/>
      </c>
      <c r="L457" s="718"/>
      <c r="M457" s="180" t="str">
        <f t="shared" si="42"/>
        <v/>
      </c>
      <c r="N457" s="531">
        <f t="shared" si="39"/>
        <v>0</v>
      </c>
      <c r="O457" s="531" t="str">
        <f>IF(C457&lt;&gt;"",C457&amp;'סיווג התפקידים והעלויות'!$C$2,"")</f>
        <v/>
      </c>
      <c r="P457" s="531" t="str">
        <f>IF(C457&lt;&gt;"",C457&amp;'סיווג התפקידים והעלויות'!$D$2,"")</f>
        <v/>
      </c>
    </row>
    <row r="458" spans="2:16" ht="15.75" x14ac:dyDescent="0.25">
      <c r="B458" s="176">
        <v>443</v>
      </c>
      <c r="C458" s="176" t="str">
        <f>IF(VLOOKUP(B458,'דוח ביצוע (3)'!$A$21:$B$520,2,0)="","",VLOOKUP(B458,'דוח ביצוע (3)'!$A$21:$B$520,2,0))</f>
        <v/>
      </c>
      <c r="D458" s="177" t="str">
        <f>IFERROR(VLOOKUP($C:$C,'מצבת והרשמה (2)'!$C$20:$N$520,2,0)," ")</f>
        <v/>
      </c>
      <c r="E458" s="177" t="str">
        <f>IFERROR(VLOOKUP(C458,'דוח ביצוע (3)'!B:V,5,0)," ")</f>
        <v xml:space="preserve"> </v>
      </c>
      <c r="F458" s="177" t="str">
        <f t="shared" si="37"/>
        <v/>
      </c>
      <c r="G458" s="179">
        <f>SUMIFS('עלויות כח אדם (6)'!M:M,'עלויות כח אדם (6)'!B:B,' איוש משרות (8)'!C458,'עלויות כח אדם (6)'!N:N,"רכ")</f>
        <v>0</v>
      </c>
      <c r="H458" s="179">
        <f>IFERROR(VLOOKUP(P458,'עלויות כח אדם (6)'!$AE$16:$AF$3014,2,0),0)</f>
        <v>0</v>
      </c>
      <c r="I458" s="178">
        <f t="shared" si="40"/>
        <v>0</v>
      </c>
      <c r="J458" s="178">
        <f t="shared" si="41"/>
        <v>0</v>
      </c>
      <c r="K458" s="179" t="str">
        <f t="shared" si="38"/>
        <v/>
      </c>
      <c r="L458" s="718"/>
      <c r="M458" s="180" t="str">
        <f t="shared" si="42"/>
        <v/>
      </c>
      <c r="N458" s="531">
        <f t="shared" si="39"/>
        <v>0</v>
      </c>
      <c r="O458" s="531" t="str">
        <f>IF(C458&lt;&gt;"",C458&amp;'סיווג התפקידים והעלויות'!$C$2,"")</f>
        <v/>
      </c>
      <c r="P458" s="531" t="str">
        <f>IF(C458&lt;&gt;"",C458&amp;'סיווג התפקידים והעלויות'!$D$2,"")</f>
        <v/>
      </c>
    </row>
    <row r="459" spans="2:16" ht="15.75" x14ac:dyDescent="0.25">
      <c r="B459" s="57">
        <v>444</v>
      </c>
      <c r="C459" s="176" t="str">
        <f>IF(VLOOKUP(B459,'דוח ביצוע (3)'!$A$21:$B$520,2,0)="","",VLOOKUP(B459,'דוח ביצוע (3)'!$A$21:$B$520,2,0))</f>
        <v/>
      </c>
      <c r="D459" s="177" t="str">
        <f>IFERROR(VLOOKUP($C:$C,'מצבת והרשמה (2)'!$C$20:$N$520,2,0)," ")</f>
        <v/>
      </c>
      <c r="E459" s="177" t="str">
        <f>IFERROR(VLOOKUP(C459,'דוח ביצוע (3)'!B:V,5,0)," ")</f>
        <v xml:space="preserve"> </v>
      </c>
      <c r="F459" s="177" t="str">
        <f t="shared" si="37"/>
        <v/>
      </c>
      <c r="G459" s="179">
        <f>SUMIFS('עלויות כח אדם (6)'!M:M,'עלויות כח אדם (6)'!B:B,' איוש משרות (8)'!C459,'עלויות כח אדם (6)'!N:N,"רכ")</f>
        <v>0</v>
      </c>
      <c r="H459" s="179">
        <f>IFERROR(VLOOKUP(P459,'עלויות כח אדם (6)'!$AE$16:$AF$3014,2,0),0)</f>
        <v>0</v>
      </c>
      <c r="I459" s="178">
        <f t="shared" si="40"/>
        <v>0</v>
      </c>
      <c r="J459" s="178">
        <f t="shared" si="41"/>
        <v>0</v>
      </c>
      <c r="K459" s="179" t="str">
        <f t="shared" si="38"/>
        <v/>
      </c>
      <c r="L459" s="718"/>
      <c r="M459" s="180" t="str">
        <f t="shared" si="42"/>
        <v/>
      </c>
      <c r="N459" s="531">
        <f t="shared" si="39"/>
        <v>0</v>
      </c>
      <c r="O459" s="531" t="str">
        <f>IF(C459&lt;&gt;"",C459&amp;'סיווג התפקידים והעלויות'!$C$2,"")</f>
        <v/>
      </c>
      <c r="P459" s="531" t="str">
        <f>IF(C459&lt;&gt;"",C459&amp;'סיווג התפקידים והעלויות'!$D$2,"")</f>
        <v/>
      </c>
    </row>
    <row r="460" spans="2:16" ht="15.75" x14ac:dyDescent="0.25">
      <c r="B460" s="176">
        <v>445</v>
      </c>
      <c r="C460" s="176" t="str">
        <f>IF(VLOOKUP(B460,'דוח ביצוע (3)'!$A$21:$B$520,2,0)="","",VLOOKUP(B460,'דוח ביצוע (3)'!$A$21:$B$520,2,0))</f>
        <v/>
      </c>
      <c r="D460" s="177" t="str">
        <f>IFERROR(VLOOKUP($C:$C,'מצבת והרשמה (2)'!$C$20:$N$520,2,0)," ")</f>
        <v/>
      </c>
      <c r="E460" s="177" t="str">
        <f>IFERROR(VLOOKUP(C460,'דוח ביצוע (3)'!B:V,5,0)," ")</f>
        <v xml:space="preserve"> </v>
      </c>
      <c r="F460" s="177" t="str">
        <f t="shared" si="37"/>
        <v/>
      </c>
      <c r="G460" s="179">
        <f>SUMIFS('עלויות כח אדם (6)'!M:M,'עלויות כח אדם (6)'!B:B,' איוש משרות (8)'!C460,'עלויות כח אדם (6)'!N:N,"רכ")</f>
        <v>0</v>
      </c>
      <c r="H460" s="179">
        <f>IFERROR(VLOOKUP(P460,'עלויות כח אדם (6)'!$AE$16:$AF$3014,2,0),0)</f>
        <v>0</v>
      </c>
      <c r="I460" s="178">
        <f t="shared" si="40"/>
        <v>0</v>
      </c>
      <c r="J460" s="178">
        <f t="shared" si="41"/>
        <v>0</v>
      </c>
      <c r="K460" s="179" t="str">
        <f t="shared" si="38"/>
        <v/>
      </c>
      <c r="L460" s="718"/>
      <c r="M460" s="180" t="str">
        <f t="shared" si="42"/>
        <v/>
      </c>
      <c r="N460" s="531">
        <f t="shared" si="39"/>
        <v>0</v>
      </c>
      <c r="O460" s="531" t="str">
        <f>IF(C460&lt;&gt;"",C460&amp;'סיווג התפקידים והעלויות'!$C$2,"")</f>
        <v/>
      </c>
      <c r="P460" s="531" t="str">
        <f>IF(C460&lt;&gt;"",C460&amp;'סיווג התפקידים והעלויות'!$D$2,"")</f>
        <v/>
      </c>
    </row>
    <row r="461" spans="2:16" ht="15.75" x14ac:dyDescent="0.25">
      <c r="B461" s="57">
        <v>446</v>
      </c>
      <c r="C461" s="176" t="str">
        <f>IF(VLOOKUP(B461,'דוח ביצוע (3)'!$A$21:$B$520,2,0)="","",VLOOKUP(B461,'דוח ביצוע (3)'!$A$21:$B$520,2,0))</f>
        <v/>
      </c>
      <c r="D461" s="177" t="str">
        <f>IFERROR(VLOOKUP($C:$C,'מצבת והרשמה (2)'!$C$20:$N$520,2,0)," ")</f>
        <v/>
      </c>
      <c r="E461" s="177" t="str">
        <f>IFERROR(VLOOKUP(C461,'דוח ביצוע (3)'!B:V,5,0)," ")</f>
        <v xml:space="preserve"> </v>
      </c>
      <c r="F461" s="177" t="str">
        <f t="shared" si="37"/>
        <v/>
      </c>
      <c r="G461" s="179">
        <f>SUMIFS('עלויות כח אדם (6)'!M:M,'עלויות כח אדם (6)'!B:B,' איוש משרות (8)'!C461,'עלויות כח אדם (6)'!N:N,"רכ")</f>
        <v>0</v>
      </c>
      <c r="H461" s="179">
        <f>IFERROR(VLOOKUP(P461,'עלויות כח אדם (6)'!$AE$16:$AF$3014,2,0),0)</f>
        <v>0</v>
      </c>
      <c r="I461" s="178">
        <f t="shared" si="40"/>
        <v>0</v>
      </c>
      <c r="J461" s="178">
        <f t="shared" si="41"/>
        <v>0</v>
      </c>
      <c r="K461" s="179" t="str">
        <f t="shared" si="38"/>
        <v/>
      </c>
      <c r="L461" s="718"/>
      <c r="M461" s="180" t="str">
        <f t="shared" si="42"/>
        <v/>
      </c>
      <c r="N461" s="531">
        <f t="shared" si="39"/>
        <v>0</v>
      </c>
      <c r="O461" s="531" t="str">
        <f>IF(C461&lt;&gt;"",C461&amp;'סיווג התפקידים והעלויות'!$C$2,"")</f>
        <v/>
      </c>
      <c r="P461" s="531" t="str">
        <f>IF(C461&lt;&gt;"",C461&amp;'סיווג התפקידים והעלויות'!$D$2,"")</f>
        <v/>
      </c>
    </row>
    <row r="462" spans="2:16" ht="15.75" x14ac:dyDescent="0.25">
      <c r="B462" s="176">
        <v>447</v>
      </c>
      <c r="C462" s="176" t="str">
        <f>IF(VLOOKUP(B462,'דוח ביצוע (3)'!$A$21:$B$520,2,0)="","",VLOOKUP(B462,'דוח ביצוע (3)'!$A$21:$B$520,2,0))</f>
        <v/>
      </c>
      <c r="D462" s="177" t="str">
        <f>IFERROR(VLOOKUP($C:$C,'מצבת והרשמה (2)'!$C$20:$N$520,2,0)," ")</f>
        <v/>
      </c>
      <c r="E462" s="177" t="str">
        <f>IFERROR(VLOOKUP(C462,'דוח ביצוע (3)'!B:V,5,0)," ")</f>
        <v xml:space="preserve"> </v>
      </c>
      <c r="F462" s="177" t="str">
        <f t="shared" si="37"/>
        <v/>
      </c>
      <c r="G462" s="179">
        <f>SUMIFS('עלויות כח אדם (6)'!M:M,'עלויות כח אדם (6)'!B:B,' איוש משרות (8)'!C462,'עלויות כח אדם (6)'!N:N,"רכ")</f>
        <v>0</v>
      </c>
      <c r="H462" s="179">
        <f>IFERROR(VLOOKUP(P462,'עלויות כח אדם (6)'!$AE$16:$AF$3014,2,0),0)</f>
        <v>0</v>
      </c>
      <c r="I462" s="178">
        <f t="shared" si="40"/>
        <v>0</v>
      </c>
      <c r="J462" s="178">
        <f t="shared" si="41"/>
        <v>0</v>
      </c>
      <c r="K462" s="179" t="str">
        <f t="shared" si="38"/>
        <v/>
      </c>
      <c r="L462" s="718"/>
      <c r="M462" s="180" t="str">
        <f t="shared" si="42"/>
        <v/>
      </c>
      <c r="N462" s="531">
        <f t="shared" si="39"/>
        <v>0</v>
      </c>
      <c r="O462" s="531" t="str">
        <f>IF(C462&lt;&gt;"",C462&amp;'סיווג התפקידים והעלויות'!$C$2,"")</f>
        <v/>
      </c>
      <c r="P462" s="531" t="str">
        <f>IF(C462&lt;&gt;"",C462&amp;'סיווג התפקידים והעלויות'!$D$2,"")</f>
        <v/>
      </c>
    </row>
    <row r="463" spans="2:16" ht="15.75" x14ac:dyDescent="0.25">
      <c r="B463" s="57">
        <v>448</v>
      </c>
      <c r="C463" s="176" t="str">
        <f>IF(VLOOKUP(B463,'דוח ביצוע (3)'!$A$21:$B$520,2,0)="","",VLOOKUP(B463,'דוח ביצוע (3)'!$A$21:$B$520,2,0))</f>
        <v/>
      </c>
      <c r="D463" s="177" t="str">
        <f>IFERROR(VLOOKUP($C:$C,'מצבת והרשמה (2)'!$C$20:$N$520,2,0)," ")</f>
        <v/>
      </c>
      <c r="E463" s="177" t="str">
        <f>IFERROR(VLOOKUP(C463,'דוח ביצוע (3)'!B:V,5,0)," ")</f>
        <v xml:space="preserve"> </v>
      </c>
      <c r="F463" s="177" t="str">
        <f t="shared" si="37"/>
        <v/>
      </c>
      <c r="G463" s="179">
        <f>SUMIFS('עלויות כח אדם (6)'!M:M,'עלויות כח אדם (6)'!B:B,' איוש משרות (8)'!C463,'עלויות כח אדם (6)'!N:N,"רכ")</f>
        <v>0</v>
      </c>
      <c r="H463" s="179">
        <f>IFERROR(VLOOKUP(P463,'עלויות כח אדם (6)'!$AE$16:$AF$3014,2,0),0)</f>
        <v>0</v>
      </c>
      <c r="I463" s="178">
        <f t="shared" si="40"/>
        <v>0</v>
      </c>
      <c r="J463" s="178">
        <f t="shared" si="41"/>
        <v>0</v>
      </c>
      <c r="K463" s="179" t="str">
        <f t="shared" si="38"/>
        <v/>
      </c>
      <c r="L463" s="718"/>
      <c r="M463" s="180" t="str">
        <f t="shared" si="42"/>
        <v/>
      </c>
      <c r="N463" s="531">
        <f t="shared" si="39"/>
        <v>0</v>
      </c>
      <c r="O463" s="531" t="str">
        <f>IF(C463&lt;&gt;"",C463&amp;'סיווג התפקידים והעלויות'!$C$2,"")</f>
        <v/>
      </c>
      <c r="P463" s="531" t="str">
        <f>IF(C463&lt;&gt;"",C463&amp;'סיווג התפקידים והעלויות'!$D$2,"")</f>
        <v/>
      </c>
    </row>
    <row r="464" spans="2:16" ht="15.75" x14ac:dyDescent="0.25">
      <c r="B464" s="176">
        <v>449</v>
      </c>
      <c r="C464" s="176" t="str">
        <f>IF(VLOOKUP(B464,'דוח ביצוע (3)'!$A$21:$B$520,2,0)="","",VLOOKUP(B464,'דוח ביצוע (3)'!$A$21:$B$520,2,0))</f>
        <v/>
      </c>
      <c r="D464" s="177" t="str">
        <f>IFERROR(VLOOKUP($C:$C,'מצבת והרשמה (2)'!$C$20:$N$520,2,0)," ")</f>
        <v/>
      </c>
      <c r="E464" s="177" t="str">
        <f>IFERROR(VLOOKUP(C464,'דוח ביצוע (3)'!B:V,5,0)," ")</f>
        <v xml:space="preserve"> </v>
      </c>
      <c r="F464" s="177" t="str">
        <f t="shared" si="37"/>
        <v/>
      </c>
      <c r="G464" s="179">
        <f>SUMIFS('עלויות כח אדם (6)'!M:M,'עלויות כח אדם (6)'!B:B,' איוש משרות (8)'!C464,'עלויות כח אדם (6)'!N:N,"רכ")</f>
        <v>0</v>
      </c>
      <c r="H464" s="179">
        <f>IFERROR(VLOOKUP(P464,'עלויות כח אדם (6)'!$AE$16:$AF$3014,2,0),0)</f>
        <v>0</v>
      </c>
      <c r="I464" s="178">
        <f t="shared" si="40"/>
        <v>0</v>
      </c>
      <c r="J464" s="178">
        <f t="shared" si="41"/>
        <v>0</v>
      </c>
      <c r="K464" s="179" t="str">
        <f t="shared" si="38"/>
        <v/>
      </c>
      <c r="L464" s="718"/>
      <c r="M464" s="180" t="str">
        <f t="shared" si="42"/>
        <v/>
      </c>
      <c r="N464" s="531">
        <f t="shared" si="39"/>
        <v>0</v>
      </c>
      <c r="O464" s="531" t="str">
        <f>IF(C464&lt;&gt;"",C464&amp;'סיווג התפקידים והעלויות'!$C$2,"")</f>
        <v/>
      </c>
      <c r="P464" s="531" t="str">
        <f>IF(C464&lt;&gt;"",C464&amp;'סיווג התפקידים והעלויות'!$D$2,"")</f>
        <v/>
      </c>
    </row>
    <row r="465" spans="2:16" ht="15.75" x14ac:dyDescent="0.25">
      <c r="B465" s="57">
        <v>450</v>
      </c>
      <c r="C465" s="176" t="str">
        <f>IF(VLOOKUP(B465,'דוח ביצוע (3)'!$A$21:$B$520,2,0)="","",VLOOKUP(B465,'דוח ביצוע (3)'!$A$21:$B$520,2,0))</f>
        <v/>
      </c>
      <c r="D465" s="177" t="str">
        <f>IFERROR(VLOOKUP($C:$C,'מצבת והרשמה (2)'!$C$20:$N$520,2,0)," ")</f>
        <v/>
      </c>
      <c r="E465" s="177" t="str">
        <f>IFERROR(VLOOKUP(C465,'דוח ביצוע (3)'!B:V,5,0)," ")</f>
        <v xml:space="preserve"> </v>
      </c>
      <c r="F465" s="177" t="str">
        <f t="shared" ref="F465:F515" si="43">IF(C465&lt;&gt;"",IF(ISNUMBER(E465),IF(E465&gt;149,"זכאי","לא זכאי"),""),"")</f>
        <v/>
      </c>
      <c r="G465" s="179">
        <f>SUMIFS('עלויות כח אדם (6)'!M:M,'עלויות כח אדם (6)'!B:B,' איוש משרות (8)'!C465,'עלויות כח אדם (6)'!N:N,"רכ")</f>
        <v>0</v>
      </c>
      <c r="H465" s="179">
        <f>IFERROR(VLOOKUP(P465,'עלויות כח אדם (6)'!$AE$16:$AF$3014,2,0),0)</f>
        <v>0</v>
      </c>
      <c r="I465" s="178">
        <f t="shared" si="40"/>
        <v>0</v>
      </c>
      <c r="J465" s="178">
        <f t="shared" si="41"/>
        <v>0</v>
      </c>
      <c r="K465" s="179" t="str">
        <f t="shared" ref="K465:K515" si="44">IF(ISNUMBER(C465),IF(I465=0,CONCATENATE("המוסד לא העסיק רכז ",IF(AND(F465="זכאי",J465=0),"וסגן רכז ",""),"ועל כן אין זכאות לקבלת תקציב"),"תקין"),"")</f>
        <v/>
      </c>
      <c r="L465" s="718"/>
      <c r="M465" s="180" t="str">
        <f t="shared" si="42"/>
        <v/>
      </c>
      <c r="N465" s="531">
        <f t="shared" ref="N465:N515" si="45">IF(LEFT(K465,14)="המוסד לא העסיק",1,0)</f>
        <v>0</v>
      </c>
      <c r="O465" s="531" t="str">
        <f>IF(C465&lt;&gt;"",C465&amp;'סיווג התפקידים והעלויות'!$C$2,"")</f>
        <v/>
      </c>
      <c r="P465" s="531" t="str">
        <f>IF(C465&lt;&gt;"",C465&amp;'סיווג התפקידים והעלויות'!$D$2,"")</f>
        <v/>
      </c>
    </row>
    <row r="466" spans="2:16" ht="15.75" x14ac:dyDescent="0.25">
      <c r="B466" s="176">
        <v>451</v>
      </c>
      <c r="C466" s="176" t="str">
        <f>IF(VLOOKUP(B466,'דוח ביצוע (3)'!$A$21:$B$520,2,0)="","",VLOOKUP(B466,'דוח ביצוע (3)'!$A$21:$B$520,2,0))</f>
        <v/>
      </c>
      <c r="D466" s="177" t="str">
        <f>IFERROR(VLOOKUP($C:$C,'מצבת והרשמה (2)'!$C$20:$N$520,2,0)," ")</f>
        <v/>
      </c>
      <c r="E466" s="177" t="str">
        <f>IFERROR(VLOOKUP(C466,'דוח ביצוע (3)'!B:V,5,0)," ")</f>
        <v xml:space="preserve"> </v>
      </c>
      <c r="F466" s="177" t="str">
        <f t="shared" si="43"/>
        <v/>
      </c>
      <c r="G466" s="179">
        <f>SUMIFS('עלויות כח אדם (6)'!M:M,'עלויות כח אדם (6)'!B:B,' איוש משרות (8)'!C466,'עלויות כח אדם (6)'!N:N,"רכ")</f>
        <v>0</v>
      </c>
      <c r="H466" s="179">
        <f>IFERROR(VLOOKUP(P466,'עלויות כח אדם (6)'!$AE$16:$AF$3014,2,0),0)</f>
        <v>0</v>
      </c>
      <c r="I466" s="178">
        <f t="shared" ref="I466:I515" si="46">IF(G466&gt;0,G466,H466)</f>
        <v>0</v>
      </c>
      <c r="J466" s="178">
        <f t="shared" ref="J466:J515" si="47">IF(AND(F466="זכאי",G466&gt;0),H466,0)</f>
        <v>0</v>
      </c>
      <c r="K466" s="179" t="str">
        <f t="shared" si="44"/>
        <v/>
      </c>
      <c r="L466" s="718"/>
      <c r="M466" s="180" t="str">
        <f t="shared" si="42"/>
        <v/>
      </c>
      <c r="N466" s="531">
        <f t="shared" si="45"/>
        <v>0</v>
      </c>
      <c r="O466" s="531" t="str">
        <f>IF(C466&lt;&gt;"",C466&amp;'סיווג התפקידים והעלויות'!$C$2,"")</f>
        <v/>
      </c>
      <c r="P466" s="531" t="str">
        <f>IF(C466&lt;&gt;"",C466&amp;'סיווג התפקידים והעלויות'!$D$2,"")</f>
        <v/>
      </c>
    </row>
    <row r="467" spans="2:16" ht="15.75" x14ac:dyDescent="0.25">
      <c r="B467" s="57">
        <v>452</v>
      </c>
      <c r="C467" s="176" t="str">
        <f>IF(VLOOKUP(B467,'דוח ביצוע (3)'!$A$21:$B$520,2,0)="","",VLOOKUP(B467,'דוח ביצוע (3)'!$A$21:$B$520,2,0))</f>
        <v/>
      </c>
      <c r="D467" s="177" t="str">
        <f>IFERROR(VLOOKUP($C:$C,'מצבת והרשמה (2)'!$C$20:$N$520,2,0)," ")</f>
        <v/>
      </c>
      <c r="E467" s="177" t="str">
        <f>IFERROR(VLOOKUP(C467,'דוח ביצוע (3)'!B:V,5,0)," ")</f>
        <v xml:space="preserve"> </v>
      </c>
      <c r="F467" s="177" t="str">
        <f t="shared" si="43"/>
        <v/>
      </c>
      <c r="G467" s="179">
        <f>SUMIFS('עלויות כח אדם (6)'!M:M,'עלויות כח אדם (6)'!B:B,' איוש משרות (8)'!C467,'עלויות כח אדם (6)'!N:N,"רכ")</f>
        <v>0</v>
      </c>
      <c r="H467" s="179">
        <f>IFERROR(VLOOKUP(P467,'עלויות כח אדם (6)'!$AE$16:$AF$3014,2,0),0)</f>
        <v>0</v>
      </c>
      <c r="I467" s="178">
        <f t="shared" si="46"/>
        <v>0</v>
      </c>
      <c r="J467" s="178">
        <f t="shared" si="47"/>
        <v>0</v>
      </c>
      <c r="K467" s="179" t="str">
        <f t="shared" si="44"/>
        <v/>
      </c>
      <c r="L467" s="718"/>
      <c r="M467" s="180" t="str">
        <f t="shared" ref="M467:M515" si="48">IF(ISNUMBER(C467),IF(COUNTIF($C$16:$C$1994,C467)=1,"תקין",IFERROR(CONCATENATE("סמל בית הספר הוקלד ",COUNTIF($C$16:$C$1994,C467)," פעמים"),"")),"")</f>
        <v/>
      </c>
      <c r="N467" s="531">
        <f t="shared" si="45"/>
        <v>0</v>
      </c>
      <c r="O467" s="531" t="str">
        <f>IF(C467&lt;&gt;"",C467&amp;'סיווג התפקידים והעלויות'!$C$2,"")</f>
        <v/>
      </c>
      <c r="P467" s="531" t="str">
        <f>IF(C467&lt;&gt;"",C467&amp;'סיווג התפקידים והעלויות'!$D$2,"")</f>
        <v/>
      </c>
    </row>
    <row r="468" spans="2:16" ht="15.75" x14ac:dyDescent="0.25">
      <c r="B468" s="176">
        <v>453</v>
      </c>
      <c r="C468" s="176" t="str">
        <f>IF(VLOOKUP(B468,'דוח ביצוע (3)'!$A$21:$B$520,2,0)="","",VLOOKUP(B468,'דוח ביצוע (3)'!$A$21:$B$520,2,0))</f>
        <v/>
      </c>
      <c r="D468" s="177" t="str">
        <f>IFERROR(VLOOKUP($C:$C,'מצבת והרשמה (2)'!$C$20:$N$520,2,0)," ")</f>
        <v/>
      </c>
      <c r="E468" s="177" t="str">
        <f>IFERROR(VLOOKUP(C468,'דוח ביצוע (3)'!B:V,5,0)," ")</f>
        <v xml:space="preserve"> </v>
      </c>
      <c r="F468" s="177" t="str">
        <f t="shared" si="43"/>
        <v/>
      </c>
      <c r="G468" s="179">
        <f>SUMIFS('עלויות כח אדם (6)'!M:M,'עלויות כח אדם (6)'!B:B,' איוש משרות (8)'!C468,'עלויות כח אדם (6)'!N:N,"רכ")</f>
        <v>0</v>
      </c>
      <c r="H468" s="179">
        <f>IFERROR(VLOOKUP(P468,'עלויות כח אדם (6)'!$AE$16:$AF$3014,2,0),0)</f>
        <v>0</v>
      </c>
      <c r="I468" s="178">
        <f t="shared" si="46"/>
        <v>0</v>
      </c>
      <c r="J468" s="178">
        <f t="shared" si="47"/>
        <v>0</v>
      </c>
      <c r="K468" s="179" t="str">
        <f t="shared" si="44"/>
        <v/>
      </c>
      <c r="L468" s="718"/>
      <c r="M468" s="180" t="str">
        <f t="shared" si="48"/>
        <v/>
      </c>
      <c r="N468" s="531">
        <f t="shared" si="45"/>
        <v>0</v>
      </c>
      <c r="O468" s="531" t="str">
        <f>IF(C468&lt;&gt;"",C468&amp;'סיווג התפקידים והעלויות'!$C$2,"")</f>
        <v/>
      </c>
      <c r="P468" s="531" t="str">
        <f>IF(C468&lt;&gt;"",C468&amp;'סיווג התפקידים והעלויות'!$D$2,"")</f>
        <v/>
      </c>
    </row>
    <row r="469" spans="2:16" ht="15.75" x14ac:dyDescent="0.25">
      <c r="B469" s="57">
        <v>454</v>
      </c>
      <c r="C469" s="176" t="str">
        <f>IF(VLOOKUP(B469,'דוח ביצוע (3)'!$A$21:$B$520,2,0)="","",VLOOKUP(B469,'דוח ביצוע (3)'!$A$21:$B$520,2,0))</f>
        <v/>
      </c>
      <c r="D469" s="177" t="str">
        <f>IFERROR(VLOOKUP($C:$C,'מצבת והרשמה (2)'!$C$20:$N$520,2,0)," ")</f>
        <v/>
      </c>
      <c r="E469" s="177" t="str">
        <f>IFERROR(VLOOKUP(C469,'דוח ביצוע (3)'!B:V,5,0)," ")</f>
        <v xml:space="preserve"> </v>
      </c>
      <c r="F469" s="177" t="str">
        <f t="shared" si="43"/>
        <v/>
      </c>
      <c r="G469" s="179">
        <f>SUMIFS('עלויות כח אדם (6)'!M:M,'עלויות כח אדם (6)'!B:B,' איוש משרות (8)'!C469,'עלויות כח אדם (6)'!N:N,"רכ")</f>
        <v>0</v>
      </c>
      <c r="H469" s="179">
        <f>IFERROR(VLOOKUP(P469,'עלויות כח אדם (6)'!$AE$16:$AF$3014,2,0),0)</f>
        <v>0</v>
      </c>
      <c r="I469" s="178">
        <f t="shared" si="46"/>
        <v>0</v>
      </c>
      <c r="J469" s="178">
        <f t="shared" si="47"/>
        <v>0</v>
      </c>
      <c r="K469" s="179" t="str">
        <f t="shared" si="44"/>
        <v/>
      </c>
      <c r="L469" s="718"/>
      <c r="M469" s="180" t="str">
        <f t="shared" si="48"/>
        <v/>
      </c>
      <c r="N469" s="531">
        <f t="shared" si="45"/>
        <v>0</v>
      </c>
      <c r="O469" s="531" t="str">
        <f>IF(C469&lt;&gt;"",C469&amp;'סיווג התפקידים והעלויות'!$C$2,"")</f>
        <v/>
      </c>
      <c r="P469" s="531" t="str">
        <f>IF(C469&lt;&gt;"",C469&amp;'סיווג התפקידים והעלויות'!$D$2,"")</f>
        <v/>
      </c>
    </row>
    <row r="470" spans="2:16" ht="15.75" x14ac:dyDescent="0.25">
      <c r="B470" s="176">
        <v>455</v>
      </c>
      <c r="C470" s="176" t="str">
        <f>IF(VLOOKUP(B470,'דוח ביצוע (3)'!$A$21:$B$520,2,0)="","",VLOOKUP(B470,'דוח ביצוע (3)'!$A$21:$B$520,2,0))</f>
        <v/>
      </c>
      <c r="D470" s="177" t="str">
        <f>IFERROR(VLOOKUP($C:$C,'מצבת והרשמה (2)'!$C$20:$N$520,2,0)," ")</f>
        <v/>
      </c>
      <c r="E470" s="177" t="str">
        <f>IFERROR(VLOOKUP(C470,'דוח ביצוע (3)'!B:V,5,0)," ")</f>
        <v xml:space="preserve"> </v>
      </c>
      <c r="F470" s="177" t="str">
        <f t="shared" si="43"/>
        <v/>
      </c>
      <c r="G470" s="179">
        <f>SUMIFS('עלויות כח אדם (6)'!M:M,'עלויות כח אדם (6)'!B:B,' איוש משרות (8)'!C470,'עלויות כח אדם (6)'!N:N,"רכ")</f>
        <v>0</v>
      </c>
      <c r="H470" s="179">
        <f>IFERROR(VLOOKUP(P470,'עלויות כח אדם (6)'!$AE$16:$AF$3014,2,0),0)</f>
        <v>0</v>
      </c>
      <c r="I470" s="178">
        <f t="shared" si="46"/>
        <v>0</v>
      </c>
      <c r="J470" s="178">
        <f t="shared" si="47"/>
        <v>0</v>
      </c>
      <c r="K470" s="179" t="str">
        <f t="shared" si="44"/>
        <v/>
      </c>
      <c r="L470" s="718"/>
      <c r="M470" s="180" t="str">
        <f t="shared" si="48"/>
        <v/>
      </c>
      <c r="N470" s="531">
        <f t="shared" si="45"/>
        <v>0</v>
      </c>
      <c r="O470" s="531" t="str">
        <f>IF(C470&lt;&gt;"",C470&amp;'סיווג התפקידים והעלויות'!$C$2,"")</f>
        <v/>
      </c>
      <c r="P470" s="531" t="str">
        <f>IF(C470&lt;&gt;"",C470&amp;'סיווג התפקידים והעלויות'!$D$2,"")</f>
        <v/>
      </c>
    </row>
    <row r="471" spans="2:16" ht="15.75" x14ac:dyDescent="0.25">
      <c r="B471" s="57">
        <v>456</v>
      </c>
      <c r="C471" s="176" t="str">
        <f>IF(VLOOKUP(B471,'דוח ביצוע (3)'!$A$21:$B$520,2,0)="","",VLOOKUP(B471,'דוח ביצוע (3)'!$A$21:$B$520,2,0))</f>
        <v/>
      </c>
      <c r="D471" s="177" t="str">
        <f>IFERROR(VLOOKUP($C:$C,'מצבת והרשמה (2)'!$C$20:$N$520,2,0)," ")</f>
        <v/>
      </c>
      <c r="E471" s="177" t="str">
        <f>IFERROR(VLOOKUP(C471,'דוח ביצוע (3)'!B:V,5,0)," ")</f>
        <v xml:space="preserve"> </v>
      </c>
      <c r="F471" s="177" t="str">
        <f t="shared" si="43"/>
        <v/>
      </c>
      <c r="G471" s="179">
        <f>SUMIFS('עלויות כח אדם (6)'!M:M,'עלויות כח אדם (6)'!B:B,' איוש משרות (8)'!C471,'עלויות כח אדם (6)'!N:N,"רכ")</f>
        <v>0</v>
      </c>
      <c r="H471" s="179">
        <f>IFERROR(VLOOKUP(P471,'עלויות כח אדם (6)'!$AE$16:$AF$3014,2,0),0)</f>
        <v>0</v>
      </c>
      <c r="I471" s="178">
        <f t="shared" si="46"/>
        <v>0</v>
      </c>
      <c r="J471" s="178">
        <f t="shared" si="47"/>
        <v>0</v>
      </c>
      <c r="K471" s="179" t="str">
        <f t="shared" si="44"/>
        <v/>
      </c>
      <c r="L471" s="718"/>
      <c r="M471" s="180" t="str">
        <f t="shared" si="48"/>
        <v/>
      </c>
      <c r="N471" s="531">
        <f t="shared" si="45"/>
        <v>0</v>
      </c>
      <c r="O471" s="531" t="str">
        <f>IF(C471&lt;&gt;"",C471&amp;'סיווג התפקידים והעלויות'!$C$2,"")</f>
        <v/>
      </c>
      <c r="P471" s="531" t="str">
        <f>IF(C471&lt;&gt;"",C471&amp;'סיווג התפקידים והעלויות'!$D$2,"")</f>
        <v/>
      </c>
    </row>
    <row r="472" spans="2:16" ht="15.75" x14ac:dyDescent="0.25">
      <c r="B472" s="176">
        <v>457</v>
      </c>
      <c r="C472" s="176" t="str">
        <f>IF(VLOOKUP(B472,'דוח ביצוע (3)'!$A$21:$B$520,2,0)="","",VLOOKUP(B472,'דוח ביצוע (3)'!$A$21:$B$520,2,0))</f>
        <v/>
      </c>
      <c r="D472" s="177" t="str">
        <f>IFERROR(VLOOKUP($C:$C,'מצבת והרשמה (2)'!$C$20:$N$520,2,0)," ")</f>
        <v/>
      </c>
      <c r="E472" s="177" t="str">
        <f>IFERROR(VLOOKUP(C472,'דוח ביצוע (3)'!B:V,5,0)," ")</f>
        <v xml:space="preserve"> </v>
      </c>
      <c r="F472" s="177" t="str">
        <f t="shared" si="43"/>
        <v/>
      </c>
      <c r="G472" s="179">
        <f>SUMIFS('עלויות כח אדם (6)'!M:M,'עלויות כח אדם (6)'!B:B,' איוש משרות (8)'!C472,'עלויות כח אדם (6)'!N:N,"רכ")</f>
        <v>0</v>
      </c>
      <c r="H472" s="179">
        <f>IFERROR(VLOOKUP(P472,'עלויות כח אדם (6)'!$AE$16:$AF$3014,2,0),0)</f>
        <v>0</v>
      </c>
      <c r="I472" s="178">
        <f t="shared" si="46"/>
        <v>0</v>
      </c>
      <c r="J472" s="178">
        <f t="shared" si="47"/>
        <v>0</v>
      </c>
      <c r="K472" s="179" t="str">
        <f t="shared" si="44"/>
        <v/>
      </c>
      <c r="L472" s="718"/>
      <c r="M472" s="180" t="str">
        <f t="shared" si="48"/>
        <v/>
      </c>
      <c r="N472" s="531">
        <f t="shared" si="45"/>
        <v>0</v>
      </c>
      <c r="O472" s="531" t="str">
        <f>IF(C472&lt;&gt;"",C472&amp;'סיווג התפקידים והעלויות'!$C$2,"")</f>
        <v/>
      </c>
      <c r="P472" s="531" t="str">
        <f>IF(C472&lt;&gt;"",C472&amp;'סיווג התפקידים והעלויות'!$D$2,"")</f>
        <v/>
      </c>
    </row>
    <row r="473" spans="2:16" ht="15.75" x14ac:dyDescent="0.25">
      <c r="B473" s="57">
        <v>458</v>
      </c>
      <c r="C473" s="176" t="str">
        <f>IF(VLOOKUP(B473,'דוח ביצוע (3)'!$A$21:$B$520,2,0)="","",VLOOKUP(B473,'דוח ביצוע (3)'!$A$21:$B$520,2,0))</f>
        <v/>
      </c>
      <c r="D473" s="177" t="str">
        <f>IFERROR(VLOOKUP($C:$C,'מצבת והרשמה (2)'!$C$20:$N$520,2,0)," ")</f>
        <v/>
      </c>
      <c r="E473" s="177" t="str">
        <f>IFERROR(VLOOKUP(C473,'דוח ביצוע (3)'!B:V,5,0)," ")</f>
        <v xml:space="preserve"> </v>
      </c>
      <c r="F473" s="177" t="str">
        <f t="shared" si="43"/>
        <v/>
      </c>
      <c r="G473" s="179">
        <f>SUMIFS('עלויות כח אדם (6)'!M:M,'עלויות כח אדם (6)'!B:B,' איוש משרות (8)'!C473,'עלויות כח אדם (6)'!N:N,"רכ")</f>
        <v>0</v>
      </c>
      <c r="H473" s="179">
        <f>IFERROR(VLOOKUP(P473,'עלויות כח אדם (6)'!$AE$16:$AF$3014,2,0),0)</f>
        <v>0</v>
      </c>
      <c r="I473" s="178">
        <f t="shared" si="46"/>
        <v>0</v>
      </c>
      <c r="J473" s="178">
        <f t="shared" si="47"/>
        <v>0</v>
      </c>
      <c r="K473" s="179" t="str">
        <f t="shared" si="44"/>
        <v/>
      </c>
      <c r="L473" s="718"/>
      <c r="M473" s="180" t="str">
        <f t="shared" si="48"/>
        <v/>
      </c>
      <c r="N473" s="531">
        <f t="shared" si="45"/>
        <v>0</v>
      </c>
      <c r="O473" s="531" t="str">
        <f>IF(C473&lt;&gt;"",C473&amp;'סיווג התפקידים והעלויות'!$C$2,"")</f>
        <v/>
      </c>
      <c r="P473" s="531" t="str">
        <f>IF(C473&lt;&gt;"",C473&amp;'סיווג התפקידים והעלויות'!$D$2,"")</f>
        <v/>
      </c>
    </row>
    <row r="474" spans="2:16" ht="15.75" x14ac:dyDescent="0.25">
      <c r="B474" s="176">
        <v>459</v>
      </c>
      <c r="C474" s="176" t="str">
        <f>IF(VLOOKUP(B474,'דוח ביצוע (3)'!$A$21:$B$520,2,0)="","",VLOOKUP(B474,'דוח ביצוע (3)'!$A$21:$B$520,2,0))</f>
        <v/>
      </c>
      <c r="D474" s="177" t="str">
        <f>IFERROR(VLOOKUP($C:$C,'מצבת והרשמה (2)'!$C$20:$N$520,2,0)," ")</f>
        <v/>
      </c>
      <c r="E474" s="177" t="str">
        <f>IFERROR(VLOOKUP(C474,'דוח ביצוע (3)'!B:V,5,0)," ")</f>
        <v xml:space="preserve"> </v>
      </c>
      <c r="F474" s="177" t="str">
        <f t="shared" si="43"/>
        <v/>
      </c>
      <c r="G474" s="179">
        <f>SUMIFS('עלויות כח אדם (6)'!M:M,'עלויות כח אדם (6)'!B:B,' איוש משרות (8)'!C474,'עלויות כח אדם (6)'!N:N,"רכ")</f>
        <v>0</v>
      </c>
      <c r="H474" s="179">
        <f>IFERROR(VLOOKUP(P474,'עלויות כח אדם (6)'!$AE$16:$AF$3014,2,0),0)</f>
        <v>0</v>
      </c>
      <c r="I474" s="178">
        <f t="shared" si="46"/>
        <v>0</v>
      </c>
      <c r="J474" s="178">
        <f t="shared" si="47"/>
        <v>0</v>
      </c>
      <c r="K474" s="179" t="str">
        <f t="shared" si="44"/>
        <v/>
      </c>
      <c r="L474" s="718"/>
      <c r="M474" s="180" t="str">
        <f t="shared" si="48"/>
        <v/>
      </c>
      <c r="N474" s="531">
        <f t="shared" si="45"/>
        <v>0</v>
      </c>
      <c r="O474" s="531" t="str">
        <f>IF(C474&lt;&gt;"",C474&amp;'סיווג התפקידים והעלויות'!$C$2,"")</f>
        <v/>
      </c>
      <c r="P474" s="531" t="str">
        <f>IF(C474&lt;&gt;"",C474&amp;'סיווג התפקידים והעלויות'!$D$2,"")</f>
        <v/>
      </c>
    </row>
    <row r="475" spans="2:16" ht="15.75" x14ac:dyDescent="0.25">
      <c r="B475" s="57">
        <v>460</v>
      </c>
      <c r="C475" s="176" t="str">
        <f>IF(VLOOKUP(B475,'דוח ביצוע (3)'!$A$21:$B$520,2,0)="","",VLOOKUP(B475,'דוח ביצוע (3)'!$A$21:$B$520,2,0))</f>
        <v/>
      </c>
      <c r="D475" s="177" t="str">
        <f>IFERROR(VLOOKUP($C:$C,'מצבת והרשמה (2)'!$C$20:$N$520,2,0)," ")</f>
        <v/>
      </c>
      <c r="E475" s="177" t="str">
        <f>IFERROR(VLOOKUP(C475,'דוח ביצוע (3)'!B:V,5,0)," ")</f>
        <v xml:space="preserve"> </v>
      </c>
      <c r="F475" s="177" t="str">
        <f t="shared" si="43"/>
        <v/>
      </c>
      <c r="G475" s="179">
        <f>SUMIFS('עלויות כח אדם (6)'!M:M,'עלויות כח אדם (6)'!B:B,' איוש משרות (8)'!C475,'עלויות כח אדם (6)'!N:N,"רכ")</f>
        <v>0</v>
      </c>
      <c r="H475" s="179">
        <f>IFERROR(VLOOKUP(P475,'עלויות כח אדם (6)'!$AE$16:$AF$3014,2,0),0)</f>
        <v>0</v>
      </c>
      <c r="I475" s="178">
        <f t="shared" si="46"/>
        <v>0</v>
      </c>
      <c r="J475" s="178">
        <f t="shared" si="47"/>
        <v>0</v>
      </c>
      <c r="K475" s="179" t="str">
        <f t="shared" si="44"/>
        <v/>
      </c>
      <c r="L475" s="718"/>
      <c r="M475" s="180" t="str">
        <f t="shared" si="48"/>
        <v/>
      </c>
      <c r="N475" s="531">
        <f t="shared" si="45"/>
        <v>0</v>
      </c>
      <c r="O475" s="531" t="str">
        <f>IF(C475&lt;&gt;"",C475&amp;'סיווג התפקידים והעלויות'!$C$2,"")</f>
        <v/>
      </c>
      <c r="P475" s="531" t="str">
        <f>IF(C475&lt;&gt;"",C475&amp;'סיווג התפקידים והעלויות'!$D$2,"")</f>
        <v/>
      </c>
    </row>
    <row r="476" spans="2:16" ht="15.75" x14ac:dyDescent="0.25">
      <c r="B476" s="176">
        <v>461</v>
      </c>
      <c r="C476" s="176" t="str">
        <f>IF(VLOOKUP(B476,'דוח ביצוע (3)'!$A$21:$B$520,2,0)="","",VLOOKUP(B476,'דוח ביצוע (3)'!$A$21:$B$520,2,0))</f>
        <v/>
      </c>
      <c r="D476" s="177" t="str">
        <f>IFERROR(VLOOKUP($C:$C,'מצבת והרשמה (2)'!$C$20:$N$520,2,0)," ")</f>
        <v/>
      </c>
      <c r="E476" s="177" t="str">
        <f>IFERROR(VLOOKUP(C476,'דוח ביצוע (3)'!B:V,5,0)," ")</f>
        <v xml:space="preserve"> </v>
      </c>
      <c r="F476" s="177" t="str">
        <f t="shared" si="43"/>
        <v/>
      </c>
      <c r="G476" s="179">
        <f>SUMIFS('עלויות כח אדם (6)'!M:M,'עלויות כח אדם (6)'!B:B,' איוש משרות (8)'!C476,'עלויות כח אדם (6)'!N:N,"רכ")</f>
        <v>0</v>
      </c>
      <c r="H476" s="179">
        <f>IFERROR(VLOOKUP(P476,'עלויות כח אדם (6)'!$AE$16:$AF$3014,2,0),0)</f>
        <v>0</v>
      </c>
      <c r="I476" s="178">
        <f t="shared" si="46"/>
        <v>0</v>
      </c>
      <c r="J476" s="178">
        <f t="shared" si="47"/>
        <v>0</v>
      </c>
      <c r="K476" s="179" t="str">
        <f t="shared" si="44"/>
        <v/>
      </c>
      <c r="L476" s="718"/>
      <c r="M476" s="180" t="str">
        <f t="shared" si="48"/>
        <v/>
      </c>
      <c r="N476" s="531">
        <f t="shared" si="45"/>
        <v>0</v>
      </c>
      <c r="O476" s="531" t="str">
        <f>IF(C476&lt;&gt;"",C476&amp;'סיווג התפקידים והעלויות'!$C$2,"")</f>
        <v/>
      </c>
      <c r="P476" s="531" t="str">
        <f>IF(C476&lt;&gt;"",C476&amp;'סיווג התפקידים והעלויות'!$D$2,"")</f>
        <v/>
      </c>
    </row>
    <row r="477" spans="2:16" ht="15.75" x14ac:dyDescent="0.25">
      <c r="B477" s="57">
        <v>462</v>
      </c>
      <c r="C477" s="176" t="str">
        <f>IF(VLOOKUP(B477,'דוח ביצוע (3)'!$A$21:$B$520,2,0)="","",VLOOKUP(B477,'דוח ביצוע (3)'!$A$21:$B$520,2,0))</f>
        <v/>
      </c>
      <c r="D477" s="177" t="str">
        <f>IFERROR(VLOOKUP($C:$C,'מצבת והרשמה (2)'!$C$20:$N$520,2,0)," ")</f>
        <v/>
      </c>
      <c r="E477" s="177" t="str">
        <f>IFERROR(VLOOKUP(C477,'דוח ביצוע (3)'!B:V,5,0)," ")</f>
        <v xml:space="preserve"> </v>
      </c>
      <c r="F477" s="177" t="str">
        <f t="shared" si="43"/>
        <v/>
      </c>
      <c r="G477" s="179">
        <f>SUMIFS('עלויות כח אדם (6)'!M:M,'עלויות כח אדם (6)'!B:B,' איוש משרות (8)'!C477,'עלויות כח אדם (6)'!N:N,"רכ")</f>
        <v>0</v>
      </c>
      <c r="H477" s="179">
        <f>IFERROR(VLOOKUP(P477,'עלויות כח אדם (6)'!$AE$16:$AF$3014,2,0),0)</f>
        <v>0</v>
      </c>
      <c r="I477" s="178">
        <f t="shared" si="46"/>
        <v>0</v>
      </c>
      <c r="J477" s="178">
        <f t="shared" si="47"/>
        <v>0</v>
      </c>
      <c r="K477" s="179" t="str">
        <f t="shared" si="44"/>
        <v/>
      </c>
      <c r="L477" s="718"/>
      <c r="M477" s="180" t="str">
        <f t="shared" si="48"/>
        <v/>
      </c>
      <c r="N477" s="531">
        <f t="shared" si="45"/>
        <v>0</v>
      </c>
      <c r="O477" s="531" t="str">
        <f>IF(C477&lt;&gt;"",C477&amp;'סיווג התפקידים והעלויות'!$C$2,"")</f>
        <v/>
      </c>
      <c r="P477" s="531" t="str">
        <f>IF(C477&lt;&gt;"",C477&amp;'סיווג התפקידים והעלויות'!$D$2,"")</f>
        <v/>
      </c>
    </row>
    <row r="478" spans="2:16" ht="15.75" x14ac:dyDescent="0.25">
      <c r="B478" s="176">
        <v>463</v>
      </c>
      <c r="C478" s="176" t="str">
        <f>IF(VLOOKUP(B478,'דוח ביצוע (3)'!$A$21:$B$520,2,0)="","",VLOOKUP(B478,'דוח ביצוע (3)'!$A$21:$B$520,2,0))</f>
        <v/>
      </c>
      <c r="D478" s="177" t="str">
        <f>IFERROR(VLOOKUP($C:$C,'מצבת והרשמה (2)'!$C$20:$N$520,2,0)," ")</f>
        <v/>
      </c>
      <c r="E478" s="177" t="str">
        <f>IFERROR(VLOOKUP(C478,'דוח ביצוע (3)'!B:V,5,0)," ")</f>
        <v xml:space="preserve"> </v>
      </c>
      <c r="F478" s="177" t="str">
        <f t="shared" si="43"/>
        <v/>
      </c>
      <c r="G478" s="179">
        <f>SUMIFS('עלויות כח אדם (6)'!M:M,'עלויות כח אדם (6)'!B:B,' איוש משרות (8)'!C478,'עלויות כח אדם (6)'!N:N,"רכ")</f>
        <v>0</v>
      </c>
      <c r="H478" s="179">
        <f>IFERROR(VLOOKUP(P478,'עלויות כח אדם (6)'!$AE$16:$AF$3014,2,0),0)</f>
        <v>0</v>
      </c>
      <c r="I478" s="178">
        <f t="shared" si="46"/>
        <v>0</v>
      </c>
      <c r="J478" s="178">
        <f t="shared" si="47"/>
        <v>0</v>
      </c>
      <c r="K478" s="179" t="str">
        <f t="shared" si="44"/>
        <v/>
      </c>
      <c r="L478" s="718"/>
      <c r="M478" s="180" t="str">
        <f t="shared" si="48"/>
        <v/>
      </c>
      <c r="N478" s="531">
        <f t="shared" si="45"/>
        <v>0</v>
      </c>
      <c r="O478" s="531" t="str">
        <f>IF(C478&lt;&gt;"",C478&amp;'סיווג התפקידים והעלויות'!$C$2,"")</f>
        <v/>
      </c>
      <c r="P478" s="531" t="str">
        <f>IF(C478&lt;&gt;"",C478&amp;'סיווג התפקידים והעלויות'!$D$2,"")</f>
        <v/>
      </c>
    </row>
    <row r="479" spans="2:16" ht="15.75" x14ac:dyDescent="0.25">
      <c r="B479" s="57">
        <v>464</v>
      </c>
      <c r="C479" s="176" t="str">
        <f>IF(VLOOKUP(B479,'דוח ביצוע (3)'!$A$21:$B$520,2,0)="","",VLOOKUP(B479,'דוח ביצוע (3)'!$A$21:$B$520,2,0))</f>
        <v/>
      </c>
      <c r="D479" s="177" t="str">
        <f>IFERROR(VLOOKUP($C:$C,'מצבת והרשמה (2)'!$C$20:$N$520,2,0)," ")</f>
        <v/>
      </c>
      <c r="E479" s="177" t="str">
        <f>IFERROR(VLOOKUP(C479,'דוח ביצוע (3)'!B:V,5,0)," ")</f>
        <v xml:space="preserve"> </v>
      </c>
      <c r="F479" s="177" t="str">
        <f t="shared" si="43"/>
        <v/>
      </c>
      <c r="G479" s="179">
        <f>SUMIFS('עלויות כח אדם (6)'!M:M,'עלויות כח אדם (6)'!B:B,' איוש משרות (8)'!C479,'עלויות כח אדם (6)'!N:N,"רכ")</f>
        <v>0</v>
      </c>
      <c r="H479" s="179">
        <f>IFERROR(VLOOKUP(P479,'עלויות כח אדם (6)'!$AE$16:$AF$3014,2,0),0)</f>
        <v>0</v>
      </c>
      <c r="I479" s="178">
        <f t="shared" si="46"/>
        <v>0</v>
      </c>
      <c r="J479" s="178">
        <f t="shared" si="47"/>
        <v>0</v>
      </c>
      <c r="K479" s="179" t="str">
        <f t="shared" si="44"/>
        <v/>
      </c>
      <c r="L479" s="718"/>
      <c r="M479" s="180" t="str">
        <f t="shared" si="48"/>
        <v/>
      </c>
      <c r="N479" s="531">
        <f t="shared" si="45"/>
        <v>0</v>
      </c>
      <c r="O479" s="531" t="str">
        <f>IF(C479&lt;&gt;"",C479&amp;'סיווג התפקידים והעלויות'!$C$2,"")</f>
        <v/>
      </c>
      <c r="P479" s="531" t="str">
        <f>IF(C479&lt;&gt;"",C479&amp;'סיווג התפקידים והעלויות'!$D$2,"")</f>
        <v/>
      </c>
    </row>
    <row r="480" spans="2:16" ht="15.75" x14ac:dyDescent="0.25">
      <c r="B480" s="176">
        <v>465</v>
      </c>
      <c r="C480" s="176" t="str">
        <f>IF(VLOOKUP(B480,'דוח ביצוע (3)'!$A$21:$B$520,2,0)="","",VLOOKUP(B480,'דוח ביצוע (3)'!$A$21:$B$520,2,0))</f>
        <v/>
      </c>
      <c r="D480" s="177" t="str">
        <f>IFERROR(VLOOKUP($C:$C,'מצבת והרשמה (2)'!$C$20:$N$520,2,0)," ")</f>
        <v/>
      </c>
      <c r="E480" s="177" t="str">
        <f>IFERROR(VLOOKUP(C480,'דוח ביצוע (3)'!B:V,5,0)," ")</f>
        <v xml:space="preserve"> </v>
      </c>
      <c r="F480" s="177" t="str">
        <f t="shared" si="43"/>
        <v/>
      </c>
      <c r="G480" s="179">
        <f>SUMIFS('עלויות כח אדם (6)'!M:M,'עלויות כח אדם (6)'!B:B,' איוש משרות (8)'!C480,'עלויות כח אדם (6)'!N:N,"רכ")</f>
        <v>0</v>
      </c>
      <c r="H480" s="179">
        <f>IFERROR(VLOOKUP(P480,'עלויות כח אדם (6)'!$AE$16:$AF$3014,2,0),0)</f>
        <v>0</v>
      </c>
      <c r="I480" s="178">
        <f t="shared" si="46"/>
        <v>0</v>
      </c>
      <c r="J480" s="178">
        <f t="shared" si="47"/>
        <v>0</v>
      </c>
      <c r="K480" s="179" t="str">
        <f t="shared" si="44"/>
        <v/>
      </c>
      <c r="L480" s="718"/>
      <c r="M480" s="180" t="str">
        <f t="shared" si="48"/>
        <v/>
      </c>
      <c r="N480" s="531">
        <f t="shared" si="45"/>
        <v>0</v>
      </c>
      <c r="O480" s="531" t="str">
        <f>IF(C480&lt;&gt;"",C480&amp;'סיווג התפקידים והעלויות'!$C$2,"")</f>
        <v/>
      </c>
      <c r="P480" s="531" t="str">
        <f>IF(C480&lt;&gt;"",C480&amp;'סיווג התפקידים והעלויות'!$D$2,"")</f>
        <v/>
      </c>
    </row>
    <row r="481" spans="2:16" ht="15.75" x14ac:dyDescent="0.25">
      <c r="B481" s="57">
        <v>466</v>
      </c>
      <c r="C481" s="176" t="str">
        <f>IF(VLOOKUP(B481,'דוח ביצוע (3)'!$A$21:$B$520,2,0)="","",VLOOKUP(B481,'דוח ביצוע (3)'!$A$21:$B$520,2,0))</f>
        <v/>
      </c>
      <c r="D481" s="177" t="str">
        <f>IFERROR(VLOOKUP($C:$C,'מצבת והרשמה (2)'!$C$20:$N$520,2,0)," ")</f>
        <v/>
      </c>
      <c r="E481" s="177" t="str">
        <f>IFERROR(VLOOKUP(C481,'דוח ביצוע (3)'!B:V,5,0)," ")</f>
        <v xml:space="preserve"> </v>
      </c>
      <c r="F481" s="177" t="str">
        <f t="shared" si="43"/>
        <v/>
      </c>
      <c r="G481" s="179">
        <f>SUMIFS('עלויות כח אדם (6)'!M:M,'עלויות כח אדם (6)'!B:B,' איוש משרות (8)'!C481,'עלויות כח אדם (6)'!N:N,"רכ")</f>
        <v>0</v>
      </c>
      <c r="H481" s="179">
        <f>IFERROR(VLOOKUP(P481,'עלויות כח אדם (6)'!$AE$16:$AF$3014,2,0),0)</f>
        <v>0</v>
      </c>
      <c r="I481" s="178">
        <f t="shared" si="46"/>
        <v>0</v>
      </c>
      <c r="J481" s="178">
        <f t="shared" si="47"/>
        <v>0</v>
      </c>
      <c r="K481" s="179" t="str">
        <f t="shared" si="44"/>
        <v/>
      </c>
      <c r="L481" s="718"/>
      <c r="M481" s="180" t="str">
        <f t="shared" si="48"/>
        <v/>
      </c>
      <c r="N481" s="531">
        <f t="shared" si="45"/>
        <v>0</v>
      </c>
      <c r="O481" s="531" t="str">
        <f>IF(C481&lt;&gt;"",C481&amp;'סיווג התפקידים והעלויות'!$C$2,"")</f>
        <v/>
      </c>
      <c r="P481" s="531" t="str">
        <f>IF(C481&lt;&gt;"",C481&amp;'סיווג התפקידים והעלויות'!$D$2,"")</f>
        <v/>
      </c>
    </row>
    <row r="482" spans="2:16" ht="15.75" x14ac:dyDescent="0.25">
      <c r="B482" s="176">
        <v>467</v>
      </c>
      <c r="C482" s="176" t="str">
        <f>IF(VLOOKUP(B482,'דוח ביצוע (3)'!$A$21:$B$520,2,0)="","",VLOOKUP(B482,'דוח ביצוע (3)'!$A$21:$B$520,2,0))</f>
        <v/>
      </c>
      <c r="D482" s="177" t="str">
        <f>IFERROR(VLOOKUP($C:$C,'מצבת והרשמה (2)'!$C$20:$N$520,2,0)," ")</f>
        <v/>
      </c>
      <c r="E482" s="177" t="str">
        <f>IFERROR(VLOOKUP(C482,'דוח ביצוע (3)'!B:V,5,0)," ")</f>
        <v xml:space="preserve"> </v>
      </c>
      <c r="F482" s="177" t="str">
        <f t="shared" si="43"/>
        <v/>
      </c>
      <c r="G482" s="179">
        <f>SUMIFS('עלויות כח אדם (6)'!M:M,'עלויות כח אדם (6)'!B:B,' איוש משרות (8)'!C482,'עלויות כח אדם (6)'!N:N,"רכ")</f>
        <v>0</v>
      </c>
      <c r="H482" s="179">
        <f>IFERROR(VLOOKUP(P482,'עלויות כח אדם (6)'!$AE$16:$AF$3014,2,0),0)</f>
        <v>0</v>
      </c>
      <c r="I482" s="178">
        <f t="shared" si="46"/>
        <v>0</v>
      </c>
      <c r="J482" s="178">
        <f t="shared" si="47"/>
        <v>0</v>
      </c>
      <c r="K482" s="179" t="str">
        <f t="shared" si="44"/>
        <v/>
      </c>
      <c r="L482" s="718"/>
      <c r="M482" s="180" t="str">
        <f t="shared" si="48"/>
        <v/>
      </c>
      <c r="N482" s="531">
        <f t="shared" si="45"/>
        <v>0</v>
      </c>
      <c r="O482" s="531" t="str">
        <f>IF(C482&lt;&gt;"",C482&amp;'סיווג התפקידים והעלויות'!$C$2,"")</f>
        <v/>
      </c>
      <c r="P482" s="531" t="str">
        <f>IF(C482&lt;&gt;"",C482&amp;'סיווג התפקידים והעלויות'!$D$2,"")</f>
        <v/>
      </c>
    </row>
    <row r="483" spans="2:16" ht="15.75" x14ac:dyDescent="0.25">
      <c r="B483" s="57">
        <v>468</v>
      </c>
      <c r="C483" s="176" t="str">
        <f>IF(VLOOKUP(B483,'דוח ביצוע (3)'!$A$21:$B$520,2,0)="","",VLOOKUP(B483,'דוח ביצוע (3)'!$A$21:$B$520,2,0))</f>
        <v/>
      </c>
      <c r="D483" s="177" t="str">
        <f>IFERROR(VLOOKUP($C:$C,'מצבת והרשמה (2)'!$C$20:$N$520,2,0)," ")</f>
        <v/>
      </c>
      <c r="E483" s="177" t="str">
        <f>IFERROR(VLOOKUP(C483,'דוח ביצוע (3)'!B:V,5,0)," ")</f>
        <v xml:space="preserve"> </v>
      </c>
      <c r="F483" s="177" t="str">
        <f t="shared" si="43"/>
        <v/>
      </c>
      <c r="G483" s="179">
        <f>SUMIFS('עלויות כח אדם (6)'!M:M,'עלויות כח אדם (6)'!B:B,' איוש משרות (8)'!C483,'עלויות כח אדם (6)'!N:N,"רכ")</f>
        <v>0</v>
      </c>
      <c r="H483" s="179">
        <f>IFERROR(VLOOKUP(P483,'עלויות כח אדם (6)'!$AE$16:$AF$3014,2,0),0)</f>
        <v>0</v>
      </c>
      <c r="I483" s="178">
        <f t="shared" si="46"/>
        <v>0</v>
      </c>
      <c r="J483" s="178">
        <f t="shared" si="47"/>
        <v>0</v>
      </c>
      <c r="K483" s="179" t="str">
        <f t="shared" si="44"/>
        <v/>
      </c>
      <c r="L483" s="718"/>
      <c r="M483" s="180" t="str">
        <f t="shared" si="48"/>
        <v/>
      </c>
      <c r="N483" s="531">
        <f t="shared" si="45"/>
        <v>0</v>
      </c>
      <c r="O483" s="531" t="str">
        <f>IF(C483&lt;&gt;"",C483&amp;'סיווג התפקידים והעלויות'!$C$2,"")</f>
        <v/>
      </c>
      <c r="P483" s="531" t="str">
        <f>IF(C483&lt;&gt;"",C483&amp;'סיווג התפקידים והעלויות'!$D$2,"")</f>
        <v/>
      </c>
    </row>
    <row r="484" spans="2:16" ht="15.75" x14ac:dyDescent="0.25">
      <c r="B484" s="176">
        <v>469</v>
      </c>
      <c r="C484" s="176" t="str">
        <f>IF(VLOOKUP(B484,'דוח ביצוע (3)'!$A$21:$B$520,2,0)="","",VLOOKUP(B484,'דוח ביצוע (3)'!$A$21:$B$520,2,0))</f>
        <v/>
      </c>
      <c r="D484" s="177" t="str">
        <f>IFERROR(VLOOKUP($C:$C,'מצבת והרשמה (2)'!$C$20:$N$520,2,0)," ")</f>
        <v/>
      </c>
      <c r="E484" s="177" t="str">
        <f>IFERROR(VLOOKUP(C484,'דוח ביצוע (3)'!B:V,5,0)," ")</f>
        <v xml:space="preserve"> </v>
      </c>
      <c r="F484" s="177" t="str">
        <f t="shared" si="43"/>
        <v/>
      </c>
      <c r="G484" s="179">
        <f>SUMIFS('עלויות כח אדם (6)'!M:M,'עלויות כח אדם (6)'!B:B,' איוש משרות (8)'!C484,'עלויות כח אדם (6)'!N:N,"רכ")</f>
        <v>0</v>
      </c>
      <c r="H484" s="179">
        <f>IFERROR(VLOOKUP(P484,'עלויות כח אדם (6)'!$AE$16:$AF$3014,2,0),0)</f>
        <v>0</v>
      </c>
      <c r="I484" s="178">
        <f t="shared" si="46"/>
        <v>0</v>
      </c>
      <c r="J484" s="178">
        <f t="shared" si="47"/>
        <v>0</v>
      </c>
      <c r="K484" s="179" t="str">
        <f t="shared" si="44"/>
        <v/>
      </c>
      <c r="L484" s="718"/>
      <c r="M484" s="180" t="str">
        <f t="shared" si="48"/>
        <v/>
      </c>
      <c r="N484" s="531">
        <f t="shared" si="45"/>
        <v>0</v>
      </c>
      <c r="O484" s="531" t="str">
        <f>IF(C484&lt;&gt;"",C484&amp;'סיווג התפקידים והעלויות'!$C$2,"")</f>
        <v/>
      </c>
      <c r="P484" s="531" t="str">
        <f>IF(C484&lt;&gt;"",C484&amp;'סיווג התפקידים והעלויות'!$D$2,"")</f>
        <v/>
      </c>
    </row>
    <row r="485" spans="2:16" ht="15.75" x14ac:dyDescent="0.25">
      <c r="B485" s="57">
        <v>470</v>
      </c>
      <c r="C485" s="176" t="str">
        <f>IF(VLOOKUP(B485,'דוח ביצוע (3)'!$A$21:$B$520,2,0)="","",VLOOKUP(B485,'דוח ביצוע (3)'!$A$21:$B$520,2,0))</f>
        <v/>
      </c>
      <c r="D485" s="177" t="str">
        <f>IFERROR(VLOOKUP($C:$C,'מצבת והרשמה (2)'!$C$20:$N$520,2,0)," ")</f>
        <v/>
      </c>
      <c r="E485" s="177" t="str">
        <f>IFERROR(VLOOKUP(C485,'דוח ביצוע (3)'!B:V,5,0)," ")</f>
        <v xml:space="preserve"> </v>
      </c>
      <c r="F485" s="177" t="str">
        <f t="shared" si="43"/>
        <v/>
      </c>
      <c r="G485" s="179">
        <f>SUMIFS('עלויות כח אדם (6)'!M:M,'עלויות כח אדם (6)'!B:B,' איוש משרות (8)'!C485,'עלויות כח אדם (6)'!N:N,"רכ")</f>
        <v>0</v>
      </c>
      <c r="H485" s="179">
        <f>IFERROR(VLOOKUP(P485,'עלויות כח אדם (6)'!$AE$16:$AF$3014,2,0),0)</f>
        <v>0</v>
      </c>
      <c r="I485" s="178">
        <f t="shared" si="46"/>
        <v>0</v>
      </c>
      <c r="J485" s="178">
        <f t="shared" si="47"/>
        <v>0</v>
      </c>
      <c r="K485" s="179" t="str">
        <f t="shared" si="44"/>
        <v/>
      </c>
      <c r="L485" s="718"/>
      <c r="M485" s="180" t="str">
        <f t="shared" si="48"/>
        <v/>
      </c>
      <c r="N485" s="531">
        <f t="shared" si="45"/>
        <v>0</v>
      </c>
      <c r="O485" s="531" t="str">
        <f>IF(C485&lt;&gt;"",C485&amp;'סיווג התפקידים והעלויות'!$C$2,"")</f>
        <v/>
      </c>
      <c r="P485" s="531" t="str">
        <f>IF(C485&lt;&gt;"",C485&amp;'סיווג התפקידים והעלויות'!$D$2,"")</f>
        <v/>
      </c>
    </row>
    <row r="486" spans="2:16" ht="15.75" x14ac:dyDescent="0.25">
      <c r="B486" s="176">
        <v>471</v>
      </c>
      <c r="C486" s="176" t="str">
        <f>IF(VLOOKUP(B486,'דוח ביצוע (3)'!$A$21:$B$520,2,0)="","",VLOOKUP(B486,'דוח ביצוע (3)'!$A$21:$B$520,2,0))</f>
        <v/>
      </c>
      <c r="D486" s="177" t="str">
        <f>IFERROR(VLOOKUP($C:$C,'מצבת והרשמה (2)'!$C$20:$N$520,2,0)," ")</f>
        <v/>
      </c>
      <c r="E486" s="177" t="str">
        <f>IFERROR(VLOOKUP(C486,'דוח ביצוע (3)'!B:V,5,0)," ")</f>
        <v xml:space="preserve"> </v>
      </c>
      <c r="F486" s="177" t="str">
        <f t="shared" si="43"/>
        <v/>
      </c>
      <c r="G486" s="179">
        <f>SUMIFS('עלויות כח אדם (6)'!M:M,'עלויות כח אדם (6)'!B:B,' איוש משרות (8)'!C486,'עלויות כח אדם (6)'!N:N,"רכ")</f>
        <v>0</v>
      </c>
      <c r="H486" s="179">
        <f>IFERROR(VLOOKUP(P486,'עלויות כח אדם (6)'!$AE$16:$AF$3014,2,0),0)</f>
        <v>0</v>
      </c>
      <c r="I486" s="178">
        <f t="shared" si="46"/>
        <v>0</v>
      </c>
      <c r="J486" s="178">
        <f t="shared" si="47"/>
        <v>0</v>
      </c>
      <c r="K486" s="179" t="str">
        <f t="shared" si="44"/>
        <v/>
      </c>
      <c r="L486" s="718"/>
      <c r="M486" s="180" t="str">
        <f t="shared" si="48"/>
        <v/>
      </c>
      <c r="N486" s="531">
        <f t="shared" si="45"/>
        <v>0</v>
      </c>
      <c r="O486" s="531" t="str">
        <f>IF(C486&lt;&gt;"",C486&amp;'סיווג התפקידים והעלויות'!$C$2,"")</f>
        <v/>
      </c>
      <c r="P486" s="531" t="str">
        <f>IF(C486&lt;&gt;"",C486&amp;'סיווג התפקידים והעלויות'!$D$2,"")</f>
        <v/>
      </c>
    </row>
    <row r="487" spans="2:16" ht="15.75" x14ac:dyDescent="0.25">
      <c r="B487" s="57">
        <v>472</v>
      </c>
      <c r="C487" s="176" t="str">
        <f>IF(VLOOKUP(B487,'דוח ביצוע (3)'!$A$21:$B$520,2,0)="","",VLOOKUP(B487,'דוח ביצוע (3)'!$A$21:$B$520,2,0))</f>
        <v/>
      </c>
      <c r="D487" s="177" t="str">
        <f>IFERROR(VLOOKUP($C:$C,'מצבת והרשמה (2)'!$C$20:$N$520,2,0)," ")</f>
        <v/>
      </c>
      <c r="E487" s="177" t="str">
        <f>IFERROR(VLOOKUP(C487,'דוח ביצוע (3)'!B:V,5,0)," ")</f>
        <v xml:space="preserve"> </v>
      </c>
      <c r="F487" s="177" t="str">
        <f t="shared" si="43"/>
        <v/>
      </c>
      <c r="G487" s="179">
        <f>SUMIFS('עלויות כח אדם (6)'!M:M,'עלויות כח אדם (6)'!B:B,' איוש משרות (8)'!C487,'עלויות כח אדם (6)'!N:N,"רכ")</f>
        <v>0</v>
      </c>
      <c r="H487" s="179">
        <f>IFERROR(VLOOKUP(P487,'עלויות כח אדם (6)'!$AE$16:$AF$3014,2,0),0)</f>
        <v>0</v>
      </c>
      <c r="I487" s="178">
        <f t="shared" si="46"/>
        <v>0</v>
      </c>
      <c r="J487" s="178">
        <f t="shared" si="47"/>
        <v>0</v>
      </c>
      <c r="K487" s="179" t="str">
        <f t="shared" si="44"/>
        <v/>
      </c>
      <c r="L487" s="718"/>
      <c r="M487" s="180" t="str">
        <f t="shared" si="48"/>
        <v/>
      </c>
      <c r="N487" s="531">
        <f t="shared" si="45"/>
        <v>0</v>
      </c>
      <c r="O487" s="531" t="str">
        <f>IF(C487&lt;&gt;"",C487&amp;'סיווג התפקידים והעלויות'!$C$2,"")</f>
        <v/>
      </c>
      <c r="P487" s="531" t="str">
        <f>IF(C487&lt;&gt;"",C487&amp;'סיווג התפקידים והעלויות'!$D$2,"")</f>
        <v/>
      </c>
    </row>
    <row r="488" spans="2:16" ht="15.75" x14ac:dyDescent="0.25">
      <c r="B488" s="176">
        <v>473</v>
      </c>
      <c r="C488" s="176" t="str">
        <f>IF(VLOOKUP(B488,'דוח ביצוע (3)'!$A$21:$B$520,2,0)="","",VLOOKUP(B488,'דוח ביצוע (3)'!$A$21:$B$520,2,0))</f>
        <v/>
      </c>
      <c r="D488" s="177" t="str">
        <f>IFERROR(VLOOKUP($C:$C,'מצבת והרשמה (2)'!$C$20:$N$520,2,0)," ")</f>
        <v/>
      </c>
      <c r="E488" s="177" t="str">
        <f>IFERROR(VLOOKUP(C488,'דוח ביצוע (3)'!B:V,5,0)," ")</f>
        <v xml:space="preserve"> </v>
      </c>
      <c r="F488" s="177" t="str">
        <f t="shared" si="43"/>
        <v/>
      </c>
      <c r="G488" s="179">
        <f>SUMIFS('עלויות כח אדם (6)'!M:M,'עלויות כח אדם (6)'!B:B,' איוש משרות (8)'!C488,'עלויות כח אדם (6)'!N:N,"רכ")</f>
        <v>0</v>
      </c>
      <c r="H488" s="179">
        <f>IFERROR(VLOOKUP(P488,'עלויות כח אדם (6)'!$AE$16:$AF$3014,2,0),0)</f>
        <v>0</v>
      </c>
      <c r="I488" s="178">
        <f t="shared" si="46"/>
        <v>0</v>
      </c>
      <c r="J488" s="178">
        <f t="shared" si="47"/>
        <v>0</v>
      </c>
      <c r="K488" s="179" t="str">
        <f t="shared" si="44"/>
        <v/>
      </c>
      <c r="L488" s="718"/>
      <c r="M488" s="180" t="str">
        <f t="shared" si="48"/>
        <v/>
      </c>
      <c r="N488" s="531">
        <f t="shared" si="45"/>
        <v>0</v>
      </c>
      <c r="O488" s="531" t="str">
        <f>IF(C488&lt;&gt;"",C488&amp;'סיווג התפקידים והעלויות'!$C$2,"")</f>
        <v/>
      </c>
      <c r="P488" s="531" t="str">
        <f>IF(C488&lt;&gt;"",C488&amp;'סיווג התפקידים והעלויות'!$D$2,"")</f>
        <v/>
      </c>
    </row>
    <row r="489" spans="2:16" ht="15.75" x14ac:dyDescent="0.25">
      <c r="B489" s="57">
        <v>474</v>
      </c>
      <c r="C489" s="176" t="str">
        <f>IF(VLOOKUP(B489,'דוח ביצוע (3)'!$A$21:$B$520,2,0)="","",VLOOKUP(B489,'דוח ביצוע (3)'!$A$21:$B$520,2,0))</f>
        <v/>
      </c>
      <c r="D489" s="177" t="str">
        <f>IFERROR(VLOOKUP($C:$C,'מצבת והרשמה (2)'!$C$20:$N$520,2,0)," ")</f>
        <v/>
      </c>
      <c r="E489" s="177" t="str">
        <f>IFERROR(VLOOKUP(C489,'דוח ביצוע (3)'!B:V,5,0)," ")</f>
        <v xml:space="preserve"> </v>
      </c>
      <c r="F489" s="177" t="str">
        <f t="shared" si="43"/>
        <v/>
      </c>
      <c r="G489" s="179">
        <f>SUMIFS('עלויות כח אדם (6)'!M:M,'עלויות כח אדם (6)'!B:B,' איוש משרות (8)'!C489,'עלויות כח אדם (6)'!N:N,"רכ")</f>
        <v>0</v>
      </c>
      <c r="H489" s="179">
        <f>IFERROR(VLOOKUP(P489,'עלויות כח אדם (6)'!$AE$16:$AF$3014,2,0),0)</f>
        <v>0</v>
      </c>
      <c r="I489" s="178">
        <f t="shared" si="46"/>
        <v>0</v>
      </c>
      <c r="J489" s="178">
        <f t="shared" si="47"/>
        <v>0</v>
      </c>
      <c r="K489" s="179" t="str">
        <f t="shared" si="44"/>
        <v/>
      </c>
      <c r="L489" s="718"/>
      <c r="M489" s="180" t="str">
        <f t="shared" si="48"/>
        <v/>
      </c>
      <c r="N489" s="531">
        <f t="shared" si="45"/>
        <v>0</v>
      </c>
      <c r="O489" s="531" t="str">
        <f>IF(C489&lt;&gt;"",C489&amp;'סיווג התפקידים והעלויות'!$C$2,"")</f>
        <v/>
      </c>
      <c r="P489" s="531" t="str">
        <f>IF(C489&lt;&gt;"",C489&amp;'סיווג התפקידים והעלויות'!$D$2,"")</f>
        <v/>
      </c>
    </row>
    <row r="490" spans="2:16" ht="15.75" x14ac:dyDescent="0.25">
      <c r="B490" s="176">
        <v>475</v>
      </c>
      <c r="C490" s="176" t="str">
        <f>IF(VLOOKUP(B490,'דוח ביצוע (3)'!$A$21:$B$520,2,0)="","",VLOOKUP(B490,'דוח ביצוע (3)'!$A$21:$B$520,2,0))</f>
        <v/>
      </c>
      <c r="D490" s="177" t="str">
        <f>IFERROR(VLOOKUP($C:$C,'מצבת והרשמה (2)'!$C$20:$N$520,2,0)," ")</f>
        <v/>
      </c>
      <c r="E490" s="177" t="str">
        <f>IFERROR(VLOOKUP(C490,'דוח ביצוע (3)'!B:V,5,0)," ")</f>
        <v xml:space="preserve"> </v>
      </c>
      <c r="F490" s="177" t="str">
        <f t="shared" si="43"/>
        <v/>
      </c>
      <c r="G490" s="179">
        <f>SUMIFS('עלויות כח אדם (6)'!M:M,'עלויות כח אדם (6)'!B:B,' איוש משרות (8)'!C490,'עלויות כח אדם (6)'!N:N,"רכ")</f>
        <v>0</v>
      </c>
      <c r="H490" s="179">
        <f>IFERROR(VLOOKUP(P490,'עלויות כח אדם (6)'!$AE$16:$AF$3014,2,0),0)</f>
        <v>0</v>
      </c>
      <c r="I490" s="178">
        <f t="shared" si="46"/>
        <v>0</v>
      </c>
      <c r="J490" s="178">
        <f t="shared" si="47"/>
        <v>0</v>
      </c>
      <c r="K490" s="179" t="str">
        <f t="shared" si="44"/>
        <v/>
      </c>
      <c r="L490" s="718"/>
      <c r="M490" s="180" t="str">
        <f t="shared" si="48"/>
        <v/>
      </c>
      <c r="N490" s="531">
        <f t="shared" si="45"/>
        <v>0</v>
      </c>
      <c r="O490" s="531" t="str">
        <f>IF(C490&lt;&gt;"",C490&amp;'סיווג התפקידים והעלויות'!$C$2,"")</f>
        <v/>
      </c>
      <c r="P490" s="531" t="str">
        <f>IF(C490&lt;&gt;"",C490&amp;'סיווג התפקידים והעלויות'!$D$2,"")</f>
        <v/>
      </c>
    </row>
    <row r="491" spans="2:16" ht="15.75" x14ac:dyDescent="0.25">
      <c r="B491" s="57">
        <v>476</v>
      </c>
      <c r="C491" s="176" t="str">
        <f>IF(VLOOKUP(B491,'דוח ביצוע (3)'!$A$21:$B$520,2,0)="","",VLOOKUP(B491,'דוח ביצוע (3)'!$A$21:$B$520,2,0))</f>
        <v/>
      </c>
      <c r="D491" s="177" t="str">
        <f>IFERROR(VLOOKUP($C:$C,'מצבת והרשמה (2)'!$C$20:$N$520,2,0)," ")</f>
        <v/>
      </c>
      <c r="E491" s="177" t="str">
        <f>IFERROR(VLOOKUP(C491,'דוח ביצוע (3)'!B:V,5,0)," ")</f>
        <v xml:space="preserve"> </v>
      </c>
      <c r="F491" s="177" t="str">
        <f t="shared" si="43"/>
        <v/>
      </c>
      <c r="G491" s="179">
        <f>SUMIFS('עלויות כח אדם (6)'!M:M,'עלויות כח אדם (6)'!B:B,' איוש משרות (8)'!C491,'עלויות כח אדם (6)'!N:N,"רכ")</f>
        <v>0</v>
      </c>
      <c r="H491" s="179">
        <f>IFERROR(VLOOKUP(P491,'עלויות כח אדם (6)'!$AE$16:$AF$3014,2,0),0)</f>
        <v>0</v>
      </c>
      <c r="I491" s="178">
        <f t="shared" si="46"/>
        <v>0</v>
      </c>
      <c r="J491" s="178">
        <f t="shared" si="47"/>
        <v>0</v>
      </c>
      <c r="K491" s="179" t="str">
        <f t="shared" si="44"/>
        <v/>
      </c>
      <c r="L491" s="718"/>
      <c r="M491" s="180" t="str">
        <f t="shared" si="48"/>
        <v/>
      </c>
      <c r="N491" s="531">
        <f t="shared" si="45"/>
        <v>0</v>
      </c>
      <c r="O491" s="531" t="str">
        <f>IF(C491&lt;&gt;"",C491&amp;'סיווג התפקידים והעלויות'!$C$2,"")</f>
        <v/>
      </c>
      <c r="P491" s="531" t="str">
        <f>IF(C491&lt;&gt;"",C491&amp;'סיווג התפקידים והעלויות'!$D$2,"")</f>
        <v/>
      </c>
    </row>
    <row r="492" spans="2:16" ht="15.75" x14ac:dyDescent="0.25">
      <c r="B492" s="176">
        <v>477</v>
      </c>
      <c r="C492" s="176" t="str">
        <f>IF(VLOOKUP(B492,'דוח ביצוע (3)'!$A$21:$B$520,2,0)="","",VLOOKUP(B492,'דוח ביצוע (3)'!$A$21:$B$520,2,0))</f>
        <v/>
      </c>
      <c r="D492" s="177" t="str">
        <f>IFERROR(VLOOKUP($C:$C,'מצבת והרשמה (2)'!$C$20:$N$520,2,0)," ")</f>
        <v/>
      </c>
      <c r="E492" s="177" t="str">
        <f>IFERROR(VLOOKUP(C492,'דוח ביצוע (3)'!B:V,5,0)," ")</f>
        <v xml:space="preserve"> </v>
      </c>
      <c r="F492" s="177" t="str">
        <f t="shared" si="43"/>
        <v/>
      </c>
      <c r="G492" s="179">
        <f>SUMIFS('עלויות כח אדם (6)'!M:M,'עלויות כח אדם (6)'!B:B,' איוש משרות (8)'!C492,'עלויות כח אדם (6)'!N:N,"רכ")</f>
        <v>0</v>
      </c>
      <c r="H492" s="179">
        <f>IFERROR(VLOOKUP(P492,'עלויות כח אדם (6)'!$AE$16:$AF$3014,2,0),0)</f>
        <v>0</v>
      </c>
      <c r="I492" s="178">
        <f t="shared" si="46"/>
        <v>0</v>
      </c>
      <c r="J492" s="178">
        <f t="shared" si="47"/>
        <v>0</v>
      </c>
      <c r="K492" s="179" t="str">
        <f t="shared" si="44"/>
        <v/>
      </c>
      <c r="L492" s="718"/>
      <c r="M492" s="180" t="str">
        <f t="shared" si="48"/>
        <v/>
      </c>
      <c r="N492" s="531">
        <f t="shared" si="45"/>
        <v>0</v>
      </c>
      <c r="O492" s="531" t="str">
        <f>IF(C492&lt;&gt;"",C492&amp;'סיווג התפקידים והעלויות'!$C$2,"")</f>
        <v/>
      </c>
      <c r="P492" s="531" t="str">
        <f>IF(C492&lt;&gt;"",C492&amp;'סיווג התפקידים והעלויות'!$D$2,"")</f>
        <v/>
      </c>
    </row>
    <row r="493" spans="2:16" ht="15.75" x14ac:dyDescent="0.25">
      <c r="B493" s="57">
        <v>478</v>
      </c>
      <c r="C493" s="176" t="str">
        <f>IF(VLOOKUP(B493,'דוח ביצוע (3)'!$A$21:$B$520,2,0)="","",VLOOKUP(B493,'דוח ביצוע (3)'!$A$21:$B$520,2,0))</f>
        <v/>
      </c>
      <c r="D493" s="177" t="str">
        <f>IFERROR(VLOOKUP($C:$C,'מצבת והרשמה (2)'!$C$20:$N$520,2,0)," ")</f>
        <v/>
      </c>
      <c r="E493" s="177" t="str">
        <f>IFERROR(VLOOKUP(C493,'דוח ביצוע (3)'!B:V,5,0)," ")</f>
        <v xml:space="preserve"> </v>
      </c>
      <c r="F493" s="177" t="str">
        <f t="shared" si="43"/>
        <v/>
      </c>
      <c r="G493" s="179">
        <f>SUMIFS('עלויות כח אדם (6)'!M:M,'עלויות כח אדם (6)'!B:B,' איוש משרות (8)'!C493,'עלויות כח אדם (6)'!N:N,"רכ")</f>
        <v>0</v>
      </c>
      <c r="H493" s="179">
        <f>IFERROR(VLOOKUP(P493,'עלויות כח אדם (6)'!$AE$16:$AF$3014,2,0),0)</f>
        <v>0</v>
      </c>
      <c r="I493" s="178">
        <f t="shared" si="46"/>
        <v>0</v>
      </c>
      <c r="J493" s="178">
        <f t="shared" si="47"/>
        <v>0</v>
      </c>
      <c r="K493" s="179" t="str">
        <f t="shared" si="44"/>
        <v/>
      </c>
      <c r="L493" s="718"/>
      <c r="M493" s="180" t="str">
        <f t="shared" si="48"/>
        <v/>
      </c>
      <c r="N493" s="531">
        <f t="shared" si="45"/>
        <v>0</v>
      </c>
      <c r="O493" s="531" t="str">
        <f>IF(C493&lt;&gt;"",C493&amp;'סיווג התפקידים והעלויות'!$C$2,"")</f>
        <v/>
      </c>
      <c r="P493" s="531" t="str">
        <f>IF(C493&lt;&gt;"",C493&amp;'סיווג התפקידים והעלויות'!$D$2,"")</f>
        <v/>
      </c>
    </row>
    <row r="494" spans="2:16" ht="15.75" x14ac:dyDescent="0.25">
      <c r="B494" s="176">
        <v>479</v>
      </c>
      <c r="C494" s="176" t="str">
        <f>IF(VLOOKUP(B494,'דוח ביצוע (3)'!$A$21:$B$520,2,0)="","",VLOOKUP(B494,'דוח ביצוע (3)'!$A$21:$B$520,2,0))</f>
        <v/>
      </c>
      <c r="D494" s="177" t="str">
        <f>IFERROR(VLOOKUP($C:$C,'מצבת והרשמה (2)'!$C$20:$N$520,2,0)," ")</f>
        <v/>
      </c>
      <c r="E494" s="177" t="str">
        <f>IFERROR(VLOOKUP(C494,'דוח ביצוע (3)'!B:V,5,0)," ")</f>
        <v xml:space="preserve"> </v>
      </c>
      <c r="F494" s="177" t="str">
        <f t="shared" si="43"/>
        <v/>
      </c>
      <c r="G494" s="179">
        <f>SUMIFS('עלויות כח אדם (6)'!M:M,'עלויות כח אדם (6)'!B:B,' איוש משרות (8)'!C494,'עלויות כח אדם (6)'!N:N,"רכ")</f>
        <v>0</v>
      </c>
      <c r="H494" s="179">
        <f>IFERROR(VLOOKUP(P494,'עלויות כח אדם (6)'!$AE$16:$AF$3014,2,0),0)</f>
        <v>0</v>
      </c>
      <c r="I494" s="178">
        <f t="shared" si="46"/>
        <v>0</v>
      </c>
      <c r="J494" s="178">
        <f t="shared" si="47"/>
        <v>0</v>
      </c>
      <c r="K494" s="179" t="str">
        <f t="shared" si="44"/>
        <v/>
      </c>
      <c r="L494" s="718"/>
      <c r="M494" s="180" t="str">
        <f t="shared" si="48"/>
        <v/>
      </c>
      <c r="N494" s="531">
        <f t="shared" si="45"/>
        <v>0</v>
      </c>
      <c r="O494" s="531" t="str">
        <f>IF(C494&lt;&gt;"",C494&amp;'סיווג התפקידים והעלויות'!$C$2,"")</f>
        <v/>
      </c>
      <c r="P494" s="531" t="str">
        <f>IF(C494&lt;&gt;"",C494&amp;'סיווג התפקידים והעלויות'!$D$2,"")</f>
        <v/>
      </c>
    </row>
    <row r="495" spans="2:16" ht="15.75" x14ac:dyDescent="0.25">
      <c r="B495" s="57">
        <v>480</v>
      </c>
      <c r="C495" s="176" t="str">
        <f>IF(VLOOKUP(B495,'דוח ביצוע (3)'!$A$21:$B$520,2,0)="","",VLOOKUP(B495,'דוח ביצוע (3)'!$A$21:$B$520,2,0))</f>
        <v/>
      </c>
      <c r="D495" s="177" t="str">
        <f>IFERROR(VLOOKUP($C:$C,'מצבת והרשמה (2)'!$C$20:$N$520,2,0)," ")</f>
        <v/>
      </c>
      <c r="E495" s="177" t="str">
        <f>IFERROR(VLOOKUP(C495,'דוח ביצוע (3)'!B:V,5,0)," ")</f>
        <v xml:space="preserve"> </v>
      </c>
      <c r="F495" s="177" t="str">
        <f t="shared" si="43"/>
        <v/>
      </c>
      <c r="G495" s="179">
        <f>SUMIFS('עלויות כח אדם (6)'!M:M,'עלויות כח אדם (6)'!B:B,' איוש משרות (8)'!C495,'עלויות כח אדם (6)'!N:N,"רכ")</f>
        <v>0</v>
      </c>
      <c r="H495" s="179">
        <f>IFERROR(VLOOKUP(P495,'עלויות כח אדם (6)'!$AE$16:$AF$3014,2,0),0)</f>
        <v>0</v>
      </c>
      <c r="I495" s="178">
        <f t="shared" si="46"/>
        <v>0</v>
      </c>
      <c r="J495" s="178">
        <f t="shared" si="47"/>
        <v>0</v>
      </c>
      <c r="K495" s="179" t="str">
        <f t="shared" si="44"/>
        <v/>
      </c>
      <c r="L495" s="718"/>
      <c r="M495" s="180" t="str">
        <f t="shared" si="48"/>
        <v/>
      </c>
      <c r="N495" s="531">
        <f t="shared" si="45"/>
        <v>0</v>
      </c>
      <c r="O495" s="531" t="str">
        <f>IF(C495&lt;&gt;"",C495&amp;'סיווג התפקידים והעלויות'!$C$2,"")</f>
        <v/>
      </c>
      <c r="P495" s="531" t="str">
        <f>IF(C495&lt;&gt;"",C495&amp;'סיווג התפקידים והעלויות'!$D$2,"")</f>
        <v/>
      </c>
    </row>
    <row r="496" spans="2:16" ht="15.75" x14ac:dyDescent="0.25">
      <c r="B496" s="176">
        <v>481</v>
      </c>
      <c r="C496" s="176" t="str">
        <f>IF(VLOOKUP(B496,'דוח ביצוע (3)'!$A$21:$B$520,2,0)="","",VLOOKUP(B496,'דוח ביצוע (3)'!$A$21:$B$520,2,0))</f>
        <v/>
      </c>
      <c r="D496" s="177" t="str">
        <f>IFERROR(VLOOKUP($C:$C,'מצבת והרשמה (2)'!$C$20:$N$520,2,0)," ")</f>
        <v/>
      </c>
      <c r="E496" s="177" t="str">
        <f>IFERROR(VLOOKUP(C496,'דוח ביצוע (3)'!B:V,5,0)," ")</f>
        <v xml:space="preserve"> </v>
      </c>
      <c r="F496" s="177" t="str">
        <f t="shared" si="43"/>
        <v/>
      </c>
      <c r="G496" s="179">
        <f>SUMIFS('עלויות כח אדם (6)'!M:M,'עלויות כח אדם (6)'!B:B,' איוש משרות (8)'!C496,'עלויות כח אדם (6)'!N:N,"רכ")</f>
        <v>0</v>
      </c>
      <c r="H496" s="179">
        <f>IFERROR(VLOOKUP(P496,'עלויות כח אדם (6)'!$AE$16:$AF$3014,2,0),0)</f>
        <v>0</v>
      </c>
      <c r="I496" s="178">
        <f t="shared" si="46"/>
        <v>0</v>
      </c>
      <c r="J496" s="178">
        <f t="shared" si="47"/>
        <v>0</v>
      </c>
      <c r="K496" s="179" t="str">
        <f t="shared" si="44"/>
        <v/>
      </c>
      <c r="L496" s="718"/>
      <c r="M496" s="180" t="str">
        <f t="shared" si="48"/>
        <v/>
      </c>
      <c r="N496" s="531">
        <f t="shared" si="45"/>
        <v>0</v>
      </c>
      <c r="O496" s="531" t="str">
        <f>IF(C496&lt;&gt;"",C496&amp;'סיווג התפקידים והעלויות'!$C$2,"")</f>
        <v/>
      </c>
      <c r="P496" s="531" t="str">
        <f>IF(C496&lt;&gt;"",C496&amp;'סיווג התפקידים והעלויות'!$D$2,"")</f>
        <v/>
      </c>
    </row>
    <row r="497" spans="2:16" ht="15.75" x14ac:dyDescent="0.25">
      <c r="B497" s="57">
        <v>482</v>
      </c>
      <c r="C497" s="176" t="str">
        <f>IF(VLOOKUP(B497,'דוח ביצוע (3)'!$A$21:$B$520,2,0)="","",VLOOKUP(B497,'דוח ביצוע (3)'!$A$21:$B$520,2,0))</f>
        <v/>
      </c>
      <c r="D497" s="177" t="str">
        <f>IFERROR(VLOOKUP($C:$C,'מצבת והרשמה (2)'!$C$20:$N$520,2,0)," ")</f>
        <v/>
      </c>
      <c r="E497" s="177" t="str">
        <f>IFERROR(VLOOKUP(C497,'דוח ביצוע (3)'!B:V,5,0)," ")</f>
        <v xml:space="preserve"> </v>
      </c>
      <c r="F497" s="177" t="str">
        <f t="shared" si="43"/>
        <v/>
      </c>
      <c r="G497" s="179">
        <f>SUMIFS('עלויות כח אדם (6)'!M:M,'עלויות כח אדם (6)'!B:B,' איוש משרות (8)'!C497,'עלויות כח אדם (6)'!N:N,"רכ")</f>
        <v>0</v>
      </c>
      <c r="H497" s="179">
        <f>IFERROR(VLOOKUP(P497,'עלויות כח אדם (6)'!$AE$16:$AF$3014,2,0),0)</f>
        <v>0</v>
      </c>
      <c r="I497" s="178">
        <f t="shared" si="46"/>
        <v>0</v>
      </c>
      <c r="J497" s="178">
        <f t="shared" si="47"/>
        <v>0</v>
      </c>
      <c r="K497" s="179" t="str">
        <f t="shared" si="44"/>
        <v/>
      </c>
      <c r="L497" s="718"/>
      <c r="M497" s="180" t="str">
        <f t="shared" si="48"/>
        <v/>
      </c>
      <c r="N497" s="531">
        <f t="shared" si="45"/>
        <v>0</v>
      </c>
      <c r="O497" s="531" t="str">
        <f>IF(C497&lt;&gt;"",C497&amp;'סיווג התפקידים והעלויות'!$C$2,"")</f>
        <v/>
      </c>
      <c r="P497" s="531" t="str">
        <f>IF(C497&lt;&gt;"",C497&amp;'סיווג התפקידים והעלויות'!$D$2,"")</f>
        <v/>
      </c>
    </row>
    <row r="498" spans="2:16" ht="15.75" x14ac:dyDescent="0.25">
      <c r="B498" s="176">
        <v>483</v>
      </c>
      <c r="C498" s="176" t="str">
        <f>IF(VLOOKUP(B498,'דוח ביצוע (3)'!$A$21:$B$520,2,0)="","",VLOOKUP(B498,'דוח ביצוע (3)'!$A$21:$B$520,2,0))</f>
        <v/>
      </c>
      <c r="D498" s="177" t="str">
        <f>IFERROR(VLOOKUP($C:$C,'מצבת והרשמה (2)'!$C$20:$N$520,2,0)," ")</f>
        <v/>
      </c>
      <c r="E498" s="177" t="str">
        <f>IFERROR(VLOOKUP(C498,'דוח ביצוע (3)'!B:V,5,0)," ")</f>
        <v xml:space="preserve"> </v>
      </c>
      <c r="F498" s="177" t="str">
        <f t="shared" si="43"/>
        <v/>
      </c>
      <c r="G498" s="179">
        <f>SUMIFS('עלויות כח אדם (6)'!M:M,'עלויות כח אדם (6)'!B:B,' איוש משרות (8)'!C498,'עלויות כח אדם (6)'!N:N,"רכ")</f>
        <v>0</v>
      </c>
      <c r="H498" s="179">
        <f>IFERROR(VLOOKUP(P498,'עלויות כח אדם (6)'!$AE$16:$AF$3014,2,0),0)</f>
        <v>0</v>
      </c>
      <c r="I498" s="178">
        <f t="shared" si="46"/>
        <v>0</v>
      </c>
      <c r="J498" s="178">
        <f t="shared" si="47"/>
        <v>0</v>
      </c>
      <c r="K498" s="179" t="str">
        <f t="shared" si="44"/>
        <v/>
      </c>
      <c r="L498" s="718"/>
      <c r="M498" s="180" t="str">
        <f t="shared" si="48"/>
        <v/>
      </c>
      <c r="N498" s="531">
        <f t="shared" si="45"/>
        <v>0</v>
      </c>
      <c r="O498" s="531" t="str">
        <f>IF(C498&lt;&gt;"",C498&amp;'סיווג התפקידים והעלויות'!$C$2,"")</f>
        <v/>
      </c>
      <c r="P498" s="531" t="str">
        <f>IF(C498&lt;&gt;"",C498&amp;'סיווג התפקידים והעלויות'!$D$2,"")</f>
        <v/>
      </c>
    </row>
    <row r="499" spans="2:16" ht="15.75" x14ac:dyDescent="0.25">
      <c r="B499" s="57">
        <v>484</v>
      </c>
      <c r="C499" s="176" t="str">
        <f>IF(VLOOKUP(B499,'דוח ביצוע (3)'!$A$21:$B$520,2,0)="","",VLOOKUP(B499,'דוח ביצוע (3)'!$A$21:$B$520,2,0))</f>
        <v/>
      </c>
      <c r="D499" s="177" t="str">
        <f>IFERROR(VLOOKUP($C:$C,'מצבת והרשמה (2)'!$C$20:$N$520,2,0)," ")</f>
        <v/>
      </c>
      <c r="E499" s="177" t="str">
        <f>IFERROR(VLOOKUP(C499,'דוח ביצוע (3)'!B:V,5,0)," ")</f>
        <v xml:space="preserve"> </v>
      </c>
      <c r="F499" s="177" t="str">
        <f t="shared" si="43"/>
        <v/>
      </c>
      <c r="G499" s="179">
        <f>SUMIFS('עלויות כח אדם (6)'!M:M,'עלויות כח אדם (6)'!B:B,' איוש משרות (8)'!C499,'עלויות כח אדם (6)'!N:N,"רכ")</f>
        <v>0</v>
      </c>
      <c r="H499" s="179">
        <f>IFERROR(VLOOKUP(P499,'עלויות כח אדם (6)'!$AE$16:$AF$3014,2,0),0)</f>
        <v>0</v>
      </c>
      <c r="I499" s="178">
        <f t="shared" si="46"/>
        <v>0</v>
      </c>
      <c r="J499" s="178">
        <f t="shared" si="47"/>
        <v>0</v>
      </c>
      <c r="K499" s="179" t="str">
        <f t="shared" si="44"/>
        <v/>
      </c>
      <c r="L499" s="718"/>
      <c r="M499" s="180" t="str">
        <f t="shared" si="48"/>
        <v/>
      </c>
      <c r="N499" s="531">
        <f t="shared" si="45"/>
        <v>0</v>
      </c>
      <c r="O499" s="531" t="str">
        <f>IF(C499&lt;&gt;"",C499&amp;'סיווג התפקידים והעלויות'!$C$2,"")</f>
        <v/>
      </c>
      <c r="P499" s="531" t="str">
        <f>IF(C499&lt;&gt;"",C499&amp;'סיווג התפקידים והעלויות'!$D$2,"")</f>
        <v/>
      </c>
    </row>
    <row r="500" spans="2:16" ht="15.75" x14ac:dyDescent="0.25">
      <c r="B500" s="176">
        <v>485</v>
      </c>
      <c r="C500" s="176" t="str">
        <f>IF(VLOOKUP(B500,'דוח ביצוע (3)'!$A$21:$B$520,2,0)="","",VLOOKUP(B500,'דוח ביצוע (3)'!$A$21:$B$520,2,0))</f>
        <v/>
      </c>
      <c r="D500" s="177" t="str">
        <f>IFERROR(VLOOKUP($C:$C,'מצבת והרשמה (2)'!$C$20:$N$520,2,0)," ")</f>
        <v/>
      </c>
      <c r="E500" s="177" t="str">
        <f>IFERROR(VLOOKUP(C500,'דוח ביצוע (3)'!B:V,5,0)," ")</f>
        <v xml:space="preserve"> </v>
      </c>
      <c r="F500" s="177" t="str">
        <f t="shared" si="43"/>
        <v/>
      </c>
      <c r="G500" s="179">
        <f>SUMIFS('עלויות כח אדם (6)'!M:M,'עלויות כח אדם (6)'!B:B,' איוש משרות (8)'!C500,'עלויות כח אדם (6)'!N:N,"רכ")</f>
        <v>0</v>
      </c>
      <c r="H500" s="179">
        <f>IFERROR(VLOOKUP(P500,'עלויות כח אדם (6)'!$AE$16:$AF$3014,2,0),0)</f>
        <v>0</v>
      </c>
      <c r="I500" s="178">
        <f t="shared" si="46"/>
        <v>0</v>
      </c>
      <c r="J500" s="178">
        <f t="shared" si="47"/>
        <v>0</v>
      </c>
      <c r="K500" s="179" t="str">
        <f t="shared" si="44"/>
        <v/>
      </c>
      <c r="L500" s="718"/>
      <c r="M500" s="180" t="str">
        <f t="shared" si="48"/>
        <v/>
      </c>
      <c r="N500" s="531">
        <f t="shared" si="45"/>
        <v>0</v>
      </c>
      <c r="O500" s="531" t="str">
        <f>IF(C500&lt;&gt;"",C500&amp;'סיווג התפקידים והעלויות'!$C$2,"")</f>
        <v/>
      </c>
      <c r="P500" s="531" t="str">
        <f>IF(C500&lt;&gt;"",C500&amp;'סיווג התפקידים והעלויות'!$D$2,"")</f>
        <v/>
      </c>
    </row>
    <row r="501" spans="2:16" ht="15.75" x14ac:dyDescent="0.25">
      <c r="B501" s="57">
        <v>486</v>
      </c>
      <c r="C501" s="176" t="str">
        <f>IF(VLOOKUP(B501,'דוח ביצוע (3)'!$A$21:$B$520,2,0)="","",VLOOKUP(B501,'דוח ביצוע (3)'!$A$21:$B$520,2,0))</f>
        <v/>
      </c>
      <c r="D501" s="177" t="str">
        <f>IFERROR(VLOOKUP($C:$C,'מצבת והרשמה (2)'!$C$20:$N$520,2,0)," ")</f>
        <v/>
      </c>
      <c r="E501" s="177" t="str">
        <f>IFERROR(VLOOKUP(C501,'דוח ביצוע (3)'!B:V,5,0)," ")</f>
        <v xml:space="preserve"> </v>
      </c>
      <c r="F501" s="177" t="str">
        <f t="shared" si="43"/>
        <v/>
      </c>
      <c r="G501" s="179">
        <f>SUMIFS('עלויות כח אדם (6)'!M:M,'עלויות כח אדם (6)'!B:B,' איוש משרות (8)'!C501,'עלויות כח אדם (6)'!N:N,"רכ")</f>
        <v>0</v>
      </c>
      <c r="H501" s="179">
        <f>IFERROR(VLOOKUP(P501,'עלויות כח אדם (6)'!$AE$16:$AF$3014,2,0),0)</f>
        <v>0</v>
      </c>
      <c r="I501" s="178">
        <f t="shared" si="46"/>
        <v>0</v>
      </c>
      <c r="J501" s="178">
        <f t="shared" si="47"/>
        <v>0</v>
      </c>
      <c r="K501" s="179" t="str">
        <f t="shared" si="44"/>
        <v/>
      </c>
      <c r="L501" s="718"/>
      <c r="M501" s="180" t="str">
        <f t="shared" si="48"/>
        <v/>
      </c>
      <c r="N501" s="531">
        <f t="shared" si="45"/>
        <v>0</v>
      </c>
      <c r="O501" s="531" t="str">
        <f>IF(C501&lt;&gt;"",C501&amp;'סיווג התפקידים והעלויות'!$C$2,"")</f>
        <v/>
      </c>
      <c r="P501" s="531" t="str">
        <f>IF(C501&lt;&gt;"",C501&amp;'סיווג התפקידים והעלויות'!$D$2,"")</f>
        <v/>
      </c>
    </row>
    <row r="502" spans="2:16" ht="15.75" x14ac:dyDescent="0.25">
      <c r="B502" s="176">
        <v>487</v>
      </c>
      <c r="C502" s="176" t="str">
        <f>IF(VLOOKUP(B502,'דוח ביצוע (3)'!$A$21:$B$520,2,0)="","",VLOOKUP(B502,'דוח ביצוע (3)'!$A$21:$B$520,2,0))</f>
        <v/>
      </c>
      <c r="D502" s="177" t="str">
        <f>IFERROR(VLOOKUP($C:$C,'מצבת והרשמה (2)'!$C$20:$N$520,2,0)," ")</f>
        <v/>
      </c>
      <c r="E502" s="177" t="str">
        <f>IFERROR(VLOOKUP(C502,'דוח ביצוע (3)'!B:V,5,0)," ")</f>
        <v xml:space="preserve"> </v>
      </c>
      <c r="F502" s="177" t="str">
        <f t="shared" si="43"/>
        <v/>
      </c>
      <c r="G502" s="179">
        <f>SUMIFS('עלויות כח אדם (6)'!M:M,'עלויות כח אדם (6)'!B:B,' איוש משרות (8)'!C502,'עלויות כח אדם (6)'!N:N,"רכ")</f>
        <v>0</v>
      </c>
      <c r="H502" s="179">
        <f>IFERROR(VLOOKUP(P502,'עלויות כח אדם (6)'!$AE$16:$AF$3014,2,0),0)</f>
        <v>0</v>
      </c>
      <c r="I502" s="178">
        <f t="shared" si="46"/>
        <v>0</v>
      </c>
      <c r="J502" s="178">
        <f t="shared" si="47"/>
        <v>0</v>
      </c>
      <c r="K502" s="179" t="str">
        <f t="shared" si="44"/>
        <v/>
      </c>
      <c r="L502" s="718"/>
      <c r="M502" s="180" t="str">
        <f t="shared" si="48"/>
        <v/>
      </c>
      <c r="N502" s="531">
        <f t="shared" si="45"/>
        <v>0</v>
      </c>
      <c r="O502" s="531" t="str">
        <f>IF(C502&lt;&gt;"",C502&amp;'סיווג התפקידים והעלויות'!$C$2,"")</f>
        <v/>
      </c>
      <c r="P502" s="531" t="str">
        <f>IF(C502&lt;&gt;"",C502&amp;'סיווג התפקידים והעלויות'!$D$2,"")</f>
        <v/>
      </c>
    </row>
    <row r="503" spans="2:16" ht="15.75" x14ac:dyDescent="0.25">
      <c r="B503" s="57">
        <v>488</v>
      </c>
      <c r="C503" s="176" t="str">
        <f>IF(VLOOKUP(B503,'דוח ביצוע (3)'!$A$21:$B$520,2,0)="","",VLOOKUP(B503,'דוח ביצוע (3)'!$A$21:$B$520,2,0))</f>
        <v/>
      </c>
      <c r="D503" s="177" t="str">
        <f>IFERROR(VLOOKUP($C:$C,'מצבת והרשמה (2)'!$C$20:$N$520,2,0)," ")</f>
        <v/>
      </c>
      <c r="E503" s="177" t="str">
        <f>IFERROR(VLOOKUP(C503,'דוח ביצוע (3)'!B:V,5,0)," ")</f>
        <v xml:space="preserve"> </v>
      </c>
      <c r="F503" s="177" t="str">
        <f t="shared" si="43"/>
        <v/>
      </c>
      <c r="G503" s="179">
        <f>SUMIFS('עלויות כח אדם (6)'!M:M,'עלויות כח אדם (6)'!B:B,' איוש משרות (8)'!C503,'עלויות כח אדם (6)'!N:N,"רכ")</f>
        <v>0</v>
      </c>
      <c r="H503" s="179">
        <f>IFERROR(VLOOKUP(P503,'עלויות כח אדם (6)'!$AE$16:$AF$3014,2,0),0)</f>
        <v>0</v>
      </c>
      <c r="I503" s="178">
        <f t="shared" si="46"/>
        <v>0</v>
      </c>
      <c r="J503" s="178">
        <f t="shared" si="47"/>
        <v>0</v>
      </c>
      <c r="K503" s="179" t="str">
        <f t="shared" si="44"/>
        <v/>
      </c>
      <c r="L503" s="718"/>
      <c r="M503" s="180" t="str">
        <f t="shared" si="48"/>
        <v/>
      </c>
      <c r="N503" s="531">
        <f t="shared" si="45"/>
        <v>0</v>
      </c>
      <c r="O503" s="531" t="str">
        <f>IF(C503&lt;&gt;"",C503&amp;'סיווג התפקידים והעלויות'!$C$2,"")</f>
        <v/>
      </c>
      <c r="P503" s="531" t="str">
        <f>IF(C503&lt;&gt;"",C503&amp;'סיווג התפקידים והעלויות'!$D$2,"")</f>
        <v/>
      </c>
    </row>
    <row r="504" spans="2:16" ht="15.75" x14ac:dyDescent="0.25">
      <c r="B504" s="176">
        <v>489</v>
      </c>
      <c r="C504" s="176" t="str">
        <f>IF(VLOOKUP(B504,'דוח ביצוע (3)'!$A$21:$B$520,2,0)="","",VLOOKUP(B504,'דוח ביצוע (3)'!$A$21:$B$520,2,0))</f>
        <v/>
      </c>
      <c r="D504" s="177" t="str">
        <f>IFERROR(VLOOKUP($C:$C,'מצבת והרשמה (2)'!$C$20:$N$520,2,0)," ")</f>
        <v/>
      </c>
      <c r="E504" s="177" t="str">
        <f>IFERROR(VLOOKUP(C504,'דוח ביצוע (3)'!B:V,5,0)," ")</f>
        <v xml:space="preserve"> </v>
      </c>
      <c r="F504" s="177" t="str">
        <f t="shared" si="43"/>
        <v/>
      </c>
      <c r="G504" s="179">
        <f>SUMIFS('עלויות כח אדם (6)'!M:M,'עלויות כח אדם (6)'!B:B,' איוש משרות (8)'!C504,'עלויות כח אדם (6)'!N:N,"רכ")</f>
        <v>0</v>
      </c>
      <c r="H504" s="179">
        <f>IFERROR(VLOOKUP(P504,'עלויות כח אדם (6)'!$AE$16:$AF$3014,2,0),0)</f>
        <v>0</v>
      </c>
      <c r="I504" s="178">
        <f t="shared" si="46"/>
        <v>0</v>
      </c>
      <c r="J504" s="178">
        <f t="shared" si="47"/>
        <v>0</v>
      </c>
      <c r="K504" s="179" t="str">
        <f t="shared" si="44"/>
        <v/>
      </c>
      <c r="L504" s="718"/>
      <c r="M504" s="180" t="str">
        <f t="shared" si="48"/>
        <v/>
      </c>
      <c r="N504" s="531">
        <f t="shared" si="45"/>
        <v>0</v>
      </c>
      <c r="O504" s="531" t="str">
        <f>IF(C504&lt;&gt;"",C504&amp;'סיווג התפקידים והעלויות'!$C$2,"")</f>
        <v/>
      </c>
      <c r="P504" s="531" t="str">
        <f>IF(C504&lt;&gt;"",C504&amp;'סיווג התפקידים והעלויות'!$D$2,"")</f>
        <v/>
      </c>
    </row>
    <row r="505" spans="2:16" ht="15.75" x14ac:dyDescent="0.25">
      <c r="B505" s="57">
        <v>490</v>
      </c>
      <c r="C505" s="176" t="str">
        <f>IF(VLOOKUP(B505,'דוח ביצוע (3)'!$A$21:$B$520,2,0)="","",VLOOKUP(B505,'דוח ביצוע (3)'!$A$21:$B$520,2,0))</f>
        <v/>
      </c>
      <c r="D505" s="177" t="str">
        <f>IFERROR(VLOOKUP($C:$C,'מצבת והרשמה (2)'!$C$20:$N$520,2,0)," ")</f>
        <v/>
      </c>
      <c r="E505" s="177" t="str">
        <f>IFERROR(VLOOKUP(C505,'דוח ביצוע (3)'!B:V,5,0)," ")</f>
        <v xml:space="preserve"> </v>
      </c>
      <c r="F505" s="177" t="str">
        <f t="shared" si="43"/>
        <v/>
      </c>
      <c r="G505" s="179">
        <f>SUMIFS('עלויות כח אדם (6)'!M:M,'עלויות כח אדם (6)'!B:B,' איוש משרות (8)'!C505,'עלויות כח אדם (6)'!N:N,"רכ")</f>
        <v>0</v>
      </c>
      <c r="H505" s="179">
        <f>IFERROR(VLOOKUP(P505,'עלויות כח אדם (6)'!$AE$16:$AF$3014,2,0),0)</f>
        <v>0</v>
      </c>
      <c r="I505" s="178">
        <f t="shared" si="46"/>
        <v>0</v>
      </c>
      <c r="J505" s="178">
        <f t="shared" si="47"/>
        <v>0</v>
      </c>
      <c r="K505" s="179" t="str">
        <f t="shared" si="44"/>
        <v/>
      </c>
      <c r="L505" s="718"/>
      <c r="M505" s="180" t="str">
        <f t="shared" si="48"/>
        <v/>
      </c>
      <c r="N505" s="531">
        <f t="shared" si="45"/>
        <v>0</v>
      </c>
      <c r="O505" s="531" t="str">
        <f>IF(C505&lt;&gt;"",C505&amp;'סיווג התפקידים והעלויות'!$C$2,"")</f>
        <v/>
      </c>
      <c r="P505" s="531" t="str">
        <f>IF(C505&lt;&gt;"",C505&amp;'סיווג התפקידים והעלויות'!$D$2,"")</f>
        <v/>
      </c>
    </row>
    <row r="506" spans="2:16" ht="15.75" x14ac:dyDescent="0.25">
      <c r="B506" s="176">
        <v>491</v>
      </c>
      <c r="C506" s="176" t="str">
        <f>IF(VLOOKUP(B506,'דוח ביצוע (3)'!$A$21:$B$520,2,0)="","",VLOOKUP(B506,'דוח ביצוע (3)'!$A$21:$B$520,2,0))</f>
        <v/>
      </c>
      <c r="D506" s="177" t="str">
        <f>IFERROR(VLOOKUP($C:$C,'מצבת והרשמה (2)'!$C$20:$N$520,2,0)," ")</f>
        <v/>
      </c>
      <c r="E506" s="177" t="str">
        <f>IFERROR(VLOOKUP(C506,'דוח ביצוע (3)'!B:V,5,0)," ")</f>
        <v xml:space="preserve"> </v>
      </c>
      <c r="F506" s="177" t="str">
        <f t="shared" si="43"/>
        <v/>
      </c>
      <c r="G506" s="179">
        <f>SUMIFS('עלויות כח אדם (6)'!M:M,'עלויות כח אדם (6)'!B:B,' איוש משרות (8)'!C506,'עלויות כח אדם (6)'!N:N,"רכ")</f>
        <v>0</v>
      </c>
      <c r="H506" s="179">
        <f>IFERROR(VLOOKUP(P506,'עלויות כח אדם (6)'!$AE$16:$AF$3014,2,0),0)</f>
        <v>0</v>
      </c>
      <c r="I506" s="178">
        <f t="shared" si="46"/>
        <v>0</v>
      </c>
      <c r="J506" s="178">
        <f t="shared" si="47"/>
        <v>0</v>
      </c>
      <c r="K506" s="179" t="str">
        <f t="shared" si="44"/>
        <v/>
      </c>
      <c r="L506" s="718"/>
      <c r="M506" s="180" t="str">
        <f t="shared" si="48"/>
        <v/>
      </c>
      <c r="N506" s="531">
        <f t="shared" si="45"/>
        <v>0</v>
      </c>
      <c r="O506" s="531" t="str">
        <f>IF(C506&lt;&gt;"",C506&amp;'סיווג התפקידים והעלויות'!$C$2,"")</f>
        <v/>
      </c>
      <c r="P506" s="531" t="str">
        <f>IF(C506&lt;&gt;"",C506&amp;'סיווג התפקידים והעלויות'!$D$2,"")</f>
        <v/>
      </c>
    </row>
    <row r="507" spans="2:16" ht="15.75" x14ac:dyDescent="0.25">
      <c r="B507" s="57">
        <v>492</v>
      </c>
      <c r="C507" s="176" t="str">
        <f>IF(VLOOKUP(B507,'דוח ביצוע (3)'!$A$21:$B$520,2,0)="","",VLOOKUP(B507,'דוח ביצוע (3)'!$A$21:$B$520,2,0))</f>
        <v/>
      </c>
      <c r="D507" s="177" t="str">
        <f>IFERROR(VLOOKUP($C:$C,'מצבת והרשמה (2)'!$C$20:$N$520,2,0)," ")</f>
        <v/>
      </c>
      <c r="E507" s="177" t="str">
        <f>IFERROR(VLOOKUP(C507,'דוח ביצוע (3)'!B:V,5,0)," ")</f>
        <v xml:space="preserve"> </v>
      </c>
      <c r="F507" s="177" t="str">
        <f t="shared" si="43"/>
        <v/>
      </c>
      <c r="G507" s="179">
        <f>SUMIFS('עלויות כח אדם (6)'!M:M,'עלויות כח אדם (6)'!B:B,' איוש משרות (8)'!C507,'עלויות כח אדם (6)'!N:N,"רכ")</f>
        <v>0</v>
      </c>
      <c r="H507" s="179">
        <f>IFERROR(VLOOKUP(P507,'עלויות כח אדם (6)'!$AE$16:$AF$3014,2,0),0)</f>
        <v>0</v>
      </c>
      <c r="I507" s="178">
        <f t="shared" si="46"/>
        <v>0</v>
      </c>
      <c r="J507" s="178">
        <f t="shared" si="47"/>
        <v>0</v>
      </c>
      <c r="K507" s="179" t="str">
        <f t="shared" si="44"/>
        <v/>
      </c>
      <c r="L507" s="718"/>
      <c r="M507" s="180" t="str">
        <f t="shared" si="48"/>
        <v/>
      </c>
      <c r="N507" s="531">
        <f t="shared" si="45"/>
        <v>0</v>
      </c>
      <c r="O507" s="531" t="str">
        <f>IF(C507&lt;&gt;"",C507&amp;'סיווג התפקידים והעלויות'!$C$2,"")</f>
        <v/>
      </c>
      <c r="P507" s="531" t="str">
        <f>IF(C507&lt;&gt;"",C507&amp;'סיווג התפקידים והעלויות'!$D$2,"")</f>
        <v/>
      </c>
    </row>
    <row r="508" spans="2:16" ht="15.75" x14ac:dyDescent="0.25">
      <c r="B508" s="176">
        <v>493</v>
      </c>
      <c r="C508" s="176" t="str">
        <f>IF(VLOOKUP(B508,'דוח ביצוע (3)'!$A$21:$B$520,2,0)="","",VLOOKUP(B508,'דוח ביצוע (3)'!$A$21:$B$520,2,0))</f>
        <v/>
      </c>
      <c r="D508" s="177" t="str">
        <f>IFERROR(VLOOKUP($C:$C,'מצבת והרשמה (2)'!$C$20:$N$520,2,0)," ")</f>
        <v/>
      </c>
      <c r="E508" s="177" t="str">
        <f>IFERROR(VLOOKUP(C508,'דוח ביצוע (3)'!B:V,5,0)," ")</f>
        <v xml:space="preserve"> </v>
      </c>
      <c r="F508" s="177" t="str">
        <f t="shared" si="43"/>
        <v/>
      </c>
      <c r="G508" s="179">
        <f>SUMIFS('עלויות כח אדם (6)'!M:M,'עלויות כח אדם (6)'!B:B,' איוש משרות (8)'!C508,'עלויות כח אדם (6)'!N:N,"רכ")</f>
        <v>0</v>
      </c>
      <c r="H508" s="179">
        <f>IFERROR(VLOOKUP(P508,'עלויות כח אדם (6)'!$AE$16:$AF$3014,2,0),0)</f>
        <v>0</v>
      </c>
      <c r="I508" s="178">
        <f t="shared" si="46"/>
        <v>0</v>
      </c>
      <c r="J508" s="178">
        <f t="shared" si="47"/>
        <v>0</v>
      </c>
      <c r="K508" s="179" t="str">
        <f t="shared" si="44"/>
        <v/>
      </c>
      <c r="L508" s="718"/>
      <c r="M508" s="180" t="str">
        <f t="shared" si="48"/>
        <v/>
      </c>
      <c r="N508" s="531">
        <f t="shared" si="45"/>
        <v>0</v>
      </c>
      <c r="O508" s="531" t="str">
        <f>IF(C508&lt;&gt;"",C508&amp;'סיווג התפקידים והעלויות'!$C$2,"")</f>
        <v/>
      </c>
      <c r="P508" s="531" t="str">
        <f>IF(C508&lt;&gt;"",C508&amp;'סיווג התפקידים והעלויות'!$D$2,"")</f>
        <v/>
      </c>
    </row>
    <row r="509" spans="2:16" ht="15.75" x14ac:dyDescent="0.25">
      <c r="B509" s="57">
        <v>494</v>
      </c>
      <c r="C509" s="176" t="str">
        <f>IF(VLOOKUP(B509,'דוח ביצוע (3)'!$A$21:$B$520,2,0)="","",VLOOKUP(B509,'דוח ביצוע (3)'!$A$21:$B$520,2,0))</f>
        <v/>
      </c>
      <c r="D509" s="177" t="str">
        <f>IFERROR(VLOOKUP($C:$C,'מצבת והרשמה (2)'!$C$20:$N$520,2,0)," ")</f>
        <v/>
      </c>
      <c r="E509" s="177" t="str">
        <f>IFERROR(VLOOKUP(C509,'דוח ביצוע (3)'!B:V,5,0)," ")</f>
        <v xml:space="preserve"> </v>
      </c>
      <c r="F509" s="177" t="str">
        <f t="shared" si="43"/>
        <v/>
      </c>
      <c r="G509" s="179">
        <f>SUMIFS('עלויות כח אדם (6)'!M:M,'עלויות כח אדם (6)'!B:B,' איוש משרות (8)'!C509,'עלויות כח אדם (6)'!N:N,"רכ")</f>
        <v>0</v>
      </c>
      <c r="H509" s="179">
        <f>IFERROR(VLOOKUP(P509,'עלויות כח אדם (6)'!$AE$16:$AF$3014,2,0),0)</f>
        <v>0</v>
      </c>
      <c r="I509" s="178">
        <f t="shared" si="46"/>
        <v>0</v>
      </c>
      <c r="J509" s="178">
        <f t="shared" si="47"/>
        <v>0</v>
      </c>
      <c r="K509" s="179" t="str">
        <f t="shared" si="44"/>
        <v/>
      </c>
      <c r="L509" s="718"/>
      <c r="M509" s="180" t="str">
        <f t="shared" si="48"/>
        <v/>
      </c>
      <c r="N509" s="531">
        <f t="shared" si="45"/>
        <v>0</v>
      </c>
      <c r="O509" s="531" t="str">
        <f>IF(C509&lt;&gt;"",C509&amp;'סיווג התפקידים והעלויות'!$C$2,"")</f>
        <v/>
      </c>
      <c r="P509" s="531" t="str">
        <f>IF(C509&lt;&gt;"",C509&amp;'סיווג התפקידים והעלויות'!$D$2,"")</f>
        <v/>
      </c>
    </row>
    <row r="510" spans="2:16" ht="15.75" x14ac:dyDescent="0.25">
      <c r="B510" s="176">
        <v>495</v>
      </c>
      <c r="C510" s="176" t="str">
        <f>IF(VLOOKUP(B510,'דוח ביצוע (3)'!$A$21:$B$520,2,0)="","",VLOOKUP(B510,'דוח ביצוע (3)'!$A$21:$B$520,2,0))</f>
        <v/>
      </c>
      <c r="D510" s="177" t="str">
        <f>IFERROR(VLOOKUP($C:$C,'מצבת והרשמה (2)'!$C$20:$N$520,2,0)," ")</f>
        <v/>
      </c>
      <c r="E510" s="177" t="str">
        <f>IFERROR(VLOOKUP(C510,'דוח ביצוע (3)'!B:V,5,0)," ")</f>
        <v xml:space="preserve"> </v>
      </c>
      <c r="F510" s="177" t="str">
        <f t="shared" si="43"/>
        <v/>
      </c>
      <c r="G510" s="179">
        <f>SUMIFS('עלויות כח אדם (6)'!M:M,'עלויות כח אדם (6)'!B:B,' איוש משרות (8)'!C510,'עלויות כח אדם (6)'!N:N,"רכ")</f>
        <v>0</v>
      </c>
      <c r="H510" s="179">
        <f>IFERROR(VLOOKUP(P510,'עלויות כח אדם (6)'!$AE$16:$AF$3014,2,0),0)</f>
        <v>0</v>
      </c>
      <c r="I510" s="178">
        <f t="shared" si="46"/>
        <v>0</v>
      </c>
      <c r="J510" s="178">
        <f t="shared" si="47"/>
        <v>0</v>
      </c>
      <c r="K510" s="179" t="str">
        <f t="shared" si="44"/>
        <v/>
      </c>
      <c r="L510" s="718"/>
      <c r="M510" s="180" t="str">
        <f t="shared" si="48"/>
        <v/>
      </c>
      <c r="N510" s="531">
        <f t="shared" si="45"/>
        <v>0</v>
      </c>
      <c r="O510" s="531" t="str">
        <f>IF(C510&lt;&gt;"",C510&amp;'סיווג התפקידים והעלויות'!$C$2,"")</f>
        <v/>
      </c>
      <c r="P510" s="531" t="str">
        <f>IF(C510&lt;&gt;"",C510&amp;'סיווג התפקידים והעלויות'!$D$2,"")</f>
        <v/>
      </c>
    </row>
    <row r="511" spans="2:16" ht="15.75" x14ac:dyDescent="0.25">
      <c r="B511" s="57">
        <v>496</v>
      </c>
      <c r="C511" s="176" t="str">
        <f>IF(VLOOKUP(B511,'דוח ביצוע (3)'!$A$21:$B$520,2,0)="","",VLOOKUP(B511,'דוח ביצוע (3)'!$A$21:$B$520,2,0))</f>
        <v/>
      </c>
      <c r="D511" s="177" t="str">
        <f>IFERROR(VLOOKUP($C:$C,'מצבת והרשמה (2)'!$C$20:$N$520,2,0)," ")</f>
        <v/>
      </c>
      <c r="E511" s="177" t="str">
        <f>IFERROR(VLOOKUP(C511,'דוח ביצוע (3)'!B:V,5,0)," ")</f>
        <v xml:space="preserve"> </v>
      </c>
      <c r="F511" s="177" t="str">
        <f t="shared" si="43"/>
        <v/>
      </c>
      <c r="G511" s="179">
        <f>SUMIFS('עלויות כח אדם (6)'!M:M,'עלויות כח אדם (6)'!B:B,' איוש משרות (8)'!C511,'עלויות כח אדם (6)'!N:N,"רכ")</f>
        <v>0</v>
      </c>
      <c r="H511" s="179">
        <f>IFERROR(VLOOKUP(P511,'עלויות כח אדם (6)'!$AE$16:$AF$3014,2,0),0)</f>
        <v>0</v>
      </c>
      <c r="I511" s="178">
        <f t="shared" si="46"/>
        <v>0</v>
      </c>
      <c r="J511" s="178">
        <f t="shared" si="47"/>
        <v>0</v>
      </c>
      <c r="K511" s="179" t="str">
        <f t="shared" si="44"/>
        <v/>
      </c>
      <c r="L511" s="718"/>
      <c r="M511" s="180" t="str">
        <f t="shared" si="48"/>
        <v/>
      </c>
      <c r="N511" s="531">
        <f t="shared" si="45"/>
        <v>0</v>
      </c>
      <c r="O511" s="531" t="str">
        <f>IF(C511&lt;&gt;"",C511&amp;'סיווג התפקידים והעלויות'!$C$2,"")</f>
        <v/>
      </c>
      <c r="P511" s="531" t="str">
        <f>IF(C511&lt;&gt;"",C511&amp;'סיווג התפקידים והעלויות'!$D$2,"")</f>
        <v/>
      </c>
    </row>
    <row r="512" spans="2:16" ht="15.75" x14ac:dyDescent="0.25">
      <c r="B512" s="176">
        <v>497</v>
      </c>
      <c r="C512" s="176" t="str">
        <f>IF(VLOOKUP(B512,'דוח ביצוע (3)'!$A$21:$B$520,2,0)="","",VLOOKUP(B512,'דוח ביצוע (3)'!$A$21:$B$520,2,0))</f>
        <v/>
      </c>
      <c r="D512" s="177" t="str">
        <f>IFERROR(VLOOKUP($C:$C,'מצבת והרשמה (2)'!$C$20:$N$520,2,0)," ")</f>
        <v/>
      </c>
      <c r="E512" s="177" t="str">
        <f>IFERROR(VLOOKUP(C512,'דוח ביצוע (3)'!B:V,5,0)," ")</f>
        <v xml:space="preserve"> </v>
      </c>
      <c r="F512" s="177" t="str">
        <f t="shared" si="43"/>
        <v/>
      </c>
      <c r="G512" s="179">
        <f>SUMIFS('עלויות כח אדם (6)'!M:M,'עלויות כח אדם (6)'!B:B,' איוש משרות (8)'!C512,'עלויות כח אדם (6)'!N:N,"רכ")</f>
        <v>0</v>
      </c>
      <c r="H512" s="179">
        <f>IFERROR(VLOOKUP(P512,'עלויות כח אדם (6)'!$AE$16:$AF$3014,2,0),0)</f>
        <v>0</v>
      </c>
      <c r="I512" s="178">
        <f t="shared" si="46"/>
        <v>0</v>
      </c>
      <c r="J512" s="178">
        <f t="shared" si="47"/>
        <v>0</v>
      </c>
      <c r="K512" s="179" t="str">
        <f t="shared" si="44"/>
        <v/>
      </c>
      <c r="L512" s="718"/>
      <c r="M512" s="180" t="str">
        <f t="shared" si="48"/>
        <v/>
      </c>
      <c r="N512" s="531">
        <f t="shared" si="45"/>
        <v>0</v>
      </c>
      <c r="O512" s="531" t="str">
        <f>IF(C512&lt;&gt;"",C512&amp;'סיווג התפקידים והעלויות'!$C$2,"")</f>
        <v/>
      </c>
      <c r="P512" s="531" t="str">
        <f>IF(C512&lt;&gt;"",C512&amp;'סיווג התפקידים והעלויות'!$D$2,"")</f>
        <v/>
      </c>
    </row>
    <row r="513" spans="2:16" ht="15.75" x14ac:dyDescent="0.25">
      <c r="B513" s="57">
        <v>498</v>
      </c>
      <c r="C513" s="176" t="str">
        <f>IF(VLOOKUP(B513,'דוח ביצוע (3)'!$A$21:$B$520,2,0)="","",VLOOKUP(B513,'דוח ביצוע (3)'!$A$21:$B$520,2,0))</f>
        <v/>
      </c>
      <c r="D513" s="177" t="str">
        <f>IFERROR(VLOOKUP($C:$C,'מצבת והרשמה (2)'!$C$20:$N$520,2,0)," ")</f>
        <v/>
      </c>
      <c r="E513" s="177" t="str">
        <f>IFERROR(VLOOKUP(C513,'דוח ביצוע (3)'!B:V,5,0)," ")</f>
        <v xml:space="preserve"> </v>
      </c>
      <c r="F513" s="177" t="str">
        <f t="shared" si="43"/>
        <v/>
      </c>
      <c r="G513" s="179">
        <f>SUMIFS('עלויות כח אדם (6)'!M:M,'עלויות כח אדם (6)'!B:B,' איוש משרות (8)'!C513,'עלויות כח אדם (6)'!N:N,"רכ")</f>
        <v>0</v>
      </c>
      <c r="H513" s="179">
        <f>IFERROR(VLOOKUP(P513,'עלויות כח אדם (6)'!$AE$16:$AF$3014,2,0),0)</f>
        <v>0</v>
      </c>
      <c r="I513" s="178">
        <f t="shared" si="46"/>
        <v>0</v>
      </c>
      <c r="J513" s="178">
        <f t="shared" si="47"/>
        <v>0</v>
      </c>
      <c r="K513" s="179" t="str">
        <f t="shared" si="44"/>
        <v/>
      </c>
      <c r="L513" s="718"/>
      <c r="M513" s="180" t="str">
        <f t="shared" si="48"/>
        <v/>
      </c>
      <c r="N513" s="531">
        <f t="shared" si="45"/>
        <v>0</v>
      </c>
      <c r="O513" s="531" t="str">
        <f>IF(C513&lt;&gt;"",C513&amp;'סיווג התפקידים והעלויות'!$C$2,"")</f>
        <v/>
      </c>
      <c r="P513" s="531" t="str">
        <f>IF(C513&lt;&gt;"",C513&amp;'סיווג התפקידים והעלויות'!$D$2,"")</f>
        <v/>
      </c>
    </row>
    <row r="514" spans="2:16" ht="15.75" x14ac:dyDescent="0.25">
      <c r="B514" s="176">
        <v>499</v>
      </c>
      <c r="C514" s="176" t="str">
        <f>IF(VLOOKUP(B514,'דוח ביצוע (3)'!$A$21:$B$520,2,0)="","",VLOOKUP(B514,'דוח ביצוע (3)'!$A$21:$B$520,2,0))</f>
        <v/>
      </c>
      <c r="D514" s="177" t="str">
        <f>IFERROR(VLOOKUP($C:$C,'מצבת והרשמה (2)'!$C$20:$N$520,2,0)," ")</f>
        <v/>
      </c>
      <c r="E514" s="177" t="str">
        <f>IFERROR(VLOOKUP(C514,'דוח ביצוע (3)'!B:V,5,0)," ")</f>
        <v xml:space="preserve"> </v>
      </c>
      <c r="F514" s="177" t="str">
        <f t="shared" si="43"/>
        <v/>
      </c>
      <c r="G514" s="179">
        <f>SUMIFS('עלויות כח אדם (6)'!M:M,'עלויות כח אדם (6)'!B:B,' איוש משרות (8)'!C514,'עלויות כח אדם (6)'!N:N,"רכ")</f>
        <v>0</v>
      </c>
      <c r="H514" s="179">
        <f>IFERROR(VLOOKUP(P514,'עלויות כח אדם (6)'!$AE$16:$AF$3014,2,0),0)</f>
        <v>0</v>
      </c>
      <c r="I514" s="178">
        <f t="shared" si="46"/>
        <v>0</v>
      </c>
      <c r="J514" s="178">
        <f t="shared" si="47"/>
        <v>0</v>
      </c>
      <c r="K514" s="179" t="str">
        <f t="shared" si="44"/>
        <v/>
      </c>
      <c r="L514" s="718"/>
      <c r="M514" s="180" t="str">
        <f t="shared" si="48"/>
        <v/>
      </c>
      <c r="N514" s="531">
        <f t="shared" si="45"/>
        <v>0</v>
      </c>
      <c r="O514" s="531" t="str">
        <f>IF(C514&lt;&gt;"",C514&amp;'סיווג התפקידים והעלויות'!$C$2,"")</f>
        <v/>
      </c>
      <c r="P514" s="531" t="str">
        <f>IF(C514&lt;&gt;"",C514&amp;'סיווג התפקידים והעלויות'!$D$2,"")</f>
        <v/>
      </c>
    </row>
    <row r="515" spans="2:16" ht="15.75" x14ac:dyDescent="0.25">
      <c r="B515" s="57">
        <v>500</v>
      </c>
      <c r="C515" s="176" t="str">
        <f>IF(VLOOKUP(B515,'דוח ביצוע (3)'!$A$21:$B$520,2,0)="","",VLOOKUP(B515,'דוח ביצוע (3)'!$A$21:$B$520,2,0))</f>
        <v/>
      </c>
      <c r="D515" s="177" t="str">
        <f>IFERROR(VLOOKUP($C:$C,'מצבת והרשמה (2)'!$C$20:$N$520,2,0)," ")</f>
        <v/>
      </c>
      <c r="E515" s="177" t="str">
        <f>IFERROR(VLOOKUP(C515,'דוח ביצוע (3)'!B:V,5,0)," ")</f>
        <v xml:space="preserve"> </v>
      </c>
      <c r="F515" s="177" t="str">
        <f t="shared" si="43"/>
        <v/>
      </c>
      <c r="G515" s="179">
        <f>SUMIFS('עלויות כח אדם (6)'!M:M,'עלויות כח אדם (6)'!B:B,' איוש משרות (8)'!C515,'עלויות כח אדם (6)'!N:N,"רכ")</f>
        <v>0</v>
      </c>
      <c r="H515" s="179">
        <f>IFERROR(VLOOKUP(P515,'עלויות כח אדם (6)'!$AE$16:$AF$3014,2,0),0)</f>
        <v>0</v>
      </c>
      <c r="I515" s="178">
        <f t="shared" si="46"/>
        <v>0</v>
      </c>
      <c r="J515" s="178">
        <f t="shared" si="47"/>
        <v>0</v>
      </c>
      <c r="K515" s="179" t="str">
        <f t="shared" si="44"/>
        <v/>
      </c>
      <c r="L515" s="718"/>
      <c r="M515" s="180" t="str">
        <f t="shared" si="48"/>
        <v/>
      </c>
      <c r="N515" s="531">
        <f t="shared" si="45"/>
        <v>0</v>
      </c>
      <c r="O515" s="531" t="str">
        <f>IF(C515&lt;&gt;"",C515&amp;'סיווג התפקידים והעלויות'!$C$2,"")</f>
        <v/>
      </c>
      <c r="P515" s="531" t="str">
        <f>IF(C515&lt;&gt;"",C515&amp;'סיווג התפקידים והעלויות'!$D$2,"")</f>
        <v/>
      </c>
    </row>
  </sheetData>
  <sheetProtection algorithmName="SHA-512" hashValue="uoMTo30gmFHkRtKcYS92gfVglnJXpWX/MXmPWboeKqrx9ChQU9EBJqx4FM5tUTXHizujYk1VSWs7IsZ0VFhdmg==" saltValue="FkxWpnqDtGiaBDbJIX3lJA==" spinCount="100000" sheet="1" objects="1" scenarios="1"/>
  <customSheetViews>
    <customSheetView guid="{BA0A6883-E808-4711-BE2E-E9E96FA9E885}" showPageBreaks="1" fitToPage="1" printArea="1" showAutoFilter="1" topLeftCell="A7">
      <selection activeCell="E7" sqref="E7"/>
      <pageMargins left="0.70866141732283472" right="0.70866141732283472" top="0.74803149606299213" bottom="0.74803149606299213" header="0.31496062992125984" footer="0.31496062992125984"/>
      <pageSetup paperSize="9" scale="46" fitToHeight="2" orientation="portrait" horizontalDpi="4294967293" verticalDpi="4294967293" r:id="rId1"/>
      <headerFooter>
        <oddHeader>&amp;L&amp;12&amp;U&amp;A</oddHeader>
      </headerFooter>
      <autoFilter ref="B21:K521" xr:uid="{0F3C9755-329A-41B6-8A7B-E23126548F87}"/>
    </customSheetView>
    <customSheetView guid="{ACD441E8-3AD2-4F62-A341-3CB1D0C27992}" fitToPage="1" showAutoFilter="1" topLeftCell="A4">
      <pageMargins left="0.70866141732283472" right="0.70866141732283472" top="0.74803149606299213" bottom="0.74803149606299213" header="0.31496062992125984" footer="0.31496062992125984"/>
      <pageSetup paperSize="9" scale="60" fitToHeight="2" orientation="portrait" horizontalDpi="4294967293" verticalDpi="4294967293" r:id="rId2"/>
      <headerFooter>
        <oddHeader>&amp;L&amp;12&amp;U&amp;A</oddHeader>
      </headerFooter>
      <autoFilter ref="B21:K101" xr:uid="{7B182988-7249-4E53-A4F5-595E5AF8675E}"/>
    </customSheetView>
    <customSheetView guid="{4C449889-8AC9-4BD3-9CEA-74B4C2A98249}" showPageBreaks="1" fitToPage="1" printArea="1" showAutoFilter="1">
      <selection activeCell="D21" sqref="D21"/>
      <pageMargins left="0.70866141732283472" right="0.70866141732283472" top="0.74803149606299213" bottom="0.74803149606299213" header="0.31496062992125984" footer="0.31496062992125984"/>
      <pageSetup paperSize="9" scale="46" fitToHeight="2" orientation="portrait" horizontalDpi="4294967293" verticalDpi="4294967293" r:id="rId3"/>
      <headerFooter>
        <oddHeader>&amp;L&amp;12&amp;U&amp;A</oddHeader>
      </headerFooter>
      <autoFilter ref="B21:K229" xr:uid="{AFC5AC97-BDE5-4C62-834E-69CC9FCAC4A5}"/>
    </customSheetView>
  </customSheetViews>
  <mergeCells count="1">
    <mergeCell ref="A1:B1"/>
  </mergeCells>
  <conditionalFormatting sqref="K1:K3 K7:K8 K10:K1048576">
    <cfRule type="containsText" dxfId="142" priority="4" operator="containsText" text="לא העסיק">
      <formula>NOT(ISERROR(SEARCH("לא העסיק",K1)))</formula>
    </cfRule>
  </conditionalFormatting>
  <conditionalFormatting sqref="M16:M515">
    <cfRule type="containsText" dxfId="141" priority="5" operator="containsText" text=" ">
      <formula>NOT(ISERROR(SEARCH(" ",M16)))</formula>
    </cfRule>
  </conditionalFormatting>
  <conditionalFormatting sqref="M15:N15">
    <cfRule type="containsText" dxfId="140" priority="7" operator="containsText" text="{2,3,4,5,6,7}">
      <formula>NOT(ISERROR(SEARCH("{2,3,4,5,6,7}",M15)))</formula>
    </cfRule>
  </conditionalFormatting>
  <conditionalFormatting sqref="O15">
    <cfRule type="containsText" dxfId="139" priority="2" operator="containsText" text="{2,3,4,5,6,7}">
      <formula>NOT(ISERROR(SEARCH("{2,3,4,5,6,7}",O15)))</formula>
    </cfRule>
  </conditionalFormatting>
  <conditionalFormatting sqref="P15">
    <cfRule type="containsText" dxfId="138" priority="1" operator="containsText" text="{2,3,4,5,6,7}">
      <formula>NOT(ISERROR(SEARCH("{2,3,4,5,6,7}",P15)))</formula>
    </cfRule>
  </conditionalFormatting>
  <dataValidations count="1">
    <dataValidation type="list" showDropDown="1" showInputMessage="1" showErrorMessage="1" error="סמל בית ספר זה אינו קיים!" sqref="C16:C515" xr:uid="{00000000-0002-0000-0A00-000000000000}">
      <formula1>סמלפעילות</formula1>
    </dataValidation>
  </dataValidations>
  <hyperlinks>
    <hyperlink ref="A1" location="'תוכן העניינים'!A1" tooltip="הנחיות למילוי גיליון" display="תוכן העניינים" xr:uid="{4562E5DE-36FD-4AF9-B4C7-6ACDDA92E8F6}"/>
  </hyperlinks>
  <pageMargins left="0.70866141732283472" right="0.70866141732283472" top="0.74803149606299213" bottom="0.74803149606299213" header="0.31496062992125984" footer="0.31496062992125984"/>
  <pageSetup paperSize="9" scale="44" fitToHeight="2" orientation="portrait" horizontalDpi="4294967293" verticalDpi="4294967293" r:id="rId4"/>
  <headerFooter>
    <oddHeader>&amp;L&amp;12&amp;U&amp;A</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9">
    <tabColor rgb="FF00FFFF"/>
    <pageSetUpPr fitToPage="1"/>
  </sheetPr>
  <dimension ref="A1:CJ2031"/>
  <sheetViews>
    <sheetView showGridLines="0" rightToLeft="1" topLeftCell="C1" zoomScaleNormal="100" workbookViewId="0">
      <selection activeCell="F11" sqref="F11"/>
    </sheetView>
  </sheetViews>
  <sheetFormatPr defaultColWidth="9.125" defaultRowHeight="15.75" customHeight="1" x14ac:dyDescent="0.4"/>
  <cols>
    <col min="1" max="1" width="7.375" style="520" hidden="1" customWidth="1"/>
    <col min="2" max="2" width="5.375" style="520" hidden="1" customWidth="1"/>
    <col min="3" max="3" width="12.125" style="39" customWidth="1"/>
    <col min="4" max="4" width="9.125" style="519" customWidth="1"/>
    <col min="5" max="5" width="7" style="22" customWidth="1"/>
    <col min="6" max="6" width="33.875" style="22" customWidth="1"/>
    <col min="7" max="7" width="16" style="22" customWidth="1"/>
    <col min="8" max="8" width="15.5" style="22" customWidth="1"/>
    <col min="9" max="9" width="18.25" style="22" customWidth="1"/>
    <col min="10" max="10" width="14" style="22" customWidth="1"/>
    <col min="11" max="11" width="12.75" style="22" customWidth="1"/>
    <col min="12" max="12" width="5.625" style="22" hidden="1" customWidth="1"/>
    <col min="13" max="13" width="15.625" style="22" hidden="1" customWidth="1"/>
    <col min="14" max="14" width="10.75" style="22" hidden="1" customWidth="1"/>
    <col min="15" max="15" width="12.375" style="22" hidden="1" customWidth="1"/>
    <col min="16" max="16" width="13.75" style="467" hidden="1" customWidth="1"/>
    <col min="17" max="17" width="13.125" style="467" hidden="1" customWidth="1"/>
    <col min="18" max="18" width="21.25" style="455" hidden="1" customWidth="1"/>
    <col min="19" max="19" width="13" style="363" hidden="1" customWidth="1"/>
    <col min="20" max="20" width="13.125" style="363" hidden="1" customWidth="1"/>
    <col min="21" max="21" width="11.75" style="476" hidden="1" customWidth="1"/>
    <col min="22" max="24" width="11.75" style="478" hidden="1" customWidth="1"/>
    <col min="25" max="25" width="12.375" style="543" hidden="1" customWidth="1"/>
    <col min="26" max="26" width="4" style="22" hidden="1" customWidth="1"/>
    <col min="27" max="27" width="2.5" style="22" hidden="1" customWidth="1"/>
    <col min="28" max="28" width="7" style="22" hidden="1" customWidth="1"/>
    <col min="29" max="29" width="11.75" style="493" hidden="1" customWidth="1"/>
    <col min="30" max="30" width="11.75" style="495" hidden="1" customWidth="1"/>
    <col min="31" max="31" width="4.625" style="22" customWidth="1"/>
    <col min="32" max="32" width="1.625" style="22" customWidth="1"/>
    <col min="33" max="33" width="12.375" style="22" bestFit="1" customWidth="1"/>
    <col min="34" max="34" width="8.875" style="22" customWidth="1"/>
    <col min="35" max="35" width="9.5" style="22" customWidth="1"/>
    <col min="36" max="36" width="8.875" style="22" customWidth="1"/>
    <col min="37" max="37" width="10" style="22" customWidth="1"/>
    <col min="38" max="38" width="11.25" style="22" customWidth="1"/>
    <col min="39" max="39" width="4" style="22" customWidth="1"/>
    <col min="40" max="40" width="4.5" style="22" customWidth="1"/>
    <col min="41" max="41" width="12.75" style="22" hidden="1" customWidth="1"/>
    <col min="42" max="42" width="11.5" style="22" hidden="1" customWidth="1"/>
    <col min="43" max="43" width="10.75" style="22" hidden="1" customWidth="1"/>
    <col min="44" max="44" width="8" style="22" hidden="1" customWidth="1"/>
    <col min="45" max="45" width="10.375" style="22" hidden="1" customWidth="1"/>
    <col min="46" max="46" width="11.875" style="22" hidden="1" customWidth="1"/>
    <col min="47" max="47" width="10.875" style="35" hidden="1" customWidth="1"/>
    <col min="48" max="48" width="11.375" style="35" hidden="1" customWidth="1"/>
    <col min="49" max="49" width="11.75" style="35" hidden="1" customWidth="1"/>
    <col min="50" max="50" width="12.375" style="35" hidden="1" customWidth="1"/>
    <col min="51" max="51" width="12.125" style="35" hidden="1" customWidth="1"/>
    <col min="52" max="52" width="15.125" style="35" hidden="1" customWidth="1"/>
    <col min="53" max="53" width="11.5" style="35" hidden="1" customWidth="1"/>
    <col min="54" max="54" width="15.25" style="35" hidden="1" customWidth="1"/>
    <col min="55" max="55" width="10.25" style="35" hidden="1" customWidth="1"/>
    <col min="56" max="56" width="14.25" style="35" hidden="1" customWidth="1"/>
    <col min="57" max="59" width="12.75" style="35" hidden="1" customWidth="1"/>
    <col min="60" max="60" width="12.5" style="35" hidden="1" customWidth="1"/>
    <col min="61" max="61" width="14.75" style="35" hidden="1" customWidth="1"/>
    <col min="62" max="62" width="10.125" style="35" hidden="1" customWidth="1"/>
    <col min="63" max="63" width="9" style="35" hidden="1" customWidth="1"/>
    <col min="64" max="64" width="11.625" style="35" hidden="1" customWidth="1"/>
    <col min="65" max="65" width="12.625" style="35" hidden="1" customWidth="1"/>
    <col min="66" max="66" width="13.5" style="35" hidden="1" customWidth="1"/>
    <col min="67" max="67" width="14" style="22" hidden="1" customWidth="1"/>
    <col min="68" max="68" width="16.375" style="22" hidden="1" customWidth="1"/>
    <col min="69" max="69" width="9.125" style="22" hidden="1" customWidth="1"/>
    <col min="70" max="70" width="12.125" style="22" hidden="1" customWidth="1"/>
    <col min="71" max="72" width="9.125" style="22" hidden="1" customWidth="1"/>
    <col min="73" max="73" width="11.125" style="22" hidden="1" customWidth="1"/>
    <col min="74" max="74" width="15.5" style="22" hidden="1" customWidth="1"/>
    <col min="75" max="82" width="9.125" style="22" hidden="1" customWidth="1"/>
    <col min="83" max="83" width="13.625" style="22" hidden="1" customWidth="1"/>
    <col min="84" max="84" width="15.375" style="22" hidden="1" customWidth="1"/>
    <col min="85" max="85" width="12.875" style="22" hidden="1" customWidth="1"/>
    <col min="86" max="86" width="9.125" style="22" hidden="1" customWidth="1"/>
    <col min="87" max="87" width="11.5" style="22" hidden="1" customWidth="1"/>
    <col min="88" max="88" width="9.125" style="22" hidden="1" customWidth="1"/>
    <col min="89" max="16384" width="9.125" style="22"/>
  </cols>
  <sheetData>
    <row r="1" spans="1:88" s="31" customFormat="1" ht="27" thickBot="1" x14ac:dyDescent="0.45">
      <c r="A1" s="520" t="s">
        <v>2525</v>
      </c>
      <c r="B1" s="520" t="s">
        <v>2525</v>
      </c>
      <c r="C1" s="802" t="s">
        <v>2851</v>
      </c>
      <c r="D1" s="517"/>
      <c r="H1" s="286" t="str">
        <f>'גנים ובתי ספר- מבנה תקציב'!$E$1</f>
        <v>תכנית בתי הספר והגנים של החופש הגדול, קיץ תשפ"ו</v>
      </c>
      <c r="I1" s="32"/>
      <c r="J1" s="32"/>
      <c r="K1" s="33"/>
      <c r="L1" s="33"/>
      <c r="M1" s="160" t="s">
        <v>2525</v>
      </c>
      <c r="N1" s="160" t="s">
        <v>2525</v>
      </c>
      <c r="O1" s="160" t="s">
        <v>2525</v>
      </c>
      <c r="P1" s="454" t="s">
        <v>2525</v>
      </c>
      <c r="Q1" s="454" t="s">
        <v>2525</v>
      </c>
      <c r="R1" s="455" t="s">
        <v>2525</v>
      </c>
      <c r="S1" s="360" t="s">
        <v>2525</v>
      </c>
      <c r="T1" s="360" t="s">
        <v>2525</v>
      </c>
      <c r="U1" s="476" t="s">
        <v>2525</v>
      </c>
      <c r="V1" s="360" t="s">
        <v>2525</v>
      </c>
      <c r="W1" s="360" t="s">
        <v>2525</v>
      </c>
      <c r="X1" s="360" t="s">
        <v>2525</v>
      </c>
      <c r="Y1" s="728" t="s">
        <v>2525</v>
      </c>
      <c r="Z1" s="22"/>
      <c r="AA1" s="22"/>
      <c r="AB1" s="22" t="s">
        <v>2525</v>
      </c>
      <c r="AC1" s="493" t="s">
        <v>2525</v>
      </c>
      <c r="AD1" s="494" t="s">
        <v>2525</v>
      </c>
      <c r="AE1" s="22"/>
      <c r="AF1" s="22"/>
      <c r="AG1" s="22"/>
      <c r="AH1" s="22"/>
      <c r="AI1" s="34"/>
      <c r="AO1" s="22" t="s">
        <v>2525</v>
      </c>
      <c r="AP1" s="22" t="s">
        <v>2525</v>
      </c>
      <c r="AQ1" s="22" t="s">
        <v>2525</v>
      </c>
      <c r="AR1" s="22" t="s">
        <v>2525</v>
      </c>
      <c r="AS1" s="22" t="s">
        <v>2525</v>
      </c>
      <c r="AT1" s="22" t="s">
        <v>2525</v>
      </c>
      <c r="AU1" s="22" t="s">
        <v>2525</v>
      </c>
      <c r="AV1" s="22" t="s">
        <v>2525</v>
      </c>
      <c r="AW1" s="22" t="s">
        <v>2525</v>
      </c>
      <c r="AX1" s="22" t="s">
        <v>2525</v>
      </c>
      <c r="AY1" s="22" t="s">
        <v>2525</v>
      </c>
      <c r="AZ1" s="22" t="s">
        <v>2525</v>
      </c>
      <c r="BA1" s="22" t="s">
        <v>2525</v>
      </c>
      <c r="BB1" s="22" t="s">
        <v>2525</v>
      </c>
      <c r="BC1" s="22" t="s">
        <v>2525</v>
      </c>
      <c r="BD1" s="22" t="s">
        <v>2525</v>
      </c>
      <c r="BE1" s="22" t="s">
        <v>2525</v>
      </c>
      <c r="BF1" s="22"/>
      <c r="BG1" s="22"/>
      <c r="BH1" s="22" t="s">
        <v>2525</v>
      </c>
      <c r="BI1" s="22" t="s">
        <v>2525</v>
      </c>
      <c r="BJ1" s="22" t="s">
        <v>2525</v>
      </c>
      <c r="BK1" s="22" t="s">
        <v>2525</v>
      </c>
      <c r="BL1" s="22" t="s">
        <v>2525</v>
      </c>
      <c r="BM1" s="22" t="s">
        <v>2525</v>
      </c>
      <c r="BN1" s="22" t="s">
        <v>2525</v>
      </c>
      <c r="BO1" s="22" t="s">
        <v>2525</v>
      </c>
      <c r="BP1" s="31" t="s">
        <v>2525</v>
      </c>
      <c r="BQ1" s="31" t="s">
        <v>2525</v>
      </c>
      <c r="BR1" s="391" t="s">
        <v>2525</v>
      </c>
      <c r="BS1" s="391" t="s">
        <v>2525</v>
      </c>
      <c r="BT1" s="391" t="s">
        <v>2525</v>
      </c>
      <c r="BU1" s="391" t="s">
        <v>2525</v>
      </c>
      <c r="BV1" s="391" t="s">
        <v>2525</v>
      </c>
      <c r="BW1" s="391" t="s">
        <v>2525</v>
      </c>
      <c r="BX1" s="391" t="s">
        <v>2525</v>
      </c>
      <c r="BY1" s="391" t="s">
        <v>2525</v>
      </c>
      <c r="BZ1" s="391" t="s">
        <v>2525</v>
      </c>
      <c r="CA1" s="391" t="s">
        <v>2525</v>
      </c>
      <c r="CB1" s="391" t="s">
        <v>2525</v>
      </c>
      <c r="CC1" s="391" t="s">
        <v>2525</v>
      </c>
      <c r="CD1" s="391" t="s">
        <v>2525</v>
      </c>
      <c r="CE1" s="391" t="s">
        <v>2525</v>
      </c>
      <c r="CF1" s="391" t="s">
        <v>2525</v>
      </c>
      <c r="CG1" s="391" t="s">
        <v>2525</v>
      </c>
      <c r="CH1" s="391" t="s">
        <v>2525</v>
      </c>
      <c r="CI1" s="391" t="s">
        <v>2525</v>
      </c>
      <c r="CJ1" s="391" t="s">
        <v>2525</v>
      </c>
    </row>
    <row r="2" spans="1:88" s="40" customFormat="1" ht="26.25" x14ac:dyDescent="0.4">
      <c r="A2" s="520">
        <f>IFERROR(VLOOKUP($G$5,'רשימת רשויות'!A:C,3,0),0)</f>
        <v>0</v>
      </c>
      <c r="B2" s="521"/>
      <c r="C2" s="39"/>
      <c r="D2" s="517"/>
      <c r="F2" s="41"/>
      <c r="G2" s="42"/>
      <c r="H2" s="22"/>
      <c r="I2" s="22"/>
      <c r="J2" s="22"/>
      <c r="K2" s="22"/>
      <c r="L2" s="22"/>
      <c r="M2" s="22"/>
      <c r="N2" s="22"/>
      <c r="O2" s="22"/>
      <c r="P2" s="456" t="s">
        <v>2562</v>
      </c>
      <c r="Q2" s="457">
        <f>SUMIFS(U:U,S:S,$S$45)</f>
        <v>0</v>
      </c>
      <c r="R2" s="455"/>
      <c r="S2" s="477"/>
      <c r="T2" s="478"/>
      <c r="U2" s="476"/>
      <c r="V2" s="478"/>
      <c r="W2" s="478"/>
      <c r="X2" s="360"/>
      <c r="Y2" s="728"/>
      <c r="Z2" s="22"/>
      <c r="AA2" s="22"/>
      <c r="AB2" s="22"/>
      <c r="AC2" s="493"/>
      <c r="AD2" s="495"/>
      <c r="AE2" s="22"/>
      <c r="AF2" s="22" t="s">
        <v>2198</v>
      </c>
      <c r="AG2" s="22"/>
      <c r="AH2" s="22"/>
      <c r="AI2" s="34"/>
      <c r="AJ2" s="31"/>
      <c r="AO2" s="22"/>
      <c r="AP2" s="22"/>
      <c r="AQ2" s="22"/>
      <c r="AR2" s="22"/>
      <c r="AS2" s="22"/>
      <c r="AT2" s="22"/>
      <c r="AU2" s="35"/>
      <c r="AV2" s="35"/>
      <c r="AW2" s="35"/>
      <c r="AX2" s="35"/>
      <c r="AY2" s="35"/>
      <c r="AZ2" s="37"/>
      <c r="BA2" s="35"/>
      <c r="BB2" s="35"/>
      <c r="BC2" s="35"/>
      <c r="BD2" s="35"/>
      <c r="BE2" s="35"/>
      <c r="BF2" s="35"/>
      <c r="BG2" s="35"/>
      <c r="BH2" s="35"/>
      <c r="BI2" s="35"/>
      <c r="BJ2" s="43"/>
      <c r="BK2" s="35"/>
      <c r="BL2" s="43"/>
      <c r="BM2" s="35"/>
    </row>
    <row r="3" spans="1:88" s="40" customFormat="1" ht="23.25" customHeight="1" x14ac:dyDescent="0.4">
      <c r="A3" s="520">
        <f>IFERROR(VLOOKUP($G$5,'רשימת רשויות'!A:C,3,0),0)</f>
        <v>0</v>
      </c>
      <c r="B3" s="521"/>
      <c r="C3" s="44"/>
      <c r="D3" s="518"/>
      <c r="F3" s="45" t="s">
        <v>147</v>
      </c>
      <c r="G3" s="45"/>
      <c r="H3" s="45"/>
      <c r="I3" s="46"/>
      <c r="J3" s="47"/>
      <c r="K3" s="48"/>
      <c r="L3" s="48"/>
      <c r="M3" s="48"/>
      <c r="N3" s="48"/>
      <c r="O3" s="22"/>
      <c r="P3" s="458" t="s">
        <v>2563</v>
      </c>
      <c r="Q3" s="459">
        <f>SUMIFS(I:I,F:F,$F$45)</f>
        <v>0</v>
      </c>
      <c r="R3" s="455"/>
      <c r="S3" s="477"/>
      <c r="T3" s="478"/>
      <c r="U3" s="476"/>
      <c r="V3" s="478"/>
      <c r="W3" s="478"/>
      <c r="X3" s="363"/>
      <c r="Y3" s="728"/>
      <c r="AC3" s="496" t="s">
        <v>2567</v>
      </c>
      <c r="AD3" s="497"/>
      <c r="AG3" s="49" t="s">
        <v>87</v>
      </c>
      <c r="AH3" s="22"/>
      <c r="AI3" s="22"/>
      <c r="AJ3" s="22"/>
      <c r="AK3" s="22"/>
      <c r="AO3" s="22"/>
      <c r="AP3" s="22"/>
      <c r="AQ3" s="22"/>
      <c r="AR3" s="22"/>
      <c r="AS3" s="22"/>
      <c r="AT3" s="22"/>
      <c r="AU3" s="35"/>
      <c r="AV3" s="35"/>
      <c r="AW3" s="35"/>
      <c r="AX3" s="35"/>
      <c r="AY3" s="35"/>
      <c r="AZ3" s="37"/>
    </row>
    <row r="4" spans="1:88" s="40" customFormat="1" ht="18" customHeight="1" thickBot="1" x14ac:dyDescent="0.45">
      <c r="A4" s="520">
        <f>IFERROR(VLOOKUP($G$5,'רשימת רשויות'!A:C,3,0),0)</f>
        <v>0</v>
      </c>
      <c r="B4" s="521"/>
      <c r="C4" s="44"/>
      <c r="D4" s="518"/>
      <c r="F4" s="50"/>
      <c r="G4" s="50"/>
      <c r="H4" s="50"/>
      <c r="I4" s="51"/>
      <c r="J4" s="52"/>
      <c r="K4" s="22"/>
      <c r="L4" s="22"/>
      <c r="M4" s="22"/>
      <c r="N4" s="22"/>
      <c r="O4" s="22"/>
      <c r="P4" s="460" t="s">
        <v>2564</v>
      </c>
      <c r="Q4" s="461">
        <f>Q3-Q2</f>
        <v>0</v>
      </c>
      <c r="R4" s="455"/>
      <c r="S4" s="477"/>
      <c r="T4" s="478"/>
      <c r="U4" s="476"/>
      <c r="V4" s="478"/>
      <c r="W4" s="478"/>
      <c r="X4" s="363"/>
      <c r="Y4" s="728"/>
      <c r="AC4" s="1146" t="s">
        <v>2587</v>
      </c>
      <c r="AD4" s="1147"/>
      <c r="AG4" s="22"/>
      <c r="AH4" s="53">
        <v>6.5411298315163527E-2</v>
      </c>
      <c r="AI4" s="53">
        <v>0.51337958374628345</v>
      </c>
      <c r="AJ4" s="53">
        <v>0.2560290716881401</v>
      </c>
      <c r="AK4" s="53">
        <v>0.16518004625041294</v>
      </c>
    </row>
    <row r="5" spans="1:88" s="55" customFormat="1" ht="27" thickBot="1" x14ac:dyDescent="0.45">
      <c r="A5" s="520">
        <f>IFERROR(VLOOKUP($G$5,'רשימת רשויות'!A:C,3,0),0)</f>
        <v>0</v>
      </c>
      <c r="B5" s="520"/>
      <c r="C5" s="54"/>
      <c r="D5" s="517"/>
      <c r="F5" s="49" t="s">
        <v>16</v>
      </c>
      <c r="G5" s="56">
        <f>'נתונים כלליים (1)'!$C$5</f>
        <v>0</v>
      </c>
      <c r="H5" s="22"/>
      <c r="J5" s="22"/>
      <c r="K5" s="22"/>
      <c r="L5" s="22"/>
      <c r="M5" s="22"/>
      <c r="N5" s="22"/>
      <c r="O5" s="22"/>
      <c r="P5" s="462" t="s">
        <v>2565</v>
      </c>
      <c r="Q5" s="463" t="str">
        <f>IF(OR((X16+Q4)&lt;1,(X16+Q4)&gt;-1),"תקין","לא תקין")</f>
        <v>תקין</v>
      </c>
      <c r="R5" s="464"/>
      <c r="S5" s="477"/>
      <c r="T5" s="478"/>
      <c r="U5" s="476"/>
      <c r="V5" s="478"/>
      <c r="W5" s="478"/>
      <c r="X5" s="363"/>
      <c r="Y5" s="728"/>
      <c r="AC5" s="1146"/>
      <c r="AD5" s="1147"/>
      <c r="AG5" s="422" t="s">
        <v>2589</v>
      </c>
      <c r="AH5" s="64" t="s">
        <v>88</v>
      </c>
      <c r="AI5" s="64" t="s">
        <v>13</v>
      </c>
      <c r="AJ5" s="64" t="s">
        <v>14</v>
      </c>
      <c r="AK5" s="64" t="s">
        <v>94</v>
      </c>
      <c r="AL5" s="58" t="s">
        <v>67</v>
      </c>
      <c r="AM5" s="40"/>
      <c r="AN5" s="40"/>
    </row>
    <row r="6" spans="1:88" s="31" customFormat="1" ht="27" thickBot="1" x14ac:dyDescent="0.45">
      <c r="A6" s="520">
        <f>IFERROR(VLOOKUP($G$5,'רשימת רשויות'!A:C,3,0),0)</f>
        <v>0</v>
      </c>
      <c r="B6" s="520"/>
      <c r="C6" s="39"/>
      <c r="D6" s="517"/>
      <c r="F6" s="61" t="s">
        <v>7</v>
      </c>
      <c r="G6" s="62" t="str">
        <f>'נתונים כלליים (1)'!$C$6</f>
        <v/>
      </c>
      <c r="J6" s="22"/>
      <c r="K6" s="22"/>
      <c r="L6" s="22"/>
      <c r="M6" s="22"/>
      <c r="N6" s="22"/>
      <c r="O6" s="22"/>
      <c r="P6" s="465" t="s">
        <v>2566</v>
      </c>
      <c r="Q6" s="466">
        <f>SUMIFS(AI:AI,I:I,$F$45)</f>
        <v>0</v>
      </c>
      <c r="R6" s="455"/>
      <c r="S6" s="477"/>
      <c r="T6" s="478"/>
      <c r="U6" s="476"/>
      <c r="V6" s="478"/>
      <c r="W6" s="478"/>
      <c r="X6" s="363"/>
      <c r="Y6" s="728"/>
      <c r="AB6" s="55"/>
      <c r="AC6" s="1146"/>
      <c r="AD6" s="1147"/>
      <c r="AG6" s="60" t="s">
        <v>89</v>
      </c>
      <c r="AH6" s="986">
        <f>'גנים ובתי ספר- מבנה תקציב'!$E$45</f>
        <v>42.428571428571423</v>
      </c>
      <c r="AI6" s="986">
        <f>'גנים ובתי ספר- מבנה תקציב'!$F$45</f>
        <v>333</v>
      </c>
      <c r="AJ6" s="986">
        <f>'גנים ובתי ספר- מבנה תקציב'!$G$45</f>
        <v>166.07142857142858</v>
      </c>
      <c r="AK6" s="986">
        <f>'גנים ובתי ספר- מבנה תקציב'!$H$45</f>
        <v>107.14285714285712</v>
      </c>
      <c r="AL6" s="985">
        <f>SUM(AH6:AK6)</f>
        <v>648.64285714285711</v>
      </c>
      <c r="AM6" s="40"/>
      <c r="AN6" s="40"/>
      <c r="AO6" s="22"/>
      <c r="AP6" s="22"/>
      <c r="AQ6" s="22"/>
      <c r="AR6" s="22"/>
      <c r="AS6" s="22"/>
      <c r="AT6" s="22"/>
      <c r="AU6" s="35"/>
      <c r="AV6" s="35"/>
      <c r="AW6" s="35"/>
      <c r="AX6" s="38"/>
      <c r="AY6" s="35"/>
    </row>
    <row r="7" spans="1:88" s="31" customFormat="1" ht="27" thickBot="1" x14ac:dyDescent="0.45">
      <c r="A7" s="520">
        <f>IFERROR(VLOOKUP($G$5,'רשימת רשויות'!A:C,3,0),0)</f>
        <v>0</v>
      </c>
      <c r="B7" s="520"/>
      <c r="C7" s="39"/>
      <c r="D7" s="517"/>
      <c r="F7" s="61" t="s">
        <v>43</v>
      </c>
      <c r="G7" s="56">
        <f>'נתונים כלליים (1)'!$C$7</f>
        <v>0</v>
      </c>
      <c r="J7" s="22"/>
      <c r="K7" s="22"/>
      <c r="L7" s="22"/>
      <c r="M7" s="22"/>
      <c r="N7" s="22"/>
      <c r="O7" s="22"/>
      <c r="P7" s="454"/>
      <c r="Q7" s="454"/>
      <c r="R7" s="455"/>
      <c r="S7" s="477"/>
      <c r="T7" s="478"/>
      <c r="U7" s="476"/>
      <c r="V7" s="478"/>
      <c r="W7" s="478"/>
      <c r="X7" s="363"/>
      <c r="Y7" s="728"/>
      <c r="AB7" s="55"/>
      <c r="AC7" s="1146"/>
      <c r="AD7" s="1147"/>
      <c r="AG7" s="60" t="s">
        <v>90</v>
      </c>
      <c r="AH7" s="986">
        <f>'גנים ובתי ספר- מבנה תקציב'!$E$50</f>
        <v>121.49181322013342</v>
      </c>
      <c r="AI7" s="986">
        <f>'גנים ובתי ספר- מבנה תקציב'!$F$50</f>
        <v>1165.4214675560945</v>
      </c>
      <c r="AJ7" s="986">
        <f>'גנים ובתי ספר- מבנה תקציב'!$G$50</f>
        <v>455.59429957550026</v>
      </c>
      <c r="AK7" s="986">
        <f>'גנים ובתי ספר- מבנה תקציב'!$H$50</f>
        <v>112.49241964827168</v>
      </c>
      <c r="AL7" s="985">
        <f>SUM(AH7:AK7)</f>
        <v>1855</v>
      </c>
      <c r="AM7" s="40"/>
      <c r="AN7" s="40"/>
      <c r="AO7" s="22"/>
      <c r="AP7" s="22"/>
      <c r="AQ7" s="22"/>
      <c r="AR7" s="22"/>
      <c r="AS7" s="22"/>
      <c r="AT7" s="22"/>
      <c r="AU7" s="35"/>
      <c r="AV7" s="35"/>
      <c r="AW7" s="35"/>
      <c r="AX7" s="38"/>
      <c r="AY7" s="35"/>
      <c r="AZ7" s="35"/>
      <c r="BA7" s="35"/>
      <c r="BB7" s="35"/>
      <c r="BC7" s="35"/>
      <c r="BD7" s="35"/>
      <c r="BE7" s="35"/>
      <c r="BF7" s="35"/>
      <c r="BG7" s="35"/>
      <c r="BH7" s="35"/>
      <c r="BI7" s="35"/>
      <c r="BJ7" s="35"/>
      <c r="BK7" s="35"/>
      <c r="BL7" s="35"/>
      <c r="BM7" s="35"/>
      <c r="BN7" s="35"/>
    </row>
    <row r="8" spans="1:88" s="31" customFormat="1" ht="26.25" x14ac:dyDescent="0.4">
      <c r="A8" s="520">
        <f>IFERROR(VLOOKUP($G$5,'רשימת רשויות'!A:C,3,0),0)</f>
        <v>0</v>
      </c>
      <c r="B8" s="520"/>
      <c r="C8" s="39"/>
      <c r="D8" s="517"/>
      <c r="J8" s="22"/>
      <c r="K8" s="22"/>
      <c r="L8" s="22"/>
      <c r="M8" s="22"/>
      <c r="N8" s="22"/>
      <c r="O8" s="22"/>
      <c r="P8" s="454"/>
      <c r="Q8" s="454"/>
      <c r="R8" s="455"/>
      <c r="S8" s="477"/>
      <c r="T8" s="478"/>
      <c r="U8" s="476"/>
      <c r="V8" s="478"/>
      <c r="W8" s="478"/>
      <c r="X8" s="363"/>
      <c r="Y8" s="728"/>
      <c r="AC8" s="1146"/>
      <c r="AD8" s="1147"/>
      <c r="AG8" s="55"/>
      <c r="AH8" s="424">
        <v>6.549423893268648E-2</v>
      </c>
      <c r="AI8" s="424">
        <v>0.62825955124317767</v>
      </c>
      <c r="AJ8" s="424">
        <v>0.24560339599757428</v>
      </c>
      <c r="AK8" s="424">
        <v>6.0642813826561552E-2</v>
      </c>
      <c r="AL8" s="425"/>
      <c r="AO8" s="22"/>
      <c r="AP8" s="22"/>
      <c r="AQ8" s="22"/>
      <c r="AR8" s="22"/>
      <c r="AS8" s="22"/>
      <c r="AT8" s="22"/>
      <c r="AU8" s="35"/>
      <c r="AV8" s="35"/>
      <c r="AW8" s="35"/>
      <c r="AX8" s="63"/>
      <c r="AY8" s="35"/>
      <c r="AZ8" s="35"/>
      <c r="BA8" s="35"/>
      <c r="BB8" s="35"/>
      <c r="BC8" s="35"/>
      <c r="BD8" s="35"/>
      <c r="BE8" s="35"/>
      <c r="BF8" s="35"/>
      <c r="BG8" s="35"/>
      <c r="BH8" s="35"/>
      <c r="BI8" s="35"/>
      <c r="BJ8" s="35"/>
      <c r="BK8" s="35"/>
      <c r="BL8" s="35"/>
      <c r="BM8" s="35"/>
      <c r="BN8" s="35"/>
      <c r="BP8" s="24" t="s">
        <v>2538</v>
      </c>
      <c r="BQ8" s="24"/>
      <c r="BR8" s="24"/>
      <c r="BS8" s="24"/>
      <c r="BT8" s="24"/>
      <c r="BU8" s="24" t="s">
        <v>2542</v>
      </c>
      <c r="BV8" s="24"/>
      <c r="BW8" s="24"/>
      <c r="BX8" s="24"/>
      <c r="BY8" s="24"/>
      <c r="BZ8" s="24" t="s">
        <v>2543</v>
      </c>
      <c r="CA8" s="24"/>
      <c r="CB8" s="24"/>
      <c r="CC8" s="24"/>
      <c r="CD8" s="24"/>
      <c r="CE8" s="24"/>
      <c r="CF8" s="24" t="s">
        <v>2541</v>
      </c>
      <c r="CG8" s="24"/>
      <c r="CH8" s="24"/>
    </row>
    <row r="9" spans="1:88" s="31" customFormat="1" ht="62.25" customHeight="1" thickBot="1" x14ac:dyDescent="0.45">
      <c r="A9" s="520">
        <f>IFERROR(VLOOKUP($G$5,'רשימת רשויות'!A:C,3,0),0)</f>
        <v>0</v>
      </c>
      <c r="B9" s="520"/>
      <c r="C9" s="39"/>
      <c r="D9" s="517"/>
      <c r="J9" s="22"/>
      <c r="K9" s="22"/>
      <c r="L9" s="22"/>
      <c r="M9" s="22"/>
      <c r="N9" s="22"/>
      <c r="O9" s="22"/>
      <c r="P9" s="454"/>
      <c r="Q9" s="454"/>
      <c r="R9" s="455"/>
      <c r="S9" s="479"/>
      <c r="T9" s="478"/>
      <c r="U9" s="476"/>
      <c r="V9" s="478"/>
      <c r="W9" s="478"/>
      <c r="X9" s="363"/>
      <c r="Y9" s="728"/>
      <c r="AC9" s="1146"/>
      <c r="AD9" s="1147"/>
      <c r="AG9" s="423" t="s">
        <v>2590</v>
      </c>
      <c r="AH9" s="427" t="s">
        <v>140</v>
      </c>
      <c r="AI9" s="427" t="s">
        <v>91</v>
      </c>
      <c r="AJ9" s="426" t="s">
        <v>2591</v>
      </c>
      <c r="AK9" s="426" t="s">
        <v>2592</v>
      </c>
      <c r="AO9" s="522" t="s">
        <v>2318</v>
      </c>
      <c r="AP9" s="428" t="s">
        <v>414</v>
      </c>
      <c r="AQ9" s="428" t="s">
        <v>415</v>
      </c>
      <c r="AR9" s="428" t="s">
        <v>2319</v>
      </c>
      <c r="AS9" s="428" t="s">
        <v>418</v>
      </c>
      <c r="AT9" s="428" t="s">
        <v>419</v>
      </c>
      <c r="AU9" s="428" t="s">
        <v>420</v>
      </c>
      <c r="AV9" s="428" t="s">
        <v>58</v>
      </c>
      <c r="AW9" s="428" t="s">
        <v>421</v>
      </c>
      <c r="AX9" s="428" t="s">
        <v>422</v>
      </c>
      <c r="AY9" s="428" t="s">
        <v>423</v>
      </c>
      <c r="AZ9" s="428" t="s">
        <v>424</v>
      </c>
      <c r="BA9" s="428" t="s">
        <v>425</v>
      </c>
      <c r="BB9" s="428" t="s">
        <v>416</v>
      </c>
      <c r="BC9" s="428" t="s">
        <v>2323</v>
      </c>
      <c r="BD9" s="428" t="s">
        <v>426</v>
      </c>
      <c r="BE9" s="429" t="s">
        <v>2362</v>
      </c>
      <c r="BF9" s="626" t="s">
        <v>3404</v>
      </c>
      <c r="BG9" s="626" t="s">
        <v>3405</v>
      </c>
      <c r="BH9" s="430" t="s">
        <v>2291</v>
      </c>
      <c r="BI9" s="430" t="s">
        <v>2197</v>
      </c>
      <c r="BJ9" s="428" t="s">
        <v>2288</v>
      </c>
      <c r="BK9" s="421" t="s">
        <v>2289</v>
      </c>
      <c r="BL9" s="421" t="s">
        <v>2320</v>
      </c>
      <c r="BM9" s="421" t="s">
        <v>2341</v>
      </c>
      <c r="BN9" s="421" t="s">
        <v>2353</v>
      </c>
      <c r="BO9" s="421" t="s">
        <v>2321</v>
      </c>
      <c r="BP9" s="421" t="s">
        <v>2544</v>
      </c>
      <c r="BQ9" s="421" t="s">
        <v>2545</v>
      </c>
      <c r="BR9" s="421" t="s">
        <v>2546</v>
      </c>
      <c r="BS9" s="421" t="s">
        <v>2547</v>
      </c>
      <c r="BT9" s="421" t="s">
        <v>2548</v>
      </c>
      <c r="BU9" s="421" t="s">
        <v>2549</v>
      </c>
      <c r="BV9" s="421" t="s">
        <v>2550</v>
      </c>
      <c r="BW9" s="421" t="s">
        <v>2551</v>
      </c>
      <c r="BX9" s="421" t="s">
        <v>2552</v>
      </c>
      <c r="BY9" s="421" t="s">
        <v>2553</v>
      </c>
      <c r="BZ9" s="421" t="s">
        <v>2554</v>
      </c>
      <c r="CA9" s="421" t="s">
        <v>2555</v>
      </c>
      <c r="CB9" s="421" t="s">
        <v>2556</v>
      </c>
      <c r="CC9" s="421" t="s">
        <v>2557</v>
      </c>
      <c r="CD9" s="421" t="s">
        <v>2558</v>
      </c>
      <c r="CE9" s="421" t="s">
        <v>2559</v>
      </c>
      <c r="CF9" s="421" t="s">
        <v>2540</v>
      </c>
      <c r="CG9" s="421" t="s">
        <v>2560</v>
      </c>
      <c r="CH9" s="421" t="s">
        <v>2539</v>
      </c>
      <c r="CI9" s="421" t="s">
        <v>2561</v>
      </c>
      <c r="CJ9" s="421" t="s">
        <v>2588</v>
      </c>
    </row>
    <row r="10" spans="1:88" ht="27" thickBot="1" x14ac:dyDescent="0.45">
      <c r="A10" s="520">
        <f>IFERROR(VLOOKUP($G$5,'רשימת רשויות'!A:C,3,0),0)</f>
        <v>0</v>
      </c>
      <c r="B10" s="488"/>
      <c r="F10" s="61" t="s">
        <v>2322</v>
      </c>
      <c r="G10" s="56">
        <f>SUMIF(F:F,$F$45,I:I)</f>
        <v>0</v>
      </c>
      <c r="AC10" s="1148"/>
      <c r="AD10" s="1149"/>
      <c r="AG10" s="64" t="s">
        <v>133</v>
      </c>
      <c r="AH10" s="984">
        <f>'גנים ובתי ספר- מבנה תקציב'!$F$59</f>
        <v>55.115199999999994</v>
      </c>
      <c r="AI10" s="984">
        <f>'גנים ובתי ספר- מבנה תקציב'!$D$59</f>
        <v>787.3599999999999</v>
      </c>
      <c r="AJ10" s="985">
        <f>SUM(AH10:AI10)</f>
        <v>842.47519999999986</v>
      </c>
      <c r="AK10" s="985">
        <f>AJ10*15</f>
        <v>12637.127999999997</v>
      </c>
      <c r="AM10" s="65"/>
      <c r="AN10" s="65"/>
      <c r="AO10" s="625"/>
      <c r="AP10" s="66">
        <f>G5</f>
        <v>0</v>
      </c>
      <c r="AQ10" s="67">
        <f>A16</f>
        <v>0</v>
      </c>
      <c r="AR10" s="66" t="str">
        <f>G6</f>
        <v/>
      </c>
      <c r="AS10" s="66">
        <f>SUMIF(F:F,F20,G:G)</f>
        <v>0</v>
      </c>
      <c r="AT10" s="66">
        <f>SUMIF(F:F,"ילדים זכאים ח.מיוחד לאחר הפחתה ובקרה",G:G)</f>
        <v>0</v>
      </c>
      <c r="AU10" s="66">
        <f>COUNTIF(G:G,"קטן")</f>
        <v>0</v>
      </c>
      <c r="AV10" s="66">
        <f>COUNTIF(G:G,"גדול")</f>
        <v>0</v>
      </c>
      <c r="AW10" s="68"/>
      <c r="AX10" s="68"/>
      <c r="AY10" s="66">
        <f>SUMIF(F:F,$F$42,H:H)</f>
        <v>0</v>
      </c>
      <c r="AZ10" s="66">
        <f>SUMIF(P:P,$P$44,Q:Q)</f>
        <v>0</v>
      </c>
      <c r="BA10" s="66">
        <f>SUMIF(P:P,$P$45,Q:Q)</f>
        <v>0</v>
      </c>
      <c r="BB10" s="66">
        <f>SUMIF(F:F,$F$42,G:G)</f>
        <v>0</v>
      </c>
      <c r="BC10" s="66">
        <f>SUMIF(F:F,$F$45,I:I)</f>
        <v>0</v>
      </c>
      <c r="BD10" s="69">
        <f>SUMIF(F:F,$F$32,R:R)</f>
        <v>0</v>
      </c>
      <c r="BE10" s="66">
        <f>SUMIF(F:F,$F$40,J:J)</f>
        <v>0</v>
      </c>
      <c r="BF10" s="627">
        <f>SUMIF('סייעות רפואיות או אישיות (7)'!E17:E385,"א-ג",'סייעות רפואיות או אישיות (7)'!R17:R385)</f>
        <v>0</v>
      </c>
      <c r="BG10" s="627">
        <f>SUMIF('סייעות רפואיות או אישיות (7)'!E17:E385,"ד-ו",'סייעות רפואיות או אישיות (7)'!R17:R385)</f>
        <v>0</v>
      </c>
      <c r="BH10" s="66">
        <f>SUMIF(F:F,$F$39,H:H)</f>
        <v>0</v>
      </c>
      <c r="BI10" s="66">
        <f>SUMIF(I:I,$I$43,J:J)</f>
        <v>0</v>
      </c>
      <c r="BJ10" s="66">
        <f>SUMIFS('דוח ביצוע (3)'!M21:M520,'דוח ביצוע (3)'!F21:F520,"&lt;150")</f>
        <v>0</v>
      </c>
      <c r="BK10" s="70">
        <f>SUMIFS('דוח ביצוע (3)'!M21:M520,'דוח ביצוע (3)'!F21:F520,"&gt;149")</f>
        <v>0</v>
      </c>
      <c r="BL10" s="66">
        <f>'דוח ביצוע (3)'!C13</f>
        <v>0</v>
      </c>
      <c r="BM10" s="66">
        <f>'דוח הוצאות בפועל (4)'!C9</f>
        <v>0</v>
      </c>
      <c r="BN10" s="66">
        <f>AU10+AV10</f>
        <v>0</v>
      </c>
      <c r="BO10" s="66" t="str">
        <f>IF(AND(BN10=BM10,BM10=BL10),"תקין","לא תקין")</f>
        <v>תקין</v>
      </c>
      <c r="BP10" s="66">
        <f>'דוח הוצאות בפועל (4)'!D9</f>
        <v>0</v>
      </c>
      <c r="BQ10" s="66">
        <f>'דוח הוצאות בפועל (4)'!E9</f>
        <v>0</v>
      </c>
      <c r="BR10" s="66">
        <f>'דוח הוצאות בפועל (4)'!F9</f>
        <v>0</v>
      </c>
      <c r="BS10" s="66">
        <f>'דוח הוצאות בפועל (4)'!G9</f>
        <v>0</v>
      </c>
      <c r="BT10" s="66">
        <f>SUM('עלויות כח אדם (6)'!M:M)</f>
        <v>0</v>
      </c>
      <c r="BU10" s="66">
        <f>SUMIF(F:F,$F$34,G:G)</f>
        <v>0</v>
      </c>
      <c r="BV10" s="66">
        <f>SUMIF(F:F,$F$35,G:G)</f>
        <v>0</v>
      </c>
      <c r="BW10" s="66">
        <f>SUMIF(F:F,$F$36,G:G)</f>
        <v>0</v>
      </c>
      <c r="BX10" s="66">
        <f>SUMIF(F:F,$F$38,G:G)</f>
        <v>0</v>
      </c>
      <c r="BY10" s="66">
        <f>SUMIF(F:F,$F$31,G:G)+SUMIF(F:F,$F$32,G:G)+SUMIF(F:F,$F$33,G:G)</f>
        <v>0</v>
      </c>
      <c r="BZ10" s="66">
        <f>BU10-BP10</f>
        <v>0</v>
      </c>
      <c r="CA10" s="66">
        <f>BV10-BQ10</f>
        <v>0</v>
      </c>
      <c r="CB10" s="66">
        <f>BW10-BR10</f>
        <v>0</v>
      </c>
      <c r="CC10" s="66">
        <f>BX10-BS10</f>
        <v>0</v>
      </c>
      <c r="CD10" s="66">
        <f>BY10-BT10+'עלויות כח אדם (6)'!$M$15</f>
        <v>0</v>
      </c>
      <c r="CE10" s="66" t="str">
        <f>IF(OR(SUM(BZ10:CD10)&gt;1,SUM(BZ10:CD10)&lt;-1),"לא תקין","תקין")</f>
        <v>תקין</v>
      </c>
      <c r="CF10" s="66">
        <f>'דוח ביצוע (3)'!G13</f>
        <v>0</v>
      </c>
      <c r="CG10" s="66">
        <f>'דוח ביצוע (3)'!H13</f>
        <v>0</v>
      </c>
      <c r="CH10" s="66" t="str">
        <f>IFERROR((AS10+AT10)/(CF10+CG10),"")</f>
        <v/>
      </c>
      <c r="CI10" s="66">
        <f>SUMIF(F:F,$F$40,H:H)</f>
        <v>0</v>
      </c>
      <c r="CJ10" s="66">
        <f>SUMIF(F:F,$F$42,H:H)</f>
        <v>0</v>
      </c>
    </row>
    <row r="11" spans="1:88" ht="27" thickBot="1" x14ac:dyDescent="0.45">
      <c r="A11" s="520">
        <f>IFERROR(VLOOKUP($G$5,'רשימת רשויות'!A:C,3,0),0)</f>
        <v>0</v>
      </c>
      <c r="B11" s="488"/>
      <c r="F11" s="61" t="s">
        <v>2916</v>
      </c>
      <c r="G11" s="56">
        <f>SUMIF(F:F,$F$46,I:I)</f>
        <v>0</v>
      </c>
      <c r="AC11" s="934"/>
      <c r="AD11" s="934"/>
      <c r="AG11" s="64" t="s">
        <v>92</v>
      </c>
      <c r="AH11" s="984">
        <f>'גנים ובתי ספר- מבנה תקציב'!$F$67</f>
        <v>100.0776</v>
      </c>
      <c r="AI11" s="984">
        <f>'גנים ובתי ספר- מבנה תקציב'!$E$67+'גנים ובתי ספר- מבנה תקציב'!$D$67</f>
        <v>1429.6799999999998</v>
      </c>
      <c r="AJ11" s="985">
        <f>SUM(AH11:AI11)</f>
        <v>1529.7575999999999</v>
      </c>
      <c r="AK11" s="985">
        <f>AJ11*15</f>
        <v>22946.363999999998</v>
      </c>
      <c r="AM11" s="65"/>
      <c r="AN11" s="65"/>
      <c r="AO11" s="625"/>
      <c r="AP11" s="935"/>
      <c r="AQ11" s="1042"/>
      <c r="AR11" s="935"/>
      <c r="AS11" s="935"/>
      <c r="AT11" s="935"/>
      <c r="AU11" s="935"/>
      <c r="AV11" s="935"/>
      <c r="AW11" s="935"/>
      <c r="AX11" s="935"/>
      <c r="AY11" s="935"/>
      <c r="AZ11" s="935"/>
      <c r="BA11" s="935"/>
      <c r="BB11" s="935"/>
      <c r="BC11" s="935"/>
      <c r="BD11" s="1043"/>
      <c r="BE11" s="935"/>
      <c r="BF11" s="935"/>
      <c r="BG11" s="935"/>
      <c r="BH11" s="935"/>
      <c r="BI11" s="935"/>
      <c r="BJ11" s="935"/>
      <c r="BK11" s="1044"/>
      <c r="BL11" s="935"/>
      <c r="BM11" s="935"/>
      <c r="BN11" s="935"/>
      <c r="BO11" s="935"/>
      <c r="BP11" s="935"/>
      <c r="BQ11" s="935"/>
      <c r="BR11" s="935"/>
      <c r="BS11" s="935"/>
      <c r="BT11" s="935"/>
      <c r="BU11" s="935"/>
      <c r="BV11" s="935"/>
      <c r="BW11" s="935"/>
      <c r="BX11" s="935"/>
      <c r="BY11" s="935"/>
      <c r="BZ11" s="935"/>
      <c r="CA11" s="935"/>
      <c r="CB11" s="935"/>
      <c r="CC11" s="935"/>
      <c r="CD11" s="935"/>
      <c r="CE11" s="935"/>
      <c r="CF11" s="935"/>
      <c r="CG11" s="935"/>
      <c r="CH11" s="935"/>
      <c r="CI11" s="935"/>
      <c r="CJ11" s="935"/>
    </row>
    <row r="12" spans="1:88" ht="27" hidden="1" thickBot="1" x14ac:dyDescent="0.45">
      <c r="A12" s="520">
        <f>IFERROR(VLOOKUP($G$5,'רשימת רשויות'!A:C,3,0),0)</f>
        <v>0</v>
      </c>
      <c r="B12" s="488"/>
      <c r="F12" s="61" t="s">
        <v>2917</v>
      </c>
      <c r="G12" s="56">
        <f>MIN('עלויות כח אדם (6)'!M15,20000)</f>
        <v>0</v>
      </c>
      <c r="AC12" s="934"/>
      <c r="AD12" s="934"/>
      <c r="AM12" s="65"/>
      <c r="AN12" s="65"/>
      <c r="AO12" s="625"/>
      <c r="AP12" s="935"/>
      <c r="AQ12" s="1042"/>
      <c r="AR12" s="935"/>
      <c r="AS12" s="935"/>
      <c r="AT12" s="935"/>
      <c r="AU12" s="935"/>
      <c r="AV12" s="935"/>
      <c r="AW12" s="935"/>
      <c r="AX12" s="935"/>
      <c r="AY12" s="935"/>
      <c r="AZ12" s="935"/>
      <c r="BA12" s="935"/>
      <c r="BB12" s="935"/>
      <c r="BC12" s="935"/>
      <c r="BD12" s="1043"/>
      <c r="BE12" s="935"/>
      <c r="BF12" s="935"/>
      <c r="BG12" s="935"/>
      <c r="BH12" s="935"/>
      <c r="BI12" s="935"/>
      <c r="BJ12" s="935"/>
      <c r="BK12" s="1044"/>
      <c r="BL12" s="935"/>
      <c r="BM12" s="935"/>
      <c r="BN12" s="935"/>
      <c r="BO12" s="935"/>
      <c r="BP12" s="935"/>
      <c r="BQ12" s="935"/>
      <c r="BR12" s="935"/>
      <c r="BS12" s="935"/>
      <c r="BT12" s="935"/>
      <c r="BU12" s="935"/>
      <c r="BV12" s="935"/>
      <c r="BW12" s="935"/>
      <c r="BX12" s="935"/>
      <c r="BY12" s="935"/>
      <c r="BZ12" s="935"/>
      <c r="CA12" s="935"/>
      <c r="CB12" s="935"/>
      <c r="CC12" s="935"/>
      <c r="CD12" s="935"/>
      <c r="CE12" s="935"/>
      <c r="CF12" s="935"/>
      <c r="CG12" s="935"/>
      <c r="CH12" s="935"/>
      <c r="CI12" s="935"/>
      <c r="CJ12" s="935"/>
    </row>
    <row r="13" spans="1:88" ht="22.5" customHeight="1" x14ac:dyDescent="0.4">
      <c r="A13" s="520">
        <f>IFERROR(VLOOKUP($G$5,'רשימת רשויות'!A:C,3,0),0)</f>
        <v>0</v>
      </c>
      <c r="S13" s="480" t="s">
        <v>2583</v>
      </c>
      <c r="AM13" s="65"/>
      <c r="AN13" s="65"/>
      <c r="AP13" s="543"/>
      <c r="AQ13" s="543"/>
      <c r="AR13" s="543"/>
      <c r="AS13" s="543"/>
      <c r="AT13" s="543"/>
      <c r="AU13" s="1045"/>
      <c r="AV13" s="1045"/>
      <c r="AW13" s="1045"/>
      <c r="AX13" s="1045"/>
      <c r="AY13" s="1045"/>
      <c r="AZ13" s="1045"/>
      <c r="BA13" s="1045"/>
      <c r="BB13" s="1045"/>
      <c r="BC13" s="1045"/>
      <c r="BD13" s="1045"/>
      <c r="BE13" s="1045"/>
      <c r="BF13" s="1045"/>
      <c r="BG13" s="1045"/>
      <c r="BH13" s="1045"/>
      <c r="BI13" s="1045"/>
      <c r="BJ13" s="1045"/>
      <c r="BK13" s="1045"/>
      <c r="BL13" s="1045"/>
      <c r="BM13" s="1045"/>
      <c r="BN13" s="1045"/>
      <c r="BO13" s="543"/>
      <c r="BP13" s="543"/>
      <c r="BQ13" s="543"/>
      <c r="BR13" s="543"/>
      <c r="BS13" s="543"/>
      <c r="BT13" s="543"/>
      <c r="BU13" s="543"/>
      <c r="BV13" s="543"/>
      <c r="BW13" s="543"/>
      <c r="BX13" s="543"/>
      <c r="BY13" s="543"/>
      <c r="BZ13" s="543"/>
      <c r="CA13" s="543"/>
      <c r="CB13" s="543"/>
      <c r="CC13" s="543"/>
      <c r="CD13" s="543"/>
      <c r="CE13" s="543"/>
      <c r="CF13" s="543"/>
      <c r="CG13" s="543"/>
      <c r="CH13" s="543"/>
      <c r="CI13" s="543"/>
      <c r="CJ13" s="543"/>
    </row>
    <row r="14" spans="1:88" ht="26.25" x14ac:dyDescent="0.4">
      <c r="A14" s="520">
        <f>IFERROR(VLOOKUP($G$5,'רשימת רשויות'!A:C,3,0),0)</f>
        <v>0</v>
      </c>
      <c r="F14" s="71" t="s">
        <v>2919</v>
      </c>
      <c r="T14" s="481"/>
      <c r="AG14" s="20"/>
      <c r="AH14" s="20"/>
      <c r="AI14" s="20"/>
      <c r="AJ14" s="20"/>
      <c r="AK14" s="20"/>
      <c r="AL14" s="65"/>
      <c r="AM14" s="65"/>
      <c r="AN14" s="65"/>
      <c r="AZ14" s="72"/>
      <c r="BA14" s="73"/>
    </row>
    <row r="15" spans="1:88" s="20" customFormat="1" ht="27" thickBot="1" x14ac:dyDescent="0.45">
      <c r="A15" s="520">
        <f>IFERROR(VLOOKUP($G$5,'רשימת רשויות'!A:C,3,0),0)</f>
        <v>0</v>
      </c>
      <c r="B15" s="520"/>
      <c r="C15" s="39"/>
      <c r="D15" s="519"/>
      <c r="E15" s="22"/>
      <c r="F15" s="61"/>
      <c r="G15" s="22"/>
      <c r="H15" s="22"/>
      <c r="I15" s="22"/>
      <c r="J15" s="22"/>
      <c r="K15" s="22"/>
      <c r="L15" s="22"/>
      <c r="M15" s="22"/>
      <c r="N15" s="22"/>
      <c r="O15" s="22"/>
      <c r="P15" s="467"/>
      <c r="Q15" s="467"/>
      <c r="R15" s="455"/>
      <c r="S15" s="482" t="s">
        <v>2519</v>
      </c>
      <c r="T15" s="482" t="s">
        <v>97</v>
      </c>
      <c r="U15" s="483" t="s">
        <v>2521</v>
      </c>
      <c r="V15" s="361" t="s">
        <v>2520</v>
      </c>
      <c r="W15" s="484" t="s">
        <v>2524</v>
      </c>
      <c r="X15" s="361" t="s">
        <v>2522</v>
      </c>
      <c r="Y15" s="877" t="s">
        <v>2523</v>
      </c>
      <c r="Z15" s="22"/>
      <c r="AA15" s="22"/>
      <c r="AB15" s="22"/>
      <c r="AC15" s="498" t="s">
        <v>2568</v>
      </c>
      <c r="AD15" s="499"/>
      <c r="AE15" s="22"/>
      <c r="AO15" s="22"/>
      <c r="AP15" s="22"/>
      <c r="AQ15" s="22"/>
      <c r="AR15" s="22"/>
      <c r="AS15" s="22"/>
      <c r="AT15" s="22"/>
      <c r="AU15" s="35"/>
      <c r="AV15" s="76"/>
      <c r="AW15" s="35"/>
      <c r="AX15" s="35"/>
      <c r="AY15" s="35"/>
      <c r="AZ15" s="77"/>
      <c r="BA15" s="35"/>
      <c r="BB15" s="36"/>
      <c r="BC15" s="35"/>
      <c r="BD15" s="35"/>
      <c r="BE15" s="35"/>
      <c r="BF15" s="35"/>
      <c r="BG15" s="35"/>
      <c r="BH15" s="35"/>
      <c r="BI15" s="35"/>
      <c r="BJ15" s="35"/>
      <c r="BK15" s="35"/>
      <c r="BL15" s="35"/>
      <c r="BM15" s="35"/>
      <c r="BN15" s="35"/>
      <c r="BO15" s="78"/>
    </row>
    <row r="16" spans="1:88" s="20" customFormat="1" ht="16.5" customHeight="1" thickBot="1" x14ac:dyDescent="0.3">
      <c r="A16" s="520">
        <f>IFERROR(VLOOKUP($G$5,'רשימת רשויות'!A:C,3,0),0)</f>
        <v>0</v>
      </c>
      <c r="B16" s="520">
        <f>IF(F17="סמל המוסד",G17,B15)</f>
        <v>0</v>
      </c>
      <c r="C16" s="39"/>
      <c r="D16" s="882" t="s">
        <v>1</v>
      </c>
      <c r="F16" s="74"/>
      <c r="H16" s="75"/>
      <c r="I16" s="75"/>
      <c r="J16" s="22"/>
      <c r="K16" s="22"/>
      <c r="L16" s="22"/>
      <c r="M16" s="22"/>
      <c r="N16" s="22"/>
      <c r="O16" s="22"/>
      <c r="P16" s="468"/>
      <c r="Q16" s="469"/>
      <c r="R16" s="464"/>
      <c r="S16" s="363"/>
      <c r="T16" s="363" t="s">
        <v>67</v>
      </c>
      <c r="U16" s="485">
        <f>SUMIFS(U:U,S:S,$S$45)</f>
        <v>0</v>
      </c>
      <c r="V16" s="362">
        <f>SUMIFS(V:V,S:S,$S$45)</f>
        <v>0</v>
      </c>
      <c r="W16" s="481">
        <f>U16-V16</f>
        <v>0</v>
      </c>
      <c r="X16" s="481">
        <f>SUMIFS(W:W,S:S,$S$45)</f>
        <v>0</v>
      </c>
      <c r="Y16" s="481"/>
      <c r="AC16" s="500">
        <v>0</v>
      </c>
      <c r="AD16" s="501"/>
      <c r="AO16" s="22"/>
      <c r="AP16" s="22"/>
      <c r="AQ16" s="22"/>
      <c r="AR16" s="22"/>
      <c r="AS16" s="22"/>
      <c r="AT16" s="22"/>
      <c r="AU16" s="35"/>
      <c r="AV16" s="35"/>
      <c r="AW16" s="35"/>
      <c r="AX16" s="35"/>
      <c r="AY16" s="36"/>
      <c r="AZ16" s="36"/>
      <c r="BA16" s="35"/>
      <c r="BB16" s="35"/>
      <c r="BC16" s="35"/>
      <c r="BD16" s="35"/>
      <c r="BE16" s="35"/>
      <c r="BF16" s="35"/>
      <c r="BG16" s="35"/>
      <c r="BH16" s="35"/>
      <c r="BI16" s="35"/>
      <c r="BJ16" s="35"/>
      <c r="BK16" s="35"/>
      <c r="BL16" s="35"/>
      <c r="BM16" s="35"/>
      <c r="BN16" s="35"/>
      <c r="BO16" s="78"/>
    </row>
    <row r="17" spans="1:67" s="20" customFormat="1" ht="16.5" customHeight="1" thickBot="1" x14ac:dyDescent="0.3">
      <c r="A17" s="520">
        <f>IFERROR(VLOOKUP($G$5,'רשימת רשויות'!A:C,3,0),0)</f>
        <v>0</v>
      </c>
      <c r="B17" s="520">
        <f>IF(F18="סמל המוסד",G18,B16)</f>
        <v>0</v>
      </c>
      <c r="C17" s="39"/>
      <c r="D17" s="1133">
        <v>1</v>
      </c>
      <c r="E17" s="1136" t="str">
        <f>IFERROR(CONCATENATE("בית הספר ",VLOOKUP(G17,'מצבת והרשמה (2)'!$C$21:$D$520,2,0)," - ",$G$5),"")</f>
        <v>בית הספר המוסד לא קיים - 0</v>
      </c>
      <c r="F17" s="720" t="s">
        <v>146</v>
      </c>
      <c r="G17" s="721">
        <f>IFERROR(VLOOKUP(D:D,'דוח ביצוע (3)'!$A$21:$C$900,2,0),0)</f>
        <v>0</v>
      </c>
      <c r="H17" s="79"/>
      <c r="I17" s="80" t="s">
        <v>150</v>
      </c>
      <c r="J17" s="80"/>
      <c r="K17" s="81"/>
      <c r="L17" s="392"/>
      <c r="M17" s="392"/>
      <c r="N17" s="392"/>
      <c r="O17" s="82"/>
      <c r="P17" s="470"/>
      <c r="Q17" s="471"/>
      <c r="R17" s="472"/>
      <c r="S17" s="883"/>
      <c r="T17" s="884"/>
      <c r="U17" s="486"/>
      <c r="V17" s="487"/>
      <c r="W17" s="487"/>
      <c r="X17" s="487"/>
      <c r="Y17" s="885"/>
      <c r="Z17" s="83"/>
      <c r="AC17" s="502"/>
      <c r="AD17" s="503"/>
      <c r="AO17" s="22"/>
      <c r="AP17" s="22"/>
      <c r="AQ17" s="22"/>
      <c r="AR17" s="22"/>
      <c r="AS17" s="22"/>
      <c r="AT17" s="22"/>
      <c r="AU17" s="35"/>
      <c r="AV17" s="35"/>
      <c r="AW17" s="35"/>
      <c r="AX17" s="35"/>
      <c r="AY17" s="35"/>
      <c r="AZ17" s="35"/>
      <c r="BA17" s="35"/>
      <c r="BB17" s="35"/>
      <c r="BC17" s="35"/>
      <c r="BD17" s="35"/>
      <c r="BE17" s="35"/>
      <c r="BF17" s="35"/>
      <c r="BG17" s="35"/>
      <c r="BH17" s="35"/>
      <c r="BI17" s="35"/>
      <c r="BJ17" s="35"/>
      <c r="BK17" s="35"/>
      <c r="BL17" s="35"/>
      <c r="BM17" s="35"/>
      <c r="BN17" s="35"/>
      <c r="BO17" s="78"/>
    </row>
    <row r="18" spans="1:67" s="20" customFormat="1" ht="16.5" thickBot="1" x14ac:dyDescent="0.3">
      <c r="A18" s="520">
        <f>IFERROR(VLOOKUP($G$5,'רשימת רשויות'!A:C,3,0),0)</f>
        <v>0</v>
      </c>
      <c r="B18" s="520">
        <f>IF(F19="סמל המוסד",G19,B17)</f>
        <v>0</v>
      </c>
      <c r="C18" s="39"/>
      <c r="D18" s="1134"/>
      <c r="E18" s="1137"/>
      <c r="F18" s="583" t="s">
        <v>145</v>
      </c>
      <c r="G18" s="516" t="str">
        <f>IFERROR(IF((G20+G21)=0,"",IF(VLOOKUP(G17,'דוח ביצוע (3)'!$B$21:$K$900,5,0)&gt;149,"גדול",IF(AND(VLOOKUP(G17,'דוח ביצוע (3)'!$B$21:$K$900,5,0)&gt;0,VLOOKUP(G17,'דוח ביצוע (3)'!$B$21:$K$900,5,0)&lt;150),"קטן",0))),"")</f>
        <v/>
      </c>
      <c r="H18" s="723" t="s">
        <v>88</v>
      </c>
      <c r="I18" s="723" t="s">
        <v>13</v>
      </c>
      <c r="J18" s="725" t="s">
        <v>14</v>
      </c>
      <c r="K18" s="724" t="s">
        <v>94</v>
      </c>
      <c r="L18" s="594"/>
      <c r="M18" s="420" t="s">
        <v>2584</v>
      </c>
      <c r="N18" s="397" t="s">
        <v>413</v>
      </c>
      <c r="O18" s="398" t="s">
        <v>52</v>
      </c>
      <c r="P18" s="595"/>
      <c r="Q18" s="595"/>
      <c r="R18" s="596"/>
      <c r="S18" s="610"/>
      <c r="T18" s="881"/>
      <c r="U18" s="598"/>
      <c r="V18" s="599"/>
      <c r="W18" s="599"/>
      <c r="X18" s="599"/>
      <c r="Y18" s="879"/>
      <c r="Z18" s="85"/>
      <c r="AC18" s="493"/>
      <c r="AD18" s="495"/>
      <c r="AO18" s="22"/>
      <c r="AP18" s="22"/>
      <c r="AQ18" s="22"/>
      <c r="AR18" s="22"/>
      <c r="AS18" s="22"/>
      <c r="AT18" s="22"/>
      <c r="AU18" s="35"/>
      <c r="AV18" s="35"/>
      <c r="AW18" s="35"/>
      <c r="AX18" s="35"/>
      <c r="AY18" s="35"/>
      <c r="AZ18" s="35"/>
      <c r="BA18" s="35"/>
      <c r="BB18" s="35"/>
      <c r="BC18" s="35"/>
      <c r="BD18" s="35"/>
      <c r="BE18" s="35"/>
      <c r="BF18" s="35"/>
      <c r="BG18" s="35"/>
      <c r="BH18" s="35"/>
      <c r="BI18" s="35"/>
      <c r="BJ18" s="35"/>
      <c r="BK18" s="35"/>
      <c r="BL18" s="35"/>
      <c r="BM18" s="35"/>
      <c r="BN18" s="35"/>
      <c r="BO18" s="78"/>
    </row>
    <row r="19" spans="1:67" s="20" customFormat="1" ht="15.75" customHeight="1" thickBot="1" x14ac:dyDescent="0.3">
      <c r="A19" s="520">
        <f>IFERROR(VLOOKUP($G$5,'רשימת רשויות'!A:C,3,0),0)</f>
        <v>0</v>
      </c>
      <c r="B19" s="520">
        <f t="shared" ref="B19:B47" si="0">IF(F20="סמל המוסד",G20,B18)</f>
        <v>0</v>
      </c>
      <c r="C19" s="39"/>
      <c r="D19" s="1134"/>
      <c r="E19" s="1137"/>
      <c r="F19" s="584" t="s">
        <v>144</v>
      </c>
      <c r="G19" s="87">
        <f>IF(G22="תקין",IFERROR(VLOOKUP($G17,'דוח ביצוע (3)'!$B$21:$Q$900,12,0),0),0)</f>
        <v>0</v>
      </c>
      <c r="H19" s="88">
        <f>IFERROR(G20*$AH$6+G21*$AH$7,0)</f>
        <v>0</v>
      </c>
      <c r="I19" s="88">
        <f>IFERROR(G20*$AI$6+G21*$AI$7,0)</f>
        <v>0</v>
      </c>
      <c r="J19" s="88">
        <f>IFERROR(G20*$AJ$6+G21*$AJ$7,0)</f>
        <v>0</v>
      </c>
      <c r="K19" s="88">
        <f>IFERROR(G20*$AK$6+G21*$AK$7,0)</f>
        <v>0</v>
      </c>
      <c r="L19" s="405"/>
      <c r="M19" s="399" t="s">
        <v>427</v>
      </c>
      <c r="N19" s="400" t="str">
        <f>IFERROR(VLOOKUP($G17,'דוח ביצוע (3)'!$B:$AE,28,0),"")</f>
        <v/>
      </c>
      <c r="O19" s="89" t="str">
        <f>IFERROR(VLOOKUP($G17,'דוח ביצוע (3)'!B:AE,29,0),"")</f>
        <v/>
      </c>
      <c r="P19" s="595"/>
      <c r="Q19" s="595"/>
      <c r="R19" s="596"/>
      <c r="S19" s="610"/>
      <c r="T19" s="881"/>
      <c r="U19" s="598"/>
      <c r="V19" s="599"/>
      <c r="W19" s="599"/>
      <c r="X19" s="599"/>
      <c r="Y19" s="879"/>
      <c r="Z19" s="85"/>
      <c r="AC19" s="493"/>
      <c r="AD19" s="495"/>
      <c r="AO19" s="22"/>
      <c r="AP19" s="22"/>
      <c r="AQ19" s="22"/>
      <c r="AR19" s="22"/>
      <c r="AS19" s="22"/>
      <c r="AT19" s="22"/>
      <c r="AU19" s="35"/>
      <c r="AV19" s="35"/>
      <c r="AW19" s="35"/>
      <c r="AX19" s="35"/>
      <c r="AY19" s="35"/>
      <c r="AZ19" s="35"/>
      <c r="BA19" s="35"/>
      <c r="BB19" s="35"/>
      <c r="BC19" s="35"/>
      <c r="BD19" s="35"/>
      <c r="BE19" s="35"/>
      <c r="BF19" s="35"/>
      <c r="BG19" s="35"/>
      <c r="BH19" s="35"/>
      <c r="BI19" s="35"/>
      <c r="BJ19" s="35"/>
      <c r="BK19" s="35"/>
      <c r="BL19" s="35"/>
      <c r="BM19" s="35"/>
      <c r="BN19" s="35"/>
      <c r="BO19" s="78"/>
    </row>
    <row r="20" spans="1:67" s="20" customFormat="1" ht="32.25" thickBot="1" x14ac:dyDescent="0.3">
      <c r="A20" s="520">
        <f>IFERROR(VLOOKUP($G$5,'רשימת רשויות'!A:C,3,0),0)</f>
        <v>0</v>
      </c>
      <c r="B20" s="520">
        <f t="shared" si="0"/>
        <v>0</v>
      </c>
      <c r="C20" s="39"/>
      <c r="D20" s="1134"/>
      <c r="E20" s="1137"/>
      <c r="F20" s="585" t="s">
        <v>2195</v>
      </c>
      <c r="G20" s="89">
        <f>IF(G22="תקין",MAX(N22,0),0)</f>
        <v>0</v>
      </c>
      <c r="H20" s="725" t="s">
        <v>151</v>
      </c>
      <c r="I20" s="725" t="s">
        <v>91</v>
      </c>
      <c r="J20" s="970" t="s">
        <v>3396</v>
      </c>
      <c r="K20" s="601"/>
      <c r="L20" s="601"/>
      <c r="M20" s="983" t="s">
        <v>2585</v>
      </c>
      <c r="N20" s="400" t="str">
        <f>IFERROR(G19/15*N19*1.25,"")</f>
        <v/>
      </c>
      <c r="O20" s="89" t="str">
        <f>IFERROR(G19/15*O19*1.25,"")</f>
        <v/>
      </c>
      <c r="P20" s="595"/>
      <c r="Q20" s="595"/>
      <c r="R20" s="596"/>
      <c r="S20" s="610"/>
      <c r="T20" s="881"/>
      <c r="U20" s="598"/>
      <c r="V20" s="599"/>
      <c r="W20" s="599"/>
      <c r="X20" s="599"/>
      <c r="Y20" s="879"/>
      <c r="Z20" s="85"/>
      <c r="AC20" s="493"/>
      <c r="AD20" s="495"/>
      <c r="AG20" s="22"/>
      <c r="AH20" s="55"/>
      <c r="AI20" s="55"/>
      <c r="AJ20" s="55"/>
      <c r="AK20" s="55"/>
      <c r="AO20" s="22"/>
      <c r="AP20" s="22"/>
      <c r="AQ20" s="22"/>
      <c r="AR20" s="22"/>
      <c r="AS20" s="22"/>
      <c r="AT20" s="22"/>
      <c r="AU20" s="35"/>
      <c r="AV20" s="35"/>
      <c r="AW20" s="35"/>
      <c r="AX20" s="35"/>
      <c r="AY20" s="35"/>
      <c r="AZ20" s="35"/>
      <c r="BA20" s="35"/>
      <c r="BB20" s="35"/>
      <c r="BC20" s="35"/>
      <c r="BD20" s="35"/>
      <c r="BE20" s="35"/>
      <c r="BF20" s="35"/>
      <c r="BG20" s="35"/>
      <c r="BH20" s="35"/>
      <c r="BI20" s="35"/>
      <c r="BJ20" s="35"/>
      <c r="BK20" s="35"/>
      <c r="BL20" s="35"/>
      <c r="BM20" s="35"/>
      <c r="BN20" s="35"/>
      <c r="BO20" s="86"/>
    </row>
    <row r="21" spans="1:67" s="20" customFormat="1" ht="16.5" thickBot="1" x14ac:dyDescent="0.3">
      <c r="A21" s="520">
        <f>IFERROR(VLOOKUP($G$5,'רשימת רשויות'!A:C,3,0),0)</f>
        <v>0</v>
      </c>
      <c r="B21" s="520">
        <f t="shared" si="0"/>
        <v>0</v>
      </c>
      <c r="C21" s="39"/>
      <c r="D21" s="1134"/>
      <c r="E21" s="1137"/>
      <c r="F21" s="585" t="s">
        <v>2196</v>
      </c>
      <c r="G21" s="89">
        <f>IF(G22="תקין",MAX(O22,0),0)</f>
        <v>0</v>
      </c>
      <c r="H21" s="88">
        <f>(IFERROR(IF((G20+G21)=0,0,IF(G18="קטן",G19*$AH$10,G19*$AH$11)),0))+(IFERROR(IF((G20+G21)=0,0,VLOOKUP(G17,'דוח ביצוע (3)'!$B:$AH,33,0)),0))</f>
        <v>0</v>
      </c>
      <c r="I21" s="88">
        <f>IFERROR(IF((G20+G21)=0,0,IF(G18="קטן",G19*$AI$10,G19*$AI$11)),0)</f>
        <v>0</v>
      </c>
      <c r="J21" s="88">
        <f>IFERROR(IF((G20+G21)=0,0,VLOOKUP(G17,'דוח ביצוע (3)'!$B:$AH,32,0)),0)</f>
        <v>0</v>
      </c>
      <c r="K21" s="90"/>
      <c r="L21" s="90"/>
      <c r="M21" s="399" t="s">
        <v>412</v>
      </c>
      <c r="N21" s="400">
        <f>IFERROR(VLOOKUP($G17,'דוח ביצוע (3)'!$B$21:$U$500,18,0),0)</f>
        <v>0</v>
      </c>
      <c r="O21" s="401">
        <f>IFERROR(VLOOKUP($G17,'דוח ביצוע (3)'!$B$21:$U$500,19,0),0)</f>
        <v>0</v>
      </c>
      <c r="P21" s="595"/>
      <c r="Q21" s="595"/>
      <c r="R21" s="596"/>
      <c r="S21" s="610"/>
      <c r="T21" s="881"/>
      <c r="U21" s="598"/>
      <c r="V21" s="599"/>
      <c r="W21" s="599"/>
      <c r="X21" s="599"/>
      <c r="Y21" s="879"/>
      <c r="Z21" s="85"/>
      <c r="AC21" s="493"/>
      <c r="AD21" s="495"/>
      <c r="AG21" s="22"/>
      <c r="AH21" s="55"/>
      <c r="AI21" s="55"/>
      <c r="AJ21" s="55"/>
      <c r="AK21" s="55"/>
      <c r="AO21" s="22"/>
      <c r="AP21" s="22"/>
      <c r="AQ21" s="22"/>
      <c r="AR21" s="22"/>
      <c r="AS21" s="22"/>
      <c r="AT21" s="22"/>
      <c r="AU21" s="35"/>
      <c r="AV21" s="35"/>
      <c r="AW21" s="35"/>
      <c r="AX21" s="35"/>
      <c r="AY21" s="35"/>
      <c r="AZ21" s="35"/>
      <c r="BA21" s="35"/>
      <c r="BB21" s="35"/>
      <c r="BC21" s="35"/>
      <c r="BD21" s="35"/>
      <c r="BE21" s="35"/>
      <c r="BF21" s="35"/>
      <c r="BG21" s="35"/>
      <c r="BH21" s="35"/>
      <c r="BI21" s="35"/>
      <c r="BJ21" s="35"/>
      <c r="BK21" s="35"/>
      <c r="BL21" s="35"/>
      <c r="BM21" s="35"/>
      <c r="BN21" s="35"/>
      <c r="BO21" s="86"/>
    </row>
    <row r="22" spans="1:67" s="20" customFormat="1" ht="16.5" thickBot="1" x14ac:dyDescent="0.3">
      <c r="A22" s="520">
        <f>IFERROR(VLOOKUP($G$5,'רשימת רשויות'!A:C,3,0),0)</f>
        <v>0</v>
      </c>
      <c r="B22" s="520">
        <f t="shared" si="0"/>
        <v>0</v>
      </c>
      <c r="C22" s="39"/>
      <c r="D22" s="1134"/>
      <c r="E22" s="1137"/>
      <c r="F22" s="586" t="s">
        <v>2355</v>
      </c>
      <c r="G22" s="514">
        <f>IFERROR(IF(VLOOKUP('בית ספר - תקצוב לפי מוסד (9)'!G17,' איוש משרות (8)'!$C:$K,9,0)="תקין","תקין","לא תקין"),0)</f>
        <v>0</v>
      </c>
      <c r="H22" s="91"/>
      <c r="I22" s="91"/>
      <c r="J22" s="91"/>
      <c r="K22" s="90"/>
      <c r="L22" s="90"/>
      <c r="M22" s="402" t="s">
        <v>2586</v>
      </c>
      <c r="N22" s="403">
        <f>IFERROR(MIN(N20,N21),0)</f>
        <v>0</v>
      </c>
      <c r="O22" s="404">
        <f>IFERROR(MIN(O20,O21),0)</f>
        <v>0</v>
      </c>
      <c r="P22" s="595"/>
      <c r="Q22" s="595"/>
      <c r="R22" s="596"/>
      <c r="S22" s="610"/>
      <c r="T22" s="881"/>
      <c r="U22" s="598"/>
      <c r="V22" s="599"/>
      <c r="W22" s="599"/>
      <c r="X22" s="599"/>
      <c r="Y22" s="879"/>
      <c r="Z22" s="85"/>
      <c r="AC22" s="493"/>
      <c r="AD22" s="495"/>
      <c r="AG22" s="94"/>
      <c r="AH22" s="40"/>
      <c r="AI22" s="40"/>
      <c r="AJ22" s="40"/>
      <c r="AK22" s="40"/>
      <c r="AO22" s="22"/>
      <c r="AP22" s="22"/>
      <c r="AQ22" s="22"/>
      <c r="AR22" s="22"/>
      <c r="AS22" s="22"/>
      <c r="AT22" s="22"/>
      <c r="AU22" s="35"/>
      <c r="AV22" s="35"/>
      <c r="AW22" s="35"/>
      <c r="AX22" s="35"/>
      <c r="AY22" s="35"/>
      <c r="AZ22" s="35"/>
      <c r="BA22" s="35"/>
      <c r="BB22" s="35"/>
      <c r="BC22" s="35"/>
      <c r="BD22" s="35"/>
      <c r="BE22" s="35"/>
      <c r="BF22" s="35"/>
      <c r="BG22" s="35"/>
      <c r="BH22" s="35"/>
      <c r="BI22" s="35"/>
      <c r="BJ22" s="35"/>
      <c r="BK22" s="35"/>
      <c r="BL22" s="35"/>
      <c r="BM22" s="35"/>
      <c r="BN22" s="35"/>
      <c r="BO22" s="86"/>
    </row>
    <row r="23" spans="1:67" s="55" customFormat="1" ht="37.15" customHeight="1" thickBot="1" x14ac:dyDescent="0.3">
      <c r="A23" s="520">
        <f>IFERROR(VLOOKUP($G$5,'רשימת רשויות'!A:C,3,0),0)</f>
        <v>0</v>
      </c>
      <c r="B23" s="520">
        <f t="shared" si="0"/>
        <v>0</v>
      </c>
      <c r="C23" s="39"/>
      <c r="D23" s="1134"/>
      <c r="E23" s="1137"/>
      <c r="F23" s="587" t="s">
        <v>142</v>
      </c>
      <c r="G23" s="92"/>
      <c r="H23" s="92"/>
      <c r="I23" s="92"/>
      <c r="J23" s="92"/>
      <c r="K23" s="602"/>
      <c r="L23" s="602"/>
      <c r="M23" s="602"/>
      <c r="N23" s="602"/>
      <c r="O23" s="602"/>
      <c r="P23" s="595"/>
      <c r="Q23" s="595"/>
      <c r="R23" s="596"/>
      <c r="S23" s="610"/>
      <c r="T23" s="881"/>
      <c r="U23" s="598"/>
      <c r="V23" s="599"/>
      <c r="W23" s="599"/>
      <c r="X23" s="599"/>
      <c r="Y23" s="879"/>
      <c r="Z23" s="93"/>
      <c r="AC23" s="493"/>
      <c r="AD23" s="495"/>
      <c r="AF23" s="22"/>
      <c r="AG23" s="98"/>
      <c r="AH23" s="98"/>
      <c r="AI23" s="40"/>
      <c r="AJ23" s="40"/>
      <c r="AK23" s="40"/>
      <c r="AO23" s="22"/>
      <c r="AP23" s="22"/>
      <c r="AQ23" s="22"/>
      <c r="AR23" s="22"/>
      <c r="AS23" s="22"/>
      <c r="AT23" s="22"/>
      <c r="AU23" s="35"/>
      <c r="AV23" s="35"/>
      <c r="AW23" s="35"/>
      <c r="AX23" s="35"/>
      <c r="AY23" s="35"/>
      <c r="AZ23" s="35"/>
      <c r="BA23" s="35"/>
      <c r="BB23" s="35"/>
      <c r="BC23" s="35"/>
      <c r="BD23" s="35"/>
      <c r="BE23" s="35"/>
      <c r="BF23" s="35"/>
      <c r="BG23" s="35"/>
      <c r="BH23" s="35"/>
      <c r="BI23" s="35"/>
      <c r="BJ23" s="35"/>
      <c r="BK23" s="35"/>
      <c r="BL23" s="35"/>
      <c r="BM23" s="35"/>
      <c r="BN23" s="35"/>
      <c r="BO23" s="86"/>
    </row>
    <row r="24" spans="1:67" s="40" customFormat="1" ht="31.5" x14ac:dyDescent="0.25">
      <c r="A24" s="520">
        <f>IFERROR(VLOOKUP($G$5,'רשימת רשויות'!A:C,3,0),0)</f>
        <v>0</v>
      </c>
      <c r="B24" s="520">
        <f t="shared" si="0"/>
        <v>0</v>
      </c>
      <c r="C24" s="39"/>
      <c r="D24" s="1134"/>
      <c r="E24" s="1137"/>
      <c r="F24" s="588" t="s">
        <v>94</v>
      </c>
      <c r="G24" s="95" t="s">
        <v>18</v>
      </c>
      <c r="H24" s="95" t="s">
        <v>19</v>
      </c>
      <c r="I24" s="95" t="s">
        <v>138</v>
      </c>
      <c r="J24" s="96" t="s">
        <v>139</v>
      </c>
      <c r="K24" s="603"/>
      <c r="L24" s="603"/>
      <c r="M24" s="603"/>
      <c r="N24" s="603"/>
      <c r="O24" s="603"/>
      <c r="P24" s="604"/>
      <c r="Q24" s="604"/>
      <c r="R24" s="596"/>
      <c r="S24" s="610"/>
      <c r="T24" s="881"/>
      <c r="U24" s="598"/>
      <c r="V24" s="599"/>
      <c r="W24" s="599"/>
      <c r="X24" s="599"/>
      <c r="Y24" s="879"/>
      <c r="Z24" s="97"/>
      <c r="AA24" s="94"/>
      <c r="AB24" s="94"/>
      <c r="AC24" s="493"/>
      <c r="AD24" s="495"/>
      <c r="AE24" s="94"/>
      <c r="AG24" s="98"/>
      <c r="AH24" s="98"/>
      <c r="AO24" s="22"/>
      <c r="AP24" s="22"/>
      <c r="AQ24" s="22"/>
      <c r="AR24" s="22"/>
      <c r="AS24" s="22"/>
      <c r="AT24" s="22"/>
      <c r="AU24" s="35"/>
      <c r="AV24" s="35"/>
      <c r="AW24" s="35"/>
      <c r="AX24" s="35"/>
      <c r="AY24" s="35"/>
      <c r="AZ24" s="35"/>
      <c r="BA24" s="35"/>
      <c r="BB24" s="35"/>
      <c r="BC24" s="35"/>
      <c r="BD24" s="35"/>
      <c r="BE24" s="35"/>
      <c r="BF24" s="35"/>
      <c r="BG24" s="35"/>
      <c r="BH24" s="35"/>
      <c r="BI24" s="35"/>
      <c r="BJ24" s="35"/>
      <c r="BK24" s="35"/>
      <c r="BL24" s="35"/>
      <c r="BM24" s="35"/>
      <c r="BN24" s="35"/>
      <c r="BO24" s="86"/>
    </row>
    <row r="25" spans="1:67" s="40" customFormat="1" ht="15.75" customHeight="1" thickBot="1" x14ac:dyDescent="0.3">
      <c r="A25" s="520">
        <f>IFERROR(VLOOKUP($G$5,'רשימת רשויות'!A:C,3,0),0)</f>
        <v>0</v>
      </c>
      <c r="B25" s="520">
        <f t="shared" si="0"/>
        <v>0</v>
      </c>
      <c r="C25" s="39"/>
      <c r="D25" s="1134"/>
      <c r="E25" s="1137"/>
      <c r="F25" s="589" t="s">
        <v>2280</v>
      </c>
      <c r="G25" s="99">
        <f>+G36</f>
        <v>0</v>
      </c>
      <c r="H25" s="100">
        <f>K19</f>
        <v>0</v>
      </c>
      <c r="I25" s="100">
        <f>H25-I27</f>
        <v>0</v>
      </c>
      <c r="J25" s="101">
        <f>IFERROR(I25/H25,0)</f>
        <v>0</v>
      </c>
      <c r="K25" s="603"/>
      <c r="L25" s="603"/>
      <c r="M25" s="603"/>
      <c r="N25" s="603"/>
      <c r="O25" s="603"/>
      <c r="P25" s="605"/>
      <c r="Q25" s="604"/>
      <c r="R25" s="606" t="s">
        <v>157</v>
      </c>
      <c r="S25" s="611"/>
      <c r="T25" s="881"/>
      <c r="U25" s="598"/>
      <c r="V25" s="599"/>
      <c r="W25" s="599"/>
      <c r="X25" s="599"/>
      <c r="Y25" s="879"/>
      <c r="Z25" s="102"/>
      <c r="AA25" s="122"/>
      <c r="AB25" s="122"/>
      <c r="AC25" s="493"/>
      <c r="AD25" s="495"/>
      <c r="AE25" s="122"/>
      <c r="AF25" s="22"/>
      <c r="AG25" s="98"/>
      <c r="AH25" s="98"/>
      <c r="AI25" s="20"/>
      <c r="AO25" s="22"/>
      <c r="AP25" s="22"/>
      <c r="AQ25" s="22"/>
      <c r="AR25" s="22"/>
      <c r="AS25" s="22"/>
      <c r="AT25" s="22"/>
      <c r="AU25" s="35"/>
      <c r="AV25" s="35"/>
      <c r="AW25" s="35"/>
      <c r="AX25" s="35"/>
      <c r="AY25" s="35"/>
      <c r="AZ25" s="35"/>
      <c r="BA25" s="35"/>
      <c r="BB25" s="35"/>
      <c r="BC25" s="35"/>
      <c r="BD25" s="35"/>
      <c r="BE25" s="35"/>
      <c r="BF25" s="35"/>
      <c r="BG25" s="35"/>
      <c r="BH25" s="35"/>
      <c r="BI25" s="35"/>
      <c r="BJ25" s="35"/>
      <c r="BK25" s="35"/>
      <c r="BL25" s="35"/>
      <c r="BM25" s="35"/>
      <c r="BN25" s="35"/>
      <c r="BO25" s="86"/>
    </row>
    <row r="26" spans="1:67" s="40" customFormat="1" ht="15.75" customHeight="1" thickBot="1" x14ac:dyDescent="0.3">
      <c r="A26" s="520">
        <f>IFERROR(VLOOKUP($G$5,'רשימת רשויות'!A:C,3,0),0)</f>
        <v>0</v>
      </c>
      <c r="B26" s="520">
        <f t="shared" si="0"/>
        <v>0</v>
      </c>
      <c r="C26" s="39"/>
      <c r="D26" s="1134"/>
      <c r="E26" s="1137"/>
      <c r="F26" s="589" t="s">
        <v>2281</v>
      </c>
      <c r="G26" s="99">
        <f>+G35</f>
        <v>0</v>
      </c>
      <c r="H26" s="103"/>
      <c r="I26" s="104"/>
      <c r="J26" s="105"/>
      <c r="K26" s="603"/>
      <c r="L26" s="603"/>
      <c r="M26" s="603"/>
      <c r="N26" s="603"/>
      <c r="O26" s="603"/>
      <c r="P26" s="605"/>
      <c r="Q26" s="604"/>
      <c r="R26" s="473">
        <f>I27-R28</f>
        <v>0</v>
      </c>
      <c r="S26" s="611"/>
      <c r="T26" s="881"/>
      <c r="U26" s="598"/>
      <c r="V26" s="599"/>
      <c r="W26" s="599"/>
      <c r="X26" s="599"/>
      <c r="Y26" s="879"/>
      <c r="Z26" s="106"/>
      <c r="AA26" s="22"/>
      <c r="AB26" s="22"/>
      <c r="AC26" s="493"/>
      <c r="AD26" s="495"/>
      <c r="AE26" s="22"/>
      <c r="AF26" s="22"/>
      <c r="AG26" s="98"/>
      <c r="AH26" s="98"/>
      <c r="AI26" s="20"/>
      <c r="AO26" s="22"/>
      <c r="AP26" s="22"/>
      <c r="AQ26" s="22"/>
      <c r="AR26" s="22"/>
      <c r="AS26" s="22"/>
      <c r="AT26" s="22"/>
      <c r="AU26" s="35"/>
      <c r="AV26" s="35"/>
      <c r="AW26" s="35"/>
      <c r="AX26" s="35"/>
      <c r="AY26" s="35"/>
      <c r="AZ26" s="35"/>
      <c r="BA26" s="35"/>
      <c r="BB26" s="35"/>
      <c r="BC26" s="35"/>
      <c r="BD26" s="35"/>
      <c r="BE26" s="35"/>
      <c r="BF26" s="35"/>
      <c r="BG26" s="35"/>
      <c r="BH26" s="35"/>
      <c r="BI26" s="35"/>
      <c r="BJ26" s="35"/>
      <c r="BK26" s="35"/>
      <c r="BL26" s="35"/>
      <c r="BM26" s="35"/>
      <c r="BN26" s="35"/>
      <c r="BO26" s="86"/>
    </row>
    <row r="27" spans="1:67" s="40" customFormat="1" ht="16.5" customHeight="1" thickBot="1" x14ac:dyDescent="0.3">
      <c r="A27" s="520">
        <f>IFERROR(VLOOKUP($G$5,'רשימת רשויות'!A:C,3,0),0)</f>
        <v>0</v>
      </c>
      <c r="B27" s="520">
        <f t="shared" si="0"/>
        <v>0</v>
      </c>
      <c r="C27" s="39"/>
      <c r="D27" s="1134"/>
      <c r="E27" s="1137"/>
      <c r="F27" s="589" t="s">
        <v>2282</v>
      </c>
      <c r="G27" s="99">
        <f>G31+G32+G33</f>
        <v>0</v>
      </c>
      <c r="H27" s="104"/>
      <c r="I27" s="107">
        <f>MAX(H25-G25-G26,0)</f>
        <v>0</v>
      </c>
      <c r="J27" s="108">
        <f>IFERROR(I27/H25,0)</f>
        <v>0</v>
      </c>
      <c r="K27" s="603"/>
      <c r="L27" s="603"/>
      <c r="M27" s="603"/>
      <c r="N27" s="603"/>
      <c r="O27" s="603"/>
      <c r="P27" s="604"/>
      <c r="Q27" s="604"/>
      <c r="R27" s="606" t="s">
        <v>158</v>
      </c>
      <c r="S27" s="612"/>
      <c r="T27" s="881"/>
      <c r="U27" s="598"/>
      <c r="V27" s="599"/>
      <c r="W27" s="599"/>
      <c r="X27" s="599"/>
      <c r="Y27" s="879"/>
      <c r="Z27" s="106"/>
      <c r="AA27" s="22"/>
      <c r="AB27" s="22"/>
      <c r="AC27" s="493"/>
      <c r="AD27" s="495"/>
      <c r="AE27" s="22"/>
      <c r="AF27" s="22"/>
      <c r="AG27" s="22"/>
      <c r="AH27" s="22"/>
      <c r="AI27" s="55"/>
      <c r="AJ27" s="22"/>
      <c r="AK27" s="22"/>
      <c r="AO27" s="22"/>
      <c r="AP27" s="22"/>
      <c r="AQ27" s="22"/>
      <c r="AR27" s="22"/>
      <c r="AS27" s="22"/>
      <c r="AT27" s="22"/>
      <c r="AU27" s="35"/>
      <c r="AV27" s="35"/>
      <c r="AW27" s="35"/>
      <c r="AX27" s="35"/>
      <c r="AY27" s="35"/>
      <c r="AZ27" s="35"/>
      <c r="BA27" s="35"/>
      <c r="BB27" s="35"/>
      <c r="BC27" s="35"/>
      <c r="BD27" s="35"/>
      <c r="BE27" s="35"/>
      <c r="BF27" s="35"/>
      <c r="BG27" s="35"/>
      <c r="BH27" s="35"/>
      <c r="BI27" s="35"/>
      <c r="BJ27" s="35"/>
      <c r="BK27" s="35"/>
      <c r="BL27" s="35"/>
      <c r="BM27" s="35"/>
      <c r="BN27" s="35"/>
      <c r="BO27" s="86"/>
    </row>
    <row r="28" spans="1:67" s="40" customFormat="1" ht="15.75" customHeight="1" thickBot="1" x14ac:dyDescent="0.3">
      <c r="A28" s="520">
        <f>IFERROR(VLOOKUP($G$5,'רשימת רשויות'!A:C,3,0),0)</f>
        <v>0</v>
      </c>
      <c r="B28" s="520">
        <f t="shared" si="0"/>
        <v>0</v>
      </c>
      <c r="C28" s="39"/>
      <c r="D28" s="1134"/>
      <c r="E28" s="1137"/>
      <c r="F28" s="590" t="s">
        <v>2290</v>
      </c>
      <c r="G28" s="109"/>
      <c r="H28" s="110"/>
      <c r="I28" s="111">
        <f>SUM(I25:I27)</f>
        <v>0</v>
      </c>
      <c r="J28" s="112">
        <f>SUM(J25:J27)</f>
        <v>0</v>
      </c>
      <c r="K28" s="603"/>
      <c r="L28" s="603"/>
      <c r="M28" s="603"/>
      <c r="N28" s="603"/>
      <c r="O28" s="603"/>
      <c r="P28" s="604"/>
      <c r="Q28" s="604"/>
      <c r="R28" s="473">
        <f>MIN(MAX(G32+G33-I21-J21,0),I27)</f>
        <v>0</v>
      </c>
      <c r="S28" s="612"/>
      <c r="T28" s="881"/>
      <c r="U28" s="598"/>
      <c r="V28" s="599"/>
      <c r="W28" s="599"/>
      <c r="X28" s="599"/>
      <c r="Y28" s="879"/>
      <c r="Z28" s="106"/>
      <c r="AA28" s="22"/>
      <c r="AB28" s="22"/>
      <c r="AC28" s="493"/>
      <c r="AD28" s="495"/>
      <c r="AE28" s="22"/>
      <c r="AF28" s="22"/>
      <c r="AG28" s="22"/>
      <c r="AH28" s="22"/>
      <c r="AJ28" s="22"/>
      <c r="AK28" s="22"/>
      <c r="AO28" s="22"/>
      <c r="AP28" s="22"/>
      <c r="AQ28" s="22"/>
      <c r="AR28" s="22"/>
      <c r="AS28" s="22"/>
      <c r="AT28" s="22"/>
      <c r="AU28" s="35"/>
      <c r="AV28" s="35"/>
      <c r="AW28" s="35"/>
      <c r="AX28" s="35"/>
      <c r="AY28" s="35"/>
      <c r="AZ28" s="35"/>
      <c r="BA28" s="35"/>
      <c r="BB28" s="35"/>
      <c r="BC28" s="35"/>
      <c r="BD28" s="35"/>
      <c r="BE28" s="35"/>
      <c r="BF28" s="35"/>
      <c r="BG28" s="35"/>
      <c r="BH28" s="35"/>
      <c r="BI28" s="35"/>
      <c r="BJ28" s="35"/>
      <c r="BK28" s="35"/>
      <c r="BL28" s="35"/>
      <c r="BM28" s="35"/>
      <c r="BN28" s="35"/>
      <c r="BO28" s="86"/>
    </row>
    <row r="29" spans="1:67" ht="16.5" thickBot="1" x14ac:dyDescent="0.3">
      <c r="A29" s="520">
        <f>IFERROR(VLOOKUP($G$5,'רשימת רשויות'!A:C,3,0),0)</f>
        <v>0</v>
      </c>
      <c r="B29" s="520">
        <f t="shared" si="0"/>
        <v>0</v>
      </c>
      <c r="D29" s="1134"/>
      <c r="E29" s="1137"/>
      <c r="F29" s="587" t="s">
        <v>17</v>
      </c>
      <c r="G29" s="113"/>
      <c r="H29" s="92"/>
      <c r="I29" s="114"/>
      <c r="J29" s="115"/>
      <c r="K29" s="116"/>
      <c r="L29" s="406"/>
      <c r="M29" s="116"/>
      <c r="N29" s="116"/>
      <c r="O29" s="116"/>
      <c r="P29" s="474"/>
      <c r="Q29" s="607"/>
      <c r="R29" s="608"/>
      <c r="S29" s="612"/>
      <c r="T29" s="881"/>
      <c r="U29" s="598"/>
      <c r="V29" s="599"/>
      <c r="W29" s="599"/>
      <c r="X29" s="599"/>
      <c r="Y29" s="879"/>
      <c r="Z29" s="106"/>
      <c r="AI29" s="40"/>
      <c r="BO29" s="86"/>
    </row>
    <row r="30" spans="1:67" ht="47.25" x14ac:dyDescent="0.25">
      <c r="A30" s="520">
        <f>IFERROR(VLOOKUP($G$5,'רשימת רשויות'!A:C,3,0),0)</f>
        <v>0</v>
      </c>
      <c r="B30" s="520">
        <f t="shared" si="0"/>
        <v>0</v>
      </c>
      <c r="D30" s="1134"/>
      <c r="E30" s="1137"/>
      <c r="F30" s="588" t="s">
        <v>2</v>
      </c>
      <c r="G30" s="95" t="s">
        <v>18</v>
      </c>
      <c r="H30" s="95" t="s">
        <v>19</v>
      </c>
      <c r="I30" s="95" t="s">
        <v>20</v>
      </c>
      <c r="J30" s="95" t="s">
        <v>22</v>
      </c>
      <c r="K30" s="96" t="s">
        <v>2314</v>
      </c>
      <c r="L30" s="609"/>
      <c r="M30" s="609"/>
      <c r="N30" s="609"/>
      <c r="O30" s="580"/>
      <c r="P30" s="618" t="s">
        <v>2298</v>
      </c>
      <c r="Q30" s="618" t="s">
        <v>2299</v>
      </c>
      <c r="R30" s="596"/>
      <c r="S30" s="890" t="s">
        <v>2519</v>
      </c>
      <c r="T30" s="890" t="s">
        <v>97</v>
      </c>
      <c r="U30" s="891" t="s">
        <v>2521</v>
      </c>
      <c r="V30" s="892" t="s">
        <v>2520</v>
      </c>
      <c r="W30" s="893" t="s">
        <v>2524</v>
      </c>
      <c r="X30" s="892" t="s">
        <v>2522</v>
      </c>
      <c r="Y30" s="894" t="s">
        <v>2523</v>
      </c>
      <c r="Z30" s="106"/>
      <c r="AC30" s="498" t="s">
        <v>2568</v>
      </c>
      <c r="AD30" s="499" t="s">
        <v>2569</v>
      </c>
      <c r="AF30" s="122"/>
      <c r="AI30" s="40"/>
      <c r="BO30" s="86"/>
    </row>
    <row r="31" spans="1:67" ht="15" customHeight="1" thickBot="1" x14ac:dyDescent="0.3">
      <c r="A31" s="520">
        <f>IFERROR(VLOOKUP($G$5,'רשימת רשויות'!A:C,3,0),0)</f>
        <v>0</v>
      </c>
      <c r="B31" s="520">
        <f t="shared" si="0"/>
        <v>0</v>
      </c>
      <c r="D31" s="1134"/>
      <c r="E31" s="1137"/>
      <c r="F31" s="589" t="s">
        <v>76</v>
      </c>
      <c r="G31" s="117">
        <f>IF(G22="תקין",SUMIF('עלויות כח אדם (6)'!$B$15:$B$3014,'בית ספר - תקצוב לפי מוסד (9)'!$G17,'עלויות כח אדם (6)'!$M$15:$M$3014)-VLOOKUP('בית ספר - תקצוב לפי מוסד (9)'!G17,' איוש משרות (8)'!$C:$H,5,0)-VLOOKUP('בית ספר - תקצוב לפי מוסד (9)'!G17,' איוש משרות (8)'!$C:$H,6,0),0)-Y31</f>
        <v>0</v>
      </c>
      <c r="H31" s="118">
        <f>I19+R26</f>
        <v>0</v>
      </c>
      <c r="I31" s="119">
        <f>IFERROR(SUM(G31)/H31,0)</f>
        <v>0</v>
      </c>
      <c r="J31" s="100">
        <f>MIN(I19+R26,IF(ISNUMBER(G31),G31,0))</f>
        <v>0</v>
      </c>
      <c r="K31" s="120">
        <f>MAX(H31-G31,0)</f>
        <v>0</v>
      </c>
      <c r="L31" s="407"/>
      <c r="M31" s="393"/>
      <c r="N31" s="393"/>
      <c r="O31" s="580"/>
      <c r="P31" s="867">
        <f>IFERROR(IF(SUM(G31)/(I19)&lt;100%,MIN((I19)-SUM(G31),(I19)*0.25),0),0)</f>
        <v>0</v>
      </c>
      <c r="Q31" s="867">
        <f>IF(SUM(G31)-(I19+R26)&gt;0,SUM(G31)-(I19+R26),0)</f>
        <v>0</v>
      </c>
      <c r="R31" s="596" t="s">
        <v>2351</v>
      </c>
      <c r="S31" s="576" t="s">
        <v>2342</v>
      </c>
      <c r="T31" s="599">
        <f>G17</f>
        <v>0</v>
      </c>
      <c r="U31" s="578"/>
      <c r="V31" s="579">
        <f>G31+G32+G33</f>
        <v>0</v>
      </c>
      <c r="W31" s="579">
        <f>U31-V31</f>
        <v>0</v>
      </c>
      <c r="X31" s="579">
        <f>IFERROR(W45*W31/(SUM(W31:W44)),0)</f>
        <v>0</v>
      </c>
      <c r="Y31" s="879">
        <f>SUMIFS(בקרה!$S:$S,בקרה!$D:$D,T31,בקרה!$K:$K,S31)</f>
        <v>0</v>
      </c>
      <c r="Z31" s="121"/>
      <c r="AA31" s="143"/>
      <c r="AB31" s="143"/>
      <c r="AC31" s="504">
        <v>0</v>
      </c>
      <c r="AD31" s="505">
        <f>IFERROR(U31-AC31,0)</f>
        <v>0</v>
      </c>
      <c r="AE31" s="143"/>
      <c r="AI31" s="20"/>
      <c r="BO31" s="86"/>
    </row>
    <row r="32" spans="1:67" ht="15" customHeight="1" thickBot="1" x14ac:dyDescent="0.3">
      <c r="A32" s="520">
        <f>IFERROR(VLOOKUP($G$5,'רשימת רשויות'!A:C,3,0),0)</f>
        <v>0</v>
      </c>
      <c r="B32" s="520">
        <f t="shared" si="0"/>
        <v>0</v>
      </c>
      <c r="D32" s="1134"/>
      <c r="E32" s="1137"/>
      <c r="F32" s="589" t="s">
        <v>44</v>
      </c>
      <c r="G32" s="123">
        <f>IF(G22="תקין",IFERROR(VLOOKUP('בית ספר - תקצוב לפי מוסד (9)'!G17,' איוש משרות (8)'!C:J,7,0),0),0)</f>
        <v>0</v>
      </c>
      <c r="H32" s="124">
        <f>I21+R28+J21</f>
        <v>0</v>
      </c>
      <c r="I32" s="119">
        <f>IFERROR(SUM(G32:G33)/H32,0)</f>
        <v>0</v>
      </c>
      <c r="J32" s="100">
        <f>MIN(R28+I21,IF(ISNUMBER(SUM(G32:G33)),SUM(G32:G33),0))</f>
        <v>0</v>
      </c>
      <c r="K32" s="1139">
        <f>MAX((H32)-(G32+G33),0)</f>
        <v>0</v>
      </c>
      <c r="L32" s="407"/>
      <c r="M32" s="393"/>
      <c r="N32" s="393"/>
      <c r="O32" s="580"/>
      <c r="P32" s="1140"/>
      <c r="Q32" s="1140"/>
      <c r="R32" s="617">
        <f>MAX(MIN(P40-Q40,H40*0.15-G38),0)</f>
        <v>0</v>
      </c>
      <c r="S32" s="576"/>
      <c r="T32" s="599">
        <f>G17</f>
        <v>0</v>
      </c>
      <c r="U32" s="578"/>
      <c r="V32" s="579"/>
      <c r="W32" s="579">
        <f t="shared" ref="W32:W44" si="1">U32-V32</f>
        <v>0</v>
      </c>
      <c r="X32" s="579"/>
      <c r="Y32" s="879"/>
      <c r="Z32" s="121"/>
      <c r="AA32" s="143"/>
      <c r="AB32" s="143"/>
      <c r="AC32" s="504"/>
      <c r="AD32" s="505">
        <f t="shared" ref="AD32:AD38" si="2">IFERROR(U32-AC32,0)</f>
        <v>0</v>
      </c>
      <c r="AE32" s="143"/>
      <c r="AI32" s="20"/>
      <c r="BO32" s="86"/>
    </row>
    <row r="33" spans="1:67" ht="15.75" customHeight="1" x14ac:dyDescent="0.25">
      <c r="A33" s="520">
        <f>IFERROR(VLOOKUP($G$5,'רשימת רשויות'!A:C,3,0),0)</f>
        <v>0</v>
      </c>
      <c r="B33" s="520">
        <f t="shared" si="0"/>
        <v>0</v>
      </c>
      <c r="D33" s="1134"/>
      <c r="E33" s="1137"/>
      <c r="F33" s="589" t="s">
        <v>45</v>
      </c>
      <c r="G33" s="123">
        <f>IF(G22="תקין",IFERROR(VLOOKUP('בית ספר - תקצוב לפי מוסד (9)'!G17,' איוש משרות (8)'!C:J,8,0),0),0)</f>
        <v>0</v>
      </c>
      <c r="H33" s="125"/>
      <c r="I33" s="126"/>
      <c r="J33" s="104"/>
      <c r="K33" s="1139"/>
      <c r="L33" s="407"/>
      <c r="M33" s="393"/>
      <c r="N33" s="393"/>
      <c r="O33" s="580"/>
      <c r="P33" s="1140"/>
      <c r="Q33" s="1140"/>
      <c r="R33" s="596"/>
      <c r="S33" s="576"/>
      <c r="T33" s="599">
        <f>G17</f>
        <v>0</v>
      </c>
      <c r="U33" s="578"/>
      <c r="V33" s="579"/>
      <c r="W33" s="579">
        <f t="shared" si="1"/>
        <v>0</v>
      </c>
      <c r="X33" s="579"/>
      <c r="Y33" s="879"/>
      <c r="Z33" s="121"/>
      <c r="AA33" s="143"/>
      <c r="AB33" s="143"/>
      <c r="AC33" s="504"/>
      <c r="AD33" s="505">
        <f t="shared" si="2"/>
        <v>0</v>
      </c>
      <c r="AE33" s="143"/>
      <c r="AG33" s="55"/>
      <c r="AH33" s="55"/>
      <c r="AI33" s="55"/>
      <c r="AJ33" s="55"/>
      <c r="AK33" s="55"/>
      <c r="BO33" s="86"/>
    </row>
    <row r="34" spans="1:67" ht="15.75" customHeight="1" x14ac:dyDescent="0.25">
      <c r="A34" s="520">
        <f>IFERROR(VLOOKUP($G$5,'רשימת רשויות'!A:C,3,0),0)</f>
        <v>0</v>
      </c>
      <c r="B34" s="520">
        <f t="shared" si="0"/>
        <v>0</v>
      </c>
      <c r="D34" s="1134"/>
      <c r="E34" s="1137"/>
      <c r="F34" s="589" t="s">
        <v>0</v>
      </c>
      <c r="G34" s="117">
        <f>IF(G22="תקין",SUMIFS('דוח הוצאות בפועל (4)'!$E$17:$E$3016,'דוח הוצאות בפועל (4)'!$B$17:$B$3016,'בית ספר - תקצוב לפי מוסד (9)'!$G17,'דוח הוצאות בפועל (4)'!$M$17:$M$3016,"הע"),0)-Y34</f>
        <v>0</v>
      </c>
      <c r="H34" s="127">
        <f>J19</f>
        <v>0</v>
      </c>
      <c r="I34" s="128">
        <f>IFERROR(G34/H34,0)</f>
        <v>0</v>
      </c>
      <c r="J34" s="129">
        <f>MIN(IF(ISNUMBER(G34),G34,0),H34)</f>
        <v>0</v>
      </c>
      <c r="K34" s="120">
        <f>MAX(H34-G34,0)</f>
        <v>0</v>
      </c>
      <c r="L34" s="407"/>
      <c r="M34" s="393"/>
      <c r="N34" s="393"/>
      <c r="O34" s="580"/>
      <c r="P34" s="867">
        <f>MAX(IF(I34&lt;100%,MIN((H34-G34),H34*0.25),0),0)</f>
        <v>0</v>
      </c>
      <c r="Q34" s="619">
        <f>IF(G34-H34&gt;0,G34-H34,0)</f>
        <v>0</v>
      </c>
      <c r="R34" s="596"/>
      <c r="S34" s="610" t="s">
        <v>0</v>
      </c>
      <c r="T34" s="599">
        <f>G17</f>
        <v>0</v>
      </c>
      <c r="U34" s="578"/>
      <c r="V34" s="579">
        <f>G34</f>
        <v>0</v>
      </c>
      <c r="W34" s="579">
        <f t="shared" si="1"/>
        <v>0</v>
      </c>
      <c r="X34" s="579">
        <f>IFERROR(W45*W34/(SUM(W31:W44)),0)</f>
        <v>0</v>
      </c>
      <c r="Y34" s="879">
        <f>SUMIFS(בקרה!$S:$S,בקרה!$D:$D,T34,בקרה!$K:$K,S34)</f>
        <v>0</v>
      </c>
      <c r="Z34" s="121"/>
      <c r="AA34" s="143"/>
      <c r="AB34" s="143"/>
      <c r="AC34" s="504">
        <v>0</v>
      </c>
      <c r="AD34" s="505">
        <f t="shared" si="2"/>
        <v>0</v>
      </c>
      <c r="AE34" s="143"/>
      <c r="AG34" s="55"/>
      <c r="AH34" s="55"/>
      <c r="AI34" s="40"/>
      <c r="AJ34" s="55"/>
      <c r="AK34" s="55"/>
      <c r="BO34" s="86"/>
    </row>
    <row r="35" spans="1:67" s="55" customFormat="1" ht="15.75" customHeight="1" x14ac:dyDescent="0.25">
      <c r="A35" s="520">
        <f>IFERROR(VLOOKUP($G$5,'רשימת רשויות'!A:C,3,0),0)</f>
        <v>0</v>
      </c>
      <c r="B35" s="520">
        <f t="shared" si="0"/>
        <v>0</v>
      </c>
      <c r="C35" s="39"/>
      <c r="D35" s="1134"/>
      <c r="E35" s="1137"/>
      <c r="F35" s="589" t="s">
        <v>93</v>
      </c>
      <c r="G35" s="130">
        <f>IF(G22="תקין",SUMIFS('דוח הוצאות בפועל (4)'!$E$17:$E$3016,'דוח הוצאות בפועל (4)'!$B$17:$B$3016,'בית ספר - תקצוב לפי מוסד (9)'!$G17,'דוח הוצאות בפועל (4)'!$M$17:$M$3016,"אר"),0)-Y35</f>
        <v>0</v>
      </c>
      <c r="H35" s="118">
        <f>$I25</f>
        <v>0</v>
      </c>
      <c r="I35" s="131">
        <f>IFERROR((G35+G36)/H35,0)</f>
        <v>0</v>
      </c>
      <c r="J35" s="100">
        <f>MIN((IF(ISNUMBER(G35),G35,0)+IF(ISNUMBER(G36),G36,0)),H35)</f>
        <v>0</v>
      </c>
      <c r="K35" s="1139">
        <f>MAX((H35)-(G35+G36),0)</f>
        <v>0</v>
      </c>
      <c r="L35" s="407"/>
      <c r="M35" s="393"/>
      <c r="N35" s="393"/>
      <c r="O35" s="602"/>
      <c r="P35" s="1141"/>
      <c r="Q35" s="1142"/>
      <c r="R35" s="596"/>
      <c r="S35" s="610" t="s">
        <v>93</v>
      </c>
      <c r="T35" s="599">
        <f>G17</f>
        <v>0</v>
      </c>
      <c r="U35" s="578"/>
      <c r="V35" s="579">
        <f t="shared" ref="V35:V38" si="3">G35</f>
        <v>0</v>
      </c>
      <c r="W35" s="579">
        <f t="shared" si="1"/>
        <v>0</v>
      </c>
      <c r="X35" s="579">
        <f>IFERROR(W45*W35/(SUM(W31:W44)),0)</f>
        <v>0</v>
      </c>
      <c r="Y35" s="879">
        <f>SUMIFS(בקרה!$S:$S,בקרה!$D:$D,T35,בקרה!$K:$K,S35)</f>
        <v>0</v>
      </c>
      <c r="Z35" s="121"/>
      <c r="AA35" s="143"/>
      <c r="AB35" s="143"/>
      <c r="AC35" s="504">
        <v>0</v>
      </c>
      <c r="AD35" s="505">
        <f t="shared" si="2"/>
        <v>0</v>
      </c>
      <c r="AE35" s="143"/>
      <c r="AJ35" s="22"/>
      <c r="AO35" s="22"/>
      <c r="AP35" s="22"/>
      <c r="AQ35" s="22"/>
      <c r="AR35" s="22"/>
      <c r="AS35" s="22"/>
      <c r="AT35" s="22"/>
      <c r="AU35" s="35"/>
      <c r="AV35" s="35"/>
      <c r="AW35" s="35"/>
      <c r="AX35" s="35"/>
      <c r="AY35" s="35"/>
      <c r="AZ35" s="35"/>
      <c r="BA35" s="35"/>
      <c r="BB35" s="35"/>
      <c r="BC35" s="35"/>
      <c r="BD35" s="35"/>
      <c r="BE35" s="35"/>
      <c r="BF35" s="35"/>
      <c r="BG35" s="35"/>
      <c r="BH35" s="35"/>
      <c r="BI35" s="35"/>
      <c r="BJ35" s="35"/>
      <c r="BK35" s="35"/>
      <c r="BL35" s="35"/>
      <c r="BM35" s="35"/>
      <c r="BN35" s="35"/>
      <c r="BO35" s="86"/>
    </row>
    <row r="36" spans="1:67" s="55" customFormat="1" ht="15.75" customHeight="1" x14ac:dyDescent="0.25">
      <c r="A36" s="520">
        <f>IFERROR(VLOOKUP($G$5,'רשימת רשויות'!A:C,3,0),0)</f>
        <v>0</v>
      </c>
      <c r="B36" s="520">
        <f t="shared" si="0"/>
        <v>0</v>
      </c>
      <c r="C36" s="39"/>
      <c r="D36" s="1134"/>
      <c r="E36" s="1137"/>
      <c r="F36" s="589" t="s">
        <v>46</v>
      </c>
      <c r="G36" s="130">
        <f>IF(G22="תקין",SUMIFS('דוח הוצאות בפועל (4)'!$E$17:$E$3016,'דוח הוצאות בפועל (4)'!$B$17:$B$3016,'בית ספר - תקצוב לפי מוסד (9)'!$G17,'דוח הוצאות בפועל (4)'!$M$17:$M$3016,"מל"),0)-Y36</f>
        <v>0</v>
      </c>
      <c r="H36" s="132"/>
      <c r="I36" s="133"/>
      <c r="J36" s="104"/>
      <c r="K36" s="1139"/>
      <c r="L36" s="407"/>
      <c r="M36" s="393"/>
      <c r="N36" s="393"/>
      <c r="O36" s="602"/>
      <c r="P36" s="1141"/>
      <c r="Q36" s="1142"/>
      <c r="R36" s="596"/>
      <c r="S36" s="610" t="s">
        <v>46</v>
      </c>
      <c r="T36" s="599">
        <f>G17</f>
        <v>0</v>
      </c>
      <c r="U36" s="578"/>
      <c r="V36" s="579">
        <f t="shared" si="3"/>
        <v>0</v>
      </c>
      <c r="W36" s="579">
        <f t="shared" si="1"/>
        <v>0</v>
      </c>
      <c r="X36" s="579">
        <f>IFERROR(W45*W36/(SUM(W31:W44)),0)</f>
        <v>0</v>
      </c>
      <c r="Y36" s="879">
        <f>SUMIFS(בקרה!$S:$S,בקרה!$D:$D,T36,בקרה!$K:$K,S36)</f>
        <v>0</v>
      </c>
      <c r="Z36" s="121"/>
      <c r="AA36" s="143"/>
      <c r="AB36" s="143"/>
      <c r="AC36" s="504">
        <v>0</v>
      </c>
      <c r="AD36" s="505">
        <f t="shared" si="2"/>
        <v>0</v>
      </c>
      <c r="AE36" s="143"/>
      <c r="AJ36" s="22"/>
      <c r="AO36" s="22"/>
      <c r="AP36" s="22"/>
      <c r="AQ36" s="22"/>
      <c r="AR36" s="22"/>
      <c r="AS36" s="22"/>
      <c r="AT36" s="22"/>
      <c r="AU36" s="35"/>
      <c r="AV36" s="35"/>
      <c r="AW36" s="35"/>
      <c r="AX36" s="35"/>
      <c r="AY36" s="35"/>
      <c r="AZ36" s="35"/>
      <c r="BA36" s="35"/>
      <c r="BB36" s="35"/>
      <c r="BC36" s="35"/>
      <c r="BD36" s="35"/>
      <c r="BE36" s="35"/>
      <c r="BF36" s="35"/>
      <c r="BG36" s="35"/>
      <c r="BH36" s="35"/>
      <c r="BI36" s="35"/>
      <c r="BJ36" s="35"/>
      <c r="BK36" s="35"/>
      <c r="BL36" s="35"/>
      <c r="BM36" s="35"/>
      <c r="BN36" s="35"/>
      <c r="BO36" s="86"/>
    </row>
    <row r="37" spans="1:67" s="55" customFormat="1" ht="15" customHeight="1" x14ac:dyDescent="0.25">
      <c r="A37" s="520">
        <f>IFERROR(VLOOKUP($G$5,'רשימת רשויות'!A:C,3,0),0)</f>
        <v>0</v>
      </c>
      <c r="B37" s="520">
        <f t="shared" si="0"/>
        <v>0</v>
      </c>
      <c r="C37" s="39"/>
      <c r="D37" s="1134"/>
      <c r="E37" s="1137"/>
      <c r="F37" s="591" t="s">
        <v>23</v>
      </c>
      <c r="G37" s="134">
        <f>SUM(G31:G36)</f>
        <v>0</v>
      </c>
      <c r="H37" s="135">
        <f>SUM(H31:H36)</f>
        <v>0</v>
      </c>
      <c r="I37" s="128">
        <f>IFERROR(G37/H37,0)</f>
        <v>0</v>
      </c>
      <c r="J37" s="136">
        <f>SUM(J31:J36)</f>
        <v>0</v>
      </c>
      <c r="K37" s="137">
        <f>SUM(K31:K36)</f>
        <v>0</v>
      </c>
      <c r="L37" s="408"/>
      <c r="M37" s="394"/>
      <c r="N37" s="394"/>
      <c r="O37" s="602"/>
      <c r="P37" s="620">
        <f>SUM(P31:P36)</f>
        <v>0</v>
      </c>
      <c r="Q37" s="620">
        <f>SUM(Q31:Q36)</f>
        <v>0</v>
      </c>
      <c r="R37" s="596"/>
      <c r="S37" s="610"/>
      <c r="T37" s="599">
        <f>G17</f>
        <v>0</v>
      </c>
      <c r="U37" s="578"/>
      <c r="V37" s="579"/>
      <c r="W37" s="579">
        <f t="shared" si="1"/>
        <v>0</v>
      </c>
      <c r="X37" s="579"/>
      <c r="Y37" s="879"/>
      <c r="Z37" s="121"/>
      <c r="AA37" s="143"/>
      <c r="AB37" s="143"/>
      <c r="AC37" s="504"/>
      <c r="AD37" s="505">
        <f t="shared" si="2"/>
        <v>0</v>
      </c>
      <c r="AE37" s="143"/>
      <c r="AJ37" s="22"/>
      <c r="AL37" s="22"/>
      <c r="AM37" s="22"/>
      <c r="AN37" s="22"/>
      <c r="AO37" s="22"/>
      <c r="AP37" s="22"/>
      <c r="AQ37" s="22"/>
      <c r="AR37" s="22"/>
      <c r="AS37" s="22"/>
      <c r="AT37" s="22"/>
      <c r="AU37" s="35"/>
      <c r="AV37" s="35"/>
      <c r="AW37" s="35"/>
      <c r="AX37" s="35"/>
      <c r="AY37" s="35"/>
      <c r="AZ37" s="35"/>
      <c r="BA37" s="35"/>
      <c r="BB37" s="35"/>
      <c r="BC37" s="35"/>
      <c r="BD37" s="35"/>
      <c r="BE37" s="35"/>
      <c r="BF37" s="35"/>
      <c r="BG37" s="35"/>
      <c r="BH37" s="35"/>
      <c r="BI37" s="35"/>
      <c r="BJ37" s="35"/>
      <c r="BK37" s="35"/>
      <c r="BL37" s="35"/>
      <c r="BM37" s="35"/>
      <c r="BN37" s="35"/>
      <c r="BO37" s="86"/>
    </row>
    <row r="38" spans="1:67" s="55" customFormat="1" ht="15" customHeight="1" x14ac:dyDescent="0.25">
      <c r="A38" s="520">
        <f>IFERROR(VLOOKUP($G$5,'רשימת רשויות'!A:C,3,0),0)</f>
        <v>0</v>
      </c>
      <c r="B38" s="520">
        <f t="shared" si="0"/>
        <v>0</v>
      </c>
      <c r="C38" s="39"/>
      <c r="D38" s="1134"/>
      <c r="E38" s="1137"/>
      <c r="F38" s="589" t="s">
        <v>3</v>
      </c>
      <c r="G38" s="117">
        <f>IF(G22="תקין",SUMIFS('דוח הוצאות בפועל (4)'!$E$17:$E$3016,'דוח הוצאות בפועל (4)'!$B$17:$B$3016,'בית ספר - תקצוב לפי מוסד (9)'!$G17,'דוח הוצאות בפועל (4)'!$M$17:$M$3016,"ני")+SUMIFS('דוח הוצאות בפועל (4)'!$E$17:$E$3016,'דוח הוצאות בפועל (4)'!$B$17:$B$3016,'בית ספר - תקצוב לפי מוסד (9)'!$G17,'דוח הוצאות בפועל (4)'!$M$17:$M$3016,"על"),0)-Y38</f>
        <v>0</v>
      </c>
      <c r="H38" s="117">
        <f>H19</f>
        <v>0</v>
      </c>
      <c r="I38" s="138">
        <f>IFERROR(G38/H38,0)</f>
        <v>0</v>
      </c>
      <c r="J38" s="117">
        <f>IFERROR(IF(G38/H40&gt;0.15,MIN(H40*0.15,H38),MIN(H38,IF(ISNUMBER(G38),G38,0))),0)</f>
        <v>0</v>
      </c>
      <c r="K38" s="120">
        <f>MAX(H38-G38,0)</f>
        <v>0</v>
      </c>
      <c r="L38" s="407"/>
      <c r="M38" s="393"/>
      <c r="N38" s="393"/>
      <c r="O38" s="602"/>
      <c r="P38" s="620">
        <f>IF(I38&lt;100%,MIN(H38-G38,H38*0.25),0)</f>
        <v>0</v>
      </c>
      <c r="Q38" s="620">
        <f>MAX(MIN(IF(G38-H38&gt;0,G38-H38,0),$H40*0.15-H38-J39),0)</f>
        <v>0</v>
      </c>
      <c r="R38" s="596"/>
      <c r="S38" s="610" t="s">
        <v>3</v>
      </c>
      <c r="T38" s="599">
        <f>G17</f>
        <v>0</v>
      </c>
      <c r="U38" s="578"/>
      <c r="V38" s="579">
        <f t="shared" si="3"/>
        <v>0</v>
      </c>
      <c r="W38" s="579">
        <f t="shared" si="1"/>
        <v>0</v>
      </c>
      <c r="X38" s="579"/>
      <c r="Y38" s="879"/>
      <c r="Z38" s="121"/>
      <c r="AA38" s="143"/>
      <c r="AB38" s="143"/>
      <c r="AC38" s="504">
        <v>0</v>
      </c>
      <c r="AD38" s="505">
        <f t="shared" si="2"/>
        <v>0</v>
      </c>
      <c r="AE38" s="143"/>
      <c r="AG38" s="22"/>
      <c r="AH38" s="22"/>
      <c r="AI38" s="22"/>
      <c r="AJ38" s="22"/>
      <c r="AK38" s="22"/>
      <c r="AL38" s="22"/>
      <c r="AM38" s="22"/>
      <c r="AN38" s="22"/>
      <c r="AO38" s="22"/>
      <c r="AP38" s="22"/>
      <c r="AQ38" s="22"/>
      <c r="AR38" s="22"/>
      <c r="AS38" s="22"/>
      <c r="AT38" s="22"/>
      <c r="AU38" s="35"/>
      <c r="AV38" s="35"/>
      <c r="AW38" s="35"/>
      <c r="AX38" s="35"/>
      <c r="AY38" s="35"/>
      <c r="AZ38" s="35"/>
      <c r="BA38" s="35"/>
      <c r="BB38" s="35"/>
      <c r="BC38" s="35"/>
      <c r="BD38" s="35"/>
      <c r="BE38" s="35"/>
      <c r="BF38" s="35"/>
      <c r="BG38" s="35"/>
      <c r="BH38" s="35"/>
      <c r="BI38" s="35"/>
      <c r="BJ38" s="35"/>
      <c r="BK38" s="35"/>
      <c r="BL38" s="35"/>
      <c r="BM38" s="35"/>
      <c r="BN38" s="35"/>
      <c r="BO38" s="86"/>
    </row>
    <row r="39" spans="1:67" s="55" customFormat="1" ht="15.75" customHeight="1" x14ac:dyDescent="0.25">
      <c r="A39" s="520">
        <f>IFERROR(VLOOKUP($G$5,'רשימת רשויות'!A:C,3,0),0)</f>
        <v>0</v>
      </c>
      <c r="B39" s="520">
        <f t="shared" si="0"/>
        <v>0</v>
      </c>
      <c r="C39" s="39"/>
      <c r="D39" s="1134"/>
      <c r="E39" s="1137"/>
      <c r="F39" s="589" t="s">
        <v>2918</v>
      </c>
      <c r="G39" s="117">
        <f>0.07*(G33+G32)</f>
        <v>0</v>
      </c>
      <c r="H39" s="117">
        <f>H21</f>
        <v>0</v>
      </c>
      <c r="I39" s="138">
        <f>IFERROR(G39/H39,0)</f>
        <v>0</v>
      </c>
      <c r="J39" s="117">
        <f>IFERROR(MIN(0.07*(G32+G33),0.07*I21),0)</f>
        <v>0</v>
      </c>
      <c r="K39" s="120">
        <f>MAX(H39-G39,0)</f>
        <v>0</v>
      </c>
      <c r="L39" s="407"/>
      <c r="M39" s="393"/>
      <c r="N39" s="393"/>
      <c r="O39" s="602"/>
      <c r="P39" s="620"/>
      <c r="Q39" s="619"/>
      <c r="R39" s="596"/>
      <c r="S39" s="611"/>
      <c r="T39" s="599">
        <f>G17</f>
        <v>0</v>
      </c>
      <c r="U39" s="578"/>
      <c r="V39" s="579"/>
      <c r="W39" s="579">
        <f t="shared" si="1"/>
        <v>0</v>
      </c>
      <c r="X39" s="579"/>
      <c r="Y39" s="879"/>
      <c r="Z39" s="121"/>
      <c r="AA39" s="143"/>
      <c r="AB39" s="143"/>
      <c r="AC39" s="504"/>
      <c r="AD39" s="505"/>
      <c r="AE39" s="143"/>
      <c r="AF39" s="140"/>
      <c r="AG39" s="22"/>
      <c r="AH39" s="22"/>
      <c r="AI39" s="22"/>
      <c r="AJ39" s="22"/>
      <c r="AK39" s="22"/>
      <c r="AL39" s="22"/>
      <c r="AM39" s="22"/>
      <c r="AN39" s="22"/>
      <c r="AO39" s="22"/>
      <c r="AP39" s="22"/>
      <c r="AQ39" s="22"/>
      <c r="AR39" s="22"/>
      <c r="AS39" s="22"/>
      <c r="AT39" s="22"/>
      <c r="AU39" s="35"/>
      <c r="AV39" s="35"/>
      <c r="AW39" s="35"/>
      <c r="AX39" s="35"/>
      <c r="AY39" s="35"/>
      <c r="AZ39" s="35"/>
      <c r="BA39" s="35"/>
      <c r="BB39" s="35"/>
      <c r="BC39" s="35"/>
      <c r="BD39" s="35"/>
      <c r="BE39" s="35"/>
      <c r="BF39" s="35"/>
      <c r="BG39" s="35"/>
      <c r="BH39" s="35"/>
      <c r="BI39" s="35"/>
      <c r="BJ39" s="35"/>
      <c r="BK39" s="35"/>
      <c r="BL39" s="35"/>
      <c r="BM39" s="35"/>
      <c r="BN39" s="35"/>
      <c r="BO39" s="86"/>
    </row>
    <row r="40" spans="1:67" ht="15.75" customHeight="1" x14ac:dyDescent="0.25">
      <c r="A40" s="520">
        <f>IFERROR(VLOOKUP($G$5,'רשימת רשויות'!A:C,3,0),0)</f>
        <v>0</v>
      </c>
      <c r="B40" s="520">
        <f t="shared" si="0"/>
        <v>0</v>
      </c>
      <c r="D40" s="1134"/>
      <c r="E40" s="1137"/>
      <c r="F40" s="591" t="s">
        <v>15</v>
      </c>
      <c r="G40" s="134">
        <f>G37+G38+G39</f>
        <v>0</v>
      </c>
      <c r="H40" s="134">
        <f>H37+H38+H39</f>
        <v>0</v>
      </c>
      <c r="I40" s="138">
        <f>IFERROR(G40/H40,0)</f>
        <v>0</v>
      </c>
      <c r="J40" s="139">
        <f>J37+J38+J39</f>
        <v>0</v>
      </c>
      <c r="K40" s="137">
        <f>K38+K37+K39</f>
        <v>0</v>
      </c>
      <c r="L40" s="408"/>
      <c r="M40" s="394"/>
      <c r="N40" s="394"/>
      <c r="O40" s="602"/>
      <c r="P40" s="621">
        <f>SUM(P37:P38)</f>
        <v>0</v>
      </c>
      <c r="Q40" s="622">
        <f>Q37+Q38</f>
        <v>0</v>
      </c>
      <c r="R40" s="596"/>
      <c r="S40" s="611"/>
      <c r="T40" s="599">
        <f>G17</f>
        <v>0</v>
      </c>
      <c r="U40" s="578"/>
      <c r="V40" s="579"/>
      <c r="W40" s="579">
        <f t="shared" si="1"/>
        <v>0</v>
      </c>
      <c r="X40" s="579"/>
      <c r="Y40" s="879"/>
      <c r="Z40" s="106"/>
      <c r="AC40" s="504"/>
      <c r="AD40" s="505"/>
      <c r="AH40" s="143"/>
      <c r="BO40" s="86"/>
    </row>
    <row r="41" spans="1:67" ht="15.75" customHeight="1" x14ac:dyDescent="0.25">
      <c r="A41" s="520">
        <f>IFERROR(VLOOKUP($G$5,'רשימת רשויות'!A:C,3,0),0)</f>
        <v>0</v>
      </c>
      <c r="B41" s="520">
        <f t="shared" si="0"/>
        <v>0</v>
      </c>
      <c r="D41" s="1134"/>
      <c r="E41" s="1137"/>
      <c r="F41" s="589" t="s">
        <v>2261</v>
      </c>
      <c r="G41" s="117">
        <f>IF(G22="תקין",SUMIF('תשלומי הורים ומלגות להורים (5) '!$B$18:$B$517,$G17,'תשלומי הורים ומלגות להורים (5) '!$C$18:$C$517),0)</f>
        <v>0</v>
      </c>
      <c r="H41" s="117">
        <f>(G20+G21)*$G$7</f>
        <v>0</v>
      </c>
      <c r="I41" s="141"/>
      <c r="J41" s="141"/>
      <c r="K41" s="142"/>
      <c r="L41" s="395"/>
      <c r="M41" s="395"/>
      <c r="N41" s="395"/>
      <c r="O41" s="602"/>
      <c r="P41" s="623"/>
      <c r="Q41" s="619"/>
      <c r="R41" s="596"/>
      <c r="S41" s="612"/>
      <c r="T41" s="599">
        <f>G17</f>
        <v>0</v>
      </c>
      <c r="U41" s="578"/>
      <c r="V41" s="579"/>
      <c r="W41" s="579">
        <f t="shared" si="1"/>
        <v>0</v>
      </c>
      <c r="X41" s="579"/>
      <c r="Y41" s="879"/>
      <c r="Z41" s="121"/>
      <c r="AA41" s="143"/>
      <c r="AB41" s="143"/>
      <c r="AC41" s="504"/>
      <c r="AD41" s="505"/>
      <c r="AE41" s="143"/>
      <c r="AF41" s="148"/>
      <c r="BO41" s="86"/>
    </row>
    <row r="42" spans="1:67" ht="15.75" customHeight="1" thickBot="1" x14ac:dyDescent="0.3">
      <c r="A42" s="520">
        <f>IFERROR(VLOOKUP($G$5,'רשימת רשויות'!A:C,3,0),0)</f>
        <v>0</v>
      </c>
      <c r="B42" s="520">
        <f t="shared" si="0"/>
        <v>0</v>
      </c>
      <c r="D42" s="1134"/>
      <c r="E42" s="1137"/>
      <c r="F42" s="592" t="s">
        <v>21</v>
      </c>
      <c r="G42" s="144">
        <f>G40-G41</f>
        <v>0</v>
      </c>
      <c r="H42" s="144">
        <f>H40-H41</f>
        <v>0</v>
      </c>
      <c r="I42" s="145"/>
      <c r="J42" s="145"/>
      <c r="K42" s="146"/>
      <c r="L42" s="396"/>
      <c r="M42" s="396"/>
      <c r="N42" s="396"/>
      <c r="O42" s="602"/>
      <c r="P42" s="619"/>
      <c r="Q42" s="619"/>
      <c r="R42" s="596"/>
      <c r="S42" s="612"/>
      <c r="T42" s="599">
        <f>G17</f>
        <v>0</v>
      </c>
      <c r="U42" s="578"/>
      <c r="V42" s="579"/>
      <c r="W42" s="579">
        <f t="shared" si="1"/>
        <v>0</v>
      </c>
      <c r="X42" s="579"/>
      <c r="Y42" s="879"/>
      <c r="Z42" s="147"/>
      <c r="AA42" s="148"/>
      <c r="AB42" s="148"/>
      <c r="AC42" s="504"/>
      <c r="AD42" s="505"/>
      <c r="AE42" s="148"/>
      <c r="AF42" s="148"/>
      <c r="BO42" s="86"/>
    </row>
    <row r="43" spans="1:67" ht="15.75" customHeight="1" thickBot="1" x14ac:dyDescent="0.3">
      <c r="A43" s="520">
        <f>IFERROR(VLOOKUP($G$5,'רשימת רשויות'!A:C,3,0),0)</f>
        <v>0</v>
      </c>
      <c r="B43" s="520">
        <f t="shared" si="0"/>
        <v>0</v>
      </c>
      <c r="D43" s="1134"/>
      <c r="E43" s="1137"/>
      <c r="F43" s="580"/>
      <c r="G43" s="580"/>
      <c r="H43" s="147"/>
      <c r="I43" s="149" t="s">
        <v>2197</v>
      </c>
      <c r="J43" s="150">
        <f>MAX(MIN(P40,Q40),0)</f>
        <v>0</v>
      </c>
      <c r="K43" s="580"/>
      <c r="L43" s="580"/>
      <c r="M43" s="580"/>
      <c r="N43" s="580"/>
      <c r="O43" s="580"/>
      <c r="P43" s="615" t="s">
        <v>2317</v>
      </c>
      <c r="Q43" s="624">
        <f>SUM(Q44:Q45)</f>
        <v>0</v>
      </c>
      <c r="R43" s="596"/>
      <c r="S43" s="612"/>
      <c r="T43" s="599">
        <f>G17</f>
        <v>0</v>
      </c>
      <c r="U43" s="578"/>
      <c r="V43" s="579"/>
      <c r="W43" s="579">
        <f t="shared" si="1"/>
        <v>0</v>
      </c>
      <c r="X43" s="579"/>
      <c r="Y43" s="879"/>
      <c r="Z43" s="106"/>
      <c r="AC43" s="504"/>
      <c r="AD43" s="505"/>
      <c r="AF43" s="148"/>
      <c r="BO43" s="86"/>
    </row>
    <row r="44" spans="1:67" ht="16.5" thickBot="1" x14ac:dyDescent="0.3">
      <c r="A44" s="520">
        <f>IFERROR(VLOOKUP($G$5,'רשימת רשויות'!A:C,3,0),0)</f>
        <v>0</v>
      </c>
      <c r="B44" s="520">
        <f t="shared" si="0"/>
        <v>0</v>
      </c>
      <c r="D44" s="1134"/>
      <c r="E44" s="1137"/>
      <c r="F44" s="580"/>
      <c r="G44" s="580"/>
      <c r="H44" s="580"/>
      <c r="I44" s="84" t="s">
        <v>2193</v>
      </c>
      <c r="J44" s="515" t="str">
        <f>IFERROR(1-H41/H40,"")</f>
        <v/>
      </c>
      <c r="K44" s="580"/>
      <c r="L44" s="580"/>
      <c r="M44" s="580"/>
      <c r="N44" s="580"/>
      <c r="O44" s="580"/>
      <c r="P44" s="615" t="s">
        <v>417</v>
      </c>
      <c r="Q44" s="616">
        <f>IFERROR(MAX(H42-I45-Q45,0),0)</f>
        <v>0</v>
      </c>
      <c r="R44" s="596"/>
      <c r="S44" s="600"/>
      <c r="T44" s="599">
        <f>G17</f>
        <v>0</v>
      </c>
      <c r="U44" s="578"/>
      <c r="V44" s="579"/>
      <c r="W44" s="579">
        <f t="shared" si="1"/>
        <v>0</v>
      </c>
      <c r="X44" s="579"/>
      <c r="Y44" s="879"/>
      <c r="Z44" s="106"/>
      <c r="AC44" s="504"/>
      <c r="AD44" s="505"/>
      <c r="BO44" s="86"/>
    </row>
    <row r="45" spans="1:67" ht="17.25" thickBot="1" x14ac:dyDescent="0.3">
      <c r="A45" s="520">
        <f>IFERROR(VLOOKUP($G$5,'רשימת רשויות'!A:C,3,0),0)</f>
        <v>0</v>
      </c>
      <c r="B45" s="520">
        <f t="shared" si="0"/>
        <v>0</v>
      </c>
      <c r="D45" s="1134"/>
      <c r="E45" s="1137"/>
      <c r="F45" s="1143" t="s">
        <v>2679</v>
      </c>
      <c r="G45" s="1143"/>
      <c r="H45" s="1143"/>
      <c r="I45" s="722">
        <f>IF(G22="לא תקין","לא קיימת זכאות לתקציב לאור אי איוש משרות רכז ו/או סגן רכז ",IFERROR(J44*(J43+J40),0))</f>
        <v>0</v>
      </c>
      <c r="J45" s="573"/>
      <c r="K45" s="574"/>
      <c r="L45" s="396"/>
      <c r="M45" s="574"/>
      <c r="N45" s="574"/>
      <c r="O45" s="574"/>
      <c r="P45" s="615" t="s">
        <v>2279</v>
      </c>
      <c r="Q45" s="616">
        <f>MAX(IF(AND(G40&gt;H40,I45&lt;H42),H42-I45,0),0)</f>
        <v>0</v>
      </c>
      <c r="R45" s="575"/>
      <c r="S45" s="576" t="s">
        <v>67</v>
      </c>
      <c r="T45" s="577">
        <f>G17</f>
        <v>0</v>
      </c>
      <c r="U45" s="578"/>
      <c r="V45" s="579">
        <f>I45</f>
        <v>0</v>
      </c>
      <c r="W45" s="579">
        <f>IFERROR(U45-V45,0)</f>
        <v>0</v>
      </c>
      <c r="X45" s="579">
        <f>SUM(X31:X44)</f>
        <v>0</v>
      </c>
      <c r="Y45" s="879"/>
      <c r="Z45" s="106"/>
      <c r="AC45" s="506">
        <v>0</v>
      </c>
      <c r="AD45" s="507">
        <f>IFERROR(U45-AC45,0)</f>
        <v>0</v>
      </c>
      <c r="BO45" s="86"/>
    </row>
    <row r="46" spans="1:67" ht="16.5" thickBot="1" x14ac:dyDescent="0.3">
      <c r="A46" s="520">
        <f>IFERROR(VLOOKUP($G$5,'רשימת רשויות'!A:C,3,0),0)</f>
        <v>0</v>
      </c>
      <c r="B46" s="520">
        <f t="shared" si="0"/>
        <v>0</v>
      </c>
      <c r="D46" s="1135"/>
      <c r="E46" s="1138"/>
      <c r="F46" s="1144" t="s">
        <v>2793</v>
      </c>
      <c r="G46" s="1145"/>
      <c r="H46" s="1145"/>
      <c r="I46" s="593">
        <f>IFERROR(IF(G22="תקין",SUMIFS('סייעות רפואיות או אישיות (7)'!$Q$17:Q$384,'סייעות רפואיות או אישיות (7)'!C$17:C$384,G17),0),0)</f>
        <v>0</v>
      </c>
      <c r="J46" s="151"/>
      <c r="K46" s="152"/>
      <c r="L46" s="409"/>
      <c r="M46" s="152"/>
      <c r="N46" s="152"/>
      <c r="O46" s="152"/>
      <c r="P46" s="613"/>
      <c r="Q46" s="614"/>
      <c r="R46" s="475"/>
      <c r="S46" s="489"/>
      <c r="T46" s="490"/>
      <c r="U46" s="491"/>
      <c r="V46" s="492"/>
      <c r="W46" s="492"/>
      <c r="X46" s="492"/>
      <c r="Y46" s="880"/>
      <c r="Z46" s="153"/>
      <c r="AC46" s="581"/>
      <c r="AD46" s="582"/>
      <c r="BO46" s="86"/>
    </row>
    <row r="47" spans="1:67" ht="34.5" thickBot="1" x14ac:dyDescent="0.55000000000000004">
      <c r="A47" s="520">
        <f>IFERROR(VLOOKUP($G$5,'רשימת רשויות'!A:C,3,0),0)</f>
        <v>0</v>
      </c>
      <c r="B47" s="520">
        <f t="shared" si="0"/>
        <v>0</v>
      </c>
      <c r="D47" s="886"/>
      <c r="E47" s="887"/>
      <c r="F47" s="580"/>
      <c r="G47" s="580"/>
      <c r="H47" s="580"/>
      <c r="I47" s="888"/>
      <c r="J47" s="889"/>
      <c r="K47" s="580"/>
      <c r="L47" s="580"/>
      <c r="M47" s="580"/>
      <c r="N47" s="580"/>
      <c r="O47" s="889"/>
      <c r="P47" s="595"/>
      <c r="Q47" s="595"/>
      <c r="R47" s="596"/>
      <c r="S47" s="600"/>
      <c r="T47" s="597">
        <v>0</v>
      </c>
      <c r="U47" s="598"/>
      <c r="V47" s="599"/>
      <c r="W47" s="599"/>
      <c r="X47" s="599"/>
      <c r="Y47" s="878"/>
      <c r="Z47" s="106"/>
      <c r="BO47" s="86"/>
    </row>
    <row r="48" spans="1:67" s="20" customFormat="1" ht="16.5" customHeight="1" thickBot="1" x14ac:dyDescent="0.3">
      <c r="A48" s="520">
        <f>IFERROR(VLOOKUP($G$5,'רשימת רשויות'!A:C,3,0),0)</f>
        <v>0</v>
      </c>
      <c r="B48" s="520">
        <f>IF(F49="סמל המוסד",G49,B47)</f>
        <v>0</v>
      </c>
      <c r="C48" s="39"/>
      <c r="D48" s="1133">
        <f>D17+1</f>
        <v>2</v>
      </c>
      <c r="E48" s="1136" t="str">
        <f>IFERROR(CONCATENATE("בית הספר ",VLOOKUP(G48,'מצבת והרשמה (2)'!$C$21:$D$520,2,0)," - ",$G$5),"")</f>
        <v>בית הספר המוסד לא קיים - 0</v>
      </c>
      <c r="F48" s="720" t="s">
        <v>146</v>
      </c>
      <c r="G48" s="721">
        <f>IFERROR(VLOOKUP(D:D,'דוח ביצוע (3)'!$A$21:$C$900,2,0),0)</f>
        <v>0</v>
      </c>
      <c r="H48" s="79"/>
      <c r="I48" s="80" t="s">
        <v>150</v>
      </c>
      <c r="J48" s="80"/>
      <c r="K48" s="81"/>
      <c r="L48" s="392"/>
      <c r="M48" s="392"/>
      <c r="N48" s="392"/>
      <c r="O48" s="82"/>
      <c r="P48" s="470"/>
      <c r="Q48" s="471"/>
      <c r="R48" s="472"/>
      <c r="S48" s="883"/>
      <c r="T48" s="884"/>
      <c r="U48" s="486"/>
      <c r="V48" s="487"/>
      <c r="W48" s="487"/>
      <c r="X48" s="487"/>
      <c r="Y48" s="885"/>
      <c r="Z48" s="83"/>
      <c r="AC48" s="502"/>
      <c r="AD48" s="503"/>
      <c r="AO48" s="22"/>
      <c r="AP48" s="22"/>
      <c r="AQ48" s="22"/>
      <c r="AR48" s="22"/>
      <c r="AS48" s="22"/>
      <c r="AT48" s="22"/>
      <c r="AU48" s="35"/>
      <c r="AV48" s="35"/>
      <c r="AW48" s="35"/>
      <c r="AX48" s="35"/>
      <c r="AY48" s="35"/>
      <c r="AZ48" s="35"/>
      <c r="BA48" s="35"/>
      <c r="BB48" s="35"/>
      <c r="BC48" s="35"/>
      <c r="BD48" s="35"/>
      <c r="BE48" s="35"/>
      <c r="BF48" s="35"/>
      <c r="BG48" s="35"/>
      <c r="BH48" s="35"/>
      <c r="BI48" s="35"/>
      <c r="BJ48" s="35"/>
      <c r="BK48" s="35"/>
      <c r="BL48" s="35"/>
      <c r="BM48" s="35"/>
      <c r="BN48" s="35"/>
      <c r="BO48" s="78"/>
    </row>
    <row r="49" spans="1:67" s="20" customFormat="1" ht="16.5" thickBot="1" x14ac:dyDescent="0.3">
      <c r="A49" s="520">
        <f>IFERROR(VLOOKUP($G$5,'רשימת רשויות'!A:C,3,0),0)</f>
        <v>0</v>
      </c>
      <c r="B49" s="520">
        <f>IF(F50="סמל המוסד",G50,B48)</f>
        <v>0</v>
      </c>
      <c r="C49" s="39"/>
      <c r="D49" s="1134"/>
      <c r="E49" s="1137"/>
      <c r="F49" s="583" t="s">
        <v>145</v>
      </c>
      <c r="G49" s="516" t="str">
        <f>IFERROR(IF((G51+G52)=0,"",IF(VLOOKUP(G48,'דוח ביצוע (3)'!$B$21:$K$900,5,0)&gt;149,"גדול",IF(AND(VLOOKUP(G48,'דוח ביצוע (3)'!$B$21:$K$900,5,0)&gt;0,VLOOKUP(G48,'דוח ביצוע (3)'!$B$21:$K$900,5,0)&lt;150),"קטן",0))),"")</f>
        <v/>
      </c>
      <c r="H49" s="723" t="s">
        <v>88</v>
      </c>
      <c r="I49" s="723" t="s">
        <v>13</v>
      </c>
      <c r="J49" s="725" t="s">
        <v>14</v>
      </c>
      <c r="K49" s="724" t="s">
        <v>94</v>
      </c>
      <c r="L49" s="594"/>
      <c r="M49" s="420" t="s">
        <v>2584</v>
      </c>
      <c r="N49" s="397" t="s">
        <v>413</v>
      </c>
      <c r="O49" s="398" t="s">
        <v>52</v>
      </c>
      <c r="P49" s="595"/>
      <c r="Q49" s="595"/>
      <c r="R49" s="596"/>
      <c r="S49" s="610"/>
      <c r="T49" s="881"/>
      <c r="U49" s="598"/>
      <c r="V49" s="599"/>
      <c r="W49" s="599"/>
      <c r="X49" s="599"/>
      <c r="Y49" s="879"/>
      <c r="Z49" s="85"/>
      <c r="AC49" s="493"/>
      <c r="AD49" s="495"/>
      <c r="AO49" s="22"/>
      <c r="AP49" s="22"/>
      <c r="AQ49" s="22"/>
      <c r="AR49" s="22"/>
      <c r="AS49" s="22"/>
      <c r="AT49" s="22"/>
      <c r="AU49" s="35"/>
      <c r="AV49" s="35"/>
      <c r="AW49" s="35"/>
      <c r="AX49" s="35"/>
      <c r="AY49" s="35"/>
      <c r="AZ49" s="35"/>
      <c r="BA49" s="35"/>
      <c r="BB49" s="35"/>
      <c r="BC49" s="35"/>
      <c r="BD49" s="35"/>
      <c r="BE49" s="35"/>
      <c r="BF49" s="35"/>
      <c r="BG49" s="35"/>
      <c r="BH49" s="35"/>
      <c r="BI49" s="35"/>
      <c r="BJ49" s="35"/>
      <c r="BK49" s="35"/>
      <c r="BL49" s="35"/>
      <c r="BM49" s="35"/>
      <c r="BN49" s="35"/>
      <c r="BO49" s="78"/>
    </row>
    <row r="50" spans="1:67" s="20" customFormat="1" ht="15.75" customHeight="1" thickBot="1" x14ac:dyDescent="0.3">
      <c r="A50" s="520">
        <f>IFERROR(VLOOKUP($G$5,'רשימת רשויות'!A:C,3,0),0)</f>
        <v>0</v>
      </c>
      <c r="B50" s="520">
        <f t="shared" ref="B50:B77" si="4">IF(F51="סמל המוסד",G51,B49)</f>
        <v>0</v>
      </c>
      <c r="C50" s="39"/>
      <c r="D50" s="1134"/>
      <c r="E50" s="1137"/>
      <c r="F50" s="584" t="s">
        <v>144</v>
      </c>
      <c r="G50" s="87">
        <f>IF(G53="תקין",IFERROR(VLOOKUP($G48,'דוח ביצוע (3)'!$B$21:$Q$900,12,0),0),0)</f>
        <v>0</v>
      </c>
      <c r="H50" s="88">
        <f>IFERROR(G51*$AH$6+G52*$AH$7,0)</f>
        <v>0</v>
      </c>
      <c r="I50" s="88">
        <f>IFERROR(G51*$AI$6+G52*$AI$7,0)</f>
        <v>0</v>
      </c>
      <c r="J50" s="88">
        <f>IFERROR(G51*$AJ$6+G52*$AJ$7,0)</f>
        <v>0</v>
      </c>
      <c r="K50" s="88">
        <f>IFERROR(G51*$AK$6+G52*$AK$7,0)</f>
        <v>0</v>
      </c>
      <c r="L50" s="405"/>
      <c r="M50" s="399" t="s">
        <v>427</v>
      </c>
      <c r="N50" s="400" t="str">
        <f>IFERROR(VLOOKUP($G48,'דוח ביצוע (3)'!$B:$AE,28,0),"")</f>
        <v/>
      </c>
      <c r="O50" s="89" t="str">
        <f>IFERROR(VLOOKUP($G48,'דוח ביצוע (3)'!B:AE,29,0),"")</f>
        <v/>
      </c>
      <c r="P50" s="595"/>
      <c r="Q50" s="595"/>
      <c r="R50" s="596"/>
      <c r="S50" s="610"/>
      <c r="T50" s="881"/>
      <c r="U50" s="598"/>
      <c r="V50" s="599"/>
      <c r="W50" s="599"/>
      <c r="X50" s="599"/>
      <c r="Y50" s="879"/>
      <c r="Z50" s="85"/>
      <c r="AC50" s="493"/>
      <c r="AD50" s="495"/>
      <c r="AO50" s="22"/>
      <c r="AP50" s="22"/>
      <c r="AQ50" s="22"/>
      <c r="AR50" s="22"/>
      <c r="AS50" s="22"/>
      <c r="AT50" s="22"/>
      <c r="AU50" s="35"/>
      <c r="AV50" s="35"/>
      <c r="AW50" s="35"/>
      <c r="AX50" s="35"/>
      <c r="AY50" s="35"/>
      <c r="AZ50" s="35"/>
      <c r="BA50" s="35"/>
      <c r="BB50" s="35"/>
      <c r="BC50" s="35"/>
      <c r="BD50" s="35"/>
      <c r="BE50" s="35"/>
      <c r="BF50" s="35"/>
      <c r="BG50" s="35"/>
      <c r="BH50" s="35"/>
      <c r="BI50" s="35"/>
      <c r="BJ50" s="35"/>
      <c r="BK50" s="35"/>
      <c r="BL50" s="35"/>
      <c r="BM50" s="35"/>
      <c r="BN50" s="35"/>
      <c r="BO50" s="78"/>
    </row>
    <row r="51" spans="1:67" s="20" customFormat="1" ht="32.25" thickBot="1" x14ac:dyDescent="0.3">
      <c r="A51" s="520">
        <f>IFERROR(VLOOKUP($G$5,'רשימת רשויות'!A:C,3,0),0)</f>
        <v>0</v>
      </c>
      <c r="B51" s="520">
        <f t="shared" si="4"/>
        <v>0</v>
      </c>
      <c r="C51" s="39"/>
      <c r="D51" s="1134"/>
      <c r="E51" s="1137"/>
      <c r="F51" s="585" t="s">
        <v>2195</v>
      </c>
      <c r="G51" s="89">
        <f>IF(G53="תקין",MAX(N53,0),0)</f>
        <v>0</v>
      </c>
      <c r="H51" s="725" t="s">
        <v>151</v>
      </c>
      <c r="I51" s="725" t="s">
        <v>91</v>
      </c>
      <c r="J51" s="970" t="s">
        <v>3396</v>
      </c>
      <c r="K51" s="601"/>
      <c r="L51" s="601"/>
      <c r="M51" s="983" t="s">
        <v>2585</v>
      </c>
      <c r="N51" s="400" t="str">
        <f>IFERROR(G50/15*N50*1.25,"")</f>
        <v/>
      </c>
      <c r="O51" s="89" t="str">
        <f>IFERROR(G50/15*O50*1.25,"")</f>
        <v/>
      </c>
      <c r="P51" s="595"/>
      <c r="Q51" s="595"/>
      <c r="R51" s="596"/>
      <c r="S51" s="610"/>
      <c r="T51" s="881"/>
      <c r="U51" s="598"/>
      <c r="V51" s="599"/>
      <c r="W51" s="599"/>
      <c r="X51" s="599"/>
      <c r="Y51" s="879"/>
      <c r="Z51" s="85"/>
      <c r="AC51" s="493"/>
      <c r="AD51" s="495"/>
      <c r="AG51" s="22"/>
      <c r="AH51" s="55"/>
      <c r="AI51" s="55"/>
      <c r="AJ51" s="55"/>
      <c r="AK51" s="55"/>
      <c r="AO51" s="22"/>
      <c r="AP51" s="22"/>
      <c r="AQ51" s="22"/>
      <c r="AR51" s="22"/>
      <c r="AS51" s="22"/>
      <c r="AT51" s="22"/>
      <c r="AU51" s="35"/>
      <c r="AV51" s="35"/>
      <c r="AW51" s="35"/>
      <c r="AX51" s="35"/>
      <c r="AY51" s="35"/>
      <c r="AZ51" s="35"/>
      <c r="BA51" s="35"/>
      <c r="BB51" s="35"/>
      <c r="BC51" s="35"/>
      <c r="BD51" s="35"/>
      <c r="BE51" s="35"/>
      <c r="BF51" s="35"/>
      <c r="BG51" s="35"/>
      <c r="BH51" s="35"/>
      <c r="BI51" s="35"/>
      <c r="BJ51" s="35"/>
      <c r="BK51" s="35"/>
      <c r="BL51" s="35"/>
      <c r="BM51" s="35"/>
      <c r="BN51" s="35"/>
      <c r="BO51" s="86"/>
    </row>
    <row r="52" spans="1:67" s="20" customFormat="1" ht="16.5" thickBot="1" x14ac:dyDescent="0.3">
      <c r="A52" s="520">
        <f>IFERROR(VLOOKUP($G$5,'רשימת רשויות'!A:C,3,0),0)</f>
        <v>0</v>
      </c>
      <c r="B52" s="520">
        <f t="shared" si="4"/>
        <v>0</v>
      </c>
      <c r="C52" s="39"/>
      <c r="D52" s="1134"/>
      <c r="E52" s="1137"/>
      <c r="F52" s="585" t="s">
        <v>2196</v>
      </c>
      <c r="G52" s="89">
        <f>IF(G53="תקין",MAX(O53,0),0)</f>
        <v>0</v>
      </c>
      <c r="H52" s="88">
        <f>(IFERROR(IF((G51+G52)=0,0,IF(G49="קטן",G50*$AH$10,G50*$AH$11)),0))+(IFERROR(IF((G51+G52)=0,0,VLOOKUP(G48,'דוח ביצוע (3)'!$B:$AH,33,0)),0))</f>
        <v>0</v>
      </c>
      <c r="I52" s="88">
        <f>IFERROR(IF((G51+G52)=0,0,IF(G49="קטן",G50*$AI$10,G50*$AI$11)),0)</f>
        <v>0</v>
      </c>
      <c r="J52" s="88">
        <f>IFERROR(IF((G51+G52)=0,0,VLOOKUP(G48,'דוח ביצוע (3)'!$B:$AH,32,0)),0)</f>
        <v>0</v>
      </c>
      <c r="K52" s="90"/>
      <c r="L52" s="90"/>
      <c r="M52" s="399" t="s">
        <v>412</v>
      </c>
      <c r="N52" s="400">
        <f>IFERROR(VLOOKUP($G48,'דוח ביצוע (3)'!$B$21:$U$500,18,0),0)</f>
        <v>0</v>
      </c>
      <c r="O52" s="401">
        <f>IFERROR(VLOOKUP($G48,'דוח ביצוע (3)'!$B$21:$U$500,19,0),0)</f>
        <v>0</v>
      </c>
      <c r="P52" s="595"/>
      <c r="Q52" s="595"/>
      <c r="R52" s="596"/>
      <c r="S52" s="610"/>
      <c r="T52" s="881"/>
      <c r="U52" s="598"/>
      <c r="V52" s="599"/>
      <c r="W52" s="599"/>
      <c r="X52" s="599"/>
      <c r="Y52" s="879"/>
      <c r="Z52" s="85"/>
      <c r="AC52" s="493"/>
      <c r="AD52" s="495"/>
      <c r="AG52" s="22"/>
      <c r="AH52" s="55"/>
      <c r="AI52" s="55"/>
      <c r="AJ52" s="55"/>
      <c r="AK52" s="55"/>
      <c r="AO52" s="22"/>
      <c r="AP52" s="22"/>
      <c r="AQ52" s="22"/>
      <c r="AR52" s="22"/>
      <c r="AS52" s="22"/>
      <c r="AT52" s="22"/>
      <c r="AU52" s="35"/>
      <c r="AV52" s="35"/>
      <c r="AW52" s="35"/>
      <c r="AX52" s="35"/>
      <c r="AY52" s="35"/>
      <c r="AZ52" s="35"/>
      <c r="BA52" s="35"/>
      <c r="BB52" s="35"/>
      <c r="BC52" s="35"/>
      <c r="BD52" s="35"/>
      <c r="BE52" s="35"/>
      <c r="BF52" s="35"/>
      <c r="BG52" s="35"/>
      <c r="BH52" s="35"/>
      <c r="BI52" s="35"/>
      <c r="BJ52" s="35"/>
      <c r="BK52" s="35"/>
      <c r="BL52" s="35"/>
      <c r="BM52" s="35"/>
      <c r="BN52" s="35"/>
      <c r="BO52" s="86"/>
    </row>
    <row r="53" spans="1:67" s="20" customFormat="1" ht="16.5" thickBot="1" x14ac:dyDescent="0.3">
      <c r="A53" s="520">
        <f>IFERROR(VLOOKUP($G$5,'רשימת רשויות'!A:C,3,0),0)</f>
        <v>0</v>
      </c>
      <c r="B53" s="520">
        <f t="shared" si="4"/>
        <v>0</v>
      </c>
      <c r="C53" s="39"/>
      <c r="D53" s="1134"/>
      <c r="E53" s="1137"/>
      <c r="F53" s="586" t="s">
        <v>2355</v>
      </c>
      <c r="G53" s="514">
        <f>IFERROR(IF(VLOOKUP('בית ספר - תקצוב לפי מוסד (9)'!G48,' איוש משרות (8)'!$C:$K,9,0)="תקין","תקין","לא תקין"),0)</f>
        <v>0</v>
      </c>
      <c r="H53" s="91"/>
      <c r="I53" s="91"/>
      <c r="J53" s="91"/>
      <c r="K53" s="90"/>
      <c r="L53" s="90"/>
      <c r="M53" s="402" t="s">
        <v>2586</v>
      </c>
      <c r="N53" s="403">
        <f>IFERROR(MIN(N51,N52),0)</f>
        <v>0</v>
      </c>
      <c r="O53" s="404">
        <f>IFERROR(MIN(O51,O52),0)</f>
        <v>0</v>
      </c>
      <c r="P53" s="595"/>
      <c r="Q53" s="595"/>
      <c r="R53" s="596"/>
      <c r="S53" s="610"/>
      <c r="T53" s="881"/>
      <c r="U53" s="598"/>
      <c r="V53" s="599"/>
      <c r="W53" s="599"/>
      <c r="X53" s="599"/>
      <c r="Y53" s="879"/>
      <c r="Z53" s="85"/>
      <c r="AC53" s="493"/>
      <c r="AD53" s="495"/>
      <c r="AG53" s="94"/>
      <c r="AH53" s="40"/>
      <c r="AI53" s="40"/>
      <c r="AJ53" s="40"/>
      <c r="AK53" s="40"/>
      <c r="AO53" s="22"/>
      <c r="AP53" s="22"/>
      <c r="AQ53" s="22"/>
      <c r="AR53" s="22"/>
      <c r="AS53" s="22"/>
      <c r="AT53" s="22"/>
      <c r="AU53" s="35"/>
      <c r="AV53" s="35"/>
      <c r="AW53" s="35"/>
      <c r="AX53" s="35"/>
      <c r="AY53" s="35"/>
      <c r="AZ53" s="35"/>
      <c r="BA53" s="35"/>
      <c r="BB53" s="35"/>
      <c r="BC53" s="35"/>
      <c r="BD53" s="35"/>
      <c r="BE53" s="35"/>
      <c r="BF53" s="35"/>
      <c r="BG53" s="35"/>
      <c r="BH53" s="35"/>
      <c r="BI53" s="35"/>
      <c r="BJ53" s="35"/>
      <c r="BK53" s="35"/>
      <c r="BL53" s="35"/>
      <c r="BM53" s="35"/>
      <c r="BN53" s="35"/>
      <c r="BO53" s="86"/>
    </row>
    <row r="54" spans="1:67" s="55" customFormat="1" ht="37.15" customHeight="1" thickBot="1" x14ac:dyDescent="0.3">
      <c r="A54" s="520">
        <f>IFERROR(VLOOKUP($G$5,'רשימת רשויות'!A:C,3,0),0)</f>
        <v>0</v>
      </c>
      <c r="B54" s="520">
        <f t="shared" si="4"/>
        <v>0</v>
      </c>
      <c r="C54" s="39"/>
      <c r="D54" s="1134"/>
      <c r="E54" s="1137"/>
      <c r="F54" s="587" t="s">
        <v>142</v>
      </c>
      <c r="G54" s="92"/>
      <c r="H54" s="92"/>
      <c r="I54" s="92"/>
      <c r="J54" s="92"/>
      <c r="K54" s="602"/>
      <c r="L54" s="602"/>
      <c r="M54" s="602"/>
      <c r="N54" s="602"/>
      <c r="O54" s="602"/>
      <c r="P54" s="595"/>
      <c r="Q54" s="595"/>
      <c r="R54" s="596"/>
      <c r="S54" s="610"/>
      <c r="T54" s="881"/>
      <c r="U54" s="598"/>
      <c r="V54" s="599"/>
      <c r="W54" s="599"/>
      <c r="X54" s="599"/>
      <c r="Y54" s="879"/>
      <c r="Z54" s="93"/>
      <c r="AC54" s="493"/>
      <c r="AD54" s="495"/>
      <c r="AF54" s="22"/>
      <c r="AG54" s="98"/>
      <c r="AH54" s="98"/>
      <c r="AI54" s="40"/>
      <c r="AJ54" s="40"/>
      <c r="AK54" s="40"/>
      <c r="AO54" s="22"/>
      <c r="AP54" s="22"/>
      <c r="AQ54" s="22"/>
      <c r="AR54" s="22"/>
      <c r="AS54" s="22"/>
      <c r="AT54" s="22"/>
      <c r="AU54" s="35"/>
      <c r="AV54" s="35"/>
      <c r="AW54" s="35"/>
      <c r="AX54" s="35"/>
      <c r="AY54" s="35"/>
      <c r="AZ54" s="35"/>
      <c r="BA54" s="35"/>
      <c r="BB54" s="35"/>
      <c r="BC54" s="35"/>
      <c r="BD54" s="35"/>
      <c r="BE54" s="35"/>
      <c r="BF54" s="35"/>
      <c r="BG54" s="35"/>
      <c r="BH54" s="35"/>
      <c r="BI54" s="35"/>
      <c r="BJ54" s="35"/>
      <c r="BK54" s="35"/>
      <c r="BL54" s="35"/>
      <c r="BM54" s="35"/>
      <c r="BN54" s="35"/>
      <c r="BO54" s="86"/>
    </row>
    <row r="55" spans="1:67" s="40" customFormat="1" ht="31.5" x14ac:dyDescent="0.25">
      <c r="A55" s="520">
        <f>IFERROR(VLOOKUP($G$5,'רשימת רשויות'!A:C,3,0),0)</f>
        <v>0</v>
      </c>
      <c r="B55" s="520">
        <f t="shared" si="4"/>
        <v>0</v>
      </c>
      <c r="C55" s="39"/>
      <c r="D55" s="1134"/>
      <c r="E55" s="1137"/>
      <c r="F55" s="588" t="s">
        <v>94</v>
      </c>
      <c r="G55" s="95" t="s">
        <v>18</v>
      </c>
      <c r="H55" s="95" t="s">
        <v>19</v>
      </c>
      <c r="I55" s="95" t="s">
        <v>138</v>
      </c>
      <c r="J55" s="96" t="s">
        <v>139</v>
      </c>
      <c r="K55" s="603"/>
      <c r="L55" s="603"/>
      <c r="M55" s="603"/>
      <c r="N55" s="603"/>
      <c r="O55" s="603"/>
      <c r="P55" s="604"/>
      <c r="Q55" s="604"/>
      <c r="R55" s="596"/>
      <c r="S55" s="610"/>
      <c r="T55" s="881"/>
      <c r="U55" s="598"/>
      <c r="V55" s="599"/>
      <c r="W55" s="599"/>
      <c r="X55" s="599"/>
      <c r="Y55" s="879"/>
      <c r="Z55" s="97"/>
      <c r="AA55" s="94"/>
      <c r="AB55" s="94"/>
      <c r="AC55" s="493"/>
      <c r="AD55" s="495"/>
      <c r="AE55" s="94"/>
      <c r="AG55" s="98"/>
      <c r="AH55" s="98"/>
      <c r="AO55" s="22"/>
      <c r="AP55" s="22"/>
      <c r="AQ55" s="22"/>
      <c r="AR55" s="22"/>
      <c r="AS55" s="22"/>
      <c r="AT55" s="22"/>
      <c r="AU55" s="35"/>
      <c r="AV55" s="35"/>
      <c r="AW55" s="35"/>
      <c r="AX55" s="35"/>
      <c r="AY55" s="35"/>
      <c r="AZ55" s="35"/>
      <c r="BA55" s="35"/>
      <c r="BB55" s="35"/>
      <c r="BC55" s="35"/>
      <c r="BD55" s="35"/>
      <c r="BE55" s="35"/>
      <c r="BF55" s="35"/>
      <c r="BG55" s="35"/>
      <c r="BH55" s="35"/>
      <c r="BI55" s="35"/>
      <c r="BJ55" s="35"/>
      <c r="BK55" s="35"/>
      <c r="BL55" s="35"/>
      <c r="BM55" s="35"/>
      <c r="BN55" s="35"/>
      <c r="BO55" s="86"/>
    </row>
    <row r="56" spans="1:67" s="40" customFormat="1" ht="15.75" customHeight="1" thickBot="1" x14ac:dyDescent="0.3">
      <c r="A56" s="520">
        <f>IFERROR(VLOOKUP($G$5,'רשימת רשויות'!A:C,3,0),0)</f>
        <v>0</v>
      </c>
      <c r="B56" s="520">
        <f t="shared" si="4"/>
        <v>0</v>
      </c>
      <c r="C56" s="39"/>
      <c r="D56" s="1134"/>
      <c r="E56" s="1137"/>
      <c r="F56" s="589" t="s">
        <v>2280</v>
      </c>
      <c r="G56" s="99">
        <f>+G67</f>
        <v>0</v>
      </c>
      <c r="H56" s="100">
        <f>K50</f>
        <v>0</v>
      </c>
      <c r="I56" s="100">
        <f>H56-I58</f>
        <v>0</v>
      </c>
      <c r="J56" s="101">
        <f>IFERROR(I56/H56,0)</f>
        <v>0</v>
      </c>
      <c r="K56" s="603"/>
      <c r="L56" s="603"/>
      <c r="M56" s="603"/>
      <c r="N56" s="603"/>
      <c r="O56" s="603"/>
      <c r="P56" s="605"/>
      <c r="Q56" s="604"/>
      <c r="R56" s="606" t="s">
        <v>157</v>
      </c>
      <c r="S56" s="611"/>
      <c r="T56" s="881"/>
      <c r="U56" s="598"/>
      <c r="V56" s="599"/>
      <c r="W56" s="599"/>
      <c r="X56" s="599"/>
      <c r="Y56" s="879"/>
      <c r="Z56" s="102"/>
      <c r="AA56" s="122"/>
      <c r="AB56" s="122"/>
      <c r="AC56" s="493"/>
      <c r="AD56" s="495"/>
      <c r="AE56" s="122"/>
      <c r="AF56" s="22"/>
      <c r="AG56" s="98"/>
      <c r="AH56" s="98"/>
      <c r="AI56" s="20"/>
      <c r="AO56" s="22"/>
      <c r="AP56" s="22"/>
      <c r="AQ56" s="22"/>
      <c r="AR56" s="22"/>
      <c r="AS56" s="22"/>
      <c r="AT56" s="22"/>
      <c r="AU56" s="35"/>
      <c r="AV56" s="35"/>
      <c r="AW56" s="35"/>
      <c r="AX56" s="35"/>
      <c r="AY56" s="35"/>
      <c r="AZ56" s="35"/>
      <c r="BA56" s="35"/>
      <c r="BB56" s="35"/>
      <c r="BC56" s="35"/>
      <c r="BD56" s="35"/>
      <c r="BE56" s="35"/>
      <c r="BF56" s="35"/>
      <c r="BG56" s="35"/>
      <c r="BH56" s="35"/>
      <c r="BI56" s="35"/>
      <c r="BJ56" s="35"/>
      <c r="BK56" s="35"/>
      <c r="BL56" s="35"/>
      <c r="BM56" s="35"/>
      <c r="BN56" s="35"/>
      <c r="BO56" s="86"/>
    </row>
    <row r="57" spans="1:67" s="40" customFormat="1" ht="15.75" customHeight="1" thickBot="1" x14ac:dyDescent="0.3">
      <c r="A57" s="520">
        <f>IFERROR(VLOOKUP($G$5,'רשימת רשויות'!A:C,3,0),0)</f>
        <v>0</v>
      </c>
      <c r="B57" s="520">
        <f t="shared" si="4"/>
        <v>0</v>
      </c>
      <c r="C57" s="39"/>
      <c r="D57" s="1134"/>
      <c r="E57" s="1137"/>
      <c r="F57" s="589" t="s">
        <v>2281</v>
      </c>
      <c r="G57" s="99">
        <f>+G66</f>
        <v>0</v>
      </c>
      <c r="H57" s="103"/>
      <c r="I57" s="104"/>
      <c r="J57" s="105"/>
      <c r="K57" s="603"/>
      <c r="L57" s="603"/>
      <c r="M57" s="603"/>
      <c r="N57" s="603"/>
      <c r="O57" s="603"/>
      <c r="P57" s="605"/>
      <c r="Q57" s="604"/>
      <c r="R57" s="473">
        <f>I58-R59</f>
        <v>0</v>
      </c>
      <c r="S57" s="611"/>
      <c r="T57" s="881"/>
      <c r="U57" s="598"/>
      <c r="V57" s="599"/>
      <c r="W57" s="599"/>
      <c r="X57" s="599"/>
      <c r="Y57" s="879"/>
      <c r="Z57" s="106"/>
      <c r="AA57" s="22"/>
      <c r="AB57" s="22"/>
      <c r="AC57" s="493"/>
      <c r="AD57" s="495"/>
      <c r="AE57" s="22"/>
      <c r="AF57" s="22"/>
      <c r="AG57" s="98"/>
      <c r="AH57" s="98"/>
      <c r="AI57" s="20"/>
      <c r="AO57" s="22"/>
      <c r="AP57" s="22"/>
      <c r="AQ57" s="22"/>
      <c r="AR57" s="22"/>
      <c r="AS57" s="22"/>
      <c r="AT57" s="22"/>
      <c r="AU57" s="35"/>
      <c r="AV57" s="35"/>
      <c r="AW57" s="35"/>
      <c r="AX57" s="35"/>
      <c r="AY57" s="35"/>
      <c r="AZ57" s="35"/>
      <c r="BA57" s="35"/>
      <c r="BB57" s="35"/>
      <c r="BC57" s="35"/>
      <c r="BD57" s="35"/>
      <c r="BE57" s="35"/>
      <c r="BF57" s="35"/>
      <c r="BG57" s="35"/>
      <c r="BH57" s="35"/>
      <c r="BI57" s="35"/>
      <c r="BJ57" s="35"/>
      <c r="BK57" s="35"/>
      <c r="BL57" s="35"/>
      <c r="BM57" s="35"/>
      <c r="BN57" s="35"/>
      <c r="BO57" s="86"/>
    </row>
    <row r="58" spans="1:67" s="40" customFormat="1" ht="16.5" customHeight="1" thickBot="1" x14ac:dyDescent="0.3">
      <c r="A58" s="520">
        <f>IFERROR(VLOOKUP($G$5,'רשימת רשויות'!A:C,3,0),0)</f>
        <v>0</v>
      </c>
      <c r="B58" s="520">
        <f t="shared" si="4"/>
        <v>0</v>
      </c>
      <c r="C58" s="39"/>
      <c r="D58" s="1134"/>
      <c r="E58" s="1137"/>
      <c r="F58" s="589" t="s">
        <v>2282</v>
      </c>
      <c r="G58" s="99">
        <f>G62+G63+G64</f>
        <v>0</v>
      </c>
      <c r="H58" s="104"/>
      <c r="I58" s="107">
        <f>MAX(H56-G56-G57,0)</f>
        <v>0</v>
      </c>
      <c r="J58" s="108">
        <f>IFERROR(I58/H56,0)</f>
        <v>0</v>
      </c>
      <c r="K58" s="603"/>
      <c r="L58" s="603"/>
      <c r="M58" s="603"/>
      <c r="N58" s="603"/>
      <c r="O58" s="603"/>
      <c r="P58" s="604"/>
      <c r="Q58" s="604"/>
      <c r="R58" s="606" t="s">
        <v>158</v>
      </c>
      <c r="S58" s="612"/>
      <c r="T58" s="881"/>
      <c r="U58" s="598"/>
      <c r="V58" s="599"/>
      <c r="W58" s="599"/>
      <c r="X58" s="599"/>
      <c r="Y58" s="879"/>
      <c r="Z58" s="106"/>
      <c r="AA58" s="22"/>
      <c r="AB58" s="22"/>
      <c r="AC58" s="493"/>
      <c r="AD58" s="495"/>
      <c r="AE58" s="22"/>
      <c r="AF58" s="22"/>
      <c r="AG58" s="22"/>
      <c r="AH58" s="22"/>
      <c r="AI58" s="55"/>
      <c r="AJ58" s="22"/>
      <c r="AK58" s="22"/>
      <c r="AO58" s="22"/>
      <c r="AP58" s="22"/>
      <c r="AQ58" s="22"/>
      <c r="AR58" s="22"/>
      <c r="AS58" s="22"/>
      <c r="AT58" s="22"/>
      <c r="AU58" s="35"/>
      <c r="AV58" s="35"/>
      <c r="AW58" s="35"/>
      <c r="AX58" s="35"/>
      <c r="AY58" s="35"/>
      <c r="AZ58" s="35"/>
      <c r="BA58" s="35"/>
      <c r="BB58" s="35"/>
      <c r="BC58" s="35"/>
      <c r="BD58" s="35"/>
      <c r="BE58" s="35"/>
      <c r="BF58" s="35"/>
      <c r="BG58" s="35"/>
      <c r="BH58" s="35"/>
      <c r="BI58" s="35"/>
      <c r="BJ58" s="35"/>
      <c r="BK58" s="35"/>
      <c r="BL58" s="35"/>
      <c r="BM58" s="35"/>
      <c r="BN58" s="35"/>
      <c r="BO58" s="86"/>
    </row>
    <row r="59" spans="1:67" s="40" customFormat="1" ht="15.75" customHeight="1" thickBot="1" x14ac:dyDescent="0.3">
      <c r="A59" s="520">
        <f>IFERROR(VLOOKUP($G$5,'רשימת רשויות'!A:C,3,0),0)</f>
        <v>0</v>
      </c>
      <c r="B59" s="520">
        <f t="shared" si="4"/>
        <v>0</v>
      </c>
      <c r="C59" s="39"/>
      <c r="D59" s="1134"/>
      <c r="E59" s="1137"/>
      <c r="F59" s="590" t="s">
        <v>2290</v>
      </c>
      <c r="G59" s="109"/>
      <c r="H59" s="110"/>
      <c r="I59" s="111">
        <f>SUM(I56:I58)</f>
        <v>0</v>
      </c>
      <c r="J59" s="112">
        <f>SUM(J56:J58)</f>
        <v>0</v>
      </c>
      <c r="K59" s="603"/>
      <c r="L59" s="603"/>
      <c r="M59" s="603"/>
      <c r="N59" s="603"/>
      <c r="O59" s="603"/>
      <c r="P59" s="604"/>
      <c r="Q59" s="604"/>
      <c r="R59" s="473">
        <f>MIN(MAX(G63+G64-I52-J52,0),I58)</f>
        <v>0</v>
      </c>
      <c r="S59" s="612"/>
      <c r="T59" s="881"/>
      <c r="U59" s="598"/>
      <c r="V59" s="599"/>
      <c r="W59" s="599"/>
      <c r="X59" s="599"/>
      <c r="Y59" s="879"/>
      <c r="Z59" s="106"/>
      <c r="AA59" s="22"/>
      <c r="AB59" s="22"/>
      <c r="AC59" s="493"/>
      <c r="AD59" s="495"/>
      <c r="AE59" s="22"/>
      <c r="AF59" s="22"/>
      <c r="AG59" s="22"/>
      <c r="AH59" s="22"/>
      <c r="AJ59" s="22"/>
      <c r="AK59" s="22"/>
      <c r="AO59" s="22"/>
      <c r="AP59" s="22"/>
      <c r="AQ59" s="22"/>
      <c r="AR59" s="22"/>
      <c r="AS59" s="22"/>
      <c r="AT59" s="22"/>
      <c r="AU59" s="35"/>
      <c r="AV59" s="35"/>
      <c r="AW59" s="35"/>
      <c r="AX59" s="35"/>
      <c r="AY59" s="35"/>
      <c r="AZ59" s="35"/>
      <c r="BA59" s="35"/>
      <c r="BB59" s="35"/>
      <c r="BC59" s="35"/>
      <c r="BD59" s="35"/>
      <c r="BE59" s="35"/>
      <c r="BF59" s="35"/>
      <c r="BG59" s="35"/>
      <c r="BH59" s="35"/>
      <c r="BI59" s="35"/>
      <c r="BJ59" s="35"/>
      <c r="BK59" s="35"/>
      <c r="BL59" s="35"/>
      <c r="BM59" s="35"/>
      <c r="BN59" s="35"/>
      <c r="BO59" s="86"/>
    </row>
    <row r="60" spans="1:67" ht="16.5" thickBot="1" x14ac:dyDescent="0.3">
      <c r="A60" s="520">
        <f>IFERROR(VLOOKUP($G$5,'רשימת רשויות'!A:C,3,0),0)</f>
        <v>0</v>
      </c>
      <c r="B60" s="520">
        <f t="shared" si="4"/>
        <v>0</v>
      </c>
      <c r="D60" s="1134"/>
      <c r="E60" s="1137"/>
      <c r="F60" s="587" t="s">
        <v>17</v>
      </c>
      <c r="G60" s="113"/>
      <c r="H60" s="92"/>
      <c r="I60" s="114"/>
      <c r="J60" s="115"/>
      <c r="K60" s="116"/>
      <c r="L60" s="406"/>
      <c r="M60" s="116"/>
      <c r="N60" s="116"/>
      <c r="O60" s="116"/>
      <c r="P60" s="474"/>
      <c r="Q60" s="607"/>
      <c r="R60" s="608"/>
      <c r="S60" s="612"/>
      <c r="T60" s="881"/>
      <c r="U60" s="598"/>
      <c r="V60" s="599"/>
      <c r="W60" s="599"/>
      <c r="X60" s="599"/>
      <c r="Y60" s="879"/>
      <c r="Z60" s="106"/>
      <c r="AI60" s="40"/>
      <c r="BO60" s="86"/>
    </row>
    <row r="61" spans="1:67" ht="47.25" x14ac:dyDescent="0.25">
      <c r="A61" s="520">
        <f>IFERROR(VLOOKUP($G$5,'רשימת רשויות'!A:C,3,0),0)</f>
        <v>0</v>
      </c>
      <c r="B61" s="520">
        <f t="shared" si="4"/>
        <v>0</v>
      </c>
      <c r="D61" s="1134"/>
      <c r="E61" s="1137"/>
      <c r="F61" s="588" t="s">
        <v>2</v>
      </c>
      <c r="G61" s="95" t="s">
        <v>18</v>
      </c>
      <c r="H61" s="95" t="s">
        <v>19</v>
      </c>
      <c r="I61" s="95" t="s">
        <v>20</v>
      </c>
      <c r="J61" s="95" t="s">
        <v>22</v>
      </c>
      <c r="K61" s="96" t="s">
        <v>2314</v>
      </c>
      <c r="L61" s="609"/>
      <c r="M61" s="609"/>
      <c r="N61" s="609"/>
      <c r="O61" s="580"/>
      <c r="P61" s="618" t="s">
        <v>2298</v>
      </c>
      <c r="Q61" s="618" t="s">
        <v>2299</v>
      </c>
      <c r="R61" s="596"/>
      <c r="S61" s="890" t="s">
        <v>2519</v>
      </c>
      <c r="T61" s="890" t="s">
        <v>97</v>
      </c>
      <c r="U61" s="891" t="s">
        <v>2521</v>
      </c>
      <c r="V61" s="892" t="s">
        <v>2520</v>
      </c>
      <c r="W61" s="893" t="s">
        <v>2524</v>
      </c>
      <c r="X61" s="892" t="s">
        <v>2522</v>
      </c>
      <c r="Y61" s="894" t="s">
        <v>2523</v>
      </c>
      <c r="Z61" s="106"/>
      <c r="AC61" s="498" t="s">
        <v>2568</v>
      </c>
      <c r="AD61" s="499" t="s">
        <v>2569</v>
      </c>
      <c r="AF61" s="122"/>
      <c r="AI61" s="40"/>
      <c r="BO61" s="86"/>
    </row>
    <row r="62" spans="1:67" ht="15" customHeight="1" thickBot="1" x14ac:dyDescent="0.3">
      <c r="A62" s="520">
        <f>IFERROR(VLOOKUP($G$5,'רשימת רשויות'!A:C,3,0),0)</f>
        <v>0</v>
      </c>
      <c r="B62" s="520">
        <f t="shared" si="4"/>
        <v>0</v>
      </c>
      <c r="D62" s="1134"/>
      <c r="E62" s="1137"/>
      <c r="F62" s="589" t="s">
        <v>76</v>
      </c>
      <c r="G62" s="117">
        <f>IF(G53="תקין",SUMIF('עלויות כח אדם (6)'!$B$15:$B$3014,'בית ספר - תקצוב לפי מוסד (9)'!$G48,'עלויות כח אדם (6)'!$M$15:$M$3014)-VLOOKUP('בית ספר - תקצוב לפי מוסד (9)'!G48,' איוש משרות (8)'!$C:$H,5,0)-VLOOKUP('בית ספר - תקצוב לפי מוסד (9)'!G48,' איוש משרות (8)'!$C:$H,6,0),0)-Y62</f>
        <v>0</v>
      </c>
      <c r="H62" s="118">
        <f>I50+R57</f>
        <v>0</v>
      </c>
      <c r="I62" s="119">
        <f>IFERROR(SUM(G62)/H62,0)</f>
        <v>0</v>
      </c>
      <c r="J62" s="100">
        <f>MIN(I50+R57,IF(ISNUMBER(G62),G62,0))</f>
        <v>0</v>
      </c>
      <c r="K62" s="120">
        <f>MAX(H62-G62,0)</f>
        <v>0</v>
      </c>
      <c r="L62" s="407"/>
      <c r="M62" s="393"/>
      <c r="N62" s="393"/>
      <c r="O62" s="580"/>
      <c r="P62" s="968">
        <f>IFERROR(IF(SUM(G62)/(I50)&lt;100%,MIN((I50)-SUM(G62),(I50)*0.25),0),0)</f>
        <v>0</v>
      </c>
      <c r="Q62" s="968">
        <f>IF(SUM(G62)-(I50+R57)&gt;0,SUM(G62)-(I50+R57),0)</f>
        <v>0</v>
      </c>
      <c r="R62" s="596" t="s">
        <v>2351</v>
      </c>
      <c r="S62" s="576" t="s">
        <v>2342</v>
      </c>
      <c r="T62" s="599">
        <f>G48</f>
        <v>0</v>
      </c>
      <c r="U62" s="578"/>
      <c r="V62" s="579">
        <f>G62+G63+G64</f>
        <v>0</v>
      </c>
      <c r="W62" s="579">
        <f>U62-V62</f>
        <v>0</v>
      </c>
      <c r="X62" s="579">
        <f>IFERROR(W76*W62/(SUM(W62:W75)),0)</f>
        <v>0</v>
      </c>
      <c r="Y62" s="879">
        <f>SUMIFS(בקרה!$S:$S,בקרה!$D:$D,T62,בקרה!$K:$K,S62)</f>
        <v>0</v>
      </c>
      <c r="Z62" s="121"/>
      <c r="AA62" s="143"/>
      <c r="AB62" s="143"/>
      <c r="AC62" s="504">
        <v>0</v>
      </c>
      <c r="AD62" s="505">
        <f>IFERROR(U62-AC62,0)</f>
        <v>0</v>
      </c>
      <c r="AE62" s="143"/>
      <c r="AI62" s="20"/>
      <c r="BO62" s="86"/>
    </row>
    <row r="63" spans="1:67" ht="15" customHeight="1" thickBot="1" x14ac:dyDescent="0.3">
      <c r="A63" s="520">
        <f>IFERROR(VLOOKUP($G$5,'רשימת רשויות'!A:C,3,0),0)</f>
        <v>0</v>
      </c>
      <c r="B63" s="520">
        <f t="shared" si="4"/>
        <v>0</v>
      </c>
      <c r="D63" s="1134"/>
      <c r="E63" s="1137"/>
      <c r="F63" s="589" t="s">
        <v>44</v>
      </c>
      <c r="G63" s="123">
        <f>IF(G53="תקין",IFERROR(VLOOKUP('בית ספר - תקצוב לפי מוסד (9)'!G48,' איוש משרות (8)'!C:J,7,0),0),0)</f>
        <v>0</v>
      </c>
      <c r="H63" s="124">
        <f>I52+R59+J52</f>
        <v>0</v>
      </c>
      <c r="I63" s="119">
        <f>IFERROR(SUM(G63:G64)/H63,0)</f>
        <v>0</v>
      </c>
      <c r="J63" s="100">
        <f>MIN(R59+I52,IF(ISNUMBER(SUM(G63:G64)),SUM(G63:G64),0))</f>
        <v>0</v>
      </c>
      <c r="K63" s="1139">
        <f>MAX((H63)-(G63+G64),0)</f>
        <v>0</v>
      </c>
      <c r="L63" s="407"/>
      <c r="M63" s="393"/>
      <c r="N63" s="393"/>
      <c r="O63" s="580"/>
      <c r="P63" s="1140"/>
      <c r="Q63" s="1140"/>
      <c r="R63" s="617">
        <f>MAX(MIN(P71-Q71,H71*0.15-G69),0)</f>
        <v>0</v>
      </c>
      <c r="S63" s="576"/>
      <c r="T63" s="599">
        <f>G48</f>
        <v>0</v>
      </c>
      <c r="U63" s="578"/>
      <c r="V63" s="579"/>
      <c r="W63" s="579">
        <f t="shared" ref="W63:W75" si="5">U63-V63</f>
        <v>0</v>
      </c>
      <c r="X63" s="579"/>
      <c r="Y63" s="879"/>
      <c r="Z63" s="121"/>
      <c r="AA63" s="143"/>
      <c r="AB63" s="143"/>
      <c r="AC63" s="504"/>
      <c r="AD63" s="505">
        <f t="shared" ref="AD63:AD69" si="6">IFERROR(U63-AC63,0)</f>
        <v>0</v>
      </c>
      <c r="AE63" s="143"/>
      <c r="AI63" s="20"/>
      <c r="BO63" s="86"/>
    </row>
    <row r="64" spans="1:67" ht="15.75" customHeight="1" x14ac:dyDescent="0.25">
      <c r="A64" s="520">
        <f>IFERROR(VLOOKUP($G$5,'רשימת רשויות'!A:C,3,0),0)</f>
        <v>0</v>
      </c>
      <c r="B64" s="520">
        <f t="shared" si="4"/>
        <v>0</v>
      </c>
      <c r="D64" s="1134"/>
      <c r="E64" s="1137"/>
      <c r="F64" s="589" t="s">
        <v>45</v>
      </c>
      <c r="G64" s="123">
        <f>IF(G53="תקין",IFERROR(VLOOKUP('בית ספר - תקצוב לפי מוסד (9)'!G48,' איוש משרות (8)'!C:J,8,0),0),0)</f>
        <v>0</v>
      </c>
      <c r="H64" s="125"/>
      <c r="I64" s="126"/>
      <c r="J64" s="104"/>
      <c r="K64" s="1139"/>
      <c r="L64" s="407"/>
      <c r="M64" s="393"/>
      <c r="N64" s="393"/>
      <c r="O64" s="580"/>
      <c r="P64" s="1140"/>
      <c r="Q64" s="1140"/>
      <c r="R64" s="596"/>
      <c r="S64" s="576"/>
      <c r="T64" s="599">
        <f>G48</f>
        <v>0</v>
      </c>
      <c r="U64" s="578"/>
      <c r="V64" s="579"/>
      <c r="W64" s="579">
        <f t="shared" si="5"/>
        <v>0</v>
      </c>
      <c r="X64" s="579"/>
      <c r="Y64" s="879"/>
      <c r="Z64" s="121"/>
      <c r="AA64" s="143"/>
      <c r="AB64" s="143"/>
      <c r="AC64" s="504"/>
      <c r="AD64" s="505">
        <f t="shared" si="6"/>
        <v>0</v>
      </c>
      <c r="AE64" s="143"/>
      <c r="AG64" s="55"/>
      <c r="AH64" s="55"/>
      <c r="AI64" s="55"/>
      <c r="AJ64" s="55"/>
      <c r="AK64" s="55"/>
      <c r="BO64" s="86"/>
    </row>
    <row r="65" spans="1:67" ht="15.75" customHeight="1" x14ac:dyDescent="0.25">
      <c r="A65" s="520">
        <f>IFERROR(VLOOKUP($G$5,'רשימת רשויות'!A:C,3,0),0)</f>
        <v>0</v>
      </c>
      <c r="B65" s="520">
        <f t="shared" si="4"/>
        <v>0</v>
      </c>
      <c r="D65" s="1134"/>
      <c r="E65" s="1137"/>
      <c r="F65" s="589" t="s">
        <v>0</v>
      </c>
      <c r="G65" s="117">
        <f>IF(G53="תקין",SUMIFS('דוח הוצאות בפועל (4)'!$E$17:$E$3016,'דוח הוצאות בפועל (4)'!$B$17:$B$3016,'בית ספר - תקצוב לפי מוסד (9)'!$G48,'דוח הוצאות בפועל (4)'!$M$17:$M$3016,"הע"),0)-Y65</f>
        <v>0</v>
      </c>
      <c r="H65" s="127">
        <f>J50</f>
        <v>0</v>
      </c>
      <c r="I65" s="128">
        <f>IFERROR(G65/H65,0)</f>
        <v>0</v>
      </c>
      <c r="J65" s="129">
        <f>MIN(IF(ISNUMBER(G65),G65,0),H65)</f>
        <v>0</v>
      </c>
      <c r="K65" s="120">
        <f>MAX(H65-G65,0)</f>
        <v>0</v>
      </c>
      <c r="L65" s="407"/>
      <c r="M65" s="393"/>
      <c r="N65" s="393"/>
      <c r="O65" s="580"/>
      <c r="P65" s="968">
        <f>MAX(IF(I65&lt;100%,MIN((H65-G65),H65*0.25),0),0)</f>
        <v>0</v>
      </c>
      <c r="Q65" s="619">
        <f>IF(G65-H65&gt;0,G65-H65,0)</f>
        <v>0</v>
      </c>
      <c r="R65" s="596"/>
      <c r="S65" s="610" t="s">
        <v>0</v>
      </c>
      <c r="T65" s="599">
        <f>G48</f>
        <v>0</v>
      </c>
      <c r="U65" s="578"/>
      <c r="V65" s="579">
        <f>G65</f>
        <v>0</v>
      </c>
      <c r="W65" s="579">
        <f t="shared" si="5"/>
        <v>0</v>
      </c>
      <c r="X65" s="579">
        <f>IFERROR(W76*W65/(SUM(W62:W75)),0)</f>
        <v>0</v>
      </c>
      <c r="Y65" s="879">
        <f>SUMIFS(בקרה!$S:$S,בקרה!$D:$D,T65,בקרה!$K:$K,S65)</f>
        <v>0</v>
      </c>
      <c r="Z65" s="121"/>
      <c r="AA65" s="143"/>
      <c r="AB65" s="143"/>
      <c r="AC65" s="504">
        <v>0</v>
      </c>
      <c r="AD65" s="505">
        <f t="shared" si="6"/>
        <v>0</v>
      </c>
      <c r="AE65" s="143"/>
      <c r="AG65" s="55"/>
      <c r="AH65" s="55"/>
      <c r="AI65" s="40"/>
      <c r="AJ65" s="55"/>
      <c r="AK65" s="55"/>
      <c r="BO65" s="86"/>
    </row>
    <row r="66" spans="1:67" s="55" customFormat="1" ht="15.75" customHeight="1" x14ac:dyDescent="0.25">
      <c r="A66" s="520">
        <f>IFERROR(VLOOKUP($G$5,'רשימת רשויות'!A:C,3,0),0)</f>
        <v>0</v>
      </c>
      <c r="B66" s="520">
        <f t="shared" si="4"/>
        <v>0</v>
      </c>
      <c r="C66" s="39"/>
      <c r="D66" s="1134"/>
      <c r="E66" s="1137"/>
      <c r="F66" s="589" t="s">
        <v>93</v>
      </c>
      <c r="G66" s="130">
        <f>IF(G53="תקין",SUMIFS('דוח הוצאות בפועל (4)'!$E$17:$E$3016,'דוח הוצאות בפועל (4)'!$B$17:$B$3016,'בית ספר - תקצוב לפי מוסד (9)'!$G48,'דוח הוצאות בפועל (4)'!$M$17:$M$3016,"אר"),0)-Y66</f>
        <v>0</v>
      </c>
      <c r="H66" s="118">
        <f>$I56</f>
        <v>0</v>
      </c>
      <c r="I66" s="131">
        <f>IFERROR((G66+G67)/H66,0)</f>
        <v>0</v>
      </c>
      <c r="J66" s="100">
        <f>MIN((IF(ISNUMBER(G66),G66,0)+IF(ISNUMBER(G67),G67,0)),H66)</f>
        <v>0</v>
      </c>
      <c r="K66" s="1139">
        <f>MAX((H66)-(G66+G67),0)</f>
        <v>0</v>
      </c>
      <c r="L66" s="407"/>
      <c r="M66" s="393"/>
      <c r="N66" s="393"/>
      <c r="O66" s="602"/>
      <c r="P66" s="1141"/>
      <c r="Q66" s="1142"/>
      <c r="R66" s="596"/>
      <c r="S66" s="610" t="s">
        <v>93</v>
      </c>
      <c r="T66" s="599">
        <f>G48</f>
        <v>0</v>
      </c>
      <c r="U66" s="578"/>
      <c r="V66" s="579">
        <f t="shared" ref="V66:V67" si="7">G66</f>
        <v>0</v>
      </c>
      <c r="W66" s="579">
        <f t="shared" si="5"/>
        <v>0</v>
      </c>
      <c r="X66" s="579">
        <f>IFERROR(W76*W66/(SUM(W62:W75)),0)</f>
        <v>0</v>
      </c>
      <c r="Y66" s="879">
        <f>SUMIFS(בקרה!$S:$S,בקרה!$D:$D,T66,בקרה!$K:$K,S66)</f>
        <v>0</v>
      </c>
      <c r="Z66" s="121"/>
      <c r="AA66" s="143"/>
      <c r="AB66" s="143"/>
      <c r="AC66" s="504">
        <v>0</v>
      </c>
      <c r="AD66" s="505">
        <f t="shared" si="6"/>
        <v>0</v>
      </c>
      <c r="AE66" s="143"/>
      <c r="AJ66" s="22"/>
      <c r="AO66" s="22"/>
      <c r="AP66" s="22"/>
      <c r="AQ66" s="22"/>
      <c r="AR66" s="22"/>
      <c r="AS66" s="22"/>
      <c r="AT66" s="22"/>
      <c r="AU66" s="35"/>
      <c r="AV66" s="35"/>
      <c r="AW66" s="35"/>
      <c r="AX66" s="35"/>
      <c r="AY66" s="35"/>
      <c r="AZ66" s="35"/>
      <c r="BA66" s="35"/>
      <c r="BB66" s="35"/>
      <c r="BC66" s="35"/>
      <c r="BD66" s="35"/>
      <c r="BE66" s="35"/>
      <c r="BF66" s="35"/>
      <c r="BG66" s="35"/>
      <c r="BH66" s="35"/>
      <c r="BI66" s="35"/>
      <c r="BJ66" s="35"/>
      <c r="BK66" s="35"/>
      <c r="BL66" s="35"/>
      <c r="BM66" s="35"/>
      <c r="BN66" s="35"/>
      <c r="BO66" s="86"/>
    </row>
    <row r="67" spans="1:67" s="55" customFormat="1" ht="15.75" customHeight="1" x14ac:dyDescent="0.25">
      <c r="A67" s="520">
        <f>IFERROR(VLOOKUP($G$5,'רשימת רשויות'!A:C,3,0),0)</f>
        <v>0</v>
      </c>
      <c r="B67" s="520">
        <f t="shared" si="4"/>
        <v>0</v>
      </c>
      <c r="C67" s="39"/>
      <c r="D67" s="1134"/>
      <c r="E67" s="1137"/>
      <c r="F67" s="589" t="s">
        <v>46</v>
      </c>
      <c r="G67" s="130">
        <f>IF(G53="תקין",SUMIFS('דוח הוצאות בפועל (4)'!$E$17:$E$3016,'דוח הוצאות בפועל (4)'!$B$17:$B$3016,'בית ספר - תקצוב לפי מוסד (9)'!$G48,'דוח הוצאות בפועל (4)'!$M$17:$M$3016,"מל"),0)-Y67</f>
        <v>0</v>
      </c>
      <c r="H67" s="132"/>
      <c r="I67" s="133"/>
      <c r="J67" s="104"/>
      <c r="K67" s="1139"/>
      <c r="L67" s="407"/>
      <c r="M67" s="393"/>
      <c r="N67" s="393"/>
      <c r="O67" s="602"/>
      <c r="P67" s="1141"/>
      <c r="Q67" s="1142"/>
      <c r="R67" s="596"/>
      <c r="S67" s="610" t="s">
        <v>46</v>
      </c>
      <c r="T67" s="599">
        <f>G48</f>
        <v>0</v>
      </c>
      <c r="U67" s="578"/>
      <c r="V67" s="579">
        <f t="shared" si="7"/>
        <v>0</v>
      </c>
      <c r="W67" s="579">
        <f t="shared" si="5"/>
        <v>0</v>
      </c>
      <c r="X67" s="579">
        <f>IFERROR(W76*W67/(SUM(W62:W75)),0)</f>
        <v>0</v>
      </c>
      <c r="Y67" s="879">
        <f>SUMIFS(בקרה!$S:$S,בקרה!$D:$D,T67,בקרה!$K:$K,S67)</f>
        <v>0</v>
      </c>
      <c r="Z67" s="121"/>
      <c r="AA67" s="143"/>
      <c r="AB67" s="143"/>
      <c r="AC67" s="504">
        <v>0</v>
      </c>
      <c r="AD67" s="505">
        <f t="shared" si="6"/>
        <v>0</v>
      </c>
      <c r="AE67" s="143"/>
      <c r="AJ67" s="22"/>
      <c r="AO67" s="22"/>
      <c r="AP67" s="22"/>
      <c r="AQ67" s="22"/>
      <c r="AR67" s="22"/>
      <c r="AS67" s="22"/>
      <c r="AT67" s="22"/>
      <c r="AU67" s="35"/>
      <c r="AV67" s="35"/>
      <c r="AW67" s="35"/>
      <c r="AX67" s="35"/>
      <c r="AY67" s="35"/>
      <c r="AZ67" s="35"/>
      <c r="BA67" s="35"/>
      <c r="BB67" s="35"/>
      <c r="BC67" s="35"/>
      <c r="BD67" s="35"/>
      <c r="BE67" s="35"/>
      <c r="BF67" s="35"/>
      <c r="BG67" s="35"/>
      <c r="BH67" s="35"/>
      <c r="BI67" s="35"/>
      <c r="BJ67" s="35"/>
      <c r="BK67" s="35"/>
      <c r="BL67" s="35"/>
      <c r="BM67" s="35"/>
      <c r="BN67" s="35"/>
      <c r="BO67" s="86"/>
    </row>
    <row r="68" spans="1:67" s="55" customFormat="1" ht="15" customHeight="1" x14ac:dyDescent="0.25">
      <c r="A68" s="520">
        <f>IFERROR(VLOOKUP($G$5,'רשימת רשויות'!A:C,3,0),0)</f>
        <v>0</v>
      </c>
      <c r="B68" s="520">
        <f t="shared" si="4"/>
        <v>0</v>
      </c>
      <c r="C68" s="39"/>
      <c r="D68" s="1134"/>
      <c r="E68" s="1137"/>
      <c r="F68" s="591" t="s">
        <v>23</v>
      </c>
      <c r="G68" s="134">
        <f>SUM(G62:G67)</f>
        <v>0</v>
      </c>
      <c r="H68" s="135">
        <f>SUM(H62:H67)</f>
        <v>0</v>
      </c>
      <c r="I68" s="128">
        <f>IFERROR(G68/H68,0)</f>
        <v>0</v>
      </c>
      <c r="J68" s="136">
        <f>SUM(J62:J67)</f>
        <v>0</v>
      </c>
      <c r="K68" s="137">
        <f>SUM(K62:K67)</f>
        <v>0</v>
      </c>
      <c r="L68" s="408"/>
      <c r="M68" s="394"/>
      <c r="N68" s="394"/>
      <c r="O68" s="602"/>
      <c r="P68" s="620">
        <f>SUM(P62:P67)</f>
        <v>0</v>
      </c>
      <c r="Q68" s="620">
        <f>SUM(Q62:Q67)</f>
        <v>0</v>
      </c>
      <c r="R68" s="596"/>
      <c r="S68" s="610"/>
      <c r="T68" s="599">
        <f>G48</f>
        <v>0</v>
      </c>
      <c r="U68" s="578"/>
      <c r="V68" s="579"/>
      <c r="W68" s="579">
        <f t="shared" si="5"/>
        <v>0</v>
      </c>
      <c r="X68" s="579"/>
      <c r="Y68" s="879"/>
      <c r="Z68" s="121"/>
      <c r="AA68" s="143"/>
      <c r="AB68" s="143"/>
      <c r="AC68" s="504"/>
      <c r="AD68" s="505">
        <f t="shared" si="6"/>
        <v>0</v>
      </c>
      <c r="AE68" s="143"/>
      <c r="AJ68" s="22"/>
      <c r="AL68" s="22"/>
      <c r="AM68" s="22"/>
      <c r="AN68" s="22"/>
      <c r="AO68" s="22"/>
      <c r="AP68" s="22"/>
      <c r="AQ68" s="22"/>
      <c r="AR68" s="22"/>
      <c r="AS68" s="22"/>
      <c r="AT68" s="22"/>
      <c r="AU68" s="35"/>
      <c r="AV68" s="35"/>
      <c r="AW68" s="35"/>
      <c r="AX68" s="35"/>
      <c r="AY68" s="35"/>
      <c r="AZ68" s="35"/>
      <c r="BA68" s="35"/>
      <c r="BB68" s="35"/>
      <c r="BC68" s="35"/>
      <c r="BD68" s="35"/>
      <c r="BE68" s="35"/>
      <c r="BF68" s="35"/>
      <c r="BG68" s="35"/>
      <c r="BH68" s="35"/>
      <c r="BI68" s="35"/>
      <c r="BJ68" s="35"/>
      <c r="BK68" s="35"/>
      <c r="BL68" s="35"/>
      <c r="BM68" s="35"/>
      <c r="BN68" s="35"/>
      <c r="BO68" s="86"/>
    </row>
    <row r="69" spans="1:67" s="55" customFormat="1" ht="15" customHeight="1" x14ac:dyDescent="0.25">
      <c r="A69" s="520">
        <f>IFERROR(VLOOKUP($G$5,'רשימת רשויות'!A:C,3,0),0)</f>
        <v>0</v>
      </c>
      <c r="B69" s="520">
        <f t="shared" si="4"/>
        <v>0</v>
      </c>
      <c r="C69" s="39"/>
      <c r="D69" s="1134"/>
      <c r="E69" s="1137"/>
      <c r="F69" s="589" t="s">
        <v>3</v>
      </c>
      <c r="G69" s="117">
        <f>IF(G53="תקין",SUMIFS('דוח הוצאות בפועל (4)'!$E$17:$E$3016,'דוח הוצאות בפועל (4)'!$B$17:$B$3016,'בית ספר - תקצוב לפי מוסד (9)'!$G48,'דוח הוצאות בפועל (4)'!$M$17:$M$3016,"ני")+SUMIFS('דוח הוצאות בפועל (4)'!$E$17:$E$3016,'דוח הוצאות בפועל (4)'!$B$17:$B$3016,'בית ספר - תקצוב לפי מוסד (9)'!$G48,'דוח הוצאות בפועל (4)'!$M$17:$M$3016,"על"),0)-Y69</f>
        <v>0</v>
      </c>
      <c r="H69" s="117">
        <f>H50</f>
        <v>0</v>
      </c>
      <c r="I69" s="138">
        <f>IFERROR(G69/H69,0)</f>
        <v>0</v>
      </c>
      <c r="J69" s="117">
        <f>IFERROR(IF(G69/H71&gt;0.15,MIN(H71*0.15,H69),MIN(H69,IF(ISNUMBER(G69),G69,0))),0)</f>
        <v>0</v>
      </c>
      <c r="K69" s="120">
        <f>MAX(H69-G69,0)</f>
        <v>0</v>
      </c>
      <c r="L69" s="407"/>
      <c r="M69" s="393"/>
      <c r="N69" s="393"/>
      <c r="O69" s="602"/>
      <c r="P69" s="620">
        <f>IF(I69&lt;100%,MIN(H69-G69,H69*0.25),0)</f>
        <v>0</v>
      </c>
      <c r="Q69" s="620">
        <f>MAX(MIN(IF(G69-H69&gt;0,G69-H69,0),$H71*0.15-H69-J70),0)</f>
        <v>0</v>
      </c>
      <c r="R69" s="596"/>
      <c r="S69" s="610" t="s">
        <v>3</v>
      </c>
      <c r="T69" s="599">
        <f>G48</f>
        <v>0</v>
      </c>
      <c r="U69" s="578"/>
      <c r="V69" s="579">
        <f t="shared" ref="V69" si="8">G69</f>
        <v>0</v>
      </c>
      <c r="W69" s="579">
        <f t="shared" si="5"/>
        <v>0</v>
      </c>
      <c r="X69" s="579"/>
      <c r="Y69" s="879"/>
      <c r="Z69" s="121"/>
      <c r="AA69" s="143"/>
      <c r="AB69" s="143"/>
      <c r="AC69" s="504">
        <v>0</v>
      </c>
      <c r="AD69" s="505">
        <f t="shared" si="6"/>
        <v>0</v>
      </c>
      <c r="AE69" s="143"/>
      <c r="AG69" s="22"/>
      <c r="AH69" s="22"/>
      <c r="AI69" s="22"/>
      <c r="AJ69" s="22"/>
      <c r="AK69" s="22"/>
      <c r="AL69" s="22"/>
      <c r="AM69" s="22"/>
      <c r="AN69" s="22"/>
      <c r="AO69" s="22"/>
      <c r="AP69" s="22"/>
      <c r="AQ69" s="22"/>
      <c r="AR69" s="22"/>
      <c r="AS69" s="22"/>
      <c r="AT69" s="22"/>
      <c r="AU69" s="35"/>
      <c r="AV69" s="35"/>
      <c r="AW69" s="35"/>
      <c r="AX69" s="35"/>
      <c r="AY69" s="35"/>
      <c r="AZ69" s="35"/>
      <c r="BA69" s="35"/>
      <c r="BB69" s="35"/>
      <c r="BC69" s="35"/>
      <c r="BD69" s="35"/>
      <c r="BE69" s="35"/>
      <c r="BF69" s="35"/>
      <c r="BG69" s="35"/>
      <c r="BH69" s="35"/>
      <c r="BI69" s="35"/>
      <c r="BJ69" s="35"/>
      <c r="BK69" s="35"/>
      <c r="BL69" s="35"/>
      <c r="BM69" s="35"/>
      <c r="BN69" s="35"/>
      <c r="BO69" s="86"/>
    </row>
    <row r="70" spans="1:67" s="55" customFormat="1" ht="15.75" customHeight="1" x14ac:dyDescent="0.25">
      <c r="A70" s="520">
        <f>IFERROR(VLOOKUP($G$5,'רשימת רשויות'!A:C,3,0),0)</f>
        <v>0</v>
      </c>
      <c r="B70" s="520">
        <f t="shared" si="4"/>
        <v>0</v>
      </c>
      <c r="C70" s="39"/>
      <c r="D70" s="1134"/>
      <c r="E70" s="1137"/>
      <c r="F70" s="589" t="s">
        <v>2918</v>
      </c>
      <c r="G70" s="117">
        <f>0.07*(G64+G63)</f>
        <v>0</v>
      </c>
      <c r="H70" s="117">
        <f>H52</f>
        <v>0</v>
      </c>
      <c r="I70" s="138">
        <f>IFERROR(G70/H70,0)</f>
        <v>0</v>
      </c>
      <c r="J70" s="117">
        <f>IFERROR(MIN(0.07*(G63+G64),0.07*I52),0)</f>
        <v>0</v>
      </c>
      <c r="K70" s="120">
        <f>MAX(H70-G70,0)</f>
        <v>0</v>
      </c>
      <c r="L70" s="407"/>
      <c r="M70" s="393"/>
      <c r="N70" s="393"/>
      <c r="O70" s="602"/>
      <c r="P70" s="620"/>
      <c r="Q70" s="619"/>
      <c r="R70" s="596"/>
      <c r="S70" s="611"/>
      <c r="T70" s="599">
        <f>G48</f>
        <v>0</v>
      </c>
      <c r="U70" s="578"/>
      <c r="V70" s="579"/>
      <c r="W70" s="579">
        <f t="shared" si="5"/>
        <v>0</v>
      </c>
      <c r="X70" s="579"/>
      <c r="Y70" s="879"/>
      <c r="Z70" s="121"/>
      <c r="AA70" s="143"/>
      <c r="AB70" s="143"/>
      <c r="AC70" s="504"/>
      <c r="AD70" s="505"/>
      <c r="AE70" s="143"/>
      <c r="AF70" s="140"/>
      <c r="AG70" s="22"/>
      <c r="AH70" s="22"/>
      <c r="AI70" s="22"/>
      <c r="AJ70" s="22"/>
      <c r="AK70" s="22"/>
      <c r="AL70" s="22"/>
      <c r="AM70" s="22"/>
      <c r="AN70" s="22"/>
      <c r="AO70" s="22"/>
      <c r="AP70" s="22"/>
      <c r="AQ70" s="22"/>
      <c r="AR70" s="22"/>
      <c r="AS70" s="22"/>
      <c r="AT70" s="22"/>
      <c r="AU70" s="35"/>
      <c r="AV70" s="35"/>
      <c r="AW70" s="35"/>
      <c r="AX70" s="35"/>
      <c r="AY70" s="35"/>
      <c r="AZ70" s="35"/>
      <c r="BA70" s="35"/>
      <c r="BB70" s="35"/>
      <c r="BC70" s="35"/>
      <c r="BD70" s="35"/>
      <c r="BE70" s="35"/>
      <c r="BF70" s="35"/>
      <c r="BG70" s="35"/>
      <c r="BH70" s="35"/>
      <c r="BI70" s="35"/>
      <c r="BJ70" s="35"/>
      <c r="BK70" s="35"/>
      <c r="BL70" s="35"/>
      <c r="BM70" s="35"/>
      <c r="BN70" s="35"/>
      <c r="BO70" s="86"/>
    </row>
    <row r="71" spans="1:67" ht="15.75" customHeight="1" x14ac:dyDescent="0.25">
      <c r="A71" s="520">
        <f>IFERROR(VLOOKUP($G$5,'רשימת רשויות'!A:C,3,0),0)</f>
        <v>0</v>
      </c>
      <c r="B71" s="520">
        <f t="shared" si="4"/>
        <v>0</v>
      </c>
      <c r="D71" s="1134"/>
      <c r="E71" s="1137"/>
      <c r="F71" s="591" t="s">
        <v>15</v>
      </c>
      <c r="G71" s="134">
        <f>G68+G69+G70</f>
        <v>0</v>
      </c>
      <c r="H71" s="134">
        <f>H68+H69+H70</f>
        <v>0</v>
      </c>
      <c r="I71" s="138">
        <f>IFERROR(G71/H71,0)</f>
        <v>0</v>
      </c>
      <c r="J71" s="139">
        <f>J68+J69+J70</f>
        <v>0</v>
      </c>
      <c r="K71" s="137">
        <f>K69+K68+K70</f>
        <v>0</v>
      </c>
      <c r="L71" s="408"/>
      <c r="M71" s="394"/>
      <c r="N71" s="394"/>
      <c r="O71" s="602"/>
      <c r="P71" s="621">
        <f>SUM(P68:P69)</f>
        <v>0</v>
      </c>
      <c r="Q71" s="622">
        <f>Q68+Q69</f>
        <v>0</v>
      </c>
      <c r="R71" s="596"/>
      <c r="S71" s="611"/>
      <c r="T71" s="599">
        <f>G48</f>
        <v>0</v>
      </c>
      <c r="U71" s="578"/>
      <c r="V71" s="579"/>
      <c r="W71" s="579">
        <f t="shared" si="5"/>
        <v>0</v>
      </c>
      <c r="X71" s="579"/>
      <c r="Y71" s="879"/>
      <c r="Z71" s="106"/>
      <c r="AC71" s="504"/>
      <c r="AD71" s="505"/>
      <c r="AH71" s="143"/>
      <c r="BO71" s="86"/>
    </row>
    <row r="72" spans="1:67" ht="15.75" customHeight="1" x14ac:dyDescent="0.25">
      <c r="A72" s="520">
        <f>IFERROR(VLOOKUP($G$5,'רשימת רשויות'!A:C,3,0),0)</f>
        <v>0</v>
      </c>
      <c r="B72" s="520">
        <f t="shared" si="4"/>
        <v>0</v>
      </c>
      <c r="D72" s="1134"/>
      <c r="E72" s="1137"/>
      <c r="F72" s="589" t="s">
        <v>2261</v>
      </c>
      <c r="G72" s="117">
        <f>IF(G53="תקין",SUMIF('תשלומי הורים ומלגות להורים (5) '!$B$18:$B$517,$G48,'תשלומי הורים ומלגות להורים (5) '!$C$18:$C$517),0)</f>
        <v>0</v>
      </c>
      <c r="H72" s="117">
        <f>(G51+G52)*$G$7</f>
        <v>0</v>
      </c>
      <c r="I72" s="141"/>
      <c r="J72" s="141"/>
      <c r="K72" s="142"/>
      <c r="L72" s="395"/>
      <c r="M72" s="395"/>
      <c r="N72" s="395"/>
      <c r="O72" s="602"/>
      <c r="P72" s="623"/>
      <c r="Q72" s="619"/>
      <c r="R72" s="596"/>
      <c r="S72" s="612"/>
      <c r="T72" s="599">
        <f>G48</f>
        <v>0</v>
      </c>
      <c r="U72" s="578"/>
      <c r="V72" s="579"/>
      <c r="W72" s="579">
        <f t="shared" si="5"/>
        <v>0</v>
      </c>
      <c r="X72" s="579"/>
      <c r="Y72" s="879"/>
      <c r="Z72" s="121"/>
      <c r="AA72" s="143"/>
      <c r="AB72" s="143"/>
      <c r="AC72" s="504"/>
      <c r="AD72" s="505"/>
      <c r="AE72" s="143"/>
      <c r="AF72" s="148"/>
      <c r="BO72" s="86"/>
    </row>
    <row r="73" spans="1:67" ht="15.75" customHeight="1" thickBot="1" x14ac:dyDescent="0.3">
      <c r="A73" s="520">
        <f>IFERROR(VLOOKUP($G$5,'רשימת רשויות'!A:C,3,0),0)</f>
        <v>0</v>
      </c>
      <c r="B73" s="520">
        <f t="shared" si="4"/>
        <v>0</v>
      </c>
      <c r="D73" s="1134"/>
      <c r="E73" s="1137"/>
      <c r="F73" s="592" t="s">
        <v>21</v>
      </c>
      <c r="G73" s="144">
        <f>G71-G72</f>
        <v>0</v>
      </c>
      <c r="H73" s="144">
        <f>H71-H72</f>
        <v>0</v>
      </c>
      <c r="I73" s="145"/>
      <c r="J73" s="145"/>
      <c r="K73" s="146"/>
      <c r="L73" s="396"/>
      <c r="M73" s="396"/>
      <c r="N73" s="396"/>
      <c r="O73" s="602"/>
      <c r="P73" s="619"/>
      <c r="Q73" s="619"/>
      <c r="R73" s="596"/>
      <c r="S73" s="612"/>
      <c r="T73" s="599">
        <f>G48</f>
        <v>0</v>
      </c>
      <c r="U73" s="578"/>
      <c r="V73" s="579"/>
      <c r="W73" s="579">
        <f t="shared" si="5"/>
        <v>0</v>
      </c>
      <c r="X73" s="579"/>
      <c r="Y73" s="879"/>
      <c r="Z73" s="147"/>
      <c r="AA73" s="148"/>
      <c r="AB73" s="148"/>
      <c r="AC73" s="504"/>
      <c r="AD73" s="505"/>
      <c r="AE73" s="148"/>
      <c r="AF73" s="148"/>
      <c r="BO73" s="86"/>
    </row>
    <row r="74" spans="1:67" ht="15.75" customHeight="1" thickBot="1" x14ac:dyDescent="0.3">
      <c r="A74" s="520">
        <f>IFERROR(VLOOKUP($G$5,'רשימת רשויות'!A:C,3,0),0)</f>
        <v>0</v>
      </c>
      <c r="B74" s="520">
        <f t="shared" si="4"/>
        <v>0</v>
      </c>
      <c r="D74" s="1134"/>
      <c r="E74" s="1137"/>
      <c r="F74" s="580"/>
      <c r="G74" s="580"/>
      <c r="H74" s="147"/>
      <c r="I74" s="149" t="s">
        <v>2197</v>
      </c>
      <c r="J74" s="150">
        <f>MAX(MIN(P71,Q71),0)</f>
        <v>0</v>
      </c>
      <c r="K74" s="580"/>
      <c r="L74" s="580"/>
      <c r="M74" s="580"/>
      <c r="N74" s="580"/>
      <c r="O74" s="580"/>
      <c r="P74" s="615" t="s">
        <v>2317</v>
      </c>
      <c r="Q74" s="624">
        <f>SUM(Q75:Q76)</f>
        <v>0</v>
      </c>
      <c r="R74" s="596"/>
      <c r="S74" s="612"/>
      <c r="T74" s="599">
        <f>G48</f>
        <v>0</v>
      </c>
      <c r="U74" s="578"/>
      <c r="V74" s="579"/>
      <c r="W74" s="579">
        <f t="shared" si="5"/>
        <v>0</v>
      </c>
      <c r="X74" s="579"/>
      <c r="Y74" s="879"/>
      <c r="Z74" s="106"/>
      <c r="AC74" s="504"/>
      <c r="AD74" s="505"/>
      <c r="AF74" s="148"/>
      <c r="BO74" s="86"/>
    </row>
    <row r="75" spans="1:67" ht="16.5" thickBot="1" x14ac:dyDescent="0.3">
      <c r="A75" s="520">
        <f>IFERROR(VLOOKUP($G$5,'רשימת רשויות'!A:C,3,0),0)</f>
        <v>0</v>
      </c>
      <c r="B75" s="520">
        <f t="shared" si="4"/>
        <v>0</v>
      </c>
      <c r="D75" s="1134"/>
      <c r="E75" s="1137"/>
      <c r="F75" s="580"/>
      <c r="G75" s="580"/>
      <c r="H75" s="580"/>
      <c r="I75" s="84" t="s">
        <v>2193</v>
      </c>
      <c r="J75" s="515" t="str">
        <f>IFERROR(1-H72/H71,"")</f>
        <v/>
      </c>
      <c r="K75" s="580"/>
      <c r="L75" s="580"/>
      <c r="M75" s="580"/>
      <c r="N75" s="580"/>
      <c r="O75" s="580"/>
      <c r="P75" s="615" t="s">
        <v>417</v>
      </c>
      <c r="Q75" s="616">
        <f>IFERROR(MAX(H73-I76-Q76,0),0)</f>
        <v>0</v>
      </c>
      <c r="R75" s="596"/>
      <c r="S75" s="600"/>
      <c r="T75" s="599">
        <f>G48</f>
        <v>0</v>
      </c>
      <c r="U75" s="578"/>
      <c r="V75" s="579"/>
      <c r="W75" s="579">
        <f t="shared" si="5"/>
        <v>0</v>
      </c>
      <c r="X75" s="579"/>
      <c r="Y75" s="879"/>
      <c r="Z75" s="106"/>
      <c r="AC75" s="504"/>
      <c r="AD75" s="505"/>
      <c r="BO75" s="86"/>
    </row>
    <row r="76" spans="1:67" ht="17.25" thickBot="1" x14ac:dyDescent="0.3">
      <c r="A76" s="520">
        <f>IFERROR(VLOOKUP($G$5,'רשימת רשויות'!A:C,3,0),0)</f>
        <v>0</v>
      </c>
      <c r="B76" s="520">
        <f t="shared" si="4"/>
        <v>0</v>
      </c>
      <c r="D76" s="1134"/>
      <c r="E76" s="1137"/>
      <c r="F76" s="1143" t="s">
        <v>2679</v>
      </c>
      <c r="G76" s="1143"/>
      <c r="H76" s="1143"/>
      <c r="I76" s="722">
        <f>IF(G53="לא תקין","לא קיימת זכאות לתקציב לאור אי איוש משרות רכז ו/או סגן רכז ",IFERROR(J75*(J74+J71),0))</f>
        <v>0</v>
      </c>
      <c r="J76" s="573"/>
      <c r="K76" s="574"/>
      <c r="L76" s="396"/>
      <c r="M76" s="574"/>
      <c r="N76" s="574"/>
      <c r="O76" s="574"/>
      <c r="P76" s="615" t="s">
        <v>2279</v>
      </c>
      <c r="Q76" s="616">
        <f>MAX(IF(AND(G71&gt;H71,I76&lt;H73),H73-I76,0),0)</f>
        <v>0</v>
      </c>
      <c r="R76" s="575"/>
      <c r="S76" s="576" t="s">
        <v>67</v>
      </c>
      <c r="T76" s="577">
        <f>G48</f>
        <v>0</v>
      </c>
      <c r="U76" s="578"/>
      <c r="V76" s="579">
        <f>I76</f>
        <v>0</v>
      </c>
      <c r="W76" s="579">
        <f>IFERROR(U76-V76,0)</f>
        <v>0</v>
      </c>
      <c r="X76" s="579">
        <f>SUM(X62:X75)</f>
        <v>0</v>
      </c>
      <c r="Y76" s="879"/>
      <c r="Z76" s="106"/>
      <c r="AC76" s="506">
        <v>0</v>
      </c>
      <c r="AD76" s="507">
        <f>IFERROR(U76-AC76,0)</f>
        <v>0</v>
      </c>
      <c r="BO76" s="86"/>
    </row>
    <row r="77" spans="1:67" ht="16.5" thickBot="1" x14ac:dyDescent="0.3">
      <c r="A77" s="520">
        <f>IFERROR(VLOOKUP($G$5,'רשימת רשויות'!A:C,3,0),0)</f>
        <v>0</v>
      </c>
      <c r="B77" s="520">
        <f t="shared" si="4"/>
        <v>0</v>
      </c>
      <c r="D77" s="1135"/>
      <c r="E77" s="1138"/>
      <c r="F77" s="1144" t="s">
        <v>2793</v>
      </c>
      <c r="G77" s="1145"/>
      <c r="H77" s="1145"/>
      <c r="I77" s="593">
        <f>IFERROR(IF(G53="תקין",SUMIFS('סייעות רפואיות או אישיות (7)'!$Q$17:Q$384,'סייעות רפואיות או אישיות (7)'!C$17:C$384,G48),0),0)</f>
        <v>0</v>
      </c>
      <c r="J77" s="151"/>
      <c r="K77" s="152"/>
      <c r="L77" s="409"/>
      <c r="M77" s="152"/>
      <c r="N77" s="152"/>
      <c r="O77" s="152"/>
      <c r="P77" s="613"/>
      <c r="Q77" s="614"/>
      <c r="R77" s="475"/>
      <c r="S77" s="489"/>
      <c r="T77" s="490"/>
      <c r="U77" s="491"/>
      <c r="V77" s="492"/>
      <c r="W77" s="492"/>
      <c r="X77" s="492"/>
      <c r="Y77" s="880"/>
      <c r="Z77" s="153"/>
      <c r="AC77" s="581"/>
      <c r="AD77" s="582"/>
      <c r="BO77" s="86"/>
    </row>
    <row r="78" spans="1:67" ht="34.5" thickBot="1" x14ac:dyDescent="0.55000000000000004">
      <c r="A78" s="520">
        <f>IFERROR(VLOOKUP($G$5,'רשימת רשויות'!A:C,3,0),0)</f>
        <v>0</v>
      </c>
      <c r="B78" s="520">
        <f t="shared" ref="B78:B141" si="9">IF(F79="סמל המוסד",G79,B77)</f>
        <v>0</v>
      </c>
      <c r="E78" s="154"/>
      <c r="I78" s="143"/>
      <c r="J78" s="148"/>
      <c r="O78" s="148"/>
      <c r="T78" s="481"/>
      <c r="BO78" s="86"/>
    </row>
    <row r="79" spans="1:67" s="20" customFormat="1" ht="16.5" customHeight="1" thickBot="1" x14ac:dyDescent="0.3">
      <c r="A79" s="520">
        <f>IFERROR(VLOOKUP($G$5,'רשימת רשויות'!A:C,3,0),0)</f>
        <v>0</v>
      </c>
      <c r="B79" s="520">
        <f t="shared" si="9"/>
        <v>0</v>
      </c>
      <c r="C79" s="39"/>
      <c r="D79" s="1133">
        <f>D48+1</f>
        <v>3</v>
      </c>
      <c r="E79" s="1136" t="str">
        <f>IFERROR(CONCATENATE("בית הספר ",VLOOKUP(G79,'מצבת והרשמה (2)'!$C$21:$D$520,2,0)," - ",$G$5),"")</f>
        <v>בית הספר המוסד לא קיים - 0</v>
      </c>
      <c r="F79" s="720" t="s">
        <v>146</v>
      </c>
      <c r="G79" s="721">
        <f>IFERROR(VLOOKUP(D:D,'דוח ביצוע (3)'!$A$21:$C$900,2,0),0)</f>
        <v>0</v>
      </c>
      <c r="H79" s="79"/>
      <c r="I79" s="80" t="s">
        <v>150</v>
      </c>
      <c r="J79" s="80"/>
      <c r="K79" s="81"/>
      <c r="L79" s="392"/>
      <c r="M79" s="392"/>
      <c r="N79" s="392"/>
      <c r="O79" s="82"/>
      <c r="P79" s="470"/>
      <c r="Q79" s="471"/>
      <c r="R79" s="472"/>
      <c r="S79" s="883"/>
      <c r="T79" s="884"/>
      <c r="U79" s="486"/>
      <c r="V79" s="487"/>
      <c r="W79" s="487"/>
      <c r="X79" s="487"/>
      <c r="Y79" s="885"/>
      <c r="Z79" s="83"/>
      <c r="AC79" s="502"/>
      <c r="AD79" s="503"/>
      <c r="AO79" s="22"/>
      <c r="AP79" s="22"/>
      <c r="AQ79" s="22"/>
      <c r="AR79" s="22"/>
      <c r="AS79" s="22"/>
      <c r="AT79" s="22"/>
      <c r="AU79" s="35"/>
      <c r="AV79" s="35"/>
      <c r="AW79" s="35"/>
      <c r="AX79" s="35"/>
      <c r="AY79" s="35"/>
      <c r="AZ79" s="35"/>
      <c r="BA79" s="35"/>
      <c r="BB79" s="35"/>
      <c r="BC79" s="35"/>
      <c r="BD79" s="35"/>
      <c r="BE79" s="35"/>
      <c r="BF79" s="35"/>
      <c r="BG79" s="35"/>
      <c r="BH79" s="35"/>
      <c r="BI79" s="35"/>
      <c r="BJ79" s="35"/>
      <c r="BK79" s="35"/>
      <c r="BL79" s="35"/>
      <c r="BM79" s="35"/>
      <c r="BN79" s="35"/>
      <c r="BO79" s="78"/>
    </row>
    <row r="80" spans="1:67" s="20" customFormat="1" ht="16.5" thickBot="1" x14ac:dyDescent="0.3">
      <c r="A80" s="520">
        <f>IFERROR(VLOOKUP($G$5,'רשימת רשויות'!A:C,3,0),0)</f>
        <v>0</v>
      </c>
      <c r="B80" s="520">
        <f t="shared" si="9"/>
        <v>0</v>
      </c>
      <c r="C80" s="39"/>
      <c r="D80" s="1134"/>
      <c r="E80" s="1137"/>
      <c r="F80" s="583" t="s">
        <v>145</v>
      </c>
      <c r="G80" s="516" t="str">
        <f>IFERROR(IF((G82+G83)=0,"",IF(VLOOKUP(G79,'דוח ביצוע (3)'!$B$21:$K$900,5,0)&gt;149,"גדול",IF(AND(VLOOKUP(G79,'דוח ביצוע (3)'!$B$21:$K$900,5,0)&gt;0,VLOOKUP(G79,'דוח ביצוע (3)'!$B$21:$K$900,5,0)&lt;150),"קטן",0))),"")</f>
        <v/>
      </c>
      <c r="H80" s="723" t="s">
        <v>88</v>
      </c>
      <c r="I80" s="723" t="s">
        <v>13</v>
      </c>
      <c r="J80" s="725" t="s">
        <v>14</v>
      </c>
      <c r="K80" s="724" t="s">
        <v>94</v>
      </c>
      <c r="L80" s="594"/>
      <c r="M80" s="420" t="s">
        <v>2584</v>
      </c>
      <c r="N80" s="397" t="s">
        <v>413</v>
      </c>
      <c r="O80" s="398" t="s">
        <v>52</v>
      </c>
      <c r="P80" s="595"/>
      <c r="Q80" s="595"/>
      <c r="R80" s="596"/>
      <c r="S80" s="610"/>
      <c r="T80" s="881"/>
      <c r="U80" s="598"/>
      <c r="V80" s="599"/>
      <c r="W80" s="599"/>
      <c r="X80" s="599"/>
      <c r="Y80" s="879"/>
      <c r="Z80" s="85"/>
      <c r="AC80" s="493"/>
      <c r="AD80" s="495"/>
      <c r="AO80" s="22"/>
      <c r="AP80" s="22"/>
      <c r="AQ80" s="22"/>
      <c r="AR80" s="22"/>
      <c r="AS80" s="22"/>
      <c r="AT80" s="22"/>
      <c r="AU80" s="35"/>
      <c r="AV80" s="35"/>
      <c r="AW80" s="35"/>
      <c r="AX80" s="35"/>
      <c r="AY80" s="35"/>
      <c r="AZ80" s="35"/>
      <c r="BA80" s="35"/>
      <c r="BB80" s="35"/>
      <c r="BC80" s="35"/>
      <c r="BD80" s="35"/>
      <c r="BE80" s="35"/>
      <c r="BF80" s="35"/>
      <c r="BG80" s="35"/>
      <c r="BH80" s="35"/>
      <c r="BI80" s="35"/>
      <c r="BJ80" s="35"/>
      <c r="BK80" s="35"/>
      <c r="BL80" s="35"/>
      <c r="BM80" s="35"/>
      <c r="BN80" s="35"/>
      <c r="BO80" s="78"/>
    </row>
    <row r="81" spans="1:67" s="20" customFormat="1" ht="15.75" customHeight="1" thickBot="1" x14ac:dyDescent="0.3">
      <c r="A81" s="520">
        <f>IFERROR(VLOOKUP($G$5,'רשימת רשויות'!A:C,3,0),0)</f>
        <v>0</v>
      </c>
      <c r="B81" s="520">
        <f t="shared" si="9"/>
        <v>0</v>
      </c>
      <c r="C81" s="39"/>
      <c r="D81" s="1134"/>
      <c r="E81" s="1137"/>
      <c r="F81" s="584" t="s">
        <v>144</v>
      </c>
      <c r="G81" s="87">
        <f>IF(G84="תקין",IFERROR(VLOOKUP($G79,'דוח ביצוע (3)'!$B$21:$Q$900,12,0),0),0)</f>
        <v>0</v>
      </c>
      <c r="H81" s="88">
        <f>IFERROR(G82*$AH$6+G83*$AH$7,0)</f>
        <v>0</v>
      </c>
      <c r="I81" s="88">
        <f>IFERROR(G82*$AI$6+G83*$AI$7,0)</f>
        <v>0</v>
      </c>
      <c r="J81" s="88">
        <f>IFERROR(G82*$AJ$6+G83*$AJ$7,0)</f>
        <v>0</v>
      </c>
      <c r="K81" s="88">
        <f>IFERROR(G82*$AK$6+G83*$AK$7,0)</f>
        <v>0</v>
      </c>
      <c r="L81" s="405"/>
      <c r="M81" s="399" t="s">
        <v>427</v>
      </c>
      <c r="N81" s="400" t="str">
        <f>IFERROR(VLOOKUP($G79,'דוח ביצוע (3)'!$B:$AE,28,0),"")</f>
        <v/>
      </c>
      <c r="O81" s="89" t="str">
        <f>IFERROR(VLOOKUP($G79,'דוח ביצוע (3)'!B:AE,29,0),"")</f>
        <v/>
      </c>
      <c r="P81" s="595"/>
      <c r="Q81" s="595"/>
      <c r="R81" s="596"/>
      <c r="S81" s="610"/>
      <c r="T81" s="881"/>
      <c r="U81" s="598"/>
      <c r="V81" s="599"/>
      <c r="W81" s="599"/>
      <c r="X81" s="599"/>
      <c r="Y81" s="879"/>
      <c r="Z81" s="85"/>
      <c r="AC81" s="493"/>
      <c r="AD81" s="495"/>
      <c r="AO81" s="22"/>
      <c r="AP81" s="22"/>
      <c r="AQ81" s="22"/>
      <c r="AR81" s="22"/>
      <c r="AS81" s="22"/>
      <c r="AT81" s="22"/>
      <c r="AU81" s="35"/>
      <c r="AV81" s="35"/>
      <c r="AW81" s="35"/>
      <c r="AX81" s="35"/>
      <c r="AY81" s="35"/>
      <c r="AZ81" s="35"/>
      <c r="BA81" s="35"/>
      <c r="BB81" s="35"/>
      <c r="BC81" s="35"/>
      <c r="BD81" s="35"/>
      <c r="BE81" s="35"/>
      <c r="BF81" s="35"/>
      <c r="BG81" s="35"/>
      <c r="BH81" s="35"/>
      <c r="BI81" s="35"/>
      <c r="BJ81" s="35"/>
      <c r="BK81" s="35"/>
      <c r="BL81" s="35"/>
      <c r="BM81" s="35"/>
      <c r="BN81" s="35"/>
      <c r="BO81" s="78"/>
    </row>
    <row r="82" spans="1:67" s="20" customFormat="1" ht="32.25" thickBot="1" x14ac:dyDescent="0.3">
      <c r="A82" s="520">
        <f>IFERROR(VLOOKUP($G$5,'רשימת רשויות'!A:C,3,0),0)</f>
        <v>0</v>
      </c>
      <c r="B82" s="520">
        <f t="shared" si="9"/>
        <v>0</v>
      </c>
      <c r="C82" s="39"/>
      <c r="D82" s="1134"/>
      <c r="E82" s="1137"/>
      <c r="F82" s="585" t="s">
        <v>2195</v>
      </c>
      <c r="G82" s="89">
        <f>IF(G84="תקין",MAX(N84,0),0)</f>
        <v>0</v>
      </c>
      <c r="H82" s="725" t="s">
        <v>151</v>
      </c>
      <c r="I82" s="725" t="s">
        <v>91</v>
      </c>
      <c r="J82" s="970" t="s">
        <v>3396</v>
      </c>
      <c r="K82" s="601"/>
      <c r="L82" s="601"/>
      <c r="M82" s="983" t="s">
        <v>2585</v>
      </c>
      <c r="N82" s="400" t="str">
        <f>IFERROR(G81/15*N81*1.25,"")</f>
        <v/>
      </c>
      <c r="O82" s="89" t="str">
        <f>IFERROR(G81/15*O81*1.25,"")</f>
        <v/>
      </c>
      <c r="P82" s="595"/>
      <c r="Q82" s="595"/>
      <c r="R82" s="596"/>
      <c r="S82" s="610"/>
      <c r="T82" s="881"/>
      <c r="U82" s="598"/>
      <c r="V82" s="599"/>
      <c r="W82" s="599"/>
      <c r="X82" s="599"/>
      <c r="Y82" s="879"/>
      <c r="Z82" s="85"/>
      <c r="AC82" s="493"/>
      <c r="AD82" s="495"/>
      <c r="AG82" s="22"/>
      <c r="AH82" s="55"/>
      <c r="AI82" s="55"/>
      <c r="AJ82" s="55"/>
      <c r="AK82" s="55"/>
      <c r="AO82" s="22"/>
      <c r="AP82" s="22"/>
      <c r="AQ82" s="22"/>
      <c r="AR82" s="22"/>
      <c r="AS82" s="22"/>
      <c r="AT82" s="22"/>
      <c r="AU82" s="35"/>
      <c r="AV82" s="35"/>
      <c r="AW82" s="35"/>
      <c r="AX82" s="35"/>
      <c r="AY82" s="35"/>
      <c r="AZ82" s="35"/>
      <c r="BA82" s="35"/>
      <c r="BB82" s="35"/>
      <c r="BC82" s="35"/>
      <c r="BD82" s="35"/>
      <c r="BE82" s="35"/>
      <c r="BF82" s="35"/>
      <c r="BG82" s="35"/>
      <c r="BH82" s="35"/>
      <c r="BI82" s="35"/>
      <c r="BJ82" s="35"/>
      <c r="BK82" s="35"/>
      <c r="BL82" s="35"/>
      <c r="BM82" s="35"/>
      <c r="BN82" s="35"/>
      <c r="BO82" s="86"/>
    </row>
    <row r="83" spans="1:67" s="20" customFormat="1" ht="16.5" thickBot="1" x14ac:dyDescent="0.3">
      <c r="A83" s="520">
        <f>IFERROR(VLOOKUP($G$5,'רשימת רשויות'!A:C,3,0),0)</f>
        <v>0</v>
      </c>
      <c r="B83" s="520">
        <f t="shared" si="9"/>
        <v>0</v>
      </c>
      <c r="C83" s="39"/>
      <c r="D83" s="1134"/>
      <c r="E83" s="1137"/>
      <c r="F83" s="585" t="s">
        <v>2196</v>
      </c>
      <c r="G83" s="89">
        <f>IF(G84="תקין",MAX(O84,0),0)</f>
        <v>0</v>
      </c>
      <c r="H83" s="88">
        <f>(IFERROR(IF((G82+G83)=0,0,IF(G80="קטן",G81*$AH$10,G81*$AH$11)),0))+(IFERROR(IF((G82+G83)=0,0,VLOOKUP(G79,'דוח ביצוע (3)'!$B:$AH,33,0)),0))</f>
        <v>0</v>
      </c>
      <c r="I83" s="88">
        <f>IFERROR(IF((G82+G83)=0,0,IF(G80="קטן",G81*$AI$10,G81*$AI$11)),0)</f>
        <v>0</v>
      </c>
      <c r="J83" s="88">
        <f>IFERROR(IF((G82+G83)=0,0,VLOOKUP(G79,'דוח ביצוע (3)'!$B:$AH,32,0)),0)</f>
        <v>0</v>
      </c>
      <c r="K83" s="90"/>
      <c r="L83" s="90"/>
      <c r="M83" s="399" t="s">
        <v>412</v>
      </c>
      <c r="N83" s="400">
        <f>IFERROR(VLOOKUP($G79,'דוח ביצוע (3)'!$B$21:$U$500,18,0),0)</f>
        <v>0</v>
      </c>
      <c r="O83" s="401">
        <f>IFERROR(VLOOKUP($G79,'דוח ביצוע (3)'!$B$21:$U$500,19,0),0)</f>
        <v>0</v>
      </c>
      <c r="P83" s="595"/>
      <c r="Q83" s="595"/>
      <c r="R83" s="596"/>
      <c r="S83" s="610"/>
      <c r="T83" s="881"/>
      <c r="U83" s="598"/>
      <c r="V83" s="599"/>
      <c r="W83" s="599"/>
      <c r="X83" s="599"/>
      <c r="Y83" s="879"/>
      <c r="Z83" s="85"/>
      <c r="AC83" s="493"/>
      <c r="AD83" s="495"/>
      <c r="AG83" s="22"/>
      <c r="AH83" s="55"/>
      <c r="AI83" s="55"/>
      <c r="AJ83" s="55"/>
      <c r="AK83" s="55"/>
      <c r="AO83" s="22"/>
      <c r="AP83" s="22"/>
      <c r="AQ83" s="22"/>
      <c r="AR83" s="22"/>
      <c r="AS83" s="22"/>
      <c r="AT83" s="22"/>
      <c r="AU83" s="35"/>
      <c r="AV83" s="35"/>
      <c r="AW83" s="35"/>
      <c r="AX83" s="35"/>
      <c r="AY83" s="35"/>
      <c r="AZ83" s="35"/>
      <c r="BA83" s="35"/>
      <c r="BB83" s="35"/>
      <c r="BC83" s="35"/>
      <c r="BD83" s="35"/>
      <c r="BE83" s="35"/>
      <c r="BF83" s="35"/>
      <c r="BG83" s="35"/>
      <c r="BH83" s="35"/>
      <c r="BI83" s="35"/>
      <c r="BJ83" s="35"/>
      <c r="BK83" s="35"/>
      <c r="BL83" s="35"/>
      <c r="BM83" s="35"/>
      <c r="BN83" s="35"/>
      <c r="BO83" s="86"/>
    </row>
    <row r="84" spans="1:67" s="20" customFormat="1" ht="16.5" thickBot="1" x14ac:dyDescent="0.3">
      <c r="A84" s="520">
        <f>IFERROR(VLOOKUP($G$5,'רשימת רשויות'!A:C,3,0),0)</f>
        <v>0</v>
      </c>
      <c r="B84" s="520">
        <f t="shared" si="9"/>
        <v>0</v>
      </c>
      <c r="C84" s="39"/>
      <c r="D84" s="1134"/>
      <c r="E84" s="1137"/>
      <c r="F84" s="586" t="s">
        <v>2355</v>
      </c>
      <c r="G84" s="514">
        <f>IFERROR(IF(VLOOKUP('בית ספר - תקצוב לפי מוסד (9)'!G79,' איוש משרות (8)'!$C:$K,9,0)="תקין","תקין","לא תקין"),0)</f>
        <v>0</v>
      </c>
      <c r="H84" s="91"/>
      <c r="I84" s="91"/>
      <c r="J84" s="91"/>
      <c r="K84" s="90"/>
      <c r="L84" s="90"/>
      <c r="M84" s="402" t="s">
        <v>2586</v>
      </c>
      <c r="N84" s="403">
        <f>IFERROR(MIN(N82,N83),0)</f>
        <v>0</v>
      </c>
      <c r="O84" s="404">
        <f>IFERROR(MIN(O82,O83),0)</f>
        <v>0</v>
      </c>
      <c r="P84" s="595"/>
      <c r="Q84" s="595"/>
      <c r="R84" s="596"/>
      <c r="S84" s="610"/>
      <c r="T84" s="881"/>
      <c r="U84" s="598"/>
      <c r="V84" s="599"/>
      <c r="W84" s="599"/>
      <c r="X84" s="599"/>
      <c r="Y84" s="879"/>
      <c r="Z84" s="85"/>
      <c r="AC84" s="493"/>
      <c r="AD84" s="495"/>
      <c r="AG84" s="94"/>
      <c r="AH84" s="40"/>
      <c r="AI84" s="40"/>
      <c r="AJ84" s="40"/>
      <c r="AK84" s="40"/>
      <c r="AO84" s="22"/>
      <c r="AP84" s="22"/>
      <c r="AQ84" s="22"/>
      <c r="AR84" s="22"/>
      <c r="AS84" s="22"/>
      <c r="AT84" s="22"/>
      <c r="AU84" s="35"/>
      <c r="AV84" s="35"/>
      <c r="AW84" s="35"/>
      <c r="AX84" s="35"/>
      <c r="AY84" s="35"/>
      <c r="AZ84" s="35"/>
      <c r="BA84" s="35"/>
      <c r="BB84" s="35"/>
      <c r="BC84" s="35"/>
      <c r="BD84" s="35"/>
      <c r="BE84" s="35"/>
      <c r="BF84" s="35"/>
      <c r="BG84" s="35"/>
      <c r="BH84" s="35"/>
      <c r="BI84" s="35"/>
      <c r="BJ84" s="35"/>
      <c r="BK84" s="35"/>
      <c r="BL84" s="35"/>
      <c r="BM84" s="35"/>
      <c r="BN84" s="35"/>
      <c r="BO84" s="86"/>
    </row>
    <row r="85" spans="1:67" s="55" customFormat="1" ht="37.15" customHeight="1" thickBot="1" x14ac:dyDescent="0.3">
      <c r="A85" s="520">
        <f>IFERROR(VLOOKUP($G$5,'רשימת רשויות'!A:C,3,0),0)</f>
        <v>0</v>
      </c>
      <c r="B85" s="520">
        <f t="shared" si="9"/>
        <v>0</v>
      </c>
      <c r="C85" s="39"/>
      <c r="D85" s="1134"/>
      <c r="E85" s="1137"/>
      <c r="F85" s="587" t="s">
        <v>142</v>
      </c>
      <c r="G85" s="92"/>
      <c r="H85" s="92"/>
      <c r="I85" s="92"/>
      <c r="J85" s="92"/>
      <c r="K85" s="602"/>
      <c r="L85" s="602"/>
      <c r="M85" s="602"/>
      <c r="N85" s="602"/>
      <c r="O85" s="602"/>
      <c r="P85" s="595"/>
      <c r="Q85" s="595"/>
      <c r="R85" s="596"/>
      <c r="S85" s="610"/>
      <c r="T85" s="881"/>
      <c r="U85" s="598"/>
      <c r="V85" s="599"/>
      <c r="W85" s="599"/>
      <c r="X85" s="599"/>
      <c r="Y85" s="879"/>
      <c r="Z85" s="93"/>
      <c r="AC85" s="493"/>
      <c r="AD85" s="495"/>
      <c r="AF85" s="22"/>
      <c r="AG85" s="98"/>
      <c r="AH85" s="98"/>
      <c r="AI85" s="40"/>
      <c r="AJ85" s="40"/>
      <c r="AK85" s="40"/>
      <c r="AO85" s="22"/>
      <c r="AP85" s="22"/>
      <c r="AQ85" s="22"/>
      <c r="AR85" s="22"/>
      <c r="AS85" s="22"/>
      <c r="AT85" s="22"/>
      <c r="AU85" s="35"/>
      <c r="AV85" s="35"/>
      <c r="AW85" s="35"/>
      <c r="AX85" s="35"/>
      <c r="AY85" s="35"/>
      <c r="AZ85" s="35"/>
      <c r="BA85" s="35"/>
      <c r="BB85" s="35"/>
      <c r="BC85" s="35"/>
      <c r="BD85" s="35"/>
      <c r="BE85" s="35"/>
      <c r="BF85" s="35"/>
      <c r="BG85" s="35"/>
      <c r="BH85" s="35"/>
      <c r="BI85" s="35"/>
      <c r="BJ85" s="35"/>
      <c r="BK85" s="35"/>
      <c r="BL85" s="35"/>
      <c r="BM85" s="35"/>
      <c r="BN85" s="35"/>
      <c r="BO85" s="86"/>
    </row>
    <row r="86" spans="1:67" s="40" customFormat="1" ht="31.5" x14ac:dyDescent="0.25">
      <c r="A86" s="520">
        <f>IFERROR(VLOOKUP($G$5,'רשימת רשויות'!A:C,3,0),0)</f>
        <v>0</v>
      </c>
      <c r="B86" s="520">
        <f t="shared" si="9"/>
        <v>0</v>
      </c>
      <c r="C86" s="39"/>
      <c r="D86" s="1134"/>
      <c r="E86" s="1137"/>
      <c r="F86" s="588" t="s">
        <v>94</v>
      </c>
      <c r="G86" s="95" t="s">
        <v>18</v>
      </c>
      <c r="H86" s="95" t="s">
        <v>19</v>
      </c>
      <c r="I86" s="95" t="s">
        <v>138</v>
      </c>
      <c r="J86" s="96" t="s">
        <v>139</v>
      </c>
      <c r="K86" s="603"/>
      <c r="L86" s="603"/>
      <c r="M86" s="603"/>
      <c r="N86" s="603"/>
      <c r="O86" s="603"/>
      <c r="P86" s="604"/>
      <c r="Q86" s="604"/>
      <c r="R86" s="596"/>
      <c r="S86" s="610"/>
      <c r="T86" s="881"/>
      <c r="U86" s="598"/>
      <c r="V86" s="599"/>
      <c r="W86" s="599"/>
      <c r="X86" s="599"/>
      <c r="Y86" s="879"/>
      <c r="Z86" s="97"/>
      <c r="AA86" s="94"/>
      <c r="AB86" s="94"/>
      <c r="AC86" s="493"/>
      <c r="AD86" s="495"/>
      <c r="AE86" s="94"/>
      <c r="AG86" s="98"/>
      <c r="AH86" s="98"/>
      <c r="AO86" s="22"/>
      <c r="AP86" s="22"/>
      <c r="AQ86" s="22"/>
      <c r="AR86" s="22"/>
      <c r="AS86" s="22"/>
      <c r="AT86" s="22"/>
      <c r="AU86" s="35"/>
      <c r="AV86" s="35"/>
      <c r="AW86" s="35"/>
      <c r="AX86" s="35"/>
      <c r="AY86" s="35"/>
      <c r="AZ86" s="35"/>
      <c r="BA86" s="35"/>
      <c r="BB86" s="35"/>
      <c r="BC86" s="35"/>
      <c r="BD86" s="35"/>
      <c r="BE86" s="35"/>
      <c r="BF86" s="35"/>
      <c r="BG86" s="35"/>
      <c r="BH86" s="35"/>
      <c r="BI86" s="35"/>
      <c r="BJ86" s="35"/>
      <c r="BK86" s="35"/>
      <c r="BL86" s="35"/>
      <c r="BM86" s="35"/>
      <c r="BN86" s="35"/>
      <c r="BO86" s="86"/>
    </row>
    <row r="87" spans="1:67" s="40" customFormat="1" ht="15.75" customHeight="1" thickBot="1" x14ac:dyDescent="0.3">
      <c r="A87" s="520">
        <f>IFERROR(VLOOKUP($G$5,'רשימת רשויות'!A:C,3,0),0)</f>
        <v>0</v>
      </c>
      <c r="B87" s="520">
        <f t="shared" si="9"/>
        <v>0</v>
      </c>
      <c r="C87" s="39"/>
      <c r="D87" s="1134"/>
      <c r="E87" s="1137"/>
      <c r="F87" s="589" t="s">
        <v>2280</v>
      </c>
      <c r="G87" s="99">
        <f>+G98</f>
        <v>0</v>
      </c>
      <c r="H87" s="100">
        <f>K81</f>
        <v>0</v>
      </c>
      <c r="I87" s="100">
        <f>H87-I89</f>
        <v>0</v>
      </c>
      <c r="J87" s="101">
        <f>IFERROR(I87/H87,0)</f>
        <v>0</v>
      </c>
      <c r="K87" s="603"/>
      <c r="L87" s="603"/>
      <c r="M87" s="603"/>
      <c r="N87" s="603"/>
      <c r="O87" s="603"/>
      <c r="P87" s="605"/>
      <c r="Q87" s="604"/>
      <c r="R87" s="606" t="s">
        <v>157</v>
      </c>
      <c r="S87" s="611"/>
      <c r="T87" s="881"/>
      <c r="U87" s="598"/>
      <c r="V87" s="599"/>
      <c r="W87" s="599"/>
      <c r="X87" s="599"/>
      <c r="Y87" s="879"/>
      <c r="Z87" s="102"/>
      <c r="AA87" s="122"/>
      <c r="AB87" s="122"/>
      <c r="AC87" s="493"/>
      <c r="AD87" s="495"/>
      <c r="AE87" s="122"/>
      <c r="AF87" s="22"/>
      <c r="AG87" s="98"/>
      <c r="AH87" s="98"/>
      <c r="AI87" s="20"/>
      <c r="AO87" s="22"/>
      <c r="AP87" s="22"/>
      <c r="AQ87" s="22"/>
      <c r="AR87" s="22"/>
      <c r="AS87" s="22"/>
      <c r="AT87" s="22"/>
      <c r="AU87" s="35"/>
      <c r="AV87" s="35"/>
      <c r="AW87" s="35"/>
      <c r="AX87" s="35"/>
      <c r="AY87" s="35"/>
      <c r="AZ87" s="35"/>
      <c r="BA87" s="35"/>
      <c r="BB87" s="35"/>
      <c r="BC87" s="35"/>
      <c r="BD87" s="35"/>
      <c r="BE87" s="35"/>
      <c r="BF87" s="35"/>
      <c r="BG87" s="35"/>
      <c r="BH87" s="35"/>
      <c r="BI87" s="35"/>
      <c r="BJ87" s="35"/>
      <c r="BK87" s="35"/>
      <c r="BL87" s="35"/>
      <c r="BM87" s="35"/>
      <c r="BN87" s="35"/>
      <c r="BO87" s="86"/>
    </row>
    <row r="88" spans="1:67" s="40" customFormat="1" ht="15.75" customHeight="1" thickBot="1" x14ac:dyDescent="0.3">
      <c r="A88" s="520">
        <f>IFERROR(VLOOKUP($G$5,'רשימת רשויות'!A:C,3,0),0)</f>
        <v>0</v>
      </c>
      <c r="B88" s="520">
        <f t="shared" si="9"/>
        <v>0</v>
      </c>
      <c r="C88" s="39"/>
      <c r="D88" s="1134"/>
      <c r="E88" s="1137"/>
      <c r="F88" s="589" t="s">
        <v>2281</v>
      </c>
      <c r="G88" s="99">
        <f>+G97</f>
        <v>0</v>
      </c>
      <c r="H88" s="103"/>
      <c r="I88" s="104"/>
      <c r="J88" s="105"/>
      <c r="K88" s="603"/>
      <c r="L88" s="603"/>
      <c r="M88" s="603"/>
      <c r="N88" s="603"/>
      <c r="O88" s="603"/>
      <c r="P88" s="605"/>
      <c r="Q88" s="604"/>
      <c r="R88" s="473">
        <f>I89-R90</f>
        <v>0</v>
      </c>
      <c r="S88" s="611"/>
      <c r="T88" s="881"/>
      <c r="U88" s="598"/>
      <c r="V88" s="599"/>
      <c r="W88" s="599"/>
      <c r="X88" s="599"/>
      <c r="Y88" s="879"/>
      <c r="Z88" s="106"/>
      <c r="AA88" s="22"/>
      <c r="AB88" s="22"/>
      <c r="AC88" s="493"/>
      <c r="AD88" s="495"/>
      <c r="AE88" s="22"/>
      <c r="AF88" s="22"/>
      <c r="AG88" s="98"/>
      <c r="AH88" s="98"/>
      <c r="AI88" s="20"/>
      <c r="AO88" s="22"/>
      <c r="AP88" s="22"/>
      <c r="AQ88" s="22"/>
      <c r="AR88" s="22"/>
      <c r="AS88" s="22"/>
      <c r="AT88" s="22"/>
      <c r="AU88" s="35"/>
      <c r="AV88" s="35"/>
      <c r="AW88" s="35"/>
      <c r="AX88" s="35"/>
      <c r="AY88" s="35"/>
      <c r="AZ88" s="35"/>
      <c r="BA88" s="35"/>
      <c r="BB88" s="35"/>
      <c r="BC88" s="35"/>
      <c r="BD88" s="35"/>
      <c r="BE88" s="35"/>
      <c r="BF88" s="35"/>
      <c r="BG88" s="35"/>
      <c r="BH88" s="35"/>
      <c r="BI88" s="35"/>
      <c r="BJ88" s="35"/>
      <c r="BK88" s="35"/>
      <c r="BL88" s="35"/>
      <c r="BM88" s="35"/>
      <c r="BN88" s="35"/>
      <c r="BO88" s="86"/>
    </row>
    <row r="89" spans="1:67" s="40" customFormat="1" ht="16.5" customHeight="1" thickBot="1" x14ac:dyDescent="0.3">
      <c r="A89" s="520">
        <f>IFERROR(VLOOKUP($G$5,'רשימת רשויות'!A:C,3,0),0)</f>
        <v>0</v>
      </c>
      <c r="B89" s="520">
        <f t="shared" si="9"/>
        <v>0</v>
      </c>
      <c r="C89" s="39"/>
      <c r="D89" s="1134"/>
      <c r="E89" s="1137"/>
      <c r="F89" s="589" t="s">
        <v>2282</v>
      </c>
      <c r="G89" s="99">
        <f>G93+G94+G95</f>
        <v>0</v>
      </c>
      <c r="H89" s="104"/>
      <c r="I89" s="107">
        <f>MAX(H87-G87-G88,0)</f>
        <v>0</v>
      </c>
      <c r="J89" s="108">
        <f>IFERROR(I89/H87,0)</f>
        <v>0</v>
      </c>
      <c r="K89" s="603"/>
      <c r="L89" s="603"/>
      <c r="M89" s="603"/>
      <c r="N89" s="603"/>
      <c r="O89" s="603"/>
      <c r="P89" s="604"/>
      <c r="Q89" s="604"/>
      <c r="R89" s="606" t="s">
        <v>158</v>
      </c>
      <c r="S89" s="612"/>
      <c r="T89" s="881"/>
      <c r="U89" s="598"/>
      <c r="V89" s="599"/>
      <c r="W89" s="599"/>
      <c r="X89" s="599"/>
      <c r="Y89" s="879"/>
      <c r="Z89" s="106"/>
      <c r="AA89" s="22"/>
      <c r="AB89" s="22"/>
      <c r="AC89" s="493"/>
      <c r="AD89" s="495"/>
      <c r="AE89" s="22"/>
      <c r="AF89" s="22"/>
      <c r="AG89" s="22"/>
      <c r="AH89" s="22"/>
      <c r="AI89" s="55"/>
      <c r="AJ89" s="22"/>
      <c r="AK89" s="22"/>
      <c r="AO89" s="22"/>
      <c r="AP89" s="22"/>
      <c r="AQ89" s="22"/>
      <c r="AR89" s="22"/>
      <c r="AS89" s="22"/>
      <c r="AT89" s="22"/>
      <c r="AU89" s="35"/>
      <c r="AV89" s="35"/>
      <c r="AW89" s="35"/>
      <c r="AX89" s="35"/>
      <c r="AY89" s="35"/>
      <c r="AZ89" s="35"/>
      <c r="BA89" s="35"/>
      <c r="BB89" s="35"/>
      <c r="BC89" s="35"/>
      <c r="BD89" s="35"/>
      <c r="BE89" s="35"/>
      <c r="BF89" s="35"/>
      <c r="BG89" s="35"/>
      <c r="BH89" s="35"/>
      <c r="BI89" s="35"/>
      <c r="BJ89" s="35"/>
      <c r="BK89" s="35"/>
      <c r="BL89" s="35"/>
      <c r="BM89" s="35"/>
      <c r="BN89" s="35"/>
      <c r="BO89" s="86"/>
    </row>
    <row r="90" spans="1:67" s="40" customFormat="1" ht="15.75" customHeight="1" thickBot="1" x14ac:dyDescent="0.3">
      <c r="A90" s="520">
        <f>IFERROR(VLOOKUP($G$5,'רשימת רשויות'!A:C,3,0),0)</f>
        <v>0</v>
      </c>
      <c r="B90" s="520">
        <f t="shared" si="9"/>
        <v>0</v>
      </c>
      <c r="C90" s="39"/>
      <c r="D90" s="1134"/>
      <c r="E90" s="1137"/>
      <c r="F90" s="590" t="s">
        <v>2290</v>
      </c>
      <c r="G90" s="109"/>
      <c r="H90" s="110"/>
      <c r="I90" s="111">
        <f>SUM(I87:I89)</f>
        <v>0</v>
      </c>
      <c r="J90" s="112">
        <f>SUM(J87:J89)</f>
        <v>0</v>
      </c>
      <c r="K90" s="603"/>
      <c r="L90" s="603"/>
      <c r="M90" s="603"/>
      <c r="N90" s="603"/>
      <c r="O90" s="603"/>
      <c r="P90" s="604"/>
      <c r="Q90" s="604"/>
      <c r="R90" s="473">
        <f>MIN(MAX(G94+G95-I83-J83,0),I89)</f>
        <v>0</v>
      </c>
      <c r="S90" s="612"/>
      <c r="T90" s="881"/>
      <c r="U90" s="598"/>
      <c r="V90" s="599"/>
      <c r="W90" s="599"/>
      <c r="X90" s="599"/>
      <c r="Y90" s="879"/>
      <c r="Z90" s="106"/>
      <c r="AA90" s="22"/>
      <c r="AB90" s="22"/>
      <c r="AC90" s="493"/>
      <c r="AD90" s="495"/>
      <c r="AE90" s="22"/>
      <c r="AF90" s="22"/>
      <c r="AG90" s="22"/>
      <c r="AH90" s="22"/>
      <c r="AJ90" s="22"/>
      <c r="AK90" s="22"/>
      <c r="AO90" s="22"/>
      <c r="AP90" s="22"/>
      <c r="AQ90" s="22"/>
      <c r="AR90" s="22"/>
      <c r="AS90" s="22"/>
      <c r="AT90" s="22"/>
      <c r="AU90" s="35"/>
      <c r="AV90" s="35"/>
      <c r="AW90" s="35"/>
      <c r="AX90" s="35"/>
      <c r="AY90" s="35"/>
      <c r="AZ90" s="35"/>
      <c r="BA90" s="35"/>
      <c r="BB90" s="35"/>
      <c r="BC90" s="35"/>
      <c r="BD90" s="35"/>
      <c r="BE90" s="35"/>
      <c r="BF90" s="35"/>
      <c r="BG90" s="35"/>
      <c r="BH90" s="35"/>
      <c r="BI90" s="35"/>
      <c r="BJ90" s="35"/>
      <c r="BK90" s="35"/>
      <c r="BL90" s="35"/>
      <c r="BM90" s="35"/>
      <c r="BN90" s="35"/>
      <c r="BO90" s="86"/>
    </row>
    <row r="91" spans="1:67" ht="16.5" thickBot="1" x14ac:dyDescent="0.3">
      <c r="A91" s="520">
        <f>IFERROR(VLOOKUP($G$5,'רשימת רשויות'!A:C,3,0),0)</f>
        <v>0</v>
      </c>
      <c r="B91" s="520">
        <f t="shared" si="9"/>
        <v>0</v>
      </c>
      <c r="D91" s="1134"/>
      <c r="E91" s="1137"/>
      <c r="F91" s="587" t="s">
        <v>17</v>
      </c>
      <c r="G91" s="113"/>
      <c r="H91" s="92"/>
      <c r="I91" s="114"/>
      <c r="J91" s="115"/>
      <c r="K91" s="116"/>
      <c r="L91" s="406"/>
      <c r="M91" s="116"/>
      <c r="N91" s="116"/>
      <c r="O91" s="116"/>
      <c r="P91" s="474"/>
      <c r="Q91" s="607"/>
      <c r="R91" s="608"/>
      <c r="S91" s="612"/>
      <c r="T91" s="881"/>
      <c r="U91" s="598"/>
      <c r="V91" s="599"/>
      <c r="W91" s="599"/>
      <c r="X91" s="599"/>
      <c r="Y91" s="879"/>
      <c r="Z91" s="106"/>
      <c r="AI91" s="40"/>
      <c r="BO91" s="86"/>
    </row>
    <row r="92" spans="1:67" ht="47.25" x14ac:dyDescent="0.25">
      <c r="A92" s="520">
        <f>IFERROR(VLOOKUP($G$5,'רשימת רשויות'!A:C,3,0),0)</f>
        <v>0</v>
      </c>
      <c r="B92" s="520">
        <f t="shared" si="9"/>
        <v>0</v>
      </c>
      <c r="D92" s="1134"/>
      <c r="E92" s="1137"/>
      <c r="F92" s="588" t="s">
        <v>2</v>
      </c>
      <c r="G92" s="95" t="s">
        <v>18</v>
      </c>
      <c r="H92" s="95" t="s">
        <v>19</v>
      </c>
      <c r="I92" s="95" t="s">
        <v>20</v>
      </c>
      <c r="J92" s="95" t="s">
        <v>22</v>
      </c>
      <c r="K92" s="96" t="s">
        <v>2314</v>
      </c>
      <c r="L92" s="609"/>
      <c r="M92" s="609"/>
      <c r="N92" s="609"/>
      <c r="O92" s="580"/>
      <c r="P92" s="618" t="s">
        <v>2298</v>
      </c>
      <c r="Q92" s="618" t="s">
        <v>2299</v>
      </c>
      <c r="R92" s="596"/>
      <c r="S92" s="890" t="s">
        <v>2519</v>
      </c>
      <c r="T92" s="890" t="s">
        <v>97</v>
      </c>
      <c r="U92" s="891" t="s">
        <v>2521</v>
      </c>
      <c r="V92" s="892" t="s">
        <v>2520</v>
      </c>
      <c r="W92" s="893" t="s">
        <v>2524</v>
      </c>
      <c r="X92" s="892" t="s">
        <v>2522</v>
      </c>
      <c r="Y92" s="894" t="s">
        <v>2523</v>
      </c>
      <c r="Z92" s="106"/>
      <c r="AC92" s="498" t="s">
        <v>2568</v>
      </c>
      <c r="AD92" s="499" t="s">
        <v>2569</v>
      </c>
      <c r="AF92" s="122"/>
      <c r="AI92" s="40"/>
      <c r="BO92" s="86"/>
    </row>
    <row r="93" spans="1:67" ht="15" customHeight="1" thickBot="1" x14ac:dyDescent="0.3">
      <c r="A93" s="520">
        <f>IFERROR(VLOOKUP($G$5,'רשימת רשויות'!A:C,3,0),0)</f>
        <v>0</v>
      </c>
      <c r="B93" s="520">
        <f t="shared" si="9"/>
        <v>0</v>
      </c>
      <c r="D93" s="1134"/>
      <c r="E93" s="1137"/>
      <c r="F93" s="589" t="s">
        <v>76</v>
      </c>
      <c r="G93" s="117">
        <f>IF(G84="תקין",SUMIF('עלויות כח אדם (6)'!$B$15:$B$3014,'בית ספר - תקצוב לפי מוסד (9)'!$G79,'עלויות כח אדם (6)'!$M$15:$M$3014)-VLOOKUP('בית ספר - תקצוב לפי מוסד (9)'!G79,' איוש משרות (8)'!$C:$H,5,0)-VLOOKUP('בית ספר - תקצוב לפי מוסד (9)'!G79,' איוש משרות (8)'!$C:$H,6,0),0)-Y93</f>
        <v>0</v>
      </c>
      <c r="H93" s="118">
        <f>I81+R88</f>
        <v>0</v>
      </c>
      <c r="I93" s="119">
        <f>IFERROR(SUM(G93)/H93,0)</f>
        <v>0</v>
      </c>
      <c r="J93" s="100">
        <f>MIN(I81+R88,IF(ISNUMBER(G93),G93,0))</f>
        <v>0</v>
      </c>
      <c r="K93" s="120">
        <f>MAX(H93-G93,0)</f>
        <v>0</v>
      </c>
      <c r="L93" s="407"/>
      <c r="M93" s="393"/>
      <c r="N93" s="393"/>
      <c r="O93" s="580"/>
      <c r="P93" s="968">
        <f>IFERROR(IF(SUM(G93)/(I81)&lt;100%,MIN((I81)-SUM(G93),(I81)*0.25),0),0)</f>
        <v>0</v>
      </c>
      <c r="Q93" s="968">
        <f>IF(SUM(G93)-(I81+R88)&gt;0,SUM(G93)-(I81+R88),0)</f>
        <v>0</v>
      </c>
      <c r="R93" s="596" t="s">
        <v>2351</v>
      </c>
      <c r="S93" s="576" t="s">
        <v>2342</v>
      </c>
      <c r="T93" s="599">
        <f>G79</f>
        <v>0</v>
      </c>
      <c r="U93" s="578"/>
      <c r="V93" s="579">
        <f>G93+G94+G95</f>
        <v>0</v>
      </c>
      <c r="W93" s="579">
        <f>U93-V93</f>
        <v>0</v>
      </c>
      <c r="X93" s="579">
        <f>IFERROR(W107*W93/(SUM(W93:W106)),0)</f>
        <v>0</v>
      </c>
      <c r="Y93" s="879">
        <f>SUMIFS(בקרה!$S:$S,בקרה!$D:$D,T93,בקרה!$K:$K,S93)</f>
        <v>0</v>
      </c>
      <c r="Z93" s="121"/>
      <c r="AA93" s="143"/>
      <c r="AB93" s="143"/>
      <c r="AC93" s="504">
        <v>0</v>
      </c>
      <c r="AD93" s="505">
        <f>IFERROR(U93-AC93,0)</f>
        <v>0</v>
      </c>
      <c r="AE93" s="143"/>
      <c r="AI93" s="20"/>
      <c r="BO93" s="86"/>
    </row>
    <row r="94" spans="1:67" ht="15" customHeight="1" thickBot="1" x14ac:dyDescent="0.3">
      <c r="A94" s="520">
        <f>IFERROR(VLOOKUP($G$5,'רשימת רשויות'!A:C,3,0),0)</f>
        <v>0</v>
      </c>
      <c r="B94" s="520">
        <f t="shared" si="9"/>
        <v>0</v>
      </c>
      <c r="D94" s="1134"/>
      <c r="E94" s="1137"/>
      <c r="F94" s="589" t="s">
        <v>44</v>
      </c>
      <c r="G94" s="123">
        <f>IF(G84="תקין",IFERROR(VLOOKUP('בית ספר - תקצוב לפי מוסד (9)'!G79,' איוש משרות (8)'!C:J,7,0),0),0)</f>
        <v>0</v>
      </c>
      <c r="H94" s="124">
        <f>I83+R90+J83</f>
        <v>0</v>
      </c>
      <c r="I94" s="119">
        <f>IFERROR(SUM(G94:G95)/H94,0)</f>
        <v>0</v>
      </c>
      <c r="J94" s="100">
        <f>MIN(R90+I83,IF(ISNUMBER(SUM(G94:G95)),SUM(G94:G95),0))</f>
        <v>0</v>
      </c>
      <c r="K94" s="1139">
        <f>MAX((H94)-(G94+G95),0)</f>
        <v>0</v>
      </c>
      <c r="L94" s="407"/>
      <c r="M94" s="393"/>
      <c r="N94" s="393"/>
      <c r="O94" s="580"/>
      <c r="P94" s="1140"/>
      <c r="Q94" s="1140"/>
      <c r="R94" s="617">
        <f>MAX(MIN(P102-Q102,H102*0.15-G100),0)</f>
        <v>0</v>
      </c>
      <c r="S94" s="576"/>
      <c r="T94" s="599">
        <f>G79</f>
        <v>0</v>
      </c>
      <c r="U94" s="578"/>
      <c r="V94" s="579"/>
      <c r="W94" s="579">
        <f t="shared" ref="W94:W106" si="10">U94-V94</f>
        <v>0</v>
      </c>
      <c r="X94" s="579"/>
      <c r="Y94" s="879"/>
      <c r="Z94" s="121"/>
      <c r="AA94" s="143"/>
      <c r="AB94" s="143"/>
      <c r="AC94" s="504"/>
      <c r="AD94" s="505">
        <f t="shared" ref="AD94:AD100" si="11">IFERROR(U94-AC94,0)</f>
        <v>0</v>
      </c>
      <c r="AE94" s="143"/>
      <c r="AI94" s="20"/>
      <c r="BO94" s="86"/>
    </row>
    <row r="95" spans="1:67" ht="15.75" customHeight="1" x14ac:dyDescent="0.25">
      <c r="A95" s="520">
        <f>IFERROR(VLOOKUP($G$5,'רשימת רשויות'!A:C,3,0),0)</f>
        <v>0</v>
      </c>
      <c r="B95" s="520">
        <f t="shared" si="9"/>
        <v>0</v>
      </c>
      <c r="D95" s="1134"/>
      <c r="E95" s="1137"/>
      <c r="F95" s="589" t="s">
        <v>45</v>
      </c>
      <c r="G95" s="123">
        <f>IF(G84="תקין",IFERROR(VLOOKUP('בית ספר - תקצוב לפי מוסד (9)'!G79,' איוש משרות (8)'!C:J,8,0),0),0)</f>
        <v>0</v>
      </c>
      <c r="H95" s="125"/>
      <c r="I95" s="126"/>
      <c r="J95" s="104"/>
      <c r="K95" s="1139"/>
      <c r="L95" s="407"/>
      <c r="M95" s="393"/>
      <c r="N95" s="393"/>
      <c r="O95" s="580"/>
      <c r="P95" s="1140"/>
      <c r="Q95" s="1140"/>
      <c r="R95" s="596"/>
      <c r="S95" s="576"/>
      <c r="T95" s="599">
        <f>G79</f>
        <v>0</v>
      </c>
      <c r="U95" s="578"/>
      <c r="V95" s="579"/>
      <c r="W95" s="579">
        <f t="shared" si="10"/>
        <v>0</v>
      </c>
      <c r="X95" s="579"/>
      <c r="Y95" s="879"/>
      <c r="Z95" s="121"/>
      <c r="AA95" s="143"/>
      <c r="AB95" s="143"/>
      <c r="AC95" s="504"/>
      <c r="AD95" s="505">
        <f t="shared" si="11"/>
        <v>0</v>
      </c>
      <c r="AE95" s="143"/>
      <c r="AG95" s="55"/>
      <c r="AH95" s="55"/>
      <c r="AI95" s="55"/>
      <c r="AJ95" s="55"/>
      <c r="AK95" s="55"/>
      <c r="BO95" s="86"/>
    </row>
    <row r="96" spans="1:67" ht="15.75" customHeight="1" x14ac:dyDescent="0.25">
      <c r="A96" s="520">
        <f>IFERROR(VLOOKUP($G$5,'רשימת רשויות'!A:C,3,0),0)</f>
        <v>0</v>
      </c>
      <c r="B96" s="520">
        <f t="shared" si="9"/>
        <v>0</v>
      </c>
      <c r="D96" s="1134"/>
      <c r="E96" s="1137"/>
      <c r="F96" s="589" t="s">
        <v>0</v>
      </c>
      <c r="G96" s="117">
        <f>IF(G84="תקין",SUMIFS('דוח הוצאות בפועל (4)'!$E$17:$E$3016,'דוח הוצאות בפועל (4)'!$B$17:$B$3016,'בית ספר - תקצוב לפי מוסד (9)'!$G79,'דוח הוצאות בפועל (4)'!$M$17:$M$3016,"הע"),0)-Y96</f>
        <v>0</v>
      </c>
      <c r="H96" s="127">
        <f>J81</f>
        <v>0</v>
      </c>
      <c r="I96" s="128">
        <f>IFERROR(G96/H96,0)</f>
        <v>0</v>
      </c>
      <c r="J96" s="129">
        <f>MIN(IF(ISNUMBER(G96),G96,0),H96)</f>
        <v>0</v>
      </c>
      <c r="K96" s="120">
        <f>MAX(H96-G96,0)</f>
        <v>0</v>
      </c>
      <c r="L96" s="407"/>
      <c r="M96" s="393"/>
      <c r="N96" s="393"/>
      <c r="O96" s="580"/>
      <c r="P96" s="968">
        <f>MAX(IF(I96&lt;100%,MIN((H96-G96),H96*0.25),0),0)</f>
        <v>0</v>
      </c>
      <c r="Q96" s="619">
        <f>IF(G96-H96&gt;0,G96-H96,0)</f>
        <v>0</v>
      </c>
      <c r="R96" s="596"/>
      <c r="S96" s="610" t="s">
        <v>0</v>
      </c>
      <c r="T96" s="599">
        <f>G79</f>
        <v>0</v>
      </c>
      <c r="U96" s="578"/>
      <c r="V96" s="579">
        <f>G96</f>
        <v>0</v>
      </c>
      <c r="W96" s="579">
        <f t="shared" si="10"/>
        <v>0</v>
      </c>
      <c r="X96" s="579">
        <f>IFERROR(W107*W96/(SUM(W93:W106)),0)</f>
        <v>0</v>
      </c>
      <c r="Y96" s="879">
        <f>SUMIFS(בקרה!$S:$S,בקרה!$D:$D,T96,בקרה!$K:$K,S96)</f>
        <v>0</v>
      </c>
      <c r="Z96" s="121"/>
      <c r="AA96" s="143"/>
      <c r="AB96" s="143"/>
      <c r="AC96" s="504">
        <v>0</v>
      </c>
      <c r="AD96" s="505">
        <f t="shared" si="11"/>
        <v>0</v>
      </c>
      <c r="AE96" s="143"/>
      <c r="AG96" s="55"/>
      <c r="AH96" s="55"/>
      <c r="AI96" s="40"/>
      <c r="AJ96" s="55"/>
      <c r="AK96" s="55"/>
      <c r="BO96" s="86"/>
    </row>
    <row r="97" spans="1:67" s="55" customFormat="1" ht="15.75" customHeight="1" x14ac:dyDescent="0.25">
      <c r="A97" s="520">
        <f>IFERROR(VLOOKUP($G$5,'רשימת רשויות'!A:C,3,0),0)</f>
        <v>0</v>
      </c>
      <c r="B97" s="520">
        <f t="shared" si="9"/>
        <v>0</v>
      </c>
      <c r="C97" s="39"/>
      <c r="D97" s="1134"/>
      <c r="E97" s="1137"/>
      <c r="F97" s="589" t="s">
        <v>93</v>
      </c>
      <c r="G97" s="130">
        <f>IF(G84="תקין",SUMIFS('דוח הוצאות בפועל (4)'!$E$17:$E$3016,'דוח הוצאות בפועל (4)'!$B$17:$B$3016,'בית ספר - תקצוב לפי מוסד (9)'!$G79,'דוח הוצאות בפועל (4)'!$M$17:$M$3016,"אר"),0)-Y97</f>
        <v>0</v>
      </c>
      <c r="H97" s="118">
        <f>$I87</f>
        <v>0</v>
      </c>
      <c r="I97" s="131">
        <f>IFERROR((G97+G98)/H97,0)</f>
        <v>0</v>
      </c>
      <c r="J97" s="100">
        <f>MIN((IF(ISNUMBER(G97),G97,0)+IF(ISNUMBER(G98),G98,0)),H97)</f>
        <v>0</v>
      </c>
      <c r="K97" s="1139">
        <f>MAX((H97)-(G97+G98),0)</f>
        <v>0</v>
      </c>
      <c r="L97" s="407"/>
      <c r="M97" s="393"/>
      <c r="N97" s="393"/>
      <c r="O97" s="602"/>
      <c r="P97" s="1141"/>
      <c r="Q97" s="1142"/>
      <c r="R97" s="596"/>
      <c r="S97" s="610" t="s">
        <v>93</v>
      </c>
      <c r="T97" s="599">
        <f>G79</f>
        <v>0</v>
      </c>
      <c r="U97" s="578"/>
      <c r="V97" s="579">
        <f t="shared" ref="V97:V98" si="12">G97</f>
        <v>0</v>
      </c>
      <c r="W97" s="579">
        <f t="shared" si="10"/>
        <v>0</v>
      </c>
      <c r="X97" s="579">
        <f>IFERROR(W107*W97/(SUM(W93:W106)),0)</f>
        <v>0</v>
      </c>
      <c r="Y97" s="879">
        <f>SUMIFS(בקרה!$S:$S,בקרה!$D:$D,T97,בקרה!$K:$K,S97)</f>
        <v>0</v>
      </c>
      <c r="Z97" s="121"/>
      <c r="AA97" s="143"/>
      <c r="AB97" s="143"/>
      <c r="AC97" s="504">
        <v>0</v>
      </c>
      <c r="AD97" s="505">
        <f t="shared" si="11"/>
        <v>0</v>
      </c>
      <c r="AE97" s="143"/>
      <c r="AJ97" s="22"/>
      <c r="AO97" s="22"/>
      <c r="AP97" s="22"/>
      <c r="AQ97" s="22"/>
      <c r="AR97" s="22"/>
      <c r="AS97" s="22"/>
      <c r="AT97" s="22"/>
      <c r="AU97" s="35"/>
      <c r="AV97" s="35"/>
      <c r="AW97" s="35"/>
      <c r="AX97" s="35"/>
      <c r="AY97" s="35"/>
      <c r="AZ97" s="35"/>
      <c r="BA97" s="35"/>
      <c r="BB97" s="35"/>
      <c r="BC97" s="35"/>
      <c r="BD97" s="35"/>
      <c r="BE97" s="35"/>
      <c r="BF97" s="35"/>
      <c r="BG97" s="35"/>
      <c r="BH97" s="35"/>
      <c r="BI97" s="35"/>
      <c r="BJ97" s="35"/>
      <c r="BK97" s="35"/>
      <c r="BL97" s="35"/>
      <c r="BM97" s="35"/>
      <c r="BN97" s="35"/>
      <c r="BO97" s="86"/>
    </row>
    <row r="98" spans="1:67" s="55" customFormat="1" ht="15.75" customHeight="1" x14ac:dyDescent="0.25">
      <c r="A98" s="520">
        <f>IFERROR(VLOOKUP($G$5,'רשימת רשויות'!A:C,3,0),0)</f>
        <v>0</v>
      </c>
      <c r="B98" s="520">
        <f t="shared" si="9"/>
        <v>0</v>
      </c>
      <c r="C98" s="39"/>
      <c r="D98" s="1134"/>
      <c r="E98" s="1137"/>
      <c r="F98" s="589" t="s">
        <v>46</v>
      </c>
      <c r="G98" s="130">
        <f>IF(G84="תקין",SUMIFS('דוח הוצאות בפועל (4)'!$E$17:$E$3016,'דוח הוצאות בפועל (4)'!$B$17:$B$3016,'בית ספר - תקצוב לפי מוסד (9)'!$G79,'דוח הוצאות בפועל (4)'!$M$17:$M$3016,"מל"),0)-Y98</f>
        <v>0</v>
      </c>
      <c r="H98" s="132"/>
      <c r="I98" s="133"/>
      <c r="J98" s="104"/>
      <c r="K98" s="1139"/>
      <c r="L98" s="407"/>
      <c r="M98" s="393"/>
      <c r="N98" s="393"/>
      <c r="O98" s="602"/>
      <c r="P98" s="1141"/>
      <c r="Q98" s="1142"/>
      <c r="R98" s="596"/>
      <c r="S98" s="610" t="s">
        <v>46</v>
      </c>
      <c r="T98" s="599">
        <f>G79</f>
        <v>0</v>
      </c>
      <c r="U98" s="578"/>
      <c r="V98" s="579">
        <f t="shared" si="12"/>
        <v>0</v>
      </c>
      <c r="W98" s="579">
        <f t="shared" si="10"/>
        <v>0</v>
      </c>
      <c r="X98" s="579">
        <f>IFERROR(W107*W98/(SUM(W93:W106)),0)</f>
        <v>0</v>
      </c>
      <c r="Y98" s="879">
        <f>SUMIFS(בקרה!$S:$S,בקרה!$D:$D,T98,בקרה!$K:$K,S98)</f>
        <v>0</v>
      </c>
      <c r="Z98" s="121"/>
      <c r="AA98" s="143"/>
      <c r="AB98" s="143"/>
      <c r="AC98" s="504">
        <v>0</v>
      </c>
      <c r="AD98" s="505">
        <f t="shared" si="11"/>
        <v>0</v>
      </c>
      <c r="AE98" s="143"/>
      <c r="AJ98" s="22"/>
      <c r="AO98" s="22"/>
      <c r="AP98" s="22"/>
      <c r="AQ98" s="22"/>
      <c r="AR98" s="22"/>
      <c r="AS98" s="22"/>
      <c r="AT98" s="22"/>
      <c r="AU98" s="35"/>
      <c r="AV98" s="35"/>
      <c r="AW98" s="35"/>
      <c r="AX98" s="35"/>
      <c r="AY98" s="35"/>
      <c r="AZ98" s="35"/>
      <c r="BA98" s="35"/>
      <c r="BB98" s="35"/>
      <c r="BC98" s="35"/>
      <c r="BD98" s="35"/>
      <c r="BE98" s="35"/>
      <c r="BF98" s="35"/>
      <c r="BG98" s="35"/>
      <c r="BH98" s="35"/>
      <c r="BI98" s="35"/>
      <c r="BJ98" s="35"/>
      <c r="BK98" s="35"/>
      <c r="BL98" s="35"/>
      <c r="BM98" s="35"/>
      <c r="BN98" s="35"/>
      <c r="BO98" s="86"/>
    </row>
    <row r="99" spans="1:67" s="55" customFormat="1" ht="15" customHeight="1" x14ac:dyDescent="0.25">
      <c r="A99" s="520">
        <f>IFERROR(VLOOKUP($G$5,'רשימת רשויות'!A:C,3,0),0)</f>
        <v>0</v>
      </c>
      <c r="B99" s="520">
        <f t="shared" si="9"/>
        <v>0</v>
      </c>
      <c r="C99" s="39"/>
      <c r="D99" s="1134"/>
      <c r="E99" s="1137"/>
      <c r="F99" s="591" t="s">
        <v>23</v>
      </c>
      <c r="G99" s="134">
        <f>SUM(G93:G98)</f>
        <v>0</v>
      </c>
      <c r="H99" s="135">
        <f>SUM(H93:H98)</f>
        <v>0</v>
      </c>
      <c r="I99" s="128">
        <f>IFERROR(G99/H99,0)</f>
        <v>0</v>
      </c>
      <c r="J99" s="136">
        <f>SUM(J93:J98)</f>
        <v>0</v>
      </c>
      <c r="K99" s="137">
        <f>SUM(K93:K98)</f>
        <v>0</v>
      </c>
      <c r="L99" s="408"/>
      <c r="M99" s="394"/>
      <c r="N99" s="394"/>
      <c r="O99" s="602"/>
      <c r="P99" s="620">
        <f>SUM(P93:P98)</f>
        <v>0</v>
      </c>
      <c r="Q99" s="620">
        <f>SUM(Q93:Q98)</f>
        <v>0</v>
      </c>
      <c r="R99" s="596"/>
      <c r="S99" s="610"/>
      <c r="T99" s="599">
        <f>G79</f>
        <v>0</v>
      </c>
      <c r="U99" s="578"/>
      <c r="V99" s="579"/>
      <c r="W99" s="579">
        <f t="shared" si="10"/>
        <v>0</v>
      </c>
      <c r="X99" s="579"/>
      <c r="Y99" s="879"/>
      <c r="Z99" s="121"/>
      <c r="AA99" s="143"/>
      <c r="AB99" s="143"/>
      <c r="AC99" s="504"/>
      <c r="AD99" s="505">
        <f t="shared" si="11"/>
        <v>0</v>
      </c>
      <c r="AE99" s="143"/>
      <c r="AJ99" s="22"/>
      <c r="AL99" s="22"/>
      <c r="AM99" s="22"/>
      <c r="AN99" s="22"/>
      <c r="AO99" s="22"/>
      <c r="AP99" s="22"/>
      <c r="AQ99" s="22"/>
      <c r="AR99" s="22"/>
      <c r="AS99" s="22"/>
      <c r="AT99" s="22"/>
      <c r="AU99" s="35"/>
      <c r="AV99" s="35"/>
      <c r="AW99" s="35"/>
      <c r="AX99" s="35"/>
      <c r="AY99" s="35"/>
      <c r="AZ99" s="35"/>
      <c r="BA99" s="35"/>
      <c r="BB99" s="35"/>
      <c r="BC99" s="35"/>
      <c r="BD99" s="35"/>
      <c r="BE99" s="35"/>
      <c r="BF99" s="35"/>
      <c r="BG99" s="35"/>
      <c r="BH99" s="35"/>
      <c r="BI99" s="35"/>
      <c r="BJ99" s="35"/>
      <c r="BK99" s="35"/>
      <c r="BL99" s="35"/>
      <c r="BM99" s="35"/>
      <c r="BN99" s="35"/>
      <c r="BO99" s="86"/>
    </row>
    <row r="100" spans="1:67" s="55" customFormat="1" ht="15" customHeight="1" x14ac:dyDescent="0.25">
      <c r="A100" s="520">
        <f>IFERROR(VLOOKUP($G$5,'רשימת רשויות'!A:C,3,0),0)</f>
        <v>0</v>
      </c>
      <c r="B100" s="520">
        <f t="shared" si="9"/>
        <v>0</v>
      </c>
      <c r="C100" s="39"/>
      <c r="D100" s="1134"/>
      <c r="E100" s="1137"/>
      <c r="F100" s="589" t="s">
        <v>3</v>
      </c>
      <c r="G100" s="117">
        <f>IF(G84="תקין",SUMIFS('דוח הוצאות בפועל (4)'!$E$17:$E$3016,'דוח הוצאות בפועל (4)'!$B$17:$B$3016,'בית ספר - תקצוב לפי מוסד (9)'!$G79,'דוח הוצאות בפועל (4)'!$M$17:$M$3016,"ני")+SUMIFS('דוח הוצאות בפועל (4)'!$E$17:$E$3016,'דוח הוצאות בפועל (4)'!$B$17:$B$3016,'בית ספר - תקצוב לפי מוסד (9)'!$G79,'דוח הוצאות בפועל (4)'!$M$17:$M$3016,"על"),0)-Y100</f>
        <v>0</v>
      </c>
      <c r="H100" s="117">
        <f>H81</f>
        <v>0</v>
      </c>
      <c r="I100" s="138">
        <f>IFERROR(G100/H100,0)</f>
        <v>0</v>
      </c>
      <c r="J100" s="117">
        <f>IFERROR(IF(G100/H102&gt;0.15,MIN(H102*0.15,H100),MIN(H100,IF(ISNUMBER(G100),G100,0))),0)</f>
        <v>0</v>
      </c>
      <c r="K100" s="120">
        <f>MAX(H100-G100,0)</f>
        <v>0</v>
      </c>
      <c r="L100" s="407"/>
      <c r="M100" s="393"/>
      <c r="N100" s="393"/>
      <c r="O100" s="602"/>
      <c r="P100" s="620">
        <f>IF(I100&lt;100%,MIN(H100-G100,H100*0.25),0)</f>
        <v>0</v>
      </c>
      <c r="Q100" s="620">
        <f>MAX(MIN(IF(G100-H100&gt;0,G100-H100,0),$H102*0.15-H100-J101),0)</f>
        <v>0</v>
      </c>
      <c r="R100" s="596"/>
      <c r="S100" s="610" t="s">
        <v>3</v>
      </c>
      <c r="T100" s="599">
        <f>G79</f>
        <v>0</v>
      </c>
      <c r="U100" s="578"/>
      <c r="V100" s="579">
        <f t="shared" ref="V100" si="13">G100</f>
        <v>0</v>
      </c>
      <c r="W100" s="579">
        <f t="shared" si="10"/>
        <v>0</v>
      </c>
      <c r="X100" s="579"/>
      <c r="Y100" s="879"/>
      <c r="Z100" s="121"/>
      <c r="AA100" s="143"/>
      <c r="AB100" s="143"/>
      <c r="AC100" s="504">
        <v>0</v>
      </c>
      <c r="AD100" s="505">
        <f t="shared" si="11"/>
        <v>0</v>
      </c>
      <c r="AE100" s="143"/>
      <c r="AG100" s="22"/>
      <c r="AH100" s="22"/>
      <c r="AI100" s="22"/>
      <c r="AJ100" s="22"/>
      <c r="AK100" s="22"/>
      <c r="AL100" s="22"/>
      <c r="AM100" s="22"/>
      <c r="AN100" s="22"/>
      <c r="AO100" s="22"/>
      <c r="AP100" s="22"/>
      <c r="AQ100" s="22"/>
      <c r="AR100" s="22"/>
      <c r="AS100" s="22"/>
      <c r="AT100" s="22"/>
      <c r="AU100" s="35"/>
      <c r="AV100" s="35"/>
      <c r="AW100" s="35"/>
      <c r="AX100" s="35"/>
      <c r="AY100" s="35"/>
      <c r="AZ100" s="35"/>
      <c r="BA100" s="35"/>
      <c r="BB100" s="35"/>
      <c r="BC100" s="35"/>
      <c r="BD100" s="35"/>
      <c r="BE100" s="35"/>
      <c r="BF100" s="35"/>
      <c r="BG100" s="35"/>
      <c r="BH100" s="35"/>
      <c r="BI100" s="35"/>
      <c r="BJ100" s="35"/>
      <c r="BK100" s="35"/>
      <c r="BL100" s="35"/>
      <c r="BM100" s="35"/>
      <c r="BN100" s="35"/>
      <c r="BO100" s="86"/>
    </row>
    <row r="101" spans="1:67" s="55" customFormat="1" ht="15.75" customHeight="1" x14ac:dyDescent="0.25">
      <c r="A101" s="520">
        <f>IFERROR(VLOOKUP($G$5,'רשימת רשויות'!A:C,3,0),0)</f>
        <v>0</v>
      </c>
      <c r="B101" s="520">
        <f t="shared" si="9"/>
        <v>0</v>
      </c>
      <c r="C101" s="39"/>
      <c r="D101" s="1134"/>
      <c r="E101" s="1137"/>
      <c r="F101" s="589" t="s">
        <v>2918</v>
      </c>
      <c r="G101" s="117">
        <f>0.07*(G95+G94)</f>
        <v>0</v>
      </c>
      <c r="H101" s="117">
        <f>H83</f>
        <v>0</v>
      </c>
      <c r="I101" s="138">
        <f>IFERROR(G101/H101,0)</f>
        <v>0</v>
      </c>
      <c r="J101" s="117">
        <f>IFERROR(MIN(0.07*(G94+G95),0.07*I83),0)</f>
        <v>0</v>
      </c>
      <c r="K101" s="120">
        <f>MAX(H101-G101,0)</f>
        <v>0</v>
      </c>
      <c r="L101" s="407"/>
      <c r="M101" s="393"/>
      <c r="N101" s="393"/>
      <c r="O101" s="602"/>
      <c r="P101" s="620"/>
      <c r="Q101" s="619"/>
      <c r="R101" s="596"/>
      <c r="S101" s="611"/>
      <c r="T101" s="599">
        <f>G79</f>
        <v>0</v>
      </c>
      <c r="U101" s="578"/>
      <c r="V101" s="579"/>
      <c r="W101" s="579">
        <f t="shared" si="10"/>
        <v>0</v>
      </c>
      <c r="X101" s="579"/>
      <c r="Y101" s="879"/>
      <c r="Z101" s="121"/>
      <c r="AA101" s="143"/>
      <c r="AB101" s="143"/>
      <c r="AC101" s="504"/>
      <c r="AD101" s="505"/>
      <c r="AE101" s="143"/>
      <c r="AF101" s="140"/>
      <c r="AG101" s="22"/>
      <c r="AH101" s="22"/>
      <c r="AI101" s="22"/>
      <c r="AJ101" s="22"/>
      <c r="AK101" s="22"/>
      <c r="AL101" s="22"/>
      <c r="AM101" s="22"/>
      <c r="AN101" s="22"/>
      <c r="AO101" s="22"/>
      <c r="AP101" s="22"/>
      <c r="AQ101" s="22"/>
      <c r="AR101" s="22"/>
      <c r="AS101" s="22"/>
      <c r="AT101" s="22"/>
      <c r="AU101" s="35"/>
      <c r="AV101" s="35"/>
      <c r="AW101" s="35"/>
      <c r="AX101" s="35"/>
      <c r="AY101" s="35"/>
      <c r="AZ101" s="35"/>
      <c r="BA101" s="35"/>
      <c r="BB101" s="35"/>
      <c r="BC101" s="35"/>
      <c r="BD101" s="35"/>
      <c r="BE101" s="35"/>
      <c r="BF101" s="35"/>
      <c r="BG101" s="35"/>
      <c r="BH101" s="35"/>
      <c r="BI101" s="35"/>
      <c r="BJ101" s="35"/>
      <c r="BK101" s="35"/>
      <c r="BL101" s="35"/>
      <c r="BM101" s="35"/>
      <c r="BN101" s="35"/>
      <c r="BO101" s="86"/>
    </row>
    <row r="102" spans="1:67" ht="15.75" customHeight="1" x14ac:dyDescent="0.25">
      <c r="A102" s="520">
        <f>IFERROR(VLOOKUP($G$5,'רשימת רשויות'!A:C,3,0),0)</f>
        <v>0</v>
      </c>
      <c r="B102" s="520">
        <f t="shared" si="9"/>
        <v>0</v>
      </c>
      <c r="D102" s="1134"/>
      <c r="E102" s="1137"/>
      <c r="F102" s="591" t="s">
        <v>15</v>
      </c>
      <c r="G102" s="134">
        <f>G99+G100+G101</f>
        <v>0</v>
      </c>
      <c r="H102" s="134">
        <f>H99+H100+H101</f>
        <v>0</v>
      </c>
      <c r="I102" s="138">
        <f>IFERROR(G102/H102,0)</f>
        <v>0</v>
      </c>
      <c r="J102" s="139">
        <f>J99+J100+J101</f>
        <v>0</v>
      </c>
      <c r="K102" s="137">
        <f>K100+K99+K101</f>
        <v>0</v>
      </c>
      <c r="L102" s="408"/>
      <c r="M102" s="394"/>
      <c r="N102" s="394"/>
      <c r="O102" s="602"/>
      <c r="P102" s="621">
        <f>SUM(P99:P100)</f>
        <v>0</v>
      </c>
      <c r="Q102" s="622">
        <f>Q99+Q100</f>
        <v>0</v>
      </c>
      <c r="R102" s="596"/>
      <c r="S102" s="611"/>
      <c r="T102" s="599">
        <f>G79</f>
        <v>0</v>
      </c>
      <c r="U102" s="578"/>
      <c r="V102" s="579"/>
      <c r="W102" s="579">
        <f t="shared" si="10"/>
        <v>0</v>
      </c>
      <c r="X102" s="579"/>
      <c r="Y102" s="879"/>
      <c r="Z102" s="106"/>
      <c r="AC102" s="504"/>
      <c r="AD102" s="505"/>
      <c r="AH102" s="143"/>
      <c r="BO102" s="86"/>
    </row>
    <row r="103" spans="1:67" ht="15.75" customHeight="1" x14ac:dyDescent="0.25">
      <c r="A103" s="520">
        <f>IFERROR(VLOOKUP($G$5,'רשימת רשויות'!A:C,3,0),0)</f>
        <v>0</v>
      </c>
      <c r="B103" s="520">
        <f t="shared" si="9"/>
        <v>0</v>
      </c>
      <c r="D103" s="1134"/>
      <c r="E103" s="1137"/>
      <c r="F103" s="589" t="s">
        <v>2261</v>
      </c>
      <c r="G103" s="117">
        <f>IF(G84="תקין",SUMIF('תשלומי הורים ומלגות להורים (5) '!$B$18:$B$517,$G79,'תשלומי הורים ומלגות להורים (5) '!$C$18:$C$517),0)</f>
        <v>0</v>
      </c>
      <c r="H103" s="117">
        <f>(G82+G83)*$G$7</f>
        <v>0</v>
      </c>
      <c r="I103" s="141"/>
      <c r="J103" s="141"/>
      <c r="K103" s="142"/>
      <c r="L103" s="395"/>
      <c r="M103" s="395"/>
      <c r="N103" s="395"/>
      <c r="O103" s="602"/>
      <c r="P103" s="623"/>
      <c r="Q103" s="619"/>
      <c r="R103" s="596"/>
      <c r="S103" s="612"/>
      <c r="T103" s="599">
        <f>G79</f>
        <v>0</v>
      </c>
      <c r="U103" s="578"/>
      <c r="V103" s="579"/>
      <c r="W103" s="579">
        <f t="shared" si="10"/>
        <v>0</v>
      </c>
      <c r="X103" s="579"/>
      <c r="Y103" s="879"/>
      <c r="Z103" s="121"/>
      <c r="AA103" s="143"/>
      <c r="AB103" s="143"/>
      <c r="AC103" s="504"/>
      <c r="AD103" s="505"/>
      <c r="AE103" s="143"/>
      <c r="AF103" s="148"/>
      <c r="BO103" s="86"/>
    </row>
    <row r="104" spans="1:67" ht="15.75" customHeight="1" thickBot="1" x14ac:dyDescent="0.3">
      <c r="A104" s="520">
        <f>IFERROR(VLOOKUP($G$5,'רשימת רשויות'!A:C,3,0),0)</f>
        <v>0</v>
      </c>
      <c r="B104" s="520">
        <f t="shared" si="9"/>
        <v>0</v>
      </c>
      <c r="D104" s="1134"/>
      <c r="E104" s="1137"/>
      <c r="F104" s="592" t="s">
        <v>21</v>
      </c>
      <c r="G104" s="144">
        <f>G102-G103</f>
        <v>0</v>
      </c>
      <c r="H104" s="144">
        <f>H102-H103</f>
        <v>0</v>
      </c>
      <c r="I104" s="145"/>
      <c r="J104" s="145"/>
      <c r="K104" s="146"/>
      <c r="L104" s="396"/>
      <c r="M104" s="396"/>
      <c r="N104" s="396"/>
      <c r="O104" s="602"/>
      <c r="P104" s="619"/>
      <c r="Q104" s="619"/>
      <c r="R104" s="596"/>
      <c r="S104" s="612"/>
      <c r="T104" s="599">
        <f>G79</f>
        <v>0</v>
      </c>
      <c r="U104" s="578"/>
      <c r="V104" s="579"/>
      <c r="W104" s="579">
        <f t="shared" si="10"/>
        <v>0</v>
      </c>
      <c r="X104" s="579"/>
      <c r="Y104" s="879"/>
      <c r="Z104" s="147"/>
      <c r="AA104" s="148"/>
      <c r="AB104" s="148"/>
      <c r="AC104" s="504"/>
      <c r="AD104" s="505"/>
      <c r="AE104" s="148"/>
      <c r="AF104" s="148"/>
      <c r="BO104" s="86"/>
    </row>
    <row r="105" spans="1:67" ht="15.75" customHeight="1" thickBot="1" x14ac:dyDescent="0.3">
      <c r="A105" s="520">
        <f>IFERROR(VLOOKUP($G$5,'רשימת רשויות'!A:C,3,0),0)</f>
        <v>0</v>
      </c>
      <c r="B105" s="520">
        <f t="shared" si="9"/>
        <v>0</v>
      </c>
      <c r="D105" s="1134"/>
      <c r="E105" s="1137"/>
      <c r="F105" s="580"/>
      <c r="G105" s="580"/>
      <c r="H105" s="147"/>
      <c r="I105" s="149" t="s">
        <v>2197</v>
      </c>
      <c r="J105" s="150">
        <f>MAX(MIN(P102,Q102),0)</f>
        <v>0</v>
      </c>
      <c r="K105" s="580"/>
      <c r="L105" s="580"/>
      <c r="M105" s="580"/>
      <c r="N105" s="580"/>
      <c r="O105" s="580"/>
      <c r="P105" s="615" t="s">
        <v>2317</v>
      </c>
      <c r="Q105" s="624">
        <f>SUM(Q106:Q107)</f>
        <v>0</v>
      </c>
      <c r="R105" s="596"/>
      <c r="S105" s="612"/>
      <c r="T105" s="599">
        <f>G79</f>
        <v>0</v>
      </c>
      <c r="U105" s="578"/>
      <c r="V105" s="579"/>
      <c r="W105" s="579">
        <f t="shared" si="10"/>
        <v>0</v>
      </c>
      <c r="X105" s="579"/>
      <c r="Y105" s="879"/>
      <c r="Z105" s="106"/>
      <c r="AC105" s="504"/>
      <c r="AD105" s="505"/>
      <c r="AF105" s="148"/>
      <c r="BO105" s="86"/>
    </row>
    <row r="106" spans="1:67" ht="16.5" thickBot="1" x14ac:dyDescent="0.3">
      <c r="A106" s="520">
        <f>IFERROR(VLOOKUP($G$5,'רשימת רשויות'!A:C,3,0),0)</f>
        <v>0</v>
      </c>
      <c r="B106" s="520">
        <f t="shared" si="9"/>
        <v>0</v>
      </c>
      <c r="D106" s="1134"/>
      <c r="E106" s="1137"/>
      <c r="F106" s="580"/>
      <c r="G106" s="580"/>
      <c r="H106" s="580"/>
      <c r="I106" s="84" t="s">
        <v>2193</v>
      </c>
      <c r="J106" s="515" t="str">
        <f>IFERROR(1-H103/H102,"")</f>
        <v/>
      </c>
      <c r="K106" s="580"/>
      <c r="L106" s="580"/>
      <c r="M106" s="580"/>
      <c r="N106" s="580"/>
      <c r="O106" s="580"/>
      <c r="P106" s="615" t="s">
        <v>417</v>
      </c>
      <c r="Q106" s="616">
        <f>IFERROR(MAX(H104-I107-Q107,0),0)</f>
        <v>0</v>
      </c>
      <c r="R106" s="596"/>
      <c r="S106" s="600"/>
      <c r="T106" s="599">
        <f>G79</f>
        <v>0</v>
      </c>
      <c r="U106" s="578"/>
      <c r="V106" s="579"/>
      <c r="W106" s="579">
        <f t="shared" si="10"/>
        <v>0</v>
      </c>
      <c r="X106" s="579"/>
      <c r="Y106" s="879"/>
      <c r="Z106" s="106"/>
      <c r="AC106" s="504"/>
      <c r="AD106" s="505"/>
      <c r="BO106" s="86"/>
    </row>
    <row r="107" spans="1:67" ht="17.25" thickBot="1" x14ac:dyDescent="0.3">
      <c r="A107" s="520">
        <f>IFERROR(VLOOKUP($G$5,'רשימת רשויות'!A:C,3,0),0)</f>
        <v>0</v>
      </c>
      <c r="B107" s="520">
        <f t="shared" si="9"/>
        <v>0</v>
      </c>
      <c r="D107" s="1134"/>
      <c r="E107" s="1137"/>
      <c r="F107" s="1143" t="s">
        <v>2679</v>
      </c>
      <c r="G107" s="1143"/>
      <c r="H107" s="1143"/>
      <c r="I107" s="722">
        <f>IF(G84="לא תקין","לא קיימת זכאות לתקציב לאור אי איוש משרות רכז ו/או סגן רכז ",IFERROR(J106*(J105+J102),0))</f>
        <v>0</v>
      </c>
      <c r="J107" s="573"/>
      <c r="K107" s="574"/>
      <c r="L107" s="396"/>
      <c r="M107" s="574"/>
      <c r="N107" s="574"/>
      <c r="O107" s="574"/>
      <c r="P107" s="615" t="s">
        <v>2279</v>
      </c>
      <c r="Q107" s="616">
        <f>MAX(IF(AND(G102&gt;H102,I107&lt;H104),H104-I107,0),0)</f>
        <v>0</v>
      </c>
      <c r="R107" s="575"/>
      <c r="S107" s="576" t="s">
        <v>67</v>
      </c>
      <c r="T107" s="577">
        <f>G79</f>
        <v>0</v>
      </c>
      <c r="U107" s="578"/>
      <c r="V107" s="579">
        <f>I107</f>
        <v>0</v>
      </c>
      <c r="W107" s="579">
        <f>IFERROR(U107-V107,0)</f>
        <v>0</v>
      </c>
      <c r="X107" s="579">
        <f>SUM(X93:X106)</f>
        <v>0</v>
      </c>
      <c r="Y107" s="879"/>
      <c r="Z107" s="106"/>
      <c r="AC107" s="506">
        <v>0</v>
      </c>
      <c r="AD107" s="507">
        <f>IFERROR(U107-AC107,0)</f>
        <v>0</v>
      </c>
      <c r="BO107" s="86"/>
    </row>
    <row r="108" spans="1:67" ht="16.5" thickBot="1" x14ac:dyDescent="0.3">
      <c r="A108" s="520">
        <f>IFERROR(VLOOKUP($G$5,'רשימת רשויות'!A:C,3,0),0)</f>
        <v>0</v>
      </c>
      <c r="B108" s="520">
        <f t="shared" si="9"/>
        <v>0</v>
      </c>
      <c r="D108" s="1135"/>
      <c r="E108" s="1138"/>
      <c r="F108" s="1144" t="s">
        <v>2793</v>
      </c>
      <c r="G108" s="1145"/>
      <c r="H108" s="1145"/>
      <c r="I108" s="593">
        <f>IFERROR(IF(G84="תקין",SUMIFS('סייעות רפואיות או אישיות (7)'!$Q$17:Q$384,'סייעות רפואיות או אישיות (7)'!C$17:C$384,G79),0),0)</f>
        <v>0</v>
      </c>
      <c r="J108" s="151"/>
      <c r="K108" s="152"/>
      <c r="L108" s="409"/>
      <c r="M108" s="152"/>
      <c r="N108" s="152"/>
      <c r="O108" s="152"/>
      <c r="P108" s="613"/>
      <c r="Q108" s="614"/>
      <c r="R108" s="475"/>
      <c r="S108" s="489"/>
      <c r="T108" s="490"/>
      <c r="U108" s="491"/>
      <c r="V108" s="492"/>
      <c r="W108" s="492"/>
      <c r="X108" s="492"/>
      <c r="Y108" s="880"/>
      <c r="Z108" s="153"/>
      <c r="AC108" s="581"/>
      <c r="AD108" s="582"/>
      <c r="BO108" s="86"/>
    </row>
    <row r="109" spans="1:67" ht="34.5" thickBot="1" x14ac:dyDescent="0.55000000000000004">
      <c r="A109" s="520">
        <f>IFERROR(VLOOKUP($G$5,'רשימת רשויות'!A:C,3,0),0)</f>
        <v>0</v>
      </c>
      <c r="B109" s="520">
        <f t="shared" si="9"/>
        <v>0</v>
      </c>
      <c r="E109" s="154"/>
      <c r="I109" s="143"/>
      <c r="J109" s="148"/>
      <c r="O109" s="148"/>
      <c r="T109" s="481"/>
      <c r="BO109" s="86"/>
    </row>
    <row r="110" spans="1:67" s="20" customFormat="1" ht="16.5" customHeight="1" thickBot="1" x14ac:dyDescent="0.3">
      <c r="A110" s="520">
        <f>IFERROR(VLOOKUP($G$5,'רשימת רשויות'!A:C,3,0),0)</f>
        <v>0</v>
      </c>
      <c r="B110" s="520">
        <f t="shared" si="9"/>
        <v>0</v>
      </c>
      <c r="C110" s="39"/>
      <c r="D110" s="1133">
        <f>D79+1</f>
        <v>4</v>
      </c>
      <c r="E110" s="1136" t="str">
        <f>IFERROR(CONCATENATE("בית הספר ",VLOOKUP(G110,'מצבת והרשמה (2)'!$C$21:$D$520,2,0)," - ",$G$5),"")</f>
        <v>בית הספר המוסד לא קיים - 0</v>
      </c>
      <c r="F110" s="720" t="s">
        <v>146</v>
      </c>
      <c r="G110" s="721">
        <f>IFERROR(VLOOKUP(D:D,'דוח ביצוע (3)'!$A$21:$C$900,2,0),0)</f>
        <v>0</v>
      </c>
      <c r="H110" s="79"/>
      <c r="I110" s="80" t="s">
        <v>150</v>
      </c>
      <c r="J110" s="80"/>
      <c r="K110" s="81"/>
      <c r="L110" s="392"/>
      <c r="M110" s="392"/>
      <c r="N110" s="392"/>
      <c r="O110" s="82"/>
      <c r="P110" s="470"/>
      <c r="Q110" s="471"/>
      <c r="R110" s="472"/>
      <c r="S110" s="883"/>
      <c r="T110" s="884"/>
      <c r="U110" s="486"/>
      <c r="V110" s="487"/>
      <c r="W110" s="487"/>
      <c r="X110" s="487"/>
      <c r="Y110" s="885"/>
      <c r="Z110" s="83"/>
      <c r="AC110" s="502"/>
      <c r="AD110" s="503"/>
      <c r="AO110" s="22"/>
      <c r="AP110" s="22"/>
      <c r="AQ110" s="22"/>
      <c r="AR110" s="22"/>
      <c r="AS110" s="22"/>
      <c r="AT110" s="22"/>
      <c r="AU110" s="35"/>
      <c r="AV110" s="35"/>
      <c r="AW110" s="35"/>
      <c r="AX110" s="35"/>
      <c r="AY110" s="35"/>
      <c r="AZ110" s="35"/>
      <c r="BA110" s="35"/>
      <c r="BB110" s="35"/>
      <c r="BC110" s="35"/>
      <c r="BD110" s="35"/>
      <c r="BE110" s="35"/>
      <c r="BF110" s="35"/>
      <c r="BG110" s="35"/>
      <c r="BH110" s="35"/>
      <c r="BI110" s="35"/>
      <c r="BJ110" s="35"/>
      <c r="BK110" s="35"/>
      <c r="BL110" s="35"/>
      <c r="BM110" s="35"/>
      <c r="BN110" s="35"/>
      <c r="BO110" s="78"/>
    </row>
    <row r="111" spans="1:67" s="20" customFormat="1" ht="16.5" thickBot="1" x14ac:dyDescent="0.3">
      <c r="A111" s="520">
        <f>IFERROR(VLOOKUP($G$5,'רשימת רשויות'!A:C,3,0),0)</f>
        <v>0</v>
      </c>
      <c r="B111" s="520">
        <f t="shared" si="9"/>
        <v>0</v>
      </c>
      <c r="C111" s="39"/>
      <c r="D111" s="1134"/>
      <c r="E111" s="1137"/>
      <c r="F111" s="583" t="s">
        <v>145</v>
      </c>
      <c r="G111" s="516" t="str">
        <f>IFERROR(IF((G113+G114)=0,"",IF(VLOOKUP(G110,'דוח ביצוע (3)'!$B$21:$K$900,5,0)&gt;149,"גדול",IF(AND(VLOOKUP(G110,'דוח ביצוע (3)'!$B$21:$K$900,5,0)&gt;0,VLOOKUP(G110,'דוח ביצוע (3)'!$B$21:$K$900,5,0)&lt;150),"קטן",0))),"")</f>
        <v/>
      </c>
      <c r="H111" s="723" t="s">
        <v>88</v>
      </c>
      <c r="I111" s="723" t="s">
        <v>13</v>
      </c>
      <c r="J111" s="725" t="s">
        <v>14</v>
      </c>
      <c r="K111" s="724" t="s">
        <v>94</v>
      </c>
      <c r="L111" s="594"/>
      <c r="M111" s="420" t="s">
        <v>2584</v>
      </c>
      <c r="N111" s="397" t="s">
        <v>413</v>
      </c>
      <c r="O111" s="398" t="s">
        <v>52</v>
      </c>
      <c r="P111" s="595"/>
      <c r="Q111" s="595"/>
      <c r="R111" s="596"/>
      <c r="S111" s="610"/>
      <c r="T111" s="881"/>
      <c r="U111" s="598"/>
      <c r="V111" s="599"/>
      <c r="W111" s="599"/>
      <c r="X111" s="599"/>
      <c r="Y111" s="879"/>
      <c r="Z111" s="85"/>
      <c r="AC111" s="493"/>
      <c r="AD111" s="495"/>
      <c r="AO111" s="22"/>
      <c r="AP111" s="22"/>
      <c r="AQ111" s="22"/>
      <c r="AR111" s="22"/>
      <c r="AS111" s="22"/>
      <c r="AT111" s="22"/>
      <c r="AU111" s="35"/>
      <c r="AV111" s="35"/>
      <c r="AW111" s="35"/>
      <c r="AX111" s="35"/>
      <c r="AY111" s="35"/>
      <c r="AZ111" s="35"/>
      <c r="BA111" s="35"/>
      <c r="BB111" s="35"/>
      <c r="BC111" s="35"/>
      <c r="BD111" s="35"/>
      <c r="BE111" s="35"/>
      <c r="BF111" s="35"/>
      <c r="BG111" s="35"/>
      <c r="BH111" s="35"/>
      <c r="BI111" s="35"/>
      <c r="BJ111" s="35"/>
      <c r="BK111" s="35"/>
      <c r="BL111" s="35"/>
      <c r="BM111" s="35"/>
      <c r="BN111" s="35"/>
      <c r="BO111" s="78"/>
    </row>
    <row r="112" spans="1:67" s="20" customFormat="1" ht="15.75" customHeight="1" thickBot="1" x14ac:dyDescent="0.3">
      <c r="A112" s="520">
        <f>IFERROR(VLOOKUP($G$5,'רשימת רשויות'!A:C,3,0),0)</f>
        <v>0</v>
      </c>
      <c r="B112" s="520">
        <f t="shared" si="9"/>
        <v>0</v>
      </c>
      <c r="C112" s="39"/>
      <c r="D112" s="1134"/>
      <c r="E112" s="1137"/>
      <c r="F112" s="584" t="s">
        <v>144</v>
      </c>
      <c r="G112" s="87">
        <f>IF(G115="תקין",IFERROR(VLOOKUP($G110,'דוח ביצוע (3)'!$B$21:$Q$900,12,0),0),0)</f>
        <v>0</v>
      </c>
      <c r="H112" s="88">
        <f>IFERROR(G113*$AH$6+G114*$AH$7,0)</f>
        <v>0</v>
      </c>
      <c r="I112" s="88">
        <f>IFERROR(G113*$AI$6+G114*$AI$7,0)</f>
        <v>0</v>
      </c>
      <c r="J112" s="88">
        <f>IFERROR(G113*$AJ$6+G114*$AJ$7,0)</f>
        <v>0</v>
      </c>
      <c r="K112" s="88">
        <f>IFERROR(G113*$AK$6+G114*$AK$7,0)</f>
        <v>0</v>
      </c>
      <c r="L112" s="405"/>
      <c r="M112" s="399" t="s">
        <v>427</v>
      </c>
      <c r="N112" s="400" t="str">
        <f>IFERROR(VLOOKUP($G110,'דוח ביצוע (3)'!$B:$AE,28,0),"")</f>
        <v/>
      </c>
      <c r="O112" s="89" t="str">
        <f>IFERROR(VLOOKUP($G110,'דוח ביצוע (3)'!B:AE,29,0),"")</f>
        <v/>
      </c>
      <c r="P112" s="595"/>
      <c r="Q112" s="595"/>
      <c r="R112" s="596"/>
      <c r="S112" s="610"/>
      <c r="T112" s="881"/>
      <c r="U112" s="598"/>
      <c r="V112" s="599"/>
      <c r="W112" s="599"/>
      <c r="X112" s="599"/>
      <c r="Y112" s="879"/>
      <c r="Z112" s="85"/>
      <c r="AC112" s="493"/>
      <c r="AD112" s="495"/>
      <c r="AO112" s="22"/>
      <c r="AP112" s="22"/>
      <c r="AQ112" s="22"/>
      <c r="AR112" s="22"/>
      <c r="AS112" s="22"/>
      <c r="AT112" s="22"/>
      <c r="AU112" s="35"/>
      <c r="AV112" s="35"/>
      <c r="AW112" s="35"/>
      <c r="AX112" s="35"/>
      <c r="AY112" s="35"/>
      <c r="AZ112" s="35"/>
      <c r="BA112" s="35"/>
      <c r="BB112" s="35"/>
      <c r="BC112" s="35"/>
      <c r="BD112" s="35"/>
      <c r="BE112" s="35"/>
      <c r="BF112" s="35"/>
      <c r="BG112" s="35"/>
      <c r="BH112" s="35"/>
      <c r="BI112" s="35"/>
      <c r="BJ112" s="35"/>
      <c r="BK112" s="35"/>
      <c r="BL112" s="35"/>
      <c r="BM112" s="35"/>
      <c r="BN112" s="35"/>
      <c r="BO112" s="78"/>
    </row>
    <row r="113" spans="1:67" s="20" customFormat="1" ht="32.25" thickBot="1" x14ac:dyDescent="0.3">
      <c r="A113" s="520">
        <f>IFERROR(VLOOKUP($G$5,'רשימת רשויות'!A:C,3,0),0)</f>
        <v>0</v>
      </c>
      <c r="B113" s="520">
        <f t="shared" si="9"/>
        <v>0</v>
      </c>
      <c r="C113" s="39"/>
      <c r="D113" s="1134"/>
      <c r="E113" s="1137"/>
      <c r="F113" s="585" t="s">
        <v>2195</v>
      </c>
      <c r="G113" s="89">
        <f>IF(G115="תקין",MAX(N115,0),0)</f>
        <v>0</v>
      </c>
      <c r="H113" s="725" t="s">
        <v>151</v>
      </c>
      <c r="I113" s="725" t="s">
        <v>91</v>
      </c>
      <c r="J113" s="970" t="s">
        <v>3396</v>
      </c>
      <c r="K113" s="601"/>
      <c r="L113" s="601"/>
      <c r="M113" s="983" t="s">
        <v>2585</v>
      </c>
      <c r="N113" s="400" t="str">
        <f>IFERROR(G112/15*N112*1.25,"")</f>
        <v/>
      </c>
      <c r="O113" s="89" t="str">
        <f>IFERROR(G112/15*O112*1.25,"")</f>
        <v/>
      </c>
      <c r="P113" s="595"/>
      <c r="Q113" s="595"/>
      <c r="R113" s="596"/>
      <c r="S113" s="610"/>
      <c r="T113" s="881"/>
      <c r="U113" s="598"/>
      <c r="V113" s="599"/>
      <c r="W113" s="599"/>
      <c r="X113" s="599"/>
      <c r="Y113" s="879"/>
      <c r="Z113" s="85"/>
      <c r="AC113" s="493"/>
      <c r="AD113" s="495"/>
      <c r="AG113" s="22"/>
      <c r="AH113" s="55"/>
      <c r="AI113" s="55"/>
      <c r="AJ113" s="55"/>
      <c r="AK113" s="55"/>
      <c r="AO113" s="22"/>
      <c r="AP113" s="22"/>
      <c r="AQ113" s="22"/>
      <c r="AR113" s="22"/>
      <c r="AS113" s="22"/>
      <c r="AT113" s="22"/>
      <c r="AU113" s="35"/>
      <c r="AV113" s="35"/>
      <c r="AW113" s="35"/>
      <c r="AX113" s="35"/>
      <c r="AY113" s="35"/>
      <c r="AZ113" s="35"/>
      <c r="BA113" s="35"/>
      <c r="BB113" s="35"/>
      <c r="BC113" s="35"/>
      <c r="BD113" s="35"/>
      <c r="BE113" s="35"/>
      <c r="BF113" s="35"/>
      <c r="BG113" s="35"/>
      <c r="BH113" s="35"/>
      <c r="BI113" s="35"/>
      <c r="BJ113" s="35"/>
      <c r="BK113" s="35"/>
      <c r="BL113" s="35"/>
      <c r="BM113" s="35"/>
      <c r="BN113" s="35"/>
      <c r="BO113" s="86"/>
    </row>
    <row r="114" spans="1:67" s="20" customFormat="1" ht="16.5" thickBot="1" x14ac:dyDescent="0.3">
      <c r="A114" s="520">
        <f>IFERROR(VLOOKUP($G$5,'רשימת רשויות'!A:C,3,0),0)</f>
        <v>0</v>
      </c>
      <c r="B114" s="520">
        <f t="shared" si="9"/>
        <v>0</v>
      </c>
      <c r="C114" s="39"/>
      <c r="D114" s="1134"/>
      <c r="E114" s="1137"/>
      <c r="F114" s="585" t="s">
        <v>2196</v>
      </c>
      <c r="G114" s="89">
        <f>IF(G115="תקין",MAX(O115,0),0)</f>
        <v>0</v>
      </c>
      <c r="H114" s="88">
        <f>(IFERROR(IF((G113+G114)=0,0,IF(G111="קטן",G112*$AH$10,G112*$AH$11)),0))+(IFERROR(IF((G113+G114)=0,0,VLOOKUP(G110,'דוח ביצוע (3)'!$B:$AH,33,0)),0))</f>
        <v>0</v>
      </c>
      <c r="I114" s="88">
        <f>IFERROR(IF((G113+G114)=0,0,IF(G111="קטן",G112*$AI$10,G112*$AI$11)),0)</f>
        <v>0</v>
      </c>
      <c r="J114" s="88">
        <f>IFERROR(IF((G113+G114)=0,0,VLOOKUP(G110,'דוח ביצוע (3)'!$B:$AH,32,0)),0)</f>
        <v>0</v>
      </c>
      <c r="K114" s="90"/>
      <c r="L114" s="90"/>
      <c r="M114" s="399" t="s">
        <v>412</v>
      </c>
      <c r="N114" s="400">
        <f>IFERROR(VLOOKUP($G110,'דוח ביצוע (3)'!$B$21:$U$500,18,0),0)</f>
        <v>0</v>
      </c>
      <c r="O114" s="401">
        <f>IFERROR(VLOOKUP($G110,'דוח ביצוע (3)'!$B$21:$U$500,19,0),0)</f>
        <v>0</v>
      </c>
      <c r="P114" s="595"/>
      <c r="Q114" s="595"/>
      <c r="R114" s="596"/>
      <c r="S114" s="610"/>
      <c r="T114" s="881"/>
      <c r="U114" s="598"/>
      <c r="V114" s="599"/>
      <c r="W114" s="599"/>
      <c r="X114" s="599"/>
      <c r="Y114" s="879"/>
      <c r="Z114" s="85"/>
      <c r="AC114" s="493"/>
      <c r="AD114" s="495"/>
      <c r="AG114" s="22"/>
      <c r="AH114" s="55"/>
      <c r="AI114" s="55"/>
      <c r="AJ114" s="55"/>
      <c r="AK114" s="55"/>
      <c r="AO114" s="22"/>
      <c r="AP114" s="22"/>
      <c r="AQ114" s="22"/>
      <c r="AR114" s="22"/>
      <c r="AS114" s="22"/>
      <c r="AT114" s="22"/>
      <c r="AU114" s="35"/>
      <c r="AV114" s="35"/>
      <c r="AW114" s="35"/>
      <c r="AX114" s="35"/>
      <c r="AY114" s="35"/>
      <c r="AZ114" s="35"/>
      <c r="BA114" s="35"/>
      <c r="BB114" s="35"/>
      <c r="BC114" s="35"/>
      <c r="BD114" s="35"/>
      <c r="BE114" s="35"/>
      <c r="BF114" s="35"/>
      <c r="BG114" s="35"/>
      <c r="BH114" s="35"/>
      <c r="BI114" s="35"/>
      <c r="BJ114" s="35"/>
      <c r="BK114" s="35"/>
      <c r="BL114" s="35"/>
      <c r="BM114" s="35"/>
      <c r="BN114" s="35"/>
      <c r="BO114" s="86"/>
    </row>
    <row r="115" spans="1:67" s="20" customFormat="1" ht="16.5" thickBot="1" x14ac:dyDescent="0.3">
      <c r="A115" s="520">
        <f>IFERROR(VLOOKUP($G$5,'רשימת רשויות'!A:C,3,0),0)</f>
        <v>0</v>
      </c>
      <c r="B115" s="520">
        <f t="shared" si="9"/>
        <v>0</v>
      </c>
      <c r="C115" s="39"/>
      <c r="D115" s="1134"/>
      <c r="E115" s="1137"/>
      <c r="F115" s="586" t="s">
        <v>2355</v>
      </c>
      <c r="G115" s="514">
        <f>IFERROR(IF(VLOOKUP('בית ספר - תקצוב לפי מוסד (9)'!G110,' איוש משרות (8)'!$C:$K,9,0)="תקין","תקין","לא תקין"),0)</f>
        <v>0</v>
      </c>
      <c r="H115" s="91"/>
      <c r="I115" s="91"/>
      <c r="J115" s="91"/>
      <c r="K115" s="90"/>
      <c r="L115" s="90"/>
      <c r="M115" s="402" t="s">
        <v>2586</v>
      </c>
      <c r="N115" s="403">
        <f>IFERROR(MIN(N113,N114),0)</f>
        <v>0</v>
      </c>
      <c r="O115" s="404">
        <f>IFERROR(MIN(O113,O114),0)</f>
        <v>0</v>
      </c>
      <c r="P115" s="595"/>
      <c r="Q115" s="595"/>
      <c r="R115" s="596"/>
      <c r="S115" s="610"/>
      <c r="T115" s="881"/>
      <c r="U115" s="598"/>
      <c r="V115" s="599"/>
      <c r="W115" s="599"/>
      <c r="X115" s="599"/>
      <c r="Y115" s="879"/>
      <c r="Z115" s="85"/>
      <c r="AC115" s="493"/>
      <c r="AD115" s="495"/>
      <c r="AG115" s="94"/>
      <c r="AH115" s="40"/>
      <c r="AI115" s="40"/>
      <c r="AJ115" s="40"/>
      <c r="AK115" s="40"/>
      <c r="AO115" s="22"/>
      <c r="AP115" s="22"/>
      <c r="AQ115" s="22"/>
      <c r="AR115" s="22"/>
      <c r="AS115" s="22"/>
      <c r="AT115" s="22"/>
      <c r="AU115" s="35"/>
      <c r="AV115" s="35"/>
      <c r="AW115" s="35"/>
      <c r="AX115" s="35"/>
      <c r="AY115" s="35"/>
      <c r="AZ115" s="35"/>
      <c r="BA115" s="35"/>
      <c r="BB115" s="35"/>
      <c r="BC115" s="35"/>
      <c r="BD115" s="35"/>
      <c r="BE115" s="35"/>
      <c r="BF115" s="35"/>
      <c r="BG115" s="35"/>
      <c r="BH115" s="35"/>
      <c r="BI115" s="35"/>
      <c r="BJ115" s="35"/>
      <c r="BK115" s="35"/>
      <c r="BL115" s="35"/>
      <c r="BM115" s="35"/>
      <c r="BN115" s="35"/>
      <c r="BO115" s="86"/>
    </row>
    <row r="116" spans="1:67" s="55" customFormat="1" ht="37.15" customHeight="1" thickBot="1" x14ac:dyDescent="0.3">
      <c r="A116" s="520">
        <f>IFERROR(VLOOKUP($G$5,'רשימת רשויות'!A:C,3,0),0)</f>
        <v>0</v>
      </c>
      <c r="B116" s="520">
        <f t="shared" si="9"/>
        <v>0</v>
      </c>
      <c r="C116" s="39"/>
      <c r="D116" s="1134"/>
      <c r="E116" s="1137"/>
      <c r="F116" s="587" t="s">
        <v>142</v>
      </c>
      <c r="G116" s="92"/>
      <c r="H116" s="92"/>
      <c r="I116" s="92"/>
      <c r="J116" s="92"/>
      <c r="K116" s="602"/>
      <c r="L116" s="602"/>
      <c r="M116" s="602"/>
      <c r="N116" s="602"/>
      <c r="O116" s="602"/>
      <c r="P116" s="595"/>
      <c r="Q116" s="595"/>
      <c r="R116" s="596"/>
      <c r="S116" s="610"/>
      <c r="T116" s="881"/>
      <c r="U116" s="598"/>
      <c r="V116" s="599"/>
      <c r="W116" s="599"/>
      <c r="X116" s="599"/>
      <c r="Y116" s="879"/>
      <c r="Z116" s="93"/>
      <c r="AC116" s="493"/>
      <c r="AD116" s="495"/>
      <c r="AF116" s="22"/>
      <c r="AG116" s="98"/>
      <c r="AH116" s="98"/>
      <c r="AI116" s="40"/>
      <c r="AJ116" s="40"/>
      <c r="AK116" s="40"/>
      <c r="AO116" s="22"/>
      <c r="AP116" s="22"/>
      <c r="AQ116" s="22"/>
      <c r="AR116" s="22"/>
      <c r="AS116" s="22"/>
      <c r="AT116" s="22"/>
      <c r="AU116" s="35"/>
      <c r="AV116" s="35"/>
      <c r="AW116" s="35"/>
      <c r="AX116" s="35"/>
      <c r="AY116" s="35"/>
      <c r="AZ116" s="35"/>
      <c r="BA116" s="35"/>
      <c r="BB116" s="35"/>
      <c r="BC116" s="35"/>
      <c r="BD116" s="35"/>
      <c r="BE116" s="35"/>
      <c r="BF116" s="35"/>
      <c r="BG116" s="35"/>
      <c r="BH116" s="35"/>
      <c r="BI116" s="35"/>
      <c r="BJ116" s="35"/>
      <c r="BK116" s="35"/>
      <c r="BL116" s="35"/>
      <c r="BM116" s="35"/>
      <c r="BN116" s="35"/>
      <c r="BO116" s="86"/>
    </row>
    <row r="117" spans="1:67" s="40" customFormat="1" ht="31.5" x14ac:dyDescent="0.25">
      <c r="A117" s="520">
        <f>IFERROR(VLOOKUP($G$5,'רשימת רשויות'!A:C,3,0),0)</f>
        <v>0</v>
      </c>
      <c r="B117" s="520">
        <f t="shared" si="9"/>
        <v>0</v>
      </c>
      <c r="C117" s="39"/>
      <c r="D117" s="1134"/>
      <c r="E117" s="1137"/>
      <c r="F117" s="588" t="s">
        <v>94</v>
      </c>
      <c r="G117" s="95" t="s">
        <v>18</v>
      </c>
      <c r="H117" s="95" t="s">
        <v>19</v>
      </c>
      <c r="I117" s="95" t="s">
        <v>138</v>
      </c>
      <c r="J117" s="96" t="s">
        <v>139</v>
      </c>
      <c r="K117" s="603"/>
      <c r="L117" s="603"/>
      <c r="M117" s="603"/>
      <c r="N117" s="603"/>
      <c r="O117" s="603"/>
      <c r="P117" s="604"/>
      <c r="Q117" s="604"/>
      <c r="R117" s="596"/>
      <c r="S117" s="610"/>
      <c r="T117" s="881"/>
      <c r="U117" s="598"/>
      <c r="V117" s="599"/>
      <c r="W117" s="599"/>
      <c r="X117" s="599"/>
      <c r="Y117" s="879"/>
      <c r="Z117" s="97"/>
      <c r="AA117" s="94"/>
      <c r="AB117" s="94"/>
      <c r="AC117" s="493"/>
      <c r="AD117" s="495"/>
      <c r="AE117" s="94"/>
      <c r="AG117" s="98"/>
      <c r="AH117" s="98"/>
      <c r="AO117" s="22"/>
      <c r="AP117" s="22"/>
      <c r="AQ117" s="22"/>
      <c r="AR117" s="22"/>
      <c r="AS117" s="22"/>
      <c r="AT117" s="22"/>
      <c r="AU117" s="35"/>
      <c r="AV117" s="35"/>
      <c r="AW117" s="35"/>
      <c r="AX117" s="35"/>
      <c r="AY117" s="35"/>
      <c r="AZ117" s="35"/>
      <c r="BA117" s="35"/>
      <c r="BB117" s="35"/>
      <c r="BC117" s="35"/>
      <c r="BD117" s="35"/>
      <c r="BE117" s="35"/>
      <c r="BF117" s="35"/>
      <c r="BG117" s="35"/>
      <c r="BH117" s="35"/>
      <c r="BI117" s="35"/>
      <c r="BJ117" s="35"/>
      <c r="BK117" s="35"/>
      <c r="BL117" s="35"/>
      <c r="BM117" s="35"/>
      <c r="BN117" s="35"/>
      <c r="BO117" s="86"/>
    </row>
    <row r="118" spans="1:67" s="40" customFormat="1" ht="15.75" customHeight="1" thickBot="1" x14ac:dyDescent="0.3">
      <c r="A118" s="520">
        <f>IFERROR(VLOOKUP($G$5,'רשימת רשויות'!A:C,3,0),0)</f>
        <v>0</v>
      </c>
      <c r="B118" s="520">
        <f t="shared" si="9"/>
        <v>0</v>
      </c>
      <c r="C118" s="39"/>
      <c r="D118" s="1134"/>
      <c r="E118" s="1137"/>
      <c r="F118" s="589" t="s">
        <v>2280</v>
      </c>
      <c r="G118" s="99">
        <f>+G129</f>
        <v>0</v>
      </c>
      <c r="H118" s="100">
        <f>K112</f>
        <v>0</v>
      </c>
      <c r="I118" s="100">
        <f>H118-I120</f>
        <v>0</v>
      </c>
      <c r="J118" s="101">
        <f>IFERROR(I118/H118,0)</f>
        <v>0</v>
      </c>
      <c r="K118" s="603"/>
      <c r="L118" s="603"/>
      <c r="M118" s="603"/>
      <c r="N118" s="603"/>
      <c r="O118" s="603"/>
      <c r="P118" s="605"/>
      <c r="Q118" s="604"/>
      <c r="R118" s="606" t="s">
        <v>157</v>
      </c>
      <c r="S118" s="611"/>
      <c r="T118" s="881"/>
      <c r="U118" s="598"/>
      <c r="V118" s="599"/>
      <c r="W118" s="599"/>
      <c r="X118" s="599"/>
      <c r="Y118" s="879"/>
      <c r="Z118" s="102"/>
      <c r="AA118" s="122"/>
      <c r="AB118" s="122"/>
      <c r="AC118" s="493"/>
      <c r="AD118" s="495"/>
      <c r="AE118" s="122"/>
      <c r="AF118" s="22"/>
      <c r="AG118" s="98"/>
      <c r="AH118" s="98"/>
      <c r="AI118" s="20"/>
      <c r="AO118" s="22"/>
      <c r="AP118" s="22"/>
      <c r="AQ118" s="22"/>
      <c r="AR118" s="22"/>
      <c r="AS118" s="22"/>
      <c r="AT118" s="22"/>
      <c r="AU118" s="35"/>
      <c r="AV118" s="35"/>
      <c r="AW118" s="35"/>
      <c r="AX118" s="35"/>
      <c r="AY118" s="35"/>
      <c r="AZ118" s="35"/>
      <c r="BA118" s="35"/>
      <c r="BB118" s="35"/>
      <c r="BC118" s="35"/>
      <c r="BD118" s="35"/>
      <c r="BE118" s="35"/>
      <c r="BF118" s="35"/>
      <c r="BG118" s="35"/>
      <c r="BH118" s="35"/>
      <c r="BI118" s="35"/>
      <c r="BJ118" s="35"/>
      <c r="BK118" s="35"/>
      <c r="BL118" s="35"/>
      <c r="BM118" s="35"/>
      <c r="BN118" s="35"/>
      <c r="BO118" s="86"/>
    </row>
    <row r="119" spans="1:67" s="40" customFormat="1" ht="15.75" customHeight="1" thickBot="1" x14ac:dyDescent="0.3">
      <c r="A119" s="520">
        <f>IFERROR(VLOOKUP($G$5,'רשימת רשויות'!A:C,3,0),0)</f>
        <v>0</v>
      </c>
      <c r="B119" s="520">
        <f t="shared" si="9"/>
        <v>0</v>
      </c>
      <c r="C119" s="39"/>
      <c r="D119" s="1134"/>
      <c r="E119" s="1137"/>
      <c r="F119" s="589" t="s">
        <v>2281</v>
      </c>
      <c r="G119" s="99">
        <f>+G128</f>
        <v>0</v>
      </c>
      <c r="H119" s="103"/>
      <c r="I119" s="104"/>
      <c r="J119" s="105"/>
      <c r="K119" s="603"/>
      <c r="L119" s="603"/>
      <c r="M119" s="603"/>
      <c r="N119" s="603"/>
      <c r="O119" s="603"/>
      <c r="P119" s="605"/>
      <c r="Q119" s="604"/>
      <c r="R119" s="473">
        <f>I120-R121</f>
        <v>0</v>
      </c>
      <c r="S119" s="611"/>
      <c r="T119" s="881"/>
      <c r="U119" s="598"/>
      <c r="V119" s="599"/>
      <c r="W119" s="599"/>
      <c r="X119" s="599"/>
      <c r="Y119" s="879"/>
      <c r="Z119" s="106"/>
      <c r="AA119" s="22"/>
      <c r="AB119" s="22"/>
      <c r="AC119" s="493"/>
      <c r="AD119" s="495"/>
      <c r="AE119" s="22"/>
      <c r="AF119" s="22"/>
      <c r="AG119" s="98"/>
      <c r="AH119" s="98"/>
      <c r="AI119" s="20"/>
      <c r="AO119" s="22"/>
      <c r="AP119" s="22"/>
      <c r="AQ119" s="22"/>
      <c r="AR119" s="22"/>
      <c r="AS119" s="22"/>
      <c r="AT119" s="22"/>
      <c r="AU119" s="35"/>
      <c r="AV119" s="35"/>
      <c r="AW119" s="35"/>
      <c r="AX119" s="35"/>
      <c r="AY119" s="35"/>
      <c r="AZ119" s="35"/>
      <c r="BA119" s="35"/>
      <c r="BB119" s="35"/>
      <c r="BC119" s="35"/>
      <c r="BD119" s="35"/>
      <c r="BE119" s="35"/>
      <c r="BF119" s="35"/>
      <c r="BG119" s="35"/>
      <c r="BH119" s="35"/>
      <c r="BI119" s="35"/>
      <c r="BJ119" s="35"/>
      <c r="BK119" s="35"/>
      <c r="BL119" s="35"/>
      <c r="BM119" s="35"/>
      <c r="BN119" s="35"/>
      <c r="BO119" s="86"/>
    </row>
    <row r="120" spans="1:67" s="40" customFormat="1" ht="16.5" customHeight="1" thickBot="1" x14ac:dyDescent="0.3">
      <c r="A120" s="520">
        <f>IFERROR(VLOOKUP($G$5,'רשימת רשויות'!A:C,3,0),0)</f>
        <v>0</v>
      </c>
      <c r="B120" s="520">
        <f t="shared" si="9"/>
        <v>0</v>
      </c>
      <c r="C120" s="39"/>
      <c r="D120" s="1134"/>
      <c r="E120" s="1137"/>
      <c r="F120" s="589" t="s">
        <v>2282</v>
      </c>
      <c r="G120" s="99">
        <f>G124+G125+G126</f>
        <v>0</v>
      </c>
      <c r="H120" s="104"/>
      <c r="I120" s="107">
        <f>MAX(H118-G118-G119,0)</f>
        <v>0</v>
      </c>
      <c r="J120" s="108">
        <f>IFERROR(I120/H118,0)</f>
        <v>0</v>
      </c>
      <c r="K120" s="603"/>
      <c r="L120" s="603"/>
      <c r="M120" s="603"/>
      <c r="N120" s="603"/>
      <c r="O120" s="603"/>
      <c r="P120" s="604"/>
      <c r="Q120" s="604"/>
      <c r="R120" s="606" t="s">
        <v>158</v>
      </c>
      <c r="S120" s="612"/>
      <c r="T120" s="881"/>
      <c r="U120" s="598"/>
      <c r="V120" s="599"/>
      <c r="W120" s="599"/>
      <c r="X120" s="599"/>
      <c r="Y120" s="879"/>
      <c r="Z120" s="106"/>
      <c r="AA120" s="22"/>
      <c r="AB120" s="22"/>
      <c r="AC120" s="493"/>
      <c r="AD120" s="495"/>
      <c r="AE120" s="22"/>
      <c r="AF120" s="22"/>
      <c r="AG120" s="22"/>
      <c r="AH120" s="22"/>
      <c r="AI120" s="55"/>
      <c r="AJ120" s="22"/>
      <c r="AK120" s="22"/>
      <c r="AO120" s="22"/>
      <c r="AP120" s="22"/>
      <c r="AQ120" s="22"/>
      <c r="AR120" s="22"/>
      <c r="AS120" s="22"/>
      <c r="AT120" s="22"/>
      <c r="AU120" s="35"/>
      <c r="AV120" s="35"/>
      <c r="AW120" s="35"/>
      <c r="AX120" s="35"/>
      <c r="AY120" s="35"/>
      <c r="AZ120" s="35"/>
      <c r="BA120" s="35"/>
      <c r="BB120" s="35"/>
      <c r="BC120" s="35"/>
      <c r="BD120" s="35"/>
      <c r="BE120" s="35"/>
      <c r="BF120" s="35"/>
      <c r="BG120" s="35"/>
      <c r="BH120" s="35"/>
      <c r="BI120" s="35"/>
      <c r="BJ120" s="35"/>
      <c r="BK120" s="35"/>
      <c r="BL120" s="35"/>
      <c r="BM120" s="35"/>
      <c r="BN120" s="35"/>
      <c r="BO120" s="86"/>
    </row>
    <row r="121" spans="1:67" s="40" customFormat="1" ht="15.75" customHeight="1" thickBot="1" x14ac:dyDescent="0.3">
      <c r="A121" s="520">
        <f>IFERROR(VLOOKUP($G$5,'רשימת רשויות'!A:C,3,0),0)</f>
        <v>0</v>
      </c>
      <c r="B121" s="520">
        <f t="shared" si="9"/>
        <v>0</v>
      </c>
      <c r="C121" s="39"/>
      <c r="D121" s="1134"/>
      <c r="E121" s="1137"/>
      <c r="F121" s="590" t="s">
        <v>2290</v>
      </c>
      <c r="G121" s="109"/>
      <c r="H121" s="110"/>
      <c r="I121" s="111">
        <f>SUM(I118:I120)</f>
        <v>0</v>
      </c>
      <c r="J121" s="112">
        <f>SUM(J118:J120)</f>
        <v>0</v>
      </c>
      <c r="K121" s="603"/>
      <c r="L121" s="603"/>
      <c r="M121" s="603"/>
      <c r="N121" s="603"/>
      <c r="O121" s="603"/>
      <c r="P121" s="604"/>
      <c r="Q121" s="604"/>
      <c r="R121" s="473">
        <f>MIN(MAX(G125+G126-I114-J114,0),I120)</f>
        <v>0</v>
      </c>
      <c r="S121" s="612"/>
      <c r="T121" s="881"/>
      <c r="U121" s="598"/>
      <c r="V121" s="599"/>
      <c r="W121" s="599"/>
      <c r="X121" s="599"/>
      <c r="Y121" s="879"/>
      <c r="Z121" s="106"/>
      <c r="AA121" s="22"/>
      <c r="AB121" s="22"/>
      <c r="AC121" s="493"/>
      <c r="AD121" s="495"/>
      <c r="AE121" s="22"/>
      <c r="AF121" s="22"/>
      <c r="AG121" s="22"/>
      <c r="AH121" s="22"/>
      <c r="AJ121" s="22"/>
      <c r="AK121" s="22"/>
      <c r="AO121" s="22"/>
      <c r="AP121" s="22"/>
      <c r="AQ121" s="22"/>
      <c r="AR121" s="22"/>
      <c r="AS121" s="22"/>
      <c r="AT121" s="22"/>
      <c r="AU121" s="35"/>
      <c r="AV121" s="35"/>
      <c r="AW121" s="35"/>
      <c r="AX121" s="35"/>
      <c r="AY121" s="35"/>
      <c r="AZ121" s="35"/>
      <c r="BA121" s="35"/>
      <c r="BB121" s="35"/>
      <c r="BC121" s="35"/>
      <c r="BD121" s="35"/>
      <c r="BE121" s="35"/>
      <c r="BF121" s="35"/>
      <c r="BG121" s="35"/>
      <c r="BH121" s="35"/>
      <c r="BI121" s="35"/>
      <c r="BJ121" s="35"/>
      <c r="BK121" s="35"/>
      <c r="BL121" s="35"/>
      <c r="BM121" s="35"/>
      <c r="BN121" s="35"/>
      <c r="BO121" s="86"/>
    </row>
    <row r="122" spans="1:67" ht="16.5" thickBot="1" x14ac:dyDescent="0.3">
      <c r="A122" s="520">
        <f>IFERROR(VLOOKUP($G$5,'רשימת רשויות'!A:C,3,0),0)</f>
        <v>0</v>
      </c>
      <c r="B122" s="520">
        <f t="shared" si="9"/>
        <v>0</v>
      </c>
      <c r="D122" s="1134"/>
      <c r="E122" s="1137"/>
      <c r="F122" s="587" t="s">
        <v>17</v>
      </c>
      <c r="G122" s="113"/>
      <c r="H122" s="92"/>
      <c r="I122" s="114"/>
      <c r="J122" s="115"/>
      <c r="K122" s="116"/>
      <c r="L122" s="406"/>
      <c r="M122" s="116"/>
      <c r="N122" s="116"/>
      <c r="O122" s="116"/>
      <c r="P122" s="474"/>
      <c r="Q122" s="607"/>
      <c r="R122" s="608"/>
      <c r="S122" s="612"/>
      <c r="T122" s="881"/>
      <c r="U122" s="598"/>
      <c r="V122" s="599"/>
      <c r="W122" s="599"/>
      <c r="X122" s="599"/>
      <c r="Y122" s="879"/>
      <c r="Z122" s="106"/>
      <c r="AI122" s="40"/>
      <c r="BO122" s="86"/>
    </row>
    <row r="123" spans="1:67" ht="47.25" x14ac:dyDescent="0.25">
      <c r="A123" s="520">
        <f>IFERROR(VLOOKUP($G$5,'רשימת רשויות'!A:C,3,0),0)</f>
        <v>0</v>
      </c>
      <c r="B123" s="520">
        <f t="shared" si="9"/>
        <v>0</v>
      </c>
      <c r="D123" s="1134"/>
      <c r="E123" s="1137"/>
      <c r="F123" s="588" t="s">
        <v>2</v>
      </c>
      <c r="G123" s="95" t="s">
        <v>18</v>
      </c>
      <c r="H123" s="95" t="s">
        <v>19</v>
      </c>
      <c r="I123" s="95" t="s">
        <v>20</v>
      </c>
      <c r="J123" s="95" t="s">
        <v>22</v>
      </c>
      <c r="K123" s="96" t="s">
        <v>2314</v>
      </c>
      <c r="L123" s="609"/>
      <c r="M123" s="609"/>
      <c r="N123" s="609"/>
      <c r="O123" s="580"/>
      <c r="P123" s="618" t="s">
        <v>2298</v>
      </c>
      <c r="Q123" s="618" t="s">
        <v>2299</v>
      </c>
      <c r="R123" s="596"/>
      <c r="S123" s="890" t="s">
        <v>2519</v>
      </c>
      <c r="T123" s="890" t="s">
        <v>97</v>
      </c>
      <c r="U123" s="891" t="s">
        <v>2521</v>
      </c>
      <c r="V123" s="892" t="s">
        <v>2520</v>
      </c>
      <c r="W123" s="893" t="s">
        <v>2524</v>
      </c>
      <c r="X123" s="892" t="s">
        <v>2522</v>
      </c>
      <c r="Y123" s="894" t="s">
        <v>2523</v>
      </c>
      <c r="Z123" s="106"/>
      <c r="AC123" s="498" t="s">
        <v>2568</v>
      </c>
      <c r="AD123" s="499" t="s">
        <v>2569</v>
      </c>
      <c r="AF123" s="122"/>
      <c r="AI123" s="40"/>
      <c r="BO123" s="86"/>
    </row>
    <row r="124" spans="1:67" ht="15" customHeight="1" thickBot="1" x14ac:dyDescent="0.3">
      <c r="A124" s="520">
        <f>IFERROR(VLOOKUP($G$5,'רשימת רשויות'!A:C,3,0),0)</f>
        <v>0</v>
      </c>
      <c r="B124" s="520">
        <f t="shared" si="9"/>
        <v>0</v>
      </c>
      <c r="D124" s="1134"/>
      <c r="E124" s="1137"/>
      <c r="F124" s="589" t="s">
        <v>76</v>
      </c>
      <c r="G124" s="117">
        <f>IF(G115="תקין",SUMIF('עלויות כח אדם (6)'!$B$15:$B$3014,'בית ספר - תקצוב לפי מוסד (9)'!$G110,'עלויות כח אדם (6)'!$M$15:$M$3014)-VLOOKUP('בית ספר - תקצוב לפי מוסד (9)'!G110,' איוש משרות (8)'!$C:$H,5,0)-VLOOKUP('בית ספר - תקצוב לפי מוסד (9)'!G110,' איוש משרות (8)'!$C:$H,6,0),0)-Y124</f>
        <v>0</v>
      </c>
      <c r="H124" s="118">
        <f>I112+R119</f>
        <v>0</v>
      </c>
      <c r="I124" s="119">
        <f>IFERROR(SUM(G124)/H124,0)</f>
        <v>0</v>
      </c>
      <c r="J124" s="100">
        <f>MIN(I112+R119,IF(ISNUMBER(G124),G124,0))</f>
        <v>0</v>
      </c>
      <c r="K124" s="120">
        <f>MAX(H124-G124,0)</f>
        <v>0</v>
      </c>
      <c r="L124" s="407"/>
      <c r="M124" s="393"/>
      <c r="N124" s="393"/>
      <c r="O124" s="580"/>
      <c r="P124" s="968">
        <f>IFERROR(IF(SUM(G124)/(I112)&lt;100%,MIN((I112)-SUM(G124),(I112)*0.25),0),0)</f>
        <v>0</v>
      </c>
      <c r="Q124" s="968">
        <f>IF(SUM(G124)-(I112+R119)&gt;0,SUM(G124)-(I112+R119),0)</f>
        <v>0</v>
      </c>
      <c r="R124" s="596" t="s">
        <v>2351</v>
      </c>
      <c r="S124" s="576" t="s">
        <v>2342</v>
      </c>
      <c r="T124" s="599">
        <f>G110</f>
        <v>0</v>
      </c>
      <c r="U124" s="578"/>
      <c r="V124" s="579">
        <f>G124+G125+G126</f>
        <v>0</v>
      </c>
      <c r="W124" s="579">
        <f>U124-V124</f>
        <v>0</v>
      </c>
      <c r="X124" s="579">
        <f>IFERROR(W138*W124/(SUM(W124:W137)),0)</f>
        <v>0</v>
      </c>
      <c r="Y124" s="879">
        <f>SUMIFS(בקרה!$S:$S,בקרה!$D:$D,T124,בקרה!$K:$K,S124)</f>
        <v>0</v>
      </c>
      <c r="Z124" s="121"/>
      <c r="AA124" s="143"/>
      <c r="AB124" s="143"/>
      <c r="AC124" s="504">
        <v>0</v>
      </c>
      <c r="AD124" s="505">
        <f>IFERROR(U124-AC124,0)</f>
        <v>0</v>
      </c>
      <c r="AE124" s="143"/>
      <c r="AI124" s="20"/>
      <c r="BO124" s="86"/>
    </row>
    <row r="125" spans="1:67" ht="15" customHeight="1" thickBot="1" x14ac:dyDescent="0.3">
      <c r="A125" s="520">
        <f>IFERROR(VLOOKUP($G$5,'רשימת רשויות'!A:C,3,0),0)</f>
        <v>0</v>
      </c>
      <c r="B125" s="520">
        <f t="shared" si="9"/>
        <v>0</v>
      </c>
      <c r="D125" s="1134"/>
      <c r="E125" s="1137"/>
      <c r="F125" s="589" t="s">
        <v>44</v>
      </c>
      <c r="G125" s="123">
        <f>IF(G115="תקין",IFERROR(VLOOKUP('בית ספר - תקצוב לפי מוסד (9)'!G110,' איוש משרות (8)'!C:J,7,0),0),0)</f>
        <v>0</v>
      </c>
      <c r="H125" s="124">
        <f>I114+R121+J114</f>
        <v>0</v>
      </c>
      <c r="I125" s="119">
        <f>IFERROR(SUM(G125:G126)/H125,0)</f>
        <v>0</v>
      </c>
      <c r="J125" s="100">
        <f>MIN(R121+I114,IF(ISNUMBER(SUM(G125:G126)),SUM(G125:G126),0))</f>
        <v>0</v>
      </c>
      <c r="K125" s="1139">
        <f>MAX((H125)-(G125+G126),0)</f>
        <v>0</v>
      </c>
      <c r="L125" s="407"/>
      <c r="M125" s="393"/>
      <c r="N125" s="393"/>
      <c r="O125" s="580"/>
      <c r="P125" s="1140"/>
      <c r="Q125" s="1140"/>
      <c r="R125" s="617">
        <f>MAX(MIN(P133-Q133,H133*0.15-G131),0)</f>
        <v>0</v>
      </c>
      <c r="S125" s="576"/>
      <c r="T125" s="599">
        <f>G110</f>
        <v>0</v>
      </c>
      <c r="U125" s="578"/>
      <c r="V125" s="579"/>
      <c r="W125" s="579">
        <f t="shared" ref="W125:W137" si="14">U125-V125</f>
        <v>0</v>
      </c>
      <c r="X125" s="579"/>
      <c r="Y125" s="879"/>
      <c r="Z125" s="121"/>
      <c r="AA125" s="143"/>
      <c r="AB125" s="143"/>
      <c r="AC125" s="504"/>
      <c r="AD125" s="505">
        <f t="shared" ref="AD125:AD131" si="15">IFERROR(U125-AC125,0)</f>
        <v>0</v>
      </c>
      <c r="AE125" s="143"/>
      <c r="AI125" s="20"/>
      <c r="BO125" s="86"/>
    </row>
    <row r="126" spans="1:67" ht="15.75" customHeight="1" x14ac:dyDescent="0.25">
      <c r="A126" s="520">
        <f>IFERROR(VLOOKUP($G$5,'רשימת רשויות'!A:C,3,0),0)</f>
        <v>0</v>
      </c>
      <c r="B126" s="520">
        <f t="shared" si="9"/>
        <v>0</v>
      </c>
      <c r="D126" s="1134"/>
      <c r="E126" s="1137"/>
      <c r="F126" s="589" t="s">
        <v>45</v>
      </c>
      <c r="G126" s="123">
        <f>IF(G115="תקין",IFERROR(VLOOKUP('בית ספר - תקצוב לפי מוסד (9)'!G110,' איוש משרות (8)'!C:J,8,0),0),0)</f>
        <v>0</v>
      </c>
      <c r="H126" s="125"/>
      <c r="I126" s="126"/>
      <c r="J126" s="104"/>
      <c r="K126" s="1139"/>
      <c r="L126" s="407"/>
      <c r="M126" s="393"/>
      <c r="N126" s="393"/>
      <c r="O126" s="580"/>
      <c r="P126" s="1140"/>
      <c r="Q126" s="1140"/>
      <c r="R126" s="596"/>
      <c r="S126" s="576"/>
      <c r="T126" s="599">
        <f>G110</f>
        <v>0</v>
      </c>
      <c r="U126" s="578"/>
      <c r="V126" s="579"/>
      <c r="W126" s="579">
        <f t="shared" si="14"/>
        <v>0</v>
      </c>
      <c r="X126" s="579"/>
      <c r="Y126" s="879"/>
      <c r="Z126" s="121"/>
      <c r="AA126" s="143"/>
      <c r="AB126" s="143"/>
      <c r="AC126" s="504"/>
      <c r="AD126" s="505">
        <f t="shared" si="15"/>
        <v>0</v>
      </c>
      <c r="AE126" s="143"/>
      <c r="AG126" s="55"/>
      <c r="AH126" s="55"/>
      <c r="AI126" s="55"/>
      <c r="AJ126" s="55"/>
      <c r="AK126" s="55"/>
      <c r="BO126" s="86"/>
    </row>
    <row r="127" spans="1:67" ht="15.75" customHeight="1" x14ac:dyDescent="0.25">
      <c r="A127" s="520">
        <f>IFERROR(VLOOKUP($G$5,'רשימת רשויות'!A:C,3,0),0)</f>
        <v>0</v>
      </c>
      <c r="B127" s="520">
        <f t="shared" si="9"/>
        <v>0</v>
      </c>
      <c r="D127" s="1134"/>
      <c r="E127" s="1137"/>
      <c r="F127" s="589" t="s">
        <v>0</v>
      </c>
      <c r="G127" s="117">
        <f>IF(G115="תקין",SUMIFS('דוח הוצאות בפועל (4)'!$E$17:$E$3016,'דוח הוצאות בפועל (4)'!$B$17:$B$3016,'בית ספר - תקצוב לפי מוסד (9)'!$G110,'דוח הוצאות בפועל (4)'!$M$17:$M$3016,"הע"),0)-Y127</f>
        <v>0</v>
      </c>
      <c r="H127" s="127">
        <f>J112</f>
        <v>0</v>
      </c>
      <c r="I127" s="128">
        <f>IFERROR(G127/H127,0)</f>
        <v>0</v>
      </c>
      <c r="J127" s="129">
        <f>MIN(IF(ISNUMBER(G127),G127,0),H127)</f>
        <v>0</v>
      </c>
      <c r="K127" s="120">
        <f>MAX(H127-G127,0)</f>
        <v>0</v>
      </c>
      <c r="L127" s="407"/>
      <c r="M127" s="393"/>
      <c r="N127" s="393"/>
      <c r="O127" s="580"/>
      <c r="P127" s="968">
        <f>MAX(IF(I127&lt;100%,MIN((H127-G127),H127*0.25),0),0)</f>
        <v>0</v>
      </c>
      <c r="Q127" s="619">
        <f>IF(G127-H127&gt;0,G127-H127,0)</f>
        <v>0</v>
      </c>
      <c r="R127" s="596"/>
      <c r="S127" s="610" t="s">
        <v>0</v>
      </c>
      <c r="T127" s="599">
        <f>G110</f>
        <v>0</v>
      </c>
      <c r="U127" s="578"/>
      <c r="V127" s="579">
        <f>G127</f>
        <v>0</v>
      </c>
      <c r="W127" s="579">
        <f t="shared" si="14"/>
        <v>0</v>
      </c>
      <c r="X127" s="579">
        <f>IFERROR(W138*W127/(SUM(W124:W137)),0)</f>
        <v>0</v>
      </c>
      <c r="Y127" s="879">
        <f>SUMIFS(בקרה!$S:$S,בקרה!$D:$D,T127,בקרה!$K:$K,S127)</f>
        <v>0</v>
      </c>
      <c r="Z127" s="121"/>
      <c r="AA127" s="143"/>
      <c r="AB127" s="143"/>
      <c r="AC127" s="504">
        <v>0</v>
      </c>
      <c r="AD127" s="505">
        <f t="shared" si="15"/>
        <v>0</v>
      </c>
      <c r="AE127" s="143"/>
      <c r="AG127" s="55"/>
      <c r="AH127" s="55"/>
      <c r="AI127" s="40"/>
      <c r="AJ127" s="55"/>
      <c r="AK127" s="55"/>
      <c r="BO127" s="86"/>
    </row>
    <row r="128" spans="1:67" s="55" customFormat="1" ht="15.75" customHeight="1" x14ac:dyDescent="0.25">
      <c r="A128" s="520">
        <f>IFERROR(VLOOKUP($G$5,'רשימת רשויות'!A:C,3,0),0)</f>
        <v>0</v>
      </c>
      <c r="B128" s="520">
        <f t="shared" si="9"/>
        <v>0</v>
      </c>
      <c r="C128" s="39"/>
      <c r="D128" s="1134"/>
      <c r="E128" s="1137"/>
      <c r="F128" s="589" t="s">
        <v>93</v>
      </c>
      <c r="G128" s="130">
        <f>IF(G115="תקין",SUMIFS('דוח הוצאות בפועל (4)'!$E$17:$E$3016,'דוח הוצאות בפועל (4)'!$B$17:$B$3016,'בית ספר - תקצוב לפי מוסד (9)'!$G110,'דוח הוצאות בפועל (4)'!$M$17:$M$3016,"אר"),0)-Y128</f>
        <v>0</v>
      </c>
      <c r="H128" s="118">
        <f>$I118</f>
        <v>0</v>
      </c>
      <c r="I128" s="131">
        <f>IFERROR((G128+G129)/H128,0)</f>
        <v>0</v>
      </c>
      <c r="J128" s="100">
        <f>MIN((IF(ISNUMBER(G128),G128,0)+IF(ISNUMBER(G129),G129,0)),H128)</f>
        <v>0</v>
      </c>
      <c r="K128" s="1139">
        <f>MAX((H128)-(G128+G129),0)</f>
        <v>0</v>
      </c>
      <c r="L128" s="407"/>
      <c r="M128" s="393"/>
      <c r="N128" s="393"/>
      <c r="O128" s="602"/>
      <c r="P128" s="1141"/>
      <c r="Q128" s="1142"/>
      <c r="R128" s="596"/>
      <c r="S128" s="610" t="s">
        <v>93</v>
      </c>
      <c r="T128" s="599">
        <f>G110</f>
        <v>0</v>
      </c>
      <c r="U128" s="578"/>
      <c r="V128" s="579">
        <f t="shared" ref="V128:V129" si="16">G128</f>
        <v>0</v>
      </c>
      <c r="W128" s="579">
        <f t="shared" si="14"/>
        <v>0</v>
      </c>
      <c r="X128" s="579">
        <f>IFERROR(W138*W128/(SUM(W124:W137)),0)</f>
        <v>0</v>
      </c>
      <c r="Y128" s="879">
        <f>SUMIFS(בקרה!$S:$S,בקרה!$D:$D,T128,בקרה!$K:$K,S128)</f>
        <v>0</v>
      </c>
      <c r="Z128" s="121"/>
      <c r="AA128" s="143"/>
      <c r="AB128" s="143"/>
      <c r="AC128" s="504">
        <v>0</v>
      </c>
      <c r="AD128" s="505">
        <f t="shared" si="15"/>
        <v>0</v>
      </c>
      <c r="AE128" s="143"/>
      <c r="AJ128" s="22"/>
      <c r="AO128" s="22"/>
      <c r="AP128" s="22"/>
      <c r="AQ128" s="22"/>
      <c r="AR128" s="22"/>
      <c r="AS128" s="22"/>
      <c r="AT128" s="22"/>
      <c r="AU128" s="35"/>
      <c r="AV128" s="35"/>
      <c r="AW128" s="35"/>
      <c r="AX128" s="35"/>
      <c r="AY128" s="35"/>
      <c r="AZ128" s="35"/>
      <c r="BA128" s="35"/>
      <c r="BB128" s="35"/>
      <c r="BC128" s="35"/>
      <c r="BD128" s="35"/>
      <c r="BE128" s="35"/>
      <c r="BF128" s="35"/>
      <c r="BG128" s="35"/>
      <c r="BH128" s="35"/>
      <c r="BI128" s="35"/>
      <c r="BJ128" s="35"/>
      <c r="BK128" s="35"/>
      <c r="BL128" s="35"/>
      <c r="BM128" s="35"/>
      <c r="BN128" s="35"/>
      <c r="BO128" s="86"/>
    </row>
    <row r="129" spans="1:67" s="55" customFormat="1" ht="15.75" customHeight="1" x14ac:dyDescent="0.25">
      <c r="A129" s="520">
        <f>IFERROR(VLOOKUP($G$5,'רשימת רשויות'!A:C,3,0),0)</f>
        <v>0</v>
      </c>
      <c r="B129" s="520">
        <f t="shared" si="9"/>
        <v>0</v>
      </c>
      <c r="C129" s="39"/>
      <c r="D129" s="1134"/>
      <c r="E129" s="1137"/>
      <c r="F129" s="589" t="s">
        <v>46</v>
      </c>
      <c r="G129" s="130">
        <f>IF(G115="תקין",SUMIFS('דוח הוצאות בפועל (4)'!$E$17:$E$3016,'דוח הוצאות בפועל (4)'!$B$17:$B$3016,'בית ספר - תקצוב לפי מוסד (9)'!$G110,'דוח הוצאות בפועל (4)'!$M$17:$M$3016,"מל"),0)-Y129</f>
        <v>0</v>
      </c>
      <c r="H129" s="132"/>
      <c r="I129" s="133"/>
      <c r="J129" s="104"/>
      <c r="K129" s="1139"/>
      <c r="L129" s="407"/>
      <c r="M129" s="393"/>
      <c r="N129" s="393"/>
      <c r="O129" s="602"/>
      <c r="P129" s="1141"/>
      <c r="Q129" s="1142"/>
      <c r="R129" s="596"/>
      <c r="S129" s="610" t="s">
        <v>46</v>
      </c>
      <c r="T129" s="599">
        <f>G110</f>
        <v>0</v>
      </c>
      <c r="U129" s="578"/>
      <c r="V129" s="579">
        <f t="shared" si="16"/>
        <v>0</v>
      </c>
      <c r="W129" s="579">
        <f t="shared" si="14"/>
        <v>0</v>
      </c>
      <c r="X129" s="579">
        <f>IFERROR(W138*W129/(SUM(W124:W137)),0)</f>
        <v>0</v>
      </c>
      <c r="Y129" s="879">
        <f>SUMIFS(בקרה!$S:$S,בקרה!$D:$D,T129,בקרה!$K:$K,S129)</f>
        <v>0</v>
      </c>
      <c r="Z129" s="121"/>
      <c r="AA129" s="143"/>
      <c r="AB129" s="143"/>
      <c r="AC129" s="504">
        <v>0</v>
      </c>
      <c r="AD129" s="505">
        <f t="shared" si="15"/>
        <v>0</v>
      </c>
      <c r="AE129" s="143"/>
      <c r="AJ129" s="22"/>
      <c r="AO129" s="22"/>
      <c r="AP129" s="22"/>
      <c r="AQ129" s="22"/>
      <c r="AR129" s="22"/>
      <c r="AS129" s="22"/>
      <c r="AT129" s="22"/>
      <c r="AU129" s="35"/>
      <c r="AV129" s="35"/>
      <c r="AW129" s="35"/>
      <c r="AX129" s="35"/>
      <c r="AY129" s="35"/>
      <c r="AZ129" s="35"/>
      <c r="BA129" s="35"/>
      <c r="BB129" s="35"/>
      <c r="BC129" s="35"/>
      <c r="BD129" s="35"/>
      <c r="BE129" s="35"/>
      <c r="BF129" s="35"/>
      <c r="BG129" s="35"/>
      <c r="BH129" s="35"/>
      <c r="BI129" s="35"/>
      <c r="BJ129" s="35"/>
      <c r="BK129" s="35"/>
      <c r="BL129" s="35"/>
      <c r="BM129" s="35"/>
      <c r="BN129" s="35"/>
      <c r="BO129" s="86"/>
    </row>
    <row r="130" spans="1:67" s="55" customFormat="1" ht="15" customHeight="1" x14ac:dyDescent="0.25">
      <c r="A130" s="520">
        <f>IFERROR(VLOOKUP($G$5,'רשימת רשויות'!A:C,3,0),0)</f>
        <v>0</v>
      </c>
      <c r="B130" s="520">
        <f t="shared" si="9"/>
        <v>0</v>
      </c>
      <c r="C130" s="39"/>
      <c r="D130" s="1134"/>
      <c r="E130" s="1137"/>
      <c r="F130" s="591" t="s">
        <v>23</v>
      </c>
      <c r="G130" s="134">
        <f>SUM(G124:G129)</f>
        <v>0</v>
      </c>
      <c r="H130" s="135">
        <f>SUM(H124:H129)</f>
        <v>0</v>
      </c>
      <c r="I130" s="128">
        <f>IFERROR(G130/H130,0)</f>
        <v>0</v>
      </c>
      <c r="J130" s="136">
        <f>SUM(J124:J129)</f>
        <v>0</v>
      </c>
      <c r="K130" s="137">
        <f>SUM(K124:K129)</f>
        <v>0</v>
      </c>
      <c r="L130" s="408"/>
      <c r="M130" s="394"/>
      <c r="N130" s="394"/>
      <c r="O130" s="602"/>
      <c r="P130" s="620">
        <f>SUM(P124:P129)</f>
        <v>0</v>
      </c>
      <c r="Q130" s="620">
        <f>SUM(Q124:Q129)</f>
        <v>0</v>
      </c>
      <c r="R130" s="596"/>
      <c r="S130" s="610"/>
      <c r="T130" s="599">
        <f>G110</f>
        <v>0</v>
      </c>
      <c r="U130" s="578"/>
      <c r="V130" s="579"/>
      <c r="W130" s="579">
        <f t="shared" si="14"/>
        <v>0</v>
      </c>
      <c r="X130" s="579"/>
      <c r="Y130" s="879"/>
      <c r="Z130" s="121"/>
      <c r="AA130" s="143"/>
      <c r="AB130" s="143"/>
      <c r="AC130" s="504"/>
      <c r="AD130" s="505">
        <f t="shared" si="15"/>
        <v>0</v>
      </c>
      <c r="AE130" s="143"/>
      <c r="AJ130" s="22"/>
      <c r="AL130" s="22"/>
      <c r="AM130" s="22"/>
      <c r="AN130" s="22"/>
      <c r="AO130" s="22"/>
      <c r="AP130" s="22"/>
      <c r="AQ130" s="22"/>
      <c r="AR130" s="22"/>
      <c r="AS130" s="22"/>
      <c r="AT130" s="22"/>
      <c r="AU130" s="35"/>
      <c r="AV130" s="35"/>
      <c r="AW130" s="35"/>
      <c r="AX130" s="35"/>
      <c r="AY130" s="35"/>
      <c r="AZ130" s="35"/>
      <c r="BA130" s="35"/>
      <c r="BB130" s="35"/>
      <c r="BC130" s="35"/>
      <c r="BD130" s="35"/>
      <c r="BE130" s="35"/>
      <c r="BF130" s="35"/>
      <c r="BG130" s="35"/>
      <c r="BH130" s="35"/>
      <c r="BI130" s="35"/>
      <c r="BJ130" s="35"/>
      <c r="BK130" s="35"/>
      <c r="BL130" s="35"/>
      <c r="BM130" s="35"/>
      <c r="BN130" s="35"/>
      <c r="BO130" s="86"/>
    </row>
    <row r="131" spans="1:67" s="55" customFormat="1" ht="15" customHeight="1" x14ac:dyDescent="0.25">
      <c r="A131" s="520">
        <f>IFERROR(VLOOKUP($G$5,'רשימת רשויות'!A:C,3,0),0)</f>
        <v>0</v>
      </c>
      <c r="B131" s="520">
        <f t="shared" si="9"/>
        <v>0</v>
      </c>
      <c r="C131" s="39"/>
      <c r="D131" s="1134"/>
      <c r="E131" s="1137"/>
      <c r="F131" s="589" t="s">
        <v>3</v>
      </c>
      <c r="G131" s="117">
        <f>IF(G115="תקין",SUMIFS('דוח הוצאות בפועל (4)'!$E$17:$E$3016,'דוח הוצאות בפועל (4)'!$B$17:$B$3016,'בית ספר - תקצוב לפי מוסד (9)'!$G110,'דוח הוצאות בפועל (4)'!$M$17:$M$3016,"ני")+SUMIFS('דוח הוצאות בפועל (4)'!$E$17:$E$3016,'דוח הוצאות בפועל (4)'!$B$17:$B$3016,'בית ספר - תקצוב לפי מוסד (9)'!$G110,'דוח הוצאות בפועל (4)'!$M$17:$M$3016,"על"),0)-Y131</f>
        <v>0</v>
      </c>
      <c r="H131" s="117">
        <f>H112</f>
        <v>0</v>
      </c>
      <c r="I131" s="138">
        <f>IFERROR(G131/H131,0)</f>
        <v>0</v>
      </c>
      <c r="J131" s="117">
        <f>IFERROR(IF(G131/H133&gt;0.15,MIN(H133*0.15,H131),MIN(H131,IF(ISNUMBER(G131),G131,0))),0)</f>
        <v>0</v>
      </c>
      <c r="K131" s="120">
        <f>MAX(H131-G131,0)</f>
        <v>0</v>
      </c>
      <c r="L131" s="407"/>
      <c r="M131" s="393"/>
      <c r="N131" s="393"/>
      <c r="O131" s="602"/>
      <c r="P131" s="620">
        <f>IF(I131&lt;100%,MIN(H131-G131,H131*0.25),0)</f>
        <v>0</v>
      </c>
      <c r="Q131" s="620">
        <f>MAX(MIN(IF(G131-H131&gt;0,G131-H131,0),$H133*0.15-H131-J132),0)</f>
        <v>0</v>
      </c>
      <c r="R131" s="596"/>
      <c r="S131" s="610" t="s">
        <v>3</v>
      </c>
      <c r="T131" s="599">
        <f>G110</f>
        <v>0</v>
      </c>
      <c r="U131" s="578"/>
      <c r="V131" s="579">
        <f t="shared" ref="V131" si="17">G131</f>
        <v>0</v>
      </c>
      <c r="W131" s="579">
        <f t="shared" si="14"/>
        <v>0</v>
      </c>
      <c r="X131" s="579"/>
      <c r="Y131" s="879"/>
      <c r="Z131" s="121"/>
      <c r="AA131" s="143"/>
      <c r="AB131" s="143"/>
      <c r="AC131" s="504">
        <v>0</v>
      </c>
      <c r="AD131" s="505">
        <f t="shared" si="15"/>
        <v>0</v>
      </c>
      <c r="AE131" s="143"/>
      <c r="AG131" s="22"/>
      <c r="AH131" s="22"/>
      <c r="AI131" s="22"/>
      <c r="AJ131" s="22"/>
      <c r="AK131" s="22"/>
      <c r="AL131" s="22"/>
      <c r="AM131" s="22"/>
      <c r="AN131" s="22"/>
      <c r="AO131" s="22"/>
      <c r="AP131" s="22"/>
      <c r="AQ131" s="22"/>
      <c r="AR131" s="22"/>
      <c r="AS131" s="22"/>
      <c r="AT131" s="22"/>
      <c r="AU131" s="35"/>
      <c r="AV131" s="35"/>
      <c r="AW131" s="35"/>
      <c r="AX131" s="35"/>
      <c r="AY131" s="35"/>
      <c r="AZ131" s="35"/>
      <c r="BA131" s="35"/>
      <c r="BB131" s="35"/>
      <c r="BC131" s="35"/>
      <c r="BD131" s="35"/>
      <c r="BE131" s="35"/>
      <c r="BF131" s="35"/>
      <c r="BG131" s="35"/>
      <c r="BH131" s="35"/>
      <c r="BI131" s="35"/>
      <c r="BJ131" s="35"/>
      <c r="BK131" s="35"/>
      <c r="BL131" s="35"/>
      <c r="BM131" s="35"/>
      <c r="BN131" s="35"/>
      <c r="BO131" s="86"/>
    </row>
    <row r="132" spans="1:67" s="55" customFormat="1" ht="15.75" customHeight="1" x14ac:dyDescent="0.25">
      <c r="A132" s="520">
        <f>IFERROR(VLOOKUP($G$5,'רשימת רשויות'!A:C,3,0),0)</f>
        <v>0</v>
      </c>
      <c r="B132" s="520">
        <f t="shared" si="9"/>
        <v>0</v>
      </c>
      <c r="C132" s="39"/>
      <c r="D132" s="1134"/>
      <c r="E132" s="1137"/>
      <c r="F132" s="589" t="s">
        <v>2918</v>
      </c>
      <c r="G132" s="117">
        <f>0.07*(G126+G125)</f>
        <v>0</v>
      </c>
      <c r="H132" s="117">
        <f>H114</f>
        <v>0</v>
      </c>
      <c r="I132" s="138">
        <f>IFERROR(G132/H132,0)</f>
        <v>0</v>
      </c>
      <c r="J132" s="117">
        <f>IFERROR(MIN(0.07*(G125+G126),0.07*I114),0)</f>
        <v>0</v>
      </c>
      <c r="K132" s="120">
        <f>MAX(H132-G132,0)</f>
        <v>0</v>
      </c>
      <c r="L132" s="407"/>
      <c r="M132" s="393"/>
      <c r="N132" s="393"/>
      <c r="O132" s="602"/>
      <c r="P132" s="620"/>
      <c r="Q132" s="619"/>
      <c r="R132" s="596"/>
      <c r="S132" s="611"/>
      <c r="T132" s="599">
        <f>G110</f>
        <v>0</v>
      </c>
      <c r="U132" s="578"/>
      <c r="V132" s="579"/>
      <c r="W132" s="579">
        <f t="shared" si="14"/>
        <v>0</v>
      </c>
      <c r="X132" s="579"/>
      <c r="Y132" s="879"/>
      <c r="Z132" s="121"/>
      <c r="AA132" s="143"/>
      <c r="AB132" s="143"/>
      <c r="AC132" s="504"/>
      <c r="AD132" s="505"/>
      <c r="AE132" s="143"/>
      <c r="AF132" s="140"/>
      <c r="AG132" s="22"/>
      <c r="AH132" s="22"/>
      <c r="AI132" s="22"/>
      <c r="AJ132" s="22"/>
      <c r="AK132" s="22"/>
      <c r="AL132" s="22"/>
      <c r="AM132" s="22"/>
      <c r="AN132" s="22"/>
      <c r="AO132" s="22"/>
      <c r="AP132" s="22"/>
      <c r="AQ132" s="22"/>
      <c r="AR132" s="22"/>
      <c r="AS132" s="22"/>
      <c r="AT132" s="22"/>
      <c r="AU132" s="35"/>
      <c r="AV132" s="35"/>
      <c r="AW132" s="35"/>
      <c r="AX132" s="35"/>
      <c r="AY132" s="35"/>
      <c r="AZ132" s="35"/>
      <c r="BA132" s="35"/>
      <c r="BB132" s="35"/>
      <c r="BC132" s="35"/>
      <c r="BD132" s="35"/>
      <c r="BE132" s="35"/>
      <c r="BF132" s="35"/>
      <c r="BG132" s="35"/>
      <c r="BH132" s="35"/>
      <c r="BI132" s="35"/>
      <c r="BJ132" s="35"/>
      <c r="BK132" s="35"/>
      <c r="BL132" s="35"/>
      <c r="BM132" s="35"/>
      <c r="BN132" s="35"/>
      <c r="BO132" s="86"/>
    </row>
    <row r="133" spans="1:67" ht="15.75" customHeight="1" x14ac:dyDescent="0.25">
      <c r="A133" s="520">
        <f>IFERROR(VLOOKUP($G$5,'רשימת רשויות'!A:C,3,0),0)</f>
        <v>0</v>
      </c>
      <c r="B133" s="520">
        <f t="shared" si="9"/>
        <v>0</v>
      </c>
      <c r="D133" s="1134"/>
      <c r="E133" s="1137"/>
      <c r="F133" s="591" t="s">
        <v>15</v>
      </c>
      <c r="G133" s="134">
        <f>G130+G131+G132</f>
        <v>0</v>
      </c>
      <c r="H133" s="134">
        <f>H130+H131+H132</f>
        <v>0</v>
      </c>
      <c r="I133" s="138">
        <f>IFERROR(G133/H133,0)</f>
        <v>0</v>
      </c>
      <c r="J133" s="139">
        <f>J130+J131+J132</f>
        <v>0</v>
      </c>
      <c r="K133" s="137">
        <f>K131+K130+K132</f>
        <v>0</v>
      </c>
      <c r="L133" s="408"/>
      <c r="M133" s="394"/>
      <c r="N133" s="394"/>
      <c r="O133" s="602"/>
      <c r="P133" s="621">
        <f>SUM(P130:P131)</f>
        <v>0</v>
      </c>
      <c r="Q133" s="622">
        <f>Q130+Q131</f>
        <v>0</v>
      </c>
      <c r="R133" s="596"/>
      <c r="S133" s="611"/>
      <c r="T133" s="599">
        <f>G110</f>
        <v>0</v>
      </c>
      <c r="U133" s="578"/>
      <c r="V133" s="579"/>
      <c r="W133" s="579">
        <f t="shared" si="14"/>
        <v>0</v>
      </c>
      <c r="X133" s="579"/>
      <c r="Y133" s="879"/>
      <c r="Z133" s="106"/>
      <c r="AC133" s="504"/>
      <c r="AD133" s="505"/>
      <c r="AH133" s="143"/>
      <c r="BO133" s="86"/>
    </row>
    <row r="134" spans="1:67" ht="15.75" customHeight="1" x14ac:dyDescent="0.25">
      <c r="A134" s="520">
        <f>IFERROR(VLOOKUP($G$5,'רשימת רשויות'!A:C,3,0),0)</f>
        <v>0</v>
      </c>
      <c r="B134" s="520">
        <f t="shared" si="9"/>
        <v>0</v>
      </c>
      <c r="D134" s="1134"/>
      <c r="E134" s="1137"/>
      <c r="F134" s="589" t="s">
        <v>2261</v>
      </c>
      <c r="G134" s="117">
        <f>IF(G115="תקין",SUMIF('תשלומי הורים ומלגות להורים (5) '!$B$18:$B$517,$G110,'תשלומי הורים ומלגות להורים (5) '!$C$18:$C$517),0)</f>
        <v>0</v>
      </c>
      <c r="H134" s="117">
        <f>(G113+G114)*$G$7</f>
        <v>0</v>
      </c>
      <c r="I134" s="141"/>
      <c r="J134" s="141"/>
      <c r="K134" s="142"/>
      <c r="L134" s="395"/>
      <c r="M134" s="395"/>
      <c r="N134" s="395"/>
      <c r="O134" s="602"/>
      <c r="P134" s="623"/>
      <c r="Q134" s="619"/>
      <c r="R134" s="596"/>
      <c r="S134" s="612"/>
      <c r="T134" s="599">
        <f>G110</f>
        <v>0</v>
      </c>
      <c r="U134" s="578"/>
      <c r="V134" s="579"/>
      <c r="W134" s="579">
        <f t="shared" si="14"/>
        <v>0</v>
      </c>
      <c r="X134" s="579"/>
      <c r="Y134" s="879"/>
      <c r="Z134" s="121"/>
      <c r="AA134" s="143"/>
      <c r="AB134" s="143"/>
      <c r="AC134" s="504"/>
      <c r="AD134" s="505"/>
      <c r="AE134" s="143"/>
      <c r="AF134" s="148"/>
      <c r="BO134" s="86"/>
    </row>
    <row r="135" spans="1:67" ht="15.75" customHeight="1" thickBot="1" x14ac:dyDescent="0.3">
      <c r="A135" s="520">
        <f>IFERROR(VLOOKUP($G$5,'רשימת רשויות'!A:C,3,0),0)</f>
        <v>0</v>
      </c>
      <c r="B135" s="520">
        <f t="shared" si="9"/>
        <v>0</v>
      </c>
      <c r="D135" s="1134"/>
      <c r="E135" s="1137"/>
      <c r="F135" s="592" t="s">
        <v>21</v>
      </c>
      <c r="G135" s="144">
        <f>G133-G134</f>
        <v>0</v>
      </c>
      <c r="H135" s="144">
        <f>H133-H134</f>
        <v>0</v>
      </c>
      <c r="I135" s="145"/>
      <c r="J135" s="145"/>
      <c r="K135" s="146"/>
      <c r="L135" s="396"/>
      <c r="M135" s="396"/>
      <c r="N135" s="396"/>
      <c r="O135" s="602"/>
      <c r="P135" s="619"/>
      <c r="Q135" s="619"/>
      <c r="R135" s="596"/>
      <c r="S135" s="612"/>
      <c r="T135" s="599">
        <f>G110</f>
        <v>0</v>
      </c>
      <c r="U135" s="578"/>
      <c r="V135" s="579"/>
      <c r="W135" s="579">
        <f t="shared" si="14"/>
        <v>0</v>
      </c>
      <c r="X135" s="579"/>
      <c r="Y135" s="879"/>
      <c r="Z135" s="147"/>
      <c r="AA135" s="148"/>
      <c r="AB135" s="148"/>
      <c r="AC135" s="504"/>
      <c r="AD135" s="505"/>
      <c r="AE135" s="148"/>
      <c r="AF135" s="148"/>
      <c r="BO135" s="86"/>
    </row>
    <row r="136" spans="1:67" ht="15.75" customHeight="1" thickBot="1" x14ac:dyDescent="0.3">
      <c r="A136" s="520">
        <f>IFERROR(VLOOKUP($G$5,'רשימת רשויות'!A:C,3,0),0)</f>
        <v>0</v>
      </c>
      <c r="B136" s="520">
        <f t="shared" si="9"/>
        <v>0</v>
      </c>
      <c r="D136" s="1134"/>
      <c r="E136" s="1137"/>
      <c r="F136" s="580"/>
      <c r="G136" s="580"/>
      <c r="H136" s="147"/>
      <c r="I136" s="149" t="s">
        <v>2197</v>
      </c>
      <c r="J136" s="150">
        <f>MAX(MIN(P133,Q133),0)</f>
        <v>0</v>
      </c>
      <c r="K136" s="580"/>
      <c r="L136" s="580"/>
      <c r="M136" s="580"/>
      <c r="N136" s="580"/>
      <c r="O136" s="580"/>
      <c r="P136" s="615" t="s">
        <v>2317</v>
      </c>
      <c r="Q136" s="624">
        <f>SUM(Q137:Q138)</f>
        <v>0</v>
      </c>
      <c r="R136" s="596"/>
      <c r="S136" s="612"/>
      <c r="T136" s="599">
        <f>G110</f>
        <v>0</v>
      </c>
      <c r="U136" s="578"/>
      <c r="V136" s="579"/>
      <c r="W136" s="579">
        <f t="shared" si="14"/>
        <v>0</v>
      </c>
      <c r="X136" s="579"/>
      <c r="Y136" s="879"/>
      <c r="Z136" s="106"/>
      <c r="AC136" s="504"/>
      <c r="AD136" s="505"/>
      <c r="AF136" s="148"/>
      <c r="BO136" s="86"/>
    </row>
    <row r="137" spans="1:67" ht="16.5" thickBot="1" x14ac:dyDescent="0.3">
      <c r="A137" s="520">
        <f>IFERROR(VLOOKUP($G$5,'רשימת רשויות'!A:C,3,0),0)</f>
        <v>0</v>
      </c>
      <c r="B137" s="520">
        <f t="shared" si="9"/>
        <v>0</v>
      </c>
      <c r="D137" s="1134"/>
      <c r="E137" s="1137"/>
      <c r="F137" s="580"/>
      <c r="G137" s="580"/>
      <c r="H137" s="580"/>
      <c r="I137" s="84" t="s">
        <v>2193</v>
      </c>
      <c r="J137" s="515" t="str">
        <f>IFERROR(1-H134/H133,"")</f>
        <v/>
      </c>
      <c r="K137" s="580"/>
      <c r="L137" s="580"/>
      <c r="M137" s="580"/>
      <c r="N137" s="580"/>
      <c r="O137" s="580"/>
      <c r="P137" s="615" t="s">
        <v>417</v>
      </c>
      <c r="Q137" s="616">
        <f>IFERROR(MAX(H135-I138-Q138,0),0)</f>
        <v>0</v>
      </c>
      <c r="R137" s="596"/>
      <c r="S137" s="600"/>
      <c r="T137" s="599">
        <f>G110</f>
        <v>0</v>
      </c>
      <c r="U137" s="578"/>
      <c r="V137" s="579"/>
      <c r="W137" s="579">
        <f t="shared" si="14"/>
        <v>0</v>
      </c>
      <c r="X137" s="579"/>
      <c r="Y137" s="879"/>
      <c r="Z137" s="106"/>
      <c r="AC137" s="504"/>
      <c r="AD137" s="505"/>
      <c r="BO137" s="86"/>
    </row>
    <row r="138" spans="1:67" ht="17.25" thickBot="1" x14ac:dyDescent="0.3">
      <c r="A138" s="520">
        <f>IFERROR(VLOOKUP($G$5,'רשימת רשויות'!A:C,3,0),0)</f>
        <v>0</v>
      </c>
      <c r="B138" s="520">
        <f t="shared" si="9"/>
        <v>0</v>
      </c>
      <c r="D138" s="1134"/>
      <c r="E138" s="1137"/>
      <c r="F138" s="1143" t="s">
        <v>2679</v>
      </c>
      <c r="G138" s="1143"/>
      <c r="H138" s="1143"/>
      <c r="I138" s="722">
        <f>IF(G115="לא תקין","לא קיימת זכאות לתקציב לאור אי איוש משרות רכז ו/או סגן רכז ",IFERROR(J137*(J136+J133),0))</f>
        <v>0</v>
      </c>
      <c r="J138" s="573"/>
      <c r="K138" s="574"/>
      <c r="L138" s="396"/>
      <c r="M138" s="574"/>
      <c r="N138" s="574"/>
      <c r="O138" s="574"/>
      <c r="P138" s="615" t="s">
        <v>2279</v>
      </c>
      <c r="Q138" s="616">
        <f>MAX(IF(AND(G133&gt;H133,I138&lt;H135),H135-I138,0),0)</f>
        <v>0</v>
      </c>
      <c r="R138" s="575"/>
      <c r="S138" s="576" t="s">
        <v>67</v>
      </c>
      <c r="T138" s="577">
        <f>G110</f>
        <v>0</v>
      </c>
      <c r="U138" s="578"/>
      <c r="V138" s="579">
        <f>I138</f>
        <v>0</v>
      </c>
      <c r="W138" s="579">
        <f>IFERROR(U138-V138,0)</f>
        <v>0</v>
      </c>
      <c r="X138" s="579">
        <f>SUM(X124:X137)</f>
        <v>0</v>
      </c>
      <c r="Y138" s="879"/>
      <c r="Z138" s="106"/>
      <c r="AC138" s="506">
        <v>0</v>
      </c>
      <c r="AD138" s="507">
        <f>IFERROR(U138-AC138,0)</f>
        <v>0</v>
      </c>
      <c r="BO138" s="86"/>
    </row>
    <row r="139" spans="1:67" ht="16.5" thickBot="1" x14ac:dyDescent="0.3">
      <c r="A139" s="520">
        <f>IFERROR(VLOOKUP($G$5,'רשימת רשויות'!A:C,3,0),0)</f>
        <v>0</v>
      </c>
      <c r="B139" s="520">
        <f t="shared" si="9"/>
        <v>0</v>
      </c>
      <c r="D139" s="1135"/>
      <c r="E139" s="1138"/>
      <c r="F139" s="1144" t="s">
        <v>2793</v>
      </c>
      <c r="G139" s="1145"/>
      <c r="H139" s="1145"/>
      <c r="I139" s="593">
        <f>IFERROR(IF(G115="תקין",SUMIFS('סייעות רפואיות או אישיות (7)'!$Q$17:Q$384,'סייעות רפואיות או אישיות (7)'!C$17:C$384,G110),0),0)</f>
        <v>0</v>
      </c>
      <c r="J139" s="151"/>
      <c r="K139" s="152"/>
      <c r="L139" s="409"/>
      <c r="M139" s="152"/>
      <c r="N139" s="152"/>
      <c r="O139" s="152"/>
      <c r="P139" s="613"/>
      <c r="Q139" s="614"/>
      <c r="R139" s="475"/>
      <c r="S139" s="489"/>
      <c r="T139" s="490"/>
      <c r="U139" s="491"/>
      <c r="V139" s="492"/>
      <c r="W139" s="492"/>
      <c r="X139" s="492"/>
      <c r="Y139" s="880"/>
      <c r="Z139" s="153"/>
      <c r="AC139" s="581"/>
      <c r="AD139" s="582"/>
      <c r="BO139" s="86"/>
    </row>
    <row r="140" spans="1:67" ht="34.5" thickBot="1" x14ac:dyDescent="0.55000000000000004">
      <c r="A140" s="520">
        <f>IFERROR(VLOOKUP($G$5,'רשימת רשויות'!A:C,3,0),0)</f>
        <v>0</v>
      </c>
      <c r="B140" s="520">
        <f t="shared" si="9"/>
        <v>0</v>
      </c>
      <c r="E140" s="154"/>
      <c r="I140" s="143"/>
      <c r="J140" s="148"/>
      <c r="O140" s="148"/>
      <c r="T140" s="481"/>
      <c r="BO140" s="86"/>
    </row>
    <row r="141" spans="1:67" s="20" customFormat="1" ht="16.5" customHeight="1" thickBot="1" x14ac:dyDescent="0.3">
      <c r="A141" s="520">
        <f>IFERROR(VLOOKUP($G$5,'רשימת רשויות'!A:C,3,0),0)</f>
        <v>0</v>
      </c>
      <c r="B141" s="520">
        <f t="shared" si="9"/>
        <v>0</v>
      </c>
      <c r="C141" s="39"/>
      <c r="D141" s="1133">
        <f>D110+1</f>
        <v>5</v>
      </c>
      <c r="E141" s="1136" t="str">
        <f>IFERROR(CONCATENATE("בית הספר ",VLOOKUP(G141,'מצבת והרשמה (2)'!$C$21:$D$520,2,0)," - ",$G$5),"")</f>
        <v>בית הספר המוסד לא קיים - 0</v>
      </c>
      <c r="F141" s="720" t="s">
        <v>146</v>
      </c>
      <c r="G141" s="721">
        <f>IFERROR(VLOOKUP(D:D,'דוח ביצוע (3)'!$A$21:$C$900,2,0),0)</f>
        <v>0</v>
      </c>
      <c r="H141" s="79"/>
      <c r="I141" s="80" t="s">
        <v>150</v>
      </c>
      <c r="J141" s="80"/>
      <c r="K141" s="81"/>
      <c r="L141" s="392"/>
      <c r="M141" s="392"/>
      <c r="N141" s="392"/>
      <c r="O141" s="82"/>
      <c r="P141" s="470"/>
      <c r="Q141" s="471"/>
      <c r="R141" s="472"/>
      <c r="S141" s="883"/>
      <c r="T141" s="884"/>
      <c r="U141" s="486"/>
      <c r="V141" s="487"/>
      <c r="W141" s="487"/>
      <c r="X141" s="487"/>
      <c r="Y141" s="885"/>
      <c r="Z141" s="83"/>
      <c r="AC141" s="502"/>
      <c r="AD141" s="503"/>
      <c r="AO141" s="22"/>
      <c r="AP141" s="22"/>
      <c r="AQ141" s="22"/>
      <c r="AR141" s="22"/>
      <c r="AS141" s="22"/>
      <c r="AT141" s="22"/>
      <c r="AU141" s="35"/>
      <c r="AV141" s="35"/>
      <c r="AW141" s="35"/>
      <c r="AX141" s="35"/>
      <c r="AY141" s="35"/>
      <c r="AZ141" s="35"/>
      <c r="BA141" s="35"/>
      <c r="BB141" s="35"/>
      <c r="BC141" s="35"/>
      <c r="BD141" s="35"/>
      <c r="BE141" s="35"/>
      <c r="BF141" s="35"/>
      <c r="BG141" s="35"/>
      <c r="BH141" s="35"/>
      <c r="BI141" s="35"/>
      <c r="BJ141" s="35"/>
      <c r="BK141" s="35"/>
      <c r="BL141" s="35"/>
      <c r="BM141" s="35"/>
      <c r="BN141" s="35"/>
      <c r="BO141" s="78"/>
    </row>
    <row r="142" spans="1:67" s="20" customFormat="1" ht="16.5" thickBot="1" x14ac:dyDescent="0.3">
      <c r="A142" s="520">
        <f>IFERROR(VLOOKUP($G$5,'רשימת רשויות'!A:C,3,0),0)</f>
        <v>0</v>
      </c>
      <c r="B142" s="520">
        <f t="shared" ref="B142:B205" si="18">IF(F143="סמל המוסד",G143,B141)</f>
        <v>0</v>
      </c>
      <c r="C142" s="39"/>
      <c r="D142" s="1134"/>
      <c r="E142" s="1137"/>
      <c r="F142" s="583" t="s">
        <v>145</v>
      </c>
      <c r="G142" s="516" t="str">
        <f>IFERROR(IF((G144+G145)=0,"",IF(VLOOKUP(G141,'דוח ביצוע (3)'!$B$21:$K$900,5,0)&gt;149,"גדול",IF(AND(VLOOKUP(G141,'דוח ביצוע (3)'!$B$21:$K$900,5,0)&gt;0,VLOOKUP(G141,'דוח ביצוע (3)'!$B$21:$K$900,5,0)&lt;150),"קטן",0))),"")</f>
        <v/>
      </c>
      <c r="H142" s="723" t="s">
        <v>88</v>
      </c>
      <c r="I142" s="723" t="s">
        <v>13</v>
      </c>
      <c r="J142" s="725" t="s">
        <v>14</v>
      </c>
      <c r="K142" s="724" t="s">
        <v>94</v>
      </c>
      <c r="L142" s="594"/>
      <c r="M142" s="420" t="s">
        <v>2584</v>
      </c>
      <c r="N142" s="397" t="s">
        <v>413</v>
      </c>
      <c r="O142" s="398" t="s">
        <v>52</v>
      </c>
      <c r="P142" s="595"/>
      <c r="Q142" s="595"/>
      <c r="R142" s="596"/>
      <c r="S142" s="610"/>
      <c r="T142" s="881"/>
      <c r="U142" s="598"/>
      <c r="V142" s="599"/>
      <c r="W142" s="599"/>
      <c r="X142" s="599"/>
      <c r="Y142" s="879"/>
      <c r="Z142" s="85"/>
      <c r="AC142" s="493"/>
      <c r="AD142" s="495"/>
      <c r="AO142" s="22"/>
      <c r="AP142" s="22"/>
      <c r="AQ142" s="22"/>
      <c r="AR142" s="22"/>
      <c r="AS142" s="22"/>
      <c r="AT142" s="22"/>
      <c r="AU142" s="35"/>
      <c r="AV142" s="35"/>
      <c r="AW142" s="35"/>
      <c r="AX142" s="35"/>
      <c r="AY142" s="35"/>
      <c r="AZ142" s="35"/>
      <c r="BA142" s="35"/>
      <c r="BB142" s="35"/>
      <c r="BC142" s="35"/>
      <c r="BD142" s="35"/>
      <c r="BE142" s="35"/>
      <c r="BF142" s="35"/>
      <c r="BG142" s="35"/>
      <c r="BH142" s="35"/>
      <c r="BI142" s="35"/>
      <c r="BJ142" s="35"/>
      <c r="BK142" s="35"/>
      <c r="BL142" s="35"/>
      <c r="BM142" s="35"/>
      <c r="BN142" s="35"/>
      <c r="BO142" s="78"/>
    </row>
    <row r="143" spans="1:67" s="20" customFormat="1" ht="15.75" customHeight="1" thickBot="1" x14ac:dyDescent="0.3">
      <c r="A143" s="520">
        <f>IFERROR(VLOOKUP($G$5,'רשימת רשויות'!A:C,3,0),0)</f>
        <v>0</v>
      </c>
      <c r="B143" s="520">
        <f t="shared" si="18"/>
        <v>0</v>
      </c>
      <c r="C143" s="39"/>
      <c r="D143" s="1134"/>
      <c r="E143" s="1137"/>
      <c r="F143" s="584" t="s">
        <v>144</v>
      </c>
      <c r="G143" s="87">
        <f>IF(G146="תקין",IFERROR(VLOOKUP($G141,'דוח ביצוע (3)'!$B$21:$Q$900,12,0),0),0)</f>
        <v>0</v>
      </c>
      <c r="H143" s="88">
        <f>IFERROR(G144*$AH$6+G145*$AH$7,0)</f>
        <v>0</v>
      </c>
      <c r="I143" s="88">
        <f>IFERROR(G144*$AI$6+G145*$AI$7,0)</f>
        <v>0</v>
      </c>
      <c r="J143" s="88">
        <f>IFERROR(G144*$AJ$6+G145*$AJ$7,0)</f>
        <v>0</v>
      </c>
      <c r="K143" s="88">
        <f>IFERROR(G144*$AK$6+G145*$AK$7,0)</f>
        <v>0</v>
      </c>
      <c r="L143" s="405"/>
      <c r="M143" s="399" t="s">
        <v>427</v>
      </c>
      <c r="N143" s="400" t="str">
        <f>IFERROR(VLOOKUP($G141,'דוח ביצוע (3)'!$B:$AE,28,0),"")</f>
        <v/>
      </c>
      <c r="O143" s="89" t="str">
        <f>IFERROR(VLOOKUP($G141,'דוח ביצוע (3)'!B:AE,29,0),"")</f>
        <v/>
      </c>
      <c r="P143" s="595"/>
      <c r="Q143" s="595"/>
      <c r="R143" s="596"/>
      <c r="S143" s="610"/>
      <c r="T143" s="881"/>
      <c r="U143" s="598"/>
      <c r="V143" s="599"/>
      <c r="W143" s="599"/>
      <c r="X143" s="599"/>
      <c r="Y143" s="879"/>
      <c r="Z143" s="85"/>
      <c r="AC143" s="493"/>
      <c r="AD143" s="495"/>
      <c r="AO143" s="22"/>
      <c r="AP143" s="22"/>
      <c r="AQ143" s="22"/>
      <c r="AR143" s="22"/>
      <c r="AS143" s="22"/>
      <c r="AT143" s="22"/>
      <c r="AU143" s="35"/>
      <c r="AV143" s="35"/>
      <c r="AW143" s="35"/>
      <c r="AX143" s="35"/>
      <c r="AY143" s="35"/>
      <c r="AZ143" s="35"/>
      <c r="BA143" s="35"/>
      <c r="BB143" s="35"/>
      <c r="BC143" s="35"/>
      <c r="BD143" s="35"/>
      <c r="BE143" s="35"/>
      <c r="BF143" s="35"/>
      <c r="BG143" s="35"/>
      <c r="BH143" s="35"/>
      <c r="BI143" s="35"/>
      <c r="BJ143" s="35"/>
      <c r="BK143" s="35"/>
      <c r="BL143" s="35"/>
      <c r="BM143" s="35"/>
      <c r="BN143" s="35"/>
      <c r="BO143" s="78"/>
    </row>
    <row r="144" spans="1:67" s="20" customFormat="1" ht="32.25" thickBot="1" x14ac:dyDescent="0.3">
      <c r="A144" s="520">
        <f>IFERROR(VLOOKUP($G$5,'רשימת רשויות'!A:C,3,0),0)</f>
        <v>0</v>
      </c>
      <c r="B144" s="520">
        <f t="shared" si="18"/>
        <v>0</v>
      </c>
      <c r="C144" s="39"/>
      <c r="D144" s="1134"/>
      <c r="E144" s="1137"/>
      <c r="F144" s="585" t="s">
        <v>2195</v>
      </c>
      <c r="G144" s="89">
        <f>IF(G146="תקין",MAX(N146,0),0)</f>
        <v>0</v>
      </c>
      <c r="H144" s="725" t="s">
        <v>151</v>
      </c>
      <c r="I144" s="725" t="s">
        <v>91</v>
      </c>
      <c r="J144" s="970" t="s">
        <v>3396</v>
      </c>
      <c r="K144" s="601"/>
      <c r="L144" s="601"/>
      <c r="M144" s="983" t="s">
        <v>2585</v>
      </c>
      <c r="N144" s="400" t="str">
        <f>IFERROR(G143/15*N143*1.25,"")</f>
        <v/>
      </c>
      <c r="O144" s="89" t="str">
        <f>IFERROR(G143/15*O143*1.25,"")</f>
        <v/>
      </c>
      <c r="P144" s="595"/>
      <c r="Q144" s="595"/>
      <c r="R144" s="596"/>
      <c r="S144" s="610"/>
      <c r="T144" s="881"/>
      <c r="U144" s="598"/>
      <c r="V144" s="599"/>
      <c r="W144" s="599"/>
      <c r="X144" s="599"/>
      <c r="Y144" s="879"/>
      <c r="Z144" s="85"/>
      <c r="AC144" s="493"/>
      <c r="AD144" s="495"/>
      <c r="AG144" s="22"/>
      <c r="AH144" s="55"/>
      <c r="AI144" s="55"/>
      <c r="AJ144" s="55"/>
      <c r="AK144" s="55"/>
      <c r="AO144" s="22"/>
      <c r="AP144" s="22"/>
      <c r="AQ144" s="22"/>
      <c r="AR144" s="22"/>
      <c r="AS144" s="22"/>
      <c r="AT144" s="22"/>
      <c r="AU144" s="35"/>
      <c r="AV144" s="35"/>
      <c r="AW144" s="35"/>
      <c r="AX144" s="35"/>
      <c r="AY144" s="35"/>
      <c r="AZ144" s="35"/>
      <c r="BA144" s="35"/>
      <c r="BB144" s="35"/>
      <c r="BC144" s="35"/>
      <c r="BD144" s="35"/>
      <c r="BE144" s="35"/>
      <c r="BF144" s="35"/>
      <c r="BG144" s="35"/>
      <c r="BH144" s="35"/>
      <c r="BI144" s="35"/>
      <c r="BJ144" s="35"/>
      <c r="BK144" s="35"/>
      <c r="BL144" s="35"/>
      <c r="BM144" s="35"/>
      <c r="BN144" s="35"/>
      <c r="BO144" s="86"/>
    </row>
    <row r="145" spans="1:67" s="20" customFormat="1" ht="16.5" thickBot="1" x14ac:dyDescent="0.3">
      <c r="A145" s="520">
        <f>IFERROR(VLOOKUP($G$5,'רשימת רשויות'!A:C,3,0),0)</f>
        <v>0</v>
      </c>
      <c r="B145" s="520">
        <f t="shared" si="18"/>
        <v>0</v>
      </c>
      <c r="C145" s="39"/>
      <c r="D145" s="1134"/>
      <c r="E145" s="1137"/>
      <c r="F145" s="585" t="s">
        <v>2196</v>
      </c>
      <c r="G145" s="89">
        <f>IF(G146="תקין",MAX(O146,0),0)</f>
        <v>0</v>
      </c>
      <c r="H145" s="88">
        <f>(IFERROR(IF((G144+G145)=0,0,IF(G142="קטן",G143*$AH$10,G143*$AH$11)),0))+(IFERROR(IF((G144+G145)=0,0,VLOOKUP(G141,'דוח ביצוע (3)'!$B:$AH,33,0)),0))</f>
        <v>0</v>
      </c>
      <c r="I145" s="88">
        <f>IFERROR(IF((G144+G145)=0,0,IF(G142="קטן",G143*$AI$10,G143*$AI$11)),0)</f>
        <v>0</v>
      </c>
      <c r="J145" s="88">
        <f>IFERROR(IF((G144+G145)=0,0,VLOOKUP(G141,'דוח ביצוע (3)'!$B:$AH,32,0)),0)</f>
        <v>0</v>
      </c>
      <c r="K145" s="90"/>
      <c r="L145" s="90"/>
      <c r="M145" s="399" t="s">
        <v>412</v>
      </c>
      <c r="N145" s="400">
        <f>IFERROR(VLOOKUP($G141,'דוח ביצוע (3)'!$B$21:$U$500,18,0),0)</f>
        <v>0</v>
      </c>
      <c r="O145" s="401">
        <f>IFERROR(VLOOKUP($G141,'דוח ביצוע (3)'!$B$21:$U$500,19,0),0)</f>
        <v>0</v>
      </c>
      <c r="P145" s="595"/>
      <c r="Q145" s="595"/>
      <c r="R145" s="596"/>
      <c r="S145" s="610"/>
      <c r="T145" s="881"/>
      <c r="U145" s="598"/>
      <c r="V145" s="599"/>
      <c r="W145" s="599"/>
      <c r="X145" s="599"/>
      <c r="Y145" s="879"/>
      <c r="Z145" s="85"/>
      <c r="AC145" s="493"/>
      <c r="AD145" s="495"/>
      <c r="AG145" s="22"/>
      <c r="AH145" s="55"/>
      <c r="AI145" s="55"/>
      <c r="AJ145" s="55"/>
      <c r="AK145" s="55"/>
      <c r="AO145" s="22"/>
      <c r="AP145" s="22"/>
      <c r="AQ145" s="22"/>
      <c r="AR145" s="22"/>
      <c r="AS145" s="22"/>
      <c r="AT145" s="22"/>
      <c r="AU145" s="35"/>
      <c r="AV145" s="35"/>
      <c r="AW145" s="35"/>
      <c r="AX145" s="35"/>
      <c r="AY145" s="35"/>
      <c r="AZ145" s="35"/>
      <c r="BA145" s="35"/>
      <c r="BB145" s="35"/>
      <c r="BC145" s="35"/>
      <c r="BD145" s="35"/>
      <c r="BE145" s="35"/>
      <c r="BF145" s="35"/>
      <c r="BG145" s="35"/>
      <c r="BH145" s="35"/>
      <c r="BI145" s="35"/>
      <c r="BJ145" s="35"/>
      <c r="BK145" s="35"/>
      <c r="BL145" s="35"/>
      <c r="BM145" s="35"/>
      <c r="BN145" s="35"/>
      <c r="BO145" s="86"/>
    </row>
    <row r="146" spans="1:67" s="20" customFormat="1" ht="16.5" thickBot="1" x14ac:dyDescent="0.3">
      <c r="A146" s="520">
        <f>IFERROR(VLOOKUP($G$5,'רשימת רשויות'!A:C,3,0),0)</f>
        <v>0</v>
      </c>
      <c r="B146" s="520">
        <f t="shared" si="18"/>
        <v>0</v>
      </c>
      <c r="C146" s="39"/>
      <c r="D146" s="1134"/>
      <c r="E146" s="1137"/>
      <c r="F146" s="586" t="s">
        <v>2355</v>
      </c>
      <c r="G146" s="514">
        <f>IFERROR(IF(VLOOKUP('בית ספר - תקצוב לפי מוסד (9)'!G141,' איוש משרות (8)'!$C:$K,9,0)="תקין","תקין","לא תקין"),0)</f>
        <v>0</v>
      </c>
      <c r="H146" s="91"/>
      <c r="I146" s="91"/>
      <c r="J146" s="91"/>
      <c r="K146" s="90"/>
      <c r="L146" s="90"/>
      <c r="M146" s="402" t="s">
        <v>2586</v>
      </c>
      <c r="N146" s="403">
        <f>IFERROR(MIN(N144,N145),0)</f>
        <v>0</v>
      </c>
      <c r="O146" s="404">
        <f>IFERROR(MIN(O144,O145),0)</f>
        <v>0</v>
      </c>
      <c r="P146" s="595"/>
      <c r="Q146" s="595"/>
      <c r="R146" s="596"/>
      <c r="S146" s="610"/>
      <c r="T146" s="881"/>
      <c r="U146" s="598"/>
      <c r="V146" s="599"/>
      <c r="W146" s="599"/>
      <c r="X146" s="599"/>
      <c r="Y146" s="879"/>
      <c r="Z146" s="85"/>
      <c r="AC146" s="493"/>
      <c r="AD146" s="495"/>
      <c r="AG146" s="94"/>
      <c r="AH146" s="40"/>
      <c r="AI146" s="40"/>
      <c r="AJ146" s="40"/>
      <c r="AK146" s="40"/>
      <c r="AO146" s="22"/>
      <c r="AP146" s="22"/>
      <c r="AQ146" s="22"/>
      <c r="AR146" s="22"/>
      <c r="AS146" s="22"/>
      <c r="AT146" s="22"/>
      <c r="AU146" s="35"/>
      <c r="AV146" s="35"/>
      <c r="AW146" s="35"/>
      <c r="AX146" s="35"/>
      <c r="AY146" s="35"/>
      <c r="AZ146" s="35"/>
      <c r="BA146" s="35"/>
      <c r="BB146" s="35"/>
      <c r="BC146" s="35"/>
      <c r="BD146" s="35"/>
      <c r="BE146" s="35"/>
      <c r="BF146" s="35"/>
      <c r="BG146" s="35"/>
      <c r="BH146" s="35"/>
      <c r="BI146" s="35"/>
      <c r="BJ146" s="35"/>
      <c r="BK146" s="35"/>
      <c r="BL146" s="35"/>
      <c r="BM146" s="35"/>
      <c r="BN146" s="35"/>
      <c r="BO146" s="86"/>
    </row>
    <row r="147" spans="1:67" s="55" customFormat="1" ht="37.15" customHeight="1" thickBot="1" x14ac:dyDescent="0.3">
      <c r="A147" s="520">
        <f>IFERROR(VLOOKUP($G$5,'רשימת רשויות'!A:C,3,0),0)</f>
        <v>0</v>
      </c>
      <c r="B147" s="520">
        <f t="shared" si="18"/>
        <v>0</v>
      </c>
      <c r="C147" s="39"/>
      <c r="D147" s="1134"/>
      <c r="E147" s="1137"/>
      <c r="F147" s="587" t="s">
        <v>142</v>
      </c>
      <c r="G147" s="92"/>
      <c r="H147" s="92"/>
      <c r="I147" s="92"/>
      <c r="J147" s="92"/>
      <c r="K147" s="602"/>
      <c r="L147" s="602"/>
      <c r="M147" s="602"/>
      <c r="N147" s="602"/>
      <c r="O147" s="602"/>
      <c r="P147" s="595"/>
      <c r="Q147" s="595"/>
      <c r="R147" s="596"/>
      <c r="S147" s="610"/>
      <c r="T147" s="881"/>
      <c r="U147" s="598"/>
      <c r="V147" s="599"/>
      <c r="W147" s="599"/>
      <c r="X147" s="599"/>
      <c r="Y147" s="879"/>
      <c r="Z147" s="93"/>
      <c r="AC147" s="493"/>
      <c r="AD147" s="495"/>
      <c r="AF147" s="22"/>
      <c r="AG147" s="98"/>
      <c r="AH147" s="98"/>
      <c r="AI147" s="40"/>
      <c r="AJ147" s="40"/>
      <c r="AK147" s="40"/>
      <c r="AO147" s="22"/>
      <c r="AP147" s="22"/>
      <c r="AQ147" s="22"/>
      <c r="AR147" s="22"/>
      <c r="AS147" s="22"/>
      <c r="AT147" s="22"/>
      <c r="AU147" s="35"/>
      <c r="AV147" s="35"/>
      <c r="AW147" s="35"/>
      <c r="AX147" s="35"/>
      <c r="AY147" s="35"/>
      <c r="AZ147" s="35"/>
      <c r="BA147" s="35"/>
      <c r="BB147" s="35"/>
      <c r="BC147" s="35"/>
      <c r="BD147" s="35"/>
      <c r="BE147" s="35"/>
      <c r="BF147" s="35"/>
      <c r="BG147" s="35"/>
      <c r="BH147" s="35"/>
      <c r="BI147" s="35"/>
      <c r="BJ147" s="35"/>
      <c r="BK147" s="35"/>
      <c r="BL147" s="35"/>
      <c r="BM147" s="35"/>
      <c r="BN147" s="35"/>
      <c r="BO147" s="86"/>
    </row>
    <row r="148" spans="1:67" s="40" customFormat="1" ht="31.5" x14ac:dyDescent="0.25">
      <c r="A148" s="520">
        <f>IFERROR(VLOOKUP($G$5,'רשימת רשויות'!A:C,3,0),0)</f>
        <v>0</v>
      </c>
      <c r="B148" s="520">
        <f t="shared" si="18"/>
        <v>0</v>
      </c>
      <c r="C148" s="39"/>
      <c r="D148" s="1134"/>
      <c r="E148" s="1137"/>
      <c r="F148" s="588" t="s">
        <v>94</v>
      </c>
      <c r="G148" s="95" t="s">
        <v>18</v>
      </c>
      <c r="H148" s="95" t="s">
        <v>19</v>
      </c>
      <c r="I148" s="95" t="s">
        <v>138</v>
      </c>
      <c r="J148" s="96" t="s">
        <v>139</v>
      </c>
      <c r="K148" s="603"/>
      <c r="L148" s="603"/>
      <c r="M148" s="603"/>
      <c r="N148" s="603"/>
      <c r="O148" s="603"/>
      <c r="P148" s="604"/>
      <c r="Q148" s="604"/>
      <c r="R148" s="596"/>
      <c r="S148" s="610"/>
      <c r="T148" s="881"/>
      <c r="U148" s="598"/>
      <c r="V148" s="599"/>
      <c r="W148" s="599"/>
      <c r="X148" s="599"/>
      <c r="Y148" s="879"/>
      <c r="Z148" s="97"/>
      <c r="AA148" s="94"/>
      <c r="AB148" s="94"/>
      <c r="AC148" s="493"/>
      <c r="AD148" s="495"/>
      <c r="AE148" s="94"/>
      <c r="AG148" s="98"/>
      <c r="AH148" s="98"/>
      <c r="AO148" s="22"/>
      <c r="AP148" s="22"/>
      <c r="AQ148" s="22"/>
      <c r="AR148" s="22"/>
      <c r="AS148" s="22"/>
      <c r="AT148" s="22"/>
      <c r="AU148" s="35"/>
      <c r="AV148" s="35"/>
      <c r="AW148" s="35"/>
      <c r="AX148" s="35"/>
      <c r="AY148" s="35"/>
      <c r="AZ148" s="35"/>
      <c r="BA148" s="35"/>
      <c r="BB148" s="35"/>
      <c r="BC148" s="35"/>
      <c r="BD148" s="35"/>
      <c r="BE148" s="35"/>
      <c r="BF148" s="35"/>
      <c r="BG148" s="35"/>
      <c r="BH148" s="35"/>
      <c r="BI148" s="35"/>
      <c r="BJ148" s="35"/>
      <c r="BK148" s="35"/>
      <c r="BL148" s="35"/>
      <c r="BM148" s="35"/>
      <c r="BN148" s="35"/>
      <c r="BO148" s="86"/>
    </row>
    <row r="149" spans="1:67" s="40" customFormat="1" ht="15.75" customHeight="1" thickBot="1" x14ac:dyDescent="0.3">
      <c r="A149" s="520">
        <f>IFERROR(VLOOKUP($G$5,'רשימת רשויות'!A:C,3,0),0)</f>
        <v>0</v>
      </c>
      <c r="B149" s="520">
        <f t="shared" si="18"/>
        <v>0</v>
      </c>
      <c r="C149" s="39"/>
      <c r="D149" s="1134"/>
      <c r="E149" s="1137"/>
      <c r="F149" s="589" t="s">
        <v>2280</v>
      </c>
      <c r="G149" s="99">
        <f>+G160</f>
        <v>0</v>
      </c>
      <c r="H149" s="100">
        <f>K143</f>
        <v>0</v>
      </c>
      <c r="I149" s="100">
        <f>H149-I151</f>
        <v>0</v>
      </c>
      <c r="J149" s="101">
        <f>IFERROR(I149/H149,0)</f>
        <v>0</v>
      </c>
      <c r="K149" s="603"/>
      <c r="L149" s="603"/>
      <c r="M149" s="603"/>
      <c r="N149" s="603"/>
      <c r="O149" s="603"/>
      <c r="P149" s="605"/>
      <c r="Q149" s="604"/>
      <c r="R149" s="606" t="s">
        <v>157</v>
      </c>
      <c r="S149" s="611"/>
      <c r="T149" s="881"/>
      <c r="U149" s="598"/>
      <c r="V149" s="599"/>
      <c r="W149" s="599"/>
      <c r="X149" s="599"/>
      <c r="Y149" s="879"/>
      <c r="Z149" s="102"/>
      <c r="AA149" s="122"/>
      <c r="AB149" s="122"/>
      <c r="AC149" s="493"/>
      <c r="AD149" s="495"/>
      <c r="AE149" s="122"/>
      <c r="AF149" s="22"/>
      <c r="AG149" s="98"/>
      <c r="AH149" s="98"/>
      <c r="AI149" s="20"/>
      <c r="AO149" s="22"/>
      <c r="AP149" s="22"/>
      <c r="AQ149" s="22"/>
      <c r="AR149" s="22"/>
      <c r="AS149" s="22"/>
      <c r="AT149" s="22"/>
      <c r="AU149" s="35"/>
      <c r="AV149" s="35"/>
      <c r="AW149" s="35"/>
      <c r="AX149" s="35"/>
      <c r="AY149" s="35"/>
      <c r="AZ149" s="35"/>
      <c r="BA149" s="35"/>
      <c r="BB149" s="35"/>
      <c r="BC149" s="35"/>
      <c r="BD149" s="35"/>
      <c r="BE149" s="35"/>
      <c r="BF149" s="35"/>
      <c r="BG149" s="35"/>
      <c r="BH149" s="35"/>
      <c r="BI149" s="35"/>
      <c r="BJ149" s="35"/>
      <c r="BK149" s="35"/>
      <c r="BL149" s="35"/>
      <c r="BM149" s="35"/>
      <c r="BN149" s="35"/>
      <c r="BO149" s="86"/>
    </row>
    <row r="150" spans="1:67" s="40" customFormat="1" ht="15.75" customHeight="1" thickBot="1" x14ac:dyDescent="0.3">
      <c r="A150" s="520">
        <f>IFERROR(VLOOKUP($G$5,'רשימת רשויות'!A:C,3,0),0)</f>
        <v>0</v>
      </c>
      <c r="B150" s="520">
        <f t="shared" si="18"/>
        <v>0</v>
      </c>
      <c r="C150" s="39"/>
      <c r="D150" s="1134"/>
      <c r="E150" s="1137"/>
      <c r="F150" s="589" t="s">
        <v>2281</v>
      </c>
      <c r="G150" s="99">
        <f>+G159</f>
        <v>0</v>
      </c>
      <c r="H150" s="103"/>
      <c r="I150" s="104"/>
      <c r="J150" s="105"/>
      <c r="K150" s="603"/>
      <c r="L150" s="603"/>
      <c r="M150" s="603"/>
      <c r="N150" s="603"/>
      <c r="O150" s="603"/>
      <c r="P150" s="605"/>
      <c r="Q150" s="604"/>
      <c r="R150" s="473">
        <f>I151-R152</f>
        <v>0</v>
      </c>
      <c r="S150" s="611"/>
      <c r="T150" s="881"/>
      <c r="U150" s="598"/>
      <c r="V150" s="599"/>
      <c r="W150" s="599"/>
      <c r="X150" s="599"/>
      <c r="Y150" s="879"/>
      <c r="Z150" s="106"/>
      <c r="AA150" s="22"/>
      <c r="AB150" s="22"/>
      <c r="AC150" s="493"/>
      <c r="AD150" s="495"/>
      <c r="AE150" s="22"/>
      <c r="AF150" s="22"/>
      <c r="AG150" s="98"/>
      <c r="AH150" s="98"/>
      <c r="AI150" s="20"/>
      <c r="AO150" s="22"/>
      <c r="AP150" s="22"/>
      <c r="AQ150" s="22"/>
      <c r="AR150" s="22"/>
      <c r="AS150" s="22"/>
      <c r="AT150" s="22"/>
      <c r="AU150" s="35"/>
      <c r="AV150" s="35"/>
      <c r="AW150" s="35"/>
      <c r="AX150" s="35"/>
      <c r="AY150" s="35"/>
      <c r="AZ150" s="35"/>
      <c r="BA150" s="35"/>
      <c r="BB150" s="35"/>
      <c r="BC150" s="35"/>
      <c r="BD150" s="35"/>
      <c r="BE150" s="35"/>
      <c r="BF150" s="35"/>
      <c r="BG150" s="35"/>
      <c r="BH150" s="35"/>
      <c r="BI150" s="35"/>
      <c r="BJ150" s="35"/>
      <c r="BK150" s="35"/>
      <c r="BL150" s="35"/>
      <c r="BM150" s="35"/>
      <c r="BN150" s="35"/>
      <c r="BO150" s="86"/>
    </row>
    <row r="151" spans="1:67" s="40" customFormat="1" ht="16.5" customHeight="1" thickBot="1" x14ac:dyDescent="0.3">
      <c r="A151" s="520">
        <f>IFERROR(VLOOKUP($G$5,'רשימת רשויות'!A:C,3,0),0)</f>
        <v>0</v>
      </c>
      <c r="B151" s="520">
        <f t="shared" si="18"/>
        <v>0</v>
      </c>
      <c r="C151" s="39"/>
      <c r="D151" s="1134"/>
      <c r="E151" s="1137"/>
      <c r="F151" s="589" t="s">
        <v>2282</v>
      </c>
      <c r="G151" s="99">
        <f>G155+G156+G157</f>
        <v>0</v>
      </c>
      <c r="H151" s="104"/>
      <c r="I151" s="107">
        <f>MAX(H149-G149-G150,0)</f>
        <v>0</v>
      </c>
      <c r="J151" s="108">
        <f>IFERROR(I151/H149,0)</f>
        <v>0</v>
      </c>
      <c r="K151" s="603"/>
      <c r="L151" s="603"/>
      <c r="M151" s="603"/>
      <c r="N151" s="603"/>
      <c r="O151" s="603"/>
      <c r="P151" s="604"/>
      <c r="Q151" s="604"/>
      <c r="R151" s="606" t="s">
        <v>158</v>
      </c>
      <c r="S151" s="612"/>
      <c r="T151" s="881"/>
      <c r="U151" s="598"/>
      <c r="V151" s="599"/>
      <c r="W151" s="599"/>
      <c r="X151" s="599"/>
      <c r="Y151" s="879"/>
      <c r="Z151" s="106"/>
      <c r="AA151" s="22"/>
      <c r="AB151" s="22"/>
      <c r="AC151" s="493"/>
      <c r="AD151" s="495"/>
      <c r="AE151" s="22"/>
      <c r="AF151" s="22"/>
      <c r="AG151" s="22"/>
      <c r="AH151" s="22"/>
      <c r="AI151" s="55"/>
      <c r="AJ151" s="22"/>
      <c r="AK151" s="22"/>
      <c r="AO151" s="22"/>
      <c r="AP151" s="22"/>
      <c r="AQ151" s="22"/>
      <c r="AR151" s="22"/>
      <c r="AS151" s="22"/>
      <c r="AT151" s="22"/>
      <c r="AU151" s="35"/>
      <c r="AV151" s="35"/>
      <c r="AW151" s="35"/>
      <c r="AX151" s="35"/>
      <c r="AY151" s="35"/>
      <c r="AZ151" s="35"/>
      <c r="BA151" s="35"/>
      <c r="BB151" s="35"/>
      <c r="BC151" s="35"/>
      <c r="BD151" s="35"/>
      <c r="BE151" s="35"/>
      <c r="BF151" s="35"/>
      <c r="BG151" s="35"/>
      <c r="BH151" s="35"/>
      <c r="BI151" s="35"/>
      <c r="BJ151" s="35"/>
      <c r="BK151" s="35"/>
      <c r="BL151" s="35"/>
      <c r="BM151" s="35"/>
      <c r="BN151" s="35"/>
      <c r="BO151" s="86"/>
    </row>
    <row r="152" spans="1:67" s="40" customFormat="1" ht="15.75" customHeight="1" thickBot="1" x14ac:dyDescent="0.3">
      <c r="A152" s="520">
        <f>IFERROR(VLOOKUP($G$5,'רשימת רשויות'!A:C,3,0),0)</f>
        <v>0</v>
      </c>
      <c r="B152" s="520">
        <f t="shared" si="18"/>
        <v>0</v>
      </c>
      <c r="C152" s="39"/>
      <c r="D152" s="1134"/>
      <c r="E152" s="1137"/>
      <c r="F152" s="590" t="s">
        <v>2290</v>
      </c>
      <c r="G152" s="109"/>
      <c r="H152" s="110"/>
      <c r="I152" s="111">
        <f>SUM(I149:I151)</f>
        <v>0</v>
      </c>
      <c r="J152" s="112">
        <f>SUM(J149:J151)</f>
        <v>0</v>
      </c>
      <c r="K152" s="603"/>
      <c r="L152" s="603"/>
      <c r="M152" s="603"/>
      <c r="N152" s="603"/>
      <c r="O152" s="603"/>
      <c r="P152" s="604"/>
      <c r="Q152" s="604"/>
      <c r="R152" s="473">
        <f>MIN(MAX(G156+G157-I145-J145,0),I151)</f>
        <v>0</v>
      </c>
      <c r="S152" s="612"/>
      <c r="T152" s="881"/>
      <c r="U152" s="598"/>
      <c r="V152" s="599"/>
      <c r="W152" s="599"/>
      <c r="X152" s="599"/>
      <c r="Y152" s="879"/>
      <c r="Z152" s="106"/>
      <c r="AA152" s="22"/>
      <c r="AB152" s="22"/>
      <c r="AC152" s="493"/>
      <c r="AD152" s="495"/>
      <c r="AE152" s="22"/>
      <c r="AF152" s="22"/>
      <c r="AG152" s="22"/>
      <c r="AH152" s="22"/>
      <c r="AJ152" s="22"/>
      <c r="AK152" s="22"/>
      <c r="AO152" s="22"/>
      <c r="AP152" s="22"/>
      <c r="AQ152" s="22"/>
      <c r="AR152" s="22"/>
      <c r="AS152" s="22"/>
      <c r="AT152" s="22"/>
      <c r="AU152" s="35"/>
      <c r="AV152" s="35"/>
      <c r="AW152" s="35"/>
      <c r="AX152" s="35"/>
      <c r="AY152" s="35"/>
      <c r="AZ152" s="35"/>
      <c r="BA152" s="35"/>
      <c r="BB152" s="35"/>
      <c r="BC152" s="35"/>
      <c r="BD152" s="35"/>
      <c r="BE152" s="35"/>
      <c r="BF152" s="35"/>
      <c r="BG152" s="35"/>
      <c r="BH152" s="35"/>
      <c r="BI152" s="35"/>
      <c r="BJ152" s="35"/>
      <c r="BK152" s="35"/>
      <c r="BL152" s="35"/>
      <c r="BM152" s="35"/>
      <c r="BN152" s="35"/>
      <c r="BO152" s="86"/>
    </row>
    <row r="153" spans="1:67" ht="16.5" thickBot="1" x14ac:dyDescent="0.3">
      <c r="A153" s="520">
        <f>IFERROR(VLOOKUP($G$5,'רשימת רשויות'!A:C,3,0),0)</f>
        <v>0</v>
      </c>
      <c r="B153" s="520">
        <f t="shared" si="18"/>
        <v>0</v>
      </c>
      <c r="D153" s="1134"/>
      <c r="E153" s="1137"/>
      <c r="F153" s="587" t="s">
        <v>17</v>
      </c>
      <c r="G153" s="113"/>
      <c r="H153" s="92"/>
      <c r="I153" s="114"/>
      <c r="J153" s="115"/>
      <c r="K153" s="116"/>
      <c r="L153" s="406"/>
      <c r="M153" s="116"/>
      <c r="N153" s="116"/>
      <c r="O153" s="116"/>
      <c r="P153" s="474"/>
      <c r="Q153" s="607"/>
      <c r="R153" s="608"/>
      <c r="S153" s="612"/>
      <c r="T153" s="881"/>
      <c r="U153" s="598"/>
      <c r="V153" s="599"/>
      <c r="W153" s="599"/>
      <c r="X153" s="599"/>
      <c r="Y153" s="879"/>
      <c r="Z153" s="106"/>
      <c r="AI153" s="40"/>
      <c r="BO153" s="86"/>
    </row>
    <row r="154" spans="1:67" ht="47.25" x14ac:dyDescent="0.25">
      <c r="A154" s="520">
        <f>IFERROR(VLOOKUP($G$5,'רשימת רשויות'!A:C,3,0),0)</f>
        <v>0</v>
      </c>
      <c r="B154" s="520">
        <f t="shared" si="18"/>
        <v>0</v>
      </c>
      <c r="D154" s="1134"/>
      <c r="E154" s="1137"/>
      <c r="F154" s="588" t="s">
        <v>2</v>
      </c>
      <c r="G154" s="95" t="s">
        <v>18</v>
      </c>
      <c r="H154" s="95" t="s">
        <v>19</v>
      </c>
      <c r="I154" s="95" t="s">
        <v>20</v>
      </c>
      <c r="J154" s="95" t="s">
        <v>22</v>
      </c>
      <c r="K154" s="96" t="s">
        <v>2314</v>
      </c>
      <c r="L154" s="609"/>
      <c r="M154" s="609"/>
      <c r="N154" s="609"/>
      <c r="O154" s="580"/>
      <c r="P154" s="618" t="s">
        <v>2298</v>
      </c>
      <c r="Q154" s="618" t="s">
        <v>2299</v>
      </c>
      <c r="R154" s="596"/>
      <c r="S154" s="890" t="s">
        <v>2519</v>
      </c>
      <c r="T154" s="890" t="s">
        <v>97</v>
      </c>
      <c r="U154" s="891" t="s">
        <v>2521</v>
      </c>
      <c r="V154" s="892" t="s">
        <v>2520</v>
      </c>
      <c r="W154" s="893" t="s">
        <v>2524</v>
      </c>
      <c r="X154" s="892" t="s">
        <v>2522</v>
      </c>
      <c r="Y154" s="894" t="s">
        <v>2523</v>
      </c>
      <c r="Z154" s="106"/>
      <c r="AC154" s="498" t="s">
        <v>2568</v>
      </c>
      <c r="AD154" s="499" t="s">
        <v>2569</v>
      </c>
      <c r="AF154" s="122"/>
      <c r="AI154" s="40"/>
      <c r="BO154" s="86"/>
    </row>
    <row r="155" spans="1:67" ht="15" customHeight="1" thickBot="1" x14ac:dyDescent="0.3">
      <c r="A155" s="520">
        <f>IFERROR(VLOOKUP($G$5,'רשימת רשויות'!A:C,3,0),0)</f>
        <v>0</v>
      </c>
      <c r="B155" s="520">
        <f t="shared" si="18"/>
        <v>0</v>
      </c>
      <c r="D155" s="1134"/>
      <c r="E155" s="1137"/>
      <c r="F155" s="589" t="s">
        <v>76</v>
      </c>
      <c r="G155" s="117">
        <f>IF(G146="תקין",SUMIF('עלויות כח אדם (6)'!$B$15:$B$3014,'בית ספר - תקצוב לפי מוסד (9)'!$G141,'עלויות כח אדם (6)'!$M$15:$M$3014)-VLOOKUP('בית ספר - תקצוב לפי מוסד (9)'!G141,' איוש משרות (8)'!$C:$H,5,0)-VLOOKUP('בית ספר - תקצוב לפי מוסד (9)'!G141,' איוש משרות (8)'!$C:$H,6,0),0)-Y155</f>
        <v>0</v>
      </c>
      <c r="H155" s="118">
        <f>I143+R150</f>
        <v>0</v>
      </c>
      <c r="I155" s="119">
        <f>IFERROR(SUM(G155)/H155,0)</f>
        <v>0</v>
      </c>
      <c r="J155" s="100">
        <f>MIN(I143+R150,IF(ISNUMBER(G155),G155,0))</f>
        <v>0</v>
      </c>
      <c r="K155" s="120">
        <f>MAX(H155-G155,0)</f>
        <v>0</v>
      </c>
      <c r="L155" s="407"/>
      <c r="M155" s="393"/>
      <c r="N155" s="393"/>
      <c r="O155" s="580"/>
      <c r="P155" s="968">
        <f>IFERROR(IF(SUM(G155)/(I143)&lt;100%,MIN((I143)-SUM(G155),(I143)*0.25),0),0)</f>
        <v>0</v>
      </c>
      <c r="Q155" s="968">
        <f>IF(SUM(G155)-(I143+R150)&gt;0,SUM(G155)-(I143+R150),0)</f>
        <v>0</v>
      </c>
      <c r="R155" s="596" t="s">
        <v>2351</v>
      </c>
      <c r="S155" s="576" t="s">
        <v>2342</v>
      </c>
      <c r="T155" s="599">
        <f>G141</f>
        <v>0</v>
      </c>
      <c r="U155" s="578"/>
      <c r="V155" s="579">
        <f>G155+G156+G157</f>
        <v>0</v>
      </c>
      <c r="W155" s="579">
        <f>U155-V155</f>
        <v>0</v>
      </c>
      <c r="X155" s="579">
        <f>IFERROR(W169*W155/(SUM(W155:W168)),0)</f>
        <v>0</v>
      </c>
      <c r="Y155" s="879">
        <f>SUMIFS(בקרה!$S:$S,בקרה!$D:$D,T155,בקרה!$K:$K,S155)</f>
        <v>0</v>
      </c>
      <c r="Z155" s="121"/>
      <c r="AA155" s="143"/>
      <c r="AB155" s="143"/>
      <c r="AC155" s="504">
        <v>0</v>
      </c>
      <c r="AD155" s="505">
        <f>IFERROR(U155-AC155,0)</f>
        <v>0</v>
      </c>
      <c r="AE155" s="143"/>
      <c r="AI155" s="20"/>
      <c r="BO155" s="86"/>
    </row>
    <row r="156" spans="1:67" ht="15" customHeight="1" thickBot="1" x14ac:dyDescent="0.3">
      <c r="A156" s="520">
        <f>IFERROR(VLOOKUP($G$5,'רשימת רשויות'!A:C,3,0),0)</f>
        <v>0</v>
      </c>
      <c r="B156" s="520">
        <f t="shared" si="18"/>
        <v>0</v>
      </c>
      <c r="D156" s="1134"/>
      <c r="E156" s="1137"/>
      <c r="F156" s="589" t="s">
        <v>44</v>
      </c>
      <c r="G156" s="123">
        <f>IF(G146="תקין",IFERROR(VLOOKUP('בית ספר - תקצוב לפי מוסד (9)'!G141,' איוש משרות (8)'!C:J,7,0),0),0)</f>
        <v>0</v>
      </c>
      <c r="H156" s="124">
        <f>I145+R152+J145</f>
        <v>0</v>
      </c>
      <c r="I156" s="119">
        <f>IFERROR(SUM(G156:G157)/H156,0)</f>
        <v>0</v>
      </c>
      <c r="J156" s="100">
        <f>MIN(R152+I145,IF(ISNUMBER(SUM(G156:G157)),SUM(G156:G157),0))</f>
        <v>0</v>
      </c>
      <c r="K156" s="1139">
        <f>MAX((H156)-(G156+G157),0)</f>
        <v>0</v>
      </c>
      <c r="L156" s="407"/>
      <c r="M156" s="393"/>
      <c r="N156" s="393"/>
      <c r="O156" s="580"/>
      <c r="P156" s="1140"/>
      <c r="Q156" s="1140"/>
      <c r="R156" s="617">
        <f>MAX(MIN(P164-Q164,H164*0.15-G162),0)</f>
        <v>0</v>
      </c>
      <c r="S156" s="576"/>
      <c r="T156" s="599">
        <f>G141</f>
        <v>0</v>
      </c>
      <c r="U156" s="578"/>
      <c r="V156" s="579"/>
      <c r="W156" s="579">
        <f t="shared" ref="W156:W168" si="19">U156-V156</f>
        <v>0</v>
      </c>
      <c r="X156" s="579"/>
      <c r="Y156" s="879"/>
      <c r="Z156" s="121"/>
      <c r="AA156" s="143"/>
      <c r="AB156" s="143"/>
      <c r="AC156" s="504"/>
      <c r="AD156" s="505">
        <f t="shared" ref="AD156:AD162" si="20">IFERROR(U156-AC156,0)</f>
        <v>0</v>
      </c>
      <c r="AE156" s="143"/>
      <c r="AI156" s="20"/>
      <c r="BO156" s="86"/>
    </row>
    <row r="157" spans="1:67" ht="15.75" customHeight="1" x14ac:dyDescent="0.25">
      <c r="A157" s="520">
        <f>IFERROR(VLOOKUP($G$5,'רשימת רשויות'!A:C,3,0),0)</f>
        <v>0</v>
      </c>
      <c r="B157" s="520">
        <f t="shared" si="18"/>
        <v>0</v>
      </c>
      <c r="D157" s="1134"/>
      <c r="E157" s="1137"/>
      <c r="F157" s="589" t="s">
        <v>45</v>
      </c>
      <c r="G157" s="123">
        <f>IF(G146="תקין",IFERROR(VLOOKUP('בית ספר - תקצוב לפי מוסד (9)'!G141,' איוש משרות (8)'!C:J,8,0),0),0)</f>
        <v>0</v>
      </c>
      <c r="H157" s="125"/>
      <c r="I157" s="126"/>
      <c r="J157" s="104"/>
      <c r="K157" s="1139"/>
      <c r="L157" s="407"/>
      <c r="M157" s="393"/>
      <c r="N157" s="393"/>
      <c r="O157" s="580"/>
      <c r="P157" s="1140"/>
      <c r="Q157" s="1140"/>
      <c r="R157" s="596"/>
      <c r="S157" s="576"/>
      <c r="T157" s="599">
        <f>G141</f>
        <v>0</v>
      </c>
      <c r="U157" s="578"/>
      <c r="V157" s="579"/>
      <c r="W157" s="579">
        <f t="shared" si="19"/>
        <v>0</v>
      </c>
      <c r="X157" s="579"/>
      <c r="Y157" s="879"/>
      <c r="Z157" s="121"/>
      <c r="AA157" s="143"/>
      <c r="AB157" s="143"/>
      <c r="AC157" s="504"/>
      <c r="AD157" s="505">
        <f t="shared" si="20"/>
        <v>0</v>
      </c>
      <c r="AE157" s="143"/>
      <c r="AG157" s="55"/>
      <c r="AH157" s="55"/>
      <c r="AI157" s="55"/>
      <c r="AJ157" s="55"/>
      <c r="AK157" s="55"/>
      <c r="BO157" s="86"/>
    </row>
    <row r="158" spans="1:67" ht="15.75" customHeight="1" x14ac:dyDescent="0.25">
      <c r="A158" s="520">
        <f>IFERROR(VLOOKUP($G$5,'רשימת רשויות'!A:C,3,0),0)</f>
        <v>0</v>
      </c>
      <c r="B158" s="520">
        <f t="shared" si="18"/>
        <v>0</v>
      </c>
      <c r="D158" s="1134"/>
      <c r="E158" s="1137"/>
      <c r="F158" s="589" t="s">
        <v>0</v>
      </c>
      <c r="G158" s="117">
        <f>IF(G146="תקין",SUMIFS('דוח הוצאות בפועל (4)'!$E$17:$E$3016,'דוח הוצאות בפועל (4)'!$B$17:$B$3016,'בית ספר - תקצוב לפי מוסד (9)'!$G141,'דוח הוצאות בפועל (4)'!$M$17:$M$3016,"הע"),0)-Y158</f>
        <v>0</v>
      </c>
      <c r="H158" s="127">
        <f>J143</f>
        <v>0</v>
      </c>
      <c r="I158" s="128">
        <f>IFERROR(G158/H158,0)</f>
        <v>0</v>
      </c>
      <c r="J158" s="129">
        <f>MIN(IF(ISNUMBER(G158),G158,0),H158)</f>
        <v>0</v>
      </c>
      <c r="K158" s="120">
        <f>MAX(H158-G158,0)</f>
        <v>0</v>
      </c>
      <c r="L158" s="407"/>
      <c r="M158" s="393"/>
      <c r="N158" s="393"/>
      <c r="O158" s="580"/>
      <c r="P158" s="968">
        <f>MAX(IF(I158&lt;100%,MIN((H158-G158),H158*0.25),0),0)</f>
        <v>0</v>
      </c>
      <c r="Q158" s="619">
        <f>IF(G158-H158&gt;0,G158-H158,0)</f>
        <v>0</v>
      </c>
      <c r="R158" s="596"/>
      <c r="S158" s="610" t="s">
        <v>0</v>
      </c>
      <c r="T158" s="599">
        <f>G141</f>
        <v>0</v>
      </c>
      <c r="U158" s="578"/>
      <c r="V158" s="579">
        <f>G158</f>
        <v>0</v>
      </c>
      <c r="W158" s="579">
        <f t="shared" si="19"/>
        <v>0</v>
      </c>
      <c r="X158" s="579">
        <f>IFERROR(W169*W158/(SUM(W155:W168)),0)</f>
        <v>0</v>
      </c>
      <c r="Y158" s="879">
        <f>SUMIFS(בקרה!$S:$S,בקרה!$D:$D,T158,בקרה!$K:$K,S158)</f>
        <v>0</v>
      </c>
      <c r="Z158" s="121"/>
      <c r="AA158" s="143"/>
      <c r="AB158" s="143"/>
      <c r="AC158" s="504">
        <v>0</v>
      </c>
      <c r="AD158" s="505">
        <f t="shared" si="20"/>
        <v>0</v>
      </c>
      <c r="AE158" s="143"/>
      <c r="AG158" s="55"/>
      <c r="AH158" s="55"/>
      <c r="AI158" s="40"/>
      <c r="AJ158" s="55"/>
      <c r="AK158" s="55"/>
      <c r="BO158" s="86"/>
    </row>
    <row r="159" spans="1:67" s="55" customFormat="1" ht="15.75" customHeight="1" x14ac:dyDescent="0.25">
      <c r="A159" s="520">
        <f>IFERROR(VLOOKUP($G$5,'רשימת רשויות'!A:C,3,0),0)</f>
        <v>0</v>
      </c>
      <c r="B159" s="520">
        <f t="shared" si="18"/>
        <v>0</v>
      </c>
      <c r="C159" s="39"/>
      <c r="D159" s="1134"/>
      <c r="E159" s="1137"/>
      <c r="F159" s="589" t="s">
        <v>93</v>
      </c>
      <c r="G159" s="130">
        <f>IF(G146="תקין",SUMIFS('דוח הוצאות בפועל (4)'!$E$17:$E$3016,'דוח הוצאות בפועל (4)'!$B$17:$B$3016,'בית ספר - תקצוב לפי מוסד (9)'!$G141,'דוח הוצאות בפועל (4)'!$M$17:$M$3016,"אר"),0)-Y159</f>
        <v>0</v>
      </c>
      <c r="H159" s="118">
        <f>$I149</f>
        <v>0</v>
      </c>
      <c r="I159" s="131">
        <f>IFERROR((G159+G160)/H159,0)</f>
        <v>0</v>
      </c>
      <c r="J159" s="100">
        <f>MIN((IF(ISNUMBER(G159),G159,0)+IF(ISNUMBER(G160),G160,0)),H159)</f>
        <v>0</v>
      </c>
      <c r="K159" s="1139">
        <f>MAX((H159)-(G159+G160),0)</f>
        <v>0</v>
      </c>
      <c r="L159" s="407"/>
      <c r="M159" s="393"/>
      <c r="N159" s="393"/>
      <c r="O159" s="602"/>
      <c r="P159" s="1141"/>
      <c r="Q159" s="1142"/>
      <c r="R159" s="596"/>
      <c r="S159" s="610" t="s">
        <v>93</v>
      </c>
      <c r="T159" s="599">
        <f>G141</f>
        <v>0</v>
      </c>
      <c r="U159" s="578"/>
      <c r="V159" s="579">
        <f t="shared" ref="V159:V160" si="21">G159</f>
        <v>0</v>
      </c>
      <c r="W159" s="579">
        <f t="shared" si="19"/>
        <v>0</v>
      </c>
      <c r="X159" s="579">
        <f>IFERROR(W169*W159/(SUM(W155:W168)),0)</f>
        <v>0</v>
      </c>
      <c r="Y159" s="879">
        <f>SUMIFS(בקרה!$S:$S,בקרה!$D:$D,T159,בקרה!$K:$K,S159)</f>
        <v>0</v>
      </c>
      <c r="Z159" s="121"/>
      <c r="AA159" s="143"/>
      <c r="AB159" s="143"/>
      <c r="AC159" s="504">
        <v>0</v>
      </c>
      <c r="AD159" s="505">
        <f t="shared" si="20"/>
        <v>0</v>
      </c>
      <c r="AE159" s="143"/>
      <c r="AJ159" s="22"/>
      <c r="AO159" s="22"/>
      <c r="AP159" s="22"/>
      <c r="AQ159" s="22"/>
      <c r="AR159" s="22"/>
      <c r="AS159" s="22"/>
      <c r="AT159" s="22"/>
      <c r="AU159" s="35"/>
      <c r="AV159" s="35"/>
      <c r="AW159" s="35"/>
      <c r="AX159" s="35"/>
      <c r="AY159" s="35"/>
      <c r="AZ159" s="35"/>
      <c r="BA159" s="35"/>
      <c r="BB159" s="35"/>
      <c r="BC159" s="35"/>
      <c r="BD159" s="35"/>
      <c r="BE159" s="35"/>
      <c r="BF159" s="35"/>
      <c r="BG159" s="35"/>
      <c r="BH159" s="35"/>
      <c r="BI159" s="35"/>
      <c r="BJ159" s="35"/>
      <c r="BK159" s="35"/>
      <c r="BL159" s="35"/>
      <c r="BM159" s="35"/>
      <c r="BN159" s="35"/>
      <c r="BO159" s="86"/>
    </row>
    <row r="160" spans="1:67" s="55" customFormat="1" ht="15.75" customHeight="1" x14ac:dyDescent="0.25">
      <c r="A160" s="520">
        <f>IFERROR(VLOOKUP($G$5,'רשימת רשויות'!A:C,3,0),0)</f>
        <v>0</v>
      </c>
      <c r="B160" s="520">
        <f t="shared" si="18"/>
        <v>0</v>
      </c>
      <c r="C160" s="39"/>
      <c r="D160" s="1134"/>
      <c r="E160" s="1137"/>
      <c r="F160" s="589" t="s">
        <v>46</v>
      </c>
      <c r="G160" s="130">
        <f>IF(G146="תקין",SUMIFS('דוח הוצאות בפועל (4)'!$E$17:$E$3016,'דוח הוצאות בפועל (4)'!$B$17:$B$3016,'בית ספר - תקצוב לפי מוסד (9)'!$G141,'דוח הוצאות בפועל (4)'!$M$17:$M$3016,"מל"),0)-Y160</f>
        <v>0</v>
      </c>
      <c r="H160" s="132"/>
      <c r="I160" s="133"/>
      <c r="J160" s="104"/>
      <c r="K160" s="1139"/>
      <c r="L160" s="407"/>
      <c r="M160" s="393"/>
      <c r="N160" s="393"/>
      <c r="O160" s="602"/>
      <c r="P160" s="1141"/>
      <c r="Q160" s="1142"/>
      <c r="R160" s="596"/>
      <c r="S160" s="610" t="s">
        <v>46</v>
      </c>
      <c r="T160" s="599">
        <f>G141</f>
        <v>0</v>
      </c>
      <c r="U160" s="578"/>
      <c r="V160" s="579">
        <f t="shared" si="21"/>
        <v>0</v>
      </c>
      <c r="W160" s="579">
        <f t="shared" si="19"/>
        <v>0</v>
      </c>
      <c r="X160" s="579">
        <f>IFERROR(W169*W160/(SUM(W155:W168)),0)</f>
        <v>0</v>
      </c>
      <c r="Y160" s="879">
        <f>SUMIFS(בקרה!$S:$S,בקרה!$D:$D,T160,בקרה!$K:$K,S160)</f>
        <v>0</v>
      </c>
      <c r="Z160" s="121"/>
      <c r="AA160" s="143"/>
      <c r="AB160" s="143"/>
      <c r="AC160" s="504">
        <v>0</v>
      </c>
      <c r="AD160" s="505">
        <f t="shared" si="20"/>
        <v>0</v>
      </c>
      <c r="AE160" s="143"/>
      <c r="AJ160" s="22"/>
      <c r="AO160" s="22"/>
      <c r="AP160" s="22"/>
      <c r="AQ160" s="22"/>
      <c r="AR160" s="22"/>
      <c r="AS160" s="22"/>
      <c r="AT160" s="22"/>
      <c r="AU160" s="35"/>
      <c r="AV160" s="35"/>
      <c r="AW160" s="35"/>
      <c r="AX160" s="35"/>
      <c r="AY160" s="35"/>
      <c r="AZ160" s="35"/>
      <c r="BA160" s="35"/>
      <c r="BB160" s="35"/>
      <c r="BC160" s="35"/>
      <c r="BD160" s="35"/>
      <c r="BE160" s="35"/>
      <c r="BF160" s="35"/>
      <c r="BG160" s="35"/>
      <c r="BH160" s="35"/>
      <c r="BI160" s="35"/>
      <c r="BJ160" s="35"/>
      <c r="BK160" s="35"/>
      <c r="BL160" s="35"/>
      <c r="BM160" s="35"/>
      <c r="BN160" s="35"/>
      <c r="BO160" s="86"/>
    </row>
    <row r="161" spans="1:67" s="55" customFormat="1" ht="15" customHeight="1" x14ac:dyDescent="0.25">
      <c r="A161" s="520">
        <f>IFERROR(VLOOKUP($G$5,'רשימת רשויות'!A:C,3,0),0)</f>
        <v>0</v>
      </c>
      <c r="B161" s="520">
        <f t="shared" si="18"/>
        <v>0</v>
      </c>
      <c r="C161" s="39"/>
      <c r="D161" s="1134"/>
      <c r="E161" s="1137"/>
      <c r="F161" s="591" t="s">
        <v>23</v>
      </c>
      <c r="G161" s="134">
        <f>SUM(G155:G160)</f>
        <v>0</v>
      </c>
      <c r="H161" s="135">
        <f>SUM(H155:H160)</f>
        <v>0</v>
      </c>
      <c r="I161" s="128">
        <f>IFERROR(G161/H161,0)</f>
        <v>0</v>
      </c>
      <c r="J161" s="136">
        <f>SUM(J155:J160)</f>
        <v>0</v>
      </c>
      <c r="K161" s="137">
        <f>SUM(K155:K160)</f>
        <v>0</v>
      </c>
      <c r="L161" s="408"/>
      <c r="M161" s="394"/>
      <c r="N161" s="394"/>
      <c r="O161" s="602"/>
      <c r="P161" s="620">
        <f>SUM(P155:P160)</f>
        <v>0</v>
      </c>
      <c r="Q161" s="620">
        <f>SUM(Q155:Q160)</f>
        <v>0</v>
      </c>
      <c r="R161" s="596"/>
      <c r="S161" s="610"/>
      <c r="T161" s="599">
        <f>G141</f>
        <v>0</v>
      </c>
      <c r="U161" s="578"/>
      <c r="V161" s="579"/>
      <c r="W161" s="579">
        <f t="shared" si="19"/>
        <v>0</v>
      </c>
      <c r="X161" s="579"/>
      <c r="Y161" s="879"/>
      <c r="Z161" s="121"/>
      <c r="AA161" s="143"/>
      <c r="AB161" s="143"/>
      <c r="AC161" s="504"/>
      <c r="AD161" s="505">
        <f t="shared" si="20"/>
        <v>0</v>
      </c>
      <c r="AE161" s="143"/>
      <c r="AJ161" s="22"/>
      <c r="AL161" s="22"/>
      <c r="AM161" s="22"/>
      <c r="AN161" s="22"/>
      <c r="AO161" s="22"/>
      <c r="AP161" s="22"/>
      <c r="AQ161" s="22"/>
      <c r="AR161" s="22"/>
      <c r="AS161" s="22"/>
      <c r="AT161" s="22"/>
      <c r="AU161" s="35"/>
      <c r="AV161" s="35"/>
      <c r="AW161" s="35"/>
      <c r="AX161" s="35"/>
      <c r="AY161" s="35"/>
      <c r="AZ161" s="35"/>
      <c r="BA161" s="35"/>
      <c r="BB161" s="35"/>
      <c r="BC161" s="35"/>
      <c r="BD161" s="35"/>
      <c r="BE161" s="35"/>
      <c r="BF161" s="35"/>
      <c r="BG161" s="35"/>
      <c r="BH161" s="35"/>
      <c r="BI161" s="35"/>
      <c r="BJ161" s="35"/>
      <c r="BK161" s="35"/>
      <c r="BL161" s="35"/>
      <c r="BM161" s="35"/>
      <c r="BN161" s="35"/>
      <c r="BO161" s="86"/>
    </row>
    <row r="162" spans="1:67" s="55" customFormat="1" ht="15" customHeight="1" x14ac:dyDescent="0.25">
      <c r="A162" s="520">
        <f>IFERROR(VLOOKUP($G$5,'רשימת רשויות'!A:C,3,0),0)</f>
        <v>0</v>
      </c>
      <c r="B162" s="520">
        <f t="shared" si="18"/>
        <v>0</v>
      </c>
      <c r="C162" s="39"/>
      <c r="D162" s="1134"/>
      <c r="E162" s="1137"/>
      <c r="F162" s="589" t="s">
        <v>3</v>
      </c>
      <c r="G162" s="117">
        <f>IF(G146="תקין",SUMIFS('דוח הוצאות בפועל (4)'!$E$17:$E$3016,'דוח הוצאות בפועל (4)'!$B$17:$B$3016,'בית ספר - תקצוב לפי מוסד (9)'!$G141,'דוח הוצאות בפועל (4)'!$M$17:$M$3016,"ני")+SUMIFS('דוח הוצאות בפועל (4)'!$E$17:$E$3016,'דוח הוצאות בפועל (4)'!$B$17:$B$3016,'בית ספר - תקצוב לפי מוסד (9)'!$G141,'דוח הוצאות בפועל (4)'!$M$17:$M$3016,"על"),0)-Y162</f>
        <v>0</v>
      </c>
      <c r="H162" s="117">
        <f>H143</f>
        <v>0</v>
      </c>
      <c r="I162" s="138">
        <f>IFERROR(G162/H162,0)</f>
        <v>0</v>
      </c>
      <c r="J162" s="117">
        <f>IFERROR(IF(G162/H164&gt;0.15,MIN(H164*0.15,H162),MIN(H162,IF(ISNUMBER(G162),G162,0))),0)</f>
        <v>0</v>
      </c>
      <c r="K162" s="120">
        <f>MAX(H162-G162,0)</f>
        <v>0</v>
      </c>
      <c r="L162" s="407"/>
      <c r="M162" s="393"/>
      <c r="N162" s="393"/>
      <c r="O162" s="602"/>
      <c r="P162" s="620">
        <f>IF(I162&lt;100%,MIN(H162-G162,H162*0.25),0)</f>
        <v>0</v>
      </c>
      <c r="Q162" s="620">
        <f>MAX(MIN(IF(G162-H162&gt;0,G162-H162,0),$H164*0.15-H162-J163),0)</f>
        <v>0</v>
      </c>
      <c r="R162" s="596"/>
      <c r="S162" s="610" t="s">
        <v>3</v>
      </c>
      <c r="T162" s="599">
        <f>G141</f>
        <v>0</v>
      </c>
      <c r="U162" s="578"/>
      <c r="V162" s="579">
        <f t="shared" ref="V162" si="22">G162</f>
        <v>0</v>
      </c>
      <c r="W162" s="579">
        <f t="shared" si="19"/>
        <v>0</v>
      </c>
      <c r="X162" s="579"/>
      <c r="Y162" s="879"/>
      <c r="Z162" s="121"/>
      <c r="AA162" s="143"/>
      <c r="AB162" s="143"/>
      <c r="AC162" s="504">
        <v>0</v>
      </c>
      <c r="AD162" s="505">
        <f t="shared" si="20"/>
        <v>0</v>
      </c>
      <c r="AE162" s="143"/>
      <c r="AG162" s="22"/>
      <c r="AH162" s="22"/>
      <c r="AI162" s="22"/>
      <c r="AJ162" s="22"/>
      <c r="AK162" s="22"/>
      <c r="AL162" s="22"/>
      <c r="AM162" s="22"/>
      <c r="AN162" s="22"/>
      <c r="AO162" s="22"/>
      <c r="AP162" s="22"/>
      <c r="AQ162" s="22"/>
      <c r="AR162" s="22"/>
      <c r="AS162" s="22"/>
      <c r="AT162" s="22"/>
      <c r="AU162" s="35"/>
      <c r="AV162" s="35"/>
      <c r="AW162" s="35"/>
      <c r="AX162" s="35"/>
      <c r="AY162" s="35"/>
      <c r="AZ162" s="35"/>
      <c r="BA162" s="35"/>
      <c r="BB162" s="35"/>
      <c r="BC162" s="35"/>
      <c r="BD162" s="35"/>
      <c r="BE162" s="35"/>
      <c r="BF162" s="35"/>
      <c r="BG162" s="35"/>
      <c r="BH162" s="35"/>
      <c r="BI162" s="35"/>
      <c r="BJ162" s="35"/>
      <c r="BK162" s="35"/>
      <c r="BL162" s="35"/>
      <c r="BM162" s="35"/>
      <c r="BN162" s="35"/>
      <c r="BO162" s="86"/>
    </row>
    <row r="163" spans="1:67" s="55" customFormat="1" ht="15.75" customHeight="1" x14ac:dyDescent="0.25">
      <c r="A163" s="520">
        <f>IFERROR(VLOOKUP($G$5,'רשימת רשויות'!A:C,3,0),0)</f>
        <v>0</v>
      </c>
      <c r="B163" s="520">
        <f t="shared" si="18"/>
        <v>0</v>
      </c>
      <c r="C163" s="39"/>
      <c r="D163" s="1134"/>
      <c r="E163" s="1137"/>
      <c r="F163" s="589" t="s">
        <v>2918</v>
      </c>
      <c r="G163" s="117">
        <f>0.07*(G157+G156)</f>
        <v>0</v>
      </c>
      <c r="H163" s="117">
        <f>H145</f>
        <v>0</v>
      </c>
      <c r="I163" s="138">
        <f>IFERROR(G163/H163,0)</f>
        <v>0</v>
      </c>
      <c r="J163" s="117">
        <f>IFERROR(MIN(0.07*(G156+G157),0.07*I145),0)</f>
        <v>0</v>
      </c>
      <c r="K163" s="120">
        <f>MAX(H163-G163,0)</f>
        <v>0</v>
      </c>
      <c r="L163" s="407"/>
      <c r="M163" s="393"/>
      <c r="N163" s="393"/>
      <c r="O163" s="602"/>
      <c r="P163" s="620"/>
      <c r="Q163" s="619"/>
      <c r="R163" s="596"/>
      <c r="S163" s="611"/>
      <c r="T163" s="599">
        <f>G141</f>
        <v>0</v>
      </c>
      <c r="U163" s="578"/>
      <c r="V163" s="579"/>
      <c r="W163" s="579">
        <f t="shared" si="19"/>
        <v>0</v>
      </c>
      <c r="X163" s="579"/>
      <c r="Y163" s="879"/>
      <c r="Z163" s="121"/>
      <c r="AA163" s="143"/>
      <c r="AB163" s="143"/>
      <c r="AC163" s="504"/>
      <c r="AD163" s="505"/>
      <c r="AE163" s="143"/>
      <c r="AF163" s="140"/>
      <c r="AG163" s="22"/>
      <c r="AH163" s="22"/>
      <c r="AI163" s="22"/>
      <c r="AJ163" s="22"/>
      <c r="AK163" s="22"/>
      <c r="AL163" s="22"/>
      <c r="AM163" s="22"/>
      <c r="AN163" s="22"/>
      <c r="AO163" s="22"/>
      <c r="AP163" s="22"/>
      <c r="AQ163" s="22"/>
      <c r="AR163" s="22"/>
      <c r="AS163" s="22"/>
      <c r="AT163" s="22"/>
      <c r="AU163" s="35"/>
      <c r="AV163" s="35"/>
      <c r="AW163" s="35"/>
      <c r="AX163" s="35"/>
      <c r="AY163" s="35"/>
      <c r="AZ163" s="35"/>
      <c r="BA163" s="35"/>
      <c r="BB163" s="35"/>
      <c r="BC163" s="35"/>
      <c r="BD163" s="35"/>
      <c r="BE163" s="35"/>
      <c r="BF163" s="35"/>
      <c r="BG163" s="35"/>
      <c r="BH163" s="35"/>
      <c r="BI163" s="35"/>
      <c r="BJ163" s="35"/>
      <c r="BK163" s="35"/>
      <c r="BL163" s="35"/>
      <c r="BM163" s="35"/>
      <c r="BN163" s="35"/>
      <c r="BO163" s="86"/>
    </row>
    <row r="164" spans="1:67" ht="15.75" customHeight="1" x14ac:dyDescent="0.25">
      <c r="A164" s="520">
        <f>IFERROR(VLOOKUP($G$5,'רשימת רשויות'!A:C,3,0),0)</f>
        <v>0</v>
      </c>
      <c r="B164" s="520">
        <f t="shared" si="18"/>
        <v>0</v>
      </c>
      <c r="D164" s="1134"/>
      <c r="E164" s="1137"/>
      <c r="F164" s="591" t="s">
        <v>15</v>
      </c>
      <c r="G164" s="134">
        <f>G161+G162+G163</f>
        <v>0</v>
      </c>
      <c r="H164" s="134">
        <f>H161+H162+H163</f>
        <v>0</v>
      </c>
      <c r="I164" s="138">
        <f>IFERROR(G164/H164,0)</f>
        <v>0</v>
      </c>
      <c r="J164" s="139">
        <f>J161+J162+J163</f>
        <v>0</v>
      </c>
      <c r="K164" s="137">
        <f>K162+K161+K163</f>
        <v>0</v>
      </c>
      <c r="L164" s="408"/>
      <c r="M164" s="394"/>
      <c r="N164" s="394"/>
      <c r="O164" s="602"/>
      <c r="P164" s="621">
        <f>SUM(P161:P162)</f>
        <v>0</v>
      </c>
      <c r="Q164" s="622">
        <f>Q161+Q162</f>
        <v>0</v>
      </c>
      <c r="R164" s="596"/>
      <c r="S164" s="611"/>
      <c r="T164" s="599">
        <f>G141</f>
        <v>0</v>
      </c>
      <c r="U164" s="578"/>
      <c r="V164" s="579"/>
      <c r="W164" s="579">
        <f t="shared" si="19"/>
        <v>0</v>
      </c>
      <c r="X164" s="579"/>
      <c r="Y164" s="879"/>
      <c r="Z164" s="106"/>
      <c r="AC164" s="504"/>
      <c r="AD164" s="505"/>
      <c r="AH164" s="143"/>
      <c r="BO164" s="86"/>
    </row>
    <row r="165" spans="1:67" ht="15.75" customHeight="1" x14ac:dyDescent="0.25">
      <c r="A165" s="520">
        <f>IFERROR(VLOOKUP($G$5,'רשימת רשויות'!A:C,3,0),0)</f>
        <v>0</v>
      </c>
      <c r="B165" s="520">
        <f t="shared" si="18"/>
        <v>0</v>
      </c>
      <c r="D165" s="1134"/>
      <c r="E165" s="1137"/>
      <c r="F165" s="589" t="s">
        <v>2261</v>
      </c>
      <c r="G165" s="117">
        <f>IF(G146="תקין",SUMIF('תשלומי הורים ומלגות להורים (5) '!$B$18:$B$517,$G141,'תשלומי הורים ומלגות להורים (5) '!$C$18:$C$517),0)</f>
        <v>0</v>
      </c>
      <c r="H165" s="117">
        <f>(G144+G145)*$G$7</f>
        <v>0</v>
      </c>
      <c r="I165" s="141"/>
      <c r="J165" s="141"/>
      <c r="K165" s="142"/>
      <c r="L165" s="395"/>
      <c r="M165" s="395"/>
      <c r="N165" s="395"/>
      <c r="O165" s="602"/>
      <c r="P165" s="623"/>
      <c r="Q165" s="619"/>
      <c r="R165" s="596"/>
      <c r="S165" s="612"/>
      <c r="T165" s="599">
        <f>G141</f>
        <v>0</v>
      </c>
      <c r="U165" s="578"/>
      <c r="V165" s="579"/>
      <c r="W165" s="579">
        <f t="shared" si="19"/>
        <v>0</v>
      </c>
      <c r="X165" s="579"/>
      <c r="Y165" s="879"/>
      <c r="Z165" s="121"/>
      <c r="AA165" s="143"/>
      <c r="AB165" s="143"/>
      <c r="AC165" s="504"/>
      <c r="AD165" s="505"/>
      <c r="AE165" s="143"/>
      <c r="AF165" s="148"/>
      <c r="BO165" s="86"/>
    </row>
    <row r="166" spans="1:67" ht="15.75" customHeight="1" thickBot="1" x14ac:dyDescent="0.3">
      <c r="A166" s="520">
        <f>IFERROR(VLOOKUP($G$5,'רשימת רשויות'!A:C,3,0),0)</f>
        <v>0</v>
      </c>
      <c r="B166" s="520">
        <f t="shared" si="18"/>
        <v>0</v>
      </c>
      <c r="D166" s="1134"/>
      <c r="E166" s="1137"/>
      <c r="F166" s="592" t="s">
        <v>21</v>
      </c>
      <c r="G166" s="144">
        <f>G164-G165</f>
        <v>0</v>
      </c>
      <c r="H166" s="144">
        <f>H164-H165</f>
        <v>0</v>
      </c>
      <c r="I166" s="145"/>
      <c r="J166" s="145"/>
      <c r="K166" s="146"/>
      <c r="L166" s="396"/>
      <c r="M166" s="396"/>
      <c r="N166" s="396"/>
      <c r="O166" s="602"/>
      <c r="P166" s="619"/>
      <c r="Q166" s="619"/>
      <c r="R166" s="596"/>
      <c r="S166" s="612"/>
      <c r="T166" s="599">
        <f>G141</f>
        <v>0</v>
      </c>
      <c r="U166" s="578"/>
      <c r="V166" s="579"/>
      <c r="W166" s="579">
        <f t="shared" si="19"/>
        <v>0</v>
      </c>
      <c r="X166" s="579"/>
      <c r="Y166" s="879"/>
      <c r="Z166" s="147"/>
      <c r="AA166" s="148"/>
      <c r="AB166" s="148"/>
      <c r="AC166" s="504"/>
      <c r="AD166" s="505"/>
      <c r="AE166" s="148"/>
      <c r="AF166" s="148"/>
      <c r="BO166" s="86"/>
    </row>
    <row r="167" spans="1:67" ht="15.75" customHeight="1" thickBot="1" x14ac:dyDescent="0.3">
      <c r="A167" s="520">
        <f>IFERROR(VLOOKUP($G$5,'רשימת רשויות'!A:C,3,0),0)</f>
        <v>0</v>
      </c>
      <c r="B167" s="520">
        <f t="shared" si="18"/>
        <v>0</v>
      </c>
      <c r="D167" s="1134"/>
      <c r="E167" s="1137"/>
      <c r="F167" s="580"/>
      <c r="G167" s="580"/>
      <c r="H167" s="147"/>
      <c r="I167" s="149" t="s">
        <v>2197</v>
      </c>
      <c r="J167" s="150">
        <f>MAX(MIN(P164,Q164),0)</f>
        <v>0</v>
      </c>
      <c r="K167" s="580"/>
      <c r="L167" s="580"/>
      <c r="M167" s="580"/>
      <c r="N167" s="580"/>
      <c r="O167" s="580"/>
      <c r="P167" s="615" t="s">
        <v>2317</v>
      </c>
      <c r="Q167" s="624">
        <f>SUM(Q168:Q169)</f>
        <v>0</v>
      </c>
      <c r="R167" s="596"/>
      <c r="S167" s="612"/>
      <c r="T167" s="599">
        <f>G141</f>
        <v>0</v>
      </c>
      <c r="U167" s="578"/>
      <c r="V167" s="579"/>
      <c r="W167" s="579">
        <f t="shared" si="19"/>
        <v>0</v>
      </c>
      <c r="X167" s="579"/>
      <c r="Y167" s="879"/>
      <c r="Z167" s="106"/>
      <c r="AC167" s="504"/>
      <c r="AD167" s="505"/>
      <c r="AF167" s="148"/>
      <c r="BO167" s="86"/>
    </row>
    <row r="168" spans="1:67" ht="16.5" thickBot="1" x14ac:dyDescent="0.3">
      <c r="A168" s="520">
        <f>IFERROR(VLOOKUP($G$5,'רשימת רשויות'!A:C,3,0),0)</f>
        <v>0</v>
      </c>
      <c r="B168" s="520">
        <f t="shared" si="18"/>
        <v>0</v>
      </c>
      <c r="D168" s="1134"/>
      <c r="E168" s="1137"/>
      <c r="F168" s="580"/>
      <c r="G168" s="580"/>
      <c r="H168" s="580"/>
      <c r="I168" s="84" t="s">
        <v>2193</v>
      </c>
      <c r="J168" s="515" t="str">
        <f>IFERROR(1-H165/H164,"")</f>
        <v/>
      </c>
      <c r="K168" s="580"/>
      <c r="L168" s="580"/>
      <c r="M168" s="580"/>
      <c r="N168" s="580"/>
      <c r="O168" s="580"/>
      <c r="P168" s="615" t="s">
        <v>417</v>
      </c>
      <c r="Q168" s="616">
        <f>IFERROR(MAX(H166-I169-Q169,0),0)</f>
        <v>0</v>
      </c>
      <c r="R168" s="596"/>
      <c r="S168" s="600"/>
      <c r="T168" s="599">
        <f>G141</f>
        <v>0</v>
      </c>
      <c r="U168" s="578"/>
      <c r="V168" s="579"/>
      <c r="W168" s="579">
        <f t="shared" si="19"/>
        <v>0</v>
      </c>
      <c r="X168" s="579"/>
      <c r="Y168" s="879"/>
      <c r="Z168" s="106"/>
      <c r="AC168" s="504"/>
      <c r="AD168" s="505"/>
      <c r="BO168" s="86"/>
    </row>
    <row r="169" spans="1:67" ht="17.25" thickBot="1" x14ac:dyDescent="0.3">
      <c r="A169" s="520">
        <f>IFERROR(VLOOKUP($G$5,'רשימת רשויות'!A:C,3,0),0)</f>
        <v>0</v>
      </c>
      <c r="B169" s="520">
        <f t="shared" si="18"/>
        <v>0</v>
      </c>
      <c r="D169" s="1134"/>
      <c r="E169" s="1137"/>
      <c r="F169" s="1143" t="s">
        <v>2679</v>
      </c>
      <c r="G169" s="1143"/>
      <c r="H169" s="1143"/>
      <c r="I169" s="722">
        <f>IF(G146="לא תקין","לא קיימת זכאות לתקציב לאור אי איוש משרות רכז ו/או סגן רכז ",IFERROR(J168*(J167+J164),0))</f>
        <v>0</v>
      </c>
      <c r="J169" s="573"/>
      <c r="K169" s="574"/>
      <c r="L169" s="396"/>
      <c r="M169" s="574"/>
      <c r="N169" s="574"/>
      <c r="O169" s="574"/>
      <c r="P169" s="615" t="s">
        <v>2279</v>
      </c>
      <c r="Q169" s="616">
        <f>MAX(IF(AND(G164&gt;H164,I169&lt;H166),H166-I169,0),0)</f>
        <v>0</v>
      </c>
      <c r="R169" s="575"/>
      <c r="S169" s="576" t="s">
        <v>67</v>
      </c>
      <c r="T169" s="577">
        <f>G141</f>
        <v>0</v>
      </c>
      <c r="U169" s="578"/>
      <c r="V169" s="579">
        <f>I169</f>
        <v>0</v>
      </c>
      <c r="W169" s="579">
        <f>IFERROR(U169-V169,0)</f>
        <v>0</v>
      </c>
      <c r="X169" s="579">
        <f>SUM(X155:X168)</f>
        <v>0</v>
      </c>
      <c r="Y169" s="879"/>
      <c r="Z169" s="106"/>
      <c r="AC169" s="506">
        <v>0</v>
      </c>
      <c r="AD169" s="507">
        <f>IFERROR(U169-AC169,0)</f>
        <v>0</v>
      </c>
      <c r="BO169" s="86"/>
    </row>
    <row r="170" spans="1:67" ht="16.5" thickBot="1" x14ac:dyDescent="0.3">
      <c r="A170" s="520">
        <f>IFERROR(VLOOKUP($G$5,'רשימת רשויות'!A:C,3,0),0)</f>
        <v>0</v>
      </c>
      <c r="B170" s="520">
        <f t="shared" si="18"/>
        <v>0</v>
      </c>
      <c r="D170" s="1135"/>
      <c r="E170" s="1138"/>
      <c r="F170" s="1144" t="s">
        <v>2793</v>
      </c>
      <c r="G170" s="1145"/>
      <c r="H170" s="1145"/>
      <c r="I170" s="593">
        <f>IFERROR(IF(G146="תקין",SUMIFS('סייעות רפואיות או אישיות (7)'!$Q$17:Q$384,'סייעות רפואיות או אישיות (7)'!C$17:C$384,G141),0),0)</f>
        <v>0</v>
      </c>
      <c r="J170" s="151"/>
      <c r="K170" s="152"/>
      <c r="L170" s="409"/>
      <c r="M170" s="152"/>
      <c r="N170" s="152"/>
      <c r="O170" s="152"/>
      <c r="P170" s="613"/>
      <c r="Q170" s="614"/>
      <c r="R170" s="475"/>
      <c r="S170" s="489"/>
      <c r="T170" s="490"/>
      <c r="U170" s="491"/>
      <c r="V170" s="492"/>
      <c r="W170" s="492"/>
      <c r="X170" s="492"/>
      <c r="Y170" s="880"/>
      <c r="Z170" s="153"/>
      <c r="AC170" s="581"/>
      <c r="AD170" s="582"/>
      <c r="BO170" s="86"/>
    </row>
    <row r="171" spans="1:67" ht="34.5" thickBot="1" x14ac:dyDescent="0.55000000000000004">
      <c r="A171" s="520">
        <f>IFERROR(VLOOKUP($G$5,'רשימת רשויות'!A:C,3,0),0)</f>
        <v>0</v>
      </c>
      <c r="B171" s="520">
        <f t="shared" si="18"/>
        <v>0</v>
      </c>
      <c r="E171" s="154"/>
      <c r="I171" s="143"/>
      <c r="J171" s="148"/>
      <c r="O171" s="148"/>
      <c r="T171" s="481"/>
      <c r="BO171" s="86"/>
    </row>
    <row r="172" spans="1:67" s="20" customFormat="1" ht="16.5" customHeight="1" thickBot="1" x14ac:dyDescent="0.3">
      <c r="A172" s="520">
        <f>IFERROR(VLOOKUP($G$5,'רשימת רשויות'!A:C,3,0),0)</f>
        <v>0</v>
      </c>
      <c r="B172" s="520">
        <f t="shared" si="18"/>
        <v>0</v>
      </c>
      <c r="C172" s="39"/>
      <c r="D172" s="1133">
        <f>D141+1</f>
        <v>6</v>
      </c>
      <c r="E172" s="1136" t="str">
        <f>IFERROR(CONCATENATE("בית הספר ",VLOOKUP(G172,'מצבת והרשמה (2)'!$C$21:$D$520,2,0)," - ",$G$5),"")</f>
        <v>בית הספר המוסד לא קיים - 0</v>
      </c>
      <c r="F172" s="720" t="s">
        <v>146</v>
      </c>
      <c r="G172" s="721">
        <f>IFERROR(VLOOKUP(D:D,'דוח ביצוע (3)'!$A$21:$C$900,2,0),0)</f>
        <v>0</v>
      </c>
      <c r="H172" s="79"/>
      <c r="I172" s="80" t="s">
        <v>150</v>
      </c>
      <c r="J172" s="80"/>
      <c r="K172" s="81"/>
      <c r="L172" s="392"/>
      <c r="M172" s="392"/>
      <c r="N172" s="392"/>
      <c r="O172" s="82"/>
      <c r="P172" s="470"/>
      <c r="Q172" s="471"/>
      <c r="R172" s="472"/>
      <c r="S172" s="883"/>
      <c r="T172" s="884"/>
      <c r="U172" s="486"/>
      <c r="V172" s="487"/>
      <c r="W172" s="487"/>
      <c r="X172" s="487"/>
      <c r="Y172" s="885"/>
      <c r="Z172" s="83"/>
      <c r="AC172" s="502"/>
      <c r="AD172" s="503"/>
      <c r="AO172" s="22"/>
      <c r="AP172" s="22"/>
      <c r="AQ172" s="22"/>
      <c r="AR172" s="22"/>
      <c r="AS172" s="22"/>
      <c r="AT172" s="22"/>
      <c r="AU172" s="35"/>
      <c r="AV172" s="35"/>
      <c r="AW172" s="35"/>
      <c r="AX172" s="35"/>
      <c r="AY172" s="35"/>
      <c r="AZ172" s="35"/>
      <c r="BA172" s="35"/>
      <c r="BB172" s="35"/>
      <c r="BC172" s="35"/>
      <c r="BD172" s="35"/>
      <c r="BE172" s="35"/>
      <c r="BF172" s="35"/>
      <c r="BG172" s="35"/>
      <c r="BH172" s="35"/>
      <c r="BI172" s="35"/>
      <c r="BJ172" s="35"/>
      <c r="BK172" s="35"/>
      <c r="BL172" s="35"/>
      <c r="BM172" s="35"/>
      <c r="BN172" s="35"/>
      <c r="BO172" s="78"/>
    </row>
    <row r="173" spans="1:67" s="20" customFormat="1" ht="16.5" thickBot="1" x14ac:dyDescent="0.3">
      <c r="A173" s="520">
        <f>IFERROR(VLOOKUP($G$5,'רשימת רשויות'!A:C,3,0),0)</f>
        <v>0</v>
      </c>
      <c r="B173" s="520">
        <f t="shared" si="18"/>
        <v>0</v>
      </c>
      <c r="C173" s="39"/>
      <c r="D173" s="1134"/>
      <c r="E173" s="1137"/>
      <c r="F173" s="583" t="s">
        <v>145</v>
      </c>
      <c r="G173" s="516" t="str">
        <f>IFERROR(IF((G175+G176)=0,"",IF(VLOOKUP(G172,'דוח ביצוע (3)'!$B$21:$K$900,5,0)&gt;149,"גדול",IF(AND(VLOOKUP(G172,'דוח ביצוע (3)'!$B$21:$K$900,5,0)&gt;0,VLOOKUP(G172,'דוח ביצוע (3)'!$B$21:$K$900,5,0)&lt;150),"קטן",0))),"")</f>
        <v/>
      </c>
      <c r="H173" s="723" t="s">
        <v>88</v>
      </c>
      <c r="I173" s="723" t="s">
        <v>13</v>
      </c>
      <c r="J173" s="725" t="s">
        <v>14</v>
      </c>
      <c r="K173" s="724" t="s">
        <v>94</v>
      </c>
      <c r="L173" s="594"/>
      <c r="M173" s="420" t="s">
        <v>2584</v>
      </c>
      <c r="N173" s="397" t="s">
        <v>413</v>
      </c>
      <c r="O173" s="398" t="s">
        <v>52</v>
      </c>
      <c r="P173" s="595"/>
      <c r="Q173" s="595"/>
      <c r="R173" s="596"/>
      <c r="S173" s="610"/>
      <c r="T173" s="881"/>
      <c r="U173" s="598"/>
      <c r="V173" s="599"/>
      <c r="W173" s="599"/>
      <c r="X173" s="599"/>
      <c r="Y173" s="879"/>
      <c r="Z173" s="85"/>
      <c r="AC173" s="493"/>
      <c r="AD173" s="495"/>
      <c r="AO173" s="22"/>
      <c r="AP173" s="22"/>
      <c r="AQ173" s="22"/>
      <c r="AR173" s="22"/>
      <c r="AS173" s="22"/>
      <c r="AT173" s="22"/>
      <c r="AU173" s="35"/>
      <c r="AV173" s="35"/>
      <c r="AW173" s="35"/>
      <c r="AX173" s="35"/>
      <c r="AY173" s="35"/>
      <c r="AZ173" s="35"/>
      <c r="BA173" s="35"/>
      <c r="BB173" s="35"/>
      <c r="BC173" s="35"/>
      <c r="BD173" s="35"/>
      <c r="BE173" s="35"/>
      <c r="BF173" s="35"/>
      <c r="BG173" s="35"/>
      <c r="BH173" s="35"/>
      <c r="BI173" s="35"/>
      <c r="BJ173" s="35"/>
      <c r="BK173" s="35"/>
      <c r="BL173" s="35"/>
      <c r="BM173" s="35"/>
      <c r="BN173" s="35"/>
      <c r="BO173" s="78"/>
    </row>
    <row r="174" spans="1:67" s="20" customFormat="1" ht="15.75" customHeight="1" thickBot="1" x14ac:dyDescent="0.3">
      <c r="A174" s="520">
        <f>IFERROR(VLOOKUP($G$5,'רשימת רשויות'!A:C,3,0),0)</f>
        <v>0</v>
      </c>
      <c r="B174" s="520">
        <f t="shared" si="18"/>
        <v>0</v>
      </c>
      <c r="C174" s="39"/>
      <c r="D174" s="1134"/>
      <c r="E174" s="1137"/>
      <c r="F174" s="584" t="s">
        <v>144</v>
      </c>
      <c r="G174" s="87">
        <f>IF(G177="תקין",IFERROR(VLOOKUP($G172,'דוח ביצוע (3)'!$B$21:$Q$900,12,0),0),0)</f>
        <v>0</v>
      </c>
      <c r="H174" s="88">
        <f>IFERROR(G175*$AH$6+G176*$AH$7,0)</f>
        <v>0</v>
      </c>
      <c r="I174" s="88">
        <f>IFERROR(G175*$AI$6+G176*$AI$7,0)</f>
        <v>0</v>
      </c>
      <c r="J174" s="88">
        <f>IFERROR(G175*$AJ$6+G176*$AJ$7,0)</f>
        <v>0</v>
      </c>
      <c r="K174" s="88">
        <f>IFERROR(G175*$AK$6+G176*$AK$7,0)</f>
        <v>0</v>
      </c>
      <c r="L174" s="405"/>
      <c r="M174" s="399" t="s">
        <v>427</v>
      </c>
      <c r="N174" s="400" t="str">
        <f>IFERROR(VLOOKUP($G172,'דוח ביצוע (3)'!$B:$AE,28,0),"")</f>
        <v/>
      </c>
      <c r="O174" s="89" t="str">
        <f>IFERROR(VLOOKUP($G172,'דוח ביצוע (3)'!B:AE,29,0),"")</f>
        <v/>
      </c>
      <c r="P174" s="595"/>
      <c r="Q174" s="595"/>
      <c r="R174" s="596"/>
      <c r="S174" s="610"/>
      <c r="T174" s="881"/>
      <c r="U174" s="598"/>
      <c r="V174" s="599"/>
      <c r="W174" s="599"/>
      <c r="X174" s="599"/>
      <c r="Y174" s="879"/>
      <c r="Z174" s="85"/>
      <c r="AC174" s="493"/>
      <c r="AD174" s="495"/>
      <c r="AO174" s="22"/>
      <c r="AP174" s="22"/>
      <c r="AQ174" s="22"/>
      <c r="AR174" s="22"/>
      <c r="AS174" s="22"/>
      <c r="AT174" s="22"/>
      <c r="AU174" s="35"/>
      <c r="AV174" s="35"/>
      <c r="AW174" s="35"/>
      <c r="AX174" s="35"/>
      <c r="AY174" s="35"/>
      <c r="AZ174" s="35"/>
      <c r="BA174" s="35"/>
      <c r="BB174" s="35"/>
      <c r="BC174" s="35"/>
      <c r="BD174" s="35"/>
      <c r="BE174" s="35"/>
      <c r="BF174" s="35"/>
      <c r="BG174" s="35"/>
      <c r="BH174" s="35"/>
      <c r="BI174" s="35"/>
      <c r="BJ174" s="35"/>
      <c r="BK174" s="35"/>
      <c r="BL174" s="35"/>
      <c r="BM174" s="35"/>
      <c r="BN174" s="35"/>
      <c r="BO174" s="78"/>
    </row>
    <row r="175" spans="1:67" s="20" customFormat="1" ht="32.25" thickBot="1" x14ac:dyDescent="0.3">
      <c r="A175" s="520">
        <f>IFERROR(VLOOKUP($G$5,'רשימת רשויות'!A:C,3,0),0)</f>
        <v>0</v>
      </c>
      <c r="B175" s="520">
        <f t="shared" si="18"/>
        <v>0</v>
      </c>
      <c r="C175" s="39"/>
      <c r="D175" s="1134"/>
      <c r="E175" s="1137"/>
      <c r="F175" s="585" t="s">
        <v>2195</v>
      </c>
      <c r="G175" s="89">
        <f>IF(G177="תקין",MAX(N177,0),0)</f>
        <v>0</v>
      </c>
      <c r="H175" s="725" t="s">
        <v>151</v>
      </c>
      <c r="I175" s="725" t="s">
        <v>91</v>
      </c>
      <c r="J175" s="970" t="s">
        <v>3396</v>
      </c>
      <c r="K175" s="601"/>
      <c r="L175" s="601"/>
      <c r="M175" s="983" t="s">
        <v>2585</v>
      </c>
      <c r="N175" s="400" t="str">
        <f>IFERROR(G174/15*N174*1.25,"")</f>
        <v/>
      </c>
      <c r="O175" s="89" t="str">
        <f>IFERROR(G174/15*O174*1.25,"")</f>
        <v/>
      </c>
      <c r="P175" s="595"/>
      <c r="Q175" s="595"/>
      <c r="R175" s="596"/>
      <c r="S175" s="610"/>
      <c r="T175" s="881"/>
      <c r="U175" s="598"/>
      <c r="V175" s="599"/>
      <c r="W175" s="599"/>
      <c r="X175" s="599"/>
      <c r="Y175" s="879"/>
      <c r="Z175" s="85"/>
      <c r="AC175" s="493"/>
      <c r="AD175" s="495"/>
      <c r="AG175" s="22"/>
      <c r="AH175" s="55"/>
      <c r="AI175" s="55"/>
      <c r="AJ175" s="55"/>
      <c r="AK175" s="55"/>
      <c r="AO175" s="22"/>
      <c r="AP175" s="22"/>
      <c r="AQ175" s="22"/>
      <c r="AR175" s="22"/>
      <c r="AS175" s="22"/>
      <c r="AT175" s="22"/>
      <c r="AU175" s="35"/>
      <c r="AV175" s="35"/>
      <c r="AW175" s="35"/>
      <c r="AX175" s="35"/>
      <c r="AY175" s="35"/>
      <c r="AZ175" s="35"/>
      <c r="BA175" s="35"/>
      <c r="BB175" s="35"/>
      <c r="BC175" s="35"/>
      <c r="BD175" s="35"/>
      <c r="BE175" s="35"/>
      <c r="BF175" s="35"/>
      <c r="BG175" s="35"/>
      <c r="BH175" s="35"/>
      <c r="BI175" s="35"/>
      <c r="BJ175" s="35"/>
      <c r="BK175" s="35"/>
      <c r="BL175" s="35"/>
      <c r="BM175" s="35"/>
      <c r="BN175" s="35"/>
      <c r="BO175" s="86"/>
    </row>
    <row r="176" spans="1:67" s="20" customFormat="1" ht="16.5" thickBot="1" x14ac:dyDescent="0.3">
      <c r="A176" s="520">
        <f>IFERROR(VLOOKUP($G$5,'רשימת רשויות'!A:C,3,0),0)</f>
        <v>0</v>
      </c>
      <c r="B176" s="520">
        <f t="shared" si="18"/>
        <v>0</v>
      </c>
      <c r="C176" s="39"/>
      <c r="D176" s="1134"/>
      <c r="E176" s="1137"/>
      <c r="F176" s="585" t="s">
        <v>2196</v>
      </c>
      <c r="G176" s="89">
        <f>IF(G177="תקין",MAX(O177,0),0)</f>
        <v>0</v>
      </c>
      <c r="H176" s="88">
        <f>(IFERROR(IF((G175+G176)=0,0,IF(G173="קטן",G174*$AH$10,G174*$AH$11)),0))+(IFERROR(IF((G175+G176)=0,0,VLOOKUP(G172,'דוח ביצוע (3)'!$B:$AH,33,0)),0))</f>
        <v>0</v>
      </c>
      <c r="I176" s="88">
        <f>IFERROR(IF((G175+G176)=0,0,IF(G173="קטן",G174*$AI$10,G174*$AI$11)),0)</f>
        <v>0</v>
      </c>
      <c r="J176" s="88">
        <f>IFERROR(IF((G175+G176)=0,0,VLOOKUP(G172,'דוח ביצוע (3)'!$B:$AH,32,0)),0)</f>
        <v>0</v>
      </c>
      <c r="K176" s="90"/>
      <c r="L176" s="90"/>
      <c r="M176" s="399" t="s">
        <v>412</v>
      </c>
      <c r="N176" s="400">
        <f>IFERROR(VLOOKUP($G172,'דוח ביצוע (3)'!$B$21:$U$500,18,0),0)</f>
        <v>0</v>
      </c>
      <c r="O176" s="401">
        <f>IFERROR(VLOOKUP($G172,'דוח ביצוע (3)'!$B$21:$U$500,19,0),0)</f>
        <v>0</v>
      </c>
      <c r="P176" s="595"/>
      <c r="Q176" s="595"/>
      <c r="R176" s="596"/>
      <c r="S176" s="610"/>
      <c r="T176" s="881"/>
      <c r="U176" s="598"/>
      <c r="V176" s="599"/>
      <c r="W176" s="599"/>
      <c r="X176" s="599"/>
      <c r="Y176" s="879"/>
      <c r="Z176" s="85"/>
      <c r="AC176" s="493"/>
      <c r="AD176" s="495"/>
      <c r="AG176" s="22"/>
      <c r="AH176" s="55"/>
      <c r="AI176" s="55"/>
      <c r="AJ176" s="55"/>
      <c r="AK176" s="55"/>
      <c r="AO176" s="22"/>
      <c r="AP176" s="22"/>
      <c r="AQ176" s="22"/>
      <c r="AR176" s="22"/>
      <c r="AS176" s="22"/>
      <c r="AT176" s="22"/>
      <c r="AU176" s="35"/>
      <c r="AV176" s="35"/>
      <c r="AW176" s="35"/>
      <c r="AX176" s="35"/>
      <c r="AY176" s="35"/>
      <c r="AZ176" s="35"/>
      <c r="BA176" s="35"/>
      <c r="BB176" s="35"/>
      <c r="BC176" s="35"/>
      <c r="BD176" s="35"/>
      <c r="BE176" s="35"/>
      <c r="BF176" s="35"/>
      <c r="BG176" s="35"/>
      <c r="BH176" s="35"/>
      <c r="BI176" s="35"/>
      <c r="BJ176" s="35"/>
      <c r="BK176" s="35"/>
      <c r="BL176" s="35"/>
      <c r="BM176" s="35"/>
      <c r="BN176" s="35"/>
      <c r="BO176" s="86"/>
    </row>
    <row r="177" spans="1:67" s="20" customFormat="1" ht="16.5" thickBot="1" x14ac:dyDescent="0.3">
      <c r="A177" s="520">
        <f>IFERROR(VLOOKUP($G$5,'רשימת רשויות'!A:C,3,0),0)</f>
        <v>0</v>
      </c>
      <c r="B177" s="520">
        <f t="shared" si="18"/>
        <v>0</v>
      </c>
      <c r="C177" s="39"/>
      <c r="D177" s="1134"/>
      <c r="E177" s="1137"/>
      <c r="F177" s="586" t="s">
        <v>2355</v>
      </c>
      <c r="G177" s="514">
        <f>IFERROR(IF(VLOOKUP('בית ספר - תקצוב לפי מוסד (9)'!G172,' איוש משרות (8)'!$C:$K,9,0)="תקין","תקין","לא תקין"),0)</f>
        <v>0</v>
      </c>
      <c r="H177" s="91"/>
      <c r="I177" s="91"/>
      <c r="J177" s="91"/>
      <c r="K177" s="90"/>
      <c r="L177" s="90"/>
      <c r="M177" s="402" t="s">
        <v>2586</v>
      </c>
      <c r="N177" s="403">
        <f>IFERROR(MIN(N175,N176),0)</f>
        <v>0</v>
      </c>
      <c r="O177" s="404">
        <f>IFERROR(MIN(O175,O176),0)</f>
        <v>0</v>
      </c>
      <c r="P177" s="595"/>
      <c r="Q177" s="595"/>
      <c r="R177" s="596"/>
      <c r="S177" s="610"/>
      <c r="T177" s="881"/>
      <c r="U177" s="598"/>
      <c r="V177" s="599"/>
      <c r="W177" s="599"/>
      <c r="X177" s="599"/>
      <c r="Y177" s="879"/>
      <c r="Z177" s="85"/>
      <c r="AC177" s="493"/>
      <c r="AD177" s="495"/>
      <c r="AG177" s="94"/>
      <c r="AH177" s="40"/>
      <c r="AI177" s="40"/>
      <c r="AJ177" s="40"/>
      <c r="AK177" s="40"/>
      <c r="AO177" s="22"/>
      <c r="AP177" s="22"/>
      <c r="AQ177" s="22"/>
      <c r="AR177" s="22"/>
      <c r="AS177" s="22"/>
      <c r="AT177" s="22"/>
      <c r="AU177" s="35"/>
      <c r="AV177" s="35"/>
      <c r="AW177" s="35"/>
      <c r="AX177" s="35"/>
      <c r="AY177" s="35"/>
      <c r="AZ177" s="35"/>
      <c r="BA177" s="35"/>
      <c r="BB177" s="35"/>
      <c r="BC177" s="35"/>
      <c r="BD177" s="35"/>
      <c r="BE177" s="35"/>
      <c r="BF177" s="35"/>
      <c r="BG177" s="35"/>
      <c r="BH177" s="35"/>
      <c r="BI177" s="35"/>
      <c r="BJ177" s="35"/>
      <c r="BK177" s="35"/>
      <c r="BL177" s="35"/>
      <c r="BM177" s="35"/>
      <c r="BN177" s="35"/>
      <c r="BO177" s="86"/>
    </row>
    <row r="178" spans="1:67" s="55" customFormat="1" ht="37.15" customHeight="1" thickBot="1" x14ac:dyDescent="0.3">
      <c r="A178" s="520">
        <f>IFERROR(VLOOKUP($G$5,'רשימת רשויות'!A:C,3,0),0)</f>
        <v>0</v>
      </c>
      <c r="B178" s="520">
        <f t="shared" si="18"/>
        <v>0</v>
      </c>
      <c r="C178" s="39"/>
      <c r="D178" s="1134"/>
      <c r="E178" s="1137"/>
      <c r="F178" s="587" t="s">
        <v>142</v>
      </c>
      <c r="G178" s="92"/>
      <c r="H178" s="92"/>
      <c r="I178" s="92"/>
      <c r="J178" s="92"/>
      <c r="K178" s="602"/>
      <c r="L178" s="602"/>
      <c r="M178" s="602"/>
      <c r="N178" s="602"/>
      <c r="O178" s="602"/>
      <c r="P178" s="595"/>
      <c r="Q178" s="595"/>
      <c r="R178" s="596"/>
      <c r="S178" s="610"/>
      <c r="T178" s="881"/>
      <c r="U178" s="598"/>
      <c r="V178" s="599"/>
      <c r="W178" s="599"/>
      <c r="X178" s="599"/>
      <c r="Y178" s="879"/>
      <c r="Z178" s="93"/>
      <c r="AC178" s="493"/>
      <c r="AD178" s="495"/>
      <c r="AF178" s="22"/>
      <c r="AG178" s="98"/>
      <c r="AH178" s="98"/>
      <c r="AI178" s="40"/>
      <c r="AJ178" s="40"/>
      <c r="AK178" s="40"/>
      <c r="AO178" s="22"/>
      <c r="AP178" s="22"/>
      <c r="AQ178" s="22"/>
      <c r="AR178" s="22"/>
      <c r="AS178" s="22"/>
      <c r="AT178" s="22"/>
      <c r="AU178" s="35"/>
      <c r="AV178" s="35"/>
      <c r="AW178" s="35"/>
      <c r="AX178" s="35"/>
      <c r="AY178" s="35"/>
      <c r="AZ178" s="35"/>
      <c r="BA178" s="35"/>
      <c r="BB178" s="35"/>
      <c r="BC178" s="35"/>
      <c r="BD178" s="35"/>
      <c r="BE178" s="35"/>
      <c r="BF178" s="35"/>
      <c r="BG178" s="35"/>
      <c r="BH178" s="35"/>
      <c r="BI178" s="35"/>
      <c r="BJ178" s="35"/>
      <c r="BK178" s="35"/>
      <c r="BL178" s="35"/>
      <c r="BM178" s="35"/>
      <c r="BN178" s="35"/>
      <c r="BO178" s="86"/>
    </row>
    <row r="179" spans="1:67" s="40" customFormat="1" ht="31.5" x14ac:dyDescent="0.25">
      <c r="A179" s="520">
        <f>IFERROR(VLOOKUP($G$5,'רשימת רשויות'!A:C,3,0),0)</f>
        <v>0</v>
      </c>
      <c r="B179" s="520">
        <f t="shared" si="18"/>
        <v>0</v>
      </c>
      <c r="C179" s="39"/>
      <c r="D179" s="1134"/>
      <c r="E179" s="1137"/>
      <c r="F179" s="588" t="s">
        <v>94</v>
      </c>
      <c r="G179" s="95" t="s">
        <v>18</v>
      </c>
      <c r="H179" s="95" t="s">
        <v>19</v>
      </c>
      <c r="I179" s="95" t="s">
        <v>138</v>
      </c>
      <c r="J179" s="96" t="s">
        <v>139</v>
      </c>
      <c r="K179" s="603"/>
      <c r="L179" s="603"/>
      <c r="M179" s="603"/>
      <c r="N179" s="603"/>
      <c r="O179" s="603"/>
      <c r="P179" s="604"/>
      <c r="Q179" s="604"/>
      <c r="R179" s="596"/>
      <c r="S179" s="610"/>
      <c r="T179" s="881"/>
      <c r="U179" s="598"/>
      <c r="V179" s="599"/>
      <c r="W179" s="599"/>
      <c r="X179" s="599"/>
      <c r="Y179" s="879"/>
      <c r="Z179" s="97"/>
      <c r="AA179" s="94"/>
      <c r="AB179" s="94"/>
      <c r="AC179" s="493"/>
      <c r="AD179" s="495"/>
      <c r="AE179" s="94"/>
      <c r="AG179" s="98"/>
      <c r="AH179" s="98"/>
      <c r="AO179" s="22"/>
      <c r="AP179" s="22"/>
      <c r="AQ179" s="22"/>
      <c r="AR179" s="22"/>
      <c r="AS179" s="22"/>
      <c r="AT179" s="22"/>
      <c r="AU179" s="35"/>
      <c r="AV179" s="35"/>
      <c r="AW179" s="35"/>
      <c r="AX179" s="35"/>
      <c r="AY179" s="35"/>
      <c r="AZ179" s="35"/>
      <c r="BA179" s="35"/>
      <c r="BB179" s="35"/>
      <c r="BC179" s="35"/>
      <c r="BD179" s="35"/>
      <c r="BE179" s="35"/>
      <c r="BF179" s="35"/>
      <c r="BG179" s="35"/>
      <c r="BH179" s="35"/>
      <c r="BI179" s="35"/>
      <c r="BJ179" s="35"/>
      <c r="BK179" s="35"/>
      <c r="BL179" s="35"/>
      <c r="BM179" s="35"/>
      <c r="BN179" s="35"/>
      <c r="BO179" s="86"/>
    </row>
    <row r="180" spans="1:67" s="40" customFormat="1" ht="15.75" customHeight="1" thickBot="1" x14ac:dyDescent="0.3">
      <c r="A180" s="520">
        <f>IFERROR(VLOOKUP($G$5,'רשימת רשויות'!A:C,3,0),0)</f>
        <v>0</v>
      </c>
      <c r="B180" s="520">
        <f t="shared" si="18"/>
        <v>0</v>
      </c>
      <c r="C180" s="39"/>
      <c r="D180" s="1134"/>
      <c r="E180" s="1137"/>
      <c r="F180" s="589" t="s">
        <v>2280</v>
      </c>
      <c r="G180" s="99">
        <f>+G191</f>
        <v>0</v>
      </c>
      <c r="H180" s="100">
        <f>K174</f>
        <v>0</v>
      </c>
      <c r="I180" s="100">
        <f>H180-I182</f>
        <v>0</v>
      </c>
      <c r="J180" s="101">
        <f>IFERROR(I180/H180,0)</f>
        <v>0</v>
      </c>
      <c r="K180" s="603"/>
      <c r="L180" s="603"/>
      <c r="M180" s="603"/>
      <c r="N180" s="603"/>
      <c r="O180" s="603"/>
      <c r="P180" s="605"/>
      <c r="Q180" s="604"/>
      <c r="R180" s="606" t="s">
        <v>157</v>
      </c>
      <c r="S180" s="611"/>
      <c r="T180" s="881"/>
      <c r="U180" s="598"/>
      <c r="V180" s="599"/>
      <c r="W180" s="599"/>
      <c r="X180" s="599"/>
      <c r="Y180" s="879"/>
      <c r="Z180" s="102"/>
      <c r="AA180" s="122"/>
      <c r="AB180" s="122"/>
      <c r="AC180" s="493"/>
      <c r="AD180" s="495"/>
      <c r="AE180" s="122"/>
      <c r="AF180" s="22"/>
      <c r="AG180" s="98"/>
      <c r="AH180" s="98"/>
      <c r="AI180" s="20"/>
      <c r="AO180" s="22"/>
      <c r="AP180" s="22"/>
      <c r="AQ180" s="22"/>
      <c r="AR180" s="22"/>
      <c r="AS180" s="22"/>
      <c r="AT180" s="22"/>
      <c r="AU180" s="35"/>
      <c r="AV180" s="35"/>
      <c r="AW180" s="35"/>
      <c r="AX180" s="35"/>
      <c r="AY180" s="35"/>
      <c r="AZ180" s="35"/>
      <c r="BA180" s="35"/>
      <c r="BB180" s="35"/>
      <c r="BC180" s="35"/>
      <c r="BD180" s="35"/>
      <c r="BE180" s="35"/>
      <c r="BF180" s="35"/>
      <c r="BG180" s="35"/>
      <c r="BH180" s="35"/>
      <c r="BI180" s="35"/>
      <c r="BJ180" s="35"/>
      <c r="BK180" s="35"/>
      <c r="BL180" s="35"/>
      <c r="BM180" s="35"/>
      <c r="BN180" s="35"/>
      <c r="BO180" s="86"/>
    </row>
    <row r="181" spans="1:67" s="40" customFormat="1" ht="15.75" customHeight="1" thickBot="1" x14ac:dyDescent="0.3">
      <c r="A181" s="520">
        <f>IFERROR(VLOOKUP($G$5,'רשימת רשויות'!A:C,3,0),0)</f>
        <v>0</v>
      </c>
      <c r="B181" s="520">
        <f t="shared" si="18"/>
        <v>0</v>
      </c>
      <c r="C181" s="39"/>
      <c r="D181" s="1134"/>
      <c r="E181" s="1137"/>
      <c r="F181" s="589" t="s">
        <v>2281</v>
      </c>
      <c r="G181" s="99">
        <f>+G190</f>
        <v>0</v>
      </c>
      <c r="H181" s="103"/>
      <c r="I181" s="104"/>
      <c r="J181" s="105"/>
      <c r="K181" s="603"/>
      <c r="L181" s="603"/>
      <c r="M181" s="603"/>
      <c r="N181" s="603"/>
      <c r="O181" s="603"/>
      <c r="P181" s="605"/>
      <c r="Q181" s="604"/>
      <c r="R181" s="473">
        <f>I182-R183</f>
        <v>0</v>
      </c>
      <c r="S181" s="611"/>
      <c r="T181" s="881"/>
      <c r="U181" s="598"/>
      <c r="V181" s="599"/>
      <c r="W181" s="599"/>
      <c r="X181" s="599"/>
      <c r="Y181" s="879"/>
      <c r="Z181" s="106"/>
      <c r="AA181" s="22"/>
      <c r="AB181" s="22"/>
      <c r="AC181" s="493"/>
      <c r="AD181" s="495"/>
      <c r="AE181" s="22"/>
      <c r="AF181" s="22"/>
      <c r="AG181" s="98"/>
      <c r="AH181" s="98"/>
      <c r="AI181" s="20"/>
      <c r="AO181" s="22"/>
      <c r="AP181" s="22"/>
      <c r="AQ181" s="22"/>
      <c r="AR181" s="22"/>
      <c r="AS181" s="22"/>
      <c r="AT181" s="22"/>
      <c r="AU181" s="35"/>
      <c r="AV181" s="35"/>
      <c r="AW181" s="35"/>
      <c r="AX181" s="35"/>
      <c r="AY181" s="35"/>
      <c r="AZ181" s="35"/>
      <c r="BA181" s="35"/>
      <c r="BB181" s="35"/>
      <c r="BC181" s="35"/>
      <c r="BD181" s="35"/>
      <c r="BE181" s="35"/>
      <c r="BF181" s="35"/>
      <c r="BG181" s="35"/>
      <c r="BH181" s="35"/>
      <c r="BI181" s="35"/>
      <c r="BJ181" s="35"/>
      <c r="BK181" s="35"/>
      <c r="BL181" s="35"/>
      <c r="BM181" s="35"/>
      <c r="BN181" s="35"/>
      <c r="BO181" s="86"/>
    </row>
    <row r="182" spans="1:67" s="40" customFormat="1" ht="16.5" customHeight="1" thickBot="1" x14ac:dyDescent="0.3">
      <c r="A182" s="520">
        <f>IFERROR(VLOOKUP($G$5,'רשימת רשויות'!A:C,3,0),0)</f>
        <v>0</v>
      </c>
      <c r="B182" s="520">
        <f t="shared" si="18"/>
        <v>0</v>
      </c>
      <c r="C182" s="39"/>
      <c r="D182" s="1134"/>
      <c r="E182" s="1137"/>
      <c r="F182" s="589" t="s">
        <v>2282</v>
      </c>
      <c r="G182" s="99">
        <f>G186+G187+G188</f>
        <v>0</v>
      </c>
      <c r="H182" s="104"/>
      <c r="I182" s="107">
        <f>MAX(H180-G180-G181,0)</f>
        <v>0</v>
      </c>
      <c r="J182" s="108">
        <f>IFERROR(I182/H180,0)</f>
        <v>0</v>
      </c>
      <c r="K182" s="603"/>
      <c r="L182" s="603"/>
      <c r="M182" s="603"/>
      <c r="N182" s="603"/>
      <c r="O182" s="603"/>
      <c r="P182" s="604"/>
      <c r="Q182" s="604"/>
      <c r="R182" s="606" t="s">
        <v>158</v>
      </c>
      <c r="S182" s="612"/>
      <c r="T182" s="881"/>
      <c r="U182" s="598"/>
      <c r="V182" s="599"/>
      <c r="W182" s="599"/>
      <c r="X182" s="599"/>
      <c r="Y182" s="879"/>
      <c r="Z182" s="106"/>
      <c r="AA182" s="22"/>
      <c r="AB182" s="22"/>
      <c r="AC182" s="493"/>
      <c r="AD182" s="495"/>
      <c r="AE182" s="22"/>
      <c r="AF182" s="22"/>
      <c r="AG182" s="22"/>
      <c r="AH182" s="22"/>
      <c r="AI182" s="55"/>
      <c r="AJ182" s="22"/>
      <c r="AK182" s="22"/>
      <c r="AO182" s="22"/>
      <c r="AP182" s="22"/>
      <c r="AQ182" s="22"/>
      <c r="AR182" s="22"/>
      <c r="AS182" s="22"/>
      <c r="AT182" s="22"/>
      <c r="AU182" s="35"/>
      <c r="AV182" s="35"/>
      <c r="AW182" s="35"/>
      <c r="AX182" s="35"/>
      <c r="AY182" s="35"/>
      <c r="AZ182" s="35"/>
      <c r="BA182" s="35"/>
      <c r="BB182" s="35"/>
      <c r="BC182" s="35"/>
      <c r="BD182" s="35"/>
      <c r="BE182" s="35"/>
      <c r="BF182" s="35"/>
      <c r="BG182" s="35"/>
      <c r="BH182" s="35"/>
      <c r="BI182" s="35"/>
      <c r="BJ182" s="35"/>
      <c r="BK182" s="35"/>
      <c r="BL182" s="35"/>
      <c r="BM182" s="35"/>
      <c r="BN182" s="35"/>
      <c r="BO182" s="86"/>
    </row>
    <row r="183" spans="1:67" s="40" customFormat="1" ht="15.75" customHeight="1" thickBot="1" x14ac:dyDescent="0.3">
      <c r="A183" s="520">
        <f>IFERROR(VLOOKUP($G$5,'רשימת רשויות'!A:C,3,0),0)</f>
        <v>0</v>
      </c>
      <c r="B183" s="520">
        <f t="shared" si="18"/>
        <v>0</v>
      </c>
      <c r="C183" s="39"/>
      <c r="D183" s="1134"/>
      <c r="E183" s="1137"/>
      <c r="F183" s="590" t="s">
        <v>2290</v>
      </c>
      <c r="G183" s="109"/>
      <c r="H183" s="110"/>
      <c r="I183" s="111">
        <f>SUM(I180:I182)</f>
        <v>0</v>
      </c>
      <c r="J183" s="112">
        <f>SUM(J180:J182)</f>
        <v>0</v>
      </c>
      <c r="K183" s="603"/>
      <c r="L183" s="603"/>
      <c r="M183" s="603"/>
      <c r="N183" s="603"/>
      <c r="O183" s="603"/>
      <c r="P183" s="604"/>
      <c r="Q183" s="604"/>
      <c r="R183" s="473">
        <f>MIN(MAX(G187+G188-I176-J176,0),I182)</f>
        <v>0</v>
      </c>
      <c r="S183" s="612"/>
      <c r="T183" s="881"/>
      <c r="U183" s="598"/>
      <c r="V183" s="599"/>
      <c r="W183" s="599"/>
      <c r="X183" s="599"/>
      <c r="Y183" s="879"/>
      <c r="Z183" s="106"/>
      <c r="AA183" s="22"/>
      <c r="AB183" s="22"/>
      <c r="AC183" s="493"/>
      <c r="AD183" s="495"/>
      <c r="AE183" s="22"/>
      <c r="AF183" s="22"/>
      <c r="AG183" s="22"/>
      <c r="AH183" s="22"/>
      <c r="AJ183" s="22"/>
      <c r="AK183" s="22"/>
      <c r="AO183" s="22"/>
      <c r="AP183" s="22"/>
      <c r="AQ183" s="22"/>
      <c r="AR183" s="22"/>
      <c r="AS183" s="22"/>
      <c r="AT183" s="22"/>
      <c r="AU183" s="35"/>
      <c r="AV183" s="35"/>
      <c r="AW183" s="35"/>
      <c r="AX183" s="35"/>
      <c r="AY183" s="35"/>
      <c r="AZ183" s="35"/>
      <c r="BA183" s="35"/>
      <c r="BB183" s="35"/>
      <c r="BC183" s="35"/>
      <c r="BD183" s="35"/>
      <c r="BE183" s="35"/>
      <c r="BF183" s="35"/>
      <c r="BG183" s="35"/>
      <c r="BH183" s="35"/>
      <c r="BI183" s="35"/>
      <c r="BJ183" s="35"/>
      <c r="BK183" s="35"/>
      <c r="BL183" s="35"/>
      <c r="BM183" s="35"/>
      <c r="BN183" s="35"/>
      <c r="BO183" s="86"/>
    </row>
    <row r="184" spans="1:67" ht="16.5" thickBot="1" x14ac:dyDescent="0.3">
      <c r="A184" s="520">
        <f>IFERROR(VLOOKUP($G$5,'רשימת רשויות'!A:C,3,0),0)</f>
        <v>0</v>
      </c>
      <c r="B184" s="520">
        <f t="shared" si="18"/>
        <v>0</v>
      </c>
      <c r="D184" s="1134"/>
      <c r="E184" s="1137"/>
      <c r="F184" s="587" t="s">
        <v>17</v>
      </c>
      <c r="G184" s="113"/>
      <c r="H184" s="92"/>
      <c r="I184" s="114"/>
      <c r="J184" s="115"/>
      <c r="K184" s="116"/>
      <c r="L184" s="406"/>
      <c r="M184" s="116"/>
      <c r="N184" s="116"/>
      <c r="O184" s="116"/>
      <c r="P184" s="474"/>
      <c r="Q184" s="607"/>
      <c r="R184" s="608"/>
      <c r="S184" s="612"/>
      <c r="T184" s="881"/>
      <c r="U184" s="598"/>
      <c r="V184" s="599"/>
      <c r="W184" s="599"/>
      <c r="X184" s="599"/>
      <c r="Y184" s="879"/>
      <c r="Z184" s="106"/>
      <c r="AI184" s="40"/>
      <c r="BO184" s="86"/>
    </row>
    <row r="185" spans="1:67" ht="47.25" x14ac:dyDescent="0.25">
      <c r="A185" s="520">
        <f>IFERROR(VLOOKUP($G$5,'רשימת רשויות'!A:C,3,0),0)</f>
        <v>0</v>
      </c>
      <c r="B185" s="520">
        <f t="shared" si="18"/>
        <v>0</v>
      </c>
      <c r="D185" s="1134"/>
      <c r="E185" s="1137"/>
      <c r="F185" s="588" t="s">
        <v>2</v>
      </c>
      <c r="G185" s="95" t="s">
        <v>18</v>
      </c>
      <c r="H185" s="95" t="s">
        <v>19</v>
      </c>
      <c r="I185" s="95" t="s">
        <v>20</v>
      </c>
      <c r="J185" s="95" t="s">
        <v>22</v>
      </c>
      <c r="K185" s="96" t="s">
        <v>2314</v>
      </c>
      <c r="L185" s="609"/>
      <c r="M185" s="609"/>
      <c r="N185" s="609"/>
      <c r="O185" s="580"/>
      <c r="P185" s="618" t="s">
        <v>2298</v>
      </c>
      <c r="Q185" s="618" t="s">
        <v>2299</v>
      </c>
      <c r="R185" s="596"/>
      <c r="S185" s="890" t="s">
        <v>2519</v>
      </c>
      <c r="T185" s="890" t="s">
        <v>97</v>
      </c>
      <c r="U185" s="891" t="s">
        <v>2521</v>
      </c>
      <c r="V185" s="892" t="s">
        <v>2520</v>
      </c>
      <c r="W185" s="893" t="s">
        <v>2524</v>
      </c>
      <c r="X185" s="892" t="s">
        <v>2522</v>
      </c>
      <c r="Y185" s="894" t="s">
        <v>2523</v>
      </c>
      <c r="Z185" s="106"/>
      <c r="AC185" s="498" t="s">
        <v>2568</v>
      </c>
      <c r="AD185" s="499" t="s">
        <v>2569</v>
      </c>
      <c r="AF185" s="122"/>
      <c r="AI185" s="40"/>
      <c r="BO185" s="86"/>
    </row>
    <row r="186" spans="1:67" ht="15" customHeight="1" thickBot="1" x14ac:dyDescent="0.3">
      <c r="A186" s="520">
        <f>IFERROR(VLOOKUP($G$5,'רשימת רשויות'!A:C,3,0),0)</f>
        <v>0</v>
      </c>
      <c r="B186" s="520">
        <f t="shared" si="18"/>
        <v>0</v>
      </c>
      <c r="D186" s="1134"/>
      <c r="E186" s="1137"/>
      <c r="F186" s="589" t="s">
        <v>76</v>
      </c>
      <c r="G186" s="117">
        <f>IF(G177="תקין",SUMIF('עלויות כח אדם (6)'!$B$15:$B$3014,'בית ספר - תקצוב לפי מוסד (9)'!$G172,'עלויות כח אדם (6)'!$M$15:$M$3014)-VLOOKUP('בית ספר - תקצוב לפי מוסד (9)'!G172,' איוש משרות (8)'!$C:$H,5,0)-VLOOKUP('בית ספר - תקצוב לפי מוסד (9)'!G172,' איוש משרות (8)'!$C:$H,6,0),0)-Y186</f>
        <v>0</v>
      </c>
      <c r="H186" s="118">
        <f>I174+R181</f>
        <v>0</v>
      </c>
      <c r="I186" s="119">
        <f>IFERROR(SUM(G186)/H186,0)</f>
        <v>0</v>
      </c>
      <c r="J186" s="100">
        <f>MIN(I174+R181,IF(ISNUMBER(G186),G186,0))</f>
        <v>0</v>
      </c>
      <c r="K186" s="120">
        <f>MAX(H186-G186,0)</f>
        <v>0</v>
      </c>
      <c r="L186" s="407"/>
      <c r="M186" s="393"/>
      <c r="N186" s="393"/>
      <c r="O186" s="580"/>
      <c r="P186" s="968">
        <f>IFERROR(IF(SUM(G186)/(I174)&lt;100%,MIN((I174)-SUM(G186),(I174)*0.25),0),0)</f>
        <v>0</v>
      </c>
      <c r="Q186" s="968">
        <f>IF(SUM(G186)-(I174+R181)&gt;0,SUM(G186)-(I174+R181),0)</f>
        <v>0</v>
      </c>
      <c r="R186" s="596" t="s">
        <v>2351</v>
      </c>
      <c r="S186" s="576" t="s">
        <v>2342</v>
      </c>
      <c r="T186" s="599">
        <f>G172</f>
        <v>0</v>
      </c>
      <c r="U186" s="578"/>
      <c r="V186" s="579">
        <f>G186+G187+G188</f>
        <v>0</v>
      </c>
      <c r="W186" s="579">
        <f>U186-V186</f>
        <v>0</v>
      </c>
      <c r="X186" s="579">
        <f>IFERROR(W200*W186/(SUM(W186:W199)),0)</f>
        <v>0</v>
      </c>
      <c r="Y186" s="879">
        <f>SUMIFS(בקרה!$S:$S,בקרה!$D:$D,T186,בקרה!$K:$K,S186)</f>
        <v>0</v>
      </c>
      <c r="Z186" s="121"/>
      <c r="AA186" s="143"/>
      <c r="AB186" s="143"/>
      <c r="AC186" s="504">
        <v>0</v>
      </c>
      <c r="AD186" s="505">
        <f>IFERROR(U186-AC186,0)</f>
        <v>0</v>
      </c>
      <c r="AE186" s="143"/>
      <c r="AI186" s="20"/>
      <c r="BO186" s="86"/>
    </row>
    <row r="187" spans="1:67" ht="15" customHeight="1" thickBot="1" x14ac:dyDescent="0.3">
      <c r="A187" s="520">
        <f>IFERROR(VLOOKUP($G$5,'רשימת רשויות'!A:C,3,0),0)</f>
        <v>0</v>
      </c>
      <c r="B187" s="520">
        <f t="shared" si="18"/>
        <v>0</v>
      </c>
      <c r="D187" s="1134"/>
      <c r="E187" s="1137"/>
      <c r="F187" s="589" t="s">
        <v>44</v>
      </c>
      <c r="G187" s="123">
        <f>IF(G177="תקין",IFERROR(VLOOKUP('בית ספר - תקצוב לפי מוסד (9)'!G172,' איוש משרות (8)'!C:J,7,0),0),0)</f>
        <v>0</v>
      </c>
      <c r="H187" s="124">
        <f>I176+R183+J176</f>
        <v>0</v>
      </c>
      <c r="I187" s="119">
        <f>IFERROR(SUM(G187:G188)/H187,0)</f>
        <v>0</v>
      </c>
      <c r="J187" s="100">
        <f>MIN(R183+I176,IF(ISNUMBER(SUM(G187:G188)),SUM(G187:G188),0))</f>
        <v>0</v>
      </c>
      <c r="K187" s="1139">
        <f>MAX((H187)-(G187+G188),0)</f>
        <v>0</v>
      </c>
      <c r="L187" s="407"/>
      <c r="M187" s="393"/>
      <c r="N187" s="393"/>
      <c r="O187" s="580"/>
      <c r="P187" s="1140"/>
      <c r="Q187" s="1140"/>
      <c r="R187" s="617">
        <f>MAX(MIN(P195-Q195,H195*0.15-G193),0)</f>
        <v>0</v>
      </c>
      <c r="S187" s="576"/>
      <c r="T187" s="599">
        <f>G172</f>
        <v>0</v>
      </c>
      <c r="U187" s="578"/>
      <c r="V187" s="579"/>
      <c r="W187" s="579">
        <f t="shared" ref="W187:W199" si="23">U187-V187</f>
        <v>0</v>
      </c>
      <c r="X187" s="579"/>
      <c r="Y187" s="879"/>
      <c r="Z187" s="121"/>
      <c r="AA187" s="143"/>
      <c r="AB187" s="143"/>
      <c r="AC187" s="504"/>
      <c r="AD187" s="505">
        <f t="shared" ref="AD187:AD193" si="24">IFERROR(U187-AC187,0)</f>
        <v>0</v>
      </c>
      <c r="AE187" s="143"/>
      <c r="AI187" s="20"/>
      <c r="BO187" s="86"/>
    </row>
    <row r="188" spans="1:67" ht="15.75" customHeight="1" x14ac:dyDescent="0.25">
      <c r="A188" s="520">
        <f>IFERROR(VLOOKUP($G$5,'רשימת רשויות'!A:C,3,0),0)</f>
        <v>0</v>
      </c>
      <c r="B188" s="520">
        <f t="shared" si="18"/>
        <v>0</v>
      </c>
      <c r="D188" s="1134"/>
      <c r="E188" s="1137"/>
      <c r="F188" s="589" t="s">
        <v>45</v>
      </c>
      <c r="G188" s="123">
        <f>IF(G177="תקין",IFERROR(VLOOKUP('בית ספר - תקצוב לפי מוסד (9)'!G172,' איוש משרות (8)'!C:J,8,0),0),0)</f>
        <v>0</v>
      </c>
      <c r="H188" s="125"/>
      <c r="I188" s="126"/>
      <c r="J188" s="104"/>
      <c r="K188" s="1139"/>
      <c r="L188" s="407"/>
      <c r="M188" s="393"/>
      <c r="N188" s="393"/>
      <c r="O188" s="580"/>
      <c r="P188" s="1140"/>
      <c r="Q188" s="1140"/>
      <c r="R188" s="596"/>
      <c r="S188" s="576"/>
      <c r="T188" s="599">
        <f>G172</f>
        <v>0</v>
      </c>
      <c r="U188" s="578"/>
      <c r="V188" s="579"/>
      <c r="W188" s="579">
        <f t="shared" si="23"/>
        <v>0</v>
      </c>
      <c r="X188" s="579"/>
      <c r="Y188" s="879"/>
      <c r="Z188" s="121"/>
      <c r="AA188" s="143"/>
      <c r="AB188" s="143"/>
      <c r="AC188" s="504"/>
      <c r="AD188" s="505">
        <f t="shared" si="24"/>
        <v>0</v>
      </c>
      <c r="AE188" s="143"/>
      <c r="AG188" s="55"/>
      <c r="AH188" s="55"/>
      <c r="AI188" s="55"/>
      <c r="AJ188" s="55"/>
      <c r="AK188" s="55"/>
      <c r="BO188" s="86"/>
    </row>
    <row r="189" spans="1:67" ht="15.75" customHeight="1" x14ac:dyDescent="0.25">
      <c r="A189" s="520">
        <f>IFERROR(VLOOKUP($G$5,'רשימת רשויות'!A:C,3,0),0)</f>
        <v>0</v>
      </c>
      <c r="B189" s="520">
        <f t="shared" si="18"/>
        <v>0</v>
      </c>
      <c r="D189" s="1134"/>
      <c r="E189" s="1137"/>
      <c r="F189" s="589" t="s">
        <v>0</v>
      </c>
      <c r="G189" s="117">
        <f>IF(G177="תקין",SUMIFS('דוח הוצאות בפועל (4)'!$E$17:$E$3016,'דוח הוצאות בפועל (4)'!$B$17:$B$3016,'בית ספר - תקצוב לפי מוסד (9)'!$G172,'דוח הוצאות בפועל (4)'!$M$17:$M$3016,"הע"),0)-Y189</f>
        <v>0</v>
      </c>
      <c r="H189" s="127">
        <f>J174</f>
        <v>0</v>
      </c>
      <c r="I189" s="128">
        <f>IFERROR(G189/H189,0)</f>
        <v>0</v>
      </c>
      <c r="J189" s="129">
        <f>MIN(IF(ISNUMBER(G189),G189,0),H189)</f>
        <v>0</v>
      </c>
      <c r="K189" s="120">
        <f>MAX(H189-G189,0)</f>
        <v>0</v>
      </c>
      <c r="L189" s="407"/>
      <c r="M189" s="393"/>
      <c r="N189" s="393"/>
      <c r="O189" s="580"/>
      <c r="P189" s="968">
        <f>MAX(IF(I189&lt;100%,MIN((H189-G189),H189*0.25),0),0)</f>
        <v>0</v>
      </c>
      <c r="Q189" s="619">
        <f>IF(G189-H189&gt;0,G189-H189,0)</f>
        <v>0</v>
      </c>
      <c r="R189" s="596"/>
      <c r="S189" s="610" t="s">
        <v>0</v>
      </c>
      <c r="T189" s="599">
        <f>G172</f>
        <v>0</v>
      </c>
      <c r="U189" s="578"/>
      <c r="V189" s="579">
        <f>G189</f>
        <v>0</v>
      </c>
      <c r="W189" s="579">
        <f t="shared" si="23"/>
        <v>0</v>
      </c>
      <c r="X189" s="579">
        <f>IFERROR(W200*W189/(SUM(W186:W199)),0)</f>
        <v>0</v>
      </c>
      <c r="Y189" s="879">
        <f>SUMIFS(בקרה!$S:$S,בקרה!$D:$D,T189,בקרה!$K:$K,S189)</f>
        <v>0</v>
      </c>
      <c r="Z189" s="121"/>
      <c r="AA189" s="143"/>
      <c r="AB189" s="143"/>
      <c r="AC189" s="504">
        <v>0</v>
      </c>
      <c r="AD189" s="505">
        <f t="shared" si="24"/>
        <v>0</v>
      </c>
      <c r="AE189" s="143"/>
      <c r="AG189" s="55"/>
      <c r="AH189" s="55"/>
      <c r="AI189" s="40"/>
      <c r="AJ189" s="55"/>
      <c r="AK189" s="55"/>
      <c r="BO189" s="86"/>
    </row>
    <row r="190" spans="1:67" s="55" customFormat="1" ht="15.75" customHeight="1" x14ac:dyDescent="0.25">
      <c r="A190" s="520">
        <f>IFERROR(VLOOKUP($G$5,'רשימת רשויות'!A:C,3,0),0)</f>
        <v>0</v>
      </c>
      <c r="B190" s="520">
        <f t="shared" si="18"/>
        <v>0</v>
      </c>
      <c r="C190" s="39"/>
      <c r="D190" s="1134"/>
      <c r="E190" s="1137"/>
      <c r="F190" s="589" t="s">
        <v>93</v>
      </c>
      <c r="G190" s="130">
        <f>IF(G177="תקין",SUMIFS('דוח הוצאות בפועל (4)'!$E$17:$E$3016,'דוח הוצאות בפועל (4)'!$B$17:$B$3016,'בית ספר - תקצוב לפי מוסד (9)'!$G172,'דוח הוצאות בפועל (4)'!$M$17:$M$3016,"אר"),0)-Y190</f>
        <v>0</v>
      </c>
      <c r="H190" s="118">
        <f>$I180</f>
        <v>0</v>
      </c>
      <c r="I190" s="131">
        <f>IFERROR((G190+G191)/H190,0)</f>
        <v>0</v>
      </c>
      <c r="J190" s="100">
        <f>MIN((IF(ISNUMBER(G190),G190,0)+IF(ISNUMBER(G191),G191,0)),H190)</f>
        <v>0</v>
      </c>
      <c r="K190" s="1139">
        <f>MAX((H190)-(G190+G191),0)</f>
        <v>0</v>
      </c>
      <c r="L190" s="407"/>
      <c r="M190" s="393"/>
      <c r="N190" s="393"/>
      <c r="O190" s="602"/>
      <c r="P190" s="1141"/>
      <c r="Q190" s="1142"/>
      <c r="R190" s="596"/>
      <c r="S190" s="610" t="s">
        <v>93</v>
      </c>
      <c r="T190" s="599">
        <f>G172</f>
        <v>0</v>
      </c>
      <c r="U190" s="578"/>
      <c r="V190" s="579">
        <f t="shared" ref="V190:V191" si="25">G190</f>
        <v>0</v>
      </c>
      <c r="W190" s="579">
        <f t="shared" si="23"/>
        <v>0</v>
      </c>
      <c r="X190" s="579">
        <f>IFERROR(W200*W190/(SUM(W186:W199)),0)</f>
        <v>0</v>
      </c>
      <c r="Y190" s="879">
        <f>SUMIFS(בקרה!$S:$S,בקרה!$D:$D,T190,בקרה!$K:$K,S190)</f>
        <v>0</v>
      </c>
      <c r="Z190" s="121"/>
      <c r="AA190" s="143"/>
      <c r="AB190" s="143"/>
      <c r="AC190" s="504">
        <v>0</v>
      </c>
      <c r="AD190" s="505">
        <f t="shared" si="24"/>
        <v>0</v>
      </c>
      <c r="AE190" s="143"/>
      <c r="AJ190" s="22"/>
      <c r="AO190" s="22"/>
      <c r="AP190" s="22"/>
      <c r="AQ190" s="22"/>
      <c r="AR190" s="22"/>
      <c r="AS190" s="22"/>
      <c r="AT190" s="22"/>
      <c r="AU190" s="35"/>
      <c r="AV190" s="35"/>
      <c r="AW190" s="35"/>
      <c r="AX190" s="35"/>
      <c r="AY190" s="35"/>
      <c r="AZ190" s="35"/>
      <c r="BA190" s="35"/>
      <c r="BB190" s="35"/>
      <c r="BC190" s="35"/>
      <c r="BD190" s="35"/>
      <c r="BE190" s="35"/>
      <c r="BF190" s="35"/>
      <c r="BG190" s="35"/>
      <c r="BH190" s="35"/>
      <c r="BI190" s="35"/>
      <c r="BJ190" s="35"/>
      <c r="BK190" s="35"/>
      <c r="BL190" s="35"/>
      <c r="BM190" s="35"/>
      <c r="BN190" s="35"/>
      <c r="BO190" s="86"/>
    </row>
    <row r="191" spans="1:67" s="55" customFormat="1" ht="15.75" customHeight="1" x14ac:dyDescent="0.25">
      <c r="A191" s="520">
        <f>IFERROR(VLOOKUP($G$5,'רשימת רשויות'!A:C,3,0),0)</f>
        <v>0</v>
      </c>
      <c r="B191" s="520">
        <f t="shared" si="18"/>
        <v>0</v>
      </c>
      <c r="C191" s="39"/>
      <c r="D191" s="1134"/>
      <c r="E191" s="1137"/>
      <c r="F191" s="589" t="s">
        <v>46</v>
      </c>
      <c r="G191" s="130">
        <f>IF(G177="תקין",SUMIFS('דוח הוצאות בפועל (4)'!$E$17:$E$3016,'דוח הוצאות בפועל (4)'!$B$17:$B$3016,'בית ספר - תקצוב לפי מוסד (9)'!$G172,'דוח הוצאות בפועל (4)'!$M$17:$M$3016,"מל"),0)-Y191</f>
        <v>0</v>
      </c>
      <c r="H191" s="132"/>
      <c r="I191" s="133"/>
      <c r="J191" s="104"/>
      <c r="K191" s="1139"/>
      <c r="L191" s="407"/>
      <c r="M191" s="393"/>
      <c r="N191" s="393"/>
      <c r="O191" s="602"/>
      <c r="P191" s="1141"/>
      <c r="Q191" s="1142"/>
      <c r="R191" s="596"/>
      <c r="S191" s="610" t="s">
        <v>46</v>
      </c>
      <c r="T191" s="599">
        <f>G172</f>
        <v>0</v>
      </c>
      <c r="U191" s="578"/>
      <c r="V191" s="579">
        <f t="shared" si="25"/>
        <v>0</v>
      </c>
      <c r="W191" s="579">
        <f t="shared" si="23"/>
        <v>0</v>
      </c>
      <c r="X191" s="579">
        <f>IFERROR(W200*W191/(SUM(W186:W199)),0)</f>
        <v>0</v>
      </c>
      <c r="Y191" s="879">
        <f>SUMIFS(בקרה!$S:$S,בקרה!$D:$D,T191,בקרה!$K:$K,S191)</f>
        <v>0</v>
      </c>
      <c r="Z191" s="121"/>
      <c r="AA191" s="143"/>
      <c r="AB191" s="143"/>
      <c r="AC191" s="504">
        <v>0</v>
      </c>
      <c r="AD191" s="505">
        <f t="shared" si="24"/>
        <v>0</v>
      </c>
      <c r="AE191" s="143"/>
      <c r="AJ191" s="22"/>
      <c r="AO191" s="22"/>
      <c r="AP191" s="22"/>
      <c r="AQ191" s="22"/>
      <c r="AR191" s="22"/>
      <c r="AS191" s="22"/>
      <c r="AT191" s="22"/>
      <c r="AU191" s="35"/>
      <c r="AV191" s="35"/>
      <c r="AW191" s="35"/>
      <c r="AX191" s="35"/>
      <c r="AY191" s="35"/>
      <c r="AZ191" s="35"/>
      <c r="BA191" s="35"/>
      <c r="BB191" s="35"/>
      <c r="BC191" s="35"/>
      <c r="BD191" s="35"/>
      <c r="BE191" s="35"/>
      <c r="BF191" s="35"/>
      <c r="BG191" s="35"/>
      <c r="BH191" s="35"/>
      <c r="BI191" s="35"/>
      <c r="BJ191" s="35"/>
      <c r="BK191" s="35"/>
      <c r="BL191" s="35"/>
      <c r="BM191" s="35"/>
      <c r="BN191" s="35"/>
      <c r="BO191" s="86"/>
    </row>
    <row r="192" spans="1:67" s="55" customFormat="1" ht="15" customHeight="1" x14ac:dyDescent="0.25">
      <c r="A192" s="520">
        <f>IFERROR(VLOOKUP($G$5,'רשימת רשויות'!A:C,3,0),0)</f>
        <v>0</v>
      </c>
      <c r="B192" s="520">
        <f t="shared" si="18"/>
        <v>0</v>
      </c>
      <c r="C192" s="39"/>
      <c r="D192" s="1134"/>
      <c r="E192" s="1137"/>
      <c r="F192" s="591" t="s">
        <v>23</v>
      </c>
      <c r="G192" s="134">
        <f>SUM(G186:G191)</f>
        <v>0</v>
      </c>
      <c r="H192" s="135">
        <f>SUM(H186:H191)</f>
        <v>0</v>
      </c>
      <c r="I192" s="128">
        <f>IFERROR(G192/H192,0)</f>
        <v>0</v>
      </c>
      <c r="J192" s="136">
        <f>SUM(J186:J191)</f>
        <v>0</v>
      </c>
      <c r="K192" s="137">
        <f>SUM(K186:K191)</f>
        <v>0</v>
      </c>
      <c r="L192" s="408"/>
      <c r="M192" s="394"/>
      <c r="N192" s="394"/>
      <c r="O192" s="602"/>
      <c r="P192" s="620">
        <f>SUM(P186:P191)</f>
        <v>0</v>
      </c>
      <c r="Q192" s="620">
        <f>SUM(Q186:Q191)</f>
        <v>0</v>
      </c>
      <c r="R192" s="596"/>
      <c r="S192" s="610"/>
      <c r="T192" s="599">
        <f>G172</f>
        <v>0</v>
      </c>
      <c r="U192" s="578"/>
      <c r="V192" s="579"/>
      <c r="W192" s="579">
        <f t="shared" si="23"/>
        <v>0</v>
      </c>
      <c r="X192" s="579"/>
      <c r="Y192" s="879"/>
      <c r="Z192" s="121"/>
      <c r="AA192" s="143"/>
      <c r="AB192" s="143"/>
      <c r="AC192" s="504"/>
      <c r="AD192" s="505">
        <f t="shared" si="24"/>
        <v>0</v>
      </c>
      <c r="AE192" s="143"/>
      <c r="AJ192" s="22"/>
      <c r="AL192" s="22"/>
      <c r="AM192" s="22"/>
      <c r="AN192" s="22"/>
      <c r="AO192" s="22"/>
      <c r="AP192" s="22"/>
      <c r="AQ192" s="22"/>
      <c r="AR192" s="22"/>
      <c r="AS192" s="22"/>
      <c r="AT192" s="22"/>
      <c r="AU192" s="35"/>
      <c r="AV192" s="35"/>
      <c r="AW192" s="35"/>
      <c r="AX192" s="35"/>
      <c r="AY192" s="35"/>
      <c r="AZ192" s="35"/>
      <c r="BA192" s="35"/>
      <c r="BB192" s="35"/>
      <c r="BC192" s="35"/>
      <c r="BD192" s="35"/>
      <c r="BE192" s="35"/>
      <c r="BF192" s="35"/>
      <c r="BG192" s="35"/>
      <c r="BH192" s="35"/>
      <c r="BI192" s="35"/>
      <c r="BJ192" s="35"/>
      <c r="BK192" s="35"/>
      <c r="BL192" s="35"/>
      <c r="BM192" s="35"/>
      <c r="BN192" s="35"/>
      <c r="BO192" s="86"/>
    </row>
    <row r="193" spans="1:67" s="55" customFormat="1" ht="15" customHeight="1" x14ac:dyDescent="0.25">
      <c r="A193" s="520">
        <f>IFERROR(VLOOKUP($G$5,'רשימת רשויות'!A:C,3,0),0)</f>
        <v>0</v>
      </c>
      <c r="B193" s="520">
        <f t="shared" si="18"/>
        <v>0</v>
      </c>
      <c r="C193" s="39"/>
      <c r="D193" s="1134"/>
      <c r="E193" s="1137"/>
      <c r="F193" s="589" t="s">
        <v>3</v>
      </c>
      <c r="G193" s="117">
        <f>IF(G177="תקין",SUMIFS('דוח הוצאות בפועל (4)'!$E$17:$E$3016,'דוח הוצאות בפועל (4)'!$B$17:$B$3016,'בית ספר - תקצוב לפי מוסד (9)'!$G172,'דוח הוצאות בפועל (4)'!$M$17:$M$3016,"ני")+SUMIFS('דוח הוצאות בפועל (4)'!$E$17:$E$3016,'דוח הוצאות בפועל (4)'!$B$17:$B$3016,'בית ספר - תקצוב לפי מוסד (9)'!$G172,'דוח הוצאות בפועל (4)'!$M$17:$M$3016,"על"),0)-Y193</f>
        <v>0</v>
      </c>
      <c r="H193" s="117">
        <f>H174</f>
        <v>0</v>
      </c>
      <c r="I193" s="138">
        <f>IFERROR(G193/H193,0)</f>
        <v>0</v>
      </c>
      <c r="J193" s="117">
        <f>IFERROR(IF(G193/H195&gt;0.15,MIN(H195*0.15,H193),MIN(H193,IF(ISNUMBER(G193),G193,0))),0)</f>
        <v>0</v>
      </c>
      <c r="K193" s="120">
        <f>MAX(H193-G193,0)</f>
        <v>0</v>
      </c>
      <c r="L193" s="407"/>
      <c r="M193" s="393"/>
      <c r="N193" s="393"/>
      <c r="O193" s="602"/>
      <c r="P193" s="620">
        <f>IF(I193&lt;100%,MIN(H193-G193,H193*0.25),0)</f>
        <v>0</v>
      </c>
      <c r="Q193" s="620">
        <f>MAX(MIN(IF(G193-H193&gt;0,G193-H193,0),$H195*0.15-H193-J194),0)</f>
        <v>0</v>
      </c>
      <c r="R193" s="596"/>
      <c r="S193" s="610" t="s">
        <v>3</v>
      </c>
      <c r="T193" s="599">
        <f>G172</f>
        <v>0</v>
      </c>
      <c r="U193" s="578"/>
      <c r="V193" s="579">
        <f t="shared" ref="V193" si="26">G193</f>
        <v>0</v>
      </c>
      <c r="W193" s="579">
        <f t="shared" si="23"/>
        <v>0</v>
      </c>
      <c r="X193" s="579"/>
      <c r="Y193" s="879"/>
      <c r="Z193" s="121"/>
      <c r="AA193" s="143"/>
      <c r="AB193" s="143"/>
      <c r="AC193" s="504">
        <v>0</v>
      </c>
      <c r="AD193" s="505">
        <f t="shared" si="24"/>
        <v>0</v>
      </c>
      <c r="AE193" s="143"/>
      <c r="AG193" s="22"/>
      <c r="AH193" s="22"/>
      <c r="AI193" s="22"/>
      <c r="AJ193" s="22"/>
      <c r="AK193" s="22"/>
      <c r="AL193" s="22"/>
      <c r="AM193" s="22"/>
      <c r="AN193" s="22"/>
      <c r="AO193" s="22"/>
      <c r="AP193" s="22"/>
      <c r="AQ193" s="22"/>
      <c r="AR193" s="22"/>
      <c r="AS193" s="22"/>
      <c r="AT193" s="22"/>
      <c r="AU193" s="35"/>
      <c r="AV193" s="35"/>
      <c r="AW193" s="35"/>
      <c r="AX193" s="35"/>
      <c r="AY193" s="35"/>
      <c r="AZ193" s="35"/>
      <c r="BA193" s="35"/>
      <c r="BB193" s="35"/>
      <c r="BC193" s="35"/>
      <c r="BD193" s="35"/>
      <c r="BE193" s="35"/>
      <c r="BF193" s="35"/>
      <c r="BG193" s="35"/>
      <c r="BH193" s="35"/>
      <c r="BI193" s="35"/>
      <c r="BJ193" s="35"/>
      <c r="BK193" s="35"/>
      <c r="BL193" s="35"/>
      <c r="BM193" s="35"/>
      <c r="BN193" s="35"/>
      <c r="BO193" s="86"/>
    </row>
    <row r="194" spans="1:67" s="55" customFormat="1" ht="15.75" customHeight="1" x14ac:dyDescent="0.25">
      <c r="A194" s="520">
        <f>IFERROR(VLOOKUP($G$5,'רשימת רשויות'!A:C,3,0),0)</f>
        <v>0</v>
      </c>
      <c r="B194" s="520">
        <f t="shared" si="18"/>
        <v>0</v>
      </c>
      <c r="C194" s="39"/>
      <c r="D194" s="1134"/>
      <c r="E194" s="1137"/>
      <c r="F194" s="589" t="s">
        <v>2918</v>
      </c>
      <c r="G194" s="117">
        <f>0.07*(G188+G187)</f>
        <v>0</v>
      </c>
      <c r="H194" s="117">
        <f>H176</f>
        <v>0</v>
      </c>
      <c r="I194" s="138">
        <f>IFERROR(G194/H194,0)</f>
        <v>0</v>
      </c>
      <c r="J194" s="117">
        <f>IFERROR(MIN(0.07*(G187+G188),0.07*I176),0)</f>
        <v>0</v>
      </c>
      <c r="K194" s="120">
        <f>MAX(H194-G194,0)</f>
        <v>0</v>
      </c>
      <c r="L194" s="407"/>
      <c r="M194" s="393"/>
      <c r="N194" s="393"/>
      <c r="O194" s="602"/>
      <c r="P194" s="620"/>
      <c r="Q194" s="619"/>
      <c r="R194" s="596"/>
      <c r="S194" s="611"/>
      <c r="T194" s="599">
        <f>G172</f>
        <v>0</v>
      </c>
      <c r="U194" s="578"/>
      <c r="V194" s="579"/>
      <c r="W194" s="579">
        <f t="shared" si="23"/>
        <v>0</v>
      </c>
      <c r="X194" s="579"/>
      <c r="Y194" s="879"/>
      <c r="Z194" s="121"/>
      <c r="AA194" s="143"/>
      <c r="AB194" s="143"/>
      <c r="AC194" s="504"/>
      <c r="AD194" s="505"/>
      <c r="AE194" s="143"/>
      <c r="AF194" s="140"/>
      <c r="AG194" s="22"/>
      <c r="AH194" s="22"/>
      <c r="AI194" s="22"/>
      <c r="AJ194" s="22"/>
      <c r="AK194" s="22"/>
      <c r="AL194" s="22"/>
      <c r="AM194" s="22"/>
      <c r="AN194" s="22"/>
      <c r="AO194" s="22"/>
      <c r="AP194" s="22"/>
      <c r="AQ194" s="22"/>
      <c r="AR194" s="22"/>
      <c r="AS194" s="22"/>
      <c r="AT194" s="22"/>
      <c r="AU194" s="35"/>
      <c r="AV194" s="35"/>
      <c r="AW194" s="35"/>
      <c r="AX194" s="35"/>
      <c r="AY194" s="35"/>
      <c r="AZ194" s="35"/>
      <c r="BA194" s="35"/>
      <c r="BB194" s="35"/>
      <c r="BC194" s="35"/>
      <c r="BD194" s="35"/>
      <c r="BE194" s="35"/>
      <c r="BF194" s="35"/>
      <c r="BG194" s="35"/>
      <c r="BH194" s="35"/>
      <c r="BI194" s="35"/>
      <c r="BJ194" s="35"/>
      <c r="BK194" s="35"/>
      <c r="BL194" s="35"/>
      <c r="BM194" s="35"/>
      <c r="BN194" s="35"/>
      <c r="BO194" s="86"/>
    </row>
    <row r="195" spans="1:67" ht="15.75" customHeight="1" x14ac:dyDescent="0.25">
      <c r="A195" s="520">
        <f>IFERROR(VLOOKUP($G$5,'רשימת רשויות'!A:C,3,0),0)</f>
        <v>0</v>
      </c>
      <c r="B195" s="520">
        <f t="shared" si="18"/>
        <v>0</v>
      </c>
      <c r="D195" s="1134"/>
      <c r="E195" s="1137"/>
      <c r="F195" s="591" t="s">
        <v>15</v>
      </c>
      <c r="G195" s="134">
        <f>G192+G193+G194</f>
        <v>0</v>
      </c>
      <c r="H195" s="134">
        <f>H192+H193+H194</f>
        <v>0</v>
      </c>
      <c r="I195" s="138">
        <f>IFERROR(G195/H195,0)</f>
        <v>0</v>
      </c>
      <c r="J195" s="139">
        <f>J192+J193+J194</f>
        <v>0</v>
      </c>
      <c r="K195" s="137">
        <f>K193+K192+K194</f>
        <v>0</v>
      </c>
      <c r="L195" s="408"/>
      <c r="M195" s="394"/>
      <c r="N195" s="394"/>
      <c r="O195" s="602"/>
      <c r="P195" s="621">
        <f>SUM(P192:P193)</f>
        <v>0</v>
      </c>
      <c r="Q195" s="622">
        <f>Q192+Q193</f>
        <v>0</v>
      </c>
      <c r="R195" s="596"/>
      <c r="S195" s="611"/>
      <c r="T195" s="599">
        <f>G172</f>
        <v>0</v>
      </c>
      <c r="U195" s="578"/>
      <c r="V195" s="579"/>
      <c r="W195" s="579">
        <f t="shared" si="23"/>
        <v>0</v>
      </c>
      <c r="X195" s="579"/>
      <c r="Y195" s="879"/>
      <c r="Z195" s="106"/>
      <c r="AC195" s="504"/>
      <c r="AD195" s="505"/>
      <c r="AH195" s="143"/>
      <c r="BO195" s="86"/>
    </row>
    <row r="196" spans="1:67" ht="15.75" customHeight="1" x14ac:dyDescent="0.25">
      <c r="A196" s="520">
        <f>IFERROR(VLOOKUP($G$5,'רשימת רשויות'!A:C,3,0),0)</f>
        <v>0</v>
      </c>
      <c r="B196" s="520">
        <f t="shared" si="18"/>
        <v>0</v>
      </c>
      <c r="D196" s="1134"/>
      <c r="E196" s="1137"/>
      <c r="F196" s="589" t="s">
        <v>2261</v>
      </c>
      <c r="G196" s="117">
        <f>IF(G177="תקין",SUMIF('תשלומי הורים ומלגות להורים (5) '!$B$18:$B$517,$G172,'תשלומי הורים ומלגות להורים (5) '!$C$18:$C$517),0)</f>
        <v>0</v>
      </c>
      <c r="H196" s="117">
        <f>(G175+G176)*$G$7</f>
        <v>0</v>
      </c>
      <c r="I196" s="141"/>
      <c r="J196" s="141"/>
      <c r="K196" s="142"/>
      <c r="L196" s="395"/>
      <c r="M196" s="395"/>
      <c r="N196" s="395"/>
      <c r="O196" s="602"/>
      <c r="P196" s="623"/>
      <c r="Q196" s="619"/>
      <c r="R196" s="596"/>
      <c r="S196" s="612"/>
      <c r="T196" s="599">
        <f>G172</f>
        <v>0</v>
      </c>
      <c r="U196" s="578"/>
      <c r="V196" s="579"/>
      <c r="W196" s="579">
        <f t="shared" si="23"/>
        <v>0</v>
      </c>
      <c r="X196" s="579"/>
      <c r="Y196" s="879"/>
      <c r="Z196" s="121"/>
      <c r="AA196" s="143"/>
      <c r="AB196" s="143"/>
      <c r="AC196" s="504"/>
      <c r="AD196" s="505"/>
      <c r="AE196" s="143"/>
      <c r="AF196" s="148"/>
      <c r="BO196" s="86"/>
    </row>
    <row r="197" spans="1:67" ht="15.75" customHeight="1" thickBot="1" x14ac:dyDescent="0.3">
      <c r="A197" s="520">
        <f>IFERROR(VLOOKUP($G$5,'רשימת רשויות'!A:C,3,0),0)</f>
        <v>0</v>
      </c>
      <c r="B197" s="520">
        <f t="shared" si="18"/>
        <v>0</v>
      </c>
      <c r="D197" s="1134"/>
      <c r="E197" s="1137"/>
      <c r="F197" s="592" t="s">
        <v>21</v>
      </c>
      <c r="G197" s="144">
        <f>G195-G196</f>
        <v>0</v>
      </c>
      <c r="H197" s="144">
        <f>H195-H196</f>
        <v>0</v>
      </c>
      <c r="I197" s="145"/>
      <c r="J197" s="145"/>
      <c r="K197" s="146"/>
      <c r="L197" s="396"/>
      <c r="M197" s="396"/>
      <c r="N197" s="396"/>
      <c r="O197" s="602"/>
      <c r="P197" s="619"/>
      <c r="Q197" s="619"/>
      <c r="R197" s="596"/>
      <c r="S197" s="612"/>
      <c r="T197" s="599">
        <f>G172</f>
        <v>0</v>
      </c>
      <c r="U197" s="578"/>
      <c r="V197" s="579"/>
      <c r="W197" s="579">
        <f t="shared" si="23"/>
        <v>0</v>
      </c>
      <c r="X197" s="579"/>
      <c r="Y197" s="879"/>
      <c r="Z197" s="147"/>
      <c r="AA197" s="148"/>
      <c r="AB197" s="148"/>
      <c r="AC197" s="504"/>
      <c r="AD197" s="505"/>
      <c r="AE197" s="148"/>
      <c r="AF197" s="148"/>
      <c r="BO197" s="86"/>
    </row>
    <row r="198" spans="1:67" ht="15.75" customHeight="1" thickBot="1" x14ac:dyDescent="0.3">
      <c r="A198" s="520">
        <f>IFERROR(VLOOKUP($G$5,'רשימת רשויות'!A:C,3,0),0)</f>
        <v>0</v>
      </c>
      <c r="B198" s="520">
        <f t="shared" si="18"/>
        <v>0</v>
      </c>
      <c r="D198" s="1134"/>
      <c r="E198" s="1137"/>
      <c r="F198" s="580"/>
      <c r="G198" s="580"/>
      <c r="H198" s="147"/>
      <c r="I198" s="149" t="s">
        <v>2197</v>
      </c>
      <c r="J198" s="150">
        <f>MAX(MIN(P195,Q195),0)</f>
        <v>0</v>
      </c>
      <c r="K198" s="580"/>
      <c r="L198" s="580"/>
      <c r="M198" s="580"/>
      <c r="N198" s="580"/>
      <c r="O198" s="580"/>
      <c r="P198" s="615" t="s">
        <v>2317</v>
      </c>
      <c r="Q198" s="624">
        <f>SUM(Q199:Q200)</f>
        <v>0</v>
      </c>
      <c r="R198" s="596"/>
      <c r="S198" s="612"/>
      <c r="T198" s="599">
        <f>G172</f>
        <v>0</v>
      </c>
      <c r="U198" s="578"/>
      <c r="V198" s="579"/>
      <c r="W198" s="579">
        <f t="shared" si="23"/>
        <v>0</v>
      </c>
      <c r="X198" s="579"/>
      <c r="Y198" s="879"/>
      <c r="Z198" s="106"/>
      <c r="AC198" s="504"/>
      <c r="AD198" s="505"/>
      <c r="AF198" s="148"/>
      <c r="BO198" s="86"/>
    </row>
    <row r="199" spans="1:67" ht="16.5" thickBot="1" x14ac:dyDescent="0.3">
      <c r="A199" s="520">
        <f>IFERROR(VLOOKUP($G$5,'רשימת רשויות'!A:C,3,0),0)</f>
        <v>0</v>
      </c>
      <c r="B199" s="520">
        <f t="shared" si="18"/>
        <v>0</v>
      </c>
      <c r="D199" s="1134"/>
      <c r="E199" s="1137"/>
      <c r="F199" s="580"/>
      <c r="G199" s="580"/>
      <c r="H199" s="580"/>
      <c r="I199" s="84" t="s">
        <v>2193</v>
      </c>
      <c r="J199" s="515" t="str">
        <f>IFERROR(1-H196/H195,"")</f>
        <v/>
      </c>
      <c r="K199" s="580"/>
      <c r="L199" s="580"/>
      <c r="M199" s="580"/>
      <c r="N199" s="580"/>
      <c r="O199" s="580"/>
      <c r="P199" s="615" t="s">
        <v>417</v>
      </c>
      <c r="Q199" s="616">
        <f>IFERROR(MAX(H197-I200-Q200,0),0)</f>
        <v>0</v>
      </c>
      <c r="R199" s="596"/>
      <c r="S199" s="600"/>
      <c r="T199" s="599">
        <f>G172</f>
        <v>0</v>
      </c>
      <c r="U199" s="578"/>
      <c r="V199" s="579"/>
      <c r="W199" s="579">
        <f t="shared" si="23"/>
        <v>0</v>
      </c>
      <c r="X199" s="579"/>
      <c r="Y199" s="879"/>
      <c r="Z199" s="106"/>
      <c r="AC199" s="504"/>
      <c r="AD199" s="505"/>
      <c r="BO199" s="86"/>
    </row>
    <row r="200" spans="1:67" ht="17.25" thickBot="1" x14ac:dyDescent="0.3">
      <c r="A200" s="520">
        <f>IFERROR(VLOOKUP($G$5,'רשימת רשויות'!A:C,3,0),0)</f>
        <v>0</v>
      </c>
      <c r="B200" s="520">
        <f t="shared" si="18"/>
        <v>0</v>
      </c>
      <c r="D200" s="1134"/>
      <c r="E200" s="1137"/>
      <c r="F200" s="1143" t="s">
        <v>2679</v>
      </c>
      <c r="G200" s="1143"/>
      <c r="H200" s="1143"/>
      <c r="I200" s="722">
        <f>IF(G177="לא תקין","לא קיימת זכאות לתקציב לאור אי איוש משרות רכז ו/או סגן רכז ",IFERROR(J199*(J198+J195),0))</f>
        <v>0</v>
      </c>
      <c r="J200" s="573"/>
      <c r="K200" s="574"/>
      <c r="L200" s="396"/>
      <c r="M200" s="574"/>
      <c r="N200" s="574"/>
      <c r="O200" s="574"/>
      <c r="P200" s="615" t="s">
        <v>2279</v>
      </c>
      <c r="Q200" s="616">
        <f>MAX(IF(AND(G195&gt;H195,I200&lt;H197),H197-I200,0),0)</f>
        <v>0</v>
      </c>
      <c r="R200" s="575"/>
      <c r="S200" s="576" t="s">
        <v>67</v>
      </c>
      <c r="T200" s="577">
        <f>G172</f>
        <v>0</v>
      </c>
      <c r="U200" s="578"/>
      <c r="V200" s="579">
        <f>I200</f>
        <v>0</v>
      </c>
      <c r="W200" s="579">
        <f>IFERROR(U200-V200,0)</f>
        <v>0</v>
      </c>
      <c r="X200" s="579">
        <f>SUM(X186:X199)</f>
        <v>0</v>
      </c>
      <c r="Y200" s="879"/>
      <c r="Z200" s="106"/>
      <c r="AC200" s="506">
        <v>0</v>
      </c>
      <c r="AD200" s="507">
        <f>IFERROR(U200-AC200,0)</f>
        <v>0</v>
      </c>
      <c r="BO200" s="86"/>
    </row>
    <row r="201" spans="1:67" ht="16.5" thickBot="1" x14ac:dyDescent="0.3">
      <c r="A201" s="520">
        <f>IFERROR(VLOOKUP($G$5,'רשימת רשויות'!A:C,3,0),0)</f>
        <v>0</v>
      </c>
      <c r="B201" s="520">
        <f t="shared" si="18"/>
        <v>0</v>
      </c>
      <c r="D201" s="1135"/>
      <c r="E201" s="1138"/>
      <c r="F201" s="1144" t="s">
        <v>2793</v>
      </c>
      <c r="G201" s="1145"/>
      <c r="H201" s="1145"/>
      <c r="I201" s="593">
        <f>IFERROR(IF(G177="תקין",SUMIFS('סייעות רפואיות או אישיות (7)'!$Q$17:Q$384,'סייעות רפואיות או אישיות (7)'!C$17:C$384,G172),0),0)</f>
        <v>0</v>
      </c>
      <c r="J201" s="151"/>
      <c r="K201" s="152"/>
      <c r="L201" s="409"/>
      <c r="M201" s="152"/>
      <c r="N201" s="152"/>
      <c r="O201" s="152"/>
      <c r="P201" s="613"/>
      <c r="Q201" s="614"/>
      <c r="R201" s="475"/>
      <c r="S201" s="489"/>
      <c r="T201" s="490"/>
      <c r="U201" s="491"/>
      <c r="V201" s="492"/>
      <c r="W201" s="492"/>
      <c r="X201" s="492"/>
      <c r="Y201" s="880"/>
      <c r="Z201" s="153"/>
      <c r="AC201" s="581"/>
      <c r="AD201" s="582"/>
      <c r="BO201" s="86"/>
    </row>
    <row r="202" spans="1:67" ht="34.5" thickBot="1" x14ac:dyDescent="0.55000000000000004">
      <c r="A202" s="520">
        <f>IFERROR(VLOOKUP($G$5,'רשימת רשויות'!A:C,3,0),0)</f>
        <v>0</v>
      </c>
      <c r="B202" s="520">
        <f t="shared" si="18"/>
        <v>0</v>
      </c>
      <c r="E202" s="154"/>
      <c r="I202" s="143"/>
      <c r="J202" s="148"/>
      <c r="O202" s="148"/>
      <c r="T202" s="481"/>
      <c r="BO202" s="86"/>
    </row>
    <row r="203" spans="1:67" s="20" customFormat="1" ht="16.5" customHeight="1" thickBot="1" x14ac:dyDescent="0.3">
      <c r="A203" s="520">
        <f>IFERROR(VLOOKUP($G$5,'רשימת רשויות'!A:C,3,0),0)</f>
        <v>0</v>
      </c>
      <c r="B203" s="520">
        <f t="shared" si="18"/>
        <v>0</v>
      </c>
      <c r="C203" s="39"/>
      <c r="D203" s="1133">
        <f>D172+1</f>
        <v>7</v>
      </c>
      <c r="E203" s="1136" t="str">
        <f>IFERROR(CONCATENATE("בית הספר ",VLOOKUP(G203,'מצבת והרשמה (2)'!$C$21:$D$520,2,0)," - ",$G$5),"")</f>
        <v>בית הספר המוסד לא קיים - 0</v>
      </c>
      <c r="F203" s="720" t="s">
        <v>146</v>
      </c>
      <c r="G203" s="721">
        <f>IFERROR(VLOOKUP(D:D,'דוח ביצוע (3)'!$A$21:$C$900,2,0),0)</f>
        <v>0</v>
      </c>
      <c r="H203" s="79"/>
      <c r="I203" s="80" t="s">
        <v>150</v>
      </c>
      <c r="J203" s="80"/>
      <c r="K203" s="81"/>
      <c r="L203" s="392"/>
      <c r="M203" s="392"/>
      <c r="N203" s="392"/>
      <c r="O203" s="82"/>
      <c r="P203" s="470"/>
      <c r="Q203" s="471"/>
      <c r="R203" s="472"/>
      <c r="S203" s="883"/>
      <c r="T203" s="884"/>
      <c r="U203" s="486"/>
      <c r="V203" s="487"/>
      <c r="W203" s="487"/>
      <c r="X203" s="487"/>
      <c r="Y203" s="885"/>
      <c r="Z203" s="83"/>
      <c r="AC203" s="502"/>
      <c r="AD203" s="503"/>
      <c r="AO203" s="22"/>
      <c r="AP203" s="22"/>
      <c r="AQ203" s="22"/>
      <c r="AR203" s="22"/>
      <c r="AS203" s="22"/>
      <c r="AT203" s="22"/>
      <c r="AU203" s="35"/>
      <c r="AV203" s="35"/>
      <c r="AW203" s="35"/>
      <c r="AX203" s="35"/>
      <c r="AY203" s="35"/>
      <c r="AZ203" s="35"/>
      <c r="BA203" s="35"/>
      <c r="BB203" s="35"/>
      <c r="BC203" s="35"/>
      <c r="BD203" s="35"/>
      <c r="BE203" s="35"/>
      <c r="BF203" s="35"/>
      <c r="BG203" s="35"/>
      <c r="BH203" s="35"/>
      <c r="BI203" s="35"/>
      <c r="BJ203" s="35"/>
      <c r="BK203" s="35"/>
      <c r="BL203" s="35"/>
      <c r="BM203" s="35"/>
      <c r="BN203" s="35"/>
      <c r="BO203" s="78"/>
    </row>
    <row r="204" spans="1:67" s="20" customFormat="1" ht="16.5" thickBot="1" x14ac:dyDescent="0.3">
      <c r="A204" s="520">
        <f>IFERROR(VLOOKUP($G$5,'רשימת רשויות'!A:C,3,0),0)</f>
        <v>0</v>
      </c>
      <c r="B204" s="520">
        <f t="shared" si="18"/>
        <v>0</v>
      </c>
      <c r="C204" s="39"/>
      <c r="D204" s="1134"/>
      <c r="E204" s="1137"/>
      <c r="F204" s="583" t="s">
        <v>145</v>
      </c>
      <c r="G204" s="516" t="str">
        <f>IFERROR(IF((G206+G207)=0,"",IF(VLOOKUP(G203,'דוח ביצוע (3)'!$B$21:$K$900,5,0)&gt;149,"גדול",IF(AND(VLOOKUP(G203,'דוח ביצוע (3)'!$B$21:$K$900,5,0)&gt;0,VLOOKUP(G203,'דוח ביצוע (3)'!$B$21:$K$900,5,0)&lt;150),"קטן",0))),"")</f>
        <v/>
      </c>
      <c r="H204" s="723" t="s">
        <v>88</v>
      </c>
      <c r="I204" s="723" t="s">
        <v>13</v>
      </c>
      <c r="J204" s="725" t="s">
        <v>14</v>
      </c>
      <c r="K204" s="724" t="s">
        <v>94</v>
      </c>
      <c r="L204" s="594"/>
      <c r="M204" s="420" t="s">
        <v>2584</v>
      </c>
      <c r="N204" s="397" t="s">
        <v>413</v>
      </c>
      <c r="O204" s="398" t="s">
        <v>52</v>
      </c>
      <c r="P204" s="595"/>
      <c r="Q204" s="595"/>
      <c r="R204" s="596"/>
      <c r="S204" s="610"/>
      <c r="T204" s="881"/>
      <c r="U204" s="598"/>
      <c r="V204" s="599"/>
      <c r="W204" s="599"/>
      <c r="X204" s="599"/>
      <c r="Y204" s="879"/>
      <c r="Z204" s="85"/>
      <c r="AC204" s="493"/>
      <c r="AD204" s="495"/>
      <c r="AO204" s="22"/>
      <c r="AP204" s="22"/>
      <c r="AQ204" s="22"/>
      <c r="AR204" s="22"/>
      <c r="AS204" s="22"/>
      <c r="AT204" s="22"/>
      <c r="AU204" s="35"/>
      <c r="AV204" s="35"/>
      <c r="AW204" s="35"/>
      <c r="AX204" s="35"/>
      <c r="AY204" s="35"/>
      <c r="AZ204" s="35"/>
      <c r="BA204" s="35"/>
      <c r="BB204" s="35"/>
      <c r="BC204" s="35"/>
      <c r="BD204" s="35"/>
      <c r="BE204" s="35"/>
      <c r="BF204" s="35"/>
      <c r="BG204" s="35"/>
      <c r="BH204" s="35"/>
      <c r="BI204" s="35"/>
      <c r="BJ204" s="35"/>
      <c r="BK204" s="35"/>
      <c r="BL204" s="35"/>
      <c r="BM204" s="35"/>
      <c r="BN204" s="35"/>
      <c r="BO204" s="78"/>
    </row>
    <row r="205" spans="1:67" s="20" customFormat="1" ht="15.75" customHeight="1" thickBot="1" x14ac:dyDescent="0.3">
      <c r="A205" s="520">
        <f>IFERROR(VLOOKUP($G$5,'רשימת רשויות'!A:C,3,0),0)</f>
        <v>0</v>
      </c>
      <c r="B205" s="520">
        <f t="shared" si="18"/>
        <v>0</v>
      </c>
      <c r="C205" s="39"/>
      <c r="D205" s="1134"/>
      <c r="E205" s="1137"/>
      <c r="F205" s="584" t="s">
        <v>144</v>
      </c>
      <c r="G205" s="87">
        <f>IF(G208="תקין",IFERROR(VLOOKUP($G203,'דוח ביצוע (3)'!$B$21:$Q$900,12,0),0),0)</f>
        <v>0</v>
      </c>
      <c r="H205" s="88">
        <f>IFERROR(G206*$AH$6+G207*$AH$7,0)</f>
        <v>0</v>
      </c>
      <c r="I205" s="88">
        <f>IFERROR(G206*$AI$6+G207*$AI$7,0)</f>
        <v>0</v>
      </c>
      <c r="J205" s="88">
        <f>IFERROR(G206*$AJ$6+G207*$AJ$7,0)</f>
        <v>0</v>
      </c>
      <c r="K205" s="88">
        <f>IFERROR(G206*$AK$6+G207*$AK$7,0)</f>
        <v>0</v>
      </c>
      <c r="L205" s="405"/>
      <c r="M205" s="399" t="s">
        <v>427</v>
      </c>
      <c r="N205" s="400" t="str">
        <f>IFERROR(VLOOKUP($G203,'דוח ביצוע (3)'!$B:$AE,28,0),"")</f>
        <v/>
      </c>
      <c r="O205" s="89" t="str">
        <f>IFERROR(VLOOKUP($G203,'דוח ביצוע (3)'!B:AE,29,0),"")</f>
        <v/>
      </c>
      <c r="P205" s="595"/>
      <c r="Q205" s="595"/>
      <c r="R205" s="596"/>
      <c r="S205" s="610"/>
      <c r="T205" s="881"/>
      <c r="U205" s="598"/>
      <c r="V205" s="599"/>
      <c r="W205" s="599"/>
      <c r="X205" s="599"/>
      <c r="Y205" s="879"/>
      <c r="Z205" s="85"/>
      <c r="AC205" s="493"/>
      <c r="AD205" s="495"/>
      <c r="AO205" s="22"/>
      <c r="AP205" s="22"/>
      <c r="AQ205" s="22"/>
      <c r="AR205" s="22"/>
      <c r="AS205" s="22"/>
      <c r="AT205" s="22"/>
      <c r="AU205" s="35"/>
      <c r="AV205" s="35"/>
      <c r="AW205" s="35"/>
      <c r="AX205" s="35"/>
      <c r="AY205" s="35"/>
      <c r="AZ205" s="35"/>
      <c r="BA205" s="35"/>
      <c r="BB205" s="35"/>
      <c r="BC205" s="35"/>
      <c r="BD205" s="35"/>
      <c r="BE205" s="35"/>
      <c r="BF205" s="35"/>
      <c r="BG205" s="35"/>
      <c r="BH205" s="35"/>
      <c r="BI205" s="35"/>
      <c r="BJ205" s="35"/>
      <c r="BK205" s="35"/>
      <c r="BL205" s="35"/>
      <c r="BM205" s="35"/>
      <c r="BN205" s="35"/>
      <c r="BO205" s="78"/>
    </row>
    <row r="206" spans="1:67" s="20" customFormat="1" ht="32.25" thickBot="1" x14ac:dyDescent="0.3">
      <c r="A206" s="520">
        <f>IFERROR(VLOOKUP($G$5,'רשימת רשויות'!A:C,3,0),0)</f>
        <v>0</v>
      </c>
      <c r="B206" s="520">
        <f t="shared" ref="B206:B269" si="27">IF(F207="סמל המוסד",G207,B205)</f>
        <v>0</v>
      </c>
      <c r="C206" s="39"/>
      <c r="D206" s="1134"/>
      <c r="E206" s="1137"/>
      <c r="F206" s="585" t="s">
        <v>2195</v>
      </c>
      <c r="G206" s="89">
        <f>IF(G208="תקין",MAX(N208,0),0)</f>
        <v>0</v>
      </c>
      <c r="H206" s="725" t="s">
        <v>151</v>
      </c>
      <c r="I206" s="725" t="s">
        <v>91</v>
      </c>
      <c r="J206" s="970" t="s">
        <v>3396</v>
      </c>
      <c r="K206" s="601"/>
      <c r="L206" s="601"/>
      <c r="M206" s="983" t="s">
        <v>2585</v>
      </c>
      <c r="N206" s="400" t="str">
        <f>IFERROR(G205/15*N205*1.25,"")</f>
        <v/>
      </c>
      <c r="O206" s="89" t="str">
        <f>IFERROR(G205/15*O205*1.25,"")</f>
        <v/>
      </c>
      <c r="P206" s="595"/>
      <c r="Q206" s="595"/>
      <c r="R206" s="596"/>
      <c r="S206" s="610"/>
      <c r="T206" s="881"/>
      <c r="U206" s="598"/>
      <c r="V206" s="599"/>
      <c r="W206" s="599"/>
      <c r="X206" s="599"/>
      <c r="Y206" s="879"/>
      <c r="Z206" s="85"/>
      <c r="AC206" s="493"/>
      <c r="AD206" s="495"/>
      <c r="AG206" s="22"/>
      <c r="AH206" s="55"/>
      <c r="AI206" s="55"/>
      <c r="AJ206" s="55"/>
      <c r="AK206" s="55"/>
      <c r="AO206" s="22"/>
      <c r="AP206" s="22"/>
      <c r="AQ206" s="22"/>
      <c r="AR206" s="22"/>
      <c r="AS206" s="22"/>
      <c r="AT206" s="22"/>
      <c r="AU206" s="35"/>
      <c r="AV206" s="35"/>
      <c r="AW206" s="35"/>
      <c r="AX206" s="35"/>
      <c r="AY206" s="35"/>
      <c r="AZ206" s="35"/>
      <c r="BA206" s="35"/>
      <c r="BB206" s="35"/>
      <c r="BC206" s="35"/>
      <c r="BD206" s="35"/>
      <c r="BE206" s="35"/>
      <c r="BF206" s="35"/>
      <c r="BG206" s="35"/>
      <c r="BH206" s="35"/>
      <c r="BI206" s="35"/>
      <c r="BJ206" s="35"/>
      <c r="BK206" s="35"/>
      <c r="BL206" s="35"/>
      <c r="BM206" s="35"/>
      <c r="BN206" s="35"/>
      <c r="BO206" s="86"/>
    </row>
    <row r="207" spans="1:67" s="20" customFormat="1" ht="16.5" thickBot="1" x14ac:dyDescent="0.3">
      <c r="A207" s="520">
        <f>IFERROR(VLOOKUP($G$5,'רשימת רשויות'!A:C,3,0),0)</f>
        <v>0</v>
      </c>
      <c r="B207" s="520">
        <f t="shared" si="27"/>
        <v>0</v>
      </c>
      <c r="C207" s="39"/>
      <c r="D207" s="1134"/>
      <c r="E207" s="1137"/>
      <c r="F207" s="585" t="s">
        <v>2196</v>
      </c>
      <c r="G207" s="89">
        <f>IF(G208="תקין",MAX(O208,0),0)</f>
        <v>0</v>
      </c>
      <c r="H207" s="88">
        <f>(IFERROR(IF((G206+G207)=0,0,IF(G204="קטן",G205*$AH$10,G205*$AH$11)),0))+(IFERROR(IF((G206+G207)=0,0,VLOOKUP(G203,'דוח ביצוע (3)'!$B:$AH,33,0)),0))</f>
        <v>0</v>
      </c>
      <c r="I207" s="88">
        <f>IFERROR(IF((G206+G207)=0,0,IF(G204="קטן",G205*$AI$10,G205*$AI$11)),0)</f>
        <v>0</v>
      </c>
      <c r="J207" s="88">
        <f>IFERROR(IF((G206+G207)=0,0,VLOOKUP(G203,'דוח ביצוע (3)'!$B:$AH,32,0)),0)</f>
        <v>0</v>
      </c>
      <c r="K207" s="90"/>
      <c r="L207" s="90"/>
      <c r="M207" s="399" t="s">
        <v>412</v>
      </c>
      <c r="N207" s="400">
        <f>IFERROR(VLOOKUP($G203,'דוח ביצוע (3)'!$B$21:$U$500,18,0),0)</f>
        <v>0</v>
      </c>
      <c r="O207" s="401">
        <f>IFERROR(VLOOKUP($G203,'דוח ביצוע (3)'!$B$21:$U$500,19,0),0)</f>
        <v>0</v>
      </c>
      <c r="P207" s="595"/>
      <c r="Q207" s="595"/>
      <c r="R207" s="596"/>
      <c r="S207" s="610"/>
      <c r="T207" s="881"/>
      <c r="U207" s="598"/>
      <c r="V207" s="599"/>
      <c r="W207" s="599"/>
      <c r="X207" s="599"/>
      <c r="Y207" s="879"/>
      <c r="Z207" s="85"/>
      <c r="AC207" s="493"/>
      <c r="AD207" s="495"/>
      <c r="AG207" s="22"/>
      <c r="AH207" s="55"/>
      <c r="AI207" s="55"/>
      <c r="AJ207" s="55"/>
      <c r="AK207" s="55"/>
      <c r="AO207" s="22"/>
      <c r="AP207" s="22"/>
      <c r="AQ207" s="22"/>
      <c r="AR207" s="22"/>
      <c r="AS207" s="22"/>
      <c r="AT207" s="22"/>
      <c r="AU207" s="35"/>
      <c r="AV207" s="35"/>
      <c r="AW207" s="35"/>
      <c r="AX207" s="35"/>
      <c r="AY207" s="35"/>
      <c r="AZ207" s="35"/>
      <c r="BA207" s="35"/>
      <c r="BB207" s="35"/>
      <c r="BC207" s="35"/>
      <c r="BD207" s="35"/>
      <c r="BE207" s="35"/>
      <c r="BF207" s="35"/>
      <c r="BG207" s="35"/>
      <c r="BH207" s="35"/>
      <c r="BI207" s="35"/>
      <c r="BJ207" s="35"/>
      <c r="BK207" s="35"/>
      <c r="BL207" s="35"/>
      <c r="BM207" s="35"/>
      <c r="BN207" s="35"/>
      <c r="BO207" s="86"/>
    </row>
    <row r="208" spans="1:67" s="20" customFormat="1" ht="16.5" thickBot="1" x14ac:dyDescent="0.3">
      <c r="A208" s="520">
        <f>IFERROR(VLOOKUP($G$5,'רשימת רשויות'!A:C,3,0),0)</f>
        <v>0</v>
      </c>
      <c r="B208" s="520">
        <f t="shared" si="27"/>
        <v>0</v>
      </c>
      <c r="C208" s="39"/>
      <c r="D208" s="1134"/>
      <c r="E208" s="1137"/>
      <c r="F208" s="586" t="s">
        <v>2355</v>
      </c>
      <c r="G208" s="514">
        <f>IFERROR(IF(VLOOKUP('בית ספר - תקצוב לפי מוסד (9)'!G203,' איוש משרות (8)'!$C:$K,9,0)="תקין","תקין","לא תקין"),0)</f>
        <v>0</v>
      </c>
      <c r="H208" s="91"/>
      <c r="I208" s="91"/>
      <c r="J208" s="91"/>
      <c r="K208" s="90"/>
      <c r="L208" s="90"/>
      <c r="M208" s="402" t="s">
        <v>2586</v>
      </c>
      <c r="N208" s="403">
        <f>IFERROR(MIN(N206,N207),0)</f>
        <v>0</v>
      </c>
      <c r="O208" s="404">
        <f>IFERROR(MIN(O206,O207),0)</f>
        <v>0</v>
      </c>
      <c r="P208" s="595"/>
      <c r="Q208" s="595"/>
      <c r="R208" s="596"/>
      <c r="S208" s="610"/>
      <c r="T208" s="881"/>
      <c r="U208" s="598"/>
      <c r="V208" s="599"/>
      <c r="W208" s="599"/>
      <c r="X208" s="599"/>
      <c r="Y208" s="879"/>
      <c r="Z208" s="85"/>
      <c r="AC208" s="493"/>
      <c r="AD208" s="495"/>
      <c r="AG208" s="94"/>
      <c r="AH208" s="40"/>
      <c r="AI208" s="40"/>
      <c r="AJ208" s="40"/>
      <c r="AK208" s="40"/>
      <c r="AO208" s="22"/>
      <c r="AP208" s="22"/>
      <c r="AQ208" s="22"/>
      <c r="AR208" s="22"/>
      <c r="AS208" s="22"/>
      <c r="AT208" s="22"/>
      <c r="AU208" s="35"/>
      <c r="AV208" s="35"/>
      <c r="AW208" s="35"/>
      <c r="AX208" s="35"/>
      <c r="AY208" s="35"/>
      <c r="AZ208" s="35"/>
      <c r="BA208" s="35"/>
      <c r="BB208" s="35"/>
      <c r="BC208" s="35"/>
      <c r="BD208" s="35"/>
      <c r="BE208" s="35"/>
      <c r="BF208" s="35"/>
      <c r="BG208" s="35"/>
      <c r="BH208" s="35"/>
      <c r="BI208" s="35"/>
      <c r="BJ208" s="35"/>
      <c r="BK208" s="35"/>
      <c r="BL208" s="35"/>
      <c r="BM208" s="35"/>
      <c r="BN208" s="35"/>
      <c r="BO208" s="86"/>
    </row>
    <row r="209" spans="1:67" s="55" customFormat="1" ht="37.15" customHeight="1" thickBot="1" x14ac:dyDescent="0.3">
      <c r="A209" s="520">
        <f>IFERROR(VLOOKUP($G$5,'רשימת רשויות'!A:C,3,0),0)</f>
        <v>0</v>
      </c>
      <c r="B209" s="520">
        <f t="shared" si="27"/>
        <v>0</v>
      </c>
      <c r="C209" s="39"/>
      <c r="D209" s="1134"/>
      <c r="E209" s="1137"/>
      <c r="F209" s="587" t="s">
        <v>142</v>
      </c>
      <c r="G209" s="92"/>
      <c r="H209" s="92"/>
      <c r="I209" s="92"/>
      <c r="J209" s="92"/>
      <c r="K209" s="602"/>
      <c r="L209" s="602"/>
      <c r="M209" s="602"/>
      <c r="N209" s="602"/>
      <c r="O209" s="602"/>
      <c r="P209" s="595"/>
      <c r="Q209" s="595"/>
      <c r="R209" s="596"/>
      <c r="S209" s="610"/>
      <c r="T209" s="881"/>
      <c r="U209" s="598"/>
      <c r="V209" s="599"/>
      <c r="W209" s="599"/>
      <c r="X209" s="599"/>
      <c r="Y209" s="879"/>
      <c r="Z209" s="93"/>
      <c r="AC209" s="493"/>
      <c r="AD209" s="495"/>
      <c r="AF209" s="22"/>
      <c r="AG209" s="98"/>
      <c r="AH209" s="98"/>
      <c r="AI209" s="40"/>
      <c r="AJ209" s="40"/>
      <c r="AK209" s="40"/>
      <c r="AO209" s="22"/>
      <c r="AP209" s="22"/>
      <c r="AQ209" s="22"/>
      <c r="AR209" s="22"/>
      <c r="AS209" s="22"/>
      <c r="AT209" s="22"/>
      <c r="AU209" s="35"/>
      <c r="AV209" s="35"/>
      <c r="AW209" s="35"/>
      <c r="AX209" s="35"/>
      <c r="AY209" s="35"/>
      <c r="AZ209" s="35"/>
      <c r="BA209" s="35"/>
      <c r="BB209" s="35"/>
      <c r="BC209" s="35"/>
      <c r="BD209" s="35"/>
      <c r="BE209" s="35"/>
      <c r="BF209" s="35"/>
      <c r="BG209" s="35"/>
      <c r="BH209" s="35"/>
      <c r="BI209" s="35"/>
      <c r="BJ209" s="35"/>
      <c r="BK209" s="35"/>
      <c r="BL209" s="35"/>
      <c r="BM209" s="35"/>
      <c r="BN209" s="35"/>
      <c r="BO209" s="86"/>
    </row>
    <row r="210" spans="1:67" s="40" customFormat="1" ht="31.5" x14ac:dyDescent="0.25">
      <c r="A210" s="520">
        <f>IFERROR(VLOOKUP($G$5,'רשימת רשויות'!A:C,3,0),0)</f>
        <v>0</v>
      </c>
      <c r="B210" s="520">
        <f t="shared" si="27"/>
        <v>0</v>
      </c>
      <c r="C210" s="39"/>
      <c r="D210" s="1134"/>
      <c r="E210" s="1137"/>
      <c r="F210" s="588" t="s">
        <v>94</v>
      </c>
      <c r="G210" s="95" t="s">
        <v>18</v>
      </c>
      <c r="H210" s="95" t="s">
        <v>19</v>
      </c>
      <c r="I210" s="95" t="s">
        <v>138</v>
      </c>
      <c r="J210" s="96" t="s">
        <v>139</v>
      </c>
      <c r="K210" s="603"/>
      <c r="L210" s="603"/>
      <c r="M210" s="603"/>
      <c r="N210" s="603"/>
      <c r="O210" s="603"/>
      <c r="P210" s="604"/>
      <c r="Q210" s="604"/>
      <c r="R210" s="596"/>
      <c r="S210" s="610"/>
      <c r="T210" s="881"/>
      <c r="U210" s="598"/>
      <c r="V210" s="599"/>
      <c r="W210" s="599"/>
      <c r="X210" s="599"/>
      <c r="Y210" s="879"/>
      <c r="Z210" s="97"/>
      <c r="AA210" s="94"/>
      <c r="AB210" s="94"/>
      <c r="AC210" s="493"/>
      <c r="AD210" s="495"/>
      <c r="AE210" s="94"/>
      <c r="AG210" s="98"/>
      <c r="AH210" s="98"/>
      <c r="AO210" s="22"/>
      <c r="AP210" s="22"/>
      <c r="AQ210" s="22"/>
      <c r="AR210" s="22"/>
      <c r="AS210" s="22"/>
      <c r="AT210" s="22"/>
      <c r="AU210" s="35"/>
      <c r="AV210" s="35"/>
      <c r="AW210" s="35"/>
      <c r="AX210" s="35"/>
      <c r="AY210" s="35"/>
      <c r="AZ210" s="35"/>
      <c r="BA210" s="35"/>
      <c r="BB210" s="35"/>
      <c r="BC210" s="35"/>
      <c r="BD210" s="35"/>
      <c r="BE210" s="35"/>
      <c r="BF210" s="35"/>
      <c r="BG210" s="35"/>
      <c r="BH210" s="35"/>
      <c r="BI210" s="35"/>
      <c r="BJ210" s="35"/>
      <c r="BK210" s="35"/>
      <c r="BL210" s="35"/>
      <c r="BM210" s="35"/>
      <c r="BN210" s="35"/>
      <c r="BO210" s="86"/>
    </row>
    <row r="211" spans="1:67" s="40" customFormat="1" ht="15.75" customHeight="1" thickBot="1" x14ac:dyDescent="0.3">
      <c r="A211" s="520">
        <f>IFERROR(VLOOKUP($G$5,'רשימת רשויות'!A:C,3,0),0)</f>
        <v>0</v>
      </c>
      <c r="B211" s="520">
        <f t="shared" si="27"/>
        <v>0</v>
      </c>
      <c r="C211" s="39"/>
      <c r="D211" s="1134"/>
      <c r="E211" s="1137"/>
      <c r="F211" s="589" t="s">
        <v>2280</v>
      </c>
      <c r="G211" s="99">
        <f>+G222</f>
        <v>0</v>
      </c>
      <c r="H211" s="100">
        <f>K205</f>
        <v>0</v>
      </c>
      <c r="I211" s="100">
        <f>H211-I213</f>
        <v>0</v>
      </c>
      <c r="J211" s="101">
        <f>IFERROR(I211/H211,0)</f>
        <v>0</v>
      </c>
      <c r="K211" s="603"/>
      <c r="L211" s="603"/>
      <c r="M211" s="603"/>
      <c r="N211" s="603"/>
      <c r="O211" s="603"/>
      <c r="P211" s="605"/>
      <c r="Q211" s="604"/>
      <c r="R211" s="606" t="s">
        <v>157</v>
      </c>
      <c r="S211" s="611"/>
      <c r="T211" s="881"/>
      <c r="U211" s="598"/>
      <c r="V211" s="599"/>
      <c r="W211" s="599"/>
      <c r="X211" s="599"/>
      <c r="Y211" s="879"/>
      <c r="Z211" s="102"/>
      <c r="AA211" s="122"/>
      <c r="AB211" s="122"/>
      <c r="AC211" s="493"/>
      <c r="AD211" s="495"/>
      <c r="AE211" s="122"/>
      <c r="AF211" s="22"/>
      <c r="AG211" s="98"/>
      <c r="AH211" s="98"/>
      <c r="AI211" s="20"/>
      <c r="AO211" s="22"/>
      <c r="AP211" s="22"/>
      <c r="AQ211" s="22"/>
      <c r="AR211" s="22"/>
      <c r="AS211" s="22"/>
      <c r="AT211" s="22"/>
      <c r="AU211" s="35"/>
      <c r="AV211" s="35"/>
      <c r="AW211" s="35"/>
      <c r="AX211" s="35"/>
      <c r="AY211" s="35"/>
      <c r="AZ211" s="35"/>
      <c r="BA211" s="35"/>
      <c r="BB211" s="35"/>
      <c r="BC211" s="35"/>
      <c r="BD211" s="35"/>
      <c r="BE211" s="35"/>
      <c r="BF211" s="35"/>
      <c r="BG211" s="35"/>
      <c r="BH211" s="35"/>
      <c r="BI211" s="35"/>
      <c r="BJ211" s="35"/>
      <c r="BK211" s="35"/>
      <c r="BL211" s="35"/>
      <c r="BM211" s="35"/>
      <c r="BN211" s="35"/>
      <c r="BO211" s="86"/>
    </row>
    <row r="212" spans="1:67" s="40" customFormat="1" ht="15.75" customHeight="1" thickBot="1" x14ac:dyDescent="0.3">
      <c r="A212" s="520">
        <f>IFERROR(VLOOKUP($G$5,'רשימת רשויות'!A:C,3,0),0)</f>
        <v>0</v>
      </c>
      <c r="B212" s="520">
        <f t="shared" si="27"/>
        <v>0</v>
      </c>
      <c r="C212" s="39"/>
      <c r="D212" s="1134"/>
      <c r="E212" s="1137"/>
      <c r="F212" s="589" t="s">
        <v>2281</v>
      </c>
      <c r="G212" s="99">
        <f>+G221</f>
        <v>0</v>
      </c>
      <c r="H212" s="103"/>
      <c r="I212" s="104"/>
      <c r="J212" s="105"/>
      <c r="K212" s="603"/>
      <c r="L212" s="603"/>
      <c r="M212" s="603"/>
      <c r="N212" s="603"/>
      <c r="O212" s="603"/>
      <c r="P212" s="605"/>
      <c r="Q212" s="604"/>
      <c r="R212" s="473">
        <f>I213-R214</f>
        <v>0</v>
      </c>
      <c r="S212" s="611"/>
      <c r="T212" s="881"/>
      <c r="U212" s="598"/>
      <c r="V212" s="599"/>
      <c r="W212" s="599"/>
      <c r="X212" s="599"/>
      <c r="Y212" s="879"/>
      <c r="Z212" s="106"/>
      <c r="AA212" s="22"/>
      <c r="AB212" s="22"/>
      <c r="AC212" s="493"/>
      <c r="AD212" s="495"/>
      <c r="AE212" s="22"/>
      <c r="AF212" s="22"/>
      <c r="AG212" s="98"/>
      <c r="AH212" s="98"/>
      <c r="AI212" s="20"/>
      <c r="AO212" s="22"/>
      <c r="AP212" s="22"/>
      <c r="AQ212" s="22"/>
      <c r="AR212" s="22"/>
      <c r="AS212" s="22"/>
      <c r="AT212" s="22"/>
      <c r="AU212" s="35"/>
      <c r="AV212" s="35"/>
      <c r="AW212" s="35"/>
      <c r="AX212" s="35"/>
      <c r="AY212" s="35"/>
      <c r="AZ212" s="35"/>
      <c r="BA212" s="35"/>
      <c r="BB212" s="35"/>
      <c r="BC212" s="35"/>
      <c r="BD212" s="35"/>
      <c r="BE212" s="35"/>
      <c r="BF212" s="35"/>
      <c r="BG212" s="35"/>
      <c r="BH212" s="35"/>
      <c r="BI212" s="35"/>
      <c r="BJ212" s="35"/>
      <c r="BK212" s="35"/>
      <c r="BL212" s="35"/>
      <c r="BM212" s="35"/>
      <c r="BN212" s="35"/>
      <c r="BO212" s="86"/>
    </row>
    <row r="213" spans="1:67" s="40" customFormat="1" ht="16.5" customHeight="1" thickBot="1" x14ac:dyDescent="0.3">
      <c r="A213" s="520">
        <f>IFERROR(VLOOKUP($G$5,'רשימת רשויות'!A:C,3,0),0)</f>
        <v>0</v>
      </c>
      <c r="B213" s="520">
        <f t="shared" si="27"/>
        <v>0</v>
      </c>
      <c r="C213" s="39"/>
      <c r="D213" s="1134"/>
      <c r="E213" s="1137"/>
      <c r="F213" s="589" t="s">
        <v>2282</v>
      </c>
      <c r="G213" s="99">
        <f>G217+G218+G219</f>
        <v>0</v>
      </c>
      <c r="H213" s="104"/>
      <c r="I213" s="107">
        <f>MAX(H211-G211-G212,0)</f>
        <v>0</v>
      </c>
      <c r="J213" s="108">
        <f>IFERROR(I213/H211,0)</f>
        <v>0</v>
      </c>
      <c r="K213" s="603"/>
      <c r="L213" s="603"/>
      <c r="M213" s="603"/>
      <c r="N213" s="603"/>
      <c r="O213" s="603"/>
      <c r="P213" s="604"/>
      <c r="Q213" s="604"/>
      <c r="R213" s="606" t="s">
        <v>158</v>
      </c>
      <c r="S213" s="612"/>
      <c r="T213" s="881"/>
      <c r="U213" s="598"/>
      <c r="V213" s="599"/>
      <c r="W213" s="599"/>
      <c r="X213" s="599"/>
      <c r="Y213" s="879"/>
      <c r="Z213" s="106"/>
      <c r="AA213" s="22"/>
      <c r="AB213" s="22"/>
      <c r="AC213" s="493"/>
      <c r="AD213" s="495"/>
      <c r="AE213" s="22"/>
      <c r="AF213" s="22"/>
      <c r="AG213" s="22"/>
      <c r="AH213" s="22"/>
      <c r="AI213" s="55"/>
      <c r="AJ213" s="22"/>
      <c r="AK213" s="22"/>
      <c r="AO213" s="22"/>
      <c r="AP213" s="22"/>
      <c r="AQ213" s="22"/>
      <c r="AR213" s="22"/>
      <c r="AS213" s="22"/>
      <c r="AT213" s="22"/>
      <c r="AU213" s="35"/>
      <c r="AV213" s="35"/>
      <c r="AW213" s="35"/>
      <c r="AX213" s="35"/>
      <c r="AY213" s="35"/>
      <c r="AZ213" s="35"/>
      <c r="BA213" s="35"/>
      <c r="BB213" s="35"/>
      <c r="BC213" s="35"/>
      <c r="BD213" s="35"/>
      <c r="BE213" s="35"/>
      <c r="BF213" s="35"/>
      <c r="BG213" s="35"/>
      <c r="BH213" s="35"/>
      <c r="BI213" s="35"/>
      <c r="BJ213" s="35"/>
      <c r="BK213" s="35"/>
      <c r="BL213" s="35"/>
      <c r="BM213" s="35"/>
      <c r="BN213" s="35"/>
      <c r="BO213" s="86"/>
    </row>
    <row r="214" spans="1:67" s="40" customFormat="1" ht="15.75" customHeight="1" thickBot="1" x14ac:dyDescent="0.3">
      <c r="A214" s="520">
        <f>IFERROR(VLOOKUP($G$5,'רשימת רשויות'!A:C,3,0),0)</f>
        <v>0</v>
      </c>
      <c r="B214" s="520">
        <f t="shared" si="27"/>
        <v>0</v>
      </c>
      <c r="C214" s="39"/>
      <c r="D214" s="1134"/>
      <c r="E214" s="1137"/>
      <c r="F214" s="590" t="s">
        <v>2290</v>
      </c>
      <c r="G214" s="109"/>
      <c r="H214" s="110"/>
      <c r="I214" s="111">
        <f>SUM(I211:I213)</f>
        <v>0</v>
      </c>
      <c r="J214" s="112">
        <f>SUM(J211:J213)</f>
        <v>0</v>
      </c>
      <c r="K214" s="603"/>
      <c r="L214" s="603"/>
      <c r="M214" s="603"/>
      <c r="N214" s="603"/>
      <c r="O214" s="603"/>
      <c r="P214" s="604"/>
      <c r="Q214" s="604"/>
      <c r="R214" s="473">
        <f>MIN(MAX(G218+G219-I207-J207,0),I213)</f>
        <v>0</v>
      </c>
      <c r="S214" s="612"/>
      <c r="T214" s="881"/>
      <c r="U214" s="598"/>
      <c r="V214" s="599"/>
      <c r="W214" s="599"/>
      <c r="X214" s="599"/>
      <c r="Y214" s="879"/>
      <c r="Z214" s="106"/>
      <c r="AA214" s="22"/>
      <c r="AB214" s="22"/>
      <c r="AC214" s="493"/>
      <c r="AD214" s="495"/>
      <c r="AE214" s="22"/>
      <c r="AF214" s="22"/>
      <c r="AG214" s="22"/>
      <c r="AH214" s="22"/>
      <c r="AJ214" s="22"/>
      <c r="AK214" s="22"/>
      <c r="AO214" s="22"/>
      <c r="AP214" s="22"/>
      <c r="AQ214" s="22"/>
      <c r="AR214" s="22"/>
      <c r="AS214" s="22"/>
      <c r="AT214" s="22"/>
      <c r="AU214" s="35"/>
      <c r="AV214" s="35"/>
      <c r="AW214" s="35"/>
      <c r="AX214" s="35"/>
      <c r="AY214" s="35"/>
      <c r="AZ214" s="35"/>
      <c r="BA214" s="35"/>
      <c r="BB214" s="35"/>
      <c r="BC214" s="35"/>
      <c r="BD214" s="35"/>
      <c r="BE214" s="35"/>
      <c r="BF214" s="35"/>
      <c r="BG214" s="35"/>
      <c r="BH214" s="35"/>
      <c r="BI214" s="35"/>
      <c r="BJ214" s="35"/>
      <c r="BK214" s="35"/>
      <c r="BL214" s="35"/>
      <c r="BM214" s="35"/>
      <c r="BN214" s="35"/>
      <c r="BO214" s="86"/>
    </row>
    <row r="215" spans="1:67" ht="16.5" thickBot="1" x14ac:dyDescent="0.3">
      <c r="A215" s="520">
        <f>IFERROR(VLOOKUP($G$5,'רשימת רשויות'!A:C,3,0),0)</f>
        <v>0</v>
      </c>
      <c r="B215" s="520">
        <f t="shared" si="27"/>
        <v>0</v>
      </c>
      <c r="D215" s="1134"/>
      <c r="E215" s="1137"/>
      <c r="F215" s="587" t="s">
        <v>17</v>
      </c>
      <c r="G215" s="113"/>
      <c r="H215" s="92"/>
      <c r="I215" s="114"/>
      <c r="J215" s="115"/>
      <c r="K215" s="116"/>
      <c r="L215" s="406"/>
      <c r="M215" s="116"/>
      <c r="N215" s="116"/>
      <c r="O215" s="116"/>
      <c r="P215" s="474"/>
      <c r="Q215" s="607"/>
      <c r="R215" s="608"/>
      <c r="S215" s="612"/>
      <c r="T215" s="881"/>
      <c r="U215" s="598"/>
      <c r="V215" s="599"/>
      <c r="W215" s="599"/>
      <c r="X215" s="599"/>
      <c r="Y215" s="879"/>
      <c r="Z215" s="106"/>
      <c r="AI215" s="40"/>
      <c r="BO215" s="86"/>
    </row>
    <row r="216" spans="1:67" ht="47.25" x14ac:dyDescent="0.25">
      <c r="A216" s="520">
        <f>IFERROR(VLOOKUP($G$5,'רשימת רשויות'!A:C,3,0),0)</f>
        <v>0</v>
      </c>
      <c r="B216" s="520">
        <f t="shared" si="27"/>
        <v>0</v>
      </c>
      <c r="D216" s="1134"/>
      <c r="E216" s="1137"/>
      <c r="F216" s="588" t="s">
        <v>2</v>
      </c>
      <c r="G216" s="95" t="s">
        <v>18</v>
      </c>
      <c r="H216" s="95" t="s">
        <v>19</v>
      </c>
      <c r="I216" s="95" t="s">
        <v>20</v>
      </c>
      <c r="J216" s="95" t="s">
        <v>22</v>
      </c>
      <c r="K216" s="96" t="s">
        <v>2314</v>
      </c>
      <c r="L216" s="609"/>
      <c r="M216" s="609"/>
      <c r="N216" s="609"/>
      <c r="O216" s="580"/>
      <c r="P216" s="618" t="s">
        <v>2298</v>
      </c>
      <c r="Q216" s="618" t="s">
        <v>2299</v>
      </c>
      <c r="R216" s="596"/>
      <c r="S216" s="890" t="s">
        <v>2519</v>
      </c>
      <c r="T216" s="890" t="s">
        <v>97</v>
      </c>
      <c r="U216" s="891" t="s">
        <v>2521</v>
      </c>
      <c r="V216" s="892" t="s">
        <v>2520</v>
      </c>
      <c r="W216" s="893" t="s">
        <v>2524</v>
      </c>
      <c r="X216" s="892" t="s">
        <v>2522</v>
      </c>
      <c r="Y216" s="894" t="s">
        <v>2523</v>
      </c>
      <c r="Z216" s="106"/>
      <c r="AC216" s="498" t="s">
        <v>2568</v>
      </c>
      <c r="AD216" s="499" t="s">
        <v>2569</v>
      </c>
      <c r="AF216" s="122"/>
      <c r="AI216" s="40"/>
      <c r="BO216" s="86"/>
    </row>
    <row r="217" spans="1:67" ht="15" customHeight="1" thickBot="1" x14ac:dyDescent="0.3">
      <c r="A217" s="520">
        <f>IFERROR(VLOOKUP($G$5,'רשימת רשויות'!A:C,3,0),0)</f>
        <v>0</v>
      </c>
      <c r="B217" s="520">
        <f t="shared" si="27"/>
        <v>0</v>
      </c>
      <c r="D217" s="1134"/>
      <c r="E217" s="1137"/>
      <c r="F217" s="589" t="s">
        <v>76</v>
      </c>
      <c r="G217" s="117">
        <f>IF(G208="תקין",SUMIF('עלויות כח אדם (6)'!$B$15:$B$3014,'בית ספר - תקצוב לפי מוסד (9)'!$G203,'עלויות כח אדם (6)'!$M$15:$M$3014)-VLOOKUP('בית ספר - תקצוב לפי מוסד (9)'!G203,' איוש משרות (8)'!$C:$H,5,0)-VLOOKUP('בית ספר - תקצוב לפי מוסד (9)'!G203,' איוש משרות (8)'!$C:$H,6,0),0)-Y217</f>
        <v>0</v>
      </c>
      <c r="H217" s="118">
        <f>I205+R212</f>
        <v>0</v>
      </c>
      <c r="I217" s="119">
        <f>IFERROR(SUM(G217)/H217,0)</f>
        <v>0</v>
      </c>
      <c r="J217" s="100">
        <f>MIN(I205+R212,IF(ISNUMBER(G217),G217,0))</f>
        <v>0</v>
      </c>
      <c r="K217" s="120">
        <f>MAX(H217-G217,0)</f>
        <v>0</v>
      </c>
      <c r="L217" s="407"/>
      <c r="M217" s="393"/>
      <c r="N217" s="393"/>
      <c r="O217" s="580"/>
      <c r="P217" s="968">
        <f>IFERROR(IF(SUM(G217)/(I205)&lt;100%,MIN((I205)-SUM(G217),(I205)*0.25),0),0)</f>
        <v>0</v>
      </c>
      <c r="Q217" s="968">
        <f>IF(SUM(G217)-(I205+R212)&gt;0,SUM(G217)-(I205+R212),0)</f>
        <v>0</v>
      </c>
      <c r="R217" s="596" t="s">
        <v>2351</v>
      </c>
      <c r="S217" s="576" t="s">
        <v>2342</v>
      </c>
      <c r="T217" s="599">
        <f>G203</f>
        <v>0</v>
      </c>
      <c r="U217" s="578"/>
      <c r="V217" s="579">
        <f>G217+G218+G219</f>
        <v>0</v>
      </c>
      <c r="W217" s="579">
        <f>U217-V217</f>
        <v>0</v>
      </c>
      <c r="X217" s="579">
        <f>IFERROR(W231*W217/(SUM(W217:W230)),0)</f>
        <v>0</v>
      </c>
      <c r="Y217" s="879">
        <f>SUMIFS(בקרה!$S:$S,בקרה!$D:$D,T217,בקרה!$K:$K,S217)</f>
        <v>0</v>
      </c>
      <c r="Z217" s="121"/>
      <c r="AA217" s="143"/>
      <c r="AB217" s="143"/>
      <c r="AC217" s="504">
        <v>0</v>
      </c>
      <c r="AD217" s="505">
        <f>IFERROR(U217-AC217,0)</f>
        <v>0</v>
      </c>
      <c r="AE217" s="143"/>
      <c r="AI217" s="20"/>
      <c r="BO217" s="86"/>
    </row>
    <row r="218" spans="1:67" ht="15" customHeight="1" thickBot="1" x14ac:dyDescent="0.3">
      <c r="A218" s="520">
        <f>IFERROR(VLOOKUP($G$5,'רשימת רשויות'!A:C,3,0),0)</f>
        <v>0</v>
      </c>
      <c r="B218" s="520">
        <f t="shared" si="27"/>
        <v>0</v>
      </c>
      <c r="D218" s="1134"/>
      <c r="E218" s="1137"/>
      <c r="F218" s="589" t="s">
        <v>44</v>
      </c>
      <c r="G218" s="123">
        <f>IF(G208="תקין",IFERROR(VLOOKUP('בית ספר - תקצוב לפי מוסד (9)'!G203,' איוש משרות (8)'!C:J,7,0),0),0)</f>
        <v>0</v>
      </c>
      <c r="H218" s="124">
        <f>I207+R214+J207</f>
        <v>0</v>
      </c>
      <c r="I218" s="119">
        <f>IFERROR(SUM(G218:G219)/H218,0)</f>
        <v>0</v>
      </c>
      <c r="J218" s="100">
        <f>MIN(R214+I207,IF(ISNUMBER(SUM(G218:G219)),SUM(G218:G219),0))</f>
        <v>0</v>
      </c>
      <c r="K218" s="1139">
        <f>MAX((H218)-(G218+G219),0)</f>
        <v>0</v>
      </c>
      <c r="L218" s="407"/>
      <c r="M218" s="393"/>
      <c r="N218" s="393"/>
      <c r="O218" s="580"/>
      <c r="P218" s="1140"/>
      <c r="Q218" s="1140"/>
      <c r="R218" s="617">
        <f>MAX(MIN(P226-Q226,H226*0.15-G224),0)</f>
        <v>0</v>
      </c>
      <c r="S218" s="576"/>
      <c r="T218" s="599">
        <f>G203</f>
        <v>0</v>
      </c>
      <c r="U218" s="578"/>
      <c r="V218" s="579"/>
      <c r="W218" s="579">
        <f t="shared" ref="W218:W230" si="28">U218-V218</f>
        <v>0</v>
      </c>
      <c r="X218" s="579"/>
      <c r="Y218" s="879"/>
      <c r="Z218" s="121"/>
      <c r="AA218" s="143"/>
      <c r="AB218" s="143"/>
      <c r="AC218" s="504"/>
      <c r="AD218" s="505">
        <f t="shared" ref="AD218:AD224" si="29">IFERROR(U218-AC218,0)</f>
        <v>0</v>
      </c>
      <c r="AE218" s="143"/>
      <c r="AI218" s="20"/>
      <c r="BO218" s="86"/>
    </row>
    <row r="219" spans="1:67" ht="15.75" customHeight="1" x14ac:dyDescent="0.25">
      <c r="A219" s="520">
        <f>IFERROR(VLOOKUP($G$5,'רשימת רשויות'!A:C,3,0),0)</f>
        <v>0</v>
      </c>
      <c r="B219" s="520">
        <f t="shared" si="27"/>
        <v>0</v>
      </c>
      <c r="D219" s="1134"/>
      <c r="E219" s="1137"/>
      <c r="F219" s="589" t="s">
        <v>45</v>
      </c>
      <c r="G219" s="123">
        <f>IF(G208="תקין",IFERROR(VLOOKUP('בית ספר - תקצוב לפי מוסד (9)'!G203,' איוש משרות (8)'!C:J,8,0),0),0)</f>
        <v>0</v>
      </c>
      <c r="H219" s="125"/>
      <c r="I219" s="126"/>
      <c r="J219" s="104"/>
      <c r="K219" s="1139"/>
      <c r="L219" s="407"/>
      <c r="M219" s="393"/>
      <c r="N219" s="393"/>
      <c r="O219" s="580"/>
      <c r="P219" s="1140"/>
      <c r="Q219" s="1140"/>
      <c r="R219" s="596"/>
      <c r="S219" s="576"/>
      <c r="T219" s="599">
        <f>G203</f>
        <v>0</v>
      </c>
      <c r="U219" s="578"/>
      <c r="V219" s="579"/>
      <c r="W219" s="579">
        <f t="shared" si="28"/>
        <v>0</v>
      </c>
      <c r="X219" s="579"/>
      <c r="Y219" s="879"/>
      <c r="Z219" s="121"/>
      <c r="AA219" s="143"/>
      <c r="AB219" s="143"/>
      <c r="AC219" s="504"/>
      <c r="AD219" s="505">
        <f t="shared" si="29"/>
        <v>0</v>
      </c>
      <c r="AE219" s="143"/>
      <c r="AG219" s="55"/>
      <c r="AH219" s="55"/>
      <c r="AI219" s="55"/>
      <c r="AJ219" s="55"/>
      <c r="AK219" s="55"/>
      <c r="BO219" s="86"/>
    </row>
    <row r="220" spans="1:67" ht="15.75" customHeight="1" x14ac:dyDescent="0.25">
      <c r="A220" s="520">
        <f>IFERROR(VLOOKUP($G$5,'רשימת רשויות'!A:C,3,0),0)</f>
        <v>0</v>
      </c>
      <c r="B220" s="520">
        <f t="shared" si="27"/>
        <v>0</v>
      </c>
      <c r="D220" s="1134"/>
      <c r="E220" s="1137"/>
      <c r="F220" s="589" t="s">
        <v>0</v>
      </c>
      <c r="G220" s="117">
        <f>IF(G208="תקין",SUMIFS('דוח הוצאות בפועל (4)'!$E$17:$E$3016,'דוח הוצאות בפועל (4)'!$B$17:$B$3016,'בית ספר - תקצוב לפי מוסד (9)'!$G203,'דוח הוצאות בפועל (4)'!$M$17:$M$3016,"הע"),0)-Y220</f>
        <v>0</v>
      </c>
      <c r="H220" s="127">
        <f>J205</f>
        <v>0</v>
      </c>
      <c r="I220" s="128">
        <f>IFERROR(G220/H220,0)</f>
        <v>0</v>
      </c>
      <c r="J220" s="129">
        <f>MIN(IF(ISNUMBER(G220),G220,0),H220)</f>
        <v>0</v>
      </c>
      <c r="K220" s="120">
        <f>MAX(H220-G220,0)</f>
        <v>0</v>
      </c>
      <c r="L220" s="407"/>
      <c r="M220" s="393"/>
      <c r="N220" s="393"/>
      <c r="O220" s="580"/>
      <c r="P220" s="968">
        <f>MAX(IF(I220&lt;100%,MIN((H220-G220),H220*0.25),0),0)</f>
        <v>0</v>
      </c>
      <c r="Q220" s="619">
        <f>IF(G220-H220&gt;0,G220-H220,0)</f>
        <v>0</v>
      </c>
      <c r="R220" s="596"/>
      <c r="S220" s="610" t="s">
        <v>0</v>
      </c>
      <c r="T220" s="599">
        <f>G203</f>
        <v>0</v>
      </c>
      <c r="U220" s="578"/>
      <c r="V220" s="579">
        <f>G220</f>
        <v>0</v>
      </c>
      <c r="W220" s="579">
        <f t="shared" si="28"/>
        <v>0</v>
      </c>
      <c r="X220" s="579">
        <f>IFERROR(W231*W220/(SUM(W217:W230)),0)</f>
        <v>0</v>
      </c>
      <c r="Y220" s="879">
        <f>SUMIFS(בקרה!$S:$S,בקרה!$D:$D,T220,בקרה!$K:$K,S220)</f>
        <v>0</v>
      </c>
      <c r="Z220" s="121"/>
      <c r="AA220" s="143"/>
      <c r="AB220" s="143"/>
      <c r="AC220" s="504">
        <v>0</v>
      </c>
      <c r="AD220" s="505">
        <f t="shared" si="29"/>
        <v>0</v>
      </c>
      <c r="AE220" s="143"/>
      <c r="AG220" s="55"/>
      <c r="AH220" s="55"/>
      <c r="AI220" s="40"/>
      <c r="AJ220" s="55"/>
      <c r="AK220" s="55"/>
      <c r="BO220" s="86"/>
    </row>
    <row r="221" spans="1:67" s="55" customFormat="1" ht="15.75" customHeight="1" x14ac:dyDescent="0.25">
      <c r="A221" s="520">
        <f>IFERROR(VLOOKUP($G$5,'רשימת רשויות'!A:C,3,0),0)</f>
        <v>0</v>
      </c>
      <c r="B221" s="520">
        <f t="shared" si="27"/>
        <v>0</v>
      </c>
      <c r="C221" s="39"/>
      <c r="D221" s="1134"/>
      <c r="E221" s="1137"/>
      <c r="F221" s="589" t="s">
        <v>93</v>
      </c>
      <c r="G221" s="130">
        <f>IF(G208="תקין",SUMIFS('דוח הוצאות בפועל (4)'!$E$17:$E$3016,'דוח הוצאות בפועל (4)'!$B$17:$B$3016,'בית ספר - תקצוב לפי מוסד (9)'!$G203,'דוח הוצאות בפועל (4)'!$M$17:$M$3016,"אר"),0)-Y221</f>
        <v>0</v>
      </c>
      <c r="H221" s="118">
        <f>$I211</f>
        <v>0</v>
      </c>
      <c r="I221" s="131">
        <f>IFERROR((G221+G222)/H221,0)</f>
        <v>0</v>
      </c>
      <c r="J221" s="100">
        <f>MIN((IF(ISNUMBER(G221),G221,0)+IF(ISNUMBER(G222),G222,0)),H221)</f>
        <v>0</v>
      </c>
      <c r="K221" s="1139">
        <f>MAX((H221)-(G221+G222),0)</f>
        <v>0</v>
      </c>
      <c r="L221" s="407"/>
      <c r="M221" s="393"/>
      <c r="N221" s="393"/>
      <c r="O221" s="602"/>
      <c r="P221" s="1141"/>
      <c r="Q221" s="1142"/>
      <c r="R221" s="596"/>
      <c r="S221" s="610" t="s">
        <v>93</v>
      </c>
      <c r="T221" s="599">
        <f>G203</f>
        <v>0</v>
      </c>
      <c r="U221" s="578"/>
      <c r="V221" s="579">
        <f t="shared" ref="V221:V222" si="30">G221</f>
        <v>0</v>
      </c>
      <c r="W221" s="579">
        <f t="shared" si="28"/>
        <v>0</v>
      </c>
      <c r="X221" s="579">
        <f>IFERROR(W231*W221/(SUM(W217:W230)),0)</f>
        <v>0</v>
      </c>
      <c r="Y221" s="879">
        <f>SUMIFS(בקרה!$S:$S,בקרה!$D:$D,T221,בקרה!$K:$K,S221)</f>
        <v>0</v>
      </c>
      <c r="Z221" s="121"/>
      <c r="AA221" s="143"/>
      <c r="AB221" s="143"/>
      <c r="AC221" s="504">
        <v>0</v>
      </c>
      <c r="AD221" s="505">
        <f t="shared" si="29"/>
        <v>0</v>
      </c>
      <c r="AE221" s="143"/>
      <c r="AJ221" s="22"/>
      <c r="AO221" s="22"/>
      <c r="AP221" s="22"/>
      <c r="AQ221" s="22"/>
      <c r="AR221" s="22"/>
      <c r="AS221" s="22"/>
      <c r="AT221" s="22"/>
      <c r="AU221" s="35"/>
      <c r="AV221" s="35"/>
      <c r="AW221" s="35"/>
      <c r="AX221" s="35"/>
      <c r="AY221" s="35"/>
      <c r="AZ221" s="35"/>
      <c r="BA221" s="35"/>
      <c r="BB221" s="35"/>
      <c r="BC221" s="35"/>
      <c r="BD221" s="35"/>
      <c r="BE221" s="35"/>
      <c r="BF221" s="35"/>
      <c r="BG221" s="35"/>
      <c r="BH221" s="35"/>
      <c r="BI221" s="35"/>
      <c r="BJ221" s="35"/>
      <c r="BK221" s="35"/>
      <c r="BL221" s="35"/>
      <c r="BM221" s="35"/>
      <c r="BN221" s="35"/>
      <c r="BO221" s="86"/>
    </row>
    <row r="222" spans="1:67" s="55" customFormat="1" ht="15.75" customHeight="1" x14ac:dyDescent="0.25">
      <c r="A222" s="520">
        <f>IFERROR(VLOOKUP($G$5,'רשימת רשויות'!A:C,3,0),0)</f>
        <v>0</v>
      </c>
      <c r="B222" s="520">
        <f t="shared" si="27"/>
        <v>0</v>
      </c>
      <c r="C222" s="39"/>
      <c r="D222" s="1134"/>
      <c r="E222" s="1137"/>
      <c r="F222" s="589" t="s">
        <v>46</v>
      </c>
      <c r="G222" s="130">
        <f>IF(G208="תקין",SUMIFS('דוח הוצאות בפועל (4)'!$E$17:$E$3016,'דוח הוצאות בפועל (4)'!$B$17:$B$3016,'בית ספר - תקצוב לפי מוסד (9)'!$G203,'דוח הוצאות בפועל (4)'!$M$17:$M$3016,"מל"),0)-Y222</f>
        <v>0</v>
      </c>
      <c r="H222" s="132"/>
      <c r="I222" s="133"/>
      <c r="J222" s="104"/>
      <c r="K222" s="1139"/>
      <c r="L222" s="407"/>
      <c r="M222" s="393"/>
      <c r="N222" s="393"/>
      <c r="O222" s="602"/>
      <c r="P222" s="1141"/>
      <c r="Q222" s="1142"/>
      <c r="R222" s="596"/>
      <c r="S222" s="610" t="s">
        <v>46</v>
      </c>
      <c r="T222" s="599">
        <f>G203</f>
        <v>0</v>
      </c>
      <c r="U222" s="578"/>
      <c r="V222" s="579">
        <f t="shared" si="30"/>
        <v>0</v>
      </c>
      <c r="W222" s="579">
        <f t="shared" si="28"/>
        <v>0</v>
      </c>
      <c r="X222" s="579">
        <f>IFERROR(W231*W222/(SUM(W217:W230)),0)</f>
        <v>0</v>
      </c>
      <c r="Y222" s="879">
        <f>SUMIFS(בקרה!$S:$S,בקרה!$D:$D,T222,בקרה!$K:$K,S222)</f>
        <v>0</v>
      </c>
      <c r="Z222" s="121"/>
      <c r="AA222" s="143"/>
      <c r="AB222" s="143"/>
      <c r="AC222" s="504">
        <v>0</v>
      </c>
      <c r="AD222" s="505">
        <f t="shared" si="29"/>
        <v>0</v>
      </c>
      <c r="AE222" s="143"/>
      <c r="AJ222" s="22"/>
      <c r="AO222" s="22"/>
      <c r="AP222" s="22"/>
      <c r="AQ222" s="22"/>
      <c r="AR222" s="22"/>
      <c r="AS222" s="22"/>
      <c r="AT222" s="22"/>
      <c r="AU222" s="35"/>
      <c r="AV222" s="35"/>
      <c r="AW222" s="35"/>
      <c r="AX222" s="35"/>
      <c r="AY222" s="35"/>
      <c r="AZ222" s="35"/>
      <c r="BA222" s="35"/>
      <c r="BB222" s="35"/>
      <c r="BC222" s="35"/>
      <c r="BD222" s="35"/>
      <c r="BE222" s="35"/>
      <c r="BF222" s="35"/>
      <c r="BG222" s="35"/>
      <c r="BH222" s="35"/>
      <c r="BI222" s="35"/>
      <c r="BJ222" s="35"/>
      <c r="BK222" s="35"/>
      <c r="BL222" s="35"/>
      <c r="BM222" s="35"/>
      <c r="BN222" s="35"/>
      <c r="BO222" s="86"/>
    </row>
    <row r="223" spans="1:67" s="55" customFormat="1" ht="15" customHeight="1" x14ac:dyDescent="0.25">
      <c r="A223" s="520">
        <f>IFERROR(VLOOKUP($G$5,'רשימת רשויות'!A:C,3,0),0)</f>
        <v>0</v>
      </c>
      <c r="B223" s="520">
        <f t="shared" si="27"/>
        <v>0</v>
      </c>
      <c r="C223" s="39"/>
      <c r="D223" s="1134"/>
      <c r="E223" s="1137"/>
      <c r="F223" s="591" t="s">
        <v>23</v>
      </c>
      <c r="G223" s="134">
        <f>SUM(G217:G222)</f>
        <v>0</v>
      </c>
      <c r="H223" s="135">
        <f>SUM(H217:H222)</f>
        <v>0</v>
      </c>
      <c r="I223" s="128">
        <f>IFERROR(G223/H223,0)</f>
        <v>0</v>
      </c>
      <c r="J223" s="136">
        <f>SUM(J217:J222)</f>
        <v>0</v>
      </c>
      <c r="K223" s="137">
        <f>SUM(K217:K222)</f>
        <v>0</v>
      </c>
      <c r="L223" s="408"/>
      <c r="M223" s="394"/>
      <c r="N223" s="394"/>
      <c r="O223" s="602"/>
      <c r="P223" s="620">
        <f>SUM(P217:P222)</f>
        <v>0</v>
      </c>
      <c r="Q223" s="620">
        <f>SUM(Q217:Q222)</f>
        <v>0</v>
      </c>
      <c r="R223" s="596"/>
      <c r="S223" s="610"/>
      <c r="T223" s="599">
        <f>G203</f>
        <v>0</v>
      </c>
      <c r="U223" s="578"/>
      <c r="V223" s="579"/>
      <c r="W223" s="579">
        <f t="shared" si="28"/>
        <v>0</v>
      </c>
      <c r="X223" s="579"/>
      <c r="Y223" s="879"/>
      <c r="Z223" s="121"/>
      <c r="AA223" s="143"/>
      <c r="AB223" s="143"/>
      <c r="AC223" s="504"/>
      <c r="AD223" s="505">
        <f t="shared" si="29"/>
        <v>0</v>
      </c>
      <c r="AE223" s="143"/>
      <c r="AJ223" s="22"/>
      <c r="AL223" s="22"/>
      <c r="AM223" s="22"/>
      <c r="AN223" s="22"/>
      <c r="AO223" s="22"/>
      <c r="AP223" s="22"/>
      <c r="AQ223" s="22"/>
      <c r="AR223" s="22"/>
      <c r="AS223" s="22"/>
      <c r="AT223" s="22"/>
      <c r="AU223" s="35"/>
      <c r="AV223" s="35"/>
      <c r="AW223" s="35"/>
      <c r="AX223" s="35"/>
      <c r="AY223" s="35"/>
      <c r="AZ223" s="35"/>
      <c r="BA223" s="35"/>
      <c r="BB223" s="35"/>
      <c r="BC223" s="35"/>
      <c r="BD223" s="35"/>
      <c r="BE223" s="35"/>
      <c r="BF223" s="35"/>
      <c r="BG223" s="35"/>
      <c r="BH223" s="35"/>
      <c r="BI223" s="35"/>
      <c r="BJ223" s="35"/>
      <c r="BK223" s="35"/>
      <c r="BL223" s="35"/>
      <c r="BM223" s="35"/>
      <c r="BN223" s="35"/>
      <c r="BO223" s="86"/>
    </row>
    <row r="224" spans="1:67" s="55" customFormat="1" ht="15" customHeight="1" x14ac:dyDescent="0.25">
      <c r="A224" s="520">
        <f>IFERROR(VLOOKUP($G$5,'רשימת רשויות'!A:C,3,0),0)</f>
        <v>0</v>
      </c>
      <c r="B224" s="520">
        <f t="shared" si="27"/>
        <v>0</v>
      </c>
      <c r="C224" s="39"/>
      <c r="D224" s="1134"/>
      <c r="E224" s="1137"/>
      <c r="F224" s="589" t="s">
        <v>3</v>
      </c>
      <c r="G224" s="117">
        <f>IF(G208="תקין",SUMIFS('דוח הוצאות בפועל (4)'!$E$17:$E$3016,'דוח הוצאות בפועל (4)'!$B$17:$B$3016,'בית ספר - תקצוב לפי מוסד (9)'!$G203,'דוח הוצאות בפועל (4)'!$M$17:$M$3016,"ני")+SUMIFS('דוח הוצאות בפועל (4)'!$E$17:$E$3016,'דוח הוצאות בפועל (4)'!$B$17:$B$3016,'בית ספר - תקצוב לפי מוסד (9)'!$G203,'דוח הוצאות בפועל (4)'!$M$17:$M$3016,"על"),0)-Y224</f>
        <v>0</v>
      </c>
      <c r="H224" s="117">
        <f>H205</f>
        <v>0</v>
      </c>
      <c r="I224" s="138">
        <f>IFERROR(G224/H224,0)</f>
        <v>0</v>
      </c>
      <c r="J224" s="117">
        <f>IFERROR(IF(G224/H226&gt;0.15,MIN(H226*0.15,H224),MIN(H224,IF(ISNUMBER(G224),G224,0))),0)</f>
        <v>0</v>
      </c>
      <c r="K224" s="120">
        <f>MAX(H224-G224,0)</f>
        <v>0</v>
      </c>
      <c r="L224" s="407"/>
      <c r="M224" s="393"/>
      <c r="N224" s="393"/>
      <c r="O224" s="602"/>
      <c r="P224" s="620">
        <f>IF(I224&lt;100%,MIN(H224-G224,H224*0.25),0)</f>
        <v>0</v>
      </c>
      <c r="Q224" s="620">
        <f>MAX(MIN(IF(G224-H224&gt;0,G224-H224,0),$H226*0.15-H224-J225),0)</f>
        <v>0</v>
      </c>
      <c r="R224" s="596"/>
      <c r="S224" s="610" t="s">
        <v>3</v>
      </c>
      <c r="T224" s="599">
        <f>G203</f>
        <v>0</v>
      </c>
      <c r="U224" s="578"/>
      <c r="V224" s="579">
        <f t="shared" ref="V224" si="31">G224</f>
        <v>0</v>
      </c>
      <c r="W224" s="579">
        <f t="shared" si="28"/>
        <v>0</v>
      </c>
      <c r="X224" s="579"/>
      <c r="Y224" s="879"/>
      <c r="Z224" s="121"/>
      <c r="AA224" s="143"/>
      <c r="AB224" s="143"/>
      <c r="AC224" s="504">
        <v>0</v>
      </c>
      <c r="AD224" s="505">
        <f t="shared" si="29"/>
        <v>0</v>
      </c>
      <c r="AE224" s="143"/>
      <c r="AG224" s="22"/>
      <c r="AH224" s="22"/>
      <c r="AI224" s="22"/>
      <c r="AJ224" s="22"/>
      <c r="AK224" s="22"/>
      <c r="AL224" s="22"/>
      <c r="AM224" s="22"/>
      <c r="AN224" s="22"/>
      <c r="AO224" s="22"/>
      <c r="AP224" s="22"/>
      <c r="AQ224" s="22"/>
      <c r="AR224" s="22"/>
      <c r="AS224" s="22"/>
      <c r="AT224" s="22"/>
      <c r="AU224" s="35"/>
      <c r="AV224" s="35"/>
      <c r="AW224" s="35"/>
      <c r="AX224" s="35"/>
      <c r="AY224" s="35"/>
      <c r="AZ224" s="35"/>
      <c r="BA224" s="35"/>
      <c r="BB224" s="35"/>
      <c r="BC224" s="35"/>
      <c r="BD224" s="35"/>
      <c r="BE224" s="35"/>
      <c r="BF224" s="35"/>
      <c r="BG224" s="35"/>
      <c r="BH224" s="35"/>
      <c r="BI224" s="35"/>
      <c r="BJ224" s="35"/>
      <c r="BK224" s="35"/>
      <c r="BL224" s="35"/>
      <c r="BM224" s="35"/>
      <c r="BN224" s="35"/>
      <c r="BO224" s="86"/>
    </row>
    <row r="225" spans="1:67" s="55" customFormat="1" ht="15.75" customHeight="1" x14ac:dyDescent="0.25">
      <c r="A225" s="520">
        <f>IFERROR(VLOOKUP($G$5,'רשימת רשויות'!A:C,3,0),0)</f>
        <v>0</v>
      </c>
      <c r="B225" s="520">
        <f t="shared" si="27"/>
        <v>0</v>
      </c>
      <c r="C225" s="39"/>
      <c r="D225" s="1134"/>
      <c r="E225" s="1137"/>
      <c r="F225" s="589" t="s">
        <v>2918</v>
      </c>
      <c r="G225" s="117">
        <f>0.07*(G219+G218)</f>
        <v>0</v>
      </c>
      <c r="H225" s="117">
        <f>H207</f>
        <v>0</v>
      </c>
      <c r="I225" s="138">
        <f>IFERROR(G225/H225,0)</f>
        <v>0</v>
      </c>
      <c r="J225" s="117">
        <f>IFERROR(MIN(0.07*(G218+G219),0.07*I207),0)</f>
        <v>0</v>
      </c>
      <c r="K225" s="120">
        <f>MAX(H225-G225,0)</f>
        <v>0</v>
      </c>
      <c r="L225" s="407"/>
      <c r="M225" s="393"/>
      <c r="N225" s="393"/>
      <c r="O225" s="602"/>
      <c r="P225" s="620"/>
      <c r="Q225" s="619"/>
      <c r="R225" s="596"/>
      <c r="S225" s="611"/>
      <c r="T225" s="599">
        <f>G203</f>
        <v>0</v>
      </c>
      <c r="U225" s="578"/>
      <c r="V225" s="579"/>
      <c r="W225" s="579">
        <f t="shared" si="28"/>
        <v>0</v>
      </c>
      <c r="X225" s="579"/>
      <c r="Y225" s="879"/>
      <c r="Z225" s="121"/>
      <c r="AA225" s="143"/>
      <c r="AB225" s="143"/>
      <c r="AC225" s="504"/>
      <c r="AD225" s="505"/>
      <c r="AE225" s="143"/>
      <c r="AF225" s="140"/>
      <c r="AG225" s="22"/>
      <c r="AH225" s="22"/>
      <c r="AI225" s="22"/>
      <c r="AJ225" s="22"/>
      <c r="AK225" s="22"/>
      <c r="AL225" s="22"/>
      <c r="AM225" s="22"/>
      <c r="AN225" s="22"/>
      <c r="AO225" s="22"/>
      <c r="AP225" s="22"/>
      <c r="AQ225" s="22"/>
      <c r="AR225" s="22"/>
      <c r="AS225" s="22"/>
      <c r="AT225" s="22"/>
      <c r="AU225" s="35"/>
      <c r="AV225" s="35"/>
      <c r="AW225" s="35"/>
      <c r="AX225" s="35"/>
      <c r="AY225" s="35"/>
      <c r="AZ225" s="35"/>
      <c r="BA225" s="35"/>
      <c r="BB225" s="35"/>
      <c r="BC225" s="35"/>
      <c r="BD225" s="35"/>
      <c r="BE225" s="35"/>
      <c r="BF225" s="35"/>
      <c r="BG225" s="35"/>
      <c r="BH225" s="35"/>
      <c r="BI225" s="35"/>
      <c r="BJ225" s="35"/>
      <c r="BK225" s="35"/>
      <c r="BL225" s="35"/>
      <c r="BM225" s="35"/>
      <c r="BN225" s="35"/>
      <c r="BO225" s="86"/>
    </row>
    <row r="226" spans="1:67" ht="15.75" customHeight="1" x14ac:dyDescent="0.25">
      <c r="A226" s="520">
        <f>IFERROR(VLOOKUP($G$5,'רשימת רשויות'!A:C,3,0),0)</f>
        <v>0</v>
      </c>
      <c r="B226" s="520">
        <f t="shared" si="27"/>
        <v>0</v>
      </c>
      <c r="D226" s="1134"/>
      <c r="E226" s="1137"/>
      <c r="F226" s="591" t="s">
        <v>15</v>
      </c>
      <c r="G226" s="134">
        <f>G223+G224+G225</f>
        <v>0</v>
      </c>
      <c r="H226" s="134">
        <f>H223+H224+H225</f>
        <v>0</v>
      </c>
      <c r="I226" s="138">
        <f>IFERROR(G226/H226,0)</f>
        <v>0</v>
      </c>
      <c r="J226" s="139">
        <f>J223+J224+J225</f>
        <v>0</v>
      </c>
      <c r="K226" s="137">
        <f>K224+K223+K225</f>
        <v>0</v>
      </c>
      <c r="L226" s="408"/>
      <c r="M226" s="394"/>
      <c r="N226" s="394"/>
      <c r="O226" s="602"/>
      <c r="P226" s="621">
        <f>SUM(P223:P224)</f>
        <v>0</v>
      </c>
      <c r="Q226" s="622">
        <f>Q223+Q224</f>
        <v>0</v>
      </c>
      <c r="R226" s="596"/>
      <c r="S226" s="611"/>
      <c r="T226" s="599">
        <f>G203</f>
        <v>0</v>
      </c>
      <c r="U226" s="578"/>
      <c r="V226" s="579"/>
      <c r="W226" s="579">
        <f t="shared" si="28"/>
        <v>0</v>
      </c>
      <c r="X226" s="579"/>
      <c r="Y226" s="879"/>
      <c r="Z226" s="106"/>
      <c r="AC226" s="504"/>
      <c r="AD226" s="505"/>
      <c r="AH226" s="143"/>
      <c r="BO226" s="86"/>
    </row>
    <row r="227" spans="1:67" ht="15.75" customHeight="1" x14ac:dyDescent="0.25">
      <c r="A227" s="520">
        <f>IFERROR(VLOOKUP($G$5,'רשימת רשויות'!A:C,3,0),0)</f>
        <v>0</v>
      </c>
      <c r="B227" s="520">
        <f t="shared" si="27"/>
        <v>0</v>
      </c>
      <c r="D227" s="1134"/>
      <c r="E227" s="1137"/>
      <c r="F227" s="589" t="s">
        <v>2261</v>
      </c>
      <c r="G227" s="117">
        <f>IF(G208="תקין",SUMIF('תשלומי הורים ומלגות להורים (5) '!$B$18:$B$517,$G203,'תשלומי הורים ומלגות להורים (5) '!$C$18:$C$517),0)</f>
        <v>0</v>
      </c>
      <c r="H227" s="117">
        <f>(G206+G207)*$G$7</f>
        <v>0</v>
      </c>
      <c r="I227" s="141"/>
      <c r="J227" s="141"/>
      <c r="K227" s="142"/>
      <c r="L227" s="395"/>
      <c r="M227" s="395"/>
      <c r="N227" s="395"/>
      <c r="O227" s="602"/>
      <c r="P227" s="623"/>
      <c r="Q227" s="619"/>
      <c r="R227" s="596"/>
      <c r="S227" s="612"/>
      <c r="T227" s="599">
        <f>G203</f>
        <v>0</v>
      </c>
      <c r="U227" s="578"/>
      <c r="V227" s="579"/>
      <c r="W227" s="579">
        <f t="shared" si="28"/>
        <v>0</v>
      </c>
      <c r="X227" s="579"/>
      <c r="Y227" s="879"/>
      <c r="Z227" s="121"/>
      <c r="AA227" s="143"/>
      <c r="AB227" s="143"/>
      <c r="AC227" s="504"/>
      <c r="AD227" s="505"/>
      <c r="AE227" s="143"/>
      <c r="AF227" s="148"/>
      <c r="BO227" s="86"/>
    </row>
    <row r="228" spans="1:67" ht="15.75" customHeight="1" thickBot="1" x14ac:dyDescent="0.3">
      <c r="A228" s="520">
        <f>IFERROR(VLOOKUP($G$5,'רשימת רשויות'!A:C,3,0),0)</f>
        <v>0</v>
      </c>
      <c r="B228" s="520">
        <f t="shared" si="27"/>
        <v>0</v>
      </c>
      <c r="D228" s="1134"/>
      <c r="E228" s="1137"/>
      <c r="F228" s="592" t="s">
        <v>21</v>
      </c>
      <c r="G228" s="144">
        <f>G226-G227</f>
        <v>0</v>
      </c>
      <c r="H228" s="144">
        <f>H226-H227</f>
        <v>0</v>
      </c>
      <c r="I228" s="145"/>
      <c r="J228" s="145"/>
      <c r="K228" s="146"/>
      <c r="L228" s="396"/>
      <c r="M228" s="396"/>
      <c r="N228" s="396"/>
      <c r="O228" s="602"/>
      <c r="P228" s="619"/>
      <c r="Q228" s="619"/>
      <c r="R228" s="596"/>
      <c r="S228" s="612"/>
      <c r="T228" s="599">
        <f>G203</f>
        <v>0</v>
      </c>
      <c r="U228" s="578"/>
      <c r="V228" s="579"/>
      <c r="W228" s="579">
        <f t="shared" si="28"/>
        <v>0</v>
      </c>
      <c r="X228" s="579"/>
      <c r="Y228" s="879"/>
      <c r="Z228" s="147"/>
      <c r="AA228" s="148"/>
      <c r="AB228" s="148"/>
      <c r="AC228" s="504"/>
      <c r="AD228" s="505"/>
      <c r="AE228" s="148"/>
      <c r="AF228" s="148"/>
      <c r="BO228" s="86"/>
    </row>
    <row r="229" spans="1:67" ht="15.75" customHeight="1" thickBot="1" x14ac:dyDescent="0.3">
      <c r="A229" s="520">
        <f>IFERROR(VLOOKUP($G$5,'רשימת רשויות'!A:C,3,0),0)</f>
        <v>0</v>
      </c>
      <c r="B229" s="520">
        <f t="shared" si="27"/>
        <v>0</v>
      </c>
      <c r="D229" s="1134"/>
      <c r="E229" s="1137"/>
      <c r="F229" s="580"/>
      <c r="G229" s="580"/>
      <c r="H229" s="147"/>
      <c r="I229" s="149" t="s">
        <v>2197</v>
      </c>
      <c r="J229" s="150">
        <f>MAX(MIN(P226,Q226),0)</f>
        <v>0</v>
      </c>
      <c r="K229" s="580"/>
      <c r="L229" s="580"/>
      <c r="M229" s="580"/>
      <c r="N229" s="580"/>
      <c r="O229" s="580"/>
      <c r="P229" s="615" t="s">
        <v>2317</v>
      </c>
      <c r="Q229" s="624">
        <f>SUM(Q230:Q231)</f>
        <v>0</v>
      </c>
      <c r="R229" s="596"/>
      <c r="S229" s="612"/>
      <c r="T229" s="599">
        <f>G203</f>
        <v>0</v>
      </c>
      <c r="U229" s="578"/>
      <c r="V229" s="579"/>
      <c r="W229" s="579">
        <f t="shared" si="28"/>
        <v>0</v>
      </c>
      <c r="X229" s="579"/>
      <c r="Y229" s="879"/>
      <c r="Z229" s="106"/>
      <c r="AC229" s="504"/>
      <c r="AD229" s="505"/>
      <c r="AF229" s="148"/>
      <c r="BO229" s="86"/>
    </row>
    <row r="230" spans="1:67" ht="16.5" thickBot="1" x14ac:dyDescent="0.3">
      <c r="A230" s="520">
        <f>IFERROR(VLOOKUP($G$5,'רשימת רשויות'!A:C,3,0),0)</f>
        <v>0</v>
      </c>
      <c r="B230" s="520">
        <f t="shared" si="27"/>
        <v>0</v>
      </c>
      <c r="D230" s="1134"/>
      <c r="E230" s="1137"/>
      <c r="F230" s="580"/>
      <c r="G230" s="580"/>
      <c r="H230" s="580"/>
      <c r="I230" s="84" t="s">
        <v>2193</v>
      </c>
      <c r="J230" s="515" t="str">
        <f>IFERROR(1-H227/H226,"")</f>
        <v/>
      </c>
      <c r="K230" s="580"/>
      <c r="L230" s="580"/>
      <c r="M230" s="580"/>
      <c r="N230" s="580"/>
      <c r="O230" s="580"/>
      <c r="P230" s="615" t="s">
        <v>417</v>
      </c>
      <c r="Q230" s="616">
        <f>IFERROR(MAX(H228-I231-Q231,0),0)</f>
        <v>0</v>
      </c>
      <c r="R230" s="596"/>
      <c r="S230" s="600"/>
      <c r="T230" s="599">
        <f>G203</f>
        <v>0</v>
      </c>
      <c r="U230" s="578"/>
      <c r="V230" s="579"/>
      <c r="W230" s="579">
        <f t="shared" si="28"/>
        <v>0</v>
      </c>
      <c r="X230" s="579"/>
      <c r="Y230" s="879"/>
      <c r="Z230" s="106"/>
      <c r="AC230" s="504"/>
      <c r="AD230" s="505"/>
      <c r="BO230" s="86"/>
    </row>
    <row r="231" spans="1:67" ht="17.25" thickBot="1" x14ac:dyDescent="0.3">
      <c r="A231" s="520">
        <f>IFERROR(VLOOKUP($G$5,'רשימת רשויות'!A:C,3,0),0)</f>
        <v>0</v>
      </c>
      <c r="B231" s="520">
        <f t="shared" si="27"/>
        <v>0</v>
      </c>
      <c r="D231" s="1134"/>
      <c r="E231" s="1137"/>
      <c r="F231" s="1143" t="s">
        <v>2679</v>
      </c>
      <c r="G231" s="1143"/>
      <c r="H231" s="1143"/>
      <c r="I231" s="722">
        <f>IF(G208="לא תקין","לא קיימת זכאות לתקציב לאור אי איוש משרות רכז ו/או סגן רכז ",IFERROR(J230*(J229+J226),0))</f>
        <v>0</v>
      </c>
      <c r="J231" s="573"/>
      <c r="K231" s="574"/>
      <c r="L231" s="396"/>
      <c r="M231" s="574"/>
      <c r="N231" s="574"/>
      <c r="O231" s="574"/>
      <c r="P231" s="615" t="s">
        <v>2279</v>
      </c>
      <c r="Q231" s="616">
        <f>MAX(IF(AND(G226&gt;H226,I231&lt;H228),H228-I231,0),0)</f>
        <v>0</v>
      </c>
      <c r="R231" s="575"/>
      <c r="S231" s="576" t="s">
        <v>67</v>
      </c>
      <c r="T231" s="577">
        <f>G203</f>
        <v>0</v>
      </c>
      <c r="U231" s="578"/>
      <c r="V231" s="579">
        <f>I231</f>
        <v>0</v>
      </c>
      <c r="W231" s="579">
        <f>IFERROR(U231-V231,0)</f>
        <v>0</v>
      </c>
      <c r="X231" s="579">
        <f>SUM(X217:X230)</f>
        <v>0</v>
      </c>
      <c r="Y231" s="879"/>
      <c r="Z231" s="106"/>
      <c r="AC231" s="506">
        <v>0</v>
      </c>
      <c r="AD231" s="507">
        <f>IFERROR(U231-AC231,0)</f>
        <v>0</v>
      </c>
      <c r="BO231" s="86"/>
    </row>
    <row r="232" spans="1:67" ht="16.5" thickBot="1" x14ac:dyDescent="0.3">
      <c r="A232" s="520">
        <f>IFERROR(VLOOKUP($G$5,'רשימת רשויות'!A:C,3,0),0)</f>
        <v>0</v>
      </c>
      <c r="B232" s="520">
        <f t="shared" si="27"/>
        <v>0</v>
      </c>
      <c r="D232" s="1135"/>
      <c r="E232" s="1138"/>
      <c r="F232" s="1144" t="s">
        <v>2793</v>
      </c>
      <c r="G232" s="1145"/>
      <c r="H232" s="1145"/>
      <c r="I232" s="593">
        <f>IFERROR(IF(G208="תקין",SUMIFS('סייעות רפואיות או אישיות (7)'!$Q$17:Q$384,'סייעות רפואיות או אישיות (7)'!C$17:C$384,G203),0),0)</f>
        <v>0</v>
      </c>
      <c r="J232" s="151"/>
      <c r="K232" s="152"/>
      <c r="L232" s="409"/>
      <c r="M232" s="152"/>
      <c r="N232" s="152"/>
      <c r="O232" s="152"/>
      <c r="P232" s="613"/>
      <c r="Q232" s="614"/>
      <c r="R232" s="475"/>
      <c r="S232" s="489"/>
      <c r="T232" s="490"/>
      <c r="U232" s="491"/>
      <c r="V232" s="492"/>
      <c r="W232" s="492"/>
      <c r="X232" s="492"/>
      <c r="Y232" s="880"/>
      <c r="Z232" s="153"/>
      <c r="AC232" s="581"/>
      <c r="AD232" s="582"/>
      <c r="BO232" s="86"/>
    </row>
    <row r="233" spans="1:67" ht="34.5" thickBot="1" x14ac:dyDescent="0.55000000000000004">
      <c r="A233" s="520">
        <f>IFERROR(VLOOKUP($G$5,'רשימת רשויות'!A:C,3,0),0)</f>
        <v>0</v>
      </c>
      <c r="B233" s="520">
        <f t="shared" si="27"/>
        <v>0</v>
      </c>
      <c r="E233" s="154"/>
      <c r="I233" s="143"/>
      <c r="J233" s="148"/>
      <c r="O233" s="148"/>
      <c r="T233" s="481"/>
      <c r="BO233" s="86"/>
    </row>
    <row r="234" spans="1:67" s="20" customFormat="1" ht="16.5" customHeight="1" thickBot="1" x14ac:dyDescent="0.3">
      <c r="A234" s="520">
        <f>IFERROR(VLOOKUP($G$5,'רשימת רשויות'!A:C,3,0),0)</f>
        <v>0</v>
      </c>
      <c r="B234" s="520">
        <f t="shared" si="27"/>
        <v>0</v>
      </c>
      <c r="C234" s="39"/>
      <c r="D234" s="1133">
        <f>D203+1</f>
        <v>8</v>
      </c>
      <c r="E234" s="1136" t="str">
        <f>IFERROR(CONCATENATE("בית הספר ",VLOOKUP(G234,'מצבת והרשמה (2)'!$C$21:$D$520,2,0)," - ",$G$5),"")</f>
        <v>בית הספר המוסד לא קיים - 0</v>
      </c>
      <c r="F234" s="720" t="s">
        <v>146</v>
      </c>
      <c r="G234" s="721">
        <f>IFERROR(VLOOKUP(D:D,'דוח ביצוע (3)'!$A$21:$C$900,2,0),0)</f>
        <v>0</v>
      </c>
      <c r="H234" s="79"/>
      <c r="I234" s="80" t="s">
        <v>150</v>
      </c>
      <c r="J234" s="80"/>
      <c r="K234" s="81"/>
      <c r="L234" s="392"/>
      <c r="M234" s="392"/>
      <c r="N234" s="392"/>
      <c r="O234" s="82"/>
      <c r="P234" s="470"/>
      <c r="Q234" s="471"/>
      <c r="R234" s="472"/>
      <c r="S234" s="883"/>
      <c r="T234" s="884"/>
      <c r="U234" s="486"/>
      <c r="V234" s="487"/>
      <c r="W234" s="487"/>
      <c r="X234" s="487"/>
      <c r="Y234" s="885"/>
      <c r="Z234" s="83"/>
      <c r="AC234" s="502"/>
      <c r="AD234" s="503"/>
      <c r="AO234" s="22"/>
      <c r="AP234" s="22"/>
      <c r="AQ234" s="22"/>
      <c r="AR234" s="22"/>
      <c r="AS234" s="22"/>
      <c r="AT234" s="22"/>
      <c r="AU234" s="35"/>
      <c r="AV234" s="35"/>
      <c r="AW234" s="35"/>
      <c r="AX234" s="35"/>
      <c r="AY234" s="35"/>
      <c r="AZ234" s="35"/>
      <c r="BA234" s="35"/>
      <c r="BB234" s="35"/>
      <c r="BC234" s="35"/>
      <c r="BD234" s="35"/>
      <c r="BE234" s="35"/>
      <c r="BF234" s="35"/>
      <c r="BG234" s="35"/>
      <c r="BH234" s="35"/>
      <c r="BI234" s="35"/>
      <c r="BJ234" s="35"/>
      <c r="BK234" s="35"/>
      <c r="BL234" s="35"/>
      <c r="BM234" s="35"/>
      <c r="BN234" s="35"/>
      <c r="BO234" s="78"/>
    </row>
    <row r="235" spans="1:67" s="20" customFormat="1" ht="16.5" thickBot="1" x14ac:dyDescent="0.3">
      <c r="A235" s="520">
        <f>IFERROR(VLOOKUP($G$5,'רשימת רשויות'!A:C,3,0),0)</f>
        <v>0</v>
      </c>
      <c r="B235" s="520">
        <f t="shared" si="27"/>
        <v>0</v>
      </c>
      <c r="C235" s="39"/>
      <c r="D235" s="1134"/>
      <c r="E235" s="1137"/>
      <c r="F235" s="583" t="s">
        <v>145</v>
      </c>
      <c r="G235" s="516" t="str">
        <f>IFERROR(IF((G237+G238)=0,"",IF(VLOOKUP(G234,'דוח ביצוע (3)'!$B$21:$K$900,5,0)&gt;149,"גדול",IF(AND(VLOOKUP(G234,'דוח ביצוע (3)'!$B$21:$K$900,5,0)&gt;0,VLOOKUP(G234,'דוח ביצוע (3)'!$B$21:$K$900,5,0)&lt;150),"קטן",0))),"")</f>
        <v/>
      </c>
      <c r="H235" s="723" t="s">
        <v>88</v>
      </c>
      <c r="I235" s="723" t="s">
        <v>13</v>
      </c>
      <c r="J235" s="725" t="s">
        <v>14</v>
      </c>
      <c r="K235" s="724" t="s">
        <v>94</v>
      </c>
      <c r="L235" s="594"/>
      <c r="M235" s="420" t="s">
        <v>2584</v>
      </c>
      <c r="N235" s="397" t="s">
        <v>413</v>
      </c>
      <c r="O235" s="398" t="s">
        <v>52</v>
      </c>
      <c r="P235" s="595"/>
      <c r="Q235" s="595"/>
      <c r="R235" s="596"/>
      <c r="S235" s="610"/>
      <c r="T235" s="881"/>
      <c r="U235" s="598"/>
      <c r="V235" s="599"/>
      <c r="W235" s="599"/>
      <c r="X235" s="599"/>
      <c r="Y235" s="879"/>
      <c r="Z235" s="85"/>
      <c r="AC235" s="493"/>
      <c r="AD235" s="495"/>
      <c r="AO235" s="22"/>
      <c r="AP235" s="22"/>
      <c r="AQ235" s="22"/>
      <c r="AR235" s="22"/>
      <c r="AS235" s="22"/>
      <c r="AT235" s="22"/>
      <c r="AU235" s="35"/>
      <c r="AV235" s="35"/>
      <c r="AW235" s="35"/>
      <c r="AX235" s="35"/>
      <c r="AY235" s="35"/>
      <c r="AZ235" s="35"/>
      <c r="BA235" s="35"/>
      <c r="BB235" s="35"/>
      <c r="BC235" s="35"/>
      <c r="BD235" s="35"/>
      <c r="BE235" s="35"/>
      <c r="BF235" s="35"/>
      <c r="BG235" s="35"/>
      <c r="BH235" s="35"/>
      <c r="BI235" s="35"/>
      <c r="BJ235" s="35"/>
      <c r="BK235" s="35"/>
      <c r="BL235" s="35"/>
      <c r="BM235" s="35"/>
      <c r="BN235" s="35"/>
      <c r="BO235" s="78"/>
    </row>
    <row r="236" spans="1:67" s="20" customFormat="1" ht="15.75" customHeight="1" thickBot="1" x14ac:dyDescent="0.3">
      <c r="A236" s="520">
        <f>IFERROR(VLOOKUP($G$5,'רשימת רשויות'!A:C,3,0),0)</f>
        <v>0</v>
      </c>
      <c r="B236" s="520">
        <f t="shared" si="27"/>
        <v>0</v>
      </c>
      <c r="C236" s="39"/>
      <c r="D236" s="1134"/>
      <c r="E236" s="1137"/>
      <c r="F236" s="584" t="s">
        <v>144</v>
      </c>
      <c r="G236" s="87">
        <f>IF(G239="תקין",IFERROR(VLOOKUP($G234,'דוח ביצוע (3)'!$B$21:$Q$900,12,0),0),0)</f>
        <v>0</v>
      </c>
      <c r="H236" s="88">
        <f>IFERROR(G237*$AH$6+G238*$AH$7,0)</f>
        <v>0</v>
      </c>
      <c r="I236" s="88">
        <f>IFERROR(G237*$AI$6+G238*$AI$7,0)</f>
        <v>0</v>
      </c>
      <c r="J236" s="88">
        <f>IFERROR(G237*$AJ$6+G238*$AJ$7,0)</f>
        <v>0</v>
      </c>
      <c r="K236" s="88">
        <f>IFERROR(G237*$AK$6+G238*$AK$7,0)</f>
        <v>0</v>
      </c>
      <c r="L236" s="405"/>
      <c r="M236" s="399" t="s">
        <v>427</v>
      </c>
      <c r="N236" s="400" t="str">
        <f>IFERROR(VLOOKUP($G234,'דוח ביצוע (3)'!$B:$AE,28,0),"")</f>
        <v/>
      </c>
      <c r="O236" s="89" t="str">
        <f>IFERROR(VLOOKUP($G234,'דוח ביצוע (3)'!B:AE,29,0),"")</f>
        <v/>
      </c>
      <c r="P236" s="595"/>
      <c r="Q236" s="595"/>
      <c r="R236" s="596"/>
      <c r="S236" s="610"/>
      <c r="T236" s="881"/>
      <c r="U236" s="598"/>
      <c r="V236" s="599"/>
      <c r="W236" s="599"/>
      <c r="X236" s="599"/>
      <c r="Y236" s="879"/>
      <c r="Z236" s="85"/>
      <c r="AC236" s="493"/>
      <c r="AD236" s="495"/>
      <c r="AO236" s="22"/>
      <c r="AP236" s="22"/>
      <c r="AQ236" s="22"/>
      <c r="AR236" s="22"/>
      <c r="AS236" s="22"/>
      <c r="AT236" s="22"/>
      <c r="AU236" s="35"/>
      <c r="AV236" s="35"/>
      <c r="AW236" s="35"/>
      <c r="AX236" s="35"/>
      <c r="AY236" s="35"/>
      <c r="AZ236" s="35"/>
      <c r="BA236" s="35"/>
      <c r="BB236" s="35"/>
      <c r="BC236" s="35"/>
      <c r="BD236" s="35"/>
      <c r="BE236" s="35"/>
      <c r="BF236" s="35"/>
      <c r="BG236" s="35"/>
      <c r="BH236" s="35"/>
      <c r="BI236" s="35"/>
      <c r="BJ236" s="35"/>
      <c r="BK236" s="35"/>
      <c r="BL236" s="35"/>
      <c r="BM236" s="35"/>
      <c r="BN236" s="35"/>
      <c r="BO236" s="78"/>
    </row>
    <row r="237" spans="1:67" s="20" customFormat="1" ht="32.25" thickBot="1" x14ac:dyDescent="0.3">
      <c r="A237" s="520">
        <f>IFERROR(VLOOKUP($G$5,'רשימת רשויות'!A:C,3,0),0)</f>
        <v>0</v>
      </c>
      <c r="B237" s="520">
        <f t="shared" si="27"/>
        <v>0</v>
      </c>
      <c r="C237" s="39"/>
      <c r="D237" s="1134"/>
      <c r="E237" s="1137"/>
      <c r="F237" s="585" t="s">
        <v>2195</v>
      </c>
      <c r="G237" s="89">
        <f>IF(G239="תקין",MAX(N239,0),0)</f>
        <v>0</v>
      </c>
      <c r="H237" s="725" t="s">
        <v>151</v>
      </c>
      <c r="I237" s="725" t="s">
        <v>91</v>
      </c>
      <c r="J237" s="970" t="s">
        <v>3396</v>
      </c>
      <c r="K237" s="601"/>
      <c r="L237" s="601"/>
      <c r="M237" s="983" t="s">
        <v>2585</v>
      </c>
      <c r="N237" s="400" t="str">
        <f>IFERROR(G236/15*N236*1.25,"")</f>
        <v/>
      </c>
      <c r="O237" s="89" t="str">
        <f>IFERROR(G236/15*O236*1.25,"")</f>
        <v/>
      </c>
      <c r="P237" s="595"/>
      <c r="Q237" s="595"/>
      <c r="R237" s="596"/>
      <c r="S237" s="610"/>
      <c r="T237" s="881"/>
      <c r="U237" s="598"/>
      <c r="V237" s="599"/>
      <c r="W237" s="599"/>
      <c r="X237" s="599"/>
      <c r="Y237" s="879"/>
      <c r="Z237" s="85"/>
      <c r="AC237" s="493"/>
      <c r="AD237" s="495"/>
      <c r="AG237" s="22"/>
      <c r="AH237" s="55"/>
      <c r="AI237" s="55"/>
      <c r="AJ237" s="55"/>
      <c r="AK237" s="55"/>
      <c r="AO237" s="22"/>
      <c r="AP237" s="22"/>
      <c r="AQ237" s="22"/>
      <c r="AR237" s="22"/>
      <c r="AS237" s="22"/>
      <c r="AT237" s="22"/>
      <c r="AU237" s="35"/>
      <c r="AV237" s="35"/>
      <c r="AW237" s="35"/>
      <c r="AX237" s="35"/>
      <c r="AY237" s="35"/>
      <c r="AZ237" s="35"/>
      <c r="BA237" s="35"/>
      <c r="BB237" s="35"/>
      <c r="BC237" s="35"/>
      <c r="BD237" s="35"/>
      <c r="BE237" s="35"/>
      <c r="BF237" s="35"/>
      <c r="BG237" s="35"/>
      <c r="BH237" s="35"/>
      <c r="BI237" s="35"/>
      <c r="BJ237" s="35"/>
      <c r="BK237" s="35"/>
      <c r="BL237" s="35"/>
      <c r="BM237" s="35"/>
      <c r="BN237" s="35"/>
      <c r="BO237" s="86"/>
    </row>
    <row r="238" spans="1:67" s="20" customFormat="1" ht="16.5" thickBot="1" x14ac:dyDescent="0.3">
      <c r="A238" s="520">
        <f>IFERROR(VLOOKUP($G$5,'רשימת רשויות'!A:C,3,0),0)</f>
        <v>0</v>
      </c>
      <c r="B238" s="520">
        <f t="shared" si="27"/>
        <v>0</v>
      </c>
      <c r="C238" s="39"/>
      <c r="D238" s="1134"/>
      <c r="E238" s="1137"/>
      <c r="F238" s="585" t="s">
        <v>2196</v>
      </c>
      <c r="G238" s="89">
        <f>IF(G239="תקין",MAX(O239,0),0)</f>
        <v>0</v>
      </c>
      <c r="H238" s="88">
        <f>(IFERROR(IF((G237+G238)=0,0,IF(G235="קטן",G236*$AH$10,G236*$AH$11)),0))+(IFERROR(IF((G237+G238)=0,0,VLOOKUP(G234,'דוח ביצוע (3)'!$B:$AH,33,0)),0))</f>
        <v>0</v>
      </c>
      <c r="I238" s="88">
        <f>IFERROR(IF((G237+G238)=0,0,IF(G235="קטן",G236*$AI$10,G236*$AI$11)),0)</f>
        <v>0</v>
      </c>
      <c r="J238" s="88">
        <f>IFERROR(IF((G237+G238)=0,0,VLOOKUP(G234,'דוח ביצוע (3)'!$B:$AH,32,0)),0)</f>
        <v>0</v>
      </c>
      <c r="K238" s="90"/>
      <c r="L238" s="90"/>
      <c r="M238" s="399" t="s">
        <v>412</v>
      </c>
      <c r="N238" s="400">
        <f>IFERROR(VLOOKUP($G234,'דוח ביצוע (3)'!$B$21:$U$500,18,0),0)</f>
        <v>0</v>
      </c>
      <c r="O238" s="401">
        <f>IFERROR(VLOOKUP($G234,'דוח ביצוע (3)'!$B$21:$U$500,19,0),0)</f>
        <v>0</v>
      </c>
      <c r="P238" s="595"/>
      <c r="Q238" s="595"/>
      <c r="R238" s="596"/>
      <c r="S238" s="610"/>
      <c r="T238" s="881"/>
      <c r="U238" s="598"/>
      <c r="V238" s="599"/>
      <c r="W238" s="599"/>
      <c r="X238" s="599"/>
      <c r="Y238" s="879"/>
      <c r="Z238" s="85"/>
      <c r="AC238" s="493"/>
      <c r="AD238" s="495"/>
      <c r="AG238" s="22"/>
      <c r="AH238" s="55"/>
      <c r="AI238" s="55"/>
      <c r="AJ238" s="55"/>
      <c r="AK238" s="55"/>
      <c r="AO238" s="22"/>
      <c r="AP238" s="22"/>
      <c r="AQ238" s="22"/>
      <c r="AR238" s="22"/>
      <c r="AS238" s="22"/>
      <c r="AT238" s="22"/>
      <c r="AU238" s="35"/>
      <c r="AV238" s="35"/>
      <c r="AW238" s="35"/>
      <c r="AX238" s="35"/>
      <c r="AY238" s="35"/>
      <c r="AZ238" s="35"/>
      <c r="BA238" s="35"/>
      <c r="BB238" s="35"/>
      <c r="BC238" s="35"/>
      <c r="BD238" s="35"/>
      <c r="BE238" s="35"/>
      <c r="BF238" s="35"/>
      <c r="BG238" s="35"/>
      <c r="BH238" s="35"/>
      <c r="BI238" s="35"/>
      <c r="BJ238" s="35"/>
      <c r="BK238" s="35"/>
      <c r="BL238" s="35"/>
      <c r="BM238" s="35"/>
      <c r="BN238" s="35"/>
      <c r="BO238" s="86"/>
    </row>
    <row r="239" spans="1:67" s="20" customFormat="1" ht="16.5" thickBot="1" x14ac:dyDescent="0.3">
      <c r="A239" s="520">
        <f>IFERROR(VLOOKUP($G$5,'רשימת רשויות'!A:C,3,0),0)</f>
        <v>0</v>
      </c>
      <c r="B239" s="520">
        <f t="shared" si="27"/>
        <v>0</v>
      </c>
      <c r="C239" s="39"/>
      <c r="D239" s="1134"/>
      <c r="E239" s="1137"/>
      <c r="F239" s="586" t="s">
        <v>2355</v>
      </c>
      <c r="G239" s="514">
        <f>IFERROR(IF(VLOOKUP('בית ספר - תקצוב לפי מוסד (9)'!G234,' איוש משרות (8)'!$C:$K,9,0)="תקין","תקין","לא תקין"),0)</f>
        <v>0</v>
      </c>
      <c r="H239" s="91"/>
      <c r="I239" s="91"/>
      <c r="J239" s="91"/>
      <c r="K239" s="90"/>
      <c r="L239" s="90"/>
      <c r="M239" s="402" t="s">
        <v>2586</v>
      </c>
      <c r="N239" s="403">
        <f>IFERROR(MIN(N237,N238),0)</f>
        <v>0</v>
      </c>
      <c r="O239" s="404">
        <f>IFERROR(MIN(O237,O238),0)</f>
        <v>0</v>
      </c>
      <c r="P239" s="595"/>
      <c r="Q239" s="595"/>
      <c r="R239" s="596"/>
      <c r="S239" s="610"/>
      <c r="T239" s="881"/>
      <c r="U239" s="598"/>
      <c r="V239" s="599"/>
      <c r="W239" s="599"/>
      <c r="X239" s="599"/>
      <c r="Y239" s="879"/>
      <c r="Z239" s="85"/>
      <c r="AC239" s="493"/>
      <c r="AD239" s="495"/>
      <c r="AG239" s="94"/>
      <c r="AH239" s="40"/>
      <c r="AI239" s="40"/>
      <c r="AJ239" s="40"/>
      <c r="AK239" s="40"/>
      <c r="AO239" s="22"/>
      <c r="AP239" s="22"/>
      <c r="AQ239" s="22"/>
      <c r="AR239" s="22"/>
      <c r="AS239" s="22"/>
      <c r="AT239" s="22"/>
      <c r="AU239" s="35"/>
      <c r="AV239" s="35"/>
      <c r="AW239" s="35"/>
      <c r="AX239" s="35"/>
      <c r="AY239" s="35"/>
      <c r="AZ239" s="35"/>
      <c r="BA239" s="35"/>
      <c r="BB239" s="35"/>
      <c r="BC239" s="35"/>
      <c r="BD239" s="35"/>
      <c r="BE239" s="35"/>
      <c r="BF239" s="35"/>
      <c r="BG239" s="35"/>
      <c r="BH239" s="35"/>
      <c r="BI239" s="35"/>
      <c r="BJ239" s="35"/>
      <c r="BK239" s="35"/>
      <c r="BL239" s="35"/>
      <c r="BM239" s="35"/>
      <c r="BN239" s="35"/>
      <c r="BO239" s="86"/>
    </row>
    <row r="240" spans="1:67" s="55" customFormat="1" ht="37.15" customHeight="1" thickBot="1" x14ac:dyDescent="0.3">
      <c r="A240" s="520">
        <f>IFERROR(VLOOKUP($G$5,'רשימת רשויות'!A:C,3,0),0)</f>
        <v>0</v>
      </c>
      <c r="B240" s="520">
        <f t="shared" si="27"/>
        <v>0</v>
      </c>
      <c r="C240" s="39"/>
      <c r="D240" s="1134"/>
      <c r="E240" s="1137"/>
      <c r="F240" s="587" t="s">
        <v>142</v>
      </c>
      <c r="G240" s="92"/>
      <c r="H240" s="92"/>
      <c r="I240" s="92"/>
      <c r="J240" s="92"/>
      <c r="K240" s="602"/>
      <c r="L240" s="602"/>
      <c r="M240" s="602"/>
      <c r="N240" s="602"/>
      <c r="O240" s="602"/>
      <c r="P240" s="595"/>
      <c r="Q240" s="595"/>
      <c r="R240" s="596"/>
      <c r="S240" s="610"/>
      <c r="T240" s="881"/>
      <c r="U240" s="598"/>
      <c r="V240" s="599"/>
      <c r="W240" s="599"/>
      <c r="X240" s="599"/>
      <c r="Y240" s="879"/>
      <c r="Z240" s="93"/>
      <c r="AC240" s="493"/>
      <c r="AD240" s="495"/>
      <c r="AF240" s="22"/>
      <c r="AG240" s="98"/>
      <c r="AH240" s="98"/>
      <c r="AI240" s="40"/>
      <c r="AJ240" s="40"/>
      <c r="AK240" s="40"/>
      <c r="AO240" s="22"/>
      <c r="AP240" s="22"/>
      <c r="AQ240" s="22"/>
      <c r="AR240" s="22"/>
      <c r="AS240" s="22"/>
      <c r="AT240" s="22"/>
      <c r="AU240" s="35"/>
      <c r="AV240" s="35"/>
      <c r="AW240" s="35"/>
      <c r="AX240" s="35"/>
      <c r="AY240" s="35"/>
      <c r="AZ240" s="35"/>
      <c r="BA240" s="35"/>
      <c r="BB240" s="35"/>
      <c r="BC240" s="35"/>
      <c r="BD240" s="35"/>
      <c r="BE240" s="35"/>
      <c r="BF240" s="35"/>
      <c r="BG240" s="35"/>
      <c r="BH240" s="35"/>
      <c r="BI240" s="35"/>
      <c r="BJ240" s="35"/>
      <c r="BK240" s="35"/>
      <c r="BL240" s="35"/>
      <c r="BM240" s="35"/>
      <c r="BN240" s="35"/>
      <c r="BO240" s="86"/>
    </row>
    <row r="241" spans="1:67" s="40" customFormat="1" ht="31.5" x14ac:dyDescent="0.25">
      <c r="A241" s="520">
        <f>IFERROR(VLOOKUP($G$5,'רשימת רשויות'!A:C,3,0),0)</f>
        <v>0</v>
      </c>
      <c r="B241" s="520">
        <f t="shared" si="27"/>
        <v>0</v>
      </c>
      <c r="C241" s="39"/>
      <c r="D241" s="1134"/>
      <c r="E241" s="1137"/>
      <c r="F241" s="588" t="s">
        <v>94</v>
      </c>
      <c r="G241" s="95" t="s">
        <v>18</v>
      </c>
      <c r="H241" s="95" t="s">
        <v>19</v>
      </c>
      <c r="I241" s="95" t="s">
        <v>138</v>
      </c>
      <c r="J241" s="96" t="s">
        <v>139</v>
      </c>
      <c r="K241" s="603"/>
      <c r="L241" s="603"/>
      <c r="M241" s="603"/>
      <c r="N241" s="603"/>
      <c r="O241" s="603"/>
      <c r="P241" s="604"/>
      <c r="Q241" s="604"/>
      <c r="R241" s="596"/>
      <c r="S241" s="610"/>
      <c r="T241" s="881"/>
      <c r="U241" s="598"/>
      <c r="V241" s="599"/>
      <c r="W241" s="599"/>
      <c r="X241" s="599"/>
      <c r="Y241" s="879"/>
      <c r="Z241" s="97"/>
      <c r="AA241" s="94"/>
      <c r="AB241" s="94"/>
      <c r="AC241" s="493"/>
      <c r="AD241" s="495"/>
      <c r="AE241" s="94"/>
      <c r="AG241" s="98"/>
      <c r="AH241" s="98"/>
      <c r="AO241" s="22"/>
      <c r="AP241" s="22"/>
      <c r="AQ241" s="22"/>
      <c r="AR241" s="22"/>
      <c r="AS241" s="22"/>
      <c r="AT241" s="22"/>
      <c r="AU241" s="35"/>
      <c r="AV241" s="35"/>
      <c r="AW241" s="35"/>
      <c r="AX241" s="35"/>
      <c r="AY241" s="35"/>
      <c r="AZ241" s="35"/>
      <c r="BA241" s="35"/>
      <c r="BB241" s="35"/>
      <c r="BC241" s="35"/>
      <c r="BD241" s="35"/>
      <c r="BE241" s="35"/>
      <c r="BF241" s="35"/>
      <c r="BG241" s="35"/>
      <c r="BH241" s="35"/>
      <c r="BI241" s="35"/>
      <c r="BJ241" s="35"/>
      <c r="BK241" s="35"/>
      <c r="BL241" s="35"/>
      <c r="BM241" s="35"/>
      <c r="BN241" s="35"/>
      <c r="BO241" s="86"/>
    </row>
    <row r="242" spans="1:67" s="40" customFormat="1" ht="15.75" customHeight="1" thickBot="1" x14ac:dyDescent="0.3">
      <c r="A242" s="520">
        <f>IFERROR(VLOOKUP($G$5,'רשימת רשויות'!A:C,3,0),0)</f>
        <v>0</v>
      </c>
      <c r="B242" s="520">
        <f t="shared" si="27"/>
        <v>0</v>
      </c>
      <c r="C242" s="39"/>
      <c r="D242" s="1134"/>
      <c r="E242" s="1137"/>
      <c r="F242" s="589" t="s">
        <v>2280</v>
      </c>
      <c r="G242" s="99">
        <f>+G253</f>
        <v>0</v>
      </c>
      <c r="H242" s="100">
        <f>K236</f>
        <v>0</v>
      </c>
      <c r="I242" s="100">
        <f>H242-I244</f>
        <v>0</v>
      </c>
      <c r="J242" s="101">
        <f>IFERROR(I242/H242,0)</f>
        <v>0</v>
      </c>
      <c r="K242" s="603"/>
      <c r="L242" s="603"/>
      <c r="M242" s="603"/>
      <c r="N242" s="603"/>
      <c r="O242" s="603"/>
      <c r="P242" s="605"/>
      <c r="Q242" s="604"/>
      <c r="R242" s="606" t="s">
        <v>157</v>
      </c>
      <c r="S242" s="611"/>
      <c r="T242" s="881"/>
      <c r="U242" s="598"/>
      <c r="V242" s="599"/>
      <c r="W242" s="599"/>
      <c r="X242" s="599"/>
      <c r="Y242" s="879"/>
      <c r="Z242" s="102"/>
      <c r="AA242" s="122"/>
      <c r="AB242" s="122"/>
      <c r="AC242" s="493"/>
      <c r="AD242" s="495"/>
      <c r="AE242" s="122"/>
      <c r="AF242" s="22"/>
      <c r="AG242" s="98"/>
      <c r="AH242" s="98"/>
      <c r="AI242" s="20"/>
      <c r="AO242" s="22"/>
      <c r="AP242" s="22"/>
      <c r="AQ242" s="22"/>
      <c r="AR242" s="22"/>
      <c r="AS242" s="22"/>
      <c r="AT242" s="22"/>
      <c r="AU242" s="35"/>
      <c r="AV242" s="35"/>
      <c r="AW242" s="35"/>
      <c r="AX242" s="35"/>
      <c r="AY242" s="35"/>
      <c r="AZ242" s="35"/>
      <c r="BA242" s="35"/>
      <c r="BB242" s="35"/>
      <c r="BC242" s="35"/>
      <c r="BD242" s="35"/>
      <c r="BE242" s="35"/>
      <c r="BF242" s="35"/>
      <c r="BG242" s="35"/>
      <c r="BH242" s="35"/>
      <c r="BI242" s="35"/>
      <c r="BJ242" s="35"/>
      <c r="BK242" s="35"/>
      <c r="BL242" s="35"/>
      <c r="BM242" s="35"/>
      <c r="BN242" s="35"/>
      <c r="BO242" s="86"/>
    </row>
    <row r="243" spans="1:67" s="40" customFormat="1" ht="15.75" customHeight="1" thickBot="1" x14ac:dyDescent="0.3">
      <c r="A243" s="520">
        <f>IFERROR(VLOOKUP($G$5,'רשימת רשויות'!A:C,3,0),0)</f>
        <v>0</v>
      </c>
      <c r="B243" s="520">
        <f t="shared" si="27"/>
        <v>0</v>
      </c>
      <c r="C243" s="39"/>
      <c r="D243" s="1134"/>
      <c r="E243" s="1137"/>
      <c r="F243" s="589" t="s">
        <v>2281</v>
      </c>
      <c r="G243" s="99">
        <f>+G252</f>
        <v>0</v>
      </c>
      <c r="H243" s="103"/>
      <c r="I243" s="104"/>
      <c r="J243" s="105"/>
      <c r="K243" s="603"/>
      <c r="L243" s="603"/>
      <c r="M243" s="603"/>
      <c r="N243" s="603"/>
      <c r="O243" s="603"/>
      <c r="P243" s="605"/>
      <c r="Q243" s="604"/>
      <c r="R243" s="473">
        <f>I244-R245</f>
        <v>0</v>
      </c>
      <c r="S243" s="611"/>
      <c r="T243" s="881"/>
      <c r="U243" s="598"/>
      <c r="V243" s="599"/>
      <c r="W243" s="599"/>
      <c r="X243" s="599"/>
      <c r="Y243" s="879"/>
      <c r="Z243" s="106"/>
      <c r="AA243" s="22"/>
      <c r="AB243" s="22"/>
      <c r="AC243" s="493"/>
      <c r="AD243" s="495"/>
      <c r="AE243" s="22"/>
      <c r="AF243" s="22"/>
      <c r="AG243" s="98"/>
      <c r="AH243" s="98"/>
      <c r="AI243" s="20"/>
      <c r="AO243" s="22"/>
      <c r="AP243" s="22"/>
      <c r="AQ243" s="22"/>
      <c r="AR243" s="22"/>
      <c r="AS243" s="22"/>
      <c r="AT243" s="22"/>
      <c r="AU243" s="35"/>
      <c r="AV243" s="35"/>
      <c r="AW243" s="35"/>
      <c r="AX243" s="35"/>
      <c r="AY243" s="35"/>
      <c r="AZ243" s="35"/>
      <c r="BA243" s="35"/>
      <c r="BB243" s="35"/>
      <c r="BC243" s="35"/>
      <c r="BD243" s="35"/>
      <c r="BE243" s="35"/>
      <c r="BF243" s="35"/>
      <c r="BG243" s="35"/>
      <c r="BH243" s="35"/>
      <c r="BI243" s="35"/>
      <c r="BJ243" s="35"/>
      <c r="BK243" s="35"/>
      <c r="BL243" s="35"/>
      <c r="BM243" s="35"/>
      <c r="BN243" s="35"/>
      <c r="BO243" s="86"/>
    </row>
    <row r="244" spans="1:67" s="40" customFormat="1" ht="16.5" customHeight="1" thickBot="1" x14ac:dyDescent="0.3">
      <c r="A244" s="520">
        <f>IFERROR(VLOOKUP($G$5,'רשימת רשויות'!A:C,3,0),0)</f>
        <v>0</v>
      </c>
      <c r="B244" s="520">
        <f t="shared" si="27"/>
        <v>0</v>
      </c>
      <c r="C244" s="39"/>
      <c r="D244" s="1134"/>
      <c r="E244" s="1137"/>
      <c r="F244" s="589" t="s">
        <v>2282</v>
      </c>
      <c r="G244" s="99">
        <f>G248+G249+G250</f>
        <v>0</v>
      </c>
      <c r="H244" s="104"/>
      <c r="I244" s="107">
        <f>MAX(H242-G242-G243,0)</f>
        <v>0</v>
      </c>
      <c r="J244" s="108">
        <f>IFERROR(I244/H242,0)</f>
        <v>0</v>
      </c>
      <c r="K244" s="603"/>
      <c r="L244" s="603"/>
      <c r="M244" s="603"/>
      <c r="N244" s="603"/>
      <c r="O244" s="603"/>
      <c r="P244" s="604"/>
      <c r="Q244" s="604"/>
      <c r="R244" s="606" t="s">
        <v>158</v>
      </c>
      <c r="S244" s="612"/>
      <c r="T244" s="881"/>
      <c r="U244" s="598"/>
      <c r="V244" s="599"/>
      <c r="W244" s="599"/>
      <c r="X244" s="599"/>
      <c r="Y244" s="879"/>
      <c r="Z244" s="106"/>
      <c r="AA244" s="22"/>
      <c r="AB244" s="22"/>
      <c r="AC244" s="493"/>
      <c r="AD244" s="495"/>
      <c r="AE244" s="22"/>
      <c r="AF244" s="22"/>
      <c r="AG244" s="22"/>
      <c r="AH244" s="22"/>
      <c r="AI244" s="55"/>
      <c r="AJ244" s="22"/>
      <c r="AK244" s="22"/>
      <c r="AO244" s="22"/>
      <c r="AP244" s="22"/>
      <c r="AQ244" s="22"/>
      <c r="AR244" s="22"/>
      <c r="AS244" s="22"/>
      <c r="AT244" s="22"/>
      <c r="AU244" s="35"/>
      <c r="AV244" s="35"/>
      <c r="AW244" s="35"/>
      <c r="AX244" s="35"/>
      <c r="AY244" s="35"/>
      <c r="AZ244" s="35"/>
      <c r="BA244" s="35"/>
      <c r="BB244" s="35"/>
      <c r="BC244" s="35"/>
      <c r="BD244" s="35"/>
      <c r="BE244" s="35"/>
      <c r="BF244" s="35"/>
      <c r="BG244" s="35"/>
      <c r="BH244" s="35"/>
      <c r="BI244" s="35"/>
      <c r="BJ244" s="35"/>
      <c r="BK244" s="35"/>
      <c r="BL244" s="35"/>
      <c r="BM244" s="35"/>
      <c r="BN244" s="35"/>
      <c r="BO244" s="86"/>
    </row>
    <row r="245" spans="1:67" s="40" customFormat="1" ht="15.75" customHeight="1" thickBot="1" x14ac:dyDescent="0.3">
      <c r="A245" s="520">
        <f>IFERROR(VLOOKUP($G$5,'רשימת רשויות'!A:C,3,0),0)</f>
        <v>0</v>
      </c>
      <c r="B245" s="520">
        <f t="shared" si="27"/>
        <v>0</v>
      </c>
      <c r="C245" s="39"/>
      <c r="D245" s="1134"/>
      <c r="E245" s="1137"/>
      <c r="F245" s="590" t="s">
        <v>2290</v>
      </c>
      <c r="G245" s="109"/>
      <c r="H245" s="110"/>
      <c r="I245" s="111">
        <f>SUM(I242:I244)</f>
        <v>0</v>
      </c>
      <c r="J245" s="112">
        <f>SUM(J242:J244)</f>
        <v>0</v>
      </c>
      <c r="K245" s="603"/>
      <c r="L245" s="603"/>
      <c r="M245" s="603"/>
      <c r="N245" s="603"/>
      <c r="O245" s="603"/>
      <c r="P245" s="604"/>
      <c r="Q245" s="604"/>
      <c r="R245" s="473">
        <f>MIN(MAX(G249+G250-I238-J238,0),I244)</f>
        <v>0</v>
      </c>
      <c r="S245" s="612"/>
      <c r="T245" s="881"/>
      <c r="U245" s="598"/>
      <c r="V245" s="599"/>
      <c r="W245" s="599"/>
      <c r="X245" s="599"/>
      <c r="Y245" s="879"/>
      <c r="Z245" s="106"/>
      <c r="AA245" s="22"/>
      <c r="AB245" s="22"/>
      <c r="AC245" s="493"/>
      <c r="AD245" s="495"/>
      <c r="AE245" s="22"/>
      <c r="AF245" s="22"/>
      <c r="AG245" s="22"/>
      <c r="AH245" s="22"/>
      <c r="AJ245" s="22"/>
      <c r="AK245" s="22"/>
      <c r="AO245" s="22"/>
      <c r="AP245" s="22"/>
      <c r="AQ245" s="22"/>
      <c r="AR245" s="22"/>
      <c r="AS245" s="22"/>
      <c r="AT245" s="22"/>
      <c r="AU245" s="35"/>
      <c r="AV245" s="35"/>
      <c r="AW245" s="35"/>
      <c r="AX245" s="35"/>
      <c r="AY245" s="35"/>
      <c r="AZ245" s="35"/>
      <c r="BA245" s="35"/>
      <c r="BB245" s="35"/>
      <c r="BC245" s="35"/>
      <c r="BD245" s="35"/>
      <c r="BE245" s="35"/>
      <c r="BF245" s="35"/>
      <c r="BG245" s="35"/>
      <c r="BH245" s="35"/>
      <c r="BI245" s="35"/>
      <c r="BJ245" s="35"/>
      <c r="BK245" s="35"/>
      <c r="BL245" s="35"/>
      <c r="BM245" s="35"/>
      <c r="BN245" s="35"/>
      <c r="BO245" s="86"/>
    </row>
    <row r="246" spans="1:67" ht="16.5" thickBot="1" x14ac:dyDescent="0.3">
      <c r="A246" s="520">
        <f>IFERROR(VLOOKUP($G$5,'רשימת רשויות'!A:C,3,0),0)</f>
        <v>0</v>
      </c>
      <c r="B246" s="520">
        <f t="shared" si="27"/>
        <v>0</v>
      </c>
      <c r="D246" s="1134"/>
      <c r="E246" s="1137"/>
      <c r="F246" s="587" t="s">
        <v>17</v>
      </c>
      <c r="G246" s="113"/>
      <c r="H246" s="92"/>
      <c r="I246" s="114"/>
      <c r="J246" s="115"/>
      <c r="K246" s="116"/>
      <c r="L246" s="406"/>
      <c r="M246" s="116"/>
      <c r="N246" s="116"/>
      <c r="O246" s="116"/>
      <c r="P246" s="474"/>
      <c r="Q246" s="607"/>
      <c r="R246" s="608"/>
      <c r="S246" s="612"/>
      <c r="T246" s="881"/>
      <c r="U246" s="598"/>
      <c r="V246" s="599"/>
      <c r="W246" s="599"/>
      <c r="X246" s="599"/>
      <c r="Y246" s="879"/>
      <c r="Z246" s="106"/>
      <c r="AI246" s="40"/>
      <c r="BO246" s="86"/>
    </row>
    <row r="247" spans="1:67" ht="47.25" x14ac:dyDescent="0.25">
      <c r="A247" s="520">
        <f>IFERROR(VLOOKUP($G$5,'רשימת רשויות'!A:C,3,0),0)</f>
        <v>0</v>
      </c>
      <c r="B247" s="520">
        <f t="shared" si="27"/>
        <v>0</v>
      </c>
      <c r="D247" s="1134"/>
      <c r="E247" s="1137"/>
      <c r="F247" s="588" t="s">
        <v>2</v>
      </c>
      <c r="G247" s="95" t="s">
        <v>18</v>
      </c>
      <c r="H247" s="95" t="s">
        <v>19</v>
      </c>
      <c r="I247" s="95" t="s">
        <v>20</v>
      </c>
      <c r="J247" s="95" t="s">
        <v>22</v>
      </c>
      <c r="K247" s="96" t="s">
        <v>2314</v>
      </c>
      <c r="L247" s="609"/>
      <c r="M247" s="609"/>
      <c r="N247" s="609"/>
      <c r="O247" s="580"/>
      <c r="P247" s="618" t="s">
        <v>2298</v>
      </c>
      <c r="Q247" s="618" t="s">
        <v>2299</v>
      </c>
      <c r="R247" s="596"/>
      <c r="S247" s="890" t="s">
        <v>2519</v>
      </c>
      <c r="T247" s="890" t="s">
        <v>97</v>
      </c>
      <c r="U247" s="891" t="s">
        <v>2521</v>
      </c>
      <c r="V247" s="892" t="s">
        <v>2520</v>
      </c>
      <c r="W247" s="893" t="s">
        <v>2524</v>
      </c>
      <c r="X247" s="892" t="s">
        <v>2522</v>
      </c>
      <c r="Y247" s="894" t="s">
        <v>2523</v>
      </c>
      <c r="Z247" s="106"/>
      <c r="AC247" s="498" t="s">
        <v>2568</v>
      </c>
      <c r="AD247" s="499" t="s">
        <v>2569</v>
      </c>
      <c r="AF247" s="122"/>
      <c r="AI247" s="40"/>
      <c r="BO247" s="86"/>
    </row>
    <row r="248" spans="1:67" ht="15" customHeight="1" thickBot="1" x14ac:dyDescent="0.3">
      <c r="A248" s="520">
        <f>IFERROR(VLOOKUP($G$5,'רשימת רשויות'!A:C,3,0),0)</f>
        <v>0</v>
      </c>
      <c r="B248" s="520">
        <f t="shared" si="27"/>
        <v>0</v>
      </c>
      <c r="D248" s="1134"/>
      <c r="E248" s="1137"/>
      <c r="F248" s="589" t="s">
        <v>76</v>
      </c>
      <c r="G248" s="117">
        <f>IF(G239="תקין",SUMIF('עלויות כח אדם (6)'!$B$15:$B$3014,'בית ספר - תקצוב לפי מוסד (9)'!$G234,'עלויות כח אדם (6)'!$M$15:$M$3014)-VLOOKUP('בית ספר - תקצוב לפי מוסד (9)'!G234,' איוש משרות (8)'!$C:$H,5,0)-VLOOKUP('בית ספר - תקצוב לפי מוסד (9)'!G234,' איוש משרות (8)'!$C:$H,6,0),0)-Y248</f>
        <v>0</v>
      </c>
      <c r="H248" s="118">
        <f>I236+R243</f>
        <v>0</v>
      </c>
      <c r="I248" s="119">
        <f>IFERROR(SUM(G248)/H248,0)</f>
        <v>0</v>
      </c>
      <c r="J248" s="100">
        <f>MIN(I236+R243,IF(ISNUMBER(G248),G248,0))</f>
        <v>0</v>
      </c>
      <c r="K248" s="120">
        <f>MAX(H248-G248,0)</f>
        <v>0</v>
      </c>
      <c r="L248" s="407"/>
      <c r="M248" s="393"/>
      <c r="N248" s="393"/>
      <c r="O248" s="580"/>
      <c r="P248" s="968">
        <f>IFERROR(IF(SUM(G248)/(I236)&lt;100%,MIN((I236)-SUM(G248),(I236)*0.25),0),0)</f>
        <v>0</v>
      </c>
      <c r="Q248" s="968">
        <f>IF(SUM(G248)-(I236+R243)&gt;0,SUM(G248)-(I236+R243),0)</f>
        <v>0</v>
      </c>
      <c r="R248" s="596" t="s">
        <v>2351</v>
      </c>
      <c r="S248" s="576" t="s">
        <v>2342</v>
      </c>
      <c r="T248" s="599">
        <f>G234</f>
        <v>0</v>
      </c>
      <c r="U248" s="578"/>
      <c r="V248" s="579">
        <f>G248+G249+G250</f>
        <v>0</v>
      </c>
      <c r="W248" s="579">
        <f>U248-V248</f>
        <v>0</v>
      </c>
      <c r="X248" s="579">
        <f>IFERROR(W262*W248/(SUM(W248:W261)),0)</f>
        <v>0</v>
      </c>
      <c r="Y248" s="879">
        <f>SUMIFS(בקרה!$S:$S,בקרה!$D:$D,T248,בקרה!$K:$K,S248)</f>
        <v>0</v>
      </c>
      <c r="Z248" s="121"/>
      <c r="AA248" s="143"/>
      <c r="AB248" s="143"/>
      <c r="AC248" s="504">
        <v>0</v>
      </c>
      <c r="AD248" s="505">
        <f>IFERROR(U248-AC248,0)</f>
        <v>0</v>
      </c>
      <c r="AE248" s="143"/>
      <c r="AI248" s="20"/>
      <c r="BO248" s="86"/>
    </row>
    <row r="249" spans="1:67" ht="15" customHeight="1" thickBot="1" x14ac:dyDescent="0.3">
      <c r="A249" s="520">
        <f>IFERROR(VLOOKUP($G$5,'רשימת רשויות'!A:C,3,0),0)</f>
        <v>0</v>
      </c>
      <c r="B249" s="520">
        <f t="shared" si="27"/>
        <v>0</v>
      </c>
      <c r="D249" s="1134"/>
      <c r="E249" s="1137"/>
      <c r="F249" s="589" t="s">
        <v>44</v>
      </c>
      <c r="G249" s="123">
        <f>IF(G239="תקין",IFERROR(VLOOKUP('בית ספר - תקצוב לפי מוסד (9)'!G234,' איוש משרות (8)'!C:J,7,0),0),0)</f>
        <v>0</v>
      </c>
      <c r="H249" s="124">
        <f>I238+R245+J238</f>
        <v>0</v>
      </c>
      <c r="I249" s="119">
        <f>IFERROR(SUM(G249:G250)/H249,0)</f>
        <v>0</v>
      </c>
      <c r="J249" s="100">
        <f>MIN(R245+I238,IF(ISNUMBER(SUM(G249:G250)),SUM(G249:G250),0))</f>
        <v>0</v>
      </c>
      <c r="K249" s="1139">
        <f>MAX((H249)-(G249+G250),0)</f>
        <v>0</v>
      </c>
      <c r="L249" s="407"/>
      <c r="M249" s="393"/>
      <c r="N249" s="393"/>
      <c r="O249" s="580"/>
      <c r="P249" s="1140"/>
      <c r="Q249" s="1140"/>
      <c r="R249" s="617">
        <f>MAX(MIN(P257-Q257,H257*0.15-G255),0)</f>
        <v>0</v>
      </c>
      <c r="S249" s="576"/>
      <c r="T249" s="599">
        <f>G234</f>
        <v>0</v>
      </c>
      <c r="U249" s="578"/>
      <c r="V249" s="579"/>
      <c r="W249" s="579">
        <f t="shared" ref="W249:W261" si="32">U249-V249</f>
        <v>0</v>
      </c>
      <c r="X249" s="579"/>
      <c r="Y249" s="879"/>
      <c r="Z249" s="121"/>
      <c r="AA249" s="143"/>
      <c r="AB249" s="143"/>
      <c r="AC249" s="504"/>
      <c r="AD249" s="505">
        <f t="shared" ref="AD249:AD255" si="33">IFERROR(U249-AC249,0)</f>
        <v>0</v>
      </c>
      <c r="AE249" s="143"/>
      <c r="AI249" s="20"/>
      <c r="BO249" s="86"/>
    </row>
    <row r="250" spans="1:67" ht="15.75" customHeight="1" x14ac:dyDescent="0.25">
      <c r="A250" s="520">
        <f>IFERROR(VLOOKUP($G$5,'רשימת רשויות'!A:C,3,0),0)</f>
        <v>0</v>
      </c>
      <c r="B250" s="520">
        <f t="shared" si="27"/>
        <v>0</v>
      </c>
      <c r="D250" s="1134"/>
      <c r="E250" s="1137"/>
      <c r="F250" s="589" t="s">
        <v>45</v>
      </c>
      <c r="G250" s="123">
        <f>IF(G239="תקין",IFERROR(VLOOKUP('בית ספר - תקצוב לפי מוסד (9)'!G234,' איוש משרות (8)'!C:J,8,0),0),0)</f>
        <v>0</v>
      </c>
      <c r="H250" s="125"/>
      <c r="I250" s="126"/>
      <c r="J250" s="104"/>
      <c r="K250" s="1139"/>
      <c r="L250" s="407"/>
      <c r="M250" s="393"/>
      <c r="N250" s="393"/>
      <c r="O250" s="580"/>
      <c r="P250" s="1140"/>
      <c r="Q250" s="1140"/>
      <c r="R250" s="596"/>
      <c r="S250" s="576"/>
      <c r="T250" s="599">
        <f>G234</f>
        <v>0</v>
      </c>
      <c r="U250" s="578"/>
      <c r="V250" s="579"/>
      <c r="W250" s="579">
        <f t="shared" si="32"/>
        <v>0</v>
      </c>
      <c r="X250" s="579"/>
      <c r="Y250" s="879"/>
      <c r="Z250" s="121"/>
      <c r="AA250" s="143"/>
      <c r="AB250" s="143"/>
      <c r="AC250" s="504"/>
      <c r="AD250" s="505">
        <f t="shared" si="33"/>
        <v>0</v>
      </c>
      <c r="AE250" s="143"/>
      <c r="AG250" s="55"/>
      <c r="AH250" s="55"/>
      <c r="AI250" s="55"/>
      <c r="AJ250" s="55"/>
      <c r="AK250" s="55"/>
      <c r="BO250" s="86"/>
    </row>
    <row r="251" spans="1:67" ht="15.75" customHeight="1" x14ac:dyDescent="0.25">
      <c r="A251" s="520">
        <f>IFERROR(VLOOKUP($G$5,'רשימת רשויות'!A:C,3,0),0)</f>
        <v>0</v>
      </c>
      <c r="B251" s="520">
        <f t="shared" si="27"/>
        <v>0</v>
      </c>
      <c r="D251" s="1134"/>
      <c r="E251" s="1137"/>
      <c r="F251" s="589" t="s">
        <v>0</v>
      </c>
      <c r="G251" s="117">
        <f>IF(G239="תקין",SUMIFS('דוח הוצאות בפועל (4)'!$E$17:$E$3016,'דוח הוצאות בפועל (4)'!$B$17:$B$3016,'בית ספר - תקצוב לפי מוסד (9)'!$G234,'דוח הוצאות בפועל (4)'!$M$17:$M$3016,"הע"),0)-Y251</f>
        <v>0</v>
      </c>
      <c r="H251" s="127">
        <f>J236</f>
        <v>0</v>
      </c>
      <c r="I251" s="128">
        <f>IFERROR(G251/H251,0)</f>
        <v>0</v>
      </c>
      <c r="J251" s="129">
        <f>MIN(IF(ISNUMBER(G251),G251,0),H251)</f>
        <v>0</v>
      </c>
      <c r="K251" s="120">
        <f>MAX(H251-G251,0)</f>
        <v>0</v>
      </c>
      <c r="L251" s="407"/>
      <c r="M251" s="393"/>
      <c r="N251" s="393"/>
      <c r="O251" s="580"/>
      <c r="P251" s="968">
        <f>MAX(IF(I251&lt;100%,MIN((H251-G251),H251*0.25),0),0)</f>
        <v>0</v>
      </c>
      <c r="Q251" s="619">
        <f>IF(G251-H251&gt;0,G251-H251,0)</f>
        <v>0</v>
      </c>
      <c r="R251" s="596"/>
      <c r="S251" s="610" t="s">
        <v>0</v>
      </c>
      <c r="T251" s="599">
        <f>G234</f>
        <v>0</v>
      </c>
      <c r="U251" s="578"/>
      <c r="V251" s="579">
        <f>G251</f>
        <v>0</v>
      </c>
      <c r="W251" s="579">
        <f t="shared" si="32"/>
        <v>0</v>
      </c>
      <c r="X251" s="579">
        <f>IFERROR(W262*W251/(SUM(W248:W261)),0)</f>
        <v>0</v>
      </c>
      <c r="Y251" s="879">
        <f>SUMIFS(בקרה!$S:$S,בקרה!$D:$D,T251,בקרה!$K:$K,S251)</f>
        <v>0</v>
      </c>
      <c r="Z251" s="121"/>
      <c r="AA251" s="143"/>
      <c r="AB251" s="143"/>
      <c r="AC251" s="504">
        <v>0</v>
      </c>
      <c r="AD251" s="505">
        <f t="shared" si="33"/>
        <v>0</v>
      </c>
      <c r="AE251" s="143"/>
      <c r="AG251" s="55"/>
      <c r="AH251" s="55"/>
      <c r="AI251" s="40"/>
      <c r="AJ251" s="55"/>
      <c r="AK251" s="55"/>
      <c r="BO251" s="86"/>
    </row>
    <row r="252" spans="1:67" s="55" customFormat="1" ht="15.75" customHeight="1" x14ac:dyDescent="0.25">
      <c r="A252" s="520">
        <f>IFERROR(VLOOKUP($G$5,'רשימת רשויות'!A:C,3,0),0)</f>
        <v>0</v>
      </c>
      <c r="B252" s="520">
        <f t="shared" si="27"/>
        <v>0</v>
      </c>
      <c r="C252" s="39"/>
      <c r="D252" s="1134"/>
      <c r="E252" s="1137"/>
      <c r="F252" s="589" t="s">
        <v>93</v>
      </c>
      <c r="G252" s="130">
        <f>IF(G239="תקין",SUMIFS('דוח הוצאות בפועל (4)'!$E$17:$E$3016,'דוח הוצאות בפועל (4)'!$B$17:$B$3016,'בית ספר - תקצוב לפי מוסד (9)'!$G234,'דוח הוצאות בפועל (4)'!$M$17:$M$3016,"אר"),0)-Y252</f>
        <v>0</v>
      </c>
      <c r="H252" s="118">
        <f>$I242</f>
        <v>0</v>
      </c>
      <c r="I252" s="131">
        <f>IFERROR((G252+G253)/H252,0)</f>
        <v>0</v>
      </c>
      <c r="J252" s="100">
        <f>MIN((IF(ISNUMBER(G252),G252,0)+IF(ISNUMBER(G253),G253,0)),H252)</f>
        <v>0</v>
      </c>
      <c r="K252" s="1139">
        <f>MAX((H252)-(G252+G253),0)</f>
        <v>0</v>
      </c>
      <c r="L252" s="407"/>
      <c r="M252" s="393"/>
      <c r="N252" s="393"/>
      <c r="O252" s="602"/>
      <c r="P252" s="1141"/>
      <c r="Q252" s="1142"/>
      <c r="R252" s="596"/>
      <c r="S252" s="610" t="s">
        <v>93</v>
      </c>
      <c r="T252" s="599">
        <f>G234</f>
        <v>0</v>
      </c>
      <c r="U252" s="578"/>
      <c r="V252" s="579">
        <f t="shared" ref="V252:V253" si="34">G252</f>
        <v>0</v>
      </c>
      <c r="W252" s="579">
        <f t="shared" si="32"/>
        <v>0</v>
      </c>
      <c r="X252" s="579">
        <f>IFERROR(W262*W252/(SUM(W248:W261)),0)</f>
        <v>0</v>
      </c>
      <c r="Y252" s="879">
        <f>SUMIFS(בקרה!$S:$S,בקרה!$D:$D,T252,בקרה!$K:$K,S252)</f>
        <v>0</v>
      </c>
      <c r="Z252" s="121"/>
      <c r="AA252" s="143"/>
      <c r="AB252" s="143"/>
      <c r="AC252" s="504">
        <v>0</v>
      </c>
      <c r="AD252" s="505">
        <f t="shared" si="33"/>
        <v>0</v>
      </c>
      <c r="AE252" s="143"/>
      <c r="AJ252" s="22"/>
      <c r="AO252" s="22"/>
      <c r="AP252" s="22"/>
      <c r="AQ252" s="22"/>
      <c r="AR252" s="22"/>
      <c r="AS252" s="22"/>
      <c r="AT252" s="22"/>
      <c r="AU252" s="35"/>
      <c r="AV252" s="35"/>
      <c r="AW252" s="35"/>
      <c r="AX252" s="35"/>
      <c r="AY252" s="35"/>
      <c r="AZ252" s="35"/>
      <c r="BA252" s="35"/>
      <c r="BB252" s="35"/>
      <c r="BC252" s="35"/>
      <c r="BD252" s="35"/>
      <c r="BE252" s="35"/>
      <c r="BF252" s="35"/>
      <c r="BG252" s="35"/>
      <c r="BH252" s="35"/>
      <c r="BI252" s="35"/>
      <c r="BJ252" s="35"/>
      <c r="BK252" s="35"/>
      <c r="BL252" s="35"/>
      <c r="BM252" s="35"/>
      <c r="BN252" s="35"/>
      <c r="BO252" s="86"/>
    </row>
    <row r="253" spans="1:67" s="55" customFormat="1" ht="15.75" customHeight="1" x14ac:dyDescent="0.25">
      <c r="A253" s="520">
        <f>IFERROR(VLOOKUP($G$5,'רשימת רשויות'!A:C,3,0),0)</f>
        <v>0</v>
      </c>
      <c r="B253" s="520">
        <f t="shared" si="27"/>
        <v>0</v>
      </c>
      <c r="C253" s="39"/>
      <c r="D253" s="1134"/>
      <c r="E253" s="1137"/>
      <c r="F253" s="589" t="s">
        <v>46</v>
      </c>
      <c r="G253" s="130">
        <f>IF(G239="תקין",SUMIFS('דוח הוצאות בפועל (4)'!$E$17:$E$3016,'דוח הוצאות בפועל (4)'!$B$17:$B$3016,'בית ספר - תקצוב לפי מוסד (9)'!$G234,'דוח הוצאות בפועל (4)'!$M$17:$M$3016,"מל"),0)-Y253</f>
        <v>0</v>
      </c>
      <c r="H253" s="132"/>
      <c r="I253" s="133"/>
      <c r="J253" s="104"/>
      <c r="K253" s="1139"/>
      <c r="L253" s="407"/>
      <c r="M253" s="393"/>
      <c r="N253" s="393"/>
      <c r="O253" s="602"/>
      <c r="P253" s="1141"/>
      <c r="Q253" s="1142"/>
      <c r="R253" s="596"/>
      <c r="S253" s="610" t="s">
        <v>46</v>
      </c>
      <c r="T253" s="599">
        <f>G234</f>
        <v>0</v>
      </c>
      <c r="U253" s="578"/>
      <c r="V253" s="579">
        <f t="shared" si="34"/>
        <v>0</v>
      </c>
      <c r="W253" s="579">
        <f t="shared" si="32"/>
        <v>0</v>
      </c>
      <c r="X253" s="579">
        <f>IFERROR(W262*W253/(SUM(W248:W261)),0)</f>
        <v>0</v>
      </c>
      <c r="Y253" s="879">
        <f>SUMIFS(בקרה!$S:$S,בקרה!$D:$D,T253,בקרה!$K:$K,S253)</f>
        <v>0</v>
      </c>
      <c r="Z253" s="121"/>
      <c r="AA253" s="143"/>
      <c r="AB253" s="143"/>
      <c r="AC253" s="504">
        <v>0</v>
      </c>
      <c r="AD253" s="505">
        <f t="shared" si="33"/>
        <v>0</v>
      </c>
      <c r="AE253" s="143"/>
      <c r="AJ253" s="22"/>
      <c r="AO253" s="22"/>
      <c r="AP253" s="22"/>
      <c r="AQ253" s="22"/>
      <c r="AR253" s="22"/>
      <c r="AS253" s="22"/>
      <c r="AT253" s="22"/>
      <c r="AU253" s="35"/>
      <c r="AV253" s="35"/>
      <c r="AW253" s="35"/>
      <c r="AX253" s="35"/>
      <c r="AY253" s="35"/>
      <c r="AZ253" s="35"/>
      <c r="BA253" s="35"/>
      <c r="BB253" s="35"/>
      <c r="BC253" s="35"/>
      <c r="BD253" s="35"/>
      <c r="BE253" s="35"/>
      <c r="BF253" s="35"/>
      <c r="BG253" s="35"/>
      <c r="BH253" s="35"/>
      <c r="BI253" s="35"/>
      <c r="BJ253" s="35"/>
      <c r="BK253" s="35"/>
      <c r="BL253" s="35"/>
      <c r="BM253" s="35"/>
      <c r="BN253" s="35"/>
      <c r="BO253" s="86"/>
    </row>
    <row r="254" spans="1:67" s="55" customFormat="1" ht="15" customHeight="1" x14ac:dyDescent="0.25">
      <c r="A254" s="520">
        <f>IFERROR(VLOOKUP($G$5,'רשימת רשויות'!A:C,3,0),0)</f>
        <v>0</v>
      </c>
      <c r="B254" s="520">
        <f t="shared" si="27"/>
        <v>0</v>
      </c>
      <c r="C254" s="39"/>
      <c r="D254" s="1134"/>
      <c r="E254" s="1137"/>
      <c r="F254" s="591" t="s">
        <v>23</v>
      </c>
      <c r="G254" s="134">
        <f>SUM(G248:G253)</f>
        <v>0</v>
      </c>
      <c r="H254" s="135">
        <f>SUM(H248:H253)</f>
        <v>0</v>
      </c>
      <c r="I254" s="128">
        <f>IFERROR(G254/H254,0)</f>
        <v>0</v>
      </c>
      <c r="J254" s="136">
        <f>SUM(J248:J253)</f>
        <v>0</v>
      </c>
      <c r="K254" s="137">
        <f>SUM(K248:K253)</f>
        <v>0</v>
      </c>
      <c r="L254" s="408"/>
      <c r="M254" s="394"/>
      <c r="N254" s="394"/>
      <c r="O254" s="602"/>
      <c r="P254" s="620">
        <f>SUM(P248:P253)</f>
        <v>0</v>
      </c>
      <c r="Q254" s="620">
        <f>SUM(Q248:Q253)</f>
        <v>0</v>
      </c>
      <c r="R254" s="596"/>
      <c r="S254" s="610"/>
      <c r="T254" s="599">
        <f>G234</f>
        <v>0</v>
      </c>
      <c r="U254" s="578"/>
      <c r="V254" s="579"/>
      <c r="W254" s="579">
        <f t="shared" si="32"/>
        <v>0</v>
      </c>
      <c r="X254" s="579"/>
      <c r="Y254" s="879"/>
      <c r="Z254" s="121"/>
      <c r="AA254" s="143"/>
      <c r="AB254" s="143"/>
      <c r="AC254" s="504"/>
      <c r="AD254" s="505">
        <f t="shared" si="33"/>
        <v>0</v>
      </c>
      <c r="AE254" s="143"/>
      <c r="AJ254" s="22"/>
      <c r="AL254" s="22"/>
      <c r="AM254" s="22"/>
      <c r="AN254" s="22"/>
      <c r="AO254" s="22"/>
      <c r="AP254" s="22"/>
      <c r="AQ254" s="22"/>
      <c r="AR254" s="22"/>
      <c r="AS254" s="22"/>
      <c r="AT254" s="22"/>
      <c r="AU254" s="35"/>
      <c r="AV254" s="35"/>
      <c r="AW254" s="35"/>
      <c r="AX254" s="35"/>
      <c r="AY254" s="35"/>
      <c r="AZ254" s="35"/>
      <c r="BA254" s="35"/>
      <c r="BB254" s="35"/>
      <c r="BC254" s="35"/>
      <c r="BD254" s="35"/>
      <c r="BE254" s="35"/>
      <c r="BF254" s="35"/>
      <c r="BG254" s="35"/>
      <c r="BH254" s="35"/>
      <c r="BI254" s="35"/>
      <c r="BJ254" s="35"/>
      <c r="BK254" s="35"/>
      <c r="BL254" s="35"/>
      <c r="BM254" s="35"/>
      <c r="BN254" s="35"/>
      <c r="BO254" s="86"/>
    </row>
    <row r="255" spans="1:67" s="55" customFormat="1" ht="15" customHeight="1" x14ac:dyDescent="0.25">
      <c r="A255" s="520">
        <f>IFERROR(VLOOKUP($G$5,'רשימת רשויות'!A:C,3,0),0)</f>
        <v>0</v>
      </c>
      <c r="B255" s="520">
        <f t="shared" si="27"/>
        <v>0</v>
      </c>
      <c r="C255" s="39"/>
      <c r="D255" s="1134"/>
      <c r="E255" s="1137"/>
      <c r="F255" s="589" t="s">
        <v>3</v>
      </c>
      <c r="G255" s="117">
        <f>IF(G239="תקין",SUMIFS('דוח הוצאות בפועל (4)'!$E$17:$E$3016,'דוח הוצאות בפועל (4)'!$B$17:$B$3016,'בית ספר - תקצוב לפי מוסד (9)'!$G234,'דוח הוצאות בפועל (4)'!$M$17:$M$3016,"ני")+SUMIFS('דוח הוצאות בפועל (4)'!$E$17:$E$3016,'דוח הוצאות בפועל (4)'!$B$17:$B$3016,'בית ספר - תקצוב לפי מוסד (9)'!$G234,'דוח הוצאות בפועל (4)'!$M$17:$M$3016,"על"),0)-Y255</f>
        <v>0</v>
      </c>
      <c r="H255" s="117">
        <f>H236</f>
        <v>0</v>
      </c>
      <c r="I255" s="138">
        <f>IFERROR(G255/H255,0)</f>
        <v>0</v>
      </c>
      <c r="J255" s="117">
        <f>IFERROR(IF(G255/H257&gt;0.15,MIN(H257*0.15,H255),MIN(H255,IF(ISNUMBER(G255),G255,0))),0)</f>
        <v>0</v>
      </c>
      <c r="K255" s="120">
        <f>MAX(H255-G255,0)</f>
        <v>0</v>
      </c>
      <c r="L255" s="407"/>
      <c r="M255" s="393"/>
      <c r="N255" s="393"/>
      <c r="O255" s="602"/>
      <c r="P255" s="620">
        <f>IF(I255&lt;100%,MIN(H255-G255,H255*0.25),0)</f>
        <v>0</v>
      </c>
      <c r="Q255" s="620">
        <f>MAX(MIN(IF(G255-H255&gt;0,G255-H255,0),$H257*0.15-H255-J256),0)</f>
        <v>0</v>
      </c>
      <c r="R255" s="596"/>
      <c r="S255" s="610" t="s">
        <v>3</v>
      </c>
      <c r="T255" s="599">
        <f>G234</f>
        <v>0</v>
      </c>
      <c r="U255" s="578"/>
      <c r="V255" s="579">
        <f t="shared" ref="V255" si="35">G255</f>
        <v>0</v>
      </c>
      <c r="W255" s="579">
        <f t="shared" si="32"/>
        <v>0</v>
      </c>
      <c r="X255" s="579"/>
      <c r="Y255" s="879"/>
      <c r="Z255" s="121"/>
      <c r="AA255" s="143"/>
      <c r="AB255" s="143"/>
      <c r="AC255" s="504">
        <v>0</v>
      </c>
      <c r="AD255" s="505">
        <f t="shared" si="33"/>
        <v>0</v>
      </c>
      <c r="AE255" s="143"/>
      <c r="AG255" s="22"/>
      <c r="AH255" s="22"/>
      <c r="AI255" s="22"/>
      <c r="AJ255" s="22"/>
      <c r="AK255" s="22"/>
      <c r="AL255" s="22"/>
      <c r="AM255" s="22"/>
      <c r="AN255" s="22"/>
      <c r="AO255" s="22"/>
      <c r="AP255" s="22"/>
      <c r="AQ255" s="22"/>
      <c r="AR255" s="22"/>
      <c r="AS255" s="22"/>
      <c r="AT255" s="22"/>
      <c r="AU255" s="35"/>
      <c r="AV255" s="35"/>
      <c r="AW255" s="35"/>
      <c r="AX255" s="35"/>
      <c r="AY255" s="35"/>
      <c r="AZ255" s="35"/>
      <c r="BA255" s="35"/>
      <c r="BB255" s="35"/>
      <c r="BC255" s="35"/>
      <c r="BD255" s="35"/>
      <c r="BE255" s="35"/>
      <c r="BF255" s="35"/>
      <c r="BG255" s="35"/>
      <c r="BH255" s="35"/>
      <c r="BI255" s="35"/>
      <c r="BJ255" s="35"/>
      <c r="BK255" s="35"/>
      <c r="BL255" s="35"/>
      <c r="BM255" s="35"/>
      <c r="BN255" s="35"/>
      <c r="BO255" s="86"/>
    </row>
    <row r="256" spans="1:67" s="55" customFormat="1" ht="15.75" customHeight="1" x14ac:dyDescent="0.25">
      <c r="A256" s="520">
        <f>IFERROR(VLOOKUP($G$5,'רשימת רשויות'!A:C,3,0),0)</f>
        <v>0</v>
      </c>
      <c r="B256" s="520">
        <f t="shared" si="27"/>
        <v>0</v>
      </c>
      <c r="C256" s="39"/>
      <c r="D256" s="1134"/>
      <c r="E256" s="1137"/>
      <c r="F256" s="589" t="s">
        <v>2918</v>
      </c>
      <c r="G256" s="117">
        <f>0.07*(G250+G249)</f>
        <v>0</v>
      </c>
      <c r="H256" s="117">
        <f>H238</f>
        <v>0</v>
      </c>
      <c r="I256" s="138">
        <f>IFERROR(G256/H256,0)</f>
        <v>0</v>
      </c>
      <c r="J256" s="117">
        <f>IFERROR(MIN(0.07*(G249+G250),0.07*I238),0)</f>
        <v>0</v>
      </c>
      <c r="K256" s="120">
        <f>MAX(H256-G256,0)</f>
        <v>0</v>
      </c>
      <c r="L256" s="407"/>
      <c r="M256" s="393"/>
      <c r="N256" s="393"/>
      <c r="O256" s="602"/>
      <c r="P256" s="620"/>
      <c r="Q256" s="619"/>
      <c r="R256" s="596"/>
      <c r="S256" s="611"/>
      <c r="T256" s="599">
        <f>G234</f>
        <v>0</v>
      </c>
      <c r="U256" s="578"/>
      <c r="V256" s="579"/>
      <c r="W256" s="579">
        <f t="shared" si="32"/>
        <v>0</v>
      </c>
      <c r="X256" s="579"/>
      <c r="Y256" s="879"/>
      <c r="Z256" s="121"/>
      <c r="AA256" s="143"/>
      <c r="AB256" s="143"/>
      <c r="AC256" s="504"/>
      <c r="AD256" s="505"/>
      <c r="AE256" s="143"/>
      <c r="AF256" s="140"/>
      <c r="AG256" s="22"/>
      <c r="AH256" s="22"/>
      <c r="AI256" s="22"/>
      <c r="AJ256" s="22"/>
      <c r="AK256" s="22"/>
      <c r="AL256" s="22"/>
      <c r="AM256" s="22"/>
      <c r="AN256" s="22"/>
      <c r="AO256" s="22"/>
      <c r="AP256" s="22"/>
      <c r="AQ256" s="22"/>
      <c r="AR256" s="22"/>
      <c r="AS256" s="22"/>
      <c r="AT256" s="22"/>
      <c r="AU256" s="35"/>
      <c r="AV256" s="35"/>
      <c r="AW256" s="35"/>
      <c r="AX256" s="35"/>
      <c r="AY256" s="35"/>
      <c r="AZ256" s="35"/>
      <c r="BA256" s="35"/>
      <c r="BB256" s="35"/>
      <c r="BC256" s="35"/>
      <c r="BD256" s="35"/>
      <c r="BE256" s="35"/>
      <c r="BF256" s="35"/>
      <c r="BG256" s="35"/>
      <c r="BH256" s="35"/>
      <c r="BI256" s="35"/>
      <c r="BJ256" s="35"/>
      <c r="BK256" s="35"/>
      <c r="BL256" s="35"/>
      <c r="BM256" s="35"/>
      <c r="BN256" s="35"/>
      <c r="BO256" s="86"/>
    </row>
    <row r="257" spans="1:67" ht="15.75" customHeight="1" x14ac:dyDescent="0.25">
      <c r="A257" s="520">
        <f>IFERROR(VLOOKUP($G$5,'רשימת רשויות'!A:C,3,0),0)</f>
        <v>0</v>
      </c>
      <c r="B257" s="520">
        <f t="shared" si="27"/>
        <v>0</v>
      </c>
      <c r="D257" s="1134"/>
      <c r="E257" s="1137"/>
      <c r="F257" s="591" t="s">
        <v>15</v>
      </c>
      <c r="G257" s="134">
        <f>G254+G255+G256</f>
        <v>0</v>
      </c>
      <c r="H257" s="134">
        <f>H254+H255+H256</f>
        <v>0</v>
      </c>
      <c r="I257" s="138">
        <f>IFERROR(G257/H257,0)</f>
        <v>0</v>
      </c>
      <c r="J257" s="139">
        <f>J254+J255+J256</f>
        <v>0</v>
      </c>
      <c r="K257" s="137">
        <f>K255+K254+K256</f>
        <v>0</v>
      </c>
      <c r="L257" s="408"/>
      <c r="M257" s="394"/>
      <c r="N257" s="394"/>
      <c r="O257" s="602"/>
      <c r="P257" s="621">
        <f>SUM(P254:P255)</f>
        <v>0</v>
      </c>
      <c r="Q257" s="622">
        <f>Q254+Q255</f>
        <v>0</v>
      </c>
      <c r="R257" s="596"/>
      <c r="S257" s="611"/>
      <c r="T257" s="599">
        <f>G234</f>
        <v>0</v>
      </c>
      <c r="U257" s="578"/>
      <c r="V257" s="579"/>
      <c r="W257" s="579">
        <f t="shared" si="32"/>
        <v>0</v>
      </c>
      <c r="X257" s="579"/>
      <c r="Y257" s="879"/>
      <c r="Z257" s="106"/>
      <c r="AC257" s="504"/>
      <c r="AD257" s="505"/>
      <c r="AH257" s="143"/>
      <c r="BO257" s="86"/>
    </row>
    <row r="258" spans="1:67" ht="15.75" customHeight="1" x14ac:dyDescent="0.25">
      <c r="A258" s="520">
        <f>IFERROR(VLOOKUP($G$5,'רשימת רשויות'!A:C,3,0),0)</f>
        <v>0</v>
      </c>
      <c r="B258" s="520">
        <f t="shared" si="27"/>
        <v>0</v>
      </c>
      <c r="D258" s="1134"/>
      <c r="E258" s="1137"/>
      <c r="F258" s="589" t="s">
        <v>2261</v>
      </c>
      <c r="G258" s="117">
        <f>IF(G239="תקין",SUMIF('תשלומי הורים ומלגות להורים (5) '!$B$18:$B$517,$G234,'תשלומי הורים ומלגות להורים (5) '!$C$18:$C$517),0)</f>
        <v>0</v>
      </c>
      <c r="H258" s="117">
        <f>(G237+G238)*$G$7</f>
        <v>0</v>
      </c>
      <c r="I258" s="141"/>
      <c r="J258" s="141"/>
      <c r="K258" s="142"/>
      <c r="L258" s="395"/>
      <c r="M258" s="395"/>
      <c r="N258" s="395"/>
      <c r="O258" s="602"/>
      <c r="P258" s="623"/>
      <c r="Q258" s="619"/>
      <c r="R258" s="596"/>
      <c r="S258" s="612"/>
      <c r="T258" s="599">
        <f>G234</f>
        <v>0</v>
      </c>
      <c r="U258" s="578"/>
      <c r="V258" s="579"/>
      <c r="W258" s="579">
        <f t="shared" si="32"/>
        <v>0</v>
      </c>
      <c r="X258" s="579"/>
      <c r="Y258" s="879"/>
      <c r="Z258" s="121"/>
      <c r="AA258" s="143"/>
      <c r="AB258" s="143"/>
      <c r="AC258" s="504"/>
      <c r="AD258" s="505"/>
      <c r="AE258" s="143"/>
      <c r="AF258" s="148"/>
      <c r="BO258" s="86"/>
    </row>
    <row r="259" spans="1:67" ht="15.75" customHeight="1" thickBot="1" x14ac:dyDescent="0.3">
      <c r="A259" s="520">
        <f>IFERROR(VLOOKUP($G$5,'רשימת רשויות'!A:C,3,0),0)</f>
        <v>0</v>
      </c>
      <c r="B259" s="520">
        <f t="shared" si="27"/>
        <v>0</v>
      </c>
      <c r="D259" s="1134"/>
      <c r="E259" s="1137"/>
      <c r="F259" s="592" t="s">
        <v>21</v>
      </c>
      <c r="G259" s="144">
        <f>G257-G258</f>
        <v>0</v>
      </c>
      <c r="H259" s="144">
        <f>H257-H258</f>
        <v>0</v>
      </c>
      <c r="I259" s="145"/>
      <c r="J259" s="145"/>
      <c r="K259" s="146"/>
      <c r="L259" s="396"/>
      <c r="M259" s="396"/>
      <c r="N259" s="396"/>
      <c r="O259" s="602"/>
      <c r="P259" s="619"/>
      <c r="Q259" s="619"/>
      <c r="R259" s="596"/>
      <c r="S259" s="612"/>
      <c r="T259" s="599">
        <f>G234</f>
        <v>0</v>
      </c>
      <c r="U259" s="578"/>
      <c r="V259" s="579"/>
      <c r="W259" s="579">
        <f t="shared" si="32"/>
        <v>0</v>
      </c>
      <c r="X259" s="579"/>
      <c r="Y259" s="879"/>
      <c r="Z259" s="147"/>
      <c r="AA259" s="148"/>
      <c r="AB259" s="148"/>
      <c r="AC259" s="504"/>
      <c r="AD259" s="505"/>
      <c r="AE259" s="148"/>
      <c r="AF259" s="148"/>
      <c r="BO259" s="86"/>
    </row>
    <row r="260" spans="1:67" ht="15.75" customHeight="1" thickBot="1" x14ac:dyDescent="0.3">
      <c r="A260" s="520">
        <f>IFERROR(VLOOKUP($G$5,'רשימת רשויות'!A:C,3,0),0)</f>
        <v>0</v>
      </c>
      <c r="B260" s="520">
        <f t="shared" si="27"/>
        <v>0</v>
      </c>
      <c r="D260" s="1134"/>
      <c r="E260" s="1137"/>
      <c r="F260" s="580"/>
      <c r="G260" s="580"/>
      <c r="H260" s="147"/>
      <c r="I260" s="149" t="s">
        <v>2197</v>
      </c>
      <c r="J260" s="150">
        <f>MAX(MIN(P257,Q257),0)</f>
        <v>0</v>
      </c>
      <c r="K260" s="580"/>
      <c r="L260" s="580"/>
      <c r="M260" s="580"/>
      <c r="N260" s="580"/>
      <c r="O260" s="580"/>
      <c r="P260" s="615" t="s">
        <v>2317</v>
      </c>
      <c r="Q260" s="624">
        <f>SUM(Q261:Q262)</f>
        <v>0</v>
      </c>
      <c r="R260" s="596"/>
      <c r="S260" s="612"/>
      <c r="T260" s="599">
        <f>G234</f>
        <v>0</v>
      </c>
      <c r="U260" s="578"/>
      <c r="V260" s="579"/>
      <c r="W260" s="579">
        <f t="shared" si="32"/>
        <v>0</v>
      </c>
      <c r="X260" s="579"/>
      <c r="Y260" s="879"/>
      <c r="Z260" s="106"/>
      <c r="AC260" s="504"/>
      <c r="AD260" s="505"/>
      <c r="AF260" s="148"/>
      <c r="BO260" s="86"/>
    </row>
    <row r="261" spans="1:67" ht="16.5" thickBot="1" x14ac:dyDescent="0.3">
      <c r="A261" s="520">
        <f>IFERROR(VLOOKUP($G$5,'רשימת רשויות'!A:C,3,0),0)</f>
        <v>0</v>
      </c>
      <c r="B261" s="520">
        <f t="shared" si="27"/>
        <v>0</v>
      </c>
      <c r="D261" s="1134"/>
      <c r="E261" s="1137"/>
      <c r="F261" s="580"/>
      <c r="G261" s="580"/>
      <c r="H261" s="580"/>
      <c r="I261" s="84" t="s">
        <v>2193</v>
      </c>
      <c r="J261" s="515" t="str">
        <f>IFERROR(1-H258/H257,"")</f>
        <v/>
      </c>
      <c r="K261" s="580"/>
      <c r="L261" s="580"/>
      <c r="M261" s="580"/>
      <c r="N261" s="580"/>
      <c r="O261" s="580"/>
      <c r="P261" s="615" t="s">
        <v>417</v>
      </c>
      <c r="Q261" s="616">
        <f>IFERROR(MAX(H259-I262-Q262,0),0)</f>
        <v>0</v>
      </c>
      <c r="R261" s="596"/>
      <c r="S261" s="600"/>
      <c r="T261" s="599">
        <f>G234</f>
        <v>0</v>
      </c>
      <c r="U261" s="578"/>
      <c r="V261" s="579"/>
      <c r="W261" s="579">
        <f t="shared" si="32"/>
        <v>0</v>
      </c>
      <c r="X261" s="579"/>
      <c r="Y261" s="879"/>
      <c r="Z261" s="106"/>
      <c r="AC261" s="504"/>
      <c r="AD261" s="505"/>
      <c r="BO261" s="86"/>
    </row>
    <row r="262" spans="1:67" ht="17.25" thickBot="1" x14ac:dyDescent="0.3">
      <c r="A262" s="520">
        <f>IFERROR(VLOOKUP($G$5,'רשימת רשויות'!A:C,3,0),0)</f>
        <v>0</v>
      </c>
      <c r="B262" s="520">
        <f t="shared" si="27"/>
        <v>0</v>
      </c>
      <c r="D262" s="1134"/>
      <c r="E262" s="1137"/>
      <c r="F262" s="1143" t="s">
        <v>2679</v>
      </c>
      <c r="G262" s="1143"/>
      <c r="H262" s="1143"/>
      <c r="I262" s="722">
        <f>IF(G239="לא תקין","לא קיימת זכאות לתקציב לאור אי איוש משרות רכז ו/או סגן רכז ",IFERROR(J261*(J260+J257),0))</f>
        <v>0</v>
      </c>
      <c r="J262" s="573"/>
      <c r="K262" s="574"/>
      <c r="L262" s="396"/>
      <c r="M262" s="574"/>
      <c r="N262" s="574"/>
      <c r="O262" s="574"/>
      <c r="P262" s="615" t="s">
        <v>2279</v>
      </c>
      <c r="Q262" s="616">
        <f>MAX(IF(AND(G257&gt;H257,I262&lt;H259),H259-I262,0),0)</f>
        <v>0</v>
      </c>
      <c r="R262" s="575"/>
      <c r="S262" s="576" t="s">
        <v>67</v>
      </c>
      <c r="T262" s="577">
        <f>G234</f>
        <v>0</v>
      </c>
      <c r="U262" s="578"/>
      <c r="V262" s="579">
        <f>I262</f>
        <v>0</v>
      </c>
      <c r="W262" s="579">
        <f>IFERROR(U262-V262,0)</f>
        <v>0</v>
      </c>
      <c r="X262" s="579">
        <f>SUM(X248:X261)</f>
        <v>0</v>
      </c>
      <c r="Y262" s="879"/>
      <c r="Z262" s="106"/>
      <c r="AC262" s="506">
        <v>0</v>
      </c>
      <c r="AD262" s="507">
        <f>IFERROR(U262-AC262,0)</f>
        <v>0</v>
      </c>
      <c r="BO262" s="86"/>
    </row>
    <row r="263" spans="1:67" ht="16.5" thickBot="1" x14ac:dyDescent="0.3">
      <c r="A263" s="520">
        <f>IFERROR(VLOOKUP($G$5,'רשימת רשויות'!A:C,3,0),0)</f>
        <v>0</v>
      </c>
      <c r="B263" s="520">
        <f t="shared" si="27"/>
        <v>0</v>
      </c>
      <c r="D263" s="1135"/>
      <c r="E263" s="1138"/>
      <c r="F263" s="1144" t="s">
        <v>2793</v>
      </c>
      <c r="G263" s="1145"/>
      <c r="H263" s="1145"/>
      <c r="I263" s="593">
        <f>IFERROR(IF(G239="תקין",SUMIFS('סייעות רפואיות או אישיות (7)'!$Q$17:Q$384,'סייעות רפואיות או אישיות (7)'!C$17:C$384,G234),0),0)</f>
        <v>0</v>
      </c>
      <c r="J263" s="151"/>
      <c r="K263" s="152"/>
      <c r="L263" s="409"/>
      <c r="M263" s="152"/>
      <c r="N263" s="152"/>
      <c r="O263" s="152"/>
      <c r="P263" s="613"/>
      <c r="Q263" s="614"/>
      <c r="R263" s="475"/>
      <c r="S263" s="489"/>
      <c r="T263" s="490"/>
      <c r="U263" s="491"/>
      <c r="V263" s="492"/>
      <c r="W263" s="492"/>
      <c r="X263" s="492"/>
      <c r="Y263" s="880"/>
      <c r="Z263" s="153"/>
      <c r="AC263" s="581"/>
      <c r="AD263" s="582"/>
      <c r="BO263" s="86"/>
    </row>
    <row r="264" spans="1:67" ht="34.5" thickBot="1" x14ac:dyDescent="0.55000000000000004">
      <c r="A264" s="520">
        <f>IFERROR(VLOOKUP($G$5,'רשימת רשויות'!A:C,3,0),0)</f>
        <v>0</v>
      </c>
      <c r="B264" s="520">
        <f t="shared" si="27"/>
        <v>0</v>
      </c>
      <c r="E264" s="154"/>
      <c r="I264" s="143"/>
      <c r="J264" s="148"/>
      <c r="O264" s="148"/>
      <c r="T264" s="481"/>
      <c r="BO264" s="86"/>
    </row>
    <row r="265" spans="1:67" s="20" customFormat="1" ht="16.5" customHeight="1" thickBot="1" x14ac:dyDescent="0.3">
      <c r="A265" s="520">
        <f>IFERROR(VLOOKUP($G$5,'רשימת רשויות'!A:C,3,0),0)</f>
        <v>0</v>
      </c>
      <c r="B265" s="520">
        <f t="shared" si="27"/>
        <v>0</v>
      </c>
      <c r="C265" s="39"/>
      <c r="D265" s="1133">
        <f>D234+1</f>
        <v>9</v>
      </c>
      <c r="E265" s="1136" t="str">
        <f>IFERROR(CONCATENATE("בית הספר ",VLOOKUP(G265,'מצבת והרשמה (2)'!$C$21:$D$520,2,0)," - ",$G$5),"")</f>
        <v>בית הספר המוסד לא קיים - 0</v>
      </c>
      <c r="F265" s="720" t="s">
        <v>146</v>
      </c>
      <c r="G265" s="721">
        <f>IFERROR(VLOOKUP(D:D,'דוח ביצוע (3)'!$A$21:$C$900,2,0),0)</f>
        <v>0</v>
      </c>
      <c r="H265" s="79"/>
      <c r="I265" s="80" t="s">
        <v>150</v>
      </c>
      <c r="J265" s="80"/>
      <c r="K265" s="81"/>
      <c r="L265" s="392"/>
      <c r="M265" s="392"/>
      <c r="N265" s="392"/>
      <c r="O265" s="82"/>
      <c r="P265" s="470"/>
      <c r="Q265" s="471"/>
      <c r="R265" s="472"/>
      <c r="S265" s="883"/>
      <c r="T265" s="884"/>
      <c r="U265" s="486"/>
      <c r="V265" s="487"/>
      <c r="W265" s="487"/>
      <c r="X265" s="487"/>
      <c r="Y265" s="885"/>
      <c r="Z265" s="83"/>
      <c r="AC265" s="502"/>
      <c r="AD265" s="503"/>
      <c r="AO265" s="22"/>
      <c r="AP265" s="22"/>
      <c r="AQ265" s="22"/>
      <c r="AR265" s="22"/>
      <c r="AS265" s="22"/>
      <c r="AT265" s="22"/>
      <c r="AU265" s="35"/>
      <c r="AV265" s="35"/>
      <c r="AW265" s="35"/>
      <c r="AX265" s="35"/>
      <c r="AY265" s="35"/>
      <c r="AZ265" s="35"/>
      <c r="BA265" s="35"/>
      <c r="BB265" s="35"/>
      <c r="BC265" s="35"/>
      <c r="BD265" s="35"/>
      <c r="BE265" s="35"/>
      <c r="BF265" s="35"/>
      <c r="BG265" s="35"/>
      <c r="BH265" s="35"/>
      <c r="BI265" s="35"/>
      <c r="BJ265" s="35"/>
      <c r="BK265" s="35"/>
      <c r="BL265" s="35"/>
      <c r="BM265" s="35"/>
      <c r="BN265" s="35"/>
      <c r="BO265" s="78"/>
    </row>
    <row r="266" spans="1:67" s="20" customFormat="1" ht="16.5" thickBot="1" x14ac:dyDescent="0.3">
      <c r="A266" s="520">
        <f>IFERROR(VLOOKUP($G$5,'רשימת רשויות'!A:C,3,0),0)</f>
        <v>0</v>
      </c>
      <c r="B266" s="520">
        <f t="shared" si="27"/>
        <v>0</v>
      </c>
      <c r="C266" s="39"/>
      <c r="D266" s="1134"/>
      <c r="E266" s="1137"/>
      <c r="F266" s="583" t="s">
        <v>145</v>
      </c>
      <c r="G266" s="516" t="str">
        <f>IFERROR(IF((G268+G269)=0,"",IF(VLOOKUP(G265,'דוח ביצוע (3)'!$B$21:$K$900,5,0)&gt;149,"גדול",IF(AND(VLOOKUP(G265,'דוח ביצוע (3)'!$B$21:$K$900,5,0)&gt;0,VLOOKUP(G265,'דוח ביצוע (3)'!$B$21:$K$900,5,0)&lt;150),"קטן",0))),"")</f>
        <v/>
      </c>
      <c r="H266" s="723" t="s">
        <v>88</v>
      </c>
      <c r="I266" s="723" t="s">
        <v>13</v>
      </c>
      <c r="J266" s="725" t="s">
        <v>14</v>
      </c>
      <c r="K266" s="724" t="s">
        <v>94</v>
      </c>
      <c r="L266" s="594"/>
      <c r="M266" s="420" t="s">
        <v>2584</v>
      </c>
      <c r="N266" s="397" t="s">
        <v>413</v>
      </c>
      <c r="O266" s="398" t="s">
        <v>52</v>
      </c>
      <c r="P266" s="595"/>
      <c r="Q266" s="595"/>
      <c r="R266" s="596"/>
      <c r="S266" s="610"/>
      <c r="T266" s="881"/>
      <c r="U266" s="598"/>
      <c r="V266" s="599"/>
      <c r="W266" s="599"/>
      <c r="X266" s="599"/>
      <c r="Y266" s="879"/>
      <c r="Z266" s="85"/>
      <c r="AC266" s="493"/>
      <c r="AD266" s="495"/>
      <c r="AO266" s="22"/>
      <c r="AP266" s="22"/>
      <c r="AQ266" s="22"/>
      <c r="AR266" s="22"/>
      <c r="AS266" s="22"/>
      <c r="AT266" s="22"/>
      <c r="AU266" s="35"/>
      <c r="AV266" s="35"/>
      <c r="AW266" s="35"/>
      <c r="AX266" s="35"/>
      <c r="AY266" s="35"/>
      <c r="AZ266" s="35"/>
      <c r="BA266" s="35"/>
      <c r="BB266" s="35"/>
      <c r="BC266" s="35"/>
      <c r="BD266" s="35"/>
      <c r="BE266" s="35"/>
      <c r="BF266" s="35"/>
      <c r="BG266" s="35"/>
      <c r="BH266" s="35"/>
      <c r="BI266" s="35"/>
      <c r="BJ266" s="35"/>
      <c r="BK266" s="35"/>
      <c r="BL266" s="35"/>
      <c r="BM266" s="35"/>
      <c r="BN266" s="35"/>
      <c r="BO266" s="78"/>
    </row>
    <row r="267" spans="1:67" s="20" customFormat="1" ht="15.75" customHeight="1" thickBot="1" x14ac:dyDescent="0.3">
      <c r="A267" s="520">
        <f>IFERROR(VLOOKUP($G$5,'רשימת רשויות'!A:C,3,0),0)</f>
        <v>0</v>
      </c>
      <c r="B267" s="520">
        <f t="shared" si="27"/>
        <v>0</v>
      </c>
      <c r="C267" s="39"/>
      <c r="D267" s="1134"/>
      <c r="E267" s="1137"/>
      <c r="F267" s="584" t="s">
        <v>144</v>
      </c>
      <c r="G267" s="87">
        <f>IF(G270="תקין",IFERROR(VLOOKUP($G265,'דוח ביצוע (3)'!$B$21:$Q$900,12,0),0),0)</f>
        <v>0</v>
      </c>
      <c r="H267" s="88">
        <f>IFERROR(G268*$AH$6+G269*$AH$7,0)</f>
        <v>0</v>
      </c>
      <c r="I267" s="88">
        <f>IFERROR(G268*$AI$6+G269*$AI$7,0)</f>
        <v>0</v>
      </c>
      <c r="J267" s="88">
        <f>IFERROR(G268*$AJ$6+G269*$AJ$7,0)</f>
        <v>0</v>
      </c>
      <c r="K267" s="88">
        <f>IFERROR(G268*$AK$6+G269*$AK$7,0)</f>
        <v>0</v>
      </c>
      <c r="L267" s="405"/>
      <c r="M267" s="399" t="s">
        <v>427</v>
      </c>
      <c r="N267" s="400" t="str">
        <f>IFERROR(VLOOKUP($G265,'דוח ביצוע (3)'!$B:$AE,28,0),"")</f>
        <v/>
      </c>
      <c r="O267" s="89" t="str">
        <f>IFERROR(VLOOKUP($G265,'דוח ביצוע (3)'!B:AE,29,0),"")</f>
        <v/>
      </c>
      <c r="P267" s="595"/>
      <c r="Q267" s="595"/>
      <c r="R267" s="596"/>
      <c r="S267" s="610"/>
      <c r="T267" s="881"/>
      <c r="U267" s="598"/>
      <c r="V267" s="599"/>
      <c r="W267" s="599"/>
      <c r="X267" s="599"/>
      <c r="Y267" s="879"/>
      <c r="Z267" s="85"/>
      <c r="AC267" s="493"/>
      <c r="AD267" s="495"/>
      <c r="AO267" s="22"/>
      <c r="AP267" s="22"/>
      <c r="AQ267" s="22"/>
      <c r="AR267" s="22"/>
      <c r="AS267" s="22"/>
      <c r="AT267" s="22"/>
      <c r="AU267" s="35"/>
      <c r="AV267" s="35"/>
      <c r="AW267" s="35"/>
      <c r="AX267" s="35"/>
      <c r="AY267" s="35"/>
      <c r="AZ267" s="35"/>
      <c r="BA267" s="35"/>
      <c r="BB267" s="35"/>
      <c r="BC267" s="35"/>
      <c r="BD267" s="35"/>
      <c r="BE267" s="35"/>
      <c r="BF267" s="35"/>
      <c r="BG267" s="35"/>
      <c r="BH267" s="35"/>
      <c r="BI267" s="35"/>
      <c r="BJ267" s="35"/>
      <c r="BK267" s="35"/>
      <c r="BL267" s="35"/>
      <c r="BM267" s="35"/>
      <c r="BN267" s="35"/>
      <c r="BO267" s="78"/>
    </row>
    <row r="268" spans="1:67" s="20" customFormat="1" ht="32.25" thickBot="1" x14ac:dyDescent="0.3">
      <c r="A268" s="520">
        <f>IFERROR(VLOOKUP($G$5,'רשימת רשויות'!A:C,3,0),0)</f>
        <v>0</v>
      </c>
      <c r="B268" s="520">
        <f t="shared" si="27"/>
        <v>0</v>
      </c>
      <c r="C268" s="39"/>
      <c r="D268" s="1134"/>
      <c r="E268" s="1137"/>
      <c r="F268" s="585" t="s">
        <v>2195</v>
      </c>
      <c r="G268" s="89">
        <f>IF(G270="תקין",MAX(N270,0),0)</f>
        <v>0</v>
      </c>
      <c r="H268" s="725" t="s">
        <v>151</v>
      </c>
      <c r="I268" s="725" t="s">
        <v>91</v>
      </c>
      <c r="J268" s="970" t="s">
        <v>3396</v>
      </c>
      <c r="K268" s="601"/>
      <c r="L268" s="601"/>
      <c r="M268" s="983" t="s">
        <v>2585</v>
      </c>
      <c r="N268" s="400" t="str">
        <f>IFERROR(G267/15*N267*1.25,"")</f>
        <v/>
      </c>
      <c r="O268" s="89" t="str">
        <f>IFERROR(G267/15*O267*1.25,"")</f>
        <v/>
      </c>
      <c r="P268" s="595"/>
      <c r="Q268" s="595"/>
      <c r="R268" s="596"/>
      <c r="S268" s="610"/>
      <c r="T268" s="881"/>
      <c r="U268" s="598"/>
      <c r="V268" s="599"/>
      <c r="W268" s="599"/>
      <c r="X268" s="599"/>
      <c r="Y268" s="879"/>
      <c r="Z268" s="85"/>
      <c r="AC268" s="493"/>
      <c r="AD268" s="495"/>
      <c r="AG268" s="22"/>
      <c r="AH268" s="55"/>
      <c r="AI268" s="55"/>
      <c r="AJ268" s="55"/>
      <c r="AK268" s="55"/>
      <c r="AO268" s="22"/>
      <c r="AP268" s="22"/>
      <c r="AQ268" s="22"/>
      <c r="AR268" s="22"/>
      <c r="AS268" s="22"/>
      <c r="AT268" s="22"/>
      <c r="AU268" s="35"/>
      <c r="AV268" s="35"/>
      <c r="AW268" s="35"/>
      <c r="AX268" s="35"/>
      <c r="AY268" s="35"/>
      <c r="AZ268" s="35"/>
      <c r="BA268" s="35"/>
      <c r="BB268" s="35"/>
      <c r="BC268" s="35"/>
      <c r="BD268" s="35"/>
      <c r="BE268" s="35"/>
      <c r="BF268" s="35"/>
      <c r="BG268" s="35"/>
      <c r="BH268" s="35"/>
      <c r="BI268" s="35"/>
      <c r="BJ268" s="35"/>
      <c r="BK268" s="35"/>
      <c r="BL268" s="35"/>
      <c r="BM268" s="35"/>
      <c r="BN268" s="35"/>
      <c r="BO268" s="86"/>
    </row>
    <row r="269" spans="1:67" s="20" customFormat="1" ht="16.5" thickBot="1" x14ac:dyDescent="0.3">
      <c r="A269" s="520">
        <f>IFERROR(VLOOKUP($G$5,'רשימת רשויות'!A:C,3,0),0)</f>
        <v>0</v>
      </c>
      <c r="B269" s="520">
        <f t="shared" si="27"/>
        <v>0</v>
      </c>
      <c r="C269" s="39"/>
      <c r="D269" s="1134"/>
      <c r="E269" s="1137"/>
      <c r="F269" s="585" t="s">
        <v>2196</v>
      </c>
      <c r="G269" s="89">
        <f>IF(G270="תקין",MAX(O270,0),0)</f>
        <v>0</v>
      </c>
      <c r="H269" s="88">
        <f>(IFERROR(IF((G268+G269)=0,0,IF(G266="קטן",G267*$AH$10,G267*$AH$11)),0))+(IFERROR(IF((G268+G269)=0,0,VLOOKUP(G265,'דוח ביצוע (3)'!$B:$AH,33,0)),0))</f>
        <v>0</v>
      </c>
      <c r="I269" s="88">
        <f>IFERROR(IF((G268+G269)=0,0,IF(G266="קטן",G267*$AI$10,G267*$AI$11)),0)</f>
        <v>0</v>
      </c>
      <c r="J269" s="88">
        <f>IFERROR(IF((G268+G269)=0,0,VLOOKUP(G265,'דוח ביצוע (3)'!$B:$AH,32,0)),0)</f>
        <v>0</v>
      </c>
      <c r="K269" s="90"/>
      <c r="L269" s="90"/>
      <c r="M269" s="399" t="s">
        <v>412</v>
      </c>
      <c r="N269" s="400">
        <f>IFERROR(VLOOKUP($G265,'דוח ביצוע (3)'!$B$21:$U$500,18,0),0)</f>
        <v>0</v>
      </c>
      <c r="O269" s="401">
        <f>IFERROR(VLOOKUP($G265,'דוח ביצוע (3)'!$B$21:$U$500,19,0),0)</f>
        <v>0</v>
      </c>
      <c r="P269" s="595"/>
      <c r="Q269" s="595"/>
      <c r="R269" s="596"/>
      <c r="S269" s="610"/>
      <c r="T269" s="881"/>
      <c r="U269" s="598"/>
      <c r="V269" s="599"/>
      <c r="W269" s="599"/>
      <c r="X269" s="599"/>
      <c r="Y269" s="879"/>
      <c r="Z269" s="85"/>
      <c r="AC269" s="493"/>
      <c r="AD269" s="495"/>
      <c r="AG269" s="22"/>
      <c r="AH269" s="55"/>
      <c r="AI269" s="55"/>
      <c r="AJ269" s="55"/>
      <c r="AK269" s="55"/>
      <c r="AO269" s="22"/>
      <c r="AP269" s="22"/>
      <c r="AQ269" s="22"/>
      <c r="AR269" s="22"/>
      <c r="AS269" s="22"/>
      <c r="AT269" s="22"/>
      <c r="AU269" s="35"/>
      <c r="AV269" s="35"/>
      <c r="AW269" s="35"/>
      <c r="AX269" s="35"/>
      <c r="AY269" s="35"/>
      <c r="AZ269" s="35"/>
      <c r="BA269" s="35"/>
      <c r="BB269" s="35"/>
      <c r="BC269" s="35"/>
      <c r="BD269" s="35"/>
      <c r="BE269" s="35"/>
      <c r="BF269" s="35"/>
      <c r="BG269" s="35"/>
      <c r="BH269" s="35"/>
      <c r="BI269" s="35"/>
      <c r="BJ269" s="35"/>
      <c r="BK269" s="35"/>
      <c r="BL269" s="35"/>
      <c r="BM269" s="35"/>
      <c r="BN269" s="35"/>
      <c r="BO269" s="86"/>
    </row>
    <row r="270" spans="1:67" s="20" customFormat="1" ht="16.5" thickBot="1" x14ac:dyDescent="0.3">
      <c r="A270" s="520">
        <f>IFERROR(VLOOKUP($G$5,'רשימת רשויות'!A:C,3,0),0)</f>
        <v>0</v>
      </c>
      <c r="B270" s="520">
        <f t="shared" ref="B270:B333" si="36">IF(F271="סמל המוסד",G271,B269)</f>
        <v>0</v>
      </c>
      <c r="C270" s="39"/>
      <c r="D270" s="1134"/>
      <c r="E270" s="1137"/>
      <c r="F270" s="586" t="s">
        <v>2355</v>
      </c>
      <c r="G270" s="514">
        <f>IFERROR(IF(VLOOKUP('בית ספר - תקצוב לפי מוסד (9)'!G265,' איוש משרות (8)'!$C:$K,9,0)="תקין","תקין","לא תקין"),0)</f>
        <v>0</v>
      </c>
      <c r="H270" s="91"/>
      <c r="I270" s="91"/>
      <c r="J270" s="91"/>
      <c r="K270" s="90"/>
      <c r="L270" s="90"/>
      <c r="M270" s="402" t="s">
        <v>2586</v>
      </c>
      <c r="N270" s="403">
        <f>IFERROR(MIN(N268,N269),0)</f>
        <v>0</v>
      </c>
      <c r="O270" s="404">
        <f>IFERROR(MIN(O268,O269),0)</f>
        <v>0</v>
      </c>
      <c r="P270" s="595"/>
      <c r="Q270" s="595"/>
      <c r="R270" s="596"/>
      <c r="S270" s="610"/>
      <c r="T270" s="881"/>
      <c r="U270" s="598"/>
      <c r="V270" s="599"/>
      <c r="W270" s="599"/>
      <c r="X270" s="599"/>
      <c r="Y270" s="879"/>
      <c r="Z270" s="85"/>
      <c r="AC270" s="493"/>
      <c r="AD270" s="495"/>
      <c r="AG270" s="94"/>
      <c r="AH270" s="40"/>
      <c r="AI270" s="40"/>
      <c r="AJ270" s="40"/>
      <c r="AK270" s="40"/>
      <c r="AO270" s="22"/>
      <c r="AP270" s="22"/>
      <c r="AQ270" s="22"/>
      <c r="AR270" s="22"/>
      <c r="AS270" s="22"/>
      <c r="AT270" s="22"/>
      <c r="AU270" s="35"/>
      <c r="AV270" s="35"/>
      <c r="AW270" s="35"/>
      <c r="AX270" s="35"/>
      <c r="AY270" s="35"/>
      <c r="AZ270" s="35"/>
      <c r="BA270" s="35"/>
      <c r="BB270" s="35"/>
      <c r="BC270" s="35"/>
      <c r="BD270" s="35"/>
      <c r="BE270" s="35"/>
      <c r="BF270" s="35"/>
      <c r="BG270" s="35"/>
      <c r="BH270" s="35"/>
      <c r="BI270" s="35"/>
      <c r="BJ270" s="35"/>
      <c r="BK270" s="35"/>
      <c r="BL270" s="35"/>
      <c r="BM270" s="35"/>
      <c r="BN270" s="35"/>
      <c r="BO270" s="86"/>
    </row>
    <row r="271" spans="1:67" s="55" customFormat="1" ht="37.15" customHeight="1" thickBot="1" x14ac:dyDescent="0.3">
      <c r="A271" s="520">
        <f>IFERROR(VLOOKUP($G$5,'רשימת רשויות'!A:C,3,0),0)</f>
        <v>0</v>
      </c>
      <c r="B271" s="520">
        <f t="shared" si="36"/>
        <v>0</v>
      </c>
      <c r="C271" s="39"/>
      <c r="D271" s="1134"/>
      <c r="E271" s="1137"/>
      <c r="F271" s="587" t="s">
        <v>142</v>
      </c>
      <c r="G271" s="92"/>
      <c r="H271" s="92"/>
      <c r="I271" s="92"/>
      <c r="J271" s="92"/>
      <c r="K271" s="602"/>
      <c r="L271" s="602"/>
      <c r="M271" s="602"/>
      <c r="N271" s="602"/>
      <c r="O271" s="602"/>
      <c r="P271" s="595"/>
      <c r="Q271" s="595"/>
      <c r="R271" s="596"/>
      <c r="S271" s="610"/>
      <c r="T271" s="881"/>
      <c r="U271" s="598"/>
      <c r="V271" s="599"/>
      <c r="W271" s="599"/>
      <c r="X271" s="599"/>
      <c r="Y271" s="879"/>
      <c r="Z271" s="93"/>
      <c r="AC271" s="493"/>
      <c r="AD271" s="495"/>
      <c r="AF271" s="22"/>
      <c r="AG271" s="98"/>
      <c r="AH271" s="98"/>
      <c r="AI271" s="40"/>
      <c r="AJ271" s="40"/>
      <c r="AK271" s="40"/>
      <c r="AO271" s="22"/>
      <c r="AP271" s="22"/>
      <c r="AQ271" s="22"/>
      <c r="AR271" s="22"/>
      <c r="AS271" s="22"/>
      <c r="AT271" s="22"/>
      <c r="AU271" s="35"/>
      <c r="AV271" s="35"/>
      <c r="AW271" s="35"/>
      <c r="AX271" s="35"/>
      <c r="AY271" s="35"/>
      <c r="AZ271" s="35"/>
      <c r="BA271" s="35"/>
      <c r="BB271" s="35"/>
      <c r="BC271" s="35"/>
      <c r="BD271" s="35"/>
      <c r="BE271" s="35"/>
      <c r="BF271" s="35"/>
      <c r="BG271" s="35"/>
      <c r="BH271" s="35"/>
      <c r="BI271" s="35"/>
      <c r="BJ271" s="35"/>
      <c r="BK271" s="35"/>
      <c r="BL271" s="35"/>
      <c r="BM271" s="35"/>
      <c r="BN271" s="35"/>
      <c r="BO271" s="86"/>
    </row>
    <row r="272" spans="1:67" s="40" customFormat="1" ht="31.5" x14ac:dyDescent="0.25">
      <c r="A272" s="520">
        <f>IFERROR(VLOOKUP($G$5,'רשימת רשויות'!A:C,3,0),0)</f>
        <v>0</v>
      </c>
      <c r="B272" s="520">
        <f t="shared" si="36"/>
        <v>0</v>
      </c>
      <c r="C272" s="39"/>
      <c r="D272" s="1134"/>
      <c r="E272" s="1137"/>
      <c r="F272" s="588" t="s">
        <v>94</v>
      </c>
      <c r="G272" s="95" t="s">
        <v>18</v>
      </c>
      <c r="H272" s="95" t="s">
        <v>19</v>
      </c>
      <c r="I272" s="95" t="s">
        <v>138</v>
      </c>
      <c r="J272" s="96" t="s">
        <v>139</v>
      </c>
      <c r="K272" s="603"/>
      <c r="L272" s="603"/>
      <c r="M272" s="603"/>
      <c r="N272" s="603"/>
      <c r="O272" s="603"/>
      <c r="P272" s="604"/>
      <c r="Q272" s="604"/>
      <c r="R272" s="596"/>
      <c r="S272" s="610"/>
      <c r="T272" s="881"/>
      <c r="U272" s="598"/>
      <c r="V272" s="599"/>
      <c r="W272" s="599"/>
      <c r="X272" s="599"/>
      <c r="Y272" s="879"/>
      <c r="Z272" s="97"/>
      <c r="AA272" s="94"/>
      <c r="AB272" s="94"/>
      <c r="AC272" s="493"/>
      <c r="AD272" s="495"/>
      <c r="AE272" s="94"/>
      <c r="AG272" s="98"/>
      <c r="AH272" s="98"/>
      <c r="AO272" s="22"/>
      <c r="AP272" s="22"/>
      <c r="AQ272" s="22"/>
      <c r="AR272" s="22"/>
      <c r="AS272" s="22"/>
      <c r="AT272" s="22"/>
      <c r="AU272" s="35"/>
      <c r="AV272" s="35"/>
      <c r="AW272" s="35"/>
      <c r="AX272" s="35"/>
      <c r="AY272" s="35"/>
      <c r="AZ272" s="35"/>
      <c r="BA272" s="35"/>
      <c r="BB272" s="35"/>
      <c r="BC272" s="35"/>
      <c r="BD272" s="35"/>
      <c r="BE272" s="35"/>
      <c r="BF272" s="35"/>
      <c r="BG272" s="35"/>
      <c r="BH272" s="35"/>
      <c r="BI272" s="35"/>
      <c r="BJ272" s="35"/>
      <c r="BK272" s="35"/>
      <c r="BL272" s="35"/>
      <c r="BM272" s="35"/>
      <c r="BN272" s="35"/>
      <c r="BO272" s="86"/>
    </row>
    <row r="273" spans="1:67" s="40" customFormat="1" ht="15.75" customHeight="1" thickBot="1" x14ac:dyDescent="0.3">
      <c r="A273" s="520">
        <f>IFERROR(VLOOKUP($G$5,'רשימת רשויות'!A:C,3,0),0)</f>
        <v>0</v>
      </c>
      <c r="B273" s="520">
        <f t="shared" si="36"/>
        <v>0</v>
      </c>
      <c r="C273" s="39"/>
      <c r="D273" s="1134"/>
      <c r="E273" s="1137"/>
      <c r="F273" s="589" t="s">
        <v>2280</v>
      </c>
      <c r="G273" s="99">
        <f>+G284</f>
        <v>0</v>
      </c>
      <c r="H273" s="100">
        <f>K267</f>
        <v>0</v>
      </c>
      <c r="I273" s="100">
        <f>H273-I275</f>
        <v>0</v>
      </c>
      <c r="J273" s="101">
        <f>IFERROR(I273/H273,0)</f>
        <v>0</v>
      </c>
      <c r="K273" s="603"/>
      <c r="L273" s="603"/>
      <c r="M273" s="603"/>
      <c r="N273" s="603"/>
      <c r="O273" s="603"/>
      <c r="P273" s="605"/>
      <c r="Q273" s="604"/>
      <c r="R273" s="606" t="s">
        <v>157</v>
      </c>
      <c r="S273" s="611"/>
      <c r="T273" s="881"/>
      <c r="U273" s="598"/>
      <c r="V273" s="599"/>
      <c r="W273" s="599"/>
      <c r="X273" s="599"/>
      <c r="Y273" s="879"/>
      <c r="Z273" s="102"/>
      <c r="AA273" s="122"/>
      <c r="AB273" s="122"/>
      <c r="AC273" s="493"/>
      <c r="AD273" s="495"/>
      <c r="AE273" s="122"/>
      <c r="AF273" s="22"/>
      <c r="AG273" s="98"/>
      <c r="AH273" s="98"/>
      <c r="AI273" s="20"/>
      <c r="AO273" s="22"/>
      <c r="AP273" s="22"/>
      <c r="AQ273" s="22"/>
      <c r="AR273" s="22"/>
      <c r="AS273" s="22"/>
      <c r="AT273" s="22"/>
      <c r="AU273" s="35"/>
      <c r="AV273" s="35"/>
      <c r="AW273" s="35"/>
      <c r="AX273" s="35"/>
      <c r="AY273" s="35"/>
      <c r="AZ273" s="35"/>
      <c r="BA273" s="35"/>
      <c r="BB273" s="35"/>
      <c r="BC273" s="35"/>
      <c r="BD273" s="35"/>
      <c r="BE273" s="35"/>
      <c r="BF273" s="35"/>
      <c r="BG273" s="35"/>
      <c r="BH273" s="35"/>
      <c r="BI273" s="35"/>
      <c r="BJ273" s="35"/>
      <c r="BK273" s="35"/>
      <c r="BL273" s="35"/>
      <c r="BM273" s="35"/>
      <c r="BN273" s="35"/>
      <c r="BO273" s="86"/>
    </row>
    <row r="274" spans="1:67" s="40" customFormat="1" ht="15.75" customHeight="1" thickBot="1" x14ac:dyDescent="0.3">
      <c r="A274" s="520">
        <f>IFERROR(VLOOKUP($G$5,'רשימת רשויות'!A:C,3,0),0)</f>
        <v>0</v>
      </c>
      <c r="B274" s="520">
        <f t="shared" si="36"/>
        <v>0</v>
      </c>
      <c r="C274" s="39"/>
      <c r="D274" s="1134"/>
      <c r="E274" s="1137"/>
      <c r="F274" s="589" t="s">
        <v>2281</v>
      </c>
      <c r="G274" s="99">
        <f>+G283</f>
        <v>0</v>
      </c>
      <c r="H274" s="103"/>
      <c r="I274" s="104"/>
      <c r="J274" s="105"/>
      <c r="K274" s="603"/>
      <c r="L274" s="603"/>
      <c r="M274" s="603"/>
      <c r="N274" s="603"/>
      <c r="O274" s="603"/>
      <c r="P274" s="605"/>
      <c r="Q274" s="604"/>
      <c r="R274" s="473">
        <f>I275-R276</f>
        <v>0</v>
      </c>
      <c r="S274" s="611"/>
      <c r="T274" s="881"/>
      <c r="U274" s="598"/>
      <c r="V274" s="599"/>
      <c r="W274" s="599"/>
      <c r="X274" s="599"/>
      <c r="Y274" s="879"/>
      <c r="Z274" s="106"/>
      <c r="AA274" s="22"/>
      <c r="AB274" s="22"/>
      <c r="AC274" s="493"/>
      <c r="AD274" s="495"/>
      <c r="AE274" s="22"/>
      <c r="AF274" s="22"/>
      <c r="AG274" s="98"/>
      <c r="AH274" s="98"/>
      <c r="AI274" s="20"/>
      <c r="AO274" s="22"/>
      <c r="AP274" s="22"/>
      <c r="AQ274" s="22"/>
      <c r="AR274" s="22"/>
      <c r="AS274" s="22"/>
      <c r="AT274" s="22"/>
      <c r="AU274" s="35"/>
      <c r="AV274" s="35"/>
      <c r="AW274" s="35"/>
      <c r="AX274" s="35"/>
      <c r="AY274" s="35"/>
      <c r="AZ274" s="35"/>
      <c r="BA274" s="35"/>
      <c r="BB274" s="35"/>
      <c r="BC274" s="35"/>
      <c r="BD274" s="35"/>
      <c r="BE274" s="35"/>
      <c r="BF274" s="35"/>
      <c r="BG274" s="35"/>
      <c r="BH274" s="35"/>
      <c r="BI274" s="35"/>
      <c r="BJ274" s="35"/>
      <c r="BK274" s="35"/>
      <c r="BL274" s="35"/>
      <c r="BM274" s="35"/>
      <c r="BN274" s="35"/>
      <c r="BO274" s="86"/>
    </row>
    <row r="275" spans="1:67" s="40" customFormat="1" ht="16.5" customHeight="1" thickBot="1" x14ac:dyDescent="0.3">
      <c r="A275" s="520">
        <f>IFERROR(VLOOKUP($G$5,'רשימת רשויות'!A:C,3,0),0)</f>
        <v>0</v>
      </c>
      <c r="B275" s="520">
        <f t="shared" si="36"/>
        <v>0</v>
      </c>
      <c r="C275" s="39"/>
      <c r="D275" s="1134"/>
      <c r="E275" s="1137"/>
      <c r="F275" s="589" t="s">
        <v>2282</v>
      </c>
      <c r="G275" s="99">
        <f>G279+G280+G281</f>
        <v>0</v>
      </c>
      <c r="H275" s="104"/>
      <c r="I275" s="107">
        <f>MAX(H273-G273-G274,0)</f>
        <v>0</v>
      </c>
      <c r="J275" s="108">
        <f>IFERROR(I275/H273,0)</f>
        <v>0</v>
      </c>
      <c r="K275" s="603"/>
      <c r="L275" s="603"/>
      <c r="M275" s="603"/>
      <c r="N275" s="603"/>
      <c r="O275" s="603"/>
      <c r="P275" s="604"/>
      <c r="Q275" s="604"/>
      <c r="R275" s="606" t="s">
        <v>158</v>
      </c>
      <c r="S275" s="612"/>
      <c r="T275" s="881"/>
      <c r="U275" s="598"/>
      <c r="V275" s="599"/>
      <c r="W275" s="599"/>
      <c r="X275" s="599"/>
      <c r="Y275" s="879"/>
      <c r="Z275" s="106"/>
      <c r="AA275" s="22"/>
      <c r="AB275" s="22"/>
      <c r="AC275" s="493"/>
      <c r="AD275" s="495"/>
      <c r="AE275" s="22"/>
      <c r="AF275" s="22"/>
      <c r="AG275" s="22"/>
      <c r="AH275" s="22"/>
      <c r="AI275" s="55"/>
      <c r="AJ275" s="22"/>
      <c r="AK275" s="22"/>
      <c r="AO275" s="22"/>
      <c r="AP275" s="22"/>
      <c r="AQ275" s="22"/>
      <c r="AR275" s="22"/>
      <c r="AS275" s="22"/>
      <c r="AT275" s="22"/>
      <c r="AU275" s="35"/>
      <c r="AV275" s="35"/>
      <c r="AW275" s="35"/>
      <c r="AX275" s="35"/>
      <c r="AY275" s="35"/>
      <c r="AZ275" s="35"/>
      <c r="BA275" s="35"/>
      <c r="BB275" s="35"/>
      <c r="BC275" s="35"/>
      <c r="BD275" s="35"/>
      <c r="BE275" s="35"/>
      <c r="BF275" s="35"/>
      <c r="BG275" s="35"/>
      <c r="BH275" s="35"/>
      <c r="BI275" s="35"/>
      <c r="BJ275" s="35"/>
      <c r="BK275" s="35"/>
      <c r="BL275" s="35"/>
      <c r="BM275" s="35"/>
      <c r="BN275" s="35"/>
      <c r="BO275" s="86"/>
    </row>
    <row r="276" spans="1:67" s="40" customFormat="1" ht="15.75" customHeight="1" thickBot="1" x14ac:dyDescent="0.3">
      <c r="A276" s="520">
        <f>IFERROR(VLOOKUP($G$5,'רשימת רשויות'!A:C,3,0),0)</f>
        <v>0</v>
      </c>
      <c r="B276" s="520">
        <f t="shared" si="36"/>
        <v>0</v>
      </c>
      <c r="C276" s="39"/>
      <c r="D276" s="1134"/>
      <c r="E276" s="1137"/>
      <c r="F276" s="590" t="s">
        <v>2290</v>
      </c>
      <c r="G276" s="109"/>
      <c r="H276" s="110"/>
      <c r="I276" s="111">
        <f>SUM(I273:I275)</f>
        <v>0</v>
      </c>
      <c r="J276" s="112">
        <f>SUM(J273:J275)</f>
        <v>0</v>
      </c>
      <c r="K276" s="603"/>
      <c r="L276" s="603"/>
      <c r="M276" s="603"/>
      <c r="N276" s="603"/>
      <c r="O276" s="603"/>
      <c r="P276" s="604"/>
      <c r="Q276" s="604"/>
      <c r="R276" s="473">
        <f>MIN(MAX(G280+G281-I269-J269,0),I275)</f>
        <v>0</v>
      </c>
      <c r="S276" s="612"/>
      <c r="T276" s="881"/>
      <c r="U276" s="598"/>
      <c r="V276" s="599"/>
      <c r="W276" s="599"/>
      <c r="X276" s="599"/>
      <c r="Y276" s="879"/>
      <c r="Z276" s="106"/>
      <c r="AA276" s="22"/>
      <c r="AB276" s="22"/>
      <c r="AC276" s="493"/>
      <c r="AD276" s="495"/>
      <c r="AE276" s="22"/>
      <c r="AF276" s="22"/>
      <c r="AG276" s="22"/>
      <c r="AH276" s="22"/>
      <c r="AJ276" s="22"/>
      <c r="AK276" s="22"/>
      <c r="AO276" s="22"/>
      <c r="AP276" s="22"/>
      <c r="AQ276" s="22"/>
      <c r="AR276" s="22"/>
      <c r="AS276" s="22"/>
      <c r="AT276" s="22"/>
      <c r="AU276" s="35"/>
      <c r="AV276" s="35"/>
      <c r="AW276" s="35"/>
      <c r="AX276" s="35"/>
      <c r="AY276" s="35"/>
      <c r="AZ276" s="35"/>
      <c r="BA276" s="35"/>
      <c r="BB276" s="35"/>
      <c r="BC276" s="35"/>
      <c r="BD276" s="35"/>
      <c r="BE276" s="35"/>
      <c r="BF276" s="35"/>
      <c r="BG276" s="35"/>
      <c r="BH276" s="35"/>
      <c r="BI276" s="35"/>
      <c r="BJ276" s="35"/>
      <c r="BK276" s="35"/>
      <c r="BL276" s="35"/>
      <c r="BM276" s="35"/>
      <c r="BN276" s="35"/>
      <c r="BO276" s="86"/>
    </row>
    <row r="277" spans="1:67" ht="16.5" thickBot="1" x14ac:dyDescent="0.3">
      <c r="A277" s="520">
        <f>IFERROR(VLOOKUP($G$5,'רשימת רשויות'!A:C,3,0),0)</f>
        <v>0</v>
      </c>
      <c r="B277" s="520">
        <f t="shared" si="36"/>
        <v>0</v>
      </c>
      <c r="D277" s="1134"/>
      <c r="E277" s="1137"/>
      <c r="F277" s="587" t="s">
        <v>17</v>
      </c>
      <c r="G277" s="113"/>
      <c r="H277" s="92"/>
      <c r="I277" s="114"/>
      <c r="J277" s="115"/>
      <c r="K277" s="116"/>
      <c r="L277" s="406"/>
      <c r="M277" s="116"/>
      <c r="N277" s="116"/>
      <c r="O277" s="116"/>
      <c r="P277" s="474"/>
      <c r="Q277" s="607"/>
      <c r="R277" s="608"/>
      <c r="S277" s="612"/>
      <c r="T277" s="881"/>
      <c r="U277" s="598"/>
      <c r="V277" s="599"/>
      <c r="W277" s="599"/>
      <c r="X277" s="599"/>
      <c r="Y277" s="879"/>
      <c r="Z277" s="106"/>
      <c r="AI277" s="40"/>
      <c r="BO277" s="86"/>
    </row>
    <row r="278" spans="1:67" ht="47.25" x14ac:dyDescent="0.25">
      <c r="A278" s="520">
        <f>IFERROR(VLOOKUP($G$5,'רשימת רשויות'!A:C,3,0),0)</f>
        <v>0</v>
      </c>
      <c r="B278" s="520">
        <f t="shared" si="36"/>
        <v>0</v>
      </c>
      <c r="D278" s="1134"/>
      <c r="E278" s="1137"/>
      <c r="F278" s="588" t="s">
        <v>2</v>
      </c>
      <c r="G278" s="95" t="s">
        <v>18</v>
      </c>
      <c r="H278" s="95" t="s">
        <v>19</v>
      </c>
      <c r="I278" s="95" t="s">
        <v>20</v>
      </c>
      <c r="J278" s="95" t="s">
        <v>22</v>
      </c>
      <c r="K278" s="96" t="s">
        <v>2314</v>
      </c>
      <c r="L278" s="609"/>
      <c r="M278" s="609"/>
      <c r="N278" s="609"/>
      <c r="O278" s="580"/>
      <c r="P278" s="618" t="s">
        <v>2298</v>
      </c>
      <c r="Q278" s="618" t="s">
        <v>2299</v>
      </c>
      <c r="R278" s="596"/>
      <c r="S278" s="890" t="s">
        <v>2519</v>
      </c>
      <c r="T278" s="890" t="s">
        <v>97</v>
      </c>
      <c r="U278" s="891" t="s">
        <v>2521</v>
      </c>
      <c r="V278" s="892" t="s">
        <v>2520</v>
      </c>
      <c r="W278" s="893" t="s">
        <v>2524</v>
      </c>
      <c r="X278" s="892" t="s">
        <v>2522</v>
      </c>
      <c r="Y278" s="894" t="s">
        <v>2523</v>
      </c>
      <c r="Z278" s="106"/>
      <c r="AC278" s="498" t="s">
        <v>2568</v>
      </c>
      <c r="AD278" s="499" t="s">
        <v>2569</v>
      </c>
      <c r="AF278" s="122"/>
      <c r="AI278" s="40"/>
      <c r="BO278" s="86"/>
    </row>
    <row r="279" spans="1:67" ht="15" customHeight="1" thickBot="1" x14ac:dyDescent="0.3">
      <c r="A279" s="520">
        <f>IFERROR(VLOOKUP($G$5,'רשימת רשויות'!A:C,3,0),0)</f>
        <v>0</v>
      </c>
      <c r="B279" s="520">
        <f t="shared" si="36"/>
        <v>0</v>
      </c>
      <c r="D279" s="1134"/>
      <c r="E279" s="1137"/>
      <c r="F279" s="589" t="s">
        <v>76</v>
      </c>
      <c r="G279" s="117">
        <f>IF(G270="תקין",SUMIF('עלויות כח אדם (6)'!$B$15:$B$3014,'בית ספר - תקצוב לפי מוסד (9)'!$G265,'עלויות כח אדם (6)'!$M$15:$M$3014)-VLOOKUP('בית ספר - תקצוב לפי מוסד (9)'!G265,' איוש משרות (8)'!$C:$H,5,0)-VLOOKUP('בית ספר - תקצוב לפי מוסד (9)'!G265,' איוש משרות (8)'!$C:$H,6,0),0)-Y279</f>
        <v>0</v>
      </c>
      <c r="H279" s="118">
        <f>I267+R274</f>
        <v>0</v>
      </c>
      <c r="I279" s="119">
        <f>IFERROR(SUM(G279)/H279,0)</f>
        <v>0</v>
      </c>
      <c r="J279" s="100">
        <f>MIN(I267+R274,IF(ISNUMBER(G279),G279,0))</f>
        <v>0</v>
      </c>
      <c r="K279" s="120">
        <f>MAX(H279-G279,0)</f>
        <v>0</v>
      </c>
      <c r="L279" s="407"/>
      <c r="M279" s="393"/>
      <c r="N279" s="393"/>
      <c r="O279" s="580"/>
      <c r="P279" s="968">
        <f>IFERROR(IF(SUM(G279)/(I267)&lt;100%,MIN((I267)-SUM(G279),(I267)*0.25),0),0)</f>
        <v>0</v>
      </c>
      <c r="Q279" s="968">
        <f>IF(SUM(G279)-(I267+R274)&gt;0,SUM(G279)-(I267+R274),0)</f>
        <v>0</v>
      </c>
      <c r="R279" s="596" t="s">
        <v>2351</v>
      </c>
      <c r="S279" s="576" t="s">
        <v>2342</v>
      </c>
      <c r="T279" s="599">
        <f>G265</f>
        <v>0</v>
      </c>
      <c r="U279" s="578"/>
      <c r="V279" s="579">
        <f>G279+G280+G281</f>
        <v>0</v>
      </c>
      <c r="W279" s="579">
        <f>U279-V279</f>
        <v>0</v>
      </c>
      <c r="X279" s="579">
        <f>IFERROR(W293*W279/(SUM(W279:W292)),0)</f>
        <v>0</v>
      </c>
      <c r="Y279" s="879">
        <f>SUMIFS(בקרה!$S:$S,בקרה!$D:$D,T279,בקרה!$K:$K,S279)</f>
        <v>0</v>
      </c>
      <c r="Z279" s="121"/>
      <c r="AA279" s="143"/>
      <c r="AB279" s="143"/>
      <c r="AC279" s="504">
        <v>0</v>
      </c>
      <c r="AD279" s="505">
        <f>IFERROR(U279-AC279,0)</f>
        <v>0</v>
      </c>
      <c r="AE279" s="143"/>
      <c r="AI279" s="20"/>
      <c r="BO279" s="86"/>
    </row>
    <row r="280" spans="1:67" ht="15" customHeight="1" thickBot="1" x14ac:dyDescent="0.3">
      <c r="A280" s="520">
        <f>IFERROR(VLOOKUP($G$5,'רשימת רשויות'!A:C,3,0),0)</f>
        <v>0</v>
      </c>
      <c r="B280" s="520">
        <f t="shared" si="36"/>
        <v>0</v>
      </c>
      <c r="D280" s="1134"/>
      <c r="E280" s="1137"/>
      <c r="F280" s="589" t="s">
        <v>44</v>
      </c>
      <c r="G280" s="123">
        <f>IF(G270="תקין",IFERROR(VLOOKUP('בית ספר - תקצוב לפי מוסד (9)'!G265,' איוש משרות (8)'!C:J,7,0),0),0)</f>
        <v>0</v>
      </c>
      <c r="H280" s="124">
        <f>I269+R276+J269</f>
        <v>0</v>
      </c>
      <c r="I280" s="119">
        <f>IFERROR(SUM(G280:G281)/H280,0)</f>
        <v>0</v>
      </c>
      <c r="J280" s="100">
        <f>MIN(R276+I269,IF(ISNUMBER(SUM(G280:G281)),SUM(G280:G281),0))</f>
        <v>0</v>
      </c>
      <c r="K280" s="1139">
        <f>MAX((H280)-(G280+G281),0)</f>
        <v>0</v>
      </c>
      <c r="L280" s="407"/>
      <c r="M280" s="393"/>
      <c r="N280" s="393"/>
      <c r="O280" s="580"/>
      <c r="P280" s="1140"/>
      <c r="Q280" s="1140"/>
      <c r="R280" s="617">
        <f>MAX(MIN(P288-Q288,H288*0.15-G286),0)</f>
        <v>0</v>
      </c>
      <c r="S280" s="576"/>
      <c r="T280" s="599">
        <f>G265</f>
        <v>0</v>
      </c>
      <c r="U280" s="578"/>
      <c r="V280" s="579"/>
      <c r="W280" s="579">
        <f t="shared" ref="W280:W292" si="37">U280-V280</f>
        <v>0</v>
      </c>
      <c r="X280" s="579"/>
      <c r="Y280" s="879"/>
      <c r="Z280" s="121"/>
      <c r="AA280" s="143"/>
      <c r="AB280" s="143"/>
      <c r="AC280" s="504"/>
      <c r="AD280" s="505">
        <f t="shared" ref="AD280:AD286" si="38">IFERROR(U280-AC280,0)</f>
        <v>0</v>
      </c>
      <c r="AE280" s="143"/>
      <c r="AI280" s="20"/>
      <c r="BO280" s="86"/>
    </row>
    <row r="281" spans="1:67" ht="15.75" customHeight="1" x14ac:dyDescent="0.25">
      <c r="A281" s="520">
        <f>IFERROR(VLOOKUP($G$5,'רשימת רשויות'!A:C,3,0),0)</f>
        <v>0</v>
      </c>
      <c r="B281" s="520">
        <f t="shared" si="36"/>
        <v>0</v>
      </c>
      <c r="D281" s="1134"/>
      <c r="E281" s="1137"/>
      <c r="F281" s="589" t="s">
        <v>45</v>
      </c>
      <c r="G281" s="123">
        <f>IF(G270="תקין",IFERROR(VLOOKUP('בית ספר - תקצוב לפי מוסד (9)'!G265,' איוש משרות (8)'!C:J,8,0),0),0)</f>
        <v>0</v>
      </c>
      <c r="H281" s="125"/>
      <c r="I281" s="126"/>
      <c r="J281" s="104"/>
      <c r="K281" s="1139"/>
      <c r="L281" s="407"/>
      <c r="M281" s="393"/>
      <c r="N281" s="393"/>
      <c r="O281" s="580"/>
      <c r="P281" s="1140"/>
      <c r="Q281" s="1140"/>
      <c r="R281" s="596"/>
      <c r="S281" s="576"/>
      <c r="T281" s="599">
        <f>G265</f>
        <v>0</v>
      </c>
      <c r="U281" s="578"/>
      <c r="V281" s="579"/>
      <c r="W281" s="579">
        <f t="shared" si="37"/>
        <v>0</v>
      </c>
      <c r="X281" s="579"/>
      <c r="Y281" s="879"/>
      <c r="Z281" s="121"/>
      <c r="AA281" s="143"/>
      <c r="AB281" s="143"/>
      <c r="AC281" s="504"/>
      <c r="AD281" s="505">
        <f t="shared" si="38"/>
        <v>0</v>
      </c>
      <c r="AE281" s="143"/>
      <c r="AG281" s="55"/>
      <c r="AH281" s="55"/>
      <c r="AI281" s="55"/>
      <c r="AJ281" s="55"/>
      <c r="AK281" s="55"/>
      <c r="BO281" s="86"/>
    </row>
    <row r="282" spans="1:67" ht="15.75" customHeight="1" x14ac:dyDescent="0.25">
      <c r="A282" s="520">
        <f>IFERROR(VLOOKUP($G$5,'רשימת רשויות'!A:C,3,0),0)</f>
        <v>0</v>
      </c>
      <c r="B282" s="520">
        <f t="shared" si="36"/>
        <v>0</v>
      </c>
      <c r="D282" s="1134"/>
      <c r="E282" s="1137"/>
      <c r="F282" s="589" t="s">
        <v>0</v>
      </c>
      <c r="G282" s="117">
        <f>IF(G270="תקין",SUMIFS('דוח הוצאות בפועל (4)'!$E$17:$E$3016,'דוח הוצאות בפועל (4)'!$B$17:$B$3016,'בית ספר - תקצוב לפי מוסד (9)'!$G265,'דוח הוצאות בפועל (4)'!$M$17:$M$3016,"הע"),0)-Y282</f>
        <v>0</v>
      </c>
      <c r="H282" s="127">
        <f>J267</f>
        <v>0</v>
      </c>
      <c r="I282" s="128">
        <f>IFERROR(G282/H282,0)</f>
        <v>0</v>
      </c>
      <c r="J282" s="129">
        <f>MIN(IF(ISNUMBER(G282),G282,0),H282)</f>
        <v>0</v>
      </c>
      <c r="K282" s="120">
        <f>MAX(H282-G282,0)</f>
        <v>0</v>
      </c>
      <c r="L282" s="407"/>
      <c r="M282" s="393"/>
      <c r="N282" s="393"/>
      <c r="O282" s="580"/>
      <c r="P282" s="968">
        <f>MAX(IF(I282&lt;100%,MIN((H282-G282),H282*0.25),0),0)</f>
        <v>0</v>
      </c>
      <c r="Q282" s="619">
        <f>IF(G282-H282&gt;0,G282-H282,0)</f>
        <v>0</v>
      </c>
      <c r="R282" s="596"/>
      <c r="S282" s="610" t="s">
        <v>0</v>
      </c>
      <c r="T282" s="599">
        <f>G265</f>
        <v>0</v>
      </c>
      <c r="U282" s="578"/>
      <c r="V282" s="579">
        <f>G282</f>
        <v>0</v>
      </c>
      <c r="W282" s="579">
        <f t="shared" si="37"/>
        <v>0</v>
      </c>
      <c r="X282" s="579">
        <f>IFERROR(W293*W282/(SUM(W279:W292)),0)</f>
        <v>0</v>
      </c>
      <c r="Y282" s="879">
        <f>SUMIFS(בקרה!$S:$S,בקרה!$D:$D,T282,בקרה!$K:$K,S282)</f>
        <v>0</v>
      </c>
      <c r="Z282" s="121"/>
      <c r="AA282" s="143"/>
      <c r="AB282" s="143"/>
      <c r="AC282" s="504">
        <v>0</v>
      </c>
      <c r="AD282" s="505">
        <f t="shared" si="38"/>
        <v>0</v>
      </c>
      <c r="AE282" s="143"/>
      <c r="AG282" s="55"/>
      <c r="AH282" s="55"/>
      <c r="AI282" s="40"/>
      <c r="AJ282" s="55"/>
      <c r="AK282" s="55"/>
      <c r="BO282" s="86"/>
    </row>
    <row r="283" spans="1:67" s="55" customFormat="1" ht="15.75" customHeight="1" x14ac:dyDescent="0.25">
      <c r="A283" s="520">
        <f>IFERROR(VLOOKUP($G$5,'רשימת רשויות'!A:C,3,0),0)</f>
        <v>0</v>
      </c>
      <c r="B283" s="520">
        <f t="shared" si="36"/>
        <v>0</v>
      </c>
      <c r="C283" s="39"/>
      <c r="D283" s="1134"/>
      <c r="E283" s="1137"/>
      <c r="F283" s="589" t="s">
        <v>93</v>
      </c>
      <c r="G283" s="130">
        <f>IF(G270="תקין",SUMIFS('דוח הוצאות בפועל (4)'!$E$17:$E$3016,'דוח הוצאות בפועל (4)'!$B$17:$B$3016,'בית ספר - תקצוב לפי מוסד (9)'!$G265,'דוח הוצאות בפועל (4)'!$M$17:$M$3016,"אר"),0)-Y283</f>
        <v>0</v>
      </c>
      <c r="H283" s="118">
        <f>$I273</f>
        <v>0</v>
      </c>
      <c r="I283" s="131">
        <f>IFERROR((G283+G284)/H283,0)</f>
        <v>0</v>
      </c>
      <c r="J283" s="100">
        <f>MIN((IF(ISNUMBER(G283),G283,0)+IF(ISNUMBER(G284),G284,0)),H283)</f>
        <v>0</v>
      </c>
      <c r="K283" s="1139">
        <f>MAX((H283)-(G283+G284),0)</f>
        <v>0</v>
      </c>
      <c r="L283" s="407"/>
      <c r="M283" s="393"/>
      <c r="N283" s="393"/>
      <c r="O283" s="602"/>
      <c r="P283" s="1141"/>
      <c r="Q283" s="1142"/>
      <c r="R283" s="596"/>
      <c r="S283" s="610" t="s">
        <v>93</v>
      </c>
      <c r="T283" s="599">
        <f>G265</f>
        <v>0</v>
      </c>
      <c r="U283" s="578"/>
      <c r="V283" s="579">
        <f t="shared" ref="V283:V284" si="39">G283</f>
        <v>0</v>
      </c>
      <c r="W283" s="579">
        <f t="shared" si="37"/>
        <v>0</v>
      </c>
      <c r="X283" s="579">
        <f>IFERROR(W293*W283/(SUM(W279:W292)),0)</f>
        <v>0</v>
      </c>
      <c r="Y283" s="879">
        <f>SUMIFS(בקרה!$S:$S,בקרה!$D:$D,T283,בקרה!$K:$K,S283)</f>
        <v>0</v>
      </c>
      <c r="Z283" s="121"/>
      <c r="AA283" s="143"/>
      <c r="AB283" s="143"/>
      <c r="AC283" s="504">
        <v>0</v>
      </c>
      <c r="AD283" s="505">
        <f t="shared" si="38"/>
        <v>0</v>
      </c>
      <c r="AE283" s="143"/>
      <c r="AJ283" s="22"/>
      <c r="AO283" s="22"/>
      <c r="AP283" s="22"/>
      <c r="AQ283" s="22"/>
      <c r="AR283" s="22"/>
      <c r="AS283" s="22"/>
      <c r="AT283" s="22"/>
      <c r="AU283" s="35"/>
      <c r="AV283" s="35"/>
      <c r="AW283" s="35"/>
      <c r="AX283" s="35"/>
      <c r="AY283" s="35"/>
      <c r="AZ283" s="35"/>
      <c r="BA283" s="35"/>
      <c r="BB283" s="35"/>
      <c r="BC283" s="35"/>
      <c r="BD283" s="35"/>
      <c r="BE283" s="35"/>
      <c r="BF283" s="35"/>
      <c r="BG283" s="35"/>
      <c r="BH283" s="35"/>
      <c r="BI283" s="35"/>
      <c r="BJ283" s="35"/>
      <c r="BK283" s="35"/>
      <c r="BL283" s="35"/>
      <c r="BM283" s="35"/>
      <c r="BN283" s="35"/>
      <c r="BO283" s="86"/>
    </row>
    <row r="284" spans="1:67" s="55" customFormat="1" ht="15.75" customHeight="1" x14ac:dyDescent="0.25">
      <c r="A284" s="520">
        <f>IFERROR(VLOOKUP($G$5,'רשימת רשויות'!A:C,3,0),0)</f>
        <v>0</v>
      </c>
      <c r="B284" s="520">
        <f t="shared" si="36"/>
        <v>0</v>
      </c>
      <c r="C284" s="39"/>
      <c r="D284" s="1134"/>
      <c r="E284" s="1137"/>
      <c r="F284" s="589" t="s">
        <v>46</v>
      </c>
      <c r="G284" s="130">
        <f>IF(G270="תקין",SUMIFS('דוח הוצאות בפועל (4)'!$E$17:$E$3016,'דוח הוצאות בפועל (4)'!$B$17:$B$3016,'בית ספר - תקצוב לפי מוסד (9)'!$G265,'דוח הוצאות בפועל (4)'!$M$17:$M$3016,"מל"),0)-Y284</f>
        <v>0</v>
      </c>
      <c r="H284" s="132"/>
      <c r="I284" s="133"/>
      <c r="J284" s="104"/>
      <c r="K284" s="1139"/>
      <c r="L284" s="407"/>
      <c r="M284" s="393"/>
      <c r="N284" s="393"/>
      <c r="O284" s="602"/>
      <c r="P284" s="1141"/>
      <c r="Q284" s="1142"/>
      <c r="R284" s="596"/>
      <c r="S284" s="610" t="s">
        <v>46</v>
      </c>
      <c r="T284" s="599">
        <f>G265</f>
        <v>0</v>
      </c>
      <c r="U284" s="578"/>
      <c r="V284" s="579">
        <f t="shared" si="39"/>
        <v>0</v>
      </c>
      <c r="W284" s="579">
        <f t="shared" si="37"/>
        <v>0</v>
      </c>
      <c r="X284" s="579">
        <f>IFERROR(W293*W284/(SUM(W279:W292)),0)</f>
        <v>0</v>
      </c>
      <c r="Y284" s="879">
        <f>SUMIFS(בקרה!$S:$S,בקרה!$D:$D,T284,בקרה!$K:$K,S284)</f>
        <v>0</v>
      </c>
      <c r="Z284" s="121"/>
      <c r="AA284" s="143"/>
      <c r="AB284" s="143"/>
      <c r="AC284" s="504">
        <v>0</v>
      </c>
      <c r="AD284" s="505">
        <f t="shared" si="38"/>
        <v>0</v>
      </c>
      <c r="AE284" s="143"/>
      <c r="AJ284" s="22"/>
      <c r="AO284" s="22"/>
      <c r="AP284" s="22"/>
      <c r="AQ284" s="22"/>
      <c r="AR284" s="22"/>
      <c r="AS284" s="22"/>
      <c r="AT284" s="22"/>
      <c r="AU284" s="35"/>
      <c r="AV284" s="35"/>
      <c r="AW284" s="35"/>
      <c r="AX284" s="35"/>
      <c r="AY284" s="35"/>
      <c r="AZ284" s="35"/>
      <c r="BA284" s="35"/>
      <c r="BB284" s="35"/>
      <c r="BC284" s="35"/>
      <c r="BD284" s="35"/>
      <c r="BE284" s="35"/>
      <c r="BF284" s="35"/>
      <c r="BG284" s="35"/>
      <c r="BH284" s="35"/>
      <c r="BI284" s="35"/>
      <c r="BJ284" s="35"/>
      <c r="BK284" s="35"/>
      <c r="BL284" s="35"/>
      <c r="BM284" s="35"/>
      <c r="BN284" s="35"/>
      <c r="BO284" s="86"/>
    </row>
    <row r="285" spans="1:67" s="55" customFormat="1" ht="15" customHeight="1" x14ac:dyDescent="0.25">
      <c r="A285" s="520">
        <f>IFERROR(VLOOKUP($G$5,'רשימת רשויות'!A:C,3,0),0)</f>
        <v>0</v>
      </c>
      <c r="B285" s="520">
        <f t="shared" si="36"/>
        <v>0</v>
      </c>
      <c r="C285" s="39"/>
      <c r="D285" s="1134"/>
      <c r="E285" s="1137"/>
      <c r="F285" s="591" t="s">
        <v>23</v>
      </c>
      <c r="G285" s="134">
        <f>SUM(G279:G284)</f>
        <v>0</v>
      </c>
      <c r="H285" s="135">
        <f>SUM(H279:H284)</f>
        <v>0</v>
      </c>
      <c r="I285" s="128">
        <f>IFERROR(G285/H285,0)</f>
        <v>0</v>
      </c>
      <c r="J285" s="136">
        <f>SUM(J279:J284)</f>
        <v>0</v>
      </c>
      <c r="K285" s="137">
        <f>SUM(K279:K284)</f>
        <v>0</v>
      </c>
      <c r="L285" s="408"/>
      <c r="M285" s="394"/>
      <c r="N285" s="394"/>
      <c r="O285" s="602"/>
      <c r="P285" s="620">
        <f>SUM(P279:P284)</f>
        <v>0</v>
      </c>
      <c r="Q285" s="620">
        <f>SUM(Q279:Q284)</f>
        <v>0</v>
      </c>
      <c r="R285" s="596"/>
      <c r="S285" s="610"/>
      <c r="T285" s="599">
        <f>G265</f>
        <v>0</v>
      </c>
      <c r="U285" s="578"/>
      <c r="V285" s="579"/>
      <c r="W285" s="579">
        <f t="shared" si="37"/>
        <v>0</v>
      </c>
      <c r="X285" s="579"/>
      <c r="Y285" s="879"/>
      <c r="Z285" s="121"/>
      <c r="AA285" s="143"/>
      <c r="AB285" s="143"/>
      <c r="AC285" s="504"/>
      <c r="AD285" s="505">
        <f t="shared" si="38"/>
        <v>0</v>
      </c>
      <c r="AE285" s="143"/>
      <c r="AJ285" s="22"/>
      <c r="AL285" s="22"/>
      <c r="AM285" s="22"/>
      <c r="AN285" s="22"/>
      <c r="AO285" s="22"/>
      <c r="AP285" s="22"/>
      <c r="AQ285" s="22"/>
      <c r="AR285" s="22"/>
      <c r="AS285" s="22"/>
      <c r="AT285" s="22"/>
      <c r="AU285" s="35"/>
      <c r="AV285" s="35"/>
      <c r="AW285" s="35"/>
      <c r="AX285" s="35"/>
      <c r="AY285" s="35"/>
      <c r="AZ285" s="35"/>
      <c r="BA285" s="35"/>
      <c r="BB285" s="35"/>
      <c r="BC285" s="35"/>
      <c r="BD285" s="35"/>
      <c r="BE285" s="35"/>
      <c r="BF285" s="35"/>
      <c r="BG285" s="35"/>
      <c r="BH285" s="35"/>
      <c r="BI285" s="35"/>
      <c r="BJ285" s="35"/>
      <c r="BK285" s="35"/>
      <c r="BL285" s="35"/>
      <c r="BM285" s="35"/>
      <c r="BN285" s="35"/>
      <c r="BO285" s="86"/>
    </row>
    <row r="286" spans="1:67" s="55" customFormat="1" ht="15" customHeight="1" x14ac:dyDescent="0.25">
      <c r="A286" s="520">
        <f>IFERROR(VLOOKUP($G$5,'רשימת רשויות'!A:C,3,0),0)</f>
        <v>0</v>
      </c>
      <c r="B286" s="520">
        <f t="shared" si="36"/>
        <v>0</v>
      </c>
      <c r="C286" s="39"/>
      <c r="D286" s="1134"/>
      <c r="E286" s="1137"/>
      <c r="F286" s="589" t="s">
        <v>3</v>
      </c>
      <c r="G286" s="117">
        <f>IF(G270="תקין",SUMIFS('דוח הוצאות בפועל (4)'!$E$17:$E$3016,'דוח הוצאות בפועל (4)'!$B$17:$B$3016,'בית ספר - תקצוב לפי מוסד (9)'!$G265,'דוח הוצאות בפועל (4)'!$M$17:$M$3016,"ני")+SUMIFS('דוח הוצאות בפועל (4)'!$E$17:$E$3016,'דוח הוצאות בפועל (4)'!$B$17:$B$3016,'בית ספר - תקצוב לפי מוסד (9)'!$G265,'דוח הוצאות בפועל (4)'!$M$17:$M$3016,"על"),0)-Y286</f>
        <v>0</v>
      </c>
      <c r="H286" s="117">
        <f>H267</f>
        <v>0</v>
      </c>
      <c r="I286" s="138">
        <f>IFERROR(G286/H286,0)</f>
        <v>0</v>
      </c>
      <c r="J286" s="117">
        <f>IFERROR(IF(G286/H288&gt;0.15,MIN(H288*0.15,H286),MIN(H286,IF(ISNUMBER(G286),G286,0))),0)</f>
        <v>0</v>
      </c>
      <c r="K286" s="120">
        <f>MAX(H286-G286,0)</f>
        <v>0</v>
      </c>
      <c r="L286" s="407"/>
      <c r="M286" s="393"/>
      <c r="N286" s="393"/>
      <c r="O286" s="602"/>
      <c r="P286" s="620">
        <f>IF(I286&lt;100%,MIN(H286-G286,H286*0.25),0)</f>
        <v>0</v>
      </c>
      <c r="Q286" s="620">
        <f>MAX(MIN(IF(G286-H286&gt;0,G286-H286,0),$H288*0.15-H286-J287),0)</f>
        <v>0</v>
      </c>
      <c r="R286" s="596"/>
      <c r="S286" s="610" t="s">
        <v>3</v>
      </c>
      <c r="T286" s="599">
        <f>G265</f>
        <v>0</v>
      </c>
      <c r="U286" s="578"/>
      <c r="V286" s="579">
        <f t="shared" ref="V286" si="40">G286</f>
        <v>0</v>
      </c>
      <c r="W286" s="579">
        <f t="shared" si="37"/>
        <v>0</v>
      </c>
      <c r="X286" s="579"/>
      <c r="Y286" s="879"/>
      <c r="Z286" s="121"/>
      <c r="AA286" s="143"/>
      <c r="AB286" s="143"/>
      <c r="AC286" s="504">
        <v>0</v>
      </c>
      <c r="AD286" s="505">
        <f t="shared" si="38"/>
        <v>0</v>
      </c>
      <c r="AE286" s="143"/>
      <c r="AG286" s="22"/>
      <c r="AH286" s="22"/>
      <c r="AI286" s="22"/>
      <c r="AJ286" s="22"/>
      <c r="AK286" s="22"/>
      <c r="AL286" s="22"/>
      <c r="AM286" s="22"/>
      <c r="AN286" s="22"/>
      <c r="AO286" s="22"/>
      <c r="AP286" s="22"/>
      <c r="AQ286" s="22"/>
      <c r="AR286" s="22"/>
      <c r="AS286" s="22"/>
      <c r="AT286" s="22"/>
      <c r="AU286" s="35"/>
      <c r="AV286" s="35"/>
      <c r="AW286" s="35"/>
      <c r="AX286" s="35"/>
      <c r="AY286" s="35"/>
      <c r="AZ286" s="35"/>
      <c r="BA286" s="35"/>
      <c r="BB286" s="35"/>
      <c r="BC286" s="35"/>
      <c r="BD286" s="35"/>
      <c r="BE286" s="35"/>
      <c r="BF286" s="35"/>
      <c r="BG286" s="35"/>
      <c r="BH286" s="35"/>
      <c r="BI286" s="35"/>
      <c r="BJ286" s="35"/>
      <c r="BK286" s="35"/>
      <c r="BL286" s="35"/>
      <c r="BM286" s="35"/>
      <c r="BN286" s="35"/>
      <c r="BO286" s="86"/>
    </row>
    <row r="287" spans="1:67" s="55" customFormat="1" ht="15.75" customHeight="1" x14ac:dyDescent="0.25">
      <c r="A287" s="520">
        <f>IFERROR(VLOOKUP($G$5,'רשימת רשויות'!A:C,3,0),0)</f>
        <v>0</v>
      </c>
      <c r="B287" s="520">
        <f t="shared" si="36"/>
        <v>0</v>
      </c>
      <c r="C287" s="39"/>
      <c r="D287" s="1134"/>
      <c r="E287" s="1137"/>
      <c r="F287" s="589" t="s">
        <v>2918</v>
      </c>
      <c r="G287" s="117">
        <f>0.07*(G281+G280)</f>
        <v>0</v>
      </c>
      <c r="H287" s="117">
        <f>H269</f>
        <v>0</v>
      </c>
      <c r="I287" s="138">
        <f>IFERROR(G287/H287,0)</f>
        <v>0</v>
      </c>
      <c r="J287" s="117">
        <f>IFERROR(MIN(0.07*(G280+G281),0.07*I269),0)</f>
        <v>0</v>
      </c>
      <c r="K287" s="120">
        <f>MAX(H287-G287,0)</f>
        <v>0</v>
      </c>
      <c r="L287" s="407"/>
      <c r="M287" s="393"/>
      <c r="N287" s="393"/>
      <c r="O287" s="602"/>
      <c r="P287" s="620"/>
      <c r="Q287" s="619"/>
      <c r="R287" s="596"/>
      <c r="S287" s="611"/>
      <c r="T287" s="599">
        <f>G265</f>
        <v>0</v>
      </c>
      <c r="U287" s="578"/>
      <c r="V287" s="579"/>
      <c r="W287" s="579">
        <f t="shared" si="37"/>
        <v>0</v>
      </c>
      <c r="X287" s="579"/>
      <c r="Y287" s="879"/>
      <c r="Z287" s="121"/>
      <c r="AA287" s="143"/>
      <c r="AB287" s="143"/>
      <c r="AC287" s="504"/>
      <c r="AD287" s="505"/>
      <c r="AE287" s="143"/>
      <c r="AF287" s="140"/>
      <c r="AG287" s="22"/>
      <c r="AH287" s="22"/>
      <c r="AI287" s="22"/>
      <c r="AJ287" s="22"/>
      <c r="AK287" s="22"/>
      <c r="AL287" s="22"/>
      <c r="AM287" s="22"/>
      <c r="AN287" s="22"/>
      <c r="AO287" s="22"/>
      <c r="AP287" s="22"/>
      <c r="AQ287" s="22"/>
      <c r="AR287" s="22"/>
      <c r="AS287" s="22"/>
      <c r="AT287" s="22"/>
      <c r="AU287" s="35"/>
      <c r="AV287" s="35"/>
      <c r="AW287" s="35"/>
      <c r="AX287" s="35"/>
      <c r="AY287" s="35"/>
      <c r="AZ287" s="35"/>
      <c r="BA287" s="35"/>
      <c r="BB287" s="35"/>
      <c r="BC287" s="35"/>
      <c r="BD287" s="35"/>
      <c r="BE287" s="35"/>
      <c r="BF287" s="35"/>
      <c r="BG287" s="35"/>
      <c r="BH287" s="35"/>
      <c r="BI287" s="35"/>
      <c r="BJ287" s="35"/>
      <c r="BK287" s="35"/>
      <c r="BL287" s="35"/>
      <c r="BM287" s="35"/>
      <c r="BN287" s="35"/>
      <c r="BO287" s="86"/>
    </row>
    <row r="288" spans="1:67" ht="15.75" customHeight="1" x14ac:dyDescent="0.25">
      <c r="A288" s="520">
        <f>IFERROR(VLOOKUP($G$5,'רשימת רשויות'!A:C,3,0),0)</f>
        <v>0</v>
      </c>
      <c r="B288" s="520">
        <f t="shared" si="36"/>
        <v>0</v>
      </c>
      <c r="D288" s="1134"/>
      <c r="E288" s="1137"/>
      <c r="F288" s="591" t="s">
        <v>15</v>
      </c>
      <c r="G288" s="134">
        <f>G285+G286+G287</f>
        <v>0</v>
      </c>
      <c r="H288" s="134">
        <f>H285+H286+H287</f>
        <v>0</v>
      </c>
      <c r="I288" s="138">
        <f>IFERROR(G288/H288,0)</f>
        <v>0</v>
      </c>
      <c r="J288" s="139">
        <f>J285+J286+J287</f>
        <v>0</v>
      </c>
      <c r="K288" s="137">
        <f>K286+K285+K287</f>
        <v>0</v>
      </c>
      <c r="L288" s="408"/>
      <c r="M288" s="394"/>
      <c r="N288" s="394"/>
      <c r="O288" s="602"/>
      <c r="P288" s="621">
        <f>SUM(P285:P286)</f>
        <v>0</v>
      </c>
      <c r="Q288" s="622">
        <f>Q285+Q286</f>
        <v>0</v>
      </c>
      <c r="R288" s="596"/>
      <c r="S288" s="611"/>
      <c r="T288" s="599">
        <f>G265</f>
        <v>0</v>
      </c>
      <c r="U288" s="578"/>
      <c r="V288" s="579"/>
      <c r="W288" s="579">
        <f t="shared" si="37"/>
        <v>0</v>
      </c>
      <c r="X288" s="579"/>
      <c r="Y288" s="879"/>
      <c r="Z288" s="106"/>
      <c r="AC288" s="504"/>
      <c r="AD288" s="505"/>
      <c r="AH288" s="143"/>
      <c r="BO288" s="86"/>
    </row>
    <row r="289" spans="1:67" ht="15.75" customHeight="1" x14ac:dyDescent="0.25">
      <c r="A289" s="520">
        <f>IFERROR(VLOOKUP($G$5,'רשימת רשויות'!A:C,3,0),0)</f>
        <v>0</v>
      </c>
      <c r="B289" s="520">
        <f t="shared" si="36"/>
        <v>0</v>
      </c>
      <c r="D289" s="1134"/>
      <c r="E289" s="1137"/>
      <c r="F289" s="589" t="s">
        <v>2261</v>
      </c>
      <c r="G289" s="117">
        <f>IF(G270="תקין",SUMIF('תשלומי הורים ומלגות להורים (5) '!$B$18:$B$517,$G265,'תשלומי הורים ומלגות להורים (5) '!$C$18:$C$517),0)</f>
        <v>0</v>
      </c>
      <c r="H289" s="117">
        <f>(G268+G269)*$G$7</f>
        <v>0</v>
      </c>
      <c r="I289" s="141"/>
      <c r="J289" s="141"/>
      <c r="K289" s="142"/>
      <c r="L289" s="395"/>
      <c r="M289" s="395"/>
      <c r="N289" s="395"/>
      <c r="O289" s="602"/>
      <c r="P289" s="623"/>
      <c r="Q289" s="619"/>
      <c r="R289" s="596"/>
      <c r="S289" s="612"/>
      <c r="T289" s="599">
        <f>G265</f>
        <v>0</v>
      </c>
      <c r="U289" s="578"/>
      <c r="V289" s="579"/>
      <c r="W289" s="579">
        <f t="shared" si="37"/>
        <v>0</v>
      </c>
      <c r="X289" s="579"/>
      <c r="Y289" s="879"/>
      <c r="Z289" s="121"/>
      <c r="AA289" s="143"/>
      <c r="AB289" s="143"/>
      <c r="AC289" s="504"/>
      <c r="AD289" s="505"/>
      <c r="AE289" s="143"/>
      <c r="AF289" s="148"/>
      <c r="BO289" s="86"/>
    </row>
    <row r="290" spans="1:67" ht="15.75" customHeight="1" thickBot="1" x14ac:dyDescent="0.3">
      <c r="A290" s="520">
        <f>IFERROR(VLOOKUP($G$5,'רשימת רשויות'!A:C,3,0),0)</f>
        <v>0</v>
      </c>
      <c r="B290" s="520">
        <f t="shared" si="36"/>
        <v>0</v>
      </c>
      <c r="D290" s="1134"/>
      <c r="E290" s="1137"/>
      <c r="F290" s="592" t="s">
        <v>21</v>
      </c>
      <c r="G290" s="144">
        <f>G288-G289</f>
        <v>0</v>
      </c>
      <c r="H290" s="144">
        <f>H288-H289</f>
        <v>0</v>
      </c>
      <c r="I290" s="145"/>
      <c r="J290" s="145"/>
      <c r="K290" s="146"/>
      <c r="L290" s="396"/>
      <c r="M290" s="396"/>
      <c r="N290" s="396"/>
      <c r="O290" s="602"/>
      <c r="P290" s="619"/>
      <c r="Q290" s="619"/>
      <c r="R290" s="596"/>
      <c r="S290" s="612"/>
      <c r="T290" s="599">
        <f>G265</f>
        <v>0</v>
      </c>
      <c r="U290" s="578"/>
      <c r="V290" s="579"/>
      <c r="W290" s="579">
        <f t="shared" si="37"/>
        <v>0</v>
      </c>
      <c r="X290" s="579"/>
      <c r="Y290" s="879"/>
      <c r="Z290" s="147"/>
      <c r="AA290" s="148"/>
      <c r="AB290" s="148"/>
      <c r="AC290" s="504"/>
      <c r="AD290" s="505"/>
      <c r="AE290" s="148"/>
      <c r="AF290" s="148"/>
      <c r="BO290" s="86"/>
    </row>
    <row r="291" spans="1:67" ht="15.75" customHeight="1" thickBot="1" x14ac:dyDescent="0.3">
      <c r="A291" s="520">
        <f>IFERROR(VLOOKUP($G$5,'רשימת רשויות'!A:C,3,0),0)</f>
        <v>0</v>
      </c>
      <c r="B291" s="520">
        <f t="shared" si="36"/>
        <v>0</v>
      </c>
      <c r="D291" s="1134"/>
      <c r="E291" s="1137"/>
      <c r="F291" s="580"/>
      <c r="G291" s="580"/>
      <c r="H291" s="147"/>
      <c r="I291" s="149" t="s">
        <v>2197</v>
      </c>
      <c r="J291" s="150">
        <f>MAX(MIN(P288,Q288),0)</f>
        <v>0</v>
      </c>
      <c r="K291" s="580"/>
      <c r="L291" s="580"/>
      <c r="M291" s="580"/>
      <c r="N291" s="580"/>
      <c r="O291" s="580"/>
      <c r="P291" s="615" t="s">
        <v>2317</v>
      </c>
      <c r="Q291" s="624">
        <f>SUM(Q292:Q293)</f>
        <v>0</v>
      </c>
      <c r="R291" s="596"/>
      <c r="S291" s="612"/>
      <c r="T291" s="599">
        <f>G265</f>
        <v>0</v>
      </c>
      <c r="U291" s="578"/>
      <c r="V291" s="579"/>
      <c r="W291" s="579">
        <f t="shared" si="37"/>
        <v>0</v>
      </c>
      <c r="X291" s="579"/>
      <c r="Y291" s="879"/>
      <c r="Z291" s="106"/>
      <c r="AC291" s="504"/>
      <c r="AD291" s="505"/>
      <c r="AF291" s="148"/>
      <c r="BO291" s="86"/>
    </row>
    <row r="292" spans="1:67" ht="16.5" thickBot="1" x14ac:dyDescent="0.3">
      <c r="A292" s="520">
        <f>IFERROR(VLOOKUP($G$5,'רשימת רשויות'!A:C,3,0),0)</f>
        <v>0</v>
      </c>
      <c r="B292" s="520">
        <f t="shared" si="36"/>
        <v>0</v>
      </c>
      <c r="D292" s="1134"/>
      <c r="E292" s="1137"/>
      <c r="F292" s="580"/>
      <c r="G292" s="580"/>
      <c r="H292" s="580"/>
      <c r="I292" s="84" t="s">
        <v>2193</v>
      </c>
      <c r="J292" s="515" t="str">
        <f>IFERROR(1-H289/H288,"")</f>
        <v/>
      </c>
      <c r="K292" s="580"/>
      <c r="L292" s="580"/>
      <c r="M292" s="580"/>
      <c r="N292" s="580"/>
      <c r="O292" s="580"/>
      <c r="P292" s="615" t="s">
        <v>417</v>
      </c>
      <c r="Q292" s="616">
        <f>IFERROR(MAX(H290-I293-Q293,0),0)</f>
        <v>0</v>
      </c>
      <c r="R292" s="596"/>
      <c r="S292" s="600"/>
      <c r="T292" s="599">
        <f>G265</f>
        <v>0</v>
      </c>
      <c r="U292" s="578"/>
      <c r="V292" s="579"/>
      <c r="W292" s="579">
        <f t="shared" si="37"/>
        <v>0</v>
      </c>
      <c r="X292" s="579"/>
      <c r="Y292" s="879"/>
      <c r="Z292" s="106"/>
      <c r="AC292" s="504"/>
      <c r="AD292" s="505"/>
      <c r="BO292" s="86"/>
    </row>
    <row r="293" spans="1:67" ht="17.25" thickBot="1" x14ac:dyDescent="0.3">
      <c r="A293" s="520">
        <f>IFERROR(VLOOKUP($G$5,'רשימת רשויות'!A:C,3,0),0)</f>
        <v>0</v>
      </c>
      <c r="B293" s="520">
        <f t="shared" si="36"/>
        <v>0</v>
      </c>
      <c r="D293" s="1134"/>
      <c r="E293" s="1137"/>
      <c r="F293" s="1143" t="s">
        <v>2679</v>
      </c>
      <c r="G293" s="1143"/>
      <c r="H293" s="1143"/>
      <c r="I293" s="722">
        <f>IF(G270="לא תקין","לא קיימת זכאות לתקציב לאור אי איוש משרות רכז ו/או סגן רכז ",IFERROR(J292*(J291+J288),0))</f>
        <v>0</v>
      </c>
      <c r="J293" s="573"/>
      <c r="K293" s="574"/>
      <c r="L293" s="396"/>
      <c r="M293" s="574"/>
      <c r="N293" s="574"/>
      <c r="O293" s="574"/>
      <c r="P293" s="615" t="s">
        <v>2279</v>
      </c>
      <c r="Q293" s="616">
        <f>MAX(IF(AND(G288&gt;H288,I293&lt;H290),H290-I293,0),0)</f>
        <v>0</v>
      </c>
      <c r="R293" s="575"/>
      <c r="S293" s="576" t="s">
        <v>67</v>
      </c>
      <c r="T293" s="577">
        <f>G265</f>
        <v>0</v>
      </c>
      <c r="U293" s="578"/>
      <c r="V293" s="579">
        <f>I293</f>
        <v>0</v>
      </c>
      <c r="W293" s="579">
        <f>IFERROR(U293-V293,0)</f>
        <v>0</v>
      </c>
      <c r="X293" s="579">
        <f>SUM(X279:X292)</f>
        <v>0</v>
      </c>
      <c r="Y293" s="879"/>
      <c r="Z293" s="106"/>
      <c r="AC293" s="506">
        <v>0</v>
      </c>
      <c r="AD293" s="507">
        <f>IFERROR(U293-AC293,0)</f>
        <v>0</v>
      </c>
      <c r="BO293" s="86"/>
    </row>
    <row r="294" spans="1:67" ht="16.5" thickBot="1" x14ac:dyDescent="0.3">
      <c r="A294" s="520">
        <f>IFERROR(VLOOKUP($G$5,'רשימת רשויות'!A:C,3,0),0)</f>
        <v>0</v>
      </c>
      <c r="B294" s="520">
        <f t="shared" si="36"/>
        <v>0</v>
      </c>
      <c r="D294" s="1135"/>
      <c r="E294" s="1138"/>
      <c r="F294" s="1144" t="s">
        <v>2793</v>
      </c>
      <c r="G294" s="1145"/>
      <c r="H294" s="1145"/>
      <c r="I294" s="593">
        <f>IFERROR(IF(G270="תקין",SUMIFS('סייעות רפואיות או אישיות (7)'!$Q$17:Q$384,'סייעות רפואיות או אישיות (7)'!C$17:C$384,G265),0),0)</f>
        <v>0</v>
      </c>
      <c r="J294" s="151"/>
      <c r="K294" s="152"/>
      <c r="L294" s="409"/>
      <c r="M294" s="152"/>
      <c r="N294" s="152"/>
      <c r="O294" s="152"/>
      <c r="P294" s="613"/>
      <c r="Q294" s="614"/>
      <c r="R294" s="475"/>
      <c r="S294" s="489"/>
      <c r="T294" s="490"/>
      <c r="U294" s="491"/>
      <c r="V294" s="492"/>
      <c r="W294" s="492"/>
      <c r="X294" s="492"/>
      <c r="Y294" s="880"/>
      <c r="Z294" s="153"/>
      <c r="AC294" s="581"/>
      <c r="AD294" s="582"/>
      <c r="BO294" s="86"/>
    </row>
    <row r="295" spans="1:67" ht="34.5" thickBot="1" x14ac:dyDescent="0.55000000000000004">
      <c r="A295" s="520">
        <f>IFERROR(VLOOKUP($G$5,'רשימת רשויות'!A:C,3,0),0)</f>
        <v>0</v>
      </c>
      <c r="B295" s="520">
        <f t="shared" si="36"/>
        <v>0</v>
      </c>
      <c r="E295" s="154"/>
      <c r="I295" s="143"/>
      <c r="J295" s="148"/>
      <c r="O295" s="148"/>
      <c r="T295" s="481"/>
      <c r="BO295" s="86"/>
    </row>
    <row r="296" spans="1:67" s="20" customFormat="1" ht="16.5" customHeight="1" thickBot="1" x14ac:dyDescent="0.3">
      <c r="A296" s="520">
        <f>IFERROR(VLOOKUP($G$5,'רשימת רשויות'!A:C,3,0),0)</f>
        <v>0</v>
      </c>
      <c r="B296" s="520">
        <f t="shared" si="36"/>
        <v>0</v>
      </c>
      <c r="C296" s="39"/>
      <c r="D296" s="1133">
        <f>D265+1</f>
        <v>10</v>
      </c>
      <c r="E296" s="1136" t="str">
        <f>IFERROR(CONCATENATE("בית הספר ",VLOOKUP(G296,'מצבת והרשמה (2)'!$C$21:$D$520,2,0)," - ",$G$5),"")</f>
        <v>בית הספר המוסד לא קיים - 0</v>
      </c>
      <c r="F296" s="720" t="s">
        <v>146</v>
      </c>
      <c r="G296" s="721">
        <f>IFERROR(VLOOKUP(D:D,'דוח ביצוע (3)'!$A$21:$C$900,2,0),0)</f>
        <v>0</v>
      </c>
      <c r="H296" s="79"/>
      <c r="I296" s="80" t="s">
        <v>150</v>
      </c>
      <c r="J296" s="80"/>
      <c r="K296" s="81"/>
      <c r="L296" s="392"/>
      <c r="M296" s="392"/>
      <c r="N296" s="392"/>
      <c r="O296" s="82"/>
      <c r="P296" s="470"/>
      <c r="Q296" s="471"/>
      <c r="R296" s="472"/>
      <c r="S296" s="883"/>
      <c r="T296" s="884"/>
      <c r="U296" s="486"/>
      <c r="V296" s="487"/>
      <c r="W296" s="487"/>
      <c r="X296" s="487"/>
      <c r="Y296" s="885"/>
      <c r="Z296" s="83"/>
      <c r="AC296" s="502"/>
      <c r="AD296" s="503"/>
      <c r="AO296" s="22"/>
      <c r="AP296" s="22"/>
      <c r="AQ296" s="22"/>
      <c r="AR296" s="22"/>
      <c r="AS296" s="22"/>
      <c r="AT296" s="22"/>
      <c r="AU296" s="35"/>
      <c r="AV296" s="35"/>
      <c r="AW296" s="35"/>
      <c r="AX296" s="35"/>
      <c r="AY296" s="35"/>
      <c r="AZ296" s="35"/>
      <c r="BA296" s="35"/>
      <c r="BB296" s="35"/>
      <c r="BC296" s="35"/>
      <c r="BD296" s="35"/>
      <c r="BE296" s="35"/>
      <c r="BF296" s="35"/>
      <c r="BG296" s="35"/>
      <c r="BH296" s="35"/>
      <c r="BI296" s="35"/>
      <c r="BJ296" s="35"/>
      <c r="BK296" s="35"/>
      <c r="BL296" s="35"/>
      <c r="BM296" s="35"/>
      <c r="BN296" s="35"/>
      <c r="BO296" s="78"/>
    </row>
    <row r="297" spans="1:67" s="20" customFormat="1" ht="16.5" thickBot="1" x14ac:dyDescent="0.3">
      <c r="A297" s="520">
        <f>IFERROR(VLOOKUP($G$5,'רשימת רשויות'!A:C,3,0),0)</f>
        <v>0</v>
      </c>
      <c r="B297" s="520">
        <f t="shared" si="36"/>
        <v>0</v>
      </c>
      <c r="C297" s="39"/>
      <c r="D297" s="1134"/>
      <c r="E297" s="1137"/>
      <c r="F297" s="583" t="s">
        <v>145</v>
      </c>
      <c r="G297" s="516" t="str">
        <f>IFERROR(IF((G299+G300)=0,"",IF(VLOOKUP(G296,'דוח ביצוע (3)'!$B$21:$K$900,5,0)&gt;149,"גדול",IF(AND(VLOOKUP(G296,'דוח ביצוע (3)'!$B$21:$K$900,5,0)&gt;0,VLOOKUP(G296,'דוח ביצוע (3)'!$B$21:$K$900,5,0)&lt;150),"קטן",0))),"")</f>
        <v/>
      </c>
      <c r="H297" s="723" t="s">
        <v>88</v>
      </c>
      <c r="I297" s="723" t="s">
        <v>13</v>
      </c>
      <c r="J297" s="725" t="s">
        <v>14</v>
      </c>
      <c r="K297" s="724" t="s">
        <v>94</v>
      </c>
      <c r="L297" s="594"/>
      <c r="M297" s="420" t="s">
        <v>2584</v>
      </c>
      <c r="N297" s="397" t="s">
        <v>413</v>
      </c>
      <c r="O297" s="398" t="s">
        <v>52</v>
      </c>
      <c r="P297" s="595"/>
      <c r="Q297" s="595"/>
      <c r="R297" s="596"/>
      <c r="S297" s="610"/>
      <c r="T297" s="881"/>
      <c r="U297" s="598"/>
      <c r="V297" s="599"/>
      <c r="W297" s="599"/>
      <c r="X297" s="599"/>
      <c r="Y297" s="879"/>
      <c r="Z297" s="85"/>
      <c r="AC297" s="493"/>
      <c r="AD297" s="495"/>
      <c r="AO297" s="22"/>
      <c r="AP297" s="22"/>
      <c r="AQ297" s="22"/>
      <c r="AR297" s="22"/>
      <c r="AS297" s="22"/>
      <c r="AT297" s="22"/>
      <c r="AU297" s="35"/>
      <c r="AV297" s="35"/>
      <c r="AW297" s="35"/>
      <c r="AX297" s="35"/>
      <c r="AY297" s="35"/>
      <c r="AZ297" s="35"/>
      <c r="BA297" s="35"/>
      <c r="BB297" s="35"/>
      <c r="BC297" s="35"/>
      <c r="BD297" s="35"/>
      <c r="BE297" s="35"/>
      <c r="BF297" s="35"/>
      <c r="BG297" s="35"/>
      <c r="BH297" s="35"/>
      <c r="BI297" s="35"/>
      <c r="BJ297" s="35"/>
      <c r="BK297" s="35"/>
      <c r="BL297" s="35"/>
      <c r="BM297" s="35"/>
      <c r="BN297" s="35"/>
      <c r="BO297" s="78"/>
    </row>
    <row r="298" spans="1:67" s="20" customFormat="1" ht="15.75" customHeight="1" thickBot="1" x14ac:dyDescent="0.3">
      <c r="A298" s="520">
        <f>IFERROR(VLOOKUP($G$5,'רשימת רשויות'!A:C,3,0),0)</f>
        <v>0</v>
      </c>
      <c r="B298" s="520">
        <f t="shared" si="36"/>
        <v>0</v>
      </c>
      <c r="C298" s="39"/>
      <c r="D298" s="1134"/>
      <c r="E298" s="1137"/>
      <c r="F298" s="584" t="s">
        <v>144</v>
      </c>
      <c r="G298" s="87">
        <f>IF(G301="תקין",IFERROR(VLOOKUP($G296,'דוח ביצוע (3)'!$B$21:$Q$900,12,0),0),0)</f>
        <v>0</v>
      </c>
      <c r="H298" s="88">
        <f>IFERROR(G299*$AH$6+G300*$AH$7,0)</f>
        <v>0</v>
      </c>
      <c r="I298" s="88">
        <f>IFERROR(G299*$AI$6+G300*$AI$7,0)</f>
        <v>0</v>
      </c>
      <c r="J298" s="88">
        <f>IFERROR(G299*$AJ$6+G300*$AJ$7,0)</f>
        <v>0</v>
      </c>
      <c r="K298" s="88">
        <f>IFERROR(G299*$AK$6+G300*$AK$7,0)</f>
        <v>0</v>
      </c>
      <c r="L298" s="405"/>
      <c r="M298" s="399" t="s">
        <v>427</v>
      </c>
      <c r="N298" s="400" t="str">
        <f>IFERROR(VLOOKUP($G296,'דוח ביצוע (3)'!$B:$AE,28,0),"")</f>
        <v/>
      </c>
      <c r="O298" s="89" t="str">
        <f>IFERROR(VLOOKUP($G296,'דוח ביצוע (3)'!B:AE,29,0),"")</f>
        <v/>
      </c>
      <c r="P298" s="595"/>
      <c r="Q298" s="595"/>
      <c r="R298" s="596"/>
      <c r="S298" s="610"/>
      <c r="T298" s="881"/>
      <c r="U298" s="598"/>
      <c r="V298" s="599"/>
      <c r="W298" s="599"/>
      <c r="X298" s="599"/>
      <c r="Y298" s="879"/>
      <c r="Z298" s="85"/>
      <c r="AC298" s="493"/>
      <c r="AD298" s="495"/>
      <c r="AO298" s="22"/>
      <c r="AP298" s="22"/>
      <c r="AQ298" s="22"/>
      <c r="AR298" s="22"/>
      <c r="AS298" s="22"/>
      <c r="AT298" s="22"/>
      <c r="AU298" s="35"/>
      <c r="AV298" s="35"/>
      <c r="AW298" s="35"/>
      <c r="AX298" s="35"/>
      <c r="AY298" s="35"/>
      <c r="AZ298" s="35"/>
      <c r="BA298" s="35"/>
      <c r="BB298" s="35"/>
      <c r="BC298" s="35"/>
      <c r="BD298" s="35"/>
      <c r="BE298" s="35"/>
      <c r="BF298" s="35"/>
      <c r="BG298" s="35"/>
      <c r="BH298" s="35"/>
      <c r="BI298" s="35"/>
      <c r="BJ298" s="35"/>
      <c r="BK298" s="35"/>
      <c r="BL298" s="35"/>
      <c r="BM298" s="35"/>
      <c r="BN298" s="35"/>
      <c r="BO298" s="78"/>
    </row>
    <row r="299" spans="1:67" s="20" customFormat="1" ht="32.25" thickBot="1" x14ac:dyDescent="0.3">
      <c r="A299" s="520">
        <f>IFERROR(VLOOKUP($G$5,'רשימת רשויות'!A:C,3,0),0)</f>
        <v>0</v>
      </c>
      <c r="B299" s="520">
        <f t="shared" si="36"/>
        <v>0</v>
      </c>
      <c r="C299" s="39"/>
      <c r="D299" s="1134"/>
      <c r="E299" s="1137"/>
      <c r="F299" s="585" t="s">
        <v>2195</v>
      </c>
      <c r="G299" s="89">
        <f>IF(G301="תקין",MAX(N301,0),0)</f>
        <v>0</v>
      </c>
      <c r="H299" s="725" t="s">
        <v>151</v>
      </c>
      <c r="I299" s="725" t="s">
        <v>91</v>
      </c>
      <c r="J299" s="970" t="s">
        <v>3396</v>
      </c>
      <c r="K299" s="601"/>
      <c r="L299" s="601"/>
      <c r="M299" s="983" t="s">
        <v>2585</v>
      </c>
      <c r="N299" s="400" t="str">
        <f>IFERROR(G298/15*N298*1.25,"")</f>
        <v/>
      </c>
      <c r="O299" s="89" t="str">
        <f>IFERROR(G298/15*O298*1.25,"")</f>
        <v/>
      </c>
      <c r="P299" s="595"/>
      <c r="Q299" s="595"/>
      <c r="R299" s="596"/>
      <c r="S299" s="610"/>
      <c r="T299" s="881"/>
      <c r="U299" s="598"/>
      <c r="V299" s="599"/>
      <c r="W299" s="599"/>
      <c r="X299" s="599"/>
      <c r="Y299" s="879"/>
      <c r="Z299" s="85"/>
      <c r="AC299" s="493"/>
      <c r="AD299" s="495"/>
      <c r="AG299" s="22"/>
      <c r="AH299" s="55"/>
      <c r="AI299" s="55"/>
      <c r="AJ299" s="55"/>
      <c r="AK299" s="55"/>
      <c r="AO299" s="22"/>
      <c r="AP299" s="22"/>
      <c r="AQ299" s="22"/>
      <c r="AR299" s="22"/>
      <c r="AS299" s="22"/>
      <c r="AT299" s="22"/>
      <c r="AU299" s="35"/>
      <c r="AV299" s="35"/>
      <c r="AW299" s="35"/>
      <c r="AX299" s="35"/>
      <c r="AY299" s="35"/>
      <c r="AZ299" s="35"/>
      <c r="BA299" s="35"/>
      <c r="BB299" s="35"/>
      <c r="BC299" s="35"/>
      <c r="BD299" s="35"/>
      <c r="BE299" s="35"/>
      <c r="BF299" s="35"/>
      <c r="BG299" s="35"/>
      <c r="BH299" s="35"/>
      <c r="BI299" s="35"/>
      <c r="BJ299" s="35"/>
      <c r="BK299" s="35"/>
      <c r="BL299" s="35"/>
      <c r="BM299" s="35"/>
      <c r="BN299" s="35"/>
      <c r="BO299" s="86"/>
    </row>
    <row r="300" spans="1:67" s="20" customFormat="1" ht="16.5" thickBot="1" x14ac:dyDescent="0.3">
      <c r="A300" s="520">
        <f>IFERROR(VLOOKUP($G$5,'רשימת רשויות'!A:C,3,0),0)</f>
        <v>0</v>
      </c>
      <c r="B300" s="520">
        <f t="shared" si="36"/>
        <v>0</v>
      </c>
      <c r="C300" s="39"/>
      <c r="D300" s="1134"/>
      <c r="E300" s="1137"/>
      <c r="F300" s="585" t="s">
        <v>2196</v>
      </c>
      <c r="G300" s="89">
        <f>IF(G301="תקין",MAX(O301,0),0)</f>
        <v>0</v>
      </c>
      <c r="H300" s="88">
        <f>(IFERROR(IF((G299+G300)=0,0,IF(G297="קטן",G298*$AH$10,G298*$AH$11)),0))+(IFERROR(IF((G299+G300)=0,0,VLOOKUP(G296,'דוח ביצוע (3)'!$B:$AH,33,0)),0))</f>
        <v>0</v>
      </c>
      <c r="I300" s="88">
        <f>IFERROR(IF((G299+G300)=0,0,IF(G297="קטן",G298*$AI$10,G298*$AI$11)),0)</f>
        <v>0</v>
      </c>
      <c r="J300" s="88">
        <f>IFERROR(IF((G299+G300)=0,0,VLOOKUP(G296,'דוח ביצוע (3)'!$B:$AH,32,0)),0)</f>
        <v>0</v>
      </c>
      <c r="K300" s="90"/>
      <c r="L300" s="90"/>
      <c r="M300" s="399" t="s">
        <v>412</v>
      </c>
      <c r="N300" s="400">
        <f>IFERROR(VLOOKUP($G296,'דוח ביצוע (3)'!$B$21:$U$500,18,0),0)</f>
        <v>0</v>
      </c>
      <c r="O300" s="401">
        <f>IFERROR(VLOOKUP($G296,'דוח ביצוע (3)'!$B$21:$U$500,19,0),0)</f>
        <v>0</v>
      </c>
      <c r="P300" s="595"/>
      <c r="Q300" s="595"/>
      <c r="R300" s="596"/>
      <c r="S300" s="610"/>
      <c r="T300" s="881"/>
      <c r="U300" s="598"/>
      <c r="V300" s="599"/>
      <c r="W300" s="599"/>
      <c r="X300" s="599"/>
      <c r="Y300" s="879"/>
      <c r="Z300" s="85"/>
      <c r="AC300" s="493"/>
      <c r="AD300" s="495"/>
      <c r="AG300" s="22"/>
      <c r="AH300" s="55"/>
      <c r="AI300" s="55"/>
      <c r="AJ300" s="55"/>
      <c r="AK300" s="55"/>
      <c r="AO300" s="22"/>
      <c r="AP300" s="22"/>
      <c r="AQ300" s="22"/>
      <c r="AR300" s="22"/>
      <c r="AS300" s="22"/>
      <c r="AT300" s="22"/>
      <c r="AU300" s="35"/>
      <c r="AV300" s="35"/>
      <c r="AW300" s="35"/>
      <c r="AX300" s="35"/>
      <c r="AY300" s="35"/>
      <c r="AZ300" s="35"/>
      <c r="BA300" s="35"/>
      <c r="BB300" s="35"/>
      <c r="BC300" s="35"/>
      <c r="BD300" s="35"/>
      <c r="BE300" s="35"/>
      <c r="BF300" s="35"/>
      <c r="BG300" s="35"/>
      <c r="BH300" s="35"/>
      <c r="BI300" s="35"/>
      <c r="BJ300" s="35"/>
      <c r="BK300" s="35"/>
      <c r="BL300" s="35"/>
      <c r="BM300" s="35"/>
      <c r="BN300" s="35"/>
      <c r="BO300" s="86"/>
    </row>
    <row r="301" spans="1:67" s="20" customFormat="1" ht="16.5" thickBot="1" x14ac:dyDescent="0.3">
      <c r="A301" s="520">
        <f>IFERROR(VLOOKUP($G$5,'רשימת רשויות'!A:C,3,0),0)</f>
        <v>0</v>
      </c>
      <c r="B301" s="520">
        <f t="shared" si="36"/>
        <v>0</v>
      </c>
      <c r="C301" s="39"/>
      <c r="D301" s="1134"/>
      <c r="E301" s="1137"/>
      <c r="F301" s="586" t="s">
        <v>2355</v>
      </c>
      <c r="G301" s="514">
        <f>IFERROR(IF(VLOOKUP('בית ספר - תקצוב לפי מוסד (9)'!G296,' איוש משרות (8)'!$C:$K,9,0)="תקין","תקין","לא תקין"),0)</f>
        <v>0</v>
      </c>
      <c r="H301" s="91"/>
      <c r="I301" s="91"/>
      <c r="J301" s="91"/>
      <c r="K301" s="90"/>
      <c r="L301" s="90"/>
      <c r="M301" s="402" t="s">
        <v>2586</v>
      </c>
      <c r="N301" s="403">
        <f>IFERROR(MIN(N299,N300),0)</f>
        <v>0</v>
      </c>
      <c r="O301" s="404">
        <f>IFERROR(MIN(O299,O300),0)</f>
        <v>0</v>
      </c>
      <c r="P301" s="595"/>
      <c r="Q301" s="595"/>
      <c r="R301" s="596"/>
      <c r="S301" s="610"/>
      <c r="T301" s="881"/>
      <c r="U301" s="598"/>
      <c r="V301" s="599"/>
      <c r="W301" s="599"/>
      <c r="X301" s="599"/>
      <c r="Y301" s="879"/>
      <c r="Z301" s="85"/>
      <c r="AC301" s="493"/>
      <c r="AD301" s="495"/>
      <c r="AG301" s="94"/>
      <c r="AH301" s="40"/>
      <c r="AI301" s="40"/>
      <c r="AJ301" s="40"/>
      <c r="AK301" s="40"/>
      <c r="AO301" s="22"/>
      <c r="AP301" s="22"/>
      <c r="AQ301" s="22"/>
      <c r="AR301" s="22"/>
      <c r="AS301" s="22"/>
      <c r="AT301" s="22"/>
      <c r="AU301" s="35"/>
      <c r="AV301" s="35"/>
      <c r="AW301" s="35"/>
      <c r="AX301" s="35"/>
      <c r="AY301" s="35"/>
      <c r="AZ301" s="35"/>
      <c r="BA301" s="35"/>
      <c r="BB301" s="35"/>
      <c r="BC301" s="35"/>
      <c r="BD301" s="35"/>
      <c r="BE301" s="35"/>
      <c r="BF301" s="35"/>
      <c r="BG301" s="35"/>
      <c r="BH301" s="35"/>
      <c r="BI301" s="35"/>
      <c r="BJ301" s="35"/>
      <c r="BK301" s="35"/>
      <c r="BL301" s="35"/>
      <c r="BM301" s="35"/>
      <c r="BN301" s="35"/>
      <c r="BO301" s="86"/>
    </row>
    <row r="302" spans="1:67" s="55" customFormat="1" ht="37.15" customHeight="1" thickBot="1" x14ac:dyDescent="0.3">
      <c r="A302" s="520">
        <f>IFERROR(VLOOKUP($G$5,'רשימת רשויות'!A:C,3,0),0)</f>
        <v>0</v>
      </c>
      <c r="B302" s="520">
        <f t="shared" si="36"/>
        <v>0</v>
      </c>
      <c r="C302" s="39"/>
      <c r="D302" s="1134"/>
      <c r="E302" s="1137"/>
      <c r="F302" s="587" t="s">
        <v>142</v>
      </c>
      <c r="G302" s="92"/>
      <c r="H302" s="92"/>
      <c r="I302" s="92"/>
      <c r="J302" s="92"/>
      <c r="K302" s="602"/>
      <c r="L302" s="602"/>
      <c r="M302" s="602"/>
      <c r="N302" s="602"/>
      <c r="O302" s="602"/>
      <c r="P302" s="595"/>
      <c r="Q302" s="595"/>
      <c r="R302" s="596"/>
      <c r="S302" s="610"/>
      <c r="T302" s="881"/>
      <c r="U302" s="598"/>
      <c r="V302" s="599"/>
      <c r="W302" s="599"/>
      <c r="X302" s="599"/>
      <c r="Y302" s="879"/>
      <c r="Z302" s="93"/>
      <c r="AC302" s="493"/>
      <c r="AD302" s="495"/>
      <c r="AF302" s="22"/>
      <c r="AG302" s="98"/>
      <c r="AH302" s="98"/>
      <c r="AI302" s="40"/>
      <c r="AJ302" s="40"/>
      <c r="AK302" s="40"/>
      <c r="AO302" s="22"/>
      <c r="AP302" s="22"/>
      <c r="AQ302" s="22"/>
      <c r="AR302" s="22"/>
      <c r="AS302" s="22"/>
      <c r="AT302" s="22"/>
      <c r="AU302" s="35"/>
      <c r="AV302" s="35"/>
      <c r="AW302" s="35"/>
      <c r="AX302" s="35"/>
      <c r="AY302" s="35"/>
      <c r="AZ302" s="35"/>
      <c r="BA302" s="35"/>
      <c r="BB302" s="35"/>
      <c r="BC302" s="35"/>
      <c r="BD302" s="35"/>
      <c r="BE302" s="35"/>
      <c r="BF302" s="35"/>
      <c r="BG302" s="35"/>
      <c r="BH302" s="35"/>
      <c r="BI302" s="35"/>
      <c r="BJ302" s="35"/>
      <c r="BK302" s="35"/>
      <c r="BL302" s="35"/>
      <c r="BM302" s="35"/>
      <c r="BN302" s="35"/>
      <c r="BO302" s="86"/>
    </row>
    <row r="303" spans="1:67" s="40" customFormat="1" ht="31.5" x14ac:dyDescent="0.25">
      <c r="A303" s="520">
        <f>IFERROR(VLOOKUP($G$5,'רשימת רשויות'!A:C,3,0),0)</f>
        <v>0</v>
      </c>
      <c r="B303" s="520">
        <f t="shared" si="36"/>
        <v>0</v>
      </c>
      <c r="C303" s="39"/>
      <c r="D303" s="1134"/>
      <c r="E303" s="1137"/>
      <c r="F303" s="588" t="s">
        <v>94</v>
      </c>
      <c r="G303" s="95" t="s">
        <v>18</v>
      </c>
      <c r="H303" s="95" t="s">
        <v>19</v>
      </c>
      <c r="I303" s="95" t="s">
        <v>138</v>
      </c>
      <c r="J303" s="96" t="s">
        <v>139</v>
      </c>
      <c r="K303" s="603"/>
      <c r="L303" s="603"/>
      <c r="M303" s="603"/>
      <c r="N303" s="603"/>
      <c r="O303" s="603"/>
      <c r="P303" s="604"/>
      <c r="Q303" s="604"/>
      <c r="R303" s="596"/>
      <c r="S303" s="610"/>
      <c r="T303" s="881"/>
      <c r="U303" s="598"/>
      <c r="V303" s="599"/>
      <c r="W303" s="599"/>
      <c r="X303" s="599"/>
      <c r="Y303" s="879"/>
      <c r="Z303" s="97"/>
      <c r="AA303" s="94"/>
      <c r="AB303" s="94"/>
      <c r="AC303" s="493"/>
      <c r="AD303" s="495"/>
      <c r="AE303" s="94"/>
      <c r="AG303" s="98"/>
      <c r="AH303" s="98"/>
      <c r="AO303" s="22"/>
      <c r="AP303" s="22"/>
      <c r="AQ303" s="22"/>
      <c r="AR303" s="22"/>
      <c r="AS303" s="22"/>
      <c r="AT303" s="22"/>
      <c r="AU303" s="35"/>
      <c r="AV303" s="35"/>
      <c r="AW303" s="35"/>
      <c r="AX303" s="35"/>
      <c r="AY303" s="35"/>
      <c r="AZ303" s="35"/>
      <c r="BA303" s="35"/>
      <c r="BB303" s="35"/>
      <c r="BC303" s="35"/>
      <c r="BD303" s="35"/>
      <c r="BE303" s="35"/>
      <c r="BF303" s="35"/>
      <c r="BG303" s="35"/>
      <c r="BH303" s="35"/>
      <c r="BI303" s="35"/>
      <c r="BJ303" s="35"/>
      <c r="BK303" s="35"/>
      <c r="BL303" s="35"/>
      <c r="BM303" s="35"/>
      <c r="BN303" s="35"/>
      <c r="BO303" s="86"/>
    </row>
    <row r="304" spans="1:67" s="40" customFormat="1" ht="15.75" customHeight="1" thickBot="1" x14ac:dyDescent="0.3">
      <c r="A304" s="520">
        <f>IFERROR(VLOOKUP($G$5,'רשימת רשויות'!A:C,3,0),0)</f>
        <v>0</v>
      </c>
      <c r="B304" s="520">
        <f t="shared" si="36"/>
        <v>0</v>
      </c>
      <c r="C304" s="39"/>
      <c r="D304" s="1134"/>
      <c r="E304" s="1137"/>
      <c r="F304" s="589" t="s">
        <v>2280</v>
      </c>
      <c r="G304" s="99">
        <f>+G315</f>
        <v>0</v>
      </c>
      <c r="H304" s="100">
        <f>K298</f>
        <v>0</v>
      </c>
      <c r="I304" s="100">
        <f>H304-I306</f>
        <v>0</v>
      </c>
      <c r="J304" s="101">
        <f>IFERROR(I304/H304,0)</f>
        <v>0</v>
      </c>
      <c r="K304" s="603"/>
      <c r="L304" s="603"/>
      <c r="M304" s="603"/>
      <c r="N304" s="603"/>
      <c r="O304" s="603"/>
      <c r="P304" s="605"/>
      <c r="Q304" s="604"/>
      <c r="R304" s="606" t="s">
        <v>157</v>
      </c>
      <c r="S304" s="611"/>
      <c r="T304" s="881"/>
      <c r="U304" s="598"/>
      <c r="V304" s="599"/>
      <c r="W304" s="599"/>
      <c r="X304" s="599"/>
      <c r="Y304" s="879"/>
      <c r="Z304" s="102"/>
      <c r="AA304" s="122"/>
      <c r="AB304" s="122"/>
      <c r="AC304" s="493"/>
      <c r="AD304" s="495"/>
      <c r="AE304" s="122"/>
      <c r="AF304" s="22"/>
      <c r="AG304" s="98"/>
      <c r="AH304" s="98"/>
      <c r="AI304" s="20"/>
      <c r="AO304" s="22"/>
      <c r="AP304" s="22"/>
      <c r="AQ304" s="22"/>
      <c r="AR304" s="22"/>
      <c r="AS304" s="22"/>
      <c r="AT304" s="22"/>
      <c r="AU304" s="35"/>
      <c r="AV304" s="35"/>
      <c r="AW304" s="35"/>
      <c r="AX304" s="35"/>
      <c r="AY304" s="35"/>
      <c r="AZ304" s="35"/>
      <c r="BA304" s="35"/>
      <c r="BB304" s="35"/>
      <c r="BC304" s="35"/>
      <c r="BD304" s="35"/>
      <c r="BE304" s="35"/>
      <c r="BF304" s="35"/>
      <c r="BG304" s="35"/>
      <c r="BH304" s="35"/>
      <c r="BI304" s="35"/>
      <c r="BJ304" s="35"/>
      <c r="BK304" s="35"/>
      <c r="BL304" s="35"/>
      <c r="BM304" s="35"/>
      <c r="BN304" s="35"/>
      <c r="BO304" s="86"/>
    </row>
    <row r="305" spans="1:67" s="40" customFormat="1" ht="15.75" customHeight="1" thickBot="1" x14ac:dyDescent="0.3">
      <c r="A305" s="520">
        <f>IFERROR(VLOOKUP($G$5,'רשימת רשויות'!A:C,3,0),0)</f>
        <v>0</v>
      </c>
      <c r="B305" s="520">
        <f t="shared" si="36"/>
        <v>0</v>
      </c>
      <c r="C305" s="39"/>
      <c r="D305" s="1134"/>
      <c r="E305" s="1137"/>
      <c r="F305" s="589" t="s">
        <v>2281</v>
      </c>
      <c r="G305" s="99">
        <f>+G314</f>
        <v>0</v>
      </c>
      <c r="H305" s="103"/>
      <c r="I305" s="104"/>
      <c r="J305" s="105"/>
      <c r="K305" s="603"/>
      <c r="L305" s="603"/>
      <c r="M305" s="603"/>
      <c r="N305" s="603"/>
      <c r="O305" s="603"/>
      <c r="P305" s="605"/>
      <c r="Q305" s="604"/>
      <c r="R305" s="473">
        <f>I306-R307</f>
        <v>0</v>
      </c>
      <c r="S305" s="611"/>
      <c r="T305" s="881"/>
      <c r="U305" s="598"/>
      <c r="V305" s="599"/>
      <c r="W305" s="599"/>
      <c r="X305" s="599"/>
      <c r="Y305" s="879"/>
      <c r="Z305" s="106"/>
      <c r="AA305" s="22"/>
      <c r="AB305" s="22"/>
      <c r="AC305" s="493"/>
      <c r="AD305" s="495"/>
      <c r="AE305" s="22"/>
      <c r="AF305" s="22"/>
      <c r="AG305" s="98"/>
      <c r="AH305" s="98"/>
      <c r="AI305" s="20"/>
      <c r="AO305" s="22"/>
      <c r="AP305" s="22"/>
      <c r="AQ305" s="22"/>
      <c r="AR305" s="22"/>
      <c r="AS305" s="22"/>
      <c r="AT305" s="22"/>
      <c r="AU305" s="35"/>
      <c r="AV305" s="35"/>
      <c r="AW305" s="35"/>
      <c r="AX305" s="35"/>
      <c r="AY305" s="35"/>
      <c r="AZ305" s="35"/>
      <c r="BA305" s="35"/>
      <c r="BB305" s="35"/>
      <c r="BC305" s="35"/>
      <c r="BD305" s="35"/>
      <c r="BE305" s="35"/>
      <c r="BF305" s="35"/>
      <c r="BG305" s="35"/>
      <c r="BH305" s="35"/>
      <c r="BI305" s="35"/>
      <c r="BJ305" s="35"/>
      <c r="BK305" s="35"/>
      <c r="BL305" s="35"/>
      <c r="BM305" s="35"/>
      <c r="BN305" s="35"/>
      <c r="BO305" s="86"/>
    </row>
    <row r="306" spans="1:67" s="40" customFormat="1" ht="16.5" customHeight="1" thickBot="1" x14ac:dyDescent="0.3">
      <c r="A306" s="520">
        <f>IFERROR(VLOOKUP($G$5,'רשימת רשויות'!A:C,3,0),0)</f>
        <v>0</v>
      </c>
      <c r="B306" s="520">
        <f t="shared" si="36"/>
        <v>0</v>
      </c>
      <c r="C306" s="39"/>
      <c r="D306" s="1134"/>
      <c r="E306" s="1137"/>
      <c r="F306" s="589" t="s">
        <v>2282</v>
      </c>
      <c r="G306" s="99">
        <f>G310+G311+G312</f>
        <v>0</v>
      </c>
      <c r="H306" s="104"/>
      <c r="I306" s="107">
        <f>MAX(H304-G304-G305,0)</f>
        <v>0</v>
      </c>
      <c r="J306" s="108">
        <f>IFERROR(I306/H304,0)</f>
        <v>0</v>
      </c>
      <c r="K306" s="603"/>
      <c r="L306" s="603"/>
      <c r="M306" s="603"/>
      <c r="N306" s="603"/>
      <c r="O306" s="603"/>
      <c r="P306" s="604"/>
      <c r="Q306" s="604"/>
      <c r="R306" s="606" t="s">
        <v>158</v>
      </c>
      <c r="S306" s="612"/>
      <c r="T306" s="881"/>
      <c r="U306" s="598"/>
      <c r="V306" s="599"/>
      <c r="W306" s="599"/>
      <c r="X306" s="599"/>
      <c r="Y306" s="879"/>
      <c r="Z306" s="106"/>
      <c r="AA306" s="22"/>
      <c r="AB306" s="22"/>
      <c r="AC306" s="493"/>
      <c r="AD306" s="495"/>
      <c r="AE306" s="22"/>
      <c r="AF306" s="22"/>
      <c r="AG306" s="22"/>
      <c r="AH306" s="22"/>
      <c r="AI306" s="55"/>
      <c r="AJ306" s="22"/>
      <c r="AK306" s="22"/>
      <c r="AO306" s="22"/>
      <c r="AP306" s="22"/>
      <c r="AQ306" s="22"/>
      <c r="AR306" s="22"/>
      <c r="AS306" s="22"/>
      <c r="AT306" s="22"/>
      <c r="AU306" s="35"/>
      <c r="AV306" s="35"/>
      <c r="AW306" s="35"/>
      <c r="AX306" s="35"/>
      <c r="AY306" s="35"/>
      <c r="AZ306" s="35"/>
      <c r="BA306" s="35"/>
      <c r="BB306" s="35"/>
      <c r="BC306" s="35"/>
      <c r="BD306" s="35"/>
      <c r="BE306" s="35"/>
      <c r="BF306" s="35"/>
      <c r="BG306" s="35"/>
      <c r="BH306" s="35"/>
      <c r="BI306" s="35"/>
      <c r="BJ306" s="35"/>
      <c r="BK306" s="35"/>
      <c r="BL306" s="35"/>
      <c r="BM306" s="35"/>
      <c r="BN306" s="35"/>
      <c r="BO306" s="86"/>
    </row>
    <row r="307" spans="1:67" s="40" customFormat="1" ht="15.75" customHeight="1" thickBot="1" x14ac:dyDescent="0.3">
      <c r="A307" s="520">
        <f>IFERROR(VLOOKUP($G$5,'רשימת רשויות'!A:C,3,0),0)</f>
        <v>0</v>
      </c>
      <c r="B307" s="520">
        <f t="shared" si="36"/>
        <v>0</v>
      </c>
      <c r="C307" s="39"/>
      <c r="D307" s="1134"/>
      <c r="E307" s="1137"/>
      <c r="F307" s="590" t="s">
        <v>2290</v>
      </c>
      <c r="G307" s="109"/>
      <c r="H307" s="110"/>
      <c r="I307" s="111">
        <f>SUM(I304:I306)</f>
        <v>0</v>
      </c>
      <c r="J307" s="112">
        <f>SUM(J304:J306)</f>
        <v>0</v>
      </c>
      <c r="K307" s="603"/>
      <c r="L307" s="603"/>
      <c r="M307" s="603"/>
      <c r="N307" s="603"/>
      <c r="O307" s="603"/>
      <c r="P307" s="604"/>
      <c r="Q307" s="604"/>
      <c r="R307" s="473">
        <f>MIN(MAX(G311+G312-I300-J300,0),I306)</f>
        <v>0</v>
      </c>
      <c r="S307" s="612"/>
      <c r="T307" s="881"/>
      <c r="U307" s="598"/>
      <c r="V307" s="599"/>
      <c r="W307" s="599"/>
      <c r="X307" s="599"/>
      <c r="Y307" s="879"/>
      <c r="Z307" s="106"/>
      <c r="AA307" s="22"/>
      <c r="AB307" s="22"/>
      <c r="AC307" s="493"/>
      <c r="AD307" s="495"/>
      <c r="AE307" s="22"/>
      <c r="AF307" s="22"/>
      <c r="AG307" s="22"/>
      <c r="AH307" s="22"/>
      <c r="AJ307" s="22"/>
      <c r="AK307" s="22"/>
      <c r="AO307" s="22"/>
      <c r="AP307" s="22"/>
      <c r="AQ307" s="22"/>
      <c r="AR307" s="22"/>
      <c r="AS307" s="22"/>
      <c r="AT307" s="22"/>
      <c r="AU307" s="35"/>
      <c r="AV307" s="35"/>
      <c r="AW307" s="35"/>
      <c r="AX307" s="35"/>
      <c r="AY307" s="35"/>
      <c r="AZ307" s="35"/>
      <c r="BA307" s="35"/>
      <c r="BB307" s="35"/>
      <c r="BC307" s="35"/>
      <c r="BD307" s="35"/>
      <c r="BE307" s="35"/>
      <c r="BF307" s="35"/>
      <c r="BG307" s="35"/>
      <c r="BH307" s="35"/>
      <c r="BI307" s="35"/>
      <c r="BJ307" s="35"/>
      <c r="BK307" s="35"/>
      <c r="BL307" s="35"/>
      <c r="BM307" s="35"/>
      <c r="BN307" s="35"/>
      <c r="BO307" s="86"/>
    </row>
    <row r="308" spans="1:67" ht="16.5" thickBot="1" x14ac:dyDescent="0.3">
      <c r="A308" s="520">
        <f>IFERROR(VLOOKUP($G$5,'רשימת רשויות'!A:C,3,0),0)</f>
        <v>0</v>
      </c>
      <c r="B308" s="520">
        <f t="shared" si="36"/>
        <v>0</v>
      </c>
      <c r="D308" s="1134"/>
      <c r="E308" s="1137"/>
      <c r="F308" s="587" t="s">
        <v>17</v>
      </c>
      <c r="G308" s="113"/>
      <c r="H308" s="92"/>
      <c r="I308" s="114"/>
      <c r="J308" s="115"/>
      <c r="K308" s="116"/>
      <c r="L308" s="406"/>
      <c r="M308" s="116"/>
      <c r="N308" s="116"/>
      <c r="O308" s="116"/>
      <c r="P308" s="474"/>
      <c r="Q308" s="607"/>
      <c r="R308" s="608"/>
      <c r="S308" s="612"/>
      <c r="T308" s="881"/>
      <c r="U308" s="598"/>
      <c r="V308" s="599"/>
      <c r="W308" s="599"/>
      <c r="X308" s="599"/>
      <c r="Y308" s="879"/>
      <c r="Z308" s="106"/>
      <c r="AI308" s="40"/>
      <c r="BO308" s="86"/>
    </row>
    <row r="309" spans="1:67" ht="47.25" x14ac:dyDescent="0.25">
      <c r="A309" s="520">
        <f>IFERROR(VLOOKUP($G$5,'רשימת רשויות'!A:C,3,0),0)</f>
        <v>0</v>
      </c>
      <c r="B309" s="520">
        <f t="shared" si="36"/>
        <v>0</v>
      </c>
      <c r="D309" s="1134"/>
      <c r="E309" s="1137"/>
      <c r="F309" s="588" t="s">
        <v>2</v>
      </c>
      <c r="G309" s="95" t="s">
        <v>18</v>
      </c>
      <c r="H309" s="95" t="s">
        <v>19</v>
      </c>
      <c r="I309" s="95" t="s">
        <v>20</v>
      </c>
      <c r="J309" s="95" t="s">
        <v>22</v>
      </c>
      <c r="K309" s="96" t="s">
        <v>2314</v>
      </c>
      <c r="L309" s="609"/>
      <c r="M309" s="609"/>
      <c r="N309" s="609"/>
      <c r="O309" s="580"/>
      <c r="P309" s="618" t="s">
        <v>2298</v>
      </c>
      <c r="Q309" s="618" t="s">
        <v>2299</v>
      </c>
      <c r="R309" s="596"/>
      <c r="S309" s="890" t="s">
        <v>2519</v>
      </c>
      <c r="T309" s="890" t="s">
        <v>97</v>
      </c>
      <c r="U309" s="891" t="s">
        <v>2521</v>
      </c>
      <c r="V309" s="892" t="s">
        <v>2520</v>
      </c>
      <c r="W309" s="893" t="s">
        <v>2524</v>
      </c>
      <c r="X309" s="892" t="s">
        <v>2522</v>
      </c>
      <c r="Y309" s="894" t="s">
        <v>2523</v>
      </c>
      <c r="Z309" s="106"/>
      <c r="AC309" s="498" t="s">
        <v>2568</v>
      </c>
      <c r="AD309" s="499" t="s">
        <v>2569</v>
      </c>
      <c r="AF309" s="122"/>
      <c r="AI309" s="40"/>
      <c r="BO309" s="86"/>
    </row>
    <row r="310" spans="1:67" ht="15" customHeight="1" thickBot="1" x14ac:dyDescent="0.3">
      <c r="A310" s="520">
        <f>IFERROR(VLOOKUP($G$5,'רשימת רשויות'!A:C,3,0),0)</f>
        <v>0</v>
      </c>
      <c r="B310" s="520">
        <f t="shared" si="36"/>
        <v>0</v>
      </c>
      <c r="D310" s="1134"/>
      <c r="E310" s="1137"/>
      <c r="F310" s="589" t="s">
        <v>76</v>
      </c>
      <c r="G310" s="117">
        <f>IF(G301="תקין",SUMIF('עלויות כח אדם (6)'!$B$15:$B$3014,'בית ספר - תקצוב לפי מוסד (9)'!$G296,'עלויות כח אדם (6)'!$M$15:$M$3014)-VLOOKUP('בית ספר - תקצוב לפי מוסד (9)'!G296,' איוש משרות (8)'!$C:$H,5,0)-VLOOKUP('בית ספר - תקצוב לפי מוסד (9)'!G296,' איוש משרות (8)'!$C:$H,6,0),0)-Y310</f>
        <v>0</v>
      </c>
      <c r="H310" s="118">
        <f>I298+R305</f>
        <v>0</v>
      </c>
      <c r="I310" s="119">
        <f>IFERROR(SUM(G310)/H310,0)</f>
        <v>0</v>
      </c>
      <c r="J310" s="100">
        <f>MIN(I298+R305,IF(ISNUMBER(G310),G310,0))</f>
        <v>0</v>
      </c>
      <c r="K310" s="120">
        <f>MAX(H310-G310,0)</f>
        <v>0</v>
      </c>
      <c r="L310" s="407"/>
      <c r="M310" s="393"/>
      <c r="N310" s="393"/>
      <c r="O310" s="580"/>
      <c r="P310" s="968">
        <f>IFERROR(IF(SUM(G310)/(I298)&lt;100%,MIN((I298)-SUM(G310),(I298)*0.25),0),0)</f>
        <v>0</v>
      </c>
      <c r="Q310" s="968">
        <f>IF(SUM(G310)-(I298+R305)&gt;0,SUM(G310)-(I298+R305),0)</f>
        <v>0</v>
      </c>
      <c r="R310" s="596" t="s">
        <v>2351</v>
      </c>
      <c r="S310" s="576" t="s">
        <v>2342</v>
      </c>
      <c r="T310" s="599">
        <f>G296</f>
        <v>0</v>
      </c>
      <c r="U310" s="578"/>
      <c r="V310" s="579">
        <f>G310+G311+G312</f>
        <v>0</v>
      </c>
      <c r="W310" s="579">
        <f>U310-V310</f>
        <v>0</v>
      </c>
      <c r="X310" s="579">
        <f>IFERROR(W324*W310/(SUM(W310:W323)),0)</f>
        <v>0</v>
      </c>
      <c r="Y310" s="879">
        <f>SUMIFS(בקרה!$S:$S,בקרה!$D:$D,T310,בקרה!$K:$K,S310)</f>
        <v>0</v>
      </c>
      <c r="Z310" s="121"/>
      <c r="AA310" s="143"/>
      <c r="AB310" s="143"/>
      <c r="AC310" s="504">
        <v>0</v>
      </c>
      <c r="AD310" s="505">
        <f>IFERROR(U310-AC310,0)</f>
        <v>0</v>
      </c>
      <c r="AE310" s="143"/>
      <c r="AI310" s="20"/>
      <c r="BO310" s="86"/>
    </row>
    <row r="311" spans="1:67" ht="15" customHeight="1" thickBot="1" x14ac:dyDescent="0.3">
      <c r="A311" s="520">
        <f>IFERROR(VLOOKUP($G$5,'רשימת רשויות'!A:C,3,0),0)</f>
        <v>0</v>
      </c>
      <c r="B311" s="520">
        <f t="shared" si="36"/>
        <v>0</v>
      </c>
      <c r="D311" s="1134"/>
      <c r="E311" s="1137"/>
      <c r="F311" s="589" t="s">
        <v>44</v>
      </c>
      <c r="G311" s="123">
        <f>IF(G301="תקין",IFERROR(VLOOKUP('בית ספר - תקצוב לפי מוסד (9)'!G296,' איוש משרות (8)'!C:J,7,0),0),0)</f>
        <v>0</v>
      </c>
      <c r="H311" s="124">
        <f>I300+R307+J300</f>
        <v>0</v>
      </c>
      <c r="I311" s="119">
        <f>IFERROR(SUM(G311:G312)/H311,0)</f>
        <v>0</v>
      </c>
      <c r="J311" s="100">
        <f>MIN(R307+I300,IF(ISNUMBER(SUM(G311:G312)),SUM(G311:G312),0))</f>
        <v>0</v>
      </c>
      <c r="K311" s="1139">
        <f>MAX((H311)-(G311+G312),0)</f>
        <v>0</v>
      </c>
      <c r="L311" s="407"/>
      <c r="M311" s="393"/>
      <c r="N311" s="393"/>
      <c r="O311" s="580"/>
      <c r="P311" s="1140"/>
      <c r="Q311" s="1140"/>
      <c r="R311" s="617">
        <f>MAX(MIN(P319-Q319,H319*0.15-G317),0)</f>
        <v>0</v>
      </c>
      <c r="S311" s="576"/>
      <c r="T311" s="599">
        <f>G296</f>
        <v>0</v>
      </c>
      <c r="U311" s="578"/>
      <c r="V311" s="579"/>
      <c r="W311" s="579">
        <f t="shared" ref="W311:W323" si="41">U311-V311</f>
        <v>0</v>
      </c>
      <c r="X311" s="579"/>
      <c r="Y311" s="879"/>
      <c r="Z311" s="121"/>
      <c r="AA311" s="143"/>
      <c r="AB311" s="143"/>
      <c r="AC311" s="504"/>
      <c r="AD311" s="505">
        <f t="shared" ref="AD311:AD317" si="42">IFERROR(U311-AC311,0)</f>
        <v>0</v>
      </c>
      <c r="AE311" s="143"/>
      <c r="AI311" s="20"/>
      <c r="BO311" s="86"/>
    </row>
    <row r="312" spans="1:67" ht="15.75" customHeight="1" x14ac:dyDescent="0.25">
      <c r="A312" s="520">
        <f>IFERROR(VLOOKUP($G$5,'רשימת רשויות'!A:C,3,0),0)</f>
        <v>0</v>
      </c>
      <c r="B312" s="520">
        <f t="shared" si="36"/>
        <v>0</v>
      </c>
      <c r="D312" s="1134"/>
      <c r="E312" s="1137"/>
      <c r="F312" s="589" t="s">
        <v>45</v>
      </c>
      <c r="G312" s="123">
        <f>IF(G301="תקין",IFERROR(VLOOKUP('בית ספר - תקצוב לפי מוסד (9)'!G296,' איוש משרות (8)'!C:J,8,0),0),0)</f>
        <v>0</v>
      </c>
      <c r="H312" s="125"/>
      <c r="I312" s="126"/>
      <c r="J312" s="104"/>
      <c r="K312" s="1139"/>
      <c r="L312" s="407"/>
      <c r="M312" s="393"/>
      <c r="N312" s="393"/>
      <c r="O312" s="580"/>
      <c r="P312" s="1140"/>
      <c r="Q312" s="1140"/>
      <c r="R312" s="596"/>
      <c r="S312" s="576"/>
      <c r="T312" s="599">
        <f>G296</f>
        <v>0</v>
      </c>
      <c r="U312" s="578"/>
      <c r="V312" s="579"/>
      <c r="W312" s="579">
        <f t="shared" si="41"/>
        <v>0</v>
      </c>
      <c r="X312" s="579"/>
      <c r="Y312" s="879"/>
      <c r="Z312" s="121"/>
      <c r="AA312" s="143"/>
      <c r="AB312" s="143"/>
      <c r="AC312" s="504"/>
      <c r="AD312" s="505">
        <f t="shared" si="42"/>
        <v>0</v>
      </c>
      <c r="AE312" s="143"/>
      <c r="AG312" s="55"/>
      <c r="AH312" s="55"/>
      <c r="AI312" s="55"/>
      <c r="AJ312" s="55"/>
      <c r="AK312" s="55"/>
      <c r="BO312" s="86"/>
    </row>
    <row r="313" spans="1:67" ht="15.75" customHeight="1" x14ac:dyDescent="0.25">
      <c r="A313" s="520">
        <f>IFERROR(VLOOKUP($G$5,'רשימת רשויות'!A:C,3,0),0)</f>
        <v>0</v>
      </c>
      <c r="B313" s="520">
        <f t="shared" si="36"/>
        <v>0</v>
      </c>
      <c r="D313" s="1134"/>
      <c r="E313" s="1137"/>
      <c r="F313" s="589" t="s">
        <v>0</v>
      </c>
      <c r="G313" s="117">
        <f>IF(G301="תקין",SUMIFS('דוח הוצאות בפועל (4)'!$E$17:$E$3016,'דוח הוצאות בפועל (4)'!$B$17:$B$3016,'בית ספר - תקצוב לפי מוסד (9)'!$G296,'דוח הוצאות בפועל (4)'!$M$17:$M$3016,"הע"),0)-Y313</f>
        <v>0</v>
      </c>
      <c r="H313" s="127">
        <f>J298</f>
        <v>0</v>
      </c>
      <c r="I313" s="128">
        <f>IFERROR(G313/H313,0)</f>
        <v>0</v>
      </c>
      <c r="J313" s="129">
        <f>MIN(IF(ISNUMBER(G313),G313,0),H313)</f>
        <v>0</v>
      </c>
      <c r="K313" s="120">
        <f>MAX(H313-G313,0)</f>
        <v>0</v>
      </c>
      <c r="L313" s="407"/>
      <c r="M313" s="393"/>
      <c r="N313" s="393"/>
      <c r="O313" s="580"/>
      <c r="P313" s="968">
        <f>MAX(IF(I313&lt;100%,MIN((H313-G313),H313*0.25),0),0)</f>
        <v>0</v>
      </c>
      <c r="Q313" s="619">
        <f>IF(G313-H313&gt;0,G313-H313,0)</f>
        <v>0</v>
      </c>
      <c r="R313" s="596"/>
      <c r="S313" s="610" t="s">
        <v>0</v>
      </c>
      <c r="T313" s="599">
        <f>G296</f>
        <v>0</v>
      </c>
      <c r="U313" s="578"/>
      <c r="V313" s="579">
        <f>G313</f>
        <v>0</v>
      </c>
      <c r="W313" s="579">
        <f t="shared" si="41"/>
        <v>0</v>
      </c>
      <c r="X313" s="579">
        <f>IFERROR(W324*W313/(SUM(W310:W323)),0)</f>
        <v>0</v>
      </c>
      <c r="Y313" s="879">
        <f>SUMIFS(בקרה!$S:$S,בקרה!$D:$D,T313,בקרה!$K:$K,S313)</f>
        <v>0</v>
      </c>
      <c r="Z313" s="121"/>
      <c r="AA313" s="143"/>
      <c r="AB313" s="143"/>
      <c r="AC313" s="504">
        <v>0</v>
      </c>
      <c r="AD313" s="505">
        <f t="shared" si="42"/>
        <v>0</v>
      </c>
      <c r="AE313" s="143"/>
      <c r="AG313" s="55"/>
      <c r="AH313" s="55"/>
      <c r="AI313" s="40"/>
      <c r="AJ313" s="55"/>
      <c r="AK313" s="55"/>
      <c r="BO313" s="86"/>
    </row>
    <row r="314" spans="1:67" s="55" customFormat="1" ht="15.75" customHeight="1" x14ac:dyDescent="0.25">
      <c r="A314" s="520">
        <f>IFERROR(VLOOKUP($G$5,'רשימת רשויות'!A:C,3,0),0)</f>
        <v>0</v>
      </c>
      <c r="B314" s="520">
        <f t="shared" si="36"/>
        <v>0</v>
      </c>
      <c r="C314" s="39"/>
      <c r="D314" s="1134"/>
      <c r="E314" s="1137"/>
      <c r="F314" s="589" t="s">
        <v>93</v>
      </c>
      <c r="G314" s="130">
        <f>IF(G301="תקין",SUMIFS('דוח הוצאות בפועל (4)'!$E$17:$E$3016,'דוח הוצאות בפועל (4)'!$B$17:$B$3016,'בית ספר - תקצוב לפי מוסד (9)'!$G296,'דוח הוצאות בפועל (4)'!$M$17:$M$3016,"אר"),0)-Y314</f>
        <v>0</v>
      </c>
      <c r="H314" s="118">
        <f>$I304</f>
        <v>0</v>
      </c>
      <c r="I314" s="131">
        <f>IFERROR((G314+G315)/H314,0)</f>
        <v>0</v>
      </c>
      <c r="J314" s="100">
        <f>MIN((IF(ISNUMBER(G314),G314,0)+IF(ISNUMBER(G315),G315,0)),H314)</f>
        <v>0</v>
      </c>
      <c r="K314" s="1139">
        <f>MAX((H314)-(G314+G315),0)</f>
        <v>0</v>
      </c>
      <c r="L314" s="407"/>
      <c r="M314" s="393"/>
      <c r="N314" s="393"/>
      <c r="O314" s="602"/>
      <c r="P314" s="1141"/>
      <c r="Q314" s="1142"/>
      <c r="R314" s="596"/>
      <c r="S314" s="610" t="s">
        <v>93</v>
      </c>
      <c r="T314" s="599">
        <f>G296</f>
        <v>0</v>
      </c>
      <c r="U314" s="578"/>
      <c r="V314" s="579">
        <f t="shared" ref="V314:V315" si="43">G314</f>
        <v>0</v>
      </c>
      <c r="W314" s="579">
        <f t="shared" si="41"/>
        <v>0</v>
      </c>
      <c r="X314" s="579">
        <f>IFERROR(W324*W314/(SUM(W310:W323)),0)</f>
        <v>0</v>
      </c>
      <c r="Y314" s="879">
        <f>SUMIFS(בקרה!$S:$S,בקרה!$D:$D,T314,בקרה!$K:$K,S314)</f>
        <v>0</v>
      </c>
      <c r="Z314" s="121"/>
      <c r="AA314" s="143"/>
      <c r="AB314" s="143"/>
      <c r="AC314" s="504">
        <v>0</v>
      </c>
      <c r="AD314" s="505">
        <f t="shared" si="42"/>
        <v>0</v>
      </c>
      <c r="AE314" s="143"/>
      <c r="AJ314" s="22"/>
      <c r="AO314" s="22"/>
      <c r="AP314" s="22"/>
      <c r="AQ314" s="22"/>
      <c r="AR314" s="22"/>
      <c r="AS314" s="22"/>
      <c r="AT314" s="22"/>
      <c r="AU314" s="35"/>
      <c r="AV314" s="35"/>
      <c r="AW314" s="35"/>
      <c r="AX314" s="35"/>
      <c r="AY314" s="35"/>
      <c r="AZ314" s="35"/>
      <c r="BA314" s="35"/>
      <c r="BB314" s="35"/>
      <c r="BC314" s="35"/>
      <c r="BD314" s="35"/>
      <c r="BE314" s="35"/>
      <c r="BF314" s="35"/>
      <c r="BG314" s="35"/>
      <c r="BH314" s="35"/>
      <c r="BI314" s="35"/>
      <c r="BJ314" s="35"/>
      <c r="BK314" s="35"/>
      <c r="BL314" s="35"/>
      <c r="BM314" s="35"/>
      <c r="BN314" s="35"/>
      <c r="BO314" s="86"/>
    </row>
    <row r="315" spans="1:67" s="55" customFormat="1" ht="15.75" customHeight="1" x14ac:dyDescent="0.25">
      <c r="A315" s="520">
        <f>IFERROR(VLOOKUP($G$5,'רשימת רשויות'!A:C,3,0),0)</f>
        <v>0</v>
      </c>
      <c r="B315" s="520">
        <f t="shared" si="36"/>
        <v>0</v>
      </c>
      <c r="C315" s="39"/>
      <c r="D315" s="1134"/>
      <c r="E315" s="1137"/>
      <c r="F315" s="589" t="s">
        <v>46</v>
      </c>
      <c r="G315" s="130">
        <f>IF(G301="תקין",SUMIFS('דוח הוצאות בפועל (4)'!$E$17:$E$3016,'דוח הוצאות בפועל (4)'!$B$17:$B$3016,'בית ספר - תקצוב לפי מוסד (9)'!$G296,'דוח הוצאות בפועל (4)'!$M$17:$M$3016,"מל"),0)-Y315</f>
        <v>0</v>
      </c>
      <c r="H315" s="132"/>
      <c r="I315" s="133"/>
      <c r="J315" s="104"/>
      <c r="K315" s="1139"/>
      <c r="L315" s="407"/>
      <c r="M315" s="393"/>
      <c r="N315" s="393"/>
      <c r="O315" s="602"/>
      <c r="P315" s="1141"/>
      <c r="Q315" s="1142"/>
      <c r="R315" s="596"/>
      <c r="S315" s="610" t="s">
        <v>46</v>
      </c>
      <c r="T315" s="599">
        <f>G296</f>
        <v>0</v>
      </c>
      <c r="U315" s="578"/>
      <c r="V315" s="579">
        <f t="shared" si="43"/>
        <v>0</v>
      </c>
      <c r="W315" s="579">
        <f t="shared" si="41"/>
        <v>0</v>
      </c>
      <c r="X315" s="579">
        <f>IFERROR(W324*W315/(SUM(W310:W323)),0)</f>
        <v>0</v>
      </c>
      <c r="Y315" s="879">
        <f>SUMIFS(בקרה!$S:$S,בקרה!$D:$D,T315,בקרה!$K:$K,S315)</f>
        <v>0</v>
      </c>
      <c r="Z315" s="121"/>
      <c r="AA315" s="143"/>
      <c r="AB315" s="143"/>
      <c r="AC315" s="504">
        <v>0</v>
      </c>
      <c r="AD315" s="505">
        <f t="shared" si="42"/>
        <v>0</v>
      </c>
      <c r="AE315" s="143"/>
      <c r="AJ315" s="22"/>
      <c r="AO315" s="22"/>
      <c r="AP315" s="22"/>
      <c r="AQ315" s="22"/>
      <c r="AR315" s="22"/>
      <c r="AS315" s="22"/>
      <c r="AT315" s="22"/>
      <c r="AU315" s="35"/>
      <c r="AV315" s="35"/>
      <c r="AW315" s="35"/>
      <c r="AX315" s="35"/>
      <c r="AY315" s="35"/>
      <c r="AZ315" s="35"/>
      <c r="BA315" s="35"/>
      <c r="BB315" s="35"/>
      <c r="BC315" s="35"/>
      <c r="BD315" s="35"/>
      <c r="BE315" s="35"/>
      <c r="BF315" s="35"/>
      <c r="BG315" s="35"/>
      <c r="BH315" s="35"/>
      <c r="BI315" s="35"/>
      <c r="BJ315" s="35"/>
      <c r="BK315" s="35"/>
      <c r="BL315" s="35"/>
      <c r="BM315" s="35"/>
      <c r="BN315" s="35"/>
      <c r="BO315" s="86"/>
    </row>
    <row r="316" spans="1:67" s="55" customFormat="1" ht="15" customHeight="1" x14ac:dyDescent="0.25">
      <c r="A316" s="520">
        <f>IFERROR(VLOOKUP($G$5,'רשימת רשויות'!A:C,3,0),0)</f>
        <v>0</v>
      </c>
      <c r="B316" s="520">
        <f t="shared" si="36"/>
        <v>0</v>
      </c>
      <c r="C316" s="39"/>
      <c r="D316" s="1134"/>
      <c r="E316" s="1137"/>
      <c r="F316" s="591" t="s">
        <v>23</v>
      </c>
      <c r="G316" s="134">
        <f>SUM(G310:G315)</f>
        <v>0</v>
      </c>
      <c r="H316" s="135">
        <f>SUM(H310:H315)</f>
        <v>0</v>
      </c>
      <c r="I316" s="128">
        <f>IFERROR(G316/H316,0)</f>
        <v>0</v>
      </c>
      <c r="J316" s="136">
        <f>SUM(J310:J315)</f>
        <v>0</v>
      </c>
      <c r="K316" s="137">
        <f>SUM(K310:K315)</f>
        <v>0</v>
      </c>
      <c r="L316" s="408"/>
      <c r="M316" s="394"/>
      <c r="N316" s="394"/>
      <c r="O316" s="602"/>
      <c r="P316" s="620">
        <f>SUM(P310:P315)</f>
        <v>0</v>
      </c>
      <c r="Q316" s="620">
        <f>SUM(Q310:Q315)</f>
        <v>0</v>
      </c>
      <c r="R316" s="596"/>
      <c r="S316" s="610"/>
      <c r="T316" s="599">
        <f>G296</f>
        <v>0</v>
      </c>
      <c r="U316" s="578"/>
      <c r="V316" s="579"/>
      <c r="W316" s="579">
        <f t="shared" si="41"/>
        <v>0</v>
      </c>
      <c r="X316" s="579"/>
      <c r="Y316" s="879"/>
      <c r="Z316" s="121"/>
      <c r="AA316" s="143"/>
      <c r="AB316" s="143"/>
      <c r="AC316" s="504"/>
      <c r="AD316" s="505">
        <f t="shared" si="42"/>
        <v>0</v>
      </c>
      <c r="AE316" s="143"/>
      <c r="AJ316" s="22"/>
      <c r="AL316" s="22"/>
      <c r="AM316" s="22"/>
      <c r="AN316" s="22"/>
      <c r="AO316" s="22"/>
      <c r="AP316" s="22"/>
      <c r="AQ316" s="22"/>
      <c r="AR316" s="22"/>
      <c r="AS316" s="22"/>
      <c r="AT316" s="22"/>
      <c r="AU316" s="35"/>
      <c r="AV316" s="35"/>
      <c r="AW316" s="35"/>
      <c r="AX316" s="35"/>
      <c r="AY316" s="35"/>
      <c r="AZ316" s="35"/>
      <c r="BA316" s="35"/>
      <c r="BB316" s="35"/>
      <c r="BC316" s="35"/>
      <c r="BD316" s="35"/>
      <c r="BE316" s="35"/>
      <c r="BF316" s="35"/>
      <c r="BG316" s="35"/>
      <c r="BH316" s="35"/>
      <c r="BI316" s="35"/>
      <c r="BJ316" s="35"/>
      <c r="BK316" s="35"/>
      <c r="BL316" s="35"/>
      <c r="BM316" s="35"/>
      <c r="BN316" s="35"/>
      <c r="BO316" s="86"/>
    </row>
    <row r="317" spans="1:67" s="55" customFormat="1" ht="15" customHeight="1" x14ac:dyDescent="0.25">
      <c r="A317" s="520">
        <f>IFERROR(VLOOKUP($G$5,'רשימת רשויות'!A:C,3,0),0)</f>
        <v>0</v>
      </c>
      <c r="B317" s="520">
        <f t="shared" si="36"/>
        <v>0</v>
      </c>
      <c r="C317" s="39"/>
      <c r="D317" s="1134"/>
      <c r="E317" s="1137"/>
      <c r="F317" s="589" t="s">
        <v>3</v>
      </c>
      <c r="G317" s="117">
        <f>IF(G301="תקין",SUMIFS('דוח הוצאות בפועל (4)'!$E$17:$E$3016,'דוח הוצאות בפועל (4)'!$B$17:$B$3016,'בית ספר - תקצוב לפי מוסד (9)'!$G296,'דוח הוצאות בפועל (4)'!$M$17:$M$3016,"ני")+SUMIFS('דוח הוצאות בפועל (4)'!$E$17:$E$3016,'דוח הוצאות בפועל (4)'!$B$17:$B$3016,'בית ספר - תקצוב לפי מוסד (9)'!$G296,'דוח הוצאות בפועל (4)'!$M$17:$M$3016,"על"),0)-Y317</f>
        <v>0</v>
      </c>
      <c r="H317" s="117">
        <f>H298</f>
        <v>0</v>
      </c>
      <c r="I317" s="138">
        <f>IFERROR(G317/H317,0)</f>
        <v>0</v>
      </c>
      <c r="J317" s="117">
        <f>IFERROR(IF(G317/H319&gt;0.15,MIN(H319*0.15,H317),MIN(H317,IF(ISNUMBER(G317),G317,0))),0)</f>
        <v>0</v>
      </c>
      <c r="K317" s="120">
        <f>MAX(H317-G317,0)</f>
        <v>0</v>
      </c>
      <c r="L317" s="407"/>
      <c r="M317" s="393"/>
      <c r="N317" s="393"/>
      <c r="O317" s="602"/>
      <c r="P317" s="620">
        <f>IF(I317&lt;100%,MIN(H317-G317,H317*0.25),0)</f>
        <v>0</v>
      </c>
      <c r="Q317" s="620">
        <f>MAX(MIN(IF(G317-H317&gt;0,G317-H317,0),$H319*0.15-H317-J318),0)</f>
        <v>0</v>
      </c>
      <c r="R317" s="596"/>
      <c r="S317" s="610" t="s">
        <v>3</v>
      </c>
      <c r="T317" s="599">
        <f>G296</f>
        <v>0</v>
      </c>
      <c r="U317" s="578"/>
      <c r="V317" s="579">
        <f t="shared" ref="V317" si="44">G317</f>
        <v>0</v>
      </c>
      <c r="W317" s="579">
        <f t="shared" si="41"/>
        <v>0</v>
      </c>
      <c r="X317" s="579"/>
      <c r="Y317" s="879"/>
      <c r="Z317" s="121"/>
      <c r="AA317" s="143"/>
      <c r="AB317" s="143"/>
      <c r="AC317" s="504">
        <v>0</v>
      </c>
      <c r="AD317" s="505">
        <f t="shared" si="42"/>
        <v>0</v>
      </c>
      <c r="AE317" s="143"/>
      <c r="AG317" s="22"/>
      <c r="AH317" s="22"/>
      <c r="AI317" s="22"/>
      <c r="AJ317" s="22"/>
      <c r="AK317" s="22"/>
      <c r="AL317" s="22"/>
      <c r="AM317" s="22"/>
      <c r="AN317" s="22"/>
      <c r="AO317" s="22"/>
      <c r="AP317" s="22"/>
      <c r="AQ317" s="22"/>
      <c r="AR317" s="22"/>
      <c r="AS317" s="22"/>
      <c r="AT317" s="22"/>
      <c r="AU317" s="35"/>
      <c r="AV317" s="35"/>
      <c r="AW317" s="35"/>
      <c r="AX317" s="35"/>
      <c r="AY317" s="35"/>
      <c r="AZ317" s="35"/>
      <c r="BA317" s="35"/>
      <c r="BB317" s="35"/>
      <c r="BC317" s="35"/>
      <c r="BD317" s="35"/>
      <c r="BE317" s="35"/>
      <c r="BF317" s="35"/>
      <c r="BG317" s="35"/>
      <c r="BH317" s="35"/>
      <c r="BI317" s="35"/>
      <c r="BJ317" s="35"/>
      <c r="BK317" s="35"/>
      <c r="BL317" s="35"/>
      <c r="BM317" s="35"/>
      <c r="BN317" s="35"/>
      <c r="BO317" s="86"/>
    </row>
    <row r="318" spans="1:67" s="55" customFormat="1" ht="15.75" customHeight="1" x14ac:dyDescent="0.25">
      <c r="A318" s="520">
        <f>IFERROR(VLOOKUP($G$5,'רשימת רשויות'!A:C,3,0),0)</f>
        <v>0</v>
      </c>
      <c r="B318" s="520">
        <f t="shared" si="36"/>
        <v>0</v>
      </c>
      <c r="C318" s="39"/>
      <c r="D318" s="1134"/>
      <c r="E318" s="1137"/>
      <c r="F318" s="589" t="s">
        <v>2918</v>
      </c>
      <c r="G318" s="117">
        <f>0.07*(G312+G311)</f>
        <v>0</v>
      </c>
      <c r="H318" s="117">
        <f>H300</f>
        <v>0</v>
      </c>
      <c r="I318" s="138">
        <f>IFERROR(G318/H318,0)</f>
        <v>0</v>
      </c>
      <c r="J318" s="117">
        <f>IFERROR(MIN(0.07*(G311+G312),0.07*I300),0)</f>
        <v>0</v>
      </c>
      <c r="K318" s="120">
        <f>MAX(H318-G318,0)</f>
        <v>0</v>
      </c>
      <c r="L318" s="407"/>
      <c r="M318" s="393"/>
      <c r="N318" s="393"/>
      <c r="O318" s="602"/>
      <c r="P318" s="620"/>
      <c r="Q318" s="619"/>
      <c r="R318" s="596"/>
      <c r="S318" s="611"/>
      <c r="T318" s="599">
        <f>G296</f>
        <v>0</v>
      </c>
      <c r="U318" s="578"/>
      <c r="V318" s="579"/>
      <c r="W318" s="579">
        <f t="shared" si="41"/>
        <v>0</v>
      </c>
      <c r="X318" s="579"/>
      <c r="Y318" s="879"/>
      <c r="Z318" s="121"/>
      <c r="AA318" s="143"/>
      <c r="AB318" s="143"/>
      <c r="AC318" s="504"/>
      <c r="AD318" s="505"/>
      <c r="AE318" s="143"/>
      <c r="AF318" s="140"/>
      <c r="AG318" s="22"/>
      <c r="AH318" s="22"/>
      <c r="AI318" s="22"/>
      <c r="AJ318" s="22"/>
      <c r="AK318" s="22"/>
      <c r="AL318" s="22"/>
      <c r="AM318" s="22"/>
      <c r="AN318" s="22"/>
      <c r="AO318" s="22"/>
      <c r="AP318" s="22"/>
      <c r="AQ318" s="22"/>
      <c r="AR318" s="22"/>
      <c r="AS318" s="22"/>
      <c r="AT318" s="22"/>
      <c r="AU318" s="35"/>
      <c r="AV318" s="35"/>
      <c r="AW318" s="35"/>
      <c r="AX318" s="35"/>
      <c r="AY318" s="35"/>
      <c r="AZ318" s="35"/>
      <c r="BA318" s="35"/>
      <c r="BB318" s="35"/>
      <c r="BC318" s="35"/>
      <c r="BD318" s="35"/>
      <c r="BE318" s="35"/>
      <c r="BF318" s="35"/>
      <c r="BG318" s="35"/>
      <c r="BH318" s="35"/>
      <c r="BI318" s="35"/>
      <c r="BJ318" s="35"/>
      <c r="BK318" s="35"/>
      <c r="BL318" s="35"/>
      <c r="BM318" s="35"/>
      <c r="BN318" s="35"/>
      <c r="BO318" s="86"/>
    </row>
    <row r="319" spans="1:67" ht="15.75" customHeight="1" x14ac:dyDescent="0.25">
      <c r="A319" s="520">
        <f>IFERROR(VLOOKUP($G$5,'רשימת רשויות'!A:C,3,0),0)</f>
        <v>0</v>
      </c>
      <c r="B319" s="520">
        <f t="shared" si="36"/>
        <v>0</v>
      </c>
      <c r="D319" s="1134"/>
      <c r="E319" s="1137"/>
      <c r="F319" s="591" t="s">
        <v>15</v>
      </c>
      <c r="G319" s="134">
        <f>G316+G317+G318</f>
        <v>0</v>
      </c>
      <c r="H319" s="134">
        <f>H316+H317+H318</f>
        <v>0</v>
      </c>
      <c r="I319" s="138">
        <f>IFERROR(G319/H319,0)</f>
        <v>0</v>
      </c>
      <c r="J319" s="139">
        <f>J316+J317+J318</f>
        <v>0</v>
      </c>
      <c r="K319" s="137">
        <f>K317+K316+K318</f>
        <v>0</v>
      </c>
      <c r="L319" s="408"/>
      <c r="M319" s="394"/>
      <c r="N319" s="394"/>
      <c r="O319" s="602"/>
      <c r="P319" s="621">
        <f>SUM(P316:P317)</f>
        <v>0</v>
      </c>
      <c r="Q319" s="622">
        <f>Q316+Q317</f>
        <v>0</v>
      </c>
      <c r="R319" s="596"/>
      <c r="S319" s="611"/>
      <c r="T319" s="599">
        <f>G296</f>
        <v>0</v>
      </c>
      <c r="U319" s="578"/>
      <c r="V319" s="579"/>
      <c r="W319" s="579">
        <f t="shared" si="41"/>
        <v>0</v>
      </c>
      <c r="X319" s="579"/>
      <c r="Y319" s="879"/>
      <c r="Z319" s="106"/>
      <c r="AC319" s="504"/>
      <c r="AD319" s="505"/>
      <c r="AH319" s="143"/>
      <c r="BO319" s="86"/>
    </row>
    <row r="320" spans="1:67" ht="15.75" customHeight="1" x14ac:dyDescent="0.25">
      <c r="A320" s="520">
        <f>IFERROR(VLOOKUP($G$5,'רשימת רשויות'!A:C,3,0),0)</f>
        <v>0</v>
      </c>
      <c r="B320" s="520">
        <f t="shared" si="36"/>
        <v>0</v>
      </c>
      <c r="D320" s="1134"/>
      <c r="E320" s="1137"/>
      <c r="F320" s="589" t="s">
        <v>2261</v>
      </c>
      <c r="G320" s="117">
        <f>IF(G301="תקין",SUMIF('תשלומי הורים ומלגות להורים (5) '!$B$18:$B$517,$G296,'תשלומי הורים ומלגות להורים (5) '!$C$18:$C$517),0)</f>
        <v>0</v>
      </c>
      <c r="H320" s="117">
        <f>(G299+G300)*$G$7</f>
        <v>0</v>
      </c>
      <c r="I320" s="141"/>
      <c r="J320" s="141"/>
      <c r="K320" s="142"/>
      <c r="L320" s="395"/>
      <c r="M320" s="395"/>
      <c r="N320" s="395"/>
      <c r="O320" s="602"/>
      <c r="P320" s="623"/>
      <c r="Q320" s="619"/>
      <c r="R320" s="596"/>
      <c r="S320" s="612"/>
      <c r="T320" s="599">
        <f>G296</f>
        <v>0</v>
      </c>
      <c r="U320" s="578"/>
      <c r="V320" s="579"/>
      <c r="W320" s="579">
        <f t="shared" si="41"/>
        <v>0</v>
      </c>
      <c r="X320" s="579"/>
      <c r="Y320" s="879"/>
      <c r="Z320" s="121"/>
      <c r="AA320" s="143"/>
      <c r="AB320" s="143"/>
      <c r="AC320" s="504"/>
      <c r="AD320" s="505"/>
      <c r="AE320" s="143"/>
      <c r="AF320" s="148"/>
      <c r="BO320" s="86"/>
    </row>
    <row r="321" spans="1:67" ht="15.75" customHeight="1" thickBot="1" x14ac:dyDescent="0.3">
      <c r="A321" s="520">
        <f>IFERROR(VLOOKUP($G$5,'רשימת רשויות'!A:C,3,0),0)</f>
        <v>0</v>
      </c>
      <c r="B321" s="520">
        <f t="shared" si="36"/>
        <v>0</v>
      </c>
      <c r="D321" s="1134"/>
      <c r="E321" s="1137"/>
      <c r="F321" s="592" t="s">
        <v>21</v>
      </c>
      <c r="G321" s="144">
        <f>G319-G320</f>
        <v>0</v>
      </c>
      <c r="H321" s="144">
        <f>H319-H320</f>
        <v>0</v>
      </c>
      <c r="I321" s="145"/>
      <c r="J321" s="145"/>
      <c r="K321" s="146"/>
      <c r="L321" s="396"/>
      <c r="M321" s="396"/>
      <c r="N321" s="396"/>
      <c r="O321" s="602"/>
      <c r="P321" s="619"/>
      <c r="Q321" s="619"/>
      <c r="R321" s="596"/>
      <c r="S321" s="612"/>
      <c r="T321" s="599">
        <f>G296</f>
        <v>0</v>
      </c>
      <c r="U321" s="578"/>
      <c r="V321" s="579"/>
      <c r="W321" s="579">
        <f t="shared" si="41"/>
        <v>0</v>
      </c>
      <c r="X321" s="579"/>
      <c r="Y321" s="879"/>
      <c r="Z321" s="147"/>
      <c r="AA321" s="148"/>
      <c r="AB321" s="148"/>
      <c r="AC321" s="504"/>
      <c r="AD321" s="505"/>
      <c r="AE321" s="148"/>
      <c r="AF321" s="148"/>
      <c r="BO321" s="86"/>
    </row>
    <row r="322" spans="1:67" ht="15.75" customHeight="1" thickBot="1" x14ac:dyDescent="0.3">
      <c r="A322" s="520">
        <f>IFERROR(VLOOKUP($G$5,'רשימת רשויות'!A:C,3,0),0)</f>
        <v>0</v>
      </c>
      <c r="B322" s="520">
        <f t="shared" si="36"/>
        <v>0</v>
      </c>
      <c r="D322" s="1134"/>
      <c r="E322" s="1137"/>
      <c r="F322" s="580"/>
      <c r="G322" s="580"/>
      <c r="H322" s="147"/>
      <c r="I322" s="149" t="s">
        <v>2197</v>
      </c>
      <c r="J322" s="150">
        <f>MAX(MIN(P319,Q319),0)</f>
        <v>0</v>
      </c>
      <c r="K322" s="580"/>
      <c r="L322" s="580"/>
      <c r="M322" s="580"/>
      <c r="N322" s="580"/>
      <c r="O322" s="580"/>
      <c r="P322" s="615" t="s">
        <v>2317</v>
      </c>
      <c r="Q322" s="624">
        <f>SUM(Q323:Q324)</f>
        <v>0</v>
      </c>
      <c r="R322" s="596"/>
      <c r="S322" s="612"/>
      <c r="T322" s="599">
        <f>G296</f>
        <v>0</v>
      </c>
      <c r="U322" s="578"/>
      <c r="V322" s="579"/>
      <c r="W322" s="579">
        <f t="shared" si="41"/>
        <v>0</v>
      </c>
      <c r="X322" s="579"/>
      <c r="Y322" s="879"/>
      <c r="Z322" s="106"/>
      <c r="AC322" s="504"/>
      <c r="AD322" s="505"/>
      <c r="AF322" s="148"/>
      <c r="BO322" s="86"/>
    </row>
    <row r="323" spans="1:67" ht="16.5" thickBot="1" x14ac:dyDescent="0.3">
      <c r="A323" s="520">
        <f>IFERROR(VLOOKUP($G$5,'רשימת רשויות'!A:C,3,0),0)</f>
        <v>0</v>
      </c>
      <c r="B323" s="520">
        <f t="shared" si="36"/>
        <v>0</v>
      </c>
      <c r="D323" s="1134"/>
      <c r="E323" s="1137"/>
      <c r="F323" s="580"/>
      <c r="G323" s="580"/>
      <c r="H323" s="580"/>
      <c r="I323" s="84" t="s">
        <v>2193</v>
      </c>
      <c r="J323" s="515" t="str">
        <f>IFERROR(1-H320/H319,"")</f>
        <v/>
      </c>
      <c r="K323" s="580"/>
      <c r="L323" s="580"/>
      <c r="M323" s="580"/>
      <c r="N323" s="580"/>
      <c r="O323" s="580"/>
      <c r="P323" s="615" t="s">
        <v>417</v>
      </c>
      <c r="Q323" s="616">
        <f>IFERROR(MAX(H321-I324-Q324,0),0)</f>
        <v>0</v>
      </c>
      <c r="R323" s="596"/>
      <c r="S323" s="600"/>
      <c r="T323" s="599">
        <f>G296</f>
        <v>0</v>
      </c>
      <c r="U323" s="578"/>
      <c r="V323" s="579"/>
      <c r="W323" s="579">
        <f t="shared" si="41"/>
        <v>0</v>
      </c>
      <c r="X323" s="579"/>
      <c r="Y323" s="879"/>
      <c r="Z323" s="106"/>
      <c r="AC323" s="504"/>
      <c r="AD323" s="505"/>
      <c r="BO323" s="86"/>
    </row>
    <row r="324" spans="1:67" ht="17.25" thickBot="1" x14ac:dyDescent="0.3">
      <c r="A324" s="520">
        <f>IFERROR(VLOOKUP($G$5,'רשימת רשויות'!A:C,3,0),0)</f>
        <v>0</v>
      </c>
      <c r="B324" s="520">
        <f t="shared" si="36"/>
        <v>0</v>
      </c>
      <c r="D324" s="1134"/>
      <c r="E324" s="1137"/>
      <c r="F324" s="1143" t="s">
        <v>2679</v>
      </c>
      <c r="G324" s="1143"/>
      <c r="H324" s="1143"/>
      <c r="I324" s="722">
        <f>IF(G301="לא תקין","לא קיימת זכאות לתקציב לאור אי איוש משרות רכז ו/או סגן רכז ",IFERROR(J323*(J322+J319),0))</f>
        <v>0</v>
      </c>
      <c r="J324" s="573"/>
      <c r="K324" s="574"/>
      <c r="L324" s="396"/>
      <c r="M324" s="574"/>
      <c r="N324" s="574"/>
      <c r="O324" s="574"/>
      <c r="P324" s="615" t="s">
        <v>2279</v>
      </c>
      <c r="Q324" s="616">
        <f>MAX(IF(AND(G319&gt;H319,I324&lt;H321),H321-I324,0),0)</f>
        <v>0</v>
      </c>
      <c r="R324" s="575"/>
      <c r="S324" s="576" t="s">
        <v>67</v>
      </c>
      <c r="T324" s="577">
        <f>G296</f>
        <v>0</v>
      </c>
      <c r="U324" s="578"/>
      <c r="V324" s="579">
        <f>I324</f>
        <v>0</v>
      </c>
      <c r="W324" s="579">
        <f>IFERROR(U324-V324,0)</f>
        <v>0</v>
      </c>
      <c r="X324" s="579">
        <f>SUM(X310:X323)</f>
        <v>0</v>
      </c>
      <c r="Y324" s="879"/>
      <c r="Z324" s="106"/>
      <c r="AC324" s="506">
        <v>0</v>
      </c>
      <c r="AD324" s="507">
        <f>IFERROR(U324-AC324,0)</f>
        <v>0</v>
      </c>
      <c r="BO324" s="86"/>
    </row>
    <row r="325" spans="1:67" ht="16.5" thickBot="1" x14ac:dyDescent="0.3">
      <c r="A325" s="520">
        <f>IFERROR(VLOOKUP($G$5,'רשימת רשויות'!A:C,3,0),0)</f>
        <v>0</v>
      </c>
      <c r="B325" s="520">
        <f t="shared" si="36"/>
        <v>0</v>
      </c>
      <c r="D325" s="1135"/>
      <c r="E325" s="1138"/>
      <c r="F325" s="1144" t="s">
        <v>2793</v>
      </c>
      <c r="G325" s="1145"/>
      <c r="H325" s="1145"/>
      <c r="I325" s="593">
        <f>IFERROR(IF(G301="תקין",SUMIFS('סייעות רפואיות או אישיות (7)'!$Q$17:Q$384,'סייעות רפואיות או אישיות (7)'!C$17:C$384,G296),0),0)</f>
        <v>0</v>
      </c>
      <c r="J325" s="151"/>
      <c r="K325" s="152"/>
      <c r="L325" s="409"/>
      <c r="M325" s="152"/>
      <c r="N325" s="152"/>
      <c r="O325" s="152"/>
      <c r="P325" s="613"/>
      <c r="Q325" s="614"/>
      <c r="R325" s="475"/>
      <c r="S325" s="489"/>
      <c r="T325" s="490"/>
      <c r="U325" s="491"/>
      <c r="V325" s="492"/>
      <c r="W325" s="492"/>
      <c r="X325" s="492"/>
      <c r="Y325" s="880"/>
      <c r="Z325" s="153"/>
      <c r="AC325" s="581"/>
      <c r="AD325" s="582"/>
      <c r="BO325" s="86"/>
    </row>
    <row r="326" spans="1:67" ht="34.5" thickBot="1" x14ac:dyDescent="0.55000000000000004">
      <c r="A326" s="520">
        <f>IFERROR(VLOOKUP($G$5,'רשימת רשויות'!A:C,3,0),0)</f>
        <v>0</v>
      </c>
      <c r="B326" s="520">
        <f t="shared" si="36"/>
        <v>0</v>
      </c>
      <c r="E326" s="154"/>
      <c r="I326" s="143"/>
      <c r="J326" s="148"/>
      <c r="O326" s="148"/>
      <c r="T326" s="481"/>
      <c r="BO326" s="86"/>
    </row>
    <row r="327" spans="1:67" s="20" customFormat="1" ht="16.5" customHeight="1" thickBot="1" x14ac:dyDescent="0.3">
      <c r="A327" s="520">
        <f>IFERROR(VLOOKUP($G$5,'רשימת רשויות'!A:C,3,0),0)</f>
        <v>0</v>
      </c>
      <c r="B327" s="520">
        <f t="shared" si="36"/>
        <v>0</v>
      </c>
      <c r="C327" s="39"/>
      <c r="D327" s="1133">
        <f>D296+1</f>
        <v>11</v>
      </c>
      <c r="E327" s="1136" t="str">
        <f>IFERROR(CONCATENATE("בית הספר ",VLOOKUP(G327,'מצבת והרשמה (2)'!$C$21:$D$520,2,0)," - ",$G$5),"")</f>
        <v>בית הספר המוסד לא קיים - 0</v>
      </c>
      <c r="F327" s="720" t="s">
        <v>146</v>
      </c>
      <c r="G327" s="721">
        <f>IFERROR(VLOOKUP(D:D,'דוח ביצוע (3)'!$A$21:$C$900,2,0),0)</f>
        <v>0</v>
      </c>
      <c r="H327" s="79"/>
      <c r="I327" s="80" t="s">
        <v>150</v>
      </c>
      <c r="J327" s="80"/>
      <c r="K327" s="81"/>
      <c r="L327" s="392"/>
      <c r="M327" s="392"/>
      <c r="N327" s="392"/>
      <c r="O327" s="82"/>
      <c r="P327" s="470"/>
      <c r="Q327" s="471"/>
      <c r="R327" s="472"/>
      <c r="S327" s="883"/>
      <c r="T327" s="884"/>
      <c r="U327" s="486"/>
      <c r="V327" s="487"/>
      <c r="W327" s="487"/>
      <c r="X327" s="487"/>
      <c r="Y327" s="885"/>
      <c r="Z327" s="83"/>
      <c r="AC327" s="502"/>
      <c r="AD327" s="503"/>
      <c r="AO327" s="22"/>
      <c r="AP327" s="22"/>
      <c r="AQ327" s="22"/>
      <c r="AR327" s="22"/>
      <c r="AS327" s="22"/>
      <c r="AT327" s="22"/>
      <c r="AU327" s="35"/>
      <c r="AV327" s="35"/>
      <c r="AW327" s="35"/>
      <c r="AX327" s="35"/>
      <c r="AY327" s="35"/>
      <c r="AZ327" s="35"/>
      <c r="BA327" s="35"/>
      <c r="BB327" s="35"/>
      <c r="BC327" s="35"/>
      <c r="BD327" s="35"/>
      <c r="BE327" s="35"/>
      <c r="BF327" s="35"/>
      <c r="BG327" s="35"/>
      <c r="BH327" s="35"/>
      <c r="BI327" s="35"/>
      <c r="BJ327" s="35"/>
      <c r="BK327" s="35"/>
      <c r="BL327" s="35"/>
      <c r="BM327" s="35"/>
      <c r="BN327" s="35"/>
      <c r="BO327" s="78"/>
    </row>
    <row r="328" spans="1:67" s="20" customFormat="1" ht="16.5" thickBot="1" x14ac:dyDescent="0.3">
      <c r="A328" s="520">
        <f>IFERROR(VLOOKUP($G$5,'רשימת רשויות'!A:C,3,0),0)</f>
        <v>0</v>
      </c>
      <c r="B328" s="520">
        <f t="shared" si="36"/>
        <v>0</v>
      </c>
      <c r="C328" s="39"/>
      <c r="D328" s="1134"/>
      <c r="E328" s="1137"/>
      <c r="F328" s="583" t="s">
        <v>145</v>
      </c>
      <c r="G328" s="516" t="str">
        <f>IFERROR(IF((G330+G331)=0,"",IF(VLOOKUP(G327,'דוח ביצוע (3)'!$B$21:$K$900,5,0)&gt;149,"גדול",IF(AND(VLOOKUP(G327,'דוח ביצוע (3)'!$B$21:$K$900,5,0)&gt;0,VLOOKUP(G327,'דוח ביצוע (3)'!$B$21:$K$900,5,0)&lt;150),"קטן",0))),"")</f>
        <v/>
      </c>
      <c r="H328" s="723" t="s">
        <v>88</v>
      </c>
      <c r="I328" s="723" t="s">
        <v>13</v>
      </c>
      <c r="J328" s="725" t="s">
        <v>14</v>
      </c>
      <c r="K328" s="724" t="s">
        <v>94</v>
      </c>
      <c r="L328" s="594"/>
      <c r="M328" s="420" t="s">
        <v>2584</v>
      </c>
      <c r="N328" s="397" t="s">
        <v>413</v>
      </c>
      <c r="O328" s="398" t="s">
        <v>52</v>
      </c>
      <c r="P328" s="595"/>
      <c r="Q328" s="595"/>
      <c r="R328" s="596"/>
      <c r="S328" s="610"/>
      <c r="T328" s="881"/>
      <c r="U328" s="598"/>
      <c r="V328" s="599"/>
      <c r="W328" s="599"/>
      <c r="X328" s="599"/>
      <c r="Y328" s="879"/>
      <c r="Z328" s="85"/>
      <c r="AC328" s="493"/>
      <c r="AD328" s="495"/>
      <c r="AO328" s="22"/>
      <c r="AP328" s="22"/>
      <c r="AQ328" s="22"/>
      <c r="AR328" s="22"/>
      <c r="AS328" s="22"/>
      <c r="AT328" s="22"/>
      <c r="AU328" s="35"/>
      <c r="AV328" s="35"/>
      <c r="AW328" s="35"/>
      <c r="AX328" s="35"/>
      <c r="AY328" s="35"/>
      <c r="AZ328" s="35"/>
      <c r="BA328" s="35"/>
      <c r="BB328" s="35"/>
      <c r="BC328" s="35"/>
      <c r="BD328" s="35"/>
      <c r="BE328" s="35"/>
      <c r="BF328" s="35"/>
      <c r="BG328" s="35"/>
      <c r="BH328" s="35"/>
      <c r="BI328" s="35"/>
      <c r="BJ328" s="35"/>
      <c r="BK328" s="35"/>
      <c r="BL328" s="35"/>
      <c r="BM328" s="35"/>
      <c r="BN328" s="35"/>
      <c r="BO328" s="78"/>
    </row>
    <row r="329" spans="1:67" s="20" customFormat="1" ht="15.75" customHeight="1" thickBot="1" x14ac:dyDescent="0.3">
      <c r="A329" s="520">
        <f>IFERROR(VLOOKUP($G$5,'רשימת רשויות'!A:C,3,0),0)</f>
        <v>0</v>
      </c>
      <c r="B329" s="520">
        <f t="shared" si="36"/>
        <v>0</v>
      </c>
      <c r="C329" s="39"/>
      <c r="D329" s="1134"/>
      <c r="E329" s="1137"/>
      <c r="F329" s="584" t="s">
        <v>144</v>
      </c>
      <c r="G329" s="87">
        <f>IF(G332="תקין",IFERROR(VLOOKUP($G327,'דוח ביצוע (3)'!$B$21:$Q$900,12,0),0),0)</f>
        <v>0</v>
      </c>
      <c r="H329" s="88">
        <f>IFERROR(G330*$AH$6+G331*$AH$7,0)</f>
        <v>0</v>
      </c>
      <c r="I329" s="88">
        <f>IFERROR(G330*$AI$6+G331*$AI$7,0)</f>
        <v>0</v>
      </c>
      <c r="J329" s="88">
        <f>IFERROR(G330*$AJ$6+G331*$AJ$7,0)</f>
        <v>0</v>
      </c>
      <c r="K329" s="88">
        <f>IFERROR(G330*$AK$6+G331*$AK$7,0)</f>
        <v>0</v>
      </c>
      <c r="L329" s="405"/>
      <c r="M329" s="399" t="s">
        <v>427</v>
      </c>
      <c r="N329" s="400" t="str">
        <f>IFERROR(VLOOKUP($G327,'דוח ביצוע (3)'!$B:$AE,28,0),"")</f>
        <v/>
      </c>
      <c r="O329" s="89" t="str">
        <f>IFERROR(VLOOKUP($G327,'דוח ביצוע (3)'!B:AE,29,0),"")</f>
        <v/>
      </c>
      <c r="P329" s="595"/>
      <c r="Q329" s="595"/>
      <c r="R329" s="596"/>
      <c r="S329" s="610"/>
      <c r="T329" s="881"/>
      <c r="U329" s="598"/>
      <c r="V329" s="599"/>
      <c r="W329" s="599"/>
      <c r="X329" s="599"/>
      <c r="Y329" s="879"/>
      <c r="Z329" s="85"/>
      <c r="AC329" s="493"/>
      <c r="AD329" s="495"/>
      <c r="AO329" s="22"/>
      <c r="AP329" s="22"/>
      <c r="AQ329" s="22"/>
      <c r="AR329" s="22"/>
      <c r="AS329" s="22"/>
      <c r="AT329" s="22"/>
      <c r="AU329" s="35"/>
      <c r="AV329" s="35"/>
      <c r="AW329" s="35"/>
      <c r="AX329" s="35"/>
      <c r="AY329" s="35"/>
      <c r="AZ329" s="35"/>
      <c r="BA329" s="35"/>
      <c r="BB329" s="35"/>
      <c r="BC329" s="35"/>
      <c r="BD329" s="35"/>
      <c r="BE329" s="35"/>
      <c r="BF329" s="35"/>
      <c r="BG329" s="35"/>
      <c r="BH329" s="35"/>
      <c r="BI329" s="35"/>
      <c r="BJ329" s="35"/>
      <c r="BK329" s="35"/>
      <c r="BL329" s="35"/>
      <c r="BM329" s="35"/>
      <c r="BN329" s="35"/>
      <c r="BO329" s="78"/>
    </row>
    <row r="330" spans="1:67" s="20" customFormat="1" ht="32.25" thickBot="1" x14ac:dyDescent="0.3">
      <c r="A330" s="520">
        <f>IFERROR(VLOOKUP($G$5,'רשימת רשויות'!A:C,3,0),0)</f>
        <v>0</v>
      </c>
      <c r="B330" s="520">
        <f t="shared" si="36"/>
        <v>0</v>
      </c>
      <c r="C330" s="39"/>
      <c r="D330" s="1134"/>
      <c r="E330" s="1137"/>
      <c r="F330" s="585" t="s">
        <v>2195</v>
      </c>
      <c r="G330" s="89">
        <f>IF(G332="תקין",MAX(N332,0),0)</f>
        <v>0</v>
      </c>
      <c r="H330" s="725" t="s">
        <v>151</v>
      </c>
      <c r="I330" s="725" t="s">
        <v>91</v>
      </c>
      <c r="J330" s="970" t="s">
        <v>3396</v>
      </c>
      <c r="K330" s="601"/>
      <c r="L330" s="601"/>
      <c r="M330" s="983" t="s">
        <v>2585</v>
      </c>
      <c r="N330" s="400" t="str">
        <f>IFERROR(G329/15*N329*1.25,"")</f>
        <v/>
      </c>
      <c r="O330" s="89" t="str">
        <f>IFERROR(G329/15*O329*1.25,"")</f>
        <v/>
      </c>
      <c r="P330" s="595"/>
      <c r="Q330" s="595"/>
      <c r="R330" s="596"/>
      <c r="S330" s="610"/>
      <c r="T330" s="881"/>
      <c r="U330" s="598"/>
      <c r="V330" s="599"/>
      <c r="W330" s="599"/>
      <c r="X330" s="599"/>
      <c r="Y330" s="879"/>
      <c r="Z330" s="85"/>
      <c r="AC330" s="493"/>
      <c r="AD330" s="495"/>
      <c r="AG330" s="22"/>
      <c r="AH330" s="55"/>
      <c r="AI330" s="55"/>
      <c r="AJ330" s="55"/>
      <c r="AK330" s="55"/>
      <c r="AO330" s="22"/>
      <c r="AP330" s="22"/>
      <c r="AQ330" s="22"/>
      <c r="AR330" s="22"/>
      <c r="AS330" s="22"/>
      <c r="AT330" s="22"/>
      <c r="AU330" s="35"/>
      <c r="AV330" s="35"/>
      <c r="AW330" s="35"/>
      <c r="AX330" s="35"/>
      <c r="AY330" s="35"/>
      <c r="AZ330" s="35"/>
      <c r="BA330" s="35"/>
      <c r="BB330" s="35"/>
      <c r="BC330" s="35"/>
      <c r="BD330" s="35"/>
      <c r="BE330" s="35"/>
      <c r="BF330" s="35"/>
      <c r="BG330" s="35"/>
      <c r="BH330" s="35"/>
      <c r="BI330" s="35"/>
      <c r="BJ330" s="35"/>
      <c r="BK330" s="35"/>
      <c r="BL330" s="35"/>
      <c r="BM330" s="35"/>
      <c r="BN330" s="35"/>
      <c r="BO330" s="86"/>
    </row>
    <row r="331" spans="1:67" s="20" customFormat="1" ht="16.5" thickBot="1" x14ac:dyDescent="0.3">
      <c r="A331" s="520">
        <f>IFERROR(VLOOKUP($G$5,'רשימת רשויות'!A:C,3,0),0)</f>
        <v>0</v>
      </c>
      <c r="B331" s="520">
        <f t="shared" si="36"/>
        <v>0</v>
      </c>
      <c r="C331" s="39"/>
      <c r="D331" s="1134"/>
      <c r="E331" s="1137"/>
      <c r="F331" s="585" t="s">
        <v>2196</v>
      </c>
      <c r="G331" s="89">
        <f>IF(G332="תקין",MAX(O332,0),0)</f>
        <v>0</v>
      </c>
      <c r="H331" s="88">
        <f>(IFERROR(IF((G330+G331)=0,0,IF(G328="קטן",G329*$AH$10,G329*$AH$11)),0))+(IFERROR(IF((G330+G331)=0,0,VLOOKUP(G327,'דוח ביצוע (3)'!$B:$AH,33,0)),0))</f>
        <v>0</v>
      </c>
      <c r="I331" s="88">
        <f>IFERROR(IF((G330+G331)=0,0,IF(G328="קטן",G329*$AI$10,G329*$AI$11)),0)</f>
        <v>0</v>
      </c>
      <c r="J331" s="88">
        <f>IFERROR(IF((G330+G331)=0,0,VLOOKUP(G327,'דוח ביצוע (3)'!$B:$AH,32,0)),0)</f>
        <v>0</v>
      </c>
      <c r="K331" s="90"/>
      <c r="L331" s="90"/>
      <c r="M331" s="399" t="s">
        <v>412</v>
      </c>
      <c r="N331" s="400">
        <f>IFERROR(VLOOKUP($G327,'דוח ביצוע (3)'!$B$21:$U$500,18,0),0)</f>
        <v>0</v>
      </c>
      <c r="O331" s="401">
        <f>IFERROR(VLOOKUP($G327,'דוח ביצוע (3)'!$B$21:$U$500,19,0),0)</f>
        <v>0</v>
      </c>
      <c r="P331" s="595"/>
      <c r="Q331" s="595"/>
      <c r="R331" s="596"/>
      <c r="S331" s="610"/>
      <c r="T331" s="881"/>
      <c r="U331" s="598"/>
      <c r="V331" s="599"/>
      <c r="W331" s="599"/>
      <c r="X331" s="599"/>
      <c r="Y331" s="879"/>
      <c r="Z331" s="85"/>
      <c r="AC331" s="493"/>
      <c r="AD331" s="495"/>
      <c r="AG331" s="22"/>
      <c r="AH331" s="55"/>
      <c r="AI331" s="55"/>
      <c r="AJ331" s="55"/>
      <c r="AK331" s="55"/>
      <c r="AO331" s="22"/>
      <c r="AP331" s="22"/>
      <c r="AQ331" s="22"/>
      <c r="AR331" s="22"/>
      <c r="AS331" s="22"/>
      <c r="AT331" s="22"/>
      <c r="AU331" s="35"/>
      <c r="AV331" s="35"/>
      <c r="AW331" s="35"/>
      <c r="AX331" s="35"/>
      <c r="AY331" s="35"/>
      <c r="AZ331" s="35"/>
      <c r="BA331" s="35"/>
      <c r="BB331" s="35"/>
      <c r="BC331" s="35"/>
      <c r="BD331" s="35"/>
      <c r="BE331" s="35"/>
      <c r="BF331" s="35"/>
      <c r="BG331" s="35"/>
      <c r="BH331" s="35"/>
      <c r="BI331" s="35"/>
      <c r="BJ331" s="35"/>
      <c r="BK331" s="35"/>
      <c r="BL331" s="35"/>
      <c r="BM331" s="35"/>
      <c r="BN331" s="35"/>
      <c r="BO331" s="86"/>
    </row>
    <row r="332" spans="1:67" s="20" customFormat="1" ht="16.5" thickBot="1" x14ac:dyDescent="0.3">
      <c r="A332" s="520">
        <f>IFERROR(VLOOKUP($G$5,'רשימת רשויות'!A:C,3,0),0)</f>
        <v>0</v>
      </c>
      <c r="B332" s="520">
        <f t="shared" si="36"/>
        <v>0</v>
      </c>
      <c r="C332" s="39"/>
      <c r="D332" s="1134"/>
      <c r="E332" s="1137"/>
      <c r="F332" s="586" t="s">
        <v>2355</v>
      </c>
      <c r="G332" s="514">
        <f>IFERROR(IF(VLOOKUP('בית ספר - תקצוב לפי מוסד (9)'!G327,' איוש משרות (8)'!$C:$K,9,0)="תקין","תקין","לא תקין"),0)</f>
        <v>0</v>
      </c>
      <c r="H332" s="91"/>
      <c r="I332" s="91"/>
      <c r="J332" s="91"/>
      <c r="K332" s="90"/>
      <c r="L332" s="90"/>
      <c r="M332" s="402" t="s">
        <v>2586</v>
      </c>
      <c r="N332" s="403">
        <f>IFERROR(MIN(N330,N331),0)</f>
        <v>0</v>
      </c>
      <c r="O332" s="404">
        <f>IFERROR(MIN(O330,O331),0)</f>
        <v>0</v>
      </c>
      <c r="P332" s="595"/>
      <c r="Q332" s="595"/>
      <c r="R332" s="596"/>
      <c r="S332" s="610"/>
      <c r="T332" s="881"/>
      <c r="U332" s="598"/>
      <c r="V332" s="599"/>
      <c r="W332" s="599"/>
      <c r="X332" s="599"/>
      <c r="Y332" s="879"/>
      <c r="Z332" s="85"/>
      <c r="AC332" s="493"/>
      <c r="AD332" s="495"/>
      <c r="AG332" s="94"/>
      <c r="AH332" s="40"/>
      <c r="AI332" s="40"/>
      <c r="AJ332" s="40"/>
      <c r="AK332" s="40"/>
      <c r="AO332" s="22"/>
      <c r="AP332" s="22"/>
      <c r="AQ332" s="22"/>
      <c r="AR332" s="22"/>
      <c r="AS332" s="22"/>
      <c r="AT332" s="22"/>
      <c r="AU332" s="35"/>
      <c r="AV332" s="35"/>
      <c r="AW332" s="35"/>
      <c r="AX332" s="35"/>
      <c r="AY332" s="35"/>
      <c r="AZ332" s="35"/>
      <c r="BA332" s="35"/>
      <c r="BB332" s="35"/>
      <c r="BC332" s="35"/>
      <c r="BD332" s="35"/>
      <c r="BE332" s="35"/>
      <c r="BF332" s="35"/>
      <c r="BG332" s="35"/>
      <c r="BH332" s="35"/>
      <c r="BI332" s="35"/>
      <c r="BJ332" s="35"/>
      <c r="BK332" s="35"/>
      <c r="BL332" s="35"/>
      <c r="BM332" s="35"/>
      <c r="BN332" s="35"/>
      <c r="BO332" s="86"/>
    </row>
    <row r="333" spans="1:67" s="55" customFormat="1" ht="37.15" customHeight="1" thickBot="1" x14ac:dyDescent="0.3">
      <c r="A333" s="520">
        <f>IFERROR(VLOOKUP($G$5,'רשימת רשויות'!A:C,3,0),0)</f>
        <v>0</v>
      </c>
      <c r="B333" s="520">
        <f t="shared" si="36"/>
        <v>0</v>
      </c>
      <c r="C333" s="39"/>
      <c r="D333" s="1134"/>
      <c r="E333" s="1137"/>
      <c r="F333" s="587" t="s">
        <v>142</v>
      </c>
      <c r="G333" s="92"/>
      <c r="H333" s="92"/>
      <c r="I333" s="92"/>
      <c r="J333" s="92"/>
      <c r="K333" s="602"/>
      <c r="L333" s="602"/>
      <c r="M333" s="602"/>
      <c r="N333" s="602"/>
      <c r="O333" s="602"/>
      <c r="P333" s="595"/>
      <c r="Q333" s="595"/>
      <c r="R333" s="596"/>
      <c r="S333" s="610"/>
      <c r="T333" s="881"/>
      <c r="U333" s="598"/>
      <c r="V333" s="599"/>
      <c r="W333" s="599"/>
      <c r="X333" s="599"/>
      <c r="Y333" s="879"/>
      <c r="Z333" s="93"/>
      <c r="AC333" s="493"/>
      <c r="AD333" s="495"/>
      <c r="AF333" s="22"/>
      <c r="AG333" s="98"/>
      <c r="AH333" s="98"/>
      <c r="AI333" s="40"/>
      <c r="AJ333" s="40"/>
      <c r="AK333" s="40"/>
      <c r="AO333" s="22"/>
      <c r="AP333" s="22"/>
      <c r="AQ333" s="22"/>
      <c r="AR333" s="22"/>
      <c r="AS333" s="22"/>
      <c r="AT333" s="22"/>
      <c r="AU333" s="35"/>
      <c r="AV333" s="35"/>
      <c r="AW333" s="35"/>
      <c r="AX333" s="35"/>
      <c r="AY333" s="35"/>
      <c r="AZ333" s="35"/>
      <c r="BA333" s="35"/>
      <c r="BB333" s="35"/>
      <c r="BC333" s="35"/>
      <c r="BD333" s="35"/>
      <c r="BE333" s="35"/>
      <c r="BF333" s="35"/>
      <c r="BG333" s="35"/>
      <c r="BH333" s="35"/>
      <c r="BI333" s="35"/>
      <c r="BJ333" s="35"/>
      <c r="BK333" s="35"/>
      <c r="BL333" s="35"/>
      <c r="BM333" s="35"/>
      <c r="BN333" s="35"/>
      <c r="BO333" s="86"/>
    </row>
    <row r="334" spans="1:67" s="40" customFormat="1" ht="31.5" x14ac:dyDescent="0.25">
      <c r="A334" s="520">
        <f>IFERROR(VLOOKUP($G$5,'רשימת רשויות'!A:C,3,0),0)</f>
        <v>0</v>
      </c>
      <c r="B334" s="520">
        <f t="shared" ref="B334:B397" si="45">IF(F335="סמל המוסד",G335,B333)</f>
        <v>0</v>
      </c>
      <c r="C334" s="39"/>
      <c r="D334" s="1134"/>
      <c r="E334" s="1137"/>
      <c r="F334" s="588" t="s">
        <v>94</v>
      </c>
      <c r="G334" s="95" t="s">
        <v>18</v>
      </c>
      <c r="H334" s="95" t="s">
        <v>19</v>
      </c>
      <c r="I334" s="95" t="s">
        <v>138</v>
      </c>
      <c r="J334" s="96" t="s">
        <v>139</v>
      </c>
      <c r="K334" s="603"/>
      <c r="L334" s="603"/>
      <c r="M334" s="603"/>
      <c r="N334" s="603"/>
      <c r="O334" s="603"/>
      <c r="P334" s="604"/>
      <c r="Q334" s="604"/>
      <c r="R334" s="596"/>
      <c r="S334" s="610"/>
      <c r="T334" s="881"/>
      <c r="U334" s="598"/>
      <c r="V334" s="599"/>
      <c r="W334" s="599"/>
      <c r="X334" s="599"/>
      <c r="Y334" s="879"/>
      <c r="Z334" s="97"/>
      <c r="AA334" s="94"/>
      <c r="AB334" s="94"/>
      <c r="AC334" s="493"/>
      <c r="AD334" s="495"/>
      <c r="AE334" s="94"/>
      <c r="AG334" s="98"/>
      <c r="AH334" s="98"/>
      <c r="AO334" s="22"/>
      <c r="AP334" s="22"/>
      <c r="AQ334" s="22"/>
      <c r="AR334" s="22"/>
      <c r="AS334" s="22"/>
      <c r="AT334" s="22"/>
      <c r="AU334" s="35"/>
      <c r="AV334" s="35"/>
      <c r="AW334" s="35"/>
      <c r="AX334" s="35"/>
      <c r="AY334" s="35"/>
      <c r="AZ334" s="35"/>
      <c r="BA334" s="35"/>
      <c r="BB334" s="35"/>
      <c r="BC334" s="35"/>
      <c r="BD334" s="35"/>
      <c r="BE334" s="35"/>
      <c r="BF334" s="35"/>
      <c r="BG334" s="35"/>
      <c r="BH334" s="35"/>
      <c r="BI334" s="35"/>
      <c r="BJ334" s="35"/>
      <c r="BK334" s="35"/>
      <c r="BL334" s="35"/>
      <c r="BM334" s="35"/>
      <c r="BN334" s="35"/>
      <c r="BO334" s="86"/>
    </row>
    <row r="335" spans="1:67" s="40" customFormat="1" ht="15.75" customHeight="1" thickBot="1" x14ac:dyDescent="0.3">
      <c r="A335" s="520">
        <f>IFERROR(VLOOKUP($G$5,'רשימת רשויות'!A:C,3,0),0)</f>
        <v>0</v>
      </c>
      <c r="B335" s="520">
        <f t="shared" si="45"/>
        <v>0</v>
      </c>
      <c r="C335" s="39"/>
      <c r="D335" s="1134"/>
      <c r="E335" s="1137"/>
      <c r="F335" s="589" t="s">
        <v>2280</v>
      </c>
      <c r="G335" s="99">
        <f>+G346</f>
        <v>0</v>
      </c>
      <c r="H335" s="100">
        <f>K329</f>
        <v>0</v>
      </c>
      <c r="I335" s="100">
        <f>H335-I337</f>
        <v>0</v>
      </c>
      <c r="J335" s="101">
        <f>IFERROR(I335/H335,0)</f>
        <v>0</v>
      </c>
      <c r="K335" s="603"/>
      <c r="L335" s="603"/>
      <c r="M335" s="603"/>
      <c r="N335" s="603"/>
      <c r="O335" s="603"/>
      <c r="P335" s="605"/>
      <c r="Q335" s="604"/>
      <c r="R335" s="606" t="s">
        <v>157</v>
      </c>
      <c r="S335" s="611"/>
      <c r="T335" s="881"/>
      <c r="U335" s="598"/>
      <c r="V335" s="599"/>
      <c r="W335" s="599"/>
      <c r="X335" s="599"/>
      <c r="Y335" s="879"/>
      <c r="Z335" s="102"/>
      <c r="AA335" s="122"/>
      <c r="AB335" s="122"/>
      <c r="AC335" s="493"/>
      <c r="AD335" s="495"/>
      <c r="AE335" s="122"/>
      <c r="AF335" s="22"/>
      <c r="AG335" s="98"/>
      <c r="AH335" s="98"/>
      <c r="AI335" s="20"/>
      <c r="AO335" s="22"/>
      <c r="AP335" s="22"/>
      <c r="AQ335" s="22"/>
      <c r="AR335" s="22"/>
      <c r="AS335" s="22"/>
      <c r="AT335" s="22"/>
      <c r="AU335" s="35"/>
      <c r="AV335" s="35"/>
      <c r="AW335" s="35"/>
      <c r="AX335" s="35"/>
      <c r="AY335" s="35"/>
      <c r="AZ335" s="35"/>
      <c r="BA335" s="35"/>
      <c r="BB335" s="35"/>
      <c r="BC335" s="35"/>
      <c r="BD335" s="35"/>
      <c r="BE335" s="35"/>
      <c r="BF335" s="35"/>
      <c r="BG335" s="35"/>
      <c r="BH335" s="35"/>
      <c r="BI335" s="35"/>
      <c r="BJ335" s="35"/>
      <c r="BK335" s="35"/>
      <c r="BL335" s="35"/>
      <c r="BM335" s="35"/>
      <c r="BN335" s="35"/>
      <c r="BO335" s="86"/>
    </row>
    <row r="336" spans="1:67" s="40" customFormat="1" ht="15.75" customHeight="1" thickBot="1" x14ac:dyDescent="0.3">
      <c r="A336" s="520">
        <f>IFERROR(VLOOKUP($G$5,'רשימת רשויות'!A:C,3,0),0)</f>
        <v>0</v>
      </c>
      <c r="B336" s="520">
        <f t="shared" si="45"/>
        <v>0</v>
      </c>
      <c r="C336" s="39"/>
      <c r="D336" s="1134"/>
      <c r="E336" s="1137"/>
      <c r="F336" s="589" t="s">
        <v>2281</v>
      </c>
      <c r="G336" s="99">
        <f>+G345</f>
        <v>0</v>
      </c>
      <c r="H336" s="103"/>
      <c r="I336" s="104"/>
      <c r="J336" s="105"/>
      <c r="K336" s="603"/>
      <c r="L336" s="603"/>
      <c r="M336" s="603"/>
      <c r="N336" s="603"/>
      <c r="O336" s="603"/>
      <c r="P336" s="605"/>
      <c r="Q336" s="604"/>
      <c r="R336" s="473">
        <f>I337-R338</f>
        <v>0</v>
      </c>
      <c r="S336" s="611"/>
      <c r="T336" s="881"/>
      <c r="U336" s="598"/>
      <c r="V336" s="599"/>
      <c r="W336" s="599"/>
      <c r="X336" s="599"/>
      <c r="Y336" s="879"/>
      <c r="Z336" s="106"/>
      <c r="AA336" s="22"/>
      <c r="AB336" s="22"/>
      <c r="AC336" s="493"/>
      <c r="AD336" s="495"/>
      <c r="AE336" s="22"/>
      <c r="AF336" s="22"/>
      <c r="AG336" s="98"/>
      <c r="AH336" s="98"/>
      <c r="AI336" s="20"/>
      <c r="AO336" s="22"/>
      <c r="AP336" s="22"/>
      <c r="AQ336" s="22"/>
      <c r="AR336" s="22"/>
      <c r="AS336" s="22"/>
      <c r="AT336" s="22"/>
      <c r="AU336" s="35"/>
      <c r="AV336" s="35"/>
      <c r="AW336" s="35"/>
      <c r="AX336" s="35"/>
      <c r="AY336" s="35"/>
      <c r="AZ336" s="35"/>
      <c r="BA336" s="35"/>
      <c r="BB336" s="35"/>
      <c r="BC336" s="35"/>
      <c r="BD336" s="35"/>
      <c r="BE336" s="35"/>
      <c r="BF336" s="35"/>
      <c r="BG336" s="35"/>
      <c r="BH336" s="35"/>
      <c r="BI336" s="35"/>
      <c r="BJ336" s="35"/>
      <c r="BK336" s="35"/>
      <c r="BL336" s="35"/>
      <c r="BM336" s="35"/>
      <c r="BN336" s="35"/>
      <c r="BO336" s="86"/>
    </row>
    <row r="337" spans="1:67" s="40" customFormat="1" ht="16.5" customHeight="1" thickBot="1" x14ac:dyDescent="0.3">
      <c r="A337" s="520">
        <f>IFERROR(VLOOKUP($G$5,'רשימת רשויות'!A:C,3,0),0)</f>
        <v>0</v>
      </c>
      <c r="B337" s="520">
        <f t="shared" si="45"/>
        <v>0</v>
      </c>
      <c r="C337" s="39"/>
      <c r="D337" s="1134"/>
      <c r="E337" s="1137"/>
      <c r="F337" s="589" t="s">
        <v>2282</v>
      </c>
      <c r="G337" s="99">
        <f>G341+G342+G343</f>
        <v>0</v>
      </c>
      <c r="H337" s="104"/>
      <c r="I337" s="107">
        <f>MAX(H335-G335-G336,0)</f>
        <v>0</v>
      </c>
      <c r="J337" s="108">
        <f>IFERROR(I337/H335,0)</f>
        <v>0</v>
      </c>
      <c r="K337" s="603"/>
      <c r="L337" s="603"/>
      <c r="M337" s="603"/>
      <c r="N337" s="603"/>
      <c r="O337" s="603"/>
      <c r="P337" s="604"/>
      <c r="Q337" s="604"/>
      <c r="R337" s="606" t="s">
        <v>158</v>
      </c>
      <c r="S337" s="612"/>
      <c r="T337" s="881"/>
      <c r="U337" s="598"/>
      <c r="V337" s="599"/>
      <c r="W337" s="599"/>
      <c r="X337" s="599"/>
      <c r="Y337" s="879"/>
      <c r="Z337" s="106"/>
      <c r="AA337" s="22"/>
      <c r="AB337" s="22"/>
      <c r="AC337" s="493"/>
      <c r="AD337" s="495"/>
      <c r="AE337" s="22"/>
      <c r="AF337" s="22"/>
      <c r="AG337" s="22"/>
      <c r="AH337" s="22"/>
      <c r="AI337" s="55"/>
      <c r="AJ337" s="22"/>
      <c r="AK337" s="22"/>
      <c r="AO337" s="22"/>
      <c r="AP337" s="22"/>
      <c r="AQ337" s="22"/>
      <c r="AR337" s="22"/>
      <c r="AS337" s="22"/>
      <c r="AT337" s="22"/>
      <c r="AU337" s="35"/>
      <c r="AV337" s="35"/>
      <c r="AW337" s="35"/>
      <c r="AX337" s="35"/>
      <c r="AY337" s="35"/>
      <c r="AZ337" s="35"/>
      <c r="BA337" s="35"/>
      <c r="BB337" s="35"/>
      <c r="BC337" s="35"/>
      <c r="BD337" s="35"/>
      <c r="BE337" s="35"/>
      <c r="BF337" s="35"/>
      <c r="BG337" s="35"/>
      <c r="BH337" s="35"/>
      <c r="BI337" s="35"/>
      <c r="BJ337" s="35"/>
      <c r="BK337" s="35"/>
      <c r="BL337" s="35"/>
      <c r="BM337" s="35"/>
      <c r="BN337" s="35"/>
      <c r="BO337" s="86"/>
    </row>
    <row r="338" spans="1:67" s="40" customFormat="1" ht="15.75" customHeight="1" thickBot="1" x14ac:dyDescent="0.3">
      <c r="A338" s="520">
        <f>IFERROR(VLOOKUP($G$5,'רשימת רשויות'!A:C,3,0),0)</f>
        <v>0</v>
      </c>
      <c r="B338" s="520">
        <f t="shared" si="45"/>
        <v>0</v>
      </c>
      <c r="C338" s="39"/>
      <c r="D338" s="1134"/>
      <c r="E338" s="1137"/>
      <c r="F338" s="590" t="s">
        <v>2290</v>
      </c>
      <c r="G338" s="109"/>
      <c r="H338" s="110"/>
      <c r="I338" s="111">
        <f>SUM(I335:I337)</f>
        <v>0</v>
      </c>
      <c r="J338" s="112">
        <f>SUM(J335:J337)</f>
        <v>0</v>
      </c>
      <c r="K338" s="603"/>
      <c r="L338" s="603"/>
      <c r="M338" s="603"/>
      <c r="N338" s="603"/>
      <c r="O338" s="603"/>
      <c r="P338" s="604"/>
      <c r="Q338" s="604"/>
      <c r="R338" s="473">
        <f>MIN(MAX(G342+G343-I331-J331,0),I337)</f>
        <v>0</v>
      </c>
      <c r="S338" s="612"/>
      <c r="T338" s="881"/>
      <c r="U338" s="598"/>
      <c r="V338" s="599"/>
      <c r="W338" s="599"/>
      <c r="X338" s="599"/>
      <c r="Y338" s="879"/>
      <c r="Z338" s="106"/>
      <c r="AA338" s="22"/>
      <c r="AB338" s="22"/>
      <c r="AC338" s="493"/>
      <c r="AD338" s="495"/>
      <c r="AE338" s="22"/>
      <c r="AF338" s="22"/>
      <c r="AG338" s="22"/>
      <c r="AH338" s="22"/>
      <c r="AJ338" s="22"/>
      <c r="AK338" s="22"/>
      <c r="AO338" s="22"/>
      <c r="AP338" s="22"/>
      <c r="AQ338" s="22"/>
      <c r="AR338" s="22"/>
      <c r="AS338" s="22"/>
      <c r="AT338" s="22"/>
      <c r="AU338" s="35"/>
      <c r="AV338" s="35"/>
      <c r="AW338" s="35"/>
      <c r="AX338" s="35"/>
      <c r="AY338" s="35"/>
      <c r="AZ338" s="35"/>
      <c r="BA338" s="35"/>
      <c r="BB338" s="35"/>
      <c r="BC338" s="35"/>
      <c r="BD338" s="35"/>
      <c r="BE338" s="35"/>
      <c r="BF338" s="35"/>
      <c r="BG338" s="35"/>
      <c r="BH338" s="35"/>
      <c r="BI338" s="35"/>
      <c r="BJ338" s="35"/>
      <c r="BK338" s="35"/>
      <c r="BL338" s="35"/>
      <c r="BM338" s="35"/>
      <c r="BN338" s="35"/>
      <c r="BO338" s="86"/>
    </row>
    <row r="339" spans="1:67" ht="16.5" thickBot="1" x14ac:dyDescent="0.3">
      <c r="A339" s="520">
        <f>IFERROR(VLOOKUP($G$5,'רשימת רשויות'!A:C,3,0),0)</f>
        <v>0</v>
      </c>
      <c r="B339" s="520">
        <f t="shared" si="45"/>
        <v>0</v>
      </c>
      <c r="D339" s="1134"/>
      <c r="E339" s="1137"/>
      <c r="F339" s="587" t="s">
        <v>17</v>
      </c>
      <c r="G339" s="113"/>
      <c r="H339" s="92"/>
      <c r="I339" s="114"/>
      <c r="J339" s="115"/>
      <c r="K339" s="116"/>
      <c r="L339" s="406"/>
      <c r="M339" s="116"/>
      <c r="N339" s="116"/>
      <c r="O339" s="116"/>
      <c r="P339" s="474"/>
      <c r="Q339" s="607"/>
      <c r="R339" s="608"/>
      <c r="S339" s="612"/>
      <c r="T339" s="881"/>
      <c r="U339" s="598"/>
      <c r="V339" s="599"/>
      <c r="W339" s="599"/>
      <c r="X339" s="599"/>
      <c r="Y339" s="879"/>
      <c r="Z339" s="106"/>
      <c r="AI339" s="40"/>
      <c r="BO339" s="86"/>
    </row>
    <row r="340" spans="1:67" ht="47.25" x14ac:dyDescent="0.25">
      <c r="A340" s="520">
        <f>IFERROR(VLOOKUP($G$5,'רשימת רשויות'!A:C,3,0),0)</f>
        <v>0</v>
      </c>
      <c r="B340" s="520">
        <f t="shared" si="45"/>
        <v>0</v>
      </c>
      <c r="D340" s="1134"/>
      <c r="E340" s="1137"/>
      <c r="F340" s="588" t="s">
        <v>2</v>
      </c>
      <c r="G340" s="95" t="s">
        <v>18</v>
      </c>
      <c r="H340" s="95" t="s">
        <v>19</v>
      </c>
      <c r="I340" s="95" t="s">
        <v>20</v>
      </c>
      <c r="J340" s="95" t="s">
        <v>22</v>
      </c>
      <c r="K340" s="96" t="s">
        <v>2314</v>
      </c>
      <c r="L340" s="609"/>
      <c r="M340" s="609"/>
      <c r="N340" s="609"/>
      <c r="O340" s="580"/>
      <c r="P340" s="618" t="s">
        <v>2298</v>
      </c>
      <c r="Q340" s="618" t="s">
        <v>2299</v>
      </c>
      <c r="R340" s="596"/>
      <c r="S340" s="890" t="s">
        <v>2519</v>
      </c>
      <c r="T340" s="890" t="s">
        <v>97</v>
      </c>
      <c r="U340" s="891" t="s">
        <v>2521</v>
      </c>
      <c r="V340" s="892" t="s">
        <v>2520</v>
      </c>
      <c r="W340" s="893" t="s">
        <v>2524</v>
      </c>
      <c r="X340" s="892" t="s">
        <v>2522</v>
      </c>
      <c r="Y340" s="894" t="s">
        <v>2523</v>
      </c>
      <c r="Z340" s="106"/>
      <c r="AC340" s="498" t="s">
        <v>2568</v>
      </c>
      <c r="AD340" s="499" t="s">
        <v>2569</v>
      </c>
      <c r="AF340" s="122"/>
      <c r="AI340" s="40"/>
      <c r="BO340" s="86"/>
    </row>
    <row r="341" spans="1:67" ht="15" customHeight="1" thickBot="1" x14ac:dyDescent="0.3">
      <c r="A341" s="520">
        <f>IFERROR(VLOOKUP($G$5,'רשימת רשויות'!A:C,3,0),0)</f>
        <v>0</v>
      </c>
      <c r="B341" s="520">
        <f t="shared" si="45"/>
        <v>0</v>
      </c>
      <c r="D341" s="1134"/>
      <c r="E341" s="1137"/>
      <c r="F341" s="589" t="s">
        <v>76</v>
      </c>
      <c r="G341" s="117">
        <f>IF(G332="תקין",SUMIF('עלויות כח אדם (6)'!$B$15:$B$3014,'בית ספר - תקצוב לפי מוסד (9)'!$G327,'עלויות כח אדם (6)'!$M$15:$M$3014)-VLOOKUP('בית ספר - תקצוב לפי מוסד (9)'!G327,' איוש משרות (8)'!$C:$H,5,0)-VLOOKUP('בית ספר - תקצוב לפי מוסד (9)'!G327,' איוש משרות (8)'!$C:$H,6,0),0)-Y341</f>
        <v>0</v>
      </c>
      <c r="H341" s="118">
        <f>I329+R336</f>
        <v>0</v>
      </c>
      <c r="I341" s="119">
        <f>IFERROR(SUM(G341)/H341,0)</f>
        <v>0</v>
      </c>
      <c r="J341" s="100">
        <f>MIN(I329+R336,IF(ISNUMBER(G341),G341,0))</f>
        <v>0</v>
      </c>
      <c r="K341" s="120">
        <f>MAX(H341-G341,0)</f>
        <v>0</v>
      </c>
      <c r="L341" s="407"/>
      <c r="M341" s="393"/>
      <c r="N341" s="393"/>
      <c r="O341" s="580"/>
      <c r="P341" s="968">
        <f>IFERROR(IF(SUM(G341)/(I329)&lt;100%,MIN((I329)-SUM(G341),(I329)*0.25),0),0)</f>
        <v>0</v>
      </c>
      <c r="Q341" s="968">
        <f>IF(SUM(G341)-(I329+R336)&gt;0,SUM(G341)-(I329+R336),0)</f>
        <v>0</v>
      </c>
      <c r="R341" s="596" t="s">
        <v>2351</v>
      </c>
      <c r="S341" s="576" t="s">
        <v>2342</v>
      </c>
      <c r="T341" s="599">
        <f>G327</f>
        <v>0</v>
      </c>
      <c r="U341" s="578"/>
      <c r="V341" s="579">
        <f>G341+G342+G343</f>
        <v>0</v>
      </c>
      <c r="W341" s="579">
        <f>U341-V341</f>
        <v>0</v>
      </c>
      <c r="X341" s="579">
        <f>IFERROR(W355*W341/(SUM(W341:W354)),0)</f>
        <v>0</v>
      </c>
      <c r="Y341" s="879">
        <f>SUMIFS(בקרה!$S:$S,בקרה!$D:$D,T341,בקרה!$K:$K,S341)</f>
        <v>0</v>
      </c>
      <c r="Z341" s="121"/>
      <c r="AA341" s="143"/>
      <c r="AB341" s="143"/>
      <c r="AC341" s="504">
        <v>0</v>
      </c>
      <c r="AD341" s="505">
        <f>IFERROR(U341-AC341,0)</f>
        <v>0</v>
      </c>
      <c r="AE341" s="143"/>
      <c r="AI341" s="20"/>
      <c r="BO341" s="86"/>
    </row>
    <row r="342" spans="1:67" ht="15" customHeight="1" thickBot="1" x14ac:dyDescent="0.3">
      <c r="A342" s="520">
        <f>IFERROR(VLOOKUP($G$5,'רשימת רשויות'!A:C,3,0),0)</f>
        <v>0</v>
      </c>
      <c r="B342" s="520">
        <f t="shared" si="45"/>
        <v>0</v>
      </c>
      <c r="D342" s="1134"/>
      <c r="E342" s="1137"/>
      <c r="F342" s="589" t="s">
        <v>44</v>
      </c>
      <c r="G342" s="123">
        <f>IF(G332="תקין",IFERROR(VLOOKUP('בית ספר - תקצוב לפי מוסד (9)'!G327,' איוש משרות (8)'!C:J,7,0),0),0)</f>
        <v>0</v>
      </c>
      <c r="H342" s="124">
        <f>I331+R338+J331</f>
        <v>0</v>
      </c>
      <c r="I342" s="119">
        <f>IFERROR(SUM(G342:G343)/H342,0)</f>
        <v>0</v>
      </c>
      <c r="J342" s="100">
        <f>MIN(R338+I331,IF(ISNUMBER(SUM(G342:G343)),SUM(G342:G343),0))</f>
        <v>0</v>
      </c>
      <c r="K342" s="1139">
        <f>MAX((H342)-(G342+G343),0)</f>
        <v>0</v>
      </c>
      <c r="L342" s="407"/>
      <c r="M342" s="393"/>
      <c r="N342" s="393"/>
      <c r="O342" s="580"/>
      <c r="P342" s="1140"/>
      <c r="Q342" s="1140"/>
      <c r="R342" s="617">
        <f>MAX(MIN(P350-Q350,H350*0.15-G348),0)</f>
        <v>0</v>
      </c>
      <c r="S342" s="576"/>
      <c r="T342" s="599">
        <f>G327</f>
        <v>0</v>
      </c>
      <c r="U342" s="578"/>
      <c r="V342" s="579"/>
      <c r="W342" s="579">
        <f t="shared" ref="W342:W354" si="46">U342-V342</f>
        <v>0</v>
      </c>
      <c r="X342" s="579"/>
      <c r="Y342" s="879"/>
      <c r="Z342" s="121"/>
      <c r="AA342" s="143"/>
      <c r="AB342" s="143"/>
      <c r="AC342" s="504"/>
      <c r="AD342" s="505">
        <f t="shared" ref="AD342:AD348" si="47">IFERROR(U342-AC342,0)</f>
        <v>0</v>
      </c>
      <c r="AE342" s="143"/>
      <c r="AI342" s="20"/>
      <c r="BO342" s="86"/>
    </row>
    <row r="343" spans="1:67" ht="15.75" customHeight="1" x14ac:dyDescent="0.25">
      <c r="A343" s="520">
        <f>IFERROR(VLOOKUP($G$5,'רשימת רשויות'!A:C,3,0),0)</f>
        <v>0</v>
      </c>
      <c r="B343" s="520">
        <f t="shared" si="45"/>
        <v>0</v>
      </c>
      <c r="D343" s="1134"/>
      <c r="E343" s="1137"/>
      <c r="F343" s="589" t="s">
        <v>45</v>
      </c>
      <c r="G343" s="123">
        <f>IF(G332="תקין",IFERROR(VLOOKUP('בית ספר - תקצוב לפי מוסד (9)'!G327,' איוש משרות (8)'!C:J,8,0),0),0)</f>
        <v>0</v>
      </c>
      <c r="H343" s="125"/>
      <c r="I343" s="126"/>
      <c r="J343" s="104"/>
      <c r="K343" s="1139"/>
      <c r="L343" s="407"/>
      <c r="M343" s="393"/>
      <c r="N343" s="393"/>
      <c r="O343" s="580"/>
      <c r="P343" s="1140"/>
      <c r="Q343" s="1140"/>
      <c r="R343" s="596"/>
      <c r="S343" s="576"/>
      <c r="T343" s="599">
        <f>G327</f>
        <v>0</v>
      </c>
      <c r="U343" s="578"/>
      <c r="V343" s="579"/>
      <c r="W343" s="579">
        <f t="shared" si="46"/>
        <v>0</v>
      </c>
      <c r="X343" s="579"/>
      <c r="Y343" s="879"/>
      <c r="Z343" s="121"/>
      <c r="AA343" s="143"/>
      <c r="AB343" s="143"/>
      <c r="AC343" s="504"/>
      <c r="AD343" s="505">
        <f t="shared" si="47"/>
        <v>0</v>
      </c>
      <c r="AE343" s="143"/>
      <c r="AG343" s="55"/>
      <c r="AH343" s="55"/>
      <c r="AI343" s="55"/>
      <c r="AJ343" s="55"/>
      <c r="AK343" s="55"/>
      <c r="BO343" s="86"/>
    </row>
    <row r="344" spans="1:67" ht="15.75" customHeight="1" x14ac:dyDescent="0.25">
      <c r="A344" s="520">
        <f>IFERROR(VLOOKUP($G$5,'רשימת רשויות'!A:C,3,0),0)</f>
        <v>0</v>
      </c>
      <c r="B344" s="520">
        <f t="shared" si="45"/>
        <v>0</v>
      </c>
      <c r="D344" s="1134"/>
      <c r="E344" s="1137"/>
      <c r="F344" s="589" t="s">
        <v>0</v>
      </c>
      <c r="G344" s="117">
        <f>IF(G332="תקין",SUMIFS('דוח הוצאות בפועל (4)'!$E$17:$E$3016,'דוח הוצאות בפועל (4)'!$B$17:$B$3016,'בית ספר - תקצוב לפי מוסד (9)'!$G327,'דוח הוצאות בפועל (4)'!$M$17:$M$3016,"הע"),0)-Y344</f>
        <v>0</v>
      </c>
      <c r="H344" s="127">
        <f>J329</f>
        <v>0</v>
      </c>
      <c r="I344" s="128">
        <f>IFERROR(G344/H344,0)</f>
        <v>0</v>
      </c>
      <c r="J344" s="129">
        <f>MIN(IF(ISNUMBER(G344),G344,0),H344)</f>
        <v>0</v>
      </c>
      <c r="K344" s="120">
        <f>MAX(H344-G344,0)</f>
        <v>0</v>
      </c>
      <c r="L344" s="407"/>
      <c r="M344" s="393"/>
      <c r="N344" s="393"/>
      <c r="O344" s="580"/>
      <c r="P344" s="968">
        <f>MAX(IF(I344&lt;100%,MIN((H344-G344),H344*0.25),0),0)</f>
        <v>0</v>
      </c>
      <c r="Q344" s="619">
        <f>IF(G344-H344&gt;0,G344-H344,0)</f>
        <v>0</v>
      </c>
      <c r="R344" s="596"/>
      <c r="S344" s="610" t="s">
        <v>0</v>
      </c>
      <c r="T344" s="599">
        <f>G327</f>
        <v>0</v>
      </c>
      <c r="U344" s="578"/>
      <c r="V344" s="579">
        <f>G344</f>
        <v>0</v>
      </c>
      <c r="W344" s="579">
        <f t="shared" si="46"/>
        <v>0</v>
      </c>
      <c r="X344" s="579">
        <f>IFERROR(W355*W344/(SUM(W341:W354)),0)</f>
        <v>0</v>
      </c>
      <c r="Y344" s="879">
        <f>SUMIFS(בקרה!$S:$S,בקרה!$D:$D,T344,בקרה!$K:$K,S344)</f>
        <v>0</v>
      </c>
      <c r="Z344" s="121"/>
      <c r="AA344" s="143"/>
      <c r="AB344" s="143"/>
      <c r="AC344" s="504">
        <v>0</v>
      </c>
      <c r="AD344" s="505">
        <f t="shared" si="47"/>
        <v>0</v>
      </c>
      <c r="AE344" s="143"/>
      <c r="AG344" s="55"/>
      <c r="AH344" s="55"/>
      <c r="AI344" s="40"/>
      <c r="AJ344" s="55"/>
      <c r="AK344" s="55"/>
      <c r="BO344" s="86"/>
    </row>
    <row r="345" spans="1:67" s="55" customFormat="1" ht="15.75" customHeight="1" x14ac:dyDescent="0.25">
      <c r="A345" s="520">
        <f>IFERROR(VLOOKUP($G$5,'רשימת רשויות'!A:C,3,0),0)</f>
        <v>0</v>
      </c>
      <c r="B345" s="520">
        <f t="shared" si="45"/>
        <v>0</v>
      </c>
      <c r="C345" s="39"/>
      <c r="D345" s="1134"/>
      <c r="E345" s="1137"/>
      <c r="F345" s="589" t="s">
        <v>93</v>
      </c>
      <c r="G345" s="130">
        <f>IF(G332="תקין",SUMIFS('דוח הוצאות בפועל (4)'!$E$17:$E$3016,'דוח הוצאות בפועל (4)'!$B$17:$B$3016,'בית ספר - תקצוב לפי מוסד (9)'!$G327,'דוח הוצאות בפועל (4)'!$M$17:$M$3016,"אר"),0)-Y345</f>
        <v>0</v>
      </c>
      <c r="H345" s="118">
        <f>$I335</f>
        <v>0</v>
      </c>
      <c r="I345" s="131">
        <f>IFERROR((G345+G346)/H345,0)</f>
        <v>0</v>
      </c>
      <c r="J345" s="100">
        <f>MIN((IF(ISNUMBER(G345),G345,0)+IF(ISNUMBER(G346),G346,0)),H345)</f>
        <v>0</v>
      </c>
      <c r="K345" s="1139">
        <f>MAX((H345)-(G345+G346),0)</f>
        <v>0</v>
      </c>
      <c r="L345" s="407"/>
      <c r="M345" s="393"/>
      <c r="N345" s="393"/>
      <c r="O345" s="602"/>
      <c r="P345" s="1141"/>
      <c r="Q345" s="1142"/>
      <c r="R345" s="596"/>
      <c r="S345" s="610" t="s">
        <v>93</v>
      </c>
      <c r="T345" s="599">
        <f>G327</f>
        <v>0</v>
      </c>
      <c r="U345" s="578"/>
      <c r="V345" s="579">
        <f t="shared" ref="V345:V346" si="48">G345</f>
        <v>0</v>
      </c>
      <c r="W345" s="579">
        <f t="shared" si="46"/>
        <v>0</v>
      </c>
      <c r="X345" s="579">
        <f>IFERROR(W355*W345/(SUM(W341:W354)),0)</f>
        <v>0</v>
      </c>
      <c r="Y345" s="879">
        <f>SUMIFS(בקרה!$S:$S,בקרה!$D:$D,T345,בקרה!$K:$K,S345)</f>
        <v>0</v>
      </c>
      <c r="Z345" s="121"/>
      <c r="AA345" s="143"/>
      <c r="AB345" s="143"/>
      <c r="AC345" s="504">
        <v>0</v>
      </c>
      <c r="AD345" s="505">
        <f t="shared" si="47"/>
        <v>0</v>
      </c>
      <c r="AE345" s="143"/>
      <c r="AJ345" s="22"/>
      <c r="AO345" s="22"/>
      <c r="AP345" s="22"/>
      <c r="AQ345" s="22"/>
      <c r="AR345" s="22"/>
      <c r="AS345" s="22"/>
      <c r="AT345" s="22"/>
      <c r="AU345" s="35"/>
      <c r="AV345" s="35"/>
      <c r="AW345" s="35"/>
      <c r="AX345" s="35"/>
      <c r="AY345" s="35"/>
      <c r="AZ345" s="35"/>
      <c r="BA345" s="35"/>
      <c r="BB345" s="35"/>
      <c r="BC345" s="35"/>
      <c r="BD345" s="35"/>
      <c r="BE345" s="35"/>
      <c r="BF345" s="35"/>
      <c r="BG345" s="35"/>
      <c r="BH345" s="35"/>
      <c r="BI345" s="35"/>
      <c r="BJ345" s="35"/>
      <c r="BK345" s="35"/>
      <c r="BL345" s="35"/>
      <c r="BM345" s="35"/>
      <c r="BN345" s="35"/>
      <c r="BO345" s="86"/>
    </row>
    <row r="346" spans="1:67" s="55" customFormat="1" ht="15.75" customHeight="1" x14ac:dyDescent="0.25">
      <c r="A346" s="520">
        <f>IFERROR(VLOOKUP($G$5,'רשימת רשויות'!A:C,3,0),0)</f>
        <v>0</v>
      </c>
      <c r="B346" s="520">
        <f t="shared" si="45"/>
        <v>0</v>
      </c>
      <c r="C346" s="39"/>
      <c r="D346" s="1134"/>
      <c r="E346" s="1137"/>
      <c r="F346" s="589" t="s">
        <v>46</v>
      </c>
      <c r="G346" s="130">
        <f>IF(G332="תקין",SUMIFS('דוח הוצאות בפועל (4)'!$E$17:$E$3016,'דוח הוצאות בפועל (4)'!$B$17:$B$3016,'בית ספר - תקצוב לפי מוסד (9)'!$G327,'דוח הוצאות בפועל (4)'!$M$17:$M$3016,"מל"),0)-Y346</f>
        <v>0</v>
      </c>
      <c r="H346" s="132"/>
      <c r="I346" s="133"/>
      <c r="J346" s="104"/>
      <c r="K346" s="1139"/>
      <c r="L346" s="407"/>
      <c r="M346" s="393"/>
      <c r="N346" s="393"/>
      <c r="O346" s="602"/>
      <c r="P346" s="1141"/>
      <c r="Q346" s="1142"/>
      <c r="R346" s="596"/>
      <c r="S346" s="610" t="s">
        <v>46</v>
      </c>
      <c r="T346" s="599">
        <f>G327</f>
        <v>0</v>
      </c>
      <c r="U346" s="578"/>
      <c r="V346" s="579">
        <f t="shared" si="48"/>
        <v>0</v>
      </c>
      <c r="W346" s="579">
        <f t="shared" si="46"/>
        <v>0</v>
      </c>
      <c r="X346" s="579">
        <f>IFERROR(W355*W346/(SUM(W341:W354)),0)</f>
        <v>0</v>
      </c>
      <c r="Y346" s="879">
        <f>SUMIFS(בקרה!$S:$S,בקרה!$D:$D,T346,בקרה!$K:$K,S346)</f>
        <v>0</v>
      </c>
      <c r="Z346" s="121"/>
      <c r="AA346" s="143"/>
      <c r="AB346" s="143"/>
      <c r="AC346" s="504">
        <v>0</v>
      </c>
      <c r="AD346" s="505">
        <f t="shared" si="47"/>
        <v>0</v>
      </c>
      <c r="AE346" s="143"/>
      <c r="AJ346" s="22"/>
      <c r="AO346" s="22"/>
      <c r="AP346" s="22"/>
      <c r="AQ346" s="22"/>
      <c r="AR346" s="22"/>
      <c r="AS346" s="22"/>
      <c r="AT346" s="22"/>
      <c r="AU346" s="35"/>
      <c r="AV346" s="35"/>
      <c r="AW346" s="35"/>
      <c r="AX346" s="35"/>
      <c r="AY346" s="35"/>
      <c r="AZ346" s="35"/>
      <c r="BA346" s="35"/>
      <c r="BB346" s="35"/>
      <c r="BC346" s="35"/>
      <c r="BD346" s="35"/>
      <c r="BE346" s="35"/>
      <c r="BF346" s="35"/>
      <c r="BG346" s="35"/>
      <c r="BH346" s="35"/>
      <c r="BI346" s="35"/>
      <c r="BJ346" s="35"/>
      <c r="BK346" s="35"/>
      <c r="BL346" s="35"/>
      <c r="BM346" s="35"/>
      <c r="BN346" s="35"/>
      <c r="BO346" s="86"/>
    </row>
    <row r="347" spans="1:67" s="55" customFormat="1" ht="15" customHeight="1" x14ac:dyDescent="0.25">
      <c r="A347" s="520">
        <f>IFERROR(VLOOKUP($G$5,'רשימת רשויות'!A:C,3,0),0)</f>
        <v>0</v>
      </c>
      <c r="B347" s="520">
        <f t="shared" si="45"/>
        <v>0</v>
      </c>
      <c r="C347" s="39"/>
      <c r="D347" s="1134"/>
      <c r="E347" s="1137"/>
      <c r="F347" s="591" t="s">
        <v>23</v>
      </c>
      <c r="G347" s="134">
        <f>SUM(G341:G346)</f>
        <v>0</v>
      </c>
      <c r="H347" s="135">
        <f>SUM(H341:H346)</f>
        <v>0</v>
      </c>
      <c r="I347" s="128">
        <f>IFERROR(G347/H347,0)</f>
        <v>0</v>
      </c>
      <c r="J347" s="136">
        <f>SUM(J341:J346)</f>
        <v>0</v>
      </c>
      <c r="K347" s="137">
        <f>SUM(K341:K346)</f>
        <v>0</v>
      </c>
      <c r="L347" s="408"/>
      <c r="M347" s="394"/>
      <c r="N347" s="394"/>
      <c r="O347" s="602"/>
      <c r="P347" s="620">
        <f>SUM(P341:P346)</f>
        <v>0</v>
      </c>
      <c r="Q347" s="620">
        <f>SUM(Q341:Q346)</f>
        <v>0</v>
      </c>
      <c r="R347" s="596"/>
      <c r="S347" s="610"/>
      <c r="T347" s="599">
        <f>G327</f>
        <v>0</v>
      </c>
      <c r="U347" s="578"/>
      <c r="V347" s="579"/>
      <c r="W347" s="579">
        <f t="shared" si="46"/>
        <v>0</v>
      </c>
      <c r="X347" s="579"/>
      <c r="Y347" s="879"/>
      <c r="Z347" s="121"/>
      <c r="AA347" s="143"/>
      <c r="AB347" s="143"/>
      <c r="AC347" s="504"/>
      <c r="AD347" s="505">
        <f t="shared" si="47"/>
        <v>0</v>
      </c>
      <c r="AE347" s="143"/>
      <c r="AJ347" s="22"/>
      <c r="AL347" s="22"/>
      <c r="AM347" s="22"/>
      <c r="AN347" s="22"/>
      <c r="AO347" s="22"/>
      <c r="AP347" s="22"/>
      <c r="AQ347" s="22"/>
      <c r="AR347" s="22"/>
      <c r="AS347" s="22"/>
      <c r="AT347" s="22"/>
      <c r="AU347" s="35"/>
      <c r="AV347" s="35"/>
      <c r="AW347" s="35"/>
      <c r="AX347" s="35"/>
      <c r="AY347" s="35"/>
      <c r="AZ347" s="35"/>
      <c r="BA347" s="35"/>
      <c r="BB347" s="35"/>
      <c r="BC347" s="35"/>
      <c r="BD347" s="35"/>
      <c r="BE347" s="35"/>
      <c r="BF347" s="35"/>
      <c r="BG347" s="35"/>
      <c r="BH347" s="35"/>
      <c r="BI347" s="35"/>
      <c r="BJ347" s="35"/>
      <c r="BK347" s="35"/>
      <c r="BL347" s="35"/>
      <c r="BM347" s="35"/>
      <c r="BN347" s="35"/>
      <c r="BO347" s="86"/>
    </row>
    <row r="348" spans="1:67" s="55" customFormat="1" ht="15" customHeight="1" x14ac:dyDescent="0.25">
      <c r="A348" s="520">
        <f>IFERROR(VLOOKUP($G$5,'רשימת רשויות'!A:C,3,0),0)</f>
        <v>0</v>
      </c>
      <c r="B348" s="520">
        <f t="shared" si="45"/>
        <v>0</v>
      </c>
      <c r="C348" s="39"/>
      <c r="D348" s="1134"/>
      <c r="E348" s="1137"/>
      <c r="F348" s="589" t="s">
        <v>3</v>
      </c>
      <c r="G348" s="117">
        <f>IF(G332="תקין",SUMIFS('דוח הוצאות בפועל (4)'!$E$17:$E$3016,'דוח הוצאות בפועל (4)'!$B$17:$B$3016,'בית ספר - תקצוב לפי מוסד (9)'!$G327,'דוח הוצאות בפועל (4)'!$M$17:$M$3016,"ני")+SUMIFS('דוח הוצאות בפועל (4)'!$E$17:$E$3016,'דוח הוצאות בפועל (4)'!$B$17:$B$3016,'בית ספר - תקצוב לפי מוסד (9)'!$G327,'דוח הוצאות בפועל (4)'!$M$17:$M$3016,"על"),0)-Y348</f>
        <v>0</v>
      </c>
      <c r="H348" s="117">
        <f>H329</f>
        <v>0</v>
      </c>
      <c r="I348" s="138">
        <f>IFERROR(G348/H348,0)</f>
        <v>0</v>
      </c>
      <c r="J348" s="117">
        <f>IFERROR(IF(G348/H350&gt;0.15,MIN(H350*0.15,H348),MIN(H348,IF(ISNUMBER(G348),G348,0))),0)</f>
        <v>0</v>
      </c>
      <c r="K348" s="120">
        <f>MAX(H348-G348,0)</f>
        <v>0</v>
      </c>
      <c r="L348" s="407"/>
      <c r="M348" s="393"/>
      <c r="N348" s="393"/>
      <c r="O348" s="602"/>
      <c r="P348" s="620">
        <f>IF(I348&lt;100%,MIN(H348-G348,H348*0.25),0)</f>
        <v>0</v>
      </c>
      <c r="Q348" s="620">
        <f>MAX(MIN(IF(G348-H348&gt;0,G348-H348,0),$H350*0.15-H348-J349),0)</f>
        <v>0</v>
      </c>
      <c r="R348" s="596"/>
      <c r="S348" s="610" t="s">
        <v>3</v>
      </c>
      <c r="T348" s="599">
        <f>G327</f>
        <v>0</v>
      </c>
      <c r="U348" s="578"/>
      <c r="V348" s="579">
        <f t="shared" ref="V348" si="49">G348</f>
        <v>0</v>
      </c>
      <c r="W348" s="579">
        <f t="shared" si="46"/>
        <v>0</v>
      </c>
      <c r="X348" s="579"/>
      <c r="Y348" s="879"/>
      <c r="Z348" s="121"/>
      <c r="AA348" s="143"/>
      <c r="AB348" s="143"/>
      <c r="AC348" s="504">
        <v>0</v>
      </c>
      <c r="AD348" s="505">
        <f t="shared" si="47"/>
        <v>0</v>
      </c>
      <c r="AE348" s="143"/>
      <c r="AG348" s="22"/>
      <c r="AH348" s="22"/>
      <c r="AI348" s="22"/>
      <c r="AJ348" s="22"/>
      <c r="AK348" s="22"/>
      <c r="AL348" s="22"/>
      <c r="AM348" s="22"/>
      <c r="AN348" s="22"/>
      <c r="AO348" s="22"/>
      <c r="AP348" s="22"/>
      <c r="AQ348" s="22"/>
      <c r="AR348" s="22"/>
      <c r="AS348" s="22"/>
      <c r="AT348" s="22"/>
      <c r="AU348" s="35"/>
      <c r="AV348" s="35"/>
      <c r="AW348" s="35"/>
      <c r="AX348" s="35"/>
      <c r="AY348" s="35"/>
      <c r="AZ348" s="35"/>
      <c r="BA348" s="35"/>
      <c r="BB348" s="35"/>
      <c r="BC348" s="35"/>
      <c r="BD348" s="35"/>
      <c r="BE348" s="35"/>
      <c r="BF348" s="35"/>
      <c r="BG348" s="35"/>
      <c r="BH348" s="35"/>
      <c r="BI348" s="35"/>
      <c r="BJ348" s="35"/>
      <c r="BK348" s="35"/>
      <c r="BL348" s="35"/>
      <c r="BM348" s="35"/>
      <c r="BN348" s="35"/>
      <c r="BO348" s="86"/>
    </row>
    <row r="349" spans="1:67" s="55" customFormat="1" ht="15.75" customHeight="1" x14ac:dyDescent="0.25">
      <c r="A349" s="520">
        <f>IFERROR(VLOOKUP($G$5,'רשימת רשויות'!A:C,3,0),0)</f>
        <v>0</v>
      </c>
      <c r="B349" s="520">
        <f t="shared" si="45"/>
        <v>0</v>
      </c>
      <c r="C349" s="39"/>
      <c r="D349" s="1134"/>
      <c r="E349" s="1137"/>
      <c r="F349" s="589" t="s">
        <v>2918</v>
      </c>
      <c r="G349" s="117">
        <f>0.07*(G343+G342)</f>
        <v>0</v>
      </c>
      <c r="H349" s="117">
        <f>H331</f>
        <v>0</v>
      </c>
      <c r="I349" s="138">
        <f>IFERROR(G349/H349,0)</f>
        <v>0</v>
      </c>
      <c r="J349" s="117">
        <f>IFERROR(MIN(0.07*(G342+G343),0.07*I331),0)</f>
        <v>0</v>
      </c>
      <c r="K349" s="120">
        <f>MAX(H349-G349,0)</f>
        <v>0</v>
      </c>
      <c r="L349" s="407"/>
      <c r="M349" s="393"/>
      <c r="N349" s="393"/>
      <c r="O349" s="602"/>
      <c r="P349" s="620"/>
      <c r="Q349" s="619"/>
      <c r="R349" s="596"/>
      <c r="S349" s="611"/>
      <c r="T349" s="599">
        <f>G327</f>
        <v>0</v>
      </c>
      <c r="U349" s="578"/>
      <c r="V349" s="579"/>
      <c r="W349" s="579">
        <f t="shared" si="46"/>
        <v>0</v>
      </c>
      <c r="X349" s="579"/>
      <c r="Y349" s="879"/>
      <c r="Z349" s="121"/>
      <c r="AA349" s="143"/>
      <c r="AB349" s="143"/>
      <c r="AC349" s="504"/>
      <c r="AD349" s="505"/>
      <c r="AE349" s="143"/>
      <c r="AF349" s="140"/>
      <c r="AG349" s="22"/>
      <c r="AH349" s="22"/>
      <c r="AI349" s="22"/>
      <c r="AJ349" s="22"/>
      <c r="AK349" s="22"/>
      <c r="AL349" s="22"/>
      <c r="AM349" s="22"/>
      <c r="AN349" s="22"/>
      <c r="AO349" s="22"/>
      <c r="AP349" s="22"/>
      <c r="AQ349" s="22"/>
      <c r="AR349" s="22"/>
      <c r="AS349" s="22"/>
      <c r="AT349" s="22"/>
      <c r="AU349" s="35"/>
      <c r="AV349" s="35"/>
      <c r="AW349" s="35"/>
      <c r="AX349" s="35"/>
      <c r="AY349" s="35"/>
      <c r="AZ349" s="35"/>
      <c r="BA349" s="35"/>
      <c r="BB349" s="35"/>
      <c r="BC349" s="35"/>
      <c r="BD349" s="35"/>
      <c r="BE349" s="35"/>
      <c r="BF349" s="35"/>
      <c r="BG349" s="35"/>
      <c r="BH349" s="35"/>
      <c r="BI349" s="35"/>
      <c r="BJ349" s="35"/>
      <c r="BK349" s="35"/>
      <c r="BL349" s="35"/>
      <c r="BM349" s="35"/>
      <c r="BN349" s="35"/>
      <c r="BO349" s="86"/>
    </row>
    <row r="350" spans="1:67" ht="15.75" customHeight="1" x14ac:dyDescent="0.25">
      <c r="A350" s="520">
        <f>IFERROR(VLOOKUP($G$5,'רשימת רשויות'!A:C,3,0),0)</f>
        <v>0</v>
      </c>
      <c r="B350" s="520">
        <f t="shared" si="45"/>
        <v>0</v>
      </c>
      <c r="D350" s="1134"/>
      <c r="E350" s="1137"/>
      <c r="F350" s="591" t="s">
        <v>15</v>
      </c>
      <c r="G350" s="134">
        <f>G347+G348+G349</f>
        <v>0</v>
      </c>
      <c r="H350" s="134">
        <f>H347+H348+H349</f>
        <v>0</v>
      </c>
      <c r="I350" s="138">
        <f>IFERROR(G350/H350,0)</f>
        <v>0</v>
      </c>
      <c r="J350" s="139">
        <f>J347+J348+J349</f>
        <v>0</v>
      </c>
      <c r="K350" s="137">
        <f>K348+K347+K349</f>
        <v>0</v>
      </c>
      <c r="L350" s="408"/>
      <c r="M350" s="394"/>
      <c r="N350" s="394"/>
      <c r="O350" s="602"/>
      <c r="P350" s="621">
        <f>SUM(P347:P348)</f>
        <v>0</v>
      </c>
      <c r="Q350" s="622">
        <f>Q347+Q348</f>
        <v>0</v>
      </c>
      <c r="R350" s="596"/>
      <c r="S350" s="611"/>
      <c r="T350" s="599">
        <f>G327</f>
        <v>0</v>
      </c>
      <c r="U350" s="578"/>
      <c r="V350" s="579"/>
      <c r="W350" s="579">
        <f t="shared" si="46"/>
        <v>0</v>
      </c>
      <c r="X350" s="579"/>
      <c r="Y350" s="879"/>
      <c r="Z350" s="106"/>
      <c r="AC350" s="504"/>
      <c r="AD350" s="505"/>
      <c r="AH350" s="143"/>
      <c r="BO350" s="86"/>
    </row>
    <row r="351" spans="1:67" ht="15.75" customHeight="1" x14ac:dyDescent="0.25">
      <c r="A351" s="520">
        <f>IFERROR(VLOOKUP($G$5,'רשימת רשויות'!A:C,3,0),0)</f>
        <v>0</v>
      </c>
      <c r="B351" s="520">
        <f t="shared" si="45"/>
        <v>0</v>
      </c>
      <c r="D351" s="1134"/>
      <c r="E351" s="1137"/>
      <c r="F351" s="589" t="s">
        <v>2261</v>
      </c>
      <c r="G351" s="117">
        <f>IF(G332="תקין",SUMIF('תשלומי הורים ומלגות להורים (5) '!$B$18:$B$517,$G327,'תשלומי הורים ומלגות להורים (5) '!$C$18:$C$517),0)</f>
        <v>0</v>
      </c>
      <c r="H351" s="117">
        <f>(G330+G331)*$G$7</f>
        <v>0</v>
      </c>
      <c r="I351" s="141"/>
      <c r="J351" s="141"/>
      <c r="K351" s="142"/>
      <c r="L351" s="395"/>
      <c r="M351" s="395"/>
      <c r="N351" s="395"/>
      <c r="O351" s="602"/>
      <c r="P351" s="623"/>
      <c r="Q351" s="619"/>
      <c r="R351" s="596"/>
      <c r="S351" s="612"/>
      <c r="T351" s="599">
        <f>G327</f>
        <v>0</v>
      </c>
      <c r="U351" s="578"/>
      <c r="V351" s="579"/>
      <c r="W351" s="579">
        <f t="shared" si="46"/>
        <v>0</v>
      </c>
      <c r="X351" s="579"/>
      <c r="Y351" s="879"/>
      <c r="Z351" s="121"/>
      <c r="AA351" s="143"/>
      <c r="AB351" s="143"/>
      <c r="AC351" s="504"/>
      <c r="AD351" s="505"/>
      <c r="AE351" s="143"/>
      <c r="AF351" s="148"/>
      <c r="BO351" s="86"/>
    </row>
    <row r="352" spans="1:67" ht="15.75" customHeight="1" thickBot="1" x14ac:dyDescent="0.3">
      <c r="A352" s="520">
        <f>IFERROR(VLOOKUP($G$5,'רשימת רשויות'!A:C,3,0),0)</f>
        <v>0</v>
      </c>
      <c r="B352" s="520">
        <f t="shared" si="45"/>
        <v>0</v>
      </c>
      <c r="D352" s="1134"/>
      <c r="E352" s="1137"/>
      <c r="F352" s="592" t="s">
        <v>21</v>
      </c>
      <c r="G352" s="144">
        <f>G350-G351</f>
        <v>0</v>
      </c>
      <c r="H352" s="144">
        <f>H350-H351</f>
        <v>0</v>
      </c>
      <c r="I352" s="145"/>
      <c r="J352" s="145"/>
      <c r="K352" s="146"/>
      <c r="L352" s="396"/>
      <c r="M352" s="396"/>
      <c r="N352" s="396"/>
      <c r="O352" s="602"/>
      <c r="P352" s="619"/>
      <c r="Q352" s="619"/>
      <c r="R352" s="596"/>
      <c r="S352" s="612"/>
      <c r="T352" s="599">
        <f>G327</f>
        <v>0</v>
      </c>
      <c r="U352" s="578"/>
      <c r="V352" s="579"/>
      <c r="W352" s="579">
        <f t="shared" si="46"/>
        <v>0</v>
      </c>
      <c r="X352" s="579"/>
      <c r="Y352" s="879"/>
      <c r="Z352" s="147"/>
      <c r="AA352" s="148"/>
      <c r="AB352" s="148"/>
      <c r="AC352" s="504"/>
      <c r="AD352" s="505"/>
      <c r="AE352" s="148"/>
      <c r="AF352" s="148"/>
      <c r="BO352" s="86"/>
    </row>
    <row r="353" spans="1:67" ht="15.75" customHeight="1" thickBot="1" x14ac:dyDescent="0.3">
      <c r="A353" s="520">
        <f>IFERROR(VLOOKUP($G$5,'רשימת רשויות'!A:C,3,0),0)</f>
        <v>0</v>
      </c>
      <c r="B353" s="520">
        <f t="shared" si="45"/>
        <v>0</v>
      </c>
      <c r="D353" s="1134"/>
      <c r="E353" s="1137"/>
      <c r="F353" s="580"/>
      <c r="G353" s="580"/>
      <c r="H353" s="147"/>
      <c r="I353" s="149" t="s">
        <v>2197</v>
      </c>
      <c r="J353" s="150">
        <f>MAX(MIN(P350,Q350),0)</f>
        <v>0</v>
      </c>
      <c r="K353" s="580"/>
      <c r="L353" s="580"/>
      <c r="M353" s="580"/>
      <c r="N353" s="580"/>
      <c r="O353" s="580"/>
      <c r="P353" s="615" t="s">
        <v>2317</v>
      </c>
      <c r="Q353" s="624">
        <f>SUM(Q354:Q355)</f>
        <v>0</v>
      </c>
      <c r="R353" s="596"/>
      <c r="S353" s="612"/>
      <c r="T353" s="599">
        <f>G327</f>
        <v>0</v>
      </c>
      <c r="U353" s="578"/>
      <c r="V353" s="579"/>
      <c r="W353" s="579">
        <f t="shared" si="46"/>
        <v>0</v>
      </c>
      <c r="X353" s="579"/>
      <c r="Y353" s="879"/>
      <c r="Z353" s="106"/>
      <c r="AC353" s="504"/>
      <c r="AD353" s="505"/>
      <c r="AF353" s="148"/>
      <c r="BO353" s="86"/>
    </row>
    <row r="354" spans="1:67" ht="16.5" thickBot="1" x14ac:dyDescent="0.3">
      <c r="A354" s="520">
        <f>IFERROR(VLOOKUP($G$5,'רשימת רשויות'!A:C,3,0),0)</f>
        <v>0</v>
      </c>
      <c r="B354" s="520">
        <f t="shared" si="45"/>
        <v>0</v>
      </c>
      <c r="D354" s="1134"/>
      <c r="E354" s="1137"/>
      <c r="F354" s="580"/>
      <c r="G354" s="580"/>
      <c r="H354" s="580"/>
      <c r="I354" s="84" t="s">
        <v>2193</v>
      </c>
      <c r="J354" s="515" t="str">
        <f>IFERROR(1-H351/H350,"")</f>
        <v/>
      </c>
      <c r="K354" s="580"/>
      <c r="L354" s="580"/>
      <c r="M354" s="580"/>
      <c r="N354" s="580"/>
      <c r="O354" s="580"/>
      <c r="P354" s="615" t="s">
        <v>417</v>
      </c>
      <c r="Q354" s="616">
        <f>IFERROR(MAX(H352-I355-Q355,0),0)</f>
        <v>0</v>
      </c>
      <c r="R354" s="596"/>
      <c r="S354" s="600"/>
      <c r="T354" s="599">
        <f>G327</f>
        <v>0</v>
      </c>
      <c r="U354" s="578"/>
      <c r="V354" s="579"/>
      <c r="W354" s="579">
        <f t="shared" si="46"/>
        <v>0</v>
      </c>
      <c r="X354" s="579"/>
      <c r="Y354" s="879"/>
      <c r="Z354" s="106"/>
      <c r="AC354" s="504"/>
      <c r="AD354" s="505"/>
      <c r="BO354" s="86"/>
    </row>
    <row r="355" spans="1:67" ht="17.25" thickBot="1" x14ac:dyDescent="0.3">
      <c r="A355" s="520">
        <f>IFERROR(VLOOKUP($G$5,'רשימת רשויות'!A:C,3,0),0)</f>
        <v>0</v>
      </c>
      <c r="B355" s="520">
        <f t="shared" si="45"/>
        <v>0</v>
      </c>
      <c r="D355" s="1134"/>
      <c r="E355" s="1137"/>
      <c r="F355" s="1143" t="s">
        <v>2679</v>
      </c>
      <c r="G355" s="1143"/>
      <c r="H355" s="1143"/>
      <c r="I355" s="722">
        <f>IF(G332="לא תקין","לא קיימת זכאות לתקציב לאור אי איוש משרות רכז ו/או סגן רכז ",IFERROR(J354*(J353+J350),0))</f>
        <v>0</v>
      </c>
      <c r="J355" s="573"/>
      <c r="K355" s="574"/>
      <c r="L355" s="396"/>
      <c r="M355" s="574"/>
      <c r="N355" s="574"/>
      <c r="O355" s="574"/>
      <c r="P355" s="615" t="s">
        <v>2279</v>
      </c>
      <c r="Q355" s="616">
        <f>MAX(IF(AND(G350&gt;H350,I355&lt;H352),H352-I355,0),0)</f>
        <v>0</v>
      </c>
      <c r="R355" s="575"/>
      <c r="S355" s="576" t="s">
        <v>67</v>
      </c>
      <c r="T355" s="577">
        <f>G327</f>
        <v>0</v>
      </c>
      <c r="U355" s="578"/>
      <c r="V355" s="579">
        <f>I355</f>
        <v>0</v>
      </c>
      <c r="W355" s="579">
        <f>IFERROR(U355-V355,0)</f>
        <v>0</v>
      </c>
      <c r="X355" s="579">
        <f>SUM(X341:X354)</f>
        <v>0</v>
      </c>
      <c r="Y355" s="879"/>
      <c r="Z355" s="106"/>
      <c r="AC355" s="506">
        <v>0</v>
      </c>
      <c r="AD355" s="507">
        <f>IFERROR(U355-AC355,0)</f>
        <v>0</v>
      </c>
      <c r="BO355" s="86"/>
    </row>
    <row r="356" spans="1:67" ht="16.5" thickBot="1" x14ac:dyDescent="0.3">
      <c r="A356" s="520">
        <f>IFERROR(VLOOKUP($G$5,'רשימת רשויות'!A:C,3,0),0)</f>
        <v>0</v>
      </c>
      <c r="B356" s="520">
        <f t="shared" si="45"/>
        <v>0</v>
      </c>
      <c r="D356" s="1135"/>
      <c r="E356" s="1138"/>
      <c r="F356" s="1144" t="s">
        <v>2793</v>
      </c>
      <c r="G356" s="1145"/>
      <c r="H356" s="1145"/>
      <c r="I356" s="593">
        <f>IFERROR(IF(G332="תקין",SUMIFS('סייעות רפואיות או אישיות (7)'!$Q$17:Q$384,'סייעות רפואיות או אישיות (7)'!C$17:C$384,G327),0),0)</f>
        <v>0</v>
      </c>
      <c r="J356" s="151"/>
      <c r="K356" s="152"/>
      <c r="L356" s="409"/>
      <c r="M356" s="152"/>
      <c r="N356" s="152"/>
      <c r="O356" s="152"/>
      <c r="P356" s="613"/>
      <c r="Q356" s="614"/>
      <c r="R356" s="475"/>
      <c r="S356" s="489"/>
      <c r="T356" s="490"/>
      <c r="U356" s="491"/>
      <c r="V356" s="492"/>
      <c r="W356" s="492"/>
      <c r="X356" s="492"/>
      <c r="Y356" s="880"/>
      <c r="Z356" s="153"/>
      <c r="AC356" s="581"/>
      <c r="AD356" s="582"/>
      <c r="BO356" s="86"/>
    </row>
    <row r="357" spans="1:67" ht="34.5" thickBot="1" x14ac:dyDescent="0.55000000000000004">
      <c r="A357" s="520">
        <f>IFERROR(VLOOKUP($G$5,'רשימת רשויות'!A:C,3,0),0)</f>
        <v>0</v>
      </c>
      <c r="B357" s="520">
        <f t="shared" si="45"/>
        <v>0</v>
      </c>
      <c r="E357" s="154"/>
      <c r="I357" s="143"/>
      <c r="J357" s="148"/>
      <c r="O357" s="148"/>
      <c r="T357" s="481"/>
      <c r="BO357" s="86"/>
    </row>
    <row r="358" spans="1:67" s="20" customFormat="1" ht="16.5" customHeight="1" thickBot="1" x14ac:dyDescent="0.3">
      <c r="A358" s="520">
        <f>IFERROR(VLOOKUP($G$5,'רשימת רשויות'!A:C,3,0),0)</f>
        <v>0</v>
      </c>
      <c r="B358" s="520">
        <f t="shared" si="45"/>
        <v>0</v>
      </c>
      <c r="C358" s="39"/>
      <c r="D358" s="1133">
        <f>D327+1</f>
        <v>12</v>
      </c>
      <c r="E358" s="1136" t="str">
        <f>IFERROR(CONCATENATE("בית הספר ",VLOOKUP(G358,'מצבת והרשמה (2)'!$C$21:$D$520,2,0)," - ",$G$5),"")</f>
        <v>בית הספר המוסד לא קיים - 0</v>
      </c>
      <c r="F358" s="720" t="s">
        <v>146</v>
      </c>
      <c r="G358" s="721">
        <f>IFERROR(VLOOKUP(D:D,'דוח ביצוע (3)'!$A$21:$C$900,2,0),0)</f>
        <v>0</v>
      </c>
      <c r="H358" s="79"/>
      <c r="I358" s="80" t="s">
        <v>150</v>
      </c>
      <c r="J358" s="80"/>
      <c r="K358" s="81"/>
      <c r="L358" s="392"/>
      <c r="M358" s="392"/>
      <c r="N358" s="392"/>
      <c r="O358" s="82"/>
      <c r="P358" s="470"/>
      <c r="Q358" s="471"/>
      <c r="R358" s="472"/>
      <c r="S358" s="883"/>
      <c r="T358" s="884"/>
      <c r="U358" s="486"/>
      <c r="V358" s="487"/>
      <c r="W358" s="487"/>
      <c r="X358" s="487"/>
      <c r="Y358" s="885"/>
      <c r="Z358" s="83"/>
      <c r="AC358" s="502"/>
      <c r="AD358" s="503"/>
      <c r="AO358" s="22"/>
      <c r="AP358" s="22"/>
      <c r="AQ358" s="22"/>
      <c r="AR358" s="22"/>
      <c r="AS358" s="22"/>
      <c r="AT358" s="22"/>
      <c r="AU358" s="35"/>
      <c r="AV358" s="35"/>
      <c r="AW358" s="35"/>
      <c r="AX358" s="35"/>
      <c r="AY358" s="35"/>
      <c r="AZ358" s="35"/>
      <c r="BA358" s="35"/>
      <c r="BB358" s="35"/>
      <c r="BC358" s="35"/>
      <c r="BD358" s="35"/>
      <c r="BE358" s="35"/>
      <c r="BF358" s="35"/>
      <c r="BG358" s="35"/>
      <c r="BH358" s="35"/>
      <c r="BI358" s="35"/>
      <c r="BJ358" s="35"/>
      <c r="BK358" s="35"/>
      <c r="BL358" s="35"/>
      <c r="BM358" s="35"/>
      <c r="BN358" s="35"/>
      <c r="BO358" s="78"/>
    </row>
    <row r="359" spans="1:67" s="20" customFormat="1" ht="16.5" thickBot="1" x14ac:dyDescent="0.3">
      <c r="A359" s="520">
        <f>IFERROR(VLOOKUP($G$5,'רשימת רשויות'!A:C,3,0),0)</f>
        <v>0</v>
      </c>
      <c r="B359" s="520">
        <f t="shared" si="45"/>
        <v>0</v>
      </c>
      <c r="C359" s="39"/>
      <c r="D359" s="1134"/>
      <c r="E359" s="1137"/>
      <c r="F359" s="583" t="s">
        <v>145</v>
      </c>
      <c r="G359" s="516" t="str">
        <f>IFERROR(IF((G361+G362)=0,"",IF(VLOOKUP(G358,'דוח ביצוע (3)'!$B$21:$K$900,5,0)&gt;149,"גדול",IF(AND(VLOOKUP(G358,'דוח ביצוע (3)'!$B$21:$K$900,5,0)&gt;0,VLOOKUP(G358,'דוח ביצוע (3)'!$B$21:$K$900,5,0)&lt;150),"קטן",0))),"")</f>
        <v/>
      </c>
      <c r="H359" s="723" t="s">
        <v>88</v>
      </c>
      <c r="I359" s="723" t="s">
        <v>13</v>
      </c>
      <c r="J359" s="725" t="s">
        <v>14</v>
      </c>
      <c r="K359" s="724" t="s">
        <v>94</v>
      </c>
      <c r="L359" s="594"/>
      <c r="M359" s="420" t="s">
        <v>2584</v>
      </c>
      <c r="N359" s="397" t="s">
        <v>413</v>
      </c>
      <c r="O359" s="398" t="s">
        <v>52</v>
      </c>
      <c r="P359" s="595"/>
      <c r="Q359" s="595"/>
      <c r="R359" s="596"/>
      <c r="S359" s="610"/>
      <c r="T359" s="881"/>
      <c r="U359" s="598"/>
      <c r="V359" s="599"/>
      <c r="W359" s="599"/>
      <c r="X359" s="599"/>
      <c r="Y359" s="879"/>
      <c r="Z359" s="85"/>
      <c r="AC359" s="493"/>
      <c r="AD359" s="495"/>
      <c r="AO359" s="22"/>
      <c r="AP359" s="22"/>
      <c r="AQ359" s="22"/>
      <c r="AR359" s="22"/>
      <c r="AS359" s="22"/>
      <c r="AT359" s="22"/>
      <c r="AU359" s="35"/>
      <c r="AV359" s="35"/>
      <c r="AW359" s="35"/>
      <c r="AX359" s="35"/>
      <c r="AY359" s="35"/>
      <c r="AZ359" s="35"/>
      <c r="BA359" s="35"/>
      <c r="BB359" s="35"/>
      <c r="BC359" s="35"/>
      <c r="BD359" s="35"/>
      <c r="BE359" s="35"/>
      <c r="BF359" s="35"/>
      <c r="BG359" s="35"/>
      <c r="BH359" s="35"/>
      <c r="BI359" s="35"/>
      <c r="BJ359" s="35"/>
      <c r="BK359" s="35"/>
      <c r="BL359" s="35"/>
      <c r="BM359" s="35"/>
      <c r="BN359" s="35"/>
      <c r="BO359" s="78"/>
    </row>
    <row r="360" spans="1:67" s="20" customFormat="1" ht="15.75" customHeight="1" thickBot="1" x14ac:dyDescent="0.3">
      <c r="A360" s="520">
        <f>IFERROR(VLOOKUP($G$5,'רשימת רשויות'!A:C,3,0),0)</f>
        <v>0</v>
      </c>
      <c r="B360" s="520">
        <f t="shared" si="45"/>
        <v>0</v>
      </c>
      <c r="C360" s="39"/>
      <c r="D360" s="1134"/>
      <c r="E360" s="1137"/>
      <c r="F360" s="584" t="s">
        <v>144</v>
      </c>
      <c r="G360" s="87">
        <f>IF(G363="תקין",IFERROR(VLOOKUP($G358,'דוח ביצוע (3)'!$B$21:$Q$900,12,0),0),0)</f>
        <v>0</v>
      </c>
      <c r="H360" s="88">
        <f>IFERROR(G361*$AH$6+G362*$AH$7,0)</f>
        <v>0</v>
      </c>
      <c r="I360" s="88">
        <f>IFERROR(G361*$AI$6+G362*$AI$7,0)</f>
        <v>0</v>
      </c>
      <c r="J360" s="88">
        <f>IFERROR(G361*$AJ$6+G362*$AJ$7,0)</f>
        <v>0</v>
      </c>
      <c r="K360" s="88">
        <f>IFERROR(G361*$AK$6+G362*$AK$7,0)</f>
        <v>0</v>
      </c>
      <c r="L360" s="405"/>
      <c r="M360" s="399" t="s">
        <v>427</v>
      </c>
      <c r="N360" s="400" t="str">
        <f>IFERROR(VLOOKUP($G358,'דוח ביצוע (3)'!$B:$AE,28,0),"")</f>
        <v/>
      </c>
      <c r="O360" s="89" t="str">
        <f>IFERROR(VLOOKUP($G358,'דוח ביצוע (3)'!B:AE,29,0),"")</f>
        <v/>
      </c>
      <c r="P360" s="595"/>
      <c r="Q360" s="595"/>
      <c r="R360" s="596"/>
      <c r="S360" s="610"/>
      <c r="T360" s="881"/>
      <c r="U360" s="598"/>
      <c r="V360" s="599"/>
      <c r="W360" s="599"/>
      <c r="X360" s="599"/>
      <c r="Y360" s="879"/>
      <c r="Z360" s="85"/>
      <c r="AC360" s="493"/>
      <c r="AD360" s="495"/>
      <c r="AO360" s="22"/>
      <c r="AP360" s="22"/>
      <c r="AQ360" s="22"/>
      <c r="AR360" s="22"/>
      <c r="AS360" s="22"/>
      <c r="AT360" s="22"/>
      <c r="AU360" s="35"/>
      <c r="AV360" s="35"/>
      <c r="AW360" s="35"/>
      <c r="AX360" s="35"/>
      <c r="AY360" s="35"/>
      <c r="AZ360" s="35"/>
      <c r="BA360" s="35"/>
      <c r="BB360" s="35"/>
      <c r="BC360" s="35"/>
      <c r="BD360" s="35"/>
      <c r="BE360" s="35"/>
      <c r="BF360" s="35"/>
      <c r="BG360" s="35"/>
      <c r="BH360" s="35"/>
      <c r="BI360" s="35"/>
      <c r="BJ360" s="35"/>
      <c r="BK360" s="35"/>
      <c r="BL360" s="35"/>
      <c r="BM360" s="35"/>
      <c r="BN360" s="35"/>
      <c r="BO360" s="78"/>
    </row>
    <row r="361" spans="1:67" s="20" customFormat="1" ht="32.25" thickBot="1" x14ac:dyDescent="0.3">
      <c r="A361" s="520">
        <f>IFERROR(VLOOKUP($G$5,'רשימת רשויות'!A:C,3,0),0)</f>
        <v>0</v>
      </c>
      <c r="B361" s="520">
        <f t="shared" si="45"/>
        <v>0</v>
      </c>
      <c r="C361" s="39"/>
      <c r="D361" s="1134"/>
      <c r="E361" s="1137"/>
      <c r="F361" s="585" t="s">
        <v>2195</v>
      </c>
      <c r="G361" s="89">
        <f>IF(G363="תקין",MAX(N363,0),0)</f>
        <v>0</v>
      </c>
      <c r="H361" s="725" t="s">
        <v>151</v>
      </c>
      <c r="I361" s="725" t="s">
        <v>91</v>
      </c>
      <c r="J361" s="970" t="s">
        <v>3396</v>
      </c>
      <c r="K361" s="601"/>
      <c r="L361" s="601"/>
      <c r="M361" s="983" t="s">
        <v>2585</v>
      </c>
      <c r="N361" s="400" t="str">
        <f>IFERROR(G360/15*N360*1.25,"")</f>
        <v/>
      </c>
      <c r="O361" s="89" t="str">
        <f>IFERROR(G360/15*O360*1.25,"")</f>
        <v/>
      </c>
      <c r="P361" s="595"/>
      <c r="Q361" s="595"/>
      <c r="R361" s="596"/>
      <c r="S361" s="610"/>
      <c r="T361" s="881"/>
      <c r="U361" s="598"/>
      <c r="V361" s="599"/>
      <c r="W361" s="599"/>
      <c r="X361" s="599"/>
      <c r="Y361" s="879"/>
      <c r="Z361" s="85"/>
      <c r="AC361" s="493"/>
      <c r="AD361" s="495"/>
      <c r="AG361" s="22"/>
      <c r="AH361" s="55"/>
      <c r="AI361" s="55"/>
      <c r="AJ361" s="55"/>
      <c r="AK361" s="55"/>
      <c r="AO361" s="22"/>
      <c r="AP361" s="22"/>
      <c r="AQ361" s="22"/>
      <c r="AR361" s="22"/>
      <c r="AS361" s="22"/>
      <c r="AT361" s="22"/>
      <c r="AU361" s="35"/>
      <c r="AV361" s="35"/>
      <c r="AW361" s="35"/>
      <c r="AX361" s="35"/>
      <c r="AY361" s="35"/>
      <c r="AZ361" s="35"/>
      <c r="BA361" s="35"/>
      <c r="BB361" s="35"/>
      <c r="BC361" s="35"/>
      <c r="BD361" s="35"/>
      <c r="BE361" s="35"/>
      <c r="BF361" s="35"/>
      <c r="BG361" s="35"/>
      <c r="BH361" s="35"/>
      <c r="BI361" s="35"/>
      <c r="BJ361" s="35"/>
      <c r="BK361" s="35"/>
      <c r="BL361" s="35"/>
      <c r="BM361" s="35"/>
      <c r="BN361" s="35"/>
      <c r="BO361" s="86"/>
    </row>
    <row r="362" spans="1:67" s="20" customFormat="1" ht="16.5" thickBot="1" x14ac:dyDescent="0.3">
      <c r="A362" s="520">
        <f>IFERROR(VLOOKUP($G$5,'רשימת רשויות'!A:C,3,0),0)</f>
        <v>0</v>
      </c>
      <c r="B362" s="520">
        <f t="shared" si="45"/>
        <v>0</v>
      </c>
      <c r="C362" s="39"/>
      <c r="D362" s="1134"/>
      <c r="E362" s="1137"/>
      <c r="F362" s="585" t="s">
        <v>2196</v>
      </c>
      <c r="G362" s="89">
        <f>IF(G363="תקין",MAX(O363,0),0)</f>
        <v>0</v>
      </c>
      <c r="H362" s="88">
        <f>(IFERROR(IF((G361+G362)=0,0,IF(G359="קטן",G360*$AH$10,G360*$AH$11)),0))+(IFERROR(IF((G361+G362)=0,0,VLOOKUP(G358,'דוח ביצוע (3)'!$B:$AH,33,0)),0))</f>
        <v>0</v>
      </c>
      <c r="I362" s="88">
        <f>IFERROR(IF((G361+G362)=0,0,IF(G359="קטן",G360*$AI$10,G360*$AI$11)),0)</f>
        <v>0</v>
      </c>
      <c r="J362" s="88">
        <f>IFERROR(IF((G361+G362)=0,0,VLOOKUP(G358,'דוח ביצוע (3)'!$B:$AH,32,0)),0)</f>
        <v>0</v>
      </c>
      <c r="K362" s="90"/>
      <c r="L362" s="90"/>
      <c r="M362" s="399" t="s">
        <v>412</v>
      </c>
      <c r="N362" s="400">
        <f>IFERROR(VLOOKUP($G358,'דוח ביצוע (3)'!$B$21:$U$500,18,0),0)</f>
        <v>0</v>
      </c>
      <c r="O362" s="401">
        <f>IFERROR(VLOOKUP($G358,'דוח ביצוע (3)'!$B$21:$U$500,19,0),0)</f>
        <v>0</v>
      </c>
      <c r="P362" s="595"/>
      <c r="Q362" s="595"/>
      <c r="R362" s="596"/>
      <c r="S362" s="610"/>
      <c r="T362" s="881"/>
      <c r="U362" s="598"/>
      <c r="V362" s="599"/>
      <c r="W362" s="599"/>
      <c r="X362" s="599"/>
      <c r="Y362" s="879"/>
      <c r="Z362" s="85"/>
      <c r="AC362" s="493"/>
      <c r="AD362" s="495"/>
      <c r="AG362" s="22"/>
      <c r="AH362" s="55"/>
      <c r="AI362" s="55"/>
      <c r="AJ362" s="55"/>
      <c r="AK362" s="55"/>
      <c r="AO362" s="22"/>
      <c r="AP362" s="22"/>
      <c r="AQ362" s="22"/>
      <c r="AR362" s="22"/>
      <c r="AS362" s="22"/>
      <c r="AT362" s="22"/>
      <c r="AU362" s="35"/>
      <c r="AV362" s="35"/>
      <c r="AW362" s="35"/>
      <c r="AX362" s="35"/>
      <c r="AY362" s="35"/>
      <c r="AZ362" s="35"/>
      <c r="BA362" s="35"/>
      <c r="BB362" s="35"/>
      <c r="BC362" s="35"/>
      <c r="BD362" s="35"/>
      <c r="BE362" s="35"/>
      <c r="BF362" s="35"/>
      <c r="BG362" s="35"/>
      <c r="BH362" s="35"/>
      <c r="BI362" s="35"/>
      <c r="BJ362" s="35"/>
      <c r="BK362" s="35"/>
      <c r="BL362" s="35"/>
      <c r="BM362" s="35"/>
      <c r="BN362" s="35"/>
      <c r="BO362" s="86"/>
    </row>
    <row r="363" spans="1:67" s="20" customFormat="1" ht="16.5" thickBot="1" x14ac:dyDescent="0.3">
      <c r="A363" s="520">
        <f>IFERROR(VLOOKUP($G$5,'רשימת רשויות'!A:C,3,0),0)</f>
        <v>0</v>
      </c>
      <c r="B363" s="520">
        <f t="shared" si="45"/>
        <v>0</v>
      </c>
      <c r="C363" s="39"/>
      <c r="D363" s="1134"/>
      <c r="E363" s="1137"/>
      <c r="F363" s="586" t="s">
        <v>2355</v>
      </c>
      <c r="G363" s="514">
        <f>IFERROR(IF(VLOOKUP('בית ספר - תקצוב לפי מוסד (9)'!G358,' איוש משרות (8)'!$C:$K,9,0)="תקין","תקין","לא תקין"),0)</f>
        <v>0</v>
      </c>
      <c r="H363" s="91"/>
      <c r="I363" s="91"/>
      <c r="J363" s="91"/>
      <c r="K363" s="90"/>
      <c r="L363" s="90"/>
      <c r="M363" s="402" t="s">
        <v>2586</v>
      </c>
      <c r="N363" s="403">
        <f>IFERROR(MIN(N361,N362),0)</f>
        <v>0</v>
      </c>
      <c r="O363" s="404">
        <f>IFERROR(MIN(O361,O362),0)</f>
        <v>0</v>
      </c>
      <c r="P363" s="595"/>
      <c r="Q363" s="595"/>
      <c r="R363" s="596"/>
      <c r="S363" s="610"/>
      <c r="T363" s="881"/>
      <c r="U363" s="598"/>
      <c r="V363" s="599"/>
      <c r="W363" s="599"/>
      <c r="X363" s="599"/>
      <c r="Y363" s="879"/>
      <c r="Z363" s="85"/>
      <c r="AC363" s="493"/>
      <c r="AD363" s="495"/>
      <c r="AG363" s="94"/>
      <c r="AH363" s="40"/>
      <c r="AI363" s="40"/>
      <c r="AJ363" s="40"/>
      <c r="AK363" s="40"/>
      <c r="AO363" s="22"/>
      <c r="AP363" s="22"/>
      <c r="AQ363" s="22"/>
      <c r="AR363" s="22"/>
      <c r="AS363" s="22"/>
      <c r="AT363" s="22"/>
      <c r="AU363" s="35"/>
      <c r="AV363" s="35"/>
      <c r="AW363" s="35"/>
      <c r="AX363" s="35"/>
      <c r="AY363" s="35"/>
      <c r="AZ363" s="35"/>
      <c r="BA363" s="35"/>
      <c r="BB363" s="35"/>
      <c r="BC363" s="35"/>
      <c r="BD363" s="35"/>
      <c r="BE363" s="35"/>
      <c r="BF363" s="35"/>
      <c r="BG363" s="35"/>
      <c r="BH363" s="35"/>
      <c r="BI363" s="35"/>
      <c r="BJ363" s="35"/>
      <c r="BK363" s="35"/>
      <c r="BL363" s="35"/>
      <c r="BM363" s="35"/>
      <c r="BN363" s="35"/>
      <c r="BO363" s="86"/>
    </row>
    <row r="364" spans="1:67" s="55" customFormat="1" ht="37.15" customHeight="1" thickBot="1" x14ac:dyDescent="0.3">
      <c r="A364" s="520">
        <f>IFERROR(VLOOKUP($G$5,'רשימת רשויות'!A:C,3,0),0)</f>
        <v>0</v>
      </c>
      <c r="B364" s="520">
        <f t="shared" si="45"/>
        <v>0</v>
      </c>
      <c r="C364" s="39"/>
      <c r="D364" s="1134"/>
      <c r="E364" s="1137"/>
      <c r="F364" s="587" t="s">
        <v>142</v>
      </c>
      <c r="G364" s="92"/>
      <c r="H364" s="92"/>
      <c r="I364" s="92"/>
      <c r="J364" s="92"/>
      <c r="K364" s="602"/>
      <c r="L364" s="602"/>
      <c r="M364" s="602"/>
      <c r="N364" s="602"/>
      <c r="O364" s="602"/>
      <c r="P364" s="595"/>
      <c r="Q364" s="595"/>
      <c r="R364" s="596"/>
      <c r="S364" s="610"/>
      <c r="T364" s="881"/>
      <c r="U364" s="598"/>
      <c r="V364" s="599"/>
      <c r="W364" s="599"/>
      <c r="X364" s="599"/>
      <c r="Y364" s="879"/>
      <c r="Z364" s="93"/>
      <c r="AC364" s="493"/>
      <c r="AD364" s="495"/>
      <c r="AF364" s="22"/>
      <c r="AG364" s="98"/>
      <c r="AH364" s="98"/>
      <c r="AI364" s="40"/>
      <c r="AJ364" s="40"/>
      <c r="AK364" s="40"/>
      <c r="AO364" s="22"/>
      <c r="AP364" s="22"/>
      <c r="AQ364" s="22"/>
      <c r="AR364" s="22"/>
      <c r="AS364" s="22"/>
      <c r="AT364" s="22"/>
      <c r="AU364" s="35"/>
      <c r="AV364" s="35"/>
      <c r="AW364" s="35"/>
      <c r="AX364" s="35"/>
      <c r="AY364" s="35"/>
      <c r="AZ364" s="35"/>
      <c r="BA364" s="35"/>
      <c r="BB364" s="35"/>
      <c r="BC364" s="35"/>
      <c r="BD364" s="35"/>
      <c r="BE364" s="35"/>
      <c r="BF364" s="35"/>
      <c r="BG364" s="35"/>
      <c r="BH364" s="35"/>
      <c r="BI364" s="35"/>
      <c r="BJ364" s="35"/>
      <c r="BK364" s="35"/>
      <c r="BL364" s="35"/>
      <c r="BM364" s="35"/>
      <c r="BN364" s="35"/>
      <c r="BO364" s="86"/>
    </row>
    <row r="365" spans="1:67" s="40" customFormat="1" ht="31.5" x14ac:dyDescent="0.25">
      <c r="A365" s="520">
        <f>IFERROR(VLOOKUP($G$5,'רשימת רשויות'!A:C,3,0),0)</f>
        <v>0</v>
      </c>
      <c r="B365" s="520">
        <f t="shared" si="45"/>
        <v>0</v>
      </c>
      <c r="C365" s="39"/>
      <c r="D365" s="1134"/>
      <c r="E365" s="1137"/>
      <c r="F365" s="588" t="s">
        <v>94</v>
      </c>
      <c r="G365" s="95" t="s">
        <v>18</v>
      </c>
      <c r="H365" s="95" t="s">
        <v>19</v>
      </c>
      <c r="I365" s="95" t="s">
        <v>138</v>
      </c>
      <c r="J365" s="96" t="s">
        <v>139</v>
      </c>
      <c r="K365" s="603"/>
      <c r="L365" s="603"/>
      <c r="M365" s="603"/>
      <c r="N365" s="603"/>
      <c r="O365" s="603"/>
      <c r="P365" s="604"/>
      <c r="Q365" s="604"/>
      <c r="R365" s="596"/>
      <c r="S365" s="610"/>
      <c r="T365" s="881"/>
      <c r="U365" s="598"/>
      <c r="V365" s="599"/>
      <c r="W365" s="599"/>
      <c r="X365" s="599"/>
      <c r="Y365" s="879"/>
      <c r="Z365" s="97"/>
      <c r="AA365" s="94"/>
      <c r="AB365" s="94"/>
      <c r="AC365" s="493"/>
      <c r="AD365" s="495"/>
      <c r="AE365" s="94"/>
      <c r="AG365" s="98"/>
      <c r="AH365" s="98"/>
      <c r="AO365" s="22"/>
      <c r="AP365" s="22"/>
      <c r="AQ365" s="22"/>
      <c r="AR365" s="22"/>
      <c r="AS365" s="22"/>
      <c r="AT365" s="22"/>
      <c r="AU365" s="35"/>
      <c r="AV365" s="35"/>
      <c r="AW365" s="35"/>
      <c r="AX365" s="35"/>
      <c r="AY365" s="35"/>
      <c r="AZ365" s="35"/>
      <c r="BA365" s="35"/>
      <c r="BB365" s="35"/>
      <c r="BC365" s="35"/>
      <c r="BD365" s="35"/>
      <c r="BE365" s="35"/>
      <c r="BF365" s="35"/>
      <c r="BG365" s="35"/>
      <c r="BH365" s="35"/>
      <c r="BI365" s="35"/>
      <c r="BJ365" s="35"/>
      <c r="BK365" s="35"/>
      <c r="BL365" s="35"/>
      <c r="BM365" s="35"/>
      <c r="BN365" s="35"/>
      <c r="BO365" s="86"/>
    </row>
    <row r="366" spans="1:67" s="40" customFormat="1" ht="15.75" customHeight="1" thickBot="1" x14ac:dyDescent="0.3">
      <c r="A366" s="520">
        <f>IFERROR(VLOOKUP($G$5,'רשימת רשויות'!A:C,3,0),0)</f>
        <v>0</v>
      </c>
      <c r="B366" s="520">
        <f t="shared" si="45"/>
        <v>0</v>
      </c>
      <c r="C366" s="39"/>
      <c r="D366" s="1134"/>
      <c r="E366" s="1137"/>
      <c r="F366" s="589" t="s">
        <v>2280</v>
      </c>
      <c r="G366" s="99">
        <f>+G377</f>
        <v>0</v>
      </c>
      <c r="H366" s="100">
        <f>K360</f>
        <v>0</v>
      </c>
      <c r="I366" s="100">
        <f>H366-I368</f>
        <v>0</v>
      </c>
      <c r="J366" s="101">
        <f>IFERROR(I366/H366,0)</f>
        <v>0</v>
      </c>
      <c r="K366" s="603"/>
      <c r="L366" s="603"/>
      <c r="M366" s="603"/>
      <c r="N366" s="603"/>
      <c r="O366" s="603"/>
      <c r="P366" s="605"/>
      <c r="Q366" s="604"/>
      <c r="R366" s="606" t="s">
        <v>157</v>
      </c>
      <c r="S366" s="611"/>
      <c r="T366" s="881"/>
      <c r="U366" s="598"/>
      <c r="V366" s="599"/>
      <c r="W366" s="599"/>
      <c r="X366" s="599"/>
      <c r="Y366" s="879"/>
      <c r="Z366" s="102"/>
      <c r="AA366" s="122"/>
      <c r="AB366" s="122"/>
      <c r="AC366" s="493"/>
      <c r="AD366" s="495"/>
      <c r="AE366" s="122"/>
      <c r="AF366" s="22"/>
      <c r="AG366" s="98"/>
      <c r="AH366" s="98"/>
      <c r="AI366" s="20"/>
      <c r="AO366" s="22"/>
      <c r="AP366" s="22"/>
      <c r="AQ366" s="22"/>
      <c r="AR366" s="22"/>
      <c r="AS366" s="22"/>
      <c r="AT366" s="22"/>
      <c r="AU366" s="35"/>
      <c r="AV366" s="35"/>
      <c r="AW366" s="35"/>
      <c r="AX366" s="35"/>
      <c r="AY366" s="35"/>
      <c r="AZ366" s="35"/>
      <c r="BA366" s="35"/>
      <c r="BB366" s="35"/>
      <c r="BC366" s="35"/>
      <c r="BD366" s="35"/>
      <c r="BE366" s="35"/>
      <c r="BF366" s="35"/>
      <c r="BG366" s="35"/>
      <c r="BH366" s="35"/>
      <c r="BI366" s="35"/>
      <c r="BJ366" s="35"/>
      <c r="BK366" s="35"/>
      <c r="BL366" s="35"/>
      <c r="BM366" s="35"/>
      <c r="BN366" s="35"/>
      <c r="BO366" s="86"/>
    </row>
    <row r="367" spans="1:67" s="40" customFormat="1" ht="15.75" customHeight="1" thickBot="1" x14ac:dyDescent="0.3">
      <c r="A367" s="520">
        <f>IFERROR(VLOOKUP($G$5,'רשימת רשויות'!A:C,3,0),0)</f>
        <v>0</v>
      </c>
      <c r="B367" s="520">
        <f t="shared" si="45"/>
        <v>0</v>
      </c>
      <c r="C367" s="39"/>
      <c r="D367" s="1134"/>
      <c r="E367" s="1137"/>
      <c r="F367" s="589" t="s">
        <v>2281</v>
      </c>
      <c r="G367" s="99">
        <f>+G376</f>
        <v>0</v>
      </c>
      <c r="H367" s="103"/>
      <c r="I367" s="104"/>
      <c r="J367" s="105"/>
      <c r="K367" s="603"/>
      <c r="L367" s="603"/>
      <c r="M367" s="603"/>
      <c r="N367" s="603"/>
      <c r="O367" s="603"/>
      <c r="P367" s="605"/>
      <c r="Q367" s="604"/>
      <c r="R367" s="473">
        <f>I368-R369</f>
        <v>0</v>
      </c>
      <c r="S367" s="611"/>
      <c r="T367" s="881"/>
      <c r="U367" s="598"/>
      <c r="V367" s="599"/>
      <c r="W367" s="599"/>
      <c r="X367" s="599"/>
      <c r="Y367" s="879"/>
      <c r="Z367" s="106"/>
      <c r="AA367" s="22"/>
      <c r="AB367" s="22"/>
      <c r="AC367" s="493"/>
      <c r="AD367" s="495"/>
      <c r="AE367" s="22"/>
      <c r="AF367" s="22"/>
      <c r="AG367" s="98"/>
      <c r="AH367" s="98"/>
      <c r="AI367" s="20"/>
      <c r="AO367" s="22"/>
      <c r="AP367" s="22"/>
      <c r="AQ367" s="22"/>
      <c r="AR367" s="22"/>
      <c r="AS367" s="22"/>
      <c r="AT367" s="22"/>
      <c r="AU367" s="35"/>
      <c r="AV367" s="35"/>
      <c r="AW367" s="35"/>
      <c r="AX367" s="35"/>
      <c r="AY367" s="35"/>
      <c r="AZ367" s="35"/>
      <c r="BA367" s="35"/>
      <c r="BB367" s="35"/>
      <c r="BC367" s="35"/>
      <c r="BD367" s="35"/>
      <c r="BE367" s="35"/>
      <c r="BF367" s="35"/>
      <c r="BG367" s="35"/>
      <c r="BH367" s="35"/>
      <c r="BI367" s="35"/>
      <c r="BJ367" s="35"/>
      <c r="BK367" s="35"/>
      <c r="BL367" s="35"/>
      <c r="BM367" s="35"/>
      <c r="BN367" s="35"/>
      <c r="BO367" s="86"/>
    </row>
    <row r="368" spans="1:67" s="40" customFormat="1" ht="16.5" customHeight="1" thickBot="1" x14ac:dyDescent="0.3">
      <c r="A368" s="520">
        <f>IFERROR(VLOOKUP($G$5,'רשימת רשויות'!A:C,3,0),0)</f>
        <v>0</v>
      </c>
      <c r="B368" s="520">
        <f t="shared" si="45"/>
        <v>0</v>
      </c>
      <c r="C368" s="39"/>
      <c r="D368" s="1134"/>
      <c r="E368" s="1137"/>
      <c r="F368" s="589" t="s">
        <v>2282</v>
      </c>
      <c r="G368" s="99">
        <f>G372+G373+G374</f>
        <v>0</v>
      </c>
      <c r="H368" s="104"/>
      <c r="I368" s="107">
        <f>MAX(H366-G366-G367,0)</f>
        <v>0</v>
      </c>
      <c r="J368" s="108">
        <f>IFERROR(I368/H366,0)</f>
        <v>0</v>
      </c>
      <c r="K368" s="603"/>
      <c r="L368" s="603"/>
      <c r="M368" s="603"/>
      <c r="N368" s="603"/>
      <c r="O368" s="603"/>
      <c r="P368" s="604"/>
      <c r="Q368" s="604"/>
      <c r="R368" s="606" t="s">
        <v>158</v>
      </c>
      <c r="S368" s="612"/>
      <c r="T368" s="881"/>
      <c r="U368" s="598"/>
      <c r="V368" s="599"/>
      <c r="W368" s="599"/>
      <c r="X368" s="599"/>
      <c r="Y368" s="879"/>
      <c r="Z368" s="106"/>
      <c r="AA368" s="22"/>
      <c r="AB368" s="22"/>
      <c r="AC368" s="493"/>
      <c r="AD368" s="495"/>
      <c r="AE368" s="22"/>
      <c r="AF368" s="22"/>
      <c r="AG368" s="22"/>
      <c r="AH368" s="22"/>
      <c r="AI368" s="55"/>
      <c r="AJ368" s="22"/>
      <c r="AK368" s="22"/>
      <c r="AO368" s="22"/>
      <c r="AP368" s="22"/>
      <c r="AQ368" s="22"/>
      <c r="AR368" s="22"/>
      <c r="AS368" s="22"/>
      <c r="AT368" s="22"/>
      <c r="AU368" s="35"/>
      <c r="AV368" s="35"/>
      <c r="AW368" s="35"/>
      <c r="AX368" s="35"/>
      <c r="AY368" s="35"/>
      <c r="AZ368" s="35"/>
      <c r="BA368" s="35"/>
      <c r="BB368" s="35"/>
      <c r="BC368" s="35"/>
      <c r="BD368" s="35"/>
      <c r="BE368" s="35"/>
      <c r="BF368" s="35"/>
      <c r="BG368" s="35"/>
      <c r="BH368" s="35"/>
      <c r="BI368" s="35"/>
      <c r="BJ368" s="35"/>
      <c r="BK368" s="35"/>
      <c r="BL368" s="35"/>
      <c r="BM368" s="35"/>
      <c r="BN368" s="35"/>
      <c r="BO368" s="86"/>
    </row>
    <row r="369" spans="1:67" s="40" customFormat="1" ht="15.75" customHeight="1" thickBot="1" x14ac:dyDescent="0.3">
      <c r="A369" s="520">
        <f>IFERROR(VLOOKUP($G$5,'רשימת רשויות'!A:C,3,0),0)</f>
        <v>0</v>
      </c>
      <c r="B369" s="520">
        <f t="shared" si="45"/>
        <v>0</v>
      </c>
      <c r="C369" s="39"/>
      <c r="D369" s="1134"/>
      <c r="E369" s="1137"/>
      <c r="F369" s="590" t="s">
        <v>2290</v>
      </c>
      <c r="G369" s="109"/>
      <c r="H369" s="110"/>
      <c r="I369" s="111">
        <f>SUM(I366:I368)</f>
        <v>0</v>
      </c>
      <c r="J369" s="112">
        <f>SUM(J366:J368)</f>
        <v>0</v>
      </c>
      <c r="K369" s="603"/>
      <c r="L369" s="603"/>
      <c r="M369" s="603"/>
      <c r="N369" s="603"/>
      <c r="O369" s="603"/>
      <c r="P369" s="604"/>
      <c r="Q369" s="604"/>
      <c r="R369" s="473">
        <f>MIN(MAX(G373+G374-I362-J362,0),I368)</f>
        <v>0</v>
      </c>
      <c r="S369" s="612"/>
      <c r="T369" s="881"/>
      <c r="U369" s="598"/>
      <c r="V369" s="599"/>
      <c r="W369" s="599"/>
      <c r="X369" s="599"/>
      <c r="Y369" s="879"/>
      <c r="Z369" s="106"/>
      <c r="AA369" s="22"/>
      <c r="AB369" s="22"/>
      <c r="AC369" s="493"/>
      <c r="AD369" s="495"/>
      <c r="AE369" s="22"/>
      <c r="AF369" s="22"/>
      <c r="AG369" s="22"/>
      <c r="AH369" s="22"/>
      <c r="AJ369" s="22"/>
      <c r="AK369" s="22"/>
      <c r="AO369" s="22"/>
      <c r="AP369" s="22"/>
      <c r="AQ369" s="22"/>
      <c r="AR369" s="22"/>
      <c r="AS369" s="22"/>
      <c r="AT369" s="22"/>
      <c r="AU369" s="35"/>
      <c r="AV369" s="35"/>
      <c r="AW369" s="35"/>
      <c r="AX369" s="35"/>
      <c r="AY369" s="35"/>
      <c r="AZ369" s="35"/>
      <c r="BA369" s="35"/>
      <c r="BB369" s="35"/>
      <c r="BC369" s="35"/>
      <c r="BD369" s="35"/>
      <c r="BE369" s="35"/>
      <c r="BF369" s="35"/>
      <c r="BG369" s="35"/>
      <c r="BH369" s="35"/>
      <c r="BI369" s="35"/>
      <c r="BJ369" s="35"/>
      <c r="BK369" s="35"/>
      <c r="BL369" s="35"/>
      <c r="BM369" s="35"/>
      <c r="BN369" s="35"/>
      <c r="BO369" s="86"/>
    </row>
    <row r="370" spans="1:67" ht="16.5" thickBot="1" x14ac:dyDescent="0.3">
      <c r="A370" s="520">
        <f>IFERROR(VLOOKUP($G$5,'רשימת רשויות'!A:C,3,0),0)</f>
        <v>0</v>
      </c>
      <c r="B370" s="520">
        <f t="shared" si="45"/>
        <v>0</v>
      </c>
      <c r="D370" s="1134"/>
      <c r="E370" s="1137"/>
      <c r="F370" s="587" t="s">
        <v>17</v>
      </c>
      <c r="G370" s="113"/>
      <c r="H370" s="92"/>
      <c r="I370" s="114"/>
      <c r="J370" s="115"/>
      <c r="K370" s="116"/>
      <c r="L370" s="406"/>
      <c r="M370" s="116"/>
      <c r="N370" s="116"/>
      <c r="O370" s="116"/>
      <c r="P370" s="474"/>
      <c r="Q370" s="607"/>
      <c r="R370" s="608"/>
      <c r="S370" s="612"/>
      <c r="T370" s="881"/>
      <c r="U370" s="598"/>
      <c r="V370" s="599"/>
      <c r="W370" s="599"/>
      <c r="X370" s="599"/>
      <c r="Y370" s="879"/>
      <c r="Z370" s="106"/>
      <c r="AI370" s="40"/>
      <c r="BO370" s="86"/>
    </row>
    <row r="371" spans="1:67" ht="47.25" x14ac:dyDescent="0.25">
      <c r="A371" s="520">
        <f>IFERROR(VLOOKUP($G$5,'רשימת רשויות'!A:C,3,0),0)</f>
        <v>0</v>
      </c>
      <c r="B371" s="520">
        <f t="shared" si="45"/>
        <v>0</v>
      </c>
      <c r="D371" s="1134"/>
      <c r="E371" s="1137"/>
      <c r="F371" s="588" t="s">
        <v>2</v>
      </c>
      <c r="G371" s="95" t="s">
        <v>18</v>
      </c>
      <c r="H371" s="95" t="s">
        <v>19</v>
      </c>
      <c r="I371" s="95" t="s">
        <v>20</v>
      </c>
      <c r="J371" s="95" t="s">
        <v>22</v>
      </c>
      <c r="K371" s="96" t="s">
        <v>2314</v>
      </c>
      <c r="L371" s="609"/>
      <c r="M371" s="609"/>
      <c r="N371" s="609"/>
      <c r="O371" s="580"/>
      <c r="P371" s="618" t="s">
        <v>2298</v>
      </c>
      <c r="Q371" s="618" t="s">
        <v>2299</v>
      </c>
      <c r="R371" s="596"/>
      <c r="S371" s="890" t="s">
        <v>2519</v>
      </c>
      <c r="T371" s="890" t="s">
        <v>97</v>
      </c>
      <c r="U371" s="891" t="s">
        <v>2521</v>
      </c>
      <c r="V371" s="892" t="s">
        <v>2520</v>
      </c>
      <c r="W371" s="893" t="s">
        <v>2524</v>
      </c>
      <c r="X371" s="892" t="s">
        <v>2522</v>
      </c>
      <c r="Y371" s="894" t="s">
        <v>2523</v>
      </c>
      <c r="Z371" s="106"/>
      <c r="AC371" s="498" t="s">
        <v>2568</v>
      </c>
      <c r="AD371" s="499" t="s">
        <v>2569</v>
      </c>
      <c r="AF371" s="122"/>
      <c r="AI371" s="40"/>
      <c r="BO371" s="86"/>
    </row>
    <row r="372" spans="1:67" ht="15" customHeight="1" thickBot="1" x14ac:dyDescent="0.3">
      <c r="A372" s="520">
        <f>IFERROR(VLOOKUP($G$5,'רשימת רשויות'!A:C,3,0),0)</f>
        <v>0</v>
      </c>
      <c r="B372" s="520">
        <f t="shared" si="45"/>
        <v>0</v>
      </c>
      <c r="D372" s="1134"/>
      <c r="E372" s="1137"/>
      <c r="F372" s="589" t="s">
        <v>76</v>
      </c>
      <c r="G372" s="117">
        <f>IF(G363="תקין",SUMIF('עלויות כח אדם (6)'!$B$15:$B$3014,'בית ספר - תקצוב לפי מוסד (9)'!$G358,'עלויות כח אדם (6)'!$M$15:$M$3014)-VLOOKUP('בית ספר - תקצוב לפי מוסד (9)'!G358,' איוש משרות (8)'!$C:$H,5,0)-VLOOKUP('בית ספר - תקצוב לפי מוסד (9)'!G358,' איוש משרות (8)'!$C:$H,6,0),0)-Y372</f>
        <v>0</v>
      </c>
      <c r="H372" s="118">
        <f>I360+R367</f>
        <v>0</v>
      </c>
      <c r="I372" s="119">
        <f>IFERROR(SUM(G372)/H372,0)</f>
        <v>0</v>
      </c>
      <c r="J372" s="100">
        <f>MIN(I360+R367,IF(ISNUMBER(G372),G372,0))</f>
        <v>0</v>
      </c>
      <c r="K372" s="120">
        <f>MAX(H372-G372,0)</f>
        <v>0</v>
      </c>
      <c r="L372" s="407"/>
      <c r="M372" s="393"/>
      <c r="N372" s="393"/>
      <c r="O372" s="580"/>
      <c r="P372" s="968">
        <f>IFERROR(IF(SUM(G372)/(I360)&lt;100%,MIN((I360)-SUM(G372),(I360)*0.25),0),0)</f>
        <v>0</v>
      </c>
      <c r="Q372" s="968">
        <f>IF(SUM(G372)-(I360+R367)&gt;0,SUM(G372)-(I360+R367),0)</f>
        <v>0</v>
      </c>
      <c r="R372" s="596" t="s">
        <v>2351</v>
      </c>
      <c r="S372" s="576" t="s">
        <v>2342</v>
      </c>
      <c r="T372" s="599">
        <f>G358</f>
        <v>0</v>
      </c>
      <c r="U372" s="578"/>
      <c r="V372" s="579">
        <f>G372+G373+G374</f>
        <v>0</v>
      </c>
      <c r="W372" s="579">
        <f>U372-V372</f>
        <v>0</v>
      </c>
      <c r="X372" s="579">
        <f>IFERROR(W386*W372/(SUM(W372:W385)),0)</f>
        <v>0</v>
      </c>
      <c r="Y372" s="879">
        <f>SUMIFS(בקרה!$S:$S,בקרה!$D:$D,T372,בקרה!$K:$K,S372)</f>
        <v>0</v>
      </c>
      <c r="Z372" s="121"/>
      <c r="AA372" s="143"/>
      <c r="AB372" s="143"/>
      <c r="AC372" s="504">
        <v>0</v>
      </c>
      <c r="AD372" s="505">
        <f>IFERROR(U372-AC372,0)</f>
        <v>0</v>
      </c>
      <c r="AE372" s="143"/>
      <c r="AI372" s="20"/>
      <c r="BO372" s="86"/>
    </row>
    <row r="373" spans="1:67" ht="15" customHeight="1" thickBot="1" x14ac:dyDescent="0.3">
      <c r="A373" s="520">
        <f>IFERROR(VLOOKUP($G$5,'רשימת רשויות'!A:C,3,0),0)</f>
        <v>0</v>
      </c>
      <c r="B373" s="520">
        <f t="shared" si="45"/>
        <v>0</v>
      </c>
      <c r="D373" s="1134"/>
      <c r="E373" s="1137"/>
      <c r="F373" s="589" t="s">
        <v>44</v>
      </c>
      <c r="G373" s="123">
        <f>IF(G363="תקין",IFERROR(VLOOKUP('בית ספר - תקצוב לפי מוסד (9)'!G358,' איוש משרות (8)'!C:J,7,0),0),0)</f>
        <v>0</v>
      </c>
      <c r="H373" s="124">
        <f>I362+R369+J362</f>
        <v>0</v>
      </c>
      <c r="I373" s="119">
        <f>IFERROR(SUM(G373:G374)/H373,0)</f>
        <v>0</v>
      </c>
      <c r="J373" s="100">
        <f>MIN(R369+I362,IF(ISNUMBER(SUM(G373:G374)),SUM(G373:G374),0))</f>
        <v>0</v>
      </c>
      <c r="K373" s="1139">
        <f>MAX((H373)-(G373+G374),0)</f>
        <v>0</v>
      </c>
      <c r="L373" s="407"/>
      <c r="M373" s="393"/>
      <c r="N373" s="393"/>
      <c r="O373" s="580"/>
      <c r="P373" s="1140"/>
      <c r="Q373" s="1140"/>
      <c r="R373" s="617">
        <f>MAX(MIN(P381-Q381,H381*0.15-G379),0)</f>
        <v>0</v>
      </c>
      <c r="S373" s="576"/>
      <c r="T373" s="599">
        <f>G358</f>
        <v>0</v>
      </c>
      <c r="U373" s="578"/>
      <c r="V373" s="579"/>
      <c r="W373" s="579">
        <f t="shared" ref="W373:W385" si="50">U373-V373</f>
        <v>0</v>
      </c>
      <c r="X373" s="579"/>
      <c r="Y373" s="879"/>
      <c r="Z373" s="121"/>
      <c r="AA373" s="143"/>
      <c r="AB373" s="143"/>
      <c r="AC373" s="504"/>
      <c r="AD373" s="505">
        <f t="shared" ref="AD373:AD379" si="51">IFERROR(U373-AC373,0)</f>
        <v>0</v>
      </c>
      <c r="AE373" s="143"/>
      <c r="AI373" s="20"/>
      <c r="BO373" s="86"/>
    </row>
    <row r="374" spans="1:67" ht="15.75" customHeight="1" x14ac:dyDescent="0.25">
      <c r="A374" s="520">
        <f>IFERROR(VLOOKUP($G$5,'רשימת רשויות'!A:C,3,0),0)</f>
        <v>0</v>
      </c>
      <c r="B374" s="520">
        <f t="shared" si="45"/>
        <v>0</v>
      </c>
      <c r="D374" s="1134"/>
      <c r="E374" s="1137"/>
      <c r="F374" s="589" t="s">
        <v>45</v>
      </c>
      <c r="G374" s="123">
        <f>IF(G363="תקין",IFERROR(VLOOKUP('בית ספר - תקצוב לפי מוסד (9)'!G358,' איוש משרות (8)'!C:J,8,0),0),0)</f>
        <v>0</v>
      </c>
      <c r="H374" s="125"/>
      <c r="I374" s="126"/>
      <c r="J374" s="104"/>
      <c r="K374" s="1139"/>
      <c r="L374" s="407"/>
      <c r="M374" s="393"/>
      <c r="N374" s="393"/>
      <c r="O374" s="580"/>
      <c r="P374" s="1140"/>
      <c r="Q374" s="1140"/>
      <c r="R374" s="596"/>
      <c r="S374" s="576"/>
      <c r="T374" s="599">
        <f>G358</f>
        <v>0</v>
      </c>
      <c r="U374" s="578"/>
      <c r="V374" s="579"/>
      <c r="W374" s="579">
        <f t="shared" si="50"/>
        <v>0</v>
      </c>
      <c r="X374" s="579"/>
      <c r="Y374" s="879"/>
      <c r="Z374" s="121"/>
      <c r="AA374" s="143"/>
      <c r="AB374" s="143"/>
      <c r="AC374" s="504"/>
      <c r="AD374" s="505">
        <f t="shared" si="51"/>
        <v>0</v>
      </c>
      <c r="AE374" s="143"/>
      <c r="AG374" s="55"/>
      <c r="AH374" s="55"/>
      <c r="AI374" s="55"/>
      <c r="AJ374" s="55"/>
      <c r="AK374" s="55"/>
      <c r="BO374" s="86"/>
    </row>
    <row r="375" spans="1:67" ht="15.75" customHeight="1" x14ac:dyDescent="0.25">
      <c r="A375" s="520">
        <f>IFERROR(VLOOKUP($G$5,'רשימת רשויות'!A:C,3,0),0)</f>
        <v>0</v>
      </c>
      <c r="B375" s="520">
        <f t="shared" si="45"/>
        <v>0</v>
      </c>
      <c r="D375" s="1134"/>
      <c r="E375" s="1137"/>
      <c r="F375" s="589" t="s">
        <v>0</v>
      </c>
      <c r="G375" s="117">
        <f>IF(G363="תקין",SUMIFS('דוח הוצאות בפועל (4)'!$E$17:$E$3016,'דוח הוצאות בפועל (4)'!$B$17:$B$3016,'בית ספר - תקצוב לפי מוסד (9)'!$G358,'דוח הוצאות בפועל (4)'!$M$17:$M$3016,"הע"),0)-Y375</f>
        <v>0</v>
      </c>
      <c r="H375" s="127">
        <f>J360</f>
        <v>0</v>
      </c>
      <c r="I375" s="128">
        <f>IFERROR(G375/H375,0)</f>
        <v>0</v>
      </c>
      <c r="J375" s="129">
        <f>MIN(IF(ISNUMBER(G375),G375,0),H375)</f>
        <v>0</v>
      </c>
      <c r="K375" s="120">
        <f>MAX(H375-G375,0)</f>
        <v>0</v>
      </c>
      <c r="L375" s="407"/>
      <c r="M375" s="393"/>
      <c r="N375" s="393"/>
      <c r="O375" s="580"/>
      <c r="P375" s="968">
        <f>MAX(IF(I375&lt;100%,MIN((H375-G375),H375*0.25),0),0)</f>
        <v>0</v>
      </c>
      <c r="Q375" s="619">
        <f>IF(G375-H375&gt;0,G375-H375,0)</f>
        <v>0</v>
      </c>
      <c r="R375" s="596"/>
      <c r="S375" s="610" t="s">
        <v>0</v>
      </c>
      <c r="T375" s="599">
        <f>G358</f>
        <v>0</v>
      </c>
      <c r="U375" s="578"/>
      <c r="V375" s="579">
        <f>G375</f>
        <v>0</v>
      </c>
      <c r="W375" s="579">
        <f t="shared" si="50"/>
        <v>0</v>
      </c>
      <c r="X375" s="579">
        <f>IFERROR(W386*W375/(SUM(W372:W385)),0)</f>
        <v>0</v>
      </c>
      <c r="Y375" s="879">
        <f>SUMIFS(בקרה!$S:$S,בקרה!$D:$D,T375,בקרה!$K:$K,S375)</f>
        <v>0</v>
      </c>
      <c r="Z375" s="121"/>
      <c r="AA375" s="143"/>
      <c r="AB375" s="143"/>
      <c r="AC375" s="504">
        <v>0</v>
      </c>
      <c r="AD375" s="505">
        <f t="shared" si="51"/>
        <v>0</v>
      </c>
      <c r="AE375" s="143"/>
      <c r="AG375" s="55"/>
      <c r="AH375" s="55"/>
      <c r="AI375" s="40"/>
      <c r="AJ375" s="55"/>
      <c r="AK375" s="55"/>
      <c r="BO375" s="86"/>
    </row>
    <row r="376" spans="1:67" s="55" customFormat="1" ht="15.75" customHeight="1" x14ac:dyDescent="0.25">
      <c r="A376" s="520">
        <f>IFERROR(VLOOKUP($G$5,'רשימת רשויות'!A:C,3,0),0)</f>
        <v>0</v>
      </c>
      <c r="B376" s="520">
        <f t="shared" si="45"/>
        <v>0</v>
      </c>
      <c r="C376" s="39"/>
      <c r="D376" s="1134"/>
      <c r="E376" s="1137"/>
      <c r="F376" s="589" t="s">
        <v>93</v>
      </c>
      <c r="G376" s="130">
        <f>IF(G363="תקין",SUMIFS('דוח הוצאות בפועל (4)'!$E$17:$E$3016,'דוח הוצאות בפועל (4)'!$B$17:$B$3016,'בית ספר - תקצוב לפי מוסד (9)'!$G358,'דוח הוצאות בפועל (4)'!$M$17:$M$3016,"אר"),0)-Y376</f>
        <v>0</v>
      </c>
      <c r="H376" s="118">
        <f>$I366</f>
        <v>0</v>
      </c>
      <c r="I376" s="131">
        <f>IFERROR((G376+G377)/H376,0)</f>
        <v>0</v>
      </c>
      <c r="J376" s="100">
        <f>MIN((IF(ISNUMBER(G376),G376,0)+IF(ISNUMBER(G377),G377,0)),H376)</f>
        <v>0</v>
      </c>
      <c r="K376" s="1139">
        <f>MAX((H376)-(G376+G377),0)</f>
        <v>0</v>
      </c>
      <c r="L376" s="407"/>
      <c r="M376" s="393"/>
      <c r="N376" s="393"/>
      <c r="O376" s="602"/>
      <c r="P376" s="1141"/>
      <c r="Q376" s="1142"/>
      <c r="R376" s="596"/>
      <c r="S376" s="610" t="s">
        <v>93</v>
      </c>
      <c r="T376" s="599">
        <f>G358</f>
        <v>0</v>
      </c>
      <c r="U376" s="578"/>
      <c r="V376" s="579">
        <f t="shared" ref="V376:V377" si="52">G376</f>
        <v>0</v>
      </c>
      <c r="W376" s="579">
        <f t="shared" si="50"/>
        <v>0</v>
      </c>
      <c r="X376" s="579">
        <f>IFERROR(W386*W376/(SUM(W372:W385)),0)</f>
        <v>0</v>
      </c>
      <c r="Y376" s="879">
        <f>SUMIFS(בקרה!$S:$S,בקרה!$D:$D,T376,בקרה!$K:$K,S376)</f>
        <v>0</v>
      </c>
      <c r="Z376" s="121"/>
      <c r="AA376" s="143"/>
      <c r="AB376" s="143"/>
      <c r="AC376" s="504">
        <v>0</v>
      </c>
      <c r="AD376" s="505">
        <f t="shared" si="51"/>
        <v>0</v>
      </c>
      <c r="AE376" s="143"/>
      <c r="AJ376" s="22"/>
      <c r="AO376" s="22"/>
      <c r="AP376" s="22"/>
      <c r="AQ376" s="22"/>
      <c r="AR376" s="22"/>
      <c r="AS376" s="22"/>
      <c r="AT376" s="22"/>
      <c r="AU376" s="35"/>
      <c r="AV376" s="35"/>
      <c r="AW376" s="35"/>
      <c r="AX376" s="35"/>
      <c r="AY376" s="35"/>
      <c r="AZ376" s="35"/>
      <c r="BA376" s="35"/>
      <c r="BB376" s="35"/>
      <c r="BC376" s="35"/>
      <c r="BD376" s="35"/>
      <c r="BE376" s="35"/>
      <c r="BF376" s="35"/>
      <c r="BG376" s="35"/>
      <c r="BH376" s="35"/>
      <c r="BI376" s="35"/>
      <c r="BJ376" s="35"/>
      <c r="BK376" s="35"/>
      <c r="BL376" s="35"/>
      <c r="BM376" s="35"/>
      <c r="BN376" s="35"/>
      <c r="BO376" s="86"/>
    </row>
    <row r="377" spans="1:67" s="55" customFormat="1" ht="15.75" customHeight="1" x14ac:dyDescent="0.25">
      <c r="A377" s="520">
        <f>IFERROR(VLOOKUP($G$5,'רשימת רשויות'!A:C,3,0),0)</f>
        <v>0</v>
      </c>
      <c r="B377" s="520">
        <f t="shared" si="45"/>
        <v>0</v>
      </c>
      <c r="C377" s="39"/>
      <c r="D377" s="1134"/>
      <c r="E377" s="1137"/>
      <c r="F377" s="589" t="s">
        <v>46</v>
      </c>
      <c r="G377" s="130">
        <f>IF(G363="תקין",SUMIFS('דוח הוצאות בפועל (4)'!$E$17:$E$3016,'דוח הוצאות בפועל (4)'!$B$17:$B$3016,'בית ספר - תקצוב לפי מוסד (9)'!$G358,'דוח הוצאות בפועל (4)'!$M$17:$M$3016,"מל"),0)-Y377</f>
        <v>0</v>
      </c>
      <c r="H377" s="132"/>
      <c r="I377" s="133"/>
      <c r="J377" s="104"/>
      <c r="K377" s="1139"/>
      <c r="L377" s="407"/>
      <c r="M377" s="393"/>
      <c r="N377" s="393"/>
      <c r="O377" s="602"/>
      <c r="P377" s="1141"/>
      <c r="Q377" s="1142"/>
      <c r="R377" s="596"/>
      <c r="S377" s="610" t="s">
        <v>46</v>
      </c>
      <c r="T377" s="599">
        <f>G358</f>
        <v>0</v>
      </c>
      <c r="U377" s="578"/>
      <c r="V377" s="579">
        <f t="shared" si="52"/>
        <v>0</v>
      </c>
      <c r="W377" s="579">
        <f t="shared" si="50"/>
        <v>0</v>
      </c>
      <c r="X377" s="579">
        <f>IFERROR(W386*W377/(SUM(W372:W385)),0)</f>
        <v>0</v>
      </c>
      <c r="Y377" s="879">
        <f>SUMIFS(בקרה!$S:$S,בקרה!$D:$D,T377,בקרה!$K:$K,S377)</f>
        <v>0</v>
      </c>
      <c r="Z377" s="121"/>
      <c r="AA377" s="143"/>
      <c r="AB377" s="143"/>
      <c r="AC377" s="504">
        <v>0</v>
      </c>
      <c r="AD377" s="505">
        <f t="shared" si="51"/>
        <v>0</v>
      </c>
      <c r="AE377" s="143"/>
      <c r="AJ377" s="22"/>
      <c r="AO377" s="22"/>
      <c r="AP377" s="22"/>
      <c r="AQ377" s="22"/>
      <c r="AR377" s="22"/>
      <c r="AS377" s="22"/>
      <c r="AT377" s="22"/>
      <c r="AU377" s="35"/>
      <c r="AV377" s="35"/>
      <c r="AW377" s="35"/>
      <c r="AX377" s="35"/>
      <c r="AY377" s="35"/>
      <c r="AZ377" s="35"/>
      <c r="BA377" s="35"/>
      <c r="BB377" s="35"/>
      <c r="BC377" s="35"/>
      <c r="BD377" s="35"/>
      <c r="BE377" s="35"/>
      <c r="BF377" s="35"/>
      <c r="BG377" s="35"/>
      <c r="BH377" s="35"/>
      <c r="BI377" s="35"/>
      <c r="BJ377" s="35"/>
      <c r="BK377" s="35"/>
      <c r="BL377" s="35"/>
      <c r="BM377" s="35"/>
      <c r="BN377" s="35"/>
      <c r="BO377" s="86"/>
    </row>
    <row r="378" spans="1:67" s="55" customFormat="1" ht="15" customHeight="1" x14ac:dyDescent="0.25">
      <c r="A378" s="520">
        <f>IFERROR(VLOOKUP($G$5,'רשימת רשויות'!A:C,3,0),0)</f>
        <v>0</v>
      </c>
      <c r="B378" s="520">
        <f t="shared" si="45"/>
        <v>0</v>
      </c>
      <c r="C378" s="39"/>
      <c r="D378" s="1134"/>
      <c r="E378" s="1137"/>
      <c r="F378" s="591" t="s">
        <v>23</v>
      </c>
      <c r="G378" s="134">
        <f>SUM(G372:G377)</f>
        <v>0</v>
      </c>
      <c r="H378" s="135">
        <f>SUM(H372:H377)</f>
        <v>0</v>
      </c>
      <c r="I378" s="128">
        <f>IFERROR(G378/H378,0)</f>
        <v>0</v>
      </c>
      <c r="J378" s="136">
        <f>SUM(J372:J377)</f>
        <v>0</v>
      </c>
      <c r="K378" s="137">
        <f>SUM(K372:K377)</f>
        <v>0</v>
      </c>
      <c r="L378" s="408"/>
      <c r="M378" s="394"/>
      <c r="N378" s="394"/>
      <c r="O378" s="602"/>
      <c r="P378" s="620">
        <f>SUM(P372:P377)</f>
        <v>0</v>
      </c>
      <c r="Q378" s="620">
        <f>SUM(Q372:Q377)</f>
        <v>0</v>
      </c>
      <c r="R378" s="596"/>
      <c r="S378" s="610"/>
      <c r="T378" s="599">
        <f>G358</f>
        <v>0</v>
      </c>
      <c r="U378" s="578"/>
      <c r="V378" s="579"/>
      <c r="W378" s="579">
        <f t="shared" si="50"/>
        <v>0</v>
      </c>
      <c r="X378" s="579"/>
      <c r="Y378" s="879"/>
      <c r="Z378" s="121"/>
      <c r="AA378" s="143"/>
      <c r="AB378" s="143"/>
      <c r="AC378" s="504"/>
      <c r="AD378" s="505">
        <f t="shared" si="51"/>
        <v>0</v>
      </c>
      <c r="AE378" s="143"/>
      <c r="AJ378" s="22"/>
      <c r="AL378" s="22"/>
      <c r="AM378" s="22"/>
      <c r="AN378" s="22"/>
      <c r="AO378" s="22"/>
      <c r="AP378" s="22"/>
      <c r="AQ378" s="22"/>
      <c r="AR378" s="22"/>
      <c r="AS378" s="22"/>
      <c r="AT378" s="22"/>
      <c r="AU378" s="35"/>
      <c r="AV378" s="35"/>
      <c r="AW378" s="35"/>
      <c r="AX378" s="35"/>
      <c r="AY378" s="35"/>
      <c r="AZ378" s="35"/>
      <c r="BA378" s="35"/>
      <c r="BB378" s="35"/>
      <c r="BC378" s="35"/>
      <c r="BD378" s="35"/>
      <c r="BE378" s="35"/>
      <c r="BF378" s="35"/>
      <c r="BG378" s="35"/>
      <c r="BH378" s="35"/>
      <c r="BI378" s="35"/>
      <c r="BJ378" s="35"/>
      <c r="BK378" s="35"/>
      <c r="BL378" s="35"/>
      <c r="BM378" s="35"/>
      <c r="BN378" s="35"/>
      <c r="BO378" s="86"/>
    </row>
    <row r="379" spans="1:67" s="55" customFormat="1" ht="15" customHeight="1" x14ac:dyDescent="0.25">
      <c r="A379" s="520">
        <f>IFERROR(VLOOKUP($G$5,'רשימת רשויות'!A:C,3,0),0)</f>
        <v>0</v>
      </c>
      <c r="B379" s="520">
        <f t="shared" si="45"/>
        <v>0</v>
      </c>
      <c r="C379" s="39"/>
      <c r="D379" s="1134"/>
      <c r="E379" s="1137"/>
      <c r="F379" s="589" t="s">
        <v>3</v>
      </c>
      <c r="G379" s="117">
        <f>IF(G363="תקין",SUMIFS('דוח הוצאות בפועל (4)'!$E$17:$E$3016,'דוח הוצאות בפועל (4)'!$B$17:$B$3016,'בית ספר - תקצוב לפי מוסד (9)'!$G358,'דוח הוצאות בפועל (4)'!$M$17:$M$3016,"ני")+SUMIFS('דוח הוצאות בפועל (4)'!$E$17:$E$3016,'דוח הוצאות בפועל (4)'!$B$17:$B$3016,'בית ספר - תקצוב לפי מוסד (9)'!$G358,'דוח הוצאות בפועל (4)'!$M$17:$M$3016,"על"),0)-Y379</f>
        <v>0</v>
      </c>
      <c r="H379" s="117">
        <f>H360</f>
        <v>0</v>
      </c>
      <c r="I379" s="138">
        <f>IFERROR(G379/H379,0)</f>
        <v>0</v>
      </c>
      <c r="J379" s="117">
        <f>IFERROR(IF(G379/H381&gt;0.15,MIN(H381*0.15,H379),MIN(H379,IF(ISNUMBER(G379),G379,0))),0)</f>
        <v>0</v>
      </c>
      <c r="K379" s="120">
        <f>MAX(H379-G379,0)</f>
        <v>0</v>
      </c>
      <c r="L379" s="407"/>
      <c r="M379" s="393"/>
      <c r="N379" s="393"/>
      <c r="O379" s="602"/>
      <c r="P379" s="620">
        <f>IF(I379&lt;100%,MIN(H379-G379,H379*0.25),0)</f>
        <v>0</v>
      </c>
      <c r="Q379" s="620">
        <f>MAX(MIN(IF(G379-H379&gt;0,G379-H379,0),$H381*0.15-H379-J380),0)</f>
        <v>0</v>
      </c>
      <c r="R379" s="596"/>
      <c r="S379" s="610" t="s">
        <v>3</v>
      </c>
      <c r="T379" s="599">
        <f>G358</f>
        <v>0</v>
      </c>
      <c r="U379" s="578"/>
      <c r="V379" s="579">
        <f t="shared" ref="V379" si="53">G379</f>
        <v>0</v>
      </c>
      <c r="W379" s="579">
        <f t="shared" si="50"/>
        <v>0</v>
      </c>
      <c r="X379" s="579"/>
      <c r="Y379" s="879"/>
      <c r="Z379" s="121"/>
      <c r="AA379" s="143"/>
      <c r="AB379" s="143"/>
      <c r="AC379" s="504">
        <v>0</v>
      </c>
      <c r="AD379" s="505">
        <f t="shared" si="51"/>
        <v>0</v>
      </c>
      <c r="AE379" s="143"/>
      <c r="AG379" s="22"/>
      <c r="AH379" s="22"/>
      <c r="AI379" s="22"/>
      <c r="AJ379" s="22"/>
      <c r="AK379" s="22"/>
      <c r="AL379" s="22"/>
      <c r="AM379" s="22"/>
      <c r="AN379" s="22"/>
      <c r="AO379" s="22"/>
      <c r="AP379" s="22"/>
      <c r="AQ379" s="22"/>
      <c r="AR379" s="22"/>
      <c r="AS379" s="22"/>
      <c r="AT379" s="22"/>
      <c r="AU379" s="35"/>
      <c r="AV379" s="35"/>
      <c r="AW379" s="35"/>
      <c r="AX379" s="35"/>
      <c r="AY379" s="35"/>
      <c r="AZ379" s="35"/>
      <c r="BA379" s="35"/>
      <c r="BB379" s="35"/>
      <c r="BC379" s="35"/>
      <c r="BD379" s="35"/>
      <c r="BE379" s="35"/>
      <c r="BF379" s="35"/>
      <c r="BG379" s="35"/>
      <c r="BH379" s="35"/>
      <c r="BI379" s="35"/>
      <c r="BJ379" s="35"/>
      <c r="BK379" s="35"/>
      <c r="BL379" s="35"/>
      <c r="BM379" s="35"/>
      <c r="BN379" s="35"/>
      <c r="BO379" s="86"/>
    </row>
    <row r="380" spans="1:67" s="55" customFormat="1" ht="15.75" customHeight="1" x14ac:dyDescent="0.25">
      <c r="A380" s="520">
        <f>IFERROR(VLOOKUP($G$5,'רשימת רשויות'!A:C,3,0),0)</f>
        <v>0</v>
      </c>
      <c r="B380" s="520">
        <f t="shared" si="45"/>
        <v>0</v>
      </c>
      <c r="C380" s="39"/>
      <c r="D380" s="1134"/>
      <c r="E380" s="1137"/>
      <c r="F380" s="589" t="s">
        <v>2918</v>
      </c>
      <c r="G380" s="117">
        <f>0.07*(G374+G373)</f>
        <v>0</v>
      </c>
      <c r="H380" s="117">
        <f>H362</f>
        <v>0</v>
      </c>
      <c r="I380" s="138">
        <f>IFERROR(G380/H380,0)</f>
        <v>0</v>
      </c>
      <c r="J380" s="117">
        <f>IFERROR(MIN(0.07*(G373+G374),0.07*I362),0)</f>
        <v>0</v>
      </c>
      <c r="K380" s="120">
        <f>MAX(H380-G380,0)</f>
        <v>0</v>
      </c>
      <c r="L380" s="407"/>
      <c r="M380" s="393"/>
      <c r="N380" s="393"/>
      <c r="O380" s="602"/>
      <c r="P380" s="620"/>
      <c r="Q380" s="619"/>
      <c r="R380" s="596"/>
      <c r="S380" s="611"/>
      <c r="T380" s="599">
        <f>G358</f>
        <v>0</v>
      </c>
      <c r="U380" s="578"/>
      <c r="V380" s="579"/>
      <c r="W380" s="579">
        <f t="shared" si="50"/>
        <v>0</v>
      </c>
      <c r="X380" s="579"/>
      <c r="Y380" s="879"/>
      <c r="Z380" s="121"/>
      <c r="AA380" s="143"/>
      <c r="AB380" s="143"/>
      <c r="AC380" s="504"/>
      <c r="AD380" s="505"/>
      <c r="AE380" s="143"/>
      <c r="AF380" s="140"/>
      <c r="AG380" s="22"/>
      <c r="AH380" s="22"/>
      <c r="AI380" s="22"/>
      <c r="AJ380" s="22"/>
      <c r="AK380" s="22"/>
      <c r="AL380" s="22"/>
      <c r="AM380" s="22"/>
      <c r="AN380" s="22"/>
      <c r="AO380" s="22"/>
      <c r="AP380" s="22"/>
      <c r="AQ380" s="22"/>
      <c r="AR380" s="22"/>
      <c r="AS380" s="22"/>
      <c r="AT380" s="22"/>
      <c r="AU380" s="35"/>
      <c r="AV380" s="35"/>
      <c r="AW380" s="35"/>
      <c r="AX380" s="35"/>
      <c r="AY380" s="35"/>
      <c r="AZ380" s="35"/>
      <c r="BA380" s="35"/>
      <c r="BB380" s="35"/>
      <c r="BC380" s="35"/>
      <c r="BD380" s="35"/>
      <c r="BE380" s="35"/>
      <c r="BF380" s="35"/>
      <c r="BG380" s="35"/>
      <c r="BH380" s="35"/>
      <c r="BI380" s="35"/>
      <c r="BJ380" s="35"/>
      <c r="BK380" s="35"/>
      <c r="BL380" s="35"/>
      <c r="BM380" s="35"/>
      <c r="BN380" s="35"/>
      <c r="BO380" s="86"/>
    </row>
    <row r="381" spans="1:67" ht="15.75" customHeight="1" x14ac:dyDescent="0.25">
      <c r="A381" s="520">
        <f>IFERROR(VLOOKUP($G$5,'רשימת רשויות'!A:C,3,0),0)</f>
        <v>0</v>
      </c>
      <c r="B381" s="520">
        <f t="shared" si="45"/>
        <v>0</v>
      </c>
      <c r="D381" s="1134"/>
      <c r="E381" s="1137"/>
      <c r="F381" s="591" t="s">
        <v>15</v>
      </c>
      <c r="G381" s="134">
        <f>G378+G379+G380</f>
        <v>0</v>
      </c>
      <c r="H381" s="134">
        <f>H378+H379+H380</f>
        <v>0</v>
      </c>
      <c r="I381" s="138">
        <f>IFERROR(G381/H381,0)</f>
        <v>0</v>
      </c>
      <c r="J381" s="139">
        <f>J378+J379+J380</f>
        <v>0</v>
      </c>
      <c r="K381" s="137">
        <f>K379+K378+K380</f>
        <v>0</v>
      </c>
      <c r="L381" s="408"/>
      <c r="M381" s="394"/>
      <c r="N381" s="394"/>
      <c r="O381" s="602"/>
      <c r="P381" s="621">
        <f>SUM(P378:P379)</f>
        <v>0</v>
      </c>
      <c r="Q381" s="622">
        <f>Q378+Q379</f>
        <v>0</v>
      </c>
      <c r="R381" s="596"/>
      <c r="S381" s="611"/>
      <c r="T381" s="599">
        <f>G358</f>
        <v>0</v>
      </c>
      <c r="U381" s="578"/>
      <c r="V381" s="579"/>
      <c r="W381" s="579">
        <f t="shared" si="50"/>
        <v>0</v>
      </c>
      <c r="X381" s="579"/>
      <c r="Y381" s="879"/>
      <c r="Z381" s="106"/>
      <c r="AC381" s="504"/>
      <c r="AD381" s="505"/>
      <c r="AH381" s="143"/>
      <c r="BO381" s="86"/>
    </row>
    <row r="382" spans="1:67" ht="15.75" customHeight="1" x14ac:dyDescent="0.25">
      <c r="A382" s="520">
        <f>IFERROR(VLOOKUP($G$5,'רשימת רשויות'!A:C,3,0),0)</f>
        <v>0</v>
      </c>
      <c r="B382" s="520">
        <f t="shared" si="45"/>
        <v>0</v>
      </c>
      <c r="D382" s="1134"/>
      <c r="E382" s="1137"/>
      <c r="F382" s="589" t="s">
        <v>2261</v>
      </c>
      <c r="G382" s="117">
        <f>IF(G363="תקין",SUMIF('תשלומי הורים ומלגות להורים (5) '!$B$18:$B$517,$G358,'תשלומי הורים ומלגות להורים (5) '!$C$18:$C$517),0)</f>
        <v>0</v>
      </c>
      <c r="H382" s="117">
        <f>(G361+G362)*$G$7</f>
        <v>0</v>
      </c>
      <c r="I382" s="141"/>
      <c r="J382" s="141"/>
      <c r="K382" s="142"/>
      <c r="L382" s="395"/>
      <c r="M382" s="395"/>
      <c r="N382" s="395"/>
      <c r="O382" s="602"/>
      <c r="P382" s="623"/>
      <c r="Q382" s="619"/>
      <c r="R382" s="596"/>
      <c r="S382" s="612"/>
      <c r="T382" s="599">
        <f>G358</f>
        <v>0</v>
      </c>
      <c r="U382" s="578"/>
      <c r="V382" s="579"/>
      <c r="W382" s="579">
        <f t="shared" si="50"/>
        <v>0</v>
      </c>
      <c r="X382" s="579"/>
      <c r="Y382" s="879"/>
      <c r="Z382" s="121"/>
      <c r="AA382" s="143"/>
      <c r="AB382" s="143"/>
      <c r="AC382" s="504"/>
      <c r="AD382" s="505"/>
      <c r="AE382" s="143"/>
      <c r="AF382" s="148"/>
      <c r="BO382" s="86"/>
    </row>
    <row r="383" spans="1:67" ht="15.75" customHeight="1" thickBot="1" x14ac:dyDescent="0.3">
      <c r="A383" s="520">
        <f>IFERROR(VLOOKUP($G$5,'רשימת רשויות'!A:C,3,0),0)</f>
        <v>0</v>
      </c>
      <c r="B383" s="520">
        <f t="shared" si="45"/>
        <v>0</v>
      </c>
      <c r="D383" s="1134"/>
      <c r="E383" s="1137"/>
      <c r="F383" s="592" t="s">
        <v>21</v>
      </c>
      <c r="G383" s="144">
        <f>G381-G382</f>
        <v>0</v>
      </c>
      <c r="H383" s="144">
        <f>H381-H382</f>
        <v>0</v>
      </c>
      <c r="I383" s="145"/>
      <c r="J383" s="145"/>
      <c r="K383" s="146"/>
      <c r="L383" s="396"/>
      <c r="M383" s="396"/>
      <c r="N383" s="396"/>
      <c r="O383" s="602"/>
      <c r="P383" s="619"/>
      <c r="Q383" s="619"/>
      <c r="R383" s="596"/>
      <c r="S383" s="612"/>
      <c r="T383" s="599">
        <f>G358</f>
        <v>0</v>
      </c>
      <c r="U383" s="578"/>
      <c r="V383" s="579"/>
      <c r="W383" s="579">
        <f t="shared" si="50"/>
        <v>0</v>
      </c>
      <c r="X383" s="579"/>
      <c r="Y383" s="879"/>
      <c r="Z383" s="147"/>
      <c r="AA383" s="148"/>
      <c r="AB383" s="148"/>
      <c r="AC383" s="504"/>
      <c r="AD383" s="505"/>
      <c r="AE383" s="148"/>
      <c r="AF383" s="148"/>
      <c r="BO383" s="86"/>
    </row>
    <row r="384" spans="1:67" ht="15.75" customHeight="1" thickBot="1" x14ac:dyDescent="0.3">
      <c r="A384" s="520">
        <f>IFERROR(VLOOKUP($G$5,'רשימת רשויות'!A:C,3,0),0)</f>
        <v>0</v>
      </c>
      <c r="B384" s="520">
        <f t="shared" si="45"/>
        <v>0</v>
      </c>
      <c r="D384" s="1134"/>
      <c r="E384" s="1137"/>
      <c r="F384" s="580"/>
      <c r="G384" s="580"/>
      <c r="H384" s="147"/>
      <c r="I384" s="149" t="s">
        <v>2197</v>
      </c>
      <c r="J384" s="150">
        <f>MAX(MIN(P381,Q381),0)</f>
        <v>0</v>
      </c>
      <c r="K384" s="580"/>
      <c r="L384" s="580"/>
      <c r="M384" s="580"/>
      <c r="N384" s="580"/>
      <c r="O384" s="580"/>
      <c r="P384" s="615" t="s">
        <v>2317</v>
      </c>
      <c r="Q384" s="624">
        <f>SUM(Q385:Q386)</f>
        <v>0</v>
      </c>
      <c r="R384" s="596"/>
      <c r="S384" s="612"/>
      <c r="T384" s="599">
        <f>G358</f>
        <v>0</v>
      </c>
      <c r="U384" s="578"/>
      <c r="V384" s="579"/>
      <c r="W384" s="579">
        <f t="shared" si="50"/>
        <v>0</v>
      </c>
      <c r="X384" s="579"/>
      <c r="Y384" s="879"/>
      <c r="Z384" s="106"/>
      <c r="AC384" s="504"/>
      <c r="AD384" s="505"/>
      <c r="AF384" s="148"/>
      <c r="BO384" s="86"/>
    </row>
    <row r="385" spans="1:67" ht="16.5" thickBot="1" x14ac:dyDescent="0.3">
      <c r="A385" s="520">
        <f>IFERROR(VLOOKUP($G$5,'רשימת רשויות'!A:C,3,0),0)</f>
        <v>0</v>
      </c>
      <c r="B385" s="520">
        <f t="shared" si="45"/>
        <v>0</v>
      </c>
      <c r="D385" s="1134"/>
      <c r="E385" s="1137"/>
      <c r="F385" s="580"/>
      <c r="G385" s="580"/>
      <c r="H385" s="580"/>
      <c r="I385" s="84" t="s">
        <v>2193</v>
      </c>
      <c r="J385" s="515" t="str">
        <f>IFERROR(1-H382/H381,"")</f>
        <v/>
      </c>
      <c r="K385" s="580"/>
      <c r="L385" s="580"/>
      <c r="M385" s="580"/>
      <c r="N385" s="580"/>
      <c r="O385" s="580"/>
      <c r="P385" s="615" t="s">
        <v>417</v>
      </c>
      <c r="Q385" s="616">
        <f>IFERROR(MAX(H383-I386-Q386,0),0)</f>
        <v>0</v>
      </c>
      <c r="R385" s="596"/>
      <c r="S385" s="600"/>
      <c r="T385" s="599">
        <f>G358</f>
        <v>0</v>
      </c>
      <c r="U385" s="578"/>
      <c r="V385" s="579"/>
      <c r="W385" s="579">
        <f t="shared" si="50"/>
        <v>0</v>
      </c>
      <c r="X385" s="579"/>
      <c r="Y385" s="879"/>
      <c r="Z385" s="106"/>
      <c r="AC385" s="504"/>
      <c r="AD385" s="505"/>
      <c r="BO385" s="86"/>
    </row>
    <row r="386" spans="1:67" ht="17.25" thickBot="1" x14ac:dyDescent="0.3">
      <c r="A386" s="520">
        <f>IFERROR(VLOOKUP($G$5,'רשימת רשויות'!A:C,3,0),0)</f>
        <v>0</v>
      </c>
      <c r="B386" s="520">
        <f t="shared" si="45"/>
        <v>0</v>
      </c>
      <c r="D386" s="1134"/>
      <c r="E386" s="1137"/>
      <c r="F386" s="1143" t="s">
        <v>2679</v>
      </c>
      <c r="G386" s="1143"/>
      <c r="H386" s="1143"/>
      <c r="I386" s="722">
        <f>IF(G363="לא תקין","לא קיימת זכאות לתקציב לאור אי איוש משרות רכז ו/או סגן רכז ",IFERROR(J385*(J384+J381),0))</f>
        <v>0</v>
      </c>
      <c r="J386" s="573"/>
      <c r="K386" s="574"/>
      <c r="L386" s="396"/>
      <c r="M386" s="574"/>
      <c r="N386" s="574"/>
      <c r="O386" s="574"/>
      <c r="P386" s="615" t="s">
        <v>2279</v>
      </c>
      <c r="Q386" s="616">
        <f>MAX(IF(AND(G381&gt;H381,I386&lt;H383),H383-I386,0),0)</f>
        <v>0</v>
      </c>
      <c r="R386" s="575"/>
      <c r="S386" s="576" t="s">
        <v>67</v>
      </c>
      <c r="T386" s="577">
        <f>G358</f>
        <v>0</v>
      </c>
      <c r="U386" s="578"/>
      <c r="V386" s="579">
        <f>I386</f>
        <v>0</v>
      </c>
      <c r="W386" s="579">
        <f>IFERROR(U386-V386,0)</f>
        <v>0</v>
      </c>
      <c r="X386" s="579">
        <f>SUM(X372:X385)</f>
        <v>0</v>
      </c>
      <c r="Y386" s="879"/>
      <c r="Z386" s="106"/>
      <c r="AC386" s="506">
        <v>0</v>
      </c>
      <c r="AD386" s="507">
        <f>IFERROR(U386-AC386,0)</f>
        <v>0</v>
      </c>
      <c r="BO386" s="86"/>
    </row>
    <row r="387" spans="1:67" ht="16.5" thickBot="1" x14ac:dyDescent="0.3">
      <c r="A387" s="520">
        <f>IFERROR(VLOOKUP($G$5,'רשימת רשויות'!A:C,3,0),0)</f>
        <v>0</v>
      </c>
      <c r="B387" s="520">
        <f t="shared" si="45"/>
        <v>0</v>
      </c>
      <c r="D387" s="1135"/>
      <c r="E387" s="1138"/>
      <c r="F387" s="1144" t="s">
        <v>2793</v>
      </c>
      <c r="G387" s="1145"/>
      <c r="H387" s="1145"/>
      <c r="I387" s="593">
        <f>IFERROR(IF(G363="תקין",SUMIFS('סייעות רפואיות או אישיות (7)'!$Q$17:Q$384,'סייעות רפואיות או אישיות (7)'!C$17:C$384,G358),0),0)</f>
        <v>0</v>
      </c>
      <c r="J387" s="151"/>
      <c r="K387" s="152"/>
      <c r="L387" s="409"/>
      <c r="M387" s="152"/>
      <c r="N387" s="152"/>
      <c r="O387" s="152"/>
      <c r="P387" s="613"/>
      <c r="Q387" s="614"/>
      <c r="R387" s="475"/>
      <c r="S387" s="489"/>
      <c r="T387" s="490"/>
      <c r="U387" s="491"/>
      <c r="V387" s="492"/>
      <c r="W387" s="492"/>
      <c r="X387" s="492"/>
      <c r="Y387" s="880"/>
      <c r="Z387" s="153"/>
      <c r="AC387" s="581"/>
      <c r="AD387" s="582"/>
      <c r="BO387" s="86"/>
    </row>
    <row r="388" spans="1:67" ht="34.5" thickBot="1" x14ac:dyDescent="0.55000000000000004">
      <c r="A388" s="520">
        <f>IFERROR(VLOOKUP($G$5,'רשימת רשויות'!A:C,3,0),0)</f>
        <v>0</v>
      </c>
      <c r="B388" s="520">
        <f t="shared" si="45"/>
        <v>0</v>
      </c>
      <c r="E388" s="154"/>
      <c r="I388" s="143"/>
      <c r="J388" s="148"/>
      <c r="O388" s="148"/>
      <c r="T388" s="481"/>
      <c r="BO388" s="86"/>
    </row>
    <row r="389" spans="1:67" s="20" customFormat="1" ht="16.5" customHeight="1" thickBot="1" x14ac:dyDescent="0.3">
      <c r="A389" s="520">
        <f>IFERROR(VLOOKUP($G$5,'רשימת רשויות'!A:C,3,0),0)</f>
        <v>0</v>
      </c>
      <c r="B389" s="520">
        <f t="shared" si="45"/>
        <v>0</v>
      </c>
      <c r="C389" s="39"/>
      <c r="D389" s="1133">
        <f>D358+1</f>
        <v>13</v>
      </c>
      <c r="E389" s="1136" t="str">
        <f>IFERROR(CONCATENATE("בית הספר ",VLOOKUP(G389,'מצבת והרשמה (2)'!$C$21:$D$520,2,0)," - ",$G$5),"")</f>
        <v>בית הספר המוסד לא קיים - 0</v>
      </c>
      <c r="F389" s="720" t="s">
        <v>146</v>
      </c>
      <c r="G389" s="721">
        <f>IFERROR(VLOOKUP(D:D,'דוח ביצוע (3)'!$A$21:$C$900,2,0),0)</f>
        <v>0</v>
      </c>
      <c r="H389" s="79"/>
      <c r="I389" s="80" t="s">
        <v>150</v>
      </c>
      <c r="J389" s="80"/>
      <c r="K389" s="81"/>
      <c r="L389" s="392"/>
      <c r="M389" s="392"/>
      <c r="N389" s="392"/>
      <c r="O389" s="82"/>
      <c r="P389" s="470"/>
      <c r="Q389" s="471"/>
      <c r="R389" s="472"/>
      <c r="S389" s="883"/>
      <c r="T389" s="884"/>
      <c r="U389" s="486"/>
      <c r="V389" s="487"/>
      <c r="W389" s="487"/>
      <c r="X389" s="487"/>
      <c r="Y389" s="885"/>
      <c r="Z389" s="83"/>
      <c r="AC389" s="502"/>
      <c r="AD389" s="503"/>
      <c r="AO389" s="22"/>
      <c r="AP389" s="22"/>
      <c r="AQ389" s="22"/>
      <c r="AR389" s="22"/>
      <c r="AS389" s="22"/>
      <c r="AT389" s="22"/>
      <c r="AU389" s="35"/>
      <c r="AV389" s="35"/>
      <c r="AW389" s="35"/>
      <c r="AX389" s="35"/>
      <c r="AY389" s="35"/>
      <c r="AZ389" s="35"/>
      <c r="BA389" s="35"/>
      <c r="BB389" s="35"/>
      <c r="BC389" s="35"/>
      <c r="BD389" s="35"/>
      <c r="BE389" s="35"/>
      <c r="BF389" s="35"/>
      <c r="BG389" s="35"/>
      <c r="BH389" s="35"/>
      <c r="BI389" s="35"/>
      <c r="BJ389" s="35"/>
      <c r="BK389" s="35"/>
      <c r="BL389" s="35"/>
      <c r="BM389" s="35"/>
      <c r="BN389" s="35"/>
      <c r="BO389" s="78"/>
    </row>
    <row r="390" spans="1:67" s="20" customFormat="1" ht="16.5" thickBot="1" x14ac:dyDescent="0.3">
      <c r="A390" s="520">
        <f>IFERROR(VLOOKUP($G$5,'רשימת רשויות'!A:C,3,0),0)</f>
        <v>0</v>
      </c>
      <c r="B390" s="520">
        <f t="shared" si="45"/>
        <v>0</v>
      </c>
      <c r="C390" s="39"/>
      <c r="D390" s="1134"/>
      <c r="E390" s="1137"/>
      <c r="F390" s="583" t="s">
        <v>145</v>
      </c>
      <c r="G390" s="516" t="str">
        <f>IFERROR(IF((G392+G393)=0,"",IF(VLOOKUP(G389,'דוח ביצוע (3)'!$B$21:$K$900,5,0)&gt;149,"גדול",IF(AND(VLOOKUP(G389,'דוח ביצוע (3)'!$B$21:$K$900,5,0)&gt;0,VLOOKUP(G389,'דוח ביצוע (3)'!$B$21:$K$900,5,0)&lt;150),"קטן",0))),"")</f>
        <v/>
      </c>
      <c r="H390" s="723" t="s">
        <v>88</v>
      </c>
      <c r="I390" s="723" t="s">
        <v>13</v>
      </c>
      <c r="J390" s="725" t="s">
        <v>14</v>
      </c>
      <c r="K390" s="724" t="s">
        <v>94</v>
      </c>
      <c r="L390" s="594"/>
      <c r="M390" s="420" t="s">
        <v>2584</v>
      </c>
      <c r="N390" s="397" t="s">
        <v>413</v>
      </c>
      <c r="O390" s="398" t="s">
        <v>52</v>
      </c>
      <c r="P390" s="595"/>
      <c r="Q390" s="595"/>
      <c r="R390" s="596"/>
      <c r="S390" s="610"/>
      <c r="T390" s="881"/>
      <c r="U390" s="598"/>
      <c r="V390" s="599"/>
      <c r="W390" s="599"/>
      <c r="X390" s="599"/>
      <c r="Y390" s="879"/>
      <c r="Z390" s="85"/>
      <c r="AC390" s="493"/>
      <c r="AD390" s="495"/>
      <c r="AO390" s="22"/>
      <c r="AP390" s="22"/>
      <c r="AQ390" s="22"/>
      <c r="AR390" s="22"/>
      <c r="AS390" s="22"/>
      <c r="AT390" s="22"/>
      <c r="AU390" s="35"/>
      <c r="AV390" s="35"/>
      <c r="AW390" s="35"/>
      <c r="AX390" s="35"/>
      <c r="AY390" s="35"/>
      <c r="AZ390" s="35"/>
      <c r="BA390" s="35"/>
      <c r="BB390" s="35"/>
      <c r="BC390" s="35"/>
      <c r="BD390" s="35"/>
      <c r="BE390" s="35"/>
      <c r="BF390" s="35"/>
      <c r="BG390" s="35"/>
      <c r="BH390" s="35"/>
      <c r="BI390" s="35"/>
      <c r="BJ390" s="35"/>
      <c r="BK390" s="35"/>
      <c r="BL390" s="35"/>
      <c r="BM390" s="35"/>
      <c r="BN390" s="35"/>
      <c r="BO390" s="78"/>
    </row>
    <row r="391" spans="1:67" s="20" customFormat="1" ht="15.75" customHeight="1" thickBot="1" x14ac:dyDescent="0.3">
      <c r="A391" s="520">
        <f>IFERROR(VLOOKUP($G$5,'רשימת רשויות'!A:C,3,0),0)</f>
        <v>0</v>
      </c>
      <c r="B391" s="520">
        <f t="shared" si="45"/>
        <v>0</v>
      </c>
      <c r="C391" s="39"/>
      <c r="D391" s="1134"/>
      <c r="E391" s="1137"/>
      <c r="F391" s="584" t="s">
        <v>144</v>
      </c>
      <c r="G391" s="87">
        <f>IF(G394="תקין",IFERROR(VLOOKUP($G389,'דוח ביצוע (3)'!$B$21:$Q$900,12,0),0),0)</f>
        <v>0</v>
      </c>
      <c r="H391" s="88">
        <f>IFERROR(G392*$AH$6+G393*$AH$7,0)</f>
        <v>0</v>
      </c>
      <c r="I391" s="88">
        <f>IFERROR(G392*$AI$6+G393*$AI$7,0)</f>
        <v>0</v>
      </c>
      <c r="J391" s="88">
        <f>IFERROR(G392*$AJ$6+G393*$AJ$7,0)</f>
        <v>0</v>
      </c>
      <c r="K391" s="88">
        <f>IFERROR(G392*$AK$6+G393*$AK$7,0)</f>
        <v>0</v>
      </c>
      <c r="L391" s="405"/>
      <c r="M391" s="399" t="s">
        <v>427</v>
      </c>
      <c r="N391" s="400" t="str">
        <f>IFERROR(VLOOKUP($G389,'דוח ביצוע (3)'!$B:$AE,28,0),"")</f>
        <v/>
      </c>
      <c r="O391" s="89" t="str">
        <f>IFERROR(VLOOKUP($G389,'דוח ביצוע (3)'!B:AE,29,0),"")</f>
        <v/>
      </c>
      <c r="P391" s="595"/>
      <c r="Q391" s="595"/>
      <c r="R391" s="596"/>
      <c r="S391" s="610"/>
      <c r="T391" s="881"/>
      <c r="U391" s="598"/>
      <c r="V391" s="599"/>
      <c r="W391" s="599"/>
      <c r="X391" s="599"/>
      <c r="Y391" s="879"/>
      <c r="Z391" s="85"/>
      <c r="AC391" s="493"/>
      <c r="AD391" s="495"/>
      <c r="AO391" s="22"/>
      <c r="AP391" s="22"/>
      <c r="AQ391" s="22"/>
      <c r="AR391" s="22"/>
      <c r="AS391" s="22"/>
      <c r="AT391" s="22"/>
      <c r="AU391" s="35"/>
      <c r="AV391" s="35"/>
      <c r="AW391" s="35"/>
      <c r="AX391" s="35"/>
      <c r="AY391" s="35"/>
      <c r="AZ391" s="35"/>
      <c r="BA391" s="35"/>
      <c r="BB391" s="35"/>
      <c r="BC391" s="35"/>
      <c r="BD391" s="35"/>
      <c r="BE391" s="35"/>
      <c r="BF391" s="35"/>
      <c r="BG391" s="35"/>
      <c r="BH391" s="35"/>
      <c r="BI391" s="35"/>
      <c r="BJ391" s="35"/>
      <c r="BK391" s="35"/>
      <c r="BL391" s="35"/>
      <c r="BM391" s="35"/>
      <c r="BN391" s="35"/>
      <c r="BO391" s="78"/>
    </row>
    <row r="392" spans="1:67" s="20" customFormat="1" ht="32.25" thickBot="1" x14ac:dyDescent="0.3">
      <c r="A392" s="520">
        <f>IFERROR(VLOOKUP($G$5,'רשימת רשויות'!A:C,3,0),0)</f>
        <v>0</v>
      </c>
      <c r="B392" s="520">
        <f t="shared" si="45"/>
        <v>0</v>
      </c>
      <c r="C392" s="39"/>
      <c r="D392" s="1134"/>
      <c r="E392" s="1137"/>
      <c r="F392" s="585" t="s">
        <v>2195</v>
      </c>
      <c r="G392" s="89">
        <f>IF(G394="תקין",MAX(N394,0),0)</f>
        <v>0</v>
      </c>
      <c r="H392" s="725" t="s">
        <v>151</v>
      </c>
      <c r="I392" s="725" t="s">
        <v>91</v>
      </c>
      <c r="J392" s="970" t="s">
        <v>3396</v>
      </c>
      <c r="K392" s="601"/>
      <c r="L392" s="601"/>
      <c r="M392" s="983" t="s">
        <v>2585</v>
      </c>
      <c r="N392" s="400" t="str">
        <f>IFERROR(G391/15*N391*1.25,"")</f>
        <v/>
      </c>
      <c r="O392" s="89" t="str">
        <f>IFERROR(G391/15*O391*1.25,"")</f>
        <v/>
      </c>
      <c r="P392" s="595"/>
      <c r="Q392" s="595"/>
      <c r="R392" s="596"/>
      <c r="S392" s="610"/>
      <c r="T392" s="881"/>
      <c r="U392" s="598"/>
      <c r="V392" s="599"/>
      <c r="W392" s="599"/>
      <c r="X392" s="599"/>
      <c r="Y392" s="879"/>
      <c r="Z392" s="85"/>
      <c r="AC392" s="493"/>
      <c r="AD392" s="495"/>
      <c r="AG392" s="22"/>
      <c r="AH392" s="55"/>
      <c r="AI392" s="55"/>
      <c r="AJ392" s="55"/>
      <c r="AK392" s="55"/>
      <c r="AO392" s="22"/>
      <c r="AP392" s="22"/>
      <c r="AQ392" s="22"/>
      <c r="AR392" s="22"/>
      <c r="AS392" s="22"/>
      <c r="AT392" s="22"/>
      <c r="AU392" s="35"/>
      <c r="AV392" s="35"/>
      <c r="AW392" s="35"/>
      <c r="AX392" s="35"/>
      <c r="AY392" s="35"/>
      <c r="AZ392" s="35"/>
      <c r="BA392" s="35"/>
      <c r="BB392" s="35"/>
      <c r="BC392" s="35"/>
      <c r="BD392" s="35"/>
      <c r="BE392" s="35"/>
      <c r="BF392" s="35"/>
      <c r="BG392" s="35"/>
      <c r="BH392" s="35"/>
      <c r="BI392" s="35"/>
      <c r="BJ392" s="35"/>
      <c r="BK392" s="35"/>
      <c r="BL392" s="35"/>
      <c r="BM392" s="35"/>
      <c r="BN392" s="35"/>
      <c r="BO392" s="86"/>
    </row>
    <row r="393" spans="1:67" s="20" customFormat="1" ht="16.5" thickBot="1" x14ac:dyDescent="0.3">
      <c r="A393" s="520">
        <f>IFERROR(VLOOKUP($G$5,'רשימת רשויות'!A:C,3,0),0)</f>
        <v>0</v>
      </c>
      <c r="B393" s="520">
        <f t="shared" si="45"/>
        <v>0</v>
      </c>
      <c r="C393" s="39"/>
      <c r="D393" s="1134"/>
      <c r="E393" s="1137"/>
      <c r="F393" s="585" t="s">
        <v>2196</v>
      </c>
      <c r="G393" s="89">
        <f>IF(G394="תקין",MAX(O394,0),0)</f>
        <v>0</v>
      </c>
      <c r="H393" s="88">
        <f>(IFERROR(IF((G392+G393)=0,0,IF(G390="קטן",G391*$AH$10,G391*$AH$11)),0))+(IFERROR(IF((G392+G393)=0,0,VLOOKUP(G389,'דוח ביצוע (3)'!$B:$AH,33,0)),0))</f>
        <v>0</v>
      </c>
      <c r="I393" s="88">
        <f>IFERROR(IF((G392+G393)=0,0,IF(G390="קטן",G391*$AI$10,G391*$AI$11)),0)</f>
        <v>0</v>
      </c>
      <c r="J393" s="88">
        <f>IFERROR(IF((G392+G393)=0,0,VLOOKUP(G389,'דוח ביצוע (3)'!$B:$AH,32,0)),0)</f>
        <v>0</v>
      </c>
      <c r="K393" s="90"/>
      <c r="L393" s="90"/>
      <c r="M393" s="399" t="s">
        <v>412</v>
      </c>
      <c r="N393" s="400">
        <f>IFERROR(VLOOKUP($G389,'דוח ביצוע (3)'!$B$21:$U$500,18,0),0)</f>
        <v>0</v>
      </c>
      <c r="O393" s="401">
        <f>IFERROR(VLOOKUP($G389,'דוח ביצוע (3)'!$B$21:$U$500,19,0),0)</f>
        <v>0</v>
      </c>
      <c r="P393" s="595"/>
      <c r="Q393" s="595"/>
      <c r="R393" s="596"/>
      <c r="S393" s="610"/>
      <c r="T393" s="881"/>
      <c r="U393" s="598"/>
      <c r="V393" s="599"/>
      <c r="W393" s="599"/>
      <c r="X393" s="599"/>
      <c r="Y393" s="879"/>
      <c r="Z393" s="85"/>
      <c r="AC393" s="493"/>
      <c r="AD393" s="495"/>
      <c r="AG393" s="22"/>
      <c r="AH393" s="55"/>
      <c r="AI393" s="55"/>
      <c r="AJ393" s="55"/>
      <c r="AK393" s="55"/>
      <c r="AO393" s="22"/>
      <c r="AP393" s="22"/>
      <c r="AQ393" s="22"/>
      <c r="AR393" s="22"/>
      <c r="AS393" s="22"/>
      <c r="AT393" s="22"/>
      <c r="AU393" s="35"/>
      <c r="AV393" s="35"/>
      <c r="AW393" s="35"/>
      <c r="AX393" s="35"/>
      <c r="AY393" s="35"/>
      <c r="AZ393" s="35"/>
      <c r="BA393" s="35"/>
      <c r="BB393" s="35"/>
      <c r="BC393" s="35"/>
      <c r="BD393" s="35"/>
      <c r="BE393" s="35"/>
      <c r="BF393" s="35"/>
      <c r="BG393" s="35"/>
      <c r="BH393" s="35"/>
      <c r="BI393" s="35"/>
      <c r="BJ393" s="35"/>
      <c r="BK393" s="35"/>
      <c r="BL393" s="35"/>
      <c r="BM393" s="35"/>
      <c r="BN393" s="35"/>
      <c r="BO393" s="86"/>
    </row>
    <row r="394" spans="1:67" s="20" customFormat="1" ht="16.5" thickBot="1" x14ac:dyDescent="0.3">
      <c r="A394" s="520">
        <f>IFERROR(VLOOKUP($G$5,'רשימת רשויות'!A:C,3,0),0)</f>
        <v>0</v>
      </c>
      <c r="B394" s="520">
        <f t="shared" si="45"/>
        <v>0</v>
      </c>
      <c r="C394" s="39"/>
      <c r="D394" s="1134"/>
      <c r="E394" s="1137"/>
      <c r="F394" s="586" t="s">
        <v>2355</v>
      </c>
      <c r="G394" s="514">
        <f>IFERROR(IF(VLOOKUP('בית ספר - תקצוב לפי מוסד (9)'!G389,' איוש משרות (8)'!$C:$K,9,0)="תקין","תקין","לא תקין"),0)</f>
        <v>0</v>
      </c>
      <c r="H394" s="91"/>
      <c r="I394" s="91"/>
      <c r="J394" s="91"/>
      <c r="K394" s="90"/>
      <c r="L394" s="90"/>
      <c r="M394" s="402" t="s">
        <v>2586</v>
      </c>
      <c r="N394" s="403">
        <f>IFERROR(MIN(N392,N393),0)</f>
        <v>0</v>
      </c>
      <c r="O394" s="404">
        <f>IFERROR(MIN(O392,O393),0)</f>
        <v>0</v>
      </c>
      <c r="P394" s="595"/>
      <c r="Q394" s="595"/>
      <c r="R394" s="596"/>
      <c r="S394" s="610"/>
      <c r="T394" s="881"/>
      <c r="U394" s="598"/>
      <c r="V394" s="599"/>
      <c r="W394" s="599"/>
      <c r="X394" s="599"/>
      <c r="Y394" s="879"/>
      <c r="Z394" s="85"/>
      <c r="AC394" s="493"/>
      <c r="AD394" s="495"/>
      <c r="AG394" s="94"/>
      <c r="AH394" s="40"/>
      <c r="AI394" s="40"/>
      <c r="AJ394" s="40"/>
      <c r="AK394" s="40"/>
      <c r="AO394" s="22"/>
      <c r="AP394" s="22"/>
      <c r="AQ394" s="22"/>
      <c r="AR394" s="22"/>
      <c r="AS394" s="22"/>
      <c r="AT394" s="22"/>
      <c r="AU394" s="35"/>
      <c r="AV394" s="35"/>
      <c r="AW394" s="35"/>
      <c r="AX394" s="35"/>
      <c r="AY394" s="35"/>
      <c r="AZ394" s="35"/>
      <c r="BA394" s="35"/>
      <c r="BB394" s="35"/>
      <c r="BC394" s="35"/>
      <c r="BD394" s="35"/>
      <c r="BE394" s="35"/>
      <c r="BF394" s="35"/>
      <c r="BG394" s="35"/>
      <c r="BH394" s="35"/>
      <c r="BI394" s="35"/>
      <c r="BJ394" s="35"/>
      <c r="BK394" s="35"/>
      <c r="BL394" s="35"/>
      <c r="BM394" s="35"/>
      <c r="BN394" s="35"/>
      <c r="BO394" s="86"/>
    </row>
    <row r="395" spans="1:67" s="55" customFormat="1" ht="37.15" customHeight="1" thickBot="1" x14ac:dyDescent="0.3">
      <c r="A395" s="520">
        <f>IFERROR(VLOOKUP($G$5,'רשימת רשויות'!A:C,3,0),0)</f>
        <v>0</v>
      </c>
      <c r="B395" s="520">
        <f t="shared" si="45"/>
        <v>0</v>
      </c>
      <c r="C395" s="39"/>
      <c r="D395" s="1134"/>
      <c r="E395" s="1137"/>
      <c r="F395" s="587" t="s">
        <v>142</v>
      </c>
      <c r="G395" s="92"/>
      <c r="H395" s="92"/>
      <c r="I395" s="92"/>
      <c r="J395" s="92"/>
      <c r="K395" s="602"/>
      <c r="L395" s="602"/>
      <c r="M395" s="602"/>
      <c r="N395" s="602"/>
      <c r="O395" s="602"/>
      <c r="P395" s="595"/>
      <c r="Q395" s="595"/>
      <c r="R395" s="596"/>
      <c r="S395" s="610"/>
      <c r="T395" s="881"/>
      <c r="U395" s="598"/>
      <c r="V395" s="599"/>
      <c r="W395" s="599"/>
      <c r="X395" s="599"/>
      <c r="Y395" s="879"/>
      <c r="Z395" s="93"/>
      <c r="AC395" s="493"/>
      <c r="AD395" s="495"/>
      <c r="AF395" s="22"/>
      <c r="AG395" s="98"/>
      <c r="AH395" s="98"/>
      <c r="AI395" s="40"/>
      <c r="AJ395" s="40"/>
      <c r="AK395" s="40"/>
      <c r="AO395" s="22"/>
      <c r="AP395" s="22"/>
      <c r="AQ395" s="22"/>
      <c r="AR395" s="22"/>
      <c r="AS395" s="22"/>
      <c r="AT395" s="22"/>
      <c r="AU395" s="35"/>
      <c r="AV395" s="35"/>
      <c r="AW395" s="35"/>
      <c r="AX395" s="35"/>
      <c r="AY395" s="35"/>
      <c r="AZ395" s="35"/>
      <c r="BA395" s="35"/>
      <c r="BB395" s="35"/>
      <c r="BC395" s="35"/>
      <c r="BD395" s="35"/>
      <c r="BE395" s="35"/>
      <c r="BF395" s="35"/>
      <c r="BG395" s="35"/>
      <c r="BH395" s="35"/>
      <c r="BI395" s="35"/>
      <c r="BJ395" s="35"/>
      <c r="BK395" s="35"/>
      <c r="BL395" s="35"/>
      <c r="BM395" s="35"/>
      <c r="BN395" s="35"/>
      <c r="BO395" s="86"/>
    </row>
    <row r="396" spans="1:67" s="40" customFormat="1" ht="31.5" x14ac:dyDescent="0.25">
      <c r="A396" s="520">
        <f>IFERROR(VLOOKUP($G$5,'רשימת רשויות'!A:C,3,0),0)</f>
        <v>0</v>
      </c>
      <c r="B396" s="520">
        <f t="shared" si="45"/>
        <v>0</v>
      </c>
      <c r="C396" s="39"/>
      <c r="D396" s="1134"/>
      <c r="E396" s="1137"/>
      <c r="F396" s="588" t="s">
        <v>94</v>
      </c>
      <c r="G396" s="95" t="s">
        <v>18</v>
      </c>
      <c r="H396" s="95" t="s">
        <v>19</v>
      </c>
      <c r="I396" s="95" t="s">
        <v>138</v>
      </c>
      <c r="J396" s="96" t="s">
        <v>139</v>
      </c>
      <c r="K396" s="603"/>
      <c r="L396" s="603"/>
      <c r="M396" s="603"/>
      <c r="N396" s="603"/>
      <c r="O396" s="603"/>
      <c r="P396" s="604"/>
      <c r="Q396" s="604"/>
      <c r="R396" s="596"/>
      <c r="S396" s="610"/>
      <c r="T396" s="881"/>
      <c r="U396" s="598"/>
      <c r="V396" s="599"/>
      <c r="W396" s="599"/>
      <c r="X396" s="599"/>
      <c r="Y396" s="879"/>
      <c r="Z396" s="97"/>
      <c r="AA396" s="94"/>
      <c r="AB396" s="94"/>
      <c r="AC396" s="493"/>
      <c r="AD396" s="495"/>
      <c r="AE396" s="94"/>
      <c r="AG396" s="98"/>
      <c r="AH396" s="98"/>
      <c r="AO396" s="22"/>
      <c r="AP396" s="22"/>
      <c r="AQ396" s="22"/>
      <c r="AR396" s="22"/>
      <c r="AS396" s="22"/>
      <c r="AT396" s="22"/>
      <c r="AU396" s="35"/>
      <c r="AV396" s="35"/>
      <c r="AW396" s="35"/>
      <c r="AX396" s="35"/>
      <c r="AY396" s="35"/>
      <c r="AZ396" s="35"/>
      <c r="BA396" s="35"/>
      <c r="BB396" s="35"/>
      <c r="BC396" s="35"/>
      <c r="BD396" s="35"/>
      <c r="BE396" s="35"/>
      <c r="BF396" s="35"/>
      <c r="BG396" s="35"/>
      <c r="BH396" s="35"/>
      <c r="BI396" s="35"/>
      <c r="BJ396" s="35"/>
      <c r="BK396" s="35"/>
      <c r="BL396" s="35"/>
      <c r="BM396" s="35"/>
      <c r="BN396" s="35"/>
      <c r="BO396" s="86"/>
    </row>
    <row r="397" spans="1:67" s="40" customFormat="1" ht="15.75" customHeight="1" thickBot="1" x14ac:dyDescent="0.3">
      <c r="A397" s="520">
        <f>IFERROR(VLOOKUP($G$5,'רשימת רשויות'!A:C,3,0),0)</f>
        <v>0</v>
      </c>
      <c r="B397" s="520">
        <f t="shared" si="45"/>
        <v>0</v>
      </c>
      <c r="C397" s="39"/>
      <c r="D397" s="1134"/>
      <c r="E397" s="1137"/>
      <c r="F397" s="589" t="s">
        <v>2280</v>
      </c>
      <c r="G397" s="99">
        <f>+G408</f>
        <v>0</v>
      </c>
      <c r="H397" s="100">
        <f>K391</f>
        <v>0</v>
      </c>
      <c r="I397" s="100">
        <f>H397-I399</f>
        <v>0</v>
      </c>
      <c r="J397" s="101">
        <f>IFERROR(I397/H397,0)</f>
        <v>0</v>
      </c>
      <c r="K397" s="603"/>
      <c r="L397" s="603"/>
      <c r="M397" s="603"/>
      <c r="N397" s="603"/>
      <c r="O397" s="603"/>
      <c r="P397" s="605"/>
      <c r="Q397" s="604"/>
      <c r="R397" s="606" t="s">
        <v>157</v>
      </c>
      <c r="S397" s="611"/>
      <c r="T397" s="881"/>
      <c r="U397" s="598"/>
      <c r="V397" s="599"/>
      <c r="W397" s="599"/>
      <c r="X397" s="599"/>
      <c r="Y397" s="879"/>
      <c r="Z397" s="102"/>
      <c r="AA397" s="122"/>
      <c r="AB397" s="122"/>
      <c r="AC397" s="493"/>
      <c r="AD397" s="495"/>
      <c r="AE397" s="122"/>
      <c r="AF397" s="22"/>
      <c r="AG397" s="98"/>
      <c r="AH397" s="98"/>
      <c r="AI397" s="20"/>
      <c r="AO397" s="22"/>
      <c r="AP397" s="22"/>
      <c r="AQ397" s="22"/>
      <c r="AR397" s="22"/>
      <c r="AS397" s="22"/>
      <c r="AT397" s="22"/>
      <c r="AU397" s="35"/>
      <c r="AV397" s="35"/>
      <c r="AW397" s="35"/>
      <c r="AX397" s="35"/>
      <c r="AY397" s="35"/>
      <c r="AZ397" s="35"/>
      <c r="BA397" s="35"/>
      <c r="BB397" s="35"/>
      <c r="BC397" s="35"/>
      <c r="BD397" s="35"/>
      <c r="BE397" s="35"/>
      <c r="BF397" s="35"/>
      <c r="BG397" s="35"/>
      <c r="BH397" s="35"/>
      <c r="BI397" s="35"/>
      <c r="BJ397" s="35"/>
      <c r="BK397" s="35"/>
      <c r="BL397" s="35"/>
      <c r="BM397" s="35"/>
      <c r="BN397" s="35"/>
      <c r="BO397" s="86"/>
    </row>
    <row r="398" spans="1:67" s="40" customFormat="1" ht="15.75" customHeight="1" thickBot="1" x14ac:dyDescent="0.3">
      <c r="A398" s="520">
        <f>IFERROR(VLOOKUP($G$5,'רשימת רשויות'!A:C,3,0),0)</f>
        <v>0</v>
      </c>
      <c r="B398" s="520">
        <f t="shared" ref="B398:B461" si="54">IF(F399="סמל המוסד",G399,B397)</f>
        <v>0</v>
      </c>
      <c r="C398" s="39"/>
      <c r="D398" s="1134"/>
      <c r="E398" s="1137"/>
      <c r="F398" s="589" t="s">
        <v>2281</v>
      </c>
      <c r="G398" s="99">
        <f>+G407</f>
        <v>0</v>
      </c>
      <c r="H398" s="103"/>
      <c r="I398" s="104"/>
      <c r="J398" s="105"/>
      <c r="K398" s="603"/>
      <c r="L398" s="603"/>
      <c r="M398" s="603"/>
      <c r="N398" s="603"/>
      <c r="O398" s="603"/>
      <c r="P398" s="605"/>
      <c r="Q398" s="604"/>
      <c r="R398" s="473">
        <f>I399-R400</f>
        <v>0</v>
      </c>
      <c r="S398" s="611"/>
      <c r="T398" s="881"/>
      <c r="U398" s="598"/>
      <c r="V398" s="599"/>
      <c r="W398" s="599"/>
      <c r="X398" s="599"/>
      <c r="Y398" s="879"/>
      <c r="Z398" s="106"/>
      <c r="AA398" s="22"/>
      <c r="AB398" s="22"/>
      <c r="AC398" s="493"/>
      <c r="AD398" s="495"/>
      <c r="AE398" s="22"/>
      <c r="AF398" s="22"/>
      <c r="AG398" s="98"/>
      <c r="AH398" s="98"/>
      <c r="AI398" s="20"/>
      <c r="AO398" s="22"/>
      <c r="AP398" s="22"/>
      <c r="AQ398" s="22"/>
      <c r="AR398" s="22"/>
      <c r="AS398" s="22"/>
      <c r="AT398" s="22"/>
      <c r="AU398" s="35"/>
      <c r="AV398" s="35"/>
      <c r="AW398" s="35"/>
      <c r="AX398" s="35"/>
      <c r="AY398" s="35"/>
      <c r="AZ398" s="35"/>
      <c r="BA398" s="35"/>
      <c r="BB398" s="35"/>
      <c r="BC398" s="35"/>
      <c r="BD398" s="35"/>
      <c r="BE398" s="35"/>
      <c r="BF398" s="35"/>
      <c r="BG398" s="35"/>
      <c r="BH398" s="35"/>
      <c r="BI398" s="35"/>
      <c r="BJ398" s="35"/>
      <c r="BK398" s="35"/>
      <c r="BL398" s="35"/>
      <c r="BM398" s="35"/>
      <c r="BN398" s="35"/>
      <c r="BO398" s="86"/>
    </row>
    <row r="399" spans="1:67" s="40" customFormat="1" ht="16.5" customHeight="1" thickBot="1" x14ac:dyDescent="0.3">
      <c r="A399" s="520">
        <f>IFERROR(VLOOKUP($G$5,'רשימת רשויות'!A:C,3,0),0)</f>
        <v>0</v>
      </c>
      <c r="B399" s="520">
        <f t="shared" si="54"/>
        <v>0</v>
      </c>
      <c r="C399" s="39"/>
      <c r="D399" s="1134"/>
      <c r="E399" s="1137"/>
      <c r="F399" s="589" t="s">
        <v>2282</v>
      </c>
      <c r="G399" s="99">
        <f>G403+G404+G405</f>
        <v>0</v>
      </c>
      <c r="H399" s="104"/>
      <c r="I399" s="107">
        <f>MAX(H397-G397-G398,0)</f>
        <v>0</v>
      </c>
      <c r="J399" s="108">
        <f>IFERROR(I399/H397,0)</f>
        <v>0</v>
      </c>
      <c r="K399" s="603"/>
      <c r="L399" s="603"/>
      <c r="M399" s="603"/>
      <c r="N399" s="603"/>
      <c r="O399" s="603"/>
      <c r="P399" s="604"/>
      <c r="Q399" s="604"/>
      <c r="R399" s="606" t="s">
        <v>158</v>
      </c>
      <c r="S399" s="612"/>
      <c r="T399" s="881"/>
      <c r="U399" s="598"/>
      <c r="V399" s="599"/>
      <c r="W399" s="599"/>
      <c r="X399" s="599"/>
      <c r="Y399" s="879"/>
      <c r="Z399" s="106"/>
      <c r="AA399" s="22"/>
      <c r="AB399" s="22"/>
      <c r="AC399" s="493"/>
      <c r="AD399" s="495"/>
      <c r="AE399" s="22"/>
      <c r="AF399" s="22"/>
      <c r="AG399" s="22"/>
      <c r="AH399" s="22"/>
      <c r="AI399" s="55"/>
      <c r="AJ399" s="22"/>
      <c r="AK399" s="22"/>
      <c r="AO399" s="22"/>
      <c r="AP399" s="22"/>
      <c r="AQ399" s="22"/>
      <c r="AR399" s="22"/>
      <c r="AS399" s="22"/>
      <c r="AT399" s="22"/>
      <c r="AU399" s="35"/>
      <c r="AV399" s="35"/>
      <c r="AW399" s="35"/>
      <c r="AX399" s="35"/>
      <c r="AY399" s="35"/>
      <c r="AZ399" s="35"/>
      <c r="BA399" s="35"/>
      <c r="BB399" s="35"/>
      <c r="BC399" s="35"/>
      <c r="BD399" s="35"/>
      <c r="BE399" s="35"/>
      <c r="BF399" s="35"/>
      <c r="BG399" s="35"/>
      <c r="BH399" s="35"/>
      <c r="BI399" s="35"/>
      <c r="BJ399" s="35"/>
      <c r="BK399" s="35"/>
      <c r="BL399" s="35"/>
      <c r="BM399" s="35"/>
      <c r="BN399" s="35"/>
      <c r="BO399" s="86"/>
    </row>
    <row r="400" spans="1:67" s="40" customFormat="1" ht="15.75" customHeight="1" thickBot="1" x14ac:dyDescent="0.3">
      <c r="A400" s="520">
        <f>IFERROR(VLOOKUP($G$5,'רשימת רשויות'!A:C,3,0),0)</f>
        <v>0</v>
      </c>
      <c r="B400" s="520">
        <f t="shared" si="54"/>
        <v>0</v>
      </c>
      <c r="C400" s="39"/>
      <c r="D400" s="1134"/>
      <c r="E400" s="1137"/>
      <c r="F400" s="590" t="s">
        <v>2290</v>
      </c>
      <c r="G400" s="109"/>
      <c r="H400" s="110"/>
      <c r="I400" s="111">
        <f>SUM(I397:I399)</f>
        <v>0</v>
      </c>
      <c r="J400" s="112">
        <f>SUM(J397:J399)</f>
        <v>0</v>
      </c>
      <c r="K400" s="603"/>
      <c r="L400" s="603"/>
      <c r="M400" s="603"/>
      <c r="N400" s="603"/>
      <c r="O400" s="603"/>
      <c r="P400" s="604"/>
      <c r="Q400" s="604"/>
      <c r="R400" s="473">
        <f>MIN(MAX(G404+G405-I393-J393,0),I399)</f>
        <v>0</v>
      </c>
      <c r="S400" s="612"/>
      <c r="T400" s="881"/>
      <c r="U400" s="598"/>
      <c r="V400" s="599"/>
      <c r="W400" s="599"/>
      <c r="X400" s="599"/>
      <c r="Y400" s="879"/>
      <c r="Z400" s="106"/>
      <c r="AA400" s="22"/>
      <c r="AB400" s="22"/>
      <c r="AC400" s="493"/>
      <c r="AD400" s="495"/>
      <c r="AE400" s="22"/>
      <c r="AF400" s="22"/>
      <c r="AG400" s="22"/>
      <c r="AH400" s="22"/>
      <c r="AJ400" s="22"/>
      <c r="AK400" s="22"/>
      <c r="AO400" s="22"/>
      <c r="AP400" s="22"/>
      <c r="AQ400" s="22"/>
      <c r="AR400" s="22"/>
      <c r="AS400" s="22"/>
      <c r="AT400" s="22"/>
      <c r="AU400" s="35"/>
      <c r="AV400" s="35"/>
      <c r="AW400" s="35"/>
      <c r="AX400" s="35"/>
      <c r="AY400" s="35"/>
      <c r="AZ400" s="35"/>
      <c r="BA400" s="35"/>
      <c r="BB400" s="35"/>
      <c r="BC400" s="35"/>
      <c r="BD400" s="35"/>
      <c r="BE400" s="35"/>
      <c r="BF400" s="35"/>
      <c r="BG400" s="35"/>
      <c r="BH400" s="35"/>
      <c r="BI400" s="35"/>
      <c r="BJ400" s="35"/>
      <c r="BK400" s="35"/>
      <c r="BL400" s="35"/>
      <c r="BM400" s="35"/>
      <c r="BN400" s="35"/>
      <c r="BO400" s="86"/>
    </row>
    <row r="401" spans="1:67" ht="16.5" thickBot="1" x14ac:dyDescent="0.3">
      <c r="A401" s="520">
        <f>IFERROR(VLOOKUP($G$5,'רשימת רשויות'!A:C,3,0),0)</f>
        <v>0</v>
      </c>
      <c r="B401" s="520">
        <f t="shared" si="54"/>
        <v>0</v>
      </c>
      <c r="D401" s="1134"/>
      <c r="E401" s="1137"/>
      <c r="F401" s="587" t="s">
        <v>17</v>
      </c>
      <c r="G401" s="113"/>
      <c r="H401" s="92"/>
      <c r="I401" s="114"/>
      <c r="J401" s="115"/>
      <c r="K401" s="116"/>
      <c r="L401" s="406"/>
      <c r="M401" s="116"/>
      <c r="N401" s="116"/>
      <c r="O401" s="116"/>
      <c r="P401" s="474"/>
      <c r="Q401" s="607"/>
      <c r="R401" s="608"/>
      <c r="S401" s="612"/>
      <c r="T401" s="881"/>
      <c r="U401" s="598"/>
      <c r="V401" s="599"/>
      <c r="W401" s="599"/>
      <c r="X401" s="599"/>
      <c r="Y401" s="879"/>
      <c r="Z401" s="106"/>
      <c r="AI401" s="40"/>
      <c r="BO401" s="86"/>
    </row>
    <row r="402" spans="1:67" ht="47.25" x14ac:dyDescent="0.25">
      <c r="A402" s="520">
        <f>IFERROR(VLOOKUP($G$5,'רשימת רשויות'!A:C,3,0),0)</f>
        <v>0</v>
      </c>
      <c r="B402" s="520">
        <f t="shared" si="54"/>
        <v>0</v>
      </c>
      <c r="D402" s="1134"/>
      <c r="E402" s="1137"/>
      <c r="F402" s="588" t="s">
        <v>2</v>
      </c>
      <c r="G402" s="95" t="s">
        <v>18</v>
      </c>
      <c r="H402" s="95" t="s">
        <v>19</v>
      </c>
      <c r="I402" s="95" t="s">
        <v>20</v>
      </c>
      <c r="J402" s="95" t="s">
        <v>22</v>
      </c>
      <c r="K402" s="96" t="s">
        <v>2314</v>
      </c>
      <c r="L402" s="609"/>
      <c r="M402" s="609"/>
      <c r="N402" s="609"/>
      <c r="O402" s="580"/>
      <c r="P402" s="618" t="s">
        <v>2298</v>
      </c>
      <c r="Q402" s="618" t="s">
        <v>2299</v>
      </c>
      <c r="R402" s="596"/>
      <c r="S402" s="890" t="s">
        <v>2519</v>
      </c>
      <c r="T402" s="890" t="s">
        <v>97</v>
      </c>
      <c r="U402" s="891" t="s">
        <v>2521</v>
      </c>
      <c r="V402" s="892" t="s">
        <v>2520</v>
      </c>
      <c r="W402" s="893" t="s">
        <v>2524</v>
      </c>
      <c r="X402" s="892" t="s">
        <v>2522</v>
      </c>
      <c r="Y402" s="894" t="s">
        <v>2523</v>
      </c>
      <c r="Z402" s="106"/>
      <c r="AC402" s="498" t="s">
        <v>2568</v>
      </c>
      <c r="AD402" s="499" t="s">
        <v>2569</v>
      </c>
      <c r="AF402" s="122"/>
      <c r="AI402" s="40"/>
      <c r="BO402" s="86"/>
    </row>
    <row r="403" spans="1:67" ht="15" customHeight="1" thickBot="1" x14ac:dyDescent="0.3">
      <c r="A403" s="520">
        <f>IFERROR(VLOOKUP($G$5,'רשימת רשויות'!A:C,3,0),0)</f>
        <v>0</v>
      </c>
      <c r="B403" s="520">
        <f t="shared" si="54"/>
        <v>0</v>
      </c>
      <c r="D403" s="1134"/>
      <c r="E403" s="1137"/>
      <c r="F403" s="589" t="s">
        <v>76</v>
      </c>
      <c r="G403" s="117">
        <f>IF(G394="תקין",SUMIF('עלויות כח אדם (6)'!$B$15:$B$3014,'בית ספר - תקצוב לפי מוסד (9)'!$G389,'עלויות כח אדם (6)'!$M$15:$M$3014)-VLOOKUP('בית ספר - תקצוב לפי מוסד (9)'!G389,' איוש משרות (8)'!$C:$H,5,0)-VLOOKUP('בית ספר - תקצוב לפי מוסד (9)'!G389,' איוש משרות (8)'!$C:$H,6,0),0)-Y403</f>
        <v>0</v>
      </c>
      <c r="H403" s="118">
        <f>I391+R398</f>
        <v>0</v>
      </c>
      <c r="I403" s="119">
        <f>IFERROR(SUM(G403)/H403,0)</f>
        <v>0</v>
      </c>
      <c r="J403" s="100">
        <f>MIN(I391+R398,IF(ISNUMBER(G403),G403,0))</f>
        <v>0</v>
      </c>
      <c r="K403" s="120">
        <f>MAX(H403-G403,0)</f>
        <v>0</v>
      </c>
      <c r="L403" s="407"/>
      <c r="M403" s="393"/>
      <c r="N403" s="393"/>
      <c r="O403" s="580"/>
      <c r="P403" s="968">
        <f>IFERROR(IF(SUM(G403)/(I391)&lt;100%,MIN((I391)-SUM(G403),(I391)*0.25),0),0)</f>
        <v>0</v>
      </c>
      <c r="Q403" s="968">
        <f>IF(SUM(G403)-(I391+R398)&gt;0,SUM(G403)-(I391+R398),0)</f>
        <v>0</v>
      </c>
      <c r="R403" s="596" t="s">
        <v>2351</v>
      </c>
      <c r="S403" s="576" t="s">
        <v>2342</v>
      </c>
      <c r="T403" s="599">
        <f>G389</f>
        <v>0</v>
      </c>
      <c r="U403" s="578"/>
      <c r="V403" s="579">
        <f>G403+G404+G405</f>
        <v>0</v>
      </c>
      <c r="W403" s="579">
        <f>U403-V403</f>
        <v>0</v>
      </c>
      <c r="X403" s="579">
        <f>IFERROR(W417*W403/(SUM(W403:W416)),0)</f>
        <v>0</v>
      </c>
      <c r="Y403" s="879">
        <f>SUMIFS(בקרה!$S:$S,בקרה!$D:$D,T403,בקרה!$K:$K,S403)</f>
        <v>0</v>
      </c>
      <c r="Z403" s="121"/>
      <c r="AA403" s="143"/>
      <c r="AB403" s="143"/>
      <c r="AC403" s="504">
        <v>0</v>
      </c>
      <c r="AD403" s="505">
        <f>IFERROR(U403-AC403,0)</f>
        <v>0</v>
      </c>
      <c r="AE403" s="143"/>
      <c r="AI403" s="20"/>
      <c r="BO403" s="86"/>
    </row>
    <row r="404" spans="1:67" ht="15" customHeight="1" thickBot="1" x14ac:dyDescent="0.3">
      <c r="A404" s="520">
        <f>IFERROR(VLOOKUP($G$5,'רשימת רשויות'!A:C,3,0),0)</f>
        <v>0</v>
      </c>
      <c r="B404" s="520">
        <f t="shared" si="54"/>
        <v>0</v>
      </c>
      <c r="D404" s="1134"/>
      <c r="E404" s="1137"/>
      <c r="F404" s="589" t="s">
        <v>44</v>
      </c>
      <c r="G404" s="123">
        <f>IF(G394="תקין",IFERROR(VLOOKUP('בית ספר - תקצוב לפי מוסד (9)'!G389,' איוש משרות (8)'!C:J,7,0),0),0)</f>
        <v>0</v>
      </c>
      <c r="H404" s="124">
        <f>I393+R400+J393</f>
        <v>0</v>
      </c>
      <c r="I404" s="119">
        <f>IFERROR(SUM(G404:G405)/H404,0)</f>
        <v>0</v>
      </c>
      <c r="J404" s="100">
        <f>MIN(R400+I393,IF(ISNUMBER(SUM(G404:G405)),SUM(G404:G405),0))</f>
        <v>0</v>
      </c>
      <c r="K404" s="1139">
        <f>MAX((H404)-(G404+G405),0)</f>
        <v>0</v>
      </c>
      <c r="L404" s="407"/>
      <c r="M404" s="393"/>
      <c r="N404" s="393"/>
      <c r="O404" s="580"/>
      <c r="P404" s="1140"/>
      <c r="Q404" s="1140"/>
      <c r="R404" s="617">
        <f>MAX(MIN(P412-Q412,H412*0.15-G410),0)</f>
        <v>0</v>
      </c>
      <c r="S404" s="576"/>
      <c r="T404" s="599">
        <f>G389</f>
        <v>0</v>
      </c>
      <c r="U404" s="578"/>
      <c r="V404" s="579"/>
      <c r="W404" s="579">
        <f t="shared" ref="W404:W416" si="55">U404-V404</f>
        <v>0</v>
      </c>
      <c r="X404" s="579"/>
      <c r="Y404" s="879"/>
      <c r="Z404" s="121"/>
      <c r="AA404" s="143"/>
      <c r="AB404" s="143"/>
      <c r="AC404" s="504"/>
      <c r="AD404" s="505">
        <f t="shared" ref="AD404:AD410" si="56">IFERROR(U404-AC404,0)</f>
        <v>0</v>
      </c>
      <c r="AE404" s="143"/>
      <c r="AI404" s="20"/>
      <c r="BO404" s="86"/>
    </row>
    <row r="405" spans="1:67" ht="15.75" customHeight="1" x14ac:dyDescent="0.25">
      <c r="A405" s="520">
        <f>IFERROR(VLOOKUP($G$5,'רשימת רשויות'!A:C,3,0),0)</f>
        <v>0</v>
      </c>
      <c r="B405" s="520">
        <f t="shared" si="54"/>
        <v>0</v>
      </c>
      <c r="D405" s="1134"/>
      <c r="E405" s="1137"/>
      <c r="F405" s="589" t="s">
        <v>45</v>
      </c>
      <c r="G405" s="123">
        <f>IF(G394="תקין",IFERROR(VLOOKUP('בית ספר - תקצוב לפי מוסד (9)'!G389,' איוש משרות (8)'!C:J,8,0),0),0)</f>
        <v>0</v>
      </c>
      <c r="H405" s="125"/>
      <c r="I405" s="126"/>
      <c r="J405" s="104"/>
      <c r="K405" s="1139"/>
      <c r="L405" s="407"/>
      <c r="M405" s="393"/>
      <c r="N405" s="393"/>
      <c r="O405" s="580"/>
      <c r="P405" s="1140"/>
      <c r="Q405" s="1140"/>
      <c r="R405" s="596"/>
      <c r="S405" s="576"/>
      <c r="T405" s="599">
        <f>G389</f>
        <v>0</v>
      </c>
      <c r="U405" s="578"/>
      <c r="V405" s="579"/>
      <c r="W405" s="579">
        <f t="shared" si="55"/>
        <v>0</v>
      </c>
      <c r="X405" s="579"/>
      <c r="Y405" s="879"/>
      <c r="Z405" s="121"/>
      <c r="AA405" s="143"/>
      <c r="AB405" s="143"/>
      <c r="AC405" s="504"/>
      <c r="AD405" s="505">
        <f t="shared" si="56"/>
        <v>0</v>
      </c>
      <c r="AE405" s="143"/>
      <c r="AG405" s="55"/>
      <c r="AH405" s="55"/>
      <c r="AI405" s="55"/>
      <c r="AJ405" s="55"/>
      <c r="AK405" s="55"/>
      <c r="BO405" s="86"/>
    </row>
    <row r="406" spans="1:67" ht="15.75" customHeight="1" x14ac:dyDescent="0.25">
      <c r="A406" s="520">
        <f>IFERROR(VLOOKUP($G$5,'רשימת רשויות'!A:C,3,0),0)</f>
        <v>0</v>
      </c>
      <c r="B406" s="520">
        <f t="shared" si="54"/>
        <v>0</v>
      </c>
      <c r="D406" s="1134"/>
      <c r="E406" s="1137"/>
      <c r="F406" s="589" t="s">
        <v>0</v>
      </c>
      <c r="G406" s="117">
        <f>IF(G394="תקין",SUMIFS('דוח הוצאות בפועל (4)'!$E$17:$E$3016,'דוח הוצאות בפועל (4)'!$B$17:$B$3016,'בית ספר - תקצוב לפי מוסד (9)'!$G389,'דוח הוצאות בפועל (4)'!$M$17:$M$3016,"הע"),0)-Y406</f>
        <v>0</v>
      </c>
      <c r="H406" s="127">
        <f>J391</f>
        <v>0</v>
      </c>
      <c r="I406" s="128">
        <f>IFERROR(G406/H406,0)</f>
        <v>0</v>
      </c>
      <c r="J406" s="129">
        <f>MIN(IF(ISNUMBER(G406),G406,0),H406)</f>
        <v>0</v>
      </c>
      <c r="K406" s="120">
        <f>MAX(H406-G406,0)</f>
        <v>0</v>
      </c>
      <c r="L406" s="407"/>
      <c r="M406" s="393"/>
      <c r="N406" s="393"/>
      <c r="O406" s="580"/>
      <c r="P406" s="968">
        <f>MAX(IF(I406&lt;100%,MIN((H406-G406),H406*0.25),0),0)</f>
        <v>0</v>
      </c>
      <c r="Q406" s="619">
        <f>IF(G406-H406&gt;0,G406-H406,0)</f>
        <v>0</v>
      </c>
      <c r="R406" s="596"/>
      <c r="S406" s="610" t="s">
        <v>0</v>
      </c>
      <c r="T406" s="599">
        <f>G389</f>
        <v>0</v>
      </c>
      <c r="U406" s="578"/>
      <c r="V406" s="579">
        <f>G406</f>
        <v>0</v>
      </c>
      <c r="W406" s="579">
        <f t="shared" si="55"/>
        <v>0</v>
      </c>
      <c r="X406" s="579">
        <f>IFERROR(W417*W406/(SUM(W403:W416)),0)</f>
        <v>0</v>
      </c>
      <c r="Y406" s="879">
        <f>SUMIFS(בקרה!$S:$S,בקרה!$D:$D,T406,בקרה!$K:$K,S406)</f>
        <v>0</v>
      </c>
      <c r="Z406" s="121"/>
      <c r="AA406" s="143"/>
      <c r="AB406" s="143"/>
      <c r="AC406" s="504">
        <v>0</v>
      </c>
      <c r="AD406" s="505">
        <f t="shared" si="56"/>
        <v>0</v>
      </c>
      <c r="AE406" s="143"/>
      <c r="AG406" s="55"/>
      <c r="AH406" s="55"/>
      <c r="AI406" s="40"/>
      <c r="AJ406" s="55"/>
      <c r="AK406" s="55"/>
      <c r="BO406" s="86"/>
    </row>
    <row r="407" spans="1:67" s="55" customFormat="1" ht="15.75" customHeight="1" x14ac:dyDescent="0.25">
      <c r="A407" s="520">
        <f>IFERROR(VLOOKUP($G$5,'רשימת רשויות'!A:C,3,0),0)</f>
        <v>0</v>
      </c>
      <c r="B407" s="520">
        <f t="shared" si="54"/>
        <v>0</v>
      </c>
      <c r="C407" s="39"/>
      <c r="D407" s="1134"/>
      <c r="E407" s="1137"/>
      <c r="F407" s="589" t="s">
        <v>93</v>
      </c>
      <c r="G407" s="130">
        <f>IF(G394="תקין",SUMIFS('דוח הוצאות בפועל (4)'!$E$17:$E$3016,'דוח הוצאות בפועל (4)'!$B$17:$B$3016,'בית ספר - תקצוב לפי מוסד (9)'!$G389,'דוח הוצאות בפועל (4)'!$M$17:$M$3016,"אר"),0)-Y407</f>
        <v>0</v>
      </c>
      <c r="H407" s="118">
        <f>$I397</f>
        <v>0</v>
      </c>
      <c r="I407" s="131">
        <f>IFERROR((G407+G408)/H407,0)</f>
        <v>0</v>
      </c>
      <c r="J407" s="100">
        <f>MIN((IF(ISNUMBER(G407),G407,0)+IF(ISNUMBER(G408),G408,0)),H407)</f>
        <v>0</v>
      </c>
      <c r="K407" s="1139">
        <f>MAX((H407)-(G407+G408),0)</f>
        <v>0</v>
      </c>
      <c r="L407" s="407"/>
      <c r="M407" s="393"/>
      <c r="N407" s="393"/>
      <c r="O407" s="602"/>
      <c r="P407" s="1141"/>
      <c r="Q407" s="1142"/>
      <c r="R407" s="596"/>
      <c r="S407" s="610" t="s">
        <v>93</v>
      </c>
      <c r="T407" s="599">
        <f>G389</f>
        <v>0</v>
      </c>
      <c r="U407" s="578"/>
      <c r="V407" s="579">
        <f t="shared" ref="V407:V408" si="57">G407</f>
        <v>0</v>
      </c>
      <c r="W407" s="579">
        <f t="shared" si="55"/>
        <v>0</v>
      </c>
      <c r="X407" s="579">
        <f>IFERROR(W417*W407/(SUM(W403:W416)),0)</f>
        <v>0</v>
      </c>
      <c r="Y407" s="879">
        <f>SUMIFS(בקרה!$S:$S,בקרה!$D:$D,T407,בקרה!$K:$K,S407)</f>
        <v>0</v>
      </c>
      <c r="Z407" s="121"/>
      <c r="AA407" s="143"/>
      <c r="AB407" s="143"/>
      <c r="AC407" s="504">
        <v>0</v>
      </c>
      <c r="AD407" s="505">
        <f t="shared" si="56"/>
        <v>0</v>
      </c>
      <c r="AE407" s="143"/>
      <c r="AJ407" s="22"/>
      <c r="AO407" s="22"/>
      <c r="AP407" s="22"/>
      <c r="AQ407" s="22"/>
      <c r="AR407" s="22"/>
      <c r="AS407" s="22"/>
      <c r="AT407" s="22"/>
      <c r="AU407" s="35"/>
      <c r="AV407" s="35"/>
      <c r="AW407" s="35"/>
      <c r="AX407" s="35"/>
      <c r="AY407" s="35"/>
      <c r="AZ407" s="35"/>
      <c r="BA407" s="35"/>
      <c r="BB407" s="35"/>
      <c r="BC407" s="35"/>
      <c r="BD407" s="35"/>
      <c r="BE407" s="35"/>
      <c r="BF407" s="35"/>
      <c r="BG407" s="35"/>
      <c r="BH407" s="35"/>
      <c r="BI407" s="35"/>
      <c r="BJ407" s="35"/>
      <c r="BK407" s="35"/>
      <c r="BL407" s="35"/>
      <c r="BM407" s="35"/>
      <c r="BN407" s="35"/>
      <c r="BO407" s="86"/>
    </row>
    <row r="408" spans="1:67" s="55" customFormat="1" ht="15.75" customHeight="1" x14ac:dyDescent="0.25">
      <c r="A408" s="520">
        <f>IFERROR(VLOOKUP($G$5,'רשימת רשויות'!A:C,3,0),0)</f>
        <v>0</v>
      </c>
      <c r="B408" s="520">
        <f t="shared" si="54"/>
        <v>0</v>
      </c>
      <c r="C408" s="39"/>
      <c r="D408" s="1134"/>
      <c r="E408" s="1137"/>
      <c r="F408" s="589" t="s">
        <v>46</v>
      </c>
      <c r="G408" s="130">
        <f>IF(G394="תקין",SUMIFS('דוח הוצאות בפועל (4)'!$E$17:$E$3016,'דוח הוצאות בפועל (4)'!$B$17:$B$3016,'בית ספר - תקצוב לפי מוסד (9)'!$G389,'דוח הוצאות בפועל (4)'!$M$17:$M$3016,"מל"),0)-Y408</f>
        <v>0</v>
      </c>
      <c r="H408" s="132"/>
      <c r="I408" s="133"/>
      <c r="J408" s="104"/>
      <c r="K408" s="1139"/>
      <c r="L408" s="407"/>
      <c r="M408" s="393"/>
      <c r="N408" s="393"/>
      <c r="O408" s="602"/>
      <c r="P408" s="1141"/>
      <c r="Q408" s="1142"/>
      <c r="R408" s="596"/>
      <c r="S408" s="610" t="s">
        <v>46</v>
      </c>
      <c r="T408" s="599">
        <f>G389</f>
        <v>0</v>
      </c>
      <c r="U408" s="578"/>
      <c r="V408" s="579">
        <f t="shared" si="57"/>
        <v>0</v>
      </c>
      <c r="W408" s="579">
        <f t="shared" si="55"/>
        <v>0</v>
      </c>
      <c r="X408" s="579">
        <f>IFERROR(W417*W408/(SUM(W403:W416)),0)</f>
        <v>0</v>
      </c>
      <c r="Y408" s="879">
        <f>SUMIFS(בקרה!$S:$S,בקרה!$D:$D,T408,בקרה!$K:$K,S408)</f>
        <v>0</v>
      </c>
      <c r="Z408" s="121"/>
      <c r="AA408" s="143"/>
      <c r="AB408" s="143"/>
      <c r="AC408" s="504">
        <v>0</v>
      </c>
      <c r="AD408" s="505">
        <f t="shared" si="56"/>
        <v>0</v>
      </c>
      <c r="AE408" s="143"/>
      <c r="AJ408" s="22"/>
      <c r="AO408" s="22"/>
      <c r="AP408" s="22"/>
      <c r="AQ408" s="22"/>
      <c r="AR408" s="22"/>
      <c r="AS408" s="22"/>
      <c r="AT408" s="22"/>
      <c r="AU408" s="35"/>
      <c r="AV408" s="35"/>
      <c r="AW408" s="35"/>
      <c r="AX408" s="35"/>
      <c r="AY408" s="35"/>
      <c r="AZ408" s="35"/>
      <c r="BA408" s="35"/>
      <c r="BB408" s="35"/>
      <c r="BC408" s="35"/>
      <c r="BD408" s="35"/>
      <c r="BE408" s="35"/>
      <c r="BF408" s="35"/>
      <c r="BG408" s="35"/>
      <c r="BH408" s="35"/>
      <c r="BI408" s="35"/>
      <c r="BJ408" s="35"/>
      <c r="BK408" s="35"/>
      <c r="BL408" s="35"/>
      <c r="BM408" s="35"/>
      <c r="BN408" s="35"/>
      <c r="BO408" s="86"/>
    </row>
    <row r="409" spans="1:67" s="55" customFormat="1" ht="15" customHeight="1" x14ac:dyDescent="0.25">
      <c r="A409" s="520">
        <f>IFERROR(VLOOKUP($G$5,'רשימת רשויות'!A:C,3,0),0)</f>
        <v>0</v>
      </c>
      <c r="B409" s="520">
        <f t="shared" si="54"/>
        <v>0</v>
      </c>
      <c r="C409" s="39"/>
      <c r="D409" s="1134"/>
      <c r="E409" s="1137"/>
      <c r="F409" s="591" t="s">
        <v>23</v>
      </c>
      <c r="G409" s="134">
        <f>SUM(G403:G408)</f>
        <v>0</v>
      </c>
      <c r="H409" s="135">
        <f>SUM(H403:H408)</f>
        <v>0</v>
      </c>
      <c r="I409" s="128">
        <f>IFERROR(G409/H409,0)</f>
        <v>0</v>
      </c>
      <c r="J409" s="136">
        <f>SUM(J403:J408)</f>
        <v>0</v>
      </c>
      <c r="K409" s="137">
        <f>SUM(K403:K408)</f>
        <v>0</v>
      </c>
      <c r="L409" s="408"/>
      <c r="M409" s="394"/>
      <c r="N409" s="394"/>
      <c r="O409" s="602"/>
      <c r="P409" s="620">
        <f>SUM(P403:P408)</f>
        <v>0</v>
      </c>
      <c r="Q409" s="620">
        <f>SUM(Q403:Q408)</f>
        <v>0</v>
      </c>
      <c r="R409" s="596"/>
      <c r="S409" s="610"/>
      <c r="T409" s="599">
        <f>G389</f>
        <v>0</v>
      </c>
      <c r="U409" s="578"/>
      <c r="V409" s="579"/>
      <c r="W409" s="579">
        <f t="shared" si="55"/>
        <v>0</v>
      </c>
      <c r="X409" s="579"/>
      <c r="Y409" s="879"/>
      <c r="Z409" s="121"/>
      <c r="AA409" s="143"/>
      <c r="AB409" s="143"/>
      <c r="AC409" s="504"/>
      <c r="AD409" s="505">
        <f t="shared" si="56"/>
        <v>0</v>
      </c>
      <c r="AE409" s="143"/>
      <c r="AJ409" s="22"/>
      <c r="AL409" s="22"/>
      <c r="AM409" s="22"/>
      <c r="AN409" s="22"/>
      <c r="AO409" s="22"/>
      <c r="AP409" s="22"/>
      <c r="AQ409" s="22"/>
      <c r="AR409" s="22"/>
      <c r="AS409" s="22"/>
      <c r="AT409" s="22"/>
      <c r="AU409" s="35"/>
      <c r="AV409" s="35"/>
      <c r="AW409" s="35"/>
      <c r="AX409" s="35"/>
      <c r="AY409" s="35"/>
      <c r="AZ409" s="35"/>
      <c r="BA409" s="35"/>
      <c r="BB409" s="35"/>
      <c r="BC409" s="35"/>
      <c r="BD409" s="35"/>
      <c r="BE409" s="35"/>
      <c r="BF409" s="35"/>
      <c r="BG409" s="35"/>
      <c r="BH409" s="35"/>
      <c r="BI409" s="35"/>
      <c r="BJ409" s="35"/>
      <c r="BK409" s="35"/>
      <c r="BL409" s="35"/>
      <c r="BM409" s="35"/>
      <c r="BN409" s="35"/>
      <c r="BO409" s="86"/>
    </row>
    <row r="410" spans="1:67" s="55" customFormat="1" ht="15" customHeight="1" x14ac:dyDescent="0.25">
      <c r="A410" s="520">
        <f>IFERROR(VLOOKUP($G$5,'רשימת רשויות'!A:C,3,0),0)</f>
        <v>0</v>
      </c>
      <c r="B410" s="520">
        <f t="shared" si="54"/>
        <v>0</v>
      </c>
      <c r="C410" s="39"/>
      <c r="D410" s="1134"/>
      <c r="E410" s="1137"/>
      <c r="F410" s="589" t="s">
        <v>3</v>
      </c>
      <c r="G410" s="117">
        <f>IF(G394="תקין",SUMIFS('דוח הוצאות בפועל (4)'!$E$17:$E$3016,'דוח הוצאות בפועל (4)'!$B$17:$B$3016,'בית ספר - תקצוב לפי מוסד (9)'!$G389,'דוח הוצאות בפועל (4)'!$M$17:$M$3016,"ני")+SUMIFS('דוח הוצאות בפועל (4)'!$E$17:$E$3016,'דוח הוצאות בפועל (4)'!$B$17:$B$3016,'בית ספר - תקצוב לפי מוסד (9)'!$G389,'דוח הוצאות בפועל (4)'!$M$17:$M$3016,"על"),0)-Y410</f>
        <v>0</v>
      </c>
      <c r="H410" s="117">
        <f>H391</f>
        <v>0</v>
      </c>
      <c r="I410" s="138">
        <f>IFERROR(G410/H410,0)</f>
        <v>0</v>
      </c>
      <c r="J410" s="117">
        <f>IFERROR(IF(G410/H412&gt;0.15,MIN(H412*0.15,H410),MIN(H410,IF(ISNUMBER(G410),G410,0))),0)</f>
        <v>0</v>
      </c>
      <c r="K410" s="120">
        <f>MAX(H410-G410,0)</f>
        <v>0</v>
      </c>
      <c r="L410" s="407"/>
      <c r="M410" s="393"/>
      <c r="N410" s="393"/>
      <c r="O410" s="602"/>
      <c r="P410" s="620">
        <f>IF(I410&lt;100%,MIN(H410-G410,H410*0.25),0)</f>
        <v>0</v>
      </c>
      <c r="Q410" s="620">
        <f>MAX(MIN(IF(G410-H410&gt;0,G410-H410,0),$H412*0.15-H410-J411),0)</f>
        <v>0</v>
      </c>
      <c r="R410" s="596"/>
      <c r="S410" s="610" t="s">
        <v>3</v>
      </c>
      <c r="T410" s="599">
        <f>G389</f>
        <v>0</v>
      </c>
      <c r="U410" s="578"/>
      <c r="V410" s="579">
        <f t="shared" ref="V410" si="58">G410</f>
        <v>0</v>
      </c>
      <c r="W410" s="579">
        <f t="shared" si="55"/>
        <v>0</v>
      </c>
      <c r="X410" s="579"/>
      <c r="Y410" s="879"/>
      <c r="Z410" s="121"/>
      <c r="AA410" s="143"/>
      <c r="AB410" s="143"/>
      <c r="AC410" s="504">
        <v>0</v>
      </c>
      <c r="AD410" s="505">
        <f t="shared" si="56"/>
        <v>0</v>
      </c>
      <c r="AE410" s="143"/>
      <c r="AG410" s="22"/>
      <c r="AH410" s="22"/>
      <c r="AI410" s="22"/>
      <c r="AJ410" s="22"/>
      <c r="AK410" s="22"/>
      <c r="AL410" s="22"/>
      <c r="AM410" s="22"/>
      <c r="AN410" s="22"/>
      <c r="AO410" s="22"/>
      <c r="AP410" s="22"/>
      <c r="AQ410" s="22"/>
      <c r="AR410" s="22"/>
      <c r="AS410" s="22"/>
      <c r="AT410" s="22"/>
      <c r="AU410" s="35"/>
      <c r="AV410" s="35"/>
      <c r="AW410" s="35"/>
      <c r="AX410" s="35"/>
      <c r="AY410" s="35"/>
      <c r="AZ410" s="35"/>
      <c r="BA410" s="35"/>
      <c r="BB410" s="35"/>
      <c r="BC410" s="35"/>
      <c r="BD410" s="35"/>
      <c r="BE410" s="35"/>
      <c r="BF410" s="35"/>
      <c r="BG410" s="35"/>
      <c r="BH410" s="35"/>
      <c r="BI410" s="35"/>
      <c r="BJ410" s="35"/>
      <c r="BK410" s="35"/>
      <c r="BL410" s="35"/>
      <c r="BM410" s="35"/>
      <c r="BN410" s="35"/>
      <c r="BO410" s="86"/>
    </row>
    <row r="411" spans="1:67" s="55" customFormat="1" ht="15.75" customHeight="1" x14ac:dyDescent="0.25">
      <c r="A411" s="520">
        <f>IFERROR(VLOOKUP($G$5,'רשימת רשויות'!A:C,3,0),0)</f>
        <v>0</v>
      </c>
      <c r="B411" s="520">
        <f t="shared" si="54"/>
        <v>0</v>
      </c>
      <c r="C411" s="39"/>
      <c r="D411" s="1134"/>
      <c r="E411" s="1137"/>
      <c r="F411" s="589" t="s">
        <v>2918</v>
      </c>
      <c r="G411" s="117">
        <f>0.07*(G405+G404)</f>
        <v>0</v>
      </c>
      <c r="H411" s="117">
        <f>H393</f>
        <v>0</v>
      </c>
      <c r="I411" s="138">
        <f>IFERROR(G411/H411,0)</f>
        <v>0</v>
      </c>
      <c r="J411" s="117">
        <f>IFERROR(MIN(0.07*(G404+G405),0.07*I393),0)</f>
        <v>0</v>
      </c>
      <c r="K411" s="120">
        <f>MAX(H411-G411,0)</f>
        <v>0</v>
      </c>
      <c r="L411" s="407"/>
      <c r="M411" s="393"/>
      <c r="N411" s="393"/>
      <c r="O411" s="602"/>
      <c r="P411" s="620"/>
      <c r="Q411" s="619"/>
      <c r="R411" s="596"/>
      <c r="S411" s="611"/>
      <c r="T411" s="599">
        <f>G389</f>
        <v>0</v>
      </c>
      <c r="U411" s="578"/>
      <c r="V411" s="579"/>
      <c r="W411" s="579">
        <f t="shared" si="55"/>
        <v>0</v>
      </c>
      <c r="X411" s="579"/>
      <c r="Y411" s="879"/>
      <c r="Z411" s="121"/>
      <c r="AA411" s="143"/>
      <c r="AB411" s="143"/>
      <c r="AC411" s="504"/>
      <c r="AD411" s="505"/>
      <c r="AE411" s="143"/>
      <c r="AF411" s="140"/>
      <c r="AG411" s="22"/>
      <c r="AH411" s="22"/>
      <c r="AI411" s="22"/>
      <c r="AJ411" s="22"/>
      <c r="AK411" s="22"/>
      <c r="AL411" s="22"/>
      <c r="AM411" s="22"/>
      <c r="AN411" s="22"/>
      <c r="AO411" s="22"/>
      <c r="AP411" s="22"/>
      <c r="AQ411" s="22"/>
      <c r="AR411" s="22"/>
      <c r="AS411" s="22"/>
      <c r="AT411" s="22"/>
      <c r="AU411" s="35"/>
      <c r="AV411" s="35"/>
      <c r="AW411" s="35"/>
      <c r="AX411" s="35"/>
      <c r="AY411" s="35"/>
      <c r="AZ411" s="35"/>
      <c r="BA411" s="35"/>
      <c r="BB411" s="35"/>
      <c r="BC411" s="35"/>
      <c r="BD411" s="35"/>
      <c r="BE411" s="35"/>
      <c r="BF411" s="35"/>
      <c r="BG411" s="35"/>
      <c r="BH411" s="35"/>
      <c r="BI411" s="35"/>
      <c r="BJ411" s="35"/>
      <c r="BK411" s="35"/>
      <c r="BL411" s="35"/>
      <c r="BM411" s="35"/>
      <c r="BN411" s="35"/>
      <c r="BO411" s="86"/>
    </row>
    <row r="412" spans="1:67" ht="15.75" customHeight="1" x14ac:dyDescent="0.25">
      <c r="A412" s="520">
        <f>IFERROR(VLOOKUP($G$5,'רשימת רשויות'!A:C,3,0),0)</f>
        <v>0</v>
      </c>
      <c r="B412" s="520">
        <f t="shared" si="54"/>
        <v>0</v>
      </c>
      <c r="D412" s="1134"/>
      <c r="E412" s="1137"/>
      <c r="F412" s="591" t="s">
        <v>15</v>
      </c>
      <c r="G412" s="134">
        <f>G409+G410+G411</f>
        <v>0</v>
      </c>
      <c r="H412" s="134">
        <f>H409+H410+H411</f>
        <v>0</v>
      </c>
      <c r="I412" s="138">
        <f>IFERROR(G412/H412,0)</f>
        <v>0</v>
      </c>
      <c r="J412" s="139">
        <f>J409+J410+J411</f>
        <v>0</v>
      </c>
      <c r="K412" s="137">
        <f>K410+K409+K411</f>
        <v>0</v>
      </c>
      <c r="L412" s="408"/>
      <c r="M412" s="394"/>
      <c r="N412" s="394"/>
      <c r="O412" s="602"/>
      <c r="P412" s="621">
        <f>SUM(P409:P410)</f>
        <v>0</v>
      </c>
      <c r="Q412" s="622">
        <f>Q409+Q410</f>
        <v>0</v>
      </c>
      <c r="R412" s="596"/>
      <c r="S412" s="611"/>
      <c r="T412" s="599">
        <f>G389</f>
        <v>0</v>
      </c>
      <c r="U412" s="578"/>
      <c r="V412" s="579"/>
      <c r="W412" s="579">
        <f t="shared" si="55"/>
        <v>0</v>
      </c>
      <c r="X412" s="579"/>
      <c r="Y412" s="879"/>
      <c r="Z412" s="106"/>
      <c r="AC412" s="504"/>
      <c r="AD412" s="505"/>
      <c r="AH412" s="143"/>
      <c r="BO412" s="86"/>
    </row>
    <row r="413" spans="1:67" ht="15.75" customHeight="1" x14ac:dyDescent="0.25">
      <c r="A413" s="520">
        <f>IFERROR(VLOOKUP($G$5,'רשימת רשויות'!A:C,3,0),0)</f>
        <v>0</v>
      </c>
      <c r="B413" s="520">
        <f t="shared" si="54"/>
        <v>0</v>
      </c>
      <c r="D413" s="1134"/>
      <c r="E413" s="1137"/>
      <c r="F413" s="589" t="s">
        <v>2261</v>
      </c>
      <c r="G413" s="117">
        <f>IF(G394="תקין",SUMIF('תשלומי הורים ומלגות להורים (5) '!$B$18:$B$517,$G389,'תשלומי הורים ומלגות להורים (5) '!$C$18:$C$517),0)</f>
        <v>0</v>
      </c>
      <c r="H413" s="117">
        <f>(G392+G393)*$G$7</f>
        <v>0</v>
      </c>
      <c r="I413" s="141"/>
      <c r="J413" s="141"/>
      <c r="K413" s="142"/>
      <c r="L413" s="395"/>
      <c r="M413" s="395"/>
      <c r="N413" s="395"/>
      <c r="O413" s="602"/>
      <c r="P413" s="623"/>
      <c r="Q413" s="619"/>
      <c r="R413" s="596"/>
      <c r="S413" s="612"/>
      <c r="T413" s="599">
        <f>G389</f>
        <v>0</v>
      </c>
      <c r="U413" s="578"/>
      <c r="V413" s="579"/>
      <c r="W413" s="579">
        <f t="shared" si="55"/>
        <v>0</v>
      </c>
      <c r="X413" s="579"/>
      <c r="Y413" s="879"/>
      <c r="Z413" s="121"/>
      <c r="AA413" s="143"/>
      <c r="AB413" s="143"/>
      <c r="AC413" s="504"/>
      <c r="AD413" s="505"/>
      <c r="AE413" s="143"/>
      <c r="AF413" s="148"/>
      <c r="BO413" s="86"/>
    </row>
    <row r="414" spans="1:67" ht="15.75" customHeight="1" thickBot="1" x14ac:dyDescent="0.3">
      <c r="A414" s="520">
        <f>IFERROR(VLOOKUP($G$5,'רשימת רשויות'!A:C,3,0),0)</f>
        <v>0</v>
      </c>
      <c r="B414" s="520">
        <f t="shared" si="54"/>
        <v>0</v>
      </c>
      <c r="D414" s="1134"/>
      <c r="E414" s="1137"/>
      <c r="F414" s="592" t="s">
        <v>21</v>
      </c>
      <c r="G414" s="144">
        <f>G412-G413</f>
        <v>0</v>
      </c>
      <c r="H414" s="144">
        <f>H412-H413</f>
        <v>0</v>
      </c>
      <c r="I414" s="145"/>
      <c r="J414" s="145"/>
      <c r="K414" s="146"/>
      <c r="L414" s="396"/>
      <c r="M414" s="396"/>
      <c r="N414" s="396"/>
      <c r="O414" s="602"/>
      <c r="P414" s="619"/>
      <c r="Q414" s="619"/>
      <c r="R414" s="596"/>
      <c r="S414" s="612"/>
      <c r="T414" s="599">
        <f>G389</f>
        <v>0</v>
      </c>
      <c r="U414" s="578"/>
      <c r="V414" s="579"/>
      <c r="W414" s="579">
        <f t="shared" si="55"/>
        <v>0</v>
      </c>
      <c r="X414" s="579"/>
      <c r="Y414" s="879"/>
      <c r="Z414" s="147"/>
      <c r="AA414" s="148"/>
      <c r="AB414" s="148"/>
      <c r="AC414" s="504"/>
      <c r="AD414" s="505"/>
      <c r="AE414" s="148"/>
      <c r="AF414" s="148"/>
      <c r="BO414" s="86"/>
    </row>
    <row r="415" spans="1:67" ht="15.75" customHeight="1" thickBot="1" x14ac:dyDescent="0.3">
      <c r="A415" s="520">
        <f>IFERROR(VLOOKUP($G$5,'רשימת רשויות'!A:C,3,0),0)</f>
        <v>0</v>
      </c>
      <c r="B415" s="520">
        <f t="shared" si="54"/>
        <v>0</v>
      </c>
      <c r="D415" s="1134"/>
      <c r="E415" s="1137"/>
      <c r="F415" s="580"/>
      <c r="G415" s="580"/>
      <c r="H415" s="147"/>
      <c r="I415" s="149" t="s">
        <v>2197</v>
      </c>
      <c r="J415" s="150">
        <f>MAX(MIN(P412,Q412),0)</f>
        <v>0</v>
      </c>
      <c r="K415" s="580"/>
      <c r="L415" s="580"/>
      <c r="M415" s="580"/>
      <c r="N415" s="580"/>
      <c r="O415" s="580"/>
      <c r="P415" s="615" t="s">
        <v>2317</v>
      </c>
      <c r="Q415" s="624">
        <f>SUM(Q416:Q417)</f>
        <v>0</v>
      </c>
      <c r="R415" s="596"/>
      <c r="S415" s="612"/>
      <c r="T415" s="599">
        <f>G389</f>
        <v>0</v>
      </c>
      <c r="U415" s="578"/>
      <c r="V415" s="579"/>
      <c r="W415" s="579">
        <f t="shared" si="55"/>
        <v>0</v>
      </c>
      <c r="X415" s="579"/>
      <c r="Y415" s="879"/>
      <c r="Z415" s="106"/>
      <c r="AC415" s="504"/>
      <c r="AD415" s="505"/>
      <c r="AF415" s="148"/>
      <c r="BO415" s="86"/>
    </row>
    <row r="416" spans="1:67" ht="16.5" thickBot="1" x14ac:dyDescent="0.3">
      <c r="A416" s="520">
        <f>IFERROR(VLOOKUP($G$5,'רשימת רשויות'!A:C,3,0),0)</f>
        <v>0</v>
      </c>
      <c r="B416" s="520">
        <f t="shared" si="54"/>
        <v>0</v>
      </c>
      <c r="D416" s="1134"/>
      <c r="E416" s="1137"/>
      <c r="F416" s="580"/>
      <c r="G416" s="580"/>
      <c r="H416" s="580"/>
      <c r="I416" s="84" t="s">
        <v>2193</v>
      </c>
      <c r="J416" s="515" t="str">
        <f>IFERROR(1-H413/H412,"")</f>
        <v/>
      </c>
      <c r="K416" s="580"/>
      <c r="L416" s="580"/>
      <c r="M416" s="580"/>
      <c r="N416" s="580"/>
      <c r="O416" s="580"/>
      <c r="P416" s="615" t="s">
        <v>417</v>
      </c>
      <c r="Q416" s="616">
        <f>IFERROR(MAX(H414-I417-Q417,0),0)</f>
        <v>0</v>
      </c>
      <c r="R416" s="596"/>
      <c r="S416" s="600"/>
      <c r="T416" s="599">
        <f>G389</f>
        <v>0</v>
      </c>
      <c r="U416" s="578"/>
      <c r="V416" s="579"/>
      <c r="W416" s="579">
        <f t="shared" si="55"/>
        <v>0</v>
      </c>
      <c r="X416" s="579"/>
      <c r="Y416" s="879"/>
      <c r="Z416" s="106"/>
      <c r="AC416" s="504"/>
      <c r="AD416" s="505"/>
      <c r="BO416" s="86"/>
    </row>
    <row r="417" spans="1:67" ht="17.25" thickBot="1" x14ac:dyDescent="0.3">
      <c r="A417" s="520">
        <f>IFERROR(VLOOKUP($G$5,'רשימת רשויות'!A:C,3,0),0)</f>
        <v>0</v>
      </c>
      <c r="B417" s="520">
        <f t="shared" si="54"/>
        <v>0</v>
      </c>
      <c r="D417" s="1134"/>
      <c r="E417" s="1137"/>
      <c r="F417" s="1143" t="s">
        <v>2679</v>
      </c>
      <c r="G417" s="1143"/>
      <c r="H417" s="1143"/>
      <c r="I417" s="722">
        <f>IF(G394="לא תקין","לא קיימת זכאות לתקציב לאור אי איוש משרות רכז ו/או סגן רכז ",IFERROR(J416*(J415+J412),0))</f>
        <v>0</v>
      </c>
      <c r="J417" s="573"/>
      <c r="K417" s="574"/>
      <c r="L417" s="396"/>
      <c r="M417" s="574"/>
      <c r="N417" s="574"/>
      <c r="O417" s="574"/>
      <c r="P417" s="615" t="s">
        <v>2279</v>
      </c>
      <c r="Q417" s="616">
        <f>MAX(IF(AND(G412&gt;H412,I417&lt;H414),H414-I417,0),0)</f>
        <v>0</v>
      </c>
      <c r="R417" s="575"/>
      <c r="S417" s="576" t="s">
        <v>67</v>
      </c>
      <c r="T417" s="577">
        <f>G389</f>
        <v>0</v>
      </c>
      <c r="U417" s="578"/>
      <c r="V417" s="579">
        <f>I417</f>
        <v>0</v>
      </c>
      <c r="W417" s="579">
        <f>IFERROR(U417-V417,0)</f>
        <v>0</v>
      </c>
      <c r="X417" s="579">
        <f>SUM(X403:X416)</f>
        <v>0</v>
      </c>
      <c r="Y417" s="879"/>
      <c r="Z417" s="106"/>
      <c r="AC417" s="506">
        <v>0</v>
      </c>
      <c r="AD417" s="507">
        <f>IFERROR(U417-AC417,0)</f>
        <v>0</v>
      </c>
      <c r="BO417" s="86"/>
    </row>
    <row r="418" spans="1:67" ht="16.5" thickBot="1" x14ac:dyDescent="0.3">
      <c r="A418" s="520">
        <f>IFERROR(VLOOKUP($G$5,'רשימת רשויות'!A:C,3,0),0)</f>
        <v>0</v>
      </c>
      <c r="B418" s="520">
        <f t="shared" si="54"/>
        <v>0</v>
      </c>
      <c r="D418" s="1135"/>
      <c r="E418" s="1138"/>
      <c r="F418" s="1144" t="s">
        <v>2793</v>
      </c>
      <c r="G418" s="1145"/>
      <c r="H418" s="1145"/>
      <c r="I418" s="593">
        <f>IFERROR(IF(G394="תקין",SUMIFS('סייעות רפואיות או אישיות (7)'!$Q$17:Q$384,'סייעות רפואיות או אישיות (7)'!C$17:C$384,G389),0),0)</f>
        <v>0</v>
      </c>
      <c r="J418" s="151"/>
      <c r="K418" s="152"/>
      <c r="L418" s="409"/>
      <c r="M418" s="152"/>
      <c r="N418" s="152"/>
      <c r="O418" s="152"/>
      <c r="P418" s="613"/>
      <c r="Q418" s="614"/>
      <c r="R418" s="475"/>
      <c r="S418" s="489"/>
      <c r="T418" s="490"/>
      <c r="U418" s="491"/>
      <c r="V418" s="492"/>
      <c r="W418" s="492"/>
      <c r="X418" s="492"/>
      <c r="Y418" s="880"/>
      <c r="Z418" s="153"/>
      <c r="AC418" s="581"/>
      <c r="AD418" s="582"/>
      <c r="BO418" s="86"/>
    </row>
    <row r="419" spans="1:67" ht="34.5" thickBot="1" x14ac:dyDescent="0.55000000000000004">
      <c r="A419" s="520">
        <f>IFERROR(VLOOKUP($G$5,'רשימת רשויות'!A:C,3,0),0)</f>
        <v>0</v>
      </c>
      <c r="B419" s="520">
        <f t="shared" si="54"/>
        <v>0</v>
      </c>
      <c r="E419" s="154"/>
      <c r="I419" s="143"/>
      <c r="J419" s="148"/>
      <c r="O419" s="148"/>
      <c r="T419" s="481"/>
      <c r="BO419" s="86"/>
    </row>
    <row r="420" spans="1:67" s="20" customFormat="1" ht="16.5" customHeight="1" thickBot="1" x14ac:dyDescent="0.3">
      <c r="A420" s="520">
        <f>IFERROR(VLOOKUP($G$5,'רשימת רשויות'!A:C,3,0),0)</f>
        <v>0</v>
      </c>
      <c r="B420" s="520">
        <f t="shared" si="54"/>
        <v>0</v>
      </c>
      <c r="C420" s="39"/>
      <c r="D420" s="1133">
        <f>D389+1</f>
        <v>14</v>
      </c>
      <c r="E420" s="1136" t="str">
        <f>IFERROR(CONCATENATE("בית הספר ",VLOOKUP(G420,'מצבת והרשמה (2)'!$C$21:$D$520,2,0)," - ",$G$5),"")</f>
        <v>בית הספר המוסד לא קיים - 0</v>
      </c>
      <c r="F420" s="720" t="s">
        <v>146</v>
      </c>
      <c r="G420" s="721">
        <f>IFERROR(VLOOKUP(D:D,'דוח ביצוע (3)'!$A$21:$C$900,2,0),0)</f>
        <v>0</v>
      </c>
      <c r="H420" s="79"/>
      <c r="I420" s="80" t="s">
        <v>150</v>
      </c>
      <c r="J420" s="80"/>
      <c r="K420" s="81"/>
      <c r="L420" s="392"/>
      <c r="M420" s="392"/>
      <c r="N420" s="392"/>
      <c r="O420" s="82"/>
      <c r="P420" s="470"/>
      <c r="Q420" s="471"/>
      <c r="R420" s="472"/>
      <c r="S420" s="883"/>
      <c r="T420" s="884"/>
      <c r="U420" s="486"/>
      <c r="V420" s="487"/>
      <c r="W420" s="487"/>
      <c r="X420" s="487"/>
      <c r="Y420" s="885"/>
      <c r="Z420" s="83"/>
      <c r="AC420" s="502"/>
      <c r="AD420" s="503"/>
      <c r="AO420" s="22"/>
      <c r="AP420" s="22"/>
      <c r="AQ420" s="22"/>
      <c r="AR420" s="22"/>
      <c r="AS420" s="22"/>
      <c r="AT420" s="22"/>
      <c r="AU420" s="35"/>
      <c r="AV420" s="35"/>
      <c r="AW420" s="35"/>
      <c r="AX420" s="35"/>
      <c r="AY420" s="35"/>
      <c r="AZ420" s="35"/>
      <c r="BA420" s="35"/>
      <c r="BB420" s="35"/>
      <c r="BC420" s="35"/>
      <c r="BD420" s="35"/>
      <c r="BE420" s="35"/>
      <c r="BF420" s="35"/>
      <c r="BG420" s="35"/>
      <c r="BH420" s="35"/>
      <c r="BI420" s="35"/>
      <c r="BJ420" s="35"/>
      <c r="BK420" s="35"/>
      <c r="BL420" s="35"/>
      <c r="BM420" s="35"/>
      <c r="BN420" s="35"/>
      <c r="BO420" s="78"/>
    </row>
    <row r="421" spans="1:67" s="20" customFormat="1" ht="16.5" thickBot="1" x14ac:dyDescent="0.3">
      <c r="A421" s="520">
        <f>IFERROR(VLOOKUP($G$5,'רשימת רשויות'!A:C,3,0),0)</f>
        <v>0</v>
      </c>
      <c r="B421" s="520">
        <f t="shared" si="54"/>
        <v>0</v>
      </c>
      <c r="C421" s="39"/>
      <c r="D421" s="1134"/>
      <c r="E421" s="1137"/>
      <c r="F421" s="583" t="s">
        <v>145</v>
      </c>
      <c r="G421" s="516" t="str">
        <f>IFERROR(IF((G423+G424)=0,"",IF(VLOOKUP(G420,'דוח ביצוע (3)'!$B$21:$K$900,5,0)&gt;149,"גדול",IF(AND(VLOOKUP(G420,'דוח ביצוע (3)'!$B$21:$K$900,5,0)&gt;0,VLOOKUP(G420,'דוח ביצוע (3)'!$B$21:$K$900,5,0)&lt;150),"קטן",0))),"")</f>
        <v/>
      </c>
      <c r="H421" s="723" t="s">
        <v>88</v>
      </c>
      <c r="I421" s="723" t="s">
        <v>13</v>
      </c>
      <c r="J421" s="725" t="s">
        <v>14</v>
      </c>
      <c r="K421" s="724" t="s">
        <v>94</v>
      </c>
      <c r="L421" s="594"/>
      <c r="M421" s="420" t="s">
        <v>2584</v>
      </c>
      <c r="N421" s="397" t="s">
        <v>413</v>
      </c>
      <c r="O421" s="398" t="s">
        <v>52</v>
      </c>
      <c r="P421" s="595"/>
      <c r="Q421" s="595"/>
      <c r="R421" s="596"/>
      <c r="S421" s="610"/>
      <c r="T421" s="881"/>
      <c r="U421" s="598"/>
      <c r="V421" s="599"/>
      <c r="W421" s="599"/>
      <c r="X421" s="599"/>
      <c r="Y421" s="879"/>
      <c r="Z421" s="85"/>
      <c r="AC421" s="493"/>
      <c r="AD421" s="495"/>
      <c r="AO421" s="22"/>
      <c r="AP421" s="22"/>
      <c r="AQ421" s="22"/>
      <c r="AR421" s="22"/>
      <c r="AS421" s="22"/>
      <c r="AT421" s="22"/>
      <c r="AU421" s="35"/>
      <c r="AV421" s="35"/>
      <c r="AW421" s="35"/>
      <c r="AX421" s="35"/>
      <c r="AY421" s="35"/>
      <c r="AZ421" s="35"/>
      <c r="BA421" s="35"/>
      <c r="BB421" s="35"/>
      <c r="BC421" s="35"/>
      <c r="BD421" s="35"/>
      <c r="BE421" s="35"/>
      <c r="BF421" s="35"/>
      <c r="BG421" s="35"/>
      <c r="BH421" s="35"/>
      <c r="BI421" s="35"/>
      <c r="BJ421" s="35"/>
      <c r="BK421" s="35"/>
      <c r="BL421" s="35"/>
      <c r="BM421" s="35"/>
      <c r="BN421" s="35"/>
      <c r="BO421" s="78"/>
    </row>
    <row r="422" spans="1:67" s="20" customFormat="1" ht="15.75" customHeight="1" thickBot="1" x14ac:dyDescent="0.3">
      <c r="A422" s="520">
        <f>IFERROR(VLOOKUP($G$5,'רשימת רשויות'!A:C,3,0),0)</f>
        <v>0</v>
      </c>
      <c r="B422" s="520">
        <f t="shared" si="54"/>
        <v>0</v>
      </c>
      <c r="C422" s="39"/>
      <c r="D422" s="1134"/>
      <c r="E422" s="1137"/>
      <c r="F422" s="584" t="s">
        <v>144</v>
      </c>
      <c r="G422" s="87">
        <f>IF(G425="תקין",IFERROR(VLOOKUP($G420,'דוח ביצוע (3)'!$B$21:$Q$900,12,0),0),0)</f>
        <v>0</v>
      </c>
      <c r="H422" s="88">
        <f>IFERROR(G423*$AH$6+G424*$AH$7,0)</f>
        <v>0</v>
      </c>
      <c r="I422" s="88">
        <f>IFERROR(G423*$AI$6+G424*$AI$7,0)</f>
        <v>0</v>
      </c>
      <c r="J422" s="88">
        <f>IFERROR(G423*$AJ$6+G424*$AJ$7,0)</f>
        <v>0</v>
      </c>
      <c r="K422" s="88">
        <f>IFERROR(G423*$AK$6+G424*$AK$7,0)</f>
        <v>0</v>
      </c>
      <c r="L422" s="405"/>
      <c r="M422" s="399" t="s">
        <v>427</v>
      </c>
      <c r="N422" s="400" t="str">
        <f>IFERROR(VLOOKUP($G420,'דוח ביצוע (3)'!$B:$AE,28,0),"")</f>
        <v/>
      </c>
      <c r="O422" s="89" t="str">
        <f>IFERROR(VLOOKUP($G420,'דוח ביצוע (3)'!B:AE,29,0),"")</f>
        <v/>
      </c>
      <c r="P422" s="595"/>
      <c r="Q422" s="595"/>
      <c r="R422" s="596"/>
      <c r="S422" s="610"/>
      <c r="T422" s="881"/>
      <c r="U422" s="598"/>
      <c r="V422" s="599"/>
      <c r="W422" s="599"/>
      <c r="X422" s="599"/>
      <c r="Y422" s="879"/>
      <c r="Z422" s="85"/>
      <c r="AC422" s="493"/>
      <c r="AD422" s="495"/>
      <c r="AO422" s="22"/>
      <c r="AP422" s="22"/>
      <c r="AQ422" s="22"/>
      <c r="AR422" s="22"/>
      <c r="AS422" s="22"/>
      <c r="AT422" s="22"/>
      <c r="AU422" s="35"/>
      <c r="AV422" s="35"/>
      <c r="AW422" s="35"/>
      <c r="AX422" s="35"/>
      <c r="AY422" s="35"/>
      <c r="AZ422" s="35"/>
      <c r="BA422" s="35"/>
      <c r="BB422" s="35"/>
      <c r="BC422" s="35"/>
      <c r="BD422" s="35"/>
      <c r="BE422" s="35"/>
      <c r="BF422" s="35"/>
      <c r="BG422" s="35"/>
      <c r="BH422" s="35"/>
      <c r="BI422" s="35"/>
      <c r="BJ422" s="35"/>
      <c r="BK422" s="35"/>
      <c r="BL422" s="35"/>
      <c r="BM422" s="35"/>
      <c r="BN422" s="35"/>
      <c r="BO422" s="78"/>
    </row>
    <row r="423" spans="1:67" s="20" customFormat="1" ht="32.25" thickBot="1" x14ac:dyDescent="0.3">
      <c r="A423" s="520">
        <f>IFERROR(VLOOKUP($G$5,'רשימת רשויות'!A:C,3,0),0)</f>
        <v>0</v>
      </c>
      <c r="B423" s="520">
        <f t="shared" si="54"/>
        <v>0</v>
      </c>
      <c r="C423" s="39"/>
      <c r="D423" s="1134"/>
      <c r="E423" s="1137"/>
      <c r="F423" s="585" t="s">
        <v>2195</v>
      </c>
      <c r="G423" s="89">
        <f>IF(G425="תקין",MAX(N425,0),0)</f>
        <v>0</v>
      </c>
      <c r="H423" s="725" t="s">
        <v>151</v>
      </c>
      <c r="I423" s="725" t="s">
        <v>91</v>
      </c>
      <c r="J423" s="970" t="s">
        <v>3396</v>
      </c>
      <c r="K423" s="601"/>
      <c r="L423" s="601"/>
      <c r="M423" s="983" t="s">
        <v>2585</v>
      </c>
      <c r="N423" s="400" t="str">
        <f>IFERROR(G422/15*N422*1.25,"")</f>
        <v/>
      </c>
      <c r="O423" s="89" t="str">
        <f>IFERROR(G422/15*O422*1.25,"")</f>
        <v/>
      </c>
      <c r="P423" s="595"/>
      <c r="Q423" s="595"/>
      <c r="R423" s="596"/>
      <c r="S423" s="610"/>
      <c r="T423" s="881"/>
      <c r="U423" s="598"/>
      <c r="V423" s="599"/>
      <c r="W423" s="599"/>
      <c r="X423" s="599"/>
      <c r="Y423" s="879"/>
      <c r="Z423" s="85"/>
      <c r="AC423" s="493"/>
      <c r="AD423" s="495"/>
      <c r="AG423" s="22"/>
      <c r="AH423" s="55"/>
      <c r="AI423" s="55"/>
      <c r="AJ423" s="55"/>
      <c r="AK423" s="55"/>
      <c r="AO423" s="22"/>
      <c r="AP423" s="22"/>
      <c r="AQ423" s="22"/>
      <c r="AR423" s="22"/>
      <c r="AS423" s="22"/>
      <c r="AT423" s="22"/>
      <c r="AU423" s="35"/>
      <c r="AV423" s="35"/>
      <c r="AW423" s="35"/>
      <c r="AX423" s="35"/>
      <c r="AY423" s="35"/>
      <c r="AZ423" s="35"/>
      <c r="BA423" s="35"/>
      <c r="BB423" s="35"/>
      <c r="BC423" s="35"/>
      <c r="BD423" s="35"/>
      <c r="BE423" s="35"/>
      <c r="BF423" s="35"/>
      <c r="BG423" s="35"/>
      <c r="BH423" s="35"/>
      <c r="BI423" s="35"/>
      <c r="BJ423" s="35"/>
      <c r="BK423" s="35"/>
      <c r="BL423" s="35"/>
      <c r="BM423" s="35"/>
      <c r="BN423" s="35"/>
      <c r="BO423" s="86"/>
    </row>
    <row r="424" spans="1:67" s="20" customFormat="1" ht="16.5" thickBot="1" x14ac:dyDescent="0.3">
      <c r="A424" s="520">
        <f>IFERROR(VLOOKUP($G$5,'רשימת רשויות'!A:C,3,0),0)</f>
        <v>0</v>
      </c>
      <c r="B424" s="520">
        <f t="shared" si="54"/>
        <v>0</v>
      </c>
      <c r="C424" s="39"/>
      <c r="D424" s="1134"/>
      <c r="E424" s="1137"/>
      <c r="F424" s="585" t="s">
        <v>2196</v>
      </c>
      <c r="G424" s="89">
        <f>IF(G425="תקין",MAX(O425,0),0)</f>
        <v>0</v>
      </c>
      <c r="H424" s="88">
        <f>(IFERROR(IF((G423+G424)=0,0,IF(G421="קטן",G422*$AH$10,G422*$AH$11)),0))+(IFERROR(IF((G423+G424)=0,0,VLOOKUP(G420,'דוח ביצוע (3)'!$B:$AH,33,0)),0))</f>
        <v>0</v>
      </c>
      <c r="I424" s="88">
        <f>IFERROR(IF((G423+G424)=0,0,IF(G421="קטן",G422*$AI$10,G422*$AI$11)),0)</f>
        <v>0</v>
      </c>
      <c r="J424" s="88">
        <f>IFERROR(IF((G423+G424)=0,0,VLOOKUP(G420,'דוח ביצוע (3)'!$B:$AH,32,0)),0)</f>
        <v>0</v>
      </c>
      <c r="K424" s="90"/>
      <c r="L424" s="90"/>
      <c r="M424" s="399" t="s">
        <v>412</v>
      </c>
      <c r="N424" s="400">
        <f>IFERROR(VLOOKUP($G420,'דוח ביצוע (3)'!$B$21:$U$500,18,0),0)</f>
        <v>0</v>
      </c>
      <c r="O424" s="401">
        <f>IFERROR(VLOOKUP($G420,'דוח ביצוע (3)'!$B$21:$U$500,19,0),0)</f>
        <v>0</v>
      </c>
      <c r="P424" s="595"/>
      <c r="Q424" s="595"/>
      <c r="R424" s="596"/>
      <c r="S424" s="610"/>
      <c r="T424" s="881"/>
      <c r="U424" s="598"/>
      <c r="V424" s="599"/>
      <c r="W424" s="599"/>
      <c r="X424" s="599"/>
      <c r="Y424" s="879"/>
      <c r="Z424" s="85"/>
      <c r="AC424" s="493"/>
      <c r="AD424" s="495"/>
      <c r="AG424" s="22"/>
      <c r="AH424" s="55"/>
      <c r="AI424" s="55"/>
      <c r="AJ424" s="55"/>
      <c r="AK424" s="55"/>
      <c r="AO424" s="22"/>
      <c r="AP424" s="22"/>
      <c r="AQ424" s="22"/>
      <c r="AR424" s="22"/>
      <c r="AS424" s="22"/>
      <c r="AT424" s="22"/>
      <c r="AU424" s="35"/>
      <c r="AV424" s="35"/>
      <c r="AW424" s="35"/>
      <c r="AX424" s="35"/>
      <c r="AY424" s="35"/>
      <c r="AZ424" s="35"/>
      <c r="BA424" s="35"/>
      <c r="BB424" s="35"/>
      <c r="BC424" s="35"/>
      <c r="BD424" s="35"/>
      <c r="BE424" s="35"/>
      <c r="BF424" s="35"/>
      <c r="BG424" s="35"/>
      <c r="BH424" s="35"/>
      <c r="BI424" s="35"/>
      <c r="BJ424" s="35"/>
      <c r="BK424" s="35"/>
      <c r="BL424" s="35"/>
      <c r="BM424" s="35"/>
      <c r="BN424" s="35"/>
      <c r="BO424" s="86"/>
    </row>
    <row r="425" spans="1:67" s="20" customFormat="1" ht="16.5" thickBot="1" x14ac:dyDescent="0.3">
      <c r="A425" s="520">
        <f>IFERROR(VLOOKUP($G$5,'רשימת רשויות'!A:C,3,0),0)</f>
        <v>0</v>
      </c>
      <c r="B425" s="520">
        <f t="shared" si="54"/>
        <v>0</v>
      </c>
      <c r="C425" s="39"/>
      <c r="D425" s="1134"/>
      <c r="E425" s="1137"/>
      <c r="F425" s="586" t="s">
        <v>2355</v>
      </c>
      <c r="G425" s="514">
        <f>IFERROR(IF(VLOOKUP('בית ספר - תקצוב לפי מוסד (9)'!G420,' איוש משרות (8)'!$C:$K,9,0)="תקין","תקין","לא תקין"),0)</f>
        <v>0</v>
      </c>
      <c r="H425" s="91"/>
      <c r="I425" s="91"/>
      <c r="J425" s="91"/>
      <c r="K425" s="90"/>
      <c r="L425" s="90"/>
      <c r="M425" s="402" t="s">
        <v>2586</v>
      </c>
      <c r="N425" s="403">
        <f>IFERROR(MIN(N423,N424),0)</f>
        <v>0</v>
      </c>
      <c r="O425" s="404">
        <f>IFERROR(MIN(O423,O424),0)</f>
        <v>0</v>
      </c>
      <c r="P425" s="595"/>
      <c r="Q425" s="595"/>
      <c r="R425" s="596"/>
      <c r="S425" s="610"/>
      <c r="T425" s="881"/>
      <c r="U425" s="598"/>
      <c r="V425" s="599"/>
      <c r="W425" s="599"/>
      <c r="X425" s="599"/>
      <c r="Y425" s="879"/>
      <c r="Z425" s="85"/>
      <c r="AC425" s="493"/>
      <c r="AD425" s="495"/>
      <c r="AG425" s="94"/>
      <c r="AH425" s="40"/>
      <c r="AI425" s="40"/>
      <c r="AJ425" s="40"/>
      <c r="AK425" s="40"/>
      <c r="AO425" s="22"/>
      <c r="AP425" s="22"/>
      <c r="AQ425" s="22"/>
      <c r="AR425" s="22"/>
      <c r="AS425" s="22"/>
      <c r="AT425" s="22"/>
      <c r="AU425" s="35"/>
      <c r="AV425" s="35"/>
      <c r="AW425" s="35"/>
      <c r="AX425" s="35"/>
      <c r="AY425" s="35"/>
      <c r="AZ425" s="35"/>
      <c r="BA425" s="35"/>
      <c r="BB425" s="35"/>
      <c r="BC425" s="35"/>
      <c r="BD425" s="35"/>
      <c r="BE425" s="35"/>
      <c r="BF425" s="35"/>
      <c r="BG425" s="35"/>
      <c r="BH425" s="35"/>
      <c r="BI425" s="35"/>
      <c r="BJ425" s="35"/>
      <c r="BK425" s="35"/>
      <c r="BL425" s="35"/>
      <c r="BM425" s="35"/>
      <c r="BN425" s="35"/>
      <c r="BO425" s="86"/>
    </row>
    <row r="426" spans="1:67" s="55" customFormat="1" ht="37.15" customHeight="1" thickBot="1" x14ac:dyDescent="0.3">
      <c r="A426" s="520">
        <f>IFERROR(VLOOKUP($G$5,'רשימת רשויות'!A:C,3,0),0)</f>
        <v>0</v>
      </c>
      <c r="B426" s="520">
        <f t="shared" si="54"/>
        <v>0</v>
      </c>
      <c r="C426" s="39"/>
      <c r="D426" s="1134"/>
      <c r="E426" s="1137"/>
      <c r="F426" s="587" t="s">
        <v>142</v>
      </c>
      <c r="G426" s="92"/>
      <c r="H426" s="92"/>
      <c r="I426" s="92"/>
      <c r="J426" s="92"/>
      <c r="K426" s="602"/>
      <c r="L426" s="602"/>
      <c r="M426" s="602"/>
      <c r="N426" s="602"/>
      <c r="O426" s="602"/>
      <c r="P426" s="595"/>
      <c r="Q426" s="595"/>
      <c r="R426" s="596"/>
      <c r="S426" s="610"/>
      <c r="T426" s="881"/>
      <c r="U426" s="598"/>
      <c r="V426" s="599"/>
      <c r="W426" s="599"/>
      <c r="X426" s="599"/>
      <c r="Y426" s="879"/>
      <c r="Z426" s="93"/>
      <c r="AC426" s="493"/>
      <c r="AD426" s="495"/>
      <c r="AF426" s="22"/>
      <c r="AG426" s="98"/>
      <c r="AH426" s="98"/>
      <c r="AI426" s="40"/>
      <c r="AJ426" s="40"/>
      <c r="AK426" s="40"/>
      <c r="AO426" s="22"/>
      <c r="AP426" s="22"/>
      <c r="AQ426" s="22"/>
      <c r="AR426" s="22"/>
      <c r="AS426" s="22"/>
      <c r="AT426" s="22"/>
      <c r="AU426" s="35"/>
      <c r="AV426" s="35"/>
      <c r="AW426" s="35"/>
      <c r="AX426" s="35"/>
      <c r="AY426" s="35"/>
      <c r="AZ426" s="35"/>
      <c r="BA426" s="35"/>
      <c r="BB426" s="35"/>
      <c r="BC426" s="35"/>
      <c r="BD426" s="35"/>
      <c r="BE426" s="35"/>
      <c r="BF426" s="35"/>
      <c r="BG426" s="35"/>
      <c r="BH426" s="35"/>
      <c r="BI426" s="35"/>
      <c r="BJ426" s="35"/>
      <c r="BK426" s="35"/>
      <c r="BL426" s="35"/>
      <c r="BM426" s="35"/>
      <c r="BN426" s="35"/>
      <c r="BO426" s="86"/>
    </row>
    <row r="427" spans="1:67" s="40" customFormat="1" ht="31.5" x14ac:dyDescent="0.25">
      <c r="A427" s="520">
        <f>IFERROR(VLOOKUP($G$5,'רשימת רשויות'!A:C,3,0),0)</f>
        <v>0</v>
      </c>
      <c r="B427" s="520">
        <f t="shared" si="54"/>
        <v>0</v>
      </c>
      <c r="C427" s="39"/>
      <c r="D427" s="1134"/>
      <c r="E427" s="1137"/>
      <c r="F427" s="588" t="s">
        <v>94</v>
      </c>
      <c r="G427" s="95" t="s">
        <v>18</v>
      </c>
      <c r="H427" s="95" t="s">
        <v>19</v>
      </c>
      <c r="I427" s="95" t="s">
        <v>138</v>
      </c>
      <c r="J427" s="96" t="s">
        <v>139</v>
      </c>
      <c r="K427" s="603"/>
      <c r="L427" s="603"/>
      <c r="M427" s="603"/>
      <c r="N427" s="603"/>
      <c r="O427" s="603"/>
      <c r="P427" s="604"/>
      <c r="Q427" s="604"/>
      <c r="R427" s="596"/>
      <c r="S427" s="610"/>
      <c r="T427" s="881"/>
      <c r="U427" s="598"/>
      <c r="V427" s="599"/>
      <c r="W427" s="599"/>
      <c r="X427" s="599"/>
      <c r="Y427" s="879"/>
      <c r="Z427" s="97"/>
      <c r="AA427" s="94"/>
      <c r="AB427" s="94"/>
      <c r="AC427" s="493"/>
      <c r="AD427" s="495"/>
      <c r="AE427" s="94"/>
      <c r="AG427" s="98"/>
      <c r="AH427" s="98"/>
      <c r="AO427" s="22"/>
      <c r="AP427" s="22"/>
      <c r="AQ427" s="22"/>
      <c r="AR427" s="22"/>
      <c r="AS427" s="22"/>
      <c r="AT427" s="22"/>
      <c r="AU427" s="35"/>
      <c r="AV427" s="35"/>
      <c r="AW427" s="35"/>
      <c r="AX427" s="35"/>
      <c r="AY427" s="35"/>
      <c r="AZ427" s="35"/>
      <c r="BA427" s="35"/>
      <c r="BB427" s="35"/>
      <c r="BC427" s="35"/>
      <c r="BD427" s="35"/>
      <c r="BE427" s="35"/>
      <c r="BF427" s="35"/>
      <c r="BG427" s="35"/>
      <c r="BH427" s="35"/>
      <c r="BI427" s="35"/>
      <c r="BJ427" s="35"/>
      <c r="BK427" s="35"/>
      <c r="BL427" s="35"/>
      <c r="BM427" s="35"/>
      <c r="BN427" s="35"/>
      <c r="BO427" s="86"/>
    </row>
    <row r="428" spans="1:67" s="40" customFormat="1" ht="15.75" customHeight="1" thickBot="1" x14ac:dyDescent="0.3">
      <c r="A428" s="520">
        <f>IFERROR(VLOOKUP($G$5,'רשימת רשויות'!A:C,3,0),0)</f>
        <v>0</v>
      </c>
      <c r="B428" s="520">
        <f t="shared" si="54"/>
        <v>0</v>
      </c>
      <c r="C428" s="39"/>
      <c r="D428" s="1134"/>
      <c r="E428" s="1137"/>
      <c r="F428" s="589" t="s">
        <v>2280</v>
      </c>
      <c r="G428" s="99">
        <f>+G439</f>
        <v>0</v>
      </c>
      <c r="H428" s="100">
        <f>K422</f>
        <v>0</v>
      </c>
      <c r="I428" s="100">
        <f>H428-I430</f>
        <v>0</v>
      </c>
      <c r="J428" s="101">
        <f>IFERROR(I428/H428,0)</f>
        <v>0</v>
      </c>
      <c r="K428" s="603"/>
      <c r="L428" s="603"/>
      <c r="M428" s="603"/>
      <c r="N428" s="603"/>
      <c r="O428" s="603"/>
      <c r="P428" s="605"/>
      <c r="Q428" s="604"/>
      <c r="R428" s="606" t="s">
        <v>157</v>
      </c>
      <c r="S428" s="611"/>
      <c r="T428" s="881"/>
      <c r="U428" s="598"/>
      <c r="V428" s="599"/>
      <c r="W428" s="599"/>
      <c r="X428" s="599"/>
      <c r="Y428" s="879"/>
      <c r="Z428" s="102"/>
      <c r="AA428" s="122"/>
      <c r="AB428" s="122"/>
      <c r="AC428" s="493"/>
      <c r="AD428" s="495"/>
      <c r="AE428" s="122"/>
      <c r="AF428" s="22"/>
      <c r="AG428" s="98"/>
      <c r="AH428" s="98"/>
      <c r="AI428" s="20"/>
      <c r="AO428" s="22"/>
      <c r="AP428" s="22"/>
      <c r="AQ428" s="22"/>
      <c r="AR428" s="22"/>
      <c r="AS428" s="22"/>
      <c r="AT428" s="22"/>
      <c r="AU428" s="35"/>
      <c r="AV428" s="35"/>
      <c r="AW428" s="35"/>
      <c r="AX428" s="35"/>
      <c r="AY428" s="35"/>
      <c r="AZ428" s="35"/>
      <c r="BA428" s="35"/>
      <c r="BB428" s="35"/>
      <c r="BC428" s="35"/>
      <c r="BD428" s="35"/>
      <c r="BE428" s="35"/>
      <c r="BF428" s="35"/>
      <c r="BG428" s="35"/>
      <c r="BH428" s="35"/>
      <c r="BI428" s="35"/>
      <c r="BJ428" s="35"/>
      <c r="BK428" s="35"/>
      <c r="BL428" s="35"/>
      <c r="BM428" s="35"/>
      <c r="BN428" s="35"/>
      <c r="BO428" s="86"/>
    </row>
    <row r="429" spans="1:67" s="40" customFormat="1" ht="15.75" customHeight="1" thickBot="1" x14ac:dyDescent="0.3">
      <c r="A429" s="520">
        <f>IFERROR(VLOOKUP($G$5,'רשימת רשויות'!A:C,3,0),0)</f>
        <v>0</v>
      </c>
      <c r="B429" s="520">
        <f t="shared" si="54"/>
        <v>0</v>
      </c>
      <c r="C429" s="39"/>
      <c r="D429" s="1134"/>
      <c r="E429" s="1137"/>
      <c r="F429" s="589" t="s">
        <v>2281</v>
      </c>
      <c r="G429" s="99">
        <f>+G438</f>
        <v>0</v>
      </c>
      <c r="H429" s="103"/>
      <c r="I429" s="104"/>
      <c r="J429" s="105"/>
      <c r="K429" s="603"/>
      <c r="L429" s="603"/>
      <c r="M429" s="603"/>
      <c r="N429" s="603"/>
      <c r="O429" s="603"/>
      <c r="P429" s="605"/>
      <c r="Q429" s="604"/>
      <c r="R429" s="473">
        <f>I430-R431</f>
        <v>0</v>
      </c>
      <c r="S429" s="611"/>
      <c r="T429" s="881"/>
      <c r="U429" s="598"/>
      <c r="V429" s="599"/>
      <c r="W429" s="599"/>
      <c r="X429" s="599"/>
      <c r="Y429" s="879"/>
      <c r="Z429" s="106"/>
      <c r="AA429" s="22"/>
      <c r="AB429" s="22"/>
      <c r="AC429" s="493"/>
      <c r="AD429" s="495"/>
      <c r="AE429" s="22"/>
      <c r="AF429" s="22"/>
      <c r="AG429" s="98"/>
      <c r="AH429" s="98"/>
      <c r="AI429" s="20"/>
      <c r="AO429" s="22"/>
      <c r="AP429" s="22"/>
      <c r="AQ429" s="22"/>
      <c r="AR429" s="22"/>
      <c r="AS429" s="22"/>
      <c r="AT429" s="22"/>
      <c r="AU429" s="35"/>
      <c r="AV429" s="35"/>
      <c r="AW429" s="35"/>
      <c r="AX429" s="35"/>
      <c r="AY429" s="35"/>
      <c r="AZ429" s="35"/>
      <c r="BA429" s="35"/>
      <c r="BB429" s="35"/>
      <c r="BC429" s="35"/>
      <c r="BD429" s="35"/>
      <c r="BE429" s="35"/>
      <c r="BF429" s="35"/>
      <c r="BG429" s="35"/>
      <c r="BH429" s="35"/>
      <c r="BI429" s="35"/>
      <c r="BJ429" s="35"/>
      <c r="BK429" s="35"/>
      <c r="BL429" s="35"/>
      <c r="BM429" s="35"/>
      <c r="BN429" s="35"/>
      <c r="BO429" s="86"/>
    </row>
    <row r="430" spans="1:67" s="40" customFormat="1" ht="16.5" customHeight="1" thickBot="1" x14ac:dyDescent="0.3">
      <c r="A430" s="520">
        <f>IFERROR(VLOOKUP($G$5,'רשימת רשויות'!A:C,3,0),0)</f>
        <v>0</v>
      </c>
      <c r="B430" s="520">
        <f t="shared" si="54"/>
        <v>0</v>
      </c>
      <c r="C430" s="39"/>
      <c r="D430" s="1134"/>
      <c r="E430" s="1137"/>
      <c r="F430" s="589" t="s">
        <v>2282</v>
      </c>
      <c r="G430" s="99">
        <f>G434+G435+G436</f>
        <v>0</v>
      </c>
      <c r="H430" s="104"/>
      <c r="I430" s="107">
        <f>MAX(H428-G428-G429,0)</f>
        <v>0</v>
      </c>
      <c r="J430" s="108">
        <f>IFERROR(I430/H428,0)</f>
        <v>0</v>
      </c>
      <c r="K430" s="603"/>
      <c r="L430" s="603"/>
      <c r="M430" s="603"/>
      <c r="N430" s="603"/>
      <c r="O430" s="603"/>
      <c r="P430" s="604"/>
      <c r="Q430" s="604"/>
      <c r="R430" s="606" t="s">
        <v>158</v>
      </c>
      <c r="S430" s="612"/>
      <c r="T430" s="881"/>
      <c r="U430" s="598"/>
      <c r="V430" s="599"/>
      <c r="W430" s="599"/>
      <c r="X430" s="599"/>
      <c r="Y430" s="879"/>
      <c r="Z430" s="106"/>
      <c r="AA430" s="22"/>
      <c r="AB430" s="22"/>
      <c r="AC430" s="493"/>
      <c r="AD430" s="495"/>
      <c r="AE430" s="22"/>
      <c r="AF430" s="22"/>
      <c r="AG430" s="22"/>
      <c r="AH430" s="22"/>
      <c r="AI430" s="55"/>
      <c r="AJ430" s="22"/>
      <c r="AK430" s="22"/>
      <c r="AO430" s="22"/>
      <c r="AP430" s="22"/>
      <c r="AQ430" s="22"/>
      <c r="AR430" s="22"/>
      <c r="AS430" s="22"/>
      <c r="AT430" s="22"/>
      <c r="AU430" s="35"/>
      <c r="AV430" s="35"/>
      <c r="AW430" s="35"/>
      <c r="AX430" s="35"/>
      <c r="AY430" s="35"/>
      <c r="AZ430" s="35"/>
      <c r="BA430" s="35"/>
      <c r="BB430" s="35"/>
      <c r="BC430" s="35"/>
      <c r="BD430" s="35"/>
      <c r="BE430" s="35"/>
      <c r="BF430" s="35"/>
      <c r="BG430" s="35"/>
      <c r="BH430" s="35"/>
      <c r="BI430" s="35"/>
      <c r="BJ430" s="35"/>
      <c r="BK430" s="35"/>
      <c r="BL430" s="35"/>
      <c r="BM430" s="35"/>
      <c r="BN430" s="35"/>
      <c r="BO430" s="86"/>
    </row>
    <row r="431" spans="1:67" s="40" customFormat="1" ht="15.75" customHeight="1" thickBot="1" x14ac:dyDescent="0.3">
      <c r="A431" s="520">
        <f>IFERROR(VLOOKUP($G$5,'רשימת רשויות'!A:C,3,0),0)</f>
        <v>0</v>
      </c>
      <c r="B431" s="520">
        <f t="shared" si="54"/>
        <v>0</v>
      </c>
      <c r="C431" s="39"/>
      <c r="D431" s="1134"/>
      <c r="E431" s="1137"/>
      <c r="F431" s="590" t="s">
        <v>2290</v>
      </c>
      <c r="G431" s="109"/>
      <c r="H431" s="110"/>
      <c r="I431" s="111">
        <f>SUM(I428:I430)</f>
        <v>0</v>
      </c>
      <c r="J431" s="112">
        <f>SUM(J428:J430)</f>
        <v>0</v>
      </c>
      <c r="K431" s="603"/>
      <c r="L431" s="603"/>
      <c r="M431" s="603"/>
      <c r="N431" s="603"/>
      <c r="O431" s="603"/>
      <c r="P431" s="604"/>
      <c r="Q431" s="604"/>
      <c r="R431" s="473">
        <f>MIN(MAX(G435+G436-I424-J424,0),I430)</f>
        <v>0</v>
      </c>
      <c r="S431" s="612"/>
      <c r="T431" s="881"/>
      <c r="U431" s="598"/>
      <c r="V431" s="599"/>
      <c r="W431" s="599"/>
      <c r="X431" s="599"/>
      <c r="Y431" s="879"/>
      <c r="Z431" s="106"/>
      <c r="AA431" s="22"/>
      <c r="AB431" s="22"/>
      <c r="AC431" s="493"/>
      <c r="AD431" s="495"/>
      <c r="AE431" s="22"/>
      <c r="AF431" s="22"/>
      <c r="AG431" s="22"/>
      <c r="AH431" s="22"/>
      <c r="AJ431" s="22"/>
      <c r="AK431" s="22"/>
      <c r="AO431" s="22"/>
      <c r="AP431" s="22"/>
      <c r="AQ431" s="22"/>
      <c r="AR431" s="22"/>
      <c r="AS431" s="22"/>
      <c r="AT431" s="22"/>
      <c r="AU431" s="35"/>
      <c r="AV431" s="35"/>
      <c r="AW431" s="35"/>
      <c r="AX431" s="35"/>
      <c r="AY431" s="35"/>
      <c r="AZ431" s="35"/>
      <c r="BA431" s="35"/>
      <c r="BB431" s="35"/>
      <c r="BC431" s="35"/>
      <c r="BD431" s="35"/>
      <c r="BE431" s="35"/>
      <c r="BF431" s="35"/>
      <c r="BG431" s="35"/>
      <c r="BH431" s="35"/>
      <c r="BI431" s="35"/>
      <c r="BJ431" s="35"/>
      <c r="BK431" s="35"/>
      <c r="BL431" s="35"/>
      <c r="BM431" s="35"/>
      <c r="BN431" s="35"/>
      <c r="BO431" s="86"/>
    </row>
    <row r="432" spans="1:67" ht="16.5" thickBot="1" x14ac:dyDescent="0.3">
      <c r="A432" s="520">
        <f>IFERROR(VLOOKUP($G$5,'רשימת רשויות'!A:C,3,0),0)</f>
        <v>0</v>
      </c>
      <c r="B432" s="520">
        <f t="shared" si="54"/>
        <v>0</v>
      </c>
      <c r="D432" s="1134"/>
      <c r="E432" s="1137"/>
      <c r="F432" s="587" t="s">
        <v>17</v>
      </c>
      <c r="G432" s="113"/>
      <c r="H432" s="92"/>
      <c r="I432" s="114"/>
      <c r="J432" s="115"/>
      <c r="K432" s="116"/>
      <c r="L432" s="406"/>
      <c r="M432" s="116"/>
      <c r="N432" s="116"/>
      <c r="O432" s="116"/>
      <c r="P432" s="474"/>
      <c r="Q432" s="607"/>
      <c r="R432" s="608"/>
      <c r="S432" s="612"/>
      <c r="T432" s="881"/>
      <c r="U432" s="598"/>
      <c r="V432" s="599"/>
      <c r="W432" s="599"/>
      <c r="X432" s="599"/>
      <c r="Y432" s="879"/>
      <c r="Z432" s="106"/>
      <c r="AI432" s="40"/>
      <c r="BO432" s="86"/>
    </row>
    <row r="433" spans="1:67" ht="47.25" x14ac:dyDescent="0.25">
      <c r="A433" s="520">
        <f>IFERROR(VLOOKUP($G$5,'רשימת רשויות'!A:C,3,0),0)</f>
        <v>0</v>
      </c>
      <c r="B433" s="520">
        <f t="shared" si="54"/>
        <v>0</v>
      </c>
      <c r="D433" s="1134"/>
      <c r="E433" s="1137"/>
      <c r="F433" s="588" t="s">
        <v>2</v>
      </c>
      <c r="G433" s="95" t="s">
        <v>18</v>
      </c>
      <c r="H433" s="95" t="s">
        <v>19</v>
      </c>
      <c r="I433" s="95" t="s">
        <v>20</v>
      </c>
      <c r="J433" s="95" t="s">
        <v>22</v>
      </c>
      <c r="K433" s="96" t="s">
        <v>2314</v>
      </c>
      <c r="L433" s="609"/>
      <c r="M433" s="609"/>
      <c r="N433" s="609"/>
      <c r="O433" s="580"/>
      <c r="P433" s="618" t="s">
        <v>2298</v>
      </c>
      <c r="Q433" s="618" t="s">
        <v>2299</v>
      </c>
      <c r="R433" s="596"/>
      <c r="S433" s="890" t="s">
        <v>2519</v>
      </c>
      <c r="T433" s="890" t="s">
        <v>97</v>
      </c>
      <c r="U433" s="891" t="s">
        <v>2521</v>
      </c>
      <c r="V433" s="892" t="s">
        <v>2520</v>
      </c>
      <c r="W433" s="893" t="s">
        <v>2524</v>
      </c>
      <c r="X433" s="892" t="s">
        <v>2522</v>
      </c>
      <c r="Y433" s="894" t="s">
        <v>2523</v>
      </c>
      <c r="Z433" s="106"/>
      <c r="AC433" s="498" t="s">
        <v>2568</v>
      </c>
      <c r="AD433" s="499" t="s">
        <v>2569</v>
      </c>
      <c r="AF433" s="122"/>
      <c r="AI433" s="40"/>
      <c r="BO433" s="86"/>
    </row>
    <row r="434" spans="1:67" ht="15" customHeight="1" thickBot="1" x14ac:dyDescent="0.3">
      <c r="A434" s="520">
        <f>IFERROR(VLOOKUP($G$5,'רשימת רשויות'!A:C,3,0),0)</f>
        <v>0</v>
      </c>
      <c r="B434" s="520">
        <f t="shared" si="54"/>
        <v>0</v>
      </c>
      <c r="D434" s="1134"/>
      <c r="E434" s="1137"/>
      <c r="F434" s="589" t="s">
        <v>76</v>
      </c>
      <c r="G434" s="117">
        <f>IF(G425="תקין",SUMIF('עלויות כח אדם (6)'!$B$15:$B$3014,'בית ספר - תקצוב לפי מוסד (9)'!$G420,'עלויות כח אדם (6)'!$M$15:$M$3014)-VLOOKUP('בית ספר - תקצוב לפי מוסד (9)'!G420,' איוש משרות (8)'!$C:$H,5,0)-VLOOKUP('בית ספר - תקצוב לפי מוסד (9)'!G420,' איוש משרות (8)'!$C:$H,6,0),0)-Y434</f>
        <v>0</v>
      </c>
      <c r="H434" s="118">
        <f>I422+R429</f>
        <v>0</v>
      </c>
      <c r="I434" s="119">
        <f>IFERROR(SUM(G434)/H434,0)</f>
        <v>0</v>
      </c>
      <c r="J434" s="100">
        <f>MIN(I422+R429,IF(ISNUMBER(G434),G434,0))</f>
        <v>0</v>
      </c>
      <c r="K434" s="120">
        <f>MAX(H434-G434,0)</f>
        <v>0</v>
      </c>
      <c r="L434" s="407"/>
      <c r="M434" s="393"/>
      <c r="N434" s="393"/>
      <c r="O434" s="580"/>
      <c r="P434" s="968">
        <f>IFERROR(IF(SUM(G434)/(I422)&lt;100%,MIN((I422)-SUM(G434),(I422)*0.25),0),0)</f>
        <v>0</v>
      </c>
      <c r="Q434" s="968">
        <f>IF(SUM(G434)-(I422+R429)&gt;0,SUM(G434)-(I422+R429),0)</f>
        <v>0</v>
      </c>
      <c r="R434" s="596" t="s">
        <v>2351</v>
      </c>
      <c r="S434" s="576" t="s">
        <v>2342</v>
      </c>
      <c r="T434" s="599">
        <f>G420</f>
        <v>0</v>
      </c>
      <c r="U434" s="578"/>
      <c r="V434" s="579">
        <f>G434+G435+G436</f>
        <v>0</v>
      </c>
      <c r="W434" s="579">
        <f>U434-V434</f>
        <v>0</v>
      </c>
      <c r="X434" s="579">
        <f>IFERROR(W448*W434/(SUM(W434:W447)),0)</f>
        <v>0</v>
      </c>
      <c r="Y434" s="879">
        <f>SUMIFS(בקרה!$S:$S,בקרה!$D:$D,T434,בקרה!$K:$K,S434)</f>
        <v>0</v>
      </c>
      <c r="Z434" s="121"/>
      <c r="AA434" s="143"/>
      <c r="AB434" s="143"/>
      <c r="AC434" s="504">
        <v>0</v>
      </c>
      <c r="AD434" s="505">
        <f>IFERROR(U434-AC434,0)</f>
        <v>0</v>
      </c>
      <c r="AE434" s="143"/>
      <c r="AI434" s="20"/>
      <c r="BO434" s="86"/>
    </row>
    <row r="435" spans="1:67" ht="15" customHeight="1" thickBot="1" x14ac:dyDescent="0.3">
      <c r="A435" s="520">
        <f>IFERROR(VLOOKUP($G$5,'רשימת רשויות'!A:C,3,0),0)</f>
        <v>0</v>
      </c>
      <c r="B435" s="520">
        <f t="shared" si="54"/>
        <v>0</v>
      </c>
      <c r="D435" s="1134"/>
      <c r="E435" s="1137"/>
      <c r="F435" s="589" t="s">
        <v>44</v>
      </c>
      <c r="G435" s="123">
        <f>IF(G425="תקין",IFERROR(VLOOKUP('בית ספר - תקצוב לפי מוסד (9)'!G420,' איוש משרות (8)'!C:J,7,0),0),0)</f>
        <v>0</v>
      </c>
      <c r="H435" s="124">
        <f>I424+R431+J424</f>
        <v>0</v>
      </c>
      <c r="I435" s="119">
        <f>IFERROR(SUM(G435:G436)/H435,0)</f>
        <v>0</v>
      </c>
      <c r="J435" s="100">
        <f>MIN(R431+I424,IF(ISNUMBER(SUM(G435:G436)),SUM(G435:G436),0))</f>
        <v>0</v>
      </c>
      <c r="K435" s="1139">
        <f>MAX((H435)-(G435+G436),0)</f>
        <v>0</v>
      </c>
      <c r="L435" s="407"/>
      <c r="M435" s="393"/>
      <c r="N435" s="393"/>
      <c r="O435" s="580"/>
      <c r="P435" s="1140"/>
      <c r="Q435" s="1140"/>
      <c r="R435" s="617">
        <f>MAX(MIN(P443-Q443,H443*0.15-G441),0)</f>
        <v>0</v>
      </c>
      <c r="S435" s="576"/>
      <c r="T435" s="599">
        <f>G420</f>
        <v>0</v>
      </c>
      <c r="U435" s="578"/>
      <c r="V435" s="579"/>
      <c r="W435" s="579">
        <f t="shared" ref="W435:W447" si="59">U435-V435</f>
        <v>0</v>
      </c>
      <c r="X435" s="579"/>
      <c r="Y435" s="879"/>
      <c r="Z435" s="121"/>
      <c r="AA435" s="143"/>
      <c r="AB435" s="143"/>
      <c r="AC435" s="504"/>
      <c r="AD435" s="505">
        <f t="shared" ref="AD435:AD441" si="60">IFERROR(U435-AC435,0)</f>
        <v>0</v>
      </c>
      <c r="AE435" s="143"/>
      <c r="AI435" s="20"/>
      <c r="BO435" s="86"/>
    </row>
    <row r="436" spans="1:67" ht="15.75" customHeight="1" x14ac:dyDescent="0.25">
      <c r="A436" s="520">
        <f>IFERROR(VLOOKUP($G$5,'רשימת רשויות'!A:C,3,0),0)</f>
        <v>0</v>
      </c>
      <c r="B436" s="520">
        <f t="shared" si="54"/>
        <v>0</v>
      </c>
      <c r="D436" s="1134"/>
      <c r="E436" s="1137"/>
      <c r="F436" s="589" t="s">
        <v>45</v>
      </c>
      <c r="G436" s="123">
        <f>IF(G425="תקין",IFERROR(VLOOKUP('בית ספר - תקצוב לפי מוסד (9)'!G420,' איוש משרות (8)'!C:J,8,0),0),0)</f>
        <v>0</v>
      </c>
      <c r="H436" s="125"/>
      <c r="I436" s="126"/>
      <c r="J436" s="104"/>
      <c r="K436" s="1139"/>
      <c r="L436" s="407"/>
      <c r="M436" s="393"/>
      <c r="N436" s="393"/>
      <c r="O436" s="580"/>
      <c r="P436" s="1140"/>
      <c r="Q436" s="1140"/>
      <c r="R436" s="596"/>
      <c r="S436" s="576"/>
      <c r="T436" s="599">
        <f>G420</f>
        <v>0</v>
      </c>
      <c r="U436" s="578"/>
      <c r="V436" s="579"/>
      <c r="W436" s="579">
        <f t="shared" si="59"/>
        <v>0</v>
      </c>
      <c r="X436" s="579"/>
      <c r="Y436" s="879"/>
      <c r="Z436" s="121"/>
      <c r="AA436" s="143"/>
      <c r="AB436" s="143"/>
      <c r="AC436" s="504"/>
      <c r="AD436" s="505">
        <f t="shared" si="60"/>
        <v>0</v>
      </c>
      <c r="AE436" s="143"/>
      <c r="AG436" s="55"/>
      <c r="AH436" s="55"/>
      <c r="AI436" s="55"/>
      <c r="AJ436" s="55"/>
      <c r="AK436" s="55"/>
      <c r="BO436" s="86"/>
    </row>
    <row r="437" spans="1:67" ht="15.75" customHeight="1" x14ac:dyDescent="0.25">
      <c r="A437" s="520">
        <f>IFERROR(VLOOKUP($G$5,'רשימת רשויות'!A:C,3,0),0)</f>
        <v>0</v>
      </c>
      <c r="B437" s="520">
        <f t="shared" si="54"/>
        <v>0</v>
      </c>
      <c r="D437" s="1134"/>
      <c r="E437" s="1137"/>
      <c r="F437" s="589" t="s">
        <v>0</v>
      </c>
      <c r="G437" s="117">
        <f>IF(G425="תקין",SUMIFS('דוח הוצאות בפועל (4)'!$E$17:$E$3016,'דוח הוצאות בפועל (4)'!$B$17:$B$3016,'בית ספר - תקצוב לפי מוסד (9)'!$G420,'דוח הוצאות בפועל (4)'!$M$17:$M$3016,"הע"),0)-Y437</f>
        <v>0</v>
      </c>
      <c r="H437" s="127">
        <f>J422</f>
        <v>0</v>
      </c>
      <c r="I437" s="128">
        <f>IFERROR(G437/H437,0)</f>
        <v>0</v>
      </c>
      <c r="J437" s="129">
        <f>MIN(IF(ISNUMBER(G437),G437,0),H437)</f>
        <v>0</v>
      </c>
      <c r="K437" s="120">
        <f>MAX(H437-G437,0)</f>
        <v>0</v>
      </c>
      <c r="L437" s="407"/>
      <c r="M437" s="393"/>
      <c r="N437" s="393"/>
      <c r="O437" s="580"/>
      <c r="P437" s="968">
        <f>MAX(IF(I437&lt;100%,MIN((H437-G437),H437*0.25),0),0)</f>
        <v>0</v>
      </c>
      <c r="Q437" s="619">
        <f>IF(G437-H437&gt;0,G437-H437,0)</f>
        <v>0</v>
      </c>
      <c r="R437" s="596"/>
      <c r="S437" s="610" t="s">
        <v>0</v>
      </c>
      <c r="T437" s="599">
        <f>G420</f>
        <v>0</v>
      </c>
      <c r="U437" s="578"/>
      <c r="V437" s="579">
        <f>G437</f>
        <v>0</v>
      </c>
      <c r="W437" s="579">
        <f t="shared" si="59"/>
        <v>0</v>
      </c>
      <c r="X437" s="579">
        <f>IFERROR(W448*W437/(SUM(W434:W447)),0)</f>
        <v>0</v>
      </c>
      <c r="Y437" s="879">
        <f>SUMIFS(בקרה!$S:$S,בקרה!$D:$D,T437,בקרה!$K:$K,S437)</f>
        <v>0</v>
      </c>
      <c r="Z437" s="121"/>
      <c r="AA437" s="143"/>
      <c r="AB437" s="143"/>
      <c r="AC437" s="504">
        <v>0</v>
      </c>
      <c r="AD437" s="505">
        <f t="shared" si="60"/>
        <v>0</v>
      </c>
      <c r="AE437" s="143"/>
      <c r="AG437" s="55"/>
      <c r="AH437" s="55"/>
      <c r="AI437" s="40"/>
      <c r="AJ437" s="55"/>
      <c r="AK437" s="55"/>
      <c r="BO437" s="86"/>
    </row>
    <row r="438" spans="1:67" s="55" customFormat="1" ht="15.75" customHeight="1" x14ac:dyDescent="0.25">
      <c r="A438" s="520">
        <f>IFERROR(VLOOKUP($G$5,'רשימת רשויות'!A:C,3,0),0)</f>
        <v>0</v>
      </c>
      <c r="B438" s="520">
        <f t="shared" si="54"/>
        <v>0</v>
      </c>
      <c r="C438" s="39"/>
      <c r="D438" s="1134"/>
      <c r="E438" s="1137"/>
      <c r="F438" s="589" t="s">
        <v>93</v>
      </c>
      <c r="G438" s="130">
        <f>IF(G425="תקין",SUMIFS('דוח הוצאות בפועל (4)'!$E$17:$E$3016,'דוח הוצאות בפועל (4)'!$B$17:$B$3016,'בית ספר - תקצוב לפי מוסד (9)'!$G420,'דוח הוצאות בפועל (4)'!$M$17:$M$3016,"אר"),0)-Y438</f>
        <v>0</v>
      </c>
      <c r="H438" s="118">
        <f>$I428</f>
        <v>0</v>
      </c>
      <c r="I438" s="131">
        <f>IFERROR((G438+G439)/H438,0)</f>
        <v>0</v>
      </c>
      <c r="J438" s="100">
        <f>MIN((IF(ISNUMBER(G438),G438,0)+IF(ISNUMBER(G439),G439,0)),H438)</f>
        <v>0</v>
      </c>
      <c r="K438" s="1139">
        <f>MAX((H438)-(G438+G439),0)</f>
        <v>0</v>
      </c>
      <c r="L438" s="407"/>
      <c r="M438" s="393"/>
      <c r="N438" s="393"/>
      <c r="O438" s="602"/>
      <c r="P438" s="1141"/>
      <c r="Q438" s="1142"/>
      <c r="R438" s="596"/>
      <c r="S438" s="610" t="s">
        <v>93</v>
      </c>
      <c r="T438" s="599">
        <f>G420</f>
        <v>0</v>
      </c>
      <c r="U438" s="578"/>
      <c r="V438" s="579">
        <f t="shared" ref="V438:V439" si="61">G438</f>
        <v>0</v>
      </c>
      <c r="W438" s="579">
        <f t="shared" si="59"/>
        <v>0</v>
      </c>
      <c r="X438" s="579">
        <f>IFERROR(W448*W438/(SUM(W434:W447)),0)</f>
        <v>0</v>
      </c>
      <c r="Y438" s="879">
        <f>SUMIFS(בקרה!$S:$S,בקרה!$D:$D,T438,בקרה!$K:$K,S438)</f>
        <v>0</v>
      </c>
      <c r="Z438" s="121"/>
      <c r="AA438" s="143"/>
      <c r="AB438" s="143"/>
      <c r="AC438" s="504">
        <v>0</v>
      </c>
      <c r="AD438" s="505">
        <f t="shared" si="60"/>
        <v>0</v>
      </c>
      <c r="AE438" s="143"/>
      <c r="AJ438" s="22"/>
      <c r="AO438" s="22"/>
      <c r="AP438" s="22"/>
      <c r="AQ438" s="22"/>
      <c r="AR438" s="22"/>
      <c r="AS438" s="22"/>
      <c r="AT438" s="22"/>
      <c r="AU438" s="35"/>
      <c r="AV438" s="35"/>
      <c r="AW438" s="35"/>
      <c r="AX438" s="35"/>
      <c r="AY438" s="35"/>
      <c r="AZ438" s="35"/>
      <c r="BA438" s="35"/>
      <c r="BB438" s="35"/>
      <c r="BC438" s="35"/>
      <c r="BD438" s="35"/>
      <c r="BE438" s="35"/>
      <c r="BF438" s="35"/>
      <c r="BG438" s="35"/>
      <c r="BH438" s="35"/>
      <c r="BI438" s="35"/>
      <c r="BJ438" s="35"/>
      <c r="BK438" s="35"/>
      <c r="BL438" s="35"/>
      <c r="BM438" s="35"/>
      <c r="BN438" s="35"/>
      <c r="BO438" s="86"/>
    </row>
    <row r="439" spans="1:67" s="55" customFormat="1" ht="15.75" customHeight="1" x14ac:dyDescent="0.25">
      <c r="A439" s="520">
        <f>IFERROR(VLOOKUP($G$5,'רשימת רשויות'!A:C,3,0),0)</f>
        <v>0</v>
      </c>
      <c r="B439" s="520">
        <f t="shared" si="54"/>
        <v>0</v>
      </c>
      <c r="C439" s="39"/>
      <c r="D439" s="1134"/>
      <c r="E439" s="1137"/>
      <c r="F439" s="589" t="s">
        <v>46</v>
      </c>
      <c r="G439" s="130">
        <f>IF(G425="תקין",SUMIFS('דוח הוצאות בפועל (4)'!$E$17:$E$3016,'דוח הוצאות בפועל (4)'!$B$17:$B$3016,'בית ספר - תקצוב לפי מוסד (9)'!$G420,'דוח הוצאות בפועל (4)'!$M$17:$M$3016,"מל"),0)-Y439</f>
        <v>0</v>
      </c>
      <c r="H439" s="132"/>
      <c r="I439" s="133"/>
      <c r="J439" s="104"/>
      <c r="K439" s="1139"/>
      <c r="L439" s="407"/>
      <c r="M439" s="393"/>
      <c r="N439" s="393"/>
      <c r="O439" s="602"/>
      <c r="P439" s="1141"/>
      <c r="Q439" s="1142"/>
      <c r="R439" s="596"/>
      <c r="S439" s="610" t="s">
        <v>46</v>
      </c>
      <c r="T439" s="599">
        <f>G420</f>
        <v>0</v>
      </c>
      <c r="U439" s="578"/>
      <c r="V439" s="579">
        <f t="shared" si="61"/>
        <v>0</v>
      </c>
      <c r="W439" s="579">
        <f t="shared" si="59"/>
        <v>0</v>
      </c>
      <c r="X439" s="579">
        <f>IFERROR(W448*W439/(SUM(W434:W447)),0)</f>
        <v>0</v>
      </c>
      <c r="Y439" s="879">
        <f>SUMIFS(בקרה!$S:$S,בקרה!$D:$D,T439,בקרה!$K:$K,S439)</f>
        <v>0</v>
      </c>
      <c r="Z439" s="121"/>
      <c r="AA439" s="143"/>
      <c r="AB439" s="143"/>
      <c r="AC439" s="504">
        <v>0</v>
      </c>
      <c r="AD439" s="505">
        <f t="shared" si="60"/>
        <v>0</v>
      </c>
      <c r="AE439" s="143"/>
      <c r="AJ439" s="22"/>
      <c r="AO439" s="22"/>
      <c r="AP439" s="22"/>
      <c r="AQ439" s="22"/>
      <c r="AR439" s="22"/>
      <c r="AS439" s="22"/>
      <c r="AT439" s="22"/>
      <c r="AU439" s="35"/>
      <c r="AV439" s="35"/>
      <c r="AW439" s="35"/>
      <c r="AX439" s="35"/>
      <c r="AY439" s="35"/>
      <c r="AZ439" s="35"/>
      <c r="BA439" s="35"/>
      <c r="BB439" s="35"/>
      <c r="BC439" s="35"/>
      <c r="BD439" s="35"/>
      <c r="BE439" s="35"/>
      <c r="BF439" s="35"/>
      <c r="BG439" s="35"/>
      <c r="BH439" s="35"/>
      <c r="BI439" s="35"/>
      <c r="BJ439" s="35"/>
      <c r="BK439" s="35"/>
      <c r="BL439" s="35"/>
      <c r="BM439" s="35"/>
      <c r="BN439" s="35"/>
      <c r="BO439" s="86"/>
    </row>
    <row r="440" spans="1:67" s="55" customFormat="1" ht="15" customHeight="1" x14ac:dyDescent="0.25">
      <c r="A440" s="520">
        <f>IFERROR(VLOOKUP($G$5,'רשימת רשויות'!A:C,3,0),0)</f>
        <v>0</v>
      </c>
      <c r="B440" s="520">
        <f t="shared" si="54"/>
        <v>0</v>
      </c>
      <c r="C440" s="39"/>
      <c r="D440" s="1134"/>
      <c r="E440" s="1137"/>
      <c r="F440" s="591" t="s">
        <v>23</v>
      </c>
      <c r="G440" s="134">
        <f>SUM(G434:G439)</f>
        <v>0</v>
      </c>
      <c r="H440" s="135">
        <f>SUM(H434:H439)</f>
        <v>0</v>
      </c>
      <c r="I440" s="128">
        <f>IFERROR(G440/H440,0)</f>
        <v>0</v>
      </c>
      <c r="J440" s="136">
        <f>SUM(J434:J439)</f>
        <v>0</v>
      </c>
      <c r="K440" s="137">
        <f>SUM(K434:K439)</f>
        <v>0</v>
      </c>
      <c r="L440" s="408"/>
      <c r="M440" s="394"/>
      <c r="N440" s="394"/>
      <c r="O440" s="602"/>
      <c r="P440" s="620">
        <f>SUM(P434:P439)</f>
        <v>0</v>
      </c>
      <c r="Q440" s="620">
        <f>SUM(Q434:Q439)</f>
        <v>0</v>
      </c>
      <c r="R440" s="596"/>
      <c r="S440" s="610"/>
      <c r="T440" s="599">
        <f>G420</f>
        <v>0</v>
      </c>
      <c r="U440" s="578"/>
      <c r="V440" s="579"/>
      <c r="W440" s="579">
        <f t="shared" si="59"/>
        <v>0</v>
      </c>
      <c r="X440" s="579"/>
      <c r="Y440" s="879"/>
      <c r="Z440" s="121"/>
      <c r="AA440" s="143"/>
      <c r="AB440" s="143"/>
      <c r="AC440" s="504"/>
      <c r="AD440" s="505">
        <f t="shared" si="60"/>
        <v>0</v>
      </c>
      <c r="AE440" s="143"/>
      <c r="AJ440" s="22"/>
      <c r="AL440" s="22"/>
      <c r="AM440" s="22"/>
      <c r="AN440" s="22"/>
      <c r="AO440" s="22"/>
      <c r="AP440" s="22"/>
      <c r="AQ440" s="22"/>
      <c r="AR440" s="22"/>
      <c r="AS440" s="22"/>
      <c r="AT440" s="22"/>
      <c r="AU440" s="35"/>
      <c r="AV440" s="35"/>
      <c r="AW440" s="35"/>
      <c r="AX440" s="35"/>
      <c r="AY440" s="35"/>
      <c r="AZ440" s="35"/>
      <c r="BA440" s="35"/>
      <c r="BB440" s="35"/>
      <c r="BC440" s="35"/>
      <c r="BD440" s="35"/>
      <c r="BE440" s="35"/>
      <c r="BF440" s="35"/>
      <c r="BG440" s="35"/>
      <c r="BH440" s="35"/>
      <c r="BI440" s="35"/>
      <c r="BJ440" s="35"/>
      <c r="BK440" s="35"/>
      <c r="BL440" s="35"/>
      <c r="BM440" s="35"/>
      <c r="BN440" s="35"/>
      <c r="BO440" s="86"/>
    </row>
    <row r="441" spans="1:67" s="55" customFormat="1" ht="15" customHeight="1" x14ac:dyDescent="0.25">
      <c r="A441" s="520">
        <f>IFERROR(VLOOKUP($G$5,'רשימת רשויות'!A:C,3,0),0)</f>
        <v>0</v>
      </c>
      <c r="B441" s="520">
        <f t="shared" si="54"/>
        <v>0</v>
      </c>
      <c r="C441" s="39"/>
      <c r="D441" s="1134"/>
      <c r="E441" s="1137"/>
      <c r="F441" s="589" t="s">
        <v>3</v>
      </c>
      <c r="G441" s="117">
        <f>IF(G425="תקין",SUMIFS('דוח הוצאות בפועל (4)'!$E$17:$E$3016,'דוח הוצאות בפועל (4)'!$B$17:$B$3016,'בית ספר - תקצוב לפי מוסד (9)'!$G420,'דוח הוצאות בפועל (4)'!$M$17:$M$3016,"ני")+SUMIFS('דוח הוצאות בפועל (4)'!$E$17:$E$3016,'דוח הוצאות בפועל (4)'!$B$17:$B$3016,'בית ספר - תקצוב לפי מוסד (9)'!$G420,'דוח הוצאות בפועל (4)'!$M$17:$M$3016,"על"),0)-Y441</f>
        <v>0</v>
      </c>
      <c r="H441" s="117">
        <f>H422</f>
        <v>0</v>
      </c>
      <c r="I441" s="138">
        <f>IFERROR(G441/H441,0)</f>
        <v>0</v>
      </c>
      <c r="J441" s="117">
        <f>IFERROR(IF(G441/H443&gt;0.15,MIN(H443*0.15,H441),MIN(H441,IF(ISNUMBER(G441),G441,0))),0)</f>
        <v>0</v>
      </c>
      <c r="K441" s="120">
        <f>MAX(H441-G441,0)</f>
        <v>0</v>
      </c>
      <c r="L441" s="407"/>
      <c r="M441" s="393"/>
      <c r="N441" s="393"/>
      <c r="O441" s="602"/>
      <c r="P441" s="620">
        <f>IF(I441&lt;100%,MIN(H441-G441,H441*0.25),0)</f>
        <v>0</v>
      </c>
      <c r="Q441" s="620">
        <f>MAX(MIN(IF(G441-H441&gt;0,G441-H441,0),$H443*0.15-H441-J442),0)</f>
        <v>0</v>
      </c>
      <c r="R441" s="596"/>
      <c r="S441" s="610" t="s">
        <v>3</v>
      </c>
      <c r="T441" s="599">
        <f>G420</f>
        <v>0</v>
      </c>
      <c r="U441" s="578"/>
      <c r="V441" s="579">
        <f t="shared" ref="V441" si="62">G441</f>
        <v>0</v>
      </c>
      <c r="W441" s="579">
        <f t="shared" si="59"/>
        <v>0</v>
      </c>
      <c r="X441" s="579"/>
      <c r="Y441" s="879"/>
      <c r="Z441" s="121"/>
      <c r="AA441" s="143"/>
      <c r="AB441" s="143"/>
      <c r="AC441" s="504">
        <v>0</v>
      </c>
      <c r="AD441" s="505">
        <f t="shared" si="60"/>
        <v>0</v>
      </c>
      <c r="AE441" s="143"/>
      <c r="AG441" s="22"/>
      <c r="AH441" s="22"/>
      <c r="AI441" s="22"/>
      <c r="AJ441" s="22"/>
      <c r="AK441" s="22"/>
      <c r="AL441" s="22"/>
      <c r="AM441" s="22"/>
      <c r="AN441" s="22"/>
      <c r="AO441" s="22"/>
      <c r="AP441" s="22"/>
      <c r="AQ441" s="22"/>
      <c r="AR441" s="22"/>
      <c r="AS441" s="22"/>
      <c r="AT441" s="22"/>
      <c r="AU441" s="35"/>
      <c r="AV441" s="35"/>
      <c r="AW441" s="35"/>
      <c r="AX441" s="35"/>
      <c r="AY441" s="35"/>
      <c r="AZ441" s="35"/>
      <c r="BA441" s="35"/>
      <c r="BB441" s="35"/>
      <c r="BC441" s="35"/>
      <c r="BD441" s="35"/>
      <c r="BE441" s="35"/>
      <c r="BF441" s="35"/>
      <c r="BG441" s="35"/>
      <c r="BH441" s="35"/>
      <c r="BI441" s="35"/>
      <c r="BJ441" s="35"/>
      <c r="BK441" s="35"/>
      <c r="BL441" s="35"/>
      <c r="BM441" s="35"/>
      <c r="BN441" s="35"/>
      <c r="BO441" s="86"/>
    </row>
    <row r="442" spans="1:67" s="55" customFormat="1" ht="15.75" customHeight="1" x14ac:dyDescent="0.25">
      <c r="A442" s="520">
        <f>IFERROR(VLOOKUP($G$5,'רשימת רשויות'!A:C,3,0),0)</f>
        <v>0</v>
      </c>
      <c r="B442" s="520">
        <f t="shared" si="54"/>
        <v>0</v>
      </c>
      <c r="C442" s="39"/>
      <c r="D442" s="1134"/>
      <c r="E442" s="1137"/>
      <c r="F442" s="589" t="s">
        <v>2918</v>
      </c>
      <c r="G442" s="117">
        <f>0.07*(G436+G435)</f>
        <v>0</v>
      </c>
      <c r="H442" s="117">
        <f>H424</f>
        <v>0</v>
      </c>
      <c r="I442" s="138">
        <f>IFERROR(G442/H442,0)</f>
        <v>0</v>
      </c>
      <c r="J442" s="117">
        <f>IFERROR(MIN(0.07*(G435+G436),0.07*I424),0)</f>
        <v>0</v>
      </c>
      <c r="K442" s="120">
        <f>MAX(H442-G442,0)</f>
        <v>0</v>
      </c>
      <c r="L442" s="407"/>
      <c r="M442" s="393"/>
      <c r="N442" s="393"/>
      <c r="O442" s="602"/>
      <c r="P442" s="620"/>
      <c r="Q442" s="619"/>
      <c r="R442" s="596"/>
      <c r="S442" s="611"/>
      <c r="T442" s="599">
        <f>G420</f>
        <v>0</v>
      </c>
      <c r="U442" s="578"/>
      <c r="V442" s="579"/>
      <c r="W442" s="579">
        <f t="shared" si="59"/>
        <v>0</v>
      </c>
      <c r="X442" s="579"/>
      <c r="Y442" s="879"/>
      <c r="Z442" s="121"/>
      <c r="AA442" s="143"/>
      <c r="AB442" s="143"/>
      <c r="AC442" s="504"/>
      <c r="AD442" s="505"/>
      <c r="AE442" s="143"/>
      <c r="AF442" s="140"/>
      <c r="AG442" s="22"/>
      <c r="AH442" s="22"/>
      <c r="AI442" s="22"/>
      <c r="AJ442" s="22"/>
      <c r="AK442" s="22"/>
      <c r="AL442" s="22"/>
      <c r="AM442" s="22"/>
      <c r="AN442" s="22"/>
      <c r="AO442" s="22"/>
      <c r="AP442" s="22"/>
      <c r="AQ442" s="22"/>
      <c r="AR442" s="22"/>
      <c r="AS442" s="22"/>
      <c r="AT442" s="22"/>
      <c r="AU442" s="35"/>
      <c r="AV442" s="35"/>
      <c r="AW442" s="35"/>
      <c r="AX442" s="35"/>
      <c r="AY442" s="35"/>
      <c r="AZ442" s="35"/>
      <c r="BA442" s="35"/>
      <c r="BB442" s="35"/>
      <c r="BC442" s="35"/>
      <c r="BD442" s="35"/>
      <c r="BE442" s="35"/>
      <c r="BF442" s="35"/>
      <c r="BG442" s="35"/>
      <c r="BH442" s="35"/>
      <c r="BI442" s="35"/>
      <c r="BJ442" s="35"/>
      <c r="BK442" s="35"/>
      <c r="BL442" s="35"/>
      <c r="BM442" s="35"/>
      <c r="BN442" s="35"/>
      <c r="BO442" s="86"/>
    </row>
    <row r="443" spans="1:67" ht="15.75" customHeight="1" x14ac:dyDescent="0.25">
      <c r="A443" s="520">
        <f>IFERROR(VLOOKUP($G$5,'רשימת רשויות'!A:C,3,0),0)</f>
        <v>0</v>
      </c>
      <c r="B443" s="520">
        <f t="shared" si="54"/>
        <v>0</v>
      </c>
      <c r="D443" s="1134"/>
      <c r="E443" s="1137"/>
      <c r="F443" s="591" t="s">
        <v>15</v>
      </c>
      <c r="G443" s="134">
        <f>G440+G441+G442</f>
        <v>0</v>
      </c>
      <c r="H443" s="134">
        <f>H440+H441+H442</f>
        <v>0</v>
      </c>
      <c r="I443" s="138">
        <f>IFERROR(G443/H443,0)</f>
        <v>0</v>
      </c>
      <c r="J443" s="139">
        <f>J440+J441+J442</f>
        <v>0</v>
      </c>
      <c r="K443" s="137">
        <f>K441+K440+K442</f>
        <v>0</v>
      </c>
      <c r="L443" s="408"/>
      <c r="M443" s="394"/>
      <c r="N443" s="394"/>
      <c r="O443" s="602"/>
      <c r="P443" s="621">
        <f>SUM(P440:P441)</f>
        <v>0</v>
      </c>
      <c r="Q443" s="622">
        <f>Q440+Q441</f>
        <v>0</v>
      </c>
      <c r="R443" s="596"/>
      <c r="S443" s="611"/>
      <c r="T443" s="599">
        <f>G420</f>
        <v>0</v>
      </c>
      <c r="U443" s="578"/>
      <c r="V443" s="579"/>
      <c r="W443" s="579">
        <f t="shared" si="59"/>
        <v>0</v>
      </c>
      <c r="X443" s="579"/>
      <c r="Y443" s="879"/>
      <c r="Z443" s="106"/>
      <c r="AC443" s="504"/>
      <c r="AD443" s="505"/>
      <c r="AH443" s="143"/>
      <c r="BO443" s="86"/>
    </row>
    <row r="444" spans="1:67" ht="15.75" customHeight="1" x14ac:dyDescent="0.25">
      <c r="A444" s="520">
        <f>IFERROR(VLOOKUP($G$5,'רשימת רשויות'!A:C,3,0),0)</f>
        <v>0</v>
      </c>
      <c r="B444" s="520">
        <f t="shared" si="54"/>
        <v>0</v>
      </c>
      <c r="D444" s="1134"/>
      <c r="E444" s="1137"/>
      <c r="F444" s="589" t="s">
        <v>2261</v>
      </c>
      <c r="G444" s="117">
        <f>IF(G425="תקין",SUMIF('תשלומי הורים ומלגות להורים (5) '!$B$18:$B$517,$G420,'תשלומי הורים ומלגות להורים (5) '!$C$18:$C$517),0)</f>
        <v>0</v>
      </c>
      <c r="H444" s="117">
        <f>(G423+G424)*$G$7</f>
        <v>0</v>
      </c>
      <c r="I444" s="141"/>
      <c r="J444" s="141"/>
      <c r="K444" s="142"/>
      <c r="L444" s="395"/>
      <c r="M444" s="395"/>
      <c r="N444" s="395"/>
      <c r="O444" s="602"/>
      <c r="P444" s="623"/>
      <c r="Q444" s="619"/>
      <c r="R444" s="596"/>
      <c r="S444" s="612"/>
      <c r="T444" s="599">
        <f>G420</f>
        <v>0</v>
      </c>
      <c r="U444" s="578"/>
      <c r="V444" s="579"/>
      <c r="W444" s="579">
        <f t="shared" si="59"/>
        <v>0</v>
      </c>
      <c r="X444" s="579"/>
      <c r="Y444" s="879"/>
      <c r="Z444" s="121"/>
      <c r="AA444" s="143"/>
      <c r="AB444" s="143"/>
      <c r="AC444" s="504"/>
      <c r="AD444" s="505"/>
      <c r="AE444" s="143"/>
      <c r="AF444" s="148"/>
      <c r="BO444" s="86"/>
    </row>
    <row r="445" spans="1:67" ht="15.75" customHeight="1" thickBot="1" x14ac:dyDescent="0.3">
      <c r="A445" s="520">
        <f>IFERROR(VLOOKUP($G$5,'רשימת רשויות'!A:C,3,0),0)</f>
        <v>0</v>
      </c>
      <c r="B445" s="520">
        <f t="shared" si="54"/>
        <v>0</v>
      </c>
      <c r="D445" s="1134"/>
      <c r="E445" s="1137"/>
      <c r="F445" s="592" t="s">
        <v>21</v>
      </c>
      <c r="G445" s="144">
        <f>G443-G444</f>
        <v>0</v>
      </c>
      <c r="H445" s="144">
        <f>H443-H444</f>
        <v>0</v>
      </c>
      <c r="I445" s="145"/>
      <c r="J445" s="145"/>
      <c r="K445" s="146"/>
      <c r="L445" s="396"/>
      <c r="M445" s="396"/>
      <c r="N445" s="396"/>
      <c r="O445" s="602"/>
      <c r="P445" s="619"/>
      <c r="Q445" s="619"/>
      <c r="R445" s="596"/>
      <c r="S445" s="612"/>
      <c r="T445" s="599">
        <f>G420</f>
        <v>0</v>
      </c>
      <c r="U445" s="578"/>
      <c r="V445" s="579"/>
      <c r="W445" s="579">
        <f t="shared" si="59"/>
        <v>0</v>
      </c>
      <c r="X445" s="579"/>
      <c r="Y445" s="879"/>
      <c r="Z445" s="147"/>
      <c r="AA445" s="148"/>
      <c r="AB445" s="148"/>
      <c r="AC445" s="504"/>
      <c r="AD445" s="505"/>
      <c r="AE445" s="148"/>
      <c r="AF445" s="148"/>
      <c r="BO445" s="86"/>
    </row>
    <row r="446" spans="1:67" ht="15.75" customHeight="1" thickBot="1" x14ac:dyDescent="0.3">
      <c r="A446" s="520">
        <f>IFERROR(VLOOKUP($G$5,'רשימת רשויות'!A:C,3,0),0)</f>
        <v>0</v>
      </c>
      <c r="B446" s="520">
        <f t="shared" si="54"/>
        <v>0</v>
      </c>
      <c r="D446" s="1134"/>
      <c r="E446" s="1137"/>
      <c r="F446" s="580"/>
      <c r="G446" s="580"/>
      <c r="H446" s="147"/>
      <c r="I446" s="149" t="s">
        <v>2197</v>
      </c>
      <c r="J446" s="150">
        <f>MAX(MIN(P443,Q443),0)</f>
        <v>0</v>
      </c>
      <c r="K446" s="580"/>
      <c r="L446" s="580"/>
      <c r="M446" s="580"/>
      <c r="N446" s="580"/>
      <c r="O446" s="580"/>
      <c r="P446" s="615" t="s">
        <v>2317</v>
      </c>
      <c r="Q446" s="624">
        <f>SUM(Q447:Q448)</f>
        <v>0</v>
      </c>
      <c r="R446" s="596"/>
      <c r="S446" s="612"/>
      <c r="T446" s="599">
        <f>G420</f>
        <v>0</v>
      </c>
      <c r="U446" s="578"/>
      <c r="V446" s="579"/>
      <c r="W446" s="579">
        <f t="shared" si="59"/>
        <v>0</v>
      </c>
      <c r="X446" s="579"/>
      <c r="Y446" s="879"/>
      <c r="Z446" s="106"/>
      <c r="AC446" s="504"/>
      <c r="AD446" s="505"/>
      <c r="AF446" s="148"/>
      <c r="BO446" s="86"/>
    </row>
    <row r="447" spans="1:67" ht="16.5" thickBot="1" x14ac:dyDescent="0.3">
      <c r="A447" s="520">
        <f>IFERROR(VLOOKUP($G$5,'רשימת רשויות'!A:C,3,0),0)</f>
        <v>0</v>
      </c>
      <c r="B447" s="520">
        <f t="shared" si="54"/>
        <v>0</v>
      </c>
      <c r="D447" s="1134"/>
      <c r="E447" s="1137"/>
      <c r="F447" s="580"/>
      <c r="G447" s="580"/>
      <c r="H447" s="580"/>
      <c r="I447" s="84" t="s">
        <v>2193</v>
      </c>
      <c r="J447" s="515" t="str">
        <f>IFERROR(1-H444/H443,"")</f>
        <v/>
      </c>
      <c r="K447" s="580"/>
      <c r="L447" s="580"/>
      <c r="M447" s="580"/>
      <c r="N447" s="580"/>
      <c r="O447" s="580"/>
      <c r="P447" s="615" t="s">
        <v>417</v>
      </c>
      <c r="Q447" s="616">
        <f>IFERROR(MAX(H445-I448-Q448,0),0)</f>
        <v>0</v>
      </c>
      <c r="R447" s="596"/>
      <c r="S447" s="600"/>
      <c r="T447" s="599">
        <f>G420</f>
        <v>0</v>
      </c>
      <c r="U447" s="578"/>
      <c r="V447" s="579"/>
      <c r="W447" s="579">
        <f t="shared" si="59"/>
        <v>0</v>
      </c>
      <c r="X447" s="579"/>
      <c r="Y447" s="879"/>
      <c r="Z447" s="106"/>
      <c r="AC447" s="504"/>
      <c r="AD447" s="505"/>
      <c r="BO447" s="86"/>
    </row>
    <row r="448" spans="1:67" ht="17.25" thickBot="1" x14ac:dyDescent="0.3">
      <c r="A448" s="520">
        <f>IFERROR(VLOOKUP($G$5,'רשימת רשויות'!A:C,3,0),0)</f>
        <v>0</v>
      </c>
      <c r="B448" s="520">
        <f t="shared" si="54"/>
        <v>0</v>
      </c>
      <c r="D448" s="1134"/>
      <c r="E448" s="1137"/>
      <c r="F448" s="1143" t="s">
        <v>2679</v>
      </c>
      <c r="G448" s="1143"/>
      <c r="H448" s="1143"/>
      <c r="I448" s="722">
        <f>IF(G425="לא תקין","לא קיימת זכאות לתקציב לאור אי איוש משרות רכז ו/או סגן רכז ",IFERROR(J447*(J446+J443),0))</f>
        <v>0</v>
      </c>
      <c r="J448" s="573"/>
      <c r="K448" s="574"/>
      <c r="L448" s="396"/>
      <c r="M448" s="574"/>
      <c r="N448" s="574"/>
      <c r="O448" s="574"/>
      <c r="P448" s="615" t="s">
        <v>2279</v>
      </c>
      <c r="Q448" s="616">
        <f>MAX(IF(AND(G443&gt;H443,I448&lt;H445),H445-I448,0),0)</f>
        <v>0</v>
      </c>
      <c r="R448" s="575"/>
      <c r="S448" s="576" t="s">
        <v>67</v>
      </c>
      <c r="T448" s="577">
        <f>G420</f>
        <v>0</v>
      </c>
      <c r="U448" s="578"/>
      <c r="V448" s="579">
        <f>I448</f>
        <v>0</v>
      </c>
      <c r="W448" s="579">
        <f>IFERROR(U448-V448,0)</f>
        <v>0</v>
      </c>
      <c r="X448" s="579">
        <f>SUM(X434:X447)</f>
        <v>0</v>
      </c>
      <c r="Y448" s="879"/>
      <c r="Z448" s="106"/>
      <c r="AC448" s="506">
        <v>0</v>
      </c>
      <c r="AD448" s="507">
        <f>IFERROR(U448-AC448,0)</f>
        <v>0</v>
      </c>
      <c r="BO448" s="86"/>
    </row>
    <row r="449" spans="1:67" ht="16.5" thickBot="1" x14ac:dyDescent="0.3">
      <c r="A449" s="520">
        <f>IFERROR(VLOOKUP($G$5,'רשימת רשויות'!A:C,3,0),0)</f>
        <v>0</v>
      </c>
      <c r="B449" s="520">
        <f t="shared" si="54"/>
        <v>0</v>
      </c>
      <c r="D449" s="1135"/>
      <c r="E449" s="1138"/>
      <c r="F449" s="1144" t="s">
        <v>2793</v>
      </c>
      <c r="G449" s="1145"/>
      <c r="H449" s="1145"/>
      <c r="I449" s="593">
        <f>IFERROR(IF(G425="תקין",SUMIFS('סייעות רפואיות או אישיות (7)'!$Q$17:Q$384,'סייעות רפואיות או אישיות (7)'!C$17:C$384,G420),0),0)</f>
        <v>0</v>
      </c>
      <c r="J449" s="151"/>
      <c r="K449" s="152"/>
      <c r="L449" s="409"/>
      <c r="M449" s="152"/>
      <c r="N449" s="152"/>
      <c r="O449" s="152"/>
      <c r="P449" s="613"/>
      <c r="Q449" s="614"/>
      <c r="R449" s="475"/>
      <c r="S449" s="489"/>
      <c r="T449" s="490"/>
      <c r="U449" s="491"/>
      <c r="V449" s="492"/>
      <c r="W449" s="492"/>
      <c r="X449" s="492"/>
      <c r="Y449" s="880"/>
      <c r="Z449" s="153"/>
      <c r="AC449" s="581"/>
      <c r="AD449" s="582"/>
      <c r="BO449" s="86"/>
    </row>
    <row r="450" spans="1:67" ht="34.5" thickBot="1" x14ac:dyDescent="0.55000000000000004">
      <c r="A450" s="520">
        <f>IFERROR(VLOOKUP($G$5,'רשימת רשויות'!A:C,3,0),0)</f>
        <v>0</v>
      </c>
      <c r="B450" s="520">
        <f t="shared" si="54"/>
        <v>0</v>
      </c>
      <c r="E450" s="154"/>
      <c r="I450" s="143"/>
      <c r="J450" s="148"/>
      <c r="O450" s="148"/>
      <c r="T450" s="481"/>
      <c r="BO450" s="86"/>
    </row>
    <row r="451" spans="1:67" s="20" customFormat="1" ht="16.5" customHeight="1" thickBot="1" x14ac:dyDescent="0.3">
      <c r="A451" s="520">
        <f>IFERROR(VLOOKUP($G$5,'רשימת רשויות'!A:C,3,0),0)</f>
        <v>0</v>
      </c>
      <c r="B451" s="520">
        <f t="shared" si="54"/>
        <v>0</v>
      </c>
      <c r="C451" s="39"/>
      <c r="D451" s="1133">
        <f>D420+1</f>
        <v>15</v>
      </c>
      <c r="E451" s="1136" t="str">
        <f>IFERROR(CONCATENATE("בית הספר ",VLOOKUP(G451,'מצבת והרשמה (2)'!$C$21:$D$520,2,0)," - ",$G$5),"")</f>
        <v>בית הספר המוסד לא קיים - 0</v>
      </c>
      <c r="F451" s="720" t="s">
        <v>146</v>
      </c>
      <c r="G451" s="721">
        <f>IFERROR(VLOOKUP(D:D,'דוח ביצוע (3)'!$A$21:$C$900,2,0),0)</f>
        <v>0</v>
      </c>
      <c r="H451" s="79"/>
      <c r="I451" s="80" t="s">
        <v>150</v>
      </c>
      <c r="J451" s="80"/>
      <c r="K451" s="81"/>
      <c r="L451" s="392"/>
      <c r="M451" s="392"/>
      <c r="N451" s="392"/>
      <c r="O451" s="82"/>
      <c r="P451" s="470"/>
      <c r="Q451" s="471"/>
      <c r="R451" s="472"/>
      <c r="S451" s="883"/>
      <c r="T451" s="884"/>
      <c r="U451" s="486"/>
      <c r="V451" s="487"/>
      <c r="W451" s="487"/>
      <c r="X451" s="487"/>
      <c r="Y451" s="885"/>
      <c r="Z451" s="83"/>
      <c r="AC451" s="502"/>
      <c r="AD451" s="503"/>
      <c r="AO451" s="22"/>
      <c r="AP451" s="22"/>
      <c r="AQ451" s="22"/>
      <c r="AR451" s="22"/>
      <c r="AS451" s="22"/>
      <c r="AT451" s="22"/>
      <c r="AU451" s="35"/>
      <c r="AV451" s="35"/>
      <c r="AW451" s="35"/>
      <c r="AX451" s="35"/>
      <c r="AY451" s="35"/>
      <c r="AZ451" s="35"/>
      <c r="BA451" s="35"/>
      <c r="BB451" s="35"/>
      <c r="BC451" s="35"/>
      <c r="BD451" s="35"/>
      <c r="BE451" s="35"/>
      <c r="BF451" s="35"/>
      <c r="BG451" s="35"/>
      <c r="BH451" s="35"/>
      <c r="BI451" s="35"/>
      <c r="BJ451" s="35"/>
      <c r="BK451" s="35"/>
      <c r="BL451" s="35"/>
      <c r="BM451" s="35"/>
      <c r="BN451" s="35"/>
      <c r="BO451" s="78"/>
    </row>
    <row r="452" spans="1:67" s="20" customFormat="1" ht="16.5" thickBot="1" x14ac:dyDescent="0.3">
      <c r="A452" s="520">
        <f>IFERROR(VLOOKUP($G$5,'רשימת רשויות'!A:C,3,0),0)</f>
        <v>0</v>
      </c>
      <c r="B452" s="520">
        <f t="shared" si="54"/>
        <v>0</v>
      </c>
      <c r="C452" s="39"/>
      <c r="D452" s="1134"/>
      <c r="E452" s="1137"/>
      <c r="F452" s="583" t="s">
        <v>145</v>
      </c>
      <c r="G452" s="516" t="str">
        <f>IFERROR(IF((G454+G455)=0,"",IF(VLOOKUP(G451,'דוח ביצוע (3)'!$B$21:$K$900,5,0)&gt;149,"גדול",IF(AND(VLOOKUP(G451,'דוח ביצוע (3)'!$B$21:$K$900,5,0)&gt;0,VLOOKUP(G451,'דוח ביצוע (3)'!$B$21:$K$900,5,0)&lt;150),"קטן",0))),"")</f>
        <v/>
      </c>
      <c r="H452" s="723" t="s">
        <v>88</v>
      </c>
      <c r="I452" s="723" t="s">
        <v>13</v>
      </c>
      <c r="J452" s="725" t="s">
        <v>14</v>
      </c>
      <c r="K452" s="724" t="s">
        <v>94</v>
      </c>
      <c r="L452" s="594"/>
      <c r="M452" s="420" t="s">
        <v>2584</v>
      </c>
      <c r="N452" s="397" t="s">
        <v>413</v>
      </c>
      <c r="O452" s="398" t="s">
        <v>52</v>
      </c>
      <c r="P452" s="595"/>
      <c r="Q452" s="595"/>
      <c r="R452" s="596"/>
      <c r="S452" s="610"/>
      <c r="T452" s="881"/>
      <c r="U452" s="598"/>
      <c r="V452" s="599"/>
      <c r="W452" s="599"/>
      <c r="X452" s="599"/>
      <c r="Y452" s="879"/>
      <c r="Z452" s="85"/>
      <c r="AC452" s="493"/>
      <c r="AD452" s="495"/>
      <c r="AO452" s="22"/>
      <c r="AP452" s="22"/>
      <c r="AQ452" s="22"/>
      <c r="AR452" s="22"/>
      <c r="AS452" s="22"/>
      <c r="AT452" s="22"/>
      <c r="AU452" s="35"/>
      <c r="AV452" s="35"/>
      <c r="AW452" s="35"/>
      <c r="AX452" s="35"/>
      <c r="AY452" s="35"/>
      <c r="AZ452" s="35"/>
      <c r="BA452" s="35"/>
      <c r="BB452" s="35"/>
      <c r="BC452" s="35"/>
      <c r="BD452" s="35"/>
      <c r="BE452" s="35"/>
      <c r="BF452" s="35"/>
      <c r="BG452" s="35"/>
      <c r="BH452" s="35"/>
      <c r="BI452" s="35"/>
      <c r="BJ452" s="35"/>
      <c r="BK452" s="35"/>
      <c r="BL452" s="35"/>
      <c r="BM452" s="35"/>
      <c r="BN452" s="35"/>
      <c r="BO452" s="78"/>
    </row>
    <row r="453" spans="1:67" s="20" customFormat="1" ht="15.75" customHeight="1" thickBot="1" x14ac:dyDescent="0.3">
      <c r="A453" s="520">
        <f>IFERROR(VLOOKUP($G$5,'רשימת רשויות'!A:C,3,0),0)</f>
        <v>0</v>
      </c>
      <c r="B453" s="520">
        <f t="shared" si="54"/>
        <v>0</v>
      </c>
      <c r="C453" s="39"/>
      <c r="D453" s="1134"/>
      <c r="E453" s="1137"/>
      <c r="F453" s="584" t="s">
        <v>144</v>
      </c>
      <c r="G453" s="87">
        <f>IF(G456="תקין",IFERROR(VLOOKUP($G451,'דוח ביצוע (3)'!$B$21:$Q$900,12,0),0),0)</f>
        <v>0</v>
      </c>
      <c r="H453" s="88">
        <f>IFERROR(G454*$AH$6+G455*$AH$7,0)</f>
        <v>0</v>
      </c>
      <c r="I453" s="88">
        <f>IFERROR(G454*$AI$6+G455*$AI$7,0)</f>
        <v>0</v>
      </c>
      <c r="J453" s="88">
        <f>IFERROR(G454*$AJ$6+G455*$AJ$7,0)</f>
        <v>0</v>
      </c>
      <c r="K453" s="88">
        <f>IFERROR(G454*$AK$6+G455*$AK$7,0)</f>
        <v>0</v>
      </c>
      <c r="L453" s="405"/>
      <c r="M453" s="399" t="s">
        <v>427</v>
      </c>
      <c r="N453" s="400" t="str">
        <f>IFERROR(VLOOKUP($G451,'דוח ביצוע (3)'!$B:$AE,28,0),"")</f>
        <v/>
      </c>
      <c r="O453" s="89" t="str">
        <f>IFERROR(VLOOKUP($G451,'דוח ביצוע (3)'!B:AE,29,0),"")</f>
        <v/>
      </c>
      <c r="P453" s="595"/>
      <c r="Q453" s="595"/>
      <c r="R453" s="596"/>
      <c r="S453" s="610"/>
      <c r="T453" s="881"/>
      <c r="U453" s="598"/>
      <c r="V453" s="599"/>
      <c r="W453" s="599"/>
      <c r="X453" s="599"/>
      <c r="Y453" s="879"/>
      <c r="Z453" s="85"/>
      <c r="AC453" s="493"/>
      <c r="AD453" s="495"/>
      <c r="AO453" s="22"/>
      <c r="AP453" s="22"/>
      <c r="AQ453" s="22"/>
      <c r="AR453" s="22"/>
      <c r="AS453" s="22"/>
      <c r="AT453" s="22"/>
      <c r="AU453" s="35"/>
      <c r="AV453" s="35"/>
      <c r="AW453" s="35"/>
      <c r="AX453" s="35"/>
      <c r="AY453" s="35"/>
      <c r="AZ453" s="35"/>
      <c r="BA453" s="35"/>
      <c r="BB453" s="35"/>
      <c r="BC453" s="35"/>
      <c r="BD453" s="35"/>
      <c r="BE453" s="35"/>
      <c r="BF453" s="35"/>
      <c r="BG453" s="35"/>
      <c r="BH453" s="35"/>
      <c r="BI453" s="35"/>
      <c r="BJ453" s="35"/>
      <c r="BK453" s="35"/>
      <c r="BL453" s="35"/>
      <c r="BM453" s="35"/>
      <c r="BN453" s="35"/>
      <c r="BO453" s="78"/>
    </row>
    <row r="454" spans="1:67" s="20" customFormat="1" ht="32.25" thickBot="1" x14ac:dyDescent="0.3">
      <c r="A454" s="520">
        <f>IFERROR(VLOOKUP($G$5,'רשימת רשויות'!A:C,3,0),0)</f>
        <v>0</v>
      </c>
      <c r="B454" s="520">
        <f t="shared" si="54"/>
        <v>0</v>
      </c>
      <c r="C454" s="39"/>
      <c r="D454" s="1134"/>
      <c r="E454" s="1137"/>
      <c r="F454" s="585" t="s">
        <v>2195</v>
      </c>
      <c r="G454" s="89">
        <f>IF(G456="תקין",MAX(N456,0),0)</f>
        <v>0</v>
      </c>
      <c r="H454" s="725" t="s">
        <v>151</v>
      </c>
      <c r="I454" s="725" t="s">
        <v>91</v>
      </c>
      <c r="J454" s="970" t="s">
        <v>3396</v>
      </c>
      <c r="K454" s="601"/>
      <c r="L454" s="601"/>
      <c r="M454" s="983" t="s">
        <v>2585</v>
      </c>
      <c r="N454" s="400" t="str">
        <f>IFERROR(G453/15*N453*1.25,"")</f>
        <v/>
      </c>
      <c r="O454" s="89" t="str">
        <f>IFERROR(G453/15*O453*1.25,"")</f>
        <v/>
      </c>
      <c r="P454" s="595"/>
      <c r="Q454" s="595"/>
      <c r="R454" s="596"/>
      <c r="S454" s="610"/>
      <c r="T454" s="881"/>
      <c r="U454" s="598"/>
      <c r="V454" s="599"/>
      <c r="W454" s="599"/>
      <c r="X454" s="599"/>
      <c r="Y454" s="879"/>
      <c r="Z454" s="85"/>
      <c r="AC454" s="493"/>
      <c r="AD454" s="495"/>
      <c r="AG454" s="22"/>
      <c r="AH454" s="55"/>
      <c r="AI454" s="55"/>
      <c r="AJ454" s="55"/>
      <c r="AK454" s="55"/>
      <c r="AO454" s="22"/>
      <c r="AP454" s="22"/>
      <c r="AQ454" s="22"/>
      <c r="AR454" s="22"/>
      <c r="AS454" s="22"/>
      <c r="AT454" s="22"/>
      <c r="AU454" s="35"/>
      <c r="AV454" s="35"/>
      <c r="AW454" s="35"/>
      <c r="AX454" s="35"/>
      <c r="AY454" s="35"/>
      <c r="AZ454" s="35"/>
      <c r="BA454" s="35"/>
      <c r="BB454" s="35"/>
      <c r="BC454" s="35"/>
      <c r="BD454" s="35"/>
      <c r="BE454" s="35"/>
      <c r="BF454" s="35"/>
      <c r="BG454" s="35"/>
      <c r="BH454" s="35"/>
      <c r="BI454" s="35"/>
      <c r="BJ454" s="35"/>
      <c r="BK454" s="35"/>
      <c r="BL454" s="35"/>
      <c r="BM454" s="35"/>
      <c r="BN454" s="35"/>
      <c r="BO454" s="86"/>
    </row>
    <row r="455" spans="1:67" s="20" customFormat="1" ht="16.5" thickBot="1" x14ac:dyDescent="0.3">
      <c r="A455" s="520">
        <f>IFERROR(VLOOKUP($G$5,'רשימת רשויות'!A:C,3,0),0)</f>
        <v>0</v>
      </c>
      <c r="B455" s="520">
        <f t="shared" si="54"/>
        <v>0</v>
      </c>
      <c r="C455" s="39"/>
      <c r="D455" s="1134"/>
      <c r="E455" s="1137"/>
      <c r="F455" s="585" t="s">
        <v>2196</v>
      </c>
      <c r="G455" s="89">
        <f>IF(G456="תקין",MAX(O456,0),0)</f>
        <v>0</v>
      </c>
      <c r="H455" s="88">
        <f>(IFERROR(IF((G454+G455)=0,0,IF(G452="קטן",G453*$AH$10,G453*$AH$11)),0))+(IFERROR(IF((G454+G455)=0,0,VLOOKUP(G451,'דוח ביצוע (3)'!$B:$AH,33,0)),0))</f>
        <v>0</v>
      </c>
      <c r="I455" s="88">
        <f>IFERROR(IF((G454+G455)=0,0,IF(G452="קטן",G453*$AI$10,G453*$AI$11)),0)</f>
        <v>0</v>
      </c>
      <c r="J455" s="88">
        <f>IFERROR(IF((G454+G455)=0,0,VLOOKUP(G451,'דוח ביצוע (3)'!$B:$AH,32,0)),0)</f>
        <v>0</v>
      </c>
      <c r="K455" s="90"/>
      <c r="L455" s="90"/>
      <c r="M455" s="399" t="s">
        <v>412</v>
      </c>
      <c r="N455" s="400">
        <f>IFERROR(VLOOKUP($G451,'דוח ביצוע (3)'!$B$21:$U$500,18,0),0)</f>
        <v>0</v>
      </c>
      <c r="O455" s="401">
        <f>IFERROR(VLOOKUP($G451,'דוח ביצוע (3)'!$B$21:$U$500,19,0),0)</f>
        <v>0</v>
      </c>
      <c r="P455" s="595"/>
      <c r="Q455" s="595"/>
      <c r="R455" s="596"/>
      <c r="S455" s="610"/>
      <c r="T455" s="881"/>
      <c r="U455" s="598"/>
      <c r="V455" s="599"/>
      <c r="W455" s="599"/>
      <c r="X455" s="599"/>
      <c r="Y455" s="879"/>
      <c r="Z455" s="85"/>
      <c r="AC455" s="493"/>
      <c r="AD455" s="495"/>
      <c r="AG455" s="22"/>
      <c r="AH455" s="55"/>
      <c r="AI455" s="55"/>
      <c r="AJ455" s="55"/>
      <c r="AK455" s="55"/>
      <c r="AO455" s="22"/>
      <c r="AP455" s="22"/>
      <c r="AQ455" s="22"/>
      <c r="AR455" s="22"/>
      <c r="AS455" s="22"/>
      <c r="AT455" s="22"/>
      <c r="AU455" s="35"/>
      <c r="AV455" s="35"/>
      <c r="AW455" s="35"/>
      <c r="AX455" s="35"/>
      <c r="AY455" s="35"/>
      <c r="AZ455" s="35"/>
      <c r="BA455" s="35"/>
      <c r="BB455" s="35"/>
      <c r="BC455" s="35"/>
      <c r="BD455" s="35"/>
      <c r="BE455" s="35"/>
      <c r="BF455" s="35"/>
      <c r="BG455" s="35"/>
      <c r="BH455" s="35"/>
      <c r="BI455" s="35"/>
      <c r="BJ455" s="35"/>
      <c r="BK455" s="35"/>
      <c r="BL455" s="35"/>
      <c r="BM455" s="35"/>
      <c r="BN455" s="35"/>
      <c r="BO455" s="86"/>
    </row>
    <row r="456" spans="1:67" s="20" customFormat="1" ht="16.5" thickBot="1" x14ac:dyDescent="0.3">
      <c r="A456" s="520">
        <f>IFERROR(VLOOKUP($G$5,'רשימת רשויות'!A:C,3,0),0)</f>
        <v>0</v>
      </c>
      <c r="B456" s="520">
        <f t="shared" si="54"/>
        <v>0</v>
      </c>
      <c r="C456" s="39"/>
      <c r="D456" s="1134"/>
      <c r="E456" s="1137"/>
      <c r="F456" s="586" t="s">
        <v>2355</v>
      </c>
      <c r="G456" s="514">
        <f>IFERROR(IF(VLOOKUP('בית ספר - תקצוב לפי מוסד (9)'!G451,' איוש משרות (8)'!$C:$K,9,0)="תקין","תקין","לא תקין"),0)</f>
        <v>0</v>
      </c>
      <c r="H456" s="91"/>
      <c r="I456" s="91"/>
      <c r="J456" s="91"/>
      <c r="K456" s="90"/>
      <c r="L456" s="90"/>
      <c r="M456" s="402" t="s">
        <v>2586</v>
      </c>
      <c r="N456" s="403">
        <f>IFERROR(MIN(N454,N455),0)</f>
        <v>0</v>
      </c>
      <c r="O456" s="404">
        <f>IFERROR(MIN(O454,O455),0)</f>
        <v>0</v>
      </c>
      <c r="P456" s="595"/>
      <c r="Q456" s="595"/>
      <c r="R456" s="596"/>
      <c r="S456" s="610"/>
      <c r="T456" s="881"/>
      <c r="U456" s="598"/>
      <c r="V456" s="599"/>
      <c r="W456" s="599"/>
      <c r="X456" s="599"/>
      <c r="Y456" s="879"/>
      <c r="Z456" s="85"/>
      <c r="AC456" s="493"/>
      <c r="AD456" s="495"/>
      <c r="AG456" s="94"/>
      <c r="AH456" s="40"/>
      <c r="AI456" s="40"/>
      <c r="AJ456" s="40"/>
      <c r="AK456" s="40"/>
      <c r="AO456" s="22"/>
      <c r="AP456" s="22"/>
      <c r="AQ456" s="22"/>
      <c r="AR456" s="22"/>
      <c r="AS456" s="22"/>
      <c r="AT456" s="22"/>
      <c r="AU456" s="35"/>
      <c r="AV456" s="35"/>
      <c r="AW456" s="35"/>
      <c r="AX456" s="35"/>
      <c r="AY456" s="35"/>
      <c r="AZ456" s="35"/>
      <c r="BA456" s="35"/>
      <c r="BB456" s="35"/>
      <c r="BC456" s="35"/>
      <c r="BD456" s="35"/>
      <c r="BE456" s="35"/>
      <c r="BF456" s="35"/>
      <c r="BG456" s="35"/>
      <c r="BH456" s="35"/>
      <c r="BI456" s="35"/>
      <c r="BJ456" s="35"/>
      <c r="BK456" s="35"/>
      <c r="BL456" s="35"/>
      <c r="BM456" s="35"/>
      <c r="BN456" s="35"/>
      <c r="BO456" s="86"/>
    </row>
    <row r="457" spans="1:67" s="55" customFormat="1" ht="37.15" customHeight="1" thickBot="1" x14ac:dyDescent="0.3">
      <c r="A457" s="520">
        <f>IFERROR(VLOOKUP($G$5,'רשימת רשויות'!A:C,3,0),0)</f>
        <v>0</v>
      </c>
      <c r="B457" s="520">
        <f t="shared" si="54"/>
        <v>0</v>
      </c>
      <c r="C457" s="39"/>
      <c r="D457" s="1134"/>
      <c r="E457" s="1137"/>
      <c r="F457" s="587" t="s">
        <v>142</v>
      </c>
      <c r="G457" s="92"/>
      <c r="H457" s="92"/>
      <c r="I457" s="92"/>
      <c r="J457" s="92"/>
      <c r="K457" s="602"/>
      <c r="L457" s="602"/>
      <c r="M457" s="602"/>
      <c r="N457" s="602"/>
      <c r="O457" s="602"/>
      <c r="P457" s="595"/>
      <c r="Q457" s="595"/>
      <c r="R457" s="596"/>
      <c r="S457" s="610"/>
      <c r="T457" s="881"/>
      <c r="U457" s="598"/>
      <c r="V457" s="599"/>
      <c r="W457" s="599"/>
      <c r="X457" s="599"/>
      <c r="Y457" s="879"/>
      <c r="Z457" s="93"/>
      <c r="AC457" s="493"/>
      <c r="AD457" s="495"/>
      <c r="AF457" s="22"/>
      <c r="AG457" s="98"/>
      <c r="AH457" s="98"/>
      <c r="AI457" s="40"/>
      <c r="AJ457" s="40"/>
      <c r="AK457" s="40"/>
      <c r="AO457" s="22"/>
      <c r="AP457" s="22"/>
      <c r="AQ457" s="22"/>
      <c r="AR457" s="22"/>
      <c r="AS457" s="22"/>
      <c r="AT457" s="22"/>
      <c r="AU457" s="35"/>
      <c r="AV457" s="35"/>
      <c r="AW457" s="35"/>
      <c r="AX457" s="35"/>
      <c r="AY457" s="35"/>
      <c r="AZ457" s="35"/>
      <c r="BA457" s="35"/>
      <c r="BB457" s="35"/>
      <c r="BC457" s="35"/>
      <c r="BD457" s="35"/>
      <c r="BE457" s="35"/>
      <c r="BF457" s="35"/>
      <c r="BG457" s="35"/>
      <c r="BH457" s="35"/>
      <c r="BI457" s="35"/>
      <c r="BJ457" s="35"/>
      <c r="BK457" s="35"/>
      <c r="BL457" s="35"/>
      <c r="BM457" s="35"/>
      <c r="BN457" s="35"/>
      <c r="BO457" s="86"/>
    </row>
    <row r="458" spans="1:67" s="40" customFormat="1" ht="31.5" x14ac:dyDescent="0.25">
      <c r="A458" s="520">
        <f>IFERROR(VLOOKUP($G$5,'רשימת רשויות'!A:C,3,0),0)</f>
        <v>0</v>
      </c>
      <c r="B458" s="520">
        <f t="shared" si="54"/>
        <v>0</v>
      </c>
      <c r="C458" s="39"/>
      <c r="D458" s="1134"/>
      <c r="E458" s="1137"/>
      <c r="F458" s="588" t="s">
        <v>94</v>
      </c>
      <c r="G458" s="95" t="s">
        <v>18</v>
      </c>
      <c r="H458" s="95" t="s">
        <v>19</v>
      </c>
      <c r="I458" s="95" t="s">
        <v>138</v>
      </c>
      <c r="J458" s="96" t="s">
        <v>139</v>
      </c>
      <c r="K458" s="603"/>
      <c r="L458" s="603"/>
      <c r="M458" s="603"/>
      <c r="N458" s="603"/>
      <c r="O458" s="603"/>
      <c r="P458" s="604"/>
      <c r="Q458" s="604"/>
      <c r="R458" s="596"/>
      <c r="S458" s="610"/>
      <c r="T458" s="881"/>
      <c r="U458" s="598"/>
      <c r="V458" s="599"/>
      <c r="W458" s="599"/>
      <c r="X458" s="599"/>
      <c r="Y458" s="879"/>
      <c r="Z458" s="97"/>
      <c r="AA458" s="94"/>
      <c r="AB458" s="94"/>
      <c r="AC458" s="493"/>
      <c r="AD458" s="495"/>
      <c r="AE458" s="94"/>
      <c r="AG458" s="98"/>
      <c r="AH458" s="98"/>
      <c r="AO458" s="22"/>
      <c r="AP458" s="22"/>
      <c r="AQ458" s="22"/>
      <c r="AR458" s="22"/>
      <c r="AS458" s="22"/>
      <c r="AT458" s="22"/>
      <c r="AU458" s="35"/>
      <c r="AV458" s="35"/>
      <c r="AW458" s="35"/>
      <c r="AX458" s="35"/>
      <c r="AY458" s="35"/>
      <c r="AZ458" s="35"/>
      <c r="BA458" s="35"/>
      <c r="BB458" s="35"/>
      <c r="BC458" s="35"/>
      <c r="BD458" s="35"/>
      <c r="BE458" s="35"/>
      <c r="BF458" s="35"/>
      <c r="BG458" s="35"/>
      <c r="BH458" s="35"/>
      <c r="BI458" s="35"/>
      <c r="BJ458" s="35"/>
      <c r="BK458" s="35"/>
      <c r="BL458" s="35"/>
      <c r="BM458" s="35"/>
      <c r="BN458" s="35"/>
      <c r="BO458" s="86"/>
    </row>
    <row r="459" spans="1:67" s="40" customFormat="1" ht="15.75" customHeight="1" thickBot="1" x14ac:dyDescent="0.3">
      <c r="A459" s="520">
        <f>IFERROR(VLOOKUP($G$5,'רשימת רשויות'!A:C,3,0),0)</f>
        <v>0</v>
      </c>
      <c r="B459" s="520">
        <f t="shared" si="54"/>
        <v>0</v>
      </c>
      <c r="C459" s="39"/>
      <c r="D459" s="1134"/>
      <c r="E459" s="1137"/>
      <c r="F459" s="589" t="s">
        <v>2280</v>
      </c>
      <c r="G459" s="99">
        <f>+G470</f>
        <v>0</v>
      </c>
      <c r="H459" s="100">
        <f>K453</f>
        <v>0</v>
      </c>
      <c r="I459" s="100">
        <f>H459-I461</f>
        <v>0</v>
      </c>
      <c r="J459" s="101">
        <f>IFERROR(I459/H459,0)</f>
        <v>0</v>
      </c>
      <c r="K459" s="603"/>
      <c r="L459" s="603"/>
      <c r="M459" s="603"/>
      <c r="N459" s="603"/>
      <c r="O459" s="603"/>
      <c r="P459" s="605"/>
      <c r="Q459" s="604"/>
      <c r="R459" s="606" t="s">
        <v>157</v>
      </c>
      <c r="S459" s="611"/>
      <c r="T459" s="881"/>
      <c r="U459" s="598"/>
      <c r="V459" s="599"/>
      <c r="W459" s="599"/>
      <c r="X459" s="599"/>
      <c r="Y459" s="879"/>
      <c r="Z459" s="102"/>
      <c r="AA459" s="122"/>
      <c r="AB459" s="122"/>
      <c r="AC459" s="493"/>
      <c r="AD459" s="495"/>
      <c r="AE459" s="122"/>
      <c r="AF459" s="22"/>
      <c r="AG459" s="98"/>
      <c r="AH459" s="98"/>
      <c r="AI459" s="20"/>
      <c r="AO459" s="22"/>
      <c r="AP459" s="22"/>
      <c r="AQ459" s="22"/>
      <c r="AR459" s="22"/>
      <c r="AS459" s="22"/>
      <c r="AT459" s="22"/>
      <c r="AU459" s="35"/>
      <c r="AV459" s="35"/>
      <c r="AW459" s="35"/>
      <c r="AX459" s="35"/>
      <c r="AY459" s="35"/>
      <c r="AZ459" s="35"/>
      <c r="BA459" s="35"/>
      <c r="BB459" s="35"/>
      <c r="BC459" s="35"/>
      <c r="BD459" s="35"/>
      <c r="BE459" s="35"/>
      <c r="BF459" s="35"/>
      <c r="BG459" s="35"/>
      <c r="BH459" s="35"/>
      <c r="BI459" s="35"/>
      <c r="BJ459" s="35"/>
      <c r="BK459" s="35"/>
      <c r="BL459" s="35"/>
      <c r="BM459" s="35"/>
      <c r="BN459" s="35"/>
      <c r="BO459" s="86"/>
    </row>
    <row r="460" spans="1:67" s="40" customFormat="1" ht="15.75" customHeight="1" thickBot="1" x14ac:dyDescent="0.3">
      <c r="A460" s="520">
        <f>IFERROR(VLOOKUP($G$5,'רשימת רשויות'!A:C,3,0),0)</f>
        <v>0</v>
      </c>
      <c r="B460" s="520">
        <f t="shared" si="54"/>
        <v>0</v>
      </c>
      <c r="C460" s="39"/>
      <c r="D460" s="1134"/>
      <c r="E460" s="1137"/>
      <c r="F460" s="589" t="s">
        <v>2281</v>
      </c>
      <c r="G460" s="99">
        <f>+G469</f>
        <v>0</v>
      </c>
      <c r="H460" s="103"/>
      <c r="I460" s="104"/>
      <c r="J460" s="105"/>
      <c r="K460" s="603"/>
      <c r="L460" s="603"/>
      <c r="M460" s="603"/>
      <c r="N460" s="603"/>
      <c r="O460" s="603"/>
      <c r="P460" s="605"/>
      <c r="Q460" s="604"/>
      <c r="R460" s="473">
        <f>I461-R462</f>
        <v>0</v>
      </c>
      <c r="S460" s="611"/>
      <c r="T460" s="881"/>
      <c r="U460" s="598"/>
      <c r="V460" s="599"/>
      <c r="W460" s="599"/>
      <c r="X460" s="599"/>
      <c r="Y460" s="879"/>
      <c r="Z460" s="106"/>
      <c r="AA460" s="22"/>
      <c r="AB460" s="22"/>
      <c r="AC460" s="493"/>
      <c r="AD460" s="495"/>
      <c r="AE460" s="22"/>
      <c r="AF460" s="22"/>
      <c r="AG460" s="98"/>
      <c r="AH460" s="98"/>
      <c r="AI460" s="20"/>
      <c r="AO460" s="22"/>
      <c r="AP460" s="22"/>
      <c r="AQ460" s="22"/>
      <c r="AR460" s="22"/>
      <c r="AS460" s="22"/>
      <c r="AT460" s="22"/>
      <c r="AU460" s="35"/>
      <c r="AV460" s="35"/>
      <c r="AW460" s="35"/>
      <c r="AX460" s="35"/>
      <c r="AY460" s="35"/>
      <c r="AZ460" s="35"/>
      <c r="BA460" s="35"/>
      <c r="BB460" s="35"/>
      <c r="BC460" s="35"/>
      <c r="BD460" s="35"/>
      <c r="BE460" s="35"/>
      <c r="BF460" s="35"/>
      <c r="BG460" s="35"/>
      <c r="BH460" s="35"/>
      <c r="BI460" s="35"/>
      <c r="BJ460" s="35"/>
      <c r="BK460" s="35"/>
      <c r="BL460" s="35"/>
      <c r="BM460" s="35"/>
      <c r="BN460" s="35"/>
      <c r="BO460" s="86"/>
    </row>
    <row r="461" spans="1:67" s="40" customFormat="1" ht="16.5" customHeight="1" thickBot="1" x14ac:dyDescent="0.3">
      <c r="A461" s="520">
        <f>IFERROR(VLOOKUP($G$5,'רשימת רשויות'!A:C,3,0),0)</f>
        <v>0</v>
      </c>
      <c r="B461" s="520">
        <f t="shared" si="54"/>
        <v>0</v>
      </c>
      <c r="C461" s="39"/>
      <c r="D461" s="1134"/>
      <c r="E461" s="1137"/>
      <c r="F461" s="589" t="s">
        <v>2282</v>
      </c>
      <c r="G461" s="99">
        <f>G465+G466+G467</f>
        <v>0</v>
      </c>
      <c r="H461" s="104"/>
      <c r="I461" s="107">
        <f>MAX(H459-G459-G460,0)</f>
        <v>0</v>
      </c>
      <c r="J461" s="108">
        <f>IFERROR(I461/H459,0)</f>
        <v>0</v>
      </c>
      <c r="K461" s="603"/>
      <c r="L461" s="603"/>
      <c r="M461" s="603"/>
      <c r="N461" s="603"/>
      <c r="O461" s="603"/>
      <c r="P461" s="604"/>
      <c r="Q461" s="604"/>
      <c r="R461" s="606" t="s">
        <v>158</v>
      </c>
      <c r="S461" s="612"/>
      <c r="T461" s="881"/>
      <c r="U461" s="598"/>
      <c r="V461" s="599"/>
      <c r="W461" s="599"/>
      <c r="X461" s="599"/>
      <c r="Y461" s="879"/>
      <c r="Z461" s="106"/>
      <c r="AA461" s="22"/>
      <c r="AB461" s="22"/>
      <c r="AC461" s="493"/>
      <c r="AD461" s="495"/>
      <c r="AE461" s="22"/>
      <c r="AF461" s="22"/>
      <c r="AG461" s="22"/>
      <c r="AH461" s="22"/>
      <c r="AI461" s="55"/>
      <c r="AJ461" s="22"/>
      <c r="AK461" s="22"/>
      <c r="AO461" s="22"/>
      <c r="AP461" s="22"/>
      <c r="AQ461" s="22"/>
      <c r="AR461" s="22"/>
      <c r="AS461" s="22"/>
      <c r="AT461" s="22"/>
      <c r="AU461" s="35"/>
      <c r="AV461" s="35"/>
      <c r="AW461" s="35"/>
      <c r="AX461" s="35"/>
      <c r="AY461" s="35"/>
      <c r="AZ461" s="35"/>
      <c r="BA461" s="35"/>
      <c r="BB461" s="35"/>
      <c r="BC461" s="35"/>
      <c r="BD461" s="35"/>
      <c r="BE461" s="35"/>
      <c r="BF461" s="35"/>
      <c r="BG461" s="35"/>
      <c r="BH461" s="35"/>
      <c r="BI461" s="35"/>
      <c r="BJ461" s="35"/>
      <c r="BK461" s="35"/>
      <c r="BL461" s="35"/>
      <c r="BM461" s="35"/>
      <c r="BN461" s="35"/>
      <c r="BO461" s="86"/>
    </row>
    <row r="462" spans="1:67" s="40" customFormat="1" ht="15.75" customHeight="1" thickBot="1" x14ac:dyDescent="0.3">
      <c r="A462" s="520">
        <f>IFERROR(VLOOKUP($G$5,'רשימת רשויות'!A:C,3,0),0)</f>
        <v>0</v>
      </c>
      <c r="B462" s="520">
        <f t="shared" ref="B462:B525" si="63">IF(F463="סמל המוסד",G463,B461)</f>
        <v>0</v>
      </c>
      <c r="C462" s="39"/>
      <c r="D462" s="1134"/>
      <c r="E462" s="1137"/>
      <c r="F462" s="590" t="s">
        <v>2290</v>
      </c>
      <c r="G462" s="109"/>
      <c r="H462" s="110"/>
      <c r="I462" s="111">
        <f>SUM(I459:I461)</f>
        <v>0</v>
      </c>
      <c r="J462" s="112">
        <f>SUM(J459:J461)</f>
        <v>0</v>
      </c>
      <c r="K462" s="603"/>
      <c r="L462" s="603"/>
      <c r="M462" s="603"/>
      <c r="N462" s="603"/>
      <c r="O462" s="603"/>
      <c r="P462" s="604"/>
      <c r="Q462" s="604"/>
      <c r="R462" s="473">
        <f>MIN(MAX(G466+G467-I455-J455,0),I461)</f>
        <v>0</v>
      </c>
      <c r="S462" s="612"/>
      <c r="T462" s="881"/>
      <c r="U462" s="598"/>
      <c r="V462" s="599"/>
      <c r="W462" s="599"/>
      <c r="X462" s="599"/>
      <c r="Y462" s="879"/>
      <c r="Z462" s="106"/>
      <c r="AA462" s="22"/>
      <c r="AB462" s="22"/>
      <c r="AC462" s="493"/>
      <c r="AD462" s="495"/>
      <c r="AE462" s="22"/>
      <c r="AF462" s="22"/>
      <c r="AG462" s="22"/>
      <c r="AH462" s="22"/>
      <c r="AJ462" s="22"/>
      <c r="AK462" s="22"/>
      <c r="AO462" s="22"/>
      <c r="AP462" s="22"/>
      <c r="AQ462" s="22"/>
      <c r="AR462" s="22"/>
      <c r="AS462" s="22"/>
      <c r="AT462" s="22"/>
      <c r="AU462" s="35"/>
      <c r="AV462" s="35"/>
      <c r="AW462" s="35"/>
      <c r="AX462" s="35"/>
      <c r="AY462" s="35"/>
      <c r="AZ462" s="35"/>
      <c r="BA462" s="35"/>
      <c r="BB462" s="35"/>
      <c r="BC462" s="35"/>
      <c r="BD462" s="35"/>
      <c r="BE462" s="35"/>
      <c r="BF462" s="35"/>
      <c r="BG462" s="35"/>
      <c r="BH462" s="35"/>
      <c r="BI462" s="35"/>
      <c r="BJ462" s="35"/>
      <c r="BK462" s="35"/>
      <c r="BL462" s="35"/>
      <c r="BM462" s="35"/>
      <c r="BN462" s="35"/>
      <c r="BO462" s="86"/>
    </row>
    <row r="463" spans="1:67" ht="16.5" thickBot="1" x14ac:dyDescent="0.3">
      <c r="A463" s="520">
        <f>IFERROR(VLOOKUP($G$5,'רשימת רשויות'!A:C,3,0),0)</f>
        <v>0</v>
      </c>
      <c r="B463" s="520">
        <f t="shared" si="63"/>
        <v>0</v>
      </c>
      <c r="D463" s="1134"/>
      <c r="E463" s="1137"/>
      <c r="F463" s="587" t="s">
        <v>17</v>
      </c>
      <c r="G463" s="113"/>
      <c r="H463" s="92"/>
      <c r="I463" s="114"/>
      <c r="J463" s="115"/>
      <c r="K463" s="116"/>
      <c r="L463" s="406"/>
      <c r="M463" s="116"/>
      <c r="N463" s="116"/>
      <c r="O463" s="116"/>
      <c r="P463" s="474"/>
      <c r="Q463" s="607"/>
      <c r="R463" s="608"/>
      <c r="S463" s="612"/>
      <c r="T463" s="881"/>
      <c r="U463" s="598"/>
      <c r="V463" s="599"/>
      <c r="W463" s="599"/>
      <c r="X463" s="599"/>
      <c r="Y463" s="879"/>
      <c r="Z463" s="106"/>
      <c r="AI463" s="40"/>
      <c r="BO463" s="86"/>
    </row>
    <row r="464" spans="1:67" ht="47.25" x14ac:dyDescent="0.25">
      <c r="A464" s="520">
        <f>IFERROR(VLOOKUP($G$5,'רשימת רשויות'!A:C,3,0),0)</f>
        <v>0</v>
      </c>
      <c r="B464" s="520">
        <f t="shared" si="63"/>
        <v>0</v>
      </c>
      <c r="D464" s="1134"/>
      <c r="E464" s="1137"/>
      <c r="F464" s="588" t="s">
        <v>2</v>
      </c>
      <c r="G464" s="95" t="s">
        <v>18</v>
      </c>
      <c r="H464" s="95" t="s">
        <v>19</v>
      </c>
      <c r="I464" s="95" t="s">
        <v>20</v>
      </c>
      <c r="J464" s="95" t="s">
        <v>22</v>
      </c>
      <c r="K464" s="96" t="s">
        <v>2314</v>
      </c>
      <c r="L464" s="609"/>
      <c r="M464" s="609"/>
      <c r="N464" s="609"/>
      <c r="O464" s="580"/>
      <c r="P464" s="618" t="s">
        <v>2298</v>
      </c>
      <c r="Q464" s="618" t="s">
        <v>2299</v>
      </c>
      <c r="R464" s="596"/>
      <c r="S464" s="890" t="s">
        <v>2519</v>
      </c>
      <c r="T464" s="890" t="s">
        <v>97</v>
      </c>
      <c r="U464" s="891" t="s">
        <v>2521</v>
      </c>
      <c r="V464" s="892" t="s">
        <v>2520</v>
      </c>
      <c r="W464" s="893" t="s">
        <v>2524</v>
      </c>
      <c r="X464" s="892" t="s">
        <v>2522</v>
      </c>
      <c r="Y464" s="894" t="s">
        <v>2523</v>
      </c>
      <c r="Z464" s="106"/>
      <c r="AC464" s="498" t="s">
        <v>2568</v>
      </c>
      <c r="AD464" s="499" t="s">
        <v>2569</v>
      </c>
      <c r="AF464" s="122"/>
      <c r="AI464" s="40"/>
      <c r="BO464" s="86"/>
    </row>
    <row r="465" spans="1:67" ht="15" customHeight="1" thickBot="1" x14ac:dyDescent="0.3">
      <c r="A465" s="520">
        <f>IFERROR(VLOOKUP($G$5,'רשימת רשויות'!A:C,3,0),0)</f>
        <v>0</v>
      </c>
      <c r="B465" s="520">
        <f t="shared" si="63"/>
        <v>0</v>
      </c>
      <c r="D465" s="1134"/>
      <c r="E465" s="1137"/>
      <c r="F465" s="589" t="s">
        <v>76</v>
      </c>
      <c r="G465" s="117">
        <f>IF(G456="תקין",SUMIF('עלויות כח אדם (6)'!$B$15:$B$3014,'בית ספר - תקצוב לפי מוסד (9)'!$G451,'עלויות כח אדם (6)'!$M$15:$M$3014)-VLOOKUP('בית ספר - תקצוב לפי מוסד (9)'!G451,' איוש משרות (8)'!$C:$H,5,0)-VLOOKUP('בית ספר - תקצוב לפי מוסד (9)'!G451,' איוש משרות (8)'!$C:$H,6,0),0)-Y465</f>
        <v>0</v>
      </c>
      <c r="H465" s="118">
        <f>I453+R460</f>
        <v>0</v>
      </c>
      <c r="I465" s="119">
        <f>IFERROR(SUM(G465)/H465,0)</f>
        <v>0</v>
      </c>
      <c r="J465" s="100">
        <f>MIN(I453+R460,IF(ISNUMBER(G465),G465,0))</f>
        <v>0</v>
      </c>
      <c r="K465" s="120">
        <f>MAX(H465-G465,0)</f>
        <v>0</v>
      </c>
      <c r="L465" s="407"/>
      <c r="M465" s="393"/>
      <c r="N465" s="393"/>
      <c r="O465" s="580"/>
      <c r="P465" s="968">
        <f>IFERROR(IF(SUM(G465)/(I453)&lt;100%,MIN((I453)-SUM(G465),(I453)*0.25),0),0)</f>
        <v>0</v>
      </c>
      <c r="Q465" s="968">
        <f>IF(SUM(G465)-(I453+R460)&gt;0,SUM(G465)-(I453+R460),0)</f>
        <v>0</v>
      </c>
      <c r="R465" s="596" t="s">
        <v>2351</v>
      </c>
      <c r="S465" s="576" t="s">
        <v>2342</v>
      </c>
      <c r="T465" s="599">
        <f>G451</f>
        <v>0</v>
      </c>
      <c r="U465" s="578"/>
      <c r="V465" s="579">
        <f>G465+G466+G467</f>
        <v>0</v>
      </c>
      <c r="W465" s="579">
        <f>U465-V465</f>
        <v>0</v>
      </c>
      <c r="X465" s="579">
        <f>IFERROR(W479*W465/(SUM(W465:W478)),0)</f>
        <v>0</v>
      </c>
      <c r="Y465" s="879">
        <f>SUMIFS(בקרה!$S:$S,בקרה!$D:$D,T465,בקרה!$K:$K,S465)</f>
        <v>0</v>
      </c>
      <c r="Z465" s="121"/>
      <c r="AA465" s="143"/>
      <c r="AB465" s="143"/>
      <c r="AC465" s="504">
        <v>0</v>
      </c>
      <c r="AD465" s="505">
        <f>IFERROR(U465-AC465,0)</f>
        <v>0</v>
      </c>
      <c r="AE465" s="143"/>
      <c r="AI465" s="20"/>
      <c r="BO465" s="86"/>
    </row>
    <row r="466" spans="1:67" ht="15" customHeight="1" thickBot="1" x14ac:dyDescent="0.3">
      <c r="A466" s="520">
        <f>IFERROR(VLOOKUP($G$5,'רשימת רשויות'!A:C,3,0),0)</f>
        <v>0</v>
      </c>
      <c r="B466" s="520">
        <f t="shared" si="63"/>
        <v>0</v>
      </c>
      <c r="D466" s="1134"/>
      <c r="E466" s="1137"/>
      <c r="F466" s="589" t="s">
        <v>44</v>
      </c>
      <c r="G466" s="123">
        <f>IF(G456="תקין",IFERROR(VLOOKUP('בית ספר - תקצוב לפי מוסד (9)'!G451,' איוש משרות (8)'!C:J,7,0),0),0)</f>
        <v>0</v>
      </c>
      <c r="H466" s="124">
        <f>I455+R462+J455</f>
        <v>0</v>
      </c>
      <c r="I466" s="119">
        <f>IFERROR(SUM(G466:G467)/H466,0)</f>
        <v>0</v>
      </c>
      <c r="J466" s="100">
        <f>MIN(R462+I455,IF(ISNUMBER(SUM(G466:G467)),SUM(G466:G467),0))</f>
        <v>0</v>
      </c>
      <c r="K466" s="1139">
        <f>MAX((H466)-(G466+G467),0)</f>
        <v>0</v>
      </c>
      <c r="L466" s="407"/>
      <c r="M466" s="393"/>
      <c r="N466" s="393"/>
      <c r="O466" s="580"/>
      <c r="P466" s="1140"/>
      <c r="Q466" s="1140"/>
      <c r="R466" s="617">
        <f>MAX(MIN(P474-Q474,H474*0.15-G472),0)</f>
        <v>0</v>
      </c>
      <c r="S466" s="576"/>
      <c r="T466" s="599">
        <f>G451</f>
        <v>0</v>
      </c>
      <c r="U466" s="578"/>
      <c r="V466" s="579"/>
      <c r="W466" s="579">
        <f t="shared" ref="W466:W478" si="64">U466-V466</f>
        <v>0</v>
      </c>
      <c r="X466" s="579"/>
      <c r="Y466" s="879"/>
      <c r="Z466" s="121"/>
      <c r="AA466" s="143"/>
      <c r="AB466" s="143"/>
      <c r="AC466" s="504"/>
      <c r="AD466" s="505">
        <f t="shared" ref="AD466:AD472" si="65">IFERROR(U466-AC466,0)</f>
        <v>0</v>
      </c>
      <c r="AE466" s="143"/>
      <c r="AI466" s="20"/>
      <c r="BO466" s="86"/>
    </row>
    <row r="467" spans="1:67" ht="15.75" customHeight="1" x14ac:dyDescent="0.25">
      <c r="A467" s="520">
        <f>IFERROR(VLOOKUP($G$5,'רשימת רשויות'!A:C,3,0),0)</f>
        <v>0</v>
      </c>
      <c r="B467" s="520">
        <f t="shared" si="63"/>
        <v>0</v>
      </c>
      <c r="D467" s="1134"/>
      <c r="E467" s="1137"/>
      <c r="F467" s="589" t="s">
        <v>45</v>
      </c>
      <c r="G467" s="123">
        <f>IF(G456="תקין",IFERROR(VLOOKUP('בית ספר - תקצוב לפי מוסד (9)'!G451,' איוש משרות (8)'!C:J,8,0),0),0)</f>
        <v>0</v>
      </c>
      <c r="H467" s="125"/>
      <c r="I467" s="126"/>
      <c r="J467" s="104"/>
      <c r="K467" s="1139"/>
      <c r="L467" s="407"/>
      <c r="M467" s="393"/>
      <c r="N467" s="393"/>
      <c r="O467" s="580"/>
      <c r="P467" s="1140"/>
      <c r="Q467" s="1140"/>
      <c r="R467" s="596"/>
      <c r="S467" s="576"/>
      <c r="T467" s="599">
        <f>G451</f>
        <v>0</v>
      </c>
      <c r="U467" s="578"/>
      <c r="V467" s="579"/>
      <c r="W467" s="579">
        <f t="shared" si="64"/>
        <v>0</v>
      </c>
      <c r="X467" s="579"/>
      <c r="Y467" s="879"/>
      <c r="Z467" s="121"/>
      <c r="AA467" s="143"/>
      <c r="AB467" s="143"/>
      <c r="AC467" s="504"/>
      <c r="AD467" s="505">
        <f t="shared" si="65"/>
        <v>0</v>
      </c>
      <c r="AE467" s="143"/>
      <c r="AG467" s="55"/>
      <c r="AH467" s="55"/>
      <c r="AI467" s="55"/>
      <c r="AJ467" s="55"/>
      <c r="AK467" s="55"/>
      <c r="BO467" s="86"/>
    </row>
    <row r="468" spans="1:67" ht="15.75" customHeight="1" x14ac:dyDescent="0.25">
      <c r="A468" s="520">
        <f>IFERROR(VLOOKUP($G$5,'רשימת רשויות'!A:C,3,0),0)</f>
        <v>0</v>
      </c>
      <c r="B468" s="520">
        <f t="shared" si="63"/>
        <v>0</v>
      </c>
      <c r="D468" s="1134"/>
      <c r="E468" s="1137"/>
      <c r="F468" s="589" t="s">
        <v>0</v>
      </c>
      <c r="G468" s="117">
        <f>IF(G456="תקין",SUMIFS('דוח הוצאות בפועל (4)'!$E$17:$E$3016,'דוח הוצאות בפועל (4)'!$B$17:$B$3016,'בית ספר - תקצוב לפי מוסד (9)'!$G451,'דוח הוצאות בפועל (4)'!$M$17:$M$3016,"הע"),0)-Y468</f>
        <v>0</v>
      </c>
      <c r="H468" s="127">
        <f>J453</f>
        <v>0</v>
      </c>
      <c r="I468" s="128">
        <f>IFERROR(G468/H468,0)</f>
        <v>0</v>
      </c>
      <c r="J468" s="129">
        <f>MIN(IF(ISNUMBER(G468),G468,0),H468)</f>
        <v>0</v>
      </c>
      <c r="K468" s="120">
        <f>MAX(H468-G468,0)</f>
        <v>0</v>
      </c>
      <c r="L468" s="407"/>
      <c r="M468" s="393"/>
      <c r="N468" s="393"/>
      <c r="O468" s="580"/>
      <c r="P468" s="968">
        <f>MAX(IF(I468&lt;100%,MIN((H468-G468),H468*0.25),0),0)</f>
        <v>0</v>
      </c>
      <c r="Q468" s="619">
        <f>IF(G468-H468&gt;0,G468-H468,0)</f>
        <v>0</v>
      </c>
      <c r="R468" s="596"/>
      <c r="S468" s="610" t="s">
        <v>0</v>
      </c>
      <c r="T468" s="599">
        <f>G451</f>
        <v>0</v>
      </c>
      <c r="U468" s="578"/>
      <c r="V468" s="579">
        <f>G468</f>
        <v>0</v>
      </c>
      <c r="W468" s="579">
        <f t="shared" si="64"/>
        <v>0</v>
      </c>
      <c r="X468" s="579">
        <f>IFERROR(W479*W468/(SUM(W465:W478)),0)</f>
        <v>0</v>
      </c>
      <c r="Y468" s="879">
        <f>SUMIFS(בקרה!$S:$S,בקרה!$D:$D,T468,בקרה!$K:$K,S468)</f>
        <v>0</v>
      </c>
      <c r="Z468" s="121"/>
      <c r="AA468" s="143"/>
      <c r="AB468" s="143"/>
      <c r="AC468" s="504">
        <v>0</v>
      </c>
      <c r="AD468" s="505">
        <f t="shared" si="65"/>
        <v>0</v>
      </c>
      <c r="AE468" s="143"/>
      <c r="AG468" s="55"/>
      <c r="AH468" s="55"/>
      <c r="AI468" s="40"/>
      <c r="AJ468" s="55"/>
      <c r="AK468" s="55"/>
      <c r="BO468" s="86"/>
    </row>
    <row r="469" spans="1:67" s="55" customFormat="1" ht="15.75" customHeight="1" x14ac:dyDescent="0.25">
      <c r="A469" s="520">
        <f>IFERROR(VLOOKUP($G$5,'רשימת רשויות'!A:C,3,0),0)</f>
        <v>0</v>
      </c>
      <c r="B469" s="520">
        <f t="shared" si="63"/>
        <v>0</v>
      </c>
      <c r="C469" s="39"/>
      <c r="D469" s="1134"/>
      <c r="E469" s="1137"/>
      <c r="F469" s="589" t="s">
        <v>93</v>
      </c>
      <c r="G469" s="130">
        <f>IF(G456="תקין",SUMIFS('דוח הוצאות בפועל (4)'!$E$17:$E$3016,'דוח הוצאות בפועל (4)'!$B$17:$B$3016,'בית ספר - תקצוב לפי מוסד (9)'!$G451,'דוח הוצאות בפועל (4)'!$M$17:$M$3016,"אר"),0)-Y469</f>
        <v>0</v>
      </c>
      <c r="H469" s="118">
        <f>$I459</f>
        <v>0</v>
      </c>
      <c r="I469" s="131">
        <f>IFERROR((G469+G470)/H469,0)</f>
        <v>0</v>
      </c>
      <c r="J469" s="100">
        <f>MIN((IF(ISNUMBER(G469),G469,0)+IF(ISNUMBER(G470),G470,0)),H469)</f>
        <v>0</v>
      </c>
      <c r="K469" s="1139">
        <f>MAX((H469)-(G469+G470),0)</f>
        <v>0</v>
      </c>
      <c r="L469" s="407"/>
      <c r="M469" s="393"/>
      <c r="N469" s="393"/>
      <c r="O469" s="602"/>
      <c r="P469" s="1141"/>
      <c r="Q469" s="1142"/>
      <c r="R469" s="596"/>
      <c r="S469" s="610" t="s">
        <v>93</v>
      </c>
      <c r="T469" s="599">
        <f>G451</f>
        <v>0</v>
      </c>
      <c r="U469" s="578"/>
      <c r="V469" s="579">
        <f t="shared" ref="V469:V470" si="66">G469</f>
        <v>0</v>
      </c>
      <c r="W469" s="579">
        <f t="shared" si="64"/>
        <v>0</v>
      </c>
      <c r="X469" s="579">
        <f>IFERROR(W479*W469/(SUM(W465:W478)),0)</f>
        <v>0</v>
      </c>
      <c r="Y469" s="879">
        <f>SUMIFS(בקרה!$S:$S,בקרה!$D:$D,T469,בקרה!$K:$K,S469)</f>
        <v>0</v>
      </c>
      <c r="Z469" s="121"/>
      <c r="AA469" s="143"/>
      <c r="AB469" s="143"/>
      <c r="AC469" s="504">
        <v>0</v>
      </c>
      <c r="AD469" s="505">
        <f t="shared" si="65"/>
        <v>0</v>
      </c>
      <c r="AE469" s="143"/>
      <c r="AJ469" s="22"/>
      <c r="AO469" s="22"/>
      <c r="AP469" s="22"/>
      <c r="AQ469" s="22"/>
      <c r="AR469" s="22"/>
      <c r="AS469" s="22"/>
      <c r="AT469" s="22"/>
      <c r="AU469" s="35"/>
      <c r="AV469" s="35"/>
      <c r="AW469" s="35"/>
      <c r="AX469" s="35"/>
      <c r="AY469" s="35"/>
      <c r="AZ469" s="35"/>
      <c r="BA469" s="35"/>
      <c r="BB469" s="35"/>
      <c r="BC469" s="35"/>
      <c r="BD469" s="35"/>
      <c r="BE469" s="35"/>
      <c r="BF469" s="35"/>
      <c r="BG469" s="35"/>
      <c r="BH469" s="35"/>
      <c r="BI469" s="35"/>
      <c r="BJ469" s="35"/>
      <c r="BK469" s="35"/>
      <c r="BL469" s="35"/>
      <c r="BM469" s="35"/>
      <c r="BN469" s="35"/>
      <c r="BO469" s="86"/>
    </row>
    <row r="470" spans="1:67" s="55" customFormat="1" ht="15.75" customHeight="1" x14ac:dyDescent="0.25">
      <c r="A470" s="520">
        <f>IFERROR(VLOOKUP($G$5,'רשימת רשויות'!A:C,3,0),0)</f>
        <v>0</v>
      </c>
      <c r="B470" s="520">
        <f t="shared" si="63"/>
        <v>0</v>
      </c>
      <c r="C470" s="39"/>
      <c r="D470" s="1134"/>
      <c r="E470" s="1137"/>
      <c r="F470" s="589" t="s">
        <v>46</v>
      </c>
      <c r="G470" s="130">
        <f>IF(G456="תקין",SUMIFS('דוח הוצאות בפועל (4)'!$E$17:$E$3016,'דוח הוצאות בפועל (4)'!$B$17:$B$3016,'בית ספר - תקצוב לפי מוסד (9)'!$G451,'דוח הוצאות בפועל (4)'!$M$17:$M$3016,"מל"),0)-Y470</f>
        <v>0</v>
      </c>
      <c r="H470" s="132"/>
      <c r="I470" s="133"/>
      <c r="J470" s="104"/>
      <c r="K470" s="1139"/>
      <c r="L470" s="407"/>
      <c r="M470" s="393"/>
      <c r="N470" s="393"/>
      <c r="O470" s="602"/>
      <c r="P470" s="1141"/>
      <c r="Q470" s="1142"/>
      <c r="R470" s="596"/>
      <c r="S470" s="610" t="s">
        <v>46</v>
      </c>
      <c r="T470" s="599">
        <f>G451</f>
        <v>0</v>
      </c>
      <c r="U470" s="578"/>
      <c r="V470" s="579">
        <f t="shared" si="66"/>
        <v>0</v>
      </c>
      <c r="W470" s="579">
        <f t="shared" si="64"/>
        <v>0</v>
      </c>
      <c r="X470" s="579">
        <f>IFERROR(W479*W470/(SUM(W465:W478)),0)</f>
        <v>0</v>
      </c>
      <c r="Y470" s="879">
        <f>SUMIFS(בקרה!$S:$S,בקרה!$D:$D,T470,בקרה!$K:$K,S470)</f>
        <v>0</v>
      </c>
      <c r="Z470" s="121"/>
      <c r="AA470" s="143"/>
      <c r="AB470" s="143"/>
      <c r="AC470" s="504">
        <v>0</v>
      </c>
      <c r="AD470" s="505">
        <f t="shared" si="65"/>
        <v>0</v>
      </c>
      <c r="AE470" s="143"/>
      <c r="AJ470" s="22"/>
      <c r="AO470" s="22"/>
      <c r="AP470" s="22"/>
      <c r="AQ470" s="22"/>
      <c r="AR470" s="22"/>
      <c r="AS470" s="22"/>
      <c r="AT470" s="22"/>
      <c r="AU470" s="35"/>
      <c r="AV470" s="35"/>
      <c r="AW470" s="35"/>
      <c r="AX470" s="35"/>
      <c r="AY470" s="35"/>
      <c r="AZ470" s="35"/>
      <c r="BA470" s="35"/>
      <c r="BB470" s="35"/>
      <c r="BC470" s="35"/>
      <c r="BD470" s="35"/>
      <c r="BE470" s="35"/>
      <c r="BF470" s="35"/>
      <c r="BG470" s="35"/>
      <c r="BH470" s="35"/>
      <c r="BI470" s="35"/>
      <c r="BJ470" s="35"/>
      <c r="BK470" s="35"/>
      <c r="BL470" s="35"/>
      <c r="BM470" s="35"/>
      <c r="BN470" s="35"/>
      <c r="BO470" s="86"/>
    </row>
    <row r="471" spans="1:67" s="55" customFormat="1" ht="15" customHeight="1" x14ac:dyDescent="0.25">
      <c r="A471" s="520">
        <f>IFERROR(VLOOKUP($G$5,'רשימת רשויות'!A:C,3,0),0)</f>
        <v>0</v>
      </c>
      <c r="B471" s="520">
        <f t="shared" si="63"/>
        <v>0</v>
      </c>
      <c r="C471" s="39"/>
      <c r="D471" s="1134"/>
      <c r="E471" s="1137"/>
      <c r="F471" s="591" t="s">
        <v>23</v>
      </c>
      <c r="G471" s="134">
        <f>SUM(G465:G470)</f>
        <v>0</v>
      </c>
      <c r="H471" s="135">
        <f>SUM(H465:H470)</f>
        <v>0</v>
      </c>
      <c r="I471" s="128">
        <f>IFERROR(G471/H471,0)</f>
        <v>0</v>
      </c>
      <c r="J471" s="136">
        <f>SUM(J465:J470)</f>
        <v>0</v>
      </c>
      <c r="K471" s="137">
        <f>SUM(K465:K470)</f>
        <v>0</v>
      </c>
      <c r="L471" s="408"/>
      <c r="M471" s="394"/>
      <c r="N471" s="394"/>
      <c r="O471" s="602"/>
      <c r="P471" s="620">
        <f>SUM(P465:P470)</f>
        <v>0</v>
      </c>
      <c r="Q471" s="620">
        <f>SUM(Q465:Q470)</f>
        <v>0</v>
      </c>
      <c r="R471" s="596"/>
      <c r="S471" s="610"/>
      <c r="T471" s="599">
        <f>G451</f>
        <v>0</v>
      </c>
      <c r="U471" s="578"/>
      <c r="V471" s="579"/>
      <c r="W471" s="579">
        <f t="shared" si="64"/>
        <v>0</v>
      </c>
      <c r="X471" s="579"/>
      <c r="Y471" s="879"/>
      <c r="Z471" s="121"/>
      <c r="AA471" s="143"/>
      <c r="AB471" s="143"/>
      <c r="AC471" s="504"/>
      <c r="AD471" s="505">
        <f t="shared" si="65"/>
        <v>0</v>
      </c>
      <c r="AE471" s="143"/>
      <c r="AJ471" s="22"/>
      <c r="AL471" s="22"/>
      <c r="AM471" s="22"/>
      <c r="AN471" s="22"/>
      <c r="AO471" s="22"/>
      <c r="AP471" s="22"/>
      <c r="AQ471" s="22"/>
      <c r="AR471" s="22"/>
      <c r="AS471" s="22"/>
      <c r="AT471" s="22"/>
      <c r="AU471" s="35"/>
      <c r="AV471" s="35"/>
      <c r="AW471" s="35"/>
      <c r="AX471" s="35"/>
      <c r="AY471" s="35"/>
      <c r="AZ471" s="35"/>
      <c r="BA471" s="35"/>
      <c r="BB471" s="35"/>
      <c r="BC471" s="35"/>
      <c r="BD471" s="35"/>
      <c r="BE471" s="35"/>
      <c r="BF471" s="35"/>
      <c r="BG471" s="35"/>
      <c r="BH471" s="35"/>
      <c r="BI471" s="35"/>
      <c r="BJ471" s="35"/>
      <c r="BK471" s="35"/>
      <c r="BL471" s="35"/>
      <c r="BM471" s="35"/>
      <c r="BN471" s="35"/>
      <c r="BO471" s="86"/>
    </row>
    <row r="472" spans="1:67" s="55" customFormat="1" ht="15" customHeight="1" x14ac:dyDescent="0.25">
      <c r="A472" s="520">
        <f>IFERROR(VLOOKUP($G$5,'רשימת רשויות'!A:C,3,0),0)</f>
        <v>0</v>
      </c>
      <c r="B472" s="520">
        <f t="shared" si="63"/>
        <v>0</v>
      </c>
      <c r="C472" s="39"/>
      <c r="D472" s="1134"/>
      <c r="E472" s="1137"/>
      <c r="F472" s="589" t="s">
        <v>3</v>
      </c>
      <c r="G472" s="117">
        <f>IF(G456="תקין",SUMIFS('דוח הוצאות בפועל (4)'!$E$17:$E$3016,'דוח הוצאות בפועל (4)'!$B$17:$B$3016,'בית ספר - תקצוב לפי מוסד (9)'!$G451,'דוח הוצאות בפועל (4)'!$M$17:$M$3016,"ני")+SUMIFS('דוח הוצאות בפועל (4)'!$E$17:$E$3016,'דוח הוצאות בפועל (4)'!$B$17:$B$3016,'בית ספר - תקצוב לפי מוסד (9)'!$G451,'דוח הוצאות בפועל (4)'!$M$17:$M$3016,"על"),0)-Y472</f>
        <v>0</v>
      </c>
      <c r="H472" s="117">
        <f>H453</f>
        <v>0</v>
      </c>
      <c r="I472" s="138">
        <f>IFERROR(G472/H472,0)</f>
        <v>0</v>
      </c>
      <c r="J472" s="117">
        <f>IFERROR(IF(G472/H474&gt;0.15,MIN(H474*0.15,H472),MIN(H472,IF(ISNUMBER(G472),G472,0))),0)</f>
        <v>0</v>
      </c>
      <c r="K472" s="120">
        <f>MAX(H472-G472,0)</f>
        <v>0</v>
      </c>
      <c r="L472" s="407"/>
      <c r="M472" s="393"/>
      <c r="N472" s="393"/>
      <c r="O472" s="602"/>
      <c r="P472" s="620">
        <f>IF(I472&lt;100%,MIN(H472-G472,H472*0.25),0)</f>
        <v>0</v>
      </c>
      <c r="Q472" s="620">
        <f>MAX(MIN(IF(G472-H472&gt;0,G472-H472,0),$H474*0.15-H472-J473),0)</f>
        <v>0</v>
      </c>
      <c r="R472" s="596"/>
      <c r="S472" s="610" t="s">
        <v>3</v>
      </c>
      <c r="T472" s="599">
        <f>G451</f>
        <v>0</v>
      </c>
      <c r="U472" s="578"/>
      <c r="V472" s="579">
        <f t="shared" ref="V472" si="67">G472</f>
        <v>0</v>
      </c>
      <c r="W472" s="579">
        <f t="shared" si="64"/>
        <v>0</v>
      </c>
      <c r="X472" s="579"/>
      <c r="Y472" s="879"/>
      <c r="Z472" s="121"/>
      <c r="AA472" s="143"/>
      <c r="AB472" s="143"/>
      <c r="AC472" s="504">
        <v>0</v>
      </c>
      <c r="AD472" s="505">
        <f t="shared" si="65"/>
        <v>0</v>
      </c>
      <c r="AE472" s="143"/>
      <c r="AG472" s="22"/>
      <c r="AH472" s="22"/>
      <c r="AI472" s="22"/>
      <c r="AJ472" s="22"/>
      <c r="AK472" s="22"/>
      <c r="AL472" s="22"/>
      <c r="AM472" s="22"/>
      <c r="AN472" s="22"/>
      <c r="AO472" s="22"/>
      <c r="AP472" s="22"/>
      <c r="AQ472" s="22"/>
      <c r="AR472" s="22"/>
      <c r="AS472" s="22"/>
      <c r="AT472" s="22"/>
      <c r="AU472" s="35"/>
      <c r="AV472" s="35"/>
      <c r="AW472" s="35"/>
      <c r="AX472" s="35"/>
      <c r="AY472" s="35"/>
      <c r="AZ472" s="35"/>
      <c r="BA472" s="35"/>
      <c r="BB472" s="35"/>
      <c r="BC472" s="35"/>
      <c r="BD472" s="35"/>
      <c r="BE472" s="35"/>
      <c r="BF472" s="35"/>
      <c r="BG472" s="35"/>
      <c r="BH472" s="35"/>
      <c r="BI472" s="35"/>
      <c r="BJ472" s="35"/>
      <c r="BK472" s="35"/>
      <c r="BL472" s="35"/>
      <c r="BM472" s="35"/>
      <c r="BN472" s="35"/>
      <c r="BO472" s="86"/>
    </row>
    <row r="473" spans="1:67" s="55" customFormat="1" ht="15.75" customHeight="1" x14ac:dyDescent="0.25">
      <c r="A473" s="520">
        <f>IFERROR(VLOOKUP($G$5,'רשימת רשויות'!A:C,3,0),0)</f>
        <v>0</v>
      </c>
      <c r="B473" s="520">
        <f t="shared" si="63"/>
        <v>0</v>
      </c>
      <c r="C473" s="39"/>
      <c r="D473" s="1134"/>
      <c r="E473" s="1137"/>
      <c r="F473" s="589" t="s">
        <v>2918</v>
      </c>
      <c r="G473" s="117">
        <f>0.07*(G467+G466)</f>
        <v>0</v>
      </c>
      <c r="H473" s="117">
        <f>H455</f>
        <v>0</v>
      </c>
      <c r="I473" s="138">
        <f>IFERROR(G473/H473,0)</f>
        <v>0</v>
      </c>
      <c r="J473" s="117">
        <f>IFERROR(MIN(0.07*(G466+G467),0.07*I455),0)</f>
        <v>0</v>
      </c>
      <c r="K473" s="120">
        <f>MAX(H473-G473,0)</f>
        <v>0</v>
      </c>
      <c r="L473" s="407"/>
      <c r="M473" s="393"/>
      <c r="N473" s="393"/>
      <c r="O473" s="602"/>
      <c r="P473" s="620"/>
      <c r="Q473" s="619"/>
      <c r="R473" s="596"/>
      <c r="S473" s="611"/>
      <c r="T473" s="599">
        <f>G451</f>
        <v>0</v>
      </c>
      <c r="U473" s="578"/>
      <c r="V473" s="579"/>
      <c r="W473" s="579">
        <f t="shared" si="64"/>
        <v>0</v>
      </c>
      <c r="X473" s="579"/>
      <c r="Y473" s="879"/>
      <c r="Z473" s="121"/>
      <c r="AA473" s="143"/>
      <c r="AB473" s="143"/>
      <c r="AC473" s="504"/>
      <c r="AD473" s="505"/>
      <c r="AE473" s="143"/>
      <c r="AF473" s="140"/>
      <c r="AG473" s="22"/>
      <c r="AH473" s="22"/>
      <c r="AI473" s="22"/>
      <c r="AJ473" s="22"/>
      <c r="AK473" s="22"/>
      <c r="AL473" s="22"/>
      <c r="AM473" s="22"/>
      <c r="AN473" s="22"/>
      <c r="AO473" s="22"/>
      <c r="AP473" s="22"/>
      <c r="AQ473" s="22"/>
      <c r="AR473" s="22"/>
      <c r="AS473" s="22"/>
      <c r="AT473" s="22"/>
      <c r="AU473" s="35"/>
      <c r="AV473" s="35"/>
      <c r="AW473" s="35"/>
      <c r="AX473" s="35"/>
      <c r="AY473" s="35"/>
      <c r="AZ473" s="35"/>
      <c r="BA473" s="35"/>
      <c r="BB473" s="35"/>
      <c r="BC473" s="35"/>
      <c r="BD473" s="35"/>
      <c r="BE473" s="35"/>
      <c r="BF473" s="35"/>
      <c r="BG473" s="35"/>
      <c r="BH473" s="35"/>
      <c r="BI473" s="35"/>
      <c r="BJ473" s="35"/>
      <c r="BK473" s="35"/>
      <c r="BL473" s="35"/>
      <c r="BM473" s="35"/>
      <c r="BN473" s="35"/>
      <c r="BO473" s="86"/>
    </row>
    <row r="474" spans="1:67" ht="15.75" customHeight="1" x14ac:dyDescent="0.25">
      <c r="A474" s="520">
        <f>IFERROR(VLOOKUP($G$5,'רשימת רשויות'!A:C,3,0),0)</f>
        <v>0</v>
      </c>
      <c r="B474" s="520">
        <f t="shared" si="63"/>
        <v>0</v>
      </c>
      <c r="D474" s="1134"/>
      <c r="E474" s="1137"/>
      <c r="F474" s="591" t="s">
        <v>15</v>
      </c>
      <c r="G474" s="134">
        <f>G471+G472+G473</f>
        <v>0</v>
      </c>
      <c r="H474" s="134">
        <f>H471+H472+H473</f>
        <v>0</v>
      </c>
      <c r="I474" s="138">
        <f>IFERROR(G474/H474,0)</f>
        <v>0</v>
      </c>
      <c r="J474" s="139">
        <f>J471+J472+J473</f>
        <v>0</v>
      </c>
      <c r="K474" s="137">
        <f>K472+K471+K473</f>
        <v>0</v>
      </c>
      <c r="L474" s="408"/>
      <c r="M474" s="394"/>
      <c r="N474" s="394"/>
      <c r="O474" s="602"/>
      <c r="P474" s="621">
        <f>SUM(P471:P472)</f>
        <v>0</v>
      </c>
      <c r="Q474" s="622">
        <f>Q471+Q472</f>
        <v>0</v>
      </c>
      <c r="R474" s="596"/>
      <c r="S474" s="611"/>
      <c r="T474" s="599">
        <f>G451</f>
        <v>0</v>
      </c>
      <c r="U474" s="578"/>
      <c r="V474" s="579"/>
      <c r="W474" s="579">
        <f t="shared" si="64"/>
        <v>0</v>
      </c>
      <c r="X474" s="579"/>
      <c r="Y474" s="879"/>
      <c r="Z474" s="106"/>
      <c r="AC474" s="504"/>
      <c r="AD474" s="505"/>
      <c r="AH474" s="143"/>
      <c r="BO474" s="86"/>
    </row>
    <row r="475" spans="1:67" ht="15.75" customHeight="1" x14ac:dyDescent="0.25">
      <c r="A475" s="520">
        <f>IFERROR(VLOOKUP($G$5,'רשימת רשויות'!A:C,3,0),0)</f>
        <v>0</v>
      </c>
      <c r="B475" s="520">
        <f t="shared" si="63"/>
        <v>0</v>
      </c>
      <c r="D475" s="1134"/>
      <c r="E475" s="1137"/>
      <c r="F475" s="589" t="s">
        <v>2261</v>
      </c>
      <c r="G475" s="117">
        <f>IF(G456="תקין",SUMIF('תשלומי הורים ומלגות להורים (5) '!$B$18:$B$517,$G451,'תשלומי הורים ומלגות להורים (5) '!$C$18:$C$517),0)</f>
        <v>0</v>
      </c>
      <c r="H475" s="117">
        <f>(G454+G455)*$G$7</f>
        <v>0</v>
      </c>
      <c r="I475" s="141"/>
      <c r="J475" s="141"/>
      <c r="K475" s="142"/>
      <c r="L475" s="395"/>
      <c r="M475" s="395"/>
      <c r="N475" s="395"/>
      <c r="O475" s="602"/>
      <c r="P475" s="623"/>
      <c r="Q475" s="619"/>
      <c r="R475" s="596"/>
      <c r="S475" s="612"/>
      <c r="T475" s="599">
        <f>G451</f>
        <v>0</v>
      </c>
      <c r="U475" s="578"/>
      <c r="V475" s="579"/>
      <c r="W475" s="579">
        <f t="shared" si="64"/>
        <v>0</v>
      </c>
      <c r="X475" s="579"/>
      <c r="Y475" s="879"/>
      <c r="Z475" s="121"/>
      <c r="AA475" s="143"/>
      <c r="AB475" s="143"/>
      <c r="AC475" s="504"/>
      <c r="AD475" s="505"/>
      <c r="AE475" s="143"/>
      <c r="AF475" s="148"/>
      <c r="BO475" s="86"/>
    </row>
    <row r="476" spans="1:67" ht="15.75" customHeight="1" thickBot="1" x14ac:dyDescent="0.3">
      <c r="A476" s="520">
        <f>IFERROR(VLOOKUP($G$5,'רשימת רשויות'!A:C,3,0),0)</f>
        <v>0</v>
      </c>
      <c r="B476" s="520">
        <f t="shared" si="63"/>
        <v>0</v>
      </c>
      <c r="D476" s="1134"/>
      <c r="E476" s="1137"/>
      <c r="F476" s="592" t="s">
        <v>21</v>
      </c>
      <c r="G476" s="144">
        <f>G474-G475</f>
        <v>0</v>
      </c>
      <c r="H476" s="144">
        <f>H474-H475</f>
        <v>0</v>
      </c>
      <c r="I476" s="145"/>
      <c r="J476" s="145"/>
      <c r="K476" s="146"/>
      <c r="L476" s="396"/>
      <c r="M476" s="396"/>
      <c r="N476" s="396"/>
      <c r="O476" s="602"/>
      <c r="P476" s="619"/>
      <c r="Q476" s="619"/>
      <c r="R476" s="596"/>
      <c r="S476" s="612"/>
      <c r="T476" s="599">
        <f>G451</f>
        <v>0</v>
      </c>
      <c r="U476" s="578"/>
      <c r="V476" s="579"/>
      <c r="W476" s="579">
        <f t="shared" si="64"/>
        <v>0</v>
      </c>
      <c r="X476" s="579"/>
      <c r="Y476" s="879"/>
      <c r="Z476" s="147"/>
      <c r="AA476" s="148"/>
      <c r="AB476" s="148"/>
      <c r="AC476" s="504"/>
      <c r="AD476" s="505"/>
      <c r="AE476" s="148"/>
      <c r="AF476" s="148"/>
      <c r="BO476" s="86"/>
    </row>
    <row r="477" spans="1:67" ht="15.75" customHeight="1" thickBot="1" x14ac:dyDescent="0.3">
      <c r="A477" s="520">
        <f>IFERROR(VLOOKUP($G$5,'רשימת רשויות'!A:C,3,0),0)</f>
        <v>0</v>
      </c>
      <c r="B477" s="520">
        <f t="shared" si="63"/>
        <v>0</v>
      </c>
      <c r="D477" s="1134"/>
      <c r="E477" s="1137"/>
      <c r="F477" s="580"/>
      <c r="G477" s="580"/>
      <c r="H477" s="147"/>
      <c r="I477" s="149" t="s">
        <v>2197</v>
      </c>
      <c r="J477" s="150">
        <f>MAX(MIN(P474,Q474),0)</f>
        <v>0</v>
      </c>
      <c r="K477" s="580"/>
      <c r="L477" s="580"/>
      <c r="M477" s="580"/>
      <c r="N477" s="580"/>
      <c r="O477" s="580"/>
      <c r="P477" s="615" t="s">
        <v>2317</v>
      </c>
      <c r="Q477" s="624">
        <f>SUM(Q478:Q479)</f>
        <v>0</v>
      </c>
      <c r="R477" s="596"/>
      <c r="S477" s="612"/>
      <c r="T477" s="599">
        <f>G451</f>
        <v>0</v>
      </c>
      <c r="U477" s="578"/>
      <c r="V477" s="579"/>
      <c r="W477" s="579">
        <f t="shared" si="64"/>
        <v>0</v>
      </c>
      <c r="X477" s="579"/>
      <c r="Y477" s="879"/>
      <c r="Z477" s="106"/>
      <c r="AC477" s="504"/>
      <c r="AD477" s="505"/>
      <c r="AF477" s="148"/>
      <c r="BO477" s="86"/>
    </row>
    <row r="478" spans="1:67" ht="16.5" thickBot="1" x14ac:dyDescent="0.3">
      <c r="A478" s="520">
        <f>IFERROR(VLOOKUP($G$5,'רשימת רשויות'!A:C,3,0),0)</f>
        <v>0</v>
      </c>
      <c r="B478" s="520">
        <f t="shared" si="63"/>
        <v>0</v>
      </c>
      <c r="D478" s="1134"/>
      <c r="E478" s="1137"/>
      <c r="F478" s="580"/>
      <c r="G478" s="580"/>
      <c r="H478" s="580"/>
      <c r="I478" s="84" t="s">
        <v>2193</v>
      </c>
      <c r="J478" s="515" t="str">
        <f>IFERROR(1-H475/H474,"")</f>
        <v/>
      </c>
      <c r="K478" s="580"/>
      <c r="L478" s="580"/>
      <c r="M478" s="580"/>
      <c r="N478" s="580"/>
      <c r="O478" s="580"/>
      <c r="P478" s="615" t="s">
        <v>417</v>
      </c>
      <c r="Q478" s="616">
        <f>IFERROR(MAX(H476-I479-Q479,0),0)</f>
        <v>0</v>
      </c>
      <c r="R478" s="596"/>
      <c r="S478" s="600"/>
      <c r="T478" s="599">
        <f>G451</f>
        <v>0</v>
      </c>
      <c r="U478" s="578"/>
      <c r="V478" s="579"/>
      <c r="W478" s="579">
        <f t="shared" si="64"/>
        <v>0</v>
      </c>
      <c r="X478" s="579"/>
      <c r="Y478" s="879"/>
      <c r="Z478" s="106"/>
      <c r="AC478" s="504"/>
      <c r="AD478" s="505"/>
      <c r="BO478" s="86"/>
    </row>
    <row r="479" spans="1:67" ht="17.25" thickBot="1" x14ac:dyDescent="0.3">
      <c r="A479" s="520">
        <f>IFERROR(VLOOKUP($G$5,'רשימת רשויות'!A:C,3,0),0)</f>
        <v>0</v>
      </c>
      <c r="B479" s="520">
        <f t="shared" si="63"/>
        <v>0</v>
      </c>
      <c r="D479" s="1134"/>
      <c r="E479" s="1137"/>
      <c r="F479" s="1143" t="s">
        <v>2679</v>
      </c>
      <c r="G479" s="1143"/>
      <c r="H479" s="1143"/>
      <c r="I479" s="722">
        <f>IF(G456="לא תקין","לא קיימת זכאות לתקציב לאור אי איוש משרות רכז ו/או סגן רכז ",IFERROR(J478*(J477+J474),0))</f>
        <v>0</v>
      </c>
      <c r="J479" s="573"/>
      <c r="K479" s="574"/>
      <c r="L479" s="396"/>
      <c r="M479" s="574"/>
      <c r="N479" s="574"/>
      <c r="O479" s="574"/>
      <c r="P479" s="615" t="s">
        <v>2279</v>
      </c>
      <c r="Q479" s="616">
        <f>MAX(IF(AND(G474&gt;H474,I479&lt;H476),H476-I479,0),0)</f>
        <v>0</v>
      </c>
      <c r="R479" s="575"/>
      <c r="S479" s="576" t="s">
        <v>67</v>
      </c>
      <c r="T479" s="577">
        <f>G451</f>
        <v>0</v>
      </c>
      <c r="U479" s="578"/>
      <c r="V479" s="579">
        <f>I479</f>
        <v>0</v>
      </c>
      <c r="W479" s="579">
        <f>IFERROR(U479-V479,0)</f>
        <v>0</v>
      </c>
      <c r="X479" s="579">
        <f>SUM(X465:X478)</f>
        <v>0</v>
      </c>
      <c r="Y479" s="879"/>
      <c r="Z479" s="106"/>
      <c r="AC479" s="506">
        <v>0</v>
      </c>
      <c r="AD479" s="507">
        <f>IFERROR(U479-AC479,0)</f>
        <v>0</v>
      </c>
      <c r="BO479" s="86"/>
    </row>
    <row r="480" spans="1:67" ht="16.5" thickBot="1" x14ac:dyDescent="0.3">
      <c r="A480" s="520">
        <f>IFERROR(VLOOKUP($G$5,'רשימת רשויות'!A:C,3,0),0)</f>
        <v>0</v>
      </c>
      <c r="B480" s="520">
        <f t="shared" si="63"/>
        <v>0</v>
      </c>
      <c r="D480" s="1135"/>
      <c r="E480" s="1138"/>
      <c r="F480" s="1144" t="s">
        <v>2793</v>
      </c>
      <c r="G480" s="1145"/>
      <c r="H480" s="1145"/>
      <c r="I480" s="593">
        <f>IFERROR(IF(G456="תקין",SUMIFS('סייעות רפואיות או אישיות (7)'!$Q$17:Q$384,'סייעות רפואיות או אישיות (7)'!C$17:C$384,G451),0),0)</f>
        <v>0</v>
      </c>
      <c r="J480" s="151"/>
      <c r="K480" s="152"/>
      <c r="L480" s="409"/>
      <c r="M480" s="152"/>
      <c r="N480" s="152"/>
      <c r="O480" s="152"/>
      <c r="P480" s="613"/>
      <c r="Q480" s="614"/>
      <c r="R480" s="475"/>
      <c r="S480" s="489"/>
      <c r="T480" s="490"/>
      <c r="U480" s="491"/>
      <c r="V480" s="492"/>
      <c r="W480" s="492"/>
      <c r="X480" s="492"/>
      <c r="Y480" s="880"/>
      <c r="Z480" s="153"/>
      <c r="AC480" s="581"/>
      <c r="AD480" s="582"/>
      <c r="BO480" s="86"/>
    </row>
    <row r="481" spans="1:67" ht="34.5" thickBot="1" x14ac:dyDescent="0.55000000000000004">
      <c r="A481" s="520">
        <f>IFERROR(VLOOKUP($G$5,'רשימת רשויות'!A:C,3,0),0)</f>
        <v>0</v>
      </c>
      <c r="B481" s="520">
        <f t="shared" si="63"/>
        <v>0</v>
      </c>
      <c r="E481" s="154"/>
      <c r="I481" s="143"/>
      <c r="J481" s="148"/>
      <c r="O481" s="148"/>
      <c r="T481" s="481"/>
      <c r="BO481" s="86"/>
    </row>
    <row r="482" spans="1:67" s="20" customFormat="1" ht="16.5" customHeight="1" thickBot="1" x14ac:dyDescent="0.3">
      <c r="A482" s="520">
        <f>IFERROR(VLOOKUP($G$5,'רשימת רשויות'!A:C,3,0),0)</f>
        <v>0</v>
      </c>
      <c r="B482" s="520">
        <f t="shared" si="63"/>
        <v>0</v>
      </c>
      <c r="C482" s="39"/>
      <c r="D482" s="1133">
        <f>D451+1</f>
        <v>16</v>
      </c>
      <c r="E482" s="1136" t="str">
        <f>IFERROR(CONCATENATE("בית הספר ",VLOOKUP(G482,'מצבת והרשמה (2)'!$C$21:$D$520,2,0)," - ",$G$5),"")</f>
        <v>בית הספר המוסד לא קיים - 0</v>
      </c>
      <c r="F482" s="720" t="s">
        <v>146</v>
      </c>
      <c r="G482" s="721">
        <f>IFERROR(VLOOKUP(D:D,'דוח ביצוע (3)'!$A$21:$C$900,2,0),0)</f>
        <v>0</v>
      </c>
      <c r="H482" s="79"/>
      <c r="I482" s="80" t="s">
        <v>150</v>
      </c>
      <c r="J482" s="80"/>
      <c r="K482" s="81"/>
      <c r="L482" s="392"/>
      <c r="M482" s="392"/>
      <c r="N482" s="392"/>
      <c r="O482" s="82"/>
      <c r="P482" s="470"/>
      <c r="Q482" s="471"/>
      <c r="R482" s="472"/>
      <c r="S482" s="883"/>
      <c r="T482" s="884"/>
      <c r="U482" s="486"/>
      <c r="V482" s="487"/>
      <c r="W482" s="487"/>
      <c r="X482" s="487"/>
      <c r="Y482" s="885"/>
      <c r="Z482" s="83"/>
      <c r="AC482" s="502"/>
      <c r="AD482" s="503"/>
      <c r="AO482" s="22"/>
      <c r="AP482" s="22"/>
      <c r="AQ482" s="22"/>
      <c r="AR482" s="22"/>
      <c r="AS482" s="22"/>
      <c r="AT482" s="22"/>
      <c r="AU482" s="35"/>
      <c r="AV482" s="35"/>
      <c r="AW482" s="35"/>
      <c r="AX482" s="35"/>
      <c r="AY482" s="35"/>
      <c r="AZ482" s="35"/>
      <c r="BA482" s="35"/>
      <c r="BB482" s="35"/>
      <c r="BC482" s="35"/>
      <c r="BD482" s="35"/>
      <c r="BE482" s="35"/>
      <c r="BF482" s="35"/>
      <c r="BG482" s="35"/>
      <c r="BH482" s="35"/>
      <c r="BI482" s="35"/>
      <c r="BJ482" s="35"/>
      <c r="BK482" s="35"/>
      <c r="BL482" s="35"/>
      <c r="BM482" s="35"/>
      <c r="BN482" s="35"/>
      <c r="BO482" s="78"/>
    </row>
    <row r="483" spans="1:67" s="20" customFormat="1" ht="16.5" thickBot="1" x14ac:dyDescent="0.3">
      <c r="A483" s="520">
        <f>IFERROR(VLOOKUP($G$5,'רשימת רשויות'!A:C,3,0),0)</f>
        <v>0</v>
      </c>
      <c r="B483" s="520">
        <f t="shared" si="63"/>
        <v>0</v>
      </c>
      <c r="C483" s="39"/>
      <c r="D483" s="1134"/>
      <c r="E483" s="1137"/>
      <c r="F483" s="583" t="s">
        <v>145</v>
      </c>
      <c r="G483" s="516" t="str">
        <f>IFERROR(IF((G485+G486)=0,"",IF(VLOOKUP(G482,'דוח ביצוע (3)'!$B$21:$K$900,5,0)&gt;149,"גדול",IF(AND(VLOOKUP(G482,'דוח ביצוע (3)'!$B$21:$K$900,5,0)&gt;0,VLOOKUP(G482,'דוח ביצוע (3)'!$B$21:$K$900,5,0)&lt;150),"קטן",0))),"")</f>
        <v/>
      </c>
      <c r="H483" s="723" t="s">
        <v>88</v>
      </c>
      <c r="I483" s="723" t="s">
        <v>13</v>
      </c>
      <c r="J483" s="725" t="s">
        <v>14</v>
      </c>
      <c r="K483" s="724" t="s">
        <v>94</v>
      </c>
      <c r="L483" s="594"/>
      <c r="M483" s="420" t="s">
        <v>2584</v>
      </c>
      <c r="N483" s="397" t="s">
        <v>413</v>
      </c>
      <c r="O483" s="398" t="s">
        <v>52</v>
      </c>
      <c r="P483" s="595"/>
      <c r="Q483" s="595"/>
      <c r="R483" s="596"/>
      <c r="S483" s="610"/>
      <c r="T483" s="881"/>
      <c r="U483" s="598"/>
      <c r="V483" s="599"/>
      <c r="W483" s="599"/>
      <c r="X483" s="599"/>
      <c r="Y483" s="879"/>
      <c r="Z483" s="85"/>
      <c r="AC483" s="493"/>
      <c r="AD483" s="495"/>
      <c r="AO483" s="22"/>
      <c r="AP483" s="22"/>
      <c r="AQ483" s="22"/>
      <c r="AR483" s="22"/>
      <c r="AS483" s="22"/>
      <c r="AT483" s="22"/>
      <c r="AU483" s="35"/>
      <c r="AV483" s="35"/>
      <c r="AW483" s="35"/>
      <c r="AX483" s="35"/>
      <c r="AY483" s="35"/>
      <c r="AZ483" s="35"/>
      <c r="BA483" s="35"/>
      <c r="BB483" s="35"/>
      <c r="BC483" s="35"/>
      <c r="BD483" s="35"/>
      <c r="BE483" s="35"/>
      <c r="BF483" s="35"/>
      <c r="BG483" s="35"/>
      <c r="BH483" s="35"/>
      <c r="BI483" s="35"/>
      <c r="BJ483" s="35"/>
      <c r="BK483" s="35"/>
      <c r="BL483" s="35"/>
      <c r="BM483" s="35"/>
      <c r="BN483" s="35"/>
      <c r="BO483" s="78"/>
    </row>
    <row r="484" spans="1:67" s="20" customFormat="1" ht="15.75" customHeight="1" thickBot="1" x14ac:dyDescent="0.3">
      <c r="A484" s="520">
        <f>IFERROR(VLOOKUP($G$5,'רשימת רשויות'!A:C,3,0),0)</f>
        <v>0</v>
      </c>
      <c r="B484" s="520">
        <f t="shared" si="63"/>
        <v>0</v>
      </c>
      <c r="C484" s="39"/>
      <c r="D484" s="1134"/>
      <c r="E484" s="1137"/>
      <c r="F484" s="584" t="s">
        <v>144</v>
      </c>
      <c r="G484" s="87">
        <f>IF(G487="תקין",IFERROR(VLOOKUP($G482,'דוח ביצוע (3)'!$B$21:$Q$900,12,0),0),0)</f>
        <v>0</v>
      </c>
      <c r="H484" s="88">
        <f>IFERROR(G485*$AH$6+G486*$AH$7,0)</f>
        <v>0</v>
      </c>
      <c r="I484" s="88">
        <f>IFERROR(G485*$AI$6+G486*$AI$7,0)</f>
        <v>0</v>
      </c>
      <c r="J484" s="88">
        <f>IFERROR(G485*$AJ$6+G486*$AJ$7,0)</f>
        <v>0</v>
      </c>
      <c r="K484" s="88">
        <f>IFERROR(G485*$AK$6+G486*$AK$7,0)</f>
        <v>0</v>
      </c>
      <c r="L484" s="405"/>
      <c r="M484" s="399" t="s">
        <v>427</v>
      </c>
      <c r="N484" s="400" t="str">
        <f>IFERROR(VLOOKUP($G482,'דוח ביצוע (3)'!$B:$AE,28,0),"")</f>
        <v/>
      </c>
      <c r="O484" s="89" t="str">
        <f>IFERROR(VLOOKUP($G482,'דוח ביצוע (3)'!B:AE,29,0),"")</f>
        <v/>
      </c>
      <c r="P484" s="595"/>
      <c r="Q484" s="595"/>
      <c r="R484" s="596"/>
      <c r="S484" s="610"/>
      <c r="T484" s="881"/>
      <c r="U484" s="598"/>
      <c r="V484" s="599"/>
      <c r="W484" s="599"/>
      <c r="X484" s="599"/>
      <c r="Y484" s="879"/>
      <c r="Z484" s="85"/>
      <c r="AC484" s="493"/>
      <c r="AD484" s="495"/>
      <c r="AO484" s="22"/>
      <c r="AP484" s="22"/>
      <c r="AQ484" s="22"/>
      <c r="AR484" s="22"/>
      <c r="AS484" s="22"/>
      <c r="AT484" s="22"/>
      <c r="AU484" s="35"/>
      <c r="AV484" s="35"/>
      <c r="AW484" s="35"/>
      <c r="AX484" s="35"/>
      <c r="AY484" s="35"/>
      <c r="AZ484" s="35"/>
      <c r="BA484" s="35"/>
      <c r="BB484" s="35"/>
      <c r="BC484" s="35"/>
      <c r="BD484" s="35"/>
      <c r="BE484" s="35"/>
      <c r="BF484" s="35"/>
      <c r="BG484" s="35"/>
      <c r="BH484" s="35"/>
      <c r="BI484" s="35"/>
      <c r="BJ484" s="35"/>
      <c r="BK484" s="35"/>
      <c r="BL484" s="35"/>
      <c r="BM484" s="35"/>
      <c r="BN484" s="35"/>
      <c r="BO484" s="78"/>
    </row>
    <row r="485" spans="1:67" s="20" customFormat="1" ht="32.25" thickBot="1" x14ac:dyDescent="0.3">
      <c r="A485" s="520">
        <f>IFERROR(VLOOKUP($G$5,'רשימת רשויות'!A:C,3,0),0)</f>
        <v>0</v>
      </c>
      <c r="B485" s="520">
        <f t="shared" si="63"/>
        <v>0</v>
      </c>
      <c r="C485" s="39"/>
      <c r="D485" s="1134"/>
      <c r="E485" s="1137"/>
      <c r="F485" s="585" t="s">
        <v>2195</v>
      </c>
      <c r="G485" s="89">
        <f>IF(G487="תקין",MAX(N487,0),0)</f>
        <v>0</v>
      </c>
      <c r="H485" s="725" t="s">
        <v>151</v>
      </c>
      <c r="I485" s="725" t="s">
        <v>91</v>
      </c>
      <c r="J485" s="970" t="s">
        <v>3396</v>
      </c>
      <c r="K485" s="601"/>
      <c r="L485" s="601"/>
      <c r="M485" s="983" t="s">
        <v>2585</v>
      </c>
      <c r="N485" s="400" t="str">
        <f>IFERROR(G484/15*N484*1.25,"")</f>
        <v/>
      </c>
      <c r="O485" s="89" t="str">
        <f>IFERROR(G484/15*O484*1.25,"")</f>
        <v/>
      </c>
      <c r="P485" s="595"/>
      <c r="Q485" s="595"/>
      <c r="R485" s="596"/>
      <c r="S485" s="610"/>
      <c r="T485" s="881"/>
      <c r="U485" s="598"/>
      <c r="V485" s="599"/>
      <c r="W485" s="599"/>
      <c r="X485" s="599"/>
      <c r="Y485" s="879"/>
      <c r="Z485" s="85"/>
      <c r="AC485" s="493"/>
      <c r="AD485" s="495"/>
      <c r="AG485" s="22"/>
      <c r="AH485" s="55"/>
      <c r="AI485" s="55"/>
      <c r="AJ485" s="55"/>
      <c r="AK485" s="55"/>
      <c r="AO485" s="22"/>
      <c r="AP485" s="22"/>
      <c r="AQ485" s="22"/>
      <c r="AR485" s="22"/>
      <c r="AS485" s="22"/>
      <c r="AT485" s="22"/>
      <c r="AU485" s="35"/>
      <c r="AV485" s="35"/>
      <c r="AW485" s="35"/>
      <c r="AX485" s="35"/>
      <c r="AY485" s="35"/>
      <c r="AZ485" s="35"/>
      <c r="BA485" s="35"/>
      <c r="BB485" s="35"/>
      <c r="BC485" s="35"/>
      <c r="BD485" s="35"/>
      <c r="BE485" s="35"/>
      <c r="BF485" s="35"/>
      <c r="BG485" s="35"/>
      <c r="BH485" s="35"/>
      <c r="BI485" s="35"/>
      <c r="BJ485" s="35"/>
      <c r="BK485" s="35"/>
      <c r="BL485" s="35"/>
      <c r="BM485" s="35"/>
      <c r="BN485" s="35"/>
      <c r="BO485" s="86"/>
    </row>
    <row r="486" spans="1:67" s="20" customFormat="1" ht="16.5" thickBot="1" x14ac:dyDescent="0.3">
      <c r="A486" s="520">
        <f>IFERROR(VLOOKUP($G$5,'רשימת רשויות'!A:C,3,0),0)</f>
        <v>0</v>
      </c>
      <c r="B486" s="520">
        <f t="shared" si="63"/>
        <v>0</v>
      </c>
      <c r="C486" s="39"/>
      <c r="D486" s="1134"/>
      <c r="E486" s="1137"/>
      <c r="F486" s="585" t="s">
        <v>2196</v>
      </c>
      <c r="G486" s="89">
        <f>IF(G487="תקין",MAX(O487,0),0)</f>
        <v>0</v>
      </c>
      <c r="H486" s="88">
        <f>(IFERROR(IF((G485+G486)=0,0,IF(G483="קטן",G484*$AH$10,G484*$AH$11)),0))+(IFERROR(IF((G485+G486)=0,0,VLOOKUP(G482,'דוח ביצוע (3)'!$B:$AH,33,0)),0))</f>
        <v>0</v>
      </c>
      <c r="I486" s="88">
        <f>IFERROR(IF((G485+G486)=0,0,IF(G483="קטן",G484*$AI$10,G484*$AI$11)),0)</f>
        <v>0</v>
      </c>
      <c r="J486" s="88">
        <f>IFERROR(IF((G485+G486)=0,0,VLOOKUP(G482,'דוח ביצוע (3)'!$B:$AH,32,0)),0)</f>
        <v>0</v>
      </c>
      <c r="K486" s="90"/>
      <c r="L486" s="90"/>
      <c r="M486" s="399" t="s">
        <v>412</v>
      </c>
      <c r="N486" s="400">
        <f>IFERROR(VLOOKUP($G482,'דוח ביצוע (3)'!$B$21:$U$500,18,0),0)</f>
        <v>0</v>
      </c>
      <c r="O486" s="401">
        <f>IFERROR(VLOOKUP($G482,'דוח ביצוע (3)'!$B$21:$U$500,19,0),0)</f>
        <v>0</v>
      </c>
      <c r="P486" s="595"/>
      <c r="Q486" s="595"/>
      <c r="R486" s="596"/>
      <c r="S486" s="610"/>
      <c r="T486" s="881"/>
      <c r="U486" s="598"/>
      <c r="V486" s="599"/>
      <c r="W486" s="599"/>
      <c r="X486" s="599"/>
      <c r="Y486" s="879"/>
      <c r="Z486" s="85"/>
      <c r="AC486" s="493"/>
      <c r="AD486" s="495"/>
      <c r="AG486" s="22"/>
      <c r="AH486" s="55"/>
      <c r="AI486" s="55"/>
      <c r="AJ486" s="55"/>
      <c r="AK486" s="55"/>
      <c r="AO486" s="22"/>
      <c r="AP486" s="22"/>
      <c r="AQ486" s="22"/>
      <c r="AR486" s="22"/>
      <c r="AS486" s="22"/>
      <c r="AT486" s="22"/>
      <c r="AU486" s="35"/>
      <c r="AV486" s="35"/>
      <c r="AW486" s="35"/>
      <c r="AX486" s="35"/>
      <c r="AY486" s="35"/>
      <c r="AZ486" s="35"/>
      <c r="BA486" s="35"/>
      <c r="BB486" s="35"/>
      <c r="BC486" s="35"/>
      <c r="BD486" s="35"/>
      <c r="BE486" s="35"/>
      <c r="BF486" s="35"/>
      <c r="BG486" s="35"/>
      <c r="BH486" s="35"/>
      <c r="BI486" s="35"/>
      <c r="BJ486" s="35"/>
      <c r="BK486" s="35"/>
      <c r="BL486" s="35"/>
      <c r="BM486" s="35"/>
      <c r="BN486" s="35"/>
      <c r="BO486" s="86"/>
    </row>
    <row r="487" spans="1:67" s="20" customFormat="1" ht="16.5" thickBot="1" x14ac:dyDescent="0.3">
      <c r="A487" s="520">
        <f>IFERROR(VLOOKUP($G$5,'רשימת רשויות'!A:C,3,0),0)</f>
        <v>0</v>
      </c>
      <c r="B487" s="520">
        <f t="shared" si="63"/>
        <v>0</v>
      </c>
      <c r="C487" s="39"/>
      <c r="D487" s="1134"/>
      <c r="E487" s="1137"/>
      <c r="F487" s="586" t="s">
        <v>2355</v>
      </c>
      <c r="G487" s="514">
        <f>IFERROR(IF(VLOOKUP('בית ספר - תקצוב לפי מוסד (9)'!G482,' איוש משרות (8)'!$C:$K,9,0)="תקין","תקין","לא תקין"),0)</f>
        <v>0</v>
      </c>
      <c r="H487" s="91"/>
      <c r="I487" s="91"/>
      <c r="J487" s="91"/>
      <c r="K487" s="90"/>
      <c r="L487" s="90"/>
      <c r="M487" s="402" t="s">
        <v>2586</v>
      </c>
      <c r="N487" s="403">
        <f>IFERROR(MIN(N485,N486),0)</f>
        <v>0</v>
      </c>
      <c r="O487" s="404">
        <f>IFERROR(MIN(O485,O486),0)</f>
        <v>0</v>
      </c>
      <c r="P487" s="595"/>
      <c r="Q487" s="595"/>
      <c r="R487" s="596"/>
      <c r="S487" s="610"/>
      <c r="T487" s="881"/>
      <c r="U487" s="598"/>
      <c r="V487" s="599"/>
      <c r="W487" s="599"/>
      <c r="X487" s="599"/>
      <c r="Y487" s="879"/>
      <c r="Z487" s="85"/>
      <c r="AC487" s="493"/>
      <c r="AD487" s="495"/>
      <c r="AG487" s="94"/>
      <c r="AH487" s="40"/>
      <c r="AI487" s="40"/>
      <c r="AJ487" s="40"/>
      <c r="AK487" s="40"/>
      <c r="AO487" s="22"/>
      <c r="AP487" s="22"/>
      <c r="AQ487" s="22"/>
      <c r="AR487" s="22"/>
      <c r="AS487" s="22"/>
      <c r="AT487" s="22"/>
      <c r="AU487" s="35"/>
      <c r="AV487" s="35"/>
      <c r="AW487" s="35"/>
      <c r="AX487" s="35"/>
      <c r="AY487" s="35"/>
      <c r="AZ487" s="35"/>
      <c r="BA487" s="35"/>
      <c r="BB487" s="35"/>
      <c r="BC487" s="35"/>
      <c r="BD487" s="35"/>
      <c r="BE487" s="35"/>
      <c r="BF487" s="35"/>
      <c r="BG487" s="35"/>
      <c r="BH487" s="35"/>
      <c r="BI487" s="35"/>
      <c r="BJ487" s="35"/>
      <c r="BK487" s="35"/>
      <c r="BL487" s="35"/>
      <c r="BM487" s="35"/>
      <c r="BN487" s="35"/>
      <c r="BO487" s="86"/>
    </row>
    <row r="488" spans="1:67" s="55" customFormat="1" ht="37.15" customHeight="1" thickBot="1" x14ac:dyDescent="0.3">
      <c r="A488" s="520">
        <f>IFERROR(VLOOKUP($G$5,'רשימת רשויות'!A:C,3,0),0)</f>
        <v>0</v>
      </c>
      <c r="B488" s="520">
        <f t="shared" si="63"/>
        <v>0</v>
      </c>
      <c r="C488" s="39"/>
      <c r="D488" s="1134"/>
      <c r="E488" s="1137"/>
      <c r="F488" s="587" t="s">
        <v>142</v>
      </c>
      <c r="G488" s="92"/>
      <c r="H488" s="92"/>
      <c r="I488" s="92"/>
      <c r="J488" s="92"/>
      <c r="K488" s="602"/>
      <c r="L488" s="602"/>
      <c r="M488" s="602"/>
      <c r="N488" s="602"/>
      <c r="O488" s="602"/>
      <c r="P488" s="595"/>
      <c r="Q488" s="595"/>
      <c r="R488" s="596"/>
      <c r="S488" s="610"/>
      <c r="T488" s="881"/>
      <c r="U488" s="598"/>
      <c r="V488" s="599"/>
      <c r="W488" s="599"/>
      <c r="X488" s="599"/>
      <c r="Y488" s="879"/>
      <c r="Z488" s="93"/>
      <c r="AC488" s="493"/>
      <c r="AD488" s="495"/>
      <c r="AF488" s="22"/>
      <c r="AG488" s="98"/>
      <c r="AH488" s="98"/>
      <c r="AI488" s="40"/>
      <c r="AJ488" s="40"/>
      <c r="AK488" s="40"/>
      <c r="AO488" s="22"/>
      <c r="AP488" s="22"/>
      <c r="AQ488" s="22"/>
      <c r="AR488" s="22"/>
      <c r="AS488" s="22"/>
      <c r="AT488" s="22"/>
      <c r="AU488" s="35"/>
      <c r="AV488" s="35"/>
      <c r="AW488" s="35"/>
      <c r="AX488" s="35"/>
      <c r="AY488" s="35"/>
      <c r="AZ488" s="35"/>
      <c r="BA488" s="35"/>
      <c r="BB488" s="35"/>
      <c r="BC488" s="35"/>
      <c r="BD488" s="35"/>
      <c r="BE488" s="35"/>
      <c r="BF488" s="35"/>
      <c r="BG488" s="35"/>
      <c r="BH488" s="35"/>
      <c r="BI488" s="35"/>
      <c r="BJ488" s="35"/>
      <c r="BK488" s="35"/>
      <c r="BL488" s="35"/>
      <c r="BM488" s="35"/>
      <c r="BN488" s="35"/>
      <c r="BO488" s="86"/>
    </row>
    <row r="489" spans="1:67" s="40" customFormat="1" ht="31.5" x14ac:dyDescent="0.25">
      <c r="A489" s="520">
        <f>IFERROR(VLOOKUP($G$5,'רשימת רשויות'!A:C,3,0),0)</f>
        <v>0</v>
      </c>
      <c r="B489" s="520">
        <f t="shared" si="63"/>
        <v>0</v>
      </c>
      <c r="C489" s="39"/>
      <c r="D489" s="1134"/>
      <c r="E489" s="1137"/>
      <c r="F489" s="588" t="s">
        <v>94</v>
      </c>
      <c r="G489" s="95" t="s">
        <v>18</v>
      </c>
      <c r="H489" s="95" t="s">
        <v>19</v>
      </c>
      <c r="I489" s="95" t="s">
        <v>138</v>
      </c>
      <c r="J489" s="96" t="s">
        <v>139</v>
      </c>
      <c r="K489" s="603"/>
      <c r="L489" s="603"/>
      <c r="M489" s="603"/>
      <c r="N489" s="603"/>
      <c r="O489" s="603"/>
      <c r="P489" s="604"/>
      <c r="Q489" s="604"/>
      <c r="R489" s="596"/>
      <c r="S489" s="610"/>
      <c r="T489" s="881"/>
      <c r="U489" s="598"/>
      <c r="V489" s="599"/>
      <c r="W489" s="599"/>
      <c r="X489" s="599"/>
      <c r="Y489" s="879"/>
      <c r="Z489" s="97"/>
      <c r="AA489" s="94"/>
      <c r="AB489" s="94"/>
      <c r="AC489" s="493"/>
      <c r="AD489" s="495"/>
      <c r="AE489" s="94"/>
      <c r="AG489" s="98"/>
      <c r="AH489" s="98"/>
      <c r="AO489" s="22"/>
      <c r="AP489" s="22"/>
      <c r="AQ489" s="22"/>
      <c r="AR489" s="22"/>
      <c r="AS489" s="22"/>
      <c r="AT489" s="22"/>
      <c r="AU489" s="35"/>
      <c r="AV489" s="35"/>
      <c r="AW489" s="35"/>
      <c r="AX489" s="35"/>
      <c r="AY489" s="35"/>
      <c r="AZ489" s="35"/>
      <c r="BA489" s="35"/>
      <c r="BB489" s="35"/>
      <c r="BC489" s="35"/>
      <c r="BD489" s="35"/>
      <c r="BE489" s="35"/>
      <c r="BF489" s="35"/>
      <c r="BG489" s="35"/>
      <c r="BH489" s="35"/>
      <c r="BI489" s="35"/>
      <c r="BJ489" s="35"/>
      <c r="BK489" s="35"/>
      <c r="BL489" s="35"/>
      <c r="BM489" s="35"/>
      <c r="BN489" s="35"/>
      <c r="BO489" s="86"/>
    </row>
    <row r="490" spans="1:67" s="40" customFormat="1" ht="15.75" customHeight="1" thickBot="1" x14ac:dyDescent="0.3">
      <c r="A490" s="520">
        <f>IFERROR(VLOOKUP($G$5,'רשימת רשויות'!A:C,3,0),0)</f>
        <v>0</v>
      </c>
      <c r="B490" s="520">
        <f t="shared" si="63"/>
        <v>0</v>
      </c>
      <c r="C490" s="39"/>
      <c r="D490" s="1134"/>
      <c r="E490" s="1137"/>
      <c r="F490" s="589" t="s">
        <v>2280</v>
      </c>
      <c r="G490" s="99">
        <f>+G501</f>
        <v>0</v>
      </c>
      <c r="H490" s="100">
        <f>K484</f>
        <v>0</v>
      </c>
      <c r="I490" s="100">
        <f>H490-I492</f>
        <v>0</v>
      </c>
      <c r="J490" s="101">
        <f>IFERROR(I490/H490,0)</f>
        <v>0</v>
      </c>
      <c r="K490" s="603"/>
      <c r="L490" s="603"/>
      <c r="M490" s="603"/>
      <c r="N490" s="603"/>
      <c r="O490" s="603"/>
      <c r="P490" s="605"/>
      <c r="Q490" s="604"/>
      <c r="R490" s="606" t="s">
        <v>157</v>
      </c>
      <c r="S490" s="611"/>
      <c r="T490" s="881"/>
      <c r="U490" s="598"/>
      <c r="V490" s="599"/>
      <c r="W490" s="599"/>
      <c r="X490" s="599"/>
      <c r="Y490" s="879"/>
      <c r="Z490" s="102"/>
      <c r="AA490" s="122"/>
      <c r="AB490" s="122"/>
      <c r="AC490" s="493"/>
      <c r="AD490" s="495"/>
      <c r="AE490" s="122"/>
      <c r="AF490" s="22"/>
      <c r="AG490" s="98"/>
      <c r="AH490" s="98"/>
      <c r="AI490" s="20"/>
      <c r="AO490" s="22"/>
      <c r="AP490" s="22"/>
      <c r="AQ490" s="22"/>
      <c r="AR490" s="22"/>
      <c r="AS490" s="22"/>
      <c r="AT490" s="22"/>
      <c r="AU490" s="35"/>
      <c r="AV490" s="35"/>
      <c r="AW490" s="35"/>
      <c r="AX490" s="35"/>
      <c r="AY490" s="35"/>
      <c r="AZ490" s="35"/>
      <c r="BA490" s="35"/>
      <c r="BB490" s="35"/>
      <c r="BC490" s="35"/>
      <c r="BD490" s="35"/>
      <c r="BE490" s="35"/>
      <c r="BF490" s="35"/>
      <c r="BG490" s="35"/>
      <c r="BH490" s="35"/>
      <c r="BI490" s="35"/>
      <c r="BJ490" s="35"/>
      <c r="BK490" s="35"/>
      <c r="BL490" s="35"/>
      <c r="BM490" s="35"/>
      <c r="BN490" s="35"/>
      <c r="BO490" s="86"/>
    </row>
    <row r="491" spans="1:67" s="40" customFormat="1" ht="15.75" customHeight="1" thickBot="1" x14ac:dyDescent="0.3">
      <c r="A491" s="520">
        <f>IFERROR(VLOOKUP($G$5,'רשימת רשויות'!A:C,3,0),0)</f>
        <v>0</v>
      </c>
      <c r="B491" s="520">
        <f t="shared" si="63"/>
        <v>0</v>
      </c>
      <c r="C491" s="39"/>
      <c r="D491" s="1134"/>
      <c r="E491" s="1137"/>
      <c r="F491" s="589" t="s">
        <v>2281</v>
      </c>
      <c r="G491" s="99">
        <f>+G500</f>
        <v>0</v>
      </c>
      <c r="H491" s="103"/>
      <c r="I491" s="104"/>
      <c r="J491" s="105"/>
      <c r="K491" s="603"/>
      <c r="L491" s="603"/>
      <c r="M491" s="603"/>
      <c r="N491" s="603"/>
      <c r="O491" s="603"/>
      <c r="P491" s="605"/>
      <c r="Q491" s="604"/>
      <c r="R491" s="473">
        <f>I492-R493</f>
        <v>0</v>
      </c>
      <c r="S491" s="611"/>
      <c r="T491" s="881"/>
      <c r="U491" s="598"/>
      <c r="V491" s="599"/>
      <c r="W491" s="599"/>
      <c r="X491" s="599"/>
      <c r="Y491" s="879"/>
      <c r="Z491" s="106"/>
      <c r="AA491" s="22"/>
      <c r="AB491" s="22"/>
      <c r="AC491" s="493"/>
      <c r="AD491" s="495"/>
      <c r="AE491" s="22"/>
      <c r="AF491" s="22"/>
      <c r="AG491" s="98"/>
      <c r="AH491" s="98"/>
      <c r="AI491" s="20"/>
      <c r="AO491" s="22"/>
      <c r="AP491" s="22"/>
      <c r="AQ491" s="22"/>
      <c r="AR491" s="22"/>
      <c r="AS491" s="22"/>
      <c r="AT491" s="22"/>
      <c r="AU491" s="35"/>
      <c r="AV491" s="35"/>
      <c r="AW491" s="35"/>
      <c r="AX491" s="35"/>
      <c r="AY491" s="35"/>
      <c r="AZ491" s="35"/>
      <c r="BA491" s="35"/>
      <c r="BB491" s="35"/>
      <c r="BC491" s="35"/>
      <c r="BD491" s="35"/>
      <c r="BE491" s="35"/>
      <c r="BF491" s="35"/>
      <c r="BG491" s="35"/>
      <c r="BH491" s="35"/>
      <c r="BI491" s="35"/>
      <c r="BJ491" s="35"/>
      <c r="BK491" s="35"/>
      <c r="BL491" s="35"/>
      <c r="BM491" s="35"/>
      <c r="BN491" s="35"/>
      <c r="BO491" s="86"/>
    </row>
    <row r="492" spans="1:67" s="40" customFormat="1" ht="16.5" customHeight="1" thickBot="1" x14ac:dyDescent="0.3">
      <c r="A492" s="520">
        <f>IFERROR(VLOOKUP($G$5,'רשימת רשויות'!A:C,3,0),0)</f>
        <v>0</v>
      </c>
      <c r="B492" s="520">
        <f t="shared" si="63"/>
        <v>0</v>
      </c>
      <c r="C492" s="39"/>
      <c r="D492" s="1134"/>
      <c r="E492" s="1137"/>
      <c r="F492" s="589" t="s">
        <v>2282</v>
      </c>
      <c r="G492" s="99">
        <f>G496+G497+G498</f>
        <v>0</v>
      </c>
      <c r="H492" s="104"/>
      <c r="I492" s="107">
        <f>MAX(H490-G490-G491,0)</f>
        <v>0</v>
      </c>
      <c r="J492" s="108">
        <f>IFERROR(I492/H490,0)</f>
        <v>0</v>
      </c>
      <c r="K492" s="603"/>
      <c r="L492" s="603"/>
      <c r="M492" s="603"/>
      <c r="N492" s="603"/>
      <c r="O492" s="603"/>
      <c r="P492" s="604"/>
      <c r="Q492" s="604"/>
      <c r="R492" s="606" t="s">
        <v>158</v>
      </c>
      <c r="S492" s="612"/>
      <c r="T492" s="881"/>
      <c r="U492" s="598"/>
      <c r="V492" s="599"/>
      <c r="W492" s="599"/>
      <c r="X492" s="599"/>
      <c r="Y492" s="879"/>
      <c r="Z492" s="106"/>
      <c r="AA492" s="22"/>
      <c r="AB492" s="22"/>
      <c r="AC492" s="493"/>
      <c r="AD492" s="495"/>
      <c r="AE492" s="22"/>
      <c r="AF492" s="22"/>
      <c r="AG492" s="22"/>
      <c r="AH492" s="22"/>
      <c r="AI492" s="55"/>
      <c r="AJ492" s="22"/>
      <c r="AK492" s="22"/>
      <c r="AO492" s="22"/>
      <c r="AP492" s="22"/>
      <c r="AQ492" s="22"/>
      <c r="AR492" s="22"/>
      <c r="AS492" s="22"/>
      <c r="AT492" s="22"/>
      <c r="AU492" s="35"/>
      <c r="AV492" s="35"/>
      <c r="AW492" s="35"/>
      <c r="AX492" s="35"/>
      <c r="AY492" s="35"/>
      <c r="AZ492" s="35"/>
      <c r="BA492" s="35"/>
      <c r="BB492" s="35"/>
      <c r="BC492" s="35"/>
      <c r="BD492" s="35"/>
      <c r="BE492" s="35"/>
      <c r="BF492" s="35"/>
      <c r="BG492" s="35"/>
      <c r="BH492" s="35"/>
      <c r="BI492" s="35"/>
      <c r="BJ492" s="35"/>
      <c r="BK492" s="35"/>
      <c r="BL492" s="35"/>
      <c r="BM492" s="35"/>
      <c r="BN492" s="35"/>
      <c r="BO492" s="86"/>
    </row>
    <row r="493" spans="1:67" s="40" customFormat="1" ht="15.75" customHeight="1" thickBot="1" x14ac:dyDescent="0.3">
      <c r="A493" s="520">
        <f>IFERROR(VLOOKUP($G$5,'רשימת רשויות'!A:C,3,0),0)</f>
        <v>0</v>
      </c>
      <c r="B493" s="520">
        <f t="shared" si="63"/>
        <v>0</v>
      </c>
      <c r="C493" s="39"/>
      <c r="D493" s="1134"/>
      <c r="E493" s="1137"/>
      <c r="F493" s="590" t="s">
        <v>2290</v>
      </c>
      <c r="G493" s="109"/>
      <c r="H493" s="110"/>
      <c r="I493" s="111">
        <f>SUM(I490:I492)</f>
        <v>0</v>
      </c>
      <c r="J493" s="112">
        <f>SUM(J490:J492)</f>
        <v>0</v>
      </c>
      <c r="K493" s="603"/>
      <c r="L493" s="603"/>
      <c r="M493" s="603"/>
      <c r="N493" s="603"/>
      <c r="O493" s="603"/>
      <c r="P493" s="604"/>
      <c r="Q493" s="604"/>
      <c r="R493" s="473">
        <f>MIN(MAX(G497+G498-I486-J486,0),I492)</f>
        <v>0</v>
      </c>
      <c r="S493" s="612"/>
      <c r="T493" s="881"/>
      <c r="U493" s="598"/>
      <c r="V493" s="599"/>
      <c r="W493" s="599"/>
      <c r="X493" s="599"/>
      <c r="Y493" s="879"/>
      <c r="Z493" s="106"/>
      <c r="AA493" s="22"/>
      <c r="AB493" s="22"/>
      <c r="AC493" s="493"/>
      <c r="AD493" s="495"/>
      <c r="AE493" s="22"/>
      <c r="AF493" s="22"/>
      <c r="AG493" s="22"/>
      <c r="AH493" s="22"/>
      <c r="AJ493" s="22"/>
      <c r="AK493" s="22"/>
      <c r="AO493" s="22"/>
      <c r="AP493" s="22"/>
      <c r="AQ493" s="22"/>
      <c r="AR493" s="22"/>
      <c r="AS493" s="22"/>
      <c r="AT493" s="22"/>
      <c r="AU493" s="35"/>
      <c r="AV493" s="35"/>
      <c r="AW493" s="35"/>
      <c r="AX493" s="35"/>
      <c r="AY493" s="35"/>
      <c r="AZ493" s="35"/>
      <c r="BA493" s="35"/>
      <c r="BB493" s="35"/>
      <c r="BC493" s="35"/>
      <c r="BD493" s="35"/>
      <c r="BE493" s="35"/>
      <c r="BF493" s="35"/>
      <c r="BG493" s="35"/>
      <c r="BH493" s="35"/>
      <c r="BI493" s="35"/>
      <c r="BJ493" s="35"/>
      <c r="BK493" s="35"/>
      <c r="BL493" s="35"/>
      <c r="BM493" s="35"/>
      <c r="BN493" s="35"/>
      <c r="BO493" s="86"/>
    </row>
    <row r="494" spans="1:67" ht="16.5" thickBot="1" x14ac:dyDescent="0.3">
      <c r="A494" s="520">
        <f>IFERROR(VLOOKUP($G$5,'רשימת רשויות'!A:C,3,0),0)</f>
        <v>0</v>
      </c>
      <c r="B494" s="520">
        <f t="shared" si="63"/>
        <v>0</v>
      </c>
      <c r="D494" s="1134"/>
      <c r="E494" s="1137"/>
      <c r="F494" s="587" t="s">
        <v>17</v>
      </c>
      <c r="G494" s="113"/>
      <c r="H494" s="92"/>
      <c r="I494" s="114"/>
      <c r="J494" s="115"/>
      <c r="K494" s="116"/>
      <c r="L494" s="406"/>
      <c r="M494" s="116"/>
      <c r="N494" s="116"/>
      <c r="O494" s="116"/>
      <c r="P494" s="474"/>
      <c r="Q494" s="607"/>
      <c r="R494" s="608"/>
      <c r="S494" s="612"/>
      <c r="T494" s="881"/>
      <c r="U494" s="598"/>
      <c r="V494" s="599"/>
      <c r="W494" s="599"/>
      <c r="X494" s="599"/>
      <c r="Y494" s="879"/>
      <c r="Z494" s="106"/>
      <c r="AI494" s="40"/>
      <c r="BO494" s="86"/>
    </row>
    <row r="495" spans="1:67" ht="47.25" x14ac:dyDescent="0.25">
      <c r="A495" s="520">
        <f>IFERROR(VLOOKUP($G$5,'רשימת רשויות'!A:C,3,0),0)</f>
        <v>0</v>
      </c>
      <c r="B495" s="520">
        <f t="shared" si="63"/>
        <v>0</v>
      </c>
      <c r="D495" s="1134"/>
      <c r="E495" s="1137"/>
      <c r="F495" s="588" t="s">
        <v>2</v>
      </c>
      <c r="G495" s="95" t="s">
        <v>18</v>
      </c>
      <c r="H495" s="95" t="s">
        <v>19</v>
      </c>
      <c r="I495" s="95" t="s">
        <v>20</v>
      </c>
      <c r="J495" s="95" t="s">
        <v>22</v>
      </c>
      <c r="K495" s="96" t="s">
        <v>2314</v>
      </c>
      <c r="L495" s="609"/>
      <c r="M495" s="609"/>
      <c r="N495" s="609"/>
      <c r="O495" s="580"/>
      <c r="P495" s="618" t="s">
        <v>2298</v>
      </c>
      <c r="Q495" s="618" t="s">
        <v>2299</v>
      </c>
      <c r="R495" s="596"/>
      <c r="S495" s="890" t="s">
        <v>2519</v>
      </c>
      <c r="T495" s="890" t="s">
        <v>97</v>
      </c>
      <c r="U495" s="891" t="s">
        <v>2521</v>
      </c>
      <c r="V495" s="892" t="s">
        <v>2520</v>
      </c>
      <c r="W495" s="893" t="s">
        <v>2524</v>
      </c>
      <c r="X495" s="892" t="s">
        <v>2522</v>
      </c>
      <c r="Y495" s="894" t="s">
        <v>2523</v>
      </c>
      <c r="Z495" s="106"/>
      <c r="AC495" s="498" t="s">
        <v>2568</v>
      </c>
      <c r="AD495" s="499" t="s">
        <v>2569</v>
      </c>
      <c r="AF495" s="122"/>
      <c r="AI495" s="40"/>
      <c r="BO495" s="86"/>
    </row>
    <row r="496" spans="1:67" ht="15" customHeight="1" thickBot="1" x14ac:dyDescent="0.3">
      <c r="A496" s="520">
        <f>IFERROR(VLOOKUP($G$5,'רשימת רשויות'!A:C,3,0),0)</f>
        <v>0</v>
      </c>
      <c r="B496" s="520">
        <f t="shared" si="63"/>
        <v>0</v>
      </c>
      <c r="D496" s="1134"/>
      <c r="E496" s="1137"/>
      <c r="F496" s="589" t="s">
        <v>76</v>
      </c>
      <c r="G496" s="117">
        <f>IF(G487="תקין",SUMIF('עלויות כח אדם (6)'!$B$15:$B$3014,'בית ספר - תקצוב לפי מוסד (9)'!$G482,'עלויות כח אדם (6)'!$M$15:$M$3014)-VLOOKUP('בית ספר - תקצוב לפי מוסד (9)'!G482,' איוש משרות (8)'!$C:$H,5,0)-VLOOKUP('בית ספר - תקצוב לפי מוסד (9)'!G482,' איוש משרות (8)'!$C:$H,6,0),0)-Y496</f>
        <v>0</v>
      </c>
      <c r="H496" s="118">
        <f>I484+R491</f>
        <v>0</v>
      </c>
      <c r="I496" s="119">
        <f>IFERROR(SUM(G496)/H496,0)</f>
        <v>0</v>
      </c>
      <c r="J496" s="100">
        <f>MIN(I484+R491,IF(ISNUMBER(G496),G496,0))</f>
        <v>0</v>
      </c>
      <c r="K496" s="120">
        <f>MAX(H496-G496,0)</f>
        <v>0</v>
      </c>
      <c r="L496" s="407"/>
      <c r="M496" s="393"/>
      <c r="N496" s="393"/>
      <c r="O496" s="580"/>
      <c r="P496" s="968">
        <f>IFERROR(IF(SUM(G496)/(I484)&lt;100%,MIN((I484)-SUM(G496),(I484)*0.25),0),0)</f>
        <v>0</v>
      </c>
      <c r="Q496" s="968">
        <f>IF(SUM(G496)-(I484+R491)&gt;0,SUM(G496)-(I484+R491),0)</f>
        <v>0</v>
      </c>
      <c r="R496" s="596" t="s">
        <v>2351</v>
      </c>
      <c r="S496" s="576" t="s">
        <v>2342</v>
      </c>
      <c r="T496" s="599">
        <f>G482</f>
        <v>0</v>
      </c>
      <c r="U496" s="578"/>
      <c r="V496" s="579">
        <f>G496+G497+G498</f>
        <v>0</v>
      </c>
      <c r="W496" s="579">
        <f>U496-V496</f>
        <v>0</v>
      </c>
      <c r="X496" s="579">
        <f>IFERROR(W510*W496/(SUM(W496:W509)),0)</f>
        <v>0</v>
      </c>
      <c r="Y496" s="879">
        <f>SUMIFS(בקרה!$S:$S,בקרה!$D:$D,T496,בקרה!$K:$K,S496)</f>
        <v>0</v>
      </c>
      <c r="Z496" s="121"/>
      <c r="AA496" s="143"/>
      <c r="AB496" s="143"/>
      <c r="AC496" s="504">
        <v>0</v>
      </c>
      <c r="AD496" s="505">
        <f>IFERROR(U496-AC496,0)</f>
        <v>0</v>
      </c>
      <c r="AE496" s="143"/>
      <c r="AI496" s="20"/>
      <c r="BO496" s="86"/>
    </row>
    <row r="497" spans="1:67" ht="15" customHeight="1" thickBot="1" x14ac:dyDescent="0.3">
      <c r="A497" s="520">
        <f>IFERROR(VLOOKUP($G$5,'רשימת רשויות'!A:C,3,0),0)</f>
        <v>0</v>
      </c>
      <c r="B497" s="520">
        <f t="shared" si="63"/>
        <v>0</v>
      </c>
      <c r="D497" s="1134"/>
      <c r="E497" s="1137"/>
      <c r="F497" s="589" t="s">
        <v>44</v>
      </c>
      <c r="G497" s="123">
        <f>IF(G487="תקין",IFERROR(VLOOKUP('בית ספר - תקצוב לפי מוסד (9)'!G482,' איוש משרות (8)'!C:J,7,0),0),0)</f>
        <v>0</v>
      </c>
      <c r="H497" s="124">
        <f>I486+R493+J486</f>
        <v>0</v>
      </c>
      <c r="I497" s="119">
        <f>IFERROR(SUM(G497:G498)/H497,0)</f>
        <v>0</v>
      </c>
      <c r="J497" s="100">
        <f>MIN(R493+I486,IF(ISNUMBER(SUM(G497:G498)),SUM(G497:G498),0))</f>
        <v>0</v>
      </c>
      <c r="K497" s="1139">
        <f>MAX((H497)-(G497+G498),0)</f>
        <v>0</v>
      </c>
      <c r="L497" s="407"/>
      <c r="M497" s="393"/>
      <c r="N497" s="393"/>
      <c r="O497" s="580"/>
      <c r="P497" s="1140"/>
      <c r="Q497" s="1140"/>
      <c r="R497" s="617">
        <f>MAX(MIN(P505-Q505,H505*0.15-G503),0)</f>
        <v>0</v>
      </c>
      <c r="S497" s="576"/>
      <c r="T497" s="599">
        <f>G482</f>
        <v>0</v>
      </c>
      <c r="U497" s="578"/>
      <c r="V497" s="579"/>
      <c r="W497" s="579">
        <f t="shared" ref="W497:W509" si="68">U497-V497</f>
        <v>0</v>
      </c>
      <c r="X497" s="579"/>
      <c r="Y497" s="879"/>
      <c r="Z497" s="121"/>
      <c r="AA497" s="143"/>
      <c r="AB497" s="143"/>
      <c r="AC497" s="504"/>
      <c r="AD497" s="505">
        <f t="shared" ref="AD497:AD503" si="69">IFERROR(U497-AC497,0)</f>
        <v>0</v>
      </c>
      <c r="AE497" s="143"/>
      <c r="AI497" s="20"/>
      <c r="BO497" s="86"/>
    </row>
    <row r="498" spans="1:67" ht="15.75" customHeight="1" x14ac:dyDescent="0.25">
      <c r="A498" s="520">
        <f>IFERROR(VLOOKUP($G$5,'רשימת רשויות'!A:C,3,0),0)</f>
        <v>0</v>
      </c>
      <c r="B498" s="520">
        <f t="shared" si="63"/>
        <v>0</v>
      </c>
      <c r="D498" s="1134"/>
      <c r="E498" s="1137"/>
      <c r="F498" s="589" t="s">
        <v>45</v>
      </c>
      <c r="G498" s="123">
        <f>IF(G487="תקין",IFERROR(VLOOKUP('בית ספר - תקצוב לפי מוסד (9)'!G482,' איוש משרות (8)'!C:J,8,0),0),0)</f>
        <v>0</v>
      </c>
      <c r="H498" s="125"/>
      <c r="I498" s="126"/>
      <c r="J498" s="104"/>
      <c r="K498" s="1139"/>
      <c r="L498" s="407"/>
      <c r="M498" s="393"/>
      <c r="N498" s="393"/>
      <c r="O498" s="580"/>
      <c r="P498" s="1140"/>
      <c r="Q498" s="1140"/>
      <c r="R498" s="596"/>
      <c r="S498" s="576"/>
      <c r="T498" s="599">
        <f>G482</f>
        <v>0</v>
      </c>
      <c r="U498" s="578"/>
      <c r="V498" s="579"/>
      <c r="W498" s="579">
        <f t="shared" si="68"/>
        <v>0</v>
      </c>
      <c r="X498" s="579"/>
      <c r="Y498" s="879"/>
      <c r="Z498" s="121"/>
      <c r="AA498" s="143"/>
      <c r="AB498" s="143"/>
      <c r="AC498" s="504"/>
      <c r="AD498" s="505">
        <f t="shared" si="69"/>
        <v>0</v>
      </c>
      <c r="AE498" s="143"/>
      <c r="AG498" s="55"/>
      <c r="AH498" s="55"/>
      <c r="AI498" s="55"/>
      <c r="AJ498" s="55"/>
      <c r="AK498" s="55"/>
      <c r="BO498" s="86"/>
    </row>
    <row r="499" spans="1:67" ht="15.75" customHeight="1" x14ac:dyDescent="0.25">
      <c r="A499" s="520">
        <f>IFERROR(VLOOKUP($G$5,'רשימת רשויות'!A:C,3,0),0)</f>
        <v>0</v>
      </c>
      <c r="B499" s="520">
        <f t="shared" si="63"/>
        <v>0</v>
      </c>
      <c r="D499" s="1134"/>
      <c r="E499" s="1137"/>
      <c r="F499" s="589" t="s">
        <v>0</v>
      </c>
      <c r="G499" s="117">
        <f>IF(G487="תקין",SUMIFS('דוח הוצאות בפועל (4)'!$E$17:$E$3016,'דוח הוצאות בפועל (4)'!$B$17:$B$3016,'בית ספר - תקצוב לפי מוסד (9)'!$G482,'דוח הוצאות בפועל (4)'!$M$17:$M$3016,"הע"),0)-Y499</f>
        <v>0</v>
      </c>
      <c r="H499" s="127">
        <f>J484</f>
        <v>0</v>
      </c>
      <c r="I499" s="128">
        <f>IFERROR(G499/H499,0)</f>
        <v>0</v>
      </c>
      <c r="J499" s="129">
        <f>MIN(IF(ISNUMBER(G499),G499,0),H499)</f>
        <v>0</v>
      </c>
      <c r="K499" s="120">
        <f>MAX(H499-G499,0)</f>
        <v>0</v>
      </c>
      <c r="L499" s="407"/>
      <c r="M499" s="393"/>
      <c r="N499" s="393"/>
      <c r="O499" s="580"/>
      <c r="P499" s="968">
        <f>MAX(IF(I499&lt;100%,MIN((H499-G499),H499*0.25),0),0)</f>
        <v>0</v>
      </c>
      <c r="Q499" s="619">
        <f>IF(G499-H499&gt;0,G499-H499,0)</f>
        <v>0</v>
      </c>
      <c r="R499" s="596"/>
      <c r="S499" s="610" t="s">
        <v>0</v>
      </c>
      <c r="T499" s="599">
        <f>G482</f>
        <v>0</v>
      </c>
      <c r="U499" s="578"/>
      <c r="V499" s="579">
        <f>G499</f>
        <v>0</v>
      </c>
      <c r="W499" s="579">
        <f t="shared" si="68"/>
        <v>0</v>
      </c>
      <c r="X499" s="579">
        <f>IFERROR(W510*W499/(SUM(W496:W509)),0)</f>
        <v>0</v>
      </c>
      <c r="Y499" s="879">
        <f>SUMIFS(בקרה!$S:$S,בקרה!$D:$D,T499,בקרה!$K:$K,S499)</f>
        <v>0</v>
      </c>
      <c r="Z499" s="121"/>
      <c r="AA499" s="143"/>
      <c r="AB499" s="143"/>
      <c r="AC499" s="504">
        <v>0</v>
      </c>
      <c r="AD499" s="505">
        <f t="shared" si="69"/>
        <v>0</v>
      </c>
      <c r="AE499" s="143"/>
      <c r="AG499" s="55"/>
      <c r="AH499" s="55"/>
      <c r="AI499" s="40"/>
      <c r="AJ499" s="55"/>
      <c r="AK499" s="55"/>
      <c r="BO499" s="86"/>
    </row>
    <row r="500" spans="1:67" s="55" customFormat="1" ht="15.75" customHeight="1" x14ac:dyDescent="0.25">
      <c r="A500" s="520">
        <f>IFERROR(VLOOKUP($G$5,'רשימת רשויות'!A:C,3,0),0)</f>
        <v>0</v>
      </c>
      <c r="B500" s="520">
        <f t="shared" si="63"/>
        <v>0</v>
      </c>
      <c r="C500" s="39"/>
      <c r="D500" s="1134"/>
      <c r="E500" s="1137"/>
      <c r="F500" s="589" t="s">
        <v>93</v>
      </c>
      <c r="G500" s="130">
        <f>IF(G487="תקין",SUMIFS('דוח הוצאות בפועל (4)'!$E$17:$E$3016,'דוח הוצאות בפועל (4)'!$B$17:$B$3016,'בית ספר - תקצוב לפי מוסד (9)'!$G482,'דוח הוצאות בפועל (4)'!$M$17:$M$3016,"אר"),0)-Y500</f>
        <v>0</v>
      </c>
      <c r="H500" s="118">
        <f>$I490</f>
        <v>0</v>
      </c>
      <c r="I500" s="131">
        <f>IFERROR((G500+G501)/H500,0)</f>
        <v>0</v>
      </c>
      <c r="J500" s="100">
        <f>MIN((IF(ISNUMBER(G500),G500,0)+IF(ISNUMBER(G501),G501,0)),H500)</f>
        <v>0</v>
      </c>
      <c r="K500" s="1139">
        <f>MAX((H500)-(G500+G501),0)</f>
        <v>0</v>
      </c>
      <c r="L500" s="407"/>
      <c r="M500" s="393"/>
      <c r="N500" s="393"/>
      <c r="O500" s="602"/>
      <c r="P500" s="1141"/>
      <c r="Q500" s="1142"/>
      <c r="R500" s="596"/>
      <c r="S500" s="610" t="s">
        <v>93</v>
      </c>
      <c r="T500" s="599">
        <f>G482</f>
        <v>0</v>
      </c>
      <c r="U500" s="578"/>
      <c r="V500" s="579">
        <f t="shared" ref="V500:V501" si="70">G500</f>
        <v>0</v>
      </c>
      <c r="W500" s="579">
        <f t="shared" si="68"/>
        <v>0</v>
      </c>
      <c r="X500" s="579">
        <f>IFERROR(W510*W500/(SUM(W496:W509)),0)</f>
        <v>0</v>
      </c>
      <c r="Y500" s="879">
        <f>SUMIFS(בקרה!$S:$S,בקרה!$D:$D,T500,בקרה!$K:$K,S500)</f>
        <v>0</v>
      </c>
      <c r="Z500" s="121"/>
      <c r="AA500" s="143"/>
      <c r="AB500" s="143"/>
      <c r="AC500" s="504">
        <v>0</v>
      </c>
      <c r="AD500" s="505">
        <f t="shared" si="69"/>
        <v>0</v>
      </c>
      <c r="AE500" s="143"/>
      <c r="AJ500" s="22"/>
      <c r="AO500" s="22"/>
      <c r="AP500" s="22"/>
      <c r="AQ500" s="22"/>
      <c r="AR500" s="22"/>
      <c r="AS500" s="22"/>
      <c r="AT500" s="22"/>
      <c r="AU500" s="35"/>
      <c r="AV500" s="35"/>
      <c r="AW500" s="35"/>
      <c r="AX500" s="35"/>
      <c r="AY500" s="35"/>
      <c r="AZ500" s="35"/>
      <c r="BA500" s="35"/>
      <c r="BB500" s="35"/>
      <c r="BC500" s="35"/>
      <c r="BD500" s="35"/>
      <c r="BE500" s="35"/>
      <c r="BF500" s="35"/>
      <c r="BG500" s="35"/>
      <c r="BH500" s="35"/>
      <c r="BI500" s="35"/>
      <c r="BJ500" s="35"/>
      <c r="BK500" s="35"/>
      <c r="BL500" s="35"/>
      <c r="BM500" s="35"/>
      <c r="BN500" s="35"/>
      <c r="BO500" s="86"/>
    </row>
    <row r="501" spans="1:67" s="55" customFormat="1" ht="15.75" customHeight="1" x14ac:dyDescent="0.25">
      <c r="A501" s="520">
        <f>IFERROR(VLOOKUP($G$5,'רשימת רשויות'!A:C,3,0),0)</f>
        <v>0</v>
      </c>
      <c r="B501" s="520">
        <f t="shared" si="63"/>
        <v>0</v>
      </c>
      <c r="C501" s="39"/>
      <c r="D501" s="1134"/>
      <c r="E501" s="1137"/>
      <c r="F501" s="589" t="s">
        <v>46</v>
      </c>
      <c r="G501" s="130">
        <f>IF(G487="תקין",SUMIFS('דוח הוצאות בפועל (4)'!$E$17:$E$3016,'דוח הוצאות בפועל (4)'!$B$17:$B$3016,'בית ספר - תקצוב לפי מוסד (9)'!$G482,'דוח הוצאות בפועל (4)'!$M$17:$M$3016,"מל"),0)-Y501</f>
        <v>0</v>
      </c>
      <c r="H501" s="132"/>
      <c r="I501" s="133"/>
      <c r="J501" s="104"/>
      <c r="K501" s="1139"/>
      <c r="L501" s="407"/>
      <c r="M501" s="393"/>
      <c r="N501" s="393"/>
      <c r="O501" s="602"/>
      <c r="P501" s="1141"/>
      <c r="Q501" s="1142"/>
      <c r="R501" s="596"/>
      <c r="S501" s="610" t="s">
        <v>46</v>
      </c>
      <c r="T501" s="599">
        <f>G482</f>
        <v>0</v>
      </c>
      <c r="U501" s="578"/>
      <c r="V501" s="579">
        <f t="shared" si="70"/>
        <v>0</v>
      </c>
      <c r="W501" s="579">
        <f t="shared" si="68"/>
        <v>0</v>
      </c>
      <c r="X501" s="579">
        <f>IFERROR(W510*W501/(SUM(W496:W509)),0)</f>
        <v>0</v>
      </c>
      <c r="Y501" s="879">
        <f>SUMIFS(בקרה!$S:$S,בקרה!$D:$D,T501,בקרה!$K:$K,S501)</f>
        <v>0</v>
      </c>
      <c r="Z501" s="121"/>
      <c r="AA501" s="143"/>
      <c r="AB501" s="143"/>
      <c r="AC501" s="504">
        <v>0</v>
      </c>
      <c r="AD501" s="505">
        <f t="shared" si="69"/>
        <v>0</v>
      </c>
      <c r="AE501" s="143"/>
      <c r="AJ501" s="22"/>
      <c r="AO501" s="22"/>
      <c r="AP501" s="22"/>
      <c r="AQ501" s="22"/>
      <c r="AR501" s="22"/>
      <c r="AS501" s="22"/>
      <c r="AT501" s="22"/>
      <c r="AU501" s="35"/>
      <c r="AV501" s="35"/>
      <c r="AW501" s="35"/>
      <c r="AX501" s="35"/>
      <c r="AY501" s="35"/>
      <c r="AZ501" s="35"/>
      <c r="BA501" s="35"/>
      <c r="BB501" s="35"/>
      <c r="BC501" s="35"/>
      <c r="BD501" s="35"/>
      <c r="BE501" s="35"/>
      <c r="BF501" s="35"/>
      <c r="BG501" s="35"/>
      <c r="BH501" s="35"/>
      <c r="BI501" s="35"/>
      <c r="BJ501" s="35"/>
      <c r="BK501" s="35"/>
      <c r="BL501" s="35"/>
      <c r="BM501" s="35"/>
      <c r="BN501" s="35"/>
      <c r="BO501" s="86"/>
    </row>
    <row r="502" spans="1:67" s="55" customFormat="1" ht="15" customHeight="1" x14ac:dyDescent="0.25">
      <c r="A502" s="520">
        <f>IFERROR(VLOOKUP($G$5,'רשימת רשויות'!A:C,3,0),0)</f>
        <v>0</v>
      </c>
      <c r="B502" s="520">
        <f t="shared" si="63"/>
        <v>0</v>
      </c>
      <c r="C502" s="39"/>
      <c r="D502" s="1134"/>
      <c r="E502" s="1137"/>
      <c r="F502" s="591" t="s">
        <v>23</v>
      </c>
      <c r="G502" s="134">
        <f>SUM(G496:G501)</f>
        <v>0</v>
      </c>
      <c r="H502" s="135">
        <f>SUM(H496:H501)</f>
        <v>0</v>
      </c>
      <c r="I502" s="128">
        <f>IFERROR(G502/H502,0)</f>
        <v>0</v>
      </c>
      <c r="J502" s="136">
        <f>SUM(J496:J501)</f>
        <v>0</v>
      </c>
      <c r="K502" s="137">
        <f>SUM(K496:K501)</f>
        <v>0</v>
      </c>
      <c r="L502" s="408"/>
      <c r="M502" s="394"/>
      <c r="N502" s="394"/>
      <c r="O502" s="602"/>
      <c r="P502" s="620">
        <f>SUM(P496:P501)</f>
        <v>0</v>
      </c>
      <c r="Q502" s="620">
        <f>SUM(Q496:Q501)</f>
        <v>0</v>
      </c>
      <c r="R502" s="596"/>
      <c r="S502" s="610"/>
      <c r="T502" s="599">
        <f>G482</f>
        <v>0</v>
      </c>
      <c r="U502" s="578"/>
      <c r="V502" s="579"/>
      <c r="W502" s="579">
        <f t="shared" si="68"/>
        <v>0</v>
      </c>
      <c r="X502" s="579"/>
      <c r="Y502" s="879"/>
      <c r="Z502" s="121"/>
      <c r="AA502" s="143"/>
      <c r="AB502" s="143"/>
      <c r="AC502" s="504"/>
      <c r="AD502" s="505">
        <f t="shared" si="69"/>
        <v>0</v>
      </c>
      <c r="AE502" s="143"/>
      <c r="AJ502" s="22"/>
      <c r="AL502" s="22"/>
      <c r="AM502" s="22"/>
      <c r="AN502" s="22"/>
      <c r="AO502" s="22"/>
      <c r="AP502" s="22"/>
      <c r="AQ502" s="22"/>
      <c r="AR502" s="22"/>
      <c r="AS502" s="22"/>
      <c r="AT502" s="22"/>
      <c r="AU502" s="35"/>
      <c r="AV502" s="35"/>
      <c r="AW502" s="35"/>
      <c r="AX502" s="35"/>
      <c r="AY502" s="35"/>
      <c r="AZ502" s="35"/>
      <c r="BA502" s="35"/>
      <c r="BB502" s="35"/>
      <c r="BC502" s="35"/>
      <c r="BD502" s="35"/>
      <c r="BE502" s="35"/>
      <c r="BF502" s="35"/>
      <c r="BG502" s="35"/>
      <c r="BH502" s="35"/>
      <c r="BI502" s="35"/>
      <c r="BJ502" s="35"/>
      <c r="BK502" s="35"/>
      <c r="BL502" s="35"/>
      <c r="BM502" s="35"/>
      <c r="BN502" s="35"/>
      <c r="BO502" s="86"/>
    </row>
    <row r="503" spans="1:67" s="55" customFormat="1" ht="15" customHeight="1" x14ac:dyDescent="0.25">
      <c r="A503" s="520">
        <f>IFERROR(VLOOKUP($G$5,'רשימת רשויות'!A:C,3,0),0)</f>
        <v>0</v>
      </c>
      <c r="B503" s="520">
        <f t="shared" si="63"/>
        <v>0</v>
      </c>
      <c r="C503" s="39"/>
      <c r="D503" s="1134"/>
      <c r="E503" s="1137"/>
      <c r="F503" s="589" t="s">
        <v>3</v>
      </c>
      <c r="G503" s="117">
        <f>IF(G487="תקין",SUMIFS('דוח הוצאות בפועל (4)'!$E$17:$E$3016,'דוח הוצאות בפועל (4)'!$B$17:$B$3016,'בית ספר - תקצוב לפי מוסד (9)'!$G482,'דוח הוצאות בפועל (4)'!$M$17:$M$3016,"ני")+SUMIFS('דוח הוצאות בפועל (4)'!$E$17:$E$3016,'דוח הוצאות בפועל (4)'!$B$17:$B$3016,'בית ספר - תקצוב לפי מוסד (9)'!$G482,'דוח הוצאות בפועל (4)'!$M$17:$M$3016,"על"),0)-Y503</f>
        <v>0</v>
      </c>
      <c r="H503" s="117">
        <f>H484</f>
        <v>0</v>
      </c>
      <c r="I503" s="138">
        <f>IFERROR(G503/H503,0)</f>
        <v>0</v>
      </c>
      <c r="J503" s="117">
        <f>IFERROR(IF(G503/H505&gt;0.15,MIN(H505*0.15,H503),MIN(H503,IF(ISNUMBER(G503),G503,0))),0)</f>
        <v>0</v>
      </c>
      <c r="K503" s="120">
        <f>MAX(H503-G503,0)</f>
        <v>0</v>
      </c>
      <c r="L503" s="407"/>
      <c r="M503" s="393"/>
      <c r="N503" s="393"/>
      <c r="O503" s="602"/>
      <c r="P503" s="620">
        <f>IF(I503&lt;100%,MIN(H503-G503,H503*0.25),0)</f>
        <v>0</v>
      </c>
      <c r="Q503" s="620">
        <f>MAX(MIN(IF(G503-H503&gt;0,G503-H503,0),$H505*0.15-H503-J504),0)</f>
        <v>0</v>
      </c>
      <c r="R503" s="596"/>
      <c r="S503" s="610" t="s">
        <v>3</v>
      </c>
      <c r="T503" s="599">
        <f>G482</f>
        <v>0</v>
      </c>
      <c r="U503" s="578"/>
      <c r="V503" s="579">
        <f t="shared" ref="V503" si="71">G503</f>
        <v>0</v>
      </c>
      <c r="W503" s="579">
        <f t="shared" si="68"/>
        <v>0</v>
      </c>
      <c r="X503" s="579"/>
      <c r="Y503" s="879"/>
      <c r="Z503" s="121"/>
      <c r="AA503" s="143"/>
      <c r="AB503" s="143"/>
      <c r="AC503" s="504">
        <v>0</v>
      </c>
      <c r="AD503" s="505">
        <f t="shared" si="69"/>
        <v>0</v>
      </c>
      <c r="AE503" s="143"/>
      <c r="AG503" s="22"/>
      <c r="AH503" s="22"/>
      <c r="AI503" s="22"/>
      <c r="AJ503" s="22"/>
      <c r="AK503" s="22"/>
      <c r="AL503" s="22"/>
      <c r="AM503" s="22"/>
      <c r="AN503" s="22"/>
      <c r="AO503" s="22"/>
      <c r="AP503" s="22"/>
      <c r="AQ503" s="22"/>
      <c r="AR503" s="22"/>
      <c r="AS503" s="22"/>
      <c r="AT503" s="22"/>
      <c r="AU503" s="35"/>
      <c r="AV503" s="35"/>
      <c r="AW503" s="35"/>
      <c r="AX503" s="35"/>
      <c r="AY503" s="35"/>
      <c r="AZ503" s="35"/>
      <c r="BA503" s="35"/>
      <c r="BB503" s="35"/>
      <c r="BC503" s="35"/>
      <c r="BD503" s="35"/>
      <c r="BE503" s="35"/>
      <c r="BF503" s="35"/>
      <c r="BG503" s="35"/>
      <c r="BH503" s="35"/>
      <c r="BI503" s="35"/>
      <c r="BJ503" s="35"/>
      <c r="BK503" s="35"/>
      <c r="BL503" s="35"/>
      <c r="BM503" s="35"/>
      <c r="BN503" s="35"/>
      <c r="BO503" s="86"/>
    </row>
    <row r="504" spans="1:67" s="55" customFormat="1" ht="15.75" customHeight="1" x14ac:dyDescent="0.25">
      <c r="A504" s="520">
        <f>IFERROR(VLOOKUP($G$5,'רשימת רשויות'!A:C,3,0),0)</f>
        <v>0</v>
      </c>
      <c r="B504" s="520">
        <f t="shared" si="63"/>
        <v>0</v>
      </c>
      <c r="C504" s="39"/>
      <c r="D504" s="1134"/>
      <c r="E504" s="1137"/>
      <c r="F504" s="589" t="s">
        <v>2918</v>
      </c>
      <c r="G504" s="117">
        <f>0.07*(G498+G497)</f>
        <v>0</v>
      </c>
      <c r="H504" s="117">
        <f>H486</f>
        <v>0</v>
      </c>
      <c r="I504" s="138">
        <f>IFERROR(G504/H504,0)</f>
        <v>0</v>
      </c>
      <c r="J504" s="117">
        <f>IFERROR(MIN(0.07*(G497+G498),0.07*I486),0)</f>
        <v>0</v>
      </c>
      <c r="K504" s="120">
        <f>MAX(H504-G504,0)</f>
        <v>0</v>
      </c>
      <c r="L504" s="407"/>
      <c r="M504" s="393"/>
      <c r="N504" s="393"/>
      <c r="O504" s="602"/>
      <c r="P504" s="620"/>
      <c r="Q504" s="619"/>
      <c r="R504" s="596"/>
      <c r="S504" s="611"/>
      <c r="T504" s="599">
        <f>G482</f>
        <v>0</v>
      </c>
      <c r="U504" s="578"/>
      <c r="V504" s="579"/>
      <c r="W504" s="579">
        <f t="shared" si="68"/>
        <v>0</v>
      </c>
      <c r="X504" s="579"/>
      <c r="Y504" s="879"/>
      <c r="Z504" s="121"/>
      <c r="AA504" s="143"/>
      <c r="AB504" s="143"/>
      <c r="AC504" s="504"/>
      <c r="AD504" s="505"/>
      <c r="AE504" s="143"/>
      <c r="AF504" s="140"/>
      <c r="AG504" s="22"/>
      <c r="AH504" s="22"/>
      <c r="AI504" s="22"/>
      <c r="AJ504" s="22"/>
      <c r="AK504" s="22"/>
      <c r="AL504" s="22"/>
      <c r="AM504" s="22"/>
      <c r="AN504" s="22"/>
      <c r="AO504" s="22"/>
      <c r="AP504" s="22"/>
      <c r="AQ504" s="22"/>
      <c r="AR504" s="22"/>
      <c r="AS504" s="22"/>
      <c r="AT504" s="22"/>
      <c r="AU504" s="35"/>
      <c r="AV504" s="35"/>
      <c r="AW504" s="35"/>
      <c r="AX504" s="35"/>
      <c r="AY504" s="35"/>
      <c r="AZ504" s="35"/>
      <c r="BA504" s="35"/>
      <c r="BB504" s="35"/>
      <c r="BC504" s="35"/>
      <c r="BD504" s="35"/>
      <c r="BE504" s="35"/>
      <c r="BF504" s="35"/>
      <c r="BG504" s="35"/>
      <c r="BH504" s="35"/>
      <c r="BI504" s="35"/>
      <c r="BJ504" s="35"/>
      <c r="BK504" s="35"/>
      <c r="BL504" s="35"/>
      <c r="BM504" s="35"/>
      <c r="BN504" s="35"/>
      <c r="BO504" s="86"/>
    </row>
    <row r="505" spans="1:67" ht="15.75" customHeight="1" x14ac:dyDescent="0.25">
      <c r="A505" s="520">
        <f>IFERROR(VLOOKUP($G$5,'רשימת רשויות'!A:C,3,0),0)</f>
        <v>0</v>
      </c>
      <c r="B505" s="520">
        <f t="shared" si="63"/>
        <v>0</v>
      </c>
      <c r="D505" s="1134"/>
      <c r="E505" s="1137"/>
      <c r="F505" s="591" t="s">
        <v>15</v>
      </c>
      <c r="G505" s="134">
        <f>G502+G503+G504</f>
        <v>0</v>
      </c>
      <c r="H505" s="134">
        <f>H502+H503+H504</f>
        <v>0</v>
      </c>
      <c r="I505" s="138">
        <f>IFERROR(G505/H505,0)</f>
        <v>0</v>
      </c>
      <c r="J505" s="139">
        <f>J502+J503+J504</f>
        <v>0</v>
      </c>
      <c r="K505" s="137">
        <f>K503+K502+K504</f>
        <v>0</v>
      </c>
      <c r="L505" s="408"/>
      <c r="M505" s="394"/>
      <c r="N505" s="394"/>
      <c r="O505" s="602"/>
      <c r="P505" s="621">
        <f>SUM(P502:P503)</f>
        <v>0</v>
      </c>
      <c r="Q505" s="622">
        <f>Q502+Q503</f>
        <v>0</v>
      </c>
      <c r="R505" s="596"/>
      <c r="S505" s="611"/>
      <c r="T505" s="599">
        <f>G482</f>
        <v>0</v>
      </c>
      <c r="U505" s="578"/>
      <c r="V505" s="579"/>
      <c r="W505" s="579">
        <f t="shared" si="68"/>
        <v>0</v>
      </c>
      <c r="X505" s="579"/>
      <c r="Y505" s="879"/>
      <c r="Z505" s="106"/>
      <c r="AC505" s="504"/>
      <c r="AD505" s="505"/>
      <c r="AH505" s="143"/>
      <c r="BO505" s="86"/>
    </row>
    <row r="506" spans="1:67" ht="15.75" customHeight="1" x14ac:dyDescent="0.25">
      <c r="A506" s="520">
        <f>IFERROR(VLOOKUP($G$5,'רשימת רשויות'!A:C,3,0),0)</f>
        <v>0</v>
      </c>
      <c r="B506" s="520">
        <f t="shared" si="63"/>
        <v>0</v>
      </c>
      <c r="D506" s="1134"/>
      <c r="E506" s="1137"/>
      <c r="F506" s="589" t="s">
        <v>2261</v>
      </c>
      <c r="G506" s="117">
        <f>IF(G487="תקין",SUMIF('תשלומי הורים ומלגות להורים (5) '!$B$18:$B$517,$G482,'תשלומי הורים ומלגות להורים (5) '!$C$18:$C$517),0)</f>
        <v>0</v>
      </c>
      <c r="H506" s="117">
        <f>(G485+G486)*$G$7</f>
        <v>0</v>
      </c>
      <c r="I506" s="141"/>
      <c r="J506" s="141"/>
      <c r="K506" s="142"/>
      <c r="L506" s="395"/>
      <c r="M506" s="395"/>
      <c r="N506" s="395"/>
      <c r="O506" s="602"/>
      <c r="P506" s="623"/>
      <c r="Q506" s="619"/>
      <c r="R506" s="596"/>
      <c r="S506" s="612"/>
      <c r="T506" s="599">
        <f>G482</f>
        <v>0</v>
      </c>
      <c r="U506" s="578"/>
      <c r="V506" s="579"/>
      <c r="W506" s="579">
        <f t="shared" si="68"/>
        <v>0</v>
      </c>
      <c r="X506" s="579"/>
      <c r="Y506" s="879"/>
      <c r="Z506" s="121"/>
      <c r="AA506" s="143"/>
      <c r="AB506" s="143"/>
      <c r="AC506" s="504"/>
      <c r="AD506" s="505"/>
      <c r="AE506" s="143"/>
      <c r="AF506" s="148"/>
      <c r="BO506" s="86"/>
    </row>
    <row r="507" spans="1:67" ht="15.75" customHeight="1" thickBot="1" x14ac:dyDescent="0.3">
      <c r="A507" s="520">
        <f>IFERROR(VLOOKUP($G$5,'רשימת רשויות'!A:C,3,0),0)</f>
        <v>0</v>
      </c>
      <c r="B507" s="520">
        <f t="shared" si="63"/>
        <v>0</v>
      </c>
      <c r="D507" s="1134"/>
      <c r="E507" s="1137"/>
      <c r="F507" s="592" t="s">
        <v>21</v>
      </c>
      <c r="G507" s="144">
        <f>G505-G506</f>
        <v>0</v>
      </c>
      <c r="H507" s="144">
        <f>H505-H506</f>
        <v>0</v>
      </c>
      <c r="I507" s="145"/>
      <c r="J507" s="145"/>
      <c r="K507" s="146"/>
      <c r="L507" s="396"/>
      <c r="M507" s="396"/>
      <c r="N507" s="396"/>
      <c r="O507" s="602"/>
      <c r="P507" s="619"/>
      <c r="Q507" s="619"/>
      <c r="R507" s="596"/>
      <c r="S507" s="612"/>
      <c r="T507" s="599">
        <f>G482</f>
        <v>0</v>
      </c>
      <c r="U507" s="578"/>
      <c r="V507" s="579"/>
      <c r="W507" s="579">
        <f t="shared" si="68"/>
        <v>0</v>
      </c>
      <c r="X507" s="579"/>
      <c r="Y507" s="879"/>
      <c r="Z507" s="147"/>
      <c r="AA507" s="148"/>
      <c r="AB507" s="148"/>
      <c r="AC507" s="504"/>
      <c r="AD507" s="505"/>
      <c r="AE507" s="148"/>
      <c r="AF507" s="148"/>
      <c r="BO507" s="86"/>
    </row>
    <row r="508" spans="1:67" ht="15.75" customHeight="1" thickBot="1" x14ac:dyDescent="0.3">
      <c r="A508" s="520">
        <f>IFERROR(VLOOKUP($G$5,'רשימת רשויות'!A:C,3,0),0)</f>
        <v>0</v>
      </c>
      <c r="B508" s="520">
        <f t="shared" si="63"/>
        <v>0</v>
      </c>
      <c r="D508" s="1134"/>
      <c r="E508" s="1137"/>
      <c r="F508" s="580"/>
      <c r="G508" s="580"/>
      <c r="H508" s="147"/>
      <c r="I508" s="149" t="s">
        <v>2197</v>
      </c>
      <c r="J508" s="150">
        <f>MAX(MIN(P505,Q505),0)</f>
        <v>0</v>
      </c>
      <c r="K508" s="580"/>
      <c r="L508" s="580"/>
      <c r="M508" s="580"/>
      <c r="N508" s="580"/>
      <c r="O508" s="580"/>
      <c r="P508" s="615" t="s">
        <v>2317</v>
      </c>
      <c r="Q508" s="624">
        <f>SUM(Q509:Q510)</f>
        <v>0</v>
      </c>
      <c r="R508" s="596"/>
      <c r="S508" s="612"/>
      <c r="T508" s="599">
        <f>G482</f>
        <v>0</v>
      </c>
      <c r="U508" s="578"/>
      <c r="V508" s="579"/>
      <c r="W508" s="579">
        <f t="shared" si="68"/>
        <v>0</v>
      </c>
      <c r="X508" s="579"/>
      <c r="Y508" s="879"/>
      <c r="Z508" s="106"/>
      <c r="AC508" s="504"/>
      <c r="AD508" s="505"/>
      <c r="AF508" s="148"/>
      <c r="BO508" s="86"/>
    </row>
    <row r="509" spans="1:67" ht="16.5" thickBot="1" x14ac:dyDescent="0.3">
      <c r="A509" s="520">
        <f>IFERROR(VLOOKUP($G$5,'רשימת רשויות'!A:C,3,0),0)</f>
        <v>0</v>
      </c>
      <c r="B509" s="520">
        <f t="shared" si="63"/>
        <v>0</v>
      </c>
      <c r="D509" s="1134"/>
      <c r="E509" s="1137"/>
      <c r="F509" s="580"/>
      <c r="G509" s="580"/>
      <c r="H509" s="580"/>
      <c r="I509" s="84" t="s">
        <v>2193</v>
      </c>
      <c r="J509" s="515" t="str">
        <f>IFERROR(1-H506/H505,"")</f>
        <v/>
      </c>
      <c r="K509" s="580"/>
      <c r="L509" s="580"/>
      <c r="M509" s="580"/>
      <c r="N509" s="580"/>
      <c r="O509" s="580"/>
      <c r="P509" s="615" t="s">
        <v>417</v>
      </c>
      <c r="Q509" s="616">
        <f>IFERROR(MAX(H507-I510-Q510,0),0)</f>
        <v>0</v>
      </c>
      <c r="R509" s="596"/>
      <c r="S509" s="600"/>
      <c r="T509" s="599">
        <f>G482</f>
        <v>0</v>
      </c>
      <c r="U509" s="578"/>
      <c r="V509" s="579"/>
      <c r="W509" s="579">
        <f t="shared" si="68"/>
        <v>0</v>
      </c>
      <c r="X509" s="579"/>
      <c r="Y509" s="879"/>
      <c r="Z509" s="106"/>
      <c r="AC509" s="504"/>
      <c r="AD509" s="505"/>
      <c r="BO509" s="86"/>
    </row>
    <row r="510" spans="1:67" ht="17.25" thickBot="1" x14ac:dyDescent="0.3">
      <c r="A510" s="520">
        <f>IFERROR(VLOOKUP($G$5,'רשימת רשויות'!A:C,3,0),0)</f>
        <v>0</v>
      </c>
      <c r="B510" s="520">
        <f t="shared" si="63"/>
        <v>0</v>
      </c>
      <c r="D510" s="1134"/>
      <c r="E510" s="1137"/>
      <c r="F510" s="1143" t="s">
        <v>2679</v>
      </c>
      <c r="G510" s="1143"/>
      <c r="H510" s="1143"/>
      <c r="I510" s="722">
        <f>IF(G487="לא תקין","לא קיימת זכאות לתקציב לאור אי איוש משרות רכז ו/או סגן רכז ",IFERROR(J509*(J508+J505),0))</f>
        <v>0</v>
      </c>
      <c r="J510" s="573"/>
      <c r="K510" s="574"/>
      <c r="L510" s="396"/>
      <c r="M510" s="574"/>
      <c r="N510" s="574"/>
      <c r="O510" s="574"/>
      <c r="P510" s="615" t="s">
        <v>2279</v>
      </c>
      <c r="Q510" s="616">
        <f>MAX(IF(AND(G505&gt;H505,I510&lt;H507),H507-I510,0),0)</f>
        <v>0</v>
      </c>
      <c r="R510" s="575"/>
      <c r="S510" s="576" t="s">
        <v>67</v>
      </c>
      <c r="T510" s="577">
        <f>G482</f>
        <v>0</v>
      </c>
      <c r="U510" s="578"/>
      <c r="V510" s="579">
        <f>I510</f>
        <v>0</v>
      </c>
      <c r="W510" s="579">
        <f>IFERROR(U510-V510,0)</f>
        <v>0</v>
      </c>
      <c r="X510" s="579">
        <f>SUM(X496:X509)</f>
        <v>0</v>
      </c>
      <c r="Y510" s="879"/>
      <c r="Z510" s="106"/>
      <c r="AC510" s="506">
        <v>0</v>
      </c>
      <c r="AD510" s="507">
        <f>IFERROR(U510-AC510,0)</f>
        <v>0</v>
      </c>
      <c r="BO510" s="86"/>
    </row>
    <row r="511" spans="1:67" ht="16.5" thickBot="1" x14ac:dyDescent="0.3">
      <c r="A511" s="520">
        <f>IFERROR(VLOOKUP($G$5,'רשימת רשויות'!A:C,3,0),0)</f>
        <v>0</v>
      </c>
      <c r="B511" s="520">
        <f t="shared" si="63"/>
        <v>0</v>
      </c>
      <c r="D511" s="1135"/>
      <c r="E511" s="1138"/>
      <c r="F511" s="1144" t="s">
        <v>2793</v>
      </c>
      <c r="G511" s="1145"/>
      <c r="H511" s="1145"/>
      <c r="I511" s="593">
        <f>IFERROR(IF(G487="תקין",SUMIFS('סייעות רפואיות או אישיות (7)'!$Q$17:Q$384,'סייעות רפואיות או אישיות (7)'!C$17:C$384,G482),0),0)</f>
        <v>0</v>
      </c>
      <c r="J511" s="151"/>
      <c r="K511" s="152"/>
      <c r="L511" s="409"/>
      <c r="M511" s="152"/>
      <c r="N511" s="152"/>
      <c r="O511" s="152"/>
      <c r="P511" s="613"/>
      <c r="Q511" s="614"/>
      <c r="R511" s="475"/>
      <c r="S511" s="489"/>
      <c r="T511" s="490"/>
      <c r="U511" s="491"/>
      <c r="V511" s="492"/>
      <c r="W511" s="492"/>
      <c r="X511" s="492"/>
      <c r="Y511" s="880"/>
      <c r="Z511" s="153"/>
      <c r="AC511" s="581"/>
      <c r="AD511" s="582"/>
      <c r="BO511" s="86"/>
    </row>
    <row r="512" spans="1:67" ht="34.5" thickBot="1" x14ac:dyDescent="0.55000000000000004">
      <c r="A512" s="520">
        <f>IFERROR(VLOOKUP($G$5,'רשימת רשויות'!A:C,3,0),0)</f>
        <v>0</v>
      </c>
      <c r="B512" s="520">
        <f t="shared" si="63"/>
        <v>0</v>
      </c>
      <c r="E512" s="154"/>
      <c r="I512" s="143"/>
      <c r="J512" s="148"/>
      <c r="O512" s="148"/>
      <c r="T512" s="481"/>
      <c r="BO512" s="86"/>
    </row>
    <row r="513" spans="1:67" s="20" customFormat="1" ht="16.5" customHeight="1" thickBot="1" x14ac:dyDescent="0.3">
      <c r="A513" s="520">
        <f>IFERROR(VLOOKUP($G$5,'רשימת רשויות'!A:C,3,0),0)</f>
        <v>0</v>
      </c>
      <c r="B513" s="520">
        <f t="shared" si="63"/>
        <v>0</v>
      </c>
      <c r="C513" s="39"/>
      <c r="D513" s="1133">
        <f>D482+1</f>
        <v>17</v>
      </c>
      <c r="E513" s="1136" t="str">
        <f>IFERROR(CONCATENATE("בית הספר ",VLOOKUP(G513,'מצבת והרשמה (2)'!$C$21:$D$520,2,0)," - ",$G$5),"")</f>
        <v>בית הספר המוסד לא קיים - 0</v>
      </c>
      <c r="F513" s="720" t="s">
        <v>146</v>
      </c>
      <c r="G513" s="721">
        <f>IFERROR(VLOOKUP(D:D,'דוח ביצוע (3)'!$A$21:$C$900,2,0),0)</f>
        <v>0</v>
      </c>
      <c r="H513" s="79"/>
      <c r="I513" s="80" t="s">
        <v>150</v>
      </c>
      <c r="J513" s="80"/>
      <c r="K513" s="81"/>
      <c r="L513" s="392"/>
      <c r="M513" s="392"/>
      <c r="N513" s="392"/>
      <c r="O513" s="82"/>
      <c r="P513" s="470"/>
      <c r="Q513" s="471"/>
      <c r="R513" s="472"/>
      <c r="S513" s="883"/>
      <c r="T513" s="884"/>
      <c r="U513" s="486"/>
      <c r="V513" s="487"/>
      <c r="W513" s="487"/>
      <c r="X513" s="487"/>
      <c r="Y513" s="885"/>
      <c r="Z513" s="83"/>
      <c r="AC513" s="502"/>
      <c r="AD513" s="503"/>
      <c r="AO513" s="22"/>
      <c r="AP513" s="22"/>
      <c r="AQ513" s="22"/>
      <c r="AR513" s="22"/>
      <c r="AS513" s="22"/>
      <c r="AT513" s="22"/>
      <c r="AU513" s="35"/>
      <c r="AV513" s="35"/>
      <c r="AW513" s="35"/>
      <c r="AX513" s="35"/>
      <c r="AY513" s="35"/>
      <c r="AZ513" s="35"/>
      <c r="BA513" s="35"/>
      <c r="BB513" s="35"/>
      <c r="BC513" s="35"/>
      <c r="BD513" s="35"/>
      <c r="BE513" s="35"/>
      <c r="BF513" s="35"/>
      <c r="BG513" s="35"/>
      <c r="BH513" s="35"/>
      <c r="BI513" s="35"/>
      <c r="BJ513" s="35"/>
      <c r="BK513" s="35"/>
      <c r="BL513" s="35"/>
      <c r="BM513" s="35"/>
      <c r="BN513" s="35"/>
      <c r="BO513" s="78"/>
    </row>
    <row r="514" spans="1:67" s="20" customFormat="1" ht="16.5" thickBot="1" x14ac:dyDescent="0.3">
      <c r="A514" s="520">
        <f>IFERROR(VLOOKUP($G$5,'רשימת רשויות'!A:C,3,0),0)</f>
        <v>0</v>
      </c>
      <c r="B514" s="520">
        <f t="shared" si="63"/>
        <v>0</v>
      </c>
      <c r="C514" s="39"/>
      <c r="D514" s="1134"/>
      <c r="E514" s="1137"/>
      <c r="F514" s="583" t="s">
        <v>145</v>
      </c>
      <c r="G514" s="516" t="str">
        <f>IFERROR(IF((G516+G517)=0,"",IF(VLOOKUP(G513,'דוח ביצוע (3)'!$B$21:$K$900,5,0)&gt;149,"גדול",IF(AND(VLOOKUP(G513,'דוח ביצוע (3)'!$B$21:$K$900,5,0)&gt;0,VLOOKUP(G513,'דוח ביצוע (3)'!$B$21:$K$900,5,0)&lt;150),"קטן",0))),"")</f>
        <v/>
      </c>
      <c r="H514" s="723" t="s">
        <v>88</v>
      </c>
      <c r="I514" s="723" t="s">
        <v>13</v>
      </c>
      <c r="J514" s="725" t="s">
        <v>14</v>
      </c>
      <c r="K514" s="724" t="s">
        <v>94</v>
      </c>
      <c r="L514" s="594"/>
      <c r="M514" s="420" t="s">
        <v>2584</v>
      </c>
      <c r="N514" s="397" t="s">
        <v>413</v>
      </c>
      <c r="O514" s="398" t="s">
        <v>52</v>
      </c>
      <c r="P514" s="595"/>
      <c r="Q514" s="595"/>
      <c r="R514" s="596"/>
      <c r="S514" s="610"/>
      <c r="T514" s="881"/>
      <c r="U514" s="598"/>
      <c r="V514" s="599"/>
      <c r="W514" s="599"/>
      <c r="X514" s="599"/>
      <c r="Y514" s="879"/>
      <c r="Z514" s="85"/>
      <c r="AC514" s="493"/>
      <c r="AD514" s="495"/>
      <c r="AO514" s="22"/>
      <c r="AP514" s="22"/>
      <c r="AQ514" s="22"/>
      <c r="AR514" s="22"/>
      <c r="AS514" s="22"/>
      <c r="AT514" s="22"/>
      <c r="AU514" s="35"/>
      <c r="AV514" s="35"/>
      <c r="AW514" s="35"/>
      <c r="AX514" s="35"/>
      <c r="AY514" s="35"/>
      <c r="AZ514" s="35"/>
      <c r="BA514" s="35"/>
      <c r="BB514" s="35"/>
      <c r="BC514" s="35"/>
      <c r="BD514" s="35"/>
      <c r="BE514" s="35"/>
      <c r="BF514" s="35"/>
      <c r="BG514" s="35"/>
      <c r="BH514" s="35"/>
      <c r="BI514" s="35"/>
      <c r="BJ514" s="35"/>
      <c r="BK514" s="35"/>
      <c r="BL514" s="35"/>
      <c r="BM514" s="35"/>
      <c r="BN514" s="35"/>
      <c r="BO514" s="78"/>
    </row>
    <row r="515" spans="1:67" s="20" customFormat="1" ht="15.75" customHeight="1" thickBot="1" x14ac:dyDescent="0.3">
      <c r="A515" s="520">
        <f>IFERROR(VLOOKUP($G$5,'רשימת רשויות'!A:C,3,0),0)</f>
        <v>0</v>
      </c>
      <c r="B515" s="520">
        <f t="shared" si="63"/>
        <v>0</v>
      </c>
      <c r="C515" s="39"/>
      <c r="D515" s="1134"/>
      <c r="E515" s="1137"/>
      <c r="F515" s="584" t="s">
        <v>144</v>
      </c>
      <c r="G515" s="87">
        <f>IF(G518="תקין",IFERROR(VLOOKUP($G513,'דוח ביצוע (3)'!$B$21:$Q$900,12,0),0),0)</f>
        <v>0</v>
      </c>
      <c r="H515" s="88">
        <f>IFERROR(G516*$AH$6+G517*$AH$7,0)</f>
        <v>0</v>
      </c>
      <c r="I515" s="88">
        <f>IFERROR(G516*$AI$6+G517*$AI$7,0)</f>
        <v>0</v>
      </c>
      <c r="J515" s="88">
        <f>IFERROR(G516*$AJ$6+G517*$AJ$7,0)</f>
        <v>0</v>
      </c>
      <c r="K515" s="88">
        <f>IFERROR(G516*$AK$6+G517*$AK$7,0)</f>
        <v>0</v>
      </c>
      <c r="L515" s="405"/>
      <c r="M515" s="399" t="s">
        <v>427</v>
      </c>
      <c r="N515" s="400" t="str">
        <f>IFERROR(VLOOKUP($G513,'דוח ביצוע (3)'!$B:$AE,28,0),"")</f>
        <v/>
      </c>
      <c r="O515" s="89" t="str">
        <f>IFERROR(VLOOKUP($G513,'דוח ביצוע (3)'!B:AE,29,0),"")</f>
        <v/>
      </c>
      <c r="P515" s="595"/>
      <c r="Q515" s="595"/>
      <c r="R515" s="596"/>
      <c r="S515" s="610"/>
      <c r="T515" s="881"/>
      <c r="U515" s="598"/>
      <c r="V515" s="599"/>
      <c r="W515" s="599"/>
      <c r="X515" s="599"/>
      <c r="Y515" s="879"/>
      <c r="Z515" s="85"/>
      <c r="AC515" s="493"/>
      <c r="AD515" s="495"/>
      <c r="AO515" s="22"/>
      <c r="AP515" s="22"/>
      <c r="AQ515" s="22"/>
      <c r="AR515" s="22"/>
      <c r="AS515" s="22"/>
      <c r="AT515" s="22"/>
      <c r="AU515" s="35"/>
      <c r="AV515" s="35"/>
      <c r="AW515" s="35"/>
      <c r="AX515" s="35"/>
      <c r="AY515" s="35"/>
      <c r="AZ515" s="35"/>
      <c r="BA515" s="35"/>
      <c r="BB515" s="35"/>
      <c r="BC515" s="35"/>
      <c r="BD515" s="35"/>
      <c r="BE515" s="35"/>
      <c r="BF515" s="35"/>
      <c r="BG515" s="35"/>
      <c r="BH515" s="35"/>
      <c r="BI515" s="35"/>
      <c r="BJ515" s="35"/>
      <c r="BK515" s="35"/>
      <c r="BL515" s="35"/>
      <c r="BM515" s="35"/>
      <c r="BN515" s="35"/>
      <c r="BO515" s="78"/>
    </row>
    <row r="516" spans="1:67" s="20" customFormat="1" ht="32.25" thickBot="1" x14ac:dyDescent="0.3">
      <c r="A516" s="520">
        <f>IFERROR(VLOOKUP($G$5,'רשימת רשויות'!A:C,3,0),0)</f>
        <v>0</v>
      </c>
      <c r="B516" s="520">
        <f t="shared" si="63"/>
        <v>0</v>
      </c>
      <c r="C516" s="39"/>
      <c r="D516" s="1134"/>
      <c r="E516" s="1137"/>
      <c r="F516" s="585" t="s">
        <v>2195</v>
      </c>
      <c r="G516" s="89">
        <f>IF(G518="תקין",MAX(N518,0),0)</f>
        <v>0</v>
      </c>
      <c r="H516" s="725" t="s">
        <v>151</v>
      </c>
      <c r="I516" s="725" t="s">
        <v>91</v>
      </c>
      <c r="J516" s="970" t="s">
        <v>3396</v>
      </c>
      <c r="K516" s="601"/>
      <c r="L516" s="601"/>
      <c r="M516" s="983" t="s">
        <v>2585</v>
      </c>
      <c r="N516" s="400" t="str">
        <f>IFERROR(G515/15*N515*1.25,"")</f>
        <v/>
      </c>
      <c r="O516" s="89" t="str">
        <f>IFERROR(G515/15*O515*1.25,"")</f>
        <v/>
      </c>
      <c r="P516" s="595"/>
      <c r="Q516" s="595"/>
      <c r="R516" s="596"/>
      <c r="S516" s="610"/>
      <c r="T516" s="881"/>
      <c r="U516" s="598"/>
      <c r="V516" s="599"/>
      <c r="W516" s="599"/>
      <c r="X516" s="599"/>
      <c r="Y516" s="879"/>
      <c r="Z516" s="85"/>
      <c r="AC516" s="493"/>
      <c r="AD516" s="495"/>
      <c r="AG516" s="22"/>
      <c r="AH516" s="55"/>
      <c r="AI516" s="55"/>
      <c r="AJ516" s="55"/>
      <c r="AK516" s="55"/>
      <c r="AO516" s="22"/>
      <c r="AP516" s="22"/>
      <c r="AQ516" s="22"/>
      <c r="AR516" s="22"/>
      <c r="AS516" s="22"/>
      <c r="AT516" s="22"/>
      <c r="AU516" s="35"/>
      <c r="AV516" s="35"/>
      <c r="AW516" s="35"/>
      <c r="AX516" s="35"/>
      <c r="AY516" s="35"/>
      <c r="AZ516" s="35"/>
      <c r="BA516" s="35"/>
      <c r="BB516" s="35"/>
      <c r="BC516" s="35"/>
      <c r="BD516" s="35"/>
      <c r="BE516" s="35"/>
      <c r="BF516" s="35"/>
      <c r="BG516" s="35"/>
      <c r="BH516" s="35"/>
      <c r="BI516" s="35"/>
      <c r="BJ516" s="35"/>
      <c r="BK516" s="35"/>
      <c r="BL516" s="35"/>
      <c r="BM516" s="35"/>
      <c r="BN516" s="35"/>
      <c r="BO516" s="86"/>
    </row>
    <row r="517" spans="1:67" s="20" customFormat="1" ht="16.5" thickBot="1" x14ac:dyDescent="0.3">
      <c r="A517" s="520">
        <f>IFERROR(VLOOKUP($G$5,'רשימת רשויות'!A:C,3,0),0)</f>
        <v>0</v>
      </c>
      <c r="B517" s="520">
        <f t="shared" si="63"/>
        <v>0</v>
      </c>
      <c r="C517" s="39"/>
      <c r="D517" s="1134"/>
      <c r="E517" s="1137"/>
      <c r="F517" s="585" t="s">
        <v>2196</v>
      </c>
      <c r="G517" s="89">
        <f>IF(G518="תקין",MAX(O518,0),0)</f>
        <v>0</v>
      </c>
      <c r="H517" s="88">
        <f>(IFERROR(IF((G516+G517)=0,0,IF(G514="קטן",G515*$AH$10,G515*$AH$11)),0))+(IFERROR(IF((G516+G517)=0,0,VLOOKUP(G513,'דוח ביצוע (3)'!$B:$AH,33,0)),0))</f>
        <v>0</v>
      </c>
      <c r="I517" s="88">
        <f>IFERROR(IF((G516+G517)=0,0,IF(G514="קטן",G515*$AI$10,G515*$AI$11)),0)</f>
        <v>0</v>
      </c>
      <c r="J517" s="88">
        <f>IFERROR(IF((G516+G517)=0,0,VLOOKUP(G513,'דוח ביצוע (3)'!$B:$AH,32,0)),0)</f>
        <v>0</v>
      </c>
      <c r="K517" s="90"/>
      <c r="L517" s="90"/>
      <c r="M517" s="399" t="s">
        <v>412</v>
      </c>
      <c r="N517" s="400">
        <f>IFERROR(VLOOKUP($G513,'דוח ביצוע (3)'!$B$21:$U$500,18,0),0)</f>
        <v>0</v>
      </c>
      <c r="O517" s="401">
        <f>IFERROR(VLOOKUP($G513,'דוח ביצוע (3)'!$B$21:$U$500,19,0),0)</f>
        <v>0</v>
      </c>
      <c r="P517" s="595"/>
      <c r="Q517" s="595"/>
      <c r="R517" s="596"/>
      <c r="S517" s="610"/>
      <c r="T517" s="881"/>
      <c r="U517" s="598"/>
      <c r="V517" s="599"/>
      <c r="W517" s="599"/>
      <c r="X517" s="599"/>
      <c r="Y517" s="879"/>
      <c r="Z517" s="85"/>
      <c r="AC517" s="493"/>
      <c r="AD517" s="495"/>
      <c r="AG517" s="22"/>
      <c r="AH517" s="55"/>
      <c r="AI517" s="55"/>
      <c r="AJ517" s="55"/>
      <c r="AK517" s="55"/>
      <c r="AO517" s="22"/>
      <c r="AP517" s="22"/>
      <c r="AQ517" s="22"/>
      <c r="AR517" s="22"/>
      <c r="AS517" s="22"/>
      <c r="AT517" s="22"/>
      <c r="AU517" s="35"/>
      <c r="AV517" s="35"/>
      <c r="AW517" s="35"/>
      <c r="AX517" s="35"/>
      <c r="AY517" s="35"/>
      <c r="AZ517" s="35"/>
      <c r="BA517" s="35"/>
      <c r="BB517" s="35"/>
      <c r="BC517" s="35"/>
      <c r="BD517" s="35"/>
      <c r="BE517" s="35"/>
      <c r="BF517" s="35"/>
      <c r="BG517" s="35"/>
      <c r="BH517" s="35"/>
      <c r="BI517" s="35"/>
      <c r="BJ517" s="35"/>
      <c r="BK517" s="35"/>
      <c r="BL517" s="35"/>
      <c r="BM517" s="35"/>
      <c r="BN517" s="35"/>
      <c r="BO517" s="86"/>
    </row>
    <row r="518" spans="1:67" s="20" customFormat="1" ht="16.5" thickBot="1" x14ac:dyDescent="0.3">
      <c r="A518" s="520">
        <f>IFERROR(VLOOKUP($G$5,'רשימת רשויות'!A:C,3,0),0)</f>
        <v>0</v>
      </c>
      <c r="B518" s="520">
        <f t="shared" si="63"/>
        <v>0</v>
      </c>
      <c r="C518" s="39"/>
      <c r="D518" s="1134"/>
      <c r="E518" s="1137"/>
      <c r="F518" s="586" t="s">
        <v>2355</v>
      </c>
      <c r="G518" s="514">
        <f>IFERROR(IF(VLOOKUP('בית ספר - תקצוב לפי מוסד (9)'!G513,' איוש משרות (8)'!$C:$K,9,0)="תקין","תקין","לא תקין"),0)</f>
        <v>0</v>
      </c>
      <c r="H518" s="91"/>
      <c r="I518" s="91"/>
      <c r="J518" s="91"/>
      <c r="K518" s="90"/>
      <c r="L518" s="90"/>
      <c r="M518" s="402" t="s">
        <v>2586</v>
      </c>
      <c r="N518" s="403">
        <f>IFERROR(MIN(N516,N517),0)</f>
        <v>0</v>
      </c>
      <c r="O518" s="404">
        <f>IFERROR(MIN(O516,O517),0)</f>
        <v>0</v>
      </c>
      <c r="P518" s="595"/>
      <c r="Q518" s="595"/>
      <c r="R518" s="596"/>
      <c r="S518" s="610"/>
      <c r="T518" s="881"/>
      <c r="U518" s="598"/>
      <c r="V518" s="599"/>
      <c r="W518" s="599"/>
      <c r="X518" s="599"/>
      <c r="Y518" s="879"/>
      <c r="Z518" s="85"/>
      <c r="AC518" s="493"/>
      <c r="AD518" s="495"/>
      <c r="AG518" s="94"/>
      <c r="AH518" s="40"/>
      <c r="AI518" s="40"/>
      <c r="AJ518" s="40"/>
      <c r="AK518" s="40"/>
      <c r="AO518" s="22"/>
      <c r="AP518" s="22"/>
      <c r="AQ518" s="22"/>
      <c r="AR518" s="22"/>
      <c r="AS518" s="22"/>
      <c r="AT518" s="22"/>
      <c r="AU518" s="35"/>
      <c r="AV518" s="35"/>
      <c r="AW518" s="35"/>
      <c r="AX518" s="35"/>
      <c r="AY518" s="35"/>
      <c r="AZ518" s="35"/>
      <c r="BA518" s="35"/>
      <c r="BB518" s="35"/>
      <c r="BC518" s="35"/>
      <c r="BD518" s="35"/>
      <c r="BE518" s="35"/>
      <c r="BF518" s="35"/>
      <c r="BG518" s="35"/>
      <c r="BH518" s="35"/>
      <c r="BI518" s="35"/>
      <c r="BJ518" s="35"/>
      <c r="BK518" s="35"/>
      <c r="BL518" s="35"/>
      <c r="BM518" s="35"/>
      <c r="BN518" s="35"/>
      <c r="BO518" s="86"/>
    </row>
    <row r="519" spans="1:67" s="55" customFormat="1" ht="37.15" customHeight="1" thickBot="1" x14ac:dyDescent="0.3">
      <c r="A519" s="520">
        <f>IFERROR(VLOOKUP($G$5,'רשימת רשויות'!A:C,3,0),0)</f>
        <v>0</v>
      </c>
      <c r="B519" s="520">
        <f t="shared" si="63"/>
        <v>0</v>
      </c>
      <c r="C519" s="39"/>
      <c r="D519" s="1134"/>
      <c r="E519" s="1137"/>
      <c r="F519" s="587" t="s">
        <v>142</v>
      </c>
      <c r="G519" s="92"/>
      <c r="H519" s="92"/>
      <c r="I519" s="92"/>
      <c r="J519" s="92"/>
      <c r="K519" s="602"/>
      <c r="L519" s="602"/>
      <c r="M519" s="602"/>
      <c r="N519" s="602"/>
      <c r="O519" s="602"/>
      <c r="P519" s="595"/>
      <c r="Q519" s="595"/>
      <c r="R519" s="596"/>
      <c r="S519" s="610"/>
      <c r="T519" s="881"/>
      <c r="U519" s="598"/>
      <c r="V519" s="599"/>
      <c r="W519" s="599"/>
      <c r="X519" s="599"/>
      <c r="Y519" s="879"/>
      <c r="Z519" s="93"/>
      <c r="AC519" s="493"/>
      <c r="AD519" s="495"/>
      <c r="AF519" s="22"/>
      <c r="AG519" s="98"/>
      <c r="AH519" s="98"/>
      <c r="AI519" s="40"/>
      <c r="AJ519" s="40"/>
      <c r="AK519" s="40"/>
      <c r="AO519" s="22"/>
      <c r="AP519" s="22"/>
      <c r="AQ519" s="22"/>
      <c r="AR519" s="22"/>
      <c r="AS519" s="22"/>
      <c r="AT519" s="22"/>
      <c r="AU519" s="35"/>
      <c r="AV519" s="35"/>
      <c r="AW519" s="35"/>
      <c r="AX519" s="35"/>
      <c r="AY519" s="35"/>
      <c r="AZ519" s="35"/>
      <c r="BA519" s="35"/>
      <c r="BB519" s="35"/>
      <c r="BC519" s="35"/>
      <c r="BD519" s="35"/>
      <c r="BE519" s="35"/>
      <c r="BF519" s="35"/>
      <c r="BG519" s="35"/>
      <c r="BH519" s="35"/>
      <c r="BI519" s="35"/>
      <c r="BJ519" s="35"/>
      <c r="BK519" s="35"/>
      <c r="BL519" s="35"/>
      <c r="BM519" s="35"/>
      <c r="BN519" s="35"/>
      <c r="BO519" s="86"/>
    </row>
    <row r="520" spans="1:67" s="40" customFormat="1" ht="31.5" x14ac:dyDescent="0.25">
      <c r="A520" s="520">
        <f>IFERROR(VLOOKUP($G$5,'רשימת רשויות'!A:C,3,0),0)</f>
        <v>0</v>
      </c>
      <c r="B520" s="520">
        <f t="shared" si="63"/>
        <v>0</v>
      </c>
      <c r="C520" s="39"/>
      <c r="D520" s="1134"/>
      <c r="E520" s="1137"/>
      <c r="F520" s="588" t="s">
        <v>94</v>
      </c>
      <c r="G520" s="95" t="s">
        <v>18</v>
      </c>
      <c r="H520" s="95" t="s">
        <v>19</v>
      </c>
      <c r="I520" s="95" t="s">
        <v>138</v>
      </c>
      <c r="J520" s="96" t="s">
        <v>139</v>
      </c>
      <c r="K520" s="603"/>
      <c r="L520" s="603"/>
      <c r="M520" s="603"/>
      <c r="N520" s="603"/>
      <c r="O520" s="603"/>
      <c r="P520" s="604"/>
      <c r="Q520" s="604"/>
      <c r="R520" s="596"/>
      <c r="S520" s="610"/>
      <c r="T520" s="881"/>
      <c r="U520" s="598"/>
      <c r="V520" s="599"/>
      <c r="W520" s="599"/>
      <c r="X520" s="599"/>
      <c r="Y520" s="879"/>
      <c r="Z520" s="97"/>
      <c r="AA520" s="94"/>
      <c r="AB520" s="94"/>
      <c r="AC520" s="493"/>
      <c r="AD520" s="495"/>
      <c r="AE520" s="94"/>
      <c r="AG520" s="98"/>
      <c r="AH520" s="98"/>
      <c r="AO520" s="22"/>
      <c r="AP520" s="22"/>
      <c r="AQ520" s="22"/>
      <c r="AR520" s="22"/>
      <c r="AS520" s="22"/>
      <c r="AT520" s="22"/>
      <c r="AU520" s="35"/>
      <c r="AV520" s="35"/>
      <c r="AW520" s="35"/>
      <c r="AX520" s="35"/>
      <c r="AY520" s="35"/>
      <c r="AZ520" s="35"/>
      <c r="BA520" s="35"/>
      <c r="BB520" s="35"/>
      <c r="BC520" s="35"/>
      <c r="BD520" s="35"/>
      <c r="BE520" s="35"/>
      <c r="BF520" s="35"/>
      <c r="BG520" s="35"/>
      <c r="BH520" s="35"/>
      <c r="BI520" s="35"/>
      <c r="BJ520" s="35"/>
      <c r="BK520" s="35"/>
      <c r="BL520" s="35"/>
      <c r="BM520" s="35"/>
      <c r="BN520" s="35"/>
      <c r="BO520" s="86"/>
    </row>
    <row r="521" spans="1:67" s="40" customFormat="1" ht="15.75" customHeight="1" thickBot="1" x14ac:dyDescent="0.3">
      <c r="A521" s="520">
        <f>IFERROR(VLOOKUP($G$5,'רשימת רשויות'!A:C,3,0),0)</f>
        <v>0</v>
      </c>
      <c r="B521" s="520">
        <f t="shared" si="63"/>
        <v>0</v>
      </c>
      <c r="C521" s="39"/>
      <c r="D521" s="1134"/>
      <c r="E521" s="1137"/>
      <c r="F521" s="589" t="s">
        <v>2280</v>
      </c>
      <c r="G521" s="99">
        <f>+G532</f>
        <v>0</v>
      </c>
      <c r="H521" s="100">
        <f>K515</f>
        <v>0</v>
      </c>
      <c r="I521" s="100">
        <f>H521-I523</f>
        <v>0</v>
      </c>
      <c r="J521" s="101">
        <f>IFERROR(I521/H521,0)</f>
        <v>0</v>
      </c>
      <c r="K521" s="603"/>
      <c r="L521" s="603"/>
      <c r="M521" s="603"/>
      <c r="N521" s="603"/>
      <c r="O521" s="603"/>
      <c r="P521" s="605"/>
      <c r="Q521" s="604"/>
      <c r="R521" s="606" t="s">
        <v>157</v>
      </c>
      <c r="S521" s="611"/>
      <c r="T521" s="881"/>
      <c r="U521" s="598"/>
      <c r="V521" s="599"/>
      <c r="W521" s="599"/>
      <c r="X521" s="599"/>
      <c r="Y521" s="879"/>
      <c r="Z521" s="102"/>
      <c r="AA521" s="122"/>
      <c r="AB521" s="122"/>
      <c r="AC521" s="493"/>
      <c r="AD521" s="495"/>
      <c r="AE521" s="122"/>
      <c r="AF521" s="22"/>
      <c r="AG521" s="98"/>
      <c r="AH521" s="98"/>
      <c r="AI521" s="20"/>
      <c r="AO521" s="22"/>
      <c r="AP521" s="22"/>
      <c r="AQ521" s="22"/>
      <c r="AR521" s="22"/>
      <c r="AS521" s="22"/>
      <c r="AT521" s="22"/>
      <c r="AU521" s="35"/>
      <c r="AV521" s="35"/>
      <c r="AW521" s="35"/>
      <c r="AX521" s="35"/>
      <c r="AY521" s="35"/>
      <c r="AZ521" s="35"/>
      <c r="BA521" s="35"/>
      <c r="BB521" s="35"/>
      <c r="BC521" s="35"/>
      <c r="BD521" s="35"/>
      <c r="BE521" s="35"/>
      <c r="BF521" s="35"/>
      <c r="BG521" s="35"/>
      <c r="BH521" s="35"/>
      <c r="BI521" s="35"/>
      <c r="BJ521" s="35"/>
      <c r="BK521" s="35"/>
      <c r="BL521" s="35"/>
      <c r="BM521" s="35"/>
      <c r="BN521" s="35"/>
      <c r="BO521" s="86"/>
    </row>
    <row r="522" spans="1:67" s="40" customFormat="1" ht="15.75" customHeight="1" thickBot="1" x14ac:dyDescent="0.3">
      <c r="A522" s="520">
        <f>IFERROR(VLOOKUP($G$5,'רשימת רשויות'!A:C,3,0),0)</f>
        <v>0</v>
      </c>
      <c r="B522" s="520">
        <f t="shared" si="63"/>
        <v>0</v>
      </c>
      <c r="C522" s="39"/>
      <c r="D522" s="1134"/>
      <c r="E522" s="1137"/>
      <c r="F522" s="589" t="s">
        <v>2281</v>
      </c>
      <c r="G522" s="99">
        <f>+G531</f>
        <v>0</v>
      </c>
      <c r="H522" s="103"/>
      <c r="I522" s="104"/>
      <c r="J522" s="105"/>
      <c r="K522" s="603"/>
      <c r="L522" s="603"/>
      <c r="M522" s="603"/>
      <c r="N522" s="603"/>
      <c r="O522" s="603"/>
      <c r="P522" s="605"/>
      <c r="Q522" s="604"/>
      <c r="R522" s="473">
        <f>I523-R524</f>
        <v>0</v>
      </c>
      <c r="S522" s="611"/>
      <c r="T522" s="881"/>
      <c r="U522" s="598"/>
      <c r="V522" s="599"/>
      <c r="W522" s="599"/>
      <c r="X522" s="599"/>
      <c r="Y522" s="879"/>
      <c r="Z522" s="106"/>
      <c r="AA522" s="22"/>
      <c r="AB522" s="22"/>
      <c r="AC522" s="493"/>
      <c r="AD522" s="495"/>
      <c r="AE522" s="22"/>
      <c r="AF522" s="22"/>
      <c r="AG522" s="98"/>
      <c r="AH522" s="98"/>
      <c r="AI522" s="20"/>
      <c r="AO522" s="22"/>
      <c r="AP522" s="22"/>
      <c r="AQ522" s="22"/>
      <c r="AR522" s="22"/>
      <c r="AS522" s="22"/>
      <c r="AT522" s="22"/>
      <c r="AU522" s="35"/>
      <c r="AV522" s="35"/>
      <c r="AW522" s="35"/>
      <c r="AX522" s="35"/>
      <c r="AY522" s="35"/>
      <c r="AZ522" s="35"/>
      <c r="BA522" s="35"/>
      <c r="BB522" s="35"/>
      <c r="BC522" s="35"/>
      <c r="BD522" s="35"/>
      <c r="BE522" s="35"/>
      <c r="BF522" s="35"/>
      <c r="BG522" s="35"/>
      <c r="BH522" s="35"/>
      <c r="BI522" s="35"/>
      <c r="BJ522" s="35"/>
      <c r="BK522" s="35"/>
      <c r="BL522" s="35"/>
      <c r="BM522" s="35"/>
      <c r="BN522" s="35"/>
      <c r="BO522" s="86"/>
    </row>
    <row r="523" spans="1:67" s="40" customFormat="1" ht="16.5" customHeight="1" thickBot="1" x14ac:dyDescent="0.3">
      <c r="A523" s="520">
        <f>IFERROR(VLOOKUP($G$5,'רשימת רשויות'!A:C,3,0),0)</f>
        <v>0</v>
      </c>
      <c r="B523" s="520">
        <f t="shared" si="63"/>
        <v>0</v>
      </c>
      <c r="C523" s="39"/>
      <c r="D523" s="1134"/>
      <c r="E523" s="1137"/>
      <c r="F523" s="589" t="s">
        <v>2282</v>
      </c>
      <c r="G523" s="99">
        <f>G527+G528+G529</f>
        <v>0</v>
      </c>
      <c r="H523" s="104"/>
      <c r="I523" s="107">
        <f>MAX(H521-G521-G522,0)</f>
        <v>0</v>
      </c>
      <c r="J523" s="108">
        <f>IFERROR(I523/H521,0)</f>
        <v>0</v>
      </c>
      <c r="K523" s="603"/>
      <c r="L523" s="603"/>
      <c r="M523" s="603"/>
      <c r="N523" s="603"/>
      <c r="O523" s="603"/>
      <c r="P523" s="604"/>
      <c r="Q523" s="604"/>
      <c r="R523" s="606" t="s">
        <v>158</v>
      </c>
      <c r="S523" s="612"/>
      <c r="T523" s="881"/>
      <c r="U523" s="598"/>
      <c r="V523" s="599"/>
      <c r="W523" s="599"/>
      <c r="X523" s="599"/>
      <c r="Y523" s="879"/>
      <c r="Z523" s="106"/>
      <c r="AA523" s="22"/>
      <c r="AB523" s="22"/>
      <c r="AC523" s="493"/>
      <c r="AD523" s="495"/>
      <c r="AE523" s="22"/>
      <c r="AF523" s="22"/>
      <c r="AG523" s="22"/>
      <c r="AH523" s="22"/>
      <c r="AI523" s="55"/>
      <c r="AJ523" s="22"/>
      <c r="AK523" s="22"/>
      <c r="AO523" s="22"/>
      <c r="AP523" s="22"/>
      <c r="AQ523" s="22"/>
      <c r="AR523" s="22"/>
      <c r="AS523" s="22"/>
      <c r="AT523" s="22"/>
      <c r="AU523" s="35"/>
      <c r="AV523" s="35"/>
      <c r="AW523" s="35"/>
      <c r="AX523" s="35"/>
      <c r="AY523" s="35"/>
      <c r="AZ523" s="35"/>
      <c r="BA523" s="35"/>
      <c r="BB523" s="35"/>
      <c r="BC523" s="35"/>
      <c r="BD523" s="35"/>
      <c r="BE523" s="35"/>
      <c r="BF523" s="35"/>
      <c r="BG523" s="35"/>
      <c r="BH523" s="35"/>
      <c r="BI523" s="35"/>
      <c r="BJ523" s="35"/>
      <c r="BK523" s="35"/>
      <c r="BL523" s="35"/>
      <c r="BM523" s="35"/>
      <c r="BN523" s="35"/>
      <c r="BO523" s="86"/>
    </row>
    <row r="524" spans="1:67" s="40" customFormat="1" ht="15.75" customHeight="1" thickBot="1" x14ac:dyDescent="0.3">
      <c r="A524" s="520">
        <f>IFERROR(VLOOKUP($G$5,'רשימת רשויות'!A:C,3,0),0)</f>
        <v>0</v>
      </c>
      <c r="B524" s="520">
        <f t="shared" si="63"/>
        <v>0</v>
      </c>
      <c r="C524" s="39"/>
      <c r="D524" s="1134"/>
      <c r="E524" s="1137"/>
      <c r="F524" s="590" t="s">
        <v>2290</v>
      </c>
      <c r="G524" s="109"/>
      <c r="H524" s="110"/>
      <c r="I524" s="111">
        <f>SUM(I521:I523)</f>
        <v>0</v>
      </c>
      <c r="J524" s="112">
        <f>SUM(J521:J523)</f>
        <v>0</v>
      </c>
      <c r="K524" s="603"/>
      <c r="L524" s="603"/>
      <c r="M524" s="603"/>
      <c r="N524" s="603"/>
      <c r="O524" s="603"/>
      <c r="P524" s="604"/>
      <c r="Q524" s="604"/>
      <c r="R524" s="473">
        <f>MIN(MAX(G528+G529-I517-J517,0),I523)</f>
        <v>0</v>
      </c>
      <c r="S524" s="612"/>
      <c r="T524" s="881"/>
      <c r="U524" s="598"/>
      <c r="V524" s="599"/>
      <c r="W524" s="599"/>
      <c r="X524" s="599"/>
      <c r="Y524" s="879"/>
      <c r="Z524" s="106"/>
      <c r="AA524" s="22"/>
      <c r="AB524" s="22"/>
      <c r="AC524" s="493"/>
      <c r="AD524" s="495"/>
      <c r="AE524" s="22"/>
      <c r="AF524" s="22"/>
      <c r="AG524" s="22"/>
      <c r="AH524" s="22"/>
      <c r="AJ524" s="22"/>
      <c r="AK524" s="22"/>
      <c r="AO524" s="22"/>
      <c r="AP524" s="22"/>
      <c r="AQ524" s="22"/>
      <c r="AR524" s="22"/>
      <c r="AS524" s="22"/>
      <c r="AT524" s="22"/>
      <c r="AU524" s="35"/>
      <c r="AV524" s="35"/>
      <c r="AW524" s="35"/>
      <c r="AX524" s="35"/>
      <c r="AY524" s="35"/>
      <c r="AZ524" s="35"/>
      <c r="BA524" s="35"/>
      <c r="BB524" s="35"/>
      <c r="BC524" s="35"/>
      <c r="BD524" s="35"/>
      <c r="BE524" s="35"/>
      <c r="BF524" s="35"/>
      <c r="BG524" s="35"/>
      <c r="BH524" s="35"/>
      <c r="BI524" s="35"/>
      <c r="BJ524" s="35"/>
      <c r="BK524" s="35"/>
      <c r="BL524" s="35"/>
      <c r="BM524" s="35"/>
      <c r="BN524" s="35"/>
      <c r="BO524" s="86"/>
    </row>
    <row r="525" spans="1:67" ht="16.5" thickBot="1" x14ac:dyDescent="0.3">
      <c r="A525" s="520">
        <f>IFERROR(VLOOKUP($G$5,'רשימת רשויות'!A:C,3,0),0)</f>
        <v>0</v>
      </c>
      <c r="B525" s="520">
        <f t="shared" si="63"/>
        <v>0</v>
      </c>
      <c r="D525" s="1134"/>
      <c r="E525" s="1137"/>
      <c r="F525" s="587" t="s">
        <v>17</v>
      </c>
      <c r="G525" s="113"/>
      <c r="H525" s="92"/>
      <c r="I525" s="114"/>
      <c r="J525" s="115"/>
      <c r="K525" s="116"/>
      <c r="L525" s="406"/>
      <c r="M525" s="116"/>
      <c r="N525" s="116"/>
      <c r="O525" s="116"/>
      <c r="P525" s="474"/>
      <c r="Q525" s="607"/>
      <c r="R525" s="608"/>
      <c r="S525" s="612"/>
      <c r="T525" s="881"/>
      <c r="U525" s="598"/>
      <c r="V525" s="599"/>
      <c r="W525" s="599"/>
      <c r="X525" s="599"/>
      <c r="Y525" s="879"/>
      <c r="Z525" s="106"/>
      <c r="AI525" s="40"/>
      <c r="BO525" s="86"/>
    </row>
    <row r="526" spans="1:67" ht="47.25" x14ac:dyDescent="0.25">
      <c r="A526" s="520">
        <f>IFERROR(VLOOKUP($G$5,'רשימת רשויות'!A:C,3,0),0)</f>
        <v>0</v>
      </c>
      <c r="B526" s="520">
        <f t="shared" ref="B526:B589" si="72">IF(F527="סמל המוסד",G527,B525)</f>
        <v>0</v>
      </c>
      <c r="D526" s="1134"/>
      <c r="E526" s="1137"/>
      <c r="F526" s="588" t="s">
        <v>2</v>
      </c>
      <c r="G526" s="95" t="s">
        <v>18</v>
      </c>
      <c r="H526" s="95" t="s">
        <v>19</v>
      </c>
      <c r="I526" s="95" t="s">
        <v>20</v>
      </c>
      <c r="J526" s="95" t="s">
        <v>22</v>
      </c>
      <c r="K526" s="96" t="s">
        <v>2314</v>
      </c>
      <c r="L526" s="609"/>
      <c r="M526" s="609"/>
      <c r="N526" s="609"/>
      <c r="O526" s="580"/>
      <c r="P526" s="618" t="s">
        <v>2298</v>
      </c>
      <c r="Q526" s="618" t="s">
        <v>2299</v>
      </c>
      <c r="R526" s="596"/>
      <c r="S526" s="890" t="s">
        <v>2519</v>
      </c>
      <c r="T526" s="890" t="s">
        <v>97</v>
      </c>
      <c r="U526" s="891" t="s">
        <v>2521</v>
      </c>
      <c r="V526" s="892" t="s">
        <v>2520</v>
      </c>
      <c r="W526" s="893" t="s">
        <v>2524</v>
      </c>
      <c r="X526" s="892" t="s">
        <v>2522</v>
      </c>
      <c r="Y526" s="894" t="s">
        <v>2523</v>
      </c>
      <c r="Z526" s="106"/>
      <c r="AC526" s="498" t="s">
        <v>2568</v>
      </c>
      <c r="AD526" s="499" t="s">
        <v>2569</v>
      </c>
      <c r="AF526" s="122"/>
      <c r="AI526" s="40"/>
      <c r="BO526" s="86"/>
    </row>
    <row r="527" spans="1:67" ht="15" customHeight="1" thickBot="1" x14ac:dyDescent="0.3">
      <c r="A527" s="520">
        <f>IFERROR(VLOOKUP($G$5,'רשימת רשויות'!A:C,3,0),0)</f>
        <v>0</v>
      </c>
      <c r="B527" s="520">
        <f t="shared" si="72"/>
        <v>0</v>
      </c>
      <c r="D527" s="1134"/>
      <c r="E527" s="1137"/>
      <c r="F527" s="589" t="s">
        <v>76</v>
      </c>
      <c r="G527" s="117">
        <f>IF(G518="תקין",SUMIF('עלויות כח אדם (6)'!$B$15:$B$3014,'בית ספר - תקצוב לפי מוסד (9)'!$G513,'עלויות כח אדם (6)'!$M$15:$M$3014)-VLOOKUP('בית ספר - תקצוב לפי מוסד (9)'!G513,' איוש משרות (8)'!$C:$H,5,0)-VLOOKUP('בית ספר - תקצוב לפי מוסד (9)'!G513,' איוש משרות (8)'!$C:$H,6,0),0)-Y527</f>
        <v>0</v>
      </c>
      <c r="H527" s="118">
        <f>I515+R522</f>
        <v>0</v>
      </c>
      <c r="I527" s="119">
        <f>IFERROR(SUM(G527)/H527,0)</f>
        <v>0</v>
      </c>
      <c r="J527" s="100">
        <f>MIN(I515+R522,IF(ISNUMBER(G527),G527,0))</f>
        <v>0</v>
      </c>
      <c r="K527" s="120">
        <f>MAX(H527-G527,0)</f>
        <v>0</v>
      </c>
      <c r="L527" s="407"/>
      <c r="M527" s="393"/>
      <c r="N527" s="393"/>
      <c r="O527" s="580"/>
      <c r="P527" s="968">
        <f>IFERROR(IF(SUM(G527)/(I515)&lt;100%,MIN((I515)-SUM(G527),(I515)*0.25),0),0)</f>
        <v>0</v>
      </c>
      <c r="Q527" s="968">
        <f>IF(SUM(G527)-(I515+R522)&gt;0,SUM(G527)-(I515+R522),0)</f>
        <v>0</v>
      </c>
      <c r="R527" s="596" t="s">
        <v>2351</v>
      </c>
      <c r="S527" s="576" t="s">
        <v>2342</v>
      </c>
      <c r="T527" s="599">
        <f>G513</f>
        <v>0</v>
      </c>
      <c r="U527" s="578"/>
      <c r="V527" s="579">
        <f>G527+G528+G529</f>
        <v>0</v>
      </c>
      <c r="W527" s="579">
        <f>U527-V527</f>
        <v>0</v>
      </c>
      <c r="X527" s="579">
        <f>IFERROR(W541*W527/(SUM(W527:W540)),0)</f>
        <v>0</v>
      </c>
      <c r="Y527" s="879">
        <f>SUMIFS(בקרה!$S:$S,בקרה!$D:$D,T527,בקרה!$K:$K,S527)</f>
        <v>0</v>
      </c>
      <c r="Z527" s="121"/>
      <c r="AA527" s="143"/>
      <c r="AB527" s="143"/>
      <c r="AC527" s="504">
        <v>0</v>
      </c>
      <c r="AD527" s="505">
        <f>IFERROR(U527-AC527,0)</f>
        <v>0</v>
      </c>
      <c r="AE527" s="143"/>
      <c r="AI527" s="20"/>
      <c r="BO527" s="86"/>
    </row>
    <row r="528" spans="1:67" ht="15" customHeight="1" thickBot="1" x14ac:dyDescent="0.3">
      <c r="A528" s="520">
        <f>IFERROR(VLOOKUP($G$5,'רשימת רשויות'!A:C,3,0),0)</f>
        <v>0</v>
      </c>
      <c r="B528" s="520">
        <f t="shared" si="72"/>
        <v>0</v>
      </c>
      <c r="D528" s="1134"/>
      <c r="E528" s="1137"/>
      <c r="F528" s="589" t="s">
        <v>44</v>
      </c>
      <c r="G528" s="123">
        <f>IF(G518="תקין",IFERROR(VLOOKUP('בית ספר - תקצוב לפי מוסד (9)'!G513,' איוש משרות (8)'!C:J,7,0),0),0)</f>
        <v>0</v>
      </c>
      <c r="H528" s="124">
        <f>I517+R524+J517</f>
        <v>0</v>
      </c>
      <c r="I528" s="119">
        <f>IFERROR(SUM(G528:G529)/H528,0)</f>
        <v>0</v>
      </c>
      <c r="J528" s="100">
        <f>MIN(R524+I517,IF(ISNUMBER(SUM(G528:G529)),SUM(G528:G529),0))</f>
        <v>0</v>
      </c>
      <c r="K528" s="1139">
        <f>MAX((H528)-(G528+G529),0)</f>
        <v>0</v>
      </c>
      <c r="L528" s="407"/>
      <c r="M528" s="393"/>
      <c r="N528" s="393"/>
      <c r="O528" s="580"/>
      <c r="P528" s="1140"/>
      <c r="Q528" s="1140"/>
      <c r="R528" s="617">
        <f>MAX(MIN(P536-Q536,H536*0.15-G534),0)</f>
        <v>0</v>
      </c>
      <c r="S528" s="576"/>
      <c r="T528" s="599">
        <f>G513</f>
        <v>0</v>
      </c>
      <c r="U528" s="578"/>
      <c r="V528" s="579"/>
      <c r="W528" s="579">
        <f t="shared" ref="W528:W540" si="73">U528-V528</f>
        <v>0</v>
      </c>
      <c r="X528" s="579"/>
      <c r="Y528" s="879"/>
      <c r="Z528" s="121"/>
      <c r="AA528" s="143"/>
      <c r="AB528" s="143"/>
      <c r="AC528" s="504"/>
      <c r="AD528" s="505">
        <f t="shared" ref="AD528:AD534" si="74">IFERROR(U528-AC528,0)</f>
        <v>0</v>
      </c>
      <c r="AE528" s="143"/>
      <c r="AI528" s="20"/>
      <c r="BO528" s="86"/>
    </row>
    <row r="529" spans="1:67" ht="15.75" customHeight="1" x14ac:dyDescent="0.25">
      <c r="A529" s="520">
        <f>IFERROR(VLOOKUP($G$5,'רשימת רשויות'!A:C,3,0),0)</f>
        <v>0</v>
      </c>
      <c r="B529" s="520">
        <f t="shared" si="72"/>
        <v>0</v>
      </c>
      <c r="D529" s="1134"/>
      <c r="E529" s="1137"/>
      <c r="F529" s="589" t="s">
        <v>45</v>
      </c>
      <c r="G529" s="123">
        <f>IF(G518="תקין",IFERROR(VLOOKUP('בית ספר - תקצוב לפי מוסד (9)'!G513,' איוש משרות (8)'!C:J,8,0),0),0)</f>
        <v>0</v>
      </c>
      <c r="H529" s="125"/>
      <c r="I529" s="126"/>
      <c r="J529" s="104"/>
      <c r="K529" s="1139"/>
      <c r="L529" s="407"/>
      <c r="M529" s="393"/>
      <c r="N529" s="393"/>
      <c r="O529" s="580"/>
      <c r="P529" s="1140"/>
      <c r="Q529" s="1140"/>
      <c r="R529" s="596"/>
      <c r="S529" s="576"/>
      <c r="T529" s="599">
        <f>G513</f>
        <v>0</v>
      </c>
      <c r="U529" s="578"/>
      <c r="V529" s="579"/>
      <c r="W529" s="579">
        <f t="shared" si="73"/>
        <v>0</v>
      </c>
      <c r="X529" s="579"/>
      <c r="Y529" s="879"/>
      <c r="Z529" s="121"/>
      <c r="AA529" s="143"/>
      <c r="AB529" s="143"/>
      <c r="AC529" s="504"/>
      <c r="AD529" s="505">
        <f t="shared" si="74"/>
        <v>0</v>
      </c>
      <c r="AE529" s="143"/>
      <c r="AG529" s="55"/>
      <c r="AH529" s="55"/>
      <c r="AI529" s="55"/>
      <c r="AJ529" s="55"/>
      <c r="AK529" s="55"/>
      <c r="BO529" s="86"/>
    </row>
    <row r="530" spans="1:67" ht="15.75" customHeight="1" x14ac:dyDescent="0.25">
      <c r="A530" s="520">
        <f>IFERROR(VLOOKUP($G$5,'רשימת רשויות'!A:C,3,0),0)</f>
        <v>0</v>
      </c>
      <c r="B530" s="520">
        <f t="shared" si="72"/>
        <v>0</v>
      </c>
      <c r="D530" s="1134"/>
      <c r="E530" s="1137"/>
      <c r="F530" s="589" t="s">
        <v>0</v>
      </c>
      <c r="G530" s="117">
        <f>IF(G518="תקין",SUMIFS('דוח הוצאות בפועל (4)'!$E$17:$E$3016,'דוח הוצאות בפועל (4)'!$B$17:$B$3016,'בית ספר - תקצוב לפי מוסד (9)'!$G513,'דוח הוצאות בפועל (4)'!$M$17:$M$3016,"הע"),0)-Y530</f>
        <v>0</v>
      </c>
      <c r="H530" s="127">
        <f>J515</f>
        <v>0</v>
      </c>
      <c r="I530" s="128">
        <f>IFERROR(G530/H530,0)</f>
        <v>0</v>
      </c>
      <c r="J530" s="129">
        <f>MIN(IF(ISNUMBER(G530),G530,0),H530)</f>
        <v>0</v>
      </c>
      <c r="K530" s="120">
        <f>MAX(H530-G530,0)</f>
        <v>0</v>
      </c>
      <c r="L530" s="407"/>
      <c r="M530" s="393"/>
      <c r="N530" s="393"/>
      <c r="O530" s="580"/>
      <c r="P530" s="968">
        <f>MAX(IF(I530&lt;100%,MIN((H530-G530),H530*0.25),0),0)</f>
        <v>0</v>
      </c>
      <c r="Q530" s="619">
        <f>IF(G530-H530&gt;0,G530-H530,0)</f>
        <v>0</v>
      </c>
      <c r="R530" s="596"/>
      <c r="S530" s="610" t="s">
        <v>0</v>
      </c>
      <c r="T530" s="599">
        <f>G513</f>
        <v>0</v>
      </c>
      <c r="U530" s="578"/>
      <c r="V530" s="579">
        <f>G530</f>
        <v>0</v>
      </c>
      <c r="W530" s="579">
        <f t="shared" si="73"/>
        <v>0</v>
      </c>
      <c r="X530" s="579">
        <f>IFERROR(W541*W530/(SUM(W527:W540)),0)</f>
        <v>0</v>
      </c>
      <c r="Y530" s="879">
        <f>SUMIFS(בקרה!$S:$S,בקרה!$D:$D,T530,בקרה!$K:$K,S530)</f>
        <v>0</v>
      </c>
      <c r="Z530" s="121"/>
      <c r="AA530" s="143"/>
      <c r="AB530" s="143"/>
      <c r="AC530" s="504">
        <v>0</v>
      </c>
      <c r="AD530" s="505">
        <f t="shared" si="74"/>
        <v>0</v>
      </c>
      <c r="AE530" s="143"/>
      <c r="AG530" s="55"/>
      <c r="AH530" s="55"/>
      <c r="AI530" s="40"/>
      <c r="AJ530" s="55"/>
      <c r="AK530" s="55"/>
      <c r="BO530" s="86"/>
    </row>
    <row r="531" spans="1:67" s="55" customFormat="1" ht="15.75" customHeight="1" x14ac:dyDescent="0.25">
      <c r="A531" s="520">
        <f>IFERROR(VLOOKUP($G$5,'רשימת רשויות'!A:C,3,0),0)</f>
        <v>0</v>
      </c>
      <c r="B531" s="520">
        <f t="shared" si="72"/>
        <v>0</v>
      </c>
      <c r="C531" s="39"/>
      <c r="D531" s="1134"/>
      <c r="E531" s="1137"/>
      <c r="F531" s="589" t="s">
        <v>93</v>
      </c>
      <c r="G531" s="130">
        <f>IF(G518="תקין",SUMIFS('דוח הוצאות בפועל (4)'!$E$17:$E$3016,'דוח הוצאות בפועל (4)'!$B$17:$B$3016,'בית ספר - תקצוב לפי מוסד (9)'!$G513,'דוח הוצאות בפועל (4)'!$M$17:$M$3016,"אר"),0)-Y531</f>
        <v>0</v>
      </c>
      <c r="H531" s="118">
        <f>$I521</f>
        <v>0</v>
      </c>
      <c r="I531" s="131">
        <f>IFERROR((G531+G532)/H531,0)</f>
        <v>0</v>
      </c>
      <c r="J531" s="100">
        <f>MIN((IF(ISNUMBER(G531),G531,0)+IF(ISNUMBER(G532),G532,0)),H531)</f>
        <v>0</v>
      </c>
      <c r="K531" s="1139">
        <f>MAX((H531)-(G531+G532),0)</f>
        <v>0</v>
      </c>
      <c r="L531" s="407"/>
      <c r="M531" s="393"/>
      <c r="N531" s="393"/>
      <c r="O531" s="602"/>
      <c r="P531" s="1141"/>
      <c r="Q531" s="1142"/>
      <c r="R531" s="596"/>
      <c r="S531" s="610" t="s">
        <v>93</v>
      </c>
      <c r="T531" s="599">
        <f>G513</f>
        <v>0</v>
      </c>
      <c r="U531" s="578"/>
      <c r="V531" s="579">
        <f t="shared" ref="V531:V532" si="75">G531</f>
        <v>0</v>
      </c>
      <c r="W531" s="579">
        <f t="shared" si="73"/>
        <v>0</v>
      </c>
      <c r="X531" s="579">
        <f>IFERROR(W541*W531/(SUM(W527:W540)),0)</f>
        <v>0</v>
      </c>
      <c r="Y531" s="879">
        <f>SUMIFS(בקרה!$S:$S,בקרה!$D:$D,T531,בקרה!$K:$K,S531)</f>
        <v>0</v>
      </c>
      <c r="Z531" s="121"/>
      <c r="AA531" s="143"/>
      <c r="AB531" s="143"/>
      <c r="AC531" s="504">
        <v>0</v>
      </c>
      <c r="AD531" s="505">
        <f t="shared" si="74"/>
        <v>0</v>
      </c>
      <c r="AE531" s="143"/>
      <c r="AJ531" s="22"/>
      <c r="AO531" s="22"/>
      <c r="AP531" s="22"/>
      <c r="AQ531" s="22"/>
      <c r="AR531" s="22"/>
      <c r="AS531" s="22"/>
      <c r="AT531" s="22"/>
      <c r="AU531" s="35"/>
      <c r="AV531" s="35"/>
      <c r="AW531" s="35"/>
      <c r="AX531" s="35"/>
      <c r="AY531" s="35"/>
      <c r="AZ531" s="35"/>
      <c r="BA531" s="35"/>
      <c r="BB531" s="35"/>
      <c r="BC531" s="35"/>
      <c r="BD531" s="35"/>
      <c r="BE531" s="35"/>
      <c r="BF531" s="35"/>
      <c r="BG531" s="35"/>
      <c r="BH531" s="35"/>
      <c r="BI531" s="35"/>
      <c r="BJ531" s="35"/>
      <c r="BK531" s="35"/>
      <c r="BL531" s="35"/>
      <c r="BM531" s="35"/>
      <c r="BN531" s="35"/>
      <c r="BO531" s="86"/>
    </row>
    <row r="532" spans="1:67" s="55" customFormat="1" ht="15.75" customHeight="1" x14ac:dyDescent="0.25">
      <c r="A532" s="520">
        <f>IFERROR(VLOOKUP($G$5,'רשימת רשויות'!A:C,3,0),0)</f>
        <v>0</v>
      </c>
      <c r="B532" s="520">
        <f t="shared" si="72"/>
        <v>0</v>
      </c>
      <c r="C532" s="39"/>
      <c r="D532" s="1134"/>
      <c r="E532" s="1137"/>
      <c r="F532" s="589" t="s">
        <v>46</v>
      </c>
      <c r="G532" s="130">
        <f>IF(G518="תקין",SUMIFS('דוח הוצאות בפועל (4)'!$E$17:$E$3016,'דוח הוצאות בפועל (4)'!$B$17:$B$3016,'בית ספר - תקצוב לפי מוסד (9)'!$G513,'דוח הוצאות בפועל (4)'!$M$17:$M$3016,"מל"),0)-Y532</f>
        <v>0</v>
      </c>
      <c r="H532" s="132"/>
      <c r="I532" s="133"/>
      <c r="J532" s="104"/>
      <c r="K532" s="1139"/>
      <c r="L532" s="407"/>
      <c r="M532" s="393"/>
      <c r="N532" s="393"/>
      <c r="O532" s="602"/>
      <c r="P532" s="1141"/>
      <c r="Q532" s="1142"/>
      <c r="R532" s="596"/>
      <c r="S532" s="610" t="s">
        <v>46</v>
      </c>
      <c r="T532" s="599">
        <f>G513</f>
        <v>0</v>
      </c>
      <c r="U532" s="578"/>
      <c r="V532" s="579">
        <f t="shared" si="75"/>
        <v>0</v>
      </c>
      <c r="W532" s="579">
        <f t="shared" si="73"/>
        <v>0</v>
      </c>
      <c r="X532" s="579">
        <f>IFERROR(W541*W532/(SUM(W527:W540)),0)</f>
        <v>0</v>
      </c>
      <c r="Y532" s="879">
        <f>SUMIFS(בקרה!$S:$S,בקרה!$D:$D,T532,בקרה!$K:$K,S532)</f>
        <v>0</v>
      </c>
      <c r="Z532" s="121"/>
      <c r="AA532" s="143"/>
      <c r="AB532" s="143"/>
      <c r="AC532" s="504">
        <v>0</v>
      </c>
      <c r="AD532" s="505">
        <f t="shared" si="74"/>
        <v>0</v>
      </c>
      <c r="AE532" s="143"/>
      <c r="AJ532" s="22"/>
      <c r="AO532" s="22"/>
      <c r="AP532" s="22"/>
      <c r="AQ532" s="22"/>
      <c r="AR532" s="22"/>
      <c r="AS532" s="22"/>
      <c r="AT532" s="22"/>
      <c r="AU532" s="35"/>
      <c r="AV532" s="35"/>
      <c r="AW532" s="35"/>
      <c r="AX532" s="35"/>
      <c r="AY532" s="35"/>
      <c r="AZ532" s="35"/>
      <c r="BA532" s="35"/>
      <c r="BB532" s="35"/>
      <c r="BC532" s="35"/>
      <c r="BD532" s="35"/>
      <c r="BE532" s="35"/>
      <c r="BF532" s="35"/>
      <c r="BG532" s="35"/>
      <c r="BH532" s="35"/>
      <c r="BI532" s="35"/>
      <c r="BJ532" s="35"/>
      <c r="BK532" s="35"/>
      <c r="BL532" s="35"/>
      <c r="BM532" s="35"/>
      <c r="BN532" s="35"/>
      <c r="BO532" s="86"/>
    </row>
    <row r="533" spans="1:67" s="55" customFormat="1" ht="15" customHeight="1" x14ac:dyDescent="0.25">
      <c r="A533" s="520">
        <f>IFERROR(VLOOKUP($G$5,'רשימת רשויות'!A:C,3,0),0)</f>
        <v>0</v>
      </c>
      <c r="B533" s="520">
        <f t="shared" si="72"/>
        <v>0</v>
      </c>
      <c r="C533" s="39"/>
      <c r="D533" s="1134"/>
      <c r="E533" s="1137"/>
      <c r="F533" s="591" t="s">
        <v>23</v>
      </c>
      <c r="G533" s="134">
        <f>SUM(G527:G532)</f>
        <v>0</v>
      </c>
      <c r="H533" s="135">
        <f>SUM(H527:H532)</f>
        <v>0</v>
      </c>
      <c r="I533" s="128">
        <f>IFERROR(G533/H533,0)</f>
        <v>0</v>
      </c>
      <c r="J533" s="136">
        <f>SUM(J527:J532)</f>
        <v>0</v>
      </c>
      <c r="K533" s="137">
        <f>SUM(K527:K532)</f>
        <v>0</v>
      </c>
      <c r="L533" s="408"/>
      <c r="M533" s="394"/>
      <c r="N533" s="394"/>
      <c r="O533" s="602"/>
      <c r="P533" s="620">
        <f>SUM(P527:P532)</f>
        <v>0</v>
      </c>
      <c r="Q533" s="620">
        <f>SUM(Q527:Q532)</f>
        <v>0</v>
      </c>
      <c r="R533" s="596"/>
      <c r="S533" s="610"/>
      <c r="T533" s="599">
        <f>G513</f>
        <v>0</v>
      </c>
      <c r="U533" s="578"/>
      <c r="V533" s="579"/>
      <c r="W533" s="579">
        <f t="shared" si="73"/>
        <v>0</v>
      </c>
      <c r="X533" s="579"/>
      <c r="Y533" s="879"/>
      <c r="Z533" s="121"/>
      <c r="AA533" s="143"/>
      <c r="AB533" s="143"/>
      <c r="AC533" s="504"/>
      <c r="AD533" s="505">
        <f t="shared" si="74"/>
        <v>0</v>
      </c>
      <c r="AE533" s="143"/>
      <c r="AJ533" s="22"/>
      <c r="AL533" s="22"/>
      <c r="AM533" s="22"/>
      <c r="AN533" s="22"/>
      <c r="AO533" s="22"/>
      <c r="AP533" s="22"/>
      <c r="AQ533" s="22"/>
      <c r="AR533" s="22"/>
      <c r="AS533" s="22"/>
      <c r="AT533" s="22"/>
      <c r="AU533" s="35"/>
      <c r="AV533" s="35"/>
      <c r="AW533" s="35"/>
      <c r="AX533" s="35"/>
      <c r="AY533" s="35"/>
      <c r="AZ533" s="35"/>
      <c r="BA533" s="35"/>
      <c r="BB533" s="35"/>
      <c r="BC533" s="35"/>
      <c r="BD533" s="35"/>
      <c r="BE533" s="35"/>
      <c r="BF533" s="35"/>
      <c r="BG533" s="35"/>
      <c r="BH533" s="35"/>
      <c r="BI533" s="35"/>
      <c r="BJ533" s="35"/>
      <c r="BK533" s="35"/>
      <c r="BL533" s="35"/>
      <c r="BM533" s="35"/>
      <c r="BN533" s="35"/>
      <c r="BO533" s="86"/>
    </row>
    <row r="534" spans="1:67" s="55" customFormat="1" ht="15" customHeight="1" x14ac:dyDescent="0.25">
      <c r="A534" s="520">
        <f>IFERROR(VLOOKUP($G$5,'רשימת רשויות'!A:C,3,0),0)</f>
        <v>0</v>
      </c>
      <c r="B534" s="520">
        <f t="shared" si="72"/>
        <v>0</v>
      </c>
      <c r="C534" s="39"/>
      <c r="D534" s="1134"/>
      <c r="E534" s="1137"/>
      <c r="F534" s="589" t="s">
        <v>3</v>
      </c>
      <c r="G534" s="117">
        <f>IF(G518="תקין",SUMIFS('דוח הוצאות בפועל (4)'!$E$17:$E$3016,'דוח הוצאות בפועל (4)'!$B$17:$B$3016,'בית ספר - תקצוב לפי מוסד (9)'!$G513,'דוח הוצאות בפועל (4)'!$M$17:$M$3016,"ני")+SUMIFS('דוח הוצאות בפועל (4)'!$E$17:$E$3016,'דוח הוצאות בפועל (4)'!$B$17:$B$3016,'בית ספר - תקצוב לפי מוסד (9)'!$G513,'דוח הוצאות בפועל (4)'!$M$17:$M$3016,"על"),0)-Y534</f>
        <v>0</v>
      </c>
      <c r="H534" s="117">
        <f>H515</f>
        <v>0</v>
      </c>
      <c r="I534" s="138">
        <f>IFERROR(G534/H534,0)</f>
        <v>0</v>
      </c>
      <c r="J534" s="117">
        <f>IFERROR(IF(G534/H536&gt;0.15,MIN(H536*0.15,H534),MIN(H534,IF(ISNUMBER(G534),G534,0))),0)</f>
        <v>0</v>
      </c>
      <c r="K534" s="120">
        <f>MAX(H534-G534,0)</f>
        <v>0</v>
      </c>
      <c r="L534" s="407"/>
      <c r="M534" s="393"/>
      <c r="N534" s="393"/>
      <c r="O534" s="602"/>
      <c r="P534" s="620">
        <f>IF(I534&lt;100%,MIN(H534-G534,H534*0.25),0)</f>
        <v>0</v>
      </c>
      <c r="Q534" s="620">
        <f>MAX(MIN(IF(G534-H534&gt;0,G534-H534,0),$H536*0.15-H534-J535),0)</f>
        <v>0</v>
      </c>
      <c r="R534" s="596"/>
      <c r="S534" s="610" t="s">
        <v>3</v>
      </c>
      <c r="T534" s="599">
        <f>G513</f>
        <v>0</v>
      </c>
      <c r="U534" s="578"/>
      <c r="V534" s="579">
        <f t="shared" ref="V534" si="76">G534</f>
        <v>0</v>
      </c>
      <c r="W534" s="579">
        <f t="shared" si="73"/>
        <v>0</v>
      </c>
      <c r="X534" s="579"/>
      <c r="Y534" s="879"/>
      <c r="Z534" s="121"/>
      <c r="AA534" s="143"/>
      <c r="AB534" s="143"/>
      <c r="AC534" s="504">
        <v>0</v>
      </c>
      <c r="AD534" s="505">
        <f t="shared" si="74"/>
        <v>0</v>
      </c>
      <c r="AE534" s="143"/>
      <c r="AG534" s="22"/>
      <c r="AH534" s="22"/>
      <c r="AI534" s="22"/>
      <c r="AJ534" s="22"/>
      <c r="AK534" s="22"/>
      <c r="AL534" s="22"/>
      <c r="AM534" s="22"/>
      <c r="AN534" s="22"/>
      <c r="AO534" s="22"/>
      <c r="AP534" s="22"/>
      <c r="AQ534" s="22"/>
      <c r="AR534" s="22"/>
      <c r="AS534" s="22"/>
      <c r="AT534" s="22"/>
      <c r="AU534" s="35"/>
      <c r="AV534" s="35"/>
      <c r="AW534" s="35"/>
      <c r="AX534" s="35"/>
      <c r="AY534" s="35"/>
      <c r="AZ534" s="35"/>
      <c r="BA534" s="35"/>
      <c r="BB534" s="35"/>
      <c r="BC534" s="35"/>
      <c r="BD534" s="35"/>
      <c r="BE534" s="35"/>
      <c r="BF534" s="35"/>
      <c r="BG534" s="35"/>
      <c r="BH534" s="35"/>
      <c r="BI534" s="35"/>
      <c r="BJ534" s="35"/>
      <c r="BK534" s="35"/>
      <c r="BL534" s="35"/>
      <c r="BM534" s="35"/>
      <c r="BN534" s="35"/>
      <c r="BO534" s="86"/>
    </row>
    <row r="535" spans="1:67" s="55" customFormat="1" ht="15.75" customHeight="1" x14ac:dyDescent="0.25">
      <c r="A535" s="520">
        <f>IFERROR(VLOOKUP($G$5,'רשימת רשויות'!A:C,3,0),0)</f>
        <v>0</v>
      </c>
      <c r="B535" s="520">
        <f t="shared" si="72"/>
        <v>0</v>
      </c>
      <c r="C535" s="39"/>
      <c r="D535" s="1134"/>
      <c r="E535" s="1137"/>
      <c r="F535" s="589" t="s">
        <v>2918</v>
      </c>
      <c r="G535" s="117">
        <f>0.07*(G529+G528)</f>
        <v>0</v>
      </c>
      <c r="H535" s="117">
        <f>H517</f>
        <v>0</v>
      </c>
      <c r="I535" s="138">
        <f>IFERROR(G535/H535,0)</f>
        <v>0</v>
      </c>
      <c r="J535" s="117">
        <f>IFERROR(MIN(0.07*(G528+G529),0.07*I517),0)</f>
        <v>0</v>
      </c>
      <c r="K535" s="120">
        <f>MAX(H535-G535,0)</f>
        <v>0</v>
      </c>
      <c r="L535" s="407"/>
      <c r="M535" s="393"/>
      <c r="N535" s="393"/>
      <c r="O535" s="602"/>
      <c r="P535" s="620"/>
      <c r="Q535" s="619"/>
      <c r="R535" s="596"/>
      <c r="S535" s="611"/>
      <c r="T535" s="599">
        <f>G513</f>
        <v>0</v>
      </c>
      <c r="U535" s="578"/>
      <c r="V535" s="579"/>
      <c r="W535" s="579">
        <f t="shared" si="73"/>
        <v>0</v>
      </c>
      <c r="X535" s="579"/>
      <c r="Y535" s="879"/>
      <c r="Z535" s="121"/>
      <c r="AA535" s="143"/>
      <c r="AB535" s="143"/>
      <c r="AC535" s="504"/>
      <c r="AD535" s="505"/>
      <c r="AE535" s="143"/>
      <c r="AF535" s="140"/>
      <c r="AG535" s="22"/>
      <c r="AH535" s="22"/>
      <c r="AI535" s="22"/>
      <c r="AJ535" s="22"/>
      <c r="AK535" s="22"/>
      <c r="AL535" s="22"/>
      <c r="AM535" s="22"/>
      <c r="AN535" s="22"/>
      <c r="AO535" s="22"/>
      <c r="AP535" s="22"/>
      <c r="AQ535" s="22"/>
      <c r="AR535" s="22"/>
      <c r="AS535" s="22"/>
      <c r="AT535" s="22"/>
      <c r="AU535" s="35"/>
      <c r="AV535" s="35"/>
      <c r="AW535" s="35"/>
      <c r="AX535" s="35"/>
      <c r="AY535" s="35"/>
      <c r="AZ535" s="35"/>
      <c r="BA535" s="35"/>
      <c r="BB535" s="35"/>
      <c r="BC535" s="35"/>
      <c r="BD535" s="35"/>
      <c r="BE535" s="35"/>
      <c r="BF535" s="35"/>
      <c r="BG535" s="35"/>
      <c r="BH535" s="35"/>
      <c r="BI535" s="35"/>
      <c r="BJ535" s="35"/>
      <c r="BK535" s="35"/>
      <c r="BL535" s="35"/>
      <c r="BM535" s="35"/>
      <c r="BN535" s="35"/>
      <c r="BO535" s="86"/>
    </row>
    <row r="536" spans="1:67" ht="15.75" customHeight="1" x14ac:dyDescent="0.25">
      <c r="A536" s="520">
        <f>IFERROR(VLOOKUP($G$5,'רשימת רשויות'!A:C,3,0),0)</f>
        <v>0</v>
      </c>
      <c r="B536" s="520">
        <f t="shared" si="72"/>
        <v>0</v>
      </c>
      <c r="D536" s="1134"/>
      <c r="E536" s="1137"/>
      <c r="F536" s="591" t="s">
        <v>15</v>
      </c>
      <c r="G536" s="134">
        <f>G533+G534+G535</f>
        <v>0</v>
      </c>
      <c r="H536" s="134">
        <f>H533+H534+H535</f>
        <v>0</v>
      </c>
      <c r="I536" s="138">
        <f>IFERROR(G536/H536,0)</f>
        <v>0</v>
      </c>
      <c r="J536" s="139">
        <f>J533+J534+J535</f>
        <v>0</v>
      </c>
      <c r="K536" s="137">
        <f>K534+K533+K535</f>
        <v>0</v>
      </c>
      <c r="L536" s="408"/>
      <c r="M536" s="394"/>
      <c r="N536" s="394"/>
      <c r="O536" s="602"/>
      <c r="P536" s="621">
        <f>SUM(P533:P534)</f>
        <v>0</v>
      </c>
      <c r="Q536" s="622">
        <f>Q533+Q534</f>
        <v>0</v>
      </c>
      <c r="R536" s="596"/>
      <c r="S536" s="611"/>
      <c r="T536" s="599">
        <f>G513</f>
        <v>0</v>
      </c>
      <c r="U536" s="578"/>
      <c r="V536" s="579"/>
      <c r="W536" s="579">
        <f t="shared" si="73"/>
        <v>0</v>
      </c>
      <c r="X536" s="579"/>
      <c r="Y536" s="879"/>
      <c r="Z536" s="106"/>
      <c r="AC536" s="504"/>
      <c r="AD536" s="505"/>
      <c r="AH536" s="143"/>
      <c r="BO536" s="86"/>
    </row>
    <row r="537" spans="1:67" ht="15.75" customHeight="1" x14ac:dyDescent="0.25">
      <c r="A537" s="520">
        <f>IFERROR(VLOOKUP($G$5,'רשימת רשויות'!A:C,3,0),0)</f>
        <v>0</v>
      </c>
      <c r="B537" s="520">
        <f t="shared" si="72"/>
        <v>0</v>
      </c>
      <c r="D537" s="1134"/>
      <c r="E537" s="1137"/>
      <c r="F537" s="589" t="s">
        <v>2261</v>
      </c>
      <c r="G537" s="117">
        <f>IF(G518="תקין",SUMIF('תשלומי הורים ומלגות להורים (5) '!$B$18:$B$517,$G513,'תשלומי הורים ומלגות להורים (5) '!$C$18:$C$517),0)</f>
        <v>0</v>
      </c>
      <c r="H537" s="117">
        <f>(G516+G517)*$G$7</f>
        <v>0</v>
      </c>
      <c r="I537" s="141"/>
      <c r="J537" s="141"/>
      <c r="K537" s="142"/>
      <c r="L537" s="395"/>
      <c r="M537" s="395"/>
      <c r="N537" s="395"/>
      <c r="O537" s="602"/>
      <c r="P537" s="623"/>
      <c r="Q537" s="619"/>
      <c r="R537" s="596"/>
      <c r="S537" s="612"/>
      <c r="T537" s="599">
        <f>G513</f>
        <v>0</v>
      </c>
      <c r="U537" s="578"/>
      <c r="V537" s="579"/>
      <c r="W537" s="579">
        <f t="shared" si="73"/>
        <v>0</v>
      </c>
      <c r="X537" s="579"/>
      <c r="Y537" s="879"/>
      <c r="Z537" s="121"/>
      <c r="AA537" s="143"/>
      <c r="AB537" s="143"/>
      <c r="AC537" s="504"/>
      <c r="AD537" s="505"/>
      <c r="AE537" s="143"/>
      <c r="AF537" s="148"/>
      <c r="BO537" s="86"/>
    </row>
    <row r="538" spans="1:67" ht="15.75" customHeight="1" thickBot="1" x14ac:dyDescent="0.3">
      <c r="A538" s="520">
        <f>IFERROR(VLOOKUP($G$5,'רשימת רשויות'!A:C,3,0),0)</f>
        <v>0</v>
      </c>
      <c r="B538" s="520">
        <f t="shared" si="72"/>
        <v>0</v>
      </c>
      <c r="D538" s="1134"/>
      <c r="E538" s="1137"/>
      <c r="F538" s="592" t="s">
        <v>21</v>
      </c>
      <c r="G538" s="144">
        <f>G536-G537</f>
        <v>0</v>
      </c>
      <c r="H538" s="144">
        <f>H536-H537</f>
        <v>0</v>
      </c>
      <c r="I538" s="145"/>
      <c r="J538" s="145"/>
      <c r="K538" s="146"/>
      <c r="L538" s="396"/>
      <c r="M538" s="396"/>
      <c r="N538" s="396"/>
      <c r="O538" s="602"/>
      <c r="P538" s="619"/>
      <c r="Q538" s="619"/>
      <c r="R538" s="596"/>
      <c r="S538" s="612"/>
      <c r="T538" s="599">
        <f>G513</f>
        <v>0</v>
      </c>
      <c r="U538" s="578"/>
      <c r="V538" s="579"/>
      <c r="W538" s="579">
        <f t="shared" si="73"/>
        <v>0</v>
      </c>
      <c r="X538" s="579"/>
      <c r="Y538" s="879"/>
      <c r="Z538" s="147"/>
      <c r="AA538" s="148"/>
      <c r="AB538" s="148"/>
      <c r="AC538" s="504"/>
      <c r="AD538" s="505"/>
      <c r="AE538" s="148"/>
      <c r="AF538" s="148"/>
      <c r="BO538" s="86"/>
    </row>
    <row r="539" spans="1:67" ht="15.75" customHeight="1" thickBot="1" x14ac:dyDescent="0.3">
      <c r="A539" s="520">
        <f>IFERROR(VLOOKUP($G$5,'רשימת רשויות'!A:C,3,0),0)</f>
        <v>0</v>
      </c>
      <c r="B539" s="520">
        <f t="shared" si="72"/>
        <v>0</v>
      </c>
      <c r="D539" s="1134"/>
      <c r="E539" s="1137"/>
      <c r="F539" s="580"/>
      <c r="G539" s="580"/>
      <c r="H539" s="147"/>
      <c r="I539" s="149" t="s">
        <v>2197</v>
      </c>
      <c r="J539" s="150">
        <f>MAX(MIN(P536,Q536),0)</f>
        <v>0</v>
      </c>
      <c r="K539" s="580"/>
      <c r="L539" s="580"/>
      <c r="M539" s="580"/>
      <c r="N539" s="580"/>
      <c r="O539" s="580"/>
      <c r="P539" s="615" t="s">
        <v>2317</v>
      </c>
      <c r="Q539" s="624">
        <f>SUM(Q540:Q541)</f>
        <v>0</v>
      </c>
      <c r="R539" s="596"/>
      <c r="S539" s="612"/>
      <c r="T539" s="599">
        <f>G513</f>
        <v>0</v>
      </c>
      <c r="U539" s="578"/>
      <c r="V539" s="579"/>
      <c r="W539" s="579">
        <f t="shared" si="73"/>
        <v>0</v>
      </c>
      <c r="X539" s="579"/>
      <c r="Y539" s="879"/>
      <c r="Z539" s="106"/>
      <c r="AC539" s="504"/>
      <c r="AD539" s="505"/>
      <c r="AF539" s="148"/>
      <c r="BO539" s="86"/>
    </row>
    <row r="540" spans="1:67" ht="16.5" thickBot="1" x14ac:dyDescent="0.3">
      <c r="A540" s="520">
        <f>IFERROR(VLOOKUP($G$5,'רשימת רשויות'!A:C,3,0),0)</f>
        <v>0</v>
      </c>
      <c r="B540" s="520">
        <f t="shared" si="72"/>
        <v>0</v>
      </c>
      <c r="D540" s="1134"/>
      <c r="E540" s="1137"/>
      <c r="F540" s="580"/>
      <c r="G540" s="580"/>
      <c r="H540" s="580"/>
      <c r="I540" s="84" t="s">
        <v>2193</v>
      </c>
      <c r="J540" s="515" t="str">
        <f>IFERROR(1-H537/H536,"")</f>
        <v/>
      </c>
      <c r="K540" s="580"/>
      <c r="L540" s="580"/>
      <c r="M540" s="580"/>
      <c r="N540" s="580"/>
      <c r="O540" s="580"/>
      <c r="P540" s="615" t="s">
        <v>417</v>
      </c>
      <c r="Q540" s="616">
        <f>IFERROR(MAX(H538-I541-Q541,0),0)</f>
        <v>0</v>
      </c>
      <c r="R540" s="596"/>
      <c r="S540" s="600"/>
      <c r="T540" s="599">
        <f>G513</f>
        <v>0</v>
      </c>
      <c r="U540" s="578"/>
      <c r="V540" s="579"/>
      <c r="W540" s="579">
        <f t="shared" si="73"/>
        <v>0</v>
      </c>
      <c r="X540" s="579"/>
      <c r="Y540" s="879"/>
      <c r="Z540" s="106"/>
      <c r="AC540" s="504"/>
      <c r="AD540" s="505"/>
      <c r="BO540" s="86"/>
    </row>
    <row r="541" spans="1:67" ht="17.25" thickBot="1" x14ac:dyDescent="0.3">
      <c r="A541" s="520">
        <f>IFERROR(VLOOKUP($G$5,'רשימת רשויות'!A:C,3,0),0)</f>
        <v>0</v>
      </c>
      <c r="B541" s="520">
        <f t="shared" si="72"/>
        <v>0</v>
      </c>
      <c r="D541" s="1134"/>
      <c r="E541" s="1137"/>
      <c r="F541" s="1143" t="s">
        <v>2679</v>
      </c>
      <c r="G541" s="1143"/>
      <c r="H541" s="1143"/>
      <c r="I541" s="722">
        <f>IF(G518="לא תקין","לא קיימת זכאות לתקציב לאור אי איוש משרות רכז ו/או סגן רכז ",IFERROR(J540*(J539+J536),0))</f>
        <v>0</v>
      </c>
      <c r="J541" s="573"/>
      <c r="K541" s="574"/>
      <c r="L541" s="396"/>
      <c r="M541" s="574"/>
      <c r="N541" s="574"/>
      <c r="O541" s="574"/>
      <c r="P541" s="615" t="s">
        <v>2279</v>
      </c>
      <c r="Q541" s="616">
        <f>MAX(IF(AND(G536&gt;H536,I541&lt;H538),H538-I541,0),0)</f>
        <v>0</v>
      </c>
      <c r="R541" s="575"/>
      <c r="S541" s="576" t="s">
        <v>67</v>
      </c>
      <c r="T541" s="577">
        <f>G513</f>
        <v>0</v>
      </c>
      <c r="U541" s="578"/>
      <c r="V541" s="579">
        <f>I541</f>
        <v>0</v>
      </c>
      <c r="W541" s="579">
        <f>IFERROR(U541-V541,0)</f>
        <v>0</v>
      </c>
      <c r="X541" s="579">
        <f>SUM(X527:X540)</f>
        <v>0</v>
      </c>
      <c r="Y541" s="879"/>
      <c r="Z541" s="106"/>
      <c r="AC541" s="506">
        <v>0</v>
      </c>
      <c r="AD541" s="507">
        <f>IFERROR(U541-AC541,0)</f>
        <v>0</v>
      </c>
      <c r="BO541" s="86"/>
    </row>
    <row r="542" spans="1:67" ht="16.5" thickBot="1" x14ac:dyDescent="0.3">
      <c r="A542" s="520">
        <f>IFERROR(VLOOKUP($G$5,'רשימת רשויות'!A:C,3,0),0)</f>
        <v>0</v>
      </c>
      <c r="B542" s="520">
        <f t="shared" si="72"/>
        <v>0</v>
      </c>
      <c r="D542" s="1135"/>
      <c r="E542" s="1138"/>
      <c r="F542" s="1144" t="s">
        <v>2793</v>
      </c>
      <c r="G542" s="1145"/>
      <c r="H542" s="1145"/>
      <c r="I542" s="593">
        <f>IFERROR(IF(G518="תקין",SUMIFS('סייעות רפואיות או אישיות (7)'!$Q$17:Q$384,'סייעות רפואיות או אישיות (7)'!C$17:C$384,G513),0),0)</f>
        <v>0</v>
      </c>
      <c r="J542" s="151"/>
      <c r="K542" s="152"/>
      <c r="L542" s="409"/>
      <c r="M542" s="152"/>
      <c r="N542" s="152"/>
      <c r="O542" s="152"/>
      <c r="P542" s="613"/>
      <c r="Q542" s="614"/>
      <c r="R542" s="475"/>
      <c r="S542" s="489"/>
      <c r="T542" s="490"/>
      <c r="U542" s="491"/>
      <c r="V542" s="492"/>
      <c r="W542" s="492"/>
      <c r="X542" s="492"/>
      <c r="Y542" s="880"/>
      <c r="Z542" s="153"/>
      <c r="AC542" s="581"/>
      <c r="AD542" s="582"/>
      <c r="BO542" s="86"/>
    </row>
    <row r="543" spans="1:67" ht="34.5" thickBot="1" x14ac:dyDescent="0.55000000000000004">
      <c r="A543" s="520">
        <f>IFERROR(VLOOKUP($G$5,'רשימת רשויות'!A:C,3,0),0)</f>
        <v>0</v>
      </c>
      <c r="B543" s="520">
        <f t="shared" si="72"/>
        <v>0</v>
      </c>
      <c r="E543" s="154"/>
      <c r="I543" s="143"/>
      <c r="J543" s="148"/>
      <c r="O543" s="148"/>
      <c r="T543" s="481"/>
      <c r="BO543" s="86"/>
    </row>
    <row r="544" spans="1:67" s="20" customFormat="1" ht="16.5" customHeight="1" thickBot="1" x14ac:dyDescent="0.3">
      <c r="A544" s="520">
        <f>IFERROR(VLOOKUP($G$5,'רשימת רשויות'!A:C,3,0),0)</f>
        <v>0</v>
      </c>
      <c r="B544" s="520">
        <f t="shared" si="72"/>
        <v>0</v>
      </c>
      <c r="C544" s="39"/>
      <c r="D544" s="1133">
        <f>D513+1</f>
        <v>18</v>
      </c>
      <c r="E544" s="1136" t="str">
        <f>IFERROR(CONCATENATE("בית הספר ",VLOOKUP(G544,'מצבת והרשמה (2)'!$C$21:$D$520,2,0)," - ",$G$5),"")</f>
        <v>בית הספר המוסד לא קיים - 0</v>
      </c>
      <c r="F544" s="720" t="s">
        <v>146</v>
      </c>
      <c r="G544" s="721">
        <f>IFERROR(VLOOKUP(D:D,'דוח ביצוע (3)'!$A$21:$C$900,2,0),0)</f>
        <v>0</v>
      </c>
      <c r="H544" s="79"/>
      <c r="I544" s="80" t="s">
        <v>150</v>
      </c>
      <c r="J544" s="80"/>
      <c r="K544" s="81"/>
      <c r="L544" s="392"/>
      <c r="M544" s="392"/>
      <c r="N544" s="392"/>
      <c r="O544" s="82"/>
      <c r="P544" s="470"/>
      <c r="Q544" s="471"/>
      <c r="R544" s="472"/>
      <c r="S544" s="883"/>
      <c r="T544" s="884"/>
      <c r="U544" s="486"/>
      <c r="V544" s="487"/>
      <c r="W544" s="487"/>
      <c r="X544" s="487"/>
      <c r="Y544" s="885"/>
      <c r="Z544" s="83"/>
      <c r="AC544" s="502"/>
      <c r="AD544" s="503"/>
      <c r="AO544" s="22"/>
      <c r="AP544" s="22"/>
      <c r="AQ544" s="22"/>
      <c r="AR544" s="22"/>
      <c r="AS544" s="22"/>
      <c r="AT544" s="22"/>
      <c r="AU544" s="35"/>
      <c r="AV544" s="35"/>
      <c r="AW544" s="35"/>
      <c r="AX544" s="35"/>
      <c r="AY544" s="35"/>
      <c r="AZ544" s="35"/>
      <c r="BA544" s="35"/>
      <c r="BB544" s="35"/>
      <c r="BC544" s="35"/>
      <c r="BD544" s="35"/>
      <c r="BE544" s="35"/>
      <c r="BF544" s="35"/>
      <c r="BG544" s="35"/>
      <c r="BH544" s="35"/>
      <c r="BI544" s="35"/>
      <c r="BJ544" s="35"/>
      <c r="BK544" s="35"/>
      <c r="BL544" s="35"/>
      <c r="BM544" s="35"/>
      <c r="BN544" s="35"/>
      <c r="BO544" s="78"/>
    </row>
    <row r="545" spans="1:67" s="20" customFormat="1" ht="16.5" thickBot="1" x14ac:dyDescent="0.3">
      <c r="A545" s="520">
        <f>IFERROR(VLOOKUP($G$5,'רשימת רשויות'!A:C,3,0),0)</f>
        <v>0</v>
      </c>
      <c r="B545" s="520">
        <f t="shared" si="72"/>
        <v>0</v>
      </c>
      <c r="C545" s="39"/>
      <c r="D545" s="1134"/>
      <c r="E545" s="1137"/>
      <c r="F545" s="583" t="s">
        <v>145</v>
      </c>
      <c r="G545" s="516" t="str">
        <f>IFERROR(IF((G547+G548)=0,"",IF(VLOOKUP(G544,'דוח ביצוע (3)'!$B$21:$K$900,5,0)&gt;149,"גדול",IF(AND(VLOOKUP(G544,'דוח ביצוע (3)'!$B$21:$K$900,5,0)&gt;0,VLOOKUP(G544,'דוח ביצוע (3)'!$B$21:$K$900,5,0)&lt;150),"קטן",0))),"")</f>
        <v/>
      </c>
      <c r="H545" s="723" t="s">
        <v>88</v>
      </c>
      <c r="I545" s="723" t="s">
        <v>13</v>
      </c>
      <c r="J545" s="725" t="s">
        <v>14</v>
      </c>
      <c r="K545" s="724" t="s">
        <v>94</v>
      </c>
      <c r="L545" s="594"/>
      <c r="M545" s="420" t="s">
        <v>2584</v>
      </c>
      <c r="N545" s="397" t="s">
        <v>413</v>
      </c>
      <c r="O545" s="398" t="s">
        <v>52</v>
      </c>
      <c r="P545" s="595"/>
      <c r="Q545" s="595"/>
      <c r="R545" s="596"/>
      <c r="S545" s="610"/>
      <c r="T545" s="881"/>
      <c r="U545" s="598"/>
      <c r="V545" s="599"/>
      <c r="W545" s="599"/>
      <c r="X545" s="599"/>
      <c r="Y545" s="879"/>
      <c r="Z545" s="85"/>
      <c r="AC545" s="493"/>
      <c r="AD545" s="495"/>
      <c r="AO545" s="22"/>
      <c r="AP545" s="22"/>
      <c r="AQ545" s="22"/>
      <c r="AR545" s="22"/>
      <c r="AS545" s="22"/>
      <c r="AT545" s="22"/>
      <c r="AU545" s="35"/>
      <c r="AV545" s="35"/>
      <c r="AW545" s="35"/>
      <c r="AX545" s="35"/>
      <c r="AY545" s="35"/>
      <c r="AZ545" s="35"/>
      <c r="BA545" s="35"/>
      <c r="BB545" s="35"/>
      <c r="BC545" s="35"/>
      <c r="BD545" s="35"/>
      <c r="BE545" s="35"/>
      <c r="BF545" s="35"/>
      <c r="BG545" s="35"/>
      <c r="BH545" s="35"/>
      <c r="BI545" s="35"/>
      <c r="BJ545" s="35"/>
      <c r="BK545" s="35"/>
      <c r="BL545" s="35"/>
      <c r="BM545" s="35"/>
      <c r="BN545" s="35"/>
      <c r="BO545" s="78"/>
    </row>
    <row r="546" spans="1:67" s="20" customFormat="1" ht="15.75" customHeight="1" thickBot="1" x14ac:dyDescent="0.3">
      <c r="A546" s="520">
        <f>IFERROR(VLOOKUP($G$5,'רשימת רשויות'!A:C,3,0),0)</f>
        <v>0</v>
      </c>
      <c r="B546" s="520">
        <f t="shared" si="72"/>
        <v>0</v>
      </c>
      <c r="C546" s="39"/>
      <c r="D546" s="1134"/>
      <c r="E546" s="1137"/>
      <c r="F546" s="584" t="s">
        <v>144</v>
      </c>
      <c r="G546" s="87">
        <f>IF(G549="תקין",IFERROR(VLOOKUP($G544,'דוח ביצוע (3)'!$B$21:$Q$900,12,0),0),0)</f>
        <v>0</v>
      </c>
      <c r="H546" s="88">
        <f>IFERROR(G547*$AH$6+G548*$AH$7,0)</f>
        <v>0</v>
      </c>
      <c r="I546" s="88">
        <f>IFERROR(G547*$AI$6+G548*$AI$7,0)</f>
        <v>0</v>
      </c>
      <c r="J546" s="88">
        <f>IFERROR(G547*$AJ$6+G548*$AJ$7,0)</f>
        <v>0</v>
      </c>
      <c r="K546" s="88">
        <f>IFERROR(G547*$AK$6+G548*$AK$7,0)</f>
        <v>0</v>
      </c>
      <c r="L546" s="405"/>
      <c r="M546" s="399" t="s">
        <v>427</v>
      </c>
      <c r="N546" s="400" t="str">
        <f>IFERROR(VLOOKUP($G544,'דוח ביצוע (3)'!$B:$AE,28,0),"")</f>
        <v/>
      </c>
      <c r="O546" s="89" t="str">
        <f>IFERROR(VLOOKUP($G544,'דוח ביצוע (3)'!B:AE,29,0),"")</f>
        <v/>
      </c>
      <c r="P546" s="595"/>
      <c r="Q546" s="595"/>
      <c r="R546" s="596"/>
      <c r="S546" s="610"/>
      <c r="T546" s="881"/>
      <c r="U546" s="598"/>
      <c r="V546" s="599"/>
      <c r="W546" s="599"/>
      <c r="X546" s="599"/>
      <c r="Y546" s="879"/>
      <c r="Z546" s="85"/>
      <c r="AC546" s="493"/>
      <c r="AD546" s="495"/>
      <c r="AO546" s="22"/>
      <c r="AP546" s="22"/>
      <c r="AQ546" s="22"/>
      <c r="AR546" s="22"/>
      <c r="AS546" s="22"/>
      <c r="AT546" s="22"/>
      <c r="AU546" s="35"/>
      <c r="AV546" s="35"/>
      <c r="AW546" s="35"/>
      <c r="AX546" s="35"/>
      <c r="AY546" s="35"/>
      <c r="AZ546" s="35"/>
      <c r="BA546" s="35"/>
      <c r="BB546" s="35"/>
      <c r="BC546" s="35"/>
      <c r="BD546" s="35"/>
      <c r="BE546" s="35"/>
      <c r="BF546" s="35"/>
      <c r="BG546" s="35"/>
      <c r="BH546" s="35"/>
      <c r="BI546" s="35"/>
      <c r="BJ546" s="35"/>
      <c r="BK546" s="35"/>
      <c r="BL546" s="35"/>
      <c r="BM546" s="35"/>
      <c r="BN546" s="35"/>
      <c r="BO546" s="78"/>
    </row>
    <row r="547" spans="1:67" s="20" customFormat="1" ht="32.25" thickBot="1" x14ac:dyDescent="0.3">
      <c r="A547" s="520">
        <f>IFERROR(VLOOKUP($G$5,'רשימת רשויות'!A:C,3,0),0)</f>
        <v>0</v>
      </c>
      <c r="B547" s="520">
        <f t="shared" si="72"/>
        <v>0</v>
      </c>
      <c r="C547" s="39"/>
      <c r="D547" s="1134"/>
      <c r="E547" s="1137"/>
      <c r="F547" s="585" t="s">
        <v>2195</v>
      </c>
      <c r="G547" s="89">
        <f>IF(G549="תקין",MAX(N549,0),0)</f>
        <v>0</v>
      </c>
      <c r="H547" s="725" t="s">
        <v>151</v>
      </c>
      <c r="I547" s="725" t="s">
        <v>91</v>
      </c>
      <c r="J547" s="970" t="s">
        <v>3396</v>
      </c>
      <c r="K547" s="601"/>
      <c r="L547" s="601"/>
      <c r="M547" s="983" t="s">
        <v>2585</v>
      </c>
      <c r="N547" s="400" t="str">
        <f>IFERROR(G546/15*N546*1.25,"")</f>
        <v/>
      </c>
      <c r="O547" s="89" t="str">
        <f>IFERROR(G546/15*O546*1.25,"")</f>
        <v/>
      </c>
      <c r="P547" s="595"/>
      <c r="Q547" s="595"/>
      <c r="R547" s="596"/>
      <c r="S547" s="610"/>
      <c r="T547" s="881"/>
      <c r="U547" s="598"/>
      <c r="V547" s="599"/>
      <c r="W547" s="599"/>
      <c r="X547" s="599"/>
      <c r="Y547" s="879"/>
      <c r="Z547" s="85"/>
      <c r="AC547" s="493"/>
      <c r="AD547" s="495"/>
      <c r="AG547" s="22"/>
      <c r="AH547" s="55"/>
      <c r="AI547" s="55"/>
      <c r="AJ547" s="55"/>
      <c r="AK547" s="55"/>
      <c r="AO547" s="22"/>
      <c r="AP547" s="22"/>
      <c r="AQ547" s="22"/>
      <c r="AR547" s="22"/>
      <c r="AS547" s="22"/>
      <c r="AT547" s="22"/>
      <c r="AU547" s="35"/>
      <c r="AV547" s="35"/>
      <c r="AW547" s="35"/>
      <c r="AX547" s="35"/>
      <c r="AY547" s="35"/>
      <c r="AZ547" s="35"/>
      <c r="BA547" s="35"/>
      <c r="BB547" s="35"/>
      <c r="BC547" s="35"/>
      <c r="BD547" s="35"/>
      <c r="BE547" s="35"/>
      <c r="BF547" s="35"/>
      <c r="BG547" s="35"/>
      <c r="BH547" s="35"/>
      <c r="BI547" s="35"/>
      <c r="BJ547" s="35"/>
      <c r="BK547" s="35"/>
      <c r="BL547" s="35"/>
      <c r="BM547" s="35"/>
      <c r="BN547" s="35"/>
      <c r="BO547" s="86"/>
    </row>
    <row r="548" spans="1:67" s="20" customFormat="1" ht="16.5" thickBot="1" x14ac:dyDescent="0.3">
      <c r="A548" s="520">
        <f>IFERROR(VLOOKUP($G$5,'רשימת רשויות'!A:C,3,0),0)</f>
        <v>0</v>
      </c>
      <c r="B548" s="520">
        <f t="shared" si="72"/>
        <v>0</v>
      </c>
      <c r="C548" s="39"/>
      <c r="D548" s="1134"/>
      <c r="E548" s="1137"/>
      <c r="F548" s="585" t="s">
        <v>2196</v>
      </c>
      <c r="G548" s="89">
        <f>IF(G549="תקין",MAX(O549,0),0)</f>
        <v>0</v>
      </c>
      <c r="H548" s="88">
        <f>(IFERROR(IF((G547+G548)=0,0,IF(G545="קטן",G546*$AH$10,G546*$AH$11)),0))+(IFERROR(IF((G547+G548)=0,0,VLOOKUP(G544,'דוח ביצוע (3)'!$B:$AH,33,0)),0))</f>
        <v>0</v>
      </c>
      <c r="I548" s="88">
        <f>IFERROR(IF((G547+G548)=0,0,IF(G545="קטן",G546*$AI$10,G546*$AI$11)),0)</f>
        <v>0</v>
      </c>
      <c r="J548" s="88">
        <f>IFERROR(IF((G547+G548)=0,0,VLOOKUP(G544,'דוח ביצוע (3)'!$B:$AH,32,0)),0)</f>
        <v>0</v>
      </c>
      <c r="K548" s="90"/>
      <c r="L548" s="90"/>
      <c r="M548" s="399" t="s">
        <v>412</v>
      </c>
      <c r="N548" s="400">
        <f>IFERROR(VLOOKUP($G544,'דוח ביצוע (3)'!$B$21:$U$500,18,0),0)</f>
        <v>0</v>
      </c>
      <c r="O548" s="401">
        <f>IFERROR(VLOOKUP($G544,'דוח ביצוע (3)'!$B$21:$U$500,19,0),0)</f>
        <v>0</v>
      </c>
      <c r="P548" s="595"/>
      <c r="Q548" s="595"/>
      <c r="R548" s="596"/>
      <c r="S548" s="610"/>
      <c r="T548" s="881"/>
      <c r="U548" s="598"/>
      <c r="V548" s="599"/>
      <c r="W548" s="599"/>
      <c r="X548" s="599"/>
      <c r="Y548" s="879"/>
      <c r="Z548" s="85"/>
      <c r="AC548" s="493"/>
      <c r="AD548" s="495"/>
      <c r="AG548" s="22"/>
      <c r="AH548" s="55"/>
      <c r="AI548" s="55"/>
      <c r="AJ548" s="55"/>
      <c r="AK548" s="55"/>
      <c r="AO548" s="22"/>
      <c r="AP548" s="22"/>
      <c r="AQ548" s="22"/>
      <c r="AR548" s="22"/>
      <c r="AS548" s="22"/>
      <c r="AT548" s="22"/>
      <c r="AU548" s="35"/>
      <c r="AV548" s="35"/>
      <c r="AW548" s="35"/>
      <c r="AX548" s="35"/>
      <c r="AY548" s="35"/>
      <c r="AZ548" s="35"/>
      <c r="BA548" s="35"/>
      <c r="BB548" s="35"/>
      <c r="BC548" s="35"/>
      <c r="BD548" s="35"/>
      <c r="BE548" s="35"/>
      <c r="BF548" s="35"/>
      <c r="BG548" s="35"/>
      <c r="BH548" s="35"/>
      <c r="BI548" s="35"/>
      <c r="BJ548" s="35"/>
      <c r="BK548" s="35"/>
      <c r="BL548" s="35"/>
      <c r="BM548" s="35"/>
      <c r="BN548" s="35"/>
      <c r="BO548" s="86"/>
    </row>
    <row r="549" spans="1:67" s="20" customFormat="1" ht="16.5" thickBot="1" x14ac:dyDescent="0.3">
      <c r="A549" s="520">
        <f>IFERROR(VLOOKUP($G$5,'רשימת רשויות'!A:C,3,0),0)</f>
        <v>0</v>
      </c>
      <c r="B549" s="520">
        <f t="shared" si="72"/>
        <v>0</v>
      </c>
      <c r="C549" s="39"/>
      <c r="D549" s="1134"/>
      <c r="E549" s="1137"/>
      <c r="F549" s="586" t="s">
        <v>2355</v>
      </c>
      <c r="G549" s="514">
        <f>IFERROR(IF(VLOOKUP('בית ספר - תקצוב לפי מוסד (9)'!G544,' איוש משרות (8)'!$C:$K,9,0)="תקין","תקין","לא תקין"),0)</f>
        <v>0</v>
      </c>
      <c r="H549" s="91"/>
      <c r="I549" s="91"/>
      <c r="J549" s="91"/>
      <c r="K549" s="90"/>
      <c r="L549" s="90"/>
      <c r="M549" s="402" t="s">
        <v>2586</v>
      </c>
      <c r="N549" s="403">
        <f>IFERROR(MIN(N547,N548),0)</f>
        <v>0</v>
      </c>
      <c r="O549" s="404">
        <f>IFERROR(MIN(O547,O548),0)</f>
        <v>0</v>
      </c>
      <c r="P549" s="595"/>
      <c r="Q549" s="595"/>
      <c r="R549" s="596"/>
      <c r="S549" s="610"/>
      <c r="T549" s="881"/>
      <c r="U549" s="598"/>
      <c r="V549" s="599"/>
      <c r="W549" s="599"/>
      <c r="X549" s="599"/>
      <c r="Y549" s="879"/>
      <c r="Z549" s="85"/>
      <c r="AC549" s="493"/>
      <c r="AD549" s="495"/>
      <c r="AG549" s="94"/>
      <c r="AH549" s="40"/>
      <c r="AI549" s="40"/>
      <c r="AJ549" s="40"/>
      <c r="AK549" s="40"/>
      <c r="AO549" s="22"/>
      <c r="AP549" s="22"/>
      <c r="AQ549" s="22"/>
      <c r="AR549" s="22"/>
      <c r="AS549" s="22"/>
      <c r="AT549" s="22"/>
      <c r="AU549" s="35"/>
      <c r="AV549" s="35"/>
      <c r="AW549" s="35"/>
      <c r="AX549" s="35"/>
      <c r="AY549" s="35"/>
      <c r="AZ549" s="35"/>
      <c r="BA549" s="35"/>
      <c r="BB549" s="35"/>
      <c r="BC549" s="35"/>
      <c r="BD549" s="35"/>
      <c r="BE549" s="35"/>
      <c r="BF549" s="35"/>
      <c r="BG549" s="35"/>
      <c r="BH549" s="35"/>
      <c r="BI549" s="35"/>
      <c r="BJ549" s="35"/>
      <c r="BK549" s="35"/>
      <c r="BL549" s="35"/>
      <c r="BM549" s="35"/>
      <c r="BN549" s="35"/>
      <c r="BO549" s="86"/>
    </row>
    <row r="550" spans="1:67" s="55" customFormat="1" ht="37.15" customHeight="1" thickBot="1" x14ac:dyDescent="0.3">
      <c r="A550" s="520">
        <f>IFERROR(VLOOKUP($G$5,'רשימת רשויות'!A:C,3,0),0)</f>
        <v>0</v>
      </c>
      <c r="B550" s="520">
        <f t="shared" si="72"/>
        <v>0</v>
      </c>
      <c r="C550" s="39"/>
      <c r="D550" s="1134"/>
      <c r="E550" s="1137"/>
      <c r="F550" s="587" t="s">
        <v>142</v>
      </c>
      <c r="G550" s="92"/>
      <c r="H550" s="92"/>
      <c r="I550" s="92"/>
      <c r="J550" s="92"/>
      <c r="K550" s="602"/>
      <c r="L550" s="602"/>
      <c r="M550" s="602"/>
      <c r="N550" s="602"/>
      <c r="O550" s="602"/>
      <c r="P550" s="595"/>
      <c r="Q550" s="595"/>
      <c r="R550" s="596"/>
      <c r="S550" s="610"/>
      <c r="T550" s="881"/>
      <c r="U550" s="598"/>
      <c r="V550" s="599"/>
      <c r="W550" s="599"/>
      <c r="X550" s="599"/>
      <c r="Y550" s="879"/>
      <c r="Z550" s="93"/>
      <c r="AC550" s="493"/>
      <c r="AD550" s="495"/>
      <c r="AF550" s="22"/>
      <c r="AG550" s="98"/>
      <c r="AH550" s="98"/>
      <c r="AI550" s="40"/>
      <c r="AJ550" s="40"/>
      <c r="AK550" s="40"/>
      <c r="AO550" s="22"/>
      <c r="AP550" s="22"/>
      <c r="AQ550" s="22"/>
      <c r="AR550" s="22"/>
      <c r="AS550" s="22"/>
      <c r="AT550" s="22"/>
      <c r="AU550" s="35"/>
      <c r="AV550" s="35"/>
      <c r="AW550" s="35"/>
      <c r="AX550" s="35"/>
      <c r="AY550" s="35"/>
      <c r="AZ550" s="35"/>
      <c r="BA550" s="35"/>
      <c r="BB550" s="35"/>
      <c r="BC550" s="35"/>
      <c r="BD550" s="35"/>
      <c r="BE550" s="35"/>
      <c r="BF550" s="35"/>
      <c r="BG550" s="35"/>
      <c r="BH550" s="35"/>
      <c r="BI550" s="35"/>
      <c r="BJ550" s="35"/>
      <c r="BK550" s="35"/>
      <c r="BL550" s="35"/>
      <c r="BM550" s="35"/>
      <c r="BN550" s="35"/>
      <c r="BO550" s="86"/>
    </row>
    <row r="551" spans="1:67" s="40" customFormat="1" ht="31.5" x14ac:dyDescent="0.25">
      <c r="A551" s="520">
        <f>IFERROR(VLOOKUP($G$5,'רשימת רשויות'!A:C,3,0),0)</f>
        <v>0</v>
      </c>
      <c r="B551" s="520">
        <f t="shared" si="72"/>
        <v>0</v>
      </c>
      <c r="C551" s="39"/>
      <c r="D551" s="1134"/>
      <c r="E551" s="1137"/>
      <c r="F551" s="588" t="s">
        <v>94</v>
      </c>
      <c r="G551" s="95" t="s">
        <v>18</v>
      </c>
      <c r="H551" s="95" t="s">
        <v>19</v>
      </c>
      <c r="I551" s="95" t="s">
        <v>138</v>
      </c>
      <c r="J551" s="96" t="s">
        <v>139</v>
      </c>
      <c r="K551" s="603"/>
      <c r="L551" s="603"/>
      <c r="M551" s="603"/>
      <c r="N551" s="603"/>
      <c r="O551" s="603"/>
      <c r="P551" s="604"/>
      <c r="Q551" s="604"/>
      <c r="R551" s="596"/>
      <c r="S551" s="610"/>
      <c r="T551" s="881"/>
      <c r="U551" s="598"/>
      <c r="V551" s="599"/>
      <c r="W551" s="599"/>
      <c r="X551" s="599"/>
      <c r="Y551" s="879"/>
      <c r="Z551" s="97"/>
      <c r="AA551" s="94"/>
      <c r="AB551" s="94"/>
      <c r="AC551" s="493"/>
      <c r="AD551" s="495"/>
      <c r="AE551" s="94"/>
      <c r="AG551" s="98"/>
      <c r="AH551" s="98"/>
      <c r="AO551" s="22"/>
      <c r="AP551" s="22"/>
      <c r="AQ551" s="22"/>
      <c r="AR551" s="22"/>
      <c r="AS551" s="22"/>
      <c r="AT551" s="22"/>
      <c r="AU551" s="35"/>
      <c r="AV551" s="35"/>
      <c r="AW551" s="35"/>
      <c r="AX551" s="35"/>
      <c r="AY551" s="35"/>
      <c r="AZ551" s="35"/>
      <c r="BA551" s="35"/>
      <c r="BB551" s="35"/>
      <c r="BC551" s="35"/>
      <c r="BD551" s="35"/>
      <c r="BE551" s="35"/>
      <c r="BF551" s="35"/>
      <c r="BG551" s="35"/>
      <c r="BH551" s="35"/>
      <c r="BI551" s="35"/>
      <c r="BJ551" s="35"/>
      <c r="BK551" s="35"/>
      <c r="BL551" s="35"/>
      <c r="BM551" s="35"/>
      <c r="BN551" s="35"/>
      <c r="BO551" s="86"/>
    </row>
    <row r="552" spans="1:67" s="40" customFormat="1" ht="15.75" customHeight="1" thickBot="1" x14ac:dyDescent="0.3">
      <c r="A552" s="520">
        <f>IFERROR(VLOOKUP($G$5,'רשימת רשויות'!A:C,3,0),0)</f>
        <v>0</v>
      </c>
      <c r="B552" s="520">
        <f t="shared" si="72"/>
        <v>0</v>
      </c>
      <c r="C552" s="39"/>
      <c r="D552" s="1134"/>
      <c r="E552" s="1137"/>
      <c r="F552" s="589" t="s">
        <v>2280</v>
      </c>
      <c r="G552" s="99">
        <f>+G563</f>
        <v>0</v>
      </c>
      <c r="H552" s="100">
        <f>K546</f>
        <v>0</v>
      </c>
      <c r="I552" s="100">
        <f>H552-I554</f>
        <v>0</v>
      </c>
      <c r="J552" s="101">
        <f>IFERROR(I552/H552,0)</f>
        <v>0</v>
      </c>
      <c r="K552" s="603"/>
      <c r="L552" s="603"/>
      <c r="M552" s="603"/>
      <c r="N552" s="603"/>
      <c r="O552" s="603"/>
      <c r="P552" s="605"/>
      <c r="Q552" s="604"/>
      <c r="R552" s="606" t="s">
        <v>157</v>
      </c>
      <c r="S552" s="611"/>
      <c r="T552" s="881"/>
      <c r="U552" s="598"/>
      <c r="V552" s="599"/>
      <c r="W552" s="599"/>
      <c r="X552" s="599"/>
      <c r="Y552" s="879"/>
      <c r="Z552" s="102"/>
      <c r="AA552" s="122"/>
      <c r="AB552" s="122"/>
      <c r="AC552" s="493"/>
      <c r="AD552" s="495"/>
      <c r="AE552" s="122"/>
      <c r="AF552" s="22"/>
      <c r="AG552" s="98"/>
      <c r="AH552" s="98"/>
      <c r="AI552" s="20"/>
      <c r="AO552" s="22"/>
      <c r="AP552" s="22"/>
      <c r="AQ552" s="22"/>
      <c r="AR552" s="22"/>
      <c r="AS552" s="22"/>
      <c r="AT552" s="22"/>
      <c r="AU552" s="35"/>
      <c r="AV552" s="35"/>
      <c r="AW552" s="35"/>
      <c r="AX552" s="35"/>
      <c r="AY552" s="35"/>
      <c r="AZ552" s="35"/>
      <c r="BA552" s="35"/>
      <c r="BB552" s="35"/>
      <c r="BC552" s="35"/>
      <c r="BD552" s="35"/>
      <c r="BE552" s="35"/>
      <c r="BF552" s="35"/>
      <c r="BG552" s="35"/>
      <c r="BH552" s="35"/>
      <c r="BI552" s="35"/>
      <c r="BJ552" s="35"/>
      <c r="BK552" s="35"/>
      <c r="BL552" s="35"/>
      <c r="BM552" s="35"/>
      <c r="BN552" s="35"/>
      <c r="BO552" s="86"/>
    </row>
    <row r="553" spans="1:67" s="40" customFormat="1" ht="15.75" customHeight="1" thickBot="1" x14ac:dyDescent="0.3">
      <c r="A553" s="520">
        <f>IFERROR(VLOOKUP($G$5,'רשימת רשויות'!A:C,3,0),0)</f>
        <v>0</v>
      </c>
      <c r="B553" s="520">
        <f t="shared" si="72"/>
        <v>0</v>
      </c>
      <c r="C553" s="39"/>
      <c r="D553" s="1134"/>
      <c r="E553" s="1137"/>
      <c r="F553" s="589" t="s">
        <v>2281</v>
      </c>
      <c r="G553" s="99">
        <f>+G562</f>
        <v>0</v>
      </c>
      <c r="H553" s="103"/>
      <c r="I553" s="104"/>
      <c r="J553" s="105"/>
      <c r="K553" s="603"/>
      <c r="L553" s="603"/>
      <c r="M553" s="603"/>
      <c r="N553" s="603"/>
      <c r="O553" s="603"/>
      <c r="P553" s="605"/>
      <c r="Q553" s="604"/>
      <c r="R553" s="473">
        <f>I554-R555</f>
        <v>0</v>
      </c>
      <c r="S553" s="611"/>
      <c r="T553" s="881"/>
      <c r="U553" s="598"/>
      <c r="V553" s="599"/>
      <c r="W553" s="599"/>
      <c r="X553" s="599"/>
      <c r="Y553" s="879"/>
      <c r="Z553" s="106"/>
      <c r="AA553" s="22"/>
      <c r="AB553" s="22"/>
      <c r="AC553" s="493"/>
      <c r="AD553" s="495"/>
      <c r="AE553" s="22"/>
      <c r="AF553" s="22"/>
      <c r="AG553" s="98"/>
      <c r="AH553" s="98"/>
      <c r="AI553" s="20"/>
      <c r="AO553" s="22"/>
      <c r="AP553" s="22"/>
      <c r="AQ553" s="22"/>
      <c r="AR553" s="22"/>
      <c r="AS553" s="22"/>
      <c r="AT553" s="22"/>
      <c r="AU553" s="35"/>
      <c r="AV553" s="35"/>
      <c r="AW553" s="35"/>
      <c r="AX553" s="35"/>
      <c r="AY553" s="35"/>
      <c r="AZ553" s="35"/>
      <c r="BA553" s="35"/>
      <c r="BB553" s="35"/>
      <c r="BC553" s="35"/>
      <c r="BD553" s="35"/>
      <c r="BE553" s="35"/>
      <c r="BF553" s="35"/>
      <c r="BG553" s="35"/>
      <c r="BH553" s="35"/>
      <c r="BI553" s="35"/>
      <c r="BJ553" s="35"/>
      <c r="BK553" s="35"/>
      <c r="BL553" s="35"/>
      <c r="BM553" s="35"/>
      <c r="BN553" s="35"/>
      <c r="BO553" s="86"/>
    </row>
    <row r="554" spans="1:67" s="40" customFormat="1" ht="16.5" customHeight="1" thickBot="1" x14ac:dyDescent="0.3">
      <c r="A554" s="520">
        <f>IFERROR(VLOOKUP($G$5,'רשימת רשויות'!A:C,3,0),0)</f>
        <v>0</v>
      </c>
      <c r="B554" s="520">
        <f t="shared" si="72"/>
        <v>0</v>
      </c>
      <c r="C554" s="39"/>
      <c r="D554" s="1134"/>
      <c r="E554" s="1137"/>
      <c r="F554" s="589" t="s">
        <v>2282</v>
      </c>
      <c r="G554" s="99">
        <f>G558+G559+G560</f>
        <v>0</v>
      </c>
      <c r="H554" s="104"/>
      <c r="I554" s="107">
        <f>MAX(H552-G552-G553,0)</f>
        <v>0</v>
      </c>
      <c r="J554" s="108">
        <f>IFERROR(I554/H552,0)</f>
        <v>0</v>
      </c>
      <c r="K554" s="603"/>
      <c r="L554" s="603"/>
      <c r="M554" s="603"/>
      <c r="N554" s="603"/>
      <c r="O554" s="603"/>
      <c r="P554" s="604"/>
      <c r="Q554" s="604"/>
      <c r="R554" s="606" t="s">
        <v>158</v>
      </c>
      <c r="S554" s="612"/>
      <c r="T554" s="881"/>
      <c r="U554" s="598"/>
      <c r="V554" s="599"/>
      <c r="W554" s="599"/>
      <c r="X554" s="599"/>
      <c r="Y554" s="879"/>
      <c r="Z554" s="106"/>
      <c r="AA554" s="22"/>
      <c r="AB554" s="22"/>
      <c r="AC554" s="493"/>
      <c r="AD554" s="495"/>
      <c r="AE554" s="22"/>
      <c r="AF554" s="22"/>
      <c r="AG554" s="22"/>
      <c r="AH554" s="22"/>
      <c r="AI554" s="55"/>
      <c r="AJ554" s="22"/>
      <c r="AK554" s="22"/>
      <c r="AO554" s="22"/>
      <c r="AP554" s="22"/>
      <c r="AQ554" s="22"/>
      <c r="AR554" s="22"/>
      <c r="AS554" s="22"/>
      <c r="AT554" s="22"/>
      <c r="AU554" s="35"/>
      <c r="AV554" s="35"/>
      <c r="AW554" s="35"/>
      <c r="AX554" s="35"/>
      <c r="AY554" s="35"/>
      <c r="AZ554" s="35"/>
      <c r="BA554" s="35"/>
      <c r="BB554" s="35"/>
      <c r="BC554" s="35"/>
      <c r="BD554" s="35"/>
      <c r="BE554" s="35"/>
      <c r="BF554" s="35"/>
      <c r="BG554" s="35"/>
      <c r="BH554" s="35"/>
      <c r="BI554" s="35"/>
      <c r="BJ554" s="35"/>
      <c r="BK554" s="35"/>
      <c r="BL554" s="35"/>
      <c r="BM554" s="35"/>
      <c r="BN554" s="35"/>
      <c r="BO554" s="86"/>
    </row>
    <row r="555" spans="1:67" s="40" customFormat="1" ht="15.75" customHeight="1" thickBot="1" x14ac:dyDescent="0.3">
      <c r="A555" s="520">
        <f>IFERROR(VLOOKUP($G$5,'רשימת רשויות'!A:C,3,0),0)</f>
        <v>0</v>
      </c>
      <c r="B555" s="520">
        <f t="shared" si="72"/>
        <v>0</v>
      </c>
      <c r="C555" s="39"/>
      <c r="D555" s="1134"/>
      <c r="E555" s="1137"/>
      <c r="F555" s="590" t="s">
        <v>2290</v>
      </c>
      <c r="G555" s="109"/>
      <c r="H555" s="110"/>
      <c r="I555" s="111">
        <f>SUM(I552:I554)</f>
        <v>0</v>
      </c>
      <c r="J555" s="112">
        <f>SUM(J552:J554)</f>
        <v>0</v>
      </c>
      <c r="K555" s="603"/>
      <c r="L555" s="603"/>
      <c r="M555" s="603"/>
      <c r="N555" s="603"/>
      <c r="O555" s="603"/>
      <c r="P555" s="604"/>
      <c r="Q555" s="604"/>
      <c r="R555" s="473">
        <f>MIN(MAX(G559+G560-I548-J548,0),I554)</f>
        <v>0</v>
      </c>
      <c r="S555" s="612"/>
      <c r="T555" s="881"/>
      <c r="U555" s="598"/>
      <c r="V555" s="599"/>
      <c r="W555" s="599"/>
      <c r="X555" s="599"/>
      <c r="Y555" s="879"/>
      <c r="Z555" s="106"/>
      <c r="AA555" s="22"/>
      <c r="AB555" s="22"/>
      <c r="AC555" s="493"/>
      <c r="AD555" s="495"/>
      <c r="AE555" s="22"/>
      <c r="AF555" s="22"/>
      <c r="AG555" s="22"/>
      <c r="AH555" s="22"/>
      <c r="AJ555" s="22"/>
      <c r="AK555" s="22"/>
      <c r="AO555" s="22"/>
      <c r="AP555" s="22"/>
      <c r="AQ555" s="22"/>
      <c r="AR555" s="22"/>
      <c r="AS555" s="22"/>
      <c r="AT555" s="22"/>
      <c r="AU555" s="35"/>
      <c r="AV555" s="35"/>
      <c r="AW555" s="35"/>
      <c r="AX555" s="35"/>
      <c r="AY555" s="35"/>
      <c r="AZ555" s="35"/>
      <c r="BA555" s="35"/>
      <c r="BB555" s="35"/>
      <c r="BC555" s="35"/>
      <c r="BD555" s="35"/>
      <c r="BE555" s="35"/>
      <c r="BF555" s="35"/>
      <c r="BG555" s="35"/>
      <c r="BH555" s="35"/>
      <c r="BI555" s="35"/>
      <c r="BJ555" s="35"/>
      <c r="BK555" s="35"/>
      <c r="BL555" s="35"/>
      <c r="BM555" s="35"/>
      <c r="BN555" s="35"/>
      <c r="BO555" s="86"/>
    </row>
    <row r="556" spans="1:67" ht="16.5" thickBot="1" x14ac:dyDescent="0.3">
      <c r="A556" s="520">
        <f>IFERROR(VLOOKUP($G$5,'רשימת רשויות'!A:C,3,0),0)</f>
        <v>0</v>
      </c>
      <c r="B556" s="520">
        <f t="shared" si="72"/>
        <v>0</v>
      </c>
      <c r="D556" s="1134"/>
      <c r="E556" s="1137"/>
      <c r="F556" s="587" t="s">
        <v>17</v>
      </c>
      <c r="G556" s="113"/>
      <c r="H556" s="92"/>
      <c r="I556" s="114"/>
      <c r="J556" s="115"/>
      <c r="K556" s="116"/>
      <c r="L556" s="406"/>
      <c r="M556" s="116"/>
      <c r="N556" s="116"/>
      <c r="O556" s="116"/>
      <c r="P556" s="474"/>
      <c r="Q556" s="607"/>
      <c r="R556" s="608"/>
      <c r="S556" s="612"/>
      <c r="T556" s="881"/>
      <c r="U556" s="598"/>
      <c r="V556" s="599"/>
      <c r="W556" s="599"/>
      <c r="X556" s="599"/>
      <c r="Y556" s="879"/>
      <c r="Z556" s="106"/>
      <c r="AI556" s="40"/>
      <c r="BO556" s="86"/>
    </row>
    <row r="557" spans="1:67" ht="47.25" x14ac:dyDescent="0.25">
      <c r="A557" s="520">
        <f>IFERROR(VLOOKUP($G$5,'רשימת רשויות'!A:C,3,0),0)</f>
        <v>0</v>
      </c>
      <c r="B557" s="520">
        <f t="shared" si="72"/>
        <v>0</v>
      </c>
      <c r="D557" s="1134"/>
      <c r="E557" s="1137"/>
      <c r="F557" s="588" t="s">
        <v>2</v>
      </c>
      <c r="G557" s="95" t="s">
        <v>18</v>
      </c>
      <c r="H557" s="95" t="s">
        <v>19</v>
      </c>
      <c r="I557" s="95" t="s">
        <v>20</v>
      </c>
      <c r="J557" s="95" t="s">
        <v>22</v>
      </c>
      <c r="K557" s="96" t="s">
        <v>2314</v>
      </c>
      <c r="L557" s="609"/>
      <c r="M557" s="609"/>
      <c r="N557" s="609"/>
      <c r="O557" s="580"/>
      <c r="P557" s="618" t="s">
        <v>2298</v>
      </c>
      <c r="Q557" s="618" t="s">
        <v>2299</v>
      </c>
      <c r="R557" s="596"/>
      <c r="S557" s="890" t="s">
        <v>2519</v>
      </c>
      <c r="T557" s="890" t="s">
        <v>97</v>
      </c>
      <c r="U557" s="891" t="s">
        <v>2521</v>
      </c>
      <c r="V557" s="892" t="s">
        <v>2520</v>
      </c>
      <c r="W557" s="893" t="s">
        <v>2524</v>
      </c>
      <c r="X557" s="892" t="s">
        <v>2522</v>
      </c>
      <c r="Y557" s="894" t="s">
        <v>2523</v>
      </c>
      <c r="Z557" s="106"/>
      <c r="AC557" s="498" t="s">
        <v>2568</v>
      </c>
      <c r="AD557" s="499" t="s">
        <v>2569</v>
      </c>
      <c r="AF557" s="122"/>
      <c r="AI557" s="40"/>
      <c r="BO557" s="86"/>
    </row>
    <row r="558" spans="1:67" ht="15" customHeight="1" thickBot="1" x14ac:dyDescent="0.3">
      <c r="A558" s="520">
        <f>IFERROR(VLOOKUP($G$5,'רשימת רשויות'!A:C,3,0),0)</f>
        <v>0</v>
      </c>
      <c r="B558" s="520">
        <f t="shared" si="72"/>
        <v>0</v>
      </c>
      <c r="D558" s="1134"/>
      <c r="E558" s="1137"/>
      <c r="F558" s="589" t="s">
        <v>76</v>
      </c>
      <c r="G558" s="117">
        <f>IF(G549="תקין",SUMIF('עלויות כח אדם (6)'!$B$15:$B$3014,'בית ספר - תקצוב לפי מוסד (9)'!$G544,'עלויות כח אדם (6)'!$M$15:$M$3014)-VLOOKUP('בית ספר - תקצוב לפי מוסד (9)'!G544,' איוש משרות (8)'!$C:$H,5,0)-VLOOKUP('בית ספר - תקצוב לפי מוסד (9)'!G544,' איוש משרות (8)'!$C:$H,6,0),0)-Y558</f>
        <v>0</v>
      </c>
      <c r="H558" s="118">
        <f>I546+R553</f>
        <v>0</v>
      </c>
      <c r="I558" s="119">
        <f>IFERROR(SUM(G558)/H558,0)</f>
        <v>0</v>
      </c>
      <c r="J558" s="100">
        <f>MIN(I546+R553,IF(ISNUMBER(G558),G558,0))</f>
        <v>0</v>
      </c>
      <c r="K558" s="120">
        <f>MAX(H558-G558,0)</f>
        <v>0</v>
      </c>
      <c r="L558" s="407"/>
      <c r="M558" s="393"/>
      <c r="N558" s="393"/>
      <c r="O558" s="580"/>
      <c r="P558" s="968">
        <f>IFERROR(IF(SUM(G558)/(I546)&lt;100%,MIN((I546)-SUM(G558),(I546)*0.25),0),0)</f>
        <v>0</v>
      </c>
      <c r="Q558" s="968">
        <f>IF(SUM(G558)-(I546+R553)&gt;0,SUM(G558)-(I546+R553),0)</f>
        <v>0</v>
      </c>
      <c r="R558" s="596" t="s">
        <v>2351</v>
      </c>
      <c r="S558" s="576" t="s">
        <v>2342</v>
      </c>
      <c r="T558" s="599">
        <f>G544</f>
        <v>0</v>
      </c>
      <c r="U558" s="578"/>
      <c r="V558" s="579">
        <f>G558+G559+G560</f>
        <v>0</v>
      </c>
      <c r="W558" s="579">
        <f>U558-V558</f>
        <v>0</v>
      </c>
      <c r="X558" s="579">
        <f>IFERROR(W572*W558/(SUM(W558:W571)),0)</f>
        <v>0</v>
      </c>
      <c r="Y558" s="879">
        <f>SUMIFS(בקרה!$S:$S,בקרה!$D:$D,T558,בקרה!$K:$K,S558)</f>
        <v>0</v>
      </c>
      <c r="Z558" s="121"/>
      <c r="AA558" s="143"/>
      <c r="AB558" s="143"/>
      <c r="AC558" s="504">
        <v>0</v>
      </c>
      <c r="AD558" s="505">
        <f>IFERROR(U558-AC558,0)</f>
        <v>0</v>
      </c>
      <c r="AE558" s="143"/>
      <c r="AI558" s="20"/>
      <c r="BO558" s="86"/>
    </row>
    <row r="559" spans="1:67" ht="15" customHeight="1" thickBot="1" x14ac:dyDescent="0.3">
      <c r="A559" s="520">
        <f>IFERROR(VLOOKUP($G$5,'רשימת רשויות'!A:C,3,0),0)</f>
        <v>0</v>
      </c>
      <c r="B559" s="520">
        <f t="shared" si="72"/>
        <v>0</v>
      </c>
      <c r="D559" s="1134"/>
      <c r="E559" s="1137"/>
      <c r="F559" s="589" t="s">
        <v>44</v>
      </c>
      <c r="G559" s="123">
        <f>IF(G549="תקין",IFERROR(VLOOKUP('בית ספר - תקצוב לפי מוסד (9)'!G544,' איוש משרות (8)'!C:J,7,0),0),0)</f>
        <v>0</v>
      </c>
      <c r="H559" s="124">
        <f>I548+R555+J548</f>
        <v>0</v>
      </c>
      <c r="I559" s="119">
        <f>IFERROR(SUM(G559:G560)/H559,0)</f>
        <v>0</v>
      </c>
      <c r="J559" s="100">
        <f>MIN(R555+I548,IF(ISNUMBER(SUM(G559:G560)),SUM(G559:G560),0))</f>
        <v>0</v>
      </c>
      <c r="K559" s="1139">
        <f>MAX((H559)-(G559+G560),0)</f>
        <v>0</v>
      </c>
      <c r="L559" s="407"/>
      <c r="M559" s="393"/>
      <c r="N559" s="393"/>
      <c r="O559" s="580"/>
      <c r="P559" s="1140"/>
      <c r="Q559" s="1140"/>
      <c r="R559" s="617">
        <f>MAX(MIN(P567-Q567,H567*0.15-G565),0)</f>
        <v>0</v>
      </c>
      <c r="S559" s="576"/>
      <c r="T559" s="599">
        <f>G544</f>
        <v>0</v>
      </c>
      <c r="U559" s="578"/>
      <c r="V559" s="579"/>
      <c r="W559" s="579">
        <f t="shared" ref="W559:W571" si="77">U559-V559</f>
        <v>0</v>
      </c>
      <c r="X559" s="579"/>
      <c r="Y559" s="879"/>
      <c r="Z559" s="121"/>
      <c r="AA559" s="143"/>
      <c r="AB559" s="143"/>
      <c r="AC559" s="504"/>
      <c r="AD559" s="505">
        <f t="shared" ref="AD559:AD565" si="78">IFERROR(U559-AC559,0)</f>
        <v>0</v>
      </c>
      <c r="AE559" s="143"/>
      <c r="AI559" s="20"/>
      <c r="BO559" s="86"/>
    </row>
    <row r="560" spans="1:67" ht="15.75" customHeight="1" x14ac:dyDescent="0.25">
      <c r="A560" s="520">
        <f>IFERROR(VLOOKUP($G$5,'רשימת רשויות'!A:C,3,0),0)</f>
        <v>0</v>
      </c>
      <c r="B560" s="520">
        <f t="shared" si="72"/>
        <v>0</v>
      </c>
      <c r="D560" s="1134"/>
      <c r="E560" s="1137"/>
      <c r="F560" s="589" t="s">
        <v>45</v>
      </c>
      <c r="G560" s="123">
        <f>IF(G549="תקין",IFERROR(VLOOKUP('בית ספר - תקצוב לפי מוסד (9)'!G544,' איוש משרות (8)'!C:J,8,0),0),0)</f>
        <v>0</v>
      </c>
      <c r="H560" s="125"/>
      <c r="I560" s="126"/>
      <c r="J560" s="104"/>
      <c r="K560" s="1139"/>
      <c r="L560" s="407"/>
      <c r="M560" s="393"/>
      <c r="N560" s="393"/>
      <c r="O560" s="580"/>
      <c r="P560" s="1140"/>
      <c r="Q560" s="1140"/>
      <c r="R560" s="596"/>
      <c r="S560" s="576"/>
      <c r="T560" s="599">
        <f>G544</f>
        <v>0</v>
      </c>
      <c r="U560" s="578"/>
      <c r="V560" s="579"/>
      <c r="W560" s="579">
        <f t="shared" si="77"/>
        <v>0</v>
      </c>
      <c r="X560" s="579"/>
      <c r="Y560" s="879"/>
      <c r="Z560" s="121"/>
      <c r="AA560" s="143"/>
      <c r="AB560" s="143"/>
      <c r="AC560" s="504"/>
      <c r="AD560" s="505">
        <f t="shared" si="78"/>
        <v>0</v>
      </c>
      <c r="AE560" s="143"/>
      <c r="AG560" s="55"/>
      <c r="AH560" s="55"/>
      <c r="AI560" s="55"/>
      <c r="AJ560" s="55"/>
      <c r="AK560" s="55"/>
      <c r="BO560" s="86"/>
    </row>
    <row r="561" spans="1:67" ht="15.75" customHeight="1" x14ac:dyDescent="0.25">
      <c r="A561" s="520">
        <f>IFERROR(VLOOKUP($G$5,'רשימת רשויות'!A:C,3,0),0)</f>
        <v>0</v>
      </c>
      <c r="B561" s="520">
        <f t="shared" si="72"/>
        <v>0</v>
      </c>
      <c r="D561" s="1134"/>
      <c r="E561" s="1137"/>
      <c r="F561" s="589" t="s">
        <v>0</v>
      </c>
      <c r="G561" s="117">
        <f>IF(G549="תקין",SUMIFS('דוח הוצאות בפועל (4)'!$E$17:$E$3016,'דוח הוצאות בפועל (4)'!$B$17:$B$3016,'בית ספר - תקצוב לפי מוסד (9)'!$G544,'דוח הוצאות בפועל (4)'!$M$17:$M$3016,"הע"),0)-Y561</f>
        <v>0</v>
      </c>
      <c r="H561" s="127">
        <f>J546</f>
        <v>0</v>
      </c>
      <c r="I561" s="128">
        <f>IFERROR(G561/H561,0)</f>
        <v>0</v>
      </c>
      <c r="J561" s="129">
        <f>MIN(IF(ISNUMBER(G561),G561,0),H561)</f>
        <v>0</v>
      </c>
      <c r="K561" s="120">
        <f>MAX(H561-G561,0)</f>
        <v>0</v>
      </c>
      <c r="L561" s="407"/>
      <c r="M561" s="393"/>
      <c r="N561" s="393"/>
      <c r="O561" s="580"/>
      <c r="P561" s="968">
        <f>MAX(IF(I561&lt;100%,MIN((H561-G561),H561*0.25),0),0)</f>
        <v>0</v>
      </c>
      <c r="Q561" s="619">
        <f>IF(G561-H561&gt;0,G561-H561,0)</f>
        <v>0</v>
      </c>
      <c r="R561" s="596"/>
      <c r="S561" s="610" t="s">
        <v>0</v>
      </c>
      <c r="T561" s="599">
        <f>G544</f>
        <v>0</v>
      </c>
      <c r="U561" s="578"/>
      <c r="V561" s="579">
        <f>G561</f>
        <v>0</v>
      </c>
      <c r="W561" s="579">
        <f t="shared" si="77"/>
        <v>0</v>
      </c>
      <c r="X561" s="579">
        <f>IFERROR(W572*W561/(SUM(W558:W571)),0)</f>
        <v>0</v>
      </c>
      <c r="Y561" s="879">
        <f>SUMIFS(בקרה!$S:$S,בקרה!$D:$D,T561,בקרה!$K:$K,S561)</f>
        <v>0</v>
      </c>
      <c r="Z561" s="121"/>
      <c r="AA561" s="143"/>
      <c r="AB561" s="143"/>
      <c r="AC561" s="504">
        <v>0</v>
      </c>
      <c r="AD561" s="505">
        <f t="shared" si="78"/>
        <v>0</v>
      </c>
      <c r="AE561" s="143"/>
      <c r="AG561" s="55"/>
      <c r="AH561" s="55"/>
      <c r="AI561" s="40"/>
      <c r="AJ561" s="55"/>
      <c r="AK561" s="55"/>
      <c r="BO561" s="86"/>
    </row>
    <row r="562" spans="1:67" s="55" customFormat="1" ht="15.75" customHeight="1" x14ac:dyDescent="0.25">
      <c r="A562" s="520">
        <f>IFERROR(VLOOKUP($G$5,'רשימת רשויות'!A:C,3,0),0)</f>
        <v>0</v>
      </c>
      <c r="B562" s="520">
        <f t="shared" si="72"/>
        <v>0</v>
      </c>
      <c r="C562" s="39"/>
      <c r="D562" s="1134"/>
      <c r="E562" s="1137"/>
      <c r="F562" s="589" t="s">
        <v>93</v>
      </c>
      <c r="G562" s="130">
        <f>IF(G549="תקין",SUMIFS('דוח הוצאות בפועל (4)'!$E$17:$E$3016,'דוח הוצאות בפועל (4)'!$B$17:$B$3016,'בית ספר - תקצוב לפי מוסד (9)'!$G544,'דוח הוצאות בפועל (4)'!$M$17:$M$3016,"אר"),0)-Y562</f>
        <v>0</v>
      </c>
      <c r="H562" s="118">
        <f>$I552</f>
        <v>0</v>
      </c>
      <c r="I562" s="131">
        <f>IFERROR((G562+G563)/H562,0)</f>
        <v>0</v>
      </c>
      <c r="J562" s="100">
        <f>MIN((IF(ISNUMBER(G562),G562,0)+IF(ISNUMBER(G563),G563,0)),H562)</f>
        <v>0</v>
      </c>
      <c r="K562" s="1139">
        <f>MAX((H562)-(G562+G563),0)</f>
        <v>0</v>
      </c>
      <c r="L562" s="407"/>
      <c r="M562" s="393"/>
      <c r="N562" s="393"/>
      <c r="O562" s="602"/>
      <c r="P562" s="1141"/>
      <c r="Q562" s="1142"/>
      <c r="R562" s="596"/>
      <c r="S562" s="610" t="s">
        <v>93</v>
      </c>
      <c r="T562" s="599">
        <f>G544</f>
        <v>0</v>
      </c>
      <c r="U562" s="578"/>
      <c r="V562" s="579">
        <f t="shared" ref="V562:V563" si="79">G562</f>
        <v>0</v>
      </c>
      <c r="W562" s="579">
        <f t="shared" si="77"/>
        <v>0</v>
      </c>
      <c r="X562" s="579">
        <f>IFERROR(W572*W562/(SUM(W558:W571)),0)</f>
        <v>0</v>
      </c>
      <c r="Y562" s="879">
        <f>SUMIFS(בקרה!$S:$S,בקרה!$D:$D,T562,בקרה!$K:$K,S562)</f>
        <v>0</v>
      </c>
      <c r="Z562" s="121"/>
      <c r="AA562" s="143"/>
      <c r="AB562" s="143"/>
      <c r="AC562" s="504">
        <v>0</v>
      </c>
      <c r="AD562" s="505">
        <f t="shared" si="78"/>
        <v>0</v>
      </c>
      <c r="AE562" s="143"/>
      <c r="AJ562" s="22"/>
      <c r="AO562" s="22"/>
      <c r="AP562" s="22"/>
      <c r="AQ562" s="22"/>
      <c r="AR562" s="22"/>
      <c r="AS562" s="22"/>
      <c r="AT562" s="22"/>
      <c r="AU562" s="35"/>
      <c r="AV562" s="35"/>
      <c r="AW562" s="35"/>
      <c r="AX562" s="35"/>
      <c r="AY562" s="35"/>
      <c r="AZ562" s="35"/>
      <c r="BA562" s="35"/>
      <c r="BB562" s="35"/>
      <c r="BC562" s="35"/>
      <c r="BD562" s="35"/>
      <c r="BE562" s="35"/>
      <c r="BF562" s="35"/>
      <c r="BG562" s="35"/>
      <c r="BH562" s="35"/>
      <c r="BI562" s="35"/>
      <c r="BJ562" s="35"/>
      <c r="BK562" s="35"/>
      <c r="BL562" s="35"/>
      <c r="BM562" s="35"/>
      <c r="BN562" s="35"/>
      <c r="BO562" s="86"/>
    </row>
    <row r="563" spans="1:67" s="55" customFormat="1" ht="15.75" customHeight="1" x14ac:dyDescent="0.25">
      <c r="A563" s="520">
        <f>IFERROR(VLOOKUP($G$5,'רשימת רשויות'!A:C,3,0),0)</f>
        <v>0</v>
      </c>
      <c r="B563" s="520">
        <f t="shared" si="72"/>
        <v>0</v>
      </c>
      <c r="C563" s="39"/>
      <c r="D563" s="1134"/>
      <c r="E563" s="1137"/>
      <c r="F563" s="589" t="s">
        <v>46</v>
      </c>
      <c r="G563" s="130">
        <f>IF(G549="תקין",SUMIFS('דוח הוצאות בפועל (4)'!$E$17:$E$3016,'דוח הוצאות בפועל (4)'!$B$17:$B$3016,'בית ספר - תקצוב לפי מוסד (9)'!$G544,'דוח הוצאות בפועל (4)'!$M$17:$M$3016,"מל"),0)-Y563</f>
        <v>0</v>
      </c>
      <c r="H563" s="132"/>
      <c r="I563" s="133"/>
      <c r="J563" s="104"/>
      <c r="K563" s="1139"/>
      <c r="L563" s="407"/>
      <c r="M563" s="393"/>
      <c r="N563" s="393"/>
      <c r="O563" s="602"/>
      <c r="P563" s="1141"/>
      <c r="Q563" s="1142"/>
      <c r="R563" s="596"/>
      <c r="S563" s="610" t="s">
        <v>46</v>
      </c>
      <c r="T563" s="599">
        <f>G544</f>
        <v>0</v>
      </c>
      <c r="U563" s="578"/>
      <c r="V563" s="579">
        <f t="shared" si="79"/>
        <v>0</v>
      </c>
      <c r="W563" s="579">
        <f t="shared" si="77"/>
        <v>0</v>
      </c>
      <c r="X563" s="579">
        <f>IFERROR(W572*W563/(SUM(W558:W571)),0)</f>
        <v>0</v>
      </c>
      <c r="Y563" s="879">
        <f>SUMIFS(בקרה!$S:$S,בקרה!$D:$D,T563,בקרה!$K:$K,S563)</f>
        <v>0</v>
      </c>
      <c r="Z563" s="121"/>
      <c r="AA563" s="143"/>
      <c r="AB563" s="143"/>
      <c r="AC563" s="504">
        <v>0</v>
      </c>
      <c r="AD563" s="505">
        <f t="shared" si="78"/>
        <v>0</v>
      </c>
      <c r="AE563" s="143"/>
      <c r="AJ563" s="22"/>
      <c r="AO563" s="22"/>
      <c r="AP563" s="22"/>
      <c r="AQ563" s="22"/>
      <c r="AR563" s="22"/>
      <c r="AS563" s="22"/>
      <c r="AT563" s="22"/>
      <c r="AU563" s="35"/>
      <c r="AV563" s="35"/>
      <c r="AW563" s="35"/>
      <c r="AX563" s="35"/>
      <c r="AY563" s="35"/>
      <c r="AZ563" s="35"/>
      <c r="BA563" s="35"/>
      <c r="BB563" s="35"/>
      <c r="BC563" s="35"/>
      <c r="BD563" s="35"/>
      <c r="BE563" s="35"/>
      <c r="BF563" s="35"/>
      <c r="BG563" s="35"/>
      <c r="BH563" s="35"/>
      <c r="BI563" s="35"/>
      <c r="BJ563" s="35"/>
      <c r="BK563" s="35"/>
      <c r="BL563" s="35"/>
      <c r="BM563" s="35"/>
      <c r="BN563" s="35"/>
      <c r="BO563" s="86"/>
    </row>
    <row r="564" spans="1:67" s="55" customFormat="1" ht="15" customHeight="1" x14ac:dyDescent="0.25">
      <c r="A564" s="520">
        <f>IFERROR(VLOOKUP($G$5,'רשימת רשויות'!A:C,3,0),0)</f>
        <v>0</v>
      </c>
      <c r="B564" s="520">
        <f t="shared" si="72"/>
        <v>0</v>
      </c>
      <c r="C564" s="39"/>
      <c r="D564" s="1134"/>
      <c r="E564" s="1137"/>
      <c r="F564" s="591" t="s">
        <v>23</v>
      </c>
      <c r="G564" s="134">
        <f>SUM(G558:G563)</f>
        <v>0</v>
      </c>
      <c r="H564" s="135">
        <f>SUM(H558:H563)</f>
        <v>0</v>
      </c>
      <c r="I564" s="128">
        <f>IFERROR(G564/H564,0)</f>
        <v>0</v>
      </c>
      <c r="J564" s="136">
        <f>SUM(J558:J563)</f>
        <v>0</v>
      </c>
      <c r="K564" s="137">
        <f>SUM(K558:K563)</f>
        <v>0</v>
      </c>
      <c r="L564" s="408"/>
      <c r="M564" s="394"/>
      <c r="N564" s="394"/>
      <c r="O564" s="602"/>
      <c r="P564" s="620">
        <f>SUM(P558:P563)</f>
        <v>0</v>
      </c>
      <c r="Q564" s="620">
        <f>SUM(Q558:Q563)</f>
        <v>0</v>
      </c>
      <c r="R564" s="596"/>
      <c r="S564" s="610"/>
      <c r="T564" s="599">
        <f>G544</f>
        <v>0</v>
      </c>
      <c r="U564" s="578"/>
      <c r="V564" s="579"/>
      <c r="W564" s="579">
        <f t="shared" si="77"/>
        <v>0</v>
      </c>
      <c r="X564" s="579"/>
      <c r="Y564" s="879"/>
      <c r="Z564" s="121"/>
      <c r="AA564" s="143"/>
      <c r="AB564" s="143"/>
      <c r="AC564" s="504"/>
      <c r="AD564" s="505">
        <f t="shared" si="78"/>
        <v>0</v>
      </c>
      <c r="AE564" s="143"/>
      <c r="AJ564" s="22"/>
      <c r="AL564" s="22"/>
      <c r="AM564" s="22"/>
      <c r="AN564" s="22"/>
      <c r="AO564" s="22"/>
      <c r="AP564" s="22"/>
      <c r="AQ564" s="22"/>
      <c r="AR564" s="22"/>
      <c r="AS564" s="22"/>
      <c r="AT564" s="22"/>
      <c r="AU564" s="35"/>
      <c r="AV564" s="35"/>
      <c r="AW564" s="35"/>
      <c r="AX564" s="35"/>
      <c r="AY564" s="35"/>
      <c r="AZ564" s="35"/>
      <c r="BA564" s="35"/>
      <c r="BB564" s="35"/>
      <c r="BC564" s="35"/>
      <c r="BD564" s="35"/>
      <c r="BE564" s="35"/>
      <c r="BF564" s="35"/>
      <c r="BG564" s="35"/>
      <c r="BH564" s="35"/>
      <c r="BI564" s="35"/>
      <c r="BJ564" s="35"/>
      <c r="BK564" s="35"/>
      <c r="BL564" s="35"/>
      <c r="BM564" s="35"/>
      <c r="BN564" s="35"/>
      <c r="BO564" s="86"/>
    </row>
    <row r="565" spans="1:67" s="55" customFormat="1" ht="15" customHeight="1" x14ac:dyDescent="0.25">
      <c r="A565" s="520">
        <f>IFERROR(VLOOKUP($G$5,'רשימת רשויות'!A:C,3,0),0)</f>
        <v>0</v>
      </c>
      <c r="B565" s="520">
        <f t="shared" si="72"/>
        <v>0</v>
      </c>
      <c r="C565" s="39"/>
      <c r="D565" s="1134"/>
      <c r="E565" s="1137"/>
      <c r="F565" s="589" t="s">
        <v>3</v>
      </c>
      <c r="G565" s="117">
        <f>IF(G549="תקין",SUMIFS('דוח הוצאות בפועל (4)'!$E$17:$E$3016,'דוח הוצאות בפועל (4)'!$B$17:$B$3016,'בית ספר - תקצוב לפי מוסד (9)'!$G544,'דוח הוצאות בפועל (4)'!$M$17:$M$3016,"ני")+SUMIFS('דוח הוצאות בפועל (4)'!$E$17:$E$3016,'דוח הוצאות בפועל (4)'!$B$17:$B$3016,'בית ספר - תקצוב לפי מוסד (9)'!$G544,'דוח הוצאות בפועל (4)'!$M$17:$M$3016,"על"),0)-Y565</f>
        <v>0</v>
      </c>
      <c r="H565" s="117">
        <f>H546</f>
        <v>0</v>
      </c>
      <c r="I565" s="138">
        <f>IFERROR(G565/H565,0)</f>
        <v>0</v>
      </c>
      <c r="J565" s="117">
        <f>IFERROR(IF(G565/H567&gt;0.15,MIN(H567*0.15,H565),MIN(H565,IF(ISNUMBER(G565),G565,0))),0)</f>
        <v>0</v>
      </c>
      <c r="K565" s="120">
        <f>MAX(H565-G565,0)</f>
        <v>0</v>
      </c>
      <c r="L565" s="407"/>
      <c r="M565" s="393"/>
      <c r="N565" s="393"/>
      <c r="O565" s="602"/>
      <c r="P565" s="620">
        <f>IF(I565&lt;100%,MIN(H565-G565,H565*0.25),0)</f>
        <v>0</v>
      </c>
      <c r="Q565" s="620">
        <f>MAX(MIN(IF(G565-H565&gt;0,G565-H565,0),$H567*0.15-H565-J566),0)</f>
        <v>0</v>
      </c>
      <c r="R565" s="596"/>
      <c r="S565" s="610" t="s">
        <v>3</v>
      </c>
      <c r="T565" s="599">
        <f>G544</f>
        <v>0</v>
      </c>
      <c r="U565" s="578"/>
      <c r="V565" s="579">
        <f t="shared" ref="V565" si="80">G565</f>
        <v>0</v>
      </c>
      <c r="W565" s="579">
        <f t="shared" si="77"/>
        <v>0</v>
      </c>
      <c r="X565" s="579"/>
      <c r="Y565" s="879"/>
      <c r="Z565" s="121"/>
      <c r="AA565" s="143"/>
      <c r="AB565" s="143"/>
      <c r="AC565" s="504">
        <v>0</v>
      </c>
      <c r="AD565" s="505">
        <f t="shared" si="78"/>
        <v>0</v>
      </c>
      <c r="AE565" s="143"/>
      <c r="AG565" s="22"/>
      <c r="AH565" s="22"/>
      <c r="AI565" s="22"/>
      <c r="AJ565" s="22"/>
      <c r="AK565" s="22"/>
      <c r="AL565" s="22"/>
      <c r="AM565" s="22"/>
      <c r="AN565" s="22"/>
      <c r="AO565" s="22"/>
      <c r="AP565" s="22"/>
      <c r="AQ565" s="22"/>
      <c r="AR565" s="22"/>
      <c r="AS565" s="22"/>
      <c r="AT565" s="22"/>
      <c r="AU565" s="35"/>
      <c r="AV565" s="35"/>
      <c r="AW565" s="35"/>
      <c r="AX565" s="35"/>
      <c r="AY565" s="35"/>
      <c r="AZ565" s="35"/>
      <c r="BA565" s="35"/>
      <c r="BB565" s="35"/>
      <c r="BC565" s="35"/>
      <c r="BD565" s="35"/>
      <c r="BE565" s="35"/>
      <c r="BF565" s="35"/>
      <c r="BG565" s="35"/>
      <c r="BH565" s="35"/>
      <c r="BI565" s="35"/>
      <c r="BJ565" s="35"/>
      <c r="BK565" s="35"/>
      <c r="BL565" s="35"/>
      <c r="BM565" s="35"/>
      <c r="BN565" s="35"/>
      <c r="BO565" s="86"/>
    </row>
    <row r="566" spans="1:67" s="55" customFormat="1" ht="15.75" customHeight="1" x14ac:dyDescent="0.25">
      <c r="A566" s="520">
        <f>IFERROR(VLOOKUP($G$5,'רשימת רשויות'!A:C,3,0),0)</f>
        <v>0</v>
      </c>
      <c r="B566" s="520">
        <f t="shared" si="72"/>
        <v>0</v>
      </c>
      <c r="C566" s="39"/>
      <c r="D566" s="1134"/>
      <c r="E566" s="1137"/>
      <c r="F566" s="589" t="s">
        <v>2918</v>
      </c>
      <c r="G566" s="117">
        <f>0.07*(G560+G559)</f>
        <v>0</v>
      </c>
      <c r="H566" s="117">
        <f>H548</f>
        <v>0</v>
      </c>
      <c r="I566" s="138">
        <f>IFERROR(G566/H566,0)</f>
        <v>0</v>
      </c>
      <c r="J566" s="117">
        <f>IFERROR(MIN(0.07*(G559+G560),0.07*I548),0)</f>
        <v>0</v>
      </c>
      <c r="K566" s="120">
        <f>MAX(H566-G566,0)</f>
        <v>0</v>
      </c>
      <c r="L566" s="407"/>
      <c r="M566" s="393"/>
      <c r="N566" s="393"/>
      <c r="O566" s="602"/>
      <c r="P566" s="620"/>
      <c r="Q566" s="619"/>
      <c r="R566" s="596"/>
      <c r="S566" s="611"/>
      <c r="T566" s="599">
        <f>G544</f>
        <v>0</v>
      </c>
      <c r="U566" s="578"/>
      <c r="V566" s="579"/>
      <c r="W566" s="579">
        <f t="shared" si="77"/>
        <v>0</v>
      </c>
      <c r="X566" s="579"/>
      <c r="Y566" s="879"/>
      <c r="Z566" s="121"/>
      <c r="AA566" s="143"/>
      <c r="AB566" s="143"/>
      <c r="AC566" s="504"/>
      <c r="AD566" s="505"/>
      <c r="AE566" s="143"/>
      <c r="AF566" s="140"/>
      <c r="AG566" s="22"/>
      <c r="AH566" s="22"/>
      <c r="AI566" s="22"/>
      <c r="AJ566" s="22"/>
      <c r="AK566" s="22"/>
      <c r="AL566" s="22"/>
      <c r="AM566" s="22"/>
      <c r="AN566" s="22"/>
      <c r="AO566" s="22"/>
      <c r="AP566" s="22"/>
      <c r="AQ566" s="22"/>
      <c r="AR566" s="22"/>
      <c r="AS566" s="22"/>
      <c r="AT566" s="22"/>
      <c r="AU566" s="35"/>
      <c r="AV566" s="35"/>
      <c r="AW566" s="35"/>
      <c r="AX566" s="35"/>
      <c r="AY566" s="35"/>
      <c r="AZ566" s="35"/>
      <c r="BA566" s="35"/>
      <c r="BB566" s="35"/>
      <c r="BC566" s="35"/>
      <c r="BD566" s="35"/>
      <c r="BE566" s="35"/>
      <c r="BF566" s="35"/>
      <c r="BG566" s="35"/>
      <c r="BH566" s="35"/>
      <c r="BI566" s="35"/>
      <c r="BJ566" s="35"/>
      <c r="BK566" s="35"/>
      <c r="BL566" s="35"/>
      <c r="BM566" s="35"/>
      <c r="BN566" s="35"/>
      <c r="BO566" s="86"/>
    </row>
    <row r="567" spans="1:67" ht="15.75" customHeight="1" x14ac:dyDescent="0.25">
      <c r="A567" s="520">
        <f>IFERROR(VLOOKUP($G$5,'רשימת רשויות'!A:C,3,0),0)</f>
        <v>0</v>
      </c>
      <c r="B567" s="520">
        <f t="shared" si="72"/>
        <v>0</v>
      </c>
      <c r="D567" s="1134"/>
      <c r="E567" s="1137"/>
      <c r="F567" s="591" t="s">
        <v>15</v>
      </c>
      <c r="G567" s="134">
        <f>G564+G565+G566</f>
        <v>0</v>
      </c>
      <c r="H567" s="134">
        <f>H564+H565+H566</f>
        <v>0</v>
      </c>
      <c r="I567" s="138">
        <f>IFERROR(G567/H567,0)</f>
        <v>0</v>
      </c>
      <c r="J567" s="139">
        <f>J564+J565+J566</f>
        <v>0</v>
      </c>
      <c r="K567" s="137">
        <f>K565+K564+K566</f>
        <v>0</v>
      </c>
      <c r="L567" s="408"/>
      <c r="M567" s="394"/>
      <c r="N567" s="394"/>
      <c r="O567" s="602"/>
      <c r="P567" s="621">
        <f>SUM(P564:P565)</f>
        <v>0</v>
      </c>
      <c r="Q567" s="622">
        <f>Q564+Q565</f>
        <v>0</v>
      </c>
      <c r="R567" s="596"/>
      <c r="S567" s="611"/>
      <c r="T567" s="599">
        <f>G544</f>
        <v>0</v>
      </c>
      <c r="U567" s="578"/>
      <c r="V567" s="579"/>
      <c r="W567" s="579">
        <f t="shared" si="77"/>
        <v>0</v>
      </c>
      <c r="X567" s="579"/>
      <c r="Y567" s="879"/>
      <c r="Z567" s="106"/>
      <c r="AC567" s="504"/>
      <c r="AD567" s="505"/>
      <c r="AH567" s="143"/>
      <c r="BO567" s="86"/>
    </row>
    <row r="568" spans="1:67" ht="15.75" customHeight="1" x14ac:dyDescent="0.25">
      <c r="A568" s="520">
        <f>IFERROR(VLOOKUP($G$5,'רשימת רשויות'!A:C,3,0),0)</f>
        <v>0</v>
      </c>
      <c r="B568" s="520">
        <f t="shared" si="72"/>
        <v>0</v>
      </c>
      <c r="D568" s="1134"/>
      <c r="E568" s="1137"/>
      <c r="F568" s="589" t="s">
        <v>2261</v>
      </c>
      <c r="G568" s="117">
        <f>IF(G549="תקין",SUMIF('תשלומי הורים ומלגות להורים (5) '!$B$18:$B$517,$G544,'תשלומי הורים ומלגות להורים (5) '!$C$18:$C$517),0)</f>
        <v>0</v>
      </c>
      <c r="H568" s="117">
        <f>(G547+G548)*$G$7</f>
        <v>0</v>
      </c>
      <c r="I568" s="141"/>
      <c r="J568" s="141"/>
      <c r="K568" s="142"/>
      <c r="L568" s="395"/>
      <c r="M568" s="395"/>
      <c r="N568" s="395"/>
      <c r="O568" s="602"/>
      <c r="P568" s="623"/>
      <c r="Q568" s="619"/>
      <c r="R568" s="596"/>
      <c r="S568" s="612"/>
      <c r="T568" s="599">
        <f>G544</f>
        <v>0</v>
      </c>
      <c r="U568" s="578"/>
      <c r="V568" s="579"/>
      <c r="W568" s="579">
        <f t="shared" si="77"/>
        <v>0</v>
      </c>
      <c r="X568" s="579"/>
      <c r="Y568" s="879"/>
      <c r="Z568" s="121"/>
      <c r="AA568" s="143"/>
      <c r="AB568" s="143"/>
      <c r="AC568" s="504"/>
      <c r="AD568" s="505"/>
      <c r="AE568" s="143"/>
      <c r="AF568" s="148"/>
      <c r="BO568" s="86"/>
    </row>
    <row r="569" spans="1:67" ht="15.75" customHeight="1" thickBot="1" x14ac:dyDescent="0.3">
      <c r="A569" s="520">
        <f>IFERROR(VLOOKUP($G$5,'רשימת רשויות'!A:C,3,0),0)</f>
        <v>0</v>
      </c>
      <c r="B569" s="520">
        <f t="shared" si="72"/>
        <v>0</v>
      </c>
      <c r="D569" s="1134"/>
      <c r="E569" s="1137"/>
      <c r="F569" s="592" t="s">
        <v>21</v>
      </c>
      <c r="G569" s="144">
        <f>G567-G568</f>
        <v>0</v>
      </c>
      <c r="H569" s="144">
        <f>H567-H568</f>
        <v>0</v>
      </c>
      <c r="I569" s="145"/>
      <c r="J569" s="145"/>
      <c r="K569" s="146"/>
      <c r="L569" s="396"/>
      <c r="M569" s="396"/>
      <c r="N569" s="396"/>
      <c r="O569" s="602"/>
      <c r="P569" s="619"/>
      <c r="Q569" s="619"/>
      <c r="R569" s="596"/>
      <c r="S569" s="612"/>
      <c r="T569" s="599">
        <f>G544</f>
        <v>0</v>
      </c>
      <c r="U569" s="578"/>
      <c r="V569" s="579"/>
      <c r="W569" s="579">
        <f t="shared" si="77"/>
        <v>0</v>
      </c>
      <c r="X569" s="579"/>
      <c r="Y569" s="879"/>
      <c r="Z569" s="147"/>
      <c r="AA569" s="148"/>
      <c r="AB569" s="148"/>
      <c r="AC569" s="504"/>
      <c r="AD569" s="505"/>
      <c r="AE569" s="148"/>
      <c r="AF569" s="148"/>
      <c r="BO569" s="86"/>
    </row>
    <row r="570" spans="1:67" ht="15.75" customHeight="1" thickBot="1" x14ac:dyDescent="0.3">
      <c r="A570" s="520">
        <f>IFERROR(VLOOKUP($G$5,'רשימת רשויות'!A:C,3,0),0)</f>
        <v>0</v>
      </c>
      <c r="B570" s="520">
        <f t="shared" si="72"/>
        <v>0</v>
      </c>
      <c r="D570" s="1134"/>
      <c r="E570" s="1137"/>
      <c r="F570" s="580"/>
      <c r="G570" s="580"/>
      <c r="H570" s="147"/>
      <c r="I570" s="149" t="s">
        <v>2197</v>
      </c>
      <c r="J570" s="150">
        <f>MAX(MIN(P567,Q567),0)</f>
        <v>0</v>
      </c>
      <c r="K570" s="580"/>
      <c r="L570" s="580"/>
      <c r="M570" s="580"/>
      <c r="N570" s="580"/>
      <c r="O570" s="580"/>
      <c r="P570" s="615" t="s">
        <v>2317</v>
      </c>
      <c r="Q570" s="624">
        <f>SUM(Q571:Q572)</f>
        <v>0</v>
      </c>
      <c r="R570" s="596"/>
      <c r="S570" s="612"/>
      <c r="T570" s="599">
        <f>G544</f>
        <v>0</v>
      </c>
      <c r="U570" s="578"/>
      <c r="V570" s="579"/>
      <c r="W570" s="579">
        <f t="shared" si="77"/>
        <v>0</v>
      </c>
      <c r="X570" s="579"/>
      <c r="Y570" s="879"/>
      <c r="Z570" s="106"/>
      <c r="AC570" s="504"/>
      <c r="AD570" s="505"/>
      <c r="AF570" s="148"/>
      <c r="BO570" s="86"/>
    </row>
    <row r="571" spans="1:67" ht="16.5" thickBot="1" x14ac:dyDescent="0.3">
      <c r="A571" s="520">
        <f>IFERROR(VLOOKUP($G$5,'רשימת רשויות'!A:C,3,0),0)</f>
        <v>0</v>
      </c>
      <c r="B571" s="520">
        <f t="shared" si="72"/>
        <v>0</v>
      </c>
      <c r="D571" s="1134"/>
      <c r="E571" s="1137"/>
      <c r="F571" s="580"/>
      <c r="G571" s="580"/>
      <c r="H571" s="580"/>
      <c r="I571" s="84" t="s">
        <v>2193</v>
      </c>
      <c r="J571" s="515" t="str">
        <f>IFERROR(1-H568/H567,"")</f>
        <v/>
      </c>
      <c r="K571" s="580"/>
      <c r="L571" s="580"/>
      <c r="M571" s="580"/>
      <c r="N571" s="580"/>
      <c r="O571" s="580"/>
      <c r="P571" s="615" t="s">
        <v>417</v>
      </c>
      <c r="Q571" s="616">
        <f>IFERROR(MAX(H569-I572-Q572,0),0)</f>
        <v>0</v>
      </c>
      <c r="R571" s="596"/>
      <c r="S571" s="600"/>
      <c r="T571" s="599">
        <f>G544</f>
        <v>0</v>
      </c>
      <c r="U571" s="578"/>
      <c r="V571" s="579"/>
      <c r="W571" s="579">
        <f t="shared" si="77"/>
        <v>0</v>
      </c>
      <c r="X571" s="579"/>
      <c r="Y571" s="879"/>
      <c r="Z571" s="106"/>
      <c r="AC571" s="504"/>
      <c r="AD571" s="505"/>
      <c r="BO571" s="86"/>
    </row>
    <row r="572" spans="1:67" ht="17.25" thickBot="1" x14ac:dyDescent="0.3">
      <c r="A572" s="520">
        <f>IFERROR(VLOOKUP($G$5,'רשימת רשויות'!A:C,3,0),0)</f>
        <v>0</v>
      </c>
      <c r="B572" s="520">
        <f t="shared" si="72"/>
        <v>0</v>
      </c>
      <c r="D572" s="1134"/>
      <c r="E572" s="1137"/>
      <c r="F572" s="1143" t="s">
        <v>2679</v>
      </c>
      <c r="G572" s="1143"/>
      <c r="H572" s="1143"/>
      <c r="I572" s="722">
        <f>IF(G549="לא תקין","לא קיימת זכאות לתקציב לאור אי איוש משרות רכז ו/או סגן רכז ",IFERROR(J571*(J570+J567),0))</f>
        <v>0</v>
      </c>
      <c r="J572" s="573"/>
      <c r="K572" s="574"/>
      <c r="L572" s="396"/>
      <c r="M572" s="574"/>
      <c r="N572" s="574"/>
      <c r="O572" s="574"/>
      <c r="P572" s="615" t="s">
        <v>2279</v>
      </c>
      <c r="Q572" s="616">
        <f>MAX(IF(AND(G567&gt;H567,I572&lt;H569),H569-I572,0),0)</f>
        <v>0</v>
      </c>
      <c r="R572" s="575"/>
      <c r="S572" s="576" t="s">
        <v>67</v>
      </c>
      <c r="T572" s="577">
        <f>G544</f>
        <v>0</v>
      </c>
      <c r="U572" s="578"/>
      <c r="V572" s="579">
        <f>I572</f>
        <v>0</v>
      </c>
      <c r="W572" s="579">
        <f>IFERROR(U572-V572,0)</f>
        <v>0</v>
      </c>
      <c r="X572" s="579">
        <f>SUM(X558:X571)</f>
        <v>0</v>
      </c>
      <c r="Y572" s="879"/>
      <c r="Z572" s="106"/>
      <c r="AC572" s="506">
        <v>0</v>
      </c>
      <c r="AD572" s="507">
        <f>IFERROR(U572-AC572,0)</f>
        <v>0</v>
      </c>
      <c r="BO572" s="86"/>
    </row>
    <row r="573" spans="1:67" ht="16.5" thickBot="1" x14ac:dyDescent="0.3">
      <c r="A573" s="520">
        <f>IFERROR(VLOOKUP($G$5,'רשימת רשויות'!A:C,3,0),0)</f>
        <v>0</v>
      </c>
      <c r="B573" s="520">
        <f t="shared" si="72"/>
        <v>0</v>
      </c>
      <c r="D573" s="1135"/>
      <c r="E573" s="1138"/>
      <c r="F573" s="1144" t="s">
        <v>2793</v>
      </c>
      <c r="G573" s="1145"/>
      <c r="H573" s="1145"/>
      <c r="I573" s="593">
        <f>IFERROR(IF(G549="תקין",SUMIFS('סייעות רפואיות או אישיות (7)'!$Q$17:Q$384,'סייעות רפואיות או אישיות (7)'!C$17:C$384,G544),0),0)</f>
        <v>0</v>
      </c>
      <c r="J573" s="151"/>
      <c r="K573" s="152"/>
      <c r="L573" s="409"/>
      <c r="M573" s="152"/>
      <c r="N573" s="152"/>
      <c r="O573" s="152"/>
      <c r="P573" s="613"/>
      <c r="Q573" s="614"/>
      <c r="R573" s="475"/>
      <c r="S573" s="489"/>
      <c r="T573" s="490"/>
      <c r="U573" s="491"/>
      <c r="V573" s="492"/>
      <c r="W573" s="492"/>
      <c r="X573" s="492"/>
      <c r="Y573" s="880"/>
      <c r="Z573" s="153"/>
      <c r="AC573" s="581"/>
      <c r="AD573" s="582"/>
      <c r="BO573" s="86"/>
    </row>
    <row r="574" spans="1:67" ht="34.5" thickBot="1" x14ac:dyDescent="0.55000000000000004">
      <c r="A574" s="520">
        <f>IFERROR(VLOOKUP($G$5,'רשימת רשויות'!A:C,3,0),0)</f>
        <v>0</v>
      </c>
      <c r="B574" s="520">
        <f t="shared" si="72"/>
        <v>0</v>
      </c>
      <c r="E574" s="154"/>
      <c r="I574" s="143"/>
      <c r="J574" s="148"/>
      <c r="O574" s="148"/>
      <c r="T574" s="481"/>
      <c r="BO574" s="86"/>
    </row>
    <row r="575" spans="1:67" s="20" customFormat="1" ht="16.5" customHeight="1" thickBot="1" x14ac:dyDescent="0.3">
      <c r="A575" s="520">
        <f>IFERROR(VLOOKUP($G$5,'רשימת רשויות'!A:C,3,0),0)</f>
        <v>0</v>
      </c>
      <c r="B575" s="520">
        <f t="shared" si="72"/>
        <v>0</v>
      </c>
      <c r="C575" s="39"/>
      <c r="D575" s="1133">
        <f>D544+1</f>
        <v>19</v>
      </c>
      <c r="E575" s="1136" t="str">
        <f>IFERROR(CONCATENATE("בית הספר ",VLOOKUP(G575,'מצבת והרשמה (2)'!$C$21:$D$520,2,0)," - ",$G$5),"")</f>
        <v>בית הספר המוסד לא קיים - 0</v>
      </c>
      <c r="F575" s="720" t="s">
        <v>146</v>
      </c>
      <c r="G575" s="721">
        <f>IFERROR(VLOOKUP(D:D,'דוח ביצוע (3)'!$A$21:$C$900,2,0),0)</f>
        <v>0</v>
      </c>
      <c r="H575" s="79"/>
      <c r="I575" s="80" t="s">
        <v>150</v>
      </c>
      <c r="J575" s="80"/>
      <c r="K575" s="81"/>
      <c r="L575" s="392"/>
      <c r="M575" s="392"/>
      <c r="N575" s="392"/>
      <c r="O575" s="82"/>
      <c r="P575" s="470"/>
      <c r="Q575" s="471"/>
      <c r="R575" s="472"/>
      <c r="S575" s="883"/>
      <c r="T575" s="884"/>
      <c r="U575" s="486"/>
      <c r="V575" s="487"/>
      <c r="W575" s="487"/>
      <c r="X575" s="487"/>
      <c r="Y575" s="885"/>
      <c r="Z575" s="83"/>
      <c r="AC575" s="502"/>
      <c r="AD575" s="503"/>
      <c r="AO575" s="22"/>
      <c r="AP575" s="22"/>
      <c r="AQ575" s="22"/>
      <c r="AR575" s="22"/>
      <c r="AS575" s="22"/>
      <c r="AT575" s="22"/>
      <c r="AU575" s="35"/>
      <c r="AV575" s="35"/>
      <c r="AW575" s="35"/>
      <c r="AX575" s="35"/>
      <c r="AY575" s="35"/>
      <c r="AZ575" s="35"/>
      <c r="BA575" s="35"/>
      <c r="BB575" s="35"/>
      <c r="BC575" s="35"/>
      <c r="BD575" s="35"/>
      <c r="BE575" s="35"/>
      <c r="BF575" s="35"/>
      <c r="BG575" s="35"/>
      <c r="BH575" s="35"/>
      <c r="BI575" s="35"/>
      <c r="BJ575" s="35"/>
      <c r="BK575" s="35"/>
      <c r="BL575" s="35"/>
      <c r="BM575" s="35"/>
      <c r="BN575" s="35"/>
      <c r="BO575" s="78"/>
    </row>
    <row r="576" spans="1:67" s="20" customFormat="1" ht="16.5" thickBot="1" x14ac:dyDescent="0.3">
      <c r="A576" s="520">
        <f>IFERROR(VLOOKUP($G$5,'רשימת רשויות'!A:C,3,0),0)</f>
        <v>0</v>
      </c>
      <c r="B576" s="520">
        <f t="shared" si="72"/>
        <v>0</v>
      </c>
      <c r="C576" s="39"/>
      <c r="D576" s="1134"/>
      <c r="E576" s="1137"/>
      <c r="F576" s="583" t="s">
        <v>145</v>
      </c>
      <c r="G576" s="516" t="str">
        <f>IFERROR(IF((G578+G579)=0,"",IF(VLOOKUP(G575,'דוח ביצוע (3)'!$B$21:$K$900,5,0)&gt;149,"גדול",IF(AND(VLOOKUP(G575,'דוח ביצוע (3)'!$B$21:$K$900,5,0)&gt;0,VLOOKUP(G575,'דוח ביצוע (3)'!$B$21:$K$900,5,0)&lt;150),"קטן",0))),"")</f>
        <v/>
      </c>
      <c r="H576" s="723" t="s">
        <v>88</v>
      </c>
      <c r="I576" s="723" t="s">
        <v>13</v>
      </c>
      <c r="J576" s="725" t="s">
        <v>14</v>
      </c>
      <c r="K576" s="724" t="s">
        <v>94</v>
      </c>
      <c r="L576" s="594"/>
      <c r="M576" s="420" t="s">
        <v>2584</v>
      </c>
      <c r="N576" s="397" t="s">
        <v>413</v>
      </c>
      <c r="O576" s="398" t="s">
        <v>52</v>
      </c>
      <c r="P576" s="595"/>
      <c r="Q576" s="595"/>
      <c r="R576" s="596"/>
      <c r="S576" s="610"/>
      <c r="T576" s="881"/>
      <c r="U576" s="598"/>
      <c r="V576" s="599"/>
      <c r="W576" s="599"/>
      <c r="X576" s="599"/>
      <c r="Y576" s="879"/>
      <c r="Z576" s="85"/>
      <c r="AC576" s="493"/>
      <c r="AD576" s="495"/>
      <c r="AO576" s="22"/>
      <c r="AP576" s="22"/>
      <c r="AQ576" s="22"/>
      <c r="AR576" s="22"/>
      <c r="AS576" s="22"/>
      <c r="AT576" s="22"/>
      <c r="AU576" s="35"/>
      <c r="AV576" s="35"/>
      <c r="AW576" s="35"/>
      <c r="AX576" s="35"/>
      <c r="AY576" s="35"/>
      <c r="AZ576" s="35"/>
      <c r="BA576" s="35"/>
      <c r="BB576" s="35"/>
      <c r="BC576" s="35"/>
      <c r="BD576" s="35"/>
      <c r="BE576" s="35"/>
      <c r="BF576" s="35"/>
      <c r="BG576" s="35"/>
      <c r="BH576" s="35"/>
      <c r="BI576" s="35"/>
      <c r="BJ576" s="35"/>
      <c r="BK576" s="35"/>
      <c r="BL576" s="35"/>
      <c r="BM576" s="35"/>
      <c r="BN576" s="35"/>
      <c r="BO576" s="78"/>
    </row>
    <row r="577" spans="1:67" s="20" customFormat="1" ht="15.75" customHeight="1" thickBot="1" x14ac:dyDescent="0.3">
      <c r="A577" s="520">
        <f>IFERROR(VLOOKUP($G$5,'רשימת רשויות'!A:C,3,0),0)</f>
        <v>0</v>
      </c>
      <c r="B577" s="520">
        <f t="shared" si="72"/>
        <v>0</v>
      </c>
      <c r="C577" s="39"/>
      <c r="D577" s="1134"/>
      <c r="E577" s="1137"/>
      <c r="F577" s="584" t="s">
        <v>144</v>
      </c>
      <c r="G577" s="87">
        <f>IF(G580="תקין",IFERROR(VLOOKUP($G575,'דוח ביצוע (3)'!$B$21:$Q$900,12,0),0),0)</f>
        <v>0</v>
      </c>
      <c r="H577" s="88">
        <f>IFERROR(G578*$AH$6+G579*$AH$7,0)</f>
        <v>0</v>
      </c>
      <c r="I577" s="88">
        <f>IFERROR(G578*$AI$6+G579*$AI$7,0)</f>
        <v>0</v>
      </c>
      <c r="J577" s="88">
        <f>IFERROR(G578*$AJ$6+G579*$AJ$7,0)</f>
        <v>0</v>
      </c>
      <c r="K577" s="88">
        <f>IFERROR(G578*$AK$6+G579*$AK$7,0)</f>
        <v>0</v>
      </c>
      <c r="L577" s="405"/>
      <c r="M577" s="399" t="s">
        <v>427</v>
      </c>
      <c r="N577" s="400" t="str">
        <f>IFERROR(VLOOKUP($G575,'דוח ביצוע (3)'!$B:$AE,28,0),"")</f>
        <v/>
      </c>
      <c r="O577" s="89" t="str">
        <f>IFERROR(VLOOKUP($G575,'דוח ביצוע (3)'!B:AE,29,0),"")</f>
        <v/>
      </c>
      <c r="P577" s="595"/>
      <c r="Q577" s="595"/>
      <c r="R577" s="596"/>
      <c r="S577" s="610"/>
      <c r="T577" s="881"/>
      <c r="U577" s="598"/>
      <c r="V577" s="599"/>
      <c r="W577" s="599"/>
      <c r="X577" s="599"/>
      <c r="Y577" s="879"/>
      <c r="Z577" s="85"/>
      <c r="AC577" s="493"/>
      <c r="AD577" s="495"/>
      <c r="AO577" s="22"/>
      <c r="AP577" s="22"/>
      <c r="AQ577" s="22"/>
      <c r="AR577" s="22"/>
      <c r="AS577" s="22"/>
      <c r="AT577" s="22"/>
      <c r="AU577" s="35"/>
      <c r="AV577" s="35"/>
      <c r="AW577" s="35"/>
      <c r="AX577" s="35"/>
      <c r="AY577" s="35"/>
      <c r="AZ577" s="35"/>
      <c r="BA577" s="35"/>
      <c r="BB577" s="35"/>
      <c r="BC577" s="35"/>
      <c r="BD577" s="35"/>
      <c r="BE577" s="35"/>
      <c r="BF577" s="35"/>
      <c r="BG577" s="35"/>
      <c r="BH577" s="35"/>
      <c r="BI577" s="35"/>
      <c r="BJ577" s="35"/>
      <c r="BK577" s="35"/>
      <c r="BL577" s="35"/>
      <c r="BM577" s="35"/>
      <c r="BN577" s="35"/>
      <c r="BO577" s="78"/>
    </row>
    <row r="578" spans="1:67" s="20" customFormat="1" ht="32.25" thickBot="1" x14ac:dyDescent="0.3">
      <c r="A578" s="520">
        <f>IFERROR(VLOOKUP($G$5,'רשימת רשויות'!A:C,3,0),0)</f>
        <v>0</v>
      </c>
      <c r="B578" s="520">
        <f t="shared" si="72"/>
        <v>0</v>
      </c>
      <c r="C578" s="39"/>
      <c r="D578" s="1134"/>
      <c r="E578" s="1137"/>
      <c r="F578" s="585" t="s">
        <v>2195</v>
      </c>
      <c r="G578" s="89">
        <f>IF(G580="תקין",MAX(N580,0),0)</f>
        <v>0</v>
      </c>
      <c r="H578" s="725" t="s">
        <v>151</v>
      </c>
      <c r="I578" s="725" t="s">
        <v>91</v>
      </c>
      <c r="J578" s="970" t="s">
        <v>3396</v>
      </c>
      <c r="K578" s="601"/>
      <c r="L578" s="601"/>
      <c r="M578" s="983" t="s">
        <v>2585</v>
      </c>
      <c r="N578" s="400" t="str">
        <f>IFERROR(G577/15*N577*1.25,"")</f>
        <v/>
      </c>
      <c r="O578" s="89" t="str">
        <f>IFERROR(G577/15*O577*1.25,"")</f>
        <v/>
      </c>
      <c r="P578" s="595"/>
      <c r="Q578" s="595"/>
      <c r="R578" s="596"/>
      <c r="S578" s="610"/>
      <c r="T578" s="881"/>
      <c r="U578" s="598"/>
      <c r="V578" s="599"/>
      <c r="W578" s="599"/>
      <c r="X578" s="599"/>
      <c r="Y578" s="879"/>
      <c r="Z578" s="85"/>
      <c r="AC578" s="493"/>
      <c r="AD578" s="495"/>
      <c r="AG578" s="22"/>
      <c r="AH578" s="55"/>
      <c r="AI578" s="55"/>
      <c r="AJ578" s="55"/>
      <c r="AK578" s="55"/>
      <c r="AO578" s="22"/>
      <c r="AP578" s="22"/>
      <c r="AQ578" s="22"/>
      <c r="AR578" s="22"/>
      <c r="AS578" s="22"/>
      <c r="AT578" s="22"/>
      <c r="AU578" s="35"/>
      <c r="AV578" s="35"/>
      <c r="AW578" s="35"/>
      <c r="AX578" s="35"/>
      <c r="AY578" s="35"/>
      <c r="AZ578" s="35"/>
      <c r="BA578" s="35"/>
      <c r="BB578" s="35"/>
      <c r="BC578" s="35"/>
      <c r="BD578" s="35"/>
      <c r="BE578" s="35"/>
      <c r="BF578" s="35"/>
      <c r="BG578" s="35"/>
      <c r="BH578" s="35"/>
      <c r="BI578" s="35"/>
      <c r="BJ578" s="35"/>
      <c r="BK578" s="35"/>
      <c r="BL578" s="35"/>
      <c r="BM578" s="35"/>
      <c r="BN578" s="35"/>
      <c r="BO578" s="86"/>
    </row>
    <row r="579" spans="1:67" s="20" customFormat="1" ht="16.5" thickBot="1" x14ac:dyDescent="0.3">
      <c r="A579" s="520">
        <f>IFERROR(VLOOKUP($G$5,'רשימת רשויות'!A:C,3,0),0)</f>
        <v>0</v>
      </c>
      <c r="B579" s="520">
        <f t="shared" si="72"/>
        <v>0</v>
      </c>
      <c r="C579" s="39"/>
      <c r="D579" s="1134"/>
      <c r="E579" s="1137"/>
      <c r="F579" s="585" t="s">
        <v>2196</v>
      </c>
      <c r="G579" s="89">
        <f>IF(G580="תקין",MAX(O580,0),0)</f>
        <v>0</v>
      </c>
      <c r="H579" s="88">
        <f>(IFERROR(IF((G578+G579)=0,0,IF(G576="קטן",G577*$AH$10,G577*$AH$11)),0))+(IFERROR(IF((G578+G579)=0,0,VLOOKUP(G575,'דוח ביצוע (3)'!$B:$AH,33,0)),0))</f>
        <v>0</v>
      </c>
      <c r="I579" s="88">
        <f>IFERROR(IF((G578+G579)=0,0,IF(G576="קטן",G577*$AI$10,G577*$AI$11)),0)</f>
        <v>0</v>
      </c>
      <c r="J579" s="88">
        <f>IFERROR(IF((G578+G579)=0,0,VLOOKUP(G575,'דוח ביצוע (3)'!$B:$AH,32,0)),0)</f>
        <v>0</v>
      </c>
      <c r="K579" s="90"/>
      <c r="L579" s="90"/>
      <c r="M579" s="399" t="s">
        <v>412</v>
      </c>
      <c r="N579" s="400">
        <f>IFERROR(VLOOKUP($G575,'דוח ביצוע (3)'!$B$21:$U$500,18,0),0)</f>
        <v>0</v>
      </c>
      <c r="O579" s="401">
        <f>IFERROR(VLOOKUP($G575,'דוח ביצוע (3)'!$B$21:$U$500,19,0),0)</f>
        <v>0</v>
      </c>
      <c r="P579" s="595"/>
      <c r="Q579" s="595"/>
      <c r="R579" s="596"/>
      <c r="S579" s="610"/>
      <c r="T579" s="881"/>
      <c r="U579" s="598"/>
      <c r="V579" s="599"/>
      <c r="W579" s="599"/>
      <c r="X579" s="599"/>
      <c r="Y579" s="879"/>
      <c r="Z579" s="85"/>
      <c r="AC579" s="493"/>
      <c r="AD579" s="495"/>
      <c r="AG579" s="22"/>
      <c r="AH579" s="55"/>
      <c r="AI579" s="55"/>
      <c r="AJ579" s="55"/>
      <c r="AK579" s="55"/>
      <c r="AO579" s="22"/>
      <c r="AP579" s="22"/>
      <c r="AQ579" s="22"/>
      <c r="AR579" s="22"/>
      <c r="AS579" s="22"/>
      <c r="AT579" s="22"/>
      <c r="AU579" s="35"/>
      <c r="AV579" s="35"/>
      <c r="AW579" s="35"/>
      <c r="AX579" s="35"/>
      <c r="AY579" s="35"/>
      <c r="AZ579" s="35"/>
      <c r="BA579" s="35"/>
      <c r="BB579" s="35"/>
      <c r="BC579" s="35"/>
      <c r="BD579" s="35"/>
      <c r="BE579" s="35"/>
      <c r="BF579" s="35"/>
      <c r="BG579" s="35"/>
      <c r="BH579" s="35"/>
      <c r="BI579" s="35"/>
      <c r="BJ579" s="35"/>
      <c r="BK579" s="35"/>
      <c r="BL579" s="35"/>
      <c r="BM579" s="35"/>
      <c r="BN579" s="35"/>
      <c r="BO579" s="86"/>
    </row>
    <row r="580" spans="1:67" s="20" customFormat="1" ht="16.5" thickBot="1" x14ac:dyDescent="0.3">
      <c r="A580" s="520">
        <f>IFERROR(VLOOKUP($G$5,'רשימת רשויות'!A:C,3,0),0)</f>
        <v>0</v>
      </c>
      <c r="B580" s="520">
        <f t="shared" si="72"/>
        <v>0</v>
      </c>
      <c r="C580" s="39"/>
      <c r="D580" s="1134"/>
      <c r="E580" s="1137"/>
      <c r="F580" s="586" t="s">
        <v>2355</v>
      </c>
      <c r="G580" s="514">
        <f>IFERROR(IF(VLOOKUP('בית ספר - תקצוב לפי מוסד (9)'!G575,' איוש משרות (8)'!$C:$K,9,0)="תקין","תקין","לא תקין"),0)</f>
        <v>0</v>
      </c>
      <c r="H580" s="91"/>
      <c r="I580" s="91"/>
      <c r="J580" s="91"/>
      <c r="K580" s="90"/>
      <c r="L580" s="90"/>
      <c r="M580" s="402" t="s">
        <v>2586</v>
      </c>
      <c r="N580" s="403">
        <f>IFERROR(MIN(N578,N579),0)</f>
        <v>0</v>
      </c>
      <c r="O580" s="404">
        <f>IFERROR(MIN(O578,O579),0)</f>
        <v>0</v>
      </c>
      <c r="P580" s="595"/>
      <c r="Q580" s="595"/>
      <c r="R580" s="596"/>
      <c r="S580" s="610"/>
      <c r="T580" s="881"/>
      <c r="U580" s="598"/>
      <c r="V580" s="599"/>
      <c r="W580" s="599"/>
      <c r="X580" s="599"/>
      <c r="Y580" s="879"/>
      <c r="Z580" s="85"/>
      <c r="AC580" s="493"/>
      <c r="AD580" s="495"/>
      <c r="AG580" s="94"/>
      <c r="AH580" s="40"/>
      <c r="AI580" s="40"/>
      <c r="AJ580" s="40"/>
      <c r="AK580" s="40"/>
      <c r="AO580" s="22"/>
      <c r="AP580" s="22"/>
      <c r="AQ580" s="22"/>
      <c r="AR580" s="22"/>
      <c r="AS580" s="22"/>
      <c r="AT580" s="22"/>
      <c r="AU580" s="35"/>
      <c r="AV580" s="35"/>
      <c r="AW580" s="35"/>
      <c r="AX580" s="35"/>
      <c r="AY580" s="35"/>
      <c r="AZ580" s="35"/>
      <c r="BA580" s="35"/>
      <c r="BB580" s="35"/>
      <c r="BC580" s="35"/>
      <c r="BD580" s="35"/>
      <c r="BE580" s="35"/>
      <c r="BF580" s="35"/>
      <c r="BG580" s="35"/>
      <c r="BH580" s="35"/>
      <c r="BI580" s="35"/>
      <c r="BJ580" s="35"/>
      <c r="BK580" s="35"/>
      <c r="BL580" s="35"/>
      <c r="BM580" s="35"/>
      <c r="BN580" s="35"/>
      <c r="BO580" s="86"/>
    </row>
    <row r="581" spans="1:67" s="55" customFormat="1" ht="37.15" customHeight="1" thickBot="1" x14ac:dyDescent="0.3">
      <c r="A581" s="520">
        <f>IFERROR(VLOOKUP($G$5,'רשימת רשויות'!A:C,3,0),0)</f>
        <v>0</v>
      </c>
      <c r="B581" s="520">
        <f t="shared" si="72"/>
        <v>0</v>
      </c>
      <c r="C581" s="39"/>
      <c r="D581" s="1134"/>
      <c r="E581" s="1137"/>
      <c r="F581" s="587" t="s">
        <v>142</v>
      </c>
      <c r="G581" s="92"/>
      <c r="H581" s="92"/>
      <c r="I581" s="92"/>
      <c r="J581" s="92"/>
      <c r="K581" s="602"/>
      <c r="L581" s="602"/>
      <c r="M581" s="602"/>
      <c r="N581" s="602"/>
      <c r="O581" s="602"/>
      <c r="P581" s="595"/>
      <c r="Q581" s="595"/>
      <c r="R581" s="596"/>
      <c r="S581" s="610"/>
      <c r="T581" s="881"/>
      <c r="U581" s="598"/>
      <c r="V581" s="599"/>
      <c r="W581" s="599"/>
      <c r="X581" s="599"/>
      <c r="Y581" s="879"/>
      <c r="Z581" s="93"/>
      <c r="AC581" s="493"/>
      <c r="AD581" s="495"/>
      <c r="AF581" s="22"/>
      <c r="AG581" s="98"/>
      <c r="AH581" s="98"/>
      <c r="AI581" s="40"/>
      <c r="AJ581" s="40"/>
      <c r="AK581" s="40"/>
      <c r="AO581" s="22"/>
      <c r="AP581" s="22"/>
      <c r="AQ581" s="22"/>
      <c r="AR581" s="22"/>
      <c r="AS581" s="22"/>
      <c r="AT581" s="22"/>
      <c r="AU581" s="35"/>
      <c r="AV581" s="35"/>
      <c r="AW581" s="35"/>
      <c r="AX581" s="35"/>
      <c r="AY581" s="35"/>
      <c r="AZ581" s="35"/>
      <c r="BA581" s="35"/>
      <c r="BB581" s="35"/>
      <c r="BC581" s="35"/>
      <c r="BD581" s="35"/>
      <c r="BE581" s="35"/>
      <c r="BF581" s="35"/>
      <c r="BG581" s="35"/>
      <c r="BH581" s="35"/>
      <c r="BI581" s="35"/>
      <c r="BJ581" s="35"/>
      <c r="BK581" s="35"/>
      <c r="BL581" s="35"/>
      <c r="BM581" s="35"/>
      <c r="BN581" s="35"/>
      <c r="BO581" s="86"/>
    </row>
    <row r="582" spans="1:67" s="40" customFormat="1" ht="31.5" x14ac:dyDescent="0.25">
      <c r="A582" s="520">
        <f>IFERROR(VLOOKUP($G$5,'רשימת רשויות'!A:C,3,0),0)</f>
        <v>0</v>
      </c>
      <c r="B582" s="520">
        <f t="shared" si="72"/>
        <v>0</v>
      </c>
      <c r="C582" s="39"/>
      <c r="D582" s="1134"/>
      <c r="E582" s="1137"/>
      <c r="F582" s="588" t="s">
        <v>94</v>
      </c>
      <c r="G582" s="95" t="s">
        <v>18</v>
      </c>
      <c r="H582" s="95" t="s">
        <v>19</v>
      </c>
      <c r="I582" s="95" t="s">
        <v>138</v>
      </c>
      <c r="J582" s="96" t="s">
        <v>139</v>
      </c>
      <c r="K582" s="603"/>
      <c r="L582" s="603"/>
      <c r="M582" s="603"/>
      <c r="N582" s="603"/>
      <c r="O582" s="603"/>
      <c r="P582" s="604"/>
      <c r="Q582" s="604"/>
      <c r="R582" s="596"/>
      <c r="S582" s="610"/>
      <c r="T582" s="881"/>
      <c r="U582" s="598"/>
      <c r="V582" s="599"/>
      <c r="W582" s="599"/>
      <c r="X582" s="599"/>
      <c r="Y582" s="879"/>
      <c r="Z582" s="97"/>
      <c r="AA582" s="94"/>
      <c r="AB582" s="94"/>
      <c r="AC582" s="493"/>
      <c r="AD582" s="495"/>
      <c r="AE582" s="94"/>
      <c r="AG582" s="98"/>
      <c r="AH582" s="98"/>
      <c r="AO582" s="22"/>
      <c r="AP582" s="22"/>
      <c r="AQ582" s="22"/>
      <c r="AR582" s="22"/>
      <c r="AS582" s="22"/>
      <c r="AT582" s="22"/>
      <c r="AU582" s="35"/>
      <c r="AV582" s="35"/>
      <c r="AW582" s="35"/>
      <c r="AX582" s="35"/>
      <c r="AY582" s="35"/>
      <c r="AZ582" s="35"/>
      <c r="BA582" s="35"/>
      <c r="BB582" s="35"/>
      <c r="BC582" s="35"/>
      <c r="BD582" s="35"/>
      <c r="BE582" s="35"/>
      <c r="BF582" s="35"/>
      <c r="BG582" s="35"/>
      <c r="BH582" s="35"/>
      <c r="BI582" s="35"/>
      <c r="BJ582" s="35"/>
      <c r="BK582" s="35"/>
      <c r="BL582" s="35"/>
      <c r="BM582" s="35"/>
      <c r="BN582" s="35"/>
      <c r="BO582" s="86"/>
    </row>
    <row r="583" spans="1:67" s="40" customFormat="1" ht="15.75" customHeight="1" thickBot="1" x14ac:dyDescent="0.3">
      <c r="A583" s="520">
        <f>IFERROR(VLOOKUP($G$5,'רשימת רשויות'!A:C,3,0),0)</f>
        <v>0</v>
      </c>
      <c r="B583" s="520">
        <f t="shared" si="72"/>
        <v>0</v>
      </c>
      <c r="C583" s="39"/>
      <c r="D583" s="1134"/>
      <c r="E583" s="1137"/>
      <c r="F583" s="589" t="s">
        <v>2280</v>
      </c>
      <c r="G583" s="99">
        <f>+G594</f>
        <v>0</v>
      </c>
      <c r="H583" s="100">
        <f>K577</f>
        <v>0</v>
      </c>
      <c r="I583" s="100">
        <f>H583-I585</f>
        <v>0</v>
      </c>
      <c r="J583" s="101">
        <f>IFERROR(I583/H583,0)</f>
        <v>0</v>
      </c>
      <c r="K583" s="603"/>
      <c r="L583" s="603"/>
      <c r="M583" s="603"/>
      <c r="N583" s="603"/>
      <c r="O583" s="603"/>
      <c r="P583" s="605"/>
      <c r="Q583" s="604"/>
      <c r="R583" s="606" t="s">
        <v>157</v>
      </c>
      <c r="S583" s="611"/>
      <c r="T583" s="881"/>
      <c r="U583" s="598"/>
      <c r="V583" s="599"/>
      <c r="W583" s="599"/>
      <c r="X583" s="599"/>
      <c r="Y583" s="879"/>
      <c r="Z583" s="102"/>
      <c r="AA583" s="122"/>
      <c r="AB583" s="122"/>
      <c r="AC583" s="493"/>
      <c r="AD583" s="495"/>
      <c r="AE583" s="122"/>
      <c r="AF583" s="22"/>
      <c r="AG583" s="98"/>
      <c r="AH583" s="98"/>
      <c r="AI583" s="20"/>
      <c r="AO583" s="22"/>
      <c r="AP583" s="22"/>
      <c r="AQ583" s="22"/>
      <c r="AR583" s="22"/>
      <c r="AS583" s="22"/>
      <c r="AT583" s="22"/>
      <c r="AU583" s="35"/>
      <c r="AV583" s="35"/>
      <c r="AW583" s="35"/>
      <c r="AX583" s="35"/>
      <c r="AY583" s="35"/>
      <c r="AZ583" s="35"/>
      <c r="BA583" s="35"/>
      <c r="BB583" s="35"/>
      <c r="BC583" s="35"/>
      <c r="BD583" s="35"/>
      <c r="BE583" s="35"/>
      <c r="BF583" s="35"/>
      <c r="BG583" s="35"/>
      <c r="BH583" s="35"/>
      <c r="BI583" s="35"/>
      <c r="BJ583" s="35"/>
      <c r="BK583" s="35"/>
      <c r="BL583" s="35"/>
      <c r="BM583" s="35"/>
      <c r="BN583" s="35"/>
      <c r="BO583" s="86"/>
    </row>
    <row r="584" spans="1:67" s="40" customFormat="1" ht="15.75" customHeight="1" thickBot="1" x14ac:dyDescent="0.3">
      <c r="A584" s="520">
        <f>IFERROR(VLOOKUP($G$5,'רשימת רשויות'!A:C,3,0),0)</f>
        <v>0</v>
      </c>
      <c r="B584" s="520">
        <f t="shared" si="72"/>
        <v>0</v>
      </c>
      <c r="C584" s="39"/>
      <c r="D584" s="1134"/>
      <c r="E584" s="1137"/>
      <c r="F584" s="589" t="s">
        <v>2281</v>
      </c>
      <c r="G584" s="99">
        <f>+G593</f>
        <v>0</v>
      </c>
      <c r="H584" s="103"/>
      <c r="I584" s="104"/>
      <c r="J584" s="105"/>
      <c r="K584" s="603"/>
      <c r="L584" s="603"/>
      <c r="M584" s="603"/>
      <c r="N584" s="603"/>
      <c r="O584" s="603"/>
      <c r="P584" s="605"/>
      <c r="Q584" s="604"/>
      <c r="R584" s="473">
        <f>I585-R586</f>
        <v>0</v>
      </c>
      <c r="S584" s="611"/>
      <c r="T584" s="881"/>
      <c r="U584" s="598"/>
      <c r="V584" s="599"/>
      <c r="W584" s="599"/>
      <c r="X584" s="599"/>
      <c r="Y584" s="879"/>
      <c r="Z584" s="106"/>
      <c r="AA584" s="22"/>
      <c r="AB584" s="22"/>
      <c r="AC584" s="493"/>
      <c r="AD584" s="495"/>
      <c r="AE584" s="22"/>
      <c r="AF584" s="22"/>
      <c r="AG584" s="98"/>
      <c r="AH584" s="98"/>
      <c r="AI584" s="20"/>
      <c r="AO584" s="22"/>
      <c r="AP584" s="22"/>
      <c r="AQ584" s="22"/>
      <c r="AR584" s="22"/>
      <c r="AS584" s="22"/>
      <c r="AT584" s="22"/>
      <c r="AU584" s="35"/>
      <c r="AV584" s="35"/>
      <c r="AW584" s="35"/>
      <c r="AX584" s="35"/>
      <c r="AY584" s="35"/>
      <c r="AZ584" s="35"/>
      <c r="BA584" s="35"/>
      <c r="BB584" s="35"/>
      <c r="BC584" s="35"/>
      <c r="BD584" s="35"/>
      <c r="BE584" s="35"/>
      <c r="BF584" s="35"/>
      <c r="BG584" s="35"/>
      <c r="BH584" s="35"/>
      <c r="BI584" s="35"/>
      <c r="BJ584" s="35"/>
      <c r="BK584" s="35"/>
      <c r="BL584" s="35"/>
      <c r="BM584" s="35"/>
      <c r="BN584" s="35"/>
      <c r="BO584" s="86"/>
    </row>
    <row r="585" spans="1:67" s="40" customFormat="1" ht="16.5" customHeight="1" thickBot="1" x14ac:dyDescent="0.3">
      <c r="A585" s="520">
        <f>IFERROR(VLOOKUP($G$5,'רשימת רשויות'!A:C,3,0),0)</f>
        <v>0</v>
      </c>
      <c r="B585" s="520">
        <f t="shared" si="72"/>
        <v>0</v>
      </c>
      <c r="C585" s="39"/>
      <c r="D585" s="1134"/>
      <c r="E585" s="1137"/>
      <c r="F585" s="589" t="s">
        <v>2282</v>
      </c>
      <c r="G585" s="99">
        <f>G589+G590+G591</f>
        <v>0</v>
      </c>
      <c r="H585" s="104"/>
      <c r="I585" s="107">
        <f>MAX(H583-G583-G584,0)</f>
        <v>0</v>
      </c>
      <c r="J585" s="108">
        <f>IFERROR(I585/H583,0)</f>
        <v>0</v>
      </c>
      <c r="K585" s="603"/>
      <c r="L585" s="603"/>
      <c r="M585" s="603"/>
      <c r="N585" s="603"/>
      <c r="O585" s="603"/>
      <c r="P585" s="604"/>
      <c r="Q585" s="604"/>
      <c r="R585" s="606" t="s">
        <v>158</v>
      </c>
      <c r="S585" s="612"/>
      <c r="T585" s="881"/>
      <c r="U585" s="598"/>
      <c r="V585" s="599"/>
      <c r="W585" s="599"/>
      <c r="X585" s="599"/>
      <c r="Y585" s="879"/>
      <c r="Z585" s="106"/>
      <c r="AA585" s="22"/>
      <c r="AB585" s="22"/>
      <c r="AC585" s="493"/>
      <c r="AD585" s="495"/>
      <c r="AE585" s="22"/>
      <c r="AF585" s="22"/>
      <c r="AG585" s="22"/>
      <c r="AH585" s="22"/>
      <c r="AI585" s="55"/>
      <c r="AJ585" s="22"/>
      <c r="AK585" s="22"/>
      <c r="AO585" s="22"/>
      <c r="AP585" s="22"/>
      <c r="AQ585" s="22"/>
      <c r="AR585" s="22"/>
      <c r="AS585" s="22"/>
      <c r="AT585" s="22"/>
      <c r="AU585" s="35"/>
      <c r="AV585" s="35"/>
      <c r="AW585" s="35"/>
      <c r="AX585" s="35"/>
      <c r="AY585" s="35"/>
      <c r="AZ585" s="35"/>
      <c r="BA585" s="35"/>
      <c r="BB585" s="35"/>
      <c r="BC585" s="35"/>
      <c r="BD585" s="35"/>
      <c r="BE585" s="35"/>
      <c r="BF585" s="35"/>
      <c r="BG585" s="35"/>
      <c r="BH585" s="35"/>
      <c r="BI585" s="35"/>
      <c r="BJ585" s="35"/>
      <c r="BK585" s="35"/>
      <c r="BL585" s="35"/>
      <c r="BM585" s="35"/>
      <c r="BN585" s="35"/>
      <c r="BO585" s="86"/>
    </row>
    <row r="586" spans="1:67" s="40" customFormat="1" ht="15.75" customHeight="1" thickBot="1" x14ac:dyDescent="0.3">
      <c r="A586" s="520">
        <f>IFERROR(VLOOKUP($G$5,'רשימת רשויות'!A:C,3,0),0)</f>
        <v>0</v>
      </c>
      <c r="B586" s="520">
        <f t="shared" si="72"/>
        <v>0</v>
      </c>
      <c r="C586" s="39"/>
      <c r="D586" s="1134"/>
      <c r="E586" s="1137"/>
      <c r="F586" s="590" t="s">
        <v>2290</v>
      </c>
      <c r="G586" s="109"/>
      <c r="H586" s="110"/>
      <c r="I586" s="111">
        <f>SUM(I583:I585)</f>
        <v>0</v>
      </c>
      <c r="J586" s="112">
        <f>SUM(J583:J585)</f>
        <v>0</v>
      </c>
      <c r="K586" s="603"/>
      <c r="L586" s="603"/>
      <c r="M586" s="603"/>
      <c r="N586" s="603"/>
      <c r="O586" s="603"/>
      <c r="P586" s="604"/>
      <c r="Q586" s="604"/>
      <c r="R586" s="473">
        <f>MIN(MAX(G590+G591-I579-J579,0),I585)</f>
        <v>0</v>
      </c>
      <c r="S586" s="612"/>
      <c r="T586" s="881"/>
      <c r="U586" s="598"/>
      <c r="V586" s="599"/>
      <c r="W586" s="599"/>
      <c r="X586" s="599"/>
      <c r="Y586" s="879"/>
      <c r="Z586" s="106"/>
      <c r="AA586" s="22"/>
      <c r="AB586" s="22"/>
      <c r="AC586" s="493"/>
      <c r="AD586" s="495"/>
      <c r="AE586" s="22"/>
      <c r="AF586" s="22"/>
      <c r="AG586" s="22"/>
      <c r="AH586" s="22"/>
      <c r="AJ586" s="22"/>
      <c r="AK586" s="22"/>
      <c r="AO586" s="22"/>
      <c r="AP586" s="22"/>
      <c r="AQ586" s="22"/>
      <c r="AR586" s="22"/>
      <c r="AS586" s="22"/>
      <c r="AT586" s="22"/>
      <c r="AU586" s="35"/>
      <c r="AV586" s="35"/>
      <c r="AW586" s="35"/>
      <c r="AX586" s="35"/>
      <c r="AY586" s="35"/>
      <c r="AZ586" s="35"/>
      <c r="BA586" s="35"/>
      <c r="BB586" s="35"/>
      <c r="BC586" s="35"/>
      <c r="BD586" s="35"/>
      <c r="BE586" s="35"/>
      <c r="BF586" s="35"/>
      <c r="BG586" s="35"/>
      <c r="BH586" s="35"/>
      <c r="BI586" s="35"/>
      <c r="BJ586" s="35"/>
      <c r="BK586" s="35"/>
      <c r="BL586" s="35"/>
      <c r="BM586" s="35"/>
      <c r="BN586" s="35"/>
      <c r="BO586" s="86"/>
    </row>
    <row r="587" spans="1:67" ht="16.5" thickBot="1" x14ac:dyDescent="0.3">
      <c r="A587" s="520">
        <f>IFERROR(VLOOKUP($G$5,'רשימת רשויות'!A:C,3,0),0)</f>
        <v>0</v>
      </c>
      <c r="B587" s="520">
        <f t="shared" si="72"/>
        <v>0</v>
      </c>
      <c r="D587" s="1134"/>
      <c r="E587" s="1137"/>
      <c r="F587" s="587" t="s">
        <v>17</v>
      </c>
      <c r="G587" s="113"/>
      <c r="H587" s="92"/>
      <c r="I587" s="114"/>
      <c r="J587" s="115"/>
      <c r="K587" s="116"/>
      <c r="L587" s="406"/>
      <c r="M587" s="116"/>
      <c r="N587" s="116"/>
      <c r="O587" s="116"/>
      <c r="P587" s="474"/>
      <c r="Q587" s="607"/>
      <c r="R587" s="608"/>
      <c r="S587" s="612"/>
      <c r="T587" s="881"/>
      <c r="U587" s="598"/>
      <c r="V587" s="599"/>
      <c r="W587" s="599"/>
      <c r="X587" s="599"/>
      <c r="Y587" s="879"/>
      <c r="Z587" s="106"/>
      <c r="AI587" s="40"/>
      <c r="BO587" s="86"/>
    </row>
    <row r="588" spans="1:67" ht="47.25" x14ac:dyDescent="0.25">
      <c r="A588" s="520">
        <f>IFERROR(VLOOKUP($G$5,'רשימת רשויות'!A:C,3,0),0)</f>
        <v>0</v>
      </c>
      <c r="B588" s="520">
        <f t="shared" si="72"/>
        <v>0</v>
      </c>
      <c r="D588" s="1134"/>
      <c r="E588" s="1137"/>
      <c r="F588" s="588" t="s">
        <v>2</v>
      </c>
      <c r="G588" s="95" t="s">
        <v>18</v>
      </c>
      <c r="H588" s="95" t="s">
        <v>19</v>
      </c>
      <c r="I588" s="95" t="s">
        <v>20</v>
      </c>
      <c r="J588" s="95" t="s">
        <v>22</v>
      </c>
      <c r="K588" s="96" t="s">
        <v>2314</v>
      </c>
      <c r="L588" s="609"/>
      <c r="M588" s="609"/>
      <c r="N588" s="609"/>
      <c r="O588" s="580"/>
      <c r="P588" s="618" t="s">
        <v>2298</v>
      </c>
      <c r="Q588" s="618" t="s">
        <v>2299</v>
      </c>
      <c r="R588" s="596"/>
      <c r="S588" s="890" t="s">
        <v>2519</v>
      </c>
      <c r="T588" s="890" t="s">
        <v>97</v>
      </c>
      <c r="U588" s="891" t="s">
        <v>2521</v>
      </c>
      <c r="V588" s="892" t="s">
        <v>2520</v>
      </c>
      <c r="W588" s="893" t="s">
        <v>2524</v>
      </c>
      <c r="X588" s="892" t="s">
        <v>2522</v>
      </c>
      <c r="Y588" s="894" t="s">
        <v>2523</v>
      </c>
      <c r="Z588" s="106"/>
      <c r="AC588" s="498" t="s">
        <v>2568</v>
      </c>
      <c r="AD588" s="499" t="s">
        <v>2569</v>
      </c>
      <c r="AF588" s="122"/>
      <c r="AI588" s="40"/>
      <c r="BO588" s="86"/>
    </row>
    <row r="589" spans="1:67" ht="15" customHeight="1" thickBot="1" x14ac:dyDescent="0.3">
      <c r="A589" s="520">
        <f>IFERROR(VLOOKUP($G$5,'רשימת רשויות'!A:C,3,0),0)</f>
        <v>0</v>
      </c>
      <c r="B589" s="520">
        <f t="shared" si="72"/>
        <v>0</v>
      </c>
      <c r="D589" s="1134"/>
      <c r="E589" s="1137"/>
      <c r="F589" s="589" t="s">
        <v>76</v>
      </c>
      <c r="G589" s="117">
        <f>IF(G580="תקין",SUMIF('עלויות כח אדם (6)'!$B$15:$B$3014,'בית ספר - תקצוב לפי מוסד (9)'!$G575,'עלויות כח אדם (6)'!$M$15:$M$3014)-VLOOKUP('בית ספר - תקצוב לפי מוסד (9)'!G575,' איוש משרות (8)'!$C:$H,5,0)-VLOOKUP('בית ספר - תקצוב לפי מוסד (9)'!G575,' איוש משרות (8)'!$C:$H,6,0),0)-Y589</f>
        <v>0</v>
      </c>
      <c r="H589" s="118">
        <f>I577+R584</f>
        <v>0</v>
      </c>
      <c r="I589" s="119">
        <f>IFERROR(SUM(G589)/H589,0)</f>
        <v>0</v>
      </c>
      <c r="J589" s="100">
        <f>MIN(I577+R584,IF(ISNUMBER(G589),G589,0))</f>
        <v>0</v>
      </c>
      <c r="K589" s="120">
        <f>MAX(H589-G589,0)</f>
        <v>0</v>
      </c>
      <c r="L589" s="407"/>
      <c r="M589" s="393"/>
      <c r="N589" s="393"/>
      <c r="O589" s="580"/>
      <c r="P589" s="968">
        <f>IFERROR(IF(SUM(G589)/(I577)&lt;100%,MIN((I577)-SUM(G589),(I577)*0.25),0),0)</f>
        <v>0</v>
      </c>
      <c r="Q589" s="968">
        <f>IF(SUM(G589)-(I577+R584)&gt;0,SUM(G589)-(I577+R584),0)</f>
        <v>0</v>
      </c>
      <c r="R589" s="596" t="s">
        <v>2351</v>
      </c>
      <c r="S589" s="576" t="s">
        <v>2342</v>
      </c>
      <c r="T589" s="599">
        <f>G575</f>
        <v>0</v>
      </c>
      <c r="U589" s="578"/>
      <c r="V589" s="579">
        <f>G589+G590+G591</f>
        <v>0</v>
      </c>
      <c r="W589" s="579">
        <f>U589-V589</f>
        <v>0</v>
      </c>
      <c r="X589" s="579">
        <f>IFERROR(W603*W589/(SUM(W589:W602)),0)</f>
        <v>0</v>
      </c>
      <c r="Y589" s="879">
        <f>SUMIFS(בקרה!$S:$S,בקרה!$D:$D,T589,בקרה!$K:$K,S589)</f>
        <v>0</v>
      </c>
      <c r="Z589" s="121"/>
      <c r="AA589" s="143"/>
      <c r="AB589" s="143"/>
      <c r="AC589" s="504">
        <v>0</v>
      </c>
      <c r="AD589" s="505">
        <f>IFERROR(U589-AC589,0)</f>
        <v>0</v>
      </c>
      <c r="AE589" s="143"/>
      <c r="AI589" s="20"/>
      <c r="BO589" s="86"/>
    </row>
    <row r="590" spans="1:67" ht="15" customHeight="1" thickBot="1" x14ac:dyDescent="0.3">
      <c r="A590" s="520">
        <f>IFERROR(VLOOKUP($G$5,'רשימת רשויות'!A:C,3,0),0)</f>
        <v>0</v>
      </c>
      <c r="B590" s="520">
        <f t="shared" ref="B590:B653" si="81">IF(F591="סמל המוסד",G591,B589)</f>
        <v>0</v>
      </c>
      <c r="D590" s="1134"/>
      <c r="E590" s="1137"/>
      <c r="F590" s="589" t="s">
        <v>44</v>
      </c>
      <c r="G590" s="123">
        <f>IF(G580="תקין",IFERROR(VLOOKUP('בית ספר - תקצוב לפי מוסד (9)'!G575,' איוש משרות (8)'!C:J,7,0),0),0)</f>
        <v>0</v>
      </c>
      <c r="H590" s="124">
        <f>I579+R586+J579</f>
        <v>0</v>
      </c>
      <c r="I590" s="119">
        <f>IFERROR(SUM(G590:G591)/H590,0)</f>
        <v>0</v>
      </c>
      <c r="J590" s="100">
        <f>MIN(R586+I579,IF(ISNUMBER(SUM(G590:G591)),SUM(G590:G591),0))</f>
        <v>0</v>
      </c>
      <c r="K590" s="1139">
        <f>MAX((H590)-(G590+G591),0)</f>
        <v>0</v>
      </c>
      <c r="L590" s="407"/>
      <c r="M590" s="393"/>
      <c r="N590" s="393"/>
      <c r="O590" s="580"/>
      <c r="P590" s="1140"/>
      <c r="Q590" s="1140"/>
      <c r="R590" s="617">
        <f>MAX(MIN(P598-Q598,H598*0.15-G596),0)</f>
        <v>0</v>
      </c>
      <c r="S590" s="576"/>
      <c r="T590" s="599">
        <f>G575</f>
        <v>0</v>
      </c>
      <c r="U590" s="578"/>
      <c r="V590" s="579"/>
      <c r="W590" s="579">
        <f t="shared" ref="W590:W602" si="82">U590-V590</f>
        <v>0</v>
      </c>
      <c r="X590" s="579"/>
      <c r="Y590" s="879"/>
      <c r="Z590" s="121"/>
      <c r="AA590" s="143"/>
      <c r="AB590" s="143"/>
      <c r="AC590" s="504"/>
      <c r="AD590" s="505">
        <f t="shared" ref="AD590:AD596" si="83">IFERROR(U590-AC590,0)</f>
        <v>0</v>
      </c>
      <c r="AE590" s="143"/>
      <c r="AI590" s="20"/>
      <c r="BO590" s="86"/>
    </row>
    <row r="591" spans="1:67" ht="15.75" customHeight="1" x14ac:dyDescent="0.25">
      <c r="A591" s="520">
        <f>IFERROR(VLOOKUP($G$5,'רשימת רשויות'!A:C,3,0),0)</f>
        <v>0</v>
      </c>
      <c r="B591" s="520">
        <f t="shared" si="81"/>
        <v>0</v>
      </c>
      <c r="D591" s="1134"/>
      <c r="E591" s="1137"/>
      <c r="F591" s="589" t="s">
        <v>45</v>
      </c>
      <c r="G591" s="123">
        <f>IF(G580="תקין",IFERROR(VLOOKUP('בית ספר - תקצוב לפי מוסד (9)'!G575,' איוש משרות (8)'!C:J,8,0),0),0)</f>
        <v>0</v>
      </c>
      <c r="H591" s="125"/>
      <c r="I591" s="126"/>
      <c r="J591" s="104"/>
      <c r="K591" s="1139"/>
      <c r="L591" s="407"/>
      <c r="M591" s="393"/>
      <c r="N591" s="393"/>
      <c r="O591" s="580"/>
      <c r="P591" s="1140"/>
      <c r="Q591" s="1140"/>
      <c r="R591" s="596"/>
      <c r="S591" s="576"/>
      <c r="T591" s="599">
        <f>G575</f>
        <v>0</v>
      </c>
      <c r="U591" s="578"/>
      <c r="V591" s="579"/>
      <c r="W591" s="579">
        <f t="shared" si="82"/>
        <v>0</v>
      </c>
      <c r="X591" s="579"/>
      <c r="Y591" s="879"/>
      <c r="Z591" s="121"/>
      <c r="AA591" s="143"/>
      <c r="AB591" s="143"/>
      <c r="AC591" s="504"/>
      <c r="AD591" s="505">
        <f t="shared" si="83"/>
        <v>0</v>
      </c>
      <c r="AE591" s="143"/>
      <c r="AG591" s="55"/>
      <c r="AH591" s="55"/>
      <c r="AI591" s="55"/>
      <c r="AJ591" s="55"/>
      <c r="AK591" s="55"/>
      <c r="BO591" s="86"/>
    </row>
    <row r="592" spans="1:67" ht="15.75" customHeight="1" x14ac:dyDescent="0.25">
      <c r="A592" s="520">
        <f>IFERROR(VLOOKUP($G$5,'רשימת רשויות'!A:C,3,0),0)</f>
        <v>0</v>
      </c>
      <c r="B592" s="520">
        <f t="shared" si="81"/>
        <v>0</v>
      </c>
      <c r="D592" s="1134"/>
      <c r="E592" s="1137"/>
      <c r="F592" s="589" t="s">
        <v>0</v>
      </c>
      <c r="G592" s="117">
        <f>IF(G580="תקין",SUMIFS('דוח הוצאות בפועל (4)'!$E$17:$E$3016,'דוח הוצאות בפועל (4)'!$B$17:$B$3016,'בית ספר - תקצוב לפי מוסד (9)'!$G575,'דוח הוצאות בפועל (4)'!$M$17:$M$3016,"הע"),0)-Y592</f>
        <v>0</v>
      </c>
      <c r="H592" s="127">
        <f>J577</f>
        <v>0</v>
      </c>
      <c r="I592" s="128">
        <f>IFERROR(G592/H592,0)</f>
        <v>0</v>
      </c>
      <c r="J592" s="129">
        <f>MIN(IF(ISNUMBER(G592),G592,0),H592)</f>
        <v>0</v>
      </c>
      <c r="K592" s="120">
        <f>MAX(H592-G592,0)</f>
        <v>0</v>
      </c>
      <c r="L592" s="407"/>
      <c r="M592" s="393"/>
      <c r="N592" s="393"/>
      <c r="O592" s="580"/>
      <c r="P592" s="968">
        <f>MAX(IF(I592&lt;100%,MIN((H592-G592),H592*0.25),0),0)</f>
        <v>0</v>
      </c>
      <c r="Q592" s="619">
        <f>IF(G592-H592&gt;0,G592-H592,0)</f>
        <v>0</v>
      </c>
      <c r="R592" s="596"/>
      <c r="S592" s="610" t="s">
        <v>0</v>
      </c>
      <c r="T592" s="599">
        <f>G575</f>
        <v>0</v>
      </c>
      <c r="U592" s="578"/>
      <c r="V592" s="579">
        <f>G592</f>
        <v>0</v>
      </c>
      <c r="W592" s="579">
        <f t="shared" si="82"/>
        <v>0</v>
      </c>
      <c r="X592" s="579">
        <f>IFERROR(W603*W592/(SUM(W589:W602)),0)</f>
        <v>0</v>
      </c>
      <c r="Y592" s="879">
        <f>SUMIFS(בקרה!$S:$S,בקרה!$D:$D,T592,בקרה!$K:$K,S592)</f>
        <v>0</v>
      </c>
      <c r="Z592" s="121"/>
      <c r="AA592" s="143"/>
      <c r="AB592" s="143"/>
      <c r="AC592" s="504">
        <v>0</v>
      </c>
      <c r="AD592" s="505">
        <f t="shared" si="83"/>
        <v>0</v>
      </c>
      <c r="AE592" s="143"/>
      <c r="AG592" s="55"/>
      <c r="AH592" s="55"/>
      <c r="AI592" s="40"/>
      <c r="AJ592" s="55"/>
      <c r="AK592" s="55"/>
      <c r="BO592" s="86"/>
    </row>
    <row r="593" spans="1:67" s="55" customFormat="1" ht="15.75" customHeight="1" x14ac:dyDescent="0.25">
      <c r="A593" s="520">
        <f>IFERROR(VLOOKUP($G$5,'רשימת רשויות'!A:C,3,0),0)</f>
        <v>0</v>
      </c>
      <c r="B593" s="520">
        <f t="shared" si="81"/>
        <v>0</v>
      </c>
      <c r="C593" s="39"/>
      <c r="D593" s="1134"/>
      <c r="E593" s="1137"/>
      <c r="F593" s="589" t="s">
        <v>93</v>
      </c>
      <c r="G593" s="130">
        <f>IF(G580="תקין",SUMIFS('דוח הוצאות בפועל (4)'!$E$17:$E$3016,'דוח הוצאות בפועל (4)'!$B$17:$B$3016,'בית ספר - תקצוב לפי מוסד (9)'!$G575,'דוח הוצאות בפועל (4)'!$M$17:$M$3016,"אר"),0)-Y593</f>
        <v>0</v>
      </c>
      <c r="H593" s="118">
        <f>$I583</f>
        <v>0</v>
      </c>
      <c r="I593" s="131">
        <f>IFERROR((G593+G594)/H593,0)</f>
        <v>0</v>
      </c>
      <c r="J593" s="100">
        <f>MIN((IF(ISNUMBER(G593),G593,0)+IF(ISNUMBER(G594),G594,0)),H593)</f>
        <v>0</v>
      </c>
      <c r="K593" s="1139">
        <f>MAX((H593)-(G593+G594),0)</f>
        <v>0</v>
      </c>
      <c r="L593" s="407"/>
      <c r="M593" s="393"/>
      <c r="N593" s="393"/>
      <c r="O593" s="602"/>
      <c r="P593" s="1141"/>
      <c r="Q593" s="1142"/>
      <c r="R593" s="596"/>
      <c r="S593" s="610" t="s">
        <v>93</v>
      </c>
      <c r="T593" s="599">
        <f>G575</f>
        <v>0</v>
      </c>
      <c r="U593" s="578"/>
      <c r="V593" s="579">
        <f t="shared" ref="V593:V594" si="84">G593</f>
        <v>0</v>
      </c>
      <c r="W593" s="579">
        <f t="shared" si="82"/>
        <v>0</v>
      </c>
      <c r="X593" s="579">
        <f>IFERROR(W603*W593/(SUM(W589:W602)),0)</f>
        <v>0</v>
      </c>
      <c r="Y593" s="879">
        <f>SUMIFS(בקרה!$S:$S,בקרה!$D:$D,T593,בקרה!$K:$K,S593)</f>
        <v>0</v>
      </c>
      <c r="Z593" s="121"/>
      <c r="AA593" s="143"/>
      <c r="AB593" s="143"/>
      <c r="AC593" s="504">
        <v>0</v>
      </c>
      <c r="AD593" s="505">
        <f t="shared" si="83"/>
        <v>0</v>
      </c>
      <c r="AE593" s="143"/>
      <c r="AJ593" s="22"/>
      <c r="AO593" s="22"/>
      <c r="AP593" s="22"/>
      <c r="AQ593" s="22"/>
      <c r="AR593" s="22"/>
      <c r="AS593" s="22"/>
      <c r="AT593" s="22"/>
      <c r="AU593" s="35"/>
      <c r="AV593" s="35"/>
      <c r="AW593" s="35"/>
      <c r="AX593" s="35"/>
      <c r="AY593" s="35"/>
      <c r="AZ593" s="35"/>
      <c r="BA593" s="35"/>
      <c r="BB593" s="35"/>
      <c r="BC593" s="35"/>
      <c r="BD593" s="35"/>
      <c r="BE593" s="35"/>
      <c r="BF593" s="35"/>
      <c r="BG593" s="35"/>
      <c r="BH593" s="35"/>
      <c r="BI593" s="35"/>
      <c r="BJ593" s="35"/>
      <c r="BK593" s="35"/>
      <c r="BL593" s="35"/>
      <c r="BM593" s="35"/>
      <c r="BN593" s="35"/>
      <c r="BO593" s="86"/>
    </row>
    <row r="594" spans="1:67" s="55" customFormat="1" ht="15.75" customHeight="1" x14ac:dyDescent="0.25">
      <c r="A594" s="520">
        <f>IFERROR(VLOOKUP($G$5,'רשימת רשויות'!A:C,3,0),0)</f>
        <v>0</v>
      </c>
      <c r="B594" s="520">
        <f t="shared" si="81"/>
        <v>0</v>
      </c>
      <c r="C594" s="39"/>
      <c r="D594" s="1134"/>
      <c r="E594" s="1137"/>
      <c r="F594" s="589" t="s">
        <v>46</v>
      </c>
      <c r="G594" s="130">
        <f>IF(G580="תקין",SUMIFS('דוח הוצאות בפועל (4)'!$E$17:$E$3016,'דוח הוצאות בפועל (4)'!$B$17:$B$3016,'בית ספר - תקצוב לפי מוסד (9)'!$G575,'דוח הוצאות בפועל (4)'!$M$17:$M$3016,"מל"),0)-Y594</f>
        <v>0</v>
      </c>
      <c r="H594" s="132"/>
      <c r="I594" s="133"/>
      <c r="J594" s="104"/>
      <c r="K594" s="1139"/>
      <c r="L594" s="407"/>
      <c r="M594" s="393"/>
      <c r="N594" s="393"/>
      <c r="O594" s="602"/>
      <c r="P594" s="1141"/>
      <c r="Q594" s="1142"/>
      <c r="R594" s="596"/>
      <c r="S594" s="610" t="s">
        <v>46</v>
      </c>
      <c r="T594" s="599">
        <f>G575</f>
        <v>0</v>
      </c>
      <c r="U594" s="578"/>
      <c r="V594" s="579">
        <f t="shared" si="84"/>
        <v>0</v>
      </c>
      <c r="W594" s="579">
        <f t="shared" si="82"/>
        <v>0</v>
      </c>
      <c r="X594" s="579">
        <f>IFERROR(W603*W594/(SUM(W589:W602)),0)</f>
        <v>0</v>
      </c>
      <c r="Y594" s="879">
        <f>SUMIFS(בקרה!$S:$S,בקרה!$D:$D,T594,בקרה!$K:$K,S594)</f>
        <v>0</v>
      </c>
      <c r="Z594" s="121"/>
      <c r="AA594" s="143"/>
      <c r="AB594" s="143"/>
      <c r="AC594" s="504">
        <v>0</v>
      </c>
      <c r="AD594" s="505">
        <f t="shared" si="83"/>
        <v>0</v>
      </c>
      <c r="AE594" s="143"/>
      <c r="AJ594" s="22"/>
      <c r="AO594" s="22"/>
      <c r="AP594" s="22"/>
      <c r="AQ594" s="22"/>
      <c r="AR594" s="22"/>
      <c r="AS594" s="22"/>
      <c r="AT594" s="22"/>
      <c r="AU594" s="35"/>
      <c r="AV594" s="35"/>
      <c r="AW594" s="35"/>
      <c r="AX594" s="35"/>
      <c r="AY594" s="35"/>
      <c r="AZ594" s="35"/>
      <c r="BA594" s="35"/>
      <c r="BB594" s="35"/>
      <c r="BC594" s="35"/>
      <c r="BD594" s="35"/>
      <c r="BE594" s="35"/>
      <c r="BF594" s="35"/>
      <c r="BG594" s="35"/>
      <c r="BH594" s="35"/>
      <c r="BI594" s="35"/>
      <c r="BJ594" s="35"/>
      <c r="BK594" s="35"/>
      <c r="BL594" s="35"/>
      <c r="BM594" s="35"/>
      <c r="BN594" s="35"/>
      <c r="BO594" s="86"/>
    </row>
    <row r="595" spans="1:67" s="55" customFormat="1" ht="15" customHeight="1" x14ac:dyDescent="0.25">
      <c r="A595" s="520">
        <f>IFERROR(VLOOKUP($G$5,'רשימת רשויות'!A:C,3,0),0)</f>
        <v>0</v>
      </c>
      <c r="B595" s="520">
        <f t="shared" si="81"/>
        <v>0</v>
      </c>
      <c r="C595" s="39"/>
      <c r="D595" s="1134"/>
      <c r="E595" s="1137"/>
      <c r="F595" s="591" t="s">
        <v>23</v>
      </c>
      <c r="G595" s="134">
        <f>SUM(G589:G594)</f>
        <v>0</v>
      </c>
      <c r="H595" s="135">
        <f>SUM(H589:H594)</f>
        <v>0</v>
      </c>
      <c r="I595" s="128">
        <f>IFERROR(G595/H595,0)</f>
        <v>0</v>
      </c>
      <c r="J595" s="136">
        <f>SUM(J589:J594)</f>
        <v>0</v>
      </c>
      <c r="K595" s="137">
        <f>SUM(K589:K594)</f>
        <v>0</v>
      </c>
      <c r="L595" s="408"/>
      <c r="M595" s="394"/>
      <c r="N595" s="394"/>
      <c r="O595" s="602"/>
      <c r="P595" s="620">
        <f>SUM(P589:P594)</f>
        <v>0</v>
      </c>
      <c r="Q595" s="620">
        <f>SUM(Q589:Q594)</f>
        <v>0</v>
      </c>
      <c r="R595" s="596"/>
      <c r="S595" s="610"/>
      <c r="T595" s="599">
        <f>G575</f>
        <v>0</v>
      </c>
      <c r="U595" s="578"/>
      <c r="V595" s="579"/>
      <c r="W595" s="579">
        <f t="shared" si="82"/>
        <v>0</v>
      </c>
      <c r="X595" s="579"/>
      <c r="Y595" s="879"/>
      <c r="Z595" s="121"/>
      <c r="AA595" s="143"/>
      <c r="AB595" s="143"/>
      <c r="AC595" s="504"/>
      <c r="AD595" s="505">
        <f t="shared" si="83"/>
        <v>0</v>
      </c>
      <c r="AE595" s="143"/>
      <c r="AJ595" s="22"/>
      <c r="AL595" s="22"/>
      <c r="AM595" s="22"/>
      <c r="AN595" s="22"/>
      <c r="AO595" s="22"/>
      <c r="AP595" s="22"/>
      <c r="AQ595" s="22"/>
      <c r="AR595" s="22"/>
      <c r="AS595" s="22"/>
      <c r="AT595" s="22"/>
      <c r="AU595" s="35"/>
      <c r="AV595" s="35"/>
      <c r="AW595" s="35"/>
      <c r="AX595" s="35"/>
      <c r="AY595" s="35"/>
      <c r="AZ595" s="35"/>
      <c r="BA595" s="35"/>
      <c r="BB595" s="35"/>
      <c r="BC595" s="35"/>
      <c r="BD595" s="35"/>
      <c r="BE595" s="35"/>
      <c r="BF595" s="35"/>
      <c r="BG595" s="35"/>
      <c r="BH595" s="35"/>
      <c r="BI595" s="35"/>
      <c r="BJ595" s="35"/>
      <c r="BK595" s="35"/>
      <c r="BL595" s="35"/>
      <c r="BM595" s="35"/>
      <c r="BN595" s="35"/>
      <c r="BO595" s="86"/>
    </row>
    <row r="596" spans="1:67" s="55" customFormat="1" ht="15" customHeight="1" x14ac:dyDescent="0.25">
      <c r="A596" s="520">
        <f>IFERROR(VLOOKUP($G$5,'רשימת רשויות'!A:C,3,0),0)</f>
        <v>0</v>
      </c>
      <c r="B596" s="520">
        <f t="shared" si="81"/>
        <v>0</v>
      </c>
      <c r="C596" s="39"/>
      <c r="D596" s="1134"/>
      <c r="E596" s="1137"/>
      <c r="F596" s="589" t="s">
        <v>3</v>
      </c>
      <c r="G596" s="117">
        <f>IF(G580="תקין",SUMIFS('דוח הוצאות בפועל (4)'!$E$17:$E$3016,'דוח הוצאות בפועל (4)'!$B$17:$B$3016,'בית ספר - תקצוב לפי מוסד (9)'!$G575,'דוח הוצאות בפועל (4)'!$M$17:$M$3016,"ני")+SUMIFS('דוח הוצאות בפועל (4)'!$E$17:$E$3016,'דוח הוצאות בפועל (4)'!$B$17:$B$3016,'בית ספר - תקצוב לפי מוסד (9)'!$G575,'דוח הוצאות בפועל (4)'!$M$17:$M$3016,"על"),0)-Y596</f>
        <v>0</v>
      </c>
      <c r="H596" s="117">
        <f>H577</f>
        <v>0</v>
      </c>
      <c r="I596" s="138">
        <f>IFERROR(G596/H596,0)</f>
        <v>0</v>
      </c>
      <c r="J596" s="117">
        <f>IFERROR(IF(G596/H598&gt;0.15,MIN(H598*0.15,H596),MIN(H596,IF(ISNUMBER(G596),G596,0))),0)</f>
        <v>0</v>
      </c>
      <c r="K596" s="120">
        <f>MAX(H596-G596,0)</f>
        <v>0</v>
      </c>
      <c r="L596" s="407"/>
      <c r="M596" s="393"/>
      <c r="N596" s="393"/>
      <c r="O596" s="602"/>
      <c r="P596" s="620">
        <f>IF(I596&lt;100%,MIN(H596-G596,H596*0.25),0)</f>
        <v>0</v>
      </c>
      <c r="Q596" s="620">
        <f>MAX(MIN(IF(G596-H596&gt;0,G596-H596,0),$H598*0.15-H596-J597),0)</f>
        <v>0</v>
      </c>
      <c r="R596" s="596"/>
      <c r="S596" s="610" t="s">
        <v>3</v>
      </c>
      <c r="T596" s="599">
        <f>G575</f>
        <v>0</v>
      </c>
      <c r="U596" s="578"/>
      <c r="V596" s="579">
        <f t="shared" ref="V596" si="85">G596</f>
        <v>0</v>
      </c>
      <c r="W596" s="579">
        <f t="shared" si="82"/>
        <v>0</v>
      </c>
      <c r="X596" s="579"/>
      <c r="Y596" s="879"/>
      <c r="Z596" s="121"/>
      <c r="AA596" s="143"/>
      <c r="AB596" s="143"/>
      <c r="AC596" s="504">
        <v>0</v>
      </c>
      <c r="AD596" s="505">
        <f t="shared" si="83"/>
        <v>0</v>
      </c>
      <c r="AE596" s="143"/>
      <c r="AG596" s="22"/>
      <c r="AH596" s="22"/>
      <c r="AI596" s="22"/>
      <c r="AJ596" s="22"/>
      <c r="AK596" s="22"/>
      <c r="AL596" s="22"/>
      <c r="AM596" s="22"/>
      <c r="AN596" s="22"/>
      <c r="AO596" s="22"/>
      <c r="AP596" s="22"/>
      <c r="AQ596" s="22"/>
      <c r="AR596" s="22"/>
      <c r="AS596" s="22"/>
      <c r="AT596" s="22"/>
      <c r="AU596" s="35"/>
      <c r="AV596" s="35"/>
      <c r="AW596" s="35"/>
      <c r="AX596" s="35"/>
      <c r="AY596" s="35"/>
      <c r="AZ596" s="35"/>
      <c r="BA596" s="35"/>
      <c r="BB596" s="35"/>
      <c r="BC596" s="35"/>
      <c r="BD596" s="35"/>
      <c r="BE596" s="35"/>
      <c r="BF596" s="35"/>
      <c r="BG596" s="35"/>
      <c r="BH596" s="35"/>
      <c r="BI596" s="35"/>
      <c r="BJ596" s="35"/>
      <c r="BK596" s="35"/>
      <c r="BL596" s="35"/>
      <c r="BM596" s="35"/>
      <c r="BN596" s="35"/>
      <c r="BO596" s="86"/>
    </row>
    <row r="597" spans="1:67" s="55" customFormat="1" ht="15.75" customHeight="1" x14ac:dyDescent="0.25">
      <c r="A597" s="520">
        <f>IFERROR(VLOOKUP($G$5,'רשימת רשויות'!A:C,3,0),0)</f>
        <v>0</v>
      </c>
      <c r="B597" s="520">
        <f t="shared" si="81"/>
        <v>0</v>
      </c>
      <c r="C597" s="39"/>
      <c r="D597" s="1134"/>
      <c r="E597" s="1137"/>
      <c r="F597" s="589" t="s">
        <v>2918</v>
      </c>
      <c r="G597" s="117">
        <f>0.07*(G591+G590)</f>
        <v>0</v>
      </c>
      <c r="H597" s="117">
        <f>H579</f>
        <v>0</v>
      </c>
      <c r="I597" s="138">
        <f>IFERROR(G597/H597,0)</f>
        <v>0</v>
      </c>
      <c r="J597" s="117">
        <f>IFERROR(MIN(0.07*(G590+G591),0.07*I579),0)</f>
        <v>0</v>
      </c>
      <c r="K597" s="120">
        <f>MAX(H597-G597,0)</f>
        <v>0</v>
      </c>
      <c r="L597" s="407"/>
      <c r="M597" s="393"/>
      <c r="N597" s="393"/>
      <c r="O597" s="602"/>
      <c r="P597" s="620"/>
      <c r="Q597" s="619"/>
      <c r="R597" s="596"/>
      <c r="S597" s="611"/>
      <c r="T597" s="599">
        <f>G575</f>
        <v>0</v>
      </c>
      <c r="U597" s="578"/>
      <c r="V597" s="579"/>
      <c r="W597" s="579">
        <f t="shared" si="82"/>
        <v>0</v>
      </c>
      <c r="X597" s="579"/>
      <c r="Y597" s="879"/>
      <c r="Z597" s="121"/>
      <c r="AA597" s="143"/>
      <c r="AB597" s="143"/>
      <c r="AC597" s="504"/>
      <c r="AD597" s="505"/>
      <c r="AE597" s="143"/>
      <c r="AF597" s="140"/>
      <c r="AG597" s="22"/>
      <c r="AH597" s="22"/>
      <c r="AI597" s="22"/>
      <c r="AJ597" s="22"/>
      <c r="AK597" s="22"/>
      <c r="AL597" s="22"/>
      <c r="AM597" s="22"/>
      <c r="AN597" s="22"/>
      <c r="AO597" s="22"/>
      <c r="AP597" s="22"/>
      <c r="AQ597" s="22"/>
      <c r="AR597" s="22"/>
      <c r="AS597" s="22"/>
      <c r="AT597" s="22"/>
      <c r="AU597" s="35"/>
      <c r="AV597" s="35"/>
      <c r="AW597" s="35"/>
      <c r="AX597" s="35"/>
      <c r="AY597" s="35"/>
      <c r="AZ597" s="35"/>
      <c r="BA597" s="35"/>
      <c r="BB597" s="35"/>
      <c r="BC597" s="35"/>
      <c r="BD597" s="35"/>
      <c r="BE597" s="35"/>
      <c r="BF597" s="35"/>
      <c r="BG597" s="35"/>
      <c r="BH597" s="35"/>
      <c r="BI597" s="35"/>
      <c r="BJ597" s="35"/>
      <c r="BK597" s="35"/>
      <c r="BL597" s="35"/>
      <c r="BM597" s="35"/>
      <c r="BN597" s="35"/>
      <c r="BO597" s="86"/>
    </row>
    <row r="598" spans="1:67" ht="15.75" customHeight="1" x14ac:dyDescent="0.25">
      <c r="A598" s="520">
        <f>IFERROR(VLOOKUP($G$5,'רשימת רשויות'!A:C,3,0),0)</f>
        <v>0</v>
      </c>
      <c r="B598" s="520">
        <f t="shared" si="81"/>
        <v>0</v>
      </c>
      <c r="D598" s="1134"/>
      <c r="E598" s="1137"/>
      <c r="F598" s="591" t="s">
        <v>15</v>
      </c>
      <c r="G598" s="134">
        <f>G595+G596+G597</f>
        <v>0</v>
      </c>
      <c r="H598" s="134">
        <f>H595+H596+H597</f>
        <v>0</v>
      </c>
      <c r="I598" s="138">
        <f>IFERROR(G598/H598,0)</f>
        <v>0</v>
      </c>
      <c r="J598" s="139">
        <f>J595+J596+J597</f>
        <v>0</v>
      </c>
      <c r="K598" s="137">
        <f>K596+K595+K597</f>
        <v>0</v>
      </c>
      <c r="L598" s="408"/>
      <c r="M598" s="394"/>
      <c r="N598" s="394"/>
      <c r="O598" s="602"/>
      <c r="P598" s="621">
        <f>SUM(P595:P596)</f>
        <v>0</v>
      </c>
      <c r="Q598" s="622">
        <f>Q595+Q596</f>
        <v>0</v>
      </c>
      <c r="R598" s="596"/>
      <c r="S598" s="611"/>
      <c r="T598" s="599">
        <f>G575</f>
        <v>0</v>
      </c>
      <c r="U598" s="578"/>
      <c r="V598" s="579"/>
      <c r="W598" s="579">
        <f t="shared" si="82"/>
        <v>0</v>
      </c>
      <c r="X598" s="579"/>
      <c r="Y598" s="879"/>
      <c r="Z598" s="106"/>
      <c r="AC598" s="504"/>
      <c r="AD598" s="505"/>
      <c r="AH598" s="143"/>
      <c r="BO598" s="86"/>
    </row>
    <row r="599" spans="1:67" ht="15.75" customHeight="1" x14ac:dyDescent="0.25">
      <c r="A599" s="520">
        <f>IFERROR(VLOOKUP($G$5,'רשימת רשויות'!A:C,3,0),0)</f>
        <v>0</v>
      </c>
      <c r="B599" s="520">
        <f t="shared" si="81"/>
        <v>0</v>
      </c>
      <c r="D599" s="1134"/>
      <c r="E599" s="1137"/>
      <c r="F599" s="589" t="s">
        <v>2261</v>
      </c>
      <c r="G599" s="117">
        <f>IF(G580="תקין",SUMIF('תשלומי הורים ומלגות להורים (5) '!$B$18:$B$517,$G575,'תשלומי הורים ומלגות להורים (5) '!$C$18:$C$517),0)</f>
        <v>0</v>
      </c>
      <c r="H599" s="117">
        <f>(G578+G579)*$G$7</f>
        <v>0</v>
      </c>
      <c r="I599" s="141"/>
      <c r="J599" s="141"/>
      <c r="K599" s="142"/>
      <c r="L599" s="395"/>
      <c r="M599" s="395"/>
      <c r="N599" s="395"/>
      <c r="O599" s="602"/>
      <c r="P599" s="623"/>
      <c r="Q599" s="619"/>
      <c r="R599" s="596"/>
      <c r="S599" s="612"/>
      <c r="T599" s="599">
        <f>G575</f>
        <v>0</v>
      </c>
      <c r="U599" s="578"/>
      <c r="V599" s="579"/>
      <c r="W599" s="579">
        <f t="shared" si="82"/>
        <v>0</v>
      </c>
      <c r="X599" s="579"/>
      <c r="Y599" s="879"/>
      <c r="Z599" s="121"/>
      <c r="AA599" s="143"/>
      <c r="AB599" s="143"/>
      <c r="AC599" s="504"/>
      <c r="AD599" s="505"/>
      <c r="AE599" s="143"/>
      <c r="AF599" s="148"/>
      <c r="BO599" s="86"/>
    </row>
    <row r="600" spans="1:67" ht="15.75" customHeight="1" thickBot="1" x14ac:dyDescent="0.3">
      <c r="A600" s="520">
        <f>IFERROR(VLOOKUP($G$5,'רשימת רשויות'!A:C,3,0),0)</f>
        <v>0</v>
      </c>
      <c r="B600" s="520">
        <f t="shared" si="81"/>
        <v>0</v>
      </c>
      <c r="D600" s="1134"/>
      <c r="E600" s="1137"/>
      <c r="F600" s="592" t="s">
        <v>21</v>
      </c>
      <c r="G600" s="144">
        <f>G598-G599</f>
        <v>0</v>
      </c>
      <c r="H600" s="144">
        <f>H598-H599</f>
        <v>0</v>
      </c>
      <c r="I600" s="145"/>
      <c r="J600" s="145"/>
      <c r="K600" s="146"/>
      <c r="L600" s="396"/>
      <c r="M600" s="396"/>
      <c r="N600" s="396"/>
      <c r="O600" s="602"/>
      <c r="P600" s="619"/>
      <c r="Q600" s="619"/>
      <c r="R600" s="596"/>
      <c r="S600" s="612"/>
      <c r="T600" s="599">
        <f>G575</f>
        <v>0</v>
      </c>
      <c r="U600" s="578"/>
      <c r="V600" s="579"/>
      <c r="W600" s="579">
        <f t="shared" si="82"/>
        <v>0</v>
      </c>
      <c r="X600" s="579"/>
      <c r="Y600" s="879"/>
      <c r="Z600" s="147"/>
      <c r="AA600" s="148"/>
      <c r="AB600" s="148"/>
      <c r="AC600" s="504"/>
      <c r="AD600" s="505"/>
      <c r="AE600" s="148"/>
      <c r="AF600" s="148"/>
      <c r="BO600" s="86"/>
    </row>
    <row r="601" spans="1:67" ht="15.75" customHeight="1" thickBot="1" x14ac:dyDescent="0.3">
      <c r="A601" s="520">
        <f>IFERROR(VLOOKUP($G$5,'רשימת רשויות'!A:C,3,0),0)</f>
        <v>0</v>
      </c>
      <c r="B601" s="520">
        <f t="shared" si="81"/>
        <v>0</v>
      </c>
      <c r="D601" s="1134"/>
      <c r="E601" s="1137"/>
      <c r="F601" s="580"/>
      <c r="G601" s="580"/>
      <c r="H601" s="147"/>
      <c r="I601" s="149" t="s">
        <v>2197</v>
      </c>
      <c r="J601" s="150">
        <f>MAX(MIN(P598,Q598),0)</f>
        <v>0</v>
      </c>
      <c r="K601" s="580"/>
      <c r="L601" s="580"/>
      <c r="M601" s="580"/>
      <c r="N601" s="580"/>
      <c r="O601" s="580"/>
      <c r="P601" s="615" t="s">
        <v>2317</v>
      </c>
      <c r="Q601" s="624">
        <f>SUM(Q602:Q603)</f>
        <v>0</v>
      </c>
      <c r="R601" s="596"/>
      <c r="S601" s="612"/>
      <c r="T601" s="599">
        <f>G575</f>
        <v>0</v>
      </c>
      <c r="U601" s="578"/>
      <c r="V601" s="579"/>
      <c r="W601" s="579">
        <f t="shared" si="82"/>
        <v>0</v>
      </c>
      <c r="X601" s="579"/>
      <c r="Y601" s="879"/>
      <c r="Z601" s="106"/>
      <c r="AC601" s="504"/>
      <c r="AD601" s="505"/>
      <c r="AF601" s="148"/>
      <c r="BO601" s="86"/>
    </row>
    <row r="602" spans="1:67" ht="16.5" thickBot="1" x14ac:dyDescent="0.3">
      <c r="A602" s="520">
        <f>IFERROR(VLOOKUP($G$5,'רשימת רשויות'!A:C,3,0),0)</f>
        <v>0</v>
      </c>
      <c r="B602" s="520">
        <f t="shared" si="81"/>
        <v>0</v>
      </c>
      <c r="D602" s="1134"/>
      <c r="E602" s="1137"/>
      <c r="F602" s="580"/>
      <c r="G602" s="580"/>
      <c r="H602" s="580"/>
      <c r="I602" s="84" t="s">
        <v>2193</v>
      </c>
      <c r="J602" s="515" t="str">
        <f>IFERROR(1-H599/H598,"")</f>
        <v/>
      </c>
      <c r="K602" s="580"/>
      <c r="L602" s="580"/>
      <c r="M602" s="580"/>
      <c r="N602" s="580"/>
      <c r="O602" s="580"/>
      <c r="P602" s="615" t="s">
        <v>417</v>
      </c>
      <c r="Q602" s="616">
        <f>IFERROR(MAX(H600-I603-Q603,0),0)</f>
        <v>0</v>
      </c>
      <c r="R602" s="596"/>
      <c r="S602" s="600"/>
      <c r="T602" s="599">
        <f>G575</f>
        <v>0</v>
      </c>
      <c r="U602" s="578"/>
      <c r="V602" s="579"/>
      <c r="W602" s="579">
        <f t="shared" si="82"/>
        <v>0</v>
      </c>
      <c r="X602" s="579"/>
      <c r="Y602" s="879"/>
      <c r="Z602" s="106"/>
      <c r="AC602" s="504"/>
      <c r="AD602" s="505"/>
      <c r="BO602" s="86"/>
    </row>
    <row r="603" spans="1:67" ht="17.25" thickBot="1" x14ac:dyDescent="0.3">
      <c r="A603" s="520">
        <f>IFERROR(VLOOKUP($G$5,'רשימת רשויות'!A:C,3,0),0)</f>
        <v>0</v>
      </c>
      <c r="B603" s="520">
        <f t="shared" si="81"/>
        <v>0</v>
      </c>
      <c r="D603" s="1134"/>
      <c r="E603" s="1137"/>
      <c r="F603" s="1143" t="s">
        <v>2679</v>
      </c>
      <c r="G603" s="1143"/>
      <c r="H603" s="1143"/>
      <c r="I603" s="722">
        <f>IF(G580="לא תקין","לא קיימת זכאות לתקציב לאור אי איוש משרות רכז ו/או סגן רכז ",IFERROR(J602*(J601+J598),0))</f>
        <v>0</v>
      </c>
      <c r="J603" s="573"/>
      <c r="K603" s="574"/>
      <c r="L603" s="396"/>
      <c r="M603" s="574"/>
      <c r="N603" s="574"/>
      <c r="O603" s="574"/>
      <c r="P603" s="615" t="s">
        <v>2279</v>
      </c>
      <c r="Q603" s="616">
        <f>MAX(IF(AND(G598&gt;H598,I603&lt;H600),H600-I603,0),0)</f>
        <v>0</v>
      </c>
      <c r="R603" s="575"/>
      <c r="S603" s="576" t="s">
        <v>67</v>
      </c>
      <c r="T603" s="577">
        <f>G575</f>
        <v>0</v>
      </c>
      <c r="U603" s="578"/>
      <c r="V603" s="579">
        <f>I603</f>
        <v>0</v>
      </c>
      <c r="W603" s="579">
        <f>IFERROR(U603-V603,0)</f>
        <v>0</v>
      </c>
      <c r="X603" s="579">
        <f>SUM(X589:X602)</f>
        <v>0</v>
      </c>
      <c r="Y603" s="879"/>
      <c r="Z603" s="106"/>
      <c r="AC603" s="506">
        <v>0</v>
      </c>
      <c r="AD603" s="507">
        <f>IFERROR(U603-AC603,0)</f>
        <v>0</v>
      </c>
      <c r="BO603" s="86"/>
    </row>
    <row r="604" spans="1:67" ht="16.5" thickBot="1" x14ac:dyDescent="0.3">
      <c r="A604" s="520">
        <f>IFERROR(VLOOKUP($G$5,'רשימת רשויות'!A:C,3,0),0)</f>
        <v>0</v>
      </c>
      <c r="B604" s="520">
        <f t="shared" si="81"/>
        <v>0</v>
      </c>
      <c r="D604" s="1135"/>
      <c r="E604" s="1138"/>
      <c r="F604" s="1144" t="s">
        <v>2793</v>
      </c>
      <c r="G604" s="1145"/>
      <c r="H604" s="1145"/>
      <c r="I604" s="593">
        <f>IFERROR(IF(G580="תקין",SUMIFS('סייעות רפואיות או אישיות (7)'!$Q$17:Q$384,'סייעות רפואיות או אישיות (7)'!C$17:C$384,G575),0),0)</f>
        <v>0</v>
      </c>
      <c r="J604" s="151"/>
      <c r="K604" s="152"/>
      <c r="L604" s="409"/>
      <c r="M604" s="152"/>
      <c r="N604" s="152"/>
      <c r="O604" s="152"/>
      <c r="P604" s="613"/>
      <c r="Q604" s="614"/>
      <c r="R604" s="475"/>
      <c r="S604" s="489"/>
      <c r="T604" s="490"/>
      <c r="U604" s="491"/>
      <c r="V604" s="492"/>
      <c r="W604" s="492"/>
      <c r="X604" s="492"/>
      <c r="Y604" s="880"/>
      <c r="Z604" s="153"/>
      <c r="AC604" s="581"/>
      <c r="AD604" s="582"/>
      <c r="BO604" s="86"/>
    </row>
    <row r="605" spans="1:67" ht="34.5" thickBot="1" x14ac:dyDescent="0.55000000000000004">
      <c r="A605" s="520">
        <f>IFERROR(VLOOKUP($G$5,'רשימת רשויות'!A:C,3,0),0)</f>
        <v>0</v>
      </c>
      <c r="B605" s="520">
        <f t="shared" si="81"/>
        <v>0</v>
      </c>
      <c r="E605" s="154"/>
      <c r="I605" s="143"/>
      <c r="J605" s="148"/>
      <c r="O605" s="148"/>
      <c r="T605" s="481"/>
      <c r="BO605" s="86"/>
    </row>
    <row r="606" spans="1:67" s="20" customFormat="1" ht="16.5" customHeight="1" thickBot="1" x14ac:dyDescent="0.3">
      <c r="A606" s="520">
        <f>IFERROR(VLOOKUP($G$5,'רשימת רשויות'!A:C,3,0),0)</f>
        <v>0</v>
      </c>
      <c r="B606" s="520">
        <f t="shared" si="81"/>
        <v>0</v>
      </c>
      <c r="C606" s="39"/>
      <c r="D606" s="1133">
        <f>D575+1</f>
        <v>20</v>
      </c>
      <c r="E606" s="1136" t="str">
        <f>IFERROR(CONCATENATE("בית הספר ",VLOOKUP(G606,'מצבת והרשמה (2)'!$C$21:$D$520,2,0)," - ",$G$5),"")</f>
        <v>בית הספר המוסד לא קיים - 0</v>
      </c>
      <c r="F606" s="720" t="s">
        <v>146</v>
      </c>
      <c r="G606" s="721">
        <f>IFERROR(VLOOKUP(D:D,'דוח ביצוע (3)'!$A$21:$C$900,2,0),0)</f>
        <v>0</v>
      </c>
      <c r="H606" s="79"/>
      <c r="I606" s="80" t="s">
        <v>150</v>
      </c>
      <c r="J606" s="80"/>
      <c r="K606" s="81"/>
      <c r="L606" s="392"/>
      <c r="M606" s="392"/>
      <c r="N606" s="392"/>
      <c r="O606" s="82"/>
      <c r="P606" s="470"/>
      <c r="Q606" s="471"/>
      <c r="R606" s="472"/>
      <c r="S606" s="883"/>
      <c r="T606" s="884"/>
      <c r="U606" s="486"/>
      <c r="V606" s="487"/>
      <c r="W606" s="487"/>
      <c r="X606" s="487"/>
      <c r="Y606" s="885"/>
      <c r="Z606" s="83"/>
      <c r="AC606" s="502"/>
      <c r="AD606" s="503"/>
      <c r="AO606" s="22"/>
      <c r="AP606" s="22"/>
      <c r="AQ606" s="22"/>
      <c r="AR606" s="22"/>
      <c r="AS606" s="22"/>
      <c r="AT606" s="22"/>
      <c r="AU606" s="35"/>
      <c r="AV606" s="35"/>
      <c r="AW606" s="35"/>
      <c r="AX606" s="35"/>
      <c r="AY606" s="35"/>
      <c r="AZ606" s="35"/>
      <c r="BA606" s="35"/>
      <c r="BB606" s="35"/>
      <c r="BC606" s="35"/>
      <c r="BD606" s="35"/>
      <c r="BE606" s="35"/>
      <c r="BF606" s="35"/>
      <c r="BG606" s="35"/>
      <c r="BH606" s="35"/>
      <c r="BI606" s="35"/>
      <c r="BJ606" s="35"/>
      <c r="BK606" s="35"/>
      <c r="BL606" s="35"/>
      <c r="BM606" s="35"/>
      <c r="BN606" s="35"/>
      <c r="BO606" s="78"/>
    </row>
    <row r="607" spans="1:67" s="20" customFormat="1" ht="16.5" thickBot="1" x14ac:dyDescent="0.3">
      <c r="A607" s="520">
        <f>IFERROR(VLOOKUP($G$5,'רשימת רשויות'!A:C,3,0),0)</f>
        <v>0</v>
      </c>
      <c r="B607" s="520">
        <f t="shared" si="81"/>
        <v>0</v>
      </c>
      <c r="C607" s="39"/>
      <c r="D607" s="1134"/>
      <c r="E607" s="1137"/>
      <c r="F607" s="583" t="s">
        <v>145</v>
      </c>
      <c r="G607" s="516" t="str">
        <f>IFERROR(IF((G609+G610)=0,"",IF(VLOOKUP(G606,'דוח ביצוע (3)'!$B$21:$K$900,5,0)&gt;149,"גדול",IF(AND(VLOOKUP(G606,'דוח ביצוע (3)'!$B$21:$K$900,5,0)&gt;0,VLOOKUP(G606,'דוח ביצוע (3)'!$B$21:$K$900,5,0)&lt;150),"קטן",0))),"")</f>
        <v/>
      </c>
      <c r="H607" s="723" t="s">
        <v>88</v>
      </c>
      <c r="I607" s="723" t="s">
        <v>13</v>
      </c>
      <c r="J607" s="725" t="s">
        <v>14</v>
      </c>
      <c r="K607" s="724" t="s">
        <v>94</v>
      </c>
      <c r="L607" s="594"/>
      <c r="M607" s="420" t="s">
        <v>2584</v>
      </c>
      <c r="N607" s="397" t="s">
        <v>413</v>
      </c>
      <c r="O607" s="398" t="s">
        <v>52</v>
      </c>
      <c r="P607" s="595"/>
      <c r="Q607" s="595"/>
      <c r="R607" s="596"/>
      <c r="S607" s="610"/>
      <c r="T607" s="881"/>
      <c r="U607" s="598"/>
      <c r="V607" s="599"/>
      <c r="W607" s="599"/>
      <c r="X607" s="599"/>
      <c r="Y607" s="879"/>
      <c r="Z607" s="85"/>
      <c r="AC607" s="493"/>
      <c r="AD607" s="495"/>
      <c r="AO607" s="22"/>
      <c r="AP607" s="22"/>
      <c r="AQ607" s="22"/>
      <c r="AR607" s="22"/>
      <c r="AS607" s="22"/>
      <c r="AT607" s="22"/>
      <c r="AU607" s="35"/>
      <c r="AV607" s="35"/>
      <c r="AW607" s="35"/>
      <c r="AX607" s="35"/>
      <c r="AY607" s="35"/>
      <c r="AZ607" s="35"/>
      <c r="BA607" s="35"/>
      <c r="BB607" s="35"/>
      <c r="BC607" s="35"/>
      <c r="BD607" s="35"/>
      <c r="BE607" s="35"/>
      <c r="BF607" s="35"/>
      <c r="BG607" s="35"/>
      <c r="BH607" s="35"/>
      <c r="BI607" s="35"/>
      <c r="BJ607" s="35"/>
      <c r="BK607" s="35"/>
      <c r="BL607" s="35"/>
      <c r="BM607" s="35"/>
      <c r="BN607" s="35"/>
      <c r="BO607" s="78"/>
    </row>
    <row r="608" spans="1:67" s="20" customFormat="1" ht="15.75" customHeight="1" thickBot="1" x14ac:dyDescent="0.3">
      <c r="A608" s="520">
        <f>IFERROR(VLOOKUP($G$5,'רשימת רשויות'!A:C,3,0),0)</f>
        <v>0</v>
      </c>
      <c r="B608" s="520">
        <f t="shared" si="81"/>
        <v>0</v>
      </c>
      <c r="C608" s="39"/>
      <c r="D608" s="1134"/>
      <c r="E608" s="1137"/>
      <c r="F608" s="584" t="s">
        <v>144</v>
      </c>
      <c r="G608" s="87">
        <f>IF(G611="תקין",IFERROR(VLOOKUP($G606,'דוח ביצוע (3)'!$B$21:$Q$900,12,0),0),0)</f>
        <v>0</v>
      </c>
      <c r="H608" s="88">
        <f>IFERROR(G609*$AH$6+G610*$AH$7,0)</f>
        <v>0</v>
      </c>
      <c r="I608" s="88">
        <f>IFERROR(G609*$AI$6+G610*$AI$7,0)</f>
        <v>0</v>
      </c>
      <c r="J608" s="88">
        <f>IFERROR(G609*$AJ$6+G610*$AJ$7,0)</f>
        <v>0</v>
      </c>
      <c r="K608" s="88">
        <f>IFERROR(G609*$AK$6+G610*$AK$7,0)</f>
        <v>0</v>
      </c>
      <c r="L608" s="405"/>
      <c r="M608" s="399" t="s">
        <v>427</v>
      </c>
      <c r="N608" s="400" t="str">
        <f>IFERROR(VLOOKUP($G606,'דוח ביצוע (3)'!$B:$AE,28,0),"")</f>
        <v/>
      </c>
      <c r="O608" s="89" t="str">
        <f>IFERROR(VLOOKUP($G606,'דוח ביצוע (3)'!B:AE,29,0),"")</f>
        <v/>
      </c>
      <c r="P608" s="595"/>
      <c r="Q608" s="595"/>
      <c r="R608" s="596"/>
      <c r="S608" s="610"/>
      <c r="T608" s="881"/>
      <c r="U608" s="598"/>
      <c r="V608" s="599"/>
      <c r="W608" s="599"/>
      <c r="X608" s="599"/>
      <c r="Y608" s="879"/>
      <c r="Z608" s="85"/>
      <c r="AC608" s="493"/>
      <c r="AD608" s="495"/>
      <c r="AO608" s="22"/>
      <c r="AP608" s="22"/>
      <c r="AQ608" s="22"/>
      <c r="AR608" s="22"/>
      <c r="AS608" s="22"/>
      <c r="AT608" s="22"/>
      <c r="AU608" s="35"/>
      <c r="AV608" s="35"/>
      <c r="AW608" s="35"/>
      <c r="AX608" s="35"/>
      <c r="AY608" s="35"/>
      <c r="AZ608" s="35"/>
      <c r="BA608" s="35"/>
      <c r="BB608" s="35"/>
      <c r="BC608" s="35"/>
      <c r="BD608" s="35"/>
      <c r="BE608" s="35"/>
      <c r="BF608" s="35"/>
      <c r="BG608" s="35"/>
      <c r="BH608" s="35"/>
      <c r="BI608" s="35"/>
      <c r="BJ608" s="35"/>
      <c r="BK608" s="35"/>
      <c r="BL608" s="35"/>
      <c r="BM608" s="35"/>
      <c r="BN608" s="35"/>
      <c r="BO608" s="78"/>
    </row>
    <row r="609" spans="1:67" s="20" customFormat="1" ht="32.25" thickBot="1" x14ac:dyDescent="0.3">
      <c r="A609" s="520">
        <f>IFERROR(VLOOKUP($G$5,'רשימת רשויות'!A:C,3,0),0)</f>
        <v>0</v>
      </c>
      <c r="B609" s="520">
        <f t="shared" si="81"/>
        <v>0</v>
      </c>
      <c r="C609" s="39"/>
      <c r="D609" s="1134"/>
      <c r="E609" s="1137"/>
      <c r="F609" s="585" t="s">
        <v>2195</v>
      </c>
      <c r="G609" s="89">
        <f>IF(G611="תקין",MAX(N611,0),0)</f>
        <v>0</v>
      </c>
      <c r="H609" s="725" t="s">
        <v>151</v>
      </c>
      <c r="I609" s="725" t="s">
        <v>91</v>
      </c>
      <c r="J609" s="970" t="s">
        <v>3396</v>
      </c>
      <c r="K609" s="601"/>
      <c r="L609" s="601"/>
      <c r="M609" s="983" t="s">
        <v>2585</v>
      </c>
      <c r="N609" s="400" t="str">
        <f>IFERROR(G608/15*N608*1.25,"")</f>
        <v/>
      </c>
      <c r="O609" s="89" t="str">
        <f>IFERROR(G608/15*O608*1.25,"")</f>
        <v/>
      </c>
      <c r="P609" s="595"/>
      <c r="Q609" s="595"/>
      <c r="R609" s="596"/>
      <c r="S609" s="610"/>
      <c r="T609" s="881"/>
      <c r="U609" s="598"/>
      <c r="V609" s="599"/>
      <c r="W609" s="599"/>
      <c r="X609" s="599"/>
      <c r="Y609" s="879"/>
      <c r="Z609" s="85"/>
      <c r="AC609" s="493"/>
      <c r="AD609" s="495"/>
      <c r="AG609" s="22"/>
      <c r="AH609" s="55"/>
      <c r="AI609" s="55"/>
      <c r="AJ609" s="55"/>
      <c r="AK609" s="55"/>
      <c r="AO609" s="22"/>
      <c r="AP609" s="22"/>
      <c r="AQ609" s="22"/>
      <c r="AR609" s="22"/>
      <c r="AS609" s="22"/>
      <c r="AT609" s="22"/>
      <c r="AU609" s="35"/>
      <c r="AV609" s="35"/>
      <c r="AW609" s="35"/>
      <c r="AX609" s="35"/>
      <c r="AY609" s="35"/>
      <c r="AZ609" s="35"/>
      <c r="BA609" s="35"/>
      <c r="BB609" s="35"/>
      <c r="BC609" s="35"/>
      <c r="BD609" s="35"/>
      <c r="BE609" s="35"/>
      <c r="BF609" s="35"/>
      <c r="BG609" s="35"/>
      <c r="BH609" s="35"/>
      <c r="BI609" s="35"/>
      <c r="BJ609" s="35"/>
      <c r="BK609" s="35"/>
      <c r="BL609" s="35"/>
      <c r="BM609" s="35"/>
      <c r="BN609" s="35"/>
      <c r="BO609" s="86"/>
    </row>
    <row r="610" spans="1:67" s="20" customFormat="1" ht="16.5" thickBot="1" x14ac:dyDescent="0.3">
      <c r="A610" s="520">
        <f>IFERROR(VLOOKUP($G$5,'רשימת רשויות'!A:C,3,0),0)</f>
        <v>0</v>
      </c>
      <c r="B610" s="520">
        <f t="shared" si="81"/>
        <v>0</v>
      </c>
      <c r="C610" s="39"/>
      <c r="D610" s="1134"/>
      <c r="E610" s="1137"/>
      <c r="F610" s="585" t="s">
        <v>2196</v>
      </c>
      <c r="G610" s="89">
        <f>IF(G611="תקין",MAX(O611,0),0)</f>
        <v>0</v>
      </c>
      <c r="H610" s="88">
        <f>(IFERROR(IF((G609+G610)=0,0,IF(G607="קטן",G608*$AH$10,G608*$AH$11)),0))+(IFERROR(IF((G609+G610)=0,0,VLOOKUP(G606,'דוח ביצוע (3)'!$B:$AH,33,0)),0))</f>
        <v>0</v>
      </c>
      <c r="I610" s="88">
        <f>IFERROR(IF((G609+G610)=0,0,IF(G607="קטן",G608*$AI$10,G608*$AI$11)),0)</f>
        <v>0</v>
      </c>
      <c r="J610" s="88">
        <f>IFERROR(IF((G609+G610)=0,0,VLOOKUP(G606,'דוח ביצוע (3)'!$B:$AH,32,0)),0)</f>
        <v>0</v>
      </c>
      <c r="K610" s="90"/>
      <c r="L610" s="90"/>
      <c r="M610" s="399" t="s">
        <v>412</v>
      </c>
      <c r="N610" s="400">
        <f>IFERROR(VLOOKUP($G606,'דוח ביצוע (3)'!$B$21:$U$500,18,0),0)</f>
        <v>0</v>
      </c>
      <c r="O610" s="401">
        <f>IFERROR(VLOOKUP($G606,'דוח ביצוע (3)'!$B$21:$U$500,19,0),0)</f>
        <v>0</v>
      </c>
      <c r="P610" s="595"/>
      <c r="Q610" s="595"/>
      <c r="R610" s="596"/>
      <c r="S610" s="610"/>
      <c r="T610" s="881"/>
      <c r="U610" s="598"/>
      <c r="V610" s="599"/>
      <c r="W610" s="599"/>
      <c r="X610" s="599"/>
      <c r="Y610" s="879"/>
      <c r="Z610" s="85"/>
      <c r="AC610" s="493"/>
      <c r="AD610" s="495"/>
      <c r="AG610" s="22"/>
      <c r="AH610" s="55"/>
      <c r="AI610" s="55"/>
      <c r="AJ610" s="55"/>
      <c r="AK610" s="55"/>
      <c r="AO610" s="22"/>
      <c r="AP610" s="22"/>
      <c r="AQ610" s="22"/>
      <c r="AR610" s="22"/>
      <c r="AS610" s="22"/>
      <c r="AT610" s="22"/>
      <c r="AU610" s="35"/>
      <c r="AV610" s="35"/>
      <c r="AW610" s="35"/>
      <c r="AX610" s="35"/>
      <c r="AY610" s="35"/>
      <c r="AZ610" s="35"/>
      <c r="BA610" s="35"/>
      <c r="BB610" s="35"/>
      <c r="BC610" s="35"/>
      <c r="BD610" s="35"/>
      <c r="BE610" s="35"/>
      <c r="BF610" s="35"/>
      <c r="BG610" s="35"/>
      <c r="BH610" s="35"/>
      <c r="BI610" s="35"/>
      <c r="BJ610" s="35"/>
      <c r="BK610" s="35"/>
      <c r="BL610" s="35"/>
      <c r="BM610" s="35"/>
      <c r="BN610" s="35"/>
      <c r="BO610" s="86"/>
    </row>
    <row r="611" spans="1:67" s="20" customFormat="1" ht="16.5" thickBot="1" x14ac:dyDescent="0.3">
      <c r="A611" s="520">
        <f>IFERROR(VLOOKUP($G$5,'רשימת רשויות'!A:C,3,0),0)</f>
        <v>0</v>
      </c>
      <c r="B611" s="520">
        <f t="shared" si="81"/>
        <v>0</v>
      </c>
      <c r="C611" s="39"/>
      <c r="D611" s="1134"/>
      <c r="E611" s="1137"/>
      <c r="F611" s="586" t="s">
        <v>2355</v>
      </c>
      <c r="G611" s="514">
        <f>IFERROR(IF(VLOOKUP('בית ספר - תקצוב לפי מוסד (9)'!G606,' איוש משרות (8)'!$C:$K,9,0)="תקין","תקין","לא תקין"),0)</f>
        <v>0</v>
      </c>
      <c r="H611" s="91"/>
      <c r="I611" s="91"/>
      <c r="J611" s="91"/>
      <c r="K611" s="90"/>
      <c r="L611" s="90"/>
      <c r="M611" s="402" t="s">
        <v>2586</v>
      </c>
      <c r="N611" s="403">
        <f>IFERROR(MIN(N609,N610),0)</f>
        <v>0</v>
      </c>
      <c r="O611" s="404">
        <f>IFERROR(MIN(O609,O610),0)</f>
        <v>0</v>
      </c>
      <c r="P611" s="595"/>
      <c r="Q611" s="595"/>
      <c r="R611" s="596"/>
      <c r="S611" s="610"/>
      <c r="T611" s="881"/>
      <c r="U611" s="598"/>
      <c r="V611" s="599"/>
      <c r="W611" s="599"/>
      <c r="X611" s="599"/>
      <c r="Y611" s="879"/>
      <c r="Z611" s="85"/>
      <c r="AC611" s="493"/>
      <c r="AD611" s="495"/>
      <c r="AG611" s="94"/>
      <c r="AH611" s="40"/>
      <c r="AI611" s="40"/>
      <c r="AJ611" s="40"/>
      <c r="AK611" s="40"/>
      <c r="AO611" s="22"/>
      <c r="AP611" s="22"/>
      <c r="AQ611" s="22"/>
      <c r="AR611" s="22"/>
      <c r="AS611" s="22"/>
      <c r="AT611" s="22"/>
      <c r="AU611" s="35"/>
      <c r="AV611" s="35"/>
      <c r="AW611" s="35"/>
      <c r="AX611" s="35"/>
      <c r="AY611" s="35"/>
      <c r="AZ611" s="35"/>
      <c r="BA611" s="35"/>
      <c r="BB611" s="35"/>
      <c r="BC611" s="35"/>
      <c r="BD611" s="35"/>
      <c r="BE611" s="35"/>
      <c r="BF611" s="35"/>
      <c r="BG611" s="35"/>
      <c r="BH611" s="35"/>
      <c r="BI611" s="35"/>
      <c r="BJ611" s="35"/>
      <c r="BK611" s="35"/>
      <c r="BL611" s="35"/>
      <c r="BM611" s="35"/>
      <c r="BN611" s="35"/>
      <c r="BO611" s="86"/>
    </row>
    <row r="612" spans="1:67" s="55" customFormat="1" ht="37.15" customHeight="1" thickBot="1" x14ac:dyDescent="0.3">
      <c r="A612" s="520">
        <f>IFERROR(VLOOKUP($G$5,'רשימת רשויות'!A:C,3,0),0)</f>
        <v>0</v>
      </c>
      <c r="B612" s="520">
        <f t="shared" si="81"/>
        <v>0</v>
      </c>
      <c r="C612" s="39"/>
      <c r="D612" s="1134"/>
      <c r="E612" s="1137"/>
      <c r="F612" s="587" t="s">
        <v>142</v>
      </c>
      <c r="G612" s="92"/>
      <c r="H612" s="92"/>
      <c r="I612" s="92"/>
      <c r="J612" s="92"/>
      <c r="K612" s="602"/>
      <c r="L612" s="602"/>
      <c r="M612" s="602"/>
      <c r="N612" s="602"/>
      <c r="O612" s="602"/>
      <c r="P612" s="595"/>
      <c r="Q612" s="595"/>
      <c r="R612" s="596"/>
      <c r="S612" s="610"/>
      <c r="T612" s="881"/>
      <c r="U612" s="598"/>
      <c r="V612" s="599"/>
      <c r="W612" s="599"/>
      <c r="X612" s="599"/>
      <c r="Y612" s="879"/>
      <c r="Z612" s="93"/>
      <c r="AC612" s="493"/>
      <c r="AD612" s="495"/>
      <c r="AF612" s="22"/>
      <c r="AG612" s="98"/>
      <c r="AH612" s="98"/>
      <c r="AI612" s="40"/>
      <c r="AJ612" s="40"/>
      <c r="AK612" s="40"/>
      <c r="AO612" s="22"/>
      <c r="AP612" s="22"/>
      <c r="AQ612" s="22"/>
      <c r="AR612" s="22"/>
      <c r="AS612" s="22"/>
      <c r="AT612" s="22"/>
      <c r="AU612" s="35"/>
      <c r="AV612" s="35"/>
      <c r="AW612" s="35"/>
      <c r="AX612" s="35"/>
      <c r="AY612" s="35"/>
      <c r="AZ612" s="35"/>
      <c r="BA612" s="35"/>
      <c r="BB612" s="35"/>
      <c r="BC612" s="35"/>
      <c r="BD612" s="35"/>
      <c r="BE612" s="35"/>
      <c r="BF612" s="35"/>
      <c r="BG612" s="35"/>
      <c r="BH612" s="35"/>
      <c r="BI612" s="35"/>
      <c r="BJ612" s="35"/>
      <c r="BK612" s="35"/>
      <c r="BL612" s="35"/>
      <c r="BM612" s="35"/>
      <c r="BN612" s="35"/>
      <c r="BO612" s="86"/>
    </row>
    <row r="613" spans="1:67" s="40" customFormat="1" ht="31.5" x14ac:dyDescent="0.25">
      <c r="A613" s="520">
        <f>IFERROR(VLOOKUP($G$5,'רשימת רשויות'!A:C,3,0),0)</f>
        <v>0</v>
      </c>
      <c r="B613" s="520">
        <f t="shared" si="81"/>
        <v>0</v>
      </c>
      <c r="C613" s="39"/>
      <c r="D613" s="1134"/>
      <c r="E613" s="1137"/>
      <c r="F613" s="588" t="s">
        <v>94</v>
      </c>
      <c r="G613" s="95" t="s">
        <v>18</v>
      </c>
      <c r="H613" s="95" t="s">
        <v>19</v>
      </c>
      <c r="I613" s="95" t="s">
        <v>138</v>
      </c>
      <c r="J613" s="96" t="s">
        <v>139</v>
      </c>
      <c r="K613" s="603"/>
      <c r="L613" s="603"/>
      <c r="M613" s="603"/>
      <c r="N613" s="603"/>
      <c r="O613" s="603"/>
      <c r="P613" s="604"/>
      <c r="Q613" s="604"/>
      <c r="R613" s="596"/>
      <c r="S613" s="610"/>
      <c r="T613" s="881"/>
      <c r="U613" s="598"/>
      <c r="V613" s="599"/>
      <c r="W613" s="599"/>
      <c r="X613" s="599"/>
      <c r="Y613" s="879"/>
      <c r="Z613" s="97"/>
      <c r="AA613" s="94"/>
      <c r="AB613" s="94"/>
      <c r="AC613" s="493"/>
      <c r="AD613" s="495"/>
      <c r="AE613" s="94"/>
      <c r="AG613" s="98"/>
      <c r="AH613" s="98"/>
      <c r="AO613" s="22"/>
      <c r="AP613" s="22"/>
      <c r="AQ613" s="22"/>
      <c r="AR613" s="22"/>
      <c r="AS613" s="22"/>
      <c r="AT613" s="22"/>
      <c r="AU613" s="35"/>
      <c r="AV613" s="35"/>
      <c r="AW613" s="35"/>
      <c r="AX613" s="35"/>
      <c r="AY613" s="35"/>
      <c r="AZ613" s="35"/>
      <c r="BA613" s="35"/>
      <c r="BB613" s="35"/>
      <c r="BC613" s="35"/>
      <c r="BD613" s="35"/>
      <c r="BE613" s="35"/>
      <c r="BF613" s="35"/>
      <c r="BG613" s="35"/>
      <c r="BH613" s="35"/>
      <c r="BI613" s="35"/>
      <c r="BJ613" s="35"/>
      <c r="BK613" s="35"/>
      <c r="BL613" s="35"/>
      <c r="BM613" s="35"/>
      <c r="BN613" s="35"/>
      <c r="BO613" s="86"/>
    </row>
    <row r="614" spans="1:67" s="40" customFormat="1" ht="15.75" customHeight="1" thickBot="1" x14ac:dyDescent="0.3">
      <c r="A614" s="520">
        <f>IFERROR(VLOOKUP($G$5,'רשימת רשויות'!A:C,3,0),0)</f>
        <v>0</v>
      </c>
      <c r="B614" s="520">
        <f t="shared" si="81"/>
        <v>0</v>
      </c>
      <c r="C614" s="39"/>
      <c r="D614" s="1134"/>
      <c r="E614" s="1137"/>
      <c r="F614" s="589" t="s">
        <v>2280</v>
      </c>
      <c r="G614" s="99">
        <f>+G625</f>
        <v>0</v>
      </c>
      <c r="H614" s="100">
        <f>K608</f>
        <v>0</v>
      </c>
      <c r="I614" s="100">
        <f>H614-I616</f>
        <v>0</v>
      </c>
      <c r="J614" s="101">
        <f>IFERROR(I614/H614,0)</f>
        <v>0</v>
      </c>
      <c r="K614" s="603"/>
      <c r="L614" s="603"/>
      <c r="M614" s="603"/>
      <c r="N614" s="603"/>
      <c r="O614" s="603"/>
      <c r="P614" s="605"/>
      <c r="Q614" s="604"/>
      <c r="R614" s="606" t="s">
        <v>157</v>
      </c>
      <c r="S614" s="611"/>
      <c r="T614" s="881"/>
      <c r="U614" s="598"/>
      <c r="V614" s="599"/>
      <c r="W614" s="599"/>
      <c r="X614" s="599"/>
      <c r="Y614" s="879"/>
      <c r="Z614" s="102"/>
      <c r="AA614" s="122"/>
      <c r="AB614" s="122"/>
      <c r="AC614" s="493"/>
      <c r="AD614" s="495"/>
      <c r="AE614" s="122"/>
      <c r="AF614" s="22"/>
      <c r="AG614" s="98"/>
      <c r="AH614" s="98"/>
      <c r="AI614" s="20"/>
      <c r="AO614" s="22"/>
      <c r="AP614" s="22"/>
      <c r="AQ614" s="22"/>
      <c r="AR614" s="22"/>
      <c r="AS614" s="22"/>
      <c r="AT614" s="22"/>
      <c r="AU614" s="35"/>
      <c r="AV614" s="35"/>
      <c r="AW614" s="35"/>
      <c r="AX614" s="35"/>
      <c r="AY614" s="35"/>
      <c r="AZ614" s="35"/>
      <c r="BA614" s="35"/>
      <c r="BB614" s="35"/>
      <c r="BC614" s="35"/>
      <c r="BD614" s="35"/>
      <c r="BE614" s="35"/>
      <c r="BF614" s="35"/>
      <c r="BG614" s="35"/>
      <c r="BH614" s="35"/>
      <c r="BI614" s="35"/>
      <c r="BJ614" s="35"/>
      <c r="BK614" s="35"/>
      <c r="BL614" s="35"/>
      <c r="BM614" s="35"/>
      <c r="BN614" s="35"/>
      <c r="BO614" s="86"/>
    </row>
    <row r="615" spans="1:67" s="40" customFormat="1" ht="15.75" customHeight="1" thickBot="1" x14ac:dyDescent="0.3">
      <c r="A615" s="520">
        <f>IFERROR(VLOOKUP($G$5,'רשימת רשויות'!A:C,3,0),0)</f>
        <v>0</v>
      </c>
      <c r="B615" s="520">
        <f t="shared" si="81"/>
        <v>0</v>
      </c>
      <c r="C615" s="39"/>
      <c r="D615" s="1134"/>
      <c r="E615" s="1137"/>
      <c r="F615" s="589" t="s">
        <v>2281</v>
      </c>
      <c r="G615" s="99">
        <f>+G624</f>
        <v>0</v>
      </c>
      <c r="H615" s="103"/>
      <c r="I615" s="104"/>
      <c r="J615" s="105"/>
      <c r="K615" s="603"/>
      <c r="L615" s="603"/>
      <c r="M615" s="603"/>
      <c r="N615" s="603"/>
      <c r="O615" s="603"/>
      <c r="P615" s="605"/>
      <c r="Q615" s="604"/>
      <c r="R615" s="473">
        <f>I616-R617</f>
        <v>0</v>
      </c>
      <c r="S615" s="611"/>
      <c r="T615" s="881"/>
      <c r="U615" s="598"/>
      <c r="V615" s="599"/>
      <c r="W615" s="599"/>
      <c r="X615" s="599"/>
      <c r="Y615" s="879"/>
      <c r="Z615" s="106"/>
      <c r="AA615" s="22"/>
      <c r="AB615" s="22"/>
      <c r="AC615" s="493"/>
      <c r="AD615" s="495"/>
      <c r="AE615" s="22"/>
      <c r="AF615" s="22"/>
      <c r="AG615" s="98"/>
      <c r="AH615" s="98"/>
      <c r="AI615" s="20"/>
      <c r="AO615" s="22"/>
      <c r="AP615" s="22"/>
      <c r="AQ615" s="22"/>
      <c r="AR615" s="22"/>
      <c r="AS615" s="22"/>
      <c r="AT615" s="22"/>
      <c r="AU615" s="35"/>
      <c r="AV615" s="35"/>
      <c r="AW615" s="35"/>
      <c r="AX615" s="35"/>
      <c r="AY615" s="35"/>
      <c r="AZ615" s="35"/>
      <c r="BA615" s="35"/>
      <c r="BB615" s="35"/>
      <c r="BC615" s="35"/>
      <c r="BD615" s="35"/>
      <c r="BE615" s="35"/>
      <c r="BF615" s="35"/>
      <c r="BG615" s="35"/>
      <c r="BH615" s="35"/>
      <c r="BI615" s="35"/>
      <c r="BJ615" s="35"/>
      <c r="BK615" s="35"/>
      <c r="BL615" s="35"/>
      <c r="BM615" s="35"/>
      <c r="BN615" s="35"/>
      <c r="BO615" s="86"/>
    </row>
    <row r="616" spans="1:67" s="40" customFormat="1" ht="16.5" customHeight="1" thickBot="1" x14ac:dyDescent="0.3">
      <c r="A616" s="520">
        <f>IFERROR(VLOOKUP($G$5,'רשימת רשויות'!A:C,3,0),0)</f>
        <v>0</v>
      </c>
      <c r="B616" s="520">
        <f t="shared" si="81"/>
        <v>0</v>
      </c>
      <c r="C616" s="39"/>
      <c r="D616" s="1134"/>
      <c r="E616" s="1137"/>
      <c r="F616" s="589" t="s">
        <v>2282</v>
      </c>
      <c r="G616" s="99">
        <f>G620+G621+G622</f>
        <v>0</v>
      </c>
      <c r="H616" s="104"/>
      <c r="I616" s="107">
        <f>MAX(H614-G614-G615,0)</f>
        <v>0</v>
      </c>
      <c r="J616" s="108">
        <f>IFERROR(I616/H614,0)</f>
        <v>0</v>
      </c>
      <c r="K616" s="603"/>
      <c r="L616" s="603"/>
      <c r="M616" s="603"/>
      <c r="N616" s="603"/>
      <c r="O616" s="603"/>
      <c r="P616" s="604"/>
      <c r="Q616" s="604"/>
      <c r="R616" s="606" t="s">
        <v>158</v>
      </c>
      <c r="S616" s="612"/>
      <c r="T616" s="881"/>
      <c r="U616" s="598"/>
      <c r="V616" s="599"/>
      <c r="W616" s="599"/>
      <c r="X616" s="599"/>
      <c r="Y616" s="879"/>
      <c r="Z616" s="106"/>
      <c r="AA616" s="22"/>
      <c r="AB616" s="22"/>
      <c r="AC616" s="493"/>
      <c r="AD616" s="495"/>
      <c r="AE616" s="22"/>
      <c r="AF616" s="22"/>
      <c r="AG616" s="22"/>
      <c r="AH616" s="22"/>
      <c r="AI616" s="55"/>
      <c r="AJ616" s="22"/>
      <c r="AK616" s="22"/>
      <c r="AO616" s="22"/>
      <c r="AP616" s="22"/>
      <c r="AQ616" s="22"/>
      <c r="AR616" s="22"/>
      <c r="AS616" s="22"/>
      <c r="AT616" s="22"/>
      <c r="AU616" s="35"/>
      <c r="AV616" s="35"/>
      <c r="AW616" s="35"/>
      <c r="AX616" s="35"/>
      <c r="AY616" s="35"/>
      <c r="AZ616" s="35"/>
      <c r="BA616" s="35"/>
      <c r="BB616" s="35"/>
      <c r="BC616" s="35"/>
      <c r="BD616" s="35"/>
      <c r="BE616" s="35"/>
      <c r="BF616" s="35"/>
      <c r="BG616" s="35"/>
      <c r="BH616" s="35"/>
      <c r="BI616" s="35"/>
      <c r="BJ616" s="35"/>
      <c r="BK616" s="35"/>
      <c r="BL616" s="35"/>
      <c r="BM616" s="35"/>
      <c r="BN616" s="35"/>
      <c r="BO616" s="86"/>
    </row>
    <row r="617" spans="1:67" s="40" customFormat="1" ht="15.75" customHeight="1" thickBot="1" x14ac:dyDescent="0.3">
      <c r="A617" s="520">
        <f>IFERROR(VLOOKUP($G$5,'רשימת רשויות'!A:C,3,0),0)</f>
        <v>0</v>
      </c>
      <c r="B617" s="520">
        <f t="shared" si="81"/>
        <v>0</v>
      </c>
      <c r="C617" s="39"/>
      <c r="D617" s="1134"/>
      <c r="E617" s="1137"/>
      <c r="F617" s="590" t="s">
        <v>2290</v>
      </c>
      <c r="G617" s="109"/>
      <c r="H617" s="110"/>
      <c r="I617" s="111">
        <f>SUM(I614:I616)</f>
        <v>0</v>
      </c>
      <c r="J617" s="112">
        <f>SUM(J614:J616)</f>
        <v>0</v>
      </c>
      <c r="K617" s="603"/>
      <c r="L617" s="603"/>
      <c r="M617" s="603"/>
      <c r="N617" s="603"/>
      <c r="O617" s="603"/>
      <c r="P617" s="604"/>
      <c r="Q617" s="604"/>
      <c r="R617" s="473">
        <f>MIN(MAX(G621+G622-I610-J610,0),I616)</f>
        <v>0</v>
      </c>
      <c r="S617" s="612"/>
      <c r="T617" s="881"/>
      <c r="U617" s="598"/>
      <c r="V617" s="599"/>
      <c r="W617" s="599"/>
      <c r="X617" s="599"/>
      <c r="Y617" s="879"/>
      <c r="Z617" s="106"/>
      <c r="AA617" s="22"/>
      <c r="AB617" s="22"/>
      <c r="AC617" s="493"/>
      <c r="AD617" s="495"/>
      <c r="AE617" s="22"/>
      <c r="AF617" s="22"/>
      <c r="AG617" s="22"/>
      <c r="AH617" s="22"/>
      <c r="AJ617" s="22"/>
      <c r="AK617" s="22"/>
      <c r="AO617" s="22"/>
      <c r="AP617" s="22"/>
      <c r="AQ617" s="22"/>
      <c r="AR617" s="22"/>
      <c r="AS617" s="22"/>
      <c r="AT617" s="22"/>
      <c r="AU617" s="35"/>
      <c r="AV617" s="35"/>
      <c r="AW617" s="35"/>
      <c r="AX617" s="35"/>
      <c r="AY617" s="35"/>
      <c r="AZ617" s="35"/>
      <c r="BA617" s="35"/>
      <c r="BB617" s="35"/>
      <c r="BC617" s="35"/>
      <c r="BD617" s="35"/>
      <c r="BE617" s="35"/>
      <c r="BF617" s="35"/>
      <c r="BG617" s="35"/>
      <c r="BH617" s="35"/>
      <c r="BI617" s="35"/>
      <c r="BJ617" s="35"/>
      <c r="BK617" s="35"/>
      <c r="BL617" s="35"/>
      <c r="BM617" s="35"/>
      <c r="BN617" s="35"/>
      <c r="BO617" s="86"/>
    </row>
    <row r="618" spans="1:67" ht="16.5" thickBot="1" x14ac:dyDescent="0.3">
      <c r="A618" s="520">
        <f>IFERROR(VLOOKUP($G$5,'רשימת רשויות'!A:C,3,0),0)</f>
        <v>0</v>
      </c>
      <c r="B618" s="520">
        <f t="shared" si="81"/>
        <v>0</v>
      </c>
      <c r="D618" s="1134"/>
      <c r="E618" s="1137"/>
      <c r="F618" s="587" t="s">
        <v>17</v>
      </c>
      <c r="G618" s="113"/>
      <c r="H618" s="92"/>
      <c r="I618" s="114"/>
      <c r="J618" s="115"/>
      <c r="K618" s="116"/>
      <c r="L618" s="406"/>
      <c r="M618" s="116"/>
      <c r="N618" s="116"/>
      <c r="O618" s="116"/>
      <c r="P618" s="474"/>
      <c r="Q618" s="607"/>
      <c r="R618" s="608"/>
      <c r="S618" s="612"/>
      <c r="T618" s="881"/>
      <c r="U618" s="598"/>
      <c r="V618" s="599"/>
      <c r="W618" s="599"/>
      <c r="X618" s="599"/>
      <c r="Y618" s="879"/>
      <c r="Z618" s="106"/>
      <c r="AI618" s="40"/>
      <c r="BO618" s="86"/>
    </row>
    <row r="619" spans="1:67" ht="47.25" x14ac:dyDescent="0.25">
      <c r="A619" s="520">
        <f>IFERROR(VLOOKUP($G$5,'רשימת רשויות'!A:C,3,0),0)</f>
        <v>0</v>
      </c>
      <c r="B619" s="520">
        <f t="shared" si="81"/>
        <v>0</v>
      </c>
      <c r="D619" s="1134"/>
      <c r="E619" s="1137"/>
      <c r="F619" s="588" t="s">
        <v>2</v>
      </c>
      <c r="G619" s="95" t="s">
        <v>18</v>
      </c>
      <c r="H619" s="95" t="s">
        <v>19</v>
      </c>
      <c r="I619" s="95" t="s">
        <v>20</v>
      </c>
      <c r="J619" s="95" t="s">
        <v>22</v>
      </c>
      <c r="K619" s="96" t="s">
        <v>2314</v>
      </c>
      <c r="L619" s="609"/>
      <c r="M619" s="609"/>
      <c r="N619" s="609"/>
      <c r="O619" s="580"/>
      <c r="P619" s="618" t="s">
        <v>2298</v>
      </c>
      <c r="Q619" s="618" t="s">
        <v>2299</v>
      </c>
      <c r="R619" s="596"/>
      <c r="S619" s="890" t="s">
        <v>2519</v>
      </c>
      <c r="T619" s="890" t="s">
        <v>97</v>
      </c>
      <c r="U619" s="891" t="s">
        <v>2521</v>
      </c>
      <c r="V619" s="892" t="s">
        <v>2520</v>
      </c>
      <c r="W619" s="893" t="s">
        <v>2524</v>
      </c>
      <c r="X619" s="892" t="s">
        <v>2522</v>
      </c>
      <c r="Y619" s="894" t="s">
        <v>2523</v>
      </c>
      <c r="Z619" s="106"/>
      <c r="AC619" s="498" t="s">
        <v>2568</v>
      </c>
      <c r="AD619" s="499" t="s">
        <v>2569</v>
      </c>
      <c r="AF619" s="122"/>
      <c r="AI619" s="40"/>
      <c r="BO619" s="86"/>
    </row>
    <row r="620" spans="1:67" ht="15" customHeight="1" thickBot="1" x14ac:dyDescent="0.3">
      <c r="A620" s="520">
        <f>IFERROR(VLOOKUP($G$5,'רשימת רשויות'!A:C,3,0),0)</f>
        <v>0</v>
      </c>
      <c r="B620" s="520">
        <f t="shared" si="81"/>
        <v>0</v>
      </c>
      <c r="D620" s="1134"/>
      <c r="E620" s="1137"/>
      <c r="F620" s="589" t="s">
        <v>76</v>
      </c>
      <c r="G620" s="117">
        <f>IF(G611="תקין",SUMIF('עלויות כח אדם (6)'!$B$15:$B$3014,'בית ספר - תקצוב לפי מוסד (9)'!$G606,'עלויות כח אדם (6)'!$M$15:$M$3014)-VLOOKUP('בית ספר - תקצוב לפי מוסד (9)'!G606,' איוש משרות (8)'!$C:$H,5,0)-VLOOKUP('בית ספר - תקצוב לפי מוסד (9)'!G606,' איוש משרות (8)'!$C:$H,6,0),0)-Y620</f>
        <v>0</v>
      </c>
      <c r="H620" s="118">
        <f>I608+R615</f>
        <v>0</v>
      </c>
      <c r="I620" s="119">
        <f>IFERROR(SUM(G620)/H620,0)</f>
        <v>0</v>
      </c>
      <c r="J620" s="100">
        <f>MIN(I608+R615,IF(ISNUMBER(G620),G620,0))</f>
        <v>0</v>
      </c>
      <c r="K620" s="120">
        <f>MAX(H620-G620,0)</f>
        <v>0</v>
      </c>
      <c r="L620" s="407"/>
      <c r="M620" s="393"/>
      <c r="N620" s="393"/>
      <c r="O620" s="580"/>
      <c r="P620" s="968">
        <f>IFERROR(IF(SUM(G620)/(I608)&lt;100%,MIN((I608)-SUM(G620),(I608)*0.25),0),0)</f>
        <v>0</v>
      </c>
      <c r="Q620" s="968">
        <f>IF(SUM(G620)-(I608+R615)&gt;0,SUM(G620)-(I608+R615),0)</f>
        <v>0</v>
      </c>
      <c r="R620" s="596" t="s">
        <v>2351</v>
      </c>
      <c r="S620" s="576" t="s">
        <v>2342</v>
      </c>
      <c r="T620" s="599">
        <f>G606</f>
        <v>0</v>
      </c>
      <c r="U620" s="578"/>
      <c r="V620" s="579">
        <f>G620+G621+G622</f>
        <v>0</v>
      </c>
      <c r="W620" s="579">
        <f>U620-V620</f>
        <v>0</v>
      </c>
      <c r="X620" s="579">
        <f>IFERROR(W634*W620/(SUM(W620:W633)),0)</f>
        <v>0</v>
      </c>
      <c r="Y620" s="879">
        <f>SUMIFS(בקרה!$S:$S,בקרה!$D:$D,T620,בקרה!$K:$K,S620)</f>
        <v>0</v>
      </c>
      <c r="Z620" s="121"/>
      <c r="AA620" s="143"/>
      <c r="AB620" s="143"/>
      <c r="AC620" s="504">
        <v>0</v>
      </c>
      <c r="AD620" s="505">
        <f>IFERROR(U620-AC620,0)</f>
        <v>0</v>
      </c>
      <c r="AE620" s="143"/>
      <c r="AI620" s="20"/>
      <c r="BO620" s="86"/>
    </row>
    <row r="621" spans="1:67" ht="15" customHeight="1" thickBot="1" x14ac:dyDescent="0.3">
      <c r="A621" s="520">
        <f>IFERROR(VLOOKUP($G$5,'רשימת רשויות'!A:C,3,0),0)</f>
        <v>0</v>
      </c>
      <c r="B621" s="520">
        <f t="shared" si="81"/>
        <v>0</v>
      </c>
      <c r="D621" s="1134"/>
      <c r="E621" s="1137"/>
      <c r="F621" s="589" t="s">
        <v>44</v>
      </c>
      <c r="G621" s="123">
        <f>IF(G611="תקין",IFERROR(VLOOKUP('בית ספר - תקצוב לפי מוסד (9)'!G606,' איוש משרות (8)'!C:J,7,0),0),0)</f>
        <v>0</v>
      </c>
      <c r="H621" s="124">
        <f>I610+R617+J610</f>
        <v>0</v>
      </c>
      <c r="I621" s="119">
        <f>IFERROR(SUM(G621:G622)/H621,0)</f>
        <v>0</v>
      </c>
      <c r="J621" s="100">
        <f>MIN(R617+I610,IF(ISNUMBER(SUM(G621:G622)),SUM(G621:G622),0))</f>
        <v>0</v>
      </c>
      <c r="K621" s="1139">
        <f>MAX((H621)-(G621+G622),0)</f>
        <v>0</v>
      </c>
      <c r="L621" s="407"/>
      <c r="M621" s="393"/>
      <c r="N621" s="393"/>
      <c r="O621" s="580"/>
      <c r="P621" s="1140"/>
      <c r="Q621" s="1140"/>
      <c r="R621" s="617">
        <f>MAX(MIN(P629-Q629,H629*0.15-G627),0)</f>
        <v>0</v>
      </c>
      <c r="S621" s="576"/>
      <c r="T621" s="599">
        <f>G606</f>
        <v>0</v>
      </c>
      <c r="U621" s="578"/>
      <c r="V621" s="579"/>
      <c r="W621" s="579">
        <f t="shared" ref="W621:W633" si="86">U621-V621</f>
        <v>0</v>
      </c>
      <c r="X621" s="579"/>
      <c r="Y621" s="879"/>
      <c r="Z621" s="121"/>
      <c r="AA621" s="143"/>
      <c r="AB621" s="143"/>
      <c r="AC621" s="504"/>
      <c r="AD621" s="505">
        <f t="shared" ref="AD621:AD627" si="87">IFERROR(U621-AC621,0)</f>
        <v>0</v>
      </c>
      <c r="AE621" s="143"/>
      <c r="AI621" s="20"/>
      <c r="BO621" s="86"/>
    </row>
    <row r="622" spans="1:67" ht="15.75" customHeight="1" x14ac:dyDescent="0.25">
      <c r="A622" s="520">
        <f>IFERROR(VLOOKUP($G$5,'רשימת רשויות'!A:C,3,0),0)</f>
        <v>0</v>
      </c>
      <c r="B622" s="520">
        <f t="shared" si="81"/>
        <v>0</v>
      </c>
      <c r="D622" s="1134"/>
      <c r="E622" s="1137"/>
      <c r="F622" s="589" t="s">
        <v>45</v>
      </c>
      <c r="G622" s="123">
        <f>IF(G611="תקין",IFERROR(VLOOKUP('בית ספר - תקצוב לפי מוסד (9)'!G606,' איוש משרות (8)'!C:J,8,0),0),0)</f>
        <v>0</v>
      </c>
      <c r="H622" s="125"/>
      <c r="I622" s="126"/>
      <c r="J622" s="104"/>
      <c r="K622" s="1139"/>
      <c r="L622" s="407"/>
      <c r="M622" s="393"/>
      <c r="N622" s="393"/>
      <c r="O622" s="580"/>
      <c r="P622" s="1140"/>
      <c r="Q622" s="1140"/>
      <c r="R622" s="596"/>
      <c r="S622" s="576"/>
      <c r="T622" s="599">
        <f>G606</f>
        <v>0</v>
      </c>
      <c r="U622" s="578"/>
      <c r="V622" s="579"/>
      <c r="W622" s="579">
        <f t="shared" si="86"/>
        <v>0</v>
      </c>
      <c r="X622" s="579"/>
      <c r="Y622" s="879"/>
      <c r="Z622" s="121"/>
      <c r="AA622" s="143"/>
      <c r="AB622" s="143"/>
      <c r="AC622" s="504"/>
      <c r="AD622" s="505">
        <f t="shared" si="87"/>
        <v>0</v>
      </c>
      <c r="AE622" s="143"/>
      <c r="AG622" s="55"/>
      <c r="AH622" s="55"/>
      <c r="AI622" s="55"/>
      <c r="AJ622" s="55"/>
      <c r="AK622" s="55"/>
      <c r="BO622" s="86"/>
    </row>
    <row r="623" spans="1:67" ht="15.75" customHeight="1" x14ac:dyDescent="0.25">
      <c r="A623" s="520">
        <f>IFERROR(VLOOKUP($G$5,'רשימת רשויות'!A:C,3,0),0)</f>
        <v>0</v>
      </c>
      <c r="B623" s="520">
        <f t="shared" si="81"/>
        <v>0</v>
      </c>
      <c r="D623" s="1134"/>
      <c r="E623" s="1137"/>
      <c r="F623" s="589" t="s">
        <v>0</v>
      </c>
      <c r="G623" s="117">
        <f>IF(G611="תקין",SUMIFS('דוח הוצאות בפועל (4)'!$E$17:$E$3016,'דוח הוצאות בפועל (4)'!$B$17:$B$3016,'בית ספר - תקצוב לפי מוסד (9)'!$G606,'דוח הוצאות בפועל (4)'!$M$17:$M$3016,"הע"),0)-Y623</f>
        <v>0</v>
      </c>
      <c r="H623" s="127">
        <f>J608</f>
        <v>0</v>
      </c>
      <c r="I623" s="128">
        <f>IFERROR(G623/H623,0)</f>
        <v>0</v>
      </c>
      <c r="J623" s="129">
        <f>MIN(IF(ISNUMBER(G623),G623,0),H623)</f>
        <v>0</v>
      </c>
      <c r="K623" s="120">
        <f>MAX(H623-G623,0)</f>
        <v>0</v>
      </c>
      <c r="L623" s="407"/>
      <c r="M623" s="393"/>
      <c r="N623" s="393"/>
      <c r="O623" s="580"/>
      <c r="P623" s="968">
        <f>MAX(IF(I623&lt;100%,MIN((H623-G623),H623*0.25),0),0)</f>
        <v>0</v>
      </c>
      <c r="Q623" s="619">
        <f>IF(G623-H623&gt;0,G623-H623,0)</f>
        <v>0</v>
      </c>
      <c r="R623" s="596"/>
      <c r="S623" s="610" t="s">
        <v>0</v>
      </c>
      <c r="T623" s="599">
        <f>G606</f>
        <v>0</v>
      </c>
      <c r="U623" s="578"/>
      <c r="V623" s="579">
        <f>G623</f>
        <v>0</v>
      </c>
      <c r="W623" s="579">
        <f t="shared" si="86"/>
        <v>0</v>
      </c>
      <c r="X623" s="579">
        <f>IFERROR(W634*W623/(SUM(W620:W633)),0)</f>
        <v>0</v>
      </c>
      <c r="Y623" s="879">
        <f>SUMIFS(בקרה!$S:$S,בקרה!$D:$D,T623,בקרה!$K:$K,S623)</f>
        <v>0</v>
      </c>
      <c r="Z623" s="121"/>
      <c r="AA623" s="143"/>
      <c r="AB623" s="143"/>
      <c r="AC623" s="504">
        <v>0</v>
      </c>
      <c r="AD623" s="505">
        <f t="shared" si="87"/>
        <v>0</v>
      </c>
      <c r="AE623" s="143"/>
      <c r="AG623" s="55"/>
      <c r="AH623" s="55"/>
      <c r="AI623" s="40"/>
      <c r="AJ623" s="55"/>
      <c r="AK623" s="55"/>
      <c r="BO623" s="86"/>
    </row>
    <row r="624" spans="1:67" s="55" customFormat="1" ht="15.75" customHeight="1" x14ac:dyDescent="0.25">
      <c r="A624" s="520">
        <f>IFERROR(VLOOKUP($G$5,'רשימת רשויות'!A:C,3,0),0)</f>
        <v>0</v>
      </c>
      <c r="B624" s="520">
        <f t="shared" si="81"/>
        <v>0</v>
      </c>
      <c r="C624" s="39"/>
      <c r="D624" s="1134"/>
      <c r="E624" s="1137"/>
      <c r="F624" s="589" t="s">
        <v>93</v>
      </c>
      <c r="G624" s="130">
        <f>IF(G611="תקין",SUMIFS('דוח הוצאות בפועל (4)'!$E$17:$E$3016,'דוח הוצאות בפועל (4)'!$B$17:$B$3016,'בית ספר - תקצוב לפי מוסד (9)'!$G606,'דוח הוצאות בפועל (4)'!$M$17:$M$3016,"אר"),0)-Y624</f>
        <v>0</v>
      </c>
      <c r="H624" s="118">
        <f>$I614</f>
        <v>0</v>
      </c>
      <c r="I624" s="131">
        <f>IFERROR((G624+G625)/H624,0)</f>
        <v>0</v>
      </c>
      <c r="J624" s="100">
        <f>MIN((IF(ISNUMBER(G624),G624,0)+IF(ISNUMBER(G625),G625,0)),H624)</f>
        <v>0</v>
      </c>
      <c r="K624" s="1139">
        <f>MAX((H624)-(G624+G625),0)</f>
        <v>0</v>
      </c>
      <c r="L624" s="407"/>
      <c r="M624" s="393"/>
      <c r="N624" s="393"/>
      <c r="O624" s="602"/>
      <c r="P624" s="1141"/>
      <c r="Q624" s="1142"/>
      <c r="R624" s="596"/>
      <c r="S624" s="610" t="s">
        <v>93</v>
      </c>
      <c r="T624" s="599">
        <f>G606</f>
        <v>0</v>
      </c>
      <c r="U624" s="578"/>
      <c r="V624" s="579">
        <f t="shared" ref="V624:V625" si="88">G624</f>
        <v>0</v>
      </c>
      <c r="W624" s="579">
        <f t="shared" si="86"/>
        <v>0</v>
      </c>
      <c r="X624" s="579">
        <f>IFERROR(W634*W624/(SUM(W620:W633)),0)</f>
        <v>0</v>
      </c>
      <c r="Y624" s="879">
        <f>SUMIFS(בקרה!$S:$S,בקרה!$D:$D,T624,בקרה!$K:$K,S624)</f>
        <v>0</v>
      </c>
      <c r="Z624" s="121"/>
      <c r="AA624" s="143"/>
      <c r="AB624" s="143"/>
      <c r="AC624" s="504">
        <v>0</v>
      </c>
      <c r="AD624" s="505">
        <f t="shared" si="87"/>
        <v>0</v>
      </c>
      <c r="AE624" s="143"/>
      <c r="AJ624" s="22"/>
      <c r="AO624" s="22"/>
      <c r="AP624" s="22"/>
      <c r="AQ624" s="22"/>
      <c r="AR624" s="22"/>
      <c r="AS624" s="22"/>
      <c r="AT624" s="22"/>
      <c r="AU624" s="35"/>
      <c r="AV624" s="35"/>
      <c r="AW624" s="35"/>
      <c r="AX624" s="35"/>
      <c r="AY624" s="35"/>
      <c r="AZ624" s="35"/>
      <c r="BA624" s="35"/>
      <c r="BB624" s="35"/>
      <c r="BC624" s="35"/>
      <c r="BD624" s="35"/>
      <c r="BE624" s="35"/>
      <c r="BF624" s="35"/>
      <c r="BG624" s="35"/>
      <c r="BH624" s="35"/>
      <c r="BI624" s="35"/>
      <c r="BJ624" s="35"/>
      <c r="BK624" s="35"/>
      <c r="BL624" s="35"/>
      <c r="BM624" s="35"/>
      <c r="BN624" s="35"/>
      <c r="BO624" s="86"/>
    </row>
    <row r="625" spans="1:67" s="55" customFormat="1" ht="15.75" customHeight="1" x14ac:dyDescent="0.25">
      <c r="A625" s="520">
        <f>IFERROR(VLOOKUP($G$5,'רשימת רשויות'!A:C,3,0),0)</f>
        <v>0</v>
      </c>
      <c r="B625" s="520">
        <f t="shared" si="81"/>
        <v>0</v>
      </c>
      <c r="C625" s="39"/>
      <c r="D625" s="1134"/>
      <c r="E625" s="1137"/>
      <c r="F625" s="589" t="s">
        <v>46</v>
      </c>
      <c r="G625" s="130">
        <f>IF(G611="תקין",SUMIFS('דוח הוצאות בפועל (4)'!$E$17:$E$3016,'דוח הוצאות בפועל (4)'!$B$17:$B$3016,'בית ספר - תקצוב לפי מוסד (9)'!$G606,'דוח הוצאות בפועל (4)'!$M$17:$M$3016,"מל"),0)-Y625</f>
        <v>0</v>
      </c>
      <c r="H625" s="132"/>
      <c r="I625" s="133"/>
      <c r="J625" s="104"/>
      <c r="K625" s="1139"/>
      <c r="L625" s="407"/>
      <c r="M625" s="393"/>
      <c r="N625" s="393"/>
      <c r="O625" s="602"/>
      <c r="P625" s="1141"/>
      <c r="Q625" s="1142"/>
      <c r="R625" s="596"/>
      <c r="S625" s="610" t="s">
        <v>46</v>
      </c>
      <c r="T625" s="599">
        <f>G606</f>
        <v>0</v>
      </c>
      <c r="U625" s="578"/>
      <c r="V625" s="579">
        <f t="shared" si="88"/>
        <v>0</v>
      </c>
      <c r="W625" s="579">
        <f t="shared" si="86"/>
        <v>0</v>
      </c>
      <c r="X625" s="579">
        <f>IFERROR(W634*W625/(SUM(W620:W633)),0)</f>
        <v>0</v>
      </c>
      <c r="Y625" s="879">
        <f>SUMIFS(בקרה!$S:$S,בקרה!$D:$D,T625,בקרה!$K:$K,S625)</f>
        <v>0</v>
      </c>
      <c r="Z625" s="121"/>
      <c r="AA625" s="143"/>
      <c r="AB625" s="143"/>
      <c r="AC625" s="504">
        <v>0</v>
      </c>
      <c r="AD625" s="505">
        <f t="shared" si="87"/>
        <v>0</v>
      </c>
      <c r="AE625" s="143"/>
      <c r="AJ625" s="22"/>
      <c r="AO625" s="22"/>
      <c r="AP625" s="22"/>
      <c r="AQ625" s="22"/>
      <c r="AR625" s="22"/>
      <c r="AS625" s="22"/>
      <c r="AT625" s="22"/>
      <c r="AU625" s="35"/>
      <c r="AV625" s="35"/>
      <c r="AW625" s="35"/>
      <c r="AX625" s="35"/>
      <c r="AY625" s="35"/>
      <c r="AZ625" s="35"/>
      <c r="BA625" s="35"/>
      <c r="BB625" s="35"/>
      <c r="BC625" s="35"/>
      <c r="BD625" s="35"/>
      <c r="BE625" s="35"/>
      <c r="BF625" s="35"/>
      <c r="BG625" s="35"/>
      <c r="BH625" s="35"/>
      <c r="BI625" s="35"/>
      <c r="BJ625" s="35"/>
      <c r="BK625" s="35"/>
      <c r="BL625" s="35"/>
      <c r="BM625" s="35"/>
      <c r="BN625" s="35"/>
      <c r="BO625" s="86"/>
    </row>
    <row r="626" spans="1:67" s="55" customFormat="1" ht="15" customHeight="1" x14ac:dyDescent="0.25">
      <c r="A626" s="520">
        <f>IFERROR(VLOOKUP($G$5,'רשימת רשויות'!A:C,3,0),0)</f>
        <v>0</v>
      </c>
      <c r="B626" s="520">
        <f t="shared" si="81"/>
        <v>0</v>
      </c>
      <c r="C626" s="39"/>
      <c r="D626" s="1134"/>
      <c r="E626" s="1137"/>
      <c r="F626" s="591" t="s">
        <v>23</v>
      </c>
      <c r="G626" s="134">
        <f>SUM(G620:G625)</f>
        <v>0</v>
      </c>
      <c r="H626" s="135">
        <f>SUM(H620:H625)</f>
        <v>0</v>
      </c>
      <c r="I626" s="128">
        <f>IFERROR(G626/H626,0)</f>
        <v>0</v>
      </c>
      <c r="J626" s="136">
        <f>SUM(J620:J625)</f>
        <v>0</v>
      </c>
      <c r="K626" s="137">
        <f>SUM(K620:K625)</f>
        <v>0</v>
      </c>
      <c r="L626" s="408"/>
      <c r="M626" s="394"/>
      <c r="N626" s="394"/>
      <c r="O626" s="602"/>
      <c r="P626" s="620">
        <f>SUM(P620:P625)</f>
        <v>0</v>
      </c>
      <c r="Q626" s="620">
        <f>SUM(Q620:Q625)</f>
        <v>0</v>
      </c>
      <c r="R626" s="596"/>
      <c r="S626" s="610"/>
      <c r="T626" s="599">
        <f>G606</f>
        <v>0</v>
      </c>
      <c r="U626" s="578"/>
      <c r="V626" s="579"/>
      <c r="W626" s="579">
        <f t="shared" si="86"/>
        <v>0</v>
      </c>
      <c r="X626" s="579"/>
      <c r="Y626" s="879"/>
      <c r="Z626" s="121"/>
      <c r="AA626" s="143"/>
      <c r="AB626" s="143"/>
      <c r="AC626" s="504"/>
      <c r="AD626" s="505">
        <f t="shared" si="87"/>
        <v>0</v>
      </c>
      <c r="AE626" s="143"/>
      <c r="AJ626" s="22"/>
      <c r="AL626" s="22"/>
      <c r="AM626" s="22"/>
      <c r="AN626" s="22"/>
      <c r="AO626" s="22"/>
      <c r="AP626" s="22"/>
      <c r="AQ626" s="22"/>
      <c r="AR626" s="22"/>
      <c r="AS626" s="22"/>
      <c r="AT626" s="22"/>
      <c r="AU626" s="35"/>
      <c r="AV626" s="35"/>
      <c r="AW626" s="35"/>
      <c r="AX626" s="35"/>
      <c r="AY626" s="35"/>
      <c r="AZ626" s="35"/>
      <c r="BA626" s="35"/>
      <c r="BB626" s="35"/>
      <c r="BC626" s="35"/>
      <c r="BD626" s="35"/>
      <c r="BE626" s="35"/>
      <c r="BF626" s="35"/>
      <c r="BG626" s="35"/>
      <c r="BH626" s="35"/>
      <c r="BI626" s="35"/>
      <c r="BJ626" s="35"/>
      <c r="BK626" s="35"/>
      <c r="BL626" s="35"/>
      <c r="BM626" s="35"/>
      <c r="BN626" s="35"/>
      <c r="BO626" s="86"/>
    </row>
    <row r="627" spans="1:67" s="55" customFormat="1" ht="15" customHeight="1" x14ac:dyDescent="0.25">
      <c r="A627" s="520">
        <f>IFERROR(VLOOKUP($G$5,'רשימת רשויות'!A:C,3,0),0)</f>
        <v>0</v>
      </c>
      <c r="B627" s="520">
        <f t="shared" si="81"/>
        <v>0</v>
      </c>
      <c r="C627" s="39"/>
      <c r="D627" s="1134"/>
      <c r="E627" s="1137"/>
      <c r="F627" s="589" t="s">
        <v>3</v>
      </c>
      <c r="G627" s="117">
        <f>IF(G611="תקין",SUMIFS('דוח הוצאות בפועל (4)'!$E$17:$E$3016,'דוח הוצאות בפועל (4)'!$B$17:$B$3016,'בית ספר - תקצוב לפי מוסד (9)'!$G606,'דוח הוצאות בפועל (4)'!$M$17:$M$3016,"ני")+SUMIFS('דוח הוצאות בפועל (4)'!$E$17:$E$3016,'דוח הוצאות בפועל (4)'!$B$17:$B$3016,'בית ספר - תקצוב לפי מוסד (9)'!$G606,'דוח הוצאות בפועל (4)'!$M$17:$M$3016,"על"),0)-Y627</f>
        <v>0</v>
      </c>
      <c r="H627" s="117">
        <f>H608</f>
        <v>0</v>
      </c>
      <c r="I627" s="138">
        <f>IFERROR(G627/H627,0)</f>
        <v>0</v>
      </c>
      <c r="J627" s="117">
        <f>IFERROR(IF(G627/H629&gt;0.15,MIN(H629*0.15,H627),MIN(H627,IF(ISNUMBER(G627),G627,0))),0)</f>
        <v>0</v>
      </c>
      <c r="K627" s="120">
        <f>MAX(H627-G627,0)</f>
        <v>0</v>
      </c>
      <c r="L627" s="407"/>
      <c r="M627" s="393"/>
      <c r="N627" s="393"/>
      <c r="O627" s="602"/>
      <c r="P627" s="620">
        <f>IF(I627&lt;100%,MIN(H627-G627,H627*0.25),0)</f>
        <v>0</v>
      </c>
      <c r="Q627" s="620">
        <f>MAX(MIN(IF(G627-H627&gt;0,G627-H627,0),$H629*0.15-H627-J628),0)</f>
        <v>0</v>
      </c>
      <c r="R627" s="596"/>
      <c r="S627" s="610" t="s">
        <v>3</v>
      </c>
      <c r="T627" s="599">
        <f>G606</f>
        <v>0</v>
      </c>
      <c r="U627" s="578"/>
      <c r="V627" s="579">
        <f t="shared" ref="V627" si="89">G627</f>
        <v>0</v>
      </c>
      <c r="W627" s="579">
        <f t="shared" si="86"/>
        <v>0</v>
      </c>
      <c r="X627" s="579"/>
      <c r="Y627" s="879"/>
      <c r="Z627" s="121"/>
      <c r="AA627" s="143"/>
      <c r="AB627" s="143"/>
      <c r="AC627" s="504">
        <v>0</v>
      </c>
      <c r="AD627" s="505">
        <f t="shared" si="87"/>
        <v>0</v>
      </c>
      <c r="AE627" s="143"/>
      <c r="AG627" s="22"/>
      <c r="AH627" s="22"/>
      <c r="AI627" s="22"/>
      <c r="AJ627" s="22"/>
      <c r="AK627" s="22"/>
      <c r="AL627" s="22"/>
      <c r="AM627" s="22"/>
      <c r="AN627" s="22"/>
      <c r="AO627" s="22"/>
      <c r="AP627" s="22"/>
      <c r="AQ627" s="22"/>
      <c r="AR627" s="22"/>
      <c r="AS627" s="22"/>
      <c r="AT627" s="22"/>
      <c r="AU627" s="35"/>
      <c r="AV627" s="35"/>
      <c r="AW627" s="35"/>
      <c r="AX627" s="35"/>
      <c r="AY627" s="35"/>
      <c r="AZ627" s="35"/>
      <c r="BA627" s="35"/>
      <c r="BB627" s="35"/>
      <c r="BC627" s="35"/>
      <c r="BD627" s="35"/>
      <c r="BE627" s="35"/>
      <c r="BF627" s="35"/>
      <c r="BG627" s="35"/>
      <c r="BH627" s="35"/>
      <c r="BI627" s="35"/>
      <c r="BJ627" s="35"/>
      <c r="BK627" s="35"/>
      <c r="BL627" s="35"/>
      <c r="BM627" s="35"/>
      <c r="BN627" s="35"/>
      <c r="BO627" s="86"/>
    </row>
    <row r="628" spans="1:67" s="55" customFormat="1" ht="15.75" customHeight="1" x14ac:dyDescent="0.25">
      <c r="A628" s="520">
        <f>IFERROR(VLOOKUP($G$5,'רשימת רשויות'!A:C,3,0),0)</f>
        <v>0</v>
      </c>
      <c r="B628" s="520">
        <f t="shared" si="81"/>
        <v>0</v>
      </c>
      <c r="C628" s="39"/>
      <c r="D628" s="1134"/>
      <c r="E628" s="1137"/>
      <c r="F628" s="589" t="s">
        <v>2918</v>
      </c>
      <c r="G628" s="117">
        <f>0.07*(G622+G621)</f>
        <v>0</v>
      </c>
      <c r="H628" s="117">
        <f>H610</f>
        <v>0</v>
      </c>
      <c r="I628" s="138">
        <f>IFERROR(G628/H628,0)</f>
        <v>0</v>
      </c>
      <c r="J628" s="117">
        <f>IFERROR(MIN(0.07*(G621+G622),0.07*I610),0)</f>
        <v>0</v>
      </c>
      <c r="K628" s="120">
        <f>MAX(H628-G628,0)</f>
        <v>0</v>
      </c>
      <c r="L628" s="407"/>
      <c r="M628" s="393"/>
      <c r="N628" s="393"/>
      <c r="O628" s="602"/>
      <c r="P628" s="620"/>
      <c r="Q628" s="619"/>
      <c r="R628" s="596"/>
      <c r="S628" s="611"/>
      <c r="T628" s="599">
        <f>G606</f>
        <v>0</v>
      </c>
      <c r="U628" s="578"/>
      <c r="V628" s="579"/>
      <c r="W628" s="579">
        <f t="shared" si="86"/>
        <v>0</v>
      </c>
      <c r="X628" s="579"/>
      <c r="Y628" s="879"/>
      <c r="Z628" s="121"/>
      <c r="AA628" s="143"/>
      <c r="AB628" s="143"/>
      <c r="AC628" s="504"/>
      <c r="AD628" s="505"/>
      <c r="AE628" s="143"/>
      <c r="AF628" s="140"/>
      <c r="AG628" s="22"/>
      <c r="AH628" s="22"/>
      <c r="AI628" s="22"/>
      <c r="AJ628" s="22"/>
      <c r="AK628" s="22"/>
      <c r="AL628" s="22"/>
      <c r="AM628" s="22"/>
      <c r="AN628" s="22"/>
      <c r="AO628" s="22"/>
      <c r="AP628" s="22"/>
      <c r="AQ628" s="22"/>
      <c r="AR628" s="22"/>
      <c r="AS628" s="22"/>
      <c r="AT628" s="22"/>
      <c r="AU628" s="35"/>
      <c r="AV628" s="35"/>
      <c r="AW628" s="35"/>
      <c r="AX628" s="35"/>
      <c r="AY628" s="35"/>
      <c r="AZ628" s="35"/>
      <c r="BA628" s="35"/>
      <c r="BB628" s="35"/>
      <c r="BC628" s="35"/>
      <c r="BD628" s="35"/>
      <c r="BE628" s="35"/>
      <c r="BF628" s="35"/>
      <c r="BG628" s="35"/>
      <c r="BH628" s="35"/>
      <c r="BI628" s="35"/>
      <c r="BJ628" s="35"/>
      <c r="BK628" s="35"/>
      <c r="BL628" s="35"/>
      <c r="BM628" s="35"/>
      <c r="BN628" s="35"/>
      <c r="BO628" s="86"/>
    </row>
    <row r="629" spans="1:67" ht="15.75" customHeight="1" x14ac:dyDescent="0.25">
      <c r="A629" s="520">
        <f>IFERROR(VLOOKUP($G$5,'רשימת רשויות'!A:C,3,0),0)</f>
        <v>0</v>
      </c>
      <c r="B629" s="520">
        <f t="shared" si="81"/>
        <v>0</v>
      </c>
      <c r="D629" s="1134"/>
      <c r="E629" s="1137"/>
      <c r="F629" s="591" t="s">
        <v>15</v>
      </c>
      <c r="G629" s="134">
        <f>G626+G627+G628</f>
        <v>0</v>
      </c>
      <c r="H629" s="134">
        <f>H626+H627+H628</f>
        <v>0</v>
      </c>
      <c r="I629" s="138">
        <f>IFERROR(G629/H629,0)</f>
        <v>0</v>
      </c>
      <c r="J629" s="139">
        <f>J626+J627+J628</f>
        <v>0</v>
      </c>
      <c r="K629" s="137">
        <f>K627+K626+K628</f>
        <v>0</v>
      </c>
      <c r="L629" s="408"/>
      <c r="M629" s="394"/>
      <c r="N629" s="394"/>
      <c r="O629" s="602"/>
      <c r="P629" s="621">
        <f>SUM(P626:P627)</f>
        <v>0</v>
      </c>
      <c r="Q629" s="622">
        <f>Q626+Q627</f>
        <v>0</v>
      </c>
      <c r="R629" s="596"/>
      <c r="S629" s="611"/>
      <c r="T629" s="599">
        <f>G606</f>
        <v>0</v>
      </c>
      <c r="U629" s="578"/>
      <c r="V629" s="579"/>
      <c r="W629" s="579">
        <f t="shared" si="86"/>
        <v>0</v>
      </c>
      <c r="X629" s="579"/>
      <c r="Y629" s="879"/>
      <c r="Z629" s="106"/>
      <c r="AC629" s="504"/>
      <c r="AD629" s="505"/>
      <c r="AH629" s="143"/>
      <c r="BO629" s="86"/>
    </row>
    <row r="630" spans="1:67" ht="15.75" customHeight="1" x14ac:dyDescent="0.25">
      <c r="A630" s="520">
        <f>IFERROR(VLOOKUP($G$5,'רשימת רשויות'!A:C,3,0),0)</f>
        <v>0</v>
      </c>
      <c r="B630" s="520">
        <f t="shared" si="81"/>
        <v>0</v>
      </c>
      <c r="D630" s="1134"/>
      <c r="E630" s="1137"/>
      <c r="F630" s="589" t="s">
        <v>2261</v>
      </c>
      <c r="G630" s="117">
        <f>IF(G611="תקין",SUMIF('תשלומי הורים ומלגות להורים (5) '!$B$18:$B$517,$G606,'תשלומי הורים ומלגות להורים (5) '!$C$18:$C$517),0)</f>
        <v>0</v>
      </c>
      <c r="H630" s="117">
        <f>(G609+G610)*$G$7</f>
        <v>0</v>
      </c>
      <c r="I630" s="141"/>
      <c r="J630" s="141"/>
      <c r="K630" s="142"/>
      <c r="L630" s="395"/>
      <c r="M630" s="395"/>
      <c r="N630" s="395"/>
      <c r="O630" s="602"/>
      <c r="P630" s="623"/>
      <c r="Q630" s="619"/>
      <c r="R630" s="596"/>
      <c r="S630" s="612"/>
      <c r="T630" s="599">
        <f>G606</f>
        <v>0</v>
      </c>
      <c r="U630" s="578"/>
      <c r="V630" s="579"/>
      <c r="W630" s="579">
        <f t="shared" si="86"/>
        <v>0</v>
      </c>
      <c r="X630" s="579"/>
      <c r="Y630" s="879"/>
      <c r="Z630" s="121"/>
      <c r="AA630" s="143"/>
      <c r="AB630" s="143"/>
      <c r="AC630" s="504"/>
      <c r="AD630" s="505"/>
      <c r="AE630" s="143"/>
      <c r="AF630" s="148"/>
      <c r="BO630" s="86"/>
    </row>
    <row r="631" spans="1:67" ht="15.75" customHeight="1" thickBot="1" x14ac:dyDescent="0.3">
      <c r="A631" s="520">
        <f>IFERROR(VLOOKUP($G$5,'רשימת רשויות'!A:C,3,0),0)</f>
        <v>0</v>
      </c>
      <c r="B631" s="520">
        <f t="shared" si="81"/>
        <v>0</v>
      </c>
      <c r="D631" s="1134"/>
      <c r="E631" s="1137"/>
      <c r="F631" s="592" t="s">
        <v>21</v>
      </c>
      <c r="G631" s="144">
        <f>G629-G630</f>
        <v>0</v>
      </c>
      <c r="H631" s="144">
        <f>H629-H630</f>
        <v>0</v>
      </c>
      <c r="I631" s="145"/>
      <c r="J631" s="145"/>
      <c r="K631" s="146"/>
      <c r="L631" s="396"/>
      <c r="M631" s="396"/>
      <c r="N631" s="396"/>
      <c r="O631" s="602"/>
      <c r="P631" s="619"/>
      <c r="Q631" s="619"/>
      <c r="R631" s="596"/>
      <c r="S631" s="612"/>
      <c r="T631" s="599">
        <f>G606</f>
        <v>0</v>
      </c>
      <c r="U631" s="578"/>
      <c r="V631" s="579"/>
      <c r="W631" s="579">
        <f t="shared" si="86"/>
        <v>0</v>
      </c>
      <c r="X631" s="579"/>
      <c r="Y631" s="879"/>
      <c r="Z631" s="147"/>
      <c r="AA631" s="148"/>
      <c r="AB631" s="148"/>
      <c r="AC631" s="504"/>
      <c r="AD631" s="505"/>
      <c r="AE631" s="148"/>
      <c r="AF631" s="148"/>
      <c r="BO631" s="86"/>
    </row>
    <row r="632" spans="1:67" ht="15.75" customHeight="1" thickBot="1" x14ac:dyDescent="0.3">
      <c r="A632" s="520">
        <f>IFERROR(VLOOKUP($G$5,'רשימת רשויות'!A:C,3,0),0)</f>
        <v>0</v>
      </c>
      <c r="B632" s="520">
        <f t="shared" si="81"/>
        <v>0</v>
      </c>
      <c r="D632" s="1134"/>
      <c r="E632" s="1137"/>
      <c r="F632" s="580"/>
      <c r="G632" s="580"/>
      <c r="H632" s="147"/>
      <c r="I632" s="149" t="s">
        <v>2197</v>
      </c>
      <c r="J632" s="150">
        <f>MAX(MIN(P629,Q629),0)</f>
        <v>0</v>
      </c>
      <c r="K632" s="580"/>
      <c r="L632" s="580"/>
      <c r="M632" s="580"/>
      <c r="N632" s="580"/>
      <c r="O632" s="580"/>
      <c r="P632" s="615" t="s">
        <v>2317</v>
      </c>
      <c r="Q632" s="624">
        <f>SUM(Q633:Q634)</f>
        <v>0</v>
      </c>
      <c r="R632" s="596"/>
      <c r="S632" s="612"/>
      <c r="T632" s="599">
        <f>G606</f>
        <v>0</v>
      </c>
      <c r="U632" s="578"/>
      <c r="V632" s="579"/>
      <c r="W632" s="579">
        <f t="shared" si="86"/>
        <v>0</v>
      </c>
      <c r="X632" s="579"/>
      <c r="Y632" s="879"/>
      <c r="Z632" s="106"/>
      <c r="AC632" s="504"/>
      <c r="AD632" s="505"/>
      <c r="AF632" s="148"/>
      <c r="BO632" s="86"/>
    </row>
    <row r="633" spans="1:67" ht="16.5" thickBot="1" x14ac:dyDescent="0.3">
      <c r="A633" s="520">
        <f>IFERROR(VLOOKUP($G$5,'רשימת רשויות'!A:C,3,0),0)</f>
        <v>0</v>
      </c>
      <c r="B633" s="520">
        <f t="shared" si="81"/>
        <v>0</v>
      </c>
      <c r="D633" s="1134"/>
      <c r="E633" s="1137"/>
      <c r="F633" s="580"/>
      <c r="G633" s="580"/>
      <c r="H633" s="580"/>
      <c r="I633" s="84" t="s">
        <v>2193</v>
      </c>
      <c r="J633" s="515" t="str">
        <f>IFERROR(1-H630/H629,"")</f>
        <v/>
      </c>
      <c r="K633" s="580"/>
      <c r="L633" s="580"/>
      <c r="M633" s="580"/>
      <c r="N633" s="580"/>
      <c r="O633" s="580"/>
      <c r="P633" s="615" t="s">
        <v>417</v>
      </c>
      <c r="Q633" s="616">
        <f>IFERROR(MAX(H631-I634-Q634,0),0)</f>
        <v>0</v>
      </c>
      <c r="R633" s="596"/>
      <c r="S633" s="600"/>
      <c r="T633" s="599">
        <f>G606</f>
        <v>0</v>
      </c>
      <c r="U633" s="578"/>
      <c r="V633" s="579"/>
      <c r="W633" s="579">
        <f t="shared" si="86"/>
        <v>0</v>
      </c>
      <c r="X633" s="579"/>
      <c r="Y633" s="879"/>
      <c r="Z633" s="106"/>
      <c r="AC633" s="504"/>
      <c r="AD633" s="505"/>
      <c r="BO633" s="86"/>
    </row>
    <row r="634" spans="1:67" ht="17.25" thickBot="1" x14ac:dyDescent="0.3">
      <c r="A634" s="520">
        <f>IFERROR(VLOOKUP($G$5,'רשימת רשויות'!A:C,3,0),0)</f>
        <v>0</v>
      </c>
      <c r="B634" s="520">
        <f t="shared" si="81"/>
        <v>0</v>
      </c>
      <c r="D634" s="1134"/>
      <c r="E634" s="1137"/>
      <c r="F634" s="1143" t="s">
        <v>2679</v>
      </c>
      <c r="G634" s="1143"/>
      <c r="H634" s="1143"/>
      <c r="I634" s="722">
        <f>IF(G611="לא תקין","לא קיימת זכאות לתקציב לאור אי איוש משרות רכז ו/או סגן רכז ",IFERROR(J633*(J632+J629),0))</f>
        <v>0</v>
      </c>
      <c r="J634" s="573"/>
      <c r="K634" s="574"/>
      <c r="L634" s="396"/>
      <c r="M634" s="574"/>
      <c r="N634" s="574"/>
      <c r="O634" s="574"/>
      <c r="P634" s="615" t="s">
        <v>2279</v>
      </c>
      <c r="Q634" s="616">
        <f>MAX(IF(AND(G629&gt;H629,I634&lt;H631),H631-I634,0),0)</f>
        <v>0</v>
      </c>
      <c r="R634" s="575"/>
      <c r="S634" s="576" t="s">
        <v>67</v>
      </c>
      <c r="T634" s="577">
        <f>G606</f>
        <v>0</v>
      </c>
      <c r="U634" s="578"/>
      <c r="V634" s="579">
        <f>I634</f>
        <v>0</v>
      </c>
      <c r="W634" s="579">
        <f>IFERROR(U634-V634,0)</f>
        <v>0</v>
      </c>
      <c r="X634" s="579">
        <f>SUM(X620:X633)</f>
        <v>0</v>
      </c>
      <c r="Y634" s="879"/>
      <c r="Z634" s="106"/>
      <c r="AC634" s="506">
        <v>0</v>
      </c>
      <c r="AD634" s="507">
        <f>IFERROR(U634-AC634,0)</f>
        <v>0</v>
      </c>
      <c r="BO634" s="86"/>
    </row>
    <row r="635" spans="1:67" ht="16.5" thickBot="1" x14ac:dyDescent="0.3">
      <c r="A635" s="520">
        <f>IFERROR(VLOOKUP($G$5,'רשימת רשויות'!A:C,3,0),0)</f>
        <v>0</v>
      </c>
      <c r="B635" s="520">
        <f t="shared" si="81"/>
        <v>0</v>
      </c>
      <c r="D635" s="1135"/>
      <c r="E635" s="1138"/>
      <c r="F635" s="1144" t="s">
        <v>2793</v>
      </c>
      <c r="G635" s="1145"/>
      <c r="H635" s="1145"/>
      <c r="I635" s="593">
        <f>IFERROR(IF(G611="תקין",SUMIFS('סייעות רפואיות או אישיות (7)'!$Q$17:Q$384,'סייעות רפואיות או אישיות (7)'!C$17:C$384,G606),0),0)</f>
        <v>0</v>
      </c>
      <c r="J635" s="151"/>
      <c r="K635" s="152"/>
      <c r="L635" s="409"/>
      <c r="M635" s="152"/>
      <c r="N635" s="152"/>
      <c r="O635" s="152"/>
      <c r="P635" s="613"/>
      <c r="Q635" s="614"/>
      <c r="R635" s="475"/>
      <c r="S635" s="489"/>
      <c r="T635" s="490"/>
      <c r="U635" s="491"/>
      <c r="V635" s="492"/>
      <c r="W635" s="492"/>
      <c r="X635" s="492"/>
      <c r="Y635" s="880"/>
      <c r="Z635" s="153"/>
      <c r="AC635" s="581"/>
      <c r="AD635" s="582"/>
      <c r="BO635" s="86"/>
    </row>
    <row r="636" spans="1:67" ht="34.5" thickBot="1" x14ac:dyDescent="0.55000000000000004">
      <c r="A636" s="520">
        <f>IFERROR(VLOOKUP($G$5,'רשימת רשויות'!A:C,3,0),0)</f>
        <v>0</v>
      </c>
      <c r="B636" s="520">
        <f t="shared" si="81"/>
        <v>0</v>
      </c>
      <c r="E636" s="154"/>
      <c r="I636" s="143"/>
      <c r="J636" s="148"/>
      <c r="O636" s="148"/>
      <c r="T636" s="481"/>
      <c r="BO636" s="86"/>
    </row>
    <row r="637" spans="1:67" s="20" customFormat="1" ht="16.5" customHeight="1" thickBot="1" x14ac:dyDescent="0.3">
      <c r="A637" s="520">
        <f>IFERROR(VLOOKUP($G$5,'רשימת רשויות'!A:C,3,0),0)</f>
        <v>0</v>
      </c>
      <c r="B637" s="520">
        <f t="shared" si="81"/>
        <v>0</v>
      </c>
      <c r="C637" s="39"/>
      <c r="D637" s="1133">
        <f>D606+1</f>
        <v>21</v>
      </c>
      <c r="E637" s="1136" t="str">
        <f>IFERROR(CONCATENATE("בית הספר ",VLOOKUP(G637,'מצבת והרשמה (2)'!$C$21:$D$520,2,0)," - ",$G$5),"")</f>
        <v>בית הספר המוסד לא קיים - 0</v>
      </c>
      <c r="F637" s="720" t="s">
        <v>146</v>
      </c>
      <c r="G637" s="721">
        <f>IFERROR(VLOOKUP(D:D,'דוח ביצוע (3)'!$A$21:$C$900,2,0),0)</f>
        <v>0</v>
      </c>
      <c r="H637" s="79"/>
      <c r="I637" s="80" t="s">
        <v>150</v>
      </c>
      <c r="J637" s="80"/>
      <c r="K637" s="81"/>
      <c r="L637" s="392"/>
      <c r="M637" s="392"/>
      <c r="N637" s="392"/>
      <c r="O637" s="82"/>
      <c r="P637" s="470"/>
      <c r="Q637" s="471"/>
      <c r="R637" s="472"/>
      <c r="S637" s="883"/>
      <c r="T637" s="884"/>
      <c r="U637" s="486"/>
      <c r="V637" s="487"/>
      <c r="W637" s="487"/>
      <c r="X637" s="487"/>
      <c r="Y637" s="885"/>
      <c r="Z637" s="83"/>
      <c r="AC637" s="502"/>
      <c r="AD637" s="503"/>
      <c r="AO637" s="22"/>
      <c r="AP637" s="22"/>
      <c r="AQ637" s="22"/>
      <c r="AR637" s="22"/>
      <c r="AS637" s="22"/>
      <c r="AT637" s="22"/>
      <c r="AU637" s="35"/>
      <c r="AV637" s="35"/>
      <c r="AW637" s="35"/>
      <c r="AX637" s="35"/>
      <c r="AY637" s="35"/>
      <c r="AZ637" s="35"/>
      <c r="BA637" s="35"/>
      <c r="BB637" s="35"/>
      <c r="BC637" s="35"/>
      <c r="BD637" s="35"/>
      <c r="BE637" s="35"/>
      <c r="BF637" s="35"/>
      <c r="BG637" s="35"/>
      <c r="BH637" s="35"/>
      <c r="BI637" s="35"/>
      <c r="BJ637" s="35"/>
      <c r="BK637" s="35"/>
      <c r="BL637" s="35"/>
      <c r="BM637" s="35"/>
      <c r="BN637" s="35"/>
      <c r="BO637" s="78"/>
    </row>
    <row r="638" spans="1:67" s="20" customFormat="1" ht="16.5" thickBot="1" x14ac:dyDescent="0.3">
      <c r="A638" s="520">
        <f>IFERROR(VLOOKUP($G$5,'רשימת רשויות'!A:C,3,0),0)</f>
        <v>0</v>
      </c>
      <c r="B638" s="520">
        <f t="shared" si="81"/>
        <v>0</v>
      </c>
      <c r="C638" s="39"/>
      <c r="D638" s="1134"/>
      <c r="E638" s="1137"/>
      <c r="F638" s="583" t="s">
        <v>145</v>
      </c>
      <c r="G638" s="516" t="str">
        <f>IFERROR(IF((G640+G641)=0,"",IF(VLOOKUP(G637,'דוח ביצוע (3)'!$B$21:$K$900,5,0)&gt;149,"גדול",IF(AND(VLOOKUP(G637,'דוח ביצוע (3)'!$B$21:$K$900,5,0)&gt;0,VLOOKUP(G637,'דוח ביצוע (3)'!$B$21:$K$900,5,0)&lt;150),"קטן",0))),"")</f>
        <v/>
      </c>
      <c r="H638" s="723" t="s">
        <v>88</v>
      </c>
      <c r="I638" s="723" t="s">
        <v>13</v>
      </c>
      <c r="J638" s="725" t="s">
        <v>14</v>
      </c>
      <c r="K638" s="724" t="s">
        <v>94</v>
      </c>
      <c r="L638" s="594"/>
      <c r="M638" s="420" t="s">
        <v>2584</v>
      </c>
      <c r="N638" s="397" t="s">
        <v>413</v>
      </c>
      <c r="O638" s="398" t="s">
        <v>52</v>
      </c>
      <c r="P638" s="595"/>
      <c r="Q638" s="595"/>
      <c r="R638" s="596"/>
      <c r="S638" s="610"/>
      <c r="T638" s="881"/>
      <c r="U638" s="598"/>
      <c r="V638" s="599"/>
      <c r="W638" s="599"/>
      <c r="X638" s="599"/>
      <c r="Y638" s="879"/>
      <c r="Z638" s="85"/>
      <c r="AC638" s="493"/>
      <c r="AD638" s="495"/>
      <c r="AO638" s="22"/>
      <c r="AP638" s="22"/>
      <c r="AQ638" s="22"/>
      <c r="AR638" s="22"/>
      <c r="AS638" s="22"/>
      <c r="AT638" s="22"/>
      <c r="AU638" s="35"/>
      <c r="AV638" s="35"/>
      <c r="AW638" s="35"/>
      <c r="AX638" s="35"/>
      <c r="AY638" s="35"/>
      <c r="AZ638" s="35"/>
      <c r="BA638" s="35"/>
      <c r="BB638" s="35"/>
      <c r="BC638" s="35"/>
      <c r="BD638" s="35"/>
      <c r="BE638" s="35"/>
      <c r="BF638" s="35"/>
      <c r="BG638" s="35"/>
      <c r="BH638" s="35"/>
      <c r="BI638" s="35"/>
      <c r="BJ638" s="35"/>
      <c r="BK638" s="35"/>
      <c r="BL638" s="35"/>
      <c r="BM638" s="35"/>
      <c r="BN638" s="35"/>
      <c r="BO638" s="78"/>
    </row>
    <row r="639" spans="1:67" s="20" customFormat="1" ht="15.75" customHeight="1" thickBot="1" x14ac:dyDescent="0.3">
      <c r="A639" s="520">
        <f>IFERROR(VLOOKUP($G$5,'רשימת רשויות'!A:C,3,0),0)</f>
        <v>0</v>
      </c>
      <c r="B639" s="520">
        <f t="shared" si="81"/>
        <v>0</v>
      </c>
      <c r="C639" s="39"/>
      <c r="D639" s="1134"/>
      <c r="E639" s="1137"/>
      <c r="F639" s="584" t="s">
        <v>144</v>
      </c>
      <c r="G639" s="87">
        <f>IF(G642="תקין",IFERROR(VLOOKUP($G637,'דוח ביצוע (3)'!$B$21:$Q$900,12,0),0),0)</f>
        <v>0</v>
      </c>
      <c r="H639" s="88">
        <f>IFERROR(G640*$AH$6+G641*$AH$7,0)</f>
        <v>0</v>
      </c>
      <c r="I639" s="88">
        <f>IFERROR(G640*$AI$6+G641*$AI$7,0)</f>
        <v>0</v>
      </c>
      <c r="J639" s="88">
        <f>IFERROR(G640*$AJ$6+G641*$AJ$7,0)</f>
        <v>0</v>
      </c>
      <c r="K639" s="88">
        <f>IFERROR(G640*$AK$6+G641*$AK$7,0)</f>
        <v>0</v>
      </c>
      <c r="L639" s="405"/>
      <c r="M639" s="399" t="s">
        <v>427</v>
      </c>
      <c r="N639" s="400" t="str">
        <f>IFERROR(VLOOKUP($G637,'דוח ביצוע (3)'!$B:$AE,28,0),"")</f>
        <v/>
      </c>
      <c r="O639" s="89" t="str">
        <f>IFERROR(VLOOKUP($G637,'דוח ביצוע (3)'!B:AE,29,0),"")</f>
        <v/>
      </c>
      <c r="P639" s="595"/>
      <c r="Q639" s="595"/>
      <c r="R639" s="596"/>
      <c r="S639" s="610"/>
      <c r="T639" s="881"/>
      <c r="U639" s="598"/>
      <c r="V639" s="599"/>
      <c r="W639" s="599"/>
      <c r="X639" s="599"/>
      <c r="Y639" s="879"/>
      <c r="Z639" s="85"/>
      <c r="AC639" s="493"/>
      <c r="AD639" s="495"/>
      <c r="AO639" s="22"/>
      <c r="AP639" s="22"/>
      <c r="AQ639" s="22"/>
      <c r="AR639" s="22"/>
      <c r="AS639" s="22"/>
      <c r="AT639" s="22"/>
      <c r="AU639" s="35"/>
      <c r="AV639" s="35"/>
      <c r="AW639" s="35"/>
      <c r="AX639" s="35"/>
      <c r="AY639" s="35"/>
      <c r="AZ639" s="35"/>
      <c r="BA639" s="35"/>
      <c r="BB639" s="35"/>
      <c r="BC639" s="35"/>
      <c r="BD639" s="35"/>
      <c r="BE639" s="35"/>
      <c r="BF639" s="35"/>
      <c r="BG639" s="35"/>
      <c r="BH639" s="35"/>
      <c r="BI639" s="35"/>
      <c r="BJ639" s="35"/>
      <c r="BK639" s="35"/>
      <c r="BL639" s="35"/>
      <c r="BM639" s="35"/>
      <c r="BN639" s="35"/>
      <c r="BO639" s="78"/>
    </row>
    <row r="640" spans="1:67" s="20" customFormat="1" ht="32.25" thickBot="1" x14ac:dyDescent="0.3">
      <c r="A640" s="520">
        <f>IFERROR(VLOOKUP($G$5,'רשימת רשויות'!A:C,3,0),0)</f>
        <v>0</v>
      </c>
      <c r="B640" s="520">
        <f t="shared" si="81"/>
        <v>0</v>
      </c>
      <c r="C640" s="39"/>
      <c r="D640" s="1134"/>
      <c r="E640" s="1137"/>
      <c r="F640" s="585" t="s">
        <v>2195</v>
      </c>
      <c r="G640" s="89">
        <f>IF(G642="תקין",MAX(N642,0),0)</f>
        <v>0</v>
      </c>
      <c r="H640" s="725" t="s">
        <v>151</v>
      </c>
      <c r="I640" s="725" t="s">
        <v>91</v>
      </c>
      <c r="J640" s="970" t="s">
        <v>3396</v>
      </c>
      <c r="K640" s="601"/>
      <c r="L640" s="601"/>
      <c r="M640" s="983" t="s">
        <v>2585</v>
      </c>
      <c r="N640" s="400" t="str">
        <f>IFERROR(G639/15*N639*1.25,"")</f>
        <v/>
      </c>
      <c r="O640" s="89" t="str">
        <f>IFERROR(G639/15*O639*1.25,"")</f>
        <v/>
      </c>
      <c r="P640" s="595"/>
      <c r="Q640" s="595"/>
      <c r="R640" s="596"/>
      <c r="S640" s="610"/>
      <c r="T640" s="881"/>
      <c r="U640" s="598"/>
      <c r="V640" s="599"/>
      <c r="W640" s="599"/>
      <c r="X640" s="599"/>
      <c r="Y640" s="879"/>
      <c r="Z640" s="85"/>
      <c r="AC640" s="493"/>
      <c r="AD640" s="495"/>
      <c r="AG640" s="22"/>
      <c r="AH640" s="55"/>
      <c r="AI640" s="55"/>
      <c r="AJ640" s="55"/>
      <c r="AK640" s="55"/>
      <c r="AO640" s="22"/>
      <c r="AP640" s="22"/>
      <c r="AQ640" s="22"/>
      <c r="AR640" s="22"/>
      <c r="AS640" s="22"/>
      <c r="AT640" s="22"/>
      <c r="AU640" s="35"/>
      <c r="AV640" s="35"/>
      <c r="AW640" s="35"/>
      <c r="AX640" s="35"/>
      <c r="AY640" s="35"/>
      <c r="AZ640" s="35"/>
      <c r="BA640" s="35"/>
      <c r="BB640" s="35"/>
      <c r="BC640" s="35"/>
      <c r="BD640" s="35"/>
      <c r="BE640" s="35"/>
      <c r="BF640" s="35"/>
      <c r="BG640" s="35"/>
      <c r="BH640" s="35"/>
      <c r="BI640" s="35"/>
      <c r="BJ640" s="35"/>
      <c r="BK640" s="35"/>
      <c r="BL640" s="35"/>
      <c r="BM640" s="35"/>
      <c r="BN640" s="35"/>
      <c r="BO640" s="86"/>
    </row>
    <row r="641" spans="1:67" s="20" customFormat="1" ht="16.5" thickBot="1" x14ac:dyDescent="0.3">
      <c r="A641" s="520">
        <f>IFERROR(VLOOKUP($G$5,'רשימת רשויות'!A:C,3,0),0)</f>
        <v>0</v>
      </c>
      <c r="B641" s="520">
        <f t="shared" si="81"/>
        <v>0</v>
      </c>
      <c r="C641" s="39"/>
      <c r="D641" s="1134"/>
      <c r="E641" s="1137"/>
      <c r="F641" s="585" t="s">
        <v>2196</v>
      </c>
      <c r="G641" s="89">
        <f>IF(G642="תקין",MAX(O642,0),0)</f>
        <v>0</v>
      </c>
      <c r="H641" s="88">
        <f>(IFERROR(IF((G640+G641)=0,0,IF(G638="קטן",G639*$AH$10,G639*$AH$11)),0))+(IFERROR(IF((G640+G641)=0,0,VLOOKUP(G637,'דוח ביצוע (3)'!$B:$AH,33,0)),0))</f>
        <v>0</v>
      </c>
      <c r="I641" s="88">
        <f>IFERROR(IF((G640+G641)=0,0,IF(G638="קטן",G639*$AI$10,G639*$AI$11)),0)</f>
        <v>0</v>
      </c>
      <c r="J641" s="88">
        <f>IFERROR(IF((G640+G641)=0,0,VLOOKUP(G637,'דוח ביצוע (3)'!$B:$AH,32,0)),0)</f>
        <v>0</v>
      </c>
      <c r="K641" s="90"/>
      <c r="L641" s="90"/>
      <c r="M641" s="399" t="s">
        <v>412</v>
      </c>
      <c r="N641" s="400">
        <f>IFERROR(VLOOKUP($G637,'דוח ביצוע (3)'!$B$21:$U$500,18,0),0)</f>
        <v>0</v>
      </c>
      <c r="O641" s="401">
        <f>IFERROR(VLOOKUP($G637,'דוח ביצוע (3)'!$B$21:$U$500,19,0),0)</f>
        <v>0</v>
      </c>
      <c r="P641" s="595"/>
      <c r="Q641" s="595"/>
      <c r="R641" s="596"/>
      <c r="S641" s="610"/>
      <c r="T641" s="881"/>
      <c r="U641" s="598"/>
      <c r="V641" s="599"/>
      <c r="W641" s="599"/>
      <c r="X641" s="599"/>
      <c r="Y641" s="879"/>
      <c r="Z641" s="85"/>
      <c r="AC641" s="493"/>
      <c r="AD641" s="495"/>
      <c r="AG641" s="22"/>
      <c r="AH641" s="55"/>
      <c r="AI641" s="55"/>
      <c r="AJ641" s="55"/>
      <c r="AK641" s="55"/>
      <c r="AO641" s="22"/>
      <c r="AP641" s="22"/>
      <c r="AQ641" s="22"/>
      <c r="AR641" s="22"/>
      <c r="AS641" s="22"/>
      <c r="AT641" s="22"/>
      <c r="AU641" s="35"/>
      <c r="AV641" s="35"/>
      <c r="AW641" s="35"/>
      <c r="AX641" s="35"/>
      <c r="AY641" s="35"/>
      <c r="AZ641" s="35"/>
      <c r="BA641" s="35"/>
      <c r="BB641" s="35"/>
      <c r="BC641" s="35"/>
      <c r="BD641" s="35"/>
      <c r="BE641" s="35"/>
      <c r="BF641" s="35"/>
      <c r="BG641" s="35"/>
      <c r="BH641" s="35"/>
      <c r="BI641" s="35"/>
      <c r="BJ641" s="35"/>
      <c r="BK641" s="35"/>
      <c r="BL641" s="35"/>
      <c r="BM641" s="35"/>
      <c r="BN641" s="35"/>
      <c r="BO641" s="86"/>
    </row>
    <row r="642" spans="1:67" s="20" customFormat="1" ht="16.5" thickBot="1" x14ac:dyDescent="0.3">
      <c r="A642" s="520">
        <f>IFERROR(VLOOKUP($G$5,'רשימת רשויות'!A:C,3,0),0)</f>
        <v>0</v>
      </c>
      <c r="B642" s="520">
        <f t="shared" si="81"/>
        <v>0</v>
      </c>
      <c r="C642" s="39"/>
      <c r="D642" s="1134"/>
      <c r="E642" s="1137"/>
      <c r="F642" s="586" t="s">
        <v>2355</v>
      </c>
      <c r="G642" s="514">
        <f>IFERROR(IF(VLOOKUP('בית ספר - תקצוב לפי מוסד (9)'!G637,' איוש משרות (8)'!$C:$K,9,0)="תקין","תקין","לא תקין"),0)</f>
        <v>0</v>
      </c>
      <c r="H642" s="91"/>
      <c r="I642" s="91"/>
      <c r="J642" s="91"/>
      <c r="K642" s="90"/>
      <c r="L642" s="90"/>
      <c r="M642" s="402" t="s">
        <v>2586</v>
      </c>
      <c r="N642" s="403">
        <f>IFERROR(MIN(N640,N641),0)</f>
        <v>0</v>
      </c>
      <c r="O642" s="404">
        <f>IFERROR(MIN(O640,O641),0)</f>
        <v>0</v>
      </c>
      <c r="P642" s="595"/>
      <c r="Q642" s="595"/>
      <c r="R642" s="596"/>
      <c r="S642" s="610"/>
      <c r="T642" s="881"/>
      <c r="U642" s="598"/>
      <c r="V642" s="599"/>
      <c r="W642" s="599"/>
      <c r="X642" s="599"/>
      <c r="Y642" s="879"/>
      <c r="Z642" s="85"/>
      <c r="AC642" s="493"/>
      <c r="AD642" s="495"/>
      <c r="AG642" s="94"/>
      <c r="AH642" s="40"/>
      <c r="AI642" s="40"/>
      <c r="AJ642" s="40"/>
      <c r="AK642" s="40"/>
      <c r="AO642" s="22"/>
      <c r="AP642" s="22"/>
      <c r="AQ642" s="22"/>
      <c r="AR642" s="22"/>
      <c r="AS642" s="22"/>
      <c r="AT642" s="22"/>
      <c r="AU642" s="35"/>
      <c r="AV642" s="35"/>
      <c r="AW642" s="35"/>
      <c r="AX642" s="35"/>
      <c r="AY642" s="35"/>
      <c r="AZ642" s="35"/>
      <c r="BA642" s="35"/>
      <c r="BB642" s="35"/>
      <c r="BC642" s="35"/>
      <c r="BD642" s="35"/>
      <c r="BE642" s="35"/>
      <c r="BF642" s="35"/>
      <c r="BG642" s="35"/>
      <c r="BH642" s="35"/>
      <c r="BI642" s="35"/>
      <c r="BJ642" s="35"/>
      <c r="BK642" s="35"/>
      <c r="BL642" s="35"/>
      <c r="BM642" s="35"/>
      <c r="BN642" s="35"/>
      <c r="BO642" s="86"/>
    </row>
    <row r="643" spans="1:67" s="55" customFormat="1" ht="37.15" customHeight="1" thickBot="1" x14ac:dyDescent="0.3">
      <c r="A643" s="520">
        <f>IFERROR(VLOOKUP($G$5,'רשימת רשויות'!A:C,3,0),0)</f>
        <v>0</v>
      </c>
      <c r="B643" s="520">
        <f t="shared" si="81"/>
        <v>0</v>
      </c>
      <c r="C643" s="39"/>
      <c r="D643" s="1134"/>
      <c r="E643" s="1137"/>
      <c r="F643" s="587" t="s">
        <v>142</v>
      </c>
      <c r="G643" s="92"/>
      <c r="H643" s="92"/>
      <c r="I643" s="92"/>
      <c r="J643" s="92"/>
      <c r="K643" s="602"/>
      <c r="L643" s="602"/>
      <c r="M643" s="602"/>
      <c r="N643" s="602"/>
      <c r="O643" s="602"/>
      <c r="P643" s="595"/>
      <c r="Q643" s="595"/>
      <c r="R643" s="596"/>
      <c r="S643" s="610"/>
      <c r="T643" s="881"/>
      <c r="U643" s="598"/>
      <c r="V643" s="599"/>
      <c r="W643" s="599"/>
      <c r="X643" s="599"/>
      <c r="Y643" s="879"/>
      <c r="Z643" s="93"/>
      <c r="AC643" s="493"/>
      <c r="AD643" s="495"/>
      <c r="AF643" s="22"/>
      <c r="AG643" s="98"/>
      <c r="AH643" s="98"/>
      <c r="AI643" s="40"/>
      <c r="AJ643" s="40"/>
      <c r="AK643" s="40"/>
      <c r="AO643" s="22"/>
      <c r="AP643" s="22"/>
      <c r="AQ643" s="22"/>
      <c r="AR643" s="22"/>
      <c r="AS643" s="22"/>
      <c r="AT643" s="22"/>
      <c r="AU643" s="35"/>
      <c r="AV643" s="35"/>
      <c r="AW643" s="35"/>
      <c r="AX643" s="35"/>
      <c r="AY643" s="35"/>
      <c r="AZ643" s="35"/>
      <c r="BA643" s="35"/>
      <c r="BB643" s="35"/>
      <c r="BC643" s="35"/>
      <c r="BD643" s="35"/>
      <c r="BE643" s="35"/>
      <c r="BF643" s="35"/>
      <c r="BG643" s="35"/>
      <c r="BH643" s="35"/>
      <c r="BI643" s="35"/>
      <c r="BJ643" s="35"/>
      <c r="BK643" s="35"/>
      <c r="BL643" s="35"/>
      <c r="BM643" s="35"/>
      <c r="BN643" s="35"/>
      <c r="BO643" s="86"/>
    </row>
    <row r="644" spans="1:67" s="40" customFormat="1" ht="31.5" x14ac:dyDescent="0.25">
      <c r="A644" s="520">
        <f>IFERROR(VLOOKUP($G$5,'רשימת רשויות'!A:C,3,0),0)</f>
        <v>0</v>
      </c>
      <c r="B644" s="520">
        <f t="shared" si="81"/>
        <v>0</v>
      </c>
      <c r="C644" s="39"/>
      <c r="D644" s="1134"/>
      <c r="E644" s="1137"/>
      <c r="F644" s="588" t="s">
        <v>94</v>
      </c>
      <c r="G644" s="95" t="s">
        <v>18</v>
      </c>
      <c r="H644" s="95" t="s">
        <v>19</v>
      </c>
      <c r="I644" s="95" t="s">
        <v>138</v>
      </c>
      <c r="J644" s="96" t="s">
        <v>139</v>
      </c>
      <c r="K644" s="603"/>
      <c r="L644" s="603"/>
      <c r="M644" s="603"/>
      <c r="N644" s="603"/>
      <c r="O644" s="603"/>
      <c r="P644" s="604"/>
      <c r="Q644" s="604"/>
      <c r="R644" s="596"/>
      <c r="S644" s="610"/>
      <c r="T644" s="881"/>
      <c r="U644" s="598"/>
      <c r="V644" s="599"/>
      <c r="W644" s="599"/>
      <c r="X644" s="599"/>
      <c r="Y644" s="879"/>
      <c r="Z644" s="97"/>
      <c r="AA644" s="94"/>
      <c r="AB644" s="94"/>
      <c r="AC644" s="493"/>
      <c r="AD644" s="495"/>
      <c r="AE644" s="94"/>
      <c r="AG644" s="98"/>
      <c r="AH644" s="98"/>
      <c r="AO644" s="22"/>
      <c r="AP644" s="22"/>
      <c r="AQ644" s="22"/>
      <c r="AR644" s="22"/>
      <c r="AS644" s="22"/>
      <c r="AT644" s="22"/>
      <c r="AU644" s="35"/>
      <c r="AV644" s="35"/>
      <c r="AW644" s="35"/>
      <c r="AX644" s="35"/>
      <c r="AY644" s="35"/>
      <c r="AZ644" s="35"/>
      <c r="BA644" s="35"/>
      <c r="BB644" s="35"/>
      <c r="BC644" s="35"/>
      <c r="BD644" s="35"/>
      <c r="BE644" s="35"/>
      <c r="BF644" s="35"/>
      <c r="BG644" s="35"/>
      <c r="BH644" s="35"/>
      <c r="BI644" s="35"/>
      <c r="BJ644" s="35"/>
      <c r="BK644" s="35"/>
      <c r="BL644" s="35"/>
      <c r="BM644" s="35"/>
      <c r="BN644" s="35"/>
      <c r="BO644" s="86"/>
    </row>
    <row r="645" spans="1:67" s="40" customFormat="1" ht="15.75" customHeight="1" thickBot="1" x14ac:dyDescent="0.3">
      <c r="A645" s="520">
        <f>IFERROR(VLOOKUP($G$5,'רשימת רשויות'!A:C,3,0),0)</f>
        <v>0</v>
      </c>
      <c r="B645" s="520">
        <f t="shared" si="81"/>
        <v>0</v>
      </c>
      <c r="C645" s="39"/>
      <c r="D645" s="1134"/>
      <c r="E645" s="1137"/>
      <c r="F645" s="589" t="s">
        <v>2280</v>
      </c>
      <c r="G645" s="99">
        <f>+G656</f>
        <v>0</v>
      </c>
      <c r="H645" s="100">
        <f>K639</f>
        <v>0</v>
      </c>
      <c r="I645" s="100">
        <f>H645-I647</f>
        <v>0</v>
      </c>
      <c r="J645" s="101">
        <f>IFERROR(I645/H645,0)</f>
        <v>0</v>
      </c>
      <c r="K645" s="603"/>
      <c r="L645" s="603"/>
      <c r="M645" s="603"/>
      <c r="N645" s="603"/>
      <c r="O645" s="603"/>
      <c r="P645" s="605"/>
      <c r="Q645" s="604"/>
      <c r="R645" s="606" t="s">
        <v>157</v>
      </c>
      <c r="S645" s="611"/>
      <c r="T645" s="881"/>
      <c r="U645" s="598"/>
      <c r="V645" s="599"/>
      <c r="W645" s="599"/>
      <c r="X645" s="599"/>
      <c r="Y645" s="879"/>
      <c r="Z645" s="102"/>
      <c r="AA645" s="122"/>
      <c r="AB645" s="122"/>
      <c r="AC645" s="493"/>
      <c r="AD645" s="495"/>
      <c r="AE645" s="122"/>
      <c r="AF645" s="22"/>
      <c r="AG645" s="98"/>
      <c r="AH645" s="98"/>
      <c r="AI645" s="20"/>
      <c r="AO645" s="22"/>
      <c r="AP645" s="22"/>
      <c r="AQ645" s="22"/>
      <c r="AR645" s="22"/>
      <c r="AS645" s="22"/>
      <c r="AT645" s="22"/>
      <c r="AU645" s="35"/>
      <c r="AV645" s="35"/>
      <c r="AW645" s="35"/>
      <c r="AX645" s="35"/>
      <c r="AY645" s="35"/>
      <c r="AZ645" s="35"/>
      <c r="BA645" s="35"/>
      <c r="BB645" s="35"/>
      <c r="BC645" s="35"/>
      <c r="BD645" s="35"/>
      <c r="BE645" s="35"/>
      <c r="BF645" s="35"/>
      <c r="BG645" s="35"/>
      <c r="BH645" s="35"/>
      <c r="BI645" s="35"/>
      <c r="BJ645" s="35"/>
      <c r="BK645" s="35"/>
      <c r="BL645" s="35"/>
      <c r="BM645" s="35"/>
      <c r="BN645" s="35"/>
      <c r="BO645" s="86"/>
    </row>
    <row r="646" spans="1:67" s="40" customFormat="1" ht="15.75" customHeight="1" thickBot="1" x14ac:dyDescent="0.3">
      <c r="A646" s="520">
        <f>IFERROR(VLOOKUP($G$5,'רשימת רשויות'!A:C,3,0),0)</f>
        <v>0</v>
      </c>
      <c r="B646" s="520">
        <f t="shared" si="81"/>
        <v>0</v>
      </c>
      <c r="C646" s="39"/>
      <c r="D646" s="1134"/>
      <c r="E646" s="1137"/>
      <c r="F646" s="589" t="s">
        <v>2281</v>
      </c>
      <c r="G646" s="99">
        <f>+G655</f>
        <v>0</v>
      </c>
      <c r="H646" s="103"/>
      <c r="I646" s="104"/>
      <c r="J646" s="105"/>
      <c r="K646" s="603"/>
      <c r="L646" s="603"/>
      <c r="M646" s="603"/>
      <c r="N646" s="603"/>
      <c r="O646" s="603"/>
      <c r="P646" s="605"/>
      <c r="Q646" s="604"/>
      <c r="R646" s="473">
        <f>I647-R648</f>
        <v>0</v>
      </c>
      <c r="S646" s="611"/>
      <c r="T646" s="881"/>
      <c r="U646" s="598"/>
      <c r="V646" s="599"/>
      <c r="W646" s="599"/>
      <c r="X646" s="599"/>
      <c r="Y646" s="879"/>
      <c r="Z646" s="106"/>
      <c r="AA646" s="22"/>
      <c r="AB646" s="22"/>
      <c r="AC646" s="493"/>
      <c r="AD646" s="495"/>
      <c r="AE646" s="22"/>
      <c r="AF646" s="22"/>
      <c r="AG646" s="98"/>
      <c r="AH646" s="98"/>
      <c r="AI646" s="20"/>
      <c r="AO646" s="22"/>
      <c r="AP646" s="22"/>
      <c r="AQ646" s="22"/>
      <c r="AR646" s="22"/>
      <c r="AS646" s="22"/>
      <c r="AT646" s="22"/>
      <c r="AU646" s="35"/>
      <c r="AV646" s="35"/>
      <c r="AW646" s="35"/>
      <c r="AX646" s="35"/>
      <c r="AY646" s="35"/>
      <c r="AZ646" s="35"/>
      <c r="BA646" s="35"/>
      <c r="BB646" s="35"/>
      <c r="BC646" s="35"/>
      <c r="BD646" s="35"/>
      <c r="BE646" s="35"/>
      <c r="BF646" s="35"/>
      <c r="BG646" s="35"/>
      <c r="BH646" s="35"/>
      <c r="BI646" s="35"/>
      <c r="BJ646" s="35"/>
      <c r="BK646" s="35"/>
      <c r="BL646" s="35"/>
      <c r="BM646" s="35"/>
      <c r="BN646" s="35"/>
      <c r="BO646" s="86"/>
    </row>
    <row r="647" spans="1:67" s="40" customFormat="1" ht="16.5" customHeight="1" thickBot="1" x14ac:dyDescent="0.3">
      <c r="A647" s="520">
        <f>IFERROR(VLOOKUP($G$5,'רשימת רשויות'!A:C,3,0),0)</f>
        <v>0</v>
      </c>
      <c r="B647" s="520">
        <f t="shared" si="81"/>
        <v>0</v>
      </c>
      <c r="C647" s="39"/>
      <c r="D647" s="1134"/>
      <c r="E647" s="1137"/>
      <c r="F647" s="589" t="s">
        <v>2282</v>
      </c>
      <c r="G647" s="99">
        <f>G651+G652+G653</f>
        <v>0</v>
      </c>
      <c r="H647" s="104"/>
      <c r="I647" s="107">
        <f>MAX(H645-G645-G646,0)</f>
        <v>0</v>
      </c>
      <c r="J647" s="108">
        <f>IFERROR(I647/H645,0)</f>
        <v>0</v>
      </c>
      <c r="K647" s="603"/>
      <c r="L647" s="603"/>
      <c r="M647" s="603"/>
      <c r="N647" s="603"/>
      <c r="O647" s="603"/>
      <c r="P647" s="604"/>
      <c r="Q647" s="604"/>
      <c r="R647" s="606" t="s">
        <v>158</v>
      </c>
      <c r="S647" s="612"/>
      <c r="T647" s="881"/>
      <c r="U647" s="598"/>
      <c r="V647" s="599"/>
      <c r="W647" s="599"/>
      <c r="X647" s="599"/>
      <c r="Y647" s="879"/>
      <c r="Z647" s="106"/>
      <c r="AA647" s="22"/>
      <c r="AB647" s="22"/>
      <c r="AC647" s="493"/>
      <c r="AD647" s="495"/>
      <c r="AE647" s="22"/>
      <c r="AF647" s="22"/>
      <c r="AG647" s="22"/>
      <c r="AH647" s="22"/>
      <c r="AI647" s="55"/>
      <c r="AJ647" s="22"/>
      <c r="AK647" s="22"/>
      <c r="AO647" s="22"/>
      <c r="AP647" s="22"/>
      <c r="AQ647" s="22"/>
      <c r="AR647" s="22"/>
      <c r="AS647" s="22"/>
      <c r="AT647" s="22"/>
      <c r="AU647" s="35"/>
      <c r="AV647" s="35"/>
      <c r="AW647" s="35"/>
      <c r="AX647" s="35"/>
      <c r="AY647" s="35"/>
      <c r="AZ647" s="35"/>
      <c r="BA647" s="35"/>
      <c r="BB647" s="35"/>
      <c r="BC647" s="35"/>
      <c r="BD647" s="35"/>
      <c r="BE647" s="35"/>
      <c r="BF647" s="35"/>
      <c r="BG647" s="35"/>
      <c r="BH647" s="35"/>
      <c r="BI647" s="35"/>
      <c r="BJ647" s="35"/>
      <c r="BK647" s="35"/>
      <c r="BL647" s="35"/>
      <c r="BM647" s="35"/>
      <c r="BN647" s="35"/>
      <c r="BO647" s="86"/>
    </row>
    <row r="648" spans="1:67" s="40" customFormat="1" ht="15.75" customHeight="1" thickBot="1" x14ac:dyDescent="0.3">
      <c r="A648" s="520">
        <f>IFERROR(VLOOKUP($G$5,'רשימת רשויות'!A:C,3,0),0)</f>
        <v>0</v>
      </c>
      <c r="B648" s="520">
        <f t="shared" si="81"/>
        <v>0</v>
      </c>
      <c r="C648" s="39"/>
      <c r="D648" s="1134"/>
      <c r="E648" s="1137"/>
      <c r="F648" s="590" t="s">
        <v>2290</v>
      </c>
      <c r="G648" s="109"/>
      <c r="H648" s="110"/>
      <c r="I648" s="111">
        <f>SUM(I645:I647)</f>
        <v>0</v>
      </c>
      <c r="J648" s="112">
        <f>SUM(J645:J647)</f>
        <v>0</v>
      </c>
      <c r="K648" s="603"/>
      <c r="L648" s="603"/>
      <c r="M648" s="603"/>
      <c r="N648" s="603"/>
      <c r="O648" s="603"/>
      <c r="P648" s="604"/>
      <c r="Q648" s="604"/>
      <c r="R648" s="473">
        <f>MIN(MAX(G652+G653-I641-J641,0),I647)</f>
        <v>0</v>
      </c>
      <c r="S648" s="612"/>
      <c r="T648" s="881"/>
      <c r="U648" s="598"/>
      <c r="V648" s="599"/>
      <c r="W648" s="599"/>
      <c r="X648" s="599"/>
      <c r="Y648" s="879"/>
      <c r="Z648" s="106"/>
      <c r="AA648" s="22"/>
      <c r="AB648" s="22"/>
      <c r="AC648" s="493"/>
      <c r="AD648" s="495"/>
      <c r="AE648" s="22"/>
      <c r="AF648" s="22"/>
      <c r="AG648" s="22"/>
      <c r="AH648" s="22"/>
      <c r="AJ648" s="22"/>
      <c r="AK648" s="22"/>
      <c r="AO648" s="22"/>
      <c r="AP648" s="22"/>
      <c r="AQ648" s="22"/>
      <c r="AR648" s="22"/>
      <c r="AS648" s="22"/>
      <c r="AT648" s="22"/>
      <c r="AU648" s="35"/>
      <c r="AV648" s="35"/>
      <c r="AW648" s="35"/>
      <c r="AX648" s="35"/>
      <c r="AY648" s="35"/>
      <c r="AZ648" s="35"/>
      <c r="BA648" s="35"/>
      <c r="BB648" s="35"/>
      <c r="BC648" s="35"/>
      <c r="BD648" s="35"/>
      <c r="BE648" s="35"/>
      <c r="BF648" s="35"/>
      <c r="BG648" s="35"/>
      <c r="BH648" s="35"/>
      <c r="BI648" s="35"/>
      <c r="BJ648" s="35"/>
      <c r="BK648" s="35"/>
      <c r="BL648" s="35"/>
      <c r="BM648" s="35"/>
      <c r="BN648" s="35"/>
      <c r="BO648" s="86"/>
    </row>
    <row r="649" spans="1:67" ht="16.5" thickBot="1" x14ac:dyDescent="0.3">
      <c r="A649" s="520">
        <f>IFERROR(VLOOKUP($G$5,'רשימת רשויות'!A:C,3,0),0)</f>
        <v>0</v>
      </c>
      <c r="B649" s="520">
        <f t="shared" si="81"/>
        <v>0</v>
      </c>
      <c r="D649" s="1134"/>
      <c r="E649" s="1137"/>
      <c r="F649" s="587" t="s">
        <v>17</v>
      </c>
      <c r="G649" s="113"/>
      <c r="H649" s="92"/>
      <c r="I649" s="114"/>
      <c r="J649" s="115"/>
      <c r="K649" s="116"/>
      <c r="L649" s="406"/>
      <c r="M649" s="116"/>
      <c r="N649" s="116"/>
      <c r="O649" s="116"/>
      <c r="P649" s="474"/>
      <c r="Q649" s="607"/>
      <c r="R649" s="608"/>
      <c r="S649" s="612"/>
      <c r="T649" s="881"/>
      <c r="U649" s="598"/>
      <c r="V649" s="599"/>
      <c r="W649" s="599"/>
      <c r="X649" s="599"/>
      <c r="Y649" s="879"/>
      <c r="Z649" s="106"/>
      <c r="AI649" s="40"/>
      <c r="BO649" s="86"/>
    </row>
    <row r="650" spans="1:67" ht="47.25" x14ac:dyDescent="0.25">
      <c r="A650" s="520">
        <f>IFERROR(VLOOKUP($G$5,'רשימת רשויות'!A:C,3,0),0)</f>
        <v>0</v>
      </c>
      <c r="B650" s="520">
        <f t="shared" si="81"/>
        <v>0</v>
      </c>
      <c r="D650" s="1134"/>
      <c r="E650" s="1137"/>
      <c r="F650" s="588" t="s">
        <v>2</v>
      </c>
      <c r="G650" s="95" t="s">
        <v>18</v>
      </c>
      <c r="H650" s="95" t="s">
        <v>19</v>
      </c>
      <c r="I650" s="95" t="s">
        <v>20</v>
      </c>
      <c r="J650" s="95" t="s">
        <v>22</v>
      </c>
      <c r="K650" s="96" t="s">
        <v>2314</v>
      </c>
      <c r="L650" s="609"/>
      <c r="M650" s="609"/>
      <c r="N650" s="609"/>
      <c r="O650" s="580"/>
      <c r="P650" s="618" t="s">
        <v>2298</v>
      </c>
      <c r="Q650" s="618" t="s">
        <v>2299</v>
      </c>
      <c r="R650" s="596"/>
      <c r="S650" s="890" t="s">
        <v>2519</v>
      </c>
      <c r="T650" s="890" t="s">
        <v>97</v>
      </c>
      <c r="U650" s="891" t="s">
        <v>2521</v>
      </c>
      <c r="V650" s="892" t="s">
        <v>2520</v>
      </c>
      <c r="W650" s="893" t="s">
        <v>2524</v>
      </c>
      <c r="X650" s="892" t="s">
        <v>2522</v>
      </c>
      <c r="Y650" s="894" t="s">
        <v>2523</v>
      </c>
      <c r="Z650" s="106"/>
      <c r="AC650" s="498" t="s">
        <v>2568</v>
      </c>
      <c r="AD650" s="499" t="s">
        <v>2569</v>
      </c>
      <c r="AF650" s="122"/>
      <c r="AI650" s="40"/>
      <c r="BO650" s="86"/>
    </row>
    <row r="651" spans="1:67" ht="15" customHeight="1" thickBot="1" x14ac:dyDescent="0.3">
      <c r="A651" s="520">
        <f>IFERROR(VLOOKUP($G$5,'רשימת רשויות'!A:C,3,0),0)</f>
        <v>0</v>
      </c>
      <c r="B651" s="520">
        <f t="shared" si="81"/>
        <v>0</v>
      </c>
      <c r="D651" s="1134"/>
      <c r="E651" s="1137"/>
      <c r="F651" s="589" t="s">
        <v>76</v>
      </c>
      <c r="G651" s="117">
        <f>IF(G642="תקין",SUMIF('עלויות כח אדם (6)'!$B$15:$B$3014,'בית ספר - תקצוב לפי מוסד (9)'!$G637,'עלויות כח אדם (6)'!$M$15:$M$3014)-VLOOKUP('בית ספר - תקצוב לפי מוסד (9)'!G637,' איוש משרות (8)'!$C:$H,5,0)-VLOOKUP('בית ספר - תקצוב לפי מוסד (9)'!G637,' איוש משרות (8)'!$C:$H,6,0),0)-Y651</f>
        <v>0</v>
      </c>
      <c r="H651" s="118">
        <f>I639+R646</f>
        <v>0</v>
      </c>
      <c r="I651" s="119">
        <f>IFERROR(SUM(G651)/H651,0)</f>
        <v>0</v>
      </c>
      <c r="J651" s="100">
        <f>MIN(I639+R646,IF(ISNUMBER(G651),G651,0))</f>
        <v>0</v>
      </c>
      <c r="K651" s="120">
        <f>MAX(H651-G651,0)</f>
        <v>0</v>
      </c>
      <c r="L651" s="407"/>
      <c r="M651" s="393"/>
      <c r="N651" s="393"/>
      <c r="O651" s="580"/>
      <c r="P651" s="968">
        <f>IFERROR(IF(SUM(G651)/(I639)&lt;100%,MIN((I639)-SUM(G651),(I639)*0.25),0),0)</f>
        <v>0</v>
      </c>
      <c r="Q651" s="968">
        <f>IF(SUM(G651)-(I639+R646)&gt;0,SUM(G651)-(I639+R646),0)</f>
        <v>0</v>
      </c>
      <c r="R651" s="596" t="s">
        <v>2351</v>
      </c>
      <c r="S651" s="576" t="s">
        <v>2342</v>
      </c>
      <c r="T651" s="599">
        <f>G637</f>
        <v>0</v>
      </c>
      <c r="U651" s="578"/>
      <c r="V651" s="579">
        <f>G651+G652+G653</f>
        <v>0</v>
      </c>
      <c r="W651" s="579">
        <f>U651-V651</f>
        <v>0</v>
      </c>
      <c r="X651" s="579">
        <f>IFERROR(W665*W651/(SUM(W651:W664)),0)</f>
        <v>0</v>
      </c>
      <c r="Y651" s="879">
        <f>SUMIFS(בקרה!$S:$S,בקרה!$D:$D,T651,בקרה!$K:$K,S651)</f>
        <v>0</v>
      </c>
      <c r="Z651" s="121"/>
      <c r="AA651" s="143"/>
      <c r="AB651" s="143"/>
      <c r="AC651" s="504">
        <v>0</v>
      </c>
      <c r="AD651" s="505">
        <f>IFERROR(U651-AC651,0)</f>
        <v>0</v>
      </c>
      <c r="AE651" s="143"/>
      <c r="AI651" s="20"/>
      <c r="BO651" s="86"/>
    </row>
    <row r="652" spans="1:67" ht="15" customHeight="1" thickBot="1" x14ac:dyDescent="0.3">
      <c r="A652" s="520">
        <f>IFERROR(VLOOKUP($G$5,'רשימת רשויות'!A:C,3,0),0)</f>
        <v>0</v>
      </c>
      <c r="B652" s="520">
        <f t="shared" si="81"/>
        <v>0</v>
      </c>
      <c r="D652" s="1134"/>
      <c r="E652" s="1137"/>
      <c r="F652" s="589" t="s">
        <v>44</v>
      </c>
      <c r="G652" s="123">
        <f>IF(G642="תקין",IFERROR(VLOOKUP('בית ספר - תקצוב לפי מוסד (9)'!G637,' איוש משרות (8)'!C:J,7,0),0),0)</f>
        <v>0</v>
      </c>
      <c r="H652" s="124">
        <f>I641+R648+J641</f>
        <v>0</v>
      </c>
      <c r="I652" s="119">
        <f>IFERROR(SUM(G652:G653)/H652,0)</f>
        <v>0</v>
      </c>
      <c r="J652" s="100">
        <f>MIN(R648+I641,IF(ISNUMBER(SUM(G652:G653)),SUM(G652:G653),0))</f>
        <v>0</v>
      </c>
      <c r="K652" s="1139">
        <f>MAX((H652)-(G652+G653),0)</f>
        <v>0</v>
      </c>
      <c r="L652" s="407"/>
      <c r="M652" s="393"/>
      <c r="N652" s="393"/>
      <c r="O652" s="580"/>
      <c r="P652" s="1140"/>
      <c r="Q652" s="1140"/>
      <c r="R652" s="617">
        <f>MAX(MIN(P660-Q660,H660*0.15-G658),0)</f>
        <v>0</v>
      </c>
      <c r="S652" s="576"/>
      <c r="T652" s="599">
        <f>G637</f>
        <v>0</v>
      </c>
      <c r="U652" s="578"/>
      <c r="V652" s="579"/>
      <c r="W652" s="579">
        <f t="shared" ref="W652:W664" si="90">U652-V652</f>
        <v>0</v>
      </c>
      <c r="X652" s="579"/>
      <c r="Y652" s="879"/>
      <c r="Z652" s="121"/>
      <c r="AA652" s="143"/>
      <c r="AB652" s="143"/>
      <c r="AC652" s="504"/>
      <c r="AD652" s="505">
        <f t="shared" ref="AD652:AD658" si="91">IFERROR(U652-AC652,0)</f>
        <v>0</v>
      </c>
      <c r="AE652" s="143"/>
      <c r="AI652" s="20"/>
      <c r="BO652" s="86"/>
    </row>
    <row r="653" spans="1:67" ht="15.75" customHeight="1" x14ac:dyDescent="0.25">
      <c r="A653" s="520">
        <f>IFERROR(VLOOKUP($G$5,'רשימת רשויות'!A:C,3,0),0)</f>
        <v>0</v>
      </c>
      <c r="B653" s="520">
        <f t="shared" si="81"/>
        <v>0</v>
      </c>
      <c r="D653" s="1134"/>
      <c r="E653" s="1137"/>
      <c r="F653" s="589" t="s">
        <v>45</v>
      </c>
      <c r="G653" s="123">
        <f>IF(G642="תקין",IFERROR(VLOOKUP('בית ספר - תקצוב לפי מוסד (9)'!G637,' איוש משרות (8)'!C:J,8,0),0),0)</f>
        <v>0</v>
      </c>
      <c r="H653" s="125"/>
      <c r="I653" s="126"/>
      <c r="J653" s="104"/>
      <c r="K653" s="1139"/>
      <c r="L653" s="407"/>
      <c r="M653" s="393"/>
      <c r="N653" s="393"/>
      <c r="O653" s="580"/>
      <c r="P653" s="1140"/>
      <c r="Q653" s="1140"/>
      <c r="R653" s="596"/>
      <c r="S653" s="576"/>
      <c r="T653" s="599">
        <f>G637</f>
        <v>0</v>
      </c>
      <c r="U653" s="578"/>
      <c r="V653" s="579"/>
      <c r="W653" s="579">
        <f t="shared" si="90"/>
        <v>0</v>
      </c>
      <c r="X653" s="579"/>
      <c r="Y653" s="879"/>
      <c r="Z653" s="121"/>
      <c r="AA653" s="143"/>
      <c r="AB653" s="143"/>
      <c r="AC653" s="504"/>
      <c r="AD653" s="505">
        <f t="shared" si="91"/>
        <v>0</v>
      </c>
      <c r="AE653" s="143"/>
      <c r="AG653" s="55"/>
      <c r="AH653" s="55"/>
      <c r="AI653" s="55"/>
      <c r="AJ653" s="55"/>
      <c r="AK653" s="55"/>
      <c r="BO653" s="86"/>
    </row>
    <row r="654" spans="1:67" ht="15.75" customHeight="1" x14ac:dyDescent="0.25">
      <c r="A654" s="520">
        <f>IFERROR(VLOOKUP($G$5,'רשימת רשויות'!A:C,3,0),0)</f>
        <v>0</v>
      </c>
      <c r="B654" s="520">
        <f t="shared" ref="B654:B717" si="92">IF(F655="סמל המוסד",G655,B653)</f>
        <v>0</v>
      </c>
      <c r="D654" s="1134"/>
      <c r="E654" s="1137"/>
      <c r="F654" s="589" t="s">
        <v>0</v>
      </c>
      <c r="G654" s="117">
        <f>IF(G642="תקין",SUMIFS('דוח הוצאות בפועל (4)'!$E$17:$E$3016,'דוח הוצאות בפועל (4)'!$B$17:$B$3016,'בית ספר - תקצוב לפי מוסד (9)'!$G637,'דוח הוצאות בפועל (4)'!$M$17:$M$3016,"הע"),0)-Y654</f>
        <v>0</v>
      </c>
      <c r="H654" s="127">
        <f>J639</f>
        <v>0</v>
      </c>
      <c r="I654" s="128">
        <f>IFERROR(G654/H654,0)</f>
        <v>0</v>
      </c>
      <c r="J654" s="129">
        <f>MIN(IF(ISNUMBER(G654),G654,0),H654)</f>
        <v>0</v>
      </c>
      <c r="K654" s="120">
        <f>MAX(H654-G654,0)</f>
        <v>0</v>
      </c>
      <c r="L654" s="407"/>
      <c r="M654" s="393"/>
      <c r="N654" s="393"/>
      <c r="O654" s="580"/>
      <c r="P654" s="968">
        <f>MAX(IF(I654&lt;100%,MIN((H654-G654),H654*0.25),0),0)</f>
        <v>0</v>
      </c>
      <c r="Q654" s="619">
        <f>IF(G654-H654&gt;0,G654-H654,0)</f>
        <v>0</v>
      </c>
      <c r="R654" s="596"/>
      <c r="S654" s="610" t="s">
        <v>0</v>
      </c>
      <c r="T654" s="599">
        <f>G637</f>
        <v>0</v>
      </c>
      <c r="U654" s="578"/>
      <c r="V654" s="579">
        <f>G654</f>
        <v>0</v>
      </c>
      <c r="W654" s="579">
        <f t="shared" si="90"/>
        <v>0</v>
      </c>
      <c r="X654" s="579">
        <f>IFERROR(W665*W654/(SUM(W651:W664)),0)</f>
        <v>0</v>
      </c>
      <c r="Y654" s="879">
        <f>SUMIFS(בקרה!$S:$S,בקרה!$D:$D,T654,בקרה!$K:$K,S654)</f>
        <v>0</v>
      </c>
      <c r="Z654" s="121"/>
      <c r="AA654" s="143"/>
      <c r="AB654" s="143"/>
      <c r="AC654" s="504">
        <v>0</v>
      </c>
      <c r="AD654" s="505">
        <f t="shared" si="91"/>
        <v>0</v>
      </c>
      <c r="AE654" s="143"/>
      <c r="AG654" s="55"/>
      <c r="AH654" s="55"/>
      <c r="AI654" s="40"/>
      <c r="AJ654" s="55"/>
      <c r="AK654" s="55"/>
      <c r="BO654" s="86"/>
    </row>
    <row r="655" spans="1:67" s="55" customFormat="1" ht="15.75" customHeight="1" x14ac:dyDescent="0.25">
      <c r="A655" s="520">
        <f>IFERROR(VLOOKUP($G$5,'רשימת רשויות'!A:C,3,0),0)</f>
        <v>0</v>
      </c>
      <c r="B655" s="520">
        <f t="shared" si="92"/>
        <v>0</v>
      </c>
      <c r="C655" s="39"/>
      <c r="D655" s="1134"/>
      <c r="E655" s="1137"/>
      <c r="F655" s="589" t="s">
        <v>93</v>
      </c>
      <c r="G655" s="130">
        <f>IF(G642="תקין",SUMIFS('דוח הוצאות בפועל (4)'!$E$17:$E$3016,'דוח הוצאות בפועל (4)'!$B$17:$B$3016,'בית ספר - תקצוב לפי מוסד (9)'!$G637,'דוח הוצאות בפועל (4)'!$M$17:$M$3016,"אר"),0)-Y655</f>
        <v>0</v>
      </c>
      <c r="H655" s="118">
        <f>$I645</f>
        <v>0</v>
      </c>
      <c r="I655" s="131">
        <f>IFERROR((G655+G656)/H655,0)</f>
        <v>0</v>
      </c>
      <c r="J655" s="100">
        <f>MIN((IF(ISNUMBER(G655),G655,0)+IF(ISNUMBER(G656),G656,0)),H655)</f>
        <v>0</v>
      </c>
      <c r="K655" s="1139">
        <f>MAX((H655)-(G655+G656),0)</f>
        <v>0</v>
      </c>
      <c r="L655" s="407"/>
      <c r="M655" s="393"/>
      <c r="N655" s="393"/>
      <c r="O655" s="602"/>
      <c r="P655" s="1141"/>
      <c r="Q655" s="1142"/>
      <c r="R655" s="596"/>
      <c r="S655" s="610" t="s">
        <v>93</v>
      </c>
      <c r="T655" s="599">
        <f>G637</f>
        <v>0</v>
      </c>
      <c r="U655" s="578"/>
      <c r="V655" s="579">
        <f t="shared" ref="V655:V656" si="93">G655</f>
        <v>0</v>
      </c>
      <c r="W655" s="579">
        <f t="shared" si="90"/>
        <v>0</v>
      </c>
      <c r="X655" s="579">
        <f>IFERROR(W665*W655/(SUM(W651:W664)),0)</f>
        <v>0</v>
      </c>
      <c r="Y655" s="879">
        <f>SUMIFS(בקרה!$S:$S,בקרה!$D:$D,T655,בקרה!$K:$K,S655)</f>
        <v>0</v>
      </c>
      <c r="Z655" s="121"/>
      <c r="AA655" s="143"/>
      <c r="AB655" s="143"/>
      <c r="AC655" s="504">
        <v>0</v>
      </c>
      <c r="AD655" s="505">
        <f t="shared" si="91"/>
        <v>0</v>
      </c>
      <c r="AE655" s="143"/>
      <c r="AJ655" s="22"/>
      <c r="AO655" s="22"/>
      <c r="AP655" s="22"/>
      <c r="AQ655" s="22"/>
      <c r="AR655" s="22"/>
      <c r="AS655" s="22"/>
      <c r="AT655" s="22"/>
      <c r="AU655" s="35"/>
      <c r="AV655" s="35"/>
      <c r="AW655" s="35"/>
      <c r="AX655" s="35"/>
      <c r="AY655" s="35"/>
      <c r="AZ655" s="35"/>
      <c r="BA655" s="35"/>
      <c r="BB655" s="35"/>
      <c r="BC655" s="35"/>
      <c r="BD655" s="35"/>
      <c r="BE655" s="35"/>
      <c r="BF655" s="35"/>
      <c r="BG655" s="35"/>
      <c r="BH655" s="35"/>
      <c r="BI655" s="35"/>
      <c r="BJ655" s="35"/>
      <c r="BK655" s="35"/>
      <c r="BL655" s="35"/>
      <c r="BM655" s="35"/>
      <c r="BN655" s="35"/>
      <c r="BO655" s="86"/>
    </row>
    <row r="656" spans="1:67" s="55" customFormat="1" ht="15.75" customHeight="1" x14ac:dyDescent="0.25">
      <c r="A656" s="520">
        <f>IFERROR(VLOOKUP($G$5,'רשימת רשויות'!A:C,3,0),0)</f>
        <v>0</v>
      </c>
      <c r="B656" s="520">
        <f t="shared" si="92"/>
        <v>0</v>
      </c>
      <c r="C656" s="39"/>
      <c r="D656" s="1134"/>
      <c r="E656" s="1137"/>
      <c r="F656" s="589" t="s">
        <v>46</v>
      </c>
      <c r="G656" s="130">
        <f>IF(G642="תקין",SUMIFS('דוח הוצאות בפועל (4)'!$E$17:$E$3016,'דוח הוצאות בפועל (4)'!$B$17:$B$3016,'בית ספר - תקצוב לפי מוסד (9)'!$G637,'דוח הוצאות בפועל (4)'!$M$17:$M$3016,"מל"),0)-Y656</f>
        <v>0</v>
      </c>
      <c r="H656" s="132"/>
      <c r="I656" s="133"/>
      <c r="J656" s="104"/>
      <c r="K656" s="1139"/>
      <c r="L656" s="407"/>
      <c r="M656" s="393"/>
      <c r="N656" s="393"/>
      <c r="O656" s="602"/>
      <c r="P656" s="1141"/>
      <c r="Q656" s="1142"/>
      <c r="R656" s="596"/>
      <c r="S656" s="610" t="s">
        <v>46</v>
      </c>
      <c r="T656" s="599">
        <f>G637</f>
        <v>0</v>
      </c>
      <c r="U656" s="578"/>
      <c r="V656" s="579">
        <f t="shared" si="93"/>
        <v>0</v>
      </c>
      <c r="W656" s="579">
        <f t="shared" si="90"/>
        <v>0</v>
      </c>
      <c r="X656" s="579">
        <f>IFERROR(W665*W656/(SUM(W651:W664)),0)</f>
        <v>0</v>
      </c>
      <c r="Y656" s="879">
        <f>SUMIFS(בקרה!$S:$S,בקרה!$D:$D,T656,בקרה!$K:$K,S656)</f>
        <v>0</v>
      </c>
      <c r="Z656" s="121"/>
      <c r="AA656" s="143"/>
      <c r="AB656" s="143"/>
      <c r="AC656" s="504">
        <v>0</v>
      </c>
      <c r="AD656" s="505">
        <f t="shared" si="91"/>
        <v>0</v>
      </c>
      <c r="AE656" s="143"/>
      <c r="AJ656" s="22"/>
      <c r="AO656" s="22"/>
      <c r="AP656" s="22"/>
      <c r="AQ656" s="22"/>
      <c r="AR656" s="22"/>
      <c r="AS656" s="22"/>
      <c r="AT656" s="22"/>
      <c r="AU656" s="35"/>
      <c r="AV656" s="35"/>
      <c r="AW656" s="35"/>
      <c r="AX656" s="35"/>
      <c r="AY656" s="35"/>
      <c r="AZ656" s="35"/>
      <c r="BA656" s="35"/>
      <c r="BB656" s="35"/>
      <c r="BC656" s="35"/>
      <c r="BD656" s="35"/>
      <c r="BE656" s="35"/>
      <c r="BF656" s="35"/>
      <c r="BG656" s="35"/>
      <c r="BH656" s="35"/>
      <c r="BI656" s="35"/>
      <c r="BJ656" s="35"/>
      <c r="BK656" s="35"/>
      <c r="BL656" s="35"/>
      <c r="BM656" s="35"/>
      <c r="BN656" s="35"/>
      <c r="BO656" s="86"/>
    </row>
    <row r="657" spans="1:67" s="55" customFormat="1" ht="15" customHeight="1" x14ac:dyDescent="0.25">
      <c r="A657" s="520">
        <f>IFERROR(VLOOKUP($G$5,'רשימת רשויות'!A:C,3,0),0)</f>
        <v>0</v>
      </c>
      <c r="B657" s="520">
        <f t="shared" si="92"/>
        <v>0</v>
      </c>
      <c r="C657" s="39"/>
      <c r="D657" s="1134"/>
      <c r="E657" s="1137"/>
      <c r="F657" s="591" t="s">
        <v>23</v>
      </c>
      <c r="G657" s="134">
        <f>SUM(G651:G656)</f>
        <v>0</v>
      </c>
      <c r="H657" s="135">
        <f>SUM(H651:H656)</f>
        <v>0</v>
      </c>
      <c r="I657" s="128">
        <f>IFERROR(G657/H657,0)</f>
        <v>0</v>
      </c>
      <c r="J657" s="136">
        <f>SUM(J651:J656)</f>
        <v>0</v>
      </c>
      <c r="K657" s="137">
        <f>SUM(K651:K656)</f>
        <v>0</v>
      </c>
      <c r="L657" s="408"/>
      <c r="M657" s="394"/>
      <c r="N657" s="394"/>
      <c r="O657" s="602"/>
      <c r="P657" s="620">
        <f>SUM(P651:P656)</f>
        <v>0</v>
      </c>
      <c r="Q657" s="620">
        <f>SUM(Q651:Q656)</f>
        <v>0</v>
      </c>
      <c r="R657" s="596"/>
      <c r="S657" s="610"/>
      <c r="T657" s="599">
        <f>G637</f>
        <v>0</v>
      </c>
      <c r="U657" s="578"/>
      <c r="V657" s="579"/>
      <c r="W657" s="579">
        <f t="shared" si="90"/>
        <v>0</v>
      </c>
      <c r="X657" s="579"/>
      <c r="Y657" s="879"/>
      <c r="Z657" s="121"/>
      <c r="AA657" s="143"/>
      <c r="AB657" s="143"/>
      <c r="AC657" s="504"/>
      <c r="AD657" s="505">
        <f t="shared" si="91"/>
        <v>0</v>
      </c>
      <c r="AE657" s="143"/>
      <c r="AJ657" s="22"/>
      <c r="AL657" s="22"/>
      <c r="AM657" s="22"/>
      <c r="AN657" s="22"/>
      <c r="AO657" s="22"/>
      <c r="AP657" s="22"/>
      <c r="AQ657" s="22"/>
      <c r="AR657" s="22"/>
      <c r="AS657" s="22"/>
      <c r="AT657" s="22"/>
      <c r="AU657" s="35"/>
      <c r="AV657" s="35"/>
      <c r="AW657" s="35"/>
      <c r="AX657" s="35"/>
      <c r="AY657" s="35"/>
      <c r="AZ657" s="35"/>
      <c r="BA657" s="35"/>
      <c r="BB657" s="35"/>
      <c r="BC657" s="35"/>
      <c r="BD657" s="35"/>
      <c r="BE657" s="35"/>
      <c r="BF657" s="35"/>
      <c r="BG657" s="35"/>
      <c r="BH657" s="35"/>
      <c r="BI657" s="35"/>
      <c r="BJ657" s="35"/>
      <c r="BK657" s="35"/>
      <c r="BL657" s="35"/>
      <c r="BM657" s="35"/>
      <c r="BN657" s="35"/>
      <c r="BO657" s="86"/>
    </row>
    <row r="658" spans="1:67" s="55" customFormat="1" ht="15" customHeight="1" x14ac:dyDescent="0.25">
      <c r="A658" s="520">
        <f>IFERROR(VLOOKUP($G$5,'רשימת רשויות'!A:C,3,0),0)</f>
        <v>0</v>
      </c>
      <c r="B658" s="520">
        <f t="shared" si="92"/>
        <v>0</v>
      </c>
      <c r="C658" s="39"/>
      <c r="D658" s="1134"/>
      <c r="E658" s="1137"/>
      <c r="F658" s="589" t="s">
        <v>3</v>
      </c>
      <c r="G658" s="117">
        <f>IF(G642="תקין",SUMIFS('דוח הוצאות בפועל (4)'!$E$17:$E$3016,'דוח הוצאות בפועל (4)'!$B$17:$B$3016,'בית ספר - תקצוב לפי מוסד (9)'!$G637,'דוח הוצאות בפועל (4)'!$M$17:$M$3016,"ני")+SUMIFS('דוח הוצאות בפועל (4)'!$E$17:$E$3016,'דוח הוצאות בפועל (4)'!$B$17:$B$3016,'בית ספר - תקצוב לפי מוסד (9)'!$G637,'דוח הוצאות בפועל (4)'!$M$17:$M$3016,"על"),0)-Y658</f>
        <v>0</v>
      </c>
      <c r="H658" s="117">
        <f>H639</f>
        <v>0</v>
      </c>
      <c r="I658" s="138">
        <f>IFERROR(G658/H658,0)</f>
        <v>0</v>
      </c>
      <c r="J658" s="117">
        <f>IFERROR(IF(G658/H660&gt;0.15,MIN(H660*0.15,H658),MIN(H658,IF(ISNUMBER(G658),G658,0))),0)</f>
        <v>0</v>
      </c>
      <c r="K658" s="120">
        <f>MAX(H658-G658,0)</f>
        <v>0</v>
      </c>
      <c r="L658" s="407"/>
      <c r="M658" s="393"/>
      <c r="N658" s="393"/>
      <c r="O658" s="602"/>
      <c r="P658" s="620">
        <f>IF(I658&lt;100%,MIN(H658-G658,H658*0.25),0)</f>
        <v>0</v>
      </c>
      <c r="Q658" s="620">
        <f>MAX(MIN(IF(G658-H658&gt;0,G658-H658,0),$H660*0.15-H658-J659),0)</f>
        <v>0</v>
      </c>
      <c r="R658" s="596"/>
      <c r="S658" s="610" t="s">
        <v>3</v>
      </c>
      <c r="T658" s="599">
        <f>G637</f>
        <v>0</v>
      </c>
      <c r="U658" s="578"/>
      <c r="V658" s="579">
        <f t="shared" ref="V658" si="94">G658</f>
        <v>0</v>
      </c>
      <c r="W658" s="579">
        <f t="shared" si="90"/>
        <v>0</v>
      </c>
      <c r="X658" s="579"/>
      <c r="Y658" s="879"/>
      <c r="Z658" s="121"/>
      <c r="AA658" s="143"/>
      <c r="AB658" s="143"/>
      <c r="AC658" s="504">
        <v>0</v>
      </c>
      <c r="AD658" s="505">
        <f t="shared" si="91"/>
        <v>0</v>
      </c>
      <c r="AE658" s="143"/>
      <c r="AG658" s="22"/>
      <c r="AH658" s="22"/>
      <c r="AI658" s="22"/>
      <c r="AJ658" s="22"/>
      <c r="AK658" s="22"/>
      <c r="AL658" s="22"/>
      <c r="AM658" s="22"/>
      <c r="AN658" s="22"/>
      <c r="AO658" s="22"/>
      <c r="AP658" s="22"/>
      <c r="AQ658" s="22"/>
      <c r="AR658" s="22"/>
      <c r="AS658" s="22"/>
      <c r="AT658" s="22"/>
      <c r="AU658" s="35"/>
      <c r="AV658" s="35"/>
      <c r="AW658" s="35"/>
      <c r="AX658" s="35"/>
      <c r="AY658" s="35"/>
      <c r="AZ658" s="35"/>
      <c r="BA658" s="35"/>
      <c r="BB658" s="35"/>
      <c r="BC658" s="35"/>
      <c r="BD658" s="35"/>
      <c r="BE658" s="35"/>
      <c r="BF658" s="35"/>
      <c r="BG658" s="35"/>
      <c r="BH658" s="35"/>
      <c r="BI658" s="35"/>
      <c r="BJ658" s="35"/>
      <c r="BK658" s="35"/>
      <c r="BL658" s="35"/>
      <c r="BM658" s="35"/>
      <c r="BN658" s="35"/>
      <c r="BO658" s="86"/>
    </row>
    <row r="659" spans="1:67" s="55" customFormat="1" ht="15.75" customHeight="1" x14ac:dyDescent="0.25">
      <c r="A659" s="520">
        <f>IFERROR(VLOOKUP($G$5,'רשימת רשויות'!A:C,3,0),0)</f>
        <v>0</v>
      </c>
      <c r="B659" s="520">
        <f t="shared" si="92"/>
        <v>0</v>
      </c>
      <c r="C659" s="39"/>
      <c r="D659" s="1134"/>
      <c r="E659" s="1137"/>
      <c r="F659" s="589" t="s">
        <v>2918</v>
      </c>
      <c r="G659" s="117">
        <f>0.07*(G653+G652)</f>
        <v>0</v>
      </c>
      <c r="H659" s="117">
        <f>H641</f>
        <v>0</v>
      </c>
      <c r="I659" s="138">
        <f>IFERROR(G659/H659,0)</f>
        <v>0</v>
      </c>
      <c r="J659" s="117">
        <f>IFERROR(MIN(0.07*(G652+G653),0.07*I641),0)</f>
        <v>0</v>
      </c>
      <c r="K659" s="120">
        <f>MAX(H659-G659,0)</f>
        <v>0</v>
      </c>
      <c r="L659" s="407"/>
      <c r="M659" s="393"/>
      <c r="N659" s="393"/>
      <c r="O659" s="602"/>
      <c r="P659" s="620"/>
      <c r="Q659" s="619"/>
      <c r="R659" s="596"/>
      <c r="S659" s="611"/>
      <c r="T659" s="599">
        <f>G637</f>
        <v>0</v>
      </c>
      <c r="U659" s="578"/>
      <c r="V659" s="579"/>
      <c r="W659" s="579">
        <f t="shared" si="90"/>
        <v>0</v>
      </c>
      <c r="X659" s="579"/>
      <c r="Y659" s="879"/>
      <c r="Z659" s="121"/>
      <c r="AA659" s="143"/>
      <c r="AB659" s="143"/>
      <c r="AC659" s="504"/>
      <c r="AD659" s="505"/>
      <c r="AE659" s="143"/>
      <c r="AF659" s="140"/>
      <c r="AG659" s="22"/>
      <c r="AH659" s="22"/>
      <c r="AI659" s="22"/>
      <c r="AJ659" s="22"/>
      <c r="AK659" s="22"/>
      <c r="AL659" s="22"/>
      <c r="AM659" s="22"/>
      <c r="AN659" s="22"/>
      <c r="AO659" s="22"/>
      <c r="AP659" s="22"/>
      <c r="AQ659" s="22"/>
      <c r="AR659" s="22"/>
      <c r="AS659" s="22"/>
      <c r="AT659" s="22"/>
      <c r="AU659" s="35"/>
      <c r="AV659" s="35"/>
      <c r="AW659" s="35"/>
      <c r="AX659" s="35"/>
      <c r="AY659" s="35"/>
      <c r="AZ659" s="35"/>
      <c r="BA659" s="35"/>
      <c r="BB659" s="35"/>
      <c r="BC659" s="35"/>
      <c r="BD659" s="35"/>
      <c r="BE659" s="35"/>
      <c r="BF659" s="35"/>
      <c r="BG659" s="35"/>
      <c r="BH659" s="35"/>
      <c r="BI659" s="35"/>
      <c r="BJ659" s="35"/>
      <c r="BK659" s="35"/>
      <c r="BL659" s="35"/>
      <c r="BM659" s="35"/>
      <c r="BN659" s="35"/>
      <c r="BO659" s="86"/>
    </row>
    <row r="660" spans="1:67" ht="15.75" customHeight="1" x14ac:dyDescent="0.25">
      <c r="A660" s="520">
        <f>IFERROR(VLOOKUP($G$5,'רשימת רשויות'!A:C,3,0),0)</f>
        <v>0</v>
      </c>
      <c r="B660" s="520">
        <f t="shared" si="92"/>
        <v>0</v>
      </c>
      <c r="D660" s="1134"/>
      <c r="E660" s="1137"/>
      <c r="F660" s="591" t="s">
        <v>15</v>
      </c>
      <c r="G660" s="134">
        <f>G657+G658+G659</f>
        <v>0</v>
      </c>
      <c r="H660" s="134">
        <f>H657+H658+H659</f>
        <v>0</v>
      </c>
      <c r="I660" s="138">
        <f>IFERROR(G660/H660,0)</f>
        <v>0</v>
      </c>
      <c r="J660" s="139">
        <f>J657+J658+J659</f>
        <v>0</v>
      </c>
      <c r="K660" s="137">
        <f>K658+K657+K659</f>
        <v>0</v>
      </c>
      <c r="L660" s="408"/>
      <c r="M660" s="394"/>
      <c r="N660" s="394"/>
      <c r="O660" s="602"/>
      <c r="P660" s="621">
        <f>SUM(P657:P658)</f>
        <v>0</v>
      </c>
      <c r="Q660" s="622">
        <f>Q657+Q658</f>
        <v>0</v>
      </c>
      <c r="R660" s="596"/>
      <c r="S660" s="611"/>
      <c r="T660" s="599">
        <f>G637</f>
        <v>0</v>
      </c>
      <c r="U660" s="578"/>
      <c r="V660" s="579"/>
      <c r="W660" s="579">
        <f t="shared" si="90"/>
        <v>0</v>
      </c>
      <c r="X660" s="579"/>
      <c r="Y660" s="879"/>
      <c r="Z660" s="106"/>
      <c r="AC660" s="504"/>
      <c r="AD660" s="505"/>
      <c r="AH660" s="143"/>
      <c r="BO660" s="86"/>
    </row>
    <row r="661" spans="1:67" ht="15.75" customHeight="1" x14ac:dyDescent="0.25">
      <c r="A661" s="520">
        <f>IFERROR(VLOOKUP($G$5,'רשימת רשויות'!A:C,3,0),0)</f>
        <v>0</v>
      </c>
      <c r="B661" s="520">
        <f t="shared" si="92"/>
        <v>0</v>
      </c>
      <c r="D661" s="1134"/>
      <c r="E661" s="1137"/>
      <c r="F661" s="589" t="s">
        <v>2261</v>
      </c>
      <c r="G661" s="117">
        <f>IF(G642="תקין",SUMIF('תשלומי הורים ומלגות להורים (5) '!$B$18:$B$517,$G637,'תשלומי הורים ומלגות להורים (5) '!$C$18:$C$517),0)</f>
        <v>0</v>
      </c>
      <c r="H661" s="117">
        <f>(G640+G641)*$G$7</f>
        <v>0</v>
      </c>
      <c r="I661" s="141"/>
      <c r="J661" s="141"/>
      <c r="K661" s="142"/>
      <c r="L661" s="395"/>
      <c r="M661" s="395"/>
      <c r="N661" s="395"/>
      <c r="O661" s="602"/>
      <c r="P661" s="623"/>
      <c r="Q661" s="619"/>
      <c r="R661" s="596"/>
      <c r="S661" s="612"/>
      <c r="T661" s="599">
        <f>G637</f>
        <v>0</v>
      </c>
      <c r="U661" s="578"/>
      <c r="V661" s="579"/>
      <c r="W661" s="579">
        <f t="shared" si="90"/>
        <v>0</v>
      </c>
      <c r="X661" s="579"/>
      <c r="Y661" s="879"/>
      <c r="Z661" s="121"/>
      <c r="AA661" s="143"/>
      <c r="AB661" s="143"/>
      <c r="AC661" s="504"/>
      <c r="AD661" s="505"/>
      <c r="AE661" s="143"/>
      <c r="AF661" s="148"/>
      <c r="BO661" s="86"/>
    </row>
    <row r="662" spans="1:67" ht="15.75" customHeight="1" thickBot="1" x14ac:dyDescent="0.3">
      <c r="A662" s="520">
        <f>IFERROR(VLOOKUP($G$5,'רשימת רשויות'!A:C,3,0),0)</f>
        <v>0</v>
      </c>
      <c r="B662" s="520">
        <f t="shared" si="92"/>
        <v>0</v>
      </c>
      <c r="D662" s="1134"/>
      <c r="E662" s="1137"/>
      <c r="F662" s="592" t="s">
        <v>21</v>
      </c>
      <c r="G662" s="144">
        <f>G660-G661</f>
        <v>0</v>
      </c>
      <c r="H662" s="144">
        <f>H660-H661</f>
        <v>0</v>
      </c>
      <c r="I662" s="145"/>
      <c r="J662" s="145"/>
      <c r="K662" s="146"/>
      <c r="L662" s="396"/>
      <c r="M662" s="396"/>
      <c r="N662" s="396"/>
      <c r="O662" s="602"/>
      <c r="P662" s="619"/>
      <c r="Q662" s="619"/>
      <c r="R662" s="596"/>
      <c r="S662" s="612"/>
      <c r="T662" s="599">
        <f>G637</f>
        <v>0</v>
      </c>
      <c r="U662" s="578"/>
      <c r="V662" s="579"/>
      <c r="W662" s="579">
        <f t="shared" si="90"/>
        <v>0</v>
      </c>
      <c r="X662" s="579"/>
      <c r="Y662" s="879"/>
      <c r="Z662" s="147"/>
      <c r="AA662" s="148"/>
      <c r="AB662" s="148"/>
      <c r="AC662" s="504"/>
      <c r="AD662" s="505"/>
      <c r="AE662" s="148"/>
      <c r="AF662" s="148"/>
      <c r="BO662" s="86"/>
    </row>
    <row r="663" spans="1:67" ht="15.75" customHeight="1" thickBot="1" x14ac:dyDescent="0.3">
      <c r="A663" s="520">
        <f>IFERROR(VLOOKUP($G$5,'רשימת רשויות'!A:C,3,0),0)</f>
        <v>0</v>
      </c>
      <c r="B663" s="520">
        <f t="shared" si="92"/>
        <v>0</v>
      </c>
      <c r="D663" s="1134"/>
      <c r="E663" s="1137"/>
      <c r="F663" s="580"/>
      <c r="G663" s="580"/>
      <c r="H663" s="147"/>
      <c r="I663" s="149" t="s">
        <v>2197</v>
      </c>
      <c r="J663" s="150">
        <f>MAX(MIN(P660,Q660),0)</f>
        <v>0</v>
      </c>
      <c r="K663" s="580"/>
      <c r="L663" s="580"/>
      <c r="M663" s="580"/>
      <c r="N663" s="580"/>
      <c r="O663" s="580"/>
      <c r="P663" s="615" t="s">
        <v>2317</v>
      </c>
      <c r="Q663" s="624">
        <f>SUM(Q664:Q665)</f>
        <v>0</v>
      </c>
      <c r="R663" s="596"/>
      <c r="S663" s="612"/>
      <c r="T663" s="599">
        <f>G637</f>
        <v>0</v>
      </c>
      <c r="U663" s="578"/>
      <c r="V663" s="579"/>
      <c r="W663" s="579">
        <f t="shared" si="90"/>
        <v>0</v>
      </c>
      <c r="X663" s="579"/>
      <c r="Y663" s="879"/>
      <c r="Z663" s="106"/>
      <c r="AC663" s="504"/>
      <c r="AD663" s="505"/>
      <c r="AF663" s="148"/>
      <c r="BO663" s="86"/>
    </row>
    <row r="664" spans="1:67" ht="16.5" thickBot="1" x14ac:dyDescent="0.3">
      <c r="A664" s="520">
        <f>IFERROR(VLOOKUP($G$5,'רשימת רשויות'!A:C,3,0),0)</f>
        <v>0</v>
      </c>
      <c r="B664" s="520">
        <f t="shared" si="92"/>
        <v>0</v>
      </c>
      <c r="D664" s="1134"/>
      <c r="E664" s="1137"/>
      <c r="F664" s="580"/>
      <c r="G664" s="580"/>
      <c r="H664" s="580"/>
      <c r="I664" s="84" t="s">
        <v>2193</v>
      </c>
      <c r="J664" s="515" t="str">
        <f>IFERROR(1-H661/H660,"")</f>
        <v/>
      </c>
      <c r="K664" s="580"/>
      <c r="L664" s="580"/>
      <c r="M664" s="580"/>
      <c r="N664" s="580"/>
      <c r="O664" s="580"/>
      <c r="P664" s="615" t="s">
        <v>417</v>
      </c>
      <c r="Q664" s="616">
        <f>IFERROR(MAX(H662-I665-Q665,0),0)</f>
        <v>0</v>
      </c>
      <c r="R664" s="596"/>
      <c r="S664" s="600"/>
      <c r="T664" s="599">
        <f>G637</f>
        <v>0</v>
      </c>
      <c r="U664" s="578"/>
      <c r="V664" s="579"/>
      <c r="W664" s="579">
        <f t="shared" si="90"/>
        <v>0</v>
      </c>
      <c r="X664" s="579"/>
      <c r="Y664" s="879"/>
      <c r="Z664" s="106"/>
      <c r="AC664" s="504"/>
      <c r="AD664" s="505"/>
      <c r="BO664" s="86"/>
    </row>
    <row r="665" spans="1:67" ht="17.25" thickBot="1" x14ac:dyDescent="0.3">
      <c r="A665" s="520">
        <f>IFERROR(VLOOKUP($G$5,'רשימת רשויות'!A:C,3,0),0)</f>
        <v>0</v>
      </c>
      <c r="B665" s="520">
        <f t="shared" si="92"/>
        <v>0</v>
      </c>
      <c r="D665" s="1134"/>
      <c r="E665" s="1137"/>
      <c r="F665" s="1143" t="s">
        <v>2679</v>
      </c>
      <c r="G665" s="1143"/>
      <c r="H665" s="1143"/>
      <c r="I665" s="722">
        <f>IF(G642="לא תקין","לא קיימת זכאות לתקציב לאור אי איוש משרות רכז ו/או סגן רכז ",IFERROR(J664*(J663+J660),0))</f>
        <v>0</v>
      </c>
      <c r="J665" s="573"/>
      <c r="K665" s="574"/>
      <c r="L665" s="396"/>
      <c r="M665" s="574"/>
      <c r="N665" s="574"/>
      <c r="O665" s="574"/>
      <c r="P665" s="615" t="s">
        <v>2279</v>
      </c>
      <c r="Q665" s="616">
        <f>MAX(IF(AND(G660&gt;H660,I665&lt;H662),H662-I665,0),0)</f>
        <v>0</v>
      </c>
      <c r="R665" s="575"/>
      <c r="S665" s="576" t="s">
        <v>67</v>
      </c>
      <c r="T665" s="577">
        <f>G637</f>
        <v>0</v>
      </c>
      <c r="U665" s="578"/>
      <c r="V665" s="579">
        <f>I665</f>
        <v>0</v>
      </c>
      <c r="W665" s="579">
        <f>IFERROR(U665-V665,0)</f>
        <v>0</v>
      </c>
      <c r="X665" s="579">
        <f>SUM(X651:X664)</f>
        <v>0</v>
      </c>
      <c r="Y665" s="879"/>
      <c r="Z665" s="106"/>
      <c r="AC665" s="506">
        <v>0</v>
      </c>
      <c r="AD665" s="507">
        <f>IFERROR(U665-AC665,0)</f>
        <v>0</v>
      </c>
      <c r="BO665" s="86"/>
    </row>
    <row r="666" spans="1:67" ht="16.5" thickBot="1" x14ac:dyDescent="0.3">
      <c r="A666" s="520">
        <f>IFERROR(VLOOKUP($G$5,'רשימת רשויות'!A:C,3,0),0)</f>
        <v>0</v>
      </c>
      <c r="B666" s="520">
        <f t="shared" si="92"/>
        <v>0</v>
      </c>
      <c r="D666" s="1135"/>
      <c r="E666" s="1138"/>
      <c r="F666" s="1144" t="s">
        <v>2793</v>
      </c>
      <c r="G666" s="1145"/>
      <c r="H666" s="1145"/>
      <c r="I666" s="593">
        <f>IFERROR(IF(G642="תקין",SUMIFS('סייעות רפואיות או אישיות (7)'!$Q$17:Q$384,'סייעות רפואיות או אישיות (7)'!C$17:C$384,G637),0),0)</f>
        <v>0</v>
      </c>
      <c r="J666" s="151"/>
      <c r="K666" s="152"/>
      <c r="L666" s="409"/>
      <c r="M666" s="152"/>
      <c r="N666" s="152"/>
      <c r="O666" s="152"/>
      <c r="P666" s="613"/>
      <c r="Q666" s="614"/>
      <c r="R666" s="475"/>
      <c r="S666" s="489"/>
      <c r="T666" s="490"/>
      <c r="U666" s="491"/>
      <c r="V666" s="492"/>
      <c r="W666" s="492"/>
      <c r="X666" s="492"/>
      <c r="Y666" s="880"/>
      <c r="Z666" s="153"/>
      <c r="AC666" s="581"/>
      <c r="AD666" s="582"/>
      <c r="BO666" s="86"/>
    </row>
    <row r="667" spans="1:67" ht="34.5" thickBot="1" x14ac:dyDescent="0.55000000000000004">
      <c r="A667" s="520">
        <f>IFERROR(VLOOKUP($G$5,'רשימת רשויות'!A:C,3,0),0)</f>
        <v>0</v>
      </c>
      <c r="B667" s="520">
        <f t="shared" si="92"/>
        <v>0</v>
      </c>
      <c r="E667" s="154"/>
      <c r="I667" s="143"/>
      <c r="J667" s="148"/>
      <c r="O667" s="148"/>
      <c r="T667" s="481"/>
      <c r="BO667" s="86"/>
    </row>
    <row r="668" spans="1:67" s="20" customFormat="1" ht="16.5" customHeight="1" thickBot="1" x14ac:dyDescent="0.3">
      <c r="A668" s="520">
        <f>IFERROR(VLOOKUP($G$5,'רשימת רשויות'!A:C,3,0),0)</f>
        <v>0</v>
      </c>
      <c r="B668" s="520">
        <f t="shared" si="92"/>
        <v>0</v>
      </c>
      <c r="C668" s="39"/>
      <c r="D668" s="1133">
        <f>D637+1</f>
        <v>22</v>
      </c>
      <c r="E668" s="1136" t="str">
        <f>IFERROR(CONCATENATE("בית הספר ",VLOOKUP(G668,'מצבת והרשמה (2)'!$C$21:$D$520,2,0)," - ",$G$5),"")</f>
        <v>בית הספר המוסד לא קיים - 0</v>
      </c>
      <c r="F668" s="720" t="s">
        <v>146</v>
      </c>
      <c r="G668" s="721">
        <f>IFERROR(VLOOKUP(D:D,'דוח ביצוע (3)'!$A$21:$C$900,2,0),0)</f>
        <v>0</v>
      </c>
      <c r="H668" s="79"/>
      <c r="I668" s="80" t="s">
        <v>150</v>
      </c>
      <c r="J668" s="80"/>
      <c r="K668" s="81"/>
      <c r="L668" s="392"/>
      <c r="M668" s="392"/>
      <c r="N668" s="392"/>
      <c r="O668" s="82"/>
      <c r="P668" s="470"/>
      <c r="Q668" s="471"/>
      <c r="R668" s="472"/>
      <c r="S668" s="883"/>
      <c r="T668" s="884"/>
      <c r="U668" s="486"/>
      <c r="V668" s="487"/>
      <c r="W668" s="487"/>
      <c r="X668" s="487"/>
      <c r="Y668" s="885"/>
      <c r="Z668" s="83"/>
      <c r="AC668" s="502"/>
      <c r="AD668" s="503"/>
      <c r="AO668" s="22"/>
      <c r="AP668" s="22"/>
      <c r="AQ668" s="22"/>
      <c r="AR668" s="22"/>
      <c r="AS668" s="22"/>
      <c r="AT668" s="22"/>
      <c r="AU668" s="35"/>
      <c r="AV668" s="35"/>
      <c r="AW668" s="35"/>
      <c r="AX668" s="35"/>
      <c r="AY668" s="35"/>
      <c r="AZ668" s="35"/>
      <c r="BA668" s="35"/>
      <c r="BB668" s="35"/>
      <c r="BC668" s="35"/>
      <c r="BD668" s="35"/>
      <c r="BE668" s="35"/>
      <c r="BF668" s="35"/>
      <c r="BG668" s="35"/>
      <c r="BH668" s="35"/>
      <c r="BI668" s="35"/>
      <c r="BJ668" s="35"/>
      <c r="BK668" s="35"/>
      <c r="BL668" s="35"/>
      <c r="BM668" s="35"/>
      <c r="BN668" s="35"/>
      <c r="BO668" s="78"/>
    </row>
    <row r="669" spans="1:67" s="20" customFormat="1" ht="16.5" thickBot="1" x14ac:dyDescent="0.3">
      <c r="A669" s="520">
        <f>IFERROR(VLOOKUP($G$5,'רשימת רשויות'!A:C,3,0),0)</f>
        <v>0</v>
      </c>
      <c r="B669" s="520">
        <f t="shared" si="92"/>
        <v>0</v>
      </c>
      <c r="C669" s="39"/>
      <c r="D669" s="1134"/>
      <c r="E669" s="1137"/>
      <c r="F669" s="583" t="s">
        <v>145</v>
      </c>
      <c r="G669" s="516" t="str">
        <f>IFERROR(IF((G671+G672)=0,"",IF(VLOOKUP(G668,'דוח ביצוע (3)'!$B$21:$K$900,5,0)&gt;149,"גדול",IF(AND(VLOOKUP(G668,'דוח ביצוע (3)'!$B$21:$K$900,5,0)&gt;0,VLOOKUP(G668,'דוח ביצוע (3)'!$B$21:$K$900,5,0)&lt;150),"קטן",0))),"")</f>
        <v/>
      </c>
      <c r="H669" s="723" t="s">
        <v>88</v>
      </c>
      <c r="I669" s="723" t="s">
        <v>13</v>
      </c>
      <c r="J669" s="725" t="s">
        <v>14</v>
      </c>
      <c r="K669" s="724" t="s">
        <v>94</v>
      </c>
      <c r="L669" s="594"/>
      <c r="M669" s="420" t="s">
        <v>2584</v>
      </c>
      <c r="N669" s="397" t="s">
        <v>413</v>
      </c>
      <c r="O669" s="398" t="s">
        <v>52</v>
      </c>
      <c r="P669" s="595"/>
      <c r="Q669" s="595"/>
      <c r="R669" s="596"/>
      <c r="S669" s="610"/>
      <c r="T669" s="881"/>
      <c r="U669" s="598"/>
      <c r="V669" s="599"/>
      <c r="W669" s="599"/>
      <c r="X669" s="599"/>
      <c r="Y669" s="879"/>
      <c r="Z669" s="85"/>
      <c r="AC669" s="493"/>
      <c r="AD669" s="495"/>
      <c r="AO669" s="22"/>
      <c r="AP669" s="22"/>
      <c r="AQ669" s="22"/>
      <c r="AR669" s="22"/>
      <c r="AS669" s="22"/>
      <c r="AT669" s="22"/>
      <c r="AU669" s="35"/>
      <c r="AV669" s="35"/>
      <c r="AW669" s="35"/>
      <c r="AX669" s="35"/>
      <c r="AY669" s="35"/>
      <c r="AZ669" s="35"/>
      <c r="BA669" s="35"/>
      <c r="BB669" s="35"/>
      <c r="BC669" s="35"/>
      <c r="BD669" s="35"/>
      <c r="BE669" s="35"/>
      <c r="BF669" s="35"/>
      <c r="BG669" s="35"/>
      <c r="BH669" s="35"/>
      <c r="BI669" s="35"/>
      <c r="BJ669" s="35"/>
      <c r="BK669" s="35"/>
      <c r="BL669" s="35"/>
      <c r="BM669" s="35"/>
      <c r="BN669" s="35"/>
      <c r="BO669" s="78"/>
    </row>
    <row r="670" spans="1:67" s="20" customFormat="1" ht="15.75" customHeight="1" thickBot="1" x14ac:dyDescent="0.3">
      <c r="A670" s="520">
        <f>IFERROR(VLOOKUP($G$5,'רשימת רשויות'!A:C,3,0),0)</f>
        <v>0</v>
      </c>
      <c r="B670" s="520">
        <f t="shared" si="92"/>
        <v>0</v>
      </c>
      <c r="C670" s="39"/>
      <c r="D670" s="1134"/>
      <c r="E670" s="1137"/>
      <c r="F670" s="584" t="s">
        <v>144</v>
      </c>
      <c r="G670" s="87">
        <f>IF(G673="תקין",IFERROR(VLOOKUP($G668,'דוח ביצוע (3)'!$B$21:$Q$900,12,0),0),0)</f>
        <v>0</v>
      </c>
      <c r="H670" s="88">
        <f>IFERROR(G671*$AH$6+G672*$AH$7,0)</f>
        <v>0</v>
      </c>
      <c r="I670" s="88">
        <f>IFERROR(G671*$AI$6+G672*$AI$7,0)</f>
        <v>0</v>
      </c>
      <c r="J670" s="88">
        <f>IFERROR(G671*$AJ$6+G672*$AJ$7,0)</f>
        <v>0</v>
      </c>
      <c r="K670" s="88">
        <f>IFERROR(G671*$AK$6+G672*$AK$7,0)</f>
        <v>0</v>
      </c>
      <c r="L670" s="405"/>
      <c r="M670" s="399" t="s">
        <v>427</v>
      </c>
      <c r="N670" s="400" t="str">
        <f>IFERROR(VLOOKUP($G668,'דוח ביצוע (3)'!$B:$AE,28,0),"")</f>
        <v/>
      </c>
      <c r="O670" s="89" t="str">
        <f>IFERROR(VLOOKUP($G668,'דוח ביצוע (3)'!B:AE,29,0),"")</f>
        <v/>
      </c>
      <c r="P670" s="595"/>
      <c r="Q670" s="595"/>
      <c r="R670" s="596"/>
      <c r="S670" s="610"/>
      <c r="T670" s="881"/>
      <c r="U670" s="598"/>
      <c r="V670" s="599"/>
      <c r="W670" s="599"/>
      <c r="X670" s="599"/>
      <c r="Y670" s="879"/>
      <c r="Z670" s="85"/>
      <c r="AC670" s="493"/>
      <c r="AD670" s="495"/>
      <c r="AO670" s="22"/>
      <c r="AP670" s="22"/>
      <c r="AQ670" s="22"/>
      <c r="AR670" s="22"/>
      <c r="AS670" s="22"/>
      <c r="AT670" s="22"/>
      <c r="AU670" s="35"/>
      <c r="AV670" s="35"/>
      <c r="AW670" s="35"/>
      <c r="AX670" s="35"/>
      <c r="AY670" s="35"/>
      <c r="AZ670" s="35"/>
      <c r="BA670" s="35"/>
      <c r="BB670" s="35"/>
      <c r="BC670" s="35"/>
      <c r="BD670" s="35"/>
      <c r="BE670" s="35"/>
      <c r="BF670" s="35"/>
      <c r="BG670" s="35"/>
      <c r="BH670" s="35"/>
      <c r="BI670" s="35"/>
      <c r="BJ670" s="35"/>
      <c r="BK670" s="35"/>
      <c r="BL670" s="35"/>
      <c r="BM670" s="35"/>
      <c r="BN670" s="35"/>
      <c r="BO670" s="78"/>
    </row>
    <row r="671" spans="1:67" s="20" customFormat="1" ht="32.25" thickBot="1" x14ac:dyDescent="0.3">
      <c r="A671" s="520">
        <f>IFERROR(VLOOKUP($G$5,'רשימת רשויות'!A:C,3,0),0)</f>
        <v>0</v>
      </c>
      <c r="B671" s="520">
        <f t="shared" si="92"/>
        <v>0</v>
      </c>
      <c r="C671" s="39"/>
      <c r="D671" s="1134"/>
      <c r="E671" s="1137"/>
      <c r="F671" s="585" t="s">
        <v>2195</v>
      </c>
      <c r="G671" s="89">
        <f>IF(G673="תקין",MAX(N673,0),0)</f>
        <v>0</v>
      </c>
      <c r="H671" s="725" t="s">
        <v>151</v>
      </c>
      <c r="I671" s="725" t="s">
        <v>91</v>
      </c>
      <c r="J671" s="970" t="s">
        <v>3396</v>
      </c>
      <c r="K671" s="601"/>
      <c r="L671" s="601"/>
      <c r="M671" s="983" t="s">
        <v>2585</v>
      </c>
      <c r="N671" s="400" t="str">
        <f>IFERROR(G670/15*N670*1.25,"")</f>
        <v/>
      </c>
      <c r="O671" s="89" t="str">
        <f>IFERROR(G670/15*O670*1.25,"")</f>
        <v/>
      </c>
      <c r="P671" s="595"/>
      <c r="Q671" s="595"/>
      <c r="R671" s="596"/>
      <c r="S671" s="610"/>
      <c r="T671" s="881"/>
      <c r="U671" s="598"/>
      <c r="V671" s="599"/>
      <c r="W671" s="599"/>
      <c r="X671" s="599"/>
      <c r="Y671" s="879"/>
      <c r="Z671" s="85"/>
      <c r="AC671" s="493"/>
      <c r="AD671" s="495"/>
      <c r="AG671" s="22"/>
      <c r="AH671" s="55"/>
      <c r="AI671" s="55"/>
      <c r="AJ671" s="55"/>
      <c r="AK671" s="55"/>
      <c r="AO671" s="22"/>
      <c r="AP671" s="22"/>
      <c r="AQ671" s="22"/>
      <c r="AR671" s="22"/>
      <c r="AS671" s="22"/>
      <c r="AT671" s="22"/>
      <c r="AU671" s="35"/>
      <c r="AV671" s="35"/>
      <c r="AW671" s="35"/>
      <c r="AX671" s="35"/>
      <c r="AY671" s="35"/>
      <c r="AZ671" s="35"/>
      <c r="BA671" s="35"/>
      <c r="BB671" s="35"/>
      <c r="BC671" s="35"/>
      <c r="BD671" s="35"/>
      <c r="BE671" s="35"/>
      <c r="BF671" s="35"/>
      <c r="BG671" s="35"/>
      <c r="BH671" s="35"/>
      <c r="BI671" s="35"/>
      <c r="BJ671" s="35"/>
      <c r="BK671" s="35"/>
      <c r="BL671" s="35"/>
      <c r="BM671" s="35"/>
      <c r="BN671" s="35"/>
      <c r="BO671" s="86"/>
    </row>
    <row r="672" spans="1:67" s="20" customFormat="1" ht="16.5" thickBot="1" x14ac:dyDescent="0.3">
      <c r="A672" s="520">
        <f>IFERROR(VLOOKUP($G$5,'רשימת רשויות'!A:C,3,0),0)</f>
        <v>0</v>
      </c>
      <c r="B672" s="520">
        <f t="shared" si="92"/>
        <v>0</v>
      </c>
      <c r="C672" s="39"/>
      <c r="D672" s="1134"/>
      <c r="E672" s="1137"/>
      <c r="F672" s="585" t="s">
        <v>2196</v>
      </c>
      <c r="G672" s="89">
        <f>IF(G673="תקין",MAX(O673,0),0)</f>
        <v>0</v>
      </c>
      <c r="H672" s="88">
        <f>(IFERROR(IF((G671+G672)=0,0,IF(G669="קטן",G670*$AH$10,G670*$AH$11)),0))+(IFERROR(IF((G671+G672)=0,0,VLOOKUP(G668,'דוח ביצוע (3)'!$B:$AH,33,0)),0))</f>
        <v>0</v>
      </c>
      <c r="I672" s="88">
        <f>IFERROR(IF((G671+G672)=0,0,IF(G669="קטן",G670*$AI$10,G670*$AI$11)),0)</f>
        <v>0</v>
      </c>
      <c r="J672" s="88">
        <f>IFERROR(IF((G671+G672)=0,0,VLOOKUP(G668,'דוח ביצוע (3)'!$B:$AH,32,0)),0)</f>
        <v>0</v>
      </c>
      <c r="K672" s="90"/>
      <c r="L672" s="90"/>
      <c r="M672" s="399" t="s">
        <v>412</v>
      </c>
      <c r="N672" s="400">
        <f>IFERROR(VLOOKUP($G668,'דוח ביצוע (3)'!$B$21:$U$500,18,0),0)</f>
        <v>0</v>
      </c>
      <c r="O672" s="401">
        <f>IFERROR(VLOOKUP($G668,'דוח ביצוע (3)'!$B$21:$U$500,19,0),0)</f>
        <v>0</v>
      </c>
      <c r="P672" s="595"/>
      <c r="Q672" s="595"/>
      <c r="R672" s="596"/>
      <c r="S672" s="610"/>
      <c r="T672" s="881"/>
      <c r="U672" s="598"/>
      <c r="V672" s="599"/>
      <c r="W672" s="599"/>
      <c r="X672" s="599"/>
      <c r="Y672" s="879"/>
      <c r="Z672" s="85"/>
      <c r="AC672" s="493"/>
      <c r="AD672" s="495"/>
      <c r="AG672" s="22"/>
      <c r="AH672" s="55"/>
      <c r="AI672" s="55"/>
      <c r="AJ672" s="55"/>
      <c r="AK672" s="55"/>
      <c r="AO672" s="22"/>
      <c r="AP672" s="22"/>
      <c r="AQ672" s="22"/>
      <c r="AR672" s="22"/>
      <c r="AS672" s="22"/>
      <c r="AT672" s="22"/>
      <c r="AU672" s="35"/>
      <c r="AV672" s="35"/>
      <c r="AW672" s="35"/>
      <c r="AX672" s="35"/>
      <c r="AY672" s="35"/>
      <c r="AZ672" s="35"/>
      <c r="BA672" s="35"/>
      <c r="BB672" s="35"/>
      <c r="BC672" s="35"/>
      <c r="BD672" s="35"/>
      <c r="BE672" s="35"/>
      <c r="BF672" s="35"/>
      <c r="BG672" s="35"/>
      <c r="BH672" s="35"/>
      <c r="BI672" s="35"/>
      <c r="BJ672" s="35"/>
      <c r="BK672" s="35"/>
      <c r="BL672" s="35"/>
      <c r="BM672" s="35"/>
      <c r="BN672" s="35"/>
      <c r="BO672" s="86"/>
    </row>
    <row r="673" spans="1:67" s="20" customFormat="1" ht="16.5" thickBot="1" x14ac:dyDescent="0.3">
      <c r="A673" s="520">
        <f>IFERROR(VLOOKUP($G$5,'רשימת רשויות'!A:C,3,0),0)</f>
        <v>0</v>
      </c>
      <c r="B673" s="520">
        <f t="shared" si="92"/>
        <v>0</v>
      </c>
      <c r="C673" s="39"/>
      <c r="D673" s="1134"/>
      <c r="E673" s="1137"/>
      <c r="F673" s="586" t="s">
        <v>2355</v>
      </c>
      <c r="G673" s="514">
        <f>IFERROR(IF(VLOOKUP('בית ספר - תקצוב לפי מוסד (9)'!G668,' איוש משרות (8)'!$C:$K,9,0)="תקין","תקין","לא תקין"),0)</f>
        <v>0</v>
      </c>
      <c r="H673" s="91"/>
      <c r="I673" s="91"/>
      <c r="J673" s="91"/>
      <c r="K673" s="90"/>
      <c r="L673" s="90"/>
      <c r="M673" s="402" t="s">
        <v>2586</v>
      </c>
      <c r="N673" s="403">
        <f>IFERROR(MIN(N671,N672),0)</f>
        <v>0</v>
      </c>
      <c r="O673" s="404">
        <f>IFERROR(MIN(O671,O672),0)</f>
        <v>0</v>
      </c>
      <c r="P673" s="595"/>
      <c r="Q673" s="595"/>
      <c r="R673" s="596"/>
      <c r="S673" s="610"/>
      <c r="T673" s="881"/>
      <c r="U673" s="598"/>
      <c r="V673" s="599"/>
      <c r="W673" s="599"/>
      <c r="X673" s="599"/>
      <c r="Y673" s="879"/>
      <c r="Z673" s="85"/>
      <c r="AC673" s="493"/>
      <c r="AD673" s="495"/>
      <c r="AG673" s="94"/>
      <c r="AH673" s="40"/>
      <c r="AI673" s="40"/>
      <c r="AJ673" s="40"/>
      <c r="AK673" s="40"/>
      <c r="AO673" s="22"/>
      <c r="AP673" s="22"/>
      <c r="AQ673" s="22"/>
      <c r="AR673" s="22"/>
      <c r="AS673" s="22"/>
      <c r="AT673" s="22"/>
      <c r="AU673" s="35"/>
      <c r="AV673" s="35"/>
      <c r="AW673" s="35"/>
      <c r="AX673" s="35"/>
      <c r="AY673" s="35"/>
      <c r="AZ673" s="35"/>
      <c r="BA673" s="35"/>
      <c r="BB673" s="35"/>
      <c r="BC673" s="35"/>
      <c r="BD673" s="35"/>
      <c r="BE673" s="35"/>
      <c r="BF673" s="35"/>
      <c r="BG673" s="35"/>
      <c r="BH673" s="35"/>
      <c r="BI673" s="35"/>
      <c r="BJ673" s="35"/>
      <c r="BK673" s="35"/>
      <c r="BL673" s="35"/>
      <c r="BM673" s="35"/>
      <c r="BN673" s="35"/>
      <c r="BO673" s="86"/>
    </row>
    <row r="674" spans="1:67" s="55" customFormat="1" ht="37.15" customHeight="1" thickBot="1" x14ac:dyDescent="0.3">
      <c r="A674" s="520">
        <f>IFERROR(VLOOKUP($G$5,'רשימת רשויות'!A:C,3,0),0)</f>
        <v>0</v>
      </c>
      <c r="B674" s="520">
        <f t="shared" si="92"/>
        <v>0</v>
      </c>
      <c r="C674" s="39"/>
      <c r="D674" s="1134"/>
      <c r="E674" s="1137"/>
      <c r="F674" s="587" t="s">
        <v>142</v>
      </c>
      <c r="G674" s="92"/>
      <c r="H674" s="92"/>
      <c r="I674" s="92"/>
      <c r="J674" s="92"/>
      <c r="K674" s="602"/>
      <c r="L674" s="602"/>
      <c r="M674" s="602"/>
      <c r="N674" s="602"/>
      <c r="O674" s="602"/>
      <c r="P674" s="595"/>
      <c r="Q674" s="595"/>
      <c r="R674" s="596"/>
      <c r="S674" s="610"/>
      <c r="T674" s="881"/>
      <c r="U674" s="598"/>
      <c r="V674" s="599"/>
      <c r="W674" s="599"/>
      <c r="X674" s="599"/>
      <c r="Y674" s="879"/>
      <c r="Z674" s="93"/>
      <c r="AC674" s="493"/>
      <c r="AD674" s="495"/>
      <c r="AF674" s="22"/>
      <c r="AG674" s="98"/>
      <c r="AH674" s="98"/>
      <c r="AI674" s="40"/>
      <c r="AJ674" s="40"/>
      <c r="AK674" s="40"/>
      <c r="AO674" s="22"/>
      <c r="AP674" s="22"/>
      <c r="AQ674" s="22"/>
      <c r="AR674" s="22"/>
      <c r="AS674" s="22"/>
      <c r="AT674" s="22"/>
      <c r="AU674" s="35"/>
      <c r="AV674" s="35"/>
      <c r="AW674" s="35"/>
      <c r="AX674" s="35"/>
      <c r="AY674" s="35"/>
      <c r="AZ674" s="35"/>
      <c r="BA674" s="35"/>
      <c r="BB674" s="35"/>
      <c r="BC674" s="35"/>
      <c r="BD674" s="35"/>
      <c r="BE674" s="35"/>
      <c r="BF674" s="35"/>
      <c r="BG674" s="35"/>
      <c r="BH674" s="35"/>
      <c r="BI674" s="35"/>
      <c r="BJ674" s="35"/>
      <c r="BK674" s="35"/>
      <c r="BL674" s="35"/>
      <c r="BM674" s="35"/>
      <c r="BN674" s="35"/>
      <c r="BO674" s="86"/>
    </row>
    <row r="675" spans="1:67" s="40" customFormat="1" ht="31.5" x14ac:dyDescent="0.25">
      <c r="A675" s="520">
        <f>IFERROR(VLOOKUP($G$5,'רשימת רשויות'!A:C,3,0),0)</f>
        <v>0</v>
      </c>
      <c r="B675" s="520">
        <f t="shared" si="92"/>
        <v>0</v>
      </c>
      <c r="C675" s="39"/>
      <c r="D675" s="1134"/>
      <c r="E675" s="1137"/>
      <c r="F675" s="588" t="s">
        <v>94</v>
      </c>
      <c r="G675" s="95" t="s">
        <v>18</v>
      </c>
      <c r="H675" s="95" t="s">
        <v>19</v>
      </c>
      <c r="I675" s="95" t="s">
        <v>138</v>
      </c>
      <c r="J675" s="96" t="s">
        <v>139</v>
      </c>
      <c r="K675" s="603"/>
      <c r="L675" s="603"/>
      <c r="M675" s="603"/>
      <c r="N675" s="603"/>
      <c r="O675" s="603"/>
      <c r="P675" s="604"/>
      <c r="Q675" s="604"/>
      <c r="R675" s="596"/>
      <c r="S675" s="610"/>
      <c r="T675" s="881"/>
      <c r="U675" s="598"/>
      <c r="V675" s="599"/>
      <c r="W675" s="599"/>
      <c r="X675" s="599"/>
      <c r="Y675" s="879"/>
      <c r="Z675" s="97"/>
      <c r="AA675" s="94"/>
      <c r="AB675" s="94"/>
      <c r="AC675" s="493"/>
      <c r="AD675" s="495"/>
      <c r="AE675" s="94"/>
      <c r="AG675" s="98"/>
      <c r="AH675" s="98"/>
      <c r="AO675" s="22"/>
      <c r="AP675" s="22"/>
      <c r="AQ675" s="22"/>
      <c r="AR675" s="22"/>
      <c r="AS675" s="22"/>
      <c r="AT675" s="22"/>
      <c r="AU675" s="35"/>
      <c r="AV675" s="35"/>
      <c r="AW675" s="35"/>
      <c r="AX675" s="35"/>
      <c r="AY675" s="35"/>
      <c r="AZ675" s="35"/>
      <c r="BA675" s="35"/>
      <c r="BB675" s="35"/>
      <c r="BC675" s="35"/>
      <c r="BD675" s="35"/>
      <c r="BE675" s="35"/>
      <c r="BF675" s="35"/>
      <c r="BG675" s="35"/>
      <c r="BH675" s="35"/>
      <c r="BI675" s="35"/>
      <c r="BJ675" s="35"/>
      <c r="BK675" s="35"/>
      <c r="BL675" s="35"/>
      <c r="BM675" s="35"/>
      <c r="BN675" s="35"/>
      <c r="BO675" s="86"/>
    </row>
    <row r="676" spans="1:67" s="40" customFormat="1" ht="15.75" customHeight="1" thickBot="1" x14ac:dyDescent="0.3">
      <c r="A676" s="520">
        <f>IFERROR(VLOOKUP($G$5,'רשימת רשויות'!A:C,3,0),0)</f>
        <v>0</v>
      </c>
      <c r="B676" s="520">
        <f t="shared" si="92"/>
        <v>0</v>
      </c>
      <c r="C676" s="39"/>
      <c r="D676" s="1134"/>
      <c r="E676" s="1137"/>
      <c r="F676" s="589" t="s">
        <v>2280</v>
      </c>
      <c r="G676" s="99">
        <f>+G687</f>
        <v>0</v>
      </c>
      <c r="H676" s="100">
        <f>K670</f>
        <v>0</v>
      </c>
      <c r="I676" s="100">
        <f>H676-I678</f>
        <v>0</v>
      </c>
      <c r="J676" s="101">
        <f>IFERROR(I676/H676,0)</f>
        <v>0</v>
      </c>
      <c r="K676" s="603"/>
      <c r="L676" s="603"/>
      <c r="M676" s="603"/>
      <c r="N676" s="603"/>
      <c r="O676" s="603"/>
      <c r="P676" s="605"/>
      <c r="Q676" s="604"/>
      <c r="R676" s="606" t="s">
        <v>157</v>
      </c>
      <c r="S676" s="611"/>
      <c r="T676" s="881"/>
      <c r="U676" s="598"/>
      <c r="V676" s="599"/>
      <c r="W676" s="599"/>
      <c r="X676" s="599"/>
      <c r="Y676" s="879"/>
      <c r="Z676" s="102"/>
      <c r="AA676" s="122"/>
      <c r="AB676" s="122"/>
      <c r="AC676" s="493"/>
      <c r="AD676" s="495"/>
      <c r="AE676" s="122"/>
      <c r="AF676" s="22"/>
      <c r="AG676" s="98"/>
      <c r="AH676" s="98"/>
      <c r="AI676" s="20"/>
      <c r="AO676" s="22"/>
      <c r="AP676" s="22"/>
      <c r="AQ676" s="22"/>
      <c r="AR676" s="22"/>
      <c r="AS676" s="22"/>
      <c r="AT676" s="22"/>
      <c r="AU676" s="35"/>
      <c r="AV676" s="35"/>
      <c r="AW676" s="35"/>
      <c r="AX676" s="35"/>
      <c r="AY676" s="35"/>
      <c r="AZ676" s="35"/>
      <c r="BA676" s="35"/>
      <c r="BB676" s="35"/>
      <c r="BC676" s="35"/>
      <c r="BD676" s="35"/>
      <c r="BE676" s="35"/>
      <c r="BF676" s="35"/>
      <c r="BG676" s="35"/>
      <c r="BH676" s="35"/>
      <c r="BI676" s="35"/>
      <c r="BJ676" s="35"/>
      <c r="BK676" s="35"/>
      <c r="BL676" s="35"/>
      <c r="BM676" s="35"/>
      <c r="BN676" s="35"/>
      <c r="BO676" s="86"/>
    </row>
    <row r="677" spans="1:67" s="40" customFormat="1" ht="15.75" customHeight="1" thickBot="1" x14ac:dyDescent="0.3">
      <c r="A677" s="520">
        <f>IFERROR(VLOOKUP($G$5,'רשימת רשויות'!A:C,3,0),0)</f>
        <v>0</v>
      </c>
      <c r="B677" s="520">
        <f t="shared" si="92"/>
        <v>0</v>
      </c>
      <c r="C677" s="39"/>
      <c r="D677" s="1134"/>
      <c r="E677" s="1137"/>
      <c r="F677" s="589" t="s">
        <v>2281</v>
      </c>
      <c r="G677" s="99">
        <f>+G686</f>
        <v>0</v>
      </c>
      <c r="H677" s="103"/>
      <c r="I677" s="104"/>
      <c r="J677" s="105"/>
      <c r="K677" s="603"/>
      <c r="L677" s="603"/>
      <c r="M677" s="603"/>
      <c r="N677" s="603"/>
      <c r="O677" s="603"/>
      <c r="P677" s="605"/>
      <c r="Q677" s="604"/>
      <c r="R677" s="473">
        <f>I678-R679</f>
        <v>0</v>
      </c>
      <c r="S677" s="611"/>
      <c r="T677" s="881"/>
      <c r="U677" s="598"/>
      <c r="V677" s="599"/>
      <c r="W677" s="599"/>
      <c r="X677" s="599"/>
      <c r="Y677" s="879"/>
      <c r="Z677" s="106"/>
      <c r="AA677" s="22"/>
      <c r="AB677" s="22"/>
      <c r="AC677" s="493"/>
      <c r="AD677" s="495"/>
      <c r="AE677" s="22"/>
      <c r="AF677" s="22"/>
      <c r="AG677" s="98"/>
      <c r="AH677" s="98"/>
      <c r="AI677" s="20"/>
      <c r="AO677" s="22"/>
      <c r="AP677" s="22"/>
      <c r="AQ677" s="22"/>
      <c r="AR677" s="22"/>
      <c r="AS677" s="22"/>
      <c r="AT677" s="22"/>
      <c r="AU677" s="35"/>
      <c r="AV677" s="35"/>
      <c r="AW677" s="35"/>
      <c r="AX677" s="35"/>
      <c r="AY677" s="35"/>
      <c r="AZ677" s="35"/>
      <c r="BA677" s="35"/>
      <c r="BB677" s="35"/>
      <c r="BC677" s="35"/>
      <c r="BD677" s="35"/>
      <c r="BE677" s="35"/>
      <c r="BF677" s="35"/>
      <c r="BG677" s="35"/>
      <c r="BH677" s="35"/>
      <c r="BI677" s="35"/>
      <c r="BJ677" s="35"/>
      <c r="BK677" s="35"/>
      <c r="BL677" s="35"/>
      <c r="BM677" s="35"/>
      <c r="BN677" s="35"/>
      <c r="BO677" s="86"/>
    </row>
    <row r="678" spans="1:67" s="40" customFormat="1" ht="16.5" customHeight="1" thickBot="1" x14ac:dyDescent="0.3">
      <c r="A678" s="520">
        <f>IFERROR(VLOOKUP($G$5,'רשימת רשויות'!A:C,3,0),0)</f>
        <v>0</v>
      </c>
      <c r="B678" s="520">
        <f t="shared" si="92"/>
        <v>0</v>
      </c>
      <c r="C678" s="39"/>
      <c r="D678" s="1134"/>
      <c r="E678" s="1137"/>
      <c r="F678" s="589" t="s">
        <v>2282</v>
      </c>
      <c r="G678" s="99">
        <f>G682+G683+G684</f>
        <v>0</v>
      </c>
      <c r="H678" s="104"/>
      <c r="I678" s="107">
        <f>MAX(H676-G676-G677,0)</f>
        <v>0</v>
      </c>
      <c r="J678" s="108">
        <f>IFERROR(I678/H676,0)</f>
        <v>0</v>
      </c>
      <c r="K678" s="603"/>
      <c r="L678" s="603"/>
      <c r="M678" s="603"/>
      <c r="N678" s="603"/>
      <c r="O678" s="603"/>
      <c r="P678" s="604"/>
      <c r="Q678" s="604"/>
      <c r="R678" s="606" t="s">
        <v>158</v>
      </c>
      <c r="S678" s="612"/>
      <c r="T678" s="881"/>
      <c r="U678" s="598"/>
      <c r="V678" s="599"/>
      <c r="W678" s="599"/>
      <c r="X678" s="599"/>
      <c r="Y678" s="879"/>
      <c r="Z678" s="106"/>
      <c r="AA678" s="22"/>
      <c r="AB678" s="22"/>
      <c r="AC678" s="493"/>
      <c r="AD678" s="495"/>
      <c r="AE678" s="22"/>
      <c r="AF678" s="22"/>
      <c r="AG678" s="22"/>
      <c r="AH678" s="22"/>
      <c r="AI678" s="55"/>
      <c r="AJ678" s="22"/>
      <c r="AK678" s="22"/>
      <c r="AO678" s="22"/>
      <c r="AP678" s="22"/>
      <c r="AQ678" s="22"/>
      <c r="AR678" s="22"/>
      <c r="AS678" s="22"/>
      <c r="AT678" s="22"/>
      <c r="AU678" s="35"/>
      <c r="AV678" s="35"/>
      <c r="AW678" s="35"/>
      <c r="AX678" s="35"/>
      <c r="AY678" s="35"/>
      <c r="AZ678" s="35"/>
      <c r="BA678" s="35"/>
      <c r="BB678" s="35"/>
      <c r="BC678" s="35"/>
      <c r="BD678" s="35"/>
      <c r="BE678" s="35"/>
      <c r="BF678" s="35"/>
      <c r="BG678" s="35"/>
      <c r="BH678" s="35"/>
      <c r="BI678" s="35"/>
      <c r="BJ678" s="35"/>
      <c r="BK678" s="35"/>
      <c r="BL678" s="35"/>
      <c r="BM678" s="35"/>
      <c r="BN678" s="35"/>
      <c r="BO678" s="86"/>
    </row>
    <row r="679" spans="1:67" s="40" customFormat="1" ht="15.75" customHeight="1" thickBot="1" x14ac:dyDescent="0.3">
      <c r="A679" s="520">
        <f>IFERROR(VLOOKUP($G$5,'רשימת רשויות'!A:C,3,0),0)</f>
        <v>0</v>
      </c>
      <c r="B679" s="520">
        <f t="shared" si="92"/>
        <v>0</v>
      </c>
      <c r="C679" s="39"/>
      <c r="D679" s="1134"/>
      <c r="E679" s="1137"/>
      <c r="F679" s="590" t="s">
        <v>2290</v>
      </c>
      <c r="G679" s="109"/>
      <c r="H679" s="110"/>
      <c r="I679" s="111">
        <f>SUM(I676:I678)</f>
        <v>0</v>
      </c>
      <c r="J679" s="112">
        <f>SUM(J676:J678)</f>
        <v>0</v>
      </c>
      <c r="K679" s="603"/>
      <c r="L679" s="603"/>
      <c r="M679" s="603"/>
      <c r="N679" s="603"/>
      <c r="O679" s="603"/>
      <c r="P679" s="604"/>
      <c r="Q679" s="604"/>
      <c r="R679" s="473">
        <f>MIN(MAX(G683+G684-I672-J672,0),I678)</f>
        <v>0</v>
      </c>
      <c r="S679" s="612"/>
      <c r="T679" s="881"/>
      <c r="U679" s="598"/>
      <c r="V679" s="599"/>
      <c r="W679" s="599"/>
      <c r="X679" s="599"/>
      <c r="Y679" s="879"/>
      <c r="Z679" s="106"/>
      <c r="AA679" s="22"/>
      <c r="AB679" s="22"/>
      <c r="AC679" s="493"/>
      <c r="AD679" s="495"/>
      <c r="AE679" s="22"/>
      <c r="AF679" s="22"/>
      <c r="AG679" s="22"/>
      <c r="AH679" s="22"/>
      <c r="AJ679" s="22"/>
      <c r="AK679" s="22"/>
      <c r="AO679" s="22"/>
      <c r="AP679" s="22"/>
      <c r="AQ679" s="22"/>
      <c r="AR679" s="22"/>
      <c r="AS679" s="22"/>
      <c r="AT679" s="22"/>
      <c r="AU679" s="35"/>
      <c r="AV679" s="35"/>
      <c r="AW679" s="35"/>
      <c r="AX679" s="35"/>
      <c r="AY679" s="35"/>
      <c r="AZ679" s="35"/>
      <c r="BA679" s="35"/>
      <c r="BB679" s="35"/>
      <c r="BC679" s="35"/>
      <c r="BD679" s="35"/>
      <c r="BE679" s="35"/>
      <c r="BF679" s="35"/>
      <c r="BG679" s="35"/>
      <c r="BH679" s="35"/>
      <c r="BI679" s="35"/>
      <c r="BJ679" s="35"/>
      <c r="BK679" s="35"/>
      <c r="BL679" s="35"/>
      <c r="BM679" s="35"/>
      <c r="BN679" s="35"/>
      <c r="BO679" s="86"/>
    </row>
    <row r="680" spans="1:67" ht="16.5" thickBot="1" x14ac:dyDescent="0.3">
      <c r="A680" s="520">
        <f>IFERROR(VLOOKUP($G$5,'רשימת רשויות'!A:C,3,0),0)</f>
        <v>0</v>
      </c>
      <c r="B680" s="520">
        <f t="shared" si="92"/>
        <v>0</v>
      </c>
      <c r="D680" s="1134"/>
      <c r="E680" s="1137"/>
      <c r="F680" s="587" t="s">
        <v>17</v>
      </c>
      <c r="G680" s="113"/>
      <c r="H680" s="92"/>
      <c r="I680" s="114"/>
      <c r="J680" s="115"/>
      <c r="K680" s="116"/>
      <c r="L680" s="406"/>
      <c r="M680" s="116"/>
      <c r="N680" s="116"/>
      <c r="O680" s="116"/>
      <c r="P680" s="474"/>
      <c r="Q680" s="607"/>
      <c r="R680" s="608"/>
      <c r="S680" s="612"/>
      <c r="T680" s="881"/>
      <c r="U680" s="598"/>
      <c r="V680" s="599"/>
      <c r="W680" s="599"/>
      <c r="X680" s="599"/>
      <c r="Y680" s="879"/>
      <c r="Z680" s="106"/>
      <c r="AI680" s="40"/>
      <c r="BO680" s="86"/>
    </row>
    <row r="681" spans="1:67" ht="47.25" x14ac:dyDescent="0.25">
      <c r="A681" s="520">
        <f>IFERROR(VLOOKUP($G$5,'רשימת רשויות'!A:C,3,0),0)</f>
        <v>0</v>
      </c>
      <c r="B681" s="520">
        <f t="shared" si="92"/>
        <v>0</v>
      </c>
      <c r="D681" s="1134"/>
      <c r="E681" s="1137"/>
      <c r="F681" s="588" t="s">
        <v>2</v>
      </c>
      <c r="G681" s="95" t="s">
        <v>18</v>
      </c>
      <c r="H681" s="95" t="s">
        <v>19</v>
      </c>
      <c r="I681" s="95" t="s">
        <v>20</v>
      </c>
      <c r="J681" s="95" t="s">
        <v>22</v>
      </c>
      <c r="K681" s="96" t="s">
        <v>2314</v>
      </c>
      <c r="L681" s="609"/>
      <c r="M681" s="609"/>
      <c r="N681" s="609"/>
      <c r="O681" s="580"/>
      <c r="P681" s="618" t="s">
        <v>2298</v>
      </c>
      <c r="Q681" s="618" t="s">
        <v>2299</v>
      </c>
      <c r="R681" s="596"/>
      <c r="S681" s="890" t="s">
        <v>2519</v>
      </c>
      <c r="T681" s="890" t="s">
        <v>97</v>
      </c>
      <c r="U681" s="891" t="s">
        <v>2521</v>
      </c>
      <c r="V681" s="892" t="s">
        <v>2520</v>
      </c>
      <c r="W681" s="893" t="s">
        <v>2524</v>
      </c>
      <c r="X681" s="892" t="s">
        <v>2522</v>
      </c>
      <c r="Y681" s="894" t="s">
        <v>2523</v>
      </c>
      <c r="Z681" s="106"/>
      <c r="AC681" s="498" t="s">
        <v>2568</v>
      </c>
      <c r="AD681" s="499" t="s">
        <v>2569</v>
      </c>
      <c r="AF681" s="122"/>
      <c r="AI681" s="40"/>
      <c r="BO681" s="86"/>
    </row>
    <row r="682" spans="1:67" ht="15" customHeight="1" thickBot="1" x14ac:dyDescent="0.3">
      <c r="A682" s="520">
        <f>IFERROR(VLOOKUP($G$5,'רשימת רשויות'!A:C,3,0),0)</f>
        <v>0</v>
      </c>
      <c r="B682" s="520">
        <f t="shared" si="92"/>
        <v>0</v>
      </c>
      <c r="D682" s="1134"/>
      <c r="E682" s="1137"/>
      <c r="F682" s="589" t="s">
        <v>76</v>
      </c>
      <c r="G682" s="117">
        <f>IF(G673="תקין",SUMIF('עלויות כח אדם (6)'!$B$15:$B$3014,'בית ספר - תקצוב לפי מוסד (9)'!$G668,'עלויות כח אדם (6)'!$M$15:$M$3014)-VLOOKUP('בית ספר - תקצוב לפי מוסד (9)'!G668,' איוש משרות (8)'!$C:$H,5,0)-VLOOKUP('בית ספר - תקצוב לפי מוסד (9)'!G668,' איוש משרות (8)'!$C:$H,6,0),0)-Y682</f>
        <v>0</v>
      </c>
      <c r="H682" s="118">
        <f>I670+R677</f>
        <v>0</v>
      </c>
      <c r="I682" s="119">
        <f>IFERROR(SUM(G682)/H682,0)</f>
        <v>0</v>
      </c>
      <c r="J682" s="100">
        <f>MIN(I670+R677,IF(ISNUMBER(G682),G682,0))</f>
        <v>0</v>
      </c>
      <c r="K682" s="120">
        <f>MAX(H682-G682,0)</f>
        <v>0</v>
      </c>
      <c r="L682" s="407"/>
      <c r="M682" s="393"/>
      <c r="N682" s="393"/>
      <c r="O682" s="580"/>
      <c r="P682" s="968">
        <f>IFERROR(IF(SUM(G682)/(I670)&lt;100%,MIN((I670)-SUM(G682),(I670)*0.25),0),0)</f>
        <v>0</v>
      </c>
      <c r="Q682" s="968">
        <f>IF(SUM(G682)-(I670+R677)&gt;0,SUM(G682)-(I670+R677),0)</f>
        <v>0</v>
      </c>
      <c r="R682" s="596" t="s">
        <v>2351</v>
      </c>
      <c r="S682" s="576" t="s">
        <v>2342</v>
      </c>
      <c r="T682" s="599">
        <f>G668</f>
        <v>0</v>
      </c>
      <c r="U682" s="578"/>
      <c r="V682" s="579">
        <f>G682+G683+G684</f>
        <v>0</v>
      </c>
      <c r="W682" s="579">
        <f>U682-V682</f>
        <v>0</v>
      </c>
      <c r="X682" s="579">
        <f>IFERROR(W696*W682/(SUM(W682:W695)),0)</f>
        <v>0</v>
      </c>
      <c r="Y682" s="879">
        <f>SUMIFS(בקרה!$S:$S,בקרה!$D:$D,T682,בקרה!$K:$K,S682)</f>
        <v>0</v>
      </c>
      <c r="Z682" s="121"/>
      <c r="AA682" s="143"/>
      <c r="AB682" s="143"/>
      <c r="AC682" s="504">
        <v>0</v>
      </c>
      <c r="AD682" s="505">
        <f>IFERROR(U682-AC682,0)</f>
        <v>0</v>
      </c>
      <c r="AE682" s="143"/>
      <c r="AI682" s="20"/>
      <c r="BO682" s="86"/>
    </row>
    <row r="683" spans="1:67" ht="15" customHeight="1" thickBot="1" x14ac:dyDescent="0.3">
      <c r="A683" s="520">
        <f>IFERROR(VLOOKUP($G$5,'רשימת רשויות'!A:C,3,0),0)</f>
        <v>0</v>
      </c>
      <c r="B683" s="520">
        <f t="shared" si="92"/>
        <v>0</v>
      </c>
      <c r="D683" s="1134"/>
      <c r="E683" s="1137"/>
      <c r="F683" s="589" t="s">
        <v>44</v>
      </c>
      <c r="G683" s="123">
        <f>IF(G673="תקין",IFERROR(VLOOKUP('בית ספר - תקצוב לפי מוסד (9)'!G668,' איוש משרות (8)'!C:J,7,0),0),0)</f>
        <v>0</v>
      </c>
      <c r="H683" s="124">
        <f>I672+R679+J672</f>
        <v>0</v>
      </c>
      <c r="I683" s="119">
        <f>IFERROR(SUM(G683:G684)/H683,0)</f>
        <v>0</v>
      </c>
      <c r="J683" s="100">
        <f>MIN(R679+I672,IF(ISNUMBER(SUM(G683:G684)),SUM(G683:G684),0))</f>
        <v>0</v>
      </c>
      <c r="K683" s="1139">
        <f>MAX((H683)-(G683+G684),0)</f>
        <v>0</v>
      </c>
      <c r="L683" s="407"/>
      <c r="M683" s="393"/>
      <c r="N683" s="393"/>
      <c r="O683" s="580"/>
      <c r="P683" s="1140"/>
      <c r="Q683" s="1140"/>
      <c r="R683" s="617">
        <f>MAX(MIN(P691-Q691,H691*0.15-G689),0)</f>
        <v>0</v>
      </c>
      <c r="S683" s="576"/>
      <c r="T683" s="599">
        <f>G668</f>
        <v>0</v>
      </c>
      <c r="U683" s="578"/>
      <c r="V683" s="579"/>
      <c r="W683" s="579">
        <f t="shared" ref="W683:W695" si="95">U683-V683</f>
        <v>0</v>
      </c>
      <c r="X683" s="579"/>
      <c r="Y683" s="879"/>
      <c r="Z683" s="121"/>
      <c r="AA683" s="143"/>
      <c r="AB683" s="143"/>
      <c r="AC683" s="504"/>
      <c r="AD683" s="505">
        <f t="shared" ref="AD683:AD689" si="96">IFERROR(U683-AC683,0)</f>
        <v>0</v>
      </c>
      <c r="AE683" s="143"/>
      <c r="AI683" s="20"/>
      <c r="BO683" s="86"/>
    </row>
    <row r="684" spans="1:67" ht="15.75" customHeight="1" x14ac:dyDescent="0.25">
      <c r="A684" s="520">
        <f>IFERROR(VLOOKUP($G$5,'רשימת רשויות'!A:C,3,0),0)</f>
        <v>0</v>
      </c>
      <c r="B684" s="520">
        <f t="shared" si="92"/>
        <v>0</v>
      </c>
      <c r="D684" s="1134"/>
      <c r="E684" s="1137"/>
      <c r="F684" s="589" t="s">
        <v>45</v>
      </c>
      <c r="G684" s="123">
        <f>IF(G673="תקין",IFERROR(VLOOKUP('בית ספר - תקצוב לפי מוסד (9)'!G668,' איוש משרות (8)'!C:J,8,0),0),0)</f>
        <v>0</v>
      </c>
      <c r="H684" s="125"/>
      <c r="I684" s="126"/>
      <c r="J684" s="104"/>
      <c r="K684" s="1139"/>
      <c r="L684" s="407"/>
      <c r="M684" s="393"/>
      <c r="N684" s="393"/>
      <c r="O684" s="580"/>
      <c r="P684" s="1140"/>
      <c r="Q684" s="1140"/>
      <c r="R684" s="596"/>
      <c r="S684" s="576"/>
      <c r="T684" s="599">
        <f>G668</f>
        <v>0</v>
      </c>
      <c r="U684" s="578"/>
      <c r="V684" s="579"/>
      <c r="W684" s="579">
        <f t="shared" si="95"/>
        <v>0</v>
      </c>
      <c r="X684" s="579"/>
      <c r="Y684" s="879"/>
      <c r="Z684" s="121"/>
      <c r="AA684" s="143"/>
      <c r="AB684" s="143"/>
      <c r="AC684" s="504"/>
      <c r="AD684" s="505">
        <f t="shared" si="96"/>
        <v>0</v>
      </c>
      <c r="AE684" s="143"/>
      <c r="AG684" s="55"/>
      <c r="AH684" s="55"/>
      <c r="AI684" s="55"/>
      <c r="AJ684" s="55"/>
      <c r="AK684" s="55"/>
      <c r="BO684" s="86"/>
    </row>
    <row r="685" spans="1:67" ht="15.75" customHeight="1" x14ac:dyDescent="0.25">
      <c r="A685" s="520">
        <f>IFERROR(VLOOKUP($G$5,'רשימת רשויות'!A:C,3,0),0)</f>
        <v>0</v>
      </c>
      <c r="B685" s="520">
        <f t="shared" si="92"/>
        <v>0</v>
      </c>
      <c r="D685" s="1134"/>
      <c r="E685" s="1137"/>
      <c r="F685" s="589" t="s">
        <v>0</v>
      </c>
      <c r="G685" s="117">
        <f>IF(G673="תקין",SUMIFS('דוח הוצאות בפועל (4)'!$E$17:$E$3016,'דוח הוצאות בפועל (4)'!$B$17:$B$3016,'בית ספר - תקצוב לפי מוסד (9)'!$G668,'דוח הוצאות בפועל (4)'!$M$17:$M$3016,"הע"),0)-Y685</f>
        <v>0</v>
      </c>
      <c r="H685" s="127">
        <f>J670</f>
        <v>0</v>
      </c>
      <c r="I685" s="128">
        <f>IFERROR(G685/H685,0)</f>
        <v>0</v>
      </c>
      <c r="J685" s="129">
        <f>MIN(IF(ISNUMBER(G685),G685,0),H685)</f>
        <v>0</v>
      </c>
      <c r="K685" s="120">
        <f>MAX(H685-G685,0)</f>
        <v>0</v>
      </c>
      <c r="L685" s="407"/>
      <c r="M685" s="393"/>
      <c r="N685" s="393"/>
      <c r="O685" s="580"/>
      <c r="P685" s="968">
        <f>MAX(IF(I685&lt;100%,MIN((H685-G685),H685*0.25),0),0)</f>
        <v>0</v>
      </c>
      <c r="Q685" s="619">
        <f>IF(G685-H685&gt;0,G685-H685,0)</f>
        <v>0</v>
      </c>
      <c r="R685" s="596"/>
      <c r="S685" s="610" t="s">
        <v>0</v>
      </c>
      <c r="T685" s="599">
        <f>G668</f>
        <v>0</v>
      </c>
      <c r="U685" s="578"/>
      <c r="V685" s="579">
        <f>G685</f>
        <v>0</v>
      </c>
      <c r="W685" s="579">
        <f t="shared" si="95"/>
        <v>0</v>
      </c>
      <c r="X685" s="579">
        <f>IFERROR(W696*W685/(SUM(W682:W695)),0)</f>
        <v>0</v>
      </c>
      <c r="Y685" s="879">
        <f>SUMIFS(בקרה!$S:$S,בקרה!$D:$D,T685,בקרה!$K:$K,S685)</f>
        <v>0</v>
      </c>
      <c r="Z685" s="121"/>
      <c r="AA685" s="143"/>
      <c r="AB685" s="143"/>
      <c r="AC685" s="504">
        <v>0</v>
      </c>
      <c r="AD685" s="505">
        <f t="shared" si="96"/>
        <v>0</v>
      </c>
      <c r="AE685" s="143"/>
      <c r="AG685" s="55"/>
      <c r="AH685" s="55"/>
      <c r="AI685" s="40"/>
      <c r="AJ685" s="55"/>
      <c r="AK685" s="55"/>
      <c r="BO685" s="86"/>
    </row>
    <row r="686" spans="1:67" s="55" customFormat="1" ht="15.75" customHeight="1" x14ac:dyDescent="0.25">
      <c r="A686" s="520">
        <f>IFERROR(VLOOKUP($G$5,'רשימת רשויות'!A:C,3,0),0)</f>
        <v>0</v>
      </c>
      <c r="B686" s="520">
        <f t="shared" si="92"/>
        <v>0</v>
      </c>
      <c r="C686" s="39"/>
      <c r="D686" s="1134"/>
      <c r="E686" s="1137"/>
      <c r="F686" s="589" t="s">
        <v>93</v>
      </c>
      <c r="G686" s="130">
        <f>IF(G673="תקין",SUMIFS('דוח הוצאות בפועל (4)'!$E$17:$E$3016,'דוח הוצאות בפועל (4)'!$B$17:$B$3016,'בית ספר - תקצוב לפי מוסד (9)'!$G668,'דוח הוצאות בפועל (4)'!$M$17:$M$3016,"אר"),0)-Y686</f>
        <v>0</v>
      </c>
      <c r="H686" s="118">
        <f>$I676</f>
        <v>0</v>
      </c>
      <c r="I686" s="131">
        <f>IFERROR((G686+G687)/H686,0)</f>
        <v>0</v>
      </c>
      <c r="J686" s="100">
        <f>MIN((IF(ISNUMBER(G686),G686,0)+IF(ISNUMBER(G687),G687,0)),H686)</f>
        <v>0</v>
      </c>
      <c r="K686" s="1139">
        <f>MAX((H686)-(G686+G687),0)</f>
        <v>0</v>
      </c>
      <c r="L686" s="407"/>
      <c r="M686" s="393"/>
      <c r="N686" s="393"/>
      <c r="O686" s="602"/>
      <c r="P686" s="1141"/>
      <c r="Q686" s="1142"/>
      <c r="R686" s="596"/>
      <c r="S686" s="610" t="s">
        <v>93</v>
      </c>
      <c r="T686" s="599">
        <f>G668</f>
        <v>0</v>
      </c>
      <c r="U686" s="578"/>
      <c r="V686" s="579">
        <f t="shared" ref="V686:V687" si="97">G686</f>
        <v>0</v>
      </c>
      <c r="W686" s="579">
        <f t="shared" si="95"/>
        <v>0</v>
      </c>
      <c r="X686" s="579">
        <f>IFERROR(W696*W686/(SUM(W682:W695)),0)</f>
        <v>0</v>
      </c>
      <c r="Y686" s="879">
        <f>SUMIFS(בקרה!$S:$S,בקרה!$D:$D,T686,בקרה!$K:$K,S686)</f>
        <v>0</v>
      </c>
      <c r="Z686" s="121"/>
      <c r="AA686" s="143"/>
      <c r="AB686" s="143"/>
      <c r="AC686" s="504">
        <v>0</v>
      </c>
      <c r="AD686" s="505">
        <f t="shared" si="96"/>
        <v>0</v>
      </c>
      <c r="AE686" s="143"/>
      <c r="AJ686" s="22"/>
      <c r="AO686" s="22"/>
      <c r="AP686" s="22"/>
      <c r="AQ686" s="22"/>
      <c r="AR686" s="22"/>
      <c r="AS686" s="22"/>
      <c r="AT686" s="22"/>
      <c r="AU686" s="35"/>
      <c r="AV686" s="35"/>
      <c r="AW686" s="35"/>
      <c r="AX686" s="35"/>
      <c r="AY686" s="35"/>
      <c r="AZ686" s="35"/>
      <c r="BA686" s="35"/>
      <c r="BB686" s="35"/>
      <c r="BC686" s="35"/>
      <c r="BD686" s="35"/>
      <c r="BE686" s="35"/>
      <c r="BF686" s="35"/>
      <c r="BG686" s="35"/>
      <c r="BH686" s="35"/>
      <c r="BI686" s="35"/>
      <c r="BJ686" s="35"/>
      <c r="BK686" s="35"/>
      <c r="BL686" s="35"/>
      <c r="BM686" s="35"/>
      <c r="BN686" s="35"/>
      <c r="BO686" s="86"/>
    </row>
    <row r="687" spans="1:67" s="55" customFormat="1" ht="15.75" customHeight="1" x14ac:dyDescent="0.25">
      <c r="A687" s="520">
        <f>IFERROR(VLOOKUP($G$5,'רשימת רשויות'!A:C,3,0),0)</f>
        <v>0</v>
      </c>
      <c r="B687" s="520">
        <f t="shared" si="92"/>
        <v>0</v>
      </c>
      <c r="C687" s="39"/>
      <c r="D687" s="1134"/>
      <c r="E687" s="1137"/>
      <c r="F687" s="589" t="s">
        <v>46</v>
      </c>
      <c r="G687" s="130">
        <f>IF(G673="תקין",SUMIFS('דוח הוצאות בפועל (4)'!$E$17:$E$3016,'דוח הוצאות בפועל (4)'!$B$17:$B$3016,'בית ספר - תקצוב לפי מוסד (9)'!$G668,'דוח הוצאות בפועל (4)'!$M$17:$M$3016,"מל"),0)-Y687</f>
        <v>0</v>
      </c>
      <c r="H687" s="132"/>
      <c r="I687" s="133"/>
      <c r="J687" s="104"/>
      <c r="K687" s="1139"/>
      <c r="L687" s="407"/>
      <c r="M687" s="393"/>
      <c r="N687" s="393"/>
      <c r="O687" s="602"/>
      <c r="P687" s="1141"/>
      <c r="Q687" s="1142"/>
      <c r="R687" s="596"/>
      <c r="S687" s="610" t="s">
        <v>46</v>
      </c>
      <c r="T687" s="599">
        <f>G668</f>
        <v>0</v>
      </c>
      <c r="U687" s="578"/>
      <c r="V687" s="579">
        <f t="shared" si="97"/>
        <v>0</v>
      </c>
      <c r="W687" s="579">
        <f t="shared" si="95"/>
        <v>0</v>
      </c>
      <c r="X687" s="579">
        <f>IFERROR(W696*W687/(SUM(W682:W695)),0)</f>
        <v>0</v>
      </c>
      <c r="Y687" s="879">
        <f>SUMIFS(בקרה!$S:$S,בקרה!$D:$D,T687,בקרה!$K:$K,S687)</f>
        <v>0</v>
      </c>
      <c r="Z687" s="121"/>
      <c r="AA687" s="143"/>
      <c r="AB687" s="143"/>
      <c r="AC687" s="504">
        <v>0</v>
      </c>
      <c r="AD687" s="505">
        <f t="shared" si="96"/>
        <v>0</v>
      </c>
      <c r="AE687" s="143"/>
      <c r="AJ687" s="22"/>
      <c r="AO687" s="22"/>
      <c r="AP687" s="22"/>
      <c r="AQ687" s="22"/>
      <c r="AR687" s="22"/>
      <c r="AS687" s="22"/>
      <c r="AT687" s="22"/>
      <c r="AU687" s="35"/>
      <c r="AV687" s="35"/>
      <c r="AW687" s="35"/>
      <c r="AX687" s="35"/>
      <c r="AY687" s="35"/>
      <c r="AZ687" s="35"/>
      <c r="BA687" s="35"/>
      <c r="BB687" s="35"/>
      <c r="BC687" s="35"/>
      <c r="BD687" s="35"/>
      <c r="BE687" s="35"/>
      <c r="BF687" s="35"/>
      <c r="BG687" s="35"/>
      <c r="BH687" s="35"/>
      <c r="BI687" s="35"/>
      <c r="BJ687" s="35"/>
      <c r="BK687" s="35"/>
      <c r="BL687" s="35"/>
      <c r="BM687" s="35"/>
      <c r="BN687" s="35"/>
      <c r="BO687" s="86"/>
    </row>
    <row r="688" spans="1:67" s="55" customFormat="1" ht="15" customHeight="1" x14ac:dyDescent="0.25">
      <c r="A688" s="520">
        <f>IFERROR(VLOOKUP($G$5,'רשימת רשויות'!A:C,3,0),0)</f>
        <v>0</v>
      </c>
      <c r="B688" s="520">
        <f t="shared" si="92"/>
        <v>0</v>
      </c>
      <c r="C688" s="39"/>
      <c r="D688" s="1134"/>
      <c r="E688" s="1137"/>
      <c r="F688" s="591" t="s">
        <v>23</v>
      </c>
      <c r="G688" s="134">
        <f>SUM(G682:G687)</f>
        <v>0</v>
      </c>
      <c r="H688" s="135">
        <f>SUM(H682:H687)</f>
        <v>0</v>
      </c>
      <c r="I688" s="128">
        <f>IFERROR(G688/H688,0)</f>
        <v>0</v>
      </c>
      <c r="J688" s="136">
        <f>SUM(J682:J687)</f>
        <v>0</v>
      </c>
      <c r="K688" s="137">
        <f>SUM(K682:K687)</f>
        <v>0</v>
      </c>
      <c r="L688" s="408"/>
      <c r="M688" s="394"/>
      <c r="N688" s="394"/>
      <c r="O688" s="602"/>
      <c r="P688" s="620">
        <f>SUM(P682:P687)</f>
        <v>0</v>
      </c>
      <c r="Q688" s="620">
        <f>SUM(Q682:Q687)</f>
        <v>0</v>
      </c>
      <c r="R688" s="596"/>
      <c r="S688" s="610"/>
      <c r="T688" s="599">
        <f>G668</f>
        <v>0</v>
      </c>
      <c r="U688" s="578"/>
      <c r="V688" s="579"/>
      <c r="W688" s="579">
        <f t="shared" si="95"/>
        <v>0</v>
      </c>
      <c r="X688" s="579"/>
      <c r="Y688" s="879"/>
      <c r="Z688" s="121"/>
      <c r="AA688" s="143"/>
      <c r="AB688" s="143"/>
      <c r="AC688" s="504"/>
      <c r="AD688" s="505">
        <f t="shared" si="96"/>
        <v>0</v>
      </c>
      <c r="AE688" s="143"/>
      <c r="AJ688" s="22"/>
      <c r="AL688" s="22"/>
      <c r="AM688" s="22"/>
      <c r="AN688" s="22"/>
      <c r="AO688" s="22"/>
      <c r="AP688" s="22"/>
      <c r="AQ688" s="22"/>
      <c r="AR688" s="22"/>
      <c r="AS688" s="22"/>
      <c r="AT688" s="22"/>
      <c r="AU688" s="35"/>
      <c r="AV688" s="35"/>
      <c r="AW688" s="35"/>
      <c r="AX688" s="35"/>
      <c r="AY688" s="35"/>
      <c r="AZ688" s="35"/>
      <c r="BA688" s="35"/>
      <c r="BB688" s="35"/>
      <c r="BC688" s="35"/>
      <c r="BD688" s="35"/>
      <c r="BE688" s="35"/>
      <c r="BF688" s="35"/>
      <c r="BG688" s="35"/>
      <c r="BH688" s="35"/>
      <c r="BI688" s="35"/>
      <c r="BJ688" s="35"/>
      <c r="BK688" s="35"/>
      <c r="BL688" s="35"/>
      <c r="BM688" s="35"/>
      <c r="BN688" s="35"/>
      <c r="BO688" s="86"/>
    </row>
    <row r="689" spans="1:67" s="55" customFormat="1" ht="15" customHeight="1" x14ac:dyDescent="0.25">
      <c r="A689" s="520">
        <f>IFERROR(VLOOKUP($G$5,'רשימת רשויות'!A:C,3,0),0)</f>
        <v>0</v>
      </c>
      <c r="B689" s="520">
        <f t="shared" si="92"/>
        <v>0</v>
      </c>
      <c r="C689" s="39"/>
      <c r="D689" s="1134"/>
      <c r="E689" s="1137"/>
      <c r="F689" s="589" t="s">
        <v>3</v>
      </c>
      <c r="G689" s="117">
        <f>IF(G673="תקין",SUMIFS('דוח הוצאות בפועל (4)'!$E$17:$E$3016,'דוח הוצאות בפועל (4)'!$B$17:$B$3016,'בית ספר - תקצוב לפי מוסד (9)'!$G668,'דוח הוצאות בפועל (4)'!$M$17:$M$3016,"ני")+SUMIFS('דוח הוצאות בפועל (4)'!$E$17:$E$3016,'דוח הוצאות בפועל (4)'!$B$17:$B$3016,'בית ספר - תקצוב לפי מוסד (9)'!$G668,'דוח הוצאות בפועל (4)'!$M$17:$M$3016,"על"),0)-Y689</f>
        <v>0</v>
      </c>
      <c r="H689" s="117">
        <f>H670</f>
        <v>0</v>
      </c>
      <c r="I689" s="138">
        <f>IFERROR(G689/H689,0)</f>
        <v>0</v>
      </c>
      <c r="J689" s="117">
        <f>IFERROR(IF(G689/H691&gt;0.15,MIN(H691*0.15,H689),MIN(H689,IF(ISNUMBER(G689),G689,0))),0)</f>
        <v>0</v>
      </c>
      <c r="K689" s="120">
        <f>MAX(H689-G689,0)</f>
        <v>0</v>
      </c>
      <c r="L689" s="407"/>
      <c r="M689" s="393"/>
      <c r="N689" s="393"/>
      <c r="O689" s="602"/>
      <c r="P689" s="620">
        <f>IF(I689&lt;100%,MIN(H689-G689,H689*0.25),0)</f>
        <v>0</v>
      </c>
      <c r="Q689" s="620">
        <f>MAX(MIN(IF(G689-H689&gt;0,G689-H689,0),$H691*0.15-H689-J690),0)</f>
        <v>0</v>
      </c>
      <c r="R689" s="596"/>
      <c r="S689" s="610" t="s">
        <v>3</v>
      </c>
      <c r="T689" s="599">
        <f>G668</f>
        <v>0</v>
      </c>
      <c r="U689" s="578"/>
      <c r="V689" s="579">
        <f t="shared" ref="V689" si="98">G689</f>
        <v>0</v>
      </c>
      <c r="W689" s="579">
        <f t="shared" si="95"/>
        <v>0</v>
      </c>
      <c r="X689" s="579"/>
      <c r="Y689" s="879"/>
      <c r="Z689" s="121"/>
      <c r="AA689" s="143"/>
      <c r="AB689" s="143"/>
      <c r="AC689" s="504">
        <v>0</v>
      </c>
      <c r="AD689" s="505">
        <f t="shared" si="96"/>
        <v>0</v>
      </c>
      <c r="AE689" s="143"/>
      <c r="AG689" s="22"/>
      <c r="AH689" s="22"/>
      <c r="AI689" s="22"/>
      <c r="AJ689" s="22"/>
      <c r="AK689" s="22"/>
      <c r="AL689" s="22"/>
      <c r="AM689" s="22"/>
      <c r="AN689" s="22"/>
      <c r="AO689" s="22"/>
      <c r="AP689" s="22"/>
      <c r="AQ689" s="22"/>
      <c r="AR689" s="22"/>
      <c r="AS689" s="22"/>
      <c r="AT689" s="22"/>
      <c r="AU689" s="35"/>
      <c r="AV689" s="35"/>
      <c r="AW689" s="35"/>
      <c r="AX689" s="35"/>
      <c r="AY689" s="35"/>
      <c r="AZ689" s="35"/>
      <c r="BA689" s="35"/>
      <c r="BB689" s="35"/>
      <c r="BC689" s="35"/>
      <c r="BD689" s="35"/>
      <c r="BE689" s="35"/>
      <c r="BF689" s="35"/>
      <c r="BG689" s="35"/>
      <c r="BH689" s="35"/>
      <c r="BI689" s="35"/>
      <c r="BJ689" s="35"/>
      <c r="BK689" s="35"/>
      <c r="BL689" s="35"/>
      <c r="BM689" s="35"/>
      <c r="BN689" s="35"/>
      <c r="BO689" s="86"/>
    </row>
    <row r="690" spans="1:67" s="55" customFormat="1" ht="15.75" customHeight="1" x14ac:dyDescent="0.25">
      <c r="A690" s="520">
        <f>IFERROR(VLOOKUP($G$5,'רשימת רשויות'!A:C,3,0),0)</f>
        <v>0</v>
      </c>
      <c r="B690" s="520">
        <f t="shared" si="92"/>
        <v>0</v>
      </c>
      <c r="C690" s="39"/>
      <c r="D690" s="1134"/>
      <c r="E690" s="1137"/>
      <c r="F690" s="589" t="s">
        <v>2918</v>
      </c>
      <c r="G690" s="117">
        <f>0.07*(G684+G683)</f>
        <v>0</v>
      </c>
      <c r="H690" s="117">
        <f>H672</f>
        <v>0</v>
      </c>
      <c r="I690" s="138">
        <f>IFERROR(G690/H690,0)</f>
        <v>0</v>
      </c>
      <c r="J690" s="117">
        <f>IFERROR(MIN(0.07*(G683+G684),0.07*I672),0)</f>
        <v>0</v>
      </c>
      <c r="K690" s="120">
        <f>MAX(H690-G690,0)</f>
        <v>0</v>
      </c>
      <c r="L690" s="407"/>
      <c r="M690" s="393"/>
      <c r="N690" s="393"/>
      <c r="O690" s="602"/>
      <c r="P690" s="620"/>
      <c r="Q690" s="619"/>
      <c r="R690" s="596"/>
      <c r="S690" s="611"/>
      <c r="T690" s="599">
        <f>G668</f>
        <v>0</v>
      </c>
      <c r="U690" s="578"/>
      <c r="V690" s="579"/>
      <c r="W690" s="579">
        <f t="shared" si="95"/>
        <v>0</v>
      </c>
      <c r="X690" s="579"/>
      <c r="Y690" s="879"/>
      <c r="Z690" s="121"/>
      <c r="AA690" s="143"/>
      <c r="AB690" s="143"/>
      <c r="AC690" s="504"/>
      <c r="AD690" s="505"/>
      <c r="AE690" s="143"/>
      <c r="AF690" s="140"/>
      <c r="AG690" s="22"/>
      <c r="AH690" s="22"/>
      <c r="AI690" s="22"/>
      <c r="AJ690" s="22"/>
      <c r="AK690" s="22"/>
      <c r="AL690" s="22"/>
      <c r="AM690" s="22"/>
      <c r="AN690" s="22"/>
      <c r="AO690" s="22"/>
      <c r="AP690" s="22"/>
      <c r="AQ690" s="22"/>
      <c r="AR690" s="22"/>
      <c r="AS690" s="22"/>
      <c r="AT690" s="22"/>
      <c r="AU690" s="35"/>
      <c r="AV690" s="35"/>
      <c r="AW690" s="35"/>
      <c r="AX690" s="35"/>
      <c r="AY690" s="35"/>
      <c r="AZ690" s="35"/>
      <c r="BA690" s="35"/>
      <c r="BB690" s="35"/>
      <c r="BC690" s="35"/>
      <c r="BD690" s="35"/>
      <c r="BE690" s="35"/>
      <c r="BF690" s="35"/>
      <c r="BG690" s="35"/>
      <c r="BH690" s="35"/>
      <c r="BI690" s="35"/>
      <c r="BJ690" s="35"/>
      <c r="BK690" s="35"/>
      <c r="BL690" s="35"/>
      <c r="BM690" s="35"/>
      <c r="BN690" s="35"/>
      <c r="BO690" s="86"/>
    </row>
    <row r="691" spans="1:67" ht="15.75" customHeight="1" x14ac:dyDescent="0.25">
      <c r="A691" s="520">
        <f>IFERROR(VLOOKUP($G$5,'רשימת רשויות'!A:C,3,0),0)</f>
        <v>0</v>
      </c>
      <c r="B691" s="520">
        <f t="shared" si="92"/>
        <v>0</v>
      </c>
      <c r="D691" s="1134"/>
      <c r="E691" s="1137"/>
      <c r="F691" s="591" t="s">
        <v>15</v>
      </c>
      <c r="G691" s="134">
        <f>G688+G689+G690</f>
        <v>0</v>
      </c>
      <c r="H691" s="134">
        <f>H688+H689+H690</f>
        <v>0</v>
      </c>
      <c r="I691" s="138">
        <f>IFERROR(G691/H691,0)</f>
        <v>0</v>
      </c>
      <c r="J691" s="139">
        <f>J688+J689+J690</f>
        <v>0</v>
      </c>
      <c r="K691" s="137">
        <f>K689+K688+K690</f>
        <v>0</v>
      </c>
      <c r="L691" s="408"/>
      <c r="M691" s="394"/>
      <c r="N691" s="394"/>
      <c r="O691" s="602"/>
      <c r="P691" s="621">
        <f>SUM(P688:P689)</f>
        <v>0</v>
      </c>
      <c r="Q691" s="622">
        <f>Q688+Q689</f>
        <v>0</v>
      </c>
      <c r="R691" s="596"/>
      <c r="S691" s="611"/>
      <c r="T691" s="599">
        <f>G668</f>
        <v>0</v>
      </c>
      <c r="U691" s="578"/>
      <c r="V691" s="579"/>
      <c r="W691" s="579">
        <f t="shared" si="95"/>
        <v>0</v>
      </c>
      <c r="X691" s="579"/>
      <c r="Y691" s="879"/>
      <c r="Z691" s="106"/>
      <c r="AC691" s="504"/>
      <c r="AD691" s="505"/>
      <c r="AH691" s="143"/>
      <c r="BO691" s="86"/>
    </row>
    <row r="692" spans="1:67" ht="15.75" customHeight="1" x14ac:dyDescent="0.25">
      <c r="A692" s="520">
        <f>IFERROR(VLOOKUP($G$5,'רשימת רשויות'!A:C,3,0),0)</f>
        <v>0</v>
      </c>
      <c r="B692" s="520">
        <f t="shared" si="92"/>
        <v>0</v>
      </c>
      <c r="D692" s="1134"/>
      <c r="E692" s="1137"/>
      <c r="F692" s="589" t="s">
        <v>2261</v>
      </c>
      <c r="G692" s="117">
        <f>IF(G673="תקין",SUMIF('תשלומי הורים ומלגות להורים (5) '!$B$18:$B$517,$G668,'תשלומי הורים ומלגות להורים (5) '!$C$18:$C$517),0)</f>
        <v>0</v>
      </c>
      <c r="H692" s="117">
        <f>(G671+G672)*$G$7</f>
        <v>0</v>
      </c>
      <c r="I692" s="141"/>
      <c r="J692" s="141"/>
      <c r="K692" s="142"/>
      <c r="L692" s="395"/>
      <c r="M692" s="395"/>
      <c r="N692" s="395"/>
      <c r="O692" s="602"/>
      <c r="P692" s="623"/>
      <c r="Q692" s="619"/>
      <c r="R692" s="596"/>
      <c r="S692" s="612"/>
      <c r="T692" s="599">
        <f>G668</f>
        <v>0</v>
      </c>
      <c r="U692" s="578"/>
      <c r="V692" s="579"/>
      <c r="W692" s="579">
        <f t="shared" si="95"/>
        <v>0</v>
      </c>
      <c r="X692" s="579"/>
      <c r="Y692" s="879"/>
      <c r="Z692" s="121"/>
      <c r="AA692" s="143"/>
      <c r="AB692" s="143"/>
      <c r="AC692" s="504"/>
      <c r="AD692" s="505"/>
      <c r="AE692" s="143"/>
      <c r="AF692" s="148"/>
      <c r="BO692" s="86"/>
    </row>
    <row r="693" spans="1:67" ht="15.75" customHeight="1" thickBot="1" x14ac:dyDescent="0.3">
      <c r="A693" s="520">
        <f>IFERROR(VLOOKUP($G$5,'רשימת רשויות'!A:C,3,0),0)</f>
        <v>0</v>
      </c>
      <c r="B693" s="520">
        <f t="shared" si="92"/>
        <v>0</v>
      </c>
      <c r="D693" s="1134"/>
      <c r="E693" s="1137"/>
      <c r="F693" s="592" t="s">
        <v>21</v>
      </c>
      <c r="G693" s="144">
        <f>G691-G692</f>
        <v>0</v>
      </c>
      <c r="H693" s="144">
        <f>H691-H692</f>
        <v>0</v>
      </c>
      <c r="I693" s="145"/>
      <c r="J693" s="145"/>
      <c r="K693" s="146"/>
      <c r="L693" s="396"/>
      <c r="M693" s="396"/>
      <c r="N693" s="396"/>
      <c r="O693" s="602"/>
      <c r="P693" s="619"/>
      <c r="Q693" s="619"/>
      <c r="R693" s="596"/>
      <c r="S693" s="612"/>
      <c r="T693" s="599">
        <f>G668</f>
        <v>0</v>
      </c>
      <c r="U693" s="578"/>
      <c r="V693" s="579"/>
      <c r="W693" s="579">
        <f t="shared" si="95"/>
        <v>0</v>
      </c>
      <c r="X693" s="579"/>
      <c r="Y693" s="879"/>
      <c r="Z693" s="147"/>
      <c r="AA693" s="148"/>
      <c r="AB693" s="148"/>
      <c r="AC693" s="504"/>
      <c r="AD693" s="505"/>
      <c r="AE693" s="148"/>
      <c r="AF693" s="148"/>
      <c r="BO693" s="86"/>
    </row>
    <row r="694" spans="1:67" ht="15.75" customHeight="1" thickBot="1" x14ac:dyDescent="0.3">
      <c r="A694" s="520">
        <f>IFERROR(VLOOKUP($G$5,'רשימת רשויות'!A:C,3,0),0)</f>
        <v>0</v>
      </c>
      <c r="B694" s="520">
        <f t="shared" si="92"/>
        <v>0</v>
      </c>
      <c r="D694" s="1134"/>
      <c r="E694" s="1137"/>
      <c r="F694" s="580"/>
      <c r="G694" s="580"/>
      <c r="H694" s="147"/>
      <c r="I694" s="149" t="s">
        <v>2197</v>
      </c>
      <c r="J694" s="150">
        <f>MAX(MIN(P691,Q691),0)</f>
        <v>0</v>
      </c>
      <c r="K694" s="580"/>
      <c r="L694" s="580"/>
      <c r="M694" s="580"/>
      <c r="N694" s="580"/>
      <c r="O694" s="580"/>
      <c r="P694" s="615" t="s">
        <v>2317</v>
      </c>
      <c r="Q694" s="624">
        <f>SUM(Q695:Q696)</f>
        <v>0</v>
      </c>
      <c r="R694" s="596"/>
      <c r="S694" s="612"/>
      <c r="T694" s="599">
        <f>G668</f>
        <v>0</v>
      </c>
      <c r="U694" s="578"/>
      <c r="V694" s="579"/>
      <c r="W694" s="579">
        <f t="shared" si="95"/>
        <v>0</v>
      </c>
      <c r="X694" s="579"/>
      <c r="Y694" s="879"/>
      <c r="Z694" s="106"/>
      <c r="AC694" s="504"/>
      <c r="AD694" s="505"/>
      <c r="AF694" s="148"/>
      <c r="BO694" s="86"/>
    </row>
    <row r="695" spans="1:67" ht="16.5" thickBot="1" x14ac:dyDescent="0.3">
      <c r="A695" s="520">
        <f>IFERROR(VLOOKUP($G$5,'רשימת רשויות'!A:C,3,0),0)</f>
        <v>0</v>
      </c>
      <c r="B695" s="520">
        <f t="shared" si="92"/>
        <v>0</v>
      </c>
      <c r="D695" s="1134"/>
      <c r="E695" s="1137"/>
      <c r="F695" s="580"/>
      <c r="G695" s="580"/>
      <c r="H695" s="580"/>
      <c r="I695" s="84" t="s">
        <v>2193</v>
      </c>
      <c r="J695" s="515" t="str">
        <f>IFERROR(1-H692/H691,"")</f>
        <v/>
      </c>
      <c r="K695" s="580"/>
      <c r="L695" s="580"/>
      <c r="M695" s="580"/>
      <c r="N695" s="580"/>
      <c r="O695" s="580"/>
      <c r="P695" s="615" t="s">
        <v>417</v>
      </c>
      <c r="Q695" s="616">
        <f>IFERROR(MAX(H693-I696-Q696,0),0)</f>
        <v>0</v>
      </c>
      <c r="R695" s="596"/>
      <c r="S695" s="600"/>
      <c r="T695" s="599">
        <f>G668</f>
        <v>0</v>
      </c>
      <c r="U695" s="578"/>
      <c r="V695" s="579"/>
      <c r="W695" s="579">
        <f t="shared" si="95"/>
        <v>0</v>
      </c>
      <c r="X695" s="579"/>
      <c r="Y695" s="879"/>
      <c r="Z695" s="106"/>
      <c r="AC695" s="504"/>
      <c r="AD695" s="505"/>
      <c r="BO695" s="86"/>
    </row>
    <row r="696" spans="1:67" ht="17.25" thickBot="1" x14ac:dyDescent="0.3">
      <c r="A696" s="520">
        <f>IFERROR(VLOOKUP($G$5,'רשימת רשויות'!A:C,3,0),0)</f>
        <v>0</v>
      </c>
      <c r="B696" s="520">
        <f t="shared" si="92"/>
        <v>0</v>
      </c>
      <c r="D696" s="1134"/>
      <c r="E696" s="1137"/>
      <c r="F696" s="1143" t="s">
        <v>2679</v>
      </c>
      <c r="G696" s="1143"/>
      <c r="H696" s="1143"/>
      <c r="I696" s="722">
        <f>IF(G673="לא תקין","לא קיימת זכאות לתקציב לאור אי איוש משרות רכז ו/או סגן רכז ",IFERROR(J695*(J694+J691),0))</f>
        <v>0</v>
      </c>
      <c r="J696" s="573"/>
      <c r="K696" s="574"/>
      <c r="L696" s="396"/>
      <c r="M696" s="574"/>
      <c r="N696" s="574"/>
      <c r="O696" s="574"/>
      <c r="P696" s="615" t="s">
        <v>2279</v>
      </c>
      <c r="Q696" s="616">
        <f>MAX(IF(AND(G691&gt;H691,I696&lt;H693),H693-I696,0),0)</f>
        <v>0</v>
      </c>
      <c r="R696" s="575"/>
      <c r="S696" s="576" t="s">
        <v>67</v>
      </c>
      <c r="T696" s="577">
        <f>G668</f>
        <v>0</v>
      </c>
      <c r="U696" s="578"/>
      <c r="V696" s="579">
        <f>I696</f>
        <v>0</v>
      </c>
      <c r="W696" s="579">
        <f>IFERROR(U696-V696,0)</f>
        <v>0</v>
      </c>
      <c r="X696" s="579">
        <f>SUM(X682:X695)</f>
        <v>0</v>
      </c>
      <c r="Y696" s="879"/>
      <c r="Z696" s="106"/>
      <c r="AC696" s="506">
        <v>0</v>
      </c>
      <c r="AD696" s="507">
        <f>IFERROR(U696-AC696,0)</f>
        <v>0</v>
      </c>
      <c r="BO696" s="86"/>
    </row>
    <row r="697" spans="1:67" ht="16.5" thickBot="1" x14ac:dyDescent="0.3">
      <c r="A697" s="520">
        <f>IFERROR(VLOOKUP($G$5,'רשימת רשויות'!A:C,3,0),0)</f>
        <v>0</v>
      </c>
      <c r="B697" s="520">
        <f t="shared" si="92"/>
        <v>0</v>
      </c>
      <c r="D697" s="1135"/>
      <c r="E697" s="1138"/>
      <c r="F697" s="1144" t="s">
        <v>2793</v>
      </c>
      <c r="G697" s="1145"/>
      <c r="H697" s="1145"/>
      <c r="I697" s="593">
        <f>IFERROR(IF(G673="תקין",SUMIFS('סייעות רפואיות או אישיות (7)'!$Q$17:Q$384,'סייעות רפואיות או אישיות (7)'!C$17:C$384,G668),0),0)</f>
        <v>0</v>
      </c>
      <c r="J697" s="151"/>
      <c r="K697" s="152"/>
      <c r="L697" s="409"/>
      <c r="M697" s="152"/>
      <c r="N697" s="152"/>
      <c r="O697" s="152"/>
      <c r="P697" s="613"/>
      <c r="Q697" s="614"/>
      <c r="R697" s="475"/>
      <c r="S697" s="489"/>
      <c r="T697" s="490"/>
      <c r="U697" s="491"/>
      <c r="V697" s="492"/>
      <c r="W697" s="492"/>
      <c r="X697" s="492"/>
      <c r="Y697" s="880"/>
      <c r="Z697" s="153"/>
      <c r="AC697" s="581"/>
      <c r="AD697" s="582"/>
      <c r="BO697" s="86"/>
    </row>
    <row r="698" spans="1:67" ht="34.5" thickBot="1" x14ac:dyDescent="0.55000000000000004">
      <c r="A698" s="520">
        <f>IFERROR(VLOOKUP($G$5,'רשימת רשויות'!A:C,3,0),0)</f>
        <v>0</v>
      </c>
      <c r="B698" s="520">
        <f t="shared" si="92"/>
        <v>0</v>
      </c>
      <c r="E698" s="154"/>
      <c r="I698" s="143"/>
      <c r="J698" s="148"/>
      <c r="O698" s="148"/>
      <c r="T698" s="481"/>
      <c r="BO698" s="86"/>
    </row>
    <row r="699" spans="1:67" s="20" customFormat="1" ht="16.5" customHeight="1" thickBot="1" x14ac:dyDescent="0.3">
      <c r="A699" s="520">
        <f>IFERROR(VLOOKUP($G$5,'רשימת רשויות'!A:C,3,0),0)</f>
        <v>0</v>
      </c>
      <c r="B699" s="520">
        <f t="shared" si="92"/>
        <v>0</v>
      </c>
      <c r="C699" s="39"/>
      <c r="D699" s="1133">
        <f>D668+1</f>
        <v>23</v>
      </c>
      <c r="E699" s="1136" t="str">
        <f>IFERROR(CONCATENATE("בית הספר ",VLOOKUP(G699,'מצבת והרשמה (2)'!$C$21:$D$520,2,0)," - ",$G$5),"")</f>
        <v>בית הספר המוסד לא קיים - 0</v>
      </c>
      <c r="F699" s="720" t="s">
        <v>146</v>
      </c>
      <c r="G699" s="721">
        <f>IFERROR(VLOOKUP(D:D,'דוח ביצוע (3)'!$A$21:$C$900,2,0),0)</f>
        <v>0</v>
      </c>
      <c r="H699" s="79"/>
      <c r="I699" s="80" t="s">
        <v>150</v>
      </c>
      <c r="J699" s="80"/>
      <c r="K699" s="81"/>
      <c r="L699" s="392"/>
      <c r="M699" s="392"/>
      <c r="N699" s="392"/>
      <c r="O699" s="82"/>
      <c r="P699" s="470"/>
      <c r="Q699" s="471"/>
      <c r="R699" s="472"/>
      <c r="S699" s="883"/>
      <c r="T699" s="884"/>
      <c r="U699" s="486"/>
      <c r="V699" s="487"/>
      <c r="W699" s="487"/>
      <c r="X699" s="487"/>
      <c r="Y699" s="885"/>
      <c r="Z699" s="83"/>
      <c r="AC699" s="502"/>
      <c r="AD699" s="503"/>
      <c r="AO699" s="22"/>
      <c r="AP699" s="22"/>
      <c r="AQ699" s="22"/>
      <c r="AR699" s="22"/>
      <c r="AS699" s="22"/>
      <c r="AT699" s="22"/>
      <c r="AU699" s="35"/>
      <c r="AV699" s="35"/>
      <c r="AW699" s="35"/>
      <c r="AX699" s="35"/>
      <c r="AY699" s="35"/>
      <c r="AZ699" s="35"/>
      <c r="BA699" s="35"/>
      <c r="BB699" s="35"/>
      <c r="BC699" s="35"/>
      <c r="BD699" s="35"/>
      <c r="BE699" s="35"/>
      <c r="BF699" s="35"/>
      <c r="BG699" s="35"/>
      <c r="BH699" s="35"/>
      <c r="BI699" s="35"/>
      <c r="BJ699" s="35"/>
      <c r="BK699" s="35"/>
      <c r="BL699" s="35"/>
      <c r="BM699" s="35"/>
      <c r="BN699" s="35"/>
      <c r="BO699" s="78"/>
    </row>
    <row r="700" spans="1:67" s="20" customFormat="1" ht="16.5" thickBot="1" x14ac:dyDescent="0.3">
      <c r="A700" s="520">
        <f>IFERROR(VLOOKUP($G$5,'רשימת רשויות'!A:C,3,0),0)</f>
        <v>0</v>
      </c>
      <c r="B700" s="520">
        <f t="shared" si="92"/>
        <v>0</v>
      </c>
      <c r="C700" s="39"/>
      <c r="D700" s="1134"/>
      <c r="E700" s="1137"/>
      <c r="F700" s="583" t="s">
        <v>145</v>
      </c>
      <c r="G700" s="516" t="str">
        <f>IFERROR(IF((G702+G703)=0,"",IF(VLOOKUP(G699,'דוח ביצוע (3)'!$B$21:$K$900,5,0)&gt;149,"גדול",IF(AND(VLOOKUP(G699,'דוח ביצוע (3)'!$B$21:$K$900,5,0)&gt;0,VLOOKUP(G699,'דוח ביצוע (3)'!$B$21:$K$900,5,0)&lt;150),"קטן",0))),"")</f>
        <v/>
      </c>
      <c r="H700" s="723" t="s">
        <v>88</v>
      </c>
      <c r="I700" s="723" t="s">
        <v>13</v>
      </c>
      <c r="J700" s="725" t="s">
        <v>14</v>
      </c>
      <c r="K700" s="724" t="s">
        <v>94</v>
      </c>
      <c r="L700" s="594"/>
      <c r="M700" s="420" t="s">
        <v>2584</v>
      </c>
      <c r="N700" s="397" t="s">
        <v>413</v>
      </c>
      <c r="O700" s="398" t="s">
        <v>52</v>
      </c>
      <c r="P700" s="595"/>
      <c r="Q700" s="595"/>
      <c r="R700" s="596"/>
      <c r="S700" s="610"/>
      <c r="T700" s="881"/>
      <c r="U700" s="598"/>
      <c r="V700" s="599"/>
      <c r="W700" s="599"/>
      <c r="X700" s="599"/>
      <c r="Y700" s="879"/>
      <c r="Z700" s="85"/>
      <c r="AC700" s="493"/>
      <c r="AD700" s="495"/>
      <c r="AO700" s="22"/>
      <c r="AP700" s="22"/>
      <c r="AQ700" s="22"/>
      <c r="AR700" s="22"/>
      <c r="AS700" s="22"/>
      <c r="AT700" s="22"/>
      <c r="AU700" s="35"/>
      <c r="AV700" s="35"/>
      <c r="AW700" s="35"/>
      <c r="AX700" s="35"/>
      <c r="AY700" s="35"/>
      <c r="AZ700" s="35"/>
      <c r="BA700" s="35"/>
      <c r="BB700" s="35"/>
      <c r="BC700" s="35"/>
      <c r="BD700" s="35"/>
      <c r="BE700" s="35"/>
      <c r="BF700" s="35"/>
      <c r="BG700" s="35"/>
      <c r="BH700" s="35"/>
      <c r="BI700" s="35"/>
      <c r="BJ700" s="35"/>
      <c r="BK700" s="35"/>
      <c r="BL700" s="35"/>
      <c r="BM700" s="35"/>
      <c r="BN700" s="35"/>
      <c r="BO700" s="78"/>
    </row>
    <row r="701" spans="1:67" s="20" customFormat="1" ht="15.75" customHeight="1" thickBot="1" x14ac:dyDescent="0.3">
      <c r="A701" s="520">
        <f>IFERROR(VLOOKUP($G$5,'רשימת רשויות'!A:C,3,0),0)</f>
        <v>0</v>
      </c>
      <c r="B701" s="520">
        <f t="shared" si="92"/>
        <v>0</v>
      </c>
      <c r="C701" s="39"/>
      <c r="D701" s="1134"/>
      <c r="E701" s="1137"/>
      <c r="F701" s="584" t="s">
        <v>144</v>
      </c>
      <c r="G701" s="87">
        <f>IF(G704="תקין",IFERROR(VLOOKUP($G699,'דוח ביצוע (3)'!$B$21:$Q$900,12,0),0),0)</f>
        <v>0</v>
      </c>
      <c r="H701" s="88">
        <f>IFERROR(G702*$AH$6+G703*$AH$7,0)</f>
        <v>0</v>
      </c>
      <c r="I701" s="88">
        <f>IFERROR(G702*$AI$6+G703*$AI$7,0)</f>
        <v>0</v>
      </c>
      <c r="J701" s="88">
        <f>IFERROR(G702*$AJ$6+G703*$AJ$7,0)</f>
        <v>0</v>
      </c>
      <c r="K701" s="88">
        <f>IFERROR(G702*$AK$6+G703*$AK$7,0)</f>
        <v>0</v>
      </c>
      <c r="L701" s="405"/>
      <c r="M701" s="399" t="s">
        <v>427</v>
      </c>
      <c r="N701" s="400" t="str">
        <f>IFERROR(VLOOKUP($G699,'דוח ביצוע (3)'!$B:$AE,28,0),"")</f>
        <v/>
      </c>
      <c r="O701" s="89" t="str">
        <f>IFERROR(VLOOKUP($G699,'דוח ביצוע (3)'!B:AE,29,0),"")</f>
        <v/>
      </c>
      <c r="P701" s="595"/>
      <c r="Q701" s="595"/>
      <c r="R701" s="596"/>
      <c r="S701" s="610"/>
      <c r="T701" s="881"/>
      <c r="U701" s="598"/>
      <c r="V701" s="599"/>
      <c r="W701" s="599"/>
      <c r="X701" s="599"/>
      <c r="Y701" s="879"/>
      <c r="Z701" s="85"/>
      <c r="AC701" s="493"/>
      <c r="AD701" s="495"/>
      <c r="AO701" s="22"/>
      <c r="AP701" s="22"/>
      <c r="AQ701" s="22"/>
      <c r="AR701" s="22"/>
      <c r="AS701" s="22"/>
      <c r="AT701" s="22"/>
      <c r="AU701" s="35"/>
      <c r="AV701" s="35"/>
      <c r="AW701" s="35"/>
      <c r="AX701" s="35"/>
      <c r="AY701" s="35"/>
      <c r="AZ701" s="35"/>
      <c r="BA701" s="35"/>
      <c r="BB701" s="35"/>
      <c r="BC701" s="35"/>
      <c r="BD701" s="35"/>
      <c r="BE701" s="35"/>
      <c r="BF701" s="35"/>
      <c r="BG701" s="35"/>
      <c r="BH701" s="35"/>
      <c r="BI701" s="35"/>
      <c r="BJ701" s="35"/>
      <c r="BK701" s="35"/>
      <c r="BL701" s="35"/>
      <c r="BM701" s="35"/>
      <c r="BN701" s="35"/>
      <c r="BO701" s="78"/>
    </row>
    <row r="702" spans="1:67" s="20" customFormat="1" ht="32.25" thickBot="1" x14ac:dyDescent="0.3">
      <c r="A702" s="520">
        <f>IFERROR(VLOOKUP($G$5,'רשימת רשויות'!A:C,3,0),0)</f>
        <v>0</v>
      </c>
      <c r="B702" s="520">
        <f t="shared" si="92"/>
        <v>0</v>
      </c>
      <c r="C702" s="39"/>
      <c r="D702" s="1134"/>
      <c r="E702" s="1137"/>
      <c r="F702" s="585" t="s">
        <v>2195</v>
      </c>
      <c r="G702" s="89">
        <f>IF(G704="תקין",MAX(N704,0),0)</f>
        <v>0</v>
      </c>
      <c r="H702" s="725" t="s">
        <v>151</v>
      </c>
      <c r="I702" s="725" t="s">
        <v>91</v>
      </c>
      <c r="J702" s="970" t="s">
        <v>3396</v>
      </c>
      <c r="K702" s="601"/>
      <c r="L702" s="601"/>
      <c r="M702" s="983" t="s">
        <v>2585</v>
      </c>
      <c r="N702" s="400" t="str">
        <f>IFERROR(G701/15*N701*1.25,"")</f>
        <v/>
      </c>
      <c r="O702" s="89" t="str">
        <f>IFERROR(G701/15*O701*1.25,"")</f>
        <v/>
      </c>
      <c r="P702" s="595"/>
      <c r="Q702" s="595"/>
      <c r="R702" s="596"/>
      <c r="S702" s="610"/>
      <c r="T702" s="881"/>
      <c r="U702" s="598"/>
      <c r="V702" s="599"/>
      <c r="W702" s="599"/>
      <c r="X702" s="599"/>
      <c r="Y702" s="879"/>
      <c r="Z702" s="85"/>
      <c r="AC702" s="493"/>
      <c r="AD702" s="495"/>
      <c r="AG702" s="22"/>
      <c r="AH702" s="55"/>
      <c r="AI702" s="55"/>
      <c r="AJ702" s="55"/>
      <c r="AK702" s="55"/>
      <c r="AO702" s="22"/>
      <c r="AP702" s="22"/>
      <c r="AQ702" s="22"/>
      <c r="AR702" s="22"/>
      <c r="AS702" s="22"/>
      <c r="AT702" s="22"/>
      <c r="AU702" s="35"/>
      <c r="AV702" s="35"/>
      <c r="AW702" s="35"/>
      <c r="AX702" s="35"/>
      <c r="AY702" s="35"/>
      <c r="AZ702" s="35"/>
      <c r="BA702" s="35"/>
      <c r="BB702" s="35"/>
      <c r="BC702" s="35"/>
      <c r="BD702" s="35"/>
      <c r="BE702" s="35"/>
      <c r="BF702" s="35"/>
      <c r="BG702" s="35"/>
      <c r="BH702" s="35"/>
      <c r="BI702" s="35"/>
      <c r="BJ702" s="35"/>
      <c r="BK702" s="35"/>
      <c r="BL702" s="35"/>
      <c r="BM702" s="35"/>
      <c r="BN702" s="35"/>
      <c r="BO702" s="86"/>
    </row>
    <row r="703" spans="1:67" s="20" customFormat="1" ht="16.5" thickBot="1" x14ac:dyDescent="0.3">
      <c r="A703" s="520">
        <f>IFERROR(VLOOKUP($G$5,'רשימת רשויות'!A:C,3,0),0)</f>
        <v>0</v>
      </c>
      <c r="B703" s="520">
        <f t="shared" si="92"/>
        <v>0</v>
      </c>
      <c r="C703" s="39"/>
      <c r="D703" s="1134"/>
      <c r="E703" s="1137"/>
      <c r="F703" s="585" t="s">
        <v>2196</v>
      </c>
      <c r="G703" s="89">
        <f>IF(G704="תקין",MAX(O704,0),0)</f>
        <v>0</v>
      </c>
      <c r="H703" s="88">
        <f>(IFERROR(IF((G702+G703)=0,0,IF(G700="קטן",G701*$AH$10,G701*$AH$11)),0))+(IFERROR(IF((G702+G703)=0,0,VLOOKUP(G699,'דוח ביצוע (3)'!$B:$AH,33,0)),0))</f>
        <v>0</v>
      </c>
      <c r="I703" s="88">
        <f>IFERROR(IF((G702+G703)=0,0,IF(G700="קטן",G701*$AI$10,G701*$AI$11)),0)</f>
        <v>0</v>
      </c>
      <c r="J703" s="88">
        <f>IFERROR(IF((G702+G703)=0,0,VLOOKUP(G699,'דוח ביצוע (3)'!$B:$AH,32,0)),0)</f>
        <v>0</v>
      </c>
      <c r="K703" s="90"/>
      <c r="L703" s="90"/>
      <c r="M703" s="399" t="s">
        <v>412</v>
      </c>
      <c r="N703" s="400">
        <f>IFERROR(VLOOKUP($G699,'דוח ביצוע (3)'!$B$21:$U$500,18,0),0)</f>
        <v>0</v>
      </c>
      <c r="O703" s="401">
        <f>IFERROR(VLOOKUP($G699,'דוח ביצוע (3)'!$B$21:$U$500,19,0),0)</f>
        <v>0</v>
      </c>
      <c r="P703" s="595"/>
      <c r="Q703" s="595"/>
      <c r="R703" s="596"/>
      <c r="S703" s="610"/>
      <c r="T703" s="881"/>
      <c r="U703" s="598"/>
      <c r="V703" s="599"/>
      <c r="W703" s="599"/>
      <c r="X703" s="599"/>
      <c r="Y703" s="879"/>
      <c r="Z703" s="85"/>
      <c r="AC703" s="493"/>
      <c r="AD703" s="495"/>
      <c r="AG703" s="22"/>
      <c r="AH703" s="55"/>
      <c r="AI703" s="55"/>
      <c r="AJ703" s="55"/>
      <c r="AK703" s="55"/>
      <c r="AO703" s="22"/>
      <c r="AP703" s="22"/>
      <c r="AQ703" s="22"/>
      <c r="AR703" s="22"/>
      <c r="AS703" s="22"/>
      <c r="AT703" s="22"/>
      <c r="AU703" s="35"/>
      <c r="AV703" s="35"/>
      <c r="AW703" s="35"/>
      <c r="AX703" s="35"/>
      <c r="AY703" s="35"/>
      <c r="AZ703" s="35"/>
      <c r="BA703" s="35"/>
      <c r="BB703" s="35"/>
      <c r="BC703" s="35"/>
      <c r="BD703" s="35"/>
      <c r="BE703" s="35"/>
      <c r="BF703" s="35"/>
      <c r="BG703" s="35"/>
      <c r="BH703" s="35"/>
      <c r="BI703" s="35"/>
      <c r="BJ703" s="35"/>
      <c r="BK703" s="35"/>
      <c r="BL703" s="35"/>
      <c r="BM703" s="35"/>
      <c r="BN703" s="35"/>
      <c r="BO703" s="86"/>
    </row>
    <row r="704" spans="1:67" s="20" customFormat="1" ht="16.5" thickBot="1" x14ac:dyDescent="0.3">
      <c r="A704" s="520">
        <f>IFERROR(VLOOKUP($G$5,'רשימת רשויות'!A:C,3,0),0)</f>
        <v>0</v>
      </c>
      <c r="B704" s="520">
        <f t="shared" si="92"/>
        <v>0</v>
      </c>
      <c r="C704" s="39"/>
      <c r="D704" s="1134"/>
      <c r="E704" s="1137"/>
      <c r="F704" s="586" t="s">
        <v>2355</v>
      </c>
      <c r="G704" s="514">
        <f>IFERROR(IF(VLOOKUP('בית ספר - תקצוב לפי מוסד (9)'!G699,' איוש משרות (8)'!$C:$K,9,0)="תקין","תקין","לא תקין"),0)</f>
        <v>0</v>
      </c>
      <c r="H704" s="91"/>
      <c r="I704" s="91"/>
      <c r="J704" s="91"/>
      <c r="K704" s="90"/>
      <c r="L704" s="90"/>
      <c r="M704" s="402" t="s">
        <v>2586</v>
      </c>
      <c r="N704" s="403">
        <f>IFERROR(MIN(N702,N703),0)</f>
        <v>0</v>
      </c>
      <c r="O704" s="404">
        <f>IFERROR(MIN(O702,O703),0)</f>
        <v>0</v>
      </c>
      <c r="P704" s="595"/>
      <c r="Q704" s="595"/>
      <c r="R704" s="596"/>
      <c r="S704" s="610"/>
      <c r="T704" s="881"/>
      <c r="U704" s="598"/>
      <c r="V704" s="599"/>
      <c r="W704" s="599"/>
      <c r="X704" s="599"/>
      <c r="Y704" s="879"/>
      <c r="Z704" s="85"/>
      <c r="AC704" s="493"/>
      <c r="AD704" s="495"/>
      <c r="AG704" s="94"/>
      <c r="AH704" s="40"/>
      <c r="AI704" s="40"/>
      <c r="AJ704" s="40"/>
      <c r="AK704" s="40"/>
      <c r="AO704" s="22"/>
      <c r="AP704" s="22"/>
      <c r="AQ704" s="22"/>
      <c r="AR704" s="22"/>
      <c r="AS704" s="22"/>
      <c r="AT704" s="22"/>
      <c r="AU704" s="35"/>
      <c r="AV704" s="35"/>
      <c r="AW704" s="35"/>
      <c r="AX704" s="35"/>
      <c r="AY704" s="35"/>
      <c r="AZ704" s="35"/>
      <c r="BA704" s="35"/>
      <c r="BB704" s="35"/>
      <c r="BC704" s="35"/>
      <c r="BD704" s="35"/>
      <c r="BE704" s="35"/>
      <c r="BF704" s="35"/>
      <c r="BG704" s="35"/>
      <c r="BH704" s="35"/>
      <c r="BI704" s="35"/>
      <c r="BJ704" s="35"/>
      <c r="BK704" s="35"/>
      <c r="BL704" s="35"/>
      <c r="BM704" s="35"/>
      <c r="BN704" s="35"/>
      <c r="BO704" s="86"/>
    </row>
    <row r="705" spans="1:67" s="55" customFormat="1" ht="37.15" customHeight="1" thickBot="1" x14ac:dyDescent="0.3">
      <c r="A705" s="520">
        <f>IFERROR(VLOOKUP($G$5,'רשימת רשויות'!A:C,3,0),0)</f>
        <v>0</v>
      </c>
      <c r="B705" s="520">
        <f t="shared" si="92"/>
        <v>0</v>
      </c>
      <c r="C705" s="39"/>
      <c r="D705" s="1134"/>
      <c r="E705" s="1137"/>
      <c r="F705" s="587" t="s">
        <v>142</v>
      </c>
      <c r="G705" s="92"/>
      <c r="H705" s="92"/>
      <c r="I705" s="92"/>
      <c r="J705" s="92"/>
      <c r="K705" s="602"/>
      <c r="L705" s="602"/>
      <c r="M705" s="602"/>
      <c r="N705" s="602"/>
      <c r="O705" s="602"/>
      <c r="P705" s="595"/>
      <c r="Q705" s="595"/>
      <c r="R705" s="596"/>
      <c r="S705" s="610"/>
      <c r="T705" s="881"/>
      <c r="U705" s="598"/>
      <c r="V705" s="599"/>
      <c r="W705" s="599"/>
      <c r="X705" s="599"/>
      <c r="Y705" s="879"/>
      <c r="Z705" s="93"/>
      <c r="AC705" s="493"/>
      <c r="AD705" s="495"/>
      <c r="AF705" s="22"/>
      <c r="AG705" s="98"/>
      <c r="AH705" s="98"/>
      <c r="AI705" s="40"/>
      <c r="AJ705" s="40"/>
      <c r="AK705" s="40"/>
      <c r="AO705" s="22"/>
      <c r="AP705" s="22"/>
      <c r="AQ705" s="22"/>
      <c r="AR705" s="22"/>
      <c r="AS705" s="22"/>
      <c r="AT705" s="22"/>
      <c r="AU705" s="35"/>
      <c r="AV705" s="35"/>
      <c r="AW705" s="35"/>
      <c r="AX705" s="35"/>
      <c r="AY705" s="35"/>
      <c r="AZ705" s="35"/>
      <c r="BA705" s="35"/>
      <c r="BB705" s="35"/>
      <c r="BC705" s="35"/>
      <c r="BD705" s="35"/>
      <c r="BE705" s="35"/>
      <c r="BF705" s="35"/>
      <c r="BG705" s="35"/>
      <c r="BH705" s="35"/>
      <c r="BI705" s="35"/>
      <c r="BJ705" s="35"/>
      <c r="BK705" s="35"/>
      <c r="BL705" s="35"/>
      <c r="BM705" s="35"/>
      <c r="BN705" s="35"/>
      <c r="BO705" s="86"/>
    </row>
    <row r="706" spans="1:67" s="40" customFormat="1" ht="31.5" x14ac:dyDescent="0.25">
      <c r="A706" s="520">
        <f>IFERROR(VLOOKUP($G$5,'רשימת רשויות'!A:C,3,0),0)</f>
        <v>0</v>
      </c>
      <c r="B706" s="520">
        <f t="shared" si="92"/>
        <v>0</v>
      </c>
      <c r="C706" s="39"/>
      <c r="D706" s="1134"/>
      <c r="E706" s="1137"/>
      <c r="F706" s="588" t="s">
        <v>94</v>
      </c>
      <c r="G706" s="95" t="s">
        <v>18</v>
      </c>
      <c r="H706" s="95" t="s">
        <v>19</v>
      </c>
      <c r="I706" s="95" t="s">
        <v>138</v>
      </c>
      <c r="J706" s="96" t="s">
        <v>139</v>
      </c>
      <c r="K706" s="603"/>
      <c r="L706" s="603"/>
      <c r="M706" s="603"/>
      <c r="N706" s="603"/>
      <c r="O706" s="603"/>
      <c r="P706" s="604"/>
      <c r="Q706" s="604"/>
      <c r="R706" s="596"/>
      <c r="S706" s="610"/>
      <c r="T706" s="881"/>
      <c r="U706" s="598"/>
      <c r="V706" s="599"/>
      <c r="W706" s="599"/>
      <c r="X706" s="599"/>
      <c r="Y706" s="879"/>
      <c r="Z706" s="97"/>
      <c r="AA706" s="94"/>
      <c r="AB706" s="94"/>
      <c r="AC706" s="493"/>
      <c r="AD706" s="495"/>
      <c r="AE706" s="94"/>
      <c r="AG706" s="98"/>
      <c r="AH706" s="98"/>
      <c r="AO706" s="22"/>
      <c r="AP706" s="22"/>
      <c r="AQ706" s="22"/>
      <c r="AR706" s="22"/>
      <c r="AS706" s="22"/>
      <c r="AT706" s="22"/>
      <c r="AU706" s="35"/>
      <c r="AV706" s="35"/>
      <c r="AW706" s="35"/>
      <c r="AX706" s="35"/>
      <c r="AY706" s="35"/>
      <c r="AZ706" s="35"/>
      <c r="BA706" s="35"/>
      <c r="BB706" s="35"/>
      <c r="BC706" s="35"/>
      <c r="BD706" s="35"/>
      <c r="BE706" s="35"/>
      <c r="BF706" s="35"/>
      <c r="BG706" s="35"/>
      <c r="BH706" s="35"/>
      <c r="BI706" s="35"/>
      <c r="BJ706" s="35"/>
      <c r="BK706" s="35"/>
      <c r="BL706" s="35"/>
      <c r="BM706" s="35"/>
      <c r="BN706" s="35"/>
      <c r="BO706" s="86"/>
    </row>
    <row r="707" spans="1:67" s="40" customFormat="1" ht="15.75" customHeight="1" thickBot="1" x14ac:dyDescent="0.3">
      <c r="A707" s="520">
        <f>IFERROR(VLOOKUP($G$5,'רשימת רשויות'!A:C,3,0),0)</f>
        <v>0</v>
      </c>
      <c r="B707" s="520">
        <f t="shared" si="92"/>
        <v>0</v>
      </c>
      <c r="C707" s="39"/>
      <c r="D707" s="1134"/>
      <c r="E707" s="1137"/>
      <c r="F707" s="589" t="s">
        <v>2280</v>
      </c>
      <c r="G707" s="99">
        <f>+G718</f>
        <v>0</v>
      </c>
      <c r="H707" s="100">
        <f>K701</f>
        <v>0</v>
      </c>
      <c r="I707" s="100">
        <f>H707-I709</f>
        <v>0</v>
      </c>
      <c r="J707" s="101">
        <f>IFERROR(I707/H707,0)</f>
        <v>0</v>
      </c>
      <c r="K707" s="603"/>
      <c r="L707" s="603"/>
      <c r="M707" s="603"/>
      <c r="N707" s="603"/>
      <c r="O707" s="603"/>
      <c r="P707" s="605"/>
      <c r="Q707" s="604"/>
      <c r="R707" s="606" t="s">
        <v>157</v>
      </c>
      <c r="S707" s="611"/>
      <c r="T707" s="881"/>
      <c r="U707" s="598"/>
      <c r="V707" s="599"/>
      <c r="W707" s="599"/>
      <c r="X707" s="599"/>
      <c r="Y707" s="879"/>
      <c r="Z707" s="102"/>
      <c r="AA707" s="122"/>
      <c r="AB707" s="122"/>
      <c r="AC707" s="493"/>
      <c r="AD707" s="495"/>
      <c r="AE707" s="122"/>
      <c r="AF707" s="22"/>
      <c r="AG707" s="98"/>
      <c r="AH707" s="98"/>
      <c r="AI707" s="20"/>
      <c r="AO707" s="22"/>
      <c r="AP707" s="22"/>
      <c r="AQ707" s="22"/>
      <c r="AR707" s="22"/>
      <c r="AS707" s="22"/>
      <c r="AT707" s="22"/>
      <c r="AU707" s="35"/>
      <c r="AV707" s="35"/>
      <c r="AW707" s="35"/>
      <c r="AX707" s="35"/>
      <c r="AY707" s="35"/>
      <c r="AZ707" s="35"/>
      <c r="BA707" s="35"/>
      <c r="BB707" s="35"/>
      <c r="BC707" s="35"/>
      <c r="BD707" s="35"/>
      <c r="BE707" s="35"/>
      <c r="BF707" s="35"/>
      <c r="BG707" s="35"/>
      <c r="BH707" s="35"/>
      <c r="BI707" s="35"/>
      <c r="BJ707" s="35"/>
      <c r="BK707" s="35"/>
      <c r="BL707" s="35"/>
      <c r="BM707" s="35"/>
      <c r="BN707" s="35"/>
      <c r="BO707" s="86"/>
    </row>
    <row r="708" spans="1:67" s="40" customFormat="1" ht="15.75" customHeight="1" thickBot="1" x14ac:dyDescent="0.3">
      <c r="A708" s="520">
        <f>IFERROR(VLOOKUP($G$5,'רשימת רשויות'!A:C,3,0),0)</f>
        <v>0</v>
      </c>
      <c r="B708" s="520">
        <f t="shared" si="92"/>
        <v>0</v>
      </c>
      <c r="C708" s="39"/>
      <c r="D708" s="1134"/>
      <c r="E708" s="1137"/>
      <c r="F708" s="589" t="s">
        <v>2281</v>
      </c>
      <c r="G708" s="99">
        <f>+G717</f>
        <v>0</v>
      </c>
      <c r="H708" s="103"/>
      <c r="I708" s="104"/>
      <c r="J708" s="105"/>
      <c r="K708" s="603"/>
      <c r="L708" s="603"/>
      <c r="M708" s="603"/>
      <c r="N708" s="603"/>
      <c r="O708" s="603"/>
      <c r="P708" s="605"/>
      <c r="Q708" s="604"/>
      <c r="R708" s="473">
        <f>I709-R710</f>
        <v>0</v>
      </c>
      <c r="S708" s="611"/>
      <c r="T708" s="881"/>
      <c r="U708" s="598"/>
      <c r="V708" s="599"/>
      <c r="W708" s="599"/>
      <c r="X708" s="599"/>
      <c r="Y708" s="879"/>
      <c r="Z708" s="106"/>
      <c r="AA708" s="22"/>
      <c r="AB708" s="22"/>
      <c r="AC708" s="493"/>
      <c r="AD708" s="495"/>
      <c r="AE708" s="22"/>
      <c r="AF708" s="22"/>
      <c r="AG708" s="98"/>
      <c r="AH708" s="98"/>
      <c r="AI708" s="20"/>
      <c r="AO708" s="22"/>
      <c r="AP708" s="22"/>
      <c r="AQ708" s="22"/>
      <c r="AR708" s="22"/>
      <c r="AS708" s="22"/>
      <c r="AT708" s="22"/>
      <c r="AU708" s="35"/>
      <c r="AV708" s="35"/>
      <c r="AW708" s="35"/>
      <c r="AX708" s="35"/>
      <c r="AY708" s="35"/>
      <c r="AZ708" s="35"/>
      <c r="BA708" s="35"/>
      <c r="BB708" s="35"/>
      <c r="BC708" s="35"/>
      <c r="BD708" s="35"/>
      <c r="BE708" s="35"/>
      <c r="BF708" s="35"/>
      <c r="BG708" s="35"/>
      <c r="BH708" s="35"/>
      <c r="BI708" s="35"/>
      <c r="BJ708" s="35"/>
      <c r="BK708" s="35"/>
      <c r="BL708" s="35"/>
      <c r="BM708" s="35"/>
      <c r="BN708" s="35"/>
      <c r="BO708" s="86"/>
    </row>
    <row r="709" spans="1:67" s="40" customFormat="1" ht="16.5" customHeight="1" thickBot="1" x14ac:dyDescent="0.3">
      <c r="A709" s="520">
        <f>IFERROR(VLOOKUP($G$5,'רשימת רשויות'!A:C,3,0),0)</f>
        <v>0</v>
      </c>
      <c r="B709" s="520">
        <f t="shared" si="92"/>
        <v>0</v>
      </c>
      <c r="C709" s="39"/>
      <c r="D709" s="1134"/>
      <c r="E709" s="1137"/>
      <c r="F709" s="589" t="s">
        <v>2282</v>
      </c>
      <c r="G709" s="99">
        <f>G713+G714+G715</f>
        <v>0</v>
      </c>
      <c r="H709" s="104"/>
      <c r="I709" s="107">
        <f>MAX(H707-G707-G708,0)</f>
        <v>0</v>
      </c>
      <c r="J709" s="108">
        <f>IFERROR(I709/H707,0)</f>
        <v>0</v>
      </c>
      <c r="K709" s="603"/>
      <c r="L709" s="603"/>
      <c r="M709" s="603"/>
      <c r="N709" s="603"/>
      <c r="O709" s="603"/>
      <c r="P709" s="604"/>
      <c r="Q709" s="604"/>
      <c r="R709" s="606" t="s">
        <v>158</v>
      </c>
      <c r="S709" s="612"/>
      <c r="T709" s="881"/>
      <c r="U709" s="598"/>
      <c r="V709" s="599"/>
      <c r="W709" s="599"/>
      <c r="X709" s="599"/>
      <c r="Y709" s="879"/>
      <c r="Z709" s="106"/>
      <c r="AA709" s="22"/>
      <c r="AB709" s="22"/>
      <c r="AC709" s="493"/>
      <c r="AD709" s="495"/>
      <c r="AE709" s="22"/>
      <c r="AF709" s="22"/>
      <c r="AG709" s="22"/>
      <c r="AH709" s="22"/>
      <c r="AI709" s="55"/>
      <c r="AJ709" s="22"/>
      <c r="AK709" s="22"/>
      <c r="AO709" s="22"/>
      <c r="AP709" s="22"/>
      <c r="AQ709" s="22"/>
      <c r="AR709" s="22"/>
      <c r="AS709" s="22"/>
      <c r="AT709" s="22"/>
      <c r="AU709" s="35"/>
      <c r="AV709" s="35"/>
      <c r="AW709" s="35"/>
      <c r="AX709" s="35"/>
      <c r="AY709" s="35"/>
      <c r="AZ709" s="35"/>
      <c r="BA709" s="35"/>
      <c r="BB709" s="35"/>
      <c r="BC709" s="35"/>
      <c r="BD709" s="35"/>
      <c r="BE709" s="35"/>
      <c r="BF709" s="35"/>
      <c r="BG709" s="35"/>
      <c r="BH709" s="35"/>
      <c r="BI709" s="35"/>
      <c r="BJ709" s="35"/>
      <c r="BK709" s="35"/>
      <c r="BL709" s="35"/>
      <c r="BM709" s="35"/>
      <c r="BN709" s="35"/>
      <c r="BO709" s="86"/>
    </row>
    <row r="710" spans="1:67" s="40" customFormat="1" ht="15.75" customHeight="1" thickBot="1" x14ac:dyDescent="0.3">
      <c r="A710" s="520">
        <f>IFERROR(VLOOKUP($G$5,'רשימת רשויות'!A:C,3,0),0)</f>
        <v>0</v>
      </c>
      <c r="B710" s="520">
        <f t="shared" si="92"/>
        <v>0</v>
      </c>
      <c r="C710" s="39"/>
      <c r="D710" s="1134"/>
      <c r="E710" s="1137"/>
      <c r="F710" s="590" t="s">
        <v>2290</v>
      </c>
      <c r="G710" s="109"/>
      <c r="H710" s="110"/>
      <c r="I710" s="111">
        <f>SUM(I707:I709)</f>
        <v>0</v>
      </c>
      <c r="J710" s="112">
        <f>SUM(J707:J709)</f>
        <v>0</v>
      </c>
      <c r="K710" s="603"/>
      <c r="L710" s="603"/>
      <c r="M710" s="603"/>
      <c r="N710" s="603"/>
      <c r="O710" s="603"/>
      <c r="P710" s="604"/>
      <c r="Q710" s="604"/>
      <c r="R710" s="473">
        <f>MIN(MAX(G714+G715-I703-J703,0),I709)</f>
        <v>0</v>
      </c>
      <c r="S710" s="612"/>
      <c r="T710" s="881"/>
      <c r="U710" s="598"/>
      <c r="V710" s="599"/>
      <c r="W710" s="599"/>
      <c r="X710" s="599"/>
      <c r="Y710" s="879"/>
      <c r="Z710" s="106"/>
      <c r="AA710" s="22"/>
      <c r="AB710" s="22"/>
      <c r="AC710" s="493"/>
      <c r="AD710" s="495"/>
      <c r="AE710" s="22"/>
      <c r="AF710" s="22"/>
      <c r="AG710" s="22"/>
      <c r="AH710" s="22"/>
      <c r="AJ710" s="22"/>
      <c r="AK710" s="22"/>
      <c r="AO710" s="22"/>
      <c r="AP710" s="22"/>
      <c r="AQ710" s="22"/>
      <c r="AR710" s="22"/>
      <c r="AS710" s="22"/>
      <c r="AT710" s="22"/>
      <c r="AU710" s="35"/>
      <c r="AV710" s="35"/>
      <c r="AW710" s="35"/>
      <c r="AX710" s="35"/>
      <c r="AY710" s="35"/>
      <c r="AZ710" s="35"/>
      <c r="BA710" s="35"/>
      <c r="BB710" s="35"/>
      <c r="BC710" s="35"/>
      <c r="BD710" s="35"/>
      <c r="BE710" s="35"/>
      <c r="BF710" s="35"/>
      <c r="BG710" s="35"/>
      <c r="BH710" s="35"/>
      <c r="BI710" s="35"/>
      <c r="BJ710" s="35"/>
      <c r="BK710" s="35"/>
      <c r="BL710" s="35"/>
      <c r="BM710" s="35"/>
      <c r="BN710" s="35"/>
      <c r="BO710" s="86"/>
    </row>
    <row r="711" spans="1:67" ht="16.5" thickBot="1" x14ac:dyDescent="0.3">
      <c r="A711" s="520">
        <f>IFERROR(VLOOKUP($G$5,'רשימת רשויות'!A:C,3,0),0)</f>
        <v>0</v>
      </c>
      <c r="B711" s="520">
        <f t="shared" si="92"/>
        <v>0</v>
      </c>
      <c r="D711" s="1134"/>
      <c r="E711" s="1137"/>
      <c r="F711" s="587" t="s">
        <v>17</v>
      </c>
      <c r="G711" s="113"/>
      <c r="H711" s="92"/>
      <c r="I711" s="114"/>
      <c r="J711" s="115"/>
      <c r="K711" s="116"/>
      <c r="L711" s="406"/>
      <c r="M711" s="116"/>
      <c r="N711" s="116"/>
      <c r="O711" s="116"/>
      <c r="P711" s="474"/>
      <c r="Q711" s="607"/>
      <c r="R711" s="608"/>
      <c r="S711" s="612"/>
      <c r="T711" s="881"/>
      <c r="U711" s="598"/>
      <c r="V711" s="599"/>
      <c r="W711" s="599"/>
      <c r="X711" s="599"/>
      <c r="Y711" s="879"/>
      <c r="Z711" s="106"/>
      <c r="AI711" s="40"/>
      <c r="BO711" s="86"/>
    </row>
    <row r="712" spans="1:67" ht="47.25" x14ac:dyDescent="0.25">
      <c r="A712" s="520">
        <f>IFERROR(VLOOKUP($G$5,'רשימת רשויות'!A:C,3,0),0)</f>
        <v>0</v>
      </c>
      <c r="B712" s="520">
        <f t="shared" si="92"/>
        <v>0</v>
      </c>
      <c r="D712" s="1134"/>
      <c r="E712" s="1137"/>
      <c r="F712" s="588" t="s">
        <v>2</v>
      </c>
      <c r="G712" s="95" t="s">
        <v>18</v>
      </c>
      <c r="H712" s="95" t="s">
        <v>19</v>
      </c>
      <c r="I712" s="95" t="s">
        <v>20</v>
      </c>
      <c r="J712" s="95" t="s">
        <v>22</v>
      </c>
      <c r="K712" s="96" t="s">
        <v>2314</v>
      </c>
      <c r="L712" s="609"/>
      <c r="M712" s="609"/>
      <c r="N712" s="609"/>
      <c r="O712" s="580"/>
      <c r="P712" s="618" t="s">
        <v>2298</v>
      </c>
      <c r="Q712" s="618" t="s">
        <v>2299</v>
      </c>
      <c r="R712" s="596"/>
      <c r="S712" s="890" t="s">
        <v>2519</v>
      </c>
      <c r="T712" s="890" t="s">
        <v>97</v>
      </c>
      <c r="U712" s="891" t="s">
        <v>2521</v>
      </c>
      <c r="V712" s="892" t="s">
        <v>2520</v>
      </c>
      <c r="W712" s="893" t="s">
        <v>2524</v>
      </c>
      <c r="X712" s="892" t="s">
        <v>2522</v>
      </c>
      <c r="Y712" s="894" t="s">
        <v>2523</v>
      </c>
      <c r="Z712" s="106"/>
      <c r="AC712" s="498" t="s">
        <v>2568</v>
      </c>
      <c r="AD712" s="499" t="s">
        <v>2569</v>
      </c>
      <c r="AF712" s="122"/>
      <c r="AI712" s="40"/>
      <c r="BO712" s="86"/>
    </row>
    <row r="713" spans="1:67" ht="15" customHeight="1" thickBot="1" x14ac:dyDescent="0.3">
      <c r="A713" s="520">
        <f>IFERROR(VLOOKUP($G$5,'רשימת רשויות'!A:C,3,0),0)</f>
        <v>0</v>
      </c>
      <c r="B713" s="520">
        <f t="shared" si="92"/>
        <v>0</v>
      </c>
      <c r="D713" s="1134"/>
      <c r="E713" s="1137"/>
      <c r="F713" s="589" t="s">
        <v>76</v>
      </c>
      <c r="G713" s="117">
        <f>IF(G704="תקין",SUMIF('עלויות כח אדם (6)'!$B$15:$B$3014,'בית ספר - תקצוב לפי מוסד (9)'!$G699,'עלויות כח אדם (6)'!$M$15:$M$3014)-VLOOKUP('בית ספר - תקצוב לפי מוסד (9)'!G699,' איוש משרות (8)'!$C:$H,5,0)-VLOOKUP('בית ספר - תקצוב לפי מוסד (9)'!G699,' איוש משרות (8)'!$C:$H,6,0),0)-Y713</f>
        <v>0</v>
      </c>
      <c r="H713" s="118">
        <f>I701+R708</f>
        <v>0</v>
      </c>
      <c r="I713" s="119">
        <f>IFERROR(SUM(G713)/H713,0)</f>
        <v>0</v>
      </c>
      <c r="J713" s="100">
        <f>MIN(I701+R708,IF(ISNUMBER(G713),G713,0))</f>
        <v>0</v>
      </c>
      <c r="K713" s="120">
        <f>MAX(H713-G713,0)</f>
        <v>0</v>
      </c>
      <c r="L713" s="407"/>
      <c r="M713" s="393"/>
      <c r="N713" s="393"/>
      <c r="O713" s="580"/>
      <c r="P713" s="968">
        <f>IFERROR(IF(SUM(G713)/(I701)&lt;100%,MIN((I701)-SUM(G713),(I701)*0.25),0),0)</f>
        <v>0</v>
      </c>
      <c r="Q713" s="968">
        <f>IF(SUM(G713)-(I701+R708)&gt;0,SUM(G713)-(I701+R708),0)</f>
        <v>0</v>
      </c>
      <c r="R713" s="596" t="s">
        <v>2351</v>
      </c>
      <c r="S713" s="576" t="s">
        <v>2342</v>
      </c>
      <c r="T713" s="599">
        <f>G699</f>
        <v>0</v>
      </c>
      <c r="U713" s="578"/>
      <c r="V713" s="579">
        <f>G713+G714+G715</f>
        <v>0</v>
      </c>
      <c r="W713" s="579">
        <f>U713-V713</f>
        <v>0</v>
      </c>
      <c r="X713" s="579">
        <f>IFERROR(W727*W713/(SUM(W713:W726)),0)</f>
        <v>0</v>
      </c>
      <c r="Y713" s="879">
        <f>SUMIFS(בקרה!$S:$S,בקרה!$D:$D,T713,בקרה!$K:$K,S713)</f>
        <v>0</v>
      </c>
      <c r="Z713" s="121"/>
      <c r="AA713" s="143"/>
      <c r="AB713" s="143"/>
      <c r="AC713" s="504">
        <v>0</v>
      </c>
      <c r="AD713" s="505">
        <f>IFERROR(U713-AC713,0)</f>
        <v>0</v>
      </c>
      <c r="AE713" s="143"/>
      <c r="AI713" s="20"/>
      <c r="BO713" s="86"/>
    </row>
    <row r="714" spans="1:67" ht="15" customHeight="1" thickBot="1" x14ac:dyDescent="0.3">
      <c r="A714" s="520">
        <f>IFERROR(VLOOKUP($G$5,'רשימת רשויות'!A:C,3,0),0)</f>
        <v>0</v>
      </c>
      <c r="B714" s="520">
        <f t="shared" si="92"/>
        <v>0</v>
      </c>
      <c r="D714" s="1134"/>
      <c r="E714" s="1137"/>
      <c r="F714" s="589" t="s">
        <v>44</v>
      </c>
      <c r="G714" s="123">
        <f>IF(G704="תקין",IFERROR(VLOOKUP('בית ספר - תקצוב לפי מוסד (9)'!G699,' איוש משרות (8)'!C:J,7,0),0),0)</f>
        <v>0</v>
      </c>
      <c r="H714" s="124">
        <f>I703+R710+J703</f>
        <v>0</v>
      </c>
      <c r="I714" s="119">
        <f>IFERROR(SUM(G714:G715)/H714,0)</f>
        <v>0</v>
      </c>
      <c r="J714" s="100">
        <f>MIN(R710+I703,IF(ISNUMBER(SUM(G714:G715)),SUM(G714:G715),0))</f>
        <v>0</v>
      </c>
      <c r="K714" s="1139">
        <f>MAX((H714)-(G714+G715),0)</f>
        <v>0</v>
      </c>
      <c r="L714" s="407"/>
      <c r="M714" s="393"/>
      <c r="N714" s="393"/>
      <c r="O714" s="580"/>
      <c r="P714" s="1140"/>
      <c r="Q714" s="1140"/>
      <c r="R714" s="617">
        <f>MAX(MIN(P722-Q722,H722*0.15-G720),0)</f>
        <v>0</v>
      </c>
      <c r="S714" s="576"/>
      <c r="T714" s="599">
        <f>G699</f>
        <v>0</v>
      </c>
      <c r="U714" s="578"/>
      <c r="V714" s="579"/>
      <c r="W714" s="579">
        <f t="shared" ref="W714:W726" si="99">U714-V714</f>
        <v>0</v>
      </c>
      <c r="X714" s="579"/>
      <c r="Y714" s="879"/>
      <c r="Z714" s="121"/>
      <c r="AA714" s="143"/>
      <c r="AB714" s="143"/>
      <c r="AC714" s="504"/>
      <c r="AD714" s="505">
        <f t="shared" ref="AD714:AD720" si="100">IFERROR(U714-AC714,0)</f>
        <v>0</v>
      </c>
      <c r="AE714" s="143"/>
      <c r="AI714" s="20"/>
      <c r="BO714" s="86"/>
    </row>
    <row r="715" spans="1:67" ht="15.75" customHeight="1" x14ac:dyDescent="0.25">
      <c r="A715" s="520">
        <f>IFERROR(VLOOKUP($G$5,'רשימת רשויות'!A:C,3,0),0)</f>
        <v>0</v>
      </c>
      <c r="B715" s="520">
        <f t="shared" si="92"/>
        <v>0</v>
      </c>
      <c r="D715" s="1134"/>
      <c r="E715" s="1137"/>
      <c r="F715" s="589" t="s">
        <v>45</v>
      </c>
      <c r="G715" s="123">
        <f>IF(G704="תקין",IFERROR(VLOOKUP('בית ספר - תקצוב לפי מוסד (9)'!G699,' איוש משרות (8)'!C:J,8,0),0),0)</f>
        <v>0</v>
      </c>
      <c r="H715" s="125"/>
      <c r="I715" s="126"/>
      <c r="J715" s="104"/>
      <c r="K715" s="1139"/>
      <c r="L715" s="407"/>
      <c r="M715" s="393"/>
      <c r="N715" s="393"/>
      <c r="O715" s="580"/>
      <c r="P715" s="1140"/>
      <c r="Q715" s="1140"/>
      <c r="R715" s="596"/>
      <c r="S715" s="576"/>
      <c r="T715" s="599">
        <f>G699</f>
        <v>0</v>
      </c>
      <c r="U715" s="578"/>
      <c r="V715" s="579"/>
      <c r="W715" s="579">
        <f t="shared" si="99"/>
        <v>0</v>
      </c>
      <c r="X715" s="579"/>
      <c r="Y715" s="879"/>
      <c r="Z715" s="121"/>
      <c r="AA715" s="143"/>
      <c r="AB715" s="143"/>
      <c r="AC715" s="504"/>
      <c r="AD715" s="505">
        <f t="shared" si="100"/>
        <v>0</v>
      </c>
      <c r="AE715" s="143"/>
      <c r="AG715" s="55"/>
      <c r="AH715" s="55"/>
      <c r="AI715" s="55"/>
      <c r="AJ715" s="55"/>
      <c r="AK715" s="55"/>
      <c r="BO715" s="86"/>
    </row>
    <row r="716" spans="1:67" ht="15.75" customHeight="1" x14ac:dyDescent="0.25">
      <c r="A716" s="520">
        <f>IFERROR(VLOOKUP($G$5,'רשימת רשויות'!A:C,3,0),0)</f>
        <v>0</v>
      </c>
      <c r="B716" s="520">
        <f t="shared" si="92"/>
        <v>0</v>
      </c>
      <c r="D716" s="1134"/>
      <c r="E716" s="1137"/>
      <c r="F716" s="589" t="s">
        <v>0</v>
      </c>
      <c r="G716" s="117">
        <f>IF(G704="תקין",SUMIFS('דוח הוצאות בפועל (4)'!$E$17:$E$3016,'דוח הוצאות בפועל (4)'!$B$17:$B$3016,'בית ספר - תקצוב לפי מוסד (9)'!$G699,'דוח הוצאות בפועל (4)'!$M$17:$M$3016,"הע"),0)-Y716</f>
        <v>0</v>
      </c>
      <c r="H716" s="127">
        <f>J701</f>
        <v>0</v>
      </c>
      <c r="I716" s="128">
        <f>IFERROR(G716/H716,0)</f>
        <v>0</v>
      </c>
      <c r="J716" s="129">
        <f>MIN(IF(ISNUMBER(G716),G716,0),H716)</f>
        <v>0</v>
      </c>
      <c r="K716" s="120">
        <f>MAX(H716-G716,0)</f>
        <v>0</v>
      </c>
      <c r="L716" s="407"/>
      <c r="M716" s="393"/>
      <c r="N716" s="393"/>
      <c r="O716" s="580"/>
      <c r="P716" s="968">
        <f>MAX(IF(I716&lt;100%,MIN((H716-G716),H716*0.25),0),0)</f>
        <v>0</v>
      </c>
      <c r="Q716" s="619">
        <f>IF(G716-H716&gt;0,G716-H716,0)</f>
        <v>0</v>
      </c>
      <c r="R716" s="596"/>
      <c r="S716" s="610" t="s">
        <v>0</v>
      </c>
      <c r="T716" s="599">
        <f>G699</f>
        <v>0</v>
      </c>
      <c r="U716" s="578"/>
      <c r="V716" s="579">
        <f>G716</f>
        <v>0</v>
      </c>
      <c r="W716" s="579">
        <f t="shared" si="99"/>
        <v>0</v>
      </c>
      <c r="X716" s="579">
        <f>IFERROR(W727*W716/(SUM(W713:W726)),0)</f>
        <v>0</v>
      </c>
      <c r="Y716" s="879">
        <f>SUMIFS(בקרה!$S:$S,בקרה!$D:$D,T716,בקרה!$K:$K,S716)</f>
        <v>0</v>
      </c>
      <c r="Z716" s="121"/>
      <c r="AA716" s="143"/>
      <c r="AB716" s="143"/>
      <c r="AC716" s="504">
        <v>0</v>
      </c>
      <c r="AD716" s="505">
        <f t="shared" si="100"/>
        <v>0</v>
      </c>
      <c r="AE716" s="143"/>
      <c r="AG716" s="55"/>
      <c r="AH716" s="55"/>
      <c r="AI716" s="40"/>
      <c r="AJ716" s="55"/>
      <c r="AK716" s="55"/>
      <c r="BO716" s="86"/>
    </row>
    <row r="717" spans="1:67" s="55" customFormat="1" ht="15.75" customHeight="1" x14ac:dyDescent="0.25">
      <c r="A717" s="520">
        <f>IFERROR(VLOOKUP($G$5,'רשימת רשויות'!A:C,3,0),0)</f>
        <v>0</v>
      </c>
      <c r="B717" s="520">
        <f t="shared" si="92"/>
        <v>0</v>
      </c>
      <c r="C717" s="39"/>
      <c r="D717" s="1134"/>
      <c r="E717" s="1137"/>
      <c r="F717" s="589" t="s">
        <v>93</v>
      </c>
      <c r="G717" s="130">
        <f>IF(G704="תקין",SUMIFS('דוח הוצאות בפועל (4)'!$E$17:$E$3016,'דוח הוצאות בפועל (4)'!$B$17:$B$3016,'בית ספר - תקצוב לפי מוסד (9)'!$G699,'דוח הוצאות בפועל (4)'!$M$17:$M$3016,"אר"),0)-Y717</f>
        <v>0</v>
      </c>
      <c r="H717" s="118">
        <f>$I707</f>
        <v>0</v>
      </c>
      <c r="I717" s="131">
        <f>IFERROR((G717+G718)/H717,0)</f>
        <v>0</v>
      </c>
      <c r="J717" s="100">
        <f>MIN((IF(ISNUMBER(G717),G717,0)+IF(ISNUMBER(G718),G718,0)),H717)</f>
        <v>0</v>
      </c>
      <c r="K717" s="1139">
        <f>MAX((H717)-(G717+G718),0)</f>
        <v>0</v>
      </c>
      <c r="L717" s="407"/>
      <c r="M717" s="393"/>
      <c r="N717" s="393"/>
      <c r="O717" s="602"/>
      <c r="P717" s="1141"/>
      <c r="Q717" s="1142"/>
      <c r="R717" s="596"/>
      <c r="S717" s="610" t="s">
        <v>93</v>
      </c>
      <c r="T717" s="599">
        <f>G699</f>
        <v>0</v>
      </c>
      <c r="U717" s="578"/>
      <c r="V717" s="579">
        <f t="shared" ref="V717:V718" si="101">G717</f>
        <v>0</v>
      </c>
      <c r="W717" s="579">
        <f t="shared" si="99"/>
        <v>0</v>
      </c>
      <c r="X717" s="579">
        <f>IFERROR(W727*W717/(SUM(W713:W726)),0)</f>
        <v>0</v>
      </c>
      <c r="Y717" s="879">
        <f>SUMIFS(בקרה!$S:$S,בקרה!$D:$D,T717,בקרה!$K:$K,S717)</f>
        <v>0</v>
      </c>
      <c r="Z717" s="121"/>
      <c r="AA717" s="143"/>
      <c r="AB717" s="143"/>
      <c r="AC717" s="504">
        <v>0</v>
      </c>
      <c r="AD717" s="505">
        <f t="shared" si="100"/>
        <v>0</v>
      </c>
      <c r="AE717" s="143"/>
      <c r="AJ717" s="22"/>
      <c r="AO717" s="22"/>
      <c r="AP717" s="22"/>
      <c r="AQ717" s="22"/>
      <c r="AR717" s="22"/>
      <c r="AS717" s="22"/>
      <c r="AT717" s="22"/>
      <c r="AU717" s="35"/>
      <c r="AV717" s="35"/>
      <c r="AW717" s="35"/>
      <c r="AX717" s="35"/>
      <c r="AY717" s="35"/>
      <c r="AZ717" s="35"/>
      <c r="BA717" s="35"/>
      <c r="BB717" s="35"/>
      <c r="BC717" s="35"/>
      <c r="BD717" s="35"/>
      <c r="BE717" s="35"/>
      <c r="BF717" s="35"/>
      <c r="BG717" s="35"/>
      <c r="BH717" s="35"/>
      <c r="BI717" s="35"/>
      <c r="BJ717" s="35"/>
      <c r="BK717" s="35"/>
      <c r="BL717" s="35"/>
      <c r="BM717" s="35"/>
      <c r="BN717" s="35"/>
      <c r="BO717" s="86"/>
    </row>
    <row r="718" spans="1:67" s="55" customFormat="1" ht="15.75" customHeight="1" x14ac:dyDescent="0.25">
      <c r="A718" s="520">
        <f>IFERROR(VLOOKUP($G$5,'רשימת רשויות'!A:C,3,0),0)</f>
        <v>0</v>
      </c>
      <c r="B718" s="520">
        <f t="shared" ref="B718:B781" si="102">IF(F719="סמל המוסד",G719,B717)</f>
        <v>0</v>
      </c>
      <c r="C718" s="39"/>
      <c r="D718" s="1134"/>
      <c r="E718" s="1137"/>
      <c r="F718" s="589" t="s">
        <v>46</v>
      </c>
      <c r="G718" s="130">
        <f>IF(G704="תקין",SUMIFS('דוח הוצאות בפועל (4)'!$E$17:$E$3016,'דוח הוצאות בפועל (4)'!$B$17:$B$3016,'בית ספר - תקצוב לפי מוסד (9)'!$G699,'דוח הוצאות בפועל (4)'!$M$17:$M$3016,"מל"),0)-Y718</f>
        <v>0</v>
      </c>
      <c r="H718" s="132"/>
      <c r="I718" s="133"/>
      <c r="J718" s="104"/>
      <c r="K718" s="1139"/>
      <c r="L718" s="407"/>
      <c r="M718" s="393"/>
      <c r="N718" s="393"/>
      <c r="O718" s="602"/>
      <c r="P718" s="1141"/>
      <c r="Q718" s="1142"/>
      <c r="R718" s="596"/>
      <c r="S718" s="610" t="s">
        <v>46</v>
      </c>
      <c r="T718" s="599">
        <f>G699</f>
        <v>0</v>
      </c>
      <c r="U718" s="578"/>
      <c r="V718" s="579">
        <f t="shared" si="101"/>
        <v>0</v>
      </c>
      <c r="W718" s="579">
        <f t="shared" si="99"/>
        <v>0</v>
      </c>
      <c r="X718" s="579">
        <f>IFERROR(W727*W718/(SUM(W713:W726)),0)</f>
        <v>0</v>
      </c>
      <c r="Y718" s="879">
        <f>SUMIFS(בקרה!$S:$S,בקרה!$D:$D,T718,בקרה!$K:$K,S718)</f>
        <v>0</v>
      </c>
      <c r="Z718" s="121"/>
      <c r="AA718" s="143"/>
      <c r="AB718" s="143"/>
      <c r="AC718" s="504">
        <v>0</v>
      </c>
      <c r="AD718" s="505">
        <f t="shared" si="100"/>
        <v>0</v>
      </c>
      <c r="AE718" s="143"/>
      <c r="AJ718" s="22"/>
      <c r="AO718" s="22"/>
      <c r="AP718" s="22"/>
      <c r="AQ718" s="22"/>
      <c r="AR718" s="22"/>
      <c r="AS718" s="22"/>
      <c r="AT718" s="22"/>
      <c r="AU718" s="35"/>
      <c r="AV718" s="35"/>
      <c r="AW718" s="35"/>
      <c r="AX718" s="35"/>
      <c r="AY718" s="35"/>
      <c r="AZ718" s="35"/>
      <c r="BA718" s="35"/>
      <c r="BB718" s="35"/>
      <c r="BC718" s="35"/>
      <c r="BD718" s="35"/>
      <c r="BE718" s="35"/>
      <c r="BF718" s="35"/>
      <c r="BG718" s="35"/>
      <c r="BH718" s="35"/>
      <c r="BI718" s="35"/>
      <c r="BJ718" s="35"/>
      <c r="BK718" s="35"/>
      <c r="BL718" s="35"/>
      <c r="BM718" s="35"/>
      <c r="BN718" s="35"/>
      <c r="BO718" s="86"/>
    </row>
    <row r="719" spans="1:67" s="55" customFormat="1" ht="15" customHeight="1" x14ac:dyDescent="0.25">
      <c r="A719" s="520">
        <f>IFERROR(VLOOKUP($G$5,'רשימת רשויות'!A:C,3,0),0)</f>
        <v>0</v>
      </c>
      <c r="B719" s="520">
        <f t="shared" si="102"/>
        <v>0</v>
      </c>
      <c r="C719" s="39"/>
      <c r="D719" s="1134"/>
      <c r="E719" s="1137"/>
      <c r="F719" s="591" t="s">
        <v>23</v>
      </c>
      <c r="G719" s="134">
        <f>SUM(G713:G718)</f>
        <v>0</v>
      </c>
      <c r="H719" s="135">
        <f>SUM(H713:H718)</f>
        <v>0</v>
      </c>
      <c r="I719" s="128">
        <f>IFERROR(G719/H719,0)</f>
        <v>0</v>
      </c>
      <c r="J719" s="136">
        <f>SUM(J713:J718)</f>
        <v>0</v>
      </c>
      <c r="K719" s="137">
        <f>SUM(K713:K718)</f>
        <v>0</v>
      </c>
      <c r="L719" s="408"/>
      <c r="M719" s="394"/>
      <c r="N719" s="394"/>
      <c r="O719" s="602"/>
      <c r="P719" s="620">
        <f>SUM(P713:P718)</f>
        <v>0</v>
      </c>
      <c r="Q719" s="620">
        <f>SUM(Q713:Q718)</f>
        <v>0</v>
      </c>
      <c r="R719" s="596"/>
      <c r="S719" s="610"/>
      <c r="T719" s="599">
        <f>G699</f>
        <v>0</v>
      </c>
      <c r="U719" s="578"/>
      <c r="V719" s="579"/>
      <c r="W719" s="579">
        <f t="shared" si="99"/>
        <v>0</v>
      </c>
      <c r="X719" s="579"/>
      <c r="Y719" s="879"/>
      <c r="Z719" s="121"/>
      <c r="AA719" s="143"/>
      <c r="AB719" s="143"/>
      <c r="AC719" s="504"/>
      <c r="AD719" s="505">
        <f t="shared" si="100"/>
        <v>0</v>
      </c>
      <c r="AE719" s="143"/>
      <c r="AJ719" s="22"/>
      <c r="AL719" s="22"/>
      <c r="AM719" s="22"/>
      <c r="AN719" s="22"/>
      <c r="AO719" s="22"/>
      <c r="AP719" s="22"/>
      <c r="AQ719" s="22"/>
      <c r="AR719" s="22"/>
      <c r="AS719" s="22"/>
      <c r="AT719" s="22"/>
      <c r="AU719" s="35"/>
      <c r="AV719" s="35"/>
      <c r="AW719" s="35"/>
      <c r="AX719" s="35"/>
      <c r="AY719" s="35"/>
      <c r="AZ719" s="35"/>
      <c r="BA719" s="35"/>
      <c r="BB719" s="35"/>
      <c r="BC719" s="35"/>
      <c r="BD719" s="35"/>
      <c r="BE719" s="35"/>
      <c r="BF719" s="35"/>
      <c r="BG719" s="35"/>
      <c r="BH719" s="35"/>
      <c r="BI719" s="35"/>
      <c r="BJ719" s="35"/>
      <c r="BK719" s="35"/>
      <c r="BL719" s="35"/>
      <c r="BM719" s="35"/>
      <c r="BN719" s="35"/>
      <c r="BO719" s="86"/>
    </row>
    <row r="720" spans="1:67" s="55" customFormat="1" ht="15" customHeight="1" x14ac:dyDescent="0.25">
      <c r="A720" s="520">
        <f>IFERROR(VLOOKUP($G$5,'רשימת רשויות'!A:C,3,0),0)</f>
        <v>0</v>
      </c>
      <c r="B720" s="520">
        <f t="shared" si="102"/>
        <v>0</v>
      </c>
      <c r="C720" s="39"/>
      <c r="D720" s="1134"/>
      <c r="E720" s="1137"/>
      <c r="F720" s="589" t="s">
        <v>3</v>
      </c>
      <c r="G720" s="117">
        <f>IF(G704="תקין",SUMIFS('דוח הוצאות בפועל (4)'!$E$17:$E$3016,'דוח הוצאות בפועל (4)'!$B$17:$B$3016,'בית ספר - תקצוב לפי מוסד (9)'!$G699,'דוח הוצאות בפועל (4)'!$M$17:$M$3016,"ני")+SUMIFS('דוח הוצאות בפועל (4)'!$E$17:$E$3016,'דוח הוצאות בפועל (4)'!$B$17:$B$3016,'בית ספר - תקצוב לפי מוסד (9)'!$G699,'דוח הוצאות בפועל (4)'!$M$17:$M$3016,"על"),0)-Y720</f>
        <v>0</v>
      </c>
      <c r="H720" s="117">
        <f>H701</f>
        <v>0</v>
      </c>
      <c r="I720" s="138">
        <f>IFERROR(G720/H720,0)</f>
        <v>0</v>
      </c>
      <c r="J720" s="117">
        <f>IFERROR(IF(G720/H722&gt;0.15,MIN(H722*0.15,H720),MIN(H720,IF(ISNUMBER(G720),G720,0))),0)</f>
        <v>0</v>
      </c>
      <c r="K720" s="120">
        <f>MAX(H720-G720,0)</f>
        <v>0</v>
      </c>
      <c r="L720" s="407"/>
      <c r="M720" s="393"/>
      <c r="N720" s="393"/>
      <c r="O720" s="602"/>
      <c r="P720" s="620">
        <f>IF(I720&lt;100%,MIN(H720-G720,H720*0.25),0)</f>
        <v>0</v>
      </c>
      <c r="Q720" s="620">
        <f>MAX(MIN(IF(G720-H720&gt;0,G720-H720,0),$H722*0.15-H720-J721),0)</f>
        <v>0</v>
      </c>
      <c r="R720" s="596"/>
      <c r="S720" s="610" t="s">
        <v>3</v>
      </c>
      <c r="T720" s="599">
        <f>G699</f>
        <v>0</v>
      </c>
      <c r="U720" s="578"/>
      <c r="V720" s="579">
        <f t="shared" ref="V720" si="103">G720</f>
        <v>0</v>
      </c>
      <c r="W720" s="579">
        <f t="shared" si="99"/>
        <v>0</v>
      </c>
      <c r="X720" s="579"/>
      <c r="Y720" s="879"/>
      <c r="Z720" s="121"/>
      <c r="AA720" s="143"/>
      <c r="AB720" s="143"/>
      <c r="AC720" s="504">
        <v>0</v>
      </c>
      <c r="AD720" s="505">
        <f t="shared" si="100"/>
        <v>0</v>
      </c>
      <c r="AE720" s="143"/>
      <c r="AG720" s="22"/>
      <c r="AH720" s="22"/>
      <c r="AI720" s="22"/>
      <c r="AJ720" s="22"/>
      <c r="AK720" s="22"/>
      <c r="AL720" s="22"/>
      <c r="AM720" s="22"/>
      <c r="AN720" s="22"/>
      <c r="AO720" s="22"/>
      <c r="AP720" s="22"/>
      <c r="AQ720" s="22"/>
      <c r="AR720" s="22"/>
      <c r="AS720" s="22"/>
      <c r="AT720" s="22"/>
      <c r="AU720" s="35"/>
      <c r="AV720" s="35"/>
      <c r="AW720" s="35"/>
      <c r="AX720" s="35"/>
      <c r="AY720" s="35"/>
      <c r="AZ720" s="35"/>
      <c r="BA720" s="35"/>
      <c r="BB720" s="35"/>
      <c r="BC720" s="35"/>
      <c r="BD720" s="35"/>
      <c r="BE720" s="35"/>
      <c r="BF720" s="35"/>
      <c r="BG720" s="35"/>
      <c r="BH720" s="35"/>
      <c r="BI720" s="35"/>
      <c r="BJ720" s="35"/>
      <c r="BK720" s="35"/>
      <c r="BL720" s="35"/>
      <c r="BM720" s="35"/>
      <c r="BN720" s="35"/>
      <c r="BO720" s="86"/>
    </row>
    <row r="721" spans="1:67" s="55" customFormat="1" ht="15.75" customHeight="1" x14ac:dyDescent="0.25">
      <c r="A721" s="520">
        <f>IFERROR(VLOOKUP($G$5,'רשימת רשויות'!A:C,3,0),0)</f>
        <v>0</v>
      </c>
      <c r="B721" s="520">
        <f t="shared" si="102"/>
        <v>0</v>
      </c>
      <c r="C721" s="39"/>
      <c r="D721" s="1134"/>
      <c r="E721" s="1137"/>
      <c r="F721" s="589" t="s">
        <v>2918</v>
      </c>
      <c r="G721" s="117">
        <f>0.07*(G715+G714)</f>
        <v>0</v>
      </c>
      <c r="H721" s="117">
        <f>H703</f>
        <v>0</v>
      </c>
      <c r="I721" s="138">
        <f>IFERROR(G721/H721,0)</f>
        <v>0</v>
      </c>
      <c r="J721" s="117">
        <f>IFERROR(MIN(0.07*(G714+G715),0.07*I703),0)</f>
        <v>0</v>
      </c>
      <c r="K721" s="120">
        <f>MAX(H721-G721,0)</f>
        <v>0</v>
      </c>
      <c r="L721" s="407"/>
      <c r="M721" s="393"/>
      <c r="N721" s="393"/>
      <c r="O721" s="602"/>
      <c r="P721" s="620"/>
      <c r="Q721" s="619"/>
      <c r="R721" s="596"/>
      <c r="S721" s="611"/>
      <c r="T721" s="599">
        <f>G699</f>
        <v>0</v>
      </c>
      <c r="U721" s="578"/>
      <c r="V721" s="579"/>
      <c r="W721" s="579">
        <f t="shared" si="99"/>
        <v>0</v>
      </c>
      <c r="X721" s="579"/>
      <c r="Y721" s="879"/>
      <c r="Z721" s="121"/>
      <c r="AA721" s="143"/>
      <c r="AB721" s="143"/>
      <c r="AC721" s="504"/>
      <c r="AD721" s="505"/>
      <c r="AE721" s="143"/>
      <c r="AF721" s="140"/>
      <c r="AG721" s="22"/>
      <c r="AH721" s="22"/>
      <c r="AI721" s="22"/>
      <c r="AJ721" s="22"/>
      <c r="AK721" s="22"/>
      <c r="AL721" s="22"/>
      <c r="AM721" s="22"/>
      <c r="AN721" s="22"/>
      <c r="AO721" s="22"/>
      <c r="AP721" s="22"/>
      <c r="AQ721" s="22"/>
      <c r="AR721" s="22"/>
      <c r="AS721" s="22"/>
      <c r="AT721" s="22"/>
      <c r="AU721" s="35"/>
      <c r="AV721" s="35"/>
      <c r="AW721" s="35"/>
      <c r="AX721" s="35"/>
      <c r="AY721" s="35"/>
      <c r="AZ721" s="35"/>
      <c r="BA721" s="35"/>
      <c r="BB721" s="35"/>
      <c r="BC721" s="35"/>
      <c r="BD721" s="35"/>
      <c r="BE721" s="35"/>
      <c r="BF721" s="35"/>
      <c r="BG721" s="35"/>
      <c r="BH721" s="35"/>
      <c r="BI721" s="35"/>
      <c r="BJ721" s="35"/>
      <c r="BK721" s="35"/>
      <c r="BL721" s="35"/>
      <c r="BM721" s="35"/>
      <c r="BN721" s="35"/>
      <c r="BO721" s="86"/>
    </row>
    <row r="722" spans="1:67" ht="15.75" customHeight="1" x14ac:dyDescent="0.25">
      <c r="A722" s="520">
        <f>IFERROR(VLOOKUP($G$5,'רשימת רשויות'!A:C,3,0),0)</f>
        <v>0</v>
      </c>
      <c r="B722" s="520">
        <f t="shared" si="102"/>
        <v>0</v>
      </c>
      <c r="D722" s="1134"/>
      <c r="E722" s="1137"/>
      <c r="F722" s="591" t="s">
        <v>15</v>
      </c>
      <c r="G722" s="134">
        <f>G719+G720+G721</f>
        <v>0</v>
      </c>
      <c r="H722" s="134">
        <f>H719+H720+H721</f>
        <v>0</v>
      </c>
      <c r="I722" s="138">
        <f>IFERROR(G722/H722,0)</f>
        <v>0</v>
      </c>
      <c r="J722" s="139">
        <f>J719+J720+J721</f>
        <v>0</v>
      </c>
      <c r="K722" s="137">
        <f>K720+K719+K721</f>
        <v>0</v>
      </c>
      <c r="L722" s="408"/>
      <c r="M722" s="394"/>
      <c r="N722" s="394"/>
      <c r="O722" s="602"/>
      <c r="P722" s="621">
        <f>SUM(P719:P720)</f>
        <v>0</v>
      </c>
      <c r="Q722" s="622">
        <f>Q719+Q720</f>
        <v>0</v>
      </c>
      <c r="R722" s="596"/>
      <c r="S722" s="611"/>
      <c r="T722" s="599">
        <f>G699</f>
        <v>0</v>
      </c>
      <c r="U722" s="578"/>
      <c r="V722" s="579"/>
      <c r="W722" s="579">
        <f t="shared" si="99"/>
        <v>0</v>
      </c>
      <c r="X722" s="579"/>
      <c r="Y722" s="879"/>
      <c r="Z722" s="106"/>
      <c r="AC722" s="504"/>
      <c r="AD722" s="505"/>
      <c r="AH722" s="143"/>
      <c r="BO722" s="86"/>
    </row>
    <row r="723" spans="1:67" ht="15.75" customHeight="1" x14ac:dyDescent="0.25">
      <c r="A723" s="520">
        <f>IFERROR(VLOOKUP($G$5,'רשימת רשויות'!A:C,3,0),0)</f>
        <v>0</v>
      </c>
      <c r="B723" s="520">
        <f t="shared" si="102"/>
        <v>0</v>
      </c>
      <c r="D723" s="1134"/>
      <c r="E723" s="1137"/>
      <c r="F723" s="589" t="s">
        <v>2261</v>
      </c>
      <c r="G723" s="117">
        <f>IF(G704="תקין",SUMIF('תשלומי הורים ומלגות להורים (5) '!$B$18:$B$517,$G699,'תשלומי הורים ומלגות להורים (5) '!$C$18:$C$517),0)</f>
        <v>0</v>
      </c>
      <c r="H723" s="117">
        <f>(G702+G703)*$G$7</f>
        <v>0</v>
      </c>
      <c r="I723" s="141"/>
      <c r="J723" s="141"/>
      <c r="K723" s="142"/>
      <c r="L723" s="395"/>
      <c r="M723" s="395"/>
      <c r="N723" s="395"/>
      <c r="O723" s="602"/>
      <c r="P723" s="623"/>
      <c r="Q723" s="619"/>
      <c r="R723" s="596"/>
      <c r="S723" s="612"/>
      <c r="T723" s="599">
        <f>G699</f>
        <v>0</v>
      </c>
      <c r="U723" s="578"/>
      <c r="V723" s="579"/>
      <c r="W723" s="579">
        <f t="shared" si="99"/>
        <v>0</v>
      </c>
      <c r="X723" s="579"/>
      <c r="Y723" s="879"/>
      <c r="Z723" s="121"/>
      <c r="AA723" s="143"/>
      <c r="AB723" s="143"/>
      <c r="AC723" s="504"/>
      <c r="AD723" s="505"/>
      <c r="AE723" s="143"/>
      <c r="AF723" s="148"/>
      <c r="BO723" s="86"/>
    </row>
    <row r="724" spans="1:67" ht="15.75" customHeight="1" thickBot="1" x14ac:dyDescent="0.3">
      <c r="A724" s="520">
        <f>IFERROR(VLOOKUP($G$5,'רשימת רשויות'!A:C,3,0),0)</f>
        <v>0</v>
      </c>
      <c r="B724" s="520">
        <f t="shared" si="102"/>
        <v>0</v>
      </c>
      <c r="D724" s="1134"/>
      <c r="E724" s="1137"/>
      <c r="F724" s="592" t="s">
        <v>21</v>
      </c>
      <c r="G724" s="144">
        <f>G722-G723</f>
        <v>0</v>
      </c>
      <c r="H724" s="144">
        <f>H722-H723</f>
        <v>0</v>
      </c>
      <c r="I724" s="145"/>
      <c r="J724" s="145"/>
      <c r="K724" s="146"/>
      <c r="L724" s="396"/>
      <c r="M724" s="396"/>
      <c r="N724" s="396"/>
      <c r="O724" s="602"/>
      <c r="P724" s="619"/>
      <c r="Q724" s="619"/>
      <c r="R724" s="596"/>
      <c r="S724" s="612"/>
      <c r="T724" s="599">
        <f>G699</f>
        <v>0</v>
      </c>
      <c r="U724" s="578"/>
      <c r="V724" s="579"/>
      <c r="W724" s="579">
        <f t="shared" si="99"/>
        <v>0</v>
      </c>
      <c r="X724" s="579"/>
      <c r="Y724" s="879"/>
      <c r="Z724" s="147"/>
      <c r="AA724" s="148"/>
      <c r="AB724" s="148"/>
      <c r="AC724" s="504"/>
      <c r="AD724" s="505"/>
      <c r="AE724" s="148"/>
      <c r="AF724" s="148"/>
      <c r="BO724" s="86"/>
    </row>
    <row r="725" spans="1:67" ht="15.75" customHeight="1" thickBot="1" x14ac:dyDescent="0.3">
      <c r="A725" s="520">
        <f>IFERROR(VLOOKUP($G$5,'רשימת רשויות'!A:C,3,0),0)</f>
        <v>0</v>
      </c>
      <c r="B725" s="520">
        <f t="shared" si="102"/>
        <v>0</v>
      </c>
      <c r="D725" s="1134"/>
      <c r="E725" s="1137"/>
      <c r="F725" s="580"/>
      <c r="G725" s="580"/>
      <c r="H725" s="147"/>
      <c r="I725" s="149" t="s">
        <v>2197</v>
      </c>
      <c r="J725" s="150">
        <f>MAX(MIN(P722,Q722),0)</f>
        <v>0</v>
      </c>
      <c r="K725" s="580"/>
      <c r="L725" s="580"/>
      <c r="M725" s="580"/>
      <c r="N725" s="580"/>
      <c r="O725" s="580"/>
      <c r="P725" s="615" t="s">
        <v>2317</v>
      </c>
      <c r="Q725" s="624">
        <f>SUM(Q726:Q727)</f>
        <v>0</v>
      </c>
      <c r="R725" s="596"/>
      <c r="S725" s="612"/>
      <c r="T725" s="599">
        <f>G699</f>
        <v>0</v>
      </c>
      <c r="U725" s="578"/>
      <c r="V725" s="579"/>
      <c r="W725" s="579">
        <f t="shared" si="99"/>
        <v>0</v>
      </c>
      <c r="X725" s="579"/>
      <c r="Y725" s="879"/>
      <c r="Z725" s="106"/>
      <c r="AC725" s="504"/>
      <c r="AD725" s="505"/>
      <c r="AF725" s="148"/>
      <c r="BO725" s="86"/>
    </row>
    <row r="726" spans="1:67" ht="16.5" thickBot="1" x14ac:dyDescent="0.3">
      <c r="A726" s="520">
        <f>IFERROR(VLOOKUP($G$5,'רשימת רשויות'!A:C,3,0),0)</f>
        <v>0</v>
      </c>
      <c r="B726" s="520">
        <f t="shared" si="102"/>
        <v>0</v>
      </c>
      <c r="D726" s="1134"/>
      <c r="E726" s="1137"/>
      <c r="F726" s="580"/>
      <c r="G726" s="580"/>
      <c r="H726" s="580"/>
      <c r="I726" s="84" t="s">
        <v>2193</v>
      </c>
      <c r="J726" s="515" t="str">
        <f>IFERROR(1-H723/H722,"")</f>
        <v/>
      </c>
      <c r="K726" s="580"/>
      <c r="L726" s="580"/>
      <c r="M726" s="580"/>
      <c r="N726" s="580"/>
      <c r="O726" s="580"/>
      <c r="P726" s="615" t="s">
        <v>417</v>
      </c>
      <c r="Q726" s="616">
        <f>IFERROR(MAX(H724-I727-Q727,0),0)</f>
        <v>0</v>
      </c>
      <c r="R726" s="596"/>
      <c r="S726" s="600"/>
      <c r="T726" s="599">
        <f>G699</f>
        <v>0</v>
      </c>
      <c r="U726" s="578"/>
      <c r="V726" s="579"/>
      <c r="W726" s="579">
        <f t="shared" si="99"/>
        <v>0</v>
      </c>
      <c r="X726" s="579"/>
      <c r="Y726" s="879"/>
      <c r="Z726" s="106"/>
      <c r="AC726" s="504"/>
      <c r="AD726" s="505"/>
      <c r="BO726" s="86"/>
    </row>
    <row r="727" spans="1:67" ht="17.25" thickBot="1" x14ac:dyDescent="0.3">
      <c r="A727" s="520">
        <f>IFERROR(VLOOKUP($G$5,'רשימת רשויות'!A:C,3,0),0)</f>
        <v>0</v>
      </c>
      <c r="B727" s="520">
        <f t="shared" si="102"/>
        <v>0</v>
      </c>
      <c r="D727" s="1134"/>
      <c r="E727" s="1137"/>
      <c r="F727" s="1143" t="s">
        <v>2679</v>
      </c>
      <c r="G727" s="1143"/>
      <c r="H727" s="1143"/>
      <c r="I727" s="722">
        <f>IF(G704="לא תקין","לא קיימת זכאות לתקציב לאור אי איוש משרות רכז ו/או סגן רכז ",IFERROR(J726*(J725+J722),0))</f>
        <v>0</v>
      </c>
      <c r="J727" s="573"/>
      <c r="K727" s="574"/>
      <c r="L727" s="396"/>
      <c r="M727" s="574"/>
      <c r="N727" s="574"/>
      <c r="O727" s="574"/>
      <c r="P727" s="615" t="s">
        <v>2279</v>
      </c>
      <c r="Q727" s="616">
        <f>MAX(IF(AND(G722&gt;H722,I727&lt;H724),H724-I727,0),0)</f>
        <v>0</v>
      </c>
      <c r="R727" s="575"/>
      <c r="S727" s="576" t="s">
        <v>67</v>
      </c>
      <c r="T727" s="577">
        <f>G699</f>
        <v>0</v>
      </c>
      <c r="U727" s="578"/>
      <c r="V727" s="579">
        <f>I727</f>
        <v>0</v>
      </c>
      <c r="W727" s="579">
        <f>IFERROR(U727-V727,0)</f>
        <v>0</v>
      </c>
      <c r="X727" s="579">
        <f>SUM(X713:X726)</f>
        <v>0</v>
      </c>
      <c r="Y727" s="879"/>
      <c r="Z727" s="106"/>
      <c r="AC727" s="506">
        <v>0</v>
      </c>
      <c r="AD727" s="507">
        <f>IFERROR(U727-AC727,0)</f>
        <v>0</v>
      </c>
      <c r="BO727" s="86"/>
    </row>
    <row r="728" spans="1:67" ht="16.5" thickBot="1" x14ac:dyDescent="0.3">
      <c r="A728" s="520">
        <f>IFERROR(VLOOKUP($G$5,'רשימת רשויות'!A:C,3,0),0)</f>
        <v>0</v>
      </c>
      <c r="B728" s="520">
        <f t="shared" si="102"/>
        <v>0</v>
      </c>
      <c r="D728" s="1135"/>
      <c r="E728" s="1138"/>
      <c r="F728" s="1144" t="s">
        <v>2793</v>
      </c>
      <c r="G728" s="1145"/>
      <c r="H728" s="1145"/>
      <c r="I728" s="593">
        <f>IFERROR(IF(G704="תקין",SUMIFS('סייעות רפואיות או אישיות (7)'!$Q$17:Q$384,'סייעות רפואיות או אישיות (7)'!C$17:C$384,G699),0),0)</f>
        <v>0</v>
      </c>
      <c r="J728" s="151"/>
      <c r="K728" s="152"/>
      <c r="L728" s="409"/>
      <c r="M728" s="152"/>
      <c r="N728" s="152"/>
      <c r="O728" s="152"/>
      <c r="P728" s="613"/>
      <c r="Q728" s="614"/>
      <c r="R728" s="475"/>
      <c r="S728" s="489"/>
      <c r="T728" s="490"/>
      <c r="U728" s="491"/>
      <c r="V728" s="492"/>
      <c r="W728" s="492"/>
      <c r="X728" s="492"/>
      <c r="Y728" s="880"/>
      <c r="Z728" s="153"/>
      <c r="AC728" s="581"/>
      <c r="AD728" s="582"/>
      <c r="BO728" s="86"/>
    </row>
    <row r="729" spans="1:67" ht="34.5" thickBot="1" x14ac:dyDescent="0.55000000000000004">
      <c r="A729" s="520">
        <f>IFERROR(VLOOKUP($G$5,'רשימת רשויות'!A:C,3,0),0)</f>
        <v>0</v>
      </c>
      <c r="B729" s="520">
        <f t="shared" si="102"/>
        <v>0</v>
      </c>
      <c r="E729" s="154"/>
      <c r="I729" s="143"/>
      <c r="J729" s="148"/>
      <c r="O729" s="148"/>
      <c r="T729" s="481"/>
      <c r="BO729" s="86"/>
    </row>
    <row r="730" spans="1:67" s="20" customFormat="1" ht="16.5" customHeight="1" thickBot="1" x14ac:dyDescent="0.3">
      <c r="A730" s="520">
        <f>IFERROR(VLOOKUP($G$5,'רשימת רשויות'!A:C,3,0),0)</f>
        <v>0</v>
      </c>
      <c r="B730" s="520">
        <f t="shared" si="102"/>
        <v>0</v>
      </c>
      <c r="C730" s="39"/>
      <c r="D730" s="1133">
        <f>D699+1</f>
        <v>24</v>
      </c>
      <c r="E730" s="1136" t="str">
        <f>IFERROR(CONCATENATE("בית הספר ",VLOOKUP(G730,'מצבת והרשמה (2)'!$C$21:$D$520,2,0)," - ",$G$5),"")</f>
        <v>בית הספר המוסד לא קיים - 0</v>
      </c>
      <c r="F730" s="720" t="s">
        <v>146</v>
      </c>
      <c r="G730" s="721">
        <f>IFERROR(VLOOKUP(D:D,'דוח ביצוע (3)'!$A$21:$C$900,2,0),0)</f>
        <v>0</v>
      </c>
      <c r="H730" s="79"/>
      <c r="I730" s="80" t="s">
        <v>150</v>
      </c>
      <c r="J730" s="80"/>
      <c r="K730" s="81"/>
      <c r="L730" s="392"/>
      <c r="M730" s="392"/>
      <c r="N730" s="392"/>
      <c r="O730" s="82"/>
      <c r="P730" s="470"/>
      <c r="Q730" s="471"/>
      <c r="R730" s="472"/>
      <c r="S730" s="883"/>
      <c r="T730" s="884"/>
      <c r="U730" s="486"/>
      <c r="V730" s="487"/>
      <c r="W730" s="487"/>
      <c r="X730" s="487"/>
      <c r="Y730" s="885"/>
      <c r="Z730" s="83"/>
      <c r="AC730" s="502"/>
      <c r="AD730" s="503"/>
      <c r="AO730" s="22"/>
      <c r="AP730" s="22"/>
      <c r="AQ730" s="22"/>
      <c r="AR730" s="22"/>
      <c r="AS730" s="22"/>
      <c r="AT730" s="22"/>
      <c r="AU730" s="35"/>
      <c r="AV730" s="35"/>
      <c r="AW730" s="35"/>
      <c r="AX730" s="35"/>
      <c r="AY730" s="35"/>
      <c r="AZ730" s="35"/>
      <c r="BA730" s="35"/>
      <c r="BB730" s="35"/>
      <c r="BC730" s="35"/>
      <c r="BD730" s="35"/>
      <c r="BE730" s="35"/>
      <c r="BF730" s="35"/>
      <c r="BG730" s="35"/>
      <c r="BH730" s="35"/>
      <c r="BI730" s="35"/>
      <c r="BJ730" s="35"/>
      <c r="BK730" s="35"/>
      <c r="BL730" s="35"/>
      <c r="BM730" s="35"/>
      <c r="BN730" s="35"/>
      <c r="BO730" s="78"/>
    </row>
    <row r="731" spans="1:67" s="20" customFormat="1" ht="16.5" thickBot="1" x14ac:dyDescent="0.3">
      <c r="A731" s="520">
        <f>IFERROR(VLOOKUP($G$5,'רשימת רשויות'!A:C,3,0),0)</f>
        <v>0</v>
      </c>
      <c r="B731" s="520">
        <f t="shared" si="102"/>
        <v>0</v>
      </c>
      <c r="C731" s="39"/>
      <c r="D731" s="1134"/>
      <c r="E731" s="1137"/>
      <c r="F731" s="583" t="s">
        <v>145</v>
      </c>
      <c r="G731" s="516" t="str">
        <f>IFERROR(IF((G733+G734)=0,"",IF(VLOOKUP(G730,'דוח ביצוע (3)'!$B$21:$K$900,5,0)&gt;149,"גדול",IF(AND(VLOOKUP(G730,'דוח ביצוע (3)'!$B$21:$K$900,5,0)&gt;0,VLOOKUP(G730,'דוח ביצוע (3)'!$B$21:$K$900,5,0)&lt;150),"קטן",0))),"")</f>
        <v/>
      </c>
      <c r="H731" s="723" t="s">
        <v>88</v>
      </c>
      <c r="I731" s="723" t="s">
        <v>13</v>
      </c>
      <c r="J731" s="725" t="s">
        <v>14</v>
      </c>
      <c r="K731" s="724" t="s">
        <v>94</v>
      </c>
      <c r="L731" s="594"/>
      <c r="M731" s="420" t="s">
        <v>2584</v>
      </c>
      <c r="N731" s="397" t="s">
        <v>413</v>
      </c>
      <c r="O731" s="398" t="s">
        <v>52</v>
      </c>
      <c r="P731" s="595"/>
      <c r="Q731" s="595"/>
      <c r="R731" s="596"/>
      <c r="S731" s="610"/>
      <c r="T731" s="881"/>
      <c r="U731" s="598"/>
      <c r="V731" s="599"/>
      <c r="W731" s="599"/>
      <c r="X731" s="599"/>
      <c r="Y731" s="879"/>
      <c r="Z731" s="85"/>
      <c r="AC731" s="493"/>
      <c r="AD731" s="495"/>
      <c r="AO731" s="22"/>
      <c r="AP731" s="22"/>
      <c r="AQ731" s="22"/>
      <c r="AR731" s="22"/>
      <c r="AS731" s="22"/>
      <c r="AT731" s="22"/>
      <c r="AU731" s="35"/>
      <c r="AV731" s="35"/>
      <c r="AW731" s="35"/>
      <c r="AX731" s="35"/>
      <c r="AY731" s="35"/>
      <c r="AZ731" s="35"/>
      <c r="BA731" s="35"/>
      <c r="BB731" s="35"/>
      <c r="BC731" s="35"/>
      <c r="BD731" s="35"/>
      <c r="BE731" s="35"/>
      <c r="BF731" s="35"/>
      <c r="BG731" s="35"/>
      <c r="BH731" s="35"/>
      <c r="BI731" s="35"/>
      <c r="BJ731" s="35"/>
      <c r="BK731" s="35"/>
      <c r="BL731" s="35"/>
      <c r="BM731" s="35"/>
      <c r="BN731" s="35"/>
      <c r="BO731" s="78"/>
    </row>
    <row r="732" spans="1:67" s="20" customFormat="1" ht="15.75" customHeight="1" thickBot="1" x14ac:dyDescent="0.3">
      <c r="A732" s="520">
        <f>IFERROR(VLOOKUP($G$5,'רשימת רשויות'!A:C,3,0),0)</f>
        <v>0</v>
      </c>
      <c r="B732" s="520">
        <f t="shared" si="102"/>
        <v>0</v>
      </c>
      <c r="C732" s="39"/>
      <c r="D732" s="1134"/>
      <c r="E732" s="1137"/>
      <c r="F732" s="584" t="s">
        <v>144</v>
      </c>
      <c r="G732" s="87">
        <f>IF(G735="תקין",IFERROR(VLOOKUP($G730,'דוח ביצוע (3)'!$B$21:$Q$900,12,0),0),0)</f>
        <v>0</v>
      </c>
      <c r="H732" s="88">
        <f>IFERROR(G733*$AH$6+G734*$AH$7,0)</f>
        <v>0</v>
      </c>
      <c r="I732" s="88">
        <f>IFERROR(G733*$AI$6+G734*$AI$7,0)</f>
        <v>0</v>
      </c>
      <c r="J732" s="88">
        <f>IFERROR(G733*$AJ$6+G734*$AJ$7,0)</f>
        <v>0</v>
      </c>
      <c r="K732" s="88">
        <f>IFERROR(G733*$AK$6+G734*$AK$7,0)</f>
        <v>0</v>
      </c>
      <c r="L732" s="405"/>
      <c r="M732" s="399" t="s">
        <v>427</v>
      </c>
      <c r="N732" s="400" t="str">
        <f>IFERROR(VLOOKUP($G730,'דוח ביצוע (3)'!$B:$AE,28,0),"")</f>
        <v/>
      </c>
      <c r="O732" s="89" t="str">
        <f>IFERROR(VLOOKUP($G730,'דוח ביצוע (3)'!B:AE,29,0),"")</f>
        <v/>
      </c>
      <c r="P732" s="595"/>
      <c r="Q732" s="595"/>
      <c r="R732" s="596"/>
      <c r="S732" s="610"/>
      <c r="T732" s="881"/>
      <c r="U732" s="598"/>
      <c r="V732" s="599"/>
      <c r="W732" s="599"/>
      <c r="X732" s="599"/>
      <c r="Y732" s="879"/>
      <c r="Z732" s="85"/>
      <c r="AC732" s="493"/>
      <c r="AD732" s="495"/>
      <c r="AO732" s="22"/>
      <c r="AP732" s="22"/>
      <c r="AQ732" s="22"/>
      <c r="AR732" s="22"/>
      <c r="AS732" s="22"/>
      <c r="AT732" s="22"/>
      <c r="AU732" s="35"/>
      <c r="AV732" s="35"/>
      <c r="AW732" s="35"/>
      <c r="AX732" s="35"/>
      <c r="AY732" s="35"/>
      <c r="AZ732" s="35"/>
      <c r="BA732" s="35"/>
      <c r="BB732" s="35"/>
      <c r="BC732" s="35"/>
      <c r="BD732" s="35"/>
      <c r="BE732" s="35"/>
      <c r="BF732" s="35"/>
      <c r="BG732" s="35"/>
      <c r="BH732" s="35"/>
      <c r="BI732" s="35"/>
      <c r="BJ732" s="35"/>
      <c r="BK732" s="35"/>
      <c r="BL732" s="35"/>
      <c r="BM732" s="35"/>
      <c r="BN732" s="35"/>
      <c r="BO732" s="78"/>
    </row>
    <row r="733" spans="1:67" s="20" customFormat="1" ht="32.25" thickBot="1" x14ac:dyDescent="0.3">
      <c r="A733" s="520">
        <f>IFERROR(VLOOKUP($G$5,'רשימת רשויות'!A:C,3,0),0)</f>
        <v>0</v>
      </c>
      <c r="B733" s="520">
        <f t="shared" si="102"/>
        <v>0</v>
      </c>
      <c r="C733" s="39"/>
      <c r="D733" s="1134"/>
      <c r="E733" s="1137"/>
      <c r="F733" s="585" t="s">
        <v>2195</v>
      </c>
      <c r="G733" s="89">
        <f>IF(G735="תקין",MAX(N735,0),0)</f>
        <v>0</v>
      </c>
      <c r="H733" s="725" t="s">
        <v>151</v>
      </c>
      <c r="I733" s="725" t="s">
        <v>91</v>
      </c>
      <c r="J733" s="970" t="s">
        <v>3396</v>
      </c>
      <c r="K733" s="601"/>
      <c r="L733" s="601"/>
      <c r="M733" s="983" t="s">
        <v>2585</v>
      </c>
      <c r="N733" s="400" t="str">
        <f>IFERROR(G732/15*N732*1.25,"")</f>
        <v/>
      </c>
      <c r="O733" s="89" t="str">
        <f>IFERROR(G732/15*O732*1.25,"")</f>
        <v/>
      </c>
      <c r="P733" s="595"/>
      <c r="Q733" s="595"/>
      <c r="R733" s="596"/>
      <c r="S733" s="610"/>
      <c r="T733" s="881"/>
      <c r="U733" s="598"/>
      <c r="V733" s="599"/>
      <c r="W733" s="599"/>
      <c r="X733" s="599"/>
      <c r="Y733" s="879"/>
      <c r="Z733" s="85"/>
      <c r="AC733" s="493"/>
      <c r="AD733" s="495"/>
      <c r="AG733" s="22"/>
      <c r="AH733" s="55"/>
      <c r="AI733" s="55"/>
      <c r="AJ733" s="55"/>
      <c r="AK733" s="55"/>
      <c r="AO733" s="22"/>
      <c r="AP733" s="22"/>
      <c r="AQ733" s="22"/>
      <c r="AR733" s="22"/>
      <c r="AS733" s="22"/>
      <c r="AT733" s="22"/>
      <c r="AU733" s="35"/>
      <c r="AV733" s="35"/>
      <c r="AW733" s="35"/>
      <c r="AX733" s="35"/>
      <c r="AY733" s="35"/>
      <c r="AZ733" s="35"/>
      <c r="BA733" s="35"/>
      <c r="BB733" s="35"/>
      <c r="BC733" s="35"/>
      <c r="BD733" s="35"/>
      <c r="BE733" s="35"/>
      <c r="BF733" s="35"/>
      <c r="BG733" s="35"/>
      <c r="BH733" s="35"/>
      <c r="BI733" s="35"/>
      <c r="BJ733" s="35"/>
      <c r="BK733" s="35"/>
      <c r="BL733" s="35"/>
      <c r="BM733" s="35"/>
      <c r="BN733" s="35"/>
      <c r="BO733" s="86"/>
    </row>
    <row r="734" spans="1:67" s="20" customFormat="1" ht="16.5" thickBot="1" x14ac:dyDescent="0.3">
      <c r="A734" s="520">
        <f>IFERROR(VLOOKUP($G$5,'רשימת רשויות'!A:C,3,0),0)</f>
        <v>0</v>
      </c>
      <c r="B734" s="520">
        <f t="shared" si="102"/>
        <v>0</v>
      </c>
      <c r="C734" s="39"/>
      <c r="D734" s="1134"/>
      <c r="E734" s="1137"/>
      <c r="F734" s="585" t="s">
        <v>2196</v>
      </c>
      <c r="G734" s="89">
        <f>IF(G735="תקין",MAX(O735,0),0)</f>
        <v>0</v>
      </c>
      <c r="H734" s="88">
        <f>(IFERROR(IF((G733+G734)=0,0,IF(G731="קטן",G732*$AH$10,G732*$AH$11)),0))+(IFERROR(IF((G733+G734)=0,0,VLOOKUP(G730,'דוח ביצוע (3)'!$B:$AH,33,0)),0))</f>
        <v>0</v>
      </c>
      <c r="I734" s="88">
        <f>IFERROR(IF((G733+G734)=0,0,IF(G731="קטן",G732*$AI$10,G732*$AI$11)),0)</f>
        <v>0</v>
      </c>
      <c r="J734" s="88">
        <f>IFERROR(IF((G733+G734)=0,0,VLOOKUP(G730,'דוח ביצוע (3)'!$B:$AH,32,0)),0)</f>
        <v>0</v>
      </c>
      <c r="K734" s="90"/>
      <c r="L734" s="90"/>
      <c r="M734" s="399" t="s">
        <v>412</v>
      </c>
      <c r="N734" s="400">
        <f>IFERROR(VLOOKUP($G730,'דוח ביצוע (3)'!$B$21:$U$500,18,0),0)</f>
        <v>0</v>
      </c>
      <c r="O734" s="401">
        <f>IFERROR(VLOOKUP($G730,'דוח ביצוע (3)'!$B$21:$U$500,19,0),0)</f>
        <v>0</v>
      </c>
      <c r="P734" s="595"/>
      <c r="Q734" s="595"/>
      <c r="R734" s="596"/>
      <c r="S734" s="610"/>
      <c r="T734" s="881"/>
      <c r="U734" s="598"/>
      <c r="V734" s="599"/>
      <c r="W734" s="599"/>
      <c r="X734" s="599"/>
      <c r="Y734" s="879"/>
      <c r="Z734" s="85"/>
      <c r="AC734" s="493"/>
      <c r="AD734" s="495"/>
      <c r="AG734" s="22"/>
      <c r="AH734" s="55"/>
      <c r="AI734" s="55"/>
      <c r="AJ734" s="55"/>
      <c r="AK734" s="55"/>
      <c r="AO734" s="22"/>
      <c r="AP734" s="22"/>
      <c r="AQ734" s="22"/>
      <c r="AR734" s="22"/>
      <c r="AS734" s="22"/>
      <c r="AT734" s="22"/>
      <c r="AU734" s="35"/>
      <c r="AV734" s="35"/>
      <c r="AW734" s="35"/>
      <c r="AX734" s="35"/>
      <c r="AY734" s="35"/>
      <c r="AZ734" s="35"/>
      <c r="BA734" s="35"/>
      <c r="BB734" s="35"/>
      <c r="BC734" s="35"/>
      <c r="BD734" s="35"/>
      <c r="BE734" s="35"/>
      <c r="BF734" s="35"/>
      <c r="BG734" s="35"/>
      <c r="BH734" s="35"/>
      <c r="BI734" s="35"/>
      <c r="BJ734" s="35"/>
      <c r="BK734" s="35"/>
      <c r="BL734" s="35"/>
      <c r="BM734" s="35"/>
      <c r="BN734" s="35"/>
      <c r="BO734" s="86"/>
    </row>
    <row r="735" spans="1:67" s="20" customFormat="1" ht="16.5" thickBot="1" x14ac:dyDescent="0.3">
      <c r="A735" s="520">
        <f>IFERROR(VLOOKUP($G$5,'רשימת רשויות'!A:C,3,0),0)</f>
        <v>0</v>
      </c>
      <c r="B735" s="520">
        <f t="shared" si="102"/>
        <v>0</v>
      </c>
      <c r="C735" s="39"/>
      <c r="D735" s="1134"/>
      <c r="E735" s="1137"/>
      <c r="F735" s="586" t="s">
        <v>2355</v>
      </c>
      <c r="G735" s="514">
        <f>IFERROR(IF(VLOOKUP('בית ספר - תקצוב לפי מוסד (9)'!G730,' איוש משרות (8)'!$C:$K,9,0)="תקין","תקין","לא תקין"),0)</f>
        <v>0</v>
      </c>
      <c r="H735" s="91"/>
      <c r="I735" s="91"/>
      <c r="J735" s="91"/>
      <c r="K735" s="90"/>
      <c r="L735" s="90"/>
      <c r="M735" s="402" t="s">
        <v>2586</v>
      </c>
      <c r="N735" s="403">
        <f>IFERROR(MIN(N733,N734),0)</f>
        <v>0</v>
      </c>
      <c r="O735" s="404">
        <f>IFERROR(MIN(O733,O734),0)</f>
        <v>0</v>
      </c>
      <c r="P735" s="595"/>
      <c r="Q735" s="595"/>
      <c r="R735" s="596"/>
      <c r="S735" s="610"/>
      <c r="T735" s="881"/>
      <c r="U735" s="598"/>
      <c r="V735" s="599"/>
      <c r="W735" s="599"/>
      <c r="X735" s="599"/>
      <c r="Y735" s="879"/>
      <c r="Z735" s="85"/>
      <c r="AC735" s="493"/>
      <c r="AD735" s="495"/>
      <c r="AG735" s="94"/>
      <c r="AH735" s="40"/>
      <c r="AI735" s="40"/>
      <c r="AJ735" s="40"/>
      <c r="AK735" s="40"/>
      <c r="AO735" s="22"/>
      <c r="AP735" s="22"/>
      <c r="AQ735" s="22"/>
      <c r="AR735" s="22"/>
      <c r="AS735" s="22"/>
      <c r="AT735" s="22"/>
      <c r="AU735" s="35"/>
      <c r="AV735" s="35"/>
      <c r="AW735" s="35"/>
      <c r="AX735" s="35"/>
      <c r="AY735" s="35"/>
      <c r="AZ735" s="35"/>
      <c r="BA735" s="35"/>
      <c r="BB735" s="35"/>
      <c r="BC735" s="35"/>
      <c r="BD735" s="35"/>
      <c r="BE735" s="35"/>
      <c r="BF735" s="35"/>
      <c r="BG735" s="35"/>
      <c r="BH735" s="35"/>
      <c r="BI735" s="35"/>
      <c r="BJ735" s="35"/>
      <c r="BK735" s="35"/>
      <c r="BL735" s="35"/>
      <c r="BM735" s="35"/>
      <c r="BN735" s="35"/>
      <c r="BO735" s="86"/>
    </row>
    <row r="736" spans="1:67" s="55" customFormat="1" ht="37.15" customHeight="1" thickBot="1" x14ac:dyDescent="0.3">
      <c r="A736" s="520">
        <f>IFERROR(VLOOKUP($G$5,'רשימת רשויות'!A:C,3,0),0)</f>
        <v>0</v>
      </c>
      <c r="B736" s="520">
        <f t="shared" si="102"/>
        <v>0</v>
      </c>
      <c r="C736" s="39"/>
      <c r="D736" s="1134"/>
      <c r="E736" s="1137"/>
      <c r="F736" s="587" t="s">
        <v>142</v>
      </c>
      <c r="G736" s="92"/>
      <c r="H736" s="92"/>
      <c r="I736" s="92"/>
      <c r="J736" s="92"/>
      <c r="K736" s="602"/>
      <c r="L736" s="602"/>
      <c r="M736" s="602"/>
      <c r="N736" s="602"/>
      <c r="O736" s="602"/>
      <c r="P736" s="595"/>
      <c r="Q736" s="595"/>
      <c r="R736" s="596"/>
      <c r="S736" s="610"/>
      <c r="T736" s="881"/>
      <c r="U736" s="598"/>
      <c r="V736" s="599"/>
      <c r="W736" s="599"/>
      <c r="X736" s="599"/>
      <c r="Y736" s="879"/>
      <c r="Z736" s="93"/>
      <c r="AC736" s="493"/>
      <c r="AD736" s="495"/>
      <c r="AF736" s="22"/>
      <c r="AG736" s="98"/>
      <c r="AH736" s="98"/>
      <c r="AI736" s="40"/>
      <c r="AJ736" s="40"/>
      <c r="AK736" s="40"/>
      <c r="AO736" s="22"/>
      <c r="AP736" s="22"/>
      <c r="AQ736" s="22"/>
      <c r="AR736" s="22"/>
      <c r="AS736" s="22"/>
      <c r="AT736" s="22"/>
      <c r="AU736" s="35"/>
      <c r="AV736" s="35"/>
      <c r="AW736" s="35"/>
      <c r="AX736" s="35"/>
      <c r="AY736" s="35"/>
      <c r="AZ736" s="35"/>
      <c r="BA736" s="35"/>
      <c r="BB736" s="35"/>
      <c r="BC736" s="35"/>
      <c r="BD736" s="35"/>
      <c r="BE736" s="35"/>
      <c r="BF736" s="35"/>
      <c r="BG736" s="35"/>
      <c r="BH736" s="35"/>
      <c r="BI736" s="35"/>
      <c r="BJ736" s="35"/>
      <c r="BK736" s="35"/>
      <c r="BL736" s="35"/>
      <c r="BM736" s="35"/>
      <c r="BN736" s="35"/>
      <c r="BO736" s="86"/>
    </row>
    <row r="737" spans="1:67" s="40" customFormat="1" ht="31.5" x14ac:dyDescent="0.25">
      <c r="A737" s="520">
        <f>IFERROR(VLOOKUP($G$5,'רשימת רשויות'!A:C,3,0),0)</f>
        <v>0</v>
      </c>
      <c r="B737" s="520">
        <f t="shared" si="102"/>
        <v>0</v>
      </c>
      <c r="C737" s="39"/>
      <c r="D737" s="1134"/>
      <c r="E737" s="1137"/>
      <c r="F737" s="588" t="s">
        <v>94</v>
      </c>
      <c r="G737" s="95" t="s">
        <v>18</v>
      </c>
      <c r="H737" s="95" t="s">
        <v>19</v>
      </c>
      <c r="I737" s="95" t="s">
        <v>138</v>
      </c>
      <c r="J737" s="96" t="s">
        <v>139</v>
      </c>
      <c r="K737" s="603"/>
      <c r="L737" s="603"/>
      <c r="M737" s="603"/>
      <c r="N737" s="603"/>
      <c r="O737" s="603"/>
      <c r="P737" s="604"/>
      <c r="Q737" s="604"/>
      <c r="R737" s="596"/>
      <c r="S737" s="610"/>
      <c r="T737" s="881"/>
      <c r="U737" s="598"/>
      <c r="V737" s="599"/>
      <c r="W737" s="599"/>
      <c r="X737" s="599"/>
      <c r="Y737" s="879"/>
      <c r="Z737" s="97"/>
      <c r="AA737" s="94"/>
      <c r="AB737" s="94"/>
      <c r="AC737" s="493"/>
      <c r="AD737" s="495"/>
      <c r="AE737" s="94"/>
      <c r="AG737" s="98"/>
      <c r="AH737" s="98"/>
      <c r="AO737" s="22"/>
      <c r="AP737" s="22"/>
      <c r="AQ737" s="22"/>
      <c r="AR737" s="22"/>
      <c r="AS737" s="22"/>
      <c r="AT737" s="22"/>
      <c r="AU737" s="35"/>
      <c r="AV737" s="35"/>
      <c r="AW737" s="35"/>
      <c r="AX737" s="35"/>
      <c r="AY737" s="35"/>
      <c r="AZ737" s="35"/>
      <c r="BA737" s="35"/>
      <c r="BB737" s="35"/>
      <c r="BC737" s="35"/>
      <c r="BD737" s="35"/>
      <c r="BE737" s="35"/>
      <c r="BF737" s="35"/>
      <c r="BG737" s="35"/>
      <c r="BH737" s="35"/>
      <c r="BI737" s="35"/>
      <c r="BJ737" s="35"/>
      <c r="BK737" s="35"/>
      <c r="BL737" s="35"/>
      <c r="BM737" s="35"/>
      <c r="BN737" s="35"/>
      <c r="BO737" s="86"/>
    </row>
    <row r="738" spans="1:67" s="40" customFormat="1" ht="15.75" customHeight="1" thickBot="1" x14ac:dyDescent="0.3">
      <c r="A738" s="520">
        <f>IFERROR(VLOOKUP($G$5,'רשימת רשויות'!A:C,3,0),0)</f>
        <v>0</v>
      </c>
      <c r="B738" s="520">
        <f t="shared" si="102"/>
        <v>0</v>
      </c>
      <c r="C738" s="39"/>
      <c r="D738" s="1134"/>
      <c r="E738" s="1137"/>
      <c r="F738" s="589" t="s">
        <v>2280</v>
      </c>
      <c r="G738" s="99">
        <f>+G749</f>
        <v>0</v>
      </c>
      <c r="H738" s="100">
        <f>K732</f>
        <v>0</v>
      </c>
      <c r="I738" s="100">
        <f>H738-I740</f>
        <v>0</v>
      </c>
      <c r="J738" s="101">
        <f>IFERROR(I738/H738,0)</f>
        <v>0</v>
      </c>
      <c r="K738" s="603"/>
      <c r="L738" s="603"/>
      <c r="M738" s="603"/>
      <c r="N738" s="603"/>
      <c r="O738" s="603"/>
      <c r="P738" s="605"/>
      <c r="Q738" s="604"/>
      <c r="R738" s="606" t="s">
        <v>157</v>
      </c>
      <c r="S738" s="611"/>
      <c r="T738" s="881"/>
      <c r="U738" s="598"/>
      <c r="V738" s="599"/>
      <c r="W738" s="599"/>
      <c r="X738" s="599"/>
      <c r="Y738" s="879"/>
      <c r="Z738" s="102"/>
      <c r="AA738" s="122"/>
      <c r="AB738" s="122"/>
      <c r="AC738" s="493"/>
      <c r="AD738" s="495"/>
      <c r="AE738" s="122"/>
      <c r="AF738" s="22"/>
      <c r="AG738" s="98"/>
      <c r="AH738" s="98"/>
      <c r="AI738" s="20"/>
      <c r="AO738" s="22"/>
      <c r="AP738" s="22"/>
      <c r="AQ738" s="22"/>
      <c r="AR738" s="22"/>
      <c r="AS738" s="22"/>
      <c r="AT738" s="22"/>
      <c r="AU738" s="35"/>
      <c r="AV738" s="35"/>
      <c r="AW738" s="35"/>
      <c r="AX738" s="35"/>
      <c r="AY738" s="35"/>
      <c r="AZ738" s="35"/>
      <c r="BA738" s="35"/>
      <c r="BB738" s="35"/>
      <c r="BC738" s="35"/>
      <c r="BD738" s="35"/>
      <c r="BE738" s="35"/>
      <c r="BF738" s="35"/>
      <c r="BG738" s="35"/>
      <c r="BH738" s="35"/>
      <c r="BI738" s="35"/>
      <c r="BJ738" s="35"/>
      <c r="BK738" s="35"/>
      <c r="BL738" s="35"/>
      <c r="BM738" s="35"/>
      <c r="BN738" s="35"/>
      <c r="BO738" s="86"/>
    </row>
    <row r="739" spans="1:67" s="40" customFormat="1" ht="15.75" customHeight="1" thickBot="1" x14ac:dyDescent="0.3">
      <c r="A739" s="520">
        <f>IFERROR(VLOOKUP($G$5,'רשימת רשויות'!A:C,3,0),0)</f>
        <v>0</v>
      </c>
      <c r="B739" s="520">
        <f t="shared" si="102"/>
        <v>0</v>
      </c>
      <c r="C739" s="39"/>
      <c r="D739" s="1134"/>
      <c r="E739" s="1137"/>
      <c r="F739" s="589" t="s">
        <v>2281</v>
      </c>
      <c r="G739" s="99">
        <f>+G748</f>
        <v>0</v>
      </c>
      <c r="H739" s="103"/>
      <c r="I739" s="104"/>
      <c r="J739" s="105"/>
      <c r="K739" s="603"/>
      <c r="L739" s="603"/>
      <c r="M739" s="603"/>
      <c r="N739" s="603"/>
      <c r="O739" s="603"/>
      <c r="P739" s="605"/>
      <c r="Q739" s="604"/>
      <c r="R739" s="473">
        <f>I740-R741</f>
        <v>0</v>
      </c>
      <c r="S739" s="611"/>
      <c r="T739" s="881"/>
      <c r="U739" s="598"/>
      <c r="V739" s="599"/>
      <c r="W739" s="599"/>
      <c r="X739" s="599"/>
      <c r="Y739" s="879"/>
      <c r="Z739" s="106"/>
      <c r="AA739" s="22"/>
      <c r="AB739" s="22"/>
      <c r="AC739" s="493"/>
      <c r="AD739" s="495"/>
      <c r="AE739" s="22"/>
      <c r="AF739" s="22"/>
      <c r="AG739" s="98"/>
      <c r="AH739" s="98"/>
      <c r="AI739" s="20"/>
      <c r="AO739" s="22"/>
      <c r="AP739" s="22"/>
      <c r="AQ739" s="22"/>
      <c r="AR739" s="22"/>
      <c r="AS739" s="22"/>
      <c r="AT739" s="22"/>
      <c r="AU739" s="35"/>
      <c r="AV739" s="35"/>
      <c r="AW739" s="35"/>
      <c r="AX739" s="35"/>
      <c r="AY739" s="35"/>
      <c r="AZ739" s="35"/>
      <c r="BA739" s="35"/>
      <c r="BB739" s="35"/>
      <c r="BC739" s="35"/>
      <c r="BD739" s="35"/>
      <c r="BE739" s="35"/>
      <c r="BF739" s="35"/>
      <c r="BG739" s="35"/>
      <c r="BH739" s="35"/>
      <c r="BI739" s="35"/>
      <c r="BJ739" s="35"/>
      <c r="BK739" s="35"/>
      <c r="BL739" s="35"/>
      <c r="BM739" s="35"/>
      <c r="BN739" s="35"/>
      <c r="BO739" s="86"/>
    </row>
    <row r="740" spans="1:67" s="40" customFormat="1" ht="16.5" customHeight="1" thickBot="1" x14ac:dyDescent="0.3">
      <c r="A740" s="520">
        <f>IFERROR(VLOOKUP($G$5,'רשימת רשויות'!A:C,3,0),0)</f>
        <v>0</v>
      </c>
      <c r="B740" s="520">
        <f t="shared" si="102"/>
        <v>0</v>
      </c>
      <c r="C740" s="39"/>
      <c r="D740" s="1134"/>
      <c r="E740" s="1137"/>
      <c r="F740" s="589" t="s">
        <v>2282</v>
      </c>
      <c r="G740" s="99">
        <f>G744+G745+G746</f>
        <v>0</v>
      </c>
      <c r="H740" s="104"/>
      <c r="I740" s="107">
        <f>MAX(H738-G738-G739,0)</f>
        <v>0</v>
      </c>
      <c r="J740" s="108">
        <f>IFERROR(I740/H738,0)</f>
        <v>0</v>
      </c>
      <c r="K740" s="603"/>
      <c r="L740" s="603"/>
      <c r="M740" s="603"/>
      <c r="N740" s="603"/>
      <c r="O740" s="603"/>
      <c r="P740" s="604"/>
      <c r="Q740" s="604"/>
      <c r="R740" s="606" t="s">
        <v>158</v>
      </c>
      <c r="S740" s="612"/>
      <c r="T740" s="881"/>
      <c r="U740" s="598"/>
      <c r="V740" s="599"/>
      <c r="W740" s="599"/>
      <c r="X740" s="599"/>
      <c r="Y740" s="879"/>
      <c r="Z740" s="106"/>
      <c r="AA740" s="22"/>
      <c r="AB740" s="22"/>
      <c r="AC740" s="493"/>
      <c r="AD740" s="495"/>
      <c r="AE740" s="22"/>
      <c r="AF740" s="22"/>
      <c r="AG740" s="22"/>
      <c r="AH740" s="22"/>
      <c r="AI740" s="55"/>
      <c r="AJ740" s="22"/>
      <c r="AK740" s="22"/>
      <c r="AO740" s="22"/>
      <c r="AP740" s="22"/>
      <c r="AQ740" s="22"/>
      <c r="AR740" s="22"/>
      <c r="AS740" s="22"/>
      <c r="AT740" s="22"/>
      <c r="AU740" s="35"/>
      <c r="AV740" s="35"/>
      <c r="AW740" s="35"/>
      <c r="AX740" s="35"/>
      <c r="AY740" s="35"/>
      <c r="AZ740" s="35"/>
      <c r="BA740" s="35"/>
      <c r="BB740" s="35"/>
      <c r="BC740" s="35"/>
      <c r="BD740" s="35"/>
      <c r="BE740" s="35"/>
      <c r="BF740" s="35"/>
      <c r="BG740" s="35"/>
      <c r="BH740" s="35"/>
      <c r="BI740" s="35"/>
      <c r="BJ740" s="35"/>
      <c r="BK740" s="35"/>
      <c r="BL740" s="35"/>
      <c r="BM740" s="35"/>
      <c r="BN740" s="35"/>
      <c r="BO740" s="86"/>
    </row>
    <row r="741" spans="1:67" s="40" customFormat="1" ht="15.75" customHeight="1" thickBot="1" x14ac:dyDescent="0.3">
      <c r="A741" s="520">
        <f>IFERROR(VLOOKUP($G$5,'רשימת רשויות'!A:C,3,0),0)</f>
        <v>0</v>
      </c>
      <c r="B741" s="520">
        <f t="shared" si="102"/>
        <v>0</v>
      </c>
      <c r="C741" s="39"/>
      <c r="D741" s="1134"/>
      <c r="E741" s="1137"/>
      <c r="F741" s="590" t="s">
        <v>2290</v>
      </c>
      <c r="G741" s="109"/>
      <c r="H741" s="110"/>
      <c r="I741" s="111">
        <f>SUM(I738:I740)</f>
        <v>0</v>
      </c>
      <c r="J741" s="112">
        <f>SUM(J738:J740)</f>
        <v>0</v>
      </c>
      <c r="K741" s="603"/>
      <c r="L741" s="603"/>
      <c r="M741" s="603"/>
      <c r="N741" s="603"/>
      <c r="O741" s="603"/>
      <c r="P741" s="604"/>
      <c r="Q741" s="604"/>
      <c r="R741" s="473">
        <f>MIN(MAX(G745+G746-I734-J734,0),I740)</f>
        <v>0</v>
      </c>
      <c r="S741" s="612"/>
      <c r="T741" s="881"/>
      <c r="U741" s="598"/>
      <c r="V741" s="599"/>
      <c r="W741" s="599"/>
      <c r="X741" s="599"/>
      <c r="Y741" s="879"/>
      <c r="Z741" s="106"/>
      <c r="AA741" s="22"/>
      <c r="AB741" s="22"/>
      <c r="AC741" s="493"/>
      <c r="AD741" s="495"/>
      <c r="AE741" s="22"/>
      <c r="AF741" s="22"/>
      <c r="AG741" s="22"/>
      <c r="AH741" s="22"/>
      <c r="AJ741" s="22"/>
      <c r="AK741" s="22"/>
      <c r="AO741" s="22"/>
      <c r="AP741" s="22"/>
      <c r="AQ741" s="22"/>
      <c r="AR741" s="22"/>
      <c r="AS741" s="22"/>
      <c r="AT741" s="22"/>
      <c r="AU741" s="35"/>
      <c r="AV741" s="35"/>
      <c r="AW741" s="35"/>
      <c r="AX741" s="35"/>
      <c r="AY741" s="35"/>
      <c r="AZ741" s="35"/>
      <c r="BA741" s="35"/>
      <c r="BB741" s="35"/>
      <c r="BC741" s="35"/>
      <c r="BD741" s="35"/>
      <c r="BE741" s="35"/>
      <c r="BF741" s="35"/>
      <c r="BG741" s="35"/>
      <c r="BH741" s="35"/>
      <c r="BI741" s="35"/>
      <c r="BJ741" s="35"/>
      <c r="BK741" s="35"/>
      <c r="BL741" s="35"/>
      <c r="BM741" s="35"/>
      <c r="BN741" s="35"/>
      <c r="BO741" s="86"/>
    </row>
    <row r="742" spans="1:67" ht="16.5" thickBot="1" x14ac:dyDescent="0.3">
      <c r="A742" s="520">
        <f>IFERROR(VLOOKUP($G$5,'רשימת רשויות'!A:C,3,0),0)</f>
        <v>0</v>
      </c>
      <c r="B742" s="520">
        <f t="shared" si="102"/>
        <v>0</v>
      </c>
      <c r="D742" s="1134"/>
      <c r="E742" s="1137"/>
      <c r="F742" s="587" t="s">
        <v>17</v>
      </c>
      <c r="G742" s="113"/>
      <c r="H742" s="92"/>
      <c r="I742" s="114"/>
      <c r="J742" s="115"/>
      <c r="K742" s="116"/>
      <c r="L742" s="406"/>
      <c r="M742" s="116"/>
      <c r="N742" s="116"/>
      <c r="O742" s="116"/>
      <c r="P742" s="474"/>
      <c r="Q742" s="607"/>
      <c r="R742" s="608"/>
      <c r="S742" s="612"/>
      <c r="T742" s="881"/>
      <c r="U742" s="598"/>
      <c r="V742" s="599"/>
      <c r="W742" s="599"/>
      <c r="X742" s="599"/>
      <c r="Y742" s="879"/>
      <c r="Z742" s="106"/>
      <c r="AI742" s="40"/>
      <c r="BO742" s="86"/>
    </row>
    <row r="743" spans="1:67" ht="47.25" x14ac:dyDescent="0.25">
      <c r="A743" s="520">
        <f>IFERROR(VLOOKUP($G$5,'רשימת רשויות'!A:C,3,0),0)</f>
        <v>0</v>
      </c>
      <c r="B743" s="520">
        <f t="shared" si="102"/>
        <v>0</v>
      </c>
      <c r="D743" s="1134"/>
      <c r="E743" s="1137"/>
      <c r="F743" s="588" t="s">
        <v>2</v>
      </c>
      <c r="G743" s="95" t="s">
        <v>18</v>
      </c>
      <c r="H743" s="95" t="s">
        <v>19</v>
      </c>
      <c r="I743" s="95" t="s">
        <v>20</v>
      </c>
      <c r="J743" s="95" t="s">
        <v>22</v>
      </c>
      <c r="K743" s="96" t="s">
        <v>2314</v>
      </c>
      <c r="L743" s="609"/>
      <c r="M743" s="609"/>
      <c r="N743" s="609"/>
      <c r="O743" s="580"/>
      <c r="P743" s="618" t="s">
        <v>2298</v>
      </c>
      <c r="Q743" s="618" t="s">
        <v>2299</v>
      </c>
      <c r="R743" s="596"/>
      <c r="S743" s="890" t="s">
        <v>2519</v>
      </c>
      <c r="T743" s="890" t="s">
        <v>97</v>
      </c>
      <c r="U743" s="891" t="s">
        <v>2521</v>
      </c>
      <c r="V743" s="892" t="s">
        <v>2520</v>
      </c>
      <c r="W743" s="893" t="s">
        <v>2524</v>
      </c>
      <c r="X743" s="892" t="s">
        <v>2522</v>
      </c>
      <c r="Y743" s="894" t="s">
        <v>2523</v>
      </c>
      <c r="Z743" s="106"/>
      <c r="AC743" s="498" t="s">
        <v>2568</v>
      </c>
      <c r="AD743" s="499" t="s">
        <v>2569</v>
      </c>
      <c r="AF743" s="122"/>
      <c r="AI743" s="40"/>
      <c r="BO743" s="86"/>
    </row>
    <row r="744" spans="1:67" ht="15" customHeight="1" thickBot="1" x14ac:dyDescent="0.3">
      <c r="A744" s="520">
        <f>IFERROR(VLOOKUP($G$5,'רשימת רשויות'!A:C,3,0),0)</f>
        <v>0</v>
      </c>
      <c r="B744" s="520">
        <f t="shared" si="102"/>
        <v>0</v>
      </c>
      <c r="D744" s="1134"/>
      <c r="E744" s="1137"/>
      <c r="F744" s="589" t="s">
        <v>76</v>
      </c>
      <c r="G744" s="117">
        <f>IF(G735="תקין",SUMIF('עלויות כח אדם (6)'!$B$15:$B$3014,'בית ספר - תקצוב לפי מוסד (9)'!$G730,'עלויות כח אדם (6)'!$M$15:$M$3014)-VLOOKUP('בית ספר - תקצוב לפי מוסד (9)'!G730,' איוש משרות (8)'!$C:$H,5,0)-VLOOKUP('בית ספר - תקצוב לפי מוסד (9)'!G730,' איוש משרות (8)'!$C:$H,6,0),0)-Y744</f>
        <v>0</v>
      </c>
      <c r="H744" s="118">
        <f>I732+R739</f>
        <v>0</v>
      </c>
      <c r="I744" s="119">
        <f>IFERROR(SUM(G744)/H744,0)</f>
        <v>0</v>
      </c>
      <c r="J744" s="100">
        <f>MIN(I732+R739,IF(ISNUMBER(G744),G744,0))</f>
        <v>0</v>
      </c>
      <c r="K744" s="120">
        <f>MAX(H744-G744,0)</f>
        <v>0</v>
      </c>
      <c r="L744" s="407"/>
      <c r="M744" s="393"/>
      <c r="N744" s="393"/>
      <c r="O744" s="580"/>
      <c r="P744" s="968">
        <f>IFERROR(IF(SUM(G744)/(I732)&lt;100%,MIN((I732)-SUM(G744),(I732)*0.25),0),0)</f>
        <v>0</v>
      </c>
      <c r="Q744" s="968">
        <f>IF(SUM(G744)-(I732+R739)&gt;0,SUM(G744)-(I732+R739),0)</f>
        <v>0</v>
      </c>
      <c r="R744" s="596" t="s">
        <v>2351</v>
      </c>
      <c r="S744" s="576" t="s">
        <v>2342</v>
      </c>
      <c r="T744" s="599">
        <f>G730</f>
        <v>0</v>
      </c>
      <c r="U744" s="578"/>
      <c r="V744" s="579">
        <f>G744+G745+G746</f>
        <v>0</v>
      </c>
      <c r="W744" s="579">
        <f>U744-V744</f>
        <v>0</v>
      </c>
      <c r="X744" s="579">
        <f>IFERROR(W758*W744/(SUM(W744:W757)),0)</f>
        <v>0</v>
      </c>
      <c r="Y744" s="879">
        <f>SUMIFS(בקרה!$S:$S,בקרה!$D:$D,T744,בקרה!$K:$K,S744)</f>
        <v>0</v>
      </c>
      <c r="Z744" s="121"/>
      <c r="AA744" s="143"/>
      <c r="AB744" s="143"/>
      <c r="AC744" s="504">
        <v>0</v>
      </c>
      <c r="AD744" s="505">
        <f>IFERROR(U744-AC744,0)</f>
        <v>0</v>
      </c>
      <c r="AE744" s="143"/>
      <c r="AI744" s="20"/>
      <c r="BO744" s="86"/>
    </row>
    <row r="745" spans="1:67" ht="15" customHeight="1" thickBot="1" x14ac:dyDescent="0.3">
      <c r="A745" s="520">
        <f>IFERROR(VLOOKUP($G$5,'רשימת רשויות'!A:C,3,0),0)</f>
        <v>0</v>
      </c>
      <c r="B745" s="520">
        <f t="shared" si="102"/>
        <v>0</v>
      </c>
      <c r="D745" s="1134"/>
      <c r="E745" s="1137"/>
      <c r="F745" s="589" t="s">
        <v>44</v>
      </c>
      <c r="G745" s="123">
        <f>IF(G735="תקין",IFERROR(VLOOKUP('בית ספר - תקצוב לפי מוסד (9)'!G730,' איוש משרות (8)'!C:J,7,0),0),0)</f>
        <v>0</v>
      </c>
      <c r="H745" s="124">
        <f>I734+R741+J734</f>
        <v>0</v>
      </c>
      <c r="I745" s="119">
        <f>IFERROR(SUM(G745:G746)/H745,0)</f>
        <v>0</v>
      </c>
      <c r="J745" s="100">
        <f>MIN(R741+I734,IF(ISNUMBER(SUM(G745:G746)),SUM(G745:G746),0))</f>
        <v>0</v>
      </c>
      <c r="K745" s="1139">
        <f>MAX((H745)-(G745+G746),0)</f>
        <v>0</v>
      </c>
      <c r="L745" s="407"/>
      <c r="M745" s="393"/>
      <c r="N745" s="393"/>
      <c r="O745" s="580"/>
      <c r="P745" s="1140"/>
      <c r="Q745" s="1140"/>
      <c r="R745" s="617">
        <f>MAX(MIN(P753-Q753,H753*0.15-G751),0)</f>
        <v>0</v>
      </c>
      <c r="S745" s="576"/>
      <c r="T745" s="599">
        <f>G730</f>
        <v>0</v>
      </c>
      <c r="U745" s="578"/>
      <c r="V745" s="579"/>
      <c r="W745" s="579">
        <f t="shared" ref="W745:W757" si="104">U745-V745</f>
        <v>0</v>
      </c>
      <c r="X745" s="579"/>
      <c r="Y745" s="879"/>
      <c r="Z745" s="121"/>
      <c r="AA745" s="143"/>
      <c r="AB745" s="143"/>
      <c r="AC745" s="504"/>
      <c r="AD745" s="505">
        <f t="shared" ref="AD745:AD751" si="105">IFERROR(U745-AC745,0)</f>
        <v>0</v>
      </c>
      <c r="AE745" s="143"/>
      <c r="AI745" s="20"/>
      <c r="BO745" s="86"/>
    </row>
    <row r="746" spans="1:67" ht="15.75" customHeight="1" x14ac:dyDescent="0.25">
      <c r="A746" s="520">
        <f>IFERROR(VLOOKUP($G$5,'רשימת רשויות'!A:C,3,0),0)</f>
        <v>0</v>
      </c>
      <c r="B746" s="520">
        <f t="shared" si="102"/>
        <v>0</v>
      </c>
      <c r="D746" s="1134"/>
      <c r="E746" s="1137"/>
      <c r="F746" s="589" t="s">
        <v>45</v>
      </c>
      <c r="G746" s="123">
        <f>IF(G735="תקין",IFERROR(VLOOKUP('בית ספר - תקצוב לפי מוסד (9)'!G730,' איוש משרות (8)'!C:J,8,0),0),0)</f>
        <v>0</v>
      </c>
      <c r="H746" s="125"/>
      <c r="I746" s="126"/>
      <c r="J746" s="104"/>
      <c r="K746" s="1139"/>
      <c r="L746" s="407"/>
      <c r="M746" s="393"/>
      <c r="N746" s="393"/>
      <c r="O746" s="580"/>
      <c r="P746" s="1140"/>
      <c r="Q746" s="1140"/>
      <c r="R746" s="596"/>
      <c r="S746" s="576"/>
      <c r="T746" s="599">
        <f>G730</f>
        <v>0</v>
      </c>
      <c r="U746" s="578"/>
      <c r="V746" s="579"/>
      <c r="W746" s="579">
        <f t="shared" si="104"/>
        <v>0</v>
      </c>
      <c r="X746" s="579"/>
      <c r="Y746" s="879"/>
      <c r="Z746" s="121"/>
      <c r="AA746" s="143"/>
      <c r="AB746" s="143"/>
      <c r="AC746" s="504"/>
      <c r="AD746" s="505">
        <f t="shared" si="105"/>
        <v>0</v>
      </c>
      <c r="AE746" s="143"/>
      <c r="AG746" s="55"/>
      <c r="AH746" s="55"/>
      <c r="AI746" s="55"/>
      <c r="AJ746" s="55"/>
      <c r="AK746" s="55"/>
      <c r="BO746" s="86"/>
    </row>
    <row r="747" spans="1:67" ht="15.75" customHeight="1" x14ac:dyDescent="0.25">
      <c r="A747" s="520">
        <f>IFERROR(VLOOKUP($G$5,'רשימת רשויות'!A:C,3,0),0)</f>
        <v>0</v>
      </c>
      <c r="B747" s="520">
        <f t="shared" si="102"/>
        <v>0</v>
      </c>
      <c r="D747" s="1134"/>
      <c r="E747" s="1137"/>
      <c r="F747" s="589" t="s">
        <v>0</v>
      </c>
      <c r="G747" s="117">
        <f>IF(G735="תקין",SUMIFS('דוח הוצאות בפועל (4)'!$E$17:$E$3016,'דוח הוצאות בפועל (4)'!$B$17:$B$3016,'בית ספר - תקצוב לפי מוסד (9)'!$G730,'דוח הוצאות בפועל (4)'!$M$17:$M$3016,"הע"),0)-Y747</f>
        <v>0</v>
      </c>
      <c r="H747" s="127">
        <f>J732</f>
        <v>0</v>
      </c>
      <c r="I747" s="128">
        <f>IFERROR(G747/H747,0)</f>
        <v>0</v>
      </c>
      <c r="J747" s="129">
        <f>MIN(IF(ISNUMBER(G747),G747,0),H747)</f>
        <v>0</v>
      </c>
      <c r="K747" s="120">
        <f>MAX(H747-G747,0)</f>
        <v>0</v>
      </c>
      <c r="L747" s="407"/>
      <c r="M747" s="393"/>
      <c r="N747" s="393"/>
      <c r="O747" s="580"/>
      <c r="P747" s="968">
        <f>MAX(IF(I747&lt;100%,MIN((H747-G747),H747*0.25),0),0)</f>
        <v>0</v>
      </c>
      <c r="Q747" s="619">
        <f>IF(G747-H747&gt;0,G747-H747,0)</f>
        <v>0</v>
      </c>
      <c r="R747" s="596"/>
      <c r="S747" s="610" t="s">
        <v>0</v>
      </c>
      <c r="T747" s="599">
        <f>G730</f>
        <v>0</v>
      </c>
      <c r="U747" s="578"/>
      <c r="V747" s="579">
        <f>G747</f>
        <v>0</v>
      </c>
      <c r="W747" s="579">
        <f t="shared" si="104"/>
        <v>0</v>
      </c>
      <c r="X747" s="579">
        <f>IFERROR(W758*W747/(SUM(W744:W757)),0)</f>
        <v>0</v>
      </c>
      <c r="Y747" s="879">
        <f>SUMIFS(בקרה!$S:$S,בקרה!$D:$D,T747,בקרה!$K:$K,S747)</f>
        <v>0</v>
      </c>
      <c r="Z747" s="121"/>
      <c r="AA747" s="143"/>
      <c r="AB747" s="143"/>
      <c r="AC747" s="504">
        <v>0</v>
      </c>
      <c r="AD747" s="505">
        <f t="shared" si="105"/>
        <v>0</v>
      </c>
      <c r="AE747" s="143"/>
      <c r="AG747" s="55"/>
      <c r="AH747" s="55"/>
      <c r="AI747" s="40"/>
      <c r="AJ747" s="55"/>
      <c r="AK747" s="55"/>
      <c r="BO747" s="86"/>
    </row>
    <row r="748" spans="1:67" s="55" customFormat="1" ht="15.75" customHeight="1" x14ac:dyDescent="0.25">
      <c r="A748" s="520">
        <f>IFERROR(VLOOKUP($G$5,'רשימת רשויות'!A:C,3,0),0)</f>
        <v>0</v>
      </c>
      <c r="B748" s="520">
        <f t="shared" si="102"/>
        <v>0</v>
      </c>
      <c r="C748" s="39"/>
      <c r="D748" s="1134"/>
      <c r="E748" s="1137"/>
      <c r="F748" s="589" t="s">
        <v>93</v>
      </c>
      <c r="G748" s="130">
        <f>IF(G735="תקין",SUMIFS('דוח הוצאות בפועל (4)'!$E$17:$E$3016,'דוח הוצאות בפועל (4)'!$B$17:$B$3016,'בית ספר - תקצוב לפי מוסד (9)'!$G730,'דוח הוצאות בפועל (4)'!$M$17:$M$3016,"אר"),0)-Y748</f>
        <v>0</v>
      </c>
      <c r="H748" s="118">
        <f>$I738</f>
        <v>0</v>
      </c>
      <c r="I748" s="131">
        <f>IFERROR((G748+G749)/H748,0)</f>
        <v>0</v>
      </c>
      <c r="J748" s="100">
        <f>MIN((IF(ISNUMBER(G748),G748,0)+IF(ISNUMBER(G749),G749,0)),H748)</f>
        <v>0</v>
      </c>
      <c r="K748" s="1139">
        <f>MAX((H748)-(G748+G749),0)</f>
        <v>0</v>
      </c>
      <c r="L748" s="407"/>
      <c r="M748" s="393"/>
      <c r="N748" s="393"/>
      <c r="O748" s="602"/>
      <c r="P748" s="1141"/>
      <c r="Q748" s="1142"/>
      <c r="R748" s="596"/>
      <c r="S748" s="610" t="s">
        <v>93</v>
      </c>
      <c r="T748" s="599">
        <f>G730</f>
        <v>0</v>
      </c>
      <c r="U748" s="578"/>
      <c r="V748" s="579">
        <f t="shared" ref="V748:V749" si="106">G748</f>
        <v>0</v>
      </c>
      <c r="W748" s="579">
        <f t="shared" si="104"/>
        <v>0</v>
      </c>
      <c r="X748" s="579">
        <f>IFERROR(W758*W748/(SUM(W744:W757)),0)</f>
        <v>0</v>
      </c>
      <c r="Y748" s="879">
        <f>SUMIFS(בקרה!$S:$S,בקרה!$D:$D,T748,בקרה!$K:$K,S748)</f>
        <v>0</v>
      </c>
      <c r="Z748" s="121"/>
      <c r="AA748" s="143"/>
      <c r="AB748" s="143"/>
      <c r="AC748" s="504">
        <v>0</v>
      </c>
      <c r="AD748" s="505">
        <f t="shared" si="105"/>
        <v>0</v>
      </c>
      <c r="AE748" s="143"/>
      <c r="AJ748" s="22"/>
      <c r="AO748" s="22"/>
      <c r="AP748" s="22"/>
      <c r="AQ748" s="22"/>
      <c r="AR748" s="22"/>
      <c r="AS748" s="22"/>
      <c r="AT748" s="22"/>
      <c r="AU748" s="35"/>
      <c r="AV748" s="35"/>
      <c r="AW748" s="35"/>
      <c r="AX748" s="35"/>
      <c r="AY748" s="35"/>
      <c r="AZ748" s="35"/>
      <c r="BA748" s="35"/>
      <c r="BB748" s="35"/>
      <c r="BC748" s="35"/>
      <c r="BD748" s="35"/>
      <c r="BE748" s="35"/>
      <c r="BF748" s="35"/>
      <c r="BG748" s="35"/>
      <c r="BH748" s="35"/>
      <c r="BI748" s="35"/>
      <c r="BJ748" s="35"/>
      <c r="BK748" s="35"/>
      <c r="BL748" s="35"/>
      <c r="BM748" s="35"/>
      <c r="BN748" s="35"/>
      <c r="BO748" s="86"/>
    </row>
    <row r="749" spans="1:67" s="55" customFormat="1" ht="15.75" customHeight="1" x14ac:dyDescent="0.25">
      <c r="A749" s="520">
        <f>IFERROR(VLOOKUP($G$5,'רשימת רשויות'!A:C,3,0),0)</f>
        <v>0</v>
      </c>
      <c r="B749" s="520">
        <f t="shared" si="102"/>
        <v>0</v>
      </c>
      <c r="C749" s="39"/>
      <c r="D749" s="1134"/>
      <c r="E749" s="1137"/>
      <c r="F749" s="589" t="s">
        <v>46</v>
      </c>
      <c r="G749" s="130">
        <f>IF(G735="תקין",SUMIFS('דוח הוצאות בפועל (4)'!$E$17:$E$3016,'דוח הוצאות בפועל (4)'!$B$17:$B$3016,'בית ספר - תקצוב לפי מוסד (9)'!$G730,'דוח הוצאות בפועל (4)'!$M$17:$M$3016,"מל"),0)-Y749</f>
        <v>0</v>
      </c>
      <c r="H749" s="132"/>
      <c r="I749" s="133"/>
      <c r="J749" s="104"/>
      <c r="K749" s="1139"/>
      <c r="L749" s="407"/>
      <c r="M749" s="393"/>
      <c r="N749" s="393"/>
      <c r="O749" s="602"/>
      <c r="P749" s="1141"/>
      <c r="Q749" s="1142"/>
      <c r="R749" s="596"/>
      <c r="S749" s="610" t="s">
        <v>46</v>
      </c>
      <c r="T749" s="599">
        <f>G730</f>
        <v>0</v>
      </c>
      <c r="U749" s="578"/>
      <c r="V749" s="579">
        <f t="shared" si="106"/>
        <v>0</v>
      </c>
      <c r="W749" s="579">
        <f t="shared" si="104"/>
        <v>0</v>
      </c>
      <c r="X749" s="579">
        <f>IFERROR(W758*W749/(SUM(W744:W757)),0)</f>
        <v>0</v>
      </c>
      <c r="Y749" s="879">
        <f>SUMIFS(בקרה!$S:$S,בקרה!$D:$D,T749,בקרה!$K:$K,S749)</f>
        <v>0</v>
      </c>
      <c r="Z749" s="121"/>
      <c r="AA749" s="143"/>
      <c r="AB749" s="143"/>
      <c r="AC749" s="504">
        <v>0</v>
      </c>
      <c r="AD749" s="505">
        <f t="shared" si="105"/>
        <v>0</v>
      </c>
      <c r="AE749" s="143"/>
      <c r="AJ749" s="22"/>
      <c r="AO749" s="22"/>
      <c r="AP749" s="22"/>
      <c r="AQ749" s="22"/>
      <c r="AR749" s="22"/>
      <c r="AS749" s="22"/>
      <c r="AT749" s="22"/>
      <c r="AU749" s="35"/>
      <c r="AV749" s="35"/>
      <c r="AW749" s="35"/>
      <c r="AX749" s="35"/>
      <c r="AY749" s="35"/>
      <c r="AZ749" s="35"/>
      <c r="BA749" s="35"/>
      <c r="BB749" s="35"/>
      <c r="BC749" s="35"/>
      <c r="BD749" s="35"/>
      <c r="BE749" s="35"/>
      <c r="BF749" s="35"/>
      <c r="BG749" s="35"/>
      <c r="BH749" s="35"/>
      <c r="BI749" s="35"/>
      <c r="BJ749" s="35"/>
      <c r="BK749" s="35"/>
      <c r="BL749" s="35"/>
      <c r="BM749" s="35"/>
      <c r="BN749" s="35"/>
      <c r="BO749" s="86"/>
    </row>
    <row r="750" spans="1:67" s="55" customFormat="1" ht="15" customHeight="1" x14ac:dyDescent="0.25">
      <c r="A750" s="520">
        <f>IFERROR(VLOOKUP($G$5,'רשימת רשויות'!A:C,3,0),0)</f>
        <v>0</v>
      </c>
      <c r="B750" s="520">
        <f t="shared" si="102"/>
        <v>0</v>
      </c>
      <c r="C750" s="39"/>
      <c r="D750" s="1134"/>
      <c r="E750" s="1137"/>
      <c r="F750" s="591" t="s">
        <v>23</v>
      </c>
      <c r="G750" s="134">
        <f>SUM(G744:G749)</f>
        <v>0</v>
      </c>
      <c r="H750" s="135">
        <f>SUM(H744:H749)</f>
        <v>0</v>
      </c>
      <c r="I750" s="128">
        <f>IFERROR(G750/H750,0)</f>
        <v>0</v>
      </c>
      <c r="J750" s="136">
        <f>SUM(J744:J749)</f>
        <v>0</v>
      </c>
      <c r="K750" s="137">
        <f>SUM(K744:K749)</f>
        <v>0</v>
      </c>
      <c r="L750" s="408"/>
      <c r="M750" s="394"/>
      <c r="N750" s="394"/>
      <c r="O750" s="602"/>
      <c r="P750" s="620">
        <f>SUM(P744:P749)</f>
        <v>0</v>
      </c>
      <c r="Q750" s="620">
        <f>SUM(Q744:Q749)</f>
        <v>0</v>
      </c>
      <c r="R750" s="596"/>
      <c r="S750" s="610"/>
      <c r="T750" s="599">
        <f>G730</f>
        <v>0</v>
      </c>
      <c r="U750" s="578"/>
      <c r="V750" s="579"/>
      <c r="W750" s="579">
        <f t="shared" si="104"/>
        <v>0</v>
      </c>
      <c r="X750" s="579"/>
      <c r="Y750" s="879"/>
      <c r="Z750" s="121"/>
      <c r="AA750" s="143"/>
      <c r="AB750" s="143"/>
      <c r="AC750" s="504"/>
      <c r="AD750" s="505">
        <f t="shared" si="105"/>
        <v>0</v>
      </c>
      <c r="AE750" s="143"/>
      <c r="AJ750" s="22"/>
      <c r="AL750" s="22"/>
      <c r="AM750" s="22"/>
      <c r="AN750" s="22"/>
      <c r="AO750" s="22"/>
      <c r="AP750" s="22"/>
      <c r="AQ750" s="22"/>
      <c r="AR750" s="22"/>
      <c r="AS750" s="22"/>
      <c r="AT750" s="22"/>
      <c r="AU750" s="35"/>
      <c r="AV750" s="35"/>
      <c r="AW750" s="35"/>
      <c r="AX750" s="35"/>
      <c r="AY750" s="35"/>
      <c r="AZ750" s="35"/>
      <c r="BA750" s="35"/>
      <c r="BB750" s="35"/>
      <c r="BC750" s="35"/>
      <c r="BD750" s="35"/>
      <c r="BE750" s="35"/>
      <c r="BF750" s="35"/>
      <c r="BG750" s="35"/>
      <c r="BH750" s="35"/>
      <c r="BI750" s="35"/>
      <c r="BJ750" s="35"/>
      <c r="BK750" s="35"/>
      <c r="BL750" s="35"/>
      <c r="BM750" s="35"/>
      <c r="BN750" s="35"/>
      <c r="BO750" s="86"/>
    </row>
    <row r="751" spans="1:67" s="55" customFormat="1" ht="15" customHeight="1" x14ac:dyDescent="0.25">
      <c r="A751" s="520">
        <f>IFERROR(VLOOKUP($G$5,'רשימת רשויות'!A:C,3,0),0)</f>
        <v>0</v>
      </c>
      <c r="B751" s="520">
        <f t="shared" si="102"/>
        <v>0</v>
      </c>
      <c r="C751" s="39"/>
      <c r="D751" s="1134"/>
      <c r="E751" s="1137"/>
      <c r="F751" s="589" t="s">
        <v>3</v>
      </c>
      <c r="G751" s="117">
        <f>IF(G735="תקין",SUMIFS('דוח הוצאות בפועל (4)'!$E$17:$E$3016,'דוח הוצאות בפועל (4)'!$B$17:$B$3016,'בית ספר - תקצוב לפי מוסד (9)'!$G730,'דוח הוצאות בפועל (4)'!$M$17:$M$3016,"ני")+SUMIFS('דוח הוצאות בפועל (4)'!$E$17:$E$3016,'דוח הוצאות בפועל (4)'!$B$17:$B$3016,'בית ספר - תקצוב לפי מוסד (9)'!$G730,'דוח הוצאות בפועל (4)'!$M$17:$M$3016,"על"),0)-Y751</f>
        <v>0</v>
      </c>
      <c r="H751" s="117">
        <f>H732</f>
        <v>0</v>
      </c>
      <c r="I751" s="138">
        <f>IFERROR(G751/H751,0)</f>
        <v>0</v>
      </c>
      <c r="J751" s="117">
        <f>IFERROR(IF(G751/H753&gt;0.15,MIN(H753*0.15,H751),MIN(H751,IF(ISNUMBER(G751),G751,0))),0)</f>
        <v>0</v>
      </c>
      <c r="K751" s="120">
        <f>MAX(H751-G751,0)</f>
        <v>0</v>
      </c>
      <c r="L751" s="407"/>
      <c r="M751" s="393"/>
      <c r="N751" s="393"/>
      <c r="O751" s="602"/>
      <c r="P751" s="620">
        <f>IF(I751&lt;100%,MIN(H751-G751,H751*0.25),0)</f>
        <v>0</v>
      </c>
      <c r="Q751" s="620">
        <f>MAX(MIN(IF(G751-H751&gt;0,G751-H751,0),$H753*0.15-H751-J752),0)</f>
        <v>0</v>
      </c>
      <c r="R751" s="596"/>
      <c r="S751" s="610" t="s">
        <v>3</v>
      </c>
      <c r="T751" s="599">
        <f>G730</f>
        <v>0</v>
      </c>
      <c r="U751" s="578"/>
      <c r="V751" s="579">
        <f t="shared" ref="V751" si="107">G751</f>
        <v>0</v>
      </c>
      <c r="W751" s="579">
        <f t="shared" si="104"/>
        <v>0</v>
      </c>
      <c r="X751" s="579"/>
      <c r="Y751" s="879"/>
      <c r="Z751" s="121"/>
      <c r="AA751" s="143"/>
      <c r="AB751" s="143"/>
      <c r="AC751" s="504">
        <v>0</v>
      </c>
      <c r="AD751" s="505">
        <f t="shared" si="105"/>
        <v>0</v>
      </c>
      <c r="AE751" s="143"/>
      <c r="AG751" s="22"/>
      <c r="AH751" s="22"/>
      <c r="AI751" s="22"/>
      <c r="AJ751" s="22"/>
      <c r="AK751" s="22"/>
      <c r="AL751" s="22"/>
      <c r="AM751" s="22"/>
      <c r="AN751" s="22"/>
      <c r="AO751" s="22"/>
      <c r="AP751" s="22"/>
      <c r="AQ751" s="22"/>
      <c r="AR751" s="22"/>
      <c r="AS751" s="22"/>
      <c r="AT751" s="22"/>
      <c r="AU751" s="35"/>
      <c r="AV751" s="35"/>
      <c r="AW751" s="35"/>
      <c r="AX751" s="35"/>
      <c r="AY751" s="35"/>
      <c r="AZ751" s="35"/>
      <c r="BA751" s="35"/>
      <c r="BB751" s="35"/>
      <c r="BC751" s="35"/>
      <c r="BD751" s="35"/>
      <c r="BE751" s="35"/>
      <c r="BF751" s="35"/>
      <c r="BG751" s="35"/>
      <c r="BH751" s="35"/>
      <c r="BI751" s="35"/>
      <c r="BJ751" s="35"/>
      <c r="BK751" s="35"/>
      <c r="BL751" s="35"/>
      <c r="BM751" s="35"/>
      <c r="BN751" s="35"/>
      <c r="BO751" s="86"/>
    </row>
    <row r="752" spans="1:67" s="55" customFormat="1" ht="15.75" customHeight="1" x14ac:dyDescent="0.25">
      <c r="A752" s="520">
        <f>IFERROR(VLOOKUP($G$5,'רשימת רשויות'!A:C,3,0),0)</f>
        <v>0</v>
      </c>
      <c r="B752" s="520">
        <f t="shared" si="102"/>
        <v>0</v>
      </c>
      <c r="C752" s="39"/>
      <c r="D752" s="1134"/>
      <c r="E752" s="1137"/>
      <c r="F752" s="589" t="s">
        <v>2918</v>
      </c>
      <c r="G752" s="117">
        <f>0.07*(G746+G745)</f>
        <v>0</v>
      </c>
      <c r="H752" s="117">
        <f>H734</f>
        <v>0</v>
      </c>
      <c r="I752" s="138">
        <f>IFERROR(G752/H752,0)</f>
        <v>0</v>
      </c>
      <c r="J752" s="117">
        <f>IFERROR(MIN(0.07*(G745+G746),0.07*I734),0)</f>
        <v>0</v>
      </c>
      <c r="K752" s="120">
        <f>MAX(H752-G752,0)</f>
        <v>0</v>
      </c>
      <c r="L752" s="407"/>
      <c r="M752" s="393"/>
      <c r="N752" s="393"/>
      <c r="O752" s="602"/>
      <c r="P752" s="620"/>
      <c r="Q752" s="619"/>
      <c r="R752" s="596"/>
      <c r="S752" s="611"/>
      <c r="T752" s="599">
        <f>G730</f>
        <v>0</v>
      </c>
      <c r="U752" s="578"/>
      <c r="V752" s="579"/>
      <c r="W752" s="579">
        <f t="shared" si="104"/>
        <v>0</v>
      </c>
      <c r="X752" s="579"/>
      <c r="Y752" s="879"/>
      <c r="Z752" s="121"/>
      <c r="AA752" s="143"/>
      <c r="AB752" s="143"/>
      <c r="AC752" s="504"/>
      <c r="AD752" s="505"/>
      <c r="AE752" s="143"/>
      <c r="AF752" s="140"/>
      <c r="AG752" s="22"/>
      <c r="AH752" s="22"/>
      <c r="AI752" s="22"/>
      <c r="AJ752" s="22"/>
      <c r="AK752" s="22"/>
      <c r="AL752" s="22"/>
      <c r="AM752" s="22"/>
      <c r="AN752" s="22"/>
      <c r="AO752" s="22"/>
      <c r="AP752" s="22"/>
      <c r="AQ752" s="22"/>
      <c r="AR752" s="22"/>
      <c r="AS752" s="22"/>
      <c r="AT752" s="22"/>
      <c r="AU752" s="35"/>
      <c r="AV752" s="35"/>
      <c r="AW752" s="35"/>
      <c r="AX752" s="35"/>
      <c r="AY752" s="35"/>
      <c r="AZ752" s="35"/>
      <c r="BA752" s="35"/>
      <c r="BB752" s="35"/>
      <c r="BC752" s="35"/>
      <c r="BD752" s="35"/>
      <c r="BE752" s="35"/>
      <c r="BF752" s="35"/>
      <c r="BG752" s="35"/>
      <c r="BH752" s="35"/>
      <c r="BI752" s="35"/>
      <c r="BJ752" s="35"/>
      <c r="BK752" s="35"/>
      <c r="BL752" s="35"/>
      <c r="BM752" s="35"/>
      <c r="BN752" s="35"/>
      <c r="BO752" s="86"/>
    </row>
    <row r="753" spans="1:67" ht="15.75" customHeight="1" x14ac:dyDescent="0.25">
      <c r="A753" s="520">
        <f>IFERROR(VLOOKUP($G$5,'רשימת רשויות'!A:C,3,0),0)</f>
        <v>0</v>
      </c>
      <c r="B753" s="520">
        <f t="shared" si="102"/>
        <v>0</v>
      </c>
      <c r="D753" s="1134"/>
      <c r="E753" s="1137"/>
      <c r="F753" s="591" t="s">
        <v>15</v>
      </c>
      <c r="G753" s="134">
        <f>G750+G751+G752</f>
        <v>0</v>
      </c>
      <c r="H753" s="134">
        <f>H750+H751+H752</f>
        <v>0</v>
      </c>
      <c r="I753" s="138">
        <f>IFERROR(G753/H753,0)</f>
        <v>0</v>
      </c>
      <c r="J753" s="139">
        <f>J750+J751+J752</f>
        <v>0</v>
      </c>
      <c r="K753" s="137">
        <f>K751+K750+K752</f>
        <v>0</v>
      </c>
      <c r="L753" s="408"/>
      <c r="M753" s="394"/>
      <c r="N753" s="394"/>
      <c r="O753" s="602"/>
      <c r="P753" s="621">
        <f>SUM(P750:P751)</f>
        <v>0</v>
      </c>
      <c r="Q753" s="622">
        <f>Q750+Q751</f>
        <v>0</v>
      </c>
      <c r="R753" s="596"/>
      <c r="S753" s="611"/>
      <c r="T753" s="599">
        <f>G730</f>
        <v>0</v>
      </c>
      <c r="U753" s="578"/>
      <c r="V753" s="579"/>
      <c r="W753" s="579">
        <f t="shared" si="104"/>
        <v>0</v>
      </c>
      <c r="X753" s="579"/>
      <c r="Y753" s="879"/>
      <c r="Z753" s="106"/>
      <c r="AC753" s="504"/>
      <c r="AD753" s="505"/>
      <c r="AH753" s="143"/>
      <c r="BO753" s="86"/>
    </row>
    <row r="754" spans="1:67" ht="15.75" customHeight="1" x14ac:dyDescent="0.25">
      <c r="A754" s="520">
        <f>IFERROR(VLOOKUP($G$5,'רשימת רשויות'!A:C,3,0),0)</f>
        <v>0</v>
      </c>
      <c r="B754" s="520">
        <f t="shared" si="102"/>
        <v>0</v>
      </c>
      <c r="D754" s="1134"/>
      <c r="E754" s="1137"/>
      <c r="F754" s="589" t="s">
        <v>2261</v>
      </c>
      <c r="G754" s="117">
        <f>IF(G735="תקין",SUMIF('תשלומי הורים ומלגות להורים (5) '!$B$18:$B$517,$G730,'תשלומי הורים ומלגות להורים (5) '!$C$18:$C$517),0)</f>
        <v>0</v>
      </c>
      <c r="H754" s="117">
        <f>(G733+G734)*$G$7</f>
        <v>0</v>
      </c>
      <c r="I754" s="141"/>
      <c r="J754" s="141"/>
      <c r="K754" s="142"/>
      <c r="L754" s="395"/>
      <c r="M754" s="395"/>
      <c r="N754" s="395"/>
      <c r="O754" s="602"/>
      <c r="P754" s="623"/>
      <c r="Q754" s="619"/>
      <c r="R754" s="596"/>
      <c r="S754" s="612"/>
      <c r="T754" s="599">
        <f>G730</f>
        <v>0</v>
      </c>
      <c r="U754" s="578"/>
      <c r="V754" s="579"/>
      <c r="W754" s="579">
        <f t="shared" si="104"/>
        <v>0</v>
      </c>
      <c r="X754" s="579"/>
      <c r="Y754" s="879"/>
      <c r="Z754" s="121"/>
      <c r="AA754" s="143"/>
      <c r="AB754" s="143"/>
      <c r="AC754" s="504"/>
      <c r="AD754" s="505"/>
      <c r="AE754" s="143"/>
      <c r="AF754" s="148"/>
      <c r="BO754" s="86"/>
    </row>
    <row r="755" spans="1:67" ht="15.75" customHeight="1" thickBot="1" x14ac:dyDescent="0.3">
      <c r="A755" s="520">
        <f>IFERROR(VLOOKUP($G$5,'רשימת רשויות'!A:C,3,0),0)</f>
        <v>0</v>
      </c>
      <c r="B755" s="520">
        <f t="shared" si="102"/>
        <v>0</v>
      </c>
      <c r="D755" s="1134"/>
      <c r="E755" s="1137"/>
      <c r="F755" s="592" t="s">
        <v>21</v>
      </c>
      <c r="G755" s="144">
        <f>G753-G754</f>
        <v>0</v>
      </c>
      <c r="H755" s="144">
        <f>H753-H754</f>
        <v>0</v>
      </c>
      <c r="I755" s="145"/>
      <c r="J755" s="145"/>
      <c r="K755" s="146"/>
      <c r="L755" s="396"/>
      <c r="M755" s="396"/>
      <c r="N755" s="396"/>
      <c r="O755" s="602"/>
      <c r="P755" s="619"/>
      <c r="Q755" s="619"/>
      <c r="R755" s="596"/>
      <c r="S755" s="612"/>
      <c r="T755" s="599">
        <f>G730</f>
        <v>0</v>
      </c>
      <c r="U755" s="578"/>
      <c r="V755" s="579"/>
      <c r="W755" s="579">
        <f t="shared" si="104"/>
        <v>0</v>
      </c>
      <c r="X755" s="579"/>
      <c r="Y755" s="879"/>
      <c r="Z755" s="147"/>
      <c r="AA755" s="148"/>
      <c r="AB755" s="148"/>
      <c r="AC755" s="504"/>
      <c r="AD755" s="505"/>
      <c r="AE755" s="148"/>
      <c r="AF755" s="148"/>
      <c r="BO755" s="86"/>
    </row>
    <row r="756" spans="1:67" ht="15.75" customHeight="1" thickBot="1" x14ac:dyDescent="0.3">
      <c r="A756" s="520">
        <f>IFERROR(VLOOKUP($G$5,'רשימת רשויות'!A:C,3,0),0)</f>
        <v>0</v>
      </c>
      <c r="B756" s="520">
        <f t="shared" si="102"/>
        <v>0</v>
      </c>
      <c r="D756" s="1134"/>
      <c r="E756" s="1137"/>
      <c r="F756" s="580"/>
      <c r="G756" s="580"/>
      <c r="H756" s="147"/>
      <c r="I756" s="149" t="s">
        <v>2197</v>
      </c>
      <c r="J756" s="150">
        <f>MAX(MIN(P753,Q753),0)</f>
        <v>0</v>
      </c>
      <c r="K756" s="580"/>
      <c r="L756" s="580"/>
      <c r="M756" s="580"/>
      <c r="N756" s="580"/>
      <c r="O756" s="580"/>
      <c r="P756" s="615" t="s">
        <v>2317</v>
      </c>
      <c r="Q756" s="624">
        <f>SUM(Q757:Q758)</f>
        <v>0</v>
      </c>
      <c r="R756" s="596"/>
      <c r="S756" s="612"/>
      <c r="T756" s="599">
        <f>G730</f>
        <v>0</v>
      </c>
      <c r="U756" s="578"/>
      <c r="V756" s="579"/>
      <c r="W756" s="579">
        <f t="shared" si="104"/>
        <v>0</v>
      </c>
      <c r="X756" s="579"/>
      <c r="Y756" s="879"/>
      <c r="Z756" s="106"/>
      <c r="AC756" s="504"/>
      <c r="AD756" s="505"/>
      <c r="AF756" s="148"/>
      <c r="BO756" s="86"/>
    </row>
    <row r="757" spans="1:67" ht="16.5" thickBot="1" x14ac:dyDescent="0.3">
      <c r="A757" s="520">
        <f>IFERROR(VLOOKUP($G$5,'רשימת רשויות'!A:C,3,0),0)</f>
        <v>0</v>
      </c>
      <c r="B757" s="520">
        <f t="shared" si="102"/>
        <v>0</v>
      </c>
      <c r="D757" s="1134"/>
      <c r="E757" s="1137"/>
      <c r="F757" s="580"/>
      <c r="G757" s="580"/>
      <c r="H757" s="580"/>
      <c r="I757" s="84" t="s">
        <v>2193</v>
      </c>
      <c r="J757" s="515" t="str">
        <f>IFERROR(1-H754/H753,"")</f>
        <v/>
      </c>
      <c r="K757" s="580"/>
      <c r="L757" s="580"/>
      <c r="M757" s="580"/>
      <c r="N757" s="580"/>
      <c r="O757" s="580"/>
      <c r="P757" s="615" t="s">
        <v>417</v>
      </c>
      <c r="Q757" s="616">
        <f>IFERROR(MAX(H755-I758-Q758,0),0)</f>
        <v>0</v>
      </c>
      <c r="R757" s="596"/>
      <c r="S757" s="600"/>
      <c r="T757" s="599">
        <f>G730</f>
        <v>0</v>
      </c>
      <c r="U757" s="578"/>
      <c r="V757" s="579"/>
      <c r="W757" s="579">
        <f t="shared" si="104"/>
        <v>0</v>
      </c>
      <c r="X757" s="579"/>
      <c r="Y757" s="879"/>
      <c r="Z757" s="106"/>
      <c r="AC757" s="504"/>
      <c r="AD757" s="505"/>
      <c r="BO757" s="86"/>
    </row>
    <row r="758" spans="1:67" ht="17.25" thickBot="1" x14ac:dyDescent="0.3">
      <c r="A758" s="520">
        <f>IFERROR(VLOOKUP($G$5,'רשימת רשויות'!A:C,3,0),0)</f>
        <v>0</v>
      </c>
      <c r="B758" s="520">
        <f t="shared" si="102"/>
        <v>0</v>
      </c>
      <c r="D758" s="1134"/>
      <c r="E758" s="1137"/>
      <c r="F758" s="1143" t="s">
        <v>2679</v>
      </c>
      <c r="G758" s="1143"/>
      <c r="H758" s="1143"/>
      <c r="I758" s="722">
        <f>IF(G735="לא תקין","לא קיימת זכאות לתקציב לאור אי איוש משרות רכז ו/או סגן רכז ",IFERROR(J757*(J756+J753),0))</f>
        <v>0</v>
      </c>
      <c r="J758" s="573"/>
      <c r="K758" s="574"/>
      <c r="L758" s="396"/>
      <c r="M758" s="574"/>
      <c r="N758" s="574"/>
      <c r="O758" s="574"/>
      <c r="P758" s="615" t="s">
        <v>2279</v>
      </c>
      <c r="Q758" s="616">
        <f>MAX(IF(AND(G753&gt;H753,I758&lt;H755),H755-I758,0),0)</f>
        <v>0</v>
      </c>
      <c r="R758" s="575"/>
      <c r="S758" s="576" t="s">
        <v>67</v>
      </c>
      <c r="T758" s="577">
        <f>G730</f>
        <v>0</v>
      </c>
      <c r="U758" s="578"/>
      <c r="V758" s="579">
        <f>I758</f>
        <v>0</v>
      </c>
      <c r="W758" s="579">
        <f>IFERROR(U758-V758,0)</f>
        <v>0</v>
      </c>
      <c r="X758" s="579">
        <f>SUM(X744:X757)</f>
        <v>0</v>
      </c>
      <c r="Y758" s="879"/>
      <c r="Z758" s="106"/>
      <c r="AC758" s="506">
        <v>0</v>
      </c>
      <c r="AD758" s="507">
        <f>IFERROR(U758-AC758,0)</f>
        <v>0</v>
      </c>
      <c r="BO758" s="86"/>
    </row>
    <row r="759" spans="1:67" ht="16.5" thickBot="1" x14ac:dyDescent="0.3">
      <c r="A759" s="520">
        <f>IFERROR(VLOOKUP($G$5,'רשימת רשויות'!A:C,3,0),0)</f>
        <v>0</v>
      </c>
      <c r="B759" s="520">
        <f t="shared" si="102"/>
        <v>0</v>
      </c>
      <c r="D759" s="1135"/>
      <c r="E759" s="1138"/>
      <c r="F759" s="1144" t="s">
        <v>2793</v>
      </c>
      <c r="G759" s="1145"/>
      <c r="H759" s="1145"/>
      <c r="I759" s="593">
        <f>IFERROR(IF(G735="תקין",SUMIFS('סייעות רפואיות או אישיות (7)'!$Q$17:Q$384,'סייעות רפואיות או אישיות (7)'!C$17:C$384,G730),0),0)</f>
        <v>0</v>
      </c>
      <c r="J759" s="151"/>
      <c r="K759" s="152"/>
      <c r="L759" s="409"/>
      <c r="M759" s="152"/>
      <c r="N759" s="152"/>
      <c r="O759" s="152"/>
      <c r="P759" s="613"/>
      <c r="Q759" s="614"/>
      <c r="R759" s="475"/>
      <c r="S759" s="489"/>
      <c r="T759" s="490"/>
      <c r="U759" s="491"/>
      <c r="V759" s="492"/>
      <c r="W759" s="492"/>
      <c r="X759" s="492"/>
      <c r="Y759" s="880"/>
      <c r="Z759" s="153"/>
      <c r="AC759" s="581"/>
      <c r="AD759" s="582"/>
      <c r="BO759" s="86"/>
    </row>
    <row r="760" spans="1:67" ht="34.5" thickBot="1" x14ac:dyDescent="0.55000000000000004">
      <c r="A760" s="520">
        <f>IFERROR(VLOOKUP($G$5,'רשימת רשויות'!A:C,3,0),0)</f>
        <v>0</v>
      </c>
      <c r="B760" s="520">
        <f t="shared" si="102"/>
        <v>0</v>
      </c>
      <c r="E760" s="154"/>
      <c r="I760" s="143"/>
      <c r="J760" s="148"/>
      <c r="O760" s="148"/>
      <c r="T760" s="481"/>
      <c r="BO760" s="86"/>
    </row>
    <row r="761" spans="1:67" s="20" customFormat="1" ht="16.5" customHeight="1" thickBot="1" x14ac:dyDescent="0.3">
      <c r="A761" s="520">
        <f>IFERROR(VLOOKUP($G$5,'רשימת רשויות'!A:C,3,0),0)</f>
        <v>0</v>
      </c>
      <c r="B761" s="520">
        <f t="shared" si="102"/>
        <v>0</v>
      </c>
      <c r="C761" s="39"/>
      <c r="D761" s="1133">
        <f>D730+1</f>
        <v>25</v>
      </c>
      <c r="E761" s="1136" t="str">
        <f>IFERROR(CONCATENATE("בית הספר ",VLOOKUP(G761,'מצבת והרשמה (2)'!$C$21:$D$520,2,0)," - ",$G$5),"")</f>
        <v>בית הספר המוסד לא קיים - 0</v>
      </c>
      <c r="F761" s="720" t="s">
        <v>146</v>
      </c>
      <c r="G761" s="721">
        <f>IFERROR(VLOOKUP(D:D,'דוח ביצוע (3)'!$A$21:$C$900,2,0),0)</f>
        <v>0</v>
      </c>
      <c r="H761" s="79"/>
      <c r="I761" s="80" t="s">
        <v>150</v>
      </c>
      <c r="J761" s="80"/>
      <c r="K761" s="81"/>
      <c r="L761" s="392"/>
      <c r="M761" s="392"/>
      <c r="N761" s="392"/>
      <c r="O761" s="82"/>
      <c r="P761" s="470"/>
      <c r="Q761" s="471"/>
      <c r="R761" s="472"/>
      <c r="S761" s="883"/>
      <c r="T761" s="884"/>
      <c r="U761" s="486"/>
      <c r="V761" s="487"/>
      <c r="W761" s="487"/>
      <c r="X761" s="487"/>
      <c r="Y761" s="885"/>
      <c r="Z761" s="83"/>
      <c r="AC761" s="502"/>
      <c r="AD761" s="503"/>
      <c r="AO761" s="22"/>
      <c r="AP761" s="22"/>
      <c r="AQ761" s="22"/>
      <c r="AR761" s="22"/>
      <c r="AS761" s="22"/>
      <c r="AT761" s="22"/>
      <c r="AU761" s="35"/>
      <c r="AV761" s="35"/>
      <c r="AW761" s="35"/>
      <c r="AX761" s="35"/>
      <c r="AY761" s="35"/>
      <c r="AZ761" s="35"/>
      <c r="BA761" s="35"/>
      <c r="BB761" s="35"/>
      <c r="BC761" s="35"/>
      <c r="BD761" s="35"/>
      <c r="BE761" s="35"/>
      <c r="BF761" s="35"/>
      <c r="BG761" s="35"/>
      <c r="BH761" s="35"/>
      <c r="BI761" s="35"/>
      <c r="BJ761" s="35"/>
      <c r="BK761" s="35"/>
      <c r="BL761" s="35"/>
      <c r="BM761" s="35"/>
      <c r="BN761" s="35"/>
      <c r="BO761" s="78"/>
    </row>
    <row r="762" spans="1:67" s="20" customFormat="1" ht="16.5" thickBot="1" x14ac:dyDescent="0.3">
      <c r="A762" s="520">
        <f>IFERROR(VLOOKUP($G$5,'רשימת רשויות'!A:C,3,0),0)</f>
        <v>0</v>
      </c>
      <c r="B762" s="520">
        <f t="shared" si="102"/>
        <v>0</v>
      </c>
      <c r="C762" s="39"/>
      <c r="D762" s="1134"/>
      <c r="E762" s="1137"/>
      <c r="F762" s="583" t="s">
        <v>145</v>
      </c>
      <c r="G762" s="516" t="str">
        <f>IFERROR(IF((G764+G765)=0,"",IF(VLOOKUP(G761,'דוח ביצוע (3)'!$B$21:$K$900,5,0)&gt;149,"גדול",IF(AND(VLOOKUP(G761,'דוח ביצוע (3)'!$B$21:$K$900,5,0)&gt;0,VLOOKUP(G761,'דוח ביצוע (3)'!$B$21:$K$900,5,0)&lt;150),"קטן",0))),"")</f>
        <v/>
      </c>
      <c r="H762" s="723" t="s">
        <v>88</v>
      </c>
      <c r="I762" s="723" t="s">
        <v>13</v>
      </c>
      <c r="J762" s="725" t="s">
        <v>14</v>
      </c>
      <c r="K762" s="724" t="s">
        <v>94</v>
      </c>
      <c r="L762" s="594"/>
      <c r="M762" s="420" t="s">
        <v>2584</v>
      </c>
      <c r="N762" s="397" t="s">
        <v>413</v>
      </c>
      <c r="O762" s="398" t="s">
        <v>52</v>
      </c>
      <c r="P762" s="595"/>
      <c r="Q762" s="595"/>
      <c r="R762" s="596"/>
      <c r="S762" s="610"/>
      <c r="T762" s="881"/>
      <c r="U762" s="598"/>
      <c r="V762" s="599"/>
      <c r="W762" s="599"/>
      <c r="X762" s="599"/>
      <c r="Y762" s="879"/>
      <c r="Z762" s="85"/>
      <c r="AC762" s="493"/>
      <c r="AD762" s="495"/>
      <c r="AO762" s="22"/>
      <c r="AP762" s="22"/>
      <c r="AQ762" s="22"/>
      <c r="AR762" s="22"/>
      <c r="AS762" s="22"/>
      <c r="AT762" s="22"/>
      <c r="AU762" s="35"/>
      <c r="AV762" s="35"/>
      <c r="AW762" s="35"/>
      <c r="AX762" s="35"/>
      <c r="AY762" s="35"/>
      <c r="AZ762" s="35"/>
      <c r="BA762" s="35"/>
      <c r="BB762" s="35"/>
      <c r="BC762" s="35"/>
      <c r="BD762" s="35"/>
      <c r="BE762" s="35"/>
      <c r="BF762" s="35"/>
      <c r="BG762" s="35"/>
      <c r="BH762" s="35"/>
      <c r="BI762" s="35"/>
      <c r="BJ762" s="35"/>
      <c r="BK762" s="35"/>
      <c r="BL762" s="35"/>
      <c r="BM762" s="35"/>
      <c r="BN762" s="35"/>
      <c r="BO762" s="78"/>
    </row>
    <row r="763" spans="1:67" s="20" customFormat="1" ht="15.75" customHeight="1" thickBot="1" x14ac:dyDescent="0.3">
      <c r="A763" s="520">
        <f>IFERROR(VLOOKUP($G$5,'רשימת רשויות'!A:C,3,0),0)</f>
        <v>0</v>
      </c>
      <c r="B763" s="520">
        <f t="shared" si="102"/>
        <v>0</v>
      </c>
      <c r="C763" s="39"/>
      <c r="D763" s="1134"/>
      <c r="E763" s="1137"/>
      <c r="F763" s="584" t="s">
        <v>144</v>
      </c>
      <c r="G763" s="87">
        <f>IF(G766="תקין",IFERROR(VLOOKUP($G761,'דוח ביצוע (3)'!$B$21:$Q$900,12,0),0),0)</f>
        <v>0</v>
      </c>
      <c r="H763" s="88">
        <f>IFERROR(G764*$AH$6+G765*$AH$7,0)</f>
        <v>0</v>
      </c>
      <c r="I763" s="88">
        <f>IFERROR(G764*$AI$6+G765*$AI$7,0)</f>
        <v>0</v>
      </c>
      <c r="J763" s="88">
        <f>IFERROR(G764*$AJ$6+G765*$AJ$7,0)</f>
        <v>0</v>
      </c>
      <c r="K763" s="88">
        <f>IFERROR(G764*$AK$6+G765*$AK$7,0)</f>
        <v>0</v>
      </c>
      <c r="L763" s="405"/>
      <c r="M763" s="399" t="s">
        <v>427</v>
      </c>
      <c r="N763" s="400" t="str">
        <f>IFERROR(VLOOKUP($G761,'דוח ביצוע (3)'!$B:$AE,28,0),"")</f>
        <v/>
      </c>
      <c r="O763" s="89" t="str">
        <f>IFERROR(VLOOKUP($G761,'דוח ביצוע (3)'!B:AE,29,0),"")</f>
        <v/>
      </c>
      <c r="P763" s="595"/>
      <c r="Q763" s="595"/>
      <c r="R763" s="596"/>
      <c r="S763" s="610"/>
      <c r="T763" s="881"/>
      <c r="U763" s="598"/>
      <c r="V763" s="599"/>
      <c r="W763" s="599"/>
      <c r="X763" s="599"/>
      <c r="Y763" s="879"/>
      <c r="Z763" s="85"/>
      <c r="AC763" s="493"/>
      <c r="AD763" s="495"/>
      <c r="AO763" s="22"/>
      <c r="AP763" s="22"/>
      <c r="AQ763" s="22"/>
      <c r="AR763" s="22"/>
      <c r="AS763" s="22"/>
      <c r="AT763" s="22"/>
      <c r="AU763" s="35"/>
      <c r="AV763" s="35"/>
      <c r="AW763" s="35"/>
      <c r="AX763" s="35"/>
      <c r="AY763" s="35"/>
      <c r="AZ763" s="35"/>
      <c r="BA763" s="35"/>
      <c r="BB763" s="35"/>
      <c r="BC763" s="35"/>
      <c r="BD763" s="35"/>
      <c r="BE763" s="35"/>
      <c r="BF763" s="35"/>
      <c r="BG763" s="35"/>
      <c r="BH763" s="35"/>
      <c r="BI763" s="35"/>
      <c r="BJ763" s="35"/>
      <c r="BK763" s="35"/>
      <c r="BL763" s="35"/>
      <c r="BM763" s="35"/>
      <c r="BN763" s="35"/>
      <c r="BO763" s="78"/>
    </row>
    <row r="764" spans="1:67" s="20" customFormat="1" ht="32.25" thickBot="1" x14ac:dyDescent="0.3">
      <c r="A764" s="520">
        <f>IFERROR(VLOOKUP($G$5,'רשימת רשויות'!A:C,3,0),0)</f>
        <v>0</v>
      </c>
      <c r="B764" s="520">
        <f t="shared" si="102"/>
        <v>0</v>
      </c>
      <c r="C764" s="39"/>
      <c r="D764" s="1134"/>
      <c r="E764" s="1137"/>
      <c r="F764" s="585" t="s">
        <v>2195</v>
      </c>
      <c r="G764" s="89">
        <f>IF(G766="תקין",MAX(N766,0),0)</f>
        <v>0</v>
      </c>
      <c r="H764" s="725" t="s">
        <v>151</v>
      </c>
      <c r="I764" s="725" t="s">
        <v>91</v>
      </c>
      <c r="J764" s="970" t="s">
        <v>3396</v>
      </c>
      <c r="K764" s="601"/>
      <c r="L764" s="601"/>
      <c r="M764" s="983" t="s">
        <v>2585</v>
      </c>
      <c r="N764" s="400" t="str">
        <f>IFERROR(G763/15*N763*1.25,"")</f>
        <v/>
      </c>
      <c r="O764" s="89" t="str">
        <f>IFERROR(G763/15*O763*1.25,"")</f>
        <v/>
      </c>
      <c r="P764" s="595"/>
      <c r="Q764" s="595"/>
      <c r="R764" s="596"/>
      <c r="S764" s="610"/>
      <c r="T764" s="881"/>
      <c r="U764" s="598"/>
      <c r="V764" s="599"/>
      <c r="W764" s="599"/>
      <c r="X764" s="599"/>
      <c r="Y764" s="879"/>
      <c r="Z764" s="85"/>
      <c r="AC764" s="493"/>
      <c r="AD764" s="495"/>
      <c r="AG764" s="22"/>
      <c r="AH764" s="55"/>
      <c r="AI764" s="55"/>
      <c r="AJ764" s="55"/>
      <c r="AK764" s="55"/>
      <c r="AO764" s="22"/>
      <c r="AP764" s="22"/>
      <c r="AQ764" s="22"/>
      <c r="AR764" s="22"/>
      <c r="AS764" s="22"/>
      <c r="AT764" s="22"/>
      <c r="AU764" s="35"/>
      <c r="AV764" s="35"/>
      <c r="AW764" s="35"/>
      <c r="AX764" s="35"/>
      <c r="AY764" s="35"/>
      <c r="AZ764" s="35"/>
      <c r="BA764" s="35"/>
      <c r="BB764" s="35"/>
      <c r="BC764" s="35"/>
      <c r="BD764" s="35"/>
      <c r="BE764" s="35"/>
      <c r="BF764" s="35"/>
      <c r="BG764" s="35"/>
      <c r="BH764" s="35"/>
      <c r="BI764" s="35"/>
      <c r="BJ764" s="35"/>
      <c r="BK764" s="35"/>
      <c r="BL764" s="35"/>
      <c r="BM764" s="35"/>
      <c r="BN764" s="35"/>
      <c r="BO764" s="86"/>
    </row>
    <row r="765" spans="1:67" s="20" customFormat="1" ht="16.5" thickBot="1" x14ac:dyDescent="0.3">
      <c r="A765" s="520">
        <f>IFERROR(VLOOKUP($G$5,'רשימת רשויות'!A:C,3,0),0)</f>
        <v>0</v>
      </c>
      <c r="B765" s="520">
        <f t="shared" si="102"/>
        <v>0</v>
      </c>
      <c r="C765" s="39"/>
      <c r="D765" s="1134"/>
      <c r="E765" s="1137"/>
      <c r="F765" s="585" t="s">
        <v>2196</v>
      </c>
      <c r="G765" s="89">
        <f>IF(G766="תקין",MAX(O766,0),0)</f>
        <v>0</v>
      </c>
      <c r="H765" s="88">
        <f>(IFERROR(IF((G764+G765)=0,0,IF(G762="קטן",G763*$AH$10,G763*$AH$11)),0))+(IFERROR(IF((G764+G765)=0,0,VLOOKUP(G761,'דוח ביצוע (3)'!$B:$AH,33,0)),0))</f>
        <v>0</v>
      </c>
      <c r="I765" s="88">
        <f>IFERROR(IF((G764+G765)=0,0,IF(G762="קטן",G763*$AI$10,G763*$AI$11)),0)</f>
        <v>0</v>
      </c>
      <c r="J765" s="88">
        <f>IFERROR(IF((G764+G765)=0,0,VLOOKUP(G761,'דוח ביצוע (3)'!$B:$AH,32,0)),0)</f>
        <v>0</v>
      </c>
      <c r="K765" s="90"/>
      <c r="L765" s="90"/>
      <c r="M765" s="399" t="s">
        <v>412</v>
      </c>
      <c r="N765" s="400">
        <f>IFERROR(VLOOKUP($G761,'דוח ביצוע (3)'!$B$21:$U$500,18,0),0)</f>
        <v>0</v>
      </c>
      <c r="O765" s="401">
        <f>IFERROR(VLOOKUP($G761,'דוח ביצוע (3)'!$B$21:$U$500,19,0),0)</f>
        <v>0</v>
      </c>
      <c r="P765" s="595"/>
      <c r="Q765" s="595"/>
      <c r="R765" s="596"/>
      <c r="S765" s="610"/>
      <c r="T765" s="881"/>
      <c r="U765" s="598"/>
      <c r="V765" s="599"/>
      <c r="W765" s="599"/>
      <c r="X765" s="599"/>
      <c r="Y765" s="879"/>
      <c r="Z765" s="85"/>
      <c r="AC765" s="493"/>
      <c r="AD765" s="495"/>
      <c r="AG765" s="22"/>
      <c r="AH765" s="55"/>
      <c r="AI765" s="55"/>
      <c r="AJ765" s="55"/>
      <c r="AK765" s="55"/>
      <c r="AO765" s="22"/>
      <c r="AP765" s="22"/>
      <c r="AQ765" s="22"/>
      <c r="AR765" s="22"/>
      <c r="AS765" s="22"/>
      <c r="AT765" s="22"/>
      <c r="AU765" s="35"/>
      <c r="AV765" s="35"/>
      <c r="AW765" s="35"/>
      <c r="AX765" s="35"/>
      <c r="AY765" s="35"/>
      <c r="AZ765" s="35"/>
      <c r="BA765" s="35"/>
      <c r="BB765" s="35"/>
      <c r="BC765" s="35"/>
      <c r="BD765" s="35"/>
      <c r="BE765" s="35"/>
      <c r="BF765" s="35"/>
      <c r="BG765" s="35"/>
      <c r="BH765" s="35"/>
      <c r="BI765" s="35"/>
      <c r="BJ765" s="35"/>
      <c r="BK765" s="35"/>
      <c r="BL765" s="35"/>
      <c r="BM765" s="35"/>
      <c r="BN765" s="35"/>
      <c r="BO765" s="86"/>
    </row>
    <row r="766" spans="1:67" s="20" customFormat="1" ht="16.5" thickBot="1" x14ac:dyDescent="0.3">
      <c r="A766" s="520">
        <f>IFERROR(VLOOKUP($G$5,'רשימת רשויות'!A:C,3,0),0)</f>
        <v>0</v>
      </c>
      <c r="B766" s="520">
        <f t="shared" si="102"/>
        <v>0</v>
      </c>
      <c r="C766" s="39"/>
      <c r="D766" s="1134"/>
      <c r="E766" s="1137"/>
      <c r="F766" s="586" t="s">
        <v>2355</v>
      </c>
      <c r="G766" s="514">
        <f>IFERROR(IF(VLOOKUP('בית ספר - תקצוב לפי מוסד (9)'!G761,' איוש משרות (8)'!$C:$K,9,0)="תקין","תקין","לא תקין"),0)</f>
        <v>0</v>
      </c>
      <c r="H766" s="91"/>
      <c r="I766" s="91"/>
      <c r="J766" s="91"/>
      <c r="K766" s="90"/>
      <c r="L766" s="90"/>
      <c r="M766" s="402" t="s">
        <v>2586</v>
      </c>
      <c r="N766" s="403">
        <f>IFERROR(MIN(N764,N765),0)</f>
        <v>0</v>
      </c>
      <c r="O766" s="404">
        <f>IFERROR(MIN(O764,O765),0)</f>
        <v>0</v>
      </c>
      <c r="P766" s="595"/>
      <c r="Q766" s="595"/>
      <c r="R766" s="596"/>
      <c r="S766" s="610"/>
      <c r="T766" s="881"/>
      <c r="U766" s="598"/>
      <c r="V766" s="599"/>
      <c r="W766" s="599"/>
      <c r="X766" s="599"/>
      <c r="Y766" s="879"/>
      <c r="Z766" s="85"/>
      <c r="AC766" s="493"/>
      <c r="AD766" s="495"/>
      <c r="AG766" s="94"/>
      <c r="AH766" s="40"/>
      <c r="AI766" s="40"/>
      <c r="AJ766" s="40"/>
      <c r="AK766" s="40"/>
      <c r="AO766" s="22"/>
      <c r="AP766" s="22"/>
      <c r="AQ766" s="22"/>
      <c r="AR766" s="22"/>
      <c r="AS766" s="22"/>
      <c r="AT766" s="22"/>
      <c r="AU766" s="35"/>
      <c r="AV766" s="35"/>
      <c r="AW766" s="35"/>
      <c r="AX766" s="35"/>
      <c r="AY766" s="35"/>
      <c r="AZ766" s="35"/>
      <c r="BA766" s="35"/>
      <c r="BB766" s="35"/>
      <c r="BC766" s="35"/>
      <c r="BD766" s="35"/>
      <c r="BE766" s="35"/>
      <c r="BF766" s="35"/>
      <c r="BG766" s="35"/>
      <c r="BH766" s="35"/>
      <c r="BI766" s="35"/>
      <c r="BJ766" s="35"/>
      <c r="BK766" s="35"/>
      <c r="BL766" s="35"/>
      <c r="BM766" s="35"/>
      <c r="BN766" s="35"/>
      <c r="BO766" s="86"/>
    </row>
    <row r="767" spans="1:67" s="55" customFormat="1" ht="37.15" customHeight="1" thickBot="1" x14ac:dyDescent="0.3">
      <c r="A767" s="520">
        <f>IFERROR(VLOOKUP($G$5,'רשימת רשויות'!A:C,3,0),0)</f>
        <v>0</v>
      </c>
      <c r="B767" s="520">
        <f t="shared" si="102"/>
        <v>0</v>
      </c>
      <c r="C767" s="39"/>
      <c r="D767" s="1134"/>
      <c r="E767" s="1137"/>
      <c r="F767" s="587" t="s">
        <v>142</v>
      </c>
      <c r="G767" s="92"/>
      <c r="H767" s="92"/>
      <c r="I767" s="92"/>
      <c r="J767" s="92"/>
      <c r="K767" s="602"/>
      <c r="L767" s="602"/>
      <c r="M767" s="602"/>
      <c r="N767" s="602"/>
      <c r="O767" s="602"/>
      <c r="P767" s="595"/>
      <c r="Q767" s="595"/>
      <c r="R767" s="596"/>
      <c r="S767" s="610"/>
      <c r="T767" s="881"/>
      <c r="U767" s="598"/>
      <c r="V767" s="599"/>
      <c r="W767" s="599"/>
      <c r="X767" s="599"/>
      <c r="Y767" s="879"/>
      <c r="Z767" s="93"/>
      <c r="AC767" s="493"/>
      <c r="AD767" s="495"/>
      <c r="AF767" s="22"/>
      <c r="AG767" s="98"/>
      <c r="AH767" s="98"/>
      <c r="AI767" s="40"/>
      <c r="AJ767" s="40"/>
      <c r="AK767" s="40"/>
      <c r="AO767" s="22"/>
      <c r="AP767" s="22"/>
      <c r="AQ767" s="22"/>
      <c r="AR767" s="22"/>
      <c r="AS767" s="22"/>
      <c r="AT767" s="22"/>
      <c r="AU767" s="35"/>
      <c r="AV767" s="35"/>
      <c r="AW767" s="35"/>
      <c r="AX767" s="35"/>
      <c r="AY767" s="35"/>
      <c r="AZ767" s="35"/>
      <c r="BA767" s="35"/>
      <c r="BB767" s="35"/>
      <c r="BC767" s="35"/>
      <c r="BD767" s="35"/>
      <c r="BE767" s="35"/>
      <c r="BF767" s="35"/>
      <c r="BG767" s="35"/>
      <c r="BH767" s="35"/>
      <c r="BI767" s="35"/>
      <c r="BJ767" s="35"/>
      <c r="BK767" s="35"/>
      <c r="BL767" s="35"/>
      <c r="BM767" s="35"/>
      <c r="BN767" s="35"/>
      <c r="BO767" s="86"/>
    </row>
    <row r="768" spans="1:67" s="40" customFormat="1" ht="31.5" x14ac:dyDescent="0.25">
      <c r="A768" s="520">
        <f>IFERROR(VLOOKUP($G$5,'רשימת רשויות'!A:C,3,0),0)</f>
        <v>0</v>
      </c>
      <c r="B768" s="520">
        <f t="shared" si="102"/>
        <v>0</v>
      </c>
      <c r="C768" s="39"/>
      <c r="D768" s="1134"/>
      <c r="E768" s="1137"/>
      <c r="F768" s="588" t="s">
        <v>94</v>
      </c>
      <c r="G768" s="95" t="s">
        <v>18</v>
      </c>
      <c r="H768" s="95" t="s">
        <v>19</v>
      </c>
      <c r="I768" s="95" t="s">
        <v>138</v>
      </c>
      <c r="J768" s="96" t="s">
        <v>139</v>
      </c>
      <c r="K768" s="603"/>
      <c r="L768" s="603"/>
      <c r="M768" s="603"/>
      <c r="N768" s="603"/>
      <c r="O768" s="603"/>
      <c r="P768" s="604"/>
      <c r="Q768" s="604"/>
      <c r="R768" s="596"/>
      <c r="S768" s="610"/>
      <c r="T768" s="881"/>
      <c r="U768" s="598"/>
      <c r="V768" s="599"/>
      <c r="W768" s="599"/>
      <c r="X768" s="599"/>
      <c r="Y768" s="879"/>
      <c r="Z768" s="97"/>
      <c r="AA768" s="94"/>
      <c r="AB768" s="94"/>
      <c r="AC768" s="493"/>
      <c r="AD768" s="495"/>
      <c r="AE768" s="94"/>
      <c r="AG768" s="98"/>
      <c r="AH768" s="98"/>
      <c r="AO768" s="22"/>
      <c r="AP768" s="22"/>
      <c r="AQ768" s="22"/>
      <c r="AR768" s="22"/>
      <c r="AS768" s="22"/>
      <c r="AT768" s="22"/>
      <c r="AU768" s="35"/>
      <c r="AV768" s="35"/>
      <c r="AW768" s="35"/>
      <c r="AX768" s="35"/>
      <c r="AY768" s="35"/>
      <c r="AZ768" s="35"/>
      <c r="BA768" s="35"/>
      <c r="BB768" s="35"/>
      <c r="BC768" s="35"/>
      <c r="BD768" s="35"/>
      <c r="BE768" s="35"/>
      <c r="BF768" s="35"/>
      <c r="BG768" s="35"/>
      <c r="BH768" s="35"/>
      <c r="BI768" s="35"/>
      <c r="BJ768" s="35"/>
      <c r="BK768" s="35"/>
      <c r="BL768" s="35"/>
      <c r="BM768" s="35"/>
      <c r="BN768" s="35"/>
      <c r="BO768" s="86"/>
    </row>
    <row r="769" spans="1:67" s="40" customFormat="1" ht="15.75" customHeight="1" thickBot="1" x14ac:dyDescent="0.3">
      <c r="A769" s="520">
        <f>IFERROR(VLOOKUP($G$5,'רשימת רשויות'!A:C,3,0),0)</f>
        <v>0</v>
      </c>
      <c r="B769" s="520">
        <f t="shared" si="102"/>
        <v>0</v>
      </c>
      <c r="C769" s="39"/>
      <c r="D769" s="1134"/>
      <c r="E769" s="1137"/>
      <c r="F769" s="589" t="s">
        <v>2280</v>
      </c>
      <c r="G769" s="99">
        <f>+G780</f>
        <v>0</v>
      </c>
      <c r="H769" s="100">
        <f>K763</f>
        <v>0</v>
      </c>
      <c r="I769" s="100">
        <f>H769-I771</f>
        <v>0</v>
      </c>
      <c r="J769" s="101">
        <f>IFERROR(I769/H769,0)</f>
        <v>0</v>
      </c>
      <c r="K769" s="603"/>
      <c r="L769" s="603"/>
      <c r="M769" s="603"/>
      <c r="N769" s="603"/>
      <c r="O769" s="603"/>
      <c r="P769" s="605"/>
      <c r="Q769" s="604"/>
      <c r="R769" s="606" t="s">
        <v>157</v>
      </c>
      <c r="S769" s="611"/>
      <c r="T769" s="881"/>
      <c r="U769" s="598"/>
      <c r="V769" s="599"/>
      <c r="W769" s="599"/>
      <c r="X769" s="599"/>
      <c r="Y769" s="879"/>
      <c r="Z769" s="102"/>
      <c r="AA769" s="122"/>
      <c r="AB769" s="122"/>
      <c r="AC769" s="493"/>
      <c r="AD769" s="495"/>
      <c r="AE769" s="122"/>
      <c r="AF769" s="22"/>
      <c r="AG769" s="98"/>
      <c r="AH769" s="98"/>
      <c r="AI769" s="20"/>
      <c r="AO769" s="22"/>
      <c r="AP769" s="22"/>
      <c r="AQ769" s="22"/>
      <c r="AR769" s="22"/>
      <c r="AS769" s="22"/>
      <c r="AT769" s="22"/>
      <c r="AU769" s="35"/>
      <c r="AV769" s="35"/>
      <c r="AW769" s="35"/>
      <c r="AX769" s="35"/>
      <c r="AY769" s="35"/>
      <c r="AZ769" s="35"/>
      <c r="BA769" s="35"/>
      <c r="BB769" s="35"/>
      <c r="BC769" s="35"/>
      <c r="BD769" s="35"/>
      <c r="BE769" s="35"/>
      <c r="BF769" s="35"/>
      <c r="BG769" s="35"/>
      <c r="BH769" s="35"/>
      <c r="BI769" s="35"/>
      <c r="BJ769" s="35"/>
      <c r="BK769" s="35"/>
      <c r="BL769" s="35"/>
      <c r="BM769" s="35"/>
      <c r="BN769" s="35"/>
      <c r="BO769" s="86"/>
    </row>
    <row r="770" spans="1:67" s="40" customFormat="1" ht="15.75" customHeight="1" thickBot="1" x14ac:dyDescent="0.3">
      <c r="A770" s="520">
        <f>IFERROR(VLOOKUP($G$5,'רשימת רשויות'!A:C,3,0),0)</f>
        <v>0</v>
      </c>
      <c r="B770" s="520">
        <f t="shared" si="102"/>
        <v>0</v>
      </c>
      <c r="C770" s="39"/>
      <c r="D770" s="1134"/>
      <c r="E770" s="1137"/>
      <c r="F770" s="589" t="s">
        <v>2281</v>
      </c>
      <c r="G770" s="99">
        <f>+G779</f>
        <v>0</v>
      </c>
      <c r="H770" s="103"/>
      <c r="I770" s="104"/>
      <c r="J770" s="105"/>
      <c r="K770" s="603"/>
      <c r="L770" s="603"/>
      <c r="M770" s="603"/>
      <c r="N770" s="603"/>
      <c r="O770" s="603"/>
      <c r="P770" s="605"/>
      <c r="Q770" s="604"/>
      <c r="R770" s="473">
        <f>I771-R772</f>
        <v>0</v>
      </c>
      <c r="S770" s="611"/>
      <c r="T770" s="881"/>
      <c r="U770" s="598"/>
      <c r="V770" s="599"/>
      <c r="W770" s="599"/>
      <c r="X770" s="599"/>
      <c r="Y770" s="879"/>
      <c r="Z770" s="106"/>
      <c r="AA770" s="22"/>
      <c r="AB770" s="22"/>
      <c r="AC770" s="493"/>
      <c r="AD770" s="495"/>
      <c r="AE770" s="22"/>
      <c r="AF770" s="22"/>
      <c r="AG770" s="98"/>
      <c r="AH770" s="98"/>
      <c r="AI770" s="20"/>
      <c r="AO770" s="22"/>
      <c r="AP770" s="22"/>
      <c r="AQ770" s="22"/>
      <c r="AR770" s="22"/>
      <c r="AS770" s="22"/>
      <c r="AT770" s="22"/>
      <c r="AU770" s="35"/>
      <c r="AV770" s="35"/>
      <c r="AW770" s="35"/>
      <c r="AX770" s="35"/>
      <c r="AY770" s="35"/>
      <c r="AZ770" s="35"/>
      <c r="BA770" s="35"/>
      <c r="BB770" s="35"/>
      <c r="BC770" s="35"/>
      <c r="BD770" s="35"/>
      <c r="BE770" s="35"/>
      <c r="BF770" s="35"/>
      <c r="BG770" s="35"/>
      <c r="BH770" s="35"/>
      <c r="BI770" s="35"/>
      <c r="BJ770" s="35"/>
      <c r="BK770" s="35"/>
      <c r="BL770" s="35"/>
      <c r="BM770" s="35"/>
      <c r="BN770" s="35"/>
      <c r="BO770" s="86"/>
    </row>
    <row r="771" spans="1:67" s="40" customFormat="1" ht="16.5" customHeight="1" thickBot="1" x14ac:dyDescent="0.3">
      <c r="A771" s="520">
        <f>IFERROR(VLOOKUP($G$5,'רשימת רשויות'!A:C,3,0),0)</f>
        <v>0</v>
      </c>
      <c r="B771" s="520">
        <f t="shared" si="102"/>
        <v>0</v>
      </c>
      <c r="C771" s="39"/>
      <c r="D771" s="1134"/>
      <c r="E771" s="1137"/>
      <c r="F771" s="589" t="s">
        <v>2282</v>
      </c>
      <c r="G771" s="99">
        <f>G775+G776+G777</f>
        <v>0</v>
      </c>
      <c r="H771" s="104"/>
      <c r="I771" s="107">
        <f>MAX(H769-G769-G770,0)</f>
        <v>0</v>
      </c>
      <c r="J771" s="108">
        <f>IFERROR(I771/H769,0)</f>
        <v>0</v>
      </c>
      <c r="K771" s="603"/>
      <c r="L771" s="603"/>
      <c r="M771" s="603"/>
      <c r="N771" s="603"/>
      <c r="O771" s="603"/>
      <c r="P771" s="604"/>
      <c r="Q771" s="604"/>
      <c r="R771" s="606" t="s">
        <v>158</v>
      </c>
      <c r="S771" s="612"/>
      <c r="T771" s="881"/>
      <c r="U771" s="598"/>
      <c r="V771" s="599"/>
      <c r="W771" s="599"/>
      <c r="X771" s="599"/>
      <c r="Y771" s="879"/>
      <c r="Z771" s="106"/>
      <c r="AA771" s="22"/>
      <c r="AB771" s="22"/>
      <c r="AC771" s="493"/>
      <c r="AD771" s="495"/>
      <c r="AE771" s="22"/>
      <c r="AF771" s="22"/>
      <c r="AG771" s="22"/>
      <c r="AH771" s="22"/>
      <c r="AI771" s="55"/>
      <c r="AJ771" s="22"/>
      <c r="AK771" s="22"/>
      <c r="AO771" s="22"/>
      <c r="AP771" s="22"/>
      <c r="AQ771" s="22"/>
      <c r="AR771" s="22"/>
      <c r="AS771" s="22"/>
      <c r="AT771" s="22"/>
      <c r="AU771" s="35"/>
      <c r="AV771" s="35"/>
      <c r="AW771" s="35"/>
      <c r="AX771" s="35"/>
      <c r="AY771" s="35"/>
      <c r="AZ771" s="35"/>
      <c r="BA771" s="35"/>
      <c r="BB771" s="35"/>
      <c r="BC771" s="35"/>
      <c r="BD771" s="35"/>
      <c r="BE771" s="35"/>
      <c r="BF771" s="35"/>
      <c r="BG771" s="35"/>
      <c r="BH771" s="35"/>
      <c r="BI771" s="35"/>
      <c r="BJ771" s="35"/>
      <c r="BK771" s="35"/>
      <c r="BL771" s="35"/>
      <c r="BM771" s="35"/>
      <c r="BN771" s="35"/>
      <c r="BO771" s="86"/>
    </row>
    <row r="772" spans="1:67" s="40" customFormat="1" ht="15.75" customHeight="1" thickBot="1" x14ac:dyDescent="0.3">
      <c r="A772" s="520">
        <f>IFERROR(VLOOKUP($G$5,'רשימת רשויות'!A:C,3,0),0)</f>
        <v>0</v>
      </c>
      <c r="B772" s="520">
        <f t="shared" si="102"/>
        <v>0</v>
      </c>
      <c r="C772" s="39"/>
      <c r="D772" s="1134"/>
      <c r="E772" s="1137"/>
      <c r="F772" s="590" t="s">
        <v>2290</v>
      </c>
      <c r="G772" s="109"/>
      <c r="H772" s="110"/>
      <c r="I772" s="111">
        <f>SUM(I769:I771)</f>
        <v>0</v>
      </c>
      <c r="J772" s="112">
        <f>SUM(J769:J771)</f>
        <v>0</v>
      </c>
      <c r="K772" s="603"/>
      <c r="L772" s="603"/>
      <c r="M772" s="603"/>
      <c r="N772" s="603"/>
      <c r="O772" s="603"/>
      <c r="P772" s="604"/>
      <c r="Q772" s="604"/>
      <c r="R772" s="473">
        <f>MIN(MAX(G776+G777-I765-J765,0),I771)</f>
        <v>0</v>
      </c>
      <c r="S772" s="612"/>
      <c r="T772" s="881"/>
      <c r="U772" s="598"/>
      <c r="V772" s="599"/>
      <c r="W772" s="599"/>
      <c r="X772" s="599"/>
      <c r="Y772" s="879"/>
      <c r="Z772" s="106"/>
      <c r="AA772" s="22"/>
      <c r="AB772" s="22"/>
      <c r="AC772" s="493"/>
      <c r="AD772" s="495"/>
      <c r="AE772" s="22"/>
      <c r="AF772" s="22"/>
      <c r="AG772" s="22"/>
      <c r="AH772" s="22"/>
      <c r="AJ772" s="22"/>
      <c r="AK772" s="22"/>
      <c r="AO772" s="22"/>
      <c r="AP772" s="22"/>
      <c r="AQ772" s="22"/>
      <c r="AR772" s="22"/>
      <c r="AS772" s="22"/>
      <c r="AT772" s="22"/>
      <c r="AU772" s="35"/>
      <c r="AV772" s="35"/>
      <c r="AW772" s="35"/>
      <c r="AX772" s="35"/>
      <c r="AY772" s="35"/>
      <c r="AZ772" s="35"/>
      <c r="BA772" s="35"/>
      <c r="BB772" s="35"/>
      <c r="BC772" s="35"/>
      <c r="BD772" s="35"/>
      <c r="BE772" s="35"/>
      <c r="BF772" s="35"/>
      <c r="BG772" s="35"/>
      <c r="BH772" s="35"/>
      <c r="BI772" s="35"/>
      <c r="BJ772" s="35"/>
      <c r="BK772" s="35"/>
      <c r="BL772" s="35"/>
      <c r="BM772" s="35"/>
      <c r="BN772" s="35"/>
      <c r="BO772" s="86"/>
    </row>
    <row r="773" spans="1:67" ht="16.5" thickBot="1" x14ac:dyDescent="0.3">
      <c r="A773" s="520">
        <f>IFERROR(VLOOKUP($G$5,'רשימת רשויות'!A:C,3,0),0)</f>
        <v>0</v>
      </c>
      <c r="B773" s="520">
        <f t="shared" si="102"/>
        <v>0</v>
      </c>
      <c r="D773" s="1134"/>
      <c r="E773" s="1137"/>
      <c r="F773" s="587" t="s">
        <v>17</v>
      </c>
      <c r="G773" s="113"/>
      <c r="H773" s="92"/>
      <c r="I773" s="114"/>
      <c r="J773" s="115"/>
      <c r="K773" s="116"/>
      <c r="L773" s="406"/>
      <c r="M773" s="116"/>
      <c r="N773" s="116"/>
      <c r="O773" s="116"/>
      <c r="P773" s="474"/>
      <c r="Q773" s="607"/>
      <c r="R773" s="608"/>
      <c r="S773" s="612"/>
      <c r="T773" s="881"/>
      <c r="U773" s="598"/>
      <c r="V773" s="599"/>
      <c r="W773" s="599"/>
      <c r="X773" s="599"/>
      <c r="Y773" s="879"/>
      <c r="Z773" s="106"/>
      <c r="AI773" s="40"/>
      <c r="BO773" s="86"/>
    </row>
    <row r="774" spans="1:67" ht="47.25" x14ac:dyDescent="0.25">
      <c r="A774" s="520">
        <f>IFERROR(VLOOKUP($G$5,'רשימת רשויות'!A:C,3,0),0)</f>
        <v>0</v>
      </c>
      <c r="B774" s="520">
        <f t="shared" si="102"/>
        <v>0</v>
      </c>
      <c r="D774" s="1134"/>
      <c r="E774" s="1137"/>
      <c r="F774" s="588" t="s">
        <v>2</v>
      </c>
      <c r="G774" s="95" t="s">
        <v>18</v>
      </c>
      <c r="H774" s="95" t="s">
        <v>19</v>
      </c>
      <c r="I774" s="95" t="s">
        <v>20</v>
      </c>
      <c r="J774" s="95" t="s">
        <v>22</v>
      </c>
      <c r="K774" s="96" t="s">
        <v>2314</v>
      </c>
      <c r="L774" s="609"/>
      <c r="M774" s="609"/>
      <c r="N774" s="609"/>
      <c r="O774" s="580"/>
      <c r="P774" s="618" t="s">
        <v>2298</v>
      </c>
      <c r="Q774" s="618" t="s">
        <v>2299</v>
      </c>
      <c r="R774" s="596"/>
      <c r="S774" s="890" t="s">
        <v>2519</v>
      </c>
      <c r="T774" s="890" t="s">
        <v>97</v>
      </c>
      <c r="U774" s="891" t="s">
        <v>2521</v>
      </c>
      <c r="V774" s="892" t="s">
        <v>2520</v>
      </c>
      <c r="W774" s="893" t="s">
        <v>2524</v>
      </c>
      <c r="X774" s="892" t="s">
        <v>2522</v>
      </c>
      <c r="Y774" s="894" t="s">
        <v>2523</v>
      </c>
      <c r="Z774" s="106"/>
      <c r="AC774" s="498" t="s">
        <v>2568</v>
      </c>
      <c r="AD774" s="499" t="s">
        <v>2569</v>
      </c>
      <c r="AF774" s="122"/>
      <c r="AI774" s="40"/>
      <c r="BO774" s="86"/>
    </row>
    <row r="775" spans="1:67" ht="15" customHeight="1" thickBot="1" x14ac:dyDescent="0.3">
      <c r="A775" s="520">
        <f>IFERROR(VLOOKUP($G$5,'רשימת רשויות'!A:C,3,0),0)</f>
        <v>0</v>
      </c>
      <c r="B775" s="520">
        <f t="shared" si="102"/>
        <v>0</v>
      </c>
      <c r="D775" s="1134"/>
      <c r="E775" s="1137"/>
      <c r="F775" s="589" t="s">
        <v>76</v>
      </c>
      <c r="G775" s="117">
        <f>IF(G766="תקין",SUMIF('עלויות כח אדם (6)'!$B$15:$B$3014,'בית ספר - תקצוב לפי מוסד (9)'!$G761,'עלויות כח אדם (6)'!$M$15:$M$3014)-VLOOKUP('בית ספר - תקצוב לפי מוסד (9)'!G761,' איוש משרות (8)'!$C:$H,5,0)-VLOOKUP('בית ספר - תקצוב לפי מוסד (9)'!G761,' איוש משרות (8)'!$C:$H,6,0),0)-Y775</f>
        <v>0</v>
      </c>
      <c r="H775" s="118">
        <f>I763+R770</f>
        <v>0</v>
      </c>
      <c r="I775" s="119">
        <f>IFERROR(SUM(G775)/H775,0)</f>
        <v>0</v>
      </c>
      <c r="J775" s="100">
        <f>MIN(I763+R770,IF(ISNUMBER(G775),G775,0))</f>
        <v>0</v>
      </c>
      <c r="K775" s="120">
        <f>MAX(H775-G775,0)</f>
        <v>0</v>
      </c>
      <c r="L775" s="407"/>
      <c r="M775" s="393"/>
      <c r="N775" s="393"/>
      <c r="O775" s="580"/>
      <c r="P775" s="968">
        <f>IFERROR(IF(SUM(G775)/(I763)&lt;100%,MIN((I763)-SUM(G775),(I763)*0.25),0),0)</f>
        <v>0</v>
      </c>
      <c r="Q775" s="968">
        <f>IF(SUM(G775)-(I763+R770)&gt;0,SUM(G775)-(I763+R770),0)</f>
        <v>0</v>
      </c>
      <c r="R775" s="596" t="s">
        <v>2351</v>
      </c>
      <c r="S775" s="576" t="s">
        <v>2342</v>
      </c>
      <c r="T775" s="599">
        <f>G761</f>
        <v>0</v>
      </c>
      <c r="U775" s="578"/>
      <c r="V775" s="579">
        <f>G775+G776+G777</f>
        <v>0</v>
      </c>
      <c r="W775" s="579">
        <f>U775-V775</f>
        <v>0</v>
      </c>
      <c r="X775" s="579">
        <f>IFERROR(W789*W775/(SUM(W775:W788)),0)</f>
        <v>0</v>
      </c>
      <c r="Y775" s="879">
        <f>SUMIFS(בקרה!$S:$S,בקרה!$D:$D,T775,בקרה!$K:$K,S775)</f>
        <v>0</v>
      </c>
      <c r="Z775" s="121"/>
      <c r="AA775" s="143"/>
      <c r="AB775" s="143"/>
      <c r="AC775" s="504">
        <v>0</v>
      </c>
      <c r="AD775" s="505">
        <f>IFERROR(U775-AC775,0)</f>
        <v>0</v>
      </c>
      <c r="AE775" s="143"/>
      <c r="AI775" s="20"/>
      <c r="BO775" s="86"/>
    </row>
    <row r="776" spans="1:67" ht="15" customHeight="1" thickBot="1" x14ac:dyDescent="0.3">
      <c r="A776" s="520">
        <f>IFERROR(VLOOKUP($G$5,'רשימת רשויות'!A:C,3,0),0)</f>
        <v>0</v>
      </c>
      <c r="B776" s="520">
        <f t="shared" si="102"/>
        <v>0</v>
      </c>
      <c r="D776" s="1134"/>
      <c r="E776" s="1137"/>
      <c r="F776" s="589" t="s">
        <v>44</v>
      </c>
      <c r="G776" s="123">
        <f>IF(G766="תקין",IFERROR(VLOOKUP('בית ספר - תקצוב לפי מוסד (9)'!G761,' איוש משרות (8)'!C:J,7,0),0),0)</f>
        <v>0</v>
      </c>
      <c r="H776" s="124">
        <f>I765+R772+J765</f>
        <v>0</v>
      </c>
      <c r="I776" s="119">
        <f>IFERROR(SUM(G776:G777)/H776,0)</f>
        <v>0</v>
      </c>
      <c r="J776" s="100">
        <f>MIN(R772+I765,IF(ISNUMBER(SUM(G776:G777)),SUM(G776:G777),0))</f>
        <v>0</v>
      </c>
      <c r="K776" s="1139">
        <f>MAX((H776)-(G776+G777),0)</f>
        <v>0</v>
      </c>
      <c r="L776" s="407"/>
      <c r="M776" s="393"/>
      <c r="N776" s="393"/>
      <c r="O776" s="580"/>
      <c r="P776" s="1140"/>
      <c r="Q776" s="1140"/>
      <c r="R776" s="617">
        <f>MAX(MIN(P784-Q784,H784*0.15-G782),0)</f>
        <v>0</v>
      </c>
      <c r="S776" s="576"/>
      <c r="T776" s="599">
        <f>G761</f>
        <v>0</v>
      </c>
      <c r="U776" s="578"/>
      <c r="V776" s="579"/>
      <c r="W776" s="579">
        <f t="shared" ref="W776:W788" si="108">U776-V776</f>
        <v>0</v>
      </c>
      <c r="X776" s="579"/>
      <c r="Y776" s="879"/>
      <c r="Z776" s="121"/>
      <c r="AA776" s="143"/>
      <c r="AB776" s="143"/>
      <c r="AC776" s="504"/>
      <c r="AD776" s="505">
        <f t="shared" ref="AD776:AD782" si="109">IFERROR(U776-AC776,0)</f>
        <v>0</v>
      </c>
      <c r="AE776" s="143"/>
      <c r="AI776" s="20"/>
      <c r="BO776" s="86"/>
    </row>
    <row r="777" spans="1:67" ht="15.75" customHeight="1" x14ac:dyDescent="0.25">
      <c r="A777" s="520">
        <f>IFERROR(VLOOKUP($G$5,'רשימת רשויות'!A:C,3,0),0)</f>
        <v>0</v>
      </c>
      <c r="B777" s="520">
        <f t="shared" si="102"/>
        <v>0</v>
      </c>
      <c r="D777" s="1134"/>
      <c r="E777" s="1137"/>
      <c r="F777" s="589" t="s">
        <v>45</v>
      </c>
      <c r="G777" s="123">
        <f>IF(G766="תקין",IFERROR(VLOOKUP('בית ספר - תקצוב לפי מוסד (9)'!G761,' איוש משרות (8)'!C:J,8,0),0),0)</f>
        <v>0</v>
      </c>
      <c r="H777" s="125"/>
      <c r="I777" s="126"/>
      <c r="J777" s="104"/>
      <c r="K777" s="1139"/>
      <c r="L777" s="407"/>
      <c r="M777" s="393"/>
      <c r="N777" s="393"/>
      <c r="O777" s="580"/>
      <c r="P777" s="1140"/>
      <c r="Q777" s="1140"/>
      <c r="R777" s="596"/>
      <c r="S777" s="576"/>
      <c r="T777" s="599">
        <f>G761</f>
        <v>0</v>
      </c>
      <c r="U777" s="578"/>
      <c r="V777" s="579"/>
      <c r="W777" s="579">
        <f t="shared" si="108"/>
        <v>0</v>
      </c>
      <c r="X777" s="579"/>
      <c r="Y777" s="879"/>
      <c r="Z777" s="121"/>
      <c r="AA777" s="143"/>
      <c r="AB777" s="143"/>
      <c r="AC777" s="504"/>
      <c r="AD777" s="505">
        <f t="shared" si="109"/>
        <v>0</v>
      </c>
      <c r="AE777" s="143"/>
      <c r="AG777" s="55"/>
      <c r="AH777" s="55"/>
      <c r="AI777" s="55"/>
      <c r="AJ777" s="55"/>
      <c r="AK777" s="55"/>
      <c r="BO777" s="86"/>
    </row>
    <row r="778" spans="1:67" ht="15.75" customHeight="1" x14ac:dyDescent="0.25">
      <c r="A778" s="520">
        <f>IFERROR(VLOOKUP($G$5,'רשימת רשויות'!A:C,3,0),0)</f>
        <v>0</v>
      </c>
      <c r="B778" s="520">
        <f t="shared" si="102"/>
        <v>0</v>
      </c>
      <c r="D778" s="1134"/>
      <c r="E778" s="1137"/>
      <c r="F778" s="589" t="s">
        <v>0</v>
      </c>
      <c r="G778" s="117">
        <f>IF(G766="תקין",SUMIFS('דוח הוצאות בפועל (4)'!$E$17:$E$3016,'דוח הוצאות בפועל (4)'!$B$17:$B$3016,'בית ספר - תקצוב לפי מוסד (9)'!$G761,'דוח הוצאות בפועל (4)'!$M$17:$M$3016,"הע"),0)-Y778</f>
        <v>0</v>
      </c>
      <c r="H778" s="127">
        <f>J763</f>
        <v>0</v>
      </c>
      <c r="I778" s="128">
        <f>IFERROR(G778/H778,0)</f>
        <v>0</v>
      </c>
      <c r="J778" s="129">
        <f>MIN(IF(ISNUMBER(G778),G778,0),H778)</f>
        <v>0</v>
      </c>
      <c r="K778" s="120">
        <f>MAX(H778-G778,0)</f>
        <v>0</v>
      </c>
      <c r="L778" s="407"/>
      <c r="M778" s="393"/>
      <c r="N778" s="393"/>
      <c r="O778" s="580"/>
      <c r="P778" s="968">
        <f>MAX(IF(I778&lt;100%,MIN((H778-G778),H778*0.25),0),0)</f>
        <v>0</v>
      </c>
      <c r="Q778" s="619">
        <f>IF(G778-H778&gt;0,G778-H778,0)</f>
        <v>0</v>
      </c>
      <c r="R778" s="596"/>
      <c r="S778" s="610" t="s">
        <v>0</v>
      </c>
      <c r="T778" s="599">
        <f>G761</f>
        <v>0</v>
      </c>
      <c r="U778" s="578"/>
      <c r="V778" s="579">
        <f>G778</f>
        <v>0</v>
      </c>
      <c r="W778" s="579">
        <f t="shared" si="108"/>
        <v>0</v>
      </c>
      <c r="X778" s="579">
        <f>IFERROR(W789*W778/(SUM(W775:W788)),0)</f>
        <v>0</v>
      </c>
      <c r="Y778" s="879">
        <f>SUMIFS(בקרה!$S:$S,בקרה!$D:$D,T778,בקרה!$K:$K,S778)</f>
        <v>0</v>
      </c>
      <c r="Z778" s="121"/>
      <c r="AA778" s="143"/>
      <c r="AB778" s="143"/>
      <c r="AC778" s="504">
        <v>0</v>
      </c>
      <c r="AD778" s="505">
        <f t="shared" si="109"/>
        <v>0</v>
      </c>
      <c r="AE778" s="143"/>
      <c r="AG778" s="55"/>
      <c r="AH778" s="55"/>
      <c r="AI778" s="40"/>
      <c r="AJ778" s="55"/>
      <c r="AK778" s="55"/>
      <c r="BO778" s="86"/>
    </row>
    <row r="779" spans="1:67" s="55" customFormat="1" ht="15.75" customHeight="1" x14ac:dyDescent="0.25">
      <c r="A779" s="520">
        <f>IFERROR(VLOOKUP($G$5,'רשימת רשויות'!A:C,3,0),0)</f>
        <v>0</v>
      </c>
      <c r="B779" s="520">
        <f t="shared" si="102"/>
        <v>0</v>
      </c>
      <c r="C779" s="39"/>
      <c r="D779" s="1134"/>
      <c r="E779" s="1137"/>
      <c r="F779" s="589" t="s">
        <v>93</v>
      </c>
      <c r="G779" s="130">
        <f>IF(G766="תקין",SUMIFS('דוח הוצאות בפועל (4)'!$E$17:$E$3016,'דוח הוצאות בפועל (4)'!$B$17:$B$3016,'בית ספר - תקצוב לפי מוסד (9)'!$G761,'דוח הוצאות בפועל (4)'!$M$17:$M$3016,"אר"),0)-Y779</f>
        <v>0</v>
      </c>
      <c r="H779" s="118">
        <f>$I769</f>
        <v>0</v>
      </c>
      <c r="I779" s="131">
        <f>IFERROR((G779+G780)/H779,0)</f>
        <v>0</v>
      </c>
      <c r="J779" s="100">
        <f>MIN((IF(ISNUMBER(G779),G779,0)+IF(ISNUMBER(G780),G780,0)),H779)</f>
        <v>0</v>
      </c>
      <c r="K779" s="1139">
        <f>MAX((H779)-(G779+G780),0)</f>
        <v>0</v>
      </c>
      <c r="L779" s="407"/>
      <c r="M779" s="393"/>
      <c r="N779" s="393"/>
      <c r="O779" s="602"/>
      <c r="P779" s="1141"/>
      <c r="Q779" s="1142"/>
      <c r="R779" s="596"/>
      <c r="S779" s="610" t="s">
        <v>93</v>
      </c>
      <c r="T779" s="599">
        <f>G761</f>
        <v>0</v>
      </c>
      <c r="U779" s="578"/>
      <c r="V779" s="579">
        <f t="shared" ref="V779:V780" si="110">G779</f>
        <v>0</v>
      </c>
      <c r="W779" s="579">
        <f t="shared" si="108"/>
        <v>0</v>
      </c>
      <c r="X779" s="579">
        <f>IFERROR(W789*W779/(SUM(W775:W788)),0)</f>
        <v>0</v>
      </c>
      <c r="Y779" s="879">
        <f>SUMIFS(בקרה!$S:$S,בקרה!$D:$D,T779,בקרה!$K:$K,S779)</f>
        <v>0</v>
      </c>
      <c r="Z779" s="121"/>
      <c r="AA779" s="143"/>
      <c r="AB779" s="143"/>
      <c r="AC779" s="504">
        <v>0</v>
      </c>
      <c r="AD779" s="505">
        <f t="shared" si="109"/>
        <v>0</v>
      </c>
      <c r="AE779" s="143"/>
      <c r="AJ779" s="22"/>
      <c r="AO779" s="22"/>
      <c r="AP779" s="22"/>
      <c r="AQ779" s="22"/>
      <c r="AR779" s="22"/>
      <c r="AS779" s="22"/>
      <c r="AT779" s="22"/>
      <c r="AU779" s="35"/>
      <c r="AV779" s="35"/>
      <c r="AW779" s="35"/>
      <c r="AX779" s="35"/>
      <c r="AY779" s="35"/>
      <c r="AZ779" s="35"/>
      <c r="BA779" s="35"/>
      <c r="BB779" s="35"/>
      <c r="BC779" s="35"/>
      <c r="BD779" s="35"/>
      <c r="BE779" s="35"/>
      <c r="BF779" s="35"/>
      <c r="BG779" s="35"/>
      <c r="BH779" s="35"/>
      <c r="BI779" s="35"/>
      <c r="BJ779" s="35"/>
      <c r="BK779" s="35"/>
      <c r="BL779" s="35"/>
      <c r="BM779" s="35"/>
      <c r="BN779" s="35"/>
      <c r="BO779" s="86"/>
    </row>
    <row r="780" spans="1:67" s="55" customFormat="1" ht="15.75" customHeight="1" x14ac:dyDescent="0.25">
      <c r="A780" s="520">
        <f>IFERROR(VLOOKUP($G$5,'רשימת רשויות'!A:C,3,0),0)</f>
        <v>0</v>
      </c>
      <c r="B780" s="520">
        <f t="shared" si="102"/>
        <v>0</v>
      </c>
      <c r="C780" s="39"/>
      <c r="D780" s="1134"/>
      <c r="E780" s="1137"/>
      <c r="F780" s="589" t="s">
        <v>46</v>
      </c>
      <c r="G780" s="130">
        <f>IF(G766="תקין",SUMIFS('דוח הוצאות בפועל (4)'!$E$17:$E$3016,'דוח הוצאות בפועל (4)'!$B$17:$B$3016,'בית ספר - תקצוב לפי מוסד (9)'!$G761,'דוח הוצאות בפועל (4)'!$M$17:$M$3016,"מל"),0)-Y780</f>
        <v>0</v>
      </c>
      <c r="H780" s="132"/>
      <c r="I780" s="133"/>
      <c r="J780" s="104"/>
      <c r="K780" s="1139"/>
      <c r="L780" s="407"/>
      <c r="M780" s="393"/>
      <c r="N780" s="393"/>
      <c r="O780" s="602"/>
      <c r="P780" s="1141"/>
      <c r="Q780" s="1142"/>
      <c r="R780" s="596"/>
      <c r="S780" s="610" t="s">
        <v>46</v>
      </c>
      <c r="T780" s="599">
        <f>G761</f>
        <v>0</v>
      </c>
      <c r="U780" s="578"/>
      <c r="V780" s="579">
        <f t="shared" si="110"/>
        <v>0</v>
      </c>
      <c r="W780" s="579">
        <f t="shared" si="108"/>
        <v>0</v>
      </c>
      <c r="X780" s="579">
        <f>IFERROR(W789*W780/(SUM(W775:W788)),0)</f>
        <v>0</v>
      </c>
      <c r="Y780" s="879">
        <f>SUMIFS(בקרה!$S:$S,בקרה!$D:$D,T780,בקרה!$K:$K,S780)</f>
        <v>0</v>
      </c>
      <c r="Z780" s="121"/>
      <c r="AA780" s="143"/>
      <c r="AB780" s="143"/>
      <c r="AC780" s="504">
        <v>0</v>
      </c>
      <c r="AD780" s="505">
        <f t="shared" si="109"/>
        <v>0</v>
      </c>
      <c r="AE780" s="143"/>
      <c r="AJ780" s="22"/>
      <c r="AO780" s="22"/>
      <c r="AP780" s="22"/>
      <c r="AQ780" s="22"/>
      <c r="AR780" s="22"/>
      <c r="AS780" s="22"/>
      <c r="AT780" s="22"/>
      <c r="AU780" s="35"/>
      <c r="AV780" s="35"/>
      <c r="AW780" s="35"/>
      <c r="AX780" s="35"/>
      <c r="AY780" s="35"/>
      <c r="AZ780" s="35"/>
      <c r="BA780" s="35"/>
      <c r="BB780" s="35"/>
      <c r="BC780" s="35"/>
      <c r="BD780" s="35"/>
      <c r="BE780" s="35"/>
      <c r="BF780" s="35"/>
      <c r="BG780" s="35"/>
      <c r="BH780" s="35"/>
      <c r="BI780" s="35"/>
      <c r="BJ780" s="35"/>
      <c r="BK780" s="35"/>
      <c r="BL780" s="35"/>
      <c r="BM780" s="35"/>
      <c r="BN780" s="35"/>
      <c r="BO780" s="86"/>
    </row>
    <row r="781" spans="1:67" s="55" customFormat="1" ht="15" customHeight="1" x14ac:dyDescent="0.25">
      <c r="A781" s="520">
        <f>IFERROR(VLOOKUP($G$5,'רשימת רשויות'!A:C,3,0),0)</f>
        <v>0</v>
      </c>
      <c r="B781" s="520">
        <f t="shared" si="102"/>
        <v>0</v>
      </c>
      <c r="C781" s="39"/>
      <c r="D781" s="1134"/>
      <c r="E781" s="1137"/>
      <c r="F781" s="591" t="s">
        <v>23</v>
      </c>
      <c r="G781" s="134">
        <f>SUM(G775:G780)</f>
        <v>0</v>
      </c>
      <c r="H781" s="135">
        <f>SUM(H775:H780)</f>
        <v>0</v>
      </c>
      <c r="I781" s="128">
        <f>IFERROR(G781/H781,0)</f>
        <v>0</v>
      </c>
      <c r="J781" s="136">
        <f>SUM(J775:J780)</f>
        <v>0</v>
      </c>
      <c r="K781" s="137">
        <f>SUM(K775:K780)</f>
        <v>0</v>
      </c>
      <c r="L781" s="408"/>
      <c r="M781" s="394"/>
      <c r="N781" s="394"/>
      <c r="O781" s="602"/>
      <c r="P781" s="620">
        <f>SUM(P775:P780)</f>
        <v>0</v>
      </c>
      <c r="Q781" s="620">
        <f>SUM(Q775:Q780)</f>
        <v>0</v>
      </c>
      <c r="R781" s="596"/>
      <c r="S781" s="610"/>
      <c r="T781" s="599">
        <f>G761</f>
        <v>0</v>
      </c>
      <c r="U781" s="578"/>
      <c r="V781" s="579"/>
      <c r="W781" s="579">
        <f t="shared" si="108"/>
        <v>0</v>
      </c>
      <c r="X781" s="579"/>
      <c r="Y781" s="879"/>
      <c r="Z781" s="121"/>
      <c r="AA781" s="143"/>
      <c r="AB781" s="143"/>
      <c r="AC781" s="504"/>
      <c r="AD781" s="505">
        <f t="shared" si="109"/>
        <v>0</v>
      </c>
      <c r="AE781" s="143"/>
      <c r="AJ781" s="22"/>
      <c r="AL781" s="22"/>
      <c r="AM781" s="22"/>
      <c r="AN781" s="22"/>
      <c r="AO781" s="22"/>
      <c r="AP781" s="22"/>
      <c r="AQ781" s="22"/>
      <c r="AR781" s="22"/>
      <c r="AS781" s="22"/>
      <c r="AT781" s="22"/>
      <c r="AU781" s="35"/>
      <c r="AV781" s="35"/>
      <c r="AW781" s="35"/>
      <c r="AX781" s="35"/>
      <c r="AY781" s="35"/>
      <c r="AZ781" s="35"/>
      <c r="BA781" s="35"/>
      <c r="BB781" s="35"/>
      <c r="BC781" s="35"/>
      <c r="BD781" s="35"/>
      <c r="BE781" s="35"/>
      <c r="BF781" s="35"/>
      <c r="BG781" s="35"/>
      <c r="BH781" s="35"/>
      <c r="BI781" s="35"/>
      <c r="BJ781" s="35"/>
      <c r="BK781" s="35"/>
      <c r="BL781" s="35"/>
      <c r="BM781" s="35"/>
      <c r="BN781" s="35"/>
      <c r="BO781" s="86"/>
    </row>
    <row r="782" spans="1:67" s="55" customFormat="1" ht="15" customHeight="1" x14ac:dyDescent="0.25">
      <c r="A782" s="520">
        <f>IFERROR(VLOOKUP($G$5,'רשימת רשויות'!A:C,3,0),0)</f>
        <v>0</v>
      </c>
      <c r="B782" s="520">
        <f t="shared" ref="B782:B845" si="111">IF(F783="סמל המוסד",G783,B781)</f>
        <v>0</v>
      </c>
      <c r="C782" s="39"/>
      <c r="D782" s="1134"/>
      <c r="E782" s="1137"/>
      <c r="F782" s="589" t="s">
        <v>3</v>
      </c>
      <c r="G782" s="117">
        <f>IF(G766="תקין",SUMIFS('דוח הוצאות בפועל (4)'!$E$17:$E$3016,'דוח הוצאות בפועל (4)'!$B$17:$B$3016,'בית ספר - תקצוב לפי מוסד (9)'!$G761,'דוח הוצאות בפועל (4)'!$M$17:$M$3016,"ני")+SUMIFS('דוח הוצאות בפועל (4)'!$E$17:$E$3016,'דוח הוצאות בפועל (4)'!$B$17:$B$3016,'בית ספר - תקצוב לפי מוסד (9)'!$G761,'דוח הוצאות בפועל (4)'!$M$17:$M$3016,"על"),0)-Y782</f>
        <v>0</v>
      </c>
      <c r="H782" s="117">
        <f>H763</f>
        <v>0</v>
      </c>
      <c r="I782" s="138">
        <f>IFERROR(G782/H782,0)</f>
        <v>0</v>
      </c>
      <c r="J782" s="117">
        <f>IFERROR(IF(G782/H784&gt;0.15,MIN(H784*0.15,H782),MIN(H782,IF(ISNUMBER(G782),G782,0))),0)</f>
        <v>0</v>
      </c>
      <c r="K782" s="120">
        <f>MAX(H782-G782,0)</f>
        <v>0</v>
      </c>
      <c r="L782" s="407"/>
      <c r="M782" s="393"/>
      <c r="N782" s="393"/>
      <c r="O782" s="602"/>
      <c r="P782" s="620">
        <f>IF(I782&lt;100%,MIN(H782-G782,H782*0.25),0)</f>
        <v>0</v>
      </c>
      <c r="Q782" s="620">
        <f>MAX(MIN(IF(G782-H782&gt;0,G782-H782,0),$H784*0.15-H782-J783),0)</f>
        <v>0</v>
      </c>
      <c r="R782" s="596"/>
      <c r="S782" s="610" t="s">
        <v>3</v>
      </c>
      <c r="T782" s="599">
        <f>G761</f>
        <v>0</v>
      </c>
      <c r="U782" s="578"/>
      <c r="V782" s="579">
        <f t="shared" ref="V782" si="112">G782</f>
        <v>0</v>
      </c>
      <c r="W782" s="579">
        <f t="shared" si="108"/>
        <v>0</v>
      </c>
      <c r="X782" s="579"/>
      <c r="Y782" s="879"/>
      <c r="Z782" s="121"/>
      <c r="AA782" s="143"/>
      <c r="AB782" s="143"/>
      <c r="AC782" s="504">
        <v>0</v>
      </c>
      <c r="AD782" s="505">
        <f t="shared" si="109"/>
        <v>0</v>
      </c>
      <c r="AE782" s="143"/>
      <c r="AG782" s="22"/>
      <c r="AH782" s="22"/>
      <c r="AI782" s="22"/>
      <c r="AJ782" s="22"/>
      <c r="AK782" s="22"/>
      <c r="AL782" s="22"/>
      <c r="AM782" s="22"/>
      <c r="AN782" s="22"/>
      <c r="AO782" s="22"/>
      <c r="AP782" s="22"/>
      <c r="AQ782" s="22"/>
      <c r="AR782" s="22"/>
      <c r="AS782" s="22"/>
      <c r="AT782" s="22"/>
      <c r="AU782" s="35"/>
      <c r="AV782" s="35"/>
      <c r="AW782" s="35"/>
      <c r="AX782" s="35"/>
      <c r="AY782" s="35"/>
      <c r="AZ782" s="35"/>
      <c r="BA782" s="35"/>
      <c r="BB782" s="35"/>
      <c r="BC782" s="35"/>
      <c r="BD782" s="35"/>
      <c r="BE782" s="35"/>
      <c r="BF782" s="35"/>
      <c r="BG782" s="35"/>
      <c r="BH782" s="35"/>
      <c r="BI782" s="35"/>
      <c r="BJ782" s="35"/>
      <c r="BK782" s="35"/>
      <c r="BL782" s="35"/>
      <c r="BM782" s="35"/>
      <c r="BN782" s="35"/>
      <c r="BO782" s="86"/>
    </row>
    <row r="783" spans="1:67" s="55" customFormat="1" ht="15.75" customHeight="1" x14ac:dyDescent="0.25">
      <c r="A783" s="520">
        <f>IFERROR(VLOOKUP($G$5,'רשימת רשויות'!A:C,3,0),0)</f>
        <v>0</v>
      </c>
      <c r="B783" s="520">
        <f t="shared" si="111"/>
        <v>0</v>
      </c>
      <c r="C783" s="39"/>
      <c r="D783" s="1134"/>
      <c r="E783" s="1137"/>
      <c r="F783" s="589" t="s">
        <v>2918</v>
      </c>
      <c r="G783" s="117">
        <f>0.07*(G777+G776)</f>
        <v>0</v>
      </c>
      <c r="H783" s="117">
        <f>H765</f>
        <v>0</v>
      </c>
      <c r="I783" s="138">
        <f>IFERROR(G783/H783,0)</f>
        <v>0</v>
      </c>
      <c r="J783" s="117">
        <f>IFERROR(MIN(0.07*(G776+G777),0.07*I765),0)</f>
        <v>0</v>
      </c>
      <c r="K783" s="120">
        <f>MAX(H783-G783,0)</f>
        <v>0</v>
      </c>
      <c r="L783" s="407"/>
      <c r="M783" s="393"/>
      <c r="N783" s="393"/>
      <c r="O783" s="602"/>
      <c r="P783" s="620"/>
      <c r="Q783" s="619"/>
      <c r="R783" s="596"/>
      <c r="S783" s="611"/>
      <c r="T783" s="599">
        <f>G761</f>
        <v>0</v>
      </c>
      <c r="U783" s="578"/>
      <c r="V783" s="579"/>
      <c r="W783" s="579">
        <f t="shared" si="108"/>
        <v>0</v>
      </c>
      <c r="X783" s="579"/>
      <c r="Y783" s="879"/>
      <c r="Z783" s="121"/>
      <c r="AA783" s="143"/>
      <c r="AB783" s="143"/>
      <c r="AC783" s="504"/>
      <c r="AD783" s="505"/>
      <c r="AE783" s="143"/>
      <c r="AF783" s="140"/>
      <c r="AG783" s="22"/>
      <c r="AH783" s="22"/>
      <c r="AI783" s="22"/>
      <c r="AJ783" s="22"/>
      <c r="AK783" s="22"/>
      <c r="AL783" s="22"/>
      <c r="AM783" s="22"/>
      <c r="AN783" s="22"/>
      <c r="AO783" s="22"/>
      <c r="AP783" s="22"/>
      <c r="AQ783" s="22"/>
      <c r="AR783" s="22"/>
      <c r="AS783" s="22"/>
      <c r="AT783" s="22"/>
      <c r="AU783" s="35"/>
      <c r="AV783" s="35"/>
      <c r="AW783" s="35"/>
      <c r="AX783" s="35"/>
      <c r="AY783" s="35"/>
      <c r="AZ783" s="35"/>
      <c r="BA783" s="35"/>
      <c r="BB783" s="35"/>
      <c r="BC783" s="35"/>
      <c r="BD783" s="35"/>
      <c r="BE783" s="35"/>
      <c r="BF783" s="35"/>
      <c r="BG783" s="35"/>
      <c r="BH783" s="35"/>
      <c r="BI783" s="35"/>
      <c r="BJ783" s="35"/>
      <c r="BK783" s="35"/>
      <c r="BL783" s="35"/>
      <c r="BM783" s="35"/>
      <c r="BN783" s="35"/>
      <c r="BO783" s="86"/>
    </row>
    <row r="784" spans="1:67" ht="15.75" customHeight="1" x14ac:dyDescent="0.25">
      <c r="A784" s="520">
        <f>IFERROR(VLOOKUP($G$5,'רשימת רשויות'!A:C,3,0),0)</f>
        <v>0</v>
      </c>
      <c r="B784" s="520">
        <f t="shared" si="111"/>
        <v>0</v>
      </c>
      <c r="D784" s="1134"/>
      <c r="E784" s="1137"/>
      <c r="F784" s="591" t="s">
        <v>15</v>
      </c>
      <c r="G784" s="134">
        <f>G781+G782+G783</f>
        <v>0</v>
      </c>
      <c r="H784" s="134">
        <f>H781+H782+H783</f>
        <v>0</v>
      </c>
      <c r="I784" s="138">
        <f>IFERROR(G784/H784,0)</f>
        <v>0</v>
      </c>
      <c r="J784" s="139">
        <f>J781+J782+J783</f>
        <v>0</v>
      </c>
      <c r="K784" s="137">
        <f>K782+K781+K783</f>
        <v>0</v>
      </c>
      <c r="L784" s="408"/>
      <c r="M784" s="394"/>
      <c r="N784" s="394"/>
      <c r="O784" s="602"/>
      <c r="P784" s="621">
        <f>SUM(P781:P782)</f>
        <v>0</v>
      </c>
      <c r="Q784" s="622">
        <f>Q781+Q782</f>
        <v>0</v>
      </c>
      <c r="R784" s="596"/>
      <c r="S784" s="611"/>
      <c r="T784" s="599">
        <f>G761</f>
        <v>0</v>
      </c>
      <c r="U784" s="578"/>
      <c r="V784" s="579"/>
      <c r="W784" s="579">
        <f t="shared" si="108"/>
        <v>0</v>
      </c>
      <c r="X784" s="579"/>
      <c r="Y784" s="879"/>
      <c r="Z784" s="106"/>
      <c r="AC784" s="504"/>
      <c r="AD784" s="505"/>
      <c r="AH784" s="143"/>
      <c r="BO784" s="86"/>
    </row>
    <row r="785" spans="1:67" ht="15.75" customHeight="1" x14ac:dyDescent="0.25">
      <c r="A785" s="520">
        <f>IFERROR(VLOOKUP($G$5,'רשימת רשויות'!A:C,3,0),0)</f>
        <v>0</v>
      </c>
      <c r="B785" s="520">
        <f t="shared" si="111"/>
        <v>0</v>
      </c>
      <c r="D785" s="1134"/>
      <c r="E785" s="1137"/>
      <c r="F785" s="589" t="s">
        <v>2261</v>
      </c>
      <c r="G785" s="117">
        <f>IF(G766="תקין",SUMIF('תשלומי הורים ומלגות להורים (5) '!$B$18:$B$517,$G761,'תשלומי הורים ומלגות להורים (5) '!$C$18:$C$517),0)</f>
        <v>0</v>
      </c>
      <c r="H785" s="117">
        <f>(G764+G765)*$G$7</f>
        <v>0</v>
      </c>
      <c r="I785" s="141"/>
      <c r="J785" s="141"/>
      <c r="K785" s="142"/>
      <c r="L785" s="395"/>
      <c r="M785" s="395"/>
      <c r="N785" s="395"/>
      <c r="O785" s="602"/>
      <c r="P785" s="623"/>
      <c r="Q785" s="619"/>
      <c r="R785" s="596"/>
      <c r="S785" s="612"/>
      <c r="T785" s="599">
        <f>G761</f>
        <v>0</v>
      </c>
      <c r="U785" s="578"/>
      <c r="V785" s="579"/>
      <c r="W785" s="579">
        <f t="shared" si="108"/>
        <v>0</v>
      </c>
      <c r="X785" s="579"/>
      <c r="Y785" s="879"/>
      <c r="Z785" s="121"/>
      <c r="AA785" s="143"/>
      <c r="AB785" s="143"/>
      <c r="AC785" s="504"/>
      <c r="AD785" s="505"/>
      <c r="AE785" s="143"/>
      <c r="AF785" s="148"/>
      <c r="BO785" s="86"/>
    </row>
    <row r="786" spans="1:67" ht="15.75" customHeight="1" thickBot="1" x14ac:dyDescent="0.3">
      <c r="A786" s="520">
        <f>IFERROR(VLOOKUP($G$5,'רשימת רשויות'!A:C,3,0),0)</f>
        <v>0</v>
      </c>
      <c r="B786" s="520">
        <f t="shared" si="111"/>
        <v>0</v>
      </c>
      <c r="D786" s="1134"/>
      <c r="E786" s="1137"/>
      <c r="F786" s="592" t="s">
        <v>21</v>
      </c>
      <c r="G786" s="144">
        <f>G784-G785</f>
        <v>0</v>
      </c>
      <c r="H786" s="144">
        <f>H784-H785</f>
        <v>0</v>
      </c>
      <c r="I786" s="145"/>
      <c r="J786" s="145"/>
      <c r="K786" s="146"/>
      <c r="L786" s="396"/>
      <c r="M786" s="396"/>
      <c r="N786" s="396"/>
      <c r="O786" s="602"/>
      <c r="P786" s="619"/>
      <c r="Q786" s="619"/>
      <c r="R786" s="596"/>
      <c r="S786" s="612"/>
      <c r="T786" s="599">
        <f>G761</f>
        <v>0</v>
      </c>
      <c r="U786" s="578"/>
      <c r="V786" s="579"/>
      <c r="W786" s="579">
        <f t="shared" si="108"/>
        <v>0</v>
      </c>
      <c r="X786" s="579"/>
      <c r="Y786" s="879"/>
      <c r="Z786" s="147"/>
      <c r="AA786" s="148"/>
      <c r="AB786" s="148"/>
      <c r="AC786" s="504"/>
      <c r="AD786" s="505"/>
      <c r="AE786" s="148"/>
      <c r="AF786" s="148"/>
      <c r="BO786" s="86"/>
    </row>
    <row r="787" spans="1:67" ht="15.75" customHeight="1" thickBot="1" x14ac:dyDescent="0.3">
      <c r="A787" s="520">
        <f>IFERROR(VLOOKUP($G$5,'רשימת רשויות'!A:C,3,0),0)</f>
        <v>0</v>
      </c>
      <c r="B787" s="520">
        <f t="shared" si="111"/>
        <v>0</v>
      </c>
      <c r="D787" s="1134"/>
      <c r="E787" s="1137"/>
      <c r="F787" s="580"/>
      <c r="G787" s="580"/>
      <c r="H787" s="147"/>
      <c r="I787" s="149" t="s">
        <v>2197</v>
      </c>
      <c r="J787" s="150">
        <f>MAX(MIN(P784,Q784),0)</f>
        <v>0</v>
      </c>
      <c r="K787" s="580"/>
      <c r="L787" s="580"/>
      <c r="M787" s="580"/>
      <c r="N787" s="580"/>
      <c r="O787" s="580"/>
      <c r="P787" s="615" t="s">
        <v>2317</v>
      </c>
      <c r="Q787" s="624">
        <f>SUM(Q788:Q789)</f>
        <v>0</v>
      </c>
      <c r="R787" s="596"/>
      <c r="S787" s="612"/>
      <c r="T787" s="599">
        <f>G761</f>
        <v>0</v>
      </c>
      <c r="U787" s="578"/>
      <c r="V787" s="579"/>
      <c r="W787" s="579">
        <f t="shared" si="108"/>
        <v>0</v>
      </c>
      <c r="X787" s="579"/>
      <c r="Y787" s="879"/>
      <c r="Z787" s="106"/>
      <c r="AC787" s="504"/>
      <c r="AD787" s="505"/>
      <c r="AF787" s="148"/>
      <c r="BO787" s="86"/>
    </row>
    <row r="788" spans="1:67" ht="16.5" thickBot="1" x14ac:dyDescent="0.3">
      <c r="A788" s="520">
        <f>IFERROR(VLOOKUP($G$5,'רשימת רשויות'!A:C,3,0),0)</f>
        <v>0</v>
      </c>
      <c r="B788" s="520">
        <f t="shared" si="111"/>
        <v>0</v>
      </c>
      <c r="D788" s="1134"/>
      <c r="E788" s="1137"/>
      <c r="F788" s="580"/>
      <c r="G788" s="580"/>
      <c r="H788" s="580"/>
      <c r="I788" s="84" t="s">
        <v>2193</v>
      </c>
      <c r="J788" s="515" t="str">
        <f>IFERROR(1-H785/H784,"")</f>
        <v/>
      </c>
      <c r="K788" s="580"/>
      <c r="L788" s="580"/>
      <c r="M788" s="580"/>
      <c r="N788" s="580"/>
      <c r="O788" s="580"/>
      <c r="P788" s="615" t="s">
        <v>417</v>
      </c>
      <c r="Q788" s="616">
        <f>IFERROR(MAX(H786-I789-Q789,0),0)</f>
        <v>0</v>
      </c>
      <c r="R788" s="596"/>
      <c r="S788" s="600"/>
      <c r="T788" s="599">
        <f>G761</f>
        <v>0</v>
      </c>
      <c r="U788" s="578"/>
      <c r="V788" s="579"/>
      <c r="W788" s="579">
        <f t="shared" si="108"/>
        <v>0</v>
      </c>
      <c r="X788" s="579"/>
      <c r="Y788" s="879"/>
      <c r="Z788" s="106"/>
      <c r="AC788" s="504"/>
      <c r="AD788" s="505"/>
      <c r="BO788" s="86"/>
    </row>
    <row r="789" spans="1:67" ht="17.25" thickBot="1" x14ac:dyDescent="0.3">
      <c r="A789" s="520">
        <f>IFERROR(VLOOKUP($G$5,'רשימת רשויות'!A:C,3,0),0)</f>
        <v>0</v>
      </c>
      <c r="B789" s="520">
        <f t="shared" si="111"/>
        <v>0</v>
      </c>
      <c r="D789" s="1134"/>
      <c r="E789" s="1137"/>
      <c r="F789" s="1143" t="s">
        <v>2679</v>
      </c>
      <c r="G789" s="1143"/>
      <c r="H789" s="1143"/>
      <c r="I789" s="722">
        <f>IF(G766="לא תקין","לא קיימת זכאות לתקציב לאור אי איוש משרות רכז ו/או סגן רכז ",IFERROR(J788*(J787+J784),0))</f>
        <v>0</v>
      </c>
      <c r="J789" s="573"/>
      <c r="K789" s="574"/>
      <c r="L789" s="396"/>
      <c r="M789" s="574"/>
      <c r="N789" s="574"/>
      <c r="O789" s="574"/>
      <c r="P789" s="615" t="s">
        <v>2279</v>
      </c>
      <c r="Q789" s="616">
        <f>MAX(IF(AND(G784&gt;H784,I789&lt;H786),H786-I789,0),0)</f>
        <v>0</v>
      </c>
      <c r="R789" s="575"/>
      <c r="S789" s="576" t="s">
        <v>67</v>
      </c>
      <c r="T789" s="577">
        <f>G761</f>
        <v>0</v>
      </c>
      <c r="U789" s="578"/>
      <c r="V789" s="579">
        <f>I789</f>
        <v>0</v>
      </c>
      <c r="W789" s="579">
        <f>IFERROR(U789-V789,0)</f>
        <v>0</v>
      </c>
      <c r="X789" s="579">
        <f>SUM(X775:X788)</f>
        <v>0</v>
      </c>
      <c r="Y789" s="879"/>
      <c r="Z789" s="106"/>
      <c r="AC789" s="506">
        <v>0</v>
      </c>
      <c r="AD789" s="507">
        <f>IFERROR(U789-AC789,0)</f>
        <v>0</v>
      </c>
      <c r="BO789" s="86"/>
    </row>
    <row r="790" spans="1:67" ht="16.5" thickBot="1" x14ac:dyDescent="0.3">
      <c r="A790" s="520">
        <f>IFERROR(VLOOKUP($G$5,'רשימת רשויות'!A:C,3,0),0)</f>
        <v>0</v>
      </c>
      <c r="B790" s="520">
        <f t="shared" si="111"/>
        <v>0</v>
      </c>
      <c r="D790" s="1135"/>
      <c r="E790" s="1138"/>
      <c r="F790" s="1144" t="s">
        <v>2793</v>
      </c>
      <c r="G790" s="1145"/>
      <c r="H790" s="1145"/>
      <c r="I790" s="593">
        <f>IFERROR(IF(G766="תקין",SUMIFS('סייעות רפואיות או אישיות (7)'!$Q$17:Q$384,'סייעות רפואיות או אישיות (7)'!C$17:C$384,G761),0),0)</f>
        <v>0</v>
      </c>
      <c r="J790" s="151"/>
      <c r="K790" s="152"/>
      <c r="L790" s="409"/>
      <c r="M790" s="152"/>
      <c r="N790" s="152"/>
      <c r="O790" s="152"/>
      <c r="P790" s="613"/>
      <c r="Q790" s="614"/>
      <c r="R790" s="475"/>
      <c r="S790" s="489"/>
      <c r="T790" s="490"/>
      <c r="U790" s="491"/>
      <c r="V790" s="492"/>
      <c r="W790" s="492"/>
      <c r="X790" s="492"/>
      <c r="Y790" s="880"/>
      <c r="Z790" s="153"/>
      <c r="AC790" s="581"/>
      <c r="AD790" s="582"/>
      <c r="BO790" s="86"/>
    </row>
    <row r="791" spans="1:67" ht="34.5" thickBot="1" x14ac:dyDescent="0.55000000000000004">
      <c r="A791" s="520">
        <f>IFERROR(VLOOKUP($G$5,'רשימת רשויות'!A:C,3,0),0)</f>
        <v>0</v>
      </c>
      <c r="B791" s="520">
        <f t="shared" si="111"/>
        <v>0</v>
      </c>
      <c r="E791" s="154"/>
      <c r="I791" s="143"/>
      <c r="J791" s="148"/>
      <c r="O791" s="148"/>
      <c r="T791" s="481"/>
      <c r="BO791" s="86"/>
    </row>
    <row r="792" spans="1:67" s="20" customFormat="1" ht="16.5" customHeight="1" thickBot="1" x14ac:dyDescent="0.3">
      <c r="A792" s="520">
        <f>IFERROR(VLOOKUP($G$5,'רשימת רשויות'!A:C,3,0),0)</f>
        <v>0</v>
      </c>
      <c r="B792" s="520">
        <f t="shared" si="111"/>
        <v>0</v>
      </c>
      <c r="C792" s="39"/>
      <c r="D792" s="1133">
        <f>D761+1</f>
        <v>26</v>
      </c>
      <c r="E792" s="1136" t="str">
        <f>IFERROR(CONCATENATE("בית הספר ",VLOOKUP(G792,'מצבת והרשמה (2)'!$C$21:$D$520,2,0)," - ",$G$5),"")</f>
        <v>בית הספר המוסד לא קיים - 0</v>
      </c>
      <c r="F792" s="720" t="s">
        <v>146</v>
      </c>
      <c r="G792" s="721">
        <f>IFERROR(VLOOKUP(D:D,'דוח ביצוע (3)'!$A$21:$C$900,2,0),0)</f>
        <v>0</v>
      </c>
      <c r="H792" s="79"/>
      <c r="I792" s="80" t="s">
        <v>150</v>
      </c>
      <c r="J792" s="80"/>
      <c r="K792" s="81"/>
      <c r="L792" s="392"/>
      <c r="M792" s="392"/>
      <c r="N792" s="392"/>
      <c r="O792" s="82"/>
      <c r="P792" s="470"/>
      <c r="Q792" s="471"/>
      <c r="R792" s="472"/>
      <c r="S792" s="883"/>
      <c r="T792" s="884"/>
      <c r="U792" s="486"/>
      <c r="V792" s="487"/>
      <c r="W792" s="487"/>
      <c r="X792" s="487"/>
      <c r="Y792" s="885"/>
      <c r="Z792" s="83"/>
      <c r="AC792" s="502"/>
      <c r="AD792" s="503"/>
      <c r="AO792" s="22"/>
      <c r="AP792" s="22"/>
      <c r="AQ792" s="22"/>
      <c r="AR792" s="22"/>
      <c r="AS792" s="22"/>
      <c r="AT792" s="22"/>
      <c r="AU792" s="35"/>
      <c r="AV792" s="35"/>
      <c r="AW792" s="35"/>
      <c r="AX792" s="35"/>
      <c r="AY792" s="35"/>
      <c r="AZ792" s="35"/>
      <c r="BA792" s="35"/>
      <c r="BB792" s="35"/>
      <c r="BC792" s="35"/>
      <c r="BD792" s="35"/>
      <c r="BE792" s="35"/>
      <c r="BF792" s="35"/>
      <c r="BG792" s="35"/>
      <c r="BH792" s="35"/>
      <c r="BI792" s="35"/>
      <c r="BJ792" s="35"/>
      <c r="BK792" s="35"/>
      <c r="BL792" s="35"/>
      <c r="BM792" s="35"/>
      <c r="BN792" s="35"/>
      <c r="BO792" s="78"/>
    </row>
    <row r="793" spans="1:67" s="20" customFormat="1" ht="16.5" thickBot="1" x14ac:dyDescent="0.3">
      <c r="A793" s="520">
        <f>IFERROR(VLOOKUP($G$5,'רשימת רשויות'!A:C,3,0),0)</f>
        <v>0</v>
      </c>
      <c r="B793" s="520">
        <f t="shared" si="111"/>
        <v>0</v>
      </c>
      <c r="C793" s="39"/>
      <c r="D793" s="1134"/>
      <c r="E793" s="1137"/>
      <c r="F793" s="583" t="s">
        <v>145</v>
      </c>
      <c r="G793" s="516" t="str">
        <f>IFERROR(IF((G795+G796)=0,"",IF(VLOOKUP(G792,'דוח ביצוע (3)'!$B$21:$K$900,5,0)&gt;149,"גדול",IF(AND(VLOOKUP(G792,'דוח ביצוע (3)'!$B$21:$K$900,5,0)&gt;0,VLOOKUP(G792,'דוח ביצוע (3)'!$B$21:$K$900,5,0)&lt;150),"קטן",0))),"")</f>
        <v/>
      </c>
      <c r="H793" s="723" t="s">
        <v>88</v>
      </c>
      <c r="I793" s="723" t="s">
        <v>13</v>
      </c>
      <c r="J793" s="725" t="s">
        <v>14</v>
      </c>
      <c r="K793" s="724" t="s">
        <v>94</v>
      </c>
      <c r="L793" s="594"/>
      <c r="M793" s="420" t="s">
        <v>2584</v>
      </c>
      <c r="N793" s="397" t="s">
        <v>413</v>
      </c>
      <c r="O793" s="398" t="s">
        <v>52</v>
      </c>
      <c r="P793" s="595"/>
      <c r="Q793" s="595"/>
      <c r="R793" s="596"/>
      <c r="S793" s="610"/>
      <c r="T793" s="881"/>
      <c r="U793" s="598"/>
      <c r="V793" s="599"/>
      <c r="W793" s="599"/>
      <c r="X793" s="599"/>
      <c r="Y793" s="879"/>
      <c r="Z793" s="85"/>
      <c r="AC793" s="493"/>
      <c r="AD793" s="495"/>
      <c r="AO793" s="22"/>
      <c r="AP793" s="22"/>
      <c r="AQ793" s="22"/>
      <c r="AR793" s="22"/>
      <c r="AS793" s="22"/>
      <c r="AT793" s="22"/>
      <c r="AU793" s="35"/>
      <c r="AV793" s="35"/>
      <c r="AW793" s="35"/>
      <c r="AX793" s="35"/>
      <c r="AY793" s="35"/>
      <c r="AZ793" s="35"/>
      <c r="BA793" s="35"/>
      <c r="BB793" s="35"/>
      <c r="BC793" s="35"/>
      <c r="BD793" s="35"/>
      <c r="BE793" s="35"/>
      <c r="BF793" s="35"/>
      <c r="BG793" s="35"/>
      <c r="BH793" s="35"/>
      <c r="BI793" s="35"/>
      <c r="BJ793" s="35"/>
      <c r="BK793" s="35"/>
      <c r="BL793" s="35"/>
      <c r="BM793" s="35"/>
      <c r="BN793" s="35"/>
      <c r="BO793" s="78"/>
    </row>
    <row r="794" spans="1:67" s="20" customFormat="1" ht="15.75" customHeight="1" thickBot="1" x14ac:dyDescent="0.3">
      <c r="A794" s="520">
        <f>IFERROR(VLOOKUP($G$5,'רשימת רשויות'!A:C,3,0),0)</f>
        <v>0</v>
      </c>
      <c r="B794" s="520">
        <f t="shared" si="111"/>
        <v>0</v>
      </c>
      <c r="C794" s="39"/>
      <c r="D794" s="1134"/>
      <c r="E794" s="1137"/>
      <c r="F794" s="584" t="s">
        <v>144</v>
      </c>
      <c r="G794" s="87">
        <f>IF(G797="תקין",IFERROR(VLOOKUP($G792,'דוח ביצוע (3)'!$B$21:$Q$900,12,0),0),0)</f>
        <v>0</v>
      </c>
      <c r="H794" s="88">
        <f>IFERROR(G795*$AH$6+G796*$AH$7,0)</f>
        <v>0</v>
      </c>
      <c r="I794" s="88">
        <f>IFERROR(G795*$AI$6+G796*$AI$7,0)</f>
        <v>0</v>
      </c>
      <c r="J794" s="88">
        <f>IFERROR(G795*$AJ$6+G796*$AJ$7,0)</f>
        <v>0</v>
      </c>
      <c r="K794" s="88">
        <f>IFERROR(G795*$AK$6+G796*$AK$7,0)</f>
        <v>0</v>
      </c>
      <c r="L794" s="405"/>
      <c r="M794" s="399" t="s">
        <v>427</v>
      </c>
      <c r="N794" s="400" t="str">
        <f>IFERROR(VLOOKUP($G792,'דוח ביצוע (3)'!$B:$AE,28,0),"")</f>
        <v/>
      </c>
      <c r="O794" s="89" t="str">
        <f>IFERROR(VLOOKUP($G792,'דוח ביצוע (3)'!B:AE,29,0),"")</f>
        <v/>
      </c>
      <c r="P794" s="595"/>
      <c r="Q794" s="595"/>
      <c r="R794" s="596"/>
      <c r="S794" s="610"/>
      <c r="T794" s="881"/>
      <c r="U794" s="598"/>
      <c r="V794" s="599"/>
      <c r="W794" s="599"/>
      <c r="X794" s="599"/>
      <c r="Y794" s="879"/>
      <c r="Z794" s="85"/>
      <c r="AC794" s="493"/>
      <c r="AD794" s="495"/>
      <c r="AO794" s="22"/>
      <c r="AP794" s="22"/>
      <c r="AQ794" s="22"/>
      <c r="AR794" s="22"/>
      <c r="AS794" s="22"/>
      <c r="AT794" s="22"/>
      <c r="AU794" s="35"/>
      <c r="AV794" s="35"/>
      <c r="AW794" s="35"/>
      <c r="AX794" s="35"/>
      <c r="AY794" s="35"/>
      <c r="AZ794" s="35"/>
      <c r="BA794" s="35"/>
      <c r="BB794" s="35"/>
      <c r="BC794" s="35"/>
      <c r="BD794" s="35"/>
      <c r="BE794" s="35"/>
      <c r="BF794" s="35"/>
      <c r="BG794" s="35"/>
      <c r="BH794" s="35"/>
      <c r="BI794" s="35"/>
      <c r="BJ794" s="35"/>
      <c r="BK794" s="35"/>
      <c r="BL794" s="35"/>
      <c r="BM794" s="35"/>
      <c r="BN794" s="35"/>
      <c r="BO794" s="78"/>
    </row>
    <row r="795" spans="1:67" s="20" customFormat="1" ht="32.25" thickBot="1" x14ac:dyDescent="0.3">
      <c r="A795" s="520">
        <f>IFERROR(VLOOKUP($G$5,'רשימת רשויות'!A:C,3,0),0)</f>
        <v>0</v>
      </c>
      <c r="B795" s="520">
        <f t="shared" si="111"/>
        <v>0</v>
      </c>
      <c r="C795" s="39"/>
      <c r="D795" s="1134"/>
      <c r="E795" s="1137"/>
      <c r="F795" s="585" t="s">
        <v>2195</v>
      </c>
      <c r="G795" s="89">
        <f>IF(G797="תקין",MAX(N797,0),0)</f>
        <v>0</v>
      </c>
      <c r="H795" s="725" t="s">
        <v>151</v>
      </c>
      <c r="I795" s="725" t="s">
        <v>91</v>
      </c>
      <c r="J795" s="970" t="s">
        <v>3396</v>
      </c>
      <c r="K795" s="601"/>
      <c r="L795" s="601"/>
      <c r="M795" s="983" t="s">
        <v>2585</v>
      </c>
      <c r="N795" s="400" t="str">
        <f>IFERROR(G794/15*N794*1.25,"")</f>
        <v/>
      </c>
      <c r="O795" s="89" t="str">
        <f>IFERROR(G794/15*O794*1.25,"")</f>
        <v/>
      </c>
      <c r="P795" s="595"/>
      <c r="Q795" s="595"/>
      <c r="R795" s="596"/>
      <c r="S795" s="610"/>
      <c r="T795" s="881"/>
      <c r="U795" s="598"/>
      <c r="V795" s="599"/>
      <c r="W795" s="599"/>
      <c r="X795" s="599"/>
      <c r="Y795" s="879"/>
      <c r="Z795" s="85"/>
      <c r="AC795" s="493"/>
      <c r="AD795" s="495"/>
      <c r="AG795" s="22"/>
      <c r="AH795" s="55"/>
      <c r="AI795" s="55"/>
      <c r="AJ795" s="55"/>
      <c r="AK795" s="55"/>
      <c r="AO795" s="22"/>
      <c r="AP795" s="22"/>
      <c r="AQ795" s="22"/>
      <c r="AR795" s="22"/>
      <c r="AS795" s="22"/>
      <c r="AT795" s="22"/>
      <c r="AU795" s="35"/>
      <c r="AV795" s="35"/>
      <c r="AW795" s="35"/>
      <c r="AX795" s="35"/>
      <c r="AY795" s="35"/>
      <c r="AZ795" s="35"/>
      <c r="BA795" s="35"/>
      <c r="BB795" s="35"/>
      <c r="BC795" s="35"/>
      <c r="BD795" s="35"/>
      <c r="BE795" s="35"/>
      <c r="BF795" s="35"/>
      <c r="BG795" s="35"/>
      <c r="BH795" s="35"/>
      <c r="BI795" s="35"/>
      <c r="BJ795" s="35"/>
      <c r="BK795" s="35"/>
      <c r="BL795" s="35"/>
      <c r="BM795" s="35"/>
      <c r="BN795" s="35"/>
      <c r="BO795" s="86"/>
    </row>
    <row r="796" spans="1:67" s="20" customFormat="1" ht="16.5" thickBot="1" x14ac:dyDescent="0.3">
      <c r="A796" s="520">
        <f>IFERROR(VLOOKUP($G$5,'רשימת רשויות'!A:C,3,0),0)</f>
        <v>0</v>
      </c>
      <c r="B796" s="520">
        <f t="shared" si="111"/>
        <v>0</v>
      </c>
      <c r="C796" s="39"/>
      <c r="D796" s="1134"/>
      <c r="E796" s="1137"/>
      <c r="F796" s="585" t="s">
        <v>2196</v>
      </c>
      <c r="G796" s="89">
        <f>IF(G797="תקין",MAX(O797,0),0)</f>
        <v>0</v>
      </c>
      <c r="H796" s="88">
        <f>(IFERROR(IF((G795+G796)=0,0,IF(G793="קטן",G794*$AH$10,G794*$AH$11)),0))+(IFERROR(IF((G795+G796)=0,0,VLOOKUP(G792,'דוח ביצוע (3)'!$B:$AH,33,0)),0))</f>
        <v>0</v>
      </c>
      <c r="I796" s="88">
        <f>IFERROR(IF((G795+G796)=0,0,IF(G793="קטן",G794*$AI$10,G794*$AI$11)),0)</f>
        <v>0</v>
      </c>
      <c r="J796" s="88">
        <f>IFERROR(IF((G795+G796)=0,0,VLOOKUP(G792,'דוח ביצוע (3)'!$B:$AH,32,0)),0)</f>
        <v>0</v>
      </c>
      <c r="K796" s="90"/>
      <c r="L796" s="90"/>
      <c r="M796" s="399" t="s">
        <v>412</v>
      </c>
      <c r="N796" s="400">
        <f>IFERROR(VLOOKUP($G792,'דוח ביצוע (3)'!$B$21:$U$500,18,0),0)</f>
        <v>0</v>
      </c>
      <c r="O796" s="401">
        <f>IFERROR(VLOOKUP($G792,'דוח ביצוע (3)'!$B$21:$U$500,19,0),0)</f>
        <v>0</v>
      </c>
      <c r="P796" s="595"/>
      <c r="Q796" s="595"/>
      <c r="R796" s="596"/>
      <c r="S796" s="610"/>
      <c r="T796" s="881"/>
      <c r="U796" s="598"/>
      <c r="V796" s="599"/>
      <c r="W796" s="599"/>
      <c r="X796" s="599"/>
      <c r="Y796" s="879"/>
      <c r="Z796" s="85"/>
      <c r="AC796" s="493"/>
      <c r="AD796" s="495"/>
      <c r="AG796" s="22"/>
      <c r="AH796" s="55"/>
      <c r="AI796" s="55"/>
      <c r="AJ796" s="55"/>
      <c r="AK796" s="55"/>
      <c r="AO796" s="22"/>
      <c r="AP796" s="22"/>
      <c r="AQ796" s="22"/>
      <c r="AR796" s="22"/>
      <c r="AS796" s="22"/>
      <c r="AT796" s="22"/>
      <c r="AU796" s="35"/>
      <c r="AV796" s="35"/>
      <c r="AW796" s="35"/>
      <c r="AX796" s="35"/>
      <c r="AY796" s="35"/>
      <c r="AZ796" s="35"/>
      <c r="BA796" s="35"/>
      <c r="BB796" s="35"/>
      <c r="BC796" s="35"/>
      <c r="BD796" s="35"/>
      <c r="BE796" s="35"/>
      <c r="BF796" s="35"/>
      <c r="BG796" s="35"/>
      <c r="BH796" s="35"/>
      <c r="BI796" s="35"/>
      <c r="BJ796" s="35"/>
      <c r="BK796" s="35"/>
      <c r="BL796" s="35"/>
      <c r="BM796" s="35"/>
      <c r="BN796" s="35"/>
      <c r="BO796" s="86"/>
    </row>
    <row r="797" spans="1:67" s="20" customFormat="1" ht="16.5" thickBot="1" x14ac:dyDescent="0.3">
      <c r="A797" s="520">
        <f>IFERROR(VLOOKUP($G$5,'רשימת רשויות'!A:C,3,0),0)</f>
        <v>0</v>
      </c>
      <c r="B797" s="520">
        <f t="shared" si="111"/>
        <v>0</v>
      </c>
      <c r="C797" s="39"/>
      <c r="D797" s="1134"/>
      <c r="E797" s="1137"/>
      <c r="F797" s="586" t="s">
        <v>2355</v>
      </c>
      <c r="G797" s="514">
        <f>IFERROR(IF(VLOOKUP('בית ספר - תקצוב לפי מוסד (9)'!G792,' איוש משרות (8)'!$C:$K,9,0)="תקין","תקין","לא תקין"),0)</f>
        <v>0</v>
      </c>
      <c r="H797" s="91"/>
      <c r="I797" s="91"/>
      <c r="J797" s="91"/>
      <c r="K797" s="90"/>
      <c r="L797" s="90"/>
      <c r="M797" s="402" t="s">
        <v>2586</v>
      </c>
      <c r="N797" s="403">
        <f>IFERROR(MIN(N795,N796),0)</f>
        <v>0</v>
      </c>
      <c r="O797" s="404">
        <f>IFERROR(MIN(O795,O796),0)</f>
        <v>0</v>
      </c>
      <c r="P797" s="595"/>
      <c r="Q797" s="595"/>
      <c r="R797" s="596"/>
      <c r="S797" s="610"/>
      <c r="T797" s="881"/>
      <c r="U797" s="598"/>
      <c r="V797" s="599"/>
      <c r="W797" s="599"/>
      <c r="X797" s="599"/>
      <c r="Y797" s="879"/>
      <c r="Z797" s="85"/>
      <c r="AC797" s="493"/>
      <c r="AD797" s="495"/>
      <c r="AG797" s="94"/>
      <c r="AH797" s="40"/>
      <c r="AI797" s="40"/>
      <c r="AJ797" s="40"/>
      <c r="AK797" s="40"/>
      <c r="AO797" s="22"/>
      <c r="AP797" s="22"/>
      <c r="AQ797" s="22"/>
      <c r="AR797" s="22"/>
      <c r="AS797" s="22"/>
      <c r="AT797" s="22"/>
      <c r="AU797" s="35"/>
      <c r="AV797" s="35"/>
      <c r="AW797" s="35"/>
      <c r="AX797" s="35"/>
      <c r="AY797" s="35"/>
      <c r="AZ797" s="35"/>
      <c r="BA797" s="35"/>
      <c r="BB797" s="35"/>
      <c r="BC797" s="35"/>
      <c r="BD797" s="35"/>
      <c r="BE797" s="35"/>
      <c r="BF797" s="35"/>
      <c r="BG797" s="35"/>
      <c r="BH797" s="35"/>
      <c r="BI797" s="35"/>
      <c r="BJ797" s="35"/>
      <c r="BK797" s="35"/>
      <c r="BL797" s="35"/>
      <c r="BM797" s="35"/>
      <c r="BN797" s="35"/>
      <c r="BO797" s="86"/>
    </row>
    <row r="798" spans="1:67" s="55" customFormat="1" ht="37.15" customHeight="1" thickBot="1" x14ac:dyDescent="0.3">
      <c r="A798" s="520">
        <f>IFERROR(VLOOKUP($G$5,'רשימת רשויות'!A:C,3,0),0)</f>
        <v>0</v>
      </c>
      <c r="B798" s="520">
        <f t="shared" si="111"/>
        <v>0</v>
      </c>
      <c r="C798" s="39"/>
      <c r="D798" s="1134"/>
      <c r="E798" s="1137"/>
      <c r="F798" s="587" t="s">
        <v>142</v>
      </c>
      <c r="G798" s="92"/>
      <c r="H798" s="92"/>
      <c r="I798" s="92"/>
      <c r="J798" s="92"/>
      <c r="K798" s="602"/>
      <c r="L798" s="602"/>
      <c r="M798" s="602"/>
      <c r="N798" s="602"/>
      <c r="O798" s="602"/>
      <c r="P798" s="595"/>
      <c r="Q798" s="595"/>
      <c r="R798" s="596"/>
      <c r="S798" s="610"/>
      <c r="T798" s="881"/>
      <c r="U798" s="598"/>
      <c r="V798" s="599"/>
      <c r="W798" s="599"/>
      <c r="X798" s="599"/>
      <c r="Y798" s="879"/>
      <c r="Z798" s="93"/>
      <c r="AC798" s="493"/>
      <c r="AD798" s="495"/>
      <c r="AF798" s="22"/>
      <c r="AG798" s="98"/>
      <c r="AH798" s="98"/>
      <c r="AI798" s="40"/>
      <c r="AJ798" s="40"/>
      <c r="AK798" s="40"/>
      <c r="AO798" s="22"/>
      <c r="AP798" s="22"/>
      <c r="AQ798" s="22"/>
      <c r="AR798" s="22"/>
      <c r="AS798" s="22"/>
      <c r="AT798" s="22"/>
      <c r="AU798" s="35"/>
      <c r="AV798" s="35"/>
      <c r="AW798" s="35"/>
      <c r="AX798" s="35"/>
      <c r="AY798" s="35"/>
      <c r="AZ798" s="35"/>
      <c r="BA798" s="35"/>
      <c r="BB798" s="35"/>
      <c r="BC798" s="35"/>
      <c r="BD798" s="35"/>
      <c r="BE798" s="35"/>
      <c r="BF798" s="35"/>
      <c r="BG798" s="35"/>
      <c r="BH798" s="35"/>
      <c r="BI798" s="35"/>
      <c r="BJ798" s="35"/>
      <c r="BK798" s="35"/>
      <c r="BL798" s="35"/>
      <c r="BM798" s="35"/>
      <c r="BN798" s="35"/>
      <c r="BO798" s="86"/>
    </row>
    <row r="799" spans="1:67" s="40" customFormat="1" ht="31.5" x14ac:dyDescent="0.25">
      <c r="A799" s="520">
        <f>IFERROR(VLOOKUP($G$5,'רשימת רשויות'!A:C,3,0),0)</f>
        <v>0</v>
      </c>
      <c r="B799" s="520">
        <f t="shared" si="111"/>
        <v>0</v>
      </c>
      <c r="C799" s="39"/>
      <c r="D799" s="1134"/>
      <c r="E799" s="1137"/>
      <c r="F799" s="588" t="s">
        <v>94</v>
      </c>
      <c r="G799" s="95" t="s">
        <v>18</v>
      </c>
      <c r="H799" s="95" t="s">
        <v>19</v>
      </c>
      <c r="I799" s="95" t="s">
        <v>138</v>
      </c>
      <c r="J799" s="96" t="s">
        <v>139</v>
      </c>
      <c r="K799" s="603"/>
      <c r="L799" s="603"/>
      <c r="M799" s="603"/>
      <c r="N799" s="603"/>
      <c r="O799" s="603"/>
      <c r="P799" s="604"/>
      <c r="Q799" s="604"/>
      <c r="R799" s="596"/>
      <c r="S799" s="610"/>
      <c r="T799" s="881"/>
      <c r="U799" s="598"/>
      <c r="V799" s="599"/>
      <c r="W799" s="599"/>
      <c r="X799" s="599"/>
      <c r="Y799" s="879"/>
      <c r="Z799" s="97"/>
      <c r="AA799" s="94"/>
      <c r="AB799" s="94"/>
      <c r="AC799" s="493"/>
      <c r="AD799" s="495"/>
      <c r="AE799" s="94"/>
      <c r="AG799" s="98"/>
      <c r="AH799" s="98"/>
      <c r="AO799" s="22"/>
      <c r="AP799" s="22"/>
      <c r="AQ799" s="22"/>
      <c r="AR799" s="22"/>
      <c r="AS799" s="22"/>
      <c r="AT799" s="22"/>
      <c r="AU799" s="35"/>
      <c r="AV799" s="35"/>
      <c r="AW799" s="35"/>
      <c r="AX799" s="35"/>
      <c r="AY799" s="35"/>
      <c r="AZ799" s="35"/>
      <c r="BA799" s="35"/>
      <c r="BB799" s="35"/>
      <c r="BC799" s="35"/>
      <c r="BD799" s="35"/>
      <c r="BE799" s="35"/>
      <c r="BF799" s="35"/>
      <c r="BG799" s="35"/>
      <c r="BH799" s="35"/>
      <c r="BI799" s="35"/>
      <c r="BJ799" s="35"/>
      <c r="BK799" s="35"/>
      <c r="BL799" s="35"/>
      <c r="BM799" s="35"/>
      <c r="BN799" s="35"/>
      <c r="BO799" s="86"/>
    </row>
    <row r="800" spans="1:67" s="40" customFormat="1" ht="15.75" customHeight="1" thickBot="1" x14ac:dyDescent="0.3">
      <c r="A800" s="520">
        <f>IFERROR(VLOOKUP($G$5,'רשימת רשויות'!A:C,3,0),0)</f>
        <v>0</v>
      </c>
      <c r="B800" s="520">
        <f t="shared" si="111"/>
        <v>0</v>
      </c>
      <c r="C800" s="39"/>
      <c r="D800" s="1134"/>
      <c r="E800" s="1137"/>
      <c r="F800" s="589" t="s">
        <v>2280</v>
      </c>
      <c r="G800" s="99">
        <f>+G811</f>
        <v>0</v>
      </c>
      <c r="H800" s="100">
        <f>K794</f>
        <v>0</v>
      </c>
      <c r="I800" s="100">
        <f>H800-I802</f>
        <v>0</v>
      </c>
      <c r="J800" s="101">
        <f>IFERROR(I800/H800,0)</f>
        <v>0</v>
      </c>
      <c r="K800" s="603"/>
      <c r="L800" s="603"/>
      <c r="M800" s="603"/>
      <c r="N800" s="603"/>
      <c r="O800" s="603"/>
      <c r="P800" s="605"/>
      <c r="Q800" s="604"/>
      <c r="R800" s="606" t="s">
        <v>157</v>
      </c>
      <c r="S800" s="611"/>
      <c r="T800" s="881"/>
      <c r="U800" s="598"/>
      <c r="V800" s="599"/>
      <c r="W800" s="599"/>
      <c r="X800" s="599"/>
      <c r="Y800" s="879"/>
      <c r="Z800" s="102"/>
      <c r="AA800" s="122"/>
      <c r="AB800" s="122"/>
      <c r="AC800" s="493"/>
      <c r="AD800" s="495"/>
      <c r="AE800" s="122"/>
      <c r="AF800" s="22"/>
      <c r="AG800" s="98"/>
      <c r="AH800" s="98"/>
      <c r="AI800" s="20"/>
      <c r="AO800" s="22"/>
      <c r="AP800" s="22"/>
      <c r="AQ800" s="22"/>
      <c r="AR800" s="22"/>
      <c r="AS800" s="22"/>
      <c r="AT800" s="22"/>
      <c r="AU800" s="35"/>
      <c r="AV800" s="35"/>
      <c r="AW800" s="35"/>
      <c r="AX800" s="35"/>
      <c r="AY800" s="35"/>
      <c r="AZ800" s="35"/>
      <c r="BA800" s="35"/>
      <c r="BB800" s="35"/>
      <c r="BC800" s="35"/>
      <c r="BD800" s="35"/>
      <c r="BE800" s="35"/>
      <c r="BF800" s="35"/>
      <c r="BG800" s="35"/>
      <c r="BH800" s="35"/>
      <c r="BI800" s="35"/>
      <c r="BJ800" s="35"/>
      <c r="BK800" s="35"/>
      <c r="BL800" s="35"/>
      <c r="BM800" s="35"/>
      <c r="BN800" s="35"/>
      <c r="BO800" s="86"/>
    </row>
    <row r="801" spans="1:67" s="40" customFormat="1" ht="15.75" customHeight="1" thickBot="1" x14ac:dyDescent="0.3">
      <c r="A801" s="520">
        <f>IFERROR(VLOOKUP($G$5,'רשימת רשויות'!A:C,3,0),0)</f>
        <v>0</v>
      </c>
      <c r="B801" s="520">
        <f t="shared" si="111"/>
        <v>0</v>
      </c>
      <c r="C801" s="39"/>
      <c r="D801" s="1134"/>
      <c r="E801" s="1137"/>
      <c r="F801" s="589" t="s">
        <v>2281</v>
      </c>
      <c r="G801" s="99">
        <f>+G810</f>
        <v>0</v>
      </c>
      <c r="H801" s="103"/>
      <c r="I801" s="104"/>
      <c r="J801" s="105"/>
      <c r="K801" s="603"/>
      <c r="L801" s="603"/>
      <c r="M801" s="603"/>
      <c r="N801" s="603"/>
      <c r="O801" s="603"/>
      <c r="P801" s="605"/>
      <c r="Q801" s="604"/>
      <c r="R801" s="473">
        <f>I802-R803</f>
        <v>0</v>
      </c>
      <c r="S801" s="611"/>
      <c r="T801" s="881"/>
      <c r="U801" s="598"/>
      <c r="V801" s="599"/>
      <c r="W801" s="599"/>
      <c r="X801" s="599"/>
      <c r="Y801" s="879"/>
      <c r="Z801" s="106"/>
      <c r="AA801" s="22"/>
      <c r="AB801" s="22"/>
      <c r="AC801" s="493"/>
      <c r="AD801" s="495"/>
      <c r="AE801" s="22"/>
      <c r="AF801" s="22"/>
      <c r="AG801" s="98"/>
      <c r="AH801" s="98"/>
      <c r="AI801" s="20"/>
      <c r="AO801" s="22"/>
      <c r="AP801" s="22"/>
      <c r="AQ801" s="22"/>
      <c r="AR801" s="22"/>
      <c r="AS801" s="22"/>
      <c r="AT801" s="22"/>
      <c r="AU801" s="35"/>
      <c r="AV801" s="35"/>
      <c r="AW801" s="35"/>
      <c r="AX801" s="35"/>
      <c r="AY801" s="35"/>
      <c r="AZ801" s="35"/>
      <c r="BA801" s="35"/>
      <c r="BB801" s="35"/>
      <c r="BC801" s="35"/>
      <c r="BD801" s="35"/>
      <c r="BE801" s="35"/>
      <c r="BF801" s="35"/>
      <c r="BG801" s="35"/>
      <c r="BH801" s="35"/>
      <c r="BI801" s="35"/>
      <c r="BJ801" s="35"/>
      <c r="BK801" s="35"/>
      <c r="BL801" s="35"/>
      <c r="BM801" s="35"/>
      <c r="BN801" s="35"/>
      <c r="BO801" s="86"/>
    </row>
    <row r="802" spans="1:67" s="40" customFormat="1" ht="16.5" customHeight="1" thickBot="1" x14ac:dyDescent="0.3">
      <c r="A802" s="520">
        <f>IFERROR(VLOOKUP($G$5,'רשימת רשויות'!A:C,3,0),0)</f>
        <v>0</v>
      </c>
      <c r="B802" s="520">
        <f t="shared" si="111"/>
        <v>0</v>
      </c>
      <c r="C802" s="39"/>
      <c r="D802" s="1134"/>
      <c r="E802" s="1137"/>
      <c r="F802" s="589" t="s">
        <v>2282</v>
      </c>
      <c r="G802" s="99">
        <f>G806+G807+G808</f>
        <v>0</v>
      </c>
      <c r="H802" s="104"/>
      <c r="I802" s="107">
        <f>MAX(H800-G800-G801,0)</f>
        <v>0</v>
      </c>
      <c r="J802" s="108">
        <f>IFERROR(I802/H800,0)</f>
        <v>0</v>
      </c>
      <c r="K802" s="603"/>
      <c r="L802" s="603"/>
      <c r="M802" s="603"/>
      <c r="N802" s="603"/>
      <c r="O802" s="603"/>
      <c r="P802" s="604"/>
      <c r="Q802" s="604"/>
      <c r="R802" s="606" t="s">
        <v>158</v>
      </c>
      <c r="S802" s="612"/>
      <c r="T802" s="881"/>
      <c r="U802" s="598"/>
      <c r="V802" s="599"/>
      <c r="W802" s="599"/>
      <c r="X802" s="599"/>
      <c r="Y802" s="879"/>
      <c r="Z802" s="106"/>
      <c r="AA802" s="22"/>
      <c r="AB802" s="22"/>
      <c r="AC802" s="493"/>
      <c r="AD802" s="495"/>
      <c r="AE802" s="22"/>
      <c r="AF802" s="22"/>
      <c r="AG802" s="22"/>
      <c r="AH802" s="22"/>
      <c r="AI802" s="55"/>
      <c r="AJ802" s="22"/>
      <c r="AK802" s="22"/>
      <c r="AO802" s="22"/>
      <c r="AP802" s="22"/>
      <c r="AQ802" s="22"/>
      <c r="AR802" s="22"/>
      <c r="AS802" s="22"/>
      <c r="AT802" s="22"/>
      <c r="AU802" s="35"/>
      <c r="AV802" s="35"/>
      <c r="AW802" s="35"/>
      <c r="AX802" s="35"/>
      <c r="AY802" s="35"/>
      <c r="AZ802" s="35"/>
      <c r="BA802" s="35"/>
      <c r="BB802" s="35"/>
      <c r="BC802" s="35"/>
      <c r="BD802" s="35"/>
      <c r="BE802" s="35"/>
      <c r="BF802" s="35"/>
      <c r="BG802" s="35"/>
      <c r="BH802" s="35"/>
      <c r="BI802" s="35"/>
      <c r="BJ802" s="35"/>
      <c r="BK802" s="35"/>
      <c r="BL802" s="35"/>
      <c r="BM802" s="35"/>
      <c r="BN802" s="35"/>
      <c r="BO802" s="86"/>
    </row>
    <row r="803" spans="1:67" s="40" customFormat="1" ht="15.75" customHeight="1" thickBot="1" x14ac:dyDescent="0.3">
      <c r="A803" s="520">
        <f>IFERROR(VLOOKUP($G$5,'רשימת רשויות'!A:C,3,0),0)</f>
        <v>0</v>
      </c>
      <c r="B803" s="520">
        <f t="shared" si="111"/>
        <v>0</v>
      </c>
      <c r="C803" s="39"/>
      <c r="D803" s="1134"/>
      <c r="E803" s="1137"/>
      <c r="F803" s="590" t="s">
        <v>2290</v>
      </c>
      <c r="G803" s="109"/>
      <c r="H803" s="110"/>
      <c r="I803" s="111">
        <f>SUM(I800:I802)</f>
        <v>0</v>
      </c>
      <c r="J803" s="112">
        <f>SUM(J800:J802)</f>
        <v>0</v>
      </c>
      <c r="K803" s="603"/>
      <c r="L803" s="603"/>
      <c r="M803" s="603"/>
      <c r="N803" s="603"/>
      <c r="O803" s="603"/>
      <c r="P803" s="604"/>
      <c r="Q803" s="604"/>
      <c r="R803" s="473">
        <f>MIN(MAX(G807+G808-I796-J796,0),I802)</f>
        <v>0</v>
      </c>
      <c r="S803" s="612"/>
      <c r="T803" s="881"/>
      <c r="U803" s="598"/>
      <c r="V803" s="599"/>
      <c r="W803" s="599"/>
      <c r="X803" s="599"/>
      <c r="Y803" s="879"/>
      <c r="Z803" s="106"/>
      <c r="AA803" s="22"/>
      <c r="AB803" s="22"/>
      <c r="AC803" s="493"/>
      <c r="AD803" s="495"/>
      <c r="AE803" s="22"/>
      <c r="AF803" s="22"/>
      <c r="AG803" s="22"/>
      <c r="AH803" s="22"/>
      <c r="AJ803" s="22"/>
      <c r="AK803" s="22"/>
      <c r="AO803" s="22"/>
      <c r="AP803" s="22"/>
      <c r="AQ803" s="22"/>
      <c r="AR803" s="22"/>
      <c r="AS803" s="22"/>
      <c r="AT803" s="22"/>
      <c r="AU803" s="35"/>
      <c r="AV803" s="35"/>
      <c r="AW803" s="35"/>
      <c r="AX803" s="35"/>
      <c r="AY803" s="35"/>
      <c r="AZ803" s="35"/>
      <c r="BA803" s="35"/>
      <c r="BB803" s="35"/>
      <c r="BC803" s="35"/>
      <c r="BD803" s="35"/>
      <c r="BE803" s="35"/>
      <c r="BF803" s="35"/>
      <c r="BG803" s="35"/>
      <c r="BH803" s="35"/>
      <c r="BI803" s="35"/>
      <c r="BJ803" s="35"/>
      <c r="BK803" s="35"/>
      <c r="BL803" s="35"/>
      <c r="BM803" s="35"/>
      <c r="BN803" s="35"/>
      <c r="BO803" s="86"/>
    </row>
    <row r="804" spans="1:67" ht="16.5" thickBot="1" x14ac:dyDescent="0.3">
      <c r="A804" s="520">
        <f>IFERROR(VLOOKUP($G$5,'רשימת רשויות'!A:C,3,0),0)</f>
        <v>0</v>
      </c>
      <c r="B804" s="520">
        <f t="shared" si="111"/>
        <v>0</v>
      </c>
      <c r="D804" s="1134"/>
      <c r="E804" s="1137"/>
      <c r="F804" s="587" t="s">
        <v>17</v>
      </c>
      <c r="G804" s="113"/>
      <c r="H804" s="92"/>
      <c r="I804" s="114"/>
      <c r="J804" s="115"/>
      <c r="K804" s="116"/>
      <c r="L804" s="406"/>
      <c r="M804" s="116"/>
      <c r="N804" s="116"/>
      <c r="O804" s="116"/>
      <c r="P804" s="474"/>
      <c r="Q804" s="607"/>
      <c r="R804" s="608"/>
      <c r="S804" s="612"/>
      <c r="T804" s="881"/>
      <c r="U804" s="598"/>
      <c r="V804" s="599"/>
      <c r="W804" s="599"/>
      <c r="X804" s="599"/>
      <c r="Y804" s="879"/>
      <c r="Z804" s="106"/>
      <c r="AI804" s="40"/>
      <c r="BO804" s="86"/>
    </row>
    <row r="805" spans="1:67" ht="47.25" x14ac:dyDescent="0.25">
      <c r="A805" s="520">
        <f>IFERROR(VLOOKUP($G$5,'רשימת רשויות'!A:C,3,0),0)</f>
        <v>0</v>
      </c>
      <c r="B805" s="520">
        <f t="shared" si="111"/>
        <v>0</v>
      </c>
      <c r="D805" s="1134"/>
      <c r="E805" s="1137"/>
      <c r="F805" s="588" t="s">
        <v>2</v>
      </c>
      <c r="G805" s="95" t="s">
        <v>18</v>
      </c>
      <c r="H805" s="95" t="s">
        <v>19</v>
      </c>
      <c r="I805" s="95" t="s">
        <v>20</v>
      </c>
      <c r="J805" s="95" t="s">
        <v>22</v>
      </c>
      <c r="K805" s="96" t="s">
        <v>2314</v>
      </c>
      <c r="L805" s="609"/>
      <c r="M805" s="609"/>
      <c r="N805" s="609"/>
      <c r="O805" s="580"/>
      <c r="P805" s="618" t="s">
        <v>2298</v>
      </c>
      <c r="Q805" s="618" t="s">
        <v>2299</v>
      </c>
      <c r="R805" s="596"/>
      <c r="S805" s="890" t="s">
        <v>2519</v>
      </c>
      <c r="T805" s="890" t="s">
        <v>97</v>
      </c>
      <c r="U805" s="891" t="s">
        <v>2521</v>
      </c>
      <c r="V805" s="892" t="s">
        <v>2520</v>
      </c>
      <c r="W805" s="893" t="s">
        <v>2524</v>
      </c>
      <c r="X805" s="892" t="s">
        <v>2522</v>
      </c>
      <c r="Y805" s="894" t="s">
        <v>2523</v>
      </c>
      <c r="Z805" s="106"/>
      <c r="AC805" s="498" t="s">
        <v>2568</v>
      </c>
      <c r="AD805" s="499" t="s">
        <v>2569</v>
      </c>
      <c r="AF805" s="122"/>
      <c r="AI805" s="40"/>
      <c r="BO805" s="86"/>
    </row>
    <row r="806" spans="1:67" ht="15" customHeight="1" thickBot="1" x14ac:dyDescent="0.3">
      <c r="A806" s="520">
        <f>IFERROR(VLOOKUP($G$5,'רשימת רשויות'!A:C,3,0),0)</f>
        <v>0</v>
      </c>
      <c r="B806" s="520">
        <f t="shared" si="111"/>
        <v>0</v>
      </c>
      <c r="D806" s="1134"/>
      <c r="E806" s="1137"/>
      <c r="F806" s="589" t="s">
        <v>76</v>
      </c>
      <c r="G806" s="117">
        <f>IF(G797="תקין",SUMIF('עלויות כח אדם (6)'!$B$15:$B$3014,'בית ספר - תקצוב לפי מוסד (9)'!$G792,'עלויות כח אדם (6)'!$M$15:$M$3014)-VLOOKUP('בית ספר - תקצוב לפי מוסד (9)'!G792,' איוש משרות (8)'!$C:$H,5,0)-VLOOKUP('בית ספר - תקצוב לפי מוסד (9)'!G792,' איוש משרות (8)'!$C:$H,6,0),0)-Y806</f>
        <v>0</v>
      </c>
      <c r="H806" s="118">
        <f>I794+R801</f>
        <v>0</v>
      </c>
      <c r="I806" s="119">
        <f>IFERROR(SUM(G806)/H806,0)</f>
        <v>0</v>
      </c>
      <c r="J806" s="100">
        <f>MIN(I794+R801,IF(ISNUMBER(G806),G806,0))</f>
        <v>0</v>
      </c>
      <c r="K806" s="120">
        <f>MAX(H806-G806,0)</f>
        <v>0</v>
      </c>
      <c r="L806" s="407"/>
      <c r="M806" s="393"/>
      <c r="N806" s="393"/>
      <c r="O806" s="580"/>
      <c r="P806" s="968">
        <f>IFERROR(IF(SUM(G806)/(I794)&lt;100%,MIN((I794)-SUM(G806),(I794)*0.25),0),0)</f>
        <v>0</v>
      </c>
      <c r="Q806" s="968">
        <f>IF(SUM(G806)-(I794+R801)&gt;0,SUM(G806)-(I794+R801),0)</f>
        <v>0</v>
      </c>
      <c r="R806" s="596" t="s">
        <v>2351</v>
      </c>
      <c r="S806" s="576" t="s">
        <v>2342</v>
      </c>
      <c r="T806" s="599">
        <f>G792</f>
        <v>0</v>
      </c>
      <c r="U806" s="578"/>
      <c r="V806" s="579">
        <f>G806+G807+G808</f>
        <v>0</v>
      </c>
      <c r="W806" s="579">
        <f>U806-V806</f>
        <v>0</v>
      </c>
      <c r="X806" s="579">
        <f>IFERROR(W820*W806/(SUM(W806:W819)),0)</f>
        <v>0</v>
      </c>
      <c r="Y806" s="879">
        <f>SUMIFS(בקרה!$S:$S,בקרה!$D:$D,T806,בקרה!$K:$K,S806)</f>
        <v>0</v>
      </c>
      <c r="Z806" s="121"/>
      <c r="AA806" s="143"/>
      <c r="AB806" s="143"/>
      <c r="AC806" s="504">
        <v>0</v>
      </c>
      <c r="AD806" s="505">
        <f>IFERROR(U806-AC806,0)</f>
        <v>0</v>
      </c>
      <c r="AE806" s="143"/>
      <c r="AI806" s="20"/>
      <c r="BO806" s="86"/>
    </row>
    <row r="807" spans="1:67" ht="15" customHeight="1" thickBot="1" x14ac:dyDescent="0.3">
      <c r="A807" s="520">
        <f>IFERROR(VLOOKUP($G$5,'רשימת רשויות'!A:C,3,0),0)</f>
        <v>0</v>
      </c>
      <c r="B807" s="520">
        <f t="shared" si="111"/>
        <v>0</v>
      </c>
      <c r="D807" s="1134"/>
      <c r="E807" s="1137"/>
      <c r="F807" s="589" t="s">
        <v>44</v>
      </c>
      <c r="G807" s="123">
        <f>IF(G797="תקין",IFERROR(VLOOKUP('בית ספר - תקצוב לפי מוסד (9)'!G792,' איוש משרות (8)'!C:J,7,0),0),0)</f>
        <v>0</v>
      </c>
      <c r="H807" s="124">
        <f>I796+R803+J796</f>
        <v>0</v>
      </c>
      <c r="I807" s="119">
        <f>IFERROR(SUM(G807:G808)/H807,0)</f>
        <v>0</v>
      </c>
      <c r="J807" s="100">
        <f>MIN(R803+I796,IF(ISNUMBER(SUM(G807:G808)),SUM(G807:G808),0))</f>
        <v>0</v>
      </c>
      <c r="K807" s="1139">
        <f>MAX((H807)-(G807+G808),0)</f>
        <v>0</v>
      </c>
      <c r="L807" s="407"/>
      <c r="M807" s="393"/>
      <c r="N807" s="393"/>
      <c r="O807" s="580"/>
      <c r="P807" s="1140"/>
      <c r="Q807" s="1140"/>
      <c r="R807" s="617">
        <f>MAX(MIN(P815-Q815,H815*0.15-G813),0)</f>
        <v>0</v>
      </c>
      <c r="S807" s="576"/>
      <c r="T807" s="599">
        <f>G792</f>
        <v>0</v>
      </c>
      <c r="U807" s="578"/>
      <c r="V807" s="579"/>
      <c r="W807" s="579">
        <f t="shared" ref="W807:W819" si="113">U807-V807</f>
        <v>0</v>
      </c>
      <c r="X807" s="579"/>
      <c r="Y807" s="879"/>
      <c r="Z807" s="121"/>
      <c r="AA807" s="143"/>
      <c r="AB807" s="143"/>
      <c r="AC807" s="504"/>
      <c r="AD807" s="505">
        <f t="shared" ref="AD807:AD813" si="114">IFERROR(U807-AC807,0)</f>
        <v>0</v>
      </c>
      <c r="AE807" s="143"/>
      <c r="AI807" s="20"/>
      <c r="BO807" s="86"/>
    </row>
    <row r="808" spans="1:67" ht="15.75" customHeight="1" x14ac:dyDescent="0.25">
      <c r="A808" s="520">
        <f>IFERROR(VLOOKUP($G$5,'רשימת רשויות'!A:C,3,0),0)</f>
        <v>0</v>
      </c>
      <c r="B808" s="520">
        <f t="shared" si="111"/>
        <v>0</v>
      </c>
      <c r="D808" s="1134"/>
      <c r="E808" s="1137"/>
      <c r="F808" s="589" t="s">
        <v>45</v>
      </c>
      <c r="G808" s="123">
        <f>IF(G797="תקין",IFERROR(VLOOKUP('בית ספר - תקצוב לפי מוסד (9)'!G792,' איוש משרות (8)'!C:J,8,0),0),0)</f>
        <v>0</v>
      </c>
      <c r="H808" s="125"/>
      <c r="I808" s="126"/>
      <c r="J808" s="104"/>
      <c r="K808" s="1139"/>
      <c r="L808" s="407"/>
      <c r="M808" s="393"/>
      <c r="N808" s="393"/>
      <c r="O808" s="580"/>
      <c r="P808" s="1140"/>
      <c r="Q808" s="1140"/>
      <c r="R808" s="596"/>
      <c r="S808" s="576"/>
      <c r="T808" s="599">
        <f>G792</f>
        <v>0</v>
      </c>
      <c r="U808" s="578"/>
      <c r="V808" s="579"/>
      <c r="W808" s="579">
        <f t="shared" si="113"/>
        <v>0</v>
      </c>
      <c r="X808" s="579"/>
      <c r="Y808" s="879"/>
      <c r="Z808" s="121"/>
      <c r="AA808" s="143"/>
      <c r="AB808" s="143"/>
      <c r="AC808" s="504"/>
      <c r="AD808" s="505">
        <f t="shared" si="114"/>
        <v>0</v>
      </c>
      <c r="AE808" s="143"/>
      <c r="AG808" s="55"/>
      <c r="AH808" s="55"/>
      <c r="AI808" s="55"/>
      <c r="AJ808" s="55"/>
      <c r="AK808" s="55"/>
      <c r="BO808" s="86"/>
    </row>
    <row r="809" spans="1:67" ht="15.75" customHeight="1" x14ac:dyDescent="0.25">
      <c r="A809" s="520">
        <f>IFERROR(VLOOKUP($G$5,'רשימת רשויות'!A:C,3,0),0)</f>
        <v>0</v>
      </c>
      <c r="B809" s="520">
        <f t="shared" si="111"/>
        <v>0</v>
      </c>
      <c r="D809" s="1134"/>
      <c r="E809" s="1137"/>
      <c r="F809" s="589" t="s">
        <v>0</v>
      </c>
      <c r="G809" s="117">
        <f>IF(G797="תקין",SUMIFS('דוח הוצאות בפועל (4)'!$E$17:$E$3016,'דוח הוצאות בפועל (4)'!$B$17:$B$3016,'בית ספר - תקצוב לפי מוסד (9)'!$G792,'דוח הוצאות בפועל (4)'!$M$17:$M$3016,"הע"),0)-Y809</f>
        <v>0</v>
      </c>
      <c r="H809" s="127">
        <f>J794</f>
        <v>0</v>
      </c>
      <c r="I809" s="128">
        <f>IFERROR(G809/H809,0)</f>
        <v>0</v>
      </c>
      <c r="J809" s="129">
        <f>MIN(IF(ISNUMBER(G809),G809,0),H809)</f>
        <v>0</v>
      </c>
      <c r="K809" s="120">
        <f>MAX(H809-G809,0)</f>
        <v>0</v>
      </c>
      <c r="L809" s="407"/>
      <c r="M809" s="393"/>
      <c r="N809" s="393"/>
      <c r="O809" s="580"/>
      <c r="P809" s="968">
        <f>MAX(IF(I809&lt;100%,MIN((H809-G809),H809*0.25),0),0)</f>
        <v>0</v>
      </c>
      <c r="Q809" s="619">
        <f>IF(G809-H809&gt;0,G809-H809,0)</f>
        <v>0</v>
      </c>
      <c r="R809" s="596"/>
      <c r="S809" s="610" t="s">
        <v>0</v>
      </c>
      <c r="T809" s="599">
        <f>G792</f>
        <v>0</v>
      </c>
      <c r="U809" s="578"/>
      <c r="V809" s="579">
        <f>G809</f>
        <v>0</v>
      </c>
      <c r="W809" s="579">
        <f t="shared" si="113"/>
        <v>0</v>
      </c>
      <c r="X809" s="579">
        <f>IFERROR(W820*W809/(SUM(W806:W819)),0)</f>
        <v>0</v>
      </c>
      <c r="Y809" s="879">
        <f>SUMIFS(בקרה!$S:$S,בקרה!$D:$D,T809,בקרה!$K:$K,S809)</f>
        <v>0</v>
      </c>
      <c r="Z809" s="121"/>
      <c r="AA809" s="143"/>
      <c r="AB809" s="143"/>
      <c r="AC809" s="504">
        <v>0</v>
      </c>
      <c r="AD809" s="505">
        <f t="shared" si="114"/>
        <v>0</v>
      </c>
      <c r="AE809" s="143"/>
      <c r="AG809" s="55"/>
      <c r="AH809" s="55"/>
      <c r="AI809" s="40"/>
      <c r="AJ809" s="55"/>
      <c r="AK809" s="55"/>
      <c r="BO809" s="86"/>
    </row>
    <row r="810" spans="1:67" s="55" customFormat="1" ht="15.75" customHeight="1" x14ac:dyDescent="0.25">
      <c r="A810" s="520">
        <f>IFERROR(VLOOKUP($G$5,'רשימת רשויות'!A:C,3,0),0)</f>
        <v>0</v>
      </c>
      <c r="B810" s="520">
        <f t="shared" si="111"/>
        <v>0</v>
      </c>
      <c r="C810" s="39"/>
      <c r="D810" s="1134"/>
      <c r="E810" s="1137"/>
      <c r="F810" s="589" t="s">
        <v>93</v>
      </c>
      <c r="G810" s="130">
        <f>IF(G797="תקין",SUMIFS('דוח הוצאות בפועל (4)'!$E$17:$E$3016,'דוח הוצאות בפועל (4)'!$B$17:$B$3016,'בית ספר - תקצוב לפי מוסד (9)'!$G792,'דוח הוצאות בפועל (4)'!$M$17:$M$3016,"אר"),0)-Y810</f>
        <v>0</v>
      </c>
      <c r="H810" s="118">
        <f>$I800</f>
        <v>0</v>
      </c>
      <c r="I810" s="131">
        <f>IFERROR((G810+G811)/H810,0)</f>
        <v>0</v>
      </c>
      <c r="J810" s="100">
        <f>MIN((IF(ISNUMBER(G810),G810,0)+IF(ISNUMBER(G811),G811,0)),H810)</f>
        <v>0</v>
      </c>
      <c r="K810" s="1139">
        <f>MAX((H810)-(G810+G811),0)</f>
        <v>0</v>
      </c>
      <c r="L810" s="407"/>
      <c r="M810" s="393"/>
      <c r="N810" s="393"/>
      <c r="O810" s="602"/>
      <c r="P810" s="1141"/>
      <c r="Q810" s="1142"/>
      <c r="R810" s="596"/>
      <c r="S810" s="610" t="s">
        <v>93</v>
      </c>
      <c r="T810" s="599">
        <f>G792</f>
        <v>0</v>
      </c>
      <c r="U810" s="578"/>
      <c r="V810" s="579">
        <f t="shared" ref="V810:V811" si="115">G810</f>
        <v>0</v>
      </c>
      <c r="W810" s="579">
        <f t="shared" si="113"/>
        <v>0</v>
      </c>
      <c r="X810" s="579">
        <f>IFERROR(W820*W810/(SUM(W806:W819)),0)</f>
        <v>0</v>
      </c>
      <c r="Y810" s="879">
        <f>SUMIFS(בקרה!$S:$S,בקרה!$D:$D,T810,בקרה!$K:$K,S810)</f>
        <v>0</v>
      </c>
      <c r="Z810" s="121"/>
      <c r="AA810" s="143"/>
      <c r="AB810" s="143"/>
      <c r="AC810" s="504">
        <v>0</v>
      </c>
      <c r="AD810" s="505">
        <f t="shared" si="114"/>
        <v>0</v>
      </c>
      <c r="AE810" s="143"/>
      <c r="AJ810" s="22"/>
      <c r="AO810" s="22"/>
      <c r="AP810" s="22"/>
      <c r="AQ810" s="22"/>
      <c r="AR810" s="22"/>
      <c r="AS810" s="22"/>
      <c r="AT810" s="22"/>
      <c r="AU810" s="35"/>
      <c r="AV810" s="35"/>
      <c r="AW810" s="35"/>
      <c r="AX810" s="35"/>
      <c r="AY810" s="35"/>
      <c r="AZ810" s="35"/>
      <c r="BA810" s="35"/>
      <c r="BB810" s="35"/>
      <c r="BC810" s="35"/>
      <c r="BD810" s="35"/>
      <c r="BE810" s="35"/>
      <c r="BF810" s="35"/>
      <c r="BG810" s="35"/>
      <c r="BH810" s="35"/>
      <c r="BI810" s="35"/>
      <c r="BJ810" s="35"/>
      <c r="BK810" s="35"/>
      <c r="BL810" s="35"/>
      <c r="BM810" s="35"/>
      <c r="BN810" s="35"/>
      <c r="BO810" s="86"/>
    </row>
    <row r="811" spans="1:67" s="55" customFormat="1" ht="15.75" customHeight="1" x14ac:dyDescent="0.25">
      <c r="A811" s="520">
        <f>IFERROR(VLOOKUP($G$5,'רשימת רשויות'!A:C,3,0),0)</f>
        <v>0</v>
      </c>
      <c r="B811" s="520">
        <f t="shared" si="111"/>
        <v>0</v>
      </c>
      <c r="C811" s="39"/>
      <c r="D811" s="1134"/>
      <c r="E811" s="1137"/>
      <c r="F811" s="589" t="s">
        <v>46</v>
      </c>
      <c r="G811" s="130">
        <f>IF(G797="תקין",SUMIFS('דוח הוצאות בפועל (4)'!$E$17:$E$3016,'דוח הוצאות בפועל (4)'!$B$17:$B$3016,'בית ספר - תקצוב לפי מוסד (9)'!$G792,'דוח הוצאות בפועל (4)'!$M$17:$M$3016,"מל"),0)-Y811</f>
        <v>0</v>
      </c>
      <c r="H811" s="132"/>
      <c r="I811" s="133"/>
      <c r="J811" s="104"/>
      <c r="K811" s="1139"/>
      <c r="L811" s="407"/>
      <c r="M811" s="393"/>
      <c r="N811" s="393"/>
      <c r="O811" s="602"/>
      <c r="P811" s="1141"/>
      <c r="Q811" s="1142"/>
      <c r="R811" s="596"/>
      <c r="S811" s="610" t="s">
        <v>46</v>
      </c>
      <c r="T811" s="599">
        <f>G792</f>
        <v>0</v>
      </c>
      <c r="U811" s="578"/>
      <c r="V811" s="579">
        <f t="shared" si="115"/>
        <v>0</v>
      </c>
      <c r="W811" s="579">
        <f t="shared" si="113"/>
        <v>0</v>
      </c>
      <c r="X811" s="579">
        <f>IFERROR(W820*W811/(SUM(W806:W819)),0)</f>
        <v>0</v>
      </c>
      <c r="Y811" s="879">
        <f>SUMIFS(בקרה!$S:$S,בקרה!$D:$D,T811,בקרה!$K:$K,S811)</f>
        <v>0</v>
      </c>
      <c r="Z811" s="121"/>
      <c r="AA811" s="143"/>
      <c r="AB811" s="143"/>
      <c r="AC811" s="504">
        <v>0</v>
      </c>
      <c r="AD811" s="505">
        <f t="shared" si="114"/>
        <v>0</v>
      </c>
      <c r="AE811" s="143"/>
      <c r="AJ811" s="22"/>
      <c r="AO811" s="22"/>
      <c r="AP811" s="22"/>
      <c r="AQ811" s="22"/>
      <c r="AR811" s="22"/>
      <c r="AS811" s="22"/>
      <c r="AT811" s="22"/>
      <c r="AU811" s="35"/>
      <c r="AV811" s="35"/>
      <c r="AW811" s="35"/>
      <c r="AX811" s="35"/>
      <c r="AY811" s="35"/>
      <c r="AZ811" s="35"/>
      <c r="BA811" s="35"/>
      <c r="BB811" s="35"/>
      <c r="BC811" s="35"/>
      <c r="BD811" s="35"/>
      <c r="BE811" s="35"/>
      <c r="BF811" s="35"/>
      <c r="BG811" s="35"/>
      <c r="BH811" s="35"/>
      <c r="BI811" s="35"/>
      <c r="BJ811" s="35"/>
      <c r="BK811" s="35"/>
      <c r="BL811" s="35"/>
      <c r="BM811" s="35"/>
      <c r="BN811" s="35"/>
      <c r="BO811" s="86"/>
    </row>
    <row r="812" spans="1:67" s="55" customFormat="1" ht="15" customHeight="1" x14ac:dyDescent="0.25">
      <c r="A812" s="520">
        <f>IFERROR(VLOOKUP($G$5,'רשימת רשויות'!A:C,3,0),0)</f>
        <v>0</v>
      </c>
      <c r="B812" s="520">
        <f t="shared" si="111"/>
        <v>0</v>
      </c>
      <c r="C812" s="39"/>
      <c r="D812" s="1134"/>
      <c r="E812" s="1137"/>
      <c r="F812" s="591" t="s">
        <v>23</v>
      </c>
      <c r="G812" s="134">
        <f>SUM(G806:G811)</f>
        <v>0</v>
      </c>
      <c r="H812" s="135">
        <f>SUM(H806:H811)</f>
        <v>0</v>
      </c>
      <c r="I812" s="128">
        <f>IFERROR(G812/H812,0)</f>
        <v>0</v>
      </c>
      <c r="J812" s="136">
        <f>SUM(J806:J811)</f>
        <v>0</v>
      </c>
      <c r="K812" s="137">
        <f>SUM(K806:K811)</f>
        <v>0</v>
      </c>
      <c r="L812" s="408"/>
      <c r="M812" s="394"/>
      <c r="N812" s="394"/>
      <c r="O812" s="602"/>
      <c r="P812" s="620">
        <f>SUM(P806:P811)</f>
        <v>0</v>
      </c>
      <c r="Q812" s="620">
        <f>SUM(Q806:Q811)</f>
        <v>0</v>
      </c>
      <c r="R812" s="596"/>
      <c r="S812" s="610"/>
      <c r="T812" s="599">
        <f>G792</f>
        <v>0</v>
      </c>
      <c r="U812" s="578"/>
      <c r="V812" s="579"/>
      <c r="W812" s="579">
        <f t="shared" si="113"/>
        <v>0</v>
      </c>
      <c r="X812" s="579"/>
      <c r="Y812" s="879"/>
      <c r="Z812" s="121"/>
      <c r="AA812" s="143"/>
      <c r="AB812" s="143"/>
      <c r="AC812" s="504"/>
      <c r="AD812" s="505">
        <f t="shared" si="114"/>
        <v>0</v>
      </c>
      <c r="AE812" s="143"/>
      <c r="AJ812" s="22"/>
      <c r="AL812" s="22"/>
      <c r="AM812" s="22"/>
      <c r="AN812" s="22"/>
      <c r="AO812" s="22"/>
      <c r="AP812" s="22"/>
      <c r="AQ812" s="22"/>
      <c r="AR812" s="22"/>
      <c r="AS812" s="22"/>
      <c r="AT812" s="22"/>
      <c r="AU812" s="35"/>
      <c r="AV812" s="35"/>
      <c r="AW812" s="35"/>
      <c r="AX812" s="35"/>
      <c r="AY812" s="35"/>
      <c r="AZ812" s="35"/>
      <c r="BA812" s="35"/>
      <c r="BB812" s="35"/>
      <c r="BC812" s="35"/>
      <c r="BD812" s="35"/>
      <c r="BE812" s="35"/>
      <c r="BF812" s="35"/>
      <c r="BG812" s="35"/>
      <c r="BH812" s="35"/>
      <c r="BI812" s="35"/>
      <c r="BJ812" s="35"/>
      <c r="BK812" s="35"/>
      <c r="BL812" s="35"/>
      <c r="BM812" s="35"/>
      <c r="BN812" s="35"/>
      <c r="BO812" s="86"/>
    </row>
    <row r="813" spans="1:67" s="55" customFormat="1" ht="15" customHeight="1" x14ac:dyDescent="0.25">
      <c r="A813" s="520">
        <f>IFERROR(VLOOKUP($G$5,'רשימת רשויות'!A:C,3,0),0)</f>
        <v>0</v>
      </c>
      <c r="B813" s="520">
        <f t="shared" si="111"/>
        <v>0</v>
      </c>
      <c r="C813" s="39"/>
      <c r="D813" s="1134"/>
      <c r="E813" s="1137"/>
      <c r="F813" s="589" t="s">
        <v>3</v>
      </c>
      <c r="G813" s="117">
        <f>IF(G797="תקין",SUMIFS('דוח הוצאות בפועל (4)'!$E$17:$E$3016,'דוח הוצאות בפועל (4)'!$B$17:$B$3016,'בית ספר - תקצוב לפי מוסד (9)'!$G792,'דוח הוצאות בפועל (4)'!$M$17:$M$3016,"ני")+SUMIFS('דוח הוצאות בפועל (4)'!$E$17:$E$3016,'דוח הוצאות בפועל (4)'!$B$17:$B$3016,'בית ספר - תקצוב לפי מוסד (9)'!$G792,'דוח הוצאות בפועל (4)'!$M$17:$M$3016,"על"),0)-Y813</f>
        <v>0</v>
      </c>
      <c r="H813" s="117">
        <f>H794</f>
        <v>0</v>
      </c>
      <c r="I813" s="138">
        <f>IFERROR(G813/H813,0)</f>
        <v>0</v>
      </c>
      <c r="J813" s="117">
        <f>IFERROR(IF(G813/H815&gt;0.15,MIN(H815*0.15,H813),MIN(H813,IF(ISNUMBER(G813),G813,0))),0)</f>
        <v>0</v>
      </c>
      <c r="K813" s="120">
        <f>MAX(H813-G813,0)</f>
        <v>0</v>
      </c>
      <c r="L813" s="407"/>
      <c r="M813" s="393"/>
      <c r="N813" s="393"/>
      <c r="O813" s="602"/>
      <c r="P813" s="620">
        <f>IF(I813&lt;100%,MIN(H813-G813,H813*0.25),0)</f>
        <v>0</v>
      </c>
      <c r="Q813" s="620">
        <f>MAX(MIN(IF(G813-H813&gt;0,G813-H813,0),$H815*0.15-H813-J814),0)</f>
        <v>0</v>
      </c>
      <c r="R813" s="596"/>
      <c r="S813" s="610" t="s">
        <v>3</v>
      </c>
      <c r="T813" s="599">
        <f>G792</f>
        <v>0</v>
      </c>
      <c r="U813" s="578"/>
      <c r="V813" s="579">
        <f t="shared" ref="V813" si="116">G813</f>
        <v>0</v>
      </c>
      <c r="W813" s="579">
        <f t="shared" si="113"/>
        <v>0</v>
      </c>
      <c r="X813" s="579"/>
      <c r="Y813" s="879"/>
      <c r="Z813" s="121"/>
      <c r="AA813" s="143"/>
      <c r="AB813" s="143"/>
      <c r="AC813" s="504">
        <v>0</v>
      </c>
      <c r="AD813" s="505">
        <f t="shared" si="114"/>
        <v>0</v>
      </c>
      <c r="AE813" s="143"/>
      <c r="AG813" s="22"/>
      <c r="AH813" s="22"/>
      <c r="AI813" s="22"/>
      <c r="AJ813" s="22"/>
      <c r="AK813" s="22"/>
      <c r="AL813" s="22"/>
      <c r="AM813" s="22"/>
      <c r="AN813" s="22"/>
      <c r="AO813" s="22"/>
      <c r="AP813" s="22"/>
      <c r="AQ813" s="22"/>
      <c r="AR813" s="22"/>
      <c r="AS813" s="22"/>
      <c r="AT813" s="22"/>
      <c r="AU813" s="35"/>
      <c r="AV813" s="35"/>
      <c r="AW813" s="35"/>
      <c r="AX813" s="35"/>
      <c r="AY813" s="35"/>
      <c r="AZ813" s="35"/>
      <c r="BA813" s="35"/>
      <c r="BB813" s="35"/>
      <c r="BC813" s="35"/>
      <c r="BD813" s="35"/>
      <c r="BE813" s="35"/>
      <c r="BF813" s="35"/>
      <c r="BG813" s="35"/>
      <c r="BH813" s="35"/>
      <c r="BI813" s="35"/>
      <c r="BJ813" s="35"/>
      <c r="BK813" s="35"/>
      <c r="BL813" s="35"/>
      <c r="BM813" s="35"/>
      <c r="BN813" s="35"/>
      <c r="BO813" s="86"/>
    </row>
    <row r="814" spans="1:67" s="55" customFormat="1" ht="15.75" customHeight="1" x14ac:dyDescent="0.25">
      <c r="A814" s="520">
        <f>IFERROR(VLOOKUP($G$5,'רשימת רשויות'!A:C,3,0),0)</f>
        <v>0</v>
      </c>
      <c r="B814" s="520">
        <f t="shared" si="111"/>
        <v>0</v>
      </c>
      <c r="C814" s="39"/>
      <c r="D814" s="1134"/>
      <c r="E814" s="1137"/>
      <c r="F814" s="589" t="s">
        <v>2918</v>
      </c>
      <c r="G814" s="117">
        <f>0.07*(G808+G807)</f>
        <v>0</v>
      </c>
      <c r="H814" s="117">
        <f>H796</f>
        <v>0</v>
      </c>
      <c r="I814" s="138">
        <f>IFERROR(G814/H814,0)</f>
        <v>0</v>
      </c>
      <c r="J814" s="117">
        <f>IFERROR(MIN(0.07*(G807+G808),0.07*I796),0)</f>
        <v>0</v>
      </c>
      <c r="K814" s="120">
        <f>MAX(H814-G814,0)</f>
        <v>0</v>
      </c>
      <c r="L814" s="407"/>
      <c r="M814" s="393"/>
      <c r="N814" s="393"/>
      <c r="O814" s="602"/>
      <c r="P814" s="620"/>
      <c r="Q814" s="619"/>
      <c r="R814" s="596"/>
      <c r="S814" s="611"/>
      <c r="T814" s="599">
        <f>G792</f>
        <v>0</v>
      </c>
      <c r="U814" s="578"/>
      <c r="V814" s="579"/>
      <c r="W814" s="579">
        <f t="shared" si="113"/>
        <v>0</v>
      </c>
      <c r="X814" s="579"/>
      <c r="Y814" s="879"/>
      <c r="Z814" s="121"/>
      <c r="AA814" s="143"/>
      <c r="AB814" s="143"/>
      <c r="AC814" s="504"/>
      <c r="AD814" s="505"/>
      <c r="AE814" s="143"/>
      <c r="AF814" s="140"/>
      <c r="AG814" s="22"/>
      <c r="AH814" s="22"/>
      <c r="AI814" s="22"/>
      <c r="AJ814" s="22"/>
      <c r="AK814" s="22"/>
      <c r="AL814" s="22"/>
      <c r="AM814" s="22"/>
      <c r="AN814" s="22"/>
      <c r="AO814" s="22"/>
      <c r="AP814" s="22"/>
      <c r="AQ814" s="22"/>
      <c r="AR814" s="22"/>
      <c r="AS814" s="22"/>
      <c r="AT814" s="22"/>
      <c r="AU814" s="35"/>
      <c r="AV814" s="35"/>
      <c r="AW814" s="35"/>
      <c r="AX814" s="35"/>
      <c r="AY814" s="35"/>
      <c r="AZ814" s="35"/>
      <c r="BA814" s="35"/>
      <c r="BB814" s="35"/>
      <c r="BC814" s="35"/>
      <c r="BD814" s="35"/>
      <c r="BE814" s="35"/>
      <c r="BF814" s="35"/>
      <c r="BG814" s="35"/>
      <c r="BH814" s="35"/>
      <c r="BI814" s="35"/>
      <c r="BJ814" s="35"/>
      <c r="BK814" s="35"/>
      <c r="BL814" s="35"/>
      <c r="BM814" s="35"/>
      <c r="BN814" s="35"/>
      <c r="BO814" s="86"/>
    </row>
    <row r="815" spans="1:67" ht="15.75" customHeight="1" x14ac:dyDescent="0.25">
      <c r="A815" s="520">
        <f>IFERROR(VLOOKUP($G$5,'רשימת רשויות'!A:C,3,0),0)</f>
        <v>0</v>
      </c>
      <c r="B815" s="520">
        <f t="shared" si="111"/>
        <v>0</v>
      </c>
      <c r="D815" s="1134"/>
      <c r="E815" s="1137"/>
      <c r="F815" s="591" t="s">
        <v>15</v>
      </c>
      <c r="G815" s="134">
        <f>G812+G813+G814</f>
        <v>0</v>
      </c>
      <c r="H815" s="134">
        <f>H812+H813+H814</f>
        <v>0</v>
      </c>
      <c r="I815" s="138">
        <f>IFERROR(G815/H815,0)</f>
        <v>0</v>
      </c>
      <c r="J815" s="139">
        <f>J812+J813+J814</f>
        <v>0</v>
      </c>
      <c r="K815" s="137">
        <f>K813+K812+K814</f>
        <v>0</v>
      </c>
      <c r="L815" s="408"/>
      <c r="M815" s="394"/>
      <c r="N815" s="394"/>
      <c r="O815" s="602"/>
      <c r="P815" s="621">
        <f>SUM(P812:P813)</f>
        <v>0</v>
      </c>
      <c r="Q815" s="622">
        <f>Q812+Q813</f>
        <v>0</v>
      </c>
      <c r="R815" s="596"/>
      <c r="S815" s="611"/>
      <c r="T815" s="599">
        <f>G792</f>
        <v>0</v>
      </c>
      <c r="U815" s="578"/>
      <c r="V815" s="579"/>
      <c r="W815" s="579">
        <f t="shared" si="113"/>
        <v>0</v>
      </c>
      <c r="X815" s="579"/>
      <c r="Y815" s="879"/>
      <c r="Z815" s="106"/>
      <c r="AC815" s="504"/>
      <c r="AD815" s="505"/>
      <c r="AH815" s="143"/>
      <c r="BO815" s="86"/>
    </row>
    <row r="816" spans="1:67" ht="15.75" customHeight="1" x14ac:dyDescent="0.25">
      <c r="A816" s="520">
        <f>IFERROR(VLOOKUP($G$5,'רשימת רשויות'!A:C,3,0),0)</f>
        <v>0</v>
      </c>
      <c r="B816" s="520">
        <f t="shared" si="111"/>
        <v>0</v>
      </c>
      <c r="D816" s="1134"/>
      <c r="E816" s="1137"/>
      <c r="F816" s="589" t="s">
        <v>2261</v>
      </c>
      <c r="G816" s="117">
        <f>IF(G797="תקין",SUMIF('תשלומי הורים ומלגות להורים (5) '!$B$18:$B$517,$G792,'תשלומי הורים ומלגות להורים (5) '!$C$18:$C$517),0)</f>
        <v>0</v>
      </c>
      <c r="H816" s="117">
        <f>(G795+G796)*$G$7</f>
        <v>0</v>
      </c>
      <c r="I816" s="141"/>
      <c r="J816" s="141"/>
      <c r="K816" s="142"/>
      <c r="L816" s="395"/>
      <c r="M816" s="395"/>
      <c r="N816" s="395"/>
      <c r="O816" s="602"/>
      <c r="P816" s="623"/>
      <c r="Q816" s="619"/>
      <c r="R816" s="596"/>
      <c r="S816" s="612"/>
      <c r="T816" s="599">
        <f>G792</f>
        <v>0</v>
      </c>
      <c r="U816" s="578"/>
      <c r="V816" s="579"/>
      <c r="W816" s="579">
        <f t="shared" si="113"/>
        <v>0</v>
      </c>
      <c r="X816" s="579"/>
      <c r="Y816" s="879"/>
      <c r="Z816" s="121"/>
      <c r="AA816" s="143"/>
      <c r="AB816" s="143"/>
      <c r="AC816" s="504"/>
      <c r="AD816" s="505"/>
      <c r="AE816" s="143"/>
      <c r="AF816" s="148"/>
      <c r="BO816" s="86"/>
    </row>
    <row r="817" spans="1:67" ht="15.75" customHeight="1" thickBot="1" x14ac:dyDescent="0.3">
      <c r="A817" s="520">
        <f>IFERROR(VLOOKUP($G$5,'רשימת רשויות'!A:C,3,0),0)</f>
        <v>0</v>
      </c>
      <c r="B817" s="520">
        <f t="shared" si="111"/>
        <v>0</v>
      </c>
      <c r="D817" s="1134"/>
      <c r="E817" s="1137"/>
      <c r="F817" s="592" t="s">
        <v>21</v>
      </c>
      <c r="G817" s="144">
        <f>G815-G816</f>
        <v>0</v>
      </c>
      <c r="H817" s="144">
        <f>H815-H816</f>
        <v>0</v>
      </c>
      <c r="I817" s="145"/>
      <c r="J817" s="145"/>
      <c r="K817" s="146"/>
      <c r="L817" s="396"/>
      <c r="M817" s="396"/>
      <c r="N817" s="396"/>
      <c r="O817" s="602"/>
      <c r="P817" s="619"/>
      <c r="Q817" s="619"/>
      <c r="R817" s="596"/>
      <c r="S817" s="612"/>
      <c r="T817" s="599">
        <f>G792</f>
        <v>0</v>
      </c>
      <c r="U817" s="578"/>
      <c r="V817" s="579"/>
      <c r="W817" s="579">
        <f t="shared" si="113"/>
        <v>0</v>
      </c>
      <c r="X817" s="579"/>
      <c r="Y817" s="879"/>
      <c r="Z817" s="147"/>
      <c r="AA817" s="148"/>
      <c r="AB817" s="148"/>
      <c r="AC817" s="504"/>
      <c r="AD817" s="505"/>
      <c r="AE817" s="148"/>
      <c r="AF817" s="148"/>
      <c r="BO817" s="86"/>
    </row>
    <row r="818" spans="1:67" ht="15.75" customHeight="1" thickBot="1" x14ac:dyDescent="0.3">
      <c r="A818" s="520">
        <f>IFERROR(VLOOKUP($G$5,'רשימת רשויות'!A:C,3,0),0)</f>
        <v>0</v>
      </c>
      <c r="B818" s="520">
        <f t="shared" si="111"/>
        <v>0</v>
      </c>
      <c r="D818" s="1134"/>
      <c r="E818" s="1137"/>
      <c r="F818" s="580"/>
      <c r="G818" s="580"/>
      <c r="H818" s="147"/>
      <c r="I818" s="149" t="s">
        <v>2197</v>
      </c>
      <c r="J818" s="150">
        <f>MAX(MIN(P815,Q815),0)</f>
        <v>0</v>
      </c>
      <c r="K818" s="580"/>
      <c r="L818" s="580"/>
      <c r="M818" s="580"/>
      <c r="N818" s="580"/>
      <c r="O818" s="580"/>
      <c r="P818" s="615" t="s">
        <v>2317</v>
      </c>
      <c r="Q818" s="624">
        <f>SUM(Q819:Q820)</f>
        <v>0</v>
      </c>
      <c r="R818" s="596"/>
      <c r="S818" s="612"/>
      <c r="T818" s="599">
        <f>G792</f>
        <v>0</v>
      </c>
      <c r="U818" s="578"/>
      <c r="V818" s="579"/>
      <c r="W818" s="579">
        <f t="shared" si="113"/>
        <v>0</v>
      </c>
      <c r="X818" s="579"/>
      <c r="Y818" s="879"/>
      <c r="Z818" s="106"/>
      <c r="AC818" s="504"/>
      <c r="AD818" s="505"/>
      <c r="AF818" s="148"/>
      <c r="BO818" s="86"/>
    </row>
    <row r="819" spans="1:67" ht="16.5" thickBot="1" x14ac:dyDescent="0.3">
      <c r="A819" s="520">
        <f>IFERROR(VLOOKUP($G$5,'רשימת רשויות'!A:C,3,0),0)</f>
        <v>0</v>
      </c>
      <c r="B819" s="520">
        <f t="shared" si="111"/>
        <v>0</v>
      </c>
      <c r="D819" s="1134"/>
      <c r="E819" s="1137"/>
      <c r="F819" s="580"/>
      <c r="G819" s="580"/>
      <c r="H819" s="580"/>
      <c r="I819" s="84" t="s">
        <v>2193</v>
      </c>
      <c r="J819" s="515" t="str">
        <f>IFERROR(1-H816/H815,"")</f>
        <v/>
      </c>
      <c r="K819" s="580"/>
      <c r="L819" s="580"/>
      <c r="M819" s="580"/>
      <c r="N819" s="580"/>
      <c r="O819" s="580"/>
      <c r="P819" s="615" t="s">
        <v>417</v>
      </c>
      <c r="Q819" s="616">
        <f>IFERROR(MAX(H817-I820-Q820,0),0)</f>
        <v>0</v>
      </c>
      <c r="R819" s="596"/>
      <c r="S819" s="600"/>
      <c r="T819" s="599">
        <f>G792</f>
        <v>0</v>
      </c>
      <c r="U819" s="578"/>
      <c r="V819" s="579"/>
      <c r="W819" s="579">
        <f t="shared" si="113"/>
        <v>0</v>
      </c>
      <c r="X819" s="579"/>
      <c r="Y819" s="879"/>
      <c r="Z819" s="106"/>
      <c r="AC819" s="504"/>
      <c r="AD819" s="505"/>
      <c r="BO819" s="86"/>
    </row>
    <row r="820" spans="1:67" ht="17.25" thickBot="1" x14ac:dyDescent="0.3">
      <c r="A820" s="520">
        <f>IFERROR(VLOOKUP($G$5,'רשימת רשויות'!A:C,3,0),0)</f>
        <v>0</v>
      </c>
      <c r="B820" s="520">
        <f t="shared" si="111"/>
        <v>0</v>
      </c>
      <c r="D820" s="1134"/>
      <c r="E820" s="1137"/>
      <c r="F820" s="1143" t="s">
        <v>2679</v>
      </c>
      <c r="G820" s="1143"/>
      <c r="H820" s="1143"/>
      <c r="I820" s="722">
        <f>IF(G797="לא תקין","לא קיימת זכאות לתקציב לאור אי איוש משרות רכז ו/או סגן רכז ",IFERROR(J819*(J818+J815),0))</f>
        <v>0</v>
      </c>
      <c r="J820" s="573"/>
      <c r="K820" s="574"/>
      <c r="L820" s="396"/>
      <c r="M820" s="574"/>
      <c r="N820" s="574"/>
      <c r="O820" s="574"/>
      <c r="P820" s="615" t="s">
        <v>2279</v>
      </c>
      <c r="Q820" s="616">
        <f>MAX(IF(AND(G815&gt;H815,I820&lt;H817),H817-I820,0),0)</f>
        <v>0</v>
      </c>
      <c r="R820" s="575"/>
      <c r="S820" s="576" t="s">
        <v>67</v>
      </c>
      <c r="T820" s="577">
        <f>G792</f>
        <v>0</v>
      </c>
      <c r="U820" s="578"/>
      <c r="V820" s="579">
        <f>I820</f>
        <v>0</v>
      </c>
      <c r="W820" s="579">
        <f>IFERROR(U820-V820,0)</f>
        <v>0</v>
      </c>
      <c r="X820" s="579">
        <f>SUM(X806:X819)</f>
        <v>0</v>
      </c>
      <c r="Y820" s="879"/>
      <c r="Z820" s="106"/>
      <c r="AC820" s="506">
        <v>0</v>
      </c>
      <c r="AD820" s="507">
        <f>IFERROR(U820-AC820,0)</f>
        <v>0</v>
      </c>
      <c r="BO820" s="86"/>
    </row>
    <row r="821" spans="1:67" ht="16.5" thickBot="1" x14ac:dyDescent="0.3">
      <c r="A821" s="520">
        <f>IFERROR(VLOOKUP($G$5,'רשימת רשויות'!A:C,3,0),0)</f>
        <v>0</v>
      </c>
      <c r="B821" s="520">
        <f t="shared" si="111"/>
        <v>0</v>
      </c>
      <c r="D821" s="1135"/>
      <c r="E821" s="1138"/>
      <c r="F821" s="1144" t="s">
        <v>2793</v>
      </c>
      <c r="G821" s="1145"/>
      <c r="H821" s="1145"/>
      <c r="I821" s="593">
        <f>IFERROR(IF(G797="תקין",SUMIFS('סייעות רפואיות או אישיות (7)'!$Q$17:Q$384,'סייעות רפואיות או אישיות (7)'!C$17:C$384,G792),0),0)</f>
        <v>0</v>
      </c>
      <c r="J821" s="151"/>
      <c r="K821" s="152"/>
      <c r="L821" s="409"/>
      <c r="M821" s="152"/>
      <c r="N821" s="152"/>
      <c r="O821" s="152"/>
      <c r="P821" s="613"/>
      <c r="Q821" s="614"/>
      <c r="R821" s="475"/>
      <c r="S821" s="489"/>
      <c r="T821" s="490"/>
      <c r="U821" s="491"/>
      <c r="V821" s="492"/>
      <c r="W821" s="492"/>
      <c r="X821" s="492"/>
      <c r="Y821" s="880"/>
      <c r="Z821" s="153"/>
      <c r="AC821" s="581"/>
      <c r="AD821" s="582"/>
      <c r="BO821" s="86"/>
    </row>
    <row r="822" spans="1:67" ht="34.5" thickBot="1" x14ac:dyDescent="0.55000000000000004">
      <c r="A822" s="520">
        <f>IFERROR(VLOOKUP($G$5,'רשימת רשויות'!A:C,3,0),0)</f>
        <v>0</v>
      </c>
      <c r="B822" s="520">
        <f t="shared" si="111"/>
        <v>0</v>
      </c>
      <c r="E822" s="154"/>
      <c r="I822" s="143"/>
      <c r="J822" s="148"/>
      <c r="O822" s="148"/>
      <c r="T822" s="481"/>
      <c r="BO822" s="86"/>
    </row>
    <row r="823" spans="1:67" s="20" customFormat="1" ht="16.5" customHeight="1" thickBot="1" x14ac:dyDescent="0.3">
      <c r="A823" s="520">
        <f>IFERROR(VLOOKUP($G$5,'רשימת רשויות'!A:C,3,0),0)</f>
        <v>0</v>
      </c>
      <c r="B823" s="520">
        <f t="shared" si="111"/>
        <v>0</v>
      </c>
      <c r="C823" s="39"/>
      <c r="D823" s="1133">
        <f>D792+1</f>
        <v>27</v>
      </c>
      <c r="E823" s="1136" t="str">
        <f>IFERROR(CONCATENATE("בית הספר ",VLOOKUP(G823,'מצבת והרשמה (2)'!$C$21:$D$520,2,0)," - ",$G$5),"")</f>
        <v>בית הספר המוסד לא קיים - 0</v>
      </c>
      <c r="F823" s="720" t="s">
        <v>146</v>
      </c>
      <c r="G823" s="721">
        <f>IFERROR(VLOOKUP(D:D,'דוח ביצוע (3)'!$A$21:$C$900,2,0),0)</f>
        <v>0</v>
      </c>
      <c r="H823" s="79"/>
      <c r="I823" s="80" t="s">
        <v>150</v>
      </c>
      <c r="J823" s="80"/>
      <c r="K823" s="81"/>
      <c r="L823" s="392"/>
      <c r="M823" s="392"/>
      <c r="N823" s="392"/>
      <c r="O823" s="82"/>
      <c r="P823" s="470"/>
      <c r="Q823" s="471"/>
      <c r="R823" s="472"/>
      <c r="S823" s="883"/>
      <c r="T823" s="884"/>
      <c r="U823" s="486"/>
      <c r="V823" s="487"/>
      <c r="W823" s="487"/>
      <c r="X823" s="487"/>
      <c r="Y823" s="885"/>
      <c r="Z823" s="83"/>
      <c r="AC823" s="502"/>
      <c r="AD823" s="503"/>
      <c r="AO823" s="22"/>
      <c r="AP823" s="22"/>
      <c r="AQ823" s="22"/>
      <c r="AR823" s="22"/>
      <c r="AS823" s="22"/>
      <c r="AT823" s="22"/>
      <c r="AU823" s="35"/>
      <c r="AV823" s="35"/>
      <c r="AW823" s="35"/>
      <c r="AX823" s="35"/>
      <c r="AY823" s="35"/>
      <c r="AZ823" s="35"/>
      <c r="BA823" s="35"/>
      <c r="BB823" s="35"/>
      <c r="BC823" s="35"/>
      <c r="BD823" s="35"/>
      <c r="BE823" s="35"/>
      <c r="BF823" s="35"/>
      <c r="BG823" s="35"/>
      <c r="BH823" s="35"/>
      <c r="BI823" s="35"/>
      <c r="BJ823" s="35"/>
      <c r="BK823" s="35"/>
      <c r="BL823" s="35"/>
      <c r="BM823" s="35"/>
      <c r="BN823" s="35"/>
      <c r="BO823" s="78"/>
    </row>
    <row r="824" spans="1:67" s="20" customFormat="1" ht="16.5" thickBot="1" x14ac:dyDescent="0.3">
      <c r="A824" s="520">
        <f>IFERROR(VLOOKUP($G$5,'רשימת רשויות'!A:C,3,0),0)</f>
        <v>0</v>
      </c>
      <c r="B824" s="520">
        <f t="shared" si="111"/>
        <v>0</v>
      </c>
      <c r="C824" s="39"/>
      <c r="D824" s="1134"/>
      <c r="E824" s="1137"/>
      <c r="F824" s="583" t="s">
        <v>145</v>
      </c>
      <c r="G824" s="516" t="str">
        <f>IFERROR(IF((G826+G827)=0,"",IF(VLOOKUP(G823,'דוח ביצוע (3)'!$B$21:$K$900,5,0)&gt;149,"גדול",IF(AND(VLOOKUP(G823,'דוח ביצוע (3)'!$B$21:$K$900,5,0)&gt;0,VLOOKUP(G823,'דוח ביצוע (3)'!$B$21:$K$900,5,0)&lt;150),"קטן",0))),"")</f>
        <v/>
      </c>
      <c r="H824" s="723" t="s">
        <v>88</v>
      </c>
      <c r="I824" s="723" t="s">
        <v>13</v>
      </c>
      <c r="J824" s="725" t="s">
        <v>14</v>
      </c>
      <c r="K824" s="724" t="s">
        <v>94</v>
      </c>
      <c r="L824" s="594"/>
      <c r="M824" s="420" t="s">
        <v>2584</v>
      </c>
      <c r="N824" s="397" t="s">
        <v>413</v>
      </c>
      <c r="O824" s="398" t="s">
        <v>52</v>
      </c>
      <c r="P824" s="595"/>
      <c r="Q824" s="595"/>
      <c r="R824" s="596"/>
      <c r="S824" s="610"/>
      <c r="T824" s="881"/>
      <c r="U824" s="598"/>
      <c r="V824" s="599"/>
      <c r="W824" s="599"/>
      <c r="X824" s="599"/>
      <c r="Y824" s="879"/>
      <c r="Z824" s="85"/>
      <c r="AC824" s="493"/>
      <c r="AD824" s="495"/>
      <c r="AO824" s="22"/>
      <c r="AP824" s="22"/>
      <c r="AQ824" s="22"/>
      <c r="AR824" s="22"/>
      <c r="AS824" s="22"/>
      <c r="AT824" s="22"/>
      <c r="AU824" s="35"/>
      <c r="AV824" s="35"/>
      <c r="AW824" s="35"/>
      <c r="AX824" s="35"/>
      <c r="AY824" s="35"/>
      <c r="AZ824" s="35"/>
      <c r="BA824" s="35"/>
      <c r="BB824" s="35"/>
      <c r="BC824" s="35"/>
      <c r="BD824" s="35"/>
      <c r="BE824" s="35"/>
      <c r="BF824" s="35"/>
      <c r="BG824" s="35"/>
      <c r="BH824" s="35"/>
      <c r="BI824" s="35"/>
      <c r="BJ824" s="35"/>
      <c r="BK824" s="35"/>
      <c r="BL824" s="35"/>
      <c r="BM824" s="35"/>
      <c r="BN824" s="35"/>
      <c r="BO824" s="78"/>
    </row>
    <row r="825" spans="1:67" s="20" customFormat="1" ht="15.75" customHeight="1" thickBot="1" x14ac:dyDescent="0.3">
      <c r="A825" s="520">
        <f>IFERROR(VLOOKUP($G$5,'רשימת רשויות'!A:C,3,0),0)</f>
        <v>0</v>
      </c>
      <c r="B825" s="520">
        <f t="shared" si="111"/>
        <v>0</v>
      </c>
      <c r="C825" s="39"/>
      <c r="D825" s="1134"/>
      <c r="E825" s="1137"/>
      <c r="F825" s="584" t="s">
        <v>144</v>
      </c>
      <c r="G825" s="87">
        <f>IF(G828="תקין",IFERROR(VLOOKUP($G823,'דוח ביצוע (3)'!$B$21:$Q$900,12,0),0),0)</f>
        <v>0</v>
      </c>
      <c r="H825" s="88">
        <f>IFERROR(G826*$AH$6+G827*$AH$7,0)</f>
        <v>0</v>
      </c>
      <c r="I825" s="88">
        <f>IFERROR(G826*$AI$6+G827*$AI$7,0)</f>
        <v>0</v>
      </c>
      <c r="J825" s="88">
        <f>IFERROR(G826*$AJ$6+G827*$AJ$7,0)</f>
        <v>0</v>
      </c>
      <c r="K825" s="88">
        <f>IFERROR(G826*$AK$6+G827*$AK$7,0)</f>
        <v>0</v>
      </c>
      <c r="L825" s="405"/>
      <c r="M825" s="399" t="s">
        <v>427</v>
      </c>
      <c r="N825" s="400" t="str">
        <f>IFERROR(VLOOKUP($G823,'דוח ביצוע (3)'!$B:$AE,28,0),"")</f>
        <v/>
      </c>
      <c r="O825" s="89" t="str">
        <f>IFERROR(VLOOKUP($G823,'דוח ביצוע (3)'!B:AE,29,0),"")</f>
        <v/>
      </c>
      <c r="P825" s="595"/>
      <c r="Q825" s="595"/>
      <c r="R825" s="596"/>
      <c r="S825" s="610"/>
      <c r="T825" s="881"/>
      <c r="U825" s="598"/>
      <c r="V825" s="599"/>
      <c r="W825" s="599"/>
      <c r="X825" s="599"/>
      <c r="Y825" s="879"/>
      <c r="Z825" s="85"/>
      <c r="AC825" s="493"/>
      <c r="AD825" s="495"/>
      <c r="AO825" s="22"/>
      <c r="AP825" s="22"/>
      <c r="AQ825" s="22"/>
      <c r="AR825" s="22"/>
      <c r="AS825" s="22"/>
      <c r="AT825" s="22"/>
      <c r="AU825" s="35"/>
      <c r="AV825" s="35"/>
      <c r="AW825" s="35"/>
      <c r="AX825" s="35"/>
      <c r="AY825" s="35"/>
      <c r="AZ825" s="35"/>
      <c r="BA825" s="35"/>
      <c r="BB825" s="35"/>
      <c r="BC825" s="35"/>
      <c r="BD825" s="35"/>
      <c r="BE825" s="35"/>
      <c r="BF825" s="35"/>
      <c r="BG825" s="35"/>
      <c r="BH825" s="35"/>
      <c r="BI825" s="35"/>
      <c r="BJ825" s="35"/>
      <c r="BK825" s="35"/>
      <c r="BL825" s="35"/>
      <c r="BM825" s="35"/>
      <c r="BN825" s="35"/>
      <c r="BO825" s="78"/>
    </row>
    <row r="826" spans="1:67" s="20" customFormat="1" ht="32.25" thickBot="1" x14ac:dyDescent="0.3">
      <c r="A826" s="520">
        <f>IFERROR(VLOOKUP($G$5,'רשימת רשויות'!A:C,3,0),0)</f>
        <v>0</v>
      </c>
      <c r="B826" s="520">
        <f t="shared" si="111"/>
        <v>0</v>
      </c>
      <c r="C826" s="39"/>
      <c r="D826" s="1134"/>
      <c r="E826" s="1137"/>
      <c r="F826" s="585" t="s">
        <v>2195</v>
      </c>
      <c r="G826" s="89">
        <f>IF(G828="תקין",MAX(N828,0),0)</f>
        <v>0</v>
      </c>
      <c r="H826" s="725" t="s">
        <v>151</v>
      </c>
      <c r="I826" s="725" t="s">
        <v>91</v>
      </c>
      <c r="J826" s="970" t="s">
        <v>3396</v>
      </c>
      <c r="K826" s="601"/>
      <c r="L826" s="601"/>
      <c r="M826" s="983" t="s">
        <v>2585</v>
      </c>
      <c r="N826" s="400" t="str">
        <f>IFERROR(G825/15*N825*1.25,"")</f>
        <v/>
      </c>
      <c r="O826" s="89" t="str">
        <f>IFERROR(G825/15*O825*1.25,"")</f>
        <v/>
      </c>
      <c r="P826" s="595"/>
      <c r="Q826" s="595"/>
      <c r="R826" s="596"/>
      <c r="S826" s="610"/>
      <c r="T826" s="881"/>
      <c r="U826" s="598"/>
      <c r="V826" s="599"/>
      <c r="W826" s="599"/>
      <c r="X826" s="599"/>
      <c r="Y826" s="879"/>
      <c r="Z826" s="85"/>
      <c r="AC826" s="493"/>
      <c r="AD826" s="495"/>
      <c r="AG826" s="22"/>
      <c r="AH826" s="55"/>
      <c r="AI826" s="55"/>
      <c r="AJ826" s="55"/>
      <c r="AK826" s="55"/>
      <c r="AO826" s="22"/>
      <c r="AP826" s="22"/>
      <c r="AQ826" s="22"/>
      <c r="AR826" s="22"/>
      <c r="AS826" s="22"/>
      <c r="AT826" s="22"/>
      <c r="AU826" s="35"/>
      <c r="AV826" s="35"/>
      <c r="AW826" s="35"/>
      <c r="AX826" s="35"/>
      <c r="AY826" s="35"/>
      <c r="AZ826" s="35"/>
      <c r="BA826" s="35"/>
      <c r="BB826" s="35"/>
      <c r="BC826" s="35"/>
      <c r="BD826" s="35"/>
      <c r="BE826" s="35"/>
      <c r="BF826" s="35"/>
      <c r="BG826" s="35"/>
      <c r="BH826" s="35"/>
      <c r="BI826" s="35"/>
      <c r="BJ826" s="35"/>
      <c r="BK826" s="35"/>
      <c r="BL826" s="35"/>
      <c r="BM826" s="35"/>
      <c r="BN826" s="35"/>
      <c r="BO826" s="86"/>
    </row>
    <row r="827" spans="1:67" s="20" customFormat="1" ht="16.5" thickBot="1" x14ac:dyDescent="0.3">
      <c r="A827" s="520">
        <f>IFERROR(VLOOKUP($G$5,'רשימת רשויות'!A:C,3,0),0)</f>
        <v>0</v>
      </c>
      <c r="B827" s="520">
        <f t="shared" si="111"/>
        <v>0</v>
      </c>
      <c r="C827" s="39"/>
      <c r="D827" s="1134"/>
      <c r="E827" s="1137"/>
      <c r="F827" s="585" t="s">
        <v>2196</v>
      </c>
      <c r="G827" s="89">
        <f>IF(G828="תקין",MAX(O828,0),0)</f>
        <v>0</v>
      </c>
      <c r="H827" s="88">
        <f>(IFERROR(IF((G826+G827)=0,0,IF(G824="קטן",G825*$AH$10,G825*$AH$11)),0))+(IFERROR(IF((G826+G827)=0,0,VLOOKUP(G823,'דוח ביצוע (3)'!$B:$AH,33,0)),0))</f>
        <v>0</v>
      </c>
      <c r="I827" s="88">
        <f>IFERROR(IF((G826+G827)=0,0,IF(G824="קטן",G825*$AI$10,G825*$AI$11)),0)</f>
        <v>0</v>
      </c>
      <c r="J827" s="88">
        <f>IFERROR(IF((G826+G827)=0,0,VLOOKUP(G823,'דוח ביצוע (3)'!$B:$AH,32,0)),0)</f>
        <v>0</v>
      </c>
      <c r="K827" s="90"/>
      <c r="L827" s="90"/>
      <c r="M827" s="399" t="s">
        <v>412</v>
      </c>
      <c r="N827" s="400">
        <f>IFERROR(VLOOKUP($G823,'דוח ביצוע (3)'!$B$21:$U$500,18,0),0)</f>
        <v>0</v>
      </c>
      <c r="O827" s="401">
        <f>IFERROR(VLOOKUP($G823,'דוח ביצוע (3)'!$B$21:$U$500,19,0),0)</f>
        <v>0</v>
      </c>
      <c r="P827" s="595"/>
      <c r="Q827" s="595"/>
      <c r="R827" s="596"/>
      <c r="S827" s="610"/>
      <c r="T827" s="881"/>
      <c r="U827" s="598"/>
      <c r="V827" s="599"/>
      <c r="W827" s="599"/>
      <c r="X827" s="599"/>
      <c r="Y827" s="879"/>
      <c r="Z827" s="85"/>
      <c r="AC827" s="493"/>
      <c r="AD827" s="495"/>
      <c r="AG827" s="22"/>
      <c r="AH827" s="55"/>
      <c r="AI827" s="55"/>
      <c r="AJ827" s="55"/>
      <c r="AK827" s="55"/>
      <c r="AO827" s="22"/>
      <c r="AP827" s="22"/>
      <c r="AQ827" s="22"/>
      <c r="AR827" s="22"/>
      <c r="AS827" s="22"/>
      <c r="AT827" s="22"/>
      <c r="AU827" s="35"/>
      <c r="AV827" s="35"/>
      <c r="AW827" s="35"/>
      <c r="AX827" s="35"/>
      <c r="AY827" s="35"/>
      <c r="AZ827" s="35"/>
      <c r="BA827" s="35"/>
      <c r="BB827" s="35"/>
      <c r="BC827" s="35"/>
      <c r="BD827" s="35"/>
      <c r="BE827" s="35"/>
      <c r="BF827" s="35"/>
      <c r="BG827" s="35"/>
      <c r="BH827" s="35"/>
      <c r="BI827" s="35"/>
      <c r="BJ827" s="35"/>
      <c r="BK827" s="35"/>
      <c r="BL827" s="35"/>
      <c r="BM827" s="35"/>
      <c r="BN827" s="35"/>
      <c r="BO827" s="86"/>
    </row>
    <row r="828" spans="1:67" s="20" customFormat="1" ht="16.5" thickBot="1" x14ac:dyDescent="0.3">
      <c r="A828" s="520">
        <f>IFERROR(VLOOKUP($G$5,'רשימת רשויות'!A:C,3,0),0)</f>
        <v>0</v>
      </c>
      <c r="B828" s="520">
        <f t="shared" si="111"/>
        <v>0</v>
      </c>
      <c r="C828" s="39"/>
      <c r="D828" s="1134"/>
      <c r="E828" s="1137"/>
      <c r="F828" s="586" t="s">
        <v>2355</v>
      </c>
      <c r="G828" s="514">
        <f>IFERROR(IF(VLOOKUP('בית ספר - תקצוב לפי מוסד (9)'!G823,' איוש משרות (8)'!$C:$K,9,0)="תקין","תקין","לא תקין"),0)</f>
        <v>0</v>
      </c>
      <c r="H828" s="91"/>
      <c r="I828" s="91"/>
      <c r="J828" s="91"/>
      <c r="K828" s="90"/>
      <c r="L828" s="90"/>
      <c r="M828" s="402" t="s">
        <v>2586</v>
      </c>
      <c r="N828" s="403">
        <f>IFERROR(MIN(N826,N827),0)</f>
        <v>0</v>
      </c>
      <c r="O828" s="404">
        <f>IFERROR(MIN(O826,O827),0)</f>
        <v>0</v>
      </c>
      <c r="P828" s="595"/>
      <c r="Q828" s="595"/>
      <c r="R828" s="596"/>
      <c r="S828" s="610"/>
      <c r="T828" s="881"/>
      <c r="U828" s="598"/>
      <c r="V828" s="599"/>
      <c r="W828" s="599"/>
      <c r="X828" s="599"/>
      <c r="Y828" s="879"/>
      <c r="Z828" s="85"/>
      <c r="AC828" s="493"/>
      <c r="AD828" s="495"/>
      <c r="AG828" s="94"/>
      <c r="AH828" s="40"/>
      <c r="AI828" s="40"/>
      <c r="AJ828" s="40"/>
      <c r="AK828" s="40"/>
      <c r="AO828" s="22"/>
      <c r="AP828" s="22"/>
      <c r="AQ828" s="22"/>
      <c r="AR828" s="22"/>
      <c r="AS828" s="22"/>
      <c r="AT828" s="22"/>
      <c r="AU828" s="35"/>
      <c r="AV828" s="35"/>
      <c r="AW828" s="35"/>
      <c r="AX828" s="35"/>
      <c r="AY828" s="35"/>
      <c r="AZ828" s="35"/>
      <c r="BA828" s="35"/>
      <c r="BB828" s="35"/>
      <c r="BC828" s="35"/>
      <c r="BD828" s="35"/>
      <c r="BE828" s="35"/>
      <c r="BF828" s="35"/>
      <c r="BG828" s="35"/>
      <c r="BH828" s="35"/>
      <c r="BI828" s="35"/>
      <c r="BJ828" s="35"/>
      <c r="BK828" s="35"/>
      <c r="BL828" s="35"/>
      <c r="BM828" s="35"/>
      <c r="BN828" s="35"/>
      <c r="BO828" s="86"/>
    </row>
    <row r="829" spans="1:67" s="55" customFormat="1" ht="37.15" customHeight="1" thickBot="1" x14ac:dyDescent="0.3">
      <c r="A829" s="520">
        <f>IFERROR(VLOOKUP($G$5,'רשימת רשויות'!A:C,3,0),0)</f>
        <v>0</v>
      </c>
      <c r="B829" s="520">
        <f t="shared" si="111"/>
        <v>0</v>
      </c>
      <c r="C829" s="39"/>
      <c r="D829" s="1134"/>
      <c r="E829" s="1137"/>
      <c r="F829" s="587" t="s">
        <v>142</v>
      </c>
      <c r="G829" s="92"/>
      <c r="H829" s="92"/>
      <c r="I829" s="92"/>
      <c r="J829" s="92"/>
      <c r="K829" s="602"/>
      <c r="L829" s="602"/>
      <c r="M829" s="602"/>
      <c r="N829" s="602"/>
      <c r="O829" s="602"/>
      <c r="P829" s="595"/>
      <c r="Q829" s="595"/>
      <c r="R829" s="596"/>
      <c r="S829" s="610"/>
      <c r="T829" s="881"/>
      <c r="U829" s="598"/>
      <c r="V829" s="599"/>
      <c r="W829" s="599"/>
      <c r="X829" s="599"/>
      <c r="Y829" s="879"/>
      <c r="Z829" s="93"/>
      <c r="AC829" s="493"/>
      <c r="AD829" s="495"/>
      <c r="AF829" s="22"/>
      <c r="AG829" s="98"/>
      <c r="AH829" s="98"/>
      <c r="AI829" s="40"/>
      <c r="AJ829" s="40"/>
      <c r="AK829" s="40"/>
      <c r="AO829" s="22"/>
      <c r="AP829" s="22"/>
      <c r="AQ829" s="22"/>
      <c r="AR829" s="22"/>
      <c r="AS829" s="22"/>
      <c r="AT829" s="22"/>
      <c r="AU829" s="35"/>
      <c r="AV829" s="35"/>
      <c r="AW829" s="35"/>
      <c r="AX829" s="35"/>
      <c r="AY829" s="35"/>
      <c r="AZ829" s="35"/>
      <c r="BA829" s="35"/>
      <c r="BB829" s="35"/>
      <c r="BC829" s="35"/>
      <c r="BD829" s="35"/>
      <c r="BE829" s="35"/>
      <c r="BF829" s="35"/>
      <c r="BG829" s="35"/>
      <c r="BH829" s="35"/>
      <c r="BI829" s="35"/>
      <c r="BJ829" s="35"/>
      <c r="BK829" s="35"/>
      <c r="BL829" s="35"/>
      <c r="BM829" s="35"/>
      <c r="BN829" s="35"/>
      <c r="BO829" s="86"/>
    </row>
    <row r="830" spans="1:67" s="40" customFormat="1" ht="31.5" x14ac:dyDescent="0.25">
      <c r="A830" s="520">
        <f>IFERROR(VLOOKUP($G$5,'רשימת רשויות'!A:C,3,0),0)</f>
        <v>0</v>
      </c>
      <c r="B830" s="520">
        <f t="shared" si="111"/>
        <v>0</v>
      </c>
      <c r="C830" s="39"/>
      <c r="D830" s="1134"/>
      <c r="E830" s="1137"/>
      <c r="F830" s="588" t="s">
        <v>94</v>
      </c>
      <c r="G830" s="95" t="s">
        <v>18</v>
      </c>
      <c r="H830" s="95" t="s">
        <v>19</v>
      </c>
      <c r="I830" s="95" t="s">
        <v>138</v>
      </c>
      <c r="J830" s="96" t="s">
        <v>139</v>
      </c>
      <c r="K830" s="603"/>
      <c r="L830" s="603"/>
      <c r="M830" s="603"/>
      <c r="N830" s="603"/>
      <c r="O830" s="603"/>
      <c r="P830" s="604"/>
      <c r="Q830" s="604"/>
      <c r="R830" s="596"/>
      <c r="S830" s="610"/>
      <c r="T830" s="881"/>
      <c r="U830" s="598"/>
      <c r="V830" s="599"/>
      <c r="W830" s="599"/>
      <c r="X830" s="599"/>
      <c r="Y830" s="879"/>
      <c r="Z830" s="97"/>
      <c r="AA830" s="94"/>
      <c r="AB830" s="94"/>
      <c r="AC830" s="493"/>
      <c r="AD830" s="495"/>
      <c r="AE830" s="94"/>
      <c r="AG830" s="98"/>
      <c r="AH830" s="98"/>
      <c r="AO830" s="22"/>
      <c r="AP830" s="22"/>
      <c r="AQ830" s="22"/>
      <c r="AR830" s="22"/>
      <c r="AS830" s="22"/>
      <c r="AT830" s="22"/>
      <c r="AU830" s="35"/>
      <c r="AV830" s="35"/>
      <c r="AW830" s="35"/>
      <c r="AX830" s="35"/>
      <c r="AY830" s="35"/>
      <c r="AZ830" s="35"/>
      <c r="BA830" s="35"/>
      <c r="BB830" s="35"/>
      <c r="BC830" s="35"/>
      <c r="BD830" s="35"/>
      <c r="BE830" s="35"/>
      <c r="BF830" s="35"/>
      <c r="BG830" s="35"/>
      <c r="BH830" s="35"/>
      <c r="BI830" s="35"/>
      <c r="BJ830" s="35"/>
      <c r="BK830" s="35"/>
      <c r="BL830" s="35"/>
      <c r="BM830" s="35"/>
      <c r="BN830" s="35"/>
      <c r="BO830" s="86"/>
    </row>
    <row r="831" spans="1:67" s="40" customFormat="1" ht="15.75" customHeight="1" thickBot="1" x14ac:dyDescent="0.3">
      <c r="A831" s="520">
        <f>IFERROR(VLOOKUP($G$5,'רשימת רשויות'!A:C,3,0),0)</f>
        <v>0</v>
      </c>
      <c r="B831" s="520">
        <f t="shared" si="111"/>
        <v>0</v>
      </c>
      <c r="C831" s="39"/>
      <c r="D831" s="1134"/>
      <c r="E831" s="1137"/>
      <c r="F831" s="589" t="s">
        <v>2280</v>
      </c>
      <c r="G831" s="99">
        <f>+G842</f>
        <v>0</v>
      </c>
      <c r="H831" s="100">
        <f>K825</f>
        <v>0</v>
      </c>
      <c r="I831" s="100">
        <f>H831-I833</f>
        <v>0</v>
      </c>
      <c r="J831" s="101">
        <f>IFERROR(I831/H831,0)</f>
        <v>0</v>
      </c>
      <c r="K831" s="603"/>
      <c r="L831" s="603"/>
      <c r="M831" s="603"/>
      <c r="N831" s="603"/>
      <c r="O831" s="603"/>
      <c r="P831" s="605"/>
      <c r="Q831" s="604"/>
      <c r="R831" s="606" t="s">
        <v>157</v>
      </c>
      <c r="S831" s="611"/>
      <c r="T831" s="881"/>
      <c r="U831" s="598"/>
      <c r="V831" s="599"/>
      <c r="W831" s="599"/>
      <c r="X831" s="599"/>
      <c r="Y831" s="879"/>
      <c r="Z831" s="102"/>
      <c r="AA831" s="122"/>
      <c r="AB831" s="122"/>
      <c r="AC831" s="493"/>
      <c r="AD831" s="495"/>
      <c r="AE831" s="122"/>
      <c r="AF831" s="22"/>
      <c r="AG831" s="98"/>
      <c r="AH831" s="98"/>
      <c r="AI831" s="20"/>
      <c r="AO831" s="22"/>
      <c r="AP831" s="22"/>
      <c r="AQ831" s="22"/>
      <c r="AR831" s="22"/>
      <c r="AS831" s="22"/>
      <c r="AT831" s="22"/>
      <c r="AU831" s="35"/>
      <c r="AV831" s="35"/>
      <c r="AW831" s="35"/>
      <c r="AX831" s="35"/>
      <c r="AY831" s="35"/>
      <c r="AZ831" s="35"/>
      <c r="BA831" s="35"/>
      <c r="BB831" s="35"/>
      <c r="BC831" s="35"/>
      <c r="BD831" s="35"/>
      <c r="BE831" s="35"/>
      <c r="BF831" s="35"/>
      <c r="BG831" s="35"/>
      <c r="BH831" s="35"/>
      <c r="BI831" s="35"/>
      <c r="BJ831" s="35"/>
      <c r="BK831" s="35"/>
      <c r="BL831" s="35"/>
      <c r="BM831" s="35"/>
      <c r="BN831" s="35"/>
      <c r="BO831" s="86"/>
    </row>
    <row r="832" spans="1:67" s="40" customFormat="1" ht="15.75" customHeight="1" thickBot="1" x14ac:dyDescent="0.3">
      <c r="A832" s="520">
        <f>IFERROR(VLOOKUP($G$5,'רשימת רשויות'!A:C,3,0),0)</f>
        <v>0</v>
      </c>
      <c r="B832" s="520">
        <f t="shared" si="111"/>
        <v>0</v>
      </c>
      <c r="C832" s="39"/>
      <c r="D832" s="1134"/>
      <c r="E832" s="1137"/>
      <c r="F832" s="589" t="s">
        <v>2281</v>
      </c>
      <c r="G832" s="99">
        <f>+G841</f>
        <v>0</v>
      </c>
      <c r="H832" s="103"/>
      <c r="I832" s="104"/>
      <c r="J832" s="105"/>
      <c r="K832" s="603"/>
      <c r="L832" s="603"/>
      <c r="M832" s="603"/>
      <c r="N832" s="603"/>
      <c r="O832" s="603"/>
      <c r="P832" s="605"/>
      <c r="Q832" s="604"/>
      <c r="R832" s="473">
        <f>I833-R834</f>
        <v>0</v>
      </c>
      <c r="S832" s="611"/>
      <c r="T832" s="881"/>
      <c r="U832" s="598"/>
      <c r="V832" s="599"/>
      <c r="W832" s="599"/>
      <c r="X832" s="599"/>
      <c r="Y832" s="879"/>
      <c r="Z832" s="106"/>
      <c r="AA832" s="22"/>
      <c r="AB832" s="22"/>
      <c r="AC832" s="493"/>
      <c r="AD832" s="495"/>
      <c r="AE832" s="22"/>
      <c r="AF832" s="22"/>
      <c r="AG832" s="98"/>
      <c r="AH832" s="98"/>
      <c r="AI832" s="20"/>
      <c r="AO832" s="22"/>
      <c r="AP832" s="22"/>
      <c r="AQ832" s="22"/>
      <c r="AR832" s="22"/>
      <c r="AS832" s="22"/>
      <c r="AT832" s="22"/>
      <c r="AU832" s="35"/>
      <c r="AV832" s="35"/>
      <c r="AW832" s="35"/>
      <c r="AX832" s="35"/>
      <c r="AY832" s="35"/>
      <c r="AZ832" s="35"/>
      <c r="BA832" s="35"/>
      <c r="BB832" s="35"/>
      <c r="BC832" s="35"/>
      <c r="BD832" s="35"/>
      <c r="BE832" s="35"/>
      <c r="BF832" s="35"/>
      <c r="BG832" s="35"/>
      <c r="BH832" s="35"/>
      <c r="BI832" s="35"/>
      <c r="BJ832" s="35"/>
      <c r="BK832" s="35"/>
      <c r="BL832" s="35"/>
      <c r="BM832" s="35"/>
      <c r="BN832" s="35"/>
      <c r="BO832" s="86"/>
    </row>
    <row r="833" spans="1:67" s="40" customFormat="1" ht="16.5" customHeight="1" thickBot="1" x14ac:dyDescent="0.3">
      <c r="A833" s="520">
        <f>IFERROR(VLOOKUP($G$5,'רשימת רשויות'!A:C,3,0),0)</f>
        <v>0</v>
      </c>
      <c r="B833" s="520">
        <f t="shared" si="111"/>
        <v>0</v>
      </c>
      <c r="C833" s="39"/>
      <c r="D833" s="1134"/>
      <c r="E833" s="1137"/>
      <c r="F833" s="589" t="s">
        <v>2282</v>
      </c>
      <c r="G833" s="99">
        <f>G837+G838+G839</f>
        <v>0</v>
      </c>
      <c r="H833" s="104"/>
      <c r="I833" s="107">
        <f>MAX(H831-G831-G832,0)</f>
        <v>0</v>
      </c>
      <c r="J833" s="108">
        <f>IFERROR(I833/H831,0)</f>
        <v>0</v>
      </c>
      <c r="K833" s="603"/>
      <c r="L833" s="603"/>
      <c r="M833" s="603"/>
      <c r="N833" s="603"/>
      <c r="O833" s="603"/>
      <c r="P833" s="604"/>
      <c r="Q833" s="604"/>
      <c r="R833" s="606" t="s">
        <v>158</v>
      </c>
      <c r="S833" s="612"/>
      <c r="T833" s="881"/>
      <c r="U833" s="598"/>
      <c r="V833" s="599"/>
      <c r="W833" s="599"/>
      <c r="X833" s="599"/>
      <c r="Y833" s="879"/>
      <c r="Z833" s="106"/>
      <c r="AA833" s="22"/>
      <c r="AB833" s="22"/>
      <c r="AC833" s="493"/>
      <c r="AD833" s="495"/>
      <c r="AE833" s="22"/>
      <c r="AF833" s="22"/>
      <c r="AG833" s="22"/>
      <c r="AH833" s="22"/>
      <c r="AI833" s="55"/>
      <c r="AJ833" s="22"/>
      <c r="AK833" s="22"/>
      <c r="AO833" s="22"/>
      <c r="AP833" s="22"/>
      <c r="AQ833" s="22"/>
      <c r="AR833" s="22"/>
      <c r="AS833" s="22"/>
      <c r="AT833" s="22"/>
      <c r="AU833" s="35"/>
      <c r="AV833" s="35"/>
      <c r="AW833" s="35"/>
      <c r="AX833" s="35"/>
      <c r="AY833" s="35"/>
      <c r="AZ833" s="35"/>
      <c r="BA833" s="35"/>
      <c r="BB833" s="35"/>
      <c r="BC833" s="35"/>
      <c r="BD833" s="35"/>
      <c r="BE833" s="35"/>
      <c r="BF833" s="35"/>
      <c r="BG833" s="35"/>
      <c r="BH833" s="35"/>
      <c r="BI833" s="35"/>
      <c r="BJ833" s="35"/>
      <c r="BK833" s="35"/>
      <c r="BL833" s="35"/>
      <c r="BM833" s="35"/>
      <c r="BN833" s="35"/>
      <c r="BO833" s="86"/>
    </row>
    <row r="834" spans="1:67" s="40" customFormat="1" ht="15.75" customHeight="1" thickBot="1" x14ac:dyDescent="0.3">
      <c r="A834" s="520">
        <f>IFERROR(VLOOKUP($G$5,'רשימת רשויות'!A:C,3,0),0)</f>
        <v>0</v>
      </c>
      <c r="B834" s="520">
        <f t="shared" si="111"/>
        <v>0</v>
      </c>
      <c r="C834" s="39"/>
      <c r="D834" s="1134"/>
      <c r="E834" s="1137"/>
      <c r="F834" s="590" t="s">
        <v>2290</v>
      </c>
      <c r="G834" s="109"/>
      <c r="H834" s="110"/>
      <c r="I834" s="111">
        <f>SUM(I831:I833)</f>
        <v>0</v>
      </c>
      <c r="J834" s="112">
        <f>SUM(J831:J833)</f>
        <v>0</v>
      </c>
      <c r="K834" s="603"/>
      <c r="L834" s="603"/>
      <c r="M834" s="603"/>
      <c r="N834" s="603"/>
      <c r="O834" s="603"/>
      <c r="P834" s="604"/>
      <c r="Q834" s="604"/>
      <c r="R834" s="473">
        <f>MIN(MAX(G838+G839-I827-J827,0),I833)</f>
        <v>0</v>
      </c>
      <c r="S834" s="612"/>
      <c r="T834" s="881"/>
      <c r="U834" s="598"/>
      <c r="V834" s="599"/>
      <c r="W834" s="599"/>
      <c r="X834" s="599"/>
      <c r="Y834" s="879"/>
      <c r="Z834" s="106"/>
      <c r="AA834" s="22"/>
      <c r="AB834" s="22"/>
      <c r="AC834" s="493"/>
      <c r="AD834" s="495"/>
      <c r="AE834" s="22"/>
      <c r="AF834" s="22"/>
      <c r="AG834" s="22"/>
      <c r="AH834" s="22"/>
      <c r="AJ834" s="22"/>
      <c r="AK834" s="22"/>
      <c r="AO834" s="22"/>
      <c r="AP834" s="22"/>
      <c r="AQ834" s="22"/>
      <c r="AR834" s="22"/>
      <c r="AS834" s="22"/>
      <c r="AT834" s="22"/>
      <c r="AU834" s="35"/>
      <c r="AV834" s="35"/>
      <c r="AW834" s="35"/>
      <c r="AX834" s="35"/>
      <c r="AY834" s="35"/>
      <c r="AZ834" s="35"/>
      <c r="BA834" s="35"/>
      <c r="BB834" s="35"/>
      <c r="BC834" s="35"/>
      <c r="BD834" s="35"/>
      <c r="BE834" s="35"/>
      <c r="BF834" s="35"/>
      <c r="BG834" s="35"/>
      <c r="BH834" s="35"/>
      <c r="BI834" s="35"/>
      <c r="BJ834" s="35"/>
      <c r="BK834" s="35"/>
      <c r="BL834" s="35"/>
      <c r="BM834" s="35"/>
      <c r="BN834" s="35"/>
      <c r="BO834" s="86"/>
    </row>
    <row r="835" spans="1:67" ht="16.5" thickBot="1" x14ac:dyDescent="0.3">
      <c r="A835" s="520">
        <f>IFERROR(VLOOKUP($G$5,'רשימת רשויות'!A:C,3,0),0)</f>
        <v>0</v>
      </c>
      <c r="B835" s="520">
        <f t="shared" si="111"/>
        <v>0</v>
      </c>
      <c r="D835" s="1134"/>
      <c r="E835" s="1137"/>
      <c r="F835" s="587" t="s">
        <v>17</v>
      </c>
      <c r="G835" s="113"/>
      <c r="H835" s="92"/>
      <c r="I835" s="114"/>
      <c r="J835" s="115"/>
      <c r="K835" s="116"/>
      <c r="L835" s="406"/>
      <c r="M835" s="116"/>
      <c r="N835" s="116"/>
      <c r="O835" s="116"/>
      <c r="P835" s="474"/>
      <c r="Q835" s="607"/>
      <c r="R835" s="608"/>
      <c r="S835" s="612"/>
      <c r="T835" s="881"/>
      <c r="U835" s="598"/>
      <c r="V835" s="599"/>
      <c r="W835" s="599"/>
      <c r="X835" s="599"/>
      <c r="Y835" s="879"/>
      <c r="Z835" s="106"/>
      <c r="AI835" s="40"/>
      <c r="BO835" s="86"/>
    </row>
    <row r="836" spans="1:67" ht="47.25" x14ac:dyDescent="0.25">
      <c r="A836" s="520">
        <f>IFERROR(VLOOKUP($G$5,'רשימת רשויות'!A:C,3,0),0)</f>
        <v>0</v>
      </c>
      <c r="B836" s="520">
        <f t="shared" si="111"/>
        <v>0</v>
      </c>
      <c r="D836" s="1134"/>
      <c r="E836" s="1137"/>
      <c r="F836" s="588" t="s">
        <v>2</v>
      </c>
      <c r="G836" s="95" t="s">
        <v>18</v>
      </c>
      <c r="H836" s="95" t="s">
        <v>19</v>
      </c>
      <c r="I836" s="95" t="s">
        <v>20</v>
      </c>
      <c r="J836" s="95" t="s">
        <v>22</v>
      </c>
      <c r="K836" s="96" t="s">
        <v>2314</v>
      </c>
      <c r="L836" s="609"/>
      <c r="M836" s="609"/>
      <c r="N836" s="609"/>
      <c r="O836" s="580"/>
      <c r="P836" s="618" t="s">
        <v>2298</v>
      </c>
      <c r="Q836" s="618" t="s">
        <v>2299</v>
      </c>
      <c r="R836" s="596"/>
      <c r="S836" s="890" t="s">
        <v>2519</v>
      </c>
      <c r="T836" s="890" t="s">
        <v>97</v>
      </c>
      <c r="U836" s="891" t="s">
        <v>2521</v>
      </c>
      <c r="V836" s="892" t="s">
        <v>2520</v>
      </c>
      <c r="W836" s="893" t="s">
        <v>2524</v>
      </c>
      <c r="X836" s="892" t="s">
        <v>2522</v>
      </c>
      <c r="Y836" s="894" t="s">
        <v>2523</v>
      </c>
      <c r="Z836" s="106"/>
      <c r="AC836" s="498" t="s">
        <v>2568</v>
      </c>
      <c r="AD836" s="499" t="s">
        <v>2569</v>
      </c>
      <c r="AF836" s="122"/>
      <c r="AI836" s="40"/>
      <c r="BO836" s="86"/>
    </row>
    <row r="837" spans="1:67" ht="15" customHeight="1" thickBot="1" x14ac:dyDescent="0.3">
      <c r="A837" s="520">
        <f>IFERROR(VLOOKUP($G$5,'רשימת רשויות'!A:C,3,0),0)</f>
        <v>0</v>
      </c>
      <c r="B837" s="520">
        <f t="shared" si="111"/>
        <v>0</v>
      </c>
      <c r="D837" s="1134"/>
      <c r="E837" s="1137"/>
      <c r="F837" s="589" t="s">
        <v>76</v>
      </c>
      <c r="G837" s="117">
        <f>IF(G828="תקין",SUMIF('עלויות כח אדם (6)'!$B$15:$B$3014,'בית ספר - תקצוב לפי מוסד (9)'!$G823,'עלויות כח אדם (6)'!$M$15:$M$3014)-VLOOKUP('בית ספר - תקצוב לפי מוסד (9)'!G823,' איוש משרות (8)'!$C:$H,5,0)-VLOOKUP('בית ספר - תקצוב לפי מוסד (9)'!G823,' איוש משרות (8)'!$C:$H,6,0),0)-Y837</f>
        <v>0</v>
      </c>
      <c r="H837" s="118">
        <f>I825+R832</f>
        <v>0</v>
      </c>
      <c r="I837" s="119">
        <f>IFERROR(SUM(G837)/H837,0)</f>
        <v>0</v>
      </c>
      <c r="J837" s="100">
        <f>MIN(I825+R832,IF(ISNUMBER(G837),G837,0))</f>
        <v>0</v>
      </c>
      <c r="K837" s="120">
        <f>MAX(H837-G837,0)</f>
        <v>0</v>
      </c>
      <c r="L837" s="407"/>
      <c r="M837" s="393"/>
      <c r="N837" s="393"/>
      <c r="O837" s="580"/>
      <c r="P837" s="968">
        <f>IFERROR(IF(SUM(G837)/(I825)&lt;100%,MIN((I825)-SUM(G837),(I825)*0.25),0),0)</f>
        <v>0</v>
      </c>
      <c r="Q837" s="968">
        <f>IF(SUM(G837)-(I825+R832)&gt;0,SUM(G837)-(I825+R832),0)</f>
        <v>0</v>
      </c>
      <c r="R837" s="596" t="s">
        <v>2351</v>
      </c>
      <c r="S837" s="576" t="s">
        <v>2342</v>
      </c>
      <c r="T837" s="599">
        <f>G823</f>
        <v>0</v>
      </c>
      <c r="U837" s="578"/>
      <c r="V837" s="579">
        <f>G837+G838+G839</f>
        <v>0</v>
      </c>
      <c r="W837" s="579">
        <f>U837-V837</f>
        <v>0</v>
      </c>
      <c r="X837" s="579">
        <f>IFERROR(W851*W837/(SUM(W837:W850)),0)</f>
        <v>0</v>
      </c>
      <c r="Y837" s="879">
        <f>SUMIFS(בקרה!$S:$S,בקרה!$D:$D,T837,בקרה!$K:$K,S837)</f>
        <v>0</v>
      </c>
      <c r="Z837" s="121"/>
      <c r="AA837" s="143"/>
      <c r="AB837" s="143"/>
      <c r="AC837" s="504">
        <v>0</v>
      </c>
      <c r="AD837" s="505">
        <f>IFERROR(U837-AC837,0)</f>
        <v>0</v>
      </c>
      <c r="AE837" s="143"/>
      <c r="AI837" s="20"/>
      <c r="BO837" s="86"/>
    </row>
    <row r="838" spans="1:67" ht="15" customHeight="1" thickBot="1" x14ac:dyDescent="0.3">
      <c r="A838" s="520">
        <f>IFERROR(VLOOKUP($G$5,'רשימת רשויות'!A:C,3,0),0)</f>
        <v>0</v>
      </c>
      <c r="B838" s="520">
        <f t="shared" si="111"/>
        <v>0</v>
      </c>
      <c r="D838" s="1134"/>
      <c r="E838" s="1137"/>
      <c r="F838" s="589" t="s">
        <v>44</v>
      </c>
      <c r="G838" s="123">
        <f>IF(G828="תקין",IFERROR(VLOOKUP('בית ספר - תקצוב לפי מוסד (9)'!G823,' איוש משרות (8)'!C:J,7,0),0),0)</f>
        <v>0</v>
      </c>
      <c r="H838" s="124">
        <f>I827+R834+J827</f>
        <v>0</v>
      </c>
      <c r="I838" s="119">
        <f>IFERROR(SUM(G838:G839)/H838,0)</f>
        <v>0</v>
      </c>
      <c r="J838" s="100">
        <f>MIN(R834+I827,IF(ISNUMBER(SUM(G838:G839)),SUM(G838:G839),0))</f>
        <v>0</v>
      </c>
      <c r="K838" s="1139">
        <f>MAX((H838)-(G838+G839),0)</f>
        <v>0</v>
      </c>
      <c r="L838" s="407"/>
      <c r="M838" s="393"/>
      <c r="N838" s="393"/>
      <c r="O838" s="580"/>
      <c r="P838" s="1140"/>
      <c r="Q838" s="1140"/>
      <c r="R838" s="617">
        <f>MAX(MIN(P846-Q846,H846*0.15-G844),0)</f>
        <v>0</v>
      </c>
      <c r="S838" s="576"/>
      <c r="T838" s="599">
        <f>G823</f>
        <v>0</v>
      </c>
      <c r="U838" s="578"/>
      <c r="V838" s="579"/>
      <c r="W838" s="579">
        <f t="shared" ref="W838:W850" si="117">U838-V838</f>
        <v>0</v>
      </c>
      <c r="X838" s="579"/>
      <c r="Y838" s="879"/>
      <c r="Z838" s="121"/>
      <c r="AA838" s="143"/>
      <c r="AB838" s="143"/>
      <c r="AC838" s="504"/>
      <c r="AD838" s="505">
        <f t="shared" ref="AD838:AD844" si="118">IFERROR(U838-AC838,0)</f>
        <v>0</v>
      </c>
      <c r="AE838" s="143"/>
      <c r="AI838" s="20"/>
      <c r="BO838" s="86"/>
    </row>
    <row r="839" spans="1:67" ht="15.75" customHeight="1" x14ac:dyDescent="0.25">
      <c r="A839" s="520">
        <f>IFERROR(VLOOKUP($G$5,'רשימת רשויות'!A:C,3,0),0)</f>
        <v>0</v>
      </c>
      <c r="B839" s="520">
        <f t="shared" si="111"/>
        <v>0</v>
      </c>
      <c r="D839" s="1134"/>
      <c r="E839" s="1137"/>
      <c r="F839" s="589" t="s">
        <v>45</v>
      </c>
      <c r="G839" s="123">
        <f>IF(G828="תקין",IFERROR(VLOOKUP('בית ספר - תקצוב לפי מוסד (9)'!G823,' איוש משרות (8)'!C:J,8,0),0),0)</f>
        <v>0</v>
      </c>
      <c r="H839" s="125"/>
      <c r="I839" s="126"/>
      <c r="J839" s="104"/>
      <c r="K839" s="1139"/>
      <c r="L839" s="407"/>
      <c r="M839" s="393"/>
      <c r="N839" s="393"/>
      <c r="O839" s="580"/>
      <c r="P839" s="1140"/>
      <c r="Q839" s="1140"/>
      <c r="R839" s="596"/>
      <c r="S839" s="576"/>
      <c r="T839" s="599">
        <f>G823</f>
        <v>0</v>
      </c>
      <c r="U839" s="578"/>
      <c r="V839" s="579"/>
      <c r="W839" s="579">
        <f t="shared" si="117"/>
        <v>0</v>
      </c>
      <c r="X839" s="579"/>
      <c r="Y839" s="879"/>
      <c r="Z839" s="121"/>
      <c r="AA839" s="143"/>
      <c r="AB839" s="143"/>
      <c r="AC839" s="504"/>
      <c r="AD839" s="505">
        <f t="shared" si="118"/>
        <v>0</v>
      </c>
      <c r="AE839" s="143"/>
      <c r="AG839" s="55"/>
      <c r="AH839" s="55"/>
      <c r="AI839" s="55"/>
      <c r="AJ839" s="55"/>
      <c r="AK839" s="55"/>
      <c r="BO839" s="86"/>
    </row>
    <row r="840" spans="1:67" ht="15.75" customHeight="1" x14ac:dyDescent="0.25">
      <c r="A840" s="520">
        <f>IFERROR(VLOOKUP($G$5,'רשימת רשויות'!A:C,3,0),0)</f>
        <v>0</v>
      </c>
      <c r="B840" s="520">
        <f t="shared" si="111"/>
        <v>0</v>
      </c>
      <c r="D840" s="1134"/>
      <c r="E840" s="1137"/>
      <c r="F840" s="589" t="s">
        <v>0</v>
      </c>
      <c r="G840" s="117">
        <f>IF(G828="תקין",SUMIFS('דוח הוצאות בפועל (4)'!$E$17:$E$3016,'דוח הוצאות בפועל (4)'!$B$17:$B$3016,'בית ספר - תקצוב לפי מוסד (9)'!$G823,'דוח הוצאות בפועל (4)'!$M$17:$M$3016,"הע"),0)-Y840</f>
        <v>0</v>
      </c>
      <c r="H840" s="127">
        <f>J825</f>
        <v>0</v>
      </c>
      <c r="I840" s="128">
        <f>IFERROR(G840/H840,0)</f>
        <v>0</v>
      </c>
      <c r="J840" s="129">
        <f>MIN(IF(ISNUMBER(G840),G840,0),H840)</f>
        <v>0</v>
      </c>
      <c r="K840" s="120">
        <f>MAX(H840-G840,0)</f>
        <v>0</v>
      </c>
      <c r="L840" s="407"/>
      <c r="M840" s="393"/>
      <c r="N840" s="393"/>
      <c r="O840" s="580"/>
      <c r="P840" s="968">
        <f>MAX(IF(I840&lt;100%,MIN((H840-G840),H840*0.25),0),0)</f>
        <v>0</v>
      </c>
      <c r="Q840" s="619">
        <f>IF(G840-H840&gt;0,G840-H840,0)</f>
        <v>0</v>
      </c>
      <c r="R840" s="596"/>
      <c r="S840" s="610" t="s">
        <v>0</v>
      </c>
      <c r="T840" s="599">
        <f>G823</f>
        <v>0</v>
      </c>
      <c r="U840" s="578"/>
      <c r="V840" s="579">
        <f>G840</f>
        <v>0</v>
      </c>
      <c r="W840" s="579">
        <f t="shared" si="117"/>
        <v>0</v>
      </c>
      <c r="X840" s="579">
        <f>IFERROR(W851*W840/(SUM(W837:W850)),0)</f>
        <v>0</v>
      </c>
      <c r="Y840" s="879">
        <f>SUMIFS(בקרה!$S:$S,בקרה!$D:$D,T840,בקרה!$K:$K,S840)</f>
        <v>0</v>
      </c>
      <c r="Z840" s="121"/>
      <c r="AA840" s="143"/>
      <c r="AB840" s="143"/>
      <c r="AC840" s="504">
        <v>0</v>
      </c>
      <c r="AD840" s="505">
        <f t="shared" si="118"/>
        <v>0</v>
      </c>
      <c r="AE840" s="143"/>
      <c r="AG840" s="55"/>
      <c r="AH840" s="55"/>
      <c r="AI840" s="40"/>
      <c r="AJ840" s="55"/>
      <c r="AK840" s="55"/>
      <c r="BO840" s="86"/>
    </row>
    <row r="841" spans="1:67" s="55" customFormat="1" ht="15.75" customHeight="1" x14ac:dyDescent="0.25">
      <c r="A841" s="520">
        <f>IFERROR(VLOOKUP($G$5,'רשימת רשויות'!A:C,3,0),0)</f>
        <v>0</v>
      </c>
      <c r="B841" s="520">
        <f t="shared" si="111"/>
        <v>0</v>
      </c>
      <c r="C841" s="39"/>
      <c r="D841" s="1134"/>
      <c r="E841" s="1137"/>
      <c r="F841" s="589" t="s">
        <v>93</v>
      </c>
      <c r="G841" s="130">
        <f>IF(G828="תקין",SUMIFS('דוח הוצאות בפועל (4)'!$E$17:$E$3016,'דוח הוצאות בפועל (4)'!$B$17:$B$3016,'בית ספר - תקצוב לפי מוסד (9)'!$G823,'דוח הוצאות בפועל (4)'!$M$17:$M$3016,"אר"),0)-Y841</f>
        <v>0</v>
      </c>
      <c r="H841" s="118">
        <f>$I831</f>
        <v>0</v>
      </c>
      <c r="I841" s="131">
        <f>IFERROR((G841+G842)/H841,0)</f>
        <v>0</v>
      </c>
      <c r="J841" s="100">
        <f>MIN((IF(ISNUMBER(G841),G841,0)+IF(ISNUMBER(G842),G842,0)),H841)</f>
        <v>0</v>
      </c>
      <c r="K841" s="1139">
        <f>MAX((H841)-(G841+G842),0)</f>
        <v>0</v>
      </c>
      <c r="L841" s="407"/>
      <c r="M841" s="393"/>
      <c r="N841" s="393"/>
      <c r="O841" s="602"/>
      <c r="P841" s="1141"/>
      <c r="Q841" s="1142"/>
      <c r="R841" s="596"/>
      <c r="S841" s="610" t="s">
        <v>93</v>
      </c>
      <c r="T841" s="599">
        <f>G823</f>
        <v>0</v>
      </c>
      <c r="U841" s="578"/>
      <c r="V841" s="579">
        <f t="shared" ref="V841:V842" si="119">G841</f>
        <v>0</v>
      </c>
      <c r="W841" s="579">
        <f t="shared" si="117"/>
        <v>0</v>
      </c>
      <c r="X841" s="579">
        <f>IFERROR(W851*W841/(SUM(W837:W850)),0)</f>
        <v>0</v>
      </c>
      <c r="Y841" s="879">
        <f>SUMIFS(בקרה!$S:$S,בקרה!$D:$D,T841,בקרה!$K:$K,S841)</f>
        <v>0</v>
      </c>
      <c r="Z841" s="121"/>
      <c r="AA841" s="143"/>
      <c r="AB841" s="143"/>
      <c r="AC841" s="504">
        <v>0</v>
      </c>
      <c r="AD841" s="505">
        <f t="shared" si="118"/>
        <v>0</v>
      </c>
      <c r="AE841" s="143"/>
      <c r="AJ841" s="22"/>
      <c r="AO841" s="22"/>
      <c r="AP841" s="22"/>
      <c r="AQ841" s="22"/>
      <c r="AR841" s="22"/>
      <c r="AS841" s="22"/>
      <c r="AT841" s="22"/>
      <c r="AU841" s="35"/>
      <c r="AV841" s="35"/>
      <c r="AW841" s="35"/>
      <c r="AX841" s="35"/>
      <c r="AY841" s="35"/>
      <c r="AZ841" s="35"/>
      <c r="BA841" s="35"/>
      <c r="BB841" s="35"/>
      <c r="BC841" s="35"/>
      <c r="BD841" s="35"/>
      <c r="BE841" s="35"/>
      <c r="BF841" s="35"/>
      <c r="BG841" s="35"/>
      <c r="BH841" s="35"/>
      <c r="BI841" s="35"/>
      <c r="BJ841" s="35"/>
      <c r="BK841" s="35"/>
      <c r="BL841" s="35"/>
      <c r="BM841" s="35"/>
      <c r="BN841" s="35"/>
      <c r="BO841" s="86"/>
    </row>
    <row r="842" spans="1:67" s="55" customFormat="1" ht="15.75" customHeight="1" x14ac:dyDescent="0.25">
      <c r="A842" s="520">
        <f>IFERROR(VLOOKUP($G$5,'רשימת רשויות'!A:C,3,0),0)</f>
        <v>0</v>
      </c>
      <c r="B842" s="520">
        <f t="shared" si="111"/>
        <v>0</v>
      </c>
      <c r="C842" s="39"/>
      <c r="D842" s="1134"/>
      <c r="E842" s="1137"/>
      <c r="F842" s="589" t="s">
        <v>46</v>
      </c>
      <c r="G842" s="130">
        <f>IF(G828="תקין",SUMIFS('דוח הוצאות בפועל (4)'!$E$17:$E$3016,'דוח הוצאות בפועל (4)'!$B$17:$B$3016,'בית ספר - תקצוב לפי מוסד (9)'!$G823,'דוח הוצאות בפועל (4)'!$M$17:$M$3016,"מל"),0)-Y842</f>
        <v>0</v>
      </c>
      <c r="H842" s="132"/>
      <c r="I842" s="133"/>
      <c r="J842" s="104"/>
      <c r="K842" s="1139"/>
      <c r="L842" s="407"/>
      <c r="M842" s="393"/>
      <c r="N842" s="393"/>
      <c r="O842" s="602"/>
      <c r="P842" s="1141"/>
      <c r="Q842" s="1142"/>
      <c r="R842" s="596"/>
      <c r="S842" s="610" t="s">
        <v>46</v>
      </c>
      <c r="T842" s="599">
        <f>G823</f>
        <v>0</v>
      </c>
      <c r="U842" s="578"/>
      <c r="V842" s="579">
        <f t="shared" si="119"/>
        <v>0</v>
      </c>
      <c r="W842" s="579">
        <f t="shared" si="117"/>
        <v>0</v>
      </c>
      <c r="X842" s="579">
        <f>IFERROR(W851*W842/(SUM(W837:W850)),0)</f>
        <v>0</v>
      </c>
      <c r="Y842" s="879">
        <f>SUMIFS(בקרה!$S:$S,בקרה!$D:$D,T842,בקרה!$K:$K,S842)</f>
        <v>0</v>
      </c>
      <c r="Z842" s="121"/>
      <c r="AA842" s="143"/>
      <c r="AB842" s="143"/>
      <c r="AC842" s="504">
        <v>0</v>
      </c>
      <c r="AD842" s="505">
        <f t="shared" si="118"/>
        <v>0</v>
      </c>
      <c r="AE842" s="143"/>
      <c r="AJ842" s="22"/>
      <c r="AO842" s="22"/>
      <c r="AP842" s="22"/>
      <c r="AQ842" s="22"/>
      <c r="AR842" s="22"/>
      <c r="AS842" s="22"/>
      <c r="AT842" s="22"/>
      <c r="AU842" s="35"/>
      <c r="AV842" s="35"/>
      <c r="AW842" s="35"/>
      <c r="AX842" s="35"/>
      <c r="AY842" s="35"/>
      <c r="AZ842" s="35"/>
      <c r="BA842" s="35"/>
      <c r="BB842" s="35"/>
      <c r="BC842" s="35"/>
      <c r="BD842" s="35"/>
      <c r="BE842" s="35"/>
      <c r="BF842" s="35"/>
      <c r="BG842" s="35"/>
      <c r="BH842" s="35"/>
      <c r="BI842" s="35"/>
      <c r="BJ842" s="35"/>
      <c r="BK842" s="35"/>
      <c r="BL842" s="35"/>
      <c r="BM842" s="35"/>
      <c r="BN842" s="35"/>
      <c r="BO842" s="86"/>
    </row>
    <row r="843" spans="1:67" s="55" customFormat="1" ht="15" customHeight="1" x14ac:dyDescent="0.25">
      <c r="A843" s="520">
        <f>IFERROR(VLOOKUP($G$5,'רשימת רשויות'!A:C,3,0),0)</f>
        <v>0</v>
      </c>
      <c r="B843" s="520">
        <f t="shared" si="111"/>
        <v>0</v>
      </c>
      <c r="C843" s="39"/>
      <c r="D843" s="1134"/>
      <c r="E843" s="1137"/>
      <c r="F843" s="591" t="s">
        <v>23</v>
      </c>
      <c r="G843" s="134">
        <f>SUM(G837:G842)</f>
        <v>0</v>
      </c>
      <c r="H843" s="135">
        <f>SUM(H837:H842)</f>
        <v>0</v>
      </c>
      <c r="I843" s="128">
        <f>IFERROR(G843/H843,0)</f>
        <v>0</v>
      </c>
      <c r="J843" s="136">
        <f>SUM(J837:J842)</f>
        <v>0</v>
      </c>
      <c r="K843" s="137">
        <f>SUM(K837:K842)</f>
        <v>0</v>
      </c>
      <c r="L843" s="408"/>
      <c r="M843" s="394"/>
      <c r="N843" s="394"/>
      <c r="O843" s="602"/>
      <c r="P843" s="620">
        <f>SUM(P837:P842)</f>
        <v>0</v>
      </c>
      <c r="Q843" s="620">
        <f>SUM(Q837:Q842)</f>
        <v>0</v>
      </c>
      <c r="R843" s="596"/>
      <c r="S843" s="610"/>
      <c r="T843" s="599">
        <f>G823</f>
        <v>0</v>
      </c>
      <c r="U843" s="578"/>
      <c r="V843" s="579"/>
      <c r="W843" s="579">
        <f t="shared" si="117"/>
        <v>0</v>
      </c>
      <c r="X843" s="579"/>
      <c r="Y843" s="879"/>
      <c r="Z843" s="121"/>
      <c r="AA843" s="143"/>
      <c r="AB843" s="143"/>
      <c r="AC843" s="504"/>
      <c r="AD843" s="505">
        <f t="shared" si="118"/>
        <v>0</v>
      </c>
      <c r="AE843" s="143"/>
      <c r="AJ843" s="22"/>
      <c r="AL843" s="22"/>
      <c r="AM843" s="22"/>
      <c r="AN843" s="22"/>
      <c r="AO843" s="22"/>
      <c r="AP843" s="22"/>
      <c r="AQ843" s="22"/>
      <c r="AR843" s="22"/>
      <c r="AS843" s="22"/>
      <c r="AT843" s="22"/>
      <c r="AU843" s="35"/>
      <c r="AV843" s="35"/>
      <c r="AW843" s="35"/>
      <c r="AX843" s="35"/>
      <c r="AY843" s="35"/>
      <c r="AZ843" s="35"/>
      <c r="BA843" s="35"/>
      <c r="BB843" s="35"/>
      <c r="BC843" s="35"/>
      <c r="BD843" s="35"/>
      <c r="BE843" s="35"/>
      <c r="BF843" s="35"/>
      <c r="BG843" s="35"/>
      <c r="BH843" s="35"/>
      <c r="BI843" s="35"/>
      <c r="BJ843" s="35"/>
      <c r="BK843" s="35"/>
      <c r="BL843" s="35"/>
      <c r="BM843" s="35"/>
      <c r="BN843" s="35"/>
      <c r="BO843" s="86"/>
    </row>
    <row r="844" spans="1:67" s="55" customFormat="1" ht="15" customHeight="1" x14ac:dyDescent="0.25">
      <c r="A844" s="520">
        <f>IFERROR(VLOOKUP($G$5,'רשימת רשויות'!A:C,3,0),0)</f>
        <v>0</v>
      </c>
      <c r="B844" s="520">
        <f t="shared" si="111"/>
        <v>0</v>
      </c>
      <c r="C844" s="39"/>
      <c r="D844" s="1134"/>
      <c r="E844" s="1137"/>
      <c r="F844" s="589" t="s">
        <v>3</v>
      </c>
      <c r="G844" s="117">
        <f>IF(G828="תקין",SUMIFS('דוח הוצאות בפועל (4)'!$E$17:$E$3016,'דוח הוצאות בפועל (4)'!$B$17:$B$3016,'בית ספר - תקצוב לפי מוסד (9)'!$G823,'דוח הוצאות בפועל (4)'!$M$17:$M$3016,"ני")+SUMIFS('דוח הוצאות בפועל (4)'!$E$17:$E$3016,'דוח הוצאות בפועל (4)'!$B$17:$B$3016,'בית ספר - תקצוב לפי מוסד (9)'!$G823,'דוח הוצאות בפועל (4)'!$M$17:$M$3016,"על"),0)-Y844</f>
        <v>0</v>
      </c>
      <c r="H844" s="117">
        <f>H825</f>
        <v>0</v>
      </c>
      <c r="I844" s="138">
        <f>IFERROR(G844/H844,0)</f>
        <v>0</v>
      </c>
      <c r="J844" s="117">
        <f>IFERROR(IF(G844/H846&gt;0.15,MIN(H846*0.15,H844),MIN(H844,IF(ISNUMBER(G844),G844,0))),0)</f>
        <v>0</v>
      </c>
      <c r="K844" s="120">
        <f>MAX(H844-G844,0)</f>
        <v>0</v>
      </c>
      <c r="L844" s="407"/>
      <c r="M844" s="393"/>
      <c r="N844" s="393"/>
      <c r="O844" s="602"/>
      <c r="P844" s="620">
        <f>IF(I844&lt;100%,MIN(H844-G844,H844*0.25),0)</f>
        <v>0</v>
      </c>
      <c r="Q844" s="620">
        <f>MAX(MIN(IF(G844-H844&gt;0,G844-H844,0),$H846*0.15-H844-J845),0)</f>
        <v>0</v>
      </c>
      <c r="R844" s="596"/>
      <c r="S844" s="610" t="s">
        <v>3</v>
      </c>
      <c r="T844" s="599">
        <f>G823</f>
        <v>0</v>
      </c>
      <c r="U844" s="578"/>
      <c r="V844" s="579">
        <f t="shared" ref="V844" si="120">G844</f>
        <v>0</v>
      </c>
      <c r="W844" s="579">
        <f t="shared" si="117"/>
        <v>0</v>
      </c>
      <c r="X844" s="579"/>
      <c r="Y844" s="879"/>
      <c r="Z844" s="121"/>
      <c r="AA844" s="143"/>
      <c r="AB844" s="143"/>
      <c r="AC844" s="504">
        <v>0</v>
      </c>
      <c r="AD844" s="505">
        <f t="shared" si="118"/>
        <v>0</v>
      </c>
      <c r="AE844" s="143"/>
      <c r="AG844" s="22"/>
      <c r="AH844" s="22"/>
      <c r="AI844" s="22"/>
      <c r="AJ844" s="22"/>
      <c r="AK844" s="22"/>
      <c r="AL844" s="22"/>
      <c r="AM844" s="22"/>
      <c r="AN844" s="22"/>
      <c r="AO844" s="22"/>
      <c r="AP844" s="22"/>
      <c r="AQ844" s="22"/>
      <c r="AR844" s="22"/>
      <c r="AS844" s="22"/>
      <c r="AT844" s="22"/>
      <c r="AU844" s="35"/>
      <c r="AV844" s="35"/>
      <c r="AW844" s="35"/>
      <c r="AX844" s="35"/>
      <c r="AY844" s="35"/>
      <c r="AZ844" s="35"/>
      <c r="BA844" s="35"/>
      <c r="BB844" s="35"/>
      <c r="BC844" s="35"/>
      <c r="BD844" s="35"/>
      <c r="BE844" s="35"/>
      <c r="BF844" s="35"/>
      <c r="BG844" s="35"/>
      <c r="BH844" s="35"/>
      <c r="BI844" s="35"/>
      <c r="BJ844" s="35"/>
      <c r="BK844" s="35"/>
      <c r="BL844" s="35"/>
      <c r="BM844" s="35"/>
      <c r="BN844" s="35"/>
      <c r="BO844" s="86"/>
    </row>
    <row r="845" spans="1:67" s="55" customFormat="1" ht="15.75" customHeight="1" x14ac:dyDescent="0.25">
      <c r="A845" s="520">
        <f>IFERROR(VLOOKUP($G$5,'רשימת רשויות'!A:C,3,0),0)</f>
        <v>0</v>
      </c>
      <c r="B845" s="520">
        <f t="shared" si="111"/>
        <v>0</v>
      </c>
      <c r="C845" s="39"/>
      <c r="D845" s="1134"/>
      <c r="E845" s="1137"/>
      <c r="F845" s="589" t="s">
        <v>2918</v>
      </c>
      <c r="G845" s="117">
        <f>0.07*(G839+G838)</f>
        <v>0</v>
      </c>
      <c r="H845" s="117">
        <f>H827</f>
        <v>0</v>
      </c>
      <c r="I845" s="138">
        <f>IFERROR(G845/H845,0)</f>
        <v>0</v>
      </c>
      <c r="J845" s="117">
        <f>IFERROR(MIN(0.07*(G838+G839),0.07*I827),0)</f>
        <v>0</v>
      </c>
      <c r="K845" s="120">
        <f>MAX(H845-G845,0)</f>
        <v>0</v>
      </c>
      <c r="L845" s="407"/>
      <c r="M845" s="393"/>
      <c r="N845" s="393"/>
      <c r="O845" s="602"/>
      <c r="P845" s="620"/>
      <c r="Q845" s="619"/>
      <c r="R845" s="596"/>
      <c r="S845" s="611"/>
      <c r="T845" s="599">
        <f>G823</f>
        <v>0</v>
      </c>
      <c r="U845" s="578"/>
      <c r="V845" s="579"/>
      <c r="W845" s="579">
        <f t="shared" si="117"/>
        <v>0</v>
      </c>
      <c r="X845" s="579"/>
      <c r="Y845" s="879"/>
      <c r="Z845" s="121"/>
      <c r="AA845" s="143"/>
      <c r="AB845" s="143"/>
      <c r="AC845" s="504"/>
      <c r="AD845" s="505"/>
      <c r="AE845" s="143"/>
      <c r="AF845" s="140"/>
      <c r="AG845" s="22"/>
      <c r="AH845" s="22"/>
      <c r="AI845" s="22"/>
      <c r="AJ845" s="22"/>
      <c r="AK845" s="22"/>
      <c r="AL845" s="22"/>
      <c r="AM845" s="22"/>
      <c r="AN845" s="22"/>
      <c r="AO845" s="22"/>
      <c r="AP845" s="22"/>
      <c r="AQ845" s="22"/>
      <c r="AR845" s="22"/>
      <c r="AS845" s="22"/>
      <c r="AT845" s="22"/>
      <c r="AU845" s="35"/>
      <c r="AV845" s="35"/>
      <c r="AW845" s="35"/>
      <c r="AX845" s="35"/>
      <c r="AY845" s="35"/>
      <c r="AZ845" s="35"/>
      <c r="BA845" s="35"/>
      <c r="BB845" s="35"/>
      <c r="BC845" s="35"/>
      <c r="BD845" s="35"/>
      <c r="BE845" s="35"/>
      <c r="BF845" s="35"/>
      <c r="BG845" s="35"/>
      <c r="BH845" s="35"/>
      <c r="BI845" s="35"/>
      <c r="BJ845" s="35"/>
      <c r="BK845" s="35"/>
      <c r="BL845" s="35"/>
      <c r="BM845" s="35"/>
      <c r="BN845" s="35"/>
      <c r="BO845" s="86"/>
    </row>
    <row r="846" spans="1:67" ht="15.75" customHeight="1" x14ac:dyDescent="0.25">
      <c r="A846" s="520">
        <f>IFERROR(VLOOKUP($G$5,'רשימת רשויות'!A:C,3,0),0)</f>
        <v>0</v>
      </c>
      <c r="B846" s="520">
        <f t="shared" ref="B846:B909" si="121">IF(F847="סמל המוסד",G847,B845)</f>
        <v>0</v>
      </c>
      <c r="D846" s="1134"/>
      <c r="E846" s="1137"/>
      <c r="F846" s="591" t="s">
        <v>15</v>
      </c>
      <c r="G846" s="134">
        <f>G843+G844+G845</f>
        <v>0</v>
      </c>
      <c r="H846" s="134">
        <f>H843+H844+H845</f>
        <v>0</v>
      </c>
      <c r="I846" s="138">
        <f>IFERROR(G846/H846,0)</f>
        <v>0</v>
      </c>
      <c r="J846" s="139">
        <f>J843+J844+J845</f>
        <v>0</v>
      </c>
      <c r="K846" s="137">
        <f>K844+K843+K845</f>
        <v>0</v>
      </c>
      <c r="L846" s="408"/>
      <c r="M846" s="394"/>
      <c r="N846" s="394"/>
      <c r="O846" s="602"/>
      <c r="P846" s="621">
        <f>SUM(P843:P844)</f>
        <v>0</v>
      </c>
      <c r="Q846" s="622">
        <f>Q843+Q844</f>
        <v>0</v>
      </c>
      <c r="R846" s="596"/>
      <c r="S846" s="611"/>
      <c r="T846" s="599">
        <f>G823</f>
        <v>0</v>
      </c>
      <c r="U846" s="578"/>
      <c r="V846" s="579"/>
      <c r="W846" s="579">
        <f t="shared" si="117"/>
        <v>0</v>
      </c>
      <c r="X846" s="579"/>
      <c r="Y846" s="879"/>
      <c r="Z846" s="106"/>
      <c r="AC846" s="504"/>
      <c r="AD846" s="505"/>
      <c r="AH846" s="143"/>
      <c r="BO846" s="86"/>
    </row>
    <row r="847" spans="1:67" ht="15.75" customHeight="1" x14ac:dyDescent="0.25">
      <c r="A847" s="520">
        <f>IFERROR(VLOOKUP($G$5,'רשימת רשויות'!A:C,3,0),0)</f>
        <v>0</v>
      </c>
      <c r="B847" s="520">
        <f t="shared" si="121"/>
        <v>0</v>
      </c>
      <c r="D847" s="1134"/>
      <c r="E847" s="1137"/>
      <c r="F847" s="589" t="s">
        <v>2261</v>
      </c>
      <c r="G847" s="117">
        <f>IF(G828="תקין",SUMIF('תשלומי הורים ומלגות להורים (5) '!$B$18:$B$517,$G823,'תשלומי הורים ומלגות להורים (5) '!$C$18:$C$517),0)</f>
        <v>0</v>
      </c>
      <c r="H847" s="117">
        <f>(G826+G827)*$G$7</f>
        <v>0</v>
      </c>
      <c r="I847" s="141"/>
      <c r="J847" s="141"/>
      <c r="K847" s="142"/>
      <c r="L847" s="395"/>
      <c r="M847" s="395"/>
      <c r="N847" s="395"/>
      <c r="O847" s="602"/>
      <c r="P847" s="623"/>
      <c r="Q847" s="619"/>
      <c r="R847" s="596"/>
      <c r="S847" s="612"/>
      <c r="T847" s="599">
        <f>G823</f>
        <v>0</v>
      </c>
      <c r="U847" s="578"/>
      <c r="V847" s="579"/>
      <c r="W847" s="579">
        <f t="shared" si="117"/>
        <v>0</v>
      </c>
      <c r="X847" s="579"/>
      <c r="Y847" s="879"/>
      <c r="Z847" s="121"/>
      <c r="AA847" s="143"/>
      <c r="AB847" s="143"/>
      <c r="AC847" s="504"/>
      <c r="AD847" s="505"/>
      <c r="AE847" s="143"/>
      <c r="AF847" s="148"/>
      <c r="BO847" s="86"/>
    </row>
    <row r="848" spans="1:67" ht="15.75" customHeight="1" thickBot="1" x14ac:dyDescent="0.3">
      <c r="A848" s="520">
        <f>IFERROR(VLOOKUP($G$5,'רשימת רשויות'!A:C,3,0),0)</f>
        <v>0</v>
      </c>
      <c r="B848" s="520">
        <f t="shared" si="121"/>
        <v>0</v>
      </c>
      <c r="D848" s="1134"/>
      <c r="E848" s="1137"/>
      <c r="F848" s="592" t="s">
        <v>21</v>
      </c>
      <c r="G848" s="144">
        <f>G846-G847</f>
        <v>0</v>
      </c>
      <c r="H848" s="144">
        <f>H846-H847</f>
        <v>0</v>
      </c>
      <c r="I848" s="145"/>
      <c r="J848" s="145"/>
      <c r="K848" s="146"/>
      <c r="L848" s="396"/>
      <c r="M848" s="396"/>
      <c r="N848" s="396"/>
      <c r="O848" s="602"/>
      <c r="P848" s="619"/>
      <c r="Q848" s="619"/>
      <c r="R848" s="596"/>
      <c r="S848" s="612"/>
      <c r="T848" s="599">
        <f>G823</f>
        <v>0</v>
      </c>
      <c r="U848" s="578"/>
      <c r="V848" s="579"/>
      <c r="W848" s="579">
        <f t="shared" si="117"/>
        <v>0</v>
      </c>
      <c r="X848" s="579"/>
      <c r="Y848" s="879"/>
      <c r="Z848" s="147"/>
      <c r="AA848" s="148"/>
      <c r="AB848" s="148"/>
      <c r="AC848" s="504"/>
      <c r="AD848" s="505"/>
      <c r="AE848" s="148"/>
      <c r="AF848" s="148"/>
      <c r="BO848" s="86"/>
    </row>
    <row r="849" spans="1:67" ht="15.75" customHeight="1" thickBot="1" x14ac:dyDescent="0.3">
      <c r="A849" s="520">
        <f>IFERROR(VLOOKUP($G$5,'רשימת רשויות'!A:C,3,0),0)</f>
        <v>0</v>
      </c>
      <c r="B849" s="520">
        <f t="shared" si="121"/>
        <v>0</v>
      </c>
      <c r="D849" s="1134"/>
      <c r="E849" s="1137"/>
      <c r="F849" s="580"/>
      <c r="G849" s="580"/>
      <c r="H849" s="147"/>
      <c r="I849" s="149" t="s">
        <v>2197</v>
      </c>
      <c r="J849" s="150">
        <f>MAX(MIN(P846,Q846),0)</f>
        <v>0</v>
      </c>
      <c r="K849" s="580"/>
      <c r="L849" s="580"/>
      <c r="M849" s="580"/>
      <c r="N849" s="580"/>
      <c r="O849" s="580"/>
      <c r="P849" s="615" t="s">
        <v>2317</v>
      </c>
      <c r="Q849" s="624">
        <f>SUM(Q850:Q851)</f>
        <v>0</v>
      </c>
      <c r="R849" s="596"/>
      <c r="S849" s="612"/>
      <c r="T849" s="599">
        <f>G823</f>
        <v>0</v>
      </c>
      <c r="U849" s="578"/>
      <c r="V849" s="579"/>
      <c r="W849" s="579">
        <f t="shared" si="117"/>
        <v>0</v>
      </c>
      <c r="X849" s="579"/>
      <c r="Y849" s="879"/>
      <c r="Z849" s="106"/>
      <c r="AC849" s="504"/>
      <c r="AD849" s="505"/>
      <c r="AF849" s="148"/>
      <c r="BO849" s="86"/>
    </row>
    <row r="850" spans="1:67" ht="16.5" thickBot="1" x14ac:dyDescent="0.3">
      <c r="A850" s="520">
        <f>IFERROR(VLOOKUP($G$5,'רשימת רשויות'!A:C,3,0),0)</f>
        <v>0</v>
      </c>
      <c r="B850" s="520">
        <f t="shared" si="121"/>
        <v>0</v>
      </c>
      <c r="D850" s="1134"/>
      <c r="E850" s="1137"/>
      <c r="F850" s="580"/>
      <c r="G850" s="580"/>
      <c r="H850" s="580"/>
      <c r="I850" s="84" t="s">
        <v>2193</v>
      </c>
      <c r="J850" s="515" t="str">
        <f>IFERROR(1-H847/H846,"")</f>
        <v/>
      </c>
      <c r="K850" s="580"/>
      <c r="L850" s="580"/>
      <c r="M850" s="580"/>
      <c r="N850" s="580"/>
      <c r="O850" s="580"/>
      <c r="P850" s="615" t="s">
        <v>417</v>
      </c>
      <c r="Q850" s="616">
        <f>IFERROR(MAX(H848-I851-Q851,0),0)</f>
        <v>0</v>
      </c>
      <c r="R850" s="596"/>
      <c r="S850" s="600"/>
      <c r="T850" s="599">
        <f>G823</f>
        <v>0</v>
      </c>
      <c r="U850" s="578"/>
      <c r="V850" s="579"/>
      <c r="W850" s="579">
        <f t="shared" si="117"/>
        <v>0</v>
      </c>
      <c r="X850" s="579"/>
      <c r="Y850" s="879"/>
      <c r="Z850" s="106"/>
      <c r="AC850" s="504"/>
      <c r="AD850" s="505"/>
      <c r="BO850" s="86"/>
    </row>
    <row r="851" spans="1:67" ht="17.25" thickBot="1" x14ac:dyDescent="0.3">
      <c r="A851" s="520">
        <f>IFERROR(VLOOKUP($G$5,'רשימת רשויות'!A:C,3,0),0)</f>
        <v>0</v>
      </c>
      <c r="B851" s="520">
        <f t="shared" si="121"/>
        <v>0</v>
      </c>
      <c r="D851" s="1134"/>
      <c r="E851" s="1137"/>
      <c r="F851" s="1143" t="s">
        <v>2679</v>
      </c>
      <c r="G851" s="1143"/>
      <c r="H851" s="1143"/>
      <c r="I851" s="722">
        <f>IF(G828="לא תקין","לא קיימת זכאות לתקציב לאור אי איוש משרות רכז ו/או סגן רכז ",IFERROR(J850*(J849+J846),0))</f>
        <v>0</v>
      </c>
      <c r="J851" s="573"/>
      <c r="K851" s="574"/>
      <c r="L851" s="396"/>
      <c r="M851" s="574"/>
      <c r="N851" s="574"/>
      <c r="O851" s="574"/>
      <c r="P851" s="615" t="s">
        <v>2279</v>
      </c>
      <c r="Q851" s="616">
        <f>MAX(IF(AND(G846&gt;H846,I851&lt;H848),H848-I851,0),0)</f>
        <v>0</v>
      </c>
      <c r="R851" s="575"/>
      <c r="S851" s="576" t="s">
        <v>67</v>
      </c>
      <c r="T851" s="577">
        <f>G823</f>
        <v>0</v>
      </c>
      <c r="U851" s="578"/>
      <c r="V851" s="579">
        <f>I851</f>
        <v>0</v>
      </c>
      <c r="W851" s="579">
        <f>IFERROR(U851-V851,0)</f>
        <v>0</v>
      </c>
      <c r="X851" s="579">
        <f>SUM(X837:X850)</f>
        <v>0</v>
      </c>
      <c r="Y851" s="879"/>
      <c r="Z851" s="106"/>
      <c r="AC851" s="506">
        <v>0</v>
      </c>
      <c r="AD851" s="507">
        <f>IFERROR(U851-AC851,0)</f>
        <v>0</v>
      </c>
      <c r="BO851" s="86"/>
    </row>
    <row r="852" spans="1:67" ht="16.5" thickBot="1" x14ac:dyDescent="0.3">
      <c r="A852" s="520">
        <f>IFERROR(VLOOKUP($G$5,'רשימת רשויות'!A:C,3,0),0)</f>
        <v>0</v>
      </c>
      <c r="B852" s="520">
        <f t="shared" si="121"/>
        <v>0</v>
      </c>
      <c r="D852" s="1135"/>
      <c r="E852" s="1138"/>
      <c r="F852" s="1144" t="s">
        <v>2793</v>
      </c>
      <c r="G852" s="1145"/>
      <c r="H852" s="1145"/>
      <c r="I852" s="593">
        <f>IFERROR(IF(G828="תקין",SUMIFS('סייעות רפואיות או אישיות (7)'!$Q$17:Q$384,'סייעות רפואיות או אישיות (7)'!C$17:C$384,G823),0),0)</f>
        <v>0</v>
      </c>
      <c r="J852" s="151"/>
      <c r="K852" s="152"/>
      <c r="L852" s="409"/>
      <c r="M852" s="152"/>
      <c r="N852" s="152"/>
      <c r="O852" s="152"/>
      <c r="P852" s="613"/>
      <c r="Q852" s="614"/>
      <c r="R852" s="475"/>
      <c r="S852" s="489"/>
      <c r="T852" s="490"/>
      <c r="U852" s="491"/>
      <c r="V852" s="492"/>
      <c r="W852" s="492"/>
      <c r="X852" s="492"/>
      <c r="Y852" s="880"/>
      <c r="Z852" s="153"/>
      <c r="AC852" s="581"/>
      <c r="AD852" s="582"/>
      <c r="BO852" s="86"/>
    </row>
    <row r="853" spans="1:67" ht="34.5" thickBot="1" x14ac:dyDescent="0.55000000000000004">
      <c r="A853" s="520">
        <f>IFERROR(VLOOKUP($G$5,'רשימת רשויות'!A:C,3,0),0)</f>
        <v>0</v>
      </c>
      <c r="B853" s="520">
        <f t="shared" si="121"/>
        <v>0</v>
      </c>
      <c r="E853" s="154"/>
      <c r="I853" s="143"/>
      <c r="J853" s="148"/>
      <c r="O853" s="148"/>
      <c r="T853" s="481"/>
      <c r="BO853" s="86"/>
    </row>
    <row r="854" spans="1:67" s="20" customFormat="1" ht="16.5" customHeight="1" thickBot="1" x14ac:dyDescent="0.3">
      <c r="A854" s="520">
        <f>IFERROR(VLOOKUP($G$5,'רשימת רשויות'!A:C,3,0),0)</f>
        <v>0</v>
      </c>
      <c r="B854" s="520">
        <f t="shared" si="121"/>
        <v>0</v>
      </c>
      <c r="C854" s="39"/>
      <c r="D854" s="1133">
        <f>D823+1</f>
        <v>28</v>
      </c>
      <c r="E854" s="1136" t="str">
        <f>IFERROR(CONCATENATE("בית הספר ",VLOOKUP(G854,'מצבת והרשמה (2)'!$C$21:$D$520,2,0)," - ",$G$5),"")</f>
        <v>בית הספר המוסד לא קיים - 0</v>
      </c>
      <c r="F854" s="720" t="s">
        <v>146</v>
      </c>
      <c r="G854" s="721">
        <f>IFERROR(VLOOKUP(D:D,'דוח ביצוע (3)'!$A$21:$C$900,2,0),0)</f>
        <v>0</v>
      </c>
      <c r="H854" s="79"/>
      <c r="I854" s="80" t="s">
        <v>150</v>
      </c>
      <c r="J854" s="80"/>
      <c r="K854" s="81"/>
      <c r="L854" s="392"/>
      <c r="M854" s="392"/>
      <c r="N854" s="392"/>
      <c r="O854" s="82"/>
      <c r="P854" s="470"/>
      <c r="Q854" s="471"/>
      <c r="R854" s="472"/>
      <c r="S854" s="883"/>
      <c r="T854" s="884"/>
      <c r="U854" s="486"/>
      <c r="V854" s="487"/>
      <c r="W854" s="487"/>
      <c r="X854" s="487"/>
      <c r="Y854" s="885"/>
      <c r="Z854" s="83"/>
      <c r="AC854" s="502"/>
      <c r="AD854" s="503"/>
      <c r="AO854" s="22"/>
      <c r="AP854" s="22"/>
      <c r="AQ854" s="22"/>
      <c r="AR854" s="22"/>
      <c r="AS854" s="22"/>
      <c r="AT854" s="22"/>
      <c r="AU854" s="35"/>
      <c r="AV854" s="35"/>
      <c r="AW854" s="35"/>
      <c r="AX854" s="35"/>
      <c r="AY854" s="35"/>
      <c r="AZ854" s="35"/>
      <c r="BA854" s="35"/>
      <c r="BB854" s="35"/>
      <c r="BC854" s="35"/>
      <c r="BD854" s="35"/>
      <c r="BE854" s="35"/>
      <c r="BF854" s="35"/>
      <c r="BG854" s="35"/>
      <c r="BH854" s="35"/>
      <c r="BI854" s="35"/>
      <c r="BJ854" s="35"/>
      <c r="BK854" s="35"/>
      <c r="BL854" s="35"/>
      <c r="BM854" s="35"/>
      <c r="BN854" s="35"/>
      <c r="BO854" s="78"/>
    </row>
    <row r="855" spans="1:67" s="20" customFormat="1" ht="16.5" thickBot="1" x14ac:dyDescent="0.3">
      <c r="A855" s="520">
        <f>IFERROR(VLOOKUP($G$5,'רשימת רשויות'!A:C,3,0),0)</f>
        <v>0</v>
      </c>
      <c r="B855" s="520">
        <f t="shared" si="121"/>
        <v>0</v>
      </c>
      <c r="C855" s="39"/>
      <c r="D855" s="1134"/>
      <c r="E855" s="1137"/>
      <c r="F855" s="583" t="s">
        <v>145</v>
      </c>
      <c r="G855" s="516" t="str">
        <f>IFERROR(IF((G857+G858)=0,"",IF(VLOOKUP(G854,'דוח ביצוע (3)'!$B$21:$K$900,5,0)&gt;149,"גדול",IF(AND(VLOOKUP(G854,'דוח ביצוע (3)'!$B$21:$K$900,5,0)&gt;0,VLOOKUP(G854,'דוח ביצוע (3)'!$B$21:$K$900,5,0)&lt;150),"קטן",0))),"")</f>
        <v/>
      </c>
      <c r="H855" s="723" t="s">
        <v>88</v>
      </c>
      <c r="I855" s="723" t="s">
        <v>13</v>
      </c>
      <c r="J855" s="725" t="s">
        <v>14</v>
      </c>
      <c r="K855" s="724" t="s">
        <v>94</v>
      </c>
      <c r="L855" s="594"/>
      <c r="M855" s="420" t="s">
        <v>2584</v>
      </c>
      <c r="N855" s="397" t="s">
        <v>413</v>
      </c>
      <c r="O855" s="398" t="s">
        <v>52</v>
      </c>
      <c r="P855" s="595"/>
      <c r="Q855" s="595"/>
      <c r="R855" s="596"/>
      <c r="S855" s="610"/>
      <c r="T855" s="881"/>
      <c r="U855" s="598"/>
      <c r="V855" s="599"/>
      <c r="W855" s="599"/>
      <c r="X855" s="599"/>
      <c r="Y855" s="879"/>
      <c r="Z855" s="85"/>
      <c r="AC855" s="493"/>
      <c r="AD855" s="495"/>
      <c r="AO855" s="22"/>
      <c r="AP855" s="22"/>
      <c r="AQ855" s="22"/>
      <c r="AR855" s="22"/>
      <c r="AS855" s="22"/>
      <c r="AT855" s="22"/>
      <c r="AU855" s="35"/>
      <c r="AV855" s="35"/>
      <c r="AW855" s="35"/>
      <c r="AX855" s="35"/>
      <c r="AY855" s="35"/>
      <c r="AZ855" s="35"/>
      <c r="BA855" s="35"/>
      <c r="BB855" s="35"/>
      <c r="BC855" s="35"/>
      <c r="BD855" s="35"/>
      <c r="BE855" s="35"/>
      <c r="BF855" s="35"/>
      <c r="BG855" s="35"/>
      <c r="BH855" s="35"/>
      <c r="BI855" s="35"/>
      <c r="BJ855" s="35"/>
      <c r="BK855" s="35"/>
      <c r="BL855" s="35"/>
      <c r="BM855" s="35"/>
      <c r="BN855" s="35"/>
      <c r="BO855" s="78"/>
    </row>
    <row r="856" spans="1:67" s="20" customFormat="1" ht="15.75" customHeight="1" thickBot="1" x14ac:dyDescent="0.3">
      <c r="A856" s="520">
        <f>IFERROR(VLOOKUP($G$5,'רשימת רשויות'!A:C,3,0),0)</f>
        <v>0</v>
      </c>
      <c r="B856" s="520">
        <f t="shared" si="121"/>
        <v>0</v>
      </c>
      <c r="C856" s="39"/>
      <c r="D856" s="1134"/>
      <c r="E856" s="1137"/>
      <c r="F856" s="584" t="s">
        <v>144</v>
      </c>
      <c r="G856" s="87">
        <f>IF(G859="תקין",IFERROR(VLOOKUP($G854,'דוח ביצוע (3)'!$B$21:$Q$900,12,0),0),0)</f>
        <v>0</v>
      </c>
      <c r="H856" s="88">
        <f>IFERROR(G857*$AH$6+G858*$AH$7,0)</f>
        <v>0</v>
      </c>
      <c r="I856" s="88">
        <f>IFERROR(G857*$AI$6+G858*$AI$7,0)</f>
        <v>0</v>
      </c>
      <c r="J856" s="88">
        <f>IFERROR(G857*$AJ$6+G858*$AJ$7,0)</f>
        <v>0</v>
      </c>
      <c r="K856" s="88">
        <f>IFERROR(G857*$AK$6+G858*$AK$7,0)</f>
        <v>0</v>
      </c>
      <c r="L856" s="405"/>
      <c r="M856" s="399" t="s">
        <v>427</v>
      </c>
      <c r="N856" s="400" t="str">
        <f>IFERROR(VLOOKUP($G854,'דוח ביצוע (3)'!$B:$AE,28,0),"")</f>
        <v/>
      </c>
      <c r="O856" s="89" t="str">
        <f>IFERROR(VLOOKUP($G854,'דוח ביצוע (3)'!B:AE,29,0),"")</f>
        <v/>
      </c>
      <c r="P856" s="595"/>
      <c r="Q856" s="595"/>
      <c r="R856" s="596"/>
      <c r="S856" s="610"/>
      <c r="T856" s="881"/>
      <c r="U856" s="598"/>
      <c r="V856" s="599"/>
      <c r="W856" s="599"/>
      <c r="X856" s="599"/>
      <c r="Y856" s="879"/>
      <c r="Z856" s="85"/>
      <c r="AC856" s="493"/>
      <c r="AD856" s="495"/>
      <c r="AO856" s="22"/>
      <c r="AP856" s="22"/>
      <c r="AQ856" s="22"/>
      <c r="AR856" s="22"/>
      <c r="AS856" s="22"/>
      <c r="AT856" s="22"/>
      <c r="AU856" s="35"/>
      <c r="AV856" s="35"/>
      <c r="AW856" s="35"/>
      <c r="AX856" s="35"/>
      <c r="AY856" s="35"/>
      <c r="AZ856" s="35"/>
      <c r="BA856" s="35"/>
      <c r="BB856" s="35"/>
      <c r="BC856" s="35"/>
      <c r="BD856" s="35"/>
      <c r="BE856" s="35"/>
      <c r="BF856" s="35"/>
      <c r="BG856" s="35"/>
      <c r="BH856" s="35"/>
      <c r="BI856" s="35"/>
      <c r="BJ856" s="35"/>
      <c r="BK856" s="35"/>
      <c r="BL856" s="35"/>
      <c r="BM856" s="35"/>
      <c r="BN856" s="35"/>
      <c r="BO856" s="78"/>
    </row>
    <row r="857" spans="1:67" s="20" customFormat="1" ht="32.25" thickBot="1" x14ac:dyDescent="0.3">
      <c r="A857" s="520">
        <f>IFERROR(VLOOKUP($G$5,'רשימת רשויות'!A:C,3,0),0)</f>
        <v>0</v>
      </c>
      <c r="B857" s="520">
        <f t="shared" si="121"/>
        <v>0</v>
      </c>
      <c r="C857" s="39"/>
      <c r="D857" s="1134"/>
      <c r="E857" s="1137"/>
      <c r="F857" s="585" t="s">
        <v>2195</v>
      </c>
      <c r="G857" s="89">
        <f>IF(G859="תקין",MAX(N859,0),0)</f>
        <v>0</v>
      </c>
      <c r="H857" s="725" t="s">
        <v>151</v>
      </c>
      <c r="I857" s="725" t="s">
        <v>91</v>
      </c>
      <c r="J857" s="970" t="s">
        <v>3396</v>
      </c>
      <c r="K857" s="601"/>
      <c r="L857" s="601"/>
      <c r="M857" s="983" t="s">
        <v>2585</v>
      </c>
      <c r="N857" s="400" t="str">
        <f>IFERROR(G856/15*N856*1.25,"")</f>
        <v/>
      </c>
      <c r="O857" s="89" t="str">
        <f>IFERROR(G856/15*O856*1.25,"")</f>
        <v/>
      </c>
      <c r="P857" s="595"/>
      <c r="Q857" s="595"/>
      <c r="R857" s="596"/>
      <c r="S857" s="610"/>
      <c r="T857" s="881"/>
      <c r="U857" s="598"/>
      <c r="V857" s="599"/>
      <c r="W857" s="599"/>
      <c r="X857" s="599"/>
      <c r="Y857" s="879"/>
      <c r="Z857" s="85"/>
      <c r="AC857" s="493"/>
      <c r="AD857" s="495"/>
      <c r="AG857" s="22"/>
      <c r="AH857" s="55"/>
      <c r="AI857" s="55"/>
      <c r="AJ857" s="55"/>
      <c r="AK857" s="55"/>
      <c r="AO857" s="22"/>
      <c r="AP857" s="22"/>
      <c r="AQ857" s="22"/>
      <c r="AR857" s="22"/>
      <c r="AS857" s="22"/>
      <c r="AT857" s="22"/>
      <c r="AU857" s="35"/>
      <c r="AV857" s="35"/>
      <c r="AW857" s="35"/>
      <c r="AX857" s="35"/>
      <c r="AY857" s="35"/>
      <c r="AZ857" s="35"/>
      <c r="BA857" s="35"/>
      <c r="BB857" s="35"/>
      <c r="BC857" s="35"/>
      <c r="BD857" s="35"/>
      <c r="BE857" s="35"/>
      <c r="BF857" s="35"/>
      <c r="BG857" s="35"/>
      <c r="BH857" s="35"/>
      <c r="BI857" s="35"/>
      <c r="BJ857" s="35"/>
      <c r="BK857" s="35"/>
      <c r="BL857" s="35"/>
      <c r="BM857" s="35"/>
      <c r="BN857" s="35"/>
      <c r="BO857" s="86"/>
    </row>
    <row r="858" spans="1:67" s="20" customFormat="1" ht="16.5" thickBot="1" x14ac:dyDescent="0.3">
      <c r="A858" s="520">
        <f>IFERROR(VLOOKUP($G$5,'רשימת רשויות'!A:C,3,0),0)</f>
        <v>0</v>
      </c>
      <c r="B858" s="520">
        <f t="shared" si="121"/>
        <v>0</v>
      </c>
      <c r="C858" s="39"/>
      <c r="D858" s="1134"/>
      <c r="E858" s="1137"/>
      <c r="F858" s="585" t="s">
        <v>2196</v>
      </c>
      <c r="G858" s="89">
        <f>IF(G859="תקין",MAX(O859,0),0)</f>
        <v>0</v>
      </c>
      <c r="H858" s="88">
        <f>(IFERROR(IF((G857+G858)=0,0,IF(G855="קטן",G856*$AH$10,G856*$AH$11)),0))+(IFERROR(IF((G857+G858)=0,0,VLOOKUP(G854,'דוח ביצוע (3)'!$B:$AH,33,0)),0))</f>
        <v>0</v>
      </c>
      <c r="I858" s="88">
        <f>IFERROR(IF((G857+G858)=0,0,IF(G855="קטן",G856*$AI$10,G856*$AI$11)),0)</f>
        <v>0</v>
      </c>
      <c r="J858" s="88">
        <f>IFERROR(IF((G857+G858)=0,0,VLOOKUP(G854,'דוח ביצוע (3)'!$B:$AH,32,0)),0)</f>
        <v>0</v>
      </c>
      <c r="K858" s="90"/>
      <c r="L858" s="90"/>
      <c r="M858" s="399" t="s">
        <v>412</v>
      </c>
      <c r="N858" s="400">
        <f>IFERROR(VLOOKUP($G854,'דוח ביצוע (3)'!$B$21:$U$500,18,0),0)</f>
        <v>0</v>
      </c>
      <c r="O858" s="401">
        <f>IFERROR(VLOOKUP($G854,'דוח ביצוע (3)'!$B$21:$U$500,19,0),0)</f>
        <v>0</v>
      </c>
      <c r="P858" s="595"/>
      <c r="Q858" s="595"/>
      <c r="R858" s="596"/>
      <c r="S858" s="610"/>
      <c r="T858" s="881"/>
      <c r="U858" s="598"/>
      <c r="V858" s="599"/>
      <c r="W858" s="599"/>
      <c r="X858" s="599"/>
      <c r="Y858" s="879"/>
      <c r="Z858" s="85"/>
      <c r="AC858" s="493"/>
      <c r="AD858" s="495"/>
      <c r="AG858" s="22"/>
      <c r="AH858" s="55"/>
      <c r="AI858" s="55"/>
      <c r="AJ858" s="55"/>
      <c r="AK858" s="55"/>
      <c r="AO858" s="22"/>
      <c r="AP858" s="22"/>
      <c r="AQ858" s="22"/>
      <c r="AR858" s="22"/>
      <c r="AS858" s="22"/>
      <c r="AT858" s="22"/>
      <c r="AU858" s="35"/>
      <c r="AV858" s="35"/>
      <c r="AW858" s="35"/>
      <c r="AX858" s="35"/>
      <c r="AY858" s="35"/>
      <c r="AZ858" s="35"/>
      <c r="BA858" s="35"/>
      <c r="BB858" s="35"/>
      <c r="BC858" s="35"/>
      <c r="BD858" s="35"/>
      <c r="BE858" s="35"/>
      <c r="BF858" s="35"/>
      <c r="BG858" s="35"/>
      <c r="BH858" s="35"/>
      <c r="BI858" s="35"/>
      <c r="BJ858" s="35"/>
      <c r="BK858" s="35"/>
      <c r="BL858" s="35"/>
      <c r="BM858" s="35"/>
      <c r="BN858" s="35"/>
      <c r="BO858" s="86"/>
    </row>
    <row r="859" spans="1:67" s="20" customFormat="1" ht="16.5" thickBot="1" x14ac:dyDescent="0.3">
      <c r="A859" s="520">
        <f>IFERROR(VLOOKUP($G$5,'רשימת רשויות'!A:C,3,0),0)</f>
        <v>0</v>
      </c>
      <c r="B859" s="520">
        <f t="shared" si="121"/>
        <v>0</v>
      </c>
      <c r="C859" s="39"/>
      <c r="D859" s="1134"/>
      <c r="E859" s="1137"/>
      <c r="F859" s="586" t="s">
        <v>2355</v>
      </c>
      <c r="G859" s="514">
        <f>IFERROR(IF(VLOOKUP('בית ספר - תקצוב לפי מוסד (9)'!G854,' איוש משרות (8)'!$C:$K,9,0)="תקין","תקין","לא תקין"),0)</f>
        <v>0</v>
      </c>
      <c r="H859" s="91"/>
      <c r="I859" s="91"/>
      <c r="J859" s="91"/>
      <c r="K859" s="90"/>
      <c r="L859" s="90"/>
      <c r="M859" s="402" t="s">
        <v>2586</v>
      </c>
      <c r="N859" s="403">
        <f>IFERROR(MIN(N857,N858),0)</f>
        <v>0</v>
      </c>
      <c r="O859" s="404">
        <f>IFERROR(MIN(O857,O858),0)</f>
        <v>0</v>
      </c>
      <c r="P859" s="595"/>
      <c r="Q859" s="595"/>
      <c r="R859" s="596"/>
      <c r="S859" s="610"/>
      <c r="T859" s="881"/>
      <c r="U859" s="598"/>
      <c r="V859" s="599"/>
      <c r="W859" s="599"/>
      <c r="X859" s="599"/>
      <c r="Y859" s="879"/>
      <c r="Z859" s="85"/>
      <c r="AC859" s="493"/>
      <c r="AD859" s="495"/>
      <c r="AG859" s="94"/>
      <c r="AH859" s="40"/>
      <c r="AI859" s="40"/>
      <c r="AJ859" s="40"/>
      <c r="AK859" s="40"/>
      <c r="AO859" s="22"/>
      <c r="AP859" s="22"/>
      <c r="AQ859" s="22"/>
      <c r="AR859" s="22"/>
      <c r="AS859" s="22"/>
      <c r="AT859" s="22"/>
      <c r="AU859" s="35"/>
      <c r="AV859" s="35"/>
      <c r="AW859" s="35"/>
      <c r="AX859" s="35"/>
      <c r="AY859" s="35"/>
      <c r="AZ859" s="35"/>
      <c r="BA859" s="35"/>
      <c r="BB859" s="35"/>
      <c r="BC859" s="35"/>
      <c r="BD859" s="35"/>
      <c r="BE859" s="35"/>
      <c r="BF859" s="35"/>
      <c r="BG859" s="35"/>
      <c r="BH859" s="35"/>
      <c r="BI859" s="35"/>
      <c r="BJ859" s="35"/>
      <c r="BK859" s="35"/>
      <c r="BL859" s="35"/>
      <c r="BM859" s="35"/>
      <c r="BN859" s="35"/>
      <c r="BO859" s="86"/>
    </row>
    <row r="860" spans="1:67" s="55" customFormat="1" ht="37.15" customHeight="1" thickBot="1" x14ac:dyDescent="0.3">
      <c r="A860" s="520">
        <f>IFERROR(VLOOKUP($G$5,'רשימת רשויות'!A:C,3,0),0)</f>
        <v>0</v>
      </c>
      <c r="B860" s="520">
        <f t="shared" si="121"/>
        <v>0</v>
      </c>
      <c r="C860" s="39"/>
      <c r="D860" s="1134"/>
      <c r="E860" s="1137"/>
      <c r="F860" s="587" t="s">
        <v>142</v>
      </c>
      <c r="G860" s="92"/>
      <c r="H860" s="92"/>
      <c r="I860" s="92"/>
      <c r="J860" s="92"/>
      <c r="K860" s="602"/>
      <c r="L860" s="602"/>
      <c r="M860" s="602"/>
      <c r="N860" s="602"/>
      <c r="O860" s="602"/>
      <c r="P860" s="595"/>
      <c r="Q860" s="595"/>
      <c r="R860" s="596"/>
      <c r="S860" s="610"/>
      <c r="T860" s="881"/>
      <c r="U860" s="598"/>
      <c r="V860" s="599"/>
      <c r="W860" s="599"/>
      <c r="X860" s="599"/>
      <c r="Y860" s="879"/>
      <c r="Z860" s="93"/>
      <c r="AC860" s="493"/>
      <c r="AD860" s="495"/>
      <c r="AF860" s="22"/>
      <c r="AG860" s="98"/>
      <c r="AH860" s="98"/>
      <c r="AI860" s="40"/>
      <c r="AJ860" s="40"/>
      <c r="AK860" s="40"/>
      <c r="AO860" s="22"/>
      <c r="AP860" s="22"/>
      <c r="AQ860" s="22"/>
      <c r="AR860" s="22"/>
      <c r="AS860" s="22"/>
      <c r="AT860" s="22"/>
      <c r="AU860" s="35"/>
      <c r="AV860" s="35"/>
      <c r="AW860" s="35"/>
      <c r="AX860" s="35"/>
      <c r="AY860" s="35"/>
      <c r="AZ860" s="35"/>
      <c r="BA860" s="35"/>
      <c r="BB860" s="35"/>
      <c r="BC860" s="35"/>
      <c r="BD860" s="35"/>
      <c r="BE860" s="35"/>
      <c r="BF860" s="35"/>
      <c r="BG860" s="35"/>
      <c r="BH860" s="35"/>
      <c r="BI860" s="35"/>
      <c r="BJ860" s="35"/>
      <c r="BK860" s="35"/>
      <c r="BL860" s="35"/>
      <c r="BM860" s="35"/>
      <c r="BN860" s="35"/>
      <c r="BO860" s="86"/>
    </row>
    <row r="861" spans="1:67" s="40" customFormat="1" ht="31.5" x14ac:dyDescent="0.25">
      <c r="A861" s="520">
        <f>IFERROR(VLOOKUP($G$5,'רשימת רשויות'!A:C,3,0),0)</f>
        <v>0</v>
      </c>
      <c r="B861" s="520">
        <f t="shared" si="121"/>
        <v>0</v>
      </c>
      <c r="C861" s="39"/>
      <c r="D861" s="1134"/>
      <c r="E861" s="1137"/>
      <c r="F861" s="588" t="s">
        <v>94</v>
      </c>
      <c r="G861" s="95" t="s">
        <v>18</v>
      </c>
      <c r="H861" s="95" t="s">
        <v>19</v>
      </c>
      <c r="I861" s="95" t="s">
        <v>138</v>
      </c>
      <c r="J861" s="96" t="s">
        <v>139</v>
      </c>
      <c r="K861" s="603"/>
      <c r="L861" s="603"/>
      <c r="M861" s="603"/>
      <c r="N861" s="603"/>
      <c r="O861" s="603"/>
      <c r="P861" s="604"/>
      <c r="Q861" s="604"/>
      <c r="R861" s="596"/>
      <c r="S861" s="610"/>
      <c r="T861" s="881"/>
      <c r="U861" s="598"/>
      <c r="V861" s="599"/>
      <c r="W861" s="599"/>
      <c r="X861" s="599"/>
      <c r="Y861" s="879"/>
      <c r="Z861" s="97"/>
      <c r="AA861" s="94"/>
      <c r="AB861" s="94"/>
      <c r="AC861" s="493"/>
      <c r="AD861" s="495"/>
      <c r="AE861" s="94"/>
      <c r="AG861" s="98"/>
      <c r="AH861" s="98"/>
      <c r="AO861" s="22"/>
      <c r="AP861" s="22"/>
      <c r="AQ861" s="22"/>
      <c r="AR861" s="22"/>
      <c r="AS861" s="22"/>
      <c r="AT861" s="22"/>
      <c r="AU861" s="35"/>
      <c r="AV861" s="35"/>
      <c r="AW861" s="35"/>
      <c r="AX861" s="35"/>
      <c r="AY861" s="35"/>
      <c r="AZ861" s="35"/>
      <c r="BA861" s="35"/>
      <c r="BB861" s="35"/>
      <c r="BC861" s="35"/>
      <c r="BD861" s="35"/>
      <c r="BE861" s="35"/>
      <c r="BF861" s="35"/>
      <c r="BG861" s="35"/>
      <c r="BH861" s="35"/>
      <c r="BI861" s="35"/>
      <c r="BJ861" s="35"/>
      <c r="BK861" s="35"/>
      <c r="BL861" s="35"/>
      <c r="BM861" s="35"/>
      <c r="BN861" s="35"/>
      <c r="BO861" s="86"/>
    </row>
    <row r="862" spans="1:67" s="40" customFormat="1" ht="15.75" customHeight="1" thickBot="1" x14ac:dyDescent="0.3">
      <c r="A862" s="520">
        <f>IFERROR(VLOOKUP($G$5,'רשימת רשויות'!A:C,3,0),0)</f>
        <v>0</v>
      </c>
      <c r="B862" s="520">
        <f t="shared" si="121"/>
        <v>0</v>
      </c>
      <c r="C862" s="39"/>
      <c r="D862" s="1134"/>
      <c r="E862" s="1137"/>
      <c r="F862" s="589" t="s">
        <v>2280</v>
      </c>
      <c r="G862" s="99">
        <f>+G873</f>
        <v>0</v>
      </c>
      <c r="H862" s="100">
        <f>K856</f>
        <v>0</v>
      </c>
      <c r="I862" s="100">
        <f>H862-I864</f>
        <v>0</v>
      </c>
      <c r="J862" s="101">
        <f>IFERROR(I862/H862,0)</f>
        <v>0</v>
      </c>
      <c r="K862" s="603"/>
      <c r="L862" s="603"/>
      <c r="M862" s="603"/>
      <c r="N862" s="603"/>
      <c r="O862" s="603"/>
      <c r="P862" s="605"/>
      <c r="Q862" s="604"/>
      <c r="R862" s="606" t="s">
        <v>157</v>
      </c>
      <c r="S862" s="611"/>
      <c r="T862" s="881"/>
      <c r="U862" s="598"/>
      <c r="V862" s="599"/>
      <c r="W862" s="599"/>
      <c r="X862" s="599"/>
      <c r="Y862" s="879"/>
      <c r="Z862" s="102"/>
      <c r="AA862" s="122"/>
      <c r="AB862" s="122"/>
      <c r="AC862" s="493"/>
      <c r="AD862" s="495"/>
      <c r="AE862" s="122"/>
      <c r="AF862" s="22"/>
      <c r="AG862" s="98"/>
      <c r="AH862" s="98"/>
      <c r="AI862" s="20"/>
      <c r="AO862" s="22"/>
      <c r="AP862" s="22"/>
      <c r="AQ862" s="22"/>
      <c r="AR862" s="22"/>
      <c r="AS862" s="22"/>
      <c r="AT862" s="22"/>
      <c r="AU862" s="35"/>
      <c r="AV862" s="35"/>
      <c r="AW862" s="35"/>
      <c r="AX862" s="35"/>
      <c r="AY862" s="35"/>
      <c r="AZ862" s="35"/>
      <c r="BA862" s="35"/>
      <c r="BB862" s="35"/>
      <c r="BC862" s="35"/>
      <c r="BD862" s="35"/>
      <c r="BE862" s="35"/>
      <c r="BF862" s="35"/>
      <c r="BG862" s="35"/>
      <c r="BH862" s="35"/>
      <c r="BI862" s="35"/>
      <c r="BJ862" s="35"/>
      <c r="BK862" s="35"/>
      <c r="BL862" s="35"/>
      <c r="BM862" s="35"/>
      <c r="BN862" s="35"/>
      <c r="BO862" s="86"/>
    </row>
    <row r="863" spans="1:67" s="40" customFormat="1" ht="15.75" customHeight="1" thickBot="1" x14ac:dyDescent="0.3">
      <c r="A863" s="520">
        <f>IFERROR(VLOOKUP($G$5,'רשימת רשויות'!A:C,3,0),0)</f>
        <v>0</v>
      </c>
      <c r="B863" s="520">
        <f t="shared" si="121"/>
        <v>0</v>
      </c>
      <c r="C863" s="39"/>
      <c r="D863" s="1134"/>
      <c r="E863" s="1137"/>
      <c r="F863" s="589" t="s">
        <v>2281</v>
      </c>
      <c r="G863" s="99">
        <f>+G872</f>
        <v>0</v>
      </c>
      <c r="H863" s="103"/>
      <c r="I863" s="104"/>
      <c r="J863" s="105"/>
      <c r="K863" s="603"/>
      <c r="L863" s="603"/>
      <c r="M863" s="603"/>
      <c r="N863" s="603"/>
      <c r="O863" s="603"/>
      <c r="P863" s="605"/>
      <c r="Q863" s="604"/>
      <c r="R863" s="473">
        <f>I864-R865</f>
        <v>0</v>
      </c>
      <c r="S863" s="611"/>
      <c r="T863" s="881"/>
      <c r="U863" s="598"/>
      <c r="V863" s="599"/>
      <c r="W863" s="599"/>
      <c r="X863" s="599"/>
      <c r="Y863" s="879"/>
      <c r="Z863" s="106"/>
      <c r="AA863" s="22"/>
      <c r="AB863" s="22"/>
      <c r="AC863" s="493"/>
      <c r="AD863" s="495"/>
      <c r="AE863" s="22"/>
      <c r="AF863" s="22"/>
      <c r="AG863" s="98"/>
      <c r="AH863" s="98"/>
      <c r="AI863" s="20"/>
      <c r="AO863" s="22"/>
      <c r="AP863" s="22"/>
      <c r="AQ863" s="22"/>
      <c r="AR863" s="22"/>
      <c r="AS863" s="22"/>
      <c r="AT863" s="22"/>
      <c r="AU863" s="35"/>
      <c r="AV863" s="35"/>
      <c r="AW863" s="35"/>
      <c r="AX863" s="35"/>
      <c r="AY863" s="35"/>
      <c r="AZ863" s="35"/>
      <c r="BA863" s="35"/>
      <c r="BB863" s="35"/>
      <c r="BC863" s="35"/>
      <c r="BD863" s="35"/>
      <c r="BE863" s="35"/>
      <c r="BF863" s="35"/>
      <c r="BG863" s="35"/>
      <c r="BH863" s="35"/>
      <c r="BI863" s="35"/>
      <c r="BJ863" s="35"/>
      <c r="BK863" s="35"/>
      <c r="BL863" s="35"/>
      <c r="BM863" s="35"/>
      <c r="BN863" s="35"/>
      <c r="BO863" s="86"/>
    </row>
    <row r="864" spans="1:67" s="40" customFormat="1" ht="16.5" customHeight="1" thickBot="1" x14ac:dyDescent="0.3">
      <c r="A864" s="520">
        <f>IFERROR(VLOOKUP($G$5,'רשימת רשויות'!A:C,3,0),0)</f>
        <v>0</v>
      </c>
      <c r="B864" s="520">
        <f t="shared" si="121"/>
        <v>0</v>
      </c>
      <c r="C864" s="39"/>
      <c r="D864" s="1134"/>
      <c r="E864" s="1137"/>
      <c r="F864" s="589" t="s">
        <v>2282</v>
      </c>
      <c r="G864" s="99">
        <f>G868+G869+G870</f>
        <v>0</v>
      </c>
      <c r="H864" s="104"/>
      <c r="I864" s="107">
        <f>MAX(H862-G862-G863,0)</f>
        <v>0</v>
      </c>
      <c r="J864" s="108">
        <f>IFERROR(I864/H862,0)</f>
        <v>0</v>
      </c>
      <c r="K864" s="603"/>
      <c r="L864" s="603"/>
      <c r="M864" s="603"/>
      <c r="N864" s="603"/>
      <c r="O864" s="603"/>
      <c r="P864" s="604"/>
      <c r="Q864" s="604"/>
      <c r="R864" s="606" t="s">
        <v>158</v>
      </c>
      <c r="S864" s="612"/>
      <c r="T864" s="881"/>
      <c r="U864" s="598"/>
      <c r="V864" s="599"/>
      <c r="W864" s="599"/>
      <c r="X864" s="599"/>
      <c r="Y864" s="879"/>
      <c r="Z864" s="106"/>
      <c r="AA864" s="22"/>
      <c r="AB864" s="22"/>
      <c r="AC864" s="493"/>
      <c r="AD864" s="495"/>
      <c r="AE864" s="22"/>
      <c r="AF864" s="22"/>
      <c r="AG864" s="22"/>
      <c r="AH864" s="22"/>
      <c r="AI864" s="55"/>
      <c r="AJ864" s="22"/>
      <c r="AK864" s="22"/>
      <c r="AO864" s="22"/>
      <c r="AP864" s="22"/>
      <c r="AQ864" s="22"/>
      <c r="AR864" s="22"/>
      <c r="AS864" s="22"/>
      <c r="AT864" s="22"/>
      <c r="AU864" s="35"/>
      <c r="AV864" s="35"/>
      <c r="AW864" s="35"/>
      <c r="AX864" s="35"/>
      <c r="AY864" s="35"/>
      <c r="AZ864" s="35"/>
      <c r="BA864" s="35"/>
      <c r="BB864" s="35"/>
      <c r="BC864" s="35"/>
      <c r="BD864" s="35"/>
      <c r="BE864" s="35"/>
      <c r="BF864" s="35"/>
      <c r="BG864" s="35"/>
      <c r="BH864" s="35"/>
      <c r="BI864" s="35"/>
      <c r="BJ864" s="35"/>
      <c r="BK864" s="35"/>
      <c r="BL864" s="35"/>
      <c r="BM864" s="35"/>
      <c r="BN864" s="35"/>
      <c r="BO864" s="86"/>
    </row>
    <row r="865" spans="1:67" s="40" customFormat="1" ht="15.75" customHeight="1" thickBot="1" x14ac:dyDescent="0.3">
      <c r="A865" s="520">
        <f>IFERROR(VLOOKUP($G$5,'רשימת רשויות'!A:C,3,0),0)</f>
        <v>0</v>
      </c>
      <c r="B865" s="520">
        <f t="shared" si="121"/>
        <v>0</v>
      </c>
      <c r="C865" s="39"/>
      <c r="D865" s="1134"/>
      <c r="E865" s="1137"/>
      <c r="F865" s="590" t="s">
        <v>2290</v>
      </c>
      <c r="G865" s="109"/>
      <c r="H865" s="110"/>
      <c r="I865" s="111">
        <f>SUM(I862:I864)</f>
        <v>0</v>
      </c>
      <c r="J865" s="112">
        <f>SUM(J862:J864)</f>
        <v>0</v>
      </c>
      <c r="K865" s="603"/>
      <c r="L865" s="603"/>
      <c r="M865" s="603"/>
      <c r="N865" s="603"/>
      <c r="O865" s="603"/>
      <c r="P865" s="604"/>
      <c r="Q865" s="604"/>
      <c r="R865" s="473">
        <f>MIN(MAX(G869+G870-I858-J858,0),I864)</f>
        <v>0</v>
      </c>
      <c r="S865" s="612"/>
      <c r="T865" s="881"/>
      <c r="U865" s="598"/>
      <c r="V865" s="599"/>
      <c r="W865" s="599"/>
      <c r="X865" s="599"/>
      <c r="Y865" s="879"/>
      <c r="Z865" s="106"/>
      <c r="AA865" s="22"/>
      <c r="AB865" s="22"/>
      <c r="AC865" s="493"/>
      <c r="AD865" s="495"/>
      <c r="AE865" s="22"/>
      <c r="AF865" s="22"/>
      <c r="AG865" s="22"/>
      <c r="AH865" s="22"/>
      <c r="AJ865" s="22"/>
      <c r="AK865" s="22"/>
      <c r="AO865" s="22"/>
      <c r="AP865" s="22"/>
      <c r="AQ865" s="22"/>
      <c r="AR865" s="22"/>
      <c r="AS865" s="22"/>
      <c r="AT865" s="22"/>
      <c r="AU865" s="35"/>
      <c r="AV865" s="35"/>
      <c r="AW865" s="35"/>
      <c r="AX865" s="35"/>
      <c r="AY865" s="35"/>
      <c r="AZ865" s="35"/>
      <c r="BA865" s="35"/>
      <c r="BB865" s="35"/>
      <c r="BC865" s="35"/>
      <c r="BD865" s="35"/>
      <c r="BE865" s="35"/>
      <c r="BF865" s="35"/>
      <c r="BG865" s="35"/>
      <c r="BH865" s="35"/>
      <c r="BI865" s="35"/>
      <c r="BJ865" s="35"/>
      <c r="BK865" s="35"/>
      <c r="BL865" s="35"/>
      <c r="BM865" s="35"/>
      <c r="BN865" s="35"/>
      <c r="BO865" s="86"/>
    </row>
    <row r="866" spans="1:67" ht="16.5" thickBot="1" x14ac:dyDescent="0.3">
      <c r="A866" s="520">
        <f>IFERROR(VLOOKUP($G$5,'רשימת רשויות'!A:C,3,0),0)</f>
        <v>0</v>
      </c>
      <c r="B866" s="520">
        <f t="shared" si="121"/>
        <v>0</v>
      </c>
      <c r="D866" s="1134"/>
      <c r="E866" s="1137"/>
      <c r="F866" s="587" t="s">
        <v>17</v>
      </c>
      <c r="G866" s="113"/>
      <c r="H866" s="92"/>
      <c r="I866" s="114"/>
      <c r="J866" s="115"/>
      <c r="K866" s="116"/>
      <c r="L866" s="406"/>
      <c r="M866" s="116"/>
      <c r="N866" s="116"/>
      <c r="O866" s="116"/>
      <c r="P866" s="474"/>
      <c r="Q866" s="607"/>
      <c r="R866" s="608"/>
      <c r="S866" s="612"/>
      <c r="T866" s="881"/>
      <c r="U866" s="598"/>
      <c r="V866" s="599"/>
      <c r="W866" s="599"/>
      <c r="X866" s="599"/>
      <c r="Y866" s="879"/>
      <c r="Z866" s="106"/>
      <c r="AI866" s="40"/>
      <c r="BO866" s="86"/>
    </row>
    <row r="867" spans="1:67" ht="47.25" x14ac:dyDescent="0.25">
      <c r="A867" s="520">
        <f>IFERROR(VLOOKUP($G$5,'רשימת רשויות'!A:C,3,0),0)</f>
        <v>0</v>
      </c>
      <c r="B867" s="520">
        <f t="shared" si="121"/>
        <v>0</v>
      </c>
      <c r="D867" s="1134"/>
      <c r="E867" s="1137"/>
      <c r="F867" s="588" t="s">
        <v>2</v>
      </c>
      <c r="G867" s="95" t="s">
        <v>18</v>
      </c>
      <c r="H867" s="95" t="s">
        <v>19</v>
      </c>
      <c r="I867" s="95" t="s">
        <v>20</v>
      </c>
      <c r="J867" s="95" t="s">
        <v>22</v>
      </c>
      <c r="K867" s="96" t="s">
        <v>2314</v>
      </c>
      <c r="L867" s="609"/>
      <c r="M867" s="609"/>
      <c r="N867" s="609"/>
      <c r="O867" s="580"/>
      <c r="P867" s="618" t="s">
        <v>2298</v>
      </c>
      <c r="Q867" s="618" t="s">
        <v>2299</v>
      </c>
      <c r="R867" s="596"/>
      <c r="S867" s="890" t="s">
        <v>2519</v>
      </c>
      <c r="T867" s="890" t="s">
        <v>97</v>
      </c>
      <c r="U867" s="891" t="s">
        <v>2521</v>
      </c>
      <c r="V867" s="892" t="s">
        <v>2520</v>
      </c>
      <c r="W867" s="893" t="s">
        <v>2524</v>
      </c>
      <c r="X867" s="892" t="s">
        <v>2522</v>
      </c>
      <c r="Y867" s="894" t="s">
        <v>2523</v>
      </c>
      <c r="Z867" s="106"/>
      <c r="AC867" s="498" t="s">
        <v>2568</v>
      </c>
      <c r="AD867" s="499" t="s">
        <v>2569</v>
      </c>
      <c r="AF867" s="122"/>
      <c r="AI867" s="40"/>
      <c r="BO867" s="86"/>
    </row>
    <row r="868" spans="1:67" ht="15" customHeight="1" thickBot="1" x14ac:dyDescent="0.3">
      <c r="A868" s="520">
        <f>IFERROR(VLOOKUP($G$5,'רשימת רשויות'!A:C,3,0),0)</f>
        <v>0</v>
      </c>
      <c r="B868" s="520">
        <f t="shared" si="121"/>
        <v>0</v>
      </c>
      <c r="D868" s="1134"/>
      <c r="E868" s="1137"/>
      <c r="F868" s="589" t="s">
        <v>76</v>
      </c>
      <c r="G868" s="117">
        <f>IF(G859="תקין",SUMIF('עלויות כח אדם (6)'!$B$15:$B$3014,'בית ספר - תקצוב לפי מוסד (9)'!$G854,'עלויות כח אדם (6)'!$M$15:$M$3014)-VLOOKUP('בית ספר - תקצוב לפי מוסד (9)'!G854,' איוש משרות (8)'!$C:$H,5,0)-VLOOKUP('בית ספר - תקצוב לפי מוסד (9)'!G854,' איוש משרות (8)'!$C:$H,6,0),0)-Y868</f>
        <v>0</v>
      </c>
      <c r="H868" s="118">
        <f>I856+R863</f>
        <v>0</v>
      </c>
      <c r="I868" s="119">
        <f>IFERROR(SUM(G868)/H868,0)</f>
        <v>0</v>
      </c>
      <c r="J868" s="100">
        <f>MIN(I856+R863,IF(ISNUMBER(G868),G868,0))</f>
        <v>0</v>
      </c>
      <c r="K868" s="120">
        <f>MAX(H868-G868,0)</f>
        <v>0</v>
      </c>
      <c r="L868" s="407"/>
      <c r="M868" s="393"/>
      <c r="N868" s="393"/>
      <c r="O868" s="580"/>
      <c r="P868" s="968">
        <f>IFERROR(IF(SUM(G868)/(I856)&lt;100%,MIN((I856)-SUM(G868),(I856)*0.25),0),0)</f>
        <v>0</v>
      </c>
      <c r="Q868" s="968">
        <f>IF(SUM(G868)-(I856+R863)&gt;0,SUM(G868)-(I856+R863),0)</f>
        <v>0</v>
      </c>
      <c r="R868" s="596" t="s">
        <v>2351</v>
      </c>
      <c r="S868" s="576" t="s">
        <v>2342</v>
      </c>
      <c r="T868" s="599">
        <f>G854</f>
        <v>0</v>
      </c>
      <c r="U868" s="578"/>
      <c r="V868" s="579">
        <f>G868+G869+G870</f>
        <v>0</v>
      </c>
      <c r="W868" s="579">
        <f>U868-V868</f>
        <v>0</v>
      </c>
      <c r="X868" s="579">
        <f>IFERROR(W882*W868/(SUM(W868:W881)),0)</f>
        <v>0</v>
      </c>
      <c r="Y868" s="879">
        <f>SUMIFS(בקרה!$S:$S,בקרה!$D:$D,T868,בקרה!$K:$K,S868)</f>
        <v>0</v>
      </c>
      <c r="Z868" s="121"/>
      <c r="AA868" s="143"/>
      <c r="AB868" s="143"/>
      <c r="AC868" s="504">
        <v>0</v>
      </c>
      <c r="AD868" s="505">
        <f>IFERROR(U868-AC868,0)</f>
        <v>0</v>
      </c>
      <c r="AE868" s="143"/>
      <c r="AI868" s="20"/>
      <c r="BO868" s="86"/>
    </row>
    <row r="869" spans="1:67" ht="15" customHeight="1" thickBot="1" x14ac:dyDescent="0.3">
      <c r="A869" s="520">
        <f>IFERROR(VLOOKUP($G$5,'רשימת רשויות'!A:C,3,0),0)</f>
        <v>0</v>
      </c>
      <c r="B869" s="520">
        <f t="shared" si="121"/>
        <v>0</v>
      </c>
      <c r="D869" s="1134"/>
      <c r="E869" s="1137"/>
      <c r="F869" s="589" t="s">
        <v>44</v>
      </c>
      <c r="G869" s="123">
        <f>IF(G859="תקין",IFERROR(VLOOKUP('בית ספר - תקצוב לפי מוסד (9)'!G854,' איוש משרות (8)'!C:J,7,0),0),0)</f>
        <v>0</v>
      </c>
      <c r="H869" s="124">
        <f>I858+R865+J858</f>
        <v>0</v>
      </c>
      <c r="I869" s="119">
        <f>IFERROR(SUM(G869:G870)/H869,0)</f>
        <v>0</v>
      </c>
      <c r="J869" s="100">
        <f>MIN(R865+I858,IF(ISNUMBER(SUM(G869:G870)),SUM(G869:G870),0))</f>
        <v>0</v>
      </c>
      <c r="K869" s="1139">
        <f>MAX((H869)-(G869+G870),0)</f>
        <v>0</v>
      </c>
      <c r="L869" s="407"/>
      <c r="M869" s="393"/>
      <c r="N869" s="393"/>
      <c r="O869" s="580"/>
      <c r="P869" s="1140"/>
      <c r="Q869" s="1140"/>
      <c r="R869" s="617">
        <f>MAX(MIN(P877-Q877,H877*0.15-G875),0)</f>
        <v>0</v>
      </c>
      <c r="S869" s="576"/>
      <c r="T869" s="599">
        <f>G854</f>
        <v>0</v>
      </c>
      <c r="U869" s="578"/>
      <c r="V869" s="579"/>
      <c r="W869" s="579">
        <f t="shared" ref="W869:W881" si="122">U869-V869</f>
        <v>0</v>
      </c>
      <c r="X869" s="579"/>
      <c r="Y869" s="879"/>
      <c r="Z869" s="121"/>
      <c r="AA869" s="143"/>
      <c r="AB869" s="143"/>
      <c r="AC869" s="504"/>
      <c r="AD869" s="505">
        <f t="shared" ref="AD869:AD875" si="123">IFERROR(U869-AC869,0)</f>
        <v>0</v>
      </c>
      <c r="AE869" s="143"/>
      <c r="AI869" s="20"/>
      <c r="BO869" s="86"/>
    </row>
    <row r="870" spans="1:67" ht="15.75" customHeight="1" x14ac:dyDescent="0.25">
      <c r="A870" s="520">
        <f>IFERROR(VLOOKUP($G$5,'רשימת רשויות'!A:C,3,0),0)</f>
        <v>0</v>
      </c>
      <c r="B870" s="520">
        <f t="shared" si="121"/>
        <v>0</v>
      </c>
      <c r="D870" s="1134"/>
      <c r="E870" s="1137"/>
      <c r="F870" s="589" t="s">
        <v>45</v>
      </c>
      <c r="G870" s="123">
        <f>IF(G859="תקין",IFERROR(VLOOKUP('בית ספר - תקצוב לפי מוסד (9)'!G854,' איוש משרות (8)'!C:J,8,0),0),0)</f>
        <v>0</v>
      </c>
      <c r="H870" s="125"/>
      <c r="I870" s="126"/>
      <c r="J870" s="104"/>
      <c r="K870" s="1139"/>
      <c r="L870" s="407"/>
      <c r="M870" s="393"/>
      <c r="N870" s="393"/>
      <c r="O870" s="580"/>
      <c r="P870" s="1140"/>
      <c r="Q870" s="1140"/>
      <c r="R870" s="596"/>
      <c r="S870" s="576"/>
      <c r="T870" s="599">
        <f>G854</f>
        <v>0</v>
      </c>
      <c r="U870" s="578"/>
      <c r="V870" s="579"/>
      <c r="W870" s="579">
        <f t="shared" si="122"/>
        <v>0</v>
      </c>
      <c r="X870" s="579"/>
      <c r="Y870" s="879"/>
      <c r="Z870" s="121"/>
      <c r="AA870" s="143"/>
      <c r="AB870" s="143"/>
      <c r="AC870" s="504"/>
      <c r="AD870" s="505">
        <f t="shared" si="123"/>
        <v>0</v>
      </c>
      <c r="AE870" s="143"/>
      <c r="AG870" s="55"/>
      <c r="AH870" s="55"/>
      <c r="AI870" s="55"/>
      <c r="AJ870" s="55"/>
      <c r="AK870" s="55"/>
      <c r="BO870" s="86"/>
    </row>
    <row r="871" spans="1:67" ht="15.75" customHeight="1" x14ac:dyDescent="0.25">
      <c r="A871" s="520">
        <f>IFERROR(VLOOKUP($G$5,'רשימת רשויות'!A:C,3,0),0)</f>
        <v>0</v>
      </c>
      <c r="B871" s="520">
        <f t="shared" si="121"/>
        <v>0</v>
      </c>
      <c r="D871" s="1134"/>
      <c r="E871" s="1137"/>
      <c r="F871" s="589" t="s">
        <v>0</v>
      </c>
      <c r="G871" s="117">
        <f>IF(G859="תקין",SUMIFS('דוח הוצאות בפועל (4)'!$E$17:$E$3016,'דוח הוצאות בפועל (4)'!$B$17:$B$3016,'בית ספר - תקצוב לפי מוסד (9)'!$G854,'דוח הוצאות בפועל (4)'!$M$17:$M$3016,"הע"),0)-Y871</f>
        <v>0</v>
      </c>
      <c r="H871" s="127">
        <f>J856</f>
        <v>0</v>
      </c>
      <c r="I871" s="128">
        <f>IFERROR(G871/H871,0)</f>
        <v>0</v>
      </c>
      <c r="J871" s="129">
        <f>MIN(IF(ISNUMBER(G871),G871,0),H871)</f>
        <v>0</v>
      </c>
      <c r="K871" s="120">
        <f>MAX(H871-G871,0)</f>
        <v>0</v>
      </c>
      <c r="L871" s="407"/>
      <c r="M871" s="393"/>
      <c r="N871" s="393"/>
      <c r="O871" s="580"/>
      <c r="P871" s="968">
        <f>MAX(IF(I871&lt;100%,MIN((H871-G871),H871*0.25),0),0)</f>
        <v>0</v>
      </c>
      <c r="Q871" s="619">
        <f>IF(G871-H871&gt;0,G871-H871,0)</f>
        <v>0</v>
      </c>
      <c r="R871" s="596"/>
      <c r="S871" s="610" t="s">
        <v>0</v>
      </c>
      <c r="T871" s="599">
        <f>G854</f>
        <v>0</v>
      </c>
      <c r="U871" s="578"/>
      <c r="V871" s="579">
        <f>G871</f>
        <v>0</v>
      </c>
      <c r="W871" s="579">
        <f t="shared" si="122"/>
        <v>0</v>
      </c>
      <c r="X871" s="579">
        <f>IFERROR(W882*W871/(SUM(W868:W881)),0)</f>
        <v>0</v>
      </c>
      <c r="Y871" s="879">
        <f>SUMIFS(בקרה!$S:$S,בקרה!$D:$D,T871,בקרה!$K:$K,S871)</f>
        <v>0</v>
      </c>
      <c r="Z871" s="121"/>
      <c r="AA871" s="143"/>
      <c r="AB871" s="143"/>
      <c r="AC871" s="504">
        <v>0</v>
      </c>
      <c r="AD871" s="505">
        <f t="shared" si="123"/>
        <v>0</v>
      </c>
      <c r="AE871" s="143"/>
      <c r="AG871" s="55"/>
      <c r="AH871" s="55"/>
      <c r="AI871" s="40"/>
      <c r="AJ871" s="55"/>
      <c r="AK871" s="55"/>
      <c r="BO871" s="86"/>
    </row>
    <row r="872" spans="1:67" s="55" customFormat="1" ht="15.75" customHeight="1" x14ac:dyDescent="0.25">
      <c r="A872" s="520">
        <f>IFERROR(VLOOKUP($G$5,'רשימת רשויות'!A:C,3,0),0)</f>
        <v>0</v>
      </c>
      <c r="B872" s="520">
        <f t="shared" si="121"/>
        <v>0</v>
      </c>
      <c r="C872" s="39"/>
      <c r="D872" s="1134"/>
      <c r="E872" s="1137"/>
      <c r="F872" s="589" t="s">
        <v>93</v>
      </c>
      <c r="G872" s="130">
        <f>IF(G859="תקין",SUMIFS('דוח הוצאות בפועל (4)'!$E$17:$E$3016,'דוח הוצאות בפועל (4)'!$B$17:$B$3016,'בית ספר - תקצוב לפי מוסד (9)'!$G854,'דוח הוצאות בפועל (4)'!$M$17:$M$3016,"אר"),0)-Y872</f>
        <v>0</v>
      </c>
      <c r="H872" s="118">
        <f>$I862</f>
        <v>0</v>
      </c>
      <c r="I872" s="131">
        <f>IFERROR((G872+G873)/H872,0)</f>
        <v>0</v>
      </c>
      <c r="J872" s="100">
        <f>MIN((IF(ISNUMBER(G872),G872,0)+IF(ISNUMBER(G873),G873,0)),H872)</f>
        <v>0</v>
      </c>
      <c r="K872" s="1139">
        <f>MAX((H872)-(G872+G873),0)</f>
        <v>0</v>
      </c>
      <c r="L872" s="407"/>
      <c r="M872" s="393"/>
      <c r="N872" s="393"/>
      <c r="O872" s="602"/>
      <c r="P872" s="1141"/>
      <c r="Q872" s="1142"/>
      <c r="R872" s="596"/>
      <c r="S872" s="610" t="s">
        <v>93</v>
      </c>
      <c r="T872" s="599">
        <f>G854</f>
        <v>0</v>
      </c>
      <c r="U872" s="578"/>
      <c r="V872" s="579">
        <f t="shared" ref="V872:V873" si="124">G872</f>
        <v>0</v>
      </c>
      <c r="W872" s="579">
        <f t="shared" si="122"/>
        <v>0</v>
      </c>
      <c r="X872" s="579">
        <f>IFERROR(W882*W872/(SUM(W868:W881)),0)</f>
        <v>0</v>
      </c>
      <c r="Y872" s="879">
        <f>SUMIFS(בקרה!$S:$S,בקרה!$D:$D,T872,בקרה!$K:$K,S872)</f>
        <v>0</v>
      </c>
      <c r="Z872" s="121"/>
      <c r="AA872" s="143"/>
      <c r="AB872" s="143"/>
      <c r="AC872" s="504">
        <v>0</v>
      </c>
      <c r="AD872" s="505">
        <f t="shared" si="123"/>
        <v>0</v>
      </c>
      <c r="AE872" s="143"/>
      <c r="AJ872" s="22"/>
      <c r="AO872" s="22"/>
      <c r="AP872" s="22"/>
      <c r="AQ872" s="22"/>
      <c r="AR872" s="22"/>
      <c r="AS872" s="22"/>
      <c r="AT872" s="22"/>
      <c r="AU872" s="35"/>
      <c r="AV872" s="35"/>
      <c r="AW872" s="35"/>
      <c r="AX872" s="35"/>
      <c r="AY872" s="35"/>
      <c r="AZ872" s="35"/>
      <c r="BA872" s="35"/>
      <c r="BB872" s="35"/>
      <c r="BC872" s="35"/>
      <c r="BD872" s="35"/>
      <c r="BE872" s="35"/>
      <c r="BF872" s="35"/>
      <c r="BG872" s="35"/>
      <c r="BH872" s="35"/>
      <c r="BI872" s="35"/>
      <c r="BJ872" s="35"/>
      <c r="BK872" s="35"/>
      <c r="BL872" s="35"/>
      <c r="BM872" s="35"/>
      <c r="BN872" s="35"/>
      <c r="BO872" s="86"/>
    </row>
    <row r="873" spans="1:67" s="55" customFormat="1" ht="15.75" customHeight="1" x14ac:dyDescent="0.25">
      <c r="A873" s="520">
        <f>IFERROR(VLOOKUP($G$5,'רשימת רשויות'!A:C,3,0),0)</f>
        <v>0</v>
      </c>
      <c r="B873" s="520">
        <f t="shared" si="121"/>
        <v>0</v>
      </c>
      <c r="C873" s="39"/>
      <c r="D873" s="1134"/>
      <c r="E873" s="1137"/>
      <c r="F873" s="589" t="s">
        <v>46</v>
      </c>
      <c r="G873" s="130">
        <f>IF(G859="תקין",SUMIFS('דוח הוצאות בפועל (4)'!$E$17:$E$3016,'דוח הוצאות בפועל (4)'!$B$17:$B$3016,'בית ספר - תקצוב לפי מוסד (9)'!$G854,'דוח הוצאות בפועל (4)'!$M$17:$M$3016,"מל"),0)-Y873</f>
        <v>0</v>
      </c>
      <c r="H873" s="132"/>
      <c r="I873" s="133"/>
      <c r="J873" s="104"/>
      <c r="K873" s="1139"/>
      <c r="L873" s="407"/>
      <c r="M873" s="393"/>
      <c r="N873" s="393"/>
      <c r="O873" s="602"/>
      <c r="P873" s="1141"/>
      <c r="Q873" s="1142"/>
      <c r="R873" s="596"/>
      <c r="S873" s="610" t="s">
        <v>46</v>
      </c>
      <c r="T873" s="599">
        <f>G854</f>
        <v>0</v>
      </c>
      <c r="U873" s="578"/>
      <c r="V873" s="579">
        <f t="shared" si="124"/>
        <v>0</v>
      </c>
      <c r="W873" s="579">
        <f t="shared" si="122"/>
        <v>0</v>
      </c>
      <c r="X873" s="579">
        <f>IFERROR(W882*W873/(SUM(W868:W881)),0)</f>
        <v>0</v>
      </c>
      <c r="Y873" s="879">
        <f>SUMIFS(בקרה!$S:$S,בקרה!$D:$D,T873,בקרה!$K:$K,S873)</f>
        <v>0</v>
      </c>
      <c r="Z873" s="121"/>
      <c r="AA873" s="143"/>
      <c r="AB873" s="143"/>
      <c r="AC873" s="504">
        <v>0</v>
      </c>
      <c r="AD873" s="505">
        <f t="shared" si="123"/>
        <v>0</v>
      </c>
      <c r="AE873" s="143"/>
      <c r="AJ873" s="22"/>
      <c r="AO873" s="22"/>
      <c r="AP873" s="22"/>
      <c r="AQ873" s="22"/>
      <c r="AR873" s="22"/>
      <c r="AS873" s="22"/>
      <c r="AT873" s="22"/>
      <c r="AU873" s="35"/>
      <c r="AV873" s="35"/>
      <c r="AW873" s="35"/>
      <c r="AX873" s="35"/>
      <c r="AY873" s="35"/>
      <c r="AZ873" s="35"/>
      <c r="BA873" s="35"/>
      <c r="BB873" s="35"/>
      <c r="BC873" s="35"/>
      <c r="BD873" s="35"/>
      <c r="BE873" s="35"/>
      <c r="BF873" s="35"/>
      <c r="BG873" s="35"/>
      <c r="BH873" s="35"/>
      <c r="BI873" s="35"/>
      <c r="BJ873" s="35"/>
      <c r="BK873" s="35"/>
      <c r="BL873" s="35"/>
      <c r="BM873" s="35"/>
      <c r="BN873" s="35"/>
      <c r="BO873" s="86"/>
    </row>
    <row r="874" spans="1:67" s="55" customFormat="1" ht="15" customHeight="1" x14ac:dyDescent="0.25">
      <c r="A874" s="520">
        <f>IFERROR(VLOOKUP($G$5,'רשימת רשויות'!A:C,3,0),0)</f>
        <v>0</v>
      </c>
      <c r="B874" s="520">
        <f t="shared" si="121"/>
        <v>0</v>
      </c>
      <c r="C874" s="39"/>
      <c r="D874" s="1134"/>
      <c r="E874" s="1137"/>
      <c r="F874" s="591" t="s">
        <v>23</v>
      </c>
      <c r="G874" s="134">
        <f>SUM(G868:G873)</f>
        <v>0</v>
      </c>
      <c r="H874" s="135">
        <f>SUM(H868:H873)</f>
        <v>0</v>
      </c>
      <c r="I874" s="128">
        <f>IFERROR(G874/H874,0)</f>
        <v>0</v>
      </c>
      <c r="J874" s="136">
        <f>SUM(J868:J873)</f>
        <v>0</v>
      </c>
      <c r="K874" s="137">
        <f>SUM(K868:K873)</f>
        <v>0</v>
      </c>
      <c r="L874" s="408"/>
      <c r="M874" s="394"/>
      <c r="N874" s="394"/>
      <c r="O874" s="602"/>
      <c r="P874" s="620">
        <f>SUM(P868:P873)</f>
        <v>0</v>
      </c>
      <c r="Q874" s="620">
        <f>SUM(Q868:Q873)</f>
        <v>0</v>
      </c>
      <c r="R874" s="596"/>
      <c r="S874" s="610"/>
      <c r="T874" s="599">
        <f>G854</f>
        <v>0</v>
      </c>
      <c r="U874" s="578"/>
      <c r="V874" s="579"/>
      <c r="W874" s="579">
        <f t="shared" si="122"/>
        <v>0</v>
      </c>
      <c r="X874" s="579"/>
      <c r="Y874" s="879"/>
      <c r="Z874" s="121"/>
      <c r="AA874" s="143"/>
      <c r="AB874" s="143"/>
      <c r="AC874" s="504"/>
      <c r="AD874" s="505">
        <f t="shared" si="123"/>
        <v>0</v>
      </c>
      <c r="AE874" s="143"/>
      <c r="AJ874" s="22"/>
      <c r="AL874" s="22"/>
      <c r="AM874" s="22"/>
      <c r="AN874" s="22"/>
      <c r="AO874" s="22"/>
      <c r="AP874" s="22"/>
      <c r="AQ874" s="22"/>
      <c r="AR874" s="22"/>
      <c r="AS874" s="22"/>
      <c r="AT874" s="22"/>
      <c r="AU874" s="35"/>
      <c r="AV874" s="35"/>
      <c r="AW874" s="35"/>
      <c r="AX874" s="35"/>
      <c r="AY874" s="35"/>
      <c r="AZ874" s="35"/>
      <c r="BA874" s="35"/>
      <c r="BB874" s="35"/>
      <c r="BC874" s="35"/>
      <c r="BD874" s="35"/>
      <c r="BE874" s="35"/>
      <c r="BF874" s="35"/>
      <c r="BG874" s="35"/>
      <c r="BH874" s="35"/>
      <c r="BI874" s="35"/>
      <c r="BJ874" s="35"/>
      <c r="BK874" s="35"/>
      <c r="BL874" s="35"/>
      <c r="BM874" s="35"/>
      <c r="BN874" s="35"/>
      <c r="BO874" s="86"/>
    </row>
    <row r="875" spans="1:67" s="55" customFormat="1" ht="15" customHeight="1" x14ac:dyDescent="0.25">
      <c r="A875" s="520">
        <f>IFERROR(VLOOKUP($G$5,'רשימת רשויות'!A:C,3,0),0)</f>
        <v>0</v>
      </c>
      <c r="B875" s="520">
        <f t="shared" si="121"/>
        <v>0</v>
      </c>
      <c r="C875" s="39"/>
      <c r="D875" s="1134"/>
      <c r="E875" s="1137"/>
      <c r="F875" s="589" t="s">
        <v>3</v>
      </c>
      <c r="G875" s="117">
        <f>IF(G859="תקין",SUMIFS('דוח הוצאות בפועל (4)'!$E$17:$E$3016,'דוח הוצאות בפועל (4)'!$B$17:$B$3016,'בית ספר - תקצוב לפי מוסד (9)'!$G854,'דוח הוצאות בפועל (4)'!$M$17:$M$3016,"ני")+SUMIFS('דוח הוצאות בפועל (4)'!$E$17:$E$3016,'דוח הוצאות בפועל (4)'!$B$17:$B$3016,'בית ספר - תקצוב לפי מוסד (9)'!$G854,'דוח הוצאות בפועל (4)'!$M$17:$M$3016,"על"),0)-Y875</f>
        <v>0</v>
      </c>
      <c r="H875" s="117">
        <f>H856</f>
        <v>0</v>
      </c>
      <c r="I875" s="138">
        <f>IFERROR(G875/H875,0)</f>
        <v>0</v>
      </c>
      <c r="J875" s="117">
        <f>IFERROR(IF(G875/H877&gt;0.15,MIN(H877*0.15,H875),MIN(H875,IF(ISNUMBER(G875),G875,0))),0)</f>
        <v>0</v>
      </c>
      <c r="K875" s="120">
        <f>MAX(H875-G875,0)</f>
        <v>0</v>
      </c>
      <c r="L875" s="407"/>
      <c r="M875" s="393"/>
      <c r="N875" s="393"/>
      <c r="O875" s="602"/>
      <c r="P875" s="620">
        <f>IF(I875&lt;100%,MIN(H875-G875,H875*0.25),0)</f>
        <v>0</v>
      </c>
      <c r="Q875" s="620">
        <f>MAX(MIN(IF(G875-H875&gt;0,G875-H875,0),$H877*0.15-H875-J876),0)</f>
        <v>0</v>
      </c>
      <c r="R875" s="596"/>
      <c r="S875" s="610" t="s">
        <v>3</v>
      </c>
      <c r="T875" s="599">
        <f>G854</f>
        <v>0</v>
      </c>
      <c r="U875" s="578"/>
      <c r="V875" s="579">
        <f t="shared" ref="V875" si="125">G875</f>
        <v>0</v>
      </c>
      <c r="W875" s="579">
        <f t="shared" si="122"/>
        <v>0</v>
      </c>
      <c r="X875" s="579"/>
      <c r="Y875" s="879"/>
      <c r="Z875" s="121"/>
      <c r="AA875" s="143"/>
      <c r="AB875" s="143"/>
      <c r="AC875" s="504">
        <v>0</v>
      </c>
      <c r="AD875" s="505">
        <f t="shared" si="123"/>
        <v>0</v>
      </c>
      <c r="AE875" s="143"/>
      <c r="AG875" s="22"/>
      <c r="AH875" s="22"/>
      <c r="AI875" s="22"/>
      <c r="AJ875" s="22"/>
      <c r="AK875" s="22"/>
      <c r="AL875" s="22"/>
      <c r="AM875" s="22"/>
      <c r="AN875" s="22"/>
      <c r="AO875" s="22"/>
      <c r="AP875" s="22"/>
      <c r="AQ875" s="22"/>
      <c r="AR875" s="22"/>
      <c r="AS875" s="22"/>
      <c r="AT875" s="22"/>
      <c r="AU875" s="35"/>
      <c r="AV875" s="35"/>
      <c r="AW875" s="35"/>
      <c r="AX875" s="35"/>
      <c r="AY875" s="35"/>
      <c r="AZ875" s="35"/>
      <c r="BA875" s="35"/>
      <c r="BB875" s="35"/>
      <c r="BC875" s="35"/>
      <c r="BD875" s="35"/>
      <c r="BE875" s="35"/>
      <c r="BF875" s="35"/>
      <c r="BG875" s="35"/>
      <c r="BH875" s="35"/>
      <c r="BI875" s="35"/>
      <c r="BJ875" s="35"/>
      <c r="BK875" s="35"/>
      <c r="BL875" s="35"/>
      <c r="BM875" s="35"/>
      <c r="BN875" s="35"/>
      <c r="BO875" s="86"/>
    </row>
    <row r="876" spans="1:67" s="55" customFormat="1" ht="15.75" customHeight="1" x14ac:dyDescent="0.25">
      <c r="A876" s="520">
        <f>IFERROR(VLOOKUP($G$5,'רשימת רשויות'!A:C,3,0),0)</f>
        <v>0</v>
      </c>
      <c r="B876" s="520">
        <f t="shared" si="121"/>
        <v>0</v>
      </c>
      <c r="C876" s="39"/>
      <c r="D876" s="1134"/>
      <c r="E876" s="1137"/>
      <c r="F876" s="589" t="s">
        <v>2918</v>
      </c>
      <c r="G876" s="117">
        <f>0.07*(G870+G869)</f>
        <v>0</v>
      </c>
      <c r="H876" s="117">
        <f>H858</f>
        <v>0</v>
      </c>
      <c r="I876" s="138">
        <f>IFERROR(G876/H876,0)</f>
        <v>0</v>
      </c>
      <c r="J876" s="117">
        <f>IFERROR(MIN(0.07*(G869+G870),0.07*I858),0)</f>
        <v>0</v>
      </c>
      <c r="K876" s="120">
        <f>MAX(H876-G876,0)</f>
        <v>0</v>
      </c>
      <c r="L876" s="407"/>
      <c r="M876" s="393"/>
      <c r="N876" s="393"/>
      <c r="O876" s="602"/>
      <c r="P876" s="620"/>
      <c r="Q876" s="619"/>
      <c r="R876" s="596"/>
      <c r="S876" s="611"/>
      <c r="T876" s="599">
        <f>G854</f>
        <v>0</v>
      </c>
      <c r="U876" s="578"/>
      <c r="V876" s="579"/>
      <c r="W876" s="579">
        <f t="shared" si="122"/>
        <v>0</v>
      </c>
      <c r="X876" s="579"/>
      <c r="Y876" s="879"/>
      <c r="Z876" s="121"/>
      <c r="AA876" s="143"/>
      <c r="AB876" s="143"/>
      <c r="AC876" s="504"/>
      <c r="AD876" s="505"/>
      <c r="AE876" s="143"/>
      <c r="AF876" s="140"/>
      <c r="AG876" s="22"/>
      <c r="AH876" s="22"/>
      <c r="AI876" s="22"/>
      <c r="AJ876" s="22"/>
      <c r="AK876" s="22"/>
      <c r="AL876" s="22"/>
      <c r="AM876" s="22"/>
      <c r="AN876" s="22"/>
      <c r="AO876" s="22"/>
      <c r="AP876" s="22"/>
      <c r="AQ876" s="22"/>
      <c r="AR876" s="22"/>
      <c r="AS876" s="22"/>
      <c r="AT876" s="22"/>
      <c r="AU876" s="35"/>
      <c r="AV876" s="35"/>
      <c r="AW876" s="35"/>
      <c r="AX876" s="35"/>
      <c r="AY876" s="35"/>
      <c r="AZ876" s="35"/>
      <c r="BA876" s="35"/>
      <c r="BB876" s="35"/>
      <c r="BC876" s="35"/>
      <c r="BD876" s="35"/>
      <c r="BE876" s="35"/>
      <c r="BF876" s="35"/>
      <c r="BG876" s="35"/>
      <c r="BH876" s="35"/>
      <c r="BI876" s="35"/>
      <c r="BJ876" s="35"/>
      <c r="BK876" s="35"/>
      <c r="BL876" s="35"/>
      <c r="BM876" s="35"/>
      <c r="BN876" s="35"/>
      <c r="BO876" s="86"/>
    </row>
    <row r="877" spans="1:67" ht="15.75" customHeight="1" x14ac:dyDescent="0.25">
      <c r="A877" s="520">
        <f>IFERROR(VLOOKUP($G$5,'רשימת רשויות'!A:C,3,0),0)</f>
        <v>0</v>
      </c>
      <c r="B877" s="520">
        <f t="shared" si="121"/>
        <v>0</v>
      </c>
      <c r="D877" s="1134"/>
      <c r="E877" s="1137"/>
      <c r="F877" s="591" t="s">
        <v>15</v>
      </c>
      <c r="G877" s="134">
        <f>G874+G875+G876</f>
        <v>0</v>
      </c>
      <c r="H877" s="134">
        <f>H874+H875+H876</f>
        <v>0</v>
      </c>
      <c r="I877" s="138">
        <f>IFERROR(G877/H877,0)</f>
        <v>0</v>
      </c>
      <c r="J877" s="139">
        <f>J874+J875+J876</f>
        <v>0</v>
      </c>
      <c r="K877" s="137">
        <f>K875+K874+K876</f>
        <v>0</v>
      </c>
      <c r="L877" s="408"/>
      <c r="M877" s="394"/>
      <c r="N877" s="394"/>
      <c r="O877" s="602"/>
      <c r="P877" s="621">
        <f>SUM(P874:P875)</f>
        <v>0</v>
      </c>
      <c r="Q877" s="622">
        <f>Q874+Q875</f>
        <v>0</v>
      </c>
      <c r="R877" s="596"/>
      <c r="S877" s="611"/>
      <c r="T877" s="599">
        <f>G854</f>
        <v>0</v>
      </c>
      <c r="U877" s="578"/>
      <c r="V877" s="579"/>
      <c r="W877" s="579">
        <f t="shared" si="122"/>
        <v>0</v>
      </c>
      <c r="X877" s="579"/>
      <c r="Y877" s="879"/>
      <c r="Z877" s="106"/>
      <c r="AC877" s="504"/>
      <c r="AD877" s="505"/>
      <c r="AH877" s="143"/>
      <c r="BO877" s="86"/>
    </row>
    <row r="878" spans="1:67" ht="15.75" customHeight="1" x14ac:dyDescent="0.25">
      <c r="A878" s="520">
        <f>IFERROR(VLOOKUP($G$5,'רשימת רשויות'!A:C,3,0),0)</f>
        <v>0</v>
      </c>
      <c r="B878" s="520">
        <f t="shared" si="121"/>
        <v>0</v>
      </c>
      <c r="D878" s="1134"/>
      <c r="E878" s="1137"/>
      <c r="F878" s="589" t="s">
        <v>2261</v>
      </c>
      <c r="G878" s="117">
        <f>IF(G859="תקין",SUMIF('תשלומי הורים ומלגות להורים (5) '!$B$18:$B$517,$G854,'תשלומי הורים ומלגות להורים (5) '!$C$18:$C$517),0)</f>
        <v>0</v>
      </c>
      <c r="H878" s="117">
        <f>(G857+G858)*$G$7</f>
        <v>0</v>
      </c>
      <c r="I878" s="141"/>
      <c r="J878" s="141"/>
      <c r="K878" s="142"/>
      <c r="L878" s="395"/>
      <c r="M878" s="395"/>
      <c r="N878" s="395"/>
      <c r="O878" s="602"/>
      <c r="P878" s="623"/>
      <c r="Q878" s="619"/>
      <c r="R878" s="596"/>
      <c r="S878" s="612"/>
      <c r="T878" s="599">
        <f>G854</f>
        <v>0</v>
      </c>
      <c r="U878" s="578"/>
      <c r="V878" s="579"/>
      <c r="W878" s="579">
        <f t="shared" si="122"/>
        <v>0</v>
      </c>
      <c r="X878" s="579"/>
      <c r="Y878" s="879"/>
      <c r="Z878" s="121"/>
      <c r="AA878" s="143"/>
      <c r="AB878" s="143"/>
      <c r="AC878" s="504"/>
      <c r="AD878" s="505"/>
      <c r="AE878" s="143"/>
      <c r="AF878" s="148"/>
      <c r="BO878" s="86"/>
    </row>
    <row r="879" spans="1:67" ht="15.75" customHeight="1" thickBot="1" x14ac:dyDescent="0.3">
      <c r="A879" s="520">
        <f>IFERROR(VLOOKUP($G$5,'רשימת רשויות'!A:C,3,0),0)</f>
        <v>0</v>
      </c>
      <c r="B879" s="520">
        <f t="shared" si="121"/>
        <v>0</v>
      </c>
      <c r="D879" s="1134"/>
      <c r="E879" s="1137"/>
      <c r="F879" s="592" t="s">
        <v>21</v>
      </c>
      <c r="G879" s="144">
        <f>G877-G878</f>
        <v>0</v>
      </c>
      <c r="H879" s="144">
        <f>H877-H878</f>
        <v>0</v>
      </c>
      <c r="I879" s="145"/>
      <c r="J879" s="145"/>
      <c r="K879" s="146"/>
      <c r="L879" s="396"/>
      <c r="M879" s="396"/>
      <c r="N879" s="396"/>
      <c r="O879" s="602"/>
      <c r="P879" s="619"/>
      <c r="Q879" s="619"/>
      <c r="R879" s="596"/>
      <c r="S879" s="612"/>
      <c r="T879" s="599">
        <f>G854</f>
        <v>0</v>
      </c>
      <c r="U879" s="578"/>
      <c r="V879" s="579"/>
      <c r="W879" s="579">
        <f t="shared" si="122"/>
        <v>0</v>
      </c>
      <c r="X879" s="579"/>
      <c r="Y879" s="879"/>
      <c r="Z879" s="147"/>
      <c r="AA879" s="148"/>
      <c r="AB879" s="148"/>
      <c r="AC879" s="504"/>
      <c r="AD879" s="505"/>
      <c r="AE879" s="148"/>
      <c r="AF879" s="148"/>
      <c r="BO879" s="86"/>
    </row>
    <row r="880" spans="1:67" ht="15.75" customHeight="1" thickBot="1" x14ac:dyDescent="0.3">
      <c r="A880" s="520">
        <f>IFERROR(VLOOKUP($G$5,'רשימת רשויות'!A:C,3,0),0)</f>
        <v>0</v>
      </c>
      <c r="B880" s="520">
        <f t="shared" si="121"/>
        <v>0</v>
      </c>
      <c r="D880" s="1134"/>
      <c r="E880" s="1137"/>
      <c r="F880" s="580"/>
      <c r="G880" s="580"/>
      <c r="H880" s="147"/>
      <c r="I880" s="149" t="s">
        <v>2197</v>
      </c>
      <c r="J880" s="150">
        <f>MAX(MIN(P877,Q877),0)</f>
        <v>0</v>
      </c>
      <c r="K880" s="580"/>
      <c r="L880" s="580"/>
      <c r="M880" s="580"/>
      <c r="N880" s="580"/>
      <c r="O880" s="580"/>
      <c r="P880" s="615" t="s">
        <v>2317</v>
      </c>
      <c r="Q880" s="624">
        <f>SUM(Q881:Q882)</f>
        <v>0</v>
      </c>
      <c r="R880" s="596"/>
      <c r="S880" s="612"/>
      <c r="T880" s="599">
        <f>G854</f>
        <v>0</v>
      </c>
      <c r="U880" s="578"/>
      <c r="V880" s="579"/>
      <c r="W880" s="579">
        <f t="shared" si="122"/>
        <v>0</v>
      </c>
      <c r="X880" s="579"/>
      <c r="Y880" s="879"/>
      <c r="Z880" s="106"/>
      <c r="AC880" s="504"/>
      <c r="AD880" s="505"/>
      <c r="AF880" s="148"/>
      <c r="BO880" s="86"/>
    </row>
    <row r="881" spans="1:67" ht="16.5" thickBot="1" x14ac:dyDescent="0.3">
      <c r="A881" s="520">
        <f>IFERROR(VLOOKUP($G$5,'רשימת רשויות'!A:C,3,0),0)</f>
        <v>0</v>
      </c>
      <c r="B881" s="520">
        <f t="shared" si="121"/>
        <v>0</v>
      </c>
      <c r="D881" s="1134"/>
      <c r="E881" s="1137"/>
      <c r="F881" s="580"/>
      <c r="G881" s="580"/>
      <c r="H881" s="580"/>
      <c r="I881" s="84" t="s">
        <v>2193</v>
      </c>
      <c r="J881" s="515" t="str">
        <f>IFERROR(1-H878/H877,"")</f>
        <v/>
      </c>
      <c r="K881" s="580"/>
      <c r="L881" s="580"/>
      <c r="M881" s="580"/>
      <c r="N881" s="580"/>
      <c r="O881" s="580"/>
      <c r="P881" s="615" t="s">
        <v>417</v>
      </c>
      <c r="Q881" s="616">
        <f>IFERROR(MAX(H879-I882-Q882,0),0)</f>
        <v>0</v>
      </c>
      <c r="R881" s="596"/>
      <c r="S881" s="600"/>
      <c r="T881" s="599">
        <f>G854</f>
        <v>0</v>
      </c>
      <c r="U881" s="578"/>
      <c r="V881" s="579"/>
      <c r="W881" s="579">
        <f t="shared" si="122"/>
        <v>0</v>
      </c>
      <c r="X881" s="579"/>
      <c r="Y881" s="879"/>
      <c r="Z881" s="106"/>
      <c r="AC881" s="504"/>
      <c r="AD881" s="505"/>
      <c r="BO881" s="86"/>
    </row>
    <row r="882" spans="1:67" ht="17.25" thickBot="1" x14ac:dyDescent="0.3">
      <c r="A882" s="520">
        <f>IFERROR(VLOOKUP($G$5,'רשימת רשויות'!A:C,3,0),0)</f>
        <v>0</v>
      </c>
      <c r="B882" s="520">
        <f t="shared" si="121"/>
        <v>0</v>
      </c>
      <c r="D882" s="1134"/>
      <c r="E882" s="1137"/>
      <c r="F882" s="1143" t="s">
        <v>2679</v>
      </c>
      <c r="G882" s="1143"/>
      <c r="H882" s="1143"/>
      <c r="I882" s="722">
        <f>IF(G859="לא תקין","לא קיימת זכאות לתקציב לאור אי איוש משרות רכז ו/או סגן רכז ",IFERROR(J881*(J880+J877),0))</f>
        <v>0</v>
      </c>
      <c r="J882" s="573"/>
      <c r="K882" s="574"/>
      <c r="L882" s="396"/>
      <c r="M882" s="574"/>
      <c r="N882" s="574"/>
      <c r="O882" s="574"/>
      <c r="P882" s="615" t="s">
        <v>2279</v>
      </c>
      <c r="Q882" s="616">
        <f>MAX(IF(AND(G877&gt;H877,I882&lt;H879),H879-I882,0),0)</f>
        <v>0</v>
      </c>
      <c r="R882" s="575"/>
      <c r="S882" s="576" t="s">
        <v>67</v>
      </c>
      <c r="T882" s="577">
        <f>G854</f>
        <v>0</v>
      </c>
      <c r="U882" s="578"/>
      <c r="V882" s="579">
        <f>I882</f>
        <v>0</v>
      </c>
      <c r="W882" s="579">
        <f>IFERROR(U882-V882,0)</f>
        <v>0</v>
      </c>
      <c r="X882" s="579">
        <f>SUM(X868:X881)</f>
        <v>0</v>
      </c>
      <c r="Y882" s="879"/>
      <c r="Z882" s="106"/>
      <c r="AC882" s="506">
        <v>0</v>
      </c>
      <c r="AD882" s="507">
        <f>IFERROR(U882-AC882,0)</f>
        <v>0</v>
      </c>
      <c r="BO882" s="86"/>
    </row>
    <row r="883" spans="1:67" ht="16.5" thickBot="1" x14ac:dyDescent="0.3">
      <c r="A883" s="520">
        <f>IFERROR(VLOOKUP($G$5,'רשימת רשויות'!A:C,3,0),0)</f>
        <v>0</v>
      </c>
      <c r="B883" s="520">
        <f t="shared" si="121"/>
        <v>0</v>
      </c>
      <c r="D883" s="1135"/>
      <c r="E883" s="1138"/>
      <c r="F883" s="1144" t="s">
        <v>2793</v>
      </c>
      <c r="G883" s="1145"/>
      <c r="H883" s="1145"/>
      <c r="I883" s="593">
        <f>IFERROR(IF(G859="תקין",SUMIFS('סייעות רפואיות או אישיות (7)'!$Q$17:Q$384,'סייעות רפואיות או אישיות (7)'!C$17:C$384,G854),0),0)</f>
        <v>0</v>
      </c>
      <c r="J883" s="151"/>
      <c r="K883" s="152"/>
      <c r="L883" s="409"/>
      <c r="M883" s="152"/>
      <c r="N883" s="152"/>
      <c r="O883" s="152"/>
      <c r="P883" s="613"/>
      <c r="Q883" s="614"/>
      <c r="R883" s="475"/>
      <c r="S883" s="489"/>
      <c r="T883" s="490"/>
      <c r="U883" s="491"/>
      <c r="V883" s="492"/>
      <c r="W883" s="492"/>
      <c r="X883" s="492"/>
      <c r="Y883" s="880"/>
      <c r="Z883" s="153"/>
      <c r="AC883" s="581"/>
      <c r="AD883" s="582"/>
      <c r="BO883" s="86"/>
    </row>
    <row r="884" spans="1:67" ht="34.5" thickBot="1" x14ac:dyDescent="0.55000000000000004">
      <c r="A884" s="520">
        <f>IFERROR(VLOOKUP($G$5,'רשימת רשויות'!A:C,3,0),0)</f>
        <v>0</v>
      </c>
      <c r="B884" s="520">
        <f t="shared" si="121"/>
        <v>0</v>
      </c>
      <c r="E884" s="154"/>
      <c r="I884" s="143"/>
      <c r="J884" s="148"/>
      <c r="O884" s="148"/>
      <c r="T884" s="481"/>
      <c r="BO884" s="86"/>
    </row>
    <row r="885" spans="1:67" s="20" customFormat="1" ht="16.5" customHeight="1" thickBot="1" x14ac:dyDescent="0.3">
      <c r="A885" s="520">
        <f>IFERROR(VLOOKUP($G$5,'רשימת רשויות'!A:C,3,0),0)</f>
        <v>0</v>
      </c>
      <c r="B885" s="520">
        <f t="shared" si="121"/>
        <v>0</v>
      </c>
      <c r="C885" s="39"/>
      <c r="D885" s="1133">
        <f>D854+1</f>
        <v>29</v>
      </c>
      <c r="E885" s="1136" t="str">
        <f>IFERROR(CONCATENATE("בית הספר ",VLOOKUP(G885,'מצבת והרשמה (2)'!$C$21:$D$520,2,0)," - ",$G$5),"")</f>
        <v>בית הספר המוסד לא קיים - 0</v>
      </c>
      <c r="F885" s="720" t="s">
        <v>146</v>
      </c>
      <c r="G885" s="721">
        <f>IFERROR(VLOOKUP(D:D,'דוח ביצוע (3)'!$A$21:$C$900,2,0),0)</f>
        <v>0</v>
      </c>
      <c r="H885" s="79"/>
      <c r="I885" s="80" t="s">
        <v>150</v>
      </c>
      <c r="J885" s="80"/>
      <c r="K885" s="81"/>
      <c r="L885" s="392"/>
      <c r="M885" s="392"/>
      <c r="N885" s="392"/>
      <c r="O885" s="82"/>
      <c r="P885" s="470"/>
      <c r="Q885" s="471"/>
      <c r="R885" s="472"/>
      <c r="S885" s="883"/>
      <c r="T885" s="884"/>
      <c r="U885" s="486"/>
      <c r="V885" s="487"/>
      <c r="W885" s="487"/>
      <c r="X885" s="487"/>
      <c r="Y885" s="885"/>
      <c r="Z885" s="83"/>
      <c r="AC885" s="502"/>
      <c r="AD885" s="503"/>
      <c r="AO885" s="22"/>
      <c r="AP885" s="22"/>
      <c r="AQ885" s="22"/>
      <c r="AR885" s="22"/>
      <c r="AS885" s="22"/>
      <c r="AT885" s="22"/>
      <c r="AU885" s="35"/>
      <c r="AV885" s="35"/>
      <c r="AW885" s="35"/>
      <c r="AX885" s="35"/>
      <c r="AY885" s="35"/>
      <c r="AZ885" s="35"/>
      <c r="BA885" s="35"/>
      <c r="BB885" s="35"/>
      <c r="BC885" s="35"/>
      <c r="BD885" s="35"/>
      <c r="BE885" s="35"/>
      <c r="BF885" s="35"/>
      <c r="BG885" s="35"/>
      <c r="BH885" s="35"/>
      <c r="BI885" s="35"/>
      <c r="BJ885" s="35"/>
      <c r="BK885" s="35"/>
      <c r="BL885" s="35"/>
      <c r="BM885" s="35"/>
      <c r="BN885" s="35"/>
      <c r="BO885" s="78"/>
    </row>
    <row r="886" spans="1:67" s="20" customFormat="1" ht="16.5" thickBot="1" x14ac:dyDescent="0.3">
      <c r="A886" s="520">
        <f>IFERROR(VLOOKUP($G$5,'רשימת רשויות'!A:C,3,0),0)</f>
        <v>0</v>
      </c>
      <c r="B886" s="520">
        <f t="shared" si="121"/>
        <v>0</v>
      </c>
      <c r="C886" s="39"/>
      <c r="D886" s="1134"/>
      <c r="E886" s="1137"/>
      <c r="F886" s="583" t="s">
        <v>145</v>
      </c>
      <c r="G886" s="516" t="str">
        <f>IFERROR(IF((G888+G889)=0,"",IF(VLOOKUP(G885,'דוח ביצוע (3)'!$B$21:$K$900,5,0)&gt;149,"גדול",IF(AND(VLOOKUP(G885,'דוח ביצוע (3)'!$B$21:$K$900,5,0)&gt;0,VLOOKUP(G885,'דוח ביצוע (3)'!$B$21:$K$900,5,0)&lt;150),"קטן",0))),"")</f>
        <v/>
      </c>
      <c r="H886" s="723" t="s">
        <v>88</v>
      </c>
      <c r="I886" s="723" t="s">
        <v>13</v>
      </c>
      <c r="J886" s="725" t="s">
        <v>14</v>
      </c>
      <c r="K886" s="724" t="s">
        <v>94</v>
      </c>
      <c r="L886" s="594"/>
      <c r="M886" s="420" t="s">
        <v>2584</v>
      </c>
      <c r="N886" s="397" t="s">
        <v>413</v>
      </c>
      <c r="O886" s="398" t="s">
        <v>52</v>
      </c>
      <c r="P886" s="595"/>
      <c r="Q886" s="595"/>
      <c r="R886" s="596"/>
      <c r="S886" s="610"/>
      <c r="T886" s="881"/>
      <c r="U886" s="598"/>
      <c r="V886" s="599"/>
      <c r="W886" s="599"/>
      <c r="X886" s="599"/>
      <c r="Y886" s="879"/>
      <c r="Z886" s="85"/>
      <c r="AC886" s="493"/>
      <c r="AD886" s="495"/>
      <c r="AO886" s="22"/>
      <c r="AP886" s="22"/>
      <c r="AQ886" s="22"/>
      <c r="AR886" s="22"/>
      <c r="AS886" s="22"/>
      <c r="AT886" s="22"/>
      <c r="AU886" s="35"/>
      <c r="AV886" s="35"/>
      <c r="AW886" s="35"/>
      <c r="AX886" s="35"/>
      <c r="AY886" s="35"/>
      <c r="AZ886" s="35"/>
      <c r="BA886" s="35"/>
      <c r="BB886" s="35"/>
      <c r="BC886" s="35"/>
      <c r="BD886" s="35"/>
      <c r="BE886" s="35"/>
      <c r="BF886" s="35"/>
      <c r="BG886" s="35"/>
      <c r="BH886" s="35"/>
      <c r="BI886" s="35"/>
      <c r="BJ886" s="35"/>
      <c r="BK886" s="35"/>
      <c r="BL886" s="35"/>
      <c r="BM886" s="35"/>
      <c r="BN886" s="35"/>
      <c r="BO886" s="78"/>
    </row>
    <row r="887" spans="1:67" s="20" customFormat="1" ht="15.75" customHeight="1" thickBot="1" x14ac:dyDescent="0.3">
      <c r="A887" s="520">
        <f>IFERROR(VLOOKUP($G$5,'רשימת רשויות'!A:C,3,0),0)</f>
        <v>0</v>
      </c>
      <c r="B887" s="520">
        <f t="shared" si="121"/>
        <v>0</v>
      </c>
      <c r="C887" s="39"/>
      <c r="D887" s="1134"/>
      <c r="E887" s="1137"/>
      <c r="F887" s="584" t="s">
        <v>144</v>
      </c>
      <c r="G887" s="87">
        <f>IF(G890="תקין",IFERROR(VLOOKUP($G885,'דוח ביצוע (3)'!$B$21:$Q$900,12,0),0),0)</f>
        <v>0</v>
      </c>
      <c r="H887" s="88">
        <f>IFERROR(G888*$AH$6+G889*$AH$7,0)</f>
        <v>0</v>
      </c>
      <c r="I887" s="88">
        <f>IFERROR(G888*$AI$6+G889*$AI$7,0)</f>
        <v>0</v>
      </c>
      <c r="J887" s="88">
        <f>IFERROR(G888*$AJ$6+G889*$AJ$7,0)</f>
        <v>0</v>
      </c>
      <c r="K887" s="88">
        <f>IFERROR(G888*$AK$6+G889*$AK$7,0)</f>
        <v>0</v>
      </c>
      <c r="L887" s="405"/>
      <c r="M887" s="399" t="s">
        <v>427</v>
      </c>
      <c r="N887" s="400" t="str">
        <f>IFERROR(VLOOKUP($G885,'דוח ביצוע (3)'!$B:$AE,28,0),"")</f>
        <v/>
      </c>
      <c r="O887" s="89" t="str">
        <f>IFERROR(VLOOKUP($G885,'דוח ביצוע (3)'!B:AE,29,0),"")</f>
        <v/>
      </c>
      <c r="P887" s="595"/>
      <c r="Q887" s="595"/>
      <c r="R887" s="596"/>
      <c r="S887" s="610"/>
      <c r="T887" s="881"/>
      <c r="U887" s="598"/>
      <c r="V887" s="599"/>
      <c r="W887" s="599"/>
      <c r="X887" s="599"/>
      <c r="Y887" s="879"/>
      <c r="Z887" s="85"/>
      <c r="AC887" s="493"/>
      <c r="AD887" s="495"/>
      <c r="AO887" s="22"/>
      <c r="AP887" s="22"/>
      <c r="AQ887" s="22"/>
      <c r="AR887" s="22"/>
      <c r="AS887" s="22"/>
      <c r="AT887" s="22"/>
      <c r="AU887" s="35"/>
      <c r="AV887" s="35"/>
      <c r="AW887" s="35"/>
      <c r="AX887" s="35"/>
      <c r="AY887" s="35"/>
      <c r="AZ887" s="35"/>
      <c r="BA887" s="35"/>
      <c r="BB887" s="35"/>
      <c r="BC887" s="35"/>
      <c r="BD887" s="35"/>
      <c r="BE887" s="35"/>
      <c r="BF887" s="35"/>
      <c r="BG887" s="35"/>
      <c r="BH887" s="35"/>
      <c r="BI887" s="35"/>
      <c r="BJ887" s="35"/>
      <c r="BK887" s="35"/>
      <c r="BL887" s="35"/>
      <c r="BM887" s="35"/>
      <c r="BN887" s="35"/>
      <c r="BO887" s="78"/>
    </row>
    <row r="888" spans="1:67" s="20" customFormat="1" ht="32.25" thickBot="1" x14ac:dyDescent="0.3">
      <c r="A888" s="520">
        <f>IFERROR(VLOOKUP($G$5,'רשימת רשויות'!A:C,3,0),0)</f>
        <v>0</v>
      </c>
      <c r="B888" s="520">
        <f t="shared" si="121"/>
        <v>0</v>
      </c>
      <c r="C888" s="39"/>
      <c r="D888" s="1134"/>
      <c r="E888" s="1137"/>
      <c r="F888" s="585" t="s">
        <v>2195</v>
      </c>
      <c r="G888" s="89">
        <f>IF(G890="תקין",MAX(N890,0),0)</f>
        <v>0</v>
      </c>
      <c r="H888" s="725" t="s">
        <v>151</v>
      </c>
      <c r="I888" s="725" t="s">
        <v>91</v>
      </c>
      <c r="J888" s="970" t="s">
        <v>3396</v>
      </c>
      <c r="K888" s="601"/>
      <c r="L888" s="601"/>
      <c r="M888" s="983" t="s">
        <v>2585</v>
      </c>
      <c r="N888" s="400" t="str">
        <f>IFERROR(G887/15*N887*1.25,"")</f>
        <v/>
      </c>
      <c r="O888" s="89" t="str">
        <f>IFERROR(G887/15*O887*1.25,"")</f>
        <v/>
      </c>
      <c r="P888" s="595"/>
      <c r="Q888" s="595"/>
      <c r="R888" s="596"/>
      <c r="S888" s="610"/>
      <c r="T888" s="881"/>
      <c r="U888" s="598"/>
      <c r="V888" s="599"/>
      <c r="W888" s="599"/>
      <c r="X888" s="599"/>
      <c r="Y888" s="879"/>
      <c r="Z888" s="85"/>
      <c r="AC888" s="493"/>
      <c r="AD888" s="495"/>
      <c r="AG888" s="22"/>
      <c r="AH888" s="55"/>
      <c r="AI888" s="55"/>
      <c r="AJ888" s="55"/>
      <c r="AK888" s="55"/>
      <c r="AO888" s="22"/>
      <c r="AP888" s="22"/>
      <c r="AQ888" s="22"/>
      <c r="AR888" s="22"/>
      <c r="AS888" s="22"/>
      <c r="AT888" s="22"/>
      <c r="AU888" s="35"/>
      <c r="AV888" s="35"/>
      <c r="AW888" s="35"/>
      <c r="AX888" s="35"/>
      <c r="AY888" s="35"/>
      <c r="AZ888" s="35"/>
      <c r="BA888" s="35"/>
      <c r="BB888" s="35"/>
      <c r="BC888" s="35"/>
      <c r="BD888" s="35"/>
      <c r="BE888" s="35"/>
      <c r="BF888" s="35"/>
      <c r="BG888" s="35"/>
      <c r="BH888" s="35"/>
      <c r="BI888" s="35"/>
      <c r="BJ888" s="35"/>
      <c r="BK888" s="35"/>
      <c r="BL888" s="35"/>
      <c r="BM888" s="35"/>
      <c r="BN888" s="35"/>
      <c r="BO888" s="86"/>
    </row>
    <row r="889" spans="1:67" s="20" customFormat="1" ht="16.5" thickBot="1" x14ac:dyDescent="0.3">
      <c r="A889" s="520">
        <f>IFERROR(VLOOKUP($G$5,'רשימת רשויות'!A:C,3,0),0)</f>
        <v>0</v>
      </c>
      <c r="B889" s="520">
        <f t="shared" si="121"/>
        <v>0</v>
      </c>
      <c r="C889" s="39"/>
      <c r="D889" s="1134"/>
      <c r="E889" s="1137"/>
      <c r="F889" s="585" t="s">
        <v>2196</v>
      </c>
      <c r="G889" s="89">
        <f>IF(G890="תקין",MAX(O890,0),0)</f>
        <v>0</v>
      </c>
      <c r="H889" s="88">
        <f>(IFERROR(IF((G888+G889)=0,0,IF(G886="קטן",G887*$AH$10,G887*$AH$11)),0))+(IFERROR(IF((G888+G889)=0,0,VLOOKUP(G885,'דוח ביצוע (3)'!$B:$AH,33,0)),0))</f>
        <v>0</v>
      </c>
      <c r="I889" s="88">
        <f>IFERROR(IF((G888+G889)=0,0,IF(G886="קטן",G887*$AI$10,G887*$AI$11)),0)</f>
        <v>0</v>
      </c>
      <c r="J889" s="88">
        <f>IFERROR(IF((G888+G889)=0,0,VLOOKUP(G885,'דוח ביצוע (3)'!$B:$AH,32,0)),0)</f>
        <v>0</v>
      </c>
      <c r="K889" s="90"/>
      <c r="L889" s="90"/>
      <c r="M889" s="399" t="s">
        <v>412</v>
      </c>
      <c r="N889" s="400">
        <f>IFERROR(VLOOKUP($G885,'דוח ביצוע (3)'!$B$21:$U$500,18,0),0)</f>
        <v>0</v>
      </c>
      <c r="O889" s="401">
        <f>IFERROR(VLOOKUP($G885,'דוח ביצוע (3)'!$B$21:$U$500,19,0),0)</f>
        <v>0</v>
      </c>
      <c r="P889" s="595"/>
      <c r="Q889" s="595"/>
      <c r="R889" s="596"/>
      <c r="S889" s="610"/>
      <c r="T889" s="881"/>
      <c r="U889" s="598"/>
      <c r="V889" s="599"/>
      <c r="W889" s="599"/>
      <c r="X889" s="599"/>
      <c r="Y889" s="879"/>
      <c r="Z889" s="85"/>
      <c r="AC889" s="493"/>
      <c r="AD889" s="495"/>
      <c r="AG889" s="22"/>
      <c r="AH889" s="55"/>
      <c r="AI889" s="55"/>
      <c r="AJ889" s="55"/>
      <c r="AK889" s="55"/>
      <c r="AO889" s="22"/>
      <c r="AP889" s="22"/>
      <c r="AQ889" s="22"/>
      <c r="AR889" s="22"/>
      <c r="AS889" s="22"/>
      <c r="AT889" s="22"/>
      <c r="AU889" s="35"/>
      <c r="AV889" s="35"/>
      <c r="AW889" s="35"/>
      <c r="AX889" s="35"/>
      <c r="AY889" s="35"/>
      <c r="AZ889" s="35"/>
      <c r="BA889" s="35"/>
      <c r="BB889" s="35"/>
      <c r="BC889" s="35"/>
      <c r="BD889" s="35"/>
      <c r="BE889" s="35"/>
      <c r="BF889" s="35"/>
      <c r="BG889" s="35"/>
      <c r="BH889" s="35"/>
      <c r="BI889" s="35"/>
      <c r="BJ889" s="35"/>
      <c r="BK889" s="35"/>
      <c r="BL889" s="35"/>
      <c r="BM889" s="35"/>
      <c r="BN889" s="35"/>
      <c r="BO889" s="86"/>
    </row>
    <row r="890" spans="1:67" s="20" customFormat="1" ht="16.5" thickBot="1" x14ac:dyDescent="0.3">
      <c r="A890" s="520">
        <f>IFERROR(VLOOKUP($G$5,'רשימת רשויות'!A:C,3,0),0)</f>
        <v>0</v>
      </c>
      <c r="B890" s="520">
        <f t="shared" si="121"/>
        <v>0</v>
      </c>
      <c r="C890" s="39"/>
      <c r="D890" s="1134"/>
      <c r="E890" s="1137"/>
      <c r="F890" s="586" t="s">
        <v>2355</v>
      </c>
      <c r="G890" s="514">
        <f>IFERROR(IF(VLOOKUP('בית ספר - תקצוב לפי מוסד (9)'!G885,' איוש משרות (8)'!$C:$K,9,0)="תקין","תקין","לא תקין"),0)</f>
        <v>0</v>
      </c>
      <c r="H890" s="91"/>
      <c r="I890" s="91"/>
      <c r="J890" s="91"/>
      <c r="K890" s="90"/>
      <c r="L890" s="90"/>
      <c r="M890" s="402" t="s">
        <v>2586</v>
      </c>
      <c r="N890" s="403">
        <f>IFERROR(MIN(N888,N889),0)</f>
        <v>0</v>
      </c>
      <c r="O890" s="404">
        <f>IFERROR(MIN(O888,O889),0)</f>
        <v>0</v>
      </c>
      <c r="P890" s="595"/>
      <c r="Q890" s="595"/>
      <c r="R890" s="596"/>
      <c r="S890" s="610"/>
      <c r="T890" s="881"/>
      <c r="U890" s="598"/>
      <c r="V890" s="599"/>
      <c r="W890" s="599"/>
      <c r="X890" s="599"/>
      <c r="Y890" s="879"/>
      <c r="Z890" s="85"/>
      <c r="AC890" s="493"/>
      <c r="AD890" s="495"/>
      <c r="AG890" s="94"/>
      <c r="AH890" s="40"/>
      <c r="AI890" s="40"/>
      <c r="AJ890" s="40"/>
      <c r="AK890" s="40"/>
      <c r="AO890" s="22"/>
      <c r="AP890" s="22"/>
      <c r="AQ890" s="22"/>
      <c r="AR890" s="22"/>
      <c r="AS890" s="22"/>
      <c r="AT890" s="22"/>
      <c r="AU890" s="35"/>
      <c r="AV890" s="35"/>
      <c r="AW890" s="35"/>
      <c r="AX890" s="35"/>
      <c r="AY890" s="35"/>
      <c r="AZ890" s="35"/>
      <c r="BA890" s="35"/>
      <c r="BB890" s="35"/>
      <c r="BC890" s="35"/>
      <c r="BD890" s="35"/>
      <c r="BE890" s="35"/>
      <c r="BF890" s="35"/>
      <c r="BG890" s="35"/>
      <c r="BH890" s="35"/>
      <c r="BI890" s="35"/>
      <c r="BJ890" s="35"/>
      <c r="BK890" s="35"/>
      <c r="BL890" s="35"/>
      <c r="BM890" s="35"/>
      <c r="BN890" s="35"/>
      <c r="BO890" s="86"/>
    </row>
    <row r="891" spans="1:67" s="55" customFormat="1" ht="37.15" customHeight="1" thickBot="1" x14ac:dyDescent="0.3">
      <c r="A891" s="520">
        <f>IFERROR(VLOOKUP($G$5,'רשימת רשויות'!A:C,3,0),0)</f>
        <v>0</v>
      </c>
      <c r="B891" s="520">
        <f t="shared" si="121"/>
        <v>0</v>
      </c>
      <c r="C891" s="39"/>
      <c r="D891" s="1134"/>
      <c r="E891" s="1137"/>
      <c r="F891" s="587" t="s">
        <v>142</v>
      </c>
      <c r="G891" s="92"/>
      <c r="H891" s="92"/>
      <c r="I891" s="92"/>
      <c r="J891" s="92"/>
      <c r="K891" s="602"/>
      <c r="L891" s="602"/>
      <c r="M891" s="602"/>
      <c r="N891" s="602"/>
      <c r="O891" s="602"/>
      <c r="P891" s="595"/>
      <c r="Q891" s="595"/>
      <c r="R891" s="596"/>
      <c r="S891" s="610"/>
      <c r="T891" s="881"/>
      <c r="U891" s="598"/>
      <c r="V891" s="599"/>
      <c r="W891" s="599"/>
      <c r="X891" s="599"/>
      <c r="Y891" s="879"/>
      <c r="Z891" s="93"/>
      <c r="AC891" s="493"/>
      <c r="AD891" s="495"/>
      <c r="AF891" s="22"/>
      <c r="AG891" s="98"/>
      <c r="AH891" s="98"/>
      <c r="AI891" s="40"/>
      <c r="AJ891" s="40"/>
      <c r="AK891" s="40"/>
      <c r="AO891" s="22"/>
      <c r="AP891" s="22"/>
      <c r="AQ891" s="22"/>
      <c r="AR891" s="22"/>
      <c r="AS891" s="22"/>
      <c r="AT891" s="22"/>
      <c r="AU891" s="35"/>
      <c r="AV891" s="35"/>
      <c r="AW891" s="35"/>
      <c r="AX891" s="35"/>
      <c r="AY891" s="35"/>
      <c r="AZ891" s="35"/>
      <c r="BA891" s="35"/>
      <c r="BB891" s="35"/>
      <c r="BC891" s="35"/>
      <c r="BD891" s="35"/>
      <c r="BE891" s="35"/>
      <c r="BF891" s="35"/>
      <c r="BG891" s="35"/>
      <c r="BH891" s="35"/>
      <c r="BI891" s="35"/>
      <c r="BJ891" s="35"/>
      <c r="BK891" s="35"/>
      <c r="BL891" s="35"/>
      <c r="BM891" s="35"/>
      <c r="BN891" s="35"/>
      <c r="BO891" s="86"/>
    </row>
    <row r="892" spans="1:67" s="40" customFormat="1" ht="31.5" x14ac:dyDescent="0.25">
      <c r="A892" s="520">
        <f>IFERROR(VLOOKUP($G$5,'רשימת רשויות'!A:C,3,0),0)</f>
        <v>0</v>
      </c>
      <c r="B892" s="520">
        <f t="shared" si="121"/>
        <v>0</v>
      </c>
      <c r="C892" s="39"/>
      <c r="D892" s="1134"/>
      <c r="E892" s="1137"/>
      <c r="F892" s="588" t="s">
        <v>94</v>
      </c>
      <c r="G892" s="95" t="s">
        <v>18</v>
      </c>
      <c r="H892" s="95" t="s">
        <v>19</v>
      </c>
      <c r="I892" s="95" t="s">
        <v>138</v>
      </c>
      <c r="J892" s="96" t="s">
        <v>139</v>
      </c>
      <c r="K892" s="603"/>
      <c r="L892" s="603"/>
      <c r="M892" s="603"/>
      <c r="N892" s="603"/>
      <c r="O892" s="603"/>
      <c r="P892" s="604"/>
      <c r="Q892" s="604"/>
      <c r="R892" s="596"/>
      <c r="S892" s="610"/>
      <c r="T892" s="881"/>
      <c r="U892" s="598"/>
      <c r="V892" s="599"/>
      <c r="W892" s="599"/>
      <c r="X892" s="599"/>
      <c r="Y892" s="879"/>
      <c r="Z892" s="97"/>
      <c r="AA892" s="94"/>
      <c r="AB892" s="94"/>
      <c r="AC892" s="493"/>
      <c r="AD892" s="495"/>
      <c r="AE892" s="94"/>
      <c r="AG892" s="98"/>
      <c r="AH892" s="98"/>
      <c r="AO892" s="22"/>
      <c r="AP892" s="22"/>
      <c r="AQ892" s="22"/>
      <c r="AR892" s="22"/>
      <c r="AS892" s="22"/>
      <c r="AT892" s="22"/>
      <c r="AU892" s="35"/>
      <c r="AV892" s="35"/>
      <c r="AW892" s="35"/>
      <c r="AX892" s="35"/>
      <c r="AY892" s="35"/>
      <c r="AZ892" s="35"/>
      <c r="BA892" s="35"/>
      <c r="BB892" s="35"/>
      <c r="BC892" s="35"/>
      <c r="BD892" s="35"/>
      <c r="BE892" s="35"/>
      <c r="BF892" s="35"/>
      <c r="BG892" s="35"/>
      <c r="BH892" s="35"/>
      <c r="BI892" s="35"/>
      <c r="BJ892" s="35"/>
      <c r="BK892" s="35"/>
      <c r="BL892" s="35"/>
      <c r="BM892" s="35"/>
      <c r="BN892" s="35"/>
      <c r="BO892" s="86"/>
    </row>
    <row r="893" spans="1:67" s="40" customFormat="1" ht="15.75" customHeight="1" thickBot="1" x14ac:dyDescent="0.3">
      <c r="A893" s="520">
        <f>IFERROR(VLOOKUP($G$5,'רשימת רשויות'!A:C,3,0),0)</f>
        <v>0</v>
      </c>
      <c r="B893" s="520">
        <f t="shared" si="121"/>
        <v>0</v>
      </c>
      <c r="C893" s="39"/>
      <c r="D893" s="1134"/>
      <c r="E893" s="1137"/>
      <c r="F893" s="589" t="s">
        <v>2280</v>
      </c>
      <c r="G893" s="99">
        <f>+G904</f>
        <v>0</v>
      </c>
      <c r="H893" s="100">
        <f>K887</f>
        <v>0</v>
      </c>
      <c r="I893" s="100">
        <f>H893-I895</f>
        <v>0</v>
      </c>
      <c r="J893" s="101">
        <f>IFERROR(I893/H893,0)</f>
        <v>0</v>
      </c>
      <c r="K893" s="603"/>
      <c r="L893" s="603"/>
      <c r="M893" s="603"/>
      <c r="N893" s="603"/>
      <c r="O893" s="603"/>
      <c r="P893" s="605"/>
      <c r="Q893" s="604"/>
      <c r="R893" s="606" t="s">
        <v>157</v>
      </c>
      <c r="S893" s="611"/>
      <c r="T893" s="881"/>
      <c r="U893" s="598"/>
      <c r="V893" s="599"/>
      <c r="W893" s="599"/>
      <c r="X893" s="599"/>
      <c r="Y893" s="879"/>
      <c r="Z893" s="102"/>
      <c r="AA893" s="122"/>
      <c r="AB893" s="122"/>
      <c r="AC893" s="493"/>
      <c r="AD893" s="495"/>
      <c r="AE893" s="122"/>
      <c r="AF893" s="22"/>
      <c r="AG893" s="98"/>
      <c r="AH893" s="98"/>
      <c r="AI893" s="20"/>
      <c r="AO893" s="22"/>
      <c r="AP893" s="22"/>
      <c r="AQ893" s="22"/>
      <c r="AR893" s="22"/>
      <c r="AS893" s="22"/>
      <c r="AT893" s="22"/>
      <c r="AU893" s="35"/>
      <c r="AV893" s="35"/>
      <c r="AW893" s="35"/>
      <c r="AX893" s="35"/>
      <c r="AY893" s="35"/>
      <c r="AZ893" s="35"/>
      <c r="BA893" s="35"/>
      <c r="BB893" s="35"/>
      <c r="BC893" s="35"/>
      <c r="BD893" s="35"/>
      <c r="BE893" s="35"/>
      <c r="BF893" s="35"/>
      <c r="BG893" s="35"/>
      <c r="BH893" s="35"/>
      <c r="BI893" s="35"/>
      <c r="BJ893" s="35"/>
      <c r="BK893" s="35"/>
      <c r="BL893" s="35"/>
      <c r="BM893" s="35"/>
      <c r="BN893" s="35"/>
      <c r="BO893" s="86"/>
    </row>
    <row r="894" spans="1:67" s="40" customFormat="1" ht="15.75" customHeight="1" thickBot="1" x14ac:dyDescent="0.3">
      <c r="A894" s="520">
        <f>IFERROR(VLOOKUP($G$5,'רשימת רשויות'!A:C,3,0),0)</f>
        <v>0</v>
      </c>
      <c r="B894" s="520">
        <f t="shared" si="121"/>
        <v>0</v>
      </c>
      <c r="C894" s="39"/>
      <c r="D894" s="1134"/>
      <c r="E894" s="1137"/>
      <c r="F894" s="589" t="s">
        <v>2281</v>
      </c>
      <c r="G894" s="99">
        <f>+G903</f>
        <v>0</v>
      </c>
      <c r="H894" s="103"/>
      <c r="I894" s="104"/>
      <c r="J894" s="105"/>
      <c r="K894" s="603"/>
      <c r="L894" s="603"/>
      <c r="M894" s="603"/>
      <c r="N894" s="603"/>
      <c r="O894" s="603"/>
      <c r="P894" s="605"/>
      <c r="Q894" s="604"/>
      <c r="R894" s="473">
        <f>I895-R896</f>
        <v>0</v>
      </c>
      <c r="S894" s="611"/>
      <c r="T894" s="881"/>
      <c r="U894" s="598"/>
      <c r="V894" s="599"/>
      <c r="W894" s="599"/>
      <c r="X894" s="599"/>
      <c r="Y894" s="879"/>
      <c r="Z894" s="106"/>
      <c r="AA894" s="22"/>
      <c r="AB894" s="22"/>
      <c r="AC894" s="493"/>
      <c r="AD894" s="495"/>
      <c r="AE894" s="22"/>
      <c r="AF894" s="22"/>
      <c r="AG894" s="98"/>
      <c r="AH894" s="98"/>
      <c r="AI894" s="20"/>
      <c r="AO894" s="22"/>
      <c r="AP894" s="22"/>
      <c r="AQ894" s="22"/>
      <c r="AR894" s="22"/>
      <c r="AS894" s="22"/>
      <c r="AT894" s="22"/>
      <c r="AU894" s="35"/>
      <c r="AV894" s="35"/>
      <c r="AW894" s="35"/>
      <c r="AX894" s="35"/>
      <c r="AY894" s="35"/>
      <c r="AZ894" s="35"/>
      <c r="BA894" s="35"/>
      <c r="BB894" s="35"/>
      <c r="BC894" s="35"/>
      <c r="BD894" s="35"/>
      <c r="BE894" s="35"/>
      <c r="BF894" s="35"/>
      <c r="BG894" s="35"/>
      <c r="BH894" s="35"/>
      <c r="BI894" s="35"/>
      <c r="BJ894" s="35"/>
      <c r="BK894" s="35"/>
      <c r="BL894" s="35"/>
      <c r="BM894" s="35"/>
      <c r="BN894" s="35"/>
      <c r="BO894" s="86"/>
    </row>
    <row r="895" spans="1:67" s="40" customFormat="1" ht="16.5" customHeight="1" thickBot="1" x14ac:dyDescent="0.3">
      <c r="A895" s="520">
        <f>IFERROR(VLOOKUP($G$5,'רשימת רשויות'!A:C,3,0),0)</f>
        <v>0</v>
      </c>
      <c r="B895" s="520">
        <f t="shared" si="121"/>
        <v>0</v>
      </c>
      <c r="C895" s="39"/>
      <c r="D895" s="1134"/>
      <c r="E895" s="1137"/>
      <c r="F895" s="589" t="s">
        <v>2282</v>
      </c>
      <c r="G895" s="99">
        <f>G899+G900+G901</f>
        <v>0</v>
      </c>
      <c r="H895" s="104"/>
      <c r="I895" s="107">
        <f>MAX(H893-G893-G894,0)</f>
        <v>0</v>
      </c>
      <c r="J895" s="108">
        <f>IFERROR(I895/H893,0)</f>
        <v>0</v>
      </c>
      <c r="K895" s="603"/>
      <c r="L895" s="603"/>
      <c r="M895" s="603"/>
      <c r="N895" s="603"/>
      <c r="O895" s="603"/>
      <c r="P895" s="604"/>
      <c r="Q895" s="604"/>
      <c r="R895" s="606" t="s">
        <v>158</v>
      </c>
      <c r="S895" s="612"/>
      <c r="T895" s="881"/>
      <c r="U895" s="598"/>
      <c r="V895" s="599"/>
      <c r="W895" s="599"/>
      <c r="X895" s="599"/>
      <c r="Y895" s="879"/>
      <c r="Z895" s="106"/>
      <c r="AA895" s="22"/>
      <c r="AB895" s="22"/>
      <c r="AC895" s="493"/>
      <c r="AD895" s="495"/>
      <c r="AE895" s="22"/>
      <c r="AF895" s="22"/>
      <c r="AG895" s="22"/>
      <c r="AH895" s="22"/>
      <c r="AI895" s="55"/>
      <c r="AJ895" s="22"/>
      <c r="AK895" s="22"/>
      <c r="AO895" s="22"/>
      <c r="AP895" s="22"/>
      <c r="AQ895" s="22"/>
      <c r="AR895" s="22"/>
      <c r="AS895" s="22"/>
      <c r="AT895" s="22"/>
      <c r="AU895" s="35"/>
      <c r="AV895" s="35"/>
      <c r="AW895" s="35"/>
      <c r="AX895" s="35"/>
      <c r="AY895" s="35"/>
      <c r="AZ895" s="35"/>
      <c r="BA895" s="35"/>
      <c r="BB895" s="35"/>
      <c r="BC895" s="35"/>
      <c r="BD895" s="35"/>
      <c r="BE895" s="35"/>
      <c r="BF895" s="35"/>
      <c r="BG895" s="35"/>
      <c r="BH895" s="35"/>
      <c r="BI895" s="35"/>
      <c r="BJ895" s="35"/>
      <c r="BK895" s="35"/>
      <c r="BL895" s="35"/>
      <c r="BM895" s="35"/>
      <c r="BN895" s="35"/>
      <c r="BO895" s="86"/>
    </row>
    <row r="896" spans="1:67" s="40" customFormat="1" ht="15.75" customHeight="1" thickBot="1" x14ac:dyDescent="0.3">
      <c r="A896" s="520">
        <f>IFERROR(VLOOKUP($G$5,'רשימת רשויות'!A:C,3,0),0)</f>
        <v>0</v>
      </c>
      <c r="B896" s="520">
        <f t="shared" si="121"/>
        <v>0</v>
      </c>
      <c r="C896" s="39"/>
      <c r="D896" s="1134"/>
      <c r="E896" s="1137"/>
      <c r="F896" s="590" t="s">
        <v>2290</v>
      </c>
      <c r="G896" s="109"/>
      <c r="H896" s="110"/>
      <c r="I896" s="111">
        <f>SUM(I893:I895)</f>
        <v>0</v>
      </c>
      <c r="J896" s="112">
        <f>SUM(J893:J895)</f>
        <v>0</v>
      </c>
      <c r="K896" s="603"/>
      <c r="L896" s="603"/>
      <c r="M896" s="603"/>
      <c r="N896" s="603"/>
      <c r="O896" s="603"/>
      <c r="P896" s="604"/>
      <c r="Q896" s="604"/>
      <c r="R896" s="473">
        <f>MIN(MAX(G900+G901-I889-J889,0),I895)</f>
        <v>0</v>
      </c>
      <c r="S896" s="612"/>
      <c r="T896" s="881"/>
      <c r="U896" s="598"/>
      <c r="V896" s="599"/>
      <c r="W896" s="599"/>
      <c r="X896" s="599"/>
      <c r="Y896" s="879"/>
      <c r="Z896" s="106"/>
      <c r="AA896" s="22"/>
      <c r="AB896" s="22"/>
      <c r="AC896" s="493"/>
      <c r="AD896" s="495"/>
      <c r="AE896" s="22"/>
      <c r="AF896" s="22"/>
      <c r="AG896" s="22"/>
      <c r="AH896" s="22"/>
      <c r="AJ896" s="22"/>
      <c r="AK896" s="22"/>
      <c r="AO896" s="22"/>
      <c r="AP896" s="22"/>
      <c r="AQ896" s="22"/>
      <c r="AR896" s="22"/>
      <c r="AS896" s="22"/>
      <c r="AT896" s="22"/>
      <c r="AU896" s="35"/>
      <c r="AV896" s="35"/>
      <c r="AW896" s="35"/>
      <c r="AX896" s="35"/>
      <c r="AY896" s="35"/>
      <c r="AZ896" s="35"/>
      <c r="BA896" s="35"/>
      <c r="BB896" s="35"/>
      <c r="BC896" s="35"/>
      <c r="BD896" s="35"/>
      <c r="BE896" s="35"/>
      <c r="BF896" s="35"/>
      <c r="BG896" s="35"/>
      <c r="BH896" s="35"/>
      <c r="BI896" s="35"/>
      <c r="BJ896" s="35"/>
      <c r="BK896" s="35"/>
      <c r="BL896" s="35"/>
      <c r="BM896" s="35"/>
      <c r="BN896" s="35"/>
      <c r="BO896" s="86"/>
    </row>
    <row r="897" spans="1:67" ht="16.5" thickBot="1" x14ac:dyDescent="0.3">
      <c r="A897" s="520">
        <f>IFERROR(VLOOKUP($G$5,'רשימת רשויות'!A:C,3,0),0)</f>
        <v>0</v>
      </c>
      <c r="B897" s="520">
        <f t="shared" si="121"/>
        <v>0</v>
      </c>
      <c r="D897" s="1134"/>
      <c r="E897" s="1137"/>
      <c r="F897" s="587" t="s">
        <v>17</v>
      </c>
      <c r="G897" s="113"/>
      <c r="H897" s="92"/>
      <c r="I897" s="114"/>
      <c r="J897" s="115"/>
      <c r="K897" s="116"/>
      <c r="L897" s="406"/>
      <c r="M897" s="116"/>
      <c r="N897" s="116"/>
      <c r="O897" s="116"/>
      <c r="P897" s="474"/>
      <c r="Q897" s="607"/>
      <c r="R897" s="608"/>
      <c r="S897" s="612"/>
      <c r="T897" s="881"/>
      <c r="U897" s="598"/>
      <c r="V897" s="599"/>
      <c r="W897" s="599"/>
      <c r="X897" s="599"/>
      <c r="Y897" s="879"/>
      <c r="Z897" s="106"/>
      <c r="AI897" s="40"/>
      <c r="BO897" s="86"/>
    </row>
    <row r="898" spans="1:67" ht="47.25" x14ac:dyDescent="0.25">
      <c r="A898" s="520">
        <f>IFERROR(VLOOKUP($G$5,'רשימת רשויות'!A:C,3,0),0)</f>
        <v>0</v>
      </c>
      <c r="B898" s="520">
        <f t="shared" si="121"/>
        <v>0</v>
      </c>
      <c r="D898" s="1134"/>
      <c r="E898" s="1137"/>
      <c r="F898" s="588" t="s">
        <v>2</v>
      </c>
      <c r="G898" s="95" t="s">
        <v>18</v>
      </c>
      <c r="H898" s="95" t="s">
        <v>19</v>
      </c>
      <c r="I898" s="95" t="s">
        <v>20</v>
      </c>
      <c r="J898" s="95" t="s">
        <v>22</v>
      </c>
      <c r="K898" s="96" t="s">
        <v>2314</v>
      </c>
      <c r="L898" s="609"/>
      <c r="M898" s="609"/>
      <c r="N898" s="609"/>
      <c r="O898" s="580"/>
      <c r="P898" s="618" t="s">
        <v>2298</v>
      </c>
      <c r="Q898" s="618" t="s">
        <v>2299</v>
      </c>
      <c r="R898" s="596"/>
      <c r="S898" s="890" t="s">
        <v>2519</v>
      </c>
      <c r="T898" s="890" t="s">
        <v>97</v>
      </c>
      <c r="U898" s="891" t="s">
        <v>2521</v>
      </c>
      <c r="V898" s="892" t="s">
        <v>2520</v>
      </c>
      <c r="W898" s="893" t="s">
        <v>2524</v>
      </c>
      <c r="X898" s="892" t="s">
        <v>2522</v>
      </c>
      <c r="Y898" s="894" t="s">
        <v>2523</v>
      </c>
      <c r="Z898" s="106"/>
      <c r="AC898" s="498" t="s">
        <v>2568</v>
      </c>
      <c r="AD898" s="499" t="s">
        <v>2569</v>
      </c>
      <c r="AF898" s="122"/>
      <c r="AI898" s="40"/>
      <c r="BO898" s="86"/>
    </row>
    <row r="899" spans="1:67" ht="15" customHeight="1" thickBot="1" x14ac:dyDescent="0.3">
      <c r="A899" s="520">
        <f>IFERROR(VLOOKUP($G$5,'רשימת רשויות'!A:C,3,0),0)</f>
        <v>0</v>
      </c>
      <c r="B899" s="520">
        <f t="shared" si="121"/>
        <v>0</v>
      </c>
      <c r="D899" s="1134"/>
      <c r="E899" s="1137"/>
      <c r="F899" s="589" t="s">
        <v>76</v>
      </c>
      <c r="G899" s="117">
        <f>IF(G890="תקין",SUMIF('עלויות כח אדם (6)'!$B$15:$B$3014,'בית ספר - תקצוב לפי מוסד (9)'!$G885,'עלויות כח אדם (6)'!$M$15:$M$3014)-VLOOKUP('בית ספר - תקצוב לפי מוסד (9)'!G885,' איוש משרות (8)'!$C:$H,5,0)-VLOOKUP('בית ספר - תקצוב לפי מוסד (9)'!G885,' איוש משרות (8)'!$C:$H,6,0),0)-Y899</f>
        <v>0</v>
      </c>
      <c r="H899" s="118">
        <f>I887+R894</f>
        <v>0</v>
      </c>
      <c r="I899" s="119">
        <f>IFERROR(SUM(G899)/H899,0)</f>
        <v>0</v>
      </c>
      <c r="J899" s="100">
        <f>MIN(I887+R894,IF(ISNUMBER(G899),G899,0))</f>
        <v>0</v>
      </c>
      <c r="K899" s="120">
        <f>MAX(H899-G899,0)</f>
        <v>0</v>
      </c>
      <c r="L899" s="407"/>
      <c r="M899" s="393"/>
      <c r="N899" s="393"/>
      <c r="O899" s="580"/>
      <c r="P899" s="968">
        <f>IFERROR(IF(SUM(G899)/(I887)&lt;100%,MIN((I887)-SUM(G899),(I887)*0.25),0),0)</f>
        <v>0</v>
      </c>
      <c r="Q899" s="968">
        <f>IF(SUM(G899)-(I887+R894)&gt;0,SUM(G899)-(I887+R894),0)</f>
        <v>0</v>
      </c>
      <c r="R899" s="596" t="s">
        <v>2351</v>
      </c>
      <c r="S899" s="576" t="s">
        <v>2342</v>
      </c>
      <c r="T899" s="599">
        <f>G885</f>
        <v>0</v>
      </c>
      <c r="U899" s="578"/>
      <c r="V899" s="579">
        <f>G899+G900+G901</f>
        <v>0</v>
      </c>
      <c r="W899" s="579">
        <f>U899-V899</f>
        <v>0</v>
      </c>
      <c r="X899" s="579">
        <f>IFERROR(W913*W899/(SUM(W899:W912)),0)</f>
        <v>0</v>
      </c>
      <c r="Y899" s="879">
        <f>SUMIFS(בקרה!$S:$S,בקרה!$D:$D,T899,בקרה!$K:$K,S899)</f>
        <v>0</v>
      </c>
      <c r="Z899" s="121"/>
      <c r="AA899" s="143"/>
      <c r="AB899" s="143"/>
      <c r="AC899" s="504">
        <v>0</v>
      </c>
      <c r="AD899" s="505">
        <f>IFERROR(U899-AC899,0)</f>
        <v>0</v>
      </c>
      <c r="AE899" s="143"/>
      <c r="AI899" s="20"/>
      <c r="BO899" s="86"/>
    </row>
    <row r="900" spans="1:67" ht="15" customHeight="1" thickBot="1" x14ac:dyDescent="0.3">
      <c r="A900" s="520">
        <f>IFERROR(VLOOKUP($G$5,'רשימת רשויות'!A:C,3,0),0)</f>
        <v>0</v>
      </c>
      <c r="B900" s="520">
        <f t="shared" si="121"/>
        <v>0</v>
      </c>
      <c r="D900" s="1134"/>
      <c r="E900" s="1137"/>
      <c r="F900" s="589" t="s">
        <v>44</v>
      </c>
      <c r="G900" s="123">
        <f>IF(G890="תקין",IFERROR(VLOOKUP('בית ספר - תקצוב לפי מוסד (9)'!G885,' איוש משרות (8)'!C:J,7,0),0),0)</f>
        <v>0</v>
      </c>
      <c r="H900" s="124">
        <f>I889+R896+J889</f>
        <v>0</v>
      </c>
      <c r="I900" s="119">
        <f>IFERROR(SUM(G900:G901)/H900,0)</f>
        <v>0</v>
      </c>
      <c r="J900" s="100">
        <f>MIN(R896+I889,IF(ISNUMBER(SUM(G900:G901)),SUM(G900:G901),0))</f>
        <v>0</v>
      </c>
      <c r="K900" s="1139">
        <f>MAX((H900)-(G900+G901),0)</f>
        <v>0</v>
      </c>
      <c r="L900" s="407"/>
      <c r="M900" s="393"/>
      <c r="N900" s="393"/>
      <c r="O900" s="580"/>
      <c r="P900" s="1140"/>
      <c r="Q900" s="1140"/>
      <c r="R900" s="617">
        <f>MAX(MIN(P908-Q908,H908*0.15-G906),0)</f>
        <v>0</v>
      </c>
      <c r="S900" s="576"/>
      <c r="T900" s="599">
        <f>G885</f>
        <v>0</v>
      </c>
      <c r="U900" s="578"/>
      <c r="V900" s="579"/>
      <c r="W900" s="579">
        <f t="shared" ref="W900:W912" si="126">U900-V900</f>
        <v>0</v>
      </c>
      <c r="X900" s="579"/>
      <c r="Y900" s="879"/>
      <c r="Z900" s="121"/>
      <c r="AA900" s="143"/>
      <c r="AB900" s="143"/>
      <c r="AC900" s="504"/>
      <c r="AD900" s="505">
        <f t="shared" ref="AD900:AD906" si="127">IFERROR(U900-AC900,0)</f>
        <v>0</v>
      </c>
      <c r="AE900" s="143"/>
      <c r="AI900" s="20"/>
      <c r="BO900" s="86"/>
    </row>
    <row r="901" spans="1:67" ht="15.75" customHeight="1" x14ac:dyDescent="0.25">
      <c r="A901" s="520">
        <f>IFERROR(VLOOKUP($G$5,'רשימת רשויות'!A:C,3,0),0)</f>
        <v>0</v>
      </c>
      <c r="B901" s="520">
        <f t="shared" si="121"/>
        <v>0</v>
      </c>
      <c r="D901" s="1134"/>
      <c r="E901" s="1137"/>
      <c r="F901" s="589" t="s">
        <v>45</v>
      </c>
      <c r="G901" s="123">
        <f>IF(G890="תקין",IFERROR(VLOOKUP('בית ספר - תקצוב לפי מוסד (9)'!G885,' איוש משרות (8)'!C:J,8,0),0),0)</f>
        <v>0</v>
      </c>
      <c r="H901" s="125"/>
      <c r="I901" s="126"/>
      <c r="J901" s="104"/>
      <c r="K901" s="1139"/>
      <c r="L901" s="407"/>
      <c r="M901" s="393"/>
      <c r="N901" s="393"/>
      <c r="O901" s="580"/>
      <c r="P901" s="1140"/>
      <c r="Q901" s="1140"/>
      <c r="R901" s="596"/>
      <c r="S901" s="576"/>
      <c r="T901" s="599">
        <f>G885</f>
        <v>0</v>
      </c>
      <c r="U901" s="578"/>
      <c r="V901" s="579"/>
      <c r="W901" s="579">
        <f t="shared" si="126"/>
        <v>0</v>
      </c>
      <c r="X901" s="579"/>
      <c r="Y901" s="879"/>
      <c r="Z901" s="121"/>
      <c r="AA901" s="143"/>
      <c r="AB901" s="143"/>
      <c r="AC901" s="504"/>
      <c r="AD901" s="505">
        <f t="shared" si="127"/>
        <v>0</v>
      </c>
      <c r="AE901" s="143"/>
      <c r="AG901" s="55"/>
      <c r="AH901" s="55"/>
      <c r="AI901" s="55"/>
      <c r="AJ901" s="55"/>
      <c r="AK901" s="55"/>
      <c r="BO901" s="86"/>
    </row>
    <row r="902" spans="1:67" ht="15.75" customHeight="1" x14ac:dyDescent="0.25">
      <c r="A902" s="520">
        <f>IFERROR(VLOOKUP($G$5,'רשימת רשויות'!A:C,3,0),0)</f>
        <v>0</v>
      </c>
      <c r="B902" s="520">
        <f t="shared" si="121"/>
        <v>0</v>
      </c>
      <c r="D902" s="1134"/>
      <c r="E902" s="1137"/>
      <c r="F902" s="589" t="s">
        <v>0</v>
      </c>
      <c r="G902" s="117">
        <f>IF(G890="תקין",SUMIFS('דוח הוצאות בפועל (4)'!$E$17:$E$3016,'דוח הוצאות בפועל (4)'!$B$17:$B$3016,'בית ספר - תקצוב לפי מוסד (9)'!$G885,'דוח הוצאות בפועל (4)'!$M$17:$M$3016,"הע"),0)-Y902</f>
        <v>0</v>
      </c>
      <c r="H902" s="127">
        <f>J887</f>
        <v>0</v>
      </c>
      <c r="I902" s="128">
        <f>IFERROR(G902/H902,0)</f>
        <v>0</v>
      </c>
      <c r="J902" s="129">
        <f>MIN(IF(ISNUMBER(G902),G902,0),H902)</f>
        <v>0</v>
      </c>
      <c r="K902" s="120">
        <f>MAX(H902-G902,0)</f>
        <v>0</v>
      </c>
      <c r="L902" s="407"/>
      <c r="M902" s="393"/>
      <c r="N902" s="393"/>
      <c r="O902" s="580"/>
      <c r="P902" s="968">
        <f>MAX(IF(I902&lt;100%,MIN((H902-G902),H902*0.25),0),0)</f>
        <v>0</v>
      </c>
      <c r="Q902" s="619">
        <f>IF(G902-H902&gt;0,G902-H902,0)</f>
        <v>0</v>
      </c>
      <c r="R902" s="596"/>
      <c r="S902" s="610" t="s">
        <v>0</v>
      </c>
      <c r="T902" s="599">
        <f>G885</f>
        <v>0</v>
      </c>
      <c r="U902" s="578"/>
      <c r="V902" s="579">
        <f>G902</f>
        <v>0</v>
      </c>
      <c r="W902" s="579">
        <f t="shared" si="126"/>
        <v>0</v>
      </c>
      <c r="X902" s="579">
        <f>IFERROR(W913*W902/(SUM(W899:W912)),0)</f>
        <v>0</v>
      </c>
      <c r="Y902" s="879">
        <f>SUMIFS(בקרה!$S:$S,בקרה!$D:$D,T902,בקרה!$K:$K,S902)</f>
        <v>0</v>
      </c>
      <c r="Z902" s="121"/>
      <c r="AA902" s="143"/>
      <c r="AB902" s="143"/>
      <c r="AC902" s="504">
        <v>0</v>
      </c>
      <c r="AD902" s="505">
        <f t="shared" si="127"/>
        <v>0</v>
      </c>
      <c r="AE902" s="143"/>
      <c r="AG902" s="55"/>
      <c r="AH902" s="55"/>
      <c r="AI902" s="40"/>
      <c r="AJ902" s="55"/>
      <c r="AK902" s="55"/>
      <c r="BO902" s="86"/>
    </row>
    <row r="903" spans="1:67" s="55" customFormat="1" ht="15.75" customHeight="1" x14ac:dyDescent="0.25">
      <c r="A903" s="520">
        <f>IFERROR(VLOOKUP($G$5,'רשימת רשויות'!A:C,3,0),0)</f>
        <v>0</v>
      </c>
      <c r="B903" s="520">
        <f t="shared" si="121"/>
        <v>0</v>
      </c>
      <c r="C903" s="39"/>
      <c r="D903" s="1134"/>
      <c r="E903" s="1137"/>
      <c r="F903" s="589" t="s">
        <v>93</v>
      </c>
      <c r="G903" s="130">
        <f>IF(G890="תקין",SUMIFS('דוח הוצאות בפועל (4)'!$E$17:$E$3016,'דוח הוצאות בפועל (4)'!$B$17:$B$3016,'בית ספר - תקצוב לפי מוסד (9)'!$G885,'דוח הוצאות בפועל (4)'!$M$17:$M$3016,"אר"),0)-Y903</f>
        <v>0</v>
      </c>
      <c r="H903" s="118">
        <f>$I893</f>
        <v>0</v>
      </c>
      <c r="I903" s="131">
        <f>IFERROR((G903+G904)/H903,0)</f>
        <v>0</v>
      </c>
      <c r="J903" s="100">
        <f>MIN((IF(ISNUMBER(G903),G903,0)+IF(ISNUMBER(G904),G904,0)),H903)</f>
        <v>0</v>
      </c>
      <c r="K903" s="1139">
        <f>MAX((H903)-(G903+G904),0)</f>
        <v>0</v>
      </c>
      <c r="L903" s="407"/>
      <c r="M903" s="393"/>
      <c r="N903" s="393"/>
      <c r="O903" s="602"/>
      <c r="P903" s="1141"/>
      <c r="Q903" s="1142"/>
      <c r="R903" s="596"/>
      <c r="S903" s="610" t="s">
        <v>93</v>
      </c>
      <c r="T903" s="599">
        <f>G885</f>
        <v>0</v>
      </c>
      <c r="U903" s="578"/>
      <c r="V903" s="579">
        <f t="shared" ref="V903:V904" si="128">G903</f>
        <v>0</v>
      </c>
      <c r="W903" s="579">
        <f t="shared" si="126"/>
        <v>0</v>
      </c>
      <c r="X903" s="579">
        <f>IFERROR(W913*W903/(SUM(W899:W912)),0)</f>
        <v>0</v>
      </c>
      <c r="Y903" s="879">
        <f>SUMIFS(בקרה!$S:$S,בקרה!$D:$D,T903,בקרה!$K:$K,S903)</f>
        <v>0</v>
      </c>
      <c r="Z903" s="121"/>
      <c r="AA903" s="143"/>
      <c r="AB903" s="143"/>
      <c r="AC903" s="504">
        <v>0</v>
      </c>
      <c r="AD903" s="505">
        <f t="shared" si="127"/>
        <v>0</v>
      </c>
      <c r="AE903" s="143"/>
      <c r="AJ903" s="22"/>
      <c r="AO903" s="22"/>
      <c r="AP903" s="22"/>
      <c r="AQ903" s="22"/>
      <c r="AR903" s="22"/>
      <c r="AS903" s="22"/>
      <c r="AT903" s="22"/>
      <c r="AU903" s="35"/>
      <c r="AV903" s="35"/>
      <c r="AW903" s="35"/>
      <c r="AX903" s="35"/>
      <c r="AY903" s="35"/>
      <c r="AZ903" s="35"/>
      <c r="BA903" s="35"/>
      <c r="BB903" s="35"/>
      <c r="BC903" s="35"/>
      <c r="BD903" s="35"/>
      <c r="BE903" s="35"/>
      <c r="BF903" s="35"/>
      <c r="BG903" s="35"/>
      <c r="BH903" s="35"/>
      <c r="BI903" s="35"/>
      <c r="BJ903" s="35"/>
      <c r="BK903" s="35"/>
      <c r="BL903" s="35"/>
      <c r="BM903" s="35"/>
      <c r="BN903" s="35"/>
      <c r="BO903" s="86"/>
    </row>
    <row r="904" spans="1:67" s="55" customFormat="1" ht="15.75" customHeight="1" x14ac:dyDescent="0.25">
      <c r="A904" s="520">
        <f>IFERROR(VLOOKUP($G$5,'רשימת רשויות'!A:C,3,0),0)</f>
        <v>0</v>
      </c>
      <c r="B904" s="520">
        <f t="shared" si="121"/>
        <v>0</v>
      </c>
      <c r="C904" s="39"/>
      <c r="D904" s="1134"/>
      <c r="E904" s="1137"/>
      <c r="F904" s="589" t="s">
        <v>46</v>
      </c>
      <c r="G904" s="130">
        <f>IF(G890="תקין",SUMIFS('דוח הוצאות בפועל (4)'!$E$17:$E$3016,'דוח הוצאות בפועל (4)'!$B$17:$B$3016,'בית ספר - תקצוב לפי מוסד (9)'!$G885,'דוח הוצאות בפועל (4)'!$M$17:$M$3016,"מל"),0)-Y904</f>
        <v>0</v>
      </c>
      <c r="H904" s="132"/>
      <c r="I904" s="133"/>
      <c r="J904" s="104"/>
      <c r="K904" s="1139"/>
      <c r="L904" s="407"/>
      <c r="M904" s="393"/>
      <c r="N904" s="393"/>
      <c r="O904" s="602"/>
      <c r="P904" s="1141"/>
      <c r="Q904" s="1142"/>
      <c r="R904" s="596"/>
      <c r="S904" s="610" t="s">
        <v>46</v>
      </c>
      <c r="T904" s="599">
        <f>G885</f>
        <v>0</v>
      </c>
      <c r="U904" s="578"/>
      <c r="V904" s="579">
        <f t="shared" si="128"/>
        <v>0</v>
      </c>
      <c r="W904" s="579">
        <f t="shared" si="126"/>
        <v>0</v>
      </c>
      <c r="X904" s="579">
        <f>IFERROR(W913*W904/(SUM(W899:W912)),0)</f>
        <v>0</v>
      </c>
      <c r="Y904" s="879">
        <f>SUMIFS(בקרה!$S:$S,בקרה!$D:$D,T904,בקרה!$K:$K,S904)</f>
        <v>0</v>
      </c>
      <c r="Z904" s="121"/>
      <c r="AA904" s="143"/>
      <c r="AB904" s="143"/>
      <c r="AC904" s="504">
        <v>0</v>
      </c>
      <c r="AD904" s="505">
        <f t="shared" si="127"/>
        <v>0</v>
      </c>
      <c r="AE904" s="143"/>
      <c r="AJ904" s="22"/>
      <c r="AO904" s="22"/>
      <c r="AP904" s="22"/>
      <c r="AQ904" s="22"/>
      <c r="AR904" s="22"/>
      <c r="AS904" s="22"/>
      <c r="AT904" s="22"/>
      <c r="AU904" s="35"/>
      <c r="AV904" s="35"/>
      <c r="AW904" s="35"/>
      <c r="AX904" s="35"/>
      <c r="AY904" s="35"/>
      <c r="AZ904" s="35"/>
      <c r="BA904" s="35"/>
      <c r="BB904" s="35"/>
      <c r="BC904" s="35"/>
      <c r="BD904" s="35"/>
      <c r="BE904" s="35"/>
      <c r="BF904" s="35"/>
      <c r="BG904" s="35"/>
      <c r="BH904" s="35"/>
      <c r="BI904" s="35"/>
      <c r="BJ904" s="35"/>
      <c r="BK904" s="35"/>
      <c r="BL904" s="35"/>
      <c r="BM904" s="35"/>
      <c r="BN904" s="35"/>
      <c r="BO904" s="86"/>
    </row>
    <row r="905" spans="1:67" s="55" customFormat="1" ht="15" customHeight="1" x14ac:dyDescent="0.25">
      <c r="A905" s="520">
        <f>IFERROR(VLOOKUP($G$5,'רשימת רשויות'!A:C,3,0),0)</f>
        <v>0</v>
      </c>
      <c r="B905" s="520">
        <f t="shared" si="121"/>
        <v>0</v>
      </c>
      <c r="C905" s="39"/>
      <c r="D905" s="1134"/>
      <c r="E905" s="1137"/>
      <c r="F905" s="591" t="s">
        <v>23</v>
      </c>
      <c r="G905" s="134">
        <f>SUM(G899:G904)</f>
        <v>0</v>
      </c>
      <c r="H905" s="135">
        <f>SUM(H899:H904)</f>
        <v>0</v>
      </c>
      <c r="I905" s="128">
        <f>IFERROR(G905/H905,0)</f>
        <v>0</v>
      </c>
      <c r="J905" s="136">
        <f>SUM(J899:J904)</f>
        <v>0</v>
      </c>
      <c r="K905" s="137">
        <f>SUM(K899:K904)</f>
        <v>0</v>
      </c>
      <c r="L905" s="408"/>
      <c r="M905" s="394"/>
      <c r="N905" s="394"/>
      <c r="O905" s="602"/>
      <c r="P905" s="620">
        <f>SUM(P899:P904)</f>
        <v>0</v>
      </c>
      <c r="Q905" s="620">
        <f>SUM(Q899:Q904)</f>
        <v>0</v>
      </c>
      <c r="R905" s="596"/>
      <c r="S905" s="610"/>
      <c r="T905" s="599">
        <f>G885</f>
        <v>0</v>
      </c>
      <c r="U905" s="578"/>
      <c r="V905" s="579"/>
      <c r="W905" s="579">
        <f t="shared" si="126"/>
        <v>0</v>
      </c>
      <c r="X905" s="579"/>
      <c r="Y905" s="879"/>
      <c r="Z905" s="121"/>
      <c r="AA905" s="143"/>
      <c r="AB905" s="143"/>
      <c r="AC905" s="504"/>
      <c r="AD905" s="505">
        <f t="shared" si="127"/>
        <v>0</v>
      </c>
      <c r="AE905" s="143"/>
      <c r="AJ905" s="22"/>
      <c r="AL905" s="22"/>
      <c r="AM905" s="22"/>
      <c r="AN905" s="22"/>
      <c r="AO905" s="22"/>
      <c r="AP905" s="22"/>
      <c r="AQ905" s="22"/>
      <c r="AR905" s="22"/>
      <c r="AS905" s="22"/>
      <c r="AT905" s="22"/>
      <c r="AU905" s="35"/>
      <c r="AV905" s="35"/>
      <c r="AW905" s="35"/>
      <c r="AX905" s="35"/>
      <c r="AY905" s="35"/>
      <c r="AZ905" s="35"/>
      <c r="BA905" s="35"/>
      <c r="BB905" s="35"/>
      <c r="BC905" s="35"/>
      <c r="BD905" s="35"/>
      <c r="BE905" s="35"/>
      <c r="BF905" s="35"/>
      <c r="BG905" s="35"/>
      <c r="BH905" s="35"/>
      <c r="BI905" s="35"/>
      <c r="BJ905" s="35"/>
      <c r="BK905" s="35"/>
      <c r="BL905" s="35"/>
      <c r="BM905" s="35"/>
      <c r="BN905" s="35"/>
      <c r="BO905" s="86"/>
    </row>
    <row r="906" spans="1:67" s="55" customFormat="1" ht="15" customHeight="1" x14ac:dyDescent="0.25">
      <c r="A906" s="520">
        <f>IFERROR(VLOOKUP($G$5,'רשימת רשויות'!A:C,3,0),0)</f>
        <v>0</v>
      </c>
      <c r="B906" s="520">
        <f t="shared" si="121"/>
        <v>0</v>
      </c>
      <c r="C906" s="39"/>
      <c r="D906" s="1134"/>
      <c r="E906" s="1137"/>
      <c r="F906" s="589" t="s">
        <v>3</v>
      </c>
      <c r="G906" s="117">
        <f>IF(G890="תקין",SUMIFS('דוח הוצאות בפועל (4)'!$E$17:$E$3016,'דוח הוצאות בפועל (4)'!$B$17:$B$3016,'בית ספר - תקצוב לפי מוסד (9)'!$G885,'דוח הוצאות בפועל (4)'!$M$17:$M$3016,"ני")+SUMIFS('דוח הוצאות בפועל (4)'!$E$17:$E$3016,'דוח הוצאות בפועל (4)'!$B$17:$B$3016,'בית ספר - תקצוב לפי מוסד (9)'!$G885,'דוח הוצאות בפועל (4)'!$M$17:$M$3016,"על"),0)-Y906</f>
        <v>0</v>
      </c>
      <c r="H906" s="117">
        <f>H887</f>
        <v>0</v>
      </c>
      <c r="I906" s="138">
        <f>IFERROR(G906/H906,0)</f>
        <v>0</v>
      </c>
      <c r="J906" s="117">
        <f>IFERROR(IF(G906/H908&gt;0.15,MIN(H908*0.15,H906),MIN(H906,IF(ISNUMBER(G906),G906,0))),0)</f>
        <v>0</v>
      </c>
      <c r="K906" s="120">
        <f>MAX(H906-G906,0)</f>
        <v>0</v>
      </c>
      <c r="L906" s="407"/>
      <c r="M906" s="393"/>
      <c r="N906" s="393"/>
      <c r="O906" s="602"/>
      <c r="P906" s="620">
        <f>IF(I906&lt;100%,MIN(H906-G906,H906*0.25),0)</f>
        <v>0</v>
      </c>
      <c r="Q906" s="620">
        <f>MAX(MIN(IF(G906-H906&gt;0,G906-H906,0),$H908*0.15-H906-J907),0)</f>
        <v>0</v>
      </c>
      <c r="R906" s="596"/>
      <c r="S906" s="610" t="s">
        <v>3</v>
      </c>
      <c r="T906" s="599">
        <f>G885</f>
        <v>0</v>
      </c>
      <c r="U906" s="578"/>
      <c r="V906" s="579">
        <f t="shared" ref="V906" si="129">G906</f>
        <v>0</v>
      </c>
      <c r="W906" s="579">
        <f t="shared" si="126"/>
        <v>0</v>
      </c>
      <c r="X906" s="579"/>
      <c r="Y906" s="879"/>
      <c r="Z906" s="121"/>
      <c r="AA906" s="143"/>
      <c r="AB906" s="143"/>
      <c r="AC906" s="504">
        <v>0</v>
      </c>
      <c r="AD906" s="505">
        <f t="shared" si="127"/>
        <v>0</v>
      </c>
      <c r="AE906" s="143"/>
      <c r="AG906" s="22"/>
      <c r="AH906" s="22"/>
      <c r="AI906" s="22"/>
      <c r="AJ906" s="22"/>
      <c r="AK906" s="22"/>
      <c r="AL906" s="22"/>
      <c r="AM906" s="22"/>
      <c r="AN906" s="22"/>
      <c r="AO906" s="22"/>
      <c r="AP906" s="22"/>
      <c r="AQ906" s="22"/>
      <c r="AR906" s="22"/>
      <c r="AS906" s="22"/>
      <c r="AT906" s="22"/>
      <c r="AU906" s="35"/>
      <c r="AV906" s="35"/>
      <c r="AW906" s="35"/>
      <c r="AX906" s="35"/>
      <c r="AY906" s="35"/>
      <c r="AZ906" s="35"/>
      <c r="BA906" s="35"/>
      <c r="BB906" s="35"/>
      <c r="BC906" s="35"/>
      <c r="BD906" s="35"/>
      <c r="BE906" s="35"/>
      <c r="BF906" s="35"/>
      <c r="BG906" s="35"/>
      <c r="BH906" s="35"/>
      <c r="BI906" s="35"/>
      <c r="BJ906" s="35"/>
      <c r="BK906" s="35"/>
      <c r="BL906" s="35"/>
      <c r="BM906" s="35"/>
      <c r="BN906" s="35"/>
      <c r="BO906" s="86"/>
    </row>
    <row r="907" spans="1:67" s="55" customFormat="1" ht="15.75" customHeight="1" x14ac:dyDescent="0.25">
      <c r="A907" s="520">
        <f>IFERROR(VLOOKUP($G$5,'רשימת רשויות'!A:C,3,0),0)</f>
        <v>0</v>
      </c>
      <c r="B907" s="520">
        <f t="shared" si="121"/>
        <v>0</v>
      </c>
      <c r="C907" s="39"/>
      <c r="D907" s="1134"/>
      <c r="E907" s="1137"/>
      <c r="F907" s="589" t="s">
        <v>2918</v>
      </c>
      <c r="G907" s="117">
        <f>0.07*(G901+G900)</f>
        <v>0</v>
      </c>
      <c r="H907" s="117">
        <f>H889</f>
        <v>0</v>
      </c>
      <c r="I907" s="138">
        <f>IFERROR(G907/H907,0)</f>
        <v>0</v>
      </c>
      <c r="J907" s="117">
        <f>IFERROR(MIN(0.07*(G900+G901),0.07*I889),0)</f>
        <v>0</v>
      </c>
      <c r="K907" s="120">
        <f>MAX(H907-G907,0)</f>
        <v>0</v>
      </c>
      <c r="L907" s="407"/>
      <c r="M907" s="393"/>
      <c r="N907" s="393"/>
      <c r="O907" s="602"/>
      <c r="P907" s="620"/>
      <c r="Q907" s="619"/>
      <c r="R907" s="596"/>
      <c r="S907" s="611"/>
      <c r="T907" s="599">
        <f>G885</f>
        <v>0</v>
      </c>
      <c r="U907" s="578"/>
      <c r="V907" s="579"/>
      <c r="W907" s="579">
        <f t="shared" si="126"/>
        <v>0</v>
      </c>
      <c r="X907" s="579"/>
      <c r="Y907" s="879"/>
      <c r="Z907" s="121"/>
      <c r="AA907" s="143"/>
      <c r="AB907" s="143"/>
      <c r="AC907" s="504"/>
      <c r="AD907" s="505"/>
      <c r="AE907" s="143"/>
      <c r="AF907" s="140"/>
      <c r="AG907" s="22"/>
      <c r="AH907" s="22"/>
      <c r="AI907" s="22"/>
      <c r="AJ907" s="22"/>
      <c r="AK907" s="22"/>
      <c r="AL907" s="22"/>
      <c r="AM907" s="22"/>
      <c r="AN907" s="22"/>
      <c r="AO907" s="22"/>
      <c r="AP907" s="22"/>
      <c r="AQ907" s="22"/>
      <c r="AR907" s="22"/>
      <c r="AS907" s="22"/>
      <c r="AT907" s="22"/>
      <c r="AU907" s="35"/>
      <c r="AV907" s="35"/>
      <c r="AW907" s="35"/>
      <c r="AX907" s="35"/>
      <c r="AY907" s="35"/>
      <c r="AZ907" s="35"/>
      <c r="BA907" s="35"/>
      <c r="BB907" s="35"/>
      <c r="BC907" s="35"/>
      <c r="BD907" s="35"/>
      <c r="BE907" s="35"/>
      <c r="BF907" s="35"/>
      <c r="BG907" s="35"/>
      <c r="BH907" s="35"/>
      <c r="BI907" s="35"/>
      <c r="BJ907" s="35"/>
      <c r="BK907" s="35"/>
      <c r="BL907" s="35"/>
      <c r="BM907" s="35"/>
      <c r="BN907" s="35"/>
      <c r="BO907" s="86"/>
    </row>
    <row r="908" spans="1:67" ht="15.75" customHeight="1" x14ac:dyDescent="0.25">
      <c r="A908" s="520">
        <f>IFERROR(VLOOKUP($G$5,'רשימת רשויות'!A:C,3,0),0)</f>
        <v>0</v>
      </c>
      <c r="B908" s="520">
        <f t="shared" si="121"/>
        <v>0</v>
      </c>
      <c r="D908" s="1134"/>
      <c r="E908" s="1137"/>
      <c r="F908" s="591" t="s">
        <v>15</v>
      </c>
      <c r="G908" s="134">
        <f>G905+G906+G907</f>
        <v>0</v>
      </c>
      <c r="H908" s="134">
        <f>H905+H906+H907</f>
        <v>0</v>
      </c>
      <c r="I908" s="138">
        <f>IFERROR(G908/H908,0)</f>
        <v>0</v>
      </c>
      <c r="J908" s="139">
        <f>J905+J906+J907</f>
        <v>0</v>
      </c>
      <c r="K908" s="137">
        <f>K906+K905+K907</f>
        <v>0</v>
      </c>
      <c r="L908" s="408"/>
      <c r="M908" s="394"/>
      <c r="N908" s="394"/>
      <c r="O908" s="602"/>
      <c r="P908" s="621">
        <f>SUM(P905:P906)</f>
        <v>0</v>
      </c>
      <c r="Q908" s="622">
        <f>Q905+Q906</f>
        <v>0</v>
      </c>
      <c r="R908" s="596"/>
      <c r="S908" s="611"/>
      <c r="T908" s="599">
        <f>G885</f>
        <v>0</v>
      </c>
      <c r="U908" s="578"/>
      <c r="V908" s="579"/>
      <c r="W908" s="579">
        <f t="shared" si="126"/>
        <v>0</v>
      </c>
      <c r="X908" s="579"/>
      <c r="Y908" s="879"/>
      <c r="Z908" s="106"/>
      <c r="AC908" s="504"/>
      <c r="AD908" s="505"/>
      <c r="AH908" s="143"/>
      <c r="BO908" s="86"/>
    </row>
    <row r="909" spans="1:67" ht="15.75" customHeight="1" x14ac:dyDescent="0.25">
      <c r="A909" s="520">
        <f>IFERROR(VLOOKUP($G$5,'רשימת רשויות'!A:C,3,0),0)</f>
        <v>0</v>
      </c>
      <c r="B909" s="520">
        <f t="shared" si="121"/>
        <v>0</v>
      </c>
      <c r="D909" s="1134"/>
      <c r="E909" s="1137"/>
      <c r="F909" s="589" t="s">
        <v>2261</v>
      </c>
      <c r="G909" s="117">
        <f>IF(G890="תקין",SUMIF('תשלומי הורים ומלגות להורים (5) '!$B$18:$B$517,$G885,'תשלומי הורים ומלגות להורים (5) '!$C$18:$C$517),0)</f>
        <v>0</v>
      </c>
      <c r="H909" s="117">
        <f>(G888+G889)*$G$7</f>
        <v>0</v>
      </c>
      <c r="I909" s="141"/>
      <c r="J909" s="141"/>
      <c r="K909" s="142"/>
      <c r="L909" s="395"/>
      <c r="M909" s="395"/>
      <c r="N909" s="395"/>
      <c r="O909" s="602"/>
      <c r="P909" s="623"/>
      <c r="Q909" s="619"/>
      <c r="R909" s="596"/>
      <c r="S909" s="612"/>
      <c r="T909" s="599">
        <f>G885</f>
        <v>0</v>
      </c>
      <c r="U909" s="578"/>
      <c r="V909" s="579"/>
      <c r="W909" s="579">
        <f t="shared" si="126"/>
        <v>0</v>
      </c>
      <c r="X909" s="579"/>
      <c r="Y909" s="879"/>
      <c r="Z909" s="121"/>
      <c r="AA909" s="143"/>
      <c r="AB909" s="143"/>
      <c r="AC909" s="504"/>
      <c r="AD909" s="505"/>
      <c r="AE909" s="143"/>
      <c r="AF909" s="148"/>
      <c r="BO909" s="86"/>
    </row>
    <row r="910" spans="1:67" ht="15.75" customHeight="1" thickBot="1" x14ac:dyDescent="0.3">
      <c r="A910" s="520">
        <f>IFERROR(VLOOKUP($G$5,'רשימת רשויות'!A:C,3,0),0)</f>
        <v>0</v>
      </c>
      <c r="B910" s="520">
        <f t="shared" ref="B910:B973" si="130">IF(F911="סמל המוסד",G911,B909)</f>
        <v>0</v>
      </c>
      <c r="D910" s="1134"/>
      <c r="E910" s="1137"/>
      <c r="F910" s="592" t="s">
        <v>21</v>
      </c>
      <c r="G910" s="144">
        <f>G908-G909</f>
        <v>0</v>
      </c>
      <c r="H910" s="144">
        <f>H908-H909</f>
        <v>0</v>
      </c>
      <c r="I910" s="145"/>
      <c r="J910" s="145"/>
      <c r="K910" s="146"/>
      <c r="L910" s="396"/>
      <c r="M910" s="396"/>
      <c r="N910" s="396"/>
      <c r="O910" s="602"/>
      <c r="P910" s="619"/>
      <c r="Q910" s="619"/>
      <c r="R910" s="596"/>
      <c r="S910" s="612"/>
      <c r="T910" s="599">
        <f>G885</f>
        <v>0</v>
      </c>
      <c r="U910" s="578"/>
      <c r="V910" s="579"/>
      <c r="W910" s="579">
        <f t="shared" si="126"/>
        <v>0</v>
      </c>
      <c r="X910" s="579"/>
      <c r="Y910" s="879"/>
      <c r="Z910" s="147"/>
      <c r="AA910" s="148"/>
      <c r="AB910" s="148"/>
      <c r="AC910" s="504"/>
      <c r="AD910" s="505"/>
      <c r="AE910" s="148"/>
      <c r="AF910" s="148"/>
      <c r="BO910" s="86"/>
    </row>
    <row r="911" spans="1:67" ht="15.75" customHeight="1" thickBot="1" x14ac:dyDescent="0.3">
      <c r="A911" s="520">
        <f>IFERROR(VLOOKUP($G$5,'רשימת רשויות'!A:C,3,0),0)</f>
        <v>0</v>
      </c>
      <c r="B911" s="520">
        <f t="shared" si="130"/>
        <v>0</v>
      </c>
      <c r="D911" s="1134"/>
      <c r="E911" s="1137"/>
      <c r="F911" s="580"/>
      <c r="G911" s="580"/>
      <c r="H911" s="147"/>
      <c r="I911" s="149" t="s">
        <v>2197</v>
      </c>
      <c r="J911" s="150">
        <f>MAX(MIN(P908,Q908),0)</f>
        <v>0</v>
      </c>
      <c r="K911" s="580"/>
      <c r="L911" s="580"/>
      <c r="M911" s="580"/>
      <c r="N911" s="580"/>
      <c r="O911" s="580"/>
      <c r="P911" s="615" t="s">
        <v>2317</v>
      </c>
      <c r="Q911" s="624">
        <f>SUM(Q912:Q913)</f>
        <v>0</v>
      </c>
      <c r="R911" s="596"/>
      <c r="S911" s="612"/>
      <c r="T911" s="599">
        <f>G885</f>
        <v>0</v>
      </c>
      <c r="U911" s="578"/>
      <c r="V911" s="579"/>
      <c r="W911" s="579">
        <f t="shared" si="126"/>
        <v>0</v>
      </c>
      <c r="X911" s="579"/>
      <c r="Y911" s="879"/>
      <c r="Z911" s="106"/>
      <c r="AC911" s="504"/>
      <c r="AD911" s="505"/>
      <c r="AF911" s="148"/>
      <c r="BO911" s="86"/>
    </row>
    <row r="912" spans="1:67" ht="16.5" thickBot="1" x14ac:dyDescent="0.3">
      <c r="A912" s="520">
        <f>IFERROR(VLOOKUP($G$5,'רשימת רשויות'!A:C,3,0),0)</f>
        <v>0</v>
      </c>
      <c r="B912" s="520">
        <f t="shared" si="130"/>
        <v>0</v>
      </c>
      <c r="D912" s="1134"/>
      <c r="E912" s="1137"/>
      <c r="F912" s="580"/>
      <c r="G912" s="580"/>
      <c r="H912" s="580"/>
      <c r="I912" s="84" t="s">
        <v>2193</v>
      </c>
      <c r="J912" s="515" t="str">
        <f>IFERROR(1-H909/H908,"")</f>
        <v/>
      </c>
      <c r="K912" s="580"/>
      <c r="L912" s="580"/>
      <c r="M912" s="580"/>
      <c r="N912" s="580"/>
      <c r="O912" s="580"/>
      <c r="P912" s="615" t="s">
        <v>417</v>
      </c>
      <c r="Q912" s="616">
        <f>IFERROR(MAX(H910-I913-Q913,0),0)</f>
        <v>0</v>
      </c>
      <c r="R912" s="596"/>
      <c r="S912" s="600"/>
      <c r="T912" s="599">
        <f>G885</f>
        <v>0</v>
      </c>
      <c r="U912" s="578"/>
      <c r="V912" s="579"/>
      <c r="W912" s="579">
        <f t="shared" si="126"/>
        <v>0</v>
      </c>
      <c r="X912" s="579"/>
      <c r="Y912" s="879"/>
      <c r="Z912" s="106"/>
      <c r="AC912" s="504"/>
      <c r="AD912" s="505"/>
      <c r="BO912" s="86"/>
    </row>
    <row r="913" spans="1:67" ht="17.25" thickBot="1" x14ac:dyDescent="0.3">
      <c r="A913" s="520">
        <f>IFERROR(VLOOKUP($G$5,'רשימת רשויות'!A:C,3,0),0)</f>
        <v>0</v>
      </c>
      <c r="B913" s="520">
        <f t="shared" si="130"/>
        <v>0</v>
      </c>
      <c r="D913" s="1134"/>
      <c r="E913" s="1137"/>
      <c r="F913" s="1143" t="s">
        <v>2679</v>
      </c>
      <c r="G913" s="1143"/>
      <c r="H913" s="1143"/>
      <c r="I913" s="722">
        <f>IF(G890="לא תקין","לא קיימת זכאות לתקציב לאור אי איוש משרות רכז ו/או סגן רכז ",IFERROR(J912*(J911+J908),0))</f>
        <v>0</v>
      </c>
      <c r="J913" s="573"/>
      <c r="K913" s="574"/>
      <c r="L913" s="396"/>
      <c r="M913" s="574"/>
      <c r="N913" s="574"/>
      <c r="O913" s="574"/>
      <c r="P913" s="615" t="s">
        <v>2279</v>
      </c>
      <c r="Q913" s="616">
        <f>MAX(IF(AND(G908&gt;H908,I913&lt;H910),H910-I913,0),0)</f>
        <v>0</v>
      </c>
      <c r="R913" s="575"/>
      <c r="S913" s="576" t="s">
        <v>67</v>
      </c>
      <c r="T913" s="577">
        <f>G885</f>
        <v>0</v>
      </c>
      <c r="U913" s="578"/>
      <c r="V913" s="579">
        <f>I913</f>
        <v>0</v>
      </c>
      <c r="W913" s="579">
        <f>IFERROR(U913-V913,0)</f>
        <v>0</v>
      </c>
      <c r="X913" s="579">
        <f>SUM(X899:X912)</f>
        <v>0</v>
      </c>
      <c r="Y913" s="879"/>
      <c r="Z913" s="106"/>
      <c r="AC913" s="506">
        <v>0</v>
      </c>
      <c r="AD913" s="507">
        <f>IFERROR(U913-AC913,0)</f>
        <v>0</v>
      </c>
      <c r="BO913" s="86"/>
    </row>
    <row r="914" spans="1:67" ht="16.5" thickBot="1" x14ac:dyDescent="0.3">
      <c r="A914" s="520">
        <f>IFERROR(VLOOKUP($G$5,'רשימת רשויות'!A:C,3,0),0)</f>
        <v>0</v>
      </c>
      <c r="B914" s="520">
        <f t="shared" si="130"/>
        <v>0</v>
      </c>
      <c r="D914" s="1135"/>
      <c r="E914" s="1138"/>
      <c r="F914" s="1144" t="s">
        <v>2793</v>
      </c>
      <c r="G914" s="1145"/>
      <c r="H914" s="1145"/>
      <c r="I914" s="593">
        <f>IFERROR(IF(G890="תקין",SUMIFS('סייעות רפואיות או אישיות (7)'!$Q$17:Q$384,'סייעות רפואיות או אישיות (7)'!C$17:C$384,G885),0),0)</f>
        <v>0</v>
      </c>
      <c r="J914" s="151"/>
      <c r="K914" s="152"/>
      <c r="L914" s="409"/>
      <c r="M914" s="152"/>
      <c r="N914" s="152"/>
      <c r="O914" s="152"/>
      <c r="P914" s="613"/>
      <c r="Q914" s="614"/>
      <c r="R914" s="475"/>
      <c r="S914" s="489"/>
      <c r="T914" s="490"/>
      <c r="U914" s="491"/>
      <c r="V914" s="492"/>
      <c r="W914" s="492"/>
      <c r="X914" s="492"/>
      <c r="Y914" s="880"/>
      <c r="Z914" s="153"/>
      <c r="AC914" s="581"/>
      <c r="AD914" s="582"/>
      <c r="BO914" s="86"/>
    </row>
    <row r="915" spans="1:67" ht="34.5" thickBot="1" x14ac:dyDescent="0.55000000000000004">
      <c r="A915" s="520">
        <f>IFERROR(VLOOKUP($G$5,'רשימת רשויות'!A:C,3,0),0)</f>
        <v>0</v>
      </c>
      <c r="B915" s="520">
        <f t="shared" si="130"/>
        <v>0</v>
      </c>
      <c r="E915" s="154"/>
      <c r="I915" s="143"/>
      <c r="J915" s="148"/>
      <c r="O915" s="148"/>
      <c r="T915" s="481"/>
      <c r="BO915" s="86"/>
    </row>
    <row r="916" spans="1:67" s="20" customFormat="1" ht="16.5" customHeight="1" thickBot="1" x14ac:dyDescent="0.3">
      <c r="A916" s="520">
        <f>IFERROR(VLOOKUP($G$5,'רשימת רשויות'!A:C,3,0),0)</f>
        <v>0</v>
      </c>
      <c r="B916" s="520">
        <f t="shared" si="130"/>
        <v>0</v>
      </c>
      <c r="C916" s="39"/>
      <c r="D916" s="1133">
        <f>D885+1</f>
        <v>30</v>
      </c>
      <c r="E916" s="1136" t="str">
        <f>IFERROR(CONCATENATE("בית הספר ",VLOOKUP(G916,'מצבת והרשמה (2)'!$C$21:$D$520,2,0)," - ",$G$5),"")</f>
        <v>בית הספר המוסד לא קיים - 0</v>
      </c>
      <c r="F916" s="720" t="s">
        <v>146</v>
      </c>
      <c r="G916" s="721">
        <f>IFERROR(VLOOKUP(D:D,'דוח ביצוע (3)'!$A$21:$C$900,2,0),0)</f>
        <v>0</v>
      </c>
      <c r="H916" s="79"/>
      <c r="I916" s="80" t="s">
        <v>150</v>
      </c>
      <c r="J916" s="80"/>
      <c r="K916" s="81"/>
      <c r="L916" s="392"/>
      <c r="M916" s="392"/>
      <c r="N916" s="392"/>
      <c r="O916" s="82"/>
      <c r="P916" s="470"/>
      <c r="Q916" s="471"/>
      <c r="R916" s="472"/>
      <c r="S916" s="883"/>
      <c r="T916" s="884"/>
      <c r="U916" s="486"/>
      <c r="V916" s="487"/>
      <c r="W916" s="487"/>
      <c r="X916" s="487"/>
      <c r="Y916" s="885"/>
      <c r="Z916" s="83"/>
      <c r="AC916" s="502"/>
      <c r="AD916" s="503"/>
      <c r="AO916" s="22"/>
      <c r="AP916" s="22"/>
      <c r="AQ916" s="22"/>
      <c r="AR916" s="22"/>
      <c r="AS916" s="22"/>
      <c r="AT916" s="22"/>
      <c r="AU916" s="35"/>
      <c r="AV916" s="35"/>
      <c r="AW916" s="35"/>
      <c r="AX916" s="35"/>
      <c r="AY916" s="35"/>
      <c r="AZ916" s="35"/>
      <c r="BA916" s="35"/>
      <c r="BB916" s="35"/>
      <c r="BC916" s="35"/>
      <c r="BD916" s="35"/>
      <c r="BE916" s="35"/>
      <c r="BF916" s="35"/>
      <c r="BG916" s="35"/>
      <c r="BH916" s="35"/>
      <c r="BI916" s="35"/>
      <c r="BJ916" s="35"/>
      <c r="BK916" s="35"/>
      <c r="BL916" s="35"/>
      <c r="BM916" s="35"/>
      <c r="BN916" s="35"/>
      <c r="BO916" s="78"/>
    </row>
    <row r="917" spans="1:67" s="20" customFormat="1" ht="16.5" thickBot="1" x14ac:dyDescent="0.3">
      <c r="A917" s="520">
        <f>IFERROR(VLOOKUP($G$5,'רשימת רשויות'!A:C,3,0),0)</f>
        <v>0</v>
      </c>
      <c r="B917" s="520">
        <f t="shared" si="130"/>
        <v>0</v>
      </c>
      <c r="C917" s="39"/>
      <c r="D917" s="1134"/>
      <c r="E917" s="1137"/>
      <c r="F917" s="583" t="s">
        <v>145</v>
      </c>
      <c r="G917" s="516" t="str">
        <f>IFERROR(IF((G919+G920)=0,"",IF(VLOOKUP(G916,'דוח ביצוע (3)'!$B$21:$K$900,5,0)&gt;149,"גדול",IF(AND(VLOOKUP(G916,'דוח ביצוע (3)'!$B$21:$K$900,5,0)&gt;0,VLOOKUP(G916,'דוח ביצוע (3)'!$B$21:$K$900,5,0)&lt;150),"קטן",0))),"")</f>
        <v/>
      </c>
      <c r="H917" s="723" t="s">
        <v>88</v>
      </c>
      <c r="I917" s="723" t="s">
        <v>13</v>
      </c>
      <c r="J917" s="725" t="s">
        <v>14</v>
      </c>
      <c r="K917" s="724" t="s">
        <v>94</v>
      </c>
      <c r="L917" s="594"/>
      <c r="M917" s="420" t="s">
        <v>2584</v>
      </c>
      <c r="N917" s="397" t="s">
        <v>413</v>
      </c>
      <c r="O917" s="398" t="s">
        <v>52</v>
      </c>
      <c r="P917" s="595"/>
      <c r="Q917" s="595"/>
      <c r="R917" s="596"/>
      <c r="S917" s="610"/>
      <c r="T917" s="881"/>
      <c r="U917" s="598"/>
      <c r="V917" s="599"/>
      <c r="W917" s="599"/>
      <c r="X917" s="599"/>
      <c r="Y917" s="879"/>
      <c r="Z917" s="85"/>
      <c r="AC917" s="493"/>
      <c r="AD917" s="495"/>
      <c r="AO917" s="22"/>
      <c r="AP917" s="22"/>
      <c r="AQ917" s="22"/>
      <c r="AR917" s="22"/>
      <c r="AS917" s="22"/>
      <c r="AT917" s="22"/>
      <c r="AU917" s="35"/>
      <c r="AV917" s="35"/>
      <c r="AW917" s="35"/>
      <c r="AX917" s="35"/>
      <c r="AY917" s="35"/>
      <c r="AZ917" s="35"/>
      <c r="BA917" s="35"/>
      <c r="BB917" s="35"/>
      <c r="BC917" s="35"/>
      <c r="BD917" s="35"/>
      <c r="BE917" s="35"/>
      <c r="BF917" s="35"/>
      <c r="BG917" s="35"/>
      <c r="BH917" s="35"/>
      <c r="BI917" s="35"/>
      <c r="BJ917" s="35"/>
      <c r="BK917" s="35"/>
      <c r="BL917" s="35"/>
      <c r="BM917" s="35"/>
      <c r="BN917" s="35"/>
      <c r="BO917" s="78"/>
    </row>
    <row r="918" spans="1:67" s="20" customFormat="1" ht="15.75" customHeight="1" thickBot="1" x14ac:dyDescent="0.3">
      <c r="A918" s="520">
        <f>IFERROR(VLOOKUP($G$5,'רשימת רשויות'!A:C,3,0),0)</f>
        <v>0</v>
      </c>
      <c r="B918" s="520">
        <f t="shared" si="130"/>
        <v>0</v>
      </c>
      <c r="C918" s="39"/>
      <c r="D918" s="1134"/>
      <c r="E918" s="1137"/>
      <c r="F918" s="584" t="s">
        <v>144</v>
      </c>
      <c r="G918" s="87">
        <f>IF(G921="תקין",IFERROR(VLOOKUP($G916,'דוח ביצוע (3)'!$B$21:$Q$900,12,0),0),0)</f>
        <v>0</v>
      </c>
      <c r="H918" s="88">
        <f>IFERROR(G919*$AH$6+G920*$AH$7,0)</f>
        <v>0</v>
      </c>
      <c r="I918" s="88">
        <f>IFERROR(G919*$AI$6+G920*$AI$7,0)</f>
        <v>0</v>
      </c>
      <c r="J918" s="88">
        <f>IFERROR(G919*$AJ$6+G920*$AJ$7,0)</f>
        <v>0</v>
      </c>
      <c r="K918" s="88">
        <f>IFERROR(G919*$AK$6+G920*$AK$7,0)</f>
        <v>0</v>
      </c>
      <c r="L918" s="405"/>
      <c r="M918" s="399" t="s">
        <v>427</v>
      </c>
      <c r="N918" s="400" t="str">
        <f>IFERROR(VLOOKUP($G916,'דוח ביצוע (3)'!$B:$AE,28,0),"")</f>
        <v/>
      </c>
      <c r="O918" s="89" t="str">
        <f>IFERROR(VLOOKUP($G916,'דוח ביצוע (3)'!B:AE,29,0),"")</f>
        <v/>
      </c>
      <c r="P918" s="595"/>
      <c r="Q918" s="595"/>
      <c r="R918" s="596"/>
      <c r="S918" s="610"/>
      <c r="T918" s="881"/>
      <c r="U918" s="598"/>
      <c r="V918" s="599"/>
      <c r="W918" s="599"/>
      <c r="X918" s="599"/>
      <c r="Y918" s="879"/>
      <c r="Z918" s="85"/>
      <c r="AC918" s="493"/>
      <c r="AD918" s="495"/>
      <c r="AO918" s="22"/>
      <c r="AP918" s="22"/>
      <c r="AQ918" s="22"/>
      <c r="AR918" s="22"/>
      <c r="AS918" s="22"/>
      <c r="AT918" s="22"/>
      <c r="AU918" s="35"/>
      <c r="AV918" s="35"/>
      <c r="AW918" s="35"/>
      <c r="AX918" s="35"/>
      <c r="AY918" s="35"/>
      <c r="AZ918" s="35"/>
      <c r="BA918" s="35"/>
      <c r="BB918" s="35"/>
      <c r="BC918" s="35"/>
      <c r="BD918" s="35"/>
      <c r="BE918" s="35"/>
      <c r="BF918" s="35"/>
      <c r="BG918" s="35"/>
      <c r="BH918" s="35"/>
      <c r="BI918" s="35"/>
      <c r="BJ918" s="35"/>
      <c r="BK918" s="35"/>
      <c r="BL918" s="35"/>
      <c r="BM918" s="35"/>
      <c r="BN918" s="35"/>
      <c r="BO918" s="78"/>
    </row>
    <row r="919" spans="1:67" s="20" customFormat="1" ht="32.25" thickBot="1" x14ac:dyDescent="0.3">
      <c r="A919" s="520">
        <f>IFERROR(VLOOKUP($G$5,'רשימת רשויות'!A:C,3,0),0)</f>
        <v>0</v>
      </c>
      <c r="B919" s="520">
        <f t="shared" si="130"/>
        <v>0</v>
      </c>
      <c r="C919" s="39"/>
      <c r="D919" s="1134"/>
      <c r="E919" s="1137"/>
      <c r="F919" s="585" t="s">
        <v>2195</v>
      </c>
      <c r="G919" s="89">
        <f>IF(G921="תקין",MAX(N921,0),0)</f>
        <v>0</v>
      </c>
      <c r="H919" s="725" t="s">
        <v>151</v>
      </c>
      <c r="I919" s="725" t="s">
        <v>91</v>
      </c>
      <c r="J919" s="970" t="s">
        <v>3396</v>
      </c>
      <c r="K919" s="601"/>
      <c r="L919" s="601"/>
      <c r="M919" s="983" t="s">
        <v>2585</v>
      </c>
      <c r="N919" s="400" t="str">
        <f>IFERROR(G918/15*N918*1.25,"")</f>
        <v/>
      </c>
      <c r="O919" s="89" t="str">
        <f>IFERROR(G918/15*O918*1.25,"")</f>
        <v/>
      </c>
      <c r="P919" s="595"/>
      <c r="Q919" s="595"/>
      <c r="R919" s="596"/>
      <c r="S919" s="610"/>
      <c r="T919" s="881"/>
      <c r="U919" s="598"/>
      <c r="V919" s="599"/>
      <c r="W919" s="599"/>
      <c r="X919" s="599"/>
      <c r="Y919" s="879"/>
      <c r="Z919" s="85"/>
      <c r="AC919" s="493"/>
      <c r="AD919" s="495"/>
      <c r="AG919" s="22"/>
      <c r="AH919" s="55"/>
      <c r="AI919" s="55"/>
      <c r="AJ919" s="55"/>
      <c r="AK919" s="55"/>
      <c r="AO919" s="22"/>
      <c r="AP919" s="22"/>
      <c r="AQ919" s="22"/>
      <c r="AR919" s="22"/>
      <c r="AS919" s="22"/>
      <c r="AT919" s="22"/>
      <c r="AU919" s="35"/>
      <c r="AV919" s="35"/>
      <c r="AW919" s="35"/>
      <c r="AX919" s="35"/>
      <c r="AY919" s="35"/>
      <c r="AZ919" s="35"/>
      <c r="BA919" s="35"/>
      <c r="BB919" s="35"/>
      <c r="BC919" s="35"/>
      <c r="BD919" s="35"/>
      <c r="BE919" s="35"/>
      <c r="BF919" s="35"/>
      <c r="BG919" s="35"/>
      <c r="BH919" s="35"/>
      <c r="BI919" s="35"/>
      <c r="BJ919" s="35"/>
      <c r="BK919" s="35"/>
      <c r="BL919" s="35"/>
      <c r="BM919" s="35"/>
      <c r="BN919" s="35"/>
      <c r="BO919" s="86"/>
    </row>
    <row r="920" spans="1:67" s="20" customFormat="1" ht="16.5" thickBot="1" x14ac:dyDescent="0.3">
      <c r="A920" s="520">
        <f>IFERROR(VLOOKUP($G$5,'רשימת רשויות'!A:C,3,0),0)</f>
        <v>0</v>
      </c>
      <c r="B920" s="520">
        <f t="shared" si="130"/>
        <v>0</v>
      </c>
      <c r="C920" s="39"/>
      <c r="D920" s="1134"/>
      <c r="E920" s="1137"/>
      <c r="F920" s="585" t="s">
        <v>2196</v>
      </c>
      <c r="G920" s="89">
        <f>IF(G921="תקין",MAX(O921,0),0)</f>
        <v>0</v>
      </c>
      <c r="H920" s="88">
        <f>(IFERROR(IF((G919+G920)=0,0,IF(G917="קטן",G918*$AH$10,G918*$AH$11)),0))+(IFERROR(IF((G919+G920)=0,0,VLOOKUP(G916,'דוח ביצוע (3)'!$B:$AH,33,0)),0))</f>
        <v>0</v>
      </c>
      <c r="I920" s="88">
        <f>IFERROR(IF((G919+G920)=0,0,IF(G917="קטן",G918*$AI$10,G918*$AI$11)),0)</f>
        <v>0</v>
      </c>
      <c r="J920" s="88">
        <f>IFERROR(IF((G919+G920)=0,0,VLOOKUP(G916,'דוח ביצוע (3)'!$B:$AH,32,0)),0)</f>
        <v>0</v>
      </c>
      <c r="K920" s="90"/>
      <c r="L920" s="90"/>
      <c r="M920" s="399" t="s">
        <v>412</v>
      </c>
      <c r="N920" s="400">
        <f>IFERROR(VLOOKUP($G916,'דוח ביצוע (3)'!$B$21:$U$500,18,0),0)</f>
        <v>0</v>
      </c>
      <c r="O920" s="401">
        <f>IFERROR(VLOOKUP($G916,'דוח ביצוע (3)'!$B$21:$U$500,19,0),0)</f>
        <v>0</v>
      </c>
      <c r="P920" s="595"/>
      <c r="Q920" s="595"/>
      <c r="R920" s="596"/>
      <c r="S920" s="610"/>
      <c r="T920" s="881"/>
      <c r="U920" s="598"/>
      <c r="V920" s="599"/>
      <c r="W920" s="599"/>
      <c r="X920" s="599"/>
      <c r="Y920" s="879"/>
      <c r="Z920" s="85"/>
      <c r="AC920" s="493"/>
      <c r="AD920" s="495"/>
      <c r="AG920" s="22"/>
      <c r="AH920" s="55"/>
      <c r="AI920" s="55"/>
      <c r="AJ920" s="55"/>
      <c r="AK920" s="55"/>
      <c r="AO920" s="22"/>
      <c r="AP920" s="22"/>
      <c r="AQ920" s="22"/>
      <c r="AR920" s="22"/>
      <c r="AS920" s="22"/>
      <c r="AT920" s="22"/>
      <c r="AU920" s="35"/>
      <c r="AV920" s="35"/>
      <c r="AW920" s="35"/>
      <c r="AX920" s="35"/>
      <c r="AY920" s="35"/>
      <c r="AZ920" s="35"/>
      <c r="BA920" s="35"/>
      <c r="BB920" s="35"/>
      <c r="BC920" s="35"/>
      <c r="BD920" s="35"/>
      <c r="BE920" s="35"/>
      <c r="BF920" s="35"/>
      <c r="BG920" s="35"/>
      <c r="BH920" s="35"/>
      <c r="BI920" s="35"/>
      <c r="BJ920" s="35"/>
      <c r="BK920" s="35"/>
      <c r="BL920" s="35"/>
      <c r="BM920" s="35"/>
      <c r="BN920" s="35"/>
      <c r="BO920" s="86"/>
    </row>
    <row r="921" spans="1:67" s="20" customFormat="1" ht="16.5" thickBot="1" x14ac:dyDescent="0.3">
      <c r="A921" s="520">
        <f>IFERROR(VLOOKUP($G$5,'רשימת רשויות'!A:C,3,0),0)</f>
        <v>0</v>
      </c>
      <c r="B921" s="520">
        <f t="shared" si="130"/>
        <v>0</v>
      </c>
      <c r="C921" s="39"/>
      <c r="D921" s="1134"/>
      <c r="E921" s="1137"/>
      <c r="F921" s="586" t="s">
        <v>2355</v>
      </c>
      <c r="G921" s="514">
        <f>IFERROR(IF(VLOOKUP('בית ספר - תקצוב לפי מוסד (9)'!G916,' איוש משרות (8)'!$C:$K,9,0)="תקין","תקין","לא תקין"),0)</f>
        <v>0</v>
      </c>
      <c r="H921" s="91"/>
      <c r="I921" s="91"/>
      <c r="J921" s="91"/>
      <c r="K921" s="90"/>
      <c r="L921" s="90"/>
      <c r="M921" s="402" t="s">
        <v>2586</v>
      </c>
      <c r="N921" s="403">
        <f>IFERROR(MIN(N919,N920),0)</f>
        <v>0</v>
      </c>
      <c r="O921" s="404">
        <f>IFERROR(MIN(O919,O920),0)</f>
        <v>0</v>
      </c>
      <c r="P921" s="595"/>
      <c r="Q921" s="595"/>
      <c r="R921" s="596"/>
      <c r="S921" s="610"/>
      <c r="T921" s="881"/>
      <c r="U921" s="598"/>
      <c r="V921" s="599"/>
      <c r="W921" s="599"/>
      <c r="X921" s="599"/>
      <c r="Y921" s="879"/>
      <c r="Z921" s="85"/>
      <c r="AC921" s="493"/>
      <c r="AD921" s="495"/>
      <c r="AG921" s="94"/>
      <c r="AH921" s="40"/>
      <c r="AI921" s="40"/>
      <c r="AJ921" s="40"/>
      <c r="AK921" s="40"/>
      <c r="AO921" s="22"/>
      <c r="AP921" s="22"/>
      <c r="AQ921" s="22"/>
      <c r="AR921" s="22"/>
      <c r="AS921" s="22"/>
      <c r="AT921" s="22"/>
      <c r="AU921" s="35"/>
      <c r="AV921" s="35"/>
      <c r="AW921" s="35"/>
      <c r="AX921" s="35"/>
      <c r="AY921" s="35"/>
      <c r="AZ921" s="35"/>
      <c r="BA921" s="35"/>
      <c r="BB921" s="35"/>
      <c r="BC921" s="35"/>
      <c r="BD921" s="35"/>
      <c r="BE921" s="35"/>
      <c r="BF921" s="35"/>
      <c r="BG921" s="35"/>
      <c r="BH921" s="35"/>
      <c r="BI921" s="35"/>
      <c r="BJ921" s="35"/>
      <c r="BK921" s="35"/>
      <c r="BL921" s="35"/>
      <c r="BM921" s="35"/>
      <c r="BN921" s="35"/>
      <c r="BO921" s="86"/>
    </row>
    <row r="922" spans="1:67" s="55" customFormat="1" ht="37.15" customHeight="1" thickBot="1" x14ac:dyDescent="0.3">
      <c r="A922" s="520">
        <f>IFERROR(VLOOKUP($G$5,'רשימת רשויות'!A:C,3,0),0)</f>
        <v>0</v>
      </c>
      <c r="B922" s="520">
        <f t="shared" si="130"/>
        <v>0</v>
      </c>
      <c r="C922" s="39"/>
      <c r="D922" s="1134"/>
      <c r="E922" s="1137"/>
      <c r="F922" s="587" t="s">
        <v>142</v>
      </c>
      <c r="G922" s="92"/>
      <c r="H922" s="92"/>
      <c r="I922" s="92"/>
      <c r="J922" s="92"/>
      <c r="K922" s="602"/>
      <c r="L922" s="602"/>
      <c r="M922" s="602"/>
      <c r="N922" s="602"/>
      <c r="O922" s="602"/>
      <c r="P922" s="595"/>
      <c r="Q922" s="595"/>
      <c r="R922" s="596"/>
      <c r="S922" s="610"/>
      <c r="T922" s="881"/>
      <c r="U922" s="598"/>
      <c r="V922" s="599"/>
      <c r="W922" s="599"/>
      <c r="X922" s="599"/>
      <c r="Y922" s="879"/>
      <c r="Z922" s="93"/>
      <c r="AC922" s="493"/>
      <c r="AD922" s="495"/>
      <c r="AF922" s="22"/>
      <c r="AG922" s="98"/>
      <c r="AH922" s="98"/>
      <c r="AI922" s="40"/>
      <c r="AJ922" s="40"/>
      <c r="AK922" s="40"/>
      <c r="AO922" s="22"/>
      <c r="AP922" s="22"/>
      <c r="AQ922" s="22"/>
      <c r="AR922" s="22"/>
      <c r="AS922" s="22"/>
      <c r="AT922" s="22"/>
      <c r="AU922" s="35"/>
      <c r="AV922" s="35"/>
      <c r="AW922" s="35"/>
      <c r="AX922" s="35"/>
      <c r="AY922" s="35"/>
      <c r="AZ922" s="35"/>
      <c r="BA922" s="35"/>
      <c r="BB922" s="35"/>
      <c r="BC922" s="35"/>
      <c r="BD922" s="35"/>
      <c r="BE922" s="35"/>
      <c r="BF922" s="35"/>
      <c r="BG922" s="35"/>
      <c r="BH922" s="35"/>
      <c r="BI922" s="35"/>
      <c r="BJ922" s="35"/>
      <c r="BK922" s="35"/>
      <c r="BL922" s="35"/>
      <c r="BM922" s="35"/>
      <c r="BN922" s="35"/>
      <c r="BO922" s="86"/>
    </row>
    <row r="923" spans="1:67" s="40" customFormat="1" ht="31.5" x14ac:dyDescent="0.25">
      <c r="A923" s="520">
        <f>IFERROR(VLOOKUP($G$5,'רשימת רשויות'!A:C,3,0),0)</f>
        <v>0</v>
      </c>
      <c r="B923" s="520">
        <f t="shared" si="130"/>
        <v>0</v>
      </c>
      <c r="C923" s="39"/>
      <c r="D923" s="1134"/>
      <c r="E923" s="1137"/>
      <c r="F923" s="588" t="s">
        <v>94</v>
      </c>
      <c r="G923" s="95" t="s">
        <v>18</v>
      </c>
      <c r="H923" s="95" t="s">
        <v>19</v>
      </c>
      <c r="I923" s="95" t="s">
        <v>138</v>
      </c>
      <c r="J923" s="96" t="s">
        <v>139</v>
      </c>
      <c r="K923" s="603"/>
      <c r="L923" s="603"/>
      <c r="M923" s="603"/>
      <c r="N923" s="603"/>
      <c r="O923" s="603"/>
      <c r="P923" s="604"/>
      <c r="Q923" s="604"/>
      <c r="R923" s="596"/>
      <c r="S923" s="610"/>
      <c r="T923" s="881"/>
      <c r="U923" s="598"/>
      <c r="V923" s="599"/>
      <c r="W923" s="599"/>
      <c r="X923" s="599"/>
      <c r="Y923" s="879"/>
      <c r="Z923" s="97"/>
      <c r="AA923" s="94"/>
      <c r="AB923" s="94"/>
      <c r="AC923" s="493"/>
      <c r="AD923" s="495"/>
      <c r="AE923" s="94"/>
      <c r="AG923" s="98"/>
      <c r="AH923" s="98"/>
      <c r="AO923" s="22"/>
      <c r="AP923" s="22"/>
      <c r="AQ923" s="22"/>
      <c r="AR923" s="22"/>
      <c r="AS923" s="22"/>
      <c r="AT923" s="22"/>
      <c r="AU923" s="35"/>
      <c r="AV923" s="35"/>
      <c r="AW923" s="35"/>
      <c r="AX923" s="35"/>
      <c r="AY923" s="35"/>
      <c r="AZ923" s="35"/>
      <c r="BA923" s="35"/>
      <c r="BB923" s="35"/>
      <c r="BC923" s="35"/>
      <c r="BD923" s="35"/>
      <c r="BE923" s="35"/>
      <c r="BF923" s="35"/>
      <c r="BG923" s="35"/>
      <c r="BH923" s="35"/>
      <c r="BI923" s="35"/>
      <c r="BJ923" s="35"/>
      <c r="BK923" s="35"/>
      <c r="BL923" s="35"/>
      <c r="BM923" s="35"/>
      <c r="BN923" s="35"/>
      <c r="BO923" s="86"/>
    </row>
    <row r="924" spans="1:67" s="40" customFormat="1" ht="15.75" customHeight="1" thickBot="1" x14ac:dyDescent="0.3">
      <c r="A924" s="520">
        <f>IFERROR(VLOOKUP($G$5,'רשימת רשויות'!A:C,3,0),0)</f>
        <v>0</v>
      </c>
      <c r="B924" s="520">
        <f t="shared" si="130"/>
        <v>0</v>
      </c>
      <c r="C924" s="39"/>
      <c r="D924" s="1134"/>
      <c r="E924" s="1137"/>
      <c r="F924" s="589" t="s">
        <v>2280</v>
      </c>
      <c r="G924" s="99">
        <f>+G935</f>
        <v>0</v>
      </c>
      <c r="H924" s="100">
        <f>K918</f>
        <v>0</v>
      </c>
      <c r="I924" s="100">
        <f>H924-I926</f>
        <v>0</v>
      </c>
      <c r="J924" s="101">
        <f>IFERROR(I924/H924,0)</f>
        <v>0</v>
      </c>
      <c r="K924" s="603"/>
      <c r="L924" s="603"/>
      <c r="M924" s="603"/>
      <c r="N924" s="603"/>
      <c r="O924" s="603"/>
      <c r="P924" s="605"/>
      <c r="Q924" s="604"/>
      <c r="R924" s="606" t="s">
        <v>157</v>
      </c>
      <c r="S924" s="611"/>
      <c r="T924" s="881"/>
      <c r="U924" s="598"/>
      <c r="V924" s="599"/>
      <c r="W924" s="599"/>
      <c r="X924" s="599"/>
      <c r="Y924" s="879"/>
      <c r="Z924" s="102"/>
      <c r="AA924" s="122"/>
      <c r="AB924" s="122"/>
      <c r="AC924" s="493"/>
      <c r="AD924" s="495"/>
      <c r="AE924" s="122"/>
      <c r="AF924" s="22"/>
      <c r="AG924" s="98"/>
      <c r="AH924" s="98"/>
      <c r="AI924" s="20"/>
      <c r="AO924" s="22"/>
      <c r="AP924" s="22"/>
      <c r="AQ924" s="22"/>
      <c r="AR924" s="22"/>
      <c r="AS924" s="22"/>
      <c r="AT924" s="22"/>
      <c r="AU924" s="35"/>
      <c r="AV924" s="35"/>
      <c r="AW924" s="35"/>
      <c r="AX924" s="35"/>
      <c r="AY924" s="35"/>
      <c r="AZ924" s="35"/>
      <c r="BA924" s="35"/>
      <c r="BB924" s="35"/>
      <c r="BC924" s="35"/>
      <c r="BD924" s="35"/>
      <c r="BE924" s="35"/>
      <c r="BF924" s="35"/>
      <c r="BG924" s="35"/>
      <c r="BH924" s="35"/>
      <c r="BI924" s="35"/>
      <c r="BJ924" s="35"/>
      <c r="BK924" s="35"/>
      <c r="BL924" s="35"/>
      <c r="BM924" s="35"/>
      <c r="BN924" s="35"/>
      <c r="BO924" s="86"/>
    </row>
    <row r="925" spans="1:67" s="40" customFormat="1" ht="15.75" customHeight="1" thickBot="1" x14ac:dyDescent="0.3">
      <c r="A925" s="520">
        <f>IFERROR(VLOOKUP($G$5,'רשימת רשויות'!A:C,3,0),0)</f>
        <v>0</v>
      </c>
      <c r="B925" s="520">
        <f t="shared" si="130"/>
        <v>0</v>
      </c>
      <c r="C925" s="39"/>
      <c r="D925" s="1134"/>
      <c r="E925" s="1137"/>
      <c r="F925" s="589" t="s">
        <v>2281</v>
      </c>
      <c r="G925" s="99">
        <f>+G934</f>
        <v>0</v>
      </c>
      <c r="H925" s="103"/>
      <c r="I925" s="104"/>
      <c r="J925" s="105"/>
      <c r="K925" s="603"/>
      <c r="L925" s="603"/>
      <c r="M925" s="603"/>
      <c r="N925" s="603"/>
      <c r="O925" s="603"/>
      <c r="P925" s="605"/>
      <c r="Q925" s="604"/>
      <c r="R925" s="473">
        <f>I926-R927</f>
        <v>0</v>
      </c>
      <c r="S925" s="611"/>
      <c r="T925" s="881"/>
      <c r="U925" s="598"/>
      <c r="V925" s="599"/>
      <c r="W925" s="599"/>
      <c r="X925" s="599"/>
      <c r="Y925" s="879"/>
      <c r="Z925" s="106"/>
      <c r="AA925" s="22"/>
      <c r="AB925" s="22"/>
      <c r="AC925" s="493"/>
      <c r="AD925" s="495"/>
      <c r="AE925" s="22"/>
      <c r="AF925" s="22"/>
      <c r="AG925" s="98"/>
      <c r="AH925" s="98"/>
      <c r="AI925" s="20"/>
      <c r="AO925" s="22"/>
      <c r="AP925" s="22"/>
      <c r="AQ925" s="22"/>
      <c r="AR925" s="22"/>
      <c r="AS925" s="22"/>
      <c r="AT925" s="22"/>
      <c r="AU925" s="35"/>
      <c r="AV925" s="35"/>
      <c r="AW925" s="35"/>
      <c r="AX925" s="35"/>
      <c r="AY925" s="35"/>
      <c r="AZ925" s="35"/>
      <c r="BA925" s="35"/>
      <c r="BB925" s="35"/>
      <c r="BC925" s="35"/>
      <c r="BD925" s="35"/>
      <c r="BE925" s="35"/>
      <c r="BF925" s="35"/>
      <c r="BG925" s="35"/>
      <c r="BH925" s="35"/>
      <c r="BI925" s="35"/>
      <c r="BJ925" s="35"/>
      <c r="BK925" s="35"/>
      <c r="BL925" s="35"/>
      <c r="BM925" s="35"/>
      <c r="BN925" s="35"/>
      <c r="BO925" s="86"/>
    </row>
    <row r="926" spans="1:67" s="40" customFormat="1" ht="16.5" customHeight="1" thickBot="1" x14ac:dyDescent="0.3">
      <c r="A926" s="520">
        <f>IFERROR(VLOOKUP($G$5,'רשימת רשויות'!A:C,3,0),0)</f>
        <v>0</v>
      </c>
      <c r="B926" s="520">
        <f t="shared" si="130"/>
        <v>0</v>
      </c>
      <c r="C926" s="39"/>
      <c r="D926" s="1134"/>
      <c r="E926" s="1137"/>
      <c r="F926" s="589" t="s">
        <v>2282</v>
      </c>
      <c r="G926" s="99">
        <f>G930+G931+G932</f>
        <v>0</v>
      </c>
      <c r="H926" s="104"/>
      <c r="I926" s="107">
        <f>MAX(H924-G924-G925,0)</f>
        <v>0</v>
      </c>
      <c r="J926" s="108">
        <f>IFERROR(I926/H924,0)</f>
        <v>0</v>
      </c>
      <c r="K926" s="603"/>
      <c r="L926" s="603"/>
      <c r="M926" s="603"/>
      <c r="N926" s="603"/>
      <c r="O926" s="603"/>
      <c r="P926" s="604"/>
      <c r="Q926" s="604"/>
      <c r="R926" s="606" t="s">
        <v>158</v>
      </c>
      <c r="S926" s="612"/>
      <c r="T926" s="881"/>
      <c r="U926" s="598"/>
      <c r="V926" s="599"/>
      <c r="W926" s="599"/>
      <c r="X926" s="599"/>
      <c r="Y926" s="879"/>
      <c r="Z926" s="106"/>
      <c r="AA926" s="22"/>
      <c r="AB926" s="22"/>
      <c r="AC926" s="493"/>
      <c r="AD926" s="495"/>
      <c r="AE926" s="22"/>
      <c r="AF926" s="22"/>
      <c r="AG926" s="22"/>
      <c r="AH926" s="22"/>
      <c r="AI926" s="55"/>
      <c r="AJ926" s="22"/>
      <c r="AK926" s="22"/>
      <c r="AO926" s="22"/>
      <c r="AP926" s="22"/>
      <c r="AQ926" s="22"/>
      <c r="AR926" s="22"/>
      <c r="AS926" s="22"/>
      <c r="AT926" s="22"/>
      <c r="AU926" s="35"/>
      <c r="AV926" s="35"/>
      <c r="AW926" s="35"/>
      <c r="AX926" s="35"/>
      <c r="AY926" s="35"/>
      <c r="AZ926" s="35"/>
      <c r="BA926" s="35"/>
      <c r="BB926" s="35"/>
      <c r="BC926" s="35"/>
      <c r="BD926" s="35"/>
      <c r="BE926" s="35"/>
      <c r="BF926" s="35"/>
      <c r="BG926" s="35"/>
      <c r="BH926" s="35"/>
      <c r="BI926" s="35"/>
      <c r="BJ926" s="35"/>
      <c r="BK926" s="35"/>
      <c r="BL926" s="35"/>
      <c r="BM926" s="35"/>
      <c r="BN926" s="35"/>
      <c r="BO926" s="86"/>
    </row>
    <row r="927" spans="1:67" s="40" customFormat="1" ht="15.75" customHeight="1" thickBot="1" x14ac:dyDescent="0.3">
      <c r="A927" s="520">
        <f>IFERROR(VLOOKUP($G$5,'רשימת רשויות'!A:C,3,0),0)</f>
        <v>0</v>
      </c>
      <c r="B927" s="520">
        <f t="shared" si="130"/>
        <v>0</v>
      </c>
      <c r="C927" s="39"/>
      <c r="D927" s="1134"/>
      <c r="E927" s="1137"/>
      <c r="F927" s="590" t="s">
        <v>2290</v>
      </c>
      <c r="G927" s="109"/>
      <c r="H927" s="110"/>
      <c r="I927" s="111">
        <f>SUM(I924:I926)</f>
        <v>0</v>
      </c>
      <c r="J927" s="112">
        <f>SUM(J924:J926)</f>
        <v>0</v>
      </c>
      <c r="K927" s="603"/>
      <c r="L927" s="603"/>
      <c r="M927" s="603"/>
      <c r="N927" s="603"/>
      <c r="O927" s="603"/>
      <c r="P927" s="604"/>
      <c r="Q927" s="604"/>
      <c r="R927" s="473">
        <f>MIN(MAX(G931+G932-I920-J920,0),I926)</f>
        <v>0</v>
      </c>
      <c r="S927" s="612"/>
      <c r="T927" s="881"/>
      <c r="U927" s="598"/>
      <c r="V927" s="599"/>
      <c r="W927" s="599"/>
      <c r="X927" s="599"/>
      <c r="Y927" s="879"/>
      <c r="Z927" s="106"/>
      <c r="AA927" s="22"/>
      <c r="AB927" s="22"/>
      <c r="AC927" s="493"/>
      <c r="AD927" s="495"/>
      <c r="AE927" s="22"/>
      <c r="AF927" s="22"/>
      <c r="AG927" s="22"/>
      <c r="AH927" s="22"/>
      <c r="AJ927" s="22"/>
      <c r="AK927" s="22"/>
      <c r="AO927" s="22"/>
      <c r="AP927" s="22"/>
      <c r="AQ927" s="22"/>
      <c r="AR927" s="22"/>
      <c r="AS927" s="22"/>
      <c r="AT927" s="22"/>
      <c r="AU927" s="35"/>
      <c r="AV927" s="35"/>
      <c r="AW927" s="35"/>
      <c r="AX927" s="35"/>
      <c r="AY927" s="35"/>
      <c r="AZ927" s="35"/>
      <c r="BA927" s="35"/>
      <c r="BB927" s="35"/>
      <c r="BC927" s="35"/>
      <c r="BD927" s="35"/>
      <c r="BE927" s="35"/>
      <c r="BF927" s="35"/>
      <c r="BG927" s="35"/>
      <c r="BH927" s="35"/>
      <c r="BI927" s="35"/>
      <c r="BJ927" s="35"/>
      <c r="BK927" s="35"/>
      <c r="BL927" s="35"/>
      <c r="BM927" s="35"/>
      <c r="BN927" s="35"/>
      <c r="BO927" s="86"/>
    </row>
    <row r="928" spans="1:67" ht="16.5" thickBot="1" x14ac:dyDescent="0.3">
      <c r="A928" s="520">
        <f>IFERROR(VLOOKUP($G$5,'רשימת רשויות'!A:C,3,0),0)</f>
        <v>0</v>
      </c>
      <c r="B928" s="520">
        <f t="shared" si="130"/>
        <v>0</v>
      </c>
      <c r="D928" s="1134"/>
      <c r="E928" s="1137"/>
      <c r="F928" s="587" t="s">
        <v>17</v>
      </c>
      <c r="G928" s="113"/>
      <c r="H928" s="92"/>
      <c r="I928" s="114"/>
      <c r="J928" s="115"/>
      <c r="K928" s="116"/>
      <c r="L928" s="406"/>
      <c r="M928" s="116"/>
      <c r="N928" s="116"/>
      <c r="O928" s="116"/>
      <c r="P928" s="474"/>
      <c r="Q928" s="607"/>
      <c r="R928" s="608"/>
      <c r="S928" s="612"/>
      <c r="T928" s="881"/>
      <c r="U928" s="598"/>
      <c r="V928" s="599"/>
      <c r="W928" s="599"/>
      <c r="X928" s="599"/>
      <c r="Y928" s="879"/>
      <c r="Z928" s="106"/>
      <c r="AI928" s="40"/>
      <c r="BO928" s="86"/>
    </row>
    <row r="929" spans="1:67" ht="47.25" x14ac:dyDescent="0.25">
      <c r="A929" s="520">
        <f>IFERROR(VLOOKUP($G$5,'רשימת רשויות'!A:C,3,0),0)</f>
        <v>0</v>
      </c>
      <c r="B929" s="520">
        <f t="shared" si="130"/>
        <v>0</v>
      </c>
      <c r="D929" s="1134"/>
      <c r="E929" s="1137"/>
      <c r="F929" s="588" t="s">
        <v>2</v>
      </c>
      <c r="G929" s="95" t="s">
        <v>18</v>
      </c>
      <c r="H929" s="95" t="s">
        <v>19</v>
      </c>
      <c r="I929" s="95" t="s">
        <v>20</v>
      </c>
      <c r="J929" s="95" t="s">
        <v>22</v>
      </c>
      <c r="K929" s="96" t="s">
        <v>2314</v>
      </c>
      <c r="L929" s="609"/>
      <c r="M929" s="609"/>
      <c r="N929" s="609"/>
      <c r="O929" s="580"/>
      <c r="P929" s="618" t="s">
        <v>2298</v>
      </c>
      <c r="Q929" s="618" t="s">
        <v>2299</v>
      </c>
      <c r="R929" s="596"/>
      <c r="S929" s="890" t="s">
        <v>2519</v>
      </c>
      <c r="T929" s="890" t="s">
        <v>97</v>
      </c>
      <c r="U929" s="891" t="s">
        <v>2521</v>
      </c>
      <c r="V929" s="892" t="s">
        <v>2520</v>
      </c>
      <c r="W929" s="893" t="s">
        <v>2524</v>
      </c>
      <c r="X929" s="892" t="s">
        <v>2522</v>
      </c>
      <c r="Y929" s="894" t="s">
        <v>2523</v>
      </c>
      <c r="Z929" s="106"/>
      <c r="AC929" s="498" t="s">
        <v>2568</v>
      </c>
      <c r="AD929" s="499" t="s">
        <v>2569</v>
      </c>
      <c r="AF929" s="122"/>
      <c r="AI929" s="40"/>
      <c r="BO929" s="86"/>
    </row>
    <row r="930" spans="1:67" ht="15" customHeight="1" thickBot="1" x14ac:dyDescent="0.3">
      <c r="A930" s="520">
        <f>IFERROR(VLOOKUP($G$5,'רשימת רשויות'!A:C,3,0),0)</f>
        <v>0</v>
      </c>
      <c r="B930" s="520">
        <f t="shared" si="130"/>
        <v>0</v>
      </c>
      <c r="D930" s="1134"/>
      <c r="E930" s="1137"/>
      <c r="F930" s="589" t="s">
        <v>76</v>
      </c>
      <c r="G930" s="117">
        <f>IF(G921="תקין",SUMIF('עלויות כח אדם (6)'!$B$15:$B$3014,'בית ספר - תקצוב לפי מוסד (9)'!$G916,'עלויות כח אדם (6)'!$M$15:$M$3014)-VLOOKUP('בית ספר - תקצוב לפי מוסד (9)'!G916,' איוש משרות (8)'!$C:$H,5,0)-VLOOKUP('בית ספר - תקצוב לפי מוסד (9)'!G916,' איוש משרות (8)'!$C:$H,6,0),0)-Y930</f>
        <v>0</v>
      </c>
      <c r="H930" s="118">
        <f>I918+R925</f>
        <v>0</v>
      </c>
      <c r="I930" s="119">
        <f>IFERROR(SUM(G930)/H930,0)</f>
        <v>0</v>
      </c>
      <c r="J930" s="100">
        <f>MIN(I918+R925,IF(ISNUMBER(G930),G930,0))</f>
        <v>0</v>
      </c>
      <c r="K930" s="120">
        <f>MAX(H930-G930,0)</f>
        <v>0</v>
      </c>
      <c r="L930" s="407"/>
      <c r="M930" s="393"/>
      <c r="N930" s="393"/>
      <c r="O930" s="580"/>
      <c r="P930" s="968">
        <f>IFERROR(IF(SUM(G930)/(I918)&lt;100%,MIN((I918)-SUM(G930),(I918)*0.25),0),0)</f>
        <v>0</v>
      </c>
      <c r="Q930" s="968">
        <f>IF(SUM(G930)-(I918+R925)&gt;0,SUM(G930)-(I918+R925),0)</f>
        <v>0</v>
      </c>
      <c r="R930" s="596" t="s">
        <v>2351</v>
      </c>
      <c r="S930" s="576" t="s">
        <v>2342</v>
      </c>
      <c r="T930" s="599">
        <f>G916</f>
        <v>0</v>
      </c>
      <c r="U930" s="578"/>
      <c r="V930" s="579">
        <f>G930+G931+G932</f>
        <v>0</v>
      </c>
      <c r="W930" s="579">
        <f>U930-V930</f>
        <v>0</v>
      </c>
      <c r="X930" s="579">
        <f>IFERROR(W944*W930/(SUM(W930:W943)),0)</f>
        <v>0</v>
      </c>
      <c r="Y930" s="879">
        <f>SUMIFS(בקרה!$S:$S,בקרה!$D:$D,T930,בקרה!$K:$K,S930)</f>
        <v>0</v>
      </c>
      <c r="Z930" s="121"/>
      <c r="AA930" s="143"/>
      <c r="AB930" s="143"/>
      <c r="AC930" s="504">
        <v>0</v>
      </c>
      <c r="AD930" s="505">
        <f>IFERROR(U930-AC930,0)</f>
        <v>0</v>
      </c>
      <c r="AE930" s="143"/>
      <c r="AI930" s="20"/>
      <c r="BO930" s="86"/>
    </row>
    <row r="931" spans="1:67" ht="15" customHeight="1" thickBot="1" x14ac:dyDescent="0.3">
      <c r="A931" s="520">
        <f>IFERROR(VLOOKUP($G$5,'רשימת רשויות'!A:C,3,0),0)</f>
        <v>0</v>
      </c>
      <c r="B931" s="520">
        <f t="shared" si="130"/>
        <v>0</v>
      </c>
      <c r="D931" s="1134"/>
      <c r="E931" s="1137"/>
      <c r="F931" s="589" t="s">
        <v>44</v>
      </c>
      <c r="G931" s="123">
        <f>IF(G921="תקין",IFERROR(VLOOKUP('בית ספר - תקצוב לפי מוסד (9)'!G916,' איוש משרות (8)'!C:J,7,0),0),0)</f>
        <v>0</v>
      </c>
      <c r="H931" s="124">
        <f>I920+R927+J920</f>
        <v>0</v>
      </c>
      <c r="I931" s="119">
        <f>IFERROR(SUM(G931:G932)/H931,0)</f>
        <v>0</v>
      </c>
      <c r="J931" s="100">
        <f>MIN(R927+I920,IF(ISNUMBER(SUM(G931:G932)),SUM(G931:G932),0))</f>
        <v>0</v>
      </c>
      <c r="K931" s="1139">
        <f>MAX((H931)-(G931+G932),0)</f>
        <v>0</v>
      </c>
      <c r="L931" s="407"/>
      <c r="M931" s="393"/>
      <c r="N931" s="393"/>
      <c r="O931" s="580"/>
      <c r="P931" s="1140"/>
      <c r="Q931" s="1140"/>
      <c r="R931" s="617">
        <f>MAX(MIN(P939-Q939,H939*0.15-G937),0)</f>
        <v>0</v>
      </c>
      <c r="S931" s="576"/>
      <c r="T931" s="599">
        <f>G916</f>
        <v>0</v>
      </c>
      <c r="U931" s="578"/>
      <c r="V931" s="579"/>
      <c r="W931" s="579">
        <f t="shared" ref="W931:W943" si="131">U931-V931</f>
        <v>0</v>
      </c>
      <c r="X931" s="579"/>
      <c r="Y931" s="879"/>
      <c r="Z931" s="121"/>
      <c r="AA931" s="143"/>
      <c r="AB931" s="143"/>
      <c r="AC931" s="504"/>
      <c r="AD931" s="505">
        <f t="shared" ref="AD931:AD937" si="132">IFERROR(U931-AC931,0)</f>
        <v>0</v>
      </c>
      <c r="AE931" s="143"/>
      <c r="AI931" s="20"/>
      <c r="BO931" s="86"/>
    </row>
    <row r="932" spans="1:67" ht="15.75" customHeight="1" x14ac:dyDescent="0.25">
      <c r="A932" s="520">
        <f>IFERROR(VLOOKUP($G$5,'רשימת רשויות'!A:C,3,0),0)</f>
        <v>0</v>
      </c>
      <c r="B932" s="520">
        <f t="shared" si="130"/>
        <v>0</v>
      </c>
      <c r="D932" s="1134"/>
      <c r="E932" s="1137"/>
      <c r="F932" s="589" t="s">
        <v>45</v>
      </c>
      <c r="G932" s="123">
        <f>IF(G921="תקין",IFERROR(VLOOKUP('בית ספר - תקצוב לפי מוסד (9)'!G916,' איוש משרות (8)'!C:J,8,0),0),0)</f>
        <v>0</v>
      </c>
      <c r="H932" s="125"/>
      <c r="I932" s="126"/>
      <c r="J932" s="104"/>
      <c r="K932" s="1139"/>
      <c r="L932" s="407"/>
      <c r="M932" s="393"/>
      <c r="N932" s="393"/>
      <c r="O932" s="580"/>
      <c r="P932" s="1140"/>
      <c r="Q932" s="1140"/>
      <c r="R932" s="596"/>
      <c r="S932" s="576"/>
      <c r="T932" s="599">
        <f>G916</f>
        <v>0</v>
      </c>
      <c r="U932" s="578"/>
      <c r="V932" s="579"/>
      <c r="W932" s="579">
        <f t="shared" si="131"/>
        <v>0</v>
      </c>
      <c r="X932" s="579"/>
      <c r="Y932" s="879"/>
      <c r="Z932" s="121"/>
      <c r="AA932" s="143"/>
      <c r="AB932" s="143"/>
      <c r="AC932" s="504"/>
      <c r="AD932" s="505">
        <f t="shared" si="132"/>
        <v>0</v>
      </c>
      <c r="AE932" s="143"/>
      <c r="AG932" s="55"/>
      <c r="AH932" s="55"/>
      <c r="AI932" s="55"/>
      <c r="AJ932" s="55"/>
      <c r="AK932" s="55"/>
      <c r="BO932" s="86"/>
    </row>
    <row r="933" spans="1:67" ht="15.75" customHeight="1" x14ac:dyDescent="0.25">
      <c r="A933" s="520">
        <f>IFERROR(VLOOKUP($G$5,'רשימת רשויות'!A:C,3,0),0)</f>
        <v>0</v>
      </c>
      <c r="B933" s="520">
        <f t="shared" si="130"/>
        <v>0</v>
      </c>
      <c r="D933" s="1134"/>
      <c r="E933" s="1137"/>
      <c r="F933" s="589" t="s">
        <v>0</v>
      </c>
      <c r="G933" s="117">
        <f>IF(G921="תקין",SUMIFS('דוח הוצאות בפועל (4)'!$E$17:$E$3016,'דוח הוצאות בפועל (4)'!$B$17:$B$3016,'בית ספר - תקצוב לפי מוסד (9)'!$G916,'דוח הוצאות בפועל (4)'!$M$17:$M$3016,"הע"),0)-Y933</f>
        <v>0</v>
      </c>
      <c r="H933" s="127">
        <f>J918</f>
        <v>0</v>
      </c>
      <c r="I933" s="128">
        <f>IFERROR(G933/H933,0)</f>
        <v>0</v>
      </c>
      <c r="J933" s="129">
        <f>MIN(IF(ISNUMBER(G933),G933,0),H933)</f>
        <v>0</v>
      </c>
      <c r="K933" s="120">
        <f>MAX(H933-G933,0)</f>
        <v>0</v>
      </c>
      <c r="L933" s="407"/>
      <c r="M933" s="393"/>
      <c r="N933" s="393"/>
      <c r="O933" s="580"/>
      <c r="P933" s="968">
        <f>MAX(IF(I933&lt;100%,MIN((H933-G933),H933*0.25),0),0)</f>
        <v>0</v>
      </c>
      <c r="Q933" s="619">
        <f>IF(G933-H933&gt;0,G933-H933,0)</f>
        <v>0</v>
      </c>
      <c r="R933" s="596"/>
      <c r="S933" s="610" t="s">
        <v>0</v>
      </c>
      <c r="T933" s="599">
        <f>G916</f>
        <v>0</v>
      </c>
      <c r="U933" s="578"/>
      <c r="V933" s="579">
        <f>G933</f>
        <v>0</v>
      </c>
      <c r="W933" s="579">
        <f t="shared" si="131"/>
        <v>0</v>
      </c>
      <c r="X933" s="579">
        <f>IFERROR(W944*W933/(SUM(W930:W943)),0)</f>
        <v>0</v>
      </c>
      <c r="Y933" s="879">
        <f>SUMIFS(בקרה!$S:$S,בקרה!$D:$D,T933,בקרה!$K:$K,S933)</f>
        <v>0</v>
      </c>
      <c r="Z933" s="121"/>
      <c r="AA933" s="143"/>
      <c r="AB933" s="143"/>
      <c r="AC933" s="504">
        <v>0</v>
      </c>
      <c r="AD933" s="505">
        <f t="shared" si="132"/>
        <v>0</v>
      </c>
      <c r="AE933" s="143"/>
      <c r="AG933" s="55"/>
      <c r="AH933" s="55"/>
      <c r="AI933" s="40"/>
      <c r="AJ933" s="55"/>
      <c r="AK933" s="55"/>
      <c r="BO933" s="86"/>
    </row>
    <row r="934" spans="1:67" s="55" customFormat="1" ht="15.75" customHeight="1" x14ac:dyDescent="0.25">
      <c r="A934" s="520">
        <f>IFERROR(VLOOKUP($G$5,'רשימת רשויות'!A:C,3,0),0)</f>
        <v>0</v>
      </c>
      <c r="B934" s="520">
        <f t="shared" si="130"/>
        <v>0</v>
      </c>
      <c r="C934" s="39"/>
      <c r="D934" s="1134"/>
      <c r="E934" s="1137"/>
      <c r="F934" s="589" t="s">
        <v>93</v>
      </c>
      <c r="G934" s="130">
        <f>IF(G921="תקין",SUMIFS('דוח הוצאות בפועל (4)'!$E$17:$E$3016,'דוח הוצאות בפועל (4)'!$B$17:$B$3016,'בית ספר - תקצוב לפי מוסד (9)'!$G916,'דוח הוצאות בפועל (4)'!$M$17:$M$3016,"אר"),0)-Y934</f>
        <v>0</v>
      </c>
      <c r="H934" s="118">
        <f>$I924</f>
        <v>0</v>
      </c>
      <c r="I934" s="131">
        <f>IFERROR((G934+G935)/H934,0)</f>
        <v>0</v>
      </c>
      <c r="J934" s="100">
        <f>MIN((IF(ISNUMBER(G934),G934,0)+IF(ISNUMBER(G935),G935,0)),H934)</f>
        <v>0</v>
      </c>
      <c r="K934" s="1139">
        <f>MAX((H934)-(G934+G935),0)</f>
        <v>0</v>
      </c>
      <c r="L934" s="407"/>
      <c r="M934" s="393"/>
      <c r="N934" s="393"/>
      <c r="O934" s="602"/>
      <c r="P934" s="1141"/>
      <c r="Q934" s="1142"/>
      <c r="R934" s="596"/>
      <c r="S934" s="610" t="s">
        <v>93</v>
      </c>
      <c r="T934" s="599">
        <f>G916</f>
        <v>0</v>
      </c>
      <c r="U934" s="578"/>
      <c r="V934" s="579">
        <f t="shared" ref="V934:V935" si="133">G934</f>
        <v>0</v>
      </c>
      <c r="W934" s="579">
        <f t="shared" si="131"/>
        <v>0</v>
      </c>
      <c r="X934" s="579">
        <f>IFERROR(W944*W934/(SUM(W930:W943)),0)</f>
        <v>0</v>
      </c>
      <c r="Y934" s="879">
        <f>SUMIFS(בקרה!$S:$S,בקרה!$D:$D,T934,בקרה!$K:$K,S934)</f>
        <v>0</v>
      </c>
      <c r="Z934" s="121"/>
      <c r="AA934" s="143"/>
      <c r="AB934" s="143"/>
      <c r="AC934" s="504">
        <v>0</v>
      </c>
      <c r="AD934" s="505">
        <f t="shared" si="132"/>
        <v>0</v>
      </c>
      <c r="AE934" s="143"/>
      <c r="AJ934" s="22"/>
      <c r="AO934" s="22"/>
      <c r="AP934" s="22"/>
      <c r="AQ934" s="22"/>
      <c r="AR934" s="22"/>
      <c r="AS934" s="22"/>
      <c r="AT934" s="22"/>
      <c r="AU934" s="35"/>
      <c r="AV934" s="35"/>
      <c r="AW934" s="35"/>
      <c r="AX934" s="35"/>
      <c r="AY934" s="35"/>
      <c r="AZ934" s="35"/>
      <c r="BA934" s="35"/>
      <c r="BB934" s="35"/>
      <c r="BC934" s="35"/>
      <c r="BD934" s="35"/>
      <c r="BE934" s="35"/>
      <c r="BF934" s="35"/>
      <c r="BG934" s="35"/>
      <c r="BH934" s="35"/>
      <c r="BI934" s="35"/>
      <c r="BJ934" s="35"/>
      <c r="BK934" s="35"/>
      <c r="BL934" s="35"/>
      <c r="BM934" s="35"/>
      <c r="BN934" s="35"/>
      <c r="BO934" s="86"/>
    </row>
    <row r="935" spans="1:67" s="55" customFormat="1" ht="15.75" customHeight="1" x14ac:dyDescent="0.25">
      <c r="A935" s="520">
        <f>IFERROR(VLOOKUP($G$5,'רשימת רשויות'!A:C,3,0),0)</f>
        <v>0</v>
      </c>
      <c r="B935" s="520">
        <f t="shared" si="130"/>
        <v>0</v>
      </c>
      <c r="C935" s="39"/>
      <c r="D935" s="1134"/>
      <c r="E935" s="1137"/>
      <c r="F935" s="589" t="s">
        <v>46</v>
      </c>
      <c r="G935" s="130">
        <f>IF(G921="תקין",SUMIFS('דוח הוצאות בפועל (4)'!$E$17:$E$3016,'דוח הוצאות בפועל (4)'!$B$17:$B$3016,'בית ספר - תקצוב לפי מוסד (9)'!$G916,'דוח הוצאות בפועל (4)'!$M$17:$M$3016,"מל"),0)-Y935</f>
        <v>0</v>
      </c>
      <c r="H935" s="132"/>
      <c r="I935" s="133"/>
      <c r="J935" s="104"/>
      <c r="K935" s="1139"/>
      <c r="L935" s="407"/>
      <c r="M935" s="393"/>
      <c r="N935" s="393"/>
      <c r="O935" s="602"/>
      <c r="P935" s="1141"/>
      <c r="Q935" s="1142"/>
      <c r="R935" s="596"/>
      <c r="S935" s="610" t="s">
        <v>46</v>
      </c>
      <c r="T935" s="599">
        <f>G916</f>
        <v>0</v>
      </c>
      <c r="U935" s="578"/>
      <c r="V935" s="579">
        <f t="shared" si="133"/>
        <v>0</v>
      </c>
      <c r="W935" s="579">
        <f t="shared" si="131"/>
        <v>0</v>
      </c>
      <c r="X935" s="579">
        <f>IFERROR(W944*W935/(SUM(W930:W943)),0)</f>
        <v>0</v>
      </c>
      <c r="Y935" s="879">
        <f>SUMIFS(בקרה!$S:$S,בקרה!$D:$D,T935,בקרה!$K:$K,S935)</f>
        <v>0</v>
      </c>
      <c r="Z935" s="121"/>
      <c r="AA935" s="143"/>
      <c r="AB935" s="143"/>
      <c r="AC935" s="504">
        <v>0</v>
      </c>
      <c r="AD935" s="505">
        <f t="shared" si="132"/>
        <v>0</v>
      </c>
      <c r="AE935" s="143"/>
      <c r="AJ935" s="22"/>
      <c r="AO935" s="22"/>
      <c r="AP935" s="22"/>
      <c r="AQ935" s="22"/>
      <c r="AR935" s="22"/>
      <c r="AS935" s="22"/>
      <c r="AT935" s="22"/>
      <c r="AU935" s="35"/>
      <c r="AV935" s="35"/>
      <c r="AW935" s="35"/>
      <c r="AX935" s="35"/>
      <c r="AY935" s="35"/>
      <c r="AZ935" s="35"/>
      <c r="BA935" s="35"/>
      <c r="BB935" s="35"/>
      <c r="BC935" s="35"/>
      <c r="BD935" s="35"/>
      <c r="BE935" s="35"/>
      <c r="BF935" s="35"/>
      <c r="BG935" s="35"/>
      <c r="BH935" s="35"/>
      <c r="BI935" s="35"/>
      <c r="BJ935" s="35"/>
      <c r="BK935" s="35"/>
      <c r="BL935" s="35"/>
      <c r="BM935" s="35"/>
      <c r="BN935" s="35"/>
      <c r="BO935" s="86"/>
    </row>
    <row r="936" spans="1:67" s="55" customFormat="1" ht="15" customHeight="1" x14ac:dyDescent="0.25">
      <c r="A936" s="520">
        <f>IFERROR(VLOOKUP($G$5,'רשימת רשויות'!A:C,3,0),0)</f>
        <v>0</v>
      </c>
      <c r="B936" s="520">
        <f t="shared" si="130"/>
        <v>0</v>
      </c>
      <c r="C936" s="39"/>
      <c r="D936" s="1134"/>
      <c r="E936" s="1137"/>
      <c r="F936" s="591" t="s">
        <v>23</v>
      </c>
      <c r="G936" s="134">
        <f>SUM(G930:G935)</f>
        <v>0</v>
      </c>
      <c r="H936" s="135">
        <f>SUM(H930:H935)</f>
        <v>0</v>
      </c>
      <c r="I936" s="128">
        <f>IFERROR(G936/H936,0)</f>
        <v>0</v>
      </c>
      <c r="J936" s="136">
        <f>SUM(J930:J935)</f>
        <v>0</v>
      </c>
      <c r="K936" s="137">
        <f>SUM(K930:K935)</f>
        <v>0</v>
      </c>
      <c r="L936" s="408"/>
      <c r="M936" s="394"/>
      <c r="N936" s="394"/>
      <c r="O936" s="602"/>
      <c r="P936" s="620">
        <f>SUM(P930:P935)</f>
        <v>0</v>
      </c>
      <c r="Q936" s="620">
        <f>SUM(Q930:Q935)</f>
        <v>0</v>
      </c>
      <c r="R936" s="596"/>
      <c r="S936" s="610"/>
      <c r="T936" s="599">
        <f>G916</f>
        <v>0</v>
      </c>
      <c r="U936" s="578"/>
      <c r="V936" s="579"/>
      <c r="W936" s="579">
        <f t="shared" si="131"/>
        <v>0</v>
      </c>
      <c r="X936" s="579"/>
      <c r="Y936" s="879"/>
      <c r="Z936" s="121"/>
      <c r="AA936" s="143"/>
      <c r="AB936" s="143"/>
      <c r="AC936" s="504"/>
      <c r="AD936" s="505">
        <f t="shared" si="132"/>
        <v>0</v>
      </c>
      <c r="AE936" s="143"/>
      <c r="AJ936" s="22"/>
      <c r="AL936" s="22"/>
      <c r="AM936" s="22"/>
      <c r="AN936" s="22"/>
      <c r="AO936" s="22"/>
      <c r="AP936" s="22"/>
      <c r="AQ936" s="22"/>
      <c r="AR936" s="22"/>
      <c r="AS936" s="22"/>
      <c r="AT936" s="22"/>
      <c r="AU936" s="35"/>
      <c r="AV936" s="35"/>
      <c r="AW936" s="35"/>
      <c r="AX936" s="35"/>
      <c r="AY936" s="35"/>
      <c r="AZ936" s="35"/>
      <c r="BA936" s="35"/>
      <c r="BB936" s="35"/>
      <c r="BC936" s="35"/>
      <c r="BD936" s="35"/>
      <c r="BE936" s="35"/>
      <c r="BF936" s="35"/>
      <c r="BG936" s="35"/>
      <c r="BH936" s="35"/>
      <c r="BI936" s="35"/>
      <c r="BJ936" s="35"/>
      <c r="BK936" s="35"/>
      <c r="BL936" s="35"/>
      <c r="BM936" s="35"/>
      <c r="BN936" s="35"/>
      <c r="BO936" s="86"/>
    </row>
    <row r="937" spans="1:67" s="55" customFormat="1" ht="15" customHeight="1" x14ac:dyDescent="0.25">
      <c r="A937" s="520">
        <f>IFERROR(VLOOKUP($G$5,'רשימת רשויות'!A:C,3,0),0)</f>
        <v>0</v>
      </c>
      <c r="B937" s="520">
        <f t="shared" si="130"/>
        <v>0</v>
      </c>
      <c r="C937" s="39"/>
      <c r="D937" s="1134"/>
      <c r="E937" s="1137"/>
      <c r="F937" s="589" t="s">
        <v>3</v>
      </c>
      <c r="G937" s="117">
        <f>IF(G921="תקין",SUMIFS('דוח הוצאות בפועל (4)'!$E$17:$E$3016,'דוח הוצאות בפועל (4)'!$B$17:$B$3016,'בית ספר - תקצוב לפי מוסד (9)'!$G916,'דוח הוצאות בפועל (4)'!$M$17:$M$3016,"ני")+SUMIFS('דוח הוצאות בפועל (4)'!$E$17:$E$3016,'דוח הוצאות בפועל (4)'!$B$17:$B$3016,'בית ספר - תקצוב לפי מוסד (9)'!$G916,'דוח הוצאות בפועל (4)'!$M$17:$M$3016,"על"),0)-Y937</f>
        <v>0</v>
      </c>
      <c r="H937" s="117">
        <f>H918</f>
        <v>0</v>
      </c>
      <c r="I937" s="138">
        <f>IFERROR(G937/H937,0)</f>
        <v>0</v>
      </c>
      <c r="J937" s="117">
        <f>IFERROR(IF(G937/H939&gt;0.15,MIN(H939*0.15,H937),MIN(H937,IF(ISNUMBER(G937),G937,0))),0)</f>
        <v>0</v>
      </c>
      <c r="K937" s="120">
        <f>MAX(H937-G937,0)</f>
        <v>0</v>
      </c>
      <c r="L937" s="407"/>
      <c r="M937" s="393"/>
      <c r="N937" s="393"/>
      <c r="O937" s="602"/>
      <c r="P937" s="620">
        <f>IF(I937&lt;100%,MIN(H937-G937,H937*0.25),0)</f>
        <v>0</v>
      </c>
      <c r="Q937" s="620">
        <f>MAX(MIN(IF(G937-H937&gt;0,G937-H937,0),$H939*0.15-H937-J938),0)</f>
        <v>0</v>
      </c>
      <c r="R937" s="596"/>
      <c r="S937" s="610" t="s">
        <v>3</v>
      </c>
      <c r="T937" s="599">
        <f>G916</f>
        <v>0</v>
      </c>
      <c r="U937" s="578"/>
      <c r="V937" s="579">
        <f t="shared" ref="V937" si="134">G937</f>
        <v>0</v>
      </c>
      <c r="W937" s="579">
        <f t="shared" si="131"/>
        <v>0</v>
      </c>
      <c r="X937" s="579"/>
      <c r="Y937" s="879"/>
      <c r="Z937" s="121"/>
      <c r="AA937" s="143"/>
      <c r="AB937" s="143"/>
      <c r="AC937" s="504">
        <v>0</v>
      </c>
      <c r="AD937" s="505">
        <f t="shared" si="132"/>
        <v>0</v>
      </c>
      <c r="AE937" s="143"/>
      <c r="AG937" s="22"/>
      <c r="AH937" s="22"/>
      <c r="AI937" s="22"/>
      <c r="AJ937" s="22"/>
      <c r="AK937" s="22"/>
      <c r="AL937" s="22"/>
      <c r="AM937" s="22"/>
      <c r="AN937" s="22"/>
      <c r="AO937" s="22"/>
      <c r="AP937" s="22"/>
      <c r="AQ937" s="22"/>
      <c r="AR937" s="22"/>
      <c r="AS937" s="22"/>
      <c r="AT937" s="22"/>
      <c r="AU937" s="35"/>
      <c r="AV937" s="35"/>
      <c r="AW937" s="35"/>
      <c r="AX937" s="35"/>
      <c r="AY937" s="35"/>
      <c r="AZ937" s="35"/>
      <c r="BA937" s="35"/>
      <c r="BB937" s="35"/>
      <c r="BC937" s="35"/>
      <c r="BD937" s="35"/>
      <c r="BE937" s="35"/>
      <c r="BF937" s="35"/>
      <c r="BG937" s="35"/>
      <c r="BH937" s="35"/>
      <c r="BI937" s="35"/>
      <c r="BJ937" s="35"/>
      <c r="BK937" s="35"/>
      <c r="BL937" s="35"/>
      <c r="BM937" s="35"/>
      <c r="BN937" s="35"/>
      <c r="BO937" s="86"/>
    </row>
    <row r="938" spans="1:67" s="55" customFormat="1" ht="15.75" customHeight="1" x14ac:dyDescent="0.25">
      <c r="A938" s="520">
        <f>IFERROR(VLOOKUP($G$5,'רשימת רשויות'!A:C,3,0),0)</f>
        <v>0</v>
      </c>
      <c r="B938" s="520">
        <f t="shared" si="130"/>
        <v>0</v>
      </c>
      <c r="C938" s="39"/>
      <c r="D938" s="1134"/>
      <c r="E938" s="1137"/>
      <c r="F938" s="589" t="s">
        <v>2918</v>
      </c>
      <c r="G938" s="117">
        <f>0.07*(G932+G931)</f>
        <v>0</v>
      </c>
      <c r="H938" s="117">
        <f>H920</f>
        <v>0</v>
      </c>
      <c r="I938" s="138">
        <f>IFERROR(G938/H938,0)</f>
        <v>0</v>
      </c>
      <c r="J938" s="117">
        <f>IFERROR(MIN(0.07*(G931+G932),0.07*I920),0)</f>
        <v>0</v>
      </c>
      <c r="K938" s="120">
        <f>MAX(H938-G938,0)</f>
        <v>0</v>
      </c>
      <c r="L938" s="407"/>
      <c r="M938" s="393"/>
      <c r="N938" s="393"/>
      <c r="O938" s="602"/>
      <c r="P938" s="620"/>
      <c r="Q938" s="619"/>
      <c r="R938" s="596"/>
      <c r="S938" s="611"/>
      <c r="T938" s="599">
        <f>G916</f>
        <v>0</v>
      </c>
      <c r="U938" s="578"/>
      <c r="V938" s="579"/>
      <c r="W938" s="579">
        <f t="shared" si="131"/>
        <v>0</v>
      </c>
      <c r="X938" s="579"/>
      <c r="Y938" s="879"/>
      <c r="Z938" s="121"/>
      <c r="AA938" s="143"/>
      <c r="AB938" s="143"/>
      <c r="AC938" s="504"/>
      <c r="AD938" s="505"/>
      <c r="AE938" s="143"/>
      <c r="AF938" s="140"/>
      <c r="AG938" s="22"/>
      <c r="AH938" s="22"/>
      <c r="AI938" s="22"/>
      <c r="AJ938" s="22"/>
      <c r="AK938" s="22"/>
      <c r="AL938" s="22"/>
      <c r="AM938" s="22"/>
      <c r="AN938" s="22"/>
      <c r="AO938" s="22"/>
      <c r="AP938" s="22"/>
      <c r="AQ938" s="22"/>
      <c r="AR938" s="22"/>
      <c r="AS938" s="22"/>
      <c r="AT938" s="22"/>
      <c r="AU938" s="35"/>
      <c r="AV938" s="35"/>
      <c r="AW938" s="35"/>
      <c r="AX938" s="35"/>
      <c r="AY938" s="35"/>
      <c r="AZ938" s="35"/>
      <c r="BA938" s="35"/>
      <c r="BB938" s="35"/>
      <c r="BC938" s="35"/>
      <c r="BD938" s="35"/>
      <c r="BE938" s="35"/>
      <c r="BF938" s="35"/>
      <c r="BG938" s="35"/>
      <c r="BH938" s="35"/>
      <c r="BI938" s="35"/>
      <c r="BJ938" s="35"/>
      <c r="BK938" s="35"/>
      <c r="BL938" s="35"/>
      <c r="BM938" s="35"/>
      <c r="BN938" s="35"/>
      <c r="BO938" s="86"/>
    </row>
    <row r="939" spans="1:67" ht="15.75" customHeight="1" x14ac:dyDescent="0.25">
      <c r="A939" s="520">
        <f>IFERROR(VLOOKUP($G$5,'רשימת רשויות'!A:C,3,0),0)</f>
        <v>0</v>
      </c>
      <c r="B939" s="520">
        <f t="shared" si="130"/>
        <v>0</v>
      </c>
      <c r="D939" s="1134"/>
      <c r="E939" s="1137"/>
      <c r="F939" s="591" t="s">
        <v>15</v>
      </c>
      <c r="G939" s="134">
        <f>G936+G937+G938</f>
        <v>0</v>
      </c>
      <c r="H939" s="134">
        <f>H936+H937+H938</f>
        <v>0</v>
      </c>
      <c r="I939" s="138">
        <f>IFERROR(G939/H939,0)</f>
        <v>0</v>
      </c>
      <c r="J939" s="139">
        <f>J936+J937+J938</f>
        <v>0</v>
      </c>
      <c r="K939" s="137">
        <f>K937+K936+K938</f>
        <v>0</v>
      </c>
      <c r="L939" s="408"/>
      <c r="M939" s="394"/>
      <c r="N939" s="394"/>
      <c r="O939" s="602"/>
      <c r="P939" s="621">
        <f>SUM(P936:P937)</f>
        <v>0</v>
      </c>
      <c r="Q939" s="622">
        <f>Q936+Q937</f>
        <v>0</v>
      </c>
      <c r="R939" s="596"/>
      <c r="S939" s="611"/>
      <c r="T939" s="599">
        <f>G916</f>
        <v>0</v>
      </c>
      <c r="U939" s="578"/>
      <c r="V939" s="579"/>
      <c r="W939" s="579">
        <f t="shared" si="131"/>
        <v>0</v>
      </c>
      <c r="X939" s="579"/>
      <c r="Y939" s="879"/>
      <c r="Z939" s="106"/>
      <c r="AC939" s="504"/>
      <c r="AD939" s="505"/>
      <c r="AH939" s="143"/>
      <c r="BO939" s="86"/>
    </row>
    <row r="940" spans="1:67" ht="15.75" customHeight="1" x14ac:dyDescent="0.25">
      <c r="A940" s="520">
        <f>IFERROR(VLOOKUP($G$5,'רשימת רשויות'!A:C,3,0),0)</f>
        <v>0</v>
      </c>
      <c r="B940" s="520">
        <f t="shared" si="130"/>
        <v>0</v>
      </c>
      <c r="D940" s="1134"/>
      <c r="E940" s="1137"/>
      <c r="F940" s="589" t="s">
        <v>2261</v>
      </c>
      <c r="G940" s="117">
        <f>IF(G921="תקין",SUMIF('תשלומי הורים ומלגות להורים (5) '!$B$18:$B$517,$G916,'תשלומי הורים ומלגות להורים (5) '!$C$18:$C$517),0)</f>
        <v>0</v>
      </c>
      <c r="H940" s="117">
        <f>(G919+G920)*$G$7</f>
        <v>0</v>
      </c>
      <c r="I940" s="141"/>
      <c r="J940" s="141"/>
      <c r="K940" s="142"/>
      <c r="L940" s="395"/>
      <c r="M940" s="395"/>
      <c r="N940" s="395"/>
      <c r="O940" s="602"/>
      <c r="P940" s="623"/>
      <c r="Q940" s="619"/>
      <c r="R940" s="596"/>
      <c r="S940" s="612"/>
      <c r="T940" s="599">
        <f>G916</f>
        <v>0</v>
      </c>
      <c r="U940" s="578"/>
      <c r="V940" s="579"/>
      <c r="W940" s="579">
        <f t="shared" si="131"/>
        <v>0</v>
      </c>
      <c r="X940" s="579"/>
      <c r="Y940" s="879"/>
      <c r="Z940" s="121"/>
      <c r="AA940" s="143"/>
      <c r="AB940" s="143"/>
      <c r="AC940" s="504"/>
      <c r="AD940" s="505"/>
      <c r="AE940" s="143"/>
      <c r="AF940" s="148"/>
      <c r="BO940" s="86"/>
    </row>
    <row r="941" spans="1:67" ht="15.75" customHeight="1" thickBot="1" x14ac:dyDescent="0.3">
      <c r="A941" s="520">
        <f>IFERROR(VLOOKUP($G$5,'רשימת רשויות'!A:C,3,0),0)</f>
        <v>0</v>
      </c>
      <c r="B941" s="520">
        <f t="shared" si="130"/>
        <v>0</v>
      </c>
      <c r="D941" s="1134"/>
      <c r="E941" s="1137"/>
      <c r="F941" s="592" t="s">
        <v>21</v>
      </c>
      <c r="G941" s="144">
        <f>G939-G940</f>
        <v>0</v>
      </c>
      <c r="H941" s="144">
        <f>H939-H940</f>
        <v>0</v>
      </c>
      <c r="I941" s="145"/>
      <c r="J941" s="145"/>
      <c r="K941" s="146"/>
      <c r="L941" s="396"/>
      <c r="M941" s="396"/>
      <c r="N941" s="396"/>
      <c r="O941" s="602"/>
      <c r="P941" s="619"/>
      <c r="Q941" s="619"/>
      <c r="R941" s="596"/>
      <c r="S941" s="612"/>
      <c r="T941" s="599">
        <f>G916</f>
        <v>0</v>
      </c>
      <c r="U941" s="578"/>
      <c r="V941" s="579"/>
      <c r="W941" s="579">
        <f t="shared" si="131"/>
        <v>0</v>
      </c>
      <c r="X941" s="579"/>
      <c r="Y941" s="879"/>
      <c r="Z941" s="147"/>
      <c r="AA941" s="148"/>
      <c r="AB941" s="148"/>
      <c r="AC941" s="504"/>
      <c r="AD941" s="505"/>
      <c r="AE941" s="148"/>
      <c r="AF941" s="148"/>
      <c r="BO941" s="86"/>
    </row>
    <row r="942" spans="1:67" ht="15.75" customHeight="1" thickBot="1" x14ac:dyDescent="0.3">
      <c r="A942" s="520">
        <f>IFERROR(VLOOKUP($G$5,'רשימת רשויות'!A:C,3,0),0)</f>
        <v>0</v>
      </c>
      <c r="B942" s="520">
        <f t="shared" si="130"/>
        <v>0</v>
      </c>
      <c r="D942" s="1134"/>
      <c r="E942" s="1137"/>
      <c r="F942" s="580"/>
      <c r="G942" s="580"/>
      <c r="H942" s="147"/>
      <c r="I942" s="149" t="s">
        <v>2197</v>
      </c>
      <c r="J942" s="150">
        <f>MAX(MIN(P939,Q939),0)</f>
        <v>0</v>
      </c>
      <c r="K942" s="580"/>
      <c r="L942" s="580"/>
      <c r="M942" s="580"/>
      <c r="N942" s="580"/>
      <c r="O942" s="580"/>
      <c r="P942" s="615" t="s">
        <v>2317</v>
      </c>
      <c r="Q942" s="624">
        <f>SUM(Q943:Q944)</f>
        <v>0</v>
      </c>
      <c r="R942" s="596"/>
      <c r="S942" s="612"/>
      <c r="T942" s="599">
        <f>G916</f>
        <v>0</v>
      </c>
      <c r="U942" s="578"/>
      <c r="V942" s="579"/>
      <c r="W942" s="579">
        <f t="shared" si="131"/>
        <v>0</v>
      </c>
      <c r="X942" s="579"/>
      <c r="Y942" s="879"/>
      <c r="Z942" s="106"/>
      <c r="AC942" s="504"/>
      <c r="AD942" s="505"/>
      <c r="AF942" s="148"/>
      <c r="BO942" s="86"/>
    </row>
    <row r="943" spans="1:67" ht="16.5" thickBot="1" x14ac:dyDescent="0.3">
      <c r="A943" s="520">
        <f>IFERROR(VLOOKUP($G$5,'רשימת רשויות'!A:C,3,0),0)</f>
        <v>0</v>
      </c>
      <c r="B943" s="520">
        <f t="shared" si="130"/>
        <v>0</v>
      </c>
      <c r="D943" s="1134"/>
      <c r="E943" s="1137"/>
      <c r="F943" s="580"/>
      <c r="G943" s="580"/>
      <c r="H943" s="580"/>
      <c r="I943" s="84" t="s">
        <v>2193</v>
      </c>
      <c r="J943" s="515" t="str">
        <f>IFERROR(1-H940/H939,"")</f>
        <v/>
      </c>
      <c r="K943" s="580"/>
      <c r="L943" s="580"/>
      <c r="M943" s="580"/>
      <c r="N943" s="580"/>
      <c r="O943" s="580"/>
      <c r="P943" s="615" t="s">
        <v>417</v>
      </c>
      <c r="Q943" s="616">
        <f>IFERROR(MAX(H941-I944-Q944,0),0)</f>
        <v>0</v>
      </c>
      <c r="R943" s="596"/>
      <c r="S943" s="600"/>
      <c r="T943" s="599">
        <f>G916</f>
        <v>0</v>
      </c>
      <c r="U943" s="578"/>
      <c r="V943" s="579"/>
      <c r="W943" s="579">
        <f t="shared" si="131"/>
        <v>0</v>
      </c>
      <c r="X943" s="579"/>
      <c r="Y943" s="879"/>
      <c r="Z943" s="106"/>
      <c r="AC943" s="504"/>
      <c r="AD943" s="505"/>
      <c r="BO943" s="86"/>
    </row>
    <row r="944" spans="1:67" ht="17.25" thickBot="1" x14ac:dyDescent="0.3">
      <c r="A944" s="520">
        <f>IFERROR(VLOOKUP($G$5,'רשימת רשויות'!A:C,3,0),0)</f>
        <v>0</v>
      </c>
      <c r="B944" s="520">
        <f t="shared" si="130"/>
        <v>0</v>
      </c>
      <c r="D944" s="1134"/>
      <c r="E944" s="1137"/>
      <c r="F944" s="1143" t="s">
        <v>2679</v>
      </c>
      <c r="G944" s="1143"/>
      <c r="H944" s="1143"/>
      <c r="I944" s="722">
        <f>IF(G921="לא תקין","לא קיימת זכאות לתקציב לאור אי איוש משרות רכז ו/או סגן רכז ",IFERROR(J943*(J942+J939),0))</f>
        <v>0</v>
      </c>
      <c r="J944" s="573"/>
      <c r="K944" s="574"/>
      <c r="L944" s="396"/>
      <c r="M944" s="574"/>
      <c r="N944" s="574"/>
      <c r="O944" s="574"/>
      <c r="P944" s="615" t="s">
        <v>2279</v>
      </c>
      <c r="Q944" s="616">
        <f>MAX(IF(AND(G939&gt;H939,I944&lt;H941),H941-I944,0),0)</f>
        <v>0</v>
      </c>
      <c r="R944" s="575"/>
      <c r="S944" s="576" t="s">
        <v>67</v>
      </c>
      <c r="T944" s="577">
        <f>G916</f>
        <v>0</v>
      </c>
      <c r="U944" s="578"/>
      <c r="V944" s="579">
        <f>I944</f>
        <v>0</v>
      </c>
      <c r="W944" s="579">
        <f>IFERROR(U944-V944,0)</f>
        <v>0</v>
      </c>
      <c r="X944" s="579">
        <f>SUM(X930:X943)</f>
        <v>0</v>
      </c>
      <c r="Y944" s="879"/>
      <c r="Z944" s="106"/>
      <c r="AC944" s="506">
        <v>0</v>
      </c>
      <c r="AD944" s="507">
        <f>IFERROR(U944-AC944,0)</f>
        <v>0</v>
      </c>
      <c r="BO944" s="86"/>
    </row>
    <row r="945" spans="1:67" ht="16.5" thickBot="1" x14ac:dyDescent="0.3">
      <c r="A945" s="520">
        <f>IFERROR(VLOOKUP($G$5,'רשימת רשויות'!A:C,3,0),0)</f>
        <v>0</v>
      </c>
      <c r="B945" s="520">
        <f t="shared" si="130"/>
        <v>0</v>
      </c>
      <c r="D945" s="1135"/>
      <c r="E945" s="1138"/>
      <c r="F945" s="1144" t="s">
        <v>2793</v>
      </c>
      <c r="G945" s="1145"/>
      <c r="H945" s="1145"/>
      <c r="I945" s="593">
        <f>IFERROR(IF(G921="תקין",SUMIFS('סייעות רפואיות או אישיות (7)'!$Q$17:Q$384,'סייעות רפואיות או אישיות (7)'!C$17:C$384,G916),0),0)</f>
        <v>0</v>
      </c>
      <c r="J945" s="151"/>
      <c r="K945" s="152"/>
      <c r="L945" s="409"/>
      <c r="M945" s="152"/>
      <c r="N945" s="152"/>
      <c r="O945" s="152"/>
      <c r="P945" s="613"/>
      <c r="Q945" s="614"/>
      <c r="R945" s="475"/>
      <c r="S945" s="489"/>
      <c r="T945" s="490"/>
      <c r="U945" s="491"/>
      <c r="V945" s="492"/>
      <c r="W945" s="492"/>
      <c r="X945" s="492"/>
      <c r="Y945" s="880"/>
      <c r="Z945" s="153"/>
      <c r="AC945" s="581"/>
      <c r="AD945" s="582"/>
      <c r="BO945" s="86"/>
    </row>
    <row r="946" spans="1:67" ht="34.5" thickBot="1" x14ac:dyDescent="0.55000000000000004">
      <c r="A946" s="520">
        <f>IFERROR(VLOOKUP($G$5,'רשימת רשויות'!A:C,3,0),0)</f>
        <v>0</v>
      </c>
      <c r="B946" s="520">
        <f t="shared" si="130"/>
        <v>0</v>
      </c>
      <c r="E946" s="154"/>
      <c r="I946" s="143"/>
      <c r="J946" s="148"/>
      <c r="O946" s="148"/>
      <c r="T946" s="481"/>
      <c r="BO946" s="86"/>
    </row>
    <row r="947" spans="1:67" s="20" customFormat="1" ht="16.5" customHeight="1" thickBot="1" x14ac:dyDescent="0.3">
      <c r="A947" s="520">
        <f>IFERROR(VLOOKUP($G$5,'רשימת רשויות'!A:C,3,0),0)</f>
        <v>0</v>
      </c>
      <c r="B947" s="520">
        <f t="shared" si="130"/>
        <v>0</v>
      </c>
      <c r="C947" s="39"/>
      <c r="D947" s="1133">
        <f>D916+1</f>
        <v>31</v>
      </c>
      <c r="E947" s="1136" t="str">
        <f>IFERROR(CONCATENATE("בית הספר ",VLOOKUP(G947,'מצבת והרשמה (2)'!$C$21:$D$520,2,0)," - ",$G$5),"")</f>
        <v>בית הספר המוסד לא קיים - 0</v>
      </c>
      <c r="F947" s="720" t="s">
        <v>146</v>
      </c>
      <c r="G947" s="721">
        <f>IFERROR(VLOOKUP(D:D,'דוח ביצוע (3)'!$A$21:$C$900,2,0),0)</f>
        <v>0</v>
      </c>
      <c r="H947" s="79"/>
      <c r="I947" s="80" t="s">
        <v>150</v>
      </c>
      <c r="J947" s="80"/>
      <c r="K947" s="81"/>
      <c r="L947" s="392"/>
      <c r="M947" s="392"/>
      <c r="N947" s="392"/>
      <c r="O947" s="82"/>
      <c r="P947" s="470"/>
      <c r="Q947" s="471"/>
      <c r="R947" s="472"/>
      <c r="S947" s="883"/>
      <c r="T947" s="884"/>
      <c r="U947" s="486"/>
      <c r="V947" s="487"/>
      <c r="W947" s="487"/>
      <c r="X947" s="487"/>
      <c r="Y947" s="885"/>
      <c r="Z947" s="83"/>
      <c r="AC947" s="502"/>
      <c r="AD947" s="503"/>
      <c r="AO947" s="22"/>
      <c r="AP947" s="22"/>
      <c r="AQ947" s="22"/>
      <c r="AR947" s="22"/>
      <c r="AS947" s="22"/>
      <c r="AT947" s="22"/>
      <c r="AU947" s="35"/>
      <c r="AV947" s="35"/>
      <c r="AW947" s="35"/>
      <c r="AX947" s="35"/>
      <c r="AY947" s="35"/>
      <c r="AZ947" s="35"/>
      <c r="BA947" s="35"/>
      <c r="BB947" s="35"/>
      <c r="BC947" s="35"/>
      <c r="BD947" s="35"/>
      <c r="BE947" s="35"/>
      <c r="BF947" s="35"/>
      <c r="BG947" s="35"/>
      <c r="BH947" s="35"/>
      <c r="BI947" s="35"/>
      <c r="BJ947" s="35"/>
      <c r="BK947" s="35"/>
      <c r="BL947" s="35"/>
      <c r="BM947" s="35"/>
      <c r="BN947" s="35"/>
      <c r="BO947" s="78"/>
    </row>
    <row r="948" spans="1:67" s="20" customFormat="1" ht="16.5" thickBot="1" x14ac:dyDescent="0.3">
      <c r="A948" s="520">
        <f>IFERROR(VLOOKUP($G$5,'רשימת רשויות'!A:C,3,0),0)</f>
        <v>0</v>
      </c>
      <c r="B948" s="520">
        <f t="shared" si="130"/>
        <v>0</v>
      </c>
      <c r="C948" s="39"/>
      <c r="D948" s="1134"/>
      <c r="E948" s="1137"/>
      <c r="F948" s="583" t="s">
        <v>145</v>
      </c>
      <c r="G948" s="516" t="str">
        <f>IFERROR(IF((G950+G951)=0,"",IF(VLOOKUP(G947,'דוח ביצוע (3)'!$B$21:$K$900,5,0)&gt;149,"גדול",IF(AND(VLOOKUP(G947,'דוח ביצוע (3)'!$B$21:$K$900,5,0)&gt;0,VLOOKUP(G947,'דוח ביצוע (3)'!$B$21:$K$900,5,0)&lt;150),"קטן",0))),"")</f>
        <v/>
      </c>
      <c r="H948" s="723" t="s">
        <v>88</v>
      </c>
      <c r="I948" s="723" t="s">
        <v>13</v>
      </c>
      <c r="J948" s="725" t="s">
        <v>14</v>
      </c>
      <c r="K948" s="724" t="s">
        <v>94</v>
      </c>
      <c r="L948" s="594"/>
      <c r="M948" s="420" t="s">
        <v>2584</v>
      </c>
      <c r="N948" s="397" t="s">
        <v>413</v>
      </c>
      <c r="O948" s="398" t="s">
        <v>52</v>
      </c>
      <c r="P948" s="595"/>
      <c r="Q948" s="595"/>
      <c r="R948" s="596"/>
      <c r="S948" s="610"/>
      <c r="T948" s="881"/>
      <c r="U948" s="598"/>
      <c r="V948" s="599"/>
      <c r="W948" s="599"/>
      <c r="X948" s="599"/>
      <c r="Y948" s="879"/>
      <c r="Z948" s="85"/>
      <c r="AC948" s="493"/>
      <c r="AD948" s="495"/>
      <c r="AO948" s="22"/>
      <c r="AP948" s="22"/>
      <c r="AQ948" s="22"/>
      <c r="AR948" s="22"/>
      <c r="AS948" s="22"/>
      <c r="AT948" s="22"/>
      <c r="AU948" s="35"/>
      <c r="AV948" s="35"/>
      <c r="AW948" s="35"/>
      <c r="AX948" s="35"/>
      <c r="AY948" s="35"/>
      <c r="AZ948" s="35"/>
      <c r="BA948" s="35"/>
      <c r="BB948" s="35"/>
      <c r="BC948" s="35"/>
      <c r="BD948" s="35"/>
      <c r="BE948" s="35"/>
      <c r="BF948" s="35"/>
      <c r="BG948" s="35"/>
      <c r="BH948" s="35"/>
      <c r="BI948" s="35"/>
      <c r="BJ948" s="35"/>
      <c r="BK948" s="35"/>
      <c r="BL948" s="35"/>
      <c r="BM948" s="35"/>
      <c r="BN948" s="35"/>
      <c r="BO948" s="78"/>
    </row>
    <row r="949" spans="1:67" s="20" customFormat="1" ht="15.75" customHeight="1" thickBot="1" x14ac:dyDescent="0.3">
      <c r="A949" s="520">
        <f>IFERROR(VLOOKUP($G$5,'רשימת רשויות'!A:C,3,0),0)</f>
        <v>0</v>
      </c>
      <c r="B949" s="520">
        <f t="shared" si="130"/>
        <v>0</v>
      </c>
      <c r="C949" s="39"/>
      <c r="D949" s="1134"/>
      <c r="E949" s="1137"/>
      <c r="F949" s="584" t="s">
        <v>144</v>
      </c>
      <c r="G949" s="87">
        <f>IF(G952="תקין",IFERROR(VLOOKUP($G947,'דוח ביצוע (3)'!$B$21:$Q$900,12,0),0),0)</f>
        <v>0</v>
      </c>
      <c r="H949" s="88">
        <f>IFERROR(G950*$AH$6+G951*$AH$7,0)</f>
        <v>0</v>
      </c>
      <c r="I949" s="88">
        <f>IFERROR(G950*$AI$6+G951*$AI$7,0)</f>
        <v>0</v>
      </c>
      <c r="J949" s="88">
        <f>IFERROR(G950*$AJ$6+G951*$AJ$7,0)</f>
        <v>0</v>
      </c>
      <c r="K949" s="88">
        <f>IFERROR(G950*$AK$6+G951*$AK$7,0)</f>
        <v>0</v>
      </c>
      <c r="L949" s="405"/>
      <c r="M949" s="399" t="s">
        <v>427</v>
      </c>
      <c r="N949" s="400" t="str">
        <f>IFERROR(VLOOKUP($G947,'דוח ביצוע (3)'!$B:$AE,28,0),"")</f>
        <v/>
      </c>
      <c r="O949" s="89" t="str">
        <f>IFERROR(VLOOKUP($G947,'דוח ביצוע (3)'!B:AE,29,0),"")</f>
        <v/>
      </c>
      <c r="P949" s="595"/>
      <c r="Q949" s="595"/>
      <c r="R949" s="596"/>
      <c r="S949" s="610"/>
      <c r="T949" s="881"/>
      <c r="U949" s="598"/>
      <c r="V949" s="599"/>
      <c r="W949" s="599"/>
      <c r="X949" s="599"/>
      <c r="Y949" s="879"/>
      <c r="Z949" s="85"/>
      <c r="AC949" s="493"/>
      <c r="AD949" s="495"/>
      <c r="AO949" s="22"/>
      <c r="AP949" s="22"/>
      <c r="AQ949" s="22"/>
      <c r="AR949" s="22"/>
      <c r="AS949" s="22"/>
      <c r="AT949" s="22"/>
      <c r="AU949" s="35"/>
      <c r="AV949" s="35"/>
      <c r="AW949" s="35"/>
      <c r="AX949" s="35"/>
      <c r="AY949" s="35"/>
      <c r="AZ949" s="35"/>
      <c r="BA949" s="35"/>
      <c r="BB949" s="35"/>
      <c r="BC949" s="35"/>
      <c r="BD949" s="35"/>
      <c r="BE949" s="35"/>
      <c r="BF949" s="35"/>
      <c r="BG949" s="35"/>
      <c r="BH949" s="35"/>
      <c r="BI949" s="35"/>
      <c r="BJ949" s="35"/>
      <c r="BK949" s="35"/>
      <c r="BL949" s="35"/>
      <c r="BM949" s="35"/>
      <c r="BN949" s="35"/>
      <c r="BO949" s="78"/>
    </row>
    <row r="950" spans="1:67" s="20" customFormat="1" ht="32.25" thickBot="1" x14ac:dyDescent="0.3">
      <c r="A950" s="520">
        <f>IFERROR(VLOOKUP($G$5,'רשימת רשויות'!A:C,3,0),0)</f>
        <v>0</v>
      </c>
      <c r="B950" s="520">
        <f t="shared" si="130"/>
        <v>0</v>
      </c>
      <c r="C950" s="39"/>
      <c r="D950" s="1134"/>
      <c r="E950" s="1137"/>
      <c r="F950" s="585" t="s">
        <v>2195</v>
      </c>
      <c r="G950" s="89">
        <f>IF(G952="תקין",MAX(N952,0),0)</f>
        <v>0</v>
      </c>
      <c r="H950" s="725" t="s">
        <v>151</v>
      </c>
      <c r="I950" s="725" t="s">
        <v>91</v>
      </c>
      <c r="J950" s="970" t="s">
        <v>3396</v>
      </c>
      <c r="K950" s="601"/>
      <c r="L950" s="601"/>
      <c r="M950" s="983" t="s">
        <v>2585</v>
      </c>
      <c r="N950" s="400" t="str">
        <f>IFERROR(G949/15*N949*1.25,"")</f>
        <v/>
      </c>
      <c r="O950" s="89" t="str">
        <f>IFERROR(G949/15*O949*1.25,"")</f>
        <v/>
      </c>
      <c r="P950" s="595"/>
      <c r="Q950" s="595"/>
      <c r="R950" s="596"/>
      <c r="S950" s="610"/>
      <c r="T950" s="881"/>
      <c r="U950" s="598"/>
      <c r="V950" s="599"/>
      <c r="W950" s="599"/>
      <c r="X950" s="599"/>
      <c r="Y950" s="879"/>
      <c r="Z950" s="85"/>
      <c r="AC950" s="493"/>
      <c r="AD950" s="495"/>
      <c r="AG950" s="22"/>
      <c r="AH950" s="55"/>
      <c r="AI950" s="55"/>
      <c r="AJ950" s="55"/>
      <c r="AK950" s="55"/>
      <c r="AO950" s="22"/>
      <c r="AP950" s="22"/>
      <c r="AQ950" s="22"/>
      <c r="AR950" s="22"/>
      <c r="AS950" s="22"/>
      <c r="AT950" s="22"/>
      <c r="AU950" s="35"/>
      <c r="AV950" s="35"/>
      <c r="AW950" s="35"/>
      <c r="AX950" s="35"/>
      <c r="AY950" s="35"/>
      <c r="AZ950" s="35"/>
      <c r="BA950" s="35"/>
      <c r="BB950" s="35"/>
      <c r="BC950" s="35"/>
      <c r="BD950" s="35"/>
      <c r="BE950" s="35"/>
      <c r="BF950" s="35"/>
      <c r="BG950" s="35"/>
      <c r="BH950" s="35"/>
      <c r="BI950" s="35"/>
      <c r="BJ950" s="35"/>
      <c r="BK950" s="35"/>
      <c r="BL950" s="35"/>
      <c r="BM950" s="35"/>
      <c r="BN950" s="35"/>
      <c r="BO950" s="86"/>
    </row>
    <row r="951" spans="1:67" s="20" customFormat="1" ht="16.5" thickBot="1" x14ac:dyDescent="0.3">
      <c r="A951" s="520">
        <f>IFERROR(VLOOKUP($G$5,'רשימת רשויות'!A:C,3,0),0)</f>
        <v>0</v>
      </c>
      <c r="B951" s="520">
        <f t="shared" si="130"/>
        <v>0</v>
      </c>
      <c r="C951" s="39"/>
      <c r="D951" s="1134"/>
      <c r="E951" s="1137"/>
      <c r="F951" s="585" t="s">
        <v>2196</v>
      </c>
      <c r="G951" s="89">
        <f>IF(G952="תקין",MAX(O952,0),0)</f>
        <v>0</v>
      </c>
      <c r="H951" s="88">
        <f>(IFERROR(IF((G950+G951)=0,0,IF(G948="קטן",G949*$AH$10,G949*$AH$11)),0))+(IFERROR(IF((G950+G951)=0,0,VLOOKUP(G947,'דוח ביצוע (3)'!$B:$AH,33,0)),0))</f>
        <v>0</v>
      </c>
      <c r="I951" s="88">
        <f>IFERROR(IF((G950+G951)=0,0,IF(G948="קטן",G949*$AI$10,G949*$AI$11)),0)</f>
        <v>0</v>
      </c>
      <c r="J951" s="88">
        <f>IFERROR(IF((G950+G951)=0,0,VLOOKUP(G947,'דוח ביצוע (3)'!$B:$AH,32,0)),0)</f>
        <v>0</v>
      </c>
      <c r="K951" s="90"/>
      <c r="L951" s="90"/>
      <c r="M951" s="399" t="s">
        <v>412</v>
      </c>
      <c r="N951" s="400">
        <f>IFERROR(VLOOKUP($G947,'דוח ביצוע (3)'!$B$21:$U$500,18,0),0)</f>
        <v>0</v>
      </c>
      <c r="O951" s="401">
        <f>IFERROR(VLOOKUP($G947,'דוח ביצוע (3)'!$B$21:$U$500,19,0),0)</f>
        <v>0</v>
      </c>
      <c r="P951" s="595"/>
      <c r="Q951" s="595"/>
      <c r="R951" s="596"/>
      <c r="S951" s="610"/>
      <c r="T951" s="881"/>
      <c r="U951" s="598"/>
      <c r="V951" s="599"/>
      <c r="W951" s="599"/>
      <c r="X951" s="599"/>
      <c r="Y951" s="879"/>
      <c r="Z951" s="85"/>
      <c r="AC951" s="493"/>
      <c r="AD951" s="495"/>
      <c r="AG951" s="22"/>
      <c r="AH951" s="55"/>
      <c r="AI951" s="55"/>
      <c r="AJ951" s="55"/>
      <c r="AK951" s="55"/>
      <c r="AO951" s="22"/>
      <c r="AP951" s="22"/>
      <c r="AQ951" s="22"/>
      <c r="AR951" s="22"/>
      <c r="AS951" s="22"/>
      <c r="AT951" s="22"/>
      <c r="AU951" s="35"/>
      <c r="AV951" s="35"/>
      <c r="AW951" s="35"/>
      <c r="AX951" s="35"/>
      <c r="AY951" s="35"/>
      <c r="AZ951" s="35"/>
      <c r="BA951" s="35"/>
      <c r="BB951" s="35"/>
      <c r="BC951" s="35"/>
      <c r="BD951" s="35"/>
      <c r="BE951" s="35"/>
      <c r="BF951" s="35"/>
      <c r="BG951" s="35"/>
      <c r="BH951" s="35"/>
      <c r="BI951" s="35"/>
      <c r="BJ951" s="35"/>
      <c r="BK951" s="35"/>
      <c r="BL951" s="35"/>
      <c r="BM951" s="35"/>
      <c r="BN951" s="35"/>
      <c r="BO951" s="86"/>
    </row>
    <row r="952" spans="1:67" s="20" customFormat="1" ht="16.5" thickBot="1" x14ac:dyDescent="0.3">
      <c r="A952" s="520">
        <f>IFERROR(VLOOKUP($G$5,'רשימת רשויות'!A:C,3,0),0)</f>
        <v>0</v>
      </c>
      <c r="B952" s="520">
        <f t="shared" si="130"/>
        <v>0</v>
      </c>
      <c r="C952" s="39"/>
      <c r="D952" s="1134"/>
      <c r="E952" s="1137"/>
      <c r="F952" s="586" t="s">
        <v>2355</v>
      </c>
      <c r="G952" s="514">
        <f>IFERROR(IF(VLOOKUP('בית ספר - תקצוב לפי מוסד (9)'!G947,' איוש משרות (8)'!$C:$K,9,0)="תקין","תקין","לא תקין"),0)</f>
        <v>0</v>
      </c>
      <c r="H952" s="91"/>
      <c r="I952" s="91"/>
      <c r="J952" s="91"/>
      <c r="K952" s="90"/>
      <c r="L952" s="90"/>
      <c r="M952" s="402" t="s">
        <v>2586</v>
      </c>
      <c r="N952" s="403">
        <f>IFERROR(MIN(N950,N951),0)</f>
        <v>0</v>
      </c>
      <c r="O952" s="404">
        <f>IFERROR(MIN(O950,O951),0)</f>
        <v>0</v>
      </c>
      <c r="P952" s="595"/>
      <c r="Q952" s="595"/>
      <c r="R952" s="596"/>
      <c r="S952" s="610"/>
      <c r="T952" s="881"/>
      <c r="U952" s="598"/>
      <c r="V952" s="599"/>
      <c r="W952" s="599"/>
      <c r="X952" s="599"/>
      <c r="Y952" s="879"/>
      <c r="Z952" s="85"/>
      <c r="AC952" s="493"/>
      <c r="AD952" s="495"/>
      <c r="AG952" s="94"/>
      <c r="AH952" s="40"/>
      <c r="AI952" s="40"/>
      <c r="AJ952" s="40"/>
      <c r="AK952" s="40"/>
      <c r="AO952" s="22"/>
      <c r="AP952" s="22"/>
      <c r="AQ952" s="22"/>
      <c r="AR952" s="22"/>
      <c r="AS952" s="22"/>
      <c r="AT952" s="22"/>
      <c r="AU952" s="35"/>
      <c r="AV952" s="35"/>
      <c r="AW952" s="35"/>
      <c r="AX952" s="35"/>
      <c r="AY952" s="35"/>
      <c r="AZ952" s="35"/>
      <c r="BA952" s="35"/>
      <c r="BB952" s="35"/>
      <c r="BC952" s="35"/>
      <c r="BD952" s="35"/>
      <c r="BE952" s="35"/>
      <c r="BF952" s="35"/>
      <c r="BG952" s="35"/>
      <c r="BH952" s="35"/>
      <c r="BI952" s="35"/>
      <c r="BJ952" s="35"/>
      <c r="BK952" s="35"/>
      <c r="BL952" s="35"/>
      <c r="BM952" s="35"/>
      <c r="BN952" s="35"/>
      <c r="BO952" s="86"/>
    </row>
    <row r="953" spans="1:67" s="55" customFormat="1" ht="37.15" customHeight="1" thickBot="1" x14ac:dyDescent="0.3">
      <c r="A953" s="520">
        <f>IFERROR(VLOOKUP($G$5,'רשימת רשויות'!A:C,3,0),0)</f>
        <v>0</v>
      </c>
      <c r="B953" s="520">
        <f t="shared" si="130"/>
        <v>0</v>
      </c>
      <c r="C953" s="39"/>
      <c r="D953" s="1134"/>
      <c r="E953" s="1137"/>
      <c r="F953" s="587" t="s">
        <v>142</v>
      </c>
      <c r="G953" s="92"/>
      <c r="H953" s="92"/>
      <c r="I953" s="92"/>
      <c r="J953" s="92"/>
      <c r="K953" s="602"/>
      <c r="L953" s="602"/>
      <c r="M953" s="602"/>
      <c r="N953" s="602"/>
      <c r="O953" s="602"/>
      <c r="P953" s="595"/>
      <c r="Q953" s="595"/>
      <c r="R953" s="596"/>
      <c r="S953" s="610"/>
      <c r="T953" s="881"/>
      <c r="U953" s="598"/>
      <c r="V953" s="599"/>
      <c r="W953" s="599"/>
      <c r="X953" s="599"/>
      <c r="Y953" s="879"/>
      <c r="Z953" s="93"/>
      <c r="AC953" s="493"/>
      <c r="AD953" s="495"/>
      <c r="AF953" s="22"/>
      <c r="AG953" s="98"/>
      <c r="AH953" s="98"/>
      <c r="AI953" s="40"/>
      <c r="AJ953" s="40"/>
      <c r="AK953" s="40"/>
      <c r="AO953" s="22"/>
      <c r="AP953" s="22"/>
      <c r="AQ953" s="22"/>
      <c r="AR953" s="22"/>
      <c r="AS953" s="22"/>
      <c r="AT953" s="22"/>
      <c r="AU953" s="35"/>
      <c r="AV953" s="35"/>
      <c r="AW953" s="35"/>
      <c r="AX953" s="35"/>
      <c r="AY953" s="35"/>
      <c r="AZ953" s="35"/>
      <c r="BA953" s="35"/>
      <c r="BB953" s="35"/>
      <c r="BC953" s="35"/>
      <c r="BD953" s="35"/>
      <c r="BE953" s="35"/>
      <c r="BF953" s="35"/>
      <c r="BG953" s="35"/>
      <c r="BH953" s="35"/>
      <c r="BI953" s="35"/>
      <c r="BJ953" s="35"/>
      <c r="BK953" s="35"/>
      <c r="BL953" s="35"/>
      <c r="BM953" s="35"/>
      <c r="BN953" s="35"/>
      <c r="BO953" s="86"/>
    </row>
    <row r="954" spans="1:67" s="40" customFormat="1" ht="31.5" x14ac:dyDescent="0.25">
      <c r="A954" s="520">
        <f>IFERROR(VLOOKUP($G$5,'רשימת רשויות'!A:C,3,0),0)</f>
        <v>0</v>
      </c>
      <c r="B954" s="520">
        <f t="shared" si="130"/>
        <v>0</v>
      </c>
      <c r="C954" s="39"/>
      <c r="D954" s="1134"/>
      <c r="E954" s="1137"/>
      <c r="F954" s="588" t="s">
        <v>94</v>
      </c>
      <c r="G954" s="95" t="s">
        <v>18</v>
      </c>
      <c r="H954" s="95" t="s">
        <v>19</v>
      </c>
      <c r="I954" s="95" t="s">
        <v>138</v>
      </c>
      <c r="J954" s="96" t="s">
        <v>139</v>
      </c>
      <c r="K954" s="603"/>
      <c r="L954" s="603"/>
      <c r="M954" s="603"/>
      <c r="N954" s="603"/>
      <c r="O954" s="603"/>
      <c r="P954" s="604"/>
      <c r="Q954" s="604"/>
      <c r="R954" s="596"/>
      <c r="S954" s="610"/>
      <c r="T954" s="881"/>
      <c r="U954" s="598"/>
      <c r="V954" s="599"/>
      <c r="W954" s="599"/>
      <c r="X954" s="599"/>
      <c r="Y954" s="879"/>
      <c r="Z954" s="97"/>
      <c r="AA954" s="94"/>
      <c r="AB954" s="94"/>
      <c r="AC954" s="493"/>
      <c r="AD954" s="495"/>
      <c r="AE954" s="94"/>
      <c r="AG954" s="98"/>
      <c r="AH954" s="98"/>
      <c r="AO954" s="22"/>
      <c r="AP954" s="22"/>
      <c r="AQ954" s="22"/>
      <c r="AR954" s="22"/>
      <c r="AS954" s="22"/>
      <c r="AT954" s="22"/>
      <c r="AU954" s="35"/>
      <c r="AV954" s="35"/>
      <c r="AW954" s="35"/>
      <c r="AX954" s="35"/>
      <c r="AY954" s="35"/>
      <c r="AZ954" s="35"/>
      <c r="BA954" s="35"/>
      <c r="BB954" s="35"/>
      <c r="BC954" s="35"/>
      <c r="BD954" s="35"/>
      <c r="BE954" s="35"/>
      <c r="BF954" s="35"/>
      <c r="BG954" s="35"/>
      <c r="BH954" s="35"/>
      <c r="BI954" s="35"/>
      <c r="BJ954" s="35"/>
      <c r="BK954" s="35"/>
      <c r="BL954" s="35"/>
      <c r="BM954" s="35"/>
      <c r="BN954" s="35"/>
      <c r="BO954" s="86"/>
    </row>
    <row r="955" spans="1:67" s="40" customFormat="1" ht="15.75" customHeight="1" thickBot="1" x14ac:dyDescent="0.3">
      <c r="A955" s="520">
        <f>IFERROR(VLOOKUP($G$5,'רשימת רשויות'!A:C,3,0),0)</f>
        <v>0</v>
      </c>
      <c r="B955" s="520">
        <f t="shared" si="130"/>
        <v>0</v>
      </c>
      <c r="C955" s="39"/>
      <c r="D955" s="1134"/>
      <c r="E955" s="1137"/>
      <c r="F955" s="589" t="s">
        <v>2280</v>
      </c>
      <c r="G955" s="99">
        <f>+G966</f>
        <v>0</v>
      </c>
      <c r="H955" s="100">
        <f>K949</f>
        <v>0</v>
      </c>
      <c r="I955" s="100">
        <f>H955-I957</f>
        <v>0</v>
      </c>
      <c r="J955" s="101">
        <f>IFERROR(I955/H955,0)</f>
        <v>0</v>
      </c>
      <c r="K955" s="603"/>
      <c r="L955" s="603"/>
      <c r="M955" s="603"/>
      <c r="N955" s="603"/>
      <c r="O955" s="603"/>
      <c r="P955" s="605"/>
      <c r="Q955" s="604"/>
      <c r="R955" s="606" t="s">
        <v>157</v>
      </c>
      <c r="S955" s="611"/>
      <c r="T955" s="881"/>
      <c r="U955" s="598"/>
      <c r="V955" s="599"/>
      <c r="W955" s="599"/>
      <c r="X955" s="599"/>
      <c r="Y955" s="879"/>
      <c r="Z955" s="102"/>
      <c r="AA955" s="122"/>
      <c r="AB955" s="122"/>
      <c r="AC955" s="493"/>
      <c r="AD955" s="495"/>
      <c r="AE955" s="122"/>
      <c r="AF955" s="22"/>
      <c r="AG955" s="98"/>
      <c r="AH955" s="98"/>
      <c r="AI955" s="20"/>
      <c r="AO955" s="22"/>
      <c r="AP955" s="22"/>
      <c r="AQ955" s="22"/>
      <c r="AR955" s="22"/>
      <c r="AS955" s="22"/>
      <c r="AT955" s="22"/>
      <c r="AU955" s="35"/>
      <c r="AV955" s="35"/>
      <c r="AW955" s="35"/>
      <c r="AX955" s="35"/>
      <c r="AY955" s="35"/>
      <c r="AZ955" s="35"/>
      <c r="BA955" s="35"/>
      <c r="BB955" s="35"/>
      <c r="BC955" s="35"/>
      <c r="BD955" s="35"/>
      <c r="BE955" s="35"/>
      <c r="BF955" s="35"/>
      <c r="BG955" s="35"/>
      <c r="BH955" s="35"/>
      <c r="BI955" s="35"/>
      <c r="BJ955" s="35"/>
      <c r="BK955" s="35"/>
      <c r="BL955" s="35"/>
      <c r="BM955" s="35"/>
      <c r="BN955" s="35"/>
      <c r="BO955" s="86"/>
    </row>
    <row r="956" spans="1:67" s="40" customFormat="1" ht="15.75" customHeight="1" thickBot="1" x14ac:dyDescent="0.3">
      <c r="A956" s="520">
        <f>IFERROR(VLOOKUP($G$5,'רשימת רשויות'!A:C,3,0),0)</f>
        <v>0</v>
      </c>
      <c r="B956" s="520">
        <f t="shared" si="130"/>
        <v>0</v>
      </c>
      <c r="C956" s="39"/>
      <c r="D956" s="1134"/>
      <c r="E956" s="1137"/>
      <c r="F956" s="589" t="s">
        <v>2281</v>
      </c>
      <c r="G956" s="99">
        <f>+G965</f>
        <v>0</v>
      </c>
      <c r="H956" s="103"/>
      <c r="I956" s="104"/>
      <c r="J956" s="105"/>
      <c r="K956" s="603"/>
      <c r="L956" s="603"/>
      <c r="M956" s="603"/>
      <c r="N956" s="603"/>
      <c r="O956" s="603"/>
      <c r="P956" s="605"/>
      <c r="Q956" s="604"/>
      <c r="R956" s="473">
        <f>I957-R958</f>
        <v>0</v>
      </c>
      <c r="S956" s="611"/>
      <c r="T956" s="881"/>
      <c r="U956" s="598"/>
      <c r="V956" s="599"/>
      <c r="W956" s="599"/>
      <c r="X956" s="599"/>
      <c r="Y956" s="879"/>
      <c r="Z956" s="106"/>
      <c r="AA956" s="22"/>
      <c r="AB956" s="22"/>
      <c r="AC956" s="493"/>
      <c r="AD956" s="495"/>
      <c r="AE956" s="22"/>
      <c r="AF956" s="22"/>
      <c r="AG956" s="98"/>
      <c r="AH956" s="98"/>
      <c r="AI956" s="20"/>
      <c r="AO956" s="22"/>
      <c r="AP956" s="22"/>
      <c r="AQ956" s="22"/>
      <c r="AR956" s="22"/>
      <c r="AS956" s="22"/>
      <c r="AT956" s="22"/>
      <c r="AU956" s="35"/>
      <c r="AV956" s="35"/>
      <c r="AW956" s="35"/>
      <c r="AX956" s="35"/>
      <c r="AY956" s="35"/>
      <c r="AZ956" s="35"/>
      <c r="BA956" s="35"/>
      <c r="BB956" s="35"/>
      <c r="BC956" s="35"/>
      <c r="BD956" s="35"/>
      <c r="BE956" s="35"/>
      <c r="BF956" s="35"/>
      <c r="BG956" s="35"/>
      <c r="BH956" s="35"/>
      <c r="BI956" s="35"/>
      <c r="BJ956" s="35"/>
      <c r="BK956" s="35"/>
      <c r="BL956" s="35"/>
      <c r="BM956" s="35"/>
      <c r="BN956" s="35"/>
      <c r="BO956" s="86"/>
    </row>
    <row r="957" spans="1:67" s="40" customFormat="1" ht="16.5" customHeight="1" thickBot="1" x14ac:dyDescent="0.3">
      <c r="A957" s="520">
        <f>IFERROR(VLOOKUP($G$5,'רשימת רשויות'!A:C,3,0),0)</f>
        <v>0</v>
      </c>
      <c r="B957" s="520">
        <f t="shared" si="130"/>
        <v>0</v>
      </c>
      <c r="C957" s="39"/>
      <c r="D957" s="1134"/>
      <c r="E957" s="1137"/>
      <c r="F957" s="589" t="s">
        <v>2282</v>
      </c>
      <c r="G957" s="99">
        <f>G961+G962+G963</f>
        <v>0</v>
      </c>
      <c r="H957" s="104"/>
      <c r="I957" s="107">
        <f>MAX(H955-G955-G956,0)</f>
        <v>0</v>
      </c>
      <c r="J957" s="108">
        <f>IFERROR(I957/H955,0)</f>
        <v>0</v>
      </c>
      <c r="K957" s="603"/>
      <c r="L957" s="603"/>
      <c r="M957" s="603"/>
      <c r="N957" s="603"/>
      <c r="O957" s="603"/>
      <c r="P957" s="604"/>
      <c r="Q957" s="604"/>
      <c r="R957" s="606" t="s">
        <v>158</v>
      </c>
      <c r="S957" s="612"/>
      <c r="T957" s="881"/>
      <c r="U957" s="598"/>
      <c r="V957" s="599"/>
      <c r="W957" s="599"/>
      <c r="X957" s="599"/>
      <c r="Y957" s="879"/>
      <c r="Z957" s="106"/>
      <c r="AA957" s="22"/>
      <c r="AB957" s="22"/>
      <c r="AC957" s="493"/>
      <c r="AD957" s="495"/>
      <c r="AE957" s="22"/>
      <c r="AF957" s="22"/>
      <c r="AG957" s="22"/>
      <c r="AH957" s="22"/>
      <c r="AI957" s="55"/>
      <c r="AJ957" s="22"/>
      <c r="AK957" s="22"/>
      <c r="AO957" s="22"/>
      <c r="AP957" s="22"/>
      <c r="AQ957" s="22"/>
      <c r="AR957" s="22"/>
      <c r="AS957" s="22"/>
      <c r="AT957" s="22"/>
      <c r="AU957" s="35"/>
      <c r="AV957" s="35"/>
      <c r="AW957" s="35"/>
      <c r="AX957" s="35"/>
      <c r="AY957" s="35"/>
      <c r="AZ957" s="35"/>
      <c r="BA957" s="35"/>
      <c r="BB957" s="35"/>
      <c r="BC957" s="35"/>
      <c r="BD957" s="35"/>
      <c r="BE957" s="35"/>
      <c r="BF957" s="35"/>
      <c r="BG957" s="35"/>
      <c r="BH957" s="35"/>
      <c r="BI957" s="35"/>
      <c r="BJ957" s="35"/>
      <c r="BK957" s="35"/>
      <c r="BL957" s="35"/>
      <c r="BM957" s="35"/>
      <c r="BN957" s="35"/>
      <c r="BO957" s="86"/>
    </row>
    <row r="958" spans="1:67" s="40" customFormat="1" ht="15.75" customHeight="1" thickBot="1" x14ac:dyDescent="0.3">
      <c r="A958" s="520">
        <f>IFERROR(VLOOKUP($G$5,'רשימת רשויות'!A:C,3,0),0)</f>
        <v>0</v>
      </c>
      <c r="B958" s="520">
        <f t="shared" si="130"/>
        <v>0</v>
      </c>
      <c r="C958" s="39"/>
      <c r="D958" s="1134"/>
      <c r="E958" s="1137"/>
      <c r="F958" s="590" t="s">
        <v>2290</v>
      </c>
      <c r="G958" s="109"/>
      <c r="H958" s="110"/>
      <c r="I958" s="111">
        <f>SUM(I955:I957)</f>
        <v>0</v>
      </c>
      <c r="J958" s="112">
        <f>SUM(J955:J957)</f>
        <v>0</v>
      </c>
      <c r="K958" s="603"/>
      <c r="L958" s="603"/>
      <c r="M958" s="603"/>
      <c r="N958" s="603"/>
      <c r="O958" s="603"/>
      <c r="P958" s="604"/>
      <c r="Q958" s="604"/>
      <c r="R958" s="473">
        <f>MIN(MAX(G962+G963-I951-J951,0),I957)</f>
        <v>0</v>
      </c>
      <c r="S958" s="612"/>
      <c r="T958" s="881"/>
      <c r="U958" s="598"/>
      <c r="V958" s="599"/>
      <c r="W958" s="599"/>
      <c r="X958" s="599"/>
      <c r="Y958" s="879"/>
      <c r="Z958" s="106"/>
      <c r="AA958" s="22"/>
      <c r="AB958" s="22"/>
      <c r="AC958" s="493"/>
      <c r="AD958" s="495"/>
      <c r="AE958" s="22"/>
      <c r="AF958" s="22"/>
      <c r="AG958" s="22"/>
      <c r="AH958" s="22"/>
      <c r="AJ958" s="22"/>
      <c r="AK958" s="22"/>
      <c r="AO958" s="22"/>
      <c r="AP958" s="22"/>
      <c r="AQ958" s="22"/>
      <c r="AR958" s="22"/>
      <c r="AS958" s="22"/>
      <c r="AT958" s="22"/>
      <c r="AU958" s="35"/>
      <c r="AV958" s="35"/>
      <c r="AW958" s="35"/>
      <c r="AX958" s="35"/>
      <c r="AY958" s="35"/>
      <c r="AZ958" s="35"/>
      <c r="BA958" s="35"/>
      <c r="BB958" s="35"/>
      <c r="BC958" s="35"/>
      <c r="BD958" s="35"/>
      <c r="BE958" s="35"/>
      <c r="BF958" s="35"/>
      <c r="BG958" s="35"/>
      <c r="BH958" s="35"/>
      <c r="BI958" s="35"/>
      <c r="BJ958" s="35"/>
      <c r="BK958" s="35"/>
      <c r="BL958" s="35"/>
      <c r="BM958" s="35"/>
      <c r="BN958" s="35"/>
      <c r="BO958" s="86"/>
    </row>
    <row r="959" spans="1:67" ht="16.5" thickBot="1" x14ac:dyDescent="0.3">
      <c r="A959" s="520">
        <f>IFERROR(VLOOKUP($G$5,'רשימת רשויות'!A:C,3,0),0)</f>
        <v>0</v>
      </c>
      <c r="B959" s="520">
        <f t="shared" si="130"/>
        <v>0</v>
      </c>
      <c r="D959" s="1134"/>
      <c r="E959" s="1137"/>
      <c r="F959" s="587" t="s">
        <v>17</v>
      </c>
      <c r="G959" s="113"/>
      <c r="H959" s="92"/>
      <c r="I959" s="114"/>
      <c r="J959" s="115"/>
      <c r="K959" s="116"/>
      <c r="L959" s="406"/>
      <c r="M959" s="116"/>
      <c r="N959" s="116"/>
      <c r="O959" s="116"/>
      <c r="P959" s="474"/>
      <c r="Q959" s="607"/>
      <c r="R959" s="608"/>
      <c r="S959" s="612"/>
      <c r="T959" s="881"/>
      <c r="U959" s="598"/>
      <c r="V959" s="599"/>
      <c r="W959" s="599"/>
      <c r="X959" s="599"/>
      <c r="Y959" s="879"/>
      <c r="Z959" s="106"/>
      <c r="AI959" s="40"/>
      <c r="BO959" s="86"/>
    </row>
    <row r="960" spans="1:67" ht="47.25" x14ac:dyDescent="0.25">
      <c r="A960" s="520">
        <f>IFERROR(VLOOKUP($G$5,'רשימת רשויות'!A:C,3,0),0)</f>
        <v>0</v>
      </c>
      <c r="B960" s="520">
        <f t="shared" si="130"/>
        <v>0</v>
      </c>
      <c r="D960" s="1134"/>
      <c r="E960" s="1137"/>
      <c r="F960" s="588" t="s">
        <v>2</v>
      </c>
      <c r="G960" s="95" t="s">
        <v>18</v>
      </c>
      <c r="H960" s="95" t="s">
        <v>19</v>
      </c>
      <c r="I960" s="95" t="s">
        <v>20</v>
      </c>
      <c r="J960" s="95" t="s">
        <v>22</v>
      </c>
      <c r="K960" s="96" t="s">
        <v>2314</v>
      </c>
      <c r="L960" s="609"/>
      <c r="M960" s="609"/>
      <c r="N960" s="609"/>
      <c r="O960" s="580"/>
      <c r="P960" s="618" t="s">
        <v>2298</v>
      </c>
      <c r="Q960" s="618" t="s">
        <v>2299</v>
      </c>
      <c r="R960" s="596"/>
      <c r="S960" s="890" t="s">
        <v>2519</v>
      </c>
      <c r="T960" s="890" t="s">
        <v>97</v>
      </c>
      <c r="U960" s="891" t="s">
        <v>2521</v>
      </c>
      <c r="V960" s="892" t="s">
        <v>2520</v>
      </c>
      <c r="W960" s="893" t="s">
        <v>2524</v>
      </c>
      <c r="X960" s="892" t="s">
        <v>2522</v>
      </c>
      <c r="Y960" s="894" t="s">
        <v>2523</v>
      </c>
      <c r="Z960" s="106"/>
      <c r="AC960" s="498" t="s">
        <v>2568</v>
      </c>
      <c r="AD960" s="499" t="s">
        <v>2569</v>
      </c>
      <c r="AF960" s="122"/>
      <c r="AI960" s="40"/>
      <c r="BO960" s="86"/>
    </row>
    <row r="961" spans="1:67" ht="15" customHeight="1" thickBot="1" x14ac:dyDescent="0.3">
      <c r="A961" s="520">
        <f>IFERROR(VLOOKUP($G$5,'רשימת רשויות'!A:C,3,0),0)</f>
        <v>0</v>
      </c>
      <c r="B961" s="520">
        <f t="shared" si="130"/>
        <v>0</v>
      </c>
      <c r="D961" s="1134"/>
      <c r="E961" s="1137"/>
      <c r="F961" s="589" t="s">
        <v>76</v>
      </c>
      <c r="G961" s="117">
        <f>IF(G952="תקין",SUMIF('עלויות כח אדם (6)'!$B$15:$B$3014,'בית ספר - תקצוב לפי מוסד (9)'!$G947,'עלויות כח אדם (6)'!$M$15:$M$3014)-VLOOKUP('בית ספר - תקצוב לפי מוסד (9)'!G947,' איוש משרות (8)'!$C:$H,5,0)-VLOOKUP('בית ספר - תקצוב לפי מוסד (9)'!G947,' איוש משרות (8)'!$C:$H,6,0),0)-Y961</f>
        <v>0</v>
      </c>
      <c r="H961" s="118">
        <f>I949+R956</f>
        <v>0</v>
      </c>
      <c r="I961" s="119">
        <f>IFERROR(SUM(G961)/H961,0)</f>
        <v>0</v>
      </c>
      <c r="J961" s="100">
        <f>MIN(I949+R956,IF(ISNUMBER(G961),G961,0))</f>
        <v>0</v>
      </c>
      <c r="K961" s="120">
        <f>MAX(H961-G961,0)</f>
        <v>0</v>
      </c>
      <c r="L961" s="407"/>
      <c r="M961" s="393"/>
      <c r="N961" s="393"/>
      <c r="O961" s="580"/>
      <c r="P961" s="968">
        <f>IFERROR(IF(SUM(G961)/(I949)&lt;100%,MIN((I949)-SUM(G961),(I949)*0.25),0),0)</f>
        <v>0</v>
      </c>
      <c r="Q961" s="968">
        <f>IF(SUM(G961)-(I949+R956)&gt;0,SUM(G961)-(I949+R956),0)</f>
        <v>0</v>
      </c>
      <c r="R961" s="596" t="s">
        <v>2351</v>
      </c>
      <c r="S961" s="576" t="s">
        <v>2342</v>
      </c>
      <c r="T961" s="599">
        <f>G947</f>
        <v>0</v>
      </c>
      <c r="U961" s="578"/>
      <c r="V961" s="579">
        <f>G961+G962+G963</f>
        <v>0</v>
      </c>
      <c r="W961" s="579">
        <f>U961-V961</f>
        <v>0</v>
      </c>
      <c r="X961" s="579">
        <f>IFERROR(W975*W961/(SUM(W961:W974)),0)</f>
        <v>0</v>
      </c>
      <c r="Y961" s="879">
        <f>SUMIFS(בקרה!$S:$S,בקרה!$D:$D,T961,בקרה!$K:$K,S961)</f>
        <v>0</v>
      </c>
      <c r="Z961" s="121"/>
      <c r="AA961" s="143"/>
      <c r="AB961" s="143"/>
      <c r="AC961" s="504">
        <v>0</v>
      </c>
      <c r="AD961" s="505">
        <f>IFERROR(U961-AC961,0)</f>
        <v>0</v>
      </c>
      <c r="AE961" s="143"/>
      <c r="AI961" s="20"/>
      <c r="BO961" s="86"/>
    </row>
    <row r="962" spans="1:67" ht="15" customHeight="1" thickBot="1" x14ac:dyDescent="0.3">
      <c r="A962" s="520">
        <f>IFERROR(VLOOKUP($G$5,'רשימת רשויות'!A:C,3,0),0)</f>
        <v>0</v>
      </c>
      <c r="B962" s="520">
        <f t="shared" si="130"/>
        <v>0</v>
      </c>
      <c r="D962" s="1134"/>
      <c r="E962" s="1137"/>
      <c r="F962" s="589" t="s">
        <v>44</v>
      </c>
      <c r="G962" s="123">
        <f>IF(G952="תקין",IFERROR(VLOOKUP('בית ספר - תקצוב לפי מוסד (9)'!G947,' איוש משרות (8)'!C:J,7,0),0),0)</f>
        <v>0</v>
      </c>
      <c r="H962" s="124">
        <f>I951+R958+J951</f>
        <v>0</v>
      </c>
      <c r="I962" s="119">
        <f>IFERROR(SUM(G962:G963)/H962,0)</f>
        <v>0</v>
      </c>
      <c r="J962" s="100">
        <f>MIN(R958+I951,IF(ISNUMBER(SUM(G962:G963)),SUM(G962:G963),0))</f>
        <v>0</v>
      </c>
      <c r="K962" s="1139">
        <f>MAX((H962)-(G962+G963),0)</f>
        <v>0</v>
      </c>
      <c r="L962" s="407"/>
      <c r="M962" s="393"/>
      <c r="N962" s="393"/>
      <c r="O962" s="580"/>
      <c r="P962" s="1140"/>
      <c r="Q962" s="1140"/>
      <c r="R962" s="617">
        <f>MAX(MIN(P970-Q970,H970*0.15-G968),0)</f>
        <v>0</v>
      </c>
      <c r="S962" s="576"/>
      <c r="T962" s="599">
        <f>G947</f>
        <v>0</v>
      </c>
      <c r="U962" s="578"/>
      <c r="V962" s="579"/>
      <c r="W962" s="579">
        <f t="shared" ref="W962:W974" si="135">U962-V962</f>
        <v>0</v>
      </c>
      <c r="X962" s="579"/>
      <c r="Y962" s="879"/>
      <c r="Z962" s="121"/>
      <c r="AA962" s="143"/>
      <c r="AB962" s="143"/>
      <c r="AC962" s="504"/>
      <c r="AD962" s="505">
        <f t="shared" ref="AD962:AD968" si="136">IFERROR(U962-AC962,0)</f>
        <v>0</v>
      </c>
      <c r="AE962" s="143"/>
      <c r="AI962" s="20"/>
      <c r="BO962" s="86"/>
    </row>
    <row r="963" spans="1:67" ht="15.75" customHeight="1" x14ac:dyDescent="0.25">
      <c r="A963" s="520">
        <f>IFERROR(VLOOKUP($G$5,'רשימת רשויות'!A:C,3,0),0)</f>
        <v>0</v>
      </c>
      <c r="B963" s="520">
        <f t="shared" si="130"/>
        <v>0</v>
      </c>
      <c r="D963" s="1134"/>
      <c r="E963" s="1137"/>
      <c r="F963" s="589" t="s">
        <v>45</v>
      </c>
      <c r="G963" s="123">
        <f>IF(G952="תקין",IFERROR(VLOOKUP('בית ספר - תקצוב לפי מוסד (9)'!G947,' איוש משרות (8)'!C:J,8,0),0),0)</f>
        <v>0</v>
      </c>
      <c r="H963" s="125"/>
      <c r="I963" s="126"/>
      <c r="J963" s="104"/>
      <c r="K963" s="1139"/>
      <c r="L963" s="407"/>
      <c r="M963" s="393"/>
      <c r="N963" s="393"/>
      <c r="O963" s="580"/>
      <c r="P963" s="1140"/>
      <c r="Q963" s="1140"/>
      <c r="R963" s="596"/>
      <c r="S963" s="576"/>
      <c r="T963" s="599">
        <f>G947</f>
        <v>0</v>
      </c>
      <c r="U963" s="578"/>
      <c r="V963" s="579"/>
      <c r="W963" s="579">
        <f t="shared" si="135"/>
        <v>0</v>
      </c>
      <c r="X963" s="579"/>
      <c r="Y963" s="879"/>
      <c r="Z963" s="121"/>
      <c r="AA963" s="143"/>
      <c r="AB963" s="143"/>
      <c r="AC963" s="504"/>
      <c r="AD963" s="505">
        <f t="shared" si="136"/>
        <v>0</v>
      </c>
      <c r="AE963" s="143"/>
      <c r="AG963" s="55"/>
      <c r="AH963" s="55"/>
      <c r="AI963" s="55"/>
      <c r="AJ963" s="55"/>
      <c r="AK963" s="55"/>
      <c r="BO963" s="86"/>
    </row>
    <row r="964" spans="1:67" ht="15.75" customHeight="1" x14ac:dyDescent="0.25">
      <c r="A964" s="520">
        <f>IFERROR(VLOOKUP($G$5,'רשימת רשויות'!A:C,3,0),0)</f>
        <v>0</v>
      </c>
      <c r="B964" s="520">
        <f t="shared" si="130"/>
        <v>0</v>
      </c>
      <c r="D964" s="1134"/>
      <c r="E964" s="1137"/>
      <c r="F964" s="589" t="s">
        <v>0</v>
      </c>
      <c r="G964" s="117">
        <f>IF(G952="תקין",SUMIFS('דוח הוצאות בפועל (4)'!$E$17:$E$3016,'דוח הוצאות בפועל (4)'!$B$17:$B$3016,'בית ספר - תקצוב לפי מוסד (9)'!$G947,'דוח הוצאות בפועל (4)'!$M$17:$M$3016,"הע"),0)-Y964</f>
        <v>0</v>
      </c>
      <c r="H964" s="127">
        <f>J949</f>
        <v>0</v>
      </c>
      <c r="I964" s="128">
        <f>IFERROR(G964/H964,0)</f>
        <v>0</v>
      </c>
      <c r="J964" s="129">
        <f>MIN(IF(ISNUMBER(G964),G964,0),H964)</f>
        <v>0</v>
      </c>
      <c r="K964" s="120">
        <f>MAX(H964-G964,0)</f>
        <v>0</v>
      </c>
      <c r="L964" s="407"/>
      <c r="M964" s="393"/>
      <c r="N964" s="393"/>
      <c r="O964" s="580"/>
      <c r="P964" s="968">
        <f>MAX(IF(I964&lt;100%,MIN((H964-G964),H964*0.25),0),0)</f>
        <v>0</v>
      </c>
      <c r="Q964" s="619">
        <f>IF(G964-H964&gt;0,G964-H964,0)</f>
        <v>0</v>
      </c>
      <c r="R964" s="596"/>
      <c r="S964" s="610" t="s">
        <v>0</v>
      </c>
      <c r="T964" s="599">
        <f>G947</f>
        <v>0</v>
      </c>
      <c r="U964" s="578"/>
      <c r="V964" s="579">
        <f>G964</f>
        <v>0</v>
      </c>
      <c r="W964" s="579">
        <f t="shared" si="135"/>
        <v>0</v>
      </c>
      <c r="X964" s="579">
        <f>IFERROR(W975*W964/(SUM(W961:W974)),0)</f>
        <v>0</v>
      </c>
      <c r="Y964" s="879">
        <f>SUMIFS(בקרה!$S:$S,בקרה!$D:$D,T964,בקרה!$K:$K,S964)</f>
        <v>0</v>
      </c>
      <c r="Z964" s="121"/>
      <c r="AA964" s="143"/>
      <c r="AB964" s="143"/>
      <c r="AC964" s="504">
        <v>0</v>
      </c>
      <c r="AD964" s="505">
        <f t="shared" si="136"/>
        <v>0</v>
      </c>
      <c r="AE964" s="143"/>
      <c r="AG964" s="55"/>
      <c r="AH964" s="55"/>
      <c r="AI964" s="40"/>
      <c r="AJ964" s="55"/>
      <c r="AK964" s="55"/>
      <c r="BO964" s="86"/>
    </row>
    <row r="965" spans="1:67" s="55" customFormat="1" ht="15.75" customHeight="1" x14ac:dyDescent="0.25">
      <c r="A965" s="520">
        <f>IFERROR(VLOOKUP($G$5,'רשימת רשויות'!A:C,3,0),0)</f>
        <v>0</v>
      </c>
      <c r="B965" s="520">
        <f t="shared" si="130"/>
        <v>0</v>
      </c>
      <c r="C965" s="39"/>
      <c r="D965" s="1134"/>
      <c r="E965" s="1137"/>
      <c r="F965" s="589" t="s">
        <v>93</v>
      </c>
      <c r="G965" s="130">
        <f>IF(G952="תקין",SUMIFS('דוח הוצאות בפועל (4)'!$E$17:$E$3016,'דוח הוצאות בפועל (4)'!$B$17:$B$3016,'בית ספר - תקצוב לפי מוסד (9)'!$G947,'דוח הוצאות בפועל (4)'!$M$17:$M$3016,"אר"),0)-Y965</f>
        <v>0</v>
      </c>
      <c r="H965" s="118">
        <f>$I955</f>
        <v>0</v>
      </c>
      <c r="I965" s="131">
        <f>IFERROR((G965+G966)/H965,0)</f>
        <v>0</v>
      </c>
      <c r="J965" s="100">
        <f>MIN((IF(ISNUMBER(G965),G965,0)+IF(ISNUMBER(G966),G966,0)),H965)</f>
        <v>0</v>
      </c>
      <c r="K965" s="1139">
        <f>MAX((H965)-(G965+G966),0)</f>
        <v>0</v>
      </c>
      <c r="L965" s="407"/>
      <c r="M965" s="393"/>
      <c r="N965" s="393"/>
      <c r="O965" s="602"/>
      <c r="P965" s="1141"/>
      <c r="Q965" s="1142"/>
      <c r="R965" s="596"/>
      <c r="S965" s="610" t="s">
        <v>93</v>
      </c>
      <c r="T965" s="599">
        <f>G947</f>
        <v>0</v>
      </c>
      <c r="U965" s="578"/>
      <c r="V965" s="579">
        <f t="shared" ref="V965:V966" si="137">G965</f>
        <v>0</v>
      </c>
      <c r="W965" s="579">
        <f t="shared" si="135"/>
        <v>0</v>
      </c>
      <c r="X965" s="579">
        <f>IFERROR(W975*W965/(SUM(W961:W974)),0)</f>
        <v>0</v>
      </c>
      <c r="Y965" s="879">
        <f>SUMIFS(בקרה!$S:$S,בקרה!$D:$D,T965,בקרה!$K:$K,S965)</f>
        <v>0</v>
      </c>
      <c r="Z965" s="121"/>
      <c r="AA965" s="143"/>
      <c r="AB965" s="143"/>
      <c r="AC965" s="504">
        <v>0</v>
      </c>
      <c r="AD965" s="505">
        <f t="shared" si="136"/>
        <v>0</v>
      </c>
      <c r="AE965" s="143"/>
      <c r="AJ965" s="22"/>
      <c r="AO965" s="22"/>
      <c r="AP965" s="22"/>
      <c r="AQ965" s="22"/>
      <c r="AR965" s="22"/>
      <c r="AS965" s="22"/>
      <c r="AT965" s="22"/>
      <c r="AU965" s="35"/>
      <c r="AV965" s="35"/>
      <c r="AW965" s="35"/>
      <c r="AX965" s="35"/>
      <c r="AY965" s="35"/>
      <c r="AZ965" s="35"/>
      <c r="BA965" s="35"/>
      <c r="BB965" s="35"/>
      <c r="BC965" s="35"/>
      <c r="BD965" s="35"/>
      <c r="BE965" s="35"/>
      <c r="BF965" s="35"/>
      <c r="BG965" s="35"/>
      <c r="BH965" s="35"/>
      <c r="BI965" s="35"/>
      <c r="BJ965" s="35"/>
      <c r="BK965" s="35"/>
      <c r="BL965" s="35"/>
      <c r="BM965" s="35"/>
      <c r="BN965" s="35"/>
      <c r="BO965" s="86"/>
    </row>
    <row r="966" spans="1:67" s="55" customFormat="1" ht="15.75" customHeight="1" x14ac:dyDescent="0.25">
      <c r="A966" s="520">
        <f>IFERROR(VLOOKUP($G$5,'רשימת רשויות'!A:C,3,0),0)</f>
        <v>0</v>
      </c>
      <c r="B966" s="520">
        <f t="shared" si="130"/>
        <v>0</v>
      </c>
      <c r="C966" s="39"/>
      <c r="D966" s="1134"/>
      <c r="E966" s="1137"/>
      <c r="F966" s="589" t="s">
        <v>46</v>
      </c>
      <c r="G966" s="130">
        <f>IF(G952="תקין",SUMIFS('דוח הוצאות בפועל (4)'!$E$17:$E$3016,'דוח הוצאות בפועל (4)'!$B$17:$B$3016,'בית ספר - תקצוב לפי מוסד (9)'!$G947,'דוח הוצאות בפועל (4)'!$M$17:$M$3016,"מל"),0)-Y966</f>
        <v>0</v>
      </c>
      <c r="H966" s="132"/>
      <c r="I966" s="133"/>
      <c r="J966" s="104"/>
      <c r="K966" s="1139"/>
      <c r="L966" s="407"/>
      <c r="M966" s="393"/>
      <c r="N966" s="393"/>
      <c r="O966" s="602"/>
      <c r="P966" s="1141"/>
      <c r="Q966" s="1142"/>
      <c r="R966" s="596"/>
      <c r="S966" s="610" t="s">
        <v>46</v>
      </c>
      <c r="T966" s="599">
        <f>G947</f>
        <v>0</v>
      </c>
      <c r="U966" s="578"/>
      <c r="V966" s="579">
        <f t="shared" si="137"/>
        <v>0</v>
      </c>
      <c r="W966" s="579">
        <f t="shared" si="135"/>
        <v>0</v>
      </c>
      <c r="X966" s="579">
        <f>IFERROR(W975*W966/(SUM(W961:W974)),0)</f>
        <v>0</v>
      </c>
      <c r="Y966" s="879">
        <f>SUMIFS(בקרה!$S:$S,בקרה!$D:$D,T966,בקרה!$K:$K,S966)</f>
        <v>0</v>
      </c>
      <c r="Z966" s="121"/>
      <c r="AA966" s="143"/>
      <c r="AB966" s="143"/>
      <c r="AC966" s="504">
        <v>0</v>
      </c>
      <c r="AD966" s="505">
        <f t="shared" si="136"/>
        <v>0</v>
      </c>
      <c r="AE966" s="143"/>
      <c r="AJ966" s="22"/>
      <c r="AO966" s="22"/>
      <c r="AP966" s="22"/>
      <c r="AQ966" s="22"/>
      <c r="AR966" s="22"/>
      <c r="AS966" s="22"/>
      <c r="AT966" s="22"/>
      <c r="AU966" s="35"/>
      <c r="AV966" s="35"/>
      <c r="AW966" s="35"/>
      <c r="AX966" s="35"/>
      <c r="AY966" s="35"/>
      <c r="AZ966" s="35"/>
      <c r="BA966" s="35"/>
      <c r="BB966" s="35"/>
      <c r="BC966" s="35"/>
      <c r="BD966" s="35"/>
      <c r="BE966" s="35"/>
      <c r="BF966" s="35"/>
      <c r="BG966" s="35"/>
      <c r="BH966" s="35"/>
      <c r="BI966" s="35"/>
      <c r="BJ966" s="35"/>
      <c r="BK966" s="35"/>
      <c r="BL966" s="35"/>
      <c r="BM966" s="35"/>
      <c r="BN966" s="35"/>
      <c r="BO966" s="86"/>
    </row>
    <row r="967" spans="1:67" s="55" customFormat="1" ht="15" customHeight="1" x14ac:dyDescent="0.25">
      <c r="A967" s="520">
        <f>IFERROR(VLOOKUP($G$5,'רשימת רשויות'!A:C,3,0),0)</f>
        <v>0</v>
      </c>
      <c r="B967" s="520">
        <f t="shared" si="130"/>
        <v>0</v>
      </c>
      <c r="C967" s="39"/>
      <c r="D967" s="1134"/>
      <c r="E967" s="1137"/>
      <c r="F967" s="591" t="s">
        <v>23</v>
      </c>
      <c r="G967" s="134">
        <f>SUM(G961:G966)</f>
        <v>0</v>
      </c>
      <c r="H967" s="135">
        <f>SUM(H961:H966)</f>
        <v>0</v>
      </c>
      <c r="I967" s="128">
        <f>IFERROR(G967/H967,0)</f>
        <v>0</v>
      </c>
      <c r="J967" s="136">
        <f>SUM(J961:J966)</f>
        <v>0</v>
      </c>
      <c r="K967" s="137">
        <f>SUM(K961:K966)</f>
        <v>0</v>
      </c>
      <c r="L967" s="408"/>
      <c r="M967" s="394"/>
      <c r="N967" s="394"/>
      <c r="O967" s="602"/>
      <c r="P967" s="620">
        <f>SUM(P961:P966)</f>
        <v>0</v>
      </c>
      <c r="Q967" s="620">
        <f>SUM(Q961:Q966)</f>
        <v>0</v>
      </c>
      <c r="R967" s="596"/>
      <c r="S967" s="610"/>
      <c r="T967" s="599">
        <f>G947</f>
        <v>0</v>
      </c>
      <c r="U967" s="578"/>
      <c r="V967" s="579"/>
      <c r="W967" s="579">
        <f t="shared" si="135"/>
        <v>0</v>
      </c>
      <c r="X967" s="579"/>
      <c r="Y967" s="879"/>
      <c r="Z967" s="121"/>
      <c r="AA967" s="143"/>
      <c r="AB967" s="143"/>
      <c r="AC967" s="504"/>
      <c r="AD967" s="505">
        <f t="shared" si="136"/>
        <v>0</v>
      </c>
      <c r="AE967" s="143"/>
      <c r="AJ967" s="22"/>
      <c r="AL967" s="22"/>
      <c r="AM967" s="22"/>
      <c r="AN967" s="22"/>
      <c r="AO967" s="22"/>
      <c r="AP967" s="22"/>
      <c r="AQ967" s="22"/>
      <c r="AR967" s="22"/>
      <c r="AS967" s="22"/>
      <c r="AT967" s="22"/>
      <c r="AU967" s="35"/>
      <c r="AV967" s="35"/>
      <c r="AW967" s="35"/>
      <c r="AX967" s="35"/>
      <c r="AY967" s="35"/>
      <c r="AZ967" s="35"/>
      <c r="BA967" s="35"/>
      <c r="BB967" s="35"/>
      <c r="BC967" s="35"/>
      <c r="BD967" s="35"/>
      <c r="BE967" s="35"/>
      <c r="BF967" s="35"/>
      <c r="BG967" s="35"/>
      <c r="BH967" s="35"/>
      <c r="BI967" s="35"/>
      <c r="BJ967" s="35"/>
      <c r="BK967" s="35"/>
      <c r="BL967" s="35"/>
      <c r="BM967" s="35"/>
      <c r="BN967" s="35"/>
      <c r="BO967" s="86"/>
    </row>
    <row r="968" spans="1:67" s="55" customFormat="1" ht="15" customHeight="1" x14ac:dyDescent="0.25">
      <c r="A968" s="520">
        <f>IFERROR(VLOOKUP($G$5,'רשימת רשויות'!A:C,3,0),0)</f>
        <v>0</v>
      </c>
      <c r="B968" s="520">
        <f t="shared" si="130"/>
        <v>0</v>
      </c>
      <c r="C968" s="39"/>
      <c r="D968" s="1134"/>
      <c r="E968" s="1137"/>
      <c r="F968" s="589" t="s">
        <v>3</v>
      </c>
      <c r="G968" s="117">
        <f>IF(G952="תקין",SUMIFS('דוח הוצאות בפועל (4)'!$E$17:$E$3016,'דוח הוצאות בפועל (4)'!$B$17:$B$3016,'בית ספר - תקצוב לפי מוסד (9)'!$G947,'דוח הוצאות בפועל (4)'!$M$17:$M$3016,"ני")+SUMIFS('דוח הוצאות בפועל (4)'!$E$17:$E$3016,'דוח הוצאות בפועל (4)'!$B$17:$B$3016,'בית ספר - תקצוב לפי מוסד (9)'!$G947,'דוח הוצאות בפועל (4)'!$M$17:$M$3016,"על"),0)-Y968</f>
        <v>0</v>
      </c>
      <c r="H968" s="117">
        <f>H949</f>
        <v>0</v>
      </c>
      <c r="I968" s="138">
        <f>IFERROR(G968/H968,0)</f>
        <v>0</v>
      </c>
      <c r="J968" s="117">
        <f>IFERROR(IF(G968/H970&gt;0.15,MIN(H970*0.15,H968),MIN(H968,IF(ISNUMBER(G968),G968,0))),0)</f>
        <v>0</v>
      </c>
      <c r="K968" s="120">
        <f>MAX(H968-G968,0)</f>
        <v>0</v>
      </c>
      <c r="L968" s="407"/>
      <c r="M968" s="393"/>
      <c r="N968" s="393"/>
      <c r="O968" s="602"/>
      <c r="P968" s="620">
        <f>IF(I968&lt;100%,MIN(H968-G968,H968*0.25),0)</f>
        <v>0</v>
      </c>
      <c r="Q968" s="620">
        <f>MAX(MIN(IF(G968-H968&gt;0,G968-H968,0),$H970*0.15-H968-J969),0)</f>
        <v>0</v>
      </c>
      <c r="R968" s="596"/>
      <c r="S968" s="610" t="s">
        <v>3</v>
      </c>
      <c r="T968" s="599">
        <f>G947</f>
        <v>0</v>
      </c>
      <c r="U968" s="578"/>
      <c r="V968" s="579">
        <f t="shared" ref="V968" si="138">G968</f>
        <v>0</v>
      </c>
      <c r="W968" s="579">
        <f t="shared" si="135"/>
        <v>0</v>
      </c>
      <c r="X968" s="579"/>
      <c r="Y968" s="879"/>
      <c r="Z968" s="121"/>
      <c r="AA968" s="143"/>
      <c r="AB968" s="143"/>
      <c r="AC968" s="504">
        <v>0</v>
      </c>
      <c r="AD968" s="505">
        <f t="shared" si="136"/>
        <v>0</v>
      </c>
      <c r="AE968" s="143"/>
      <c r="AG968" s="22"/>
      <c r="AH968" s="22"/>
      <c r="AI968" s="22"/>
      <c r="AJ968" s="22"/>
      <c r="AK968" s="22"/>
      <c r="AL968" s="22"/>
      <c r="AM968" s="22"/>
      <c r="AN968" s="22"/>
      <c r="AO968" s="22"/>
      <c r="AP968" s="22"/>
      <c r="AQ968" s="22"/>
      <c r="AR968" s="22"/>
      <c r="AS968" s="22"/>
      <c r="AT968" s="22"/>
      <c r="AU968" s="35"/>
      <c r="AV968" s="35"/>
      <c r="AW968" s="35"/>
      <c r="AX968" s="35"/>
      <c r="AY968" s="35"/>
      <c r="AZ968" s="35"/>
      <c r="BA968" s="35"/>
      <c r="BB968" s="35"/>
      <c r="BC968" s="35"/>
      <c r="BD968" s="35"/>
      <c r="BE968" s="35"/>
      <c r="BF968" s="35"/>
      <c r="BG968" s="35"/>
      <c r="BH968" s="35"/>
      <c r="BI968" s="35"/>
      <c r="BJ968" s="35"/>
      <c r="BK968" s="35"/>
      <c r="BL968" s="35"/>
      <c r="BM968" s="35"/>
      <c r="BN968" s="35"/>
      <c r="BO968" s="86"/>
    </row>
    <row r="969" spans="1:67" s="55" customFormat="1" ht="15.75" customHeight="1" x14ac:dyDescent="0.25">
      <c r="A969" s="520">
        <f>IFERROR(VLOOKUP($G$5,'רשימת רשויות'!A:C,3,0),0)</f>
        <v>0</v>
      </c>
      <c r="B969" s="520">
        <f t="shared" si="130"/>
        <v>0</v>
      </c>
      <c r="C969" s="39"/>
      <c r="D969" s="1134"/>
      <c r="E969" s="1137"/>
      <c r="F969" s="589" t="s">
        <v>2918</v>
      </c>
      <c r="G969" s="117">
        <f>0.07*(G963+G962)</f>
        <v>0</v>
      </c>
      <c r="H969" s="117">
        <f>H951</f>
        <v>0</v>
      </c>
      <c r="I969" s="138">
        <f>IFERROR(G969/H969,0)</f>
        <v>0</v>
      </c>
      <c r="J969" s="117">
        <f>IFERROR(MIN(0.07*(G962+G963),0.07*I951),0)</f>
        <v>0</v>
      </c>
      <c r="K969" s="120">
        <f>MAX(H969-G969,0)</f>
        <v>0</v>
      </c>
      <c r="L969" s="407"/>
      <c r="M969" s="393"/>
      <c r="N969" s="393"/>
      <c r="O969" s="602"/>
      <c r="P969" s="620"/>
      <c r="Q969" s="619"/>
      <c r="R969" s="596"/>
      <c r="S969" s="611"/>
      <c r="T969" s="599">
        <f>G947</f>
        <v>0</v>
      </c>
      <c r="U969" s="578"/>
      <c r="V969" s="579"/>
      <c r="W969" s="579">
        <f t="shared" si="135"/>
        <v>0</v>
      </c>
      <c r="X969" s="579"/>
      <c r="Y969" s="879"/>
      <c r="Z969" s="121"/>
      <c r="AA969" s="143"/>
      <c r="AB969" s="143"/>
      <c r="AC969" s="504"/>
      <c r="AD969" s="505"/>
      <c r="AE969" s="143"/>
      <c r="AF969" s="140"/>
      <c r="AG969" s="22"/>
      <c r="AH969" s="22"/>
      <c r="AI969" s="22"/>
      <c r="AJ969" s="22"/>
      <c r="AK969" s="22"/>
      <c r="AL969" s="22"/>
      <c r="AM969" s="22"/>
      <c r="AN969" s="22"/>
      <c r="AO969" s="22"/>
      <c r="AP969" s="22"/>
      <c r="AQ969" s="22"/>
      <c r="AR969" s="22"/>
      <c r="AS969" s="22"/>
      <c r="AT969" s="22"/>
      <c r="AU969" s="35"/>
      <c r="AV969" s="35"/>
      <c r="AW969" s="35"/>
      <c r="AX969" s="35"/>
      <c r="AY969" s="35"/>
      <c r="AZ969" s="35"/>
      <c r="BA969" s="35"/>
      <c r="BB969" s="35"/>
      <c r="BC969" s="35"/>
      <c r="BD969" s="35"/>
      <c r="BE969" s="35"/>
      <c r="BF969" s="35"/>
      <c r="BG969" s="35"/>
      <c r="BH969" s="35"/>
      <c r="BI969" s="35"/>
      <c r="BJ969" s="35"/>
      <c r="BK969" s="35"/>
      <c r="BL969" s="35"/>
      <c r="BM969" s="35"/>
      <c r="BN969" s="35"/>
      <c r="BO969" s="86"/>
    </row>
    <row r="970" spans="1:67" ht="15.75" customHeight="1" x14ac:dyDescent="0.25">
      <c r="A970" s="520">
        <f>IFERROR(VLOOKUP($G$5,'רשימת רשויות'!A:C,3,0),0)</f>
        <v>0</v>
      </c>
      <c r="B970" s="520">
        <f t="shared" si="130"/>
        <v>0</v>
      </c>
      <c r="D970" s="1134"/>
      <c r="E970" s="1137"/>
      <c r="F970" s="591" t="s">
        <v>15</v>
      </c>
      <c r="G970" s="134">
        <f>G967+G968+G969</f>
        <v>0</v>
      </c>
      <c r="H970" s="134">
        <f>H967+H968+H969</f>
        <v>0</v>
      </c>
      <c r="I970" s="138">
        <f>IFERROR(G970/H970,0)</f>
        <v>0</v>
      </c>
      <c r="J970" s="139">
        <f>J967+J968+J969</f>
        <v>0</v>
      </c>
      <c r="K970" s="137">
        <f>K968+K967+K969</f>
        <v>0</v>
      </c>
      <c r="L970" s="408"/>
      <c r="M970" s="394"/>
      <c r="N970" s="394"/>
      <c r="O970" s="602"/>
      <c r="P970" s="621">
        <f>SUM(P967:P968)</f>
        <v>0</v>
      </c>
      <c r="Q970" s="622">
        <f>Q967+Q968</f>
        <v>0</v>
      </c>
      <c r="R970" s="596"/>
      <c r="S970" s="611"/>
      <c r="T970" s="599">
        <f>G947</f>
        <v>0</v>
      </c>
      <c r="U970" s="578"/>
      <c r="V970" s="579"/>
      <c r="W970" s="579">
        <f t="shared" si="135"/>
        <v>0</v>
      </c>
      <c r="X970" s="579"/>
      <c r="Y970" s="879"/>
      <c r="Z970" s="106"/>
      <c r="AC970" s="504"/>
      <c r="AD970" s="505"/>
      <c r="AH970" s="143"/>
      <c r="BO970" s="86"/>
    </row>
    <row r="971" spans="1:67" ht="15.75" customHeight="1" x14ac:dyDescent="0.25">
      <c r="A971" s="520">
        <f>IFERROR(VLOOKUP($G$5,'רשימת רשויות'!A:C,3,0),0)</f>
        <v>0</v>
      </c>
      <c r="B971" s="520">
        <f t="shared" si="130"/>
        <v>0</v>
      </c>
      <c r="D971" s="1134"/>
      <c r="E971" s="1137"/>
      <c r="F971" s="589" t="s">
        <v>2261</v>
      </c>
      <c r="G971" s="117">
        <f>IF(G952="תקין",SUMIF('תשלומי הורים ומלגות להורים (5) '!$B$18:$B$517,$G947,'תשלומי הורים ומלגות להורים (5) '!$C$18:$C$517),0)</f>
        <v>0</v>
      </c>
      <c r="H971" s="117">
        <f>(G950+G951)*$G$7</f>
        <v>0</v>
      </c>
      <c r="I971" s="141"/>
      <c r="J971" s="141"/>
      <c r="K971" s="142"/>
      <c r="L971" s="395"/>
      <c r="M971" s="395"/>
      <c r="N971" s="395"/>
      <c r="O971" s="602"/>
      <c r="P971" s="623"/>
      <c r="Q971" s="619"/>
      <c r="R971" s="596"/>
      <c r="S971" s="612"/>
      <c r="T971" s="599">
        <f>G947</f>
        <v>0</v>
      </c>
      <c r="U971" s="578"/>
      <c r="V971" s="579"/>
      <c r="W971" s="579">
        <f t="shared" si="135"/>
        <v>0</v>
      </c>
      <c r="X971" s="579"/>
      <c r="Y971" s="879"/>
      <c r="Z971" s="121"/>
      <c r="AA971" s="143"/>
      <c r="AB971" s="143"/>
      <c r="AC971" s="504"/>
      <c r="AD971" s="505"/>
      <c r="AE971" s="143"/>
      <c r="AF971" s="148"/>
      <c r="BO971" s="86"/>
    </row>
    <row r="972" spans="1:67" ht="15.75" customHeight="1" thickBot="1" x14ac:dyDescent="0.3">
      <c r="A972" s="520">
        <f>IFERROR(VLOOKUP($G$5,'רשימת רשויות'!A:C,3,0),0)</f>
        <v>0</v>
      </c>
      <c r="B972" s="520">
        <f t="shared" si="130"/>
        <v>0</v>
      </c>
      <c r="D972" s="1134"/>
      <c r="E972" s="1137"/>
      <c r="F972" s="592" t="s">
        <v>21</v>
      </c>
      <c r="G972" s="144">
        <f>G970-G971</f>
        <v>0</v>
      </c>
      <c r="H972" s="144">
        <f>H970-H971</f>
        <v>0</v>
      </c>
      <c r="I972" s="145"/>
      <c r="J972" s="145"/>
      <c r="K972" s="146"/>
      <c r="L972" s="396"/>
      <c r="M972" s="396"/>
      <c r="N972" s="396"/>
      <c r="O972" s="602"/>
      <c r="P972" s="619"/>
      <c r="Q972" s="619"/>
      <c r="R972" s="596"/>
      <c r="S972" s="612"/>
      <c r="T972" s="599">
        <f>G947</f>
        <v>0</v>
      </c>
      <c r="U972" s="578"/>
      <c r="V972" s="579"/>
      <c r="W972" s="579">
        <f t="shared" si="135"/>
        <v>0</v>
      </c>
      <c r="X972" s="579"/>
      <c r="Y972" s="879"/>
      <c r="Z972" s="147"/>
      <c r="AA972" s="148"/>
      <c r="AB972" s="148"/>
      <c r="AC972" s="504"/>
      <c r="AD972" s="505"/>
      <c r="AE972" s="148"/>
      <c r="AF972" s="148"/>
      <c r="BO972" s="86"/>
    </row>
    <row r="973" spans="1:67" ht="15.75" customHeight="1" thickBot="1" x14ac:dyDescent="0.3">
      <c r="A973" s="520">
        <f>IFERROR(VLOOKUP($G$5,'רשימת רשויות'!A:C,3,0),0)</f>
        <v>0</v>
      </c>
      <c r="B973" s="520">
        <f t="shared" si="130"/>
        <v>0</v>
      </c>
      <c r="D973" s="1134"/>
      <c r="E973" s="1137"/>
      <c r="F973" s="580"/>
      <c r="G973" s="580"/>
      <c r="H973" s="147"/>
      <c r="I973" s="149" t="s">
        <v>2197</v>
      </c>
      <c r="J973" s="150">
        <f>MAX(MIN(P970,Q970),0)</f>
        <v>0</v>
      </c>
      <c r="K973" s="580"/>
      <c r="L973" s="580"/>
      <c r="M973" s="580"/>
      <c r="N973" s="580"/>
      <c r="O973" s="580"/>
      <c r="P973" s="615" t="s">
        <v>2317</v>
      </c>
      <c r="Q973" s="624">
        <f>SUM(Q974:Q975)</f>
        <v>0</v>
      </c>
      <c r="R973" s="596"/>
      <c r="S973" s="612"/>
      <c r="T973" s="599">
        <f>G947</f>
        <v>0</v>
      </c>
      <c r="U973" s="578"/>
      <c r="V973" s="579"/>
      <c r="W973" s="579">
        <f t="shared" si="135"/>
        <v>0</v>
      </c>
      <c r="X973" s="579"/>
      <c r="Y973" s="879"/>
      <c r="Z973" s="106"/>
      <c r="AC973" s="504"/>
      <c r="AD973" s="505"/>
      <c r="AF973" s="148"/>
      <c r="BO973" s="86"/>
    </row>
    <row r="974" spans="1:67" ht="16.5" thickBot="1" x14ac:dyDescent="0.3">
      <c r="A974" s="520">
        <f>IFERROR(VLOOKUP($G$5,'רשימת רשויות'!A:C,3,0),0)</f>
        <v>0</v>
      </c>
      <c r="B974" s="520">
        <f t="shared" ref="B974:B1037" si="139">IF(F975="סמל המוסד",G975,B973)</f>
        <v>0</v>
      </c>
      <c r="D974" s="1134"/>
      <c r="E974" s="1137"/>
      <c r="F974" s="580"/>
      <c r="G974" s="580"/>
      <c r="H974" s="580"/>
      <c r="I974" s="84" t="s">
        <v>2193</v>
      </c>
      <c r="J974" s="515" t="str">
        <f>IFERROR(1-H971/H970,"")</f>
        <v/>
      </c>
      <c r="K974" s="580"/>
      <c r="L974" s="580"/>
      <c r="M974" s="580"/>
      <c r="N974" s="580"/>
      <c r="O974" s="580"/>
      <c r="P974" s="615" t="s">
        <v>417</v>
      </c>
      <c r="Q974" s="616">
        <f>IFERROR(MAX(H972-I975-Q975,0),0)</f>
        <v>0</v>
      </c>
      <c r="R974" s="596"/>
      <c r="S974" s="600"/>
      <c r="T974" s="599">
        <f>G947</f>
        <v>0</v>
      </c>
      <c r="U974" s="578"/>
      <c r="V974" s="579"/>
      <c r="W974" s="579">
        <f t="shared" si="135"/>
        <v>0</v>
      </c>
      <c r="X974" s="579"/>
      <c r="Y974" s="879"/>
      <c r="Z974" s="106"/>
      <c r="AC974" s="504"/>
      <c r="AD974" s="505"/>
      <c r="BO974" s="86"/>
    </row>
    <row r="975" spans="1:67" ht="17.25" thickBot="1" x14ac:dyDescent="0.3">
      <c r="A975" s="520">
        <f>IFERROR(VLOOKUP($G$5,'רשימת רשויות'!A:C,3,0),0)</f>
        <v>0</v>
      </c>
      <c r="B975" s="520">
        <f t="shared" si="139"/>
        <v>0</v>
      </c>
      <c r="D975" s="1134"/>
      <c r="E975" s="1137"/>
      <c r="F975" s="1143" t="s">
        <v>2679</v>
      </c>
      <c r="G975" s="1143"/>
      <c r="H975" s="1143"/>
      <c r="I975" s="722">
        <f>IF(G952="לא תקין","לא קיימת זכאות לתקציב לאור אי איוש משרות רכז ו/או סגן רכז ",IFERROR(J974*(J973+J970),0))</f>
        <v>0</v>
      </c>
      <c r="J975" s="573"/>
      <c r="K975" s="574"/>
      <c r="L975" s="396"/>
      <c r="M975" s="574"/>
      <c r="N975" s="574"/>
      <c r="O975" s="574"/>
      <c r="P975" s="615" t="s">
        <v>2279</v>
      </c>
      <c r="Q975" s="616">
        <f>MAX(IF(AND(G970&gt;H970,I975&lt;H972),H972-I975,0),0)</f>
        <v>0</v>
      </c>
      <c r="R975" s="575"/>
      <c r="S975" s="576" t="s">
        <v>67</v>
      </c>
      <c r="T975" s="577">
        <f>G947</f>
        <v>0</v>
      </c>
      <c r="U975" s="578"/>
      <c r="V975" s="579">
        <f>I975</f>
        <v>0</v>
      </c>
      <c r="W975" s="579">
        <f>IFERROR(U975-V975,0)</f>
        <v>0</v>
      </c>
      <c r="X975" s="579">
        <f>SUM(X961:X974)</f>
        <v>0</v>
      </c>
      <c r="Y975" s="879"/>
      <c r="Z975" s="106"/>
      <c r="AC975" s="506">
        <v>0</v>
      </c>
      <c r="AD975" s="507">
        <f>IFERROR(U975-AC975,0)</f>
        <v>0</v>
      </c>
      <c r="BO975" s="86"/>
    </row>
    <row r="976" spans="1:67" ht="16.5" thickBot="1" x14ac:dyDescent="0.3">
      <c r="A976" s="520">
        <f>IFERROR(VLOOKUP($G$5,'רשימת רשויות'!A:C,3,0),0)</f>
        <v>0</v>
      </c>
      <c r="B976" s="520">
        <f t="shared" si="139"/>
        <v>0</v>
      </c>
      <c r="D976" s="1135"/>
      <c r="E976" s="1138"/>
      <c r="F976" s="1144" t="s">
        <v>2793</v>
      </c>
      <c r="G976" s="1145"/>
      <c r="H976" s="1145"/>
      <c r="I976" s="593">
        <f>IFERROR(IF(G952="תקין",SUMIFS('סייעות רפואיות או אישיות (7)'!$Q$17:Q$384,'סייעות רפואיות או אישיות (7)'!C$17:C$384,G947),0),0)</f>
        <v>0</v>
      </c>
      <c r="J976" s="151"/>
      <c r="K976" s="152"/>
      <c r="L976" s="409"/>
      <c r="M976" s="152"/>
      <c r="N976" s="152"/>
      <c r="O976" s="152"/>
      <c r="P976" s="613"/>
      <c r="Q976" s="614"/>
      <c r="R976" s="475"/>
      <c r="S976" s="489"/>
      <c r="T976" s="490"/>
      <c r="U976" s="491"/>
      <c r="V976" s="492"/>
      <c r="W976" s="492"/>
      <c r="X976" s="492"/>
      <c r="Y976" s="880"/>
      <c r="Z976" s="153"/>
      <c r="AC976" s="581"/>
      <c r="AD976" s="582"/>
      <c r="BO976" s="86"/>
    </row>
    <row r="977" spans="1:67" ht="34.5" thickBot="1" x14ac:dyDescent="0.55000000000000004">
      <c r="A977" s="520">
        <f>IFERROR(VLOOKUP($G$5,'רשימת רשויות'!A:C,3,0),0)</f>
        <v>0</v>
      </c>
      <c r="B977" s="520">
        <f t="shared" si="139"/>
        <v>0</v>
      </c>
      <c r="E977" s="154"/>
      <c r="I977" s="143"/>
      <c r="J977" s="148"/>
      <c r="O977" s="148"/>
      <c r="T977" s="481"/>
      <c r="BO977" s="86"/>
    </row>
    <row r="978" spans="1:67" s="20" customFormat="1" ht="16.5" customHeight="1" thickBot="1" x14ac:dyDescent="0.3">
      <c r="A978" s="520">
        <f>IFERROR(VLOOKUP($G$5,'רשימת רשויות'!A:C,3,0),0)</f>
        <v>0</v>
      </c>
      <c r="B978" s="520">
        <f t="shared" si="139"/>
        <v>0</v>
      </c>
      <c r="C978" s="39"/>
      <c r="D978" s="1133">
        <f>D947+1</f>
        <v>32</v>
      </c>
      <c r="E978" s="1136" t="str">
        <f>IFERROR(CONCATENATE("בית הספר ",VLOOKUP(G978,'מצבת והרשמה (2)'!$C$21:$D$520,2,0)," - ",$G$5),"")</f>
        <v>בית הספר המוסד לא קיים - 0</v>
      </c>
      <c r="F978" s="720" t="s">
        <v>146</v>
      </c>
      <c r="G978" s="721">
        <f>IFERROR(VLOOKUP(D:D,'דוח ביצוע (3)'!$A$21:$C$900,2,0),0)</f>
        <v>0</v>
      </c>
      <c r="H978" s="79"/>
      <c r="I978" s="80" t="s">
        <v>150</v>
      </c>
      <c r="J978" s="80"/>
      <c r="K978" s="81"/>
      <c r="L978" s="392"/>
      <c r="M978" s="392"/>
      <c r="N978" s="392"/>
      <c r="O978" s="82"/>
      <c r="P978" s="470"/>
      <c r="Q978" s="471"/>
      <c r="R978" s="472"/>
      <c r="S978" s="883"/>
      <c r="T978" s="884"/>
      <c r="U978" s="486"/>
      <c r="V978" s="487"/>
      <c r="W978" s="487"/>
      <c r="X978" s="487"/>
      <c r="Y978" s="885"/>
      <c r="Z978" s="83"/>
      <c r="AC978" s="502"/>
      <c r="AD978" s="503"/>
      <c r="AO978" s="22"/>
      <c r="AP978" s="22"/>
      <c r="AQ978" s="22"/>
      <c r="AR978" s="22"/>
      <c r="AS978" s="22"/>
      <c r="AT978" s="22"/>
      <c r="AU978" s="35"/>
      <c r="AV978" s="35"/>
      <c r="AW978" s="35"/>
      <c r="AX978" s="35"/>
      <c r="AY978" s="35"/>
      <c r="AZ978" s="35"/>
      <c r="BA978" s="35"/>
      <c r="BB978" s="35"/>
      <c r="BC978" s="35"/>
      <c r="BD978" s="35"/>
      <c r="BE978" s="35"/>
      <c r="BF978" s="35"/>
      <c r="BG978" s="35"/>
      <c r="BH978" s="35"/>
      <c r="BI978" s="35"/>
      <c r="BJ978" s="35"/>
      <c r="BK978" s="35"/>
      <c r="BL978" s="35"/>
      <c r="BM978" s="35"/>
      <c r="BN978" s="35"/>
      <c r="BO978" s="78"/>
    </row>
    <row r="979" spans="1:67" s="20" customFormat="1" ht="16.5" thickBot="1" x14ac:dyDescent="0.3">
      <c r="A979" s="520">
        <f>IFERROR(VLOOKUP($G$5,'רשימת רשויות'!A:C,3,0),0)</f>
        <v>0</v>
      </c>
      <c r="B979" s="520">
        <f t="shared" si="139"/>
        <v>0</v>
      </c>
      <c r="C979" s="39"/>
      <c r="D979" s="1134"/>
      <c r="E979" s="1137"/>
      <c r="F979" s="583" t="s">
        <v>145</v>
      </c>
      <c r="G979" s="516" t="str">
        <f>IFERROR(IF((G981+G982)=0,"",IF(VLOOKUP(G978,'דוח ביצוע (3)'!$B$21:$K$900,5,0)&gt;149,"גדול",IF(AND(VLOOKUP(G978,'דוח ביצוע (3)'!$B$21:$K$900,5,0)&gt;0,VLOOKUP(G978,'דוח ביצוע (3)'!$B$21:$K$900,5,0)&lt;150),"קטן",0))),"")</f>
        <v/>
      </c>
      <c r="H979" s="723" t="s">
        <v>88</v>
      </c>
      <c r="I979" s="723" t="s">
        <v>13</v>
      </c>
      <c r="J979" s="725" t="s">
        <v>14</v>
      </c>
      <c r="K979" s="724" t="s">
        <v>94</v>
      </c>
      <c r="L979" s="594"/>
      <c r="M979" s="420" t="s">
        <v>2584</v>
      </c>
      <c r="N979" s="397" t="s">
        <v>413</v>
      </c>
      <c r="O979" s="398" t="s">
        <v>52</v>
      </c>
      <c r="P979" s="595"/>
      <c r="Q979" s="595"/>
      <c r="R979" s="596"/>
      <c r="S979" s="610"/>
      <c r="T979" s="881"/>
      <c r="U979" s="598"/>
      <c r="V979" s="599"/>
      <c r="W979" s="599"/>
      <c r="X979" s="599"/>
      <c r="Y979" s="879"/>
      <c r="Z979" s="85"/>
      <c r="AC979" s="493"/>
      <c r="AD979" s="495"/>
      <c r="AO979" s="22"/>
      <c r="AP979" s="22"/>
      <c r="AQ979" s="22"/>
      <c r="AR979" s="22"/>
      <c r="AS979" s="22"/>
      <c r="AT979" s="22"/>
      <c r="AU979" s="35"/>
      <c r="AV979" s="35"/>
      <c r="AW979" s="35"/>
      <c r="AX979" s="35"/>
      <c r="AY979" s="35"/>
      <c r="AZ979" s="35"/>
      <c r="BA979" s="35"/>
      <c r="BB979" s="35"/>
      <c r="BC979" s="35"/>
      <c r="BD979" s="35"/>
      <c r="BE979" s="35"/>
      <c r="BF979" s="35"/>
      <c r="BG979" s="35"/>
      <c r="BH979" s="35"/>
      <c r="BI979" s="35"/>
      <c r="BJ979" s="35"/>
      <c r="BK979" s="35"/>
      <c r="BL979" s="35"/>
      <c r="BM979" s="35"/>
      <c r="BN979" s="35"/>
      <c r="BO979" s="78"/>
    </row>
    <row r="980" spans="1:67" s="20" customFormat="1" ht="15.75" customHeight="1" thickBot="1" x14ac:dyDescent="0.3">
      <c r="A980" s="520">
        <f>IFERROR(VLOOKUP($G$5,'רשימת רשויות'!A:C,3,0),0)</f>
        <v>0</v>
      </c>
      <c r="B980" s="520">
        <f t="shared" si="139"/>
        <v>0</v>
      </c>
      <c r="C980" s="39"/>
      <c r="D980" s="1134"/>
      <c r="E980" s="1137"/>
      <c r="F980" s="584" t="s">
        <v>144</v>
      </c>
      <c r="G980" s="87">
        <f>IF(G983="תקין",IFERROR(VLOOKUP($G978,'דוח ביצוע (3)'!$B$21:$Q$900,12,0),0),0)</f>
        <v>0</v>
      </c>
      <c r="H980" s="88">
        <f>IFERROR(G981*$AH$6+G982*$AH$7,0)</f>
        <v>0</v>
      </c>
      <c r="I980" s="88">
        <f>IFERROR(G981*$AI$6+G982*$AI$7,0)</f>
        <v>0</v>
      </c>
      <c r="J980" s="88">
        <f>IFERROR(G981*$AJ$6+G982*$AJ$7,0)</f>
        <v>0</v>
      </c>
      <c r="K980" s="88">
        <f>IFERROR(G981*$AK$6+G982*$AK$7,0)</f>
        <v>0</v>
      </c>
      <c r="L980" s="405"/>
      <c r="M980" s="399" t="s">
        <v>427</v>
      </c>
      <c r="N980" s="400" t="str">
        <f>IFERROR(VLOOKUP($G978,'דוח ביצוע (3)'!$B:$AE,28,0),"")</f>
        <v/>
      </c>
      <c r="O980" s="89" t="str">
        <f>IFERROR(VLOOKUP($G978,'דוח ביצוע (3)'!B:AE,29,0),"")</f>
        <v/>
      </c>
      <c r="P980" s="595"/>
      <c r="Q980" s="595"/>
      <c r="R980" s="596"/>
      <c r="S980" s="610"/>
      <c r="T980" s="881"/>
      <c r="U980" s="598"/>
      <c r="V980" s="599"/>
      <c r="W980" s="599"/>
      <c r="X980" s="599"/>
      <c r="Y980" s="879"/>
      <c r="Z980" s="85"/>
      <c r="AC980" s="493"/>
      <c r="AD980" s="495"/>
      <c r="AO980" s="22"/>
      <c r="AP980" s="22"/>
      <c r="AQ980" s="22"/>
      <c r="AR980" s="22"/>
      <c r="AS980" s="22"/>
      <c r="AT980" s="22"/>
      <c r="AU980" s="35"/>
      <c r="AV980" s="35"/>
      <c r="AW980" s="35"/>
      <c r="AX980" s="35"/>
      <c r="AY980" s="35"/>
      <c r="AZ980" s="35"/>
      <c r="BA980" s="35"/>
      <c r="BB980" s="35"/>
      <c r="BC980" s="35"/>
      <c r="BD980" s="35"/>
      <c r="BE980" s="35"/>
      <c r="BF980" s="35"/>
      <c r="BG980" s="35"/>
      <c r="BH980" s="35"/>
      <c r="BI980" s="35"/>
      <c r="BJ980" s="35"/>
      <c r="BK980" s="35"/>
      <c r="BL980" s="35"/>
      <c r="BM980" s="35"/>
      <c r="BN980" s="35"/>
      <c r="BO980" s="78"/>
    </row>
    <row r="981" spans="1:67" s="20" customFormat="1" ht="32.25" thickBot="1" x14ac:dyDescent="0.3">
      <c r="A981" s="520">
        <f>IFERROR(VLOOKUP($G$5,'רשימת רשויות'!A:C,3,0),0)</f>
        <v>0</v>
      </c>
      <c r="B981" s="520">
        <f t="shared" si="139"/>
        <v>0</v>
      </c>
      <c r="C981" s="39"/>
      <c r="D981" s="1134"/>
      <c r="E981" s="1137"/>
      <c r="F981" s="585" t="s">
        <v>2195</v>
      </c>
      <c r="G981" s="89">
        <f>IF(G983="תקין",MAX(N983,0),0)</f>
        <v>0</v>
      </c>
      <c r="H981" s="725" t="s">
        <v>151</v>
      </c>
      <c r="I981" s="725" t="s">
        <v>91</v>
      </c>
      <c r="J981" s="970" t="s">
        <v>3396</v>
      </c>
      <c r="K981" s="601"/>
      <c r="L981" s="601"/>
      <c r="M981" s="983" t="s">
        <v>2585</v>
      </c>
      <c r="N981" s="400" t="str">
        <f>IFERROR(G980/15*N980*1.25,"")</f>
        <v/>
      </c>
      <c r="O981" s="89" t="str">
        <f>IFERROR(G980/15*O980*1.25,"")</f>
        <v/>
      </c>
      <c r="P981" s="595"/>
      <c r="Q981" s="595"/>
      <c r="R981" s="596"/>
      <c r="S981" s="610"/>
      <c r="T981" s="881"/>
      <c r="U981" s="598"/>
      <c r="V981" s="599"/>
      <c r="W981" s="599"/>
      <c r="X981" s="599"/>
      <c r="Y981" s="879"/>
      <c r="Z981" s="85"/>
      <c r="AC981" s="493"/>
      <c r="AD981" s="495"/>
      <c r="AG981" s="22"/>
      <c r="AH981" s="55"/>
      <c r="AI981" s="55"/>
      <c r="AJ981" s="55"/>
      <c r="AK981" s="55"/>
      <c r="AO981" s="22"/>
      <c r="AP981" s="22"/>
      <c r="AQ981" s="22"/>
      <c r="AR981" s="22"/>
      <c r="AS981" s="22"/>
      <c r="AT981" s="22"/>
      <c r="AU981" s="35"/>
      <c r="AV981" s="35"/>
      <c r="AW981" s="35"/>
      <c r="AX981" s="35"/>
      <c r="AY981" s="35"/>
      <c r="AZ981" s="35"/>
      <c r="BA981" s="35"/>
      <c r="BB981" s="35"/>
      <c r="BC981" s="35"/>
      <c r="BD981" s="35"/>
      <c r="BE981" s="35"/>
      <c r="BF981" s="35"/>
      <c r="BG981" s="35"/>
      <c r="BH981" s="35"/>
      <c r="BI981" s="35"/>
      <c r="BJ981" s="35"/>
      <c r="BK981" s="35"/>
      <c r="BL981" s="35"/>
      <c r="BM981" s="35"/>
      <c r="BN981" s="35"/>
      <c r="BO981" s="86"/>
    </row>
    <row r="982" spans="1:67" s="20" customFormat="1" ht="16.5" thickBot="1" x14ac:dyDescent="0.3">
      <c r="A982" s="520">
        <f>IFERROR(VLOOKUP($G$5,'רשימת רשויות'!A:C,3,0),0)</f>
        <v>0</v>
      </c>
      <c r="B982" s="520">
        <f t="shared" si="139"/>
        <v>0</v>
      </c>
      <c r="C982" s="39"/>
      <c r="D982" s="1134"/>
      <c r="E982" s="1137"/>
      <c r="F982" s="585" t="s">
        <v>2196</v>
      </c>
      <c r="G982" s="89">
        <f>IF(G983="תקין",MAX(O983,0),0)</f>
        <v>0</v>
      </c>
      <c r="H982" s="88">
        <f>(IFERROR(IF((G981+G982)=0,0,IF(G979="קטן",G980*$AH$10,G980*$AH$11)),0))+(IFERROR(IF((G981+G982)=0,0,VLOOKUP(G978,'דוח ביצוע (3)'!$B:$AH,33,0)),0))</f>
        <v>0</v>
      </c>
      <c r="I982" s="88">
        <f>IFERROR(IF((G981+G982)=0,0,IF(G979="קטן",G980*$AI$10,G980*$AI$11)),0)</f>
        <v>0</v>
      </c>
      <c r="J982" s="88">
        <f>IFERROR(IF((G981+G982)=0,0,VLOOKUP(G978,'דוח ביצוע (3)'!$B:$AH,32,0)),0)</f>
        <v>0</v>
      </c>
      <c r="K982" s="90"/>
      <c r="L982" s="90"/>
      <c r="M982" s="399" t="s">
        <v>412</v>
      </c>
      <c r="N982" s="400">
        <f>IFERROR(VLOOKUP($G978,'דוח ביצוע (3)'!$B$21:$U$500,18,0),0)</f>
        <v>0</v>
      </c>
      <c r="O982" s="401">
        <f>IFERROR(VLOOKUP($G978,'דוח ביצוע (3)'!$B$21:$U$500,19,0),0)</f>
        <v>0</v>
      </c>
      <c r="P982" s="595"/>
      <c r="Q982" s="595"/>
      <c r="R982" s="596"/>
      <c r="S982" s="610"/>
      <c r="T982" s="881"/>
      <c r="U982" s="598"/>
      <c r="V982" s="599"/>
      <c r="W982" s="599"/>
      <c r="X982" s="599"/>
      <c r="Y982" s="879"/>
      <c r="Z982" s="85"/>
      <c r="AC982" s="493"/>
      <c r="AD982" s="495"/>
      <c r="AG982" s="22"/>
      <c r="AH982" s="55"/>
      <c r="AI982" s="55"/>
      <c r="AJ982" s="55"/>
      <c r="AK982" s="55"/>
      <c r="AO982" s="22"/>
      <c r="AP982" s="22"/>
      <c r="AQ982" s="22"/>
      <c r="AR982" s="22"/>
      <c r="AS982" s="22"/>
      <c r="AT982" s="22"/>
      <c r="AU982" s="35"/>
      <c r="AV982" s="35"/>
      <c r="AW982" s="35"/>
      <c r="AX982" s="35"/>
      <c r="AY982" s="35"/>
      <c r="AZ982" s="35"/>
      <c r="BA982" s="35"/>
      <c r="BB982" s="35"/>
      <c r="BC982" s="35"/>
      <c r="BD982" s="35"/>
      <c r="BE982" s="35"/>
      <c r="BF982" s="35"/>
      <c r="BG982" s="35"/>
      <c r="BH982" s="35"/>
      <c r="BI982" s="35"/>
      <c r="BJ982" s="35"/>
      <c r="BK982" s="35"/>
      <c r="BL982" s="35"/>
      <c r="BM982" s="35"/>
      <c r="BN982" s="35"/>
      <c r="BO982" s="86"/>
    </row>
    <row r="983" spans="1:67" s="20" customFormat="1" ht="16.5" thickBot="1" x14ac:dyDescent="0.3">
      <c r="A983" s="520">
        <f>IFERROR(VLOOKUP($G$5,'רשימת רשויות'!A:C,3,0),0)</f>
        <v>0</v>
      </c>
      <c r="B983" s="520">
        <f t="shared" si="139"/>
        <v>0</v>
      </c>
      <c r="C983" s="39"/>
      <c r="D983" s="1134"/>
      <c r="E983" s="1137"/>
      <c r="F983" s="586" t="s">
        <v>2355</v>
      </c>
      <c r="G983" s="514">
        <f>IFERROR(IF(VLOOKUP('בית ספר - תקצוב לפי מוסד (9)'!G978,' איוש משרות (8)'!$C:$K,9,0)="תקין","תקין","לא תקין"),0)</f>
        <v>0</v>
      </c>
      <c r="H983" s="91"/>
      <c r="I983" s="91"/>
      <c r="J983" s="91"/>
      <c r="K983" s="90"/>
      <c r="L983" s="90"/>
      <c r="M983" s="402" t="s">
        <v>2586</v>
      </c>
      <c r="N983" s="403">
        <f>IFERROR(MIN(N981,N982),0)</f>
        <v>0</v>
      </c>
      <c r="O983" s="404">
        <f>IFERROR(MIN(O981,O982),0)</f>
        <v>0</v>
      </c>
      <c r="P983" s="595"/>
      <c r="Q983" s="595"/>
      <c r="R983" s="596"/>
      <c r="S983" s="610"/>
      <c r="T983" s="881"/>
      <c r="U983" s="598"/>
      <c r="V983" s="599"/>
      <c r="W983" s="599"/>
      <c r="X983" s="599"/>
      <c r="Y983" s="879"/>
      <c r="Z983" s="85"/>
      <c r="AC983" s="493"/>
      <c r="AD983" s="495"/>
      <c r="AG983" s="94"/>
      <c r="AH983" s="40"/>
      <c r="AI983" s="40"/>
      <c r="AJ983" s="40"/>
      <c r="AK983" s="40"/>
      <c r="AO983" s="22"/>
      <c r="AP983" s="22"/>
      <c r="AQ983" s="22"/>
      <c r="AR983" s="22"/>
      <c r="AS983" s="22"/>
      <c r="AT983" s="22"/>
      <c r="AU983" s="35"/>
      <c r="AV983" s="35"/>
      <c r="AW983" s="35"/>
      <c r="AX983" s="35"/>
      <c r="AY983" s="35"/>
      <c r="AZ983" s="35"/>
      <c r="BA983" s="35"/>
      <c r="BB983" s="35"/>
      <c r="BC983" s="35"/>
      <c r="BD983" s="35"/>
      <c r="BE983" s="35"/>
      <c r="BF983" s="35"/>
      <c r="BG983" s="35"/>
      <c r="BH983" s="35"/>
      <c r="BI983" s="35"/>
      <c r="BJ983" s="35"/>
      <c r="BK983" s="35"/>
      <c r="BL983" s="35"/>
      <c r="BM983" s="35"/>
      <c r="BN983" s="35"/>
      <c r="BO983" s="86"/>
    </row>
    <row r="984" spans="1:67" s="55" customFormat="1" ht="37.15" customHeight="1" thickBot="1" x14ac:dyDescent="0.3">
      <c r="A984" s="520">
        <f>IFERROR(VLOOKUP($G$5,'רשימת רשויות'!A:C,3,0),0)</f>
        <v>0</v>
      </c>
      <c r="B984" s="520">
        <f t="shared" si="139"/>
        <v>0</v>
      </c>
      <c r="C984" s="39"/>
      <c r="D984" s="1134"/>
      <c r="E984" s="1137"/>
      <c r="F984" s="587" t="s">
        <v>142</v>
      </c>
      <c r="G984" s="92"/>
      <c r="H984" s="92"/>
      <c r="I984" s="92"/>
      <c r="J984" s="92"/>
      <c r="K984" s="602"/>
      <c r="L984" s="602"/>
      <c r="M984" s="602"/>
      <c r="N984" s="602"/>
      <c r="O984" s="602"/>
      <c r="P984" s="595"/>
      <c r="Q984" s="595"/>
      <c r="R984" s="596"/>
      <c r="S984" s="610"/>
      <c r="T984" s="881"/>
      <c r="U984" s="598"/>
      <c r="V984" s="599"/>
      <c r="W984" s="599"/>
      <c r="X984" s="599"/>
      <c r="Y984" s="879"/>
      <c r="Z984" s="93"/>
      <c r="AC984" s="493"/>
      <c r="AD984" s="495"/>
      <c r="AF984" s="22"/>
      <c r="AG984" s="98"/>
      <c r="AH984" s="98"/>
      <c r="AI984" s="40"/>
      <c r="AJ984" s="40"/>
      <c r="AK984" s="40"/>
      <c r="AO984" s="22"/>
      <c r="AP984" s="22"/>
      <c r="AQ984" s="22"/>
      <c r="AR984" s="22"/>
      <c r="AS984" s="22"/>
      <c r="AT984" s="22"/>
      <c r="AU984" s="35"/>
      <c r="AV984" s="35"/>
      <c r="AW984" s="35"/>
      <c r="AX984" s="35"/>
      <c r="AY984" s="35"/>
      <c r="AZ984" s="35"/>
      <c r="BA984" s="35"/>
      <c r="BB984" s="35"/>
      <c r="BC984" s="35"/>
      <c r="BD984" s="35"/>
      <c r="BE984" s="35"/>
      <c r="BF984" s="35"/>
      <c r="BG984" s="35"/>
      <c r="BH984" s="35"/>
      <c r="BI984" s="35"/>
      <c r="BJ984" s="35"/>
      <c r="BK984" s="35"/>
      <c r="BL984" s="35"/>
      <c r="BM984" s="35"/>
      <c r="BN984" s="35"/>
      <c r="BO984" s="86"/>
    </row>
    <row r="985" spans="1:67" s="40" customFormat="1" ht="31.5" x14ac:dyDescent="0.25">
      <c r="A985" s="520">
        <f>IFERROR(VLOOKUP($G$5,'רשימת רשויות'!A:C,3,0),0)</f>
        <v>0</v>
      </c>
      <c r="B985" s="520">
        <f t="shared" si="139"/>
        <v>0</v>
      </c>
      <c r="C985" s="39"/>
      <c r="D985" s="1134"/>
      <c r="E985" s="1137"/>
      <c r="F985" s="588" t="s">
        <v>94</v>
      </c>
      <c r="G985" s="95" t="s">
        <v>18</v>
      </c>
      <c r="H985" s="95" t="s">
        <v>19</v>
      </c>
      <c r="I985" s="95" t="s">
        <v>138</v>
      </c>
      <c r="J985" s="96" t="s">
        <v>139</v>
      </c>
      <c r="K985" s="603"/>
      <c r="L985" s="603"/>
      <c r="M985" s="603"/>
      <c r="N985" s="603"/>
      <c r="O985" s="603"/>
      <c r="P985" s="604"/>
      <c r="Q985" s="604"/>
      <c r="R985" s="596"/>
      <c r="S985" s="610"/>
      <c r="T985" s="881"/>
      <c r="U985" s="598"/>
      <c r="V985" s="599"/>
      <c r="W985" s="599"/>
      <c r="X985" s="599"/>
      <c r="Y985" s="879"/>
      <c r="Z985" s="97"/>
      <c r="AA985" s="94"/>
      <c r="AB985" s="94"/>
      <c r="AC985" s="493"/>
      <c r="AD985" s="495"/>
      <c r="AE985" s="94"/>
      <c r="AG985" s="98"/>
      <c r="AH985" s="98"/>
      <c r="AO985" s="22"/>
      <c r="AP985" s="22"/>
      <c r="AQ985" s="22"/>
      <c r="AR985" s="22"/>
      <c r="AS985" s="22"/>
      <c r="AT985" s="22"/>
      <c r="AU985" s="35"/>
      <c r="AV985" s="35"/>
      <c r="AW985" s="35"/>
      <c r="AX985" s="35"/>
      <c r="AY985" s="35"/>
      <c r="AZ985" s="35"/>
      <c r="BA985" s="35"/>
      <c r="BB985" s="35"/>
      <c r="BC985" s="35"/>
      <c r="BD985" s="35"/>
      <c r="BE985" s="35"/>
      <c r="BF985" s="35"/>
      <c r="BG985" s="35"/>
      <c r="BH985" s="35"/>
      <c r="BI985" s="35"/>
      <c r="BJ985" s="35"/>
      <c r="BK985" s="35"/>
      <c r="BL985" s="35"/>
      <c r="BM985" s="35"/>
      <c r="BN985" s="35"/>
      <c r="BO985" s="86"/>
    </row>
    <row r="986" spans="1:67" s="40" customFormat="1" ht="15.75" customHeight="1" thickBot="1" x14ac:dyDescent="0.3">
      <c r="A986" s="520">
        <f>IFERROR(VLOOKUP($G$5,'רשימת רשויות'!A:C,3,0),0)</f>
        <v>0</v>
      </c>
      <c r="B986" s="520">
        <f t="shared" si="139"/>
        <v>0</v>
      </c>
      <c r="C986" s="39"/>
      <c r="D986" s="1134"/>
      <c r="E986" s="1137"/>
      <c r="F986" s="589" t="s">
        <v>2280</v>
      </c>
      <c r="G986" s="99">
        <f>+G997</f>
        <v>0</v>
      </c>
      <c r="H986" s="100">
        <f>K980</f>
        <v>0</v>
      </c>
      <c r="I986" s="100">
        <f>H986-I988</f>
        <v>0</v>
      </c>
      <c r="J986" s="101">
        <f>IFERROR(I986/H986,0)</f>
        <v>0</v>
      </c>
      <c r="K986" s="603"/>
      <c r="L986" s="603"/>
      <c r="M986" s="603"/>
      <c r="N986" s="603"/>
      <c r="O986" s="603"/>
      <c r="P986" s="605"/>
      <c r="Q986" s="604"/>
      <c r="R986" s="606" t="s">
        <v>157</v>
      </c>
      <c r="S986" s="611"/>
      <c r="T986" s="881"/>
      <c r="U986" s="598"/>
      <c r="V986" s="599"/>
      <c r="W986" s="599"/>
      <c r="X986" s="599"/>
      <c r="Y986" s="879"/>
      <c r="Z986" s="102"/>
      <c r="AA986" s="122"/>
      <c r="AB986" s="122"/>
      <c r="AC986" s="493"/>
      <c r="AD986" s="495"/>
      <c r="AE986" s="122"/>
      <c r="AF986" s="22"/>
      <c r="AG986" s="98"/>
      <c r="AH986" s="98"/>
      <c r="AI986" s="20"/>
      <c r="AO986" s="22"/>
      <c r="AP986" s="22"/>
      <c r="AQ986" s="22"/>
      <c r="AR986" s="22"/>
      <c r="AS986" s="22"/>
      <c r="AT986" s="22"/>
      <c r="AU986" s="35"/>
      <c r="AV986" s="35"/>
      <c r="AW986" s="35"/>
      <c r="AX986" s="35"/>
      <c r="AY986" s="35"/>
      <c r="AZ986" s="35"/>
      <c r="BA986" s="35"/>
      <c r="BB986" s="35"/>
      <c r="BC986" s="35"/>
      <c r="BD986" s="35"/>
      <c r="BE986" s="35"/>
      <c r="BF986" s="35"/>
      <c r="BG986" s="35"/>
      <c r="BH986" s="35"/>
      <c r="BI986" s="35"/>
      <c r="BJ986" s="35"/>
      <c r="BK986" s="35"/>
      <c r="BL986" s="35"/>
      <c r="BM986" s="35"/>
      <c r="BN986" s="35"/>
      <c r="BO986" s="86"/>
    </row>
    <row r="987" spans="1:67" s="40" customFormat="1" ht="15.75" customHeight="1" thickBot="1" x14ac:dyDescent="0.3">
      <c r="A987" s="520">
        <f>IFERROR(VLOOKUP($G$5,'רשימת רשויות'!A:C,3,0),0)</f>
        <v>0</v>
      </c>
      <c r="B987" s="520">
        <f t="shared" si="139"/>
        <v>0</v>
      </c>
      <c r="C987" s="39"/>
      <c r="D987" s="1134"/>
      <c r="E987" s="1137"/>
      <c r="F987" s="589" t="s">
        <v>2281</v>
      </c>
      <c r="G987" s="99">
        <f>+G996</f>
        <v>0</v>
      </c>
      <c r="H987" s="103"/>
      <c r="I987" s="104"/>
      <c r="J987" s="105"/>
      <c r="K987" s="603"/>
      <c r="L987" s="603"/>
      <c r="M987" s="603"/>
      <c r="N987" s="603"/>
      <c r="O987" s="603"/>
      <c r="P987" s="605"/>
      <c r="Q987" s="604"/>
      <c r="R987" s="473">
        <f>I988-R989</f>
        <v>0</v>
      </c>
      <c r="S987" s="611"/>
      <c r="T987" s="881"/>
      <c r="U987" s="598"/>
      <c r="V987" s="599"/>
      <c r="W987" s="599"/>
      <c r="X987" s="599"/>
      <c r="Y987" s="879"/>
      <c r="Z987" s="106"/>
      <c r="AA987" s="22"/>
      <c r="AB987" s="22"/>
      <c r="AC987" s="493"/>
      <c r="AD987" s="495"/>
      <c r="AE987" s="22"/>
      <c r="AF987" s="22"/>
      <c r="AG987" s="98"/>
      <c r="AH987" s="98"/>
      <c r="AI987" s="20"/>
      <c r="AO987" s="22"/>
      <c r="AP987" s="22"/>
      <c r="AQ987" s="22"/>
      <c r="AR987" s="22"/>
      <c r="AS987" s="22"/>
      <c r="AT987" s="22"/>
      <c r="AU987" s="35"/>
      <c r="AV987" s="35"/>
      <c r="AW987" s="35"/>
      <c r="AX987" s="35"/>
      <c r="AY987" s="35"/>
      <c r="AZ987" s="35"/>
      <c r="BA987" s="35"/>
      <c r="BB987" s="35"/>
      <c r="BC987" s="35"/>
      <c r="BD987" s="35"/>
      <c r="BE987" s="35"/>
      <c r="BF987" s="35"/>
      <c r="BG987" s="35"/>
      <c r="BH987" s="35"/>
      <c r="BI987" s="35"/>
      <c r="BJ987" s="35"/>
      <c r="BK987" s="35"/>
      <c r="BL987" s="35"/>
      <c r="BM987" s="35"/>
      <c r="BN987" s="35"/>
      <c r="BO987" s="86"/>
    </row>
    <row r="988" spans="1:67" s="40" customFormat="1" ht="16.5" customHeight="1" thickBot="1" x14ac:dyDescent="0.3">
      <c r="A988" s="520">
        <f>IFERROR(VLOOKUP($G$5,'רשימת רשויות'!A:C,3,0),0)</f>
        <v>0</v>
      </c>
      <c r="B988" s="520">
        <f t="shared" si="139"/>
        <v>0</v>
      </c>
      <c r="C988" s="39"/>
      <c r="D988" s="1134"/>
      <c r="E988" s="1137"/>
      <c r="F988" s="589" t="s">
        <v>2282</v>
      </c>
      <c r="G988" s="99">
        <f>G992+G993+G994</f>
        <v>0</v>
      </c>
      <c r="H988" s="104"/>
      <c r="I988" s="107">
        <f>MAX(H986-G986-G987,0)</f>
        <v>0</v>
      </c>
      <c r="J988" s="108">
        <f>IFERROR(I988/H986,0)</f>
        <v>0</v>
      </c>
      <c r="K988" s="603"/>
      <c r="L988" s="603"/>
      <c r="M988" s="603"/>
      <c r="N988" s="603"/>
      <c r="O988" s="603"/>
      <c r="P988" s="604"/>
      <c r="Q988" s="604"/>
      <c r="R988" s="606" t="s">
        <v>158</v>
      </c>
      <c r="S988" s="612"/>
      <c r="T988" s="881"/>
      <c r="U988" s="598"/>
      <c r="V988" s="599"/>
      <c r="W988" s="599"/>
      <c r="X988" s="599"/>
      <c r="Y988" s="879"/>
      <c r="Z988" s="106"/>
      <c r="AA988" s="22"/>
      <c r="AB988" s="22"/>
      <c r="AC988" s="493"/>
      <c r="AD988" s="495"/>
      <c r="AE988" s="22"/>
      <c r="AF988" s="22"/>
      <c r="AG988" s="22"/>
      <c r="AH988" s="22"/>
      <c r="AI988" s="55"/>
      <c r="AJ988" s="22"/>
      <c r="AK988" s="22"/>
      <c r="AO988" s="22"/>
      <c r="AP988" s="22"/>
      <c r="AQ988" s="22"/>
      <c r="AR988" s="22"/>
      <c r="AS988" s="22"/>
      <c r="AT988" s="22"/>
      <c r="AU988" s="35"/>
      <c r="AV988" s="35"/>
      <c r="AW988" s="35"/>
      <c r="AX988" s="35"/>
      <c r="AY988" s="35"/>
      <c r="AZ988" s="35"/>
      <c r="BA988" s="35"/>
      <c r="BB988" s="35"/>
      <c r="BC988" s="35"/>
      <c r="BD988" s="35"/>
      <c r="BE988" s="35"/>
      <c r="BF988" s="35"/>
      <c r="BG988" s="35"/>
      <c r="BH988" s="35"/>
      <c r="BI988" s="35"/>
      <c r="BJ988" s="35"/>
      <c r="BK988" s="35"/>
      <c r="BL988" s="35"/>
      <c r="BM988" s="35"/>
      <c r="BN988" s="35"/>
      <c r="BO988" s="86"/>
    </row>
    <row r="989" spans="1:67" s="40" customFormat="1" ht="15.75" customHeight="1" thickBot="1" x14ac:dyDescent="0.3">
      <c r="A989" s="520">
        <f>IFERROR(VLOOKUP($G$5,'רשימת רשויות'!A:C,3,0),0)</f>
        <v>0</v>
      </c>
      <c r="B989" s="520">
        <f t="shared" si="139"/>
        <v>0</v>
      </c>
      <c r="C989" s="39"/>
      <c r="D989" s="1134"/>
      <c r="E989" s="1137"/>
      <c r="F989" s="590" t="s">
        <v>2290</v>
      </c>
      <c r="G989" s="109"/>
      <c r="H989" s="110"/>
      <c r="I989" s="111">
        <f>SUM(I986:I988)</f>
        <v>0</v>
      </c>
      <c r="J989" s="112">
        <f>SUM(J986:J988)</f>
        <v>0</v>
      </c>
      <c r="K989" s="603"/>
      <c r="L989" s="603"/>
      <c r="M989" s="603"/>
      <c r="N989" s="603"/>
      <c r="O989" s="603"/>
      <c r="P989" s="604"/>
      <c r="Q989" s="604"/>
      <c r="R989" s="473">
        <f>MIN(MAX(G993+G994-I982-J982,0),I988)</f>
        <v>0</v>
      </c>
      <c r="S989" s="612"/>
      <c r="T989" s="881"/>
      <c r="U989" s="598"/>
      <c r="V989" s="599"/>
      <c r="W989" s="599"/>
      <c r="X989" s="599"/>
      <c r="Y989" s="879"/>
      <c r="Z989" s="106"/>
      <c r="AA989" s="22"/>
      <c r="AB989" s="22"/>
      <c r="AC989" s="493"/>
      <c r="AD989" s="495"/>
      <c r="AE989" s="22"/>
      <c r="AF989" s="22"/>
      <c r="AG989" s="22"/>
      <c r="AH989" s="22"/>
      <c r="AJ989" s="22"/>
      <c r="AK989" s="22"/>
      <c r="AO989" s="22"/>
      <c r="AP989" s="22"/>
      <c r="AQ989" s="22"/>
      <c r="AR989" s="22"/>
      <c r="AS989" s="22"/>
      <c r="AT989" s="22"/>
      <c r="AU989" s="35"/>
      <c r="AV989" s="35"/>
      <c r="AW989" s="35"/>
      <c r="AX989" s="35"/>
      <c r="AY989" s="35"/>
      <c r="AZ989" s="35"/>
      <c r="BA989" s="35"/>
      <c r="BB989" s="35"/>
      <c r="BC989" s="35"/>
      <c r="BD989" s="35"/>
      <c r="BE989" s="35"/>
      <c r="BF989" s="35"/>
      <c r="BG989" s="35"/>
      <c r="BH989" s="35"/>
      <c r="BI989" s="35"/>
      <c r="BJ989" s="35"/>
      <c r="BK989" s="35"/>
      <c r="BL989" s="35"/>
      <c r="BM989" s="35"/>
      <c r="BN989" s="35"/>
      <c r="BO989" s="86"/>
    </row>
    <row r="990" spans="1:67" ht="16.5" thickBot="1" x14ac:dyDescent="0.3">
      <c r="A990" s="520">
        <f>IFERROR(VLOOKUP($G$5,'רשימת רשויות'!A:C,3,0),0)</f>
        <v>0</v>
      </c>
      <c r="B990" s="520">
        <f t="shared" si="139"/>
        <v>0</v>
      </c>
      <c r="D990" s="1134"/>
      <c r="E990" s="1137"/>
      <c r="F990" s="587" t="s">
        <v>17</v>
      </c>
      <c r="G990" s="113"/>
      <c r="H990" s="92"/>
      <c r="I990" s="114"/>
      <c r="J990" s="115"/>
      <c r="K990" s="116"/>
      <c r="L990" s="406"/>
      <c r="M990" s="116"/>
      <c r="N990" s="116"/>
      <c r="O990" s="116"/>
      <c r="P990" s="474"/>
      <c r="Q990" s="607"/>
      <c r="R990" s="608"/>
      <c r="S990" s="612"/>
      <c r="T990" s="881"/>
      <c r="U990" s="598"/>
      <c r="V990" s="599"/>
      <c r="W990" s="599"/>
      <c r="X990" s="599"/>
      <c r="Y990" s="879"/>
      <c r="Z990" s="106"/>
      <c r="AI990" s="40"/>
      <c r="BO990" s="86"/>
    </row>
    <row r="991" spans="1:67" ht="47.25" x14ac:dyDescent="0.25">
      <c r="A991" s="520">
        <f>IFERROR(VLOOKUP($G$5,'רשימת רשויות'!A:C,3,0),0)</f>
        <v>0</v>
      </c>
      <c r="B991" s="520">
        <f t="shared" si="139"/>
        <v>0</v>
      </c>
      <c r="D991" s="1134"/>
      <c r="E991" s="1137"/>
      <c r="F991" s="588" t="s">
        <v>2</v>
      </c>
      <c r="G991" s="95" t="s">
        <v>18</v>
      </c>
      <c r="H991" s="95" t="s">
        <v>19</v>
      </c>
      <c r="I991" s="95" t="s">
        <v>20</v>
      </c>
      <c r="J991" s="95" t="s">
        <v>22</v>
      </c>
      <c r="K991" s="96" t="s">
        <v>2314</v>
      </c>
      <c r="L991" s="609"/>
      <c r="M991" s="609"/>
      <c r="N991" s="609"/>
      <c r="O991" s="580"/>
      <c r="P991" s="618" t="s">
        <v>2298</v>
      </c>
      <c r="Q991" s="618" t="s">
        <v>2299</v>
      </c>
      <c r="R991" s="596"/>
      <c r="S991" s="890" t="s">
        <v>2519</v>
      </c>
      <c r="T991" s="890" t="s">
        <v>97</v>
      </c>
      <c r="U991" s="891" t="s">
        <v>2521</v>
      </c>
      <c r="V991" s="892" t="s">
        <v>2520</v>
      </c>
      <c r="W991" s="893" t="s">
        <v>2524</v>
      </c>
      <c r="X991" s="892" t="s">
        <v>2522</v>
      </c>
      <c r="Y991" s="894" t="s">
        <v>2523</v>
      </c>
      <c r="Z991" s="106"/>
      <c r="AC991" s="498" t="s">
        <v>2568</v>
      </c>
      <c r="AD991" s="499" t="s">
        <v>2569</v>
      </c>
      <c r="AF991" s="122"/>
      <c r="AI991" s="40"/>
      <c r="BO991" s="86"/>
    </row>
    <row r="992" spans="1:67" ht="15" customHeight="1" thickBot="1" x14ac:dyDescent="0.3">
      <c r="A992" s="520">
        <f>IFERROR(VLOOKUP($G$5,'רשימת רשויות'!A:C,3,0),0)</f>
        <v>0</v>
      </c>
      <c r="B992" s="520">
        <f t="shared" si="139"/>
        <v>0</v>
      </c>
      <c r="D992" s="1134"/>
      <c r="E992" s="1137"/>
      <c r="F992" s="589" t="s">
        <v>76</v>
      </c>
      <c r="G992" s="117">
        <f>IF(G983="תקין",SUMIF('עלויות כח אדם (6)'!$B$15:$B$3014,'בית ספר - תקצוב לפי מוסד (9)'!$G978,'עלויות כח אדם (6)'!$M$15:$M$3014)-VLOOKUP('בית ספר - תקצוב לפי מוסד (9)'!G978,' איוש משרות (8)'!$C:$H,5,0)-VLOOKUP('בית ספר - תקצוב לפי מוסד (9)'!G978,' איוש משרות (8)'!$C:$H,6,0),0)-Y992</f>
        <v>0</v>
      </c>
      <c r="H992" s="118">
        <f>I980+R987</f>
        <v>0</v>
      </c>
      <c r="I992" s="119">
        <f>IFERROR(SUM(G992)/H992,0)</f>
        <v>0</v>
      </c>
      <c r="J992" s="100">
        <f>MIN(I980+R987,IF(ISNUMBER(G992),G992,0))</f>
        <v>0</v>
      </c>
      <c r="K992" s="120">
        <f>MAX(H992-G992,0)</f>
        <v>0</v>
      </c>
      <c r="L992" s="407"/>
      <c r="M992" s="393"/>
      <c r="N992" s="393"/>
      <c r="O992" s="580"/>
      <c r="P992" s="968">
        <f>IFERROR(IF(SUM(G992)/(I980)&lt;100%,MIN((I980)-SUM(G992),(I980)*0.25),0),0)</f>
        <v>0</v>
      </c>
      <c r="Q992" s="968">
        <f>IF(SUM(G992)-(I980+R987)&gt;0,SUM(G992)-(I980+R987),0)</f>
        <v>0</v>
      </c>
      <c r="R992" s="596" t="s">
        <v>2351</v>
      </c>
      <c r="S992" s="576" t="s">
        <v>2342</v>
      </c>
      <c r="T992" s="599">
        <f>G978</f>
        <v>0</v>
      </c>
      <c r="U992" s="578"/>
      <c r="V992" s="579">
        <f>G992+G993+G994</f>
        <v>0</v>
      </c>
      <c r="W992" s="579">
        <f>U992-V992</f>
        <v>0</v>
      </c>
      <c r="X992" s="579">
        <f>IFERROR(W1006*W992/(SUM(W992:W1005)),0)</f>
        <v>0</v>
      </c>
      <c r="Y992" s="879">
        <f>SUMIFS(בקרה!$S:$S,בקרה!$D:$D,T992,בקרה!$K:$K,S992)</f>
        <v>0</v>
      </c>
      <c r="Z992" s="121"/>
      <c r="AA992" s="143"/>
      <c r="AB992" s="143"/>
      <c r="AC992" s="504">
        <v>0</v>
      </c>
      <c r="AD992" s="505">
        <f>IFERROR(U992-AC992,0)</f>
        <v>0</v>
      </c>
      <c r="AE992" s="143"/>
      <c r="AI992" s="20"/>
      <c r="BO992" s="86"/>
    </row>
    <row r="993" spans="1:67" ht="15" customHeight="1" thickBot="1" x14ac:dyDescent="0.3">
      <c r="A993" s="520">
        <f>IFERROR(VLOOKUP($G$5,'רשימת רשויות'!A:C,3,0),0)</f>
        <v>0</v>
      </c>
      <c r="B993" s="520">
        <f t="shared" si="139"/>
        <v>0</v>
      </c>
      <c r="D993" s="1134"/>
      <c r="E993" s="1137"/>
      <c r="F993" s="589" t="s">
        <v>44</v>
      </c>
      <c r="G993" s="123">
        <f>IF(G983="תקין",IFERROR(VLOOKUP('בית ספר - תקצוב לפי מוסד (9)'!G978,' איוש משרות (8)'!C:J,7,0),0),0)</f>
        <v>0</v>
      </c>
      <c r="H993" s="124">
        <f>I982+R989+J982</f>
        <v>0</v>
      </c>
      <c r="I993" s="119">
        <f>IFERROR(SUM(G993:G994)/H993,0)</f>
        <v>0</v>
      </c>
      <c r="J993" s="100">
        <f>MIN(R989+I982,IF(ISNUMBER(SUM(G993:G994)),SUM(G993:G994),0))</f>
        <v>0</v>
      </c>
      <c r="K993" s="1139">
        <f>MAX((H993)-(G993+G994),0)</f>
        <v>0</v>
      </c>
      <c r="L993" s="407"/>
      <c r="M993" s="393"/>
      <c r="N993" s="393"/>
      <c r="O993" s="580"/>
      <c r="P993" s="1140"/>
      <c r="Q993" s="1140"/>
      <c r="R993" s="617">
        <f>MAX(MIN(P1001-Q1001,H1001*0.15-G999),0)</f>
        <v>0</v>
      </c>
      <c r="S993" s="576"/>
      <c r="T993" s="599">
        <f>G978</f>
        <v>0</v>
      </c>
      <c r="U993" s="578"/>
      <c r="V993" s="579"/>
      <c r="W993" s="579">
        <f t="shared" ref="W993:W1005" si="140">U993-V993</f>
        <v>0</v>
      </c>
      <c r="X993" s="579"/>
      <c r="Y993" s="879"/>
      <c r="Z993" s="121"/>
      <c r="AA993" s="143"/>
      <c r="AB993" s="143"/>
      <c r="AC993" s="504"/>
      <c r="AD993" s="505">
        <f t="shared" ref="AD993:AD999" si="141">IFERROR(U993-AC993,0)</f>
        <v>0</v>
      </c>
      <c r="AE993" s="143"/>
      <c r="AI993" s="20"/>
      <c r="BO993" s="86"/>
    </row>
    <row r="994" spans="1:67" ht="15.75" customHeight="1" x14ac:dyDescent="0.25">
      <c r="A994" s="520">
        <f>IFERROR(VLOOKUP($G$5,'רשימת רשויות'!A:C,3,0),0)</f>
        <v>0</v>
      </c>
      <c r="B994" s="520">
        <f t="shared" si="139"/>
        <v>0</v>
      </c>
      <c r="D994" s="1134"/>
      <c r="E994" s="1137"/>
      <c r="F994" s="589" t="s">
        <v>45</v>
      </c>
      <c r="G994" s="123">
        <f>IF(G983="תקין",IFERROR(VLOOKUP('בית ספר - תקצוב לפי מוסד (9)'!G978,' איוש משרות (8)'!C:J,8,0),0),0)</f>
        <v>0</v>
      </c>
      <c r="H994" s="125"/>
      <c r="I994" s="126"/>
      <c r="J994" s="104"/>
      <c r="K994" s="1139"/>
      <c r="L994" s="407"/>
      <c r="M994" s="393"/>
      <c r="N994" s="393"/>
      <c r="O994" s="580"/>
      <c r="P994" s="1140"/>
      <c r="Q994" s="1140"/>
      <c r="R994" s="596"/>
      <c r="S994" s="576"/>
      <c r="T994" s="599">
        <f>G978</f>
        <v>0</v>
      </c>
      <c r="U994" s="578"/>
      <c r="V994" s="579"/>
      <c r="W994" s="579">
        <f t="shared" si="140"/>
        <v>0</v>
      </c>
      <c r="X994" s="579"/>
      <c r="Y994" s="879"/>
      <c r="Z994" s="121"/>
      <c r="AA994" s="143"/>
      <c r="AB994" s="143"/>
      <c r="AC994" s="504"/>
      <c r="AD994" s="505">
        <f t="shared" si="141"/>
        <v>0</v>
      </c>
      <c r="AE994" s="143"/>
      <c r="AG994" s="55"/>
      <c r="AH994" s="55"/>
      <c r="AI994" s="55"/>
      <c r="AJ994" s="55"/>
      <c r="AK994" s="55"/>
      <c r="BO994" s="86"/>
    </row>
    <row r="995" spans="1:67" ht="15.75" customHeight="1" x14ac:dyDescent="0.25">
      <c r="A995" s="520">
        <f>IFERROR(VLOOKUP($G$5,'רשימת רשויות'!A:C,3,0),0)</f>
        <v>0</v>
      </c>
      <c r="B995" s="520">
        <f t="shared" si="139"/>
        <v>0</v>
      </c>
      <c r="D995" s="1134"/>
      <c r="E995" s="1137"/>
      <c r="F995" s="589" t="s">
        <v>0</v>
      </c>
      <c r="G995" s="117">
        <f>IF(G983="תקין",SUMIFS('דוח הוצאות בפועל (4)'!$E$17:$E$3016,'דוח הוצאות בפועל (4)'!$B$17:$B$3016,'בית ספר - תקצוב לפי מוסד (9)'!$G978,'דוח הוצאות בפועל (4)'!$M$17:$M$3016,"הע"),0)-Y995</f>
        <v>0</v>
      </c>
      <c r="H995" s="127">
        <f>J980</f>
        <v>0</v>
      </c>
      <c r="I995" s="128">
        <f>IFERROR(G995/H995,0)</f>
        <v>0</v>
      </c>
      <c r="J995" s="129">
        <f>MIN(IF(ISNUMBER(G995),G995,0),H995)</f>
        <v>0</v>
      </c>
      <c r="K995" s="120">
        <f>MAX(H995-G995,0)</f>
        <v>0</v>
      </c>
      <c r="L995" s="407"/>
      <c r="M995" s="393"/>
      <c r="N995" s="393"/>
      <c r="O995" s="580"/>
      <c r="P995" s="968">
        <f>MAX(IF(I995&lt;100%,MIN((H995-G995),H995*0.25),0),0)</f>
        <v>0</v>
      </c>
      <c r="Q995" s="619">
        <f>IF(G995-H995&gt;0,G995-H995,0)</f>
        <v>0</v>
      </c>
      <c r="R995" s="596"/>
      <c r="S995" s="610" t="s">
        <v>0</v>
      </c>
      <c r="T995" s="599">
        <f>G978</f>
        <v>0</v>
      </c>
      <c r="U995" s="578"/>
      <c r="V995" s="579">
        <f>G995</f>
        <v>0</v>
      </c>
      <c r="W995" s="579">
        <f t="shared" si="140"/>
        <v>0</v>
      </c>
      <c r="X995" s="579">
        <f>IFERROR(W1006*W995/(SUM(W992:W1005)),0)</f>
        <v>0</v>
      </c>
      <c r="Y995" s="879">
        <f>SUMIFS(בקרה!$S:$S,בקרה!$D:$D,T995,בקרה!$K:$K,S995)</f>
        <v>0</v>
      </c>
      <c r="Z995" s="121"/>
      <c r="AA995" s="143"/>
      <c r="AB995" s="143"/>
      <c r="AC995" s="504">
        <v>0</v>
      </c>
      <c r="AD995" s="505">
        <f t="shared" si="141"/>
        <v>0</v>
      </c>
      <c r="AE995" s="143"/>
      <c r="AG995" s="55"/>
      <c r="AH995" s="55"/>
      <c r="AI995" s="40"/>
      <c r="AJ995" s="55"/>
      <c r="AK995" s="55"/>
      <c r="BO995" s="86"/>
    </row>
    <row r="996" spans="1:67" s="55" customFormat="1" ht="15.75" customHeight="1" x14ac:dyDescent="0.25">
      <c r="A996" s="520">
        <f>IFERROR(VLOOKUP($G$5,'רשימת רשויות'!A:C,3,0),0)</f>
        <v>0</v>
      </c>
      <c r="B996" s="520">
        <f t="shared" si="139"/>
        <v>0</v>
      </c>
      <c r="C996" s="39"/>
      <c r="D996" s="1134"/>
      <c r="E996" s="1137"/>
      <c r="F996" s="589" t="s">
        <v>93</v>
      </c>
      <c r="G996" s="130">
        <f>IF(G983="תקין",SUMIFS('דוח הוצאות בפועל (4)'!$E$17:$E$3016,'דוח הוצאות בפועל (4)'!$B$17:$B$3016,'בית ספר - תקצוב לפי מוסד (9)'!$G978,'דוח הוצאות בפועל (4)'!$M$17:$M$3016,"אר"),0)-Y996</f>
        <v>0</v>
      </c>
      <c r="H996" s="118">
        <f>$I986</f>
        <v>0</v>
      </c>
      <c r="I996" s="131">
        <f>IFERROR((G996+G997)/H996,0)</f>
        <v>0</v>
      </c>
      <c r="J996" s="100">
        <f>MIN((IF(ISNUMBER(G996),G996,0)+IF(ISNUMBER(G997),G997,0)),H996)</f>
        <v>0</v>
      </c>
      <c r="K996" s="1139">
        <f>MAX((H996)-(G996+G997),0)</f>
        <v>0</v>
      </c>
      <c r="L996" s="407"/>
      <c r="M996" s="393"/>
      <c r="N996" s="393"/>
      <c r="O996" s="602"/>
      <c r="P996" s="1141"/>
      <c r="Q996" s="1142"/>
      <c r="R996" s="596"/>
      <c r="S996" s="610" t="s">
        <v>93</v>
      </c>
      <c r="T996" s="599">
        <f>G978</f>
        <v>0</v>
      </c>
      <c r="U996" s="578"/>
      <c r="V996" s="579">
        <f t="shared" ref="V996:V997" si="142">G996</f>
        <v>0</v>
      </c>
      <c r="W996" s="579">
        <f t="shared" si="140"/>
        <v>0</v>
      </c>
      <c r="X996" s="579">
        <f>IFERROR(W1006*W996/(SUM(W992:W1005)),0)</f>
        <v>0</v>
      </c>
      <c r="Y996" s="879">
        <f>SUMIFS(בקרה!$S:$S,בקרה!$D:$D,T996,בקרה!$K:$K,S996)</f>
        <v>0</v>
      </c>
      <c r="Z996" s="121"/>
      <c r="AA996" s="143"/>
      <c r="AB996" s="143"/>
      <c r="AC996" s="504">
        <v>0</v>
      </c>
      <c r="AD996" s="505">
        <f t="shared" si="141"/>
        <v>0</v>
      </c>
      <c r="AE996" s="143"/>
      <c r="AJ996" s="22"/>
      <c r="AO996" s="22"/>
      <c r="AP996" s="22"/>
      <c r="AQ996" s="22"/>
      <c r="AR996" s="22"/>
      <c r="AS996" s="22"/>
      <c r="AT996" s="22"/>
      <c r="AU996" s="35"/>
      <c r="AV996" s="35"/>
      <c r="AW996" s="35"/>
      <c r="AX996" s="35"/>
      <c r="AY996" s="35"/>
      <c r="AZ996" s="35"/>
      <c r="BA996" s="35"/>
      <c r="BB996" s="35"/>
      <c r="BC996" s="35"/>
      <c r="BD996" s="35"/>
      <c r="BE996" s="35"/>
      <c r="BF996" s="35"/>
      <c r="BG996" s="35"/>
      <c r="BH996" s="35"/>
      <c r="BI996" s="35"/>
      <c r="BJ996" s="35"/>
      <c r="BK996" s="35"/>
      <c r="BL996" s="35"/>
      <c r="BM996" s="35"/>
      <c r="BN996" s="35"/>
      <c r="BO996" s="86"/>
    </row>
    <row r="997" spans="1:67" s="55" customFormat="1" ht="15.75" customHeight="1" x14ac:dyDescent="0.25">
      <c r="A997" s="520">
        <f>IFERROR(VLOOKUP($G$5,'רשימת רשויות'!A:C,3,0),0)</f>
        <v>0</v>
      </c>
      <c r="B997" s="520">
        <f t="shared" si="139"/>
        <v>0</v>
      </c>
      <c r="C997" s="39"/>
      <c r="D997" s="1134"/>
      <c r="E997" s="1137"/>
      <c r="F997" s="589" t="s">
        <v>46</v>
      </c>
      <c r="G997" s="130">
        <f>IF(G983="תקין",SUMIFS('דוח הוצאות בפועל (4)'!$E$17:$E$3016,'דוח הוצאות בפועל (4)'!$B$17:$B$3016,'בית ספר - תקצוב לפי מוסד (9)'!$G978,'דוח הוצאות בפועל (4)'!$M$17:$M$3016,"מל"),0)-Y997</f>
        <v>0</v>
      </c>
      <c r="H997" s="132"/>
      <c r="I997" s="133"/>
      <c r="J997" s="104"/>
      <c r="K997" s="1139"/>
      <c r="L997" s="407"/>
      <c r="M997" s="393"/>
      <c r="N997" s="393"/>
      <c r="O997" s="602"/>
      <c r="P997" s="1141"/>
      <c r="Q997" s="1142"/>
      <c r="R997" s="596"/>
      <c r="S997" s="610" t="s">
        <v>46</v>
      </c>
      <c r="T997" s="599">
        <f>G978</f>
        <v>0</v>
      </c>
      <c r="U997" s="578"/>
      <c r="V997" s="579">
        <f t="shared" si="142"/>
        <v>0</v>
      </c>
      <c r="W997" s="579">
        <f t="shared" si="140"/>
        <v>0</v>
      </c>
      <c r="X997" s="579">
        <f>IFERROR(W1006*W997/(SUM(W992:W1005)),0)</f>
        <v>0</v>
      </c>
      <c r="Y997" s="879">
        <f>SUMIFS(בקרה!$S:$S,בקרה!$D:$D,T997,בקרה!$K:$K,S997)</f>
        <v>0</v>
      </c>
      <c r="Z997" s="121"/>
      <c r="AA997" s="143"/>
      <c r="AB997" s="143"/>
      <c r="AC997" s="504">
        <v>0</v>
      </c>
      <c r="AD997" s="505">
        <f t="shared" si="141"/>
        <v>0</v>
      </c>
      <c r="AE997" s="143"/>
      <c r="AJ997" s="22"/>
      <c r="AO997" s="22"/>
      <c r="AP997" s="22"/>
      <c r="AQ997" s="22"/>
      <c r="AR997" s="22"/>
      <c r="AS997" s="22"/>
      <c r="AT997" s="22"/>
      <c r="AU997" s="35"/>
      <c r="AV997" s="35"/>
      <c r="AW997" s="35"/>
      <c r="AX997" s="35"/>
      <c r="AY997" s="35"/>
      <c r="AZ997" s="35"/>
      <c r="BA997" s="35"/>
      <c r="BB997" s="35"/>
      <c r="BC997" s="35"/>
      <c r="BD997" s="35"/>
      <c r="BE997" s="35"/>
      <c r="BF997" s="35"/>
      <c r="BG997" s="35"/>
      <c r="BH997" s="35"/>
      <c r="BI997" s="35"/>
      <c r="BJ997" s="35"/>
      <c r="BK997" s="35"/>
      <c r="BL997" s="35"/>
      <c r="BM997" s="35"/>
      <c r="BN997" s="35"/>
      <c r="BO997" s="86"/>
    </row>
    <row r="998" spans="1:67" s="55" customFormat="1" ht="15" customHeight="1" x14ac:dyDescent="0.25">
      <c r="A998" s="520">
        <f>IFERROR(VLOOKUP($G$5,'רשימת רשויות'!A:C,3,0),0)</f>
        <v>0</v>
      </c>
      <c r="B998" s="520">
        <f t="shared" si="139"/>
        <v>0</v>
      </c>
      <c r="C998" s="39"/>
      <c r="D998" s="1134"/>
      <c r="E998" s="1137"/>
      <c r="F998" s="591" t="s">
        <v>23</v>
      </c>
      <c r="G998" s="134">
        <f>SUM(G992:G997)</f>
        <v>0</v>
      </c>
      <c r="H998" s="135">
        <f>SUM(H992:H997)</f>
        <v>0</v>
      </c>
      <c r="I998" s="128">
        <f>IFERROR(G998/H998,0)</f>
        <v>0</v>
      </c>
      <c r="J998" s="136">
        <f>SUM(J992:J997)</f>
        <v>0</v>
      </c>
      <c r="K998" s="137">
        <f>SUM(K992:K997)</f>
        <v>0</v>
      </c>
      <c r="L998" s="408"/>
      <c r="M998" s="394"/>
      <c r="N998" s="394"/>
      <c r="O998" s="602"/>
      <c r="P998" s="620">
        <f>SUM(P992:P997)</f>
        <v>0</v>
      </c>
      <c r="Q998" s="620">
        <f>SUM(Q992:Q997)</f>
        <v>0</v>
      </c>
      <c r="R998" s="596"/>
      <c r="S998" s="610"/>
      <c r="T998" s="599">
        <f>G978</f>
        <v>0</v>
      </c>
      <c r="U998" s="578"/>
      <c r="V998" s="579"/>
      <c r="W998" s="579">
        <f t="shared" si="140"/>
        <v>0</v>
      </c>
      <c r="X998" s="579"/>
      <c r="Y998" s="879"/>
      <c r="Z998" s="121"/>
      <c r="AA998" s="143"/>
      <c r="AB998" s="143"/>
      <c r="AC998" s="504"/>
      <c r="AD998" s="505">
        <f t="shared" si="141"/>
        <v>0</v>
      </c>
      <c r="AE998" s="143"/>
      <c r="AJ998" s="22"/>
      <c r="AL998" s="22"/>
      <c r="AM998" s="22"/>
      <c r="AN998" s="22"/>
      <c r="AO998" s="22"/>
      <c r="AP998" s="22"/>
      <c r="AQ998" s="22"/>
      <c r="AR998" s="22"/>
      <c r="AS998" s="22"/>
      <c r="AT998" s="22"/>
      <c r="AU998" s="35"/>
      <c r="AV998" s="35"/>
      <c r="AW998" s="35"/>
      <c r="AX998" s="35"/>
      <c r="AY998" s="35"/>
      <c r="AZ998" s="35"/>
      <c r="BA998" s="35"/>
      <c r="BB998" s="35"/>
      <c r="BC998" s="35"/>
      <c r="BD998" s="35"/>
      <c r="BE998" s="35"/>
      <c r="BF998" s="35"/>
      <c r="BG998" s="35"/>
      <c r="BH998" s="35"/>
      <c r="BI998" s="35"/>
      <c r="BJ998" s="35"/>
      <c r="BK998" s="35"/>
      <c r="BL998" s="35"/>
      <c r="BM998" s="35"/>
      <c r="BN998" s="35"/>
      <c r="BO998" s="86"/>
    </row>
    <row r="999" spans="1:67" s="55" customFormat="1" ht="15" customHeight="1" x14ac:dyDescent="0.25">
      <c r="A999" s="520">
        <f>IFERROR(VLOOKUP($G$5,'רשימת רשויות'!A:C,3,0),0)</f>
        <v>0</v>
      </c>
      <c r="B999" s="520">
        <f t="shared" si="139"/>
        <v>0</v>
      </c>
      <c r="C999" s="39"/>
      <c r="D999" s="1134"/>
      <c r="E999" s="1137"/>
      <c r="F999" s="589" t="s">
        <v>3</v>
      </c>
      <c r="G999" s="117">
        <f>IF(G983="תקין",SUMIFS('דוח הוצאות בפועל (4)'!$E$17:$E$3016,'דוח הוצאות בפועל (4)'!$B$17:$B$3016,'בית ספר - תקצוב לפי מוסד (9)'!$G978,'דוח הוצאות בפועל (4)'!$M$17:$M$3016,"ני")+SUMIFS('דוח הוצאות בפועל (4)'!$E$17:$E$3016,'דוח הוצאות בפועל (4)'!$B$17:$B$3016,'בית ספר - תקצוב לפי מוסד (9)'!$G978,'דוח הוצאות בפועל (4)'!$M$17:$M$3016,"על"),0)-Y999</f>
        <v>0</v>
      </c>
      <c r="H999" s="117">
        <f>H980</f>
        <v>0</v>
      </c>
      <c r="I999" s="138">
        <f>IFERROR(G999/H999,0)</f>
        <v>0</v>
      </c>
      <c r="J999" s="117">
        <f>IFERROR(IF(G999/H1001&gt;0.15,MIN(H1001*0.15,H999),MIN(H999,IF(ISNUMBER(G999),G999,0))),0)</f>
        <v>0</v>
      </c>
      <c r="K999" s="120">
        <f>MAX(H999-G999,0)</f>
        <v>0</v>
      </c>
      <c r="L999" s="407"/>
      <c r="M999" s="393"/>
      <c r="N999" s="393"/>
      <c r="O999" s="602"/>
      <c r="P999" s="620">
        <f>IF(I999&lt;100%,MIN(H999-G999,H999*0.25),0)</f>
        <v>0</v>
      </c>
      <c r="Q999" s="620">
        <f>MAX(MIN(IF(G999-H999&gt;0,G999-H999,0),$H1001*0.15-H999-J1000),0)</f>
        <v>0</v>
      </c>
      <c r="R999" s="596"/>
      <c r="S999" s="610" t="s">
        <v>3</v>
      </c>
      <c r="T999" s="599">
        <f>G978</f>
        <v>0</v>
      </c>
      <c r="U999" s="578"/>
      <c r="V999" s="579">
        <f t="shared" ref="V999" si="143">G999</f>
        <v>0</v>
      </c>
      <c r="W999" s="579">
        <f t="shared" si="140"/>
        <v>0</v>
      </c>
      <c r="X999" s="579"/>
      <c r="Y999" s="879"/>
      <c r="Z999" s="121"/>
      <c r="AA999" s="143"/>
      <c r="AB999" s="143"/>
      <c r="AC999" s="504">
        <v>0</v>
      </c>
      <c r="AD999" s="505">
        <f t="shared" si="141"/>
        <v>0</v>
      </c>
      <c r="AE999" s="143"/>
      <c r="AG999" s="22"/>
      <c r="AH999" s="22"/>
      <c r="AI999" s="22"/>
      <c r="AJ999" s="22"/>
      <c r="AK999" s="22"/>
      <c r="AL999" s="22"/>
      <c r="AM999" s="22"/>
      <c r="AN999" s="22"/>
      <c r="AO999" s="22"/>
      <c r="AP999" s="22"/>
      <c r="AQ999" s="22"/>
      <c r="AR999" s="22"/>
      <c r="AS999" s="22"/>
      <c r="AT999" s="22"/>
      <c r="AU999" s="35"/>
      <c r="AV999" s="35"/>
      <c r="AW999" s="35"/>
      <c r="AX999" s="35"/>
      <c r="AY999" s="35"/>
      <c r="AZ999" s="35"/>
      <c r="BA999" s="35"/>
      <c r="BB999" s="35"/>
      <c r="BC999" s="35"/>
      <c r="BD999" s="35"/>
      <c r="BE999" s="35"/>
      <c r="BF999" s="35"/>
      <c r="BG999" s="35"/>
      <c r="BH999" s="35"/>
      <c r="BI999" s="35"/>
      <c r="BJ999" s="35"/>
      <c r="BK999" s="35"/>
      <c r="BL999" s="35"/>
      <c r="BM999" s="35"/>
      <c r="BN999" s="35"/>
      <c r="BO999" s="86"/>
    </row>
    <row r="1000" spans="1:67" s="55" customFormat="1" ht="15.75" customHeight="1" x14ac:dyDescent="0.25">
      <c r="A1000" s="520">
        <f>IFERROR(VLOOKUP($G$5,'רשימת רשויות'!A:C,3,0),0)</f>
        <v>0</v>
      </c>
      <c r="B1000" s="520">
        <f t="shared" si="139"/>
        <v>0</v>
      </c>
      <c r="C1000" s="39"/>
      <c r="D1000" s="1134"/>
      <c r="E1000" s="1137"/>
      <c r="F1000" s="589" t="s">
        <v>2918</v>
      </c>
      <c r="G1000" s="117">
        <f>0.07*(G994+G993)</f>
        <v>0</v>
      </c>
      <c r="H1000" s="117">
        <f>H982</f>
        <v>0</v>
      </c>
      <c r="I1000" s="138">
        <f>IFERROR(G1000/H1000,0)</f>
        <v>0</v>
      </c>
      <c r="J1000" s="117">
        <f>IFERROR(MIN(0.07*(G993+G994),0.07*I982),0)</f>
        <v>0</v>
      </c>
      <c r="K1000" s="120">
        <f>MAX(H1000-G1000,0)</f>
        <v>0</v>
      </c>
      <c r="L1000" s="407"/>
      <c r="M1000" s="393"/>
      <c r="N1000" s="393"/>
      <c r="O1000" s="602"/>
      <c r="P1000" s="620"/>
      <c r="Q1000" s="619"/>
      <c r="R1000" s="596"/>
      <c r="S1000" s="611"/>
      <c r="T1000" s="599">
        <f>G978</f>
        <v>0</v>
      </c>
      <c r="U1000" s="578"/>
      <c r="V1000" s="579"/>
      <c r="W1000" s="579">
        <f t="shared" si="140"/>
        <v>0</v>
      </c>
      <c r="X1000" s="579"/>
      <c r="Y1000" s="879"/>
      <c r="Z1000" s="121"/>
      <c r="AA1000" s="143"/>
      <c r="AB1000" s="143"/>
      <c r="AC1000" s="504"/>
      <c r="AD1000" s="505"/>
      <c r="AE1000" s="143"/>
      <c r="AF1000" s="140"/>
      <c r="AG1000" s="22"/>
      <c r="AH1000" s="22"/>
      <c r="AI1000" s="22"/>
      <c r="AJ1000" s="22"/>
      <c r="AK1000" s="22"/>
      <c r="AL1000" s="22"/>
      <c r="AM1000" s="22"/>
      <c r="AN1000" s="22"/>
      <c r="AO1000" s="22"/>
      <c r="AP1000" s="22"/>
      <c r="AQ1000" s="22"/>
      <c r="AR1000" s="22"/>
      <c r="AS1000" s="22"/>
      <c r="AT1000" s="22"/>
      <c r="AU1000" s="35"/>
      <c r="AV1000" s="35"/>
      <c r="AW1000" s="35"/>
      <c r="AX1000" s="35"/>
      <c r="AY1000" s="35"/>
      <c r="AZ1000" s="35"/>
      <c r="BA1000" s="35"/>
      <c r="BB1000" s="35"/>
      <c r="BC1000" s="35"/>
      <c r="BD1000" s="35"/>
      <c r="BE1000" s="35"/>
      <c r="BF1000" s="35"/>
      <c r="BG1000" s="35"/>
      <c r="BH1000" s="35"/>
      <c r="BI1000" s="35"/>
      <c r="BJ1000" s="35"/>
      <c r="BK1000" s="35"/>
      <c r="BL1000" s="35"/>
      <c r="BM1000" s="35"/>
      <c r="BN1000" s="35"/>
      <c r="BO1000" s="86"/>
    </row>
    <row r="1001" spans="1:67" ht="15.75" customHeight="1" x14ac:dyDescent="0.25">
      <c r="A1001" s="520">
        <f>IFERROR(VLOOKUP($G$5,'רשימת רשויות'!A:C,3,0),0)</f>
        <v>0</v>
      </c>
      <c r="B1001" s="520">
        <f t="shared" si="139"/>
        <v>0</v>
      </c>
      <c r="D1001" s="1134"/>
      <c r="E1001" s="1137"/>
      <c r="F1001" s="591" t="s">
        <v>15</v>
      </c>
      <c r="G1001" s="134">
        <f>G998+G999+G1000</f>
        <v>0</v>
      </c>
      <c r="H1001" s="134">
        <f>H998+H999+H1000</f>
        <v>0</v>
      </c>
      <c r="I1001" s="138">
        <f>IFERROR(G1001/H1001,0)</f>
        <v>0</v>
      </c>
      <c r="J1001" s="139">
        <f>J998+J999+J1000</f>
        <v>0</v>
      </c>
      <c r="K1001" s="137">
        <f>K999+K998+K1000</f>
        <v>0</v>
      </c>
      <c r="L1001" s="408"/>
      <c r="M1001" s="394"/>
      <c r="N1001" s="394"/>
      <c r="O1001" s="602"/>
      <c r="P1001" s="621">
        <f>SUM(P998:P999)</f>
        <v>0</v>
      </c>
      <c r="Q1001" s="622">
        <f>Q998+Q999</f>
        <v>0</v>
      </c>
      <c r="R1001" s="596"/>
      <c r="S1001" s="611"/>
      <c r="T1001" s="599">
        <f>G978</f>
        <v>0</v>
      </c>
      <c r="U1001" s="578"/>
      <c r="V1001" s="579"/>
      <c r="W1001" s="579">
        <f t="shared" si="140"/>
        <v>0</v>
      </c>
      <c r="X1001" s="579"/>
      <c r="Y1001" s="879"/>
      <c r="Z1001" s="106"/>
      <c r="AC1001" s="504"/>
      <c r="AD1001" s="505"/>
      <c r="AH1001" s="143"/>
      <c r="BO1001" s="86"/>
    </row>
    <row r="1002" spans="1:67" ht="15.75" customHeight="1" x14ac:dyDescent="0.25">
      <c r="A1002" s="520">
        <f>IFERROR(VLOOKUP($G$5,'רשימת רשויות'!A:C,3,0),0)</f>
        <v>0</v>
      </c>
      <c r="B1002" s="520">
        <f t="shared" si="139"/>
        <v>0</v>
      </c>
      <c r="D1002" s="1134"/>
      <c r="E1002" s="1137"/>
      <c r="F1002" s="589" t="s">
        <v>2261</v>
      </c>
      <c r="G1002" s="117">
        <f>IF(G983="תקין",SUMIF('תשלומי הורים ומלגות להורים (5) '!$B$18:$B$517,$G978,'תשלומי הורים ומלגות להורים (5) '!$C$18:$C$517),0)</f>
        <v>0</v>
      </c>
      <c r="H1002" s="117">
        <f>(G981+G982)*$G$7</f>
        <v>0</v>
      </c>
      <c r="I1002" s="141"/>
      <c r="J1002" s="141"/>
      <c r="K1002" s="142"/>
      <c r="L1002" s="395"/>
      <c r="M1002" s="395"/>
      <c r="N1002" s="395"/>
      <c r="O1002" s="602"/>
      <c r="P1002" s="623"/>
      <c r="Q1002" s="619"/>
      <c r="R1002" s="596"/>
      <c r="S1002" s="612"/>
      <c r="T1002" s="599">
        <f>G978</f>
        <v>0</v>
      </c>
      <c r="U1002" s="578"/>
      <c r="V1002" s="579"/>
      <c r="W1002" s="579">
        <f t="shared" si="140"/>
        <v>0</v>
      </c>
      <c r="X1002" s="579"/>
      <c r="Y1002" s="879"/>
      <c r="Z1002" s="121"/>
      <c r="AA1002" s="143"/>
      <c r="AB1002" s="143"/>
      <c r="AC1002" s="504"/>
      <c r="AD1002" s="505"/>
      <c r="AE1002" s="143"/>
      <c r="AF1002" s="148"/>
      <c r="BO1002" s="86"/>
    </row>
    <row r="1003" spans="1:67" ht="15.75" customHeight="1" thickBot="1" x14ac:dyDescent="0.3">
      <c r="A1003" s="520">
        <f>IFERROR(VLOOKUP($G$5,'רשימת רשויות'!A:C,3,0),0)</f>
        <v>0</v>
      </c>
      <c r="B1003" s="520">
        <f t="shared" si="139"/>
        <v>0</v>
      </c>
      <c r="D1003" s="1134"/>
      <c r="E1003" s="1137"/>
      <c r="F1003" s="592" t="s">
        <v>21</v>
      </c>
      <c r="G1003" s="144">
        <f>G1001-G1002</f>
        <v>0</v>
      </c>
      <c r="H1003" s="144">
        <f>H1001-H1002</f>
        <v>0</v>
      </c>
      <c r="I1003" s="145"/>
      <c r="J1003" s="145"/>
      <c r="K1003" s="146"/>
      <c r="L1003" s="396"/>
      <c r="M1003" s="396"/>
      <c r="N1003" s="396"/>
      <c r="O1003" s="602"/>
      <c r="P1003" s="619"/>
      <c r="Q1003" s="619"/>
      <c r="R1003" s="596"/>
      <c r="S1003" s="612"/>
      <c r="T1003" s="599">
        <f>G978</f>
        <v>0</v>
      </c>
      <c r="U1003" s="578"/>
      <c r="V1003" s="579"/>
      <c r="W1003" s="579">
        <f t="shared" si="140"/>
        <v>0</v>
      </c>
      <c r="X1003" s="579"/>
      <c r="Y1003" s="879"/>
      <c r="Z1003" s="147"/>
      <c r="AA1003" s="148"/>
      <c r="AB1003" s="148"/>
      <c r="AC1003" s="504"/>
      <c r="AD1003" s="505"/>
      <c r="AE1003" s="148"/>
      <c r="AF1003" s="148"/>
      <c r="BO1003" s="86"/>
    </row>
    <row r="1004" spans="1:67" ht="15.75" customHeight="1" thickBot="1" x14ac:dyDescent="0.3">
      <c r="A1004" s="520">
        <f>IFERROR(VLOOKUP($G$5,'רשימת רשויות'!A:C,3,0),0)</f>
        <v>0</v>
      </c>
      <c r="B1004" s="520">
        <f t="shared" si="139"/>
        <v>0</v>
      </c>
      <c r="D1004" s="1134"/>
      <c r="E1004" s="1137"/>
      <c r="F1004" s="580"/>
      <c r="G1004" s="580"/>
      <c r="H1004" s="147"/>
      <c r="I1004" s="149" t="s">
        <v>2197</v>
      </c>
      <c r="J1004" s="150">
        <f>MAX(MIN(P1001,Q1001),0)</f>
        <v>0</v>
      </c>
      <c r="K1004" s="580"/>
      <c r="L1004" s="580"/>
      <c r="M1004" s="580"/>
      <c r="N1004" s="580"/>
      <c r="O1004" s="580"/>
      <c r="P1004" s="615" t="s">
        <v>2317</v>
      </c>
      <c r="Q1004" s="624">
        <f>SUM(Q1005:Q1006)</f>
        <v>0</v>
      </c>
      <c r="R1004" s="596"/>
      <c r="S1004" s="612"/>
      <c r="T1004" s="599">
        <f>G978</f>
        <v>0</v>
      </c>
      <c r="U1004" s="578"/>
      <c r="V1004" s="579"/>
      <c r="W1004" s="579">
        <f t="shared" si="140"/>
        <v>0</v>
      </c>
      <c r="X1004" s="579"/>
      <c r="Y1004" s="879"/>
      <c r="Z1004" s="106"/>
      <c r="AC1004" s="504"/>
      <c r="AD1004" s="505"/>
      <c r="AF1004" s="148"/>
      <c r="BO1004" s="86"/>
    </row>
    <row r="1005" spans="1:67" ht="16.5" thickBot="1" x14ac:dyDescent="0.3">
      <c r="A1005" s="520">
        <f>IFERROR(VLOOKUP($G$5,'רשימת רשויות'!A:C,3,0),0)</f>
        <v>0</v>
      </c>
      <c r="B1005" s="520">
        <f t="shared" si="139"/>
        <v>0</v>
      </c>
      <c r="D1005" s="1134"/>
      <c r="E1005" s="1137"/>
      <c r="F1005" s="580"/>
      <c r="G1005" s="580"/>
      <c r="H1005" s="580"/>
      <c r="I1005" s="84" t="s">
        <v>2193</v>
      </c>
      <c r="J1005" s="515" t="str">
        <f>IFERROR(1-H1002/H1001,"")</f>
        <v/>
      </c>
      <c r="K1005" s="580"/>
      <c r="L1005" s="580"/>
      <c r="M1005" s="580"/>
      <c r="N1005" s="580"/>
      <c r="O1005" s="580"/>
      <c r="P1005" s="615" t="s">
        <v>417</v>
      </c>
      <c r="Q1005" s="616">
        <f>IFERROR(MAX(H1003-I1006-Q1006,0),0)</f>
        <v>0</v>
      </c>
      <c r="R1005" s="596"/>
      <c r="S1005" s="600"/>
      <c r="T1005" s="599">
        <f>G978</f>
        <v>0</v>
      </c>
      <c r="U1005" s="578"/>
      <c r="V1005" s="579"/>
      <c r="W1005" s="579">
        <f t="shared" si="140"/>
        <v>0</v>
      </c>
      <c r="X1005" s="579"/>
      <c r="Y1005" s="879"/>
      <c r="Z1005" s="106"/>
      <c r="AC1005" s="504"/>
      <c r="AD1005" s="505"/>
      <c r="BO1005" s="86"/>
    </row>
    <row r="1006" spans="1:67" ht="17.25" thickBot="1" x14ac:dyDescent="0.3">
      <c r="A1006" s="520">
        <f>IFERROR(VLOOKUP($G$5,'רשימת רשויות'!A:C,3,0),0)</f>
        <v>0</v>
      </c>
      <c r="B1006" s="520">
        <f t="shared" si="139"/>
        <v>0</v>
      </c>
      <c r="D1006" s="1134"/>
      <c r="E1006" s="1137"/>
      <c r="F1006" s="1143" t="s">
        <v>2679</v>
      </c>
      <c r="G1006" s="1143"/>
      <c r="H1006" s="1143"/>
      <c r="I1006" s="722">
        <f>IF(G983="לא תקין","לא קיימת זכאות לתקציב לאור אי איוש משרות רכז ו/או סגן רכז ",IFERROR(J1005*(J1004+J1001),0))</f>
        <v>0</v>
      </c>
      <c r="J1006" s="573"/>
      <c r="K1006" s="574"/>
      <c r="L1006" s="396"/>
      <c r="M1006" s="574"/>
      <c r="N1006" s="574"/>
      <c r="O1006" s="574"/>
      <c r="P1006" s="615" t="s">
        <v>2279</v>
      </c>
      <c r="Q1006" s="616">
        <f>MAX(IF(AND(G1001&gt;H1001,I1006&lt;H1003),H1003-I1006,0),0)</f>
        <v>0</v>
      </c>
      <c r="R1006" s="575"/>
      <c r="S1006" s="576" t="s">
        <v>67</v>
      </c>
      <c r="T1006" s="577">
        <f>G978</f>
        <v>0</v>
      </c>
      <c r="U1006" s="578"/>
      <c r="V1006" s="579">
        <f>I1006</f>
        <v>0</v>
      </c>
      <c r="W1006" s="579">
        <f>IFERROR(U1006-V1006,0)</f>
        <v>0</v>
      </c>
      <c r="X1006" s="579">
        <f>SUM(X992:X1005)</f>
        <v>0</v>
      </c>
      <c r="Y1006" s="879"/>
      <c r="Z1006" s="106"/>
      <c r="AC1006" s="506">
        <v>0</v>
      </c>
      <c r="AD1006" s="507">
        <f>IFERROR(U1006-AC1006,0)</f>
        <v>0</v>
      </c>
      <c r="BO1006" s="86"/>
    </row>
    <row r="1007" spans="1:67" ht="16.5" thickBot="1" x14ac:dyDescent="0.3">
      <c r="A1007" s="520">
        <f>IFERROR(VLOOKUP($G$5,'רשימת רשויות'!A:C,3,0),0)</f>
        <v>0</v>
      </c>
      <c r="B1007" s="520">
        <f t="shared" si="139"/>
        <v>0</v>
      </c>
      <c r="D1007" s="1135"/>
      <c r="E1007" s="1138"/>
      <c r="F1007" s="1144" t="s">
        <v>2793</v>
      </c>
      <c r="G1007" s="1145"/>
      <c r="H1007" s="1145"/>
      <c r="I1007" s="593">
        <f>IFERROR(IF(G983="תקין",SUMIFS('סייעות רפואיות או אישיות (7)'!$Q$17:Q$384,'סייעות רפואיות או אישיות (7)'!C$17:C$384,G978),0),0)</f>
        <v>0</v>
      </c>
      <c r="J1007" s="151"/>
      <c r="K1007" s="152"/>
      <c r="L1007" s="409"/>
      <c r="M1007" s="152"/>
      <c r="N1007" s="152"/>
      <c r="O1007" s="152"/>
      <c r="P1007" s="613"/>
      <c r="Q1007" s="614"/>
      <c r="R1007" s="475"/>
      <c r="S1007" s="489"/>
      <c r="T1007" s="490"/>
      <c r="U1007" s="491"/>
      <c r="V1007" s="492"/>
      <c r="W1007" s="492"/>
      <c r="X1007" s="492"/>
      <c r="Y1007" s="880"/>
      <c r="Z1007" s="153"/>
      <c r="AC1007" s="581"/>
      <c r="AD1007" s="582"/>
      <c r="BO1007" s="86"/>
    </row>
    <row r="1008" spans="1:67" ht="34.5" thickBot="1" x14ac:dyDescent="0.55000000000000004">
      <c r="A1008" s="520">
        <f>IFERROR(VLOOKUP($G$5,'רשימת רשויות'!A:C,3,0),0)</f>
        <v>0</v>
      </c>
      <c r="B1008" s="520">
        <f t="shared" si="139"/>
        <v>0</v>
      </c>
      <c r="E1008" s="154"/>
      <c r="I1008" s="143"/>
      <c r="J1008" s="148"/>
      <c r="O1008" s="148"/>
      <c r="T1008" s="481"/>
      <c r="BO1008" s="86"/>
    </row>
    <row r="1009" spans="1:67" s="20" customFormat="1" ht="16.5" customHeight="1" thickBot="1" x14ac:dyDescent="0.3">
      <c r="A1009" s="520">
        <f>IFERROR(VLOOKUP($G$5,'רשימת רשויות'!A:C,3,0),0)</f>
        <v>0</v>
      </c>
      <c r="B1009" s="520">
        <f t="shared" si="139"/>
        <v>0</v>
      </c>
      <c r="C1009" s="39"/>
      <c r="D1009" s="1133">
        <f>D978+1</f>
        <v>33</v>
      </c>
      <c r="E1009" s="1136" t="str">
        <f>IFERROR(CONCATENATE("בית הספר ",VLOOKUP(G1009,'מצבת והרשמה (2)'!$C$21:$D$520,2,0)," - ",$G$5),"")</f>
        <v>בית הספר המוסד לא קיים - 0</v>
      </c>
      <c r="F1009" s="720" t="s">
        <v>146</v>
      </c>
      <c r="G1009" s="721">
        <f>IFERROR(VLOOKUP(D:D,'דוח ביצוע (3)'!$A$21:$C$900,2,0),0)</f>
        <v>0</v>
      </c>
      <c r="H1009" s="79"/>
      <c r="I1009" s="80" t="s">
        <v>150</v>
      </c>
      <c r="J1009" s="80"/>
      <c r="K1009" s="81"/>
      <c r="L1009" s="392"/>
      <c r="M1009" s="392"/>
      <c r="N1009" s="392"/>
      <c r="O1009" s="82"/>
      <c r="P1009" s="470"/>
      <c r="Q1009" s="471"/>
      <c r="R1009" s="472"/>
      <c r="S1009" s="883"/>
      <c r="T1009" s="884"/>
      <c r="U1009" s="486"/>
      <c r="V1009" s="487"/>
      <c r="W1009" s="487"/>
      <c r="X1009" s="487"/>
      <c r="Y1009" s="885"/>
      <c r="Z1009" s="83"/>
      <c r="AC1009" s="502"/>
      <c r="AD1009" s="503"/>
      <c r="AO1009" s="22"/>
      <c r="AP1009" s="22"/>
      <c r="AQ1009" s="22"/>
      <c r="AR1009" s="22"/>
      <c r="AS1009" s="22"/>
      <c r="AT1009" s="22"/>
      <c r="AU1009" s="35"/>
      <c r="AV1009" s="35"/>
      <c r="AW1009" s="35"/>
      <c r="AX1009" s="35"/>
      <c r="AY1009" s="35"/>
      <c r="AZ1009" s="35"/>
      <c r="BA1009" s="35"/>
      <c r="BB1009" s="35"/>
      <c r="BC1009" s="35"/>
      <c r="BD1009" s="35"/>
      <c r="BE1009" s="35"/>
      <c r="BF1009" s="35"/>
      <c r="BG1009" s="35"/>
      <c r="BH1009" s="35"/>
      <c r="BI1009" s="35"/>
      <c r="BJ1009" s="35"/>
      <c r="BK1009" s="35"/>
      <c r="BL1009" s="35"/>
      <c r="BM1009" s="35"/>
      <c r="BN1009" s="35"/>
      <c r="BO1009" s="78"/>
    </row>
    <row r="1010" spans="1:67" s="20" customFormat="1" ht="16.5" thickBot="1" x14ac:dyDescent="0.3">
      <c r="A1010" s="520">
        <f>IFERROR(VLOOKUP($G$5,'רשימת רשויות'!A:C,3,0),0)</f>
        <v>0</v>
      </c>
      <c r="B1010" s="520">
        <f t="shared" si="139"/>
        <v>0</v>
      </c>
      <c r="C1010" s="39"/>
      <c r="D1010" s="1134"/>
      <c r="E1010" s="1137"/>
      <c r="F1010" s="583" t="s">
        <v>145</v>
      </c>
      <c r="G1010" s="516" t="str">
        <f>IFERROR(IF((G1012+G1013)=0,"",IF(VLOOKUP(G1009,'דוח ביצוע (3)'!$B$21:$K$900,5,0)&gt;149,"גדול",IF(AND(VLOOKUP(G1009,'דוח ביצוע (3)'!$B$21:$K$900,5,0)&gt;0,VLOOKUP(G1009,'דוח ביצוע (3)'!$B$21:$K$900,5,0)&lt;150),"קטן",0))),"")</f>
        <v/>
      </c>
      <c r="H1010" s="723" t="s">
        <v>88</v>
      </c>
      <c r="I1010" s="723" t="s">
        <v>13</v>
      </c>
      <c r="J1010" s="725" t="s">
        <v>14</v>
      </c>
      <c r="K1010" s="724" t="s">
        <v>94</v>
      </c>
      <c r="L1010" s="594"/>
      <c r="M1010" s="420" t="s">
        <v>2584</v>
      </c>
      <c r="N1010" s="397" t="s">
        <v>413</v>
      </c>
      <c r="O1010" s="398" t="s">
        <v>52</v>
      </c>
      <c r="P1010" s="595"/>
      <c r="Q1010" s="595"/>
      <c r="R1010" s="596"/>
      <c r="S1010" s="610"/>
      <c r="T1010" s="881"/>
      <c r="U1010" s="598"/>
      <c r="V1010" s="599"/>
      <c r="W1010" s="599"/>
      <c r="X1010" s="599"/>
      <c r="Y1010" s="879"/>
      <c r="Z1010" s="85"/>
      <c r="AC1010" s="493"/>
      <c r="AD1010" s="495"/>
      <c r="AO1010" s="22"/>
      <c r="AP1010" s="22"/>
      <c r="AQ1010" s="22"/>
      <c r="AR1010" s="22"/>
      <c r="AS1010" s="22"/>
      <c r="AT1010" s="22"/>
      <c r="AU1010" s="35"/>
      <c r="AV1010" s="35"/>
      <c r="AW1010" s="35"/>
      <c r="AX1010" s="35"/>
      <c r="AY1010" s="35"/>
      <c r="AZ1010" s="35"/>
      <c r="BA1010" s="35"/>
      <c r="BB1010" s="35"/>
      <c r="BC1010" s="35"/>
      <c r="BD1010" s="35"/>
      <c r="BE1010" s="35"/>
      <c r="BF1010" s="35"/>
      <c r="BG1010" s="35"/>
      <c r="BH1010" s="35"/>
      <c r="BI1010" s="35"/>
      <c r="BJ1010" s="35"/>
      <c r="BK1010" s="35"/>
      <c r="BL1010" s="35"/>
      <c r="BM1010" s="35"/>
      <c r="BN1010" s="35"/>
      <c r="BO1010" s="78"/>
    </row>
    <row r="1011" spans="1:67" s="20" customFormat="1" ht="15.75" customHeight="1" thickBot="1" x14ac:dyDescent="0.3">
      <c r="A1011" s="520">
        <f>IFERROR(VLOOKUP($G$5,'רשימת רשויות'!A:C,3,0),0)</f>
        <v>0</v>
      </c>
      <c r="B1011" s="520">
        <f t="shared" si="139"/>
        <v>0</v>
      </c>
      <c r="C1011" s="39"/>
      <c r="D1011" s="1134"/>
      <c r="E1011" s="1137"/>
      <c r="F1011" s="584" t="s">
        <v>144</v>
      </c>
      <c r="G1011" s="87">
        <f>IF(G1014="תקין",IFERROR(VLOOKUP($G1009,'דוח ביצוע (3)'!$B$21:$Q$900,12,0),0),0)</f>
        <v>0</v>
      </c>
      <c r="H1011" s="88">
        <f>IFERROR(G1012*$AH$6+G1013*$AH$7,0)</f>
        <v>0</v>
      </c>
      <c r="I1011" s="88">
        <f>IFERROR(G1012*$AI$6+G1013*$AI$7,0)</f>
        <v>0</v>
      </c>
      <c r="J1011" s="88">
        <f>IFERROR(G1012*$AJ$6+G1013*$AJ$7,0)</f>
        <v>0</v>
      </c>
      <c r="K1011" s="88">
        <f>IFERROR(G1012*$AK$6+G1013*$AK$7,0)</f>
        <v>0</v>
      </c>
      <c r="L1011" s="405"/>
      <c r="M1011" s="399" t="s">
        <v>427</v>
      </c>
      <c r="N1011" s="400" t="str">
        <f>IFERROR(VLOOKUP($G1009,'דוח ביצוע (3)'!$B:$AE,28,0),"")</f>
        <v/>
      </c>
      <c r="O1011" s="89" t="str">
        <f>IFERROR(VLOOKUP($G1009,'דוח ביצוע (3)'!B:AE,29,0),"")</f>
        <v/>
      </c>
      <c r="P1011" s="595"/>
      <c r="Q1011" s="595"/>
      <c r="R1011" s="596"/>
      <c r="S1011" s="610"/>
      <c r="T1011" s="881"/>
      <c r="U1011" s="598"/>
      <c r="V1011" s="599"/>
      <c r="W1011" s="599"/>
      <c r="X1011" s="599"/>
      <c r="Y1011" s="879"/>
      <c r="Z1011" s="85"/>
      <c r="AC1011" s="493"/>
      <c r="AD1011" s="495"/>
      <c r="AO1011" s="22"/>
      <c r="AP1011" s="22"/>
      <c r="AQ1011" s="22"/>
      <c r="AR1011" s="22"/>
      <c r="AS1011" s="22"/>
      <c r="AT1011" s="22"/>
      <c r="AU1011" s="35"/>
      <c r="AV1011" s="35"/>
      <c r="AW1011" s="35"/>
      <c r="AX1011" s="35"/>
      <c r="AY1011" s="35"/>
      <c r="AZ1011" s="35"/>
      <c r="BA1011" s="35"/>
      <c r="BB1011" s="35"/>
      <c r="BC1011" s="35"/>
      <c r="BD1011" s="35"/>
      <c r="BE1011" s="35"/>
      <c r="BF1011" s="35"/>
      <c r="BG1011" s="35"/>
      <c r="BH1011" s="35"/>
      <c r="BI1011" s="35"/>
      <c r="BJ1011" s="35"/>
      <c r="BK1011" s="35"/>
      <c r="BL1011" s="35"/>
      <c r="BM1011" s="35"/>
      <c r="BN1011" s="35"/>
      <c r="BO1011" s="78"/>
    </row>
    <row r="1012" spans="1:67" s="20" customFormat="1" ht="32.25" thickBot="1" x14ac:dyDescent="0.3">
      <c r="A1012" s="520">
        <f>IFERROR(VLOOKUP($G$5,'רשימת רשויות'!A:C,3,0),0)</f>
        <v>0</v>
      </c>
      <c r="B1012" s="520">
        <f t="shared" si="139"/>
        <v>0</v>
      </c>
      <c r="C1012" s="39"/>
      <c r="D1012" s="1134"/>
      <c r="E1012" s="1137"/>
      <c r="F1012" s="585" t="s">
        <v>2195</v>
      </c>
      <c r="G1012" s="89">
        <f>IF(G1014="תקין",MAX(N1014,0),0)</f>
        <v>0</v>
      </c>
      <c r="H1012" s="725" t="s">
        <v>151</v>
      </c>
      <c r="I1012" s="725" t="s">
        <v>91</v>
      </c>
      <c r="J1012" s="970" t="s">
        <v>3396</v>
      </c>
      <c r="K1012" s="601"/>
      <c r="L1012" s="601"/>
      <c r="M1012" s="983" t="s">
        <v>2585</v>
      </c>
      <c r="N1012" s="400" t="str">
        <f>IFERROR(G1011/15*N1011*1.25,"")</f>
        <v/>
      </c>
      <c r="O1012" s="89" t="str">
        <f>IFERROR(G1011/15*O1011*1.25,"")</f>
        <v/>
      </c>
      <c r="P1012" s="595"/>
      <c r="Q1012" s="595"/>
      <c r="R1012" s="596"/>
      <c r="S1012" s="610"/>
      <c r="T1012" s="881"/>
      <c r="U1012" s="598"/>
      <c r="V1012" s="599"/>
      <c r="W1012" s="599"/>
      <c r="X1012" s="599"/>
      <c r="Y1012" s="879"/>
      <c r="Z1012" s="85"/>
      <c r="AC1012" s="493"/>
      <c r="AD1012" s="495"/>
      <c r="AG1012" s="22"/>
      <c r="AH1012" s="55"/>
      <c r="AI1012" s="55"/>
      <c r="AJ1012" s="55"/>
      <c r="AK1012" s="55"/>
      <c r="AO1012" s="22"/>
      <c r="AP1012" s="22"/>
      <c r="AQ1012" s="22"/>
      <c r="AR1012" s="22"/>
      <c r="AS1012" s="22"/>
      <c r="AT1012" s="22"/>
      <c r="AU1012" s="35"/>
      <c r="AV1012" s="35"/>
      <c r="AW1012" s="35"/>
      <c r="AX1012" s="35"/>
      <c r="AY1012" s="35"/>
      <c r="AZ1012" s="35"/>
      <c r="BA1012" s="35"/>
      <c r="BB1012" s="35"/>
      <c r="BC1012" s="35"/>
      <c r="BD1012" s="35"/>
      <c r="BE1012" s="35"/>
      <c r="BF1012" s="35"/>
      <c r="BG1012" s="35"/>
      <c r="BH1012" s="35"/>
      <c r="BI1012" s="35"/>
      <c r="BJ1012" s="35"/>
      <c r="BK1012" s="35"/>
      <c r="BL1012" s="35"/>
      <c r="BM1012" s="35"/>
      <c r="BN1012" s="35"/>
      <c r="BO1012" s="86"/>
    </row>
    <row r="1013" spans="1:67" s="20" customFormat="1" ht="16.5" thickBot="1" x14ac:dyDescent="0.3">
      <c r="A1013" s="520">
        <f>IFERROR(VLOOKUP($G$5,'רשימת רשויות'!A:C,3,0),0)</f>
        <v>0</v>
      </c>
      <c r="B1013" s="520">
        <f t="shared" si="139"/>
        <v>0</v>
      </c>
      <c r="C1013" s="39"/>
      <c r="D1013" s="1134"/>
      <c r="E1013" s="1137"/>
      <c r="F1013" s="585" t="s">
        <v>2196</v>
      </c>
      <c r="G1013" s="89">
        <f>IF(G1014="תקין",MAX(O1014,0),0)</f>
        <v>0</v>
      </c>
      <c r="H1013" s="88">
        <f>(IFERROR(IF((G1012+G1013)=0,0,IF(G1010="קטן",G1011*$AH$10,G1011*$AH$11)),0))+(IFERROR(IF((G1012+G1013)=0,0,VLOOKUP(G1009,'דוח ביצוע (3)'!$B:$AH,33,0)),0))</f>
        <v>0</v>
      </c>
      <c r="I1013" s="88">
        <f>IFERROR(IF((G1012+G1013)=0,0,IF(G1010="קטן",G1011*$AI$10,G1011*$AI$11)),0)</f>
        <v>0</v>
      </c>
      <c r="J1013" s="88">
        <f>IFERROR(IF((G1012+G1013)=0,0,VLOOKUP(G1009,'דוח ביצוע (3)'!$B:$AH,32,0)),0)</f>
        <v>0</v>
      </c>
      <c r="K1013" s="90"/>
      <c r="L1013" s="90"/>
      <c r="M1013" s="399" t="s">
        <v>412</v>
      </c>
      <c r="N1013" s="400">
        <f>IFERROR(VLOOKUP($G1009,'דוח ביצוע (3)'!$B$21:$U$500,18,0),0)</f>
        <v>0</v>
      </c>
      <c r="O1013" s="401">
        <f>IFERROR(VLOOKUP($G1009,'דוח ביצוע (3)'!$B$21:$U$500,19,0),0)</f>
        <v>0</v>
      </c>
      <c r="P1013" s="595"/>
      <c r="Q1013" s="595"/>
      <c r="R1013" s="596"/>
      <c r="S1013" s="610"/>
      <c r="T1013" s="881"/>
      <c r="U1013" s="598"/>
      <c r="V1013" s="599"/>
      <c r="W1013" s="599"/>
      <c r="X1013" s="599"/>
      <c r="Y1013" s="879"/>
      <c r="Z1013" s="85"/>
      <c r="AC1013" s="493"/>
      <c r="AD1013" s="495"/>
      <c r="AG1013" s="22"/>
      <c r="AH1013" s="55"/>
      <c r="AI1013" s="55"/>
      <c r="AJ1013" s="55"/>
      <c r="AK1013" s="55"/>
      <c r="AO1013" s="22"/>
      <c r="AP1013" s="22"/>
      <c r="AQ1013" s="22"/>
      <c r="AR1013" s="22"/>
      <c r="AS1013" s="22"/>
      <c r="AT1013" s="22"/>
      <c r="AU1013" s="35"/>
      <c r="AV1013" s="35"/>
      <c r="AW1013" s="35"/>
      <c r="AX1013" s="35"/>
      <c r="AY1013" s="35"/>
      <c r="AZ1013" s="35"/>
      <c r="BA1013" s="35"/>
      <c r="BB1013" s="35"/>
      <c r="BC1013" s="35"/>
      <c r="BD1013" s="35"/>
      <c r="BE1013" s="35"/>
      <c r="BF1013" s="35"/>
      <c r="BG1013" s="35"/>
      <c r="BH1013" s="35"/>
      <c r="BI1013" s="35"/>
      <c r="BJ1013" s="35"/>
      <c r="BK1013" s="35"/>
      <c r="BL1013" s="35"/>
      <c r="BM1013" s="35"/>
      <c r="BN1013" s="35"/>
      <c r="BO1013" s="86"/>
    </row>
    <row r="1014" spans="1:67" s="20" customFormat="1" ht="16.5" thickBot="1" x14ac:dyDescent="0.3">
      <c r="A1014" s="520">
        <f>IFERROR(VLOOKUP($G$5,'רשימת רשויות'!A:C,3,0),0)</f>
        <v>0</v>
      </c>
      <c r="B1014" s="520">
        <f t="shared" si="139"/>
        <v>0</v>
      </c>
      <c r="C1014" s="39"/>
      <c r="D1014" s="1134"/>
      <c r="E1014" s="1137"/>
      <c r="F1014" s="586" t="s">
        <v>2355</v>
      </c>
      <c r="G1014" s="514">
        <f>IFERROR(IF(VLOOKUP('בית ספר - תקצוב לפי מוסד (9)'!G1009,' איוש משרות (8)'!$C:$K,9,0)="תקין","תקין","לא תקין"),0)</f>
        <v>0</v>
      </c>
      <c r="H1014" s="91"/>
      <c r="I1014" s="91"/>
      <c r="J1014" s="91"/>
      <c r="K1014" s="90"/>
      <c r="L1014" s="90"/>
      <c r="M1014" s="402" t="s">
        <v>2586</v>
      </c>
      <c r="N1014" s="403">
        <f>IFERROR(MIN(N1012,N1013),0)</f>
        <v>0</v>
      </c>
      <c r="O1014" s="404">
        <f>IFERROR(MIN(O1012,O1013),0)</f>
        <v>0</v>
      </c>
      <c r="P1014" s="595"/>
      <c r="Q1014" s="595"/>
      <c r="R1014" s="596"/>
      <c r="S1014" s="610"/>
      <c r="T1014" s="881"/>
      <c r="U1014" s="598"/>
      <c r="V1014" s="599"/>
      <c r="W1014" s="599"/>
      <c r="X1014" s="599"/>
      <c r="Y1014" s="879"/>
      <c r="Z1014" s="85"/>
      <c r="AC1014" s="493"/>
      <c r="AD1014" s="495"/>
      <c r="AG1014" s="94"/>
      <c r="AH1014" s="40"/>
      <c r="AI1014" s="40"/>
      <c r="AJ1014" s="40"/>
      <c r="AK1014" s="40"/>
      <c r="AO1014" s="22"/>
      <c r="AP1014" s="22"/>
      <c r="AQ1014" s="22"/>
      <c r="AR1014" s="22"/>
      <c r="AS1014" s="22"/>
      <c r="AT1014" s="22"/>
      <c r="AU1014" s="35"/>
      <c r="AV1014" s="35"/>
      <c r="AW1014" s="35"/>
      <c r="AX1014" s="35"/>
      <c r="AY1014" s="35"/>
      <c r="AZ1014" s="35"/>
      <c r="BA1014" s="35"/>
      <c r="BB1014" s="35"/>
      <c r="BC1014" s="35"/>
      <c r="BD1014" s="35"/>
      <c r="BE1014" s="35"/>
      <c r="BF1014" s="35"/>
      <c r="BG1014" s="35"/>
      <c r="BH1014" s="35"/>
      <c r="BI1014" s="35"/>
      <c r="BJ1014" s="35"/>
      <c r="BK1014" s="35"/>
      <c r="BL1014" s="35"/>
      <c r="BM1014" s="35"/>
      <c r="BN1014" s="35"/>
      <c r="BO1014" s="86"/>
    </row>
    <row r="1015" spans="1:67" s="55" customFormat="1" ht="37.15" customHeight="1" thickBot="1" x14ac:dyDescent="0.3">
      <c r="A1015" s="520">
        <f>IFERROR(VLOOKUP($G$5,'רשימת רשויות'!A:C,3,0),0)</f>
        <v>0</v>
      </c>
      <c r="B1015" s="520">
        <f t="shared" si="139"/>
        <v>0</v>
      </c>
      <c r="C1015" s="39"/>
      <c r="D1015" s="1134"/>
      <c r="E1015" s="1137"/>
      <c r="F1015" s="587" t="s">
        <v>142</v>
      </c>
      <c r="G1015" s="92"/>
      <c r="H1015" s="92"/>
      <c r="I1015" s="92"/>
      <c r="J1015" s="92"/>
      <c r="K1015" s="602"/>
      <c r="L1015" s="602"/>
      <c r="M1015" s="602"/>
      <c r="N1015" s="602"/>
      <c r="O1015" s="602"/>
      <c r="P1015" s="595"/>
      <c r="Q1015" s="595"/>
      <c r="R1015" s="596"/>
      <c r="S1015" s="610"/>
      <c r="T1015" s="881"/>
      <c r="U1015" s="598"/>
      <c r="V1015" s="599"/>
      <c r="W1015" s="599"/>
      <c r="X1015" s="599"/>
      <c r="Y1015" s="879"/>
      <c r="Z1015" s="93"/>
      <c r="AC1015" s="493"/>
      <c r="AD1015" s="495"/>
      <c r="AF1015" s="22"/>
      <c r="AG1015" s="98"/>
      <c r="AH1015" s="98"/>
      <c r="AI1015" s="40"/>
      <c r="AJ1015" s="40"/>
      <c r="AK1015" s="40"/>
      <c r="AO1015" s="22"/>
      <c r="AP1015" s="22"/>
      <c r="AQ1015" s="22"/>
      <c r="AR1015" s="22"/>
      <c r="AS1015" s="22"/>
      <c r="AT1015" s="22"/>
      <c r="AU1015" s="35"/>
      <c r="AV1015" s="35"/>
      <c r="AW1015" s="35"/>
      <c r="AX1015" s="35"/>
      <c r="AY1015" s="35"/>
      <c r="AZ1015" s="35"/>
      <c r="BA1015" s="35"/>
      <c r="BB1015" s="35"/>
      <c r="BC1015" s="35"/>
      <c r="BD1015" s="35"/>
      <c r="BE1015" s="35"/>
      <c r="BF1015" s="35"/>
      <c r="BG1015" s="35"/>
      <c r="BH1015" s="35"/>
      <c r="BI1015" s="35"/>
      <c r="BJ1015" s="35"/>
      <c r="BK1015" s="35"/>
      <c r="BL1015" s="35"/>
      <c r="BM1015" s="35"/>
      <c r="BN1015" s="35"/>
      <c r="BO1015" s="86"/>
    </row>
    <row r="1016" spans="1:67" s="40" customFormat="1" ht="31.5" x14ac:dyDescent="0.25">
      <c r="A1016" s="520">
        <f>IFERROR(VLOOKUP($G$5,'רשימת רשויות'!A:C,3,0),0)</f>
        <v>0</v>
      </c>
      <c r="B1016" s="520">
        <f t="shared" si="139"/>
        <v>0</v>
      </c>
      <c r="C1016" s="39"/>
      <c r="D1016" s="1134"/>
      <c r="E1016" s="1137"/>
      <c r="F1016" s="588" t="s">
        <v>94</v>
      </c>
      <c r="G1016" s="95" t="s">
        <v>18</v>
      </c>
      <c r="H1016" s="95" t="s">
        <v>19</v>
      </c>
      <c r="I1016" s="95" t="s">
        <v>138</v>
      </c>
      <c r="J1016" s="96" t="s">
        <v>139</v>
      </c>
      <c r="K1016" s="603"/>
      <c r="L1016" s="603"/>
      <c r="M1016" s="603"/>
      <c r="N1016" s="603"/>
      <c r="O1016" s="603"/>
      <c r="P1016" s="604"/>
      <c r="Q1016" s="604"/>
      <c r="R1016" s="596"/>
      <c r="S1016" s="610"/>
      <c r="T1016" s="881"/>
      <c r="U1016" s="598"/>
      <c r="V1016" s="599"/>
      <c r="W1016" s="599"/>
      <c r="X1016" s="599"/>
      <c r="Y1016" s="879"/>
      <c r="Z1016" s="97"/>
      <c r="AA1016" s="94"/>
      <c r="AB1016" s="94"/>
      <c r="AC1016" s="493"/>
      <c r="AD1016" s="495"/>
      <c r="AE1016" s="94"/>
      <c r="AG1016" s="98"/>
      <c r="AH1016" s="98"/>
      <c r="AO1016" s="22"/>
      <c r="AP1016" s="22"/>
      <c r="AQ1016" s="22"/>
      <c r="AR1016" s="22"/>
      <c r="AS1016" s="22"/>
      <c r="AT1016" s="22"/>
      <c r="AU1016" s="35"/>
      <c r="AV1016" s="35"/>
      <c r="AW1016" s="35"/>
      <c r="AX1016" s="35"/>
      <c r="AY1016" s="35"/>
      <c r="AZ1016" s="35"/>
      <c r="BA1016" s="35"/>
      <c r="BB1016" s="35"/>
      <c r="BC1016" s="35"/>
      <c r="BD1016" s="35"/>
      <c r="BE1016" s="35"/>
      <c r="BF1016" s="35"/>
      <c r="BG1016" s="35"/>
      <c r="BH1016" s="35"/>
      <c r="BI1016" s="35"/>
      <c r="BJ1016" s="35"/>
      <c r="BK1016" s="35"/>
      <c r="BL1016" s="35"/>
      <c r="BM1016" s="35"/>
      <c r="BN1016" s="35"/>
      <c r="BO1016" s="86"/>
    </row>
    <row r="1017" spans="1:67" s="40" customFormat="1" ht="15.75" customHeight="1" thickBot="1" x14ac:dyDescent="0.3">
      <c r="A1017" s="520">
        <f>IFERROR(VLOOKUP($G$5,'רשימת רשויות'!A:C,3,0),0)</f>
        <v>0</v>
      </c>
      <c r="B1017" s="520">
        <f t="shared" si="139"/>
        <v>0</v>
      </c>
      <c r="C1017" s="39"/>
      <c r="D1017" s="1134"/>
      <c r="E1017" s="1137"/>
      <c r="F1017" s="589" t="s">
        <v>2280</v>
      </c>
      <c r="G1017" s="99">
        <f>+G1028</f>
        <v>0</v>
      </c>
      <c r="H1017" s="100">
        <f>K1011</f>
        <v>0</v>
      </c>
      <c r="I1017" s="100">
        <f>H1017-I1019</f>
        <v>0</v>
      </c>
      <c r="J1017" s="101">
        <f>IFERROR(I1017/H1017,0)</f>
        <v>0</v>
      </c>
      <c r="K1017" s="603"/>
      <c r="L1017" s="603"/>
      <c r="M1017" s="603"/>
      <c r="N1017" s="603"/>
      <c r="O1017" s="603"/>
      <c r="P1017" s="605"/>
      <c r="Q1017" s="604"/>
      <c r="R1017" s="606" t="s">
        <v>157</v>
      </c>
      <c r="S1017" s="611"/>
      <c r="T1017" s="881"/>
      <c r="U1017" s="598"/>
      <c r="V1017" s="599"/>
      <c r="W1017" s="599"/>
      <c r="X1017" s="599"/>
      <c r="Y1017" s="879"/>
      <c r="Z1017" s="102"/>
      <c r="AA1017" s="122"/>
      <c r="AB1017" s="122"/>
      <c r="AC1017" s="493"/>
      <c r="AD1017" s="495"/>
      <c r="AE1017" s="122"/>
      <c r="AF1017" s="22"/>
      <c r="AG1017" s="98"/>
      <c r="AH1017" s="98"/>
      <c r="AI1017" s="20"/>
      <c r="AO1017" s="22"/>
      <c r="AP1017" s="22"/>
      <c r="AQ1017" s="22"/>
      <c r="AR1017" s="22"/>
      <c r="AS1017" s="22"/>
      <c r="AT1017" s="22"/>
      <c r="AU1017" s="35"/>
      <c r="AV1017" s="35"/>
      <c r="AW1017" s="35"/>
      <c r="AX1017" s="35"/>
      <c r="AY1017" s="35"/>
      <c r="AZ1017" s="35"/>
      <c r="BA1017" s="35"/>
      <c r="BB1017" s="35"/>
      <c r="BC1017" s="35"/>
      <c r="BD1017" s="35"/>
      <c r="BE1017" s="35"/>
      <c r="BF1017" s="35"/>
      <c r="BG1017" s="35"/>
      <c r="BH1017" s="35"/>
      <c r="BI1017" s="35"/>
      <c r="BJ1017" s="35"/>
      <c r="BK1017" s="35"/>
      <c r="BL1017" s="35"/>
      <c r="BM1017" s="35"/>
      <c r="BN1017" s="35"/>
      <c r="BO1017" s="86"/>
    </row>
    <row r="1018" spans="1:67" s="40" customFormat="1" ht="15.75" customHeight="1" thickBot="1" x14ac:dyDescent="0.3">
      <c r="A1018" s="520">
        <f>IFERROR(VLOOKUP($G$5,'רשימת רשויות'!A:C,3,0),0)</f>
        <v>0</v>
      </c>
      <c r="B1018" s="520">
        <f t="shared" si="139"/>
        <v>0</v>
      </c>
      <c r="C1018" s="39"/>
      <c r="D1018" s="1134"/>
      <c r="E1018" s="1137"/>
      <c r="F1018" s="589" t="s">
        <v>2281</v>
      </c>
      <c r="G1018" s="99">
        <f>+G1027</f>
        <v>0</v>
      </c>
      <c r="H1018" s="103"/>
      <c r="I1018" s="104"/>
      <c r="J1018" s="105"/>
      <c r="K1018" s="603"/>
      <c r="L1018" s="603"/>
      <c r="M1018" s="603"/>
      <c r="N1018" s="603"/>
      <c r="O1018" s="603"/>
      <c r="P1018" s="605"/>
      <c r="Q1018" s="604"/>
      <c r="R1018" s="473">
        <f>I1019-R1020</f>
        <v>0</v>
      </c>
      <c r="S1018" s="611"/>
      <c r="T1018" s="881"/>
      <c r="U1018" s="598"/>
      <c r="V1018" s="599"/>
      <c r="W1018" s="599"/>
      <c r="X1018" s="599"/>
      <c r="Y1018" s="879"/>
      <c r="Z1018" s="106"/>
      <c r="AA1018" s="22"/>
      <c r="AB1018" s="22"/>
      <c r="AC1018" s="493"/>
      <c r="AD1018" s="495"/>
      <c r="AE1018" s="22"/>
      <c r="AF1018" s="22"/>
      <c r="AG1018" s="98"/>
      <c r="AH1018" s="98"/>
      <c r="AI1018" s="20"/>
      <c r="AO1018" s="22"/>
      <c r="AP1018" s="22"/>
      <c r="AQ1018" s="22"/>
      <c r="AR1018" s="22"/>
      <c r="AS1018" s="22"/>
      <c r="AT1018" s="22"/>
      <c r="AU1018" s="35"/>
      <c r="AV1018" s="35"/>
      <c r="AW1018" s="35"/>
      <c r="AX1018" s="35"/>
      <c r="AY1018" s="35"/>
      <c r="AZ1018" s="35"/>
      <c r="BA1018" s="35"/>
      <c r="BB1018" s="35"/>
      <c r="BC1018" s="35"/>
      <c r="BD1018" s="35"/>
      <c r="BE1018" s="35"/>
      <c r="BF1018" s="35"/>
      <c r="BG1018" s="35"/>
      <c r="BH1018" s="35"/>
      <c r="BI1018" s="35"/>
      <c r="BJ1018" s="35"/>
      <c r="BK1018" s="35"/>
      <c r="BL1018" s="35"/>
      <c r="BM1018" s="35"/>
      <c r="BN1018" s="35"/>
      <c r="BO1018" s="86"/>
    </row>
    <row r="1019" spans="1:67" s="40" customFormat="1" ht="16.5" customHeight="1" thickBot="1" x14ac:dyDescent="0.3">
      <c r="A1019" s="520">
        <f>IFERROR(VLOOKUP($G$5,'רשימת רשויות'!A:C,3,0),0)</f>
        <v>0</v>
      </c>
      <c r="B1019" s="520">
        <f t="shared" si="139"/>
        <v>0</v>
      </c>
      <c r="C1019" s="39"/>
      <c r="D1019" s="1134"/>
      <c r="E1019" s="1137"/>
      <c r="F1019" s="589" t="s">
        <v>2282</v>
      </c>
      <c r="G1019" s="99">
        <f>G1023+G1024+G1025</f>
        <v>0</v>
      </c>
      <c r="H1019" s="104"/>
      <c r="I1019" s="107">
        <f>MAX(H1017-G1017-G1018,0)</f>
        <v>0</v>
      </c>
      <c r="J1019" s="108">
        <f>IFERROR(I1019/H1017,0)</f>
        <v>0</v>
      </c>
      <c r="K1019" s="603"/>
      <c r="L1019" s="603"/>
      <c r="M1019" s="603"/>
      <c r="N1019" s="603"/>
      <c r="O1019" s="603"/>
      <c r="P1019" s="604"/>
      <c r="Q1019" s="604"/>
      <c r="R1019" s="606" t="s">
        <v>158</v>
      </c>
      <c r="S1019" s="612"/>
      <c r="T1019" s="881"/>
      <c r="U1019" s="598"/>
      <c r="V1019" s="599"/>
      <c r="W1019" s="599"/>
      <c r="X1019" s="599"/>
      <c r="Y1019" s="879"/>
      <c r="Z1019" s="106"/>
      <c r="AA1019" s="22"/>
      <c r="AB1019" s="22"/>
      <c r="AC1019" s="493"/>
      <c r="AD1019" s="495"/>
      <c r="AE1019" s="22"/>
      <c r="AF1019" s="22"/>
      <c r="AG1019" s="22"/>
      <c r="AH1019" s="22"/>
      <c r="AI1019" s="55"/>
      <c r="AJ1019" s="22"/>
      <c r="AK1019" s="22"/>
      <c r="AO1019" s="22"/>
      <c r="AP1019" s="22"/>
      <c r="AQ1019" s="22"/>
      <c r="AR1019" s="22"/>
      <c r="AS1019" s="22"/>
      <c r="AT1019" s="22"/>
      <c r="AU1019" s="35"/>
      <c r="AV1019" s="35"/>
      <c r="AW1019" s="35"/>
      <c r="AX1019" s="35"/>
      <c r="AY1019" s="35"/>
      <c r="AZ1019" s="35"/>
      <c r="BA1019" s="35"/>
      <c r="BB1019" s="35"/>
      <c r="BC1019" s="35"/>
      <c r="BD1019" s="35"/>
      <c r="BE1019" s="35"/>
      <c r="BF1019" s="35"/>
      <c r="BG1019" s="35"/>
      <c r="BH1019" s="35"/>
      <c r="BI1019" s="35"/>
      <c r="BJ1019" s="35"/>
      <c r="BK1019" s="35"/>
      <c r="BL1019" s="35"/>
      <c r="BM1019" s="35"/>
      <c r="BN1019" s="35"/>
      <c r="BO1019" s="86"/>
    </row>
    <row r="1020" spans="1:67" s="40" customFormat="1" ht="15.75" customHeight="1" thickBot="1" x14ac:dyDescent="0.3">
      <c r="A1020" s="520">
        <f>IFERROR(VLOOKUP($G$5,'רשימת רשויות'!A:C,3,0),0)</f>
        <v>0</v>
      </c>
      <c r="B1020" s="520">
        <f t="shared" si="139"/>
        <v>0</v>
      </c>
      <c r="C1020" s="39"/>
      <c r="D1020" s="1134"/>
      <c r="E1020" s="1137"/>
      <c r="F1020" s="590" t="s">
        <v>2290</v>
      </c>
      <c r="G1020" s="109"/>
      <c r="H1020" s="110"/>
      <c r="I1020" s="111">
        <f>SUM(I1017:I1019)</f>
        <v>0</v>
      </c>
      <c r="J1020" s="112">
        <f>SUM(J1017:J1019)</f>
        <v>0</v>
      </c>
      <c r="K1020" s="603"/>
      <c r="L1020" s="603"/>
      <c r="M1020" s="603"/>
      <c r="N1020" s="603"/>
      <c r="O1020" s="603"/>
      <c r="P1020" s="604"/>
      <c r="Q1020" s="604"/>
      <c r="R1020" s="473">
        <f>MIN(MAX(G1024+G1025-I1013-J1013,0),I1019)</f>
        <v>0</v>
      </c>
      <c r="S1020" s="612"/>
      <c r="T1020" s="881"/>
      <c r="U1020" s="598"/>
      <c r="V1020" s="599"/>
      <c r="W1020" s="599"/>
      <c r="X1020" s="599"/>
      <c r="Y1020" s="879"/>
      <c r="Z1020" s="106"/>
      <c r="AA1020" s="22"/>
      <c r="AB1020" s="22"/>
      <c r="AC1020" s="493"/>
      <c r="AD1020" s="495"/>
      <c r="AE1020" s="22"/>
      <c r="AF1020" s="22"/>
      <c r="AG1020" s="22"/>
      <c r="AH1020" s="22"/>
      <c r="AJ1020" s="22"/>
      <c r="AK1020" s="22"/>
      <c r="AO1020" s="22"/>
      <c r="AP1020" s="22"/>
      <c r="AQ1020" s="22"/>
      <c r="AR1020" s="22"/>
      <c r="AS1020" s="22"/>
      <c r="AT1020" s="22"/>
      <c r="AU1020" s="35"/>
      <c r="AV1020" s="35"/>
      <c r="AW1020" s="35"/>
      <c r="AX1020" s="35"/>
      <c r="AY1020" s="35"/>
      <c r="AZ1020" s="35"/>
      <c r="BA1020" s="35"/>
      <c r="BB1020" s="35"/>
      <c r="BC1020" s="35"/>
      <c r="BD1020" s="35"/>
      <c r="BE1020" s="35"/>
      <c r="BF1020" s="35"/>
      <c r="BG1020" s="35"/>
      <c r="BH1020" s="35"/>
      <c r="BI1020" s="35"/>
      <c r="BJ1020" s="35"/>
      <c r="BK1020" s="35"/>
      <c r="BL1020" s="35"/>
      <c r="BM1020" s="35"/>
      <c r="BN1020" s="35"/>
      <c r="BO1020" s="86"/>
    </row>
    <row r="1021" spans="1:67" ht="16.5" thickBot="1" x14ac:dyDescent="0.3">
      <c r="A1021" s="520">
        <f>IFERROR(VLOOKUP($G$5,'רשימת רשויות'!A:C,3,0),0)</f>
        <v>0</v>
      </c>
      <c r="B1021" s="520">
        <f t="shared" si="139"/>
        <v>0</v>
      </c>
      <c r="D1021" s="1134"/>
      <c r="E1021" s="1137"/>
      <c r="F1021" s="587" t="s">
        <v>17</v>
      </c>
      <c r="G1021" s="113"/>
      <c r="H1021" s="92"/>
      <c r="I1021" s="114"/>
      <c r="J1021" s="115"/>
      <c r="K1021" s="116"/>
      <c r="L1021" s="406"/>
      <c r="M1021" s="116"/>
      <c r="N1021" s="116"/>
      <c r="O1021" s="116"/>
      <c r="P1021" s="474"/>
      <c r="Q1021" s="607"/>
      <c r="R1021" s="608"/>
      <c r="S1021" s="612"/>
      <c r="T1021" s="881"/>
      <c r="U1021" s="598"/>
      <c r="V1021" s="599"/>
      <c r="W1021" s="599"/>
      <c r="X1021" s="599"/>
      <c r="Y1021" s="879"/>
      <c r="Z1021" s="106"/>
      <c r="AI1021" s="40"/>
      <c r="BO1021" s="86"/>
    </row>
    <row r="1022" spans="1:67" ht="47.25" x14ac:dyDescent="0.25">
      <c r="A1022" s="520">
        <f>IFERROR(VLOOKUP($G$5,'רשימת רשויות'!A:C,3,0),0)</f>
        <v>0</v>
      </c>
      <c r="B1022" s="520">
        <f t="shared" si="139"/>
        <v>0</v>
      </c>
      <c r="D1022" s="1134"/>
      <c r="E1022" s="1137"/>
      <c r="F1022" s="588" t="s">
        <v>2</v>
      </c>
      <c r="G1022" s="95" t="s">
        <v>18</v>
      </c>
      <c r="H1022" s="95" t="s">
        <v>19</v>
      </c>
      <c r="I1022" s="95" t="s">
        <v>20</v>
      </c>
      <c r="J1022" s="95" t="s">
        <v>22</v>
      </c>
      <c r="K1022" s="96" t="s">
        <v>2314</v>
      </c>
      <c r="L1022" s="609"/>
      <c r="M1022" s="609"/>
      <c r="N1022" s="609"/>
      <c r="O1022" s="580"/>
      <c r="P1022" s="618" t="s">
        <v>2298</v>
      </c>
      <c r="Q1022" s="618" t="s">
        <v>2299</v>
      </c>
      <c r="R1022" s="596"/>
      <c r="S1022" s="890" t="s">
        <v>2519</v>
      </c>
      <c r="T1022" s="890" t="s">
        <v>97</v>
      </c>
      <c r="U1022" s="891" t="s">
        <v>2521</v>
      </c>
      <c r="V1022" s="892" t="s">
        <v>2520</v>
      </c>
      <c r="W1022" s="893" t="s">
        <v>2524</v>
      </c>
      <c r="X1022" s="892" t="s">
        <v>2522</v>
      </c>
      <c r="Y1022" s="894" t="s">
        <v>2523</v>
      </c>
      <c r="Z1022" s="106"/>
      <c r="AC1022" s="498" t="s">
        <v>2568</v>
      </c>
      <c r="AD1022" s="499" t="s">
        <v>2569</v>
      </c>
      <c r="AF1022" s="122"/>
      <c r="AI1022" s="40"/>
      <c r="BO1022" s="86"/>
    </row>
    <row r="1023" spans="1:67" ht="15" customHeight="1" thickBot="1" x14ac:dyDescent="0.3">
      <c r="A1023" s="520">
        <f>IFERROR(VLOOKUP($G$5,'רשימת רשויות'!A:C,3,0),0)</f>
        <v>0</v>
      </c>
      <c r="B1023" s="520">
        <f t="shared" si="139"/>
        <v>0</v>
      </c>
      <c r="D1023" s="1134"/>
      <c r="E1023" s="1137"/>
      <c r="F1023" s="589" t="s">
        <v>76</v>
      </c>
      <c r="G1023" s="117">
        <f>IF(G1014="תקין",SUMIF('עלויות כח אדם (6)'!$B$15:$B$3014,'בית ספר - תקצוב לפי מוסד (9)'!$G1009,'עלויות כח אדם (6)'!$M$15:$M$3014)-VLOOKUP('בית ספר - תקצוב לפי מוסד (9)'!G1009,' איוש משרות (8)'!$C:$H,5,0)-VLOOKUP('בית ספר - תקצוב לפי מוסד (9)'!G1009,' איוש משרות (8)'!$C:$H,6,0),0)-Y1023</f>
        <v>0</v>
      </c>
      <c r="H1023" s="118">
        <f>I1011+R1018</f>
        <v>0</v>
      </c>
      <c r="I1023" s="119">
        <f>IFERROR(SUM(G1023)/H1023,0)</f>
        <v>0</v>
      </c>
      <c r="J1023" s="100">
        <f>MIN(I1011+R1018,IF(ISNUMBER(G1023),G1023,0))</f>
        <v>0</v>
      </c>
      <c r="K1023" s="120">
        <f>MAX(H1023-G1023,0)</f>
        <v>0</v>
      </c>
      <c r="L1023" s="407"/>
      <c r="M1023" s="393"/>
      <c r="N1023" s="393"/>
      <c r="O1023" s="580"/>
      <c r="P1023" s="968">
        <f>IFERROR(IF(SUM(G1023)/(I1011)&lt;100%,MIN((I1011)-SUM(G1023),(I1011)*0.25),0),0)</f>
        <v>0</v>
      </c>
      <c r="Q1023" s="968">
        <f>IF(SUM(G1023)-(I1011+R1018)&gt;0,SUM(G1023)-(I1011+R1018),0)</f>
        <v>0</v>
      </c>
      <c r="R1023" s="596" t="s">
        <v>2351</v>
      </c>
      <c r="S1023" s="576" t="s">
        <v>2342</v>
      </c>
      <c r="T1023" s="599">
        <f>G1009</f>
        <v>0</v>
      </c>
      <c r="U1023" s="578"/>
      <c r="V1023" s="579">
        <f>G1023+G1024+G1025</f>
        <v>0</v>
      </c>
      <c r="W1023" s="579">
        <f>U1023-V1023</f>
        <v>0</v>
      </c>
      <c r="X1023" s="579">
        <f>IFERROR(W1037*W1023/(SUM(W1023:W1036)),0)</f>
        <v>0</v>
      </c>
      <c r="Y1023" s="879">
        <f>SUMIFS(בקרה!$S:$S,בקרה!$D:$D,T1023,בקרה!$K:$K,S1023)</f>
        <v>0</v>
      </c>
      <c r="Z1023" s="121"/>
      <c r="AA1023" s="143"/>
      <c r="AB1023" s="143"/>
      <c r="AC1023" s="504">
        <v>0</v>
      </c>
      <c r="AD1023" s="505">
        <f>IFERROR(U1023-AC1023,0)</f>
        <v>0</v>
      </c>
      <c r="AE1023" s="143"/>
      <c r="AI1023" s="20"/>
      <c r="BO1023" s="86"/>
    </row>
    <row r="1024" spans="1:67" ht="15" customHeight="1" thickBot="1" x14ac:dyDescent="0.3">
      <c r="A1024" s="520">
        <f>IFERROR(VLOOKUP($G$5,'רשימת רשויות'!A:C,3,0),0)</f>
        <v>0</v>
      </c>
      <c r="B1024" s="520">
        <f t="shared" si="139"/>
        <v>0</v>
      </c>
      <c r="D1024" s="1134"/>
      <c r="E1024" s="1137"/>
      <c r="F1024" s="589" t="s">
        <v>44</v>
      </c>
      <c r="G1024" s="123">
        <f>IF(G1014="תקין",IFERROR(VLOOKUP('בית ספר - תקצוב לפי מוסד (9)'!G1009,' איוש משרות (8)'!C:J,7,0),0),0)</f>
        <v>0</v>
      </c>
      <c r="H1024" s="124">
        <f>I1013+R1020+J1013</f>
        <v>0</v>
      </c>
      <c r="I1024" s="119">
        <f>IFERROR(SUM(G1024:G1025)/H1024,0)</f>
        <v>0</v>
      </c>
      <c r="J1024" s="100">
        <f>MIN(R1020+I1013,IF(ISNUMBER(SUM(G1024:G1025)),SUM(G1024:G1025),0))</f>
        <v>0</v>
      </c>
      <c r="K1024" s="1139">
        <f>MAX((H1024)-(G1024+G1025),0)</f>
        <v>0</v>
      </c>
      <c r="L1024" s="407"/>
      <c r="M1024" s="393"/>
      <c r="N1024" s="393"/>
      <c r="O1024" s="580"/>
      <c r="P1024" s="1140"/>
      <c r="Q1024" s="1140"/>
      <c r="R1024" s="617">
        <f>MAX(MIN(P1032-Q1032,H1032*0.15-G1030),0)</f>
        <v>0</v>
      </c>
      <c r="S1024" s="576"/>
      <c r="T1024" s="599">
        <f>G1009</f>
        <v>0</v>
      </c>
      <c r="U1024" s="578"/>
      <c r="V1024" s="579"/>
      <c r="W1024" s="579">
        <f t="shared" ref="W1024:W1036" si="144">U1024-V1024</f>
        <v>0</v>
      </c>
      <c r="X1024" s="579"/>
      <c r="Y1024" s="879"/>
      <c r="Z1024" s="121"/>
      <c r="AA1024" s="143"/>
      <c r="AB1024" s="143"/>
      <c r="AC1024" s="504"/>
      <c r="AD1024" s="505">
        <f t="shared" ref="AD1024:AD1030" si="145">IFERROR(U1024-AC1024,0)</f>
        <v>0</v>
      </c>
      <c r="AE1024" s="143"/>
      <c r="AI1024" s="20"/>
      <c r="BO1024" s="86"/>
    </row>
    <row r="1025" spans="1:67" ht="15.75" customHeight="1" x14ac:dyDescent="0.25">
      <c r="A1025" s="520">
        <f>IFERROR(VLOOKUP($G$5,'רשימת רשויות'!A:C,3,0),0)</f>
        <v>0</v>
      </c>
      <c r="B1025" s="520">
        <f t="shared" si="139"/>
        <v>0</v>
      </c>
      <c r="D1025" s="1134"/>
      <c r="E1025" s="1137"/>
      <c r="F1025" s="589" t="s">
        <v>45</v>
      </c>
      <c r="G1025" s="123">
        <f>IF(G1014="תקין",IFERROR(VLOOKUP('בית ספר - תקצוב לפי מוסד (9)'!G1009,' איוש משרות (8)'!C:J,8,0),0),0)</f>
        <v>0</v>
      </c>
      <c r="H1025" s="125"/>
      <c r="I1025" s="126"/>
      <c r="J1025" s="104"/>
      <c r="K1025" s="1139"/>
      <c r="L1025" s="407"/>
      <c r="M1025" s="393"/>
      <c r="N1025" s="393"/>
      <c r="O1025" s="580"/>
      <c r="P1025" s="1140"/>
      <c r="Q1025" s="1140"/>
      <c r="R1025" s="596"/>
      <c r="S1025" s="576"/>
      <c r="T1025" s="599">
        <f>G1009</f>
        <v>0</v>
      </c>
      <c r="U1025" s="578"/>
      <c r="V1025" s="579"/>
      <c r="W1025" s="579">
        <f t="shared" si="144"/>
        <v>0</v>
      </c>
      <c r="X1025" s="579"/>
      <c r="Y1025" s="879"/>
      <c r="Z1025" s="121"/>
      <c r="AA1025" s="143"/>
      <c r="AB1025" s="143"/>
      <c r="AC1025" s="504"/>
      <c r="AD1025" s="505">
        <f t="shared" si="145"/>
        <v>0</v>
      </c>
      <c r="AE1025" s="143"/>
      <c r="AG1025" s="55"/>
      <c r="AH1025" s="55"/>
      <c r="AI1025" s="55"/>
      <c r="AJ1025" s="55"/>
      <c r="AK1025" s="55"/>
      <c r="BO1025" s="86"/>
    </row>
    <row r="1026" spans="1:67" ht="15.75" customHeight="1" x14ac:dyDescent="0.25">
      <c r="A1026" s="520">
        <f>IFERROR(VLOOKUP($G$5,'רשימת רשויות'!A:C,3,0),0)</f>
        <v>0</v>
      </c>
      <c r="B1026" s="520">
        <f t="shared" si="139"/>
        <v>0</v>
      </c>
      <c r="D1026" s="1134"/>
      <c r="E1026" s="1137"/>
      <c r="F1026" s="589" t="s">
        <v>0</v>
      </c>
      <c r="G1026" s="117">
        <f>IF(G1014="תקין",SUMIFS('דוח הוצאות בפועל (4)'!$E$17:$E$3016,'דוח הוצאות בפועל (4)'!$B$17:$B$3016,'בית ספר - תקצוב לפי מוסד (9)'!$G1009,'דוח הוצאות בפועל (4)'!$M$17:$M$3016,"הע"),0)-Y1026</f>
        <v>0</v>
      </c>
      <c r="H1026" s="127">
        <f>J1011</f>
        <v>0</v>
      </c>
      <c r="I1026" s="128">
        <f>IFERROR(G1026/H1026,0)</f>
        <v>0</v>
      </c>
      <c r="J1026" s="129">
        <f>MIN(IF(ISNUMBER(G1026),G1026,0),H1026)</f>
        <v>0</v>
      </c>
      <c r="K1026" s="120">
        <f>MAX(H1026-G1026,0)</f>
        <v>0</v>
      </c>
      <c r="L1026" s="407"/>
      <c r="M1026" s="393"/>
      <c r="N1026" s="393"/>
      <c r="O1026" s="580"/>
      <c r="P1026" s="968">
        <f>MAX(IF(I1026&lt;100%,MIN((H1026-G1026),H1026*0.25),0),0)</f>
        <v>0</v>
      </c>
      <c r="Q1026" s="619">
        <f>IF(G1026-H1026&gt;0,G1026-H1026,0)</f>
        <v>0</v>
      </c>
      <c r="R1026" s="596"/>
      <c r="S1026" s="610" t="s">
        <v>0</v>
      </c>
      <c r="T1026" s="599">
        <f>G1009</f>
        <v>0</v>
      </c>
      <c r="U1026" s="578"/>
      <c r="V1026" s="579">
        <f>G1026</f>
        <v>0</v>
      </c>
      <c r="W1026" s="579">
        <f t="shared" si="144"/>
        <v>0</v>
      </c>
      <c r="X1026" s="579">
        <f>IFERROR(W1037*W1026/(SUM(W1023:W1036)),0)</f>
        <v>0</v>
      </c>
      <c r="Y1026" s="879">
        <f>SUMIFS(בקרה!$S:$S,בקרה!$D:$D,T1026,בקרה!$K:$K,S1026)</f>
        <v>0</v>
      </c>
      <c r="Z1026" s="121"/>
      <c r="AA1026" s="143"/>
      <c r="AB1026" s="143"/>
      <c r="AC1026" s="504">
        <v>0</v>
      </c>
      <c r="AD1026" s="505">
        <f t="shared" si="145"/>
        <v>0</v>
      </c>
      <c r="AE1026" s="143"/>
      <c r="AG1026" s="55"/>
      <c r="AH1026" s="55"/>
      <c r="AI1026" s="40"/>
      <c r="AJ1026" s="55"/>
      <c r="AK1026" s="55"/>
      <c r="BO1026" s="86"/>
    </row>
    <row r="1027" spans="1:67" s="55" customFormat="1" ht="15.75" customHeight="1" x14ac:dyDescent="0.25">
      <c r="A1027" s="520">
        <f>IFERROR(VLOOKUP($G$5,'רשימת רשויות'!A:C,3,0),0)</f>
        <v>0</v>
      </c>
      <c r="B1027" s="520">
        <f t="shared" si="139"/>
        <v>0</v>
      </c>
      <c r="C1027" s="39"/>
      <c r="D1027" s="1134"/>
      <c r="E1027" s="1137"/>
      <c r="F1027" s="589" t="s">
        <v>93</v>
      </c>
      <c r="G1027" s="130">
        <f>IF(G1014="תקין",SUMIFS('דוח הוצאות בפועל (4)'!$E$17:$E$3016,'דוח הוצאות בפועל (4)'!$B$17:$B$3016,'בית ספר - תקצוב לפי מוסד (9)'!$G1009,'דוח הוצאות בפועל (4)'!$M$17:$M$3016,"אר"),0)-Y1027</f>
        <v>0</v>
      </c>
      <c r="H1027" s="118">
        <f>$I1017</f>
        <v>0</v>
      </c>
      <c r="I1027" s="131">
        <f>IFERROR((G1027+G1028)/H1027,0)</f>
        <v>0</v>
      </c>
      <c r="J1027" s="100">
        <f>MIN((IF(ISNUMBER(G1027),G1027,0)+IF(ISNUMBER(G1028),G1028,0)),H1027)</f>
        <v>0</v>
      </c>
      <c r="K1027" s="1139">
        <f>MAX((H1027)-(G1027+G1028),0)</f>
        <v>0</v>
      </c>
      <c r="L1027" s="407"/>
      <c r="M1027" s="393"/>
      <c r="N1027" s="393"/>
      <c r="O1027" s="602"/>
      <c r="P1027" s="1141"/>
      <c r="Q1027" s="1142"/>
      <c r="R1027" s="596"/>
      <c r="S1027" s="610" t="s">
        <v>93</v>
      </c>
      <c r="T1027" s="599">
        <f>G1009</f>
        <v>0</v>
      </c>
      <c r="U1027" s="578"/>
      <c r="V1027" s="579">
        <f t="shared" ref="V1027:V1028" si="146">G1027</f>
        <v>0</v>
      </c>
      <c r="W1027" s="579">
        <f t="shared" si="144"/>
        <v>0</v>
      </c>
      <c r="X1027" s="579">
        <f>IFERROR(W1037*W1027/(SUM(W1023:W1036)),0)</f>
        <v>0</v>
      </c>
      <c r="Y1027" s="879">
        <f>SUMIFS(בקרה!$S:$S,בקרה!$D:$D,T1027,בקרה!$K:$K,S1027)</f>
        <v>0</v>
      </c>
      <c r="Z1027" s="121"/>
      <c r="AA1027" s="143"/>
      <c r="AB1027" s="143"/>
      <c r="AC1027" s="504">
        <v>0</v>
      </c>
      <c r="AD1027" s="505">
        <f t="shared" si="145"/>
        <v>0</v>
      </c>
      <c r="AE1027" s="143"/>
      <c r="AJ1027" s="22"/>
      <c r="AO1027" s="22"/>
      <c r="AP1027" s="22"/>
      <c r="AQ1027" s="22"/>
      <c r="AR1027" s="22"/>
      <c r="AS1027" s="22"/>
      <c r="AT1027" s="22"/>
      <c r="AU1027" s="35"/>
      <c r="AV1027" s="35"/>
      <c r="AW1027" s="35"/>
      <c r="AX1027" s="35"/>
      <c r="AY1027" s="35"/>
      <c r="AZ1027" s="35"/>
      <c r="BA1027" s="35"/>
      <c r="BB1027" s="35"/>
      <c r="BC1027" s="35"/>
      <c r="BD1027" s="35"/>
      <c r="BE1027" s="35"/>
      <c r="BF1027" s="35"/>
      <c r="BG1027" s="35"/>
      <c r="BH1027" s="35"/>
      <c r="BI1027" s="35"/>
      <c r="BJ1027" s="35"/>
      <c r="BK1027" s="35"/>
      <c r="BL1027" s="35"/>
      <c r="BM1027" s="35"/>
      <c r="BN1027" s="35"/>
      <c r="BO1027" s="86"/>
    </row>
    <row r="1028" spans="1:67" s="55" customFormat="1" ht="15.75" customHeight="1" x14ac:dyDescent="0.25">
      <c r="A1028" s="520">
        <f>IFERROR(VLOOKUP($G$5,'רשימת רשויות'!A:C,3,0),0)</f>
        <v>0</v>
      </c>
      <c r="B1028" s="520">
        <f t="shared" si="139"/>
        <v>0</v>
      </c>
      <c r="C1028" s="39"/>
      <c r="D1028" s="1134"/>
      <c r="E1028" s="1137"/>
      <c r="F1028" s="589" t="s">
        <v>46</v>
      </c>
      <c r="G1028" s="130">
        <f>IF(G1014="תקין",SUMIFS('דוח הוצאות בפועל (4)'!$E$17:$E$3016,'דוח הוצאות בפועל (4)'!$B$17:$B$3016,'בית ספר - תקצוב לפי מוסד (9)'!$G1009,'דוח הוצאות בפועל (4)'!$M$17:$M$3016,"מל"),0)-Y1028</f>
        <v>0</v>
      </c>
      <c r="H1028" s="132"/>
      <c r="I1028" s="133"/>
      <c r="J1028" s="104"/>
      <c r="K1028" s="1139"/>
      <c r="L1028" s="407"/>
      <c r="M1028" s="393"/>
      <c r="N1028" s="393"/>
      <c r="O1028" s="602"/>
      <c r="P1028" s="1141"/>
      <c r="Q1028" s="1142"/>
      <c r="R1028" s="596"/>
      <c r="S1028" s="610" t="s">
        <v>46</v>
      </c>
      <c r="T1028" s="599">
        <f>G1009</f>
        <v>0</v>
      </c>
      <c r="U1028" s="578"/>
      <c r="V1028" s="579">
        <f t="shared" si="146"/>
        <v>0</v>
      </c>
      <c r="W1028" s="579">
        <f t="shared" si="144"/>
        <v>0</v>
      </c>
      <c r="X1028" s="579">
        <f>IFERROR(W1037*W1028/(SUM(W1023:W1036)),0)</f>
        <v>0</v>
      </c>
      <c r="Y1028" s="879">
        <f>SUMIFS(בקרה!$S:$S,בקרה!$D:$D,T1028,בקרה!$K:$K,S1028)</f>
        <v>0</v>
      </c>
      <c r="Z1028" s="121"/>
      <c r="AA1028" s="143"/>
      <c r="AB1028" s="143"/>
      <c r="AC1028" s="504">
        <v>0</v>
      </c>
      <c r="AD1028" s="505">
        <f t="shared" si="145"/>
        <v>0</v>
      </c>
      <c r="AE1028" s="143"/>
      <c r="AJ1028" s="22"/>
      <c r="AO1028" s="22"/>
      <c r="AP1028" s="22"/>
      <c r="AQ1028" s="22"/>
      <c r="AR1028" s="22"/>
      <c r="AS1028" s="22"/>
      <c r="AT1028" s="22"/>
      <c r="AU1028" s="35"/>
      <c r="AV1028" s="35"/>
      <c r="AW1028" s="35"/>
      <c r="AX1028" s="35"/>
      <c r="AY1028" s="35"/>
      <c r="AZ1028" s="35"/>
      <c r="BA1028" s="35"/>
      <c r="BB1028" s="35"/>
      <c r="BC1028" s="35"/>
      <c r="BD1028" s="35"/>
      <c r="BE1028" s="35"/>
      <c r="BF1028" s="35"/>
      <c r="BG1028" s="35"/>
      <c r="BH1028" s="35"/>
      <c r="BI1028" s="35"/>
      <c r="BJ1028" s="35"/>
      <c r="BK1028" s="35"/>
      <c r="BL1028" s="35"/>
      <c r="BM1028" s="35"/>
      <c r="BN1028" s="35"/>
      <c r="BO1028" s="86"/>
    </row>
    <row r="1029" spans="1:67" s="55" customFormat="1" ht="15" customHeight="1" x14ac:dyDescent="0.25">
      <c r="A1029" s="520">
        <f>IFERROR(VLOOKUP($G$5,'רשימת רשויות'!A:C,3,0),0)</f>
        <v>0</v>
      </c>
      <c r="B1029" s="520">
        <f t="shared" si="139"/>
        <v>0</v>
      </c>
      <c r="C1029" s="39"/>
      <c r="D1029" s="1134"/>
      <c r="E1029" s="1137"/>
      <c r="F1029" s="591" t="s">
        <v>23</v>
      </c>
      <c r="G1029" s="134">
        <f>SUM(G1023:G1028)</f>
        <v>0</v>
      </c>
      <c r="H1029" s="135">
        <f>SUM(H1023:H1028)</f>
        <v>0</v>
      </c>
      <c r="I1029" s="128">
        <f>IFERROR(G1029/H1029,0)</f>
        <v>0</v>
      </c>
      <c r="J1029" s="136">
        <f>SUM(J1023:J1028)</f>
        <v>0</v>
      </c>
      <c r="K1029" s="137">
        <f>SUM(K1023:K1028)</f>
        <v>0</v>
      </c>
      <c r="L1029" s="408"/>
      <c r="M1029" s="394"/>
      <c r="N1029" s="394"/>
      <c r="O1029" s="602"/>
      <c r="P1029" s="620">
        <f>SUM(P1023:P1028)</f>
        <v>0</v>
      </c>
      <c r="Q1029" s="620">
        <f>SUM(Q1023:Q1028)</f>
        <v>0</v>
      </c>
      <c r="R1029" s="596"/>
      <c r="S1029" s="610"/>
      <c r="T1029" s="599">
        <f>G1009</f>
        <v>0</v>
      </c>
      <c r="U1029" s="578"/>
      <c r="V1029" s="579"/>
      <c r="W1029" s="579">
        <f t="shared" si="144"/>
        <v>0</v>
      </c>
      <c r="X1029" s="579"/>
      <c r="Y1029" s="879"/>
      <c r="Z1029" s="121"/>
      <c r="AA1029" s="143"/>
      <c r="AB1029" s="143"/>
      <c r="AC1029" s="504"/>
      <c r="AD1029" s="505">
        <f t="shared" si="145"/>
        <v>0</v>
      </c>
      <c r="AE1029" s="143"/>
      <c r="AJ1029" s="22"/>
      <c r="AL1029" s="22"/>
      <c r="AM1029" s="22"/>
      <c r="AN1029" s="22"/>
      <c r="AO1029" s="22"/>
      <c r="AP1029" s="22"/>
      <c r="AQ1029" s="22"/>
      <c r="AR1029" s="22"/>
      <c r="AS1029" s="22"/>
      <c r="AT1029" s="22"/>
      <c r="AU1029" s="35"/>
      <c r="AV1029" s="35"/>
      <c r="AW1029" s="35"/>
      <c r="AX1029" s="35"/>
      <c r="AY1029" s="35"/>
      <c r="AZ1029" s="35"/>
      <c r="BA1029" s="35"/>
      <c r="BB1029" s="35"/>
      <c r="BC1029" s="35"/>
      <c r="BD1029" s="35"/>
      <c r="BE1029" s="35"/>
      <c r="BF1029" s="35"/>
      <c r="BG1029" s="35"/>
      <c r="BH1029" s="35"/>
      <c r="BI1029" s="35"/>
      <c r="BJ1029" s="35"/>
      <c r="BK1029" s="35"/>
      <c r="BL1029" s="35"/>
      <c r="BM1029" s="35"/>
      <c r="BN1029" s="35"/>
      <c r="BO1029" s="86"/>
    </row>
    <row r="1030" spans="1:67" s="55" customFormat="1" ht="15" customHeight="1" x14ac:dyDescent="0.25">
      <c r="A1030" s="520">
        <f>IFERROR(VLOOKUP($G$5,'רשימת רשויות'!A:C,3,0),0)</f>
        <v>0</v>
      </c>
      <c r="B1030" s="520">
        <f t="shared" si="139"/>
        <v>0</v>
      </c>
      <c r="C1030" s="39"/>
      <c r="D1030" s="1134"/>
      <c r="E1030" s="1137"/>
      <c r="F1030" s="589" t="s">
        <v>3</v>
      </c>
      <c r="G1030" s="117">
        <f>IF(G1014="תקין",SUMIFS('דוח הוצאות בפועל (4)'!$E$17:$E$3016,'דוח הוצאות בפועל (4)'!$B$17:$B$3016,'בית ספר - תקצוב לפי מוסד (9)'!$G1009,'דוח הוצאות בפועל (4)'!$M$17:$M$3016,"ני")+SUMIFS('דוח הוצאות בפועל (4)'!$E$17:$E$3016,'דוח הוצאות בפועל (4)'!$B$17:$B$3016,'בית ספר - תקצוב לפי מוסד (9)'!$G1009,'דוח הוצאות בפועל (4)'!$M$17:$M$3016,"על"),0)-Y1030</f>
        <v>0</v>
      </c>
      <c r="H1030" s="117">
        <f>H1011</f>
        <v>0</v>
      </c>
      <c r="I1030" s="138">
        <f>IFERROR(G1030/H1030,0)</f>
        <v>0</v>
      </c>
      <c r="J1030" s="117">
        <f>IFERROR(IF(G1030/H1032&gt;0.15,MIN(H1032*0.15,H1030),MIN(H1030,IF(ISNUMBER(G1030),G1030,0))),0)</f>
        <v>0</v>
      </c>
      <c r="K1030" s="120">
        <f>MAX(H1030-G1030,0)</f>
        <v>0</v>
      </c>
      <c r="L1030" s="407"/>
      <c r="M1030" s="393"/>
      <c r="N1030" s="393"/>
      <c r="O1030" s="602"/>
      <c r="P1030" s="620">
        <f>IF(I1030&lt;100%,MIN(H1030-G1030,H1030*0.25),0)</f>
        <v>0</v>
      </c>
      <c r="Q1030" s="620">
        <f>MAX(MIN(IF(G1030-H1030&gt;0,G1030-H1030,0),$H1032*0.15-H1030-J1031),0)</f>
        <v>0</v>
      </c>
      <c r="R1030" s="596"/>
      <c r="S1030" s="610" t="s">
        <v>3</v>
      </c>
      <c r="T1030" s="599">
        <f>G1009</f>
        <v>0</v>
      </c>
      <c r="U1030" s="578"/>
      <c r="V1030" s="579">
        <f t="shared" ref="V1030" si="147">G1030</f>
        <v>0</v>
      </c>
      <c r="W1030" s="579">
        <f t="shared" si="144"/>
        <v>0</v>
      </c>
      <c r="X1030" s="579"/>
      <c r="Y1030" s="879"/>
      <c r="Z1030" s="121"/>
      <c r="AA1030" s="143"/>
      <c r="AB1030" s="143"/>
      <c r="AC1030" s="504">
        <v>0</v>
      </c>
      <c r="AD1030" s="505">
        <f t="shared" si="145"/>
        <v>0</v>
      </c>
      <c r="AE1030" s="143"/>
      <c r="AG1030" s="22"/>
      <c r="AH1030" s="22"/>
      <c r="AI1030" s="22"/>
      <c r="AJ1030" s="22"/>
      <c r="AK1030" s="22"/>
      <c r="AL1030" s="22"/>
      <c r="AM1030" s="22"/>
      <c r="AN1030" s="22"/>
      <c r="AO1030" s="22"/>
      <c r="AP1030" s="22"/>
      <c r="AQ1030" s="22"/>
      <c r="AR1030" s="22"/>
      <c r="AS1030" s="22"/>
      <c r="AT1030" s="22"/>
      <c r="AU1030" s="35"/>
      <c r="AV1030" s="35"/>
      <c r="AW1030" s="35"/>
      <c r="AX1030" s="35"/>
      <c r="AY1030" s="35"/>
      <c r="AZ1030" s="35"/>
      <c r="BA1030" s="35"/>
      <c r="BB1030" s="35"/>
      <c r="BC1030" s="35"/>
      <c r="BD1030" s="35"/>
      <c r="BE1030" s="35"/>
      <c r="BF1030" s="35"/>
      <c r="BG1030" s="35"/>
      <c r="BH1030" s="35"/>
      <c r="BI1030" s="35"/>
      <c r="BJ1030" s="35"/>
      <c r="BK1030" s="35"/>
      <c r="BL1030" s="35"/>
      <c r="BM1030" s="35"/>
      <c r="BN1030" s="35"/>
      <c r="BO1030" s="86"/>
    </row>
    <row r="1031" spans="1:67" s="55" customFormat="1" ht="15.75" customHeight="1" x14ac:dyDescent="0.25">
      <c r="A1031" s="520">
        <f>IFERROR(VLOOKUP($G$5,'רשימת רשויות'!A:C,3,0),0)</f>
        <v>0</v>
      </c>
      <c r="B1031" s="520">
        <f t="shared" si="139"/>
        <v>0</v>
      </c>
      <c r="C1031" s="39"/>
      <c r="D1031" s="1134"/>
      <c r="E1031" s="1137"/>
      <c r="F1031" s="589" t="s">
        <v>2918</v>
      </c>
      <c r="G1031" s="117">
        <f>0.07*(G1025+G1024)</f>
        <v>0</v>
      </c>
      <c r="H1031" s="117">
        <f>H1013</f>
        <v>0</v>
      </c>
      <c r="I1031" s="138">
        <f>IFERROR(G1031/H1031,0)</f>
        <v>0</v>
      </c>
      <c r="J1031" s="117">
        <f>IFERROR(MIN(0.07*(G1024+G1025),0.07*I1013),0)</f>
        <v>0</v>
      </c>
      <c r="K1031" s="120">
        <f>MAX(H1031-G1031,0)</f>
        <v>0</v>
      </c>
      <c r="L1031" s="407"/>
      <c r="M1031" s="393"/>
      <c r="N1031" s="393"/>
      <c r="O1031" s="602"/>
      <c r="P1031" s="620"/>
      <c r="Q1031" s="619"/>
      <c r="R1031" s="596"/>
      <c r="S1031" s="611"/>
      <c r="T1031" s="599">
        <f>G1009</f>
        <v>0</v>
      </c>
      <c r="U1031" s="578"/>
      <c r="V1031" s="579"/>
      <c r="W1031" s="579">
        <f t="shared" si="144"/>
        <v>0</v>
      </c>
      <c r="X1031" s="579"/>
      <c r="Y1031" s="879"/>
      <c r="Z1031" s="121"/>
      <c r="AA1031" s="143"/>
      <c r="AB1031" s="143"/>
      <c r="AC1031" s="504"/>
      <c r="AD1031" s="505"/>
      <c r="AE1031" s="143"/>
      <c r="AF1031" s="140"/>
      <c r="AG1031" s="22"/>
      <c r="AH1031" s="22"/>
      <c r="AI1031" s="22"/>
      <c r="AJ1031" s="22"/>
      <c r="AK1031" s="22"/>
      <c r="AL1031" s="22"/>
      <c r="AM1031" s="22"/>
      <c r="AN1031" s="22"/>
      <c r="AO1031" s="22"/>
      <c r="AP1031" s="22"/>
      <c r="AQ1031" s="22"/>
      <c r="AR1031" s="22"/>
      <c r="AS1031" s="22"/>
      <c r="AT1031" s="22"/>
      <c r="AU1031" s="35"/>
      <c r="AV1031" s="35"/>
      <c r="AW1031" s="35"/>
      <c r="AX1031" s="35"/>
      <c r="AY1031" s="35"/>
      <c r="AZ1031" s="35"/>
      <c r="BA1031" s="35"/>
      <c r="BB1031" s="35"/>
      <c r="BC1031" s="35"/>
      <c r="BD1031" s="35"/>
      <c r="BE1031" s="35"/>
      <c r="BF1031" s="35"/>
      <c r="BG1031" s="35"/>
      <c r="BH1031" s="35"/>
      <c r="BI1031" s="35"/>
      <c r="BJ1031" s="35"/>
      <c r="BK1031" s="35"/>
      <c r="BL1031" s="35"/>
      <c r="BM1031" s="35"/>
      <c r="BN1031" s="35"/>
      <c r="BO1031" s="86"/>
    </row>
    <row r="1032" spans="1:67" ht="15.75" customHeight="1" x14ac:dyDescent="0.25">
      <c r="A1032" s="520">
        <f>IFERROR(VLOOKUP($G$5,'רשימת רשויות'!A:C,3,0),0)</f>
        <v>0</v>
      </c>
      <c r="B1032" s="520">
        <f t="shared" si="139"/>
        <v>0</v>
      </c>
      <c r="D1032" s="1134"/>
      <c r="E1032" s="1137"/>
      <c r="F1032" s="591" t="s">
        <v>15</v>
      </c>
      <c r="G1032" s="134">
        <f>G1029+G1030+G1031</f>
        <v>0</v>
      </c>
      <c r="H1032" s="134">
        <f>H1029+H1030+H1031</f>
        <v>0</v>
      </c>
      <c r="I1032" s="138">
        <f>IFERROR(G1032/H1032,0)</f>
        <v>0</v>
      </c>
      <c r="J1032" s="139">
        <f>J1029+J1030+J1031</f>
        <v>0</v>
      </c>
      <c r="K1032" s="137">
        <f>K1030+K1029+K1031</f>
        <v>0</v>
      </c>
      <c r="L1032" s="408"/>
      <c r="M1032" s="394"/>
      <c r="N1032" s="394"/>
      <c r="O1032" s="602"/>
      <c r="P1032" s="621">
        <f>SUM(P1029:P1030)</f>
        <v>0</v>
      </c>
      <c r="Q1032" s="622">
        <f>Q1029+Q1030</f>
        <v>0</v>
      </c>
      <c r="R1032" s="596"/>
      <c r="S1032" s="611"/>
      <c r="T1032" s="599">
        <f>G1009</f>
        <v>0</v>
      </c>
      <c r="U1032" s="578"/>
      <c r="V1032" s="579"/>
      <c r="W1032" s="579">
        <f t="shared" si="144"/>
        <v>0</v>
      </c>
      <c r="X1032" s="579"/>
      <c r="Y1032" s="879"/>
      <c r="Z1032" s="106"/>
      <c r="AC1032" s="504"/>
      <c r="AD1032" s="505"/>
      <c r="AH1032" s="143"/>
      <c r="BO1032" s="86"/>
    </row>
    <row r="1033" spans="1:67" ht="15.75" customHeight="1" x14ac:dyDescent="0.25">
      <c r="A1033" s="520">
        <f>IFERROR(VLOOKUP($G$5,'רשימת רשויות'!A:C,3,0),0)</f>
        <v>0</v>
      </c>
      <c r="B1033" s="520">
        <f t="shared" si="139"/>
        <v>0</v>
      </c>
      <c r="D1033" s="1134"/>
      <c r="E1033" s="1137"/>
      <c r="F1033" s="589" t="s">
        <v>2261</v>
      </c>
      <c r="G1033" s="117">
        <f>IF(G1014="תקין",SUMIF('תשלומי הורים ומלגות להורים (5) '!$B$18:$B$517,$G1009,'תשלומי הורים ומלגות להורים (5) '!$C$18:$C$517),0)</f>
        <v>0</v>
      </c>
      <c r="H1033" s="117">
        <f>(G1012+G1013)*$G$7</f>
        <v>0</v>
      </c>
      <c r="I1033" s="141"/>
      <c r="J1033" s="141"/>
      <c r="K1033" s="142"/>
      <c r="L1033" s="395"/>
      <c r="M1033" s="395"/>
      <c r="N1033" s="395"/>
      <c r="O1033" s="602"/>
      <c r="P1033" s="623"/>
      <c r="Q1033" s="619"/>
      <c r="R1033" s="596"/>
      <c r="S1033" s="612"/>
      <c r="T1033" s="599">
        <f>G1009</f>
        <v>0</v>
      </c>
      <c r="U1033" s="578"/>
      <c r="V1033" s="579"/>
      <c r="W1033" s="579">
        <f t="shared" si="144"/>
        <v>0</v>
      </c>
      <c r="X1033" s="579"/>
      <c r="Y1033" s="879"/>
      <c r="Z1033" s="121"/>
      <c r="AA1033" s="143"/>
      <c r="AB1033" s="143"/>
      <c r="AC1033" s="504"/>
      <c r="AD1033" s="505"/>
      <c r="AE1033" s="143"/>
      <c r="AF1033" s="148"/>
      <c r="BO1033" s="86"/>
    </row>
    <row r="1034" spans="1:67" ht="15.75" customHeight="1" thickBot="1" x14ac:dyDescent="0.3">
      <c r="A1034" s="520">
        <f>IFERROR(VLOOKUP($G$5,'רשימת רשויות'!A:C,3,0),0)</f>
        <v>0</v>
      </c>
      <c r="B1034" s="520">
        <f t="shared" si="139"/>
        <v>0</v>
      </c>
      <c r="D1034" s="1134"/>
      <c r="E1034" s="1137"/>
      <c r="F1034" s="592" t="s">
        <v>21</v>
      </c>
      <c r="G1034" s="144">
        <f>G1032-G1033</f>
        <v>0</v>
      </c>
      <c r="H1034" s="144">
        <f>H1032-H1033</f>
        <v>0</v>
      </c>
      <c r="I1034" s="145"/>
      <c r="J1034" s="145"/>
      <c r="K1034" s="146"/>
      <c r="L1034" s="396"/>
      <c r="M1034" s="396"/>
      <c r="N1034" s="396"/>
      <c r="O1034" s="602"/>
      <c r="P1034" s="619"/>
      <c r="Q1034" s="619"/>
      <c r="R1034" s="596"/>
      <c r="S1034" s="612"/>
      <c r="T1034" s="599">
        <f>G1009</f>
        <v>0</v>
      </c>
      <c r="U1034" s="578"/>
      <c r="V1034" s="579"/>
      <c r="W1034" s="579">
        <f t="shared" si="144"/>
        <v>0</v>
      </c>
      <c r="X1034" s="579"/>
      <c r="Y1034" s="879"/>
      <c r="Z1034" s="147"/>
      <c r="AA1034" s="148"/>
      <c r="AB1034" s="148"/>
      <c r="AC1034" s="504"/>
      <c r="AD1034" s="505"/>
      <c r="AE1034" s="148"/>
      <c r="AF1034" s="148"/>
      <c r="BO1034" s="86"/>
    </row>
    <row r="1035" spans="1:67" ht="15.75" customHeight="1" thickBot="1" x14ac:dyDescent="0.3">
      <c r="A1035" s="520">
        <f>IFERROR(VLOOKUP($G$5,'רשימת רשויות'!A:C,3,0),0)</f>
        <v>0</v>
      </c>
      <c r="B1035" s="520">
        <f t="shared" si="139"/>
        <v>0</v>
      </c>
      <c r="D1035" s="1134"/>
      <c r="E1035" s="1137"/>
      <c r="F1035" s="580"/>
      <c r="G1035" s="580"/>
      <c r="H1035" s="147"/>
      <c r="I1035" s="149" t="s">
        <v>2197</v>
      </c>
      <c r="J1035" s="150">
        <f>MAX(MIN(P1032,Q1032),0)</f>
        <v>0</v>
      </c>
      <c r="K1035" s="580"/>
      <c r="L1035" s="580"/>
      <c r="M1035" s="580"/>
      <c r="N1035" s="580"/>
      <c r="O1035" s="580"/>
      <c r="P1035" s="615" t="s">
        <v>2317</v>
      </c>
      <c r="Q1035" s="624">
        <f>SUM(Q1036:Q1037)</f>
        <v>0</v>
      </c>
      <c r="R1035" s="596"/>
      <c r="S1035" s="612"/>
      <c r="T1035" s="599">
        <f>G1009</f>
        <v>0</v>
      </c>
      <c r="U1035" s="578"/>
      <c r="V1035" s="579"/>
      <c r="W1035" s="579">
        <f t="shared" si="144"/>
        <v>0</v>
      </c>
      <c r="X1035" s="579"/>
      <c r="Y1035" s="879"/>
      <c r="Z1035" s="106"/>
      <c r="AC1035" s="504"/>
      <c r="AD1035" s="505"/>
      <c r="AF1035" s="148"/>
      <c r="BO1035" s="86"/>
    </row>
    <row r="1036" spans="1:67" ht="16.5" thickBot="1" x14ac:dyDescent="0.3">
      <c r="A1036" s="520">
        <f>IFERROR(VLOOKUP($G$5,'רשימת רשויות'!A:C,3,0),0)</f>
        <v>0</v>
      </c>
      <c r="B1036" s="520">
        <f t="shared" si="139"/>
        <v>0</v>
      </c>
      <c r="D1036" s="1134"/>
      <c r="E1036" s="1137"/>
      <c r="F1036" s="580"/>
      <c r="G1036" s="580"/>
      <c r="H1036" s="580"/>
      <c r="I1036" s="84" t="s">
        <v>2193</v>
      </c>
      <c r="J1036" s="515" t="str">
        <f>IFERROR(1-H1033/H1032,"")</f>
        <v/>
      </c>
      <c r="K1036" s="580"/>
      <c r="L1036" s="580"/>
      <c r="M1036" s="580"/>
      <c r="N1036" s="580"/>
      <c r="O1036" s="580"/>
      <c r="P1036" s="615" t="s">
        <v>417</v>
      </c>
      <c r="Q1036" s="616">
        <f>IFERROR(MAX(H1034-I1037-Q1037,0),0)</f>
        <v>0</v>
      </c>
      <c r="R1036" s="596"/>
      <c r="S1036" s="600"/>
      <c r="T1036" s="599">
        <f>G1009</f>
        <v>0</v>
      </c>
      <c r="U1036" s="578"/>
      <c r="V1036" s="579"/>
      <c r="W1036" s="579">
        <f t="shared" si="144"/>
        <v>0</v>
      </c>
      <c r="X1036" s="579"/>
      <c r="Y1036" s="879"/>
      <c r="Z1036" s="106"/>
      <c r="AC1036" s="504"/>
      <c r="AD1036" s="505"/>
      <c r="BO1036" s="86"/>
    </row>
    <row r="1037" spans="1:67" ht="17.25" thickBot="1" x14ac:dyDescent="0.3">
      <c r="A1037" s="520">
        <f>IFERROR(VLOOKUP($G$5,'רשימת רשויות'!A:C,3,0),0)</f>
        <v>0</v>
      </c>
      <c r="B1037" s="520">
        <f t="shared" si="139"/>
        <v>0</v>
      </c>
      <c r="D1037" s="1134"/>
      <c r="E1037" s="1137"/>
      <c r="F1037" s="1143" t="s">
        <v>2679</v>
      </c>
      <c r="G1037" s="1143"/>
      <c r="H1037" s="1143"/>
      <c r="I1037" s="722">
        <f>IF(G1014="לא תקין","לא קיימת זכאות לתקציב לאור אי איוש משרות רכז ו/או סגן רכז ",IFERROR(J1036*(J1035+J1032),0))</f>
        <v>0</v>
      </c>
      <c r="J1037" s="573"/>
      <c r="K1037" s="574"/>
      <c r="L1037" s="396"/>
      <c r="M1037" s="574"/>
      <c r="N1037" s="574"/>
      <c r="O1037" s="574"/>
      <c r="P1037" s="615" t="s">
        <v>2279</v>
      </c>
      <c r="Q1037" s="616">
        <f>MAX(IF(AND(G1032&gt;H1032,I1037&lt;H1034),H1034-I1037,0),0)</f>
        <v>0</v>
      </c>
      <c r="R1037" s="575"/>
      <c r="S1037" s="576" t="s">
        <v>67</v>
      </c>
      <c r="T1037" s="577">
        <f>G1009</f>
        <v>0</v>
      </c>
      <c r="U1037" s="578"/>
      <c r="V1037" s="579">
        <f>I1037</f>
        <v>0</v>
      </c>
      <c r="W1037" s="579">
        <f>IFERROR(U1037-V1037,0)</f>
        <v>0</v>
      </c>
      <c r="X1037" s="579">
        <f>SUM(X1023:X1036)</f>
        <v>0</v>
      </c>
      <c r="Y1037" s="879"/>
      <c r="Z1037" s="106"/>
      <c r="AC1037" s="506">
        <v>0</v>
      </c>
      <c r="AD1037" s="507">
        <f>IFERROR(U1037-AC1037,0)</f>
        <v>0</v>
      </c>
      <c r="BO1037" s="86"/>
    </row>
    <row r="1038" spans="1:67" ht="16.5" thickBot="1" x14ac:dyDescent="0.3">
      <c r="A1038" s="520">
        <f>IFERROR(VLOOKUP($G$5,'רשימת רשויות'!A:C,3,0),0)</f>
        <v>0</v>
      </c>
      <c r="B1038" s="520">
        <f t="shared" ref="B1038:B1101" si="148">IF(F1039="סמל המוסד",G1039,B1037)</f>
        <v>0</v>
      </c>
      <c r="D1038" s="1135"/>
      <c r="E1038" s="1138"/>
      <c r="F1038" s="1144" t="s">
        <v>2793</v>
      </c>
      <c r="G1038" s="1145"/>
      <c r="H1038" s="1145"/>
      <c r="I1038" s="593">
        <f>IFERROR(IF(G1014="תקין",SUMIFS('סייעות רפואיות או אישיות (7)'!$Q$17:Q$384,'סייעות רפואיות או אישיות (7)'!C$17:C$384,G1009),0),0)</f>
        <v>0</v>
      </c>
      <c r="J1038" s="151"/>
      <c r="K1038" s="152"/>
      <c r="L1038" s="409"/>
      <c r="M1038" s="152"/>
      <c r="N1038" s="152"/>
      <c r="O1038" s="152"/>
      <c r="P1038" s="613"/>
      <c r="Q1038" s="614"/>
      <c r="R1038" s="475"/>
      <c r="S1038" s="489"/>
      <c r="T1038" s="490"/>
      <c r="U1038" s="491"/>
      <c r="V1038" s="492"/>
      <c r="W1038" s="492"/>
      <c r="X1038" s="492"/>
      <c r="Y1038" s="880"/>
      <c r="Z1038" s="153"/>
      <c r="AC1038" s="581"/>
      <c r="AD1038" s="582"/>
      <c r="BO1038" s="86"/>
    </row>
    <row r="1039" spans="1:67" ht="34.5" thickBot="1" x14ac:dyDescent="0.55000000000000004">
      <c r="A1039" s="520">
        <f>IFERROR(VLOOKUP($G$5,'רשימת רשויות'!A:C,3,0),0)</f>
        <v>0</v>
      </c>
      <c r="B1039" s="520">
        <f t="shared" si="148"/>
        <v>0</v>
      </c>
      <c r="E1039" s="154"/>
      <c r="I1039" s="143"/>
      <c r="J1039" s="148"/>
      <c r="O1039" s="148"/>
      <c r="T1039" s="481"/>
      <c r="BO1039" s="86"/>
    </row>
    <row r="1040" spans="1:67" s="20" customFormat="1" ht="16.5" customHeight="1" thickBot="1" x14ac:dyDescent="0.3">
      <c r="A1040" s="520">
        <f>IFERROR(VLOOKUP($G$5,'רשימת רשויות'!A:C,3,0),0)</f>
        <v>0</v>
      </c>
      <c r="B1040" s="520">
        <f t="shared" si="148"/>
        <v>0</v>
      </c>
      <c r="C1040" s="39"/>
      <c r="D1040" s="1133">
        <f>D1009+1</f>
        <v>34</v>
      </c>
      <c r="E1040" s="1136" t="str">
        <f>IFERROR(CONCATENATE("בית הספר ",VLOOKUP(G1040,'מצבת והרשמה (2)'!$C$21:$D$520,2,0)," - ",$G$5),"")</f>
        <v>בית הספר המוסד לא קיים - 0</v>
      </c>
      <c r="F1040" s="720" t="s">
        <v>146</v>
      </c>
      <c r="G1040" s="721">
        <f>IFERROR(VLOOKUP(D:D,'דוח ביצוע (3)'!$A$21:$C$900,2,0),0)</f>
        <v>0</v>
      </c>
      <c r="H1040" s="79"/>
      <c r="I1040" s="80" t="s">
        <v>150</v>
      </c>
      <c r="J1040" s="80"/>
      <c r="K1040" s="81"/>
      <c r="L1040" s="392"/>
      <c r="M1040" s="392"/>
      <c r="N1040" s="392"/>
      <c r="O1040" s="82"/>
      <c r="P1040" s="470"/>
      <c r="Q1040" s="471"/>
      <c r="R1040" s="472"/>
      <c r="S1040" s="883"/>
      <c r="T1040" s="884"/>
      <c r="U1040" s="486"/>
      <c r="V1040" s="487"/>
      <c r="W1040" s="487"/>
      <c r="X1040" s="487"/>
      <c r="Y1040" s="885"/>
      <c r="Z1040" s="83"/>
      <c r="AC1040" s="502"/>
      <c r="AD1040" s="503"/>
      <c r="AO1040" s="22"/>
      <c r="AP1040" s="22"/>
      <c r="AQ1040" s="22"/>
      <c r="AR1040" s="22"/>
      <c r="AS1040" s="22"/>
      <c r="AT1040" s="22"/>
      <c r="AU1040" s="35"/>
      <c r="AV1040" s="35"/>
      <c r="AW1040" s="35"/>
      <c r="AX1040" s="35"/>
      <c r="AY1040" s="35"/>
      <c r="AZ1040" s="35"/>
      <c r="BA1040" s="35"/>
      <c r="BB1040" s="35"/>
      <c r="BC1040" s="35"/>
      <c r="BD1040" s="35"/>
      <c r="BE1040" s="35"/>
      <c r="BF1040" s="35"/>
      <c r="BG1040" s="35"/>
      <c r="BH1040" s="35"/>
      <c r="BI1040" s="35"/>
      <c r="BJ1040" s="35"/>
      <c r="BK1040" s="35"/>
      <c r="BL1040" s="35"/>
      <c r="BM1040" s="35"/>
      <c r="BN1040" s="35"/>
      <c r="BO1040" s="78"/>
    </row>
    <row r="1041" spans="1:67" s="20" customFormat="1" ht="16.5" thickBot="1" x14ac:dyDescent="0.3">
      <c r="A1041" s="520">
        <f>IFERROR(VLOOKUP($G$5,'רשימת רשויות'!A:C,3,0),0)</f>
        <v>0</v>
      </c>
      <c r="B1041" s="520">
        <f t="shared" si="148"/>
        <v>0</v>
      </c>
      <c r="C1041" s="39"/>
      <c r="D1041" s="1134"/>
      <c r="E1041" s="1137"/>
      <c r="F1041" s="583" t="s">
        <v>145</v>
      </c>
      <c r="G1041" s="516" t="str">
        <f>IFERROR(IF((G1043+G1044)=0,"",IF(VLOOKUP(G1040,'דוח ביצוע (3)'!$B$21:$K$900,5,0)&gt;149,"גדול",IF(AND(VLOOKUP(G1040,'דוח ביצוע (3)'!$B$21:$K$900,5,0)&gt;0,VLOOKUP(G1040,'דוח ביצוע (3)'!$B$21:$K$900,5,0)&lt;150),"קטן",0))),"")</f>
        <v/>
      </c>
      <c r="H1041" s="723" t="s">
        <v>88</v>
      </c>
      <c r="I1041" s="723" t="s">
        <v>13</v>
      </c>
      <c r="J1041" s="725" t="s">
        <v>14</v>
      </c>
      <c r="K1041" s="724" t="s">
        <v>94</v>
      </c>
      <c r="L1041" s="594"/>
      <c r="M1041" s="420" t="s">
        <v>2584</v>
      </c>
      <c r="N1041" s="397" t="s">
        <v>413</v>
      </c>
      <c r="O1041" s="398" t="s">
        <v>52</v>
      </c>
      <c r="P1041" s="595"/>
      <c r="Q1041" s="595"/>
      <c r="R1041" s="596"/>
      <c r="S1041" s="610"/>
      <c r="T1041" s="881"/>
      <c r="U1041" s="598"/>
      <c r="V1041" s="599"/>
      <c r="W1041" s="599"/>
      <c r="X1041" s="599"/>
      <c r="Y1041" s="879"/>
      <c r="Z1041" s="85"/>
      <c r="AC1041" s="493"/>
      <c r="AD1041" s="495"/>
      <c r="AO1041" s="22"/>
      <c r="AP1041" s="22"/>
      <c r="AQ1041" s="22"/>
      <c r="AR1041" s="22"/>
      <c r="AS1041" s="22"/>
      <c r="AT1041" s="22"/>
      <c r="AU1041" s="35"/>
      <c r="AV1041" s="35"/>
      <c r="AW1041" s="35"/>
      <c r="AX1041" s="35"/>
      <c r="AY1041" s="35"/>
      <c r="AZ1041" s="35"/>
      <c r="BA1041" s="35"/>
      <c r="BB1041" s="35"/>
      <c r="BC1041" s="35"/>
      <c r="BD1041" s="35"/>
      <c r="BE1041" s="35"/>
      <c r="BF1041" s="35"/>
      <c r="BG1041" s="35"/>
      <c r="BH1041" s="35"/>
      <c r="BI1041" s="35"/>
      <c r="BJ1041" s="35"/>
      <c r="BK1041" s="35"/>
      <c r="BL1041" s="35"/>
      <c r="BM1041" s="35"/>
      <c r="BN1041" s="35"/>
      <c r="BO1041" s="78"/>
    </row>
    <row r="1042" spans="1:67" s="20" customFormat="1" ht="15.75" customHeight="1" thickBot="1" x14ac:dyDescent="0.3">
      <c r="A1042" s="520">
        <f>IFERROR(VLOOKUP($G$5,'רשימת רשויות'!A:C,3,0),0)</f>
        <v>0</v>
      </c>
      <c r="B1042" s="520">
        <f t="shared" si="148"/>
        <v>0</v>
      </c>
      <c r="C1042" s="39"/>
      <c r="D1042" s="1134"/>
      <c r="E1042" s="1137"/>
      <c r="F1042" s="584" t="s">
        <v>144</v>
      </c>
      <c r="G1042" s="87">
        <f>IF(G1045="תקין",IFERROR(VLOOKUP($G1040,'דוח ביצוע (3)'!$B$21:$Q$900,12,0),0),0)</f>
        <v>0</v>
      </c>
      <c r="H1042" s="88">
        <f>IFERROR(G1043*$AH$6+G1044*$AH$7,0)</f>
        <v>0</v>
      </c>
      <c r="I1042" s="88">
        <f>IFERROR(G1043*$AI$6+G1044*$AI$7,0)</f>
        <v>0</v>
      </c>
      <c r="J1042" s="88">
        <f>IFERROR(G1043*$AJ$6+G1044*$AJ$7,0)</f>
        <v>0</v>
      </c>
      <c r="K1042" s="88">
        <f>IFERROR(G1043*$AK$6+G1044*$AK$7,0)</f>
        <v>0</v>
      </c>
      <c r="L1042" s="405"/>
      <c r="M1042" s="399" t="s">
        <v>427</v>
      </c>
      <c r="N1042" s="400" t="str">
        <f>IFERROR(VLOOKUP($G1040,'דוח ביצוע (3)'!$B:$AE,28,0),"")</f>
        <v/>
      </c>
      <c r="O1042" s="89" t="str">
        <f>IFERROR(VLOOKUP($G1040,'דוח ביצוע (3)'!B:AE,29,0),"")</f>
        <v/>
      </c>
      <c r="P1042" s="595"/>
      <c r="Q1042" s="595"/>
      <c r="R1042" s="596"/>
      <c r="S1042" s="610"/>
      <c r="T1042" s="881"/>
      <c r="U1042" s="598"/>
      <c r="V1042" s="599"/>
      <c r="W1042" s="599"/>
      <c r="X1042" s="599"/>
      <c r="Y1042" s="879"/>
      <c r="Z1042" s="85"/>
      <c r="AC1042" s="493"/>
      <c r="AD1042" s="495"/>
      <c r="AO1042" s="22"/>
      <c r="AP1042" s="22"/>
      <c r="AQ1042" s="22"/>
      <c r="AR1042" s="22"/>
      <c r="AS1042" s="22"/>
      <c r="AT1042" s="22"/>
      <c r="AU1042" s="35"/>
      <c r="AV1042" s="35"/>
      <c r="AW1042" s="35"/>
      <c r="AX1042" s="35"/>
      <c r="AY1042" s="35"/>
      <c r="AZ1042" s="35"/>
      <c r="BA1042" s="35"/>
      <c r="BB1042" s="35"/>
      <c r="BC1042" s="35"/>
      <c r="BD1042" s="35"/>
      <c r="BE1042" s="35"/>
      <c r="BF1042" s="35"/>
      <c r="BG1042" s="35"/>
      <c r="BH1042" s="35"/>
      <c r="BI1042" s="35"/>
      <c r="BJ1042" s="35"/>
      <c r="BK1042" s="35"/>
      <c r="BL1042" s="35"/>
      <c r="BM1042" s="35"/>
      <c r="BN1042" s="35"/>
      <c r="BO1042" s="78"/>
    </row>
    <row r="1043" spans="1:67" s="20" customFormat="1" ht="32.25" thickBot="1" x14ac:dyDescent="0.3">
      <c r="A1043" s="520">
        <f>IFERROR(VLOOKUP($G$5,'רשימת רשויות'!A:C,3,0),0)</f>
        <v>0</v>
      </c>
      <c r="B1043" s="520">
        <f t="shared" si="148"/>
        <v>0</v>
      </c>
      <c r="C1043" s="39"/>
      <c r="D1043" s="1134"/>
      <c r="E1043" s="1137"/>
      <c r="F1043" s="585" t="s">
        <v>2195</v>
      </c>
      <c r="G1043" s="89">
        <f>IF(G1045="תקין",MAX(N1045,0),0)</f>
        <v>0</v>
      </c>
      <c r="H1043" s="725" t="s">
        <v>151</v>
      </c>
      <c r="I1043" s="725" t="s">
        <v>91</v>
      </c>
      <c r="J1043" s="970" t="s">
        <v>3396</v>
      </c>
      <c r="K1043" s="601"/>
      <c r="L1043" s="601"/>
      <c r="M1043" s="983" t="s">
        <v>2585</v>
      </c>
      <c r="N1043" s="400" t="str">
        <f>IFERROR(G1042/15*N1042*1.25,"")</f>
        <v/>
      </c>
      <c r="O1043" s="89" t="str">
        <f>IFERROR(G1042/15*O1042*1.25,"")</f>
        <v/>
      </c>
      <c r="P1043" s="595"/>
      <c r="Q1043" s="595"/>
      <c r="R1043" s="596"/>
      <c r="S1043" s="610"/>
      <c r="T1043" s="881"/>
      <c r="U1043" s="598"/>
      <c r="V1043" s="599"/>
      <c r="W1043" s="599"/>
      <c r="X1043" s="599"/>
      <c r="Y1043" s="879"/>
      <c r="Z1043" s="85"/>
      <c r="AC1043" s="493"/>
      <c r="AD1043" s="495"/>
      <c r="AG1043" s="22"/>
      <c r="AH1043" s="55"/>
      <c r="AI1043" s="55"/>
      <c r="AJ1043" s="55"/>
      <c r="AK1043" s="55"/>
      <c r="AO1043" s="22"/>
      <c r="AP1043" s="22"/>
      <c r="AQ1043" s="22"/>
      <c r="AR1043" s="22"/>
      <c r="AS1043" s="22"/>
      <c r="AT1043" s="22"/>
      <c r="AU1043" s="35"/>
      <c r="AV1043" s="35"/>
      <c r="AW1043" s="35"/>
      <c r="AX1043" s="35"/>
      <c r="AY1043" s="35"/>
      <c r="AZ1043" s="35"/>
      <c r="BA1043" s="35"/>
      <c r="BB1043" s="35"/>
      <c r="BC1043" s="35"/>
      <c r="BD1043" s="35"/>
      <c r="BE1043" s="35"/>
      <c r="BF1043" s="35"/>
      <c r="BG1043" s="35"/>
      <c r="BH1043" s="35"/>
      <c r="BI1043" s="35"/>
      <c r="BJ1043" s="35"/>
      <c r="BK1043" s="35"/>
      <c r="BL1043" s="35"/>
      <c r="BM1043" s="35"/>
      <c r="BN1043" s="35"/>
      <c r="BO1043" s="86"/>
    </row>
    <row r="1044" spans="1:67" s="20" customFormat="1" ht="16.5" thickBot="1" x14ac:dyDescent="0.3">
      <c r="A1044" s="520">
        <f>IFERROR(VLOOKUP($G$5,'רשימת רשויות'!A:C,3,0),0)</f>
        <v>0</v>
      </c>
      <c r="B1044" s="520">
        <f t="shared" si="148"/>
        <v>0</v>
      </c>
      <c r="C1044" s="39"/>
      <c r="D1044" s="1134"/>
      <c r="E1044" s="1137"/>
      <c r="F1044" s="585" t="s">
        <v>2196</v>
      </c>
      <c r="G1044" s="89">
        <f>IF(G1045="תקין",MAX(O1045,0),0)</f>
        <v>0</v>
      </c>
      <c r="H1044" s="88">
        <f>(IFERROR(IF((G1043+G1044)=0,0,IF(G1041="קטן",G1042*$AH$10,G1042*$AH$11)),0))+(IFERROR(IF((G1043+G1044)=0,0,VLOOKUP(G1040,'דוח ביצוע (3)'!$B:$AH,33,0)),0))</f>
        <v>0</v>
      </c>
      <c r="I1044" s="88">
        <f>IFERROR(IF((G1043+G1044)=0,0,IF(G1041="קטן",G1042*$AI$10,G1042*$AI$11)),0)</f>
        <v>0</v>
      </c>
      <c r="J1044" s="88">
        <f>IFERROR(IF((G1043+G1044)=0,0,VLOOKUP(G1040,'דוח ביצוע (3)'!$B:$AH,32,0)),0)</f>
        <v>0</v>
      </c>
      <c r="K1044" s="90"/>
      <c r="L1044" s="90"/>
      <c r="M1044" s="399" t="s">
        <v>412</v>
      </c>
      <c r="N1044" s="400">
        <f>IFERROR(VLOOKUP($G1040,'דוח ביצוע (3)'!$B$21:$U$500,18,0),0)</f>
        <v>0</v>
      </c>
      <c r="O1044" s="401">
        <f>IFERROR(VLOOKUP($G1040,'דוח ביצוע (3)'!$B$21:$U$500,19,0),0)</f>
        <v>0</v>
      </c>
      <c r="P1044" s="595"/>
      <c r="Q1044" s="595"/>
      <c r="R1044" s="596"/>
      <c r="S1044" s="610"/>
      <c r="T1044" s="881"/>
      <c r="U1044" s="598"/>
      <c r="V1044" s="599"/>
      <c r="W1044" s="599"/>
      <c r="X1044" s="599"/>
      <c r="Y1044" s="879"/>
      <c r="Z1044" s="85"/>
      <c r="AC1044" s="493"/>
      <c r="AD1044" s="495"/>
      <c r="AG1044" s="22"/>
      <c r="AH1044" s="55"/>
      <c r="AI1044" s="55"/>
      <c r="AJ1044" s="55"/>
      <c r="AK1044" s="55"/>
      <c r="AO1044" s="22"/>
      <c r="AP1044" s="22"/>
      <c r="AQ1044" s="22"/>
      <c r="AR1044" s="22"/>
      <c r="AS1044" s="22"/>
      <c r="AT1044" s="22"/>
      <c r="AU1044" s="35"/>
      <c r="AV1044" s="35"/>
      <c r="AW1044" s="35"/>
      <c r="AX1044" s="35"/>
      <c r="AY1044" s="35"/>
      <c r="AZ1044" s="35"/>
      <c r="BA1044" s="35"/>
      <c r="BB1044" s="35"/>
      <c r="BC1044" s="35"/>
      <c r="BD1044" s="35"/>
      <c r="BE1044" s="35"/>
      <c r="BF1044" s="35"/>
      <c r="BG1044" s="35"/>
      <c r="BH1044" s="35"/>
      <c r="BI1044" s="35"/>
      <c r="BJ1044" s="35"/>
      <c r="BK1044" s="35"/>
      <c r="BL1044" s="35"/>
      <c r="BM1044" s="35"/>
      <c r="BN1044" s="35"/>
      <c r="BO1044" s="86"/>
    </row>
    <row r="1045" spans="1:67" s="20" customFormat="1" ht="16.5" thickBot="1" x14ac:dyDescent="0.3">
      <c r="A1045" s="520">
        <f>IFERROR(VLOOKUP($G$5,'רשימת רשויות'!A:C,3,0),0)</f>
        <v>0</v>
      </c>
      <c r="B1045" s="520">
        <f t="shared" si="148"/>
        <v>0</v>
      </c>
      <c r="C1045" s="39"/>
      <c r="D1045" s="1134"/>
      <c r="E1045" s="1137"/>
      <c r="F1045" s="586" t="s">
        <v>2355</v>
      </c>
      <c r="G1045" s="514">
        <f>IFERROR(IF(VLOOKUP('בית ספר - תקצוב לפי מוסד (9)'!G1040,' איוש משרות (8)'!$C:$K,9,0)="תקין","תקין","לא תקין"),0)</f>
        <v>0</v>
      </c>
      <c r="H1045" s="91"/>
      <c r="I1045" s="91"/>
      <c r="J1045" s="91"/>
      <c r="K1045" s="90"/>
      <c r="L1045" s="90"/>
      <c r="M1045" s="402" t="s">
        <v>2586</v>
      </c>
      <c r="N1045" s="403">
        <f>IFERROR(MIN(N1043,N1044),0)</f>
        <v>0</v>
      </c>
      <c r="O1045" s="404">
        <f>IFERROR(MIN(O1043,O1044),0)</f>
        <v>0</v>
      </c>
      <c r="P1045" s="595"/>
      <c r="Q1045" s="595"/>
      <c r="R1045" s="596"/>
      <c r="S1045" s="610"/>
      <c r="T1045" s="881"/>
      <c r="U1045" s="598"/>
      <c r="V1045" s="599"/>
      <c r="W1045" s="599"/>
      <c r="X1045" s="599"/>
      <c r="Y1045" s="879"/>
      <c r="Z1045" s="85"/>
      <c r="AC1045" s="493"/>
      <c r="AD1045" s="495"/>
      <c r="AG1045" s="94"/>
      <c r="AH1045" s="40"/>
      <c r="AI1045" s="40"/>
      <c r="AJ1045" s="40"/>
      <c r="AK1045" s="40"/>
      <c r="AO1045" s="22"/>
      <c r="AP1045" s="22"/>
      <c r="AQ1045" s="22"/>
      <c r="AR1045" s="22"/>
      <c r="AS1045" s="22"/>
      <c r="AT1045" s="22"/>
      <c r="AU1045" s="35"/>
      <c r="AV1045" s="35"/>
      <c r="AW1045" s="35"/>
      <c r="AX1045" s="35"/>
      <c r="AY1045" s="35"/>
      <c r="AZ1045" s="35"/>
      <c r="BA1045" s="35"/>
      <c r="BB1045" s="35"/>
      <c r="BC1045" s="35"/>
      <c r="BD1045" s="35"/>
      <c r="BE1045" s="35"/>
      <c r="BF1045" s="35"/>
      <c r="BG1045" s="35"/>
      <c r="BH1045" s="35"/>
      <c r="BI1045" s="35"/>
      <c r="BJ1045" s="35"/>
      <c r="BK1045" s="35"/>
      <c r="BL1045" s="35"/>
      <c r="BM1045" s="35"/>
      <c r="BN1045" s="35"/>
      <c r="BO1045" s="86"/>
    </row>
    <row r="1046" spans="1:67" s="55" customFormat="1" ht="37.15" customHeight="1" thickBot="1" x14ac:dyDescent="0.3">
      <c r="A1046" s="520">
        <f>IFERROR(VLOOKUP($G$5,'רשימת רשויות'!A:C,3,0),0)</f>
        <v>0</v>
      </c>
      <c r="B1046" s="520">
        <f t="shared" si="148"/>
        <v>0</v>
      </c>
      <c r="C1046" s="39"/>
      <c r="D1046" s="1134"/>
      <c r="E1046" s="1137"/>
      <c r="F1046" s="587" t="s">
        <v>142</v>
      </c>
      <c r="G1046" s="92"/>
      <c r="H1046" s="92"/>
      <c r="I1046" s="92"/>
      <c r="J1046" s="92"/>
      <c r="K1046" s="602"/>
      <c r="L1046" s="602"/>
      <c r="M1046" s="602"/>
      <c r="N1046" s="602"/>
      <c r="O1046" s="602"/>
      <c r="P1046" s="595"/>
      <c r="Q1046" s="595"/>
      <c r="R1046" s="596"/>
      <c r="S1046" s="610"/>
      <c r="T1046" s="881"/>
      <c r="U1046" s="598"/>
      <c r="V1046" s="599"/>
      <c r="W1046" s="599"/>
      <c r="X1046" s="599"/>
      <c r="Y1046" s="879"/>
      <c r="Z1046" s="93"/>
      <c r="AC1046" s="493"/>
      <c r="AD1046" s="495"/>
      <c r="AF1046" s="22"/>
      <c r="AG1046" s="98"/>
      <c r="AH1046" s="98"/>
      <c r="AI1046" s="40"/>
      <c r="AJ1046" s="40"/>
      <c r="AK1046" s="40"/>
      <c r="AO1046" s="22"/>
      <c r="AP1046" s="22"/>
      <c r="AQ1046" s="22"/>
      <c r="AR1046" s="22"/>
      <c r="AS1046" s="22"/>
      <c r="AT1046" s="22"/>
      <c r="AU1046" s="35"/>
      <c r="AV1046" s="35"/>
      <c r="AW1046" s="35"/>
      <c r="AX1046" s="35"/>
      <c r="AY1046" s="35"/>
      <c r="AZ1046" s="35"/>
      <c r="BA1046" s="35"/>
      <c r="BB1046" s="35"/>
      <c r="BC1046" s="35"/>
      <c r="BD1046" s="35"/>
      <c r="BE1046" s="35"/>
      <c r="BF1046" s="35"/>
      <c r="BG1046" s="35"/>
      <c r="BH1046" s="35"/>
      <c r="BI1046" s="35"/>
      <c r="BJ1046" s="35"/>
      <c r="BK1046" s="35"/>
      <c r="BL1046" s="35"/>
      <c r="BM1046" s="35"/>
      <c r="BN1046" s="35"/>
      <c r="BO1046" s="86"/>
    </row>
    <row r="1047" spans="1:67" s="40" customFormat="1" ht="31.5" x14ac:dyDescent="0.25">
      <c r="A1047" s="520">
        <f>IFERROR(VLOOKUP($G$5,'רשימת רשויות'!A:C,3,0),0)</f>
        <v>0</v>
      </c>
      <c r="B1047" s="520">
        <f t="shared" si="148"/>
        <v>0</v>
      </c>
      <c r="C1047" s="39"/>
      <c r="D1047" s="1134"/>
      <c r="E1047" s="1137"/>
      <c r="F1047" s="588" t="s">
        <v>94</v>
      </c>
      <c r="G1047" s="95" t="s">
        <v>18</v>
      </c>
      <c r="H1047" s="95" t="s">
        <v>19</v>
      </c>
      <c r="I1047" s="95" t="s">
        <v>138</v>
      </c>
      <c r="J1047" s="96" t="s">
        <v>139</v>
      </c>
      <c r="K1047" s="603"/>
      <c r="L1047" s="603"/>
      <c r="M1047" s="603"/>
      <c r="N1047" s="603"/>
      <c r="O1047" s="603"/>
      <c r="P1047" s="604"/>
      <c r="Q1047" s="604"/>
      <c r="R1047" s="596"/>
      <c r="S1047" s="610"/>
      <c r="T1047" s="881"/>
      <c r="U1047" s="598"/>
      <c r="V1047" s="599"/>
      <c r="W1047" s="599"/>
      <c r="X1047" s="599"/>
      <c r="Y1047" s="879"/>
      <c r="Z1047" s="97"/>
      <c r="AA1047" s="94"/>
      <c r="AB1047" s="94"/>
      <c r="AC1047" s="493"/>
      <c r="AD1047" s="495"/>
      <c r="AE1047" s="94"/>
      <c r="AG1047" s="98"/>
      <c r="AH1047" s="98"/>
      <c r="AO1047" s="22"/>
      <c r="AP1047" s="22"/>
      <c r="AQ1047" s="22"/>
      <c r="AR1047" s="22"/>
      <c r="AS1047" s="22"/>
      <c r="AT1047" s="22"/>
      <c r="AU1047" s="35"/>
      <c r="AV1047" s="35"/>
      <c r="AW1047" s="35"/>
      <c r="AX1047" s="35"/>
      <c r="AY1047" s="35"/>
      <c r="AZ1047" s="35"/>
      <c r="BA1047" s="35"/>
      <c r="BB1047" s="35"/>
      <c r="BC1047" s="35"/>
      <c r="BD1047" s="35"/>
      <c r="BE1047" s="35"/>
      <c r="BF1047" s="35"/>
      <c r="BG1047" s="35"/>
      <c r="BH1047" s="35"/>
      <c r="BI1047" s="35"/>
      <c r="BJ1047" s="35"/>
      <c r="BK1047" s="35"/>
      <c r="BL1047" s="35"/>
      <c r="BM1047" s="35"/>
      <c r="BN1047" s="35"/>
      <c r="BO1047" s="86"/>
    </row>
    <row r="1048" spans="1:67" s="40" customFormat="1" ht="15.75" customHeight="1" thickBot="1" x14ac:dyDescent="0.3">
      <c r="A1048" s="520">
        <f>IFERROR(VLOOKUP($G$5,'רשימת רשויות'!A:C,3,0),0)</f>
        <v>0</v>
      </c>
      <c r="B1048" s="520">
        <f t="shared" si="148"/>
        <v>0</v>
      </c>
      <c r="C1048" s="39"/>
      <c r="D1048" s="1134"/>
      <c r="E1048" s="1137"/>
      <c r="F1048" s="589" t="s">
        <v>2280</v>
      </c>
      <c r="G1048" s="99">
        <f>+G1059</f>
        <v>0</v>
      </c>
      <c r="H1048" s="100">
        <f>K1042</f>
        <v>0</v>
      </c>
      <c r="I1048" s="100">
        <f>H1048-I1050</f>
        <v>0</v>
      </c>
      <c r="J1048" s="101">
        <f>IFERROR(I1048/H1048,0)</f>
        <v>0</v>
      </c>
      <c r="K1048" s="603"/>
      <c r="L1048" s="603"/>
      <c r="M1048" s="603"/>
      <c r="N1048" s="603"/>
      <c r="O1048" s="603"/>
      <c r="P1048" s="605"/>
      <c r="Q1048" s="604"/>
      <c r="R1048" s="606" t="s">
        <v>157</v>
      </c>
      <c r="S1048" s="611"/>
      <c r="T1048" s="881"/>
      <c r="U1048" s="598"/>
      <c r="V1048" s="599"/>
      <c r="W1048" s="599"/>
      <c r="X1048" s="599"/>
      <c r="Y1048" s="879"/>
      <c r="Z1048" s="102"/>
      <c r="AA1048" s="122"/>
      <c r="AB1048" s="122"/>
      <c r="AC1048" s="493"/>
      <c r="AD1048" s="495"/>
      <c r="AE1048" s="122"/>
      <c r="AF1048" s="22"/>
      <c r="AG1048" s="98"/>
      <c r="AH1048" s="98"/>
      <c r="AI1048" s="20"/>
      <c r="AO1048" s="22"/>
      <c r="AP1048" s="22"/>
      <c r="AQ1048" s="22"/>
      <c r="AR1048" s="22"/>
      <c r="AS1048" s="22"/>
      <c r="AT1048" s="22"/>
      <c r="AU1048" s="35"/>
      <c r="AV1048" s="35"/>
      <c r="AW1048" s="35"/>
      <c r="AX1048" s="35"/>
      <c r="AY1048" s="35"/>
      <c r="AZ1048" s="35"/>
      <c r="BA1048" s="35"/>
      <c r="BB1048" s="35"/>
      <c r="BC1048" s="35"/>
      <c r="BD1048" s="35"/>
      <c r="BE1048" s="35"/>
      <c r="BF1048" s="35"/>
      <c r="BG1048" s="35"/>
      <c r="BH1048" s="35"/>
      <c r="BI1048" s="35"/>
      <c r="BJ1048" s="35"/>
      <c r="BK1048" s="35"/>
      <c r="BL1048" s="35"/>
      <c r="BM1048" s="35"/>
      <c r="BN1048" s="35"/>
      <c r="BO1048" s="86"/>
    </row>
    <row r="1049" spans="1:67" s="40" customFormat="1" ht="15.75" customHeight="1" thickBot="1" x14ac:dyDescent="0.3">
      <c r="A1049" s="520">
        <f>IFERROR(VLOOKUP($G$5,'רשימת רשויות'!A:C,3,0),0)</f>
        <v>0</v>
      </c>
      <c r="B1049" s="520">
        <f t="shared" si="148"/>
        <v>0</v>
      </c>
      <c r="C1049" s="39"/>
      <c r="D1049" s="1134"/>
      <c r="E1049" s="1137"/>
      <c r="F1049" s="589" t="s">
        <v>2281</v>
      </c>
      <c r="G1049" s="99">
        <f>+G1058</f>
        <v>0</v>
      </c>
      <c r="H1049" s="103"/>
      <c r="I1049" s="104"/>
      <c r="J1049" s="105"/>
      <c r="K1049" s="603"/>
      <c r="L1049" s="603"/>
      <c r="M1049" s="603"/>
      <c r="N1049" s="603"/>
      <c r="O1049" s="603"/>
      <c r="P1049" s="605"/>
      <c r="Q1049" s="604"/>
      <c r="R1049" s="473">
        <f>I1050-R1051</f>
        <v>0</v>
      </c>
      <c r="S1049" s="611"/>
      <c r="T1049" s="881"/>
      <c r="U1049" s="598"/>
      <c r="V1049" s="599"/>
      <c r="W1049" s="599"/>
      <c r="X1049" s="599"/>
      <c r="Y1049" s="879"/>
      <c r="Z1049" s="106"/>
      <c r="AA1049" s="22"/>
      <c r="AB1049" s="22"/>
      <c r="AC1049" s="493"/>
      <c r="AD1049" s="495"/>
      <c r="AE1049" s="22"/>
      <c r="AF1049" s="22"/>
      <c r="AG1049" s="98"/>
      <c r="AH1049" s="98"/>
      <c r="AI1049" s="20"/>
      <c r="AO1049" s="22"/>
      <c r="AP1049" s="22"/>
      <c r="AQ1049" s="22"/>
      <c r="AR1049" s="22"/>
      <c r="AS1049" s="22"/>
      <c r="AT1049" s="22"/>
      <c r="AU1049" s="35"/>
      <c r="AV1049" s="35"/>
      <c r="AW1049" s="35"/>
      <c r="AX1049" s="35"/>
      <c r="AY1049" s="35"/>
      <c r="AZ1049" s="35"/>
      <c r="BA1049" s="35"/>
      <c r="BB1049" s="35"/>
      <c r="BC1049" s="35"/>
      <c r="BD1049" s="35"/>
      <c r="BE1049" s="35"/>
      <c r="BF1049" s="35"/>
      <c r="BG1049" s="35"/>
      <c r="BH1049" s="35"/>
      <c r="BI1049" s="35"/>
      <c r="BJ1049" s="35"/>
      <c r="BK1049" s="35"/>
      <c r="BL1049" s="35"/>
      <c r="BM1049" s="35"/>
      <c r="BN1049" s="35"/>
      <c r="BO1049" s="86"/>
    </row>
    <row r="1050" spans="1:67" s="40" customFormat="1" ht="16.5" customHeight="1" thickBot="1" x14ac:dyDescent="0.3">
      <c r="A1050" s="520">
        <f>IFERROR(VLOOKUP($G$5,'רשימת רשויות'!A:C,3,0),0)</f>
        <v>0</v>
      </c>
      <c r="B1050" s="520">
        <f t="shared" si="148"/>
        <v>0</v>
      </c>
      <c r="C1050" s="39"/>
      <c r="D1050" s="1134"/>
      <c r="E1050" s="1137"/>
      <c r="F1050" s="589" t="s">
        <v>2282</v>
      </c>
      <c r="G1050" s="99">
        <f>G1054+G1055+G1056</f>
        <v>0</v>
      </c>
      <c r="H1050" s="104"/>
      <c r="I1050" s="107">
        <f>MAX(H1048-G1048-G1049,0)</f>
        <v>0</v>
      </c>
      <c r="J1050" s="108">
        <f>IFERROR(I1050/H1048,0)</f>
        <v>0</v>
      </c>
      <c r="K1050" s="603"/>
      <c r="L1050" s="603"/>
      <c r="M1050" s="603"/>
      <c r="N1050" s="603"/>
      <c r="O1050" s="603"/>
      <c r="P1050" s="604"/>
      <c r="Q1050" s="604"/>
      <c r="R1050" s="606" t="s">
        <v>158</v>
      </c>
      <c r="S1050" s="612"/>
      <c r="T1050" s="881"/>
      <c r="U1050" s="598"/>
      <c r="V1050" s="599"/>
      <c r="W1050" s="599"/>
      <c r="X1050" s="599"/>
      <c r="Y1050" s="879"/>
      <c r="Z1050" s="106"/>
      <c r="AA1050" s="22"/>
      <c r="AB1050" s="22"/>
      <c r="AC1050" s="493"/>
      <c r="AD1050" s="495"/>
      <c r="AE1050" s="22"/>
      <c r="AF1050" s="22"/>
      <c r="AG1050" s="22"/>
      <c r="AH1050" s="22"/>
      <c r="AI1050" s="55"/>
      <c r="AJ1050" s="22"/>
      <c r="AK1050" s="22"/>
      <c r="AO1050" s="22"/>
      <c r="AP1050" s="22"/>
      <c r="AQ1050" s="22"/>
      <c r="AR1050" s="22"/>
      <c r="AS1050" s="22"/>
      <c r="AT1050" s="22"/>
      <c r="AU1050" s="35"/>
      <c r="AV1050" s="35"/>
      <c r="AW1050" s="35"/>
      <c r="AX1050" s="35"/>
      <c r="AY1050" s="35"/>
      <c r="AZ1050" s="35"/>
      <c r="BA1050" s="35"/>
      <c r="BB1050" s="35"/>
      <c r="BC1050" s="35"/>
      <c r="BD1050" s="35"/>
      <c r="BE1050" s="35"/>
      <c r="BF1050" s="35"/>
      <c r="BG1050" s="35"/>
      <c r="BH1050" s="35"/>
      <c r="BI1050" s="35"/>
      <c r="BJ1050" s="35"/>
      <c r="BK1050" s="35"/>
      <c r="BL1050" s="35"/>
      <c r="BM1050" s="35"/>
      <c r="BN1050" s="35"/>
      <c r="BO1050" s="86"/>
    </row>
    <row r="1051" spans="1:67" s="40" customFormat="1" ht="15.75" customHeight="1" thickBot="1" x14ac:dyDescent="0.3">
      <c r="A1051" s="520">
        <f>IFERROR(VLOOKUP($G$5,'רשימת רשויות'!A:C,3,0),0)</f>
        <v>0</v>
      </c>
      <c r="B1051" s="520">
        <f t="shared" si="148"/>
        <v>0</v>
      </c>
      <c r="C1051" s="39"/>
      <c r="D1051" s="1134"/>
      <c r="E1051" s="1137"/>
      <c r="F1051" s="590" t="s">
        <v>2290</v>
      </c>
      <c r="G1051" s="109"/>
      <c r="H1051" s="110"/>
      <c r="I1051" s="111">
        <f>SUM(I1048:I1050)</f>
        <v>0</v>
      </c>
      <c r="J1051" s="112">
        <f>SUM(J1048:J1050)</f>
        <v>0</v>
      </c>
      <c r="K1051" s="603"/>
      <c r="L1051" s="603"/>
      <c r="M1051" s="603"/>
      <c r="N1051" s="603"/>
      <c r="O1051" s="603"/>
      <c r="P1051" s="604"/>
      <c r="Q1051" s="604"/>
      <c r="R1051" s="473">
        <f>MIN(MAX(G1055+G1056-I1044-J1044,0),I1050)</f>
        <v>0</v>
      </c>
      <c r="S1051" s="612"/>
      <c r="T1051" s="881"/>
      <c r="U1051" s="598"/>
      <c r="V1051" s="599"/>
      <c r="W1051" s="599"/>
      <c r="X1051" s="599"/>
      <c r="Y1051" s="879"/>
      <c r="Z1051" s="106"/>
      <c r="AA1051" s="22"/>
      <c r="AB1051" s="22"/>
      <c r="AC1051" s="493"/>
      <c r="AD1051" s="495"/>
      <c r="AE1051" s="22"/>
      <c r="AF1051" s="22"/>
      <c r="AG1051" s="22"/>
      <c r="AH1051" s="22"/>
      <c r="AJ1051" s="22"/>
      <c r="AK1051" s="22"/>
      <c r="AO1051" s="22"/>
      <c r="AP1051" s="22"/>
      <c r="AQ1051" s="22"/>
      <c r="AR1051" s="22"/>
      <c r="AS1051" s="22"/>
      <c r="AT1051" s="22"/>
      <c r="AU1051" s="35"/>
      <c r="AV1051" s="35"/>
      <c r="AW1051" s="35"/>
      <c r="AX1051" s="35"/>
      <c r="AY1051" s="35"/>
      <c r="AZ1051" s="35"/>
      <c r="BA1051" s="35"/>
      <c r="BB1051" s="35"/>
      <c r="BC1051" s="35"/>
      <c r="BD1051" s="35"/>
      <c r="BE1051" s="35"/>
      <c r="BF1051" s="35"/>
      <c r="BG1051" s="35"/>
      <c r="BH1051" s="35"/>
      <c r="BI1051" s="35"/>
      <c r="BJ1051" s="35"/>
      <c r="BK1051" s="35"/>
      <c r="BL1051" s="35"/>
      <c r="BM1051" s="35"/>
      <c r="BN1051" s="35"/>
      <c r="BO1051" s="86"/>
    </row>
    <row r="1052" spans="1:67" ht="16.5" thickBot="1" x14ac:dyDescent="0.3">
      <c r="A1052" s="520">
        <f>IFERROR(VLOOKUP($G$5,'רשימת רשויות'!A:C,3,0),0)</f>
        <v>0</v>
      </c>
      <c r="B1052" s="520">
        <f t="shared" si="148"/>
        <v>0</v>
      </c>
      <c r="D1052" s="1134"/>
      <c r="E1052" s="1137"/>
      <c r="F1052" s="587" t="s">
        <v>17</v>
      </c>
      <c r="G1052" s="113"/>
      <c r="H1052" s="92"/>
      <c r="I1052" s="114"/>
      <c r="J1052" s="115"/>
      <c r="K1052" s="116"/>
      <c r="L1052" s="406"/>
      <c r="M1052" s="116"/>
      <c r="N1052" s="116"/>
      <c r="O1052" s="116"/>
      <c r="P1052" s="474"/>
      <c r="Q1052" s="607"/>
      <c r="R1052" s="608"/>
      <c r="S1052" s="612"/>
      <c r="T1052" s="881"/>
      <c r="U1052" s="598"/>
      <c r="V1052" s="599"/>
      <c r="W1052" s="599"/>
      <c r="X1052" s="599"/>
      <c r="Y1052" s="879"/>
      <c r="Z1052" s="106"/>
      <c r="AI1052" s="40"/>
      <c r="BO1052" s="86"/>
    </row>
    <row r="1053" spans="1:67" ht="47.25" x14ac:dyDescent="0.25">
      <c r="A1053" s="520">
        <f>IFERROR(VLOOKUP($G$5,'רשימת רשויות'!A:C,3,0),0)</f>
        <v>0</v>
      </c>
      <c r="B1053" s="520">
        <f t="shared" si="148"/>
        <v>0</v>
      </c>
      <c r="D1053" s="1134"/>
      <c r="E1053" s="1137"/>
      <c r="F1053" s="588" t="s">
        <v>2</v>
      </c>
      <c r="G1053" s="95" t="s">
        <v>18</v>
      </c>
      <c r="H1053" s="95" t="s">
        <v>19</v>
      </c>
      <c r="I1053" s="95" t="s">
        <v>20</v>
      </c>
      <c r="J1053" s="95" t="s">
        <v>22</v>
      </c>
      <c r="K1053" s="96" t="s">
        <v>2314</v>
      </c>
      <c r="L1053" s="609"/>
      <c r="M1053" s="609"/>
      <c r="N1053" s="609"/>
      <c r="O1053" s="580"/>
      <c r="P1053" s="618" t="s">
        <v>2298</v>
      </c>
      <c r="Q1053" s="618" t="s">
        <v>2299</v>
      </c>
      <c r="R1053" s="596"/>
      <c r="S1053" s="890" t="s">
        <v>2519</v>
      </c>
      <c r="T1053" s="890" t="s">
        <v>97</v>
      </c>
      <c r="U1053" s="891" t="s">
        <v>2521</v>
      </c>
      <c r="V1053" s="892" t="s">
        <v>2520</v>
      </c>
      <c r="W1053" s="893" t="s">
        <v>2524</v>
      </c>
      <c r="X1053" s="892" t="s">
        <v>2522</v>
      </c>
      <c r="Y1053" s="894" t="s">
        <v>2523</v>
      </c>
      <c r="Z1053" s="106"/>
      <c r="AC1053" s="498" t="s">
        <v>2568</v>
      </c>
      <c r="AD1053" s="499" t="s">
        <v>2569</v>
      </c>
      <c r="AF1053" s="122"/>
      <c r="AI1053" s="40"/>
      <c r="BO1053" s="86"/>
    </row>
    <row r="1054" spans="1:67" ht="15" customHeight="1" thickBot="1" x14ac:dyDescent="0.3">
      <c r="A1054" s="520">
        <f>IFERROR(VLOOKUP($G$5,'רשימת רשויות'!A:C,3,0),0)</f>
        <v>0</v>
      </c>
      <c r="B1054" s="520">
        <f t="shared" si="148"/>
        <v>0</v>
      </c>
      <c r="D1054" s="1134"/>
      <c r="E1054" s="1137"/>
      <c r="F1054" s="589" t="s">
        <v>76</v>
      </c>
      <c r="G1054" s="117">
        <f>IF(G1045="תקין",SUMIF('עלויות כח אדם (6)'!$B$15:$B$3014,'בית ספר - תקצוב לפי מוסד (9)'!$G1040,'עלויות כח אדם (6)'!$M$15:$M$3014)-VLOOKUP('בית ספר - תקצוב לפי מוסד (9)'!G1040,' איוש משרות (8)'!$C:$H,5,0)-VLOOKUP('בית ספר - תקצוב לפי מוסד (9)'!G1040,' איוש משרות (8)'!$C:$H,6,0),0)-Y1054</f>
        <v>0</v>
      </c>
      <c r="H1054" s="118">
        <f>I1042+R1049</f>
        <v>0</v>
      </c>
      <c r="I1054" s="119">
        <f>IFERROR(SUM(G1054)/H1054,0)</f>
        <v>0</v>
      </c>
      <c r="J1054" s="100">
        <f>MIN(I1042+R1049,IF(ISNUMBER(G1054),G1054,0))</f>
        <v>0</v>
      </c>
      <c r="K1054" s="120">
        <f>MAX(H1054-G1054,0)</f>
        <v>0</v>
      </c>
      <c r="L1054" s="407"/>
      <c r="M1054" s="393"/>
      <c r="N1054" s="393"/>
      <c r="O1054" s="580"/>
      <c r="P1054" s="968">
        <f>IFERROR(IF(SUM(G1054)/(I1042)&lt;100%,MIN((I1042)-SUM(G1054),(I1042)*0.25),0),0)</f>
        <v>0</v>
      </c>
      <c r="Q1054" s="968">
        <f>IF(SUM(G1054)-(I1042+R1049)&gt;0,SUM(G1054)-(I1042+R1049),0)</f>
        <v>0</v>
      </c>
      <c r="R1054" s="596" t="s">
        <v>2351</v>
      </c>
      <c r="S1054" s="576" t="s">
        <v>2342</v>
      </c>
      <c r="T1054" s="599">
        <f>G1040</f>
        <v>0</v>
      </c>
      <c r="U1054" s="578"/>
      <c r="V1054" s="579">
        <f>G1054+G1055+G1056</f>
        <v>0</v>
      </c>
      <c r="W1054" s="579">
        <f>U1054-V1054</f>
        <v>0</v>
      </c>
      <c r="X1054" s="579">
        <f>IFERROR(W1068*W1054/(SUM(W1054:W1067)),0)</f>
        <v>0</v>
      </c>
      <c r="Y1054" s="879">
        <f>SUMIFS(בקרה!$S:$S,בקרה!$D:$D,T1054,בקרה!$K:$K,S1054)</f>
        <v>0</v>
      </c>
      <c r="Z1054" s="121"/>
      <c r="AA1054" s="143"/>
      <c r="AB1054" s="143"/>
      <c r="AC1054" s="504">
        <v>0</v>
      </c>
      <c r="AD1054" s="505">
        <f>IFERROR(U1054-AC1054,0)</f>
        <v>0</v>
      </c>
      <c r="AE1054" s="143"/>
      <c r="AI1054" s="20"/>
      <c r="BO1054" s="86"/>
    </row>
    <row r="1055" spans="1:67" ht="15" customHeight="1" thickBot="1" x14ac:dyDescent="0.3">
      <c r="A1055" s="520">
        <f>IFERROR(VLOOKUP($G$5,'רשימת רשויות'!A:C,3,0),0)</f>
        <v>0</v>
      </c>
      <c r="B1055" s="520">
        <f t="shared" si="148"/>
        <v>0</v>
      </c>
      <c r="D1055" s="1134"/>
      <c r="E1055" s="1137"/>
      <c r="F1055" s="589" t="s">
        <v>44</v>
      </c>
      <c r="G1055" s="123">
        <f>IF(G1045="תקין",IFERROR(VLOOKUP('בית ספר - תקצוב לפי מוסד (9)'!G1040,' איוש משרות (8)'!C:J,7,0),0),0)</f>
        <v>0</v>
      </c>
      <c r="H1055" s="124">
        <f>I1044+R1051+J1044</f>
        <v>0</v>
      </c>
      <c r="I1055" s="119">
        <f>IFERROR(SUM(G1055:G1056)/H1055,0)</f>
        <v>0</v>
      </c>
      <c r="J1055" s="100">
        <f>MIN(R1051+I1044,IF(ISNUMBER(SUM(G1055:G1056)),SUM(G1055:G1056),0))</f>
        <v>0</v>
      </c>
      <c r="K1055" s="1139">
        <f>MAX((H1055)-(G1055+G1056),0)</f>
        <v>0</v>
      </c>
      <c r="L1055" s="407"/>
      <c r="M1055" s="393"/>
      <c r="N1055" s="393"/>
      <c r="O1055" s="580"/>
      <c r="P1055" s="1140"/>
      <c r="Q1055" s="1140"/>
      <c r="R1055" s="617">
        <f>MAX(MIN(P1063-Q1063,H1063*0.15-G1061),0)</f>
        <v>0</v>
      </c>
      <c r="S1055" s="576"/>
      <c r="T1055" s="599">
        <f>G1040</f>
        <v>0</v>
      </c>
      <c r="U1055" s="578"/>
      <c r="V1055" s="579"/>
      <c r="W1055" s="579">
        <f t="shared" ref="W1055:W1067" si="149">U1055-V1055</f>
        <v>0</v>
      </c>
      <c r="X1055" s="579"/>
      <c r="Y1055" s="879"/>
      <c r="Z1055" s="121"/>
      <c r="AA1055" s="143"/>
      <c r="AB1055" s="143"/>
      <c r="AC1055" s="504"/>
      <c r="AD1055" s="505">
        <f t="shared" ref="AD1055:AD1061" si="150">IFERROR(U1055-AC1055,0)</f>
        <v>0</v>
      </c>
      <c r="AE1055" s="143"/>
      <c r="AI1055" s="20"/>
      <c r="BO1055" s="86"/>
    </row>
    <row r="1056" spans="1:67" ht="15.75" customHeight="1" x14ac:dyDescent="0.25">
      <c r="A1056" s="520">
        <f>IFERROR(VLOOKUP($G$5,'רשימת רשויות'!A:C,3,0),0)</f>
        <v>0</v>
      </c>
      <c r="B1056" s="520">
        <f t="shared" si="148"/>
        <v>0</v>
      </c>
      <c r="D1056" s="1134"/>
      <c r="E1056" s="1137"/>
      <c r="F1056" s="589" t="s">
        <v>45</v>
      </c>
      <c r="G1056" s="123">
        <f>IF(G1045="תקין",IFERROR(VLOOKUP('בית ספר - תקצוב לפי מוסד (9)'!G1040,' איוש משרות (8)'!C:J,8,0),0),0)</f>
        <v>0</v>
      </c>
      <c r="H1056" s="125"/>
      <c r="I1056" s="126"/>
      <c r="J1056" s="104"/>
      <c r="K1056" s="1139"/>
      <c r="L1056" s="407"/>
      <c r="M1056" s="393"/>
      <c r="N1056" s="393"/>
      <c r="O1056" s="580"/>
      <c r="P1056" s="1140"/>
      <c r="Q1056" s="1140"/>
      <c r="R1056" s="596"/>
      <c r="S1056" s="576"/>
      <c r="T1056" s="599">
        <f>G1040</f>
        <v>0</v>
      </c>
      <c r="U1056" s="578"/>
      <c r="V1056" s="579"/>
      <c r="W1056" s="579">
        <f t="shared" si="149"/>
        <v>0</v>
      </c>
      <c r="X1056" s="579"/>
      <c r="Y1056" s="879"/>
      <c r="Z1056" s="121"/>
      <c r="AA1056" s="143"/>
      <c r="AB1056" s="143"/>
      <c r="AC1056" s="504"/>
      <c r="AD1056" s="505">
        <f t="shared" si="150"/>
        <v>0</v>
      </c>
      <c r="AE1056" s="143"/>
      <c r="AG1056" s="55"/>
      <c r="AH1056" s="55"/>
      <c r="AI1056" s="55"/>
      <c r="AJ1056" s="55"/>
      <c r="AK1056" s="55"/>
      <c r="BO1056" s="86"/>
    </row>
    <row r="1057" spans="1:67" ht="15.75" customHeight="1" x14ac:dyDescent="0.25">
      <c r="A1057" s="520">
        <f>IFERROR(VLOOKUP($G$5,'רשימת רשויות'!A:C,3,0),0)</f>
        <v>0</v>
      </c>
      <c r="B1057" s="520">
        <f t="shared" si="148"/>
        <v>0</v>
      </c>
      <c r="D1057" s="1134"/>
      <c r="E1057" s="1137"/>
      <c r="F1057" s="589" t="s">
        <v>0</v>
      </c>
      <c r="G1057" s="117">
        <f>IF(G1045="תקין",SUMIFS('דוח הוצאות בפועל (4)'!$E$17:$E$3016,'דוח הוצאות בפועל (4)'!$B$17:$B$3016,'בית ספר - תקצוב לפי מוסד (9)'!$G1040,'דוח הוצאות בפועל (4)'!$M$17:$M$3016,"הע"),0)-Y1057</f>
        <v>0</v>
      </c>
      <c r="H1057" s="127">
        <f>J1042</f>
        <v>0</v>
      </c>
      <c r="I1057" s="128">
        <f>IFERROR(G1057/H1057,0)</f>
        <v>0</v>
      </c>
      <c r="J1057" s="129">
        <f>MIN(IF(ISNUMBER(G1057),G1057,0),H1057)</f>
        <v>0</v>
      </c>
      <c r="K1057" s="120">
        <f>MAX(H1057-G1057,0)</f>
        <v>0</v>
      </c>
      <c r="L1057" s="407"/>
      <c r="M1057" s="393"/>
      <c r="N1057" s="393"/>
      <c r="O1057" s="580"/>
      <c r="P1057" s="968">
        <f>MAX(IF(I1057&lt;100%,MIN((H1057-G1057),H1057*0.25),0),0)</f>
        <v>0</v>
      </c>
      <c r="Q1057" s="619">
        <f>IF(G1057-H1057&gt;0,G1057-H1057,0)</f>
        <v>0</v>
      </c>
      <c r="R1057" s="596"/>
      <c r="S1057" s="610" t="s">
        <v>0</v>
      </c>
      <c r="T1057" s="599">
        <f>G1040</f>
        <v>0</v>
      </c>
      <c r="U1057" s="578"/>
      <c r="V1057" s="579">
        <f>G1057</f>
        <v>0</v>
      </c>
      <c r="W1057" s="579">
        <f t="shared" si="149"/>
        <v>0</v>
      </c>
      <c r="X1057" s="579">
        <f>IFERROR(W1068*W1057/(SUM(W1054:W1067)),0)</f>
        <v>0</v>
      </c>
      <c r="Y1057" s="879">
        <f>SUMIFS(בקרה!$S:$S,בקרה!$D:$D,T1057,בקרה!$K:$K,S1057)</f>
        <v>0</v>
      </c>
      <c r="Z1057" s="121"/>
      <c r="AA1057" s="143"/>
      <c r="AB1057" s="143"/>
      <c r="AC1057" s="504">
        <v>0</v>
      </c>
      <c r="AD1057" s="505">
        <f t="shared" si="150"/>
        <v>0</v>
      </c>
      <c r="AE1057" s="143"/>
      <c r="AG1057" s="55"/>
      <c r="AH1057" s="55"/>
      <c r="AI1057" s="40"/>
      <c r="AJ1057" s="55"/>
      <c r="AK1057" s="55"/>
      <c r="BO1057" s="86"/>
    </row>
    <row r="1058" spans="1:67" s="55" customFormat="1" ht="15.75" customHeight="1" x14ac:dyDescent="0.25">
      <c r="A1058" s="520">
        <f>IFERROR(VLOOKUP($G$5,'רשימת רשויות'!A:C,3,0),0)</f>
        <v>0</v>
      </c>
      <c r="B1058" s="520">
        <f t="shared" si="148"/>
        <v>0</v>
      </c>
      <c r="C1058" s="39"/>
      <c r="D1058" s="1134"/>
      <c r="E1058" s="1137"/>
      <c r="F1058" s="589" t="s">
        <v>93</v>
      </c>
      <c r="G1058" s="130">
        <f>IF(G1045="תקין",SUMIFS('דוח הוצאות בפועל (4)'!$E$17:$E$3016,'דוח הוצאות בפועל (4)'!$B$17:$B$3016,'בית ספר - תקצוב לפי מוסד (9)'!$G1040,'דוח הוצאות בפועל (4)'!$M$17:$M$3016,"אר"),0)-Y1058</f>
        <v>0</v>
      </c>
      <c r="H1058" s="118">
        <f>$I1048</f>
        <v>0</v>
      </c>
      <c r="I1058" s="131">
        <f>IFERROR((G1058+G1059)/H1058,0)</f>
        <v>0</v>
      </c>
      <c r="J1058" s="100">
        <f>MIN((IF(ISNUMBER(G1058),G1058,0)+IF(ISNUMBER(G1059),G1059,0)),H1058)</f>
        <v>0</v>
      </c>
      <c r="K1058" s="1139">
        <f>MAX((H1058)-(G1058+G1059),0)</f>
        <v>0</v>
      </c>
      <c r="L1058" s="407"/>
      <c r="M1058" s="393"/>
      <c r="N1058" s="393"/>
      <c r="O1058" s="602"/>
      <c r="P1058" s="1141"/>
      <c r="Q1058" s="1142"/>
      <c r="R1058" s="596"/>
      <c r="S1058" s="610" t="s">
        <v>93</v>
      </c>
      <c r="T1058" s="599">
        <f>G1040</f>
        <v>0</v>
      </c>
      <c r="U1058" s="578"/>
      <c r="V1058" s="579">
        <f t="shared" ref="V1058:V1059" si="151">G1058</f>
        <v>0</v>
      </c>
      <c r="W1058" s="579">
        <f t="shared" si="149"/>
        <v>0</v>
      </c>
      <c r="X1058" s="579">
        <f>IFERROR(W1068*W1058/(SUM(W1054:W1067)),0)</f>
        <v>0</v>
      </c>
      <c r="Y1058" s="879">
        <f>SUMIFS(בקרה!$S:$S,בקרה!$D:$D,T1058,בקרה!$K:$K,S1058)</f>
        <v>0</v>
      </c>
      <c r="Z1058" s="121"/>
      <c r="AA1058" s="143"/>
      <c r="AB1058" s="143"/>
      <c r="AC1058" s="504">
        <v>0</v>
      </c>
      <c r="AD1058" s="505">
        <f t="shared" si="150"/>
        <v>0</v>
      </c>
      <c r="AE1058" s="143"/>
      <c r="AJ1058" s="22"/>
      <c r="AO1058" s="22"/>
      <c r="AP1058" s="22"/>
      <c r="AQ1058" s="22"/>
      <c r="AR1058" s="22"/>
      <c r="AS1058" s="22"/>
      <c r="AT1058" s="22"/>
      <c r="AU1058" s="35"/>
      <c r="AV1058" s="35"/>
      <c r="AW1058" s="35"/>
      <c r="AX1058" s="35"/>
      <c r="AY1058" s="35"/>
      <c r="AZ1058" s="35"/>
      <c r="BA1058" s="35"/>
      <c r="BB1058" s="35"/>
      <c r="BC1058" s="35"/>
      <c r="BD1058" s="35"/>
      <c r="BE1058" s="35"/>
      <c r="BF1058" s="35"/>
      <c r="BG1058" s="35"/>
      <c r="BH1058" s="35"/>
      <c r="BI1058" s="35"/>
      <c r="BJ1058" s="35"/>
      <c r="BK1058" s="35"/>
      <c r="BL1058" s="35"/>
      <c r="BM1058" s="35"/>
      <c r="BN1058" s="35"/>
      <c r="BO1058" s="86"/>
    </row>
    <row r="1059" spans="1:67" s="55" customFormat="1" ht="15.75" customHeight="1" x14ac:dyDescent="0.25">
      <c r="A1059" s="520">
        <f>IFERROR(VLOOKUP($G$5,'רשימת רשויות'!A:C,3,0),0)</f>
        <v>0</v>
      </c>
      <c r="B1059" s="520">
        <f t="shared" si="148"/>
        <v>0</v>
      </c>
      <c r="C1059" s="39"/>
      <c r="D1059" s="1134"/>
      <c r="E1059" s="1137"/>
      <c r="F1059" s="589" t="s">
        <v>46</v>
      </c>
      <c r="G1059" s="130">
        <f>IF(G1045="תקין",SUMIFS('דוח הוצאות בפועל (4)'!$E$17:$E$3016,'דוח הוצאות בפועל (4)'!$B$17:$B$3016,'בית ספר - תקצוב לפי מוסד (9)'!$G1040,'דוח הוצאות בפועל (4)'!$M$17:$M$3016,"מל"),0)-Y1059</f>
        <v>0</v>
      </c>
      <c r="H1059" s="132"/>
      <c r="I1059" s="133"/>
      <c r="J1059" s="104"/>
      <c r="K1059" s="1139"/>
      <c r="L1059" s="407"/>
      <c r="M1059" s="393"/>
      <c r="N1059" s="393"/>
      <c r="O1059" s="602"/>
      <c r="P1059" s="1141"/>
      <c r="Q1059" s="1142"/>
      <c r="R1059" s="596"/>
      <c r="S1059" s="610" t="s">
        <v>46</v>
      </c>
      <c r="T1059" s="599">
        <f>G1040</f>
        <v>0</v>
      </c>
      <c r="U1059" s="578"/>
      <c r="V1059" s="579">
        <f t="shared" si="151"/>
        <v>0</v>
      </c>
      <c r="W1059" s="579">
        <f t="shared" si="149"/>
        <v>0</v>
      </c>
      <c r="X1059" s="579">
        <f>IFERROR(W1068*W1059/(SUM(W1054:W1067)),0)</f>
        <v>0</v>
      </c>
      <c r="Y1059" s="879">
        <f>SUMIFS(בקרה!$S:$S,בקרה!$D:$D,T1059,בקרה!$K:$K,S1059)</f>
        <v>0</v>
      </c>
      <c r="Z1059" s="121"/>
      <c r="AA1059" s="143"/>
      <c r="AB1059" s="143"/>
      <c r="AC1059" s="504">
        <v>0</v>
      </c>
      <c r="AD1059" s="505">
        <f t="shared" si="150"/>
        <v>0</v>
      </c>
      <c r="AE1059" s="143"/>
      <c r="AJ1059" s="22"/>
      <c r="AO1059" s="22"/>
      <c r="AP1059" s="22"/>
      <c r="AQ1059" s="22"/>
      <c r="AR1059" s="22"/>
      <c r="AS1059" s="22"/>
      <c r="AT1059" s="22"/>
      <c r="AU1059" s="35"/>
      <c r="AV1059" s="35"/>
      <c r="AW1059" s="35"/>
      <c r="AX1059" s="35"/>
      <c r="AY1059" s="35"/>
      <c r="AZ1059" s="35"/>
      <c r="BA1059" s="35"/>
      <c r="BB1059" s="35"/>
      <c r="BC1059" s="35"/>
      <c r="BD1059" s="35"/>
      <c r="BE1059" s="35"/>
      <c r="BF1059" s="35"/>
      <c r="BG1059" s="35"/>
      <c r="BH1059" s="35"/>
      <c r="BI1059" s="35"/>
      <c r="BJ1059" s="35"/>
      <c r="BK1059" s="35"/>
      <c r="BL1059" s="35"/>
      <c r="BM1059" s="35"/>
      <c r="BN1059" s="35"/>
      <c r="BO1059" s="86"/>
    </row>
    <row r="1060" spans="1:67" s="55" customFormat="1" ht="15" customHeight="1" x14ac:dyDescent="0.25">
      <c r="A1060" s="520">
        <f>IFERROR(VLOOKUP($G$5,'רשימת רשויות'!A:C,3,0),0)</f>
        <v>0</v>
      </c>
      <c r="B1060" s="520">
        <f t="shared" si="148"/>
        <v>0</v>
      </c>
      <c r="C1060" s="39"/>
      <c r="D1060" s="1134"/>
      <c r="E1060" s="1137"/>
      <c r="F1060" s="591" t="s">
        <v>23</v>
      </c>
      <c r="G1060" s="134">
        <f>SUM(G1054:G1059)</f>
        <v>0</v>
      </c>
      <c r="H1060" s="135">
        <f>SUM(H1054:H1059)</f>
        <v>0</v>
      </c>
      <c r="I1060" s="128">
        <f>IFERROR(G1060/H1060,0)</f>
        <v>0</v>
      </c>
      <c r="J1060" s="136">
        <f>SUM(J1054:J1059)</f>
        <v>0</v>
      </c>
      <c r="K1060" s="137">
        <f>SUM(K1054:K1059)</f>
        <v>0</v>
      </c>
      <c r="L1060" s="408"/>
      <c r="M1060" s="394"/>
      <c r="N1060" s="394"/>
      <c r="O1060" s="602"/>
      <c r="P1060" s="620">
        <f>SUM(P1054:P1059)</f>
        <v>0</v>
      </c>
      <c r="Q1060" s="620">
        <f>SUM(Q1054:Q1059)</f>
        <v>0</v>
      </c>
      <c r="R1060" s="596"/>
      <c r="S1060" s="610"/>
      <c r="T1060" s="599">
        <f>G1040</f>
        <v>0</v>
      </c>
      <c r="U1060" s="578"/>
      <c r="V1060" s="579"/>
      <c r="W1060" s="579">
        <f t="shared" si="149"/>
        <v>0</v>
      </c>
      <c r="X1060" s="579"/>
      <c r="Y1060" s="879"/>
      <c r="Z1060" s="121"/>
      <c r="AA1060" s="143"/>
      <c r="AB1060" s="143"/>
      <c r="AC1060" s="504"/>
      <c r="AD1060" s="505">
        <f t="shared" si="150"/>
        <v>0</v>
      </c>
      <c r="AE1060" s="143"/>
      <c r="AJ1060" s="22"/>
      <c r="AL1060" s="22"/>
      <c r="AM1060" s="22"/>
      <c r="AN1060" s="22"/>
      <c r="AO1060" s="22"/>
      <c r="AP1060" s="22"/>
      <c r="AQ1060" s="22"/>
      <c r="AR1060" s="22"/>
      <c r="AS1060" s="22"/>
      <c r="AT1060" s="22"/>
      <c r="AU1060" s="35"/>
      <c r="AV1060" s="35"/>
      <c r="AW1060" s="35"/>
      <c r="AX1060" s="35"/>
      <c r="AY1060" s="35"/>
      <c r="AZ1060" s="35"/>
      <c r="BA1060" s="35"/>
      <c r="BB1060" s="35"/>
      <c r="BC1060" s="35"/>
      <c r="BD1060" s="35"/>
      <c r="BE1060" s="35"/>
      <c r="BF1060" s="35"/>
      <c r="BG1060" s="35"/>
      <c r="BH1060" s="35"/>
      <c r="BI1060" s="35"/>
      <c r="BJ1060" s="35"/>
      <c r="BK1060" s="35"/>
      <c r="BL1060" s="35"/>
      <c r="BM1060" s="35"/>
      <c r="BN1060" s="35"/>
      <c r="BO1060" s="86"/>
    </row>
    <row r="1061" spans="1:67" s="55" customFormat="1" ht="15" customHeight="1" x14ac:dyDescent="0.25">
      <c r="A1061" s="520">
        <f>IFERROR(VLOOKUP($G$5,'רשימת רשויות'!A:C,3,0),0)</f>
        <v>0</v>
      </c>
      <c r="B1061" s="520">
        <f t="shared" si="148"/>
        <v>0</v>
      </c>
      <c r="C1061" s="39"/>
      <c r="D1061" s="1134"/>
      <c r="E1061" s="1137"/>
      <c r="F1061" s="589" t="s">
        <v>3</v>
      </c>
      <c r="G1061" s="117">
        <f>IF(G1045="תקין",SUMIFS('דוח הוצאות בפועל (4)'!$E$17:$E$3016,'דוח הוצאות בפועל (4)'!$B$17:$B$3016,'בית ספר - תקצוב לפי מוסד (9)'!$G1040,'דוח הוצאות בפועל (4)'!$M$17:$M$3016,"ני")+SUMIFS('דוח הוצאות בפועל (4)'!$E$17:$E$3016,'דוח הוצאות בפועל (4)'!$B$17:$B$3016,'בית ספר - תקצוב לפי מוסד (9)'!$G1040,'דוח הוצאות בפועל (4)'!$M$17:$M$3016,"על"),0)-Y1061</f>
        <v>0</v>
      </c>
      <c r="H1061" s="117">
        <f>H1042</f>
        <v>0</v>
      </c>
      <c r="I1061" s="138">
        <f>IFERROR(G1061/H1061,0)</f>
        <v>0</v>
      </c>
      <c r="J1061" s="117">
        <f>IFERROR(IF(G1061/H1063&gt;0.15,MIN(H1063*0.15,H1061),MIN(H1061,IF(ISNUMBER(G1061),G1061,0))),0)</f>
        <v>0</v>
      </c>
      <c r="K1061" s="120">
        <f>MAX(H1061-G1061,0)</f>
        <v>0</v>
      </c>
      <c r="L1061" s="407"/>
      <c r="M1061" s="393"/>
      <c r="N1061" s="393"/>
      <c r="O1061" s="602"/>
      <c r="P1061" s="620">
        <f>IF(I1061&lt;100%,MIN(H1061-G1061,H1061*0.25),0)</f>
        <v>0</v>
      </c>
      <c r="Q1061" s="620">
        <f>MAX(MIN(IF(G1061-H1061&gt;0,G1061-H1061,0),$H1063*0.15-H1061-J1062),0)</f>
        <v>0</v>
      </c>
      <c r="R1061" s="596"/>
      <c r="S1061" s="610" t="s">
        <v>3</v>
      </c>
      <c r="T1061" s="599">
        <f>G1040</f>
        <v>0</v>
      </c>
      <c r="U1061" s="578"/>
      <c r="V1061" s="579">
        <f t="shared" ref="V1061" si="152">G1061</f>
        <v>0</v>
      </c>
      <c r="W1061" s="579">
        <f t="shared" si="149"/>
        <v>0</v>
      </c>
      <c r="X1061" s="579"/>
      <c r="Y1061" s="879"/>
      <c r="Z1061" s="121"/>
      <c r="AA1061" s="143"/>
      <c r="AB1061" s="143"/>
      <c r="AC1061" s="504">
        <v>0</v>
      </c>
      <c r="AD1061" s="505">
        <f t="shared" si="150"/>
        <v>0</v>
      </c>
      <c r="AE1061" s="143"/>
      <c r="AG1061" s="22"/>
      <c r="AH1061" s="22"/>
      <c r="AI1061" s="22"/>
      <c r="AJ1061" s="22"/>
      <c r="AK1061" s="22"/>
      <c r="AL1061" s="22"/>
      <c r="AM1061" s="22"/>
      <c r="AN1061" s="22"/>
      <c r="AO1061" s="22"/>
      <c r="AP1061" s="22"/>
      <c r="AQ1061" s="22"/>
      <c r="AR1061" s="22"/>
      <c r="AS1061" s="22"/>
      <c r="AT1061" s="22"/>
      <c r="AU1061" s="35"/>
      <c r="AV1061" s="35"/>
      <c r="AW1061" s="35"/>
      <c r="AX1061" s="35"/>
      <c r="AY1061" s="35"/>
      <c r="AZ1061" s="35"/>
      <c r="BA1061" s="35"/>
      <c r="BB1061" s="35"/>
      <c r="BC1061" s="35"/>
      <c r="BD1061" s="35"/>
      <c r="BE1061" s="35"/>
      <c r="BF1061" s="35"/>
      <c r="BG1061" s="35"/>
      <c r="BH1061" s="35"/>
      <c r="BI1061" s="35"/>
      <c r="BJ1061" s="35"/>
      <c r="BK1061" s="35"/>
      <c r="BL1061" s="35"/>
      <c r="BM1061" s="35"/>
      <c r="BN1061" s="35"/>
      <c r="BO1061" s="86"/>
    </row>
    <row r="1062" spans="1:67" s="55" customFormat="1" ht="15.75" customHeight="1" x14ac:dyDescent="0.25">
      <c r="A1062" s="520">
        <f>IFERROR(VLOOKUP($G$5,'רשימת רשויות'!A:C,3,0),0)</f>
        <v>0</v>
      </c>
      <c r="B1062" s="520">
        <f t="shared" si="148"/>
        <v>0</v>
      </c>
      <c r="C1062" s="39"/>
      <c r="D1062" s="1134"/>
      <c r="E1062" s="1137"/>
      <c r="F1062" s="589" t="s">
        <v>2918</v>
      </c>
      <c r="G1062" s="117">
        <f>0.07*(G1056+G1055)</f>
        <v>0</v>
      </c>
      <c r="H1062" s="117">
        <f>H1044</f>
        <v>0</v>
      </c>
      <c r="I1062" s="138">
        <f>IFERROR(G1062/H1062,0)</f>
        <v>0</v>
      </c>
      <c r="J1062" s="117">
        <f>IFERROR(MIN(0.07*(G1055+G1056),0.07*I1044),0)</f>
        <v>0</v>
      </c>
      <c r="K1062" s="120">
        <f>MAX(H1062-G1062,0)</f>
        <v>0</v>
      </c>
      <c r="L1062" s="407"/>
      <c r="M1062" s="393"/>
      <c r="N1062" s="393"/>
      <c r="O1062" s="602"/>
      <c r="P1062" s="620"/>
      <c r="Q1062" s="619"/>
      <c r="R1062" s="596"/>
      <c r="S1062" s="611"/>
      <c r="T1062" s="599">
        <f>G1040</f>
        <v>0</v>
      </c>
      <c r="U1062" s="578"/>
      <c r="V1062" s="579"/>
      <c r="W1062" s="579">
        <f t="shared" si="149"/>
        <v>0</v>
      </c>
      <c r="X1062" s="579"/>
      <c r="Y1062" s="879"/>
      <c r="Z1062" s="121"/>
      <c r="AA1062" s="143"/>
      <c r="AB1062" s="143"/>
      <c r="AC1062" s="504"/>
      <c r="AD1062" s="505"/>
      <c r="AE1062" s="143"/>
      <c r="AF1062" s="140"/>
      <c r="AG1062" s="22"/>
      <c r="AH1062" s="22"/>
      <c r="AI1062" s="22"/>
      <c r="AJ1062" s="22"/>
      <c r="AK1062" s="22"/>
      <c r="AL1062" s="22"/>
      <c r="AM1062" s="22"/>
      <c r="AN1062" s="22"/>
      <c r="AO1062" s="22"/>
      <c r="AP1062" s="22"/>
      <c r="AQ1062" s="22"/>
      <c r="AR1062" s="22"/>
      <c r="AS1062" s="22"/>
      <c r="AT1062" s="22"/>
      <c r="AU1062" s="35"/>
      <c r="AV1062" s="35"/>
      <c r="AW1062" s="35"/>
      <c r="AX1062" s="35"/>
      <c r="AY1062" s="35"/>
      <c r="AZ1062" s="35"/>
      <c r="BA1062" s="35"/>
      <c r="BB1062" s="35"/>
      <c r="BC1062" s="35"/>
      <c r="BD1062" s="35"/>
      <c r="BE1062" s="35"/>
      <c r="BF1062" s="35"/>
      <c r="BG1062" s="35"/>
      <c r="BH1062" s="35"/>
      <c r="BI1062" s="35"/>
      <c r="BJ1062" s="35"/>
      <c r="BK1062" s="35"/>
      <c r="BL1062" s="35"/>
      <c r="BM1062" s="35"/>
      <c r="BN1062" s="35"/>
      <c r="BO1062" s="86"/>
    </row>
    <row r="1063" spans="1:67" ht="15.75" customHeight="1" x14ac:dyDescent="0.25">
      <c r="A1063" s="520">
        <f>IFERROR(VLOOKUP($G$5,'רשימת רשויות'!A:C,3,0),0)</f>
        <v>0</v>
      </c>
      <c r="B1063" s="520">
        <f t="shared" si="148"/>
        <v>0</v>
      </c>
      <c r="D1063" s="1134"/>
      <c r="E1063" s="1137"/>
      <c r="F1063" s="591" t="s">
        <v>15</v>
      </c>
      <c r="G1063" s="134">
        <f>G1060+G1061+G1062</f>
        <v>0</v>
      </c>
      <c r="H1063" s="134">
        <f>H1060+H1061+H1062</f>
        <v>0</v>
      </c>
      <c r="I1063" s="138">
        <f>IFERROR(G1063/H1063,0)</f>
        <v>0</v>
      </c>
      <c r="J1063" s="139">
        <f>J1060+J1061+J1062</f>
        <v>0</v>
      </c>
      <c r="K1063" s="137">
        <f>K1061+K1060+K1062</f>
        <v>0</v>
      </c>
      <c r="L1063" s="408"/>
      <c r="M1063" s="394"/>
      <c r="N1063" s="394"/>
      <c r="O1063" s="602"/>
      <c r="P1063" s="621">
        <f>SUM(P1060:P1061)</f>
        <v>0</v>
      </c>
      <c r="Q1063" s="622">
        <f>Q1060+Q1061</f>
        <v>0</v>
      </c>
      <c r="R1063" s="596"/>
      <c r="S1063" s="611"/>
      <c r="T1063" s="599">
        <f>G1040</f>
        <v>0</v>
      </c>
      <c r="U1063" s="578"/>
      <c r="V1063" s="579"/>
      <c r="W1063" s="579">
        <f t="shared" si="149"/>
        <v>0</v>
      </c>
      <c r="X1063" s="579"/>
      <c r="Y1063" s="879"/>
      <c r="Z1063" s="106"/>
      <c r="AC1063" s="504"/>
      <c r="AD1063" s="505"/>
      <c r="AH1063" s="143"/>
      <c r="BO1063" s="86"/>
    </row>
    <row r="1064" spans="1:67" ht="15.75" customHeight="1" x14ac:dyDescent="0.25">
      <c r="A1064" s="520">
        <f>IFERROR(VLOOKUP($G$5,'רשימת רשויות'!A:C,3,0),0)</f>
        <v>0</v>
      </c>
      <c r="B1064" s="520">
        <f t="shared" si="148"/>
        <v>0</v>
      </c>
      <c r="D1064" s="1134"/>
      <c r="E1064" s="1137"/>
      <c r="F1064" s="589" t="s">
        <v>2261</v>
      </c>
      <c r="G1064" s="117">
        <f>IF(G1045="תקין",SUMIF('תשלומי הורים ומלגות להורים (5) '!$B$18:$B$517,$G1040,'תשלומי הורים ומלגות להורים (5) '!$C$18:$C$517),0)</f>
        <v>0</v>
      </c>
      <c r="H1064" s="117">
        <f>(G1043+G1044)*$G$7</f>
        <v>0</v>
      </c>
      <c r="I1064" s="141"/>
      <c r="J1064" s="141"/>
      <c r="K1064" s="142"/>
      <c r="L1064" s="395"/>
      <c r="M1064" s="395"/>
      <c r="N1064" s="395"/>
      <c r="O1064" s="602"/>
      <c r="P1064" s="623"/>
      <c r="Q1064" s="619"/>
      <c r="R1064" s="596"/>
      <c r="S1064" s="612"/>
      <c r="T1064" s="599">
        <f>G1040</f>
        <v>0</v>
      </c>
      <c r="U1064" s="578"/>
      <c r="V1064" s="579"/>
      <c r="W1064" s="579">
        <f t="shared" si="149"/>
        <v>0</v>
      </c>
      <c r="X1064" s="579"/>
      <c r="Y1064" s="879"/>
      <c r="Z1064" s="121"/>
      <c r="AA1064" s="143"/>
      <c r="AB1064" s="143"/>
      <c r="AC1064" s="504"/>
      <c r="AD1064" s="505"/>
      <c r="AE1064" s="143"/>
      <c r="AF1064" s="148"/>
      <c r="BO1064" s="86"/>
    </row>
    <row r="1065" spans="1:67" ht="15.75" customHeight="1" thickBot="1" x14ac:dyDescent="0.3">
      <c r="A1065" s="520">
        <f>IFERROR(VLOOKUP($G$5,'רשימת רשויות'!A:C,3,0),0)</f>
        <v>0</v>
      </c>
      <c r="B1065" s="520">
        <f t="shared" si="148"/>
        <v>0</v>
      </c>
      <c r="D1065" s="1134"/>
      <c r="E1065" s="1137"/>
      <c r="F1065" s="592" t="s">
        <v>21</v>
      </c>
      <c r="G1065" s="144">
        <f>G1063-G1064</f>
        <v>0</v>
      </c>
      <c r="H1065" s="144">
        <f>H1063-H1064</f>
        <v>0</v>
      </c>
      <c r="I1065" s="145"/>
      <c r="J1065" s="145"/>
      <c r="K1065" s="146"/>
      <c r="L1065" s="396"/>
      <c r="M1065" s="396"/>
      <c r="N1065" s="396"/>
      <c r="O1065" s="602"/>
      <c r="P1065" s="619"/>
      <c r="Q1065" s="619"/>
      <c r="R1065" s="596"/>
      <c r="S1065" s="612"/>
      <c r="T1065" s="599">
        <f>G1040</f>
        <v>0</v>
      </c>
      <c r="U1065" s="578"/>
      <c r="V1065" s="579"/>
      <c r="W1065" s="579">
        <f t="shared" si="149"/>
        <v>0</v>
      </c>
      <c r="X1065" s="579"/>
      <c r="Y1065" s="879"/>
      <c r="Z1065" s="147"/>
      <c r="AA1065" s="148"/>
      <c r="AB1065" s="148"/>
      <c r="AC1065" s="504"/>
      <c r="AD1065" s="505"/>
      <c r="AE1065" s="148"/>
      <c r="AF1065" s="148"/>
      <c r="BO1065" s="86"/>
    </row>
    <row r="1066" spans="1:67" ht="15.75" customHeight="1" thickBot="1" x14ac:dyDescent="0.3">
      <c r="A1066" s="520">
        <f>IFERROR(VLOOKUP($G$5,'רשימת רשויות'!A:C,3,0),0)</f>
        <v>0</v>
      </c>
      <c r="B1066" s="520">
        <f t="shared" si="148"/>
        <v>0</v>
      </c>
      <c r="D1066" s="1134"/>
      <c r="E1066" s="1137"/>
      <c r="F1066" s="580"/>
      <c r="G1066" s="580"/>
      <c r="H1066" s="147"/>
      <c r="I1066" s="149" t="s">
        <v>2197</v>
      </c>
      <c r="J1066" s="150">
        <f>MAX(MIN(P1063,Q1063),0)</f>
        <v>0</v>
      </c>
      <c r="K1066" s="580"/>
      <c r="L1066" s="580"/>
      <c r="M1066" s="580"/>
      <c r="N1066" s="580"/>
      <c r="O1066" s="580"/>
      <c r="P1066" s="615" t="s">
        <v>2317</v>
      </c>
      <c r="Q1066" s="624">
        <f>SUM(Q1067:Q1068)</f>
        <v>0</v>
      </c>
      <c r="R1066" s="596"/>
      <c r="S1066" s="612"/>
      <c r="T1066" s="599">
        <f>G1040</f>
        <v>0</v>
      </c>
      <c r="U1066" s="578"/>
      <c r="V1066" s="579"/>
      <c r="W1066" s="579">
        <f t="shared" si="149"/>
        <v>0</v>
      </c>
      <c r="X1066" s="579"/>
      <c r="Y1066" s="879"/>
      <c r="Z1066" s="106"/>
      <c r="AC1066" s="504"/>
      <c r="AD1066" s="505"/>
      <c r="AF1066" s="148"/>
      <c r="BO1066" s="86"/>
    </row>
    <row r="1067" spans="1:67" ht="16.5" thickBot="1" x14ac:dyDescent="0.3">
      <c r="A1067" s="520">
        <f>IFERROR(VLOOKUP($G$5,'רשימת רשויות'!A:C,3,0),0)</f>
        <v>0</v>
      </c>
      <c r="B1067" s="520">
        <f t="shared" si="148"/>
        <v>0</v>
      </c>
      <c r="D1067" s="1134"/>
      <c r="E1067" s="1137"/>
      <c r="F1067" s="580"/>
      <c r="G1067" s="580"/>
      <c r="H1067" s="580"/>
      <c r="I1067" s="84" t="s">
        <v>2193</v>
      </c>
      <c r="J1067" s="515" t="str">
        <f>IFERROR(1-H1064/H1063,"")</f>
        <v/>
      </c>
      <c r="K1067" s="580"/>
      <c r="L1067" s="580"/>
      <c r="M1067" s="580"/>
      <c r="N1067" s="580"/>
      <c r="O1067" s="580"/>
      <c r="P1067" s="615" t="s">
        <v>417</v>
      </c>
      <c r="Q1067" s="616">
        <f>IFERROR(MAX(H1065-I1068-Q1068,0),0)</f>
        <v>0</v>
      </c>
      <c r="R1067" s="596"/>
      <c r="S1067" s="600"/>
      <c r="T1067" s="599">
        <f>G1040</f>
        <v>0</v>
      </c>
      <c r="U1067" s="578"/>
      <c r="V1067" s="579"/>
      <c r="W1067" s="579">
        <f t="shared" si="149"/>
        <v>0</v>
      </c>
      <c r="X1067" s="579"/>
      <c r="Y1067" s="879"/>
      <c r="Z1067" s="106"/>
      <c r="AC1067" s="504"/>
      <c r="AD1067" s="505"/>
      <c r="BO1067" s="86"/>
    </row>
    <row r="1068" spans="1:67" ht="17.25" thickBot="1" x14ac:dyDescent="0.3">
      <c r="A1068" s="520">
        <f>IFERROR(VLOOKUP($G$5,'רשימת רשויות'!A:C,3,0),0)</f>
        <v>0</v>
      </c>
      <c r="B1068" s="520">
        <f t="shared" si="148"/>
        <v>0</v>
      </c>
      <c r="D1068" s="1134"/>
      <c r="E1068" s="1137"/>
      <c r="F1068" s="1143" t="s">
        <v>2679</v>
      </c>
      <c r="G1068" s="1143"/>
      <c r="H1068" s="1143"/>
      <c r="I1068" s="722">
        <f>IF(G1045="לא תקין","לא קיימת זכאות לתקציב לאור אי איוש משרות רכז ו/או סגן רכז ",IFERROR(J1067*(J1066+J1063),0))</f>
        <v>0</v>
      </c>
      <c r="J1068" s="573"/>
      <c r="K1068" s="574"/>
      <c r="L1068" s="396"/>
      <c r="M1068" s="574"/>
      <c r="N1068" s="574"/>
      <c r="O1068" s="574"/>
      <c r="P1068" s="615" t="s">
        <v>2279</v>
      </c>
      <c r="Q1068" s="616">
        <f>MAX(IF(AND(G1063&gt;H1063,I1068&lt;H1065),H1065-I1068,0),0)</f>
        <v>0</v>
      </c>
      <c r="R1068" s="575"/>
      <c r="S1068" s="576" t="s">
        <v>67</v>
      </c>
      <c r="T1068" s="577">
        <f>G1040</f>
        <v>0</v>
      </c>
      <c r="U1068" s="578"/>
      <c r="V1068" s="579">
        <f>I1068</f>
        <v>0</v>
      </c>
      <c r="W1068" s="579">
        <f>IFERROR(U1068-V1068,0)</f>
        <v>0</v>
      </c>
      <c r="X1068" s="579">
        <f>SUM(X1054:X1067)</f>
        <v>0</v>
      </c>
      <c r="Y1068" s="879"/>
      <c r="Z1068" s="106"/>
      <c r="AC1068" s="506">
        <v>0</v>
      </c>
      <c r="AD1068" s="507">
        <f>IFERROR(U1068-AC1068,0)</f>
        <v>0</v>
      </c>
      <c r="BO1068" s="86"/>
    </row>
    <row r="1069" spans="1:67" ht="16.5" thickBot="1" x14ac:dyDescent="0.3">
      <c r="A1069" s="520">
        <f>IFERROR(VLOOKUP($G$5,'רשימת רשויות'!A:C,3,0),0)</f>
        <v>0</v>
      </c>
      <c r="B1069" s="520">
        <f t="shared" si="148"/>
        <v>0</v>
      </c>
      <c r="D1069" s="1135"/>
      <c r="E1069" s="1138"/>
      <c r="F1069" s="1144" t="s">
        <v>2793</v>
      </c>
      <c r="G1069" s="1145"/>
      <c r="H1069" s="1145"/>
      <c r="I1069" s="593">
        <f>IFERROR(IF(G1045="תקין",SUMIFS('סייעות רפואיות או אישיות (7)'!$Q$17:Q$384,'סייעות רפואיות או אישיות (7)'!C$17:C$384,G1040),0),0)</f>
        <v>0</v>
      </c>
      <c r="J1069" s="151"/>
      <c r="K1069" s="152"/>
      <c r="L1069" s="409"/>
      <c r="M1069" s="152"/>
      <c r="N1069" s="152"/>
      <c r="O1069" s="152"/>
      <c r="P1069" s="613"/>
      <c r="Q1069" s="614"/>
      <c r="R1069" s="475"/>
      <c r="S1069" s="489"/>
      <c r="T1069" s="490"/>
      <c r="U1069" s="491"/>
      <c r="V1069" s="492"/>
      <c r="W1069" s="492"/>
      <c r="X1069" s="492"/>
      <c r="Y1069" s="880"/>
      <c r="Z1069" s="153"/>
      <c r="AC1069" s="581"/>
      <c r="AD1069" s="582"/>
      <c r="BO1069" s="86"/>
    </row>
    <row r="1070" spans="1:67" ht="34.5" thickBot="1" x14ac:dyDescent="0.55000000000000004">
      <c r="A1070" s="520">
        <f>IFERROR(VLOOKUP($G$5,'רשימת רשויות'!A:C,3,0),0)</f>
        <v>0</v>
      </c>
      <c r="B1070" s="520">
        <f t="shared" si="148"/>
        <v>0</v>
      </c>
      <c r="E1070" s="154"/>
      <c r="I1070" s="143"/>
      <c r="J1070" s="148"/>
      <c r="O1070" s="148"/>
      <c r="T1070" s="481"/>
      <c r="BO1070" s="86"/>
    </row>
    <row r="1071" spans="1:67" s="20" customFormat="1" ht="16.5" customHeight="1" thickBot="1" x14ac:dyDescent="0.3">
      <c r="A1071" s="520">
        <f>IFERROR(VLOOKUP($G$5,'רשימת רשויות'!A:C,3,0),0)</f>
        <v>0</v>
      </c>
      <c r="B1071" s="520">
        <f t="shared" si="148"/>
        <v>0</v>
      </c>
      <c r="C1071" s="39"/>
      <c r="D1071" s="1133">
        <f>D1040+1</f>
        <v>35</v>
      </c>
      <c r="E1071" s="1136" t="str">
        <f>IFERROR(CONCATENATE("בית הספר ",VLOOKUP(G1071,'מצבת והרשמה (2)'!$C$21:$D$520,2,0)," - ",$G$5),"")</f>
        <v>בית הספר המוסד לא קיים - 0</v>
      </c>
      <c r="F1071" s="720" t="s">
        <v>146</v>
      </c>
      <c r="G1071" s="721">
        <f>IFERROR(VLOOKUP(D:D,'דוח ביצוע (3)'!$A$21:$C$900,2,0),0)</f>
        <v>0</v>
      </c>
      <c r="H1071" s="79"/>
      <c r="I1071" s="80" t="s">
        <v>150</v>
      </c>
      <c r="J1071" s="80"/>
      <c r="K1071" s="81"/>
      <c r="L1071" s="392"/>
      <c r="M1071" s="392"/>
      <c r="N1071" s="392"/>
      <c r="O1071" s="82"/>
      <c r="P1071" s="470"/>
      <c r="Q1071" s="471"/>
      <c r="R1071" s="472"/>
      <c r="S1071" s="883"/>
      <c r="T1071" s="884"/>
      <c r="U1071" s="486"/>
      <c r="V1071" s="487"/>
      <c r="W1071" s="487"/>
      <c r="X1071" s="487"/>
      <c r="Y1071" s="885"/>
      <c r="Z1071" s="83"/>
      <c r="AC1071" s="502"/>
      <c r="AD1071" s="503"/>
      <c r="AO1071" s="22"/>
      <c r="AP1071" s="22"/>
      <c r="AQ1071" s="22"/>
      <c r="AR1071" s="22"/>
      <c r="AS1071" s="22"/>
      <c r="AT1071" s="22"/>
      <c r="AU1071" s="35"/>
      <c r="AV1071" s="35"/>
      <c r="AW1071" s="35"/>
      <c r="AX1071" s="35"/>
      <c r="AY1071" s="35"/>
      <c r="AZ1071" s="35"/>
      <c r="BA1071" s="35"/>
      <c r="BB1071" s="35"/>
      <c r="BC1071" s="35"/>
      <c r="BD1071" s="35"/>
      <c r="BE1071" s="35"/>
      <c r="BF1071" s="35"/>
      <c r="BG1071" s="35"/>
      <c r="BH1071" s="35"/>
      <c r="BI1071" s="35"/>
      <c r="BJ1071" s="35"/>
      <c r="BK1071" s="35"/>
      <c r="BL1071" s="35"/>
      <c r="BM1071" s="35"/>
      <c r="BN1071" s="35"/>
      <c r="BO1071" s="78"/>
    </row>
    <row r="1072" spans="1:67" s="20" customFormat="1" ht="16.5" thickBot="1" x14ac:dyDescent="0.3">
      <c r="A1072" s="520">
        <f>IFERROR(VLOOKUP($G$5,'רשימת רשויות'!A:C,3,0),0)</f>
        <v>0</v>
      </c>
      <c r="B1072" s="520">
        <f t="shared" si="148"/>
        <v>0</v>
      </c>
      <c r="C1072" s="39"/>
      <c r="D1072" s="1134"/>
      <c r="E1072" s="1137"/>
      <c r="F1072" s="583" t="s">
        <v>145</v>
      </c>
      <c r="G1072" s="516" t="str">
        <f>IFERROR(IF((G1074+G1075)=0,"",IF(VLOOKUP(G1071,'דוח ביצוע (3)'!$B$21:$K$900,5,0)&gt;149,"גדול",IF(AND(VLOOKUP(G1071,'דוח ביצוע (3)'!$B$21:$K$900,5,0)&gt;0,VLOOKUP(G1071,'דוח ביצוע (3)'!$B$21:$K$900,5,0)&lt;150),"קטן",0))),"")</f>
        <v/>
      </c>
      <c r="H1072" s="723" t="s">
        <v>88</v>
      </c>
      <c r="I1072" s="723" t="s">
        <v>13</v>
      </c>
      <c r="J1072" s="725" t="s">
        <v>14</v>
      </c>
      <c r="K1072" s="724" t="s">
        <v>94</v>
      </c>
      <c r="L1072" s="594"/>
      <c r="M1072" s="420" t="s">
        <v>2584</v>
      </c>
      <c r="N1072" s="397" t="s">
        <v>413</v>
      </c>
      <c r="O1072" s="398" t="s">
        <v>52</v>
      </c>
      <c r="P1072" s="595"/>
      <c r="Q1072" s="595"/>
      <c r="R1072" s="596"/>
      <c r="S1072" s="610"/>
      <c r="T1072" s="881"/>
      <c r="U1072" s="598"/>
      <c r="V1072" s="599"/>
      <c r="W1072" s="599"/>
      <c r="X1072" s="599"/>
      <c r="Y1072" s="879"/>
      <c r="Z1072" s="85"/>
      <c r="AC1072" s="493"/>
      <c r="AD1072" s="495"/>
      <c r="AO1072" s="22"/>
      <c r="AP1072" s="22"/>
      <c r="AQ1072" s="22"/>
      <c r="AR1072" s="22"/>
      <c r="AS1072" s="22"/>
      <c r="AT1072" s="22"/>
      <c r="AU1072" s="35"/>
      <c r="AV1072" s="35"/>
      <c r="AW1072" s="35"/>
      <c r="AX1072" s="35"/>
      <c r="AY1072" s="35"/>
      <c r="AZ1072" s="35"/>
      <c r="BA1072" s="35"/>
      <c r="BB1072" s="35"/>
      <c r="BC1072" s="35"/>
      <c r="BD1072" s="35"/>
      <c r="BE1072" s="35"/>
      <c r="BF1072" s="35"/>
      <c r="BG1072" s="35"/>
      <c r="BH1072" s="35"/>
      <c r="BI1072" s="35"/>
      <c r="BJ1072" s="35"/>
      <c r="BK1072" s="35"/>
      <c r="BL1072" s="35"/>
      <c r="BM1072" s="35"/>
      <c r="BN1072" s="35"/>
      <c r="BO1072" s="78"/>
    </row>
    <row r="1073" spans="1:67" s="20" customFormat="1" ht="15.75" customHeight="1" thickBot="1" x14ac:dyDescent="0.3">
      <c r="A1073" s="520">
        <f>IFERROR(VLOOKUP($G$5,'רשימת רשויות'!A:C,3,0),0)</f>
        <v>0</v>
      </c>
      <c r="B1073" s="520">
        <f t="shared" si="148"/>
        <v>0</v>
      </c>
      <c r="C1073" s="39"/>
      <c r="D1073" s="1134"/>
      <c r="E1073" s="1137"/>
      <c r="F1073" s="584" t="s">
        <v>144</v>
      </c>
      <c r="G1073" s="87">
        <f>IF(G1076="תקין",IFERROR(VLOOKUP($G1071,'דוח ביצוע (3)'!$B$21:$Q$900,12,0),0),0)</f>
        <v>0</v>
      </c>
      <c r="H1073" s="88">
        <f>IFERROR(G1074*$AH$6+G1075*$AH$7,0)</f>
        <v>0</v>
      </c>
      <c r="I1073" s="88">
        <f>IFERROR(G1074*$AI$6+G1075*$AI$7,0)</f>
        <v>0</v>
      </c>
      <c r="J1073" s="88">
        <f>IFERROR(G1074*$AJ$6+G1075*$AJ$7,0)</f>
        <v>0</v>
      </c>
      <c r="K1073" s="88">
        <f>IFERROR(G1074*$AK$6+G1075*$AK$7,0)</f>
        <v>0</v>
      </c>
      <c r="L1073" s="405"/>
      <c r="M1073" s="399" t="s">
        <v>427</v>
      </c>
      <c r="N1073" s="400" t="str">
        <f>IFERROR(VLOOKUP($G1071,'דוח ביצוע (3)'!$B:$AE,28,0),"")</f>
        <v/>
      </c>
      <c r="O1073" s="89" t="str">
        <f>IFERROR(VLOOKUP($G1071,'דוח ביצוע (3)'!B:AE,29,0),"")</f>
        <v/>
      </c>
      <c r="P1073" s="595"/>
      <c r="Q1073" s="595"/>
      <c r="R1073" s="596"/>
      <c r="S1073" s="610"/>
      <c r="T1073" s="881"/>
      <c r="U1073" s="598"/>
      <c r="V1073" s="599"/>
      <c r="W1073" s="599"/>
      <c r="X1073" s="599"/>
      <c r="Y1073" s="879"/>
      <c r="Z1073" s="85"/>
      <c r="AC1073" s="493"/>
      <c r="AD1073" s="495"/>
      <c r="AO1073" s="22"/>
      <c r="AP1073" s="22"/>
      <c r="AQ1073" s="22"/>
      <c r="AR1073" s="22"/>
      <c r="AS1073" s="22"/>
      <c r="AT1073" s="22"/>
      <c r="AU1073" s="35"/>
      <c r="AV1073" s="35"/>
      <c r="AW1073" s="35"/>
      <c r="AX1073" s="35"/>
      <c r="AY1073" s="35"/>
      <c r="AZ1073" s="35"/>
      <c r="BA1073" s="35"/>
      <c r="BB1073" s="35"/>
      <c r="BC1073" s="35"/>
      <c r="BD1073" s="35"/>
      <c r="BE1073" s="35"/>
      <c r="BF1073" s="35"/>
      <c r="BG1073" s="35"/>
      <c r="BH1073" s="35"/>
      <c r="BI1073" s="35"/>
      <c r="BJ1073" s="35"/>
      <c r="BK1073" s="35"/>
      <c r="BL1073" s="35"/>
      <c r="BM1073" s="35"/>
      <c r="BN1073" s="35"/>
      <c r="BO1073" s="78"/>
    </row>
    <row r="1074" spans="1:67" s="20" customFormat="1" ht="32.25" thickBot="1" x14ac:dyDescent="0.3">
      <c r="A1074" s="520">
        <f>IFERROR(VLOOKUP($G$5,'רשימת רשויות'!A:C,3,0),0)</f>
        <v>0</v>
      </c>
      <c r="B1074" s="520">
        <f t="shared" si="148"/>
        <v>0</v>
      </c>
      <c r="C1074" s="39"/>
      <c r="D1074" s="1134"/>
      <c r="E1074" s="1137"/>
      <c r="F1074" s="585" t="s">
        <v>2195</v>
      </c>
      <c r="G1074" s="89">
        <f>IF(G1076="תקין",MAX(N1076,0),0)</f>
        <v>0</v>
      </c>
      <c r="H1074" s="725" t="s">
        <v>151</v>
      </c>
      <c r="I1074" s="725" t="s">
        <v>91</v>
      </c>
      <c r="J1074" s="970" t="s">
        <v>3396</v>
      </c>
      <c r="K1074" s="601"/>
      <c r="L1074" s="601"/>
      <c r="M1074" s="983" t="s">
        <v>2585</v>
      </c>
      <c r="N1074" s="400" t="str">
        <f>IFERROR(G1073/15*N1073*1.25,"")</f>
        <v/>
      </c>
      <c r="O1074" s="89" t="str">
        <f>IFERROR(G1073/15*O1073*1.25,"")</f>
        <v/>
      </c>
      <c r="P1074" s="595"/>
      <c r="Q1074" s="595"/>
      <c r="R1074" s="596"/>
      <c r="S1074" s="610"/>
      <c r="T1074" s="881"/>
      <c r="U1074" s="598"/>
      <c r="V1074" s="599"/>
      <c r="W1074" s="599"/>
      <c r="X1074" s="599"/>
      <c r="Y1074" s="879"/>
      <c r="Z1074" s="85"/>
      <c r="AC1074" s="493"/>
      <c r="AD1074" s="495"/>
      <c r="AG1074" s="22"/>
      <c r="AH1074" s="55"/>
      <c r="AI1074" s="55"/>
      <c r="AJ1074" s="55"/>
      <c r="AK1074" s="55"/>
      <c r="AO1074" s="22"/>
      <c r="AP1074" s="22"/>
      <c r="AQ1074" s="22"/>
      <c r="AR1074" s="22"/>
      <c r="AS1074" s="22"/>
      <c r="AT1074" s="22"/>
      <c r="AU1074" s="35"/>
      <c r="AV1074" s="35"/>
      <c r="AW1074" s="35"/>
      <c r="AX1074" s="35"/>
      <c r="AY1074" s="35"/>
      <c r="AZ1074" s="35"/>
      <c r="BA1074" s="35"/>
      <c r="BB1074" s="35"/>
      <c r="BC1074" s="35"/>
      <c r="BD1074" s="35"/>
      <c r="BE1074" s="35"/>
      <c r="BF1074" s="35"/>
      <c r="BG1074" s="35"/>
      <c r="BH1074" s="35"/>
      <c r="BI1074" s="35"/>
      <c r="BJ1074" s="35"/>
      <c r="BK1074" s="35"/>
      <c r="BL1074" s="35"/>
      <c r="BM1074" s="35"/>
      <c r="BN1074" s="35"/>
      <c r="BO1074" s="86"/>
    </row>
    <row r="1075" spans="1:67" s="20" customFormat="1" ht="16.5" thickBot="1" x14ac:dyDescent="0.3">
      <c r="A1075" s="520">
        <f>IFERROR(VLOOKUP($G$5,'רשימת רשויות'!A:C,3,0),0)</f>
        <v>0</v>
      </c>
      <c r="B1075" s="520">
        <f t="shared" si="148"/>
        <v>0</v>
      </c>
      <c r="C1075" s="39"/>
      <c r="D1075" s="1134"/>
      <c r="E1075" s="1137"/>
      <c r="F1075" s="585" t="s">
        <v>2196</v>
      </c>
      <c r="G1075" s="89">
        <f>IF(G1076="תקין",MAX(O1076,0),0)</f>
        <v>0</v>
      </c>
      <c r="H1075" s="88">
        <f>(IFERROR(IF((G1074+G1075)=0,0,IF(G1072="קטן",G1073*$AH$10,G1073*$AH$11)),0))+(IFERROR(IF((G1074+G1075)=0,0,VLOOKUP(G1071,'דוח ביצוע (3)'!$B:$AH,33,0)),0))</f>
        <v>0</v>
      </c>
      <c r="I1075" s="88">
        <f>IFERROR(IF((G1074+G1075)=0,0,IF(G1072="קטן",G1073*$AI$10,G1073*$AI$11)),0)</f>
        <v>0</v>
      </c>
      <c r="J1075" s="88">
        <f>IFERROR(IF((G1074+G1075)=0,0,VLOOKUP(G1071,'דוח ביצוע (3)'!$B:$AH,32,0)),0)</f>
        <v>0</v>
      </c>
      <c r="K1075" s="90"/>
      <c r="L1075" s="90"/>
      <c r="M1075" s="399" t="s">
        <v>412</v>
      </c>
      <c r="N1075" s="400">
        <f>IFERROR(VLOOKUP($G1071,'דוח ביצוע (3)'!$B$21:$U$500,18,0),0)</f>
        <v>0</v>
      </c>
      <c r="O1075" s="401">
        <f>IFERROR(VLOOKUP($G1071,'דוח ביצוע (3)'!$B$21:$U$500,19,0),0)</f>
        <v>0</v>
      </c>
      <c r="P1075" s="595"/>
      <c r="Q1075" s="595"/>
      <c r="R1075" s="596"/>
      <c r="S1075" s="610"/>
      <c r="T1075" s="881"/>
      <c r="U1075" s="598"/>
      <c r="V1075" s="599"/>
      <c r="W1075" s="599"/>
      <c r="X1075" s="599"/>
      <c r="Y1075" s="879"/>
      <c r="Z1075" s="85"/>
      <c r="AC1075" s="493"/>
      <c r="AD1075" s="495"/>
      <c r="AG1075" s="22"/>
      <c r="AH1075" s="55"/>
      <c r="AI1075" s="55"/>
      <c r="AJ1075" s="55"/>
      <c r="AK1075" s="55"/>
      <c r="AO1075" s="22"/>
      <c r="AP1075" s="22"/>
      <c r="AQ1075" s="22"/>
      <c r="AR1075" s="22"/>
      <c r="AS1075" s="22"/>
      <c r="AT1075" s="22"/>
      <c r="AU1075" s="35"/>
      <c r="AV1075" s="35"/>
      <c r="AW1075" s="35"/>
      <c r="AX1075" s="35"/>
      <c r="AY1075" s="35"/>
      <c r="AZ1075" s="35"/>
      <c r="BA1075" s="35"/>
      <c r="BB1075" s="35"/>
      <c r="BC1075" s="35"/>
      <c r="BD1075" s="35"/>
      <c r="BE1075" s="35"/>
      <c r="BF1075" s="35"/>
      <c r="BG1075" s="35"/>
      <c r="BH1075" s="35"/>
      <c r="BI1075" s="35"/>
      <c r="BJ1075" s="35"/>
      <c r="BK1075" s="35"/>
      <c r="BL1075" s="35"/>
      <c r="BM1075" s="35"/>
      <c r="BN1075" s="35"/>
      <c r="BO1075" s="86"/>
    </row>
    <row r="1076" spans="1:67" s="20" customFormat="1" ht="16.5" thickBot="1" x14ac:dyDescent="0.3">
      <c r="A1076" s="520">
        <f>IFERROR(VLOOKUP($G$5,'רשימת רשויות'!A:C,3,0),0)</f>
        <v>0</v>
      </c>
      <c r="B1076" s="520">
        <f t="shared" si="148"/>
        <v>0</v>
      </c>
      <c r="C1076" s="39"/>
      <c r="D1076" s="1134"/>
      <c r="E1076" s="1137"/>
      <c r="F1076" s="586" t="s">
        <v>2355</v>
      </c>
      <c r="G1076" s="514">
        <f>IFERROR(IF(VLOOKUP('בית ספר - תקצוב לפי מוסד (9)'!G1071,' איוש משרות (8)'!$C:$K,9,0)="תקין","תקין","לא תקין"),0)</f>
        <v>0</v>
      </c>
      <c r="H1076" s="91"/>
      <c r="I1076" s="91"/>
      <c r="J1076" s="91"/>
      <c r="K1076" s="90"/>
      <c r="L1076" s="90"/>
      <c r="M1076" s="402" t="s">
        <v>2586</v>
      </c>
      <c r="N1076" s="403">
        <f>IFERROR(MIN(N1074,N1075),0)</f>
        <v>0</v>
      </c>
      <c r="O1076" s="404">
        <f>IFERROR(MIN(O1074,O1075),0)</f>
        <v>0</v>
      </c>
      <c r="P1076" s="595"/>
      <c r="Q1076" s="595"/>
      <c r="R1076" s="596"/>
      <c r="S1076" s="610"/>
      <c r="T1076" s="881"/>
      <c r="U1076" s="598"/>
      <c r="V1076" s="599"/>
      <c r="W1076" s="599"/>
      <c r="X1076" s="599"/>
      <c r="Y1076" s="879"/>
      <c r="Z1076" s="85"/>
      <c r="AC1076" s="493"/>
      <c r="AD1076" s="495"/>
      <c r="AG1076" s="94"/>
      <c r="AH1076" s="40"/>
      <c r="AI1076" s="40"/>
      <c r="AJ1076" s="40"/>
      <c r="AK1076" s="40"/>
      <c r="AO1076" s="22"/>
      <c r="AP1076" s="22"/>
      <c r="AQ1076" s="22"/>
      <c r="AR1076" s="22"/>
      <c r="AS1076" s="22"/>
      <c r="AT1076" s="22"/>
      <c r="AU1076" s="35"/>
      <c r="AV1076" s="35"/>
      <c r="AW1076" s="35"/>
      <c r="AX1076" s="35"/>
      <c r="AY1076" s="35"/>
      <c r="AZ1076" s="35"/>
      <c r="BA1076" s="35"/>
      <c r="BB1076" s="35"/>
      <c r="BC1076" s="35"/>
      <c r="BD1076" s="35"/>
      <c r="BE1076" s="35"/>
      <c r="BF1076" s="35"/>
      <c r="BG1076" s="35"/>
      <c r="BH1076" s="35"/>
      <c r="BI1076" s="35"/>
      <c r="BJ1076" s="35"/>
      <c r="BK1076" s="35"/>
      <c r="BL1076" s="35"/>
      <c r="BM1076" s="35"/>
      <c r="BN1076" s="35"/>
      <c r="BO1076" s="86"/>
    </row>
    <row r="1077" spans="1:67" s="55" customFormat="1" ht="37.15" customHeight="1" thickBot="1" x14ac:dyDescent="0.3">
      <c r="A1077" s="520">
        <f>IFERROR(VLOOKUP($G$5,'רשימת רשויות'!A:C,3,0),0)</f>
        <v>0</v>
      </c>
      <c r="B1077" s="520">
        <f t="shared" si="148"/>
        <v>0</v>
      </c>
      <c r="C1077" s="39"/>
      <c r="D1077" s="1134"/>
      <c r="E1077" s="1137"/>
      <c r="F1077" s="587" t="s">
        <v>142</v>
      </c>
      <c r="G1077" s="92"/>
      <c r="H1077" s="92"/>
      <c r="I1077" s="92"/>
      <c r="J1077" s="92"/>
      <c r="K1077" s="602"/>
      <c r="L1077" s="602"/>
      <c r="M1077" s="602"/>
      <c r="N1077" s="602"/>
      <c r="O1077" s="602"/>
      <c r="P1077" s="595"/>
      <c r="Q1077" s="595"/>
      <c r="R1077" s="596"/>
      <c r="S1077" s="610"/>
      <c r="T1077" s="881"/>
      <c r="U1077" s="598"/>
      <c r="V1077" s="599"/>
      <c r="W1077" s="599"/>
      <c r="X1077" s="599"/>
      <c r="Y1077" s="879"/>
      <c r="Z1077" s="93"/>
      <c r="AC1077" s="493"/>
      <c r="AD1077" s="495"/>
      <c r="AF1077" s="22"/>
      <c r="AG1077" s="98"/>
      <c r="AH1077" s="98"/>
      <c r="AI1077" s="40"/>
      <c r="AJ1077" s="40"/>
      <c r="AK1077" s="40"/>
      <c r="AO1077" s="22"/>
      <c r="AP1077" s="22"/>
      <c r="AQ1077" s="22"/>
      <c r="AR1077" s="22"/>
      <c r="AS1077" s="22"/>
      <c r="AT1077" s="22"/>
      <c r="AU1077" s="35"/>
      <c r="AV1077" s="35"/>
      <c r="AW1077" s="35"/>
      <c r="AX1077" s="35"/>
      <c r="AY1077" s="35"/>
      <c r="AZ1077" s="35"/>
      <c r="BA1077" s="35"/>
      <c r="BB1077" s="35"/>
      <c r="BC1077" s="35"/>
      <c r="BD1077" s="35"/>
      <c r="BE1077" s="35"/>
      <c r="BF1077" s="35"/>
      <c r="BG1077" s="35"/>
      <c r="BH1077" s="35"/>
      <c r="BI1077" s="35"/>
      <c r="BJ1077" s="35"/>
      <c r="BK1077" s="35"/>
      <c r="BL1077" s="35"/>
      <c r="BM1077" s="35"/>
      <c r="BN1077" s="35"/>
      <c r="BO1077" s="86"/>
    </row>
    <row r="1078" spans="1:67" s="40" customFormat="1" ht="31.5" x14ac:dyDescent="0.25">
      <c r="A1078" s="520">
        <f>IFERROR(VLOOKUP($G$5,'רשימת רשויות'!A:C,3,0),0)</f>
        <v>0</v>
      </c>
      <c r="B1078" s="520">
        <f t="shared" si="148"/>
        <v>0</v>
      </c>
      <c r="C1078" s="39"/>
      <c r="D1078" s="1134"/>
      <c r="E1078" s="1137"/>
      <c r="F1078" s="588" t="s">
        <v>94</v>
      </c>
      <c r="G1078" s="95" t="s">
        <v>18</v>
      </c>
      <c r="H1078" s="95" t="s">
        <v>19</v>
      </c>
      <c r="I1078" s="95" t="s">
        <v>138</v>
      </c>
      <c r="J1078" s="96" t="s">
        <v>139</v>
      </c>
      <c r="K1078" s="603"/>
      <c r="L1078" s="603"/>
      <c r="M1078" s="603"/>
      <c r="N1078" s="603"/>
      <c r="O1078" s="603"/>
      <c r="P1078" s="604"/>
      <c r="Q1078" s="604"/>
      <c r="R1078" s="596"/>
      <c r="S1078" s="610"/>
      <c r="T1078" s="881"/>
      <c r="U1078" s="598"/>
      <c r="V1078" s="599"/>
      <c r="W1078" s="599"/>
      <c r="X1078" s="599"/>
      <c r="Y1078" s="879"/>
      <c r="Z1078" s="97"/>
      <c r="AA1078" s="94"/>
      <c r="AB1078" s="94"/>
      <c r="AC1078" s="493"/>
      <c r="AD1078" s="495"/>
      <c r="AE1078" s="94"/>
      <c r="AG1078" s="98"/>
      <c r="AH1078" s="98"/>
      <c r="AO1078" s="22"/>
      <c r="AP1078" s="22"/>
      <c r="AQ1078" s="22"/>
      <c r="AR1078" s="22"/>
      <c r="AS1078" s="22"/>
      <c r="AT1078" s="22"/>
      <c r="AU1078" s="35"/>
      <c r="AV1078" s="35"/>
      <c r="AW1078" s="35"/>
      <c r="AX1078" s="35"/>
      <c r="AY1078" s="35"/>
      <c r="AZ1078" s="35"/>
      <c r="BA1078" s="35"/>
      <c r="BB1078" s="35"/>
      <c r="BC1078" s="35"/>
      <c r="BD1078" s="35"/>
      <c r="BE1078" s="35"/>
      <c r="BF1078" s="35"/>
      <c r="BG1078" s="35"/>
      <c r="BH1078" s="35"/>
      <c r="BI1078" s="35"/>
      <c r="BJ1078" s="35"/>
      <c r="BK1078" s="35"/>
      <c r="BL1078" s="35"/>
      <c r="BM1078" s="35"/>
      <c r="BN1078" s="35"/>
      <c r="BO1078" s="86"/>
    </row>
    <row r="1079" spans="1:67" s="40" customFormat="1" ht="15.75" customHeight="1" thickBot="1" x14ac:dyDescent="0.3">
      <c r="A1079" s="520">
        <f>IFERROR(VLOOKUP($G$5,'רשימת רשויות'!A:C,3,0),0)</f>
        <v>0</v>
      </c>
      <c r="B1079" s="520">
        <f t="shared" si="148"/>
        <v>0</v>
      </c>
      <c r="C1079" s="39"/>
      <c r="D1079" s="1134"/>
      <c r="E1079" s="1137"/>
      <c r="F1079" s="589" t="s">
        <v>2280</v>
      </c>
      <c r="G1079" s="99">
        <f>+G1090</f>
        <v>0</v>
      </c>
      <c r="H1079" s="100">
        <f>K1073</f>
        <v>0</v>
      </c>
      <c r="I1079" s="100">
        <f>H1079-I1081</f>
        <v>0</v>
      </c>
      <c r="J1079" s="101">
        <f>IFERROR(I1079/H1079,0)</f>
        <v>0</v>
      </c>
      <c r="K1079" s="603"/>
      <c r="L1079" s="603"/>
      <c r="M1079" s="603"/>
      <c r="N1079" s="603"/>
      <c r="O1079" s="603"/>
      <c r="P1079" s="605"/>
      <c r="Q1079" s="604"/>
      <c r="R1079" s="606" t="s">
        <v>157</v>
      </c>
      <c r="S1079" s="611"/>
      <c r="T1079" s="881"/>
      <c r="U1079" s="598"/>
      <c r="V1079" s="599"/>
      <c r="W1079" s="599"/>
      <c r="X1079" s="599"/>
      <c r="Y1079" s="879"/>
      <c r="Z1079" s="102"/>
      <c r="AA1079" s="122"/>
      <c r="AB1079" s="122"/>
      <c r="AC1079" s="493"/>
      <c r="AD1079" s="495"/>
      <c r="AE1079" s="122"/>
      <c r="AF1079" s="22"/>
      <c r="AG1079" s="98"/>
      <c r="AH1079" s="98"/>
      <c r="AI1079" s="20"/>
      <c r="AO1079" s="22"/>
      <c r="AP1079" s="22"/>
      <c r="AQ1079" s="22"/>
      <c r="AR1079" s="22"/>
      <c r="AS1079" s="22"/>
      <c r="AT1079" s="22"/>
      <c r="AU1079" s="35"/>
      <c r="AV1079" s="35"/>
      <c r="AW1079" s="35"/>
      <c r="AX1079" s="35"/>
      <c r="AY1079" s="35"/>
      <c r="AZ1079" s="35"/>
      <c r="BA1079" s="35"/>
      <c r="BB1079" s="35"/>
      <c r="BC1079" s="35"/>
      <c r="BD1079" s="35"/>
      <c r="BE1079" s="35"/>
      <c r="BF1079" s="35"/>
      <c r="BG1079" s="35"/>
      <c r="BH1079" s="35"/>
      <c r="BI1079" s="35"/>
      <c r="BJ1079" s="35"/>
      <c r="BK1079" s="35"/>
      <c r="BL1079" s="35"/>
      <c r="BM1079" s="35"/>
      <c r="BN1079" s="35"/>
      <c r="BO1079" s="86"/>
    </row>
    <row r="1080" spans="1:67" s="40" customFormat="1" ht="15.75" customHeight="1" thickBot="1" x14ac:dyDescent="0.3">
      <c r="A1080" s="520">
        <f>IFERROR(VLOOKUP($G$5,'רשימת רשויות'!A:C,3,0),0)</f>
        <v>0</v>
      </c>
      <c r="B1080" s="520">
        <f t="shared" si="148"/>
        <v>0</v>
      </c>
      <c r="C1080" s="39"/>
      <c r="D1080" s="1134"/>
      <c r="E1080" s="1137"/>
      <c r="F1080" s="589" t="s">
        <v>2281</v>
      </c>
      <c r="G1080" s="99">
        <f>+G1089</f>
        <v>0</v>
      </c>
      <c r="H1080" s="103"/>
      <c r="I1080" s="104"/>
      <c r="J1080" s="105"/>
      <c r="K1080" s="603"/>
      <c r="L1080" s="603"/>
      <c r="M1080" s="603"/>
      <c r="N1080" s="603"/>
      <c r="O1080" s="603"/>
      <c r="P1080" s="605"/>
      <c r="Q1080" s="604"/>
      <c r="R1080" s="473">
        <f>I1081-R1082</f>
        <v>0</v>
      </c>
      <c r="S1080" s="611"/>
      <c r="T1080" s="881"/>
      <c r="U1080" s="598"/>
      <c r="V1080" s="599"/>
      <c r="W1080" s="599"/>
      <c r="X1080" s="599"/>
      <c r="Y1080" s="879"/>
      <c r="Z1080" s="106"/>
      <c r="AA1080" s="22"/>
      <c r="AB1080" s="22"/>
      <c r="AC1080" s="493"/>
      <c r="AD1080" s="495"/>
      <c r="AE1080" s="22"/>
      <c r="AF1080" s="22"/>
      <c r="AG1080" s="98"/>
      <c r="AH1080" s="98"/>
      <c r="AI1080" s="20"/>
      <c r="AO1080" s="22"/>
      <c r="AP1080" s="22"/>
      <c r="AQ1080" s="22"/>
      <c r="AR1080" s="22"/>
      <c r="AS1080" s="22"/>
      <c r="AT1080" s="22"/>
      <c r="AU1080" s="35"/>
      <c r="AV1080" s="35"/>
      <c r="AW1080" s="35"/>
      <c r="AX1080" s="35"/>
      <c r="AY1080" s="35"/>
      <c r="AZ1080" s="35"/>
      <c r="BA1080" s="35"/>
      <c r="BB1080" s="35"/>
      <c r="BC1080" s="35"/>
      <c r="BD1080" s="35"/>
      <c r="BE1080" s="35"/>
      <c r="BF1080" s="35"/>
      <c r="BG1080" s="35"/>
      <c r="BH1080" s="35"/>
      <c r="BI1080" s="35"/>
      <c r="BJ1080" s="35"/>
      <c r="BK1080" s="35"/>
      <c r="BL1080" s="35"/>
      <c r="BM1080" s="35"/>
      <c r="BN1080" s="35"/>
      <c r="BO1080" s="86"/>
    </row>
    <row r="1081" spans="1:67" s="40" customFormat="1" ht="16.5" customHeight="1" thickBot="1" x14ac:dyDescent="0.3">
      <c r="A1081" s="520">
        <f>IFERROR(VLOOKUP($G$5,'רשימת רשויות'!A:C,3,0),0)</f>
        <v>0</v>
      </c>
      <c r="B1081" s="520">
        <f t="shared" si="148"/>
        <v>0</v>
      </c>
      <c r="C1081" s="39"/>
      <c r="D1081" s="1134"/>
      <c r="E1081" s="1137"/>
      <c r="F1081" s="589" t="s">
        <v>2282</v>
      </c>
      <c r="G1081" s="99">
        <f>G1085+G1086+G1087</f>
        <v>0</v>
      </c>
      <c r="H1081" s="104"/>
      <c r="I1081" s="107">
        <f>MAX(H1079-G1079-G1080,0)</f>
        <v>0</v>
      </c>
      <c r="J1081" s="108">
        <f>IFERROR(I1081/H1079,0)</f>
        <v>0</v>
      </c>
      <c r="K1081" s="603"/>
      <c r="L1081" s="603"/>
      <c r="M1081" s="603"/>
      <c r="N1081" s="603"/>
      <c r="O1081" s="603"/>
      <c r="P1081" s="604"/>
      <c r="Q1081" s="604"/>
      <c r="R1081" s="606" t="s">
        <v>158</v>
      </c>
      <c r="S1081" s="612"/>
      <c r="T1081" s="881"/>
      <c r="U1081" s="598"/>
      <c r="V1081" s="599"/>
      <c r="W1081" s="599"/>
      <c r="X1081" s="599"/>
      <c r="Y1081" s="879"/>
      <c r="Z1081" s="106"/>
      <c r="AA1081" s="22"/>
      <c r="AB1081" s="22"/>
      <c r="AC1081" s="493"/>
      <c r="AD1081" s="495"/>
      <c r="AE1081" s="22"/>
      <c r="AF1081" s="22"/>
      <c r="AG1081" s="22"/>
      <c r="AH1081" s="22"/>
      <c r="AI1081" s="55"/>
      <c r="AJ1081" s="22"/>
      <c r="AK1081" s="22"/>
      <c r="AO1081" s="22"/>
      <c r="AP1081" s="22"/>
      <c r="AQ1081" s="22"/>
      <c r="AR1081" s="22"/>
      <c r="AS1081" s="22"/>
      <c r="AT1081" s="22"/>
      <c r="AU1081" s="35"/>
      <c r="AV1081" s="35"/>
      <c r="AW1081" s="35"/>
      <c r="AX1081" s="35"/>
      <c r="AY1081" s="35"/>
      <c r="AZ1081" s="35"/>
      <c r="BA1081" s="35"/>
      <c r="BB1081" s="35"/>
      <c r="BC1081" s="35"/>
      <c r="BD1081" s="35"/>
      <c r="BE1081" s="35"/>
      <c r="BF1081" s="35"/>
      <c r="BG1081" s="35"/>
      <c r="BH1081" s="35"/>
      <c r="BI1081" s="35"/>
      <c r="BJ1081" s="35"/>
      <c r="BK1081" s="35"/>
      <c r="BL1081" s="35"/>
      <c r="BM1081" s="35"/>
      <c r="BN1081" s="35"/>
      <c r="BO1081" s="86"/>
    </row>
    <row r="1082" spans="1:67" s="40" customFormat="1" ht="15.75" customHeight="1" thickBot="1" x14ac:dyDescent="0.3">
      <c r="A1082" s="520">
        <f>IFERROR(VLOOKUP($G$5,'רשימת רשויות'!A:C,3,0),0)</f>
        <v>0</v>
      </c>
      <c r="B1082" s="520">
        <f t="shared" si="148"/>
        <v>0</v>
      </c>
      <c r="C1082" s="39"/>
      <c r="D1082" s="1134"/>
      <c r="E1082" s="1137"/>
      <c r="F1082" s="590" t="s">
        <v>2290</v>
      </c>
      <c r="G1082" s="109"/>
      <c r="H1082" s="110"/>
      <c r="I1082" s="111">
        <f>SUM(I1079:I1081)</f>
        <v>0</v>
      </c>
      <c r="J1082" s="112">
        <f>SUM(J1079:J1081)</f>
        <v>0</v>
      </c>
      <c r="K1082" s="603"/>
      <c r="L1082" s="603"/>
      <c r="M1082" s="603"/>
      <c r="N1082" s="603"/>
      <c r="O1082" s="603"/>
      <c r="P1082" s="604"/>
      <c r="Q1082" s="604"/>
      <c r="R1082" s="473">
        <f>MIN(MAX(G1086+G1087-I1075-J1075,0),I1081)</f>
        <v>0</v>
      </c>
      <c r="S1082" s="612"/>
      <c r="T1082" s="881"/>
      <c r="U1082" s="598"/>
      <c r="V1082" s="599"/>
      <c r="W1082" s="599"/>
      <c r="X1082" s="599"/>
      <c r="Y1082" s="879"/>
      <c r="Z1082" s="106"/>
      <c r="AA1082" s="22"/>
      <c r="AB1082" s="22"/>
      <c r="AC1082" s="493"/>
      <c r="AD1082" s="495"/>
      <c r="AE1082" s="22"/>
      <c r="AF1082" s="22"/>
      <c r="AG1082" s="22"/>
      <c r="AH1082" s="22"/>
      <c r="AJ1082" s="22"/>
      <c r="AK1082" s="22"/>
      <c r="AO1082" s="22"/>
      <c r="AP1082" s="22"/>
      <c r="AQ1082" s="22"/>
      <c r="AR1082" s="22"/>
      <c r="AS1082" s="22"/>
      <c r="AT1082" s="22"/>
      <c r="AU1082" s="35"/>
      <c r="AV1082" s="35"/>
      <c r="AW1082" s="35"/>
      <c r="AX1082" s="35"/>
      <c r="AY1082" s="35"/>
      <c r="AZ1082" s="35"/>
      <c r="BA1082" s="35"/>
      <c r="BB1082" s="35"/>
      <c r="BC1082" s="35"/>
      <c r="BD1082" s="35"/>
      <c r="BE1082" s="35"/>
      <c r="BF1082" s="35"/>
      <c r="BG1082" s="35"/>
      <c r="BH1082" s="35"/>
      <c r="BI1082" s="35"/>
      <c r="BJ1082" s="35"/>
      <c r="BK1082" s="35"/>
      <c r="BL1082" s="35"/>
      <c r="BM1082" s="35"/>
      <c r="BN1082" s="35"/>
      <c r="BO1082" s="86"/>
    </row>
    <row r="1083" spans="1:67" ht="16.5" thickBot="1" x14ac:dyDescent="0.3">
      <c r="A1083" s="520">
        <f>IFERROR(VLOOKUP($G$5,'רשימת רשויות'!A:C,3,0),0)</f>
        <v>0</v>
      </c>
      <c r="B1083" s="520">
        <f t="shared" si="148"/>
        <v>0</v>
      </c>
      <c r="D1083" s="1134"/>
      <c r="E1083" s="1137"/>
      <c r="F1083" s="587" t="s">
        <v>17</v>
      </c>
      <c r="G1083" s="113"/>
      <c r="H1083" s="92"/>
      <c r="I1083" s="114"/>
      <c r="J1083" s="115"/>
      <c r="K1083" s="116"/>
      <c r="L1083" s="406"/>
      <c r="M1083" s="116"/>
      <c r="N1083" s="116"/>
      <c r="O1083" s="116"/>
      <c r="P1083" s="474"/>
      <c r="Q1083" s="607"/>
      <c r="R1083" s="608"/>
      <c r="S1083" s="612"/>
      <c r="T1083" s="881"/>
      <c r="U1083" s="598"/>
      <c r="V1083" s="599"/>
      <c r="W1083" s="599"/>
      <c r="X1083" s="599"/>
      <c r="Y1083" s="879"/>
      <c r="Z1083" s="106"/>
      <c r="AI1083" s="40"/>
      <c r="BO1083" s="86"/>
    </row>
    <row r="1084" spans="1:67" ht="47.25" x14ac:dyDescent="0.25">
      <c r="A1084" s="520">
        <f>IFERROR(VLOOKUP($G$5,'רשימת רשויות'!A:C,3,0),0)</f>
        <v>0</v>
      </c>
      <c r="B1084" s="520">
        <f t="shared" si="148"/>
        <v>0</v>
      </c>
      <c r="D1084" s="1134"/>
      <c r="E1084" s="1137"/>
      <c r="F1084" s="588" t="s">
        <v>2</v>
      </c>
      <c r="G1084" s="95" t="s">
        <v>18</v>
      </c>
      <c r="H1084" s="95" t="s">
        <v>19</v>
      </c>
      <c r="I1084" s="95" t="s">
        <v>20</v>
      </c>
      <c r="J1084" s="95" t="s">
        <v>22</v>
      </c>
      <c r="K1084" s="96" t="s">
        <v>2314</v>
      </c>
      <c r="L1084" s="609"/>
      <c r="M1084" s="609"/>
      <c r="N1084" s="609"/>
      <c r="O1084" s="580"/>
      <c r="P1084" s="618" t="s">
        <v>2298</v>
      </c>
      <c r="Q1084" s="618" t="s">
        <v>2299</v>
      </c>
      <c r="R1084" s="596"/>
      <c r="S1084" s="890" t="s">
        <v>2519</v>
      </c>
      <c r="T1084" s="890" t="s">
        <v>97</v>
      </c>
      <c r="U1084" s="891" t="s">
        <v>2521</v>
      </c>
      <c r="V1084" s="892" t="s">
        <v>2520</v>
      </c>
      <c r="W1084" s="893" t="s">
        <v>2524</v>
      </c>
      <c r="X1084" s="892" t="s">
        <v>2522</v>
      </c>
      <c r="Y1084" s="894" t="s">
        <v>2523</v>
      </c>
      <c r="Z1084" s="106"/>
      <c r="AC1084" s="498" t="s">
        <v>2568</v>
      </c>
      <c r="AD1084" s="499" t="s">
        <v>2569</v>
      </c>
      <c r="AF1084" s="122"/>
      <c r="AI1084" s="40"/>
      <c r="BO1084" s="86"/>
    </row>
    <row r="1085" spans="1:67" ht="15" customHeight="1" thickBot="1" x14ac:dyDescent="0.3">
      <c r="A1085" s="520">
        <f>IFERROR(VLOOKUP($G$5,'רשימת רשויות'!A:C,3,0),0)</f>
        <v>0</v>
      </c>
      <c r="B1085" s="520">
        <f t="shared" si="148"/>
        <v>0</v>
      </c>
      <c r="D1085" s="1134"/>
      <c r="E1085" s="1137"/>
      <c r="F1085" s="589" t="s">
        <v>76</v>
      </c>
      <c r="G1085" s="117">
        <f>IF(G1076="תקין",SUMIF('עלויות כח אדם (6)'!$B$15:$B$3014,'בית ספר - תקצוב לפי מוסד (9)'!$G1071,'עלויות כח אדם (6)'!$M$15:$M$3014)-VLOOKUP('בית ספר - תקצוב לפי מוסד (9)'!G1071,' איוש משרות (8)'!$C:$H,5,0)-VLOOKUP('בית ספר - תקצוב לפי מוסד (9)'!G1071,' איוש משרות (8)'!$C:$H,6,0),0)-Y1085</f>
        <v>0</v>
      </c>
      <c r="H1085" s="118">
        <f>I1073+R1080</f>
        <v>0</v>
      </c>
      <c r="I1085" s="119">
        <f>IFERROR(SUM(G1085)/H1085,0)</f>
        <v>0</v>
      </c>
      <c r="J1085" s="100">
        <f>MIN(I1073+R1080,IF(ISNUMBER(G1085),G1085,0))</f>
        <v>0</v>
      </c>
      <c r="K1085" s="120">
        <f>MAX(H1085-G1085,0)</f>
        <v>0</v>
      </c>
      <c r="L1085" s="407"/>
      <c r="M1085" s="393"/>
      <c r="N1085" s="393"/>
      <c r="O1085" s="580"/>
      <c r="P1085" s="968">
        <f>IFERROR(IF(SUM(G1085)/(I1073)&lt;100%,MIN((I1073)-SUM(G1085),(I1073)*0.25),0),0)</f>
        <v>0</v>
      </c>
      <c r="Q1085" s="968">
        <f>IF(SUM(G1085)-(I1073+R1080)&gt;0,SUM(G1085)-(I1073+R1080),0)</f>
        <v>0</v>
      </c>
      <c r="R1085" s="596" t="s">
        <v>2351</v>
      </c>
      <c r="S1085" s="576" t="s">
        <v>2342</v>
      </c>
      <c r="T1085" s="599">
        <f>G1071</f>
        <v>0</v>
      </c>
      <c r="U1085" s="578"/>
      <c r="V1085" s="579">
        <f>G1085+G1086+G1087</f>
        <v>0</v>
      </c>
      <c r="W1085" s="579">
        <f>U1085-V1085</f>
        <v>0</v>
      </c>
      <c r="X1085" s="579">
        <f>IFERROR(W1099*W1085/(SUM(W1085:W1098)),0)</f>
        <v>0</v>
      </c>
      <c r="Y1085" s="879">
        <f>SUMIFS(בקרה!$S:$S,בקרה!$D:$D,T1085,בקרה!$K:$K,S1085)</f>
        <v>0</v>
      </c>
      <c r="Z1085" s="121"/>
      <c r="AA1085" s="143"/>
      <c r="AB1085" s="143"/>
      <c r="AC1085" s="504">
        <v>0</v>
      </c>
      <c r="AD1085" s="505">
        <f>IFERROR(U1085-AC1085,0)</f>
        <v>0</v>
      </c>
      <c r="AE1085" s="143"/>
      <c r="AI1085" s="20"/>
      <c r="BO1085" s="86"/>
    </row>
    <row r="1086" spans="1:67" ht="15" customHeight="1" thickBot="1" x14ac:dyDescent="0.3">
      <c r="A1086" s="520">
        <f>IFERROR(VLOOKUP($G$5,'רשימת רשויות'!A:C,3,0),0)</f>
        <v>0</v>
      </c>
      <c r="B1086" s="520">
        <f t="shared" si="148"/>
        <v>0</v>
      </c>
      <c r="D1086" s="1134"/>
      <c r="E1086" s="1137"/>
      <c r="F1086" s="589" t="s">
        <v>44</v>
      </c>
      <c r="G1086" s="123">
        <f>IF(G1076="תקין",IFERROR(VLOOKUP('בית ספר - תקצוב לפי מוסד (9)'!G1071,' איוש משרות (8)'!C:J,7,0),0),0)</f>
        <v>0</v>
      </c>
      <c r="H1086" s="124">
        <f>I1075+R1082+J1075</f>
        <v>0</v>
      </c>
      <c r="I1086" s="119">
        <f>IFERROR(SUM(G1086:G1087)/H1086,0)</f>
        <v>0</v>
      </c>
      <c r="J1086" s="100">
        <f>MIN(R1082+I1075,IF(ISNUMBER(SUM(G1086:G1087)),SUM(G1086:G1087),0))</f>
        <v>0</v>
      </c>
      <c r="K1086" s="1139">
        <f>MAX((H1086)-(G1086+G1087),0)</f>
        <v>0</v>
      </c>
      <c r="L1086" s="407"/>
      <c r="M1086" s="393"/>
      <c r="N1086" s="393"/>
      <c r="O1086" s="580"/>
      <c r="P1086" s="1140"/>
      <c r="Q1086" s="1140"/>
      <c r="R1086" s="617">
        <f>MAX(MIN(P1094-Q1094,H1094*0.15-G1092),0)</f>
        <v>0</v>
      </c>
      <c r="S1086" s="576"/>
      <c r="T1086" s="599">
        <f>G1071</f>
        <v>0</v>
      </c>
      <c r="U1086" s="578"/>
      <c r="V1086" s="579"/>
      <c r="W1086" s="579">
        <f t="shared" ref="W1086:W1098" si="153">U1086-V1086</f>
        <v>0</v>
      </c>
      <c r="X1086" s="579"/>
      <c r="Y1086" s="879"/>
      <c r="Z1086" s="121"/>
      <c r="AA1086" s="143"/>
      <c r="AB1086" s="143"/>
      <c r="AC1086" s="504"/>
      <c r="AD1086" s="505">
        <f t="shared" ref="AD1086:AD1092" si="154">IFERROR(U1086-AC1086,0)</f>
        <v>0</v>
      </c>
      <c r="AE1086" s="143"/>
      <c r="AI1086" s="20"/>
      <c r="BO1086" s="86"/>
    </row>
    <row r="1087" spans="1:67" ht="15.75" customHeight="1" x14ac:dyDescent="0.25">
      <c r="A1087" s="520">
        <f>IFERROR(VLOOKUP($G$5,'רשימת רשויות'!A:C,3,0),0)</f>
        <v>0</v>
      </c>
      <c r="B1087" s="520">
        <f t="shared" si="148"/>
        <v>0</v>
      </c>
      <c r="D1087" s="1134"/>
      <c r="E1087" s="1137"/>
      <c r="F1087" s="589" t="s">
        <v>45</v>
      </c>
      <c r="G1087" s="123">
        <f>IF(G1076="תקין",IFERROR(VLOOKUP('בית ספר - תקצוב לפי מוסד (9)'!G1071,' איוש משרות (8)'!C:J,8,0),0),0)</f>
        <v>0</v>
      </c>
      <c r="H1087" s="125"/>
      <c r="I1087" s="126"/>
      <c r="J1087" s="104"/>
      <c r="K1087" s="1139"/>
      <c r="L1087" s="407"/>
      <c r="M1087" s="393"/>
      <c r="N1087" s="393"/>
      <c r="O1087" s="580"/>
      <c r="P1087" s="1140"/>
      <c r="Q1087" s="1140"/>
      <c r="R1087" s="596"/>
      <c r="S1087" s="576"/>
      <c r="T1087" s="599">
        <f>G1071</f>
        <v>0</v>
      </c>
      <c r="U1087" s="578"/>
      <c r="V1087" s="579"/>
      <c r="W1087" s="579">
        <f t="shared" si="153"/>
        <v>0</v>
      </c>
      <c r="X1087" s="579"/>
      <c r="Y1087" s="879"/>
      <c r="Z1087" s="121"/>
      <c r="AA1087" s="143"/>
      <c r="AB1087" s="143"/>
      <c r="AC1087" s="504"/>
      <c r="AD1087" s="505">
        <f t="shared" si="154"/>
        <v>0</v>
      </c>
      <c r="AE1087" s="143"/>
      <c r="AG1087" s="55"/>
      <c r="AH1087" s="55"/>
      <c r="AI1087" s="55"/>
      <c r="AJ1087" s="55"/>
      <c r="AK1087" s="55"/>
      <c r="BO1087" s="86"/>
    </row>
    <row r="1088" spans="1:67" ht="15.75" customHeight="1" x14ac:dyDescent="0.25">
      <c r="A1088" s="520">
        <f>IFERROR(VLOOKUP($G$5,'רשימת רשויות'!A:C,3,0),0)</f>
        <v>0</v>
      </c>
      <c r="B1088" s="520">
        <f t="shared" si="148"/>
        <v>0</v>
      </c>
      <c r="D1088" s="1134"/>
      <c r="E1088" s="1137"/>
      <c r="F1088" s="589" t="s">
        <v>0</v>
      </c>
      <c r="G1088" s="117">
        <f>IF(G1076="תקין",SUMIFS('דוח הוצאות בפועל (4)'!$E$17:$E$3016,'דוח הוצאות בפועל (4)'!$B$17:$B$3016,'בית ספר - תקצוב לפי מוסד (9)'!$G1071,'דוח הוצאות בפועל (4)'!$M$17:$M$3016,"הע"),0)-Y1088</f>
        <v>0</v>
      </c>
      <c r="H1088" s="127">
        <f>J1073</f>
        <v>0</v>
      </c>
      <c r="I1088" s="128">
        <f>IFERROR(G1088/H1088,0)</f>
        <v>0</v>
      </c>
      <c r="J1088" s="129">
        <f>MIN(IF(ISNUMBER(G1088),G1088,0),H1088)</f>
        <v>0</v>
      </c>
      <c r="K1088" s="120">
        <f>MAX(H1088-G1088,0)</f>
        <v>0</v>
      </c>
      <c r="L1088" s="407"/>
      <c r="M1088" s="393"/>
      <c r="N1088" s="393"/>
      <c r="O1088" s="580"/>
      <c r="P1088" s="968">
        <f>MAX(IF(I1088&lt;100%,MIN((H1088-G1088),H1088*0.25),0),0)</f>
        <v>0</v>
      </c>
      <c r="Q1088" s="619">
        <f>IF(G1088-H1088&gt;0,G1088-H1088,0)</f>
        <v>0</v>
      </c>
      <c r="R1088" s="596"/>
      <c r="S1088" s="610" t="s">
        <v>0</v>
      </c>
      <c r="T1088" s="599">
        <f>G1071</f>
        <v>0</v>
      </c>
      <c r="U1088" s="578"/>
      <c r="V1088" s="579">
        <f>G1088</f>
        <v>0</v>
      </c>
      <c r="W1088" s="579">
        <f t="shared" si="153"/>
        <v>0</v>
      </c>
      <c r="X1088" s="579">
        <f>IFERROR(W1099*W1088/(SUM(W1085:W1098)),0)</f>
        <v>0</v>
      </c>
      <c r="Y1088" s="879">
        <f>SUMIFS(בקרה!$S:$S,בקרה!$D:$D,T1088,בקרה!$K:$K,S1088)</f>
        <v>0</v>
      </c>
      <c r="Z1088" s="121"/>
      <c r="AA1088" s="143"/>
      <c r="AB1088" s="143"/>
      <c r="AC1088" s="504">
        <v>0</v>
      </c>
      <c r="AD1088" s="505">
        <f t="shared" si="154"/>
        <v>0</v>
      </c>
      <c r="AE1088" s="143"/>
      <c r="AG1088" s="55"/>
      <c r="AH1088" s="55"/>
      <c r="AI1088" s="40"/>
      <c r="AJ1088" s="55"/>
      <c r="AK1088" s="55"/>
      <c r="BO1088" s="86"/>
    </row>
    <row r="1089" spans="1:67" s="55" customFormat="1" ht="15.75" customHeight="1" x14ac:dyDescent="0.25">
      <c r="A1089" s="520">
        <f>IFERROR(VLOOKUP($G$5,'רשימת רשויות'!A:C,3,0),0)</f>
        <v>0</v>
      </c>
      <c r="B1089" s="520">
        <f t="shared" si="148"/>
        <v>0</v>
      </c>
      <c r="C1089" s="39"/>
      <c r="D1089" s="1134"/>
      <c r="E1089" s="1137"/>
      <c r="F1089" s="589" t="s">
        <v>93</v>
      </c>
      <c r="G1089" s="130">
        <f>IF(G1076="תקין",SUMIFS('דוח הוצאות בפועל (4)'!$E$17:$E$3016,'דוח הוצאות בפועל (4)'!$B$17:$B$3016,'בית ספר - תקצוב לפי מוסד (9)'!$G1071,'דוח הוצאות בפועל (4)'!$M$17:$M$3016,"אר"),0)-Y1089</f>
        <v>0</v>
      </c>
      <c r="H1089" s="118">
        <f>$I1079</f>
        <v>0</v>
      </c>
      <c r="I1089" s="131">
        <f>IFERROR((G1089+G1090)/H1089,0)</f>
        <v>0</v>
      </c>
      <c r="J1089" s="100">
        <f>MIN((IF(ISNUMBER(G1089),G1089,0)+IF(ISNUMBER(G1090),G1090,0)),H1089)</f>
        <v>0</v>
      </c>
      <c r="K1089" s="1139">
        <f>MAX((H1089)-(G1089+G1090),0)</f>
        <v>0</v>
      </c>
      <c r="L1089" s="407"/>
      <c r="M1089" s="393"/>
      <c r="N1089" s="393"/>
      <c r="O1089" s="602"/>
      <c r="P1089" s="1141"/>
      <c r="Q1089" s="1142"/>
      <c r="R1089" s="596"/>
      <c r="S1089" s="610" t="s">
        <v>93</v>
      </c>
      <c r="T1089" s="599">
        <f>G1071</f>
        <v>0</v>
      </c>
      <c r="U1089" s="578"/>
      <c r="V1089" s="579">
        <f t="shared" ref="V1089:V1090" si="155">G1089</f>
        <v>0</v>
      </c>
      <c r="W1089" s="579">
        <f t="shared" si="153"/>
        <v>0</v>
      </c>
      <c r="X1089" s="579">
        <f>IFERROR(W1099*W1089/(SUM(W1085:W1098)),0)</f>
        <v>0</v>
      </c>
      <c r="Y1089" s="879">
        <f>SUMIFS(בקרה!$S:$S,בקרה!$D:$D,T1089,בקרה!$K:$K,S1089)</f>
        <v>0</v>
      </c>
      <c r="Z1089" s="121"/>
      <c r="AA1089" s="143"/>
      <c r="AB1089" s="143"/>
      <c r="AC1089" s="504">
        <v>0</v>
      </c>
      <c r="AD1089" s="505">
        <f t="shared" si="154"/>
        <v>0</v>
      </c>
      <c r="AE1089" s="143"/>
      <c r="AJ1089" s="22"/>
      <c r="AO1089" s="22"/>
      <c r="AP1089" s="22"/>
      <c r="AQ1089" s="22"/>
      <c r="AR1089" s="22"/>
      <c r="AS1089" s="22"/>
      <c r="AT1089" s="22"/>
      <c r="AU1089" s="35"/>
      <c r="AV1089" s="35"/>
      <c r="AW1089" s="35"/>
      <c r="AX1089" s="35"/>
      <c r="AY1089" s="35"/>
      <c r="AZ1089" s="35"/>
      <c r="BA1089" s="35"/>
      <c r="BB1089" s="35"/>
      <c r="BC1089" s="35"/>
      <c r="BD1089" s="35"/>
      <c r="BE1089" s="35"/>
      <c r="BF1089" s="35"/>
      <c r="BG1089" s="35"/>
      <c r="BH1089" s="35"/>
      <c r="BI1089" s="35"/>
      <c r="BJ1089" s="35"/>
      <c r="BK1089" s="35"/>
      <c r="BL1089" s="35"/>
      <c r="BM1089" s="35"/>
      <c r="BN1089" s="35"/>
      <c r="BO1089" s="86"/>
    </row>
    <row r="1090" spans="1:67" s="55" customFormat="1" ht="15.75" customHeight="1" x14ac:dyDescent="0.25">
      <c r="A1090" s="520">
        <f>IFERROR(VLOOKUP($G$5,'רשימת רשויות'!A:C,3,0),0)</f>
        <v>0</v>
      </c>
      <c r="B1090" s="520">
        <f t="shared" si="148"/>
        <v>0</v>
      </c>
      <c r="C1090" s="39"/>
      <c r="D1090" s="1134"/>
      <c r="E1090" s="1137"/>
      <c r="F1090" s="589" t="s">
        <v>46</v>
      </c>
      <c r="G1090" s="130">
        <f>IF(G1076="תקין",SUMIFS('דוח הוצאות בפועל (4)'!$E$17:$E$3016,'דוח הוצאות בפועל (4)'!$B$17:$B$3016,'בית ספר - תקצוב לפי מוסד (9)'!$G1071,'דוח הוצאות בפועל (4)'!$M$17:$M$3016,"מל"),0)-Y1090</f>
        <v>0</v>
      </c>
      <c r="H1090" s="132"/>
      <c r="I1090" s="133"/>
      <c r="J1090" s="104"/>
      <c r="K1090" s="1139"/>
      <c r="L1090" s="407"/>
      <c r="M1090" s="393"/>
      <c r="N1090" s="393"/>
      <c r="O1090" s="602"/>
      <c r="P1090" s="1141"/>
      <c r="Q1090" s="1142"/>
      <c r="R1090" s="596"/>
      <c r="S1090" s="610" t="s">
        <v>46</v>
      </c>
      <c r="T1090" s="599">
        <f>G1071</f>
        <v>0</v>
      </c>
      <c r="U1090" s="578"/>
      <c r="V1090" s="579">
        <f t="shared" si="155"/>
        <v>0</v>
      </c>
      <c r="W1090" s="579">
        <f t="shared" si="153"/>
        <v>0</v>
      </c>
      <c r="X1090" s="579">
        <f>IFERROR(W1099*W1090/(SUM(W1085:W1098)),0)</f>
        <v>0</v>
      </c>
      <c r="Y1090" s="879">
        <f>SUMIFS(בקרה!$S:$S,בקרה!$D:$D,T1090,בקרה!$K:$K,S1090)</f>
        <v>0</v>
      </c>
      <c r="Z1090" s="121"/>
      <c r="AA1090" s="143"/>
      <c r="AB1090" s="143"/>
      <c r="AC1090" s="504">
        <v>0</v>
      </c>
      <c r="AD1090" s="505">
        <f t="shared" si="154"/>
        <v>0</v>
      </c>
      <c r="AE1090" s="143"/>
      <c r="AJ1090" s="22"/>
      <c r="AO1090" s="22"/>
      <c r="AP1090" s="22"/>
      <c r="AQ1090" s="22"/>
      <c r="AR1090" s="22"/>
      <c r="AS1090" s="22"/>
      <c r="AT1090" s="22"/>
      <c r="AU1090" s="35"/>
      <c r="AV1090" s="35"/>
      <c r="AW1090" s="35"/>
      <c r="AX1090" s="35"/>
      <c r="AY1090" s="35"/>
      <c r="AZ1090" s="35"/>
      <c r="BA1090" s="35"/>
      <c r="BB1090" s="35"/>
      <c r="BC1090" s="35"/>
      <c r="BD1090" s="35"/>
      <c r="BE1090" s="35"/>
      <c r="BF1090" s="35"/>
      <c r="BG1090" s="35"/>
      <c r="BH1090" s="35"/>
      <c r="BI1090" s="35"/>
      <c r="BJ1090" s="35"/>
      <c r="BK1090" s="35"/>
      <c r="BL1090" s="35"/>
      <c r="BM1090" s="35"/>
      <c r="BN1090" s="35"/>
      <c r="BO1090" s="86"/>
    </row>
    <row r="1091" spans="1:67" s="55" customFormat="1" ht="15" customHeight="1" x14ac:dyDescent="0.25">
      <c r="A1091" s="520">
        <f>IFERROR(VLOOKUP($G$5,'רשימת רשויות'!A:C,3,0),0)</f>
        <v>0</v>
      </c>
      <c r="B1091" s="520">
        <f t="shared" si="148"/>
        <v>0</v>
      </c>
      <c r="C1091" s="39"/>
      <c r="D1091" s="1134"/>
      <c r="E1091" s="1137"/>
      <c r="F1091" s="591" t="s">
        <v>23</v>
      </c>
      <c r="G1091" s="134">
        <f>SUM(G1085:G1090)</f>
        <v>0</v>
      </c>
      <c r="H1091" s="135">
        <f>SUM(H1085:H1090)</f>
        <v>0</v>
      </c>
      <c r="I1091" s="128">
        <f>IFERROR(G1091/H1091,0)</f>
        <v>0</v>
      </c>
      <c r="J1091" s="136">
        <f>SUM(J1085:J1090)</f>
        <v>0</v>
      </c>
      <c r="K1091" s="137">
        <f>SUM(K1085:K1090)</f>
        <v>0</v>
      </c>
      <c r="L1091" s="408"/>
      <c r="M1091" s="394"/>
      <c r="N1091" s="394"/>
      <c r="O1091" s="602"/>
      <c r="P1091" s="620">
        <f>SUM(P1085:P1090)</f>
        <v>0</v>
      </c>
      <c r="Q1091" s="620">
        <f>SUM(Q1085:Q1090)</f>
        <v>0</v>
      </c>
      <c r="R1091" s="596"/>
      <c r="S1091" s="610"/>
      <c r="T1091" s="599">
        <f>G1071</f>
        <v>0</v>
      </c>
      <c r="U1091" s="578"/>
      <c r="V1091" s="579"/>
      <c r="W1091" s="579">
        <f t="shared" si="153"/>
        <v>0</v>
      </c>
      <c r="X1091" s="579"/>
      <c r="Y1091" s="879"/>
      <c r="Z1091" s="121"/>
      <c r="AA1091" s="143"/>
      <c r="AB1091" s="143"/>
      <c r="AC1091" s="504"/>
      <c r="AD1091" s="505">
        <f t="shared" si="154"/>
        <v>0</v>
      </c>
      <c r="AE1091" s="143"/>
      <c r="AJ1091" s="22"/>
      <c r="AL1091" s="22"/>
      <c r="AM1091" s="22"/>
      <c r="AN1091" s="22"/>
      <c r="AO1091" s="22"/>
      <c r="AP1091" s="22"/>
      <c r="AQ1091" s="22"/>
      <c r="AR1091" s="22"/>
      <c r="AS1091" s="22"/>
      <c r="AT1091" s="22"/>
      <c r="AU1091" s="35"/>
      <c r="AV1091" s="35"/>
      <c r="AW1091" s="35"/>
      <c r="AX1091" s="35"/>
      <c r="AY1091" s="35"/>
      <c r="AZ1091" s="35"/>
      <c r="BA1091" s="35"/>
      <c r="BB1091" s="35"/>
      <c r="BC1091" s="35"/>
      <c r="BD1091" s="35"/>
      <c r="BE1091" s="35"/>
      <c r="BF1091" s="35"/>
      <c r="BG1091" s="35"/>
      <c r="BH1091" s="35"/>
      <c r="BI1091" s="35"/>
      <c r="BJ1091" s="35"/>
      <c r="BK1091" s="35"/>
      <c r="BL1091" s="35"/>
      <c r="BM1091" s="35"/>
      <c r="BN1091" s="35"/>
      <c r="BO1091" s="86"/>
    </row>
    <row r="1092" spans="1:67" s="55" customFormat="1" ht="15" customHeight="1" x14ac:dyDescent="0.25">
      <c r="A1092" s="520">
        <f>IFERROR(VLOOKUP($G$5,'רשימת רשויות'!A:C,3,0),0)</f>
        <v>0</v>
      </c>
      <c r="B1092" s="520">
        <f t="shared" si="148"/>
        <v>0</v>
      </c>
      <c r="C1092" s="39"/>
      <c r="D1092" s="1134"/>
      <c r="E1092" s="1137"/>
      <c r="F1092" s="589" t="s">
        <v>3</v>
      </c>
      <c r="G1092" s="117">
        <f>IF(G1076="תקין",SUMIFS('דוח הוצאות בפועל (4)'!$E$17:$E$3016,'דוח הוצאות בפועל (4)'!$B$17:$B$3016,'בית ספר - תקצוב לפי מוסד (9)'!$G1071,'דוח הוצאות בפועל (4)'!$M$17:$M$3016,"ני")+SUMIFS('דוח הוצאות בפועל (4)'!$E$17:$E$3016,'דוח הוצאות בפועל (4)'!$B$17:$B$3016,'בית ספר - תקצוב לפי מוסד (9)'!$G1071,'דוח הוצאות בפועל (4)'!$M$17:$M$3016,"על"),0)-Y1092</f>
        <v>0</v>
      </c>
      <c r="H1092" s="117">
        <f>H1073</f>
        <v>0</v>
      </c>
      <c r="I1092" s="138">
        <f>IFERROR(G1092/H1092,0)</f>
        <v>0</v>
      </c>
      <c r="J1092" s="117">
        <f>IFERROR(IF(G1092/H1094&gt;0.15,MIN(H1094*0.15,H1092),MIN(H1092,IF(ISNUMBER(G1092),G1092,0))),0)</f>
        <v>0</v>
      </c>
      <c r="K1092" s="120">
        <f>MAX(H1092-G1092,0)</f>
        <v>0</v>
      </c>
      <c r="L1092" s="407"/>
      <c r="M1092" s="393"/>
      <c r="N1092" s="393"/>
      <c r="O1092" s="602"/>
      <c r="P1092" s="620">
        <f>IF(I1092&lt;100%,MIN(H1092-G1092,H1092*0.25),0)</f>
        <v>0</v>
      </c>
      <c r="Q1092" s="620">
        <f>MAX(MIN(IF(G1092-H1092&gt;0,G1092-H1092,0),$H1094*0.15-H1092-J1093),0)</f>
        <v>0</v>
      </c>
      <c r="R1092" s="596"/>
      <c r="S1092" s="610" t="s">
        <v>3</v>
      </c>
      <c r="T1092" s="599">
        <f>G1071</f>
        <v>0</v>
      </c>
      <c r="U1092" s="578"/>
      <c r="V1092" s="579">
        <f t="shared" ref="V1092" si="156">G1092</f>
        <v>0</v>
      </c>
      <c r="W1092" s="579">
        <f t="shared" si="153"/>
        <v>0</v>
      </c>
      <c r="X1092" s="579"/>
      <c r="Y1092" s="879"/>
      <c r="Z1092" s="121"/>
      <c r="AA1092" s="143"/>
      <c r="AB1092" s="143"/>
      <c r="AC1092" s="504">
        <v>0</v>
      </c>
      <c r="AD1092" s="505">
        <f t="shared" si="154"/>
        <v>0</v>
      </c>
      <c r="AE1092" s="143"/>
      <c r="AG1092" s="22"/>
      <c r="AH1092" s="22"/>
      <c r="AI1092" s="22"/>
      <c r="AJ1092" s="22"/>
      <c r="AK1092" s="22"/>
      <c r="AL1092" s="22"/>
      <c r="AM1092" s="22"/>
      <c r="AN1092" s="22"/>
      <c r="AO1092" s="22"/>
      <c r="AP1092" s="22"/>
      <c r="AQ1092" s="22"/>
      <c r="AR1092" s="22"/>
      <c r="AS1092" s="22"/>
      <c r="AT1092" s="22"/>
      <c r="AU1092" s="35"/>
      <c r="AV1092" s="35"/>
      <c r="AW1092" s="35"/>
      <c r="AX1092" s="35"/>
      <c r="AY1092" s="35"/>
      <c r="AZ1092" s="35"/>
      <c r="BA1092" s="35"/>
      <c r="BB1092" s="35"/>
      <c r="BC1092" s="35"/>
      <c r="BD1092" s="35"/>
      <c r="BE1092" s="35"/>
      <c r="BF1092" s="35"/>
      <c r="BG1092" s="35"/>
      <c r="BH1092" s="35"/>
      <c r="BI1092" s="35"/>
      <c r="BJ1092" s="35"/>
      <c r="BK1092" s="35"/>
      <c r="BL1092" s="35"/>
      <c r="BM1092" s="35"/>
      <c r="BN1092" s="35"/>
      <c r="BO1092" s="86"/>
    </row>
    <row r="1093" spans="1:67" s="55" customFormat="1" ht="15.75" customHeight="1" x14ac:dyDescent="0.25">
      <c r="A1093" s="520">
        <f>IFERROR(VLOOKUP($G$5,'רשימת רשויות'!A:C,3,0),0)</f>
        <v>0</v>
      </c>
      <c r="B1093" s="520">
        <f t="shared" si="148"/>
        <v>0</v>
      </c>
      <c r="C1093" s="39"/>
      <c r="D1093" s="1134"/>
      <c r="E1093" s="1137"/>
      <c r="F1093" s="589" t="s">
        <v>2918</v>
      </c>
      <c r="G1093" s="117">
        <f>0.07*(G1087+G1086)</f>
        <v>0</v>
      </c>
      <c r="H1093" s="117">
        <f>H1075</f>
        <v>0</v>
      </c>
      <c r="I1093" s="138">
        <f>IFERROR(G1093/H1093,0)</f>
        <v>0</v>
      </c>
      <c r="J1093" s="117">
        <f>IFERROR(MIN(0.07*(G1086+G1087),0.07*I1075),0)</f>
        <v>0</v>
      </c>
      <c r="K1093" s="120">
        <f>MAX(H1093-G1093,0)</f>
        <v>0</v>
      </c>
      <c r="L1093" s="407"/>
      <c r="M1093" s="393"/>
      <c r="N1093" s="393"/>
      <c r="O1093" s="602"/>
      <c r="P1093" s="620"/>
      <c r="Q1093" s="619"/>
      <c r="R1093" s="596"/>
      <c r="S1093" s="611"/>
      <c r="T1093" s="599">
        <f>G1071</f>
        <v>0</v>
      </c>
      <c r="U1093" s="578"/>
      <c r="V1093" s="579"/>
      <c r="W1093" s="579">
        <f t="shared" si="153"/>
        <v>0</v>
      </c>
      <c r="X1093" s="579"/>
      <c r="Y1093" s="879"/>
      <c r="Z1093" s="121"/>
      <c r="AA1093" s="143"/>
      <c r="AB1093" s="143"/>
      <c r="AC1093" s="504"/>
      <c r="AD1093" s="505"/>
      <c r="AE1093" s="143"/>
      <c r="AF1093" s="140"/>
      <c r="AG1093" s="22"/>
      <c r="AH1093" s="22"/>
      <c r="AI1093" s="22"/>
      <c r="AJ1093" s="22"/>
      <c r="AK1093" s="22"/>
      <c r="AL1093" s="22"/>
      <c r="AM1093" s="22"/>
      <c r="AN1093" s="22"/>
      <c r="AO1093" s="22"/>
      <c r="AP1093" s="22"/>
      <c r="AQ1093" s="22"/>
      <c r="AR1093" s="22"/>
      <c r="AS1093" s="22"/>
      <c r="AT1093" s="22"/>
      <c r="AU1093" s="35"/>
      <c r="AV1093" s="35"/>
      <c r="AW1093" s="35"/>
      <c r="AX1093" s="35"/>
      <c r="AY1093" s="35"/>
      <c r="AZ1093" s="35"/>
      <c r="BA1093" s="35"/>
      <c r="BB1093" s="35"/>
      <c r="BC1093" s="35"/>
      <c r="BD1093" s="35"/>
      <c r="BE1093" s="35"/>
      <c r="BF1093" s="35"/>
      <c r="BG1093" s="35"/>
      <c r="BH1093" s="35"/>
      <c r="BI1093" s="35"/>
      <c r="BJ1093" s="35"/>
      <c r="BK1093" s="35"/>
      <c r="BL1093" s="35"/>
      <c r="BM1093" s="35"/>
      <c r="BN1093" s="35"/>
      <c r="BO1093" s="86"/>
    </row>
    <row r="1094" spans="1:67" ht="15.75" customHeight="1" x14ac:dyDescent="0.25">
      <c r="A1094" s="520">
        <f>IFERROR(VLOOKUP($G$5,'רשימת רשויות'!A:C,3,0),0)</f>
        <v>0</v>
      </c>
      <c r="B1094" s="520">
        <f t="shared" si="148"/>
        <v>0</v>
      </c>
      <c r="D1094" s="1134"/>
      <c r="E1094" s="1137"/>
      <c r="F1094" s="591" t="s">
        <v>15</v>
      </c>
      <c r="G1094" s="134">
        <f>G1091+G1092+G1093</f>
        <v>0</v>
      </c>
      <c r="H1094" s="134">
        <f>H1091+H1092+H1093</f>
        <v>0</v>
      </c>
      <c r="I1094" s="138">
        <f>IFERROR(G1094/H1094,0)</f>
        <v>0</v>
      </c>
      <c r="J1094" s="139">
        <f>J1091+J1092+J1093</f>
        <v>0</v>
      </c>
      <c r="K1094" s="137">
        <f>K1092+K1091+K1093</f>
        <v>0</v>
      </c>
      <c r="L1094" s="408"/>
      <c r="M1094" s="394"/>
      <c r="N1094" s="394"/>
      <c r="O1094" s="602"/>
      <c r="P1094" s="621">
        <f>SUM(P1091:P1092)</f>
        <v>0</v>
      </c>
      <c r="Q1094" s="622">
        <f>Q1091+Q1092</f>
        <v>0</v>
      </c>
      <c r="R1094" s="596"/>
      <c r="S1094" s="611"/>
      <c r="T1094" s="599">
        <f>G1071</f>
        <v>0</v>
      </c>
      <c r="U1094" s="578"/>
      <c r="V1094" s="579"/>
      <c r="W1094" s="579">
        <f t="shared" si="153"/>
        <v>0</v>
      </c>
      <c r="X1094" s="579"/>
      <c r="Y1094" s="879"/>
      <c r="Z1094" s="106"/>
      <c r="AC1094" s="504"/>
      <c r="AD1094" s="505"/>
      <c r="AH1094" s="143"/>
      <c r="BO1094" s="86"/>
    </row>
    <row r="1095" spans="1:67" ht="15.75" customHeight="1" x14ac:dyDescent="0.25">
      <c r="A1095" s="520">
        <f>IFERROR(VLOOKUP($G$5,'רשימת רשויות'!A:C,3,0),0)</f>
        <v>0</v>
      </c>
      <c r="B1095" s="520">
        <f t="shared" si="148"/>
        <v>0</v>
      </c>
      <c r="D1095" s="1134"/>
      <c r="E1095" s="1137"/>
      <c r="F1095" s="589" t="s">
        <v>2261</v>
      </c>
      <c r="G1095" s="117">
        <f>IF(G1076="תקין",SUMIF('תשלומי הורים ומלגות להורים (5) '!$B$18:$B$517,$G1071,'תשלומי הורים ומלגות להורים (5) '!$C$18:$C$517),0)</f>
        <v>0</v>
      </c>
      <c r="H1095" s="117">
        <f>(G1074+G1075)*$G$7</f>
        <v>0</v>
      </c>
      <c r="I1095" s="141"/>
      <c r="J1095" s="141"/>
      <c r="K1095" s="142"/>
      <c r="L1095" s="395"/>
      <c r="M1095" s="395"/>
      <c r="N1095" s="395"/>
      <c r="O1095" s="602"/>
      <c r="P1095" s="623"/>
      <c r="Q1095" s="619"/>
      <c r="R1095" s="596"/>
      <c r="S1095" s="612"/>
      <c r="T1095" s="599">
        <f>G1071</f>
        <v>0</v>
      </c>
      <c r="U1095" s="578"/>
      <c r="V1095" s="579"/>
      <c r="W1095" s="579">
        <f t="shared" si="153"/>
        <v>0</v>
      </c>
      <c r="X1095" s="579"/>
      <c r="Y1095" s="879"/>
      <c r="Z1095" s="121"/>
      <c r="AA1095" s="143"/>
      <c r="AB1095" s="143"/>
      <c r="AC1095" s="504"/>
      <c r="AD1095" s="505"/>
      <c r="AE1095" s="143"/>
      <c r="AF1095" s="148"/>
      <c r="BO1095" s="86"/>
    </row>
    <row r="1096" spans="1:67" ht="15.75" customHeight="1" thickBot="1" x14ac:dyDescent="0.3">
      <c r="A1096" s="520">
        <f>IFERROR(VLOOKUP($G$5,'רשימת רשויות'!A:C,3,0),0)</f>
        <v>0</v>
      </c>
      <c r="B1096" s="520">
        <f t="shared" si="148"/>
        <v>0</v>
      </c>
      <c r="D1096" s="1134"/>
      <c r="E1096" s="1137"/>
      <c r="F1096" s="592" t="s">
        <v>21</v>
      </c>
      <c r="G1096" s="144">
        <f>G1094-G1095</f>
        <v>0</v>
      </c>
      <c r="H1096" s="144">
        <f>H1094-H1095</f>
        <v>0</v>
      </c>
      <c r="I1096" s="145"/>
      <c r="J1096" s="145"/>
      <c r="K1096" s="146"/>
      <c r="L1096" s="396"/>
      <c r="M1096" s="396"/>
      <c r="N1096" s="396"/>
      <c r="O1096" s="602"/>
      <c r="P1096" s="619"/>
      <c r="Q1096" s="619"/>
      <c r="R1096" s="596"/>
      <c r="S1096" s="612"/>
      <c r="T1096" s="599">
        <f>G1071</f>
        <v>0</v>
      </c>
      <c r="U1096" s="578"/>
      <c r="V1096" s="579"/>
      <c r="W1096" s="579">
        <f t="shared" si="153"/>
        <v>0</v>
      </c>
      <c r="X1096" s="579"/>
      <c r="Y1096" s="879"/>
      <c r="Z1096" s="147"/>
      <c r="AA1096" s="148"/>
      <c r="AB1096" s="148"/>
      <c r="AC1096" s="504"/>
      <c r="AD1096" s="505"/>
      <c r="AE1096" s="148"/>
      <c r="AF1096" s="148"/>
      <c r="BO1096" s="86"/>
    </row>
    <row r="1097" spans="1:67" ht="15.75" customHeight="1" thickBot="1" x14ac:dyDescent="0.3">
      <c r="A1097" s="520">
        <f>IFERROR(VLOOKUP($G$5,'רשימת רשויות'!A:C,3,0),0)</f>
        <v>0</v>
      </c>
      <c r="B1097" s="520">
        <f t="shared" si="148"/>
        <v>0</v>
      </c>
      <c r="D1097" s="1134"/>
      <c r="E1097" s="1137"/>
      <c r="F1097" s="580"/>
      <c r="G1097" s="580"/>
      <c r="H1097" s="147"/>
      <c r="I1097" s="149" t="s">
        <v>2197</v>
      </c>
      <c r="J1097" s="150">
        <f>MAX(MIN(P1094,Q1094),0)</f>
        <v>0</v>
      </c>
      <c r="K1097" s="580"/>
      <c r="L1097" s="580"/>
      <c r="M1097" s="580"/>
      <c r="N1097" s="580"/>
      <c r="O1097" s="580"/>
      <c r="P1097" s="615" t="s">
        <v>2317</v>
      </c>
      <c r="Q1097" s="624">
        <f>SUM(Q1098:Q1099)</f>
        <v>0</v>
      </c>
      <c r="R1097" s="596"/>
      <c r="S1097" s="612"/>
      <c r="T1097" s="599">
        <f>G1071</f>
        <v>0</v>
      </c>
      <c r="U1097" s="578"/>
      <c r="V1097" s="579"/>
      <c r="W1097" s="579">
        <f t="shared" si="153"/>
        <v>0</v>
      </c>
      <c r="X1097" s="579"/>
      <c r="Y1097" s="879"/>
      <c r="Z1097" s="106"/>
      <c r="AC1097" s="504"/>
      <c r="AD1097" s="505"/>
      <c r="AF1097" s="148"/>
      <c r="BO1097" s="86"/>
    </row>
    <row r="1098" spans="1:67" ht="16.5" thickBot="1" x14ac:dyDescent="0.3">
      <c r="A1098" s="520">
        <f>IFERROR(VLOOKUP($G$5,'רשימת רשויות'!A:C,3,0),0)</f>
        <v>0</v>
      </c>
      <c r="B1098" s="520">
        <f t="shared" si="148"/>
        <v>0</v>
      </c>
      <c r="D1098" s="1134"/>
      <c r="E1098" s="1137"/>
      <c r="F1098" s="580"/>
      <c r="G1098" s="580"/>
      <c r="H1098" s="580"/>
      <c r="I1098" s="84" t="s">
        <v>2193</v>
      </c>
      <c r="J1098" s="515" t="str">
        <f>IFERROR(1-H1095/H1094,"")</f>
        <v/>
      </c>
      <c r="K1098" s="580"/>
      <c r="L1098" s="580"/>
      <c r="M1098" s="580"/>
      <c r="N1098" s="580"/>
      <c r="O1098" s="580"/>
      <c r="P1098" s="615" t="s">
        <v>417</v>
      </c>
      <c r="Q1098" s="616">
        <f>IFERROR(MAX(H1096-I1099-Q1099,0),0)</f>
        <v>0</v>
      </c>
      <c r="R1098" s="596"/>
      <c r="S1098" s="600"/>
      <c r="T1098" s="599">
        <f>G1071</f>
        <v>0</v>
      </c>
      <c r="U1098" s="578"/>
      <c r="V1098" s="579"/>
      <c r="W1098" s="579">
        <f t="shared" si="153"/>
        <v>0</v>
      </c>
      <c r="X1098" s="579"/>
      <c r="Y1098" s="879"/>
      <c r="Z1098" s="106"/>
      <c r="AC1098" s="504"/>
      <c r="AD1098" s="505"/>
      <c r="BO1098" s="86"/>
    </row>
    <row r="1099" spans="1:67" ht="17.25" thickBot="1" x14ac:dyDescent="0.3">
      <c r="A1099" s="520">
        <f>IFERROR(VLOOKUP($G$5,'רשימת רשויות'!A:C,3,0),0)</f>
        <v>0</v>
      </c>
      <c r="B1099" s="520">
        <f t="shared" si="148"/>
        <v>0</v>
      </c>
      <c r="D1099" s="1134"/>
      <c r="E1099" s="1137"/>
      <c r="F1099" s="1143" t="s">
        <v>2679</v>
      </c>
      <c r="G1099" s="1143"/>
      <c r="H1099" s="1143"/>
      <c r="I1099" s="722">
        <f>IF(G1076="לא תקין","לא קיימת זכאות לתקציב לאור אי איוש משרות רכז ו/או סגן רכז ",IFERROR(J1098*(J1097+J1094),0))</f>
        <v>0</v>
      </c>
      <c r="J1099" s="573"/>
      <c r="K1099" s="574"/>
      <c r="L1099" s="396"/>
      <c r="M1099" s="574"/>
      <c r="N1099" s="574"/>
      <c r="O1099" s="574"/>
      <c r="P1099" s="615" t="s">
        <v>2279</v>
      </c>
      <c r="Q1099" s="616">
        <f>MAX(IF(AND(G1094&gt;H1094,I1099&lt;H1096),H1096-I1099,0),0)</f>
        <v>0</v>
      </c>
      <c r="R1099" s="575"/>
      <c r="S1099" s="576" t="s">
        <v>67</v>
      </c>
      <c r="T1099" s="577">
        <f>G1071</f>
        <v>0</v>
      </c>
      <c r="U1099" s="578"/>
      <c r="V1099" s="579">
        <f>I1099</f>
        <v>0</v>
      </c>
      <c r="W1099" s="579">
        <f>IFERROR(U1099-V1099,0)</f>
        <v>0</v>
      </c>
      <c r="X1099" s="579">
        <f>SUM(X1085:X1098)</f>
        <v>0</v>
      </c>
      <c r="Y1099" s="879"/>
      <c r="Z1099" s="106"/>
      <c r="AC1099" s="506">
        <v>0</v>
      </c>
      <c r="AD1099" s="507">
        <f>IFERROR(U1099-AC1099,0)</f>
        <v>0</v>
      </c>
      <c r="BO1099" s="86"/>
    </row>
    <row r="1100" spans="1:67" ht="16.5" thickBot="1" x14ac:dyDescent="0.3">
      <c r="A1100" s="520">
        <f>IFERROR(VLOOKUP($G$5,'רשימת רשויות'!A:C,3,0),0)</f>
        <v>0</v>
      </c>
      <c r="B1100" s="520">
        <f t="shared" si="148"/>
        <v>0</v>
      </c>
      <c r="D1100" s="1135"/>
      <c r="E1100" s="1138"/>
      <c r="F1100" s="1144" t="s">
        <v>2793</v>
      </c>
      <c r="G1100" s="1145"/>
      <c r="H1100" s="1145"/>
      <c r="I1100" s="593">
        <f>IFERROR(IF(G1076="תקין",SUMIFS('סייעות רפואיות או אישיות (7)'!$Q$17:Q$384,'סייעות רפואיות או אישיות (7)'!C$17:C$384,G1071),0),0)</f>
        <v>0</v>
      </c>
      <c r="J1100" s="151"/>
      <c r="K1100" s="152"/>
      <c r="L1100" s="409"/>
      <c r="M1100" s="152"/>
      <c r="N1100" s="152"/>
      <c r="O1100" s="152"/>
      <c r="P1100" s="613"/>
      <c r="Q1100" s="614"/>
      <c r="R1100" s="475"/>
      <c r="S1100" s="489"/>
      <c r="T1100" s="490"/>
      <c r="U1100" s="491"/>
      <c r="V1100" s="492"/>
      <c r="W1100" s="492"/>
      <c r="X1100" s="492"/>
      <c r="Y1100" s="880"/>
      <c r="Z1100" s="153"/>
      <c r="AC1100" s="581"/>
      <c r="AD1100" s="582"/>
      <c r="BO1100" s="86"/>
    </row>
    <row r="1101" spans="1:67" ht="34.5" thickBot="1" x14ac:dyDescent="0.55000000000000004">
      <c r="A1101" s="520">
        <f>IFERROR(VLOOKUP($G$5,'רשימת רשויות'!A:C,3,0),0)</f>
        <v>0</v>
      </c>
      <c r="B1101" s="520">
        <f t="shared" si="148"/>
        <v>0</v>
      </c>
      <c r="E1101" s="154"/>
      <c r="I1101" s="143"/>
      <c r="J1101" s="148"/>
      <c r="O1101" s="148"/>
      <c r="T1101" s="481"/>
      <c r="BO1101" s="86"/>
    </row>
    <row r="1102" spans="1:67" s="20" customFormat="1" ht="16.5" customHeight="1" thickBot="1" x14ac:dyDescent="0.3">
      <c r="A1102" s="520">
        <f>IFERROR(VLOOKUP($G$5,'רשימת רשויות'!A:C,3,0),0)</f>
        <v>0</v>
      </c>
      <c r="B1102" s="520">
        <f t="shared" ref="B1102:B1165" si="157">IF(F1103="סמל המוסד",G1103,B1101)</f>
        <v>0</v>
      </c>
      <c r="C1102" s="39"/>
      <c r="D1102" s="1133">
        <f>D1071+1</f>
        <v>36</v>
      </c>
      <c r="E1102" s="1136" t="str">
        <f>IFERROR(CONCATENATE("בית הספר ",VLOOKUP(G1102,'מצבת והרשמה (2)'!$C$21:$D$520,2,0)," - ",$G$5),"")</f>
        <v>בית הספר המוסד לא קיים - 0</v>
      </c>
      <c r="F1102" s="720" t="s">
        <v>146</v>
      </c>
      <c r="G1102" s="721">
        <f>IFERROR(VLOOKUP(D:D,'דוח ביצוע (3)'!$A$21:$C$900,2,0),0)</f>
        <v>0</v>
      </c>
      <c r="H1102" s="79"/>
      <c r="I1102" s="80" t="s">
        <v>150</v>
      </c>
      <c r="J1102" s="80"/>
      <c r="K1102" s="81"/>
      <c r="L1102" s="392"/>
      <c r="M1102" s="392"/>
      <c r="N1102" s="392"/>
      <c r="O1102" s="82"/>
      <c r="P1102" s="470"/>
      <c r="Q1102" s="471"/>
      <c r="R1102" s="472"/>
      <c r="S1102" s="883"/>
      <c r="T1102" s="884"/>
      <c r="U1102" s="486"/>
      <c r="V1102" s="487"/>
      <c r="W1102" s="487"/>
      <c r="X1102" s="487"/>
      <c r="Y1102" s="885"/>
      <c r="Z1102" s="83"/>
      <c r="AC1102" s="502"/>
      <c r="AD1102" s="503"/>
      <c r="AO1102" s="22"/>
      <c r="AP1102" s="22"/>
      <c r="AQ1102" s="22"/>
      <c r="AR1102" s="22"/>
      <c r="AS1102" s="22"/>
      <c r="AT1102" s="22"/>
      <c r="AU1102" s="35"/>
      <c r="AV1102" s="35"/>
      <c r="AW1102" s="35"/>
      <c r="AX1102" s="35"/>
      <c r="AY1102" s="35"/>
      <c r="AZ1102" s="35"/>
      <c r="BA1102" s="35"/>
      <c r="BB1102" s="35"/>
      <c r="BC1102" s="35"/>
      <c r="BD1102" s="35"/>
      <c r="BE1102" s="35"/>
      <c r="BF1102" s="35"/>
      <c r="BG1102" s="35"/>
      <c r="BH1102" s="35"/>
      <c r="BI1102" s="35"/>
      <c r="BJ1102" s="35"/>
      <c r="BK1102" s="35"/>
      <c r="BL1102" s="35"/>
      <c r="BM1102" s="35"/>
      <c r="BN1102" s="35"/>
      <c r="BO1102" s="78"/>
    </row>
    <row r="1103" spans="1:67" s="20" customFormat="1" ht="16.5" thickBot="1" x14ac:dyDescent="0.3">
      <c r="A1103" s="520">
        <f>IFERROR(VLOOKUP($G$5,'רשימת רשויות'!A:C,3,0),0)</f>
        <v>0</v>
      </c>
      <c r="B1103" s="520">
        <f t="shared" si="157"/>
        <v>0</v>
      </c>
      <c r="C1103" s="39"/>
      <c r="D1103" s="1134"/>
      <c r="E1103" s="1137"/>
      <c r="F1103" s="583" t="s">
        <v>145</v>
      </c>
      <c r="G1103" s="516" t="str">
        <f>IFERROR(IF((G1105+G1106)=0,"",IF(VLOOKUP(G1102,'דוח ביצוע (3)'!$B$21:$K$900,5,0)&gt;149,"גדול",IF(AND(VLOOKUP(G1102,'דוח ביצוע (3)'!$B$21:$K$900,5,0)&gt;0,VLOOKUP(G1102,'דוח ביצוע (3)'!$B$21:$K$900,5,0)&lt;150),"קטן",0))),"")</f>
        <v/>
      </c>
      <c r="H1103" s="723" t="s">
        <v>88</v>
      </c>
      <c r="I1103" s="723" t="s">
        <v>13</v>
      </c>
      <c r="J1103" s="725" t="s">
        <v>14</v>
      </c>
      <c r="K1103" s="724" t="s">
        <v>94</v>
      </c>
      <c r="L1103" s="594"/>
      <c r="M1103" s="420" t="s">
        <v>2584</v>
      </c>
      <c r="N1103" s="397" t="s">
        <v>413</v>
      </c>
      <c r="O1103" s="398" t="s">
        <v>52</v>
      </c>
      <c r="P1103" s="595"/>
      <c r="Q1103" s="595"/>
      <c r="R1103" s="596"/>
      <c r="S1103" s="610"/>
      <c r="T1103" s="881"/>
      <c r="U1103" s="598"/>
      <c r="V1103" s="599"/>
      <c r="W1103" s="599"/>
      <c r="X1103" s="599"/>
      <c r="Y1103" s="879"/>
      <c r="Z1103" s="85"/>
      <c r="AC1103" s="493"/>
      <c r="AD1103" s="495"/>
      <c r="AO1103" s="22"/>
      <c r="AP1103" s="22"/>
      <c r="AQ1103" s="22"/>
      <c r="AR1103" s="22"/>
      <c r="AS1103" s="22"/>
      <c r="AT1103" s="22"/>
      <c r="AU1103" s="35"/>
      <c r="AV1103" s="35"/>
      <c r="AW1103" s="35"/>
      <c r="AX1103" s="35"/>
      <c r="AY1103" s="35"/>
      <c r="AZ1103" s="35"/>
      <c r="BA1103" s="35"/>
      <c r="BB1103" s="35"/>
      <c r="BC1103" s="35"/>
      <c r="BD1103" s="35"/>
      <c r="BE1103" s="35"/>
      <c r="BF1103" s="35"/>
      <c r="BG1103" s="35"/>
      <c r="BH1103" s="35"/>
      <c r="BI1103" s="35"/>
      <c r="BJ1103" s="35"/>
      <c r="BK1103" s="35"/>
      <c r="BL1103" s="35"/>
      <c r="BM1103" s="35"/>
      <c r="BN1103" s="35"/>
      <c r="BO1103" s="78"/>
    </row>
    <row r="1104" spans="1:67" s="20" customFormat="1" ht="15.75" customHeight="1" thickBot="1" x14ac:dyDescent="0.3">
      <c r="A1104" s="520">
        <f>IFERROR(VLOOKUP($G$5,'רשימת רשויות'!A:C,3,0),0)</f>
        <v>0</v>
      </c>
      <c r="B1104" s="520">
        <f t="shared" si="157"/>
        <v>0</v>
      </c>
      <c r="C1104" s="39"/>
      <c r="D1104" s="1134"/>
      <c r="E1104" s="1137"/>
      <c r="F1104" s="584" t="s">
        <v>144</v>
      </c>
      <c r="G1104" s="87">
        <f>IF(G1107="תקין",IFERROR(VLOOKUP($G1102,'דוח ביצוע (3)'!$B$21:$Q$900,12,0),0),0)</f>
        <v>0</v>
      </c>
      <c r="H1104" s="88">
        <f>IFERROR(G1105*$AH$6+G1106*$AH$7,0)</f>
        <v>0</v>
      </c>
      <c r="I1104" s="88">
        <f>IFERROR(G1105*$AI$6+G1106*$AI$7,0)</f>
        <v>0</v>
      </c>
      <c r="J1104" s="88">
        <f>IFERROR(G1105*$AJ$6+G1106*$AJ$7,0)</f>
        <v>0</v>
      </c>
      <c r="K1104" s="88">
        <f>IFERROR(G1105*$AK$6+G1106*$AK$7,0)</f>
        <v>0</v>
      </c>
      <c r="L1104" s="405"/>
      <c r="M1104" s="399" t="s">
        <v>427</v>
      </c>
      <c r="N1104" s="400" t="str">
        <f>IFERROR(VLOOKUP($G1102,'דוח ביצוע (3)'!$B:$AE,28,0),"")</f>
        <v/>
      </c>
      <c r="O1104" s="89" t="str">
        <f>IFERROR(VLOOKUP($G1102,'דוח ביצוע (3)'!B:AE,29,0),"")</f>
        <v/>
      </c>
      <c r="P1104" s="595"/>
      <c r="Q1104" s="595"/>
      <c r="R1104" s="596"/>
      <c r="S1104" s="610"/>
      <c r="T1104" s="881"/>
      <c r="U1104" s="598"/>
      <c r="V1104" s="599"/>
      <c r="W1104" s="599"/>
      <c r="X1104" s="599"/>
      <c r="Y1104" s="879"/>
      <c r="Z1104" s="85"/>
      <c r="AC1104" s="493"/>
      <c r="AD1104" s="495"/>
      <c r="AO1104" s="22"/>
      <c r="AP1104" s="22"/>
      <c r="AQ1104" s="22"/>
      <c r="AR1104" s="22"/>
      <c r="AS1104" s="22"/>
      <c r="AT1104" s="22"/>
      <c r="AU1104" s="35"/>
      <c r="AV1104" s="35"/>
      <c r="AW1104" s="35"/>
      <c r="AX1104" s="35"/>
      <c r="AY1104" s="35"/>
      <c r="AZ1104" s="35"/>
      <c r="BA1104" s="35"/>
      <c r="BB1104" s="35"/>
      <c r="BC1104" s="35"/>
      <c r="BD1104" s="35"/>
      <c r="BE1104" s="35"/>
      <c r="BF1104" s="35"/>
      <c r="BG1104" s="35"/>
      <c r="BH1104" s="35"/>
      <c r="BI1104" s="35"/>
      <c r="BJ1104" s="35"/>
      <c r="BK1104" s="35"/>
      <c r="BL1104" s="35"/>
      <c r="BM1104" s="35"/>
      <c r="BN1104" s="35"/>
      <c r="BO1104" s="78"/>
    </row>
    <row r="1105" spans="1:67" s="20" customFormat="1" ht="32.25" thickBot="1" x14ac:dyDescent="0.3">
      <c r="A1105" s="520">
        <f>IFERROR(VLOOKUP($G$5,'רשימת רשויות'!A:C,3,0),0)</f>
        <v>0</v>
      </c>
      <c r="B1105" s="520">
        <f t="shared" si="157"/>
        <v>0</v>
      </c>
      <c r="C1105" s="39"/>
      <c r="D1105" s="1134"/>
      <c r="E1105" s="1137"/>
      <c r="F1105" s="585" t="s">
        <v>2195</v>
      </c>
      <c r="G1105" s="89">
        <f>IF(G1107="תקין",MAX(N1107,0),0)</f>
        <v>0</v>
      </c>
      <c r="H1105" s="725" t="s">
        <v>151</v>
      </c>
      <c r="I1105" s="725" t="s">
        <v>91</v>
      </c>
      <c r="J1105" s="970" t="s">
        <v>3396</v>
      </c>
      <c r="K1105" s="601"/>
      <c r="L1105" s="601"/>
      <c r="M1105" s="983" t="s">
        <v>2585</v>
      </c>
      <c r="N1105" s="400" t="str">
        <f>IFERROR(G1104/15*N1104*1.25,"")</f>
        <v/>
      </c>
      <c r="O1105" s="89" t="str">
        <f>IFERROR(G1104/15*O1104*1.25,"")</f>
        <v/>
      </c>
      <c r="P1105" s="595"/>
      <c r="Q1105" s="595"/>
      <c r="R1105" s="596"/>
      <c r="S1105" s="610"/>
      <c r="T1105" s="881"/>
      <c r="U1105" s="598"/>
      <c r="V1105" s="599"/>
      <c r="W1105" s="599"/>
      <c r="X1105" s="599"/>
      <c r="Y1105" s="879"/>
      <c r="Z1105" s="85"/>
      <c r="AC1105" s="493"/>
      <c r="AD1105" s="495"/>
      <c r="AG1105" s="22"/>
      <c r="AH1105" s="55"/>
      <c r="AI1105" s="55"/>
      <c r="AJ1105" s="55"/>
      <c r="AK1105" s="55"/>
      <c r="AO1105" s="22"/>
      <c r="AP1105" s="22"/>
      <c r="AQ1105" s="22"/>
      <c r="AR1105" s="22"/>
      <c r="AS1105" s="22"/>
      <c r="AT1105" s="22"/>
      <c r="AU1105" s="35"/>
      <c r="AV1105" s="35"/>
      <c r="AW1105" s="35"/>
      <c r="AX1105" s="35"/>
      <c r="AY1105" s="35"/>
      <c r="AZ1105" s="35"/>
      <c r="BA1105" s="35"/>
      <c r="BB1105" s="35"/>
      <c r="BC1105" s="35"/>
      <c r="BD1105" s="35"/>
      <c r="BE1105" s="35"/>
      <c r="BF1105" s="35"/>
      <c r="BG1105" s="35"/>
      <c r="BH1105" s="35"/>
      <c r="BI1105" s="35"/>
      <c r="BJ1105" s="35"/>
      <c r="BK1105" s="35"/>
      <c r="BL1105" s="35"/>
      <c r="BM1105" s="35"/>
      <c r="BN1105" s="35"/>
      <c r="BO1105" s="86"/>
    </row>
    <row r="1106" spans="1:67" s="20" customFormat="1" ht="16.5" thickBot="1" x14ac:dyDescent="0.3">
      <c r="A1106" s="520">
        <f>IFERROR(VLOOKUP($G$5,'רשימת רשויות'!A:C,3,0),0)</f>
        <v>0</v>
      </c>
      <c r="B1106" s="520">
        <f t="shared" si="157"/>
        <v>0</v>
      </c>
      <c r="C1106" s="39"/>
      <c r="D1106" s="1134"/>
      <c r="E1106" s="1137"/>
      <c r="F1106" s="585" t="s">
        <v>2196</v>
      </c>
      <c r="G1106" s="89">
        <f>IF(G1107="תקין",MAX(O1107,0),0)</f>
        <v>0</v>
      </c>
      <c r="H1106" s="88">
        <f>(IFERROR(IF((G1105+G1106)=0,0,IF(G1103="קטן",G1104*$AH$10,G1104*$AH$11)),0))+(IFERROR(IF((G1105+G1106)=0,0,VLOOKUP(G1102,'דוח ביצוע (3)'!$B:$AH,33,0)),0))</f>
        <v>0</v>
      </c>
      <c r="I1106" s="88">
        <f>IFERROR(IF((G1105+G1106)=0,0,IF(G1103="קטן",G1104*$AI$10,G1104*$AI$11)),0)</f>
        <v>0</v>
      </c>
      <c r="J1106" s="88">
        <f>IFERROR(IF((G1105+G1106)=0,0,VLOOKUP(G1102,'דוח ביצוע (3)'!$B:$AH,32,0)),0)</f>
        <v>0</v>
      </c>
      <c r="K1106" s="90"/>
      <c r="L1106" s="90"/>
      <c r="M1106" s="399" t="s">
        <v>412</v>
      </c>
      <c r="N1106" s="400">
        <f>IFERROR(VLOOKUP($G1102,'דוח ביצוע (3)'!$B$21:$U$500,18,0),0)</f>
        <v>0</v>
      </c>
      <c r="O1106" s="401">
        <f>IFERROR(VLOOKUP($G1102,'דוח ביצוע (3)'!$B$21:$U$500,19,0),0)</f>
        <v>0</v>
      </c>
      <c r="P1106" s="595"/>
      <c r="Q1106" s="595"/>
      <c r="R1106" s="596"/>
      <c r="S1106" s="610"/>
      <c r="T1106" s="881"/>
      <c r="U1106" s="598"/>
      <c r="V1106" s="599"/>
      <c r="W1106" s="599"/>
      <c r="X1106" s="599"/>
      <c r="Y1106" s="879"/>
      <c r="Z1106" s="85"/>
      <c r="AC1106" s="493"/>
      <c r="AD1106" s="495"/>
      <c r="AG1106" s="22"/>
      <c r="AH1106" s="55"/>
      <c r="AI1106" s="55"/>
      <c r="AJ1106" s="55"/>
      <c r="AK1106" s="55"/>
      <c r="AO1106" s="22"/>
      <c r="AP1106" s="22"/>
      <c r="AQ1106" s="22"/>
      <c r="AR1106" s="22"/>
      <c r="AS1106" s="22"/>
      <c r="AT1106" s="22"/>
      <c r="AU1106" s="35"/>
      <c r="AV1106" s="35"/>
      <c r="AW1106" s="35"/>
      <c r="AX1106" s="35"/>
      <c r="AY1106" s="35"/>
      <c r="AZ1106" s="35"/>
      <c r="BA1106" s="35"/>
      <c r="BB1106" s="35"/>
      <c r="BC1106" s="35"/>
      <c r="BD1106" s="35"/>
      <c r="BE1106" s="35"/>
      <c r="BF1106" s="35"/>
      <c r="BG1106" s="35"/>
      <c r="BH1106" s="35"/>
      <c r="BI1106" s="35"/>
      <c r="BJ1106" s="35"/>
      <c r="BK1106" s="35"/>
      <c r="BL1106" s="35"/>
      <c r="BM1106" s="35"/>
      <c r="BN1106" s="35"/>
      <c r="BO1106" s="86"/>
    </row>
    <row r="1107" spans="1:67" s="20" customFormat="1" ht="16.5" thickBot="1" x14ac:dyDescent="0.3">
      <c r="A1107" s="520">
        <f>IFERROR(VLOOKUP($G$5,'רשימת רשויות'!A:C,3,0),0)</f>
        <v>0</v>
      </c>
      <c r="B1107" s="520">
        <f t="shared" si="157"/>
        <v>0</v>
      </c>
      <c r="C1107" s="39"/>
      <c r="D1107" s="1134"/>
      <c r="E1107" s="1137"/>
      <c r="F1107" s="586" t="s">
        <v>2355</v>
      </c>
      <c r="G1107" s="514">
        <f>IFERROR(IF(VLOOKUP('בית ספר - תקצוב לפי מוסד (9)'!G1102,' איוש משרות (8)'!$C:$K,9,0)="תקין","תקין","לא תקין"),0)</f>
        <v>0</v>
      </c>
      <c r="H1107" s="91"/>
      <c r="I1107" s="91"/>
      <c r="J1107" s="91"/>
      <c r="K1107" s="90"/>
      <c r="L1107" s="90"/>
      <c r="M1107" s="402" t="s">
        <v>2586</v>
      </c>
      <c r="N1107" s="403">
        <f>IFERROR(MIN(N1105,N1106),0)</f>
        <v>0</v>
      </c>
      <c r="O1107" s="404">
        <f>IFERROR(MIN(O1105,O1106),0)</f>
        <v>0</v>
      </c>
      <c r="P1107" s="595"/>
      <c r="Q1107" s="595"/>
      <c r="R1107" s="596"/>
      <c r="S1107" s="610"/>
      <c r="T1107" s="881"/>
      <c r="U1107" s="598"/>
      <c r="V1107" s="599"/>
      <c r="W1107" s="599"/>
      <c r="X1107" s="599"/>
      <c r="Y1107" s="879"/>
      <c r="Z1107" s="85"/>
      <c r="AC1107" s="493"/>
      <c r="AD1107" s="495"/>
      <c r="AG1107" s="94"/>
      <c r="AH1107" s="40"/>
      <c r="AI1107" s="40"/>
      <c r="AJ1107" s="40"/>
      <c r="AK1107" s="40"/>
      <c r="AO1107" s="22"/>
      <c r="AP1107" s="22"/>
      <c r="AQ1107" s="22"/>
      <c r="AR1107" s="22"/>
      <c r="AS1107" s="22"/>
      <c r="AT1107" s="22"/>
      <c r="AU1107" s="35"/>
      <c r="AV1107" s="35"/>
      <c r="AW1107" s="35"/>
      <c r="AX1107" s="35"/>
      <c r="AY1107" s="35"/>
      <c r="AZ1107" s="35"/>
      <c r="BA1107" s="35"/>
      <c r="BB1107" s="35"/>
      <c r="BC1107" s="35"/>
      <c r="BD1107" s="35"/>
      <c r="BE1107" s="35"/>
      <c r="BF1107" s="35"/>
      <c r="BG1107" s="35"/>
      <c r="BH1107" s="35"/>
      <c r="BI1107" s="35"/>
      <c r="BJ1107" s="35"/>
      <c r="BK1107" s="35"/>
      <c r="BL1107" s="35"/>
      <c r="BM1107" s="35"/>
      <c r="BN1107" s="35"/>
      <c r="BO1107" s="86"/>
    </row>
    <row r="1108" spans="1:67" s="55" customFormat="1" ht="37.15" customHeight="1" thickBot="1" x14ac:dyDescent="0.3">
      <c r="A1108" s="520">
        <f>IFERROR(VLOOKUP($G$5,'רשימת רשויות'!A:C,3,0),0)</f>
        <v>0</v>
      </c>
      <c r="B1108" s="520">
        <f t="shared" si="157"/>
        <v>0</v>
      </c>
      <c r="C1108" s="39"/>
      <c r="D1108" s="1134"/>
      <c r="E1108" s="1137"/>
      <c r="F1108" s="587" t="s">
        <v>142</v>
      </c>
      <c r="G1108" s="92"/>
      <c r="H1108" s="92"/>
      <c r="I1108" s="92"/>
      <c r="J1108" s="92"/>
      <c r="K1108" s="602"/>
      <c r="L1108" s="602"/>
      <c r="M1108" s="602"/>
      <c r="N1108" s="602"/>
      <c r="O1108" s="602"/>
      <c r="P1108" s="595"/>
      <c r="Q1108" s="595"/>
      <c r="R1108" s="596"/>
      <c r="S1108" s="610"/>
      <c r="T1108" s="881"/>
      <c r="U1108" s="598"/>
      <c r="V1108" s="599"/>
      <c r="W1108" s="599"/>
      <c r="X1108" s="599"/>
      <c r="Y1108" s="879"/>
      <c r="Z1108" s="93"/>
      <c r="AC1108" s="493"/>
      <c r="AD1108" s="495"/>
      <c r="AF1108" s="22"/>
      <c r="AG1108" s="98"/>
      <c r="AH1108" s="98"/>
      <c r="AI1108" s="40"/>
      <c r="AJ1108" s="40"/>
      <c r="AK1108" s="40"/>
      <c r="AO1108" s="22"/>
      <c r="AP1108" s="22"/>
      <c r="AQ1108" s="22"/>
      <c r="AR1108" s="22"/>
      <c r="AS1108" s="22"/>
      <c r="AT1108" s="22"/>
      <c r="AU1108" s="35"/>
      <c r="AV1108" s="35"/>
      <c r="AW1108" s="35"/>
      <c r="AX1108" s="35"/>
      <c r="AY1108" s="35"/>
      <c r="AZ1108" s="35"/>
      <c r="BA1108" s="35"/>
      <c r="BB1108" s="35"/>
      <c r="BC1108" s="35"/>
      <c r="BD1108" s="35"/>
      <c r="BE1108" s="35"/>
      <c r="BF1108" s="35"/>
      <c r="BG1108" s="35"/>
      <c r="BH1108" s="35"/>
      <c r="BI1108" s="35"/>
      <c r="BJ1108" s="35"/>
      <c r="BK1108" s="35"/>
      <c r="BL1108" s="35"/>
      <c r="BM1108" s="35"/>
      <c r="BN1108" s="35"/>
      <c r="BO1108" s="86"/>
    </row>
    <row r="1109" spans="1:67" s="40" customFormat="1" ht="31.5" x14ac:dyDescent="0.25">
      <c r="A1109" s="520">
        <f>IFERROR(VLOOKUP($G$5,'רשימת רשויות'!A:C,3,0),0)</f>
        <v>0</v>
      </c>
      <c r="B1109" s="520">
        <f t="shared" si="157"/>
        <v>0</v>
      </c>
      <c r="C1109" s="39"/>
      <c r="D1109" s="1134"/>
      <c r="E1109" s="1137"/>
      <c r="F1109" s="588" t="s">
        <v>94</v>
      </c>
      <c r="G1109" s="95" t="s">
        <v>18</v>
      </c>
      <c r="H1109" s="95" t="s">
        <v>19</v>
      </c>
      <c r="I1109" s="95" t="s">
        <v>138</v>
      </c>
      <c r="J1109" s="96" t="s">
        <v>139</v>
      </c>
      <c r="K1109" s="603"/>
      <c r="L1109" s="603"/>
      <c r="M1109" s="603"/>
      <c r="N1109" s="603"/>
      <c r="O1109" s="603"/>
      <c r="P1109" s="604"/>
      <c r="Q1109" s="604"/>
      <c r="R1109" s="596"/>
      <c r="S1109" s="610"/>
      <c r="T1109" s="881"/>
      <c r="U1109" s="598"/>
      <c r="V1109" s="599"/>
      <c r="W1109" s="599"/>
      <c r="X1109" s="599"/>
      <c r="Y1109" s="879"/>
      <c r="Z1109" s="97"/>
      <c r="AA1109" s="94"/>
      <c r="AB1109" s="94"/>
      <c r="AC1109" s="493"/>
      <c r="AD1109" s="495"/>
      <c r="AE1109" s="94"/>
      <c r="AG1109" s="98"/>
      <c r="AH1109" s="98"/>
      <c r="AO1109" s="22"/>
      <c r="AP1109" s="22"/>
      <c r="AQ1109" s="22"/>
      <c r="AR1109" s="22"/>
      <c r="AS1109" s="22"/>
      <c r="AT1109" s="22"/>
      <c r="AU1109" s="35"/>
      <c r="AV1109" s="35"/>
      <c r="AW1109" s="35"/>
      <c r="AX1109" s="35"/>
      <c r="AY1109" s="35"/>
      <c r="AZ1109" s="35"/>
      <c r="BA1109" s="35"/>
      <c r="BB1109" s="35"/>
      <c r="BC1109" s="35"/>
      <c r="BD1109" s="35"/>
      <c r="BE1109" s="35"/>
      <c r="BF1109" s="35"/>
      <c r="BG1109" s="35"/>
      <c r="BH1109" s="35"/>
      <c r="BI1109" s="35"/>
      <c r="BJ1109" s="35"/>
      <c r="BK1109" s="35"/>
      <c r="BL1109" s="35"/>
      <c r="BM1109" s="35"/>
      <c r="BN1109" s="35"/>
      <c r="BO1109" s="86"/>
    </row>
    <row r="1110" spans="1:67" s="40" customFormat="1" ht="15.75" customHeight="1" thickBot="1" x14ac:dyDescent="0.3">
      <c r="A1110" s="520">
        <f>IFERROR(VLOOKUP($G$5,'רשימת רשויות'!A:C,3,0),0)</f>
        <v>0</v>
      </c>
      <c r="B1110" s="520">
        <f t="shared" si="157"/>
        <v>0</v>
      </c>
      <c r="C1110" s="39"/>
      <c r="D1110" s="1134"/>
      <c r="E1110" s="1137"/>
      <c r="F1110" s="589" t="s">
        <v>2280</v>
      </c>
      <c r="G1110" s="99">
        <f>+G1121</f>
        <v>0</v>
      </c>
      <c r="H1110" s="100">
        <f>K1104</f>
        <v>0</v>
      </c>
      <c r="I1110" s="100">
        <f>H1110-I1112</f>
        <v>0</v>
      </c>
      <c r="J1110" s="101">
        <f>IFERROR(I1110/H1110,0)</f>
        <v>0</v>
      </c>
      <c r="K1110" s="603"/>
      <c r="L1110" s="603"/>
      <c r="M1110" s="603"/>
      <c r="N1110" s="603"/>
      <c r="O1110" s="603"/>
      <c r="P1110" s="605"/>
      <c r="Q1110" s="604"/>
      <c r="R1110" s="606" t="s">
        <v>157</v>
      </c>
      <c r="S1110" s="611"/>
      <c r="T1110" s="881"/>
      <c r="U1110" s="598"/>
      <c r="V1110" s="599"/>
      <c r="W1110" s="599"/>
      <c r="X1110" s="599"/>
      <c r="Y1110" s="879"/>
      <c r="Z1110" s="102"/>
      <c r="AA1110" s="122"/>
      <c r="AB1110" s="122"/>
      <c r="AC1110" s="493"/>
      <c r="AD1110" s="495"/>
      <c r="AE1110" s="122"/>
      <c r="AF1110" s="22"/>
      <c r="AG1110" s="98"/>
      <c r="AH1110" s="98"/>
      <c r="AI1110" s="20"/>
      <c r="AO1110" s="22"/>
      <c r="AP1110" s="22"/>
      <c r="AQ1110" s="22"/>
      <c r="AR1110" s="22"/>
      <c r="AS1110" s="22"/>
      <c r="AT1110" s="22"/>
      <c r="AU1110" s="35"/>
      <c r="AV1110" s="35"/>
      <c r="AW1110" s="35"/>
      <c r="AX1110" s="35"/>
      <c r="AY1110" s="35"/>
      <c r="AZ1110" s="35"/>
      <c r="BA1110" s="35"/>
      <c r="BB1110" s="35"/>
      <c r="BC1110" s="35"/>
      <c r="BD1110" s="35"/>
      <c r="BE1110" s="35"/>
      <c r="BF1110" s="35"/>
      <c r="BG1110" s="35"/>
      <c r="BH1110" s="35"/>
      <c r="BI1110" s="35"/>
      <c r="BJ1110" s="35"/>
      <c r="BK1110" s="35"/>
      <c r="BL1110" s="35"/>
      <c r="BM1110" s="35"/>
      <c r="BN1110" s="35"/>
      <c r="BO1110" s="86"/>
    </row>
    <row r="1111" spans="1:67" s="40" customFormat="1" ht="15.75" customHeight="1" thickBot="1" x14ac:dyDescent="0.3">
      <c r="A1111" s="520">
        <f>IFERROR(VLOOKUP($G$5,'רשימת רשויות'!A:C,3,0),0)</f>
        <v>0</v>
      </c>
      <c r="B1111" s="520">
        <f t="shared" si="157"/>
        <v>0</v>
      </c>
      <c r="C1111" s="39"/>
      <c r="D1111" s="1134"/>
      <c r="E1111" s="1137"/>
      <c r="F1111" s="589" t="s">
        <v>2281</v>
      </c>
      <c r="G1111" s="99">
        <f>+G1120</f>
        <v>0</v>
      </c>
      <c r="H1111" s="103"/>
      <c r="I1111" s="104"/>
      <c r="J1111" s="105"/>
      <c r="K1111" s="603"/>
      <c r="L1111" s="603"/>
      <c r="M1111" s="603"/>
      <c r="N1111" s="603"/>
      <c r="O1111" s="603"/>
      <c r="P1111" s="605"/>
      <c r="Q1111" s="604"/>
      <c r="R1111" s="473">
        <f>I1112-R1113</f>
        <v>0</v>
      </c>
      <c r="S1111" s="611"/>
      <c r="T1111" s="881"/>
      <c r="U1111" s="598"/>
      <c r="V1111" s="599"/>
      <c r="W1111" s="599"/>
      <c r="X1111" s="599"/>
      <c r="Y1111" s="879"/>
      <c r="Z1111" s="106"/>
      <c r="AA1111" s="22"/>
      <c r="AB1111" s="22"/>
      <c r="AC1111" s="493"/>
      <c r="AD1111" s="495"/>
      <c r="AE1111" s="22"/>
      <c r="AF1111" s="22"/>
      <c r="AG1111" s="98"/>
      <c r="AH1111" s="98"/>
      <c r="AI1111" s="20"/>
      <c r="AO1111" s="22"/>
      <c r="AP1111" s="22"/>
      <c r="AQ1111" s="22"/>
      <c r="AR1111" s="22"/>
      <c r="AS1111" s="22"/>
      <c r="AT1111" s="22"/>
      <c r="AU1111" s="35"/>
      <c r="AV1111" s="35"/>
      <c r="AW1111" s="35"/>
      <c r="AX1111" s="35"/>
      <c r="AY1111" s="35"/>
      <c r="AZ1111" s="35"/>
      <c r="BA1111" s="35"/>
      <c r="BB1111" s="35"/>
      <c r="BC1111" s="35"/>
      <c r="BD1111" s="35"/>
      <c r="BE1111" s="35"/>
      <c r="BF1111" s="35"/>
      <c r="BG1111" s="35"/>
      <c r="BH1111" s="35"/>
      <c r="BI1111" s="35"/>
      <c r="BJ1111" s="35"/>
      <c r="BK1111" s="35"/>
      <c r="BL1111" s="35"/>
      <c r="BM1111" s="35"/>
      <c r="BN1111" s="35"/>
      <c r="BO1111" s="86"/>
    </row>
    <row r="1112" spans="1:67" s="40" customFormat="1" ht="16.5" customHeight="1" thickBot="1" x14ac:dyDescent="0.3">
      <c r="A1112" s="520">
        <f>IFERROR(VLOOKUP($G$5,'רשימת רשויות'!A:C,3,0),0)</f>
        <v>0</v>
      </c>
      <c r="B1112" s="520">
        <f t="shared" si="157"/>
        <v>0</v>
      </c>
      <c r="C1112" s="39"/>
      <c r="D1112" s="1134"/>
      <c r="E1112" s="1137"/>
      <c r="F1112" s="589" t="s">
        <v>2282</v>
      </c>
      <c r="G1112" s="99">
        <f>G1116+G1117+G1118</f>
        <v>0</v>
      </c>
      <c r="H1112" s="104"/>
      <c r="I1112" s="107">
        <f>MAX(H1110-G1110-G1111,0)</f>
        <v>0</v>
      </c>
      <c r="J1112" s="108">
        <f>IFERROR(I1112/H1110,0)</f>
        <v>0</v>
      </c>
      <c r="K1112" s="603"/>
      <c r="L1112" s="603"/>
      <c r="M1112" s="603"/>
      <c r="N1112" s="603"/>
      <c r="O1112" s="603"/>
      <c r="P1112" s="604"/>
      <c r="Q1112" s="604"/>
      <c r="R1112" s="606" t="s">
        <v>158</v>
      </c>
      <c r="S1112" s="612"/>
      <c r="T1112" s="881"/>
      <c r="U1112" s="598"/>
      <c r="V1112" s="599"/>
      <c r="W1112" s="599"/>
      <c r="X1112" s="599"/>
      <c r="Y1112" s="879"/>
      <c r="Z1112" s="106"/>
      <c r="AA1112" s="22"/>
      <c r="AB1112" s="22"/>
      <c r="AC1112" s="493"/>
      <c r="AD1112" s="495"/>
      <c r="AE1112" s="22"/>
      <c r="AF1112" s="22"/>
      <c r="AG1112" s="22"/>
      <c r="AH1112" s="22"/>
      <c r="AI1112" s="55"/>
      <c r="AJ1112" s="22"/>
      <c r="AK1112" s="22"/>
      <c r="AO1112" s="22"/>
      <c r="AP1112" s="22"/>
      <c r="AQ1112" s="22"/>
      <c r="AR1112" s="22"/>
      <c r="AS1112" s="22"/>
      <c r="AT1112" s="22"/>
      <c r="AU1112" s="35"/>
      <c r="AV1112" s="35"/>
      <c r="AW1112" s="35"/>
      <c r="AX1112" s="35"/>
      <c r="AY1112" s="35"/>
      <c r="AZ1112" s="35"/>
      <c r="BA1112" s="35"/>
      <c r="BB1112" s="35"/>
      <c r="BC1112" s="35"/>
      <c r="BD1112" s="35"/>
      <c r="BE1112" s="35"/>
      <c r="BF1112" s="35"/>
      <c r="BG1112" s="35"/>
      <c r="BH1112" s="35"/>
      <c r="BI1112" s="35"/>
      <c r="BJ1112" s="35"/>
      <c r="BK1112" s="35"/>
      <c r="BL1112" s="35"/>
      <c r="BM1112" s="35"/>
      <c r="BN1112" s="35"/>
      <c r="BO1112" s="86"/>
    </row>
    <row r="1113" spans="1:67" s="40" customFormat="1" ht="15.75" customHeight="1" thickBot="1" x14ac:dyDescent="0.3">
      <c r="A1113" s="520">
        <f>IFERROR(VLOOKUP($G$5,'רשימת רשויות'!A:C,3,0),0)</f>
        <v>0</v>
      </c>
      <c r="B1113" s="520">
        <f t="shared" si="157"/>
        <v>0</v>
      </c>
      <c r="C1113" s="39"/>
      <c r="D1113" s="1134"/>
      <c r="E1113" s="1137"/>
      <c r="F1113" s="590" t="s">
        <v>2290</v>
      </c>
      <c r="G1113" s="109"/>
      <c r="H1113" s="110"/>
      <c r="I1113" s="111">
        <f>SUM(I1110:I1112)</f>
        <v>0</v>
      </c>
      <c r="J1113" s="112">
        <f>SUM(J1110:J1112)</f>
        <v>0</v>
      </c>
      <c r="K1113" s="603"/>
      <c r="L1113" s="603"/>
      <c r="M1113" s="603"/>
      <c r="N1113" s="603"/>
      <c r="O1113" s="603"/>
      <c r="P1113" s="604"/>
      <c r="Q1113" s="604"/>
      <c r="R1113" s="473">
        <f>MIN(MAX(G1117+G1118-I1106-J1106,0),I1112)</f>
        <v>0</v>
      </c>
      <c r="S1113" s="612"/>
      <c r="T1113" s="881"/>
      <c r="U1113" s="598"/>
      <c r="V1113" s="599"/>
      <c r="W1113" s="599"/>
      <c r="X1113" s="599"/>
      <c r="Y1113" s="879"/>
      <c r="Z1113" s="106"/>
      <c r="AA1113" s="22"/>
      <c r="AB1113" s="22"/>
      <c r="AC1113" s="493"/>
      <c r="AD1113" s="495"/>
      <c r="AE1113" s="22"/>
      <c r="AF1113" s="22"/>
      <c r="AG1113" s="22"/>
      <c r="AH1113" s="22"/>
      <c r="AJ1113" s="22"/>
      <c r="AK1113" s="22"/>
      <c r="AO1113" s="22"/>
      <c r="AP1113" s="22"/>
      <c r="AQ1113" s="22"/>
      <c r="AR1113" s="22"/>
      <c r="AS1113" s="22"/>
      <c r="AT1113" s="22"/>
      <c r="AU1113" s="35"/>
      <c r="AV1113" s="35"/>
      <c r="AW1113" s="35"/>
      <c r="AX1113" s="35"/>
      <c r="AY1113" s="35"/>
      <c r="AZ1113" s="35"/>
      <c r="BA1113" s="35"/>
      <c r="BB1113" s="35"/>
      <c r="BC1113" s="35"/>
      <c r="BD1113" s="35"/>
      <c r="BE1113" s="35"/>
      <c r="BF1113" s="35"/>
      <c r="BG1113" s="35"/>
      <c r="BH1113" s="35"/>
      <c r="BI1113" s="35"/>
      <c r="BJ1113" s="35"/>
      <c r="BK1113" s="35"/>
      <c r="BL1113" s="35"/>
      <c r="BM1113" s="35"/>
      <c r="BN1113" s="35"/>
      <c r="BO1113" s="86"/>
    </row>
    <row r="1114" spans="1:67" ht="16.5" thickBot="1" x14ac:dyDescent="0.3">
      <c r="A1114" s="520">
        <f>IFERROR(VLOOKUP($G$5,'רשימת רשויות'!A:C,3,0),0)</f>
        <v>0</v>
      </c>
      <c r="B1114" s="520">
        <f t="shared" si="157"/>
        <v>0</v>
      </c>
      <c r="D1114" s="1134"/>
      <c r="E1114" s="1137"/>
      <c r="F1114" s="587" t="s">
        <v>17</v>
      </c>
      <c r="G1114" s="113"/>
      <c r="H1114" s="92"/>
      <c r="I1114" s="114"/>
      <c r="J1114" s="115"/>
      <c r="K1114" s="116"/>
      <c r="L1114" s="406"/>
      <c r="M1114" s="116"/>
      <c r="N1114" s="116"/>
      <c r="O1114" s="116"/>
      <c r="P1114" s="474"/>
      <c r="Q1114" s="607"/>
      <c r="R1114" s="608"/>
      <c r="S1114" s="612"/>
      <c r="T1114" s="881"/>
      <c r="U1114" s="598"/>
      <c r="V1114" s="599"/>
      <c r="W1114" s="599"/>
      <c r="X1114" s="599"/>
      <c r="Y1114" s="879"/>
      <c r="Z1114" s="106"/>
      <c r="AI1114" s="40"/>
      <c r="BO1114" s="86"/>
    </row>
    <row r="1115" spans="1:67" ht="47.25" x14ac:dyDescent="0.25">
      <c r="A1115" s="520">
        <f>IFERROR(VLOOKUP($G$5,'רשימת רשויות'!A:C,3,0),0)</f>
        <v>0</v>
      </c>
      <c r="B1115" s="520">
        <f t="shared" si="157"/>
        <v>0</v>
      </c>
      <c r="D1115" s="1134"/>
      <c r="E1115" s="1137"/>
      <c r="F1115" s="588" t="s">
        <v>2</v>
      </c>
      <c r="G1115" s="95" t="s">
        <v>18</v>
      </c>
      <c r="H1115" s="95" t="s">
        <v>19</v>
      </c>
      <c r="I1115" s="95" t="s">
        <v>20</v>
      </c>
      <c r="J1115" s="95" t="s">
        <v>22</v>
      </c>
      <c r="K1115" s="96" t="s">
        <v>2314</v>
      </c>
      <c r="L1115" s="609"/>
      <c r="M1115" s="609"/>
      <c r="N1115" s="609"/>
      <c r="O1115" s="580"/>
      <c r="P1115" s="618" t="s">
        <v>2298</v>
      </c>
      <c r="Q1115" s="618" t="s">
        <v>2299</v>
      </c>
      <c r="R1115" s="596"/>
      <c r="S1115" s="890" t="s">
        <v>2519</v>
      </c>
      <c r="T1115" s="890" t="s">
        <v>97</v>
      </c>
      <c r="U1115" s="891" t="s">
        <v>2521</v>
      </c>
      <c r="V1115" s="892" t="s">
        <v>2520</v>
      </c>
      <c r="W1115" s="893" t="s">
        <v>2524</v>
      </c>
      <c r="X1115" s="892" t="s">
        <v>2522</v>
      </c>
      <c r="Y1115" s="894" t="s">
        <v>2523</v>
      </c>
      <c r="Z1115" s="106"/>
      <c r="AC1115" s="498" t="s">
        <v>2568</v>
      </c>
      <c r="AD1115" s="499" t="s">
        <v>2569</v>
      </c>
      <c r="AF1115" s="122"/>
      <c r="AI1115" s="40"/>
      <c r="BO1115" s="86"/>
    </row>
    <row r="1116" spans="1:67" ht="15" customHeight="1" thickBot="1" x14ac:dyDescent="0.3">
      <c r="A1116" s="520">
        <f>IFERROR(VLOOKUP($G$5,'רשימת רשויות'!A:C,3,0),0)</f>
        <v>0</v>
      </c>
      <c r="B1116" s="520">
        <f t="shared" si="157"/>
        <v>0</v>
      </c>
      <c r="D1116" s="1134"/>
      <c r="E1116" s="1137"/>
      <c r="F1116" s="589" t="s">
        <v>76</v>
      </c>
      <c r="G1116" s="117">
        <f>IF(G1107="תקין",SUMIF('עלויות כח אדם (6)'!$B$15:$B$3014,'בית ספר - תקצוב לפי מוסד (9)'!$G1102,'עלויות כח אדם (6)'!$M$15:$M$3014)-VLOOKUP('בית ספר - תקצוב לפי מוסד (9)'!G1102,' איוש משרות (8)'!$C:$H,5,0)-VLOOKUP('בית ספר - תקצוב לפי מוסד (9)'!G1102,' איוש משרות (8)'!$C:$H,6,0),0)-Y1116</f>
        <v>0</v>
      </c>
      <c r="H1116" s="118">
        <f>I1104+R1111</f>
        <v>0</v>
      </c>
      <c r="I1116" s="119">
        <f>IFERROR(SUM(G1116)/H1116,0)</f>
        <v>0</v>
      </c>
      <c r="J1116" s="100">
        <f>MIN(I1104+R1111,IF(ISNUMBER(G1116),G1116,0))</f>
        <v>0</v>
      </c>
      <c r="K1116" s="120">
        <f>MAX(H1116-G1116,0)</f>
        <v>0</v>
      </c>
      <c r="L1116" s="407"/>
      <c r="M1116" s="393"/>
      <c r="N1116" s="393"/>
      <c r="O1116" s="580"/>
      <c r="P1116" s="968">
        <f>IFERROR(IF(SUM(G1116)/(I1104)&lt;100%,MIN((I1104)-SUM(G1116),(I1104)*0.25),0),0)</f>
        <v>0</v>
      </c>
      <c r="Q1116" s="968">
        <f>IF(SUM(G1116)-(I1104+R1111)&gt;0,SUM(G1116)-(I1104+R1111),0)</f>
        <v>0</v>
      </c>
      <c r="R1116" s="596" t="s">
        <v>2351</v>
      </c>
      <c r="S1116" s="576" t="s">
        <v>2342</v>
      </c>
      <c r="T1116" s="599">
        <f>G1102</f>
        <v>0</v>
      </c>
      <c r="U1116" s="578"/>
      <c r="V1116" s="579">
        <f>G1116+G1117+G1118</f>
        <v>0</v>
      </c>
      <c r="W1116" s="579">
        <f>U1116-V1116</f>
        <v>0</v>
      </c>
      <c r="X1116" s="579">
        <f>IFERROR(W1130*W1116/(SUM(W1116:W1129)),0)</f>
        <v>0</v>
      </c>
      <c r="Y1116" s="879">
        <f>SUMIFS(בקרה!$S:$S,בקרה!$D:$D,T1116,בקרה!$K:$K,S1116)</f>
        <v>0</v>
      </c>
      <c r="Z1116" s="121"/>
      <c r="AA1116" s="143"/>
      <c r="AB1116" s="143"/>
      <c r="AC1116" s="504">
        <v>0</v>
      </c>
      <c r="AD1116" s="505">
        <f>IFERROR(U1116-AC1116,0)</f>
        <v>0</v>
      </c>
      <c r="AE1116" s="143"/>
      <c r="AI1116" s="20"/>
      <c r="BO1116" s="86"/>
    </row>
    <row r="1117" spans="1:67" ht="15" customHeight="1" thickBot="1" x14ac:dyDescent="0.3">
      <c r="A1117" s="520">
        <f>IFERROR(VLOOKUP($G$5,'רשימת רשויות'!A:C,3,0),0)</f>
        <v>0</v>
      </c>
      <c r="B1117" s="520">
        <f t="shared" si="157"/>
        <v>0</v>
      </c>
      <c r="D1117" s="1134"/>
      <c r="E1117" s="1137"/>
      <c r="F1117" s="589" t="s">
        <v>44</v>
      </c>
      <c r="G1117" s="123">
        <f>IF(G1107="תקין",IFERROR(VLOOKUP('בית ספר - תקצוב לפי מוסד (9)'!G1102,' איוש משרות (8)'!C:J,7,0),0),0)</f>
        <v>0</v>
      </c>
      <c r="H1117" s="124">
        <f>I1106+R1113+J1106</f>
        <v>0</v>
      </c>
      <c r="I1117" s="119">
        <f>IFERROR(SUM(G1117:G1118)/H1117,0)</f>
        <v>0</v>
      </c>
      <c r="J1117" s="100">
        <f>MIN(R1113+I1106,IF(ISNUMBER(SUM(G1117:G1118)),SUM(G1117:G1118),0))</f>
        <v>0</v>
      </c>
      <c r="K1117" s="1139">
        <f>MAX((H1117)-(G1117+G1118),0)</f>
        <v>0</v>
      </c>
      <c r="L1117" s="407"/>
      <c r="M1117" s="393"/>
      <c r="N1117" s="393"/>
      <c r="O1117" s="580"/>
      <c r="P1117" s="1140"/>
      <c r="Q1117" s="1140"/>
      <c r="R1117" s="617">
        <f>MAX(MIN(P1125-Q1125,H1125*0.15-G1123),0)</f>
        <v>0</v>
      </c>
      <c r="S1117" s="576"/>
      <c r="T1117" s="599">
        <f>G1102</f>
        <v>0</v>
      </c>
      <c r="U1117" s="578"/>
      <c r="V1117" s="579"/>
      <c r="W1117" s="579">
        <f t="shared" ref="W1117:W1129" si="158">U1117-V1117</f>
        <v>0</v>
      </c>
      <c r="X1117" s="579"/>
      <c r="Y1117" s="879"/>
      <c r="Z1117" s="121"/>
      <c r="AA1117" s="143"/>
      <c r="AB1117" s="143"/>
      <c r="AC1117" s="504"/>
      <c r="AD1117" s="505">
        <f t="shared" ref="AD1117:AD1123" si="159">IFERROR(U1117-AC1117,0)</f>
        <v>0</v>
      </c>
      <c r="AE1117" s="143"/>
      <c r="AI1117" s="20"/>
      <c r="BO1117" s="86"/>
    </row>
    <row r="1118" spans="1:67" ht="15.75" customHeight="1" x14ac:dyDescent="0.25">
      <c r="A1118" s="520">
        <f>IFERROR(VLOOKUP($G$5,'רשימת רשויות'!A:C,3,0),0)</f>
        <v>0</v>
      </c>
      <c r="B1118" s="520">
        <f t="shared" si="157"/>
        <v>0</v>
      </c>
      <c r="D1118" s="1134"/>
      <c r="E1118" s="1137"/>
      <c r="F1118" s="589" t="s">
        <v>45</v>
      </c>
      <c r="G1118" s="123">
        <f>IF(G1107="תקין",IFERROR(VLOOKUP('בית ספר - תקצוב לפי מוסד (9)'!G1102,' איוש משרות (8)'!C:J,8,0),0),0)</f>
        <v>0</v>
      </c>
      <c r="H1118" s="125"/>
      <c r="I1118" s="126"/>
      <c r="J1118" s="104"/>
      <c r="K1118" s="1139"/>
      <c r="L1118" s="407"/>
      <c r="M1118" s="393"/>
      <c r="N1118" s="393"/>
      <c r="O1118" s="580"/>
      <c r="P1118" s="1140"/>
      <c r="Q1118" s="1140"/>
      <c r="R1118" s="596"/>
      <c r="S1118" s="576"/>
      <c r="T1118" s="599">
        <f>G1102</f>
        <v>0</v>
      </c>
      <c r="U1118" s="578"/>
      <c r="V1118" s="579"/>
      <c r="W1118" s="579">
        <f t="shared" si="158"/>
        <v>0</v>
      </c>
      <c r="X1118" s="579"/>
      <c r="Y1118" s="879"/>
      <c r="Z1118" s="121"/>
      <c r="AA1118" s="143"/>
      <c r="AB1118" s="143"/>
      <c r="AC1118" s="504"/>
      <c r="AD1118" s="505">
        <f t="shared" si="159"/>
        <v>0</v>
      </c>
      <c r="AE1118" s="143"/>
      <c r="AG1118" s="55"/>
      <c r="AH1118" s="55"/>
      <c r="AI1118" s="55"/>
      <c r="AJ1118" s="55"/>
      <c r="AK1118" s="55"/>
      <c r="BO1118" s="86"/>
    </row>
    <row r="1119" spans="1:67" ht="15.75" customHeight="1" x14ac:dyDescent="0.25">
      <c r="A1119" s="520">
        <f>IFERROR(VLOOKUP($G$5,'רשימת רשויות'!A:C,3,0),0)</f>
        <v>0</v>
      </c>
      <c r="B1119" s="520">
        <f t="shared" si="157"/>
        <v>0</v>
      </c>
      <c r="D1119" s="1134"/>
      <c r="E1119" s="1137"/>
      <c r="F1119" s="589" t="s">
        <v>0</v>
      </c>
      <c r="G1119" s="117">
        <f>IF(G1107="תקין",SUMIFS('דוח הוצאות בפועל (4)'!$E$17:$E$3016,'דוח הוצאות בפועל (4)'!$B$17:$B$3016,'בית ספר - תקצוב לפי מוסד (9)'!$G1102,'דוח הוצאות בפועל (4)'!$M$17:$M$3016,"הע"),0)-Y1119</f>
        <v>0</v>
      </c>
      <c r="H1119" s="127">
        <f>J1104</f>
        <v>0</v>
      </c>
      <c r="I1119" s="128">
        <f>IFERROR(G1119/H1119,0)</f>
        <v>0</v>
      </c>
      <c r="J1119" s="129">
        <f>MIN(IF(ISNUMBER(G1119),G1119,0),H1119)</f>
        <v>0</v>
      </c>
      <c r="K1119" s="120">
        <f>MAX(H1119-G1119,0)</f>
        <v>0</v>
      </c>
      <c r="L1119" s="407"/>
      <c r="M1119" s="393"/>
      <c r="N1119" s="393"/>
      <c r="O1119" s="580"/>
      <c r="P1119" s="968">
        <f>MAX(IF(I1119&lt;100%,MIN((H1119-G1119),H1119*0.25),0),0)</f>
        <v>0</v>
      </c>
      <c r="Q1119" s="619">
        <f>IF(G1119-H1119&gt;0,G1119-H1119,0)</f>
        <v>0</v>
      </c>
      <c r="R1119" s="596"/>
      <c r="S1119" s="610" t="s">
        <v>0</v>
      </c>
      <c r="T1119" s="599">
        <f>G1102</f>
        <v>0</v>
      </c>
      <c r="U1119" s="578"/>
      <c r="V1119" s="579">
        <f>G1119</f>
        <v>0</v>
      </c>
      <c r="W1119" s="579">
        <f t="shared" si="158"/>
        <v>0</v>
      </c>
      <c r="X1119" s="579">
        <f>IFERROR(W1130*W1119/(SUM(W1116:W1129)),0)</f>
        <v>0</v>
      </c>
      <c r="Y1119" s="879">
        <f>SUMIFS(בקרה!$S:$S,בקרה!$D:$D,T1119,בקרה!$K:$K,S1119)</f>
        <v>0</v>
      </c>
      <c r="Z1119" s="121"/>
      <c r="AA1119" s="143"/>
      <c r="AB1119" s="143"/>
      <c r="AC1119" s="504">
        <v>0</v>
      </c>
      <c r="AD1119" s="505">
        <f t="shared" si="159"/>
        <v>0</v>
      </c>
      <c r="AE1119" s="143"/>
      <c r="AG1119" s="55"/>
      <c r="AH1119" s="55"/>
      <c r="AI1119" s="40"/>
      <c r="AJ1119" s="55"/>
      <c r="AK1119" s="55"/>
      <c r="BO1119" s="86"/>
    </row>
    <row r="1120" spans="1:67" s="55" customFormat="1" ht="15.75" customHeight="1" x14ac:dyDescent="0.25">
      <c r="A1120" s="520">
        <f>IFERROR(VLOOKUP($G$5,'רשימת רשויות'!A:C,3,0),0)</f>
        <v>0</v>
      </c>
      <c r="B1120" s="520">
        <f t="shared" si="157"/>
        <v>0</v>
      </c>
      <c r="C1120" s="39"/>
      <c r="D1120" s="1134"/>
      <c r="E1120" s="1137"/>
      <c r="F1120" s="589" t="s">
        <v>93</v>
      </c>
      <c r="G1120" s="130">
        <f>IF(G1107="תקין",SUMIFS('דוח הוצאות בפועל (4)'!$E$17:$E$3016,'דוח הוצאות בפועל (4)'!$B$17:$B$3016,'בית ספר - תקצוב לפי מוסד (9)'!$G1102,'דוח הוצאות בפועל (4)'!$M$17:$M$3016,"אר"),0)-Y1120</f>
        <v>0</v>
      </c>
      <c r="H1120" s="118">
        <f>$I1110</f>
        <v>0</v>
      </c>
      <c r="I1120" s="131">
        <f>IFERROR((G1120+G1121)/H1120,0)</f>
        <v>0</v>
      </c>
      <c r="J1120" s="100">
        <f>MIN((IF(ISNUMBER(G1120),G1120,0)+IF(ISNUMBER(G1121),G1121,0)),H1120)</f>
        <v>0</v>
      </c>
      <c r="K1120" s="1139">
        <f>MAX((H1120)-(G1120+G1121),0)</f>
        <v>0</v>
      </c>
      <c r="L1120" s="407"/>
      <c r="M1120" s="393"/>
      <c r="N1120" s="393"/>
      <c r="O1120" s="602"/>
      <c r="P1120" s="1141"/>
      <c r="Q1120" s="1142"/>
      <c r="R1120" s="596"/>
      <c r="S1120" s="610" t="s">
        <v>93</v>
      </c>
      <c r="T1120" s="599">
        <f>G1102</f>
        <v>0</v>
      </c>
      <c r="U1120" s="578"/>
      <c r="V1120" s="579">
        <f t="shared" ref="V1120:V1121" si="160">G1120</f>
        <v>0</v>
      </c>
      <c r="W1120" s="579">
        <f t="shared" si="158"/>
        <v>0</v>
      </c>
      <c r="X1120" s="579">
        <f>IFERROR(W1130*W1120/(SUM(W1116:W1129)),0)</f>
        <v>0</v>
      </c>
      <c r="Y1120" s="879">
        <f>SUMIFS(בקרה!$S:$S,בקרה!$D:$D,T1120,בקרה!$K:$K,S1120)</f>
        <v>0</v>
      </c>
      <c r="Z1120" s="121"/>
      <c r="AA1120" s="143"/>
      <c r="AB1120" s="143"/>
      <c r="AC1120" s="504">
        <v>0</v>
      </c>
      <c r="AD1120" s="505">
        <f t="shared" si="159"/>
        <v>0</v>
      </c>
      <c r="AE1120" s="143"/>
      <c r="AJ1120" s="22"/>
      <c r="AO1120" s="22"/>
      <c r="AP1120" s="22"/>
      <c r="AQ1120" s="22"/>
      <c r="AR1120" s="22"/>
      <c r="AS1120" s="22"/>
      <c r="AT1120" s="22"/>
      <c r="AU1120" s="35"/>
      <c r="AV1120" s="35"/>
      <c r="AW1120" s="35"/>
      <c r="AX1120" s="35"/>
      <c r="AY1120" s="35"/>
      <c r="AZ1120" s="35"/>
      <c r="BA1120" s="35"/>
      <c r="BB1120" s="35"/>
      <c r="BC1120" s="35"/>
      <c r="BD1120" s="35"/>
      <c r="BE1120" s="35"/>
      <c r="BF1120" s="35"/>
      <c r="BG1120" s="35"/>
      <c r="BH1120" s="35"/>
      <c r="BI1120" s="35"/>
      <c r="BJ1120" s="35"/>
      <c r="BK1120" s="35"/>
      <c r="BL1120" s="35"/>
      <c r="BM1120" s="35"/>
      <c r="BN1120" s="35"/>
      <c r="BO1120" s="86"/>
    </row>
    <row r="1121" spans="1:67" s="55" customFormat="1" ht="15.75" customHeight="1" x14ac:dyDescent="0.25">
      <c r="A1121" s="520">
        <f>IFERROR(VLOOKUP($G$5,'רשימת רשויות'!A:C,3,0),0)</f>
        <v>0</v>
      </c>
      <c r="B1121" s="520">
        <f t="shared" si="157"/>
        <v>0</v>
      </c>
      <c r="C1121" s="39"/>
      <c r="D1121" s="1134"/>
      <c r="E1121" s="1137"/>
      <c r="F1121" s="589" t="s">
        <v>46</v>
      </c>
      <c r="G1121" s="130">
        <f>IF(G1107="תקין",SUMIFS('דוח הוצאות בפועל (4)'!$E$17:$E$3016,'דוח הוצאות בפועל (4)'!$B$17:$B$3016,'בית ספר - תקצוב לפי מוסד (9)'!$G1102,'דוח הוצאות בפועל (4)'!$M$17:$M$3016,"מל"),0)-Y1121</f>
        <v>0</v>
      </c>
      <c r="H1121" s="132"/>
      <c r="I1121" s="133"/>
      <c r="J1121" s="104"/>
      <c r="K1121" s="1139"/>
      <c r="L1121" s="407"/>
      <c r="M1121" s="393"/>
      <c r="N1121" s="393"/>
      <c r="O1121" s="602"/>
      <c r="P1121" s="1141"/>
      <c r="Q1121" s="1142"/>
      <c r="R1121" s="596"/>
      <c r="S1121" s="610" t="s">
        <v>46</v>
      </c>
      <c r="T1121" s="599">
        <f>G1102</f>
        <v>0</v>
      </c>
      <c r="U1121" s="578"/>
      <c r="V1121" s="579">
        <f t="shared" si="160"/>
        <v>0</v>
      </c>
      <c r="W1121" s="579">
        <f t="shared" si="158"/>
        <v>0</v>
      </c>
      <c r="X1121" s="579">
        <f>IFERROR(W1130*W1121/(SUM(W1116:W1129)),0)</f>
        <v>0</v>
      </c>
      <c r="Y1121" s="879">
        <f>SUMIFS(בקרה!$S:$S,בקרה!$D:$D,T1121,בקרה!$K:$K,S1121)</f>
        <v>0</v>
      </c>
      <c r="Z1121" s="121"/>
      <c r="AA1121" s="143"/>
      <c r="AB1121" s="143"/>
      <c r="AC1121" s="504">
        <v>0</v>
      </c>
      <c r="AD1121" s="505">
        <f t="shared" si="159"/>
        <v>0</v>
      </c>
      <c r="AE1121" s="143"/>
      <c r="AJ1121" s="22"/>
      <c r="AO1121" s="22"/>
      <c r="AP1121" s="22"/>
      <c r="AQ1121" s="22"/>
      <c r="AR1121" s="22"/>
      <c r="AS1121" s="22"/>
      <c r="AT1121" s="22"/>
      <c r="AU1121" s="35"/>
      <c r="AV1121" s="35"/>
      <c r="AW1121" s="35"/>
      <c r="AX1121" s="35"/>
      <c r="AY1121" s="35"/>
      <c r="AZ1121" s="35"/>
      <c r="BA1121" s="35"/>
      <c r="BB1121" s="35"/>
      <c r="BC1121" s="35"/>
      <c r="BD1121" s="35"/>
      <c r="BE1121" s="35"/>
      <c r="BF1121" s="35"/>
      <c r="BG1121" s="35"/>
      <c r="BH1121" s="35"/>
      <c r="BI1121" s="35"/>
      <c r="BJ1121" s="35"/>
      <c r="BK1121" s="35"/>
      <c r="BL1121" s="35"/>
      <c r="BM1121" s="35"/>
      <c r="BN1121" s="35"/>
      <c r="BO1121" s="86"/>
    </row>
    <row r="1122" spans="1:67" s="55" customFormat="1" ht="15" customHeight="1" x14ac:dyDescent="0.25">
      <c r="A1122" s="520">
        <f>IFERROR(VLOOKUP($G$5,'רשימת רשויות'!A:C,3,0),0)</f>
        <v>0</v>
      </c>
      <c r="B1122" s="520">
        <f t="shared" si="157"/>
        <v>0</v>
      </c>
      <c r="C1122" s="39"/>
      <c r="D1122" s="1134"/>
      <c r="E1122" s="1137"/>
      <c r="F1122" s="591" t="s">
        <v>23</v>
      </c>
      <c r="G1122" s="134">
        <f>SUM(G1116:G1121)</f>
        <v>0</v>
      </c>
      <c r="H1122" s="135">
        <f>SUM(H1116:H1121)</f>
        <v>0</v>
      </c>
      <c r="I1122" s="128">
        <f>IFERROR(G1122/H1122,0)</f>
        <v>0</v>
      </c>
      <c r="J1122" s="136">
        <f>SUM(J1116:J1121)</f>
        <v>0</v>
      </c>
      <c r="K1122" s="137">
        <f>SUM(K1116:K1121)</f>
        <v>0</v>
      </c>
      <c r="L1122" s="408"/>
      <c r="M1122" s="394"/>
      <c r="N1122" s="394"/>
      <c r="O1122" s="602"/>
      <c r="P1122" s="620">
        <f>SUM(P1116:P1121)</f>
        <v>0</v>
      </c>
      <c r="Q1122" s="620">
        <f>SUM(Q1116:Q1121)</f>
        <v>0</v>
      </c>
      <c r="R1122" s="596"/>
      <c r="S1122" s="610"/>
      <c r="T1122" s="599">
        <f>G1102</f>
        <v>0</v>
      </c>
      <c r="U1122" s="578"/>
      <c r="V1122" s="579"/>
      <c r="W1122" s="579">
        <f t="shared" si="158"/>
        <v>0</v>
      </c>
      <c r="X1122" s="579"/>
      <c r="Y1122" s="879"/>
      <c r="Z1122" s="121"/>
      <c r="AA1122" s="143"/>
      <c r="AB1122" s="143"/>
      <c r="AC1122" s="504"/>
      <c r="AD1122" s="505">
        <f t="shared" si="159"/>
        <v>0</v>
      </c>
      <c r="AE1122" s="143"/>
      <c r="AJ1122" s="22"/>
      <c r="AL1122" s="22"/>
      <c r="AM1122" s="22"/>
      <c r="AN1122" s="22"/>
      <c r="AO1122" s="22"/>
      <c r="AP1122" s="22"/>
      <c r="AQ1122" s="22"/>
      <c r="AR1122" s="22"/>
      <c r="AS1122" s="22"/>
      <c r="AT1122" s="22"/>
      <c r="AU1122" s="35"/>
      <c r="AV1122" s="35"/>
      <c r="AW1122" s="35"/>
      <c r="AX1122" s="35"/>
      <c r="AY1122" s="35"/>
      <c r="AZ1122" s="35"/>
      <c r="BA1122" s="35"/>
      <c r="BB1122" s="35"/>
      <c r="BC1122" s="35"/>
      <c r="BD1122" s="35"/>
      <c r="BE1122" s="35"/>
      <c r="BF1122" s="35"/>
      <c r="BG1122" s="35"/>
      <c r="BH1122" s="35"/>
      <c r="BI1122" s="35"/>
      <c r="BJ1122" s="35"/>
      <c r="BK1122" s="35"/>
      <c r="BL1122" s="35"/>
      <c r="BM1122" s="35"/>
      <c r="BN1122" s="35"/>
      <c r="BO1122" s="86"/>
    </row>
    <row r="1123" spans="1:67" s="55" customFormat="1" ht="15" customHeight="1" x14ac:dyDescent="0.25">
      <c r="A1123" s="520">
        <f>IFERROR(VLOOKUP($G$5,'רשימת רשויות'!A:C,3,0),0)</f>
        <v>0</v>
      </c>
      <c r="B1123" s="520">
        <f t="shared" si="157"/>
        <v>0</v>
      </c>
      <c r="C1123" s="39"/>
      <c r="D1123" s="1134"/>
      <c r="E1123" s="1137"/>
      <c r="F1123" s="589" t="s">
        <v>3</v>
      </c>
      <c r="G1123" s="117">
        <f>IF(G1107="תקין",SUMIFS('דוח הוצאות בפועל (4)'!$E$17:$E$3016,'דוח הוצאות בפועל (4)'!$B$17:$B$3016,'בית ספר - תקצוב לפי מוסד (9)'!$G1102,'דוח הוצאות בפועל (4)'!$M$17:$M$3016,"ני")+SUMIFS('דוח הוצאות בפועל (4)'!$E$17:$E$3016,'דוח הוצאות בפועל (4)'!$B$17:$B$3016,'בית ספר - תקצוב לפי מוסד (9)'!$G1102,'דוח הוצאות בפועל (4)'!$M$17:$M$3016,"על"),0)-Y1123</f>
        <v>0</v>
      </c>
      <c r="H1123" s="117">
        <f>H1104</f>
        <v>0</v>
      </c>
      <c r="I1123" s="138">
        <f>IFERROR(G1123/H1123,0)</f>
        <v>0</v>
      </c>
      <c r="J1123" s="117">
        <f>IFERROR(IF(G1123/H1125&gt;0.15,MIN(H1125*0.15,H1123),MIN(H1123,IF(ISNUMBER(G1123),G1123,0))),0)</f>
        <v>0</v>
      </c>
      <c r="K1123" s="120">
        <f>MAX(H1123-G1123,0)</f>
        <v>0</v>
      </c>
      <c r="L1123" s="407"/>
      <c r="M1123" s="393"/>
      <c r="N1123" s="393"/>
      <c r="O1123" s="602"/>
      <c r="P1123" s="620">
        <f>IF(I1123&lt;100%,MIN(H1123-G1123,H1123*0.25),0)</f>
        <v>0</v>
      </c>
      <c r="Q1123" s="620">
        <f>MAX(MIN(IF(G1123-H1123&gt;0,G1123-H1123,0),$H1125*0.15-H1123-J1124),0)</f>
        <v>0</v>
      </c>
      <c r="R1123" s="596"/>
      <c r="S1123" s="610" t="s">
        <v>3</v>
      </c>
      <c r="T1123" s="599">
        <f>G1102</f>
        <v>0</v>
      </c>
      <c r="U1123" s="578"/>
      <c r="V1123" s="579">
        <f t="shared" ref="V1123" si="161">G1123</f>
        <v>0</v>
      </c>
      <c r="W1123" s="579">
        <f t="shared" si="158"/>
        <v>0</v>
      </c>
      <c r="X1123" s="579"/>
      <c r="Y1123" s="879"/>
      <c r="Z1123" s="121"/>
      <c r="AA1123" s="143"/>
      <c r="AB1123" s="143"/>
      <c r="AC1123" s="504">
        <v>0</v>
      </c>
      <c r="AD1123" s="505">
        <f t="shared" si="159"/>
        <v>0</v>
      </c>
      <c r="AE1123" s="143"/>
      <c r="AG1123" s="22"/>
      <c r="AH1123" s="22"/>
      <c r="AI1123" s="22"/>
      <c r="AJ1123" s="22"/>
      <c r="AK1123" s="22"/>
      <c r="AL1123" s="22"/>
      <c r="AM1123" s="22"/>
      <c r="AN1123" s="22"/>
      <c r="AO1123" s="22"/>
      <c r="AP1123" s="22"/>
      <c r="AQ1123" s="22"/>
      <c r="AR1123" s="22"/>
      <c r="AS1123" s="22"/>
      <c r="AT1123" s="22"/>
      <c r="AU1123" s="35"/>
      <c r="AV1123" s="35"/>
      <c r="AW1123" s="35"/>
      <c r="AX1123" s="35"/>
      <c r="AY1123" s="35"/>
      <c r="AZ1123" s="35"/>
      <c r="BA1123" s="35"/>
      <c r="BB1123" s="35"/>
      <c r="BC1123" s="35"/>
      <c r="BD1123" s="35"/>
      <c r="BE1123" s="35"/>
      <c r="BF1123" s="35"/>
      <c r="BG1123" s="35"/>
      <c r="BH1123" s="35"/>
      <c r="BI1123" s="35"/>
      <c r="BJ1123" s="35"/>
      <c r="BK1123" s="35"/>
      <c r="BL1123" s="35"/>
      <c r="BM1123" s="35"/>
      <c r="BN1123" s="35"/>
      <c r="BO1123" s="86"/>
    </row>
    <row r="1124" spans="1:67" s="55" customFormat="1" ht="15.75" customHeight="1" x14ac:dyDescent="0.25">
      <c r="A1124" s="520">
        <f>IFERROR(VLOOKUP($G$5,'רשימת רשויות'!A:C,3,0),0)</f>
        <v>0</v>
      </c>
      <c r="B1124" s="520">
        <f t="shared" si="157"/>
        <v>0</v>
      </c>
      <c r="C1124" s="39"/>
      <c r="D1124" s="1134"/>
      <c r="E1124" s="1137"/>
      <c r="F1124" s="589" t="s">
        <v>2918</v>
      </c>
      <c r="G1124" s="117">
        <f>0.07*(G1118+G1117)</f>
        <v>0</v>
      </c>
      <c r="H1124" s="117">
        <f>H1106</f>
        <v>0</v>
      </c>
      <c r="I1124" s="138">
        <f>IFERROR(G1124/H1124,0)</f>
        <v>0</v>
      </c>
      <c r="J1124" s="117">
        <f>IFERROR(MIN(0.07*(G1117+G1118),0.07*I1106),0)</f>
        <v>0</v>
      </c>
      <c r="K1124" s="120">
        <f>MAX(H1124-G1124,0)</f>
        <v>0</v>
      </c>
      <c r="L1124" s="407"/>
      <c r="M1124" s="393"/>
      <c r="N1124" s="393"/>
      <c r="O1124" s="602"/>
      <c r="P1124" s="620"/>
      <c r="Q1124" s="619"/>
      <c r="R1124" s="596"/>
      <c r="S1124" s="611"/>
      <c r="T1124" s="599">
        <f>G1102</f>
        <v>0</v>
      </c>
      <c r="U1124" s="578"/>
      <c r="V1124" s="579"/>
      <c r="W1124" s="579">
        <f t="shared" si="158"/>
        <v>0</v>
      </c>
      <c r="X1124" s="579"/>
      <c r="Y1124" s="879"/>
      <c r="Z1124" s="121"/>
      <c r="AA1124" s="143"/>
      <c r="AB1124" s="143"/>
      <c r="AC1124" s="504"/>
      <c r="AD1124" s="505"/>
      <c r="AE1124" s="143"/>
      <c r="AF1124" s="140"/>
      <c r="AG1124" s="22"/>
      <c r="AH1124" s="22"/>
      <c r="AI1124" s="22"/>
      <c r="AJ1124" s="22"/>
      <c r="AK1124" s="22"/>
      <c r="AL1124" s="22"/>
      <c r="AM1124" s="22"/>
      <c r="AN1124" s="22"/>
      <c r="AO1124" s="22"/>
      <c r="AP1124" s="22"/>
      <c r="AQ1124" s="22"/>
      <c r="AR1124" s="22"/>
      <c r="AS1124" s="22"/>
      <c r="AT1124" s="22"/>
      <c r="AU1124" s="35"/>
      <c r="AV1124" s="35"/>
      <c r="AW1124" s="35"/>
      <c r="AX1124" s="35"/>
      <c r="AY1124" s="35"/>
      <c r="AZ1124" s="35"/>
      <c r="BA1124" s="35"/>
      <c r="BB1124" s="35"/>
      <c r="BC1124" s="35"/>
      <c r="BD1124" s="35"/>
      <c r="BE1124" s="35"/>
      <c r="BF1124" s="35"/>
      <c r="BG1124" s="35"/>
      <c r="BH1124" s="35"/>
      <c r="BI1124" s="35"/>
      <c r="BJ1124" s="35"/>
      <c r="BK1124" s="35"/>
      <c r="BL1124" s="35"/>
      <c r="BM1124" s="35"/>
      <c r="BN1124" s="35"/>
      <c r="BO1124" s="86"/>
    </row>
    <row r="1125" spans="1:67" ht="15.75" customHeight="1" x14ac:dyDescent="0.25">
      <c r="A1125" s="520">
        <f>IFERROR(VLOOKUP($G$5,'רשימת רשויות'!A:C,3,0),0)</f>
        <v>0</v>
      </c>
      <c r="B1125" s="520">
        <f t="shared" si="157"/>
        <v>0</v>
      </c>
      <c r="D1125" s="1134"/>
      <c r="E1125" s="1137"/>
      <c r="F1125" s="591" t="s">
        <v>15</v>
      </c>
      <c r="G1125" s="134">
        <f>G1122+G1123+G1124</f>
        <v>0</v>
      </c>
      <c r="H1125" s="134">
        <f>H1122+H1123+H1124</f>
        <v>0</v>
      </c>
      <c r="I1125" s="138">
        <f>IFERROR(G1125/H1125,0)</f>
        <v>0</v>
      </c>
      <c r="J1125" s="139">
        <f>J1122+J1123+J1124</f>
        <v>0</v>
      </c>
      <c r="K1125" s="137">
        <f>K1123+K1122+K1124</f>
        <v>0</v>
      </c>
      <c r="L1125" s="408"/>
      <c r="M1125" s="394"/>
      <c r="N1125" s="394"/>
      <c r="O1125" s="602"/>
      <c r="P1125" s="621">
        <f>SUM(P1122:P1123)</f>
        <v>0</v>
      </c>
      <c r="Q1125" s="622">
        <f>Q1122+Q1123</f>
        <v>0</v>
      </c>
      <c r="R1125" s="596"/>
      <c r="S1125" s="611"/>
      <c r="T1125" s="599">
        <f>G1102</f>
        <v>0</v>
      </c>
      <c r="U1125" s="578"/>
      <c r="V1125" s="579"/>
      <c r="W1125" s="579">
        <f t="shared" si="158"/>
        <v>0</v>
      </c>
      <c r="X1125" s="579"/>
      <c r="Y1125" s="879"/>
      <c r="Z1125" s="106"/>
      <c r="AC1125" s="504"/>
      <c r="AD1125" s="505"/>
      <c r="AH1125" s="143"/>
      <c r="BO1125" s="86"/>
    </row>
    <row r="1126" spans="1:67" ht="15.75" customHeight="1" x14ac:dyDescent="0.25">
      <c r="A1126" s="520">
        <f>IFERROR(VLOOKUP($G$5,'רשימת רשויות'!A:C,3,0),0)</f>
        <v>0</v>
      </c>
      <c r="B1126" s="520">
        <f t="shared" si="157"/>
        <v>0</v>
      </c>
      <c r="D1126" s="1134"/>
      <c r="E1126" s="1137"/>
      <c r="F1126" s="589" t="s">
        <v>2261</v>
      </c>
      <c r="G1126" s="117">
        <f>IF(G1107="תקין",SUMIF('תשלומי הורים ומלגות להורים (5) '!$B$18:$B$517,$G1102,'תשלומי הורים ומלגות להורים (5) '!$C$18:$C$517),0)</f>
        <v>0</v>
      </c>
      <c r="H1126" s="117">
        <f>(G1105+G1106)*$G$7</f>
        <v>0</v>
      </c>
      <c r="I1126" s="141"/>
      <c r="J1126" s="141"/>
      <c r="K1126" s="142"/>
      <c r="L1126" s="395"/>
      <c r="M1126" s="395"/>
      <c r="N1126" s="395"/>
      <c r="O1126" s="602"/>
      <c r="P1126" s="623"/>
      <c r="Q1126" s="619"/>
      <c r="R1126" s="596"/>
      <c r="S1126" s="612"/>
      <c r="T1126" s="599">
        <f>G1102</f>
        <v>0</v>
      </c>
      <c r="U1126" s="578"/>
      <c r="V1126" s="579"/>
      <c r="W1126" s="579">
        <f t="shared" si="158"/>
        <v>0</v>
      </c>
      <c r="X1126" s="579"/>
      <c r="Y1126" s="879"/>
      <c r="Z1126" s="121"/>
      <c r="AA1126" s="143"/>
      <c r="AB1126" s="143"/>
      <c r="AC1126" s="504"/>
      <c r="AD1126" s="505"/>
      <c r="AE1126" s="143"/>
      <c r="AF1126" s="148"/>
      <c r="BO1126" s="86"/>
    </row>
    <row r="1127" spans="1:67" ht="15.75" customHeight="1" thickBot="1" x14ac:dyDescent="0.3">
      <c r="A1127" s="520">
        <f>IFERROR(VLOOKUP($G$5,'רשימת רשויות'!A:C,3,0),0)</f>
        <v>0</v>
      </c>
      <c r="B1127" s="520">
        <f t="shared" si="157"/>
        <v>0</v>
      </c>
      <c r="D1127" s="1134"/>
      <c r="E1127" s="1137"/>
      <c r="F1127" s="592" t="s">
        <v>21</v>
      </c>
      <c r="G1127" s="144">
        <f>G1125-G1126</f>
        <v>0</v>
      </c>
      <c r="H1127" s="144">
        <f>H1125-H1126</f>
        <v>0</v>
      </c>
      <c r="I1127" s="145"/>
      <c r="J1127" s="145"/>
      <c r="K1127" s="146"/>
      <c r="L1127" s="396"/>
      <c r="M1127" s="396"/>
      <c r="N1127" s="396"/>
      <c r="O1127" s="602"/>
      <c r="P1127" s="619"/>
      <c r="Q1127" s="619"/>
      <c r="R1127" s="596"/>
      <c r="S1127" s="612"/>
      <c r="T1127" s="599">
        <f>G1102</f>
        <v>0</v>
      </c>
      <c r="U1127" s="578"/>
      <c r="V1127" s="579"/>
      <c r="W1127" s="579">
        <f t="shared" si="158"/>
        <v>0</v>
      </c>
      <c r="X1127" s="579"/>
      <c r="Y1127" s="879"/>
      <c r="Z1127" s="147"/>
      <c r="AA1127" s="148"/>
      <c r="AB1127" s="148"/>
      <c r="AC1127" s="504"/>
      <c r="AD1127" s="505"/>
      <c r="AE1127" s="148"/>
      <c r="AF1127" s="148"/>
      <c r="BO1127" s="86"/>
    </row>
    <row r="1128" spans="1:67" ht="15.75" customHeight="1" thickBot="1" x14ac:dyDescent="0.3">
      <c r="A1128" s="520">
        <f>IFERROR(VLOOKUP($G$5,'רשימת רשויות'!A:C,3,0),0)</f>
        <v>0</v>
      </c>
      <c r="B1128" s="520">
        <f t="shared" si="157"/>
        <v>0</v>
      </c>
      <c r="D1128" s="1134"/>
      <c r="E1128" s="1137"/>
      <c r="F1128" s="580"/>
      <c r="G1128" s="580"/>
      <c r="H1128" s="147"/>
      <c r="I1128" s="149" t="s">
        <v>2197</v>
      </c>
      <c r="J1128" s="150">
        <f>MAX(MIN(P1125,Q1125),0)</f>
        <v>0</v>
      </c>
      <c r="K1128" s="580"/>
      <c r="L1128" s="580"/>
      <c r="M1128" s="580"/>
      <c r="N1128" s="580"/>
      <c r="O1128" s="580"/>
      <c r="P1128" s="615" t="s">
        <v>2317</v>
      </c>
      <c r="Q1128" s="624">
        <f>SUM(Q1129:Q1130)</f>
        <v>0</v>
      </c>
      <c r="R1128" s="596"/>
      <c r="S1128" s="612"/>
      <c r="T1128" s="599">
        <f>G1102</f>
        <v>0</v>
      </c>
      <c r="U1128" s="578"/>
      <c r="V1128" s="579"/>
      <c r="W1128" s="579">
        <f t="shared" si="158"/>
        <v>0</v>
      </c>
      <c r="X1128" s="579"/>
      <c r="Y1128" s="879"/>
      <c r="Z1128" s="106"/>
      <c r="AC1128" s="504"/>
      <c r="AD1128" s="505"/>
      <c r="AF1128" s="148"/>
      <c r="BO1128" s="86"/>
    </row>
    <row r="1129" spans="1:67" ht="16.5" thickBot="1" x14ac:dyDescent="0.3">
      <c r="A1129" s="520">
        <f>IFERROR(VLOOKUP($G$5,'רשימת רשויות'!A:C,3,0),0)</f>
        <v>0</v>
      </c>
      <c r="B1129" s="520">
        <f t="shared" si="157"/>
        <v>0</v>
      </c>
      <c r="D1129" s="1134"/>
      <c r="E1129" s="1137"/>
      <c r="F1129" s="580"/>
      <c r="G1129" s="580"/>
      <c r="H1129" s="580"/>
      <c r="I1129" s="84" t="s">
        <v>2193</v>
      </c>
      <c r="J1129" s="515" t="str">
        <f>IFERROR(1-H1126/H1125,"")</f>
        <v/>
      </c>
      <c r="K1129" s="580"/>
      <c r="L1129" s="580"/>
      <c r="M1129" s="580"/>
      <c r="N1129" s="580"/>
      <c r="O1129" s="580"/>
      <c r="P1129" s="615" t="s">
        <v>417</v>
      </c>
      <c r="Q1129" s="616">
        <f>IFERROR(MAX(H1127-I1130-Q1130,0),0)</f>
        <v>0</v>
      </c>
      <c r="R1129" s="596"/>
      <c r="S1129" s="600"/>
      <c r="T1129" s="599">
        <f>G1102</f>
        <v>0</v>
      </c>
      <c r="U1129" s="578"/>
      <c r="V1129" s="579"/>
      <c r="W1129" s="579">
        <f t="shared" si="158"/>
        <v>0</v>
      </c>
      <c r="X1129" s="579"/>
      <c r="Y1129" s="879"/>
      <c r="Z1129" s="106"/>
      <c r="AC1129" s="504"/>
      <c r="AD1129" s="505"/>
      <c r="BO1129" s="86"/>
    </row>
    <row r="1130" spans="1:67" ht="17.25" thickBot="1" x14ac:dyDescent="0.3">
      <c r="A1130" s="520">
        <f>IFERROR(VLOOKUP($G$5,'רשימת רשויות'!A:C,3,0),0)</f>
        <v>0</v>
      </c>
      <c r="B1130" s="520">
        <f t="shared" si="157"/>
        <v>0</v>
      </c>
      <c r="D1130" s="1134"/>
      <c r="E1130" s="1137"/>
      <c r="F1130" s="1143" t="s">
        <v>2679</v>
      </c>
      <c r="G1130" s="1143"/>
      <c r="H1130" s="1143"/>
      <c r="I1130" s="722">
        <f>IF(G1107="לא תקין","לא קיימת זכאות לתקציב לאור אי איוש משרות רכז ו/או סגן רכז ",IFERROR(J1129*(J1128+J1125),0))</f>
        <v>0</v>
      </c>
      <c r="J1130" s="573"/>
      <c r="K1130" s="574"/>
      <c r="L1130" s="396"/>
      <c r="M1130" s="574"/>
      <c r="N1130" s="574"/>
      <c r="O1130" s="574"/>
      <c r="P1130" s="615" t="s">
        <v>2279</v>
      </c>
      <c r="Q1130" s="616">
        <f>MAX(IF(AND(G1125&gt;H1125,I1130&lt;H1127),H1127-I1130,0),0)</f>
        <v>0</v>
      </c>
      <c r="R1130" s="575"/>
      <c r="S1130" s="576" t="s">
        <v>67</v>
      </c>
      <c r="T1130" s="577">
        <f>G1102</f>
        <v>0</v>
      </c>
      <c r="U1130" s="578"/>
      <c r="V1130" s="579">
        <f>I1130</f>
        <v>0</v>
      </c>
      <c r="W1130" s="579">
        <f>IFERROR(U1130-V1130,0)</f>
        <v>0</v>
      </c>
      <c r="X1130" s="579">
        <f>SUM(X1116:X1129)</f>
        <v>0</v>
      </c>
      <c r="Y1130" s="879"/>
      <c r="Z1130" s="106"/>
      <c r="AC1130" s="506">
        <v>0</v>
      </c>
      <c r="AD1130" s="507">
        <f>IFERROR(U1130-AC1130,0)</f>
        <v>0</v>
      </c>
      <c r="BO1130" s="86"/>
    </row>
    <row r="1131" spans="1:67" ht="16.5" thickBot="1" x14ac:dyDescent="0.3">
      <c r="A1131" s="520">
        <f>IFERROR(VLOOKUP($G$5,'רשימת רשויות'!A:C,3,0),0)</f>
        <v>0</v>
      </c>
      <c r="B1131" s="520">
        <f t="shared" si="157"/>
        <v>0</v>
      </c>
      <c r="D1131" s="1135"/>
      <c r="E1131" s="1138"/>
      <c r="F1131" s="1144" t="s">
        <v>2793</v>
      </c>
      <c r="G1131" s="1145"/>
      <c r="H1131" s="1145"/>
      <c r="I1131" s="593">
        <f>IFERROR(IF(G1107="תקין",SUMIFS('סייעות רפואיות או אישיות (7)'!$Q$17:Q$384,'סייעות רפואיות או אישיות (7)'!C$17:C$384,G1102),0),0)</f>
        <v>0</v>
      </c>
      <c r="J1131" s="151"/>
      <c r="K1131" s="152"/>
      <c r="L1131" s="409"/>
      <c r="M1131" s="152"/>
      <c r="N1131" s="152"/>
      <c r="O1131" s="152"/>
      <c r="P1131" s="613"/>
      <c r="Q1131" s="614"/>
      <c r="R1131" s="475"/>
      <c r="S1131" s="489"/>
      <c r="T1131" s="490"/>
      <c r="U1131" s="491"/>
      <c r="V1131" s="492"/>
      <c r="W1131" s="492"/>
      <c r="X1131" s="492"/>
      <c r="Y1131" s="880"/>
      <c r="Z1131" s="153"/>
      <c r="AC1131" s="581"/>
      <c r="AD1131" s="582"/>
      <c r="BO1131" s="86"/>
    </row>
    <row r="1132" spans="1:67" ht="34.5" thickBot="1" x14ac:dyDescent="0.55000000000000004">
      <c r="A1132" s="520">
        <f>IFERROR(VLOOKUP($G$5,'רשימת רשויות'!A:C,3,0),0)</f>
        <v>0</v>
      </c>
      <c r="B1132" s="520">
        <f t="shared" si="157"/>
        <v>0</v>
      </c>
      <c r="E1132" s="154"/>
      <c r="I1132" s="143"/>
      <c r="J1132" s="148"/>
      <c r="O1132" s="148"/>
      <c r="T1132" s="481"/>
      <c r="BO1132" s="86"/>
    </row>
    <row r="1133" spans="1:67" s="20" customFormat="1" ht="16.5" customHeight="1" thickBot="1" x14ac:dyDescent="0.3">
      <c r="A1133" s="520">
        <f>IFERROR(VLOOKUP($G$5,'רשימת רשויות'!A:C,3,0),0)</f>
        <v>0</v>
      </c>
      <c r="B1133" s="520">
        <f t="shared" si="157"/>
        <v>0</v>
      </c>
      <c r="C1133" s="39"/>
      <c r="D1133" s="1133">
        <f>D1102+1</f>
        <v>37</v>
      </c>
      <c r="E1133" s="1136" t="str">
        <f>IFERROR(CONCATENATE("בית הספר ",VLOOKUP(G1133,'מצבת והרשמה (2)'!$C$21:$D$520,2,0)," - ",$G$5),"")</f>
        <v>בית הספר המוסד לא קיים - 0</v>
      </c>
      <c r="F1133" s="720" t="s">
        <v>146</v>
      </c>
      <c r="G1133" s="721">
        <f>IFERROR(VLOOKUP(D:D,'דוח ביצוע (3)'!$A$21:$C$900,2,0),0)</f>
        <v>0</v>
      </c>
      <c r="H1133" s="79"/>
      <c r="I1133" s="80" t="s">
        <v>150</v>
      </c>
      <c r="J1133" s="80"/>
      <c r="K1133" s="81"/>
      <c r="L1133" s="392"/>
      <c r="M1133" s="392"/>
      <c r="N1133" s="392"/>
      <c r="O1133" s="82"/>
      <c r="P1133" s="470"/>
      <c r="Q1133" s="471"/>
      <c r="R1133" s="472"/>
      <c r="S1133" s="883"/>
      <c r="T1133" s="884"/>
      <c r="U1133" s="486"/>
      <c r="V1133" s="487"/>
      <c r="W1133" s="487"/>
      <c r="X1133" s="487"/>
      <c r="Y1133" s="885"/>
      <c r="Z1133" s="83"/>
      <c r="AC1133" s="502"/>
      <c r="AD1133" s="503"/>
      <c r="AO1133" s="22"/>
      <c r="AP1133" s="22"/>
      <c r="AQ1133" s="22"/>
      <c r="AR1133" s="22"/>
      <c r="AS1133" s="22"/>
      <c r="AT1133" s="22"/>
      <c r="AU1133" s="35"/>
      <c r="AV1133" s="35"/>
      <c r="AW1133" s="35"/>
      <c r="AX1133" s="35"/>
      <c r="AY1133" s="35"/>
      <c r="AZ1133" s="35"/>
      <c r="BA1133" s="35"/>
      <c r="BB1133" s="35"/>
      <c r="BC1133" s="35"/>
      <c r="BD1133" s="35"/>
      <c r="BE1133" s="35"/>
      <c r="BF1133" s="35"/>
      <c r="BG1133" s="35"/>
      <c r="BH1133" s="35"/>
      <c r="BI1133" s="35"/>
      <c r="BJ1133" s="35"/>
      <c r="BK1133" s="35"/>
      <c r="BL1133" s="35"/>
      <c r="BM1133" s="35"/>
      <c r="BN1133" s="35"/>
      <c r="BO1133" s="78"/>
    </row>
    <row r="1134" spans="1:67" s="20" customFormat="1" ht="16.5" thickBot="1" x14ac:dyDescent="0.3">
      <c r="A1134" s="520">
        <f>IFERROR(VLOOKUP($G$5,'רשימת רשויות'!A:C,3,0),0)</f>
        <v>0</v>
      </c>
      <c r="B1134" s="520">
        <f t="shared" si="157"/>
        <v>0</v>
      </c>
      <c r="C1134" s="39"/>
      <c r="D1134" s="1134"/>
      <c r="E1134" s="1137"/>
      <c r="F1134" s="583" t="s">
        <v>145</v>
      </c>
      <c r="G1134" s="516" t="str">
        <f>IFERROR(IF((G1136+G1137)=0,"",IF(VLOOKUP(G1133,'דוח ביצוע (3)'!$B$21:$K$900,5,0)&gt;149,"גדול",IF(AND(VLOOKUP(G1133,'דוח ביצוע (3)'!$B$21:$K$900,5,0)&gt;0,VLOOKUP(G1133,'דוח ביצוע (3)'!$B$21:$K$900,5,0)&lt;150),"קטן",0))),"")</f>
        <v/>
      </c>
      <c r="H1134" s="723" t="s">
        <v>88</v>
      </c>
      <c r="I1134" s="723" t="s">
        <v>13</v>
      </c>
      <c r="J1134" s="725" t="s">
        <v>14</v>
      </c>
      <c r="K1134" s="724" t="s">
        <v>94</v>
      </c>
      <c r="L1134" s="594"/>
      <c r="M1134" s="420" t="s">
        <v>2584</v>
      </c>
      <c r="N1134" s="397" t="s">
        <v>413</v>
      </c>
      <c r="O1134" s="398" t="s">
        <v>52</v>
      </c>
      <c r="P1134" s="595"/>
      <c r="Q1134" s="595"/>
      <c r="R1134" s="596"/>
      <c r="S1134" s="610"/>
      <c r="T1134" s="881"/>
      <c r="U1134" s="598"/>
      <c r="V1134" s="599"/>
      <c r="W1134" s="599"/>
      <c r="X1134" s="599"/>
      <c r="Y1134" s="879"/>
      <c r="Z1134" s="85"/>
      <c r="AC1134" s="493"/>
      <c r="AD1134" s="495"/>
      <c r="AO1134" s="22"/>
      <c r="AP1134" s="22"/>
      <c r="AQ1134" s="22"/>
      <c r="AR1134" s="22"/>
      <c r="AS1134" s="22"/>
      <c r="AT1134" s="22"/>
      <c r="AU1134" s="35"/>
      <c r="AV1134" s="35"/>
      <c r="AW1134" s="35"/>
      <c r="AX1134" s="35"/>
      <c r="AY1134" s="35"/>
      <c r="AZ1134" s="35"/>
      <c r="BA1134" s="35"/>
      <c r="BB1134" s="35"/>
      <c r="BC1134" s="35"/>
      <c r="BD1134" s="35"/>
      <c r="BE1134" s="35"/>
      <c r="BF1134" s="35"/>
      <c r="BG1134" s="35"/>
      <c r="BH1134" s="35"/>
      <c r="BI1134" s="35"/>
      <c r="BJ1134" s="35"/>
      <c r="BK1134" s="35"/>
      <c r="BL1134" s="35"/>
      <c r="BM1134" s="35"/>
      <c r="BN1134" s="35"/>
      <c r="BO1134" s="78"/>
    </row>
    <row r="1135" spans="1:67" s="20" customFormat="1" ht="15.75" customHeight="1" thickBot="1" x14ac:dyDescent="0.3">
      <c r="A1135" s="520">
        <f>IFERROR(VLOOKUP($G$5,'רשימת רשויות'!A:C,3,0),0)</f>
        <v>0</v>
      </c>
      <c r="B1135" s="520">
        <f t="shared" si="157"/>
        <v>0</v>
      </c>
      <c r="C1135" s="39"/>
      <c r="D1135" s="1134"/>
      <c r="E1135" s="1137"/>
      <c r="F1135" s="584" t="s">
        <v>144</v>
      </c>
      <c r="G1135" s="87">
        <f>IF(G1138="תקין",IFERROR(VLOOKUP($G1133,'דוח ביצוע (3)'!$B$21:$Q$900,12,0),0),0)</f>
        <v>0</v>
      </c>
      <c r="H1135" s="88">
        <f>IFERROR(G1136*$AH$6+G1137*$AH$7,0)</f>
        <v>0</v>
      </c>
      <c r="I1135" s="88">
        <f>IFERROR(G1136*$AI$6+G1137*$AI$7,0)</f>
        <v>0</v>
      </c>
      <c r="J1135" s="88">
        <f>IFERROR(G1136*$AJ$6+G1137*$AJ$7,0)</f>
        <v>0</v>
      </c>
      <c r="K1135" s="88">
        <f>IFERROR(G1136*$AK$6+G1137*$AK$7,0)</f>
        <v>0</v>
      </c>
      <c r="L1135" s="405"/>
      <c r="M1135" s="399" t="s">
        <v>427</v>
      </c>
      <c r="N1135" s="400" t="str">
        <f>IFERROR(VLOOKUP($G1133,'דוח ביצוע (3)'!$B:$AE,28,0),"")</f>
        <v/>
      </c>
      <c r="O1135" s="89" t="str">
        <f>IFERROR(VLOOKUP($G1133,'דוח ביצוע (3)'!B:AE,29,0),"")</f>
        <v/>
      </c>
      <c r="P1135" s="595"/>
      <c r="Q1135" s="595"/>
      <c r="R1135" s="596"/>
      <c r="S1135" s="610"/>
      <c r="T1135" s="881"/>
      <c r="U1135" s="598"/>
      <c r="V1135" s="599"/>
      <c r="W1135" s="599"/>
      <c r="X1135" s="599"/>
      <c r="Y1135" s="879"/>
      <c r="Z1135" s="85"/>
      <c r="AC1135" s="493"/>
      <c r="AD1135" s="495"/>
      <c r="AO1135" s="22"/>
      <c r="AP1135" s="22"/>
      <c r="AQ1135" s="22"/>
      <c r="AR1135" s="22"/>
      <c r="AS1135" s="22"/>
      <c r="AT1135" s="22"/>
      <c r="AU1135" s="35"/>
      <c r="AV1135" s="35"/>
      <c r="AW1135" s="35"/>
      <c r="AX1135" s="35"/>
      <c r="AY1135" s="35"/>
      <c r="AZ1135" s="35"/>
      <c r="BA1135" s="35"/>
      <c r="BB1135" s="35"/>
      <c r="BC1135" s="35"/>
      <c r="BD1135" s="35"/>
      <c r="BE1135" s="35"/>
      <c r="BF1135" s="35"/>
      <c r="BG1135" s="35"/>
      <c r="BH1135" s="35"/>
      <c r="BI1135" s="35"/>
      <c r="BJ1135" s="35"/>
      <c r="BK1135" s="35"/>
      <c r="BL1135" s="35"/>
      <c r="BM1135" s="35"/>
      <c r="BN1135" s="35"/>
      <c r="BO1135" s="78"/>
    </row>
    <row r="1136" spans="1:67" s="20" customFormat="1" ht="32.25" thickBot="1" x14ac:dyDescent="0.3">
      <c r="A1136" s="520">
        <f>IFERROR(VLOOKUP($G$5,'רשימת רשויות'!A:C,3,0),0)</f>
        <v>0</v>
      </c>
      <c r="B1136" s="520">
        <f t="shared" si="157"/>
        <v>0</v>
      </c>
      <c r="C1136" s="39"/>
      <c r="D1136" s="1134"/>
      <c r="E1136" s="1137"/>
      <c r="F1136" s="585" t="s">
        <v>2195</v>
      </c>
      <c r="G1136" s="89">
        <f>IF(G1138="תקין",MAX(N1138,0),0)</f>
        <v>0</v>
      </c>
      <c r="H1136" s="725" t="s">
        <v>151</v>
      </c>
      <c r="I1136" s="725" t="s">
        <v>91</v>
      </c>
      <c r="J1136" s="970" t="s">
        <v>3396</v>
      </c>
      <c r="K1136" s="601"/>
      <c r="L1136" s="601"/>
      <c r="M1136" s="983" t="s">
        <v>2585</v>
      </c>
      <c r="N1136" s="400" t="str">
        <f>IFERROR(G1135/15*N1135*1.25,"")</f>
        <v/>
      </c>
      <c r="O1136" s="89" t="str">
        <f>IFERROR(G1135/15*O1135*1.25,"")</f>
        <v/>
      </c>
      <c r="P1136" s="595"/>
      <c r="Q1136" s="595"/>
      <c r="R1136" s="596"/>
      <c r="S1136" s="610"/>
      <c r="T1136" s="881"/>
      <c r="U1136" s="598"/>
      <c r="V1136" s="599"/>
      <c r="W1136" s="599"/>
      <c r="X1136" s="599"/>
      <c r="Y1136" s="879"/>
      <c r="Z1136" s="85"/>
      <c r="AC1136" s="493"/>
      <c r="AD1136" s="495"/>
      <c r="AG1136" s="22"/>
      <c r="AH1136" s="55"/>
      <c r="AI1136" s="55"/>
      <c r="AJ1136" s="55"/>
      <c r="AK1136" s="55"/>
      <c r="AO1136" s="22"/>
      <c r="AP1136" s="22"/>
      <c r="AQ1136" s="22"/>
      <c r="AR1136" s="22"/>
      <c r="AS1136" s="22"/>
      <c r="AT1136" s="22"/>
      <c r="AU1136" s="35"/>
      <c r="AV1136" s="35"/>
      <c r="AW1136" s="35"/>
      <c r="AX1136" s="35"/>
      <c r="AY1136" s="35"/>
      <c r="AZ1136" s="35"/>
      <c r="BA1136" s="35"/>
      <c r="BB1136" s="35"/>
      <c r="BC1136" s="35"/>
      <c r="BD1136" s="35"/>
      <c r="BE1136" s="35"/>
      <c r="BF1136" s="35"/>
      <c r="BG1136" s="35"/>
      <c r="BH1136" s="35"/>
      <c r="BI1136" s="35"/>
      <c r="BJ1136" s="35"/>
      <c r="BK1136" s="35"/>
      <c r="BL1136" s="35"/>
      <c r="BM1136" s="35"/>
      <c r="BN1136" s="35"/>
      <c r="BO1136" s="86"/>
    </row>
    <row r="1137" spans="1:67" s="20" customFormat="1" ht="16.5" thickBot="1" x14ac:dyDescent="0.3">
      <c r="A1137" s="520">
        <f>IFERROR(VLOOKUP($G$5,'רשימת רשויות'!A:C,3,0),0)</f>
        <v>0</v>
      </c>
      <c r="B1137" s="520">
        <f t="shared" si="157"/>
        <v>0</v>
      </c>
      <c r="C1137" s="39"/>
      <c r="D1137" s="1134"/>
      <c r="E1137" s="1137"/>
      <c r="F1137" s="585" t="s">
        <v>2196</v>
      </c>
      <c r="G1137" s="89">
        <f>IF(G1138="תקין",MAX(O1138,0),0)</f>
        <v>0</v>
      </c>
      <c r="H1137" s="88">
        <f>(IFERROR(IF((G1136+G1137)=0,0,IF(G1134="קטן",G1135*$AH$10,G1135*$AH$11)),0))+(IFERROR(IF((G1136+G1137)=0,0,VLOOKUP(G1133,'דוח ביצוע (3)'!$B:$AH,33,0)),0))</f>
        <v>0</v>
      </c>
      <c r="I1137" s="88">
        <f>IFERROR(IF((G1136+G1137)=0,0,IF(G1134="קטן",G1135*$AI$10,G1135*$AI$11)),0)</f>
        <v>0</v>
      </c>
      <c r="J1137" s="88">
        <f>IFERROR(IF((G1136+G1137)=0,0,VLOOKUP(G1133,'דוח ביצוע (3)'!$B:$AH,32,0)),0)</f>
        <v>0</v>
      </c>
      <c r="K1137" s="90"/>
      <c r="L1137" s="90"/>
      <c r="M1137" s="399" t="s">
        <v>412</v>
      </c>
      <c r="N1137" s="400">
        <f>IFERROR(VLOOKUP($G1133,'דוח ביצוע (3)'!$B$21:$U$500,18,0),0)</f>
        <v>0</v>
      </c>
      <c r="O1137" s="401">
        <f>IFERROR(VLOOKUP($G1133,'דוח ביצוע (3)'!$B$21:$U$500,19,0),0)</f>
        <v>0</v>
      </c>
      <c r="P1137" s="595"/>
      <c r="Q1137" s="595"/>
      <c r="R1137" s="596"/>
      <c r="S1137" s="610"/>
      <c r="T1137" s="881"/>
      <c r="U1137" s="598"/>
      <c r="V1137" s="599"/>
      <c r="W1137" s="599"/>
      <c r="X1137" s="599"/>
      <c r="Y1137" s="879"/>
      <c r="Z1137" s="85"/>
      <c r="AC1137" s="493"/>
      <c r="AD1137" s="495"/>
      <c r="AG1137" s="22"/>
      <c r="AH1137" s="55"/>
      <c r="AI1137" s="55"/>
      <c r="AJ1137" s="55"/>
      <c r="AK1137" s="55"/>
      <c r="AO1137" s="22"/>
      <c r="AP1137" s="22"/>
      <c r="AQ1137" s="22"/>
      <c r="AR1137" s="22"/>
      <c r="AS1137" s="22"/>
      <c r="AT1137" s="22"/>
      <c r="AU1137" s="35"/>
      <c r="AV1137" s="35"/>
      <c r="AW1137" s="35"/>
      <c r="AX1137" s="35"/>
      <c r="AY1137" s="35"/>
      <c r="AZ1137" s="35"/>
      <c r="BA1137" s="35"/>
      <c r="BB1137" s="35"/>
      <c r="BC1137" s="35"/>
      <c r="BD1137" s="35"/>
      <c r="BE1137" s="35"/>
      <c r="BF1137" s="35"/>
      <c r="BG1137" s="35"/>
      <c r="BH1137" s="35"/>
      <c r="BI1137" s="35"/>
      <c r="BJ1137" s="35"/>
      <c r="BK1137" s="35"/>
      <c r="BL1137" s="35"/>
      <c r="BM1137" s="35"/>
      <c r="BN1137" s="35"/>
      <c r="BO1137" s="86"/>
    </row>
    <row r="1138" spans="1:67" s="20" customFormat="1" ht="16.5" thickBot="1" x14ac:dyDescent="0.3">
      <c r="A1138" s="520">
        <f>IFERROR(VLOOKUP($G$5,'רשימת רשויות'!A:C,3,0),0)</f>
        <v>0</v>
      </c>
      <c r="B1138" s="520">
        <f t="shared" si="157"/>
        <v>0</v>
      </c>
      <c r="C1138" s="39"/>
      <c r="D1138" s="1134"/>
      <c r="E1138" s="1137"/>
      <c r="F1138" s="586" t="s">
        <v>2355</v>
      </c>
      <c r="G1138" s="514">
        <f>IFERROR(IF(VLOOKUP('בית ספר - תקצוב לפי מוסד (9)'!G1133,' איוש משרות (8)'!$C:$K,9,0)="תקין","תקין","לא תקין"),0)</f>
        <v>0</v>
      </c>
      <c r="H1138" s="91"/>
      <c r="I1138" s="91"/>
      <c r="J1138" s="91"/>
      <c r="K1138" s="90"/>
      <c r="L1138" s="90"/>
      <c r="M1138" s="402" t="s">
        <v>2586</v>
      </c>
      <c r="N1138" s="403">
        <f>IFERROR(MIN(N1136,N1137),0)</f>
        <v>0</v>
      </c>
      <c r="O1138" s="404">
        <f>IFERROR(MIN(O1136,O1137),0)</f>
        <v>0</v>
      </c>
      <c r="P1138" s="595"/>
      <c r="Q1138" s="595"/>
      <c r="R1138" s="596"/>
      <c r="S1138" s="610"/>
      <c r="T1138" s="881"/>
      <c r="U1138" s="598"/>
      <c r="V1138" s="599"/>
      <c r="W1138" s="599"/>
      <c r="X1138" s="599"/>
      <c r="Y1138" s="879"/>
      <c r="Z1138" s="85"/>
      <c r="AC1138" s="493"/>
      <c r="AD1138" s="495"/>
      <c r="AG1138" s="94"/>
      <c r="AH1138" s="40"/>
      <c r="AI1138" s="40"/>
      <c r="AJ1138" s="40"/>
      <c r="AK1138" s="40"/>
      <c r="AO1138" s="22"/>
      <c r="AP1138" s="22"/>
      <c r="AQ1138" s="22"/>
      <c r="AR1138" s="22"/>
      <c r="AS1138" s="22"/>
      <c r="AT1138" s="22"/>
      <c r="AU1138" s="35"/>
      <c r="AV1138" s="35"/>
      <c r="AW1138" s="35"/>
      <c r="AX1138" s="35"/>
      <c r="AY1138" s="35"/>
      <c r="AZ1138" s="35"/>
      <c r="BA1138" s="35"/>
      <c r="BB1138" s="35"/>
      <c r="BC1138" s="35"/>
      <c r="BD1138" s="35"/>
      <c r="BE1138" s="35"/>
      <c r="BF1138" s="35"/>
      <c r="BG1138" s="35"/>
      <c r="BH1138" s="35"/>
      <c r="BI1138" s="35"/>
      <c r="BJ1138" s="35"/>
      <c r="BK1138" s="35"/>
      <c r="BL1138" s="35"/>
      <c r="BM1138" s="35"/>
      <c r="BN1138" s="35"/>
      <c r="BO1138" s="86"/>
    </row>
    <row r="1139" spans="1:67" s="55" customFormat="1" ht="37.15" customHeight="1" thickBot="1" x14ac:dyDescent="0.3">
      <c r="A1139" s="520">
        <f>IFERROR(VLOOKUP($G$5,'רשימת רשויות'!A:C,3,0),0)</f>
        <v>0</v>
      </c>
      <c r="B1139" s="520">
        <f t="shared" si="157"/>
        <v>0</v>
      </c>
      <c r="C1139" s="39"/>
      <c r="D1139" s="1134"/>
      <c r="E1139" s="1137"/>
      <c r="F1139" s="587" t="s">
        <v>142</v>
      </c>
      <c r="G1139" s="92"/>
      <c r="H1139" s="92"/>
      <c r="I1139" s="92"/>
      <c r="J1139" s="92"/>
      <c r="K1139" s="602"/>
      <c r="L1139" s="602"/>
      <c r="M1139" s="602"/>
      <c r="N1139" s="602"/>
      <c r="O1139" s="602"/>
      <c r="P1139" s="595"/>
      <c r="Q1139" s="595"/>
      <c r="R1139" s="596"/>
      <c r="S1139" s="610"/>
      <c r="T1139" s="881"/>
      <c r="U1139" s="598"/>
      <c r="V1139" s="599"/>
      <c r="W1139" s="599"/>
      <c r="X1139" s="599"/>
      <c r="Y1139" s="879"/>
      <c r="Z1139" s="93"/>
      <c r="AC1139" s="493"/>
      <c r="AD1139" s="495"/>
      <c r="AF1139" s="22"/>
      <c r="AG1139" s="98"/>
      <c r="AH1139" s="98"/>
      <c r="AI1139" s="40"/>
      <c r="AJ1139" s="40"/>
      <c r="AK1139" s="40"/>
      <c r="AO1139" s="22"/>
      <c r="AP1139" s="22"/>
      <c r="AQ1139" s="22"/>
      <c r="AR1139" s="22"/>
      <c r="AS1139" s="22"/>
      <c r="AT1139" s="22"/>
      <c r="AU1139" s="35"/>
      <c r="AV1139" s="35"/>
      <c r="AW1139" s="35"/>
      <c r="AX1139" s="35"/>
      <c r="AY1139" s="35"/>
      <c r="AZ1139" s="35"/>
      <c r="BA1139" s="35"/>
      <c r="BB1139" s="35"/>
      <c r="BC1139" s="35"/>
      <c r="BD1139" s="35"/>
      <c r="BE1139" s="35"/>
      <c r="BF1139" s="35"/>
      <c r="BG1139" s="35"/>
      <c r="BH1139" s="35"/>
      <c r="BI1139" s="35"/>
      <c r="BJ1139" s="35"/>
      <c r="BK1139" s="35"/>
      <c r="BL1139" s="35"/>
      <c r="BM1139" s="35"/>
      <c r="BN1139" s="35"/>
      <c r="BO1139" s="86"/>
    </row>
    <row r="1140" spans="1:67" s="40" customFormat="1" ht="31.5" x14ac:dyDescent="0.25">
      <c r="A1140" s="520">
        <f>IFERROR(VLOOKUP($G$5,'רשימת רשויות'!A:C,3,0),0)</f>
        <v>0</v>
      </c>
      <c r="B1140" s="520">
        <f t="shared" si="157"/>
        <v>0</v>
      </c>
      <c r="C1140" s="39"/>
      <c r="D1140" s="1134"/>
      <c r="E1140" s="1137"/>
      <c r="F1140" s="588" t="s">
        <v>94</v>
      </c>
      <c r="G1140" s="95" t="s">
        <v>18</v>
      </c>
      <c r="H1140" s="95" t="s">
        <v>19</v>
      </c>
      <c r="I1140" s="95" t="s">
        <v>138</v>
      </c>
      <c r="J1140" s="96" t="s">
        <v>139</v>
      </c>
      <c r="K1140" s="603"/>
      <c r="L1140" s="603"/>
      <c r="M1140" s="603"/>
      <c r="N1140" s="603"/>
      <c r="O1140" s="603"/>
      <c r="P1140" s="604"/>
      <c r="Q1140" s="604"/>
      <c r="R1140" s="596"/>
      <c r="S1140" s="610"/>
      <c r="T1140" s="881"/>
      <c r="U1140" s="598"/>
      <c r="V1140" s="599"/>
      <c r="W1140" s="599"/>
      <c r="X1140" s="599"/>
      <c r="Y1140" s="879"/>
      <c r="Z1140" s="97"/>
      <c r="AA1140" s="94"/>
      <c r="AB1140" s="94"/>
      <c r="AC1140" s="493"/>
      <c r="AD1140" s="495"/>
      <c r="AE1140" s="94"/>
      <c r="AG1140" s="98"/>
      <c r="AH1140" s="98"/>
      <c r="AO1140" s="22"/>
      <c r="AP1140" s="22"/>
      <c r="AQ1140" s="22"/>
      <c r="AR1140" s="22"/>
      <c r="AS1140" s="22"/>
      <c r="AT1140" s="22"/>
      <c r="AU1140" s="35"/>
      <c r="AV1140" s="35"/>
      <c r="AW1140" s="35"/>
      <c r="AX1140" s="35"/>
      <c r="AY1140" s="35"/>
      <c r="AZ1140" s="35"/>
      <c r="BA1140" s="35"/>
      <c r="BB1140" s="35"/>
      <c r="BC1140" s="35"/>
      <c r="BD1140" s="35"/>
      <c r="BE1140" s="35"/>
      <c r="BF1140" s="35"/>
      <c r="BG1140" s="35"/>
      <c r="BH1140" s="35"/>
      <c r="BI1140" s="35"/>
      <c r="BJ1140" s="35"/>
      <c r="BK1140" s="35"/>
      <c r="BL1140" s="35"/>
      <c r="BM1140" s="35"/>
      <c r="BN1140" s="35"/>
      <c r="BO1140" s="86"/>
    </row>
    <row r="1141" spans="1:67" s="40" customFormat="1" ht="15.75" customHeight="1" thickBot="1" x14ac:dyDescent="0.3">
      <c r="A1141" s="520">
        <f>IFERROR(VLOOKUP($G$5,'רשימת רשויות'!A:C,3,0),0)</f>
        <v>0</v>
      </c>
      <c r="B1141" s="520">
        <f t="shared" si="157"/>
        <v>0</v>
      </c>
      <c r="C1141" s="39"/>
      <c r="D1141" s="1134"/>
      <c r="E1141" s="1137"/>
      <c r="F1141" s="589" t="s">
        <v>2280</v>
      </c>
      <c r="G1141" s="99">
        <f>+G1152</f>
        <v>0</v>
      </c>
      <c r="H1141" s="100">
        <f>K1135</f>
        <v>0</v>
      </c>
      <c r="I1141" s="100">
        <f>H1141-I1143</f>
        <v>0</v>
      </c>
      <c r="J1141" s="101">
        <f>IFERROR(I1141/H1141,0)</f>
        <v>0</v>
      </c>
      <c r="K1141" s="603"/>
      <c r="L1141" s="603"/>
      <c r="M1141" s="603"/>
      <c r="N1141" s="603"/>
      <c r="O1141" s="603"/>
      <c r="P1141" s="605"/>
      <c r="Q1141" s="604"/>
      <c r="R1141" s="606" t="s">
        <v>157</v>
      </c>
      <c r="S1141" s="611"/>
      <c r="T1141" s="881"/>
      <c r="U1141" s="598"/>
      <c r="V1141" s="599"/>
      <c r="W1141" s="599"/>
      <c r="X1141" s="599"/>
      <c r="Y1141" s="879"/>
      <c r="Z1141" s="102"/>
      <c r="AA1141" s="122"/>
      <c r="AB1141" s="122"/>
      <c r="AC1141" s="493"/>
      <c r="AD1141" s="495"/>
      <c r="AE1141" s="122"/>
      <c r="AF1141" s="22"/>
      <c r="AG1141" s="98"/>
      <c r="AH1141" s="98"/>
      <c r="AI1141" s="20"/>
      <c r="AO1141" s="22"/>
      <c r="AP1141" s="22"/>
      <c r="AQ1141" s="22"/>
      <c r="AR1141" s="22"/>
      <c r="AS1141" s="22"/>
      <c r="AT1141" s="22"/>
      <c r="AU1141" s="35"/>
      <c r="AV1141" s="35"/>
      <c r="AW1141" s="35"/>
      <c r="AX1141" s="35"/>
      <c r="AY1141" s="35"/>
      <c r="AZ1141" s="35"/>
      <c r="BA1141" s="35"/>
      <c r="BB1141" s="35"/>
      <c r="BC1141" s="35"/>
      <c r="BD1141" s="35"/>
      <c r="BE1141" s="35"/>
      <c r="BF1141" s="35"/>
      <c r="BG1141" s="35"/>
      <c r="BH1141" s="35"/>
      <c r="BI1141" s="35"/>
      <c r="BJ1141" s="35"/>
      <c r="BK1141" s="35"/>
      <c r="BL1141" s="35"/>
      <c r="BM1141" s="35"/>
      <c r="BN1141" s="35"/>
      <c r="BO1141" s="86"/>
    </row>
    <row r="1142" spans="1:67" s="40" customFormat="1" ht="15.75" customHeight="1" thickBot="1" x14ac:dyDescent="0.3">
      <c r="A1142" s="520">
        <f>IFERROR(VLOOKUP($G$5,'רשימת רשויות'!A:C,3,0),0)</f>
        <v>0</v>
      </c>
      <c r="B1142" s="520">
        <f t="shared" si="157"/>
        <v>0</v>
      </c>
      <c r="C1142" s="39"/>
      <c r="D1142" s="1134"/>
      <c r="E1142" s="1137"/>
      <c r="F1142" s="589" t="s">
        <v>2281</v>
      </c>
      <c r="G1142" s="99">
        <f>+G1151</f>
        <v>0</v>
      </c>
      <c r="H1142" s="103"/>
      <c r="I1142" s="104"/>
      <c r="J1142" s="105"/>
      <c r="K1142" s="603"/>
      <c r="L1142" s="603"/>
      <c r="M1142" s="603"/>
      <c r="N1142" s="603"/>
      <c r="O1142" s="603"/>
      <c r="P1142" s="605"/>
      <c r="Q1142" s="604"/>
      <c r="R1142" s="473">
        <f>I1143-R1144</f>
        <v>0</v>
      </c>
      <c r="S1142" s="611"/>
      <c r="T1142" s="881"/>
      <c r="U1142" s="598"/>
      <c r="V1142" s="599"/>
      <c r="W1142" s="599"/>
      <c r="X1142" s="599"/>
      <c r="Y1142" s="879"/>
      <c r="Z1142" s="106"/>
      <c r="AA1142" s="22"/>
      <c r="AB1142" s="22"/>
      <c r="AC1142" s="493"/>
      <c r="AD1142" s="495"/>
      <c r="AE1142" s="22"/>
      <c r="AF1142" s="22"/>
      <c r="AG1142" s="98"/>
      <c r="AH1142" s="98"/>
      <c r="AI1142" s="20"/>
      <c r="AO1142" s="22"/>
      <c r="AP1142" s="22"/>
      <c r="AQ1142" s="22"/>
      <c r="AR1142" s="22"/>
      <c r="AS1142" s="22"/>
      <c r="AT1142" s="22"/>
      <c r="AU1142" s="35"/>
      <c r="AV1142" s="35"/>
      <c r="AW1142" s="35"/>
      <c r="AX1142" s="35"/>
      <c r="AY1142" s="35"/>
      <c r="AZ1142" s="35"/>
      <c r="BA1142" s="35"/>
      <c r="BB1142" s="35"/>
      <c r="BC1142" s="35"/>
      <c r="BD1142" s="35"/>
      <c r="BE1142" s="35"/>
      <c r="BF1142" s="35"/>
      <c r="BG1142" s="35"/>
      <c r="BH1142" s="35"/>
      <c r="BI1142" s="35"/>
      <c r="BJ1142" s="35"/>
      <c r="BK1142" s="35"/>
      <c r="BL1142" s="35"/>
      <c r="BM1142" s="35"/>
      <c r="BN1142" s="35"/>
      <c r="BO1142" s="86"/>
    </row>
    <row r="1143" spans="1:67" s="40" customFormat="1" ht="16.5" customHeight="1" thickBot="1" x14ac:dyDescent="0.3">
      <c r="A1143" s="520">
        <f>IFERROR(VLOOKUP($G$5,'רשימת רשויות'!A:C,3,0),0)</f>
        <v>0</v>
      </c>
      <c r="B1143" s="520">
        <f t="shared" si="157"/>
        <v>0</v>
      </c>
      <c r="C1143" s="39"/>
      <c r="D1143" s="1134"/>
      <c r="E1143" s="1137"/>
      <c r="F1143" s="589" t="s">
        <v>2282</v>
      </c>
      <c r="G1143" s="99">
        <f>G1147+G1148+G1149</f>
        <v>0</v>
      </c>
      <c r="H1143" s="104"/>
      <c r="I1143" s="107">
        <f>MAX(H1141-G1141-G1142,0)</f>
        <v>0</v>
      </c>
      <c r="J1143" s="108">
        <f>IFERROR(I1143/H1141,0)</f>
        <v>0</v>
      </c>
      <c r="K1143" s="603"/>
      <c r="L1143" s="603"/>
      <c r="M1143" s="603"/>
      <c r="N1143" s="603"/>
      <c r="O1143" s="603"/>
      <c r="P1143" s="604"/>
      <c r="Q1143" s="604"/>
      <c r="R1143" s="606" t="s">
        <v>158</v>
      </c>
      <c r="S1143" s="612"/>
      <c r="T1143" s="881"/>
      <c r="U1143" s="598"/>
      <c r="V1143" s="599"/>
      <c r="W1143" s="599"/>
      <c r="X1143" s="599"/>
      <c r="Y1143" s="879"/>
      <c r="Z1143" s="106"/>
      <c r="AA1143" s="22"/>
      <c r="AB1143" s="22"/>
      <c r="AC1143" s="493"/>
      <c r="AD1143" s="495"/>
      <c r="AE1143" s="22"/>
      <c r="AF1143" s="22"/>
      <c r="AG1143" s="22"/>
      <c r="AH1143" s="22"/>
      <c r="AI1143" s="55"/>
      <c r="AJ1143" s="22"/>
      <c r="AK1143" s="22"/>
      <c r="AO1143" s="22"/>
      <c r="AP1143" s="22"/>
      <c r="AQ1143" s="22"/>
      <c r="AR1143" s="22"/>
      <c r="AS1143" s="22"/>
      <c r="AT1143" s="22"/>
      <c r="AU1143" s="35"/>
      <c r="AV1143" s="35"/>
      <c r="AW1143" s="35"/>
      <c r="AX1143" s="35"/>
      <c r="AY1143" s="35"/>
      <c r="AZ1143" s="35"/>
      <c r="BA1143" s="35"/>
      <c r="BB1143" s="35"/>
      <c r="BC1143" s="35"/>
      <c r="BD1143" s="35"/>
      <c r="BE1143" s="35"/>
      <c r="BF1143" s="35"/>
      <c r="BG1143" s="35"/>
      <c r="BH1143" s="35"/>
      <c r="BI1143" s="35"/>
      <c r="BJ1143" s="35"/>
      <c r="BK1143" s="35"/>
      <c r="BL1143" s="35"/>
      <c r="BM1143" s="35"/>
      <c r="BN1143" s="35"/>
      <c r="BO1143" s="86"/>
    </row>
    <row r="1144" spans="1:67" s="40" customFormat="1" ht="15.75" customHeight="1" thickBot="1" x14ac:dyDescent="0.3">
      <c r="A1144" s="520">
        <f>IFERROR(VLOOKUP($G$5,'רשימת רשויות'!A:C,3,0),0)</f>
        <v>0</v>
      </c>
      <c r="B1144" s="520">
        <f t="shared" si="157"/>
        <v>0</v>
      </c>
      <c r="C1144" s="39"/>
      <c r="D1144" s="1134"/>
      <c r="E1144" s="1137"/>
      <c r="F1144" s="590" t="s">
        <v>2290</v>
      </c>
      <c r="G1144" s="109"/>
      <c r="H1144" s="110"/>
      <c r="I1144" s="111">
        <f>SUM(I1141:I1143)</f>
        <v>0</v>
      </c>
      <c r="J1144" s="112">
        <f>SUM(J1141:J1143)</f>
        <v>0</v>
      </c>
      <c r="K1144" s="603"/>
      <c r="L1144" s="603"/>
      <c r="M1144" s="603"/>
      <c r="N1144" s="603"/>
      <c r="O1144" s="603"/>
      <c r="P1144" s="604"/>
      <c r="Q1144" s="604"/>
      <c r="R1144" s="473">
        <f>MIN(MAX(G1148+G1149-I1137-J1137,0),I1143)</f>
        <v>0</v>
      </c>
      <c r="S1144" s="612"/>
      <c r="T1144" s="881"/>
      <c r="U1144" s="598"/>
      <c r="V1144" s="599"/>
      <c r="W1144" s="599"/>
      <c r="X1144" s="599"/>
      <c r="Y1144" s="879"/>
      <c r="Z1144" s="106"/>
      <c r="AA1144" s="22"/>
      <c r="AB1144" s="22"/>
      <c r="AC1144" s="493"/>
      <c r="AD1144" s="495"/>
      <c r="AE1144" s="22"/>
      <c r="AF1144" s="22"/>
      <c r="AG1144" s="22"/>
      <c r="AH1144" s="22"/>
      <c r="AJ1144" s="22"/>
      <c r="AK1144" s="22"/>
      <c r="AO1144" s="22"/>
      <c r="AP1144" s="22"/>
      <c r="AQ1144" s="22"/>
      <c r="AR1144" s="22"/>
      <c r="AS1144" s="22"/>
      <c r="AT1144" s="22"/>
      <c r="AU1144" s="35"/>
      <c r="AV1144" s="35"/>
      <c r="AW1144" s="35"/>
      <c r="AX1144" s="35"/>
      <c r="AY1144" s="35"/>
      <c r="AZ1144" s="35"/>
      <c r="BA1144" s="35"/>
      <c r="BB1144" s="35"/>
      <c r="BC1144" s="35"/>
      <c r="BD1144" s="35"/>
      <c r="BE1144" s="35"/>
      <c r="BF1144" s="35"/>
      <c r="BG1144" s="35"/>
      <c r="BH1144" s="35"/>
      <c r="BI1144" s="35"/>
      <c r="BJ1144" s="35"/>
      <c r="BK1144" s="35"/>
      <c r="BL1144" s="35"/>
      <c r="BM1144" s="35"/>
      <c r="BN1144" s="35"/>
      <c r="BO1144" s="86"/>
    </row>
    <row r="1145" spans="1:67" ht="16.5" thickBot="1" x14ac:dyDescent="0.3">
      <c r="A1145" s="520">
        <f>IFERROR(VLOOKUP($G$5,'רשימת רשויות'!A:C,3,0),0)</f>
        <v>0</v>
      </c>
      <c r="B1145" s="520">
        <f t="shared" si="157"/>
        <v>0</v>
      </c>
      <c r="D1145" s="1134"/>
      <c r="E1145" s="1137"/>
      <c r="F1145" s="587" t="s">
        <v>17</v>
      </c>
      <c r="G1145" s="113"/>
      <c r="H1145" s="92"/>
      <c r="I1145" s="114"/>
      <c r="J1145" s="115"/>
      <c r="K1145" s="116"/>
      <c r="L1145" s="406"/>
      <c r="M1145" s="116"/>
      <c r="N1145" s="116"/>
      <c r="O1145" s="116"/>
      <c r="P1145" s="474"/>
      <c r="Q1145" s="607"/>
      <c r="R1145" s="608"/>
      <c r="S1145" s="612"/>
      <c r="T1145" s="881"/>
      <c r="U1145" s="598"/>
      <c r="V1145" s="599"/>
      <c r="W1145" s="599"/>
      <c r="X1145" s="599"/>
      <c r="Y1145" s="879"/>
      <c r="Z1145" s="106"/>
      <c r="AI1145" s="40"/>
      <c r="BO1145" s="86"/>
    </row>
    <row r="1146" spans="1:67" ht="47.25" x14ac:dyDescent="0.25">
      <c r="A1146" s="520">
        <f>IFERROR(VLOOKUP($G$5,'רשימת רשויות'!A:C,3,0),0)</f>
        <v>0</v>
      </c>
      <c r="B1146" s="520">
        <f t="shared" si="157"/>
        <v>0</v>
      </c>
      <c r="D1146" s="1134"/>
      <c r="E1146" s="1137"/>
      <c r="F1146" s="588" t="s">
        <v>2</v>
      </c>
      <c r="G1146" s="95" t="s">
        <v>18</v>
      </c>
      <c r="H1146" s="95" t="s">
        <v>19</v>
      </c>
      <c r="I1146" s="95" t="s">
        <v>20</v>
      </c>
      <c r="J1146" s="95" t="s">
        <v>22</v>
      </c>
      <c r="K1146" s="96" t="s">
        <v>2314</v>
      </c>
      <c r="L1146" s="609"/>
      <c r="M1146" s="609"/>
      <c r="N1146" s="609"/>
      <c r="O1146" s="580"/>
      <c r="P1146" s="618" t="s">
        <v>2298</v>
      </c>
      <c r="Q1146" s="618" t="s">
        <v>2299</v>
      </c>
      <c r="R1146" s="596"/>
      <c r="S1146" s="890" t="s">
        <v>2519</v>
      </c>
      <c r="T1146" s="890" t="s">
        <v>97</v>
      </c>
      <c r="U1146" s="891" t="s">
        <v>2521</v>
      </c>
      <c r="V1146" s="892" t="s">
        <v>2520</v>
      </c>
      <c r="W1146" s="893" t="s">
        <v>2524</v>
      </c>
      <c r="X1146" s="892" t="s">
        <v>2522</v>
      </c>
      <c r="Y1146" s="894" t="s">
        <v>2523</v>
      </c>
      <c r="Z1146" s="106"/>
      <c r="AC1146" s="498" t="s">
        <v>2568</v>
      </c>
      <c r="AD1146" s="499" t="s">
        <v>2569</v>
      </c>
      <c r="AF1146" s="122"/>
      <c r="AI1146" s="40"/>
      <c r="BO1146" s="86"/>
    </row>
    <row r="1147" spans="1:67" ht="15" customHeight="1" thickBot="1" x14ac:dyDescent="0.3">
      <c r="A1147" s="520">
        <f>IFERROR(VLOOKUP($G$5,'רשימת רשויות'!A:C,3,0),0)</f>
        <v>0</v>
      </c>
      <c r="B1147" s="520">
        <f t="shared" si="157"/>
        <v>0</v>
      </c>
      <c r="D1147" s="1134"/>
      <c r="E1147" s="1137"/>
      <c r="F1147" s="589" t="s">
        <v>76</v>
      </c>
      <c r="G1147" s="117">
        <f>IF(G1138="תקין",SUMIF('עלויות כח אדם (6)'!$B$15:$B$3014,'בית ספר - תקצוב לפי מוסד (9)'!$G1133,'עלויות כח אדם (6)'!$M$15:$M$3014)-VLOOKUP('בית ספר - תקצוב לפי מוסד (9)'!G1133,' איוש משרות (8)'!$C:$H,5,0)-VLOOKUP('בית ספר - תקצוב לפי מוסד (9)'!G1133,' איוש משרות (8)'!$C:$H,6,0),0)-Y1147</f>
        <v>0</v>
      </c>
      <c r="H1147" s="118">
        <f>I1135+R1142</f>
        <v>0</v>
      </c>
      <c r="I1147" s="119">
        <f>IFERROR(SUM(G1147)/H1147,0)</f>
        <v>0</v>
      </c>
      <c r="J1147" s="100">
        <f>MIN(I1135+R1142,IF(ISNUMBER(G1147),G1147,0))</f>
        <v>0</v>
      </c>
      <c r="K1147" s="120">
        <f>MAX(H1147-G1147,0)</f>
        <v>0</v>
      </c>
      <c r="L1147" s="407"/>
      <c r="M1147" s="393"/>
      <c r="N1147" s="393"/>
      <c r="O1147" s="580"/>
      <c r="P1147" s="968">
        <f>IFERROR(IF(SUM(G1147)/(I1135)&lt;100%,MIN((I1135)-SUM(G1147),(I1135)*0.25),0),0)</f>
        <v>0</v>
      </c>
      <c r="Q1147" s="968">
        <f>IF(SUM(G1147)-(I1135+R1142)&gt;0,SUM(G1147)-(I1135+R1142),0)</f>
        <v>0</v>
      </c>
      <c r="R1147" s="596" t="s">
        <v>2351</v>
      </c>
      <c r="S1147" s="576" t="s">
        <v>2342</v>
      </c>
      <c r="T1147" s="599">
        <f>G1133</f>
        <v>0</v>
      </c>
      <c r="U1147" s="578"/>
      <c r="V1147" s="579">
        <f>G1147+G1148+G1149</f>
        <v>0</v>
      </c>
      <c r="W1147" s="579">
        <f>U1147-V1147</f>
        <v>0</v>
      </c>
      <c r="X1147" s="579">
        <f>IFERROR(W1161*W1147/(SUM(W1147:W1160)),0)</f>
        <v>0</v>
      </c>
      <c r="Y1147" s="879">
        <f>SUMIFS(בקרה!$S:$S,בקרה!$D:$D,T1147,בקרה!$K:$K,S1147)</f>
        <v>0</v>
      </c>
      <c r="Z1147" s="121"/>
      <c r="AA1147" s="143"/>
      <c r="AB1147" s="143"/>
      <c r="AC1147" s="504">
        <v>0</v>
      </c>
      <c r="AD1147" s="505">
        <f>IFERROR(U1147-AC1147,0)</f>
        <v>0</v>
      </c>
      <c r="AE1147" s="143"/>
      <c r="AI1147" s="20"/>
      <c r="BO1147" s="86"/>
    </row>
    <row r="1148" spans="1:67" ht="15" customHeight="1" thickBot="1" x14ac:dyDescent="0.3">
      <c r="A1148" s="520">
        <f>IFERROR(VLOOKUP($G$5,'רשימת רשויות'!A:C,3,0),0)</f>
        <v>0</v>
      </c>
      <c r="B1148" s="520">
        <f t="shared" si="157"/>
        <v>0</v>
      </c>
      <c r="D1148" s="1134"/>
      <c r="E1148" s="1137"/>
      <c r="F1148" s="589" t="s">
        <v>44</v>
      </c>
      <c r="G1148" s="123">
        <f>IF(G1138="תקין",IFERROR(VLOOKUP('בית ספר - תקצוב לפי מוסד (9)'!G1133,' איוש משרות (8)'!C:J,7,0),0),0)</f>
        <v>0</v>
      </c>
      <c r="H1148" s="124">
        <f>I1137+R1144+J1137</f>
        <v>0</v>
      </c>
      <c r="I1148" s="119">
        <f>IFERROR(SUM(G1148:G1149)/H1148,0)</f>
        <v>0</v>
      </c>
      <c r="J1148" s="100">
        <f>MIN(R1144+I1137,IF(ISNUMBER(SUM(G1148:G1149)),SUM(G1148:G1149),0))</f>
        <v>0</v>
      </c>
      <c r="K1148" s="1139">
        <f>MAX((H1148)-(G1148+G1149),0)</f>
        <v>0</v>
      </c>
      <c r="L1148" s="407"/>
      <c r="M1148" s="393"/>
      <c r="N1148" s="393"/>
      <c r="O1148" s="580"/>
      <c r="P1148" s="1140"/>
      <c r="Q1148" s="1140"/>
      <c r="R1148" s="617">
        <f>MAX(MIN(P1156-Q1156,H1156*0.15-G1154),0)</f>
        <v>0</v>
      </c>
      <c r="S1148" s="576"/>
      <c r="T1148" s="599">
        <f>G1133</f>
        <v>0</v>
      </c>
      <c r="U1148" s="578"/>
      <c r="V1148" s="579"/>
      <c r="W1148" s="579">
        <f t="shared" ref="W1148:W1160" si="162">U1148-V1148</f>
        <v>0</v>
      </c>
      <c r="X1148" s="579"/>
      <c r="Y1148" s="879"/>
      <c r="Z1148" s="121"/>
      <c r="AA1148" s="143"/>
      <c r="AB1148" s="143"/>
      <c r="AC1148" s="504"/>
      <c r="AD1148" s="505">
        <f t="shared" ref="AD1148:AD1154" si="163">IFERROR(U1148-AC1148,0)</f>
        <v>0</v>
      </c>
      <c r="AE1148" s="143"/>
      <c r="AI1148" s="20"/>
      <c r="BO1148" s="86"/>
    </row>
    <row r="1149" spans="1:67" ht="15.75" customHeight="1" x14ac:dyDescent="0.25">
      <c r="A1149" s="520">
        <f>IFERROR(VLOOKUP($G$5,'רשימת רשויות'!A:C,3,0),0)</f>
        <v>0</v>
      </c>
      <c r="B1149" s="520">
        <f t="shared" si="157"/>
        <v>0</v>
      </c>
      <c r="D1149" s="1134"/>
      <c r="E1149" s="1137"/>
      <c r="F1149" s="589" t="s">
        <v>45</v>
      </c>
      <c r="G1149" s="123">
        <f>IF(G1138="תקין",IFERROR(VLOOKUP('בית ספר - תקצוב לפי מוסד (9)'!G1133,' איוש משרות (8)'!C:J,8,0),0),0)</f>
        <v>0</v>
      </c>
      <c r="H1149" s="125"/>
      <c r="I1149" s="126"/>
      <c r="J1149" s="104"/>
      <c r="K1149" s="1139"/>
      <c r="L1149" s="407"/>
      <c r="M1149" s="393"/>
      <c r="N1149" s="393"/>
      <c r="O1149" s="580"/>
      <c r="P1149" s="1140"/>
      <c r="Q1149" s="1140"/>
      <c r="R1149" s="596"/>
      <c r="S1149" s="576"/>
      <c r="T1149" s="599">
        <f>G1133</f>
        <v>0</v>
      </c>
      <c r="U1149" s="578"/>
      <c r="V1149" s="579"/>
      <c r="W1149" s="579">
        <f t="shared" si="162"/>
        <v>0</v>
      </c>
      <c r="X1149" s="579"/>
      <c r="Y1149" s="879"/>
      <c r="Z1149" s="121"/>
      <c r="AA1149" s="143"/>
      <c r="AB1149" s="143"/>
      <c r="AC1149" s="504"/>
      <c r="AD1149" s="505">
        <f t="shared" si="163"/>
        <v>0</v>
      </c>
      <c r="AE1149" s="143"/>
      <c r="AG1149" s="55"/>
      <c r="AH1149" s="55"/>
      <c r="AI1149" s="55"/>
      <c r="AJ1149" s="55"/>
      <c r="AK1149" s="55"/>
      <c r="BO1149" s="86"/>
    </row>
    <row r="1150" spans="1:67" ht="15.75" customHeight="1" x14ac:dyDescent="0.25">
      <c r="A1150" s="520">
        <f>IFERROR(VLOOKUP($G$5,'רשימת רשויות'!A:C,3,0),0)</f>
        <v>0</v>
      </c>
      <c r="B1150" s="520">
        <f t="shared" si="157"/>
        <v>0</v>
      </c>
      <c r="D1150" s="1134"/>
      <c r="E1150" s="1137"/>
      <c r="F1150" s="589" t="s">
        <v>0</v>
      </c>
      <c r="G1150" s="117">
        <f>IF(G1138="תקין",SUMIFS('דוח הוצאות בפועל (4)'!$E$17:$E$3016,'דוח הוצאות בפועל (4)'!$B$17:$B$3016,'בית ספר - תקצוב לפי מוסד (9)'!$G1133,'דוח הוצאות בפועל (4)'!$M$17:$M$3016,"הע"),0)-Y1150</f>
        <v>0</v>
      </c>
      <c r="H1150" s="127">
        <f>J1135</f>
        <v>0</v>
      </c>
      <c r="I1150" s="128">
        <f>IFERROR(G1150/H1150,0)</f>
        <v>0</v>
      </c>
      <c r="J1150" s="129">
        <f>MIN(IF(ISNUMBER(G1150),G1150,0),H1150)</f>
        <v>0</v>
      </c>
      <c r="K1150" s="120">
        <f>MAX(H1150-G1150,0)</f>
        <v>0</v>
      </c>
      <c r="L1150" s="407"/>
      <c r="M1150" s="393"/>
      <c r="N1150" s="393"/>
      <c r="O1150" s="580"/>
      <c r="P1150" s="968">
        <f>MAX(IF(I1150&lt;100%,MIN((H1150-G1150),H1150*0.25),0),0)</f>
        <v>0</v>
      </c>
      <c r="Q1150" s="619">
        <f>IF(G1150-H1150&gt;0,G1150-H1150,0)</f>
        <v>0</v>
      </c>
      <c r="R1150" s="596"/>
      <c r="S1150" s="610" t="s">
        <v>0</v>
      </c>
      <c r="T1150" s="599">
        <f>G1133</f>
        <v>0</v>
      </c>
      <c r="U1150" s="578"/>
      <c r="V1150" s="579">
        <f>G1150</f>
        <v>0</v>
      </c>
      <c r="W1150" s="579">
        <f t="shared" si="162"/>
        <v>0</v>
      </c>
      <c r="X1150" s="579">
        <f>IFERROR(W1161*W1150/(SUM(W1147:W1160)),0)</f>
        <v>0</v>
      </c>
      <c r="Y1150" s="879">
        <f>SUMIFS(בקרה!$S:$S,בקרה!$D:$D,T1150,בקרה!$K:$K,S1150)</f>
        <v>0</v>
      </c>
      <c r="Z1150" s="121"/>
      <c r="AA1150" s="143"/>
      <c r="AB1150" s="143"/>
      <c r="AC1150" s="504">
        <v>0</v>
      </c>
      <c r="AD1150" s="505">
        <f t="shared" si="163"/>
        <v>0</v>
      </c>
      <c r="AE1150" s="143"/>
      <c r="AG1150" s="55"/>
      <c r="AH1150" s="55"/>
      <c r="AI1150" s="40"/>
      <c r="AJ1150" s="55"/>
      <c r="AK1150" s="55"/>
      <c r="BO1150" s="86"/>
    </row>
    <row r="1151" spans="1:67" s="55" customFormat="1" ht="15.75" customHeight="1" x14ac:dyDescent="0.25">
      <c r="A1151" s="520">
        <f>IFERROR(VLOOKUP($G$5,'רשימת רשויות'!A:C,3,0),0)</f>
        <v>0</v>
      </c>
      <c r="B1151" s="520">
        <f t="shared" si="157"/>
        <v>0</v>
      </c>
      <c r="C1151" s="39"/>
      <c r="D1151" s="1134"/>
      <c r="E1151" s="1137"/>
      <c r="F1151" s="589" t="s">
        <v>93</v>
      </c>
      <c r="G1151" s="130">
        <f>IF(G1138="תקין",SUMIFS('דוח הוצאות בפועל (4)'!$E$17:$E$3016,'דוח הוצאות בפועל (4)'!$B$17:$B$3016,'בית ספר - תקצוב לפי מוסד (9)'!$G1133,'דוח הוצאות בפועל (4)'!$M$17:$M$3016,"אר"),0)-Y1151</f>
        <v>0</v>
      </c>
      <c r="H1151" s="118">
        <f>$I1141</f>
        <v>0</v>
      </c>
      <c r="I1151" s="131">
        <f>IFERROR((G1151+G1152)/H1151,0)</f>
        <v>0</v>
      </c>
      <c r="J1151" s="100">
        <f>MIN((IF(ISNUMBER(G1151),G1151,0)+IF(ISNUMBER(G1152),G1152,0)),H1151)</f>
        <v>0</v>
      </c>
      <c r="K1151" s="1139">
        <f>MAX((H1151)-(G1151+G1152),0)</f>
        <v>0</v>
      </c>
      <c r="L1151" s="407"/>
      <c r="M1151" s="393"/>
      <c r="N1151" s="393"/>
      <c r="O1151" s="602"/>
      <c r="P1151" s="1141"/>
      <c r="Q1151" s="1142"/>
      <c r="R1151" s="596"/>
      <c r="S1151" s="610" t="s">
        <v>93</v>
      </c>
      <c r="T1151" s="599">
        <f>G1133</f>
        <v>0</v>
      </c>
      <c r="U1151" s="578"/>
      <c r="V1151" s="579">
        <f t="shared" ref="V1151:V1152" si="164">G1151</f>
        <v>0</v>
      </c>
      <c r="W1151" s="579">
        <f t="shared" si="162"/>
        <v>0</v>
      </c>
      <c r="X1151" s="579">
        <f>IFERROR(W1161*W1151/(SUM(W1147:W1160)),0)</f>
        <v>0</v>
      </c>
      <c r="Y1151" s="879">
        <f>SUMIFS(בקרה!$S:$S,בקרה!$D:$D,T1151,בקרה!$K:$K,S1151)</f>
        <v>0</v>
      </c>
      <c r="Z1151" s="121"/>
      <c r="AA1151" s="143"/>
      <c r="AB1151" s="143"/>
      <c r="AC1151" s="504">
        <v>0</v>
      </c>
      <c r="AD1151" s="505">
        <f t="shared" si="163"/>
        <v>0</v>
      </c>
      <c r="AE1151" s="143"/>
      <c r="AJ1151" s="22"/>
      <c r="AO1151" s="22"/>
      <c r="AP1151" s="22"/>
      <c r="AQ1151" s="22"/>
      <c r="AR1151" s="22"/>
      <c r="AS1151" s="22"/>
      <c r="AT1151" s="22"/>
      <c r="AU1151" s="35"/>
      <c r="AV1151" s="35"/>
      <c r="AW1151" s="35"/>
      <c r="AX1151" s="35"/>
      <c r="AY1151" s="35"/>
      <c r="AZ1151" s="35"/>
      <c r="BA1151" s="35"/>
      <c r="BB1151" s="35"/>
      <c r="BC1151" s="35"/>
      <c r="BD1151" s="35"/>
      <c r="BE1151" s="35"/>
      <c r="BF1151" s="35"/>
      <c r="BG1151" s="35"/>
      <c r="BH1151" s="35"/>
      <c r="BI1151" s="35"/>
      <c r="BJ1151" s="35"/>
      <c r="BK1151" s="35"/>
      <c r="BL1151" s="35"/>
      <c r="BM1151" s="35"/>
      <c r="BN1151" s="35"/>
      <c r="BO1151" s="86"/>
    </row>
    <row r="1152" spans="1:67" s="55" customFormat="1" ht="15.75" customHeight="1" x14ac:dyDescent="0.25">
      <c r="A1152" s="520">
        <f>IFERROR(VLOOKUP($G$5,'רשימת רשויות'!A:C,3,0),0)</f>
        <v>0</v>
      </c>
      <c r="B1152" s="520">
        <f t="shared" si="157"/>
        <v>0</v>
      </c>
      <c r="C1152" s="39"/>
      <c r="D1152" s="1134"/>
      <c r="E1152" s="1137"/>
      <c r="F1152" s="589" t="s">
        <v>46</v>
      </c>
      <c r="G1152" s="130">
        <f>IF(G1138="תקין",SUMIFS('דוח הוצאות בפועל (4)'!$E$17:$E$3016,'דוח הוצאות בפועל (4)'!$B$17:$B$3016,'בית ספר - תקצוב לפי מוסד (9)'!$G1133,'דוח הוצאות בפועל (4)'!$M$17:$M$3016,"מל"),0)-Y1152</f>
        <v>0</v>
      </c>
      <c r="H1152" s="132"/>
      <c r="I1152" s="133"/>
      <c r="J1152" s="104"/>
      <c r="K1152" s="1139"/>
      <c r="L1152" s="407"/>
      <c r="M1152" s="393"/>
      <c r="N1152" s="393"/>
      <c r="O1152" s="602"/>
      <c r="P1152" s="1141"/>
      <c r="Q1152" s="1142"/>
      <c r="R1152" s="596"/>
      <c r="S1152" s="610" t="s">
        <v>46</v>
      </c>
      <c r="T1152" s="599">
        <f>G1133</f>
        <v>0</v>
      </c>
      <c r="U1152" s="578"/>
      <c r="V1152" s="579">
        <f t="shared" si="164"/>
        <v>0</v>
      </c>
      <c r="W1152" s="579">
        <f t="shared" si="162"/>
        <v>0</v>
      </c>
      <c r="X1152" s="579">
        <f>IFERROR(W1161*W1152/(SUM(W1147:W1160)),0)</f>
        <v>0</v>
      </c>
      <c r="Y1152" s="879">
        <f>SUMIFS(בקרה!$S:$S,בקרה!$D:$D,T1152,בקרה!$K:$K,S1152)</f>
        <v>0</v>
      </c>
      <c r="Z1152" s="121"/>
      <c r="AA1152" s="143"/>
      <c r="AB1152" s="143"/>
      <c r="AC1152" s="504">
        <v>0</v>
      </c>
      <c r="AD1152" s="505">
        <f t="shared" si="163"/>
        <v>0</v>
      </c>
      <c r="AE1152" s="143"/>
      <c r="AJ1152" s="22"/>
      <c r="AO1152" s="22"/>
      <c r="AP1152" s="22"/>
      <c r="AQ1152" s="22"/>
      <c r="AR1152" s="22"/>
      <c r="AS1152" s="22"/>
      <c r="AT1152" s="22"/>
      <c r="AU1152" s="35"/>
      <c r="AV1152" s="35"/>
      <c r="AW1152" s="35"/>
      <c r="AX1152" s="35"/>
      <c r="AY1152" s="35"/>
      <c r="AZ1152" s="35"/>
      <c r="BA1152" s="35"/>
      <c r="BB1152" s="35"/>
      <c r="BC1152" s="35"/>
      <c r="BD1152" s="35"/>
      <c r="BE1152" s="35"/>
      <c r="BF1152" s="35"/>
      <c r="BG1152" s="35"/>
      <c r="BH1152" s="35"/>
      <c r="BI1152" s="35"/>
      <c r="BJ1152" s="35"/>
      <c r="BK1152" s="35"/>
      <c r="BL1152" s="35"/>
      <c r="BM1152" s="35"/>
      <c r="BN1152" s="35"/>
      <c r="BO1152" s="86"/>
    </row>
    <row r="1153" spans="1:67" s="55" customFormat="1" ht="15" customHeight="1" x14ac:dyDescent="0.25">
      <c r="A1153" s="520">
        <f>IFERROR(VLOOKUP($G$5,'רשימת רשויות'!A:C,3,0),0)</f>
        <v>0</v>
      </c>
      <c r="B1153" s="520">
        <f t="shared" si="157"/>
        <v>0</v>
      </c>
      <c r="C1153" s="39"/>
      <c r="D1153" s="1134"/>
      <c r="E1153" s="1137"/>
      <c r="F1153" s="591" t="s">
        <v>23</v>
      </c>
      <c r="G1153" s="134">
        <f>SUM(G1147:G1152)</f>
        <v>0</v>
      </c>
      <c r="H1153" s="135">
        <f>SUM(H1147:H1152)</f>
        <v>0</v>
      </c>
      <c r="I1153" s="128">
        <f>IFERROR(G1153/H1153,0)</f>
        <v>0</v>
      </c>
      <c r="J1153" s="136">
        <f>SUM(J1147:J1152)</f>
        <v>0</v>
      </c>
      <c r="K1153" s="137">
        <f>SUM(K1147:K1152)</f>
        <v>0</v>
      </c>
      <c r="L1153" s="408"/>
      <c r="M1153" s="394"/>
      <c r="N1153" s="394"/>
      <c r="O1153" s="602"/>
      <c r="P1153" s="620">
        <f>SUM(P1147:P1152)</f>
        <v>0</v>
      </c>
      <c r="Q1153" s="620">
        <f>SUM(Q1147:Q1152)</f>
        <v>0</v>
      </c>
      <c r="R1153" s="596"/>
      <c r="S1153" s="610"/>
      <c r="T1153" s="599">
        <f>G1133</f>
        <v>0</v>
      </c>
      <c r="U1153" s="578"/>
      <c r="V1153" s="579"/>
      <c r="W1153" s="579">
        <f t="shared" si="162"/>
        <v>0</v>
      </c>
      <c r="X1153" s="579"/>
      <c r="Y1153" s="879"/>
      <c r="Z1153" s="121"/>
      <c r="AA1153" s="143"/>
      <c r="AB1153" s="143"/>
      <c r="AC1153" s="504"/>
      <c r="AD1153" s="505">
        <f t="shared" si="163"/>
        <v>0</v>
      </c>
      <c r="AE1153" s="143"/>
      <c r="AJ1153" s="22"/>
      <c r="AL1153" s="22"/>
      <c r="AM1153" s="22"/>
      <c r="AN1153" s="22"/>
      <c r="AO1153" s="22"/>
      <c r="AP1153" s="22"/>
      <c r="AQ1153" s="22"/>
      <c r="AR1153" s="22"/>
      <c r="AS1153" s="22"/>
      <c r="AT1153" s="22"/>
      <c r="AU1153" s="35"/>
      <c r="AV1153" s="35"/>
      <c r="AW1153" s="35"/>
      <c r="AX1153" s="35"/>
      <c r="AY1153" s="35"/>
      <c r="AZ1153" s="35"/>
      <c r="BA1153" s="35"/>
      <c r="BB1153" s="35"/>
      <c r="BC1153" s="35"/>
      <c r="BD1153" s="35"/>
      <c r="BE1153" s="35"/>
      <c r="BF1153" s="35"/>
      <c r="BG1153" s="35"/>
      <c r="BH1153" s="35"/>
      <c r="BI1153" s="35"/>
      <c r="BJ1153" s="35"/>
      <c r="BK1153" s="35"/>
      <c r="BL1153" s="35"/>
      <c r="BM1153" s="35"/>
      <c r="BN1153" s="35"/>
      <c r="BO1153" s="86"/>
    </row>
    <row r="1154" spans="1:67" s="55" customFormat="1" ht="15" customHeight="1" x14ac:dyDescent="0.25">
      <c r="A1154" s="520">
        <f>IFERROR(VLOOKUP($G$5,'רשימת רשויות'!A:C,3,0),0)</f>
        <v>0</v>
      </c>
      <c r="B1154" s="520">
        <f t="shared" si="157"/>
        <v>0</v>
      </c>
      <c r="C1154" s="39"/>
      <c r="D1154" s="1134"/>
      <c r="E1154" s="1137"/>
      <c r="F1154" s="589" t="s">
        <v>3</v>
      </c>
      <c r="G1154" s="117">
        <f>IF(G1138="תקין",SUMIFS('דוח הוצאות בפועל (4)'!$E$17:$E$3016,'דוח הוצאות בפועל (4)'!$B$17:$B$3016,'בית ספר - תקצוב לפי מוסד (9)'!$G1133,'דוח הוצאות בפועל (4)'!$M$17:$M$3016,"ני")+SUMIFS('דוח הוצאות בפועל (4)'!$E$17:$E$3016,'דוח הוצאות בפועל (4)'!$B$17:$B$3016,'בית ספר - תקצוב לפי מוסד (9)'!$G1133,'דוח הוצאות בפועל (4)'!$M$17:$M$3016,"על"),0)-Y1154</f>
        <v>0</v>
      </c>
      <c r="H1154" s="117">
        <f>H1135</f>
        <v>0</v>
      </c>
      <c r="I1154" s="138">
        <f>IFERROR(G1154/H1154,0)</f>
        <v>0</v>
      </c>
      <c r="J1154" s="117">
        <f>IFERROR(IF(G1154/H1156&gt;0.15,MIN(H1156*0.15,H1154),MIN(H1154,IF(ISNUMBER(G1154),G1154,0))),0)</f>
        <v>0</v>
      </c>
      <c r="K1154" s="120">
        <f>MAX(H1154-G1154,0)</f>
        <v>0</v>
      </c>
      <c r="L1154" s="407"/>
      <c r="M1154" s="393"/>
      <c r="N1154" s="393"/>
      <c r="O1154" s="602"/>
      <c r="P1154" s="620">
        <f>IF(I1154&lt;100%,MIN(H1154-G1154,H1154*0.25),0)</f>
        <v>0</v>
      </c>
      <c r="Q1154" s="620">
        <f>MAX(MIN(IF(G1154-H1154&gt;0,G1154-H1154,0),$H1156*0.15-H1154-J1155),0)</f>
        <v>0</v>
      </c>
      <c r="R1154" s="596"/>
      <c r="S1154" s="610" t="s">
        <v>3</v>
      </c>
      <c r="T1154" s="599">
        <f>G1133</f>
        <v>0</v>
      </c>
      <c r="U1154" s="578"/>
      <c r="V1154" s="579">
        <f t="shared" ref="V1154" si="165">G1154</f>
        <v>0</v>
      </c>
      <c r="W1154" s="579">
        <f t="shared" si="162"/>
        <v>0</v>
      </c>
      <c r="X1154" s="579"/>
      <c r="Y1154" s="879"/>
      <c r="Z1154" s="121"/>
      <c r="AA1154" s="143"/>
      <c r="AB1154" s="143"/>
      <c r="AC1154" s="504">
        <v>0</v>
      </c>
      <c r="AD1154" s="505">
        <f t="shared" si="163"/>
        <v>0</v>
      </c>
      <c r="AE1154" s="143"/>
      <c r="AG1154" s="22"/>
      <c r="AH1154" s="22"/>
      <c r="AI1154" s="22"/>
      <c r="AJ1154" s="22"/>
      <c r="AK1154" s="22"/>
      <c r="AL1154" s="22"/>
      <c r="AM1154" s="22"/>
      <c r="AN1154" s="22"/>
      <c r="AO1154" s="22"/>
      <c r="AP1154" s="22"/>
      <c r="AQ1154" s="22"/>
      <c r="AR1154" s="22"/>
      <c r="AS1154" s="22"/>
      <c r="AT1154" s="22"/>
      <c r="AU1154" s="35"/>
      <c r="AV1154" s="35"/>
      <c r="AW1154" s="35"/>
      <c r="AX1154" s="35"/>
      <c r="AY1154" s="35"/>
      <c r="AZ1154" s="35"/>
      <c r="BA1154" s="35"/>
      <c r="BB1154" s="35"/>
      <c r="BC1154" s="35"/>
      <c r="BD1154" s="35"/>
      <c r="BE1154" s="35"/>
      <c r="BF1154" s="35"/>
      <c r="BG1154" s="35"/>
      <c r="BH1154" s="35"/>
      <c r="BI1154" s="35"/>
      <c r="BJ1154" s="35"/>
      <c r="BK1154" s="35"/>
      <c r="BL1154" s="35"/>
      <c r="BM1154" s="35"/>
      <c r="BN1154" s="35"/>
      <c r="BO1154" s="86"/>
    </row>
    <row r="1155" spans="1:67" s="55" customFormat="1" ht="15.75" customHeight="1" x14ac:dyDescent="0.25">
      <c r="A1155" s="520">
        <f>IFERROR(VLOOKUP($G$5,'רשימת רשויות'!A:C,3,0),0)</f>
        <v>0</v>
      </c>
      <c r="B1155" s="520">
        <f t="shared" si="157"/>
        <v>0</v>
      </c>
      <c r="C1155" s="39"/>
      <c r="D1155" s="1134"/>
      <c r="E1155" s="1137"/>
      <c r="F1155" s="589" t="s">
        <v>2918</v>
      </c>
      <c r="G1155" s="117">
        <f>0.07*(G1149+G1148)</f>
        <v>0</v>
      </c>
      <c r="H1155" s="117">
        <f>H1137</f>
        <v>0</v>
      </c>
      <c r="I1155" s="138">
        <f>IFERROR(G1155/H1155,0)</f>
        <v>0</v>
      </c>
      <c r="J1155" s="117">
        <f>IFERROR(MIN(0.07*(G1148+G1149),0.07*I1137),0)</f>
        <v>0</v>
      </c>
      <c r="K1155" s="120">
        <f>MAX(H1155-G1155,0)</f>
        <v>0</v>
      </c>
      <c r="L1155" s="407"/>
      <c r="M1155" s="393"/>
      <c r="N1155" s="393"/>
      <c r="O1155" s="602"/>
      <c r="P1155" s="620"/>
      <c r="Q1155" s="619"/>
      <c r="R1155" s="596"/>
      <c r="S1155" s="611"/>
      <c r="T1155" s="599">
        <f>G1133</f>
        <v>0</v>
      </c>
      <c r="U1155" s="578"/>
      <c r="V1155" s="579"/>
      <c r="W1155" s="579">
        <f t="shared" si="162"/>
        <v>0</v>
      </c>
      <c r="X1155" s="579"/>
      <c r="Y1155" s="879"/>
      <c r="Z1155" s="121"/>
      <c r="AA1155" s="143"/>
      <c r="AB1155" s="143"/>
      <c r="AC1155" s="504"/>
      <c r="AD1155" s="505"/>
      <c r="AE1155" s="143"/>
      <c r="AF1155" s="140"/>
      <c r="AG1155" s="22"/>
      <c r="AH1155" s="22"/>
      <c r="AI1155" s="22"/>
      <c r="AJ1155" s="22"/>
      <c r="AK1155" s="22"/>
      <c r="AL1155" s="22"/>
      <c r="AM1155" s="22"/>
      <c r="AN1155" s="22"/>
      <c r="AO1155" s="22"/>
      <c r="AP1155" s="22"/>
      <c r="AQ1155" s="22"/>
      <c r="AR1155" s="22"/>
      <c r="AS1155" s="22"/>
      <c r="AT1155" s="22"/>
      <c r="AU1155" s="35"/>
      <c r="AV1155" s="35"/>
      <c r="AW1155" s="35"/>
      <c r="AX1155" s="35"/>
      <c r="AY1155" s="35"/>
      <c r="AZ1155" s="35"/>
      <c r="BA1155" s="35"/>
      <c r="BB1155" s="35"/>
      <c r="BC1155" s="35"/>
      <c r="BD1155" s="35"/>
      <c r="BE1155" s="35"/>
      <c r="BF1155" s="35"/>
      <c r="BG1155" s="35"/>
      <c r="BH1155" s="35"/>
      <c r="BI1155" s="35"/>
      <c r="BJ1155" s="35"/>
      <c r="BK1155" s="35"/>
      <c r="BL1155" s="35"/>
      <c r="BM1155" s="35"/>
      <c r="BN1155" s="35"/>
      <c r="BO1155" s="86"/>
    </row>
    <row r="1156" spans="1:67" ht="15.75" customHeight="1" x14ac:dyDescent="0.25">
      <c r="A1156" s="520">
        <f>IFERROR(VLOOKUP($G$5,'רשימת רשויות'!A:C,3,0),0)</f>
        <v>0</v>
      </c>
      <c r="B1156" s="520">
        <f t="shared" si="157"/>
        <v>0</v>
      </c>
      <c r="D1156" s="1134"/>
      <c r="E1156" s="1137"/>
      <c r="F1156" s="591" t="s">
        <v>15</v>
      </c>
      <c r="G1156" s="134">
        <f>G1153+G1154+G1155</f>
        <v>0</v>
      </c>
      <c r="H1156" s="134">
        <f>H1153+H1154+H1155</f>
        <v>0</v>
      </c>
      <c r="I1156" s="138">
        <f>IFERROR(G1156/H1156,0)</f>
        <v>0</v>
      </c>
      <c r="J1156" s="139">
        <f>J1153+J1154+J1155</f>
        <v>0</v>
      </c>
      <c r="K1156" s="137">
        <f>K1154+K1153+K1155</f>
        <v>0</v>
      </c>
      <c r="L1156" s="408"/>
      <c r="M1156" s="394"/>
      <c r="N1156" s="394"/>
      <c r="O1156" s="602"/>
      <c r="P1156" s="621">
        <f>SUM(P1153:P1154)</f>
        <v>0</v>
      </c>
      <c r="Q1156" s="622">
        <f>Q1153+Q1154</f>
        <v>0</v>
      </c>
      <c r="R1156" s="596"/>
      <c r="S1156" s="611"/>
      <c r="T1156" s="599">
        <f>G1133</f>
        <v>0</v>
      </c>
      <c r="U1156" s="578"/>
      <c r="V1156" s="579"/>
      <c r="W1156" s="579">
        <f t="shared" si="162"/>
        <v>0</v>
      </c>
      <c r="X1156" s="579"/>
      <c r="Y1156" s="879"/>
      <c r="Z1156" s="106"/>
      <c r="AC1156" s="504"/>
      <c r="AD1156" s="505"/>
      <c r="AH1156" s="143"/>
      <c r="BO1156" s="86"/>
    </row>
    <row r="1157" spans="1:67" ht="15.75" customHeight="1" x14ac:dyDescent="0.25">
      <c r="A1157" s="520">
        <f>IFERROR(VLOOKUP($G$5,'רשימת רשויות'!A:C,3,0),0)</f>
        <v>0</v>
      </c>
      <c r="B1157" s="520">
        <f t="shared" si="157"/>
        <v>0</v>
      </c>
      <c r="D1157" s="1134"/>
      <c r="E1157" s="1137"/>
      <c r="F1157" s="589" t="s">
        <v>2261</v>
      </c>
      <c r="G1157" s="117">
        <f>IF(G1138="תקין",SUMIF('תשלומי הורים ומלגות להורים (5) '!$B$18:$B$517,$G1133,'תשלומי הורים ומלגות להורים (5) '!$C$18:$C$517),0)</f>
        <v>0</v>
      </c>
      <c r="H1157" s="117">
        <f>(G1136+G1137)*$G$7</f>
        <v>0</v>
      </c>
      <c r="I1157" s="141"/>
      <c r="J1157" s="141"/>
      <c r="K1157" s="142"/>
      <c r="L1157" s="395"/>
      <c r="M1157" s="395"/>
      <c r="N1157" s="395"/>
      <c r="O1157" s="602"/>
      <c r="P1157" s="623"/>
      <c r="Q1157" s="619"/>
      <c r="R1157" s="596"/>
      <c r="S1157" s="612"/>
      <c r="T1157" s="599">
        <f>G1133</f>
        <v>0</v>
      </c>
      <c r="U1157" s="578"/>
      <c r="V1157" s="579"/>
      <c r="W1157" s="579">
        <f t="shared" si="162"/>
        <v>0</v>
      </c>
      <c r="X1157" s="579"/>
      <c r="Y1157" s="879"/>
      <c r="Z1157" s="121"/>
      <c r="AA1157" s="143"/>
      <c r="AB1157" s="143"/>
      <c r="AC1157" s="504"/>
      <c r="AD1157" s="505"/>
      <c r="AE1157" s="143"/>
      <c r="AF1157" s="148"/>
      <c r="BO1157" s="86"/>
    </row>
    <row r="1158" spans="1:67" ht="15.75" customHeight="1" thickBot="1" x14ac:dyDescent="0.3">
      <c r="A1158" s="520">
        <f>IFERROR(VLOOKUP($G$5,'רשימת רשויות'!A:C,3,0),0)</f>
        <v>0</v>
      </c>
      <c r="B1158" s="520">
        <f t="shared" si="157"/>
        <v>0</v>
      </c>
      <c r="D1158" s="1134"/>
      <c r="E1158" s="1137"/>
      <c r="F1158" s="592" t="s">
        <v>21</v>
      </c>
      <c r="G1158" s="144">
        <f>G1156-G1157</f>
        <v>0</v>
      </c>
      <c r="H1158" s="144">
        <f>H1156-H1157</f>
        <v>0</v>
      </c>
      <c r="I1158" s="145"/>
      <c r="J1158" s="145"/>
      <c r="K1158" s="146"/>
      <c r="L1158" s="396"/>
      <c r="M1158" s="396"/>
      <c r="N1158" s="396"/>
      <c r="O1158" s="602"/>
      <c r="P1158" s="619"/>
      <c r="Q1158" s="619"/>
      <c r="R1158" s="596"/>
      <c r="S1158" s="612"/>
      <c r="T1158" s="599">
        <f>G1133</f>
        <v>0</v>
      </c>
      <c r="U1158" s="578"/>
      <c r="V1158" s="579"/>
      <c r="W1158" s="579">
        <f t="shared" si="162"/>
        <v>0</v>
      </c>
      <c r="X1158" s="579"/>
      <c r="Y1158" s="879"/>
      <c r="Z1158" s="147"/>
      <c r="AA1158" s="148"/>
      <c r="AB1158" s="148"/>
      <c r="AC1158" s="504"/>
      <c r="AD1158" s="505"/>
      <c r="AE1158" s="148"/>
      <c r="AF1158" s="148"/>
      <c r="BO1158" s="86"/>
    </row>
    <row r="1159" spans="1:67" ht="15.75" customHeight="1" thickBot="1" x14ac:dyDescent="0.3">
      <c r="A1159" s="520">
        <f>IFERROR(VLOOKUP($G$5,'רשימת רשויות'!A:C,3,0),0)</f>
        <v>0</v>
      </c>
      <c r="B1159" s="520">
        <f t="shared" si="157"/>
        <v>0</v>
      </c>
      <c r="D1159" s="1134"/>
      <c r="E1159" s="1137"/>
      <c r="F1159" s="580"/>
      <c r="G1159" s="580"/>
      <c r="H1159" s="147"/>
      <c r="I1159" s="149" t="s">
        <v>2197</v>
      </c>
      <c r="J1159" s="150">
        <f>MAX(MIN(P1156,Q1156),0)</f>
        <v>0</v>
      </c>
      <c r="K1159" s="580"/>
      <c r="L1159" s="580"/>
      <c r="M1159" s="580"/>
      <c r="N1159" s="580"/>
      <c r="O1159" s="580"/>
      <c r="P1159" s="615" t="s">
        <v>2317</v>
      </c>
      <c r="Q1159" s="624">
        <f>SUM(Q1160:Q1161)</f>
        <v>0</v>
      </c>
      <c r="R1159" s="596"/>
      <c r="S1159" s="612"/>
      <c r="T1159" s="599">
        <f>G1133</f>
        <v>0</v>
      </c>
      <c r="U1159" s="578"/>
      <c r="V1159" s="579"/>
      <c r="W1159" s="579">
        <f t="shared" si="162"/>
        <v>0</v>
      </c>
      <c r="X1159" s="579"/>
      <c r="Y1159" s="879"/>
      <c r="Z1159" s="106"/>
      <c r="AC1159" s="504"/>
      <c r="AD1159" s="505"/>
      <c r="AF1159" s="148"/>
      <c r="BO1159" s="86"/>
    </row>
    <row r="1160" spans="1:67" ht="16.5" thickBot="1" x14ac:dyDescent="0.3">
      <c r="A1160" s="520">
        <f>IFERROR(VLOOKUP($G$5,'רשימת רשויות'!A:C,3,0),0)</f>
        <v>0</v>
      </c>
      <c r="B1160" s="520">
        <f t="shared" si="157"/>
        <v>0</v>
      </c>
      <c r="D1160" s="1134"/>
      <c r="E1160" s="1137"/>
      <c r="F1160" s="580"/>
      <c r="G1160" s="580"/>
      <c r="H1160" s="580"/>
      <c r="I1160" s="84" t="s">
        <v>2193</v>
      </c>
      <c r="J1160" s="515" t="str">
        <f>IFERROR(1-H1157/H1156,"")</f>
        <v/>
      </c>
      <c r="K1160" s="580"/>
      <c r="L1160" s="580"/>
      <c r="M1160" s="580"/>
      <c r="N1160" s="580"/>
      <c r="O1160" s="580"/>
      <c r="P1160" s="615" t="s">
        <v>417</v>
      </c>
      <c r="Q1160" s="616">
        <f>IFERROR(MAX(H1158-I1161-Q1161,0),0)</f>
        <v>0</v>
      </c>
      <c r="R1160" s="596"/>
      <c r="S1160" s="600"/>
      <c r="T1160" s="599">
        <f>G1133</f>
        <v>0</v>
      </c>
      <c r="U1160" s="578"/>
      <c r="V1160" s="579"/>
      <c r="W1160" s="579">
        <f t="shared" si="162"/>
        <v>0</v>
      </c>
      <c r="X1160" s="579"/>
      <c r="Y1160" s="879"/>
      <c r="Z1160" s="106"/>
      <c r="AC1160" s="504"/>
      <c r="AD1160" s="505"/>
      <c r="BO1160" s="86"/>
    </row>
    <row r="1161" spans="1:67" ht="17.25" thickBot="1" x14ac:dyDescent="0.3">
      <c r="A1161" s="520">
        <f>IFERROR(VLOOKUP($G$5,'רשימת רשויות'!A:C,3,0),0)</f>
        <v>0</v>
      </c>
      <c r="B1161" s="520">
        <f t="shared" si="157"/>
        <v>0</v>
      </c>
      <c r="D1161" s="1134"/>
      <c r="E1161" s="1137"/>
      <c r="F1161" s="1143" t="s">
        <v>2679</v>
      </c>
      <c r="G1161" s="1143"/>
      <c r="H1161" s="1143"/>
      <c r="I1161" s="722">
        <f>IF(G1138="לא תקין","לא קיימת זכאות לתקציב לאור אי איוש משרות רכז ו/או סגן רכז ",IFERROR(J1160*(J1159+J1156),0))</f>
        <v>0</v>
      </c>
      <c r="J1161" s="573"/>
      <c r="K1161" s="574"/>
      <c r="L1161" s="396"/>
      <c r="M1161" s="574"/>
      <c r="N1161" s="574"/>
      <c r="O1161" s="574"/>
      <c r="P1161" s="615" t="s">
        <v>2279</v>
      </c>
      <c r="Q1161" s="616">
        <f>MAX(IF(AND(G1156&gt;H1156,I1161&lt;H1158),H1158-I1161,0),0)</f>
        <v>0</v>
      </c>
      <c r="R1161" s="575"/>
      <c r="S1161" s="576" t="s">
        <v>67</v>
      </c>
      <c r="T1161" s="577">
        <f>G1133</f>
        <v>0</v>
      </c>
      <c r="U1161" s="578"/>
      <c r="V1161" s="579">
        <f>I1161</f>
        <v>0</v>
      </c>
      <c r="W1161" s="579">
        <f>IFERROR(U1161-V1161,0)</f>
        <v>0</v>
      </c>
      <c r="X1161" s="579">
        <f>SUM(X1147:X1160)</f>
        <v>0</v>
      </c>
      <c r="Y1161" s="879"/>
      <c r="Z1161" s="106"/>
      <c r="AC1161" s="506">
        <v>0</v>
      </c>
      <c r="AD1161" s="507">
        <f>IFERROR(U1161-AC1161,0)</f>
        <v>0</v>
      </c>
      <c r="BO1161" s="86"/>
    </row>
    <row r="1162" spans="1:67" ht="16.5" thickBot="1" x14ac:dyDescent="0.3">
      <c r="A1162" s="520">
        <f>IFERROR(VLOOKUP($G$5,'רשימת רשויות'!A:C,3,0),0)</f>
        <v>0</v>
      </c>
      <c r="B1162" s="520">
        <f t="shared" si="157"/>
        <v>0</v>
      </c>
      <c r="D1162" s="1135"/>
      <c r="E1162" s="1138"/>
      <c r="F1162" s="1144" t="s">
        <v>2793</v>
      </c>
      <c r="G1162" s="1145"/>
      <c r="H1162" s="1145"/>
      <c r="I1162" s="593">
        <f>IFERROR(IF(G1138="תקין",SUMIFS('סייעות רפואיות או אישיות (7)'!$Q$17:Q$384,'סייעות רפואיות או אישיות (7)'!C$17:C$384,G1133),0),0)</f>
        <v>0</v>
      </c>
      <c r="J1162" s="151"/>
      <c r="K1162" s="152"/>
      <c r="L1162" s="409"/>
      <c r="M1162" s="152"/>
      <c r="N1162" s="152"/>
      <c r="O1162" s="152"/>
      <c r="P1162" s="613"/>
      <c r="Q1162" s="614"/>
      <c r="R1162" s="475"/>
      <c r="S1162" s="489"/>
      <c r="T1162" s="490"/>
      <c r="U1162" s="491"/>
      <c r="V1162" s="492"/>
      <c r="W1162" s="492"/>
      <c r="X1162" s="492"/>
      <c r="Y1162" s="880"/>
      <c r="Z1162" s="153"/>
      <c r="AC1162" s="581"/>
      <c r="AD1162" s="582"/>
      <c r="BO1162" s="86"/>
    </row>
    <row r="1163" spans="1:67" ht="34.5" thickBot="1" x14ac:dyDescent="0.55000000000000004">
      <c r="A1163" s="520">
        <f>IFERROR(VLOOKUP($G$5,'רשימת רשויות'!A:C,3,0),0)</f>
        <v>0</v>
      </c>
      <c r="B1163" s="520">
        <f t="shared" si="157"/>
        <v>0</v>
      </c>
      <c r="E1163" s="154"/>
      <c r="I1163" s="143"/>
      <c r="J1163" s="148"/>
      <c r="O1163" s="148"/>
      <c r="T1163" s="481"/>
      <c r="BO1163" s="86"/>
    </row>
    <row r="1164" spans="1:67" s="20" customFormat="1" ht="16.5" customHeight="1" thickBot="1" x14ac:dyDescent="0.3">
      <c r="A1164" s="520">
        <f>IFERROR(VLOOKUP($G$5,'רשימת רשויות'!A:C,3,0),0)</f>
        <v>0</v>
      </c>
      <c r="B1164" s="520">
        <f t="shared" si="157"/>
        <v>0</v>
      </c>
      <c r="C1164" s="39"/>
      <c r="D1164" s="1133">
        <f>D1133+1</f>
        <v>38</v>
      </c>
      <c r="E1164" s="1136" t="str">
        <f>IFERROR(CONCATENATE("בית הספר ",VLOOKUP(G1164,'מצבת והרשמה (2)'!$C$21:$D$520,2,0)," - ",$G$5),"")</f>
        <v>בית הספר המוסד לא קיים - 0</v>
      </c>
      <c r="F1164" s="720" t="s">
        <v>146</v>
      </c>
      <c r="G1164" s="721">
        <f>IFERROR(VLOOKUP(D:D,'דוח ביצוע (3)'!$A$21:$C$900,2,0),0)</f>
        <v>0</v>
      </c>
      <c r="H1164" s="79"/>
      <c r="I1164" s="80" t="s">
        <v>150</v>
      </c>
      <c r="J1164" s="80"/>
      <c r="K1164" s="81"/>
      <c r="L1164" s="392"/>
      <c r="M1164" s="392"/>
      <c r="N1164" s="392"/>
      <c r="O1164" s="82"/>
      <c r="P1164" s="470"/>
      <c r="Q1164" s="471"/>
      <c r="R1164" s="472"/>
      <c r="S1164" s="883"/>
      <c r="T1164" s="884"/>
      <c r="U1164" s="486"/>
      <c r="V1164" s="487"/>
      <c r="W1164" s="487"/>
      <c r="X1164" s="487"/>
      <c r="Y1164" s="885"/>
      <c r="Z1164" s="83"/>
      <c r="AC1164" s="502"/>
      <c r="AD1164" s="503"/>
      <c r="AO1164" s="22"/>
      <c r="AP1164" s="22"/>
      <c r="AQ1164" s="22"/>
      <c r="AR1164" s="22"/>
      <c r="AS1164" s="22"/>
      <c r="AT1164" s="22"/>
      <c r="AU1164" s="35"/>
      <c r="AV1164" s="35"/>
      <c r="AW1164" s="35"/>
      <c r="AX1164" s="35"/>
      <c r="AY1164" s="35"/>
      <c r="AZ1164" s="35"/>
      <c r="BA1164" s="35"/>
      <c r="BB1164" s="35"/>
      <c r="BC1164" s="35"/>
      <c r="BD1164" s="35"/>
      <c r="BE1164" s="35"/>
      <c r="BF1164" s="35"/>
      <c r="BG1164" s="35"/>
      <c r="BH1164" s="35"/>
      <c r="BI1164" s="35"/>
      <c r="BJ1164" s="35"/>
      <c r="BK1164" s="35"/>
      <c r="BL1164" s="35"/>
      <c r="BM1164" s="35"/>
      <c r="BN1164" s="35"/>
      <c r="BO1164" s="78"/>
    </row>
    <row r="1165" spans="1:67" s="20" customFormat="1" ht="16.5" thickBot="1" x14ac:dyDescent="0.3">
      <c r="A1165" s="520">
        <f>IFERROR(VLOOKUP($G$5,'רשימת רשויות'!A:C,3,0),0)</f>
        <v>0</v>
      </c>
      <c r="B1165" s="520">
        <f t="shared" si="157"/>
        <v>0</v>
      </c>
      <c r="C1165" s="39"/>
      <c r="D1165" s="1134"/>
      <c r="E1165" s="1137"/>
      <c r="F1165" s="583" t="s">
        <v>145</v>
      </c>
      <c r="G1165" s="516" t="str">
        <f>IFERROR(IF((G1167+G1168)=0,"",IF(VLOOKUP(G1164,'דוח ביצוע (3)'!$B$21:$K$900,5,0)&gt;149,"גדול",IF(AND(VLOOKUP(G1164,'דוח ביצוע (3)'!$B$21:$K$900,5,0)&gt;0,VLOOKUP(G1164,'דוח ביצוע (3)'!$B$21:$K$900,5,0)&lt;150),"קטן",0))),"")</f>
        <v/>
      </c>
      <c r="H1165" s="723" t="s">
        <v>88</v>
      </c>
      <c r="I1165" s="723" t="s">
        <v>13</v>
      </c>
      <c r="J1165" s="725" t="s">
        <v>14</v>
      </c>
      <c r="K1165" s="724" t="s">
        <v>94</v>
      </c>
      <c r="L1165" s="594"/>
      <c r="M1165" s="420" t="s">
        <v>2584</v>
      </c>
      <c r="N1165" s="397" t="s">
        <v>413</v>
      </c>
      <c r="O1165" s="398" t="s">
        <v>52</v>
      </c>
      <c r="P1165" s="595"/>
      <c r="Q1165" s="595"/>
      <c r="R1165" s="596"/>
      <c r="S1165" s="610"/>
      <c r="T1165" s="881"/>
      <c r="U1165" s="598"/>
      <c r="V1165" s="599"/>
      <c r="W1165" s="599"/>
      <c r="X1165" s="599"/>
      <c r="Y1165" s="879"/>
      <c r="Z1165" s="85"/>
      <c r="AC1165" s="493"/>
      <c r="AD1165" s="495"/>
      <c r="AO1165" s="22"/>
      <c r="AP1165" s="22"/>
      <c r="AQ1165" s="22"/>
      <c r="AR1165" s="22"/>
      <c r="AS1165" s="22"/>
      <c r="AT1165" s="22"/>
      <c r="AU1165" s="35"/>
      <c r="AV1165" s="35"/>
      <c r="AW1165" s="35"/>
      <c r="AX1165" s="35"/>
      <c r="AY1165" s="35"/>
      <c r="AZ1165" s="35"/>
      <c r="BA1165" s="35"/>
      <c r="BB1165" s="35"/>
      <c r="BC1165" s="35"/>
      <c r="BD1165" s="35"/>
      <c r="BE1165" s="35"/>
      <c r="BF1165" s="35"/>
      <c r="BG1165" s="35"/>
      <c r="BH1165" s="35"/>
      <c r="BI1165" s="35"/>
      <c r="BJ1165" s="35"/>
      <c r="BK1165" s="35"/>
      <c r="BL1165" s="35"/>
      <c r="BM1165" s="35"/>
      <c r="BN1165" s="35"/>
      <c r="BO1165" s="78"/>
    </row>
    <row r="1166" spans="1:67" s="20" customFormat="1" ht="15.75" customHeight="1" thickBot="1" x14ac:dyDescent="0.3">
      <c r="A1166" s="520">
        <f>IFERROR(VLOOKUP($G$5,'רשימת רשויות'!A:C,3,0),0)</f>
        <v>0</v>
      </c>
      <c r="B1166" s="520">
        <f t="shared" ref="B1166:B1229" si="166">IF(F1167="סמל המוסד",G1167,B1165)</f>
        <v>0</v>
      </c>
      <c r="C1166" s="39"/>
      <c r="D1166" s="1134"/>
      <c r="E1166" s="1137"/>
      <c r="F1166" s="584" t="s">
        <v>144</v>
      </c>
      <c r="G1166" s="87">
        <f>IF(G1169="תקין",IFERROR(VLOOKUP($G1164,'דוח ביצוע (3)'!$B$21:$Q$900,12,0),0),0)</f>
        <v>0</v>
      </c>
      <c r="H1166" s="88">
        <f>IFERROR(G1167*$AH$6+G1168*$AH$7,0)</f>
        <v>0</v>
      </c>
      <c r="I1166" s="88">
        <f>IFERROR(G1167*$AI$6+G1168*$AI$7,0)</f>
        <v>0</v>
      </c>
      <c r="J1166" s="88">
        <f>IFERROR(G1167*$AJ$6+G1168*$AJ$7,0)</f>
        <v>0</v>
      </c>
      <c r="K1166" s="88">
        <f>IFERROR(G1167*$AK$6+G1168*$AK$7,0)</f>
        <v>0</v>
      </c>
      <c r="L1166" s="405"/>
      <c r="M1166" s="399" t="s">
        <v>427</v>
      </c>
      <c r="N1166" s="400" t="str">
        <f>IFERROR(VLOOKUP($G1164,'דוח ביצוע (3)'!$B:$AE,28,0),"")</f>
        <v/>
      </c>
      <c r="O1166" s="89" t="str">
        <f>IFERROR(VLOOKUP($G1164,'דוח ביצוע (3)'!B:AE,29,0),"")</f>
        <v/>
      </c>
      <c r="P1166" s="595"/>
      <c r="Q1166" s="595"/>
      <c r="R1166" s="596"/>
      <c r="S1166" s="610"/>
      <c r="T1166" s="881"/>
      <c r="U1166" s="598"/>
      <c r="V1166" s="599"/>
      <c r="W1166" s="599"/>
      <c r="X1166" s="599"/>
      <c r="Y1166" s="879"/>
      <c r="Z1166" s="85"/>
      <c r="AC1166" s="493"/>
      <c r="AD1166" s="495"/>
      <c r="AO1166" s="22"/>
      <c r="AP1166" s="22"/>
      <c r="AQ1166" s="22"/>
      <c r="AR1166" s="22"/>
      <c r="AS1166" s="22"/>
      <c r="AT1166" s="22"/>
      <c r="AU1166" s="35"/>
      <c r="AV1166" s="35"/>
      <c r="AW1166" s="35"/>
      <c r="AX1166" s="35"/>
      <c r="AY1166" s="35"/>
      <c r="AZ1166" s="35"/>
      <c r="BA1166" s="35"/>
      <c r="BB1166" s="35"/>
      <c r="BC1166" s="35"/>
      <c r="BD1166" s="35"/>
      <c r="BE1166" s="35"/>
      <c r="BF1166" s="35"/>
      <c r="BG1166" s="35"/>
      <c r="BH1166" s="35"/>
      <c r="BI1166" s="35"/>
      <c r="BJ1166" s="35"/>
      <c r="BK1166" s="35"/>
      <c r="BL1166" s="35"/>
      <c r="BM1166" s="35"/>
      <c r="BN1166" s="35"/>
      <c r="BO1166" s="78"/>
    </row>
    <row r="1167" spans="1:67" s="20" customFormat="1" ht="32.25" thickBot="1" x14ac:dyDescent="0.3">
      <c r="A1167" s="520">
        <f>IFERROR(VLOOKUP($G$5,'רשימת רשויות'!A:C,3,0),0)</f>
        <v>0</v>
      </c>
      <c r="B1167" s="520">
        <f t="shared" si="166"/>
        <v>0</v>
      </c>
      <c r="C1167" s="39"/>
      <c r="D1167" s="1134"/>
      <c r="E1167" s="1137"/>
      <c r="F1167" s="585" t="s">
        <v>2195</v>
      </c>
      <c r="G1167" s="89">
        <f>IF(G1169="תקין",MAX(N1169,0),0)</f>
        <v>0</v>
      </c>
      <c r="H1167" s="725" t="s">
        <v>151</v>
      </c>
      <c r="I1167" s="725" t="s">
        <v>91</v>
      </c>
      <c r="J1167" s="970" t="s">
        <v>3396</v>
      </c>
      <c r="K1167" s="601"/>
      <c r="L1167" s="601"/>
      <c r="M1167" s="983" t="s">
        <v>2585</v>
      </c>
      <c r="N1167" s="400" t="str">
        <f>IFERROR(G1166/15*N1166*1.25,"")</f>
        <v/>
      </c>
      <c r="O1167" s="89" t="str">
        <f>IFERROR(G1166/15*O1166*1.25,"")</f>
        <v/>
      </c>
      <c r="P1167" s="595"/>
      <c r="Q1167" s="595"/>
      <c r="R1167" s="596"/>
      <c r="S1167" s="610"/>
      <c r="T1167" s="881"/>
      <c r="U1167" s="598"/>
      <c r="V1167" s="599"/>
      <c r="W1167" s="599"/>
      <c r="X1167" s="599"/>
      <c r="Y1167" s="879"/>
      <c r="Z1167" s="85"/>
      <c r="AC1167" s="493"/>
      <c r="AD1167" s="495"/>
      <c r="AG1167" s="22"/>
      <c r="AH1167" s="55"/>
      <c r="AI1167" s="55"/>
      <c r="AJ1167" s="55"/>
      <c r="AK1167" s="55"/>
      <c r="AO1167" s="22"/>
      <c r="AP1167" s="22"/>
      <c r="AQ1167" s="22"/>
      <c r="AR1167" s="22"/>
      <c r="AS1167" s="22"/>
      <c r="AT1167" s="22"/>
      <c r="AU1167" s="35"/>
      <c r="AV1167" s="35"/>
      <c r="AW1167" s="35"/>
      <c r="AX1167" s="35"/>
      <c r="AY1167" s="35"/>
      <c r="AZ1167" s="35"/>
      <c r="BA1167" s="35"/>
      <c r="BB1167" s="35"/>
      <c r="BC1167" s="35"/>
      <c r="BD1167" s="35"/>
      <c r="BE1167" s="35"/>
      <c r="BF1167" s="35"/>
      <c r="BG1167" s="35"/>
      <c r="BH1167" s="35"/>
      <c r="BI1167" s="35"/>
      <c r="BJ1167" s="35"/>
      <c r="BK1167" s="35"/>
      <c r="BL1167" s="35"/>
      <c r="BM1167" s="35"/>
      <c r="BN1167" s="35"/>
      <c r="BO1167" s="86"/>
    </row>
    <row r="1168" spans="1:67" s="20" customFormat="1" ht="16.5" thickBot="1" x14ac:dyDescent="0.3">
      <c r="A1168" s="520">
        <f>IFERROR(VLOOKUP($G$5,'רשימת רשויות'!A:C,3,0),0)</f>
        <v>0</v>
      </c>
      <c r="B1168" s="520">
        <f t="shared" si="166"/>
        <v>0</v>
      </c>
      <c r="C1168" s="39"/>
      <c r="D1168" s="1134"/>
      <c r="E1168" s="1137"/>
      <c r="F1168" s="585" t="s">
        <v>2196</v>
      </c>
      <c r="G1168" s="89">
        <f>IF(G1169="תקין",MAX(O1169,0),0)</f>
        <v>0</v>
      </c>
      <c r="H1168" s="88">
        <f>(IFERROR(IF((G1167+G1168)=0,0,IF(G1165="קטן",G1166*$AH$10,G1166*$AH$11)),0))+(IFERROR(IF((G1167+G1168)=0,0,VLOOKUP(G1164,'דוח ביצוע (3)'!$B:$AH,33,0)),0))</f>
        <v>0</v>
      </c>
      <c r="I1168" s="88">
        <f>IFERROR(IF((G1167+G1168)=0,0,IF(G1165="קטן",G1166*$AI$10,G1166*$AI$11)),0)</f>
        <v>0</v>
      </c>
      <c r="J1168" s="88">
        <f>IFERROR(IF((G1167+G1168)=0,0,VLOOKUP(G1164,'דוח ביצוע (3)'!$B:$AH,32,0)),0)</f>
        <v>0</v>
      </c>
      <c r="K1168" s="90"/>
      <c r="L1168" s="90"/>
      <c r="M1168" s="399" t="s">
        <v>412</v>
      </c>
      <c r="N1168" s="400">
        <f>IFERROR(VLOOKUP($G1164,'דוח ביצוע (3)'!$B$21:$U$500,18,0),0)</f>
        <v>0</v>
      </c>
      <c r="O1168" s="401">
        <f>IFERROR(VLOOKUP($G1164,'דוח ביצוע (3)'!$B$21:$U$500,19,0),0)</f>
        <v>0</v>
      </c>
      <c r="P1168" s="595"/>
      <c r="Q1168" s="595"/>
      <c r="R1168" s="596"/>
      <c r="S1168" s="610"/>
      <c r="T1168" s="881"/>
      <c r="U1168" s="598"/>
      <c r="V1168" s="599"/>
      <c r="W1168" s="599"/>
      <c r="X1168" s="599"/>
      <c r="Y1168" s="879"/>
      <c r="Z1168" s="85"/>
      <c r="AC1168" s="493"/>
      <c r="AD1168" s="495"/>
      <c r="AG1168" s="22"/>
      <c r="AH1168" s="55"/>
      <c r="AI1168" s="55"/>
      <c r="AJ1168" s="55"/>
      <c r="AK1168" s="55"/>
      <c r="AO1168" s="22"/>
      <c r="AP1168" s="22"/>
      <c r="AQ1168" s="22"/>
      <c r="AR1168" s="22"/>
      <c r="AS1168" s="22"/>
      <c r="AT1168" s="22"/>
      <c r="AU1168" s="35"/>
      <c r="AV1168" s="35"/>
      <c r="AW1168" s="35"/>
      <c r="AX1168" s="35"/>
      <c r="AY1168" s="35"/>
      <c r="AZ1168" s="35"/>
      <c r="BA1168" s="35"/>
      <c r="BB1168" s="35"/>
      <c r="BC1168" s="35"/>
      <c r="BD1168" s="35"/>
      <c r="BE1168" s="35"/>
      <c r="BF1168" s="35"/>
      <c r="BG1168" s="35"/>
      <c r="BH1168" s="35"/>
      <c r="BI1168" s="35"/>
      <c r="BJ1168" s="35"/>
      <c r="BK1168" s="35"/>
      <c r="BL1168" s="35"/>
      <c r="BM1168" s="35"/>
      <c r="BN1168" s="35"/>
      <c r="BO1168" s="86"/>
    </row>
    <row r="1169" spans="1:67" s="20" customFormat="1" ht="16.5" thickBot="1" x14ac:dyDescent="0.3">
      <c r="A1169" s="520">
        <f>IFERROR(VLOOKUP($G$5,'רשימת רשויות'!A:C,3,0),0)</f>
        <v>0</v>
      </c>
      <c r="B1169" s="520">
        <f t="shared" si="166"/>
        <v>0</v>
      </c>
      <c r="C1169" s="39"/>
      <c r="D1169" s="1134"/>
      <c r="E1169" s="1137"/>
      <c r="F1169" s="586" t="s">
        <v>2355</v>
      </c>
      <c r="G1169" s="514">
        <f>IFERROR(IF(VLOOKUP('בית ספר - תקצוב לפי מוסד (9)'!G1164,' איוש משרות (8)'!$C:$K,9,0)="תקין","תקין","לא תקין"),0)</f>
        <v>0</v>
      </c>
      <c r="H1169" s="91"/>
      <c r="I1169" s="91"/>
      <c r="J1169" s="91"/>
      <c r="K1169" s="90"/>
      <c r="L1169" s="90"/>
      <c r="M1169" s="402" t="s">
        <v>2586</v>
      </c>
      <c r="N1169" s="403">
        <f>IFERROR(MIN(N1167,N1168),0)</f>
        <v>0</v>
      </c>
      <c r="O1169" s="404">
        <f>IFERROR(MIN(O1167,O1168),0)</f>
        <v>0</v>
      </c>
      <c r="P1169" s="595"/>
      <c r="Q1169" s="595"/>
      <c r="R1169" s="596"/>
      <c r="S1169" s="610"/>
      <c r="T1169" s="881"/>
      <c r="U1169" s="598"/>
      <c r="V1169" s="599"/>
      <c r="W1169" s="599"/>
      <c r="X1169" s="599"/>
      <c r="Y1169" s="879"/>
      <c r="Z1169" s="85"/>
      <c r="AC1169" s="493"/>
      <c r="AD1169" s="495"/>
      <c r="AG1169" s="94"/>
      <c r="AH1169" s="40"/>
      <c r="AI1169" s="40"/>
      <c r="AJ1169" s="40"/>
      <c r="AK1169" s="40"/>
      <c r="AO1169" s="22"/>
      <c r="AP1169" s="22"/>
      <c r="AQ1169" s="22"/>
      <c r="AR1169" s="22"/>
      <c r="AS1169" s="22"/>
      <c r="AT1169" s="22"/>
      <c r="AU1169" s="35"/>
      <c r="AV1169" s="35"/>
      <c r="AW1169" s="35"/>
      <c r="AX1169" s="35"/>
      <c r="AY1169" s="35"/>
      <c r="AZ1169" s="35"/>
      <c r="BA1169" s="35"/>
      <c r="BB1169" s="35"/>
      <c r="BC1169" s="35"/>
      <c r="BD1169" s="35"/>
      <c r="BE1169" s="35"/>
      <c r="BF1169" s="35"/>
      <c r="BG1169" s="35"/>
      <c r="BH1169" s="35"/>
      <c r="BI1169" s="35"/>
      <c r="BJ1169" s="35"/>
      <c r="BK1169" s="35"/>
      <c r="BL1169" s="35"/>
      <c r="BM1169" s="35"/>
      <c r="BN1169" s="35"/>
      <c r="BO1169" s="86"/>
    </row>
    <row r="1170" spans="1:67" s="55" customFormat="1" ht="37.15" customHeight="1" thickBot="1" x14ac:dyDescent="0.3">
      <c r="A1170" s="520">
        <f>IFERROR(VLOOKUP($G$5,'רשימת רשויות'!A:C,3,0),0)</f>
        <v>0</v>
      </c>
      <c r="B1170" s="520">
        <f t="shared" si="166"/>
        <v>0</v>
      </c>
      <c r="C1170" s="39"/>
      <c r="D1170" s="1134"/>
      <c r="E1170" s="1137"/>
      <c r="F1170" s="587" t="s">
        <v>142</v>
      </c>
      <c r="G1170" s="92"/>
      <c r="H1170" s="92"/>
      <c r="I1170" s="92"/>
      <c r="J1170" s="92"/>
      <c r="K1170" s="602"/>
      <c r="L1170" s="602"/>
      <c r="M1170" s="602"/>
      <c r="N1170" s="602"/>
      <c r="O1170" s="602"/>
      <c r="P1170" s="595"/>
      <c r="Q1170" s="595"/>
      <c r="R1170" s="596"/>
      <c r="S1170" s="610"/>
      <c r="T1170" s="881"/>
      <c r="U1170" s="598"/>
      <c r="V1170" s="599"/>
      <c r="W1170" s="599"/>
      <c r="X1170" s="599"/>
      <c r="Y1170" s="879"/>
      <c r="Z1170" s="93"/>
      <c r="AC1170" s="493"/>
      <c r="AD1170" s="495"/>
      <c r="AF1170" s="22"/>
      <c r="AG1170" s="98"/>
      <c r="AH1170" s="98"/>
      <c r="AI1170" s="40"/>
      <c r="AJ1170" s="40"/>
      <c r="AK1170" s="40"/>
      <c r="AO1170" s="22"/>
      <c r="AP1170" s="22"/>
      <c r="AQ1170" s="22"/>
      <c r="AR1170" s="22"/>
      <c r="AS1170" s="22"/>
      <c r="AT1170" s="22"/>
      <c r="AU1170" s="35"/>
      <c r="AV1170" s="35"/>
      <c r="AW1170" s="35"/>
      <c r="AX1170" s="35"/>
      <c r="AY1170" s="35"/>
      <c r="AZ1170" s="35"/>
      <c r="BA1170" s="35"/>
      <c r="BB1170" s="35"/>
      <c r="BC1170" s="35"/>
      <c r="BD1170" s="35"/>
      <c r="BE1170" s="35"/>
      <c r="BF1170" s="35"/>
      <c r="BG1170" s="35"/>
      <c r="BH1170" s="35"/>
      <c r="BI1170" s="35"/>
      <c r="BJ1170" s="35"/>
      <c r="BK1170" s="35"/>
      <c r="BL1170" s="35"/>
      <c r="BM1170" s="35"/>
      <c r="BN1170" s="35"/>
      <c r="BO1170" s="86"/>
    </row>
    <row r="1171" spans="1:67" s="40" customFormat="1" ht="31.5" x14ac:dyDescent="0.25">
      <c r="A1171" s="520">
        <f>IFERROR(VLOOKUP($G$5,'רשימת רשויות'!A:C,3,0),0)</f>
        <v>0</v>
      </c>
      <c r="B1171" s="520">
        <f t="shared" si="166"/>
        <v>0</v>
      </c>
      <c r="C1171" s="39"/>
      <c r="D1171" s="1134"/>
      <c r="E1171" s="1137"/>
      <c r="F1171" s="588" t="s">
        <v>94</v>
      </c>
      <c r="G1171" s="95" t="s">
        <v>18</v>
      </c>
      <c r="H1171" s="95" t="s">
        <v>19</v>
      </c>
      <c r="I1171" s="95" t="s">
        <v>138</v>
      </c>
      <c r="J1171" s="96" t="s">
        <v>139</v>
      </c>
      <c r="K1171" s="603"/>
      <c r="L1171" s="603"/>
      <c r="M1171" s="603"/>
      <c r="N1171" s="603"/>
      <c r="O1171" s="603"/>
      <c r="P1171" s="604"/>
      <c r="Q1171" s="604"/>
      <c r="R1171" s="596"/>
      <c r="S1171" s="610"/>
      <c r="T1171" s="881"/>
      <c r="U1171" s="598"/>
      <c r="V1171" s="599"/>
      <c r="W1171" s="599"/>
      <c r="X1171" s="599"/>
      <c r="Y1171" s="879"/>
      <c r="Z1171" s="97"/>
      <c r="AA1171" s="94"/>
      <c r="AB1171" s="94"/>
      <c r="AC1171" s="493"/>
      <c r="AD1171" s="495"/>
      <c r="AE1171" s="94"/>
      <c r="AG1171" s="98"/>
      <c r="AH1171" s="98"/>
      <c r="AO1171" s="22"/>
      <c r="AP1171" s="22"/>
      <c r="AQ1171" s="22"/>
      <c r="AR1171" s="22"/>
      <c r="AS1171" s="22"/>
      <c r="AT1171" s="22"/>
      <c r="AU1171" s="35"/>
      <c r="AV1171" s="35"/>
      <c r="AW1171" s="35"/>
      <c r="AX1171" s="35"/>
      <c r="AY1171" s="35"/>
      <c r="AZ1171" s="35"/>
      <c r="BA1171" s="35"/>
      <c r="BB1171" s="35"/>
      <c r="BC1171" s="35"/>
      <c r="BD1171" s="35"/>
      <c r="BE1171" s="35"/>
      <c r="BF1171" s="35"/>
      <c r="BG1171" s="35"/>
      <c r="BH1171" s="35"/>
      <c r="BI1171" s="35"/>
      <c r="BJ1171" s="35"/>
      <c r="BK1171" s="35"/>
      <c r="BL1171" s="35"/>
      <c r="BM1171" s="35"/>
      <c r="BN1171" s="35"/>
      <c r="BO1171" s="86"/>
    </row>
    <row r="1172" spans="1:67" s="40" customFormat="1" ht="15.75" customHeight="1" thickBot="1" x14ac:dyDescent="0.3">
      <c r="A1172" s="520">
        <f>IFERROR(VLOOKUP($G$5,'רשימת רשויות'!A:C,3,0),0)</f>
        <v>0</v>
      </c>
      <c r="B1172" s="520">
        <f t="shared" si="166"/>
        <v>0</v>
      </c>
      <c r="C1172" s="39"/>
      <c r="D1172" s="1134"/>
      <c r="E1172" s="1137"/>
      <c r="F1172" s="589" t="s">
        <v>2280</v>
      </c>
      <c r="G1172" s="99">
        <f>+G1183</f>
        <v>0</v>
      </c>
      <c r="H1172" s="100">
        <f>K1166</f>
        <v>0</v>
      </c>
      <c r="I1172" s="100">
        <f>H1172-I1174</f>
        <v>0</v>
      </c>
      <c r="J1172" s="101">
        <f>IFERROR(I1172/H1172,0)</f>
        <v>0</v>
      </c>
      <c r="K1172" s="603"/>
      <c r="L1172" s="603"/>
      <c r="M1172" s="603"/>
      <c r="N1172" s="603"/>
      <c r="O1172" s="603"/>
      <c r="P1172" s="605"/>
      <c r="Q1172" s="604"/>
      <c r="R1172" s="606" t="s">
        <v>157</v>
      </c>
      <c r="S1172" s="611"/>
      <c r="T1172" s="881"/>
      <c r="U1172" s="598"/>
      <c r="V1172" s="599"/>
      <c r="W1172" s="599"/>
      <c r="X1172" s="599"/>
      <c r="Y1172" s="879"/>
      <c r="Z1172" s="102"/>
      <c r="AA1172" s="122"/>
      <c r="AB1172" s="122"/>
      <c r="AC1172" s="493"/>
      <c r="AD1172" s="495"/>
      <c r="AE1172" s="122"/>
      <c r="AF1172" s="22"/>
      <c r="AG1172" s="98"/>
      <c r="AH1172" s="98"/>
      <c r="AI1172" s="20"/>
      <c r="AO1172" s="22"/>
      <c r="AP1172" s="22"/>
      <c r="AQ1172" s="22"/>
      <c r="AR1172" s="22"/>
      <c r="AS1172" s="22"/>
      <c r="AT1172" s="22"/>
      <c r="AU1172" s="35"/>
      <c r="AV1172" s="35"/>
      <c r="AW1172" s="35"/>
      <c r="AX1172" s="35"/>
      <c r="AY1172" s="35"/>
      <c r="AZ1172" s="35"/>
      <c r="BA1172" s="35"/>
      <c r="BB1172" s="35"/>
      <c r="BC1172" s="35"/>
      <c r="BD1172" s="35"/>
      <c r="BE1172" s="35"/>
      <c r="BF1172" s="35"/>
      <c r="BG1172" s="35"/>
      <c r="BH1172" s="35"/>
      <c r="BI1172" s="35"/>
      <c r="BJ1172" s="35"/>
      <c r="BK1172" s="35"/>
      <c r="BL1172" s="35"/>
      <c r="BM1172" s="35"/>
      <c r="BN1172" s="35"/>
      <c r="BO1172" s="86"/>
    </row>
    <row r="1173" spans="1:67" s="40" customFormat="1" ht="15.75" customHeight="1" thickBot="1" x14ac:dyDescent="0.3">
      <c r="A1173" s="520">
        <f>IFERROR(VLOOKUP($G$5,'רשימת רשויות'!A:C,3,0),0)</f>
        <v>0</v>
      </c>
      <c r="B1173" s="520">
        <f t="shared" si="166"/>
        <v>0</v>
      </c>
      <c r="C1173" s="39"/>
      <c r="D1173" s="1134"/>
      <c r="E1173" s="1137"/>
      <c r="F1173" s="589" t="s">
        <v>2281</v>
      </c>
      <c r="G1173" s="99">
        <f>+G1182</f>
        <v>0</v>
      </c>
      <c r="H1173" s="103"/>
      <c r="I1173" s="104"/>
      <c r="J1173" s="105"/>
      <c r="K1173" s="603"/>
      <c r="L1173" s="603"/>
      <c r="M1173" s="603"/>
      <c r="N1173" s="603"/>
      <c r="O1173" s="603"/>
      <c r="P1173" s="605"/>
      <c r="Q1173" s="604"/>
      <c r="R1173" s="473">
        <f>I1174-R1175</f>
        <v>0</v>
      </c>
      <c r="S1173" s="611"/>
      <c r="T1173" s="881"/>
      <c r="U1173" s="598"/>
      <c r="V1173" s="599"/>
      <c r="W1173" s="599"/>
      <c r="X1173" s="599"/>
      <c r="Y1173" s="879"/>
      <c r="Z1173" s="106"/>
      <c r="AA1173" s="22"/>
      <c r="AB1173" s="22"/>
      <c r="AC1173" s="493"/>
      <c r="AD1173" s="495"/>
      <c r="AE1173" s="22"/>
      <c r="AF1173" s="22"/>
      <c r="AG1173" s="98"/>
      <c r="AH1173" s="98"/>
      <c r="AI1173" s="20"/>
      <c r="AO1173" s="22"/>
      <c r="AP1173" s="22"/>
      <c r="AQ1173" s="22"/>
      <c r="AR1173" s="22"/>
      <c r="AS1173" s="22"/>
      <c r="AT1173" s="22"/>
      <c r="AU1173" s="35"/>
      <c r="AV1173" s="35"/>
      <c r="AW1173" s="35"/>
      <c r="AX1173" s="35"/>
      <c r="AY1173" s="35"/>
      <c r="AZ1173" s="35"/>
      <c r="BA1173" s="35"/>
      <c r="BB1173" s="35"/>
      <c r="BC1173" s="35"/>
      <c r="BD1173" s="35"/>
      <c r="BE1173" s="35"/>
      <c r="BF1173" s="35"/>
      <c r="BG1173" s="35"/>
      <c r="BH1173" s="35"/>
      <c r="BI1173" s="35"/>
      <c r="BJ1173" s="35"/>
      <c r="BK1173" s="35"/>
      <c r="BL1173" s="35"/>
      <c r="BM1173" s="35"/>
      <c r="BN1173" s="35"/>
      <c r="BO1173" s="86"/>
    </row>
    <row r="1174" spans="1:67" s="40" customFormat="1" ht="16.5" customHeight="1" thickBot="1" x14ac:dyDescent="0.3">
      <c r="A1174" s="520">
        <f>IFERROR(VLOOKUP($G$5,'רשימת רשויות'!A:C,3,0),0)</f>
        <v>0</v>
      </c>
      <c r="B1174" s="520">
        <f t="shared" si="166"/>
        <v>0</v>
      </c>
      <c r="C1174" s="39"/>
      <c r="D1174" s="1134"/>
      <c r="E1174" s="1137"/>
      <c r="F1174" s="589" t="s">
        <v>2282</v>
      </c>
      <c r="G1174" s="99">
        <f>G1178+G1179+G1180</f>
        <v>0</v>
      </c>
      <c r="H1174" s="104"/>
      <c r="I1174" s="107">
        <f>MAX(H1172-G1172-G1173,0)</f>
        <v>0</v>
      </c>
      <c r="J1174" s="108">
        <f>IFERROR(I1174/H1172,0)</f>
        <v>0</v>
      </c>
      <c r="K1174" s="603"/>
      <c r="L1174" s="603"/>
      <c r="M1174" s="603"/>
      <c r="N1174" s="603"/>
      <c r="O1174" s="603"/>
      <c r="P1174" s="604"/>
      <c r="Q1174" s="604"/>
      <c r="R1174" s="606" t="s">
        <v>158</v>
      </c>
      <c r="S1174" s="612"/>
      <c r="T1174" s="881"/>
      <c r="U1174" s="598"/>
      <c r="V1174" s="599"/>
      <c r="W1174" s="599"/>
      <c r="X1174" s="599"/>
      <c r="Y1174" s="879"/>
      <c r="Z1174" s="106"/>
      <c r="AA1174" s="22"/>
      <c r="AB1174" s="22"/>
      <c r="AC1174" s="493"/>
      <c r="AD1174" s="495"/>
      <c r="AE1174" s="22"/>
      <c r="AF1174" s="22"/>
      <c r="AG1174" s="22"/>
      <c r="AH1174" s="22"/>
      <c r="AI1174" s="55"/>
      <c r="AJ1174" s="22"/>
      <c r="AK1174" s="22"/>
      <c r="AO1174" s="22"/>
      <c r="AP1174" s="22"/>
      <c r="AQ1174" s="22"/>
      <c r="AR1174" s="22"/>
      <c r="AS1174" s="22"/>
      <c r="AT1174" s="22"/>
      <c r="AU1174" s="35"/>
      <c r="AV1174" s="35"/>
      <c r="AW1174" s="35"/>
      <c r="AX1174" s="35"/>
      <c r="AY1174" s="35"/>
      <c r="AZ1174" s="35"/>
      <c r="BA1174" s="35"/>
      <c r="BB1174" s="35"/>
      <c r="BC1174" s="35"/>
      <c r="BD1174" s="35"/>
      <c r="BE1174" s="35"/>
      <c r="BF1174" s="35"/>
      <c r="BG1174" s="35"/>
      <c r="BH1174" s="35"/>
      <c r="BI1174" s="35"/>
      <c r="BJ1174" s="35"/>
      <c r="BK1174" s="35"/>
      <c r="BL1174" s="35"/>
      <c r="BM1174" s="35"/>
      <c r="BN1174" s="35"/>
      <c r="BO1174" s="86"/>
    </row>
    <row r="1175" spans="1:67" s="40" customFormat="1" ht="15.75" customHeight="1" thickBot="1" x14ac:dyDescent="0.3">
      <c r="A1175" s="520">
        <f>IFERROR(VLOOKUP($G$5,'רשימת רשויות'!A:C,3,0),0)</f>
        <v>0</v>
      </c>
      <c r="B1175" s="520">
        <f t="shared" si="166"/>
        <v>0</v>
      </c>
      <c r="C1175" s="39"/>
      <c r="D1175" s="1134"/>
      <c r="E1175" s="1137"/>
      <c r="F1175" s="590" t="s">
        <v>2290</v>
      </c>
      <c r="G1175" s="109"/>
      <c r="H1175" s="110"/>
      <c r="I1175" s="111">
        <f>SUM(I1172:I1174)</f>
        <v>0</v>
      </c>
      <c r="J1175" s="112">
        <f>SUM(J1172:J1174)</f>
        <v>0</v>
      </c>
      <c r="K1175" s="603"/>
      <c r="L1175" s="603"/>
      <c r="M1175" s="603"/>
      <c r="N1175" s="603"/>
      <c r="O1175" s="603"/>
      <c r="P1175" s="604"/>
      <c r="Q1175" s="604"/>
      <c r="R1175" s="473">
        <f>MIN(MAX(G1179+G1180-I1168-J1168,0),I1174)</f>
        <v>0</v>
      </c>
      <c r="S1175" s="612"/>
      <c r="T1175" s="881"/>
      <c r="U1175" s="598"/>
      <c r="V1175" s="599"/>
      <c r="W1175" s="599"/>
      <c r="X1175" s="599"/>
      <c r="Y1175" s="879"/>
      <c r="Z1175" s="106"/>
      <c r="AA1175" s="22"/>
      <c r="AB1175" s="22"/>
      <c r="AC1175" s="493"/>
      <c r="AD1175" s="495"/>
      <c r="AE1175" s="22"/>
      <c r="AF1175" s="22"/>
      <c r="AG1175" s="22"/>
      <c r="AH1175" s="22"/>
      <c r="AJ1175" s="22"/>
      <c r="AK1175" s="22"/>
      <c r="AO1175" s="22"/>
      <c r="AP1175" s="22"/>
      <c r="AQ1175" s="22"/>
      <c r="AR1175" s="22"/>
      <c r="AS1175" s="22"/>
      <c r="AT1175" s="22"/>
      <c r="AU1175" s="35"/>
      <c r="AV1175" s="35"/>
      <c r="AW1175" s="35"/>
      <c r="AX1175" s="35"/>
      <c r="AY1175" s="35"/>
      <c r="AZ1175" s="35"/>
      <c r="BA1175" s="35"/>
      <c r="BB1175" s="35"/>
      <c r="BC1175" s="35"/>
      <c r="BD1175" s="35"/>
      <c r="BE1175" s="35"/>
      <c r="BF1175" s="35"/>
      <c r="BG1175" s="35"/>
      <c r="BH1175" s="35"/>
      <c r="BI1175" s="35"/>
      <c r="BJ1175" s="35"/>
      <c r="BK1175" s="35"/>
      <c r="BL1175" s="35"/>
      <c r="BM1175" s="35"/>
      <c r="BN1175" s="35"/>
      <c r="BO1175" s="86"/>
    </row>
    <row r="1176" spans="1:67" ht="16.5" thickBot="1" x14ac:dyDescent="0.3">
      <c r="A1176" s="520">
        <f>IFERROR(VLOOKUP($G$5,'רשימת רשויות'!A:C,3,0),0)</f>
        <v>0</v>
      </c>
      <c r="B1176" s="520">
        <f t="shared" si="166"/>
        <v>0</v>
      </c>
      <c r="D1176" s="1134"/>
      <c r="E1176" s="1137"/>
      <c r="F1176" s="587" t="s">
        <v>17</v>
      </c>
      <c r="G1176" s="113"/>
      <c r="H1176" s="92"/>
      <c r="I1176" s="114"/>
      <c r="J1176" s="115"/>
      <c r="K1176" s="116"/>
      <c r="L1176" s="406"/>
      <c r="M1176" s="116"/>
      <c r="N1176" s="116"/>
      <c r="O1176" s="116"/>
      <c r="P1176" s="474"/>
      <c r="Q1176" s="607"/>
      <c r="R1176" s="608"/>
      <c r="S1176" s="612"/>
      <c r="T1176" s="881"/>
      <c r="U1176" s="598"/>
      <c r="V1176" s="599"/>
      <c r="W1176" s="599"/>
      <c r="X1176" s="599"/>
      <c r="Y1176" s="879"/>
      <c r="Z1176" s="106"/>
      <c r="AI1176" s="40"/>
      <c r="BO1176" s="86"/>
    </row>
    <row r="1177" spans="1:67" ht="47.25" x14ac:dyDescent="0.25">
      <c r="A1177" s="520">
        <f>IFERROR(VLOOKUP($G$5,'רשימת רשויות'!A:C,3,0),0)</f>
        <v>0</v>
      </c>
      <c r="B1177" s="520">
        <f t="shared" si="166"/>
        <v>0</v>
      </c>
      <c r="D1177" s="1134"/>
      <c r="E1177" s="1137"/>
      <c r="F1177" s="588" t="s">
        <v>2</v>
      </c>
      <c r="G1177" s="95" t="s">
        <v>18</v>
      </c>
      <c r="H1177" s="95" t="s">
        <v>19</v>
      </c>
      <c r="I1177" s="95" t="s">
        <v>20</v>
      </c>
      <c r="J1177" s="95" t="s">
        <v>22</v>
      </c>
      <c r="K1177" s="96" t="s">
        <v>2314</v>
      </c>
      <c r="L1177" s="609"/>
      <c r="M1177" s="609"/>
      <c r="N1177" s="609"/>
      <c r="O1177" s="580"/>
      <c r="P1177" s="618" t="s">
        <v>2298</v>
      </c>
      <c r="Q1177" s="618" t="s">
        <v>2299</v>
      </c>
      <c r="R1177" s="596"/>
      <c r="S1177" s="890" t="s">
        <v>2519</v>
      </c>
      <c r="T1177" s="890" t="s">
        <v>97</v>
      </c>
      <c r="U1177" s="891" t="s">
        <v>2521</v>
      </c>
      <c r="V1177" s="892" t="s">
        <v>2520</v>
      </c>
      <c r="W1177" s="893" t="s">
        <v>2524</v>
      </c>
      <c r="X1177" s="892" t="s">
        <v>2522</v>
      </c>
      <c r="Y1177" s="894" t="s">
        <v>2523</v>
      </c>
      <c r="Z1177" s="106"/>
      <c r="AC1177" s="498" t="s">
        <v>2568</v>
      </c>
      <c r="AD1177" s="499" t="s">
        <v>2569</v>
      </c>
      <c r="AF1177" s="122"/>
      <c r="AI1177" s="40"/>
      <c r="BO1177" s="86"/>
    </row>
    <row r="1178" spans="1:67" ht="15" customHeight="1" thickBot="1" x14ac:dyDescent="0.3">
      <c r="A1178" s="520">
        <f>IFERROR(VLOOKUP($G$5,'רשימת רשויות'!A:C,3,0),0)</f>
        <v>0</v>
      </c>
      <c r="B1178" s="520">
        <f t="shared" si="166"/>
        <v>0</v>
      </c>
      <c r="D1178" s="1134"/>
      <c r="E1178" s="1137"/>
      <c r="F1178" s="589" t="s">
        <v>76</v>
      </c>
      <c r="G1178" s="117">
        <f>IF(G1169="תקין",SUMIF('עלויות כח אדם (6)'!$B$15:$B$3014,'בית ספר - תקצוב לפי מוסד (9)'!$G1164,'עלויות כח אדם (6)'!$M$15:$M$3014)-VLOOKUP('בית ספר - תקצוב לפי מוסד (9)'!G1164,' איוש משרות (8)'!$C:$H,5,0)-VLOOKUP('בית ספר - תקצוב לפי מוסד (9)'!G1164,' איוש משרות (8)'!$C:$H,6,0),0)-Y1178</f>
        <v>0</v>
      </c>
      <c r="H1178" s="118">
        <f>I1166+R1173</f>
        <v>0</v>
      </c>
      <c r="I1178" s="119">
        <f>IFERROR(SUM(G1178)/H1178,0)</f>
        <v>0</v>
      </c>
      <c r="J1178" s="100">
        <f>MIN(I1166+R1173,IF(ISNUMBER(G1178),G1178,0))</f>
        <v>0</v>
      </c>
      <c r="K1178" s="120">
        <f>MAX(H1178-G1178,0)</f>
        <v>0</v>
      </c>
      <c r="L1178" s="407"/>
      <c r="M1178" s="393"/>
      <c r="N1178" s="393"/>
      <c r="O1178" s="580"/>
      <c r="P1178" s="968">
        <f>IFERROR(IF(SUM(G1178)/(I1166)&lt;100%,MIN((I1166)-SUM(G1178),(I1166)*0.25),0),0)</f>
        <v>0</v>
      </c>
      <c r="Q1178" s="968">
        <f>IF(SUM(G1178)-(I1166+R1173)&gt;0,SUM(G1178)-(I1166+R1173),0)</f>
        <v>0</v>
      </c>
      <c r="R1178" s="596" t="s">
        <v>2351</v>
      </c>
      <c r="S1178" s="576" t="s">
        <v>2342</v>
      </c>
      <c r="T1178" s="599">
        <f>G1164</f>
        <v>0</v>
      </c>
      <c r="U1178" s="578"/>
      <c r="V1178" s="579">
        <f>G1178+G1179+G1180</f>
        <v>0</v>
      </c>
      <c r="W1178" s="579">
        <f>U1178-V1178</f>
        <v>0</v>
      </c>
      <c r="X1178" s="579">
        <f>IFERROR(W1192*W1178/(SUM(W1178:W1191)),0)</f>
        <v>0</v>
      </c>
      <c r="Y1178" s="879">
        <f>SUMIFS(בקרה!$S:$S,בקרה!$D:$D,T1178,בקרה!$K:$K,S1178)</f>
        <v>0</v>
      </c>
      <c r="Z1178" s="121"/>
      <c r="AA1178" s="143"/>
      <c r="AB1178" s="143"/>
      <c r="AC1178" s="504">
        <v>0</v>
      </c>
      <c r="AD1178" s="505">
        <f>IFERROR(U1178-AC1178,0)</f>
        <v>0</v>
      </c>
      <c r="AE1178" s="143"/>
      <c r="AI1178" s="20"/>
      <c r="BO1178" s="86"/>
    </row>
    <row r="1179" spans="1:67" ht="15" customHeight="1" thickBot="1" x14ac:dyDescent="0.3">
      <c r="A1179" s="520">
        <f>IFERROR(VLOOKUP($G$5,'רשימת רשויות'!A:C,3,0),0)</f>
        <v>0</v>
      </c>
      <c r="B1179" s="520">
        <f t="shared" si="166"/>
        <v>0</v>
      </c>
      <c r="D1179" s="1134"/>
      <c r="E1179" s="1137"/>
      <c r="F1179" s="589" t="s">
        <v>44</v>
      </c>
      <c r="G1179" s="123">
        <f>IF(G1169="תקין",IFERROR(VLOOKUP('בית ספר - תקצוב לפי מוסד (9)'!G1164,' איוש משרות (8)'!C:J,7,0),0),0)</f>
        <v>0</v>
      </c>
      <c r="H1179" s="124">
        <f>I1168+R1175+J1168</f>
        <v>0</v>
      </c>
      <c r="I1179" s="119">
        <f>IFERROR(SUM(G1179:G1180)/H1179,0)</f>
        <v>0</v>
      </c>
      <c r="J1179" s="100">
        <f>MIN(R1175+I1168,IF(ISNUMBER(SUM(G1179:G1180)),SUM(G1179:G1180),0))</f>
        <v>0</v>
      </c>
      <c r="K1179" s="1139">
        <f>MAX((H1179)-(G1179+G1180),0)</f>
        <v>0</v>
      </c>
      <c r="L1179" s="407"/>
      <c r="M1179" s="393"/>
      <c r="N1179" s="393"/>
      <c r="O1179" s="580"/>
      <c r="P1179" s="1140"/>
      <c r="Q1179" s="1140"/>
      <c r="R1179" s="617">
        <f>MAX(MIN(P1187-Q1187,H1187*0.15-G1185),0)</f>
        <v>0</v>
      </c>
      <c r="S1179" s="576"/>
      <c r="T1179" s="599">
        <f>G1164</f>
        <v>0</v>
      </c>
      <c r="U1179" s="578"/>
      <c r="V1179" s="579"/>
      <c r="W1179" s="579">
        <f t="shared" ref="W1179:W1191" si="167">U1179-V1179</f>
        <v>0</v>
      </c>
      <c r="X1179" s="579"/>
      <c r="Y1179" s="879"/>
      <c r="Z1179" s="121"/>
      <c r="AA1179" s="143"/>
      <c r="AB1179" s="143"/>
      <c r="AC1179" s="504"/>
      <c r="AD1179" s="505">
        <f t="shared" ref="AD1179:AD1185" si="168">IFERROR(U1179-AC1179,0)</f>
        <v>0</v>
      </c>
      <c r="AE1179" s="143"/>
      <c r="AI1179" s="20"/>
      <c r="BO1179" s="86"/>
    </row>
    <row r="1180" spans="1:67" ht="15.75" customHeight="1" x14ac:dyDescent="0.25">
      <c r="A1180" s="520">
        <f>IFERROR(VLOOKUP($G$5,'רשימת רשויות'!A:C,3,0),0)</f>
        <v>0</v>
      </c>
      <c r="B1180" s="520">
        <f t="shared" si="166"/>
        <v>0</v>
      </c>
      <c r="D1180" s="1134"/>
      <c r="E1180" s="1137"/>
      <c r="F1180" s="589" t="s">
        <v>45</v>
      </c>
      <c r="G1180" s="123">
        <f>IF(G1169="תקין",IFERROR(VLOOKUP('בית ספר - תקצוב לפי מוסד (9)'!G1164,' איוש משרות (8)'!C:J,8,0),0),0)</f>
        <v>0</v>
      </c>
      <c r="H1180" s="125"/>
      <c r="I1180" s="126"/>
      <c r="J1180" s="104"/>
      <c r="K1180" s="1139"/>
      <c r="L1180" s="407"/>
      <c r="M1180" s="393"/>
      <c r="N1180" s="393"/>
      <c r="O1180" s="580"/>
      <c r="P1180" s="1140"/>
      <c r="Q1180" s="1140"/>
      <c r="R1180" s="596"/>
      <c r="S1180" s="576"/>
      <c r="T1180" s="599">
        <f>G1164</f>
        <v>0</v>
      </c>
      <c r="U1180" s="578"/>
      <c r="V1180" s="579"/>
      <c r="W1180" s="579">
        <f t="shared" si="167"/>
        <v>0</v>
      </c>
      <c r="X1180" s="579"/>
      <c r="Y1180" s="879"/>
      <c r="Z1180" s="121"/>
      <c r="AA1180" s="143"/>
      <c r="AB1180" s="143"/>
      <c r="AC1180" s="504"/>
      <c r="AD1180" s="505">
        <f t="shared" si="168"/>
        <v>0</v>
      </c>
      <c r="AE1180" s="143"/>
      <c r="AG1180" s="55"/>
      <c r="AH1180" s="55"/>
      <c r="AI1180" s="55"/>
      <c r="AJ1180" s="55"/>
      <c r="AK1180" s="55"/>
      <c r="BO1180" s="86"/>
    </row>
    <row r="1181" spans="1:67" ht="15.75" customHeight="1" x14ac:dyDescent="0.25">
      <c r="A1181" s="520">
        <f>IFERROR(VLOOKUP($G$5,'רשימת רשויות'!A:C,3,0),0)</f>
        <v>0</v>
      </c>
      <c r="B1181" s="520">
        <f t="shared" si="166"/>
        <v>0</v>
      </c>
      <c r="D1181" s="1134"/>
      <c r="E1181" s="1137"/>
      <c r="F1181" s="589" t="s">
        <v>0</v>
      </c>
      <c r="G1181" s="117">
        <f>IF(G1169="תקין",SUMIFS('דוח הוצאות בפועל (4)'!$E$17:$E$3016,'דוח הוצאות בפועל (4)'!$B$17:$B$3016,'בית ספר - תקצוב לפי מוסד (9)'!$G1164,'דוח הוצאות בפועל (4)'!$M$17:$M$3016,"הע"),0)-Y1181</f>
        <v>0</v>
      </c>
      <c r="H1181" s="127">
        <f>J1166</f>
        <v>0</v>
      </c>
      <c r="I1181" s="128">
        <f>IFERROR(G1181/H1181,0)</f>
        <v>0</v>
      </c>
      <c r="J1181" s="129">
        <f>MIN(IF(ISNUMBER(G1181),G1181,0),H1181)</f>
        <v>0</v>
      </c>
      <c r="K1181" s="120">
        <f>MAX(H1181-G1181,0)</f>
        <v>0</v>
      </c>
      <c r="L1181" s="407"/>
      <c r="M1181" s="393"/>
      <c r="N1181" s="393"/>
      <c r="O1181" s="580"/>
      <c r="P1181" s="968">
        <f>MAX(IF(I1181&lt;100%,MIN((H1181-G1181),H1181*0.25),0),0)</f>
        <v>0</v>
      </c>
      <c r="Q1181" s="619">
        <f>IF(G1181-H1181&gt;0,G1181-H1181,0)</f>
        <v>0</v>
      </c>
      <c r="R1181" s="596"/>
      <c r="S1181" s="610" t="s">
        <v>0</v>
      </c>
      <c r="T1181" s="599">
        <f>G1164</f>
        <v>0</v>
      </c>
      <c r="U1181" s="578"/>
      <c r="V1181" s="579">
        <f>G1181</f>
        <v>0</v>
      </c>
      <c r="W1181" s="579">
        <f t="shared" si="167"/>
        <v>0</v>
      </c>
      <c r="X1181" s="579">
        <f>IFERROR(W1192*W1181/(SUM(W1178:W1191)),0)</f>
        <v>0</v>
      </c>
      <c r="Y1181" s="879">
        <f>SUMIFS(בקרה!$S:$S,בקרה!$D:$D,T1181,בקרה!$K:$K,S1181)</f>
        <v>0</v>
      </c>
      <c r="Z1181" s="121"/>
      <c r="AA1181" s="143"/>
      <c r="AB1181" s="143"/>
      <c r="AC1181" s="504">
        <v>0</v>
      </c>
      <c r="AD1181" s="505">
        <f t="shared" si="168"/>
        <v>0</v>
      </c>
      <c r="AE1181" s="143"/>
      <c r="AG1181" s="55"/>
      <c r="AH1181" s="55"/>
      <c r="AI1181" s="40"/>
      <c r="AJ1181" s="55"/>
      <c r="AK1181" s="55"/>
      <c r="BO1181" s="86"/>
    </row>
    <row r="1182" spans="1:67" s="55" customFormat="1" ht="15.75" customHeight="1" x14ac:dyDescent="0.25">
      <c r="A1182" s="520">
        <f>IFERROR(VLOOKUP($G$5,'רשימת רשויות'!A:C,3,0),0)</f>
        <v>0</v>
      </c>
      <c r="B1182" s="520">
        <f t="shared" si="166"/>
        <v>0</v>
      </c>
      <c r="C1182" s="39"/>
      <c r="D1182" s="1134"/>
      <c r="E1182" s="1137"/>
      <c r="F1182" s="589" t="s">
        <v>93</v>
      </c>
      <c r="G1182" s="130">
        <f>IF(G1169="תקין",SUMIFS('דוח הוצאות בפועל (4)'!$E$17:$E$3016,'דוח הוצאות בפועל (4)'!$B$17:$B$3016,'בית ספר - תקצוב לפי מוסד (9)'!$G1164,'דוח הוצאות בפועל (4)'!$M$17:$M$3016,"אר"),0)-Y1182</f>
        <v>0</v>
      </c>
      <c r="H1182" s="118">
        <f>$I1172</f>
        <v>0</v>
      </c>
      <c r="I1182" s="131">
        <f>IFERROR((G1182+G1183)/H1182,0)</f>
        <v>0</v>
      </c>
      <c r="J1182" s="100">
        <f>MIN((IF(ISNUMBER(G1182),G1182,0)+IF(ISNUMBER(G1183),G1183,0)),H1182)</f>
        <v>0</v>
      </c>
      <c r="K1182" s="1139">
        <f>MAX((H1182)-(G1182+G1183),0)</f>
        <v>0</v>
      </c>
      <c r="L1182" s="407"/>
      <c r="M1182" s="393"/>
      <c r="N1182" s="393"/>
      <c r="O1182" s="602"/>
      <c r="P1182" s="1141"/>
      <c r="Q1182" s="1142"/>
      <c r="R1182" s="596"/>
      <c r="S1182" s="610" t="s">
        <v>93</v>
      </c>
      <c r="T1182" s="599">
        <f>G1164</f>
        <v>0</v>
      </c>
      <c r="U1182" s="578"/>
      <c r="V1182" s="579">
        <f t="shared" ref="V1182:V1183" si="169">G1182</f>
        <v>0</v>
      </c>
      <c r="W1182" s="579">
        <f t="shared" si="167"/>
        <v>0</v>
      </c>
      <c r="X1182" s="579">
        <f>IFERROR(W1192*W1182/(SUM(W1178:W1191)),0)</f>
        <v>0</v>
      </c>
      <c r="Y1182" s="879">
        <f>SUMIFS(בקרה!$S:$S,בקרה!$D:$D,T1182,בקרה!$K:$K,S1182)</f>
        <v>0</v>
      </c>
      <c r="Z1182" s="121"/>
      <c r="AA1182" s="143"/>
      <c r="AB1182" s="143"/>
      <c r="AC1182" s="504">
        <v>0</v>
      </c>
      <c r="AD1182" s="505">
        <f t="shared" si="168"/>
        <v>0</v>
      </c>
      <c r="AE1182" s="143"/>
      <c r="AJ1182" s="22"/>
      <c r="AO1182" s="22"/>
      <c r="AP1182" s="22"/>
      <c r="AQ1182" s="22"/>
      <c r="AR1182" s="22"/>
      <c r="AS1182" s="22"/>
      <c r="AT1182" s="22"/>
      <c r="AU1182" s="35"/>
      <c r="AV1182" s="35"/>
      <c r="AW1182" s="35"/>
      <c r="AX1182" s="35"/>
      <c r="AY1182" s="35"/>
      <c r="AZ1182" s="35"/>
      <c r="BA1182" s="35"/>
      <c r="BB1182" s="35"/>
      <c r="BC1182" s="35"/>
      <c r="BD1182" s="35"/>
      <c r="BE1182" s="35"/>
      <c r="BF1182" s="35"/>
      <c r="BG1182" s="35"/>
      <c r="BH1182" s="35"/>
      <c r="BI1182" s="35"/>
      <c r="BJ1182" s="35"/>
      <c r="BK1182" s="35"/>
      <c r="BL1182" s="35"/>
      <c r="BM1182" s="35"/>
      <c r="BN1182" s="35"/>
      <c r="BO1182" s="86"/>
    </row>
    <row r="1183" spans="1:67" s="55" customFormat="1" ht="15.75" customHeight="1" x14ac:dyDescent="0.25">
      <c r="A1183" s="520">
        <f>IFERROR(VLOOKUP($G$5,'רשימת רשויות'!A:C,3,0),0)</f>
        <v>0</v>
      </c>
      <c r="B1183" s="520">
        <f t="shared" si="166"/>
        <v>0</v>
      </c>
      <c r="C1183" s="39"/>
      <c r="D1183" s="1134"/>
      <c r="E1183" s="1137"/>
      <c r="F1183" s="589" t="s">
        <v>46</v>
      </c>
      <c r="G1183" s="130">
        <f>IF(G1169="תקין",SUMIFS('דוח הוצאות בפועל (4)'!$E$17:$E$3016,'דוח הוצאות בפועל (4)'!$B$17:$B$3016,'בית ספר - תקצוב לפי מוסד (9)'!$G1164,'דוח הוצאות בפועל (4)'!$M$17:$M$3016,"מל"),0)-Y1183</f>
        <v>0</v>
      </c>
      <c r="H1183" s="132"/>
      <c r="I1183" s="133"/>
      <c r="J1183" s="104"/>
      <c r="K1183" s="1139"/>
      <c r="L1183" s="407"/>
      <c r="M1183" s="393"/>
      <c r="N1183" s="393"/>
      <c r="O1183" s="602"/>
      <c r="P1183" s="1141"/>
      <c r="Q1183" s="1142"/>
      <c r="R1183" s="596"/>
      <c r="S1183" s="610" t="s">
        <v>46</v>
      </c>
      <c r="T1183" s="599">
        <f>G1164</f>
        <v>0</v>
      </c>
      <c r="U1183" s="578"/>
      <c r="V1183" s="579">
        <f t="shared" si="169"/>
        <v>0</v>
      </c>
      <c r="W1183" s="579">
        <f t="shared" si="167"/>
        <v>0</v>
      </c>
      <c r="X1183" s="579">
        <f>IFERROR(W1192*W1183/(SUM(W1178:W1191)),0)</f>
        <v>0</v>
      </c>
      <c r="Y1183" s="879">
        <f>SUMIFS(בקרה!$S:$S,בקרה!$D:$D,T1183,בקרה!$K:$K,S1183)</f>
        <v>0</v>
      </c>
      <c r="Z1183" s="121"/>
      <c r="AA1183" s="143"/>
      <c r="AB1183" s="143"/>
      <c r="AC1183" s="504">
        <v>0</v>
      </c>
      <c r="AD1183" s="505">
        <f t="shared" si="168"/>
        <v>0</v>
      </c>
      <c r="AE1183" s="143"/>
      <c r="AJ1183" s="22"/>
      <c r="AO1183" s="22"/>
      <c r="AP1183" s="22"/>
      <c r="AQ1183" s="22"/>
      <c r="AR1183" s="22"/>
      <c r="AS1183" s="22"/>
      <c r="AT1183" s="22"/>
      <c r="AU1183" s="35"/>
      <c r="AV1183" s="35"/>
      <c r="AW1183" s="35"/>
      <c r="AX1183" s="35"/>
      <c r="AY1183" s="35"/>
      <c r="AZ1183" s="35"/>
      <c r="BA1183" s="35"/>
      <c r="BB1183" s="35"/>
      <c r="BC1183" s="35"/>
      <c r="BD1183" s="35"/>
      <c r="BE1183" s="35"/>
      <c r="BF1183" s="35"/>
      <c r="BG1183" s="35"/>
      <c r="BH1183" s="35"/>
      <c r="BI1183" s="35"/>
      <c r="BJ1183" s="35"/>
      <c r="BK1183" s="35"/>
      <c r="BL1183" s="35"/>
      <c r="BM1183" s="35"/>
      <c r="BN1183" s="35"/>
      <c r="BO1183" s="86"/>
    </row>
    <row r="1184" spans="1:67" s="55" customFormat="1" ht="15" customHeight="1" x14ac:dyDescent="0.25">
      <c r="A1184" s="520">
        <f>IFERROR(VLOOKUP($G$5,'רשימת רשויות'!A:C,3,0),0)</f>
        <v>0</v>
      </c>
      <c r="B1184" s="520">
        <f t="shared" si="166"/>
        <v>0</v>
      </c>
      <c r="C1184" s="39"/>
      <c r="D1184" s="1134"/>
      <c r="E1184" s="1137"/>
      <c r="F1184" s="591" t="s">
        <v>23</v>
      </c>
      <c r="G1184" s="134">
        <f>SUM(G1178:G1183)</f>
        <v>0</v>
      </c>
      <c r="H1184" s="135">
        <f>SUM(H1178:H1183)</f>
        <v>0</v>
      </c>
      <c r="I1184" s="128">
        <f>IFERROR(G1184/H1184,0)</f>
        <v>0</v>
      </c>
      <c r="J1184" s="136">
        <f>SUM(J1178:J1183)</f>
        <v>0</v>
      </c>
      <c r="K1184" s="137">
        <f>SUM(K1178:K1183)</f>
        <v>0</v>
      </c>
      <c r="L1184" s="408"/>
      <c r="M1184" s="394"/>
      <c r="N1184" s="394"/>
      <c r="O1184" s="602"/>
      <c r="P1184" s="620">
        <f>SUM(P1178:P1183)</f>
        <v>0</v>
      </c>
      <c r="Q1184" s="620">
        <f>SUM(Q1178:Q1183)</f>
        <v>0</v>
      </c>
      <c r="R1184" s="596"/>
      <c r="S1184" s="610"/>
      <c r="T1184" s="599">
        <f>G1164</f>
        <v>0</v>
      </c>
      <c r="U1184" s="578"/>
      <c r="V1184" s="579"/>
      <c r="W1184" s="579">
        <f t="shared" si="167"/>
        <v>0</v>
      </c>
      <c r="X1184" s="579"/>
      <c r="Y1184" s="879"/>
      <c r="Z1184" s="121"/>
      <c r="AA1184" s="143"/>
      <c r="AB1184" s="143"/>
      <c r="AC1184" s="504"/>
      <c r="AD1184" s="505">
        <f t="shared" si="168"/>
        <v>0</v>
      </c>
      <c r="AE1184" s="143"/>
      <c r="AJ1184" s="22"/>
      <c r="AL1184" s="22"/>
      <c r="AM1184" s="22"/>
      <c r="AN1184" s="22"/>
      <c r="AO1184" s="22"/>
      <c r="AP1184" s="22"/>
      <c r="AQ1184" s="22"/>
      <c r="AR1184" s="22"/>
      <c r="AS1184" s="22"/>
      <c r="AT1184" s="22"/>
      <c r="AU1184" s="35"/>
      <c r="AV1184" s="35"/>
      <c r="AW1184" s="35"/>
      <c r="AX1184" s="35"/>
      <c r="AY1184" s="35"/>
      <c r="AZ1184" s="35"/>
      <c r="BA1184" s="35"/>
      <c r="BB1184" s="35"/>
      <c r="BC1184" s="35"/>
      <c r="BD1184" s="35"/>
      <c r="BE1184" s="35"/>
      <c r="BF1184" s="35"/>
      <c r="BG1184" s="35"/>
      <c r="BH1184" s="35"/>
      <c r="BI1184" s="35"/>
      <c r="BJ1184" s="35"/>
      <c r="BK1184" s="35"/>
      <c r="BL1184" s="35"/>
      <c r="BM1184" s="35"/>
      <c r="BN1184" s="35"/>
      <c r="BO1184" s="86"/>
    </row>
    <row r="1185" spans="1:67" s="55" customFormat="1" ht="15" customHeight="1" x14ac:dyDescent="0.25">
      <c r="A1185" s="520">
        <f>IFERROR(VLOOKUP($G$5,'רשימת רשויות'!A:C,3,0),0)</f>
        <v>0</v>
      </c>
      <c r="B1185" s="520">
        <f t="shared" si="166"/>
        <v>0</v>
      </c>
      <c r="C1185" s="39"/>
      <c r="D1185" s="1134"/>
      <c r="E1185" s="1137"/>
      <c r="F1185" s="589" t="s">
        <v>3</v>
      </c>
      <c r="G1185" s="117">
        <f>IF(G1169="תקין",SUMIFS('דוח הוצאות בפועל (4)'!$E$17:$E$3016,'דוח הוצאות בפועל (4)'!$B$17:$B$3016,'בית ספר - תקצוב לפי מוסד (9)'!$G1164,'דוח הוצאות בפועל (4)'!$M$17:$M$3016,"ני")+SUMIFS('דוח הוצאות בפועל (4)'!$E$17:$E$3016,'דוח הוצאות בפועל (4)'!$B$17:$B$3016,'בית ספר - תקצוב לפי מוסד (9)'!$G1164,'דוח הוצאות בפועל (4)'!$M$17:$M$3016,"על"),0)-Y1185</f>
        <v>0</v>
      </c>
      <c r="H1185" s="117">
        <f>H1166</f>
        <v>0</v>
      </c>
      <c r="I1185" s="138">
        <f>IFERROR(G1185/H1185,0)</f>
        <v>0</v>
      </c>
      <c r="J1185" s="117">
        <f>IFERROR(IF(G1185/H1187&gt;0.15,MIN(H1187*0.15,H1185),MIN(H1185,IF(ISNUMBER(G1185),G1185,0))),0)</f>
        <v>0</v>
      </c>
      <c r="K1185" s="120">
        <f>MAX(H1185-G1185,0)</f>
        <v>0</v>
      </c>
      <c r="L1185" s="407"/>
      <c r="M1185" s="393"/>
      <c r="N1185" s="393"/>
      <c r="O1185" s="602"/>
      <c r="P1185" s="620">
        <f>IF(I1185&lt;100%,MIN(H1185-G1185,H1185*0.25),0)</f>
        <v>0</v>
      </c>
      <c r="Q1185" s="620">
        <f>MAX(MIN(IF(G1185-H1185&gt;0,G1185-H1185,0),$H1187*0.15-H1185-J1186),0)</f>
        <v>0</v>
      </c>
      <c r="R1185" s="596"/>
      <c r="S1185" s="610" t="s">
        <v>3</v>
      </c>
      <c r="T1185" s="599">
        <f>G1164</f>
        <v>0</v>
      </c>
      <c r="U1185" s="578"/>
      <c r="V1185" s="579">
        <f t="shared" ref="V1185" si="170">G1185</f>
        <v>0</v>
      </c>
      <c r="W1185" s="579">
        <f t="shared" si="167"/>
        <v>0</v>
      </c>
      <c r="X1185" s="579"/>
      <c r="Y1185" s="879"/>
      <c r="Z1185" s="121"/>
      <c r="AA1185" s="143"/>
      <c r="AB1185" s="143"/>
      <c r="AC1185" s="504">
        <v>0</v>
      </c>
      <c r="AD1185" s="505">
        <f t="shared" si="168"/>
        <v>0</v>
      </c>
      <c r="AE1185" s="143"/>
      <c r="AG1185" s="22"/>
      <c r="AH1185" s="22"/>
      <c r="AI1185" s="22"/>
      <c r="AJ1185" s="22"/>
      <c r="AK1185" s="22"/>
      <c r="AL1185" s="22"/>
      <c r="AM1185" s="22"/>
      <c r="AN1185" s="22"/>
      <c r="AO1185" s="22"/>
      <c r="AP1185" s="22"/>
      <c r="AQ1185" s="22"/>
      <c r="AR1185" s="22"/>
      <c r="AS1185" s="22"/>
      <c r="AT1185" s="22"/>
      <c r="AU1185" s="35"/>
      <c r="AV1185" s="35"/>
      <c r="AW1185" s="35"/>
      <c r="AX1185" s="35"/>
      <c r="AY1185" s="35"/>
      <c r="AZ1185" s="35"/>
      <c r="BA1185" s="35"/>
      <c r="BB1185" s="35"/>
      <c r="BC1185" s="35"/>
      <c r="BD1185" s="35"/>
      <c r="BE1185" s="35"/>
      <c r="BF1185" s="35"/>
      <c r="BG1185" s="35"/>
      <c r="BH1185" s="35"/>
      <c r="BI1185" s="35"/>
      <c r="BJ1185" s="35"/>
      <c r="BK1185" s="35"/>
      <c r="BL1185" s="35"/>
      <c r="BM1185" s="35"/>
      <c r="BN1185" s="35"/>
      <c r="BO1185" s="86"/>
    </row>
    <row r="1186" spans="1:67" s="55" customFormat="1" ht="15.75" customHeight="1" x14ac:dyDescent="0.25">
      <c r="A1186" s="520">
        <f>IFERROR(VLOOKUP($G$5,'רשימת רשויות'!A:C,3,0),0)</f>
        <v>0</v>
      </c>
      <c r="B1186" s="520">
        <f t="shared" si="166"/>
        <v>0</v>
      </c>
      <c r="C1186" s="39"/>
      <c r="D1186" s="1134"/>
      <c r="E1186" s="1137"/>
      <c r="F1186" s="589" t="s">
        <v>2918</v>
      </c>
      <c r="G1186" s="117">
        <f>0.07*(G1180+G1179)</f>
        <v>0</v>
      </c>
      <c r="H1186" s="117">
        <f>H1168</f>
        <v>0</v>
      </c>
      <c r="I1186" s="138">
        <f>IFERROR(G1186/H1186,0)</f>
        <v>0</v>
      </c>
      <c r="J1186" s="117">
        <f>IFERROR(MIN(0.07*(G1179+G1180),0.07*I1168),0)</f>
        <v>0</v>
      </c>
      <c r="K1186" s="120">
        <f>MAX(H1186-G1186,0)</f>
        <v>0</v>
      </c>
      <c r="L1186" s="407"/>
      <c r="M1186" s="393"/>
      <c r="N1186" s="393"/>
      <c r="O1186" s="602"/>
      <c r="P1186" s="620"/>
      <c r="Q1186" s="619"/>
      <c r="R1186" s="596"/>
      <c r="S1186" s="611"/>
      <c r="T1186" s="599">
        <f>G1164</f>
        <v>0</v>
      </c>
      <c r="U1186" s="578"/>
      <c r="V1186" s="579"/>
      <c r="W1186" s="579">
        <f t="shared" si="167"/>
        <v>0</v>
      </c>
      <c r="X1186" s="579"/>
      <c r="Y1186" s="879"/>
      <c r="Z1186" s="121"/>
      <c r="AA1186" s="143"/>
      <c r="AB1186" s="143"/>
      <c r="AC1186" s="504"/>
      <c r="AD1186" s="505"/>
      <c r="AE1186" s="143"/>
      <c r="AF1186" s="140"/>
      <c r="AG1186" s="22"/>
      <c r="AH1186" s="22"/>
      <c r="AI1186" s="22"/>
      <c r="AJ1186" s="22"/>
      <c r="AK1186" s="22"/>
      <c r="AL1186" s="22"/>
      <c r="AM1186" s="22"/>
      <c r="AN1186" s="22"/>
      <c r="AO1186" s="22"/>
      <c r="AP1186" s="22"/>
      <c r="AQ1186" s="22"/>
      <c r="AR1186" s="22"/>
      <c r="AS1186" s="22"/>
      <c r="AT1186" s="22"/>
      <c r="AU1186" s="35"/>
      <c r="AV1186" s="35"/>
      <c r="AW1186" s="35"/>
      <c r="AX1186" s="35"/>
      <c r="AY1186" s="35"/>
      <c r="AZ1186" s="35"/>
      <c r="BA1186" s="35"/>
      <c r="BB1186" s="35"/>
      <c r="BC1186" s="35"/>
      <c r="BD1186" s="35"/>
      <c r="BE1186" s="35"/>
      <c r="BF1186" s="35"/>
      <c r="BG1186" s="35"/>
      <c r="BH1186" s="35"/>
      <c r="BI1186" s="35"/>
      <c r="BJ1186" s="35"/>
      <c r="BK1186" s="35"/>
      <c r="BL1186" s="35"/>
      <c r="BM1186" s="35"/>
      <c r="BN1186" s="35"/>
      <c r="BO1186" s="86"/>
    </row>
    <row r="1187" spans="1:67" ht="15.75" customHeight="1" x14ac:dyDescent="0.25">
      <c r="A1187" s="520">
        <f>IFERROR(VLOOKUP($G$5,'רשימת רשויות'!A:C,3,0),0)</f>
        <v>0</v>
      </c>
      <c r="B1187" s="520">
        <f t="shared" si="166"/>
        <v>0</v>
      </c>
      <c r="D1187" s="1134"/>
      <c r="E1187" s="1137"/>
      <c r="F1187" s="591" t="s">
        <v>15</v>
      </c>
      <c r="G1187" s="134">
        <f>G1184+G1185+G1186</f>
        <v>0</v>
      </c>
      <c r="H1187" s="134">
        <f>H1184+H1185+H1186</f>
        <v>0</v>
      </c>
      <c r="I1187" s="138">
        <f>IFERROR(G1187/H1187,0)</f>
        <v>0</v>
      </c>
      <c r="J1187" s="139">
        <f>J1184+J1185+J1186</f>
        <v>0</v>
      </c>
      <c r="K1187" s="137">
        <f>K1185+K1184+K1186</f>
        <v>0</v>
      </c>
      <c r="L1187" s="408"/>
      <c r="M1187" s="394"/>
      <c r="N1187" s="394"/>
      <c r="O1187" s="602"/>
      <c r="P1187" s="621">
        <f>SUM(P1184:P1185)</f>
        <v>0</v>
      </c>
      <c r="Q1187" s="622">
        <f>Q1184+Q1185</f>
        <v>0</v>
      </c>
      <c r="R1187" s="596"/>
      <c r="S1187" s="611"/>
      <c r="T1187" s="599">
        <f>G1164</f>
        <v>0</v>
      </c>
      <c r="U1187" s="578"/>
      <c r="V1187" s="579"/>
      <c r="W1187" s="579">
        <f t="shared" si="167"/>
        <v>0</v>
      </c>
      <c r="X1187" s="579"/>
      <c r="Y1187" s="879"/>
      <c r="Z1187" s="106"/>
      <c r="AC1187" s="504"/>
      <c r="AD1187" s="505"/>
      <c r="AH1187" s="143"/>
      <c r="BO1187" s="86"/>
    </row>
    <row r="1188" spans="1:67" ht="15.75" customHeight="1" x14ac:dyDescent="0.25">
      <c r="A1188" s="520">
        <f>IFERROR(VLOOKUP($G$5,'רשימת רשויות'!A:C,3,0),0)</f>
        <v>0</v>
      </c>
      <c r="B1188" s="520">
        <f t="shared" si="166"/>
        <v>0</v>
      </c>
      <c r="D1188" s="1134"/>
      <c r="E1188" s="1137"/>
      <c r="F1188" s="589" t="s">
        <v>2261</v>
      </c>
      <c r="G1188" s="117">
        <f>IF(G1169="תקין",SUMIF('תשלומי הורים ומלגות להורים (5) '!$B$18:$B$517,$G1164,'תשלומי הורים ומלגות להורים (5) '!$C$18:$C$517),0)</f>
        <v>0</v>
      </c>
      <c r="H1188" s="117">
        <f>(G1167+G1168)*$G$7</f>
        <v>0</v>
      </c>
      <c r="I1188" s="141"/>
      <c r="J1188" s="141"/>
      <c r="K1188" s="142"/>
      <c r="L1188" s="395"/>
      <c r="M1188" s="395"/>
      <c r="N1188" s="395"/>
      <c r="O1188" s="602"/>
      <c r="P1188" s="623"/>
      <c r="Q1188" s="619"/>
      <c r="R1188" s="596"/>
      <c r="S1188" s="612"/>
      <c r="T1188" s="599">
        <f>G1164</f>
        <v>0</v>
      </c>
      <c r="U1188" s="578"/>
      <c r="V1188" s="579"/>
      <c r="W1188" s="579">
        <f t="shared" si="167"/>
        <v>0</v>
      </c>
      <c r="X1188" s="579"/>
      <c r="Y1188" s="879"/>
      <c r="Z1188" s="121"/>
      <c r="AA1188" s="143"/>
      <c r="AB1188" s="143"/>
      <c r="AC1188" s="504"/>
      <c r="AD1188" s="505"/>
      <c r="AE1188" s="143"/>
      <c r="AF1188" s="148"/>
      <c r="BO1188" s="86"/>
    </row>
    <row r="1189" spans="1:67" ht="15.75" customHeight="1" thickBot="1" x14ac:dyDescent="0.3">
      <c r="A1189" s="520">
        <f>IFERROR(VLOOKUP($G$5,'רשימת רשויות'!A:C,3,0),0)</f>
        <v>0</v>
      </c>
      <c r="B1189" s="520">
        <f t="shared" si="166"/>
        <v>0</v>
      </c>
      <c r="D1189" s="1134"/>
      <c r="E1189" s="1137"/>
      <c r="F1189" s="592" t="s">
        <v>21</v>
      </c>
      <c r="G1189" s="144">
        <f>G1187-G1188</f>
        <v>0</v>
      </c>
      <c r="H1189" s="144">
        <f>H1187-H1188</f>
        <v>0</v>
      </c>
      <c r="I1189" s="145"/>
      <c r="J1189" s="145"/>
      <c r="K1189" s="146"/>
      <c r="L1189" s="396"/>
      <c r="M1189" s="396"/>
      <c r="N1189" s="396"/>
      <c r="O1189" s="602"/>
      <c r="P1189" s="619"/>
      <c r="Q1189" s="619"/>
      <c r="R1189" s="596"/>
      <c r="S1189" s="612"/>
      <c r="T1189" s="599">
        <f>G1164</f>
        <v>0</v>
      </c>
      <c r="U1189" s="578"/>
      <c r="V1189" s="579"/>
      <c r="W1189" s="579">
        <f t="shared" si="167"/>
        <v>0</v>
      </c>
      <c r="X1189" s="579"/>
      <c r="Y1189" s="879"/>
      <c r="Z1189" s="147"/>
      <c r="AA1189" s="148"/>
      <c r="AB1189" s="148"/>
      <c r="AC1189" s="504"/>
      <c r="AD1189" s="505"/>
      <c r="AE1189" s="148"/>
      <c r="AF1189" s="148"/>
      <c r="BO1189" s="86"/>
    </row>
    <row r="1190" spans="1:67" ht="15.75" customHeight="1" thickBot="1" x14ac:dyDescent="0.3">
      <c r="A1190" s="520">
        <f>IFERROR(VLOOKUP($G$5,'רשימת רשויות'!A:C,3,0),0)</f>
        <v>0</v>
      </c>
      <c r="B1190" s="520">
        <f t="shared" si="166"/>
        <v>0</v>
      </c>
      <c r="D1190" s="1134"/>
      <c r="E1190" s="1137"/>
      <c r="F1190" s="580"/>
      <c r="G1190" s="580"/>
      <c r="H1190" s="147"/>
      <c r="I1190" s="149" t="s">
        <v>2197</v>
      </c>
      <c r="J1190" s="150">
        <f>MAX(MIN(P1187,Q1187),0)</f>
        <v>0</v>
      </c>
      <c r="K1190" s="580"/>
      <c r="L1190" s="580"/>
      <c r="M1190" s="580"/>
      <c r="N1190" s="580"/>
      <c r="O1190" s="580"/>
      <c r="P1190" s="615" t="s">
        <v>2317</v>
      </c>
      <c r="Q1190" s="624">
        <f>SUM(Q1191:Q1192)</f>
        <v>0</v>
      </c>
      <c r="R1190" s="596"/>
      <c r="S1190" s="612"/>
      <c r="T1190" s="599">
        <f>G1164</f>
        <v>0</v>
      </c>
      <c r="U1190" s="578"/>
      <c r="V1190" s="579"/>
      <c r="W1190" s="579">
        <f t="shared" si="167"/>
        <v>0</v>
      </c>
      <c r="X1190" s="579"/>
      <c r="Y1190" s="879"/>
      <c r="Z1190" s="106"/>
      <c r="AC1190" s="504"/>
      <c r="AD1190" s="505"/>
      <c r="AF1190" s="148"/>
      <c r="BO1190" s="86"/>
    </row>
    <row r="1191" spans="1:67" ht="16.5" thickBot="1" x14ac:dyDescent="0.3">
      <c r="A1191" s="520">
        <f>IFERROR(VLOOKUP($G$5,'רשימת רשויות'!A:C,3,0),0)</f>
        <v>0</v>
      </c>
      <c r="B1191" s="520">
        <f t="shared" si="166"/>
        <v>0</v>
      </c>
      <c r="D1191" s="1134"/>
      <c r="E1191" s="1137"/>
      <c r="F1191" s="580"/>
      <c r="G1191" s="580"/>
      <c r="H1191" s="580"/>
      <c r="I1191" s="84" t="s">
        <v>2193</v>
      </c>
      <c r="J1191" s="515" t="str">
        <f>IFERROR(1-H1188/H1187,"")</f>
        <v/>
      </c>
      <c r="K1191" s="580"/>
      <c r="L1191" s="580"/>
      <c r="M1191" s="580"/>
      <c r="N1191" s="580"/>
      <c r="O1191" s="580"/>
      <c r="P1191" s="615" t="s">
        <v>417</v>
      </c>
      <c r="Q1191" s="616">
        <f>IFERROR(MAX(H1189-I1192-Q1192,0),0)</f>
        <v>0</v>
      </c>
      <c r="R1191" s="596"/>
      <c r="S1191" s="600"/>
      <c r="T1191" s="599">
        <f>G1164</f>
        <v>0</v>
      </c>
      <c r="U1191" s="578"/>
      <c r="V1191" s="579"/>
      <c r="W1191" s="579">
        <f t="shared" si="167"/>
        <v>0</v>
      </c>
      <c r="X1191" s="579"/>
      <c r="Y1191" s="879"/>
      <c r="Z1191" s="106"/>
      <c r="AC1191" s="504"/>
      <c r="AD1191" s="505"/>
      <c r="BO1191" s="86"/>
    </row>
    <row r="1192" spans="1:67" ht="17.25" thickBot="1" x14ac:dyDescent="0.3">
      <c r="A1192" s="520">
        <f>IFERROR(VLOOKUP($G$5,'רשימת רשויות'!A:C,3,0),0)</f>
        <v>0</v>
      </c>
      <c r="B1192" s="520">
        <f t="shared" si="166"/>
        <v>0</v>
      </c>
      <c r="D1192" s="1134"/>
      <c r="E1192" s="1137"/>
      <c r="F1192" s="1143" t="s">
        <v>2679</v>
      </c>
      <c r="G1192" s="1143"/>
      <c r="H1192" s="1143"/>
      <c r="I1192" s="722">
        <f>IF(G1169="לא תקין","לא קיימת זכאות לתקציב לאור אי איוש משרות רכז ו/או סגן רכז ",IFERROR(J1191*(J1190+J1187),0))</f>
        <v>0</v>
      </c>
      <c r="J1192" s="573"/>
      <c r="K1192" s="574"/>
      <c r="L1192" s="396"/>
      <c r="M1192" s="574"/>
      <c r="N1192" s="574"/>
      <c r="O1192" s="574"/>
      <c r="P1192" s="615" t="s">
        <v>2279</v>
      </c>
      <c r="Q1192" s="616">
        <f>MAX(IF(AND(G1187&gt;H1187,I1192&lt;H1189),H1189-I1192,0),0)</f>
        <v>0</v>
      </c>
      <c r="R1192" s="575"/>
      <c r="S1192" s="576" t="s">
        <v>67</v>
      </c>
      <c r="T1192" s="577">
        <f>G1164</f>
        <v>0</v>
      </c>
      <c r="U1192" s="578"/>
      <c r="V1192" s="579">
        <f>I1192</f>
        <v>0</v>
      </c>
      <c r="W1192" s="579">
        <f>IFERROR(U1192-V1192,0)</f>
        <v>0</v>
      </c>
      <c r="X1192" s="579">
        <f>SUM(X1178:X1191)</f>
        <v>0</v>
      </c>
      <c r="Y1192" s="879"/>
      <c r="Z1192" s="106"/>
      <c r="AC1192" s="506">
        <v>0</v>
      </c>
      <c r="AD1192" s="507">
        <f>IFERROR(U1192-AC1192,0)</f>
        <v>0</v>
      </c>
      <c r="BO1192" s="86"/>
    </row>
    <row r="1193" spans="1:67" ht="16.5" thickBot="1" x14ac:dyDescent="0.3">
      <c r="A1193" s="520">
        <f>IFERROR(VLOOKUP($G$5,'רשימת רשויות'!A:C,3,0),0)</f>
        <v>0</v>
      </c>
      <c r="B1193" s="520">
        <f t="shared" si="166"/>
        <v>0</v>
      </c>
      <c r="D1193" s="1135"/>
      <c r="E1193" s="1138"/>
      <c r="F1193" s="1144" t="s">
        <v>2793</v>
      </c>
      <c r="G1193" s="1145"/>
      <c r="H1193" s="1145"/>
      <c r="I1193" s="593">
        <f>IFERROR(IF(G1169="תקין",SUMIFS('סייעות רפואיות או אישיות (7)'!$Q$17:Q$384,'סייעות רפואיות או אישיות (7)'!C$17:C$384,G1164),0),0)</f>
        <v>0</v>
      </c>
      <c r="J1193" s="151"/>
      <c r="K1193" s="152"/>
      <c r="L1193" s="409"/>
      <c r="M1193" s="152"/>
      <c r="N1193" s="152"/>
      <c r="O1193" s="152"/>
      <c r="P1193" s="613"/>
      <c r="Q1193" s="614"/>
      <c r="R1193" s="475"/>
      <c r="S1193" s="489"/>
      <c r="T1193" s="490"/>
      <c r="U1193" s="491"/>
      <c r="V1193" s="492"/>
      <c r="W1193" s="492"/>
      <c r="X1193" s="492"/>
      <c r="Y1193" s="880"/>
      <c r="Z1193" s="153"/>
      <c r="AC1193" s="581"/>
      <c r="AD1193" s="582"/>
      <c r="BO1193" s="86"/>
    </row>
    <row r="1194" spans="1:67" ht="34.5" thickBot="1" x14ac:dyDescent="0.55000000000000004">
      <c r="A1194" s="520">
        <f>IFERROR(VLOOKUP($G$5,'רשימת רשויות'!A:C,3,0),0)</f>
        <v>0</v>
      </c>
      <c r="B1194" s="520">
        <f t="shared" si="166"/>
        <v>0</v>
      </c>
      <c r="E1194" s="154"/>
      <c r="I1194" s="143"/>
      <c r="J1194" s="148"/>
      <c r="O1194" s="148"/>
      <c r="T1194" s="481"/>
      <c r="BO1194" s="86"/>
    </row>
    <row r="1195" spans="1:67" s="20" customFormat="1" ht="16.5" customHeight="1" thickBot="1" x14ac:dyDescent="0.3">
      <c r="A1195" s="520">
        <f>IFERROR(VLOOKUP($G$5,'רשימת רשויות'!A:C,3,0),0)</f>
        <v>0</v>
      </c>
      <c r="B1195" s="520">
        <f t="shared" si="166"/>
        <v>0</v>
      </c>
      <c r="C1195" s="39"/>
      <c r="D1195" s="1133">
        <f>D1164+1</f>
        <v>39</v>
      </c>
      <c r="E1195" s="1136" t="str">
        <f>IFERROR(CONCATENATE("בית הספר ",VLOOKUP(G1195,'מצבת והרשמה (2)'!$C$21:$D$520,2,0)," - ",$G$5),"")</f>
        <v>בית הספר המוסד לא קיים - 0</v>
      </c>
      <c r="F1195" s="720" t="s">
        <v>146</v>
      </c>
      <c r="G1195" s="721">
        <f>IFERROR(VLOOKUP(D:D,'דוח ביצוע (3)'!$A$21:$C$900,2,0),0)</f>
        <v>0</v>
      </c>
      <c r="H1195" s="79"/>
      <c r="I1195" s="80" t="s">
        <v>150</v>
      </c>
      <c r="J1195" s="80"/>
      <c r="K1195" s="81"/>
      <c r="L1195" s="392"/>
      <c r="M1195" s="392"/>
      <c r="N1195" s="392"/>
      <c r="O1195" s="82"/>
      <c r="P1195" s="470"/>
      <c r="Q1195" s="471"/>
      <c r="R1195" s="472"/>
      <c r="S1195" s="883"/>
      <c r="T1195" s="884"/>
      <c r="U1195" s="486"/>
      <c r="V1195" s="487"/>
      <c r="W1195" s="487"/>
      <c r="X1195" s="487"/>
      <c r="Y1195" s="885"/>
      <c r="Z1195" s="83"/>
      <c r="AC1195" s="502"/>
      <c r="AD1195" s="503"/>
      <c r="AO1195" s="22"/>
      <c r="AP1195" s="22"/>
      <c r="AQ1195" s="22"/>
      <c r="AR1195" s="22"/>
      <c r="AS1195" s="22"/>
      <c r="AT1195" s="22"/>
      <c r="AU1195" s="35"/>
      <c r="AV1195" s="35"/>
      <c r="AW1195" s="35"/>
      <c r="AX1195" s="35"/>
      <c r="AY1195" s="35"/>
      <c r="AZ1195" s="35"/>
      <c r="BA1195" s="35"/>
      <c r="BB1195" s="35"/>
      <c r="BC1195" s="35"/>
      <c r="BD1195" s="35"/>
      <c r="BE1195" s="35"/>
      <c r="BF1195" s="35"/>
      <c r="BG1195" s="35"/>
      <c r="BH1195" s="35"/>
      <c r="BI1195" s="35"/>
      <c r="BJ1195" s="35"/>
      <c r="BK1195" s="35"/>
      <c r="BL1195" s="35"/>
      <c r="BM1195" s="35"/>
      <c r="BN1195" s="35"/>
      <c r="BO1195" s="78"/>
    </row>
    <row r="1196" spans="1:67" s="20" customFormat="1" ht="16.5" thickBot="1" x14ac:dyDescent="0.3">
      <c r="A1196" s="520">
        <f>IFERROR(VLOOKUP($G$5,'רשימת רשויות'!A:C,3,0),0)</f>
        <v>0</v>
      </c>
      <c r="B1196" s="520">
        <f t="shared" si="166"/>
        <v>0</v>
      </c>
      <c r="C1196" s="39"/>
      <c r="D1196" s="1134"/>
      <c r="E1196" s="1137"/>
      <c r="F1196" s="583" t="s">
        <v>145</v>
      </c>
      <c r="G1196" s="516" t="str">
        <f>IFERROR(IF((G1198+G1199)=0,"",IF(VLOOKUP(G1195,'דוח ביצוע (3)'!$B$21:$K$900,5,0)&gt;149,"גדול",IF(AND(VLOOKUP(G1195,'דוח ביצוע (3)'!$B$21:$K$900,5,0)&gt;0,VLOOKUP(G1195,'דוח ביצוע (3)'!$B$21:$K$900,5,0)&lt;150),"קטן",0))),"")</f>
        <v/>
      </c>
      <c r="H1196" s="723" t="s">
        <v>88</v>
      </c>
      <c r="I1196" s="723" t="s">
        <v>13</v>
      </c>
      <c r="J1196" s="725" t="s">
        <v>14</v>
      </c>
      <c r="K1196" s="724" t="s">
        <v>94</v>
      </c>
      <c r="L1196" s="594"/>
      <c r="M1196" s="420" t="s">
        <v>2584</v>
      </c>
      <c r="N1196" s="397" t="s">
        <v>413</v>
      </c>
      <c r="O1196" s="398" t="s">
        <v>52</v>
      </c>
      <c r="P1196" s="595"/>
      <c r="Q1196" s="595"/>
      <c r="R1196" s="596"/>
      <c r="S1196" s="610"/>
      <c r="T1196" s="881"/>
      <c r="U1196" s="598"/>
      <c r="V1196" s="599"/>
      <c r="W1196" s="599"/>
      <c r="X1196" s="599"/>
      <c r="Y1196" s="879"/>
      <c r="Z1196" s="85"/>
      <c r="AC1196" s="493"/>
      <c r="AD1196" s="495"/>
      <c r="AO1196" s="22"/>
      <c r="AP1196" s="22"/>
      <c r="AQ1196" s="22"/>
      <c r="AR1196" s="22"/>
      <c r="AS1196" s="22"/>
      <c r="AT1196" s="22"/>
      <c r="AU1196" s="35"/>
      <c r="AV1196" s="35"/>
      <c r="AW1196" s="35"/>
      <c r="AX1196" s="35"/>
      <c r="AY1196" s="35"/>
      <c r="AZ1196" s="35"/>
      <c r="BA1196" s="35"/>
      <c r="BB1196" s="35"/>
      <c r="BC1196" s="35"/>
      <c r="BD1196" s="35"/>
      <c r="BE1196" s="35"/>
      <c r="BF1196" s="35"/>
      <c r="BG1196" s="35"/>
      <c r="BH1196" s="35"/>
      <c r="BI1196" s="35"/>
      <c r="BJ1196" s="35"/>
      <c r="BK1196" s="35"/>
      <c r="BL1196" s="35"/>
      <c r="BM1196" s="35"/>
      <c r="BN1196" s="35"/>
      <c r="BO1196" s="78"/>
    </row>
    <row r="1197" spans="1:67" s="20" customFormat="1" ht="15.75" customHeight="1" thickBot="1" x14ac:dyDescent="0.3">
      <c r="A1197" s="520">
        <f>IFERROR(VLOOKUP($G$5,'רשימת רשויות'!A:C,3,0),0)</f>
        <v>0</v>
      </c>
      <c r="B1197" s="520">
        <f t="shared" si="166"/>
        <v>0</v>
      </c>
      <c r="C1197" s="39"/>
      <c r="D1197" s="1134"/>
      <c r="E1197" s="1137"/>
      <c r="F1197" s="584" t="s">
        <v>144</v>
      </c>
      <c r="G1197" s="87">
        <f>IF(G1200="תקין",IFERROR(VLOOKUP($G1195,'דוח ביצוע (3)'!$B$21:$Q$900,12,0),0),0)</f>
        <v>0</v>
      </c>
      <c r="H1197" s="88">
        <f>IFERROR(G1198*$AH$6+G1199*$AH$7,0)</f>
        <v>0</v>
      </c>
      <c r="I1197" s="88">
        <f>IFERROR(G1198*$AI$6+G1199*$AI$7,0)</f>
        <v>0</v>
      </c>
      <c r="J1197" s="88">
        <f>IFERROR(G1198*$AJ$6+G1199*$AJ$7,0)</f>
        <v>0</v>
      </c>
      <c r="K1197" s="88">
        <f>IFERROR(G1198*$AK$6+G1199*$AK$7,0)</f>
        <v>0</v>
      </c>
      <c r="L1197" s="405"/>
      <c r="M1197" s="399" t="s">
        <v>427</v>
      </c>
      <c r="N1197" s="400" t="str">
        <f>IFERROR(VLOOKUP($G1195,'דוח ביצוע (3)'!$B:$AE,28,0),"")</f>
        <v/>
      </c>
      <c r="O1197" s="89" t="str">
        <f>IFERROR(VLOOKUP($G1195,'דוח ביצוע (3)'!B:AE,29,0),"")</f>
        <v/>
      </c>
      <c r="P1197" s="595"/>
      <c r="Q1197" s="595"/>
      <c r="R1197" s="596"/>
      <c r="S1197" s="610"/>
      <c r="T1197" s="881"/>
      <c r="U1197" s="598"/>
      <c r="V1197" s="599"/>
      <c r="W1197" s="599"/>
      <c r="X1197" s="599"/>
      <c r="Y1197" s="879"/>
      <c r="Z1197" s="85"/>
      <c r="AC1197" s="493"/>
      <c r="AD1197" s="495"/>
      <c r="AO1197" s="22"/>
      <c r="AP1197" s="22"/>
      <c r="AQ1197" s="22"/>
      <c r="AR1197" s="22"/>
      <c r="AS1197" s="22"/>
      <c r="AT1197" s="22"/>
      <c r="AU1197" s="35"/>
      <c r="AV1197" s="35"/>
      <c r="AW1197" s="35"/>
      <c r="AX1197" s="35"/>
      <c r="AY1197" s="35"/>
      <c r="AZ1197" s="35"/>
      <c r="BA1197" s="35"/>
      <c r="BB1197" s="35"/>
      <c r="BC1197" s="35"/>
      <c r="BD1197" s="35"/>
      <c r="BE1197" s="35"/>
      <c r="BF1197" s="35"/>
      <c r="BG1197" s="35"/>
      <c r="BH1197" s="35"/>
      <c r="BI1197" s="35"/>
      <c r="BJ1197" s="35"/>
      <c r="BK1197" s="35"/>
      <c r="BL1197" s="35"/>
      <c r="BM1197" s="35"/>
      <c r="BN1197" s="35"/>
      <c r="BO1197" s="78"/>
    </row>
    <row r="1198" spans="1:67" s="20" customFormat="1" ht="32.25" thickBot="1" x14ac:dyDescent="0.3">
      <c r="A1198" s="520">
        <f>IFERROR(VLOOKUP($G$5,'רשימת רשויות'!A:C,3,0),0)</f>
        <v>0</v>
      </c>
      <c r="B1198" s="520">
        <f t="shared" si="166"/>
        <v>0</v>
      </c>
      <c r="C1198" s="39"/>
      <c r="D1198" s="1134"/>
      <c r="E1198" s="1137"/>
      <c r="F1198" s="585" t="s">
        <v>2195</v>
      </c>
      <c r="G1198" s="89">
        <f>IF(G1200="תקין",MAX(N1200,0),0)</f>
        <v>0</v>
      </c>
      <c r="H1198" s="725" t="s">
        <v>151</v>
      </c>
      <c r="I1198" s="725" t="s">
        <v>91</v>
      </c>
      <c r="J1198" s="970" t="s">
        <v>3396</v>
      </c>
      <c r="K1198" s="601"/>
      <c r="L1198" s="601"/>
      <c r="M1198" s="983" t="s">
        <v>2585</v>
      </c>
      <c r="N1198" s="400" t="str">
        <f>IFERROR(G1197/15*N1197*1.25,"")</f>
        <v/>
      </c>
      <c r="O1198" s="89" t="str">
        <f>IFERROR(G1197/15*O1197*1.25,"")</f>
        <v/>
      </c>
      <c r="P1198" s="595"/>
      <c r="Q1198" s="595"/>
      <c r="R1198" s="596"/>
      <c r="S1198" s="610"/>
      <c r="T1198" s="881"/>
      <c r="U1198" s="598"/>
      <c r="V1198" s="599"/>
      <c r="W1198" s="599"/>
      <c r="X1198" s="599"/>
      <c r="Y1198" s="879"/>
      <c r="Z1198" s="85"/>
      <c r="AC1198" s="493"/>
      <c r="AD1198" s="495"/>
      <c r="AG1198" s="22"/>
      <c r="AH1198" s="55"/>
      <c r="AI1198" s="55"/>
      <c r="AJ1198" s="55"/>
      <c r="AK1198" s="55"/>
      <c r="AO1198" s="22"/>
      <c r="AP1198" s="22"/>
      <c r="AQ1198" s="22"/>
      <c r="AR1198" s="22"/>
      <c r="AS1198" s="22"/>
      <c r="AT1198" s="22"/>
      <c r="AU1198" s="35"/>
      <c r="AV1198" s="35"/>
      <c r="AW1198" s="35"/>
      <c r="AX1198" s="35"/>
      <c r="AY1198" s="35"/>
      <c r="AZ1198" s="35"/>
      <c r="BA1198" s="35"/>
      <c r="BB1198" s="35"/>
      <c r="BC1198" s="35"/>
      <c r="BD1198" s="35"/>
      <c r="BE1198" s="35"/>
      <c r="BF1198" s="35"/>
      <c r="BG1198" s="35"/>
      <c r="BH1198" s="35"/>
      <c r="BI1198" s="35"/>
      <c r="BJ1198" s="35"/>
      <c r="BK1198" s="35"/>
      <c r="BL1198" s="35"/>
      <c r="BM1198" s="35"/>
      <c r="BN1198" s="35"/>
      <c r="BO1198" s="86"/>
    </row>
    <row r="1199" spans="1:67" s="20" customFormat="1" ht="16.5" thickBot="1" x14ac:dyDescent="0.3">
      <c r="A1199" s="520">
        <f>IFERROR(VLOOKUP($G$5,'רשימת רשויות'!A:C,3,0),0)</f>
        <v>0</v>
      </c>
      <c r="B1199" s="520">
        <f t="shared" si="166"/>
        <v>0</v>
      </c>
      <c r="C1199" s="39"/>
      <c r="D1199" s="1134"/>
      <c r="E1199" s="1137"/>
      <c r="F1199" s="585" t="s">
        <v>2196</v>
      </c>
      <c r="G1199" s="89">
        <f>IF(G1200="תקין",MAX(O1200,0),0)</f>
        <v>0</v>
      </c>
      <c r="H1199" s="88">
        <f>(IFERROR(IF((G1198+G1199)=0,0,IF(G1196="קטן",G1197*$AH$10,G1197*$AH$11)),0))+(IFERROR(IF((G1198+G1199)=0,0,VLOOKUP(G1195,'דוח ביצוע (3)'!$B:$AH,33,0)),0))</f>
        <v>0</v>
      </c>
      <c r="I1199" s="88">
        <f>IFERROR(IF((G1198+G1199)=0,0,IF(G1196="קטן",G1197*$AI$10,G1197*$AI$11)),0)</f>
        <v>0</v>
      </c>
      <c r="J1199" s="88">
        <f>IFERROR(IF((G1198+G1199)=0,0,VLOOKUP(G1195,'דוח ביצוע (3)'!$B:$AH,32,0)),0)</f>
        <v>0</v>
      </c>
      <c r="K1199" s="90"/>
      <c r="L1199" s="90"/>
      <c r="M1199" s="399" t="s">
        <v>412</v>
      </c>
      <c r="N1199" s="400">
        <f>IFERROR(VLOOKUP($G1195,'דוח ביצוע (3)'!$B$21:$U$500,18,0),0)</f>
        <v>0</v>
      </c>
      <c r="O1199" s="401">
        <f>IFERROR(VLOOKUP($G1195,'דוח ביצוע (3)'!$B$21:$U$500,19,0),0)</f>
        <v>0</v>
      </c>
      <c r="P1199" s="595"/>
      <c r="Q1199" s="595"/>
      <c r="R1199" s="596"/>
      <c r="S1199" s="610"/>
      <c r="T1199" s="881"/>
      <c r="U1199" s="598"/>
      <c r="V1199" s="599"/>
      <c r="W1199" s="599"/>
      <c r="X1199" s="599"/>
      <c r="Y1199" s="879"/>
      <c r="Z1199" s="85"/>
      <c r="AC1199" s="493"/>
      <c r="AD1199" s="495"/>
      <c r="AG1199" s="22"/>
      <c r="AH1199" s="55"/>
      <c r="AI1199" s="55"/>
      <c r="AJ1199" s="55"/>
      <c r="AK1199" s="55"/>
      <c r="AO1199" s="22"/>
      <c r="AP1199" s="22"/>
      <c r="AQ1199" s="22"/>
      <c r="AR1199" s="22"/>
      <c r="AS1199" s="22"/>
      <c r="AT1199" s="22"/>
      <c r="AU1199" s="35"/>
      <c r="AV1199" s="35"/>
      <c r="AW1199" s="35"/>
      <c r="AX1199" s="35"/>
      <c r="AY1199" s="35"/>
      <c r="AZ1199" s="35"/>
      <c r="BA1199" s="35"/>
      <c r="BB1199" s="35"/>
      <c r="BC1199" s="35"/>
      <c r="BD1199" s="35"/>
      <c r="BE1199" s="35"/>
      <c r="BF1199" s="35"/>
      <c r="BG1199" s="35"/>
      <c r="BH1199" s="35"/>
      <c r="BI1199" s="35"/>
      <c r="BJ1199" s="35"/>
      <c r="BK1199" s="35"/>
      <c r="BL1199" s="35"/>
      <c r="BM1199" s="35"/>
      <c r="BN1199" s="35"/>
      <c r="BO1199" s="86"/>
    </row>
    <row r="1200" spans="1:67" s="20" customFormat="1" ht="16.5" thickBot="1" x14ac:dyDescent="0.3">
      <c r="A1200" s="520">
        <f>IFERROR(VLOOKUP($G$5,'רשימת רשויות'!A:C,3,0),0)</f>
        <v>0</v>
      </c>
      <c r="B1200" s="520">
        <f t="shared" si="166"/>
        <v>0</v>
      </c>
      <c r="C1200" s="39"/>
      <c r="D1200" s="1134"/>
      <c r="E1200" s="1137"/>
      <c r="F1200" s="586" t="s">
        <v>2355</v>
      </c>
      <c r="G1200" s="514">
        <f>IFERROR(IF(VLOOKUP('בית ספר - תקצוב לפי מוסד (9)'!G1195,' איוש משרות (8)'!$C:$K,9,0)="תקין","תקין","לא תקין"),0)</f>
        <v>0</v>
      </c>
      <c r="H1200" s="91"/>
      <c r="I1200" s="91"/>
      <c r="J1200" s="91"/>
      <c r="K1200" s="90"/>
      <c r="L1200" s="90"/>
      <c r="M1200" s="402" t="s">
        <v>2586</v>
      </c>
      <c r="N1200" s="403">
        <f>IFERROR(MIN(N1198,N1199),0)</f>
        <v>0</v>
      </c>
      <c r="O1200" s="404">
        <f>IFERROR(MIN(O1198,O1199),0)</f>
        <v>0</v>
      </c>
      <c r="P1200" s="595"/>
      <c r="Q1200" s="595"/>
      <c r="R1200" s="596"/>
      <c r="S1200" s="610"/>
      <c r="T1200" s="881"/>
      <c r="U1200" s="598"/>
      <c r="V1200" s="599"/>
      <c r="W1200" s="599"/>
      <c r="X1200" s="599"/>
      <c r="Y1200" s="879"/>
      <c r="Z1200" s="85"/>
      <c r="AC1200" s="493"/>
      <c r="AD1200" s="495"/>
      <c r="AG1200" s="94"/>
      <c r="AH1200" s="40"/>
      <c r="AI1200" s="40"/>
      <c r="AJ1200" s="40"/>
      <c r="AK1200" s="40"/>
      <c r="AO1200" s="22"/>
      <c r="AP1200" s="22"/>
      <c r="AQ1200" s="22"/>
      <c r="AR1200" s="22"/>
      <c r="AS1200" s="22"/>
      <c r="AT1200" s="22"/>
      <c r="AU1200" s="35"/>
      <c r="AV1200" s="35"/>
      <c r="AW1200" s="35"/>
      <c r="AX1200" s="35"/>
      <c r="AY1200" s="35"/>
      <c r="AZ1200" s="35"/>
      <c r="BA1200" s="35"/>
      <c r="BB1200" s="35"/>
      <c r="BC1200" s="35"/>
      <c r="BD1200" s="35"/>
      <c r="BE1200" s="35"/>
      <c r="BF1200" s="35"/>
      <c r="BG1200" s="35"/>
      <c r="BH1200" s="35"/>
      <c r="BI1200" s="35"/>
      <c r="BJ1200" s="35"/>
      <c r="BK1200" s="35"/>
      <c r="BL1200" s="35"/>
      <c r="BM1200" s="35"/>
      <c r="BN1200" s="35"/>
      <c r="BO1200" s="86"/>
    </row>
    <row r="1201" spans="1:67" s="55" customFormat="1" ht="37.15" customHeight="1" thickBot="1" x14ac:dyDescent="0.3">
      <c r="A1201" s="520">
        <f>IFERROR(VLOOKUP($G$5,'רשימת רשויות'!A:C,3,0),0)</f>
        <v>0</v>
      </c>
      <c r="B1201" s="520">
        <f t="shared" si="166"/>
        <v>0</v>
      </c>
      <c r="C1201" s="39"/>
      <c r="D1201" s="1134"/>
      <c r="E1201" s="1137"/>
      <c r="F1201" s="587" t="s">
        <v>142</v>
      </c>
      <c r="G1201" s="92"/>
      <c r="H1201" s="92"/>
      <c r="I1201" s="92"/>
      <c r="J1201" s="92"/>
      <c r="K1201" s="602"/>
      <c r="L1201" s="602"/>
      <c r="M1201" s="602"/>
      <c r="N1201" s="602"/>
      <c r="O1201" s="602"/>
      <c r="P1201" s="595"/>
      <c r="Q1201" s="595"/>
      <c r="R1201" s="596"/>
      <c r="S1201" s="610"/>
      <c r="T1201" s="881"/>
      <c r="U1201" s="598"/>
      <c r="V1201" s="599"/>
      <c r="W1201" s="599"/>
      <c r="X1201" s="599"/>
      <c r="Y1201" s="879"/>
      <c r="Z1201" s="93"/>
      <c r="AC1201" s="493"/>
      <c r="AD1201" s="495"/>
      <c r="AF1201" s="22"/>
      <c r="AG1201" s="98"/>
      <c r="AH1201" s="98"/>
      <c r="AI1201" s="40"/>
      <c r="AJ1201" s="40"/>
      <c r="AK1201" s="40"/>
      <c r="AO1201" s="22"/>
      <c r="AP1201" s="22"/>
      <c r="AQ1201" s="22"/>
      <c r="AR1201" s="22"/>
      <c r="AS1201" s="22"/>
      <c r="AT1201" s="22"/>
      <c r="AU1201" s="35"/>
      <c r="AV1201" s="35"/>
      <c r="AW1201" s="35"/>
      <c r="AX1201" s="35"/>
      <c r="AY1201" s="35"/>
      <c r="AZ1201" s="35"/>
      <c r="BA1201" s="35"/>
      <c r="BB1201" s="35"/>
      <c r="BC1201" s="35"/>
      <c r="BD1201" s="35"/>
      <c r="BE1201" s="35"/>
      <c r="BF1201" s="35"/>
      <c r="BG1201" s="35"/>
      <c r="BH1201" s="35"/>
      <c r="BI1201" s="35"/>
      <c r="BJ1201" s="35"/>
      <c r="BK1201" s="35"/>
      <c r="BL1201" s="35"/>
      <c r="BM1201" s="35"/>
      <c r="BN1201" s="35"/>
      <c r="BO1201" s="86"/>
    </row>
    <row r="1202" spans="1:67" s="40" customFormat="1" ht="31.5" x14ac:dyDescent="0.25">
      <c r="A1202" s="520">
        <f>IFERROR(VLOOKUP($G$5,'רשימת רשויות'!A:C,3,0),0)</f>
        <v>0</v>
      </c>
      <c r="B1202" s="520">
        <f t="shared" si="166"/>
        <v>0</v>
      </c>
      <c r="C1202" s="39"/>
      <c r="D1202" s="1134"/>
      <c r="E1202" s="1137"/>
      <c r="F1202" s="588" t="s">
        <v>94</v>
      </c>
      <c r="G1202" s="95" t="s">
        <v>18</v>
      </c>
      <c r="H1202" s="95" t="s">
        <v>19</v>
      </c>
      <c r="I1202" s="95" t="s">
        <v>138</v>
      </c>
      <c r="J1202" s="96" t="s">
        <v>139</v>
      </c>
      <c r="K1202" s="603"/>
      <c r="L1202" s="603"/>
      <c r="M1202" s="603"/>
      <c r="N1202" s="603"/>
      <c r="O1202" s="603"/>
      <c r="P1202" s="604"/>
      <c r="Q1202" s="604"/>
      <c r="R1202" s="596"/>
      <c r="S1202" s="610"/>
      <c r="T1202" s="881"/>
      <c r="U1202" s="598"/>
      <c r="V1202" s="599"/>
      <c r="W1202" s="599"/>
      <c r="X1202" s="599"/>
      <c r="Y1202" s="879"/>
      <c r="Z1202" s="97"/>
      <c r="AA1202" s="94"/>
      <c r="AB1202" s="94"/>
      <c r="AC1202" s="493"/>
      <c r="AD1202" s="495"/>
      <c r="AE1202" s="94"/>
      <c r="AG1202" s="98"/>
      <c r="AH1202" s="98"/>
      <c r="AO1202" s="22"/>
      <c r="AP1202" s="22"/>
      <c r="AQ1202" s="22"/>
      <c r="AR1202" s="22"/>
      <c r="AS1202" s="22"/>
      <c r="AT1202" s="22"/>
      <c r="AU1202" s="35"/>
      <c r="AV1202" s="35"/>
      <c r="AW1202" s="35"/>
      <c r="AX1202" s="35"/>
      <c r="AY1202" s="35"/>
      <c r="AZ1202" s="35"/>
      <c r="BA1202" s="35"/>
      <c r="BB1202" s="35"/>
      <c r="BC1202" s="35"/>
      <c r="BD1202" s="35"/>
      <c r="BE1202" s="35"/>
      <c r="BF1202" s="35"/>
      <c r="BG1202" s="35"/>
      <c r="BH1202" s="35"/>
      <c r="BI1202" s="35"/>
      <c r="BJ1202" s="35"/>
      <c r="BK1202" s="35"/>
      <c r="BL1202" s="35"/>
      <c r="BM1202" s="35"/>
      <c r="BN1202" s="35"/>
      <c r="BO1202" s="86"/>
    </row>
    <row r="1203" spans="1:67" s="40" customFormat="1" ht="15.75" customHeight="1" thickBot="1" x14ac:dyDescent="0.3">
      <c r="A1203" s="520">
        <f>IFERROR(VLOOKUP($G$5,'רשימת רשויות'!A:C,3,0),0)</f>
        <v>0</v>
      </c>
      <c r="B1203" s="520">
        <f t="shared" si="166"/>
        <v>0</v>
      </c>
      <c r="C1203" s="39"/>
      <c r="D1203" s="1134"/>
      <c r="E1203" s="1137"/>
      <c r="F1203" s="589" t="s">
        <v>2280</v>
      </c>
      <c r="G1203" s="99">
        <f>+G1214</f>
        <v>0</v>
      </c>
      <c r="H1203" s="100">
        <f>K1197</f>
        <v>0</v>
      </c>
      <c r="I1203" s="100">
        <f>H1203-I1205</f>
        <v>0</v>
      </c>
      <c r="J1203" s="101">
        <f>IFERROR(I1203/H1203,0)</f>
        <v>0</v>
      </c>
      <c r="K1203" s="603"/>
      <c r="L1203" s="603"/>
      <c r="M1203" s="603"/>
      <c r="N1203" s="603"/>
      <c r="O1203" s="603"/>
      <c r="P1203" s="605"/>
      <c r="Q1203" s="604"/>
      <c r="R1203" s="606" t="s">
        <v>157</v>
      </c>
      <c r="S1203" s="611"/>
      <c r="T1203" s="881"/>
      <c r="U1203" s="598"/>
      <c r="V1203" s="599"/>
      <c r="W1203" s="599"/>
      <c r="X1203" s="599"/>
      <c r="Y1203" s="879"/>
      <c r="Z1203" s="102"/>
      <c r="AA1203" s="122"/>
      <c r="AB1203" s="122"/>
      <c r="AC1203" s="493"/>
      <c r="AD1203" s="495"/>
      <c r="AE1203" s="122"/>
      <c r="AF1203" s="22"/>
      <c r="AG1203" s="98"/>
      <c r="AH1203" s="98"/>
      <c r="AI1203" s="20"/>
      <c r="AO1203" s="22"/>
      <c r="AP1203" s="22"/>
      <c r="AQ1203" s="22"/>
      <c r="AR1203" s="22"/>
      <c r="AS1203" s="22"/>
      <c r="AT1203" s="22"/>
      <c r="AU1203" s="35"/>
      <c r="AV1203" s="35"/>
      <c r="AW1203" s="35"/>
      <c r="AX1203" s="35"/>
      <c r="AY1203" s="35"/>
      <c r="AZ1203" s="35"/>
      <c r="BA1203" s="35"/>
      <c r="BB1203" s="35"/>
      <c r="BC1203" s="35"/>
      <c r="BD1203" s="35"/>
      <c r="BE1203" s="35"/>
      <c r="BF1203" s="35"/>
      <c r="BG1203" s="35"/>
      <c r="BH1203" s="35"/>
      <c r="BI1203" s="35"/>
      <c r="BJ1203" s="35"/>
      <c r="BK1203" s="35"/>
      <c r="BL1203" s="35"/>
      <c r="BM1203" s="35"/>
      <c r="BN1203" s="35"/>
      <c r="BO1203" s="86"/>
    </row>
    <row r="1204" spans="1:67" s="40" customFormat="1" ht="15.75" customHeight="1" thickBot="1" x14ac:dyDescent="0.3">
      <c r="A1204" s="520">
        <f>IFERROR(VLOOKUP($G$5,'רשימת רשויות'!A:C,3,0),0)</f>
        <v>0</v>
      </c>
      <c r="B1204" s="520">
        <f t="shared" si="166"/>
        <v>0</v>
      </c>
      <c r="C1204" s="39"/>
      <c r="D1204" s="1134"/>
      <c r="E1204" s="1137"/>
      <c r="F1204" s="589" t="s">
        <v>2281</v>
      </c>
      <c r="G1204" s="99">
        <f>+G1213</f>
        <v>0</v>
      </c>
      <c r="H1204" s="103"/>
      <c r="I1204" s="104"/>
      <c r="J1204" s="105"/>
      <c r="K1204" s="603"/>
      <c r="L1204" s="603"/>
      <c r="M1204" s="603"/>
      <c r="N1204" s="603"/>
      <c r="O1204" s="603"/>
      <c r="P1204" s="605"/>
      <c r="Q1204" s="604"/>
      <c r="R1204" s="473">
        <f>I1205-R1206</f>
        <v>0</v>
      </c>
      <c r="S1204" s="611"/>
      <c r="T1204" s="881"/>
      <c r="U1204" s="598"/>
      <c r="V1204" s="599"/>
      <c r="W1204" s="599"/>
      <c r="X1204" s="599"/>
      <c r="Y1204" s="879"/>
      <c r="Z1204" s="106"/>
      <c r="AA1204" s="22"/>
      <c r="AB1204" s="22"/>
      <c r="AC1204" s="493"/>
      <c r="AD1204" s="495"/>
      <c r="AE1204" s="22"/>
      <c r="AF1204" s="22"/>
      <c r="AG1204" s="98"/>
      <c r="AH1204" s="98"/>
      <c r="AI1204" s="20"/>
      <c r="AO1204" s="22"/>
      <c r="AP1204" s="22"/>
      <c r="AQ1204" s="22"/>
      <c r="AR1204" s="22"/>
      <c r="AS1204" s="22"/>
      <c r="AT1204" s="22"/>
      <c r="AU1204" s="35"/>
      <c r="AV1204" s="35"/>
      <c r="AW1204" s="35"/>
      <c r="AX1204" s="35"/>
      <c r="AY1204" s="35"/>
      <c r="AZ1204" s="35"/>
      <c r="BA1204" s="35"/>
      <c r="BB1204" s="35"/>
      <c r="BC1204" s="35"/>
      <c r="BD1204" s="35"/>
      <c r="BE1204" s="35"/>
      <c r="BF1204" s="35"/>
      <c r="BG1204" s="35"/>
      <c r="BH1204" s="35"/>
      <c r="BI1204" s="35"/>
      <c r="BJ1204" s="35"/>
      <c r="BK1204" s="35"/>
      <c r="BL1204" s="35"/>
      <c r="BM1204" s="35"/>
      <c r="BN1204" s="35"/>
      <c r="BO1204" s="86"/>
    </row>
    <row r="1205" spans="1:67" s="40" customFormat="1" ht="16.5" customHeight="1" thickBot="1" x14ac:dyDescent="0.3">
      <c r="A1205" s="520">
        <f>IFERROR(VLOOKUP($G$5,'רשימת רשויות'!A:C,3,0),0)</f>
        <v>0</v>
      </c>
      <c r="B1205" s="520">
        <f t="shared" si="166"/>
        <v>0</v>
      </c>
      <c r="C1205" s="39"/>
      <c r="D1205" s="1134"/>
      <c r="E1205" s="1137"/>
      <c r="F1205" s="589" t="s">
        <v>2282</v>
      </c>
      <c r="G1205" s="99">
        <f>G1209+G1210+G1211</f>
        <v>0</v>
      </c>
      <c r="H1205" s="104"/>
      <c r="I1205" s="107">
        <f>MAX(H1203-G1203-G1204,0)</f>
        <v>0</v>
      </c>
      <c r="J1205" s="108">
        <f>IFERROR(I1205/H1203,0)</f>
        <v>0</v>
      </c>
      <c r="K1205" s="603"/>
      <c r="L1205" s="603"/>
      <c r="M1205" s="603"/>
      <c r="N1205" s="603"/>
      <c r="O1205" s="603"/>
      <c r="P1205" s="604"/>
      <c r="Q1205" s="604"/>
      <c r="R1205" s="606" t="s">
        <v>158</v>
      </c>
      <c r="S1205" s="612"/>
      <c r="T1205" s="881"/>
      <c r="U1205" s="598"/>
      <c r="V1205" s="599"/>
      <c r="W1205" s="599"/>
      <c r="X1205" s="599"/>
      <c r="Y1205" s="879"/>
      <c r="Z1205" s="106"/>
      <c r="AA1205" s="22"/>
      <c r="AB1205" s="22"/>
      <c r="AC1205" s="493"/>
      <c r="AD1205" s="495"/>
      <c r="AE1205" s="22"/>
      <c r="AF1205" s="22"/>
      <c r="AG1205" s="22"/>
      <c r="AH1205" s="22"/>
      <c r="AI1205" s="55"/>
      <c r="AJ1205" s="22"/>
      <c r="AK1205" s="22"/>
      <c r="AO1205" s="22"/>
      <c r="AP1205" s="22"/>
      <c r="AQ1205" s="22"/>
      <c r="AR1205" s="22"/>
      <c r="AS1205" s="22"/>
      <c r="AT1205" s="22"/>
      <c r="AU1205" s="35"/>
      <c r="AV1205" s="35"/>
      <c r="AW1205" s="35"/>
      <c r="AX1205" s="35"/>
      <c r="AY1205" s="35"/>
      <c r="AZ1205" s="35"/>
      <c r="BA1205" s="35"/>
      <c r="BB1205" s="35"/>
      <c r="BC1205" s="35"/>
      <c r="BD1205" s="35"/>
      <c r="BE1205" s="35"/>
      <c r="BF1205" s="35"/>
      <c r="BG1205" s="35"/>
      <c r="BH1205" s="35"/>
      <c r="BI1205" s="35"/>
      <c r="BJ1205" s="35"/>
      <c r="BK1205" s="35"/>
      <c r="BL1205" s="35"/>
      <c r="BM1205" s="35"/>
      <c r="BN1205" s="35"/>
      <c r="BO1205" s="86"/>
    </row>
    <row r="1206" spans="1:67" s="40" customFormat="1" ht="15.75" customHeight="1" thickBot="1" x14ac:dyDescent="0.3">
      <c r="A1206" s="520">
        <f>IFERROR(VLOOKUP($G$5,'רשימת רשויות'!A:C,3,0),0)</f>
        <v>0</v>
      </c>
      <c r="B1206" s="520">
        <f t="shared" si="166"/>
        <v>0</v>
      </c>
      <c r="C1206" s="39"/>
      <c r="D1206" s="1134"/>
      <c r="E1206" s="1137"/>
      <c r="F1206" s="590" t="s">
        <v>2290</v>
      </c>
      <c r="G1206" s="109"/>
      <c r="H1206" s="110"/>
      <c r="I1206" s="111">
        <f>SUM(I1203:I1205)</f>
        <v>0</v>
      </c>
      <c r="J1206" s="112">
        <f>SUM(J1203:J1205)</f>
        <v>0</v>
      </c>
      <c r="K1206" s="603"/>
      <c r="L1206" s="603"/>
      <c r="M1206" s="603"/>
      <c r="N1206" s="603"/>
      <c r="O1206" s="603"/>
      <c r="P1206" s="604"/>
      <c r="Q1206" s="604"/>
      <c r="R1206" s="473">
        <f>MIN(MAX(G1210+G1211-I1199-J1199,0),I1205)</f>
        <v>0</v>
      </c>
      <c r="S1206" s="612"/>
      <c r="T1206" s="881"/>
      <c r="U1206" s="598"/>
      <c r="V1206" s="599"/>
      <c r="W1206" s="599"/>
      <c r="X1206" s="599"/>
      <c r="Y1206" s="879"/>
      <c r="Z1206" s="106"/>
      <c r="AA1206" s="22"/>
      <c r="AB1206" s="22"/>
      <c r="AC1206" s="493"/>
      <c r="AD1206" s="495"/>
      <c r="AE1206" s="22"/>
      <c r="AF1206" s="22"/>
      <c r="AG1206" s="22"/>
      <c r="AH1206" s="22"/>
      <c r="AJ1206" s="22"/>
      <c r="AK1206" s="22"/>
      <c r="AO1206" s="22"/>
      <c r="AP1206" s="22"/>
      <c r="AQ1206" s="22"/>
      <c r="AR1206" s="22"/>
      <c r="AS1206" s="22"/>
      <c r="AT1206" s="22"/>
      <c r="AU1206" s="35"/>
      <c r="AV1206" s="35"/>
      <c r="AW1206" s="35"/>
      <c r="AX1206" s="35"/>
      <c r="AY1206" s="35"/>
      <c r="AZ1206" s="35"/>
      <c r="BA1206" s="35"/>
      <c r="BB1206" s="35"/>
      <c r="BC1206" s="35"/>
      <c r="BD1206" s="35"/>
      <c r="BE1206" s="35"/>
      <c r="BF1206" s="35"/>
      <c r="BG1206" s="35"/>
      <c r="BH1206" s="35"/>
      <c r="BI1206" s="35"/>
      <c r="BJ1206" s="35"/>
      <c r="BK1206" s="35"/>
      <c r="BL1206" s="35"/>
      <c r="BM1206" s="35"/>
      <c r="BN1206" s="35"/>
      <c r="BO1206" s="86"/>
    </row>
    <row r="1207" spans="1:67" ht="16.5" thickBot="1" x14ac:dyDescent="0.3">
      <c r="A1207" s="520">
        <f>IFERROR(VLOOKUP($G$5,'רשימת רשויות'!A:C,3,0),0)</f>
        <v>0</v>
      </c>
      <c r="B1207" s="520">
        <f t="shared" si="166"/>
        <v>0</v>
      </c>
      <c r="D1207" s="1134"/>
      <c r="E1207" s="1137"/>
      <c r="F1207" s="587" t="s">
        <v>17</v>
      </c>
      <c r="G1207" s="113"/>
      <c r="H1207" s="92"/>
      <c r="I1207" s="114"/>
      <c r="J1207" s="115"/>
      <c r="K1207" s="116"/>
      <c r="L1207" s="406"/>
      <c r="M1207" s="116"/>
      <c r="N1207" s="116"/>
      <c r="O1207" s="116"/>
      <c r="P1207" s="474"/>
      <c r="Q1207" s="607"/>
      <c r="R1207" s="608"/>
      <c r="S1207" s="612"/>
      <c r="T1207" s="881"/>
      <c r="U1207" s="598"/>
      <c r="V1207" s="599"/>
      <c r="W1207" s="599"/>
      <c r="X1207" s="599"/>
      <c r="Y1207" s="879"/>
      <c r="Z1207" s="106"/>
      <c r="AI1207" s="40"/>
      <c r="BO1207" s="86"/>
    </row>
    <row r="1208" spans="1:67" ht="47.25" x14ac:dyDescent="0.25">
      <c r="A1208" s="520">
        <f>IFERROR(VLOOKUP($G$5,'רשימת רשויות'!A:C,3,0),0)</f>
        <v>0</v>
      </c>
      <c r="B1208" s="520">
        <f t="shared" si="166"/>
        <v>0</v>
      </c>
      <c r="D1208" s="1134"/>
      <c r="E1208" s="1137"/>
      <c r="F1208" s="588" t="s">
        <v>2</v>
      </c>
      <c r="G1208" s="95" t="s">
        <v>18</v>
      </c>
      <c r="H1208" s="95" t="s">
        <v>19</v>
      </c>
      <c r="I1208" s="95" t="s">
        <v>20</v>
      </c>
      <c r="J1208" s="95" t="s">
        <v>22</v>
      </c>
      <c r="K1208" s="96" t="s">
        <v>2314</v>
      </c>
      <c r="L1208" s="609"/>
      <c r="M1208" s="609"/>
      <c r="N1208" s="609"/>
      <c r="O1208" s="580"/>
      <c r="P1208" s="618" t="s">
        <v>2298</v>
      </c>
      <c r="Q1208" s="618" t="s">
        <v>2299</v>
      </c>
      <c r="R1208" s="596"/>
      <c r="S1208" s="890" t="s">
        <v>2519</v>
      </c>
      <c r="T1208" s="890" t="s">
        <v>97</v>
      </c>
      <c r="U1208" s="891" t="s">
        <v>2521</v>
      </c>
      <c r="V1208" s="892" t="s">
        <v>2520</v>
      </c>
      <c r="W1208" s="893" t="s">
        <v>2524</v>
      </c>
      <c r="X1208" s="892" t="s">
        <v>2522</v>
      </c>
      <c r="Y1208" s="894" t="s">
        <v>2523</v>
      </c>
      <c r="Z1208" s="106"/>
      <c r="AC1208" s="498" t="s">
        <v>2568</v>
      </c>
      <c r="AD1208" s="499" t="s">
        <v>2569</v>
      </c>
      <c r="AF1208" s="122"/>
      <c r="AI1208" s="40"/>
      <c r="BO1208" s="86"/>
    </row>
    <row r="1209" spans="1:67" ht="15" customHeight="1" thickBot="1" x14ac:dyDescent="0.3">
      <c r="A1209" s="520">
        <f>IFERROR(VLOOKUP($G$5,'רשימת רשויות'!A:C,3,0),0)</f>
        <v>0</v>
      </c>
      <c r="B1209" s="520">
        <f t="shared" si="166"/>
        <v>0</v>
      </c>
      <c r="D1209" s="1134"/>
      <c r="E1209" s="1137"/>
      <c r="F1209" s="589" t="s">
        <v>76</v>
      </c>
      <c r="G1209" s="117">
        <f>IF(G1200="תקין",SUMIF('עלויות כח אדם (6)'!$B$15:$B$3014,'בית ספר - תקצוב לפי מוסד (9)'!$G1195,'עלויות כח אדם (6)'!$M$15:$M$3014)-VLOOKUP('בית ספר - תקצוב לפי מוסד (9)'!G1195,' איוש משרות (8)'!$C:$H,5,0)-VLOOKUP('בית ספר - תקצוב לפי מוסד (9)'!G1195,' איוש משרות (8)'!$C:$H,6,0),0)-Y1209</f>
        <v>0</v>
      </c>
      <c r="H1209" s="118">
        <f>I1197+R1204</f>
        <v>0</v>
      </c>
      <c r="I1209" s="119">
        <f>IFERROR(SUM(G1209)/H1209,0)</f>
        <v>0</v>
      </c>
      <c r="J1209" s="100">
        <f>MIN(I1197+R1204,IF(ISNUMBER(G1209),G1209,0))</f>
        <v>0</v>
      </c>
      <c r="K1209" s="120">
        <f>MAX(H1209-G1209,0)</f>
        <v>0</v>
      </c>
      <c r="L1209" s="407"/>
      <c r="M1209" s="393"/>
      <c r="N1209" s="393"/>
      <c r="O1209" s="580"/>
      <c r="P1209" s="968">
        <f>IFERROR(IF(SUM(G1209)/(I1197)&lt;100%,MIN((I1197)-SUM(G1209),(I1197)*0.25),0),0)</f>
        <v>0</v>
      </c>
      <c r="Q1209" s="968">
        <f>IF(SUM(G1209)-(I1197+R1204)&gt;0,SUM(G1209)-(I1197+R1204),0)</f>
        <v>0</v>
      </c>
      <c r="R1209" s="596" t="s">
        <v>2351</v>
      </c>
      <c r="S1209" s="576" t="s">
        <v>2342</v>
      </c>
      <c r="T1209" s="599">
        <f>G1195</f>
        <v>0</v>
      </c>
      <c r="U1209" s="578"/>
      <c r="V1209" s="579">
        <f>G1209+G1210+G1211</f>
        <v>0</v>
      </c>
      <c r="W1209" s="579">
        <f>U1209-V1209</f>
        <v>0</v>
      </c>
      <c r="X1209" s="579">
        <f>IFERROR(W1223*W1209/(SUM(W1209:W1222)),0)</f>
        <v>0</v>
      </c>
      <c r="Y1209" s="879">
        <f>SUMIFS(בקרה!$S:$S,בקרה!$D:$D,T1209,בקרה!$K:$K,S1209)</f>
        <v>0</v>
      </c>
      <c r="Z1209" s="121"/>
      <c r="AA1209" s="143"/>
      <c r="AB1209" s="143"/>
      <c r="AC1209" s="504">
        <v>0</v>
      </c>
      <c r="AD1209" s="505">
        <f>IFERROR(U1209-AC1209,0)</f>
        <v>0</v>
      </c>
      <c r="AE1209" s="143"/>
      <c r="AI1209" s="20"/>
      <c r="BO1209" s="86"/>
    </row>
    <row r="1210" spans="1:67" ht="15" customHeight="1" thickBot="1" x14ac:dyDescent="0.3">
      <c r="A1210" s="520">
        <f>IFERROR(VLOOKUP($G$5,'רשימת רשויות'!A:C,3,0),0)</f>
        <v>0</v>
      </c>
      <c r="B1210" s="520">
        <f t="shared" si="166"/>
        <v>0</v>
      </c>
      <c r="D1210" s="1134"/>
      <c r="E1210" s="1137"/>
      <c r="F1210" s="589" t="s">
        <v>44</v>
      </c>
      <c r="G1210" s="123">
        <f>IF(G1200="תקין",IFERROR(VLOOKUP('בית ספר - תקצוב לפי מוסד (9)'!G1195,' איוש משרות (8)'!C:J,7,0),0),0)</f>
        <v>0</v>
      </c>
      <c r="H1210" s="124">
        <f>I1199+R1206+J1199</f>
        <v>0</v>
      </c>
      <c r="I1210" s="119">
        <f>IFERROR(SUM(G1210:G1211)/H1210,0)</f>
        <v>0</v>
      </c>
      <c r="J1210" s="100">
        <f>MIN(R1206+I1199,IF(ISNUMBER(SUM(G1210:G1211)),SUM(G1210:G1211),0))</f>
        <v>0</v>
      </c>
      <c r="K1210" s="1139">
        <f>MAX((H1210)-(G1210+G1211),0)</f>
        <v>0</v>
      </c>
      <c r="L1210" s="407"/>
      <c r="M1210" s="393"/>
      <c r="N1210" s="393"/>
      <c r="O1210" s="580"/>
      <c r="P1210" s="1140"/>
      <c r="Q1210" s="1140"/>
      <c r="R1210" s="617">
        <f>MAX(MIN(P1218-Q1218,H1218*0.15-G1216),0)</f>
        <v>0</v>
      </c>
      <c r="S1210" s="576"/>
      <c r="T1210" s="599">
        <f>G1195</f>
        <v>0</v>
      </c>
      <c r="U1210" s="578"/>
      <c r="V1210" s="579"/>
      <c r="W1210" s="579">
        <f t="shared" ref="W1210:W1222" si="171">U1210-V1210</f>
        <v>0</v>
      </c>
      <c r="X1210" s="579"/>
      <c r="Y1210" s="879"/>
      <c r="Z1210" s="121"/>
      <c r="AA1210" s="143"/>
      <c r="AB1210" s="143"/>
      <c r="AC1210" s="504"/>
      <c r="AD1210" s="505">
        <f t="shared" ref="AD1210:AD1216" si="172">IFERROR(U1210-AC1210,0)</f>
        <v>0</v>
      </c>
      <c r="AE1210" s="143"/>
      <c r="AI1210" s="20"/>
      <c r="BO1210" s="86"/>
    </row>
    <row r="1211" spans="1:67" ht="15.75" customHeight="1" x14ac:dyDescent="0.25">
      <c r="A1211" s="520">
        <f>IFERROR(VLOOKUP($G$5,'רשימת רשויות'!A:C,3,0),0)</f>
        <v>0</v>
      </c>
      <c r="B1211" s="520">
        <f t="shared" si="166"/>
        <v>0</v>
      </c>
      <c r="D1211" s="1134"/>
      <c r="E1211" s="1137"/>
      <c r="F1211" s="589" t="s">
        <v>45</v>
      </c>
      <c r="G1211" s="123">
        <f>IF(G1200="תקין",IFERROR(VLOOKUP('בית ספר - תקצוב לפי מוסד (9)'!G1195,' איוש משרות (8)'!C:J,8,0),0),0)</f>
        <v>0</v>
      </c>
      <c r="H1211" s="125"/>
      <c r="I1211" s="126"/>
      <c r="J1211" s="104"/>
      <c r="K1211" s="1139"/>
      <c r="L1211" s="407"/>
      <c r="M1211" s="393"/>
      <c r="N1211" s="393"/>
      <c r="O1211" s="580"/>
      <c r="P1211" s="1140"/>
      <c r="Q1211" s="1140"/>
      <c r="R1211" s="596"/>
      <c r="S1211" s="576"/>
      <c r="T1211" s="599">
        <f>G1195</f>
        <v>0</v>
      </c>
      <c r="U1211" s="578"/>
      <c r="V1211" s="579"/>
      <c r="W1211" s="579">
        <f t="shared" si="171"/>
        <v>0</v>
      </c>
      <c r="X1211" s="579"/>
      <c r="Y1211" s="879"/>
      <c r="Z1211" s="121"/>
      <c r="AA1211" s="143"/>
      <c r="AB1211" s="143"/>
      <c r="AC1211" s="504"/>
      <c r="AD1211" s="505">
        <f t="shared" si="172"/>
        <v>0</v>
      </c>
      <c r="AE1211" s="143"/>
      <c r="AG1211" s="55"/>
      <c r="AH1211" s="55"/>
      <c r="AI1211" s="55"/>
      <c r="AJ1211" s="55"/>
      <c r="AK1211" s="55"/>
      <c r="BO1211" s="86"/>
    </row>
    <row r="1212" spans="1:67" ht="15.75" customHeight="1" x14ac:dyDescent="0.25">
      <c r="A1212" s="520">
        <f>IFERROR(VLOOKUP($G$5,'רשימת רשויות'!A:C,3,0),0)</f>
        <v>0</v>
      </c>
      <c r="B1212" s="520">
        <f t="shared" si="166"/>
        <v>0</v>
      </c>
      <c r="D1212" s="1134"/>
      <c r="E1212" s="1137"/>
      <c r="F1212" s="589" t="s">
        <v>0</v>
      </c>
      <c r="G1212" s="117">
        <f>IF(G1200="תקין",SUMIFS('דוח הוצאות בפועל (4)'!$E$17:$E$3016,'דוח הוצאות בפועל (4)'!$B$17:$B$3016,'בית ספר - תקצוב לפי מוסד (9)'!$G1195,'דוח הוצאות בפועל (4)'!$M$17:$M$3016,"הע"),0)-Y1212</f>
        <v>0</v>
      </c>
      <c r="H1212" s="127">
        <f>J1197</f>
        <v>0</v>
      </c>
      <c r="I1212" s="128">
        <f>IFERROR(G1212/H1212,0)</f>
        <v>0</v>
      </c>
      <c r="J1212" s="129">
        <f>MIN(IF(ISNUMBER(G1212),G1212,0),H1212)</f>
        <v>0</v>
      </c>
      <c r="K1212" s="120">
        <f>MAX(H1212-G1212,0)</f>
        <v>0</v>
      </c>
      <c r="L1212" s="407"/>
      <c r="M1212" s="393"/>
      <c r="N1212" s="393"/>
      <c r="O1212" s="580"/>
      <c r="P1212" s="968">
        <f>MAX(IF(I1212&lt;100%,MIN((H1212-G1212),H1212*0.25),0),0)</f>
        <v>0</v>
      </c>
      <c r="Q1212" s="619">
        <f>IF(G1212-H1212&gt;0,G1212-H1212,0)</f>
        <v>0</v>
      </c>
      <c r="R1212" s="596"/>
      <c r="S1212" s="610" t="s">
        <v>0</v>
      </c>
      <c r="T1212" s="599">
        <f>G1195</f>
        <v>0</v>
      </c>
      <c r="U1212" s="578"/>
      <c r="V1212" s="579">
        <f>G1212</f>
        <v>0</v>
      </c>
      <c r="W1212" s="579">
        <f t="shared" si="171"/>
        <v>0</v>
      </c>
      <c r="X1212" s="579">
        <f>IFERROR(W1223*W1212/(SUM(W1209:W1222)),0)</f>
        <v>0</v>
      </c>
      <c r="Y1212" s="879">
        <f>SUMIFS(בקרה!$S:$S,בקרה!$D:$D,T1212,בקרה!$K:$K,S1212)</f>
        <v>0</v>
      </c>
      <c r="Z1212" s="121"/>
      <c r="AA1212" s="143"/>
      <c r="AB1212" s="143"/>
      <c r="AC1212" s="504">
        <v>0</v>
      </c>
      <c r="AD1212" s="505">
        <f t="shared" si="172"/>
        <v>0</v>
      </c>
      <c r="AE1212" s="143"/>
      <c r="AG1212" s="55"/>
      <c r="AH1212" s="55"/>
      <c r="AI1212" s="40"/>
      <c r="AJ1212" s="55"/>
      <c r="AK1212" s="55"/>
      <c r="BO1212" s="86"/>
    </row>
    <row r="1213" spans="1:67" s="55" customFormat="1" ht="15.75" customHeight="1" x14ac:dyDescent="0.25">
      <c r="A1213" s="520">
        <f>IFERROR(VLOOKUP($G$5,'רשימת רשויות'!A:C,3,0),0)</f>
        <v>0</v>
      </c>
      <c r="B1213" s="520">
        <f t="shared" si="166"/>
        <v>0</v>
      </c>
      <c r="C1213" s="39"/>
      <c r="D1213" s="1134"/>
      <c r="E1213" s="1137"/>
      <c r="F1213" s="589" t="s">
        <v>93</v>
      </c>
      <c r="G1213" s="130">
        <f>IF(G1200="תקין",SUMIFS('דוח הוצאות בפועל (4)'!$E$17:$E$3016,'דוח הוצאות בפועל (4)'!$B$17:$B$3016,'בית ספר - תקצוב לפי מוסד (9)'!$G1195,'דוח הוצאות בפועל (4)'!$M$17:$M$3016,"אר"),0)-Y1213</f>
        <v>0</v>
      </c>
      <c r="H1213" s="118">
        <f>$I1203</f>
        <v>0</v>
      </c>
      <c r="I1213" s="131">
        <f>IFERROR((G1213+G1214)/H1213,0)</f>
        <v>0</v>
      </c>
      <c r="J1213" s="100">
        <f>MIN((IF(ISNUMBER(G1213),G1213,0)+IF(ISNUMBER(G1214),G1214,0)),H1213)</f>
        <v>0</v>
      </c>
      <c r="K1213" s="1139">
        <f>MAX((H1213)-(G1213+G1214),0)</f>
        <v>0</v>
      </c>
      <c r="L1213" s="407"/>
      <c r="M1213" s="393"/>
      <c r="N1213" s="393"/>
      <c r="O1213" s="602"/>
      <c r="P1213" s="1141"/>
      <c r="Q1213" s="1142"/>
      <c r="R1213" s="596"/>
      <c r="S1213" s="610" t="s">
        <v>93</v>
      </c>
      <c r="T1213" s="599">
        <f>G1195</f>
        <v>0</v>
      </c>
      <c r="U1213" s="578"/>
      <c r="V1213" s="579">
        <f t="shared" ref="V1213:V1214" si="173">G1213</f>
        <v>0</v>
      </c>
      <c r="W1213" s="579">
        <f t="shared" si="171"/>
        <v>0</v>
      </c>
      <c r="X1213" s="579">
        <f>IFERROR(W1223*W1213/(SUM(W1209:W1222)),0)</f>
        <v>0</v>
      </c>
      <c r="Y1213" s="879">
        <f>SUMIFS(בקרה!$S:$S,בקרה!$D:$D,T1213,בקרה!$K:$K,S1213)</f>
        <v>0</v>
      </c>
      <c r="Z1213" s="121"/>
      <c r="AA1213" s="143"/>
      <c r="AB1213" s="143"/>
      <c r="AC1213" s="504">
        <v>0</v>
      </c>
      <c r="AD1213" s="505">
        <f t="shared" si="172"/>
        <v>0</v>
      </c>
      <c r="AE1213" s="143"/>
      <c r="AJ1213" s="22"/>
      <c r="AO1213" s="22"/>
      <c r="AP1213" s="22"/>
      <c r="AQ1213" s="22"/>
      <c r="AR1213" s="22"/>
      <c r="AS1213" s="22"/>
      <c r="AT1213" s="22"/>
      <c r="AU1213" s="35"/>
      <c r="AV1213" s="35"/>
      <c r="AW1213" s="35"/>
      <c r="AX1213" s="35"/>
      <c r="AY1213" s="35"/>
      <c r="AZ1213" s="35"/>
      <c r="BA1213" s="35"/>
      <c r="BB1213" s="35"/>
      <c r="BC1213" s="35"/>
      <c r="BD1213" s="35"/>
      <c r="BE1213" s="35"/>
      <c r="BF1213" s="35"/>
      <c r="BG1213" s="35"/>
      <c r="BH1213" s="35"/>
      <c r="BI1213" s="35"/>
      <c r="BJ1213" s="35"/>
      <c r="BK1213" s="35"/>
      <c r="BL1213" s="35"/>
      <c r="BM1213" s="35"/>
      <c r="BN1213" s="35"/>
      <c r="BO1213" s="86"/>
    </row>
    <row r="1214" spans="1:67" s="55" customFormat="1" ht="15.75" customHeight="1" x14ac:dyDescent="0.25">
      <c r="A1214" s="520">
        <f>IFERROR(VLOOKUP($G$5,'רשימת רשויות'!A:C,3,0),0)</f>
        <v>0</v>
      </c>
      <c r="B1214" s="520">
        <f t="shared" si="166"/>
        <v>0</v>
      </c>
      <c r="C1214" s="39"/>
      <c r="D1214" s="1134"/>
      <c r="E1214" s="1137"/>
      <c r="F1214" s="589" t="s">
        <v>46</v>
      </c>
      <c r="G1214" s="130">
        <f>IF(G1200="תקין",SUMIFS('דוח הוצאות בפועל (4)'!$E$17:$E$3016,'דוח הוצאות בפועל (4)'!$B$17:$B$3016,'בית ספר - תקצוב לפי מוסד (9)'!$G1195,'דוח הוצאות בפועל (4)'!$M$17:$M$3016,"מל"),0)-Y1214</f>
        <v>0</v>
      </c>
      <c r="H1214" s="132"/>
      <c r="I1214" s="133"/>
      <c r="J1214" s="104"/>
      <c r="K1214" s="1139"/>
      <c r="L1214" s="407"/>
      <c r="M1214" s="393"/>
      <c r="N1214" s="393"/>
      <c r="O1214" s="602"/>
      <c r="P1214" s="1141"/>
      <c r="Q1214" s="1142"/>
      <c r="R1214" s="596"/>
      <c r="S1214" s="610" t="s">
        <v>46</v>
      </c>
      <c r="T1214" s="599">
        <f>G1195</f>
        <v>0</v>
      </c>
      <c r="U1214" s="578"/>
      <c r="V1214" s="579">
        <f t="shared" si="173"/>
        <v>0</v>
      </c>
      <c r="W1214" s="579">
        <f t="shared" si="171"/>
        <v>0</v>
      </c>
      <c r="X1214" s="579">
        <f>IFERROR(W1223*W1214/(SUM(W1209:W1222)),0)</f>
        <v>0</v>
      </c>
      <c r="Y1214" s="879">
        <f>SUMIFS(בקרה!$S:$S,בקרה!$D:$D,T1214,בקרה!$K:$K,S1214)</f>
        <v>0</v>
      </c>
      <c r="Z1214" s="121"/>
      <c r="AA1214" s="143"/>
      <c r="AB1214" s="143"/>
      <c r="AC1214" s="504">
        <v>0</v>
      </c>
      <c r="AD1214" s="505">
        <f t="shared" si="172"/>
        <v>0</v>
      </c>
      <c r="AE1214" s="143"/>
      <c r="AJ1214" s="22"/>
      <c r="AO1214" s="22"/>
      <c r="AP1214" s="22"/>
      <c r="AQ1214" s="22"/>
      <c r="AR1214" s="22"/>
      <c r="AS1214" s="22"/>
      <c r="AT1214" s="22"/>
      <c r="AU1214" s="35"/>
      <c r="AV1214" s="35"/>
      <c r="AW1214" s="35"/>
      <c r="AX1214" s="35"/>
      <c r="AY1214" s="35"/>
      <c r="AZ1214" s="35"/>
      <c r="BA1214" s="35"/>
      <c r="BB1214" s="35"/>
      <c r="BC1214" s="35"/>
      <c r="BD1214" s="35"/>
      <c r="BE1214" s="35"/>
      <c r="BF1214" s="35"/>
      <c r="BG1214" s="35"/>
      <c r="BH1214" s="35"/>
      <c r="BI1214" s="35"/>
      <c r="BJ1214" s="35"/>
      <c r="BK1214" s="35"/>
      <c r="BL1214" s="35"/>
      <c r="BM1214" s="35"/>
      <c r="BN1214" s="35"/>
      <c r="BO1214" s="86"/>
    </row>
    <row r="1215" spans="1:67" s="55" customFormat="1" ht="15" customHeight="1" x14ac:dyDescent="0.25">
      <c r="A1215" s="520">
        <f>IFERROR(VLOOKUP($G$5,'רשימת רשויות'!A:C,3,0),0)</f>
        <v>0</v>
      </c>
      <c r="B1215" s="520">
        <f t="shared" si="166"/>
        <v>0</v>
      </c>
      <c r="C1215" s="39"/>
      <c r="D1215" s="1134"/>
      <c r="E1215" s="1137"/>
      <c r="F1215" s="591" t="s">
        <v>23</v>
      </c>
      <c r="G1215" s="134">
        <f>SUM(G1209:G1214)</f>
        <v>0</v>
      </c>
      <c r="H1215" s="135">
        <f>SUM(H1209:H1214)</f>
        <v>0</v>
      </c>
      <c r="I1215" s="128">
        <f>IFERROR(G1215/H1215,0)</f>
        <v>0</v>
      </c>
      <c r="J1215" s="136">
        <f>SUM(J1209:J1214)</f>
        <v>0</v>
      </c>
      <c r="K1215" s="137">
        <f>SUM(K1209:K1214)</f>
        <v>0</v>
      </c>
      <c r="L1215" s="408"/>
      <c r="M1215" s="394"/>
      <c r="N1215" s="394"/>
      <c r="O1215" s="602"/>
      <c r="P1215" s="620">
        <f>SUM(P1209:P1214)</f>
        <v>0</v>
      </c>
      <c r="Q1215" s="620">
        <f>SUM(Q1209:Q1214)</f>
        <v>0</v>
      </c>
      <c r="R1215" s="596"/>
      <c r="S1215" s="610"/>
      <c r="T1215" s="599">
        <f>G1195</f>
        <v>0</v>
      </c>
      <c r="U1215" s="578"/>
      <c r="V1215" s="579"/>
      <c r="W1215" s="579">
        <f t="shared" si="171"/>
        <v>0</v>
      </c>
      <c r="X1215" s="579"/>
      <c r="Y1215" s="879"/>
      <c r="Z1215" s="121"/>
      <c r="AA1215" s="143"/>
      <c r="AB1215" s="143"/>
      <c r="AC1215" s="504"/>
      <c r="AD1215" s="505">
        <f t="shared" si="172"/>
        <v>0</v>
      </c>
      <c r="AE1215" s="143"/>
      <c r="AJ1215" s="22"/>
      <c r="AL1215" s="22"/>
      <c r="AM1215" s="22"/>
      <c r="AN1215" s="22"/>
      <c r="AO1215" s="22"/>
      <c r="AP1215" s="22"/>
      <c r="AQ1215" s="22"/>
      <c r="AR1215" s="22"/>
      <c r="AS1215" s="22"/>
      <c r="AT1215" s="22"/>
      <c r="AU1215" s="35"/>
      <c r="AV1215" s="35"/>
      <c r="AW1215" s="35"/>
      <c r="AX1215" s="35"/>
      <c r="AY1215" s="35"/>
      <c r="AZ1215" s="35"/>
      <c r="BA1215" s="35"/>
      <c r="BB1215" s="35"/>
      <c r="BC1215" s="35"/>
      <c r="BD1215" s="35"/>
      <c r="BE1215" s="35"/>
      <c r="BF1215" s="35"/>
      <c r="BG1215" s="35"/>
      <c r="BH1215" s="35"/>
      <c r="BI1215" s="35"/>
      <c r="BJ1215" s="35"/>
      <c r="BK1215" s="35"/>
      <c r="BL1215" s="35"/>
      <c r="BM1215" s="35"/>
      <c r="BN1215" s="35"/>
      <c r="BO1215" s="86"/>
    </row>
    <row r="1216" spans="1:67" s="55" customFormat="1" ht="15" customHeight="1" x14ac:dyDescent="0.25">
      <c r="A1216" s="520">
        <f>IFERROR(VLOOKUP($G$5,'רשימת רשויות'!A:C,3,0),0)</f>
        <v>0</v>
      </c>
      <c r="B1216" s="520">
        <f t="shared" si="166"/>
        <v>0</v>
      </c>
      <c r="C1216" s="39"/>
      <c r="D1216" s="1134"/>
      <c r="E1216" s="1137"/>
      <c r="F1216" s="589" t="s">
        <v>3</v>
      </c>
      <c r="G1216" s="117">
        <f>IF(G1200="תקין",SUMIFS('דוח הוצאות בפועל (4)'!$E$17:$E$3016,'דוח הוצאות בפועל (4)'!$B$17:$B$3016,'בית ספר - תקצוב לפי מוסד (9)'!$G1195,'דוח הוצאות בפועל (4)'!$M$17:$M$3016,"ני")+SUMIFS('דוח הוצאות בפועל (4)'!$E$17:$E$3016,'דוח הוצאות בפועל (4)'!$B$17:$B$3016,'בית ספר - תקצוב לפי מוסד (9)'!$G1195,'דוח הוצאות בפועל (4)'!$M$17:$M$3016,"על"),0)-Y1216</f>
        <v>0</v>
      </c>
      <c r="H1216" s="117">
        <f>H1197</f>
        <v>0</v>
      </c>
      <c r="I1216" s="138">
        <f>IFERROR(G1216/H1216,0)</f>
        <v>0</v>
      </c>
      <c r="J1216" s="117">
        <f>IFERROR(IF(G1216/H1218&gt;0.15,MIN(H1218*0.15,H1216),MIN(H1216,IF(ISNUMBER(G1216),G1216,0))),0)</f>
        <v>0</v>
      </c>
      <c r="K1216" s="120">
        <f>MAX(H1216-G1216,0)</f>
        <v>0</v>
      </c>
      <c r="L1216" s="407"/>
      <c r="M1216" s="393"/>
      <c r="N1216" s="393"/>
      <c r="O1216" s="602"/>
      <c r="P1216" s="620">
        <f>IF(I1216&lt;100%,MIN(H1216-G1216,H1216*0.25),0)</f>
        <v>0</v>
      </c>
      <c r="Q1216" s="620">
        <f>MAX(MIN(IF(G1216-H1216&gt;0,G1216-H1216,0),$H1218*0.15-H1216-J1217),0)</f>
        <v>0</v>
      </c>
      <c r="R1216" s="596"/>
      <c r="S1216" s="610" t="s">
        <v>3</v>
      </c>
      <c r="T1216" s="599">
        <f>G1195</f>
        <v>0</v>
      </c>
      <c r="U1216" s="578"/>
      <c r="V1216" s="579">
        <f t="shared" ref="V1216" si="174">G1216</f>
        <v>0</v>
      </c>
      <c r="W1216" s="579">
        <f t="shared" si="171"/>
        <v>0</v>
      </c>
      <c r="X1216" s="579"/>
      <c r="Y1216" s="879"/>
      <c r="Z1216" s="121"/>
      <c r="AA1216" s="143"/>
      <c r="AB1216" s="143"/>
      <c r="AC1216" s="504">
        <v>0</v>
      </c>
      <c r="AD1216" s="505">
        <f t="shared" si="172"/>
        <v>0</v>
      </c>
      <c r="AE1216" s="143"/>
      <c r="AG1216" s="22"/>
      <c r="AH1216" s="22"/>
      <c r="AI1216" s="22"/>
      <c r="AJ1216" s="22"/>
      <c r="AK1216" s="22"/>
      <c r="AL1216" s="22"/>
      <c r="AM1216" s="22"/>
      <c r="AN1216" s="22"/>
      <c r="AO1216" s="22"/>
      <c r="AP1216" s="22"/>
      <c r="AQ1216" s="22"/>
      <c r="AR1216" s="22"/>
      <c r="AS1216" s="22"/>
      <c r="AT1216" s="22"/>
      <c r="AU1216" s="35"/>
      <c r="AV1216" s="35"/>
      <c r="AW1216" s="35"/>
      <c r="AX1216" s="35"/>
      <c r="AY1216" s="35"/>
      <c r="AZ1216" s="35"/>
      <c r="BA1216" s="35"/>
      <c r="BB1216" s="35"/>
      <c r="BC1216" s="35"/>
      <c r="BD1216" s="35"/>
      <c r="BE1216" s="35"/>
      <c r="BF1216" s="35"/>
      <c r="BG1216" s="35"/>
      <c r="BH1216" s="35"/>
      <c r="BI1216" s="35"/>
      <c r="BJ1216" s="35"/>
      <c r="BK1216" s="35"/>
      <c r="BL1216" s="35"/>
      <c r="BM1216" s="35"/>
      <c r="BN1216" s="35"/>
      <c r="BO1216" s="86"/>
    </row>
    <row r="1217" spans="1:67" s="55" customFormat="1" ht="15.75" customHeight="1" x14ac:dyDescent="0.25">
      <c r="A1217" s="520">
        <f>IFERROR(VLOOKUP($G$5,'רשימת רשויות'!A:C,3,0),0)</f>
        <v>0</v>
      </c>
      <c r="B1217" s="520">
        <f t="shared" si="166"/>
        <v>0</v>
      </c>
      <c r="C1217" s="39"/>
      <c r="D1217" s="1134"/>
      <c r="E1217" s="1137"/>
      <c r="F1217" s="589" t="s">
        <v>2918</v>
      </c>
      <c r="G1217" s="117">
        <f>0.07*(G1211+G1210)</f>
        <v>0</v>
      </c>
      <c r="H1217" s="117">
        <f>H1199</f>
        <v>0</v>
      </c>
      <c r="I1217" s="138">
        <f>IFERROR(G1217/H1217,0)</f>
        <v>0</v>
      </c>
      <c r="J1217" s="117">
        <f>IFERROR(MIN(0.07*(G1210+G1211),0.07*I1199),0)</f>
        <v>0</v>
      </c>
      <c r="K1217" s="120">
        <f>MAX(H1217-G1217,0)</f>
        <v>0</v>
      </c>
      <c r="L1217" s="407"/>
      <c r="M1217" s="393"/>
      <c r="N1217" s="393"/>
      <c r="O1217" s="602"/>
      <c r="P1217" s="620"/>
      <c r="Q1217" s="619"/>
      <c r="R1217" s="596"/>
      <c r="S1217" s="611"/>
      <c r="T1217" s="599">
        <f>G1195</f>
        <v>0</v>
      </c>
      <c r="U1217" s="578"/>
      <c r="V1217" s="579"/>
      <c r="W1217" s="579">
        <f t="shared" si="171"/>
        <v>0</v>
      </c>
      <c r="X1217" s="579"/>
      <c r="Y1217" s="879"/>
      <c r="Z1217" s="121"/>
      <c r="AA1217" s="143"/>
      <c r="AB1217" s="143"/>
      <c r="AC1217" s="504"/>
      <c r="AD1217" s="505"/>
      <c r="AE1217" s="143"/>
      <c r="AF1217" s="140"/>
      <c r="AG1217" s="22"/>
      <c r="AH1217" s="22"/>
      <c r="AI1217" s="22"/>
      <c r="AJ1217" s="22"/>
      <c r="AK1217" s="22"/>
      <c r="AL1217" s="22"/>
      <c r="AM1217" s="22"/>
      <c r="AN1217" s="22"/>
      <c r="AO1217" s="22"/>
      <c r="AP1217" s="22"/>
      <c r="AQ1217" s="22"/>
      <c r="AR1217" s="22"/>
      <c r="AS1217" s="22"/>
      <c r="AT1217" s="22"/>
      <c r="AU1217" s="35"/>
      <c r="AV1217" s="35"/>
      <c r="AW1217" s="35"/>
      <c r="AX1217" s="35"/>
      <c r="AY1217" s="35"/>
      <c r="AZ1217" s="35"/>
      <c r="BA1217" s="35"/>
      <c r="BB1217" s="35"/>
      <c r="BC1217" s="35"/>
      <c r="BD1217" s="35"/>
      <c r="BE1217" s="35"/>
      <c r="BF1217" s="35"/>
      <c r="BG1217" s="35"/>
      <c r="BH1217" s="35"/>
      <c r="BI1217" s="35"/>
      <c r="BJ1217" s="35"/>
      <c r="BK1217" s="35"/>
      <c r="BL1217" s="35"/>
      <c r="BM1217" s="35"/>
      <c r="BN1217" s="35"/>
      <c r="BO1217" s="86"/>
    </row>
    <row r="1218" spans="1:67" ht="15.75" customHeight="1" x14ac:dyDescent="0.25">
      <c r="A1218" s="520">
        <f>IFERROR(VLOOKUP($G$5,'רשימת רשויות'!A:C,3,0),0)</f>
        <v>0</v>
      </c>
      <c r="B1218" s="520">
        <f t="shared" si="166"/>
        <v>0</v>
      </c>
      <c r="D1218" s="1134"/>
      <c r="E1218" s="1137"/>
      <c r="F1218" s="591" t="s">
        <v>15</v>
      </c>
      <c r="G1218" s="134">
        <f>G1215+G1216+G1217</f>
        <v>0</v>
      </c>
      <c r="H1218" s="134">
        <f>H1215+H1216+H1217</f>
        <v>0</v>
      </c>
      <c r="I1218" s="138">
        <f>IFERROR(G1218/H1218,0)</f>
        <v>0</v>
      </c>
      <c r="J1218" s="139">
        <f>J1215+J1216+J1217</f>
        <v>0</v>
      </c>
      <c r="K1218" s="137">
        <f>K1216+K1215+K1217</f>
        <v>0</v>
      </c>
      <c r="L1218" s="408"/>
      <c r="M1218" s="394"/>
      <c r="N1218" s="394"/>
      <c r="O1218" s="602"/>
      <c r="P1218" s="621">
        <f>SUM(P1215:P1216)</f>
        <v>0</v>
      </c>
      <c r="Q1218" s="622">
        <f>Q1215+Q1216</f>
        <v>0</v>
      </c>
      <c r="R1218" s="596"/>
      <c r="S1218" s="611"/>
      <c r="T1218" s="599">
        <f>G1195</f>
        <v>0</v>
      </c>
      <c r="U1218" s="578"/>
      <c r="V1218" s="579"/>
      <c r="W1218" s="579">
        <f t="shared" si="171"/>
        <v>0</v>
      </c>
      <c r="X1218" s="579"/>
      <c r="Y1218" s="879"/>
      <c r="Z1218" s="106"/>
      <c r="AC1218" s="504"/>
      <c r="AD1218" s="505"/>
      <c r="AH1218" s="143"/>
      <c r="BO1218" s="86"/>
    </row>
    <row r="1219" spans="1:67" ht="15.75" customHeight="1" x14ac:dyDescent="0.25">
      <c r="A1219" s="520">
        <f>IFERROR(VLOOKUP($G$5,'רשימת רשויות'!A:C,3,0),0)</f>
        <v>0</v>
      </c>
      <c r="B1219" s="520">
        <f t="shared" si="166"/>
        <v>0</v>
      </c>
      <c r="D1219" s="1134"/>
      <c r="E1219" s="1137"/>
      <c r="F1219" s="589" t="s">
        <v>2261</v>
      </c>
      <c r="G1219" s="117">
        <f>IF(G1200="תקין",SUMIF('תשלומי הורים ומלגות להורים (5) '!$B$18:$B$517,$G1195,'תשלומי הורים ומלגות להורים (5) '!$C$18:$C$517),0)</f>
        <v>0</v>
      </c>
      <c r="H1219" s="117">
        <f>(G1198+G1199)*$G$7</f>
        <v>0</v>
      </c>
      <c r="I1219" s="141"/>
      <c r="J1219" s="141"/>
      <c r="K1219" s="142"/>
      <c r="L1219" s="395"/>
      <c r="M1219" s="395"/>
      <c r="N1219" s="395"/>
      <c r="O1219" s="602"/>
      <c r="P1219" s="623"/>
      <c r="Q1219" s="619"/>
      <c r="R1219" s="596"/>
      <c r="S1219" s="612"/>
      <c r="T1219" s="599">
        <f>G1195</f>
        <v>0</v>
      </c>
      <c r="U1219" s="578"/>
      <c r="V1219" s="579"/>
      <c r="W1219" s="579">
        <f t="shared" si="171"/>
        <v>0</v>
      </c>
      <c r="X1219" s="579"/>
      <c r="Y1219" s="879"/>
      <c r="Z1219" s="121"/>
      <c r="AA1219" s="143"/>
      <c r="AB1219" s="143"/>
      <c r="AC1219" s="504"/>
      <c r="AD1219" s="505"/>
      <c r="AE1219" s="143"/>
      <c r="AF1219" s="148"/>
      <c r="BO1219" s="86"/>
    </row>
    <row r="1220" spans="1:67" ht="15.75" customHeight="1" thickBot="1" x14ac:dyDescent="0.3">
      <c r="A1220" s="520">
        <f>IFERROR(VLOOKUP($G$5,'רשימת רשויות'!A:C,3,0),0)</f>
        <v>0</v>
      </c>
      <c r="B1220" s="520">
        <f t="shared" si="166"/>
        <v>0</v>
      </c>
      <c r="D1220" s="1134"/>
      <c r="E1220" s="1137"/>
      <c r="F1220" s="592" t="s">
        <v>21</v>
      </c>
      <c r="G1220" s="144">
        <f>G1218-G1219</f>
        <v>0</v>
      </c>
      <c r="H1220" s="144">
        <f>H1218-H1219</f>
        <v>0</v>
      </c>
      <c r="I1220" s="145"/>
      <c r="J1220" s="145"/>
      <c r="K1220" s="146"/>
      <c r="L1220" s="396"/>
      <c r="M1220" s="396"/>
      <c r="N1220" s="396"/>
      <c r="O1220" s="602"/>
      <c r="P1220" s="619"/>
      <c r="Q1220" s="619"/>
      <c r="R1220" s="596"/>
      <c r="S1220" s="612"/>
      <c r="T1220" s="599">
        <f>G1195</f>
        <v>0</v>
      </c>
      <c r="U1220" s="578"/>
      <c r="V1220" s="579"/>
      <c r="W1220" s="579">
        <f t="shared" si="171"/>
        <v>0</v>
      </c>
      <c r="X1220" s="579"/>
      <c r="Y1220" s="879"/>
      <c r="Z1220" s="147"/>
      <c r="AA1220" s="148"/>
      <c r="AB1220" s="148"/>
      <c r="AC1220" s="504"/>
      <c r="AD1220" s="505"/>
      <c r="AE1220" s="148"/>
      <c r="AF1220" s="148"/>
      <c r="BO1220" s="86"/>
    </row>
    <row r="1221" spans="1:67" ht="15.75" customHeight="1" thickBot="1" x14ac:dyDescent="0.3">
      <c r="A1221" s="520">
        <f>IFERROR(VLOOKUP($G$5,'רשימת רשויות'!A:C,3,0),0)</f>
        <v>0</v>
      </c>
      <c r="B1221" s="520">
        <f t="shared" si="166"/>
        <v>0</v>
      </c>
      <c r="D1221" s="1134"/>
      <c r="E1221" s="1137"/>
      <c r="F1221" s="580"/>
      <c r="G1221" s="580"/>
      <c r="H1221" s="147"/>
      <c r="I1221" s="149" t="s">
        <v>2197</v>
      </c>
      <c r="J1221" s="150">
        <f>MAX(MIN(P1218,Q1218),0)</f>
        <v>0</v>
      </c>
      <c r="K1221" s="580"/>
      <c r="L1221" s="580"/>
      <c r="M1221" s="580"/>
      <c r="N1221" s="580"/>
      <c r="O1221" s="580"/>
      <c r="P1221" s="615" t="s">
        <v>2317</v>
      </c>
      <c r="Q1221" s="624">
        <f>SUM(Q1222:Q1223)</f>
        <v>0</v>
      </c>
      <c r="R1221" s="596"/>
      <c r="S1221" s="612"/>
      <c r="T1221" s="599">
        <f>G1195</f>
        <v>0</v>
      </c>
      <c r="U1221" s="578"/>
      <c r="V1221" s="579"/>
      <c r="W1221" s="579">
        <f t="shared" si="171"/>
        <v>0</v>
      </c>
      <c r="X1221" s="579"/>
      <c r="Y1221" s="879"/>
      <c r="Z1221" s="106"/>
      <c r="AC1221" s="504"/>
      <c r="AD1221" s="505"/>
      <c r="AF1221" s="148"/>
      <c r="BO1221" s="86"/>
    </row>
    <row r="1222" spans="1:67" ht="16.5" thickBot="1" x14ac:dyDescent="0.3">
      <c r="A1222" s="520">
        <f>IFERROR(VLOOKUP($G$5,'רשימת רשויות'!A:C,3,0),0)</f>
        <v>0</v>
      </c>
      <c r="B1222" s="520">
        <f t="shared" si="166"/>
        <v>0</v>
      </c>
      <c r="D1222" s="1134"/>
      <c r="E1222" s="1137"/>
      <c r="F1222" s="580"/>
      <c r="G1222" s="580"/>
      <c r="H1222" s="580"/>
      <c r="I1222" s="84" t="s">
        <v>2193</v>
      </c>
      <c r="J1222" s="515" t="str">
        <f>IFERROR(1-H1219/H1218,"")</f>
        <v/>
      </c>
      <c r="K1222" s="580"/>
      <c r="L1222" s="580"/>
      <c r="M1222" s="580"/>
      <c r="N1222" s="580"/>
      <c r="O1222" s="580"/>
      <c r="P1222" s="615" t="s">
        <v>417</v>
      </c>
      <c r="Q1222" s="616">
        <f>IFERROR(MAX(H1220-I1223-Q1223,0),0)</f>
        <v>0</v>
      </c>
      <c r="R1222" s="596"/>
      <c r="S1222" s="600"/>
      <c r="T1222" s="599">
        <f>G1195</f>
        <v>0</v>
      </c>
      <c r="U1222" s="578"/>
      <c r="V1222" s="579"/>
      <c r="W1222" s="579">
        <f t="shared" si="171"/>
        <v>0</v>
      </c>
      <c r="X1222" s="579"/>
      <c r="Y1222" s="879"/>
      <c r="Z1222" s="106"/>
      <c r="AC1222" s="504"/>
      <c r="AD1222" s="505"/>
      <c r="BO1222" s="86"/>
    </row>
    <row r="1223" spans="1:67" ht="17.25" thickBot="1" x14ac:dyDescent="0.3">
      <c r="A1223" s="520">
        <f>IFERROR(VLOOKUP($G$5,'רשימת רשויות'!A:C,3,0),0)</f>
        <v>0</v>
      </c>
      <c r="B1223" s="520">
        <f t="shared" si="166"/>
        <v>0</v>
      </c>
      <c r="D1223" s="1134"/>
      <c r="E1223" s="1137"/>
      <c r="F1223" s="1143" t="s">
        <v>2679</v>
      </c>
      <c r="G1223" s="1143"/>
      <c r="H1223" s="1143"/>
      <c r="I1223" s="722">
        <f>IF(G1200="לא תקין","לא קיימת זכאות לתקציב לאור אי איוש משרות רכז ו/או סגן רכז ",IFERROR(J1222*(J1221+J1218),0))</f>
        <v>0</v>
      </c>
      <c r="J1223" s="573"/>
      <c r="K1223" s="574"/>
      <c r="L1223" s="396"/>
      <c r="M1223" s="574"/>
      <c r="N1223" s="574"/>
      <c r="O1223" s="574"/>
      <c r="P1223" s="615" t="s">
        <v>2279</v>
      </c>
      <c r="Q1223" s="616">
        <f>MAX(IF(AND(G1218&gt;H1218,I1223&lt;H1220),H1220-I1223,0),0)</f>
        <v>0</v>
      </c>
      <c r="R1223" s="575"/>
      <c r="S1223" s="576" t="s">
        <v>67</v>
      </c>
      <c r="T1223" s="577">
        <f>G1195</f>
        <v>0</v>
      </c>
      <c r="U1223" s="578"/>
      <c r="V1223" s="579">
        <f>I1223</f>
        <v>0</v>
      </c>
      <c r="W1223" s="579">
        <f>IFERROR(U1223-V1223,0)</f>
        <v>0</v>
      </c>
      <c r="X1223" s="579">
        <f>SUM(X1209:X1222)</f>
        <v>0</v>
      </c>
      <c r="Y1223" s="879"/>
      <c r="Z1223" s="106"/>
      <c r="AC1223" s="506">
        <v>0</v>
      </c>
      <c r="AD1223" s="507">
        <f>IFERROR(U1223-AC1223,0)</f>
        <v>0</v>
      </c>
      <c r="BO1223" s="86"/>
    </row>
    <row r="1224" spans="1:67" ht="16.5" thickBot="1" x14ac:dyDescent="0.3">
      <c r="A1224" s="520">
        <f>IFERROR(VLOOKUP($G$5,'רשימת רשויות'!A:C,3,0),0)</f>
        <v>0</v>
      </c>
      <c r="B1224" s="520">
        <f t="shared" si="166"/>
        <v>0</v>
      </c>
      <c r="D1224" s="1135"/>
      <c r="E1224" s="1138"/>
      <c r="F1224" s="1144" t="s">
        <v>2793</v>
      </c>
      <c r="G1224" s="1145"/>
      <c r="H1224" s="1145"/>
      <c r="I1224" s="593">
        <f>IFERROR(IF(G1200="תקין",SUMIFS('סייעות רפואיות או אישיות (7)'!$Q$17:Q$384,'סייעות רפואיות או אישיות (7)'!C$17:C$384,G1195),0),0)</f>
        <v>0</v>
      </c>
      <c r="J1224" s="151"/>
      <c r="K1224" s="152"/>
      <c r="L1224" s="409"/>
      <c r="M1224" s="152"/>
      <c r="N1224" s="152"/>
      <c r="O1224" s="152"/>
      <c r="P1224" s="613"/>
      <c r="Q1224" s="614"/>
      <c r="R1224" s="475"/>
      <c r="S1224" s="489"/>
      <c r="T1224" s="490"/>
      <c r="U1224" s="491"/>
      <c r="V1224" s="492"/>
      <c r="W1224" s="492"/>
      <c r="X1224" s="492"/>
      <c r="Y1224" s="880"/>
      <c r="Z1224" s="153"/>
      <c r="AC1224" s="581"/>
      <c r="AD1224" s="582"/>
      <c r="BO1224" s="86"/>
    </row>
    <row r="1225" spans="1:67" ht="34.5" thickBot="1" x14ac:dyDescent="0.55000000000000004">
      <c r="A1225" s="520">
        <f>IFERROR(VLOOKUP($G$5,'רשימת רשויות'!A:C,3,0),0)</f>
        <v>0</v>
      </c>
      <c r="B1225" s="520">
        <f t="shared" si="166"/>
        <v>0</v>
      </c>
      <c r="E1225" s="154"/>
      <c r="I1225" s="143"/>
      <c r="J1225" s="148"/>
      <c r="O1225" s="148"/>
      <c r="T1225" s="481"/>
      <c r="BO1225" s="86"/>
    </row>
    <row r="1226" spans="1:67" s="20" customFormat="1" ht="16.5" customHeight="1" thickBot="1" x14ac:dyDescent="0.3">
      <c r="A1226" s="520">
        <f>IFERROR(VLOOKUP($G$5,'רשימת רשויות'!A:C,3,0),0)</f>
        <v>0</v>
      </c>
      <c r="B1226" s="520">
        <f t="shared" si="166"/>
        <v>0</v>
      </c>
      <c r="C1226" s="39"/>
      <c r="D1226" s="1133">
        <f>D1195+1</f>
        <v>40</v>
      </c>
      <c r="E1226" s="1136" t="str">
        <f>IFERROR(CONCATENATE("בית הספר ",VLOOKUP(G1226,'מצבת והרשמה (2)'!$C$21:$D$520,2,0)," - ",$G$5),"")</f>
        <v>בית הספר המוסד לא קיים - 0</v>
      </c>
      <c r="F1226" s="720" t="s">
        <v>146</v>
      </c>
      <c r="G1226" s="721">
        <f>IFERROR(VLOOKUP(D:D,'דוח ביצוע (3)'!$A$21:$C$900,2,0),0)</f>
        <v>0</v>
      </c>
      <c r="H1226" s="79"/>
      <c r="I1226" s="80" t="s">
        <v>150</v>
      </c>
      <c r="J1226" s="80"/>
      <c r="K1226" s="81"/>
      <c r="L1226" s="392"/>
      <c r="M1226" s="392"/>
      <c r="N1226" s="392"/>
      <c r="O1226" s="82"/>
      <c r="P1226" s="470"/>
      <c r="Q1226" s="471"/>
      <c r="R1226" s="472"/>
      <c r="S1226" s="883"/>
      <c r="T1226" s="884"/>
      <c r="U1226" s="486"/>
      <c r="V1226" s="487"/>
      <c r="W1226" s="487"/>
      <c r="X1226" s="487"/>
      <c r="Y1226" s="885"/>
      <c r="Z1226" s="83"/>
      <c r="AC1226" s="502"/>
      <c r="AD1226" s="503"/>
      <c r="AO1226" s="22"/>
      <c r="AP1226" s="22"/>
      <c r="AQ1226" s="22"/>
      <c r="AR1226" s="22"/>
      <c r="AS1226" s="22"/>
      <c r="AT1226" s="22"/>
      <c r="AU1226" s="35"/>
      <c r="AV1226" s="35"/>
      <c r="AW1226" s="35"/>
      <c r="AX1226" s="35"/>
      <c r="AY1226" s="35"/>
      <c r="AZ1226" s="35"/>
      <c r="BA1226" s="35"/>
      <c r="BB1226" s="35"/>
      <c r="BC1226" s="35"/>
      <c r="BD1226" s="35"/>
      <c r="BE1226" s="35"/>
      <c r="BF1226" s="35"/>
      <c r="BG1226" s="35"/>
      <c r="BH1226" s="35"/>
      <c r="BI1226" s="35"/>
      <c r="BJ1226" s="35"/>
      <c r="BK1226" s="35"/>
      <c r="BL1226" s="35"/>
      <c r="BM1226" s="35"/>
      <c r="BN1226" s="35"/>
      <c r="BO1226" s="78"/>
    </row>
    <row r="1227" spans="1:67" s="20" customFormat="1" ht="16.5" thickBot="1" x14ac:dyDescent="0.3">
      <c r="A1227" s="520">
        <f>IFERROR(VLOOKUP($G$5,'רשימת רשויות'!A:C,3,0),0)</f>
        <v>0</v>
      </c>
      <c r="B1227" s="520">
        <f t="shared" si="166"/>
        <v>0</v>
      </c>
      <c r="C1227" s="39"/>
      <c r="D1227" s="1134"/>
      <c r="E1227" s="1137"/>
      <c r="F1227" s="583" t="s">
        <v>145</v>
      </c>
      <c r="G1227" s="516" t="str">
        <f>IFERROR(IF((G1229+G1230)=0,"",IF(VLOOKUP(G1226,'דוח ביצוע (3)'!$B$21:$K$900,5,0)&gt;149,"גדול",IF(AND(VLOOKUP(G1226,'דוח ביצוע (3)'!$B$21:$K$900,5,0)&gt;0,VLOOKUP(G1226,'דוח ביצוע (3)'!$B$21:$K$900,5,0)&lt;150),"קטן",0))),"")</f>
        <v/>
      </c>
      <c r="H1227" s="723" t="s">
        <v>88</v>
      </c>
      <c r="I1227" s="723" t="s">
        <v>13</v>
      </c>
      <c r="J1227" s="725" t="s">
        <v>14</v>
      </c>
      <c r="K1227" s="724" t="s">
        <v>94</v>
      </c>
      <c r="L1227" s="594"/>
      <c r="M1227" s="420" t="s">
        <v>2584</v>
      </c>
      <c r="N1227" s="397" t="s">
        <v>413</v>
      </c>
      <c r="O1227" s="398" t="s">
        <v>52</v>
      </c>
      <c r="P1227" s="595"/>
      <c r="Q1227" s="595"/>
      <c r="R1227" s="596"/>
      <c r="S1227" s="610"/>
      <c r="T1227" s="881"/>
      <c r="U1227" s="598"/>
      <c r="V1227" s="599"/>
      <c r="W1227" s="599"/>
      <c r="X1227" s="599"/>
      <c r="Y1227" s="879"/>
      <c r="Z1227" s="85"/>
      <c r="AC1227" s="493"/>
      <c r="AD1227" s="495"/>
      <c r="AO1227" s="22"/>
      <c r="AP1227" s="22"/>
      <c r="AQ1227" s="22"/>
      <c r="AR1227" s="22"/>
      <c r="AS1227" s="22"/>
      <c r="AT1227" s="22"/>
      <c r="AU1227" s="35"/>
      <c r="AV1227" s="35"/>
      <c r="AW1227" s="35"/>
      <c r="AX1227" s="35"/>
      <c r="AY1227" s="35"/>
      <c r="AZ1227" s="35"/>
      <c r="BA1227" s="35"/>
      <c r="BB1227" s="35"/>
      <c r="BC1227" s="35"/>
      <c r="BD1227" s="35"/>
      <c r="BE1227" s="35"/>
      <c r="BF1227" s="35"/>
      <c r="BG1227" s="35"/>
      <c r="BH1227" s="35"/>
      <c r="BI1227" s="35"/>
      <c r="BJ1227" s="35"/>
      <c r="BK1227" s="35"/>
      <c r="BL1227" s="35"/>
      <c r="BM1227" s="35"/>
      <c r="BN1227" s="35"/>
      <c r="BO1227" s="78"/>
    </row>
    <row r="1228" spans="1:67" s="20" customFormat="1" ht="15.75" customHeight="1" thickBot="1" x14ac:dyDescent="0.3">
      <c r="A1228" s="520">
        <f>IFERROR(VLOOKUP($G$5,'רשימת רשויות'!A:C,3,0),0)</f>
        <v>0</v>
      </c>
      <c r="B1228" s="520">
        <f t="shared" si="166"/>
        <v>0</v>
      </c>
      <c r="C1228" s="39"/>
      <c r="D1228" s="1134"/>
      <c r="E1228" s="1137"/>
      <c r="F1228" s="584" t="s">
        <v>144</v>
      </c>
      <c r="G1228" s="87">
        <f>IF(G1231="תקין",IFERROR(VLOOKUP($G1226,'דוח ביצוע (3)'!$B$21:$Q$900,12,0),0),0)</f>
        <v>0</v>
      </c>
      <c r="H1228" s="88">
        <f>IFERROR(G1229*$AH$6+G1230*$AH$7,0)</f>
        <v>0</v>
      </c>
      <c r="I1228" s="88">
        <f>IFERROR(G1229*$AI$6+G1230*$AI$7,0)</f>
        <v>0</v>
      </c>
      <c r="J1228" s="88">
        <f>IFERROR(G1229*$AJ$6+G1230*$AJ$7,0)</f>
        <v>0</v>
      </c>
      <c r="K1228" s="88">
        <f>IFERROR(G1229*$AK$6+G1230*$AK$7,0)</f>
        <v>0</v>
      </c>
      <c r="L1228" s="405"/>
      <c r="M1228" s="399" t="s">
        <v>427</v>
      </c>
      <c r="N1228" s="400" t="str">
        <f>IFERROR(VLOOKUP($G1226,'דוח ביצוע (3)'!$B:$AE,28,0),"")</f>
        <v/>
      </c>
      <c r="O1228" s="89" t="str">
        <f>IFERROR(VLOOKUP($G1226,'דוח ביצוע (3)'!B:AE,29,0),"")</f>
        <v/>
      </c>
      <c r="P1228" s="595"/>
      <c r="Q1228" s="595"/>
      <c r="R1228" s="596"/>
      <c r="S1228" s="610"/>
      <c r="T1228" s="881"/>
      <c r="U1228" s="598"/>
      <c r="V1228" s="599"/>
      <c r="W1228" s="599"/>
      <c r="X1228" s="599"/>
      <c r="Y1228" s="879"/>
      <c r="Z1228" s="85"/>
      <c r="AC1228" s="493"/>
      <c r="AD1228" s="495"/>
      <c r="AO1228" s="22"/>
      <c r="AP1228" s="22"/>
      <c r="AQ1228" s="22"/>
      <c r="AR1228" s="22"/>
      <c r="AS1228" s="22"/>
      <c r="AT1228" s="22"/>
      <c r="AU1228" s="35"/>
      <c r="AV1228" s="35"/>
      <c r="AW1228" s="35"/>
      <c r="AX1228" s="35"/>
      <c r="AY1228" s="35"/>
      <c r="AZ1228" s="35"/>
      <c r="BA1228" s="35"/>
      <c r="BB1228" s="35"/>
      <c r="BC1228" s="35"/>
      <c r="BD1228" s="35"/>
      <c r="BE1228" s="35"/>
      <c r="BF1228" s="35"/>
      <c r="BG1228" s="35"/>
      <c r="BH1228" s="35"/>
      <c r="BI1228" s="35"/>
      <c r="BJ1228" s="35"/>
      <c r="BK1228" s="35"/>
      <c r="BL1228" s="35"/>
      <c r="BM1228" s="35"/>
      <c r="BN1228" s="35"/>
      <c r="BO1228" s="78"/>
    </row>
    <row r="1229" spans="1:67" s="20" customFormat="1" ht="32.25" thickBot="1" x14ac:dyDescent="0.3">
      <c r="A1229" s="520">
        <f>IFERROR(VLOOKUP($G$5,'רשימת רשויות'!A:C,3,0),0)</f>
        <v>0</v>
      </c>
      <c r="B1229" s="520">
        <f t="shared" si="166"/>
        <v>0</v>
      </c>
      <c r="C1229" s="39"/>
      <c r="D1229" s="1134"/>
      <c r="E1229" s="1137"/>
      <c r="F1229" s="585" t="s">
        <v>2195</v>
      </c>
      <c r="G1229" s="89">
        <f>IF(G1231="תקין",MAX(N1231,0),0)</f>
        <v>0</v>
      </c>
      <c r="H1229" s="725" t="s">
        <v>151</v>
      </c>
      <c r="I1229" s="725" t="s">
        <v>91</v>
      </c>
      <c r="J1229" s="970" t="s">
        <v>3396</v>
      </c>
      <c r="K1229" s="601"/>
      <c r="L1229" s="601"/>
      <c r="M1229" s="983" t="s">
        <v>2585</v>
      </c>
      <c r="N1229" s="400" t="str">
        <f>IFERROR(G1228/15*N1228*1.25,"")</f>
        <v/>
      </c>
      <c r="O1229" s="89" t="str">
        <f>IFERROR(G1228/15*O1228*1.25,"")</f>
        <v/>
      </c>
      <c r="P1229" s="595"/>
      <c r="Q1229" s="595"/>
      <c r="R1229" s="596"/>
      <c r="S1229" s="610"/>
      <c r="T1229" s="881"/>
      <c r="U1229" s="598"/>
      <c r="V1229" s="599"/>
      <c r="W1229" s="599"/>
      <c r="X1229" s="599"/>
      <c r="Y1229" s="879"/>
      <c r="Z1229" s="85"/>
      <c r="AC1229" s="493"/>
      <c r="AD1229" s="495"/>
      <c r="AG1229" s="22"/>
      <c r="AH1229" s="55"/>
      <c r="AI1229" s="55"/>
      <c r="AJ1229" s="55"/>
      <c r="AK1229" s="55"/>
      <c r="AO1229" s="22"/>
      <c r="AP1229" s="22"/>
      <c r="AQ1229" s="22"/>
      <c r="AR1229" s="22"/>
      <c r="AS1229" s="22"/>
      <c r="AT1229" s="22"/>
      <c r="AU1229" s="35"/>
      <c r="AV1229" s="35"/>
      <c r="AW1229" s="35"/>
      <c r="AX1229" s="35"/>
      <c r="AY1229" s="35"/>
      <c r="AZ1229" s="35"/>
      <c r="BA1229" s="35"/>
      <c r="BB1229" s="35"/>
      <c r="BC1229" s="35"/>
      <c r="BD1229" s="35"/>
      <c r="BE1229" s="35"/>
      <c r="BF1229" s="35"/>
      <c r="BG1229" s="35"/>
      <c r="BH1229" s="35"/>
      <c r="BI1229" s="35"/>
      <c r="BJ1229" s="35"/>
      <c r="BK1229" s="35"/>
      <c r="BL1229" s="35"/>
      <c r="BM1229" s="35"/>
      <c r="BN1229" s="35"/>
      <c r="BO1229" s="86"/>
    </row>
    <row r="1230" spans="1:67" s="20" customFormat="1" ht="16.5" thickBot="1" x14ac:dyDescent="0.3">
      <c r="A1230" s="520">
        <f>IFERROR(VLOOKUP($G$5,'רשימת רשויות'!A:C,3,0),0)</f>
        <v>0</v>
      </c>
      <c r="B1230" s="520">
        <f t="shared" ref="B1230:B1293" si="175">IF(F1231="סמל המוסד",G1231,B1229)</f>
        <v>0</v>
      </c>
      <c r="C1230" s="39"/>
      <c r="D1230" s="1134"/>
      <c r="E1230" s="1137"/>
      <c r="F1230" s="585" t="s">
        <v>2196</v>
      </c>
      <c r="G1230" s="89">
        <f>IF(G1231="תקין",MAX(O1231,0),0)</f>
        <v>0</v>
      </c>
      <c r="H1230" s="88">
        <f>(IFERROR(IF((G1229+G1230)=0,0,IF(G1227="קטן",G1228*$AH$10,G1228*$AH$11)),0))+(IFERROR(IF((G1229+G1230)=0,0,VLOOKUP(G1226,'דוח ביצוע (3)'!$B:$AH,33,0)),0))</f>
        <v>0</v>
      </c>
      <c r="I1230" s="88">
        <f>IFERROR(IF((G1229+G1230)=0,0,IF(G1227="קטן",G1228*$AI$10,G1228*$AI$11)),0)</f>
        <v>0</v>
      </c>
      <c r="J1230" s="88">
        <f>IFERROR(IF((G1229+G1230)=0,0,VLOOKUP(G1226,'דוח ביצוע (3)'!$B:$AH,32,0)),0)</f>
        <v>0</v>
      </c>
      <c r="K1230" s="90"/>
      <c r="L1230" s="90"/>
      <c r="M1230" s="399" t="s">
        <v>412</v>
      </c>
      <c r="N1230" s="400">
        <f>IFERROR(VLOOKUP($G1226,'דוח ביצוע (3)'!$B$21:$U$500,18,0),0)</f>
        <v>0</v>
      </c>
      <c r="O1230" s="401">
        <f>IFERROR(VLOOKUP($G1226,'דוח ביצוע (3)'!$B$21:$U$500,19,0),0)</f>
        <v>0</v>
      </c>
      <c r="P1230" s="595"/>
      <c r="Q1230" s="595"/>
      <c r="R1230" s="596"/>
      <c r="S1230" s="610"/>
      <c r="T1230" s="881"/>
      <c r="U1230" s="598"/>
      <c r="V1230" s="599"/>
      <c r="W1230" s="599"/>
      <c r="X1230" s="599"/>
      <c r="Y1230" s="879"/>
      <c r="Z1230" s="85"/>
      <c r="AC1230" s="493"/>
      <c r="AD1230" s="495"/>
      <c r="AG1230" s="22"/>
      <c r="AH1230" s="55"/>
      <c r="AI1230" s="55"/>
      <c r="AJ1230" s="55"/>
      <c r="AK1230" s="55"/>
      <c r="AO1230" s="22"/>
      <c r="AP1230" s="22"/>
      <c r="AQ1230" s="22"/>
      <c r="AR1230" s="22"/>
      <c r="AS1230" s="22"/>
      <c r="AT1230" s="22"/>
      <c r="AU1230" s="35"/>
      <c r="AV1230" s="35"/>
      <c r="AW1230" s="35"/>
      <c r="AX1230" s="35"/>
      <c r="AY1230" s="35"/>
      <c r="AZ1230" s="35"/>
      <c r="BA1230" s="35"/>
      <c r="BB1230" s="35"/>
      <c r="BC1230" s="35"/>
      <c r="BD1230" s="35"/>
      <c r="BE1230" s="35"/>
      <c r="BF1230" s="35"/>
      <c r="BG1230" s="35"/>
      <c r="BH1230" s="35"/>
      <c r="BI1230" s="35"/>
      <c r="BJ1230" s="35"/>
      <c r="BK1230" s="35"/>
      <c r="BL1230" s="35"/>
      <c r="BM1230" s="35"/>
      <c r="BN1230" s="35"/>
      <c r="BO1230" s="86"/>
    </row>
    <row r="1231" spans="1:67" s="20" customFormat="1" ht="16.5" thickBot="1" x14ac:dyDescent="0.3">
      <c r="A1231" s="520">
        <f>IFERROR(VLOOKUP($G$5,'רשימת רשויות'!A:C,3,0),0)</f>
        <v>0</v>
      </c>
      <c r="B1231" s="520">
        <f t="shared" si="175"/>
        <v>0</v>
      </c>
      <c r="C1231" s="39"/>
      <c r="D1231" s="1134"/>
      <c r="E1231" s="1137"/>
      <c r="F1231" s="586" t="s">
        <v>2355</v>
      </c>
      <c r="G1231" s="514">
        <f>IFERROR(IF(VLOOKUP('בית ספר - תקצוב לפי מוסד (9)'!G1226,' איוש משרות (8)'!$C:$K,9,0)="תקין","תקין","לא תקין"),0)</f>
        <v>0</v>
      </c>
      <c r="H1231" s="91"/>
      <c r="I1231" s="91"/>
      <c r="J1231" s="91"/>
      <c r="K1231" s="90"/>
      <c r="L1231" s="90"/>
      <c r="M1231" s="402" t="s">
        <v>2586</v>
      </c>
      <c r="N1231" s="403">
        <f>IFERROR(MIN(N1229,N1230),0)</f>
        <v>0</v>
      </c>
      <c r="O1231" s="404">
        <f>IFERROR(MIN(O1229,O1230),0)</f>
        <v>0</v>
      </c>
      <c r="P1231" s="595"/>
      <c r="Q1231" s="595"/>
      <c r="R1231" s="596"/>
      <c r="S1231" s="610"/>
      <c r="T1231" s="881"/>
      <c r="U1231" s="598"/>
      <c r="V1231" s="599"/>
      <c r="W1231" s="599"/>
      <c r="X1231" s="599"/>
      <c r="Y1231" s="879"/>
      <c r="Z1231" s="85"/>
      <c r="AC1231" s="493"/>
      <c r="AD1231" s="495"/>
      <c r="AG1231" s="94"/>
      <c r="AH1231" s="40"/>
      <c r="AI1231" s="40"/>
      <c r="AJ1231" s="40"/>
      <c r="AK1231" s="40"/>
      <c r="AO1231" s="22"/>
      <c r="AP1231" s="22"/>
      <c r="AQ1231" s="22"/>
      <c r="AR1231" s="22"/>
      <c r="AS1231" s="22"/>
      <c r="AT1231" s="22"/>
      <c r="AU1231" s="35"/>
      <c r="AV1231" s="35"/>
      <c r="AW1231" s="35"/>
      <c r="AX1231" s="35"/>
      <c r="AY1231" s="35"/>
      <c r="AZ1231" s="35"/>
      <c r="BA1231" s="35"/>
      <c r="BB1231" s="35"/>
      <c r="BC1231" s="35"/>
      <c r="BD1231" s="35"/>
      <c r="BE1231" s="35"/>
      <c r="BF1231" s="35"/>
      <c r="BG1231" s="35"/>
      <c r="BH1231" s="35"/>
      <c r="BI1231" s="35"/>
      <c r="BJ1231" s="35"/>
      <c r="BK1231" s="35"/>
      <c r="BL1231" s="35"/>
      <c r="BM1231" s="35"/>
      <c r="BN1231" s="35"/>
      <c r="BO1231" s="86"/>
    </row>
    <row r="1232" spans="1:67" s="55" customFormat="1" ht="37.15" customHeight="1" thickBot="1" x14ac:dyDescent="0.3">
      <c r="A1232" s="520">
        <f>IFERROR(VLOOKUP($G$5,'רשימת רשויות'!A:C,3,0),0)</f>
        <v>0</v>
      </c>
      <c r="B1232" s="520">
        <f t="shared" si="175"/>
        <v>0</v>
      </c>
      <c r="C1232" s="39"/>
      <c r="D1232" s="1134"/>
      <c r="E1232" s="1137"/>
      <c r="F1232" s="587" t="s">
        <v>142</v>
      </c>
      <c r="G1232" s="92"/>
      <c r="H1232" s="92"/>
      <c r="I1232" s="92"/>
      <c r="J1232" s="92"/>
      <c r="K1232" s="602"/>
      <c r="L1232" s="602"/>
      <c r="M1232" s="602"/>
      <c r="N1232" s="602"/>
      <c r="O1232" s="602"/>
      <c r="P1232" s="595"/>
      <c r="Q1232" s="595"/>
      <c r="R1232" s="596"/>
      <c r="S1232" s="610"/>
      <c r="T1232" s="881"/>
      <c r="U1232" s="598"/>
      <c r="V1232" s="599"/>
      <c r="W1232" s="599"/>
      <c r="X1232" s="599"/>
      <c r="Y1232" s="879"/>
      <c r="Z1232" s="93"/>
      <c r="AC1232" s="493"/>
      <c r="AD1232" s="495"/>
      <c r="AF1232" s="22"/>
      <c r="AG1232" s="98"/>
      <c r="AH1232" s="98"/>
      <c r="AI1232" s="40"/>
      <c r="AJ1232" s="40"/>
      <c r="AK1232" s="40"/>
      <c r="AO1232" s="22"/>
      <c r="AP1232" s="22"/>
      <c r="AQ1232" s="22"/>
      <c r="AR1232" s="22"/>
      <c r="AS1232" s="22"/>
      <c r="AT1232" s="22"/>
      <c r="AU1232" s="35"/>
      <c r="AV1232" s="35"/>
      <c r="AW1232" s="35"/>
      <c r="AX1232" s="35"/>
      <c r="AY1232" s="35"/>
      <c r="AZ1232" s="35"/>
      <c r="BA1232" s="35"/>
      <c r="BB1232" s="35"/>
      <c r="BC1232" s="35"/>
      <c r="BD1232" s="35"/>
      <c r="BE1232" s="35"/>
      <c r="BF1232" s="35"/>
      <c r="BG1232" s="35"/>
      <c r="BH1232" s="35"/>
      <c r="BI1232" s="35"/>
      <c r="BJ1232" s="35"/>
      <c r="BK1232" s="35"/>
      <c r="BL1232" s="35"/>
      <c r="BM1232" s="35"/>
      <c r="BN1232" s="35"/>
      <c r="BO1232" s="86"/>
    </row>
    <row r="1233" spans="1:67" s="40" customFormat="1" ht="31.5" x14ac:dyDescent="0.25">
      <c r="A1233" s="520">
        <f>IFERROR(VLOOKUP($G$5,'רשימת רשויות'!A:C,3,0),0)</f>
        <v>0</v>
      </c>
      <c r="B1233" s="520">
        <f t="shared" si="175"/>
        <v>0</v>
      </c>
      <c r="C1233" s="39"/>
      <c r="D1233" s="1134"/>
      <c r="E1233" s="1137"/>
      <c r="F1233" s="588" t="s">
        <v>94</v>
      </c>
      <c r="G1233" s="95" t="s">
        <v>18</v>
      </c>
      <c r="H1233" s="95" t="s">
        <v>19</v>
      </c>
      <c r="I1233" s="95" t="s">
        <v>138</v>
      </c>
      <c r="J1233" s="96" t="s">
        <v>139</v>
      </c>
      <c r="K1233" s="603"/>
      <c r="L1233" s="603"/>
      <c r="M1233" s="603"/>
      <c r="N1233" s="603"/>
      <c r="O1233" s="603"/>
      <c r="P1233" s="604"/>
      <c r="Q1233" s="604"/>
      <c r="R1233" s="596"/>
      <c r="S1233" s="610"/>
      <c r="T1233" s="881"/>
      <c r="U1233" s="598"/>
      <c r="V1233" s="599"/>
      <c r="W1233" s="599"/>
      <c r="X1233" s="599"/>
      <c r="Y1233" s="879"/>
      <c r="Z1233" s="97"/>
      <c r="AA1233" s="94"/>
      <c r="AB1233" s="94"/>
      <c r="AC1233" s="493"/>
      <c r="AD1233" s="495"/>
      <c r="AE1233" s="94"/>
      <c r="AG1233" s="98"/>
      <c r="AH1233" s="98"/>
      <c r="AO1233" s="22"/>
      <c r="AP1233" s="22"/>
      <c r="AQ1233" s="22"/>
      <c r="AR1233" s="22"/>
      <c r="AS1233" s="22"/>
      <c r="AT1233" s="22"/>
      <c r="AU1233" s="35"/>
      <c r="AV1233" s="35"/>
      <c r="AW1233" s="35"/>
      <c r="AX1233" s="35"/>
      <c r="AY1233" s="35"/>
      <c r="AZ1233" s="35"/>
      <c r="BA1233" s="35"/>
      <c r="BB1233" s="35"/>
      <c r="BC1233" s="35"/>
      <c r="BD1233" s="35"/>
      <c r="BE1233" s="35"/>
      <c r="BF1233" s="35"/>
      <c r="BG1233" s="35"/>
      <c r="BH1233" s="35"/>
      <c r="BI1233" s="35"/>
      <c r="BJ1233" s="35"/>
      <c r="BK1233" s="35"/>
      <c r="BL1233" s="35"/>
      <c r="BM1233" s="35"/>
      <c r="BN1233" s="35"/>
      <c r="BO1233" s="86"/>
    </row>
    <row r="1234" spans="1:67" s="40" customFormat="1" ht="15.75" customHeight="1" thickBot="1" x14ac:dyDescent="0.3">
      <c r="A1234" s="520">
        <f>IFERROR(VLOOKUP($G$5,'רשימת רשויות'!A:C,3,0),0)</f>
        <v>0</v>
      </c>
      <c r="B1234" s="520">
        <f t="shared" si="175"/>
        <v>0</v>
      </c>
      <c r="C1234" s="39"/>
      <c r="D1234" s="1134"/>
      <c r="E1234" s="1137"/>
      <c r="F1234" s="589" t="s">
        <v>2280</v>
      </c>
      <c r="G1234" s="99">
        <f>+G1245</f>
        <v>0</v>
      </c>
      <c r="H1234" s="100">
        <f>K1228</f>
        <v>0</v>
      </c>
      <c r="I1234" s="100">
        <f>H1234-I1236</f>
        <v>0</v>
      </c>
      <c r="J1234" s="101">
        <f>IFERROR(I1234/H1234,0)</f>
        <v>0</v>
      </c>
      <c r="K1234" s="603"/>
      <c r="L1234" s="603"/>
      <c r="M1234" s="603"/>
      <c r="N1234" s="603"/>
      <c r="O1234" s="603"/>
      <c r="P1234" s="605"/>
      <c r="Q1234" s="604"/>
      <c r="R1234" s="606" t="s">
        <v>157</v>
      </c>
      <c r="S1234" s="611"/>
      <c r="T1234" s="881"/>
      <c r="U1234" s="598"/>
      <c r="V1234" s="599"/>
      <c r="W1234" s="599"/>
      <c r="X1234" s="599"/>
      <c r="Y1234" s="879"/>
      <c r="Z1234" s="102"/>
      <c r="AA1234" s="122"/>
      <c r="AB1234" s="122"/>
      <c r="AC1234" s="493"/>
      <c r="AD1234" s="495"/>
      <c r="AE1234" s="122"/>
      <c r="AF1234" s="22"/>
      <c r="AG1234" s="98"/>
      <c r="AH1234" s="98"/>
      <c r="AI1234" s="20"/>
      <c r="AO1234" s="22"/>
      <c r="AP1234" s="22"/>
      <c r="AQ1234" s="22"/>
      <c r="AR1234" s="22"/>
      <c r="AS1234" s="22"/>
      <c r="AT1234" s="22"/>
      <c r="AU1234" s="35"/>
      <c r="AV1234" s="35"/>
      <c r="AW1234" s="35"/>
      <c r="AX1234" s="35"/>
      <c r="AY1234" s="35"/>
      <c r="AZ1234" s="35"/>
      <c r="BA1234" s="35"/>
      <c r="BB1234" s="35"/>
      <c r="BC1234" s="35"/>
      <c r="BD1234" s="35"/>
      <c r="BE1234" s="35"/>
      <c r="BF1234" s="35"/>
      <c r="BG1234" s="35"/>
      <c r="BH1234" s="35"/>
      <c r="BI1234" s="35"/>
      <c r="BJ1234" s="35"/>
      <c r="BK1234" s="35"/>
      <c r="BL1234" s="35"/>
      <c r="BM1234" s="35"/>
      <c r="BN1234" s="35"/>
      <c r="BO1234" s="86"/>
    </row>
    <row r="1235" spans="1:67" s="40" customFormat="1" ht="15.75" customHeight="1" thickBot="1" x14ac:dyDescent="0.3">
      <c r="A1235" s="520">
        <f>IFERROR(VLOOKUP($G$5,'רשימת רשויות'!A:C,3,0),0)</f>
        <v>0</v>
      </c>
      <c r="B1235" s="520">
        <f t="shared" si="175"/>
        <v>0</v>
      </c>
      <c r="C1235" s="39"/>
      <c r="D1235" s="1134"/>
      <c r="E1235" s="1137"/>
      <c r="F1235" s="589" t="s">
        <v>2281</v>
      </c>
      <c r="G1235" s="99">
        <f>+G1244</f>
        <v>0</v>
      </c>
      <c r="H1235" s="103"/>
      <c r="I1235" s="104"/>
      <c r="J1235" s="105"/>
      <c r="K1235" s="603"/>
      <c r="L1235" s="603"/>
      <c r="M1235" s="603"/>
      <c r="N1235" s="603"/>
      <c r="O1235" s="603"/>
      <c r="P1235" s="605"/>
      <c r="Q1235" s="604"/>
      <c r="R1235" s="473">
        <f>I1236-R1237</f>
        <v>0</v>
      </c>
      <c r="S1235" s="611"/>
      <c r="T1235" s="881"/>
      <c r="U1235" s="598"/>
      <c r="V1235" s="599"/>
      <c r="W1235" s="599"/>
      <c r="X1235" s="599"/>
      <c r="Y1235" s="879"/>
      <c r="Z1235" s="106"/>
      <c r="AA1235" s="22"/>
      <c r="AB1235" s="22"/>
      <c r="AC1235" s="493"/>
      <c r="AD1235" s="495"/>
      <c r="AE1235" s="22"/>
      <c r="AF1235" s="22"/>
      <c r="AG1235" s="98"/>
      <c r="AH1235" s="98"/>
      <c r="AI1235" s="20"/>
      <c r="AO1235" s="22"/>
      <c r="AP1235" s="22"/>
      <c r="AQ1235" s="22"/>
      <c r="AR1235" s="22"/>
      <c r="AS1235" s="22"/>
      <c r="AT1235" s="22"/>
      <c r="AU1235" s="35"/>
      <c r="AV1235" s="35"/>
      <c r="AW1235" s="35"/>
      <c r="AX1235" s="35"/>
      <c r="AY1235" s="35"/>
      <c r="AZ1235" s="35"/>
      <c r="BA1235" s="35"/>
      <c r="BB1235" s="35"/>
      <c r="BC1235" s="35"/>
      <c r="BD1235" s="35"/>
      <c r="BE1235" s="35"/>
      <c r="BF1235" s="35"/>
      <c r="BG1235" s="35"/>
      <c r="BH1235" s="35"/>
      <c r="BI1235" s="35"/>
      <c r="BJ1235" s="35"/>
      <c r="BK1235" s="35"/>
      <c r="BL1235" s="35"/>
      <c r="BM1235" s="35"/>
      <c r="BN1235" s="35"/>
      <c r="BO1235" s="86"/>
    </row>
    <row r="1236" spans="1:67" s="40" customFormat="1" ht="16.5" customHeight="1" thickBot="1" x14ac:dyDescent="0.3">
      <c r="A1236" s="520">
        <f>IFERROR(VLOOKUP($G$5,'רשימת רשויות'!A:C,3,0),0)</f>
        <v>0</v>
      </c>
      <c r="B1236" s="520">
        <f t="shared" si="175"/>
        <v>0</v>
      </c>
      <c r="C1236" s="39"/>
      <c r="D1236" s="1134"/>
      <c r="E1236" s="1137"/>
      <c r="F1236" s="589" t="s">
        <v>2282</v>
      </c>
      <c r="G1236" s="99">
        <f>G1240+G1241+G1242</f>
        <v>0</v>
      </c>
      <c r="H1236" s="104"/>
      <c r="I1236" s="107">
        <f>MAX(H1234-G1234-G1235,0)</f>
        <v>0</v>
      </c>
      <c r="J1236" s="108">
        <f>IFERROR(I1236/H1234,0)</f>
        <v>0</v>
      </c>
      <c r="K1236" s="603"/>
      <c r="L1236" s="603"/>
      <c r="M1236" s="603"/>
      <c r="N1236" s="603"/>
      <c r="O1236" s="603"/>
      <c r="P1236" s="604"/>
      <c r="Q1236" s="604"/>
      <c r="R1236" s="606" t="s">
        <v>158</v>
      </c>
      <c r="S1236" s="612"/>
      <c r="T1236" s="881"/>
      <c r="U1236" s="598"/>
      <c r="V1236" s="599"/>
      <c r="W1236" s="599"/>
      <c r="X1236" s="599"/>
      <c r="Y1236" s="879"/>
      <c r="Z1236" s="106"/>
      <c r="AA1236" s="22"/>
      <c r="AB1236" s="22"/>
      <c r="AC1236" s="493"/>
      <c r="AD1236" s="495"/>
      <c r="AE1236" s="22"/>
      <c r="AF1236" s="22"/>
      <c r="AG1236" s="22"/>
      <c r="AH1236" s="22"/>
      <c r="AI1236" s="55"/>
      <c r="AJ1236" s="22"/>
      <c r="AK1236" s="22"/>
      <c r="AO1236" s="22"/>
      <c r="AP1236" s="22"/>
      <c r="AQ1236" s="22"/>
      <c r="AR1236" s="22"/>
      <c r="AS1236" s="22"/>
      <c r="AT1236" s="22"/>
      <c r="AU1236" s="35"/>
      <c r="AV1236" s="35"/>
      <c r="AW1236" s="35"/>
      <c r="AX1236" s="35"/>
      <c r="AY1236" s="35"/>
      <c r="AZ1236" s="35"/>
      <c r="BA1236" s="35"/>
      <c r="BB1236" s="35"/>
      <c r="BC1236" s="35"/>
      <c r="BD1236" s="35"/>
      <c r="BE1236" s="35"/>
      <c r="BF1236" s="35"/>
      <c r="BG1236" s="35"/>
      <c r="BH1236" s="35"/>
      <c r="BI1236" s="35"/>
      <c r="BJ1236" s="35"/>
      <c r="BK1236" s="35"/>
      <c r="BL1236" s="35"/>
      <c r="BM1236" s="35"/>
      <c r="BN1236" s="35"/>
      <c r="BO1236" s="86"/>
    </row>
    <row r="1237" spans="1:67" s="40" customFormat="1" ht="15.75" customHeight="1" thickBot="1" x14ac:dyDescent="0.3">
      <c r="A1237" s="520">
        <f>IFERROR(VLOOKUP($G$5,'רשימת רשויות'!A:C,3,0),0)</f>
        <v>0</v>
      </c>
      <c r="B1237" s="520">
        <f t="shared" si="175"/>
        <v>0</v>
      </c>
      <c r="C1237" s="39"/>
      <c r="D1237" s="1134"/>
      <c r="E1237" s="1137"/>
      <c r="F1237" s="590" t="s">
        <v>2290</v>
      </c>
      <c r="G1237" s="109"/>
      <c r="H1237" s="110"/>
      <c r="I1237" s="111">
        <f>SUM(I1234:I1236)</f>
        <v>0</v>
      </c>
      <c r="J1237" s="112">
        <f>SUM(J1234:J1236)</f>
        <v>0</v>
      </c>
      <c r="K1237" s="603"/>
      <c r="L1237" s="603"/>
      <c r="M1237" s="603"/>
      <c r="N1237" s="603"/>
      <c r="O1237" s="603"/>
      <c r="P1237" s="604"/>
      <c r="Q1237" s="604"/>
      <c r="R1237" s="473">
        <f>MIN(MAX(G1241+G1242-I1230-J1230,0),I1236)</f>
        <v>0</v>
      </c>
      <c r="S1237" s="612"/>
      <c r="T1237" s="881"/>
      <c r="U1237" s="598"/>
      <c r="V1237" s="599"/>
      <c r="W1237" s="599"/>
      <c r="X1237" s="599"/>
      <c r="Y1237" s="879"/>
      <c r="Z1237" s="106"/>
      <c r="AA1237" s="22"/>
      <c r="AB1237" s="22"/>
      <c r="AC1237" s="493"/>
      <c r="AD1237" s="495"/>
      <c r="AE1237" s="22"/>
      <c r="AF1237" s="22"/>
      <c r="AG1237" s="22"/>
      <c r="AH1237" s="22"/>
      <c r="AJ1237" s="22"/>
      <c r="AK1237" s="22"/>
      <c r="AO1237" s="22"/>
      <c r="AP1237" s="22"/>
      <c r="AQ1237" s="22"/>
      <c r="AR1237" s="22"/>
      <c r="AS1237" s="22"/>
      <c r="AT1237" s="22"/>
      <c r="AU1237" s="35"/>
      <c r="AV1237" s="35"/>
      <c r="AW1237" s="35"/>
      <c r="AX1237" s="35"/>
      <c r="AY1237" s="35"/>
      <c r="AZ1237" s="35"/>
      <c r="BA1237" s="35"/>
      <c r="BB1237" s="35"/>
      <c r="BC1237" s="35"/>
      <c r="BD1237" s="35"/>
      <c r="BE1237" s="35"/>
      <c r="BF1237" s="35"/>
      <c r="BG1237" s="35"/>
      <c r="BH1237" s="35"/>
      <c r="BI1237" s="35"/>
      <c r="BJ1237" s="35"/>
      <c r="BK1237" s="35"/>
      <c r="BL1237" s="35"/>
      <c r="BM1237" s="35"/>
      <c r="BN1237" s="35"/>
      <c r="BO1237" s="86"/>
    </row>
    <row r="1238" spans="1:67" ht="16.5" thickBot="1" x14ac:dyDescent="0.3">
      <c r="A1238" s="520">
        <f>IFERROR(VLOOKUP($G$5,'רשימת רשויות'!A:C,3,0),0)</f>
        <v>0</v>
      </c>
      <c r="B1238" s="520">
        <f t="shared" si="175"/>
        <v>0</v>
      </c>
      <c r="D1238" s="1134"/>
      <c r="E1238" s="1137"/>
      <c r="F1238" s="587" t="s">
        <v>17</v>
      </c>
      <c r="G1238" s="113"/>
      <c r="H1238" s="92"/>
      <c r="I1238" s="114"/>
      <c r="J1238" s="115"/>
      <c r="K1238" s="116"/>
      <c r="L1238" s="406"/>
      <c r="M1238" s="116"/>
      <c r="N1238" s="116"/>
      <c r="O1238" s="116"/>
      <c r="P1238" s="474"/>
      <c r="Q1238" s="607"/>
      <c r="R1238" s="608"/>
      <c r="S1238" s="612"/>
      <c r="T1238" s="881"/>
      <c r="U1238" s="598"/>
      <c r="V1238" s="599"/>
      <c r="W1238" s="599"/>
      <c r="X1238" s="599"/>
      <c r="Y1238" s="879"/>
      <c r="Z1238" s="106"/>
      <c r="AI1238" s="40"/>
      <c r="BO1238" s="86"/>
    </row>
    <row r="1239" spans="1:67" ht="47.25" x14ac:dyDescent="0.25">
      <c r="A1239" s="520">
        <f>IFERROR(VLOOKUP($G$5,'רשימת רשויות'!A:C,3,0),0)</f>
        <v>0</v>
      </c>
      <c r="B1239" s="520">
        <f t="shared" si="175"/>
        <v>0</v>
      </c>
      <c r="D1239" s="1134"/>
      <c r="E1239" s="1137"/>
      <c r="F1239" s="588" t="s">
        <v>2</v>
      </c>
      <c r="G1239" s="95" t="s">
        <v>18</v>
      </c>
      <c r="H1239" s="95" t="s">
        <v>19</v>
      </c>
      <c r="I1239" s="95" t="s">
        <v>20</v>
      </c>
      <c r="J1239" s="95" t="s">
        <v>22</v>
      </c>
      <c r="K1239" s="96" t="s">
        <v>2314</v>
      </c>
      <c r="L1239" s="609"/>
      <c r="M1239" s="609"/>
      <c r="N1239" s="609"/>
      <c r="O1239" s="580"/>
      <c r="P1239" s="618" t="s">
        <v>2298</v>
      </c>
      <c r="Q1239" s="618" t="s">
        <v>2299</v>
      </c>
      <c r="R1239" s="596"/>
      <c r="S1239" s="890" t="s">
        <v>2519</v>
      </c>
      <c r="T1239" s="890" t="s">
        <v>97</v>
      </c>
      <c r="U1239" s="891" t="s">
        <v>2521</v>
      </c>
      <c r="V1239" s="892" t="s">
        <v>2520</v>
      </c>
      <c r="W1239" s="893" t="s">
        <v>2524</v>
      </c>
      <c r="X1239" s="892" t="s">
        <v>2522</v>
      </c>
      <c r="Y1239" s="894" t="s">
        <v>2523</v>
      </c>
      <c r="Z1239" s="106"/>
      <c r="AC1239" s="498" t="s">
        <v>2568</v>
      </c>
      <c r="AD1239" s="499" t="s">
        <v>2569</v>
      </c>
      <c r="AF1239" s="122"/>
      <c r="AI1239" s="40"/>
      <c r="BO1239" s="86"/>
    </row>
    <row r="1240" spans="1:67" ht="15" customHeight="1" thickBot="1" x14ac:dyDescent="0.3">
      <c r="A1240" s="520">
        <f>IFERROR(VLOOKUP($G$5,'רשימת רשויות'!A:C,3,0),0)</f>
        <v>0</v>
      </c>
      <c r="B1240" s="520">
        <f t="shared" si="175"/>
        <v>0</v>
      </c>
      <c r="D1240" s="1134"/>
      <c r="E1240" s="1137"/>
      <c r="F1240" s="589" t="s">
        <v>76</v>
      </c>
      <c r="G1240" s="117">
        <f>IF(G1231="תקין",SUMIF('עלויות כח אדם (6)'!$B$15:$B$3014,'בית ספר - תקצוב לפי מוסד (9)'!$G1226,'עלויות כח אדם (6)'!$M$15:$M$3014)-VLOOKUP('בית ספר - תקצוב לפי מוסד (9)'!G1226,' איוש משרות (8)'!$C:$H,5,0)-VLOOKUP('בית ספר - תקצוב לפי מוסד (9)'!G1226,' איוש משרות (8)'!$C:$H,6,0),0)-Y1240</f>
        <v>0</v>
      </c>
      <c r="H1240" s="118">
        <f>I1228+R1235</f>
        <v>0</v>
      </c>
      <c r="I1240" s="119">
        <f>IFERROR(SUM(G1240)/H1240,0)</f>
        <v>0</v>
      </c>
      <c r="J1240" s="100">
        <f>MIN(I1228+R1235,IF(ISNUMBER(G1240),G1240,0))</f>
        <v>0</v>
      </c>
      <c r="K1240" s="120">
        <f>MAX(H1240-G1240,0)</f>
        <v>0</v>
      </c>
      <c r="L1240" s="407"/>
      <c r="M1240" s="393"/>
      <c r="N1240" s="393"/>
      <c r="O1240" s="580"/>
      <c r="P1240" s="968">
        <f>IFERROR(IF(SUM(G1240)/(I1228)&lt;100%,MIN((I1228)-SUM(G1240),(I1228)*0.25),0),0)</f>
        <v>0</v>
      </c>
      <c r="Q1240" s="968">
        <f>IF(SUM(G1240)-(I1228+R1235)&gt;0,SUM(G1240)-(I1228+R1235),0)</f>
        <v>0</v>
      </c>
      <c r="R1240" s="596" t="s">
        <v>2351</v>
      </c>
      <c r="S1240" s="576" t="s">
        <v>2342</v>
      </c>
      <c r="T1240" s="599">
        <f>G1226</f>
        <v>0</v>
      </c>
      <c r="U1240" s="578"/>
      <c r="V1240" s="579">
        <f>G1240+G1241+G1242</f>
        <v>0</v>
      </c>
      <c r="W1240" s="579">
        <f>U1240-V1240</f>
        <v>0</v>
      </c>
      <c r="X1240" s="579">
        <f>IFERROR(W1254*W1240/(SUM(W1240:W1253)),0)</f>
        <v>0</v>
      </c>
      <c r="Y1240" s="879">
        <f>SUMIFS(בקרה!$S:$S,בקרה!$D:$D,T1240,בקרה!$K:$K,S1240)</f>
        <v>0</v>
      </c>
      <c r="Z1240" s="121"/>
      <c r="AA1240" s="143"/>
      <c r="AB1240" s="143"/>
      <c r="AC1240" s="504">
        <v>0</v>
      </c>
      <c r="AD1240" s="505">
        <f>IFERROR(U1240-AC1240,0)</f>
        <v>0</v>
      </c>
      <c r="AE1240" s="143"/>
      <c r="AI1240" s="20"/>
      <c r="BO1240" s="86"/>
    </row>
    <row r="1241" spans="1:67" ht="15" customHeight="1" thickBot="1" x14ac:dyDescent="0.3">
      <c r="A1241" s="520">
        <f>IFERROR(VLOOKUP($G$5,'רשימת רשויות'!A:C,3,0),0)</f>
        <v>0</v>
      </c>
      <c r="B1241" s="520">
        <f t="shared" si="175"/>
        <v>0</v>
      </c>
      <c r="D1241" s="1134"/>
      <c r="E1241" s="1137"/>
      <c r="F1241" s="589" t="s">
        <v>44</v>
      </c>
      <c r="G1241" s="123">
        <f>IF(G1231="תקין",IFERROR(VLOOKUP('בית ספר - תקצוב לפי מוסד (9)'!G1226,' איוש משרות (8)'!C:J,7,0),0),0)</f>
        <v>0</v>
      </c>
      <c r="H1241" s="124">
        <f>I1230+R1237+J1230</f>
        <v>0</v>
      </c>
      <c r="I1241" s="119">
        <f>IFERROR(SUM(G1241:G1242)/H1241,0)</f>
        <v>0</v>
      </c>
      <c r="J1241" s="100">
        <f>MIN(R1237+I1230,IF(ISNUMBER(SUM(G1241:G1242)),SUM(G1241:G1242),0))</f>
        <v>0</v>
      </c>
      <c r="K1241" s="1139">
        <f>MAX((H1241)-(G1241+G1242),0)</f>
        <v>0</v>
      </c>
      <c r="L1241" s="407"/>
      <c r="M1241" s="393"/>
      <c r="N1241" s="393"/>
      <c r="O1241" s="580"/>
      <c r="P1241" s="1140"/>
      <c r="Q1241" s="1140"/>
      <c r="R1241" s="617">
        <f>MAX(MIN(P1249-Q1249,H1249*0.15-G1247),0)</f>
        <v>0</v>
      </c>
      <c r="S1241" s="576"/>
      <c r="T1241" s="599">
        <f>G1226</f>
        <v>0</v>
      </c>
      <c r="U1241" s="578"/>
      <c r="V1241" s="579"/>
      <c r="W1241" s="579">
        <f t="shared" ref="W1241:W1253" si="176">U1241-V1241</f>
        <v>0</v>
      </c>
      <c r="X1241" s="579"/>
      <c r="Y1241" s="879"/>
      <c r="Z1241" s="121"/>
      <c r="AA1241" s="143"/>
      <c r="AB1241" s="143"/>
      <c r="AC1241" s="504"/>
      <c r="AD1241" s="505">
        <f t="shared" ref="AD1241:AD1247" si="177">IFERROR(U1241-AC1241,0)</f>
        <v>0</v>
      </c>
      <c r="AE1241" s="143"/>
      <c r="AI1241" s="20"/>
      <c r="BO1241" s="86"/>
    </row>
    <row r="1242" spans="1:67" ht="15.75" customHeight="1" x14ac:dyDescent="0.25">
      <c r="A1242" s="520">
        <f>IFERROR(VLOOKUP($G$5,'רשימת רשויות'!A:C,3,0),0)</f>
        <v>0</v>
      </c>
      <c r="B1242" s="520">
        <f t="shared" si="175"/>
        <v>0</v>
      </c>
      <c r="D1242" s="1134"/>
      <c r="E1242" s="1137"/>
      <c r="F1242" s="589" t="s">
        <v>45</v>
      </c>
      <c r="G1242" s="123">
        <f>IF(G1231="תקין",IFERROR(VLOOKUP('בית ספר - תקצוב לפי מוסד (9)'!G1226,' איוש משרות (8)'!C:J,8,0),0),0)</f>
        <v>0</v>
      </c>
      <c r="H1242" s="125"/>
      <c r="I1242" s="126"/>
      <c r="J1242" s="104"/>
      <c r="K1242" s="1139"/>
      <c r="L1242" s="407"/>
      <c r="M1242" s="393"/>
      <c r="N1242" s="393"/>
      <c r="O1242" s="580"/>
      <c r="P1242" s="1140"/>
      <c r="Q1242" s="1140"/>
      <c r="R1242" s="596"/>
      <c r="S1242" s="576"/>
      <c r="T1242" s="599">
        <f>G1226</f>
        <v>0</v>
      </c>
      <c r="U1242" s="578"/>
      <c r="V1242" s="579"/>
      <c r="W1242" s="579">
        <f t="shared" si="176"/>
        <v>0</v>
      </c>
      <c r="X1242" s="579"/>
      <c r="Y1242" s="879"/>
      <c r="Z1242" s="121"/>
      <c r="AA1242" s="143"/>
      <c r="AB1242" s="143"/>
      <c r="AC1242" s="504"/>
      <c r="AD1242" s="505">
        <f t="shared" si="177"/>
        <v>0</v>
      </c>
      <c r="AE1242" s="143"/>
      <c r="AG1242" s="55"/>
      <c r="AH1242" s="55"/>
      <c r="AI1242" s="55"/>
      <c r="AJ1242" s="55"/>
      <c r="AK1242" s="55"/>
      <c r="BO1242" s="86"/>
    </row>
    <row r="1243" spans="1:67" ht="15.75" customHeight="1" x14ac:dyDescent="0.25">
      <c r="A1243" s="520">
        <f>IFERROR(VLOOKUP($G$5,'רשימת רשויות'!A:C,3,0),0)</f>
        <v>0</v>
      </c>
      <c r="B1243" s="520">
        <f t="shared" si="175"/>
        <v>0</v>
      </c>
      <c r="D1243" s="1134"/>
      <c r="E1243" s="1137"/>
      <c r="F1243" s="589" t="s">
        <v>0</v>
      </c>
      <c r="G1243" s="117">
        <f>IF(G1231="תקין",SUMIFS('דוח הוצאות בפועל (4)'!$E$17:$E$3016,'דוח הוצאות בפועל (4)'!$B$17:$B$3016,'בית ספר - תקצוב לפי מוסד (9)'!$G1226,'דוח הוצאות בפועל (4)'!$M$17:$M$3016,"הע"),0)-Y1243</f>
        <v>0</v>
      </c>
      <c r="H1243" s="127">
        <f>J1228</f>
        <v>0</v>
      </c>
      <c r="I1243" s="128">
        <f>IFERROR(G1243/H1243,0)</f>
        <v>0</v>
      </c>
      <c r="J1243" s="129">
        <f>MIN(IF(ISNUMBER(G1243),G1243,0),H1243)</f>
        <v>0</v>
      </c>
      <c r="K1243" s="120">
        <f>MAX(H1243-G1243,0)</f>
        <v>0</v>
      </c>
      <c r="L1243" s="407"/>
      <c r="M1243" s="393"/>
      <c r="N1243" s="393"/>
      <c r="O1243" s="580"/>
      <c r="P1243" s="968">
        <f>MAX(IF(I1243&lt;100%,MIN((H1243-G1243),H1243*0.25),0),0)</f>
        <v>0</v>
      </c>
      <c r="Q1243" s="619">
        <f>IF(G1243-H1243&gt;0,G1243-H1243,0)</f>
        <v>0</v>
      </c>
      <c r="R1243" s="596"/>
      <c r="S1243" s="610" t="s">
        <v>0</v>
      </c>
      <c r="T1243" s="599">
        <f>G1226</f>
        <v>0</v>
      </c>
      <c r="U1243" s="578"/>
      <c r="V1243" s="579">
        <f>G1243</f>
        <v>0</v>
      </c>
      <c r="W1243" s="579">
        <f t="shared" si="176"/>
        <v>0</v>
      </c>
      <c r="X1243" s="579">
        <f>IFERROR(W1254*W1243/(SUM(W1240:W1253)),0)</f>
        <v>0</v>
      </c>
      <c r="Y1243" s="879">
        <f>SUMIFS(בקרה!$S:$S,בקרה!$D:$D,T1243,בקרה!$K:$K,S1243)</f>
        <v>0</v>
      </c>
      <c r="Z1243" s="121"/>
      <c r="AA1243" s="143"/>
      <c r="AB1243" s="143"/>
      <c r="AC1243" s="504">
        <v>0</v>
      </c>
      <c r="AD1243" s="505">
        <f t="shared" si="177"/>
        <v>0</v>
      </c>
      <c r="AE1243" s="143"/>
      <c r="AG1243" s="55"/>
      <c r="AH1243" s="55"/>
      <c r="AI1243" s="40"/>
      <c r="AJ1243" s="55"/>
      <c r="AK1243" s="55"/>
      <c r="BO1243" s="86"/>
    </row>
    <row r="1244" spans="1:67" s="55" customFormat="1" ht="15.75" customHeight="1" x14ac:dyDescent="0.25">
      <c r="A1244" s="520">
        <f>IFERROR(VLOOKUP($G$5,'רשימת רשויות'!A:C,3,0),0)</f>
        <v>0</v>
      </c>
      <c r="B1244" s="520">
        <f t="shared" si="175"/>
        <v>0</v>
      </c>
      <c r="C1244" s="39"/>
      <c r="D1244" s="1134"/>
      <c r="E1244" s="1137"/>
      <c r="F1244" s="589" t="s">
        <v>93</v>
      </c>
      <c r="G1244" s="130">
        <f>IF(G1231="תקין",SUMIFS('דוח הוצאות בפועל (4)'!$E$17:$E$3016,'דוח הוצאות בפועל (4)'!$B$17:$B$3016,'בית ספר - תקצוב לפי מוסד (9)'!$G1226,'דוח הוצאות בפועל (4)'!$M$17:$M$3016,"אר"),0)-Y1244</f>
        <v>0</v>
      </c>
      <c r="H1244" s="118">
        <f>$I1234</f>
        <v>0</v>
      </c>
      <c r="I1244" s="131">
        <f>IFERROR((G1244+G1245)/H1244,0)</f>
        <v>0</v>
      </c>
      <c r="J1244" s="100">
        <f>MIN((IF(ISNUMBER(G1244),G1244,0)+IF(ISNUMBER(G1245),G1245,0)),H1244)</f>
        <v>0</v>
      </c>
      <c r="K1244" s="1139">
        <f>MAX((H1244)-(G1244+G1245),0)</f>
        <v>0</v>
      </c>
      <c r="L1244" s="407"/>
      <c r="M1244" s="393"/>
      <c r="N1244" s="393"/>
      <c r="O1244" s="602"/>
      <c r="P1244" s="1141"/>
      <c r="Q1244" s="1142"/>
      <c r="R1244" s="596"/>
      <c r="S1244" s="610" t="s">
        <v>93</v>
      </c>
      <c r="T1244" s="599">
        <f>G1226</f>
        <v>0</v>
      </c>
      <c r="U1244" s="578"/>
      <c r="V1244" s="579">
        <f t="shared" ref="V1244:V1245" si="178">G1244</f>
        <v>0</v>
      </c>
      <c r="W1244" s="579">
        <f t="shared" si="176"/>
        <v>0</v>
      </c>
      <c r="X1244" s="579">
        <f>IFERROR(W1254*W1244/(SUM(W1240:W1253)),0)</f>
        <v>0</v>
      </c>
      <c r="Y1244" s="879">
        <f>SUMIFS(בקרה!$S:$S,בקרה!$D:$D,T1244,בקרה!$K:$K,S1244)</f>
        <v>0</v>
      </c>
      <c r="Z1244" s="121"/>
      <c r="AA1244" s="143"/>
      <c r="AB1244" s="143"/>
      <c r="AC1244" s="504">
        <v>0</v>
      </c>
      <c r="AD1244" s="505">
        <f t="shared" si="177"/>
        <v>0</v>
      </c>
      <c r="AE1244" s="143"/>
      <c r="AJ1244" s="22"/>
      <c r="AO1244" s="22"/>
      <c r="AP1244" s="22"/>
      <c r="AQ1244" s="22"/>
      <c r="AR1244" s="22"/>
      <c r="AS1244" s="22"/>
      <c r="AT1244" s="22"/>
      <c r="AU1244" s="35"/>
      <c r="AV1244" s="35"/>
      <c r="AW1244" s="35"/>
      <c r="AX1244" s="35"/>
      <c r="AY1244" s="35"/>
      <c r="AZ1244" s="35"/>
      <c r="BA1244" s="35"/>
      <c r="BB1244" s="35"/>
      <c r="BC1244" s="35"/>
      <c r="BD1244" s="35"/>
      <c r="BE1244" s="35"/>
      <c r="BF1244" s="35"/>
      <c r="BG1244" s="35"/>
      <c r="BH1244" s="35"/>
      <c r="BI1244" s="35"/>
      <c r="BJ1244" s="35"/>
      <c r="BK1244" s="35"/>
      <c r="BL1244" s="35"/>
      <c r="BM1244" s="35"/>
      <c r="BN1244" s="35"/>
      <c r="BO1244" s="86"/>
    </row>
    <row r="1245" spans="1:67" s="55" customFormat="1" ht="15.75" customHeight="1" x14ac:dyDescent="0.25">
      <c r="A1245" s="520">
        <f>IFERROR(VLOOKUP($G$5,'רשימת רשויות'!A:C,3,0),0)</f>
        <v>0</v>
      </c>
      <c r="B1245" s="520">
        <f t="shared" si="175"/>
        <v>0</v>
      </c>
      <c r="C1245" s="39"/>
      <c r="D1245" s="1134"/>
      <c r="E1245" s="1137"/>
      <c r="F1245" s="589" t="s">
        <v>46</v>
      </c>
      <c r="G1245" s="130">
        <f>IF(G1231="תקין",SUMIFS('דוח הוצאות בפועל (4)'!$E$17:$E$3016,'דוח הוצאות בפועל (4)'!$B$17:$B$3016,'בית ספר - תקצוב לפי מוסד (9)'!$G1226,'דוח הוצאות בפועל (4)'!$M$17:$M$3016,"מל"),0)-Y1245</f>
        <v>0</v>
      </c>
      <c r="H1245" s="132"/>
      <c r="I1245" s="133"/>
      <c r="J1245" s="104"/>
      <c r="K1245" s="1139"/>
      <c r="L1245" s="407"/>
      <c r="M1245" s="393"/>
      <c r="N1245" s="393"/>
      <c r="O1245" s="602"/>
      <c r="P1245" s="1141"/>
      <c r="Q1245" s="1142"/>
      <c r="R1245" s="596"/>
      <c r="S1245" s="610" t="s">
        <v>46</v>
      </c>
      <c r="T1245" s="599">
        <f>G1226</f>
        <v>0</v>
      </c>
      <c r="U1245" s="578"/>
      <c r="V1245" s="579">
        <f t="shared" si="178"/>
        <v>0</v>
      </c>
      <c r="W1245" s="579">
        <f t="shared" si="176"/>
        <v>0</v>
      </c>
      <c r="X1245" s="579">
        <f>IFERROR(W1254*W1245/(SUM(W1240:W1253)),0)</f>
        <v>0</v>
      </c>
      <c r="Y1245" s="879">
        <f>SUMIFS(בקרה!$S:$S,בקרה!$D:$D,T1245,בקרה!$K:$K,S1245)</f>
        <v>0</v>
      </c>
      <c r="Z1245" s="121"/>
      <c r="AA1245" s="143"/>
      <c r="AB1245" s="143"/>
      <c r="AC1245" s="504">
        <v>0</v>
      </c>
      <c r="AD1245" s="505">
        <f t="shared" si="177"/>
        <v>0</v>
      </c>
      <c r="AE1245" s="143"/>
      <c r="AJ1245" s="22"/>
      <c r="AO1245" s="22"/>
      <c r="AP1245" s="22"/>
      <c r="AQ1245" s="22"/>
      <c r="AR1245" s="22"/>
      <c r="AS1245" s="22"/>
      <c r="AT1245" s="22"/>
      <c r="AU1245" s="35"/>
      <c r="AV1245" s="35"/>
      <c r="AW1245" s="35"/>
      <c r="AX1245" s="35"/>
      <c r="AY1245" s="35"/>
      <c r="AZ1245" s="35"/>
      <c r="BA1245" s="35"/>
      <c r="BB1245" s="35"/>
      <c r="BC1245" s="35"/>
      <c r="BD1245" s="35"/>
      <c r="BE1245" s="35"/>
      <c r="BF1245" s="35"/>
      <c r="BG1245" s="35"/>
      <c r="BH1245" s="35"/>
      <c r="BI1245" s="35"/>
      <c r="BJ1245" s="35"/>
      <c r="BK1245" s="35"/>
      <c r="BL1245" s="35"/>
      <c r="BM1245" s="35"/>
      <c r="BN1245" s="35"/>
      <c r="BO1245" s="86"/>
    </row>
    <row r="1246" spans="1:67" s="55" customFormat="1" ht="15" customHeight="1" x14ac:dyDescent="0.25">
      <c r="A1246" s="520">
        <f>IFERROR(VLOOKUP($G$5,'רשימת רשויות'!A:C,3,0),0)</f>
        <v>0</v>
      </c>
      <c r="B1246" s="520">
        <f t="shared" si="175"/>
        <v>0</v>
      </c>
      <c r="C1246" s="39"/>
      <c r="D1246" s="1134"/>
      <c r="E1246" s="1137"/>
      <c r="F1246" s="591" t="s">
        <v>23</v>
      </c>
      <c r="G1246" s="134">
        <f>SUM(G1240:G1245)</f>
        <v>0</v>
      </c>
      <c r="H1246" s="135">
        <f>SUM(H1240:H1245)</f>
        <v>0</v>
      </c>
      <c r="I1246" s="128">
        <f>IFERROR(G1246/H1246,0)</f>
        <v>0</v>
      </c>
      <c r="J1246" s="136">
        <f>SUM(J1240:J1245)</f>
        <v>0</v>
      </c>
      <c r="K1246" s="137">
        <f>SUM(K1240:K1245)</f>
        <v>0</v>
      </c>
      <c r="L1246" s="408"/>
      <c r="M1246" s="394"/>
      <c r="N1246" s="394"/>
      <c r="O1246" s="602"/>
      <c r="P1246" s="620">
        <f>SUM(P1240:P1245)</f>
        <v>0</v>
      </c>
      <c r="Q1246" s="620">
        <f>SUM(Q1240:Q1245)</f>
        <v>0</v>
      </c>
      <c r="R1246" s="596"/>
      <c r="S1246" s="610"/>
      <c r="T1246" s="599">
        <f>G1226</f>
        <v>0</v>
      </c>
      <c r="U1246" s="578"/>
      <c r="V1246" s="579"/>
      <c r="W1246" s="579">
        <f t="shared" si="176"/>
        <v>0</v>
      </c>
      <c r="X1246" s="579"/>
      <c r="Y1246" s="879"/>
      <c r="Z1246" s="121"/>
      <c r="AA1246" s="143"/>
      <c r="AB1246" s="143"/>
      <c r="AC1246" s="504"/>
      <c r="AD1246" s="505">
        <f t="shared" si="177"/>
        <v>0</v>
      </c>
      <c r="AE1246" s="143"/>
      <c r="AJ1246" s="22"/>
      <c r="AL1246" s="22"/>
      <c r="AM1246" s="22"/>
      <c r="AN1246" s="22"/>
      <c r="AO1246" s="22"/>
      <c r="AP1246" s="22"/>
      <c r="AQ1246" s="22"/>
      <c r="AR1246" s="22"/>
      <c r="AS1246" s="22"/>
      <c r="AT1246" s="22"/>
      <c r="AU1246" s="35"/>
      <c r="AV1246" s="35"/>
      <c r="AW1246" s="35"/>
      <c r="AX1246" s="35"/>
      <c r="AY1246" s="35"/>
      <c r="AZ1246" s="35"/>
      <c r="BA1246" s="35"/>
      <c r="BB1246" s="35"/>
      <c r="BC1246" s="35"/>
      <c r="BD1246" s="35"/>
      <c r="BE1246" s="35"/>
      <c r="BF1246" s="35"/>
      <c r="BG1246" s="35"/>
      <c r="BH1246" s="35"/>
      <c r="BI1246" s="35"/>
      <c r="BJ1246" s="35"/>
      <c r="BK1246" s="35"/>
      <c r="BL1246" s="35"/>
      <c r="BM1246" s="35"/>
      <c r="BN1246" s="35"/>
      <c r="BO1246" s="86"/>
    </row>
    <row r="1247" spans="1:67" s="55" customFormat="1" ht="15" customHeight="1" x14ac:dyDescent="0.25">
      <c r="A1247" s="520">
        <f>IFERROR(VLOOKUP($G$5,'רשימת רשויות'!A:C,3,0),0)</f>
        <v>0</v>
      </c>
      <c r="B1247" s="520">
        <f t="shared" si="175"/>
        <v>0</v>
      </c>
      <c r="C1247" s="39"/>
      <c r="D1247" s="1134"/>
      <c r="E1247" s="1137"/>
      <c r="F1247" s="589" t="s">
        <v>3</v>
      </c>
      <c r="G1247" s="117">
        <f>IF(G1231="תקין",SUMIFS('דוח הוצאות בפועל (4)'!$E$17:$E$3016,'דוח הוצאות בפועל (4)'!$B$17:$B$3016,'בית ספר - תקצוב לפי מוסד (9)'!$G1226,'דוח הוצאות בפועל (4)'!$M$17:$M$3016,"ני")+SUMIFS('דוח הוצאות בפועל (4)'!$E$17:$E$3016,'דוח הוצאות בפועל (4)'!$B$17:$B$3016,'בית ספר - תקצוב לפי מוסד (9)'!$G1226,'דוח הוצאות בפועל (4)'!$M$17:$M$3016,"על"),0)-Y1247</f>
        <v>0</v>
      </c>
      <c r="H1247" s="117">
        <f>H1228</f>
        <v>0</v>
      </c>
      <c r="I1247" s="138">
        <f>IFERROR(G1247/H1247,0)</f>
        <v>0</v>
      </c>
      <c r="J1247" s="117">
        <f>IFERROR(IF(G1247/H1249&gt;0.15,MIN(H1249*0.15,H1247),MIN(H1247,IF(ISNUMBER(G1247),G1247,0))),0)</f>
        <v>0</v>
      </c>
      <c r="K1247" s="120">
        <f>MAX(H1247-G1247,0)</f>
        <v>0</v>
      </c>
      <c r="L1247" s="407"/>
      <c r="M1247" s="393"/>
      <c r="N1247" s="393"/>
      <c r="O1247" s="602"/>
      <c r="P1247" s="620">
        <f>IF(I1247&lt;100%,MIN(H1247-G1247,H1247*0.25),0)</f>
        <v>0</v>
      </c>
      <c r="Q1247" s="620">
        <f>MAX(MIN(IF(G1247-H1247&gt;0,G1247-H1247,0),$H1249*0.15-H1247-J1248),0)</f>
        <v>0</v>
      </c>
      <c r="R1247" s="596"/>
      <c r="S1247" s="610" t="s">
        <v>3</v>
      </c>
      <c r="T1247" s="599">
        <f>G1226</f>
        <v>0</v>
      </c>
      <c r="U1247" s="578"/>
      <c r="V1247" s="579">
        <f t="shared" ref="V1247" si="179">G1247</f>
        <v>0</v>
      </c>
      <c r="W1247" s="579">
        <f t="shared" si="176"/>
        <v>0</v>
      </c>
      <c r="X1247" s="579"/>
      <c r="Y1247" s="879"/>
      <c r="Z1247" s="121"/>
      <c r="AA1247" s="143"/>
      <c r="AB1247" s="143"/>
      <c r="AC1247" s="504">
        <v>0</v>
      </c>
      <c r="AD1247" s="505">
        <f t="shared" si="177"/>
        <v>0</v>
      </c>
      <c r="AE1247" s="143"/>
      <c r="AG1247" s="22"/>
      <c r="AH1247" s="22"/>
      <c r="AI1247" s="22"/>
      <c r="AJ1247" s="22"/>
      <c r="AK1247" s="22"/>
      <c r="AL1247" s="22"/>
      <c r="AM1247" s="22"/>
      <c r="AN1247" s="22"/>
      <c r="AO1247" s="22"/>
      <c r="AP1247" s="22"/>
      <c r="AQ1247" s="22"/>
      <c r="AR1247" s="22"/>
      <c r="AS1247" s="22"/>
      <c r="AT1247" s="22"/>
      <c r="AU1247" s="35"/>
      <c r="AV1247" s="35"/>
      <c r="AW1247" s="35"/>
      <c r="AX1247" s="35"/>
      <c r="AY1247" s="35"/>
      <c r="AZ1247" s="35"/>
      <c r="BA1247" s="35"/>
      <c r="BB1247" s="35"/>
      <c r="BC1247" s="35"/>
      <c r="BD1247" s="35"/>
      <c r="BE1247" s="35"/>
      <c r="BF1247" s="35"/>
      <c r="BG1247" s="35"/>
      <c r="BH1247" s="35"/>
      <c r="BI1247" s="35"/>
      <c r="BJ1247" s="35"/>
      <c r="BK1247" s="35"/>
      <c r="BL1247" s="35"/>
      <c r="BM1247" s="35"/>
      <c r="BN1247" s="35"/>
      <c r="BO1247" s="86"/>
    </row>
    <row r="1248" spans="1:67" s="55" customFormat="1" ht="15.75" customHeight="1" x14ac:dyDescent="0.25">
      <c r="A1248" s="520">
        <f>IFERROR(VLOOKUP($G$5,'רשימת רשויות'!A:C,3,0),0)</f>
        <v>0</v>
      </c>
      <c r="B1248" s="520">
        <f t="shared" si="175"/>
        <v>0</v>
      </c>
      <c r="C1248" s="39"/>
      <c r="D1248" s="1134"/>
      <c r="E1248" s="1137"/>
      <c r="F1248" s="589" t="s">
        <v>2918</v>
      </c>
      <c r="G1248" s="117">
        <f>0.07*(G1242+G1241)</f>
        <v>0</v>
      </c>
      <c r="H1248" s="117">
        <f>H1230</f>
        <v>0</v>
      </c>
      <c r="I1248" s="138">
        <f>IFERROR(G1248/H1248,0)</f>
        <v>0</v>
      </c>
      <c r="J1248" s="117">
        <f>IFERROR(MIN(0.07*(G1241+G1242),0.07*I1230),0)</f>
        <v>0</v>
      </c>
      <c r="K1248" s="120">
        <f>MAX(H1248-G1248,0)</f>
        <v>0</v>
      </c>
      <c r="L1248" s="407"/>
      <c r="M1248" s="393"/>
      <c r="N1248" s="393"/>
      <c r="O1248" s="602"/>
      <c r="P1248" s="620"/>
      <c r="Q1248" s="619"/>
      <c r="R1248" s="596"/>
      <c r="S1248" s="611"/>
      <c r="T1248" s="599">
        <f>G1226</f>
        <v>0</v>
      </c>
      <c r="U1248" s="578"/>
      <c r="V1248" s="579"/>
      <c r="W1248" s="579">
        <f t="shared" si="176"/>
        <v>0</v>
      </c>
      <c r="X1248" s="579"/>
      <c r="Y1248" s="879"/>
      <c r="Z1248" s="121"/>
      <c r="AA1248" s="143"/>
      <c r="AB1248" s="143"/>
      <c r="AC1248" s="504"/>
      <c r="AD1248" s="505"/>
      <c r="AE1248" s="143"/>
      <c r="AF1248" s="140"/>
      <c r="AG1248" s="22"/>
      <c r="AH1248" s="22"/>
      <c r="AI1248" s="22"/>
      <c r="AJ1248" s="22"/>
      <c r="AK1248" s="22"/>
      <c r="AL1248" s="22"/>
      <c r="AM1248" s="22"/>
      <c r="AN1248" s="22"/>
      <c r="AO1248" s="22"/>
      <c r="AP1248" s="22"/>
      <c r="AQ1248" s="22"/>
      <c r="AR1248" s="22"/>
      <c r="AS1248" s="22"/>
      <c r="AT1248" s="22"/>
      <c r="AU1248" s="35"/>
      <c r="AV1248" s="35"/>
      <c r="AW1248" s="35"/>
      <c r="AX1248" s="35"/>
      <c r="AY1248" s="35"/>
      <c r="AZ1248" s="35"/>
      <c r="BA1248" s="35"/>
      <c r="BB1248" s="35"/>
      <c r="BC1248" s="35"/>
      <c r="BD1248" s="35"/>
      <c r="BE1248" s="35"/>
      <c r="BF1248" s="35"/>
      <c r="BG1248" s="35"/>
      <c r="BH1248" s="35"/>
      <c r="BI1248" s="35"/>
      <c r="BJ1248" s="35"/>
      <c r="BK1248" s="35"/>
      <c r="BL1248" s="35"/>
      <c r="BM1248" s="35"/>
      <c r="BN1248" s="35"/>
      <c r="BO1248" s="86"/>
    </row>
    <row r="1249" spans="1:67" ht="15.75" customHeight="1" x14ac:dyDescent="0.25">
      <c r="A1249" s="520">
        <f>IFERROR(VLOOKUP($G$5,'רשימת רשויות'!A:C,3,0),0)</f>
        <v>0</v>
      </c>
      <c r="B1249" s="520">
        <f t="shared" si="175"/>
        <v>0</v>
      </c>
      <c r="D1249" s="1134"/>
      <c r="E1249" s="1137"/>
      <c r="F1249" s="591" t="s">
        <v>15</v>
      </c>
      <c r="G1249" s="134">
        <f>G1246+G1247+G1248</f>
        <v>0</v>
      </c>
      <c r="H1249" s="134">
        <f>H1246+H1247+H1248</f>
        <v>0</v>
      </c>
      <c r="I1249" s="138">
        <f>IFERROR(G1249/H1249,0)</f>
        <v>0</v>
      </c>
      <c r="J1249" s="139">
        <f>J1246+J1247+J1248</f>
        <v>0</v>
      </c>
      <c r="K1249" s="137">
        <f>K1247+K1246+K1248</f>
        <v>0</v>
      </c>
      <c r="L1249" s="408"/>
      <c r="M1249" s="394"/>
      <c r="N1249" s="394"/>
      <c r="O1249" s="602"/>
      <c r="P1249" s="621">
        <f>SUM(P1246:P1247)</f>
        <v>0</v>
      </c>
      <c r="Q1249" s="622">
        <f>Q1246+Q1247</f>
        <v>0</v>
      </c>
      <c r="R1249" s="596"/>
      <c r="S1249" s="611"/>
      <c r="T1249" s="599">
        <f>G1226</f>
        <v>0</v>
      </c>
      <c r="U1249" s="578"/>
      <c r="V1249" s="579"/>
      <c r="W1249" s="579">
        <f t="shared" si="176"/>
        <v>0</v>
      </c>
      <c r="X1249" s="579"/>
      <c r="Y1249" s="879"/>
      <c r="Z1249" s="106"/>
      <c r="AC1249" s="504"/>
      <c r="AD1249" s="505"/>
      <c r="AH1249" s="143"/>
      <c r="BO1249" s="86"/>
    </row>
    <row r="1250" spans="1:67" ht="15.75" customHeight="1" x14ac:dyDescent="0.25">
      <c r="A1250" s="520">
        <f>IFERROR(VLOOKUP($G$5,'רשימת רשויות'!A:C,3,0),0)</f>
        <v>0</v>
      </c>
      <c r="B1250" s="520">
        <f t="shared" si="175"/>
        <v>0</v>
      </c>
      <c r="D1250" s="1134"/>
      <c r="E1250" s="1137"/>
      <c r="F1250" s="589" t="s">
        <v>2261</v>
      </c>
      <c r="G1250" s="117">
        <f>IF(G1231="תקין",SUMIF('תשלומי הורים ומלגות להורים (5) '!$B$18:$B$517,$G1226,'תשלומי הורים ומלגות להורים (5) '!$C$18:$C$517),0)</f>
        <v>0</v>
      </c>
      <c r="H1250" s="117">
        <f>(G1229+G1230)*$G$7</f>
        <v>0</v>
      </c>
      <c r="I1250" s="141"/>
      <c r="J1250" s="141"/>
      <c r="K1250" s="142"/>
      <c r="L1250" s="395"/>
      <c r="M1250" s="395"/>
      <c r="N1250" s="395"/>
      <c r="O1250" s="602"/>
      <c r="P1250" s="623"/>
      <c r="Q1250" s="619"/>
      <c r="R1250" s="596"/>
      <c r="S1250" s="612"/>
      <c r="T1250" s="599">
        <f>G1226</f>
        <v>0</v>
      </c>
      <c r="U1250" s="578"/>
      <c r="V1250" s="579"/>
      <c r="W1250" s="579">
        <f t="shared" si="176"/>
        <v>0</v>
      </c>
      <c r="X1250" s="579"/>
      <c r="Y1250" s="879"/>
      <c r="Z1250" s="121"/>
      <c r="AA1250" s="143"/>
      <c r="AB1250" s="143"/>
      <c r="AC1250" s="504"/>
      <c r="AD1250" s="505"/>
      <c r="AE1250" s="143"/>
      <c r="AF1250" s="148"/>
      <c r="BO1250" s="86"/>
    </row>
    <row r="1251" spans="1:67" ht="15.75" customHeight="1" thickBot="1" x14ac:dyDescent="0.3">
      <c r="A1251" s="520">
        <f>IFERROR(VLOOKUP($G$5,'רשימת רשויות'!A:C,3,0),0)</f>
        <v>0</v>
      </c>
      <c r="B1251" s="520">
        <f t="shared" si="175"/>
        <v>0</v>
      </c>
      <c r="D1251" s="1134"/>
      <c r="E1251" s="1137"/>
      <c r="F1251" s="592" t="s">
        <v>21</v>
      </c>
      <c r="G1251" s="144">
        <f>G1249-G1250</f>
        <v>0</v>
      </c>
      <c r="H1251" s="144">
        <f>H1249-H1250</f>
        <v>0</v>
      </c>
      <c r="I1251" s="145"/>
      <c r="J1251" s="145"/>
      <c r="K1251" s="146"/>
      <c r="L1251" s="396"/>
      <c r="M1251" s="396"/>
      <c r="N1251" s="396"/>
      <c r="O1251" s="602"/>
      <c r="P1251" s="619"/>
      <c r="Q1251" s="619"/>
      <c r="R1251" s="596"/>
      <c r="S1251" s="612"/>
      <c r="T1251" s="599">
        <f>G1226</f>
        <v>0</v>
      </c>
      <c r="U1251" s="578"/>
      <c r="V1251" s="579"/>
      <c r="W1251" s="579">
        <f t="shared" si="176"/>
        <v>0</v>
      </c>
      <c r="X1251" s="579"/>
      <c r="Y1251" s="879"/>
      <c r="Z1251" s="147"/>
      <c r="AA1251" s="148"/>
      <c r="AB1251" s="148"/>
      <c r="AC1251" s="504"/>
      <c r="AD1251" s="505"/>
      <c r="AE1251" s="148"/>
      <c r="AF1251" s="148"/>
      <c r="BO1251" s="86"/>
    </row>
    <row r="1252" spans="1:67" ht="15.75" customHeight="1" thickBot="1" x14ac:dyDescent="0.3">
      <c r="A1252" s="520">
        <f>IFERROR(VLOOKUP($G$5,'רשימת רשויות'!A:C,3,0),0)</f>
        <v>0</v>
      </c>
      <c r="B1252" s="520">
        <f t="shared" si="175"/>
        <v>0</v>
      </c>
      <c r="D1252" s="1134"/>
      <c r="E1252" s="1137"/>
      <c r="F1252" s="580"/>
      <c r="G1252" s="580"/>
      <c r="H1252" s="147"/>
      <c r="I1252" s="149" t="s">
        <v>2197</v>
      </c>
      <c r="J1252" s="150">
        <f>MAX(MIN(P1249,Q1249),0)</f>
        <v>0</v>
      </c>
      <c r="K1252" s="580"/>
      <c r="L1252" s="580"/>
      <c r="M1252" s="580"/>
      <c r="N1252" s="580"/>
      <c r="O1252" s="580"/>
      <c r="P1252" s="615" t="s">
        <v>2317</v>
      </c>
      <c r="Q1252" s="624">
        <f>SUM(Q1253:Q1254)</f>
        <v>0</v>
      </c>
      <c r="R1252" s="596"/>
      <c r="S1252" s="612"/>
      <c r="T1252" s="599">
        <f>G1226</f>
        <v>0</v>
      </c>
      <c r="U1252" s="578"/>
      <c r="V1252" s="579"/>
      <c r="W1252" s="579">
        <f t="shared" si="176"/>
        <v>0</v>
      </c>
      <c r="X1252" s="579"/>
      <c r="Y1252" s="879"/>
      <c r="Z1252" s="106"/>
      <c r="AC1252" s="504"/>
      <c r="AD1252" s="505"/>
      <c r="AF1252" s="148"/>
      <c r="BO1252" s="86"/>
    </row>
    <row r="1253" spans="1:67" ht="16.5" thickBot="1" x14ac:dyDescent="0.3">
      <c r="A1253" s="520">
        <f>IFERROR(VLOOKUP($G$5,'רשימת רשויות'!A:C,3,0),0)</f>
        <v>0</v>
      </c>
      <c r="B1253" s="520">
        <f t="shared" si="175"/>
        <v>0</v>
      </c>
      <c r="D1253" s="1134"/>
      <c r="E1253" s="1137"/>
      <c r="F1253" s="580"/>
      <c r="G1253" s="580"/>
      <c r="H1253" s="580"/>
      <c r="I1253" s="84" t="s">
        <v>2193</v>
      </c>
      <c r="J1253" s="515" t="str">
        <f>IFERROR(1-H1250/H1249,"")</f>
        <v/>
      </c>
      <c r="K1253" s="580"/>
      <c r="L1253" s="580"/>
      <c r="M1253" s="580"/>
      <c r="N1253" s="580"/>
      <c r="O1253" s="580"/>
      <c r="P1253" s="615" t="s">
        <v>417</v>
      </c>
      <c r="Q1253" s="616">
        <f>IFERROR(MAX(H1251-I1254-Q1254,0),0)</f>
        <v>0</v>
      </c>
      <c r="R1253" s="596"/>
      <c r="S1253" s="600"/>
      <c r="T1253" s="599">
        <f>G1226</f>
        <v>0</v>
      </c>
      <c r="U1253" s="578"/>
      <c r="V1253" s="579"/>
      <c r="W1253" s="579">
        <f t="shared" si="176"/>
        <v>0</v>
      </c>
      <c r="X1253" s="579"/>
      <c r="Y1253" s="879"/>
      <c r="Z1253" s="106"/>
      <c r="AC1253" s="504"/>
      <c r="AD1253" s="505"/>
      <c r="BO1253" s="86"/>
    </row>
    <row r="1254" spans="1:67" ht="17.25" thickBot="1" x14ac:dyDescent="0.3">
      <c r="A1254" s="520">
        <f>IFERROR(VLOOKUP($G$5,'רשימת רשויות'!A:C,3,0),0)</f>
        <v>0</v>
      </c>
      <c r="B1254" s="520">
        <f t="shared" si="175"/>
        <v>0</v>
      </c>
      <c r="D1254" s="1134"/>
      <c r="E1254" s="1137"/>
      <c r="F1254" s="1143" t="s">
        <v>2679</v>
      </c>
      <c r="G1254" s="1143"/>
      <c r="H1254" s="1143"/>
      <c r="I1254" s="722">
        <f>IF(G1231="לא תקין","לא קיימת זכאות לתקציב לאור אי איוש משרות רכז ו/או סגן רכז ",IFERROR(J1253*(J1252+J1249),0))</f>
        <v>0</v>
      </c>
      <c r="J1254" s="573"/>
      <c r="K1254" s="574"/>
      <c r="L1254" s="396"/>
      <c r="M1254" s="574"/>
      <c r="N1254" s="574"/>
      <c r="O1254" s="574"/>
      <c r="P1254" s="615" t="s">
        <v>2279</v>
      </c>
      <c r="Q1254" s="616">
        <f>MAX(IF(AND(G1249&gt;H1249,I1254&lt;H1251),H1251-I1254,0),0)</f>
        <v>0</v>
      </c>
      <c r="R1254" s="575"/>
      <c r="S1254" s="576" t="s">
        <v>67</v>
      </c>
      <c r="T1254" s="577">
        <f>G1226</f>
        <v>0</v>
      </c>
      <c r="U1254" s="578"/>
      <c r="V1254" s="579">
        <f>I1254</f>
        <v>0</v>
      </c>
      <c r="W1254" s="579">
        <f>IFERROR(U1254-V1254,0)</f>
        <v>0</v>
      </c>
      <c r="X1254" s="579">
        <f>SUM(X1240:X1253)</f>
        <v>0</v>
      </c>
      <c r="Y1254" s="879"/>
      <c r="Z1254" s="106"/>
      <c r="AC1254" s="506">
        <v>0</v>
      </c>
      <c r="AD1254" s="507">
        <f>IFERROR(U1254-AC1254,0)</f>
        <v>0</v>
      </c>
      <c r="BO1254" s="86"/>
    </row>
    <row r="1255" spans="1:67" ht="16.5" thickBot="1" x14ac:dyDescent="0.3">
      <c r="A1255" s="520">
        <f>IFERROR(VLOOKUP($G$5,'רשימת רשויות'!A:C,3,0),0)</f>
        <v>0</v>
      </c>
      <c r="B1255" s="520">
        <f t="shared" si="175"/>
        <v>0</v>
      </c>
      <c r="D1255" s="1135"/>
      <c r="E1255" s="1138"/>
      <c r="F1255" s="1144" t="s">
        <v>2793</v>
      </c>
      <c r="G1255" s="1145"/>
      <c r="H1255" s="1145"/>
      <c r="I1255" s="593">
        <f>IFERROR(IF(G1231="תקין",SUMIFS('סייעות רפואיות או אישיות (7)'!$Q$17:Q$384,'סייעות רפואיות או אישיות (7)'!C$17:C$384,G1226),0),0)</f>
        <v>0</v>
      </c>
      <c r="J1255" s="151"/>
      <c r="K1255" s="152"/>
      <c r="L1255" s="409"/>
      <c r="M1255" s="152"/>
      <c r="N1255" s="152"/>
      <c r="O1255" s="152"/>
      <c r="P1255" s="613"/>
      <c r="Q1255" s="614"/>
      <c r="R1255" s="475"/>
      <c r="S1255" s="489"/>
      <c r="T1255" s="490"/>
      <c r="U1255" s="491"/>
      <c r="V1255" s="492"/>
      <c r="W1255" s="492"/>
      <c r="X1255" s="492"/>
      <c r="Y1255" s="880"/>
      <c r="Z1255" s="153"/>
      <c r="AC1255" s="581"/>
      <c r="AD1255" s="582"/>
      <c r="BO1255" s="86"/>
    </row>
    <row r="1256" spans="1:67" ht="34.5" thickBot="1" x14ac:dyDescent="0.55000000000000004">
      <c r="A1256" s="520">
        <f>IFERROR(VLOOKUP($G$5,'רשימת רשויות'!A:C,3,0),0)</f>
        <v>0</v>
      </c>
      <c r="B1256" s="520">
        <f t="shared" si="175"/>
        <v>0</v>
      </c>
      <c r="E1256" s="154"/>
      <c r="I1256" s="143"/>
      <c r="J1256" s="148"/>
      <c r="O1256" s="148"/>
      <c r="T1256" s="481"/>
      <c r="BO1256" s="86"/>
    </row>
    <row r="1257" spans="1:67" s="20" customFormat="1" ht="16.5" customHeight="1" thickBot="1" x14ac:dyDescent="0.3">
      <c r="A1257" s="520">
        <f>IFERROR(VLOOKUP($G$5,'רשימת רשויות'!A:C,3,0),0)</f>
        <v>0</v>
      </c>
      <c r="B1257" s="520">
        <f t="shared" si="175"/>
        <v>0</v>
      </c>
      <c r="C1257" s="39"/>
      <c r="D1257" s="1133">
        <f>D1226+1</f>
        <v>41</v>
      </c>
      <c r="E1257" s="1136" t="str">
        <f>IFERROR(CONCATENATE("בית הספר ",VLOOKUP(G1257,'מצבת והרשמה (2)'!$C$21:$D$520,2,0)," - ",$G$5),"")</f>
        <v>בית הספר המוסד לא קיים - 0</v>
      </c>
      <c r="F1257" s="720" t="s">
        <v>146</v>
      </c>
      <c r="G1257" s="721">
        <f>IFERROR(VLOOKUP(D:D,'דוח ביצוע (3)'!$A$21:$C$900,2,0),0)</f>
        <v>0</v>
      </c>
      <c r="H1257" s="79"/>
      <c r="I1257" s="80" t="s">
        <v>150</v>
      </c>
      <c r="J1257" s="80"/>
      <c r="K1257" s="81"/>
      <c r="L1257" s="392"/>
      <c r="M1257" s="392"/>
      <c r="N1257" s="392"/>
      <c r="O1257" s="82"/>
      <c r="P1257" s="470"/>
      <c r="Q1257" s="471"/>
      <c r="R1257" s="472"/>
      <c r="S1257" s="883"/>
      <c r="T1257" s="884"/>
      <c r="U1257" s="486"/>
      <c r="V1257" s="487"/>
      <c r="W1257" s="487"/>
      <c r="X1257" s="487"/>
      <c r="Y1257" s="885"/>
      <c r="Z1257" s="83"/>
      <c r="AC1257" s="502"/>
      <c r="AD1257" s="503"/>
      <c r="AO1257" s="22"/>
      <c r="AP1257" s="22"/>
      <c r="AQ1257" s="22"/>
      <c r="AR1257" s="22"/>
      <c r="AS1257" s="22"/>
      <c r="AT1257" s="22"/>
      <c r="AU1257" s="35"/>
      <c r="AV1257" s="35"/>
      <c r="AW1257" s="35"/>
      <c r="AX1257" s="35"/>
      <c r="AY1257" s="35"/>
      <c r="AZ1257" s="35"/>
      <c r="BA1257" s="35"/>
      <c r="BB1257" s="35"/>
      <c r="BC1257" s="35"/>
      <c r="BD1257" s="35"/>
      <c r="BE1257" s="35"/>
      <c r="BF1257" s="35"/>
      <c r="BG1257" s="35"/>
      <c r="BH1257" s="35"/>
      <c r="BI1257" s="35"/>
      <c r="BJ1257" s="35"/>
      <c r="BK1257" s="35"/>
      <c r="BL1257" s="35"/>
      <c r="BM1257" s="35"/>
      <c r="BN1257" s="35"/>
      <c r="BO1257" s="78"/>
    </row>
    <row r="1258" spans="1:67" s="20" customFormat="1" ht="16.5" thickBot="1" x14ac:dyDescent="0.3">
      <c r="A1258" s="520">
        <f>IFERROR(VLOOKUP($G$5,'רשימת רשויות'!A:C,3,0),0)</f>
        <v>0</v>
      </c>
      <c r="B1258" s="520">
        <f t="shared" si="175"/>
        <v>0</v>
      </c>
      <c r="C1258" s="39"/>
      <c r="D1258" s="1134"/>
      <c r="E1258" s="1137"/>
      <c r="F1258" s="583" t="s">
        <v>145</v>
      </c>
      <c r="G1258" s="516" t="str">
        <f>IFERROR(IF((G1260+G1261)=0,"",IF(VLOOKUP(G1257,'דוח ביצוע (3)'!$B$21:$K$900,5,0)&gt;149,"גדול",IF(AND(VLOOKUP(G1257,'דוח ביצוע (3)'!$B$21:$K$900,5,0)&gt;0,VLOOKUP(G1257,'דוח ביצוע (3)'!$B$21:$K$900,5,0)&lt;150),"קטן",0))),"")</f>
        <v/>
      </c>
      <c r="H1258" s="723" t="s">
        <v>88</v>
      </c>
      <c r="I1258" s="723" t="s">
        <v>13</v>
      </c>
      <c r="J1258" s="725" t="s">
        <v>14</v>
      </c>
      <c r="K1258" s="724" t="s">
        <v>94</v>
      </c>
      <c r="L1258" s="594"/>
      <c r="M1258" s="420" t="s">
        <v>2584</v>
      </c>
      <c r="N1258" s="397" t="s">
        <v>413</v>
      </c>
      <c r="O1258" s="398" t="s">
        <v>52</v>
      </c>
      <c r="P1258" s="595"/>
      <c r="Q1258" s="595"/>
      <c r="R1258" s="596"/>
      <c r="S1258" s="610"/>
      <c r="T1258" s="881"/>
      <c r="U1258" s="598"/>
      <c r="V1258" s="599"/>
      <c r="W1258" s="599"/>
      <c r="X1258" s="599"/>
      <c r="Y1258" s="879"/>
      <c r="Z1258" s="85"/>
      <c r="AC1258" s="493"/>
      <c r="AD1258" s="495"/>
      <c r="AO1258" s="22"/>
      <c r="AP1258" s="22"/>
      <c r="AQ1258" s="22"/>
      <c r="AR1258" s="22"/>
      <c r="AS1258" s="22"/>
      <c r="AT1258" s="22"/>
      <c r="AU1258" s="35"/>
      <c r="AV1258" s="35"/>
      <c r="AW1258" s="35"/>
      <c r="AX1258" s="35"/>
      <c r="AY1258" s="35"/>
      <c r="AZ1258" s="35"/>
      <c r="BA1258" s="35"/>
      <c r="BB1258" s="35"/>
      <c r="BC1258" s="35"/>
      <c r="BD1258" s="35"/>
      <c r="BE1258" s="35"/>
      <c r="BF1258" s="35"/>
      <c r="BG1258" s="35"/>
      <c r="BH1258" s="35"/>
      <c r="BI1258" s="35"/>
      <c r="BJ1258" s="35"/>
      <c r="BK1258" s="35"/>
      <c r="BL1258" s="35"/>
      <c r="BM1258" s="35"/>
      <c r="BN1258" s="35"/>
      <c r="BO1258" s="78"/>
    </row>
    <row r="1259" spans="1:67" s="20" customFormat="1" ht="15.75" customHeight="1" thickBot="1" x14ac:dyDescent="0.3">
      <c r="A1259" s="520">
        <f>IFERROR(VLOOKUP($G$5,'רשימת רשויות'!A:C,3,0),0)</f>
        <v>0</v>
      </c>
      <c r="B1259" s="520">
        <f t="shared" si="175"/>
        <v>0</v>
      </c>
      <c r="C1259" s="39"/>
      <c r="D1259" s="1134"/>
      <c r="E1259" s="1137"/>
      <c r="F1259" s="584" t="s">
        <v>144</v>
      </c>
      <c r="G1259" s="87">
        <f>IF(G1262="תקין",IFERROR(VLOOKUP($G1257,'דוח ביצוע (3)'!$B$21:$Q$900,12,0),0),0)</f>
        <v>0</v>
      </c>
      <c r="H1259" s="88">
        <f>IFERROR(G1260*$AH$6+G1261*$AH$7,0)</f>
        <v>0</v>
      </c>
      <c r="I1259" s="88">
        <f>IFERROR(G1260*$AI$6+G1261*$AI$7,0)</f>
        <v>0</v>
      </c>
      <c r="J1259" s="88">
        <f>IFERROR(G1260*$AJ$6+G1261*$AJ$7,0)</f>
        <v>0</v>
      </c>
      <c r="K1259" s="88">
        <f>IFERROR(G1260*$AK$6+G1261*$AK$7,0)</f>
        <v>0</v>
      </c>
      <c r="L1259" s="405"/>
      <c r="M1259" s="399" t="s">
        <v>427</v>
      </c>
      <c r="N1259" s="400" t="str">
        <f>IFERROR(VLOOKUP($G1257,'דוח ביצוע (3)'!$B:$AE,28,0),"")</f>
        <v/>
      </c>
      <c r="O1259" s="89" t="str">
        <f>IFERROR(VLOOKUP($G1257,'דוח ביצוע (3)'!B:AE,29,0),"")</f>
        <v/>
      </c>
      <c r="P1259" s="595"/>
      <c r="Q1259" s="595"/>
      <c r="R1259" s="596"/>
      <c r="S1259" s="610"/>
      <c r="T1259" s="881"/>
      <c r="U1259" s="598"/>
      <c r="V1259" s="599"/>
      <c r="W1259" s="599"/>
      <c r="X1259" s="599"/>
      <c r="Y1259" s="879"/>
      <c r="Z1259" s="85"/>
      <c r="AC1259" s="493"/>
      <c r="AD1259" s="495"/>
      <c r="AO1259" s="22"/>
      <c r="AP1259" s="22"/>
      <c r="AQ1259" s="22"/>
      <c r="AR1259" s="22"/>
      <c r="AS1259" s="22"/>
      <c r="AT1259" s="22"/>
      <c r="AU1259" s="35"/>
      <c r="AV1259" s="35"/>
      <c r="AW1259" s="35"/>
      <c r="AX1259" s="35"/>
      <c r="AY1259" s="35"/>
      <c r="AZ1259" s="35"/>
      <c r="BA1259" s="35"/>
      <c r="BB1259" s="35"/>
      <c r="BC1259" s="35"/>
      <c r="BD1259" s="35"/>
      <c r="BE1259" s="35"/>
      <c r="BF1259" s="35"/>
      <c r="BG1259" s="35"/>
      <c r="BH1259" s="35"/>
      <c r="BI1259" s="35"/>
      <c r="BJ1259" s="35"/>
      <c r="BK1259" s="35"/>
      <c r="BL1259" s="35"/>
      <c r="BM1259" s="35"/>
      <c r="BN1259" s="35"/>
      <c r="BO1259" s="78"/>
    </row>
    <row r="1260" spans="1:67" s="20" customFormat="1" ht="32.25" thickBot="1" x14ac:dyDescent="0.3">
      <c r="A1260" s="520">
        <f>IFERROR(VLOOKUP($G$5,'רשימת רשויות'!A:C,3,0),0)</f>
        <v>0</v>
      </c>
      <c r="B1260" s="520">
        <f t="shared" si="175"/>
        <v>0</v>
      </c>
      <c r="C1260" s="39"/>
      <c r="D1260" s="1134"/>
      <c r="E1260" s="1137"/>
      <c r="F1260" s="585" t="s">
        <v>2195</v>
      </c>
      <c r="G1260" s="89">
        <f>IF(G1262="תקין",MAX(N1262,0),0)</f>
        <v>0</v>
      </c>
      <c r="H1260" s="725" t="s">
        <v>151</v>
      </c>
      <c r="I1260" s="725" t="s">
        <v>91</v>
      </c>
      <c r="J1260" s="970" t="s">
        <v>3396</v>
      </c>
      <c r="K1260" s="601"/>
      <c r="L1260" s="601"/>
      <c r="M1260" s="983" t="s">
        <v>2585</v>
      </c>
      <c r="N1260" s="400" t="str">
        <f>IFERROR(G1259/15*N1259*1.25,"")</f>
        <v/>
      </c>
      <c r="O1260" s="89" t="str">
        <f>IFERROR(G1259/15*O1259*1.25,"")</f>
        <v/>
      </c>
      <c r="P1260" s="595"/>
      <c r="Q1260" s="595"/>
      <c r="R1260" s="596"/>
      <c r="S1260" s="610"/>
      <c r="T1260" s="881"/>
      <c r="U1260" s="598"/>
      <c r="V1260" s="599"/>
      <c r="W1260" s="599"/>
      <c r="X1260" s="599"/>
      <c r="Y1260" s="879"/>
      <c r="Z1260" s="85"/>
      <c r="AC1260" s="493"/>
      <c r="AD1260" s="495"/>
      <c r="AG1260" s="22"/>
      <c r="AH1260" s="55"/>
      <c r="AI1260" s="55"/>
      <c r="AJ1260" s="55"/>
      <c r="AK1260" s="55"/>
      <c r="AO1260" s="22"/>
      <c r="AP1260" s="22"/>
      <c r="AQ1260" s="22"/>
      <c r="AR1260" s="22"/>
      <c r="AS1260" s="22"/>
      <c r="AT1260" s="22"/>
      <c r="AU1260" s="35"/>
      <c r="AV1260" s="35"/>
      <c r="AW1260" s="35"/>
      <c r="AX1260" s="35"/>
      <c r="AY1260" s="35"/>
      <c r="AZ1260" s="35"/>
      <c r="BA1260" s="35"/>
      <c r="BB1260" s="35"/>
      <c r="BC1260" s="35"/>
      <c r="BD1260" s="35"/>
      <c r="BE1260" s="35"/>
      <c r="BF1260" s="35"/>
      <c r="BG1260" s="35"/>
      <c r="BH1260" s="35"/>
      <c r="BI1260" s="35"/>
      <c r="BJ1260" s="35"/>
      <c r="BK1260" s="35"/>
      <c r="BL1260" s="35"/>
      <c r="BM1260" s="35"/>
      <c r="BN1260" s="35"/>
      <c r="BO1260" s="86"/>
    </row>
    <row r="1261" spans="1:67" s="20" customFormat="1" ht="16.5" thickBot="1" x14ac:dyDescent="0.3">
      <c r="A1261" s="520">
        <f>IFERROR(VLOOKUP($G$5,'רשימת רשויות'!A:C,3,0),0)</f>
        <v>0</v>
      </c>
      <c r="B1261" s="520">
        <f t="shared" si="175"/>
        <v>0</v>
      </c>
      <c r="C1261" s="39"/>
      <c r="D1261" s="1134"/>
      <c r="E1261" s="1137"/>
      <c r="F1261" s="585" t="s">
        <v>2196</v>
      </c>
      <c r="G1261" s="89">
        <f>IF(G1262="תקין",MAX(O1262,0),0)</f>
        <v>0</v>
      </c>
      <c r="H1261" s="88">
        <f>(IFERROR(IF((G1260+G1261)=0,0,IF(G1258="קטן",G1259*$AH$10,G1259*$AH$11)),0))+(IFERROR(IF((G1260+G1261)=0,0,VLOOKUP(G1257,'דוח ביצוע (3)'!$B:$AH,33,0)),0))</f>
        <v>0</v>
      </c>
      <c r="I1261" s="88">
        <f>IFERROR(IF((G1260+G1261)=0,0,IF(G1258="קטן",G1259*$AI$10,G1259*$AI$11)),0)</f>
        <v>0</v>
      </c>
      <c r="J1261" s="88">
        <f>IFERROR(IF((G1260+G1261)=0,0,VLOOKUP(G1257,'דוח ביצוע (3)'!$B:$AH,32,0)),0)</f>
        <v>0</v>
      </c>
      <c r="K1261" s="90"/>
      <c r="L1261" s="90"/>
      <c r="M1261" s="399" t="s">
        <v>412</v>
      </c>
      <c r="N1261" s="400">
        <f>IFERROR(VLOOKUP($G1257,'דוח ביצוע (3)'!$B$21:$U$500,18,0),0)</f>
        <v>0</v>
      </c>
      <c r="O1261" s="401">
        <f>IFERROR(VLOOKUP($G1257,'דוח ביצוע (3)'!$B$21:$U$500,19,0),0)</f>
        <v>0</v>
      </c>
      <c r="P1261" s="595"/>
      <c r="Q1261" s="595"/>
      <c r="R1261" s="596"/>
      <c r="S1261" s="610"/>
      <c r="T1261" s="881"/>
      <c r="U1261" s="598"/>
      <c r="V1261" s="599"/>
      <c r="W1261" s="599"/>
      <c r="X1261" s="599"/>
      <c r="Y1261" s="879"/>
      <c r="Z1261" s="85"/>
      <c r="AC1261" s="493"/>
      <c r="AD1261" s="495"/>
      <c r="AG1261" s="22"/>
      <c r="AH1261" s="55"/>
      <c r="AI1261" s="55"/>
      <c r="AJ1261" s="55"/>
      <c r="AK1261" s="55"/>
      <c r="AO1261" s="22"/>
      <c r="AP1261" s="22"/>
      <c r="AQ1261" s="22"/>
      <c r="AR1261" s="22"/>
      <c r="AS1261" s="22"/>
      <c r="AT1261" s="22"/>
      <c r="AU1261" s="35"/>
      <c r="AV1261" s="35"/>
      <c r="AW1261" s="35"/>
      <c r="AX1261" s="35"/>
      <c r="AY1261" s="35"/>
      <c r="AZ1261" s="35"/>
      <c r="BA1261" s="35"/>
      <c r="BB1261" s="35"/>
      <c r="BC1261" s="35"/>
      <c r="BD1261" s="35"/>
      <c r="BE1261" s="35"/>
      <c r="BF1261" s="35"/>
      <c r="BG1261" s="35"/>
      <c r="BH1261" s="35"/>
      <c r="BI1261" s="35"/>
      <c r="BJ1261" s="35"/>
      <c r="BK1261" s="35"/>
      <c r="BL1261" s="35"/>
      <c r="BM1261" s="35"/>
      <c r="BN1261" s="35"/>
      <c r="BO1261" s="86"/>
    </row>
    <row r="1262" spans="1:67" s="20" customFormat="1" ht="16.5" thickBot="1" x14ac:dyDescent="0.3">
      <c r="A1262" s="520">
        <f>IFERROR(VLOOKUP($G$5,'רשימת רשויות'!A:C,3,0),0)</f>
        <v>0</v>
      </c>
      <c r="B1262" s="520">
        <f t="shared" si="175"/>
        <v>0</v>
      </c>
      <c r="C1262" s="39"/>
      <c r="D1262" s="1134"/>
      <c r="E1262" s="1137"/>
      <c r="F1262" s="586" t="s">
        <v>2355</v>
      </c>
      <c r="G1262" s="514">
        <f>IFERROR(IF(VLOOKUP('בית ספר - תקצוב לפי מוסד (9)'!G1257,' איוש משרות (8)'!$C:$K,9,0)="תקין","תקין","לא תקין"),0)</f>
        <v>0</v>
      </c>
      <c r="H1262" s="91"/>
      <c r="I1262" s="91"/>
      <c r="J1262" s="91"/>
      <c r="K1262" s="90"/>
      <c r="L1262" s="90"/>
      <c r="M1262" s="402" t="s">
        <v>2586</v>
      </c>
      <c r="N1262" s="403">
        <f>IFERROR(MIN(N1260,N1261),0)</f>
        <v>0</v>
      </c>
      <c r="O1262" s="404">
        <f>IFERROR(MIN(O1260,O1261),0)</f>
        <v>0</v>
      </c>
      <c r="P1262" s="595"/>
      <c r="Q1262" s="595"/>
      <c r="R1262" s="596"/>
      <c r="S1262" s="610"/>
      <c r="T1262" s="881"/>
      <c r="U1262" s="598"/>
      <c r="V1262" s="599"/>
      <c r="W1262" s="599"/>
      <c r="X1262" s="599"/>
      <c r="Y1262" s="879"/>
      <c r="Z1262" s="85"/>
      <c r="AC1262" s="493"/>
      <c r="AD1262" s="495"/>
      <c r="AG1262" s="94"/>
      <c r="AH1262" s="40"/>
      <c r="AI1262" s="40"/>
      <c r="AJ1262" s="40"/>
      <c r="AK1262" s="40"/>
      <c r="AO1262" s="22"/>
      <c r="AP1262" s="22"/>
      <c r="AQ1262" s="22"/>
      <c r="AR1262" s="22"/>
      <c r="AS1262" s="22"/>
      <c r="AT1262" s="22"/>
      <c r="AU1262" s="35"/>
      <c r="AV1262" s="35"/>
      <c r="AW1262" s="35"/>
      <c r="AX1262" s="35"/>
      <c r="AY1262" s="35"/>
      <c r="AZ1262" s="35"/>
      <c r="BA1262" s="35"/>
      <c r="BB1262" s="35"/>
      <c r="BC1262" s="35"/>
      <c r="BD1262" s="35"/>
      <c r="BE1262" s="35"/>
      <c r="BF1262" s="35"/>
      <c r="BG1262" s="35"/>
      <c r="BH1262" s="35"/>
      <c r="BI1262" s="35"/>
      <c r="BJ1262" s="35"/>
      <c r="BK1262" s="35"/>
      <c r="BL1262" s="35"/>
      <c r="BM1262" s="35"/>
      <c r="BN1262" s="35"/>
      <c r="BO1262" s="86"/>
    </row>
    <row r="1263" spans="1:67" s="55" customFormat="1" ht="37.15" customHeight="1" thickBot="1" x14ac:dyDescent="0.3">
      <c r="A1263" s="520">
        <f>IFERROR(VLOOKUP($G$5,'רשימת רשויות'!A:C,3,0),0)</f>
        <v>0</v>
      </c>
      <c r="B1263" s="520">
        <f t="shared" si="175"/>
        <v>0</v>
      </c>
      <c r="C1263" s="39"/>
      <c r="D1263" s="1134"/>
      <c r="E1263" s="1137"/>
      <c r="F1263" s="587" t="s">
        <v>142</v>
      </c>
      <c r="G1263" s="92"/>
      <c r="H1263" s="92"/>
      <c r="I1263" s="92"/>
      <c r="J1263" s="92"/>
      <c r="K1263" s="602"/>
      <c r="L1263" s="602"/>
      <c r="M1263" s="602"/>
      <c r="N1263" s="602"/>
      <c r="O1263" s="602"/>
      <c r="P1263" s="595"/>
      <c r="Q1263" s="595"/>
      <c r="R1263" s="596"/>
      <c r="S1263" s="610"/>
      <c r="T1263" s="881"/>
      <c r="U1263" s="598"/>
      <c r="V1263" s="599"/>
      <c r="W1263" s="599"/>
      <c r="X1263" s="599"/>
      <c r="Y1263" s="879"/>
      <c r="Z1263" s="93"/>
      <c r="AC1263" s="493"/>
      <c r="AD1263" s="495"/>
      <c r="AF1263" s="22"/>
      <c r="AG1263" s="98"/>
      <c r="AH1263" s="98"/>
      <c r="AI1263" s="40"/>
      <c r="AJ1263" s="40"/>
      <c r="AK1263" s="40"/>
      <c r="AO1263" s="22"/>
      <c r="AP1263" s="22"/>
      <c r="AQ1263" s="22"/>
      <c r="AR1263" s="22"/>
      <c r="AS1263" s="22"/>
      <c r="AT1263" s="22"/>
      <c r="AU1263" s="35"/>
      <c r="AV1263" s="35"/>
      <c r="AW1263" s="35"/>
      <c r="AX1263" s="35"/>
      <c r="AY1263" s="35"/>
      <c r="AZ1263" s="35"/>
      <c r="BA1263" s="35"/>
      <c r="BB1263" s="35"/>
      <c r="BC1263" s="35"/>
      <c r="BD1263" s="35"/>
      <c r="BE1263" s="35"/>
      <c r="BF1263" s="35"/>
      <c r="BG1263" s="35"/>
      <c r="BH1263" s="35"/>
      <c r="BI1263" s="35"/>
      <c r="BJ1263" s="35"/>
      <c r="BK1263" s="35"/>
      <c r="BL1263" s="35"/>
      <c r="BM1263" s="35"/>
      <c r="BN1263" s="35"/>
      <c r="BO1263" s="86"/>
    </row>
    <row r="1264" spans="1:67" s="40" customFormat="1" ht="31.5" x14ac:dyDescent="0.25">
      <c r="A1264" s="520">
        <f>IFERROR(VLOOKUP($G$5,'רשימת רשויות'!A:C,3,0),0)</f>
        <v>0</v>
      </c>
      <c r="B1264" s="520">
        <f t="shared" si="175"/>
        <v>0</v>
      </c>
      <c r="C1264" s="39"/>
      <c r="D1264" s="1134"/>
      <c r="E1264" s="1137"/>
      <c r="F1264" s="588" t="s">
        <v>94</v>
      </c>
      <c r="G1264" s="95" t="s">
        <v>18</v>
      </c>
      <c r="H1264" s="95" t="s">
        <v>19</v>
      </c>
      <c r="I1264" s="95" t="s">
        <v>138</v>
      </c>
      <c r="J1264" s="96" t="s">
        <v>139</v>
      </c>
      <c r="K1264" s="603"/>
      <c r="L1264" s="603"/>
      <c r="M1264" s="603"/>
      <c r="N1264" s="603"/>
      <c r="O1264" s="603"/>
      <c r="P1264" s="604"/>
      <c r="Q1264" s="604"/>
      <c r="R1264" s="596"/>
      <c r="S1264" s="610"/>
      <c r="T1264" s="881"/>
      <c r="U1264" s="598"/>
      <c r="V1264" s="599"/>
      <c r="W1264" s="599"/>
      <c r="X1264" s="599"/>
      <c r="Y1264" s="879"/>
      <c r="Z1264" s="97"/>
      <c r="AA1264" s="94"/>
      <c r="AB1264" s="94"/>
      <c r="AC1264" s="493"/>
      <c r="AD1264" s="495"/>
      <c r="AE1264" s="94"/>
      <c r="AG1264" s="98"/>
      <c r="AH1264" s="98"/>
      <c r="AO1264" s="22"/>
      <c r="AP1264" s="22"/>
      <c r="AQ1264" s="22"/>
      <c r="AR1264" s="22"/>
      <c r="AS1264" s="22"/>
      <c r="AT1264" s="22"/>
      <c r="AU1264" s="35"/>
      <c r="AV1264" s="35"/>
      <c r="AW1264" s="35"/>
      <c r="AX1264" s="35"/>
      <c r="AY1264" s="35"/>
      <c r="AZ1264" s="35"/>
      <c r="BA1264" s="35"/>
      <c r="BB1264" s="35"/>
      <c r="BC1264" s="35"/>
      <c r="BD1264" s="35"/>
      <c r="BE1264" s="35"/>
      <c r="BF1264" s="35"/>
      <c r="BG1264" s="35"/>
      <c r="BH1264" s="35"/>
      <c r="BI1264" s="35"/>
      <c r="BJ1264" s="35"/>
      <c r="BK1264" s="35"/>
      <c r="BL1264" s="35"/>
      <c r="BM1264" s="35"/>
      <c r="BN1264" s="35"/>
      <c r="BO1264" s="86"/>
    </row>
    <row r="1265" spans="1:67" s="40" customFormat="1" ht="15.75" customHeight="1" thickBot="1" x14ac:dyDescent="0.3">
      <c r="A1265" s="520">
        <f>IFERROR(VLOOKUP($G$5,'רשימת רשויות'!A:C,3,0),0)</f>
        <v>0</v>
      </c>
      <c r="B1265" s="520">
        <f t="shared" si="175"/>
        <v>0</v>
      </c>
      <c r="C1265" s="39"/>
      <c r="D1265" s="1134"/>
      <c r="E1265" s="1137"/>
      <c r="F1265" s="589" t="s">
        <v>2280</v>
      </c>
      <c r="G1265" s="99">
        <f>+G1276</f>
        <v>0</v>
      </c>
      <c r="H1265" s="100">
        <f>K1259</f>
        <v>0</v>
      </c>
      <c r="I1265" s="100">
        <f>H1265-I1267</f>
        <v>0</v>
      </c>
      <c r="J1265" s="101">
        <f>IFERROR(I1265/H1265,0)</f>
        <v>0</v>
      </c>
      <c r="K1265" s="603"/>
      <c r="L1265" s="603"/>
      <c r="M1265" s="603"/>
      <c r="N1265" s="603"/>
      <c r="O1265" s="603"/>
      <c r="P1265" s="605"/>
      <c r="Q1265" s="604"/>
      <c r="R1265" s="606" t="s">
        <v>157</v>
      </c>
      <c r="S1265" s="611"/>
      <c r="T1265" s="881"/>
      <c r="U1265" s="598"/>
      <c r="V1265" s="599"/>
      <c r="W1265" s="599"/>
      <c r="X1265" s="599"/>
      <c r="Y1265" s="879"/>
      <c r="Z1265" s="102"/>
      <c r="AA1265" s="122"/>
      <c r="AB1265" s="122"/>
      <c r="AC1265" s="493"/>
      <c r="AD1265" s="495"/>
      <c r="AE1265" s="122"/>
      <c r="AF1265" s="22"/>
      <c r="AG1265" s="98"/>
      <c r="AH1265" s="98"/>
      <c r="AI1265" s="20"/>
      <c r="AO1265" s="22"/>
      <c r="AP1265" s="22"/>
      <c r="AQ1265" s="22"/>
      <c r="AR1265" s="22"/>
      <c r="AS1265" s="22"/>
      <c r="AT1265" s="22"/>
      <c r="AU1265" s="35"/>
      <c r="AV1265" s="35"/>
      <c r="AW1265" s="35"/>
      <c r="AX1265" s="35"/>
      <c r="AY1265" s="35"/>
      <c r="AZ1265" s="35"/>
      <c r="BA1265" s="35"/>
      <c r="BB1265" s="35"/>
      <c r="BC1265" s="35"/>
      <c r="BD1265" s="35"/>
      <c r="BE1265" s="35"/>
      <c r="BF1265" s="35"/>
      <c r="BG1265" s="35"/>
      <c r="BH1265" s="35"/>
      <c r="BI1265" s="35"/>
      <c r="BJ1265" s="35"/>
      <c r="BK1265" s="35"/>
      <c r="BL1265" s="35"/>
      <c r="BM1265" s="35"/>
      <c r="BN1265" s="35"/>
      <c r="BO1265" s="86"/>
    </row>
    <row r="1266" spans="1:67" s="40" customFormat="1" ht="15.75" customHeight="1" thickBot="1" x14ac:dyDescent="0.3">
      <c r="A1266" s="520">
        <f>IFERROR(VLOOKUP($G$5,'רשימת רשויות'!A:C,3,0),0)</f>
        <v>0</v>
      </c>
      <c r="B1266" s="520">
        <f t="shared" si="175"/>
        <v>0</v>
      </c>
      <c r="C1266" s="39"/>
      <c r="D1266" s="1134"/>
      <c r="E1266" s="1137"/>
      <c r="F1266" s="589" t="s">
        <v>2281</v>
      </c>
      <c r="G1266" s="99">
        <f>+G1275</f>
        <v>0</v>
      </c>
      <c r="H1266" s="103"/>
      <c r="I1266" s="104"/>
      <c r="J1266" s="105"/>
      <c r="K1266" s="603"/>
      <c r="L1266" s="603"/>
      <c r="M1266" s="603"/>
      <c r="N1266" s="603"/>
      <c r="O1266" s="603"/>
      <c r="P1266" s="605"/>
      <c r="Q1266" s="604"/>
      <c r="R1266" s="473">
        <f>I1267-R1268</f>
        <v>0</v>
      </c>
      <c r="S1266" s="611"/>
      <c r="T1266" s="881"/>
      <c r="U1266" s="598"/>
      <c r="V1266" s="599"/>
      <c r="W1266" s="599"/>
      <c r="X1266" s="599"/>
      <c r="Y1266" s="879"/>
      <c r="Z1266" s="106"/>
      <c r="AA1266" s="22"/>
      <c r="AB1266" s="22"/>
      <c r="AC1266" s="493"/>
      <c r="AD1266" s="495"/>
      <c r="AE1266" s="22"/>
      <c r="AF1266" s="22"/>
      <c r="AG1266" s="98"/>
      <c r="AH1266" s="98"/>
      <c r="AI1266" s="20"/>
      <c r="AO1266" s="22"/>
      <c r="AP1266" s="22"/>
      <c r="AQ1266" s="22"/>
      <c r="AR1266" s="22"/>
      <c r="AS1266" s="22"/>
      <c r="AT1266" s="22"/>
      <c r="AU1266" s="35"/>
      <c r="AV1266" s="35"/>
      <c r="AW1266" s="35"/>
      <c r="AX1266" s="35"/>
      <c r="AY1266" s="35"/>
      <c r="AZ1266" s="35"/>
      <c r="BA1266" s="35"/>
      <c r="BB1266" s="35"/>
      <c r="BC1266" s="35"/>
      <c r="BD1266" s="35"/>
      <c r="BE1266" s="35"/>
      <c r="BF1266" s="35"/>
      <c r="BG1266" s="35"/>
      <c r="BH1266" s="35"/>
      <c r="BI1266" s="35"/>
      <c r="BJ1266" s="35"/>
      <c r="BK1266" s="35"/>
      <c r="BL1266" s="35"/>
      <c r="BM1266" s="35"/>
      <c r="BN1266" s="35"/>
      <c r="BO1266" s="86"/>
    </row>
    <row r="1267" spans="1:67" s="40" customFormat="1" ht="16.5" customHeight="1" thickBot="1" x14ac:dyDescent="0.3">
      <c r="A1267" s="520">
        <f>IFERROR(VLOOKUP($G$5,'רשימת רשויות'!A:C,3,0),0)</f>
        <v>0</v>
      </c>
      <c r="B1267" s="520">
        <f t="shared" si="175"/>
        <v>0</v>
      </c>
      <c r="C1267" s="39"/>
      <c r="D1267" s="1134"/>
      <c r="E1267" s="1137"/>
      <c r="F1267" s="589" t="s">
        <v>2282</v>
      </c>
      <c r="G1267" s="99">
        <f>G1271+G1272+G1273</f>
        <v>0</v>
      </c>
      <c r="H1267" s="104"/>
      <c r="I1267" s="107">
        <f>MAX(H1265-G1265-G1266,0)</f>
        <v>0</v>
      </c>
      <c r="J1267" s="108">
        <f>IFERROR(I1267/H1265,0)</f>
        <v>0</v>
      </c>
      <c r="K1267" s="603"/>
      <c r="L1267" s="603"/>
      <c r="M1267" s="603"/>
      <c r="N1267" s="603"/>
      <c r="O1267" s="603"/>
      <c r="P1267" s="604"/>
      <c r="Q1267" s="604"/>
      <c r="R1267" s="606" t="s">
        <v>158</v>
      </c>
      <c r="S1267" s="612"/>
      <c r="T1267" s="881"/>
      <c r="U1267" s="598"/>
      <c r="V1267" s="599"/>
      <c r="W1267" s="599"/>
      <c r="X1267" s="599"/>
      <c r="Y1267" s="879"/>
      <c r="Z1267" s="106"/>
      <c r="AA1267" s="22"/>
      <c r="AB1267" s="22"/>
      <c r="AC1267" s="493"/>
      <c r="AD1267" s="495"/>
      <c r="AE1267" s="22"/>
      <c r="AF1267" s="22"/>
      <c r="AG1267" s="22"/>
      <c r="AH1267" s="22"/>
      <c r="AI1267" s="55"/>
      <c r="AJ1267" s="22"/>
      <c r="AK1267" s="22"/>
      <c r="AO1267" s="22"/>
      <c r="AP1267" s="22"/>
      <c r="AQ1267" s="22"/>
      <c r="AR1267" s="22"/>
      <c r="AS1267" s="22"/>
      <c r="AT1267" s="22"/>
      <c r="AU1267" s="35"/>
      <c r="AV1267" s="35"/>
      <c r="AW1267" s="35"/>
      <c r="AX1267" s="35"/>
      <c r="AY1267" s="35"/>
      <c r="AZ1267" s="35"/>
      <c r="BA1267" s="35"/>
      <c r="BB1267" s="35"/>
      <c r="BC1267" s="35"/>
      <c r="BD1267" s="35"/>
      <c r="BE1267" s="35"/>
      <c r="BF1267" s="35"/>
      <c r="BG1267" s="35"/>
      <c r="BH1267" s="35"/>
      <c r="BI1267" s="35"/>
      <c r="BJ1267" s="35"/>
      <c r="BK1267" s="35"/>
      <c r="BL1267" s="35"/>
      <c r="BM1267" s="35"/>
      <c r="BN1267" s="35"/>
      <c r="BO1267" s="86"/>
    </row>
    <row r="1268" spans="1:67" s="40" customFormat="1" ht="15.75" customHeight="1" thickBot="1" x14ac:dyDescent="0.3">
      <c r="A1268" s="520">
        <f>IFERROR(VLOOKUP($G$5,'רשימת רשויות'!A:C,3,0),0)</f>
        <v>0</v>
      </c>
      <c r="B1268" s="520">
        <f t="shared" si="175"/>
        <v>0</v>
      </c>
      <c r="C1268" s="39"/>
      <c r="D1268" s="1134"/>
      <c r="E1268" s="1137"/>
      <c r="F1268" s="590" t="s">
        <v>2290</v>
      </c>
      <c r="G1268" s="109"/>
      <c r="H1268" s="110"/>
      <c r="I1268" s="111">
        <f>SUM(I1265:I1267)</f>
        <v>0</v>
      </c>
      <c r="J1268" s="112">
        <f>SUM(J1265:J1267)</f>
        <v>0</v>
      </c>
      <c r="K1268" s="603"/>
      <c r="L1268" s="603"/>
      <c r="M1268" s="603"/>
      <c r="N1268" s="603"/>
      <c r="O1268" s="603"/>
      <c r="P1268" s="604"/>
      <c r="Q1268" s="604"/>
      <c r="R1268" s="473">
        <f>MIN(MAX(G1272+G1273-I1261-J1261,0),I1267)</f>
        <v>0</v>
      </c>
      <c r="S1268" s="612"/>
      <c r="T1268" s="881"/>
      <c r="U1268" s="598"/>
      <c r="V1268" s="599"/>
      <c r="W1268" s="599"/>
      <c r="X1268" s="599"/>
      <c r="Y1268" s="879"/>
      <c r="Z1268" s="106"/>
      <c r="AA1268" s="22"/>
      <c r="AB1268" s="22"/>
      <c r="AC1268" s="493"/>
      <c r="AD1268" s="495"/>
      <c r="AE1268" s="22"/>
      <c r="AF1268" s="22"/>
      <c r="AG1268" s="22"/>
      <c r="AH1268" s="22"/>
      <c r="AJ1268" s="22"/>
      <c r="AK1268" s="22"/>
      <c r="AO1268" s="22"/>
      <c r="AP1268" s="22"/>
      <c r="AQ1268" s="22"/>
      <c r="AR1268" s="22"/>
      <c r="AS1268" s="22"/>
      <c r="AT1268" s="22"/>
      <c r="AU1268" s="35"/>
      <c r="AV1268" s="35"/>
      <c r="AW1268" s="35"/>
      <c r="AX1268" s="35"/>
      <c r="AY1268" s="35"/>
      <c r="AZ1268" s="35"/>
      <c r="BA1268" s="35"/>
      <c r="BB1268" s="35"/>
      <c r="BC1268" s="35"/>
      <c r="BD1268" s="35"/>
      <c r="BE1268" s="35"/>
      <c r="BF1268" s="35"/>
      <c r="BG1268" s="35"/>
      <c r="BH1268" s="35"/>
      <c r="BI1268" s="35"/>
      <c r="BJ1268" s="35"/>
      <c r="BK1268" s="35"/>
      <c r="BL1268" s="35"/>
      <c r="BM1268" s="35"/>
      <c r="BN1268" s="35"/>
      <c r="BO1268" s="86"/>
    </row>
    <row r="1269" spans="1:67" ht="16.5" thickBot="1" x14ac:dyDescent="0.3">
      <c r="A1269" s="520">
        <f>IFERROR(VLOOKUP($G$5,'רשימת רשויות'!A:C,3,0),0)</f>
        <v>0</v>
      </c>
      <c r="B1269" s="520">
        <f t="shared" si="175"/>
        <v>0</v>
      </c>
      <c r="D1269" s="1134"/>
      <c r="E1269" s="1137"/>
      <c r="F1269" s="587" t="s">
        <v>17</v>
      </c>
      <c r="G1269" s="113"/>
      <c r="H1269" s="92"/>
      <c r="I1269" s="114"/>
      <c r="J1269" s="115"/>
      <c r="K1269" s="116"/>
      <c r="L1269" s="406"/>
      <c r="M1269" s="116"/>
      <c r="N1269" s="116"/>
      <c r="O1269" s="116"/>
      <c r="P1269" s="474"/>
      <c r="Q1269" s="607"/>
      <c r="R1269" s="608"/>
      <c r="S1269" s="612"/>
      <c r="T1269" s="881"/>
      <c r="U1269" s="598"/>
      <c r="V1269" s="599"/>
      <c r="W1269" s="599"/>
      <c r="X1269" s="599"/>
      <c r="Y1269" s="879"/>
      <c r="Z1269" s="106"/>
      <c r="AI1269" s="40"/>
      <c r="BO1269" s="86"/>
    </row>
    <row r="1270" spans="1:67" ht="47.25" x14ac:dyDescent="0.25">
      <c r="A1270" s="520">
        <f>IFERROR(VLOOKUP($G$5,'רשימת רשויות'!A:C,3,0),0)</f>
        <v>0</v>
      </c>
      <c r="B1270" s="520">
        <f t="shared" si="175"/>
        <v>0</v>
      </c>
      <c r="D1270" s="1134"/>
      <c r="E1270" s="1137"/>
      <c r="F1270" s="588" t="s">
        <v>2</v>
      </c>
      <c r="G1270" s="95" t="s">
        <v>18</v>
      </c>
      <c r="H1270" s="95" t="s">
        <v>19</v>
      </c>
      <c r="I1270" s="95" t="s">
        <v>20</v>
      </c>
      <c r="J1270" s="95" t="s">
        <v>22</v>
      </c>
      <c r="K1270" s="96" t="s">
        <v>2314</v>
      </c>
      <c r="L1270" s="609"/>
      <c r="M1270" s="609"/>
      <c r="N1270" s="609"/>
      <c r="O1270" s="580"/>
      <c r="P1270" s="618" t="s">
        <v>2298</v>
      </c>
      <c r="Q1270" s="618" t="s">
        <v>2299</v>
      </c>
      <c r="R1270" s="596"/>
      <c r="S1270" s="890" t="s">
        <v>2519</v>
      </c>
      <c r="T1270" s="890" t="s">
        <v>97</v>
      </c>
      <c r="U1270" s="891" t="s">
        <v>2521</v>
      </c>
      <c r="V1270" s="892" t="s">
        <v>2520</v>
      </c>
      <c r="W1270" s="893" t="s">
        <v>2524</v>
      </c>
      <c r="X1270" s="892" t="s">
        <v>2522</v>
      </c>
      <c r="Y1270" s="894" t="s">
        <v>2523</v>
      </c>
      <c r="Z1270" s="106"/>
      <c r="AC1270" s="498" t="s">
        <v>2568</v>
      </c>
      <c r="AD1270" s="499" t="s">
        <v>2569</v>
      </c>
      <c r="AF1270" s="122"/>
      <c r="AI1270" s="40"/>
      <c r="BO1270" s="86"/>
    </row>
    <row r="1271" spans="1:67" ht="15" customHeight="1" thickBot="1" x14ac:dyDescent="0.3">
      <c r="A1271" s="520">
        <f>IFERROR(VLOOKUP($G$5,'רשימת רשויות'!A:C,3,0),0)</f>
        <v>0</v>
      </c>
      <c r="B1271" s="520">
        <f t="shared" si="175"/>
        <v>0</v>
      </c>
      <c r="D1271" s="1134"/>
      <c r="E1271" s="1137"/>
      <c r="F1271" s="589" t="s">
        <v>76</v>
      </c>
      <c r="G1271" s="117">
        <f>IF(G1262="תקין",SUMIF('עלויות כח אדם (6)'!$B$15:$B$3014,'בית ספר - תקצוב לפי מוסד (9)'!$G1257,'עלויות כח אדם (6)'!$M$15:$M$3014)-VLOOKUP('בית ספר - תקצוב לפי מוסד (9)'!G1257,' איוש משרות (8)'!$C:$H,5,0)-VLOOKUP('בית ספר - תקצוב לפי מוסד (9)'!G1257,' איוש משרות (8)'!$C:$H,6,0),0)-Y1271</f>
        <v>0</v>
      </c>
      <c r="H1271" s="118">
        <f>I1259+R1266</f>
        <v>0</v>
      </c>
      <c r="I1271" s="119">
        <f>IFERROR(SUM(G1271)/H1271,0)</f>
        <v>0</v>
      </c>
      <c r="J1271" s="100">
        <f>MIN(I1259+R1266,IF(ISNUMBER(G1271),G1271,0))</f>
        <v>0</v>
      </c>
      <c r="K1271" s="120">
        <f>MAX(H1271-G1271,0)</f>
        <v>0</v>
      </c>
      <c r="L1271" s="407"/>
      <c r="M1271" s="393"/>
      <c r="N1271" s="393"/>
      <c r="O1271" s="580"/>
      <c r="P1271" s="968">
        <f>IFERROR(IF(SUM(G1271)/(I1259)&lt;100%,MIN((I1259)-SUM(G1271),(I1259)*0.25),0),0)</f>
        <v>0</v>
      </c>
      <c r="Q1271" s="968">
        <f>IF(SUM(G1271)-(I1259+R1266)&gt;0,SUM(G1271)-(I1259+R1266),0)</f>
        <v>0</v>
      </c>
      <c r="R1271" s="596" t="s">
        <v>2351</v>
      </c>
      <c r="S1271" s="576" t="s">
        <v>2342</v>
      </c>
      <c r="T1271" s="599">
        <f>G1257</f>
        <v>0</v>
      </c>
      <c r="U1271" s="578"/>
      <c r="V1271" s="579">
        <f>G1271+G1272+G1273</f>
        <v>0</v>
      </c>
      <c r="W1271" s="579">
        <f>U1271-V1271</f>
        <v>0</v>
      </c>
      <c r="X1271" s="579">
        <f>IFERROR(W1285*W1271/(SUM(W1271:W1284)),0)</f>
        <v>0</v>
      </c>
      <c r="Y1271" s="879">
        <f>SUMIFS(בקרה!$S:$S,בקרה!$D:$D,T1271,בקרה!$K:$K,S1271)</f>
        <v>0</v>
      </c>
      <c r="Z1271" s="121"/>
      <c r="AA1271" s="143"/>
      <c r="AB1271" s="143"/>
      <c r="AC1271" s="504">
        <v>0</v>
      </c>
      <c r="AD1271" s="505">
        <f>IFERROR(U1271-AC1271,0)</f>
        <v>0</v>
      </c>
      <c r="AE1271" s="143"/>
      <c r="AI1271" s="20"/>
      <c r="BO1271" s="86"/>
    </row>
    <row r="1272" spans="1:67" ht="15" customHeight="1" thickBot="1" x14ac:dyDescent="0.3">
      <c r="A1272" s="520">
        <f>IFERROR(VLOOKUP($G$5,'רשימת רשויות'!A:C,3,0),0)</f>
        <v>0</v>
      </c>
      <c r="B1272" s="520">
        <f t="shared" si="175"/>
        <v>0</v>
      </c>
      <c r="D1272" s="1134"/>
      <c r="E1272" s="1137"/>
      <c r="F1272" s="589" t="s">
        <v>44</v>
      </c>
      <c r="G1272" s="123">
        <f>IF(G1262="תקין",IFERROR(VLOOKUP('בית ספר - תקצוב לפי מוסד (9)'!G1257,' איוש משרות (8)'!C:J,7,0),0),0)</f>
        <v>0</v>
      </c>
      <c r="H1272" s="124">
        <f>I1261+R1268+J1261</f>
        <v>0</v>
      </c>
      <c r="I1272" s="119">
        <f>IFERROR(SUM(G1272:G1273)/H1272,0)</f>
        <v>0</v>
      </c>
      <c r="J1272" s="100">
        <f>MIN(R1268+I1261,IF(ISNUMBER(SUM(G1272:G1273)),SUM(G1272:G1273),0))</f>
        <v>0</v>
      </c>
      <c r="K1272" s="1139">
        <f>MAX((H1272)-(G1272+G1273),0)</f>
        <v>0</v>
      </c>
      <c r="L1272" s="407"/>
      <c r="M1272" s="393"/>
      <c r="N1272" s="393"/>
      <c r="O1272" s="580"/>
      <c r="P1272" s="1140"/>
      <c r="Q1272" s="1140"/>
      <c r="R1272" s="617">
        <f>MAX(MIN(P1280-Q1280,H1280*0.15-G1278),0)</f>
        <v>0</v>
      </c>
      <c r="S1272" s="576"/>
      <c r="T1272" s="599">
        <f>G1257</f>
        <v>0</v>
      </c>
      <c r="U1272" s="578"/>
      <c r="V1272" s="579"/>
      <c r="W1272" s="579">
        <f t="shared" ref="W1272:W1284" si="180">U1272-V1272</f>
        <v>0</v>
      </c>
      <c r="X1272" s="579"/>
      <c r="Y1272" s="879"/>
      <c r="Z1272" s="121"/>
      <c r="AA1272" s="143"/>
      <c r="AB1272" s="143"/>
      <c r="AC1272" s="504"/>
      <c r="AD1272" s="505">
        <f t="shared" ref="AD1272:AD1278" si="181">IFERROR(U1272-AC1272,0)</f>
        <v>0</v>
      </c>
      <c r="AE1272" s="143"/>
      <c r="AI1272" s="20"/>
      <c r="BO1272" s="86"/>
    </row>
    <row r="1273" spans="1:67" ht="15.75" customHeight="1" x14ac:dyDescent="0.25">
      <c r="A1273" s="520">
        <f>IFERROR(VLOOKUP($G$5,'רשימת רשויות'!A:C,3,0),0)</f>
        <v>0</v>
      </c>
      <c r="B1273" s="520">
        <f t="shared" si="175"/>
        <v>0</v>
      </c>
      <c r="D1273" s="1134"/>
      <c r="E1273" s="1137"/>
      <c r="F1273" s="589" t="s">
        <v>45</v>
      </c>
      <c r="G1273" s="123">
        <f>IF(G1262="תקין",IFERROR(VLOOKUP('בית ספר - תקצוב לפי מוסד (9)'!G1257,' איוש משרות (8)'!C:J,8,0),0),0)</f>
        <v>0</v>
      </c>
      <c r="H1273" s="125"/>
      <c r="I1273" s="126"/>
      <c r="J1273" s="104"/>
      <c r="K1273" s="1139"/>
      <c r="L1273" s="407"/>
      <c r="M1273" s="393"/>
      <c r="N1273" s="393"/>
      <c r="O1273" s="580"/>
      <c r="P1273" s="1140"/>
      <c r="Q1273" s="1140"/>
      <c r="R1273" s="596"/>
      <c r="S1273" s="576"/>
      <c r="T1273" s="599">
        <f>G1257</f>
        <v>0</v>
      </c>
      <c r="U1273" s="578"/>
      <c r="V1273" s="579"/>
      <c r="W1273" s="579">
        <f t="shared" si="180"/>
        <v>0</v>
      </c>
      <c r="X1273" s="579"/>
      <c r="Y1273" s="879"/>
      <c r="Z1273" s="121"/>
      <c r="AA1273" s="143"/>
      <c r="AB1273" s="143"/>
      <c r="AC1273" s="504"/>
      <c r="AD1273" s="505">
        <f t="shared" si="181"/>
        <v>0</v>
      </c>
      <c r="AE1273" s="143"/>
      <c r="AG1273" s="55"/>
      <c r="AH1273" s="55"/>
      <c r="AI1273" s="55"/>
      <c r="AJ1273" s="55"/>
      <c r="AK1273" s="55"/>
      <c r="BO1273" s="86"/>
    </row>
    <row r="1274" spans="1:67" ht="15.75" customHeight="1" x14ac:dyDescent="0.25">
      <c r="A1274" s="520">
        <f>IFERROR(VLOOKUP($G$5,'רשימת רשויות'!A:C,3,0),0)</f>
        <v>0</v>
      </c>
      <c r="B1274" s="520">
        <f t="shared" si="175"/>
        <v>0</v>
      </c>
      <c r="D1274" s="1134"/>
      <c r="E1274" s="1137"/>
      <c r="F1274" s="589" t="s">
        <v>0</v>
      </c>
      <c r="G1274" s="117">
        <f>IF(G1262="תקין",SUMIFS('דוח הוצאות בפועל (4)'!$E$17:$E$3016,'דוח הוצאות בפועל (4)'!$B$17:$B$3016,'בית ספר - תקצוב לפי מוסד (9)'!$G1257,'דוח הוצאות בפועל (4)'!$M$17:$M$3016,"הע"),0)-Y1274</f>
        <v>0</v>
      </c>
      <c r="H1274" s="127">
        <f>J1259</f>
        <v>0</v>
      </c>
      <c r="I1274" s="128">
        <f>IFERROR(G1274/H1274,0)</f>
        <v>0</v>
      </c>
      <c r="J1274" s="129">
        <f>MIN(IF(ISNUMBER(G1274),G1274,0),H1274)</f>
        <v>0</v>
      </c>
      <c r="K1274" s="120">
        <f>MAX(H1274-G1274,0)</f>
        <v>0</v>
      </c>
      <c r="L1274" s="407"/>
      <c r="M1274" s="393"/>
      <c r="N1274" s="393"/>
      <c r="O1274" s="580"/>
      <c r="P1274" s="968">
        <f>MAX(IF(I1274&lt;100%,MIN((H1274-G1274),H1274*0.25),0),0)</f>
        <v>0</v>
      </c>
      <c r="Q1274" s="619">
        <f>IF(G1274-H1274&gt;0,G1274-H1274,0)</f>
        <v>0</v>
      </c>
      <c r="R1274" s="596"/>
      <c r="S1274" s="610" t="s">
        <v>0</v>
      </c>
      <c r="T1274" s="599">
        <f>G1257</f>
        <v>0</v>
      </c>
      <c r="U1274" s="578"/>
      <c r="V1274" s="579">
        <f>G1274</f>
        <v>0</v>
      </c>
      <c r="W1274" s="579">
        <f t="shared" si="180"/>
        <v>0</v>
      </c>
      <c r="X1274" s="579">
        <f>IFERROR(W1285*W1274/(SUM(W1271:W1284)),0)</f>
        <v>0</v>
      </c>
      <c r="Y1274" s="879">
        <f>SUMIFS(בקרה!$S:$S,בקרה!$D:$D,T1274,בקרה!$K:$K,S1274)</f>
        <v>0</v>
      </c>
      <c r="Z1274" s="121"/>
      <c r="AA1274" s="143"/>
      <c r="AB1274" s="143"/>
      <c r="AC1274" s="504">
        <v>0</v>
      </c>
      <c r="AD1274" s="505">
        <f t="shared" si="181"/>
        <v>0</v>
      </c>
      <c r="AE1274" s="143"/>
      <c r="AG1274" s="55"/>
      <c r="AH1274" s="55"/>
      <c r="AI1274" s="40"/>
      <c r="AJ1274" s="55"/>
      <c r="AK1274" s="55"/>
      <c r="BO1274" s="86"/>
    </row>
    <row r="1275" spans="1:67" s="55" customFormat="1" ht="15.75" customHeight="1" x14ac:dyDescent="0.25">
      <c r="A1275" s="520">
        <f>IFERROR(VLOOKUP($G$5,'רשימת רשויות'!A:C,3,0),0)</f>
        <v>0</v>
      </c>
      <c r="B1275" s="520">
        <f t="shared" si="175"/>
        <v>0</v>
      </c>
      <c r="C1275" s="39"/>
      <c r="D1275" s="1134"/>
      <c r="E1275" s="1137"/>
      <c r="F1275" s="589" t="s">
        <v>93</v>
      </c>
      <c r="G1275" s="130">
        <f>IF(G1262="תקין",SUMIFS('דוח הוצאות בפועל (4)'!$E$17:$E$3016,'דוח הוצאות בפועל (4)'!$B$17:$B$3016,'בית ספר - תקצוב לפי מוסד (9)'!$G1257,'דוח הוצאות בפועל (4)'!$M$17:$M$3016,"אר"),0)-Y1275</f>
        <v>0</v>
      </c>
      <c r="H1275" s="118">
        <f>$I1265</f>
        <v>0</v>
      </c>
      <c r="I1275" s="131">
        <f>IFERROR((G1275+G1276)/H1275,0)</f>
        <v>0</v>
      </c>
      <c r="J1275" s="100">
        <f>MIN((IF(ISNUMBER(G1275),G1275,0)+IF(ISNUMBER(G1276),G1276,0)),H1275)</f>
        <v>0</v>
      </c>
      <c r="K1275" s="1139">
        <f>MAX((H1275)-(G1275+G1276),0)</f>
        <v>0</v>
      </c>
      <c r="L1275" s="407"/>
      <c r="M1275" s="393"/>
      <c r="N1275" s="393"/>
      <c r="O1275" s="602"/>
      <c r="P1275" s="1141"/>
      <c r="Q1275" s="1142"/>
      <c r="R1275" s="596"/>
      <c r="S1275" s="610" t="s">
        <v>93</v>
      </c>
      <c r="T1275" s="599">
        <f>G1257</f>
        <v>0</v>
      </c>
      <c r="U1275" s="578"/>
      <c r="V1275" s="579">
        <f t="shared" ref="V1275:V1276" si="182">G1275</f>
        <v>0</v>
      </c>
      <c r="W1275" s="579">
        <f t="shared" si="180"/>
        <v>0</v>
      </c>
      <c r="X1275" s="579">
        <f>IFERROR(W1285*W1275/(SUM(W1271:W1284)),0)</f>
        <v>0</v>
      </c>
      <c r="Y1275" s="879">
        <f>SUMIFS(בקרה!$S:$S,בקרה!$D:$D,T1275,בקרה!$K:$K,S1275)</f>
        <v>0</v>
      </c>
      <c r="Z1275" s="121"/>
      <c r="AA1275" s="143"/>
      <c r="AB1275" s="143"/>
      <c r="AC1275" s="504">
        <v>0</v>
      </c>
      <c r="AD1275" s="505">
        <f t="shared" si="181"/>
        <v>0</v>
      </c>
      <c r="AE1275" s="143"/>
      <c r="AJ1275" s="22"/>
      <c r="AO1275" s="22"/>
      <c r="AP1275" s="22"/>
      <c r="AQ1275" s="22"/>
      <c r="AR1275" s="22"/>
      <c r="AS1275" s="22"/>
      <c r="AT1275" s="22"/>
      <c r="AU1275" s="35"/>
      <c r="AV1275" s="35"/>
      <c r="AW1275" s="35"/>
      <c r="AX1275" s="35"/>
      <c r="AY1275" s="35"/>
      <c r="AZ1275" s="35"/>
      <c r="BA1275" s="35"/>
      <c r="BB1275" s="35"/>
      <c r="BC1275" s="35"/>
      <c r="BD1275" s="35"/>
      <c r="BE1275" s="35"/>
      <c r="BF1275" s="35"/>
      <c r="BG1275" s="35"/>
      <c r="BH1275" s="35"/>
      <c r="BI1275" s="35"/>
      <c r="BJ1275" s="35"/>
      <c r="BK1275" s="35"/>
      <c r="BL1275" s="35"/>
      <c r="BM1275" s="35"/>
      <c r="BN1275" s="35"/>
      <c r="BO1275" s="86"/>
    </row>
    <row r="1276" spans="1:67" s="55" customFormat="1" ht="15.75" customHeight="1" x14ac:dyDescent="0.25">
      <c r="A1276" s="520">
        <f>IFERROR(VLOOKUP($G$5,'רשימת רשויות'!A:C,3,0),0)</f>
        <v>0</v>
      </c>
      <c r="B1276" s="520">
        <f t="shared" si="175"/>
        <v>0</v>
      </c>
      <c r="C1276" s="39"/>
      <c r="D1276" s="1134"/>
      <c r="E1276" s="1137"/>
      <c r="F1276" s="589" t="s">
        <v>46</v>
      </c>
      <c r="G1276" s="130">
        <f>IF(G1262="תקין",SUMIFS('דוח הוצאות בפועל (4)'!$E$17:$E$3016,'דוח הוצאות בפועל (4)'!$B$17:$B$3016,'בית ספר - תקצוב לפי מוסד (9)'!$G1257,'דוח הוצאות בפועל (4)'!$M$17:$M$3016,"מל"),0)-Y1276</f>
        <v>0</v>
      </c>
      <c r="H1276" s="132"/>
      <c r="I1276" s="133"/>
      <c r="J1276" s="104"/>
      <c r="K1276" s="1139"/>
      <c r="L1276" s="407"/>
      <c r="M1276" s="393"/>
      <c r="N1276" s="393"/>
      <c r="O1276" s="602"/>
      <c r="P1276" s="1141"/>
      <c r="Q1276" s="1142"/>
      <c r="R1276" s="596"/>
      <c r="S1276" s="610" t="s">
        <v>46</v>
      </c>
      <c r="T1276" s="599">
        <f>G1257</f>
        <v>0</v>
      </c>
      <c r="U1276" s="578"/>
      <c r="V1276" s="579">
        <f t="shared" si="182"/>
        <v>0</v>
      </c>
      <c r="W1276" s="579">
        <f t="shared" si="180"/>
        <v>0</v>
      </c>
      <c r="X1276" s="579">
        <f>IFERROR(W1285*W1276/(SUM(W1271:W1284)),0)</f>
        <v>0</v>
      </c>
      <c r="Y1276" s="879">
        <f>SUMIFS(בקרה!$S:$S,בקרה!$D:$D,T1276,בקרה!$K:$K,S1276)</f>
        <v>0</v>
      </c>
      <c r="Z1276" s="121"/>
      <c r="AA1276" s="143"/>
      <c r="AB1276" s="143"/>
      <c r="AC1276" s="504">
        <v>0</v>
      </c>
      <c r="AD1276" s="505">
        <f t="shared" si="181"/>
        <v>0</v>
      </c>
      <c r="AE1276" s="143"/>
      <c r="AJ1276" s="22"/>
      <c r="AO1276" s="22"/>
      <c r="AP1276" s="22"/>
      <c r="AQ1276" s="22"/>
      <c r="AR1276" s="22"/>
      <c r="AS1276" s="22"/>
      <c r="AT1276" s="22"/>
      <c r="AU1276" s="35"/>
      <c r="AV1276" s="35"/>
      <c r="AW1276" s="35"/>
      <c r="AX1276" s="35"/>
      <c r="AY1276" s="35"/>
      <c r="AZ1276" s="35"/>
      <c r="BA1276" s="35"/>
      <c r="BB1276" s="35"/>
      <c r="BC1276" s="35"/>
      <c r="BD1276" s="35"/>
      <c r="BE1276" s="35"/>
      <c r="BF1276" s="35"/>
      <c r="BG1276" s="35"/>
      <c r="BH1276" s="35"/>
      <c r="BI1276" s="35"/>
      <c r="BJ1276" s="35"/>
      <c r="BK1276" s="35"/>
      <c r="BL1276" s="35"/>
      <c r="BM1276" s="35"/>
      <c r="BN1276" s="35"/>
      <c r="BO1276" s="86"/>
    </row>
    <row r="1277" spans="1:67" s="55" customFormat="1" ht="15" customHeight="1" x14ac:dyDescent="0.25">
      <c r="A1277" s="520">
        <f>IFERROR(VLOOKUP($G$5,'רשימת רשויות'!A:C,3,0),0)</f>
        <v>0</v>
      </c>
      <c r="B1277" s="520">
        <f t="shared" si="175"/>
        <v>0</v>
      </c>
      <c r="C1277" s="39"/>
      <c r="D1277" s="1134"/>
      <c r="E1277" s="1137"/>
      <c r="F1277" s="591" t="s">
        <v>23</v>
      </c>
      <c r="G1277" s="134">
        <f>SUM(G1271:G1276)</f>
        <v>0</v>
      </c>
      <c r="H1277" s="135">
        <f>SUM(H1271:H1276)</f>
        <v>0</v>
      </c>
      <c r="I1277" s="128">
        <f>IFERROR(G1277/H1277,0)</f>
        <v>0</v>
      </c>
      <c r="J1277" s="136">
        <f>SUM(J1271:J1276)</f>
        <v>0</v>
      </c>
      <c r="K1277" s="137">
        <f>SUM(K1271:K1276)</f>
        <v>0</v>
      </c>
      <c r="L1277" s="408"/>
      <c r="M1277" s="394"/>
      <c r="N1277" s="394"/>
      <c r="O1277" s="602"/>
      <c r="P1277" s="620">
        <f>SUM(P1271:P1276)</f>
        <v>0</v>
      </c>
      <c r="Q1277" s="620">
        <f>SUM(Q1271:Q1276)</f>
        <v>0</v>
      </c>
      <c r="R1277" s="596"/>
      <c r="S1277" s="610"/>
      <c r="T1277" s="599">
        <f>G1257</f>
        <v>0</v>
      </c>
      <c r="U1277" s="578"/>
      <c r="V1277" s="579"/>
      <c r="W1277" s="579">
        <f t="shared" si="180"/>
        <v>0</v>
      </c>
      <c r="X1277" s="579"/>
      <c r="Y1277" s="879"/>
      <c r="Z1277" s="121"/>
      <c r="AA1277" s="143"/>
      <c r="AB1277" s="143"/>
      <c r="AC1277" s="504"/>
      <c r="AD1277" s="505">
        <f t="shared" si="181"/>
        <v>0</v>
      </c>
      <c r="AE1277" s="143"/>
      <c r="AJ1277" s="22"/>
      <c r="AL1277" s="22"/>
      <c r="AM1277" s="22"/>
      <c r="AN1277" s="22"/>
      <c r="AO1277" s="22"/>
      <c r="AP1277" s="22"/>
      <c r="AQ1277" s="22"/>
      <c r="AR1277" s="22"/>
      <c r="AS1277" s="22"/>
      <c r="AT1277" s="22"/>
      <c r="AU1277" s="35"/>
      <c r="AV1277" s="35"/>
      <c r="AW1277" s="35"/>
      <c r="AX1277" s="35"/>
      <c r="AY1277" s="35"/>
      <c r="AZ1277" s="35"/>
      <c r="BA1277" s="35"/>
      <c r="BB1277" s="35"/>
      <c r="BC1277" s="35"/>
      <c r="BD1277" s="35"/>
      <c r="BE1277" s="35"/>
      <c r="BF1277" s="35"/>
      <c r="BG1277" s="35"/>
      <c r="BH1277" s="35"/>
      <c r="BI1277" s="35"/>
      <c r="BJ1277" s="35"/>
      <c r="BK1277" s="35"/>
      <c r="BL1277" s="35"/>
      <c r="BM1277" s="35"/>
      <c r="BN1277" s="35"/>
      <c r="BO1277" s="86"/>
    </row>
    <row r="1278" spans="1:67" s="55" customFormat="1" ht="15" customHeight="1" x14ac:dyDescent="0.25">
      <c r="A1278" s="520">
        <f>IFERROR(VLOOKUP($G$5,'רשימת רשויות'!A:C,3,0),0)</f>
        <v>0</v>
      </c>
      <c r="B1278" s="520">
        <f t="shared" si="175"/>
        <v>0</v>
      </c>
      <c r="C1278" s="39"/>
      <c r="D1278" s="1134"/>
      <c r="E1278" s="1137"/>
      <c r="F1278" s="589" t="s">
        <v>3</v>
      </c>
      <c r="G1278" s="117">
        <f>IF(G1262="תקין",SUMIFS('דוח הוצאות בפועל (4)'!$E$17:$E$3016,'דוח הוצאות בפועל (4)'!$B$17:$B$3016,'בית ספר - תקצוב לפי מוסד (9)'!$G1257,'דוח הוצאות בפועל (4)'!$M$17:$M$3016,"ני")+SUMIFS('דוח הוצאות בפועל (4)'!$E$17:$E$3016,'דוח הוצאות בפועל (4)'!$B$17:$B$3016,'בית ספר - תקצוב לפי מוסד (9)'!$G1257,'דוח הוצאות בפועל (4)'!$M$17:$M$3016,"על"),0)-Y1278</f>
        <v>0</v>
      </c>
      <c r="H1278" s="117">
        <f>H1259</f>
        <v>0</v>
      </c>
      <c r="I1278" s="138">
        <f>IFERROR(G1278/H1278,0)</f>
        <v>0</v>
      </c>
      <c r="J1278" s="117">
        <f>IFERROR(IF(G1278/H1280&gt;0.15,MIN(H1280*0.15,H1278),MIN(H1278,IF(ISNUMBER(G1278),G1278,0))),0)</f>
        <v>0</v>
      </c>
      <c r="K1278" s="120">
        <f>MAX(H1278-G1278,0)</f>
        <v>0</v>
      </c>
      <c r="L1278" s="407"/>
      <c r="M1278" s="393"/>
      <c r="N1278" s="393"/>
      <c r="O1278" s="602"/>
      <c r="P1278" s="620">
        <f>IF(I1278&lt;100%,MIN(H1278-G1278,H1278*0.25),0)</f>
        <v>0</v>
      </c>
      <c r="Q1278" s="620">
        <f>MAX(MIN(IF(G1278-H1278&gt;0,G1278-H1278,0),$H1280*0.15-H1278-J1279),0)</f>
        <v>0</v>
      </c>
      <c r="R1278" s="596"/>
      <c r="S1278" s="610" t="s">
        <v>3</v>
      </c>
      <c r="T1278" s="599">
        <f>G1257</f>
        <v>0</v>
      </c>
      <c r="U1278" s="578"/>
      <c r="V1278" s="579">
        <f t="shared" ref="V1278" si="183">G1278</f>
        <v>0</v>
      </c>
      <c r="W1278" s="579">
        <f t="shared" si="180"/>
        <v>0</v>
      </c>
      <c r="X1278" s="579"/>
      <c r="Y1278" s="879"/>
      <c r="Z1278" s="121"/>
      <c r="AA1278" s="143"/>
      <c r="AB1278" s="143"/>
      <c r="AC1278" s="504">
        <v>0</v>
      </c>
      <c r="AD1278" s="505">
        <f t="shared" si="181"/>
        <v>0</v>
      </c>
      <c r="AE1278" s="143"/>
      <c r="AG1278" s="22"/>
      <c r="AH1278" s="22"/>
      <c r="AI1278" s="22"/>
      <c r="AJ1278" s="22"/>
      <c r="AK1278" s="22"/>
      <c r="AL1278" s="22"/>
      <c r="AM1278" s="22"/>
      <c r="AN1278" s="22"/>
      <c r="AO1278" s="22"/>
      <c r="AP1278" s="22"/>
      <c r="AQ1278" s="22"/>
      <c r="AR1278" s="22"/>
      <c r="AS1278" s="22"/>
      <c r="AT1278" s="22"/>
      <c r="AU1278" s="35"/>
      <c r="AV1278" s="35"/>
      <c r="AW1278" s="35"/>
      <c r="AX1278" s="35"/>
      <c r="AY1278" s="35"/>
      <c r="AZ1278" s="35"/>
      <c r="BA1278" s="35"/>
      <c r="BB1278" s="35"/>
      <c r="BC1278" s="35"/>
      <c r="BD1278" s="35"/>
      <c r="BE1278" s="35"/>
      <c r="BF1278" s="35"/>
      <c r="BG1278" s="35"/>
      <c r="BH1278" s="35"/>
      <c r="BI1278" s="35"/>
      <c r="BJ1278" s="35"/>
      <c r="BK1278" s="35"/>
      <c r="BL1278" s="35"/>
      <c r="BM1278" s="35"/>
      <c r="BN1278" s="35"/>
      <c r="BO1278" s="86"/>
    </row>
    <row r="1279" spans="1:67" s="55" customFormat="1" ht="15.75" customHeight="1" x14ac:dyDescent="0.25">
      <c r="A1279" s="520">
        <f>IFERROR(VLOOKUP($G$5,'רשימת רשויות'!A:C,3,0),0)</f>
        <v>0</v>
      </c>
      <c r="B1279" s="520">
        <f t="shared" si="175"/>
        <v>0</v>
      </c>
      <c r="C1279" s="39"/>
      <c r="D1279" s="1134"/>
      <c r="E1279" s="1137"/>
      <c r="F1279" s="589" t="s">
        <v>2918</v>
      </c>
      <c r="G1279" s="117">
        <f>0.07*(G1273+G1272)</f>
        <v>0</v>
      </c>
      <c r="H1279" s="117">
        <f>H1261</f>
        <v>0</v>
      </c>
      <c r="I1279" s="138">
        <f>IFERROR(G1279/H1279,0)</f>
        <v>0</v>
      </c>
      <c r="J1279" s="117">
        <f>IFERROR(MIN(0.07*(G1272+G1273),0.07*I1261),0)</f>
        <v>0</v>
      </c>
      <c r="K1279" s="120">
        <f>MAX(H1279-G1279,0)</f>
        <v>0</v>
      </c>
      <c r="L1279" s="407"/>
      <c r="M1279" s="393"/>
      <c r="N1279" s="393"/>
      <c r="O1279" s="602"/>
      <c r="P1279" s="620"/>
      <c r="Q1279" s="619"/>
      <c r="R1279" s="596"/>
      <c r="S1279" s="611"/>
      <c r="T1279" s="599">
        <f>G1257</f>
        <v>0</v>
      </c>
      <c r="U1279" s="578"/>
      <c r="V1279" s="579"/>
      <c r="W1279" s="579">
        <f t="shared" si="180"/>
        <v>0</v>
      </c>
      <c r="X1279" s="579"/>
      <c r="Y1279" s="879"/>
      <c r="Z1279" s="121"/>
      <c r="AA1279" s="143"/>
      <c r="AB1279" s="143"/>
      <c r="AC1279" s="504"/>
      <c r="AD1279" s="505"/>
      <c r="AE1279" s="143"/>
      <c r="AF1279" s="140"/>
      <c r="AG1279" s="22"/>
      <c r="AH1279" s="22"/>
      <c r="AI1279" s="22"/>
      <c r="AJ1279" s="22"/>
      <c r="AK1279" s="22"/>
      <c r="AL1279" s="22"/>
      <c r="AM1279" s="22"/>
      <c r="AN1279" s="22"/>
      <c r="AO1279" s="22"/>
      <c r="AP1279" s="22"/>
      <c r="AQ1279" s="22"/>
      <c r="AR1279" s="22"/>
      <c r="AS1279" s="22"/>
      <c r="AT1279" s="22"/>
      <c r="AU1279" s="35"/>
      <c r="AV1279" s="35"/>
      <c r="AW1279" s="35"/>
      <c r="AX1279" s="35"/>
      <c r="AY1279" s="35"/>
      <c r="AZ1279" s="35"/>
      <c r="BA1279" s="35"/>
      <c r="BB1279" s="35"/>
      <c r="BC1279" s="35"/>
      <c r="BD1279" s="35"/>
      <c r="BE1279" s="35"/>
      <c r="BF1279" s="35"/>
      <c r="BG1279" s="35"/>
      <c r="BH1279" s="35"/>
      <c r="BI1279" s="35"/>
      <c r="BJ1279" s="35"/>
      <c r="BK1279" s="35"/>
      <c r="BL1279" s="35"/>
      <c r="BM1279" s="35"/>
      <c r="BN1279" s="35"/>
      <c r="BO1279" s="86"/>
    </row>
    <row r="1280" spans="1:67" ht="15.75" customHeight="1" x14ac:dyDescent="0.25">
      <c r="A1280" s="520">
        <f>IFERROR(VLOOKUP($G$5,'רשימת רשויות'!A:C,3,0),0)</f>
        <v>0</v>
      </c>
      <c r="B1280" s="520">
        <f t="shared" si="175"/>
        <v>0</v>
      </c>
      <c r="D1280" s="1134"/>
      <c r="E1280" s="1137"/>
      <c r="F1280" s="591" t="s">
        <v>15</v>
      </c>
      <c r="G1280" s="134">
        <f>G1277+G1278+G1279</f>
        <v>0</v>
      </c>
      <c r="H1280" s="134">
        <f>H1277+H1278+H1279</f>
        <v>0</v>
      </c>
      <c r="I1280" s="138">
        <f>IFERROR(G1280/H1280,0)</f>
        <v>0</v>
      </c>
      <c r="J1280" s="139">
        <f>J1277+J1278+J1279</f>
        <v>0</v>
      </c>
      <c r="K1280" s="137">
        <f>K1278+K1277+K1279</f>
        <v>0</v>
      </c>
      <c r="L1280" s="408"/>
      <c r="M1280" s="394"/>
      <c r="N1280" s="394"/>
      <c r="O1280" s="602"/>
      <c r="P1280" s="621">
        <f>SUM(P1277:P1278)</f>
        <v>0</v>
      </c>
      <c r="Q1280" s="622">
        <f>Q1277+Q1278</f>
        <v>0</v>
      </c>
      <c r="R1280" s="596"/>
      <c r="S1280" s="611"/>
      <c r="T1280" s="599">
        <f>G1257</f>
        <v>0</v>
      </c>
      <c r="U1280" s="578"/>
      <c r="V1280" s="579"/>
      <c r="W1280" s="579">
        <f t="shared" si="180"/>
        <v>0</v>
      </c>
      <c r="X1280" s="579"/>
      <c r="Y1280" s="879"/>
      <c r="Z1280" s="106"/>
      <c r="AC1280" s="504"/>
      <c r="AD1280" s="505"/>
      <c r="AH1280" s="143"/>
      <c r="BO1280" s="86"/>
    </row>
    <row r="1281" spans="1:67" ht="15.75" customHeight="1" x14ac:dyDescent="0.25">
      <c r="A1281" s="520">
        <f>IFERROR(VLOOKUP($G$5,'רשימת רשויות'!A:C,3,0),0)</f>
        <v>0</v>
      </c>
      <c r="B1281" s="520">
        <f t="shared" si="175"/>
        <v>0</v>
      </c>
      <c r="D1281" s="1134"/>
      <c r="E1281" s="1137"/>
      <c r="F1281" s="589" t="s">
        <v>2261</v>
      </c>
      <c r="G1281" s="117">
        <f>IF(G1262="תקין",SUMIF('תשלומי הורים ומלגות להורים (5) '!$B$18:$B$517,$G1257,'תשלומי הורים ומלגות להורים (5) '!$C$18:$C$517),0)</f>
        <v>0</v>
      </c>
      <c r="H1281" s="117">
        <f>(G1260+G1261)*$G$7</f>
        <v>0</v>
      </c>
      <c r="I1281" s="141"/>
      <c r="J1281" s="141"/>
      <c r="K1281" s="142"/>
      <c r="L1281" s="395"/>
      <c r="M1281" s="395"/>
      <c r="N1281" s="395"/>
      <c r="O1281" s="602"/>
      <c r="P1281" s="623"/>
      <c r="Q1281" s="619"/>
      <c r="R1281" s="596"/>
      <c r="S1281" s="612"/>
      <c r="T1281" s="599">
        <f>G1257</f>
        <v>0</v>
      </c>
      <c r="U1281" s="578"/>
      <c r="V1281" s="579"/>
      <c r="W1281" s="579">
        <f t="shared" si="180"/>
        <v>0</v>
      </c>
      <c r="X1281" s="579"/>
      <c r="Y1281" s="879"/>
      <c r="Z1281" s="121"/>
      <c r="AA1281" s="143"/>
      <c r="AB1281" s="143"/>
      <c r="AC1281" s="504"/>
      <c r="AD1281" s="505"/>
      <c r="AE1281" s="143"/>
      <c r="AF1281" s="148"/>
      <c r="BO1281" s="86"/>
    </row>
    <row r="1282" spans="1:67" ht="15.75" customHeight="1" thickBot="1" x14ac:dyDescent="0.3">
      <c r="A1282" s="520">
        <f>IFERROR(VLOOKUP($G$5,'רשימת רשויות'!A:C,3,0),0)</f>
        <v>0</v>
      </c>
      <c r="B1282" s="520">
        <f t="shared" si="175"/>
        <v>0</v>
      </c>
      <c r="D1282" s="1134"/>
      <c r="E1282" s="1137"/>
      <c r="F1282" s="592" t="s">
        <v>21</v>
      </c>
      <c r="G1282" s="144">
        <f>G1280-G1281</f>
        <v>0</v>
      </c>
      <c r="H1282" s="144">
        <f>H1280-H1281</f>
        <v>0</v>
      </c>
      <c r="I1282" s="145"/>
      <c r="J1282" s="145"/>
      <c r="K1282" s="146"/>
      <c r="L1282" s="396"/>
      <c r="M1282" s="396"/>
      <c r="N1282" s="396"/>
      <c r="O1282" s="602"/>
      <c r="P1282" s="619"/>
      <c r="Q1282" s="619"/>
      <c r="R1282" s="596"/>
      <c r="S1282" s="612"/>
      <c r="T1282" s="599">
        <f>G1257</f>
        <v>0</v>
      </c>
      <c r="U1282" s="578"/>
      <c r="V1282" s="579"/>
      <c r="W1282" s="579">
        <f t="shared" si="180"/>
        <v>0</v>
      </c>
      <c r="X1282" s="579"/>
      <c r="Y1282" s="879"/>
      <c r="Z1282" s="147"/>
      <c r="AA1282" s="148"/>
      <c r="AB1282" s="148"/>
      <c r="AC1282" s="504"/>
      <c r="AD1282" s="505"/>
      <c r="AE1282" s="148"/>
      <c r="AF1282" s="148"/>
      <c r="BO1282" s="86"/>
    </row>
    <row r="1283" spans="1:67" ht="15.75" customHeight="1" thickBot="1" x14ac:dyDescent="0.3">
      <c r="A1283" s="520">
        <f>IFERROR(VLOOKUP($G$5,'רשימת רשויות'!A:C,3,0),0)</f>
        <v>0</v>
      </c>
      <c r="B1283" s="520">
        <f t="shared" si="175"/>
        <v>0</v>
      </c>
      <c r="D1283" s="1134"/>
      <c r="E1283" s="1137"/>
      <c r="F1283" s="580"/>
      <c r="G1283" s="580"/>
      <c r="H1283" s="147"/>
      <c r="I1283" s="149" t="s">
        <v>2197</v>
      </c>
      <c r="J1283" s="150">
        <f>MAX(MIN(P1280,Q1280),0)</f>
        <v>0</v>
      </c>
      <c r="K1283" s="580"/>
      <c r="L1283" s="580"/>
      <c r="M1283" s="580"/>
      <c r="N1283" s="580"/>
      <c r="O1283" s="580"/>
      <c r="P1283" s="615" t="s">
        <v>2317</v>
      </c>
      <c r="Q1283" s="624">
        <f>SUM(Q1284:Q1285)</f>
        <v>0</v>
      </c>
      <c r="R1283" s="596"/>
      <c r="S1283" s="612"/>
      <c r="T1283" s="599">
        <f>G1257</f>
        <v>0</v>
      </c>
      <c r="U1283" s="578"/>
      <c r="V1283" s="579"/>
      <c r="W1283" s="579">
        <f t="shared" si="180"/>
        <v>0</v>
      </c>
      <c r="X1283" s="579"/>
      <c r="Y1283" s="879"/>
      <c r="Z1283" s="106"/>
      <c r="AC1283" s="504"/>
      <c r="AD1283" s="505"/>
      <c r="AF1283" s="148"/>
      <c r="BO1283" s="86"/>
    </row>
    <row r="1284" spans="1:67" ht="16.5" thickBot="1" x14ac:dyDescent="0.3">
      <c r="A1284" s="520">
        <f>IFERROR(VLOOKUP($G$5,'רשימת רשויות'!A:C,3,0),0)</f>
        <v>0</v>
      </c>
      <c r="B1284" s="520">
        <f t="shared" si="175"/>
        <v>0</v>
      </c>
      <c r="D1284" s="1134"/>
      <c r="E1284" s="1137"/>
      <c r="F1284" s="580"/>
      <c r="G1284" s="580"/>
      <c r="H1284" s="580"/>
      <c r="I1284" s="84" t="s">
        <v>2193</v>
      </c>
      <c r="J1284" s="515" t="str">
        <f>IFERROR(1-H1281/H1280,"")</f>
        <v/>
      </c>
      <c r="K1284" s="580"/>
      <c r="L1284" s="580"/>
      <c r="M1284" s="580"/>
      <c r="N1284" s="580"/>
      <c r="O1284" s="580"/>
      <c r="P1284" s="615" t="s">
        <v>417</v>
      </c>
      <c r="Q1284" s="616">
        <f>IFERROR(MAX(H1282-I1285-Q1285,0),0)</f>
        <v>0</v>
      </c>
      <c r="R1284" s="596"/>
      <c r="S1284" s="600"/>
      <c r="T1284" s="599">
        <f>G1257</f>
        <v>0</v>
      </c>
      <c r="U1284" s="578"/>
      <c r="V1284" s="579"/>
      <c r="W1284" s="579">
        <f t="shared" si="180"/>
        <v>0</v>
      </c>
      <c r="X1284" s="579"/>
      <c r="Y1284" s="879"/>
      <c r="Z1284" s="106"/>
      <c r="AC1284" s="504"/>
      <c r="AD1284" s="505"/>
      <c r="BO1284" s="86"/>
    </row>
    <row r="1285" spans="1:67" ht="17.25" thickBot="1" x14ac:dyDescent="0.3">
      <c r="A1285" s="520">
        <f>IFERROR(VLOOKUP($G$5,'רשימת רשויות'!A:C,3,0),0)</f>
        <v>0</v>
      </c>
      <c r="B1285" s="520">
        <f t="shared" si="175"/>
        <v>0</v>
      </c>
      <c r="D1285" s="1134"/>
      <c r="E1285" s="1137"/>
      <c r="F1285" s="1143" t="s">
        <v>2679</v>
      </c>
      <c r="G1285" s="1143"/>
      <c r="H1285" s="1143"/>
      <c r="I1285" s="722">
        <f>IF(G1262="לא תקין","לא קיימת זכאות לתקציב לאור אי איוש משרות רכז ו/או סגן רכז ",IFERROR(J1284*(J1283+J1280),0))</f>
        <v>0</v>
      </c>
      <c r="J1285" s="573"/>
      <c r="K1285" s="574"/>
      <c r="L1285" s="396"/>
      <c r="M1285" s="574"/>
      <c r="N1285" s="574"/>
      <c r="O1285" s="574"/>
      <c r="P1285" s="615" t="s">
        <v>2279</v>
      </c>
      <c r="Q1285" s="616">
        <f>MAX(IF(AND(G1280&gt;H1280,I1285&lt;H1282),H1282-I1285,0),0)</f>
        <v>0</v>
      </c>
      <c r="R1285" s="575"/>
      <c r="S1285" s="576" t="s">
        <v>67</v>
      </c>
      <c r="T1285" s="577">
        <f>G1257</f>
        <v>0</v>
      </c>
      <c r="U1285" s="578"/>
      <c r="V1285" s="579">
        <f>I1285</f>
        <v>0</v>
      </c>
      <c r="W1285" s="579">
        <f>IFERROR(U1285-V1285,0)</f>
        <v>0</v>
      </c>
      <c r="X1285" s="579">
        <f>SUM(X1271:X1284)</f>
        <v>0</v>
      </c>
      <c r="Y1285" s="879"/>
      <c r="Z1285" s="106"/>
      <c r="AC1285" s="506">
        <v>0</v>
      </c>
      <c r="AD1285" s="507">
        <f>IFERROR(U1285-AC1285,0)</f>
        <v>0</v>
      </c>
      <c r="BO1285" s="86"/>
    </row>
    <row r="1286" spans="1:67" ht="16.5" thickBot="1" x14ac:dyDescent="0.3">
      <c r="A1286" s="520">
        <f>IFERROR(VLOOKUP($G$5,'רשימת רשויות'!A:C,3,0),0)</f>
        <v>0</v>
      </c>
      <c r="B1286" s="520">
        <f t="shared" si="175"/>
        <v>0</v>
      </c>
      <c r="D1286" s="1135"/>
      <c r="E1286" s="1138"/>
      <c r="F1286" s="1144" t="s">
        <v>2793</v>
      </c>
      <c r="G1286" s="1145"/>
      <c r="H1286" s="1145"/>
      <c r="I1286" s="593">
        <f>IFERROR(IF(G1262="תקין",SUMIFS('סייעות רפואיות או אישיות (7)'!$Q$17:Q$384,'סייעות רפואיות או אישיות (7)'!C$17:C$384,G1257),0),0)</f>
        <v>0</v>
      </c>
      <c r="J1286" s="151"/>
      <c r="K1286" s="152"/>
      <c r="L1286" s="409"/>
      <c r="M1286" s="152"/>
      <c r="N1286" s="152"/>
      <c r="O1286" s="152"/>
      <c r="P1286" s="613"/>
      <c r="Q1286" s="614"/>
      <c r="R1286" s="475"/>
      <c r="S1286" s="489"/>
      <c r="T1286" s="490"/>
      <c r="U1286" s="491"/>
      <c r="V1286" s="492"/>
      <c r="W1286" s="492"/>
      <c r="X1286" s="492"/>
      <c r="Y1286" s="880"/>
      <c r="Z1286" s="153"/>
      <c r="AC1286" s="581"/>
      <c r="AD1286" s="582"/>
      <c r="BO1286" s="86"/>
    </row>
    <row r="1287" spans="1:67" ht="34.5" thickBot="1" x14ac:dyDescent="0.55000000000000004">
      <c r="A1287" s="520">
        <f>IFERROR(VLOOKUP($G$5,'רשימת רשויות'!A:C,3,0),0)</f>
        <v>0</v>
      </c>
      <c r="B1287" s="520">
        <f t="shared" si="175"/>
        <v>0</v>
      </c>
      <c r="E1287" s="154"/>
      <c r="I1287" s="143"/>
      <c r="J1287" s="148"/>
      <c r="O1287" s="148"/>
      <c r="T1287" s="481"/>
      <c r="BO1287" s="86"/>
    </row>
    <row r="1288" spans="1:67" s="20" customFormat="1" ht="16.5" customHeight="1" thickBot="1" x14ac:dyDescent="0.3">
      <c r="A1288" s="520">
        <f>IFERROR(VLOOKUP($G$5,'רשימת רשויות'!A:C,3,0),0)</f>
        <v>0</v>
      </c>
      <c r="B1288" s="520">
        <f t="shared" si="175"/>
        <v>0</v>
      </c>
      <c r="C1288" s="39"/>
      <c r="D1288" s="1133">
        <f>D1257+1</f>
        <v>42</v>
      </c>
      <c r="E1288" s="1136" t="str">
        <f>IFERROR(CONCATENATE("בית הספר ",VLOOKUP(G1288,'מצבת והרשמה (2)'!$C$21:$D$520,2,0)," - ",$G$5),"")</f>
        <v>בית הספר המוסד לא קיים - 0</v>
      </c>
      <c r="F1288" s="720" t="s">
        <v>146</v>
      </c>
      <c r="G1288" s="721">
        <f>IFERROR(VLOOKUP(D:D,'דוח ביצוע (3)'!$A$21:$C$900,2,0),0)</f>
        <v>0</v>
      </c>
      <c r="H1288" s="79"/>
      <c r="I1288" s="80" t="s">
        <v>150</v>
      </c>
      <c r="J1288" s="80"/>
      <c r="K1288" s="81"/>
      <c r="L1288" s="392"/>
      <c r="M1288" s="392"/>
      <c r="N1288" s="392"/>
      <c r="O1288" s="82"/>
      <c r="P1288" s="470"/>
      <c r="Q1288" s="471"/>
      <c r="R1288" s="472"/>
      <c r="S1288" s="883"/>
      <c r="T1288" s="884"/>
      <c r="U1288" s="486"/>
      <c r="V1288" s="487"/>
      <c r="W1288" s="487"/>
      <c r="X1288" s="487"/>
      <c r="Y1288" s="885"/>
      <c r="Z1288" s="83"/>
      <c r="AC1288" s="502"/>
      <c r="AD1288" s="503"/>
      <c r="AO1288" s="22"/>
      <c r="AP1288" s="22"/>
      <c r="AQ1288" s="22"/>
      <c r="AR1288" s="22"/>
      <c r="AS1288" s="22"/>
      <c r="AT1288" s="22"/>
      <c r="AU1288" s="35"/>
      <c r="AV1288" s="35"/>
      <c r="AW1288" s="35"/>
      <c r="AX1288" s="35"/>
      <c r="AY1288" s="35"/>
      <c r="AZ1288" s="35"/>
      <c r="BA1288" s="35"/>
      <c r="BB1288" s="35"/>
      <c r="BC1288" s="35"/>
      <c r="BD1288" s="35"/>
      <c r="BE1288" s="35"/>
      <c r="BF1288" s="35"/>
      <c r="BG1288" s="35"/>
      <c r="BH1288" s="35"/>
      <c r="BI1288" s="35"/>
      <c r="BJ1288" s="35"/>
      <c r="BK1288" s="35"/>
      <c r="BL1288" s="35"/>
      <c r="BM1288" s="35"/>
      <c r="BN1288" s="35"/>
      <c r="BO1288" s="78"/>
    </row>
    <row r="1289" spans="1:67" s="20" customFormat="1" ht="16.5" thickBot="1" x14ac:dyDescent="0.3">
      <c r="A1289" s="520">
        <f>IFERROR(VLOOKUP($G$5,'רשימת רשויות'!A:C,3,0),0)</f>
        <v>0</v>
      </c>
      <c r="B1289" s="520">
        <f t="shared" si="175"/>
        <v>0</v>
      </c>
      <c r="C1289" s="39"/>
      <c r="D1289" s="1134"/>
      <c r="E1289" s="1137"/>
      <c r="F1289" s="583" t="s">
        <v>145</v>
      </c>
      <c r="G1289" s="516" t="str">
        <f>IFERROR(IF((G1291+G1292)=0,"",IF(VLOOKUP(G1288,'דוח ביצוע (3)'!$B$21:$K$900,5,0)&gt;149,"גדול",IF(AND(VLOOKUP(G1288,'דוח ביצוע (3)'!$B$21:$K$900,5,0)&gt;0,VLOOKUP(G1288,'דוח ביצוע (3)'!$B$21:$K$900,5,0)&lt;150),"קטן",0))),"")</f>
        <v/>
      </c>
      <c r="H1289" s="723" t="s">
        <v>88</v>
      </c>
      <c r="I1289" s="723" t="s">
        <v>13</v>
      </c>
      <c r="J1289" s="725" t="s">
        <v>14</v>
      </c>
      <c r="K1289" s="724" t="s">
        <v>94</v>
      </c>
      <c r="L1289" s="594"/>
      <c r="M1289" s="420" t="s">
        <v>2584</v>
      </c>
      <c r="N1289" s="397" t="s">
        <v>413</v>
      </c>
      <c r="O1289" s="398" t="s">
        <v>52</v>
      </c>
      <c r="P1289" s="595"/>
      <c r="Q1289" s="595"/>
      <c r="R1289" s="596"/>
      <c r="S1289" s="610"/>
      <c r="T1289" s="881"/>
      <c r="U1289" s="598"/>
      <c r="V1289" s="599"/>
      <c r="W1289" s="599"/>
      <c r="X1289" s="599"/>
      <c r="Y1289" s="879"/>
      <c r="Z1289" s="85"/>
      <c r="AC1289" s="493"/>
      <c r="AD1289" s="495"/>
      <c r="AO1289" s="22"/>
      <c r="AP1289" s="22"/>
      <c r="AQ1289" s="22"/>
      <c r="AR1289" s="22"/>
      <c r="AS1289" s="22"/>
      <c r="AT1289" s="22"/>
      <c r="AU1289" s="35"/>
      <c r="AV1289" s="35"/>
      <c r="AW1289" s="35"/>
      <c r="AX1289" s="35"/>
      <c r="AY1289" s="35"/>
      <c r="AZ1289" s="35"/>
      <c r="BA1289" s="35"/>
      <c r="BB1289" s="35"/>
      <c r="BC1289" s="35"/>
      <c r="BD1289" s="35"/>
      <c r="BE1289" s="35"/>
      <c r="BF1289" s="35"/>
      <c r="BG1289" s="35"/>
      <c r="BH1289" s="35"/>
      <c r="BI1289" s="35"/>
      <c r="BJ1289" s="35"/>
      <c r="BK1289" s="35"/>
      <c r="BL1289" s="35"/>
      <c r="BM1289" s="35"/>
      <c r="BN1289" s="35"/>
      <c r="BO1289" s="78"/>
    </row>
    <row r="1290" spans="1:67" s="20" customFormat="1" ht="15.75" customHeight="1" thickBot="1" x14ac:dyDescent="0.3">
      <c r="A1290" s="520">
        <f>IFERROR(VLOOKUP($G$5,'רשימת רשויות'!A:C,3,0),0)</f>
        <v>0</v>
      </c>
      <c r="B1290" s="520">
        <f t="shared" si="175"/>
        <v>0</v>
      </c>
      <c r="C1290" s="39"/>
      <c r="D1290" s="1134"/>
      <c r="E1290" s="1137"/>
      <c r="F1290" s="584" t="s">
        <v>144</v>
      </c>
      <c r="G1290" s="87">
        <f>IF(G1293="תקין",IFERROR(VLOOKUP($G1288,'דוח ביצוע (3)'!$B$21:$Q$900,12,0),0),0)</f>
        <v>0</v>
      </c>
      <c r="H1290" s="88">
        <f>IFERROR(G1291*$AH$6+G1292*$AH$7,0)</f>
        <v>0</v>
      </c>
      <c r="I1290" s="88">
        <f>IFERROR(G1291*$AI$6+G1292*$AI$7,0)</f>
        <v>0</v>
      </c>
      <c r="J1290" s="88">
        <f>IFERROR(G1291*$AJ$6+G1292*$AJ$7,0)</f>
        <v>0</v>
      </c>
      <c r="K1290" s="88">
        <f>IFERROR(G1291*$AK$6+G1292*$AK$7,0)</f>
        <v>0</v>
      </c>
      <c r="L1290" s="405"/>
      <c r="M1290" s="399" t="s">
        <v>427</v>
      </c>
      <c r="N1290" s="400" t="str">
        <f>IFERROR(VLOOKUP($G1288,'דוח ביצוע (3)'!$B:$AE,28,0),"")</f>
        <v/>
      </c>
      <c r="O1290" s="89" t="str">
        <f>IFERROR(VLOOKUP($G1288,'דוח ביצוע (3)'!B:AE,29,0),"")</f>
        <v/>
      </c>
      <c r="P1290" s="595"/>
      <c r="Q1290" s="595"/>
      <c r="R1290" s="596"/>
      <c r="S1290" s="610"/>
      <c r="T1290" s="881"/>
      <c r="U1290" s="598"/>
      <c r="V1290" s="599"/>
      <c r="W1290" s="599"/>
      <c r="X1290" s="599"/>
      <c r="Y1290" s="879"/>
      <c r="Z1290" s="85"/>
      <c r="AC1290" s="493"/>
      <c r="AD1290" s="495"/>
      <c r="AO1290" s="22"/>
      <c r="AP1290" s="22"/>
      <c r="AQ1290" s="22"/>
      <c r="AR1290" s="22"/>
      <c r="AS1290" s="22"/>
      <c r="AT1290" s="22"/>
      <c r="AU1290" s="35"/>
      <c r="AV1290" s="35"/>
      <c r="AW1290" s="35"/>
      <c r="AX1290" s="35"/>
      <c r="AY1290" s="35"/>
      <c r="AZ1290" s="35"/>
      <c r="BA1290" s="35"/>
      <c r="BB1290" s="35"/>
      <c r="BC1290" s="35"/>
      <c r="BD1290" s="35"/>
      <c r="BE1290" s="35"/>
      <c r="BF1290" s="35"/>
      <c r="BG1290" s="35"/>
      <c r="BH1290" s="35"/>
      <c r="BI1290" s="35"/>
      <c r="BJ1290" s="35"/>
      <c r="BK1290" s="35"/>
      <c r="BL1290" s="35"/>
      <c r="BM1290" s="35"/>
      <c r="BN1290" s="35"/>
      <c r="BO1290" s="78"/>
    </row>
    <row r="1291" spans="1:67" s="20" customFormat="1" ht="32.25" thickBot="1" x14ac:dyDescent="0.3">
      <c r="A1291" s="520">
        <f>IFERROR(VLOOKUP($G$5,'רשימת רשויות'!A:C,3,0),0)</f>
        <v>0</v>
      </c>
      <c r="B1291" s="520">
        <f t="shared" si="175"/>
        <v>0</v>
      </c>
      <c r="C1291" s="39"/>
      <c r="D1291" s="1134"/>
      <c r="E1291" s="1137"/>
      <c r="F1291" s="585" t="s">
        <v>2195</v>
      </c>
      <c r="G1291" s="89">
        <f>IF(G1293="תקין",MAX(N1293,0),0)</f>
        <v>0</v>
      </c>
      <c r="H1291" s="725" t="s">
        <v>151</v>
      </c>
      <c r="I1291" s="725" t="s">
        <v>91</v>
      </c>
      <c r="J1291" s="970" t="s">
        <v>3396</v>
      </c>
      <c r="K1291" s="601"/>
      <c r="L1291" s="601"/>
      <c r="M1291" s="983" t="s">
        <v>2585</v>
      </c>
      <c r="N1291" s="400" t="str">
        <f>IFERROR(G1290/15*N1290*1.25,"")</f>
        <v/>
      </c>
      <c r="O1291" s="89" t="str">
        <f>IFERROR(G1290/15*O1290*1.25,"")</f>
        <v/>
      </c>
      <c r="P1291" s="595"/>
      <c r="Q1291" s="595"/>
      <c r="R1291" s="596"/>
      <c r="S1291" s="610"/>
      <c r="T1291" s="881"/>
      <c r="U1291" s="598"/>
      <c r="V1291" s="599"/>
      <c r="W1291" s="599"/>
      <c r="X1291" s="599"/>
      <c r="Y1291" s="879"/>
      <c r="Z1291" s="85"/>
      <c r="AC1291" s="493"/>
      <c r="AD1291" s="495"/>
      <c r="AG1291" s="22"/>
      <c r="AH1291" s="55"/>
      <c r="AI1291" s="55"/>
      <c r="AJ1291" s="55"/>
      <c r="AK1291" s="55"/>
      <c r="AO1291" s="22"/>
      <c r="AP1291" s="22"/>
      <c r="AQ1291" s="22"/>
      <c r="AR1291" s="22"/>
      <c r="AS1291" s="22"/>
      <c r="AT1291" s="22"/>
      <c r="AU1291" s="35"/>
      <c r="AV1291" s="35"/>
      <c r="AW1291" s="35"/>
      <c r="AX1291" s="35"/>
      <c r="AY1291" s="35"/>
      <c r="AZ1291" s="35"/>
      <c r="BA1291" s="35"/>
      <c r="BB1291" s="35"/>
      <c r="BC1291" s="35"/>
      <c r="BD1291" s="35"/>
      <c r="BE1291" s="35"/>
      <c r="BF1291" s="35"/>
      <c r="BG1291" s="35"/>
      <c r="BH1291" s="35"/>
      <c r="BI1291" s="35"/>
      <c r="BJ1291" s="35"/>
      <c r="BK1291" s="35"/>
      <c r="BL1291" s="35"/>
      <c r="BM1291" s="35"/>
      <c r="BN1291" s="35"/>
      <c r="BO1291" s="86"/>
    </row>
    <row r="1292" spans="1:67" s="20" customFormat="1" ht="16.5" thickBot="1" x14ac:dyDescent="0.3">
      <c r="A1292" s="520">
        <f>IFERROR(VLOOKUP($G$5,'רשימת רשויות'!A:C,3,0),0)</f>
        <v>0</v>
      </c>
      <c r="B1292" s="520">
        <f t="shared" si="175"/>
        <v>0</v>
      </c>
      <c r="C1292" s="39"/>
      <c r="D1292" s="1134"/>
      <c r="E1292" s="1137"/>
      <c r="F1292" s="585" t="s">
        <v>2196</v>
      </c>
      <c r="G1292" s="89">
        <f>IF(G1293="תקין",MAX(O1293,0),0)</f>
        <v>0</v>
      </c>
      <c r="H1292" s="88">
        <f>(IFERROR(IF((G1291+G1292)=0,0,IF(G1289="קטן",G1290*$AH$10,G1290*$AH$11)),0))+(IFERROR(IF((G1291+G1292)=0,0,VLOOKUP(G1288,'דוח ביצוע (3)'!$B:$AH,33,0)),0))</f>
        <v>0</v>
      </c>
      <c r="I1292" s="88">
        <f>IFERROR(IF((G1291+G1292)=0,0,IF(G1289="קטן",G1290*$AI$10,G1290*$AI$11)),0)</f>
        <v>0</v>
      </c>
      <c r="J1292" s="88">
        <f>IFERROR(IF((G1291+G1292)=0,0,VLOOKUP(G1288,'דוח ביצוע (3)'!$B:$AH,32,0)),0)</f>
        <v>0</v>
      </c>
      <c r="K1292" s="90"/>
      <c r="L1292" s="90"/>
      <c r="M1292" s="399" t="s">
        <v>412</v>
      </c>
      <c r="N1292" s="400">
        <f>IFERROR(VLOOKUP($G1288,'דוח ביצוע (3)'!$B$21:$U$500,18,0),0)</f>
        <v>0</v>
      </c>
      <c r="O1292" s="401">
        <f>IFERROR(VLOOKUP($G1288,'דוח ביצוע (3)'!$B$21:$U$500,19,0),0)</f>
        <v>0</v>
      </c>
      <c r="P1292" s="595"/>
      <c r="Q1292" s="595"/>
      <c r="R1292" s="596"/>
      <c r="S1292" s="610"/>
      <c r="T1292" s="881"/>
      <c r="U1292" s="598"/>
      <c r="V1292" s="599"/>
      <c r="W1292" s="599"/>
      <c r="X1292" s="599"/>
      <c r="Y1292" s="879"/>
      <c r="Z1292" s="85"/>
      <c r="AC1292" s="493"/>
      <c r="AD1292" s="495"/>
      <c r="AG1292" s="22"/>
      <c r="AH1292" s="55"/>
      <c r="AI1292" s="55"/>
      <c r="AJ1292" s="55"/>
      <c r="AK1292" s="55"/>
      <c r="AO1292" s="22"/>
      <c r="AP1292" s="22"/>
      <c r="AQ1292" s="22"/>
      <c r="AR1292" s="22"/>
      <c r="AS1292" s="22"/>
      <c r="AT1292" s="22"/>
      <c r="AU1292" s="35"/>
      <c r="AV1292" s="35"/>
      <c r="AW1292" s="35"/>
      <c r="AX1292" s="35"/>
      <c r="AY1292" s="35"/>
      <c r="AZ1292" s="35"/>
      <c r="BA1292" s="35"/>
      <c r="BB1292" s="35"/>
      <c r="BC1292" s="35"/>
      <c r="BD1292" s="35"/>
      <c r="BE1292" s="35"/>
      <c r="BF1292" s="35"/>
      <c r="BG1292" s="35"/>
      <c r="BH1292" s="35"/>
      <c r="BI1292" s="35"/>
      <c r="BJ1292" s="35"/>
      <c r="BK1292" s="35"/>
      <c r="BL1292" s="35"/>
      <c r="BM1292" s="35"/>
      <c r="BN1292" s="35"/>
      <c r="BO1292" s="86"/>
    </row>
    <row r="1293" spans="1:67" s="20" customFormat="1" ht="16.5" thickBot="1" x14ac:dyDescent="0.3">
      <c r="A1293" s="520">
        <f>IFERROR(VLOOKUP($G$5,'רשימת רשויות'!A:C,3,0),0)</f>
        <v>0</v>
      </c>
      <c r="B1293" s="520">
        <f t="shared" si="175"/>
        <v>0</v>
      </c>
      <c r="C1293" s="39"/>
      <c r="D1293" s="1134"/>
      <c r="E1293" s="1137"/>
      <c r="F1293" s="586" t="s">
        <v>2355</v>
      </c>
      <c r="G1293" s="514">
        <f>IFERROR(IF(VLOOKUP('בית ספר - תקצוב לפי מוסד (9)'!G1288,' איוש משרות (8)'!$C:$K,9,0)="תקין","תקין","לא תקין"),0)</f>
        <v>0</v>
      </c>
      <c r="H1293" s="91"/>
      <c r="I1293" s="91"/>
      <c r="J1293" s="91"/>
      <c r="K1293" s="90"/>
      <c r="L1293" s="90"/>
      <c r="M1293" s="402" t="s">
        <v>2586</v>
      </c>
      <c r="N1293" s="403">
        <f>IFERROR(MIN(N1291,N1292),0)</f>
        <v>0</v>
      </c>
      <c r="O1293" s="404">
        <f>IFERROR(MIN(O1291,O1292),0)</f>
        <v>0</v>
      </c>
      <c r="P1293" s="595"/>
      <c r="Q1293" s="595"/>
      <c r="R1293" s="596"/>
      <c r="S1293" s="610"/>
      <c r="T1293" s="881"/>
      <c r="U1293" s="598"/>
      <c r="V1293" s="599"/>
      <c r="W1293" s="599"/>
      <c r="X1293" s="599"/>
      <c r="Y1293" s="879"/>
      <c r="Z1293" s="85"/>
      <c r="AC1293" s="493"/>
      <c r="AD1293" s="495"/>
      <c r="AG1293" s="94"/>
      <c r="AH1293" s="40"/>
      <c r="AI1293" s="40"/>
      <c r="AJ1293" s="40"/>
      <c r="AK1293" s="40"/>
      <c r="AO1293" s="22"/>
      <c r="AP1293" s="22"/>
      <c r="AQ1293" s="22"/>
      <c r="AR1293" s="22"/>
      <c r="AS1293" s="22"/>
      <c r="AT1293" s="22"/>
      <c r="AU1293" s="35"/>
      <c r="AV1293" s="35"/>
      <c r="AW1293" s="35"/>
      <c r="AX1293" s="35"/>
      <c r="AY1293" s="35"/>
      <c r="AZ1293" s="35"/>
      <c r="BA1293" s="35"/>
      <c r="BB1293" s="35"/>
      <c r="BC1293" s="35"/>
      <c r="BD1293" s="35"/>
      <c r="BE1293" s="35"/>
      <c r="BF1293" s="35"/>
      <c r="BG1293" s="35"/>
      <c r="BH1293" s="35"/>
      <c r="BI1293" s="35"/>
      <c r="BJ1293" s="35"/>
      <c r="BK1293" s="35"/>
      <c r="BL1293" s="35"/>
      <c r="BM1293" s="35"/>
      <c r="BN1293" s="35"/>
      <c r="BO1293" s="86"/>
    </row>
    <row r="1294" spans="1:67" s="55" customFormat="1" ht="37.15" customHeight="1" thickBot="1" x14ac:dyDescent="0.3">
      <c r="A1294" s="520">
        <f>IFERROR(VLOOKUP($G$5,'רשימת רשויות'!A:C,3,0),0)</f>
        <v>0</v>
      </c>
      <c r="B1294" s="520">
        <f t="shared" ref="B1294:B1357" si="184">IF(F1295="סמל המוסד",G1295,B1293)</f>
        <v>0</v>
      </c>
      <c r="C1294" s="39"/>
      <c r="D1294" s="1134"/>
      <c r="E1294" s="1137"/>
      <c r="F1294" s="587" t="s">
        <v>142</v>
      </c>
      <c r="G1294" s="92"/>
      <c r="H1294" s="92"/>
      <c r="I1294" s="92"/>
      <c r="J1294" s="92"/>
      <c r="K1294" s="602"/>
      <c r="L1294" s="602"/>
      <c r="M1294" s="602"/>
      <c r="N1294" s="602"/>
      <c r="O1294" s="602"/>
      <c r="P1294" s="595"/>
      <c r="Q1294" s="595"/>
      <c r="R1294" s="596"/>
      <c r="S1294" s="610"/>
      <c r="T1294" s="881"/>
      <c r="U1294" s="598"/>
      <c r="V1294" s="599"/>
      <c r="W1294" s="599"/>
      <c r="X1294" s="599"/>
      <c r="Y1294" s="879"/>
      <c r="Z1294" s="93"/>
      <c r="AC1294" s="493"/>
      <c r="AD1294" s="495"/>
      <c r="AF1294" s="22"/>
      <c r="AG1294" s="98"/>
      <c r="AH1294" s="98"/>
      <c r="AI1294" s="40"/>
      <c r="AJ1294" s="40"/>
      <c r="AK1294" s="40"/>
      <c r="AO1294" s="22"/>
      <c r="AP1294" s="22"/>
      <c r="AQ1294" s="22"/>
      <c r="AR1294" s="22"/>
      <c r="AS1294" s="22"/>
      <c r="AT1294" s="22"/>
      <c r="AU1294" s="35"/>
      <c r="AV1294" s="35"/>
      <c r="AW1294" s="35"/>
      <c r="AX1294" s="35"/>
      <c r="AY1294" s="35"/>
      <c r="AZ1294" s="35"/>
      <c r="BA1294" s="35"/>
      <c r="BB1294" s="35"/>
      <c r="BC1294" s="35"/>
      <c r="BD1294" s="35"/>
      <c r="BE1294" s="35"/>
      <c r="BF1294" s="35"/>
      <c r="BG1294" s="35"/>
      <c r="BH1294" s="35"/>
      <c r="BI1294" s="35"/>
      <c r="BJ1294" s="35"/>
      <c r="BK1294" s="35"/>
      <c r="BL1294" s="35"/>
      <c r="BM1294" s="35"/>
      <c r="BN1294" s="35"/>
      <c r="BO1294" s="86"/>
    </row>
    <row r="1295" spans="1:67" s="40" customFormat="1" ht="31.5" x14ac:dyDescent="0.25">
      <c r="A1295" s="520">
        <f>IFERROR(VLOOKUP($G$5,'רשימת רשויות'!A:C,3,0),0)</f>
        <v>0</v>
      </c>
      <c r="B1295" s="520">
        <f t="shared" si="184"/>
        <v>0</v>
      </c>
      <c r="C1295" s="39"/>
      <c r="D1295" s="1134"/>
      <c r="E1295" s="1137"/>
      <c r="F1295" s="588" t="s">
        <v>94</v>
      </c>
      <c r="G1295" s="95" t="s">
        <v>18</v>
      </c>
      <c r="H1295" s="95" t="s">
        <v>19</v>
      </c>
      <c r="I1295" s="95" t="s">
        <v>138</v>
      </c>
      <c r="J1295" s="96" t="s">
        <v>139</v>
      </c>
      <c r="K1295" s="603"/>
      <c r="L1295" s="603"/>
      <c r="M1295" s="603"/>
      <c r="N1295" s="603"/>
      <c r="O1295" s="603"/>
      <c r="P1295" s="604"/>
      <c r="Q1295" s="604"/>
      <c r="R1295" s="596"/>
      <c r="S1295" s="610"/>
      <c r="T1295" s="881"/>
      <c r="U1295" s="598"/>
      <c r="V1295" s="599"/>
      <c r="W1295" s="599"/>
      <c r="X1295" s="599"/>
      <c r="Y1295" s="879"/>
      <c r="Z1295" s="97"/>
      <c r="AA1295" s="94"/>
      <c r="AB1295" s="94"/>
      <c r="AC1295" s="493"/>
      <c r="AD1295" s="495"/>
      <c r="AE1295" s="94"/>
      <c r="AG1295" s="98"/>
      <c r="AH1295" s="98"/>
      <c r="AO1295" s="22"/>
      <c r="AP1295" s="22"/>
      <c r="AQ1295" s="22"/>
      <c r="AR1295" s="22"/>
      <c r="AS1295" s="22"/>
      <c r="AT1295" s="22"/>
      <c r="AU1295" s="35"/>
      <c r="AV1295" s="35"/>
      <c r="AW1295" s="35"/>
      <c r="AX1295" s="35"/>
      <c r="AY1295" s="35"/>
      <c r="AZ1295" s="35"/>
      <c r="BA1295" s="35"/>
      <c r="BB1295" s="35"/>
      <c r="BC1295" s="35"/>
      <c r="BD1295" s="35"/>
      <c r="BE1295" s="35"/>
      <c r="BF1295" s="35"/>
      <c r="BG1295" s="35"/>
      <c r="BH1295" s="35"/>
      <c r="BI1295" s="35"/>
      <c r="BJ1295" s="35"/>
      <c r="BK1295" s="35"/>
      <c r="BL1295" s="35"/>
      <c r="BM1295" s="35"/>
      <c r="BN1295" s="35"/>
      <c r="BO1295" s="86"/>
    </row>
    <row r="1296" spans="1:67" s="40" customFormat="1" ht="15.75" customHeight="1" thickBot="1" x14ac:dyDescent="0.3">
      <c r="A1296" s="520">
        <f>IFERROR(VLOOKUP($G$5,'רשימת רשויות'!A:C,3,0),0)</f>
        <v>0</v>
      </c>
      <c r="B1296" s="520">
        <f t="shared" si="184"/>
        <v>0</v>
      </c>
      <c r="C1296" s="39"/>
      <c r="D1296" s="1134"/>
      <c r="E1296" s="1137"/>
      <c r="F1296" s="589" t="s">
        <v>2280</v>
      </c>
      <c r="G1296" s="99">
        <f>+G1307</f>
        <v>0</v>
      </c>
      <c r="H1296" s="100">
        <f>K1290</f>
        <v>0</v>
      </c>
      <c r="I1296" s="100">
        <f>H1296-I1298</f>
        <v>0</v>
      </c>
      <c r="J1296" s="101">
        <f>IFERROR(I1296/H1296,0)</f>
        <v>0</v>
      </c>
      <c r="K1296" s="603"/>
      <c r="L1296" s="603"/>
      <c r="M1296" s="603"/>
      <c r="N1296" s="603"/>
      <c r="O1296" s="603"/>
      <c r="P1296" s="605"/>
      <c r="Q1296" s="604"/>
      <c r="R1296" s="606" t="s">
        <v>157</v>
      </c>
      <c r="S1296" s="611"/>
      <c r="T1296" s="881"/>
      <c r="U1296" s="598"/>
      <c r="V1296" s="599"/>
      <c r="W1296" s="599"/>
      <c r="X1296" s="599"/>
      <c r="Y1296" s="879"/>
      <c r="Z1296" s="102"/>
      <c r="AA1296" s="122"/>
      <c r="AB1296" s="122"/>
      <c r="AC1296" s="493"/>
      <c r="AD1296" s="495"/>
      <c r="AE1296" s="122"/>
      <c r="AF1296" s="22"/>
      <c r="AG1296" s="98"/>
      <c r="AH1296" s="98"/>
      <c r="AI1296" s="20"/>
      <c r="AO1296" s="22"/>
      <c r="AP1296" s="22"/>
      <c r="AQ1296" s="22"/>
      <c r="AR1296" s="22"/>
      <c r="AS1296" s="22"/>
      <c r="AT1296" s="22"/>
      <c r="AU1296" s="35"/>
      <c r="AV1296" s="35"/>
      <c r="AW1296" s="35"/>
      <c r="AX1296" s="35"/>
      <c r="AY1296" s="35"/>
      <c r="AZ1296" s="35"/>
      <c r="BA1296" s="35"/>
      <c r="BB1296" s="35"/>
      <c r="BC1296" s="35"/>
      <c r="BD1296" s="35"/>
      <c r="BE1296" s="35"/>
      <c r="BF1296" s="35"/>
      <c r="BG1296" s="35"/>
      <c r="BH1296" s="35"/>
      <c r="BI1296" s="35"/>
      <c r="BJ1296" s="35"/>
      <c r="BK1296" s="35"/>
      <c r="BL1296" s="35"/>
      <c r="BM1296" s="35"/>
      <c r="BN1296" s="35"/>
      <c r="BO1296" s="86"/>
    </row>
    <row r="1297" spans="1:67" s="40" customFormat="1" ht="15.75" customHeight="1" thickBot="1" x14ac:dyDescent="0.3">
      <c r="A1297" s="520">
        <f>IFERROR(VLOOKUP($G$5,'רשימת רשויות'!A:C,3,0),0)</f>
        <v>0</v>
      </c>
      <c r="B1297" s="520">
        <f t="shared" si="184"/>
        <v>0</v>
      </c>
      <c r="C1297" s="39"/>
      <c r="D1297" s="1134"/>
      <c r="E1297" s="1137"/>
      <c r="F1297" s="589" t="s">
        <v>2281</v>
      </c>
      <c r="G1297" s="99">
        <f>+G1306</f>
        <v>0</v>
      </c>
      <c r="H1297" s="103"/>
      <c r="I1297" s="104"/>
      <c r="J1297" s="105"/>
      <c r="K1297" s="603"/>
      <c r="L1297" s="603"/>
      <c r="M1297" s="603"/>
      <c r="N1297" s="603"/>
      <c r="O1297" s="603"/>
      <c r="P1297" s="605"/>
      <c r="Q1297" s="604"/>
      <c r="R1297" s="473">
        <f>I1298-R1299</f>
        <v>0</v>
      </c>
      <c r="S1297" s="611"/>
      <c r="T1297" s="881"/>
      <c r="U1297" s="598"/>
      <c r="V1297" s="599"/>
      <c r="W1297" s="599"/>
      <c r="X1297" s="599"/>
      <c r="Y1297" s="879"/>
      <c r="Z1297" s="106"/>
      <c r="AA1297" s="22"/>
      <c r="AB1297" s="22"/>
      <c r="AC1297" s="493"/>
      <c r="AD1297" s="495"/>
      <c r="AE1297" s="22"/>
      <c r="AF1297" s="22"/>
      <c r="AG1297" s="98"/>
      <c r="AH1297" s="98"/>
      <c r="AI1297" s="20"/>
      <c r="AO1297" s="22"/>
      <c r="AP1297" s="22"/>
      <c r="AQ1297" s="22"/>
      <c r="AR1297" s="22"/>
      <c r="AS1297" s="22"/>
      <c r="AT1297" s="22"/>
      <c r="AU1297" s="35"/>
      <c r="AV1297" s="35"/>
      <c r="AW1297" s="35"/>
      <c r="AX1297" s="35"/>
      <c r="AY1297" s="35"/>
      <c r="AZ1297" s="35"/>
      <c r="BA1297" s="35"/>
      <c r="BB1297" s="35"/>
      <c r="BC1297" s="35"/>
      <c r="BD1297" s="35"/>
      <c r="BE1297" s="35"/>
      <c r="BF1297" s="35"/>
      <c r="BG1297" s="35"/>
      <c r="BH1297" s="35"/>
      <c r="BI1297" s="35"/>
      <c r="BJ1297" s="35"/>
      <c r="BK1297" s="35"/>
      <c r="BL1297" s="35"/>
      <c r="BM1297" s="35"/>
      <c r="BN1297" s="35"/>
      <c r="BO1297" s="86"/>
    </row>
    <row r="1298" spans="1:67" s="40" customFormat="1" ht="16.5" customHeight="1" thickBot="1" x14ac:dyDescent="0.3">
      <c r="A1298" s="520">
        <f>IFERROR(VLOOKUP($G$5,'רשימת רשויות'!A:C,3,0),0)</f>
        <v>0</v>
      </c>
      <c r="B1298" s="520">
        <f t="shared" si="184"/>
        <v>0</v>
      </c>
      <c r="C1298" s="39"/>
      <c r="D1298" s="1134"/>
      <c r="E1298" s="1137"/>
      <c r="F1298" s="589" t="s">
        <v>2282</v>
      </c>
      <c r="G1298" s="99">
        <f>G1302+G1303+G1304</f>
        <v>0</v>
      </c>
      <c r="H1298" s="104"/>
      <c r="I1298" s="107">
        <f>MAX(H1296-G1296-G1297,0)</f>
        <v>0</v>
      </c>
      <c r="J1298" s="108">
        <f>IFERROR(I1298/H1296,0)</f>
        <v>0</v>
      </c>
      <c r="K1298" s="603"/>
      <c r="L1298" s="603"/>
      <c r="M1298" s="603"/>
      <c r="N1298" s="603"/>
      <c r="O1298" s="603"/>
      <c r="P1298" s="604"/>
      <c r="Q1298" s="604"/>
      <c r="R1298" s="606" t="s">
        <v>158</v>
      </c>
      <c r="S1298" s="612"/>
      <c r="T1298" s="881"/>
      <c r="U1298" s="598"/>
      <c r="V1298" s="599"/>
      <c r="W1298" s="599"/>
      <c r="X1298" s="599"/>
      <c r="Y1298" s="879"/>
      <c r="Z1298" s="106"/>
      <c r="AA1298" s="22"/>
      <c r="AB1298" s="22"/>
      <c r="AC1298" s="493"/>
      <c r="AD1298" s="495"/>
      <c r="AE1298" s="22"/>
      <c r="AF1298" s="22"/>
      <c r="AG1298" s="22"/>
      <c r="AH1298" s="22"/>
      <c r="AI1298" s="55"/>
      <c r="AJ1298" s="22"/>
      <c r="AK1298" s="22"/>
      <c r="AO1298" s="22"/>
      <c r="AP1298" s="22"/>
      <c r="AQ1298" s="22"/>
      <c r="AR1298" s="22"/>
      <c r="AS1298" s="22"/>
      <c r="AT1298" s="22"/>
      <c r="AU1298" s="35"/>
      <c r="AV1298" s="35"/>
      <c r="AW1298" s="35"/>
      <c r="AX1298" s="35"/>
      <c r="AY1298" s="35"/>
      <c r="AZ1298" s="35"/>
      <c r="BA1298" s="35"/>
      <c r="BB1298" s="35"/>
      <c r="BC1298" s="35"/>
      <c r="BD1298" s="35"/>
      <c r="BE1298" s="35"/>
      <c r="BF1298" s="35"/>
      <c r="BG1298" s="35"/>
      <c r="BH1298" s="35"/>
      <c r="BI1298" s="35"/>
      <c r="BJ1298" s="35"/>
      <c r="BK1298" s="35"/>
      <c r="BL1298" s="35"/>
      <c r="BM1298" s="35"/>
      <c r="BN1298" s="35"/>
      <c r="BO1298" s="86"/>
    </row>
    <row r="1299" spans="1:67" s="40" customFormat="1" ht="15.75" customHeight="1" thickBot="1" x14ac:dyDescent="0.3">
      <c r="A1299" s="520">
        <f>IFERROR(VLOOKUP($G$5,'רשימת רשויות'!A:C,3,0),0)</f>
        <v>0</v>
      </c>
      <c r="B1299" s="520">
        <f t="shared" si="184"/>
        <v>0</v>
      </c>
      <c r="C1299" s="39"/>
      <c r="D1299" s="1134"/>
      <c r="E1299" s="1137"/>
      <c r="F1299" s="590" t="s">
        <v>2290</v>
      </c>
      <c r="G1299" s="109"/>
      <c r="H1299" s="110"/>
      <c r="I1299" s="111">
        <f>SUM(I1296:I1298)</f>
        <v>0</v>
      </c>
      <c r="J1299" s="112">
        <f>SUM(J1296:J1298)</f>
        <v>0</v>
      </c>
      <c r="K1299" s="603"/>
      <c r="L1299" s="603"/>
      <c r="M1299" s="603"/>
      <c r="N1299" s="603"/>
      <c r="O1299" s="603"/>
      <c r="P1299" s="604"/>
      <c r="Q1299" s="604"/>
      <c r="R1299" s="473">
        <f>MIN(MAX(G1303+G1304-I1292-J1292,0),I1298)</f>
        <v>0</v>
      </c>
      <c r="S1299" s="612"/>
      <c r="T1299" s="881"/>
      <c r="U1299" s="598"/>
      <c r="V1299" s="599"/>
      <c r="W1299" s="599"/>
      <c r="X1299" s="599"/>
      <c r="Y1299" s="879"/>
      <c r="Z1299" s="106"/>
      <c r="AA1299" s="22"/>
      <c r="AB1299" s="22"/>
      <c r="AC1299" s="493"/>
      <c r="AD1299" s="495"/>
      <c r="AE1299" s="22"/>
      <c r="AF1299" s="22"/>
      <c r="AG1299" s="22"/>
      <c r="AH1299" s="22"/>
      <c r="AJ1299" s="22"/>
      <c r="AK1299" s="22"/>
      <c r="AO1299" s="22"/>
      <c r="AP1299" s="22"/>
      <c r="AQ1299" s="22"/>
      <c r="AR1299" s="22"/>
      <c r="AS1299" s="22"/>
      <c r="AT1299" s="22"/>
      <c r="AU1299" s="35"/>
      <c r="AV1299" s="35"/>
      <c r="AW1299" s="35"/>
      <c r="AX1299" s="35"/>
      <c r="AY1299" s="35"/>
      <c r="AZ1299" s="35"/>
      <c r="BA1299" s="35"/>
      <c r="BB1299" s="35"/>
      <c r="BC1299" s="35"/>
      <c r="BD1299" s="35"/>
      <c r="BE1299" s="35"/>
      <c r="BF1299" s="35"/>
      <c r="BG1299" s="35"/>
      <c r="BH1299" s="35"/>
      <c r="BI1299" s="35"/>
      <c r="BJ1299" s="35"/>
      <c r="BK1299" s="35"/>
      <c r="BL1299" s="35"/>
      <c r="BM1299" s="35"/>
      <c r="BN1299" s="35"/>
      <c r="BO1299" s="86"/>
    </row>
    <row r="1300" spans="1:67" ht="16.5" thickBot="1" x14ac:dyDescent="0.3">
      <c r="A1300" s="520">
        <f>IFERROR(VLOOKUP($G$5,'רשימת רשויות'!A:C,3,0),0)</f>
        <v>0</v>
      </c>
      <c r="B1300" s="520">
        <f t="shared" si="184"/>
        <v>0</v>
      </c>
      <c r="D1300" s="1134"/>
      <c r="E1300" s="1137"/>
      <c r="F1300" s="587" t="s">
        <v>17</v>
      </c>
      <c r="G1300" s="113"/>
      <c r="H1300" s="92"/>
      <c r="I1300" s="114"/>
      <c r="J1300" s="115"/>
      <c r="K1300" s="116"/>
      <c r="L1300" s="406"/>
      <c r="M1300" s="116"/>
      <c r="N1300" s="116"/>
      <c r="O1300" s="116"/>
      <c r="P1300" s="474"/>
      <c r="Q1300" s="607"/>
      <c r="R1300" s="608"/>
      <c r="S1300" s="612"/>
      <c r="T1300" s="881"/>
      <c r="U1300" s="598"/>
      <c r="V1300" s="599"/>
      <c r="W1300" s="599"/>
      <c r="X1300" s="599"/>
      <c r="Y1300" s="879"/>
      <c r="Z1300" s="106"/>
      <c r="AI1300" s="40"/>
      <c r="BO1300" s="86"/>
    </row>
    <row r="1301" spans="1:67" ht="47.25" x14ac:dyDescent="0.25">
      <c r="A1301" s="520">
        <f>IFERROR(VLOOKUP($G$5,'רשימת רשויות'!A:C,3,0),0)</f>
        <v>0</v>
      </c>
      <c r="B1301" s="520">
        <f t="shared" si="184"/>
        <v>0</v>
      </c>
      <c r="D1301" s="1134"/>
      <c r="E1301" s="1137"/>
      <c r="F1301" s="588" t="s">
        <v>2</v>
      </c>
      <c r="G1301" s="95" t="s">
        <v>18</v>
      </c>
      <c r="H1301" s="95" t="s">
        <v>19</v>
      </c>
      <c r="I1301" s="95" t="s">
        <v>20</v>
      </c>
      <c r="J1301" s="95" t="s">
        <v>22</v>
      </c>
      <c r="K1301" s="96" t="s">
        <v>2314</v>
      </c>
      <c r="L1301" s="609"/>
      <c r="M1301" s="609"/>
      <c r="N1301" s="609"/>
      <c r="O1301" s="580"/>
      <c r="P1301" s="618" t="s">
        <v>2298</v>
      </c>
      <c r="Q1301" s="618" t="s">
        <v>2299</v>
      </c>
      <c r="R1301" s="596"/>
      <c r="S1301" s="890" t="s">
        <v>2519</v>
      </c>
      <c r="T1301" s="890" t="s">
        <v>97</v>
      </c>
      <c r="U1301" s="891" t="s">
        <v>2521</v>
      </c>
      <c r="V1301" s="892" t="s">
        <v>2520</v>
      </c>
      <c r="W1301" s="893" t="s">
        <v>2524</v>
      </c>
      <c r="X1301" s="892" t="s">
        <v>2522</v>
      </c>
      <c r="Y1301" s="894" t="s">
        <v>2523</v>
      </c>
      <c r="Z1301" s="106"/>
      <c r="AC1301" s="498" t="s">
        <v>2568</v>
      </c>
      <c r="AD1301" s="499" t="s">
        <v>2569</v>
      </c>
      <c r="AF1301" s="122"/>
      <c r="AI1301" s="40"/>
      <c r="BO1301" s="86"/>
    </row>
    <row r="1302" spans="1:67" ht="15" customHeight="1" thickBot="1" x14ac:dyDescent="0.3">
      <c r="A1302" s="520">
        <f>IFERROR(VLOOKUP($G$5,'רשימת רשויות'!A:C,3,0),0)</f>
        <v>0</v>
      </c>
      <c r="B1302" s="520">
        <f t="shared" si="184"/>
        <v>0</v>
      </c>
      <c r="D1302" s="1134"/>
      <c r="E1302" s="1137"/>
      <c r="F1302" s="589" t="s">
        <v>76</v>
      </c>
      <c r="G1302" s="117">
        <f>IF(G1293="תקין",SUMIF('עלויות כח אדם (6)'!$B$15:$B$3014,'בית ספר - תקצוב לפי מוסד (9)'!$G1288,'עלויות כח אדם (6)'!$M$15:$M$3014)-VLOOKUP('בית ספר - תקצוב לפי מוסד (9)'!G1288,' איוש משרות (8)'!$C:$H,5,0)-VLOOKUP('בית ספר - תקצוב לפי מוסד (9)'!G1288,' איוש משרות (8)'!$C:$H,6,0),0)-Y1302</f>
        <v>0</v>
      </c>
      <c r="H1302" s="118">
        <f>I1290+R1297</f>
        <v>0</v>
      </c>
      <c r="I1302" s="119">
        <f>IFERROR(SUM(G1302)/H1302,0)</f>
        <v>0</v>
      </c>
      <c r="J1302" s="100">
        <f>MIN(I1290+R1297,IF(ISNUMBER(G1302),G1302,0))</f>
        <v>0</v>
      </c>
      <c r="K1302" s="120">
        <f>MAX(H1302-G1302,0)</f>
        <v>0</v>
      </c>
      <c r="L1302" s="407"/>
      <c r="M1302" s="393"/>
      <c r="N1302" s="393"/>
      <c r="O1302" s="580"/>
      <c r="P1302" s="968">
        <f>IFERROR(IF(SUM(G1302)/(I1290)&lt;100%,MIN((I1290)-SUM(G1302),(I1290)*0.25),0),0)</f>
        <v>0</v>
      </c>
      <c r="Q1302" s="968">
        <f>IF(SUM(G1302)-(I1290+R1297)&gt;0,SUM(G1302)-(I1290+R1297),0)</f>
        <v>0</v>
      </c>
      <c r="R1302" s="596" t="s">
        <v>2351</v>
      </c>
      <c r="S1302" s="576" t="s">
        <v>2342</v>
      </c>
      <c r="T1302" s="599">
        <f>G1288</f>
        <v>0</v>
      </c>
      <c r="U1302" s="578"/>
      <c r="V1302" s="579">
        <f>G1302+G1303+G1304</f>
        <v>0</v>
      </c>
      <c r="W1302" s="579">
        <f>U1302-V1302</f>
        <v>0</v>
      </c>
      <c r="X1302" s="579">
        <f>IFERROR(W1316*W1302/(SUM(W1302:W1315)),0)</f>
        <v>0</v>
      </c>
      <c r="Y1302" s="879">
        <f>SUMIFS(בקרה!$S:$S,בקרה!$D:$D,T1302,בקרה!$K:$K,S1302)</f>
        <v>0</v>
      </c>
      <c r="Z1302" s="121"/>
      <c r="AA1302" s="143"/>
      <c r="AB1302" s="143"/>
      <c r="AC1302" s="504">
        <v>0</v>
      </c>
      <c r="AD1302" s="505">
        <f>IFERROR(U1302-AC1302,0)</f>
        <v>0</v>
      </c>
      <c r="AE1302" s="143"/>
      <c r="AI1302" s="20"/>
      <c r="BO1302" s="86"/>
    </row>
    <row r="1303" spans="1:67" ht="15" customHeight="1" thickBot="1" x14ac:dyDescent="0.3">
      <c r="A1303" s="520">
        <f>IFERROR(VLOOKUP($G$5,'רשימת רשויות'!A:C,3,0),0)</f>
        <v>0</v>
      </c>
      <c r="B1303" s="520">
        <f t="shared" si="184"/>
        <v>0</v>
      </c>
      <c r="D1303" s="1134"/>
      <c r="E1303" s="1137"/>
      <c r="F1303" s="589" t="s">
        <v>44</v>
      </c>
      <c r="G1303" s="123">
        <f>IF(G1293="תקין",IFERROR(VLOOKUP('בית ספר - תקצוב לפי מוסד (9)'!G1288,' איוש משרות (8)'!C:J,7,0),0),0)</f>
        <v>0</v>
      </c>
      <c r="H1303" s="124">
        <f>I1292+R1299+J1292</f>
        <v>0</v>
      </c>
      <c r="I1303" s="119">
        <f>IFERROR(SUM(G1303:G1304)/H1303,0)</f>
        <v>0</v>
      </c>
      <c r="J1303" s="100">
        <f>MIN(R1299+I1292,IF(ISNUMBER(SUM(G1303:G1304)),SUM(G1303:G1304),0))</f>
        <v>0</v>
      </c>
      <c r="K1303" s="1139">
        <f>MAX((H1303)-(G1303+G1304),0)</f>
        <v>0</v>
      </c>
      <c r="L1303" s="407"/>
      <c r="M1303" s="393"/>
      <c r="N1303" s="393"/>
      <c r="O1303" s="580"/>
      <c r="P1303" s="1140"/>
      <c r="Q1303" s="1140"/>
      <c r="R1303" s="617">
        <f>MAX(MIN(P1311-Q1311,H1311*0.15-G1309),0)</f>
        <v>0</v>
      </c>
      <c r="S1303" s="576"/>
      <c r="T1303" s="599">
        <f>G1288</f>
        <v>0</v>
      </c>
      <c r="U1303" s="578"/>
      <c r="V1303" s="579"/>
      <c r="W1303" s="579">
        <f t="shared" ref="W1303:W1315" si="185">U1303-V1303</f>
        <v>0</v>
      </c>
      <c r="X1303" s="579"/>
      <c r="Y1303" s="879"/>
      <c r="Z1303" s="121"/>
      <c r="AA1303" s="143"/>
      <c r="AB1303" s="143"/>
      <c r="AC1303" s="504"/>
      <c r="AD1303" s="505">
        <f t="shared" ref="AD1303:AD1309" si="186">IFERROR(U1303-AC1303,0)</f>
        <v>0</v>
      </c>
      <c r="AE1303" s="143"/>
      <c r="AI1303" s="20"/>
      <c r="BO1303" s="86"/>
    </row>
    <row r="1304" spans="1:67" ht="15.75" customHeight="1" x14ac:dyDescent="0.25">
      <c r="A1304" s="520">
        <f>IFERROR(VLOOKUP($G$5,'רשימת רשויות'!A:C,3,0),0)</f>
        <v>0</v>
      </c>
      <c r="B1304" s="520">
        <f t="shared" si="184"/>
        <v>0</v>
      </c>
      <c r="D1304" s="1134"/>
      <c r="E1304" s="1137"/>
      <c r="F1304" s="589" t="s">
        <v>45</v>
      </c>
      <c r="G1304" s="123">
        <f>IF(G1293="תקין",IFERROR(VLOOKUP('בית ספר - תקצוב לפי מוסד (9)'!G1288,' איוש משרות (8)'!C:J,8,0),0),0)</f>
        <v>0</v>
      </c>
      <c r="H1304" s="125"/>
      <c r="I1304" s="126"/>
      <c r="J1304" s="104"/>
      <c r="K1304" s="1139"/>
      <c r="L1304" s="407"/>
      <c r="M1304" s="393"/>
      <c r="N1304" s="393"/>
      <c r="O1304" s="580"/>
      <c r="P1304" s="1140"/>
      <c r="Q1304" s="1140"/>
      <c r="R1304" s="596"/>
      <c r="S1304" s="576"/>
      <c r="T1304" s="599">
        <f>G1288</f>
        <v>0</v>
      </c>
      <c r="U1304" s="578"/>
      <c r="V1304" s="579"/>
      <c r="W1304" s="579">
        <f t="shared" si="185"/>
        <v>0</v>
      </c>
      <c r="X1304" s="579"/>
      <c r="Y1304" s="879"/>
      <c r="Z1304" s="121"/>
      <c r="AA1304" s="143"/>
      <c r="AB1304" s="143"/>
      <c r="AC1304" s="504"/>
      <c r="AD1304" s="505">
        <f t="shared" si="186"/>
        <v>0</v>
      </c>
      <c r="AE1304" s="143"/>
      <c r="AG1304" s="55"/>
      <c r="AH1304" s="55"/>
      <c r="AI1304" s="55"/>
      <c r="AJ1304" s="55"/>
      <c r="AK1304" s="55"/>
      <c r="BO1304" s="86"/>
    </row>
    <row r="1305" spans="1:67" ht="15.75" customHeight="1" x14ac:dyDescent="0.25">
      <c r="A1305" s="520">
        <f>IFERROR(VLOOKUP($G$5,'רשימת רשויות'!A:C,3,0),0)</f>
        <v>0</v>
      </c>
      <c r="B1305" s="520">
        <f t="shared" si="184"/>
        <v>0</v>
      </c>
      <c r="D1305" s="1134"/>
      <c r="E1305" s="1137"/>
      <c r="F1305" s="589" t="s">
        <v>0</v>
      </c>
      <c r="G1305" s="117">
        <f>IF(G1293="תקין",SUMIFS('דוח הוצאות בפועל (4)'!$E$17:$E$3016,'דוח הוצאות בפועל (4)'!$B$17:$B$3016,'בית ספר - תקצוב לפי מוסד (9)'!$G1288,'דוח הוצאות בפועל (4)'!$M$17:$M$3016,"הע"),0)-Y1305</f>
        <v>0</v>
      </c>
      <c r="H1305" s="127">
        <f>J1290</f>
        <v>0</v>
      </c>
      <c r="I1305" s="128">
        <f>IFERROR(G1305/H1305,0)</f>
        <v>0</v>
      </c>
      <c r="J1305" s="129">
        <f>MIN(IF(ISNUMBER(G1305),G1305,0),H1305)</f>
        <v>0</v>
      </c>
      <c r="K1305" s="120">
        <f>MAX(H1305-G1305,0)</f>
        <v>0</v>
      </c>
      <c r="L1305" s="407"/>
      <c r="M1305" s="393"/>
      <c r="N1305" s="393"/>
      <c r="O1305" s="580"/>
      <c r="P1305" s="968">
        <f>MAX(IF(I1305&lt;100%,MIN((H1305-G1305),H1305*0.25),0),0)</f>
        <v>0</v>
      </c>
      <c r="Q1305" s="619">
        <f>IF(G1305-H1305&gt;0,G1305-H1305,0)</f>
        <v>0</v>
      </c>
      <c r="R1305" s="596"/>
      <c r="S1305" s="610" t="s">
        <v>0</v>
      </c>
      <c r="T1305" s="599">
        <f>G1288</f>
        <v>0</v>
      </c>
      <c r="U1305" s="578"/>
      <c r="V1305" s="579">
        <f>G1305</f>
        <v>0</v>
      </c>
      <c r="W1305" s="579">
        <f t="shared" si="185"/>
        <v>0</v>
      </c>
      <c r="X1305" s="579">
        <f>IFERROR(W1316*W1305/(SUM(W1302:W1315)),0)</f>
        <v>0</v>
      </c>
      <c r="Y1305" s="879">
        <f>SUMIFS(בקרה!$S:$S,בקרה!$D:$D,T1305,בקרה!$K:$K,S1305)</f>
        <v>0</v>
      </c>
      <c r="Z1305" s="121"/>
      <c r="AA1305" s="143"/>
      <c r="AB1305" s="143"/>
      <c r="AC1305" s="504">
        <v>0</v>
      </c>
      <c r="AD1305" s="505">
        <f t="shared" si="186"/>
        <v>0</v>
      </c>
      <c r="AE1305" s="143"/>
      <c r="AG1305" s="55"/>
      <c r="AH1305" s="55"/>
      <c r="AI1305" s="40"/>
      <c r="AJ1305" s="55"/>
      <c r="AK1305" s="55"/>
      <c r="BO1305" s="86"/>
    </row>
    <row r="1306" spans="1:67" s="55" customFormat="1" ht="15.75" customHeight="1" x14ac:dyDescent="0.25">
      <c r="A1306" s="520">
        <f>IFERROR(VLOOKUP($G$5,'רשימת רשויות'!A:C,3,0),0)</f>
        <v>0</v>
      </c>
      <c r="B1306" s="520">
        <f t="shared" si="184"/>
        <v>0</v>
      </c>
      <c r="C1306" s="39"/>
      <c r="D1306" s="1134"/>
      <c r="E1306" s="1137"/>
      <c r="F1306" s="589" t="s">
        <v>93</v>
      </c>
      <c r="G1306" s="130">
        <f>IF(G1293="תקין",SUMIFS('דוח הוצאות בפועל (4)'!$E$17:$E$3016,'דוח הוצאות בפועל (4)'!$B$17:$B$3016,'בית ספר - תקצוב לפי מוסד (9)'!$G1288,'דוח הוצאות בפועל (4)'!$M$17:$M$3016,"אר"),0)-Y1306</f>
        <v>0</v>
      </c>
      <c r="H1306" s="118">
        <f>$I1296</f>
        <v>0</v>
      </c>
      <c r="I1306" s="131">
        <f>IFERROR((G1306+G1307)/H1306,0)</f>
        <v>0</v>
      </c>
      <c r="J1306" s="100">
        <f>MIN((IF(ISNUMBER(G1306),G1306,0)+IF(ISNUMBER(G1307),G1307,0)),H1306)</f>
        <v>0</v>
      </c>
      <c r="K1306" s="1139">
        <f>MAX((H1306)-(G1306+G1307),0)</f>
        <v>0</v>
      </c>
      <c r="L1306" s="407"/>
      <c r="M1306" s="393"/>
      <c r="N1306" s="393"/>
      <c r="O1306" s="602"/>
      <c r="P1306" s="1141"/>
      <c r="Q1306" s="1142"/>
      <c r="R1306" s="596"/>
      <c r="S1306" s="610" t="s">
        <v>93</v>
      </c>
      <c r="T1306" s="599">
        <f>G1288</f>
        <v>0</v>
      </c>
      <c r="U1306" s="578"/>
      <c r="V1306" s="579">
        <f t="shared" ref="V1306:V1307" si="187">G1306</f>
        <v>0</v>
      </c>
      <c r="W1306" s="579">
        <f t="shared" si="185"/>
        <v>0</v>
      </c>
      <c r="X1306" s="579">
        <f>IFERROR(W1316*W1306/(SUM(W1302:W1315)),0)</f>
        <v>0</v>
      </c>
      <c r="Y1306" s="879">
        <f>SUMIFS(בקרה!$S:$S,בקרה!$D:$D,T1306,בקרה!$K:$K,S1306)</f>
        <v>0</v>
      </c>
      <c r="Z1306" s="121"/>
      <c r="AA1306" s="143"/>
      <c r="AB1306" s="143"/>
      <c r="AC1306" s="504">
        <v>0</v>
      </c>
      <c r="AD1306" s="505">
        <f t="shared" si="186"/>
        <v>0</v>
      </c>
      <c r="AE1306" s="143"/>
      <c r="AJ1306" s="22"/>
      <c r="AO1306" s="22"/>
      <c r="AP1306" s="22"/>
      <c r="AQ1306" s="22"/>
      <c r="AR1306" s="22"/>
      <c r="AS1306" s="22"/>
      <c r="AT1306" s="22"/>
      <c r="AU1306" s="35"/>
      <c r="AV1306" s="35"/>
      <c r="AW1306" s="35"/>
      <c r="AX1306" s="35"/>
      <c r="AY1306" s="35"/>
      <c r="AZ1306" s="35"/>
      <c r="BA1306" s="35"/>
      <c r="BB1306" s="35"/>
      <c r="BC1306" s="35"/>
      <c r="BD1306" s="35"/>
      <c r="BE1306" s="35"/>
      <c r="BF1306" s="35"/>
      <c r="BG1306" s="35"/>
      <c r="BH1306" s="35"/>
      <c r="BI1306" s="35"/>
      <c r="BJ1306" s="35"/>
      <c r="BK1306" s="35"/>
      <c r="BL1306" s="35"/>
      <c r="BM1306" s="35"/>
      <c r="BN1306" s="35"/>
      <c r="BO1306" s="86"/>
    </row>
    <row r="1307" spans="1:67" s="55" customFormat="1" ht="15.75" customHeight="1" x14ac:dyDescent="0.25">
      <c r="A1307" s="520">
        <f>IFERROR(VLOOKUP($G$5,'רשימת רשויות'!A:C,3,0),0)</f>
        <v>0</v>
      </c>
      <c r="B1307" s="520">
        <f t="shared" si="184"/>
        <v>0</v>
      </c>
      <c r="C1307" s="39"/>
      <c r="D1307" s="1134"/>
      <c r="E1307" s="1137"/>
      <c r="F1307" s="589" t="s">
        <v>46</v>
      </c>
      <c r="G1307" s="130">
        <f>IF(G1293="תקין",SUMIFS('דוח הוצאות בפועל (4)'!$E$17:$E$3016,'דוח הוצאות בפועל (4)'!$B$17:$B$3016,'בית ספר - תקצוב לפי מוסד (9)'!$G1288,'דוח הוצאות בפועל (4)'!$M$17:$M$3016,"מל"),0)-Y1307</f>
        <v>0</v>
      </c>
      <c r="H1307" s="132"/>
      <c r="I1307" s="133"/>
      <c r="J1307" s="104"/>
      <c r="K1307" s="1139"/>
      <c r="L1307" s="407"/>
      <c r="M1307" s="393"/>
      <c r="N1307" s="393"/>
      <c r="O1307" s="602"/>
      <c r="P1307" s="1141"/>
      <c r="Q1307" s="1142"/>
      <c r="R1307" s="596"/>
      <c r="S1307" s="610" t="s">
        <v>46</v>
      </c>
      <c r="T1307" s="599">
        <f>G1288</f>
        <v>0</v>
      </c>
      <c r="U1307" s="578"/>
      <c r="V1307" s="579">
        <f t="shared" si="187"/>
        <v>0</v>
      </c>
      <c r="W1307" s="579">
        <f t="shared" si="185"/>
        <v>0</v>
      </c>
      <c r="X1307" s="579">
        <f>IFERROR(W1316*W1307/(SUM(W1302:W1315)),0)</f>
        <v>0</v>
      </c>
      <c r="Y1307" s="879">
        <f>SUMIFS(בקרה!$S:$S,בקרה!$D:$D,T1307,בקרה!$K:$K,S1307)</f>
        <v>0</v>
      </c>
      <c r="Z1307" s="121"/>
      <c r="AA1307" s="143"/>
      <c r="AB1307" s="143"/>
      <c r="AC1307" s="504">
        <v>0</v>
      </c>
      <c r="AD1307" s="505">
        <f t="shared" si="186"/>
        <v>0</v>
      </c>
      <c r="AE1307" s="143"/>
      <c r="AJ1307" s="22"/>
      <c r="AO1307" s="22"/>
      <c r="AP1307" s="22"/>
      <c r="AQ1307" s="22"/>
      <c r="AR1307" s="22"/>
      <c r="AS1307" s="22"/>
      <c r="AT1307" s="22"/>
      <c r="AU1307" s="35"/>
      <c r="AV1307" s="35"/>
      <c r="AW1307" s="35"/>
      <c r="AX1307" s="35"/>
      <c r="AY1307" s="35"/>
      <c r="AZ1307" s="35"/>
      <c r="BA1307" s="35"/>
      <c r="BB1307" s="35"/>
      <c r="BC1307" s="35"/>
      <c r="BD1307" s="35"/>
      <c r="BE1307" s="35"/>
      <c r="BF1307" s="35"/>
      <c r="BG1307" s="35"/>
      <c r="BH1307" s="35"/>
      <c r="BI1307" s="35"/>
      <c r="BJ1307" s="35"/>
      <c r="BK1307" s="35"/>
      <c r="BL1307" s="35"/>
      <c r="BM1307" s="35"/>
      <c r="BN1307" s="35"/>
      <c r="BO1307" s="86"/>
    </row>
    <row r="1308" spans="1:67" s="55" customFormat="1" ht="15" customHeight="1" x14ac:dyDescent="0.25">
      <c r="A1308" s="520">
        <f>IFERROR(VLOOKUP($G$5,'רשימת רשויות'!A:C,3,0),0)</f>
        <v>0</v>
      </c>
      <c r="B1308" s="520">
        <f t="shared" si="184"/>
        <v>0</v>
      </c>
      <c r="C1308" s="39"/>
      <c r="D1308" s="1134"/>
      <c r="E1308" s="1137"/>
      <c r="F1308" s="591" t="s">
        <v>23</v>
      </c>
      <c r="G1308" s="134">
        <f>SUM(G1302:G1307)</f>
        <v>0</v>
      </c>
      <c r="H1308" s="135">
        <f>SUM(H1302:H1307)</f>
        <v>0</v>
      </c>
      <c r="I1308" s="128">
        <f>IFERROR(G1308/H1308,0)</f>
        <v>0</v>
      </c>
      <c r="J1308" s="136">
        <f>SUM(J1302:J1307)</f>
        <v>0</v>
      </c>
      <c r="K1308" s="137">
        <f>SUM(K1302:K1307)</f>
        <v>0</v>
      </c>
      <c r="L1308" s="408"/>
      <c r="M1308" s="394"/>
      <c r="N1308" s="394"/>
      <c r="O1308" s="602"/>
      <c r="P1308" s="620">
        <f>SUM(P1302:P1307)</f>
        <v>0</v>
      </c>
      <c r="Q1308" s="620">
        <f>SUM(Q1302:Q1307)</f>
        <v>0</v>
      </c>
      <c r="R1308" s="596"/>
      <c r="S1308" s="610"/>
      <c r="T1308" s="599">
        <f>G1288</f>
        <v>0</v>
      </c>
      <c r="U1308" s="578"/>
      <c r="V1308" s="579"/>
      <c r="W1308" s="579">
        <f t="shared" si="185"/>
        <v>0</v>
      </c>
      <c r="X1308" s="579"/>
      <c r="Y1308" s="879"/>
      <c r="Z1308" s="121"/>
      <c r="AA1308" s="143"/>
      <c r="AB1308" s="143"/>
      <c r="AC1308" s="504"/>
      <c r="AD1308" s="505">
        <f t="shared" si="186"/>
        <v>0</v>
      </c>
      <c r="AE1308" s="143"/>
      <c r="AJ1308" s="22"/>
      <c r="AL1308" s="22"/>
      <c r="AM1308" s="22"/>
      <c r="AN1308" s="22"/>
      <c r="AO1308" s="22"/>
      <c r="AP1308" s="22"/>
      <c r="AQ1308" s="22"/>
      <c r="AR1308" s="22"/>
      <c r="AS1308" s="22"/>
      <c r="AT1308" s="22"/>
      <c r="AU1308" s="35"/>
      <c r="AV1308" s="35"/>
      <c r="AW1308" s="35"/>
      <c r="AX1308" s="35"/>
      <c r="AY1308" s="35"/>
      <c r="AZ1308" s="35"/>
      <c r="BA1308" s="35"/>
      <c r="BB1308" s="35"/>
      <c r="BC1308" s="35"/>
      <c r="BD1308" s="35"/>
      <c r="BE1308" s="35"/>
      <c r="BF1308" s="35"/>
      <c r="BG1308" s="35"/>
      <c r="BH1308" s="35"/>
      <c r="BI1308" s="35"/>
      <c r="BJ1308" s="35"/>
      <c r="BK1308" s="35"/>
      <c r="BL1308" s="35"/>
      <c r="BM1308" s="35"/>
      <c r="BN1308" s="35"/>
      <c r="BO1308" s="86"/>
    </row>
    <row r="1309" spans="1:67" s="55" customFormat="1" ht="15" customHeight="1" x14ac:dyDescent="0.25">
      <c r="A1309" s="520">
        <f>IFERROR(VLOOKUP($G$5,'רשימת רשויות'!A:C,3,0),0)</f>
        <v>0</v>
      </c>
      <c r="B1309" s="520">
        <f t="shared" si="184"/>
        <v>0</v>
      </c>
      <c r="C1309" s="39"/>
      <c r="D1309" s="1134"/>
      <c r="E1309" s="1137"/>
      <c r="F1309" s="589" t="s">
        <v>3</v>
      </c>
      <c r="G1309" s="117">
        <f>IF(G1293="תקין",SUMIFS('דוח הוצאות בפועל (4)'!$E$17:$E$3016,'דוח הוצאות בפועל (4)'!$B$17:$B$3016,'בית ספר - תקצוב לפי מוסד (9)'!$G1288,'דוח הוצאות בפועל (4)'!$M$17:$M$3016,"ני")+SUMIFS('דוח הוצאות בפועל (4)'!$E$17:$E$3016,'דוח הוצאות בפועל (4)'!$B$17:$B$3016,'בית ספר - תקצוב לפי מוסד (9)'!$G1288,'דוח הוצאות בפועל (4)'!$M$17:$M$3016,"על"),0)-Y1309</f>
        <v>0</v>
      </c>
      <c r="H1309" s="117">
        <f>H1290</f>
        <v>0</v>
      </c>
      <c r="I1309" s="138">
        <f>IFERROR(G1309/H1309,0)</f>
        <v>0</v>
      </c>
      <c r="J1309" s="117">
        <f>IFERROR(IF(G1309/H1311&gt;0.15,MIN(H1311*0.15,H1309),MIN(H1309,IF(ISNUMBER(G1309),G1309,0))),0)</f>
        <v>0</v>
      </c>
      <c r="K1309" s="120">
        <f>MAX(H1309-G1309,0)</f>
        <v>0</v>
      </c>
      <c r="L1309" s="407"/>
      <c r="M1309" s="393"/>
      <c r="N1309" s="393"/>
      <c r="O1309" s="602"/>
      <c r="P1309" s="620">
        <f>IF(I1309&lt;100%,MIN(H1309-G1309,H1309*0.25),0)</f>
        <v>0</v>
      </c>
      <c r="Q1309" s="620">
        <f>MAX(MIN(IF(G1309-H1309&gt;0,G1309-H1309,0),$H1311*0.15-H1309-J1310),0)</f>
        <v>0</v>
      </c>
      <c r="R1309" s="596"/>
      <c r="S1309" s="610" t="s">
        <v>3</v>
      </c>
      <c r="T1309" s="599">
        <f>G1288</f>
        <v>0</v>
      </c>
      <c r="U1309" s="578"/>
      <c r="V1309" s="579">
        <f t="shared" ref="V1309" si="188">G1309</f>
        <v>0</v>
      </c>
      <c r="W1309" s="579">
        <f t="shared" si="185"/>
        <v>0</v>
      </c>
      <c r="X1309" s="579"/>
      <c r="Y1309" s="879"/>
      <c r="Z1309" s="121"/>
      <c r="AA1309" s="143"/>
      <c r="AB1309" s="143"/>
      <c r="AC1309" s="504">
        <v>0</v>
      </c>
      <c r="AD1309" s="505">
        <f t="shared" si="186"/>
        <v>0</v>
      </c>
      <c r="AE1309" s="143"/>
      <c r="AG1309" s="22"/>
      <c r="AH1309" s="22"/>
      <c r="AI1309" s="22"/>
      <c r="AJ1309" s="22"/>
      <c r="AK1309" s="22"/>
      <c r="AL1309" s="22"/>
      <c r="AM1309" s="22"/>
      <c r="AN1309" s="22"/>
      <c r="AO1309" s="22"/>
      <c r="AP1309" s="22"/>
      <c r="AQ1309" s="22"/>
      <c r="AR1309" s="22"/>
      <c r="AS1309" s="22"/>
      <c r="AT1309" s="22"/>
      <c r="AU1309" s="35"/>
      <c r="AV1309" s="35"/>
      <c r="AW1309" s="35"/>
      <c r="AX1309" s="35"/>
      <c r="AY1309" s="35"/>
      <c r="AZ1309" s="35"/>
      <c r="BA1309" s="35"/>
      <c r="BB1309" s="35"/>
      <c r="BC1309" s="35"/>
      <c r="BD1309" s="35"/>
      <c r="BE1309" s="35"/>
      <c r="BF1309" s="35"/>
      <c r="BG1309" s="35"/>
      <c r="BH1309" s="35"/>
      <c r="BI1309" s="35"/>
      <c r="BJ1309" s="35"/>
      <c r="BK1309" s="35"/>
      <c r="BL1309" s="35"/>
      <c r="BM1309" s="35"/>
      <c r="BN1309" s="35"/>
      <c r="BO1309" s="86"/>
    </row>
    <row r="1310" spans="1:67" s="55" customFormat="1" ht="15.75" customHeight="1" x14ac:dyDescent="0.25">
      <c r="A1310" s="520">
        <f>IFERROR(VLOOKUP($G$5,'רשימת רשויות'!A:C,3,0),0)</f>
        <v>0</v>
      </c>
      <c r="B1310" s="520">
        <f t="shared" si="184"/>
        <v>0</v>
      </c>
      <c r="C1310" s="39"/>
      <c r="D1310" s="1134"/>
      <c r="E1310" s="1137"/>
      <c r="F1310" s="589" t="s">
        <v>2918</v>
      </c>
      <c r="G1310" s="117">
        <f>0.07*(G1304+G1303)</f>
        <v>0</v>
      </c>
      <c r="H1310" s="117">
        <f>H1292</f>
        <v>0</v>
      </c>
      <c r="I1310" s="138">
        <f>IFERROR(G1310/H1310,0)</f>
        <v>0</v>
      </c>
      <c r="J1310" s="117">
        <f>IFERROR(MIN(0.07*(G1303+G1304),0.07*I1292),0)</f>
        <v>0</v>
      </c>
      <c r="K1310" s="120">
        <f>MAX(H1310-G1310,0)</f>
        <v>0</v>
      </c>
      <c r="L1310" s="407"/>
      <c r="M1310" s="393"/>
      <c r="N1310" s="393"/>
      <c r="O1310" s="602"/>
      <c r="P1310" s="620"/>
      <c r="Q1310" s="619"/>
      <c r="R1310" s="596"/>
      <c r="S1310" s="611"/>
      <c r="T1310" s="599">
        <f>G1288</f>
        <v>0</v>
      </c>
      <c r="U1310" s="578"/>
      <c r="V1310" s="579"/>
      <c r="W1310" s="579">
        <f t="shared" si="185"/>
        <v>0</v>
      </c>
      <c r="X1310" s="579"/>
      <c r="Y1310" s="879"/>
      <c r="Z1310" s="121"/>
      <c r="AA1310" s="143"/>
      <c r="AB1310" s="143"/>
      <c r="AC1310" s="504"/>
      <c r="AD1310" s="505"/>
      <c r="AE1310" s="143"/>
      <c r="AF1310" s="140"/>
      <c r="AG1310" s="22"/>
      <c r="AH1310" s="22"/>
      <c r="AI1310" s="22"/>
      <c r="AJ1310" s="22"/>
      <c r="AK1310" s="22"/>
      <c r="AL1310" s="22"/>
      <c r="AM1310" s="22"/>
      <c r="AN1310" s="22"/>
      <c r="AO1310" s="22"/>
      <c r="AP1310" s="22"/>
      <c r="AQ1310" s="22"/>
      <c r="AR1310" s="22"/>
      <c r="AS1310" s="22"/>
      <c r="AT1310" s="22"/>
      <c r="AU1310" s="35"/>
      <c r="AV1310" s="35"/>
      <c r="AW1310" s="35"/>
      <c r="AX1310" s="35"/>
      <c r="AY1310" s="35"/>
      <c r="AZ1310" s="35"/>
      <c r="BA1310" s="35"/>
      <c r="BB1310" s="35"/>
      <c r="BC1310" s="35"/>
      <c r="BD1310" s="35"/>
      <c r="BE1310" s="35"/>
      <c r="BF1310" s="35"/>
      <c r="BG1310" s="35"/>
      <c r="BH1310" s="35"/>
      <c r="BI1310" s="35"/>
      <c r="BJ1310" s="35"/>
      <c r="BK1310" s="35"/>
      <c r="BL1310" s="35"/>
      <c r="BM1310" s="35"/>
      <c r="BN1310" s="35"/>
      <c r="BO1310" s="86"/>
    </row>
    <row r="1311" spans="1:67" ht="15.75" customHeight="1" x14ac:dyDescent="0.25">
      <c r="A1311" s="520">
        <f>IFERROR(VLOOKUP($G$5,'רשימת רשויות'!A:C,3,0),0)</f>
        <v>0</v>
      </c>
      <c r="B1311" s="520">
        <f t="shared" si="184"/>
        <v>0</v>
      </c>
      <c r="D1311" s="1134"/>
      <c r="E1311" s="1137"/>
      <c r="F1311" s="591" t="s">
        <v>15</v>
      </c>
      <c r="G1311" s="134">
        <f>G1308+G1309+G1310</f>
        <v>0</v>
      </c>
      <c r="H1311" s="134">
        <f>H1308+H1309+H1310</f>
        <v>0</v>
      </c>
      <c r="I1311" s="138">
        <f>IFERROR(G1311/H1311,0)</f>
        <v>0</v>
      </c>
      <c r="J1311" s="139">
        <f>J1308+J1309+J1310</f>
        <v>0</v>
      </c>
      <c r="K1311" s="137">
        <f>K1309+K1308+K1310</f>
        <v>0</v>
      </c>
      <c r="L1311" s="408"/>
      <c r="M1311" s="394"/>
      <c r="N1311" s="394"/>
      <c r="O1311" s="602"/>
      <c r="P1311" s="621">
        <f>SUM(P1308:P1309)</f>
        <v>0</v>
      </c>
      <c r="Q1311" s="622">
        <f>Q1308+Q1309</f>
        <v>0</v>
      </c>
      <c r="R1311" s="596"/>
      <c r="S1311" s="611"/>
      <c r="T1311" s="599">
        <f>G1288</f>
        <v>0</v>
      </c>
      <c r="U1311" s="578"/>
      <c r="V1311" s="579"/>
      <c r="W1311" s="579">
        <f t="shared" si="185"/>
        <v>0</v>
      </c>
      <c r="X1311" s="579"/>
      <c r="Y1311" s="879"/>
      <c r="Z1311" s="106"/>
      <c r="AC1311" s="504"/>
      <c r="AD1311" s="505"/>
      <c r="AH1311" s="143"/>
      <c r="BO1311" s="86"/>
    </row>
    <row r="1312" spans="1:67" ht="15.75" customHeight="1" x14ac:dyDescent="0.25">
      <c r="A1312" s="520">
        <f>IFERROR(VLOOKUP($G$5,'רשימת רשויות'!A:C,3,0),0)</f>
        <v>0</v>
      </c>
      <c r="B1312" s="520">
        <f t="shared" si="184"/>
        <v>0</v>
      </c>
      <c r="D1312" s="1134"/>
      <c r="E1312" s="1137"/>
      <c r="F1312" s="589" t="s">
        <v>2261</v>
      </c>
      <c r="G1312" s="117">
        <f>IF(G1293="תקין",SUMIF('תשלומי הורים ומלגות להורים (5) '!$B$18:$B$517,$G1288,'תשלומי הורים ומלגות להורים (5) '!$C$18:$C$517),0)</f>
        <v>0</v>
      </c>
      <c r="H1312" s="117">
        <f>(G1291+G1292)*$G$7</f>
        <v>0</v>
      </c>
      <c r="I1312" s="141"/>
      <c r="J1312" s="141"/>
      <c r="K1312" s="142"/>
      <c r="L1312" s="395"/>
      <c r="M1312" s="395"/>
      <c r="N1312" s="395"/>
      <c r="O1312" s="602"/>
      <c r="P1312" s="623"/>
      <c r="Q1312" s="619"/>
      <c r="R1312" s="596"/>
      <c r="S1312" s="612"/>
      <c r="T1312" s="599">
        <f>G1288</f>
        <v>0</v>
      </c>
      <c r="U1312" s="578"/>
      <c r="V1312" s="579"/>
      <c r="W1312" s="579">
        <f t="shared" si="185"/>
        <v>0</v>
      </c>
      <c r="X1312" s="579"/>
      <c r="Y1312" s="879"/>
      <c r="Z1312" s="121"/>
      <c r="AA1312" s="143"/>
      <c r="AB1312" s="143"/>
      <c r="AC1312" s="504"/>
      <c r="AD1312" s="505"/>
      <c r="AE1312" s="143"/>
      <c r="AF1312" s="148"/>
      <c r="BO1312" s="86"/>
    </row>
    <row r="1313" spans="1:67" ht="15.75" customHeight="1" thickBot="1" x14ac:dyDescent="0.3">
      <c r="A1313" s="520">
        <f>IFERROR(VLOOKUP($G$5,'רשימת רשויות'!A:C,3,0),0)</f>
        <v>0</v>
      </c>
      <c r="B1313" s="520">
        <f t="shared" si="184"/>
        <v>0</v>
      </c>
      <c r="D1313" s="1134"/>
      <c r="E1313" s="1137"/>
      <c r="F1313" s="592" t="s">
        <v>21</v>
      </c>
      <c r="G1313" s="144">
        <f>G1311-G1312</f>
        <v>0</v>
      </c>
      <c r="H1313" s="144">
        <f>H1311-H1312</f>
        <v>0</v>
      </c>
      <c r="I1313" s="145"/>
      <c r="J1313" s="145"/>
      <c r="K1313" s="146"/>
      <c r="L1313" s="396"/>
      <c r="M1313" s="396"/>
      <c r="N1313" s="396"/>
      <c r="O1313" s="602"/>
      <c r="P1313" s="619"/>
      <c r="Q1313" s="619"/>
      <c r="R1313" s="596"/>
      <c r="S1313" s="612"/>
      <c r="T1313" s="599">
        <f>G1288</f>
        <v>0</v>
      </c>
      <c r="U1313" s="578"/>
      <c r="V1313" s="579"/>
      <c r="W1313" s="579">
        <f t="shared" si="185"/>
        <v>0</v>
      </c>
      <c r="X1313" s="579"/>
      <c r="Y1313" s="879"/>
      <c r="Z1313" s="147"/>
      <c r="AA1313" s="148"/>
      <c r="AB1313" s="148"/>
      <c r="AC1313" s="504"/>
      <c r="AD1313" s="505"/>
      <c r="AE1313" s="148"/>
      <c r="AF1313" s="148"/>
      <c r="BO1313" s="86"/>
    </row>
    <row r="1314" spans="1:67" ht="15.75" customHeight="1" thickBot="1" x14ac:dyDescent="0.3">
      <c r="A1314" s="520">
        <f>IFERROR(VLOOKUP($G$5,'רשימת רשויות'!A:C,3,0),0)</f>
        <v>0</v>
      </c>
      <c r="B1314" s="520">
        <f t="shared" si="184"/>
        <v>0</v>
      </c>
      <c r="D1314" s="1134"/>
      <c r="E1314" s="1137"/>
      <c r="F1314" s="580"/>
      <c r="G1314" s="580"/>
      <c r="H1314" s="147"/>
      <c r="I1314" s="149" t="s">
        <v>2197</v>
      </c>
      <c r="J1314" s="150">
        <f>MAX(MIN(P1311,Q1311),0)</f>
        <v>0</v>
      </c>
      <c r="K1314" s="580"/>
      <c r="L1314" s="580"/>
      <c r="M1314" s="580"/>
      <c r="N1314" s="580"/>
      <c r="O1314" s="580"/>
      <c r="P1314" s="615" t="s">
        <v>2317</v>
      </c>
      <c r="Q1314" s="624">
        <f>SUM(Q1315:Q1316)</f>
        <v>0</v>
      </c>
      <c r="R1314" s="596"/>
      <c r="S1314" s="612"/>
      <c r="T1314" s="599">
        <f>G1288</f>
        <v>0</v>
      </c>
      <c r="U1314" s="578"/>
      <c r="V1314" s="579"/>
      <c r="W1314" s="579">
        <f t="shared" si="185"/>
        <v>0</v>
      </c>
      <c r="X1314" s="579"/>
      <c r="Y1314" s="879"/>
      <c r="Z1314" s="106"/>
      <c r="AC1314" s="504"/>
      <c r="AD1314" s="505"/>
      <c r="AF1314" s="148"/>
      <c r="BO1314" s="86"/>
    </row>
    <row r="1315" spans="1:67" ht="16.5" thickBot="1" x14ac:dyDescent="0.3">
      <c r="A1315" s="520">
        <f>IFERROR(VLOOKUP($G$5,'רשימת רשויות'!A:C,3,0),0)</f>
        <v>0</v>
      </c>
      <c r="B1315" s="520">
        <f t="shared" si="184"/>
        <v>0</v>
      </c>
      <c r="D1315" s="1134"/>
      <c r="E1315" s="1137"/>
      <c r="F1315" s="580"/>
      <c r="G1315" s="580"/>
      <c r="H1315" s="580"/>
      <c r="I1315" s="84" t="s">
        <v>2193</v>
      </c>
      <c r="J1315" s="515" t="str">
        <f>IFERROR(1-H1312/H1311,"")</f>
        <v/>
      </c>
      <c r="K1315" s="580"/>
      <c r="L1315" s="580"/>
      <c r="M1315" s="580"/>
      <c r="N1315" s="580"/>
      <c r="O1315" s="580"/>
      <c r="P1315" s="615" t="s">
        <v>417</v>
      </c>
      <c r="Q1315" s="616">
        <f>IFERROR(MAX(H1313-I1316-Q1316,0),0)</f>
        <v>0</v>
      </c>
      <c r="R1315" s="596"/>
      <c r="S1315" s="600"/>
      <c r="T1315" s="599">
        <f>G1288</f>
        <v>0</v>
      </c>
      <c r="U1315" s="578"/>
      <c r="V1315" s="579"/>
      <c r="W1315" s="579">
        <f t="shared" si="185"/>
        <v>0</v>
      </c>
      <c r="X1315" s="579"/>
      <c r="Y1315" s="879"/>
      <c r="Z1315" s="106"/>
      <c r="AC1315" s="504"/>
      <c r="AD1315" s="505"/>
      <c r="BO1315" s="86"/>
    </row>
    <row r="1316" spans="1:67" ht="17.25" thickBot="1" x14ac:dyDescent="0.3">
      <c r="A1316" s="520">
        <f>IFERROR(VLOOKUP($G$5,'רשימת רשויות'!A:C,3,0),0)</f>
        <v>0</v>
      </c>
      <c r="B1316" s="520">
        <f t="shared" si="184"/>
        <v>0</v>
      </c>
      <c r="D1316" s="1134"/>
      <c r="E1316" s="1137"/>
      <c r="F1316" s="1143" t="s">
        <v>2679</v>
      </c>
      <c r="G1316" s="1143"/>
      <c r="H1316" s="1143"/>
      <c r="I1316" s="722">
        <f>IF(G1293="לא תקין","לא קיימת זכאות לתקציב לאור אי איוש משרות רכז ו/או סגן רכז ",IFERROR(J1315*(J1314+J1311),0))</f>
        <v>0</v>
      </c>
      <c r="J1316" s="573"/>
      <c r="K1316" s="574"/>
      <c r="L1316" s="396"/>
      <c r="M1316" s="574"/>
      <c r="N1316" s="574"/>
      <c r="O1316" s="574"/>
      <c r="P1316" s="615" t="s">
        <v>2279</v>
      </c>
      <c r="Q1316" s="616">
        <f>MAX(IF(AND(G1311&gt;H1311,I1316&lt;H1313),H1313-I1316,0),0)</f>
        <v>0</v>
      </c>
      <c r="R1316" s="575"/>
      <c r="S1316" s="576" t="s">
        <v>67</v>
      </c>
      <c r="T1316" s="577">
        <f>G1288</f>
        <v>0</v>
      </c>
      <c r="U1316" s="578"/>
      <c r="V1316" s="579">
        <f>I1316</f>
        <v>0</v>
      </c>
      <c r="W1316" s="579">
        <f>IFERROR(U1316-V1316,0)</f>
        <v>0</v>
      </c>
      <c r="X1316" s="579">
        <f>SUM(X1302:X1315)</f>
        <v>0</v>
      </c>
      <c r="Y1316" s="879"/>
      <c r="Z1316" s="106"/>
      <c r="AC1316" s="506">
        <v>0</v>
      </c>
      <c r="AD1316" s="507">
        <f>IFERROR(U1316-AC1316,0)</f>
        <v>0</v>
      </c>
      <c r="BO1316" s="86"/>
    </row>
    <row r="1317" spans="1:67" ht="16.5" thickBot="1" x14ac:dyDescent="0.3">
      <c r="A1317" s="520">
        <f>IFERROR(VLOOKUP($G$5,'רשימת רשויות'!A:C,3,0),0)</f>
        <v>0</v>
      </c>
      <c r="B1317" s="520">
        <f t="shared" si="184"/>
        <v>0</v>
      </c>
      <c r="D1317" s="1135"/>
      <c r="E1317" s="1138"/>
      <c r="F1317" s="1144" t="s">
        <v>2793</v>
      </c>
      <c r="G1317" s="1145"/>
      <c r="H1317" s="1145"/>
      <c r="I1317" s="593">
        <f>IFERROR(IF(G1293="תקין",SUMIFS('סייעות רפואיות או אישיות (7)'!$Q$17:Q$384,'סייעות רפואיות או אישיות (7)'!C$17:C$384,G1288),0),0)</f>
        <v>0</v>
      </c>
      <c r="J1317" s="151"/>
      <c r="K1317" s="152"/>
      <c r="L1317" s="409"/>
      <c r="M1317" s="152"/>
      <c r="N1317" s="152"/>
      <c r="O1317" s="152"/>
      <c r="P1317" s="613"/>
      <c r="Q1317" s="614"/>
      <c r="R1317" s="475"/>
      <c r="S1317" s="489"/>
      <c r="T1317" s="490"/>
      <c r="U1317" s="491"/>
      <c r="V1317" s="492"/>
      <c r="W1317" s="492"/>
      <c r="X1317" s="492"/>
      <c r="Y1317" s="880"/>
      <c r="Z1317" s="153"/>
      <c r="AC1317" s="581"/>
      <c r="AD1317" s="582"/>
      <c r="BO1317" s="86"/>
    </row>
    <row r="1318" spans="1:67" ht="34.5" thickBot="1" x14ac:dyDescent="0.55000000000000004">
      <c r="A1318" s="520">
        <f>IFERROR(VLOOKUP($G$5,'רשימת רשויות'!A:C,3,0),0)</f>
        <v>0</v>
      </c>
      <c r="B1318" s="520">
        <f t="shared" si="184"/>
        <v>0</v>
      </c>
      <c r="E1318" s="154"/>
      <c r="I1318" s="143"/>
      <c r="J1318" s="148"/>
      <c r="O1318" s="148"/>
      <c r="T1318" s="481"/>
      <c r="BO1318" s="86"/>
    </row>
    <row r="1319" spans="1:67" s="20" customFormat="1" ht="16.5" customHeight="1" thickBot="1" x14ac:dyDescent="0.3">
      <c r="A1319" s="520">
        <f>IFERROR(VLOOKUP($G$5,'רשימת רשויות'!A:C,3,0),0)</f>
        <v>0</v>
      </c>
      <c r="B1319" s="520">
        <f t="shared" si="184"/>
        <v>0</v>
      </c>
      <c r="C1319" s="39"/>
      <c r="D1319" s="1133">
        <f>D1288+1</f>
        <v>43</v>
      </c>
      <c r="E1319" s="1136" t="str">
        <f>IFERROR(CONCATENATE("בית הספר ",VLOOKUP(G1319,'מצבת והרשמה (2)'!$C$21:$D$520,2,0)," - ",$G$5),"")</f>
        <v>בית הספר המוסד לא קיים - 0</v>
      </c>
      <c r="F1319" s="720" t="s">
        <v>146</v>
      </c>
      <c r="G1319" s="721">
        <f>IFERROR(VLOOKUP(D:D,'דוח ביצוע (3)'!$A$21:$C$900,2,0),0)</f>
        <v>0</v>
      </c>
      <c r="H1319" s="79"/>
      <c r="I1319" s="80" t="s">
        <v>150</v>
      </c>
      <c r="J1319" s="80"/>
      <c r="K1319" s="81"/>
      <c r="L1319" s="392"/>
      <c r="M1319" s="392"/>
      <c r="N1319" s="392"/>
      <c r="O1319" s="82"/>
      <c r="P1319" s="470"/>
      <c r="Q1319" s="471"/>
      <c r="R1319" s="472"/>
      <c r="S1319" s="883"/>
      <c r="T1319" s="884"/>
      <c r="U1319" s="486"/>
      <c r="V1319" s="487"/>
      <c r="W1319" s="487"/>
      <c r="X1319" s="487"/>
      <c r="Y1319" s="885"/>
      <c r="Z1319" s="83"/>
      <c r="AC1319" s="502"/>
      <c r="AD1319" s="503"/>
      <c r="AO1319" s="22"/>
      <c r="AP1319" s="22"/>
      <c r="AQ1319" s="22"/>
      <c r="AR1319" s="22"/>
      <c r="AS1319" s="22"/>
      <c r="AT1319" s="22"/>
      <c r="AU1319" s="35"/>
      <c r="AV1319" s="35"/>
      <c r="AW1319" s="35"/>
      <c r="AX1319" s="35"/>
      <c r="AY1319" s="35"/>
      <c r="AZ1319" s="35"/>
      <c r="BA1319" s="35"/>
      <c r="BB1319" s="35"/>
      <c r="BC1319" s="35"/>
      <c r="BD1319" s="35"/>
      <c r="BE1319" s="35"/>
      <c r="BF1319" s="35"/>
      <c r="BG1319" s="35"/>
      <c r="BH1319" s="35"/>
      <c r="BI1319" s="35"/>
      <c r="BJ1319" s="35"/>
      <c r="BK1319" s="35"/>
      <c r="BL1319" s="35"/>
      <c r="BM1319" s="35"/>
      <c r="BN1319" s="35"/>
      <c r="BO1319" s="78"/>
    </row>
    <row r="1320" spans="1:67" s="20" customFormat="1" ht="16.5" thickBot="1" x14ac:dyDescent="0.3">
      <c r="A1320" s="520">
        <f>IFERROR(VLOOKUP($G$5,'רשימת רשויות'!A:C,3,0),0)</f>
        <v>0</v>
      </c>
      <c r="B1320" s="520">
        <f t="shared" si="184"/>
        <v>0</v>
      </c>
      <c r="C1320" s="39"/>
      <c r="D1320" s="1134"/>
      <c r="E1320" s="1137"/>
      <c r="F1320" s="583" t="s">
        <v>145</v>
      </c>
      <c r="G1320" s="516" t="str">
        <f>IFERROR(IF((G1322+G1323)=0,"",IF(VLOOKUP(G1319,'דוח ביצוע (3)'!$B$21:$K$900,5,0)&gt;149,"גדול",IF(AND(VLOOKUP(G1319,'דוח ביצוע (3)'!$B$21:$K$900,5,0)&gt;0,VLOOKUP(G1319,'דוח ביצוע (3)'!$B$21:$K$900,5,0)&lt;150),"קטן",0))),"")</f>
        <v/>
      </c>
      <c r="H1320" s="723" t="s">
        <v>88</v>
      </c>
      <c r="I1320" s="723" t="s">
        <v>13</v>
      </c>
      <c r="J1320" s="725" t="s">
        <v>14</v>
      </c>
      <c r="K1320" s="724" t="s">
        <v>94</v>
      </c>
      <c r="L1320" s="594"/>
      <c r="M1320" s="420" t="s">
        <v>2584</v>
      </c>
      <c r="N1320" s="397" t="s">
        <v>413</v>
      </c>
      <c r="O1320" s="398" t="s">
        <v>52</v>
      </c>
      <c r="P1320" s="595"/>
      <c r="Q1320" s="595"/>
      <c r="R1320" s="596"/>
      <c r="S1320" s="610"/>
      <c r="T1320" s="881"/>
      <c r="U1320" s="598"/>
      <c r="V1320" s="599"/>
      <c r="W1320" s="599"/>
      <c r="X1320" s="599"/>
      <c r="Y1320" s="879"/>
      <c r="Z1320" s="85"/>
      <c r="AC1320" s="493"/>
      <c r="AD1320" s="495"/>
      <c r="AO1320" s="22"/>
      <c r="AP1320" s="22"/>
      <c r="AQ1320" s="22"/>
      <c r="AR1320" s="22"/>
      <c r="AS1320" s="22"/>
      <c r="AT1320" s="22"/>
      <c r="AU1320" s="35"/>
      <c r="AV1320" s="35"/>
      <c r="AW1320" s="35"/>
      <c r="AX1320" s="35"/>
      <c r="AY1320" s="35"/>
      <c r="AZ1320" s="35"/>
      <c r="BA1320" s="35"/>
      <c r="BB1320" s="35"/>
      <c r="BC1320" s="35"/>
      <c r="BD1320" s="35"/>
      <c r="BE1320" s="35"/>
      <c r="BF1320" s="35"/>
      <c r="BG1320" s="35"/>
      <c r="BH1320" s="35"/>
      <c r="BI1320" s="35"/>
      <c r="BJ1320" s="35"/>
      <c r="BK1320" s="35"/>
      <c r="BL1320" s="35"/>
      <c r="BM1320" s="35"/>
      <c r="BN1320" s="35"/>
      <c r="BO1320" s="78"/>
    </row>
    <row r="1321" spans="1:67" s="20" customFormat="1" ht="15.75" customHeight="1" thickBot="1" x14ac:dyDescent="0.3">
      <c r="A1321" s="520">
        <f>IFERROR(VLOOKUP($G$5,'רשימת רשויות'!A:C,3,0),0)</f>
        <v>0</v>
      </c>
      <c r="B1321" s="520">
        <f t="shared" si="184"/>
        <v>0</v>
      </c>
      <c r="C1321" s="39"/>
      <c r="D1321" s="1134"/>
      <c r="E1321" s="1137"/>
      <c r="F1321" s="584" t="s">
        <v>144</v>
      </c>
      <c r="G1321" s="87">
        <f>IF(G1324="תקין",IFERROR(VLOOKUP($G1319,'דוח ביצוע (3)'!$B$21:$Q$900,12,0),0),0)</f>
        <v>0</v>
      </c>
      <c r="H1321" s="88">
        <f>IFERROR(G1322*$AH$6+G1323*$AH$7,0)</f>
        <v>0</v>
      </c>
      <c r="I1321" s="88">
        <f>IFERROR(G1322*$AI$6+G1323*$AI$7,0)</f>
        <v>0</v>
      </c>
      <c r="J1321" s="88">
        <f>IFERROR(G1322*$AJ$6+G1323*$AJ$7,0)</f>
        <v>0</v>
      </c>
      <c r="K1321" s="88">
        <f>IFERROR(G1322*$AK$6+G1323*$AK$7,0)</f>
        <v>0</v>
      </c>
      <c r="L1321" s="405"/>
      <c r="M1321" s="399" t="s">
        <v>427</v>
      </c>
      <c r="N1321" s="400" t="str">
        <f>IFERROR(VLOOKUP($G1319,'דוח ביצוע (3)'!$B:$AE,28,0),"")</f>
        <v/>
      </c>
      <c r="O1321" s="89" t="str">
        <f>IFERROR(VLOOKUP($G1319,'דוח ביצוע (3)'!B:AE,29,0),"")</f>
        <v/>
      </c>
      <c r="P1321" s="595"/>
      <c r="Q1321" s="595"/>
      <c r="R1321" s="596"/>
      <c r="S1321" s="610"/>
      <c r="T1321" s="881"/>
      <c r="U1321" s="598"/>
      <c r="V1321" s="599"/>
      <c r="W1321" s="599"/>
      <c r="X1321" s="599"/>
      <c r="Y1321" s="879"/>
      <c r="Z1321" s="85"/>
      <c r="AC1321" s="493"/>
      <c r="AD1321" s="495"/>
      <c r="AO1321" s="22"/>
      <c r="AP1321" s="22"/>
      <c r="AQ1321" s="22"/>
      <c r="AR1321" s="22"/>
      <c r="AS1321" s="22"/>
      <c r="AT1321" s="22"/>
      <c r="AU1321" s="35"/>
      <c r="AV1321" s="35"/>
      <c r="AW1321" s="35"/>
      <c r="AX1321" s="35"/>
      <c r="AY1321" s="35"/>
      <c r="AZ1321" s="35"/>
      <c r="BA1321" s="35"/>
      <c r="BB1321" s="35"/>
      <c r="BC1321" s="35"/>
      <c r="BD1321" s="35"/>
      <c r="BE1321" s="35"/>
      <c r="BF1321" s="35"/>
      <c r="BG1321" s="35"/>
      <c r="BH1321" s="35"/>
      <c r="BI1321" s="35"/>
      <c r="BJ1321" s="35"/>
      <c r="BK1321" s="35"/>
      <c r="BL1321" s="35"/>
      <c r="BM1321" s="35"/>
      <c r="BN1321" s="35"/>
      <c r="BO1321" s="78"/>
    </row>
    <row r="1322" spans="1:67" s="20" customFormat="1" ht="32.25" thickBot="1" x14ac:dyDescent="0.3">
      <c r="A1322" s="520">
        <f>IFERROR(VLOOKUP($G$5,'רשימת רשויות'!A:C,3,0),0)</f>
        <v>0</v>
      </c>
      <c r="B1322" s="520">
        <f t="shared" si="184"/>
        <v>0</v>
      </c>
      <c r="C1322" s="39"/>
      <c r="D1322" s="1134"/>
      <c r="E1322" s="1137"/>
      <c r="F1322" s="585" t="s">
        <v>2195</v>
      </c>
      <c r="G1322" s="89">
        <f>IF(G1324="תקין",MAX(N1324,0),0)</f>
        <v>0</v>
      </c>
      <c r="H1322" s="725" t="s">
        <v>151</v>
      </c>
      <c r="I1322" s="725" t="s">
        <v>91</v>
      </c>
      <c r="J1322" s="970" t="s">
        <v>3396</v>
      </c>
      <c r="K1322" s="601"/>
      <c r="L1322" s="601"/>
      <c r="M1322" s="983" t="s">
        <v>2585</v>
      </c>
      <c r="N1322" s="400" t="str">
        <f>IFERROR(G1321/15*N1321*1.25,"")</f>
        <v/>
      </c>
      <c r="O1322" s="89" t="str">
        <f>IFERROR(G1321/15*O1321*1.25,"")</f>
        <v/>
      </c>
      <c r="P1322" s="595"/>
      <c r="Q1322" s="595"/>
      <c r="R1322" s="596"/>
      <c r="S1322" s="610"/>
      <c r="T1322" s="881"/>
      <c r="U1322" s="598"/>
      <c r="V1322" s="599"/>
      <c r="W1322" s="599"/>
      <c r="X1322" s="599"/>
      <c r="Y1322" s="879"/>
      <c r="Z1322" s="85"/>
      <c r="AC1322" s="493"/>
      <c r="AD1322" s="495"/>
      <c r="AG1322" s="22"/>
      <c r="AH1322" s="55"/>
      <c r="AI1322" s="55"/>
      <c r="AJ1322" s="55"/>
      <c r="AK1322" s="55"/>
      <c r="AO1322" s="22"/>
      <c r="AP1322" s="22"/>
      <c r="AQ1322" s="22"/>
      <c r="AR1322" s="22"/>
      <c r="AS1322" s="22"/>
      <c r="AT1322" s="22"/>
      <c r="AU1322" s="35"/>
      <c r="AV1322" s="35"/>
      <c r="AW1322" s="35"/>
      <c r="AX1322" s="35"/>
      <c r="AY1322" s="35"/>
      <c r="AZ1322" s="35"/>
      <c r="BA1322" s="35"/>
      <c r="BB1322" s="35"/>
      <c r="BC1322" s="35"/>
      <c r="BD1322" s="35"/>
      <c r="BE1322" s="35"/>
      <c r="BF1322" s="35"/>
      <c r="BG1322" s="35"/>
      <c r="BH1322" s="35"/>
      <c r="BI1322" s="35"/>
      <c r="BJ1322" s="35"/>
      <c r="BK1322" s="35"/>
      <c r="BL1322" s="35"/>
      <c r="BM1322" s="35"/>
      <c r="BN1322" s="35"/>
      <c r="BO1322" s="86"/>
    </row>
    <row r="1323" spans="1:67" s="20" customFormat="1" ht="16.5" thickBot="1" x14ac:dyDescent="0.3">
      <c r="A1323" s="520">
        <f>IFERROR(VLOOKUP($G$5,'רשימת רשויות'!A:C,3,0),0)</f>
        <v>0</v>
      </c>
      <c r="B1323" s="520">
        <f t="shared" si="184"/>
        <v>0</v>
      </c>
      <c r="C1323" s="39"/>
      <c r="D1323" s="1134"/>
      <c r="E1323" s="1137"/>
      <c r="F1323" s="585" t="s">
        <v>2196</v>
      </c>
      <c r="G1323" s="89">
        <f>IF(G1324="תקין",MAX(O1324,0),0)</f>
        <v>0</v>
      </c>
      <c r="H1323" s="88">
        <f>(IFERROR(IF((G1322+G1323)=0,0,IF(G1320="קטן",G1321*$AH$10,G1321*$AH$11)),0))+(IFERROR(IF((G1322+G1323)=0,0,VLOOKUP(G1319,'דוח ביצוע (3)'!$B:$AH,33,0)),0))</f>
        <v>0</v>
      </c>
      <c r="I1323" s="88">
        <f>IFERROR(IF((G1322+G1323)=0,0,IF(G1320="קטן",G1321*$AI$10,G1321*$AI$11)),0)</f>
        <v>0</v>
      </c>
      <c r="J1323" s="88">
        <f>IFERROR(IF((G1322+G1323)=0,0,VLOOKUP(G1319,'דוח ביצוע (3)'!$B:$AH,32,0)),0)</f>
        <v>0</v>
      </c>
      <c r="K1323" s="90"/>
      <c r="L1323" s="90"/>
      <c r="M1323" s="399" t="s">
        <v>412</v>
      </c>
      <c r="N1323" s="400">
        <f>IFERROR(VLOOKUP($G1319,'דוח ביצוע (3)'!$B$21:$U$500,18,0),0)</f>
        <v>0</v>
      </c>
      <c r="O1323" s="401">
        <f>IFERROR(VLOOKUP($G1319,'דוח ביצוע (3)'!$B$21:$U$500,19,0),0)</f>
        <v>0</v>
      </c>
      <c r="P1323" s="595"/>
      <c r="Q1323" s="595"/>
      <c r="R1323" s="596"/>
      <c r="S1323" s="610"/>
      <c r="T1323" s="881"/>
      <c r="U1323" s="598"/>
      <c r="V1323" s="599"/>
      <c r="W1323" s="599"/>
      <c r="X1323" s="599"/>
      <c r="Y1323" s="879"/>
      <c r="Z1323" s="85"/>
      <c r="AC1323" s="493"/>
      <c r="AD1323" s="495"/>
      <c r="AG1323" s="22"/>
      <c r="AH1323" s="55"/>
      <c r="AI1323" s="55"/>
      <c r="AJ1323" s="55"/>
      <c r="AK1323" s="55"/>
      <c r="AO1323" s="22"/>
      <c r="AP1323" s="22"/>
      <c r="AQ1323" s="22"/>
      <c r="AR1323" s="22"/>
      <c r="AS1323" s="22"/>
      <c r="AT1323" s="22"/>
      <c r="AU1323" s="35"/>
      <c r="AV1323" s="35"/>
      <c r="AW1323" s="35"/>
      <c r="AX1323" s="35"/>
      <c r="AY1323" s="35"/>
      <c r="AZ1323" s="35"/>
      <c r="BA1323" s="35"/>
      <c r="BB1323" s="35"/>
      <c r="BC1323" s="35"/>
      <c r="BD1323" s="35"/>
      <c r="BE1323" s="35"/>
      <c r="BF1323" s="35"/>
      <c r="BG1323" s="35"/>
      <c r="BH1323" s="35"/>
      <c r="BI1323" s="35"/>
      <c r="BJ1323" s="35"/>
      <c r="BK1323" s="35"/>
      <c r="BL1323" s="35"/>
      <c r="BM1323" s="35"/>
      <c r="BN1323" s="35"/>
      <c r="BO1323" s="86"/>
    </row>
    <row r="1324" spans="1:67" s="20" customFormat="1" ht="16.5" thickBot="1" x14ac:dyDescent="0.3">
      <c r="A1324" s="520">
        <f>IFERROR(VLOOKUP($G$5,'רשימת רשויות'!A:C,3,0),0)</f>
        <v>0</v>
      </c>
      <c r="B1324" s="520">
        <f t="shared" si="184"/>
        <v>0</v>
      </c>
      <c r="C1324" s="39"/>
      <c r="D1324" s="1134"/>
      <c r="E1324" s="1137"/>
      <c r="F1324" s="586" t="s">
        <v>2355</v>
      </c>
      <c r="G1324" s="514">
        <f>IFERROR(IF(VLOOKUP('בית ספר - תקצוב לפי מוסד (9)'!G1319,' איוש משרות (8)'!$C:$K,9,0)="תקין","תקין","לא תקין"),0)</f>
        <v>0</v>
      </c>
      <c r="H1324" s="91"/>
      <c r="I1324" s="91"/>
      <c r="J1324" s="91"/>
      <c r="K1324" s="90"/>
      <c r="L1324" s="90"/>
      <c r="M1324" s="402" t="s">
        <v>2586</v>
      </c>
      <c r="N1324" s="403">
        <f>IFERROR(MIN(N1322,N1323),0)</f>
        <v>0</v>
      </c>
      <c r="O1324" s="404">
        <f>IFERROR(MIN(O1322,O1323),0)</f>
        <v>0</v>
      </c>
      <c r="P1324" s="595"/>
      <c r="Q1324" s="595"/>
      <c r="R1324" s="596"/>
      <c r="S1324" s="610"/>
      <c r="T1324" s="881"/>
      <c r="U1324" s="598"/>
      <c r="V1324" s="599"/>
      <c r="W1324" s="599"/>
      <c r="X1324" s="599"/>
      <c r="Y1324" s="879"/>
      <c r="Z1324" s="85"/>
      <c r="AC1324" s="493"/>
      <c r="AD1324" s="495"/>
      <c r="AG1324" s="94"/>
      <c r="AH1324" s="40"/>
      <c r="AI1324" s="40"/>
      <c r="AJ1324" s="40"/>
      <c r="AK1324" s="40"/>
      <c r="AO1324" s="22"/>
      <c r="AP1324" s="22"/>
      <c r="AQ1324" s="22"/>
      <c r="AR1324" s="22"/>
      <c r="AS1324" s="22"/>
      <c r="AT1324" s="22"/>
      <c r="AU1324" s="35"/>
      <c r="AV1324" s="35"/>
      <c r="AW1324" s="35"/>
      <c r="AX1324" s="35"/>
      <c r="AY1324" s="35"/>
      <c r="AZ1324" s="35"/>
      <c r="BA1324" s="35"/>
      <c r="BB1324" s="35"/>
      <c r="BC1324" s="35"/>
      <c r="BD1324" s="35"/>
      <c r="BE1324" s="35"/>
      <c r="BF1324" s="35"/>
      <c r="BG1324" s="35"/>
      <c r="BH1324" s="35"/>
      <c r="BI1324" s="35"/>
      <c r="BJ1324" s="35"/>
      <c r="BK1324" s="35"/>
      <c r="BL1324" s="35"/>
      <c r="BM1324" s="35"/>
      <c r="BN1324" s="35"/>
      <c r="BO1324" s="86"/>
    </row>
    <row r="1325" spans="1:67" s="55" customFormat="1" ht="37.15" customHeight="1" thickBot="1" x14ac:dyDescent="0.3">
      <c r="A1325" s="520">
        <f>IFERROR(VLOOKUP($G$5,'רשימת רשויות'!A:C,3,0),0)</f>
        <v>0</v>
      </c>
      <c r="B1325" s="520">
        <f t="shared" si="184"/>
        <v>0</v>
      </c>
      <c r="C1325" s="39"/>
      <c r="D1325" s="1134"/>
      <c r="E1325" s="1137"/>
      <c r="F1325" s="587" t="s">
        <v>142</v>
      </c>
      <c r="G1325" s="92"/>
      <c r="H1325" s="92"/>
      <c r="I1325" s="92"/>
      <c r="J1325" s="92"/>
      <c r="K1325" s="602"/>
      <c r="L1325" s="602"/>
      <c r="M1325" s="602"/>
      <c r="N1325" s="602"/>
      <c r="O1325" s="602"/>
      <c r="P1325" s="595"/>
      <c r="Q1325" s="595"/>
      <c r="R1325" s="596"/>
      <c r="S1325" s="610"/>
      <c r="T1325" s="881"/>
      <c r="U1325" s="598"/>
      <c r="V1325" s="599"/>
      <c r="W1325" s="599"/>
      <c r="X1325" s="599"/>
      <c r="Y1325" s="879"/>
      <c r="Z1325" s="93"/>
      <c r="AC1325" s="493"/>
      <c r="AD1325" s="495"/>
      <c r="AF1325" s="22"/>
      <c r="AG1325" s="98"/>
      <c r="AH1325" s="98"/>
      <c r="AI1325" s="40"/>
      <c r="AJ1325" s="40"/>
      <c r="AK1325" s="40"/>
      <c r="AO1325" s="22"/>
      <c r="AP1325" s="22"/>
      <c r="AQ1325" s="22"/>
      <c r="AR1325" s="22"/>
      <c r="AS1325" s="22"/>
      <c r="AT1325" s="22"/>
      <c r="AU1325" s="35"/>
      <c r="AV1325" s="35"/>
      <c r="AW1325" s="35"/>
      <c r="AX1325" s="35"/>
      <c r="AY1325" s="35"/>
      <c r="AZ1325" s="35"/>
      <c r="BA1325" s="35"/>
      <c r="BB1325" s="35"/>
      <c r="BC1325" s="35"/>
      <c r="BD1325" s="35"/>
      <c r="BE1325" s="35"/>
      <c r="BF1325" s="35"/>
      <c r="BG1325" s="35"/>
      <c r="BH1325" s="35"/>
      <c r="BI1325" s="35"/>
      <c r="BJ1325" s="35"/>
      <c r="BK1325" s="35"/>
      <c r="BL1325" s="35"/>
      <c r="BM1325" s="35"/>
      <c r="BN1325" s="35"/>
      <c r="BO1325" s="86"/>
    </row>
    <row r="1326" spans="1:67" s="40" customFormat="1" ht="31.5" x14ac:dyDescent="0.25">
      <c r="A1326" s="520">
        <f>IFERROR(VLOOKUP($G$5,'רשימת רשויות'!A:C,3,0),0)</f>
        <v>0</v>
      </c>
      <c r="B1326" s="520">
        <f t="shared" si="184"/>
        <v>0</v>
      </c>
      <c r="C1326" s="39"/>
      <c r="D1326" s="1134"/>
      <c r="E1326" s="1137"/>
      <c r="F1326" s="588" t="s">
        <v>94</v>
      </c>
      <c r="G1326" s="95" t="s">
        <v>18</v>
      </c>
      <c r="H1326" s="95" t="s">
        <v>19</v>
      </c>
      <c r="I1326" s="95" t="s">
        <v>138</v>
      </c>
      <c r="J1326" s="96" t="s">
        <v>139</v>
      </c>
      <c r="K1326" s="603"/>
      <c r="L1326" s="603"/>
      <c r="M1326" s="603"/>
      <c r="N1326" s="603"/>
      <c r="O1326" s="603"/>
      <c r="P1326" s="604"/>
      <c r="Q1326" s="604"/>
      <c r="R1326" s="596"/>
      <c r="S1326" s="610"/>
      <c r="T1326" s="881"/>
      <c r="U1326" s="598"/>
      <c r="V1326" s="599"/>
      <c r="W1326" s="599"/>
      <c r="X1326" s="599"/>
      <c r="Y1326" s="879"/>
      <c r="Z1326" s="97"/>
      <c r="AA1326" s="94"/>
      <c r="AB1326" s="94"/>
      <c r="AC1326" s="493"/>
      <c r="AD1326" s="495"/>
      <c r="AE1326" s="94"/>
      <c r="AG1326" s="98"/>
      <c r="AH1326" s="98"/>
      <c r="AO1326" s="22"/>
      <c r="AP1326" s="22"/>
      <c r="AQ1326" s="22"/>
      <c r="AR1326" s="22"/>
      <c r="AS1326" s="22"/>
      <c r="AT1326" s="22"/>
      <c r="AU1326" s="35"/>
      <c r="AV1326" s="35"/>
      <c r="AW1326" s="35"/>
      <c r="AX1326" s="35"/>
      <c r="AY1326" s="35"/>
      <c r="AZ1326" s="35"/>
      <c r="BA1326" s="35"/>
      <c r="BB1326" s="35"/>
      <c r="BC1326" s="35"/>
      <c r="BD1326" s="35"/>
      <c r="BE1326" s="35"/>
      <c r="BF1326" s="35"/>
      <c r="BG1326" s="35"/>
      <c r="BH1326" s="35"/>
      <c r="BI1326" s="35"/>
      <c r="BJ1326" s="35"/>
      <c r="BK1326" s="35"/>
      <c r="BL1326" s="35"/>
      <c r="BM1326" s="35"/>
      <c r="BN1326" s="35"/>
      <c r="BO1326" s="86"/>
    </row>
    <row r="1327" spans="1:67" s="40" customFormat="1" ht="15.75" customHeight="1" thickBot="1" x14ac:dyDescent="0.3">
      <c r="A1327" s="520">
        <f>IFERROR(VLOOKUP($G$5,'רשימת רשויות'!A:C,3,0),0)</f>
        <v>0</v>
      </c>
      <c r="B1327" s="520">
        <f t="shared" si="184"/>
        <v>0</v>
      </c>
      <c r="C1327" s="39"/>
      <c r="D1327" s="1134"/>
      <c r="E1327" s="1137"/>
      <c r="F1327" s="589" t="s">
        <v>2280</v>
      </c>
      <c r="G1327" s="99">
        <f>+G1338</f>
        <v>0</v>
      </c>
      <c r="H1327" s="100">
        <f>K1321</f>
        <v>0</v>
      </c>
      <c r="I1327" s="100">
        <f>H1327-I1329</f>
        <v>0</v>
      </c>
      <c r="J1327" s="101">
        <f>IFERROR(I1327/H1327,0)</f>
        <v>0</v>
      </c>
      <c r="K1327" s="603"/>
      <c r="L1327" s="603"/>
      <c r="M1327" s="603"/>
      <c r="N1327" s="603"/>
      <c r="O1327" s="603"/>
      <c r="P1327" s="605"/>
      <c r="Q1327" s="604"/>
      <c r="R1327" s="606" t="s">
        <v>157</v>
      </c>
      <c r="S1327" s="611"/>
      <c r="T1327" s="881"/>
      <c r="U1327" s="598"/>
      <c r="V1327" s="599"/>
      <c r="W1327" s="599"/>
      <c r="X1327" s="599"/>
      <c r="Y1327" s="879"/>
      <c r="Z1327" s="102"/>
      <c r="AA1327" s="122"/>
      <c r="AB1327" s="122"/>
      <c r="AC1327" s="493"/>
      <c r="AD1327" s="495"/>
      <c r="AE1327" s="122"/>
      <c r="AF1327" s="22"/>
      <c r="AG1327" s="98"/>
      <c r="AH1327" s="98"/>
      <c r="AI1327" s="20"/>
      <c r="AO1327" s="22"/>
      <c r="AP1327" s="22"/>
      <c r="AQ1327" s="22"/>
      <c r="AR1327" s="22"/>
      <c r="AS1327" s="22"/>
      <c r="AT1327" s="22"/>
      <c r="AU1327" s="35"/>
      <c r="AV1327" s="35"/>
      <c r="AW1327" s="35"/>
      <c r="AX1327" s="35"/>
      <c r="AY1327" s="35"/>
      <c r="AZ1327" s="35"/>
      <c r="BA1327" s="35"/>
      <c r="BB1327" s="35"/>
      <c r="BC1327" s="35"/>
      <c r="BD1327" s="35"/>
      <c r="BE1327" s="35"/>
      <c r="BF1327" s="35"/>
      <c r="BG1327" s="35"/>
      <c r="BH1327" s="35"/>
      <c r="BI1327" s="35"/>
      <c r="BJ1327" s="35"/>
      <c r="BK1327" s="35"/>
      <c r="BL1327" s="35"/>
      <c r="BM1327" s="35"/>
      <c r="BN1327" s="35"/>
      <c r="BO1327" s="86"/>
    </row>
    <row r="1328" spans="1:67" s="40" customFormat="1" ht="15.75" customHeight="1" thickBot="1" x14ac:dyDescent="0.3">
      <c r="A1328" s="520">
        <f>IFERROR(VLOOKUP($G$5,'רשימת רשויות'!A:C,3,0),0)</f>
        <v>0</v>
      </c>
      <c r="B1328" s="520">
        <f t="shared" si="184"/>
        <v>0</v>
      </c>
      <c r="C1328" s="39"/>
      <c r="D1328" s="1134"/>
      <c r="E1328" s="1137"/>
      <c r="F1328" s="589" t="s">
        <v>2281</v>
      </c>
      <c r="G1328" s="99">
        <f>+G1337</f>
        <v>0</v>
      </c>
      <c r="H1328" s="103"/>
      <c r="I1328" s="104"/>
      <c r="J1328" s="105"/>
      <c r="K1328" s="603"/>
      <c r="L1328" s="603"/>
      <c r="M1328" s="603"/>
      <c r="N1328" s="603"/>
      <c r="O1328" s="603"/>
      <c r="P1328" s="605"/>
      <c r="Q1328" s="604"/>
      <c r="R1328" s="473">
        <f>I1329-R1330</f>
        <v>0</v>
      </c>
      <c r="S1328" s="611"/>
      <c r="T1328" s="881"/>
      <c r="U1328" s="598"/>
      <c r="V1328" s="599"/>
      <c r="W1328" s="599"/>
      <c r="X1328" s="599"/>
      <c r="Y1328" s="879"/>
      <c r="Z1328" s="106"/>
      <c r="AA1328" s="22"/>
      <c r="AB1328" s="22"/>
      <c r="AC1328" s="493"/>
      <c r="AD1328" s="495"/>
      <c r="AE1328" s="22"/>
      <c r="AF1328" s="22"/>
      <c r="AG1328" s="98"/>
      <c r="AH1328" s="98"/>
      <c r="AI1328" s="20"/>
      <c r="AO1328" s="22"/>
      <c r="AP1328" s="22"/>
      <c r="AQ1328" s="22"/>
      <c r="AR1328" s="22"/>
      <c r="AS1328" s="22"/>
      <c r="AT1328" s="22"/>
      <c r="AU1328" s="35"/>
      <c r="AV1328" s="35"/>
      <c r="AW1328" s="35"/>
      <c r="AX1328" s="35"/>
      <c r="AY1328" s="35"/>
      <c r="AZ1328" s="35"/>
      <c r="BA1328" s="35"/>
      <c r="BB1328" s="35"/>
      <c r="BC1328" s="35"/>
      <c r="BD1328" s="35"/>
      <c r="BE1328" s="35"/>
      <c r="BF1328" s="35"/>
      <c r="BG1328" s="35"/>
      <c r="BH1328" s="35"/>
      <c r="BI1328" s="35"/>
      <c r="BJ1328" s="35"/>
      <c r="BK1328" s="35"/>
      <c r="BL1328" s="35"/>
      <c r="BM1328" s="35"/>
      <c r="BN1328" s="35"/>
      <c r="BO1328" s="86"/>
    </row>
    <row r="1329" spans="1:67" s="40" customFormat="1" ht="16.5" customHeight="1" thickBot="1" x14ac:dyDescent="0.3">
      <c r="A1329" s="520">
        <f>IFERROR(VLOOKUP($G$5,'רשימת רשויות'!A:C,3,0),0)</f>
        <v>0</v>
      </c>
      <c r="B1329" s="520">
        <f t="shared" si="184"/>
        <v>0</v>
      </c>
      <c r="C1329" s="39"/>
      <c r="D1329" s="1134"/>
      <c r="E1329" s="1137"/>
      <c r="F1329" s="589" t="s">
        <v>2282</v>
      </c>
      <c r="G1329" s="99">
        <f>G1333+G1334+G1335</f>
        <v>0</v>
      </c>
      <c r="H1329" s="104"/>
      <c r="I1329" s="107">
        <f>MAX(H1327-G1327-G1328,0)</f>
        <v>0</v>
      </c>
      <c r="J1329" s="108">
        <f>IFERROR(I1329/H1327,0)</f>
        <v>0</v>
      </c>
      <c r="K1329" s="603"/>
      <c r="L1329" s="603"/>
      <c r="M1329" s="603"/>
      <c r="N1329" s="603"/>
      <c r="O1329" s="603"/>
      <c r="P1329" s="604"/>
      <c r="Q1329" s="604"/>
      <c r="R1329" s="606" t="s">
        <v>158</v>
      </c>
      <c r="S1329" s="612"/>
      <c r="T1329" s="881"/>
      <c r="U1329" s="598"/>
      <c r="V1329" s="599"/>
      <c r="W1329" s="599"/>
      <c r="X1329" s="599"/>
      <c r="Y1329" s="879"/>
      <c r="Z1329" s="106"/>
      <c r="AA1329" s="22"/>
      <c r="AB1329" s="22"/>
      <c r="AC1329" s="493"/>
      <c r="AD1329" s="495"/>
      <c r="AE1329" s="22"/>
      <c r="AF1329" s="22"/>
      <c r="AG1329" s="22"/>
      <c r="AH1329" s="22"/>
      <c r="AI1329" s="55"/>
      <c r="AJ1329" s="22"/>
      <c r="AK1329" s="22"/>
      <c r="AO1329" s="22"/>
      <c r="AP1329" s="22"/>
      <c r="AQ1329" s="22"/>
      <c r="AR1329" s="22"/>
      <c r="AS1329" s="22"/>
      <c r="AT1329" s="22"/>
      <c r="AU1329" s="35"/>
      <c r="AV1329" s="35"/>
      <c r="AW1329" s="35"/>
      <c r="AX1329" s="35"/>
      <c r="AY1329" s="35"/>
      <c r="AZ1329" s="35"/>
      <c r="BA1329" s="35"/>
      <c r="BB1329" s="35"/>
      <c r="BC1329" s="35"/>
      <c r="BD1329" s="35"/>
      <c r="BE1329" s="35"/>
      <c r="BF1329" s="35"/>
      <c r="BG1329" s="35"/>
      <c r="BH1329" s="35"/>
      <c r="BI1329" s="35"/>
      <c r="BJ1329" s="35"/>
      <c r="BK1329" s="35"/>
      <c r="BL1329" s="35"/>
      <c r="BM1329" s="35"/>
      <c r="BN1329" s="35"/>
      <c r="BO1329" s="86"/>
    </row>
    <row r="1330" spans="1:67" s="40" customFormat="1" ht="15.75" customHeight="1" thickBot="1" x14ac:dyDescent="0.3">
      <c r="A1330" s="520">
        <f>IFERROR(VLOOKUP($G$5,'רשימת רשויות'!A:C,3,0),0)</f>
        <v>0</v>
      </c>
      <c r="B1330" s="520">
        <f t="shared" si="184"/>
        <v>0</v>
      </c>
      <c r="C1330" s="39"/>
      <c r="D1330" s="1134"/>
      <c r="E1330" s="1137"/>
      <c r="F1330" s="590" t="s">
        <v>2290</v>
      </c>
      <c r="G1330" s="109"/>
      <c r="H1330" s="110"/>
      <c r="I1330" s="111">
        <f>SUM(I1327:I1329)</f>
        <v>0</v>
      </c>
      <c r="J1330" s="112">
        <f>SUM(J1327:J1329)</f>
        <v>0</v>
      </c>
      <c r="K1330" s="603"/>
      <c r="L1330" s="603"/>
      <c r="M1330" s="603"/>
      <c r="N1330" s="603"/>
      <c r="O1330" s="603"/>
      <c r="P1330" s="604"/>
      <c r="Q1330" s="604"/>
      <c r="R1330" s="473">
        <f>MIN(MAX(G1334+G1335-I1323-J1323,0),I1329)</f>
        <v>0</v>
      </c>
      <c r="S1330" s="612"/>
      <c r="T1330" s="881"/>
      <c r="U1330" s="598"/>
      <c r="V1330" s="599"/>
      <c r="W1330" s="599"/>
      <c r="X1330" s="599"/>
      <c r="Y1330" s="879"/>
      <c r="Z1330" s="106"/>
      <c r="AA1330" s="22"/>
      <c r="AB1330" s="22"/>
      <c r="AC1330" s="493"/>
      <c r="AD1330" s="495"/>
      <c r="AE1330" s="22"/>
      <c r="AF1330" s="22"/>
      <c r="AG1330" s="22"/>
      <c r="AH1330" s="22"/>
      <c r="AJ1330" s="22"/>
      <c r="AK1330" s="22"/>
      <c r="AO1330" s="22"/>
      <c r="AP1330" s="22"/>
      <c r="AQ1330" s="22"/>
      <c r="AR1330" s="22"/>
      <c r="AS1330" s="22"/>
      <c r="AT1330" s="22"/>
      <c r="AU1330" s="35"/>
      <c r="AV1330" s="35"/>
      <c r="AW1330" s="35"/>
      <c r="AX1330" s="35"/>
      <c r="AY1330" s="35"/>
      <c r="AZ1330" s="35"/>
      <c r="BA1330" s="35"/>
      <c r="BB1330" s="35"/>
      <c r="BC1330" s="35"/>
      <c r="BD1330" s="35"/>
      <c r="BE1330" s="35"/>
      <c r="BF1330" s="35"/>
      <c r="BG1330" s="35"/>
      <c r="BH1330" s="35"/>
      <c r="BI1330" s="35"/>
      <c r="BJ1330" s="35"/>
      <c r="BK1330" s="35"/>
      <c r="BL1330" s="35"/>
      <c r="BM1330" s="35"/>
      <c r="BN1330" s="35"/>
      <c r="BO1330" s="86"/>
    </row>
    <row r="1331" spans="1:67" ht="16.5" thickBot="1" x14ac:dyDescent="0.3">
      <c r="A1331" s="520">
        <f>IFERROR(VLOOKUP($G$5,'רשימת רשויות'!A:C,3,0),0)</f>
        <v>0</v>
      </c>
      <c r="B1331" s="520">
        <f t="shared" si="184"/>
        <v>0</v>
      </c>
      <c r="D1331" s="1134"/>
      <c r="E1331" s="1137"/>
      <c r="F1331" s="587" t="s">
        <v>17</v>
      </c>
      <c r="G1331" s="113"/>
      <c r="H1331" s="92"/>
      <c r="I1331" s="114"/>
      <c r="J1331" s="115"/>
      <c r="K1331" s="116"/>
      <c r="L1331" s="406"/>
      <c r="M1331" s="116"/>
      <c r="N1331" s="116"/>
      <c r="O1331" s="116"/>
      <c r="P1331" s="474"/>
      <c r="Q1331" s="607"/>
      <c r="R1331" s="608"/>
      <c r="S1331" s="612"/>
      <c r="T1331" s="881"/>
      <c r="U1331" s="598"/>
      <c r="V1331" s="599"/>
      <c r="W1331" s="599"/>
      <c r="X1331" s="599"/>
      <c r="Y1331" s="879"/>
      <c r="Z1331" s="106"/>
      <c r="AI1331" s="40"/>
      <c r="BO1331" s="86"/>
    </row>
    <row r="1332" spans="1:67" ht="47.25" x14ac:dyDescent="0.25">
      <c r="A1332" s="520">
        <f>IFERROR(VLOOKUP($G$5,'רשימת רשויות'!A:C,3,0),0)</f>
        <v>0</v>
      </c>
      <c r="B1332" s="520">
        <f t="shared" si="184"/>
        <v>0</v>
      </c>
      <c r="D1332" s="1134"/>
      <c r="E1332" s="1137"/>
      <c r="F1332" s="588" t="s">
        <v>2</v>
      </c>
      <c r="G1332" s="95" t="s">
        <v>18</v>
      </c>
      <c r="H1332" s="95" t="s">
        <v>19</v>
      </c>
      <c r="I1332" s="95" t="s">
        <v>20</v>
      </c>
      <c r="J1332" s="95" t="s">
        <v>22</v>
      </c>
      <c r="K1332" s="96" t="s">
        <v>2314</v>
      </c>
      <c r="L1332" s="609"/>
      <c r="M1332" s="609"/>
      <c r="N1332" s="609"/>
      <c r="O1332" s="580"/>
      <c r="P1332" s="618" t="s">
        <v>2298</v>
      </c>
      <c r="Q1332" s="618" t="s">
        <v>2299</v>
      </c>
      <c r="R1332" s="596"/>
      <c r="S1332" s="890" t="s">
        <v>2519</v>
      </c>
      <c r="T1332" s="890" t="s">
        <v>97</v>
      </c>
      <c r="U1332" s="891" t="s">
        <v>2521</v>
      </c>
      <c r="V1332" s="892" t="s">
        <v>2520</v>
      </c>
      <c r="W1332" s="893" t="s">
        <v>2524</v>
      </c>
      <c r="X1332" s="892" t="s">
        <v>2522</v>
      </c>
      <c r="Y1332" s="894" t="s">
        <v>2523</v>
      </c>
      <c r="Z1332" s="106"/>
      <c r="AC1332" s="498" t="s">
        <v>2568</v>
      </c>
      <c r="AD1332" s="499" t="s">
        <v>2569</v>
      </c>
      <c r="AF1332" s="122"/>
      <c r="AI1332" s="40"/>
      <c r="BO1332" s="86"/>
    </row>
    <row r="1333" spans="1:67" ht="15" customHeight="1" thickBot="1" x14ac:dyDescent="0.3">
      <c r="A1333" s="520">
        <f>IFERROR(VLOOKUP($G$5,'רשימת רשויות'!A:C,3,0),0)</f>
        <v>0</v>
      </c>
      <c r="B1333" s="520">
        <f t="shared" si="184"/>
        <v>0</v>
      </c>
      <c r="D1333" s="1134"/>
      <c r="E1333" s="1137"/>
      <c r="F1333" s="589" t="s">
        <v>76</v>
      </c>
      <c r="G1333" s="117">
        <f>IF(G1324="תקין",SUMIF('עלויות כח אדם (6)'!$B$15:$B$3014,'בית ספר - תקצוב לפי מוסד (9)'!$G1319,'עלויות כח אדם (6)'!$M$15:$M$3014)-VLOOKUP('בית ספר - תקצוב לפי מוסד (9)'!G1319,' איוש משרות (8)'!$C:$H,5,0)-VLOOKUP('בית ספר - תקצוב לפי מוסד (9)'!G1319,' איוש משרות (8)'!$C:$H,6,0),0)-Y1333</f>
        <v>0</v>
      </c>
      <c r="H1333" s="118">
        <f>I1321+R1328</f>
        <v>0</v>
      </c>
      <c r="I1333" s="119">
        <f>IFERROR(SUM(G1333)/H1333,0)</f>
        <v>0</v>
      </c>
      <c r="J1333" s="100">
        <f>MIN(I1321+R1328,IF(ISNUMBER(G1333),G1333,0))</f>
        <v>0</v>
      </c>
      <c r="K1333" s="120">
        <f>MAX(H1333-G1333,0)</f>
        <v>0</v>
      </c>
      <c r="L1333" s="407"/>
      <c r="M1333" s="393"/>
      <c r="N1333" s="393"/>
      <c r="O1333" s="580"/>
      <c r="P1333" s="968">
        <f>IFERROR(IF(SUM(G1333)/(I1321)&lt;100%,MIN((I1321)-SUM(G1333),(I1321)*0.25),0),0)</f>
        <v>0</v>
      </c>
      <c r="Q1333" s="968">
        <f>IF(SUM(G1333)-(I1321+R1328)&gt;0,SUM(G1333)-(I1321+R1328),0)</f>
        <v>0</v>
      </c>
      <c r="R1333" s="596" t="s">
        <v>2351</v>
      </c>
      <c r="S1333" s="576" t="s">
        <v>2342</v>
      </c>
      <c r="T1333" s="599">
        <f>G1319</f>
        <v>0</v>
      </c>
      <c r="U1333" s="578"/>
      <c r="V1333" s="579">
        <f>G1333+G1334+G1335</f>
        <v>0</v>
      </c>
      <c r="W1333" s="579">
        <f>U1333-V1333</f>
        <v>0</v>
      </c>
      <c r="X1333" s="579">
        <f>IFERROR(W1347*W1333/(SUM(W1333:W1346)),0)</f>
        <v>0</v>
      </c>
      <c r="Y1333" s="879">
        <f>SUMIFS(בקרה!$S:$S,בקרה!$D:$D,T1333,בקרה!$K:$K,S1333)</f>
        <v>0</v>
      </c>
      <c r="Z1333" s="121"/>
      <c r="AA1333" s="143"/>
      <c r="AB1333" s="143"/>
      <c r="AC1333" s="504">
        <v>0</v>
      </c>
      <c r="AD1333" s="505">
        <f>IFERROR(U1333-AC1333,0)</f>
        <v>0</v>
      </c>
      <c r="AE1333" s="143"/>
      <c r="AI1333" s="20"/>
      <c r="BO1333" s="86"/>
    </row>
    <row r="1334" spans="1:67" ht="15" customHeight="1" thickBot="1" x14ac:dyDescent="0.3">
      <c r="A1334" s="520">
        <f>IFERROR(VLOOKUP($G$5,'רשימת רשויות'!A:C,3,0),0)</f>
        <v>0</v>
      </c>
      <c r="B1334" s="520">
        <f t="shared" si="184"/>
        <v>0</v>
      </c>
      <c r="D1334" s="1134"/>
      <c r="E1334" s="1137"/>
      <c r="F1334" s="589" t="s">
        <v>44</v>
      </c>
      <c r="G1334" s="123">
        <f>IF(G1324="תקין",IFERROR(VLOOKUP('בית ספר - תקצוב לפי מוסד (9)'!G1319,' איוש משרות (8)'!C:J,7,0),0),0)</f>
        <v>0</v>
      </c>
      <c r="H1334" s="124">
        <f>I1323+R1330+J1323</f>
        <v>0</v>
      </c>
      <c r="I1334" s="119">
        <f>IFERROR(SUM(G1334:G1335)/H1334,0)</f>
        <v>0</v>
      </c>
      <c r="J1334" s="100">
        <f>MIN(R1330+I1323,IF(ISNUMBER(SUM(G1334:G1335)),SUM(G1334:G1335),0))</f>
        <v>0</v>
      </c>
      <c r="K1334" s="1139">
        <f>MAX((H1334)-(G1334+G1335),0)</f>
        <v>0</v>
      </c>
      <c r="L1334" s="407"/>
      <c r="M1334" s="393"/>
      <c r="N1334" s="393"/>
      <c r="O1334" s="580"/>
      <c r="P1334" s="1140"/>
      <c r="Q1334" s="1140"/>
      <c r="R1334" s="617">
        <f>MAX(MIN(P1342-Q1342,H1342*0.15-G1340),0)</f>
        <v>0</v>
      </c>
      <c r="S1334" s="576"/>
      <c r="T1334" s="599">
        <f>G1319</f>
        <v>0</v>
      </c>
      <c r="U1334" s="578"/>
      <c r="V1334" s="579"/>
      <c r="W1334" s="579">
        <f t="shared" ref="W1334:W1346" si="189">U1334-V1334</f>
        <v>0</v>
      </c>
      <c r="X1334" s="579"/>
      <c r="Y1334" s="879"/>
      <c r="Z1334" s="121"/>
      <c r="AA1334" s="143"/>
      <c r="AB1334" s="143"/>
      <c r="AC1334" s="504"/>
      <c r="AD1334" s="505">
        <f t="shared" ref="AD1334:AD1340" si="190">IFERROR(U1334-AC1334,0)</f>
        <v>0</v>
      </c>
      <c r="AE1334" s="143"/>
      <c r="AI1334" s="20"/>
      <c r="BO1334" s="86"/>
    </row>
    <row r="1335" spans="1:67" ht="15.75" customHeight="1" x14ac:dyDescent="0.25">
      <c r="A1335" s="520">
        <f>IFERROR(VLOOKUP($G$5,'רשימת רשויות'!A:C,3,0),0)</f>
        <v>0</v>
      </c>
      <c r="B1335" s="520">
        <f t="shared" si="184"/>
        <v>0</v>
      </c>
      <c r="D1335" s="1134"/>
      <c r="E1335" s="1137"/>
      <c r="F1335" s="589" t="s">
        <v>45</v>
      </c>
      <c r="G1335" s="123">
        <f>IF(G1324="תקין",IFERROR(VLOOKUP('בית ספר - תקצוב לפי מוסד (9)'!G1319,' איוש משרות (8)'!C:J,8,0),0),0)</f>
        <v>0</v>
      </c>
      <c r="H1335" s="125"/>
      <c r="I1335" s="126"/>
      <c r="J1335" s="104"/>
      <c r="K1335" s="1139"/>
      <c r="L1335" s="407"/>
      <c r="M1335" s="393"/>
      <c r="N1335" s="393"/>
      <c r="O1335" s="580"/>
      <c r="P1335" s="1140"/>
      <c r="Q1335" s="1140"/>
      <c r="R1335" s="596"/>
      <c r="S1335" s="576"/>
      <c r="T1335" s="599">
        <f>G1319</f>
        <v>0</v>
      </c>
      <c r="U1335" s="578"/>
      <c r="V1335" s="579"/>
      <c r="W1335" s="579">
        <f t="shared" si="189"/>
        <v>0</v>
      </c>
      <c r="X1335" s="579"/>
      <c r="Y1335" s="879"/>
      <c r="Z1335" s="121"/>
      <c r="AA1335" s="143"/>
      <c r="AB1335" s="143"/>
      <c r="AC1335" s="504"/>
      <c r="AD1335" s="505">
        <f t="shared" si="190"/>
        <v>0</v>
      </c>
      <c r="AE1335" s="143"/>
      <c r="AG1335" s="55"/>
      <c r="AH1335" s="55"/>
      <c r="AI1335" s="55"/>
      <c r="AJ1335" s="55"/>
      <c r="AK1335" s="55"/>
      <c r="BO1335" s="86"/>
    </row>
    <row r="1336" spans="1:67" ht="15.75" customHeight="1" x14ac:dyDescent="0.25">
      <c r="A1336" s="520">
        <f>IFERROR(VLOOKUP($G$5,'רשימת רשויות'!A:C,3,0),0)</f>
        <v>0</v>
      </c>
      <c r="B1336" s="520">
        <f t="shared" si="184"/>
        <v>0</v>
      </c>
      <c r="D1336" s="1134"/>
      <c r="E1336" s="1137"/>
      <c r="F1336" s="589" t="s">
        <v>0</v>
      </c>
      <c r="G1336" s="117">
        <f>IF(G1324="תקין",SUMIFS('דוח הוצאות בפועל (4)'!$E$17:$E$3016,'דוח הוצאות בפועל (4)'!$B$17:$B$3016,'בית ספר - תקצוב לפי מוסד (9)'!$G1319,'דוח הוצאות בפועל (4)'!$M$17:$M$3016,"הע"),0)-Y1336</f>
        <v>0</v>
      </c>
      <c r="H1336" s="127">
        <f>J1321</f>
        <v>0</v>
      </c>
      <c r="I1336" s="128">
        <f>IFERROR(G1336/H1336,0)</f>
        <v>0</v>
      </c>
      <c r="J1336" s="129">
        <f>MIN(IF(ISNUMBER(G1336),G1336,0),H1336)</f>
        <v>0</v>
      </c>
      <c r="K1336" s="120">
        <f>MAX(H1336-G1336,0)</f>
        <v>0</v>
      </c>
      <c r="L1336" s="407"/>
      <c r="M1336" s="393"/>
      <c r="N1336" s="393"/>
      <c r="O1336" s="580"/>
      <c r="P1336" s="968">
        <f>MAX(IF(I1336&lt;100%,MIN((H1336-G1336),H1336*0.25),0),0)</f>
        <v>0</v>
      </c>
      <c r="Q1336" s="619">
        <f>IF(G1336-H1336&gt;0,G1336-H1336,0)</f>
        <v>0</v>
      </c>
      <c r="R1336" s="596"/>
      <c r="S1336" s="610" t="s">
        <v>0</v>
      </c>
      <c r="T1336" s="599">
        <f>G1319</f>
        <v>0</v>
      </c>
      <c r="U1336" s="578"/>
      <c r="V1336" s="579">
        <f>G1336</f>
        <v>0</v>
      </c>
      <c r="W1336" s="579">
        <f t="shared" si="189"/>
        <v>0</v>
      </c>
      <c r="X1336" s="579">
        <f>IFERROR(W1347*W1336/(SUM(W1333:W1346)),0)</f>
        <v>0</v>
      </c>
      <c r="Y1336" s="879">
        <f>SUMIFS(בקרה!$S:$S,בקרה!$D:$D,T1336,בקרה!$K:$K,S1336)</f>
        <v>0</v>
      </c>
      <c r="Z1336" s="121"/>
      <c r="AA1336" s="143"/>
      <c r="AB1336" s="143"/>
      <c r="AC1336" s="504">
        <v>0</v>
      </c>
      <c r="AD1336" s="505">
        <f t="shared" si="190"/>
        <v>0</v>
      </c>
      <c r="AE1336" s="143"/>
      <c r="AG1336" s="55"/>
      <c r="AH1336" s="55"/>
      <c r="AI1336" s="40"/>
      <c r="AJ1336" s="55"/>
      <c r="AK1336" s="55"/>
      <c r="BO1336" s="86"/>
    </row>
    <row r="1337" spans="1:67" s="55" customFormat="1" ht="15.75" customHeight="1" x14ac:dyDescent="0.25">
      <c r="A1337" s="520">
        <f>IFERROR(VLOOKUP($G$5,'רשימת רשויות'!A:C,3,0),0)</f>
        <v>0</v>
      </c>
      <c r="B1337" s="520">
        <f t="shared" si="184"/>
        <v>0</v>
      </c>
      <c r="C1337" s="39"/>
      <c r="D1337" s="1134"/>
      <c r="E1337" s="1137"/>
      <c r="F1337" s="589" t="s">
        <v>93</v>
      </c>
      <c r="G1337" s="130">
        <f>IF(G1324="תקין",SUMIFS('דוח הוצאות בפועל (4)'!$E$17:$E$3016,'דוח הוצאות בפועל (4)'!$B$17:$B$3016,'בית ספר - תקצוב לפי מוסד (9)'!$G1319,'דוח הוצאות בפועל (4)'!$M$17:$M$3016,"אר"),0)-Y1337</f>
        <v>0</v>
      </c>
      <c r="H1337" s="118">
        <f>$I1327</f>
        <v>0</v>
      </c>
      <c r="I1337" s="131">
        <f>IFERROR((G1337+G1338)/H1337,0)</f>
        <v>0</v>
      </c>
      <c r="J1337" s="100">
        <f>MIN((IF(ISNUMBER(G1337),G1337,0)+IF(ISNUMBER(G1338),G1338,0)),H1337)</f>
        <v>0</v>
      </c>
      <c r="K1337" s="1139">
        <f>MAX((H1337)-(G1337+G1338),0)</f>
        <v>0</v>
      </c>
      <c r="L1337" s="407"/>
      <c r="M1337" s="393"/>
      <c r="N1337" s="393"/>
      <c r="O1337" s="602"/>
      <c r="P1337" s="1141"/>
      <c r="Q1337" s="1142"/>
      <c r="R1337" s="596"/>
      <c r="S1337" s="610" t="s">
        <v>93</v>
      </c>
      <c r="T1337" s="599">
        <f>G1319</f>
        <v>0</v>
      </c>
      <c r="U1337" s="578"/>
      <c r="V1337" s="579">
        <f t="shared" ref="V1337:V1338" si="191">G1337</f>
        <v>0</v>
      </c>
      <c r="W1337" s="579">
        <f t="shared" si="189"/>
        <v>0</v>
      </c>
      <c r="X1337" s="579">
        <f>IFERROR(W1347*W1337/(SUM(W1333:W1346)),0)</f>
        <v>0</v>
      </c>
      <c r="Y1337" s="879">
        <f>SUMIFS(בקרה!$S:$S,בקרה!$D:$D,T1337,בקרה!$K:$K,S1337)</f>
        <v>0</v>
      </c>
      <c r="Z1337" s="121"/>
      <c r="AA1337" s="143"/>
      <c r="AB1337" s="143"/>
      <c r="AC1337" s="504">
        <v>0</v>
      </c>
      <c r="AD1337" s="505">
        <f t="shared" si="190"/>
        <v>0</v>
      </c>
      <c r="AE1337" s="143"/>
      <c r="AJ1337" s="22"/>
      <c r="AO1337" s="22"/>
      <c r="AP1337" s="22"/>
      <c r="AQ1337" s="22"/>
      <c r="AR1337" s="22"/>
      <c r="AS1337" s="22"/>
      <c r="AT1337" s="22"/>
      <c r="AU1337" s="35"/>
      <c r="AV1337" s="35"/>
      <c r="AW1337" s="35"/>
      <c r="AX1337" s="35"/>
      <c r="AY1337" s="35"/>
      <c r="AZ1337" s="35"/>
      <c r="BA1337" s="35"/>
      <c r="BB1337" s="35"/>
      <c r="BC1337" s="35"/>
      <c r="BD1337" s="35"/>
      <c r="BE1337" s="35"/>
      <c r="BF1337" s="35"/>
      <c r="BG1337" s="35"/>
      <c r="BH1337" s="35"/>
      <c r="BI1337" s="35"/>
      <c r="BJ1337" s="35"/>
      <c r="BK1337" s="35"/>
      <c r="BL1337" s="35"/>
      <c r="BM1337" s="35"/>
      <c r="BN1337" s="35"/>
      <c r="BO1337" s="86"/>
    </row>
    <row r="1338" spans="1:67" s="55" customFormat="1" ht="15.75" customHeight="1" x14ac:dyDescent="0.25">
      <c r="A1338" s="520">
        <f>IFERROR(VLOOKUP($G$5,'רשימת רשויות'!A:C,3,0),0)</f>
        <v>0</v>
      </c>
      <c r="B1338" s="520">
        <f t="shared" si="184"/>
        <v>0</v>
      </c>
      <c r="C1338" s="39"/>
      <c r="D1338" s="1134"/>
      <c r="E1338" s="1137"/>
      <c r="F1338" s="589" t="s">
        <v>46</v>
      </c>
      <c r="G1338" s="130">
        <f>IF(G1324="תקין",SUMIFS('דוח הוצאות בפועל (4)'!$E$17:$E$3016,'דוח הוצאות בפועל (4)'!$B$17:$B$3016,'בית ספר - תקצוב לפי מוסד (9)'!$G1319,'דוח הוצאות בפועל (4)'!$M$17:$M$3016,"מל"),0)-Y1338</f>
        <v>0</v>
      </c>
      <c r="H1338" s="132"/>
      <c r="I1338" s="133"/>
      <c r="J1338" s="104"/>
      <c r="K1338" s="1139"/>
      <c r="L1338" s="407"/>
      <c r="M1338" s="393"/>
      <c r="N1338" s="393"/>
      <c r="O1338" s="602"/>
      <c r="P1338" s="1141"/>
      <c r="Q1338" s="1142"/>
      <c r="R1338" s="596"/>
      <c r="S1338" s="610" t="s">
        <v>46</v>
      </c>
      <c r="T1338" s="599">
        <f>G1319</f>
        <v>0</v>
      </c>
      <c r="U1338" s="578"/>
      <c r="V1338" s="579">
        <f t="shared" si="191"/>
        <v>0</v>
      </c>
      <c r="W1338" s="579">
        <f t="shared" si="189"/>
        <v>0</v>
      </c>
      <c r="X1338" s="579">
        <f>IFERROR(W1347*W1338/(SUM(W1333:W1346)),0)</f>
        <v>0</v>
      </c>
      <c r="Y1338" s="879">
        <f>SUMIFS(בקרה!$S:$S,בקרה!$D:$D,T1338,בקרה!$K:$K,S1338)</f>
        <v>0</v>
      </c>
      <c r="Z1338" s="121"/>
      <c r="AA1338" s="143"/>
      <c r="AB1338" s="143"/>
      <c r="AC1338" s="504">
        <v>0</v>
      </c>
      <c r="AD1338" s="505">
        <f t="shared" si="190"/>
        <v>0</v>
      </c>
      <c r="AE1338" s="143"/>
      <c r="AJ1338" s="22"/>
      <c r="AO1338" s="22"/>
      <c r="AP1338" s="22"/>
      <c r="AQ1338" s="22"/>
      <c r="AR1338" s="22"/>
      <c r="AS1338" s="22"/>
      <c r="AT1338" s="22"/>
      <c r="AU1338" s="35"/>
      <c r="AV1338" s="35"/>
      <c r="AW1338" s="35"/>
      <c r="AX1338" s="35"/>
      <c r="AY1338" s="35"/>
      <c r="AZ1338" s="35"/>
      <c r="BA1338" s="35"/>
      <c r="BB1338" s="35"/>
      <c r="BC1338" s="35"/>
      <c r="BD1338" s="35"/>
      <c r="BE1338" s="35"/>
      <c r="BF1338" s="35"/>
      <c r="BG1338" s="35"/>
      <c r="BH1338" s="35"/>
      <c r="BI1338" s="35"/>
      <c r="BJ1338" s="35"/>
      <c r="BK1338" s="35"/>
      <c r="BL1338" s="35"/>
      <c r="BM1338" s="35"/>
      <c r="BN1338" s="35"/>
      <c r="BO1338" s="86"/>
    </row>
    <row r="1339" spans="1:67" s="55" customFormat="1" ht="15" customHeight="1" x14ac:dyDescent="0.25">
      <c r="A1339" s="520">
        <f>IFERROR(VLOOKUP($G$5,'רשימת רשויות'!A:C,3,0),0)</f>
        <v>0</v>
      </c>
      <c r="B1339" s="520">
        <f t="shared" si="184"/>
        <v>0</v>
      </c>
      <c r="C1339" s="39"/>
      <c r="D1339" s="1134"/>
      <c r="E1339" s="1137"/>
      <c r="F1339" s="591" t="s">
        <v>23</v>
      </c>
      <c r="G1339" s="134">
        <f>SUM(G1333:G1338)</f>
        <v>0</v>
      </c>
      <c r="H1339" s="135">
        <f>SUM(H1333:H1338)</f>
        <v>0</v>
      </c>
      <c r="I1339" s="128">
        <f>IFERROR(G1339/H1339,0)</f>
        <v>0</v>
      </c>
      <c r="J1339" s="136">
        <f>SUM(J1333:J1338)</f>
        <v>0</v>
      </c>
      <c r="K1339" s="137">
        <f>SUM(K1333:K1338)</f>
        <v>0</v>
      </c>
      <c r="L1339" s="408"/>
      <c r="M1339" s="394"/>
      <c r="N1339" s="394"/>
      <c r="O1339" s="602"/>
      <c r="P1339" s="620">
        <f>SUM(P1333:P1338)</f>
        <v>0</v>
      </c>
      <c r="Q1339" s="620">
        <f>SUM(Q1333:Q1338)</f>
        <v>0</v>
      </c>
      <c r="R1339" s="596"/>
      <c r="S1339" s="610"/>
      <c r="T1339" s="599">
        <f>G1319</f>
        <v>0</v>
      </c>
      <c r="U1339" s="578"/>
      <c r="V1339" s="579"/>
      <c r="W1339" s="579">
        <f t="shared" si="189"/>
        <v>0</v>
      </c>
      <c r="X1339" s="579"/>
      <c r="Y1339" s="879"/>
      <c r="Z1339" s="121"/>
      <c r="AA1339" s="143"/>
      <c r="AB1339" s="143"/>
      <c r="AC1339" s="504"/>
      <c r="AD1339" s="505">
        <f t="shared" si="190"/>
        <v>0</v>
      </c>
      <c r="AE1339" s="143"/>
      <c r="AJ1339" s="22"/>
      <c r="AL1339" s="22"/>
      <c r="AM1339" s="22"/>
      <c r="AN1339" s="22"/>
      <c r="AO1339" s="22"/>
      <c r="AP1339" s="22"/>
      <c r="AQ1339" s="22"/>
      <c r="AR1339" s="22"/>
      <c r="AS1339" s="22"/>
      <c r="AT1339" s="22"/>
      <c r="AU1339" s="35"/>
      <c r="AV1339" s="35"/>
      <c r="AW1339" s="35"/>
      <c r="AX1339" s="35"/>
      <c r="AY1339" s="35"/>
      <c r="AZ1339" s="35"/>
      <c r="BA1339" s="35"/>
      <c r="BB1339" s="35"/>
      <c r="BC1339" s="35"/>
      <c r="BD1339" s="35"/>
      <c r="BE1339" s="35"/>
      <c r="BF1339" s="35"/>
      <c r="BG1339" s="35"/>
      <c r="BH1339" s="35"/>
      <c r="BI1339" s="35"/>
      <c r="BJ1339" s="35"/>
      <c r="BK1339" s="35"/>
      <c r="BL1339" s="35"/>
      <c r="BM1339" s="35"/>
      <c r="BN1339" s="35"/>
      <c r="BO1339" s="86"/>
    </row>
    <row r="1340" spans="1:67" s="55" customFormat="1" ht="15" customHeight="1" x14ac:dyDescent="0.25">
      <c r="A1340" s="520">
        <f>IFERROR(VLOOKUP($G$5,'רשימת רשויות'!A:C,3,0),0)</f>
        <v>0</v>
      </c>
      <c r="B1340" s="520">
        <f t="shared" si="184"/>
        <v>0</v>
      </c>
      <c r="C1340" s="39"/>
      <c r="D1340" s="1134"/>
      <c r="E1340" s="1137"/>
      <c r="F1340" s="589" t="s">
        <v>3</v>
      </c>
      <c r="G1340" s="117">
        <f>IF(G1324="תקין",SUMIFS('דוח הוצאות בפועל (4)'!$E$17:$E$3016,'דוח הוצאות בפועל (4)'!$B$17:$B$3016,'בית ספר - תקצוב לפי מוסד (9)'!$G1319,'דוח הוצאות בפועל (4)'!$M$17:$M$3016,"ני")+SUMIFS('דוח הוצאות בפועל (4)'!$E$17:$E$3016,'דוח הוצאות בפועל (4)'!$B$17:$B$3016,'בית ספר - תקצוב לפי מוסד (9)'!$G1319,'דוח הוצאות בפועל (4)'!$M$17:$M$3016,"על"),0)-Y1340</f>
        <v>0</v>
      </c>
      <c r="H1340" s="117">
        <f>H1321</f>
        <v>0</v>
      </c>
      <c r="I1340" s="138">
        <f>IFERROR(G1340/H1340,0)</f>
        <v>0</v>
      </c>
      <c r="J1340" s="117">
        <f>IFERROR(IF(G1340/H1342&gt;0.15,MIN(H1342*0.15,H1340),MIN(H1340,IF(ISNUMBER(G1340),G1340,0))),0)</f>
        <v>0</v>
      </c>
      <c r="K1340" s="120">
        <f>MAX(H1340-G1340,0)</f>
        <v>0</v>
      </c>
      <c r="L1340" s="407"/>
      <c r="M1340" s="393"/>
      <c r="N1340" s="393"/>
      <c r="O1340" s="602"/>
      <c r="P1340" s="620">
        <f>IF(I1340&lt;100%,MIN(H1340-G1340,H1340*0.25),0)</f>
        <v>0</v>
      </c>
      <c r="Q1340" s="620">
        <f>MAX(MIN(IF(G1340-H1340&gt;0,G1340-H1340,0),$H1342*0.15-H1340-J1341),0)</f>
        <v>0</v>
      </c>
      <c r="R1340" s="596"/>
      <c r="S1340" s="610" t="s">
        <v>3</v>
      </c>
      <c r="T1340" s="599">
        <f>G1319</f>
        <v>0</v>
      </c>
      <c r="U1340" s="578"/>
      <c r="V1340" s="579">
        <f t="shared" ref="V1340" si="192">G1340</f>
        <v>0</v>
      </c>
      <c r="W1340" s="579">
        <f t="shared" si="189"/>
        <v>0</v>
      </c>
      <c r="X1340" s="579"/>
      <c r="Y1340" s="879"/>
      <c r="Z1340" s="121"/>
      <c r="AA1340" s="143"/>
      <c r="AB1340" s="143"/>
      <c r="AC1340" s="504">
        <v>0</v>
      </c>
      <c r="AD1340" s="505">
        <f t="shared" si="190"/>
        <v>0</v>
      </c>
      <c r="AE1340" s="143"/>
      <c r="AG1340" s="22"/>
      <c r="AH1340" s="22"/>
      <c r="AI1340" s="22"/>
      <c r="AJ1340" s="22"/>
      <c r="AK1340" s="22"/>
      <c r="AL1340" s="22"/>
      <c r="AM1340" s="22"/>
      <c r="AN1340" s="22"/>
      <c r="AO1340" s="22"/>
      <c r="AP1340" s="22"/>
      <c r="AQ1340" s="22"/>
      <c r="AR1340" s="22"/>
      <c r="AS1340" s="22"/>
      <c r="AT1340" s="22"/>
      <c r="AU1340" s="35"/>
      <c r="AV1340" s="35"/>
      <c r="AW1340" s="35"/>
      <c r="AX1340" s="35"/>
      <c r="AY1340" s="35"/>
      <c r="AZ1340" s="35"/>
      <c r="BA1340" s="35"/>
      <c r="BB1340" s="35"/>
      <c r="BC1340" s="35"/>
      <c r="BD1340" s="35"/>
      <c r="BE1340" s="35"/>
      <c r="BF1340" s="35"/>
      <c r="BG1340" s="35"/>
      <c r="BH1340" s="35"/>
      <c r="BI1340" s="35"/>
      <c r="BJ1340" s="35"/>
      <c r="BK1340" s="35"/>
      <c r="BL1340" s="35"/>
      <c r="BM1340" s="35"/>
      <c r="BN1340" s="35"/>
      <c r="BO1340" s="86"/>
    </row>
    <row r="1341" spans="1:67" s="55" customFormat="1" ht="15.75" customHeight="1" x14ac:dyDescent="0.25">
      <c r="A1341" s="520">
        <f>IFERROR(VLOOKUP($G$5,'רשימת רשויות'!A:C,3,0),0)</f>
        <v>0</v>
      </c>
      <c r="B1341" s="520">
        <f t="shared" si="184"/>
        <v>0</v>
      </c>
      <c r="C1341" s="39"/>
      <c r="D1341" s="1134"/>
      <c r="E1341" s="1137"/>
      <c r="F1341" s="589" t="s">
        <v>2918</v>
      </c>
      <c r="G1341" s="117">
        <f>0.07*(G1335+G1334)</f>
        <v>0</v>
      </c>
      <c r="H1341" s="117">
        <f>H1323</f>
        <v>0</v>
      </c>
      <c r="I1341" s="138">
        <f>IFERROR(G1341/H1341,0)</f>
        <v>0</v>
      </c>
      <c r="J1341" s="117">
        <f>IFERROR(MIN(0.07*(G1334+G1335),0.07*I1323),0)</f>
        <v>0</v>
      </c>
      <c r="K1341" s="120">
        <f>MAX(H1341-G1341,0)</f>
        <v>0</v>
      </c>
      <c r="L1341" s="407"/>
      <c r="M1341" s="393"/>
      <c r="N1341" s="393"/>
      <c r="O1341" s="602"/>
      <c r="P1341" s="620"/>
      <c r="Q1341" s="619"/>
      <c r="R1341" s="596"/>
      <c r="S1341" s="611"/>
      <c r="T1341" s="599">
        <f>G1319</f>
        <v>0</v>
      </c>
      <c r="U1341" s="578"/>
      <c r="V1341" s="579"/>
      <c r="W1341" s="579">
        <f t="shared" si="189"/>
        <v>0</v>
      </c>
      <c r="X1341" s="579"/>
      <c r="Y1341" s="879"/>
      <c r="Z1341" s="121"/>
      <c r="AA1341" s="143"/>
      <c r="AB1341" s="143"/>
      <c r="AC1341" s="504"/>
      <c r="AD1341" s="505"/>
      <c r="AE1341" s="143"/>
      <c r="AF1341" s="140"/>
      <c r="AG1341" s="22"/>
      <c r="AH1341" s="22"/>
      <c r="AI1341" s="22"/>
      <c r="AJ1341" s="22"/>
      <c r="AK1341" s="22"/>
      <c r="AL1341" s="22"/>
      <c r="AM1341" s="22"/>
      <c r="AN1341" s="22"/>
      <c r="AO1341" s="22"/>
      <c r="AP1341" s="22"/>
      <c r="AQ1341" s="22"/>
      <c r="AR1341" s="22"/>
      <c r="AS1341" s="22"/>
      <c r="AT1341" s="22"/>
      <c r="AU1341" s="35"/>
      <c r="AV1341" s="35"/>
      <c r="AW1341" s="35"/>
      <c r="AX1341" s="35"/>
      <c r="AY1341" s="35"/>
      <c r="AZ1341" s="35"/>
      <c r="BA1341" s="35"/>
      <c r="BB1341" s="35"/>
      <c r="BC1341" s="35"/>
      <c r="BD1341" s="35"/>
      <c r="BE1341" s="35"/>
      <c r="BF1341" s="35"/>
      <c r="BG1341" s="35"/>
      <c r="BH1341" s="35"/>
      <c r="BI1341" s="35"/>
      <c r="BJ1341" s="35"/>
      <c r="BK1341" s="35"/>
      <c r="BL1341" s="35"/>
      <c r="BM1341" s="35"/>
      <c r="BN1341" s="35"/>
      <c r="BO1341" s="86"/>
    </row>
    <row r="1342" spans="1:67" ht="15.75" customHeight="1" x14ac:dyDescent="0.25">
      <c r="A1342" s="520">
        <f>IFERROR(VLOOKUP($G$5,'רשימת רשויות'!A:C,3,0),0)</f>
        <v>0</v>
      </c>
      <c r="B1342" s="520">
        <f t="shared" si="184"/>
        <v>0</v>
      </c>
      <c r="D1342" s="1134"/>
      <c r="E1342" s="1137"/>
      <c r="F1342" s="591" t="s">
        <v>15</v>
      </c>
      <c r="G1342" s="134">
        <f>G1339+G1340+G1341</f>
        <v>0</v>
      </c>
      <c r="H1342" s="134">
        <f>H1339+H1340+H1341</f>
        <v>0</v>
      </c>
      <c r="I1342" s="138">
        <f>IFERROR(G1342/H1342,0)</f>
        <v>0</v>
      </c>
      <c r="J1342" s="139">
        <f>J1339+J1340+J1341</f>
        <v>0</v>
      </c>
      <c r="K1342" s="137">
        <f>K1340+K1339+K1341</f>
        <v>0</v>
      </c>
      <c r="L1342" s="408"/>
      <c r="M1342" s="394"/>
      <c r="N1342" s="394"/>
      <c r="O1342" s="602"/>
      <c r="P1342" s="621">
        <f>SUM(P1339:P1340)</f>
        <v>0</v>
      </c>
      <c r="Q1342" s="622">
        <f>Q1339+Q1340</f>
        <v>0</v>
      </c>
      <c r="R1342" s="596"/>
      <c r="S1342" s="611"/>
      <c r="T1342" s="599">
        <f>G1319</f>
        <v>0</v>
      </c>
      <c r="U1342" s="578"/>
      <c r="V1342" s="579"/>
      <c r="W1342" s="579">
        <f t="shared" si="189"/>
        <v>0</v>
      </c>
      <c r="X1342" s="579"/>
      <c r="Y1342" s="879"/>
      <c r="Z1342" s="106"/>
      <c r="AC1342" s="504"/>
      <c r="AD1342" s="505"/>
      <c r="AH1342" s="143"/>
      <c r="BO1342" s="86"/>
    </row>
    <row r="1343" spans="1:67" ht="15.75" customHeight="1" x14ac:dyDescent="0.25">
      <c r="A1343" s="520">
        <f>IFERROR(VLOOKUP($G$5,'רשימת רשויות'!A:C,3,0),0)</f>
        <v>0</v>
      </c>
      <c r="B1343" s="520">
        <f t="shared" si="184"/>
        <v>0</v>
      </c>
      <c r="D1343" s="1134"/>
      <c r="E1343" s="1137"/>
      <c r="F1343" s="589" t="s">
        <v>2261</v>
      </c>
      <c r="G1343" s="117">
        <f>IF(G1324="תקין",SUMIF('תשלומי הורים ומלגות להורים (5) '!$B$18:$B$517,$G1319,'תשלומי הורים ומלגות להורים (5) '!$C$18:$C$517),0)</f>
        <v>0</v>
      </c>
      <c r="H1343" s="117">
        <f>(G1322+G1323)*$G$7</f>
        <v>0</v>
      </c>
      <c r="I1343" s="141"/>
      <c r="J1343" s="141"/>
      <c r="K1343" s="142"/>
      <c r="L1343" s="395"/>
      <c r="M1343" s="395"/>
      <c r="N1343" s="395"/>
      <c r="O1343" s="602"/>
      <c r="P1343" s="623"/>
      <c r="Q1343" s="619"/>
      <c r="R1343" s="596"/>
      <c r="S1343" s="612"/>
      <c r="T1343" s="599">
        <f>G1319</f>
        <v>0</v>
      </c>
      <c r="U1343" s="578"/>
      <c r="V1343" s="579"/>
      <c r="W1343" s="579">
        <f t="shared" si="189"/>
        <v>0</v>
      </c>
      <c r="X1343" s="579"/>
      <c r="Y1343" s="879"/>
      <c r="Z1343" s="121"/>
      <c r="AA1343" s="143"/>
      <c r="AB1343" s="143"/>
      <c r="AC1343" s="504"/>
      <c r="AD1343" s="505"/>
      <c r="AE1343" s="143"/>
      <c r="AF1343" s="148"/>
      <c r="BO1343" s="86"/>
    </row>
    <row r="1344" spans="1:67" ht="15.75" customHeight="1" thickBot="1" x14ac:dyDescent="0.3">
      <c r="A1344" s="520">
        <f>IFERROR(VLOOKUP($G$5,'רשימת רשויות'!A:C,3,0),0)</f>
        <v>0</v>
      </c>
      <c r="B1344" s="520">
        <f t="shared" si="184"/>
        <v>0</v>
      </c>
      <c r="D1344" s="1134"/>
      <c r="E1344" s="1137"/>
      <c r="F1344" s="592" t="s">
        <v>21</v>
      </c>
      <c r="G1344" s="144">
        <f>G1342-G1343</f>
        <v>0</v>
      </c>
      <c r="H1344" s="144">
        <f>H1342-H1343</f>
        <v>0</v>
      </c>
      <c r="I1344" s="145"/>
      <c r="J1344" s="145"/>
      <c r="K1344" s="146"/>
      <c r="L1344" s="396"/>
      <c r="M1344" s="396"/>
      <c r="N1344" s="396"/>
      <c r="O1344" s="602"/>
      <c r="P1344" s="619"/>
      <c r="Q1344" s="619"/>
      <c r="R1344" s="596"/>
      <c r="S1344" s="612"/>
      <c r="T1344" s="599">
        <f>G1319</f>
        <v>0</v>
      </c>
      <c r="U1344" s="578"/>
      <c r="V1344" s="579"/>
      <c r="W1344" s="579">
        <f t="shared" si="189"/>
        <v>0</v>
      </c>
      <c r="X1344" s="579"/>
      <c r="Y1344" s="879"/>
      <c r="Z1344" s="147"/>
      <c r="AA1344" s="148"/>
      <c r="AB1344" s="148"/>
      <c r="AC1344" s="504"/>
      <c r="AD1344" s="505"/>
      <c r="AE1344" s="148"/>
      <c r="AF1344" s="148"/>
      <c r="BO1344" s="86"/>
    </row>
    <row r="1345" spans="1:67" ht="15.75" customHeight="1" thickBot="1" x14ac:dyDescent="0.3">
      <c r="A1345" s="520">
        <f>IFERROR(VLOOKUP($G$5,'רשימת רשויות'!A:C,3,0),0)</f>
        <v>0</v>
      </c>
      <c r="B1345" s="520">
        <f t="shared" si="184"/>
        <v>0</v>
      </c>
      <c r="D1345" s="1134"/>
      <c r="E1345" s="1137"/>
      <c r="F1345" s="580"/>
      <c r="G1345" s="580"/>
      <c r="H1345" s="147"/>
      <c r="I1345" s="149" t="s">
        <v>2197</v>
      </c>
      <c r="J1345" s="150">
        <f>MAX(MIN(P1342,Q1342),0)</f>
        <v>0</v>
      </c>
      <c r="K1345" s="580"/>
      <c r="L1345" s="580"/>
      <c r="M1345" s="580"/>
      <c r="N1345" s="580"/>
      <c r="O1345" s="580"/>
      <c r="P1345" s="615" t="s">
        <v>2317</v>
      </c>
      <c r="Q1345" s="624">
        <f>SUM(Q1346:Q1347)</f>
        <v>0</v>
      </c>
      <c r="R1345" s="596"/>
      <c r="S1345" s="612"/>
      <c r="T1345" s="599">
        <f>G1319</f>
        <v>0</v>
      </c>
      <c r="U1345" s="578"/>
      <c r="V1345" s="579"/>
      <c r="W1345" s="579">
        <f t="shared" si="189"/>
        <v>0</v>
      </c>
      <c r="X1345" s="579"/>
      <c r="Y1345" s="879"/>
      <c r="Z1345" s="106"/>
      <c r="AC1345" s="504"/>
      <c r="AD1345" s="505"/>
      <c r="AF1345" s="148"/>
      <c r="BO1345" s="86"/>
    </row>
    <row r="1346" spans="1:67" ht="16.5" thickBot="1" x14ac:dyDescent="0.3">
      <c r="A1346" s="520">
        <f>IFERROR(VLOOKUP($G$5,'רשימת רשויות'!A:C,3,0),0)</f>
        <v>0</v>
      </c>
      <c r="B1346" s="520">
        <f t="shared" si="184"/>
        <v>0</v>
      </c>
      <c r="D1346" s="1134"/>
      <c r="E1346" s="1137"/>
      <c r="F1346" s="580"/>
      <c r="G1346" s="580"/>
      <c r="H1346" s="580"/>
      <c r="I1346" s="84" t="s">
        <v>2193</v>
      </c>
      <c r="J1346" s="515" t="str">
        <f>IFERROR(1-H1343/H1342,"")</f>
        <v/>
      </c>
      <c r="K1346" s="580"/>
      <c r="L1346" s="580"/>
      <c r="M1346" s="580"/>
      <c r="N1346" s="580"/>
      <c r="O1346" s="580"/>
      <c r="P1346" s="615" t="s">
        <v>417</v>
      </c>
      <c r="Q1346" s="616">
        <f>IFERROR(MAX(H1344-I1347-Q1347,0),0)</f>
        <v>0</v>
      </c>
      <c r="R1346" s="596"/>
      <c r="S1346" s="600"/>
      <c r="T1346" s="599">
        <f>G1319</f>
        <v>0</v>
      </c>
      <c r="U1346" s="578"/>
      <c r="V1346" s="579"/>
      <c r="W1346" s="579">
        <f t="shared" si="189"/>
        <v>0</v>
      </c>
      <c r="X1346" s="579"/>
      <c r="Y1346" s="879"/>
      <c r="Z1346" s="106"/>
      <c r="AC1346" s="504"/>
      <c r="AD1346" s="505"/>
      <c r="BO1346" s="86"/>
    </row>
    <row r="1347" spans="1:67" ht="17.25" thickBot="1" x14ac:dyDescent="0.3">
      <c r="A1347" s="520">
        <f>IFERROR(VLOOKUP($G$5,'רשימת רשויות'!A:C,3,0),0)</f>
        <v>0</v>
      </c>
      <c r="B1347" s="520">
        <f t="shared" si="184"/>
        <v>0</v>
      </c>
      <c r="D1347" s="1134"/>
      <c r="E1347" s="1137"/>
      <c r="F1347" s="1143" t="s">
        <v>2679</v>
      </c>
      <c r="G1347" s="1143"/>
      <c r="H1347" s="1143"/>
      <c r="I1347" s="722">
        <f>IF(G1324="לא תקין","לא קיימת זכאות לתקציב לאור אי איוש משרות רכז ו/או סגן רכז ",IFERROR(J1346*(J1345+J1342),0))</f>
        <v>0</v>
      </c>
      <c r="J1347" s="573"/>
      <c r="K1347" s="574"/>
      <c r="L1347" s="396"/>
      <c r="M1347" s="574"/>
      <c r="N1347" s="574"/>
      <c r="O1347" s="574"/>
      <c r="P1347" s="615" t="s">
        <v>2279</v>
      </c>
      <c r="Q1347" s="616">
        <f>MAX(IF(AND(G1342&gt;H1342,I1347&lt;H1344),H1344-I1347,0),0)</f>
        <v>0</v>
      </c>
      <c r="R1347" s="575"/>
      <c r="S1347" s="576" t="s">
        <v>67</v>
      </c>
      <c r="T1347" s="577">
        <f>G1319</f>
        <v>0</v>
      </c>
      <c r="U1347" s="578"/>
      <c r="V1347" s="579">
        <f>I1347</f>
        <v>0</v>
      </c>
      <c r="W1347" s="579">
        <f>IFERROR(U1347-V1347,0)</f>
        <v>0</v>
      </c>
      <c r="X1347" s="579">
        <f>SUM(X1333:X1346)</f>
        <v>0</v>
      </c>
      <c r="Y1347" s="879"/>
      <c r="Z1347" s="106"/>
      <c r="AC1347" s="506">
        <v>0</v>
      </c>
      <c r="AD1347" s="507">
        <f>IFERROR(U1347-AC1347,0)</f>
        <v>0</v>
      </c>
      <c r="BO1347" s="86"/>
    </row>
    <row r="1348" spans="1:67" ht="16.5" thickBot="1" x14ac:dyDescent="0.3">
      <c r="A1348" s="520">
        <f>IFERROR(VLOOKUP($G$5,'רשימת רשויות'!A:C,3,0),0)</f>
        <v>0</v>
      </c>
      <c r="B1348" s="520">
        <f t="shared" si="184"/>
        <v>0</v>
      </c>
      <c r="D1348" s="1135"/>
      <c r="E1348" s="1138"/>
      <c r="F1348" s="1144" t="s">
        <v>2793</v>
      </c>
      <c r="G1348" s="1145"/>
      <c r="H1348" s="1145"/>
      <c r="I1348" s="593">
        <f>IFERROR(IF(G1324="תקין",SUMIFS('סייעות רפואיות או אישיות (7)'!$Q$17:Q$384,'סייעות רפואיות או אישיות (7)'!C$17:C$384,G1319),0),0)</f>
        <v>0</v>
      </c>
      <c r="J1348" s="151"/>
      <c r="K1348" s="152"/>
      <c r="L1348" s="409"/>
      <c r="M1348" s="152"/>
      <c r="N1348" s="152"/>
      <c r="O1348" s="152"/>
      <c r="P1348" s="613"/>
      <c r="Q1348" s="614"/>
      <c r="R1348" s="475"/>
      <c r="S1348" s="489"/>
      <c r="T1348" s="490"/>
      <c r="U1348" s="491"/>
      <c r="V1348" s="492"/>
      <c r="W1348" s="492"/>
      <c r="X1348" s="492"/>
      <c r="Y1348" s="880"/>
      <c r="Z1348" s="153"/>
      <c r="AC1348" s="581"/>
      <c r="AD1348" s="582"/>
      <c r="BO1348" s="86"/>
    </row>
    <row r="1349" spans="1:67" ht="34.5" thickBot="1" x14ac:dyDescent="0.55000000000000004">
      <c r="A1349" s="520">
        <f>IFERROR(VLOOKUP($G$5,'רשימת רשויות'!A:C,3,0),0)</f>
        <v>0</v>
      </c>
      <c r="B1349" s="520">
        <f t="shared" si="184"/>
        <v>0</v>
      </c>
      <c r="E1349" s="154"/>
      <c r="I1349" s="143"/>
      <c r="J1349" s="148"/>
      <c r="O1349" s="148"/>
      <c r="T1349" s="481"/>
      <c r="BO1349" s="86"/>
    </row>
    <row r="1350" spans="1:67" s="20" customFormat="1" ht="16.5" customHeight="1" thickBot="1" x14ac:dyDescent="0.3">
      <c r="A1350" s="520">
        <f>IFERROR(VLOOKUP($G$5,'רשימת רשויות'!A:C,3,0),0)</f>
        <v>0</v>
      </c>
      <c r="B1350" s="520">
        <f t="shared" si="184"/>
        <v>0</v>
      </c>
      <c r="C1350" s="39"/>
      <c r="D1350" s="1133">
        <f>D1319+1</f>
        <v>44</v>
      </c>
      <c r="E1350" s="1136" t="str">
        <f>IFERROR(CONCATENATE("בית הספר ",VLOOKUP(G1350,'מצבת והרשמה (2)'!$C$21:$D$520,2,0)," - ",$G$5),"")</f>
        <v>בית הספר המוסד לא קיים - 0</v>
      </c>
      <c r="F1350" s="720" t="s">
        <v>146</v>
      </c>
      <c r="G1350" s="721">
        <f>IFERROR(VLOOKUP(D:D,'דוח ביצוע (3)'!$A$21:$C$900,2,0),0)</f>
        <v>0</v>
      </c>
      <c r="H1350" s="79"/>
      <c r="I1350" s="80" t="s">
        <v>150</v>
      </c>
      <c r="J1350" s="80"/>
      <c r="K1350" s="81"/>
      <c r="L1350" s="392"/>
      <c r="M1350" s="392"/>
      <c r="N1350" s="392"/>
      <c r="O1350" s="82"/>
      <c r="P1350" s="470"/>
      <c r="Q1350" s="471"/>
      <c r="R1350" s="472"/>
      <c r="S1350" s="883"/>
      <c r="T1350" s="884"/>
      <c r="U1350" s="486"/>
      <c r="V1350" s="487"/>
      <c r="W1350" s="487"/>
      <c r="X1350" s="487"/>
      <c r="Y1350" s="885"/>
      <c r="Z1350" s="83"/>
      <c r="AC1350" s="502"/>
      <c r="AD1350" s="503"/>
      <c r="AO1350" s="22"/>
      <c r="AP1350" s="22"/>
      <c r="AQ1350" s="22"/>
      <c r="AR1350" s="22"/>
      <c r="AS1350" s="22"/>
      <c r="AT1350" s="22"/>
      <c r="AU1350" s="35"/>
      <c r="AV1350" s="35"/>
      <c r="AW1350" s="35"/>
      <c r="AX1350" s="35"/>
      <c r="AY1350" s="35"/>
      <c r="AZ1350" s="35"/>
      <c r="BA1350" s="35"/>
      <c r="BB1350" s="35"/>
      <c r="BC1350" s="35"/>
      <c r="BD1350" s="35"/>
      <c r="BE1350" s="35"/>
      <c r="BF1350" s="35"/>
      <c r="BG1350" s="35"/>
      <c r="BH1350" s="35"/>
      <c r="BI1350" s="35"/>
      <c r="BJ1350" s="35"/>
      <c r="BK1350" s="35"/>
      <c r="BL1350" s="35"/>
      <c r="BM1350" s="35"/>
      <c r="BN1350" s="35"/>
      <c r="BO1350" s="78"/>
    </row>
    <row r="1351" spans="1:67" s="20" customFormat="1" ht="16.5" thickBot="1" x14ac:dyDescent="0.3">
      <c r="A1351" s="520">
        <f>IFERROR(VLOOKUP($G$5,'רשימת רשויות'!A:C,3,0),0)</f>
        <v>0</v>
      </c>
      <c r="B1351" s="520">
        <f t="shared" si="184"/>
        <v>0</v>
      </c>
      <c r="C1351" s="39"/>
      <c r="D1351" s="1134"/>
      <c r="E1351" s="1137"/>
      <c r="F1351" s="583" t="s">
        <v>145</v>
      </c>
      <c r="G1351" s="516" t="str">
        <f>IFERROR(IF((G1353+G1354)=0,"",IF(VLOOKUP(G1350,'דוח ביצוע (3)'!$B$21:$K$900,5,0)&gt;149,"גדול",IF(AND(VLOOKUP(G1350,'דוח ביצוע (3)'!$B$21:$K$900,5,0)&gt;0,VLOOKUP(G1350,'דוח ביצוע (3)'!$B$21:$K$900,5,0)&lt;150),"קטן",0))),"")</f>
        <v/>
      </c>
      <c r="H1351" s="723" t="s">
        <v>88</v>
      </c>
      <c r="I1351" s="723" t="s">
        <v>13</v>
      </c>
      <c r="J1351" s="725" t="s">
        <v>14</v>
      </c>
      <c r="K1351" s="724" t="s">
        <v>94</v>
      </c>
      <c r="L1351" s="594"/>
      <c r="M1351" s="420" t="s">
        <v>2584</v>
      </c>
      <c r="N1351" s="397" t="s">
        <v>413</v>
      </c>
      <c r="O1351" s="398" t="s">
        <v>52</v>
      </c>
      <c r="P1351" s="595"/>
      <c r="Q1351" s="595"/>
      <c r="R1351" s="596"/>
      <c r="S1351" s="610"/>
      <c r="T1351" s="881"/>
      <c r="U1351" s="598"/>
      <c r="V1351" s="599"/>
      <c r="W1351" s="599"/>
      <c r="X1351" s="599"/>
      <c r="Y1351" s="879"/>
      <c r="Z1351" s="85"/>
      <c r="AC1351" s="493"/>
      <c r="AD1351" s="495"/>
      <c r="AO1351" s="22"/>
      <c r="AP1351" s="22"/>
      <c r="AQ1351" s="22"/>
      <c r="AR1351" s="22"/>
      <c r="AS1351" s="22"/>
      <c r="AT1351" s="22"/>
      <c r="AU1351" s="35"/>
      <c r="AV1351" s="35"/>
      <c r="AW1351" s="35"/>
      <c r="AX1351" s="35"/>
      <c r="AY1351" s="35"/>
      <c r="AZ1351" s="35"/>
      <c r="BA1351" s="35"/>
      <c r="BB1351" s="35"/>
      <c r="BC1351" s="35"/>
      <c r="BD1351" s="35"/>
      <c r="BE1351" s="35"/>
      <c r="BF1351" s="35"/>
      <c r="BG1351" s="35"/>
      <c r="BH1351" s="35"/>
      <c r="BI1351" s="35"/>
      <c r="BJ1351" s="35"/>
      <c r="BK1351" s="35"/>
      <c r="BL1351" s="35"/>
      <c r="BM1351" s="35"/>
      <c r="BN1351" s="35"/>
      <c r="BO1351" s="78"/>
    </row>
    <row r="1352" spans="1:67" s="20" customFormat="1" ht="15.75" customHeight="1" thickBot="1" x14ac:dyDescent="0.3">
      <c r="A1352" s="520">
        <f>IFERROR(VLOOKUP($G$5,'רשימת רשויות'!A:C,3,0),0)</f>
        <v>0</v>
      </c>
      <c r="B1352" s="520">
        <f t="shared" si="184"/>
        <v>0</v>
      </c>
      <c r="C1352" s="39"/>
      <c r="D1352" s="1134"/>
      <c r="E1352" s="1137"/>
      <c r="F1352" s="584" t="s">
        <v>144</v>
      </c>
      <c r="G1352" s="87">
        <f>IF(G1355="תקין",IFERROR(VLOOKUP($G1350,'דוח ביצוע (3)'!$B$21:$Q$900,12,0),0),0)</f>
        <v>0</v>
      </c>
      <c r="H1352" s="88">
        <f>IFERROR(G1353*$AH$6+G1354*$AH$7,0)</f>
        <v>0</v>
      </c>
      <c r="I1352" s="88">
        <f>IFERROR(G1353*$AI$6+G1354*$AI$7,0)</f>
        <v>0</v>
      </c>
      <c r="J1352" s="88">
        <f>IFERROR(G1353*$AJ$6+G1354*$AJ$7,0)</f>
        <v>0</v>
      </c>
      <c r="K1352" s="88">
        <f>IFERROR(G1353*$AK$6+G1354*$AK$7,0)</f>
        <v>0</v>
      </c>
      <c r="L1352" s="405"/>
      <c r="M1352" s="399" t="s">
        <v>427</v>
      </c>
      <c r="N1352" s="400" t="str">
        <f>IFERROR(VLOOKUP($G1350,'דוח ביצוע (3)'!$B:$AE,28,0),"")</f>
        <v/>
      </c>
      <c r="O1352" s="89" t="str">
        <f>IFERROR(VLOOKUP($G1350,'דוח ביצוע (3)'!B:AE,29,0),"")</f>
        <v/>
      </c>
      <c r="P1352" s="595"/>
      <c r="Q1352" s="595"/>
      <c r="R1352" s="596"/>
      <c r="S1352" s="610"/>
      <c r="T1352" s="881"/>
      <c r="U1352" s="598"/>
      <c r="V1352" s="599"/>
      <c r="W1352" s="599"/>
      <c r="X1352" s="599"/>
      <c r="Y1352" s="879"/>
      <c r="Z1352" s="85"/>
      <c r="AC1352" s="493"/>
      <c r="AD1352" s="495"/>
      <c r="AO1352" s="22"/>
      <c r="AP1352" s="22"/>
      <c r="AQ1352" s="22"/>
      <c r="AR1352" s="22"/>
      <c r="AS1352" s="22"/>
      <c r="AT1352" s="22"/>
      <c r="AU1352" s="35"/>
      <c r="AV1352" s="35"/>
      <c r="AW1352" s="35"/>
      <c r="AX1352" s="35"/>
      <c r="AY1352" s="35"/>
      <c r="AZ1352" s="35"/>
      <c r="BA1352" s="35"/>
      <c r="BB1352" s="35"/>
      <c r="BC1352" s="35"/>
      <c r="BD1352" s="35"/>
      <c r="BE1352" s="35"/>
      <c r="BF1352" s="35"/>
      <c r="BG1352" s="35"/>
      <c r="BH1352" s="35"/>
      <c r="BI1352" s="35"/>
      <c r="BJ1352" s="35"/>
      <c r="BK1352" s="35"/>
      <c r="BL1352" s="35"/>
      <c r="BM1352" s="35"/>
      <c r="BN1352" s="35"/>
      <c r="BO1352" s="78"/>
    </row>
    <row r="1353" spans="1:67" s="20" customFormat="1" ht="32.25" thickBot="1" x14ac:dyDescent="0.3">
      <c r="A1353" s="520">
        <f>IFERROR(VLOOKUP($G$5,'רשימת רשויות'!A:C,3,0),0)</f>
        <v>0</v>
      </c>
      <c r="B1353" s="520">
        <f t="shared" si="184"/>
        <v>0</v>
      </c>
      <c r="C1353" s="39"/>
      <c r="D1353" s="1134"/>
      <c r="E1353" s="1137"/>
      <c r="F1353" s="585" t="s">
        <v>2195</v>
      </c>
      <c r="G1353" s="89">
        <f>IF(G1355="תקין",MAX(N1355,0),0)</f>
        <v>0</v>
      </c>
      <c r="H1353" s="725" t="s">
        <v>151</v>
      </c>
      <c r="I1353" s="725" t="s">
        <v>91</v>
      </c>
      <c r="J1353" s="970" t="s">
        <v>3396</v>
      </c>
      <c r="K1353" s="601"/>
      <c r="L1353" s="601"/>
      <c r="M1353" s="983" t="s">
        <v>2585</v>
      </c>
      <c r="N1353" s="400" t="str">
        <f>IFERROR(G1352/15*N1352*1.25,"")</f>
        <v/>
      </c>
      <c r="O1353" s="89" t="str">
        <f>IFERROR(G1352/15*O1352*1.25,"")</f>
        <v/>
      </c>
      <c r="P1353" s="595"/>
      <c r="Q1353" s="595"/>
      <c r="R1353" s="596"/>
      <c r="S1353" s="610"/>
      <c r="T1353" s="881"/>
      <c r="U1353" s="598"/>
      <c r="V1353" s="599"/>
      <c r="W1353" s="599"/>
      <c r="X1353" s="599"/>
      <c r="Y1353" s="879"/>
      <c r="Z1353" s="85"/>
      <c r="AC1353" s="493"/>
      <c r="AD1353" s="495"/>
      <c r="AG1353" s="22"/>
      <c r="AH1353" s="55"/>
      <c r="AI1353" s="55"/>
      <c r="AJ1353" s="55"/>
      <c r="AK1353" s="55"/>
      <c r="AO1353" s="22"/>
      <c r="AP1353" s="22"/>
      <c r="AQ1353" s="22"/>
      <c r="AR1353" s="22"/>
      <c r="AS1353" s="22"/>
      <c r="AT1353" s="22"/>
      <c r="AU1353" s="35"/>
      <c r="AV1353" s="35"/>
      <c r="AW1353" s="35"/>
      <c r="AX1353" s="35"/>
      <c r="AY1353" s="35"/>
      <c r="AZ1353" s="35"/>
      <c r="BA1353" s="35"/>
      <c r="BB1353" s="35"/>
      <c r="BC1353" s="35"/>
      <c r="BD1353" s="35"/>
      <c r="BE1353" s="35"/>
      <c r="BF1353" s="35"/>
      <c r="BG1353" s="35"/>
      <c r="BH1353" s="35"/>
      <c r="BI1353" s="35"/>
      <c r="BJ1353" s="35"/>
      <c r="BK1353" s="35"/>
      <c r="BL1353" s="35"/>
      <c r="BM1353" s="35"/>
      <c r="BN1353" s="35"/>
      <c r="BO1353" s="86"/>
    </row>
    <row r="1354" spans="1:67" s="20" customFormat="1" ht="16.5" thickBot="1" x14ac:dyDescent="0.3">
      <c r="A1354" s="520">
        <f>IFERROR(VLOOKUP($G$5,'רשימת רשויות'!A:C,3,0),0)</f>
        <v>0</v>
      </c>
      <c r="B1354" s="520">
        <f t="shared" si="184"/>
        <v>0</v>
      </c>
      <c r="C1354" s="39"/>
      <c r="D1354" s="1134"/>
      <c r="E1354" s="1137"/>
      <c r="F1354" s="585" t="s">
        <v>2196</v>
      </c>
      <c r="G1354" s="89">
        <f>IF(G1355="תקין",MAX(O1355,0),0)</f>
        <v>0</v>
      </c>
      <c r="H1354" s="88">
        <f>(IFERROR(IF((G1353+G1354)=0,0,IF(G1351="קטן",G1352*$AH$10,G1352*$AH$11)),0))+(IFERROR(IF((G1353+G1354)=0,0,VLOOKUP(G1350,'דוח ביצוע (3)'!$B:$AH,33,0)),0))</f>
        <v>0</v>
      </c>
      <c r="I1354" s="88">
        <f>IFERROR(IF((G1353+G1354)=0,0,IF(G1351="קטן",G1352*$AI$10,G1352*$AI$11)),0)</f>
        <v>0</v>
      </c>
      <c r="J1354" s="88">
        <f>IFERROR(IF((G1353+G1354)=0,0,VLOOKUP(G1350,'דוח ביצוע (3)'!$B:$AH,32,0)),0)</f>
        <v>0</v>
      </c>
      <c r="K1354" s="90"/>
      <c r="L1354" s="90"/>
      <c r="M1354" s="399" t="s">
        <v>412</v>
      </c>
      <c r="N1354" s="400">
        <f>IFERROR(VLOOKUP($G1350,'דוח ביצוע (3)'!$B$21:$U$500,18,0),0)</f>
        <v>0</v>
      </c>
      <c r="O1354" s="401">
        <f>IFERROR(VLOOKUP($G1350,'דוח ביצוע (3)'!$B$21:$U$500,19,0),0)</f>
        <v>0</v>
      </c>
      <c r="P1354" s="595"/>
      <c r="Q1354" s="595"/>
      <c r="R1354" s="596"/>
      <c r="S1354" s="610"/>
      <c r="T1354" s="881"/>
      <c r="U1354" s="598"/>
      <c r="V1354" s="599"/>
      <c r="W1354" s="599"/>
      <c r="X1354" s="599"/>
      <c r="Y1354" s="879"/>
      <c r="Z1354" s="85"/>
      <c r="AC1354" s="493"/>
      <c r="AD1354" s="495"/>
      <c r="AG1354" s="22"/>
      <c r="AH1354" s="55"/>
      <c r="AI1354" s="55"/>
      <c r="AJ1354" s="55"/>
      <c r="AK1354" s="55"/>
      <c r="AO1354" s="22"/>
      <c r="AP1354" s="22"/>
      <c r="AQ1354" s="22"/>
      <c r="AR1354" s="22"/>
      <c r="AS1354" s="22"/>
      <c r="AT1354" s="22"/>
      <c r="AU1354" s="35"/>
      <c r="AV1354" s="35"/>
      <c r="AW1354" s="35"/>
      <c r="AX1354" s="35"/>
      <c r="AY1354" s="35"/>
      <c r="AZ1354" s="35"/>
      <c r="BA1354" s="35"/>
      <c r="BB1354" s="35"/>
      <c r="BC1354" s="35"/>
      <c r="BD1354" s="35"/>
      <c r="BE1354" s="35"/>
      <c r="BF1354" s="35"/>
      <c r="BG1354" s="35"/>
      <c r="BH1354" s="35"/>
      <c r="BI1354" s="35"/>
      <c r="BJ1354" s="35"/>
      <c r="BK1354" s="35"/>
      <c r="BL1354" s="35"/>
      <c r="BM1354" s="35"/>
      <c r="BN1354" s="35"/>
      <c r="BO1354" s="86"/>
    </row>
    <row r="1355" spans="1:67" s="20" customFormat="1" ht="16.5" thickBot="1" x14ac:dyDescent="0.3">
      <c r="A1355" s="520">
        <f>IFERROR(VLOOKUP($G$5,'רשימת רשויות'!A:C,3,0),0)</f>
        <v>0</v>
      </c>
      <c r="B1355" s="520">
        <f t="shared" si="184"/>
        <v>0</v>
      </c>
      <c r="C1355" s="39"/>
      <c r="D1355" s="1134"/>
      <c r="E1355" s="1137"/>
      <c r="F1355" s="586" t="s">
        <v>2355</v>
      </c>
      <c r="G1355" s="514">
        <f>IFERROR(IF(VLOOKUP('בית ספר - תקצוב לפי מוסד (9)'!G1350,' איוש משרות (8)'!$C:$K,9,0)="תקין","תקין","לא תקין"),0)</f>
        <v>0</v>
      </c>
      <c r="H1355" s="91"/>
      <c r="I1355" s="91"/>
      <c r="J1355" s="91"/>
      <c r="K1355" s="90"/>
      <c r="L1355" s="90"/>
      <c r="M1355" s="402" t="s">
        <v>2586</v>
      </c>
      <c r="N1355" s="403">
        <f>IFERROR(MIN(N1353,N1354),0)</f>
        <v>0</v>
      </c>
      <c r="O1355" s="404">
        <f>IFERROR(MIN(O1353,O1354),0)</f>
        <v>0</v>
      </c>
      <c r="P1355" s="595"/>
      <c r="Q1355" s="595"/>
      <c r="R1355" s="596"/>
      <c r="S1355" s="610"/>
      <c r="T1355" s="881"/>
      <c r="U1355" s="598"/>
      <c r="V1355" s="599"/>
      <c r="W1355" s="599"/>
      <c r="X1355" s="599"/>
      <c r="Y1355" s="879"/>
      <c r="Z1355" s="85"/>
      <c r="AC1355" s="493"/>
      <c r="AD1355" s="495"/>
      <c r="AG1355" s="94"/>
      <c r="AH1355" s="40"/>
      <c r="AI1355" s="40"/>
      <c r="AJ1355" s="40"/>
      <c r="AK1355" s="40"/>
      <c r="AO1355" s="22"/>
      <c r="AP1355" s="22"/>
      <c r="AQ1355" s="22"/>
      <c r="AR1355" s="22"/>
      <c r="AS1355" s="22"/>
      <c r="AT1355" s="22"/>
      <c r="AU1355" s="35"/>
      <c r="AV1355" s="35"/>
      <c r="AW1355" s="35"/>
      <c r="AX1355" s="35"/>
      <c r="AY1355" s="35"/>
      <c r="AZ1355" s="35"/>
      <c r="BA1355" s="35"/>
      <c r="BB1355" s="35"/>
      <c r="BC1355" s="35"/>
      <c r="BD1355" s="35"/>
      <c r="BE1355" s="35"/>
      <c r="BF1355" s="35"/>
      <c r="BG1355" s="35"/>
      <c r="BH1355" s="35"/>
      <c r="BI1355" s="35"/>
      <c r="BJ1355" s="35"/>
      <c r="BK1355" s="35"/>
      <c r="BL1355" s="35"/>
      <c r="BM1355" s="35"/>
      <c r="BN1355" s="35"/>
      <c r="BO1355" s="86"/>
    </row>
    <row r="1356" spans="1:67" s="55" customFormat="1" ht="37.15" customHeight="1" thickBot="1" x14ac:dyDescent="0.3">
      <c r="A1356" s="520">
        <f>IFERROR(VLOOKUP($G$5,'רשימת רשויות'!A:C,3,0),0)</f>
        <v>0</v>
      </c>
      <c r="B1356" s="520">
        <f t="shared" si="184"/>
        <v>0</v>
      </c>
      <c r="C1356" s="39"/>
      <c r="D1356" s="1134"/>
      <c r="E1356" s="1137"/>
      <c r="F1356" s="587" t="s">
        <v>142</v>
      </c>
      <c r="G1356" s="92"/>
      <c r="H1356" s="92"/>
      <c r="I1356" s="92"/>
      <c r="J1356" s="92"/>
      <c r="K1356" s="602"/>
      <c r="L1356" s="602"/>
      <c r="M1356" s="602"/>
      <c r="N1356" s="602"/>
      <c r="O1356" s="602"/>
      <c r="P1356" s="595"/>
      <c r="Q1356" s="595"/>
      <c r="R1356" s="596"/>
      <c r="S1356" s="610"/>
      <c r="T1356" s="881"/>
      <c r="U1356" s="598"/>
      <c r="V1356" s="599"/>
      <c r="W1356" s="599"/>
      <c r="X1356" s="599"/>
      <c r="Y1356" s="879"/>
      <c r="Z1356" s="93"/>
      <c r="AC1356" s="493"/>
      <c r="AD1356" s="495"/>
      <c r="AF1356" s="22"/>
      <c r="AG1356" s="98"/>
      <c r="AH1356" s="98"/>
      <c r="AI1356" s="40"/>
      <c r="AJ1356" s="40"/>
      <c r="AK1356" s="40"/>
      <c r="AO1356" s="22"/>
      <c r="AP1356" s="22"/>
      <c r="AQ1356" s="22"/>
      <c r="AR1356" s="22"/>
      <c r="AS1356" s="22"/>
      <c r="AT1356" s="22"/>
      <c r="AU1356" s="35"/>
      <c r="AV1356" s="35"/>
      <c r="AW1356" s="35"/>
      <c r="AX1356" s="35"/>
      <c r="AY1356" s="35"/>
      <c r="AZ1356" s="35"/>
      <c r="BA1356" s="35"/>
      <c r="BB1356" s="35"/>
      <c r="BC1356" s="35"/>
      <c r="BD1356" s="35"/>
      <c r="BE1356" s="35"/>
      <c r="BF1356" s="35"/>
      <c r="BG1356" s="35"/>
      <c r="BH1356" s="35"/>
      <c r="BI1356" s="35"/>
      <c r="BJ1356" s="35"/>
      <c r="BK1356" s="35"/>
      <c r="BL1356" s="35"/>
      <c r="BM1356" s="35"/>
      <c r="BN1356" s="35"/>
      <c r="BO1356" s="86"/>
    </row>
    <row r="1357" spans="1:67" s="40" customFormat="1" ht="31.5" x14ac:dyDescent="0.25">
      <c r="A1357" s="520">
        <f>IFERROR(VLOOKUP($G$5,'רשימת רשויות'!A:C,3,0),0)</f>
        <v>0</v>
      </c>
      <c r="B1357" s="520">
        <f t="shared" si="184"/>
        <v>0</v>
      </c>
      <c r="C1357" s="39"/>
      <c r="D1357" s="1134"/>
      <c r="E1357" s="1137"/>
      <c r="F1357" s="588" t="s">
        <v>94</v>
      </c>
      <c r="G1357" s="95" t="s">
        <v>18</v>
      </c>
      <c r="H1357" s="95" t="s">
        <v>19</v>
      </c>
      <c r="I1357" s="95" t="s">
        <v>138</v>
      </c>
      <c r="J1357" s="96" t="s">
        <v>139</v>
      </c>
      <c r="K1357" s="603"/>
      <c r="L1357" s="603"/>
      <c r="M1357" s="603"/>
      <c r="N1357" s="603"/>
      <c r="O1357" s="603"/>
      <c r="P1357" s="604"/>
      <c r="Q1357" s="604"/>
      <c r="R1357" s="596"/>
      <c r="S1357" s="610"/>
      <c r="T1357" s="881"/>
      <c r="U1357" s="598"/>
      <c r="V1357" s="599"/>
      <c r="W1357" s="599"/>
      <c r="X1357" s="599"/>
      <c r="Y1357" s="879"/>
      <c r="Z1357" s="97"/>
      <c r="AA1357" s="94"/>
      <c r="AB1357" s="94"/>
      <c r="AC1357" s="493"/>
      <c r="AD1357" s="495"/>
      <c r="AE1357" s="94"/>
      <c r="AG1357" s="98"/>
      <c r="AH1357" s="98"/>
      <c r="AO1357" s="22"/>
      <c r="AP1357" s="22"/>
      <c r="AQ1357" s="22"/>
      <c r="AR1357" s="22"/>
      <c r="AS1357" s="22"/>
      <c r="AT1357" s="22"/>
      <c r="AU1357" s="35"/>
      <c r="AV1357" s="35"/>
      <c r="AW1357" s="35"/>
      <c r="AX1357" s="35"/>
      <c r="AY1357" s="35"/>
      <c r="AZ1357" s="35"/>
      <c r="BA1357" s="35"/>
      <c r="BB1357" s="35"/>
      <c r="BC1357" s="35"/>
      <c r="BD1357" s="35"/>
      <c r="BE1357" s="35"/>
      <c r="BF1357" s="35"/>
      <c r="BG1357" s="35"/>
      <c r="BH1357" s="35"/>
      <c r="BI1357" s="35"/>
      <c r="BJ1357" s="35"/>
      <c r="BK1357" s="35"/>
      <c r="BL1357" s="35"/>
      <c r="BM1357" s="35"/>
      <c r="BN1357" s="35"/>
      <c r="BO1357" s="86"/>
    </row>
    <row r="1358" spans="1:67" s="40" customFormat="1" ht="15.75" customHeight="1" thickBot="1" x14ac:dyDescent="0.3">
      <c r="A1358" s="520">
        <f>IFERROR(VLOOKUP($G$5,'רשימת רשויות'!A:C,3,0),0)</f>
        <v>0</v>
      </c>
      <c r="B1358" s="520">
        <f t="shared" ref="B1358:B1421" si="193">IF(F1359="סמל המוסד",G1359,B1357)</f>
        <v>0</v>
      </c>
      <c r="C1358" s="39"/>
      <c r="D1358" s="1134"/>
      <c r="E1358" s="1137"/>
      <c r="F1358" s="589" t="s">
        <v>2280</v>
      </c>
      <c r="G1358" s="99">
        <f>+G1369</f>
        <v>0</v>
      </c>
      <c r="H1358" s="100">
        <f>K1352</f>
        <v>0</v>
      </c>
      <c r="I1358" s="100">
        <f>H1358-I1360</f>
        <v>0</v>
      </c>
      <c r="J1358" s="101">
        <f>IFERROR(I1358/H1358,0)</f>
        <v>0</v>
      </c>
      <c r="K1358" s="603"/>
      <c r="L1358" s="603"/>
      <c r="M1358" s="603"/>
      <c r="N1358" s="603"/>
      <c r="O1358" s="603"/>
      <c r="P1358" s="605"/>
      <c r="Q1358" s="604"/>
      <c r="R1358" s="606" t="s">
        <v>157</v>
      </c>
      <c r="S1358" s="611"/>
      <c r="T1358" s="881"/>
      <c r="U1358" s="598"/>
      <c r="V1358" s="599"/>
      <c r="W1358" s="599"/>
      <c r="X1358" s="599"/>
      <c r="Y1358" s="879"/>
      <c r="Z1358" s="102"/>
      <c r="AA1358" s="122"/>
      <c r="AB1358" s="122"/>
      <c r="AC1358" s="493"/>
      <c r="AD1358" s="495"/>
      <c r="AE1358" s="122"/>
      <c r="AF1358" s="22"/>
      <c r="AG1358" s="98"/>
      <c r="AH1358" s="98"/>
      <c r="AI1358" s="20"/>
      <c r="AO1358" s="22"/>
      <c r="AP1358" s="22"/>
      <c r="AQ1358" s="22"/>
      <c r="AR1358" s="22"/>
      <c r="AS1358" s="22"/>
      <c r="AT1358" s="22"/>
      <c r="AU1358" s="35"/>
      <c r="AV1358" s="35"/>
      <c r="AW1358" s="35"/>
      <c r="AX1358" s="35"/>
      <c r="AY1358" s="35"/>
      <c r="AZ1358" s="35"/>
      <c r="BA1358" s="35"/>
      <c r="BB1358" s="35"/>
      <c r="BC1358" s="35"/>
      <c r="BD1358" s="35"/>
      <c r="BE1358" s="35"/>
      <c r="BF1358" s="35"/>
      <c r="BG1358" s="35"/>
      <c r="BH1358" s="35"/>
      <c r="BI1358" s="35"/>
      <c r="BJ1358" s="35"/>
      <c r="BK1358" s="35"/>
      <c r="BL1358" s="35"/>
      <c r="BM1358" s="35"/>
      <c r="BN1358" s="35"/>
      <c r="BO1358" s="86"/>
    </row>
    <row r="1359" spans="1:67" s="40" customFormat="1" ht="15.75" customHeight="1" thickBot="1" x14ac:dyDescent="0.3">
      <c r="A1359" s="520">
        <f>IFERROR(VLOOKUP($G$5,'רשימת רשויות'!A:C,3,0),0)</f>
        <v>0</v>
      </c>
      <c r="B1359" s="520">
        <f t="shared" si="193"/>
        <v>0</v>
      </c>
      <c r="C1359" s="39"/>
      <c r="D1359" s="1134"/>
      <c r="E1359" s="1137"/>
      <c r="F1359" s="589" t="s">
        <v>2281</v>
      </c>
      <c r="G1359" s="99">
        <f>+G1368</f>
        <v>0</v>
      </c>
      <c r="H1359" s="103"/>
      <c r="I1359" s="104"/>
      <c r="J1359" s="105"/>
      <c r="K1359" s="603"/>
      <c r="L1359" s="603"/>
      <c r="M1359" s="603"/>
      <c r="N1359" s="603"/>
      <c r="O1359" s="603"/>
      <c r="P1359" s="605"/>
      <c r="Q1359" s="604"/>
      <c r="R1359" s="473">
        <f>I1360-R1361</f>
        <v>0</v>
      </c>
      <c r="S1359" s="611"/>
      <c r="T1359" s="881"/>
      <c r="U1359" s="598"/>
      <c r="V1359" s="599"/>
      <c r="W1359" s="599"/>
      <c r="X1359" s="599"/>
      <c r="Y1359" s="879"/>
      <c r="Z1359" s="106"/>
      <c r="AA1359" s="22"/>
      <c r="AB1359" s="22"/>
      <c r="AC1359" s="493"/>
      <c r="AD1359" s="495"/>
      <c r="AE1359" s="22"/>
      <c r="AF1359" s="22"/>
      <c r="AG1359" s="98"/>
      <c r="AH1359" s="98"/>
      <c r="AI1359" s="20"/>
      <c r="AO1359" s="22"/>
      <c r="AP1359" s="22"/>
      <c r="AQ1359" s="22"/>
      <c r="AR1359" s="22"/>
      <c r="AS1359" s="22"/>
      <c r="AT1359" s="22"/>
      <c r="AU1359" s="35"/>
      <c r="AV1359" s="35"/>
      <c r="AW1359" s="35"/>
      <c r="AX1359" s="35"/>
      <c r="AY1359" s="35"/>
      <c r="AZ1359" s="35"/>
      <c r="BA1359" s="35"/>
      <c r="BB1359" s="35"/>
      <c r="BC1359" s="35"/>
      <c r="BD1359" s="35"/>
      <c r="BE1359" s="35"/>
      <c r="BF1359" s="35"/>
      <c r="BG1359" s="35"/>
      <c r="BH1359" s="35"/>
      <c r="BI1359" s="35"/>
      <c r="BJ1359" s="35"/>
      <c r="BK1359" s="35"/>
      <c r="BL1359" s="35"/>
      <c r="BM1359" s="35"/>
      <c r="BN1359" s="35"/>
      <c r="BO1359" s="86"/>
    </row>
    <row r="1360" spans="1:67" s="40" customFormat="1" ht="16.5" customHeight="1" thickBot="1" x14ac:dyDescent="0.3">
      <c r="A1360" s="520">
        <f>IFERROR(VLOOKUP($G$5,'רשימת רשויות'!A:C,3,0),0)</f>
        <v>0</v>
      </c>
      <c r="B1360" s="520">
        <f t="shared" si="193"/>
        <v>0</v>
      </c>
      <c r="C1360" s="39"/>
      <c r="D1360" s="1134"/>
      <c r="E1360" s="1137"/>
      <c r="F1360" s="589" t="s">
        <v>2282</v>
      </c>
      <c r="G1360" s="99">
        <f>G1364+G1365+G1366</f>
        <v>0</v>
      </c>
      <c r="H1360" s="104"/>
      <c r="I1360" s="107">
        <f>MAX(H1358-G1358-G1359,0)</f>
        <v>0</v>
      </c>
      <c r="J1360" s="108">
        <f>IFERROR(I1360/H1358,0)</f>
        <v>0</v>
      </c>
      <c r="K1360" s="603"/>
      <c r="L1360" s="603"/>
      <c r="M1360" s="603"/>
      <c r="N1360" s="603"/>
      <c r="O1360" s="603"/>
      <c r="P1360" s="604"/>
      <c r="Q1360" s="604"/>
      <c r="R1360" s="606" t="s">
        <v>158</v>
      </c>
      <c r="S1360" s="612"/>
      <c r="T1360" s="881"/>
      <c r="U1360" s="598"/>
      <c r="V1360" s="599"/>
      <c r="W1360" s="599"/>
      <c r="X1360" s="599"/>
      <c r="Y1360" s="879"/>
      <c r="Z1360" s="106"/>
      <c r="AA1360" s="22"/>
      <c r="AB1360" s="22"/>
      <c r="AC1360" s="493"/>
      <c r="AD1360" s="495"/>
      <c r="AE1360" s="22"/>
      <c r="AF1360" s="22"/>
      <c r="AG1360" s="22"/>
      <c r="AH1360" s="22"/>
      <c r="AI1360" s="55"/>
      <c r="AJ1360" s="22"/>
      <c r="AK1360" s="22"/>
      <c r="AO1360" s="22"/>
      <c r="AP1360" s="22"/>
      <c r="AQ1360" s="22"/>
      <c r="AR1360" s="22"/>
      <c r="AS1360" s="22"/>
      <c r="AT1360" s="22"/>
      <c r="AU1360" s="35"/>
      <c r="AV1360" s="35"/>
      <c r="AW1360" s="35"/>
      <c r="AX1360" s="35"/>
      <c r="AY1360" s="35"/>
      <c r="AZ1360" s="35"/>
      <c r="BA1360" s="35"/>
      <c r="BB1360" s="35"/>
      <c r="BC1360" s="35"/>
      <c r="BD1360" s="35"/>
      <c r="BE1360" s="35"/>
      <c r="BF1360" s="35"/>
      <c r="BG1360" s="35"/>
      <c r="BH1360" s="35"/>
      <c r="BI1360" s="35"/>
      <c r="BJ1360" s="35"/>
      <c r="BK1360" s="35"/>
      <c r="BL1360" s="35"/>
      <c r="BM1360" s="35"/>
      <c r="BN1360" s="35"/>
      <c r="BO1360" s="86"/>
    </row>
    <row r="1361" spans="1:67" s="40" customFormat="1" ht="15.75" customHeight="1" thickBot="1" x14ac:dyDescent="0.3">
      <c r="A1361" s="520">
        <f>IFERROR(VLOOKUP($G$5,'רשימת רשויות'!A:C,3,0),0)</f>
        <v>0</v>
      </c>
      <c r="B1361" s="520">
        <f t="shared" si="193"/>
        <v>0</v>
      </c>
      <c r="C1361" s="39"/>
      <c r="D1361" s="1134"/>
      <c r="E1361" s="1137"/>
      <c r="F1361" s="590" t="s">
        <v>2290</v>
      </c>
      <c r="G1361" s="109"/>
      <c r="H1361" s="110"/>
      <c r="I1361" s="111">
        <f>SUM(I1358:I1360)</f>
        <v>0</v>
      </c>
      <c r="J1361" s="112">
        <f>SUM(J1358:J1360)</f>
        <v>0</v>
      </c>
      <c r="K1361" s="603"/>
      <c r="L1361" s="603"/>
      <c r="M1361" s="603"/>
      <c r="N1361" s="603"/>
      <c r="O1361" s="603"/>
      <c r="P1361" s="604"/>
      <c r="Q1361" s="604"/>
      <c r="R1361" s="473">
        <f>MIN(MAX(G1365+G1366-I1354-J1354,0),I1360)</f>
        <v>0</v>
      </c>
      <c r="S1361" s="612"/>
      <c r="T1361" s="881"/>
      <c r="U1361" s="598"/>
      <c r="V1361" s="599"/>
      <c r="W1361" s="599"/>
      <c r="X1361" s="599"/>
      <c r="Y1361" s="879"/>
      <c r="Z1361" s="106"/>
      <c r="AA1361" s="22"/>
      <c r="AB1361" s="22"/>
      <c r="AC1361" s="493"/>
      <c r="AD1361" s="495"/>
      <c r="AE1361" s="22"/>
      <c r="AF1361" s="22"/>
      <c r="AG1361" s="22"/>
      <c r="AH1361" s="22"/>
      <c r="AJ1361" s="22"/>
      <c r="AK1361" s="22"/>
      <c r="AO1361" s="22"/>
      <c r="AP1361" s="22"/>
      <c r="AQ1361" s="22"/>
      <c r="AR1361" s="22"/>
      <c r="AS1361" s="22"/>
      <c r="AT1361" s="22"/>
      <c r="AU1361" s="35"/>
      <c r="AV1361" s="35"/>
      <c r="AW1361" s="35"/>
      <c r="AX1361" s="35"/>
      <c r="AY1361" s="35"/>
      <c r="AZ1361" s="35"/>
      <c r="BA1361" s="35"/>
      <c r="BB1361" s="35"/>
      <c r="BC1361" s="35"/>
      <c r="BD1361" s="35"/>
      <c r="BE1361" s="35"/>
      <c r="BF1361" s="35"/>
      <c r="BG1361" s="35"/>
      <c r="BH1361" s="35"/>
      <c r="BI1361" s="35"/>
      <c r="BJ1361" s="35"/>
      <c r="BK1361" s="35"/>
      <c r="BL1361" s="35"/>
      <c r="BM1361" s="35"/>
      <c r="BN1361" s="35"/>
      <c r="BO1361" s="86"/>
    </row>
    <row r="1362" spans="1:67" ht="16.5" thickBot="1" x14ac:dyDescent="0.3">
      <c r="A1362" s="520">
        <f>IFERROR(VLOOKUP($G$5,'רשימת רשויות'!A:C,3,0),0)</f>
        <v>0</v>
      </c>
      <c r="B1362" s="520">
        <f t="shared" si="193"/>
        <v>0</v>
      </c>
      <c r="D1362" s="1134"/>
      <c r="E1362" s="1137"/>
      <c r="F1362" s="587" t="s">
        <v>17</v>
      </c>
      <c r="G1362" s="113"/>
      <c r="H1362" s="92"/>
      <c r="I1362" s="114"/>
      <c r="J1362" s="115"/>
      <c r="K1362" s="116"/>
      <c r="L1362" s="406"/>
      <c r="M1362" s="116"/>
      <c r="N1362" s="116"/>
      <c r="O1362" s="116"/>
      <c r="P1362" s="474"/>
      <c r="Q1362" s="607"/>
      <c r="R1362" s="608"/>
      <c r="S1362" s="612"/>
      <c r="T1362" s="881"/>
      <c r="U1362" s="598"/>
      <c r="V1362" s="599"/>
      <c r="W1362" s="599"/>
      <c r="X1362" s="599"/>
      <c r="Y1362" s="879"/>
      <c r="Z1362" s="106"/>
      <c r="AI1362" s="40"/>
      <c r="BO1362" s="86"/>
    </row>
    <row r="1363" spans="1:67" ht="47.25" x14ac:dyDescent="0.25">
      <c r="A1363" s="520">
        <f>IFERROR(VLOOKUP($G$5,'רשימת רשויות'!A:C,3,0),0)</f>
        <v>0</v>
      </c>
      <c r="B1363" s="520">
        <f t="shared" si="193"/>
        <v>0</v>
      </c>
      <c r="D1363" s="1134"/>
      <c r="E1363" s="1137"/>
      <c r="F1363" s="588" t="s">
        <v>2</v>
      </c>
      <c r="G1363" s="95" t="s">
        <v>18</v>
      </c>
      <c r="H1363" s="95" t="s">
        <v>19</v>
      </c>
      <c r="I1363" s="95" t="s">
        <v>20</v>
      </c>
      <c r="J1363" s="95" t="s">
        <v>22</v>
      </c>
      <c r="K1363" s="96" t="s">
        <v>2314</v>
      </c>
      <c r="L1363" s="609"/>
      <c r="M1363" s="609"/>
      <c r="N1363" s="609"/>
      <c r="O1363" s="580"/>
      <c r="P1363" s="618" t="s">
        <v>2298</v>
      </c>
      <c r="Q1363" s="618" t="s">
        <v>2299</v>
      </c>
      <c r="R1363" s="596"/>
      <c r="S1363" s="890" t="s">
        <v>2519</v>
      </c>
      <c r="T1363" s="890" t="s">
        <v>97</v>
      </c>
      <c r="U1363" s="891" t="s">
        <v>2521</v>
      </c>
      <c r="V1363" s="892" t="s">
        <v>2520</v>
      </c>
      <c r="W1363" s="893" t="s">
        <v>2524</v>
      </c>
      <c r="X1363" s="892" t="s">
        <v>2522</v>
      </c>
      <c r="Y1363" s="894" t="s">
        <v>2523</v>
      </c>
      <c r="Z1363" s="106"/>
      <c r="AC1363" s="498" t="s">
        <v>2568</v>
      </c>
      <c r="AD1363" s="499" t="s">
        <v>2569</v>
      </c>
      <c r="AF1363" s="122"/>
      <c r="AI1363" s="40"/>
      <c r="BO1363" s="86"/>
    </row>
    <row r="1364" spans="1:67" ht="15" customHeight="1" thickBot="1" x14ac:dyDescent="0.3">
      <c r="A1364" s="520">
        <f>IFERROR(VLOOKUP($G$5,'רשימת רשויות'!A:C,3,0),0)</f>
        <v>0</v>
      </c>
      <c r="B1364" s="520">
        <f t="shared" si="193"/>
        <v>0</v>
      </c>
      <c r="D1364" s="1134"/>
      <c r="E1364" s="1137"/>
      <c r="F1364" s="589" t="s">
        <v>76</v>
      </c>
      <c r="G1364" s="117">
        <f>IF(G1355="תקין",SUMIF('עלויות כח אדם (6)'!$B$15:$B$3014,'בית ספר - תקצוב לפי מוסד (9)'!$G1350,'עלויות כח אדם (6)'!$M$15:$M$3014)-VLOOKUP('בית ספר - תקצוב לפי מוסד (9)'!G1350,' איוש משרות (8)'!$C:$H,5,0)-VLOOKUP('בית ספר - תקצוב לפי מוסד (9)'!G1350,' איוש משרות (8)'!$C:$H,6,0),0)-Y1364</f>
        <v>0</v>
      </c>
      <c r="H1364" s="118">
        <f>I1352+R1359</f>
        <v>0</v>
      </c>
      <c r="I1364" s="119">
        <f>IFERROR(SUM(G1364)/H1364,0)</f>
        <v>0</v>
      </c>
      <c r="J1364" s="100">
        <f>MIN(I1352+R1359,IF(ISNUMBER(G1364),G1364,0))</f>
        <v>0</v>
      </c>
      <c r="K1364" s="120">
        <f>MAX(H1364-G1364,0)</f>
        <v>0</v>
      </c>
      <c r="L1364" s="407"/>
      <c r="M1364" s="393"/>
      <c r="N1364" s="393"/>
      <c r="O1364" s="580"/>
      <c r="P1364" s="968">
        <f>IFERROR(IF(SUM(G1364)/(I1352)&lt;100%,MIN((I1352)-SUM(G1364),(I1352)*0.25),0),0)</f>
        <v>0</v>
      </c>
      <c r="Q1364" s="968">
        <f>IF(SUM(G1364)-(I1352+R1359)&gt;0,SUM(G1364)-(I1352+R1359),0)</f>
        <v>0</v>
      </c>
      <c r="R1364" s="596" t="s">
        <v>2351</v>
      </c>
      <c r="S1364" s="576" t="s">
        <v>2342</v>
      </c>
      <c r="T1364" s="599">
        <f>G1350</f>
        <v>0</v>
      </c>
      <c r="U1364" s="578"/>
      <c r="V1364" s="579">
        <f>G1364+G1365+G1366</f>
        <v>0</v>
      </c>
      <c r="W1364" s="579">
        <f>U1364-V1364</f>
        <v>0</v>
      </c>
      <c r="X1364" s="579">
        <f>IFERROR(W1378*W1364/(SUM(W1364:W1377)),0)</f>
        <v>0</v>
      </c>
      <c r="Y1364" s="879">
        <f>SUMIFS(בקרה!$S:$S,בקרה!$D:$D,T1364,בקרה!$K:$K,S1364)</f>
        <v>0</v>
      </c>
      <c r="Z1364" s="121"/>
      <c r="AA1364" s="143"/>
      <c r="AB1364" s="143"/>
      <c r="AC1364" s="504">
        <v>0</v>
      </c>
      <c r="AD1364" s="505">
        <f>IFERROR(U1364-AC1364,0)</f>
        <v>0</v>
      </c>
      <c r="AE1364" s="143"/>
      <c r="AI1364" s="20"/>
      <c r="BO1364" s="86"/>
    </row>
    <row r="1365" spans="1:67" ht="15" customHeight="1" thickBot="1" x14ac:dyDescent="0.3">
      <c r="A1365" s="520">
        <f>IFERROR(VLOOKUP($G$5,'רשימת רשויות'!A:C,3,0),0)</f>
        <v>0</v>
      </c>
      <c r="B1365" s="520">
        <f t="shared" si="193"/>
        <v>0</v>
      </c>
      <c r="D1365" s="1134"/>
      <c r="E1365" s="1137"/>
      <c r="F1365" s="589" t="s">
        <v>44</v>
      </c>
      <c r="G1365" s="123">
        <f>IF(G1355="תקין",IFERROR(VLOOKUP('בית ספר - תקצוב לפי מוסד (9)'!G1350,' איוש משרות (8)'!C:J,7,0),0),0)</f>
        <v>0</v>
      </c>
      <c r="H1365" s="124">
        <f>I1354+R1361+J1354</f>
        <v>0</v>
      </c>
      <c r="I1365" s="119">
        <f>IFERROR(SUM(G1365:G1366)/H1365,0)</f>
        <v>0</v>
      </c>
      <c r="J1365" s="100">
        <f>MIN(R1361+I1354,IF(ISNUMBER(SUM(G1365:G1366)),SUM(G1365:G1366),0))</f>
        <v>0</v>
      </c>
      <c r="K1365" s="1139">
        <f>MAX((H1365)-(G1365+G1366),0)</f>
        <v>0</v>
      </c>
      <c r="L1365" s="407"/>
      <c r="M1365" s="393"/>
      <c r="N1365" s="393"/>
      <c r="O1365" s="580"/>
      <c r="P1365" s="1140"/>
      <c r="Q1365" s="1140"/>
      <c r="R1365" s="617">
        <f>MAX(MIN(P1373-Q1373,H1373*0.15-G1371),0)</f>
        <v>0</v>
      </c>
      <c r="S1365" s="576"/>
      <c r="T1365" s="599">
        <f>G1350</f>
        <v>0</v>
      </c>
      <c r="U1365" s="578"/>
      <c r="V1365" s="579"/>
      <c r="W1365" s="579">
        <f t="shared" ref="W1365:W1377" si="194">U1365-V1365</f>
        <v>0</v>
      </c>
      <c r="X1365" s="579"/>
      <c r="Y1365" s="879"/>
      <c r="Z1365" s="121"/>
      <c r="AA1365" s="143"/>
      <c r="AB1365" s="143"/>
      <c r="AC1365" s="504"/>
      <c r="AD1365" s="505">
        <f t="shared" ref="AD1365:AD1371" si="195">IFERROR(U1365-AC1365,0)</f>
        <v>0</v>
      </c>
      <c r="AE1365" s="143"/>
      <c r="AI1365" s="20"/>
      <c r="BO1365" s="86"/>
    </row>
    <row r="1366" spans="1:67" ht="15.75" customHeight="1" x14ac:dyDescent="0.25">
      <c r="A1366" s="520">
        <f>IFERROR(VLOOKUP($G$5,'רשימת רשויות'!A:C,3,0),0)</f>
        <v>0</v>
      </c>
      <c r="B1366" s="520">
        <f t="shared" si="193"/>
        <v>0</v>
      </c>
      <c r="D1366" s="1134"/>
      <c r="E1366" s="1137"/>
      <c r="F1366" s="589" t="s">
        <v>45</v>
      </c>
      <c r="G1366" s="123">
        <f>IF(G1355="תקין",IFERROR(VLOOKUP('בית ספר - תקצוב לפי מוסד (9)'!G1350,' איוש משרות (8)'!C:J,8,0),0),0)</f>
        <v>0</v>
      </c>
      <c r="H1366" s="125"/>
      <c r="I1366" s="126"/>
      <c r="J1366" s="104"/>
      <c r="K1366" s="1139"/>
      <c r="L1366" s="407"/>
      <c r="M1366" s="393"/>
      <c r="N1366" s="393"/>
      <c r="O1366" s="580"/>
      <c r="P1366" s="1140"/>
      <c r="Q1366" s="1140"/>
      <c r="R1366" s="596"/>
      <c r="S1366" s="576"/>
      <c r="T1366" s="599">
        <f>G1350</f>
        <v>0</v>
      </c>
      <c r="U1366" s="578"/>
      <c r="V1366" s="579"/>
      <c r="W1366" s="579">
        <f t="shared" si="194"/>
        <v>0</v>
      </c>
      <c r="X1366" s="579"/>
      <c r="Y1366" s="879"/>
      <c r="Z1366" s="121"/>
      <c r="AA1366" s="143"/>
      <c r="AB1366" s="143"/>
      <c r="AC1366" s="504"/>
      <c r="AD1366" s="505">
        <f t="shared" si="195"/>
        <v>0</v>
      </c>
      <c r="AE1366" s="143"/>
      <c r="AG1366" s="55"/>
      <c r="AH1366" s="55"/>
      <c r="AI1366" s="55"/>
      <c r="AJ1366" s="55"/>
      <c r="AK1366" s="55"/>
      <c r="BO1366" s="86"/>
    </row>
    <row r="1367" spans="1:67" ht="15.75" customHeight="1" x14ac:dyDescent="0.25">
      <c r="A1367" s="520">
        <f>IFERROR(VLOOKUP($G$5,'רשימת רשויות'!A:C,3,0),0)</f>
        <v>0</v>
      </c>
      <c r="B1367" s="520">
        <f t="shared" si="193"/>
        <v>0</v>
      </c>
      <c r="D1367" s="1134"/>
      <c r="E1367" s="1137"/>
      <c r="F1367" s="589" t="s">
        <v>0</v>
      </c>
      <c r="G1367" s="117">
        <f>IF(G1355="תקין",SUMIFS('דוח הוצאות בפועל (4)'!$E$17:$E$3016,'דוח הוצאות בפועל (4)'!$B$17:$B$3016,'בית ספר - תקצוב לפי מוסד (9)'!$G1350,'דוח הוצאות בפועל (4)'!$M$17:$M$3016,"הע"),0)-Y1367</f>
        <v>0</v>
      </c>
      <c r="H1367" s="127">
        <f>J1352</f>
        <v>0</v>
      </c>
      <c r="I1367" s="128">
        <f>IFERROR(G1367/H1367,0)</f>
        <v>0</v>
      </c>
      <c r="J1367" s="129">
        <f>MIN(IF(ISNUMBER(G1367),G1367,0),H1367)</f>
        <v>0</v>
      </c>
      <c r="K1367" s="120">
        <f>MAX(H1367-G1367,0)</f>
        <v>0</v>
      </c>
      <c r="L1367" s="407"/>
      <c r="M1367" s="393"/>
      <c r="N1367" s="393"/>
      <c r="O1367" s="580"/>
      <c r="P1367" s="968">
        <f>MAX(IF(I1367&lt;100%,MIN((H1367-G1367),H1367*0.25),0),0)</f>
        <v>0</v>
      </c>
      <c r="Q1367" s="619">
        <f>IF(G1367-H1367&gt;0,G1367-H1367,0)</f>
        <v>0</v>
      </c>
      <c r="R1367" s="596"/>
      <c r="S1367" s="610" t="s">
        <v>0</v>
      </c>
      <c r="T1367" s="599">
        <f>G1350</f>
        <v>0</v>
      </c>
      <c r="U1367" s="578"/>
      <c r="V1367" s="579">
        <f>G1367</f>
        <v>0</v>
      </c>
      <c r="W1367" s="579">
        <f t="shared" si="194"/>
        <v>0</v>
      </c>
      <c r="X1367" s="579">
        <f>IFERROR(W1378*W1367/(SUM(W1364:W1377)),0)</f>
        <v>0</v>
      </c>
      <c r="Y1367" s="879">
        <f>SUMIFS(בקרה!$S:$S,בקרה!$D:$D,T1367,בקרה!$K:$K,S1367)</f>
        <v>0</v>
      </c>
      <c r="Z1367" s="121"/>
      <c r="AA1367" s="143"/>
      <c r="AB1367" s="143"/>
      <c r="AC1367" s="504">
        <v>0</v>
      </c>
      <c r="AD1367" s="505">
        <f t="shared" si="195"/>
        <v>0</v>
      </c>
      <c r="AE1367" s="143"/>
      <c r="AG1367" s="55"/>
      <c r="AH1367" s="55"/>
      <c r="AI1367" s="40"/>
      <c r="AJ1367" s="55"/>
      <c r="AK1367" s="55"/>
      <c r="BO1367" s="86"/>
    </row>
    <row r="1368" spans="1:67" s="55" customFormat="1" ht="15.75" customHeight="1" x14ac:dyDescent="0.25">
      <c r="A1368" s="520">
        <f>IFERROR(VLOOKUP($G$5,'רשימת רשויות'!A:C,3,0),0)</f>
        <v>0</v>
      </c>
      <c r="B1368" s="520">
        <f t="shared" si="193"/>
        <v>0</v>
      </c>
      <c r="C1368" s="39"/>
      <c r="D1368" s="1134"/>
      <c r="E1368" s="1137"/>
      <c r="F1368" s="589" t="s">
        <v>93</v>
      </c>
      <c r="G1368" s="130">
        <f>IF(G1355="תקין",SUMIFS('דוח הוצאות בפועל (4)'!$E$17:$E$3016,'דוח הוצאות בפועל (4)'!$B$17:$B$3016,'בית ספר - תקצוב לפי מוסד (9)'!$G1350,'דוח הוצאות בפועל (4)'!$M$17:$M$3016,"אר"),0)-Y1368</f>
        <v>0</v>
      </c>
      <c r="H1368" s="118">
        <f>$I1358</f>
        <v>0</v>
      </c>
      <c r="I1368" s="131">
        <f>IFERROR((G1368+G1369)/H1368,0)</f>
        <v>0</v>
      </c>
      <c r="J1368" s="100">
        <f>MIN((IF(ISNUMBER(G1368),G1368,0)+IF(ISNUMBER(G1369),G1369,0)),H1368)</f>
        <v>0</v>
      </c>
      <c r="K1368" s="1139">
        <f>MAX((H1368)-(G1368+G1369),0)</f>
        <v>0</v>
      </c>
      <c r="L1368" s="407"/>
      <c r="M1368" s="393"/>
      <c r="N1368" s="393"/>
      <c r="O1368" s="602"/>
      <c r="P1368" s="1141"/>
      <c r="Q1368" s="1142"/>
      <c r="R1368" s="596"/>
      <c r="S1368" s="610" t="s">
        <v>93</v>
      </c>
      <c r="T1368" s="599">
        <f>G1350</f>
        <v>0</v>
      </c>
      <c r="U1368" s="578"/>
      <c r="V1368" s="579">
        <f t="shared" ref="V1368:V1369" si="196">G1368</f>
        <v>0</v>
      </c>
      <c r="W1368" s="579">
        <f t="shared" si="194"/>
        <v>0</v>
      </c>
      <c r="X1368" s="579">
        <f>IFERROR(W1378*W1368/(SUM(W1364:W1377)),0)</f>
        <v>0</v>
      </c>
      <c r="Y1368" s="879">
        <f>SUMIFS(בקרה!$S:$S,בקרה!$D:$D,T1368,בקרה!$K:$K,S1368)</f>
        <v>0</v>
      </c>
      <c r="Z1368" s="121"/>
      <c r="AA1368" s="143"/>
      <c r="AB1368" s="143"/>
      <c r="AC1368" s="504">
        <v>0</v>
      </c>
      <c r="AD1368" s="505">
        <f t="shared" si="195"/>
        <v>0</v>
      </c>
      <c r="AE1368" s="143"/>
      <c r="AJ1368" s="22"/>
      <c r="AO1368" s="22"/>
      <c r="AP1368" s="22"/>
      <c r="AQ1368" s="22"/>
      <c r="AR1368" s="22"/>
      <c r="AS1368" s="22"/>
      <c r="AT1368" s="22"/>
      <c r="AU1368" s="35"/>
      <c r="AV1368" s="35"/>
      <c r="AW1368" s="35"/>
      <c r="AX1368" s="35"/>
      <c r="AY1368" s="35"/>
      <c r="AZ1368" s="35"/>
      <c r="BA1368" s="35"/>
      <c r="BB1368" s="35"/>
      <c r="BC1368" s="35"/>
      <c r="BD1368" s="35"/>
      <c r="BE1368" s="35"/>
      <c r="BF1368" s="35"/>
      <c r="BG1368" s="35"/>
      <c r="BH1368" s="35"/>
      <c r="BI1368" s="35"/>
      <c r="BJ1368" s="35"/>
      <c r="BK1368" s="35"/>
      <c r="BL1368" s="35"/>
      <c r="BM1368" s="35"/>
      <c r="BN1368" s="35"/>
      <c r="BO1368" s="86"/>
    </row>
    <row r="1369" spans="1:67" s="55" customFormat="1" ht="15.75" customHeight="1" x14ac:dyDescent="0.25">
      <c r="A1369" s="520">
        <f>IFERROR(VLOOKUP($G$5,'רשימת רשויות'!A:C,3,0),0)</f>
        <v>0</v>
      </c>
      <c r="B1369" s="520">
        <f t="shared" si="193"/>
        <v>0</v>
      </c>
      <c r="C1369" s="39"/>
      <c r="D1369" s="1134"/>
      <c r="E1369" s="1137"/>
      <c r="F1369" s="589" t="s">
        <v>46</v>
      </c>
      <c r="G1369" s="130">
        <f>IF(G1355="תקין",SUMIFS('דוח הוצאות בפועל (4)'!$E$17:$E$3016,'דוח הוצאות בפועל (4)'!$B$17:$B$3016,'בית ספר - תקצוב לפי מוסד (9)'!$G1350,'דוח הוצאות בפועל (4)'!$M$17:$M$3016,"מל"),0)-Y1369</f>
        <v>0</v>
      </c>
      <c r="H1369" s="132"/>
      <c r="I1369" s="133"/>
      <c r="J1369" s="104"/>
      <c r="K1369" s="1139"/>
      <c r="L1369" s="407"/>
      <c r="M1369" s="393"/>
      <c r="N1369" s="393"/>
      <c r="O1369" s="602"/>
      <c r="P1369" s="1141"/>
      <c r="Q1369" s="1142"/>
      <c r="R1369" s="596"/>
      <c r="S1369" s="610" t="s">
        <v>46</v>
      </c>
      <c r="T1369" s="599">
        <f>G1350</f>
        <v>0</v>
      </c>
      <c r="U1369" s="578"/>
      <c r="V1369" s="579">
        <f t="shared" si="196"/>
        <v>0</v>
      </c>
      <c r="W1369" s="579">
        <f t="shared" si="194"/>
        <v>0</v>
      </c>
      <c r="X1369" s="579">
        <f>IFERROR(W1378*W1369/(SUM(W1364:W1377)),0)</f>
        <v>0</v>
      </c>
      <c r="Y1369" s="879">
        <f>SUMIFS(בקרה!$S:$S,בקרה!$D:$D,T1369,בקרה!$K:$K,S1369)</f>
        <v>0</v>
      </c>
      <c r="Z1369" s="121"/>
      <c r="AA1369" s="143"/>
      <c r="AB1369" s="143"/>
      <c r="AC1369" s="504">
        <v>0</v>
      </c>
      <c r="AD1369" s="505">
        <f t="shared" si="195"/>
        <v>0</v>
      </c>
      <c r="AE1369" s="143"/>
      <c r="AJ1369" s="22"/>
      <c r="AO1369" s="22"/>
      <c r="AP1369" s="22"/>
      <c r="AQ1369" s="22"/>
      <c r="AR1369" s="22"/>
      <c r="AS1369" s="22"/>
      <c r="AT1369" s="22"/>
      <c r="AU1369" s="35"/>
      <c r="AV1369" s="35"/>
      <c r="AW1369" s="35"/>
      <c r="AX1369" s="35"/>
      <c r="AY1369" s="35"/>
      <c r="AZ1369" s="35"/>
      <c r="BA1369" s="35"/>
      <c r="BB1369" s="35"/>
      <c r="BC1369" s="35"/>
      <c r="BD1369" s="35"/>
      <c r="BE1369" s="35"/>
      <c r="BF1369" s="35"/>
      <c r="BG1369" s="35"/>
      <c r="BH1369" s="35"/>
      <c r="BI1369" s="35"/>
      <c r="BJ1369" s="35"/>
      <c r="BK1369" s="35"/>
      <c r="BL1369" s="35"/>
      <c r="BM1369" s="35"/>
      <c r="BN1369" s="35"/>
      <c r="BO1369" s="86"/>
    </row>
    <row r="1370" spans="1:67" s="55" customFormat="1" ht="15" customHeight="1" x14ac:dyDescent="0.25">
      <c r="A1370" s="520">
        <f>IFERROR(VLOOKUP($G$5,'רשימת רשויות'!A:C,3,0),0)</f>
        <v>0</v>
      </c>
      <c r="B1370" s="520">
        <f t="shared" si="193"/>
        <v>0</v>
      </c>
      <c r="C1370" s="39"/>
      <c r="D1370" s="1134"/>
      <c r="E1370" s="1137"/>
      <c r="F1370" s="591" t="s">
        <v>23</v>
      </c>
      <c r="G1370" s="134">
        <f>SUM(G1364:G1369)</f>
        <v>0</v>
      </c>
      <c r="H1370" s="135">
        <f>SUM(H1364:H1369)</f>
        <v>0</v>
      </c>
      <c r="I1370" s="128">
        <f>IFERROR(G1370/H1370,0)</f>
        <v>0</v>
      </c>
      <c r="J1370" s="136">
        <f>SUM(J1364:J1369)</f>
        <v>0</v>
      </c>
      <c r="K1370" s="137">
        <f>SUM(K1364:K1369)</f>
        <v>0</v>
      </c>
      <c r="L1370" s="408"/>
      <c r="M1370" s="394"/>
      <c r="N1370" s="394"/>
      <c r="O1370" s="602"/>
      <c r="P1370" s="620">
        <f>SUM(P1364:P1369)</f>
        <v>0</v>
      </c>
      <c r="Q1370" s="620">
        <f>SUM(Q1364:Q1369)</f>
        <v>0</v>
      </c>
      <c r="R1370" s="596"/>
      <c r="S1370" s="610"/>
      <c r="T1370" s="599">
        <f>G1350</f>
        <v>0</v>
      </c>
      <c r="U1370" s="578"/>
      <c r="V1370" s="579"/>
      <c r="W1370" s="579">
        <f t="shared" si="194"/>
        <v>0</v>
      </c>
      <c r="X1370" s="579"/>
      <c r="Y1370" s="879"/>
      <c r="Z1370" s="121"/>
      <c r="AA1370" s="143"/>
      <c r="AB1370" s="143"/>
      <c r="AC1370" s="504"/>
      <c r="AD1370" s="505">
        <f t="shared" si="195"/>
        <v>0</v>
      </c>
      <c r="AE1370" s="143"/>
      <c r="AJ1370" s="22"/>
      <c r="AL1370" s="22"/>
      <c r="AM1370" s="22"/>
      <c r="AN1370" s="22"/>
      <c r="AO1370" s="22"/>
      <c r="AP1370" s="22"/>
      <c r="AQ1370" s="22"/>
      <c r="AR1370" s="22"/>
      <c r="AS1370" s="22"/>
      <c r="AT1370" s="22"/>
      <c r="AU1370" s="35"/>
      <c r="AV1370" s="35"/>
      <c r="AW1370" s="35"/>
      <c r="AX1370" s="35"/>
      <c r="AY1370" s="35"/>
      <c r="AZ1370" s="35"/>
      <c r="BA1370" s="35"/>
      <c r="BB1370" s="35"/>
      <c r="BC1370" s="35"/>
      <c r="BD1370" s="35"/>
      <c r="BE1370" s="35"/>
      <c r="BF1370" s="35"/>
      <c r="BG1370" s="35"/>
      <c r="BH1370" s="35"/>
      <c r="BI1370" s="35"/>
      <c r="BJ1370" s="35"/>
      <c r="BK1370" s="35"/>
      <c r="BL1370" s="35"/>
      <c r="BM1370" s="35"/>
      <c r="BN1370" s="35"/>
      <c r="BO1370" s="86"/>
    </row>
    <row r="1371" spans="1:67" s="55" customFormat="1" ht="15" customHeight="1" x14ac:dyDescent="0.25">
      <c r="A1371" s="520">
        <f>IFERROR(VLOOKUP($G$5,'רשימת רשויות'!A:C,3,0),0)</f>
        <v>0</v>
      </c>
      <c r="B1371" s="520">
        <f t="shared" si="193"/>
        <v>0</v>
      </c>
      <c r="C1371" s="39"/>
      <c r="D1371" s="1134"/>
      <c r="E1371" s="1137"/>
      <c r="F1371" s="589" t="s">
        <v>3</v>
      </c>
      <c r="G1371" s="117">
        <f>IF(G1355="תקין",SUMIFS('דוח הוצאות בפועל (4)'!$E$17:$E$3016,'דוח הוצאות בפועל (4)'!$B$17:$B$3016,'בית ספר - תקצוב לפי מוסד (9)'!$G1350,'דוח הוצאות בפועל (4)'!$M$17:$M$3016,"ני")+SUMIFS('דוח הוצאות בפועל (4)'!$E$17:$E$3016,'דוח הוצאות בפועל (4)'!$B$17:$B$3016,'בית ספר - תקצוב לפי מוסד (9)'!$G1350,'דוח הוצאות בפועל (4)'!$M$17:$M$3016,"על"),0)-Y1371</f>
        <v>0</v>
      </c>
      <c r="H1371" s="117">
        <f>H1352</f>
        <v>0</v>
      </c>
      <c r="I1371" s="138">
        <f>IFERROR(G1371/H1371,0)</f>
        <v>0</v>
      </c>
      <c r="J1371" s="117">
        <f>IFERROR(IF(G1371/H1373&gt;0.15,MIN(H1373*0.15,H1371),MIN(H1371,IF(ISNUMBER(G1371),G1371,0))),0)</f>
        <v>0</v>
      </c>
      <c r="K1371" s="120">
        <f>MAX(H1371-G1371,0)</f>
        <v>0</v>
      </c>
      <c r="L1371" s="407"/>
      <c r="M1371" s="393"/>
      <c r="N1371" s="393"/>
      <c r="O1371" s="602"/>
      <c r="P1371" s="620">
        <f>IF(I1371&lt;100%,MIN(H1371-G1371,H1371*0.25),0)</f>
        <v>0</v>
      </c>
      <c r="Q1371" s="620">
        <f>MAX(MIN(IF(G1371-H1371&gt;0,G1371-H1371,0),$H1373*0.15-H1371-J1372),0)</f>
        <v>0</v>
      </c>
      <c r="R1371" s="596"/>
      <c r="S1371" s="610" t="s">
        <v>3</v>
      </c>
      <c r="T1371" s="599">
        <f>G1350</f>
        <v>0</v>
      </c>
      <c r="U1371" s="578"/>
      <c r="V1371" s="579">
        <f t="shared" ref="V1371" si="197">G1371</f>
        <v>0</v>
      </c>
      <c r="W1371" s="579">
        <f t="shared" si="194"/>
        <v>0</v>
      </c>
      <c r="X1371" s="579"/>
      <c r="Y1371" s="879"/>
      <c r="Z1371" s="121"/>
      <c r="AA1371" s="143"/>
      <c r="AB1371" s="143"/>
      <c r="AC1371" s="504">
        <v>0</v>
      </c>
      <c r="AD1371" s="505">
        <f t="shared" si="195"/>
        <v>0</v>
      </c>
      <c r="AE1371" s="143"/>
      <c r="AG1371" s="22"/>
      <c r="AH1371" s="22"/>
      <c r="AI1371" s="22"/>
      <c r="AJ1371" s="22"/>
      <c r="AK1371" s="22"/>
      <c r="AL1371" s="22"/>
      <c r="AM1371" s="22"/>
      <c r="AN1371" s="22"/>
      <c r="AO1371" s="22"/>
      <c r="AP1371" s="22"/>
      <c r="AQ1371" s="22"/>
      <c r="AR1371" s="22"/>
      <c r="AS1371" s="22"/>
      <c r="AT1371" s="22"/>
      <c r="AU1371" s="35"/>
      <c r="AV1371" s="35"/>
      <c r="AW1371" s="35"/>
      <c r="AX1371" s="35"/>
      <c r="AY1371" s="35"/>
      <c r="AZ1371" s="35"/>
      <c r="BA1371" s="35"/>
      <c r="BB1371" s="35"/>
      <c r="BC1371" s="35"/>
      <c r="BD1371" s="35"/>
      <c r="BE1371" s="35"/>
      <c r="BF1371" s="35"/>
      <c r="BG1371" s="35"/>
      <c r="BH1371" s="35"/>
      <c r="BI1371" s="35"/>
      <c r="BJ1371" s="35"/>
      <c r="BK1371" s="35"/>
      <c r="BL1371" s="35"/>
      <c r="BM1371" s="35"/>
      <c r="BN1371" s="35"/>
      <c r="BO1371" s="86"/>
    </row>
    <row r="1372" spans="1:67" s="55" customFormat="1" ht="15.75" customHeight="1" x14ac:dyDescent="0.25">
      <c r="A1372" s="520">
        <f>IFERROR(VLOOKUP($G$5,'רשימת רשויות'!A:C,3,0),0)</f>
        <v>0</v>
      </c>
      <c r="B1372" s="520">
        <f t="shared" si="193"/>
        <v>0</v>
      </c>
      <c r="C1372" s="39"/>
      <c r="D1372" s="1134"/>
      <c r="E1372" s="1137"/>
      <c r="F1372" s="589" t="s">
        <v>2918</v>
      </c>
      <c r="G1372" s="117">
        <f>0.07*(G1366+G1365)</f>
        <v>0</v>
      </c>
      <c r="H1372" s="117">
        <f>H1354</f>
        <v>0</v>
      </c>
      <c r="I1372" s="138">
        <f>IFERROR(G1372/H1372,0)</f>
        <v>0</v>
      </c>
      <c r="J1372" s="117">
        <f>IFERROR(MIN(0.07*(G1365+G1366),0.07*I1354),0)</f>
        <v>0</v>
      </c>
      <c r="K1372" s="120">
        <f>MAX(H1372-G1372,0)</f>
        <v>0</v>
      </c>
      <c r="L1372" s="407"/>
      <c r="M1372" s="393"/>
      <c r="N1372" s="393"/>
      <c r="O1372" s="602"/>
      <c r="P1372" s="620"/>
      <c r="Q1372" s="619"/>
      <c r="R1372" s="596"/>
      <c r="S1372" s="611"/>
      <c r="T1372" s="599">
        <f>G1350</f>
        <v>0</v>
      </c>
      <c r="U1372" s="578"/>
      <c r="V1372" s="579"/>
      <c r="W1372" s="579">
        <f t="shared" si="194"/>
        <v>0</v>
      </c>
      <c r="X1372" s="579"/>
      <c r="Y1372" s="879"/>
      <c r="Z1372" s="121"/>
      <c r="AA1372" s="143"/>
      <c r="AB1372" s="143"/>
      <c r="AC1372" s="504"/>
      <c r="AD1372" s="505"/>
      <c r="AE1372" s="143"/>
      <c r="AF1372" s="140"/>
      <c r="AG1372" s="22"/>
      <c r="AH1372" s="22"/>
      <c r="AI1372" s="22"/>
      <c r="AJ1372" s="22"/>
      <c r="AK1372" s="22"/>
      <c r="AL1372" s="22"/>
      <c r="AM1372" s="22"/>
      <c r="AN1372" s="22"/>
      <c r="AO1372" s="22"/>
      <c r="AP1372" s="22"/>
      <c r="AQ1372" s="22"/>
      <c r="AR1372" s="22"/>
      <c r="AS1372" s="22"/>
      <c r="AT1372" s="22"/>
      <c r="AU1372" s="35"/>
      <c r="AV1372" s="35"/>
      <c r="AW1372" s="35"/>
      <c r="AX1372" s="35"/>
      <c r="AY1372" s="35"/>
      <c r="AZ1372" s="35"/>
      <c r="BA1372" s="35"/>
      <c r="BB1372" s="35"/>
      <c r="BC1372" s="35"/>
      <c r="BD1372" s="35"/>
      <c r="BE1372" s="35"/>
      <c r="BF1372" s="35"/>
      <c r="BG1372" s="35"/>
      <c r="BH1372" s="35"/>
      <c r="BI1372" s="35"/>
      <c r="BJ1372" s="35"/>
      <c r="BK1372" s="35"/>
      <c r="BL1372" s="35"/>
      <c r="BM1372" s="35"/>
      <c r="BN1372" s="35"/>
      <c r="BO1372" s="86"/>
    </row>
    <row r="1373" spans="1:67" ht="15.75" customHeight="1" x14ac:dyDescent="0.25">
      <c r="A1373" s="520">
        <f>IFERROR(VLOOKUP($G$5,'רשימת רשויות'!A:C,3,0),0)</f>
        <v>0</v>
      </c>
      <c r="B1373" s="520">
        <f t="shared" si="193"/>
        <v>0</v>
      </c>
      <c r="D1373" s="1134"/>
      <c r="E1373" s="1137"/>
      <c r="F1373" s="591" t="s">
        <v>15</v>
      </c>
      <c r="G1373" s="134">
        <f>G1370+G1371+G1372</f>
        <v>0</v>
      </c>
      <c r="H1373" s="134">
        <f>H1370+H1371+H1372</f>
        <v>0</v>
      </c>
      <c r="I1373" s="138">
        <f>IFERROR(G1373/H1373,0)</f>
        <v>0</v>
      </c>
      <c r="J1373" s="139">
        <f>J1370+J1371+J1372</f>
        <v>0</v>
      </c>
      <c r="K1373" s="137">
        <f>K1371+K1370+K1372</f>
        <v>0</v>
      </c>
      <c r="L1373" s="408"/>
      <c r="M1373" s="394"/>
      <c r="N1373" s="394"/>
      <c r="O1373" s="602"/>
      <c r="P1373" s="621">
        <f>SUM(P1370:P1371)</f>
        <v>0</v>
      </c>
      <c r="Q1373" s="622">
        <f>Q1370+Q1371</f>
        <v>0</v>
      </c>
      <c r="R1373" s="596"/>
      <c r="S1373" s="611"/>
      <c r="T1373" s="599">
        <f>G1350</f>
        <v>0</v>
      </c>
      <c r="U1373" s="578"/>
      <c r="V1373" s="579"/>
      <c r="W1373" s="579">
        <f t="shared" si="194"/>
        <v>0</v>
      </c>
      <c r="X1373" s="579"/>
      <c r="Y1373" s="879"/>
      <c r="Z1373" s="106"/>
      <c r="AC1373" s="504"/>
      <c r="AD1373" s="505"/>
      <c r="AH1373" s="143"/>
      <c r="BO1373" s="86"/>
    </row>
    <row r="1374" spans="1:67" ht="15.75" customHeight="1" x14ac:dyDescent="0.25">
      <c r="A1374" s="520">
        <f>IFERROR(VLOOKUP($G$5,'רשימת רשויות'!A:C,3,0),0)</f>
        <v>0</v>
      </c>
      <c r="B1374" s="520">
        <f t="shared" si="193"/>
        <v>0</v>
      </c>
      <c r="D1374" s="1134"/>
      <c r="E1374" s="1137"/>
      <c r="F1374" s="589" t="s">
        <v>2261</v>
      </c>
      <c r="G1374" s="117">
        <f>IF(G1355="תקין",SUMIF('תשלומי הורים ומלגות להורים (5) '!$B$18:$B$517,$G1350,'תשלומי הורים ומלגות להורים (5) '!$C$18:$C$517),0)</f>
        <v>0</v>
      </c>
      <c r="H1374" s="117">
        <f>(G1353+G1354)*$G$7</f>
        <v>0</v>
      </c>
      <c r="I1374" s="141"/>
      <c r="J1374" s="141"/>
      <c r="K1374" s="142"/>
      <c r="L1374" s="395"/>
      <c r="M1374" s="395"/>
      <c r="N1374" s="395"/>
      <c r="O1374" s="602"/>
      <c r="P1374" s="623"/>
      <c r="Q1374" s="619"/>
      <c r="R1374" s="596"/>
      <c r="S1374" s="612"/>
      <c r="T1374" s="599">
        <f>G1350</f>
        <v>0</v>
      </c>
      <c r="U1374" s="578"/>
      <c r="V1374" s="579"/>
      <c r="W1374" s="579">
        <f t="shared" si="194"/>
        <v>0</v>
      </c>
      <c r="X1374" s="579"/>
      <c r="Y1374" s="879"/>
      <c r="Z1374" s="121"/>
      <c r="AA1374" s="143"/>
      <c r="AB1374" s="143"/>
      <c r="AC1374" s="504"/>
      <c r="AD1374" s="505"/>
      <c r="AE1374" s="143"/>
      <c r="AF1374" s="148"/>
      <c r="BO1374" s="86"/>
    </row>
    <row r="1375" spans="1:67" ht="15.75" customHeight="1" thickBot="1" x14ac:dyDescent="0.3">
      <c r="A1375" s="520">
        <f>IFERROR(VLOOKUP($G$5,'רשימת רשויות'!A:C,3,0),0)</f>
        <v>0</v>
      </c>
      <c r="B1375" s="520">
        <f t="shared" si="193"/>
        <v>0</v>
      </c>
      <c r="D1375" s="1134"/>
      <c r="E1375" s="1137"/>
      <c r="F1375" s="592" t="s">
        <v>21</v>
      </c>
      <c r="G1375" s="144">
        <f>G1373-G1374</f>
        <v>0</v>
      </c>
      <c r="H1375" s="144">
        <f>H1373-H1374</f>
        <v>0</v>
      </c>
      <c r="I1375" s="145"/>
      <c r="J1375" s="145"/>
      <c r="K1375" s="146"/>
      <c r="L1375" s="396"/>
      <c r="M1375" s="396"/>
      <c r="N1375" s="396"/>
      <c r="O1375" s="602"/>
      <c r="P1375" s="619"/>
      <c r="Q1375" s="619"/>
      <c r="R1375" s="596"/>
      <c r="S1375" s="612"/>
      <c r="T1375" s="599">
        <f>G1350</f>
        <v>0</v>
      </c>
      <c r="U1375" s="578"/>
      <c r="V1375" s="579"/>
      <c r="W1375" s="579">
        <f t="shared" si="194"/>
        <v>0</v>
      </c>
      <c r="X1375" s="579"/>
      <c r="Y1375" s="879"/>
      <c r="Z1375" s="147"/>
      <c r="AA1375" s="148"/>
      <c r="AB1375" s="148"/>
      <c r="AC1375" s="504"/>
      <c r="AD1375" s="505"/>
      <c r="AE1375" s="148"/>
      <c r="AF1375" s="148"/>
      <c r="BO1375" s="86"/>
    </row>
    <row r="1376" spans="1:67" ht="15.75" customHeight="1" thickBot="1" x14ac:dyDescent="0.3">
      <c r="A1376" s="520">
        <f>IFERROR(VLOOKUP($G$5,'רשימת רשויות'!A:C,3,0),0)</f>
        <v>0</v>
      </c>
      <c r="B1376" s="520">
        <f t="shared" si="193"/>
        <v>0</v>
      </c>
      <c r="D1376" s="1134"/>
      <c r="E1376" s="1137"/>
      <c r="F1376" s="580"/>
      <c r="G1376" s="580"/>
      <c r="H1376" s="147"/>
      <c r="I1376" s="149" t="s">
        <v>2197</v>
      </c>
      <c r="J1376" s="150">
        <f>MAX(MIN(P1373,Q1373),0)</f>
        <v>0</v>
      </c>
      <c r="K1376" s="580"/>
      <c r="L1376" s="580"/>
      <c r="M1376" s="580"/>
      <c r="N1376" s="580"/>
      <c r="O1376" s="580"/>
      <c r="P1376" s="615" t="s">
        <v>2317</v>
      </c>
      <c r="Q1376" s="624">
        <f>SUM(Q1377:Q1378)</f>
        <v>0</v>
      </c>
      <c r="R1376" s="596"/>
      <c r="S1376" s="612"/>
      <c r="T1376" s="599">
        <f>G1350</f>
        <v>0</v>
      </c>
      <c r="U1376" s="578"/>
      <c r="V1376" s="579"/>
      <c r="W1376" s="579">
        <f t="shared" si="194"/>
        <v>0</v>
      </c>
      <c r="X1376" s="579"/>
      <c r="Y1376" s="879"/>
      <c r="Z1376" s="106"/>
      <c r="AC1376" s="504"/>
      <c r="AD1376" s="505"/>
      <c r="AF1376" s="148"/>
      <c r="BO1376" s="86"/>
    </row>
    <row r="1377" spans="1:67" ht="16.5" thickBot="1" x14ac:dyDescent="0.3">
      <c r="A1377" s="520">
        <f>IFERROR(VLOOKUP($G$5,'רשימת רשויות'!A:C,3,0),0)</f>
        <v>0</v>
      </c>
      <c r="B1377" s="520">
        <f t="shared" si="193"/>
        <v>0</v>
      </c>
      <c r="D1377" s="1134"/>
      <c r="E1377" s="1137"/>
      <c r="F1377" s="580"/>
      <c r="G1377" s="580"/>
      <c r="H1377" s="580"/>
      <c r="I1377" s="84" t="s">
        <v>2193</v>
      </c>
      <c r="J1377" s="515" t="str">
        <f>IFERROR(1-H1374/H1373,"")</f>
        <v/>
      </c>
      <c r="K1377" s="580"/>
      <c r="L1377" s="580"/>
      <c r="M1377" s="580"/>
      <c r="N1377" s="580"/>
      <c r="O1377" s="580"/>
      <c r="P1377" s="615" t="s">
        <v>417</v>
      </c>
      <c r="Q1377" s="616">
        <f>IFERROR(MAX(H1375-I1378-Q1378,0),0)</f>
        <v>0</v>
      </c>
      <c r="R1377" s="596"/>
      <c r="S1377" s="600"/>
      <c r="T1377" s="599">
        <f>G1350</f>
        <v>0</v>
      </c>
      <c r="U1377" s="578"/>
      <c r="V1377" s="579"/>
      <c r="W1377" s="579">
        <f t="shared" si="194"/>
        <v>0</v>
      </c>
      <c r="X1377" s="579"/>
      <c r="Y1377" s="879"/>
      <c r="Z1377" s="106"/>
      <c r="AC1377" s="504"/>
      <c r="AD1377" s="505"/>
      <c r="BO1377" s="86"/>
    </row>
    <row r="1378" spans="1:67" ht="17.25" thickBot="1" x14ac:dyDescent="0.3">
      <c r="A1378" s="520">
        <f>IFERROR(VLOOKUP($G$5,'רשימת רשויות'!A:C,3,0),0)</f>
        <v>0</v>
      </c>
      <c r="B1378" s="520">
        <f t="shared" si="193"/>
        <v>0</v>
      </c>
      <c r="D1378" s="1134"/>
      <c r="E1378" s="1137"/>
      <c r="F1378" s="1143" t="s">
        <v>2679</v>
      </c>
      <c r="G1378" s="1143"/>
      <c r="H1378" s="1143"/>
      <c r="I1378" s="722">
        <f>IF(G1355="לא תקין","לא קיימת זכאות לתקציב לאור אי איוש משרות רכז ו/או סגן רכז ",IFERROR(J1377*(J1376+J1373),0))</f>
        <v>0</v>
      </c>
      <c r="J1378" s="573"/>
      <c r="K1378" s="574"/>
      <c r="L1378" s="396"/>
      <c r="M1378" s="574"/>
      <c r="N1378" s="574"/>
      <c r="O1378" s="574"/>
      <c r="P1378" s="615" t="s">
        <v>2279</v>
      </c>
      <c r="Q1378" s="616">
        <f>MAX(IF(AND(G1373&gt;H1373,I1378&lt;H1375),H1375-I1378,0),0)</f>
        <v>0</v>
      </c>
      <c r="R1378" s="575"/>
      <c r="S1378" s="576" t="s">
        <v>67</v>
      </c>
      <c r="T1378" s="577">
        <f>G1350</f>
        <v>0</v>
      </c>
      <c r="U1378" s="578"/>
      <c r="V1378" s="579">
        <f>I1378</f>
        <v>0</v>
      </c>
      <c r="W1378" s="579">
        <f>IFERROR(U1378-V1378,0)</f>
        <v>0</v>
      </c>
      <c r="X1378" s="579">
        <f>SUM(X1364:X1377)</f>
        <v>0</v>
      </c>
      <c r="Y1378" s="879"/>
      <c r="Z1378" s="106"/>
      <c r="AC1378" s="506">
        <v>0</v>
      </c>
      <c r="AD1378" s="507">
        <f>IFERROR(U1378-AC1378,0)</f>
        <v>0</v>
      </c>
      <c r="BO1378" s="86"/>
    </row>
    <row r="1379" spans="1:67" ht="16.5" thickBot="1" x14ac:dyDescent="0.3">
      <c r="A1379" s="520">
        <f>IFERROR(VLOOKUP($G$5,'רשימת רשויות'!A:C,3,0),0)</f>
        <v>0</v>
      </c>
      <c r="B1379" s="520">
        <f t="shared" si="193"/>
        <v>0</v>
      </c>
      <c r="D1379" s="1135"/>
      <c r="E1379" s="1138"/>
      <c r="F1379" s="1144" t="s">
        <v>2793</v>
      </c>
      <c r="G1379" s="1145"/>
      <c r="H1379" s="1145"/>
      <c r="I1379" s="593">
        <f>IFERROR(IF(G1355="תקין",SUMIFS('סייעות רפואיות או אישיות (7)'!$Q$17:Q$384,'סייעות רפואיות או אישיות (7)'!C$17:C$384,G1350),0),0)</f>
        <v>0</v>
      </c>
      <c r="J1379" s="151"/>
      <c r="K1379" s="152"/>
      <c r="L1379" s="409"/>
      <c r="M1379" s="152"/>
      <c r="N1379" s="152"/>
      <c r="O1379" s="152"/>
      <c r="P1379" s="613"/>
      <c r="Q1379" s="614"/>
      <c r="R1379" s="475"/>
      <c r="S1379" s="489"/>
      <c r="T1379" s="490"/>
      <c r="U1379" s="491"/>
      <c r="V1379" s="492"/>
      <c r="W1379" s="492"/>
      <c r="X1379" s="492"/>
      <c r="Y1379" s="880"/>
      <c r="Z1379" s="153"/>
      <c r="AC1379" s="581"/>
      <c r="AD1379" s="582"/>
      <c r="BO1379" s="86"/>
    </row>
    <row r="1380" spans="1:67" ht="34.5" thickBot="1" x14ac:dyDescent="0.55000000000000004">
      <c r="A1380" s="520">
        <f>IFERROR(VLOOKUP($G$5,'רשימת רשויות'!A:C,3,0),0)</f>
        <v>0</v>
      </c>
      <c r="B1380" s="520">
        <f t="shared" si="193"/>
        <v>0</v>
      </c>
      <c r="E1380" s="154"/>
      <c r="I1380" s="143"/>
      <c r="J1380" s="148"/>
      <c r="O1380" s="148"/>
      <c r="T1380" s="481"/>
      <c r="BO1380" s="86"/>
    </row>
    <row r="1381" spans="1:67" s="20" customFormat="1" ht="16.5" customHeight="1" thickBot="1" x14ac:dyDescent="0.3">
      <c r="A1381" s="520">
        <f>IFERROR(VLOOKUP($G$5,'רשימת רשויות'!A:C,3,0),0)</f>
        <v>0</v>
      </c>
      <c r="B1381" s="520">
        <f t="shared" si="193"/>
        <v>0</v>
      </c>
      <c r="C1381" s="39"/>
      <c r="D1381" s="1133">
        <f>D1350+1</f>
        <v>45</v>
      </c>
      <c r="E1381" s="1136" t="str">
        <f>IFERROR(CONCATENATE("בית הספר ",VLOOKUP(G1381,'מצבת והרשמה (2)'!$C$21:$D$520,2,0)," - ",$G$5),"")</f>
        <v>בית הספר המוסד לא קיים - 0</v>
      </c>
      <c r="F1381" s="720" t="s">
        <v>146</v>
      </c>
      <c r="G1381" s="721">
        <f>IFERROR(VLOOKUP(D:D,'דוח ביצוע (3)'!$A$21:$C$900,2,0),0)</f>
        <v>0</v>
      </c>
      <c r="H1381" s="79"/>
      <c r="I1381" s="80" t="s">
        <v>150</v>
      </c>
      <c r="J1381" s="80"/>
      <c r="K1381" s="81"/>
      <c r="L1381" s="392"/>
      <c r="M1381" s="392"/>
      <c r="N1381" s="392"/>
      <c r="O1381" s="82"/>
      <c r="P1381" s="470"/>
      <c r="Q1381" s="471"/>
      <c r="R1381" s="472"/>
      <c r="S1381" s="883"/>
      <c r="T1381" s="884"/>
      <c r="U1381" s="486"/>
      <c r="V1381" s="487"/>
      <c r="W1381" s="487"/>
      <c r="X1381" s="487"/>
      <c r="Y1381" s="885"/>
      <c r="Z1381" s="83"/>
      <c r="AC1381" s="502"/>
      <c r="AD1381" s="503"/>
      <c r="AO1381" s="22"/>
      <c r="AP1381" s="22"/>
      <c r="AQ1381" s="22"/>
      <c r="AR1381" s="22"/>
      <c r="AS1381" s="22"/>
      <c r="AT1381" s="22"/>
      <c r="AU1381" s="35"/>
      <c r="AV1381" s="35"/>
      <c r="AW1381" s="35"/>
      <c r="AX1381" s="35"/>
      <c r="AY1381" s="35"/>
      <c r="AZ1381" s="35"/>
      <c r="BA1381" s="35"/>
      <c r="BB1381" s="35"/>
      <c r="BC1381" s="35"/>
      <c r="BD1381" s="35"/>
      <c r="BE1381" s="35"/>
      <c r="BF1381" s="35"/>
      <c r="BG1381" s="35"/>
      <c r="BH1381" s="35"/>
      <c r="BI1381" s="35"/>
      <c r="BJ1381" s="35"/>
      <c r="BK1381" s="35"/>
      <c r="BL1381" s="35"/>
      <c r="BM1381" s="35"/>
      <c r="BN1381" s="35"/>
      <c r="BO1381" s="78"/>
    </row>
    <row r="1382" spans="1:67" s="20" customFormat="1" ht="16.5" thickBot="1" x14ac:dyDescent="0.3">
      <c r="A1382" s="520">
        <f>IFERROR(VLOOKUP($G$5,'רשימת רשויות'!A:C,3,0),0)</f>
        <v>0</v>
      </c>
      <c r="B1382" s="520">
        <f t="shared" si="193"/>
        <v>0</v>
      </c>
      <c r="C1382" s="39"/>
      <c r="D1382" s="1134"/>
      <c r="E1382" s="1137"/>
      <c r="F1382" s="583" t="s">
        <v>145</v>
      </c>
      <c r="G1382" s="516" t="str">
        <f>IFERROR(IF((G1384+G1385)=0,"",IF(VLOOKUP(G1381,'דוח ביצוע (3)'!$B$21:$K$900,5,0)&gt;149,"גדול",IF(AND(VLOOKUP(G1381,'דוח ביצוע (3)'!$B$21:$K$900,5,0)&gt;0,VLOOKUP(G1381,'דוח ביצוע (3)'!$B$21:$K$900,5,0)&lt;150),"קטן",0))),"")</f>
        <v/>
      </c>
      <c r="H1382" s="723" t="s">
        <v>88</v>
      </c>
      <c r="I1382" s="723" t="s">
        <v>13</v>
      </c>
      <c r="J1382" s="725" t="s">
        <v>14</v>
      </c>
      <c r="K1382" s="724" t="s">
        <v>94</v>
      </c>
      <c r="L1382" s="594"/>
      <c r="M1382" s="420" t="s">
        <v>2584</v>
      </c>
      <c r="N1382" s="397" t="s">
        <v>413</v>
      </c>
      <c r="O1382" s="398" t="s">
        <v>52</v>
      </c>
      <c r="P1382" s="595"/>
      <c r="Q1382" s="595"/>
      <c r="R1382" s="596"/>
      <c r="S1382" s="610"/>
      <c r="T1382" s="881"/>
      <c r="U1382" s="598"/>
      <c r="V1382" s="599"/>
      <c r="W1382" s="599"/>
      <c r="X1382" s="599"/>
      <c r="Y1382" s="879"/>
      <c r="Z1382" s="85"/>
      <c r="AC1382" s="493"/>
      <c r="AD1382" s="495"/>
      <c r="AO1382" s="22"/>
      <c r="AP1382" s="22"/>
      <c r="AQ1382" s="22"/>
      <c r="AR1382" s="22"/>
      <c r="AS1382" s="22"/>
      <c r="AT1382" s="22"/>
      <c r="AU1382" s="35"/>
      <c r="AV1382" s="35"/>
      <c r="AW1382" s="35"/>
      <c r="AX1382" s="35"/>
      <c r="AY1382" s="35"/>
      <c r="AZ1382" s="35"/>
      <c r="BA1382" s="35"/>
      <c r="BB1382" s="35"/>
      <c r="BC1382" s="35"/>
      <c r="BD1382" s="35"/>
      <c r="BE1382" s="35"/>
      <c r="BF1382" s="35"/>
      <c r="BG1382" s="35"/>
      <c r="BH1382" s="35"/>
      <c r="BI1382" s="35"/>
      <c r="BJ1382" s="35"/>
      <c r="BK1382" s="35"/>
      <c r="BL1382" s="35"/>
      <c r="BM1382" s="35"/>
      <c r="BN1382" s="35"/>
      <c r="BO1382" s="78"/>
    </row>
    <row r="1383" spans="1:67" s="20" customFormat="1" ht="15.75" customHeight="1" thickBot="1" x14ac:dyDescent="0.3">
      <c r="A1383" s="520">
        <f>IFERROR(VLOOKUP($G$5,'רשימת רשויות'!A:C,3,0),0)</f>
        <v>0</v>
      </c>
      <c r="B1383" s="520">
        <f t="shared" si="193"/>
        <v>0</v>
      </c>
      <c r="C1383" s="39"/>
      <c r="D1383" s="1134"/>
      <c r="E1383" s="1137"/>
      <c r="F1383" s="584" t="s">
        <v>144</v>
      </c>
      <c r="G1383" s="87">
        <f>IF(G1386="תקין",IFERROR(VLOOKUP($G1381,'דוח ביצוע (3)'!$B$21:$Q$900,12,0),0),0)</f>
        <v>0</v>
      </c>
      <c r="H1383" s="88">
        <f>IFERROR(G1384*$AH$6+G1385*$AH$7,0)</f>
        <v>0</v>
      </c>
      <c r="I1383" s="88">
        <f>IFERROR(G1384*$AI$6+G1385*$AI$7,0)</f>
        <v>0</v>
      </c>
      <c r="J1383" s="88">
        <f>IFERROR(G1384*$AJ$6+G1385*$AJ$7,0)</f>
        <v>0</v>
      </c>
      <c r="K1383" s="88">
        <f>IFERROR(G1384*$AK$6+G1385*$AK$7,0)</f>
        <v>0</v>
      </c>
      <c r="L1383" s="405"/>
      <c r="M1383" s="399" t="s">
        <v>427</v>
      </c>
      <c r="N1383" s="400" t="str">
        <f>IFERROR(VLOOKUP($G1381,'דוח ביצוע (3)'!$B:$AE,28,0),"")</f>
        <v/>
      </c>
      <c r="O1383" s="89" t="str">
        <f>IFERROR(VLOOKUP($G1381,'דוח ביצוע (3)'!B:AE,29,0),"")</f>
        <v/>
      </c>
      <c r="P1383" s="595"/>
      <c r="Q1383" s="595"/>
      <c r="R1383" s="596"/>
      <c r="S1383" s="610"/>
      <c r="T1383" s="881"/>
      <c r="U1383" s="598"/>
      <c r="V1383" s="599"/>
      <c r="W1383" s="599"/>
      <c r="X1383" s="599"/>
      <c r="Y1383" s="879"/>
      <c r="Z1383" s="85"/>
      <c r="AC1383" s="493"/>
      <c r="AD1383" s="495"/>
      <c r="AO1383" s="22"/>
      <c r="AP1383" s="22"/>
      <c r="AQ1383" s="22"/>
      <c r="AR1383" s="22"/>
      <c r="AS1383" s="22"/>
      <c r="AT1383" s="22"/>
      <c r="AU1383" s="35"/>
      <c r="AV1383" s="35"/>
      <c r="AW1383" s="35"/>
      <c r="AX1383" s="35"/>
      <c r="AY1383" s="35"/>
      <c r="AZ1383" s="35"/>
      <c r="BA1383" s="35"/>
      <c r="BB1383" s="35"/>
      <c r="BC1383" s="35"/>
      <c r="BD1383" s="35"/>
      <c r="BE1383" s="35"/>
      <c r="BF1383" s="35"/>
      <c r="BG1383" s="35"/>
      <c r="BH1383" s="35"/>
      <c r="BI1383" s="35"/>
      <c r="BJ1383" s="35"/>
      <c r="BK1383" s="35"/>
      <c r="BL1383" s="35"/>
      <c r="BM1383" s="35"/>
      <c r="BN1383" s="35"/>
      <c r="BO1383" s="78"/>
    </row>
    <row r="1384" spans="1:67" s="20" customFormat="1" ht="32.25" thickBot="1" x14ac:dyDescent="0.3">
      <c r="A1384" s="520">
        <f>IFERROR(VLOOKUP($G$5,'רשימת רשויות'!A:C,3,0),0)</f>
        <v>0</v>
      </c>
      <c r="B1384" s="520">
        <f t="shared" si="193"/>
        <v>0</v>
      </c>
      <c r="C1384" s="39"/>
      <c r="D1384" s="1134"/>
      <c r="E1384" s="1137"/>
      <c r="F1384" s="585" t="s">
        <v>2195</v>
      </c>
      <c r="G1384" s="89">
        <f>IF(G1386="תקין",MAX(N1386,0),0)</f>
        <v>0</v>
      </c>
      <c r="H1384" s="725" t="s">
        <v>151</v>
      </c>
      <c r="I1384" s="725" t="s">
        <v>91</v>
      </c>
      <c r="J1384" s="970" t="s">
        <v>3396</v>
      </c>
      <c r="K1384" s="601"/>
      <c r="L1384" s="601"/>
      <c r="M1384" s="983" t="s">
        <v>2585</v>
      </c>
      <c r="N1384" s="400" t="str">
        <f>IFERROR(G1383/15*N1383*1.25,"")</f>
        <v/>
      </c>
      <c r="O1384" s="89" t="str">
        <f>IFERROR(G1383/15*O1383*1.25,"")</f>
        <v/>
      </c>
      <c r="P1384" s="595"/>
      <c r="Q1384" s="595"/>
      <c r="R1384" s="596"/>
      <c r="S1384" s="610"/>
      <c r="T1384" s="881"/>
      <c r="U1384" s="598"/>
      <c r="V1384" s="599"/>
      <c r="W1384" s="599"/>
      <c r="X1384" s="599"/>
      <c r="Y1384" s="879"/>
      <c r="Z1384" s="85"/>
      <c r="AC1384" s="493"/>
      <c r="AD1384" s="495"/>
      <c r="AG1384" s="22"/>
      <c r="AH1384" s="55"/>
      <c r="AI1384" s="55"/>
      <c r="AJ1384" s="55"/>
      <c r="AK1384" s="55"/>
      <c r="AO1384" s="22"/>
      <c r="AP1384" s="22"/>
      <c r="AQ1384" s="22"/>
      <c r="AR1384" s="22"/>
      <c r="AS1384" s="22"/>
      <c r="AT1384" s="22"/>
      <c r="AU1384" s="35"/>
      <c r="AV1384" s="35"/>
      <c r="AW1384" s="35"/>
      <c r="AX1384" s="35"/>
      <c r="AY1384" s="35"/>
      <c r="AZ1384" s="35"/>
      <c r="BA1384" s="35"/>
      <c r="BB1384" s="35"/>
      <c r="BC1384" s="35"/>
      <c r="BD1384" s="35"/>
      <c r="BE1384" s="35"/>
      <c r="BF1384" s="35"/>
      <c r="BG1384" s="35"/>
      <c r="BH1384" s="35"/>
      <c r="BI1384" s="35"/>
      <c r="BJ1384" s="35"/>
      <c r="BK1384" s="35"/>
      <c r="BL1384" s="35"/>
      <c r="BM1384" s="35"/>
      <c r="BN1384" s="35"/>
      <c r="BO1384" s="86"/>
    </row>
    <row r="1385" spans="1:67" s="20" customFormat="1" ht="16.5" thickBot="1" x14ac:dyDescent="0.3">
      <c r="A1385" s="520">
        <f>IFERROR(VLOOKUP($G$5,'רשימת רשויות'!A:C,3,0),0)</f>
        <v>0</v>
      </c>
      <c r="B1385" s="520">
        <f t="shared" si="193"/>
        <v>0</v>
      </c>
      <c r="C1385" s="39"/>
      <c r="D1385" s="1134"/>
      <c r="E1385" s="1137"/>
      <c r="F1385" s="585" t="s">
        <v>2196</v>
      </c>
      <c r="G1385" s="89">
        <f>IF(G1386="תקין",MAX(O1386,0),0)</f>
        <v>0</v>
      </c>
      <c r="H1385" s="88">
        <f>(IFERROR(IF((G1384+G1385)=0,0,IF(G1382="קטן",G1383*$AH$10,G1383*$AH$11)),0))+(IFERROR(IF((G1384+G1385)=0,0,VLOOKUP(G1381,'דוח ביצוע (3)'!$B:$AH,33,0)),0))</f>
        <v>0</v>
      </c>
      <c r="I1385" s="88">
        <f>IFERROR(IF((G1384+G1385)=0,0,IF(G1382="קטן",G1383*$AI$10,G1383*$AI$11)),0)</f>
        <v>0</v>
      </c>
      <c r="J1385" s="88">
        <f>IFERROR(IF((G1384+G1385)=0,0,VLOOKUP(G1381,'דוח ביצוע (3)'!$B:$AH,32,0)),0)</f>
        <v>0</v>
      </c>
      <c r="K1385" s="90"/>
      <c r="L1385" s="90"/>
      <c r="M1385" s="399" t="s">
        <v>412</v>
      </c>
      <c r="N1385" s="400">
        <f>IFERROR(VLOOKUP($G1381,'דוח ביצוע (3)'!$B$21:$U$500,18,0),0)</f>
        <v>0</v>
      </c>
      <c r="O1385" s="401">
        <f>IFERROR(VLOOKUP($G1381,'דוח ביצוע (3)'!$B$21:$U$500,19,0),0)</f>
        <v>0</v>
      </c>
      <c r="P1385" s="595"/>
      <c r="Q1385" s="595"/>
      <c r="R1385" s="596"/>
      <c r="S1385" s="610"/>
      <c r="T1385" s="881"/>
      <c r="U1385" s="598"/>
      <c r="V1385" s="599"/>
      <c r="W1385" s="599"/>
      <c r="X1385" s="599"/>
      <c r="Y1385" s="879"/>
      <c r="Z1385" s="85"/>
      <c r="AC1385" s="493"/>
      <c r="AD1385" s="495"/>
      <c r="AG1385" s="22"/>
      <c r="AH1385" s="55"/>
      <c r="AI1385" s="55"/>
      <c r="AJ1385" s="55"/>
      <c r="AK1385" s="55"/>
      <c r="AO1385" s="22"/>
      <c r="AP1385" s="22"/>
      <c r="AQ1385" s="22"/>
      <c r="AR1385" s="22"/>
      <c r="AS1385" s="22"/>
      <c r="AT1385" s="22"/>
      <c r="AU1385" s="35"/>
      <c r="AV1385" s="35"/>
      <c r="AW1385" s="35"/>
      <c r="AX1385" s="35"/>
      <c r="AY1385" s="35"/>
      <c r="AZ1385" s="35"/>
      <c r="BA1385" s="35"/>
      <c r="BB1385" s="35"/>
      <c r="BC1385" s="35"/>
      <c r="BD1385" s="35"/>
      <c r="BE1385" s="35"/>
      <c r="BF1385" s="35"/>
      <c r="BG1385" s="35"/>
      <c r="BH1385" s="35"/>
      <c r="BI1385" s="35"/>
      <c r="BJ1385" s="35"/>
      <c r="BK1385" s="35"/>
      <c r="BL1385" s="35"/>
      <c r="BM1385" s="35"/>
      <c r="BN1385" s="35"/>
      <c r="BO1385" s="86"/>
    </row>
    <row r="1386" spans="1:67" s="20" customFormat="1" ht="16.5" thickBot="1" x14ac:dyDescent="0.3">
      <c r="A1386" s="520">
        <f>IFERROR(VLOOKUP($G$5,'רשימת רשויות'!A:C,3,0),0)</f>
        <v>0</v>
      </c>
      <c r="B1386" s="520">
        <f t="shared" si="193"/>
        <v>0</v>
      </c>
      <c r="C1386" s="39"/>
      <c r="D1386" s="1134"/>
      <c r="E1386" s="1137"/>
      <c r="F1386" s="586" t="s">
        <v>2355</v>
      </c>
      <c r="G1386" s="514">
        <f>IFERROR(IF(VLOOKUP('בית ספר - תקצוב לפי מוסד (9)'!G1381,' איוש משרות (8)'!$C:$K,9,0)="תקין","תקין","לא תקין"),0)</f>
        <v>0</v>
      </c>
      <c r="H1386" s="91"/>
      <c r="I1386" s="91"/>
      <c r="J1386" s="91"/>
      <c r="K1386" s="90"/>
      <c r="L1386" s="90"/>
      <c r="M1386" s="402" t="s">
        <v>2586</v>
      </c>
      <c r="N1386" s="403">
        <f>IFERROR(MIN(N1384,N1385),0)</f>
        <v>0</v>
      </c>
      <c r="O1386" s="404">
        <f>IFERROR(MIN(O1384,O1385),0)</f>
        <v>0</v>
      </c>
      <c r="P1386" s="595"/>
      <c r="Q1386" s="595"/>
      <c r="R1386" s="596"/>
      <c r="S1386" s="610"/>
      <c r="T1386" s="881"/>
      <c r="U1386" s="598"/>
      <c r="V1386" s="599"/>
      <c r="W1386" s="599"/>
      <c r="X1386" s="599"/>
      <c r="Y1386" s="879"/>
      <c r="Z1386" s="85"/>
      <c r="AC1386" s="493"/>
      <c r="AD1386" s="495"/>
      <c r="AG1386" s="94"/>
      <c r="AH1386" s="40"/>
      <c r="AI1386" s="40"/>
      <c r="AJ1386" s="40"/>
      <c r="AK1386" s="40"/>
      <c r="AO1386" s="22"/>
      <c r="AP1386" s="22"/>
      <c r="AQ1386" s="22"/>
      <c r="AR1386" s="22"/>
      <c r="AS1386" s="22"/>
      <c r="AT1386" s="22"/>
      <c r="AU1386" s="35"/>
      <c r="AV1386" s="35"/>
      <c r="AW1386" s="35"/>
      <c r="AX1386" s="35"/>
      <c r="AY1386" s="35"/>
      <c r="AZ1386" s="35"/>
      <c r="BA1386" s="35"/>
      <c r="BB1386" s="35"/>
      <c r="BC1386" s="35"/>
      <c r="BD1386" s="35"/>
      <c r="BE1386" s="35"/>
      <c r="BF1386" s="35"/>
      <c r="BG1386" s="35"/>
      <c r="BH1386" s="35"/>
      <c r="BI1386" s="35"/>
      <c r="BJ1386" s="35"/>
      <c r="BK1386" s="35"/>
      <c r="BL1386" s="35"/>
      <c r="BM1386" s="35"/>
      <c r="BN1386" s="35"/>
      <c r="BO1386" s="86"/>
    </row>
    <row r="1387" spans="1:67" s="55" customFormat="1" ht="37.15" customHeight="1" thickBot="1" x14ac:dyDescent="0.3">
      <c r="A1387" s="520">
        <f>IFERROR(VLOOKUP($G$5,'רשימת רשויות'!A:C,3,0),0)</f>
        <v>0</v>
      </c>
      <c r="B1387" s="520">
        <f t="shared" si="193"/>
        <v>0</v>
      </c>
      <c r="C1387" s="39"/>
      <c r="D1387" s="1134"/>
      <c r="E1387" s="1137"/>
      <c r="F1387" s="587" t="s">
        <v>142</v>
      </c>
      <c r="G1387" s="92"/>
      <c r="H1387" s="92"/>
      <c r="I1387" s="92"/>
      <c r="J1387" s="92"/>
      <c r="K1387" s="602"/>
      <c r="L1387" s="602"/>
      <c r="M1387" s="602"/>
      <c r="N1387" s="602"/>
      <c r="O1387" s="602"/>
      <c r="P1387" s="595"/>
      <c r="Q1387" s="595"/>
      <c r="R1387" s="596"/>
      <c r="S1387" s="610"/>
      <c r="T1387" s="881"/>
      <c r="U1387" s="598"/>
      <c r="V1387" s="599"/>
      <c r="W1387" s="599"/>
      <c r="X1387" s="599"/>
      <c r="Y1387" s="879"/>
      <c r="Z1387" s="93"/>
      <c r="AC1387" s="493"/>
      <c r="AD1387" s="495"/>
      <c r="AF1387" s="22"/>
      <c r="AG1387" s="98"/>
      <c r="AH1387" s="98"/>
      <c r="AI1387" s="40"/>
      <c r="AJ1387" s="40"/>
      <c r="AK1387" s="40"/>
      <c r="AO1387" s="22"/>
      <c r="AP1387" s="22"/>
      <c r="AQ1387" s="22"/>
      <c r="AR1387" s="22"/>
      <c r="AS1387" s="22"/>
      <c r="AT1387" s="22"/>
      <c r="AU1387" s="35"/>
      <c r="AV1387" s="35"/>
      <c r="AW1387" s="35"/>
      <c r="AX1387" s="35"/>
      <c r="AY1387" s="35"/>
      <c r="AZ1387" s="35"/>
      <c r="BA1387" s="35"/>
      <c r="BB1387" s="35"/>
      <c r="BC1387" s="35"/>
      <c r="BD1387" s="35"/>
      <c r="BE1387" s="35"/>
      <c r="BF1387" s="35"/>
      <c r="BG1387" s="35"/>
      <c r="BH1387" s="35"/>
      <c r="BI1387" s="35"/>
      <c r="BJ1387" s="35"/>
      <c r="BK1387" s="35"/>
      <c r="BL1387" s="35"/>
      <c r="BM1387" s="35"/>
      <c r="BN1387" s="35"/>
      <c r="BO1387" s="86"/>
    </row>
    <row r="1388" spans="1:67" s="40" customFormat="1" ht="31.5" x14ac:dyDescent="0.25">
      <c r="A1388" s="520">
        <f>IFERROR(VLOOKUP($G$5,'רשימת רשויות'!A:C,3,0),0)</f>
        <v>0</v>
      </c>
      <c r="B1388" s="520">
        <f t="shared" si="193"/>
        <v>0</v>
      </c>
      <c r="C1388" s="39"/>
      <c r="D1388" s="1134"/>
      <c r="E1388" s="1137"/>
      <c r="F1388" s="588" t="s">
        <v>94</v>
      </c>
      <c r="G1388" s="95" t="s">
        <v>18</v>
      </c>
      <c r="H1388" s="95" t="s">
        <v>19</v>
      </c>
      <c r="I1388" s="95" t="s">
        <v>138</v>
      </c>
      <c r="J1388" s="96" t="s">
        <v>139</v>
      </c>
      <c r="K1388" s="603"/>
      <c r="L1388" s="603"/>
      <c r="M1388" s="603"/>
      <c r="N1388" s="603"/>
      <c r="O1388" s="603"/>
      <c r="P1388" s="604"/>
      <c r="Q1388" s="604"/>
      <c r="R1388" s="596"/>
      <c r="S1388" s="610"/>
      <c r="T1388" s="881"/>
      <c r="U1388" s="598"/>
      <c r="V1388" s="599"/>
      <c r="W1388" s="599"/>
      <c r="X1388" s="599"/>
      <c r="Y1388" s="879"/>
      <c r="Z1388" s="97"/>
      <c r="AA1388" s="94"/>
      <c r="AB1388" s="94"/>
      <c r="AC1388" s="493"/>
      <c r="AD1388" s="495"/>
      <c r="AE1388" s="94"/>
      <c r="AG1388" s="98"/>
      <c r="AH1388" s="98"/>
      <c r="AO1388" s="22"/>
      <c r="AP1388" s="22"/>
      <c r="AQ1388" s="22"/>
      <c r="AR1388" s="22"/>
      <c r="AS1388" s="22"/>
      <c r="AT1388" s="22"/>
      <c r="AU1388" s="35"/>
      <c r="AV1388" s="35"/>
      <c r="AW1388" s="35"/>
      <c r="AX1388" s="35"/>
      <c r="AY1388" s="35"/>
      <c r="AZ1388" s="35"/>
      <c r="BA1388" s="35"/>
      <c r="BB1388" s="35"/>
      <c r="BC1388" s="35"/>
      <c r="BD1388" s="35"/>
      <c r="BE1388" s="35"/>
      <c r="BF1388" s="35"/>
      <c r="BG1388" s="35"/>
      <c r="BH1388" s="35"/>
      <c r="BI1388" s="35"/>
      <c r="BJ1388" s="35"/>
      <c r="BK1388" s="35"/>
      <c r="BL1388" s="35"/>
      <c r="BM1388" s="35"/>
      <c r="BN1388" s="35"/>
      <c r="BO1388" s="86"/>
    </row>
    <row r="1389" spans="1:67" s="40" customFormat="1" ht="15.75" customHeight="1" thickBot="1" x14ac:dyDescent="0.3">
      <c r="A1389" s="520">
        <f>IFERROR(VLOOKUP($G$5,'רשימת רשויות'!A:C,3,0),0)</f>
        <v>0</v>
      </c>
      <c r="B1389" s="520">
        <f t="shared" si="193"/>
        <v>0</v>
      </c>
      <c r="C1389" s="39"/>
      <c r="D1389" s="1134"/>
      <c r="E1389" s="1137"/>
      <c r="F1389" s="589" t="s">
        <v>2280</v>
      </c>
      <c r="G1389" s="99">
        <f>+G1400</f>
        <v>0</v>
      </c>
      <c r="H1389" s="100">
        <f>K1383</f>
        <v>0</v>
      </c>
      <c r="I1389" s="100">
        <f>H1389-I1391</f>
        <v>0</v>
      </c>
      <c r="J1389" s="101">
        <f>IFERROR(I1389/H1389,0)</f>
        <v>0</v>
      </c>
      <c r="K1389" s="603"/>
      <c r="L1389" s="603"/>
      <c r="M1389" s="603"/>
      <c r="N1389" s="603"/>
      <c r="O1389" s="603"/>
      <c r="P1389" s="605"/>
      <c r="Q1389" s="604"/>
      <c r="R1389" s="606" t="s">
        <v>157</v>
      </c>
      <c r="S1389" s="611"/>
      <c r="T1389" s="881"/>
      <c r="U1389" s="598"/>
      <c r="V1389" s="599"/>
      <c r="W1389" s="599"/>
      <c r="X1389" s="599"/>
      <c r="Y1389" s="879"/>
      <c r="Z1389" s="102"/>
      <c r="AA1389" s="122"/>
      <c r="AB1389" s="122"/>
      <c r="AC1389" s="493"/>
      <c r="AD1389" s="495"/>
      <c r="AE1389" s="122"/>
      <c r="AF1389" s="22"/>
      <c r="AG1389" s="98"/>
      <c r="AH1389" s="98"/>
      <c r="AI1389" s="20"/>
      <c r="AO1389" s="22"/>
      <c r="AP1389" s="22"/>
      <c r="AQ1389" s="22"/>
      <c r="AR1389" s="22"/>
      <c r="AS1389" s="22"/>
      <c r="AT1389" s="22"/>
      <c r="AU1389" s="35"/>
      <c r="AV1389" s="35"/>
      <c r="AW1389" s="35"/>
      <c r="AX1389" s="35"/>
      <c r="AY1389" s="35"/>
      <c r="AZ1389" s="35"/>
      <c r="BA1389" s="35"/>
      <c r="BB1389" s="35"/>
      <c r="BC1389" s="35"/>
      <c r="BD1389" s="35"/>
      <c r="BE1389" s="35"/>
      <c r="BF1389" s="35"/>
      <c r="BG1389" s="35"/>
      <c r="BH1389" s="35"/>
      <c r="BI1389" s="35"/>
      <c r="BJ1389" s="35"/>
      <c r="BK1389" s="35"/>
      <c r="BL1389" s="35"/>
      <c r="BM1389" s="35"/>
      <c r="BN1389" s="35"/>
      <c r="BO1389" s="86"/>
    </row>
    <row r="1390" spans="1:67" s="40" customFormat="1" ht="15.75" customHeight="1" thickBot="1" x14ac:dyDescent="0.3">
      <c r="A1390" s="520">
        <f>IFERROR(VLOOKUP($G$5,'רשימת רשויות'!A:C,3,0),0)</f>
        <v>0</v>
      </c>
      <c r="B1390" s="520">
        <f t="shared" si="193"/>
        <v>0</v>
      </c>
      <c r="C1390" s="39"/>
      <c r="D1390" s="1134"/>
      <c r="E1390" s="1137"/>
      <c r="F1390" s="589" t="s">
        <v>2281</v>
      </c>
      <c r="G1390" s="99">
        <f>+G1399</f>
        <v>0</v>
      </c>
      <c r="H1390" s="103"/>
      <c r="I1390" s="104"/>
      <c r="J1390" s="105"/>
      <c r="K1390" s="603"/>
      <c r="L1390" s="603"/>
      <c r="M1390" s="603"/>
      <c r="N1390" s="603"/>
      <c r="O1390" s="603"/>
      <c r="P1390" s="605"/>
      <c r="Q1390" s="604"/>
      <c r="R1390" s="473">
        <f>I1391-R1392</f>
        <v>0</v>
      </c>
      <c r="S1390" s="611"/>
      <c r="T1390" s="881"/>
      <c r="U1390" s="598"/>
      <c r="V1390" s="599"/>
      <c r="W1390" s="599"/>
      <c r="X1390" s="599"/>
      <c r="Y1390" s="879"/>
      <c r="Z1390" s="106"/>
      <c r="AA1390" s="22"/>
      <c r="AB1390" s="22"/>
      <c r="AC1390" s="493"/>
      <c r="AD1390" s="495"/>
      <c r="AE1390" s="22"/>
      <c r="AF1390" s="22"/>
      <c r="AG1390" s="98"/>
      <c r="AH1390" s="98"/>
      <c r="AI1390" s="20"/>
      <c r="AO1390" s="22"/>
      <c r="AP1390" s="22"/>
      <c r="AQ1390" s="22"/>
      <c r="AR1390" s="22"/>
      <c r="AS1390" s="22"/>
      <c r="AT1390" s="22"/>
      <c r="AU1390" s="35"/>
      <c r="AV1390" s="35"/>
      <c r="AW1390" s="35"/>
      <c r="AX1390" s="35"/>
      <c r="AY1390" s="35"/>
      <c r="AZ1390" s="35"/>
      <c r="BA1390" s="35"/>
      <c r="BB1390" s="35"/>
      <c r="BC1390" s="35"/>
      <c r="BD1390" s="35"/>
      <c r="BE1390" s="35"/>
      <c r="BF1390" s="35"/>
      <c r="BG1390" s="35"/>
      <c r="BH1390" s="35"/>
      <c r="BI1390" s="35"/>
      <c r="BJ1390" s="35"/>
      <c r="BK1390" s="35"/>
      <c r="BL1390" s="35"/>
      <c r="BM1390" s="35"/>
      <c r="BN1390" s="35"/>
      <c r="BO1390" s="86"/>
    </row>
    <row r="1391" spans="1:67" s="40" customFormat="1" ht="16.5" customHeight="1" thickBot="1" x14ac:dyDescent="0.3">
      <c r="A1391" s="520">
        <f>IFERROR(VLOOKUP($G$5,'רשימת רשויות'!A:C,3,0),0)</f>
        <v>0</v>
      </c>
      <c r="B1391" s="520">
        <f t="shared" si="193"/>
        <v>0</v>
      </c>
      <c r="C1391" s="39"/>
      <c r="D1391" s="1134"/>
      <c r="E1391" s="1137"/>
      <c r="F1391" s="589" t="s">
        <v>2282</v>
      </c>
      <c r="G1391" s="99">
        <f>G1395+G1396+G1397</f>
        <v>0</v>
      </c>
      <c r="H1391" s="104"/>
      <c r="I1391" s="107">
        <f>MAX(H1389-G1389-G1390,0)</f>
        <v>0</v>
      </c>
      <c r="J1391" s="108">
        <f>IFERROR(I1391/H1389,0)</f>
        <v>0</v>
      </c>
      <c r="K1391" s="603"/>
      <c r="L1391" s="603"/>
      <c r="M1391" s="603"/>
      <c r="N1391" s="603"/>
      <c r="O1391" s="603"/>
      <c r="P1391" s="604"/>
      <c r="Q1391" s="604"/>
      <c r="R1391" s="606" t="s">
        <v>158</v>
      </c>
      <c r="S1391" s="612"/>
      <c r="T1391" s="881"/>
      <c r="U1391" s="598"/>
      <c r="V1391" s="599"/>
      <c r="W1391" s="599"/>
      <c r="X1391" s="599"/>
      <c r="Y1391" s="879"/>
      <c r="Z1391" s="106"/>
      <c r="AA1391" s="22"/>
      <c r="AB1391" s="22"/>
      <c r="AC1391" s="493"/>
      <c r="AD1391" s="495"/>
      <c r="AE1391" s="22"/>
      <c r="AF1391" s="22"/>
      <c r="AG1391" s="22"/>
      <c r="AH1391" s="22"/>
      <c r="AI1391" s="55"/>
      <c r="AJ1391" s="22"/>
      <c r="AK1391" s="22"/>
      <c r="AO1391" s="22"/>
      <c r="AP1391" s="22"/>
      <c r="AQ1391" s="22"/>
      <c r="AR1391" s="22"/>
      <c r="AS1391" s="22"/>
      <c r="AT1391" s="22"/>
      <c r="AU1391" s="35"/>
      <c r="AV1391" s="35"/>
      <c r="AW1391" s="35"/>
      <c r="AX1391" s="35"/>
      <c r="AY1391" s="35"/>
      <c r="AZ1391" s="35"/>
      <c r="BA1391" s="35"/>
      <c r="BB1391" s="35"/>
      <c r="BC1391" s="35"/>
      <c r="BD1391" s="35"/>
      <c r="BE1391" s="35"/>
      <c r="BF1391" s="35"/>
      <c r="BG1391" s="35"/>
      <c r="BH1391" s="35"/>
      <c r="BI1391" s="35"/>
      <c r="BJ1391" s="35"/>
      <c r="BK1391" s="35"/>
      <c r="BL1391" s="35"/>
      <c r="BM1391" s="35"/>
      <c r="BN1391" s="35"/>
      <c r="BO1391" s="86"/>
    </row>
    <row r="1392" spans="1:67" s="40" customFormat="1" ht="15.75" customHeight="1" thickBot="1" x14ac:dyDescent="0.3">
      <c r="A1392" s="520">
        <f>IFERROR(VLOOKUP($G$5,'רשימת רשויות'!A:C,3,0),0)</f>
        <v>0</v>
      </c>
      <c r="B1392" s="520">
        <f t="shared" si="193"/>
        <v>0</v>
      </c>
      <c r="C1392" s="39"/>
      <c r="D1392" s="1134"/>
      <c r="E1392" s="1137"/>
      <c r="F1392" s="590" t="s">
        <v>2290</v>
      </c>
      <c r="G1392" s="109"/>
      <c r="H1392" s="110"/>
      <c r="I1392" s="111">
        <f>SUM(I1389:I1391)</f>
        <v>0</v>
      </c>
      <c r="J1392" s="112">
        <f>SUM(J1389:J1391)</f>
        <v>0</v>
      </c>
      <c r="K1392" s="603"/>
      <c r="L1392" s="603"/>
      <c r="M1392" s="603"/>
      <c r="N1392" s="603"/>
      <c r="O1392" s="603"/>
      <c r="P1392" s="604"/>
      <c r="Q1392" s="604"/>
      <c r="R1392" s="473">
        <f>MIN(MAX(G1396+G1397-I1385-J1385,0),I1391)</f>
        <v>0</v>
      </c>
      <c r="S1392" s="612"/>
      <c r="T1392" s="881"/>
      <c r="U1392" s="598"/>
      <c r="V1392" s="599"/>
      <c r="W1392" s="599"/>
      <c r="X1392" s="599"/>
      <c r="Y1392" s="879"/>
      <c r="Z1392" s="106"/>
      <c r="AA1392" s="22"/>
      <c r="AB1392" s="22"/>
      <c r="AC1392" s="493"/>
      <c r="AD1392" s="495"/>
      <c r="AE1392" s="22"/>
      <c r="AF1392" s="22"/>
      <c r="AG1392" s="22"/>
      <c r="AH1392" s="22"/>
      <c r="AJ1392" s="22"/>
      <c r="AK1392" s="22"/>
      <c r="AO1392" s="22"/>
      <c r="AP1392" s="22"/>
      <c r="AQ1392" s="22"/>
      <c r="AR1392" s="22"/>
      <c r="AS1392" s="22"/>
      <c r="AT1392" s="22"/>
      <c r="AU1392" s="35"/>
      <c r="AV1392" s="35"/>
      <c r="AW1392" s="35"/>
      <c r="AX1392" s="35"/>
      <c r="AY1392" s="35"/>
      <c r="AZ1392" s="35"/>
      <c r="BA1392" s="35"/>
      <c r="BB1392" s="35"/>
      <c r="BC1392" s="35"/>
      <c r="BD1392" s="35"/>
      <c r="BE1392" s="35"/>
      <c r="BF1392" s="35"/>
      <c r="BG1392" s="35"/>
      <c r="BH1392" s="35"/>
      <c r="BI1392" s="35"/>
      <c r="BJ1392" s="35"/>
      <c r="BK1392" s="35"/>
      <c r="BL1392" s="35"/>
      <c r="BM1392" s="35"/>
      <c r="BN1392" s="35"/>
      <c r="BO1392" s="86"/>
    </row>
    <row r="1393" spans="1:67" ht="16.5" thickBot="1" x14ac:dyDescent="0.3">
      <c r="A1393" s="520">
        <f>IFERROR(VLOOKUP($G$5,'רשימת רשויות'!A:C,3,0),0)</f>
        <v>0</v>
      </c>
      <c r="B1393" s="520">
        <f t="shared" si="193"/>
        <v>0</v>
      </c>
      <c r="D1393" s="1134"/>
      <c r="E1393" s="1137"/>
      <c r="F1393" s="587" t="s">
        <v>17</v>
      </c>
      <c r="G1393" s="113"/>
      <c r="H1393" s="92"/>
      <c r="I1393" s="114"/>
      <c r="J1393" s="115"/>
      <c r="K1393" s="116"/>
      <c r="L1393" s="406"/>
      <c r="M1393" s="116"/>
      <c r="N1393" s="116"/>
      <c r="O1393" s="116"/>
      <c r="P1393" s="474"/>
      <c r="Q1393" s="607"/>
      <c r="R1393" s="608"/>
      <c r="S1393" s="612"/>
      <c r="T1393" s="881"/>
      <c r="U1393" s="598"/>
      <c r="V1393" s="599"/>
      <c r="W1393" s="599"/>
      <c r="X1393" s="599"/>
      <c r="Y1393" s="879"/>
      <c r="Z1393" s="106"/>
      <c r="AI1393" s="40"/>
      <c r="BO1393" s="86"/>
    </row>
    <row r="1394" spans="1:67" ht="47.25" x14ac:dyDescent="0.25">
      <c r="A1394" s="520">
        <f>IFERROR(VLOOKUP($G$5,'רשימת רשויות'!A:C,3,0),0)</f>
        <v>0</v>
      </c>
      <c r="B1394" s="520">
        <f t="shared" si="193"/>
        <v>0</v>
      </c>
      <c r="D1394" s="1134"/>
      <c r="E1394" s="1137"/>
      <c r="F1394" s="588" t="s">
        <v>2</v>
      </c>
      <c r="G1394" s="95" t="s">
        <v>18</v>
      </c>
      <c r="H1394" s="95" t="s">
        <v>19</v>
      </c>
      <c r="I1394" s="95" t="s">
        <v>20</v>
      </c>
      <c r="J1394" s="95" t="s">
        <v>22</v>
      </c>
      <c r="K1394" s="96" t="s">
        <v>2314</v>
      </c>
      <c r="L1394" s="609"/>
      <c r="M1394" s="609"/>
      <c r="N1394" s="609"/>
      <c r="O1394" s="580"/>
      <c r="P1394" s="618" t="s">
        <v>2298</v>
      </c>
      <c r="Q1394" s="618" t="s">
        <v>2299</v>
      </c>
      <c r="R1394" s="596"/>
      <c r="S1394" s="890" t="s">
        <v>2519</v>
      </c>
      <c r="T1394" s="890" t="s">
        <v>97</v>
      </c>
      <c r="U1394" s="891" t="s">
        <v>2521</v>
      </c>
      <c r="V1394" s="892" t="s">
        <v>2520</v>
      </c>
      <c r="W1394" s="893" t="s">
        <v>2524</v>
      </c>
      <c r="X1394" s="892" t="s">
        <v>2522</v>
      </c>
      <c r="Y1394" s="894" t="s">
        <v>2523</v>
      </c>
      <c r="Z1394" s="106"/>
      <c r="AC1394" s="498" t="s">
        <v>2568</v>
      </c>
      <c r="AD1394" s="499" t="s">
        <v>2569</v>
      </c>
      <c r="AF1394" s="122"/>
      <c r="AI1394" s="40"/>
      <c r="BO1394" s="86"/>
    </row>
    <row r="1395" spans="1:67" ht="15" customHeight="1" thickBot="1" x14ac:dyDescent="0.3">
      <c r="A1395" s="520">
        <f>IFERROR(VLOOKUP($G$5,'רשימת רשויות'!A:C,3,0),0)</f>
        <v>0</v>
      </c>
      <c r="B1395" s="520">
        <f t="shared" si="193"/>
        <v>0</v>
      </c>
      <c r="D1395" s="1134"/>
      <c r="E1395" s="1137"/>
      <c r="F1395" s="589" t="s">
        <v>76</v>
      </c>
      <c r="G1395" s="117">
        <f>IF(G1386="תקין",SUMIF('עלויות כח אדם (6)'!$B$15:$B$3014,'בית ספר - תקצוב לפי מוסד (9)'!$G1381,'עלויות כח אדם (6)'!$M$15:$M$3014)-VLOOKUP('בית ספר - תקצוב לפי מוסד (9)'!G1381,' איוש משרות (8)'!$C:$H,5,0)-VLOOKUP('בית ספר - תקצוב לפי מוסד (9)'!G1381,' איוש משרות (8)'!$C:$H,6,0),0)-Y1395</f>
        <v>0</v>
      </c>
      <c r="H1395" s="118">
        <f>I1383+R1390</f>
        <v>0</v>
      </c>
      <c r="I1395" s="119">
        <f>IFERROR(SUM(G1395)/H1395,0)</f>
        <v>0</v>
      </c>
      <c r="J1395" s="100">
        <f>MIN(I1383+R1390,IF(ISNUMBER(G1395),G1395,0))</f>
        <v>0</v>
      </c>
      <c r="K1395" s="120">
        <f>MAX(H1395-G1395,0)</f>
        <v>0</v>
      </c>
      <c r="L1395" s="407"/>
      <c r="M1395" s="393"/>
      <c r="N1395" s="393"/>
      <c r="O1395" s="580"/>
      <c r="P1395" s="968">
        <f>IFERROR(IF(SUM(G1395)/(I1383)&lt;100%,MIN((I1383)-SUM(G1395),(I1383)*0.25),0),0)</f>
        <v>0</v>
      </c>
      <c r="Q1395" s="968">
        <f>IF(SUM(G1395)-(I1383+R1390)&gt;0,SUM(G1395)-(I1383+R1390),0)</f>
        <v>0</v>
      </c>
      <c r="R1395" s="596" t="s">
        <v>2351</v>
      </c>
      <c r="S1395" s="576" t="s">
        <v>2342</v>
      </c>
      <c r="T1395" s="599">
        <f>G1381</f>
        <v>0</v>
      </c>
      <c r="U1395" s="578"/>
      <c r="V1395" s="579">
        <f>G1395+G1396+G1397</f>
        <v>0</v>
      </c>
      <c r="W1395" s="579">
        <f>U1395-V1395</f>
        <v>0</v>
      </c>
      <c r="X1395" s="579">
        <f>IFERROR(W1409*W1395/(SUM(W1395:W1408)),0)</f>
        <v>0</v>
      </c>
      <c r="Y1395" s="879">
        <f>SUMIFS(בקרה!$S:$S,בקרה!$D:$D,T1395,בקרה!$K:$K,S1395)</f>
        <v>0</v>
      </c>
      <c r="Z1395" s="121"/>
      <c r="AA1395" s="143"/>
      <c r="AB1395" s="143"/>
      <c r="AC1395" s="504">
        <v>0</v>
      </c>
      <c r="AD1395" s="505">
        <f>IFERROR(U1395-AC1395,0)</f>
        <v>0</v>
      </c>
      <c r="AE1395" s="143"/>
      <c r="AI1395" s="20"/>
      <c r="BO1395" s="86"/>
    </row>
    <row r="1396" spans="1:67" ht="15" customHeight="1" thickBot="1" x14ac:dyDescent="0.3">
      <c r="A1396" s="520">
        <f>IFERROR(VLOOKUP($G$5,'רשימת רשויות'!A:C,3,0),0)</f>
        <v>0</v>
      </c>
      <c r="B1396" s="520">
        <f t="shared" si="193"/>
        <v>0</v>
      </c>
      <c r="D1396" s="1134"/>
      <c r="E1396" s="1137"/>
      <c r="F1396" s="589" t="s">
        <v>44</v>
      </c>
      <c r="G1396" s="123">
        <f>IF(G1386="תקין",IFERROR(VLOOKUP('בית ספר - תקצוב לפי מוסד (9)'!G1381,' איוש משרות (8)'!C:J,7,0),0),0)</f>
        <v>0</v>
      </c>
      <c r="H1396" s="124">
        <f>I1385+R1392+J1385</f>
        <v>0</v>
      </c>
      <c r="I1396" s="119">
        <f>IFERROR(SUM(G1396:G1397)/H1396,0)</f>
        <v>0</v>
      </c>
      <c r="J1396" s="100">
        <f>MIN(R1392+I1385,IF(ISNUMBER(SUM(G1396:G1397)),SUM(G1396:G1397),0))</f>
        <v>0</v>
      </c>
      <c r="K1396" s="1139">
        <f>MAX((H1396)-(G1396+G1397),0)</f>
        <v>0</v>
      </c>
      <c r="L1396" s="407"/>
      <c r="M1396" s="393"/>
      <c r="N1396" s="393"/>
      <c r="O1396" s="580"/>
      <c r="P1396" s="1140"/>
      <c r="Q1396" s="1140"/>
      <c r="R1396" s="617">
        <f>MAX(MIN(P1404-Q1404,H1404*0.15-G1402),0)</f>
        <v>0</v>
      </c>
      <c r="S1396" s="576"/>
      <c r="T1396" s="599">
        <f>G1381</f>
        <v>0</v>
      </c>
      <c r="U1396" s="578"/>
      <c r="V1396" s="579"/>
      <c r="W1396" s="579">
        <f t="shared" ref="W1396:W1408" si="198">U1396-V1396</f>
        <v>0</v>
      </c>
      <c r="X1396" s="579"/>
      <c r="Y1396" s="879"/>
      <c r="Z1396" s="121"/>
      <c r="AA1396" s="143"/>
      <c r="AB1396" s="143"/>
      <c r="AC1396" s="504"/>
      <c r="AD1396" s="505">
        <f t="shared" ref="AD1396:AD1402" si="199">IFERROR(U1396-AC1396,0)</f>
        <v>0</v>
      </c>
      <c r="AE1396" s="143"/>
      <c r="AI1396" s="20"/>
      <c r="BO1396" s="86"/>
    </row>
    <row r="1397" spans="1:67" ht="15.75" customHeight="1" x14ac:dyDescent="0.25">
      <c r="A1397" s="520">
        <f>IFERROR(VLOOKUP($G$5,'רשימת רשויות'!A:C,3,0),0)</f>
        <v>0</v>
      </c>
      <c r="B1397" s="520">
        <f t="shared" si="193"/>
        <v>0</v>
      </c>
      <c r="D1397" s="1134"/>
      <c r="E1397" s="1137"/>
      <c r="F1397" s="589" t="s">
        <v>45</v>
      </c>
      <c r="G1397" s="123">
        <f>IF(G1386="תקין",IFERROR(VLOOKUP('בית ספר - תקצוב לפי מוסד (9)'!G1381,' איוש משרות (8)'!C:J,8,0),0),0)</f>
        <v>0</v>
      </c>
      <c r="H1397" s="125"/>
      <c r="I1397" s="126"/>
      <c r="J1397" s="104"/>
      <c r="K1397" s="1139"/>
      <c r="L1397" s="407"/>
      <c r="M1397" s="393"/>
      <c r="N1397" s="393"/>
      <c r="O1397" s="580"/>
      <c r="P1397" s="1140"/>
      <c r="Q1397" s="1140"/>
      <c r="R1397" s="596"/>
      <c r="S1397" s="576"/>
      <c r="T1397" s="599">
        <f>G1381</f>
        <v>0</v>
      </c>
      <c r="U1397" s="578"/>
      <c r="V1397" s="579"/>
      <c r="W1397" s="579">
        <f t="shared" si="198"/>
        <v>0</v>
      </c>
      <c r="X1397" s="579"/>
      <c r="Y1397" s="879"/>
      <c r="Z1397" s="121"/>
      <c r="AA1397" s="143"/>
      <c r="AB1397" s="143"/>
      <c r="AC1397" s="504"/>
      <c r="AD1397" s="505">
        <f t="shared" si="199"/>
        <v>0</v>
      </c>
      <c r="AE1397" s="143"/>
      <c r="AG1397" s="55"/>
      <c r="AH1397" s="55"/>
      <c r="AI1397" s="55"/>
      <c r="AJ1397" s="55"/>
      <c r="AK1397" s="55"/>
      <c r="BO1397" s="86"/>
    </row>
    <row r="1398" spans="1:67" ht="15.75" customHeight="1" x14ac:dyDescent="0.25">
      <c r="A1398" s="520">
        <f>IFERROR(VLOOKUP($G$5,'רשימת רשויות'!A:C,3,0),0)</f>
        <v>0</v>
      </c>
      <c r="B1398" s="520">
        <f t="shared" si="193"/>
        <v>0</v>
      </c>
      <c r="D1398" s="1134"/>
      <c r="E1398" s="1137"/>
      <c r="F1398" s="589" t="s">
        <v>0</v>
      </c>
      <c r="G1398" s="117">
        <f>IF(G1386="תקין",SUMIFS('דוח הוצאות בפועל (4)'!$E$17:$E$3016,'דוח הוצאות בפועל (4)'!$B$17:$B$3016,'בית ספר - תקצוב לפי מוסד (9)'!$G1381,'דוח הוצאות בפועל (4)'!$M$17:$M$3016,"הע"),0)-Y1398</f>
        <v>0</v>
      </c>
      <c r="H1398" s="127">
        <f>J1383</f>
        <v>0</v>
      </c>
      <c r="I1398" s="128">
        <f>IFERROR(G1398/H1398,0)</f>
        <v>0</v>
      </c>
      <c r="J1398" s="129">
        <f>MIN(IF(ISNUMBER(G1398),G1398,0),H1398)</f>
        <v>0</v>
      </c>
      <c r="K1398" s="120">
        <f>MAX(H1398-G1398,0)</f>
        <v>0</v>
      </c>
      <c r="L1398" s="407"/>
      <c r="M1398" s="393"/>
      <c r="N1398" s="393"/>
      <c r="O1398" s="580"/>
      <c r="P1398" s="968">
        <f>MAX(IF(I1398&lt;100%,MIN((H1398-G1398),H1398*0.25),0),0)</f>
        <v>0</v>
      </c>
      <c r="Q1398" s="619">
        <f>IF(G1398-H1398&gt;0,G1398-H1398,0)</f>
        <v>0</v>
      </c>
      <c r="R1398" s="596"/>
      <c r="S1398" s="610" t="s">
        <v>0</v>
      </c>
      <c r="T1398" s="599">
        <f>G1381</f>
        <v>0</v>
      </c>
      <c r="U1398" s="578"/>
      <c r="V1398" s="579">
        <f>G1398</f>
        <v>0</v>
      </c>
      <c r="W1398" s="579">
        <f t="shared" si="198"/>
        <v>0</v>
      </c>
      <c r="X1398" s="579">
        <f>IFERROR(W1409*W1398/(SUM(W1395:W1408)),0)</f>
        <v>0</v>
      </c>
      <c r="Y1398" s="879">
        <f>SUMIFS(בקרה!$S:$S,בקרה!$D:$D,T1398,בקרה!$K:$K,S1398)</f>
        <v>0</v>
      </c>
      <c r="Z1398" s="121"/>
      <c r="AA1398" s="143"/>
      <c r="AB1398" s="143"/>
      <c r="AC1398" s="504">
        <v>0</v>
      </c>
      <c r="AD1398" s="505">
        <f t="shared" si="199"/>
        <v>0</v>
      </c>
      <c r="AE1398" s="143"/>
      <c r="AG1398" s="55"/>
      <c r="AH1398" s="55"/>
      <c r="AI1398" s="40"/>
      <c r="AJ1398" s="55"/>
      <c r="AK1398" s="55"/>
      <c r="BO1398" s="86"/>
    </row>
    <row r="1399" spans="1:67" s="55" customFormat="1" ht="15.75" customHeight="1" x14ac:dyDescent="0.25">
      <c r="A1399" s="520">
        <f>IFERROR(VLOOKUP($G$5,'רשימת רשויות'!A:C,3,0),0)</f>
        <v>0</v>
      </c>
      <c r="B1399" s="520">
        <f t="shared" si="193"/>
        <v>0</v>
      </c>
      <c r="C1399" s="39"/>
      <c r="D1399" s="1134"/>
      <c r="E1399" s="1137"/>
      <c r="F1399" s="589" t="s">
        <v>93</v>
      </c>
      <c r="G1399" s="130">
        <f>IF(G1386="תקין",SUMIFS('דוח הוצאות בפועל (4)'!$E$17:$E$3016,'דוח הוצאות בפועל (4)'!$B$17:$B$3016,'בית ספר - תקצוב לפי מוסד (9)'!$G1381,'דוח הוצאות בפועל (4)'!$M$17:$M$3016,"אר"),0)-Y1399</f>
        <v>0</v>
      </c>
      <c r="H1399" s="118">
        <f>$I1389</f>
        <v>0</v>
      </c>
      <c r="I1399" s="131">
        <f>IFERROR((G1399+G1400)/H1399,0)</f>
        <v>0</v>
      </c>
      <c r="J1399" s="100">
        <f>MIN((IF(ISNUMBER(G1399),G1399,0)+IF(ISNUMBER(G1400),G1400,0)),H1399)</f>
        <v>0</v>
      </c>
      <c r="K1399" s="1139">
        <f>MAX((H1399)-(G1399+G1400),0)</f>
        <v>0</v>
      </c>
      <c r="L1399" s="407"/>
      <c r="M1399" s="393"/>
      <c r="N1399" s="393"/>
      <c r="O1399" s="602"/>
      <c r="P1399" s="1141"/>
      <c r="Q1399" s="1142"/>
      <c r="R1399" s="596"/>
      <c r="S1399" s="610" t="s">
        <v>93</v>
      </c>
      <c r="T1399" s="599">
        <f>G1381</f>
        <v>0</v>
      </c>
      <c r="U1399" s="578"/>
      <c r="V1399" s="579">
        <f t="shared" ref="V1399:V1400" si="200">G1399</f>
        <v>0</v>
      </c>
      <c r="W1399" s="579">
        <f t="shared" si="198"/>
        <v>0</v>
      </c>
      <c r="X1399" s="579">
        <f>IFERROR(W1409*W1399/(SUM(W1395:W1408)),0)</f>
        <v>0</v>
      </c>
      <c r="Y1399" s="879">
        <f>SUMIFS(בקרה!$S:$S,בקרה!$D:$D,T1399,בקרה!$K:$K,S1399)</f>
        <v>0</v>
      </c>
      <c r="Z1399" s="121"/>
      <c r="AA1399" s="143"/>
      <c r="AB1399" s="143"/>
      <c r="AC1399" s="504">
        <v>0</v>
      </c>
      <c r="AD1399" s="505">
        <f t="shared" si="199"/>
        <v>0</v>
      </c>
      <c r="AE1399" s="143"/>
      <c r="AJ1399" s="22"/>
      <c r="AO1399" s="22"/>
      <c r="AP1399" s="22"/>
      <c r="AQ1399" s="22"/>
      <c r="AR1399" s="22"/>
      <c r="AS1399" s="22"/>
      <c r="AT1399" s="22"/>
      <c r="AU1399" s="35"/>
      <c r="AV1399" s="35"/>
      <c r="AW1399" s="35"/>
      <c r="AX1399" s="35"/>
      <c r="AY1399" s="35"/>
      <c r="AZ1399" s="35"/>
      <c r="BA1399" s="35"/>
      <c r="BB1399" s="35"/>
      <c r="BC1399" s="35"/>
      <c r="BD1399" s="35"/>
      <c r="BE1399" s="35"/>
      <c r="BF1399" s="35"/>
      <c r="BG1399" s="35"/>
      <c r="BH1399" s="35"/>
      <c r="BI1399" s="35"/>
      <c r="BJ1399" s="35"/>
      <c r="BK1399" s="35"/>
      <c r="BL1399" s="35"/>
      <c r="BM1399" s="35"/>
      <c r="BN1399" s="35"/>
      <c r="BO1399" s="86"/>
    </row>
    <row r="1400" spans="1:67" s="55" customFormat="1" ht="15.75" customHeight="1" x14ac:dyDescent="0.25">
      <c r="A1400" s="520">
        <f>IFERROR(VLOOKUP($G$5,'רשימת רשויות'!A:C,3,0),0)</f>
        <v>0</v>
      </c>
      <c r="B1400" s="520">
        <f t="shared" si="193"/>
        <v>0</v>
      </c>
      <c r="C1400" s="39"/>
      <c r="D1400" s="1134"/>
      <c r="E1400" s="1137"/>
      <c r="F1400" s="589" t="s">
        <v>46</v>
      </c>
      <c r="G1400" s="130">
        <f>IF(G1386="תקין",SUMIFS('דוח הוצאות בפועל (4)'!$E$17:$E$3016,'דוח הוצאות בפועל (4)'!$B$17:$B$3016,'בית ספר - תקצוב לפי מוסד (9)'!$G1381,'דוח הוצאות בפועל (4)'!$M$17:$M$3016,"מל"),0)-Y1400</f>
        <v>0</v>
      </c>
      <c r="H1400" s="132"/>
      <c r="I1400" s="133"/>
      <c r="J1400" s="104"/>
      <c r="K1400" s="1139"/>
      <c r="L1400" s="407"/>
      <c r="M1400" s="393"/>
      <c r="N1400" s="393"/>
      <c r="O1400" s="602"/>
      <c r="P1400" s="1141"/>
      <c r="Q1400" s="1142"/>
      <c r="R1400" s="596"/>
      <c r="S1400" s="610" t="s">
        <v>46</v>
      </c>
      <c r="T1400" s="599">
        <f>G1381</f>
        <v>0</v>
      </c>
      <c r="U1400" s="578"/>
      <c r="V1400" s="579">
        <f t="shared" si="200"/>
        <v>0</v>
      </c>
      <c r="W1400" s="579">
        <f t="shared" si="198"/>
        <v>0</v>
      </c>
      <c r="X1400" s="579">
        <f>IFERROR(W1409*W1400/(SUM(W1395:W1408)),0)</f>
        <v>0</v>
      </c>
      <c r="Y1400" s="879">
        <f>SUMIFS(בקרה!$S:$S,בקרה!$D:$D,T1400,בקרה!$K:$K,S1400)</f>
        <v>0</v>
      </c>
      <c r="Z1400" s="121"/>
      <c r="AA1400" s="143"/>
      <c r="AB1400" s="143"/>
      <c r="AC1400" s="504">
        <v>0</v>
      </c>
      <c r="AD1400" s="505">
        <f t="shared" si="199"/>
        <v>0</v>
      </c>
      <c r="AE1400" s="143"/>
      <c r="AJ1400" s="22"/>
      <c r="AO1400" s="22"/>
      <c r="AP1400" s="22"/>
      <c r="AQ1400" s="22"/>
      <c r="AR1400" s="22"/>
      <c r="AS1400" s="22"/>
      <c r="AT1400" s="22"/>
      <c r="AU1400" s="35"/>
      <c r="AV1400" s="35"/>
      <c r="AW1400" s="35"/>
      <c r="AX1400" s="35"/>
      <c r="AY1400" s="35"/>
      <c r="AZ1400" s="35"/>
      <c r="BA1400" s="35"/>
      <c r="BB1400" s="35"/>
      <c r="BC1400" s="35"/>
      <c r="BD1400" s="35"/>
      <c r="BE1400" s="35"/>
      <c r="BF1400" s="35"/>
      <c r="BG1400" s="35"/>
      <c r="BH1400" s="35"/>
      <c r="BI1400" s="35"/>
      <c r="BJ1400" s="35"/>
      <c r="BK1400" s="35"/>
      <c r="BL1400" s="35"/>
      <c r="BM1400" s="35"/>
      <c r="BN1400" s="35"/>
      <c r="BO1400" s="86"/>
    </row>
    <row r="1401" spans="1:67" s="55" customFormat="1" ht="15" customHeight="1" x14ac:dyDescent="0.25">
      <c r="A1401" s="520">
        <f>IFERROR(VLOOKUP($G$5,'רשימת רשויות'!A:C,3,0),0)</f>
        <v>0</v>
      </c>
      <c r="B1401" s="520">
        <f t="shared" si="193"/>
        <v>0</v>
      </c>
      <c r="C1401" s="39"/>
      <c r="D1401" s="1134"/>
      <c r="E1401" s="1137"/>
      <c r="F1401" s="591" t="s">
        <v>23</v>
      </c>
      <c r="G1401" s="134">
        <f>SUM(G1395:G1400)</f>
        <v>0</v>
      </c>
      <c r="H1401" s="135">
        <f>SUM(H1395:H1400)</f>
        <v>0</v>
      </c>
      <c r="I1401" s="128">
        <f>IFERROR(G1401/H1401,0)</f>
        <v>0</v>
      </c>
      <c r="J1401" s="136">
        <f>SUM(J1395:J1400)</f>
        <v>0</v>
      </c>
      <c r="K1401" s="137">
        <f>SUM(K1395:K1400)</f>
        <v>0</v>
      </c>
      <c r="L1401" s="408"/>
      <c r="M1401" s="394"/>
      <c r="N1401" s="394"/>
      <c r="O1401" s="602"/>
      <c r="P1401" s="620">
        <f>SUM(P1395:P1400)</f>
        <v>0</v>
      </c>
      <c r="Q1401" s="620">
        <f>SUM(Q1395:Q1400)</f>
        <v>0</v>
      </c>
      <c r="R1401" s="596"/>
      <c r="S1401" s="610"/>
      <c r="T1401" s="599">
        <f>G1381</f>
        <v>0</v>
      </c>
      <c r="U1401" s="578"/>
      <c r="V1401" s="579"/>
      <c r="W1401" s="579">
        <f t="shared" si="198"/>
        <v>0</v>
      </c>
      <c r="X1401" s="579"/>
      <c r="Y1401" s="879"/>
      <c r="Z1401" s="121"/>
      <c r="AA1401" s="143"/>
      <c r="AB1401" s="143"/>
      <c r="AC1401" s="504"/>
      <c r="AD1401" s="505">
        <f t="shared" si="199"/>
        <v>0</v>
      </c>
      <c r="AE1401" s="143"/>
      <c r="AJ1401" s="22"/>
      <c r="AL1401" s="22"/>
      <c r="AM1401" s="22"/>
      <c r="AN1401" s="22"/>
      <c r="AO1401" s="22"/>
      <c r="AP1401" s="22"/>
      <c r="AQ1401" s="22"/>
      <c r="AR1401" s="22"/>
      <c r="AS1401" s="22"/>
      <c r="AT1401" s="22"/>
      <c r="AU1401" s="35"/>
      <c r="AV1401" s="35"/>
      <c r="AW1401" s="35"/>
      <c r="AX1401" s="35"/>
      <c r="AY1401" s="35"/>
      <c r="AZ1401" s="35"/>
      <c r="BA1401" s="35"/>
      <c r="BB1401" s="35"/>
      <c r="BC1401" s="35"/>
      <c r="BD1401" s="35"/>
      <c r="BE1401" s="35"/>
      <c r="BF1401" s="35"/>
      <c r="BG1401" s="35"/>
      <c r="BH1401" s="35"/>
      <c r="BI1401" s="35"/>
      <c r="BJ1401" s="35"/>
      <c r="BK1401" s="35"/>
      <c r="BL1401" s="35"/>
      <c r="BM1401" s="35"/>
      <c r="BN1401" s="35"/>
      <c r="BO1401" s="86"/>
    </row>
    <row r="1402" spans="1:67" s="55" customFormat="1" ht="15" customHeight="1" x14ac:dyDescent="0.25">
      <c r="A1402" s="520">
        <f>IFERROR(VLOOKUP($G$5,'רשימת רשויות'!A:C,3,0),0)</f>
        <v>0</v>
      </c>
      <c r="B1402" s="520">
        <f t="shared" si="193"/>
        <v>0</v>
      </c>
      <c r="C1402" s="39"/>
      <c r="D1402" s="1134"/>
      <c r="E1402" s="1137"/>
      <c r="F1402" s="589" t="s">
        <v>3</v>
      </c>
      <c r="G1402" s="117">
        <f>IF(G1386="תקין",SUMIFS('דוח הוצאות בפועל (4)'!$E$17:$E$3016,'דוח הוצאות בפועל (4)'!$B$17:$B$3016,'בית ספר - תקצוב לפי מוסד (9)'!$G1381,'דוח הוצאות בפועל (4)'!$M$17:$M$3016,"ני")+SUMIFS('דוח הוצאות בפועל (4)'!$E$17:$E$3016,'דוח הוצאות בפועל (4)'!$B$17:$B$3016,'בית ספר - תקצוב לפי מוסד (9)'!$G1381,'דוח הוצאות בפועל (4)'!$M$17:$M$3016,"על"),0)-Y1402</f>
        <v>0</v>
      </c>
      <c r="H1402" s="117">
        <f>H1383</f>
        <v>0</v>
      </c>
      <c r="I1402" s="138">
        <f>IFERROR(G1402/H1402,0)</f>
        <v>0</v>
      </c>
      <c r="J1402" s="117">
        <f>IFERROR(IF(G1402/H1404&gt;0.15,MIN(H1404*0.15,H1402),MIN(H1402,IF(ISNUMBER(G1402),G1402,0))),0)</f>
        <v>0</v>
      </c>
      <c r="K1402" s="120">
        <f>MAX(H1402-G1402,0)</f>
        <v>0</v>
      </c>
      <c r="L1402" s="407"/>
      <c r="M1402" s="393"/>
      <c r="N1402" s="393"/>
      <c r="O1402" s="602"/>
      <c r="P1402" s="620">
        <f>IF(I1402&lt;100%,MIN(H1402-G1402,H1402*0.25),0)</f>
        <v>0</v>
      </c>
      <c r="Q1402" s="620">
        <f>MAX(MIN(IF(G1402-H1402&gt;0,G1402-H1402,0),$H1404*0.15-H1402-J1403),0)</f>
        <v>0</v>
      </c>
      <c r="R1402" s="596"/>
      <c r="S1402" s="610" t="s">
        <v>3</v>
      </c>
      <c r="T1402" s="599">
        <f>G1381</f>
        <v>0</v>
      </c>
      <c r="U1402" s="578"/>
      <c r="V1402" s="579">
        <f t="shared" ref="V1402" si="201">G1402</f>
        <v>0</v>
      </c>
      <c r="W1402" s="579">
        <f t="shared" si="198"/>
        <v>0</v>
      </c>
      <c r="X1402" s="579"/>
      <c r="Y1402" s="879"/>
      <c r="Z1402" s="121"/>
      <c r="AA1402" s="143"/>
      <c r="AB1402" s="143"/>
      <c r="AC1402" s="504">
        <v>0</v>
      </c>
      <c r="AD1402" s="505">
        <f t="shared" si="199"/>
        <v>0</v>
      </c>
      <c r="AE1402" s="143"/>
      <c r="AG1402" s="22"/>
      <c r="AH1402" s="22"/>
      <c r="AI1402" s="22"/>
      <c r="AJ1402" s="22"/>
      <c r="AK1402" s="22"/>
      <c r="AL1402" s="22"/>
      <c r="AM1402" s="22"/>
      <c r="AN1402" s="22"/>
      <c r="AO1402" s="22"/>
      <c r="AP1402" s="22"/>
      <c r="AQ1402" s="22"/>
      <c r="AR1402" s="22"/>
      <c r="AS1402" s="22"/>
      <c r="AT1402" s="22"/>
      <c r="AU1402" s="35"/>
      <c r="AV1402" s="35"/>
      <c r="AW1402" s="35"/>
      <c r="AX1402" s="35"/>
      <c r="AY1402" s="35"/>
      <c r="AZ1402" s="35"/>
      <c r="BA1402" s="35"/>
      <c r="BB1402" s="35"/>
      <c r="BC1402" s="35"/>
      <c r="BD1402" s="35"/>
      <c r="BE1402" s="35"/>
      <c r="BF1402" s="35"/>
      <c r="BG1402" s="35"/>
      <c r="BH1402" s="35"/>
      <c r="BI1402" s="35"/>
      <c r="BJ1402" s="35"/>
      <c r="BK1402" s="35"/>
      <c r="BL1402" s="35"/>
      <c r="BM1402" s="35"/>
      <c r="BN1402" s="35"/>
      <c r="BO1402" s="86"/>
    </row>
    <row r="1403" spans="1:67" s="55" customFormat="1" ht="15.75" customHeight="1" x14ac:dyDescent="0.25">
      <c r="A1403" s="520">
        <f>IFERROR(VLOOKUP($G$5,'רשימת רשויות'!A:C,3,0),0)</f>
        <v>0</v>
      </c>
      <c r="B1403" s="520">
        <f t="shared" si="193"/>
        <v>0</v>
      </c>
      <c r="C1403" s="39"/>
      <c r="D1403" s="1134"/>
      <c r="E1403" s="1137"/>
      <c r="F1403" s="589" t="s">
        <v>2918</v>
      </c>
      <c r="G1403" s="117">
        <f>0.07*(G1397+G1396)</f>
        <v>0</v>
      </c>
      <c r="H1403" s="117">
        <f>H1385</f>
        <v>0</v>
      </c>
      <c r="I1403" s="138">
        <f>IFERROR(G1403/H1403,0)</f>
        <v>0</v>
      </c>
      <c r="J1403" s="117">
        <f>IFERROR(MIN(0.07*(G1396+G1397),0.07*I1385),0)</f>
        <v>0</v>
      </c>
      <c r="K1403" s="120">
        <f>MAX(H1403-G1403,0)</f>
        <v>0</v>
      </c>
      <c r="L1403" s="407"/>
      <c r="M1403" s="393"/>
      <c r="N1403" s="393"/>
      <c r="O1403" s="602"/>
      <c r="P1403" s="620"/>
      <c r="Q1403" s="619"/>
      <c r="R1403" s="596"/>
      <c r="S1403" s="611"/>
      <c r="T1403" s="599">
        <f>G1381</f>
        <v>0</v>
      </c>
      <c r="U1403" s="578"/>
      <c r="V1403" s="579"/>
      <c r="W1403" s="579">
        <f t="shared" si="198"/>
        <v>0</v>
      </c>
      <c r="X1403" s="579"/>
      <c r="Y1403" s="879"/>
      <c r="Z1403" s="121"/>
      <c r="AA1403" s="143"/>
      <c r="AB1403" s="143"/>
      <c r="AC1403" s="504"/>
      <c r="AD1403" s="505"/>
      <c r="AE1403" s="143"/>
      <c r="AF1403" s="140"/>
      <c r="AG1403" s="22"/>
      <c r="AH1403" s="22"/>
      <c r="AI1403" s="22"/>
      <c r="AJ1403" s="22"/>
      <c r="AK1403" s="22"/>
      <c r="AL1403" s="22"/>
      <c r="AM1403" s="22"/>
      <c r="AN1403" s="22"/>
      <c r="AO1403" s="22"/>
      <c r="AP1403" s="22"/>
      <c r="AQ1403" s="22"/>
      <c r="AR1403" s="22"/>
      <c r="AS1403" s="22"/>
      <c r="AT1403" s="22"/>
      <c r="AU1403" s="35"/>
      <c r="AV1403" s="35"/>
      <c r="AW1403" s="35"/>
      <c r="AX1403" s="35"/>
      <c r="AY1403" s="35"/>
      <c r="AZ1403" s="35"/>
      <c r="BA1403" s="35"/>
      <c r="BB1403" s="35"/>
      <c r="BC1403" s="35"/>
      <c r="BD1403" s="35"/>
      <c r="BE1403" s="35"/>
      <c r="BF1403" s="35"/>
      <c r="BG1403" s="35"/>
      <c r="BH1403" s="35"/>
      <c r="BI1403" s="35"/>
      <c r="BJ1403" s="35"/>
      <c r="BK1403" s="35"/>
      <c r="BL1403" s="35"/>
      <c r="BM1403" s="35"/>
      <c r="BN1403" s="35"/>
      <c r="BO1403" s="86"/>
    </row>
    <row r="1404" spans="1:67" ht="15.75" customHeight="1" x14ac:dyDescent="0.25">
      <c r="A1404" s="520">
        <f>IFERROR(VLOOKUP($G$5,'רשימת רשויות'!A:C,3,0),0)</f>
        <v>0</v>
      </c>
      <c r="B1404" s="520">
        <f t="shared" si="193"/>
        <v>0</v>
      </c>
      <c r="D1404" s="1134"/>
      <c r="E1404" s="1137"/>
      <c r="F1404" s="591" t="s">
        <v>15</v>
      </c>
      <c r="G1404" s="134">
        <f>G1401+G1402+G1403</f>
        <v>0</v>
      </c>
      <c r="H1404" s="134">
        <f>H1401+H1402+H1403</f>
        <v>0</v>
      </c>
      <c r="I1404" s="138">
        <f>IFERROR(G1404/H1404,0)</f>
        <v>0</v>
      </c>
      <c r="J1404" s="139">
        <f>J1401+J1402+J1403</f>
        <v>0</v>
      </c>
      <c r="K1404" s="137">
        <f>K1402+K1401+K1403</f>
        <v>0</v>
      </c>
      <c r="L1404" s="408"/>
      <c r="M1404" s="394"/>
      <c r="N1404" s="394"/>
      <c r="O1404" s="602"/>
      <c r="P1404" s="621">
        <f>SUM(P1401:P1402)</f>
        <v>0</v>
      </c>
      <c r="Q1404" s="622">
        <f>Q1401+Q1402</f>
        <v>0</v>
      </c>
      <c r="R1404" s="596"/>
      <c r="S1404" s="611"/>
      <c r="T1404" s="599">
        <f>G1381</f>
        <v>0</v>
      </c>
      <c r="U1404" s="578"/>
      <c r="V1404" s="579"/>
      <c r="W1404" s="579">
        <f t="shared" si="198"/>
        <v>0</v>
      </c>
      <c r="X1404" s="579"/>
      <c r="Y1404" s="879"/>
      <c r="Z1404" s="106"/>
      <c r="AC1404" s="504"/>
      <c r="AD1404" s="505"/>
      <c r="AH1404" s="143"/>
      <c r="BO1404" s="86"/>
    </row>
    <row r="1405" spans="1:67" ht="15.75" customHeight="1" x14ac:dyDescent="0.25">
      <c r="A1405" s="520">
        <f>IFERROR(VLOOKUP($G$5,'רשימת רשויות'!A:C,3,0),0)</f>
        <v>0</v>
      </c>
      <c r="B1405" s="520">
        <f t="shared" si="193"/>
        <v>0</v>
      </c>
      <c r="D1405" s="1134"/>
      <c r="E1405" s="1137"/>
      <c r="F1405" s="589" t="s">
        <v>2261</v>
      </c>
      <c r="G1405" s="117">
        <f>IF(G1386="תקין",SUMIF('תשלומי הורים ומלגות להורים (5) '!$B$18:$B$517,$G1381,'תשלומי הורים ומלגות להורים (5) '!$C$18:$C$517),0)</f>
        <v>0</v>
      </c>
      <c r="H1405" s="117">
        <f>(G1384+G1385)*$G$7</f>
        <v>0</v>
      </c>
      <c r="I1405" s="141"/>
      <c r="J1405" s="141"/>
      <c r="K1405" s="142"/>
      <c r="L1405" s="395"/>
      <c r="M1405" s="395"/>
      <c r="N1405" s="395"/>
      <c r="O1405" s="602"/>
      <c r="P1405" s="623"/>
      <c r="Q1405" s="619"/>
      <c r="R1405" s="596"/>
      <c r="S1405" s="612"/>
      <c r="T1405" s="599">
        <f>G1381</f>
        <v>0</v>
      </c>
      <c r="U1405" s="578"/>
      <c r="V1405" s="579"/>
      <c r="W1405" s="579">
        <f t="shared" si="198"/>
        <v>0</v>
      </c>
      <c r="X1405" s="579"/>
      <c r="Y1405" s="879"/>
      <c r="Z1405" s="121"/>
      <c r="AA1405" s="143"/>
      <c r="AB1405" s="143"/>
      <c r="AC1405" s="504"/>
      <c r="AD1405" s="505"/>
      <c r="AE1405" s="143"/>
      <c r="AF1405" s="148"/>
      <c r="BO1405" s="86"/>
    </row>
    <row r="1406" spans="1:67" ht="15.75" customHeight="1" thickBot="1" x14ac:dyDescent="0.3">
      <c r="A1406" s="520">
        <f>IFERROR(VLOOKUP($G$5,'רשימת רשויות'!A:C,3,0),0)</f>
        <v>0</v>
      </c>
      <c r="B1406" s="520">
        <f t="shared" si="193"/>
        <v>0</v>
      </c>
      <c r="D1406" s="1134"/>
      <c r="E1406" s="1137"/>
      <c r="F1406" s="592" t="s">
        <v>21</v>
      </c>
      <c r="G1406" s="144">
        <f>G1404-G1405</f>
        <v>0</v>
      </c>
      <c r="H1406" s="144">
        <f>H1404-H1405</f>
        <v>0</v>
      </c>
      <c r="I1406" s="145"/>
      <c r="J1406" s="145"/>
      <c r="K1406" s="146"/>
      <c r="L1406" s="396"/>
      <c r="M1406" s="396"/>
      <c r="N1406" s="396"/>
      <c r="O1406" s="602"/>
      <c r="P1406" s="619"/>
      <c r="Q1406" s="619"/>
      <c r="R1406" s="596"/>
      <c r="S1406" s="612"/>
      <c r="T1406" s="599">
        <f>G1381</f>
        <v>0</v>
      </c>
      <c r="U1406" s="578"/>
      <c r="V1406" s="579"/>
      <c r="W1406" s="579">
        <f t="shared" si="198"/>
        <v>0</v>
      </c>
      <c r="X1406" s="579"/>
      <c r="Y1406" s="879"/>
      <c r="Z1406" s="147"/>
      <c r="AA1406" s="148"/>
      <c r="AB1406" s="148"/>
      <c r="AC1406" s="504"/>
      <c r="AD1406" s="505"/>
      <c r="AE1406" s="148"/>
      <c r="AF1406" s="148"/>
      <c r="BO1406" s="86"/>
    </row>
    <row r="1407" spans="1:67" ht="15.75" customHeight="1" thickBot="1" x14ac:dyDescent="0.3">
      <c r="A1407" s="520">
        <f>IFERROR(VLOOKUP($G$5,'רשימת רשויות'!A:C,3,0),0)</f>
        <v>0</v>
      </c>
      <c r="B1407" s="520">
        <f t="shared" si="193"/>
        <v>0</v>
      </c>
      <c r="D1407" s="1134"/>
      <c r="E1407" s="1137"/>
      <c r="F1407" s="580"/>
      <c r="G1407" s="580"/>
      <c r="H1407" s="147"/>
      <c r="I1407" s="149" t="s">
        <v>2197</v>
      </c>
      <c r="J1407" s="150">
        <f>MAX(MIN(P1404,Q1404),0)</f>
        <v>0</v>
      </c>
      <c r="K1407" s="580"/>
      <c r="L1407" s="580"/>
      <c r="M1407" s="580"/>
      <c r="N1407" s="580"/>
      <c r="O1407" s="580"/>
      <c r="P1407" s="615" t="s">
        <v>2317</v>
      </c>
      <c r="Q1407" s="624">
        <f>SUM(Q1408:Q1409)</f>
        <v>0</v>
      </c>
      <c r="R1407" s="596"/>
      <c r="S1407" s="612"/>
      <c r="T1407" s="599">
        <f>G1381</f>
        <v>0</v>
      </c>
      <c r="U1407" s="578"/>
      <c r="V1407" s="579"/>
      <c r="W1407" s="579">
        <f t="shared" si="198"/>
        <v>0</v>
      </c>
      <c r="X1407" s="579"/>
      <c r="Y1407" s="879"/>
      <c r="Z1407" s="106"/>
      <c r="AC1407" s="504"/>
      <c r="AD1407" s="505"/>
      <c r="AF1407" s="148"/>
      <c r="BO1407" s="86"/>
    </row>
    <row r="1408" spans="1:67" ht="16.5" thickBot="1" x14ac:dyDescent="0.3">
      <c r="A1408" s="520">
        <f>IFERROR(VLOOKUP($G$5,'רשימת רשויות'!A:C,3,0),0)</f>
        <v>0</v>
      </c>
      <c r="B1408" s="520">
        <f t="shared" si="193"/>
        <v>0</v>
      </c>
      <c r="D1408" s="1134"/>
      <c r="E1408" s="1137"/>
      <c r="F1408" s="580"/>
      <c r="G1408" s="580"/>
      <c r="H1408" s="580"/>
      <c r="I1408" s="84" t="s">
        <v>2193</v>
      </c>
      <c r="J1408" s="515" t="str">
        <f>IFERROR(1-H1405/H1404,"")</f>
        <v/>
      </c>
      <c r="K1408" s="580"/>
      <c r="L1408" s="580"/>
      <c r="M1408" s="580"/>
      <c r="N1408" s="580"/>
      <c r="O1408" s="580"/>
      <c r="P1408" s="615" t="s">
        <v>417</v>
      </c>
      <c r="Q1408" s="616">
        <f>IFERROR(MAX(H1406-I1409-Q1409,0),0)</f>
        <v>0</v>
      </c>
      <c r="R1408" s="596"/>
      <c r="S1408" s="600"/>
      <c r="T1408" s="599">
        <f>G1381</f>
        <v>0</v>
      </c>
      <c r="U1408" s="578"/>
      <c r="V1408" s="579"/>
      <c r="W1408" s="579">
        <f t="shared" si="198"/>
        <v>0</v>
      </c>
      <c r="X1408" s="579"/>
      <c r="Y1408" s="879"/>
      <c r="Z1408" s="106"/>
      <c r="AC1408" s="504"/>
      <c r="AD1408" s="505"/>
      <c r="BO1408" s="86"/>
    </row>
    <row r="1409" spans="1:67" ht="17.25" thickBot="1" x14ac:dyDescent="0.3">
      <c r="A1409" s="520">
        <f>IFERROR(VLOOKUP($G$5,'רשימת רשויות'!A:C,3,0),0)</f>
        <v>0</v>
      </c>
      <c r="B1409" s="520">
        <f t="shared" si="193"/>
        <v>0</v>
      </c>
      <c r="D1409" s="1134"/>
      <c r="E1409" s="1137"/>
      <c r="F1409" s="1143" t="s">
        <v>2679</v>
      </c>
      <c r="G1409" s="1143"/>
      <c r="H1409" s="1143"/>
      <c r="I1409" s="722">
        <f>IF(G1386="לא תקין","לא קיימת זכאות לתקציב לאור אי איוש משרות רכז ו/או סגן רכז ",IFERROR(J1408*(J1407+J1404),0))</f>
        <v>0</v>
      </c>
      <c r="J1409" s="573"/>
      <c r="K1409" s="574"/>
      <c r="L1409" s="396"/>
      <c r="M1409" s="574"/>
      <c r="N1409" s="574"/>
      <c r="O1409" s="574"/>
      <c r="P1409" s="615" t="s">
        <v>2279</v>
      </c>
      <c r="Q1409" s="616">
        <f>MAX(IF(AND(G1404&gt;H1404,I1409&lt;H1406),H1406-I1409,0),0)</f>
        <v>0</v>
      </c>
      <c r="R1409" s="575"/>
      <c r="S1409" s="576" t="s">
        <v>67</v>
      </c>
      <c r="T1409" s="577">
        <f>G1381</f>
        <v>0</v>
      </c>
      <c r="U1409" s="578"/>
      <c r="V1409" s="579">
        <f>I1409</f>
        <v>0</v>
      </c>
      <c r="W1409" s="579">
        <f>IFERROR(U1409-V1409,0)</f>
        <v>0</v>
      </c>
      <c r="X1409" s="579">
        <f>SUM(X1395:X1408)</f>
        <v>0</v>
      </c>
      <c r="Y1409" s="879"/>
      <c r="Z1409" s="106"/>
      <c r="AC1409" s="506">
        <v>0</v>
      </c>
      <c r="AD1409" s="507">
        <f>IFERROR(U1409-AC1409,0)</f>
        <v>0</v>
      </c>
      <c r="BO1409" s="86"/>
    </row>
    <row r="1410" spans="1:67" ht="16.5" thickBot="1" x14ac:dyDescent="0.3">
      <c r="A1410" s="520">
        <f>IFERROR(VLOOKUP($G$5,'רשימת רשויות'!A:C,3,0),0)</f>
        <v>0</v>
      </c>
      <c r="B1410" s="520">
        <f t="shared" si="193"/>
        <v>0</v>
      </c>
      <c r="D1410" s="1135"/>
      <c r="E1410" s="1138"/>
      <c r="F1410" s="1144" t="s">
        <v>2793</v>
      </c>
      <c r="G1410" s="1145"/>
      <c r="H1410" s="1145"/>
      <c r="I1410" s="593">
        <f>IFERROR(IF(G1386="תקין",SUMIFS('סייעות רפואיות או אישיות (7)'!$Q$17:Q$384,'סייעות רפואיות או אישיות (7)'!C$17:C$384,G1381),0),0)</f>
        <v>0</v>
      </c>
      <c r="J1410" s="151"/>
      <c r="K1410" s="152"/>
      <c r="L1410" s="409"/>
      <c r="M1410" s="152"/>
      <c r="N1410" s="152"/>
      <c r="O1410" s="152"/>
      <c r="P1410" s="613"/>
      <c r="Q1410" s="614"/>
      <c r="R1410" s="475"/>
      <c r="S1410" s="489"/>
      <c r="T1410" s="490"/>
      <c r="U1410" s="491"/>
      <c r="V1410" s="492"/>
      <c r="W1410" s="492"/>
      <c r="X1410" s="492"/>
      <c r="Y1410" s="880"/>
      <c r="Z1410" s="153"/>
      <c r="AC1410" s="581"/>
      <c r="AD1410" s="582"/>
      <c r="BO1410" s="86"/>
    </row>
    <row r="1411" spans="1:67" ht="34.5" thickBot="1" x14ac:dyDescent="0.55000000000000004">
      <c r="A1411" s="520">
        <f>IFERROR(VLOOKUP($G$5,'רשימת רשויות'!A:C,3,0),0)</f>
        <v>0</v>
      </c>
      <c r="B1411" s="520">
        <f t="shared" si="193"/>
        <v>0</v>
      </c>
      <c r="E1411" s="154"/>
      <c r="I1411" s="143"/>
      <c r="J1411" s="148"/>
      <c r="O1411" s="148"/>
      <c r="T1411" s="481"/>
      <c r="BO1411" s="86"/>
    </row>
    <row r="1412" spans="1:67" s="20" customFormat="1" ht="16.5" customHeight="1" thickBot="1" x14ac:dyDescent="0.3">
      <c r="A1412" s="520">
        <f>IFERROR(VLOOKUP($G$5,'רשימת רשויות'!A:C,3,0),0)</f>
        <v>0</v>
      </c>
      <c r="B1412" s="520">
        <f t="shared" si="193"/>
        <v>0</v>
      </c>
      <c r="C1412" s="39"/>
      <c r="D1412" s="1133">
        <f>D1381+1</f>
        <v>46</v>
      </c>
      <c r="E1412" s="1136" t="str">
        <f>IFERROR(CONCATENATE("בית הספר ",VLOOKUP(G1412,'מצבת והרשמה (2)'!$C$21:$D$520,2,0)," - ",$G$5),"")</f>
        <v>בית הספר המוסד לא קיים - 0</v>
      </c>
      <c r="F1412" s="720" t="s">
        <v>146</v>
      </c>
      <c r="G1412" s="721">
        <f>IFERROR(VLOOKUP(D:D,'דוח ביצוע (3)'!$A$21:$C$900,2,0),0)</f>
        <v>0</v>
      </c>
      <c r="H1412" s="79"/>
      <c r="I1412" s="80" t="s">
        <v>150</v>
      </c>
      <c r="J1412" s="80"/>
      <c r="K1412" s="81"/>
      <c r="L1412" s="392"/>
      <c r="M1412" s="392"/>
      <c r="N1412" s="392"/>
      <c r="O1412" s="82"/>
      <c r="P1412" s="470"/>
      <c r="Q1412" s="471"/>
      <c r="R1412" s="472"/>
      <c r="S1412" s="883"/>
      <c r="T1412" s="884"/>
      <c r="U1412" s="486"/>
      <c r="V1412" s="487"/>
      <c r="W1412" s="487"/>
      <c r="X1412" s="487"/>
      <c r="Y1412" s="885"/>
      <c r="Z1412" s="83"/>
      <c r="AC1412" s="502"/>
      <c r="AD1412" s="503"/>
      <c r="AO1412" s="22"/>
      <c r="AP1412" s="22"/>
      <c r="AQ1412" s="22"/>
      <c r="AR1412" s="22"/>
      <c r="AS1412" s="22"/>
      <c r="AT1412" s="22"/>
      <c r="AU1412" s="35"/>
      <c r="AV1412" s="35"/>
      <c r="AW1412" s="35"/>
      <c r="AX1412" s="35"/>
      <c r="AY1412" s="35"/>
      <c r="AZ1412" s="35"/>
      <c r="BA1412" s="35"/>
      <c r="BB1412" s="35"/>
      <c r="BC1412" s="35"/>
      <c r="BD1412" s="35"/>
      <c r="BE1412" s="35"/>
      <c r="BF1412" s="35"/>
      <c r="BG1412" s="35"/>
      <c r="BH1412" s="35"/>
      <c r="BI1412" s="35"/>
      <c r="BJ1412" s="35"/>
      <c r="BK1412" s="35"/>
      <c r="BL1412" s="35"/>
      <c r="BM1412" s="35"/>
      <c r="BN1412" s="35"/>
      <c r="BO1412" s="78"/>
    </row>
    <row r="1413" spans="1:67" s="20" customFormat="1" ht="16.5" thickBot="1" x14ac:dyDescent="0.3">
      <c r="A1413" s="520">
        <f>IFERROR(VLOOKUP($G$5,'רשימת רשויות'!A:C,3,0),0)</f>
        <v>0</v>
      </c>
      <c r="B1413" s="520">
        <f t="shared" si="193"/>
        <v>0</v>
      </c>
      <c r="C1413" s="39"/>
      <c r="D1413" s="1134"/>
      <c r="E1413" s="1137"/>
      <c r="F1413" s="583" t="s">
        <v>145</v>
      </c>
      <c r="G1413" s="516" t="str">
        <f>IFERROR(IF((G1415+G1416)=0,"",IF(VLOOKUP(G1412,'דוח ביצוע (3)'!$B$21:$K$900,5,0)&gt;149,"גדול",IF(AND(VLOOKUP(G1412,'דוח ביצוע (3)'!$B$21:$K$900,5,0)&gt;0,VLOOKUP(G1412,'דוח ביצוע (3)'!$B$21:$K$900,5,0)&lt;150),"קטן",0))),"")</f>
        <v/>
      </c>
      <c r="H1413" s="723" t="s">
        <v>88</v>
      </c>
      <c r="I1413" s="723" t="s">
        <v>13</v>
      </c>
      <c r="J1413" s="725" t="s">
        <v>14</v>
      </c>
      <c r="K1413" s="724" t="s">
        <v>94</v>
      </c>
      <c r="L1413" s="594"/>
      <c r="M1413" s="420" t="s">
        <v>2584</v>
      </c>
      <c r="N1413" s="397" t="s">
        <v>413</v>
      </c>
      <c r="O1413" s="398" t="s">
        <v>52</v>
      </c>
      <c r="P1413" s="595"/>
      <c r="Q1413" s="595"/>
      <c r="R1413" s="596"/>
      <c r="S1413" s="610"/>
      <c r="T1413" s="881"/>
      <c r="U1413" s="598"/>
      <c r="V1413" s="599"/>
      <c r="W1413" s="599"/>
      <c r="X1413" s="599"/>
      <c r="Y1413" s="879"/>
      <c r="Z1413" s="85"/>
      <c r="AC1413" s="493"/>
      <c r="AD1413" s="495"/>
      <c r="AO1413" s="22"/>
      <c r="AP1413" s="22"/>
      <c r="AQ1413" s="22"/>
      <c r="AR1413" s="22"/>
      <c r="AS1413" s="22"/>
      <c r="AT1413" s="22"/>
      <c r="AU1413" s="35"/>
      <c r="AV1413" s="35"/>
      <c r="AW1413" s="35"/>
      <c r="AX1413" s="35"/>
      <c r="AY1413" s="35"/>
      <c r="AZ1413" s="35"/>
      <c r="BA1413" s="35"/>
      <c r="BB1413" s="35"/>
      <c r="BC1413" s="35"/>
      <c r="BD1413" s="35"/>
      <c r="BE1413" s="35"/>
      <c r="BF1413" s="35"/>
      <c r="BG1413" s="35"/>
      <c r="BH1413" s="35"/>
      <c r="BI1413" s="35"/>
      <c r="BJ1413" s="35"/>
      <c r="BK1413" s="35"/>
      <c r="BL1413" s="35"/>
      <c r="BM1413" s="35"/>
      <c r="BN1413" s="35"/>
      <c r="BO1413" s="78"/>
    </row>
    <row r="1414" spans="1:67" s="20" customFormat="1" ht="15.75" customHeight="1" thickBot="1" x14ac:dyDescent="0.3">
      <c r="A1414" s="520">
        <f>IFERROR(VLOOKUP($G$5,'רשימת רשויות'!A:C,3,0),0)</f>
        <v>0</v>
      </c>
      <c r="B1414" s="520">
        <f t="shared" si="193"/>
        <v>0</v>
      </c>
      <c r="C1414" s="39"/>
      <c r="D1414" s="1134"/>
      <c r="E1414" s="1137"/>
      <c r="F1414" s="584" t="s">
        <v>144</v>
      </c>
      <c r="G1414" s="87">
        <f>IF(G1417="תקין",IFERROR(VLOOKUP($G1412,'דוח ביצוע (3)'!$B$21:$Q$900,12,0),0),0)</f>
        <v>0</v>
      </c>
      <c r="H1414" s="88">
        <f>IFERROR(G1415*$AH$6+G1416*$AH$7,0)</f>
        <v>0</v>
      </c>
      <c r="I1414" s="88">
        <f>IFERROR(G1415*$AI$6+G1416*$AI$7,0)</f>
        <v>0</v>
      </c>
      <c r="J1414" s="88">
        <f>IFERROR(G1415*$AJ$6+G1416*$AJ$7,0)</f>
        <v>0</v>
      </c>
      <c r="K1414" s="88">
        <f>IFERROR(G1415*$AK$6+G1416*$AK$7,0)</f>
        <v>0</v>
      </c>
      <c r="L1414" s="405"/>
      <c r="M1414" s="399" t="s">
        <v>427</v>
      </c>
      <c r="N1414" s="400" t="str">
        <f>IFERROR(VLOOKUP($G1412,'דוח ביצוע (3)'!$B:$AE,28,0),"")</f>
        <v/>
      </c>
      <c r="O1414" s="89" t="str">
        <f>IFERROR(VLOOKUP($G1412,'דוח ביצוע (3)'!B:AE,29,0),"")</f>
        <v/>
      </c>
      <c r="P1414" s="595"/>
      <c r="Q1414" s="595"/>
      <c r="R1414" s="596"/>
      <c r="S1414" s="610"/>
      <c r="T1414" s="881"/>
      <c r="U1414" s="598"/>
      <c r="V1414" s="599"/>
      <c r="W1414" s="599"/>
      <c r="X1414" s="599"/>
      <c r="Y1414" s="879"/>
      <c r="Z1414" s="85"/>
      <c r="AC1414" s="493"/>
      <c r="AD1414" s="495"/>
      <c r="AO1414" s="22"/>
      <c r="AP1414" s="22"/>
      <c r="AQ1414" s="22"/>
      <c r="AR1414" s="22"/>
      <c r="AS1414" s="22"/>
      <c r="AT1414" s="22"/>
      <c r="AU1414" s="35"/>
      <c r="AV1414" s="35"/>
      <c r="AW1414" s="35"/>
      <c r="AX1414" s="35"/>
      <c r="AY1414" s="35"/>
      <c r="AZ1414" s="35"/>
      <c r="BA1414" s="35"/>
      <c r="BB1414" s="35"/>
      <c r="BC1414" s="35"/>
      <c r="BD1414" s="35"/>
      <c r="BE1414" s="35"/>
      <c r="BF1414" s="35"/>
      <c r="BG1414" s="35"/>
      <c r="BH1414" s="35"/>
      <c r="BI1414" s="35"/>
      <c r="BJ1414" s="35"/>
      <c r="BK1414" s="35"/>
      <c r="BL1414" s="35"/>
      <c r="BM1414" s="35"/>
      <c r="BN1414" s="35"/>
      <c r="BO1414" s="78"/>
    </row>
    <row r="1415" spans="1:67" s="20" customFormat="1" ht="32.25" thickBot="1" x14ac:dyDescent="0.3">
      <c r="A1415" s="520">
        <f>IFERROR(VLOOKUP($G$5,'רשימת רשויות'!A:C,3,0),0)</f>
        <v>0</v>
      </c>
      <c r="B1415" s="520">
        <f t="shared" si="193"/>
        <v>0</v>
      </c>
      <c r="C1415" s="39"/>
      <c r="D1415" s="1134"/>
      <c r="E1415" s="1137"/>
      <c r="F1415" s="585" t="s">
        <v>2195</v>
      </c>
      <c r="G1415" s="89">
        <f>IF(G1417="תקין",MAX(N1417,0),0)</f>
        <v>0</v>
      </c>
      <c r="H1415" s="725" t="s">
        <v>151</v>
      </c>
      <c r="I1415" s="725" t="s">
        <v>91</v>
      </c>
      <c r="J1415" s="970" t="s">
        <v>3396</v>
      </c>
      <c r="K1415" s="601"/>
      <c r="L1415" s="601"/>
      <c r="M1415" s="983" t="s">
        <v>2585</v>
      </c>
      <c r="N1415" s="400" t="str">
        <f>IFERROR(G1414/15*N1414*1.25,"")</f>
        <v/>
      </c>
      <c r="O1415" s="89" t="str">
        <f>IFERROR(G1414/15*O1414*1.25,"")</f>
        <v/>
      </c>
      <c r="P1415" s="595"/>
      <c r="Q1415" s="595"/>
      <c r="R1415" s="596"/>
      <c r="S1415" s="610"/>
      <c r="T1415" s="881"/>
      <c r="U1415" s="598"/>
      <c r="V1415" s="599"/>
      <c r="W1415" s="599"/>
      <c r="X1415" s="599"/>
      <c r="Y1415" s="879"/>
      <c r="Z1415" s="85"/>
      <c r="AC1415" s="493"/>
      <c r="AD1415" s="495"/>
      <c r="AG1415" s="22"/>
      <c r="AH1415" s="55"/>
      <c r="AI1415" s="55"/>
      <c r="AJ1415" s="55"/>
      <c r="AK1415" s="55"/>
      <c r="AO1415" s="22"/>
      <c r="AP1415" s="22"/>
      <c r="AQ1415" s="22"/>
      <c r="AR1415" s="22"/>
      <c r="AS1415" s="22"/>
      <c r="AT1415" s="22"/>
      <c r="AU1415" s="35"/>
      <c r="AV1415" s="35"/>
      <c r="AW1415" s="35"/>
      <c r="AX1415" s="35"/>
      <c r="AY1415" s="35"/>
      <c r="AZ1415" s="35"/>
      <c r="BA1415" s="35"/>
      <c r="BB1415" s="35"/>
      <c r="BC1415" s="35"/>
      <c r="BD1415" s="35"/>
      <c r="BE1415" s="35"/>
      <c r="BF1415" s="35"/>
      <c r="BG1415" s="35"/>
      <c r="BH1415" s="35"/>
      <c r="BI1415" s="35"/>
      <c r="BJ1415" s="35"/>
      <c r="BK1415" s="35"/>
      <c r="BL1415" s="35"/>
      <c r="BM1415" s="35"/>
      <c r="BN1415" s="35"/>
      <c r="BO1415" s="86"/>
    </row>
    <row r="1416" spans="1:67" s="20" customFormat="1" ht="16.5" thickBot="1" x14ac:dyDescent="0.3">
      <c r="A1416" s="520">
        <f>IFERROR(VLOOKUP($G$5,'רשימת רשויות'!A:C,3,0),0)</f>
        <v>0</v>
      </c>
      <c r="B1416" s="520">
        <f t="shared" si="193"/>
        <v>0</v>
      </c>
      <c r="C1416" s="39"/>
      <c r="D1416" s="1134"/>
      <c r="E1416" s="1137"/>
      <c r="F1416" s="585" t="s">
        <v>2196</v>
      </c>
      <c r="G1416" s="89">
        <f>IF(G1417="תקין",MAX(O1417,0),0)</f>
        <v>0</v>
      </c>
      <c r="H1416" s="88">
        <f>(IFERROR(IF((G1415+G1416)=0,0,IF(G1413="קטן",G1414*$AH$10,G1414*$AH$11)),0))+(IFERROR(IF((G1415+G1416)=0,0,VLOOKUP(G1412,'דוח ביצוע (3)'!$B:$AH,33,0)),0))</f>
        <v>0</v>
      </c>
      <c r="I1416" s="88">
        <f>IFERROR(IF((G1415+G1416)=0,0,IF(G1413="קטן",G1414*$AI$10,G1414*$AI$11)),0)</f>
        <v>0</v>
      </c>
      <c r="J1416" s="88">
        <f>IFERROR(IF((G1415+G1416)=0,0,VLOOKUP(G1412,'דוח ביצוע (3)'!$B:$AH,32,0)),0)</f>
        <v>0</v>
      </c>
      <c r="K1416" s="90"/>
      <c r="L1416" s="90"/>
      <c r="M1416" s="399" t="s">
        <v>412</v>
      </c>
      <c r="N1416" s="400">
        <f>IFERROR(VLOOKUP($G1412,'דוח ביצוע (3)'!$B$21:$U$500,18,0),0)</f>
        <v>0</v>
      </c>
      <c r="O1416" s="401">
        <f>IFERROR(VLOOKUP($G1412,'דוח ביצוע (3)'!$B$21:$U$500,19,0),0)</f>
        <v>0</v>
      </c>
      <c r="P1416" s="595"/>
      <c r="Q1416" s="595"/>
      <c r="R1416" s="596"/>
      <c r="S1416" s="610"/>
      <c r="T1416" s="881"/>
      <c r="U1416" s="598"/>
      <c r="V1416" s="599"/>
      <c r="W1416" s="599"/>
      <c r="X1416" s="599"/>
      <c r="Y1416" s="879"/>
      <c r="Z1416" s="85"/>
      <c r="AC1416" s="493"/>
      <c r="AD1416" s="495"/>
      <c r="AG1416" s="22"/>
      <c r="AH1416" s="55"/>
      <c r="AI1416" s="55"/>
      <c r="AJ1416" s="55"/>
      <c r="AK1416" s="55"/>
      <c r="AO1416" s="22"/>
      <c r="AP1416" s="22"/>
      <c r="AQ1416" s="22"/>
      <c r="AR1416" s="22"/>
      <c r="AS1416" s="22"/>
      <c r="AT1416" s="22"/>
      <c r="AU1416" s="35"/>
      <c r="AV1416" s="35"/>
      <c r="AW1416" s="35"/>
      <c r="AX1416" s="35"/>
      <c r="AY1416" s="35"/>
      <c r="AZ1416" s="35"/>
      <c r="BA1416" s="35"/>
      <c r="BB1416" s="35"/>
      <c r="BC1416" s="35"/>
      <c r="BD1416" s="35"/>
      <c r="BE1416" s="35"/>
      <c r="BF1416" s="35"/>
      <c r="BG1416" s="35"/>
      <c r="BH1416" s="35"/>
      <c r="BI1416" s="35"/>
      <c r="BJ1416" s="35"/>
      <c r="BK1416" s="35"/>
      <c r="BL1416" s="35"/>
      <c r="BM1416" s="35"/>
      <c r="BN1416" s="35"/>
      <c r="BO1416" s="86"/>
    </row>
    <row r="1417" spans="1:67" s="20" customFormat="1" ht="16.5" thickBot="1" x14ac:dyDescent="0.3">
      <c r="A1417" s="520">
        <f>IFERROR(VLOOKUP($G$5,'רשימת רשויות'!A:C,3,0),0)</f>
        <v>0</v>
      </c>
      <c r="B1417" s="520">
        <f t="shared" si="193"/>
        <v>0</v>
      </c>
      <c r="C1417" s="39"/>
      <c r="D1417" s="1134"/>
      <c r="E1417" s="1137"/>
      <c r="F1417" s="586" t="s">
        <v>2355</v>
      </c>
      <c r="G1417" s="514">
        <f>IFERROR(IF(VLOOKUP('בית ספר - תקצוב לפי מוסד (9)'!G1412,' איוש משרות (8)'!$C:$K,9,0)="תקין","תקין","לא תקין"),0)</f>
        <v>0</v>
      </c>
      <c r="H1417" s="91"/>
      <c r="I1417" s="91"/>
      <c r="J1417" s="91"/>
      <c r="K1417" s="90"/>
      <c r="L1417" s="90"/>
      <c r="M1417" s="402" t="s">
        <v>2586</v>
      </c>
      <c r="N1417" s="403">
        <f>IFERROR(MIN(N1415,N1416),0)</f>
        <v>0</v>
      </c>
      <c r="O1417" s="404">
        <f>IFERROR(MIN(O1415,O1416),0)</f>
        <v>0</v>
      </c>
      <c r="P1417" s="595"/>
      <c r="Q1417" s="595"/>
      <c r="R1417" s="596"/>
      <c r="S1417" s="610"/>
      <c r="T1417" s="881"/>
      <c r="U1417" s="598"/>
      <c r="V1417" s="599"/>
      <c r="W1417" s="599"/>
      <c r="X1417" s="599"/>
      <c r="Y1417" s="879"/>
      <c r="Z1417" s="85"/>
      <c r="AC1417" s="493"/>
      <c r="AD1417" s="495"/>
      <c r="AG1417" s="94"/>
      <c r="AH1417" s="40"/>
      <c r="AI1417" s="40"/>
      <c r="AJ1417" s="40"/>
      <c r="AK1417" s="40"/>
      <c r="AO1417" s="22"/>
      <c r="AP1417" s="22"/>
      <c r="AQ1417" s="22"/>
      <c r="AR1417" s="22"/>
      <c r="AS1417" s="22"/>
      <c r="AT1417" s="22"/>
      <c r="AU1417" s="35"/>
      <c r="AV1417" s="35"/>
      <c r="AW1417" s="35"/>
      <c r="AX1417" s="35"/>
      <c r="AY1417" s="35"/>
      <c r="AZ1417" s="35"/>
      <c r="BA1417" s="35"/>
      <c r="BB1417" s="35"/>
      <c r="BC1417" s="35"/>
      <c r="BD1417" s="35"/>
      <c r="BE1417" s="35"/>
      <c r="BF1417" s="35"/>
      <c r="BG1417" s="35"/>
      <c r="BH1417" s="35"/>
      <c r="BI1417" s="35"/>
      <c r="BJ1417" s="35"/>
      <c r="BK1417" s="35"/>
      <c r="BL1417" s="35"/>
      <c r="BM1417" s="35"/>
      <c r="BN1417" s="35"/>
      <c r="BO1417" s="86"/>
    </row>
    <row r="1418" spans="1:67" s="55" customFormat="1" ht="37.15" customHeight="1" thickBot="1" x14ac:dyDescent="0.3">
      <c r="A1418" s="520">
        <f>IFERROR(VLOOKUP($G$5,'רשימת רשויות'!A:C,3,0),0)</f>
        <v>0</v>
      </c>
      <c r="B1418" s="520">
        <f t="shared" si="193"/>
        <v>0</v>
      </c>
      <c r="C1418" s="39"/>
      <c r="D1418" s="1134"/>
      <c r="E1418" s="1137"/>
      <c r="F1418" s="587" t="s">
        <v>142</v>
      </c>
      <c r="G1418" s="92"/>
      <c r="H1418" s="92"/>
      <c r="I1418" s="92"/>
      <c r="J1418" s="92"/>
      <c r="K1418" s="602"/>
      <c r="L1418" s="602"/>
      <c r="M1418" s="602"/>
      <c r="N1418" s="602"/>
      <c r="O1418" s="602"/>
      <c r="P1418" s="595"/>
      <c r="Q1418" s="595"/>
      <c r="R1418" s="596"/>
      <c r="S1418" s="610"/>
      <c r="T1418" s="881"/>
      <c r="U1418" s="598"/>
      <c r="V1418" s="599"/>
      <c r="W1418" s="599"/>
      <c r="X1418" s="599"/>
      <c r="Y1418" s="879"/>
      <c r="Z1418" s="93"/>
      <c r="AC1418" s="493"/>
      <c r="AD1418" s="495"/>
      <c r="AF1418" s="22"/>
      <c r="AG1418" s="98"/>
      <c r="AH1418" s="98"/>
      <c r="AI1418" s="40"/>
      <c r="AJ1418" s="40"/>
      <c r="AK1418" s="40"/>
      <c r="AO1418" s="22"/>
      <c r="AP1418" s="22"/>
      <c r="AQ1418" s="22"/>
      <c r="AR1418" s="22"/>
      <c r="AS1418" s="22"/>
      <c r="AT1418" s="22"/>
      <c r="AU1418" s="35"/>
      <c r="AV1418" s="35"/>
      <c r="AW1418" s="35"/>
      <c r="AX1418" s="35"/>
      <c r="AY1418" s="35"/>
      <c r="AZ1418" s="35"/>
      <c r="BA1418" s="35"/>
      <c r="BB1418" s="35"/>
      <c r="BC1418" s="35"/>
      <c r="BD1418" s="35"/>
      <c r="BE1418" s="35"/>
      <c r="BF1418" s="35"/>
      <c r="BG1418" s="35"/>
      <c r="BH1418" s="35"/>
      <c r="BI1418" s="35"/>
      <c r="BJ1418" s="35"/>
      <c r="BK1418" s="35"/>
      <c r="BL1418" s="35"/>
      <c r="BM1418" s="35"/>
      <c r="BN1418" s="35"/>
      <c r="BO1418" s="86"/>
    </row>
    <row r="1419" spans="1:67" s="40" customFormat="1" ht="31.5" x14ac:dyDescent="0.25">
      <c r="A1419" s="520">
        <f>IFERROR(VLOOKUP($G$5,'רשימת רשויות'!A:C,3,0),0)</f>
        <v>0</v>
      </c>
      <c r="B1419" s="520">
        <f t="shared" si="193"/>
        <v>0</v>
      </c>
      <c r="C1419" s="39"/>
      <c r="D1419" s="1134"/>
      <c r="E1419" s="1137"/>
      <c r="F1419" s="588" t="s">
        <v>94</v>
      </c>
      <c r="G1419" s="95" t="s">
        <v>18</v>
      </c>
      <c r="H1419" s="95" t="s">
        <v>19</v>
      </c>
      <c r="I1419" s="95" t="s">
        <v>138</v>
      </c>
      <c r="J1419" s="96" t="s">
        <v>139</v>
      </c>
      <c r="K1419" s="603"/>
      <c r="L1419" s="603"/>
      <c r="M1419" s="603"/>
      <c r="N1419" s="603"/>
      <c r="O1419" s="603"/>
      <c r="P1419" s="604"/>
      <c r="Q1419" s="604"/>
      <c r="R1419" s="596"/>
      <c r="S1419" s="610"/>
      <c r="T1419" s="881"/>
      <c r="U1419" s="598"/>
      <c r="V1419" s="599"/>
      <c r="W1419" s="599"/>
      <c r="X1419" s="599"/>
      <c r="Y1419" s="879"/>
      <c r="Z1419" s="97"/>
      <c r="AA1419" s="94"/>
      <c r="AB1419" s="94"/>
      <c r="AC1419" s="493"/>
      <c r="AD1419" s="495"/>
      <c r="AE1419" s="94"/>
      <c r="AG1419" s="98"/>
      <c r="AH1419" s="98"/>
      <c r="AO1419" s="22"/>
      <c r="AP1419" s="22"/>
      <c r="AQ1419" s="22"/>
      <c r="AR1419" s="22"/>
      <c r="AS1419" s="22"/>
      <c r="AT1419" s="22"/>
      <c r="AU1419" s="35"/>
      <c r="AV1419" s="35"/>
      <c r="AW1419" s="35"/>
      <c r="AX1419" s="35"/>
      <c r="AY1419" s="35"/>
      <c r="AZ1419" s="35"/>
      <c r="BA1419" s="35"/>
      <c r="BB1419" s="35"/>
      <c r="BC1419" s="35"/>
      <c r="BD1419" s="35"/>
      <c r="BE1419" s="35"/>
      <c r="BF1419" s="35"/>
      <c r="BG1419" s="35"/>
      <c r="BH1419" s="35"/>
      <c r="BI1419" s="35"/>
      <c r="BJ1419" s="35"/>
      <c r="BK1419" s="35"/>
      <c r="BL1419" s="35"/>
      <c r="BM1419" s="35"/>
      <c r="BN1419" s="35"/>
      <c r="BO1419" s="86"/>
    </row>
    <row r="1420" spans="1:67" s="40" customFormat="1" ht="15.75" customHeight="1" thickBot="1" x14ac:dyDescent="0.3">
      <c r="A1420" s="520">
        <f>IFERROR(VLOOKUP($G$5,'רשימת רשויות'!A:C,3,0),0)</f>
        <v>0</v>
      </c>
      <c r="B1420" s="520">
        <f t="shared" si="193"/>
        <v>0</v>
      </c>
      <c r="C1420" s="39"/>
      <c r="D1420" s="1134"/>
      <c r="E1420" s="1137"/>
      <c r="F1420" s="589" t="s">
        <v>2280</v>
      </c>
      <c r="G1420" s="99">
        <f>+G1431</f>
        <v>0</v>
      </c>
      <c r="H1420" s="100">
        <f>K1414</f>
        <v>0</v>
      </c>
      <c r="I1420" s="100">
        <f>H1420-I1422</f>
        <v>0</v>
      </c>
      <c r="J1420" s="101">
        <f>IFERROR(I1420/H1420,0)</f>
        <v>0</v>
      </c>
      <c r="K1420" s="603"/>
      <c r="L1420" s="603"/>
      <c r="M1420" s="603"/>
      <c r="N1420" s="603"/>
      <c r="O1420" s="603"/>
      <c r="P1420" s="605"/>
      <c r="Q1420" s="604"/>
      <c r="R1420" s="606" t="s">
        <v>157</v>
      </c>
      <c r="S1420" s="611"/>
      <c r="T1420" s="881"/>
      <c r="U1420" s="598"/>
      <c r="V1420" s="599"/>
      <c r="W1420" s="599"/>
      <c r="X1420" s="599"/>
      <c r="Y1420" s="879"/>
      <c r="Z1420" s="102"/>
      <c r="AA1420" s="122"/>
      <c r="AB1420" s="122"/>
      <c r="AC1420" s="493"/>
      <c r="AD1420" s="495"/>
      <c r="AE1420" s="122"/>
      <c r="AF1420" s="22"/>
      <c r="AG1420" s="98"/>
      <c r="AH1420" s="98"/>
      <c r="AI1420" s="20"/>
      <c r="AO1420" s="22"/>
      <c r="AP1420" s="22"/>
      <c r="AQ1420" s="22"/>
      <c r="AR1420" s="22"/>
      <c r="AS1420" s="22"/>
      <c r="AT1420" s="22"/>
      <c r="AU1420" s="35"/>
      <c r="AV1420" s="35"/>
      <c r="AW1420" s="35"/>
      <c r="AX1420" s="35"/>
      <c r="AY1420" s="35"/>
      <c r="AZ1420" s="35"/>
      <c r="BA1420" s="35"/>
      <c r="BB1420" s="35"/>
      <c r="BC1420" s="35"/>
      <c r="BD1420" s="35"/>
      <c r="BE1420" s="35"/>
      <c r="BF1420" s="35"/>
      <c r="BG1420" s="35"/>
      <c r="BH1420" s="35"/>
      <c r="BI1420" s="35"/>
      <c r="BJ1420" s="35"/>
      <c r="BK1420" s="35"/>
      <c r="BL1420" s="35"/>
      <c r="BM1420" s="35"/>
      <c r="BN1420" s="35"/>
      <c r="BO1420" s="86"/>
    </row>
    <row r="1421" spans="1:67" s="40" customFormat="1" ht="15.75" customHeight="1" thickBot="1" x14ac:dyDescent="0.3">
      <c r="A1421" s="520">
        <f>IFERROR(VLOOKUP($G$5,'רשימת רשויות'!A:C,3,0),0)</f>
        <v>0</v>
      </c>
      <c r="B1421" s="520">
        <f t="shared" si="193"/>
        <v>0</v>
      </c>
      <c r="C1421" s="39"/>
      <c r="D1421" s="1134"/>
      <c r="E1421" s="1137"/>
      <c r="F1421" s="589" t="s">
        <v>2281</v>
      </c>
      <c r="G1421" s="99">
        <f>+G1430</f>
        <v>0</v>
      </c>
      <c r="H1421" s="103"/>
      <c r="I1421" s="104"/>
      <c r="J1421" s="105"/>
      <c r="K1421" s="603"/>
      <c r="L1421" s="603"/>
      <c r="M1421" s="603"/>
      <c r="N1421" s="603"/>
      <c r="O1421" s="603"/>
      <c r="P1421" s="605"/>
      <c r="Q1421" s="604"/>
      <c r="R1421" s="473">
        <f>I1422-R1423</f>
        <v>0</v>
      </c>
      <c r="S1421" s="611"/>
      <c r="T1421" s="881"/>
      <c r="U1421" s="598"/>
      <c r="V1421" s="599"/>
      <c r="W1421" s="599"/>
      <c r="X1421" s="599"/>
      <c r="Y1421" s="879"/>
      <c r="Z1421" s="106"/>
      <c r="AA1421" s="22"/>
      <c r="AB1421" s="22"/>
      <c r="AC1421" s="493"/>
      <c r="AD1421" s="495"/>
      <c r="AE1421" s="22"/>
      <c r="AF1421" s="22"/>
      <c r="AG1421" s="98"/>
      <c r="AH1421" s="98"/>
      <c r="AI1421" s="20"/>
      <c r="AO1421" s="22"/>
      <c r="AP1421" s="22"/>
      <c r="AQ1421" s="22"/>
      <c r="AR1421" s="22"/>
      <c r="AS1421" s="22"/>
      <c r="AT1421" s="22"/>
      <c r="AU1421" s="35"/>
      <c r="AV1421" s="35"/>
      <c r="AW1421" s="35"/>
      <c r="AX1421" s="35"/>
      <c r="AY1421" s="35"/>
      <c r="AZ1421" s="35"/>
      <c r="BA1421" s="35"/>
      <c r="BB1421" s="35"/>
      <c r="BC1421" s="35"/>
      <c r="BD1421" s="35"/>
      <c r="BE1421" s="35"/>
      <c r="BF1421" s="35"/>
      <c r="BG1421" s="35"/>
      <c r="BH1421" s="35"/>
      <c r="BI1421" s="35"/>
      <c r="BJ1421" s="35"/>
      <c r="BK1421" s="35"/>
      <c r="BL1421" s="35"/>
      <c r="BM1421" s="35"/>
      <c r="BN1421" s="35"/>
      <c r="BO1421" s="86"/>
    </row>
    <row r="1422" spans="1:67" s="40" customFormat="1" ht="16.5" customHeight="1" thickBot="1" x14ac:dyDescent="0.3">
      <c r="A1422" s="520">
        <f>IFERROR(VLOOKUP($G$5,'רשימת רשויות'!A:C,3,0),0)</f>
        <v>0</v>
      </c>
      <c r="B1422" s="520">
        <f t="shared" ref="B1422:B1485" si="202">IF(F1423="סמל המוסד",G1423,B1421)</f>
        <v>0</v>
      </c>
      <c r="C1422" s="39"/>
      <c r="D1422" s="1134"/>
      <c r="E1422" s="1137"/>
      <c r="F1422" s="589" t="s">
        <v>2282</v>
      </c>
      <c r="G1422" s="99">
        <f>G1426+G1427+G1428</f>
        <v>0</v>
      </c>
      <c r="H1422" s="104"/>
      <c r="I1422" s="107">
        <f>MAX(H1420-G1420-G1421,0)</f>
        <v>0</v>
      </c>
      <c r="J1422" s="108">
        <f>IFERROR(I1422/H1420,0)</f>
        <v>0</v>
      </c>
      <c r="K1422" s="603"/>
      <c r="L1422" s="603"/>
      <c r="M1422" s="603"/>
      <c r="N1422" s="603"/>
      <c r="O1422" s="603"/>
      <c r="P1422" s="604"/>
      <c r="Q1422" s="604"/>
      <c r="R1422" s="606" t="s">
        <v>158</v>
      </c>
      <c r="S1422" s="612"/>
      <c r="T1422" s="881"/>
      <c r="U1422" s="598"/>
      <c r="V1422" s="599"/>
      <c r="W1422" s="599"/>
      <c r="X1422" s="599"/>
      <c r="Y1422" s="879"/>
      <c r="Z1422" s="106"/>
      <c r="AA1422" s="22"/>
      <c r="AB1422" s="22"/>
      <c r="AC1422" s="493"/>
      <c r="AD1422" s="495"/>
      <c r="AE1422" s="22"/>
      <c r="AF1422" s="22"/>
      <c r="AG1422" s="22"/>
      <c r="AH1422" s="22"/>
      <c r="AI1422" s="55"/>
      <c r="AJ1422" s="22"/>
      <c r="AK1422" s="22"/>
      <c r="AO1422" s="22"/>
      <c r="AP1422" s="22"/>
      <c r="AQ1422" s="22"/>
      <c r="AR1422" s="22"/>
      <c r="AS1422" s="22"/>
      <c r="AT1422" s="22"/>
      <c r="AU1422" s="35"/>
      <c r="AV1422" s="35"/>
      <c r="AW1422" s="35"/>
      <c r="AX1422" s="35"/>
      <c r="AY1422" s="35"/>
      <c r="AZ1422" s="35"/>
      <c r="BA1422" s="35"/>
      <c r="BB1422" s="35"/>
      <c r="BC1422" s="35"/>
      <c r="BD1422" s="35"/>
      <c r="BE1422" s="35"/>
      <c r="BF1422" s="35"/>
      <c r="BG1422" s="35"/>
      <c r="BH1422" s="35"/>
      <c r="BI1422" s="35"/>
      <c r="BJ1422" s="35"/>
      <c r="BK1422" s="35"/>
      <c r="BL1422" s="35"/>
      <c r="BM1422" s="35"/>
      <c r="BN1422" s="35"/>
      <c r="BO1422" s="86"/>
    </row>
    <row r="1423" spans="1:67" s="40" customFormat="1" ht="15.75" customHeight="1" thickBot="1" x14ac:dyDescent="0.3">
      <c r="A1423" s="520">
        <f>IFERROR(VLOOKUP($G$5,'רשימת רשויות'!A:C,3,0),0)</f>
        <v>0</v>
      </c>
      <c r="B1423" s="520">
        <f t="shared" si="202"/>
        <v>0</v>
      </c>
      <c r="C1423" s="39"/>
      <c r="D1423" s="1134"/>
      <c r="E1423" s="1137"/>
      <c r="F1423" s="590" t="s">
        <v>2290</v>
      </c>
      <c r="G1423" s="109"/>
      <c r="H1423" s="110"/>
      <c r="I1423" s="111">
        <f>SUM(I1420:I1422)</f>
        <v>0</v>
      </c>
      <c r="J1423" s="112">
        <f>SUM(J1420:J1422)</f>
        <v>0</v>
      </c>
      <c r="K1423" s="603"/>
      <c r="L1423" s="603"/>
      <c r="M1423" s="603"/>
      <c r="N1423" s="603"/>
      <c r="O1423" s="603"/>
      <c r="P1423" s="604"/>
      <c r="Q1423" s="604"/>
      <c r="R1423" s="473">
        <f>MIN(MAX(G1427+G1428-I1416-J1416,0),I1422)</f>
        <v>0</v>
      </c>
      <c r="S1423" s="612"/>
      <c r="T1423" s="881"/>
      <c r="U1423" s="598"/>
      <c r="V1423" s="599"/>
      <c r="W1423" s="599"/>
      <c r="X1423" s="599"/>
      <c r="Y1423" s="879"/>
      <c r="Z1423" s="106"/>
      <c r="AA1423" s="22"/>
      <c r="AB1423" s="22"/>
      <c r="AC1423" s="493"/>
      <c r="AD1423" s="495"/>
      <c r="AE1423" s="22"/>
      <c r="AF1423" s="22"/>
      <c r="AG1423" s="22"/>
      <c r="AH1423" s="22"/>
      <c r="AJ1423" s="22"/>
      <c r="AK1423" s="22"/>
      <c r="AO1423" s="22"/>
      <c r="AP1423" s="22"/>
      <c r="AQ1423" s="22"/>
      <c r="AR1423" s="22"/>
      <c r="AS1423" s="22"/>
      <c r="AT1423" s="22"/>
      <c r="AU1423" s="35"/>
      <c r="AV1423" s="35"/>
      <c r="AW1423" s="35"/>
      <c r="AX1423" s="35"/>
      <c r="AY1423" s="35"/>
      <c r="AZ1423" s="35"/>
      <c r="BA1423" s="35"/>
      <c r="BB1423" s="35"/>
      <c r="BC1423" s="35"/>
      <c r="BD1423" s="35"/>
      <c r="BE1423" s="35"/>
      <c r="BF1423" s="35"/>
      <c r="BG1423" s="35"/>
      <c r="BH1423" s="35"/>
      <c r="BI1423" s="35"/>
      <c r="BJ1423" s="35"/>
      <c r="BK1423" s="35"/>
      <c r="BL1423" s="35"/>
      <c r="BM1423" s="35"/>
      <c r="BN1423" s="35"/>
      <c r="BO1423" s="86"/>
    </row>
    <row r="1424" spans="1:67" ht="16.5" thickBot="1" x14ac:dyDescent="0.3">
      <c r="A1424" s="520">
        <f>IFERROR(VLOOKUP($G$5,'רשימת רשויות'!A:C,3,0),0)</f>
        <v>0</v>
      </c>
      <c r="B1424" s="520">
        <f t="shared" si="202"/>
        <v>0</v>
      </c>
      <c r="D1424" s="1134"/>
      <c r="E1424" s="1137"/>
      <c r="F1424" s="587" t="s">
        <v>17</v>
      </c>
      <c r="G1424" s="113"/>
      <c r="H1424" s="92"/>
      <c r="I1424" s="114"/>
      <c r="J1424" s="115"/>
      <c r="K1424" s="116"/>
      <c r="L1424" s="406"/>
      <c r="M1424" s="116"/>
      <c r="N1424" s="116"/>
      <c r="O1424" s="116"/>
      <c r="P1424" s="474"/>
      <c r="Q1424" s="607"/>
      <c r="R1424" s="608"/>
      <c r="S1424" s="612"/>
      <c r="T1424" s="881"/>
      <c r="U1424" s="598"/>
      <c r="V1424" s="599"/>
      <c r="W1424" s="599"/>
      <c r="X1424" s="599"/>
      <c r="Y1424" s="879"/>
      <c r="Z1424" s="106"/>
      <c r="AI1424" s="40"/>
      <c r="BO1424" s="86"/>
    </row>
    <row r="1425" spans="1:67" ht="47.25" x14ac:dyDescent="0.25">
      <c r="A1425" s="520">
        <f>IFERROR(VLOOKUP($G$5,'רשימת רשויות'!A:C,3,0),0)</f>
        <v>0</v>
      </c>
      <c r="B1425" s="520">
        <f t="shared" si="202"/>
        <v>0</v>
      </c>
      <c r="D1425" s="1134"/>
      <c r="E1425" s="1137"/>
      <c r="F1425" s="588" t="s">
        <v>2</v>
      </c>
      <c r="G1425" s="95" t="s">
        <v>18</v>
      </c>
      <c r="H1425" s="95" t="s">
        <v>19</v>
      </c>
      <c r="I1425" s="95" t="s">
        <v>20</v>
      </c>
      <c r="J1425" s="95" t="s">
        <v>22</v>
      </c>
      <c r="K1425" s="96" t="s">
        <v>2314</v>
      </c>
      <c r="L1425" s="609"/>
      <c r="M1425" s="609"/>
      <c r="N1425" s="609"/>
      <c r="O1425" s="580"/>
      <c r="P1425" s="618" t="s">
        <v>2298</v>
      </c>
      <c r="Q1425" s="618" t="s">
        <v>2299</v>
      </c>
      <c r="R1425" s="596"/>
      <c r="S1425" s="890" t="s">
        <v>2519</v>
      </c>
      <c r="T1425" s="890" t="s">
        <v>97</v>
      </c>
      <c r="U1425" s="891" t="s">
        <v>2521</v>
      </c>
      <c r="V1425" s="892" t="s">
        <v>2520</v>
      </c>
      <c r="W1425" s="893" t="s">
        <v>2524</v>
      </c>
      <c r="X1425" s="892" t="s">
        <v>2522</v>
      </c>
      <c r="Y1425" s="894" t="s">
        <v>2523</v>
      </c>
      <c r="Z1425" s="106"/>
      <c r="AC1425" s="498" t="s">
        <v>2568</v>
      </c>
      <c r="AD1425" s="499" t="s">
        <v>2569</v>
      </c>
      <c r="AF1425" s="122"/>
      <c r="AI1425" s="40"/>
      <c r="BO1425" s="86"/>
    </row>
    <row r="1426" spans="1:67" ht="15" customHeight="1" thickBot="1" x14ac:dyDescent="0.3">
      <c r="A1426" s="520">
        <f>IFERROR(VLOOKUP($G$5,'רשימת רשויות'!A:C,3,0),0)</f>
        <v>0</v>
      </c>
      <c r="B1426" s="520">
        <f t="shared" si="202"/>
        <v>0</v>
      </c>
      <c r="D1426" s="1134"/>
      <c r="E1426" s="1137"/>
      <c r="F1426" s="589" t="s">
        <v>76</v>
      </c>
      <c r="G1426" s="117">
        <f>IF(G1417="תקין",SUMIF('עלויות כח אדם (6)'!$B$15:$B$3014,'בית ספר - תקצוב לפי מוסד (9)'!$G1412,'עלויות כח אדם (6)'!$M$15:$M$3014)-VLOOKUP('בית ספר - תקצוב לפי מוסד (9)'!G1412,' איוש משרות (8)'!$C:$H,5,0)-VLOOKUP('בית ספר - תקצוב לפי מוסד (9)'!G1412,' איוש משרות (8)'!$C:$H,6,0),0)-Y1426</f>
        <v>0</v>
      </c>
      <c r="H1426" s="118">
        <f>I1414+R1421</f>
        <v>0</v>
      </c>
      <c r="I1426" s="119">
        <f>IFERROR(SUM(G1426)/H1426,0)</f>
        <v>0</v>
      </c>
      <c r="J1426" s="100">
        <f>MIN(I1414+R1421,IF(ISNUMBER(G1426),G1426,0))</f>
        <v>0</v>
      </c>
      <c r="K1426" s="120">
        <f>MAX(H1426-G1426,0)</f>
        <v>0</v>
      </c>
      <c r="L1426" s="407"/>
      <c r="M1426" s="393"/>
      <c r="N1426" s="393"/>
      <c r="O1426" s="580"/>
      <c r="P1426" s="968">
        <f>IFERROR(IF(SUM(G1426)/(I1414)&lt;100%,MIN((I1414)-SUM(G1426),(I1414)*0.25),0),0)</f>
        <v>0</v>
      </c>
      <c r="Q1426" s="968">
        <f>IF(SUM(G1426)-(I1414+R1421)&gt;0,SUM(G1426)-(I1414+R1421),0)</f>
        <v>0</v>
      </c>
      <c r="R1426" s="596" t="s">
        <v>2351</v>
      </c>
      <c r="S1426" s="576" t="s">
        <v>2342</v>
      </c>
      <c r="T1426" s="599">
        <f>G1412</f>
        <v>0</v>
      </c>
      <c r="U1426" s="578"/>
      <c r="V1426" s="579">
        <f>G1426+G1427+G1428</f>
        <v>0</v>
      </c>
      <c r="W1426" s="579">
        <f>U1426-V1426</f>
        <v>0</v>
      </c>
      <c r="X1426" s="579">
        <f>IFERROR(W1440*W1426/(SUM(W1426:W1439)),0)</f>
        <v>0</v>
      </c>
      <c r="Y1426" s="879">
        <f>SUMIFS(בקרה!$S:$S,בקרה!$D:$D,T1426,בקרה!$K:$K,S1426)</f>
        <v>0</v>
      </c>
      <c r="Z1426" s="121"/>
      <c r="AA1426" s="143"/>
      <c r="AB1426" s="143"/>
      <c r="AC1426" s="504">
        <v>0</v>
      </c>
      <c r="AD1426" s="505">
        <f>IFERROR(U1426-AC1426,0)</f>
        <v>0</v>
      </c>
      <c r="AE1426" s="143"/>
      <c r="AI1426" s="20"/>
      <c r="BO1426" s="86"/>
    </row>
    <row r="1427" spans="1:67" ht="15" customHeight="1" thickBot="1" x14ac:dyDescent="0.3">
      <c r="A1427" s="520">
        <f>IFERROR(VLOOKUP($G$5,'רשימת רשויות'!A:C,3,0),0)</f>
        <v>0</v>
      </c>
      <c r="B1427" s="520">
        <f t="shared" si="202"/>
        <v>0</v>
      </c>
      <c r="D1427" s="1134"/>
      <c r="E1427" s="1137"/>
      <c r="F1427" s="589" t="s">
        <v>44</v>
      </c>
      <c r="G1427" s="123">
        <f>IF(G1417="תקין",IFERROR(VLOOKUP('בית ספר - תקצוב לפי מוסד (9)'!G1412,' איוש משרות (8)'!C:J,7,0),0),0)</f>
        <v>0</v>
      </c>
      <c r="H1427" s="124">
        <f>I1416+R1423+J1416</f>
        <v>0</v>
      </c>
      <c r="I1427" s="119">
        <f>IFERROR(SUM(G1427:G1428)/H1427,0)</f>
        <v>0</v>
      </c>
      <c r="J1427" s="100">
        <f>MIN(R1423+I1416,IF(ISNUMBER(SUM(G1427:G1428)),SUM(G1427:G1428),0))</f>
        <v>0</v>
      </c>
      <c r="K1427" s="1139">
        <f>MAX((H1427)-(G1427+G1428),0)</f>
        <v>0</v>
      </c>
      <c r="L1427" s="407"/>
      <c r="M1427" s="393"/>
      <c r="N1427" s="393"/>
      <c r="O1427" s="580"/>
      <c r="P1427" s="1140"/>
      <c r="Q1427" s="1140"/>
      <c r="R1427" s="617">
        <f>MAX(MIN(P1435-Q1435,H1435*0.15-G1433),0)</f>
        <v>0</v>
      </c>
      <c r="S1427" s="576"/>
      <c r="T1427" s="599">
        <f>G1412</f>
        <v>0</v>
      </c>
      <c r="U1427" s="578"/>
      <c r="V1427" s="579"/>
      <c r="W1427" s="579">
        <f t="shared" ref="W1427:W1439" si="203">U1427-V1427</f>
        <v>0</v>
      </c>
      <c r="X1427" s="579"/>
      <c r="Y1427" s="879"/>
      <c r="Z1427" s="121"/>
      <c r="AA1427" s="143"/>
      <c r="AB1427" s="143"/>
      <c r="AC1427" s="504"/>
      <c r="AD1427" s="505">
        <f t="shared" ref="AD1427:AD1433" si="204">IFERROR(U1427-AC1427,0)</f>
        <v>0</v>
      </c>
      <c r="AE1427" s="143"/>
      <c r="AI1427" s="20"/>
      <c r="BO1427" s="86"/>
    </row>
    <row r="1428" spans="1:67" ht="15.75" customHeight="1" x14ac:dyDescent="0.25">
      <c r="A1428" s="520">
        <f>IFERROR(VLOOKUP($G$5,'רשימת רשויות'!A:C,3,0),0)</f>
        <v>0</v>
      </c>
      <c r="B1428" s="520">
        <f t="shared" si="202"/>
        <v>0</v>
      </c>
      <c r="D1428" s="1134"/>
      <c r="E1428" s="1137"/>
      <c r="F1428" s="589" t="s">
        <v>45</v>
      </c>
      <c r="G1428" s="123">
        <f>IF(G1417="תקין",IFERROR(VLOOKUP('בית ספר - תקצוב לפי מוסד (9)'!G1412,' איוש משרות (8)'!C:J,8,0),0),0)</f>
        <v>0</v>
      </c>
      <c r="H1428" s="125"/>
      <c r="I1428" s="126"/>
      <c r="J1428" s="104"/>
      <c r="K1428" s="1139"/>
      <c r="L1428" s="407"/>
      <c r="M1428" s="393"/>
      <c r="N1428" s="393"/>
      <c r="O1428" s="580"/>
      <c r="P1428" s="1140"/>
      <c r="Q1428" s="1140"/>
      <c r="R1428" s="596"/>
      <c r="S1428" s="576"/>
      <c r="T1428" s="599">
        <f>G1412</f>
        <v>0</v>
      </c>
      <c r="U1428" s="578"/>
      <c r="V1428" s="579"/>
      <c r="W1428" s="579">
        <f t="shared" si="203"/>
        <v>0</v>
      </c>
      <c r="X1428" s="579"/>
      <c r="Y1428" s="879"/>
      <c r="Z1428" s="121"/>
      <c r="AA1428" s="143"/>
      <c r="AB1428" s="143"/>
      <c r="AC1428" s="504"/>
      <c r="AD1428" s="505">
        <f t="shared" si="204"/>
        <v>0</v>
      </c>
      <c r="AE1428" s="143"/>
      <c r="AG1428" s="55"/>
      <c r="AH1428" s="55"/>
      <c r="AI1428" s="55"/>
      <c r="AJ1428" s="55"/>
      <c r="AK1428" s="55"/>
      <c r="BO1428" s="86"/>
    </row>
    <row r="1429" spans="1:67" ht="15.75" customHeight="1" x14ac:dyDescent="0.25">
      <c r="A1429" s="520">
        <f>IFERROR(VLOOKUP($G$5,'רשימת רשויות'!A:C,3,0),0)</f>
        <v>0</v>
      </c>
      <c r="B1429" s="520">
        <f t="shared" si="202"/>
        <v>0</v>
      </c>
      <c r="D1429" s="1134"/>
      <c r="E1429" s="1137"/>
      <c r="F1429" s="589" t="s">
        <v>0</v>
      </c>
      <c r="G1429" s="117">
        <f>IF(G1417="תקין",SUMIFS('דוח הוצאות בפועל (4)'!$E$17:$E$3016,'דוח הוצאות בפועל (4)'!$B$17:$B$3016,'בית ספר - תקצוב לפי מוסד (9)'!$G1412,'דוח הוצאות בפועל (4)'!$M$17:$M$3016,"הע"),0)-Y1429</f>
        <v>0</v>
      </c>
      <c r="H1429" s="127">
        <f>J1414</f>
        <v>0</v>
      </c>
      <c r="I1429" s="128">
        <f>IFERROR(G1429/H1429,0)</f>
        <v>0</v>
      </c>
      <c r="J1429" s="129">
        <f>MIN(IF(ISNUMBER(G1429),G1429,0),H1429)</f>
        <v>0</v>
      </c>
      <c r="K1429" s="120">
        <f>MAX(H1429-G1429,0)</f>
        <v>0</v>
      </c>
      <c r="L1429" s="407"/>
      <c r="M1429" s="393"/>
      <c r="N1429" s="393"/>
      <c r="O1429" s="580"/>
      <c r="P1429" s="968">
        <f>MAX(IF(I1429&lt;100%,MIN((H1429-G1429),H1429*0.25),0),0)</f>
        <v>0</v>
      </c>
      <c r="Q1429" s="619">
        <f>IF(G1429-H1429&gt;0,G1429-H1429,0)</f>
        <v>0</v>
      </c>
      <c r="R1429" s="596"/>
      <c r="S1429" s="610" t="s">
        <v>0</v>
      </c>
      <c r="T1429" s="599">
        <f>G1412</f>
        <v>0</v>
      </c>
      <c r="U1429" s="578"/>
      <c r="V1429" s="579">
        <f>G1429</f>
        <v>0</v>
      </c>
      <c r="W1429" s="579">
        <f t="shared" si="203"/>
        <v>0</v>
      </c>
      <c r="X1429" s="579">
        <f>IFERROR(W1440*W1429/(SUM(W1426:W1439)),0)</f>
        <v>0</v>
      </c>
      <c r="Y1429" s="879">
        <f>SUMIFS(בקרה!$S:$S,בקרה!$D:$D,T1429,בקרה!$K:$K,S1429)</f>
        <v>0</v>
      </c>
      <c r="Z1429" s="121"/>
      <c r="AA1429" s="143"/>
      <c r="AB1429" s="143"/>
      <c r="AC1429" s="504">
        <v>0</v>
      </c>
      <c r="AD1429" s="505">
        <f t="shared" si="204"/>
        <v>0</v>
      </c>
      <c r="AE1429" s="143"/>
      <c r="AG1429" s="55"/>
      <c r="AH1429" s="55"/>
      <c r="AI1429" s="40"/>
      <c r="AJ1429" s="55"/>
      <c r="AK1429" s="55"/>
      <c r="BO1429" s="86"/>
    </row>
    <row r="1430" spans="1:67" s="55" customFormat="1" ht="15.75" customHeight="1" x14ac:dyDescent="0.25">
      <c r="A1430" s="520">
        <f>IFERROR(VLOOKUP($G$5,'רשימת רשויות'!A:C,3,0),0)</f>
        <v>0</v>
      </c>
      <c r="B1430" s="520">
        <f t="shared" si="202"/>
        <v>0</v>
      </c>
      <c r="C1430" s="39"/>
      <c r="D1430" s="1134"/>
      <c r="E1430" s="1137"/>
      <c r="F1430" s="589" t="s">
        <v>93</v>
      </c>
      <c r="G1430" s="130">
        <f>IF(G1417="תקין",SUMIFS('דוח הוצאות בפועל (4)'!$E$17:$E$3016,'דוח הוצאות בפועל (4)'!$B$17:$B$3016,'בית ספר - תקצוב לפי מוסד (9)'!$G1412,'דוח הוצאות בפועל (4)'!$M$17:$M$3016,"אר"),0)-Y1430</f>
        <v>0</v>
      </c>
      <c r="H1430" s="118">
        <f>$I1420</f>
        <v>0</v>
      </c>
      <c r="I1430" s="131">
        <f>IFERROR((G1430+G1431)/H1430,0)</f>
        <v>0</v>
      </c>
      <c r="J1430" s="100">
        <f>MIN((IF(ISNUMBER(G1430),G1430,0)+IF(ISNUMBER(G1431),G1431,0)),H1430)</f>
        <v>0</v>
      </c>
      <c r="K1430" s="1139">
        <f>MAX((H1430)-(G1430+G1431),0)</f>
        <v>0</v>
      </c>
      <c r="L1430" s="407"/>
      <c r="M1430" s="393"/>
      <c r="N1430" s="393"/>
      <c r="O1430" s="602"/>
      <c r="P1430" s="1141"/>
      <c r="Q1430" s="1142"/>
      <c r="R1430" s="596"/>
      <c r="S1430" s="610" t="s">
        <v>93</v>
      </c>
      <c r="T1430" s="599">
        <f>G1412</f>
        <v>0</v>
      </c>
      <c r="U1430" s="578"/>
      <c r="V1430" s="579">
        <f t="shared" ref="V1430:V1431" si="205">G1430</f>
        <v>0</v>
      </c>
      <c r="W1430" s="579">
        <f t="shared" si="203"/>
        <v>0</v>
      </c>
      <c r="X1430" s="579">
        <f>IFERROR(W1440*W1430/(SUM(W1426:W1439)),0)</f>
        <v>0</v>
      </c>
      <c r="Y1430" s="879">
        <f>SUMIFS(בקרה!$S:$S,בקרה!$D:$D,T1430,בקרה!$K:$K,S1430)</f>
        <v>0</v>
      </c>
      <c r="Z1430" s="121"/>
      <c r="AA1430" s="143"/>
      <c r="AB1430" s="143"/>
      <c r="AC1430" s="504">
        <v>0</v>
      </c>
      <c r="AD1430" s="505">
        <f t="shared" si="204"/>
        <v>0</v>
      </c>
      <c r="AE1430" s="143"/>
      <c r="AJ1430" s="22"/>
      <c r="AO1430" s="22"/>
      <c r="AP1430" s="22"/>
      <c r="AQ1430" s="22"/>
      <c r="AR1430" s="22"/>
      <c r="AS1430" s="22"/>
      <c r="AT1430" s="22"/>
      <c r="AU1430" s="35"/>
      <c r="AV1430" s="35"/>
      <c r="AW1430" s="35"/>
      <c r="AX1430" s="35"/>
      <c r="AY1430" s="35"/>
      <c r="AZ1430" s="35"/>
      <c r="BA1430" s="35"/>
      <c r="BB1430" s="35"/>
      <c r="BC1430" s="35"/>
      <c r="BD1430" s="35"/>
      <c r="BE1430" s="35"/>
      <c r="BF1430" s="35"/>
      <c r="BG1430" s="35"/>
      <c r="BH1430" s="35"/>
      <c r="BI1430" s="35"/>
      <c r="BJ1430" s="35"/>
      <c r="BK1430" s="35"/>
      <c r="BL1430" s="35"/>
      <c r="BM1430" s="35"/>
      <c r="BN1430" s="35"/>
      <c r="BO1430" s="86"/>
    </row>
    <row r="1431" spans="1:67" s="55" customFormat="1" ht="15.75" customHeight="1" x14ac:dyDescent="0.25">
      <c r="A1431" s="520">
        <f>IFERROR(VLOOKUP($G$5,'רשימת רשויות'!A:C,3,0),0)</f>
        <v>0</v>
      </c>
      <c r="B1431" s="520">
        <f t="shared" si="202"/>
        <v>0</v>
      </c>
      <c r="C1431" s="39"/>
      <c r="D1431" s="1134"/>
      <c r="E1431" s="1137"/>
      <c r="F1431" s="589" t="s">
        <v>46</v>
      </c>
      <c r="G1431" s="130">
        <f>IF(G1417="תקין",SUMIFS('דוח הוצאות בפועל (4)'!$E$17:$E$3016,'דוח הוצאות בפועל (4)'!$B$17:$B$3016,'בית ספר - תקצוב לפי מוסד (9)'!$G1412,'דוח הוצאות בפועל (4)'!$M$17:$M$3016,"מל"),0)-Y1431</f>
        <v>0</v>
      </c>
      <c r="H1431" s="132"/>
      <c r="I1431" s="133"/>
      <c r="J1431" s="104"/>
      <c r="K1431" s="1139"/>
      <c r="L1431" s="407"/>
      <c r="M1431" s="393"/>
      <c r="N1431" s="393"/>
      <c r="O1431" s="602"/>
      <c r="P1431" s="1141"/>
      <c r="Q1431" s="1142"/>
      <c r="R1431" s="596"/>
      <c r="S1431" s="610" t="s">
        <v>46</v>
      </c>
      <c r="T1431" s="599">
        <f>G1412</f>
        <v>0</v>
      </c>
      <c r="U1431" s="578"/>
      <c r="V1431" s="579">
        <f t="shared" si="205"/>
        <v>0</v>
      </c>
      <c r="W1431" s="579">
        <f t="shared" si="203"/>
        <v>0</v>
      </c>
      <c r="X1431" s="579">
        <f>IFERROR(W1440*W1431/(SUM(W1426:W1439)),0)</f>
        <v>0</v>
      </c>
      <c r="Y1431" s="879">
        <f>SUMIFS(בקרה!$S:$S,בקרה!$D:$D,T1431,בקרה!$K:$K,S1431)</f>
        <v>0</v>
      </c>
      <c r="Z1431" s="121"/>
      <c r="AA1431" s="143"/>
      <c r="AB1431" s="143"/>
      <c r="AC1431" s="504">
        <v>0</v>
      </c>
      <c r="AD1431" s="505">
        <f t="shared" si="204"/>
        <v>0</v>
      </c>
      <c r="AE1431" s="143"/>
      <c r="AJ1431" s="22"/>
      <c r="AO1431" s="22"/>
      <c r="AP1431" s="22"/>
      <c r="AQ1431" s="22"/>
      <c r="AR1431" s="22"/>
      <c r="AS1431" s="22"/>
      <c r="AT1431" s="22"/>
      <c r="AU1431" s="35"/>
      <c r="AV1431" s="35"/>
      <c r="AW1431" s="35"/>
      <c r="AX1431" s="35"/>
      <c r="AY1431" s="35"/>
      <c r="AZ1431" s="35"/>
      <c r="BA1431" s="35"/>
      <c r="BB1431" s="35"/>
      <c r="BC1431" s="35"/>
      <c r="BD1431" s="35"/>
      <c r="BE1431" s="35"/>
      <c r="BF1431" s="35"/>
      <c r="BG1431" s="35"/>
      <c r="BH1431" s="35"/>
      <c r="BI1431" s="35"/>
      <c r="BJ1431" s="35"/>
      <c r="BK1431" s="35"/>
      <c r="BL1431" s="35"/>
      <c r="BM1431" s="35"/>
      <c r="BN1431" s="35"/>
      <c r="BO1431" s="86"/>
    </row>
    <row r="1432" spans="1:67" s="55" customFormat="1" ht="15" customHeight="1" x14ac:dyDescent="0.25">
      <c r="A1432" s="520">
        <f>IFERROR(VLOOKUP($G$5,'רשימת רשויות'!A:C,3,0),0)</f>
        <v>0</v>
      </c>
      <c r="B1432" s="520">
        <f t="shared" si="202"/>
        <v>0</v>
      </c>
      <c r="C1432" s="39"/>
      <c r="D1432" s="1134"/>
      <c r="E1432" s="1137"/>
      <c r="F1432" s="591" t="s">
        <v>23</v>
      </c>
      <c r="G1432" s="134">
        <f>SUM(G1426:G1431)</f>
        <v>0</v>
      </c>
      <c r="H1432" s="135">
        <f>SUM(H1426:H1431)</f>
        <v>0</v>
      </c>
      <c r="I1432" s="128">
        <f>IFERROR(G1432/H1432,0)</f>
        <v>0</v>
      </c>
      <c r="J1432" s="136">
        <f>SUM(J1426:J1431)</f>
        <v>0</v>
      </c>
      <c r="K1432" s="137">
        <f>SUM(K1426:K1431)</f>
        <v>0</v>
      </c>
      <c r="L1432" s="408"/>
      <c r="M1432" s="394"/>
      <c r="N1432" s="394"/>
      <c r="O1432" s="602"/>
      <c r="P1432" s="620">
        <f>SUM(P1426:P1431)</f>
        <v>0</v>
      </c>
      <c r="Q1432" s="620">
        <f>SUM(Q1426:Q1431)</f>
        <v>0</v>
      </c>
      <c r="R1432" s="596"/>
      <c r="S1432" s="610"/>
      <c r="T1432" s="599">
        <f>G1412</f>
        <v>0</v>
      </c>
      <c r="U1432" s="578"/>
      <c r="V1432" s="579"/>
      <c r="W1432" s="579">
        <f t="shared" si="203"/>
        <v>0</v>
      </c>
      <c r="X1432" s="579"/>
      <c r="Y1432" s="879"/>
      <c r="Z1432" s="121"/>
      <c r="AA1432" s="143"/>
      <c r="AB1432" s="143"/>
      <c r="AC1432" s="504"/>
      <c r="AD1432" s="505">
        <f t="shared" si="204"/>
        <v>0</v>
      </c>
      <c r="AE1432" s="143"/>
      <c r="AJ1432" s="22"/>
      <c r="AL1432" s="22"/>
      <c r="AM1432" s="22"/>
      <c r="AN1432" s="22"/>
      <c r="AO1432" s="22"/>
      <c r="AP1432" s="22"/>
      <c r="AQ1432" s="22"/>
      <c r="AR1432" s="22"/>
      <c r="AS1432" s="22"/>
      <c r="AT1432" s="22"/>
      <c r="AU1432" s="35"/>
      <c r="AV1432" s="35"/>
      <c r="AW1432" s="35"/>
      <c r="AX1432" s="35"/>
      <c r="AY1432" s="35"/>
      <c r="AZ1432" s="35"/>
      <c r="BA1432" s="35"/>
      <c r="BB1432" s="35"/>
      <c r="BC1432" s="35"/>
      <c r="BD1432" s="35"/>
      <c r="BE1432" s="35"/>
      <c r="BF1432" s="35"/>
      <c r="BG1432" s="35"/>
      <c r="BH1432" s="35"/>
      <c r="BI1432" s="35"/>
      <c r="BJ1432" s="35"/>
      <c r="BK1432" s="35"/>
      <c r="BL1432" s="35"/>
      <c r="BM1432" s="35"/>
      <c r="BN1432" s="35"/>
      <c r="BO1432" s="86"/>
    </row>
    <row r="1433" spans="1:67" s="55" customFormat="1" ht="15" customHeight="1" x14ac:dyDescent="0.25">
      <c r="A1433" s="520">
        <f>IFERROR(VLOOKUP($G$5,'רשימת רשויות'!A:C,3,0),0)</f>
        <v>0</v>
      </c>
      <c r="B1433" s="520">
        <f t="shared" si="202"/>
        <v>0</v>
      </c>
      <c r="C1433" s="39"/>
      <c r="D1433" s="1134"/>
      <c r="E1433" s="1137"/>
      <c r="F1433" s="589" t="s">
        <v>3</v>
      </c>
      <c r="G1433" s="117">
        <f>IF(G1417="תקין",SUMIFS('דוח הוצאות בפועל (4)'!$E$17:$E$3016,'דוח הוצאות בפועל (4)'!$B$17:$B$3016,'בית ספר - תקצוב לפי מוסד (9)'!$G1412,'דוח הוצאות בפועל (4)'!$M$17:$M$3016,"ני")+SUMIFS('דוח הוצאות בפועל (4)'!$E$17:$E$3016,'דוח הוצאות בפועל (4)'!$B$17:$B$3016,'בית ספר - תקצוב לפי מוסד (9)'!$G1412,'דוח הוצאות בפועל (4)'!$M$17:$M$3016,"על"),0)-Y1433</f>
        <v>0</v>
      </c>
      <c r="H1433" s="117">
        <f>H1414</f>
        <v>0</v>
      </c>
      <c r="I1433" s="138">
        <f>IFERROR(G1433/H1433,0)</f>
        <v>0</v>
      </c>
      <c r="J1433" s="117">
        <f>IFERROR(IF(G1433/H1435&gt;0.15,MIN(H1435*0.15,H1433),MIN(H1433,IF(ISNUMBER(G1433),G1433,0))),0)</f>
        <v>0</v>
      </c>
      <c r="K1433" s="120">
        <f>MAX(H1433-G1433,0)</f>
        <v>0</v>
      </c>
      <c r="L1433" s="407"/>
      <c r="M1433" s="393"/>
      <c r="N1433" s="393"/>
      <c r="O1433" s="602"/>
      <c r="P1433" s="620">
        <f>IF(I1433&lt;100%,MIN(H1433-G1433,H1433*0.25),0)</f>
        <v>0</v>
      </c>
      <c r="Q1433" s="620">
        <f>MAX(MIN(IF(G1433-H1433&gt;0,G1433-H1433,0),$H1435*0.15-H1433-J1434),0)</f>
        <v>0</v>
      </c>
      <c r="R1433" s="596"/>
      <c r="S1433" s="610" t="s">
        <v>3</v>
      </c>
      <c r="T1433" s="599">
        <f>G1412</f>
        <v>0</v>
      </c>
      <c r="U1433" s="578"/>
      <c r="V1433" s="579">
        <f t="shared" ref="V1433" si="206">G1433</f>
        <v>0</v>
      </c>
      <c r="W1433" s="579">
        <f t="shared" si="203"/>
        <v>0</v>
      </c>
      <c r="X1433" s="579"/>
      <c r="Y1433" s="879"/>
      <c r="Z1433" s="121"/>
      <c r="AA1433" s="143"/>
      <c r="AB1433" s="143"/>
      <c r="AC1433" s="504">
        <v>0</v>
      </c>
      <c r="AD1433" s="505">
        <f t="shared" si="204"/>
        <v>0</v>
      </c>
      <c r="AE1433" s="143"/>
      <c r="AG1433" s="22"/>
      <c r="AH1433" s="22"/>
      <c r="AI1433" s="22"/>
      <c r="AJ1433" s="22"/>
      <c r="AK1433" s="22"/>
      <c r="AL1433" s="22"/>
      <c r="AM1433" s="22"/>
      <c r="AN1433" s="22"/>
      <c r="AO1433" s="22"/>
      <c r="AP1433" s="22"/>
      <c r="AQ1433" s="22"/>
      <c r="AR1433" s="22"/>
      <c r="AS1433" s="22"/>
      <c r="AT1433" s="22"/>
      <c r="AU1433" s="35"/>
      <c r="AV1433" s="35"/>
      <c r="AW1433" s="35"/>
      <c r="AX1433" s="35"/>
      <c r="AY1433" s="35"/>
      <c r="AZ1433" s="35"/>
      <c r="BA1433" s="35"/>
      <c r="BB1433" s="35"/>
      <c r="BC1433" s="35"/>
      <c r="BD1433" s="35"/>
      <c r="BE1433" s="35"/>
      <c r="BF1433" s="35"/>
      <c r="BG1433" s="35"/>
      <c r="BH1433" s="35"/>
      <c r="BI1433" s="35"/>
      <c r="BJ1433" s="35"/>
      <c r="BK1433" s="35"/>
      <c r="BL1433" s="35"/>
      <c r="BM1433" s="35"/>
      <c r="BN1433" s="35"/>
      <c r="BO1433" s="86"/>
    </row>
    <row r="1434" spans="1:67" s="55" customFormat="1" ht="15.75" customHeight="1" x14ac:dyDescent="0.25">
      <c r="A1434" s="520">
        <f>IFERROR(VLOOKUP($G$5,'רשימת רשויות'!A:C,3,0),0)</f>
        <v>0</v>
      </c>
      <c r="B1434" s="520">
        <f t="shared" si="202"/>
        <v>0</v>
      </c>
      <c r="C1434" s="39"/>
      <c r="D1434" s="1134"/>
      <c r="E1434" s="1137"/>
      <c r="F1434" s="589" t="s">
        <v>2918</v>
      </c>
      <c r="G1434" s="117">
        <f>0.07*(G1428+G1427)</f>
        <v>0</v>
      </c>
      <c r="H1434" s="117">
        <f>H1416</f>
        <v>0</v>
      </c>
      <c r="I1434" s="138">
        <f>IFERROR(G1434/H1434,0)</f>
        <v>0</v>
      </c>
      <c r="J1434" s="117">
        <f>IFERROR(MIN(0.07*(G1427+G1428),0.07*I1416),0)</f>
        <v>0</v>
      </c>
      <c r="K1434" s="120">
        <f>MAX(H1434-G1434,0)</f>
        <v>0</v>
      </c>
      <c r="L1434" s="407"/>
      <c r="M1434" s="393"/>
      <c r="N1434" s="393"/>
      <c r="O1434" s="602"/>
      <c r="P1434" s="620"/>
      <c r="Q1434" s="619"/>
      <c r="R1434" s="596"/>
      <c r="S1434" s="611"/>
      <c r="T1434" s="599">
        <f>G1412</f>
        <v>0</v>
      </c>
      <c r="U1434" s="578"/>
      <c r="V1434" s="579"/>
      <c r="W1434" s="579">
        <f t="shared" si="203"/>
        <v>0</v>
      </c>
      <c r="X1434" s="579"/>
      <c r="Y1434" s="879"/>
      <c r="Z1434" s="121"/>
      <c r="AA1434" s="143"/>
      <c r="AB1434" s="143"/>
      <c r="AC1434" s="504"/>
      <c r="AD1434" s="505"/>
      <c r="AE1434" s="143"/>
      <c r="AF1434" s="140"/>
      <c r="AG1434" s="22"/>
      <c r="AH1434" s="22"/>
      <c r="AI1434" s="22"/>
      <c r="AJ1434" s="22"/>
      <c r="AK1434" s="22"/>
      <c r="AL1434" s="22"/>
      <c r="AM1434" s="22"/>
      <c r="AN1434" s="22"/>
      <c r="AO1434" s="22"/>
      <c r="AP1434" s="22"/>
      <c r="AQ1434" s="22"/>
      <c r="AR1434" s="22"/>
      <c r="AS1434" s="22"/>
      <c r="AT1434" s="22"/>
      <c r="AU1434" s="35"/>
      <c r="AV1434" s="35"/>
      <c r="AW1434" s="35"/>
      <c r="AX1434" s="35"/>
      <c r="AY1434" s="35"/>
      <c r="AZ1434" s="35"/>
      <c r="BA1434" s="35"/>
      <c r="BB1434" s="35"/>
      <c r="BC1434" s="35"/>
      <c r="BD1434" s="35"/>
      <c r="BE1434" s="35"/>
      <c r="BF1434" s="35"/>
      <c r="BG1434" s="35"/>
      <c r="BH1434" s="35"/>
      <c r="BI1434" s="35"/>
      <c r="BJ1434" s="35"/>
      <c r="BK1434" s="35"/>
      <c r="BL1434" s="35"/>
      <c r="BM1434" s="35"/>
      <c r="BN1434" s="35"/>
      <c r="BO1434" s="86"/>
    </row>
    <row r="1435" spans="1:67" ht="15.75" customHeight="1" x14ac:dyDescent="0.25">
      <c r="A1435" s="520">
        <f>IFERROR(VLOOKUP($G$5,'רשימת רשויות'!A:C,3,0),0)</f>
        <v>0</v>
      </c>
      <c r="B1435" s="520">
        <f t="shared" si="202"/>
        <v>0</v>
      </c>
      <c r="D1435" s="1134"/>
      <c r="E1435" s="1137"/>
      <c r="F1435" s="591" t="s">
        <v>15</v>
      </c>
      <c r="G1435" s="134">
        <f>G1432+G1433+G1434</f>
        <v>0</v>
      </c>
      <c r="H1435" s="134">
        <f>H1432+H1433+H1434</f>
        <v>0</v>
      </c>
      <c r="I1435" s="138">
        <f>IFERROR(G1435/H1435,0)</f>
        <v>0</v>
      </c>
      <c r="J1435" s="139">
        <f>J1432+J1433+J1434</f>
        <v>0</v>
      </c>
      <c r="K1435" s="137">
        <f>K1433+K1432+K1434</f>
        <v>0</v>
      </c>
      <c r="L1435" s="408"/>
      <c r="M1435" s="394"/>
      <c r="N1435" s="394"/>
      <c r="O1435" s="602"/>
      <c r="P1435" s="621">
        <f>SUM(P1432:P1433)</f>
        <v>0</v>
      </c>
      <c r="Q1435" s="622">
        <f>Q1432+Q1433</f>
        <v>0</v>
      </c>
      <c r="R1435" s="596"/>
      <c r="S1435" s="611"/>
      <c r="T1435" s="599">
        <f>G1412</f>
        <v>0</v>
      </c>
      <c r="U1435" s="578"/>
      <c r="V1435" s="579"/>
      <c r="W1435" s="579">
        <f t="shared" si="203"/>
        <v>0</v>
      </c>
      <c r="X1435" s="579"/>
      <c r="Y1435" s="879"/>
      <c r="Z1435" s="106"/>
      <c r="AC1435" s="504"/>
      <c r="AD1435" s="505"/>
      <c r="AH1435" s="143"/>
      <c r="BO1435" s="86"/>
    </row>
    <row r="1436" spans="1:67" ht="15.75" customHeight="1" x14ac:dyDescent="0.25">
      <c r="A1436" s="520">
        <f>IFERROR(VLOOKUP($G$5,'רשימת רשויות'!A:C,3,0),0)</f>
        <v>0</v>
      </c>
      <c r="B1436" s="520">
        <f t="shared" si="202"/>
        <v>0</v>
      </c>
      <c r="D1436" s="1134"/>
      <c r="E1436" s="1137"/>
      <c r="F1436" s="589" t="s">
        <v>2261</v>
      </c>
      <c r="G1436" s="117">
        <f>IF(G1417="תקין",SUMIF('תשלומי הורים ומלגות להורים (5) '!$B$18:$B$517,$G1412,'תשלומי הורים ומלגות להורים (5) '!$C$18:$C$517),0)</f>
        <v>0</v>
      </c>
      <c r="H1436" s="117">
        <f>(G1415+G1416)*$G$7</f>
        <v>0</v>
      </c>
      <c r="I1436" s="141"/>
      <c r="J1436" s="141"/>
      <c r="K1436" s="142"/>
      <c r="L1436" s="395"/>
      <c r="M1436" s="395"/>
      <c r="N1436" s="395"/>
      <c r="O1436" s="602"/>
      <c r="P1436" s="623"/>
      <c r="Q1436" s="619"/>
      <c r="R1436" s="596"/>
      <c r="S1436" s="612"/>
      <c r="T1436" s="599">
        <f>G1412</f>
        <v>0</v>
      </c>
      <c r="U1436" s="578"/>
      <c r="V1436" s="579"/>
      <c r="W1436" s="579">
        <f t="shared" si="203"/>
        <v>0</v>
      </c>
      <c r="X1436" s="579"/>
      <c r="Y1436" s="879"/>
      <c r="Z1436" s="121"/>
      <c r="AA1436" s="143"/>
      <c r="AB1436" s="143"/>
      <c r="AC1436" s="504"/>
      <c r="AD1436" s="505"/>
      <c r="AE1436" s="143"/>
      <c r="AF1436" s="148"/>
      <c r="BO1436" s="86"/>
    </row>
    <row r="1437" spans="1:67" ht="15.75" customHeight="1" thickBot="1" x14ac:dyDescent="0.3">
      <c r="A1437" s="520">
        <f>IFERROR(VLOOKUP($G$5,'רשימת רשויות'!A:C,3,0),0)</f>
        <v>0</v>
      </c>
      <c r="B1437" s="520">
        <f t="shared" si="202"/>
        <v>0</v>
      </c>
      <c r="D1437" s="1134"/>
      <c r="E1437" s="1137"/>
      <c r="F1437" s="592" t="s">
        <v>21</v>
      </c>
      <c r="G1437" s="144">
        <f>G1435-G1436</f>
        <v>0</v>
      </c>
      <c r="H1437" s="144">
        <f>H1435-H1436</f>
        <v>0</v>
      </c>
      <c r="I1437" s="145"/>
      <c r="J1437" s="145"/>
      <c r="K1437" s="146"/>
      <c r="L1437" s="396"/>
      <c r="M1437" s="396"/>
      <c r="N1437" s="396"/>
      <c r="O1437" s="602"/>
      <c r="P1437" s="619"/>
      <c r="Q1437" s="619"/>
      <c r="R1437" s="596"/>
      <c r="S1437" s="612"/>
      <c r="T1437" s="599">
        <f>G1412</f>
        <v>0</v>
      </c>
      <c r="U1437" s="578"/>
      <c r="V1437" s="579"/>
      <c r="W1437" s="579">
        <f t="shared" si="203"/>
        <v>0</v>
      </c>
      <c r="X1437" s="579"/>
      <c r="Y1437" s="879"/>
      <c r="Z1437" s="147"/>
      <c r="AA1437" s="148"/>
      <c r="AB1437" s="148"/>
      <c r="AC1437" s="504"/>
      <c r="AD1437" s="505"/>
      <c r="AE1437" s="148"/>
      <c r="AF1437" s="148"/>
      <c r="BO1437" s="86"/>
    </row>
    <row r="1438" spans="1:67" ht="15.75" customHeight="1" thickBot="1" x14ac:dyDescent="0.3">
      <c r="A1438" s="520">
        <f>IFERROR(VLOOKUP($G$5,'רשימת רשויות'!A:C,3,0),0)</f>
        <v>0</v>
      </c>
      <c r="B1438" s="520">
        <f t="shared" si="202"/>
        <v>0</v>
      </c>
      <c r="D1438" s="1134"/>
      <c r="E1438" s="1137"/>
      <c r="F1438" s="580"/>
      <c r="G1438" s="580"/>
      <c r="H1438" s="147"/>
      <c r="I1438" s="149" t="s">
        <v>2197</v>
      </c>
      <c r="J1438" s="150">
        <f>MAX(MIN(P1435,Q1435),0)</f>
        <v>0</v>
      </c>
      <c r="K1438" s="580"/>
      <c r="L1438" s="580"/>
      <c r="M1438" s="580"/>
      <c r="N1438" s="580"/>
      <c r="O1438" s="580"/>
      <c r="P1438" s="615" t="s">
        <v>2317</v>
      </c>
      <c r="Q1438" s="624">
        <f>SUM(Q1439:Q1440)</f>
        <v>0</v>
      </c>
      <c r="R1438" s="596"/>
      <c r="S1438" s="612"/>
      <c r="T1438" s="599">
        <f>G1412</f>
        <v>0</v>
      </c>
      <c r="U1438" s="578"/>
      <c r="V1438" s="579"/>
      <c r="W1438" s="579">
        <f t="shared" si="203"/>
        <v>0</v>
      </c>
      <c r="X1438" s="579"/>
      <c r="Y1438" s="879"/>
      <c r="Z1438" s="106"/>
      <c r="AC1438" s="504"/>
      <c r="AD1438" s="505"/>
      <c r="AF1438" s="148"/>
      <c r="BO1438" s="86"/>
    </row>
    <row r="1439" spans="1:67" ht="16.5" thickBot="1" x14ac:dyDescent="0.3">
      <c r="A1439" s="520">
        <f>IFERROR(VLOOKUP($G$5,'רשימת רשויות'!A:C,3,0),0)</f>
        <v>0</v>
      </c>
      <c r="B1439" s="520">
        <f t="shared" si="202"/>
        <v>0</v>
      </c>
      <c r="D1439" s="1134"/>
      <c r="E1439" s="1137"/>
      <c r="F1439" s="580"/>
      <c r="G1439" s="580"/>
      <c r="H1439" s="580"/>
      <c r="I1439" s="84" t="s">
        <v>2193</v>
      </c>
      <c r="J1439" s="515" t="str">
        <f>IFERROR(1-H1436/H1435,"")</f>
        <v/>
      </c>
      <c r="K1439" s="580"/>
      <c r="L1439" s="580"/>
      <c r="M1439" s="580"/>
      <c r="N1439" s="580"/>
      <c r="O1439" s="580"/>
      <c r="P1439" s="615" t="s">
        <v>417</v>
      </c>
      <c r="Q1439" s="616">
        <f>IFERROR(MAX(H1437-I1440-Q1440,0),0)</f>
        <v>0</v>
      </c>
      <c r="R1439" s="596"/>
      <c r="S1439" s="600"/>
      <c r="T1439" s="599">
        <f>G1412</f>
        <v>0</v>
      </c>
      <c r="U1439" s="578"/>
      <c r="V1439" s="579"/>
      <c r="W1439" s="579">
        <f t="shared" si="203"/>
        <v>0</v>
      </c>
      <c r="X1439" s="579"/>
      <c r="Y1439" s="879"/>
      <c r="Z1439" s="106"/>
      <c r="AC1439" s="504"/>
      <c r="AD1439" s="505"/>
      <c r="BO1439" s="86"/>
    </row>
    <row r="1440" spans="1:67" ht="17.25" thickBot="1" x14ac:dyDescent="0.3">
      <c r="A1440" s="520">
        <f>IFERROR(VLOOKUP($G$5,'רשימת רשויות'!A:C,3,0),0)</f>
        <v>0</v>
      </c>
      <c r="B1440" s="520">
        <f t="shared" si="202"/>
        <v>0</v>
      </c>
      <c r="D1440" s="1134"/>
      <c r="E1440" s="1137"/>
      <c r="F1440" s="1143" t="s">
        <v>2679</v>
      </c>
      <c r="G1440" s="1143"/>
      <c r="H1440" s="1143"/>
      <c r="I1440" s="722">
        <f>IF(G1417="לא תקין","לא קיימת זכאות לתקציב לאור אי איוש משרות רכז ו/או סגן רכז ",IFERROR(J1439*(J1438+J1435),0))</f>
        <v>0</v>
      </c>
      <c r="J1440" s="573"/>
      <c r="K1440" s="574"/>
      <c r="L1440" s="396"/>
      <c r="M1440" s="574"/>
      <c r="N1440" s="574"/>
      <c r="O1440" s="574"/>
      <c r="P1440" s="615" t="s">
        <v>2279</v>
      </c>
      <c r="Q1440" s="616">
        <f>MAX(IF(AND(G1435&gt;H1435,I1440&lt;H1437),H1437-I1440,0),0)</f>
        <v>0</v>
      </c>
      <c r="R1440" s="575"/>
      <c r="S1440" s="576" t="s">
        <v>67</v>
      </c>
      <c r="T1440" s="577">
        <f>G1412</f>
        <v>0</v>
      </c>
      <c r="U1440" s="578"/>
      <c r="V1440" s="579">
        <f>I1440</f>
        <v>0</v>
      </c>
      <c r="W1440" s="579">
        <f>IFERROR(U1440-V1440,0)</f>
        <v>0</v>
      </c>
      <c r="X1440" s="579">
        <f>SUM(X1426:X1439)</f>
        <v>0</v>
      </c>
      <c r="Y1440" s="879"/>
      <c r="Z1440" s="106"/>
      <c r="AC1440" s="506">
        <v>0</v>
      </c>
      <c r="AD1440" s="507">
        <f>IFERROR(U1440-AC1440,0)</f>
        <v>0</v>
      </c>
      <c r="BO1440" s="86"/>
    </row>
    <row r="1441" spans="1:67" ht="16.5" thickBot="1" x14ac:dyDescent="0.3">
      <c r="A1441" s="520">
        <f>IFERROR(VLOOKUP($G$5,'רשימת רשויות'!A:C,3,0),0)</f>
        <v>0</v>
      </c>
      <c r="B1441" s="520">
        <f t="shared" si="202"/>
        <v>0</v>
      </c>
      <c r="D1441" s="1135"/>
      <c r="E1441" s="1138"/>
      <c r="F1441" s="1144" t="s">
        <v>2793</v>
      </c>
      <c r="G1441" s="1145"/>
      <c r="H1441" s="1145"/>
      <c r="I1441" s="593">
        <f>IFERROR(IF(G1417="תקין",SUMIFS('סייעות רפואיות או אישיות (7)'!$Q$17:Q$384,'סייעות רפואיות או אישיות (7)'!C$17:C$384,G1412),0),0)</f>
        <v>0</v>
      </c>
      <c r="J1441" s="151"/>
      <c r="K1441" s="152"/>
      <c r="L1441" s="409"/>
      <c r="M1441" s="152"/>
      <c r="N1441" s="152"/>
      <c r="O1441" s="152"/>
      <c r="P1441" s="613"/>
      <c r="Q1441" s="614"/>
      <c r="R1441" s="475"/>
      <c r="S1441" s="489"/>
      <c r="T1441" s="490"/>
      <c r="U1441" s="491"/>
      <c r="V1441" s="492"/>
      <c r="W1441" s="492"/>
      <c r="X1441" s="492"/>
      <c r="Y1441" s="880"/>
      <c r="Z1441" s="153"/>
      <c r="AC1441" s="581"/>
      <c r="AD1441" s="582"/>
      <c r="BO1441" s="86"/>
    </row>
    <row r="1442" spans="1:67" ht="34.5" thickBot="1" x14ac:dyDescent="0.55000000000000004">
      <c r="A1442" s="520">
        <f>IFERROR(VLOOKUP($G$5,'רשימת רשויות'!A:C,3,0),0)</f>
        <v>0</v>
      </c>
      <c r="B1442" s="520">
        <f t="shared" si="202"/>
        <v>0</v>
      </c>
      <c r="E1442" s="154"/>
      <c r="I1442" s="143"/>
      <c r="J1442" s="148"/>
      <c r="O1442" s="148"/>
      <c r="T1442" s="481"/>
      <c r="BO1442" s="86"/>
    </row>
    <row r="1443" spans="1:67" s="20" customFormat="1" ht="16.5" customHeight="1" thickBot="1" x14ac:dyDescent="0.3">
      <c r="A1443" s="520">
        <f>IFERROR(VLOOKUP($G$5,'רשימת רשויות'!A:C,3,0),0)</f>
        <v>0</v>
      </c>
      <c r="B1443" s="520">
        <f t="shared" si="202"/>
        <v>0</v>
      </c>
      <c r="C1443" s="39"/>
      <c r="D1443" s="1133">
        <f>D1412+1</f>
        <v>47</v>
      </c>
      <c r="E1443" s="1136" t="str">
        <f>IFERROR(CONCATENATE("בית הספר ",VLOOKUP(G1443,'מצבת והרשמה (2)'!$C$21:$D$520,2,0)," - ",$G$5),"")</f>
        <v>בית הספר המוסד לא קיים - 0</v>
      </c>
      <c r="F1443" s="720" t="s">
        <v>146</v>
      </c>
      <c r="G1443" s="721">
        <f>IFERROR(VLOOKUP(D:D,'דוח ביצוע (3)'!$A$21:$C$900,2,0),0)</f>
        <v>0</v>
      </c>
      <c r="H1443" s="79"/>
      <c r="I1443" s="80" t="s">
        <v>150</v>
      </c>
      <c r="J1443" s="80"/>
      <c r="K1443" s="81"/>
      <c r="L1443" s="392"/>
      <c r="M1443" s="392"/>
      <c r="N1443" s="392"/>
      <c r="O1443" s="82"/>
      <c r="P1443" s="470"/>
      <c r="Q1443" s="471"/>
      <c r="R1443" s="472"/>
      <c r="S1443" s="883"/>
      <c r="T1443" s="884"/>
      <c r="U1443" s="486"/>
      <c r="V1443" s="487"/>
      <c r="W1443" s="487"/>
      <c r="X1443" s="487"/>
      <c r="Y1443" s="885"/>
      <c r="Z1443" s="83"/>
      <c r="AC1443" s="502"/>
      <c r="AD1443" s="503"/>
      <c r="AO1443" s="22"/>
      <c r="AP1443" s="22"/>
      <c r="AQ1443" s="22"/>
      <c r="AR1443" s="22"/>
      <c r="AS1443" s="22"/>
      <c r="AT1443" s="22"/>
      <c r="AU1443" s="35"/>
      <c r="AV1443" s="35"/>
      <c r="AW1443" s="35"/>
      <c r="AX1443" s="35"/>
      <c r="AY1443" s="35"/>
      <c r="AZ1443" s="35"/>
      <c r="BA1443" s="35"/>
      <c r="BB1443" s="35"/>
      <c r="BC1443" s="35"/>
      <c r="BD1443" s="35"/>
      <c r="BE1443" s="35"/>
      <c r="BF1443" s="35"/>
      <c r="BG1443" s="35"/>
      <c r="BH1443" s="35"/>
      <c r="BI1443" s="35"/>
      <c r="BJ1443" s="35"/>
      <c r="BK1443" s="35"/>
      <c r="BL1443" s="35"/>
      <c r="BM1443" s="35"/>
      <c r="BN1443" s="35"/>
      <c r="BO1443" s="78"/>
    </row>
    <row r="1444" spans="1:67" s="20" customFormat="1" ht="16.5" thickBot="1" x14ac:dyDescent="0.3">
      <c r="A1444" s="520">
        <f>IFERROR(VLOOKUP($G$5,'רשימת רשויות'!A:C,3,0),0)</f>
        <v>0</v>
      </c>
      <c r="B1444" s="520">
        <f t="shared" si="202"/>
        <v>0</v>
      </c>
      <c r="C1444" s="39"/>
      <c r="D1444" s="1134"/>
      <c r="E1444" s="1137"/>
      <c r="F1444" s="583" t="s">
        <v>145</v>
      </c>
      <c r="G1444" s="516" t="str">
        <f>IFERROR(IF((G1446+G1447)=0,"",IF(VLOOKUP(G1443,'דוח ביצוע (3)'!$B$21:$K$900,5,0)&gt;149,"גדול",IF(AND(VLOOKUP(G1443,'דוח ביצוע (3)'!$B$21:$K$900,5,0)&gt;0,VLOOKUP(G1443,'דוח ביצוע (3)'!$B$21:$K$900,5,0)&lt;150),"קטן",0))),"")</f>
        <v/>
      </c>
      <c r="H1444" s="723" t="s">
        <v>88</v>
      </c>
      <c r="I1444" s="723" t="s">
        <v>13</v>
      </c>
      <c r="J1444" s="725" t="s">
        <v>14</v>
      </c>
      <c r="K1444" s="724" t="s">
        <v>94</v>
      </c>
      <c r="L1444" s="594"/>
      <c r="M1444" s="420" t="s">
        <v>2584</v>
      </c>
      <c r="N1444" s="397" t="s">
        <v>413</v>
      </c>
      <c r="O1444" s="398" t="s">
        <v>52</v>
      </c>
      <c r="P1444" s="595"/>
      <c r="Q1444" s="595"/>
      <c r="R1444" s="596"/>
      <c r="S1444" s="610"/>
      <c r="T1444" s="881"/>
      <c r="U1444" s="598"/>
      <c r="V1444" s="599"/>
      <c r="W1444" s="599"/>
      <c r="X1444" s="599"/>
      <c r="Y1444" s="879"/>
      <c r="Z1444" s="85"/>
      <c r="AC1444" s="493"/>
      <c r="AD1444" s="495"/>
      <c r="AO1444" s="22"/>
      <c r="AP1444" s="22"/>
      <c r="AQ1444" s="22"/>
      <c r="AR1444" s="22"/>
      <c r="AS1444" s="22"/>
      <c r="AT1444" s="22"/>
      <c r="AU1444" s="35"/>
      <c r="AV1444" s="35"/>
      <c r="AW1444" s="35"/>
      <c r="AX1444" s="35"/>
      <c r="AY1444" s="35"/>
      <c r="AZ1444" s="35"/>
      <c r="BA1444" s="35"/>
      <c r="BB1444" s="35"/>
      <c r="BC1444" s="35"/>
      <c r="BD1444" s="35"/>
      <c r="BE1444" s="35"/>
      <c r="BF1444" s="35"/>
      <c r="BG1444" s="35"/>
      <c r="BH1444" s="35"/>
      <c r="BI1444" s="35"/>
      <c r="BJ1444" s="35"/>
      <c r="BK1444" s="35"/>
      <c r="BL1444" s="35"/>
      <c r="BM1444" s="35"/>
      <c r="BN1444" s="35"/>
      <c r="BO1444" s="78"/>
    </row>
    <row r="1445" spans="1:67" s="20" customFormat="1" ht="15.75" customHeight="1" thickBot="1" x14ac:dyDescent="0.3">
      <c r="A1445" s="520">
        <f>IFERROR(VLOOKUP($G$5,'רשימת רשויות'!A:C,3,0),0)</f>
        <v>0</v>
      </c>
      <c r="B1445" s="520">
        <f t="shared" si="202"/>
        <v>0</v>
      </c>
      <c r="C1445" s="39"/>
      <c r="D1445" s="1134"/>
      <c r="E1445" s="1137"/>
      <c r="F1445" s="584" t="s">
        <v>144</v>
      </c>
      <c r="G1445" s="87">
        <f>IF(G1448="תקין",IFERROR(VLOOKUP($G1443,'דוח ביצוע (3)'!$B$21:$Q$900,12,0),0),0)</f>
        <v>0</v>
      </c>
      <c r="H1445" s="88">
        <f>IFERROR(G1446*$AH$6+G1447*$AH$7,0)</f>
        <v>0</v>
      </c>
      <c r="I1445" s="88">
        <f>IFERROR(G1446*$AI$6+G1447*$AI$7,0)</f>
        <v>0</v>
      </c>
      <c r="J1445" s="88">
        <f>IFERROR(G1446*$AJ$6+G1447*$AJ$7,0)</f>
        <v>0</v>
      </c>
      <c r="K1445" s="88">
        <f>IFERROR(G1446*$AK$6+G1447*$AK$7,0)</f>
        <v>0</v>
      </c>
      <c r="L1445" s="405"/>
      <c r="M1445" s="399" t="s">
        <v>427</v>
      </c>
      <c r="N1445" s="400" t="str">
        <f>IFERROR(VLOOKUP($G1443,'דוח ביצוע (3)'!$B:$AE,28,0),"")</f>
        <v/>
      </c>
      <c r="O1445" s="89" t="str">
        <f>IFERROR(VLOOKUP($G1443,'דוח ביצוע (3)'!B:AE,29,0),"")</f>
        <v/>
      </c>
      <c r="P1445" s="595"/>
      <c r="Q1445" s="595"/>
      <c r="R1445" s="596"/>
      <c r="S1445" s="610"/>
      <c r="T1445" s="881"/>
      <c r="U1445" s="598"/>
      <c r="V1445" s="599"/>
      <c r="W1445" s="599"/>
      <c r="X1445" s="599"/>
      <c r="Y1445" s="879"/>
      <c r="Z1445" s="85"/>
      <c r="AC1445" s="493"/>
      <c r="AD1445" s="495"/>
      <c r="AO1445" s="22"/>
      <c r="AP1445" s="22"/>
      <c r="AQ1445" s="22"/>
      <c r="AR1445" s="22"/>
      <c r="AS1445" s="22"/>
      <c r="AT1445" s="22"/>
      <c r="AU1445" s="35"/>
      <c r="AV1445" s="35"/>
      <c r="AW1445" s="35"/>
      <c r="AX1445" s="35"/>
      <c r="AY1445" s="35"/>
      <c r="AZ1445" s="35"/>
      <c r="BA1445" s="35"/>
      <c r="BB1445" s="35"/>
      <c r="BC1445" s="35"/>
      <c r="BD1445" s="35"/>
      <c r="BE1445" s="35"/>
      <c r="BF1445" s="35"/>
      <c r="BG1445" s="35"/>
      <c r="BH1445" s="35"/>
      <c r="BI1445" s="35"/>
      <c r="BJ1445" s="35"/>
      <c r="BK1445" s="35"/>
      <c r="BL1445" s="35"/>
      <c r="BM1445" s="35"/>
      <c r="BN1445" s="35"/>
      <c r="BO1445" s="78"/>
    </row>
    <row r="1446" spans="1:67" s="20" customFormat="1" ht="32.25" thickBot="1" x14ac:dyDescent="0.3">
      <c r="A1446" s="520">
        <f>IFERROR(VLOOKUP($G$5,'רשימת רשויות'!A:C,3,0),0)</f>
        <v>0</v>
      </c>
      <c r="B1446" s="520">
        <f t="shared" si="202"/>
        <v>0</v>
      </c>
      <c r="C1446" s="39"/>
      <c r="D1446" s="1134"/>
      <c r="E1446" s="1137"/>
      <c r="F1446" s="585" t="s">
        <v>2195</v>
      </c>
      <c r="G1446" s="89">
        <f>IF(G1448="תקין",MAX(N1448,0),0)</f>
        <v>0</v>
      </c>
      <c r="H1446" s="725" t="s">
        <v>151</v>
      </c>
      <c r="I1446" s="725" t="s">
        <v>91</v>
      </c>
      <c r="J1446" s="970" t="s">
        <v>3396</v>
      </c>
      <c r="K1446" s="601"/>
      <c r="L1446" s="601"/>
      <c r="M1446" s="983" t="s">
        <v>2585</v>
      </c>
      <c r="N1446" s="400" t="str">
        <f>IFERROR(G1445/15*N1445*1.25,"")</f>
        <v/>
      </c>
      <c r="O1446" s="89" t="str">
        <f>IFERROR(G1445/15*O1445*1.25,"")</f>
        <v/>
      </c>
      <c r="P1446" s="595"/>
      <c r="Q1446" s="595"/>
      <c r="R1446" s="596"/>
      <c r="S1446" s="610"/>
      <c r="T1446" s="881"/>
      <c r="U1446" s="598"/>
      <c r="V1446" s="599"/>
      <c r="W1446" s="599"/>
      <c r="X1446" s="599"/>
      <c r="Y1446" s="879"/>
      <c r="Z1446" s="85"/>
      <c r="AC1446" s="493"/>
      <c r="AD1446" s="495"/>
      <c r="AG1446" s="22"/>
      <c r="AH1446" s="55"/>
      <c r="AI1446" s="55"/>
      <c r="AJ1446" s="55"/>
      <c r="AK1446" s="55"/>
      <c r="AO1446" s="22"/>
      <c r="AP1446" s="22"/>
      <c r="AQ1446" s="22"/>
      <c r="AR1446" s="22"/>
      <c r="AS1446" s="22"/>
      <c r="AT1446" s="22"/>
      <c r="AU1446" s="35"/>
      <c r="AV1446" s="35"/>
      <c r="AW1446" s="35"/>
      <c r="AX1446" s="35"/>
      <c r="AY1446" s="35"/>
      <c r="AZ1446" s="35"/>
      <c r="BA1446" s="35"/>
      <c r="BB1446" s="35"/>
      <c r="BC1446" s="35"/>
      <c r="BD1446" s="35"/>
      <c r="BE1446" s="35"/>
      <c r="BF1446" s="35"/>
      <c r="BG1446" s="35"/>
      <c r="BH1446" s="35"/>
      <c r="BI1446" s="35"/>
      <c r="BJ1446" s="35"/>
      <c r="BK1446" s="35"/>
      <c r="BL1446" s="35"/>
      <c r="BM1446" s="35"/>
      <c r="BN1446" s="35"/>
      <c r="BO1446" s="86"/>
    </row>
    <row r="1447" spans="1:67" s="20" customFormat="1" ht="16.5" thickBot="1" x14ac:dyDescent="0.3">
      <c r="A1447" s="520">
        <f>IFERROR(VLOOKUP($G$5,'רשימת רשויות'!A:C,3,0),0)</f>
        <v>0</v>
      </c>
      <c r="B1447" s="520">
        <f t="shared" si="202"/>
        <v>0</v>
      </c>
      <c r="C1447" s="39"/>
      <c r="D1447" s="1134"/>
      <c r="E1447" s="1137"/>
      <c r="F1447" s="585" t="s">
        <v>2196</v>
      </c>
      <c r="G1447" s="89">
        <f>IF(G1448="תקין",MAX(O1448,0),0)</f>
        <v>0</v>
      </c>
      <c r="H1447" s="88">
        <f>(IFERROR(IF((G1446+G1447)=0,0,IF(G1444="קטן",G1445*$AH$10,G1445*$AH$11)),0))+(IFERROR(IF((G1446+G1447)=0,0,VLOOKUP(G1443,'דוח ביצוע (3)'!$B:$AH,33,0)),0))</f>
        <v>0</v>
      </c>
      <c r="I1447" s="88">
        <f>IFERROR(IF((G1446+G1447)=0,0,IF(G1444="קטן",G1445*$AI$10,G1445*$AI$11)),0)</f>
        <v>0</v>
      </c>
      <c r="J1447" s="88">
        <f>IFERROR(IF((G1446+G1447)=0,0,VLOOKUP(G1443,'דוח ביצוע (3)'!$B:$AH,32,0)),0)</f>
        <v>0</v>
      </c>
      <c r="K1447" s="90"/>
      <c r="L1447" s="90"/>
      <c r="M1447" s="399" t="s">
        <v>412</v>
      </c>
      <c r="N1447" s="400">
        <f>IFERROR(VLOOKUP($G1443,'דוח ביצוע (3)'!$B$21:$U$500,18,0),0)</f>
        <v>0</v>
      </c>
      <c r="O1447" s="401">
        <f>IFERROR(VLOOKUP($G1443,'דוח ביצוע (3)'!$B$21:$U$500,19,0),0)</f>
        <v>0</v>
      </c>
      <c r="P1447" s="595"/>
      <c r="Q1447" s="595"/>
      <c r="R1447" s="596"/>
      <c r="S1447" s="610"/>
      <c r="T1447" s="881"/>
      <c r="U1447" s="598"/>
      <c r="V1447" s="599"/>
      <c r="W1447" s="599"/>
      <c r="X1447" s="599"/>
      <c r="Y1447" s="879"/>
      <c r="Z1447" s="85"/>
      <c r="AC1447" s="493"/>
      <c r="AD1447" s="495"/>
      <c r="AG1447" s="22"/>
      <c r="AH1447" s="55"/>
      <c r="AI1447" s="55"/>
      <c r="AJ1447" s="55"/>
      <c r="AK1447" s="55"/>
      <c r="AO1447" s="22"/>
      <c r="AP1447" s="22"/>
      <c r="AQ1447" s="22"/>
      <c r="AR1447" s="22"/>
      <c r="AS1447" s="22"/>
      <c r="AT1447" s="22"/>
      <c r="AU1447" s="35"/>
      <c r="AV1447" s="35"/>
      <c r="AW1447" s="35"/>
      <c r="AX1447" s="35"/>
      <c r="AY1447" s="35"/>
      <c r="AZ1447" s="35"/>
      <c r="BA1447" s="35"/>
      <c r="BB1447" s="35"/>
      <c r="BC1447" s="35"/>
      <c r="BD1447" s="35"/>
      <c r="BE1447" s="35"/>
      <c r="BF1447" s="35"/>
      <c r="BG1447" s="35"/>
      <c r="BH1447" s="35"/>
      <c r="BI1447" s="35"/>
      <c r="BJ1447" s="35"/>
      <c r="BK1447" s="35"/>
      <c r="BL1447" s="35"/>
      <c r="BM1447" s="35"/>
      <c r="BN1447" s="35"/>
      <c r="BO1447" s="86"/>
    </row>
    <row r="1448" spans="1:67" s="20" customFormat="1" ht="16.5" thickBot="1" x14ac:dyDescent="0.3">
      <c r="A1448" s="520">
        <f>IFERROR(VLOOKUP($G$5,'רשימת רשויות'!A:C,3,0),0)</f>
        <v>0</v>
      </c>
      <c r="B1448" s="520">
        <f t="shared" si="202"/>
        <v>0</v>
      </c>
      <c r="C1448" s="39"/>
      <c r="D1448" s="1134"/>
      <c r="E1448" s="1137"/>
      <c r="F1448" s="586" t="s">
        <v>2355</v>
      </c>
      <c r="G1448" s="514">
        <f>IFERROR(IF(VLOOKUP('בית ספר - תקצוב לפי מוסד (9)'!G1443,' איוש משרות (8)'!$C:$K,9,0)="תקין","תקין","לא תקין"),0)</f>
        <v>0</v>
      </c>
      <c r="H1448" s="91"/>
      <c r="I1448" s="91"/>
      <c r="J1448" s="91"/>
      <c r="K1448" s="90"/>
      <c r="L1448" s="90"/>
      <c r="M1448" s="402" t="s">
        <v>2586</v>
      </c>
      <c r="N1448" s="403">
        <f>IFERROR(MIN(N1446,N1447),0)</f>
        <v>0</v>
      </c>
      <c r="O1448" s="404">
        <f>IFERROR(MIN(O1446,O1447),0)</f>
        <v>0</v>
      </c>
      <c r="P1448" s="595"/>
      <c r="Q1448" s="595"/>
      <c r="R1448" s="596"/>
      <c r="S1448" s="610"/>
      <c r="T1448" s="881"/>
      <c r="U1448" s="598"/>
      <c r="V1448" s="599"/>
      <c r="W1448" s="599"/>
      <c r="X1448" s="599"/>
      <c r="Y1448" s="879"/>
      <c r="Z1448" s="85"/>
      <c r="AC1448" s="493"/>
      <c r="AD1448" s="495"/>
      <c r="AG1448" s="94"/>
      <c r="AH1448" s="40"/>
      <c r="AI1448" s="40"/>
      <c r="AJ1448" s="40"/>
      <c r="AK1448" s="40"/>
      <c r="AO1448" s="22"/>
      <c r="AP1448" s="22"/>
      <c r="AQ1448" s="22"/>
      <c r="AR1448" s="22"/>
      <c r="AS1448" s="22"/>
      <c r="AT1448" s="22"/>
      <c r="AU1448" s="35"/>
      <c r="AV1448" s="35"/>
      <c r="AW1448" s="35"/>
      <c r="AX1448" s="35"/>
      <c r="AY1448" s="35"/>
      <c r="AZ1448" s="35"/>
      <c r="BA1448" s="35"/>
      <c r="BB1448" s="35"/>
      <c r="BC1448" s="35"/>
      <c r="BD1448" s="35"/>
      <c r="BE1448" s="35"/>
      <c r="BF1448" s="35"/>
      <c r="BG1448" s="35"/>
      <c r="BH1448" s="35"/>
      <c r="BI1448" s="35"/>
      <c r="BJ1448" s="35"/>
      <c r="BK1448" s="35"/>
      <c r="BL1448" s="35"/>
      <c r="BM1448" s="35"/>
      <c r="BN1448" s="35"/>
      <c r="BO1448" s="86"/>
    </row>
    <row r="1449" spans="1:67" s="55" customFormat="1" ht="37.15" customHeight="1" thickBot="1" x14ac:dyDescent="0.3">
      <c r="A1449" s="520">
        <f>IFERROR(VLOOKUP($G$5,'רשימת רשויות'!A:C,3,0),0)</f>
        <v>0</v>
      </c>
      <c r="B1449" s="520">
        <f t="shared" si="202"/>
        <v>0</v>
      </c>
      <c r="C1449" s="39"/>
      <c r="D1449" s="1134"/>
      <c r="E1449" s="1137"/>
      <c r="F1449" s="587" t="s">
        <v>142</v>
      </c>
      <c r="G1449" s="92"/>
      <c r="H1449" s="92"/>
      <c r="I1449" s="92"/>
      <c r="J1449" s="92"/>
      <c r="K1449" s="602"/>
      <c r="L1449" s="602"/>
      <c r="M1449" s="602"/>
      <c r="N1449" s="602"/>
      <c r="O1449" s="602"/>
      <c r="P1449" s="595"/>
      <c r="Q1449" s="595"/>
      <c r="R1449" s="596"/>
      <c r="S1449" s="610"/>
      <c r="T1449" s="881"/>
      <c r="U1449" s="598"/>
      <c r="V1449" s="599"/>
      <c r="W1449" s="599"/>
      <c r="X1449" s="599"/>
      <c r="Y1449" s="879"/>
      <c r="Z1449" s="93"/>
      <c r="AC1449" s="493"/>
      <c r="AD1449" s="495"/>
      <c r="AF1449" s="22"/>
      <c r="AG1449" s="98"/>
      <c r="AH1449" s="98"/>
      <c r="AI1449" s="40"/>
      <c r="AJ1449" s="40"/>
      <c r="AK1449" s="40"/>
      <c r="AO1449" s="22"/>
      <c r="AP1449" s="22"/>
      <c r="AQ1449" s="22"/>
      <c r="AR1449" s="22"/>
      <c r="AS1449" s="22"/>
      <c r="AT1449" s="22"/>
      <c r="AU1449" s="35"/>
      <c r="AV1449" s="35"/>
      <c r="AW1449" s="35"/>
      <c r="AX1449" s="35"/>
      <c r="AY1449" s="35"/>
      <c r="AZ1449" s="35"/>
      <c r="BA1449" s="35"/>
      <c r="BB1449" s="35"/>
      <c r="BC1449" s="35"/>
      <c r="BD1449" s="35"/>
      <c r="BE1449" s="35"/>
      <c r="BF1449" s="35"/>
      <c r="BG1449" s="35"/>
      <c r="BH1449" s="35"/>
      <c r="BI1449" s="35"/>
      <c r="BJ1449" s="35"/>
      <c r="BK1449" s="35"/>
      <c r="BL1449" s="35"/>
      <c r="BM1449" s="35"/>
      <c r="BN1449" s="35"/>
      <c r="BO1449" s="86"/>
    </row>
    <row r="1450" spans="1:67" s="40" customFormat="1" ht="31.5" x14ac:dyDescent="0.25">
      <c r="A1450" s="520">
        <f>IFERROR(VLOOKUP($G$5,'רשימת רשויות'!A:C,3,0),0)</f>
        <v>0</v>
      </c>
      <c r="B1450" s="520">
        <f t="shared" si="202"/>
        <v>0</v>
      </c>
      <c r="C1450" s="39"/>
      <c r="D1450" s="1134"/>
      <c r="E1450" s="1137"/>
      <c r="F1450" s="588" t="s">
        <v>94</v>
      </c>
      <c r="G1450" s="95" t="s">
        <v>18</v>
      </c>
      <c r="H1450" s="95" t="s">
        <v>19</v>
      </c>
      <c r="I1450" s="95" t="s">
        <v>138</v>
      </c>
      <c r="J1450" s="96" t="s">
        <v>139</v>
      </c>
      <c r="K1450" s="603"/>
      <c r="L1450" s="603"/>
      <c r="M1450" s="603"/>
      <c r="N1450" s="603"/>
      <c r="O1450" s="603"/>
      <c r="P1450" s="604"/>
      <c r="Q1450" s="604"/>
      <c r="R1450" s="596"/>
      <c r="S1450" s="610"/>
      <c r="T1450" s="881"/>
      <c r="U1450" s="598"/>
      <c r="V1450" s="599"/>
      <c r="W1450" s="599"/>
      <c r="X1450" s="599"/>
      <c r="Y1450" s="879"/>
      <c r="Z1450" s="97"/>
      <c r="AA1450" s="94"/>
      <c r="AB1450" s="94"/>
      <c r="AC1450" s="493"/>
      <c r="AD1450" s="495"/>
      <c r="AE1450" s="94"/>
      <c r="AG1450" s="98"/>
      <c r="AH1450" s="98"/>
      <c r="AO1450" s="22"/>
      <c r="AP1450" s="22"/>
      <c r="AQ1450" s="22"/>
      <c r="AR1450" s="22"/>
      <c r="AS1450" s="22"/>
      <c r="AT1450" s="22"/>
      <c r="AU1450" s="35"/>
      <c r="AV1450" s="35"/>
      <c r="AW1450" s="35"/>
      <c r="AX1450" s="35"/>
      <c r="AY1450" s="35"/>
      <c r="AZ1450" s="35"/>
      <c r="BA1450" s="35"/>
      <c r="BB1450" s="35"/>
      <c r="BC1450" s="35"/>
      <c r="BD1450" s="35"/>
      <c r="BE1450" s="35"/>
      <c r="BF1450" s="35"/>
      <c r="BG1450" s="35"/>
      <c r="BH1450" s="35"/>
      <c r="BI1450" s="35"/>
      <c r="BJ1450" s="35"/>
      <c r="BK1450" s="35"/>
      <c r="BL1450" s="35"/>
      <c r="BM1450" s="35"/>
      <c r="BN1450" s="35"/>
      <c r="BO1450" s="86"/>
    </row>
    <row r="1451" spans="1:67" s="40" customFormat="1" ht="15.75" customHeight="1" thickBot="1" x14ac:dyDescent="0.3">
      <c r="A1451" s="520">
        <f>IFERROR(VLOOKUP($G$5,'רשימת רשויות'!A:C,3,0),0)</f>
        <v>0</v>
      </c>
      <c r="B1451" s="520">
        <f t="shared" si="202"/>
        <v>0</v>
      </c>
      <c r="C1451" s="39"/>
      <c r="D1451" s="1134"/>
      <c r="E1451" s="1137"/>
      <c r="F1451" s="589" t="s">
        <v>2280</v>
      </c>
      <c r="G1451" s="99">
        <f>+G1462</f>
        <v>0</v>
      </c>
      <c r="H1451" s="100">
        <f>K1445</f>
        <v>0</v>
      </c>
      <c r="I1451" s="100">
        <f>H1451-I1453</f>
        <v>0</v>
      </c>
      <c r="J1451" s="101">
        <f>IFERROR(I1451/H1451,0)</f>
        <v>0</v>
      </c>
      <c r="K1451" s="603"/>
      <c r="L1451" s="603"/>
      <c r="M1451" s="603"/>
      <c r="N1451" s="603"/>
      <c r="O1451" s="603"/>
      <c r="P1451" s="605"/>
      <c r="Q1451" s="604"/>
      <c r="R1451" s="606" t="s">
        <v>157</v>
      </c>
      <c r="S1451" s="611"/>
      <c r="T1451" s="881"/>
      <c r="U1451" s="598"/>
      <c r="V1451" s="599"/>
      <c r="W1451" s="599"/>
      <c r="X1451" s="599"/>
      <c r="Y1451" s="879"/>
      <c r="Z1451" s="102"/>
      <c r="AA1451" s="122"/>
      <c r="AB1451" s="122"/>
      <c r="AC1451" s="493"/>
      <c r="AD1451" s="495"/>
      <c r="AE1451" s="122"/>
      <c r="AF1451" s="22"/>
      <c r="AG1451" s="98"/>
      <c r="AH1451" s="98"/>
      <c r="AI1451" s="20"/>
      <c r="AO1451" s="22"/>
      <c r="AP1451" s="22"/>
      <c r="AQ1451" s="22"/>
      <c r="AR1451" s="22"/>
      <c r="AS1451" s="22"/>
      <c r="AT1451" s="22"/>
      <c r="AU1451" s="35"/>
      <c r="AV1451" s="35"/>
      <c r="AW1451" s="35"/>
      <c r="AX1451" s="35"/>
      <c r="AY1451" s="35"/>
      <c r="AZ1451" s="35"/>
      <c r="BA1451" s="35"/>
      <c r="BB1451" s="35"/>
      <c r="BC1451" s="35"/>
      <c r="BD1451" s="35"/>
      <c r="BE1451" s="35"/>
      <c r="BF1451" s="35"/>
      <c r="BG1451" s="35"/>
      <c r="BH1451" s="35"/>
      <c r="BI1451" s="35"/>
      <c r="BJ1451" s="35"/>
      <c r="BK1451" s="35"/>
      <c r="BL1451" s="35"/>
      <c r="BM1451" s="35"/>
      <c r="BN1451" s="35"/>
      <c r="BO1451" s="86"/>
    </row>
    <row r="1452" spans="1:67" s="40" customFormat="1" ht="15.75" customHeight="1" thickBot="1" x14ac:dyDescent="0.3">
      <c r="A1452" s="520">
        <f>IFERROR(VLOOKUP($G$5,'רשימת רשויות'!A:C,3,0),0)</f>
        <v>0</v>
      </c>
      <c r="B1452" s="520">
        <f t="shared" si="202"/>
        <v>0</v>
      </c>
      <c r="C1452" s="39"/>
      <c r="D1452" s="1134"/>
      <c r="E1452" s="1137"/>
      <c r="F1452" s="589" t="s">
        <v>2281</v>
      </c>
      <c r="G1452" s="99">
        <f>+G1461</f>
        <v>0</v>
      </c>
      <c r="H1452" s="103"/>
      <c r="I1452" s="104"/>
      <c r="J1452" s="105"/>
      <c r="K1452" s="603"/>
      <c r="L1452" s="603"/>
      <c r="M1452" s="603"/>
      <c r="N1452" s="603"/>
      <c r="O1452" s="603"/>
      <c r="P1452" s="605"/>
      <c r="Q1452" s="604"/>
      <c r="R1452" s="473">
        <f>I1453-R1454</f>
        <v>0</v>
      </c>
      <c r="S1452" s="611"/>
      <c r="T1452" s="881"/>
      <c r="U1452" s="598"/>
      <c r="V1452" s="599"/>
      <c r="W1452" s="599"/>
      <c r="X1452" s="599"/>
      <c r="Y1452" s="879"/>
      <c r="Z1452" s="106"/>
      <c r="AA1452" s="22"/>
      <c r="AB1452" s="22"/>
      <c r="AC1452" s="493"/>
      <c r="AD1452" s="495"/>
      <c r="AE1452" s="22"/>
      <c r="AF1452" s="22"/>
      <c r="AG1452" s="98"/>
      <c r="AH1452" s="98"/>
      <c r="AI1452" s="20"/>
      <c r="AO1452" s="22"/>
      <c r="AP1452" s="22"/>
      <c r="AQ1452" s="22"/>
      <c r="AR1452" s="22"/>
      <c r="AS1452" s="22"/>
      <c r="AT1452" s="22"/>
      <c r="AU1452" s="35"/>
      <c r="AV1452" s="35"/>
      <c r="AW1452" s="35"/>
      <c r="AX1452" s="35"/>
      <c r="AY1452" s="35"/>
      <c r="AZ1452" s="35"/>
      <c r="BA1452" s="35"/>
      <c r="BB1452" s="35"/>
      <c r="BC1452" s="35"/>
      <c r="BD1452" s="35"/>
      <c r="BE1452" s="35"/>
      <c r="BF1452" s="35"/>
      <c r="BG1452" s="35"/>
      <c r="BH1452" s="35"/>
      <c r="BI1452" s="35"/>
      <c r="BJ1452" s="35"/>
      <c r="BK1452" s="35"/>
      <c r="BL1452" s="35"/>
      <c r="BM1452" s="35"/>
      <c r="BN1452" s="35"/>
      <c r="BO1452" s="86"/>
    </row>
    <row r="1453" spans="1:67" s="40" customFormat="1" ht="16.5" customHeight="1" thickBot="1" x14ac:dyDescent="0.3">
      <c r="A1453" s="520">
        <f>IFERROR(VLOOKUP($G$5,'רשימת רשויות'!A:C,3,0),0)</f>
        <v>0</v>
      </c>
      <c r="B1453" s="520">
        <f t="shared" si="202"/>
        <v>0</v>
      </c>
      <c r="C1453" s="39"/>
      <c r="D1453" s="1134"/>
      <c r="E1453" s="1137"/>
      <c r="F1453" s="589" t="s">
        <v>2282</v>
      </c>
      <c r="G1453" s="99">
        <f>G1457+G1458+G1459</f>
        <v>0</v>
      </c>
      <c r="H1453" s="104"/>
      <c r="I1453" s="107">
        <f>MAX(H1451-G1451-G1452,0)</f>
        <v>0</v>
      </c>
      <c r="J1453" s="108">
        <f>IFERROR(I1453/H1451,0)</f>
        <v>0</v>
      </c>
      <c r="K1453" s="603"/>
      <c r="L1453" s="603"/>
      <c r="M1453" s="603"/>
      <c r="N1453" s="603"/>
      <c r="O1453" s="603"/>
      <c r="P1453" s="604"/>
      <c r="Q1453" s="604"/>
      <c r="R1453" s="606" t="s">
        <v>158</v>
      </c>
      <c r="S1453" s="612"/>
      <c r="T1453" s="881"/>
      <c r="U1453" s="598"/>
      <c r="V1453" s="599"/>
      <c r="W1453" s="599"/>
      <c r="X1453" s="599"/>
      <c r="Y1453" s="879"/>
      <c r="Z1453" s="106"/>
      <c r="AA1453" s="22"/>
      <c r="AB1453" s="22"/>
      <c r="AC1453" s="493"/>
      <c r="AD1453" s="495"/>
      <c r="AE1453" s="22"/>
      <c r="AF1453" s="22"/>
      <c r="AG1453" s="22"/>
      <c r="AH1453" s="22"/>
      <c r="AI1453" s="55"/>
      <c r="AJ1453" s="22"/>
      <c r="AK1453" s="22"/>
      <c r="AO1453" s="22"/>
      <c r="AP1453" s="22"/>
      <c r="AQ1453" s="22"/>
      <c r="AR1453" s="22"/>
      <c r="AS1453" s="22"/>
      <c r="AT1453" s="22"/>
      <c r="AU1453" s="35"/>
      <c r="AV1453" s="35"/>
      <c r="AW1453" s="35"/>
      <c r="AX1453" s="35"/>
      <c r="AY1453" s="35"/>
      <c r="AZ1453" s="35"/>
      <c r="BA1453" s="35"/>
      <c r="BB1453" s="35"/>
      <c r="BC1453" s="35"/>
      <c r="BD1453" s="35"/>
      <c r="BE1453" s="35"/>
      <c r="BF1453" s="35"/>
      <c r="BG1453" s="35"/>
      <c r="BH1453" s="35"/>
      <c r="BI1453" s="35"/>
      <c r="BJ1453" s="35"/>
      <c r="BK1453" s="35"/>
      <c r="BL1453" s="35"/>
      <c r="BM1453" s="35"/>
      <c r="BN1453" s="35"/>
      <c r="BO1453" s="86"/>
    </row>
    <row r="1454" spans="1:67" s="40" customFormat="1" ht="15.75" customHeight="1" thickBot="1" x14ac:dyDescent="0.3">
      <c r="A1454" s="520">
        <f>IFERROR(VLOOKUP($G$5,'רשימת רשויות'!A:C,3,0),0)</f>
        <v>0</v>
      </c>
      <c r="B1454" s="520">
        <f t="shared" si="202"/>
        <v>0</v>
      </c>
      <c r="C1454" s="39"/>
      <c r="D1454" s="1134"/>
      <c r="E1454" s="1137"/>
      <c r="F1454" s="590" t="s">
        <v>2290</v>
      </c>
      <c r="G1454" s="109"/>
      <c r="H1454" s="110"/>
      <c r="I1454" s="111">
        <f>SUM(I1451:I1453)</f>
        <v>0</v>
      </c>
      <c r="J1454" s="112">
        <f>SUM(J1451:J1453)</f>
        <v>0</v>
      </c>
      <c r="K1454" s="603"/>
      <c r="L1454" s="603"/>
      <c r="M1454" s="603"/>
      <c r="N1454" s="603"/>
      <c r="O1454" s="603"/>
      <c r="P1454" s="604"/>
      <c r="Q1454" s="604"/>
      <c r="R1454" s="473">
        <f>MIN(MAX(G1458+G1459-I1447-J1447,0),I1453)</f>
        <v>0</v>
      </c>
      <c r="S1454" s="612"/>
      <c r="T1454" s="881"/>
      <c r="U1454" s="598"/>
      <c r="V1454" s="599"/>
      <c r="W1454" s="599"/>
      <c r="X1454" s="599"/>
      <c r="Y1454" s="879"/>
      <c r="Z1454" s="106"/>
      <c r="AA1454" s="22"/>
      <c r="AB1454" s="22"/>
      <c r="AC1454" s="493"/>
      <c r="AD1454" s="495"/>
      <c r="AE1454" s="22"/>
      <c r="AF1454" s="22"/>
      <c r="AG1454" s="22"/>
      <c r="AH1454" s="22"/>
      <c r="AJ1454" s="22"/>
      <c r="AK1454" s="22"/>
      <c r="AO1454" s="22"/>
      <c r="AP1454" s="22"/>
      <c r="AQ1454" s="22"/>
      <c r="AR1454" s="22"/>
      <c r="AS1454" s="22"/>
      <c r="AT1454" s="22"/>
      <c r="AU1454" s="35"/>
      <c r="AV1454" s="35"/>
      <c r="AW1454" s="35"/>
      <c r="AX1454" s="35"/>
      <c r="AY1454" s="35"/>
      <c r="AZ1454" s="35"/>
      <c r="BA1454" s="35"/>
      <c r="BB1454" s="35"/>
      <c r="BC1454" s="35"/>
      <c r="BD1454" s="35"/>
      <c r="BE1454" s="35"/>
      <c r="BF1454" s="35"/>
      <c r="BG1454" s="35"/>
      <c r="BH1454" s="35"/>
      <c r="BI1454" s="35"/>
      <c r="BJ1454" s="35"/>
      <c r="BK1454" s="35"/>
      <c r="BL1454" s="35"/>
      <c r="BM1454" s="35"/>
      <c r="BN1454" s="35"/>
      <c r="BO1454" s="86"/>
    </row>
    <row r="1455" spans="1:67" ht="16.5" thickBot="1" x14ac:dyDescent="0.3">
      <c r="A1455" s="520">
        <f>IFERROR(VLOOKUP($G$5,'רשימת רשויות'!A:C,3,0),0)</f>
        <v>0</v>
      </c>
      <c r="B1455" s="520">
        <f t="shared" si="202"/>
        <v>0</v>
      </c>
      <c r="D1455" s="1134"/>
      <c r="E1455" s="1137"/>
      <c r="F1455" s="587" t="s">
        <v>17</v>
      </c>
      <c r="G1455" s="113"/>
      <c r="H1455" s="92"/>
      <c r="I1455" s="114"/>
      <c r="J1455" s="115"/>
      <c r="K1455" s="116"/>
      <c r="L1455" s="406"/>
      <c r="M1455" s="116"/>
      <c r="N1455" s="116"/>
      <c r="O1455" s="116"/>
      <c r="P1455" s="474"/>
      <c r="Q1455" s="607"/>
      <c r="R1455" s="608"/>
      <c r="S1455" s="612"/>
      <c r="T1455" s="881"/>
      <c r="U1455" s="598"/>
      <c r="V1455" s="599"/>
      <c r="W1455" s="599"/>
      <c r="X1455" s="599"/>
      <c r="Y1455" s="879"/>
      <c r="Z1455" s="106"/>
      <c r="AI1455" s="40"/>
      <c r="BO1455" s="86"/>
    </row>
    <row r="1456" spans="1:67" ht="47.25" x14ac:dyDescent="0.25">
      <c r="A1456" s="520">
        <f>IFERROR(VLOOKUP($G$5,'רשימת רשויות'!A:C,3,0),0)</f>
        <v>0</v>
      </c>
      <c r="B1456" s="520">
        <f t="shared" si="202"/>
        <v>0</v>
      </c>
      <c r="D1456" s="1134"/>
      <c r="E1456" s="1137"/>
      <c r="F1456" s="588" t="s">
        <v>2</v>
      </c>
      <c r="G1456" s="95" t="s">
        <v>18</v>
      </c>
      <c r="H1456" s="95" t="s">
        <v>19</v>
      </c>
      <c r="I1456" s="95" t="s">
        <v>20</v>
      </c>
      <c r="J1456" s="95" t="s">
        <v>22</v>
      </c>
      <c r="K1456" s="96" t="s">
        <v>2314</v>
      </c>
      <c r="L1456" s="609"/>
      <c r="M1456" s="609"/>
      <c r="N1456" s="609"/>
      <c r="O1456" s="580"/>
      <c r="P1456" s="618" t="s">
        <v>2298</v>
      </c>
      <c r="Q1456" s="618" t="s">
        <v>2299</v>
      </c>
      <c r="R1456" s="596"/>
      <c r="S1456" s="890" t="s">
        <v>2519</v>
      </c>
      <c r="T1456" s="890" t="s">
        <v>97</v>
      </c>
      <c r="U1456" s="891" t="s">
        <v>2521</v>
      </c>
      <c r="V1456" s="892" t="s">
        <v>2520</v>
      </c>
      <c r="W1456" s="893" t="s">
        <v>2524</v>
      </c>
      <c r="X1456" s="892" t="s">
        <v>2522</v>
      </c>
      <c r="Y1456" s="894" t="s">
        <v>2523</v>
      </c>
      <c r="Z1456" s="106"/>
      <c r="AC1456" s="498" t="s">
        <v>2568</v>
      </c>
      <c r="AD1456" s="499" t="s">
        <v>2569</v>
      </c>
      <c r="AF1456" s="122"/>
      <c r="AI1456" s="40"/>
      <c r="BO1456" s="86"/>
    </row>
    <row r="1457" spans="1:67" ht="15" customHeight="1" thickBot="1" x14ac:dyDescent="0.3">
      <c r="A1457" s="520">
        <f>IFERROR(VLOOKUP($G$5,'רשימת רשויות'!A:C,3,0),0)</f>
        <v>0</v>
      </c>
      <c r="B1457" s="520">
        <f t="shared" si="202"/>
        <v>0</v>
      </c>
      <c r="D1457" s="1134"/>
      <c r="E1457" s="1137"/>
      <c r="F1457" s="589" t="s">
        <v>76</v>
      </c>
      <c r="G1457" s="117">
        <f>IF(G1448="תקין",SUMIF('עלויות כח אדם (6)'!$B$15:$B$3014,'בית ספר - תקצוב לפי מוסד (9)'!$G1443,'עלויות כח אדם (6)'!$M$15:$M$3014)-VLOOKUP('בית ספר - תקצוב לפי מוסד (9)'!G1443,' איוש משרות (8)'!$C:$H,5,0)-VLOOKUP('בית ספר - תקצוב לפי מוסד (9)'!G1443,' איוש משרות (8)'!$C:$H,6,0),0)-Y1457</f>
        <v>0</v>
      </c>
      <c r="H1457" s="118">
        <f>I1445+R1452</f>
        <v>0</v>
      </c>
      <c r="I1457" s="119">
        <f>IFERROR(SUM(G1457)/H1457,0)</f>
        <v>0</v>
      </c>
      <c r="J1457" s="100">
        <f>MIN(I1445+R1452,IF(ISNUMBER(G1457),G1457,0))</f>
        <v>0</v>
      </c>
      <c r="K1457" s="120">
        <f>MAX(H1457-G1457,0)</f>
        <v>0</v>
      </c>
      <c r="L1457" s="407"/>
      <c r="M1457" s="393"/>
      <c r="N1457" s="393"/>
      <c r="O1457" s="580"/>
      <c r="P1457" s="968">
        <f>IFERROR(IF(SUM(G1457)/(I1445)&lt;100%,MIN((I1445)-SUM(G1457),(I1445)*0.25),0),0)</f>
        <v>0</v>
      </c>
      <c r="Q1457" s="968">
        <f>IF(SUM(G1457)-(I1445+R1452)&gt;0,SUM(G1457)-(I1445+R1452),0)</f>
        <v>0</v>
      </c>
      <c r="R1457" s="596" t="s">
        <v>2351</v>
      </c>
      <c r="S1457" s="576" t="s">
        <v>2342</v>
      </c>
      <c r="T1457" s="599">
        <f>G1443</f>
        <v>0</v>
      </c>
      <c r="U1457" s="578"/>
      <c r="V1457" s="579">
        <f>G1457+G1458+G1459</f>
        <v>0</v>
      </c>
      <c r="W1457" s="579">
        <f>U1457-V1457</f>
        <v>0</v>
      </c>
      <c r="X1457" s="579">
        <f>IFERROR(W1471*W1457/(SUM(W1457:W1470)),0)</f>
        <v>0</v>
      </c>
      <c r="Y1457" s="879">
        <f>SUMIFS(בקרה!$S:$S,בקרה!$D:$D,T1457,בקרה!$K:$K,S1457)</f>
        <v>0</v>
      </c>
      <c r="Z1457" s="121"/>
      <c r="AA1457" s="143"/>
      <c r="AB1457" s="143"/>
      <c r="AC1457" s="504">
        <v>0</v>
      </c>
      <c r="AD1457" s="505">
        <f>IFERROR(U1457-AC1457,0)</f>
        <v>0</v>
      </c>
      <c r="AE1457" s="143"/>
      <c r="AI1457" s="20"/>
      <c r="BO1457" s="86"/>
    </row>
    <row r="1458" spans="1:67" ht="15" customHeight="1" thickBot="1" x14ac:dyDescent="0.3">
      <c r="A1458" s="520">
        <f>IFERROR(VLOOKUP($G$5,'רשימת רשויות'!A:C,3,0),0)</f>
        <v>0</v>
      </c>
      <c r="B1458" s="520">
        <f t="shared" si="202"/>
        <v>0</v>
      </c>
      <c r="D1458" s="1134"/>
      <c r="E1458" s="1137"/>
      <c r="F1458" s="589" t="s">
        <v>44</v>
      </c>
      <c r="G1458" s="123">
        <f>IF(G1448="תקין",IFERROR(VLOOKUP('בית ספר - תקצוב לפי מוסד (9)'!G1443,' איוש משרות (8)'!C:J,7,0),0),0)</f>
        <v>0</v>
      </c>
      <c r="H1458" s="124">
        <f>I1447+R1454+J1447</f>
        <v>0</v>
      </c>
      <c r="I1458" s="119">
        <f>IFERROR(SUM(G1458:G1459)/H1458,0)</f>
        <v>0</v>
      </c>
      <c r="J1458" s="100">
        <f>MIN(R1454+I1447,IF(ISNUMBER(SUM(G1458:G1459)),SUM(G1458:G1459),0))</f>
        <v>0</v>
      </c>
      <c r="K1458" s="1139">
        <f>MAX((H1458)-(G1458+G1459),0)</f>
        <v>0</v>
      </c>
      <c r="L1458" s="407"/>
      <c r="M1458" s="393"/>
      <c r="N1458" s="393"/>
      <c r="O1458" s="580"/>
      <c r="P1458" s="1140"/>
      <c r="Q1458" s="1140"/>
      <c r="R1458" s="617">
        <f>MAX(MIN(P1466-Q1466,H1466*0.15-G1464),0)</f>
        <v>0</v>
      </c>
      <c r="S1458" s="576"/>
      <c r="T1458" s="599">
        <f>G1443</f>
        <v>0</v>
      </c>
      <c r="U1458" s="578"/>
      <c r="V1458" s="579"/>
      <c r="W1458" s="579">
        <f t="shared" ref="W1458:W1470" si="207">U1458-V1458</f>
        <v>0</v>
      </c>
      <c r="X1458" s="579"/>
      <c r="Y1458" s="879"/>
      <c r="Z1458" s="121"/>
      <c r="AA1458" s="143"/>
      <c r="AB1458" s="143"/>
      <c r="AC1458" s="504"/>
      <c r="AD1458" s="505">
        <f t="shared" ref="AD1458:AD1464" si="208">IFERROR(U1458-AC1458,0)</f>
        <v>0</v>
      </c>
      <c r="AE1458" s="143"/>
      <c r="AI1458" s="20"/>
      <c r="BO1458" s="86"/>
    </row>
    <row r="1459" spans="1:67" ht="15.75" customHeight="1" x14ac:dyDescent="0.25">
      <c r="A1459" s="520">
        <f>IFERROR(VLOOKUP($G$5,'רשימת רשויות'!A:C,3,0),0)</f>
        <v>0</v>
      </c>
      <c r="B1459" s="520">
        <f t="shared" si="202"/>
        <v>0</v>
      </c>
      <c r="D1459" s="1134"/>
      <c r="E1459" s="1137"/>
      <c r="F1459" s="589" t="s">
        <v>45</v>
      </c>
      <c r="G1459" s="123">
        <f>IF(G1448="תקין",IFERROR(VLOOKUP('בית ספר - תקצוב לפי מוסד (9)'!G1443,' איוש משרות (8)'!C:J,8,0),0),0)</f>
        <v>0</v>
      </c>
      <c r="H1459" s="125"/>
      <c r="I1459" s="126"/>
      <c r="J1459" s="104"/>
      <c r="K1459" s="1139"/>
      <c r="L1459" s="407"/>
      <c r="M1459" s="393"/>
      <c r="N1459" s="393"/>
      <c r="O1459" s="580"/>
      <c r="P1459" s="1140"/>
      <c r="Q1459" s="1140"/>
      <c r="R1459" s="596"/>
      <c r="S1459" s="576"/>
      <c r="T1459" s="599">
        <f>G1443</f>
        <v>0</v>
      </c>
      <c r="U1459" s="578"/>
      <c r="V1459" s="579"/>
      <c r="W1459" s="579">
        <f t="shared" si="207"/>
        <v>0</v>
      </c>
      <c r="X1459" s="579"/>
      <c r="Y1459" s="879"/>
      <c r="Z1459" s="121"/>
      <c r="AA1459" s="143"/>
      <c r="AB1459" s="143"/>
      <c r="AC1459" s="504"/>
      <c r="AD1459" s="505">
        <f t="shared" si="208"/>
        <v>0</v>
      </c>
      <c r="AE1459" s="143"/>
      <c r="AG1459" s="55"/>
      <c r="AH1459" s="55"/>
      <c r="AI1459" s="55"/>
      <c r="AJ1459" s="55"/>
      <c r="AK1459" s="55"/>
      <c r="BO1459" s="86"/>
    </row>
    <row r="1460" spans="1:67" ht="15.75" customHeight="1" x14ac:dyDescent="0.25">
      <c r="A1460" s="520">
        <f>IFERROR(VLOOKUP($G$5,'רשימת רשויות'!A:C,3,0),0)</f>
        <v>0</v>
      </c>
      <c r="B1460" s="520">
        <f t="shared" si="202"/>
        <v>0</v>
      </c>
      <c r="D1460" s="1134"/>
      <c r="E1460" s="1137"/>
      <c r="F1460" s="589" t="s">
        <v>0</v>
      </c>
      <c r="G1460" s="117">
        <f>IF(G1448="תקין",SUMIFS('דוח הוצאות בפועל (4)'!$E$17:$E$3016,'דוח הוצאות בפועל (4)'!$B$17:$B$3016,'בית ספר - תקצוב לפי מוסד (9)'!$G1443,'דוח הוצאות בפועל (4)'!$M$17:$M$3016,"הע"),0)-Y1460</f>
        <v>0</v>
      </c>
      <c r="H1460" s="127">
        <f>J1445</f>
        <v>0</v>
      </c>
      <c r="I1460" s="128">
        <f>IFERROR(G1460/H1460,0)</f>
        <v>0</v>
      </c>
      <c r="J1460" s="129">
        <f>MIN(IF(ISNUMBER(G1460),G1460,0),H1460)</f>
        <v>0</v>
      </c>
      <c r="K1460" s="120">
        <f>MAX(H1460-G1460,0)</f>
        <v>0</v>
      </c>
      <c r="L1460" s="407"/>
      <c r="M1460" s="393"/>
      <c r="N1460" s="393"/>
      <c r="O1460" s="580"/>
      <c r="P1460" s="968">
        <f>MAX(IF(I1460&lt;100%,MIN((H1460-G1460),H1460*0.25),0),0)</f>
        <v>0</v>
      </c>
      <c r="Q1460" s="619">
        <f>IF(G1460-H1460&gt;0,G1460-H1460,0)</f>
        <v>0</v>
      </c>
      <c r="R1460" s="596"/>
      <c r="S1460" s="610" t="s">
        <v>0</v>
      </c>
      <c r="T1460" s="599">
        <f>G1443</f>
        <v>0</v>
      </c>
      <c r="U1460" s="578"/>
      <c r="V1460" s="579">
        <f>G1460</f>
        <v>0</v>
      </c>
      <c r="W1460" s="579">
        <f t="shared" si="207"/>
        <v>0</v>
      </c>
      <c r="X1460" s="579">
        <f>IFERROR(W1471*W1460/(SUM(W1457:W1470)),0)</f>
        <v>0</v>
      </c>
      <c r="Y1460" s="879">
        <f>SUMIFS(בקרה!$S:$S,בקרה!$D:$D,T1460,בקרה!$K:$K,S1460)</f>
        <v>0</v>
      </c>
      <c r="Z1460" s="121"/>
      <c r="AA1460" s="143"/>
      <c r="AB1460" s="143"/>
      <c r="AC1460" s="504">
        <v>0</v>
      </c>
      <c r="AD1460" s="505">
        <f t="shared" si="208"/>
        <v>0</v>
      </c>
      <c r="AE1460" s="143"/>
      <c r="AG1460" s="55"/>
      <c r="AH1460" s="55"/>
      <c r="AI1460" s="40"/>
      <c r="AJ1460" s="55"/>
      <c r="AK1460" s="55"/>
      <c r="BO1460" s="86"/>
    </row>
    <row r="1461" spans="1:67" s="55" customFormat="1" ht="15.75" customHeight="1" x14ac:dyDescent="0.25">
      <c r="A1461" s="520">
        <f>IFERROR(VLOOKUP($G$5,'רשימת רשויות'!A:C,3,0),0)</f>
        <v>0</v>
      </c>
      <c r="B1461" s="520">
        <f t="shared" si="202"/>
        <v>0</v>
      </c>
      <c r="C1461" s="39"/>
      <c r="D1461" s="1134"/>
      <c r="E1461" s="1137"/>
      <c r="F1461" s="589" t="s">
        <v>93</v>
      </c>
      <c r="G1461" s="130">
        <f>IF(G1448="תקין",SUMIFS('דוח הוצאות בפועל (4)'!$E$17:$E$3016,'דוח הוצאות בפועל (4)'!$B$17:$B$3016,'בית ספר - תקצוב לפי מוסד (9)'!$G1443,'דוח הוצאות בפועל (4)'!$M$17:$M$3016,"אר"),0)-Y1461</f>
        <v>0</v>
      </c>
      <c r="H1461" s="118">
        <f>$I1451</f>
        <v>0</v>
      </c>
      <c r="I1461" s="131">
        <f>IFERROR((G1461+G1462)/H1461,0)</f>
        <v>0</v>
      </c>
      <c r="J1461" s="100">
        <f>MIN((IF(ISNUMBER(G1461),G1461,0)+IF(ISNUMBER(G1462),G1462,0)),H1461)</f>
        <v>0</v>
      </c>
      <c r="K1461" s="1139">
        <f>MAX((H1461)-(G1461+G1462),0)</f>
        <v>0</v>
      </c>
      <c r="L1461" s="407"/>
      <c r="M1461" s="393"/>
      <c r="N1461" s="393"/>
      <c r="O1461" s="602"/>
      <c r="P1461" s="1141"/>
      <c r="Q1461" s="1142"/>
      <c r="R1461" s="596"/>
      <c r="S1461" s="610" t="s">
        <v>93</v>
      </c>
      <c r="T1461" s="599">
        <f>G1443</f>
        <v>0</v>
      </c>
      <c r="U1461" s="578"/>
      <c r="V1461" s="579">
        <f t="shared" ref="V1461:V1462" si="209">G1461</f>
        <v>0</v>
      </c>
      <c r="W1461" s="579">
        <f t="shared" si="207"/>
        <v>0</v>
      </c>
      <c r="X1461" s="579">
        <f>IFERROR(W1471*W1461/(SUM(W1457:W1470)),0)</f>
        <v>0</v>
      </c>
      <c r="Y1461" s="879">
        <f>SUMIFS(בקרה!$S:$S,בקרה!$D:$D,T1461,בקרה!$K:$K,S1461)</f>
        <v>0</v>
      </c>
      <c r="Z1461" s="121"/>
      <c r="AA1461" s="143"/>
      <c r="AB1461" s="143"/>
      <c r="AC1461" s="504">
        <v>0</v>
      </c>
      <c r="AD1461" s="505">
        <f t="shared" si="208"/>
        <v>0</v>
      </c>
      <c r="AE1461" s="143"/>
      <c r="AJ1461" s="22"/>
      <c r="AO1461" s="22"/>
      <c r="AP1461" s="22"/>
      <c r="AQ1461" s="22"/>
      <c r="AR1461" s="22"/>
      <c r="AS1461" s="22"/>
      <c r="AT1461" s="22"/>
      <c r="AU1461" s="35"/>
      <c r="AV1461" s="35"/>
      <c r="AW1461" s="35"/>
      <c r="AX1461" s="35"/>
      <c r="AY1461" s="35"/>
      <c r="AZ1461" s="35"/>
      <c r="BA1461" s="35"/>
      <c r="BB1461" s="35"/>
      <c r="BC1461" s="35"/>
      <c r="BD1461" s="35"/>
      <c r="BE1461" s="35"/>
      <c r="BF1461" s="35"/>
      <c r="BG1461" s="35"/>
      <c r="BH1461" s="35"/>
      <c r="BI1461" s="35"/>
      <c r="BJ1461" s="35"/>
      <c r="BK1461" s="35"/>
      <c r="BL1461" s="35"/>
      <c r="BM1461" s="35"/>
      <c r="BN1461" s="35"/>
      <c r="BO1461" s="86"/>
    </row>
    <row r="1462" spans="1:67" s="55" customFormat="1" ht="15.75" customHeight="1" x14ac:dyDescent="0.25">
      <c r="A1462" s="520">
        <f>IFERROR(VLOOKUP($G$5,'רשימת רשויות'!A:C,3,0),0)</f>
        <v>0</v>
      </c>
      <c r="B1462" s="520">
        <f t="shared" si="202"/>
        <v>0</v>
      </c>
      <c r="C1462" s="39"/>
      <c r="D1462" s="1134"/>
      <c r="E1462" s="1137"/>
      <c r="F1462" s="589" t="s">
        <v>46</v>
      </c>
      <c r="G1462" s="130">
        <f>IF(G1448="תקין",SUMIFS('דוח הוצאות בפועל (4)'!$E$17:$E$3016,'דוח הוצאות בפועל (4)'!$B$17:$B$3016,'בית ספר - תקצוב לפי מוסד (9)'!$G1443,'דוח הוצאות בפועל (4)'!$M$17:$M$3016,"מל"),0)-Y1462</f>
        <v>0</v>
      </c>
      <c r="H1462" s="132"/>
      <c r="I1462" s="133"/>
      <c r="J1462" s="104"/>
      <c r="K1462" s="1139"/>
      <c r="L1462" s="407"/>
      <c r="M1462" s="393"/>
      <c r="N1462" s="393"/>
      <c r="O1462" s="602"/>
      <c r="P1462" s="1141"/>
      <c r="Q1462" s="1142"/>
      <c r="R1462" s="596"/>
      <c r="S1462" s="610" t="s">
        <v>46</v>
      </c>
      <c r="T1462" s="599">
        <f>G1443</f>
        <v>0</v>
      </c>
      <c r="U1462" s="578"/>
      <c r="V1462" s="579">
        <f t="shared" si="209"/>
        <v>0</v>
      </c>
      <c r="W1462" s="579">
        <f t="shared" si="207"/>
        <v>0</v>
      </c>
      <c r="X1462" s="579">
        <f>IFERROR(W1471*W1462/(SUM(W1457:W1470)),0)</f>
        <v>0</v>
      </c>
      <c r="Y1462" s="879">
        <f>SUMIFS(בקרה!$S:$S,בקרה!$D:$D,T1462,בקרה!$K:$K,S1462)</f>
        <v>0</v>
      </c>
      <c r="Z1462" s="121"/>
      <c r="AA1462" s="143"/>
      <c r="AB1462" s="143"/>
      <c r="AC1462" s="504">
        <v>0</v>
      </c>
      <c r="AD1462" s="505">
        <f t="shared" si="208"/>
        <v>0</v>
      </c>
      <c r="AE1462" s="143"/>
      <c r="AJ1462" s="22"/>
      <c r="AO1462" s="22"/>
      <c r="AP1462" s="22"/>
      <c r="AQ1462" s="22"/>
      <c r="AR1462" s="22"/>
      <c r="AS1462" s="22"/>
      <c r="AT1462" s="22"/>
      <c r="AU1462" s="35"/>
      <c r="AV1462" s="35"/>
      <c r="AW1462" s="35"/>
      <c r="AX1462" s="35"/>
      <c r="AY1462" s="35"/>
      <c r="AZ1462" s="35"/>
      <c r="BA1462" s="35"/>
      <c r="BB1462" s="35"/>
      <c r="BC1462" s="35"/>
      <c r="BD1462" s="35"/>
      <c r="BE1462" s="35"/>
      <c r="BF1462" s="35"/>
      <c r="BG1462" s="35"/>
      <c r="BH1462" s="35"/>
      <c r="BI1462" s="35"/>
      <c r="BJ1462" s="35"/>
      <c r="BK1462" s="35"/>
      <c r="BL1462" s="35"/>
      <c r="BM1462" s="35"/>
      <c r="BN1462" s="35"/>
      <c r="BO1462" s="86"/>
    </row>
    <row r="1463" spans="1:67" s="55" customFormat="1" ht="15" customHeight="1" x14ac:dyDescent="0.25">
      <c r="A1463" s="520">
        <f>IFERROR(VLOOKUP($G$5,'רשימת רשויות'!A:C,3,0),0)</f>
        <v>0</v>
      </c>
      <c r="B1463" s="520">
        <f t="shared" si="202"/>
        <v>0</v>
      </c>
      <c r="C1463" s="39"/>
      <c r="D1463" s="1134"/>
      <c r="E1463" s="1137"/>
      <c r="F1463" s="591" t="s">
        <v>23</v>
      </c>
      <c r="G1463" s="134">
        <f>SUM(G1457:G1462)</f>
        <v>0</v>
      </c>
      <c r="H1463" s="135">
        <f>SUM(H1457:H1462)</f>
        <v>0</v>
      </c>
      <c r="I1463" s="128">
        <f>IFERROR(G1463/H1463,0)</f>
        <v>0</v>
      </c>
      <c r="J1463" s="136">
        <f>SUM(J1457:J1462)</f>
        <v>0</v>
      </c>
      <c r="K1463" s="137">
        <f>SUM(K1457:K1462)</f>
        <v>0</v>
      </c>
      <c r="L1463" s="408"/>
      <c r="M1463" s="394"/>
      <c r="N1463" s="394"/>
      <c r="O1463" s="602"/>
      <c r="P1463" s="620">
        <f>SUM(P1457:P1462)</f>
        <v>0</v>
      </c>
      <c r="Q1463" s="620">
        <f>SUM(Q1457:Q1462)</f>
        <v>0</v>
      </c>
      <c r="R1463" s="596"/>
      <c r="S1463" s="610"/>
      <c r="T1463" s="599">
        <f>G1443</f>
        <v>0</v>
      </c>
      <c r="U1463" s="578"/>
      <c r="V1463" s="579"/>
      <c r="W1463" s="579">
        <f t="shared" si="207"/>
        <v>0</v>
      </c>
      <c r="X1463" s="579"/>
      <c r="Y1463" s="879"/>
      <c r="Z1463" s="121"/>
      <c r="AA1463" s="143"/>
      <c r="AB1463" s="143"/>
      <c r="AC1463" s="504"/>
      <c r="AD1463" s="505">
        <f t="shared" si="208"/>
        <v>0</v>
      </c>
      <c r="AE1463" s="143"/>
      <c r="AJ1463" s="22"/>
      <c r="AL1463" s="22"/>
      <c r="AM1463" s="22"/>
      <c r="AN1463" s="22"/>
      <c r="AO1463" s="22"/>
      <c r="AP1463" s="22"/>
      <c r="AQ1463" s="22"/>
      <c r="AR1463" s="22"/>
      <c r="AS1463" s="22"/>
      <c r="AT1463" s="22"/>
      <c r="AU1463" s="35"/>
      <c r="AV1463" s="35"/>
      <c r="AW1463" s="35"/>
      <c r="AX1463" s="35"/>
      <c r="AY1463" s="35"/>
      <c r="AZ1463" s="35"/>
      <c r="BA1463" s="35"/>
      <c r="BB1463" s="35"/>
      <c r="BC1463" s="35"/>
      <c r="BD1463" s="35"/>
      <c r="BE1463" s="35"/>
      <c r="BF1463" s="35"/>
      <c r="BG1463" s="35"/>
      <c r="BH1463" s="35"/>
      <c r="BI1463" s="35"/>
      <c r="BJ1463" s="35"/>
      <c r="BK1463" s="35"/>
      <c r="BL1463" s="35"/>
      <c r="BM1463" s="35"/>
      <c r="BN1463" s="35"/>
      <c r="BO1463" s="86"/>
    </row>
    <row r="1464" spans="1:67" s="55" customFormat="1" ht="15" customHeight="1" x14ac:dyDescent="0.25">
      <c r="A1464" s="520">
        <f>IFERROR(VLOOKUP($G$5,'רשימת רשויות'!A:C,3,0),0)</f>
        <v>0</v>
      </c>
      <c r="B1464" s="520">
        <f t="shared" si="202"/>
        <v>0</v>
      </c>
      <c r="C1464" s="39"/>
      <c r="D1464" s="1134"/>
      <c r="E1464" s="1137"/>
      <c r="F1464" s="589" t="s">
        <v>3</v>
      </c>
      <c r="G1464" s="117">
        <f>IF(G1448="תקין",SUMIFS('דוח הוצאות בפועל (4)'!$E$17:$E$3016,'דוח הוצאות בפועל (4)'!$B$17:$B$3016,'בית ספר - תקצוב לפי מוסד (9)'!$G1443,'דוח הוצאות בפועל (4)'!$M$17:$M$3016,"ני")+SUMIFS('דוח הוצאות בפועל (4)'!$E$17:$E$3016,'דוח הוצאות בפועל (4)'!$B$17:$B$3016,'בית ספר - תקצוב לפי מוסד (9)'!$G1443,'דוח הוצאות בפועל (4)'!$M$17:$M$3016,"על"),0)-Y1464</f>
        <v>0</v>
      </c>
      <c r="H1464" s="117">
        <f>H1445</f>
        <v>0</v>
      </c>
      <c r="I1464" s="138">
        <f>IFERROR(G1464/H1464,0)</f>
        <v>0</v>
      </c>
      <c r="J1464" s="117">
        <f>IFERROR(IF(G1464/H1466&gt;0.15,MIN(H1466*0.15,H1464),MIN(H1464,IF(ISNUMBER(G1464),G1464,0))),0)</f>
        <v>0</v>
      </c>
      <c r="K1464" s="120">
        <f>MAX(H1464-G1464,0)</f>
        <v>0</v>
      </c>
      <c r="L1464" s="407"/>
      <c r="M1464" s="393"/>
      <c r="N1464" s="393"/>
      <c r="O1464" s="602"/>
      <c r="P1464" s="620">
        <f>IF(I1464&lt;100%,MIN(H1464-G1464,H1464*0.25),0)</f>
        <v>0</v>
      </c>
      <c r="Q1464" s="620">
        <f>MAX(MIN(IF(G1464-H1464&gt;0,G1464-H1464,0),$H1466*0.15-H1464-J1465),0)</f>
        <v>0</v>
      </c>
      <c r="R1464" s="596"/>
      <c r="S1464" s="610" t="s">
        <v>3</v>
      </c>
      <c r="T1464" s="599">
        <f>G1443</f>
        <v>0</v>
      </c>
      <c r="U1464" s="578"/>
      <c r="V1464" s="579">
        <f t="shared" ref="V1464" si="210">G1464</f>
        <v>0</v>
      </c>
      <c r="W1464" s="579">
        <f t="shared" si="207"/>
        <v>0</v>
      </c>
      <c r="X1464" s="579"/>
      <c r="Y1464" s="879"/>
      <c r="Z1464" s="121"/>
      <c r="AA1464" s="143"/>
      <c r="AB1464" s="143"/>
      <c r="AC1464" s="504">
        <v>0</v>
      </c>
      <c r="AD1464" s="505">
        <f t="shared" si="208"/>
        <v>0</v>
      </c>
      <c r="AE1464" s="143"/>
      <c r="AG1464" s="22"/>
      <c r="AH1464" s="22"/>
      <c r="AI1464" s="22"/>
      <c r="AJ1464" s="22"/>
      <c r="AK1464" s="22"/>
      <c r="AL1464" s="22"/>
      <c r="AM1464" s="22"/>
      <c r="AN1464" s="22"/>
      <c r="AO1464" s="22"/>
      <c r="AP1464" s="22"/>
      <c r="AQ1464" s="22"/>
      <c r="AR1464" s="22"/>
      <c r="AS1464" s="22"/>
      <c r="AT1464" s="22"/>
      <c r="AU1464" s="35"/>
      <c r="AV1464" s="35"/>
      <c r="AW1464" s="35"/>
      <c r="AX1464" s="35"/>
      <c r="AY1464" s="35"/>
      <c r="AZ1464" s="35"/>
      <c r="BA1464" s="35"/>
      <c r="BB1464" s="35"/>
      <c r="BC1464" s="35"/>
      <c r="BD1464" s="35"/>
      <c r="BE1464" s="35"/>
      <c r="BF1464" s="35"/>
      <c r="BG1464" s="35"/>
      <c r="BH1464" s="35"/>
      <c r="BI1464" s="35"/>
      <c r="BJ1464" s="35"/>
      <c r="BK1464" s="35"/>
      <c r="BL1464" s="35"/>
      <c r="BM1464" s="35"/>
      <c r="BN1464" s="35"/>
      <c r="BO1464" s="86"/>
    </row>
    <row r="1465" spans="1:67" s="55" customFormat="1" ht="15.75" customHeight="1" x14ac:dyDescent="0.25">
      <c r="A1465" s="520">
        <f>IFERROR(VLOOKUP($G$5,'רשימת רשויות'!A:C,3,0),0)</f>
        <v>0</v>
      </c>
      <c r="B1465" s="520">
        <f t="shared" si="202"/>
        <v>0</v>
      </c>
      <c r="C1465" s="39"/>
      <c r="D1465" s="1134"/>
      <c r="E1465" s="1137"/>
      <c r="F1465" s="589" t="s">
        <v>2918</v>
      </c>
      <c r="G1465" s="117">
        <f>0.07*(G1459+G1458)</f>
        <v>0</v>
      </c>
      <c r="H1465" s="117">
        <f>H1447</f>
        <v>0</v>
      </c>
      <c r="I1465" s="138">
        <f>IFERROR(G1465/H1465,0)</f>
        <v>0</v>
      </c>
      <c r="J1465" s="117">
        <f>IFERROR(MIN(0.07*(G1458+G1459),0.07*I1447),0)</f>
        <v>0</v>
      </c>
      <c r="K1465" s="120">
        <f>MAX(H1465-G1465,0)</f>
        <v>0</v>
      </c>
      <c r="L1465" s="407"/>
      <c r="M1465" s="393"/>
      <c r="N1465" s="393"/>
      <c r="O1465" s="602"/>
      <c r="P1465" s="620"/>
      <c r="Q1465" s="619"/>
      <c r="R1465" s="596"/>
      <c r="S1465" s="611"/>
      <c r="T1465" s="599">
        <f>G1443</f>
        <v>0</v>
      </c>
      <c r="U1465" s="578"/>
      <c r="V1465" s="579"/>
      <c r="W1465" s="579">
        <f t="shared" si="207"/>
        <v>0</v>
      </c>
      <c r="X1465" s="579"/>
      <c r="Y1465" s="879"/>
      <c r="Z1465" s="121"/>
      <c r="AA1465" s="143"/>
      <c r="AB1465" s="143"/>
      <c r="AC1465" s="504"/>
      <c r="AD1465" s="505"/>
      <c r="AE1465" s="143"/>
      <c r="AF1465" s="140"/>
      <c r="AG1465" s="22"/>
      <c r="AH1465" s="22"/>
      <c r="AI1465" s="22"/>
      <c r="AJ1465" s="22"/>
      <c r="AK1465" s="22"/>
      <c r="AL1465" s="22"/>
      <c r="AM1465" s="22"/>
      <c r="AN1465" s="22"/>
      <c r="AO1465" s="22"/>
      <c r="AP1465" s="22"/>
      <c r="AQ1465" s="22"/>
      <c r="AR1465" s="22"/>
      <c r="AS1465" s="22"/>
      <c r="AT1465" s="22"/>
      <c r="AU1465" s="35"/>
      <c r="AV1465" s="35"/>
      <c r="AW1465" s="35"/>
      <c r="AX1465" s="35"/>
      <c r="AY1465" s="35"/>
      <c r="AZ1465" s="35"/>
      <c r="BA1465" s="35"/>
      <c r="BB1465" s="35"/>
      <c r="BC1465" s="35"/>
      <c r="BD1465" s="35"/>
      <c r="BE1465" s="35"/>
      <c r="BF1465" s="35"/>
      <c r="BG1465" s="35"/>
      <c r="BH1465" s="35"/>
      <c r="BI1465" s="35"/>
      <c r="BJ1465" s="35"/>
      <c r="BK1465" s="35"/>
      <c r="BL1465" s="35"/>
      <c r="BM1465" s="35"/>
      <c r="BN1465" s="35"/>
      <c r="BO1465" s="86"/>
    </row>
    <row r="1466" spans="1:67" ht="15.75" customHeight="1" x14ac:dyDescent="0.25">
      <c r="A1466" s="520">
        <f>IFERROR(VLOOKUP($G$5,'רשימת רשויות'!A:C,3,0),0)</f>
        <v>0</v>
      </c>
      <c r="B1466" s="520">
        <f t="shared" si="202"/>
        <v>0</v>
      </c>
      <c r="D1466" s="1134"/>
      <c r="E1466" s="1137"/>
      <c r="F1466" s="591" t="s">
        <v>15</v>
      </c>
      <c r="G1466" s="134">
        <f>G1463+G1464+G1465</f>
        <v>0</v>
      </c>
      <c r="H1466" s="134">
        <f>H1463+H1464+H1465</f>
        <v>0</v>
      </c>
      <c r="I1466" s="138">
        <f>IFERROR(G1466/H1466,0)</f>
        <v>0</v>
      </c>
      <c r="J1466" s="139">
        <f>J1463+J1464+J1465</f>
        <v>0</v>
      </c>
      <c r="K1466" s="137">
        <f>K1464+K1463+K1465</f>
        <v>0</v>
      </c>
      <c r="L1466" s="408"/>
      <c r="M1466" s="394"/>
      <c r="N1466" s="394"/>
      <c r="O1466" s="602"/>
      <c r="P1466" s="621">
        <f>SUM(P1463:P1464)</f>
        <v>0</v>
      </c>
      <c r="Q1466" s="622">
        <f>Q1463+Q1464</f>
        <v>0</v>
      </c>
      <c r="R1466" s="596"/>
      <c r="S1466" s="611"/>
      <c r="T1466" s="599">
        <f>G1443</f>
        <v>0</v>
      </c>
      <c r="U1466" s="578"/>
      <c r="V1466" s="579"/>
      <c r="W1466" s="579">
        <f t="shared" si="207"/>
        <v>0</v>
      </c>
      <c r="X1466" s="579"/>
      <c r="Y1466" s="879"/>
      <c r="Z1466" s="106"/>
      <c r="AC1466" s="504"/>
      <c r="AD1466" s="505"/>
      <c r="AH1466" s="143"/>
      <c r="BO1466" s="86"/>
    </row>
    <row r="1467" spans="1:67" ht="15.75" customHeight="1" x14ac:dyDescent="0.25">
      <c r="A1467" s="520">
        <f>IFERROR(VLOOKUP($G$5,'רשימת רשויות'!A:C,3,0),0)</f>
        <v>0</v>
      </c>
      <c r="B1467" s="520">
        <f t="shared" si="202"/>
        <v>0</v>
      </c>
      <c r="D1467" s="1134"/>
      <c r="E1467" s="1137"/>
      <c r="F1467" s="589" t="s">
        <v>2261</v>
      </c>
      <c r="G1467" s="117">
        <f>IF(G1448="תקין",SUMIF('תשלומי הורים ומלגות להורים (5) '!$B$18:$B$517,$G1443,'תשלומי הורים ומלגות להורים (5) '!$C$18:$C$517),0)</f>
        <v>0</v>
      </c>
      <c r="H1467" s="117">
        <f>(G1446+G1447)*$G$7</f>
        <v>0</v>
      </c>
      <c r="I1467" s="141"/>
      <c r="J1467" s="141"/>
      <c r="K1467" s="142"/>
      <c r="L1467" s="395"/>
      <c r="M1467" s="395"/>
      <c r="N1467" s="395"/>
      <c r="O1467" s="602"/>
      <c r="P1467" s="623"/>
      <c r="Q1467" s="619"/>
      <c r="R1467" s="596"/>
      <c r="S1467" s="612"/>
      <c r="T1467" s="599">
        <f>G1443</f>
        <v>0</v>
      </c>
      <c r="U1467" s="578"/>
      <c r="V1467" s="579"/>
      <c r="W1467" s="579">
        <f t="shared" si="207"/>
        <v>0</v>
      </c>
      <c r="X1467" s="579"/>
      <c r="Y1467" s="879"/>
      <c r="Z1467" s="121"/>
      <c r="AA1467" s="143"/>
      <c r="AB1467" s="143"/>
      <c r="AC1467" s="504"/>
      <c r="AD1467" s="505"/>
      <c r="AE1467" s="143"/>
      <c r="AF1467" s="148"/>
      <c r="BO1467" s="86"/>
    </row>
    <row r="1468" spans="1:67" ht="15.75" customHeight="1" thickBot="1" x14ac:dyDescent="0.3">
      <c r="A1468" s="520">
        <f>IFERROR(VLOOKUP($G$5,'רשימת רשויות'!A:C,3,0),0)</f>
        <v>0</v>
      </c>
      <c r="B1468" s="520">
        <f t="shared" si="202"/>
        <v>0</v>
      </c>
      <c r="D1468" s="1134"/>
      <c r="E1468" s="1137"/>
      <c r="F1468" s="592" t="s">
        <v>21</v>
      </c>
      <c r="G1468" s="144">
        <f>G1466-G1467</f>
        <v>0</v>
      </c>
      <c r="H1468" s="144">
        <f>H1466-H1467</f>
        <v>0</v>
      </c>
      <c r="I1468" s="145"/>
      <c r="J1468" s="145"/>
      <c r="K1468" s="146"/>
      <c r="L1468" s="396"/>
      <c r="M1468" s="396"/>
      <c r="N1468" s="396"/>
      <c r="O1468" s="602"/>
      <c r="P1468" s="619"/>
      <c r="Q1468" s="619"/>
      <c r="R1468" s="596"/>
      <c r="S1468" s="612"/>
      <c r="T1468" s="599">
        <f>G1443</f>
        <v>0</v>
      </c>
      <c r="U1468" s="578"/>
      <c r="V1468" s="579"/>
      <c r="W1468" s="579">
        <f t="shared" si="207"/>
        <v>0</v>
      </c>
      <c r="X1468" s="579"/>
      <c r="Y1468" s="879"/>
      <c r="Z1468" s="147"/>
      <c r="AA1468" s="148"/>
      <c r="AB1468" s="148"/>
      <c r="AC1468" s="504"/>
      <c r="AD1468" s="505"/>
      <c r="AE1468" s="148"/>
      <c r="AF1468" s="148"/>
      <c r="BO1468" s="86"/>
    </row>
    <row r="1469" spans="1:67" ht="15.75" customHeight="1" thickBot="1" x14ac:dyDescent="0.3">
      <c r="A1469" s="520">
        <f>IFERROR(VLOOKUP($G$5,'רשימת רשויות'!A:C,3,0),0)</f>
        <v>0</v>
      </c>
      <c r="B1469" s="520">
        <f t="shared" si="202"/>
        <v>0</v>
      </c>
      <c r="D1469" s="1134"/>
      <c r="E1469" s="1137"/>
      <c r="F1469" s="580"/>
      <c r="G1469" s="580"/>
      <c r="H1469" s="147"/>
      <c r="I1469" s="149" t="s">
        <v>2197</v>
      </c>
      <c r="J1469" s="150">
        <f>MAX(MIN(P1466,Q1466),0)</f>
        <v>0</v>
      </c>
      <c r="K1469" s="580"/>
      <c r="L1469" s="580"/>
      <c r="M1469" s="580"/>
      <c r="N1469" s="580"/>
      <c r="O1469" s="580"/>
      <c r="P1469" s="615" t="s">
        <v>2317</v>
      </c>
      <c r="Q1469" s="624">
        <f>SUM(Q1470:Q1471)</f>
        <v>0</v>
      </c>
      <c r="R1469" s="596"/>
      <c r="S1469" s="612"/>
      <c r="T1469" s="599">
        <f>G1443</f>
        <v>0</v>
      </c>
      <c r="U1469" s="578"/>
      <c r="V1469" s="579"/>
      <c r="W1469" s="579">
        <f t="shared" si="207"/>
        <v>0</v>
      </c>
      <c r="X1469" s="579"/>
      <c r="Y1469" s="879"/>
      <c r="Z1469" s="106"/>
      <c r="AC1469" s="504"/>
      <c r="AD1469" s="505"/>
      <c r="AF1469" s="148"/>
      <c r="BO1469" s="86"/>
    </row>
    <row r="1470" spans="1:67" ht="16.5" thickBot="1" x14ac:dyDescent="0.3">
      <c r="A1470" s="520">
        <f>IFERROR(VLOOKUP($G$5,'רשימת רשויות'!A:C,3,0),0)</f>
        <v>0</v>
      </c>
      <c r="B1470" s="520">
        <f t="shared" si="202"/>
        <v>0</v>
      </c>
      <c r="D1470" s="1134"/>
      <c r="E1470" s="1137"/>
      <c r="F1470" s="580"/>
      <c r="G1470" s="580"/>
      <c r="H1470" s="580"/>
      <c r="I1470" s="84" t="s">
        <v>2193</v>
      </c>
      <c r="J1470" s="515" t="str">
        <f>IFERROR(1-H1467/H1466,"")</f>
        <v/>
      </c>
      <c r="K1470" s="580"/>
      <c r="L1470" s="580"/>
      <c r="M1470" s="580"/>
      <c r="N1470" s="580"/>
      <c r="O1470" s="580"/>
      <c r="P1470" s="615" t="s">
        <v>417</v>
      </c>
      <c r="Q1470" s="616">
        <f>IFERROR(MAX(H1468-I1471-Q1471,0),0)</f>
        <v>0</v>
      </c>
      <c r="R1470" s="596"/>
      <c r="S1470" s="600"/>
      <c r="T1470" s="599">
        <f>G1443</f>
        <v>0</v>
      </c>
      <c r="U1470" s="578"/>
      <c r="V1470" s="579"/>
      <c r="W1470" s="579">
        <f t="shared" si="207"/>
        <v>0</v>
      </c>
      <c r="X1470" s="579"/>
      <c r="Y1470" s="879"/>
      <c r="Z1470" s="106"/>
      <c r="AC1470" s="504"/>
      <c r="AD1470" s="505"/>
      <c r="BO1470" s="86"/>
    </row>
    <row r="1471" spans="1:67" ht="17.25" thickBot="1" x14ac:dyDescent="0.3">
      <c r="A1471" s="520">
        <f>IFERROR(VLOOKUP($G$5,'רשימת רשויות'!A:C,3,0),0)</f>
        <v>0</v>
      </c>
      <c r="B1471" s="520">
        <f t="shared" si="202"/>
        <v>0</v>
      </c>
      <c r="D1471" s="1134"/>
      <c r="E1471" s="1137"/>
      <c r="F1471" s="1143" t="s">
        <v>2679</v>
      </c>
      <c r="G1471" s="1143"/>
      <c r="H1471" s="1143"/>
      <c r="I1471" s="722">
        <f>IF(G1448="לא תקין","לא קיימת זכאות לתקציב לאור אי איוש משרות רכז ו/או סגן רכז ",IFERROR(J1470*(J1469+J1466),0))</f>
        <v>0</v>
      </c>
      <c r="J1471" s="573"/>
      <c r="K1471" s="574"/>
      <c r="L1471" s="396"/>
      <c r="M1471" s="574"/>
      <c r="N1471" s="574"/>
      <c r="O1471" s="574"/>
      <c r="P1471" s="615" t="s">
        <v>2279</v>
      </c>
      <c r="Q1471" s="616">
        <f>MAX(IF(AND(G1466&gt;H1466,I1471&lt;H1468),H1468-I1471,0),0)</f>
        <v>0</v>
      </c>
      <c r="R1471" s="575"/>
      <c r="S1471" s="576" t="s">
        <v>67</v>
      </c>
      <c r="T1471" s="577">
        <f>G1443</f>
        <v>0</v>
      </c>
      <c r="U1471" s="578"/>
      <c r="V1471" s="579">
        <f>I1471</f>
        <v>0</v>
      </c>
      <c r="W1471" s="579">
        <f>IFERROR(U1471-V1471,0)</f>
        <v>0</v>
      </c>
      <c r="X1471" s="579">
        <f>SUM(X1457:X1470)</f>
        <v>0</v>
      </c>
      <c r="Y1471" s="879"/>
      <c r="Z1471" s="106"/>
      <c r="AC1471" s="506">
        <v>0</v>
      </c>
      <c r="AD1471" s="507">
        <f>IFERROR(U1471-AC1471,0)</f>
        <v>0</v>
      </c>
      <c r="BO1471" s="86"/>
    </row>
    <row r="1472" spans="1:67" ht="16.5" thickBot="1" x14ac:dyDescent="0.3">
      <c r="A1472" s="520">
        <f>IFERROR(VLOOKUP($G$5,'רשימת רשויות'!A:C,3,0),0)</f>
        <v>0</v>
      </c>
      <c r="B1472" s="520">
        <f t="shared" si="202"/>
        <v>0</v>
      </c>
      <c r="D1472" s="1135"/>
      <c r="E1472" s="1138"/>
      <c r="F1472" s="1144" t="s">
        <v>2793</v>
      </c>
      <c r="G1472" s="1145"/>
      <c r="H1472" s="1145"/>
      <c r="I1472" s="593">
        <f>IFERROR(IF(G1448="תקין",SUMIFS('סייעות רפואיות או אישיות (7)'!$Q$17:Q$384,'סייעות רפואיות או אישיות (7)'!C$17:C$384,G1443),0),0)</f>
        <v>0</v>
      </c>
      <c r="J1472" s="151"/>
      <c r="K1472" s="152"/>
      <c r="L1472" s="409"/>
      <c r="M1472" s="152"/>
      <c r="N1472" s="152"/>
      <c r="O1472" s="152"/>
      <c r="P1472" s="613"/>
      <c r="Q1472" s="614"/>
      <c r="R1472" s="475"/>
      <c r="S1472" s="489"/>
      <c r="T1472" s="490"/>
      <c r="U1472" s="491"/>
      <c r="V1472" s="492"/>
      <c r="W1472" s="492"/>
      <c r="X1472" s="492"/>
      <c r="Y1472" s="880"/>
      <c r="Z1472" s="153"/>
      <c r="AC1472" s="581"/>
      <c r="AD1472" s="582"/>
      <c r="BO1472" s="86"/>
    </row>
    <row r="1473" spans="1:67" ht="34.5" thickBot="1" x14ac:dyDescent="0.55000000000000004">
      <c r="A1473" s="520">
        <f>IFERROR(VLOOKUP($G$5,'רשימת רשויות'!A:C,3,0),0)</f>
        <v>0</v>
      </c>
      <c r="B1473" s="520">
        <f t="shared" si="202"/>
        <v>0</v>
      </c>
      <c r="E1473" s="154"/>
      <c r="I1473" s="143"/>
      <c r="J1473" s="148"/>
      <c r="O1473" s="148"/>
      <c r="T1473" s="481"/>
      <c r="BO1473" s="86"/>
    </row>
    <row r="1474" spans="1:67" s="20" customFormat="1" ht="16.5" customHeight="1" thickBot="1" x14ac:dyDescent="0.3">
      <c r="A1474" s="520">
        <f>IFERROR(VLOOKUP($G$5,'רשימת רשויות'!A:C,3,0),0)</f>
        <v>0</v>
      </c>
      <c r="B1474" s="520">
        <f t="shared" si="202"/>
        <v>0</v>
      </c>
      <c r="C1474" s="39"/>
      <c r="D1474" s="1133">
        <f>D1443+1</f>
        <v>48</v>
      </c>
      <c r="E1474" s="1136" t="str">
        <f>IFERROR(CONCATENATE("בית הספר ",VLOOKUP(G1474,'מצבת והרשמה (2)'!$C$21:$D$520,2,0)," - ",$G$5),"")</f>
        <v>בית הספר המוסד לא קיים - 0</v>
      </c>
      <c r="F1474" s="720" t="s">
        <v>146</v>
      </c>
      <c r="G1474" s="721">
        <f>IFERROR(VLOOKUP(D:D,'דוח ביצוע (3)'!$A$21:$C$900,2,0),0)</f>
        <v>0</v>
      </c>
      <c r="H1474" s="79"/>
      <c r="I1474" s="80" t="s">
        <v>150</v>
      </c>
      <c r="J1474" s="80"/>
      <c r="K1474" s="81"/>
      <c r="L1474" s="392"/>
      <c r="M1474" s="392"/>
      <c r="N1474" s="392"/>
      <c r="O1474" s="82"/>
      <c r="P1474" s="470"/>
      <c r="Q1474" s="471"/>
      <c r="R1474" s="472"/>
      <c r="S1474" s="883"/>
      <c r="T1474" s="884"/>
      <c r="U1474" s="486"/>
      <c r="V1474" s="487"/>
      <c r="W1474" s="487"/>
      <c r="X1474" s="487"/>
      <c r="Y1474" s="885"/>
      <c r="Z1474" s="83"/>
      <c r="AC1474" s="502"/>
      <c r="AD1474" s="503"/>
      <c r="AO1474" s="22"/>
      <c r="AP1474" s="22"/>
      <c r="AQ1474" s="22"/>
      <c r="AR1474" s="22"/>
      <c r="AS1474" s="22"/>
      <c r="AT1474" s="22"/>
      <c r="AU1474" s="35"/>
      <c r="AV1474" s="35"/>
      <c r="AW1474" s="35"/>
      <c r="AX1474" s="35"/>
      <c r="AY1474" s="35"/>
      <c r="AZ1474" s="35"/>
      <c r="BA1474" s="35"/>
      <c r="BB1474" s="35"/>
      <c r="BC1474" s="35"/>
      <c r="BD1474" s="35"/>
      <c r="BE1474" s="35"/>
      <c r="BF1474" s="35"/>
      <c r="BG1474" s="35"/>
      <c r="BH1474" s="35"/>
      <c r="BI1474" s="35"/>
      <c r="BJ1474" s="35"/>
      <c r="BK1474" s="35"/>
      <c r="BL1474" s="35"/>
      <c r="BM1474" s="35"/>
      <c r="BN1474" s="35"/>
      <c r="BO1474" s="78"/>
    </row>
    <row r="1475" spans="1:67" s="20" customFormat="1" ht="16.5" thickBot="1" x14ac:dyDescent="0.3">
      <c r="A1475" s="520">
        <f>IFERROR(VLOOKUP($G$5,'רשימת רשויות'!A:C,3,0),0)</f>
        <v>0</v>
      </c>
      <c r="B1475" s="520">
        <f t="shared" si="202"/>
        <v>0</v>
      </c>
      <c r="C1475" s="39"/>
      <c r="D1475" s="1134"/>
      <c r="E1475" s="1137"/>
      <c r="F1475" s="583" t="s">
        <v>145</v>
      </c>
      <c r="G1475" s="516" t="str">
        <f>IFERROR(IF((G1477+G1478)=0,"",IF(VLOOKUP(G1474,'דוח ביצוע (3)'!$B$21:$K$900,5,0)&gt;149,"גדול",IF(AND(VLOOKUP(G1474,'דוח ביצוע (3)'!$B$21:$K$900,5,0)&gt;0,VLOOKUP(G1474,'דוח ביצוע (3)'!$B$21:$K$900,5,0)&lt;150),"קטן",0))),"")</f>
        <v/>
      </c>
      <c r="H1475" s="723" t="s">
        <v>88</v>
      </c>
      <c r="I1475" s="723" t="s">
        <v>13</v>
      </c>
      <c r="J1475" s="725" t="s">
        <v>14</v>
      </c>
      <c r="K1475" s="724" t="s">
        <v>94</v>
      </c>
      <c r="L1475" s="594"/>
      <c r="M1475" s="420" t="s">
        <v>2584</v>
      </c>
      <c r="N1475" s="397" t="s">
        <v>413</v>
      </c>
      <c r="O1475" s="398" t="s">
        <v>52</v>
      </c>
      <c r="P1475" s="595"/>
      <c r="Q1475" s="595"/>
      <c r="R1475" s="596"/>
      <c r="S1475" s="610"/>
      <c r="T1475" s="881"/>
      <c r="U1475" s="598"/>
      <c r="V1475" s="599"/>
      <c r="W1475" s="599"/>
      <c r="X1475" s="599"/>
      <c r="Y1475" s="879"/>
      <c r="Z1475" s="85"/>
      <c r="AC1475" s="493"/>
      <c r="AD1475" s="495"/>
      <c r="AO1475" s="22"/>
      <c r="AP1475" s="22"/>
      <c r="AQ1475" s="22"/>
      <c r="AR1475" s="22"/>
      <c r="AS1475" s="22"/>
      <c r="AT1475" s="22"/>
      <c r="AU1475" s="35"/>
      <c r="AV1475" s="35"/>
      <c r="AW1475" s="35"/>
      <c r="AX1475" s="35"/>
      <c r="AY1475" s="35"/>
      <c r="AZ1475" s="35"/>
      <c r="BA1475" s="35"/>
      <c r="BB1475" s="35"/>
      <c r="BC1475" s="35"/>
      <c r="BD1475" s="35"/>
      <c r="BE1475" s="35"/>
      <c r="BF1475" s="35"/>
      <c r="BG1475" s="35"/>
      <c r="BH1475" s="35"/>
      <c r="BI1475" s="35"/>
      <c r="BJ1475" s="35"/>
      <c r="BK1475" s="35"/>
      <c r="BL1475" s="35"/>
      <c r="BM1475" s="35"/>
      <c r="BN1475" s="35"/>
      <c r="BO1475" s="78"/>
    </row>
    <row r="1476" spans="1:67" s="20" customFormat="1" ht="15.75" customHeight="1" thickBot="1" x14ac:dyDescent="0.3">
      <c r="A1476" s="520">
        <f>IFERROR(VLOOKUP($G$5,'רשימת רשויות'!A:C,3,0),0)</f>
        <v>0</v>
      </c>
      <c r="B1476" s="520">
        <f t="shared" si="202"/>
        <v>0</v>
      </c>
      <c r="C1476" s="39"/>
      <c r="D1476" s="1134"/>
      <c r="E1476" s="1137"/>
      <c r="F1476" s="584" t="s">
        <v>144</v>
      </c>
      <c r="G1476" s="87">
        <f>IF(G1479="תקין",IFERROR(VLOOKUP($G1474,'דוח ביצוע (3)'!$B$21:$Q$900,12,0),0),0)</f>
        <v>0</v>
      </c>
      <c r="H1476" s="88">
        <f>IFERROR(G1477*$AH$6+G1478*$AH$7,0)</f>
        <v>0</v>
      </c>
      <c r="I1476" s="88">
        <f>IFERROR(G1477*$AI$6+G1478*$AI$7,0)</f>
        <v>0</v>
      </c>
      <c r="J1476" s="88">
        <f>IFERROR(G1477*$AJ$6+G1478*$AJ$7,0)</f>
        <v>0</v>
      </c>
      <c r="K1476" s="88">
        <f>IFERROR(G1477*$AK$6+G1478*$AK$7,0)</f>
        <v>0</v>
      </c>
      <c r="L1476" s="405"/>
      <c r="M1476" s="399" t="s">
        <v>427</v>
      </c>
      <c r="N1476" s="400" t="str">
        <f>IFERROR(VLOOKUP($G1474,'דוח ביצוע (3)'!$B:$AE,28,0),"")</f>
        <v/>
      </c>
      <c r="O1476" s="89" t="str">
        <f>IFERROR(VLOOKUP($G1474,'דוח ביצוע (3)'!B:AE,29,0),"")</f>
        <v/>
      </c>
      <c r="P1476" s="595"/>
      <c r="Q1476" s="595"/>
      <c r="R1476" s="596"/>
      <c r="S1476" s="610"/>
      <c r="T1476" s="881"/>
      <c r="U1476" s="598"/>
      <c r="V1476" s="599"/>
      <c r="W1476" s="599"/>
      <c r="X1476" s="599"/>
      <c r="Y1476" s="879"/>
      <c r="Z1476" s="85"/>
      <c r="AC1476" s="493"/>
      <c r="AD1476" s="495"/>
      <c r="AO1476" s="22"/>
      <c r="AP1476" s="22"/>
      <c r="AQ1476" s="22"/>
      <c r="AR1476" s="22"/>
      <c r="AS1476" s="22"/>
      <c r="AT1476" s="22"/>
      <c r="AU1476" s="35"/>
      <c r="AV1476" s="35"/>
      <c r="AW1476" s="35"/>
      <c r="AX1476" s="35"/>
      <c r="AY1476" s="35"/>
      <c r="AZ1476" s="35"/>
      <c r="BA1476" s="35"/>
      <c r="BB1476" s="35"/>
      <c r="BC1476" s="35"/>
      <c r="BD1476" s="35"/>
      <c r="BE1476" s="35"/>
      <c r="BF1476" s="35"/>
      <c r="BG1476" s="35"/>
      <c r="BH1476" s="35"/>
      <c r="BI1476" s="35"/>
      <c r="BJ1476" s="35"/>
      <c r="BK1476" s="35"/>
      <c r="BL1476" s="35"/>
      <c r="BM1476" s="35"/>
      <c r="BN1476" s="35"/>
      <c r="BO1476" s="78"/>
    </row>
    <row r="1477" spans="1:67" s="20" customFormat="1" ht="32.25" thickBot="1" x14ac:dyDescent="0.3">
      <c r="A1477" s="520">
        <f>IFERROR(VLOOKUP($G$5,'רשימת רשויות'!A:C,3,0),0)</f>
        <v>0</v>
      </c>
      <c r="B1477" s="520">
        <f t="shared" si="202"/>
        <v>0</v>
      </c>
      <c r="C1477" s="39"/>
      <c r="D1477" s="1134"/>
      <c r="E1477" s="1137"/>
      <c r="F1477" s="585" t="s">
        <v>2195</v>
      </c>
      <c r="G1477" s="89">
        <f>IF(G1479="תקין",MAX(N1479,0),0)</f>
        <v>0</v>
      </c>
      <c r="H1477" s="725" t="s">
        <v>151</v>
      </c>
      <c r="I1477" s="725" t="s">
        <v>91</v>
      </c>
      <c r="J1477" s="970" t="s">
        <v>3396</v>
      </c>
      <c r="K1477" s="601"/>
      <c r="L1477" s="601"/>
      <c r="M1477" s="983" t="s">
        <v>2585</v>
      </c>
      <c r="N1477" s="400" t="str">
        <f>IFERROR(G1476/15*N1476*1.25,"")</f>
        <v/>
      </c>
      <c r="O1477" s="89" t="str">
        <f>IFERROR(G1476/15*O1476*1.25,"")</f>
        <v/>
      </c>
      <c r="P1477" s="595"/>
      <c r="Q1477" s="595"/>
      <c r="R1477" s="596"/>
      <c r="S1477" s="610"/>
      <c r="T1477" s="881"/>
      <c r="U1477" s="598"/>
      <c r="V1477" s="599"/>
      <c r="W1477" s="599"/>
      <c r="X1477" s="599"/>
      <c r="Y1477" s="879"/>
      <c r="Z1477" s="85"/>
      <c r="AC1477" s="493"/>
      <c r="AD1477" s="495"/>
      <c r="AG1477" s="22"/>
      <c r="AH1477" s="55"/>
      <c r="AI1477" s="55"/>
      <c r="AJ1477" s="55"/>
      <c r="AK1477" s="55"/>
      <c r="AO1477" s="22"/>
      <c r="AP1477" s="22"/>
      <c r="AQ1477" s="22"/>
      <c r="AR1477" s="22"/>
      <c r="AS1477" s="22"/>
      <c r="AT1477" s="22"/>
      <c r="AU1477" s="35"/>
      <c r="AV1477" s="35"/>
      <c r="AW1477" s="35"/>
      <c r="AX1477" s="35"/>
      <c r="AY1477" s="35"/>
      <c r="AZ1477" s="35"/>
      <c r="BA1477" s="35"/>
      <c r="BB1477" s="35"/>
      <c r="BC1477" s="35"/>
      <c r="BD1477" s="35"/>
      <c r="BE1477" s="35"/>
      <c r="BF1477" s="35"/>
      <c r="BG1477" s="35"/>
      <c r="BH1477" s="35"/>
      <c r="BI1477" s="35"/>
      <c r="BJ1477" s="35"/>
      <c r="BK1477" s="35"/>
      <c r="BL1477" s="35"/>
      <c r="BM1477" s="35"/>
      <c r="BN1477" s="35"/>
      <c r="BO1477" s="86"/>
    </row>
    <row r="1478" spans="1:67" s="20" customFormat="1" ht="16.5" thickBot="1" x14ac:dyDescent="0.3">
      <c r="A1478" s="520">
        <f>IFERROR(VLOOKUP($G$5,'רשימת רשויות'!A:C,3,0),0)</f>
        <v>0</v>
      </c>
      <c r="B1478" s="520">
        <f t="shared" si="202"/>
        <v>0</v>
      </c>
      <c r="C1478" s="39"/>
      <c r="D1478" s="1134"/>
      <c r="E1478" s="1137"/>
      <c r="F1478" s="585" t="s">
        <v>2196</v>
      </c>
      <c r="G1478" s="89">
        <f>IF(G1479="תקין",MAX(O1479,0),0)</f>
        <v>0</v>
      </c>
      <c r="H1478" s="88">
        <f>(IFERROR(IF((G1477+G1478)=0,0,IF(G1475="קטן",G1476*$AH$10,G1476*$AH$11)),0))+(IFERROR(IF((G1477+G1478)=0,0,VLOOKUP(G1474,'דוח ביצוע (3)'!$B:$AH,33,0)),0))</f>
        <v>0</v>
      </c>
      <c r="I1478" s="88">
        <f>IFERROR(IF((G1477+G1478)=0,0,IF(G1475="קטן",G1476*$AI$10,G1476*$AI$11)),0)</f>
        <v>0</v>
      </c>
      <c r="J1478" s="88">
        <f>IFERROR(IF((G1477+G1478)=0,0,VLOOKUP(G1474,'דוח ביצוע (3)'!$B:$AH,32,0)),0)</f>
        <v>0</v>
      </c>
      <c r="K1478" s="90"/>
      <c r="L1478" s="90"/>
      <c r="M1478" s="399" t="s">
        <v>412</v>
      </c>
      <c r="N1478" s="400">
        <f>IFERROR(VLOOKUP($G1474,'דוח ביצוע (3)'!$B$21:$U$500,18,0),0)</f>
        <v>0</v>
      </c>
      <c r="O1478" s="401">
        <f>IFERROR(VLOOKUP($G1474,'דוח ביצוע (3)'!$B$21:$U$500,19,0),0)</f>
        <v>0</v>
      </c>
      <c r="P1478" s="595"/>
      <c r="Q1478" s="595"/>
      <c r="R1478" s="596"/>
      <c r="S1478" s="610"/>
      <c r="T1478" s="881"/>
      <c r="U1478" s="598"/>
      <c r="V1478" s="599"/>
      <c r="W1478" s="599"/>
      <c r="X1478" s="599"/>
      <c r="Y1478" s="879"/>
      <c r="Z1478" s="85"/>
      <c r="AC1478" s="493"/>
      <c r="AD1478" s="495"/>
      <c r="AG1478" s="22"/>
      <c r="AH1478" s="55"/>
      <c r="AI1478" s="55"/>
      <c r="AJ1478" s="55"/>
      <c r="AK1478" s="55"/>
      <c r="AO1478" s="22"/>
      <c r="AP1478" s="22"/>
      <c r="AQ1478" s="22"/>
      <c r="AR1478" s="22"/>
      <c r="AS1478" s="22"/>
      <c r="AT1478" s="22"/>
      <c r="AU1478" s="35"/>
      <c r="AV1478" s="35"/>
      <c r="AW1478" s="35"/>
      <c r="AX1478" s="35"/>
      <c r="AY1478" s="35"/>
      <c r="AZ1478" s="35"/>
      <c r="BA1478" s="35"/>
      <c r="BB1478" s="35"/>
      <c r="BC1478" s="35"/>
      <c r="BD1478" s="35"/>
      <c r="BE1478" s="35"/>
      <c r="BF1478" s="35"/>
      <c r="BG1478" s="35"/>
      <c r="BH1478" s="35"/>
      <c r="BI1478" s="35"/>
      <c r="BJ1478" s="35"/>
      <c r="BK1478" s="35"/>
      <c r="BL1478" s="35"/>
      <c r="BM1478" s="35"/>
      <c r="BN1478" s="35"/>
      <c r="BO1478" s="86"/>
    </row>
    <row r="1479" spans="1:67" s="20" customFormat="1" ht="16.5" thickBot="1" x14ac:dyDescent="0.3">
      <c r="A1479" s="520">
        <f>IFERROR(VLOOKUP($G$5,'רשימת רשויות'!A:C,3,0),0)</f>
        <v>0</v>
      </c>
      <c r="B1479" s="520">
        <f t="shared" si="202"/>
        <v>0</v>
      </c>
      <c r="C1479" s="39"/>
      <c r="D1479" s="1134"/>
      <c r="E1479" s="1137"/>
      <c r="F1479" s="586" t="s">
        <v>2355</v>
      </c>
      <c r="G1479" s="514">
        <f>IFERROR(IF(VLOOKUP('בית ספר - תקצוב לפי מוסד (9)'!G1474,' איוש משרות (8)'!$C:$K,9,0)="תקין","תקין","לא תקין"),0)</f>
        <v>0</v>
      </c>
      <c r="H1479" s="91"/>
      <c r="I1479" s="91"/>
      <c r="J1479" s="91"/>
      <c r="K1479" s="90"/>
      <c r="L1479" s="90"/>
      <c r="M1479" s="402" t="s">
        <v>2586</v>
      </c>
      <c r="N1479" s="403">
        <f>IFERROR(MIN(N1477,N1478),0)</f>
        <v>0</v>
      </c>
      <c r="O1479" s="404">
        <f>IFERROR(MIN(O1477,O1478),0)</f>
        <v>0</v>
      </c>
      <c r="P1479" s="595"/>
      <c r="Q1479" s="595"/>
      <c r="R1479" s="596"/>
      <c r="S1479" s="610"/>
      <c r="T1479" s="881"/>
      <c r="U1479" s="598"/>
      <c r="V1479" s="599"/>
      <c r="W1479" s="599"/>
      <c r="X1479" s="599"/>
      <c r="Y1479" s="879"/>
      <c r="Z1479" s="85"/>
      <c r="AC1479" s="493"/>
      <c r="AD1479" s="495"/>
      <c r="AG1479" s="94"/>
      <c r="AH1479" s="40"/>
      <c r="AI1479" s="40"/>
      <c r="AJ1479" s="40"/>
      <c r="AK1479" s="40"/>
      <c r="AO1479" s="22"/>
      <c r="AP1479" s="22"/>
      <c r="AQ1479" s="22"/>
      <c r="AR1479" s="22"/>
      <c r="AS1479" s="22"/>
      <c r="AT1479" s="22"/>
      <c r="AU1479" s="35"/>
      <c r="AV1479" s="35"/>
      <c r="AW1479" s="35"/>
      <c r="AX1479" s="35"/>
      <c r="AY1479" s="35"/>
      <c r="AZ1479" s="35"/>
      <c r="BA1479" s="35"/>
      <c r="BB1479" s="35"/>
      <c r="BC1479" s="35"/>
      <c r="BD1479" s="35"/>
      <c r="BE1479" s="35"/>
      <c r="BF1479" s="35"/>
      <c r="BG1479" s="35"/>
      <c r="BH1479" s="35"/>
      <c r="BI1479" s="35"/>
      <c r="BJ1479" s="35"/>
      <c r="BK1479" s="35"/>
      <c r="BL1479" s="35"/>
      <c r="BM1479" s="35"/>
      <c r="BN1479" s="35"/>
      <c r="BO1479" s="86"/>
    </row>
    <row r="1480" spans="1:67" s="55" customFormat="1" ht="37.15" customHeight="1" thickBot="1" x14ac:dyDescent="0.3">
      <c r="A1480" s="520">
        <f>IFERROR(VLOOKUP($G$5,'רשימת רשויות'!A:C,3,0),0)</f>
        <v>0</v>
      </c>
      <c r="B1480" s="520">
        <f t="shared" si="202"/>
        <v>0</v>
      </c>
      <c r="C1480" s="39"/>
      <c r="D1480" s="1134"/>
      <c r="E1480" s="1137"/>
      <c r="F1480" s="587" t="s">
        <v>142</v>
      </c>
      <c r="G1480" s="92"/>
      <c r="H1480" s="92"/>
      <c r="I1480" s="92"/>
      <c r="J1480" s="92"/>
      <c r="K1480" s="602"/>
      <c r="L1480" s="602"/>
      <c r="M1480" s="602"/>
      <c r="N1480" s="602"/>
      <c r="O1480" s="602"/>
      <c r="P1480" s="595"/>
      <c r="Q1480" s="595"/>
      <c r="R1480" s="596"/>
      <c r="S1480" s="610"/>
      <c r="T1480" s="881"/>
      <c r="U1480" s="598"/>
      <c r="V1480" s="599"/>
      <c r="W1480" s="599"/>
      <c r="X1480" s="599"/>
      <c r="Y1480" s="879"/>
      <c r="Z1480" s="93"/>
      <c r="AC1480" s="493"/>
      <c r="AD1480" s="495"/>
      <c r="AF1480" s="22"/>
      <c r="AG1480" s="98"/>
      <c r="AH1480" s="98"/>
      <c r="AI1480" s="40"/>
      <c r="AJ1480" s="40"/>
      <c r="AK1480" s="40"/>
      <c r="AO1480" s="22"/>
      <c r="AP1480" s="22"/>
      <c r="AQ1480" s="22"/>
      <c r="AR1480" s="22"/>
      <c r="AS1480" s="22"/>
      <c r="AT1480" s="22"/>
      <c r="AU1480" s="35"/>
      <c r="AV1480" s="35"/>
      <c r="AW1480" s="35"/>
      <c r="AX1480" s="35"/>
      <c r="AY1480" s="35"/>
      <c r="AZ1480" s="35"/>
      <c r="BA1480" s="35"/>
      <c r="BB1480" s="35"/>
      <c r="BC1480" s="35"/>
      <c r="BD1480" s="35"/>
      <c r="BE1480" s="35"/>
      <c r="BF1480" s="35"/>
      <c r="BG1480" s="35"/>
      <c r="BH1480" s="35"/>
      <c r="BI1480" s="35"/>
      <c r="BJ1480" s="35"/>
      <c r="BK1480" s="35"/>
      <c r="BL1480" s="35"/>
      <c r="BM1480" s="35"/>
      <c r="BN1480" s="35"/>
      <c r="BO1480" s="86"/>
    </row>
    <row r="1481" spans="1:67" s="40" customFormat="1" ht="31.5" x14ac:dyDescent="0.25">
      <c r="A1481" s="520">
        <f>IFERROR(VLOOKUP($G$5,'רשימת רשויות'!A:C,3,0),0)</f>
        <v>0</v>
      </c>
      <c r="B1481" s="520">
        <f t="shared" si="202"/>
        <v>0</v>
      </c>
      <c r="C1481" s="39"/>
      <c r="D1481" s="1134"/>
      <c r="E1481" s="1137"/>
      <c r="F1481" s="588" t="s">
        <v>94</v>
      </c>
      <c r="G1481" s="95" t="s">
        <v>18</v>
      </c>
      <c r="H1481" s="95" t="s">
        <v>19</v>
      </c>
      <c r="I1481" s="95" t="s">
        <v>138</v>
      </c>
      <c r="J1481" s="96" t="s">
        <v>139</v>
      </c>
      <c r="K1481" s="603"/>
      <c r="L1481" s="603"/>
      <c r="M1481" s="603"/>
      <c r="N1481" s="603"/>
      <c r="O1481" s="603"/>
      <c r="P1481" s="604"/>
      <c r="Q1481" s="604"/>
      <c r="R1481" s="596"/>
      <c r="S1481" s="610"/>
      <c r="T1481" s="881"/>
      <c r="U1481" s="598"/>
      <c r="V1481" s="599"/>
      <c r="W1481" s="599"/>
      <c r="X1481" s="599"/>
      <c r="Y1481" s="879"/>
      <c r="Z1481" s="97"/>
      <c r="AA1481" s="94"/>
      <c r="AB1481" s="94"/>
      <c r="AC1481" s="493"/>
      <c r="AD1481" s="495"/>
      <c r="AE1481" s="94"/>
      <c r="AG1481" s="98"/>
      <c r="AH1481" s="98"/>
      <c r="AO1481" s="22"/>
      <c r="AP1481" s="22"/>
      <c r="AQ1481" s="22"/>
      <c r="AR1481" s="22"/>
      <c r="AS1481" s="22"/>
      <c r="AT1481" s="22"/>
      <c r="AU1481" s="35"/>
      <c r="AV1481" s="35"/>
      <c r="AW1481" s="35"/>
      <c r="AX1481" s="35"/>
      <c r="AY1481" s="35"/>
      <c r="AZ1481" s="35"/>
      <c r="BA1481" s="35"/>
      <c r="BB1481" s="35"/>
      <c r="BC1481" s="35"/>
      <c r="BD1481" s="35"/>
      <c r="BE1481" s="35"/>
      <c r="BF1481" s="35"/>
      <c r="BG1481" s="35"/>
      <c r="BH1481" s="35"/>
      <c r="BI1481" s="35"/>
      <c r="BJ1481" s="35"/>
      <c r="BK1481" s="35"/>
      <c r="BL1481" s="35"/>
      <c r="BM1481" s="35"/>
      <c r="BN1481" s="35"/>
      <c r="BO1481" s="86"/>
    </row>
    <row r="1482" spans="1:67" s="40" customFormat="1" ht="15.75" customHeight="1" thickBot="1" x14ac:dyDescent="0.3">
      <c r="A1482" s="520">
        <f>IFERROR(VLOOKUP($G$5,'רשימת רשויות'!A:C,3,0),0)</f>
        <v>0</v>
      </c>
      <c r="B1482" s="520">
        <f t="shared" si="202"/>
        <v>0</v>
      </c>
      <c r="C1482" s="39"/>
      <c r="D1482" s="1134"/>
      <c r="E1482" s="1137"/>
      <c r="F1482" s="589" t="s">
        <v>2280</v>
      </c>
      <c r="G1482" s="99">
        <f>+G1493</f>
        <v>0</v>
      </c>
      <c r="H1482" s="100">
        <f>K1476</f>
        <v>0</v>
      </c>
      <c r="I1482" s="100">
        <f>H1482-I1484</f>
        <v>0</v>
      </c>
      <c r="J1482" s="101">
        <f>IFERROR(I1482/H1482,0)</f>
        <v>0</v>
      </c>
      <c r="K1482" s="603"/>
      <c r="L1482" s="603"/>
      <c r="M1482" s="603"/>
      <c r="N1482" s="603"/>
      <c r="O1482" s="603"/>
      <c r="P1482" s="605"/>
      <c r="Q1482" s="604"/>
      <c r="R1482" s="606" t="s">
        <v>157</v>
      </c>
      <c r="S1482" s="611"/>
      <c r="T1482" s="881"/>
      <c r="U1482" s="598"/>
      <c r="V1482" s="599"/>
      <c r="W1482" s="599"/>
      <c r="X1482" s="599"/>
      <c r="Y1482" s="879"/>
      <c r="Z1482" s="102"/>
      <c r="AA1482" s="122"/>
      <c r="AB1482" s="122"/>
      <c r="AC1482" s="493"/>
      <c r="AD1482" s="495"/>
      <c r="AE1482" s="122"/>
      <c r="AF1482" s="22"/>
      <c r="AG1482" s="98"/>
      <c r="AH1482" s="98"/>
      <c r="AI1482" s="20"/>
      <c r="AO1482" s="22"/>
      <c r="AP1482" s="22"/>
      <c r="AQ1482" s="22"/>
      <c r="AR1482" s="22"/>
      <c r="AS1482" s="22"/>
      <c r="AT1482" s="22"/>
      <c r="AU1482" s="35"/>
      <c r="AV1482" s="35"/>
      <c r="AW1482" s="35"/>
      <c r="AX1482" s="35"/>
      <c r="AY1482" s="35"/>
      <c r="AZ1482" s="35"/>
      <c r="BA1482" s="35"/>
      <c r="BB1482" s="35"/>
      <c r="BC1482" s="35"/>
      <c r="BD1482" s="35"/>
      <c r="BE1482" s="35"/>
      <c r="BF1482" s="35"/>
      <c r="BG1482" s="35"/>
      <c r="BH1482" s="35"/>
      <c r="BI1482" s="35"/>
      <c r="BJ1482" s="35"/>
      <c r="BK1482" s="35"/>
      <c r="BL1482" s="35"/>
      <c r="BM1482" s="35"/>
      <c r="BN1482" s="35"/>
      <c r="BO1482" s="86"/>
    </row>
    <row r="1483" spans="1:67" s="40" customFormat="1" ht="15.75" customHeight="1" thickBot="1" x14ac:dyDescent="0.3">
      <c r="A1483" s="520">
        <f>IFERROR(VLOOKUP($G$5,'רשימת רשויות'!A:C,3,0),0)</f>
        <v>0</v>
      </c>
      <c r="B1483" s="520">
        <f t="shared" si="202"/>
        <v>0</v>
      </c>
      <c r="C1483" s="39"/>
      <c r="D1483" s="1134"/>
      <c r="E1483" s="1137"/>
      <c r="F1483" s="589" t="s">
        <v>2281</v>
      </c>
      <c r="G1483" s="99">
        <f>+G1492</f>
        <v>0</v>
      </c>
      <c r="H1483" s="103"/>
      <c r="I1483" s="104"/>
      <c r="J1483" s="105"/>
      <c r="K1483" s="603"/>
      <c r="L1483" s="603"/>
      <c r="M1483" s="603"/>
      <c r="N1483" s="603"/>
      <c r="O1483" s="603"/>
      <c r="P1483" s="605"/>
      <c r="Q1483" s="604"/>
      <c r="R1483" s="473">
        <f>I1484-R1485</f>
        <v>0</v>
      </c>
      <c r="S1483" s="611"/>
      <c r="T1483" s="881"/>
      <c r="U1483" s="598"/>
      <c r="V1483" s="599"/>
      <c r="W1483" s="599"/>
      <c r="X1483" s="599"/>
      <c r="Y1483" s="879"/>
      <c r="Z1483" s="106"/>
      <c r="AA1483" s="22"/>
      <c r="AB1483" s="22"/>
      <c r="AC1483" s="493"/>
      <c r="AD1483" s="495"/>
      <c r="AE1483" s="22"/>
      <c r="AF1483" s="22"/>
      <c r="AG1483" s="98"/>
      <c r="AH1483" s="98"/>
      <c r="AI1483" s="20"/>
      <c r="AO1483" s="22"/>
      <c r="AP1483" s="22"/>
      <c r="AQ1483" s="22"/>
      <c r="AR1483" s="22"/>
      <c r="AS1483" s="22"/>
      <c r="AT1483" s="22"/>
      <c r="AU1483" s="35"/>
      <c r="AV1483" s="35"/>
      <c r="AW1483" s="35"/>
      <c r="AX1483" s="35"/>
      <c r="AY1483" s="35"/>
      <c r="AZ1483" s="35"/>
      <c r="BA1483" s="35"/>
      <c r="BB1483" s="35"/>
      <c r="BC1483" s="35"/>
      <c r="BD1483" s="35"/>
      <c r="BE1483" s="35"/>
      <c r="BF1483" s="35"/>
      <c r="BG1483" s="35"/>
      <c r="BH1483" s="35"/>
      <c r="BI1483" s="35"/>
      <c r="BJ1483" s="35"/>
      <c r="BK1483" s="35"/>
      <c r="BL1483" s="35"/>
      <c r="BM1483" s="35"/>
      <c r="BN1483" s="35"/>
      <c r="BO1483" s="86"/>
    </row>
    <row r="1484" spans="1:67" s="40" customFormat="1" ht="16.5" customHeight="1" thickBot="1" x14ac:dyDescent="0.3">
      <c r="A1484" s="520">
        <f>IFERROR(VLOOKUP($G$5,'רשימת רשויות'!A:C,3,0),0)</f>
        <v>0</v>
      </c>
      <c r="B1484" s="520">
        <f t="shared" si="202"/>
        <v>0</v>
      </c>
      <c r="C1484" s="39"/>
      <c r="D1484" s="1134"/>
      <c r="E1484" s="1137"/>
      <c r="F1484" s="589" t="s">
        <v>2282</v>
      </c>
      <c r="G1484" s="99">
        <f>G1488+G1489+G1490</f>
        <v>0</v>
      </c>
      <c r="H1484" s="104"/>
      <c r="I1484" s="107">
        <f>MAX(H1482-G1482-G1483,0)</f>
        <v>0</v>
      </c>
      <c r="J1484" s="108">
        <f>IFERROR(I1484/H1482,0)</f>
        <v>0</v>
      </c>
      <c r="K1484" s="603"/>
      <c r="L1484" s="603"/>
      <c r="M1484" s="603"/>
      <c r="N1484" s="603"/>
      <c r="O1484" s="603"/>
      <c r="P1484" s="604"/>
      <c r="Q1484" s="604"/>
      <c r="R1484" s="606" t="s">
        <v>158</v>
      </c>
      <c r="S1484" s="612"/>
      <c r="T1484" s="881"/>
      <c r="U1484" s="598"/>
      <c r="V1484" s="599"/>
      <c r="W1484" s="599"/>
      <c r="X1484" s="599"/>
      <c r="Y1484" s="879"/>
      <c r="Z1484" s="106"/>
      <c r="AA1484" s="22"/>
      <c r="AB1484" s="22"/>
      <c r="AC1484" s="493"/>
      <c r="AD1484" s="495"/>
      <c r="AE1484" s="22"/>
      <c r="AF1484" s="22"/>
      <c r="AG1484" s="22"/>
      <c r="AH1484" s="22"/>
      <c r="AI1484" s="55"/>
      <c r="AJ1484" s="22"/>
      <c r="AK1484" s="22"/>
      <c r="AO1484" s="22"/>
      <c r="AP1484" s="22"/>
      <c r="AQ1484" s="22"/>
      <c r="AR1484" s="22"/>
      <c r="AS1484" s="22"/>
      <c r="AT1484" s="22"/>
      <c r="AU1484" s="35"/>
      <c r="AV1484" s="35"/>
      <c r="AW1484" s="35"/>
      <c r="AX1484" s="35"/>
      <c r="AY1484" s="35"/>
      <c r="AZ1484" s="35"/>
      <c r="BA1484" s="35"/>
      <c r="BB1484" s="35"/>
      <c r="BC1484" s="35"/>
      <c r="BD1484" s="35"/>
      <c r="BE1484" s="35"/>
      <c r="BF1484" s="35"/>
      <c r="BG1484" s="35"/>
      <c r="BH1484" s="35"/>
      <c r="BI1484" s="35"/>
      <c r="BJ1484" s="35"/>
      <c r="BK1484" s="35"/>
      <c r="BL1484" s="35"/>
      <c r="BM1484" s="35"/>
      <c r="BN1484" s="35"/>
      <c r="BO1484" s="86"/>
    </row>
    <row r="1485" spans="1:67" s="40" customFormat="1" ht="15.75" customHeight="1" thickBot="1" x14ac:dyDescent="0.3">
      <c r="A1485" s="520">
        <f>IFERROR(VLOOKUP($G$5,'רשימת רשויות'!A:C,3,0),0)</f>
        <v>0</v>
      </c>
      <c r="B1485" s="520">
        <f t="shared" si="202"/>
        <v>0</v>
      </c>
      <c r="C1485" s="39"/>
      <c r="D1485" s="1134"/>
      <c r="E1485" s="1137"/>
      <c r="F1485" s="590" t="s">
        <v>2290</v>
      </c>
      <c r="G1485" s="109"/>
      <c r="H1485" s="110"/>
      <c r="I1485" s="111">
        <f>SUM(I1482:I1484)</f>
        <v>0</v>
      </c>
      <c r="J1485" s="112">
        <f>SUM(J1482:J1484)</f>
        <v>0</v>
      </c>
      <c r="K1485" s="603"/>
      <c r="L1485" s="603"/>
      <c r="M1485" s="603"/>
      <c r="N1485" s="603"/>
      <c r="O1485" s="603"/>
      <c r="P1485" s="604"/>
      <c r="Q1485" s="604"/>
      <c r="R1485" s="473">
        <f>MIN(MAX(G1489+G1490-I1478-J1478,0),I1484)</f>
        <v>0</v>
      </c>
      <c r="S1485" s="612"/>
      <c r="T1485" s="881"/>
      <c r="U1485" s="598"/>
      <c r="V1485" s="599"/>
      <c r="W1485" s="599"/>
      <c r="X1485" s="599"/>
      <c r="Y1485" s="879"/>
      <c r="Z1485" s="106"/>
      <c r="AA1485" s="22"/>
      <c r="AB1485" s="22"/>
      <c r="AC1485" s="493"/>
      <c r="AD1485" s="495"/>
      <c r="AE1485" s="22"/>
      <c r="AF1485" s="22"/>
      <c r="AG1485" s="22"/>
      <c r="AH1485" s="22"/>
      <c r="AJ1485" s="22"/>
      <c r="AK1485" s="22"/>
      <c r="AO1485" s="22"/>
      <c r="AP1485" s="22"/>
      <c r="AQ1485" s="22"/>
      <c r="AR1485" s="22"/>
      <c r="AS1485" s="22"/>
      <c r="AT1485" s="22"/>
      <c r="AU1485" s="35"/>
      <c r="AV1485" s="35"/>
      <c r="AW1485" s="35"/>
      <c r="AX1485" s="35"/>
      <c r="AY1485" s="35"/>
      <c r="AZ1485" s="35"/>
      <c r="BA1485" s="35"/>
      <c r="BB1485" s="35"/>
      <c r="BC1485" s="35"/>
      <c r="BD1485" s="35"/>
      <c r="BE1485" s="35"/>
      <c r="BF1485" s="35"/>
      <c r="BG1485" s="35"/>
      <c r="BH1485" s="35"/>
      <c r="BI1485" s="35"/>
      <c r="BJ1485" s="35"/>
      <c r="BK1485" s="35"/>
      <c r="BL1485" s="35"/>
      <c r="BM1485" s="35"/>
      <c r="BN1485" s="35"/>
      <c r="BO1485" s="86"/>
    </row>
    <row r="1486" spans="1:67" ht="16.5" thickBot="1" x14ac:dyDescent="0.3">
      <c r="A1486" s="520">
        <f>IFERROR(VLOOKUP($G$5,'רשימת רשויות'!A:C,3,0),0)</f>
        <v>0</v>
      </c>
      <c r="B1486" s="520">
        <f t="shared" ref="B1486:B1549" si="211">IF(F1487="סמל המוסד",G1487,B1485)</f>
        <v>0</v>
      </c>
      <c r="D1486" s="1134"/>
      <c r="E1486" s="1137"/>
      <c r="F1486" s="587" t="s">
        <v>17</v>
      </c>
      <c r="G1486" s="113"/>
      <c r="H1486" s="92"/>
      <c r="I1486" s="114"/>
      <c r="J1486" s="115"/>
      <c r="K1486" s="116"/>
      <c r="L1486" s="406"/>
      <c r="M1486" s="116"/>
      <c r="N1486" s="116"/>
      <c r="O1486" s="116"/>
      <c r="P1486" s="474"/>
      <c r="Q1486" s="607"/>
      <c r="R1486" s="608"/>
      <c r="S1486" s="612"/>
      <c r="T1486" s="881"/>
      <c r="U1486" s="598"/>
      <c r="V1486" s="599"/>
      <c r="W1486" s="599"/>
      <c r="X1486" s="599"/>
      <c r="Y1486" s="879"/>
      <c r="Z1486" s="106"/>
      <c r="AI1486" s="40"/>
      <c r="BO1486" s="86"/>
    </row>
    <row r="1487" spans="1:67" ht="47.25" x14ac:dyDescent="0.25">
      <c r="A1487" s="520">
        <f>IFERROR(VLOOKUP($G$5,'רשימת רשויות'!A:C,3,0),0)</f>
        <v>0</v>
      </c>
      <c r="B1487" s="520">
        <f t="shared" si="211"/>
        <v>0</v>
      </c>
      <c r="D1487" s="1134"/>
      <c r="E1487" s="1137"/>
      <c r="F1487" s="588" t="s">
        <v>2</v>
      </c>
      <c r="G1487" s="95" t="s">
        <v>18</v>
      </c>
      <c r="H1487" s="95" t="s">
        <v>19</v>
      </c>
      <c r="I1487" s="95" t="s">
        <v>20</v>
      </c>
      <c r="J1487" s="95" t="s">
        <v>22</v>
      </c>
      <c r="K1487" s="96" t="s">
        <v>2314</v>
      </c>
      <c r="L1487" s="609"/>
      <c r="M1487" s="609"/>
      <c r="N1487" s="609"/>
      <c r="O1487" s="580"/>
      <c r="P1487" s="618" t="s">
        <v>2298</v>
      </c>
      <c r="Q1487" s="618" t="s">
        <v>2299</v>
      </c>
      <c r="R1487" s="596"/>
      <c r="S1487" s="890" t="s">
        <v>2519</v>
      </c>
      <c r="T1487" s="890" t="s">
        <v>97</v>
      </c>
      <c r="U1487" s="891" t="s">
        <v>2521</v>
      </c>
      <c r="V1487" s="892" t="s">
        <v>2520</v>
      </c>
      <c r="W1487" s="893" t="s">
        <v>2524</v>
      </c>
      <c r="X1487" s="892" t="s">
        <v>2522</v>
      </c>
      <c r="Y1487" s="894" t="s">
        <v>2523</v>
      </c>
      <c r="Z1487" s="106"/>
      <c r="AC1487" s="498" t="s">
        <v>2568</v>
      </c>
      <c r="AD1487" s="499" t="s">
        <v>2569</v>
      </c>
      <c r="AF1487" s="122"/>
      <c r="AI1487" s="40"/>
      <c r="BO1487" s="86"/>
    </row>
    <row r="1488" spans="1:67" ht="15" customHeight="1" thickBot="1" x14ac:dyDescent="0.3">
      <c r="A1488" s="520">
        <f>IFERROR(VLOOKUP($G$5,'רשימת רשויות'!A:C,3,0),0)</f>
        <v>0</v>
      </c>
      <c r="B1488" s="520">
        <f t="shared" si="211"/>
        <v>0</v>
      </c>
      <c r="D1488" s="1134"/>
      <c r="E1488" s="1137"/>
      <c r="F1488" s="589" t="s">
        <v>76</v>
      </c>
      <c r="G1488" s="117">
        <f>IF(G1479="תקין",SUMIF('עלויות כח אדם (6)'!$B$15:$B$3014,'בית ספר - תקצוב לפי מוסד (9)'!$G1474,'עלויות כח אדם (6)'!$M$15:$M$3014)-VLOOKUP('בית ספר - תקצוב לפי מוסד (9)'!G1474,' איוש משרות (8)'!$C:$H,5,0)-VLOOKUP('בית ספר - תקצוב לפי מוסד (9)'!G1474,' איוש משרות (8)'!$C:$H,6,0),0)-Y1488</f>
        <v>0</v>
      </c>
      <c r="H1488" s="118">
        <f>I1476+R1483</f>
        <v>0</v>
      </c>
      <c r="I1488" s="119">
        <f>IFERROR(SUM(G1488)/H1488,0)</f>
        <v>0</v>
      </c>
      <c r="J1488" s="100">
        <f>MIN(I1476+R1483,IF(ISNUMBER(G1488),G1488,0))</f>
        <v>0</v>
      </c>
      <c r="K1488" s="120">
        <f>MAX(H1488-G1488,0)</f>
        <v>0</v>
      </c>
      <c r="L1488" s="407"/>
      <c r="M1488" s="393"/>
      <c r="N1488" s="393"/>
      <c r="O1488" s="580"/>
      <c r="P1488" s="968">
        <f>IFERROR(IF(SUM(G1488)/(I1476)&lt;100%,MIN((I1476)-SUM(G1488),(I1476)*0.25),0),0)</f>
        <v>0</v>
      </c>
      <c r="Q1488" s="968">
        <f>IF(SUM(G1488)-(I1476+R1483)&gt;0,SUM(G1488)-(I1476+R1483),0)</f>
        <v>0</v>
      </c>
      <c r="R1488" s="596" t="s">
        <v>2351</v>
      </c>
      <c r="S1488" s="576" t="s">
        <v>2342</v>
      </c>
      <c r="T1488" s="599">
        <f>G1474</f>
        <v>0</v>
      </c>
      <c r="U1488" s="578"/>
      <c r="V1488" s="579">
        <f>G1488+G1489+G1490</f>
        <v>0</v>
      </c>
      <c r="W1488" s="579">
        <f>U1488-V1488</f>
        <v>0</v>
      </c>
      <c r="X1488" s="579">
        <f>IFERROR(W1502*W1488/(SUM(W1488:W1501)),0)</f>
        <v>0</v>
      </c>
      <c r="Y1488" s="879">
        <f>SUMIFS(בקרה!$S:$S,בקרה!$D:$D,T1488,בקרה!$K:$K,S1488)</f>
        <v>0</v>
      </c>
      <c r="Z1488" s="121"/>
      <c r="AA1488" s="143"/>
      <c r="AB1488" s="143"/>
      <c r="AC1488" s="504">
        <v>0</v>
      </c>
      <c r="AD1488" s="505">
        <f>IFERROR(U1488-AC1488,0)</f>
        <v>0</v>
      </c>
      <c r="AE1488" s="143"/>
      <c r="AI1488" s="20"/>
      <c r="BO1488" s="86"/>
    </row>
    <row r="1489" spans="1:67" ht="15" customHeight="1" thickBot="1" x14ac:dyDescent="0.3">
      <c r="A1489" s="520">
        <f>IFERROR(VLOOKUP($G$5,'רשימת רשויות'!A:C,3,0),0)</f>
        <v>0</v>
      </c>
      <c r="B1489" s="520">
        <f t="shared" si="211"/>
        <v>0</v>
      </c>
      <c r="D1489" s="1134"/>
      <c r="E1489" s="1137"/>
      <c r="F1489" s="589" t="s">
        <v>44</v>
      </c>
      <c r="G1489" s="123">
        <f>IF(G1479="תקין",IFERROR(VLOOKUP('בית ספר - תקצוב לפי מוסד (9)'!G1474,' איוש משרות (8)'!C:J,7,0),0),0)</f>
        <v>0</v>
      </c>
      <c r="H1489" s="124">
        <f>I1478+R1485+J1478</f>
        <v>0</v>
      </c>
      <c r="I1489" s="119">
        <f>IFERROR(SUM(G1489:G1490)/H1489,0)</f>
        <v>0</v>
      </c>
      <c r="J1489" s="100">
        <f>MIN(R1485+I1478,IF(ISNUMBER(SUM(G1489:G1490)),SUM(G1489:G1490),0))</f>
        <v>0</v>
      </c>
      <c r="K1489" s="1139">
        <f>MAX((H1489)-(G1489+G1490),0)</f>
        <v>0</v>
      </c>
      <c r="L1489" s="407"/>
      <c r="M1489" s="393"/>
      <c r="N1489" s="393"/>
      <c r="O1489" s="580"/>
      <c r="P1489" s="1140"/>
      <c r="Q1489" s="1140"/>
      <c r="R1489" s="617">
        <f>MAX(MIN(P1497-Q1497,H1497*0.15-G1495),0)</f>
        <v>0</v>
      </c>
      <c r="S1489" s="576"/>
      <c r="T1489" s="599">
        <f>G1474</f>
        <v>0</v>
      </c>
      <c r="U1489" s="578"/>
      <c r="V1489" s="579"/>
      <c r="W1489" s="579">
        <f t="shared" ref="W1489:W1501" si="212">U1489-V1489</f>
        <v>0</v>
      </c>
      <c r="X1489" s="579"/>
      <c r="Y1489" s="879"/>
      <c r="Z1489" s="121"/>
      <c r="AA1489" s="143"/>
      <c r="AB1489" s="143"/>
      <c r="AC1489" s="504"/>
      <c r="AD1489" s="505">
        <f t="shared" ref="AD1489:AD1495" si="213">IFERROR(U1489-AC1489,0)</f>
        <v>0</v>
      </c>
      <c r="AE1489" s="143"/>
      <c r="AI1489" s="20"/>
      <c r="BO1489" s="86"/>
    </row>
    <row r="1490" spans="1:67" ht="15.75" customHeight="1" x14ac:dyDescent="0.25">
      <c r="A1490" s="520">
        <f>IFERROR(VLOOKUP($G$5,'רשימת רשויות'!A:C,3,0),0)</f>
        <v>0</v>
      </c>
      <c r="B1490" s="520">
        <f t="shared" si="211"/>
        <v>0</v>
      </c>
      <c r="D1490" s="1134"/>
      <c r="E1490" s="1137"/>
      <c r="F1490" s="589" t="s">
        <v>45</v>
      </c>
      <c r="G1490" s="123">
        <f>IF(G1479="תקין",IFERROR(VLOOKUP('בית ספר - תקצוב לפי מוסד (9)'!G1474,' איוש משרות (8)'!C:J,8,0),0),0)</f>
        <v>0</v>
      </c>
      <c r="H1490" s="125"/>
      <c r="I1490" s="126"/>
      <c r="J1490" s="104"/>
      <c r="K1490" s="1139"/>
      <c r="L1490" s="407"/>
      <c r="M1490" s="393"/>
      <c r="N1490" s="393"/>
      <c r="O1490" s="580"/>
      <c r="P1490" s="1140"/>
      <c r="Q1490" s="1140"/>
      <c r="R1490" s="596"/>
      <c r="S1490" s="576"/>
      <c r="T1490" s="599">
        <f>G1474</f>
        <v>0</v>
      </c>
      <c r="U1490" s="578"/>
      <c r="V1490" s="579"/>
      <c r="W1490" s="579">
        <f t="shared" si="212"/>
        <v>0</v>
      </c>
      <c r="X1490" s="579"/>
      <c r="Y1490" s="879"/>
      <c r="Z1490" s="121"/>
      <c r="AA1490" s="143"/>
      <c r="AB1490" s="143"/>
      <c r="AC1490" s="504"/>
      <c r="AD1490" s="505">
        <f t="shared" si="213"/>
        <v>0</v>
      </c>
      <c r="AE1490" s="143"/>
      <c r="AG1490" s="55"/>
      <c r="AH1490" s="55"/>
      <c r="AI1490" s="55"/>
      <c r="AJ1490" s="55"/>
      <c r="AK1490" s="55"/>
      <c r="BO1490" s="86"/>
    </row>
    <row r="1491" spans="1:67" ht="15.75" customHeight="1" x14ac:dyDescent="0.25">
      <c r="A1491" s="520">
        <f>IFERROR(VLOOKUP($G$5,'רשימת רשויות'!A:C,3,0),0)</f>
        <v>0</v>
      </c>
      <c r="B1491" s="520">
        <f t="shared" si="211"/>
        <v>0</v>
      </c>
      <c r="D1491" s="1134"/>
      <c r="E1491" s="1137"/>
      <c r="F1491" s="589" t="s">
        <v>0</v>
      </c>
      <c r="G1491" s="117">
        <f>IF(G1479="תקין",SUMIFS('דוח הוצאות בפועל (4)'!$E$17:$E$3016,'דוח הוצאות בפועל (4)'!$B$17:$B$3016,'בית ספר - תקצוב לפי מוסד (9)'!$G1474,'דוח הוצאות בפועל (4)'!$M$17:$M$3016,"הע"),0)-Y1491</f>
        <v>0</v>
      </c>
      <c r="H1491" s="127">
        <f>J1476</f>
        <v>0</v>
      </c>
      <c r="I1491" s="128">
        <f>IFERROR(G1491/H1491,0)</f>
        <v>0</v>
      </c>
      <c r="J1491" s="129">
        <f>MIN(IF(ISNUMBER(G1491),G1491,0),H1491)</f>
        <v>0</v>
      </c>
      <c r="K1491" s="120">
        <f>MAX(H1491-G1491,0)</f>
        <v>0</v>
      </c>
      <c r="L1491" s="407"/>
      <c r="M1491" s="393"/>
      <c r="N1491" s="393"/>
      <c r="O1491" s="580"/>
      <c r="P1491" s="968">
        <f>MAX(IF(I1491&lt;100%,MIN((H1491-G1491),H1491*0.25),0),0)</f>
        <v>0</v>
      </c>
      <c r="Q1491" s="619">
        <f>IF(G1491-H1491&gt;0,G1491-H1491,0)</f>
        <v>0</v>
      </c>
      <c r="R1491" s="596"/>
      <c r="S1491" s="610" t="s">
        <v>0</v>
      </c>
      <c r="T1491" s="599">
        <f>G1474</f>
        <v>0</v>
      </c>
      <c r="U1491" s="578"/>
      <c r="V1491" s="579">
        <f>G1491</f>
        <v>0</v>
      </c>
      <c r="W1491" s="579">
        <f t="shared" si="212"/>
        <v>0</v>
      </c>
      <c r="X1491" s="579">
        <f>IFERROR(W1502*W1491/(SUM(W1488:W1501)),0)</f>
        <v>0</v>
      </c>
      <c r="Y1491" s="879">
        <f>SUMIFS(בקרה!$S:$S,בקרה!$D:$D,T1491,בקרה!$K:$K,S1491)</f>
        <v>0</v>
      </c>
      <c r="Z1491" s="121"/>
      <c r="AA1491" s="143"/>
      <c r="AB1491" s="143"/>
      <c r="AC1491" s="504">
        <v>0</v>
      </c>
      <c r="AD1491" s="505">
        <f t="shared" si="213"/>
        <v>0</v>
      </c>
      <c r="AE1491" s="143"/>
      <c r="AG1491" s="55"/>
      <c r="AH1491" s="55"/>
      <c r="AI1491" s="40"/>
      <c r="AJ1491" s="55"/>
      <c r="AK1491" s="55"/>
      <c r="BO1491" s="86"/>
    </row>
    <row r="1492" spans="1:67" s="55" customFormat="1" ht="15.75" customHeight="1" x14ac:dyDescent="0.25">
      <c r="A1492" s="520">
        <f>IFERROR(VLOOKUP($G$5,'רשימת רשויות'!A:C,3,0),0)</f>
        <v>0</v>
      </c>
      <c r="B1492" s="520">
        <f t="shared" si="211"/>
        <v>0</v>
      </c>
      <c r="C1492" s="39"/>
      <c r="D1492" s="1134"/>
      <c r="E1492" s="1137"/>
      <c r="F1492" s="589" t="s">
        <v>93</v>
      </c>
      <c r="G1492" s="130">
        <f>IF(G1479="תקין",SUMIFS('דוח הוצאות בפועל (4)'!$E$17:$E$3016,'דוח הוצאות בפועל (4)'!$B$17:$B$3016,'בית ספר - תקצוב לפי מוסד (9)'!$G1474,'דוח הוצאות בפועל (4)'!$M$17:$M$3016,"אר"),0)-Y1492</f>
        <v>0</v>
      </c>
      <c r="H1492" s="118">
        <f>$I1482</f>
        <v>0</v>
      </c>
      <c r="I1492" s="131">
        <f>IFERROR((G1492+G1493)/H1492,0)</f>
        <v>0</v>
      </c>
      <c r="J1492" s="100">
        <f>MIN((IF(ISNUMBER(G1492),G1492,0)+IF(ISNUMBER(G1493),G1493,0)),H1492)</f>
        <v>0</v>
      </c>
      <c r="K1492" s="1139">
        <f>MAX((H1492)-(G1492+G1493),0)</f>
        <v>0</v>
      </c>
      <c r="L1492" s="407"/>
      <c r="M1492" s="393"/>
      <c r="N1492" s="393"/>
      <c r="O1492" s="602"/>
      <c r="P1492" s="1141"/>
      <c r="Q1492" s="1142"/>
      <c r="R1492" s="596"/>
      <c r="S1492" s="610" t="s">
        <v>93</v>
      </c>
      <c r="T1492" s="599">
        <f>G1474</f>
        <v>0</v>
      </c>
      <c r="U1492" s="578"/>
      <c r="V1492" s="579">
        <f t="shared" ref="V1492:V1493" si="214">G1492</f>
        <v>0</v>
      </c>
      <c r="W1492" s="579">
        <f t="shared" si="212"/>
        <v>0</v>
      </c>
      <c r="X1492" s="579">
        <f>IFERROR(W1502*W1492/(SUM(W1488:W1501)),0)</f>
        <v>0</v>
      </c>
      <c r="Y1492" s="879">
        <f>SUMIFS(בקרה!$S:$S,בקרה!$D:$D,T1492,בקרה!$K:$K,S1492)</f>
        <v>0</v>
      </c>
      <c r="Z1492" s="121"/>
      <c r="AA1492" s="143"/>
      <c r="AB1492" s="143"/>
      <c r="AC1492" s="504">
        <v>0</v>
      </c>
      <c r="AD1492" s="505">
        <f t="shared" si="213"/>
        <v>0</v>
      </c>
      <c r="AE1492" s="143"/>
      <c r="AJ1492" s="22"/>
      <c r="AO1492" s="22"/>
      <c r="AP1492" s="22"/>
      <c r="AQ1492" s="22"/>
      <c r="AR1492" s="22"/>
      <c r="AS1492" s="22"/>
      <c r="AT1492" s="22"/>
      <c r="AU1492" s="35"/>
      <c r="AV1492" s="35"/>
      <c r="AW1492" s="35"/>
      <c r="AX1492" s="35"/>
      <c r="AY1492" s="35"/>
      <c r="AZ1492" s="35"/>
      <c r="BA1492" s="35"/>
      <c r="BB1492" s="35"/>
      <c r="BC1492" s="35"/>
      <c r="BD1492" s="35"/>
      <c r="BE1492" s="35"/>
      <c r="BF1492" s="35"/>
      <c r="BG1492" s="35"/>
      <c r="BH1492" s="35"/>
      <c r="BI1492" s="35"/>
      <c r="BJ1492" s="35"/>
      <c r="BK1492" s="35"/>
      <c r="BL1492" s="35"/>
      <c r="BM1492" s="35"/>
      <c r="BN1492" s="35"/>
      <c r="BO1492" s="86"/>
    </row>
    <row r="1493" spans="1:67" s="55" customFormat="1" ht="15.75" customHeight="1" x14ac:dyDescent="0.25">
      <c r="A1493" s="520">
        <f>IFERROR(VLOOKUP($G$5,'רשימת רשויות'!A:C,3,0),0)</f>
        <v>0</v>
      </c>
      <c r="B1493" s="520">
        <f t="shared" si="211"/>
        <v>0</v>
      </c>
      <c r="C1493" s="39"/>
      <c r="D1493" s="1134"/>
      <c r="E1493" s="1137"/>
      <c r="F1493" s="589" t="s">
        <v>46</v>
      </c>
      <c r="G1493" s="130">
        <f>IF(G1479="תקין",SUMIFS('דוח הוצאות בפועל (4)'!$E$17:$E$3016,'דוח הוצאות בפועל (4)'!$B$17:$B$3016,'בית ספר - תקצוב לפי מוסד (9)'!$G1474,'דוח הוצאות בפועל (4)'!$M$17:$M$3016,"מל"),0)-Y1493</f>
        <v>0</v>
      </c>
      <c r="H1493" s="132"/>
      <c r="I1493" s="133"/>
      <c r="J1493" s="104"/>
      <c r="K1493" s="1139"/>
      <c r="L1493" s="407"/>
      <c r="M1493" s="393"/>
      <c r="N1493" s="393"/>
      <c r="O1493" s="602"/>
      <c r="P1493" s="1141"/>
      <c r="Q1493" s="1142"/>
      <c r="R1493" s="596"/>
      <c r="S1493" s="610" t="s">
        <v>46</v>
      </c>
      <c r="T1493" s="599">
        <f>G1474</f>
        <v>0</v>
      </c>
      <c r="U1493" s="578"/>
      <c r="V1493" s="579">
        <f t="shared" si="214"/>
        <v>0</v>
      </c>
      <c r="W1493" s="579">
        <f t="shared" si="212"/>
        <v>0</v>
      </c>
      <c r="X1493" s="579">
        <f>IFERROR(W1502*W1493/(SUM(W1488:W1501)),0)</f>
        <v>0</v>
      </c>
      <c r="Y1493" s="879">
        <f>SUMIFS(בקרה!$S:$S,בקרה!$D:$D,T1493,בקרה!$K:$K,S1493)</f>
        <v>0</v>
      </c>
      <c r="Z1493" s="121"/>
      <c r="AA1493" s="143"/>
      <c r="AB1493" s="143"/>
      <c r="AC1493" s="504">
        <v>0</v>
      </c>
      <c r="AD1493" s="505">
        <f t="shared" si="213"/>
        <v>0</v>
      </c>
      <c r="AE1493" s="143"/>
      <c r="AJ1493" s="22"/>
      <c r="AO1493" s="22"/>
      <c r="AP1493" s="22"/>
      <c r="AQ1493" s="22"/>
      <c r="AR1493" s="22"/>
      <c r="AS1493" s="22"/>
      <c r="AT1493" s="22"/>
      <c r="AU1493" s="35"/>
      <c r="AV1493" s="35"/>
      <c r="AW1493" s="35"/>
      <c r="AX1493" s="35"/>
      <c r="AY1493" s="35"/>
      <c r="AZ1493" s="35"/>
      <c r="BA1493" s="35"/>
      <c r="BB1493" s="35"/>
      <c r="BC1493" s="35"/>
      <c r="BD1493" s="35"/>
      <c r="BE1493" s="35"/>
      <c r="BF1493" s="35"/>
      <c r="BG1493" s="35"/>
      <c r="BH1493" s="35"/>
      <c r="BI1493" s="35"/>
      <c r="BJ1493" s="35"/>
      <c r="BK1493" s="35"/>
      <c r="BL1493" s="35"/>
      <c r="BM1493" s="35"/>
      <c r="BN1493" s="35"/>
      <c r="BO1493" s="86"/>
    </row>
    <row r="1494" spans="1:67" s="55" customFormat="1" ht="15" customHeight="1" x14ac:dyDescent="0.25">
      <c r="A1494" s="520">
        <f>IFERROR(VLOOKUP($G$5,'רשימת רשויות'!A:C,3,0),0)</f>
        <v>0</v>
      </c>
      <c r="B1494" s="520">
        <f t="shared" si="211"/>
        <v>0</v>
      </c>
      <c r="C1494" s="39"/>
      <c r="D1494" s="1134"/>
      <c r="E1494" s="1137"/>
      <c r="F1494" s="591" t="s">
        <v>23</v>
      </c>
      <c r="G1494" s="134">
        <f>SUM(G1488:G1493)</f>
        <v>0</v>
      </c>
      <c r="H1494" s="135">
        <f>SUM(H1488:H1493)</f>
        <v>0</v>
      </c>
      <c r="I1494" s="128">
        <f>IFERROR(G1494/H1494,0)</f>
        <v>0</v>
      </c>
      <c r="J1494" s="136">
        <f>SUM(J1488:J1493)</f>
        <v>0</v>
      </c>
      <c r="K1494" s="137">
        <f>SUM(K1488:K1493)</f>
        <v>0</v>
      </c>
      <c r="L1494" s="408"/>
      <c r="M1494" s="394"/>
      <c r="N1494" s="394"/>
      <c r="O1494" s="602"/>
      <c r="P1494" s="620">
        <f>SUM(P1488:P1493)</f>
        <v>0</v>
      </c>
      <c r="Q1494" s="620">
        <f>SUM(Q1488:Q1493)</f>
        <v>0</v>
      </c>
      <c r="R1494" s="596"/>
      <c r="S1494" s="610"/>
      <c r="T1494" s="599">
        <f>G1474</f>
        <v>0</v>
      </c>
      <c r="U1494" s="578"/>
      <c r="V1494" s="579"/>
      <c r="W1494" s="579">
        <f t="shared" si="212"/>
        <v>0</v>
      </c>
      <c r="X1494" s="579"/>
      <c r="Y1494" s="879"/>
      <c r="Z1494" s="121"/>
      <c r="AA1494" s="143"/>
      <c r="AB1494" s="143"/>
      <c r="AC1494" s="504"/>
      <c r="AD1494" s="505">
        <f t="shared" si="213"/>
        <v>0</v>
      </c>
      <c r="AE1494" s="143"/>
      <c r="AJ1494" s="22"/>
      <c r="AL1494" s="22"/>
      <c r="AM1494" s="22"/>
      <c r="AN1494" s="22"/>
      <c r="AO1494" s="22"/>
      <c r="AP1494" s="22"/>
      <c r="AQ1494" s="22"/>
      <c r="AR1494" s="22"/>
      <c r="AS1494" s="22"/>
      <c r="AT1494" s="22"/>
      <c r="AU1494" s="35"/>
      <c r="AV1494" s="35"/>
      <c r="AW1494" s="35"/>
      <c r="AX1494" s="35"/>
      <c r="AY1494" s="35"/>
      <c r="AZ1494" s="35"/>
      <c r="BA1494" s="35"/>
      <c r="BB1494" s="35"/>
      <c r="BC1494" s="35"/>
      <c r="BD1494" s="35"/>
      <c r="BE1494" s="35"/>
      <c r="BF1494" s="35"/>
      <c r="BG1494" s="35"/>
      <c r="BH1494" s="35"/>
      <c r="BI1494" s="35"/>
      <c r="BJ1494" s="35"/>
      <c r="BK1494" s="35"/>
      <c r="BL1494" s="35"/>
      <c r="BM1494" s="35"/>
      <c r="BN1494" s="35"/>
      <c r="BO1494" s="86"/>
    </row>
    <row r="1495" spans="1:67" s="55" customFormat="1" ht="15" customHeight="1" x14ac:dyDescent="0.25">
      <c r="A1495" s="520">
        <f>IFERROR(VLOOKUP($G$5,'רשימת רשויות'!A:C,3,0),0)</f>
        <v>0</v>
      </c>
      <c r="B1495" s="520">
        <f t="shared" si="211"/>
        <v>0</v>
      </c>
      <c r="C1495" s="39"/>
      <c r="D1495" s="1134"/>
      <c r="E1495" s="1137"/>
      <c r="F1495" s="589" t="s">
        <v>3</v>
      </c>
      <c r="G1495" s="117">
        <f>IF(G1479="תקין",SUMIFS('דוח הוצאות בפועל (4)'!$E$17:$E$3016,'דוח הוצאות בפועל (4)'!$B$17:$B$3016,'בית ספר - תקצוב לפי מוסד (9)'!$G1474,'דוח הוצאות בפועל (4)'!$M$17:$M$3016,"ני")+SUMIFS('דוח הוצאות בפועל (4)'!$E$17:$E$3016,'דוח הוצאות בפועל (4)'!$B$17:$B$3016,'בית ספר - תקצוב לפי מוסד (9)'!$G1474,'דוח הוצאות בפועל (4)'!$M$17:$M$3016,"על"),0)-Y1495</f>
        <v>0</v>
      </c>
      <c r="H1495" s="117">
        <f>H1476</f>
        <v>0</v>
      </c>
      <c r="I1495" s="138">
        <f>IFERROR(G1495/H1495,0)</f>
        <v>0</v>
      </c>
      <c r="J1495" s="117">
        <f>IFERROR(IF(G1495/H1497&gt;0.15,MIN(H1497*0.15,H1495),MIN(H1495,IF(ISNUMBER(G1495),G1495,0))),0)</f>
        <v>0</v>
      </c>
      <c r="K1495" s="120">
        <f>MAX(H1495-G1495,0)</f>
        <v>0</v>
      </c>
      <c r="L1495" s="407"/>
      <c r="M1495" s="393"/>
      <c r="N1495" s="393"/>
      <c r="O1495" s="602"/>
      <c r="P1495" s="620">
        <f>IF(I1495&lt;100%,MIN(H1495-G1495,H1495*0.25),0)</f>
        <v>0</v>
      </c>
      <c r="Q1495" s="620">
        <f>MAX(MIN(IF(G1495-H1495&gt;0,G1495-H1495,0),$H1497*0.15-H1495-J1496),0)</f>
        <v>0</v>
      </c>
      <c r="R1495" s="596"/>
      <c r="S1495" s="610" t="s">
        <v>3</v>
      </c>
      <c r="T1495" s="599">
        <f>G1474</f>
        <v>0</v>
      </c>
      <c r="U1495" s="578"/>
      <c r="V1495" s="579">
        <f t="shared" ref="V1495" si="215">G1495</f>
        <v>0</v>
      </c>
      <c r="W1495" s="579">
        <f t="shared" si="212"/>
        <v>0</v>
      </c>
      <c r="X1495" s="579"/>
      <c r="Y1495" s="879"/>
      <c r="Z1495" s="121"/>
      <c r="AA1495" s="143"/>
      <c r="AB1495" s="143"/>
      <c r="AC1495" s="504">
        <v>0</v>
      </c>
      <c r="AD1495" s="505">
        <f t="shared" si="213"/>
        <v>0</v>
      </c>
      <c r="AE1495" s="143"/>
      <c r="AG1495" s="22"/>
      <c r="AH1495" s="22"/>
      <c r="AI1495" s="22"/>
      <c r="AJ1495" s="22"/>
      <c r="AK1495" s="22"/>
      <c r="AL1495" s="22"/>
      <c r="AM1495" s="22"/>
      <c r="AN1495" s="22"/>
      <c r="AO1495" s="22"/>
      <c r="AP1495" s="22"/>
      <c r="AQ1495" s="22"/>
      <c r="AR1495" s="22"/>
      <c r="AS1495" s="22"/>
      <c r="AT1495" s="22"/>
      <c r="AU1495" s="35"/>
      <c r="AV1495" s="35"/>
      <c r="AW1495" s="35"/>
      <c r="AX1495" s="35"/>
      <c r="AY1495" s="35"/>
      <c r="AZ1495" s="35"/>
      <c r="BA1495" s="35"/>
      <c r="BB1495" s="35"/>
      <c r="BC1495" s="35"/>
      <c r="BD1495" s="35"/>
      <c r="BE1495" s="35"/>
      <c r="BF1495" s="35"/>
      <c r="BG1495" s="35"/>
      <c r="BH1495" s="35"/>
      <c r="BI1495" s="35"/>
      <c r="BJ1495" s="35"/>
      <c r="BK1495" s="35"/>
      <c r="BL1495" s="35"/>
      <c r="BM1495" s="35"/>
      <c r="BN1495" s="35"/>
      <c r="BO1495" s="86"/>
    </row>
    <row r="1496" spans="1:67" s="55" customFormat="1" ht="15.75" customHeight="1" x14ac:dyDescent="0.25">
      <c r="A1496" s="520">
        <f>IFERROR(VLOOKUP($G$5,'רשימת רשויות'!A:C,3,0),0)</f>
        <v>0</v>
      </c>
      <c r="B1496" s="520">
        <f t="shared" si="211"/>
        <v>0</v>
      </c>
      <c r="C1496" s="39"/>
      <c r="D1496" s="1134"/>
      <c r="E1496" s="1137"/>
      <c r="F1496" s="589" t="s">
        <v>2918</v>
      </c>
      <c r="G1496" s="117">
        <f>0.07*(G1490+G1489)</f>
        <v>0</v>
      </c>
      <c r="H1496" s="117">
        <f>H1478</f>
        <v>0</v>
      </c>
      <c r="I1496" s="138">
        <f>IFERROR(G1496/H1496,0)</f>
        <v>0</v>
      </c>
      <c r="J1496" s="117">
        <f>IFERROR(MIN(0.07*(G1489+G1490),0.07*I1478),0)</f>
        <v>0</v>
      </c>
      <c r="K1496" s="120">
        <f>MAX(H1496-G1496,0)</f>
        <v>0</v>
      </c>
      <c r="L1496" s="407"/>
      <c r="M1496" s="393"/>
      <c r="N1496" s="393"/>
      <c r="O1496" s="602"/>
      <c r="P1496" s="620"/>
      <c r="Q1496" s="619"/>
      <c r="R1496" s="596"/>
      <c r="S1496" s="611"/>
      <c r="T1496" s="599">
        <f>G1474</f>
        <v>0</v>
      </c>
      <c r="U1496" s="578"/>
      <c r="V1496" s="579"/>
      <c r="W1496" s="579">
        <f t="shared" si="212"/>
        <v>0</v>
      </c>
      <c r="X1496" s="579"/>
      <c r="Y1496" s="879"/>
      <c r="Z1496" s="121"/>
      <c r="AA1496" s="143"/>
      <c r="AB1496" s="143"/>
      <c r="AC1496" s="504"/>
      <c r="AD1496" s="505"/>
      <c r="AE1496" s="143"/>
      <c r="AF1496" s="140"/>
      <c r="AG1496" s="22"/>
      <c r="AH1496" s="22"/>
      <c r="AI1496" s="22"/>
      <c r="AJ1496" s="22"/>
      <c r="AK1496" s="22"/>
      <c r="AL1496" s="22"/>
      <c r="AM1496" s="22"/>
      <c r="AN1496" s="22"/>
      <c r="AO1496" s="22"/>
      <c r="AP1496" s="22"/>
      <c r="AQ1496" s="22"/>
      <c r="AR1496" s="22"/>
      <c r="AS1496" s="22"/>
      <c r="AT1496" s="22"/>
      <c r="AU1496" s="35"/>
      <c r="AV1496" s="35"/>
      <c r="AW1496" s="35"/>
      <c r="AX1496" s="35"/>
      <c r="AY1496" s="35"/>
      <c r="AZ1496" s="35"/>
      <c r="BA1496" s="35"/>
      <c r="BB1496" s="35"/>
      <c r="BC1496" s="35"/>
      <c r="BD1496" s="35"/>
      <c r="BE1496" s="35"/>
      <c r="BF1496" s="35"/>
      <c r="BG1496" s="35"/>
      <c r="BH1496" s="35"/>
      <c r="BI1496" s="35"/>
      <c r="BJ1496" s="35"/>
      <c r="BK1496" s="35"/>
      <c r="BL1496" s="35"/>
      <c r="BM1496" s="35"/>
      <c r="BN1496" s="35"/>
      <c r="BO1496" s="86"/>
    </row>
    <row r="1497" spans="1:67" ht="15.75" customHeight="1" x14ac:dyDescent="0.25">
      <c r="A1497" s="520">
        <f>IFERROR(VLOOKUP($G$5,'רשימת רשויות'!A:C,3,0),0)</f>
        <v>0</v>
      </c>
      <c r="B1497" s="520">
        <f t="shared" si="211"/>
        <v>0</v>
      </c>
      <c r="D1497" s="1134"/>
      <c r="E1497" s="1137"/>
      <c r="F1497" s="591" t="s">
        <v>15</v>
      </c>
      <c r="G1497" s="134">
        <f>G1494+G1495+G1496</f>
        <v>0</v>
      </c>
      <c r="H1497" s="134">
        <f>H1494+H1495+H1496</f>
        <v>0</v>
      </c>
      <c r="I1497" s="138">
        <f>IFERROR(G1497/H1497,0)</f>
        <v>0</v>
      </c>
      <c r="J1497" s="139">
        <f>J1494+J1495+J1496</f>
        <v>0</v>
      </c>
      <c r="K1497" s="137">
        <f>K1495+K1494+K1496</f>
        <v>0</v>
      </c>
      <c r="L1497" s="408"/>
      <c r="M1497" s="394"/>
      <c r="N1497" s="394"/>
      <c r="O1497" s="602"/>
      <c r="P1497" s="621">
        <f>SUM(P1494:P1495)</f>
        <v>0</v>
      </c>
      <c r="Q1497" s="622">
        <f>Q1494+Q1495</f>
        <v>0</v>
      </c>
      <c r="R1497" s="596"/>
      <c r="S1497" s="611"/>
      <c r="T1497" s="599">
        <f>G1474</f>
        <v>0</v>
      </c>
      <c r="U1497" s="578"/>
      <c r="V1497" s="579"/>
      <c r="W1497" s="579">
        <f t="shared" si="212"/>
        <v>0</v>
      </c>
      <c r="X1497" s="579"/>
      <c r="Y1497" s="879"/>
      <c r="Z1497" s="106"/>
      <c r="AC1497" s="504"/>
      <c r="AD1497" s="505"/>
      <c r="AH1497" s="143"/>
      <c r="BO1497" s="86"/>
    </row>
    <row r="1498" spans="1:67" ht="15.75" customHeight="1" x14ac:dyDescent="0.25">
      <c r="A1498" s="520">
        <f>IFERROR(VLOOKUP($G$5,'רשימת רשויות'!A:C,3,0),0)</f>
        <v>0</v>
      </c>
      <c r="B1498" s="520">
        <f t="shared" si="211"/>
        <v>0</v>
      </c>
      <c r="D1498" s="1134"/>
      <c r="E1498" s="1137"/>
      <c r="F1498" s="589" t="s">
        <v>2261</v>
      </c>
      <c r="G1498" s="117">
        <f>IF(G1479="תקין",SUMIF('תשלומי הורים ומלגות להורים (5) '!$B$18:$B$517,$G1474,'תשלומי הורים ומלגות להורים (5) '!$C$18:$C$517),0)</f>
        <v>0</v>
      </c>
      <c r="H1498" s="117">
        <f>(G1477+G1478)*$G$7</f>
        <v>0</v>
      </c>
      <c r="I1498" s="141"/>
      <c r="J1498" s="141"/>
      <c r="K1498" s="142"/>
      <c r="L1498" s="395"/>
      <c r="M1498" s="395"/>
      <c r="N1498" s="395"/>
      <c r="O1498" s="602"/>
      <c r="P1498" s="623"/>
      <c r="Q1498" s="619"/>
      <c r="R1498" s="596"/>
      <c r="S1498" s="612"/>
      <c r="T1498" s="599">
        <f>G1474</f>
        <v>0</v>
      </c>
      <c r="U1498" s="578"/>
      <c r="V1498" s="579"/>
      <c r="W1498" s="579">
        <f t="shared" si="212"/>
        <v>0</v>
      </c>
      <c r="X1498" s="579"/>
      <c r="Y1498" s="879"/>
      <c r="Z1498" s="121"/>
      <c r="AA1498" s="143"/>
      <c r="AB1498" s="143"/>
      <c r="AC1498" s="504"/>
      <c r="AD1498" s="505"/>
      <c r="AE1498" s="143"/>
      <c r="AF1498" s="148"/>
      <c r="BO1498" s="86"/>
    </row>
    <row r="1499" spans="1:67" ht="15.75" customHeight="1" thickBot="1" x14ac:dyDescent="0.3">
      <c r="A1499" s="520">
        <f>IFERROR(VLOOKUP($G$5,'רשימת רשויות'!A:C,3,0),0)</f>
        <v>0</v>
      </c>
      <c r="B1499" s="520">
        <f t="shared" si="211"/>
        <v>0</v>
      </c>
      <c r="D1499" s="1134"/>
      <c r="E1499" s="1137"/>
      <c r="F1499" s="592" t="s">
        <v>21</v>
      </c>
      <c r="G1499" s="144">
        <f>G1497-G1498</f>
        <v>0</v>
      </c>
      <c r="H1499" s="144">
        <f>H1497-H1498</f>
        <v>0</v>
      </c>
      <c r="I1499" s="145"/>
      <c r="J1499" s="145"/>
      <c r="K1499" s="146"/>
      <c r="L1499" s="396"/>
      <c r="M1499" s="396"/>
      <c r="N1499" s="396"/>
      <c r="O1499" s="602"/>
      <c r="P1499" s="619"/>
      <c r="Q1499" s="619"/>
      <c r="R1499" s="596"/>
      <c r="S1499" s="612"/>
      <c r="T1499" s="599">
        <f>G1474</f>
        <v>0</v>
      </c>
      <c r="U1499" s="578"/>
      <c r="V1499" s="579"/>
      <c r="W1499" s="579">
        <f t="shared" si="212"/>
        <v>0</v>
      </c>
      <c r="X1499" s="579"/>
      <c r="Y1499" s="879"/>
      <c r="Z1499" s="147"/>
      <c r="AA1499" s="148"/>
      <c r="AB1499" s="148"/>
      <c r="AC1499" s="504"/>
      <c r="AD1499" s="505"/>
      <c r="AE1499" s="148"/>
      <c r="AF1499" s="148"/>
      <c r="BO1499" s="86"/>
    </row>
    <row r="1500" spans="1:67" ht="15.75" customHeight="1" thickBot="1" x14ac:dyDescent="0.3">
      <c r="A1500" s="520">
        <f>IFERROR(VLOOKUP($G$5,'רשימת רשויות'!A:C,3,0),0)</f>
        <v>0</v>
      </c>
      <c r="B1500" s="520">
        <f t="shared" si="211"/>
        <v>0</v>
      </c>
      <c r="D1500" s="1134"/>
      <c r="E1500" s="1137"/>
      <c r="F1500" s="580"/>
      <c r="G1500" s="580"/>
      <c r="H1500" s="147"/>
      <c r="I1500" s="149" t="s">
        <v>2197</v>
      </c>
      <c r="J1500" s="150">
        <f>MAX(MIN(P1497,Q1497),0)</f>
        <v>0</v>
      </c>
      <c r="K1500" s="580"/>
      <c r="L1500" s="580"/>
      <c r="M1500" s="580"/>
      <c r="N1500" s="580"/>
      <c r="O1500" s="580"/>
      <c r="P1500" s="615" t="s">
        <v>2317</v>
      </c>
      <c r="Q1500" s="624">
        <f>SUM(Q1501:Q1502)</f>
        <v>0</v>
      </c>
      <c r="R1500" s="596"/>
      <c r="S1500" s="612"/>
      <c r="T1500" s="599">
        <f>G1474</f>
        <v>0</v>
      </c>
      <c r="U1500" s="578"/>
      <c r="V1500" s="579"/>
      <c r="W1500" s="579">
        <f t="shared" si="212"/>
        <v>0</v>
      </c>
      <c r="X1500" s="579"/>
      <c r="Y1500" s="879"/>
      <c r="Z1500" s="106"/>
      <c r="AC1500" s="504"/>
      <c r="AD1500" s="505"/>
      <c r="AF1500" s="148"/>
      <c r="BO1500" s="86"/>
    </row>
    <row r="1501" spans="1:67" ht="16.5" thickBot="1" x14ac:dyDescent="0.3">
      <c r="A1501" s="520">
        <f>IFERROR(VLOOKUP($G$5,'רשימת רשויות'!A:C,3,0),0)</f>
        <v>0</v>
      </c>
      <c r="B1501" s="520">
        <f t="shared" si="211"/>
        <v>0</v>
      </c>
      <c r="D1501" s="1134"/>
      <c r="E1501" s="1137"/>
      <c r="F1501" s="580"/>
      <c r="G1501" s="580"/>
      <c r="H1501" s="580"/>
      <c r="I1501" s="84" t="s">
        <v>2193</v>
      </c>
      <c r="J1501" s="515" t="str">
        <f>IFERROR(1-H1498/H1497,"")</f>
        <v/>
      </c>
      <c r="K1501" s="580"/>
      <c r="L1501" s="580"/>
      <c r="M1501" s="580"/>
      <c r="N1501" s="580"/>
      <c r="O1501" s="580"/>
      <c r="P1501" s="615" t="s">
        <v>417</v>
      </c>
      <c r="Q1501" s="616">
        <f>IFERROR(MAX(H1499-I1502-Q1502,0),0)</f>
        <v>0</v>
      </c>
      <c r="R1501" s="596"/>
      <c r="S1501" s="600"/>
      <c r="T1501" s="599">
        <f>G1474</f>
        <v>0</v>
      </c>
      <c r="U1501" s="578"/>
      <c r="V1501" s="579"/>
      <c r="W1501" s="579">
        <f t="shared" si="212"/>
        <v>0</v>
      </c>
      <c r="X1501" s="579"/>
      <c r="Y1501" s="879"/>
      <c r="Z1501" s="106"/>
      <c r="AC1501" s="504"/>
      <c r="AD1501" s="505"/>
      <c r="BO1501" s="86"/>
    </row>
    <row r="1502" spans="1:67" ht="17.25" thickBot="1" x14ac:dyDescent="0.3">
      <c r="A1502" s="520">
        <f>IFERROR(VLOOKUP($G$5,'רשימת רשויות'!A:C,3,0),0)</f>
        <v>0</v>
      </c>
      <c r="B1502" s="520">
        <f t="shared" si="211"/>
        <v>0</v>
      </c>
      <c r="D1502" s="1134"/>
      <c r="E1502" s="1137"/>
      <c r="F1502" s="1143" t="s">
        <v>2679</v>
      </c>
      <c r="G1502" s="1143"/>
      <c r="H1502" s="1143"/>
      <c r="I1502" s="722">
        <f>IF(G1479="לא תקין","לא קיימת זכאות לתקציב לאור אי איוש משרות רכז ו/או סגן רכז ",IFERROR(J1501*(J1500+J1497),0))</f>
        <v>0</v>
      </c>
      <c r="J1502" s="573"/>
      <c r="K1502" s="574"/>
      <c r="L1502" s="396"/>
      <c r="M1502" s="574"/>
      <c r="N1502" s="574"/>
      <c r="O1502" s="574"/>
      <c r="P1502" s="615" t="s">
        <v>2279</v>
      </c>
      <c r="Q1502" s="616">
        <f>MAX(IF(AND(G1497&gt;H1497,I1502&lt;H1499),H1499-I1502,0),0)</f>
        <v>0</v>
      </c>
      <c r="R1502" s="575"/>
      <c r="S1502" s="576" t="s">
        <v>67</v>
      </c>
      <c r="T1502" s="577">
        <f>G1474</f>
        <v>0</v>
      </c>
      <c r="U1502" s="578"/>
      <c r="V1502" s="579">
        <f>I1502</f>
        <v>0</v>
      </c>
      <c r="W1502" s="579">
        <f>IFERROR(U1502-V1502,0)</f>
        <v>0</v>
      </c>
      <c r="X1502" s="579">
        <f>SUM(X1488:X1501)</f>
        <v>0</v>
      </c>
      <c r="Y1502" s="879"/>
      <c r="Z1502" s="106"/>
      <c r="AC1502" s="506">
        <v>0</v>
      </c>
      <c r="AD1502" s="507">
        <f>IFERROR(U1502-AC1502,0)</f>
        <v>0</v>
      </c>
      <c r="BO1502" s="86"/>
    </row>
    <row r="1503" spans="1:67" ht="16.5" thickBot="1" x14ac:dyDescent="0.3">
      <c r="A1503" s="520">
        <f>IFERROR(VLOOKUP($G$5,'רשימת רשויות'!A:C,3,0),0)</f>
        <v>0</v>
      </c>
      <c r="B1503" s="520">
        <f t="shared" si="211"/>
        <v>0</v>
      </c>
      <c r="D1503" s="1135"/>
      <c r="E1503" s="1138"/>
      <c r="F1503" s="1144" t="s">
        <v>2793</v>
      </c>
      <c r="G1503" s="1145"/>
      <c r="H1503" s="1145"/>
      <c r="I1503" s="593">
        <f>IFERROR(IF(G1479="תקין",SUMIFS('סייעות רפואיות או אישיות (7)'!$Q$17:Q$384,'סייעות רפואיות או אישיות (7)'!C$17:C$384,G1474),0),0)</f>
        <v>0</v>
      </c>
      <c r="J1503" s="151"/>
      <c r="K1503" s="152"/>
      <c r="L1503" s="409"/>
      <c r="M1503" s="152"/>
      <c r="N1503" s="152"/>
      <c r="O1503" s="152"/>
      <c r="P1503" s="613"/>
      <c r="Q1503" s="614"/>
      <c r="R1503" s="475"/>
      <c r="S1503" s="489"/>
      <c r="T1503" s="490"/>
      <c r="U1503" s="491"/>
      <c r="V1503" s="492"/>
      <c r="W1503" s="492"/>
      <c r="X1503" s="492"/>
      <c r="Y1503" s="880"/>
      <c r="Z1503" s="153"/>
      <c r="AC1503" s="581"/>
      <c r="AD1503" s="582"/>
      <c r="BO1503" s="86"/>
    </row>
    <row r="1504" spans="1:67" ht="34.5" thickBot="1" x14ac:dyDescent="0.55000000000000004">
      <c r="A1504" s="520">
        <f>IFERROR(VLOOKUP($G$5,'רשימת רשויות'!A:C,3,0),0)</f>
        <v>0</v>
      </c>
      <c r="B1504" s="520">
        <f t="shared" si="211"/>
        <v>0</v>
      </c>
      <c r="E1504" s="154"/>
      <c r="I1504" s="143"/>
      <c r="J1504" s="148"/>
      <c r="O1504" s="148"/>
      <c r="T1504" s="481"/>
      <c r="BO1504" s="86"/>
    </row>
    <row r="1505" spans="1:67" s="20" customFormat="1" ht="16.5" customHeight="1" thickBot="1" x14ac:dyDescent="0.3">
      <c r="A1505" s="520">
        <f>IFERROR(VLOOKUP($G$5,'רשימת רשויות'!A:C,3,0),0)</f>
        <v>0</v>
      </c>
      <c r="B1505" s="520">
        <f t="shared" si="211"/>
        <v>0</v>
      </c>
      <c r="C1505" s="39"/>
      <c r="D1505" s="1133">
        <f>D1474+1</f>
        <v>49</v>
      </c>
      <c r="E1505" s="1136" t="str">
        <f>IFERROR(CONCATENATE("בית הספר ",VLOOKUP(G1505,'מצבת והרשמה (2)'!$C$21:$D$520,2,0)," - ",$G$5),"")</f>
        <v>בית הספר המוסד לא קיים - 0</v>
      </c>
      <c r="F1505" s="720" t="s">
        <v>146</v>
      </c>
      <c r="G1505" s="721">
        <f>IFERROR(VLOOKUP(D:D,'דוח ביצוע (3)'!$A$21:$C$900,2,0),0)</f>
        <v>0</v>
      </c>
      <c r="H1505" s="79"/>
      <c r="I1505" s="80" t="s">
        <v>150</v>
      </c>
      <c r="J1505" s="80"/>
      <c r="K1505" s="81"/>
      <c r="L1505" s="392"/>
      <c r="M1505" s="392"/>
      <c r="N1505" s="392"/>
      <c r="O1505" s="82"/>
      <c r="P1505" s="470"/>
      <c r="Q1505" s="471"/>
      <c r="R1505" s="472"/>
      <c r="S1505" s="883"/>
      <c r="T1505" s="884"/>
      <c r="U1505" s="486"/>
      <c r="V1505" s="487"/>
      <c r="W1505" s="487"/>
      <c r="X1505" s="487"/>
      <c r="Y1505" s="885"/>
      <c r="Z1505" s="83"/>
      <c r="AC1505" s="502"/>
      <c r="AD1505" s="503"/>
      <c r="AO1505" s="22"/>
      <c r="AP1505" s="22"/>
      <c r="AQ1505" s="22"/>
      <c r="AR1505" s="22"/>
      <c r="AS1505" s="22"/>
      <c r="AT1505" s="22"/>
      <c r="AU1505" s="35"/>
      <c r="AV1505" s="35"/>
      <c r="AW1505" s="35"/>
      <c r="AX1505" s="35"/>
      <c r="AY1505" s="35"/>
      <c r="AZ1505" s="35"/>
      <c r="BA1505" s="35"/>
      <c r="BB1505" s="35"/>
      <c r="BC1505" s="35"/>
      <c r="BD1505" s="35"/>
      <c r="BE1505" s="35"/>
      <c r="BF1505" s="35"/>
      <c r="BG1505" s="35"/>
      <c r="BH1505" s="35"/>
      <c r="BI1505" s="35"/>
      <c r="BJ1505" s="35"/>
      <c r="BK1505" s="35"/>
      <c r="BL1505" s="35"/>
      <c r="BM1505" s="35"/>
      <c r="BN1505" s="35"/>
      <c r="BO1505" s="78"/>
    </row>
    <row r="1506" spans="1:67" s="20" customFormat="1" ht="16.5" thickBot="1" x14ac:dyDescent="0.3">
      <c r="A1506" s="520">
        <f>IFERROR(VLOOKUP($G$5,'רשימת רשויות'!A:C,3,0),0)</f>
        <v>0</v>
      </c>
      <c r="B1506" s="520">
        <f t="shared" si="211"/>
        <v>0</v>
      </c>
      <c r="C1506" s="39"/>
      <c r="D1506" s="1134"/>
      <c r="E1506" s="1137"/>
      <c r="F1506" s="583" t="s">
        <v>145</v>
      </c>
      <c r="G1506" s="516" t="str">
        <f>IFERROR(IF((G1508+G1509)=0,"",IF(VLOOKUP(G1505,'דוח ביצוע (3)'!$B$21:$K$900,5,0)&gt;149,"גדול",IF(AND(VLOOKUP(G1505,'דוח ביצוע (3)'!$B$21:$K$900,5,0)&gt;0,VLOOKUP(G1505,'דוח ביצוע (3)'!$B$21:$K$900,5,0)&lt;150),"קטן",0))),"")</f>
        <v/>
      </c>
      <c r="H1506" s="723" t="s">
        <v>88</v>
      </c>
      <c r="I1506" s="723" t="s">
        <v>13</v>
      </c>
      <c r="J1506" s="725" t="s">
        <v>14</v>
      </c>
      <c r="K1506" s="724" t="s">
        <v>94</v>
      </c>
      <c r="L1506" s="594"/>
      <c r="M1506" s="420" t="s">
        <v>2584</v>
      </c>
      <c r="N1506" s="397" t="s">
        <v>413</v>
      </c>
      <c r="O1506" s="398" t="s">
        <v>52</v>
      </c>
      <c r="P1506" s="595"/>
      <c r="Q1506" s="595"/>
      <c r="R1506" s="596"/>
      <c r="S1506" s="610"/>
      <c r="T1506" s="881"/>
      <c r="U1506" s="598"/>
      <c r="V1506" s="599"/>
      <c r="W1506" s="599"/>
      <c r="X1506" s="599"/>
      <c r="Y1506" s="879"/>
      <c r="Z1506" s="85"/>
      <c r="AC1506" s="493"/>
      <c r="AD1506" s="495"/>
      <c r="AO1506" s="22"/>
      <c r="AP1506" s="22"/>
      <c r="AQ1506" s="22"/>
      <c r="AR1506" s="22"/>
      <c r="AS1506" s="22"/>
      <c r="AT1506" s="22"/>
      <c r="AU1506" s="35"/>
      <c r="AV1506" s="35"/>
      <c r="AW1506" s="35"/>
      <c r="AX1506" s="35"/>
      <c r="AY1506" s="35"/>
      <c r="AZ1506" s="35"/>
      <c r="BA1506" s="35"/>
      <c r="BB1506" s="35"/>
      <c r="BC1506" s="35"/>
      <c r="BD1506" s="35"/>
      <c r="BE1506" s="35"/>
      <c r="BF1506" s="35"/>
      <c r="BG1506" s="35"/>
      <c r="BH1506" s="35"/>
      <c r="BI1506" s="35"/>
      <c r="BJ1506" s="35"/>
      <c r="BK1506" s="35"/>
      <c r="BL1506" s="35"/>
      <c r="BM1506" s="35"/>
      <c r="BN1506" s="35"/>
      <c r="BO1506" s="78"/>
    </row>
    <row r="1507" spans="1:67" s="20" customFormat="1" ht="15.75" customHeight="1" thickBot="1" x14ac:dyDescent="0.3">
      <c r="A1507" s="520">
        <f>IFERROR(VLOOKUP($G$5,'רשימת רשויות'!A:C,3,0),0)</f>
        <v>0</v>
      </c>
      <c r="B1507" s="520">
        <f t="shared" si="211"/>
        <v>0</v>
      </c>
      <c r="C1507" s="39"/>
      <c r="D1507" s="1134"/>
      <c r="E1507" s="1137"/>
      <c r="F1507" s="584" t="s">
        <v>144</v>
      </c>
      <c r="G1507" s="87">
        <f>IF(G1510="תקין",IFERROR(VLOOKUP($G1505,'דוח ביצוע (3)'!$B$21:$Q$900,12,0),0),0)</f>
        <v>0</v>
      </c>
      <c r="H1507" s="88">
        <f>IFERROR(G1508*$AH$6+G1509*$AH$7,0)</f>
        <v>0</v>
      </c>
      <c r="I1507" s="88">
        <f>IFERROR(G1508*$AI$6+G1509*$AI$7,0)</f>
        <v>0</v>
      </c>
      <c r="J1507" s="88">
        <f>IFERROR(G1508*$AJ$6+G1509*$AJ$7,0)</f>
        <v>0</v>
      </c>
      <c r="K1507" s="88">
        <f>IFERROR(G1508*$AK$6+G1509*$AK$7,0)</f>
        <v>0</v>
      </c>
      <c r="L1507" s="405"/>
      <c r="M1507" s="399" t="s">
        <v>427</v>
      </c>
      <c r="N1507" s="400" t="str">
        <f>IFERROR(VLOOKUP($G1505,'דוח ביצוע (3)'!$B:$AE,28,0),"")</f>
        <v/>
      </c>
      <c r="O1507" s="89" t="str">
        <f>IFERROR(VLOOKUP($G1505,'דוח ביצוע (3)'!B:AE,29,0),"")</f>
        <v/>
      </c>
      <c r="P1507" s="595"/>
      <c r="Q1507" s="595"/>
      <c r="R1507" s="596"/>
      <c r="S1507" s="610"/>
      <c r="T1507" s="881"/>
      <c r="U1507" s="598"/>
      <c r="V1507" s="599"/>
      <c r="W1507" s="599"/>
      <c r="X1507" s="599"/>
      <c r="Y1507" s="879"/>
      <c r="Z1507" s="85"/>
      <c r="AC1507" s="493"/>
      <c r="AD1507" s="495"/>
      <c r="AO1507" s="22"/>
      <c r="AP1507" s="22"/>
      <c r="AQ1507" s="22"/>
      <c r="AR1507" s="22"/>
      <c r="AS1507" s="22"/>
      <c r="AT1507" s="22"/>
      <c r="AU1507" s="35"/>
      <c r="AV1507" s="35"/>
      <c r="AW1507" s="35"/>
      <c r="AX1507" s="35"/>
      <c r="AY1507" s="35"/>
      <c r="AZ1507" s="35"/>
      <c r="BA1507" s="35"/>
      <c r="BB1507" s="35"/>
      <c r="BC1507" s="35"/>
      <c r="BD1507" s="35"/>
      <c r="BE1507" s="35"/>
      <c r="BF1507" s="35"/>
      <c r="BG1507" s="35"/>
      <c r="BH1507" s="35"/>
      <c r="BI1507" s="35"/>
      <c r="BJ1507" s="35"/>
      <c r="BK1507" s="35"/>
      <c r="BL1507" s="35"/>
      <c r="BM1507" s="35"/>
      <c r="BN1507" s="35"/>
      <c r="BO1507" s="78"/>
    </row>
    <row r="1508" spans="1:67" s="20" customFormat="1" ht="32.25" thickBot="1" x14ac:dyDescent="0.3">
      <c r="A1508" s="520">
        <f>IFERROR(VLOOKUP($G$5,'רשימת רשויות'!A:C,3,0),0)</f>
        <v>0</v>
      </c>
      <c r="B1508" s="520">
        <f t="shared" si="211"/>
        <v>0</v>
      </c>
      <c r="C1508" s="39"/>
      <c r="D1508" s="1134"/>
      <c r="E1508" s="1137"/>
      <c r="F1508" s="585" t="s">
        <v>2195</v>
      </c>
      <c r="G1508" s="89">
        <f>IF(G1510="תקין",MAX(N1510,0),0)</f>
        <v>0</v>
      </c>
      <c r="H1508" s="725" t="s">
        <v>151</v>
      </c>
      <c r="I1508" s="725" t="s">
        <v>91</v>
      </c>
      <c r="J1508" s="970" t="s">
        <v>3396</v>
      </c>
      <c r="K1508" s="601"/>
      <c r="L1508" s="601"/>
      <c r="M1508" s="983" t="s">
        <v>2585</v>
      </c>
      <c r="N1508" s="400" t="str">
        <f>IFERROR(G1507/15*N1507*1.25,"")</f>
        <v/>
      </c>
      <c r="O1508" s="89" t="str">
        <f>IFERROR(G1507/15*O1507*1.25,"")</f>
        <v/>
      </c>
      <c r="P1508" s="595"/>
      <c r="Q1508" s="595"/>
      <c r="R1508" s="596"/>
      <c r="S1508" s="610"/>
      <c r="T1508" s="881"/>
      <c r="U1508" s="598"/>
      <c r="V1508" s="599"/>
      <c r="W1508" s="599"/>
      <c r="X1508" s="599"/>
      <c r="Y1508" s="879"/>
      <c r="Z1508" s="85"/>
      <c r="AC1508" s="493"/>
      <c r="AD1508" s="495"/>
      <c r="AG1508" s="22"/>
      <c r="AH1508" s="55"/>
      <c r="AI1508" s="55"/>
      <c r="AJ1508" s="55"/>
      <c r="AK1508" s="55"/>
      <c r="AO1508" s="22"/>
      <c r="AP1508" s="22"/>
      <c r="AQ1508" s="22"/>
      <c r="AR1508" s="22"/>
      <c r="AS1508" s="22"/>
      <c r="AT1508" s="22"/>
      <c r="AU1508" s="35"/>
      <c r="AV1508" s="35"/>
      <c r="AW1508" s="35"/>
      <c r="AX1508" s="35"/>
      <c r="AY1508" s="35"/>
      <c r="AZ1508" s="35"/>
      <c r="BA1508" s="35"/>
      <c r="BB1508" s="35"/>
      <c r="BC1508" s="35"/>
      <c r="BD1508" s="35"/>
      <c r="BE1508" s="35"/>
      <c r="BF1508" s="35"/>
      <c r="BG1508" s="35"/>
      <c r="BH1508" s="35"/>
      <c r="BI1508" s="35"/>
      <c r="BJ1508" s="35"/>
      <c r="BK1508" s="35"/>
      <c r="BL1508" s="35"/>
      <c r="BM1508" s="35"/>
      <c r="BN1508" s="35"/>
      <c r="BO1508" s="86"/>
    </row>
    <row r="1509" spans="1:67" s="20" customFormat="1" ht="16.5" thickBot="1" x14ac:dyDescent="0.3">
      <c r="A1509" s="520">
        <f>IFERROR(VLOOKUP($G$5,'רשימת רשויות'!A:C,3,0),0)</f>
        <v>0</v>
      </c>
      <c r="B1509" s="520">
        <f t="shared" si="211"/>
        <v>0</v>
      </c>
      <c r="C1509" s="39"/>
      <c r="D1509" s="1134"/>
      <c r="E1509" s="1137"/>
      <c r="F1509" s="585" t="s">
        <v>2196</v>
      </c>
      <c r="G1509" s="89">
        <f>IF(G1510="תקין",MAX(O1510,0),0)</f>
        <v>0</v>
      </c>
      <c r="H1509" s="88">
        <f>(IFERROR(IF((G1508+G1509)=0,0,IF(G1506="קטן",G1507*$AH$10,G1507*$AH$11)),0))+(IFERROR(IF((G1508+G1509)=0,0,VLOOKUP(G1505,'דוח ביצוע (3)'!$B:$AH,33,0)),0))</f>
        <v>0</v>
      </c>
      <c r="I1509" s="88">
        <f>IFERROR(IF((G1508+G1509)=0,0,IF(G1506="קטן",G1507*$AI$10,G1507*$AI$11)),0)</f>
        <v>0</v>
      </c>
      <c r="J1509" s="88">
        <f>IFERROR(IF((G1508+G1509)=0,0,VLOOKUP(G1505,'דוח ביצוע (3)'!$B:$AH,32,0)),0)</f>
        <v>0</v>
      </c>
      <c r="K1509" s="90"/>
      <c r="L1509" s="90"/>
      <c r="M1509" s="399" t="s">
        <v>412</v>
      </c>
      <c r="N1509" s="400">
        <f>IFERROR(VLOOKUP($G1505,'דוח ביצוע (3)'!$B$21:$U$500,18,0),0)</f>
        <v>0</v>
      </c>
      <c r="O1509" s="401">
        <f>IFERROR(VLOOKUP($G1505,'דוח ביצוע (3)'!$B$21:$U$500,19,0),0)</f>
        <v>0</v>
      </c>
      <c r="P1509" s="595"/>
      <c r="Q1509" s="595"/>
      <c r="R1509" s="596"/>
      <c r="S1509" s="610"/>
      <c r="T1509" s="881"/>
      <c r="U1509" s="598"/>
      <c r="V1509" s="599"/>
      <c r="W1509" s="599"/>
      <c r="X1509" s="599"/>
      <c r="Y1509" s="879"/>
      <c r="Z1509" s="85"/>
      <c r="AC1509" s="493"/>
      <c r="AD1509" s="495"/>
      <c r="AG1509" s="22"/>
      <c r="AH1509" s="55"/>
      <c r="AI1509" s="55"/>
      <c r="AJ1509" s="55"/>
      <c r="AK1509" s="55"/>
      <c r="AO1509" s="22"/>
      <c r="AP1509" s="22"/>
      <c r="AQ1509" s="22"/>
      <c r="AR1509" s="22"/>
      <c r="AS1509" s="22"/>
      <c r="AT1509" s="22"/>
      <c r="AU1509" s="35"/>
      <c r="AV1509" s="35"/>
      <c r="AW1509" s="35"/>
      <c r="AX1509" s="35"/>
      <c r="AY1509" s="35"/>
      <c r="AZ1509" s="35"/>
      <c r="BA1509" s="35"/>
      <c r="BB1509" s="35"/>
      <c r="BC1509" s="35"/>
      <c r="BD1509" s="35"/>
      <c r="BE1509" s="35"/>
      <c r="BF1509" s="35"/>
      <c r="BG1509" s="35"/>
      <c r="BH1509" s="35"/>
      <c r="BI1509" s="35"/>
      <c r="BJ1509" s="35"/>
      <c r="BK1509" s="35"/>
      <c r="BL1509" s="35"/>
      <c r="BM1509" s="35"/>
      <c r="BN1509" s="35"/>
      <c r="BO1509" s="86"/>
    </row>
    <row r="1510" spans="1:67" s="20" customFormat="1" ht="16.5" thickBot="1" x14ac:dyDescent="0.3">
      <c r="A1510" s="520">
        <f>IFERROR(VLOOKUP($G$5,'רשימת רשויות'!A:C,3,0),0)</f>
        <v>0</v>
      </c>
      <c r="B1510" s="520">
        <f t="shared" si="211"/>
        <v>0</v>
      </c>
      <c r="C1510" s="39"/>
      <c r="D1510" s="1134"/>
      <c r="E1510" s="1137"/>
      <c r="F1510" s="586" t="s">
        <v>2355</v>
      </c>
      <c r="G1510" s="514">
        <f>IFERROR(IF(VLOOKUP('בית ספר - תקצוב לפי מוסד (9)'!G1505,' איוש משרות (8)'!$C:$K,9,0)="תקין","תקין","לא תקין"),0)</f>
        <v>0</v>
      </c>
      <c r="H1510" s="91"/>
      <c r="I1510" s="91"/>
      <c r="J1510" s="91"/>
      <c r="K1510" s="90"/>
      <c r="L1510" s="90"/>
      <c r="M1510" s="402" t="s">
        <v>2586</v>
      </c>
      <c r="N1510" s="403">
        <f>IFERROR(MIN(N1508,N1509),0)</f>
        <v>0</v>
      </c>
      <c r="O1510" s="404">
        <f>IFERROR(MIN(O1508,O1509),0)</f>
        <v>0</v>
      </c>
      <c r="P1510" s="595"/>
      <c r="Q1510" s="595"/>
      <c r="R1510" s="596"/>
      <c r="S1510" s="610"/>
      <c r="T1510" s="881"/>
      <c r="U1510" s="598"/>
      <c r="V1510" s="599"/>
      <c r="W1510" s="599"/>
      <c r="X1510" s="599"/>
      <c r="Y1510" s="879"/>
      <c r="Z1510" s="85"/>
      <c r="AC1510" s="493"/>
      <c r="AD1510" s="495"/>
      <c r="AG1510" s="94"/>
      <c r="AH1510" s="40"/>
      <c r="AI1510" s="40"/>
      <c r="AJ1510" s="40"/>
      <c r="AK1510" s="40"/>
      <c r="AO1510" s="22"/>
      <c r="AP1510" s="22"/>
      <c r="AQ1510" s="22"/>
      <c r="AR1510" s="22"/>
      <c r="AS1510" s="22"/>
      <c r="AT1510" s="22"/>
      <c r="AU1510" s="35"/>
      <c r="AV1510" s="35"/>
      <c r="AW1510" s="35"/>
      <c r="AX1510" s="35"/>
      <c r="AY1510" s="35"/>
      <c r="AZ1510" s="35"/>
      <c r="BA1510" s="35"/>
      <c r="BB1510" s="35"/>
      <c r="BC1510" s="35"/>
      <c r="BD1510" s="35"/>
      <c r="BE1510" s="35"/>
      <c r="BF1510" s="35"/>
      <c r="BG1510" s="35"/>
      <c r="BH1510" s="35"/>
      <c r="BI1510" s="35"/>
      <c r="BJ1510" s="35"/>
      <c r="BK1510" s="35"/>
      <c r="BL1510" s="35"/>
      <c r="BM1510" s="35"/>
      <c r="BN1510" s="35"/>
      <c r="BO1510" s="86"/>
    </row>
    <row r="1511" spans="1:67" s="55" customFormat="1" ht="37.15" customHeight="1" thickBot="1" x14ac:dyDescent="0.3">
      <c r="A1511" s="520">
        <f>IFERROR(VLOOKUP($G$5,'רשימת רשויות'!A:C,3,0),0)</f>
        <v>0</v>
      </c>
      <c r="B1511" s="520">
        <f t="shared" si="211"/>
        <v>0</v>
      </c>
      <c r="C1511" s="39"/>
      <c r="D1511" s="1134"/>
      <c r="E1511" s="1137"/>
      <c r="F1511" s="587" t="s">
        <v>142</v>
      </c>
      <c r="G1511" s="92"/>
      <c r="H1511" s="92"/>
      <c r="I1511" s="92"/>
      <c r="J1511" s="92"/>
      <c r="K1511" s="602"/>
      <c r="L1511" s="602"/>
      <c r="M1511" s="602"/>
      <c r="N1511" s="602"/>
      <c r="O1511" s="602"/>
      <c r="P1511" s="595"/>
      <c r="Q1511" s="595"/>
      <c r="R1511" s="596"/>
      <c r="S1511" s="610"/>
      <c r="T1511" s="881"/>
      <c r="U1511" s="598"/>
      <c r="V1511" s="599"/>
      <c r="W1511" s="599"/>
      <c r="X1511" s="599"/>
      <c r="Y1511" s="879"/>
      <c r="Z1511" s="93"/>
      <c r="AC1511" s="493"/>
      <c r="AD1511" s="495"/>
      <c r="AF1511" s="22"/>
      <c r="AG1511" s="98"/>
      <c r="AH1511" s="98"/>
      <c r="AI1511" s="40"/>
      <c r="AJ1511" s="40"/>
      <c r="AK1511" s="40"/>
      <c r="AO1511" s="22"/>
      <c r="AP1511" s="22"/>
      <c r="AQ1511" s="22"/>
      <c r="AR1511" s="22"/>
      <c r="AS1511" s="22"/>
      <c r="AT1511" s="22"/>
      <c r="AU1511" s="35"/>
      <c r="AV1511" s="35"/>
      <c r="AW1511" s="35"/>
      <c r="AX1511" s="35"/>
      <c r="AY1511" s="35"/>
      <c r="AZ1511" s="35"/>
      <c r="BA1511" s="35"/>
      <c r="BB1511" s="35"/>
      <c r="BC1511" s="35"/>
      <c r="BD1511" s="35"/>
      <c r="BE1511" s="35"/>
      <c r="BF1511" s="35"/>
      <c r="BG1511" s="35"/>
      <c r="BH1511" s="35"/>
      <c r="BI1511" s="35"/>
      <c r="BJ1511" s="35"/>
      <c r="BK1511" s="35"/>
      <c r="BL1511" s="35"/>
      <c r="BM1511" s="35"/>
      <c r="BN1511" s="35"/>
      <c r="BO1511" s="86"/>
    </row>
    <row r="1512" spans="1:67" s="40" customFormat="1" ht="31.5" x14ac:dyDescent="0.25">
      <c r="A1512" s="520">
        <f>IFERROR(VLOOKUP($G$5,'רשימת רשויות'!A:C,3,0),0)</f>
        <v>0</v>
      </c>
      <c r="B1512" s="520">
        <f t="shared" si="211"/>
        <v>0</v>
      </c>
      <c r="C1512" s="39"/>
      <c r="D1512" s="1134"/>
      <c r="E1512" s="1137"/>
      <c r="F1512" s="588" t="s">
        <v>94</v>
      </c>
      <c r="G1512" s="95" t="s">
        <v>18</v>
      </c>
      <c r="H1512" s="95" t="s">
        <v>19</v>
      </c>
      <c r="I1512" s="95" t="s">
        <v>138</v>
      </c>
      <c r="J1512" s="96" t="s">
        <v>139</v>
      </c>
      <c r="K1512" s="603"/>
      <c r="L1512" s="603"/>
      <c r="M1512" s="603"/>
      <c r="N1512" s="603"/>
      <c r="O1512" s="603"/>
      <c r="P1512" s="604"/>
      <c r="Q1512" s="604"/>
      <c r="R1512" s="596"/>
      <c r="S1512" s="610"/>
      <c r="T1512" s="881"/>
      <c r="U1512" s="598"/>
      <c r="V1512" s="599"/>
      <c r="W1512" s="599"/>
      <c r="X1512" s="599"/>
      <c r="Y1512" s="879"/>
      <c r="Z1512" s="97"/>
      <c r="AA1512" s="94"/>
      <c r="AB1512" s="94"/>
      <c r="AC1512" s="493"/>
      <c r="AD1512" s="495"/>
      <c r="AE1512" s="94"/>
      <c r="AG1512" s="98"/>
      <c r="AH1512" s="98"/>
      <c r="AO1512" s="22"/>
      <c r="AP1512" s="22"/>
      <c r="AQ1512" s="22"/>
      <c r="AR1512" s="22"/>
      <c r="AS1512" s="22"/>
      <c r="AT1512" s="22"/>
      <c r="AU1512" s="35"/>
      <c r="AV1512" s="35"/>
      <c r="AW1512" s="35"/>
      <c r="AX1512" s="35"/>
      <c r="AY1512" s="35"/>
      <c r="AZ1512" s="35"/>
      <c r="BA1512" s="35"/>
      <c r="BB1512" s="35"/>
      <c r="BC1512" s="35"/>
      <c r="BD1512" s="35"/>
      <c r="BE1512" s="35"/>
      <c r="BF1512" s="35"/>
      <c r="BG1512" s="35"/>
      <c r="BH1512" s="35"/>
      <c r="BI1512" s="35"/>
      <c r="BJ1512" s="35"/>
      <c r="BK1512" s="35"/>
      <c r="BL1512" s="35"/>
      <c r="BM1512" s="35"/>
      <c r="BN1512" s="35"/>
      <c r="BO1512" s="86"/>
    </row>
    <row r="1513" spans="1:67" s="40" customFormat="1" ht="15.75" customHeight="1" thickBot="1" x14ac:dyDescent="0.3">
      <c r="A1513" s="520">
        <f>IFERROR(VLOOKUP($G$5,'רשימת רשויות'!A:C,3,0),0)</f>
        <v>0</v>
      </c>
      <c r="B1513" s="520">
        <f t="shared" si="211"/>
        <v>0</v>
      </c>
      <c r="C1513" s="39"/>
      <c r="D1513" s="1134"/>
      <c r="E1513" s="1137"/>
      <c r="F1513" s="589" t="s">
        <v>2280</v>
      </c>
      <c r="G1513" s="99">
        <f>+G1524</f>
        <v>0</v>
      </c>
      <c r="H1513" s="100">
        <f>K1507</f>
        <v>0</v>
      </c>
      <c r="I1513" s="100">
        <f>H1513-I1515</f>
        <v>0</v>
      </c>
      <c r="J1513" s="101">
        <f>IFERROR(I1513/H1513,0)</f>
        <v>0</v>
      </c>
      <c r="K1513" s="603"/>
      <c r="L1513" s="603"/>
      <c r="M1513" s="603"/>
      <c r="N1513" s="603"/>
      <c r="O1513" s="603"/>
      <c r="P1513" s="605"/>
      <c r="Q1513" s="604"/>
      <c r="R1513" s="606" t="s">
        <v>157</v>
      </c>
      <c r="S1513" s="611"/>
      <c r="T1513" s="881"/>
      <c r="U1513" s="598"/>
      <c r="V1513" s="599"/>
      <c r="W1513" s="599"/>
      <c r="X1513" s="599"/>
      <c r="Y1513" s="879"/>
      <c r="Z1513" s="102"/>
      <c r="AA1513" s="122"/>
      <c r="AB1513" s="122"/>
      <c r="AC1513" s="493"/>
      <c r="AD1513" s="495"/>
      <c r="AE1513" s="122"/>
      <c r="AF1513" s="22"/>
      <c r="AG1513" s="98"/>
      <c r="AH1513" s="98"/>
      <c r="AI1513" s="20"/>
      <c r="AO1513" s="22"/>
      <c r="AP1513" s="22"/>
      <c r="AQ1513" s="22"/>
      <c r="AR1513" s="22"/>
      <c r="AS1513" s="22"/>
      <c r="AT1513" s="22"/>
      <c r="AU1513" s="35"/>
      <c r="AV1513" s="35"/>
      <c r="AW1513" s="35"/>
      <c r="AX1513" s="35"/>
      <c r="AY1513" s="35"/>
      <c r="AZ1513" s="35"/>
      <c r="BA1513" s="35"/>
      <c r="BB1513" s="35"/>
      <c r="BC1513" s="35"/>
      <c r="BD1513" s="35"/>
      <c r="BE1513" s="35"/>
      <c r="BF1513" s="35"/>
      <c r="BG1513" s="35"/>
      <c r="BH1513" s="35"/>
      <c r="BI1513" s="35"/>
      <c r="BJ1513" s="35"/>
      <c r="BK1513" s="35"/>
      <c r="BL1513" s="35"/>
      <c r="BM1513" s="35"/>
      <c r="BN1513" s="35"/>
      <c r="BO1513" s="86"/>
    </row>
    <row r="1514" spans="1:67" s="40" customFormat="1" ht="15.75" customHeight="1" thickBot="1" x14ac:dyDescent="0.3">
      <c r="A1514" s="520">
        <f>IFERROR(VLOOKUP($G$5,'רשימת רשויות'!A:C,3,0),0)</f>
        <v>0</v>
      </c>
      <c r="B1514" s="520">
        <f t="shared" si="211"/>
        <v>0</v>
      </c>
      <c r="C1514" s="39"/>
      <c r="D1514" s="1134"/>
      <c r="E1514" s="1137"/>
      <c r="F1514" s="589" t="s">
        <v>2281</v>
      </c>
      <c r="G1514" s="99">
        <f>+G1523</f>
        <v>0</v>
      </c>
      <c r="H1514" s="103"/>
      <c r="I1514" s="104"/>
      <c r="J1514" s="105"/>
      <c r="K1514" s="603"/>
      <c r="L1514" s="603"/>
      <c r="M1514" s="603"/>
      <c r="N1514" s="603"/>
      <c r="O1514" s="603"/>
      <c r="P1514" s="605"/>
      <c r="Q1514" s="604"/>
      <c r="R1514" s="473">
        <f>I1515-R1516</f>
        <v>0</v>
      </c>
      <c r="S1514" s="611"/>
      <c r="T1514" s="881"/>
      <c r="U1514" s="598"/>
      <c r="V1514" s="599"/>
      <c r="W1514" s="599"/>
      <c r="X1514" s="599"/>
      <c r="Y1514" s="879"/>
      <c r="Z1514" s="106"/>
      <c r="AA1514" s="22"/>
      <c r="AB1514" s="22"/>
      <c r="AC1514" s="493"/>
      <c r="AD1514" s="495"/>
      <c r="AE1514" s="22"/>
      <c r="AF1514" s="22"/>
      <c r="AG1514" s="98"/>
      <c r="AH1514" s="98"/>
      <c r="AI1514" s="20"/>
      <c r="AO1514" s="22"/>
      <c r="AP1514" s="22"/>
      <c r="AQ1514" s="22"/>
      <c r="AR1514" s="22"/>
      <c r="AS1514" s="22"/>
      <c r="AT1514" s="22"/>
      <c r="AU1514" s="35"/>
      <c r="AV1514" s="35"/>
      <c r="AW1514" s="35"/>
      <c r="AX1514" s="35"/>
      <c r="AY1514" s="35"/>
      <c r="AZ1514" s="35"/>
      <c r="BA1514" s="35"/>
      <c r="BB1514" s="35"/>
      <c r="BC1514" s="35"/>
      <c r="BD1514" s="35"/>
      <c r="BE1514" s="35"/>
      <c r="BF1514" s="35"/>
      <c r="BG1514" s="35"/>
      <c r="BH1514" s="35"/>
      <c r="BI1514" s="35"/>
      <c r="BJ1514" s="35"/>
      <c r="BK1514" s="35"/>
      <c r="BL1514" s="35"/>
      <c r="BM1514" s="35"/>
      <c r="BN1514" s="35"/>
      <c r="BO1514" s="86"/>
    </row>
    <row r="1515" spans="1:67" s="40" customFormat="1" ht="16.5" customHeight="1" thickBot="1" x14ac:dyDescent="0.3">
      <c r="A1515" s="520">
        <f>IFERROR(VLOOKUP($G$5,'רשימת רשויות'!A:C,3,0),0)</f>
        <v>0</v>
      </c>
      <c r="B1515" s="520">
        <f t="shared" si="211"/>
        <v>0</v>
      </c>
      <c r="C1515" s="39"/>
      <c r="D1515" s="1134"/>
      <c r="E1515" s="1137"/>
      <c r="F1515" s="589" t="s">
        <v>2282</v>
      </c>
      <c r="G1515" s="99">
        <f>G1519+G1520+G1521</f>
        <v>0</v>
      </c>
      <c r="H1515" s="104"/>
      <c r="I1515" s="107">
        <f>MAX(H1513-G1513-G1514,0)</f>
        <v>0</v>
      </c>
      <c r="J1515" s="108">
        <f>IFERROR(I1515/H1513,0)</f>
        <v>0</v>
      </c>
      <c r="K1515" s="603"/>
      <c r="L1515" s="603"/>
      <c r="M1515" s="603"/>
      <c r="N1515" s="603"/>
      <c r="O1515" s="603"/>
      <c r="P1515" s="604"/>
      <c r="Q1515" s="604"/>
      <c r="R1515" s="606" t="s">
        <v>158</v>
      </c>
      <c r="S1515" s="612"/>
      <c r="T1515" s="881"/>
      <c r="U1515" s="598"/>
      <c r="V1515" s="599"/>
      <c r="W1515" s="599"/>
      <c r="X1515" s="599"/>
      <c r="Y1515" s="879"/>
      <c r="Z1515" s="106"/>
      <c r="AA1515" s="22"/>
      <c r="AB1515" s="22"/>
      <c r="AC1515" s="493"/>
      <c r="AD1515" s="495"/>
      <c r="AE1515" s="22"/>
      <c r="AF1515" s="22"/>
      <c r="AG1515" s="22"/>
      <c r="AH1515" s="22"/>
      <c r="AI1515" s="55"/>
      <c r="AJ1515" s="22"/>
      <c r="AK1515" s="22"/>
      <c r="AO1515" s="22"/>
      <c r="AP1515" s="22"/>
      <c r="AQ1515" s="22"/>
      <c r="AR1515" s="22"/>
      <c r="AS1515" s="22"/>
      <c r="AT1515" s="22"/>
      <c r="AU1515" s="35"/>
      <c r="AV1515" s="35"/>
      <c r="AW1515" s="35"/>
      <c r="AX1515" s="35"/>
      <c r="AY1515" s="35"/>
      <c r="AZ1515" s="35"/>
      <c r="BA1515" s="35"/>
      <c r="BB1515" s="35"/>
      <c r="BC1515" s="35"/>
      <c r="BD1515" s="35"/>
      <c r="BE1515" s="35"/>
      <c r="BF1515" s="35"/>
      <c r="BG1515" s="35"/>
      <c r="BH1515" s="35"/>
      <c r="BI1515" s="35"/>
      <c r="BJ1515" s="35"/>
      <c r="BK1515" s="35"/>
      <c r="BL1515" s="35"/>
      <c r="BM1515" s="35"/>
      <c r="BN1515" s="35"/>
      <c r="BO1515" s="86"/>
    </row>
    <row r="1516" spans="1:67" s="40" customFormat="1" ht="15.75" customHeight="1" thickBot="1" x14ac:dyDescent="0.3">
      <c r="A1516" s="520">
        <f>IFERROR(VLOOKUP($G$5,'רשימת רשויות'!A:C,3,0),0)</f>
        <v>0</v>
      </c>
      <c r="B1516" s="520">
        <f t="shared" si="211"/>
        <v>0</v>
      </c>
      <c r="C1516" s="39"/>
      <c r="D1516" s="1134"/>
      <c r="E1516" s="1137"/>
      <c r="F1516" s="590" t="s">
        <v>2290</v>
      </c>
      <c r="G1516" s="109"/>
      <c r="H1516" s="110"/>
      <c r="I1516" s="111">
        <f>SUM(I1513:I1515)</f>
        <v>0</v>
      </c>
      <c r="J1516" s="112">
        <f>SUM(J1513:J1515)</f>
        <v>0</v>
      </c>
      <c r="K1516" s="603"/>
      <c r="L1516" s="603"/>
      <c r="M1516" s="603"/>
      <c r="N1516" s="603"/>
      <c r="O1516" s="603"/>
      <c r="P1516" s="604"/>
      <c r="Q1516" s="604"/>
      <c r="R1516" s="473">
        <f>MIN(MAX(G1520+G1521-I1509-J1509,0),I1515)</f>
        <v>0</v>
      </c>
      <c r="S1516" s="612"/>
      <c r="T1516" s="881"/>
      <c r="U1516" s="598"/>
      <c r="V1516" s="599"/>
      <c r="W1516" s="599"/>
      <c r="X1516" s="599"/>
      <c r="Y1516" s="879"/>
      <c r="Z1516" s="106"/>
      <c r="AA1516" s="22"/>
      <c r="AB1516" s="22"/>
      <c r="AC1516" s="493"/>
      <c r="AD1516" s="495"/>
      <c r="AE1516" s="22"/>
      <c r="AF1516" s="22"/>
      <c r="AG1516" s="22"/>
      <c r="AH1516" s="22"/>
      <c r="AJ1516" s="22"/>
      <c r="AK1516" s="22"/>
      <c r="AO1516" s="22"/>
      <c r="AP1516" s="22"/>
      <c r="AQ1516" s="22"/>
      <c r="AR1516" s="22"/>
      <c r="AS1516" s="22"/>
      <c r="AT1516" s="22"/>
      <c r="AU1516" s="35"/>
      <c r="AV1516" s="35"/>
      <c r="AW1516" s="35"/>
      <c r="AX1516" s="35"/>
      <c r="AY1516" s="35"/>
      <c r="AZ1516" s="35"/>
      <c r="BA1516" s="35"/>
      <c r="BB1516" s="35"/>
      <c r="BC1516" s="35"/>
      <c r="BD1516" s="35"/>
      <c r="BE1516" s="35"/>
      <c r="BF1516" s="35"/>
      <c r="BG1516" s="35"/>
      <c r="BH1516" s="35"/>
      <c r="BI1516" s="35"/>
      <c r="BJ1516" s="35"/>
      <c r="BK1516" s="35"/>
      <c r="BL1516" s="35"/>
      <c r="BM1516" s="35"/>
      <c r="BN1516" s="35"/>
      <c r="BO1516" s="86"/>
    </row>
    <row r="1517" spans="1:67" ht="16.5" thickBot="1" x14ac:dyDescent="0.3">
      <c r="A1517" s="520">
        <f>IFERROR(VLOOKUP($G$5,'רשימת רשויות'!A:C,3,0),0)</f>
        <v>0</v>
      </c>
      <c r="B1517" s="520">
        <f t="shared" si="211"/>
        <v>0</v>
      </c>
      <c r="D1517" s="1134"/>
      <c r="E1517" s="1137"/>
      <c r="F1517" s="587" t="s">
        <v>17</v>
      </c>
      <c r="G1517" s="113"/>
      <c r="H1517" s="92"/>
      <c r="I1517" s="114"/>
      <c r="J1517" s="115"/>
      <c r="K1517" s="116"/>
      <c r="L1517" s="406"/>
      <c r="M1517" s="116"/>
      <c r="N1517" s="116"/>
      <c r="O1517" s="116"/>
      <c r="P1517" s="474"/>
      <c r="Q1517" s="607"/>
      <c r="R1517" s="608"/>
      <c r="S1517" s="612"/>
      <c r="T1517" s="881"/>
      <c r="U1517" s="598"/>
      <c r="V1517" s="599"/>
      <c r="W1517" s="599"/>
      <c r="X1517" s="599"/>
      <c r="Y1517" s="879"/>
      <c r="Z1517" s="106"/>
      <c r="AI1517" s="40"/>
      <c r="BO1517" s="86"/>
    </row>
    <row r="1518" spans="1:67" ht="47.25" x14ac:dyDescent="0.25">
      <c r="A1518" s="520">
        <f>IFERROR(VLOOKUP($G$5,'רשימת רשויות'!A:C,3,0),0)</f>
        <v>0</v>
      </c>
      <c r="B1518" s="520">
        <f t="shared" si="211"/>
        <v>0</v>
      </c>
      <c r="D1518" s="1134"/>
      <c r="E1518" s="1137"/>
      <c r="F1518" s="588" t="s">
        <v>2</v>
      </c>
      <c r="G1518" s="95" t="s">
        <v>18</v>
      </c>
      <c r="H1518" s="95" t="s">
        <v>19</v>
      </c>
      <c r="I1518" s="95" t="s">
        <v>20</v>
      </c>
      <c r="J1518" s="95" t="s">
        <v>22</v>
      </c>
      <c r="K1518" s="96" t="s">
        <v>2314</v>
      </c>
      <c r="L1518" s="609"/>
      <c r="M1518" s="609"/>
      <c r="N1518" s="609"/>
      <c r="O1518" s="580"/>
      <c r="P1518" s="618" t="s">
        <v>2298</v>
      </c>
      <c r="Q1518" s="618" t="s">
        <v>2299</v>
      </c>
      <c r="R1518" s="596"/>
      <c r="S1518" s="890" t="s">
        <v>2519</v>
      </c>
      <c r="T1518" s="890" t="s">
        <v>97</v>
      </c>
      <c r="U1518" s="891" t="s">
        <v>2521</v>
      </c>
      <c r="V1518" s="892" t="s">
        <v>2520</v>
      </c>
      <c r="W1518" s="893" t="s">
        <v>2524</v>
      </c>
      <c r="X1518" s="892" t="s">
        <v>2522</v>
      </c>
      <c r="Y1518" s="894" t="s">
        <v>2523</v>
      </c>
      <c r="Z1518" s="106"/>
      <c r="AC1518" s="498" t="s">
        <v>2568</v>
      </c>
      <c r="AD1518" s="499" t="s">
        <v>2569</v>
      </c>
      <c r="AF1518" s="122"/>
      <c r="AI1518" s="40"/>
      <c r="BO1518" s="86"/>
    </row>
    <row r="1519" spans="1:67" ht="15" customHeight="1" thickBot="1" x14ac:dyDescent="0.3">
      <c r="A1519" s="520">
        <f>IFERROR(VLOOKUP($G$5,'רשימת רשויות'!A:C,3,0),0)</f>
        <v>0</v>
      </c>
      <c r="B1519" s="520">
        <f t="shared" si="211"/>
        <v>0</v>
      </c>
      <c r="D1519" s="1134"/>
      <c r="E1519" s="1137"/>
      <c r="F1519" s="589" t="s">
        <v>76</v>
      </c>
      <c r="G1519" s="117">
        <f>IF(G1510="תקין",SUMIF('עלויות כח אדם (6)'!$B$15:$B$3014,'בית ספר - תקצוב לפי מוסד (9)'!$G1505,'עלויות כח אדם (6)'!$M$15:$M$3014)-VLOOKUP('בית ספר - תקצוב לפי מוסד (9)'!G1505,' איוש משרות (8)'!$C:$H,5,0)-VLOOKUP('בית ספר - תקצוב לפי מוסד (9)'!G1505,' איוש משרות (8)'!$C:$H,6,0),0)-Y1519</f>
        <v>0</v>
      </c>
      <c r="H1519" s="118">
        <f>I1507+R1514</f>
        <v>0</v>
      </c>
      <c r="I1519" s="119">
        <f>IFERROR(SUM(G1519)/H1519,0)</f>
        <v>0</v>
      </c>
      <c r="J1519" s="100">
        <f>MIN(I1507+R1514,IF(ISNUMBER(G1519),G1519,0))</f>
        <v>0</v>
      </c>
      <c r="K1519" s="120">
        <f>MAX(H1519-G1519,0)</f>
        <v>0</v>
      </c>
      <c r="L1519" s="407"/>
      <c r="M1519" s="393"/>
      <c r="N1519" s="393"/>
      <c r="O1519" s="580"/>
      <c r="P1519" s="968">
        <f>IFERROR(IF(SUM(G1519)/(I1507)&lt;100%,MIN((I1507)-SUM(G1519),(I1507)*0.25),0),0)</f>
        <v>0</v>
      </c>
      <c r="Q1519" s="968">
        <f>IF(SUM(G1519)-(I1507+R1514)&gt;0,SUM(G1519)-(I1507+R1514),0)</f>
        <v>0</v>
      </c>
      <c r="R1519" s="596" t="s">
        <v>2351</v>
      </c>
      <c r="S1519" s="576" t="s">
        <v>2342</v>
      </c>
      <c r="T1519" s="599">
        <f>G1505</f>
        <v>0</v>
      </c>
      <c r="U1519" s="578"/>
      <c r="V1519" s="579">
        <f>G1519+G1520+G1521</f>
        <v>0</v>
      </c>
      <c r="W1519" s="579">
        <f>U1519-V1519</f>
        <v>0</v>
      </c>
      <c r="X1519" s="579">
        <f>IFERROR(W1533*W1519/(SUM(W1519:W1532)),0)</f>
        <v>0</v>
      </c>
      <c r="Y1519" s="879">
        <f>SUMIFS(בקרה!$S:$S,בקרה!$D:$D,T1519,בקרה!$K:$K,S1519)</f>
        <v>0</v>
      </c>
      <c r="Z1519" s="121"/>
      <c r="AA1519" s="143"/>
      <c r="AB1519" s="143"/>
      <c r="AC1519" s="504">
        <v>0</v>
      </c>
      <c r="AD1519" s="505">
        <f>IFERROR(U1519-AC1519,0)</f>
        <v>0</v>
      </c>
      <c r="AE1519" s="143"/>
      <c r="AI1519" s="20"/>
      <c r="BO1519" s="86"/>
    </row>
    <row r="1520" spans="1:67" ht="15" customHeight="1" thickBot="1" x14ac:dyDescent="0.3">
      <c r="A1520" s="520">
        <f>IFERROR(VLOOKUP($G$5,'רשימת רשויות'!A:C,3,0),0)</f>
        <v>0</v>
      </c>
      <c r="B1520" s="520">
        <f t="shared" si="211"/>
        <v>0</v>
      </c>
      <c r="D1520" s="1134"/>
      <c r="E1520" s="1137"/>
      <c r="F1520" s="589" t="s">
        <v>44</v>
      </c>
      <c r="G1520" s="123">
        <f>IF(G1510="תקין",IFERROR(VLOOKUP('בית ספר - תקצוב לפי מוסד (9)'!G1505,' איוש משרות (8)'!C:J,7,0),0),0)</f>
        <v>0</v>
      </c>
      <c r="H1520" s="124">
        <f>I1509+R1516+J1509</f>
        <v>0</v>
      </c>
      <c r="I1520" s="119">
        <f>IFERROR(SUM(G1520:G1521)/H1520,0)</f>
        <v>0</v>
      </c>
      <c r="J1520" s="100">
        <f>MIN(R1516+I1509,IF(ISNUMBER(SUM(G1520:G1521)),SUM(G1520:G1521),0))</f>
        <v>0</v>
      </c>
      <c r="K1520" s="1139">
        <f>MAX((H1520)-(G1520+G1521),0)</f>
        <v>0</v>
      </c>
      <c r="L1520" s="407"/>
      <c r="M1520" s="393"/>
      <c r="N1520" s="393"/>
      <c r="O1520" s="580"/>
      <c r="P1520" s="1140"/>
      <c r="Q1520" s="1140"/>
      <c r="R1520" s="617">
        <f>MAX(MIN(P1528-Q1528,H1528*0.15-G1526),0)</f>
        <v>0</v>
      </c>
      <c r="S1520" s="576"/>
      <c r="T1520" s="599">
        <f>G1505</f>
        <v>0</v>
      </c>
      <c r="U1520" s="578"/>
      <c r="V1520" s="579"/>
      <c r="W1520" s="579">
        <f t="shared" ref="W1520:W1532" si="216">U1520-V1520</f>
        <v>0</v>
      </c>
      <c r="X1520" s="579"/>
      <c r="Y1520" s="879"/>
      <c r="Z1520" s="121"/>
      <c r="AA1520" s="143"/>
      <c r="AB1520" s="143"/>
      <c r="AC1520" s="504"/>
      <c r="AD1520" s="505">
        <f t="shared" ref="AD1520:AD1526" si="217">IFERROR(U1520-AC1520,0)</f>
        <v>0</v>
      </c>
      <c r="AE1520" s="143"/>
      <c r="AI1520" s="20"/>
      <c r="BO1520" s="86"/>
    </row>
    <row r="1521" spans="1:67" ht="15.75" customHeight="1" x14ac:dyDescent="0.25">
      <c r="A1521" s="520">
        <f>IFERROR(VLOOKUP($G$5,'רשימת רשויות'!A:C,3,0),0)</f>
        <v>0</v>
      </c>
      <c r="B1521" s="520">
        <f t="shared" si="211"/>
        <v>0</v>
      </c>
      <c r="D1521" s="1134"/>
      <c r="E1521" s="1137"/>
      <c r="F1521" s="589" t="s">
        <v>45</v>
      </c>
      <c r="G1521" s="123">
        <f>IF(G1510="תקין",IFERROR(VLOOKUP('בית ספר - תקצוב לפי מוסד (9)'!G1505,' איוש משרות (8)'!C:J,8,0),0),0)</f>
        <v>0</v>
      </c>
      <c r="H1521" s="125"/>
      <c r="I1521" s="126"/>
      <c r="J1521" s="104"/>
      <c r="K1521" s="1139"/>
      <c r="L1521" s="407"/>
      <c r="M1521" s="393"/>
      <c r="N1521" s="393"/>
      <c r="O1521" s="580"/>
      <c r="P1521" s="1140"/>
      <c r="Q1521" s="1140"/>
      <c r="R1521" s="596"/>
      <c r="S1521" s="576"/>
      <c r="T1521" s="599">
        <f>G1505</f>
        <v>0</v>
      </c>
      <c r="U1521" s="578"/>
      <c r="V1521" s="579"/>
      <c r="W1521" s="579">
        <f t="shared" si="216"/>
        <v>0</v>
      </c>
      <c r="X1521" s="579"/>
      <c r="Y1521" s="879"/>
      <c r="Z1521" s="121"/>
      <c r="AA1521" s="143"/>
      <c r="AB1521" s="143"/>
      <c r="AC1521" s="504"/>
      <c r="AD1521" s="505">
        <f t="shared" si="217"/>
        <v>0</v>
      </c>
      <c r="AE1521" s="143"/>
      <c r="AG1521" s="55"/>
      <c r="AH1521" s="55"/>
      <c r="AI1521" s="55"/>
      <c r="AJ1521" s="55"/>
      <c r="AK1521" s="55"/>
      <c r="BO1521" s="86"/>
    </row>
    <row r="1522" spans="1:67" ht="15.75" customHeight="1" x14ac:dyDescent="0.25">
      <c r="A1522" s="520">
        <f>IFERROR(VLOOKUP($G$5,'רשימת רשויות'!A:C,3,0),0)</f>
        <v>0</v>
      </c>
      <c r="B1522" s="520">
        <f t="shared" si="211"/>
        <v>0</v>
      </c>
      <c r="D1522" s="1134"/>
      <c r="E1522" s="1137"/>
      <c r="F1522" s="589" t="s">
        <v>0</v>
      </c>
      <c r="G1522" s="117">
        <f>IF(G1510="תקין",SUMIFS('דוח הוצאות בפועל (4)'!$E$17:$E$3016,'דוח הוצאות בפועל (4)'!$B$17:$B$3016,'בית ספר - תקצוב לפי מוסד (9)'!$G1505,'דוח הוצאות בפועל (4)'!$M$17:$M$3016,"הע"),0)-Y1522</f>
        <v>0</v>
      </c>
      <c r="H1522" s="127">
        <f>J1507</f>
        <v>0</v>
      </c>
      <c r="I1522" s="128">
        <f>IFERROR(G1522/H1522,0)</f>
        <v>0</v>
      </c>
      <c r="J1522" s="129">
        <f>MIN(IF(ISNUMBER(G1522),G1522,0),H1522)</f>
        <v>0</v>
      </c>
      <c r="K1522" s="120">
        <f>MAX(H1522-G1522,0)</f>
        <v>0</v>
      </c>
      <c r="L1522" s="407"/>
      <c r="M1522" s="393"/>
      <c r="N1522" s="393"/>
      <c r="O1522" s="580"/>
      <c r="P1522" s="968">
        <f>MAX(IF(I1522&lt;100%,MIN((H1522-G1522),H1522*0.25),0),0)</f>
        <v>0</v>
      </c>
      <c r="Q1522" s="619">
        <f>IF(G1522-H1522&gt;0,G1522-H1522,0)</f>
        <v>0</v>
      </c>
      <c r="R1522" s="596"/>
      <c r="S1522" s="610" t="s">
        <v>0</v>
      </c>
      <c r="T1522" s="599">
        <f>G1505</f>
        <v>0</v>
      </c>
      <c r="U1522" s="578"/>
      <c r="V1522" s="579">
        <f>G1522</f>
        <v>0</v>
      </c>
      <c r="W1522" s="579">
        <f t="shared" si="216"/>
        <v>0</v>
      </c>
      <c r="X1522" s="579">
        <f>IFERROR(W1533*W1522/(SUM(W1519:W1532)),0)</f>
        <v>0</v>
      </c>
      <c r="Y1522" s="879">
        <f>SUMIFS(בקרה!$S:$S,בקרה!$D:$D,T1522,בקרה!$K:$K,S1522)</f>
        <v>0</v>
      </c>
      <c r="Z1522" s="121"/>
      <c r="AA1522" s="143"/>
      <c r="AB1522" s="143"/>
      <c r="AC1522" s="504">
        <v>0</v>
      </c>
      <c r="AD1522" s="505">
        <f t="shared" si="217"/>
        <v>0</v>
      </c>
      <c r="AE1522" s="143"/>
      <c r="AG1522" s="55"/>
      <c r="AH1522" s="55"/>
      <c r="AI1522" s="40"/>
      <c r="AJ1522" s="55"/>
      <c r="AK1522" s="55"/>
      <c r="BO1522" s="86"/>
    </row>
    <row r="1523" spans="1:67" s="55" customFormat="1" ht="15.75" customHeight="1" x14ac:dyDescent="0.25">
      <c r="A1523" s="520">
        <f>IFERROR(VLOOKUP($G$5,'רשימת רשויות'!A:C,3,0),0)</f>
        <v>0</v>
      </c>
      <c r="B1523" s="520">
        <f t="shared" si="211"/>
        <v>0</v>
      </c>
      <c r="C1523" s="39"/>
      <c r="D1523" s="1134"/>
      <c r="E1523" s="1137"/>
      <c r="F1523" s="589" t="s">
        <v>93</v>
      </c>
      <c r="G1523" s="130">
        <f>IF(G1510="תקין",SUMIFS('דוח הוצאות בפועל (4)'!$E$17:$E$3016,'דוח הוצאות בפועל (4)'!$B$17:$B$3016,'בית ספר - תקצוב לפי מוסד (9)'!$G1505,'דוח הוצאות בפועל (4)'!$M$17:$M$3016,"אר"),0)-Y1523</f>
        <v>0</v>
      </c>
      <c r="H1523" s="118">
        <f>$I1513</f>
        <v>0</v>
      </c>
      <c r="I1523" s="131">
        <f>IFERROR((G1523+G1524)/H1523,0)</f>
        <v>0</v>
      </c>
      <c r="J1523" s="100">
        <f>MIN((IF(ISNUMBER(G1523),G1523,0)+IF(ISNUMBER(G1524),G1524,0)),H1523)</f>
        <v>0</v>
      </c>
      <c r="K1523" s="1139">
        <f>MAX((H1523)-(G1523+G1524),0)</f>
        <v>0</v>
      </c>
      <c r="L1523" s="407"/>
      <c r="M1523" s="393"/>
      <c r="N1523" s="393"/>
      <c r="O1523" s="602"/>
      <c r="P1523" s="1141"/>
      <c r="Q1523" s="1142"/>
      <c r="R1523" s="596"/>
      <c r="S1523" s="610" t="s">
        <v>93</v>
      </c>
      <c r="T1523" s="599">
        <f>G1505</f>
        <v>0</v>
      </c>
      <c r="U1523" s="578"/>
      <c r="V1523" s="579">
        <f t="shared" ref="V1523:V1524" si="218">G1523</f>
        <v>0</v>
      </c>
      <c r="W1523" s="579">
        <f t="shared" si="216"/>
        <v>0</v>
      </c>
      <c r="X1523" s="579">
        <f>IFERROR(W1533*W1523/(SUM(W1519:W1532)),0)</f>
        <v>0</v>
      </c>
      <c r="Y1523" s="879">
        <f>SUMIFS(בקרה!$S:$S,בקרה!$D:$D,T1523,בקרה!$K:$K,S1523)</f>
        <v>0</v>
      </c>
      <c r="Z1523" s="121"/>
      <c r="AA1523" s="143"/>
      <c r="AB1523" s="143"/>
      <c r="AC1523" s="504">
        <v>0</v>
      </c>
      <c r="AD1523" s="505">
        <f t="shared" si="217"/>
        <v>0</v>
      </c>
      <c r="AE1523" s="143"/>
      <c r="AJ1523" s="22"/>
      <c r="AO1523" s="22"/>
      <c r="AP1523" s="22"/>
      <c r="AQ1523" s="22"/>
      <c r="AR1523" s="22"/>
      <c r="AS1523" s="22"/>
      <c r="AT1523" s="22"/>
      <c r="AU1523" s="35"/>
      <c r="AV1523" s="35"/>
      <c r="AW1523" s="35"/>
      <c r="AX1523" s="35"/>
      <c r="AY1523" s="35"/>
      <c r="AZ1523" s="35"/>
      <c r="BA1523" s="35"/>
      <c r="BB1523" s="35"/>
      <c r="BC1523" s="35"/>
      <c r="BD1523" s="35"/>
      <c r="BE1523" s="35"/>
      <c r="BF1523" s="35"/>
      <c r="BG1523" s="35"/>
      <c r="BH1523" s="35"/>
      <c r="BI1523" s="35"/>
      <c r="BJ1523" s="35"/>
      <c r="BK1523" s="35"/>
      <c r="BL1523" s="35"/>
      <c r="BM1523" s="35"/>
      <c r="BN1523" s="35"/>
      <c r="BO1523" s="86"/>
    </row>
    <row r="1524" spans="1:67" s="55" customFormat="1" ht="15.75" customHeight="1" x14ac:dyDescent="0.25">
      <c r="A1524" s="520">
        <f>IFERROR(VLOOKUP($G$5,'רשימת רשויות'!A:C,3,0),0)</f>
        <v>0</v>
      </c>
      <c r="B1524" s="520">
        <f t="shared" si="211"/>
        <v>0</v>
      </c>
      <c r="C1524" s="39"/>
      <c r="D1524" s="1134"/>
      <c r="E1524" s="1137"/>
      <c r="F1524" s="589" t="s">
        <v>46</v>
      </c>
      <c r="G1524" s="130">
        <f>IF(G1510="תקין",SUMIFS('דוח הוצאות בפועל (4)'!$E$17:$E$3016,'דוח הוצאות בפועל (4)'!$B$17:$B$3016,'בית ספר - תקצוב לפי מוסד (9)'!$G1505,'דוח הוצאות בפועל (4)'!$M$17:$M$3016,"מל"),0)-Y1524</f>
        <v>0</v>
      </c>
      <c r="H1524" s="132"/>
      <c r="I1524" s="133"/>
      <c r="J1524" s="104"/>
      <c r="K1524" s="1139"/>
      <c r="L1524" s="407"/>
      <c r="M1524" s="393"/>
      <c r="N1524" s="393"/>
      <c r="O1524" s="602"/>
      <c r="P1524" s="1141"/>
      <c r="Q1524" s="1142"/>
      <c r="R1524" s="596"/>
      <c r="S1524" s="610" t="s">
        <v>46</v>
      </c>
      <c r="T1524" s="599">
        <f>G1505</f>
        <v>0</v>
      </c>
      <c r="U1524" s="578"/>
      <c r="V1524" s="579">
        <f t="shared" si="218"/>
        <v>0</v>
      </c>
      <c r="W1524" s="579">
        <f t="shared" si="216"/>
        <v>0</v>
      </c>
      <c r="X1524" s="579">
        <f>IFERROR(W1533*W1524/(SUM(W1519:W1532)),0)</f>
        <v>0</v>
      </c>
      <c r="Y1524" s="879">
        <f>SUMIFS(בקרה!$S:$S,בקרה!$D:$D,T1524,בקרה!$K:$K,S1524)</f>
        <v>0</v>
      </c>
      <c r="Z1524" s="121"/>
      <c r="AA1524" s="143"/>
      <c r="AB1524" s="143"/>
      <c r="AC1524" s="504">
        <v>0</v>
      </c>
      <c r="AD1524" s="505">
        <f t="shared" si="217"/>
        <v>0</v>
      </c>
      <c r="AE1524" s="143"/>
      <c r="AJ1524" s="22"/>
      <c r="AO1524" s="22"/>
      <c r="AP1524" s="22"/>
      <c r="AQ1524" s="22"/>
      <c r="AR1524" s="22"/>
      <c r="AS1524" s="22"/>
      <c r="AT1524" s="22"/>
      <c r="AU1524" s="35"/>
      <c r="AV1524" s="35"/>
      <c r="AW1524" s="35"/>
      <c r="AX1524" s="35"/>
      <c r="AY1524" s="35"/>
      <c r="AZ1524" s="35"/>
      <c r="BA1524" s="35"/>
      <c r="BB1524" s="35"/>
      <c r="BC1524" s="35"/>
      <c r="BD1524" s="35"/>
      <c r="BE1524" s="35"/>
      <c r="BF1524" s="35"/>
      <c r="BG1524" s="35"/>
      <c r="BH1524" s="35"/>
      <c r="BI1524" s="35"/>
      <c r="BJ1524" s="35"/>
      <c r="BK1524" s="35"/>
      <c r="BL1524" s="35"/>
      <c r="BM1524" s="35"/>
      <c r="BN1524" s="35"/>
      <c r="BO1524" s="86"/>
    </row>
    <row r="1525" spans="1:67" s="55" customFormat="1" ht="15" customHeight="1" x14ac:dyDescent="0.25">
      <c r="A1525" s="520">
        <f>IFERROR(VLOOKUP($G$5,'רשימת רשויות'!A:C,3,0),0)</f>
        <v>0</v>
      </c>
      <c r="B1525" s="520">
        <f t="shared" si="211"/>
        <v>0</v>
      </c>
      <c r="C1525" s="39"/>
      <c r="D1525" s="1134"/>
      <c r="E1525" s="1137"/>
      <c r="F1525" s="591" t="s">
        <v>23</v>
      </c>
      <c r="G1525" s="134">
        <f>SUM(G1519:G1524)</f>
        <v>0</v>
      </c>
      <c r="H1525" s="135">
        <f>SUM(H1519:H1524)</f>
        <v>0</v>
      </c>
      <c r="I1525" s="128">
        <f>IFERROR(G1525/H1525,0)</f>
        <v>0</v>
      </c>
      <c r="J1525" s="136">
        <f>SUM(J1519:J1524)</f>
        <v>0</v>
      </c>
      <c r="K1525" s="137">
        <f>SUM(K1519:K1524)</f>
        <v>0</v>
      </c>
      <c r="L1525" s="408"/>
      <c r="M1525" s="394"/>
      <c r="N1525" s="394"/>
      <c r="O1525" s="602"/>
      <c r="P1525" s="620">
        <f>SUM(P1519:P1524)</f>
        <v>0</v>
      </c>
      <c r="Q1525" s="620">
        <f>SUM(Q1519:Q1524)</f>
        <v>0</v>
      </c>
      <c r="R1525" s="596"/>
      <c r="S1525" s="610"/>
      <c r="T1525" s="599">
        <f>G1505</f>
        <v>0</v>
      </c>
      <c r="U1525" s="578"/>
      <c r="V1525" s="579"/>
      <c r="W1525" s="579">
        <f t="shared" si="216"/>
        <v>0</v>
      </c>
      <c r="X1525" s="579"/>
      <c r="Y1525" s="879"/>
      <c r="Z1525" s="121"/>
      <c r="AA1525" s="143"/>
      <c r="AB1525" s="143"/>
      <c r="AC1525" s="504"/>
      <c r="AD1525" s="505">
        <f t="shared" si="217"/>
        <v>0</v>
      </c>
      <c r="AE1525" s="143"/>
      <c r="AJ1525" s="22"/>
      <c r="AL1525" s="22"/>
      <c r="AM1525" s="22"/>
      <c r="AN1525" s="22"/>
      <c r="AO1525" s="22"/>
      <c r="AP1525" s="22"/>
      <c r="AQ1525" s="22"/>
      <c r="AR1525" s="22"/>
      <c r="AS1525" s="22"/>
      <c r="AT1525" s="22"/>
      <c r="AU1525" s="35"/>
      <c r="AV1525" s="35"/>
      <c r="AW1525" s="35"/>
      <c r="AX1525" s="35"/>
      <c r="AY1525" s="35"/>
      <c r="AZ1525" s="35"/>
      <c r="BA1525" s="35"/>
      <c r="BB1525" s="35"/>
      <c r="BC1525" s="35"/>
      <c r="BD1525" s="35"/>
      <c r="BE1525" s="35"/>
      <c r="BF1525" s="35"/>
      <c r="BG1525" s="35"/>
      <c r="BH1525" s="35"/>
      <c r="BI1525" s="35"/>
      <c r="BJ1525" s="35"/>
      <c r="BK1525" s="35"/>
      <c r="BL1525" s="35"/>
      <c r="BM1525" s="35"/>
      <c r="BN1525" s="35"/>
      <c r="BO1525" s="86"/>
    </row>
    <row r="1526" spans="1:67" s="55" customFormat="1" ht="15" customHeight="1" x14ac:dyDescent="0.25">
      <c r="A1526" s="520">
        <f>IFERROR(VLOOKUP($G$5,'רשימת רשויות'!A:C,3,0),0)</f>
        <v>0</v>
      </c>
      <c r="B1526" s="520">
        <f t="shared" si="211"/>
        <v>0</v>
      </c>
      <c r="C1526" s="39"/>
      <c r="D1526" s="1134"/>
      <c r="E1526" s="1137"/>
      <c r="F1526" s="589" t="s">
        <v>3</v>
      </c>
      <c r="G1526" s="117">
        <f>IF(G1510="תקין",SUMIFS('דוח הוצאות בפועל (4)'!$E$17:$E$3016,'דוח הוצאות בפועל (4)'!$B$17:$B$3016,'בית ספר - תקצוב לפי מוסד (9)'!$G1505,'דוח הוצאות בפועל (4)'!$M$17:$M$3016,"ני")+SUMIFS('דוח הוצאות בפועל (4)'!$E$17:$E$3016,'דוח הוצאות בפועל (4)'!$B$17:$B$3016,'בית ספר - תקצוב לפי מוסד (9)'!$G1505,'דוח הוצאות בפועל (4)'!$M$17:$M$3016,"על"),0)-Y1526</f>
        <v>0</v>
      </c>
      <c r="H1526" s="117">
        <f>H1507</f>
        <v>0</v>
      </c>
      <c r="I1526" s="138">
        <f>IFERROR(G1526/H1526,0)</f>
        <v>0</v>
      </c>
      <c r="J1526" s="117">
        <f>IFERROR(IF(G1526/H1528&gt;0.15,MIN(H1528*0.15,H1526),MIN(H1526,IF(ISNUMBER(G1526),G1526,0))),0)</f>
        <v>0</v>
      </c>
      <c r="K1526" s="120">
        <f>MAX(H1526-G1526,0)</f>
        <v>0</v>
      </c>
      <c r="L1526" s="407"/>
      <c r="M1526" s="393"/>
      <c r="N1526" s="393"/>
      <c r="O1526" s="602"/>
      <c r="P1526" s="620">
        <f>IF(I1526&lt;100%,MIN(H1526-G1526,H1526*0.25),0)</f>
        <v>0</v>
      </c>
      <c r="Q1526" s="620">
        <f>MAX(MIN(IF(G1526-H1526&gt;0,G1526-H1526,0),$H1528*0.15-H1526-J1527),0)</f>
        <v>0</v>
      </c>
      <c r="R1526" s="596"/>
      <c r="S1526" s="610" t="s">
        <v>3</v>
      </c>
      <c r="T1526" s="599">
        <f>G1505</f>
        <v>0</v>
      </c>
      <c r="U1526" s="578"/>
      <c r="V1526" s="579">
        <f t="shared" ref="V1526" si="219">G1526</f>
        <v>0</v>
      </c>
      <c r="W1526" s="579">
        <f t="shared" si="216"/>
        <v>0</v>
      </c>
      <c r="X1526" s="579"/>
      <c r="Y1526" s="879"/>
      <c r="Z1526" s="121"/>
      <c r="AA1526" s="143"/>
      <c r="AB1526" s="143"/>
      <c r="AC1526" s="504">
        <v>0</v>
      </c>
      <c r="AD1526" s="505">
        <f t="shared" si="217"/>
        <v>0</v>
      </c>
      <c r="AE1526" s="143"/>
      <c r="AG1526" s="22"/>
      <c r="AH1526" s="22"/>
      <c r="AI1526" s="22"/>
      <c r="AJ1526" s="22"/>
      <c r="AK1526" s="22"/>
      <c r="AL1526" s="22"/>
      <c r="AM1526" s="22"/>
      <c r="AN1526" s="22"/>
      <c r="AO1526" s="22"/>
      <c r="AP1526" s="22"/>
      <c r="AQ1526" s="22"/>
      <c r="AR1526" s="22"/>
      <c r="AS1526" s="22"/>
      <c r="AT1526" s="22"/>
      <c r="AU1526" s="35"/>
      <c r="AV1526" s="35"/>
      <c r="AW1526" s="35"/>
      <c r="AX1526" s="35"/>
      <c r="AY1526" s="35"/>
      <c r="AZ1526" s="35"/>
      <c r="BA1526" s="35"/>
      <c r="BB1526" s="35"/>
      <c r="BC1526" s="35"/>
      <c r="BD1526" s="35"/>
      <c r="BE1526" s="35"/>
      <c r="BF1526" s="35"/>
      <c r="BG1526" s="35"/>
      <c r="BH1526" s="35"/>
      <c r="BI1526" s="35"/>
      <c r="BJ1526" s="35"/>
      <c r="BK1526" s="35"/>
      <c r="BL1526" s="35"/>
      <c r="BM1526" s="35"/>
      <c r="BN1526" s="35"/>
      <c r="BO1526" s="86"/>
    </row>
    <row r="1527" spans="1:67" s="55" customFormat="1" ht="15.75" customHeight="1" x14ac:dyDescent="0.25">
      <c r="A1527" s="520">
        <f>IFERROR(VLOOKUP($G$5,'רשימת רשויות'!A:C,3,0),0)</f>
        <v>0</v>
      </c>
      <c r="B1527" s="520">
        <f t="shared" si="211"/>
        <v>0</v>
      </c>
      <c r="C1527" s="39"/>
      <c r="D1527" s="1134"/>
      <c r="E1527" s="1137"/>
      <c r="F1527" s="589" t="s">
        <v>2918</v>
      </c>
      <c r="G1527" s="117">
        <f>0.07*(G1521+G1520)</f>
        <v>0</v>
      </c>
      <c r="H1527" s="117">
        <f>H1509</f>
        <v>0</v>
      </c>
      <c r="I1527" s="138">
        <f>IFERROR(G1527/H1527,0)</f>
        <v>0</v>
      </c>
      <c r="J1527" s="117">
        <f>IFERROR(MIN(0.07*(G1520+G1521),0.07*I1509),0)</f>
        <v>0</v>
      </c>
      <c r="K1527" s="120">
        <f>MAX(H1527-G1527,0)</f>
        <v>0</v>
      </c>
      <c r="L1527" s="407"/>
      <c r="M1527" s="393"/>
      <c r="N1527" s="393"/>
      <c r="O1527" s="602"/>
      <c r="P1527" s="620"/>
      <c r="Q1527" s="619"/>
      <c r="R1527" s="596"/>
      <c r="S1527" s="611"/>
      <c r="T1527" s="599">
        <f>G1505</f>
        <v>0</v>
      </c>
      <c r="U1527" s="578"/>
      <c r="V1527" s="579"/>
      <c r="W1527" s="579">
        <f t="shared" si="216"/>
        <v>0</v>
      </c>
      <c r="X1527" s="579"/>
      <c r="Y1527" s="879"/>
      <c r="Z1527" s="121"/>
      <c r="AA1527" s="143"/>
      <c r="AB1527" s="143"/>
      <c r="AC1527" s="504"/>
      <c r="AD1527" s="505"/>
      <c r="AE1527" s="143"/>
      <c r="AF1527" s="140"/>
      <c r="AG1527" s="22"/>
      <c r="AH1527" s="22"/>
      <c r="AI1527" s="22"/>
      <c r="AJ1527" s="22"/>
      <c r="AK1527" s="22"/>
      <c r="AL1527" s="22"/>
      <c r="AM1527" s="22"/>
      <c r="AN1527" s="22"/>
      <c r="AO1527" s="22"/>
      <c r="AP1527" s="22"/>
      <c r="AQ1527" s="22"/>
      <c r="AR1527" s="22"/>
      <c r="AS1527" s="22"/>
      <c r="AT1527" s="22"/>
      <c r="AU1527" s="35"/>
      <c r="AV1527" s="35"/>
      <c r="AW1527" s="35"/>
      <c r="AX1527" s="35"/>
      <c r="AY1527" s="35"/>
      <c r="AZ1527" s="35"/>
      <c r="BA1527" s="35"/>
      <c r="BB1527" s="35"/>
      <c r="BC1527" s="35"/>
      <c r="BD1527" s="35"/>
      <c r="BE1527" s="35"/>
      <c r="BF1527" s="35"/>
      <c r="BG1527" s="35"/>
      <c r="BH1527" s="35"/>
      <c r="BI1527" s="35"/>
      <c r="BJ1527" s="35"/>
      <c r="BK1527" s="35"/>
      <c r="BL1527" s="35"/>
      <c r="BM1527" s="35"/>
      <c r="BN1527" s="35"/>
      <c r="BO1527" s="86"/>
    </row>
    <row r="1528" spans="1:67" ht="15.75" customHeight="1" x14ac:dyDescent="0.25">
      <c r="A1528" s="520">
        <f>IFERROR(VLOOKUP($G$5,'רשימת רשויות'!A:C,3,0),0)</f>
        <v>0</v>
      </c>
      <c r="B1528" s="520">
        <f t="shared" si="211"/>
        <v>0</v>
      </c>
      <c r="D1528" s="1134"/>
      <c r="E1528" s="1137"/>
      <c r="F1528" s="591" t="s">
        <v>15</v>
      </c>
      <c r="G1528" s="134">
        <f>G1525+G1526+G1527</f>
        <v>0</v>
      </c>
      <c r="H1528" s="134">
        <f>H1525+H1526+H1527</f>
        <v>0</v>
      </c>
      <c r="I1528" s="138">
        <f>IFERROR(G1528/H1528,0)</f>
        <v>0</v>
      </c>
      <c r="J1528" s="139">
        <f>J1525+J1526+J1527</f>
        <v>0</v>
      </c>
      <c r="K1528" s="137">
        <f>K1526+K1525+K1527</f>
        <v>0</v>
      </c>
      <c r="L1528" s="408"/>
      <c r="M1528" s="394"/>
      <c r="N1528" s="394"/>
      <c r="O1528" s="602"/>
      <c r="P1528" s="621">
        <f>SUM(P1525:P1526)</f>
        <v>0</v>
      </c>
      <c r="Q1528" s="622">
        <f>Q1525+Q1526</f>
        <v>0</v>
      </c>
      <c r="R1528" s="596"/>
      <c r="S1528" s="611"/>
      <c r="T1528" s="599">
        <f>G1505</f>
        <v>0</v>
      </c>
      <c r="U1528" s="578"/>
      <c r="V1528" s="579"/>
      <c r="W1528" s="579">
        <f t="shared" si="216"/>
        <v>0</v>
      </c>
      <c r="X1528" s="579"/>
      <c r="Y1528" s="879"/>
      <c r="Z1528" s="106"/>
      <c r="AC1528" s="504"/>
      <c r="AD1528" s="505"/>
      <c r="AH1528" s="143"/>
      <c r="BO1528" s="86"/>
    </row>
    <row r="1529" spans="1:67" ht="15.75" customHeight="1" x14ac:dyDescent="0.25">
      <c r="A1529" s="520">
        <f>IFERROR(VLOOKUP($G$5,'רשימת רשויות'!A:C,3,0),0)</f>
        <v>0</v>
      </c>
      <c r="B1529" s="520">
        <f t="shared" si="211"/>
        <v>0</v>
      </c>
      <c r="D1529" s="1134"/>
      <c r="E1529" s="1137"/>
      <c r="F1529" s="589" t="s">
        <v>2261</v>
      </c>
      <c r="G1529" s="117">
        <f>IF(G1510="תקין",SUMIF('תשלומי הורים ומלגות להורים (5) '!$B$18:$B$517,$G1505,'תשלומי הורים ומלגות להורים (5) '!$C$18:$C$517),0)</f>
        <v>0</v>
      </c>
      <c r="H1529" s="117">
        <f>(G1508+G1509)*$G$7</f>
        <v>0</v>
      </c>
      <c r="I1529" s="141"/>
      <c r="J1529" s="141"/>
      <c r="K1529" s="142"/>
      <c r="L1529" s="395"/>
      <c r="M1529" s="395"/>
      <c r="N1529" s="395"/>
      <c r="O1529" s="602"/>
      <c r="P1529" s="623"/>
      <c r="Q1529" s="619"/>
      <c r="R1529" s="596"/>
      <c r="S1529" s="612"/>
      <c r="T1529" s="599">
        <f>G1505</f>
        <v>0</v>
      </c>
      <c r="U1529" s="578"/>
      <c r="V1529" s="579"/>
      <c r="W1529" s="579">
        <f t="shared" si="216"/>
        <v>0</v>
      </c>
      <c r="X1529" s="579"/>
      <c r="Y1529" s="879"/>
      <c r="Z1529" s="121"/>
      <c r="AA1529" s="143"/>
      <c r="AB1529" s="143"/>
      <c r="AC1529" s="504"/>
      <c r="AD1529" s="505"/>
      <c r="AE1529" s="143"/>
      <c r="AF1529" s="148"/>
      <c r="BO1529" s="86"/>
    </row>
    <row r="1530" spans="1:67" ht="15.75" customHeight="1" thickBot="1" x14ac:dyDescent="0.3">
      <c r="A1530" s="520">
        <f>IFERROR(VLOOKUP($G$5,'רשימת רשויות'!A:C,3,0),0)</f>
        <v>0</v>
      </c>
      <c r="B1530" s="520">
        <f t="shared" si="211"/>
        <v>0</v>
      </c>
      <c r="D1530" s="1134"/>
      <c r="E1530" s="1137"/>
      <c r="F1530" s="592" t="s">
        <v>21</v>
      </c>
      <c r="G1530" s="144">
        <f>G1528-G1529</f>
        <v>0</v>
      </c>
      <c r="H1530" s="144">
        <f>H1528-H1529</f>
        <v>0</v>
      </c>
      <c r="I1530" s="145"/>
      <c r="J1530" s="145"/>
      <c r="K1530" s="146"/>
      <c r="L1530" s="396"/>
      <c r="M1530" s="396"/>
      <c r="N1530" s="396"/>
      <c r="O1530" s="602"/>
      <c r="P1530" s="619"/>
      <c r="Q1530" s="619"/>
      <c r="R1530" s="596"/>
      <c r="S1530" s="612"/>
      <c r="T1530" s="599">
        <f>G1505</f>
        <v>0</v>
      </c>
      <c r="U1530" s="578"/>
      <c r="V1530" s="579"/>
      <c r="W1530" s="579">
        <f t="shared" si="216"/>
        <v>0</v>
      </c>
      <c r="X1530" s="579"/>
      <c r="Y1530" s="879"/>
      <c r="Z1530" s="147"/>
      <c r="AA1530" s="148"/>
      <c r="AB1530" s="148"/>
      <c r="AC1530" s="504"/>
      <c r="AD1530" s="505"/>
      <c r="AE1530" s="148"/>
      <c r="AF1530" s="148"/>
      <c r="BO1530" s="86"/>
    </row>
    <row r="1531" spans="1:67" ht="15.75" customHeight="1" thickBot="1" x14ac:dyDescent="0.3">
      <c r="A1531" s="520">
        <f>IFERROR(VLOOKUP($G$5,'רשימת רשויות'!A:C,3,0),0)</f>
        <v>0</v>
      </c>
      <c r="B1531" s="520">
        <f t="shared" si="211"/>
        <v>0</v>
      </c>
      <c r="D1531" s="1134"/>
      <c r="E1531" s="1137"/>
      <c r="F1531" s="580"/>
      <c r="G1531" s="580"/>
      <c r="H1531" s="147"/>
      <c r="I1531" s="149" t="s">
        <v>2197</v>
      </c>
      <c r="J1531" s="150">
        <f>MAX(MIN(P1528,Q1528),0)</f>
        <v>0</v>
      </c>
      <c r="K1531" s="580"/>
      <c r="L1531" s="580"/>
      <c r="M1531" s="580"/>
      <c r="N1531" s="580"/>
      <c r="O1531" s="580"/>
      <c r="P1531" s="615" t="s">
        <v>2317</v>
      </c>
      <c r="Q1531" s="624">
        <f>SUM(Q1532:Q1533)</f>
        <v>0</v>
      </c>
      <c r="R1531" s="596"/>
      <c r="S1531" s="612"/>
      <c r="T1531" s="599">
        <f>G1505</f>
        <v>0</v>
      </c>
      <c r="U1531" s="578"/>
      <c r="V1531" s="579"/>
      <c r="W1531" s="579">
        <f t="shared" si="216"/>
        <v>0</v>
      </c>
      <c r="X1531" s="579"/>
      <c r="Y1531" s="879"/>
      <c r="Z1531" s="106"/>
      <c r="AC1531" s="504"/>
      <c r="AD1531" s="505"/>
      <c r="AF1531" s="148"/>
      <c r="BO1531" s="86"/>
    </row>
    <row r="1532" spans="1:67" ht="16.5" thickBot="1" x14ac:dyDescent="0.3">
      <c r="A1532" s="520">
        <f>IFERROR(VLOOKUP($G$5,'רשימת רשויות'!A:C,3,0),0)</f>
        <v>0</v>
      </c>
      <c r="B1532" s="520">
        <f t="shared" si="211"/>
        <v>0</v>
      </c>
      <c r="D1532" s="1134"/>
      <c r="E1532" s="1137"/>
      <c r="F1532" s="580"/>
      <c r="G1532" s="580"/>
      <c r="H1532" s="580"/>
      <c r="I1532" s="84" t="s">
        <v>2193</v>
      </c>
      <c r="J1532" s="515" t="str">
        <f>IFERROR(1-H1529/H1528,"")</f>
        <v/>
      </c>
      <c r="K1532" s="580"/>
      <c r="L1532" s="580"/>
      <c r="M1532" s="580"/>
      <c r="N1532" s="580"/>
      <c r="O1532" s="580"/>
      <c r="P1532" s="615" t="s">
        <v>417</v>
      </c>
      <c r="Q1532" s="616">
        <f>IFERROR(MAX(H1530-I1533-Q1533,0),0)</f>
        <v>0</v>
      </c>
      <c r="R1532" s="596"/>
      <c r="S1532" s="600"/>
      <c r="T1532" s="599">
        <f>G1505</f>
        <v>0</v>
      </c>
      <c r="U1532" s="578"/>
      <c r="V1532" s="579"/>
      <c r="W1532" s="579">
        <f t="shared" si="216"/>
        <v>0</v>
      </c>
      <c r="X1532" s="579"/>
      <c r="Y1532" s="879"/>
      <c r="Z1532" s="106"/>
      <c r="AC1532" s="504"/>
      <c r="AD1532" s="505"/>
      <c r="BO1532" s="86"/>
    </row>
    <row r="1533" spans="1:67" ht="17.25" thickBot="1" x14ac:dyDescent="0.3">
      <c r="A1533" s="520">
        <f>IFERROR(VLOOKUP($G$5,'רשימת רשויות'!A:C,3,0),0)</f>
        <v>0</v>
      </c>
      <c r="B1533" s="520">
        <f t="shared" si="211"/>
        <v>0</v>
      </c>
      <c r="D1533" s="1134"/>
      <c r="E1533" s="1137"/>
      <c r="F1533" s="1143" t="s">
        <v>2679</v>
      </c>
      <c r="G1533" s="1143"/>
      <c r="H1533" s="1143"/>
      <c r="I1533" s="722">
        <f>IF(G1510="לא תקין","לא קיימת זכאות לתקציב לאור אי איוש משרות רכז ו/או סגן רכז ",IFERROR(J1532*(J1531+J1528),0))</f>
        <v>0</v>
      </c>
      <c r="J1533" s="573"/>
      <c r="K1533" s="574"/>
      <c r="L1533" s="396"/>
      <c r="M1533" s="574"/>
      <c r="N1533" s="574"/>
      <c r="O1533" s="574"/>
      <c r="P1533" s="615" t="s">
        <v>2279</v>
      </c>
      <c r="Q1533" s="616">
        <f>MAX(IF(AND(G1528&gt;H1528,I1533&lt;H1530),H1530-I1533,0),0)</f>
        <v>0</v>
      </c>
      <c r="R1533" s="575"/>
      <c r="S1533" s="576" t="s">
        <v>67</v>
      </c>
      <c r="T1533" s="577">
        <f>G1505</f>
        <v>0</v>
      </c>
      <c r="U1533" s="578"/>
      <c r="V1533" s="579">
        <f>I1533</f>
        <v>0</v>
      </c>
      <c r="W1533" s="579">
        <f>IFERROR(U1533-V1533,0)</f>
        <v>0</v>
      </c>
      <c r="X1533" s="579">
        <f>SUM(X1519:X1532)</f>
        <v>0</v>
      </c>
      <c r="Y1533" s="879"/>
      <c r="Z1533" s="106"/>
      <c r="AC1533" s="506">
        <v>0</v>
      </c>
      <c r="AD1533" s="507">
        <f>IFERROR(U1533-AC1533,0)</f>
        <v>0</v>
      </c>
      <c r="BO1533" s="86"/>
    </row>
    <row r="1534" spans="1:67" ht="16.5" thickBot="1" x14ac:dyDescent="0.3">
      <c r="A1534" s="520">
        <f>IFERROR(VLOOKUP($G$5,'רשימת רשויות'!A:C,3,0),0)</f>
        <v>0</v>
      </c>
      <c r="B1534" s="520">
        <f t="shared" si="211"/>
        <v>0</v>
      </c>
      <c r="D1534" s="1135"/>
      <c r="E1534" s="1138"/>
      <c r="F1534" s="1144" t="s">
        <v>2793</v>
      </c>
      <c r="G1534" s="1145"/>
      <c r="H1534" s="1145"/>
      <c r="I1534" s="593">
        <f>IFERROR(IF(G1510="תקין",SUMIFS('סייעות רפואיות או אישיות (7)'!$Q$17:Q$384,'סייעות רפואיות או אישיות (7)'!C$17:C$384,G1505),0),0)</f>
        <v>0</v>
      </c>
      <c r="J1534" s="151"/>
      <c r="K1534" s="152"/>
      <c r="L1534" s="409"/>
      <c r="M1534" s="152"/>
      <c r="N1534" s="152"/>
      <c r="O1534" s="152"/>
      <c r="P1534" s="613"/>
      <c r="Q1534" s="614"/>
      <c r="R1534" s="475"/>
      <c r="S1534" s="489"/>
      <c r="T1534" s="490"/>
      <c r="U1534" s="491"/>
      <c r="V1534" s="492"/>
      <c r="W1534" s="492"/>
      <c r="X1534" s="492"/>
      <c r="Y1534" s="880"/>
      <c r="Z1534" s="153"/>
      <c r="AC1534" s="581"/>
      <c r="AD1534" s="582"/>
      <c r="BO1534" s="86"/>
    </row>
    <row r="1535" spans="1:67" ht="34.5" thickBot="1" x14ac:dyDescent="0.55000000000000004">
      <c r="A1535" s="520">
        <f>IFERROR(VLOOKUP($G$5,'רשימת רשויות'!A:C,3,0),0)</f>
        <v>0</v>
      </c>
      <c r="B1535" s="520">
        <f t="shared" si="211"/>
        <v>0</v>
      </c>
      <c r="E1535" s="154"/>
      <c r="I1535" s="143"/>
      <c r="J1535" s="148"/>
      <c r="O1535" s="148"/>
      <c r="T1535" s="481"/>
      <c r="BO1535" s="86"/>
    </row>
    <row r="1536" spans="1:67" s="20" customFormat="1" ht="16.5" customHeight="1" thickBot="1" x14ac:dyDescent="0.3">
      <c r="A1536" s="520">
        <f>IFERROR(VLOOKUP($G$5,'רשימת רשויות'!A:C,3,0),0)</f>
        <v>0</v>
      </c>
      <c r="B1536" s="520">
        <f t="shared" si="211"/>
        <v>0</v>
      </c>
      <c r="C1536" s="39"/>
      <c r="D1536" s="1133">
        <f>D1505+1</f>
        <v>50</v>
      </c>
      <c r="E1536" s="1136" t="str">
        <f>IFERROR(CONCATENATE("בית הספר ",VLOOKUP(G1536,'מצבת והרשמה (2)'!$C$21:$D$520,2,0)," - ",$G$5),"")</f>
        <v>בית הספר המוסד לא קיים - 0</v>
      </c>
      <c r="F1536" s="720" t="s">
        <v>146</v>
      </c>
      <c r="G1536" s="721">
        <f>IFERROR(VLOOKUP(D:D,'דוח ביצוע (3)'!$A$21:$C$900,2,0),0)</f>
        <v>0</v>
      </c>
      <c r="H1536" s="79"/>
      <c r="I1536" s="80" t="s">
        <v>150</v>
      </c>
      <c r="J1536" s="80"/>
      <c r="K1536" s="81"/>
      <c r="L1536" s="392"/>
      <c r="M1536" s="392"/>
      <c r="N1536" s="392"/>
      <c r="O1536" s="82"/>
      <c r="P1536" s="470"/>
      <c r="Q1536" s="471"/>
      <c r="R1536" s="472"/>
      <c r="S1536" s="883"/>
      <c r="T1536" s="884"/>
      <c r="U1536" s="486"/>
      <c r="V1536" s="487"/>
      <c r="W1536" s="487"/>
      <c r="X1536" s="487"/>
      <c r="Y1536" s="885"/>
      <c r="Z1536" s="83"/>
      <c r="AC1536" s="502"/>
      <c r="AD1536" s="503"/>
      <c r="AO1536" s="22"/>
      <c r="AP1536" s="22"/>
      <c r="AQ1536" s="22"/>
      <c r="AR1536" s="22"/>
      <c r="AS1536" s="22"/>
      <c r="AT1536" s="22"/>
      <c r="AU1536" s="35"/>
      <c r="AV1536" s="35"/>
      <c r="AW1536" s="35"/>
      <c r="AX1536" s="35"/>
      <c r="AY1536" s="35"/>
      <c r="AZ1536" s="35"/>
      <c r="BA1536" s="35"/>
      <c r="BB1536" s="35"/>
      <c r="BC1536" s="35"/>
      <c r="BD1536" s="35"/>
      <c r="BE1536" s="35"/>
      <c r="BF1536" s="35"/>
      <c r="BG1536" s="35"/>
      <c r="BH1536" s="35"/>
      <c r="BI1536" s="35"/>
      <c r="BJ1536" s="35"/>
      <c r="BK1536" s="35"/>
      <c r="BL1536" s="35"/>
      <c r="BM1536" s="35"/>
      <c r="BN1536" s="35"/>
      <c r="BO1536" s="78"/>
    </row>
    <row r="1537" spans="1:67" s="20" customFormat="1" ht="16.5" thickBot="1" x14ac:dyDescent="0.3">
      <c r="A1537" s="520">
        <f>IFERROR(VLOOKUP($G$5,'רשימת רשויות'!A:C,3,0),0)</f>
        <v>0</v>
      </c>
      <c r="B1537" s="520">
        <f t="shared" si="211"/>
        <v>0</v>
      </c>
      <c r="C1537" s="39"/>
      <c r="D1537" s="1134"/>
      <c r="E1537" s="1137"/>
      <c r="F1537" s="583" t="s">
        <v>145</v>
      </c>
      <c r="G1537" s="516" t="str">
        <f>IFERROR(IF((G1539+G1540)=0,"",IF(VLOOKUP(G1536,'דוח ביצוע (3)'!$B$21:$K$900,5,0)&gt;149,"גדול",IF(AND(VLOOKUP(G1536,'דוח ביצוע (3)'!$B$21:$K$900,5,0)&gt;0,VLOOKUP(G1536,'דוח ביצוע (3)'!$B$21:$K$900,5,0)&lt;150),"קטן",0))),"")</f>
        <v/>
      </c>
      <c r="H1537" s="723" t="s">
        <v>88</v>
      </c>
      <c r="I1537" s="723" t="s">
        <v>13</v>
      </c>
      <c r="J1537" s="725" t="s">
        <v>14</v>
      </c>
      <c r="K1537" s="724" t="s">
        <v>94</v>
      </c>
      <c r="L1537" s="594"/>
      <c r="M1537" s="420" t="s">
        <v>2584</v>
      </c>
      <c r="N1537" s="397" t="s">
        <v>413</v>
      </c>
      <c r="O1537" s="398" t="s">
        <v>52</v>
      </c>
      <c r="P1537" s="595"/>
      <c r="Q1537" s="595"/>
      <c r="R1537" s="596"/>
      <c r="S1537" s="610"/>
      <c r="T1537" s="881"/>
      <c r="U1537" s="598"/>
      <c r="V1537" s="599"/>
      <c r="W1537" s="599"/>
      <c r="X1537" s="599"/>
      <c r="Y1537" s="879"/>
      <c r="Z1537" s="85"/>
      <c r="AC1537" s="493"/>
      <c r="AD1537" s="495"/>
      <c r="AO1537" s="22"/>
      <c r="AP1537" s="22"/>
      <c r="AQ1537" s="22"/>
      <c r="AR1537" s="22"/>
      <c r="AS1537" s="22"/>
      <c r="AT1537" s="22"/>
      <c r="AU1537" s="35"/>
      <c r="AV1537" s="35"/>
      <c r="AW1537" s="35"/>
      <c r="AX1537" s="35"/>
      <c r="AY1537" s="35"/>
      <c r="AZ1537" s="35"/>
      <c r="BA1537" s="35"/>
      <c r="BB1537" s="35"/>
      <c r="BC1537" s="35"/>
      <c r="BD1537" s="35"/>
      <c r="BE1537" s="35"/>
      <c r="BF1537" s="35"/>
      <c r="BG1537" s="35"/>
      <c r="BH1537" s="35"/>
      <c r="BI1537" s="35"/>
      <c r="BJ1537" s="35"/>
      <c r="BK1537" s="35"/>
      <c r="BL1537" s="35"/>
      <c r="BM1537" s="35"/>
      <c r="BN1537" s="35"/>
      <c r="BO1537" s="78"/>
    </row>
    <row r="1538" spans="1:67" s="20" customFormat="1" ht="15.75" customHeight="1" thickBot="1" x14ac:dyDescent="0.3">
      <c r="A1538" s="520">
        <f>IFERROR(VLOOKUP($G$5,'רשימת רשויות'!A:C,3,0),0)</f>
        <v>0</v>
      </c>
      <c r="B1538" s="520">
        <f t="shared" si="211"/>
        <v>0</v>
      </c>
      <c r="C1538" s="39"/>
      <c r="D1538" s="1134"/>
      <c r="E1538" s="1137"/>
      <c r="F1538" s="584" t="s">
        <v>144</v>
      </c>
      <c r="G1538" s="87">
        <f>IF(G1541="תקין",IFERROR(VLOOKUP($G1536,'דוח ביצוע (3)'!$B$21:$Q$900,12,0),0),0)</f>
        <v>0</v>
      </c>
      <c r="H1538" s="88">
        <f>IFERROR(G1539*$AH$6+G1540*$AH$7,0)</f>
        <v>0</v>
      </c>
      <c r="I1538" s="88">
        <f>IFERROR(G1539*$AI$6+G1540*$AI$7,0)</f>
        <v>0</v>
      </c>
      <c r="J1538" s="88">
        <f>IFERROR(G1539*$AJ$6+G1540*$AJ$7,0)</f>
        <v>0</v>
      </c>
      <c r="K1538" s="88">
        <f>IFERROR(G1539*$AK$6+G1540*$AK$7,0)</f>
        <v>0</v>
      </c>
      <c r="L1538" s="405"/>
      <c r="M1538" s="399" t="s">
        <v>427</v>
      </c>
      <c r="N1538" s="400" t="str">
        <f>IFERROR(VLOOKUP($G1536,'דוח ביצוע (3)'!$B:$AE,28,0),"")</f>
        <v/>
      </c>
      <c r="O1538" s="89" t="str">
        <f>IFERROR(VLOOKUP($G1536,'דוח ביצוע (3)'!B:AE,29,0),"")</f>
        <v/>
      </c>
      <c r="P1538" s="595"/>
      <c r="Q1538" s="595"/>
      <c r="R1538" s="596"/>
      <c r="S1538" s="610"/>
      <c r="T1538" s="881"/>
      <c r="U1538" s="598"/>
      <c r="V1538" s="599"/>
      <c r="W1538" s="599"/>
      <c r="X1538" s="599"/>
      <c r="Y1538" s="879"/>
      <c r="Z1538" s="85"/>
      <c r="AC1538" s="493"/>
      <c r="AD1538" s="495"/>
      <c r="AO1538" s="22"/>
      <c r="AP1538" s="22"/>
      <c r="AQ1538" s="22"/>
      <c r="AR1538" s="22"/>
      <c r="AS1538" s="22"/>
      <c r="AT1538" s="22"/>
      <c r="AU1538" s="35"/>
      <c r="AV1538" s="35"/>
      <c r="AW1538" s="35"/>
      <c r="AX1538" s="35"/>
      <c r="AY1538" s="35"/>
      <c r="AZ1538" s="35"/>
      <c r="BA1538" s="35"/>
      <c r="BB1538" s="35"/>
      <c r="BC1538" s="35"/>
      <c r="BD1538" s="35"/>
      <c r="BE1538" s="35"/>
      <c r="BF1538" s="35"/>
      <c r="BG1538" s="35"/>
      <c r="BH1538" s="35"/>
      <c r="BI1538" s="35"/>
      <c r="BJ1538" s="35"/>
      <c r="BK1538" s="35"/>
      <c r="BL1538" s="35"/>
      <c r="BM1538" s="35"/>
      <c r="BN1538" s="35"/>
      <c r="BO1538" s="78"/>
    </row>
    <row r="1539" spans="1:67" s="20" customFormat="1" ht="32.25" thickBot="1" x14ac:dyDescent="0.3">
      <c r="A1539" s="520">
        <f>IFERROR(VLOOKUP($G$5,'רשימת רשויות'!A:C,3,0),0)</f>
        <v>0</v>
      </c>
      <c r="B1539" s="520">
        <f t="shared" si="211"/>
        <v>0</v>
      </c>
      <c r="C1539" s="39"/>
      <c r="D1539" s="1134"/>
      <c r="E1539" s="1137"/>
      <c r="F1539" s="585" t="s">
        <v>2195</v>
      </c>
      <c r="G1539" s="89">
        <f>IF(G1541="תקין",MAX(N1541,0),0)</f>
        <v>0</v>
      </c>
      <c r="H1539" s="725" t="s">
        <v>151</v>
      </c>
      <c r="I1539" s="725" t="s">
        <v>91</v>
      </c>
      <c r="J1539" s="970" t="s">
        <v>3396</v>
      </c>
      <c r="K1539" s="601"/>
      <c r="L1539" s="601"/>
      <c r="M1539" s="983" t="s">
        <v>2585</v>
      </c>
      <c r="N1539" s="400" t="str">
        <f>IFERROR(G1538/15*N1538*1.25,"")</f>
        <v/>
      </c>
      <c r="O1539" s="89" t="str">
        <f>IFERROR(G1538/15*O1538*1.25,"")</f>
        <v/>
      </c>
      <c r="P1539" s="595"/>
      <c r="Q1539" s="595"/>
      <c r="R1539" s="596"/>
      <c r="S1539" s="610"/>
      <c r="T1539" s="881"/>
      <c r="U1539" s="598"/>
      <c r="V1539" s="599"/>
      <c r="W1539" s="599"/>
      <c r="X1539" s="599"/>
      <c r="Y1539" s="879"/>
      <c r="Z1539" s="85"/>
      <c r="AC1539" s="493"/>
      <c r="AD1539" s="495"/>
      <c r="AG1539" s="22"/>
      <c r="AH1539" s="55"/>
      <c r="AI1539" s="55"/>
      <c r="AJ1539" s="55"/>
      <c r="AK1539" s="55"/>
      <c r="AO1539" s="22"/>
      <c r="AP1539" s="22"/>
      <c r="AQ1539" s="22"/>
      <c r="AR1539" s="22"/>
      <c r="AS1539" s="22"/>
      <c r="AT1539" s="22"/>
      <c r="AU1539" s="35"/>
      <c r="AV1539" s="35"/>
      <c r="AW1539" s="35"/>
      <c r="AX1539" s="35"/>
      <c r="AY1539" s="35"/>
      <c r="AZ1539" s="35"/>
      <c r="BA1539" s="35"/>
      <c r="BB1539" s="35"/>
      <c r="BC1539" s="35"/>
      <c r="BD1539" s="35"/>
      <c r="BE1539" s="35"/>
      <c r="BF1539" s="35"/>
      <c r="BG1539" s="35"/>
      <c r="BH1539" s="35"/>
      <c r="BI1539" s="35"/>
      <c r="BJ1539" s="35"/>
      <c r="BK1539" s="35"/>
      <c r="BL1539" s="35"/>
      <c r="BM1539" s="35"/>
      <c r="BN1539" s="35"/>
      <c r="BO1539" s="86"/>
    </row>
    <row r="1540" spans="1:67" s="20" customFormat="1" ht="16.5" thickBot="1" x14ac:dyDescent="0.3">
      <c r="A1540" s="520">
        <f>IFERROR(VLOOKUP($G$5,'רשימת רשויות'!A:C,3,0),0)</f>
        <v>0</v>
      </c>
      <c r="B1540" s="520">
        <f t="shared" si="211"/>
        <v>0</v>
      </c>
      <c r="C1540" s="39"/>
      <c r="D1540" s="1134"/>
      <c r="E1540" s="1137"/>
      <c r="F1540" s="585" t="s">
        <v>2196</v>
      </c>
      <c r="G1540" s="89">
        <f>IF(G1541="תקין",MAX(O1541,0),0)</f>
        <v>0</v>
      </c>
      <c r="H1540" s="88">
        <f>(IFERROR(IF((G1539+G1540)=0,0,IF(G1537="קטן",G1538*$AH$10,G1538*$AH$11)),0))+(IFERROR(IF((G1539+G1540)=0,0,VLOOKUP(G1536,'דוח ביצוע (3)'!$B:$AH,33,0)),0))</f>
        <v>0</v>
      </c>
      <c r="I1540" s="88">
        <f>IFERROR(IF((G1539+G1540)=0,0,IF(G1537="קטן",G1538*$AI$10,G1538*$AI$11)),0)</f>
        <v>0</v>
      </c>
      <c r="J1540" s="88">
        <f>IFERROR(IF((G1539+G1540)=0,0,VLOOKUP(G1536,'דוח ביצוע (3)'!$B:$AH,32,0)),0)</f>
        <v>0</v>
      </c>
      <c r="K1540" s="90"/>
      <c r="L1540" s="90"/>
      <c r="M1540" s="399" t="s">
        <v>412</v>
      </c>
      <c r="N1540" s="400">
        <f>IFERROR(VLOOKUP($G1536,'דוח ביצוע (3)'!$B$21:$U$500,18,0),0)</f>
        <v>0</v>
      </c>
      <c r="O1540" s="401">
        <f>IFERROR(VLOOKUP($G1536,'דוח ביצוע (3)'!$B$21:$U$500,19,0),0)</f>
        <v>0</v>
      </c>
      <c r="P1540" s="595"/>
      <c r="Q1540" s="595"/>
      <c r="R1540" s="596"/>
      <c r="S1540" s="610"/>
      <c r="T1540" s="881"/>
      <c r="U1540" s="598"/>
      <c r="V1540" s="599"/>
      <c r="W1540" s="599"/>
      <c r="X1540" s="599"/>
      <c r="Y1540" s="879"/>
      <c r="Z1540" s="85"/>
      <c r="AC1540" s="493"/>
      <c r="AD1540" s="495"/>
      <c r="AG1540" s="22"/>
      <c r="AH1540" s="55"/>
      <c r="AI1540" s="55"/>
      <c r="AJ1540" s="55"/>
      <c r="AK1540" s="55"/>
      <c r="AO1540" s="22"/>
      <c r="AP1540" s="22"/>
      <c r="AQ1540" s="22"/>
      <c r="AR1540" s="22"/>
      <c r="AS1540" s="22"/>
      <c r="AT1540" s="22"/>
      <c r="AU1540" s="35"/>
      <c r="AV1540" s="35"/>
      <c r="AW1540" s="35"/>
      <c r="AX1540" s="35"/>
      <c r="AY1540" s="35"/>
      <c r="AZ1540" s="35"/>
      <c r="BA1540" s="35"/>
      <c r="BB1540" s="35"/>
      <c r="BC1540" s="35"/>
      <c r="BD1540" s="35"/>
      <c r="BE1540" s="35"/>
      <c r="BF1540" s="35"/>
      <c r="BG1540" s="35"/>
      <c r="BH1540" s="35"/>
      <c r="BI1540" s="35"/>
      <c r="BJ1540" s="35"/>
      <c r="BK1540" s="35"/>
      <c r="BL1540" s="35"/>
      <c r="BM1540" s="35"/>
      <c r="BN1540" s="35"/>
      <c r="BO1540" s="86"/>
    </row>
    <row r="1541" spans="1:67" s="20" customFormat="1" ht="16.5" thickBot="1" x14ac:dyDescent="0.3">
      <c r="A1541" s="520">
        <f>IFERROR(VLOOKUP($G$5,'רשימת רשויות'!A:C,3,0),0)</f>
        <v>0</v>
      </c>
      <c r="B1541" s="520">
        <f t="shared" si="211"/>
        <v>0</v>
      </c>
      <c r="C1541" s="39"/>
      <c r="D1541" s="1134"/>
      <c r="E1541" s="1137"/>
      <c r="F1541" s="586" t="s">
        <v>2355</v>
      </c>
      <c r="G1541" s="514">
        <f>IFERROR(IF(VLOOKUP('בית ספר - תקצוב לפי מוסד (9)'!G1536,' איוש משרות (8)'!$C:$K,9,0)="תקין","תקין","לא תקין"),0)</f>
        <v>0</v>
      </c>
      <c r="H1541" s="91"/>
      <c r="I1541" s="91"/>
      <c r="J1541" s="91"/>
      <c r="K1541" s="90"/>
      <c r="L1541" s="90"/>
      <c r="M1541" s="402" t="s">
        <v>2586</v>
      </c>
      <c r="N1541" s="403">
        <f>IFERROR(MIN(N1539,N1540),0)</f>
        <v>0</v>
      </c>
      <c r="O1541" s="404">
        <f>IFERROR(MIN(O1539,O1540),0)</f>
        <v>0</v>
      </c>
      <c r="P1541" s="595"/>
      <c r="Q1541" s="595"/>
      <c r="R1541" s="596"/>
      <c r="S1541" s="610"/>
      <c r="T1541" s="881"/>
      <c r="U1541" s="598"/>
      <c r="V1541" s="599"/>
      <c r="W1541" s="599"/>
      <c r="X1541" s="599"/>
      <c r="Y1541" s="879"/>
      <c r="Z1541" s="85"/>
      <c r="AC1541" s="493"/>
      <c r="AD1541" s="495"/>
      <c r="AG1541" s="94"/>
      <c r="AH1541" s="40"/>
      <c r="AI1541" s="40"/>
      <c r="AJ1541" s="40"/>
      <c r="AK1541" s="40"/>
      <c r="AO1541" s="22"/>
      <c r="AP1541" s="22"/>
      <c r="AQ1541" s="22"/>
      <c r="AR1541" s="22"/>
      <c r="AS1541" s="22"/>
      <c r="AT1541" s="22"/>
      <c r="AU1541" s="35"/>
      <c r="AV1541" s="35"/>
      <c r="AW1541" s="35"/>
      <c r="AX1541" s="35"/>
      <c r="AY1541" s="35"/>
      <c r="AZ1541" s="35"/>
      <c r="BA1541" s="35"/>
      <c r="BB1541" s="35"/>
      <c r="BC1541" s="35"/>
      <c r="BD1541" s="35"/>
      <c r="BE1541" s="35"/>
      <c r="BF1541" s="35"/>
      <c r="BG1541" s="35"/>
      <c r="BH1541" s="35"/>
      <c r="BI1541" s="35"/>
      <c r="BJ1541" s="35"/>
      <c r="BK1541" s="35"/>
      <c r="BL1541" s="35"/>
      <c r="BM1541" s="35"/>
      <c r="BN1541" s="35"/>
      <c r="BO1541" s="86"/>
    </row>
    <row r="1542" spans="1:67" s="55" customFormat="1" ht="37.15" customHeight="1" thickBot="1" x14ac:dyDescent="0.3">
      <c r="A1542" s="520">
        <f>IFERROR(VLOOKUP($G$5,'רשימת רשויות'!A:C,3,0),0)</f>
        <v>0</v>
      </c>
      <c r="B1542" s="520">
        <f t="shared" si="211"/>
        <v>0</v>
      </c>
      <c r="C1542" s="39"/>
      <c r="D1542" s="1134"/>
      <c r="E1542" s="1137"/>
      <c r="F1542" s="587" t="s">
        <v>142</v>
      </c>
      <c r="G1542" s="92"/>
      <c r="H1542" s="92"/>
      <c r="I1542" s="92"/>
      <c r="J1542" s="92"/>
      <c r="K1542" s="602"/>
      <c r="L1542" s="602"/>
      <c r="M1542" s="602"/>
      <c r="N1542" s="602"/>
      <c r="O1542" s="602"/>
      <c r="P1542" s="595"/>
      <c r="Q1542" s="595"/>
      <c r="R1542" s="596"/>
      <c r="S1542" s="610"/>
      <c r="T1542" s="881"/>
      <c r="U1542" s="598"/>
      <c r="V1542" s="599"/>
      <c r="W1542" s="599"/>
      <c r="X1542" s="599"/>
      <c r="Y1542" s="879"/>
      <c r="Z1542" s="93"/>
      <c r="AC1542" s="493"/>
      <c r="AD1542" s="495"/>
      <c r="AF1542" s="22"/>
      <c r="AG1542" s="98"/>
      <c r="AH1542" s="98"/>
      <c r="AI1542" s="40"/>
      <c r="AJ1542" s="40"/>
      <c r="AK1542" s="40"/>
      <c r="AO1542" s="22"/>
      <c r="AP1542" s="22"/>
      <c r="AQ1542" s="22"/>
      <c r="AR1542" s="22"/>
      <c r="AS1542" s="22"/>
      <c r="AT1542" s="22"/>
      <c r="AU1542" s="35"/>
      <c r="AV1542" s="35"/>
      <c r="AW1542" s="35"/>
      <c r="AX1542" s="35"/>
      <c r="AY1542" s="35"/>
      <c r="AZ1542" s="35"/>
      <c r="BA1542" s="35"/>
      <c r="BB1542" s="35"/>
      <c r="BC1542" s="35"/>
      <c r="BD1542" s="35"/>
      <c r="BE1542" s="35"/>
      <c r="BF1542" s="35"/>
      <c r="BG1542" s="35"/>
      <c r="BH1542" s="35"/>
      <c r="BI1542" s="35"/>
      <c r="BJ1542" s="35"/>
      <c r="BK1542" s="35"/>
      <c r="BL1542" s="35"/>
      <c r="BM1542" s="35"/>
      <c r="BN1542" s="35"/>
      <c r="BO1542" s="86"/>
    </row>
    <row r="1543" spans="1:67" s="40" customFormat="1" ht="31.5" x14ac:dyDescent="0.25">
      <c r="A1543" s="520">
        <f>IFERROR(VLOOKUP($G$5,'רשימת רשויות'!A:C,3,0),0)</f>
        <v>0</v>
      </c>
      <c r="B1543" s="520">
        <f t="shared" si="211"/>
        <v>0</v>
      </c>
      <c r="C1543" s="39"/>
      <c r="D1543" s="1134"/>
      <c r="E1543" s="1137"/>
      <c r="F1543" s="588" t="s">
        <v>94</v>
      </c>
      <c r="G1543" s="95" t="s">
        <v>18</v>
      </c>
      <c r="H1543" s="95" t="s">
        <v>19</v>
      </c>
      <c r="I1543" s="95" t="s">
        <v>138</v>
      </c>
      <c r="J1543" s="96" t="s">
        <v>139</v>
      </c>
      <c r="K1543" s="603"/>
      <c r="L1543" s="603"/>
      <c r="M1543" s="603"/>
      <c r="N1543" s="603"/>
      <c r="O1543" s="603"/>
      <c r="P1543" s="604"/>
      <c r="Q1543" s="604"/>
      <c r="R1543" s="596"/>
      <c r="S1543" s="610"/>
      <c r="T1543" s="881"/>
      <c r="U1543" s="598"/>
      <c r="V1543" s="599"/>
      <c r="W1543" s="599"/>
      <c r="X1543" s="599"/>
      <c r="Y1543" s="879"/>
      <c r="Z1543" s="97"/>
      <c r="AA1543" s="94"/>
      <c r="AB1543" s="94"/>
      <c r="AC1543" s="493"/>
      <c r="AD1543" s="495"/>
      <c r="AE1543" s="94"/>
      <c r="AG1543" s="98"/>
      <c r="AH1543" s="98"/>
      <c r="AO1543" s="22"/>
      <c r="AP1543" s="22"/>
      <c r="AQ1543" s="22"/>
      <c r="AR1543" s="22"/>
      <c r="AS1543" s="22"/>
      <c r="AT1543" s="22"/>
      <c r="AU1543" s="35"/>
      <c r="AV1543" s="35"/>
      <c r="AW1543" s="35"/>
      <c r="AX1543" s="35"/>
      <c r="AY1543" s="35"/>
      <c r="AZ1543" s="35"/>
      <c r="BA1543" s="35"/>
      <c r="BB1543" s="35"/>
      <c r="BC1543" s="35"/>
      <c r="BD1543" s="35"/>
      <c r="BE1543" s="35"/>
      <c r="BF1543" s="35"/>
      <c r="BG1543" s="35"/>
      <c r="BH1543" s="35"/>
      <c r="BI1543" s="35"/>
      <c r="BJ1543" s="35"/>
      <c r="BK1543" s="35"/>
      <c r="BL1543" s="35"/>
      <c r="BM1543" s="35"/>
      <c r="BN1543" s="35"/>
      <c r="BO1543" s="86"/>
    </row>
    <row r="1544" spans="1:67" s="40" customFormat="1" ht="15.75" customHeight="1" thickBot="1" x14ac:dyDescent="0.3">
      <c r="A1544" s="520">
        <f>IFERROR(VLOOKUP($G$5,'רשימת רשויות'!A:C,3,0),0)</f>
        <v>0</v>
      </c>
      <c r="B1544" s="520">
        <f t="shared" si="211"/>
        <v>0</v>
      </c>
      <c r="C1544" s="39"/>
      <c r="D1544" s="1134"/>
      <c r="E1544" s="1137"/>
      <c r="F1544" s="589" t="s">
        <v>2280</v>
      </c>
      <c r="G1544" s="99">
        <f>+G1555</f>
        <v>0</v>
      </c>
      <c r="H1544" s="100">
        <f>K1538</f>
        <v>0</v>
      </c>
      <c r="I1544" s="100">
        <f>H1544-I1546</f>
        <v>0</v>
      </c>
      <c r="J1544" s="101">
        <f>IFERROR(I1544/H1544,0)</f>
        <v>0</v>
      </c>
      <c r="K1544" s="603"/>
      <c r="L1544" s="603"/>
      <c r="M1544" s="603"/>
      <c r="N1544" s="603"/>
      <c r="O1544" s="603"/>
      <c r="P1544" s="605"/>
      <c r="Q1544" s="604"/>
      <c r="R1544" s="606" t="s">
        <v>157</v>
      </c>
      <c r="S1544" s="611"/>
      <c r="T1544" s="881"/>
      <c r="U1544" s="598"/>
      <c r="V1544" s="599"/>
      <c r="W1544" s="599"/>
      <c r="X1544" s="599"/>
      <c r="Y1544" s="879"/>
      <c r="Z1544" s="102"/>
      <c r="AA1544" s="122"/>
      <c r="AB1544" s="122"/>
      <c r="AC1544" s="493"/>
      <c r="AD1544" s="495"/>
      <c r="AE1544" s="122"/>
      <c r="AF1544" s="22"/>
      <c r="AG1544" s="98"/>
      <c r="AH1544" s="98"/>
      <c r="AI1544" s="20"/>
      <c r="AO1544" s="22"/>
      <c r="AP1544" s="22"/>
      <c r="AQ1544" s="22"/>
      <c r="AR1544" s="22"/>
      <c r="AS1544" s="22"/>
      <c r="AT1544" s="22"/>
      <c r="AU1544" s="35"/>
      <c r="AV1544" s="35"/>
      <c r="AW1544" s="35"/>
      <c r="AX1544" s="35"/>
      <c r="AY1544" s="35"/>
      <c r="AZ1544" s="35"/>
      <c r="BA1544" s="35"/>
      <c r="BB1544" s="35"/>
      <c r="BC1544" s="35"/>
      <c r="BD1544" s="35"/>
      <c r="BE1544" s="35"/>
      <c r="BF1544" s="35"/>
      <c r="BG1544" s="35"/>
      <c r="BH1544" s="35"/>
      <c r="BI1544" s="35"/>
      <c r="BJ1544" s="35"/>
      <c r="BK1544" s="35"/>
      <c r="BL1544" s="35"/>
      <c r="BM1544" s="35"/>
      <c r="BN1544" s="35"/>
      <c r="BO1544" s="86"/>
    </row>
    <row r="1545" spans="1:67" s="40" customFormat="1" ht="15.75" customHeight="1" thickBot="1" x14ac:dyDescent="0.3">
      <c r="A1545" s="520">
        <f>IFERROR(VLOOKUP($G$5,'רשימת רשויות'!A:C,3,0),0)</f>
        <v>0</v>
      </c>
      <c r="B1545" s="520">
        <f t="shared" si="211"/>
        <v>0</v>
      </c>
      <c r="C1545" s="39"/>
      <c r="D1545" s="1134"/>
      <c r="E1545" s="1137"/>
      <c r="F1545" s="589" t="s">
        <v>2281</v>
      </c>
      <c r="G1545" s="99">
        <f>+G1554</f>
        <v>0</v>
      </c>
      <c r="H1545" s="103"/>
      <c r="I1545" s="104"/>
      <c r="J1545" s="105"/>
      <c r="K1545" s="603"/>
      <c r="L1545" s="603"/>
      <c r="M1545" s="603"/>
      <c r="N1545" s="603"/>
      <c r="O1545" s="603"/>
      <c r="P1545" s="605"/>
      <c r="Q1545" s="604"/>
      <c r="R1545" s="473">
        <f>I1546-R1547</f>
        <v>0</v>
      </c>
      <c r="S1545" s="611"/>
      <c r="T1545" s="881"/>
      <c r="U1545" s="598"/>
      <c r="V1545" s="599"/>
      <c r="W1545" s="599"/>
      <c r="X1545" s="599"/>
      <c r="Y1545" s="879"/>
      <c r="Z1545" s="106"/>
      <c r="AA1545" s="22"/>
      <c r="AB1545" s="22"/>
      <c r="AC1545" s="493"/>
      <c r="AD1545" s="495"/>
      <c r="AE1545" s="22"/>
      <c r="AF1545" s="22"/>
      <c r="AG1545" s="98"/>
      <c r="AH1545" s="98"/>
      <c r="AI1545" s="20"/>
      <c r="AO1545" s="22"/>
      <c r="AP1545" s="22"/>
      <c r="AQ1545" s="22"/>
      <c r="AR1545" s="22"/>
      <c r="AS1545" s="22"/>
      <c r="AT1545" s="22"/>
      <c r="AU1545" s="35"/>
      <c r="AV1545" s="35"/>
      <c r="AW1545" s="35"/>
      <c r="AX1545" s="35"/>
      <c r="AY1545" s="35"/>
      <c r="AZ1545" s="35"/>
      <c r="BA1545" s="35"/>
      <c r="BB1545" s="35"/>
      <c r="BC1545" s="35"/>
      <c r="BD1545" s="35"/>
      <c r="BE1545" s="35"/>
      <c r="BF1545" s="35"/>
      <c r="BG1545" s="35"/>
      <c r="BH1545" s="35"/>
      <c r="BI1545" s="35"/>
      <c r="BJ1545" s="35"/>
      <c r="BK1545" s="35"/>
      <c r="BL1545" s="35"/>
      <c r="BM1545" s="35"/>
      <c r="BN1545" s="35"/>
      <c r="BO1545" s="86"/>
    </row>
    <row r="1546" spans="1:67" s="40" customFormat="1" ht="16.5" customHeight="1" thickBot="1" x14ac:dyDescent="0.3">
      <c r="A1546" s="520">
        <f>IFERROR(VLOOKUP($G$5,'רשימת רשויות'!A:C,3,0),0)</f>
        <v>0</v>
      </c>
      <c r="B1546" s="520">
        <f t="shared" si="211"/>
        <v>0</v>
      </c>
      <c r="C1546" s="39"/>
      <c r="D1546" s="1134"/>
      <c r="E1546" s="1137"/>
      <c r="F1546" s="589" t="s">
        <v>2282</v>
      </c>
      <c r="G1546" s="99">
        <f>G1550+G1551+G1552</f>
        <v>0</v>
      </c>
      <c r="H1546" s="104"/>
      <c r="I1546" s="107">
        <f>MAX(H1544-G1544-G1545,0)</f>
        <v>0</v>
      </c>
      <c r="J1546" s="108">
        <f>IFERROR(I1546/H1544,0)</f>
        <v>0</v>
      </c>
      <c r="K1546" s="603"/>
      <c r="L1546" s="603"/>
      <c r="M1546" s="603"/>
      <c r="N1546" s="603"/>
      <c r="O1546" s="603"/>
      <c r="P1546" s="604"/>
      <c r="Q1546" s="604"/>
      <c r="R1546" s="606" t="s">
        <v>158</v>
      </c>
      <c r="S1546" s="612"/>
      <c r="T1546" s="881"/>
      <c r="U1546" s="598"/>
      <c r="V1546" s="599"/>
      <c r="W1546" s="599"/>
      <c r="X1546" s="599"/>
      <c r="Y1546" s="879"/>
      <c r="Z1546" s="106"/>
      <c r="AA1546" s="22"/>
      <c r="AB1546" s="22"/>
      <c r="AC1546" s="493"/>
      <c r="AD1546" s="495"/>
      <c r="AE1546" s="22"/>
      <c r="AF1546" s="22"/>
      <c r="AG1546" s="22"/>
      <c r="AH1546" s="22"/>
      <c r="AI1546" s="55"/>
      <c r="AJ1546" s="22"/>
      <c r="AK1546" s="22"/>
      <c r="AO1546" s="22"/>
      <c r="AP1546" s="22"/>
      <c r="AQ1546" s="22"/>
      <c r="AR1546" s="22"/>
      <c r="AS1546" s="22"/>
      <c r="AT1546" s="22"/>
      <c r="AU1546" s="35"/>
      <c r="AV1546" s="35"/>
      <c r="AW1546" s="35"/>
      <c r="AX1546" s="35"/>
      <c r="AY1546" s="35"/>
      <c r="AZ1546" s="35"/>
      <c r="BA1546" s="35"/>
      <c r="BB1546" s="35"/>
      <c r="BC1546" s="35"/>
      <c r="BD1546" s="35"/>
      <c r="BE1546" s="35"/>
      <c r="BF1546" s="35"/>
      <c r="BG1546" s="35"/>
      <c r="BH1546" s="35"/>
      <c r="BI1546" s="35"/>
      <c r="BJ1546" s="35"/>
      <c r="BK1546" s="35"/>
      <c r="BL1546" s="35"/>
      <c r="BM1546" s="35"/>
      <c r="BN1546" s="35"/>
      <c r="BO1546" s="86"/>
    </row>
    <row r="1547" spans="1:67" s="40" customFormat="1" ht="15.75" customHeight="1" thickBot="1" x14ac:dyDescent="0.3">
      <c r="A1547" s="520">
        <f>IFERROR(VLOOKUP($G$5,'רשימת רשויות'!A:C,3,0),0)</f>
        <v>0</v>
      </c>
      <c r="B1547" s="520">
        <f t="shared" si="211"/>
        <v>0</v>
      </c>
      <c r="C1547" s="39"/>
      <c r="D1547" s="1134"/>
      <c r="E1547" s="1137"/>
      <c r="F1547" s="590" t="s">
        <v>2290</v>
      </c>
      <c r="G1547" s="109"/>
      <c r="H1547" s="110"/>
      <c r="I1547" s="111">
        <f>SUM(I1544:I1546)</f>
        <v>0</v>
      </c>
      <c r="J1547" s="112">
        <f>SUM(J1544:J1546)</f>
        <v>0</v>
      </c>
      <c r="K1547" s="603"/>
      <c r="L1547" s="603"/>
      <c r="M1547" s="603"/>
      <c r="N1547" s="603"/>
      <c r="O1547" s="603"/>
      <c r="P1547" s="604"/>
      <c r="Q1547" s="604"/>
      <c r="R1547" s="473">
        <f>MIN(MAX(G1551+G1552-I1540-J1540,0),I1546)</f>
        <v>0</v>
      </c>
      <c r="S1547" s="612"/>
      <c r="T1547" s="881"/>
      <c r="U1547" s="598"/>
      <c r="V1547" s="599"/>
      <c r="W1547" s="599"/>
      <c r="X1547" s="599"/>
      <c r="Y1547" s="879"/>
      <c r="Z1547" s="106"/>
      <c r="AA1547" s="22"/>
      <c r="AB1547" s="22"/>
      <c r="AC1547" s="493"/>
      <c r="AD1547" s="495"/>
      <c r="AE1547" s="22"/>
      <c r="AF1547" s="22"/>
      <c r="AG1547" s="22"/>
      <c r="AH1547" s="22"/>
      <c r="AJ1547" s="22"/>
      <c r="AK1547" s="22"/>
      <c r="AO1547" s="22"/>
      <c r="AP1547" s="22"/>
      <c r="AQ1547" s="22"/>
      <c r="AR1547" s="22"/>
      <c r="AS1547" s="22"/>
      <c r="AT1547" s="22"/>
      <c r="AU1547" s="35"/>
      <c r="AV1547" s="35"/>
      <c r="AW1547" s="35"/>
      <c r="AX1547" s="35"/>
      <c r="AY1547" s="35"/>
      <c r="AZ1547" s="35"/>
      <c r="BA1547" s="35"/>
      <c r="BB1547" s="35"/>
      <c r="BC1547" s="35"/>
      <c r="BD1547" s="35"/>
      <c r="BE1547" s="35"/>
      <c r="BF1547" s="35"/>
      <c r="BG1547" s="35"/>
      <c r="BH1547" s="35"/>
      <c r="BI1547" s="35"/>
      <c r="BJ1547" s="35"/>
      <c r="BK1547" s="35"/>
      <c r="BL1547" s="35"/>
      <c r="BM1547" s="35"/>
      <c r="BN1547" s="35"/>
      <c r="BO1547" s="86"/>
    </row>
    <row r="1548" spans="1:67" ht="16.5" thickBot="1" x14ac:dyDescent="0.3">
      <c r="A1548" s="520">
        <f>IFERROR(VLOOKUP($G$5,'רשימת רשויות'!A:C,3,0),0)</f>
        <v>0</v>
      </c>
      <c r="B1548" s="520">
        <f t="shared" si="211"/>
        <v>0</v>
      </c>
      <c r="D1548" s="1134"/>
      <c r="E1548" s="1137"/>
      <c r="F1548" s="587" t="s">
        <v>17</v>
      </c>
      <c r="G1548" s="113"/>
      <c r="H1548" s="92"/>
      <c r="I1548" s="114"/>
      <c r="J1548" s="115"/>
      <c r="K1548" s="116"/>
      <c r="L1548" s="406"/>
      <c r="M1548" s="116"/>
      <c r="N1548" s="116"/>
      <c r="O1548" s="116"/>
      <c r="P1548" s="474"/>
      <c r="Q1548" s="607"/>
      <c r="R1548" s="608"/>
      <c r="S1548" s="612"/>
      <c r="T1548" s="881"/>
      <c r="U1548" s="598"/>
      <c r="V1548" s="599"/>
      <c r="W1548" s="599"/>
      <c r="X1548" s="599"/>
      <c r="Y1548" s="879"/>
      <c r="Z1548" s="106"/>
      <c r="AI1548" s="40"/>
      <c r="BO1548" s="86"/>
    </row>
    <row r="1549" spans="1:67" ht="47.25" x14ac:dyDescent="0.25">
      <c r="A1549" s="520">
        <f>IFERROR(VLOOKUP($G$5,'רשימת רשויות'!A:C,3,0),0)</f>
        <v>0</v>
      </c>
      <c r="B1549" s="520">
        <f t="shared" si="211"/>
        <v>0</v>
      </c>
      <c r="D1549" s="1134"/>
      <c r="E1549" s="1137"/>
      <c r="F1549" s="588" t="s">
        <v>2</v>
      </c>
      <c r="G1549" s="95" t="s">
        <v>18</v>
      </c>
      <c r="H1549" s="95" t="s">
        <v>19</v>
      </c>
      <c r="I1549" s="95" t="s">
        <v>20</v>
      </c>
      <c r="J1549" s="95" t="s">
        <v>22</v>
      </c>
      <c r="K1549" s="96" t="s">
        <v>2314</v>
      </c>
      <c r="L1549" s="609"/>
      <c r="M1549" s="609"/>
      <c r="N1549" s="609"/>
      <c r="O1549" s="580"/>
      <c r="P1549" s="618" t="s">
        <v>2298</v>
      </c>
      <c r="Q1549" s="618" t="s">
        <v>2299</v>
      </c>
      <c r="R1549" s="596"/>
      <c r="S1549" s="890" t="s">
        <v>2519</v>
      </c>
      <c r="T1549" s="890" t="s">
        <v>97</v>
      </c>
      <c r="U1549" s="891" t="s">
        <v>2521</v>
      </c>
      <c r="V1549" s="892" t="s">
        <v>2520</v>
      </c>
      <c r="W1549" s="893" t="s">
        <v>2524</v>
      </c>
      <c r="X1549" s="892" t="s">
        <v>2522</v>
      </c>
      <c r="Y1549" s="894" t="s">
        <v>2523</v>
      </c>
      <c r="Z1549" s="106"/>
      <c r="AC1549" s="498" t="s">
        <v>2568</v>
      </c>
      <c r="AD1549" s="499" t="s">
        <v>2569</v>
      </c>
      <c r="AF1549" s="122"/>
      <c r="AI1549" s="40"/>
      <c r="BO1549" s="86"/>
    </row>
    <row r="1550" spans="1:67" ht="15" customHeight="1" thickBot="1" x14ac:dyDescent="0.3">
      <c r="A1550" s="520">
        <f>IFERROR(VLOOKUP($G$5,'רשימת רשויות'!A:C,3,0),0)</f>
        <v>0</v>
      </c>
      <c r="B1550" s="520">
        <f t="shared" ref="B1550:B1613" si="220">IF(F1551="סמל המוסד",G1551,B1549)</f>
        <v>0</v>
      </c>
      <c r="D1550" s="1134"/>
      <c r="E1550" s="1137"/>
      <c r="F1550" s="589" t="s">
        <v>76</v>
      </c>
      <c r="G1550" s="117">
        <f>IF(G1541="תקין",SUMIF('עלויות כח אדם (6)'!$B$15:$B$3014,'בית ספר - תקצוב לפי מוסד (9)'!$G1536,'עלויות כח אדם (6)'!$M$15:$M$3014)-VLOOKUP('בית ספר - תקצוב לפי מוסד (9)'!G1536,' איוש משרות (8)'!$C:$H,5,0)-VLOOKUP('בית ספר - תקצוב לפי מוסד (9)'!G1536,' איוש משרות (8)'!$C:$H,6,0),0)-Y1550</f>
        <v>0</v>
      </c>
      <c r="H1550" s="118">
        <f>I1538+R1545</f>
        <v>0</v>
      </c>
      <c r="I1550" s="119">
        <f>IFERROR(SUM(G1550)/H1550,0)</f>
        <v>0</v>
      </c>
      <c r="J1550" s="100">
        <f>MIN(I1538+R1545,IF(ISNUMBER(G1550),G1550,0))</f>
        <v>0</v>
      </c>
      <c r="K1550" s="120">
        <f>MAX(H1550-G1550,0)</f>
        <v>0</v>
      </c>
      <c r="L1550" s="407"/>
      <c r="M1550" s="393"/>
      <c r="N1550" s="393"/>
      <c r="O1550" s="580"/>
      <c r="P1550" s="968">
        <f>IFERROR(IF(SUM(G1550)/(I1538)&lt;100%,MIN((I1538)-SUM(G1550),(I1538)*0.25),0),0)</f>
        <v>0</v>
      </c>
      <c r="Q1550" s="968">
        <f>IF(SUM(G1550)-(I1538+R1545)&gt;0,SUM(G1550)-(I1538+R1545),0)</f>
        <v>0</v>
      </c>
      <c r="R1550" s="596" t="s">
        <v>2351</v>
      </c>
      <c r="S1550" s="576" t="s">
        <v>2342</v>
      </c>
      <c r="T1550" s="599">
        <f>G1536</f>
        <v>0</v>
      </c>
      <c r="U1550" s="578"/>
      <c r="V1550" s="579">
        <f>G1550+G1551+G1552</f>
        <v>0</v>
      </c>
      <c r="W1550" s="579">
        <f>U1550-V1550</f>
        <v>0</v>
      </c>
      <c r="X1550" s="579">
        <f>IFERROR(W1564*W1550/(SUM(W1550:W1563)),0)</f>
        <v>0</v>
      </c>
      <c r="Y1550" s="879">
        <f>SUMIFS(בקרה!$S:$S,בקרה!$D:$D,T1550,בקרה!$K:$K,S1550)</f>
        <v>0</v>
      </c>
      <c r="Z1550" s="121"/>
      <c r="AA1550" s="143"/>
      <c r="AB1550" s="143"/>
      <c r="AC1550" s="504">
        <v>0</v>
      </c>
      <c r="AD1550" s="505">
        <f>IFERROR(U1550-AC1550,0)</f>
        <v>0</v>
      </c>
      <c r="AE1550" s="143"/>
      <c r="AI1550" s="20"/>
      <c r="BO1550" s="86"/>
    </row>
    <row r="1551" spans="1:67" ht="15" customHeight="1" thickBot="1" x14ac:dyDescent="0.3">
      <c r="A1551" s="520">
        <f>IFERROR(VLOOKUP($G$5,'רשימת רשויות'!A:C,3,0),0)</f>
        <v>0</v>
      </c>
      <c r="B1551" s="520">
        <f t="shared" si="220"/>
        <v>0</v>
      </c>
      <c r="D1551" s="1134"/>
      <c r="E1551" s="1137"/>
      <c r="F1551" s="589" t="s">
        <v>44</v>
      </c>
      <c r="G1551" s="123">
        <f>IF(G1541="תקין",IFERROR(VLOOKUP('בית ספר - תקצוב לפי מוסד (9)'!G1536,' איוש משרות (8)'!C:J,7,0),0),0)</f>
        <v>0</v>
      </c>
      <c r="H1551" s="124">
        <f>I1540+R1547+J1540</f>
        <v>0</v>
      </c>
      <c r="I1551" s="119">
        <f>IFERROR(SUM(G1551:G1552)/H1551,0)</f>
        <v>0</v>
      </c>
      <c r="J1551" s="100">
        <f>MIN(R1547+I1540,IF(ISNUMBER(SUM(G1551:G1552)),SUM(G1551:G1552),0))</f>
        <v>0</v>
      </c>
      <c r="K1551" s="1139">
        <f>MAX((H1551)-(G1551+G1552),0)</f>
        <v>0</v>
      </c>
      <c r="L1551" s="407"/>
      <c r="M1551" s="393"/>
      <c r="N1551" s="393"/>
      <c r="O1551" s="580"/>
      <c r="P1551" s="1140"/>
      <c r="Q1551" s="1140"/>
      <c r="R1551" s="617">
        <f>MAX(MIN(P1559-Q1559,H1559*0.15-G1557),0)</f>
        <v>0</v>
      </c>
      <c r="S1551" s="576"/>
      <c r="T1551" s="599">
        <f>G1536</f>
        <v>0</v>
      </c>
      <c r="U1551" s="578"/>
      <c r="V1551" s="579"/>
      <c r="W1551" s="579">
        <f t="shared" ref="W1551:W1563" si="221">U1551-V1551</f>
        <v>0</v>
      </c>
      <c r="X1551" s="579"/>
      <c r="Y1551" s="879"/>
      <c r="Z1551" s="121"/>
      <c r="AA1551" s="143"/>
      <c r="AB1551" s="143"/>
      <c r="AC1551" s="504"/>
      <c r="AD1551" s="505">
        <f t="shared" ref="AD1551:AD1557" si="222">IFERROR(U1551-AC1551,0)</f>
        <v>0</v>
      </c>
      <c r="AE1551" s="143"/>
      <c r="AI1551" s="20"/>
      <c r="BO1551" s="86"/>
    </row>
    <row r="1552" spans="1:67" ht="15.75" customHeight="1" x14ac:dyDescent="0.25">
      <c r="A1552" s="520">
        <f>IFERROR(VLOOKUP($G$5,'רשימת רשויות'!A:C,3,0),0)</f>
        <v>0</v>
      </c>
      <c r="B1552" s="520">
        <f t="shared" si="220"/>
        <v>0</v>
      </c>
      <c r="D1552" s="1134"/>
      <c r="E1552" s="1137"/>
      <c r="F1552" s="589" t="s">
        <v>45</v>
      </c>
      <c r="G1552" s="123">
        <f>IF(G1541="תקין",IFERROR(VLOOKUP('בית ספר - תקצוב לפי מוסד (9)'!G1536,' איוש משרות (8)'!C:J,8,0),0),0)</f>
        <v>0</v>
      </c>
      <c r="H1552" s="125"/>
      <c r="I1552" s="126"/>
      <c r="J1552" s="104"/>
      <c r="K1552" s="1139"/>
      <c r="L1552" s="407"/>
      <c r="M1552" s="393"/>
      <c r="N1552" s="393"/>
      <c r="O1552" s="580"/>
      <c r="P1552" s="1140"/>
      <c r="Q1552" s="1140"/>
      <c r="R1552" s="596"/>
      <c r="S1552" s="576"/>
      <c r="T1552" s="599">
        <f>G1536</f>
        <v>0</v>
      </c>
      <c r="U1552" s="578"/>
      <c r="V1552" s="579"/>
      <c r="W1552" s="579">
        <f t="shared" si="221"/>
        <v>0</v>
      </c>
      <c r="X1552" s="579"/>
      <c r="Y1552" s="879"/>
      <c r="Z1552" s="121"/>
      <c r="AA1552" s="143"/>
      <c r="AB1552" s="143"/>
      <c r="AC1552" s="504"/>
      <c r="AD1552" s="505">
        <f t="shared" si="222"/>
        <v>0</v>
      </c>
      <c r="AE1552" s="143"/>
      <c r="AG1552" s="55"/>
      <c r="AH1552" s="55"/>
      <c r="AI1552" s="55"/>
      <c r="AJ1552" s="55"/>
      <c r="AK1552" s="55"/>
      <c r="BO1552" s="86"/>
    </row>
    <row r="1553" spans="1:67" ht="15.75" customHeight="1" x14ac:dyDescent="0.25">
      <c r="A1553" s="520">
        <f>IFERROR(VLOOKUP($G$5,'רשימת רשויות'!A:C,3,0),0)</f>
        <v>0</v>
      </c>
      <c r="B1553" s="520">
        <f t="shared" si="220"/>
        <v>0</v>
      </c>
      <c r="D1553" s="1134"/>
      <c r="E1553" s="1137"/>
      <c r="F1553" s="589" t="s">
        <v>0</v>
      </c>
      <c r="G1553" s="117">
        <f>IF(G1541="תקין",SUMIFS('דוח הוצאות בפועל (4)'!$E$17:$E$3016,'דוח הוצאות בפועל (4)'!$B$17:$B$3016,'בית ספר - תקצוב לפי מוסד (9)'!$G1536,'דוח הוצאות בפועל (4)'!$M$17:$M$3016,"הע"),0)-Y1553</f>
        <v>0</v>
      </c>
      <c r="H1553" s="127">
        <f>J1538</f>
        <v>0</v>
      </c>
      <c r="I1553" s="128">
        <f>IFERROR(G1553/H1553,0)</f>
        <v>0</v>
      </c>
      <c r="J1553" s="129">
        <f>MIN(IF(ISNUMBER(G1553),G1553,0),H1553)</f>
        <v>0</v>
      </c>
      <c r="K1553" s="120">
        <f>MAX(H1553-G1553,0)</f>
        <v>0</v>
      </c>
      <c r="L1553" s="407"/>
      <c r="M1553" s="393"/>
      <c r="N1553" s="393"/>
      <c r="O1553" s="580"/>
      <c r="P1553" s="968">
        <f>MAX(IF(I1553&lt;100%,MIN((H1553-G1553),H1553*0.25),0),0)</f>
        <v>0</v>
      </c>
      <c r="Q1553" s="619">
        <f>IF(G1553-H1553&gt;0,G1553-H1553,0)</f>
        <v>0</v>
      </c>
      <c r="R1553" s="596"/>
      <c r="S1553" s="610" t="s">
        <v>0</v>
      </c>
      <c r="T1553" s="599">
        <f>G1536</f>
        <v>0</v>
      </c>
      <c r="U1553" s="578"/>
      <c r="V1553" s="579">
        <f>G1553</f>
        <v>0</v>
      </c>
      <c r="W1553" s="579">
        <f t="shared" si="221"/>
        <v>0</v>
      </c>
      <c r="X1553" s="579">
        <f>IFERROR(W1564*W1553/(SUM(W1550:W1563)),0)</f>
        <v>0</v>
      </c>
      <c r="Y1553" s="879">
        <f>SUMIFS(בקרה!$S:$S,בקרה!$D:$D,T1553,בקרה!$K:$K,S1553)</f>
        <v>0</v>
      </c>
      <c r="Z1553" s="121"/>
      <c r="AA1553" s="143"/>
      <c r="AB1553" s="143"/>
      <c r="AC1553" s="504">
        <v>0</v>
      </c>
      <c r="AD1553" s="505">
        <f t="shared" si="222"/>
        <v>0</v>
      </c>
      <c r="AE1553" s="143"/>
      <c r="AG1553" s="55"/>
      <c r="AH1553" s="55"/>
      <c r="AI1553" s="40"/>
      <c r="AJ1553" s="55"/>
      <c r="AK1553" s="55"/>
      <c r="BO1553" s="86"/>
    </row>
    <row r="1554" spans="1:67" s="55" customFormat="1" ht="15.75" customHeight="1" x14ac:dyDescent="0.25">
      <c r="A1554" s="520">
        <f>IFERROR(VLOOKUP($G$5,'רשימת רשויות'!A:C,3,0),0)</f>
        <v>0</v>
      </c>
      <c r="B1554" s="520">
        <f t="shared" si="220"/>
        <v>0</v>
      </c>
      <c r="C1554" s="39"/>
      <c r="D1554" s="1134"/>
      <c r="E1554" s="1137"/>
      <c r="F1554" s="589" t="s">
        <v>93</v>
      </c>
      <c r="G1554" s="130">
        <f>IF(G1541="תקין",SUMIFS('דוח הוצאות בפועל (4)'!$E$17:$E$3016,'דוח הוצאות בפועל (4)'!$B$17:$B$3016,'בית ספר - תקצוב לפי מוסד (9)'!$G1536,'דוח הוצאות בפועל (4)'!$M$17:$M$3016,"אר"),0)-Y1554</f>
        <v>0</v>
      </c>
      <c r="H1554" s="118">
        <f>$I1544</f>
        <v>0</v>
      </c>
      <c r="I1554" s="131">
        <f>IFERROR((G1554+G1555)/H1554,0)</f>
        <v>0</v>
      </c>
      <c r="J1554" s="100">
        <f>MIN((IF(ISNUMBER(G1554),G1554,0)+IF(ISNUMBER(G1555),G1555,0)),H1554)</f>
        <v>0</v>
      </c>
      <c r="K1554" s="1139">
        <f>MAX((H1554)-(G1554+G1555),0)</f>
        <v>0</v>
      </c>
      <c r="L1554" s="407"/>
      <c r="M1554" s="393"/>
      <c r="N1554" s="393"/>
      <c r="O1554" s="602"/>
      <c r="P1554" s="1141"/>
      <c r="Q1554" s="1142"/>
      <c r="R1554" s="596"/>
      <c r="S1554" s="610" t="s">
        <v>93</v>
      </c>
      <c r="T1554" s="599">
        <f>G1536</f>
        <v>0</v>
      </c>
      <c r="U1554" s="578"/>
      <c r="V1554" s="579">
        <f t="shared" ref="V1554:V1555" si="223">G1554</f>
        <v>0</v>
      </c>
      <c r="W1554" s="579">
        <f t="shared" si="221"/>
        <v>0</v>
      </c>
      <c r="X1554" s="579">
        <f>IFERROR(W1564*W1554/(SUM(W1550:W1563)),0)</f>
        <v>0</v>
      </c>
      <c r="Y1554" s="879">
        <f>SUMIFS(בקרה!$S:$S,בקרה!$D:$D,T1554,בקרה!$K:$K,S1554)</f>
        <v>0</v>
      </c>
      <c r="Z1554" s="121"/>
      <c r="AA1554" s="143"/>
      <c r="AB1554" s="143"/>
      <c r="AC1554" s="504">
        <v>0</v>
      </c>
      <c r="AD1554" s="505">
        <f t="shared" si="222"/>
        <v>0</v>
      </c>
      <c r="AE1554" s="143"/>
      <c r="AJ1554" s="22"/>
      <c r="AO1554" s="22"/>
      <c r="AP1554" s="22"/>
      <c r="AQ1554" s="22"/>
      <c r="AR1554" s="22"/>
      <c r="AS1554" s="22"/>
      <c r="AT1554" s="22"/>
      <c r="AU1554" s="35"/>
      <c r="AV1554" s="35"/>
      <c r="AW1554" s="35"/>
      <c r="AX1554" s="35"/>
      <c r="AY1554" s="35"/>
      <c r="AZ1554" s="35"/>
      <c r="BA1554" s="35"/>
      <c r="BB1554" s="35"/>
      <c r="BC1554" s="35"/>
      <c r="BD1554" s="35"/>
      <c r="BE1554" s="35"/>
      <c r="BF1554" s="35"/>
      <c r="BG1554" s="35"/>
      <c r="BH1554" s="35"/>
      <c r="BI1554" s="35"/>
      <c r="BJ1554" s="35"/>
      <c r="BK1554" s="35"/>
      <c r="BL1554" s="35"/>
      <c r="BM1554" s="35"/>
      <c r="BN1554" s="35"/>
      <c r="BO1554" s="86"/>
    </row>
    <row r="1555" spans="1:67" s="55" customFormat="1" ht="15.75" customHeight="1" x14ac:dyDescent="0.25">
      <c r="A1555" s="520">
        <f>IFERROR(VLOOKUP($G$5,'רשימת רשויות'!A:C,3,0),0)</f>
        <v>0</v>
      </c>
      <c r="B1555" s="520">
        <f t="shared" si="220"/>
        <v>0</v>
      </c>
      <c r="C1555" s="39"/>
      <c r="D1555" s="1134"/>
      <c r="E1555" s="1137"/>
      <c r="F1555" s="589" t="s">
        <v>46</v>
      </c>
      <c r="G1555" s="130">
        <f>IF(G1541="תקין",SUMIFS('דוח הוצאות בפועל (4)'!$E$17:$E$3016,'דוח הוצאות בפועל (4)'!$B$17:$B$3016,'בית ספר - תקצוב לפי מוסד (9)'!$G1536,'דוח הוצאות בפועל (4)'!$M$17:$M$3016,"מל"),0)-Y1555</f>
        <v>0</v>
      </c>
      <c r="H1555" s="132"/>
      <c r="I1555" s="133"/>
      <c r="J1555" s="104"/>
      <c r="K1555" s="1139"/>
      <c r="L1555" s="407"/>
      <c r="M1555" s="393"/>
      <c r="N1555" s="393"/>
      <c r="O1555" s="602"/>
      <c r="P1555" s="1141"/>
      <c r="Q1555" s="1142"/>
      <c r="R1555" s="596"/>
      <c r="S1555" s="610" t="s">
        <v>46</v>
      </c>
      <c r="T1555" s="599">
        <f>G1536</f>
        <v>0</v>
      </c>
      <c r="U1555" s="578"/>
      <c r="V1555" s="579">
        <f t="shared" si="223"/>
        <v>0</v>
      </c>
      <c r="W1555" s="579">
        <f t="shared" si="221"/>
        <v>0</v>
      </c>
      <c r="X1555" s="579">
        <f>IFERROR(W1564*W1555/(SUM(W1550:W1563)),0)</f>
        <v>0</v>
      </c>
      <c r="Y1555" s="879">
        <f>SUMIFS(בקרה!$S:$S,בקרה!$D:$D,T1555,בקרה!$K:$K,S1555)</f>
        <v>0</v>
      </c>
      <c r="Z1555" s="121"/>
      <c r="AA1555" s="143"/>
      <c r="AB1555" s="143"/>
      <c r="AC1555" s="504">
        <v>0</v>
      </c>
      <c r="AD1555" s="505">
        <f t="shared" si="222"/>
        <v>0</v>
      </c>
      <c r="AE1555" s="143"/>
      <c r="AJ1555" s="22"/>
      <c r="AO1555" s="22"/>
      <c r="AP1555" s="22"/>
      <c r="AQ1555" s="22"/>
      <c r="AR1555" s="22"/>
      <c r="AS1555" s="22"/>
      <c r="AT1555" s="22"/>
      <c r="AU1555" s="35"/>
      <c r="AV1555" s="35"/>
      <c r="AW1555" s="35"/>
      <c r="AX1555" s="35"/>
      <c r="AY1555" s="35"/>
      <c r="AZ1555" s="35"/>
      <c r="BA1555" s="35"/>
      <c r="BB1555" s="35"/>
      <c r="BC1555" s="35"/>
      <c r="BD1555" s="35"/>
      <c r="BE1555" s="35"/>
      <c r="BF1555" s="35"/>
      <c r="BG1555" s="35"/>
      <c r="BH1555" s="35"/>
      <c r="BI1555" s="35"/>
      <c r="BJ1555" s="35"/>
      <c r="BK1555" s="35"/>
      <c r="BL1555" s="35"/>
      <c r="BM1555" s="35"/>
      <c r="BN1555" s="35"/>
      <c r="BO1555" s="86"/>
    </row>
    <row r="1556" spans="1:67" s="55" customFormat="1" ht="15" customHeight="1" x14ac:dyDescent="0.25">
      <c r="A1556" s="520">
        <f>IFERROR(VLOOKUP($G$5,'רשימת רשויות'!A:C,3,0),0)</f>
        <v>0</v>
      </c>
      <c r="B1556" s="520">
        <f t="shared" si="220"/>
        <v>0</v>
      </c>
      <c r="C1556" s="39"/>
      <c r="D1556" s="1134"/>
      <c r="E1556" s="1137"/>
      <c r="F1556" s="591" t="s">
        <v>23</v>
      </c>
      <c r="G1556" s="134">
        <f>SUM(G1550:G1555)</f>
        <v>0</v>
      </c>
      <c r="H1556" s="135">
        <f>SUM(H1550:H1555)</f>
        <v>0</v>
      </c>
      <c r="I1556" s="128">
        <f>IFERROR(G1556/H1556,0)</f>
        <v>0</v>
      </c>
      <c r="J1556" s="136">
        <f>SUM(J1550:J1555)</f>
        <v>0</v>
      </c>
      <c r="K1556" s="137">
        <f>SUM(K1550:K1555)</f>
        <v>0</v>
      </c>
      <c r="L1556" s="408"/>
      <c r="M1556" s="394"/>
      <c r="N1556" s="394"/>
      <c r="O1556" s="602"/>
      <c r="P1556" s="620">
        <f>SUM(P1550:P1555)</f>
        <v>0</v>
      </c>
      <c r="Q1556" s="620">
        <f>SUM(Q1550:Q1555)</f>
        <v>0</v>
      </c>
      <c r="R1556" s="596"/>
      <c r="S1556" s="610"/>
      <c r="T1556" s="599">
        <f>G1536</f>
        <v>0</v>
      </c>
      <c r="U1556" s="578"/>
      <c r="V1556" s="579"/>
      <c r="W1556" s="579">
        <f t="shared" si="221"/>
        <v>0</v>
      </c>
      <c r="X1556" s="579"/>
      <c r="Y1556" s="879"/>
      <c r="Z1556" s="121"/>
      <c r="AA1556" s="143"/>
      <c r="AB1556" s="143"/>
      <c r="AC1556" s="504"/>
      <c r="AD1556" s="505">
        <f t="shared" si="222"/>
        <v>0</v>
      </c>
      <c r="AE1556" s="143"/>
      <c r="AJ1556" s="22"/>
      <c r="AL1556" s="22"/>
      <c r="AM1556" s="22"/>
      <c r="AN1556" s="22"/>
      <c r="AO1556" s="22"/>
      <c r="AP1556" s="22"/>
      <c r="AQ1556" s="22"/>
      <c r="AR1556" s="22"/>
      <c r="AS1556" s="22"/>
      <c r="AT1556" s="22"/>
      <c r="AU1556" s="35"/>
      <c r="AV1556" s="35"/>
      <c r="AW1556" s="35"/>
      <c r="AX1556" s="35"/>
      <c r="AY1556" s="35"/>
      <c r="AZ1556" s="35"/>
      <c r="BA1556" s="35"/>
      <c r="BB1556" s="35"/>
      <c r="BC1556" s="35"/>
      <c r="BD1556" s="35"/>
      <c r="BE1556" s="35"/>
      <c r="BF1556" s="35"/>
      <c r="BG1556" s="35"/>
      <c r="BH1556" s="35"/>
      <c r="BI1556" s="35"/>
      <c r="BJ1556" s="35"/>
      <c r="BK1556" s="35"/>
      <c r="BL1556" s="35"/>
      <c r="BM1556" s="35"/>
      <c r="BN1556" s="35"/>
      <c r="BO1556" s="86"/>
    </row>
    <row r="1557" spans="1:67" s="55" customFormat="1" ht="15" customHeight="1" x14ac:dyDescent="0.25">
      <c r="A1557" s="520">
        <f>IFERROR(VLOOKUP($G$5,'רשימת רשויות'!A:C,3,0),0)</f>
        <v>0</v>
      </c>
      <c r="B1557" s="520">
        <f t="shared" si="220"/>
        <v>0</v>
      </c>
      <c r="C1557" s="39"/>
      <c r="D1557" s="1134"/>
      <c r="E1557" s="1137"/>
      <c r="F1557" s="589" t="s">
        <v>3</v>
      </c>
      <c r="G1557" s="117">
        <f>IF(G1541="תקין",SUMIFS('דוח הוצאות בפועל (4)'!$E$17:$E$3016,'דוח הוצאות בפועל (4)'!$B$17:$B$3016,'בית ספר - תקצוב לפי מוסד (9)'!$G1536,'דוח הוצאות בפועל (4)'!$M$17:$M$3016,"ני")+SUMIFS('דוח הוצאות בפועל (4)'!$E$17:$E$3016,'דוח הוצאות בפועל (4)'!$B$17:$B$3016,'בית ספר - תקצוב לפי מוסד (9)'!$G1536,'דוח הוצאות בפועל (4)'!$M$17:$M$3016,"על"),0)-Y1557</f>
        <v>0</v>
      </c>
      <c r="H1557" s="117">
        <f>H1538</f>
        <v>0</v>
      </c>
      <c r="I1557" s="138">
        <f>IFERROR(G1557/H1557,0)</f>
        <v>0</v>
      </c>
      <c r="J1557" s="117">
        <f>IFERROR(IF(G1557/H1559&gt;0.15,MIN(H1559*0.15,H1557),MIN(H1557,IF(ISNUMBER(G1557),G1557,0))),0)</f>
        <v>0</v>
      </c>
      <c r="K1557" s="120">
        <f>MAX(H1557-G1557,0)</f>
        <v>0</v>
      </c>
      <c r="L1557" s="407"/>
      <c r="M1557" s="393"/>
      <c r="N1557" s="393"/>
      <c r="O1557" s="602"/>
      <c r="P1557" s="620">
        <f>IF(I1557&lt;100%,MIN(H1557-G1557,H1557*0.25),0)</f>
        <v>0</v>
      </c>
      <c r="Q1557" s="620">
        <f>MAX(MIN(IF(G1557-H1557&gt;0,G1557-H1557,0),$H1559*0.15-H1557-J1558),0)</f>
        <v>0</v>
      </c>
      <c r="R1557" s="596"/>
      <c r="S1557" s="610" t="s">
        <v>3</v>
      </c>
      <c r="T1557" s="599">
        <f>G1536</f>
        <v>0</v>
      </c>
      <c r="U1557" s="578"/>
      <c r="V1557" s="579">
        <f t="shared" ref="V1557" si="224">G1557</f>
        <v>0</v>
      </c>
      <c r="W1557" s="579">
        <f t="shared" si="221"/>
        <v>0</v>
      </c>
      <c r="X1557" s="579"/>
      <c r="Y1557" s="879"/>
      <c r="Z1557" s="121"/>
      <c r="AA1557" s="143"/>
      <c r="AB1557" s="143"/>
      <c r="AC1557" s="504">
        <v>0</v>
      </c>
      <c r="AD1557" s="505">
        <f t="shared" si="222"/>
        <v>0</v>
      </c>
      <c r="AE1557" s="143"/>
      <c r="AG1557" s="22"/>
      <c r="AH1557" s="22"/>
      <c r="AI1557" s="22"/>
      <c r="AJ1557" s="22"/>
      <c r="AK1557" s="22"/>
      <c r="AL1557" s="22"/>
      <c r="AM1557" s="22"/>
      <c r="AN1557" s="22"/>
      <c r="AO1557" s="22"/>
      <c r="AP1557" s="22"/>
      <c r="AQ1557" s="22"/>
      <c r="AR1557" s="22"/>
      <c r="AS1557" s="22"/>
      <c r="AT1557" s="22"/>
      <c r="AU1557" s="35"/>
      <c r="AV1557" s="35"/>
      <c r="AW1557" s="35"/>
      <c r="AX1557" s="35"/>
      <c r="AY1557" s="35"/>
      <c r="AZ1557" s="35"/>
      <c r="BA1557" s="35"/>
      <c r="BB1557" s="35"/>
      <c r="BC1557" s="35"/>
      <c r="BD1557" s="35"/>
      <c r="BE1557" s="35"/>
      <c r="BF1557" s="35"/>
      <c r="BG1557" s="35"/>
      <c r="BH1557" s="35"/>
      <c r="BI1557" s="35"/>
      <c r="BJ1557" s="35"/>
      <c r="BK1557" s="35"/>
      <c r="BL1557" s="35"/>
      <c r="BM1557" s="35"/>
      <c r="BN1557" s="35"/>
      <c r="BO1557" s="86"/>
    </row>
    <row r="1558" spans="1:67" s="55" customFormat="1" ht="15.75" customHeight="1" x14ac:dyDescent="0.25">
      <c r="A1558" s="520">
        <f>IFERROR(VLOOKUP($G$5,'רשימת רשויות'!A:C,3,0),0)</f>
        <v>0</v>
      </c>
      <c r="B1558" s="520">
        <f t="shared" si="220"/>
        <v>0</v>
      </c>
      <c r="C1558" s="39"/>
      <c r="D1558" s="1134"/>
      <c r="E1558" s="1137"/>
      <c r="F1558" s="589" t="s">
        <v>2918</v>
      </c>
      <c r="G1558" s="117">
        <f>0.07*(G1552+G1551)</f>
        <v>0</v>
      </c>
      <c r="H1558" s="117">
        <f>H1540</f>
        <v>0</v>
      </c>
      <c r="I1558" s="138">
        <f>IFERROR(G1558/H1558,0)</f>
        <v>0</v>
      </c>
      <c r="J1558" s="117">
        <f>IFERROR(MIN(0.07*(G1551+G1552),0.07*I1540),0)</f>
        <v>0</v>
      </c>
      <c r="K1558" s="120">
        <f>MAX(H1558-G1558,0)</f>
        <v>0</v>
      </c>
      <c r="L1558" s="407"/>
      <c r="M1558" s="393"/>
      <c r="N1558" s="393"/>
      <c r="O1558" s="602"/>
      <c r="P1558" s="620"/>
      <c r="Q1558" s="619"/>
      <c r="R1558" s="596"/>
      <c r="S1558" s="611"/>
      <c r="T1558" s="599">
        <f>G1536</f>
        <v>0</v>
      </c>
      <c r="U1558" s="578"/>
      <c r="V1558" s="579"/>
      <c r="W1558" s="579">
        <f t="shared" si="221"/>
        <v>0</v>
      </c>
      <c r="X1558" s="579"/>
      <c r="Y1558" s="879"/>
      <c r="Z1558" s="121"/>
      <c r="AA1558" s="143"/>
      <c r="AB1558" s="143"/>
      <c r="AC1558" s="504"/>
      <c r="AD1558" s="505"/>
      <c r="AE1558" s="143"/>
      <c r="AF1558" s="140"/>
      <c r="AG1558" s="22"/>
      <c r="AH1558" s="22"/>
      <c r="AI1558" s="22"/>
      <c r="AJ1558" s="22"/>
      <c r="AK1558" s="22"/>
      <c r="AL1558" s="22"/>
      <c r="AM1558" s="22"/>
      <c r="AN1558" s="22"/>
      <c r="AO1558" s="22"/>
      <c r="AP1558" s="22"/>
      <c r="AQ1558" s="22"/>
      <c r="AR1558" s="22"/>
      <c r="AS1558" s="22"/>
      <c r="AT1558" s="22"/>
      <c r="AU1558" s="35"/>
      <c r="AV1558" s="35"/>
      <c r="AW1558" s="35"/>
      <c r="AX1558" s="35"/>
      <c r="AY1558" s="35"/>
      <c r="AZ1558" s="35"/>
      <c r="BA1558" s="35"/>
      <c r="BB1558" s="35"/>
      <c r="BC1558" s="35"/>
      <c r="BD1558" s="35"/>
      <c r="BE1558" s="35"/>
      <c r="BF1558" s="35"/>
      <c r="BG1558" s="35"/>
      <c r="BH1558" s="35"/>
      <c r="BI1558" s="35"/>
      <c r="BJ1558" s="35"/>
      <c r="BK1558" s="35"/>
      <c r="BL1558" s="35"/>
      <c r="BM1558" s="35"/>
      <c r="BN1558" s="35"/>
      <c r="BO1558" s="86"/>
    </row>
    <row r="1559" spans="1:67" ht="15.75" customHeight="1" x14ac:dyDescent="0.25">
      <c r="A1559" s="520">
        <f>IFERROR(VLOOKUP($G$5,'רשימת רשויות'!A:C,3,0),0)</f>
        <v>0</v>
      </c>
      <c r="B1559" s="520">
        <f t="shared" si="220"/>
        <v>0</v>
      </c>
      <c r="D1559" s="1134"/>
      <c r="E1559" s="1137"/>
      <c r="F1559" s="591" t="s">
        <v>15</v>
      </c>
      <c r="G1559" s="134">
        <f>G1556+G1557+G1558</f>
        <v>0</v>
      </c>
      <c r="H1559" s="134">
        <f>H1556+H1557+H1558</f>
        <v>0</v>
      </c>
      <c r="I1559" s="138">
        <f>IFERROR(G1559/H1559,0)</f>
        <v>0</v>
      </c>
      <c r="J1559" s="139">
        <f>J1556+J1557+J1558</f>
        <v>0</v>
      </c>
      <c r="K1559" s="137">
        <f>K1557+K1556+K1558</f>
        <v>0</v>
      </c>
      <c r="L1559" s="408"/>
      <c r="M1559" s="394"/>
      <c r="N1559" s="394"/>
      <c r="O1559" s="602"/>
      <c r="P1559" s="621">
        <f>SUM(P1556:P1557)</f>
        <v>0</v>
      </c>
      <c r="Q1559" s="622">
        <f>Q1556+Q1557</f>
        <v>0</v>
      </c>
      <c r="R1559" s="596"/>
      <c r="S1559" s="611"/>
      <c r="T1559" s="599">
        <f>G1536</f>
        <v>0</v>
      </c>
      <c r="U1559" s="578"/>
      <c r="V1559" s="579"/>
      <c r="W1559" s="579">
        <f t="shared" si="221"/>
        <v>0</v>
      </c>
      <c r="X1559" s="579"/>
      <c r="Y1559" s="879"/>
      <c r="Z1559" s="106"/>
      <c r="AC1559" s="504"/>
      <c r="AD1559" s="505"/>
      <c r="AH1559" s="143"/>
      <c r="BO1559" s="86"/>
    </row>
    <row r="1560" spans="1:67" ht="15.75" customHeight="1" x14ac:dyDescent="0.25">
      <c r="A1560" s="520">
        <f>IFERROR(VLOOKUP($G$5,'רשימת רשויות'!A:C,3,0),0)</f>
        <v>0</v>
      </c>
      <c r="B1560" s="520">
        <f t="shared" si="220"/>
        <v>0</v>
      </c>
      <c r="D1560" s="1134"/>
      <c r="E1560" s="1137"/>
      <c r="F1560" s="589" t="s">
        <v>2261</v>
      </c>
      <c r="G1560" s="117">
        <f>IF(G1541="תקין",SUMIF('תשלומי הורים ומלגות להורים (5) '!$B$18:$B$517,$G1536,'תשלומי הורים ומלגות להורים (5) '!$C$18:$C$517),0)</f>
        <v>0</v>
      </c>
      <c r="H1560" s="117">
        <f>(G1539+G1540)*$G$7</f>
        <v>0</v>
      </c>
      <c r="I1560" s="141"/>
      <c r="J1560" s="141"/>
      <c r="K1560" s="142"/>
      <c r="L1560" s="395"/>
      <c r="M1560" s="395"/>
      <c r="N1560" s="395"/>
      <c r="O1560" s="602"/>
      <c r="P1560" s="623"/>
      <c r="Q1560" s="619"/>
      <c r="R1560" s="596"/>
      <c r="S1560" s="612"/>
      <c r="T1560" s="599">
        <f>G1536</f>
        <v>0</v>
      </c>
      <c r="U1560" s="578"/>
      <c r="V1560" s="579"/>
      <c r="W1560" s="579">
        <f t="shared" si="221"/>
        <v>0</v>
      </c>
      <c r="X1560" s="579"/>
      <c r="Y1560" s="879"/>
      <c r="Z1560" s="121"/>
      <c r="AA1560" s="143"/>
      <c r="AB1560" s="143"/>
      <c r="AC1560" s="504"/>
      <c r="AD1560" s="505"/>
      <c r="AE1560" s="143"/>
      <c r="AF1560" s="148"/>
      <c r="BO1560" s="86"/>
    </row>
    <row r="1561" spans="1:67" ht="15.75" customHeight="1" thickBot="1" x14ac:dyDescent="0.3">
      <c r="A1561" s="520">
        <f>IFERROR(VLOOKUP($G$5,'רשימת רשויות'!A:C,3,0),0)</f>
        <v>0</v>
      </c>
      <c r="B1561" s="520">
        <f t="shared" si="220"/>
        <v>0</v>
      </c>
      <c r="D1561" s="1134"/>
      <c r="E1561" s="1137"/>
      <c r="F1561" s="592" t="s">
        <v>21</v>
      </c>
      <c r="G1561" s="144">
        <f>G1559-G1560</f>
        <v>0</v>
      </c>
      <c r="H1561" s="144">
        <f>H1559-H1560</f>
        <v>0</v>
      </c>
      <c r="I1561" s="145"/>
      <c r="J1561" s="145"/>
      <c r="K1561" s="146"/>
      <c r="L1561" s="396"/>
      <c r="M1561" s="396"/>
      <c r="N1561" s="396"/>
      <c r="O1561" s="602"/>
      <c r="P1561" s="619"/>
      <c r="Q1561" s="619"/>
      <c r="R1561" s="596"/>
      <c r="S1561" s="612"/>
      <c r="T1561" s="599">
        <f>G1536</f>
        <v>0</v>
      </c>
      <c r="U1561" s="578"/>
      <c r="V1561" s="579"/>
      <c r="W1561" s="579">
        <f t="shared" si="221"/>
        <v>0</v>
      </c>
      <c r="X1561" s="579"/>
      <c r="Y1561" s="879"/>
      <c r="Z1561" s="147"/>
      <c r="AA1561" s="148"/>
      <c r="AB1561" s="148"/>
      <c r="AC1561" s="504"/>
      <c r="AD1561" s="505"/>
      <c r="AE1561" s="148"/>
      <c r="AF1561" s="148"/>
      <c r="BO1561" s="86"/>
    </row>
    <row r="1562" spans="1:67" ht="15.75" customHeight="1" thickBot="1" x14ac:dyDescent="0.3">
      <c r="A1562" s="520">
        <f>IFERROR(VLOOKUP($G$5,'רשימת רשויות'!A:C,3,0),0)</f>
        <v>0</v>
      </c>
      <c r="B1562" s="520">
        <f t="shared" si="220"/>
        <v>0</v>
      </c>
      <c r="D1562" s="1134"/>
      <c r="E1562" s="1137"/>
      <c r="F1562" s="580"/>
      <c r="G1562" s="580"/>
      <c r="H1562" s="147"/>
      <c r="I1562" s="149" t="s">
        <v>2197</v>
      </c>
      <c r="J1562" s="150">
        <f>MAX(MIN(P1559,Q1559),0)</f>
        <v>0</v>
      </c>
      <c r="K1562" s="580"/>
      <c r="L1562" s="580"/>
      <c r="M1562" s="580"/>
      <c r="N1562" s="580"/>
      <c r="O1562" s="580"/>
      <c r="P1562" s="615" t="s">
        <v>2317</v>
      </c>
      <c r="Q1562" s="624">
        <f>SUM(Q1563:Q1564)</f>
        <v>0</v>
      </c>
      <c r="R1562" s="596"/>
      <c r="S1562" s="612"/>
      <c r="T1562" s="599">
        <f>G1536</f>
        <v>0</v>
      </c>
      <c r="U1562" s="578"/>
      <c r="V1562" s="579"/>
      <c r="W1562" s="579">
        <f t="shared" si="221"/>
        <v>0</v>
      </c>
      <c r="X1562" s="579"/>
      <c r="Y1562" s="879"/>
      <c r="Z1562" s="106"/>
      <c r="AC1562" s="504"/>
      <c r="AD1562" s="505"/>
      <c r="AF1562" s="148"/>
      <c r="BO1562" s="86"/>
    </row>
    <row r="1563" spans="1:67" ht="16.5" thickBot="1" x14ac:dyDescent="0.3">
      <c r="A1563" s="520">
        <f>IFERROR(VLOOKUP($G$5,'רשימת רשויות'!A:C,3,0),0)</f>
        <v>0</v>
      </c>
      <c r="B1563" s="520">
        <f t="shared" si="220"/>
        <v>0</v>
      </c>
      <c r="D1563" s="1134"/>
      <c r="E1563" s="1137"/>
      <c r="F1563" s="580"/>
      <c r="G1563" s="580"/>
      <c r="H1563" s="580"/>
      <c r="I1563" s="84" t="s">
        <v>2193</v>
      </c>
      <c r="J1563" s="515" t="str">
        <f>IFERROR(1-H1560/H1559,"")</f>
        <v/>
      </c>
      <c r="K1563" s="580"/>
      <c r="L1563" s="580"/>
      <c r="M1563" s="580"/>
      <c r="N1563" s="580"/>
      <c r="O1563" s="580"/>
      <c r="P1563" s="615" t="s">
        <v>417</v>
      </c>
      <c r="Q1563" s="616">
        <f>IFERROR(MAX(H1561-I1564-Q1564,0),0)</f>
        <v>0</v>
      </c>
      <c r="R1563" s="596"/>
      <c r="S1563" s="600"/>
      <c r="T1563" s="599">
        <f>G1536</f>
        <v>0</v>
      </c>
      <c r="U1563" s="578"/>
      <c r="V1563" s="579"/>
      <c r="W1563" s="579">
        <f t="shared" si="221"/>
        <v>0</v>
      </c>
      <c r="X1563" s="579"/>
      <c r="Y1563" s="879"/>
      <c r="Z1563" s="106"/>
      <c r="AC1563" s="504"/>
      <c r="AD1563" s="505"/>
      <c r="BO1563" s="86"/>
    </row>
    <row r="1564" spans="1:67" ht="17.25" thickBot="1" x14ac:dyDescent="0.3">
      <c r="A1564" s="520">
        <f>IFERROR(VLOOKUP($G$5,'רשימת רשויות'!A:C,3,0),0)</f>
        <v>0</v>
      </c>
      <c r="B1564" s="520">
        <f t="shared" si="220"/>
        <v>0</v>
      </c>
      <c r="D1564" s="1134"/>
      <c r="E1564" s="1137"/>
      <c r="F1564" s="1143" t="s">
        <v>2679</v>
      </c>
      <c r="G1564" s="1143"/>
      <c r="H1564" s="1143"/>
      <c r="I1564" s="722">
        <f>IF(G1541="לא תקין","לא קיימת זכאות לתקציב לאור אי איוש משרות רכז ו/או סגן רכז ",IFERROR(J1563*(J1562+J1559),0))</f>
        <v>0</v>
      </c>
      <c r="J1564" s="573"/>
      <c r="K1564" s="574"/>
      <c r="L1564" s="396"/>
      <c r="M1564" s="574"/>
      <c r="N1564" s="574"/>
      <c r="O1564" s="574"/>
      <c r="P1564" s="615" t="s">
        <v>2279</v>
      </c>
      <c r="Q1564" s="616">
        <f>MAX(IF(AND(G1559&gt;H1559,I1564&lt;H1561),H1561-I1564,0),0)</f>
        <v>0</v>
      </c>
      <c r="R1564" s="575"/>
      <c r="S1564" s="576" t="s">
        <v>67</v>
      </c>
      <c r="T1564" s="577">
        <f>G1536</f>
        <v>0</v>
      </c>
      <c r="U1564" s="578"/>
      <c r="V1564" s="579">
        <f>I1564</f>
        <v>0</v>
      </c>
      <c r="W1564" s="579">
        <f>IFERROR(U1564-V1564,0)</f>
        <v>0</v>
      </c>
      <c r="X1564" s="579">
        <f>SUM(X1550:X1563)</f>
        <v>0</v>
      </c>
      <c r="Y1564" s="879"/>
      <c r="Z1564" s="106"/>
      <c r="AC1564" s="506">
        <v>0</v>
      </c>
      <c r="AD1564" s="507">
        <f>IFERROR(U1564-AC1564,0)</f>
        <v>0</v>
      </c>
      <c r="BO1564" s="86"/>
    </row>
    <row r="1565" spans="1:67" ht="16.5" thickBot="1" x14ac:dyDescent="0.3">
      <c r="A1565" s="520">
        <f>IFERROR(VLOOKUP($G$5,'רשימת רשויות'!A:C,3,0),0)</f>
        <v>0</v>
      </c>
      <c r="B1565" s="520">
        <f t="shared" si="220"/>
        <v>0</v>
      </c>
      <c r="D1565" s="1135"/>
      <c r="E1565" s="1138"/>
      <c r="F1565" s="1144" t="s">
        <v>2793</v>
      </c>
      <c r="G1565" s="1145"/>
      <c r="H1565" s="1145"/>
      <c r="I1565" s="593">
        <f>IFERROR(IF(G1541="תקין",SUMIFS('סייעות רפואיות או אישיות (7)'!$Q$17:Q$384,'סייעות רפואיות או אישיות (7)'!C$17:C$384,G1536),0),0)</f>
        <v>0</v>
      </c>
      <c r="J1565" s="151"/>
      <c r="K1565" s="152"/>
      <c r="L1565" s="409"/>
      <c r="M1565" s="152"/>
      <c r="N1565" s="152"/>
      <c r="O1565" s="152"/>
      <c r="P1565" s="613"/>
      <c r="Q1565" s="614"/>
      <c r="R1565" s="475"/>
      <c r="S1565" s="489"/>
      <c r="T1565" s="490"/>
      <c r="U1565" s="491"/>
      <c r="V1565" s="492"/>
      <c r="W1565" s="492"/>
      <c r="X1565" s="492"/>
      <c r="Y1565" s="880"/>
      <c r="Z1565" s="153"/>
      <c r="AC1565" s="581"/>
      <c r="AD1565" s="582"/>
      <c r="BO1565" s="86"/>
    </row>
    <row r="1566" spans="1:67" ht="34.5" thickBot="1" x14ac:dyDescent="0.55000000000000004">
      <c r="A1566" s="520">
        <f>IFERROR(VLOOKUP($G$5,'רשימת רשויות'!A:C,3,0),0)</f>
        <v>0</v>
      </c>
      <c r="B1566" s="520">
        <f t="shared" si="220"/>
        <v>0</v>
      </c>
      <c r="E1566" s="154"/>
      <c r="I1566" s="143"/>
      <c r="J1566" s="148"/>
      <c r="O1566" s="148"/>
      <c r="T1566" s="481"/>
      <c r="BO1566" s="86"/>
    </row>
    <row r="1567" spans="1:67" s="20" customFormat="1" ht="16.5" customHeight="1" thickBot="1" x14ac:dyDescent="0.3">
      <c r="A1567" s="520">
        <f>IFERROR(VLOOKUP($G$5,'רשימת רשויות'!A:C,3,0),0)</f>
        <v>0</v>
      </c>
      <c r="B1567" s="520">
        <f t="shared" si="220"/>
        <v>0</v>
      </c>
      <c r="C1567" s="39"/>
      <c r="D1567" s="1133">
        <f>D1536+1</f>
        <v>51</v>
      </c>
      <c r="E1567" s="1136" t="str">
        <f>IFERROR(CONCATENATE("בית הספר ",VLOOKUP(G1567,'מצבת והרשמה (2)'!$C$21:$D$520,2,0)," - ",$G$5),"")</f>
        <v>בית הספר המוסד לא קיים - 0</v>
      </c>
      <c r="F1567" s="720" t="s">
        <v>146</v>
      </c>
      <c r="G1567" s="721">
        <f>IFERROR(VLOOKUP(D:D,'דוח ביצוע (3)'!$A$21:$C$900,2,0),0)</f>
        <v>0</v>
      </c>
      <c r="H1567" s="79"/>
      <c r="I1567" s="80" t="s">
        <v>150</v>
      </c>
      <c r="J1567" s="80"/>
      <c r="K1567" s="81"/>
      <c r="L1567" s="392"/>
      <c r="M1567" s="392"/>
      <c r="N1567" s="392"/>
      <c r="O1567" s="82"/>
      <c r="P1567" s="470"/>
      <c r="Q1567" s="471"/>
      <c r="R1567" s="472"/>
      <c r="S1567" s="883"/>
      <c r="T1567" s="884"/>
      <c r="U1567" s="486"/>
      <c r="V1567" s="487"/>
      <c r="W1567" s="487"/>
      <c r="X1567" s="487"/>
      <c r="Y1567" s="885"/>
      <c r="Z1567" s="83"/>
      <c r="AC1567" s="502"/>
      <c r="AD1567" s="503"/>
      <c r="AO1567" s="22"/>
      <c r="AP1567" s="22"/>
      <c r="AQ1567" s="22"/>
      <c r="AR1567" s="22"/>
      <c r="AS1567" s="22"/>
      <c r="AT1567" s="22"/>
      <c r="AU1567" s="35"/>
      <c r="AV1567" s="35"/>
      <c r="AW1567" s="35"/>
      <c r="AX1567" s="35"/>
      <c r="AY1567" s="35"/>
      <c r="AZ1567" s="35"/>
      <c r="BA1567" s="35"/>
      <c r="BB1567" s="35"/>
      <c r="BC1567" s="35"/>
      <c r="BD1567" s="35"/>
      <c r="BE1567" s="35"/>
      <c r="BF1567" s="35"/>
      <c r="BG1567" s="35"/>
      <c r="BH1567" s="35"/>
      <c r="BI1567" s="35"/>
      <c r="BJ1567" s="35"/>
      <c r="BK1567" s="35"/>
      <c r="BL1567" s="35"/>
      <c r="BM1567" s="35"/>
      <c r="BN1567" s="35"/>
      <c r="BO1567" s="78"/>
    </row>
    <row r="1568" spans="1:67" s="20" customFormat="1" ht="16.5" thickBot="1" x14ac:dyDescent="0.3">
      <c r="A1568" s="520">
        <f>IFERROR(VLOOKUP($G$5,'רשימת רשויות'!A:C,3,0),0)</f>
        <v>0</v>
      </c>
      <c r="B1568" s="520">
        <f t="shared" si="220"/>
        <v>0</v>
      </c>
      <c r="C1568" s="39"/>
      <c r="D1568" s="1134"/>
      <c r="E1568" s="1137"/>
      <c r="F1568" s="583" t="s">
        <v>145</v>
      </c>
      <c r="G1568" s="516" t="str">
        <f>IFERROR(IF((G1570+G1571)=0,"",IF(VLOOKUP(G1567,'דוח ביצוע (3)'!$B$21:$K$900,5,0)&gt;149,"גדול",IF(AND(VLOOKUP(G1567,'דוח ביצוע (3)'!$B$21:$K$900,5,0)&gt;0,VLOOKUP(G1567,'דוח ביצוע (3)'!$B$21:$K$900,5,0)&lt;150),"קטן",0))),"")</f>
        <v/>
      </c>
      <c r="H1568" s="723" t="s">
        <v>88</v>
      </c>
      <c r="I1568" s="723" t="s">
        <v>13</v>
      </c>
      <c r="J1568" s="725" t="s">
        <v>14</v>
      </c>
      <c r="K1568" s="724" t="s">
        <v>94</v>
      </c>
      <c r="L1568" s="594"/>
      <c r="M1568" s="420" t="s">
        <v>2584</v>
      </c>
      <c r="N1568" s="397" t="s">
        <v>413</v>
      </c>
      <c r="O1568" s="398" t="s">
        <v>52</v>
      </c>
      <c r="P1568" s="595"/>
      <c r="Q1568" s="595"/>
      <c r="R1568" s="596"/>
      <c r="S1568" s="610"/>
      <c r="T1568" s="881"/>
      <c r="U1568" s="598"/>
      <c r="V1568" s="599"/>
      <c r="W1568" s="599"/>
      <c r="X1568" s="599"/>
      <c r="Y1568" s="879"/>
      <c r="Z1568" s="85"/>
      <c r="AC1568" s="493"/>
      <c r="AD1568" s="495"/>
      <c r="AO1568" s="22"/>
      <c r="AP1568" s="22"/>
      <c r="AQ1568" s="22"/>
      <c r="AR1568" s="22"/>
      <c r="AS1568" s="22"/>
      <c r="AT1568" s="22"/>
      <c r="AU1568" s="35"/>
      <c r="AV1568" s="35"/>
      <c r="AW1568" s="35"/>
      <c r="AX1568" s="35"/>
      <c r="AY1568" s="35"/>
      <c r="AZ1568" s="35"/>
      <c r="BA1568" s="35"/>
      <c r="BB1568" s="35"/>
      <c r="BC1568" s="35"/>
      <c r="BD1568" s="35"/>
      <c r="BE1568" s="35"/>
      <c r="BF1568" s="35"/>
      <c r="BG1568" s="35"/>
      <c r="BH1568" s="35"/>
      <c r="BI1568" s="35"/>
      <c r="BJ1568" s="35"/>
      <c r="BK1568" s="35"/>
      <c r="BL1568" s="35"/>
      <c r="BM1568" s="35"/>
      <c r="BN1568" s="35"/>
      <c r="BO1568" s="78"/>
    </row>
    <row r="1569" spans="1:67" s="20" customFormat="1" ht="15.75" customHeight="1" thickBot="1" x14ac:dyDescent="0.3">
      <c r="A1569" s="520">
        <f>IFERROR(VLOOKUP($G$5,'רשימת רשויות'!A:C,3,0),0)</f>
        <v>0</v>
      </c>
      <c r="B1569" s="520">
        <f t="shared" si="220"/>
        <v>0</v>
      </c>
      <c r="C1569" s="39"/>
      <c r="D1569" s="1134"/>
      <c r="E1569" s="1137"/>
      <c r="F1569" s="584" t="s">
        <v>144</v>
      </c>
      <c r="G1569" s="87">
        <f>IF(G1572="תקין",IFERROR(VLOOKUP($G1567,'דוח ביצוע (3)'!$B$21:$Q$900,12,0),0),0)</f>
        <v>0</v>
      </c>
      <c r="H1569" s="88">
        <f>IFERROR(G1570*$AH$6+G1571*$AH$7,0)</f>
        <v>0</v>
      </c>
      <c r="I1569" s="88">
        <f>IFERROR(G1570*$AI$6+G1571*$AI$7,0)</f>
        <v>0</v>
      </c>
      <c r="J1569" s="88">
        <f>IFERROR(G1570*$AJ$6+G1571*$AJ$7,0)</f>
        <v>0</v>
      </c>
      <c r="K1569" s="88">
        <f>IFERROR(G1570*$AK$6+G1571*$AK$7,0)</f>
        <v>0</v>
      </c>
      <c r="L1569" s="405"/>
      <c r="M1569" s="399" t="s">
        <v>427</v>
      </c>
      <c r="N1569" s="400" t="str">
        <f>IFERROR(VLOOKUP($G1567,'דוח ביצוע (3)'!$B:$AE,28,0),"")</f>
        <v/>
      </c>
      <c r="O1569" s="89" t="str">
        <f>IFERROR(VLOOKUP($G1567,'דוח ביצוע (3)'!B:AE,29,0),"")</f>
        <v/>
      </c>
      <c r="P1569" s="595"/>
      <c r="Q1569" s="595"/>
      <c r="R1569" s="596"/>
      <c r="S1569" s="610"/>
      <c r="T1569" s="881"/>
      <c r="U1569" s="598"/>
      <c r="V1569" s="599"/>
      <c r="W1569" s="599"/>
      <c r="X1569" s="599"/>
      <c r="Y1569" s="879"/>
      <c r="Z1569" s="85"/>
      <c r="AC1569" s="493"/>
      <c r="AD1569" s="495"/>
      <c r="AO1569" s="22"/>
      <c r="AP1569" s="22"/>
      <c r="AQ1569" s="22"/>
      <c r="AR1569" s="22"/>
      <c r="AS1569" s="22"/>
      <c r="AT1569" s="22"/>
      <c r="AU1569" s="35"/>
      <c r="AV1569" s="35"/>
      <c r="AW1569" s="35"/>
      <c r="AX1569" s="35"/>
      <c r="AY1569" s="35"/>
      <c r="AZ1569" s="35"/>
      <c r="BA1569" s="35"/>
      <c r="BB1569" s="35"/>
      <c r="BC1569" s="35"/>
      <c r="BD1569" s="35"/>
      <c r="BE1569" s="35"/>
      <c r="BF1569" s="35"/>
      <c r="BG1569" s="35"/>
      <c r="BH1569" s="35"/>
      <c r="BI1569" s="35"/>
      <c r="BJ1569" s="35"/>
      <c r="BK1569" s="35"/>
      <c r="BL1569" s="35"/>
      <c r="BM1569" s="35"/>
      <c r="BN1569" s="35"/>
      <c r="BO1569" s="78"/>
    </row>
    <row r="1570" spans="1:67" s="20" customFormat="1" ht="32.25" thickBot="1" x14ac:dyDescent="0.3">
      <c r="A1570" s="520">
        <f>IFERROR(VLOOKUP($G$5,'רשימת רשויות'!A:C,3,0),0)</f>
        <v>0</v>
      </c>
      <c r="B1570" s="520">
        <f t="shared" si="220"/>
        <v>0</v>
      </c>
      <c r="C1570" s="39"/>
      <c r="D1570" s="1134"/>
      <c r="E1570" s="1137"/>
      <c r="F1570" s="585" t="s">
        <v>2195</v>
      </c>
      <c r="G1570" s="89">
        <f>IF(G1572="תקין",MAX(N1572,0),0)</f>
        <v>0</v>
      </c>
      <c r="H1570" s="725" t="s">
        <v>151</v>
      </c>
      <c r="I1570" s="725" t="s">
        <v>91</v>
      </c>
      <c r="J1570" s="970" t="s">
        <v>3396</v>
      </c>
      <c r="K1570" s="601"/>
      <c r="L1570" s="601"/>
      <c r="M1570" s="983" t="s">
        <v>2585</v>
      </c>
      <c r="N1570" s="400" t="str">
        <f>IFERROR(G1569/15*N1569*1.25,"")</f>
        <v/>
      </c>
      <c r="O1570" s="89" t="str">
        <f>IFERROR(G1569/15*O1569*1.25,"")</f>
        <v/>
      </c>
      <c r="P1570" s="595"/>
      <c r="Q1570" s="595"/>
      <c r="R1570" s="596"/>
      <c r="S1570" s="610"/>
      <c r="T1570" s="881"/>
      <c r="U1570" s="598"/>
      <c r="V1570" s="599"/>
      <c r="W1570" s="599"/>
      <c r="X1570" s="599"/>
      <c r="Y1570" s="879"/>
      <c r="Z1570" s="85"/>
      <c r="AC1570" s="493"/>
      <c r="AD1570" s="495"/>
      <c r="AG1570" s="22"/>
      <c r="AH1570" s="55"/>
      <c r="AI1570" s="55"/>
      <c r="AJ1570" s="55"/>
      <c r="AK1570" s="55"/>
      <c r="AO1570" s="22"/>
      <c r="AP1570" s="22"/>
      <c r="AQ1570" s="22"/>
      <c r="AR1570" s="22"/>
      <c r="AS1570" s="22"/>
      <c r="AT1570" s="22"/>
      <c r="AU1570" s="35"/>
      <c r="AV1570" s="35"/>
      <c r="AW1570" s="35"/>
      <c r="AX1570" s="35"/>
      <c r="AY1570" s="35"/>
      <c r="AZ1570" s="35"/>
      <c r="BA1570" s="35"/>
      <c r="BB1570" s="35"/>
      <c r="BC1570" s="35"/>
      <c r="BD1570" s="35"/>
      <c r="BE1570" s="35"/>
      <c r="BF1570" s="35"/>
      <c r="BG1570" s="35"/>
      <c r="BH1570" s="35"/>
      <c r="BI1570" s="35"/>
      <c r="BJ1570" s="35"/>
      <c r="BK1570" s="35"/>
      <c r="BL1570" s="35"/>
      <c r="BM1570" s="35"/>
      <c r="BN1570" s="35"/>
      <c r="BO1570" s="86"/>
    </row>
    <row r="1571" spans="1:67" s="20" customFormat="1" ht="16.5" thickBot="1" x14ac:dyDescent="0.3">
      <c r="A1571" s="520">
        <f>IFERROR(VLOOKUP($G$5,'רשימת רשויות'!A:C,3,0),0)</f>
        <v>0</v>
      </c>
      <c r="B1571" s="520">
        <f t="shared" si="220"/>
        <v>0</v>
      </c>
      <c r="C1571" s="39"/>
      <c r="D1571" s="1134"/>
      <c r="E1571" s="1137"/>
      <c r="F1571" s="585" t="s">
        <v>2196</v>
      </c>
      <c r="G1571" s="89">
        <f>IF(G1572="תקין",MAX(O1572,0),0)</f>
        <v>0</v>
      </c>
      <c r="H1571" s="88">
        <f>(IFERROR(IF((G1570+G1571)=0,0,IF(G1568="קטן",G1569*$AH$10,G1569*$AH$11)),0))+(IFERROR(IF((G1570+G1571)=0,0,VLOOKUP(G1567,'דוח ביצוע (3)'!$B:$AH,33,0)),0))</f>
        <v>0</v>
      </c>
      <c r="I1571" s="88">
        <f>IFERROR(IF((G1570+G1571)=0,0,IF(G1568="קטן",G1569*$AI$10,G1569*$AI$11)),0)</f>
        <v>0</v>
      </c>
      <c r="J1571" s="88">
        <f>IFERROR(IF((G1570+G1571)=0,0,VLOOKUP(G1567,'דוח ביצוע (3)'!$B:$AH,32,0)),0)</f>
        <v>0</v>
      </c>
      <c r="K1571" s="90"/>
      <c r="L1571" s="90"/>
      <c r="M1571" s="399" t="s">
        <v>412</v>
      </c>
      <c r="N1571" s="400">
        <f>IFERROR(VLOOKUP($G1567,'דוח ביצוע (3)'!$B$21:$U$500,18,0),0)</f>
        <v>0</v>
      </c>
      <c r="O1571" s="401">
        <f>IFERROR(VLOOKUP($G1567,'דוח ביצוע (3)'!$B$21:$U$500,19,0),0)</f>
        <v>0</v>
      </c>
      <c r="P1571" s="595"/>
      <c r="Q1571" s="595"/>
      <c r="R1571" s="596"/>
      <c r="S1571" s="610"/>
      <c r="T1571" s="881"/>
      <c r="U1571" s="598"/>
      <c r="V1571" s="599"/>
      <c r="W1571" s="599"/>
      <c r="X1571" s="599"/>
      <c r="Y1571" s="879"/>
      <c r="Z1571" s="85"/>
      <c r="AC1571" s="493"/>
      <c r="AD1571" s="495"/>
      <c r="AG1571" s="22"/>
      <c r="AH1571" s="55"/>
      <c r="AI1571" s="55"/>
      <c r="AJ1571" s="55"/>
      <c r="AK1571" s="55"/>
      <c r="AO1571" s="22"/>
      <c r="AP1571" s="22"/>
      <c r="AQ1571" s="22"/>
      <c r="AR1571" s="22"/>
      <c r="AS1571" s="22"/>
      <c r="AT1571" s="22"/>
      <c r="AU1571" s="35"/>
      <c r="AV1571" s="35"/>
      <c r="AW1571" s="35"/>
      <c r="AX1571" s="35"/>
      <c r="AY1571" s="35"/>
      <c r="AZ1571" s="35"/>
      <c r="BA1571" s="35"/>
      <c r="BB1571" s="35"/>
      <c r="BC1571" s="35"/>
      <c r="BD1571" s="35"/>
      <c r="BE1571" s="35"/>
      <c r="BF1571" s="35"/>
      <c r="BG1571" s="35"/>
      <c r="BH1571" s="35"/>
      <c r="BI1571" s="35"/>
      <c r="BJ1571" s="35"/>
      <c r="BK1571" s="35"/>
      <c r="BL1571" s="35"/>
      <c r="BM1571" s="35"/>
      <c r="BN1571" s="35"/>
      <c r="BO1571" s="86"/>
    </row>
    <row r="1572" spans="1:67" s="20" customFormat="1" ht="16.5" thickBot="1" x14ac:dyDescent="0.3">
      <c r="A1572" s="520">
        <f>IFERROR(VLOOKUP($G$5,'רשימת רשויות'!A:C,3,0),0)</f>
        <v>0</v>
      </c>
      <c r="B1572" s="520">
        <f t="shared" si="220"/>
        <v>0</v>
      </c>
      <c r="C1572" s="39"/>
      <c r="D1572" s="1134"/>
      <c r="E1572" s="1137"/>
      <c r="F1572" s="586" t="s">
        <v>2355</v>
      </c>
      <c r="G1572" s="514">
        <f>IFERROR(IF(VLOOKUP('בית ספר - תקצוב לפי מוסד (9)'!G1567,' איוש משרות (8)'!$C:$K,9,0)="תקין","תקין","לא תקין"),0)</f>
        <v>0</v>
      </c>
      <c r="H1572" s="91"/>
      <c r="I1572" s="91"/>
      <c r="J1572" s="91"/>
      <c r="K1572" s="90"/>
      <c r="L1572" s="90"/>
      <c r="M1572" s="402" t="s">
        <v>2586</v>
      </c>
      <c r="N1572" s="403">
        <f>IFERROR(MIN(N1570,N1571),0)</f>
        <v>0</v>
      </c>
      <c r="O1572" s="404">
        <f>IFERROR(MIN(O1570,O1571),0)</f>
        <v>0</v>
      </c>
      <c r="P1572" s="595"/>
      <c r="Q1572" s="595"/>
      <c r="R1572" s="596"/>
      <c r="S1572" s="610"/>
      <c r="T1572" s="881"/>
      <c r="U1572" s="598"/>
      <c r="V1572" s="599"/>
      <c r="W1572" s="599"/>
      <c r="X1572" s="599"/>
      <c r="Y1572" s="879"/>
      <c r="Z1572" s="85"/>
      <c r="AC1572" s="493"/>
      <c r="AD1572" s="495"/>
      <c r="AG1572" s="94"/>
      <c r="AH1572" s="40"/>
      <c r="AI1572" s="40"/>
      <c r="AJ1572" s="40"/>
      <c r="AK1572" s="40"/>
      <c r="AO1572" s="22"/>
      <c r="AP1572" s="22"/>
      <c r="AQ1572" s="22"/>
      <c r="AR1572" s="22"/>
      <c r="AS1572" s="22"/>
      <c r="AT1572" s="22"/>
      <c r="AU1572" s="35"/>
      <c r="AV1572" s="35"/>
      <c r="AW1572" s="35"/>
      <c r="AX1572" s="35"/>
      <c r="AY1572" s="35"/>
      <c r="AZ1572" s="35"/>
      <c r="BA1572" s="35"/>
      <c r="BB1572" s="35"/>
      <c r="BC1572" s="35"/>
      <c r="BD1572" s="35"/>
      <c r="BE1572" s="35"/>
      <c r="BF1572" s="35"/>
      <c r="BG1572" s="35"/>
      <c r="BH1572" s="35"/>
      <c r="BI1572" s="35"/>
      <c r="BJ1572" s="35"/>
      <c r="BK1572" s="35"/>
      <c r="BL1572" s="35"/>
      <c r="BM1572" s="35"/>
      <c r="BN1572" s="35"/>
      <c r="BO1572" s="86"/>
    </row>
    <row r="1573" spans="1:67" s="55" customFormat="1" ht="37.15" customHeight="1" thickBot="1" x14ac:dyDescent="0.3">
      <c r="A1573" s="520">
        <f>IFERROR(VLOOKUP($G$5,'רשימת רשויות'!A:C,3,0),0)</f>
        <v>0</v>
      </c>
      <c r="B1573" s="520">
        <f t="shared" si="220"/>
        <v>0</v>
      </c>
      <c r="C1573" s="39"/>
      <c r="D1573" s="1134"/>
      <c r="E1573" s="1137"/>
      <c r="F1573" s="587" t="s">
        <v>142</v>
      </c>
      <c r="G1573" s="92"/>
      <c r="H1573" s="92"/>
      <c r="I1573" s="92"/>
      <c r="J1573" s="92"/>
      <c r="K1573" s="602"/>
      <c r="L1573" s="602"/>
      <c r="M1573" s="602"/>
      <c r="N1573" s="602"/>
      <c r="O1573" s="602"/>
      <c r="P1573" s="595"/>
      <c r="Q1573" s="595"/>
      <c r="R1573" s="596"/>
      <c r="S1573" s="610"/>
      <c r="T1573" s="881"/>
      <c r="U1573" s="598"/>
      <c r="V1573" s="599"/>
      <c r="W1573" s="599"/>
      <c r="X1573" s="599"/>
      <c r="Y1573" s="879"/>
      <c r="Z1573" s="93"/>
      <c r="AC1573" s="493"/>
      <c r="AD1573" s="495"/>
      <c r="AF1573" s="22"/>
      <c r="AG1573" s="98"/>
      <c r="AH1573" s="98"/>
      <c r="AI1573" s="40"/>
      <c r="AJ1573" s="40"/>
      <c r="AK1573" s="40"/>
      <c r="AO1573" s="22"/>
      <c r="AP1573" s="22"/>
      <c r="AQ1573" s="22"/>
      <c r="AR1573" s="22"/>
      <c r="AS1573" s="22"/>
      <c r="AT1573" s="22"/>
      <c r="AU1573" s="35"/>
      <c r="AV1573" s="35"/>
      <c r="AW1573" s="35"/>
      <c r="AX1573" s="35"/>
      <c r="AY1573" s="35"/>
      <c r="AZ1573" s="35"/>
      <c r="BA1573" s="35"/>
      <c r="BB1573" s="35"/>
      <c r="BC1573" s="35"/>
      <c r="BD1573" s="35"/>
      <c r="BE1573" s="35"/>
      <c r="BF1573" s="35"/>
      <c r="BG1573" s="35"/>
      <c r="BH1573" s="35"/>
      <c r="BI1573" s="35"/>
      <c r="BJ1573" s="35"/>
      <c r="BK1573" s="35"/>
      <c r="BL1573" s="35"/>
      <c r="BM1573" s="35"/>
      <c r="BN1573" s="35"/>
      <c r="BO1573" s="86"/>
    </row>
    <row r="1574" spans="1:67" s="40" customFormat="1" ht="31.5" x14ac:dyDescent="0.25">
      <c r="A1574" s="520">
        <f>IFERROR(VLOOKUP($G$5,'רשימת רשויות'!A:C,3,0),0)</f>
        <v>0</v>
      </c>
      <c r="B1574" s="520">
        <f t="shared" si="220"/>
        <v>0</v>
      </c>
      <c r="C1574" s="39"/>
      <c r="D1574" s="1134"/>
      <c r="E1574" s="1137"/>
      <c r="F1574" s="588" t="s">
        <v>94</v>
      </c>
      <c r="G1574" s="95" t="s">
        <v>18</v>
      </c>
      <c r="H1574" s="95" t="s">
        <v>19</v>
      </c>
      <c r="I1574" s="95" t="s">
        <v>138</v>
      </c>
      <c r="J1574" s="96" t="s">
        <v>139</v>
      </c>
      <c r="K1574" s="603"/>
      <c r="L1574" s="603"/>
      <c r="M1574" s="603"/>
      <c r="N1574" s="603"/>
      <c r="O1574" s="603"/>
      <c r="P1574" s="604"/>
      <c r="Q1574" s="604"/>
      <c r="R1574" s="596"/>
      <c r="S1574" s="610"/>
      <c r="T1574" s="881"/>
      <c r="U1574" s="598"/>
      <c r="V1574" s="599"/>
      <c r="W1574" s="599"/>
      <c r="X1574" s="599"/>
      <c r="Y1574" s="879"/>
      <c r="Z1574" s="97"/>
      <c r="AA1574" s="94"/>
      <c r="AB1574" s="94"/>
      <c r="AC1574" s="493"/>
      <c r="AD1574" s="495"/>
      <c r="AE1574" s="94"/>
      <c r="AG1574" s="98"/>
      <c r="AH1574" s="98"/>
      <c r="AO1574" s="22"/>
      <c r="AP1574" s="22"/>
      <c r="AQ1574" s="22"/>
      <c r="AR1574" s="22"/>
      <c r="AS1574" s="22"/>
      <c r="AT1574" s="22"/>
      <c r="AU1574" s="35"/>
      <c r="AV1574" s="35"/>
      <c r="AW1574" s="35"/>
      <c r="AX1574" s="35"/>
      <c r="AY1574" s="35"/>
      <c r="AZ1574" s="35"/>
      <c r="BA1574" s="35"/>
      <c r="BB1574" s="35"/>
      <c r="BC1574" s="35"/>
      <c r="BD1574" s="35"/>
      <c r="BE1574" s="35"/>
      <c r="BF1574" s="35"/>
      <c r="BG1574" s="35"/>
      <c r="BH1574" s="35"/>
      <c r="BI1574" s="35"/>
      <c r="BJ1574" s="35"/>
      <c r="BK1574" s="35"/>
      <c r="BL1574" s="35"/>
      <c r="BM1574" s="35"/>
      <c r="BN1574" s="35"/>
      <c r="BO1574" s="86"/>
    </row>
    <row r="1575" spans="1:67" s="40" customFormat="1" ht="15.75" customHeight="1" thickBot="1" x14ac:dyDescent="0.3">
      <c r="A1575" s="520">
        <f>IFERROR(VLOOKUP($G$5,'רשימת רשויות'!A:C,3,0),0)</f>
        <v>0</v>
      </c>
      <c r="B1575" s="520">
        <f t="shared" si="220"/>
        <v>0</v>
      </c>
      <c r="C1575" s="39"/>
      <c r="D1575" s="1134"/>
      <c r="E1575" s="1137"/>
      <c r="F1575" s="589" t="s">
        <v>2280</v>
      </c>
      <c r="G1575" s="99">
        <f>+G1586</f>
        <v>0</v>
      </c>
      <c r="H1575" s="100">
        <f>K1569</f>
        <v>0</v>
      </c>
      <c r="I1575" s="100">
        <f>H1575-I1577</f>
        <v>0</v>
      </c>
      <c r="J1575" s="101">
        <f>IFERROR(I1575/H1575,0)</f>
        <v>0</v>
      </c>
      <c r="K1575" s="603"/>
      <c r="L1575" s="603"/>
      <c r="M1575" s="603"/>
      <c r="N1575" s="603"/>
      <c r="O1575" s="603"/>
      <c r="P1575" s="605"/>
      <c r="Q1575" s="604"/>
      <c r="R1575" s="606" t="s">
        <v>157</v>
      </c>
      <c r="S1575" s="611"/>
      <c r="T1575" s="881"/>
      <c r="U1575" s="598"/>
      <c r="V1575" s="599"/>
      <c r="W1575" s="599"/>
      <c r="X1575" s="599"/>
      <c r="Y1575" s="879"/>
      <c r="Z1575" s="102"/>
      <c r="AA1575" s="122"/>
      <c r="AB1575" s="122"/>
      <c r="AC1575" s="493"/>
      <c r="AD1575" s="495"/>
      <c r="AE1575" s="122"/>
      <c r="AF1575" s="22"/>
      <c r="AG1575" s="98"/>
      <c r="AH1575" s="98"/>
      <c r="AI1575" s="20"/>
      <c r="AO1575" s="22"/>
      <c r="AP1575" s="22"/>
      <c r="AQ1575" s="22"/>
      <c r="AR1575" s="22"/>
      <c r="AS1575" s="22"/>
      <c r="AT1575" s="22"/>
      <c r="AU1575" s="35"/>
      <c r="AV1575" s="35"/>
      <c r="AW1575" s="35"/>
      <c r="AX1575" s="35"/>
      <c r="AY1575" s="35"/>
      <c r="AZ1575" s="35"/>
      <c r="BA1575" s="35"/>
      <c r="BB1575" s="35"/>
      <c r="BC1575" s="35"/>
      <c r="BD1575" s="35"/>
      <c r="BE1575" s="35"/>
      <c r="BF1575" s="35"/>
      <c r="BG1575" s="35"/>
      <c r="BH1575" s="35"/>
      <c r="BI1575" s="35"/>
      <c r="BJ1575" s="35"/>
      <c r="BK1575" s="35"/>
      <c r="BL1575" s="35"/>
      <c r="BM1575" s="35"/>
      <c r="BN1575" s="35"/>
      <c r="BO1575" s="86"/>
    </row>
    <row r="1576" spans="1:67" s="40" customFormat="1" ht="15.75" customHeight="1" thickBot="1" x14ac:dyDescent="0.3">
      <c r="A1576" s="520">
        <f>IFERROR(VLOOKUP($G$5,'רשימת רשויות'!A:C,3,0),0)</f>
        <v>0</v>
      </c>
      <c r="B1576" s="520">
        <f t="shared" si="220"/>
        <v>0</v>
      </c>
      <c r="C1576" s="39"/>
      <c r="D1576" s="1134"/>
      <c r="E1576" s="1137"/>
      <c r="F1576" s="589" t="s">
        <v>2281</v>
      </c>
      <c r="G1576" s="99">
        <f>+G1585</f>
        <v>0</v>
      </c>
      <c r="H1576" s="103"/>
      <c r="I1576" s="104"/>
      <c r="J1576" s="105"/>
      <c r="K1576" s="603"/>
      <c r="L1576" s="603"/>
      <c r="M1576" s="603"/>
      <c r="N1576" s="603"/>
      <c r="O1576" s="603"/>
      <c r="P1576" s="605"/>
      <c r="Q1576" s="604"/>
      <c r="R1576" s="473">
        <f>I1577-R1578</f>
        <v>0</v>
      </c>
      <c r="S1576" s="611"/>
      <c r="T1576" s="881"/>
      <c r="U1576" s="598"/>
      <c r="V1576" s="599"/>
      <c r="W1576" s="599"/>
      <c r="X1576" s="599"/>
      <c r="Y1576" s="879"/>
      <c r="Z1576" s="106"/>
      <c r="AA1576" s="22"/>
      <c r="AB1576" s="22"/>
      <c r="AC1576" s="493"/>
      <c r="AD1576" s="495"/>
      <c r="AE1576" s="22"/>
      <c r="AF1576" s="22"/>
      <c r="AG1576" s="98"/>
      <c r="AH1576" s="98"/>
      <c r="AI1576" s="20"/>
      <c r="AO1576" s="22"/>
      <c r="AP1576" s="22"/>
      <c r="AQ1576" s="22"/>
      <c r="AR1576" s="22"/>
      <c r="AS1576" s="22"/>
      <c r="AT1576" s="22"/>
      <c r="AU1576" s="35"/>
      <c r="AV1576" s="35"/>
      <c r="AW1576" s="35"/>
      <c r="AX1576" s="35"/>
      <c r="AY1576" s="35"/>
      <c r="AZ1576" s="35"/>
      <c r="BA1576" s="35"/>
      <c r="BB1576" s="35"/>
      <c r="BC1576" s="35"/>
      <c r="BD1576" s="35"/>
      <c r="BE1576" s="35"/>
      <c r="BF1576" s="35"/>
      <c r="BG1576" s="35"/>
      <c r="BH1576" s="35"/>
      <c r="BI1576" s="35"/>
      <c r="BJ1576" s="35"/>
      <c r="BK1576" s="35"/>
      <c r="BL1576" s="35"/>
      <c r="BM1576" s="35"/>
      <c r="BN1576" s="35"/>
      <c r="BO1576" s="86"/>
    </row>
    <row r="1577" spans="1:67" s="40" customFormat="1" ht="16.5" customHeight="1" thickBot="1" x14ac:dyDescent="0.3">
      <c r="A1577" s="520">
        <f>IFERROR(VLOOKUP($G$5,'רשימת רשויות'!A:C,3,0),0)</f>
        <v>0</v>
      </c>
      <c r="B1577" s="520">
        <f t="shared" si="220"/>
        <v>0</v>
      </c>
      <c r="C1577" s="39"/>
      <c r="D1577" s="1134"/>
      <c r="E1577" s="1137"/>
      <c r="F1577" s="589" t="s">
        <v>2282</v>
      </c>
      <c r="G1577" s="99">
        <f>G1581+G1582+G1583</f>
        <v>0</v>
      </c>
      <c r="H1577" s="104"/>
      <c r="I1577" s="107">
        <f>MAX(H1575-G1575-G1576,0)</f>
        <v>0</v>
      </c>
      <c r="J1577" s="108">
        <f>IFERROR(I1577/H1575,0)</f>
        <v>0</v>
      </c>
      <c r="K1577" s="603"/>
      <c r="L1577" s="603"/>
      <c r="M1577" s="603"/>
      <c r="N1577" s="603"/>
      <c r="O1577" s="603"/>
      <c r="P1577" s="604"/>
      <c r="Q1577" s="604"/>
      <c r="R1577" s="606" t="s">
        <v>158</v>
      </c>
      <c r="S1577" s="612"/>
      <c r="T1577" s="881"/>
      <c r="U1577" s="598"/>
      <c r="V1577" s="599"/>
      <c r="W1577" s="599"/>
      <c r="X1577" s="599"/>
      <c r="Y1577" s="879"/>
      <c r="Z1577" s="106"/>
      <c r="AA1577" s="22"/>
      <c r="AB1577" s="22"/>
      <c r="AC1577" s="493"/>
      <c r="AD1577" s="495"/>
      <c r="AE1577" s="22"/>
      <c r="AF1577" s="22"/>
      <c r="AG1577" s="22"/>
      <c r="AH1577" s="22"/>
      <c r="AI1577" s="55"/>
      <c r="AJ1577" s="22"/>
      <c r="AK1577" s="22"/>
      <c r="AO1577" s="22"/>
      <c r="AP1577" s="22"/>
      <c r="AQ1577" s="22"/>
      <c r="AR1577" s="22"/>
      <c r="AS1577" s="22"/>
      <c r="AT1577" s="22"/>
      <c r="AU1577" s="35"/>
      <c r="AV1577" s="35"/>
      <c r="AW1577" s="35"/>
      <c r="AX1577" s="35"/>
      <c r="AY1577" s="35"/>
      <c r="AZ1577" s="35"/>
      <c r="BA1577" s="35"/>
      <c r="BB1577" s="35"/>
      <c r="BC1577" s="35"/>
      <c r="BD1577" s="35"/>
      <c r="BE1577" s="35"/>
      <c r="BF1577" s="35"/>
      <c r="BG1577" s="35"/>
      <c r="BH1577" s="35"/>
      <c r="BI1577" s="35"/>
      <c r="BJ1577" s="35"/>
      <c r="BK1577" s="35"/>
      <c r="BL1577" s="35"/>
      <c r="BM1577" s="35"/>
      <c r="BN1577" s="35"/>
      <c r="BO1577" s="86"/>
    </row>
    <row r="1578" spans="1:67" s="40" customFormat="1" ht="15.75" customHeight="1" thickBot="1" x14ac:dyDescent="0.3">
      <c r="A1578" s="520">
        <f>IFERROR(VLOOKUP($G$5,'רשימת רשויות'!A:C,3,0),0)</f>
        <v>0</v>
      </c>
      <c r="B1578" s="520">
        <f t="shared" si="220"/>
        <v>0</v>
      </c>
      <c r="C1578" s="39"/>
      <c r="D1578" s="1134"/>
      <c r="E1578" s="1137"/>
      <c r="F1578" s="590" t="s">
        <v>2290</v>
      </c>
      <c r="G1578" s="109"/>
      <c r="H1578" s="110"/>
      <c r="I1578" s="111">
        <f>SUM(I1575:I1577)</f>
        <v>0</v>
      </c>
      <c r="J1578" s="112">
        <f>SUM(J1575:J1577)</f>
        <v>0</v>
      </c>
      <c r="K1578" s="603"/>
      <c r="L1578" s="603"/>
      <c r="M1578" s="603"/>
      <c r="N1578" s="603"/>
      <c r="O1578" s="603"/>
      <c r="P1578" s="604"/>
      <c r="Q1578" s="604"/>
      <c r="R1578" s="473">
        <f>MIN(MAX(G1582+G1583-I1571-J1571,0),I1577)</f>
        <v>0</v>
      </c>
      <c r="S1578" s="612"/>
      <c r="T1578" s="881"/>
      <c r="U1578" s="598"/>
      <c r="V1578" s="599"/>
      <c r="W1578" s="599"/>
      <c r="X1578" s="599"/>
      <c r="Y1578" s="879"/>
      <c r="Z1578" s="106"/>
      <c r="AA1578" s="22"/>
      <c r="AB1578" s="22"/>
      <c r="AC1578" s="493"/>
      <c r="AD1578" s="495"/>
      <c r="AE1578" s="22"/>
      <c r="AF1578" s="22"/>
      <c r="AG1578" s="22"/>
      <c r="AH1578" s="22"/>
      <c r="AJ1578" s="22"/>
      <c r="AK1578" s="22"/>
      <c r="AO1578" s="22"/>
      <c r="AP1578" s="22"/>
      <c r="AQ1578" s="22"/>
      <c r="AR1578" s="22"/>
      <c r="AS1578" s="22"/>
      <c r="AT1578" s="22"/>
      <c r="AU1578" s="35"/>
      <c r="AV1578" s="35"/>
      <c r="AW1578" s="35"/>
      <c r="AX1578" s="35"/>
      <c r="AY1578" s="35"/>
      <c r="AZ1578" s="35"/>
      <c r="BA1578" s="35"/>
      <c r="BB1578" s="35"/>
      <c r="BC1578" s="35"/>
      <c r="BD1578" s="35"/>
      <c r="BE1578" s="35"/>
      <c r="BF1578" s="35"/>
      <c r="BG1578" s="35"/>
      <c r="BH1578" s="35"/>
      <c r="BI1578" s="35"/>
      <c r="BJ1578" s="35"/>
      <c r="BK1578" s="35"/>
      <c r="BL1578" s="35"/>
      <c r="BM1578" s="35"/>
      <c r="BN1578" s="35"/>
      <c r="BO1578" s="86"/>
    </row>
    <row r="1579" spans="1:67" ht="16.5" thickBot="1" x14ac:dyDescent="0.3">
      <c r="A1579" s="520">
        <f>IFERROR(VLOOKUP($G$5,'רשימת רשויות'!A:C,3,0),0)</f>
        <v>0</v>
      </c>
      <c r="B1579" s="520">
        <f t="shared" si="220"/>
        <v>0</v>
      </c>
      <c r="D1579" s="1134"/>
      <c r="E1579" s="1137"/>
      <c r="F1579" s="587" t="s">
        <v>17</v>
      </c>
      <c r="G1579" s="113"/>
      <c r="H1579" s="92"/>
      <c r="I1579" s="114"/>
      <c r="J1579" s="115"/>
      <c r="K1579" s="116"/>
      <c r="L1579" s="406"/>
      <c r="M1579" s="116"/>
      <c r="N1579" s="116"/>
      <c r="O1579" s="116"/>
      <c r="P1579" s="474"/>
      <c r="Q1579" s="607"/>
      <c r="R1579" s="608"/>
      <c r="S1579" s="612"/>
      <c r="T1579" s="881"/>
      <c r="U1579" s="598"/>
      <c r="V1579" s="599"/>
      <c r="W1579" s="599"/>
      <c r="X1579" s="599"/>
      <c r="Y1579" s="879"/>
      <c r="Z1579" s="106"/>
      <c r="AI1579" s="40"/>
      <c r="BO1579" s="86"/>
    </row>
    <row r="1580" spans="1:67" ht="47.25" x14ac:dyDescent="0.25">
      <c r="A1580" s="520">
        <f>IFERROR(VLOOKUP($G$5,'רשימת רשויות'!A:C,3,0),0)</f>
        <v>0</v>
      </c>
      <c r="B1580" s="520">
        <f t="shared" si="220"/>
        <v>0</v>
      </c>
      <c r="D1580" s="1134"/>
      <c r="E1580" s="1137"/>
      <c r="F1580" s="588" t="s">
        <v>2</v>
      </c>
      <c r="G1580" s="95" t="s">
        <v>18</v>
      </c>
      <c r="H1580" s="95" t="s">
        <v>19</v>
      </c>
      <c r="I1580" s="95" t="s">
        <v>20</v>
      </c>
      <c r="J1580" s="95" t="s">
        <v>22</v>
      </c>
      <c r="K1580" s="96" t="s">
        <v>2314</v>
      </c>
      <c r="L1580" s="609"/>
      <c r="M1580" s="609"/>
      <c r="N1580" s="609"/>
      <c r="O1580" s="580"/>
      <c r="P1580" s="618" t="s">
        <v>2298</v>
      </c>
      <c r="Q1580" s="618" t="s">
        <v>2299</v>
      </c>
      <c r="R1580" s="596"/>
      <c r="S1580" s="890" t="s">
        <v>2519</v>
      </c>
      <c r="T1580" s="890" t="s">
        <v>97</v>
      </c>
      <c r="U1580" s="891" t="s">
        <v>2521</v>
      </c>
      <c r="V1580" s="892" t="s">
        <v>2520</v>
      </c>
      <c r="W1580" s="893" t="s">
        <v>2524</v>
      </c>
      <c r="X1580" s="892" t="s">
        <v>2522</v>
      </c>
      <c r="Y1580" s="894" t="s">
        <v>2523</v>
      </c>
      <c r="Z1580" s="106"/>
      <c r="AC1580" s="498" t="s">
        <v>2568</v>
      </c>
      <c r="AD1580" s="499" t="s">
        <v>2569</v>
      </c>
      <c r="AF1580" s="122"/>
      <c r="AI1580" s="40"/>
      <c r="BO1580" s="86"/>
    </row>
    <row r="1581" spans="1:67" ht="15" customHeight="1" thickBot="1" x14ac:dyDescent="0.3">
      <c r="A1581" s="520">
        <f>IFERROR(VLOOKUP($G$5,'רשימת רשויות'!A:C,3,0),0)</f>
        <v>0</v>
      </c>
      <c r="B1581" s="520">
        <f t="shared" si="220"/>
        <v>0</v>
      </c>
      <c r="D1581" s="1134"/>
      <c r="E1581" s="1137"/>
      <c r="F1581" s="589" t="s">
        <v>76</v>
      </c>
      <c r="G1581" s="117">
        <f>IF(G1572="תקין",SUMIF('עלויות כח אדם (6)'!$B$15:$B$3014,'בית ספר - תקצוב לפי מוסד (9)'!$G1567,'עלויות כח אדם (6)'!$M$15:$M$3014)-VLOOKUP('בית ספר - תקצוב לפי מוסד (9)'!G1567,' איוש משרות (8)'!$C:$H,5,0)-VLOOKUP('בית ספר - תקצוב לפי מוסד (9)'!G1567,' איוש משרות (8)'!$C:$H,6,0),0)-Y1581</f>
        <v>0</v>
      </c>
      <c r="H1581" s="118">
        <f>I1569+R1576</f>
        <v>0</v>
      </c>
      <c r="I1581" s="119">
        <f>IFERROR(SUM(G1581)/H1581,0)</f>
        <v>0</v>
      </c>
      <c r="J1581" s="100">
        <f>MIN(I1569+R1576,IF(ISNUMBER(G1581),G1581,0))</f>
        <v>0</v>
      </c>
      <c r="K1581" s="120">
        <f>MAX(H1581-G1581,0)</f>
        <v>0</v>
      </c>
      <c r="L1581" s="407"/>
      <c r="M1581" s="393"/>
      <c r="N1581" s="393"/>
      <c r="O1581" s="580"/>
      <c r="P1581" s="968">
        <f>IFERROR(IF(SUM(G1581)/(I1569)&lt;100%,MIN((I1569)-SUM(G1581),(I1569)*0.25),0),0)</f>
        <v>0</v>
      </c>
      <c r="Q1581" s="968">
        <f>IF(SUM(G1581)-(I1569+R1576)&gt;0,SUM(G1581)-(I1569+R1576),0)</f>
        <v>0</v>
      </c>
      <c r="R1581" s="596" t="s">
        <v>2351</v>
      </c>
      <c r="S1581" s="576" t="s">
        <v>2342</v>
      </c>
      <c r="T1581" s="599">
        <f>G1567</f>
        <v>0</v>
      </c>
      <c r="U1581" s="578"/>
      <c r="V1581" s="579">
        <f>G1581+G1582+G1583</f>
        <v>0</v>
      </c>
      <c r="W1581" s="579">
        <f>U1581-V1581</f>
        <v>0</v>
      </c>
      <c r="X1581" s="579">
        <f>IFERROR(W1595*W1581/(SUM(W1581:W1594)),0)</f>
        <v>0</v>
      </c>
      <c r="Y1581" s="879">
        <f>SUMIFS(בקרה!$S:$S,בקרה!$D:$D,T1581,בקרה!$K:$K,S1581)</f>
        <v>0</v>
      </c>
      <c r="Z1581" s="121"/>
      <c r="AA1581" s="143"/>
      <c r="AB1581" s="143"/>
      <c r="AC1581" s="504">
        <v>0</v>
      </c>
      <c r="AD1581" s="505">
        <f>IFERROR(U1581-AC1581,0)</f>
        <v>0</v>
      </c>
      <c r="AE1581" s="143"/>
      <c r="AI1581" s="20"/>
      <c r="BO1581" s="86"/>
    </row>
    <row r="1582" spans="1:67" ht="15" customHeight="1" thickBot="1" x14ac:dyDescent="0.3">
      <c r="A1582" s="520">
        <f>IFERROR(VLOOKUP($G$5,'רשימת רשויות'!A:C,3,0),0)</f>
        <v>0</v>
      </c>
      <c r="B1582" s="520">
        <f t="shared" si="220"/>
        <v>0</v>
      </c>
      <c r="D1582" s="1134"/>
      <c r="E1582" s="1137"/>
      <c r="F1582" s="589" t="s">
        <v>44</v>
      </c>
      <c r="G1582" s="123">
        <f>IF(G1572="תקין",IFERROR(VLOOKUP('בית ספר - תקצוב לפי מוסד (9)'!G1567,' איוש משרות (8)'!C:J,7,0),0),0)</f>
        <v>0</v>
      </c>
      <c r="H1582" s="124">
        <f>I1571+R1578+J1571</f>
        <v>0</v>
      </c>
      <c r="I1582" s="119">
        <f>IFERROR(SUM(G1582:G1583)/H1582,0)</f>
        <v>0</v>
      </c>
      <c r="J1582" s="100">
        <f>MIN(R1578+I1571,IF(ISNUMBER(SUM(G1582:G1583)),SUM(G1582:G1583),0))</f>
        <v>0</v>
      </c>
      <c r="K1582" s="1139">
        <f>MAX((H1582)-(G1582+G1583),0)</f>
        <v>0</v>
      </c>
      <c r="L1582" s="407"/>
      <c r="M1582" s="393"/>
      <c r="N1582" s="393"/>
      <c r="O1582" s="580"/>
      <c r="P1582" s="1140"/>
      <c r="Q1582" s="1140"/>
      <c r="R1582" s="617">
        <f>MAX(MIN(P1590-Q1590,H1590*0.15-G1588),0)</f>
        <v>0</v>
      </c>
      <c r="S1582" s="576"/>
      <c r="T1582" s="599">
        <f>G1567</f>
        <v>0</v>
      </c>
      <c r="U1582" s="578"/>
      <c r="V1582" s="579"/>
      <c r="W1582" s="579">
        <f t="shared" ref="W1582:W1594" si="225">U1582-V1582</f>
        <v>0</v>
      </c>
      <c r="X1582" s="579"/>
      <c r="Y1582" s="879"/>
      <c r="Z1582" s="121"/>
      <c r="AA1582" s="143"/>
      <c r="AB1582" s="143"/>
      <c r="AC1582" s="504"/>
      <c r="AD1582" s="505">
        <f t="shared" ref="AD1582:AD1588" si="226">IFERROR(U1582-AC1582,0)</f>
        <v>0</v>
      </c>
      <c r="AE1582" s="143"/>
      <c r="AI1582" s="20"/>
      <c r="BO1582" s="86"/>
    </row>
    <row r="1583" spans="1:67" ht="15.75" customHeight="1" x14ac:dyDescent="0.25">
      <c r="A1583" s="520">
        <f>IFERROR(VLOOKUP($G$5,'רשימת רשויות'!A:C,3,0),0)</f>
        <v>0</v>
      </c>
      <c r="B1583" s="520">
        <f t="shared" si="220"/>
        <v>0</v>
      </c>
      <c r="D1583" s="1134"/>
      <c r="E1583" s="1137"/>
      <c r="F1583" s="589" t="s">
        <v>45</v>
      </c>
      <c r="G1583" s="123">
        <f>IF(G1572="תקין",IFERROR(VLOOKUP('בית ספר - תקצוב לפי מוסד (9)'!G1567,' איוש משרות (8)'!C:J,8,0),0),0)</f>
        <v>0</v>
      </c>
      <c r="H1583" s="125"/>
      <c r="I1583" s="126"/>
      <c r="J1583" s="104"/>
      <c r="K1583" s="1139"/>
      <c r="L1583" s="407"/>
      <c r="M1583" s="393"/>
      <c r="N1583" s="393"/>
      <c r="O1583" s="580"/>
      <c r="P1583" s="1140"/>
      <c r="Q1583" s="1140"/>
      <c r="R1583" s="596"/>
      <c r="S1583" s="576"/>
      <c r="T1583" s="599">
        <f>G1567</f>
        <v>0</v>
      </c>
      <c r="U1583" s="578"/>
      <c r="V1583" s="579"/>
      <c r="W1583" s="579">
        <f t="shared" si="225"/>
        <v>0</v>
      </c>
      <c r="X1583" s="579"/>
      <c r="Y1583" s="879"/>
      <c r="Z1583" s="121"/>
      <c r="AA1583" s="143"/>
      <c r="AB1583" s="143"/>
      <c r="AC1583" s="504"/>
      <c r="AD1583" s="505">
        <f t="shared" si="226"/>
        <v>0</v>
      </c>
      <c r="AE1583" s="143"/>
      <c r="AG1583" s="55"/>
      <c r="AH1583" s="55"/>
      <c r="AI1583" s="55"/>
      <c r="AJ1583" s="55"/>
      <c r="AK1583" s="55"/>
      <c r="BO1583" s="86"/>
    </row>
    <row r="1584" spans="1:67" ht="15.75" customHeight="1" x14ac:dyDescent="0.25">
      <c r="A1584" s="520">
        <f>IFERROR(VLOOKUP($G$5,'רשימת רשויות'!A:C,3,0),0)</f>
        <v>0</v>
      </c>
      <c r="B1584" s="520">
        <f t="shared" si="220"/>
        <v>0</v>
      </c>
      <c r="D1584" s="1134"/>
      <c r="E1584" s="1137"/>
      <c r="F1584" s="589" t="s">
        <v>0</v>
      </c>
      <c r="G1584" s="117">
        <f>IF(G1572="תקין",SUMIFS('דוח הוצאות בפועל (4)'!$E$17:$E$3016,'דוח הוצאות בפועל (4)'!$B$17:$B$3016,'בית ספר - תקצוב לפי מוסד (9)'!$G1567,'דוח הוצאות בפועל (4)'!$M$17:$M$3016,"הע"),0)-Y1584</f>
        <v>0</v>
      </c>
      <c r="H1584" s="127">
        <f>J1569</f>
        <v>0</v>
      </c>
      <c r="I1584" s="128">
        <f>IFERROR(G1584/H1584,0)</f>
        <v>0</v>
      </c>
      <c r="J1584" s="129">
        <f>MIN(IF(ISNUMBER(G1584),G1584,0),H1584)</f>
        <v>0</v>
      </c>
      <c r="K1584" s="120">
        <f>MAX(H1584-G1584,0)</f>
        <v>0</v>
      </c>
      <c r="L1584" s="407"/>
      <c r="M1584" s="393"/>
      <c r="N1584" s="393"/>
      <c r="O1584" s="580"/>
      <c r="P1584" s="968">
        <f>MAX(IF(I1584&lt;100%,MIN((H1584-G1584),H1584*0.25),0),0)</f>
        <v>0</v>
      </c>
      <c r="Q1584" s="619">
        <f>IF(G1584-H1584&gt;0,G1584-H1584,0)</f>
        <v>0</v>
      </c>
      <c r="R1584" s="596"/>
      <c r="S1584" s="610" t="s">
        <v>0</v>
      </c>
      <c r="T1584" s="599">
        <f>G1567</f>
        <v>0</v>
      </c>
      <c r="U1584" s="578"/>
      <c r="V1584" s="579">
        <f>G1584</f>
        <v>0</v>
      </c>
      <c r="W1584" s="579">
        <f t="shared" si="225"/>
        <v>0</v>
      </c>
      <c r="X1584" s="579">
        <f>IFERROR(W1595*W1584/(SUM(W1581:W1594)),0)</f>
        <v>0</v>
      </c>
      <c r="Y1584" s="879">
        <f>SUMIFS(בקרה!$S:$S,בקרה!$D:$D,T1584,בקרה!$K:$K,S1584)</f>
        <v>0</v>
      </c>
      <c r="Z1584" s="121"/>
      <c r="AA1584" s="143"/>
      <c r="AB1584" s="143"/>
      <c r="AC1584" s="504">
        <v>0</v>
      </c>
      <c r="AD1584" s="505">
        <f t="shared" si="226"/>
        <v>0</v>
      </c>
      <c r="AE1584" s="143"/>
      <c r="AG1584" s="55"/>
      <c r="AH1584" s="55"/>
      <c r="AI1584" s="40"/>
      <c r="AJ1584" s="55"/>
      <c r="AK1584" s="55"/>
      <c r="BO1584" s="86"/>
    </row>
    <row r="1585" spans="1:67" s="55" customFormat="1" ht="15.75" customHeight="1" x14ac:dyDescent="0.25">
      <c r="A1585" s="520">
        <f>IFERROR(VLOOKUP($G$5,'רשימת רשויות'!A:C,3,0),0)</f>
        <v>0</v>
      </c>
      <c r="B1585" s="520">
        <f t="shared" si="220"/>
        <v>0</v>
      </c>
      <c r="C1585" s="39"/>
      <c r="D1585" s="1134"/>
      <c r="E1585" s="1137"/>
      <c r="F1585" s="589" t="s">
        <v>93</v>
      </c>
      <c r="G1585" s="130">
        <f>IF(G1572="תקין",SUMIFS('דוח הוצאות בפועל (4)'!$E$17:$E$3016,'דוח הוצאות בפועל (4)'!$B$17:$B$3016,'בית ספר - תקצוב לפי מוסד (9)'!$G1567,'דוח הוצאות בפועל (4)'!$M$17:$M$3016,"אר"),0)-Y1585</f>
        <v>0</v>
      </c>
      <c r="H1585" s="118">
        <f>$I1575</f>
        <v>0</v>
      </c>
      <c r="I1585" s="131">
        <f>IFERROR((G1585+G1586)/H1585,0)</f>
        <v>0</v>
      </c>
      <c r="J1585" s="100">
        <f>MIN((IF(ISNUMBER(G1585),G1585,0)+IF(ISNUMBER(G1586),G1586,0)),H1585)</f>
        <v>0</v>
      </c>
      <c r="K1585" s="1139">
        <f>MAX((H1585)-(G1585+G1586),0)</f>
        <v>0</v>
      </c>
      <c r="L1585" s="407"/>
      <c r="M1585" s="393"/>
      <c r="N1585" s="393"/>
      <c r="O1585" s="602"/>
      <c r="P1585" s="1141"/>
      <c r="Q1585" s="1142"/>
      <c r="R1585" s="596"/>
      <c r="S1585" s="610" t="s">
        <v>93</v>
      </c>
      <c r="T1585" s="599">
        <f>G1567</f>
        <v>0</v>
      </c>
      <c r="U1585" s="578"/>
      <c r="V1585" s="579">
        <f t="shared" ref="V1585:V1586" si="227">G1585</f>
        <v>0</v>
      </c>
      <c r="W1585" s="579">
        <f t="shared" si="225"/>
        <v>0</v>
      </c>
      <c r="X1585" s="579">
        <f>IFERROR(W1595*W1585/(SUM(W1581:W1594)),0)</f>
        <v>0</v>
      </c>
      <c r="Y1585" s="879">
        <f>SUMIFS(בקרה!$S:$S,בקרה!$D:$D,T1585,בקרה!$K:$K,S1585)</f>
        <v>0</v>
      </c>
      <c r="Z1585" s="121"/>
      <c r="AA1585" s="143"/>
      <c r="AB1585" s="143"/>
      <c r="AC1585" s="504">
        <v>0</v>
      </c>
      <c r="AD1585" s="505">
        <f t="shared" si="226"/>
        <v>0</v>
      </c>
      <c r="AE1585" s="143"/>
      <c r="AJ1585" s="22"/>
      <c r="AO1585" s="22"/>
      <c r="AP1585" s="22"/>
      <c r="AQ1585" s="22"/>
      <c r="AR1585" s="22"/>
      <c r="AS1585" s="22"/>
      <c r="AT1585" s="22"/>
      <c r="AU1585" s="35"/>
      <c r="AV1585" s="35"/>
      <c r="AW1585" s="35"/>
      <c r="AX1585" s="35"/>
      <c r="AY1585" s="35"/>
      <c r="AZ1585" s="35"/>
      <c r="BA1585" s="35"/>
      <c r="BB1585" s="35"/>
      <c r="BC1585" s="35"/>
      <c r="BD1585" s="35"/>
      <c r="BE1585" s="35"/>
      <c r="BF1585" s="35"/>
      <c r="BG1585" s="35"/>
      <c r="BH1585" s="35"/>
      <c r="BI1585" s="35"/>
      <c r="BJ1585" s="35"/>
      <c r="BK1585" s="35"/>
      <c r="BL1585" s="35"/>
      <c r="BM1585" s="35"/>
      <c r="BN1585" s="35"/>
      <c r="BO1585" s="86"/>
    </row>
    <row r="1586" spans="1:67" s="55" customFormat="1" ht="15.75" customHeight="1" x14ac:dyDescent="0.25">
      <c r="A1586" s="520">
        <f>IFERROR(VLOOKUP($G$5,'רשימת רשויות'!A:C,3,0),0)</f>
        <v>0</v>
      </c>
      <c r="B1586" s="520">
        <f t="shared" si="220"/>
        <v>0</v>
      </c>
      <c r="C1586" s="39"/>
      <c r="D1586" s="1134"/>
      <c r="E1586" s="1137"/>
      <c r="F1586" s="589" t="s">
        <v>46</v>
      </c>
      <c r="G1586" s="130">
        <f>IF(G1572="תקין",SUMIFS('דוח הוצאות בפועל (4)'!$E$17:$E$3016,'דוח הוצאות בפועל (4)'!$B$17:$B$3016,'בית ספר - תקצוב לפי מוסד (9)'!$G1567,'דוח הוצאות בפועל (4)'!$M$17:$M$3016,"מל"),0)-Y1586</f>
        <v>0</v>
      </c>
      <c r="H1586" s="132"/>
      <c r="I1586" s="133"/>
      <c r="J1586" s="104"/>
      <c r="K1586" s="1139"/>
      <c r="L1586" s="407"/>
      <c r="M1586" s="393"/>
      <c r="N1586" s="393"/>
      <c r="O1586" s="602"/>
      <c r="P1586" s="1141"/>
      <c r="Q1586" s="1142"/>
      <c r="R1586" s="596"/>
      <c r="S1586" s="610" t="s">
        <v>46</v>
      </c>
      <c r="T1586" s="599">
        <f>G1567</f>
        <v>0</v>
      </c>
      <c r="U1586" s="578"/>
      <c r="V1586" s="579">
        <f t="shared" si="227"/>
        <v>0</v>
      </c>
      <c r="W1586" s="579">
        <f t="shared" si="225"/>
        <v>0</v>
      </c>
      <c r="X1586" s="579">
        <f>IFERROR(W1595*W1586/(SUM(W1581:W1594)),0)</f>
        <v>0</v>
      </c>
      <c r="Y1586" s="879">
        <f>SUMIFS(בקרה!$S:$S,בקרה!$D:$D,T1586,בקרה!$K:$K,S1586)</f>
        <v>0</v>
      </c>
      <c r="Z1586" s="121"/>
      <c r="AA1586" s="143"/>
      <c r="AB1586" s="143"/>
      <c r="AC1586" s="504">
        <v>0</v>
      </c>
      <c r="AD1586" s="505">
        <f t="shared" si="226"/>
        <v>0</v>
      </c>
      <c r="AE1586" s="143"/>
      <c r="AJ1586" s="22"/>
      <c r="AO1586" s="22"/>
      <c r="AP1586" s="22"/>
      <c r="AQ1586" s="22"/>
      <c r="AR1586" s="22"/>
      <c r="AS1586" s="22"/>
      <c r="AT1586" s="22"/>
      <c r="AU1586" s="35"/>
      <c r="AV1586" s="35"/>
      <c r="AW1586" s="35"/>
      <c r="AX1586" s="35"/>
      <c r="AY1586" s="35"/>
      <c r="AZ1586" s="35"/>
      <c r="BA1586" s="35"/>
      <c r="BB1586" s="35"/>
      <c r="BC1586" s="35"/>
      <c r="BD1586" s="35"/>
      <c r="BE1586" s="35"/>
      <c r="BF1586" s="35"/>
      <c r="BG1586" s="35"/>
      <c r="BH1586" s="35"/>
      <c r="BI1586" s="35"/>
      <c r="BJ1586" s="35"/>
      <c r="BK1586" s="35"/>
      <c r="BL1586" s="35"/>
      <c r="BM1586" s="35"/>
      <c r="BN1586" s="35"/>
      <c r="BO1586" s="86"/>
    </row>
    <row r="1587" spans="1:67" s="55" customFormat="1" ht="15" customHeight="1" x14ac:dyDescent="0.25">
      <c r="A1587" s="520">
        <f>IFERROR(VLOOKUP($G$5,'רשימת רשויות'!A:C,3,0),0)</f>
        <v>0</v>
      </c>
      <c r="B1587" s="520">
        <f t="shared" si="220"/>
        <v>0</v>
      </c>
      <c r="C1587" s="39"/>
      <c r="D1587" s="1134"/>
      <c r="E1587" s="1137"/>
      <c r="F1587" s="591" t="s">
        <v>23</v>
      </c>
      <c r="G1587" s="134">
        <f>SUM(G1581:G1586)</f>
        <v>0</v>
      </c>
      <c r="H1587" s="135">
        <f>SUM(H1581:H1586)</f>
        <v>0</v>
      </c>
      <c r="I1587" s="128">
        <f>IFERROR(G1587/H1587,0)</f>
        <v>0</v>
      </c>
      <c r="J1587" s="136">
        <f>SUM(J1581:J1586)</f>
        <v>0</v>
      </c>
      <c r="K1587" s="137">
        <f>SUM(K1581:K1586)</f>
        <v>0</v>
      </c>
      <c r="L1587" s="408"/>
      <c r="M1587" s="394"/>
      <c r="N1587" s="394"/>
      <c r="O1587" s="602"/>
      <c r="P1587" s="620">
        <f>SUM(P1581:P1586)</f>
        <v>0</v>
      </c>
      <c r="Q1587" s="620">
        <f>SUM(Q1581:Q1586)</f>
        <v>0</v>
      </c>
      <c r="R1587" s="596"/>
      <c r="S1587" s="610"/>
      <c r="T1587" s="599">
        <f>G1567</f>
        <v>0</v>
      </c>
      <c r="U1587" s="578"/>
      <c r="V1587" s="579"/>
      <c r="W1587" s="579">
        <f t="shared" si="225"/>
        <v>0</v>
      </c>
      <c r="X1587" s="579"/>
      <c r="Y1587" s="879"/>
      <c r="Z1587" s="121"/>
      <c r="AA1587" s="143"/>
      <c r="AB1587" s="143"/>
      <c r="AC1587" s="504"/>
      <c r="AD1587" s="505">
        <f t="shared" si="226"/>
        <v>0</v>
      </c>
      <c r="AE1587" s="143"/>
      <c r="AJ1587" s="22"/>
      <c r="AL1587" s="22"/>
      <c r="AM1587" s="22"/>
      <c r="AN1587" s="22"/>
      <c r="AO1587" s="22"/>
      <c r="AP1587" s="22"/>
      <c r="AQ1587" s="22"/>
      <c r="AR1587" s="22"/>
      <c r="AS1587" s="22"/>
      <c r="AT1587" s="22"/>
      <c r="AU1587" s="35"/>
      <c r="AV1587" s="35"/>
      <c r="AW1587" s="35"/>
      <c r="AX1587" s="35"/>
      <c r="AY1587" s="35"/>
      <c r="AZ1587" s="35"/>
      <c r="BA1587" s="35"/>
      <c r="BB1587" s="35"/>
      <c r="BC1587" s="35"/>
      <c r="BD1587" s="35"/>
      <c r="BE1587" s="35"/>
      <c r="BF1587" s="35"/>
      <c r="BG1587" s="35"/>
      <c r="BH1587" s="35"/>
      <c r="BI1587" s="35"/>
      <c r="BJ1587" s="35"/>
      <c r="BK1587" s="35"/>
      <c r="BL1587" s="35"/>
      <c r="BM1587" s="35"/>
      <c r="BN1587" s="35"/>
      <c r="BO1587" s="86"/>
    </row>
    <row r="1588" spans="1:67" s="55" customFormat="1" ht="15" customHeight="1" x14ac:dyDescent="0.25">
      <c r="A1588" s="520">
        <f>IFERROR(VLOOKUP($G$5,'רשימת רשויות'!A:C,3,0),0)</f>
        <v>0</v>
      </c>
      <c r="B1588" s="520">
        <f t="shared" si="220"/>
        <v>0</v>
      </c>
      <c r="C1588" s="39"/>
      <c r="D1588" s="1134"/>
      <c r="E1588" s="1137"/>
      <c r="F1588" s="589" t="s">
        <v>3</v>
      </c>
      <c r="G1588" s="117">
        <f>IF(G1572="תקין",SUMIFS('דוח הוצאות בפועל (4)'!$E$17:$E$3016,'דוח הוצאות בפועל (4)'!$B$17:$B$3016,'בית ספר - תקצוב לפי מוסד (9)'!$G1567,'דוח הוצאות בפועל (4)'!$M$17:$M$3016,"ני")+SUMIFS('דוח הוצאות בפועל (4)'!$E$17:$E$3016,'דוח הוצאות בפועל (4)'!$B$17:$B$3016,'בית ספר - תקצוב לפי מוסד (9)'!$G1567,'דוח הוצאות בפועל (4)'!$M$17:$M$3016,"על"),0)-Y1588</f>
        <v>0</v>
      </c>
      <c r="H1588" s="117">
        <f>H1569</f>
        <v>0</v>
      </c>
      <c r="I1588" s="138">
        <f>IFERROR(G1588/H1588,0)</f>
        <v>0</v>
      </c>
      <c r="J1588" s="117">
        <f>IFERROR(IF(G1588/H1590&gt;0.15,MIN(H1590*0.15,H1588),MIN(H1588,IF(ISNUMBER(G1588),G1588,0))),0)</f>
        <v>0</v>
      </c>
      <c r="K1588" s="120">
        <f>MAX(H1588-G1588,0)</f>
        <v>0</v>
      </c>
      <c r="L1588" s="407"/>
      <c r="M1588" s="393"/>
      <c r="N1588" s="393"/>
      <c r="O1588" s="602"/>
      <c r="P1588" s="620">
        <f>IF(I1588&lt;100%,MIN(H1588-G1588,H1588*0.25),0)</f>
        <v>0</v>
      </c>
      <c r="Q1588" s="620">
        <f>MAX(MIN(IF(G1588-H1588&gt;0,G1588-H1588,0),$H1590*0.15-H1588-J1589),0)</f>
        <v>0</v>
      </c>
      <c r="R1588" s="596"/>
      <c r="S1588" s="610" t="s">
        <v>3</v>
      </c>
      <c r="T1588" s="599">
        <f>G1567</f>
        <v>0</v>
      </c>
      <c r="U1588" s="578"/>
      <c r="V1588" s="579">
        <f t="shared" ref="V1588" si="228">G1588</f>
        <v>0</v>
      </c>
      <c r="W1588" s="579">
        <f t="shared" si="225"/>
        <v>0</v>
      </c>
      <c r="X1588" s="579"/>
      <c r="Y1588" s="879"/>
      <c r="Z1588" s="121"/>
      <c r="AA1588" s="143"/>
      <c r="AB1588" s="143"/>
      <c r="AC1588" s="504">
        <v>0</v>
      </c>
      <c r="AD1588" s="505">
        <f t="shared" si="226"/>
        <v>0</v>
      </c>
      <c r="AE1588" s="143"/>
      <c r="AG1588" s="22"/>
      <c r="AH1588" s="22"/>
      <c r="AI1588" s="22"/>
      <c r="AJ1588" s="22"/>
      <c r="AK1588" s="22"/>
      <c r="AL1588" s="22"/>
      <c r="AM1588" s="22"/>
      <c r="AN1588" s="22"/>
      <c r="AO1588" s="22"/>
      <c r="AP1588" s="22"/>
      <c r="AQ1588" s="22"/>
      <c r="AR1588" s="22"/>
      <c r="AS1588" s="22"/>
      <c r="AT1588" s="22"/>
      <c r="AU1588" s="35"/>
      <c r="AV1588" s="35"/>
      <c r="AW1588" s="35"/>
      <c r="AX1588" s="35"/>
      <c r="AY1588" s="35"/>
      <c r="AZ1588" s="35"/>
      <c r="BA1588" s="35"/>
      <c r="BB1588" s="35"/>
      <c r="BC1588" s="35"/>
      <c r="BD1588" s="35"/>
      <c r="BE1588" s="35"/>
      <c r="BF1588" s="35"/>
      <c r="BG1588" s="35"/>
      <c r="BH1588" s="35"/>
      <c r="BI1588" s="35"/>
      <c r="BJ1588" s="35"/>
      <c r="BK1588" s="35"/>
      <c r="BL1588" s="35"/>
      <c r="BM1588" s="35"/>
      <c r="BN1588" s="35"/>
      <c r="BO1588" s="86"/>
    </row>
    <row r="1589" spans="1:67" s="55" customFormat="1" ht="15.75" customHeight="1" x14ac:dyDescent="0.25">
      <c r="A1589" s="520">
        <f>IFERROR(VLOOKUP($G$5,'רשימת רשויות'!A:C,3,0),0)</f>
        <v>0</v>
      </c>
      <c r="B1589" s="520">
        <f t="shared" si="220"/>
        <v>0</v>
      </c>
      <c r="C1589" s="39"/>
      <c r="D1589" s="1134"/>
      <c r="E1589" s="1137"/>
      <c r="F1589" s="589" t="s">
        <v>2918</v>
      </c>
      <c r="G1589" s="117">
        <f>0.07*(G1583+G1582)</f>
        <v>0</v>
      </c>
      <c r="H1589" s="117">
        <f>H1571</f>
        <v>0</v>
      </c>
      <c r="I1589" s="138">
        <f>IFERROR(G1589/H1589,0)</f>
        <v>0</v>
      </c>
      <c r="J1589" s="117">
        <f>IFERROR(MIN(0.07*(G1582+G1583),0.07*I1571),0)</f>
        <v>0</v>
      </c>
      <c r="K1589" s="120">
        <f>MAX(H1589-G1589,0)</f>
        <v>0</v>
      </c>
      <c r="L1589" s="407"/>
      <c r="M1589" s="393"/>
      <c r="N1589" s="393"/>
      <c r="O1589" s="602"/>
      <c r="P1589" s="620"/>
      <c r="Q1589" s="619"/>
      <c r="R1589" s="596"/>
      <c r="S1589" s="611"/>
      <c r="T1589" s="599">
        <f>G1567</f>
        <v>0</v>
      </c>
      <c r="U1589" s="578"/>
      <c r="V1589" s="579"/>
      <c r="W1589" s="579">
        <f t="shared" si="225"/>
        <v>0</v>
      </c>
      <c r="X1589" s="579"/>
      <c r="Y1589" s="879"/>
      <c r="Z1589" s="121"/>
      <c r="AA1589" s="143"/>
      <c r="AB1589" s="143"/>
      <c r="AC1589" s="504"/>
      <c r="AD1589" s="505"/>
      <c r="AE1589" s="143"/>
      <c r="AF1589" s="140"/>
      <c r="AG1589" s="22"/>
      <c r="AH1589" s="22"/>
      <c r="AI1589" s="22"/>
      <c r="AJ1589" s="22"/>
      <c r="AK1589" s="22"/>
      <c r="AL1589" s="22"/>
      <c r="AM1589" s="22"/>
      <c r="AN1589" s="22"/>
      <c r="AO1589" s="22"/>
      <c r="AP1589" s="22"/>
      <c r="AQ1589" s="22"/>
      <c r="AR1589" s="22"/>
      <c r="AS1589" s="22"/>
      <c r="AT1589" s="22"/>
      <c r="AU1589" s="35"/>
      <c r="AV1589" s="35"/>
      <c r="AW1589" s="35"/>
      <c r="AX1589" s="35"/>
      <c r="AY1589" s="35"/>
      <c r="AZ1589" s="35"/>
      <c r="BA1589" s="35"/>
      <c r="BB1589" s="35"/>
      <c r="BC1589" s="35"/>
      <c r="BD1589" s="35"/>
      <c r="BE1589" s="35"/>
      <c r="BF1589" s="35"/>
      <c r="BG1589" s="35"/>
      <c r="BH1589" s="35"/>
      <c r="BI1589" s="35"/>
      <c r="BJ1589" s="35"/>
      <c r="BK1589" s="35"/>
      <c r="BL1589" s="35"/>
      <c r="BM1589" s="35"/>
      <c r="BN1589" s="35"/>
      <c r="BO1589" s="86"/>
    </row>
    <row r="1590" spans="1:67" ht="15.75" customHeight="1" x14ac:dyDescent="0.25">
      <c r="A1590" s="520">
        <f>IFERROR(VLOOKUP($G$5,'רשימת רשויות'!A:C,3,0),0)</f>
        <v>0</v>
      </c>
      <c r="B1590" s="520">
        <f t="shared" si="220"/>
        <v>0</v>
      </c>
      <c r="D1590" s="1134"/>
      <c r="E1590" s="1137"/>
      <c r="F1590" s="591" t="s">
        <v>15</v>
      </c>
      <c r="G1590" s="134">
        <f>G1587+G1588+G1589</f>
        <v>0</v>
      </c>
      <c r="H1590" s="134">
        <f>H1587+H1588+H1589</f>
        <v>0</v>
      </c>
      <c r="I1590" s="138">
        <f>IFERROR(G1590/H1590,0)</f>
        <v>0</v>
      </c>
      <c r="J1590" s="139">
        <f>J1587+J1588+J1589</f>
        <v>0</v>
      </c>
      <c r="K1590" s="137">
        <f>K1588+K1587+K1589</f>
        <v>0</v>
      </c>
      <c r="L1590" s="408"/>
      <c r="M1590" s="394"/>
      <c r="N1590" s="394"/>
      <c r="O1590" s="602"/>
      <c r="P1590" s="621">
        <f>SUM(P1587:P1588)</f>
        <v>0</v>
      </c>
      <c r="Q1590" s="622">
        <f>Q1587+Q1588</f>
        <v>0</v>
      </c>
      <c r="R1590" s="596"/>
      <c r="S1590" s="611"/>
      <c r="T1590" s="599">
        <f>G1567</f>
        <v>0</v>
      </c>
      <c r="U1590" s="578"/>
      <c r="V1590" s="579"/>
      <c r="W1590" s="579">
        <f t="shared" si="225"/>
        <v>0</v>
      </c>
      <c r="X1590" s="579"/>
      <c r="Y1590" s="879"/>
      <c r="Z1590" s="106"/>
      <c r="AC1590" s="504"/>
      <c r="AD1590" s="505"/>
      <c r="AH1590" s="143"/>
      <c r="BO1590" s="86"/>
    </row>
    <row r="1591" spans="1:67" ht="15.75" customHeight="1" x14ac:dyDescent="0.25">
      <c r="A1591" s="520">
        <f>IFERROR(VLOOKUP($G$5,'רשימת רשויות'!A:C,3,0),0)</f>
        <v>0</v>
      </c>
      <c r="B1591" s="520">
        <f t="shared" si="220"/>
        <v>0</v>
      </c>
      <c r="D1591" s="1134"/>
      <c r="E1591" s="1137"/>
      <c r="F1591" s="589" t="s">
        <v>2261</v>
      </c>
      <c r="G1591" s="117">
        <f>IF(G1572="תקין",SUMIF('תשלומי הורים ומלגות להורים (5) '!$B$18:$B$517,$G1567,'תשלומי הורים ומלגות להורים (5) '!$C$18:$C$517),0)</f>
        <v>0</v>
      </c>
      <c r="H1591" s="117">
        <f>(G1570+G1571)*$G$7</f>
        <v>0</v>
      </c>
      <c r="I1591" s="141"/>
      <c r="J1591" s="141"/>
      <c r="K1591" s="142"/>
      <c r="L1591" s="395"/>
      <c r="M1591" s="395"/>
      <c r="N1591" s="395"/>
      <c r="O1591" s="602"/>
      <c r="P1591" s="623"/>
      <c r="Q1591" s="619"/>
      <c r="R1591" s="596"/>
      <c r="S1591" s="612"/>
      <c r="T1591" s="599">
        <f>G1567</f>
        <v>0</v>
      </c>
      <c r="U1591" s="578"/>
      <c r="V1591" s="579"/>
      <c r="W1591" s="579">
        <f t="shared" si="225"/>
        <v>0</v>
      </c>
      <c r="X1591" s="579"/>
      <c r="Y1591" s="879"/>
      <c r="Z1591" s="121"/>
      <c r="AA1591" s="143"/>
      <c r="AB1591" s="143"/>
      <c r="AC1591" s="504"/>
      <c r="AD1591" s="505"/>
      <c r="AE1591" s="143"/>
      <c r="AF1591" s="148"/>
      <c r="BO1591" s="86"/>
    </row>
    <row r="1592" spans="1:67" ht="15.75" customHeight="1" thickBot="1" x14ac:dyDescent="0.3">
      <c r="A1592" s="520">
        <f>IFERROR(VLOOKUP($G$5,'רשימת רשויות'!A:C,3,0),0)</f>
        <v>0</v>
      </c>
      <c r="B1592" s="520">
        <f t="shared" si="220"/>
        <v>0</v>
      </c>
      <c r="D1592" s="1134"/>
      <c r="E1592" s="1137"/>
      <c r="F1592" s="592" t="s">
        <v>21</v>
      </c>
      <c r="G1592" s="144">
        <f>G1590-G1591</f>
        <v>0</v>
      </c>
      <c r="H1592" s="144">
        <f>H1590-H1591</f>
        <v>0</v>
      </c>
      <c r="I1592" s="145"/>
      <c r="J1592" s="145"/>
      <c r="K1592" s="146"/>
      <c r="L1592" s="396"/>
      <c r="M1592" s="396"/>
      <c r="N1592" s="396"/>
      <c r="O1592" s="602"/>
      <c r="P1592" s="619"/>
      <c r="Q1592" s="619"/>
      <c r="R1592" s="596"/>
      <c r="S1592" s="612"/>
      <c r="T1592" s="599">
        <f>G1567</f>
        <v>0</v>
      </c>
      <c r="U1592" s="578"/>
      <c r="V1592" s="579"/>
      <c r="W1592" s="579">
        <f t="shared" si="225"/>
        <v>0</v>
      </c>
      <c r="X1592" s="579"/>
      <c r="Y1592" s="879"/>
      <c r="Z1592" s="147"/>
      <c r="AA1592" s="148"/>
      <c r="AB1592" s="148"/>
      <c r="AC1592" s="504"/>
      <c r="AD1592" s="505"/>
      <c r="AE1592" s="148"/>
      <c r="AF1592" s="148"/>
      <c r="BO1592" s="86"/>
    </row>
    <row r="1593" spans="1:67" ht="15.75" customHeight="1" thickBot="1" x14ac:dyDescent="0.3">
      <c r="A1593" s="520">
        <f>IFERROR(VLOOKUP($G$5,'רשימת רשויות'!A:C,3,0),0)</f>
        <v>0</v>
      </c>
      <c r="B1593" s="520">
        <f t="shared" si="220"/>
        <v>0</v>
      </c>
      <c r="D1593" s="1134"/>
      <c r="E1593" s="1137"/>
      <c r="F1593" s="580"/>
      <c r="G1593" s="580"/>
      <c r="H1593" s="147"/>
      <c r="I1593" s="149" t="s">
        <v>2197</v>
      </c>
      <c r="J1593" s="150">
        <f>MAX(MIN(P1590,Q1590),0)</f>
        <v>0</v>
      </c>
      <c r="K1593" s="580"/>
      <c r="L1593" s="580"/>
      <c r="M1593" s="580"/>
      <c r="N1593" s="580"/>
      <c r="O1593" s="580"/>
      <c r="P1593" s="615" t="s">
        <v>2317</v>
      </c>
      <c r="Q1593" s="624">
        <f>SUM(Q1594:Q1595)</f>
        <v>0</v>
      </c>
      <c r="R1593" s="596"/>
      <c r="S1593" s="612"/>
      <c r="T1593" s="599">
        <f>G1567</f>
        <v>0</v>
      </c>
      <c r="U1593" s="578"/>
      <c r="V1593" s="579"/>
      <c r="W1593" s="579">
        <f t="shared" si="225"/>
        <v>0</v>
      </c>
      <c r="X1593" s="579"/>
      <c r="Y1593" s="879"/>
      <c r="Z1593" s="106"/>
      <c r="AC1593" s="504"/>
      <c r="AD1593" s="505"/>
      <c r="AF1593" s="148"/>
      <c r="BO1593" s="86"/>
    </row>
    <row r="1594" spans="1:67" ht="16.5" thickBot="1" x14ac:dyDescent="0.3">
      <c r="A1594" s="520">
        <f>IFERROR(VLOOKUP($G$5,'רשימת רשויות'!A:C,3,0),0)</f>
        <v>0</v>
      </c>
      <c r="B1594" s="520">
        <f t="shared" si="220"/>
        <v>0</v>
      </c>
      <c r="D1594" s="1134"/>
      <c r="E1594" s="1137"/>
      <c r="F1594" s="580"/>
      <c r="G1594" s="580"/>
      <c r="H1594" s="580"/>
      <c r="I1594" s="84" t="s">
        <v>2193</v>
      </c>
      <c r="J1594" s="515" t="str">
        <f>IFERROR(1-H1591/H1590,"")</f>
        <v/>
      </c>
      <c r="K1594" s="580"/>
      <c r="L1594" s="580"/>
      <c r="M1594" s="580"/>
      <c r="N1594" s="580"/>
      <c r="O1594" s="580"/>
      <c r="P1594" s="615" t="s">
        <v>417</v>
      </c>
      <c r="Q1594" s="616">
        <f>IFERROR(MAX(H1592-I1595-Q1595,0),0)</f>
        <v>0</v>
      </c>
      <c r="R1594" s="596"/>
      <c r="S1594" s="600"/>
      <c r="T1594" s="599">
        <f>G1567</f>
        <v>0</v>
      </c>
      <c r="U1594" s="578"/>
      <c r="V1594" s="579"/>
      <c r="W1594" s="579">
        <f t="shared" si="225"/>
        <v>0</v>
      </c>
      <c r="X1594" s="579"/>
      <c r="Y1594" s="879"/>
      <c r="Z1594" s="106"/>
      <c r="AC1594" s="504"/>
      <c r="AD1594" s="505"/>
      <c r="BO1594" s="86"/>
    </row>
    <row r="1595" spans="1:67" ht="17.25" thickBot="1" x14ac:dyDescent="0.3">
      <c r="A1595" s="520">
        <f>IFERROR(VLOOKUP($G$5,'רשימת רשויות'!A:C,3,0),0)</f>
        <v>0</v>
      </c>
      <c r="B1595" s="520">
        <f t="shared" si="220"/>
        <v>0</v>
      </c>
      <c r="D1595" s="1134"/>
      <c r="E1595" s="1137"/>
      <c r="F1595" s="1143" t="s">
        <v>2679</v>
      </c>
      <c r="G1595" s="1143"/>
      <c r="H1595" s="1143"/>
      <c r="I1595" s="722">
        <f>IF(G1572="לא תקין","לא קיימת זכאות לתקציב לאור אי איוש משרות רכז ו/או סגן רכז ",IFERROR(J1594*(J1593+J1590),0))</f>
        <v>0</v>
      </c>
      <c r="J1595" s="573"/>
      <c r="K1595" s="574"/>
      <c r="L1595" s="396"/>
      <c r="M1595" s="574"/>
      <c r="N1595" s="574"/>
      <c r="O1595" s="574"/>
      <c r="P1595" s="615" t="s">
        <v>2279</v>
      </c>
      <c r="Q1595" s="616">
        <f>MAX(IF(AND(G1590&gt;H1590,I1595&lt;H1592),H1592-I1595,0),0)</f>
        <v>0</v>
      </c>
      <c r="R1595" s="575"/>
      <c r="S1595" s="576" t="s">
        <v>67</v>
      </c>
      <c r="T1595" s="577">
        <f>G1567</f>
        <v>0</v>
      </c>
      <c r="U1595" s="578"/>
      <c r="V1595" s="579">
        <f>I1595</f>
        <v>0</v>
      </c>
      <c r="W1595" s="579">
        <f>IFERROR(U1595-V1595,0)</f>
        <v>0</v>
      </c>
      <c r="X1595" s="579">
        <f>SUM(X1581:X1594)</f>
        <v>0</v>
      </c>
      <c r="Y1595" s="879"/>
      <c r="Z1595" s="106"/>
      <c r="AC1595" s="506">
        <v>0</v>
      </c>
      <c r="AD1595" s="507">
        <f>IFERROR(U1595-AC1595,0)</f>
        <v>0</v>
      </c>
      <c r="BO1595" s="86"/>
    </row>
    <row r="1596" spans="1:67" ht="16.5" thickBot="1" x14ac:dyDescent="0.3">
      <c r="A1596" s="520">
        <f>IFERROR(VLOOKUP($G$5,'רשימת רשויות'!A:C,3,0),0)</f>
        <v>0</v>
      </c>
      <c r="B1596" s="520">
        <f t="shared" si="220"/>
        <v>0</v>
      </c>
      <c r="D1596" s="1135"/>
      <c r="E1596" s="1138"/>
      <c r="F1596" s="1144" t="s">
        <v>2793</v>
      </c>
      <c r="G1596" s="1145"/>
      <c r="H1596" s="1145"/>
      <c r="I1596" s="593">
        <f>IFERROR(IF(G1572="תקין",SUMIFS('סייעות רפואיות או אישיות (7)'!$Q$17:Q$384,'סייעות רפואיות או אישיות (7)'!C$17:C$384,G1567),0),0)</f>
        <v>0</v>
      </c>
      <c r="J1596" s="151"/>
      <c r="K1596" s="152"/>
      <c r="L1596" s="409"/>
      <c r="M1596" s="152"/>
      <c r="N1596" s="152"/>
      <c r="O1596" s="152"/>
      <c r="P1596" s="613"/>
      <c r="Q1596" s="614"/>
      <c r="R1596" s="475"/>
      <c r="S1596" s="489"/>
      <c r="T1596" s="490"/>
      <c r="U1596" s="491"/>
      <c r="V1596" s="492"/>
      <c r="W1596" s="492"/>
      <c r="X1596" s="492"/>
      <c r="Y1596" s="880"/>
      <c r="Z1596" s="153"/>
      <c r="AC1596" s="581"/>
      <c r="AD1596" s="582"/>
      <c r="BO1596" s="86"/>
    </row>
    <row r="1597" spans="1:67" ht="34.5" thickBot="1" x14ac:dyDescent="0.55000000000000004">
      <c r="A1597" s="520">
        <f>IFERROR(VLOOKUP($G$5,'רשימת רשויות'!A:C,3,0),0)</f>
        <v>0</v>
      </c>
      <c r="B1597" s="520">
        <f t="shared" si="220"/>
        <v>0</v>
      </c>
      <c r="E1597" s="154"/>
      <c r="I1597" s="143"/>
      <c r="J1597" s="148"/>
      <c r="O1597" s="148"/>
      <c r="T1597" s="481"/>
      <c r="BO1597" s="86"/>
    </row>
    <row r="1598" spans="1:67" s="20" customFormat="1" ht="16.5" customHeight="1" thickBot="1" x14ac:dyDescent="0.3">
      <c r="A1598" s="520">
        <f>IFERROR(VLOOKUP($G$5,'רשימת רשויות'!A:C,3,0),0)</f>
        <v>0</v>
      </c>
      <c r="B1598" s="520">
        <f t="shared" si="220"/>
        <v>0</v>
      </c>
      <c r="C1598" s="39"/>
      <c r="D1598" s="1133">
        <f>D1567+1</f>
        <v>52</v>
      </c>
      <c r="E1598" s="1136" t="str">
        <f>IFERROR(CONCATENATE("בית הספר ",VLOOKUP(G1598,'מצבת והרשמה (2)'!$C$21:$D$520,2,0)," - ",$G$5),"")</f>
        <v>בית הספר המוסד לא קיים - 0</v>
      </c>
      <c r="F1598" s="720" t="s">
        <v>146</v>
      </c>
      <c r="G1598" s="721">
        <f>IFERROR(VLOOKUP(D:D,'דוח ביצוע (3)'!$A$21:$C$900,2,0),0)</f>
        <v>0</v>
      </c>
      <c r="H1598" s="79"/>
      <c r="I1598" s="80" t="s">
        <v>150</v>
      </c>
      <c r="J1598" s="80"/>
      <c r="K1598" s="81"/>
      <c r="L1598" s="392"/>
      <c r="M1598" s="392"/>
      <c r="N1598" s="392"/>
      <c r="O1598" s="82"/>
      <c r="P1598" s="470"/>
      <c r="Q1598" s="471"/>
      <c r="R1598" s="472"/>
      <c r="S1598" s="883"/>
      <c r="T1598" s="884"/>
      <c r="U1598" s="486"/>
      <c r="V1598" s="487"/>
      <c r="W1598" s="487"/>
      <c r="X1598" s="487"/>
      <c r="Y1598" s="885"/>
      <c r="Z1598" s="83"/>
      <c r="AC1598" s="502"/>
      <c r="AD1598" s="503"/>
      <c r="AO1598" s="22"/>
      <c r="AP1598" s="22"/>
      <c r="AQ1598" s="22"/>
      <c r="AR1598" s="22"/>
      <c r="AS1598" s="22"/>
      <c r="AT1598" s="22"/>
      <c r="AU1598" s="35"/>
      <c r="AV1598" s="35"/>
      <c r="AW1598" s="35"/>
      <c r="AX1598" s="35"/>
      <c r="AY1598" s="35"/>
      <c r="AZ1598" s="35"/>
      <c r="BA1598" s="35"/>
      <c r="BB1598" s="35"/>
      <c r="BC1598" s="35"/>
      <c r="BD1598" s="35"/>
      <c r="BE1598" s="35"/>
      <c r="BF1598" s="35"/>
      <c r="BG1598" s="35"/>
      <c r="BH1598" s="35"/>
      <c r="BI1598" s="35"/>
      <c r="BJ1598" s="35"/>
      <c r="BK1598" s="35"/>
      <c r="BL1598" s="35"/>
      <c r="BM1598" s="35"/>
      <c r="BN1598" s="35"/>
      <c r="BO1598" s="78"/>
    </row>
    <row r="1599" spans="1:67" s="20" customFormat="1" ht="16.5" thickBot="1" x14ac:dyDescent="0.3">
      <c r="A1599" s="520">
        <f>IFERROR(VLOOKUP($G$5,'רשימת רשויות'!A:C,3,0),0)</f>
        <v>0</v>
      </c>
      <c r="B1599" s="520">
        <f t="shared" si="220"/>
        <v>0</v>
      </c>
      <c r="C1599" s="39"/>
      <c r="D1599" s="1134"/>
      <c r="E1599" s="1137"/>
      <c r="F1599" s="583" t="s">
        <v>145</v>
      </c>
      <c r="G1599" s="516" t="str">
        <f>IFERROR(IF((G1601+G1602)=0,"",IF(VLOOKUP(G1598,'דוח ביצוע (3)'!$B$21:$K$900,5,0)&gt;149,"גדול",IF(AND(VLOOKUP(G1598,'דוח ביצוע (3)'!$B$21:$K$900,5,0)&gt;0,VLOOKUP(G1598,'דוח ביצוע (3)'!$B$21:$K$900,5,0)&lt;150),"קטן",0))),"")</f>
        <v/>
      </c>
      <c r="H1599" s="723" t="s">
        <v>88</v>
      </c>
      <c r="I1599" s="723" t="s">
        <v>13</v>
      </c>
      <c r="J1599" s="725" t="s">
        <v>14</v>
      </c>
      <c r="K1599" s="724" t="s">
        <v>94</v>
      </c>
      <c r="L1599" s="594"/>
      <c r="M1599" s="420" t="s">
        <v>2584</v>
      </c>
      <c r="N1599" s="397" t="s">
        <v>413</v>
      </c>
      <c r="O1599" s="398" t="s">
        <v>52</v>
      </c>
      <c r="P1599" s="595"/>
      <c r="Q1599" s="595"/>
      <c r="R1599" s="596"/>
      <c r="S1599" s="610"/>
      <c r="T1599" s="881"/>
      <c r="U1599" s="598"/>
      <c r="V1599" s="599"/>
      <c r="W1599" s="599"/>
      <c r="X1599" s="599"/>
      <c r="Y1599" s="879"/>
      <c r="Z1599" s="85"/>
      <c r="AC1599" s="493"/>
      <c r="AD1599" s="495"/>
      <c r="AO1599" s="22"/>
      <c r="AP1599" s="22"/>
      <c r="AQ1599" s="22"/>
      <c r="AR1599" s="22"/>
      <c r="AS1599" s="22"/>
      <c r="AT1599" s="22"/>
      <c r="AU1599" s="35"/>
      <c r="AV1599" s="35"/>
      <c r="AW1599" s="35"/>
      <c r="AX1599" s="35"/>
      <c r="AY1599" s="35"/>
      <c r="AZ1599" s="35"/>
      <c r="BA1599" s="35"/>
      <c r="BB1599" s="35"/>
      <c r="BC1599" s="35"/>
      <c r="BD1599" s="35"/>
      <c r="BE1599" s="35"/>
      <c r="BF1599" s="35"/>
      <c r="BG1599" s="35"/>
      <c r="BH1599" s="35"/>
      <c r="BI1599" s="35"/>
      <c r="BJ1599" s="35"/>
      <c r="BK1599" s="35"/>
      <c r="BL1599" s="35"/>
      <c r="BM1599" s="35"/>
      <c r="BN1599" s="35"/>
      <c r="BO1599" s="78"/>
    </row>
    <row r="1600" spans="1:67" s="20" customFormat="1" ht="15.75" customHeight="1" thickBot="1" x14ac:dyDescent="0.3">
      <c r="A1600" s="520">
        <f>IFERROR(VLOOKUP($G$5,'רשימת רשויות'!A:C,3,0),0)</f>
        <v>0</v>
      </c>
      <c r="B1600" s="520">
        <f t="shared" si="220"/>
        <v>0</v>
      </c>
      <c r="C1600" s="39"/>
      <c r="D1600" s="1134"/>
      <c r="E1600" s="1137"/>
      <c r="F1600" s="584" t="s">
        <v>144</v>
      </c>
      <c r="G1600" s="87">
        <f>IF(G1603="תקין",IFERROR(VLOOKUP($G1598,'דוח ביצוע (3)'!$B$21:$Q$900,12,0),0),0)</f>
        <v>0</v>
      </c>
      <c r="H1600" s="88">
        <f>IFERROR(G1601*$AH$6+G1602*$AH$7,0)</f>
        <v>0</v>
      </c>
      <c r="I1600" s="88">
        <f>IFERROR(G1601*$AI$6+G1602*$AI$7,0)</f>
        <v>0</v>
      </c>
      <c r="J1600" s="88">
        <f>IFERROR(G1601*$AJ$6+G1602*$AJ$7,0)</f>
        <v>0</v>
      </c>
      <c r="K1600" s="88">
        <f>IFERROR(G1601*$AK$6+G1602*$AK$7,0)</f>
        <v>0</v>
      </c>
      <c r="L1600" s="405"/>
      <c r="M1600" s="399" t="s">
        <v>427</v>
      </c>
      <c r="N1600" s="400" t="str">
        <f>IFERROR(VLOOKUP($G1598,'דוח ביצוע (3)'!$B:$AE,28,0),"")</f>
        <v/>
      </c>
      <c r="O1600" s="89" t="str">
        <f>IFERROR(VLOOKUP($G1598,'דוח ביצוע (3)'!B:AE,29,0),"")</f>
        <v/>
      </c>
      <c r="P1600" s="595"/>
      <c r="Q1600" s="595"/>
      <c r="R1600" s="596"/>
      <c r="S1600" s="610"/>
      <c r="T1600" s="881"/>
      <c r="U1600" s="598"/>
      <c r="V1600" s="599"/>
      <c r="W1600" s="599"/>
      <c r="X1600" s="599"/>
      <c r="Y1600" s="879"/>
      <c r="Z1600" s="85"/>
      <c r="AC1600" s="493"/>
      <c r="AD1600" s="495"/>
      <c r="AO1600" s="22"/>
      <c r="AP1600" s="22"/>
      <c r="AQ1600" s="22"/>
      <c r="AR1600" s="22"/>
      <c r="AS1600" s="22"/>
      <c r="AT1600" s="22"/>
      <c r="AU1600" s="35"/>
      <c r="AV1600" s="35"/>
      <c r="AW1600" s="35"/>
      <c r="AX1600" s="35"/>
      <c r="AY1600" s="35"/>
      <c r="AZ1600" s="35"/>
      <c r="BA1600" s="35"/>
      <c r="BB1600" s="35"/>
      <c r="BC1600" s="35"/>
      <c r="BD1600" s="35"/>
      <c r="BE1600" s="35"/>
      <c r="BF1600" s="35"/>
      <c r="BG1600" s="35"/>
      <c r="BH1600" s="35"/>
      <c r="BI1600" s="35"/>
      <c r="BJ1600" s="35"/>
      <c r="BK1600" s="35"/>
      <c r="BL1600" s="35"/>
      <c r="BM1600" s="35"/>
      <c r="BN1600" s="35"/>
      <c r="BO1600" s="78"/>
    </row>
    <row r="1601" spans="1:67" s="20" customFormat="1" ht="32.25" thickBot="1" x14ac:dyDescent="0.3">
      <c r="A1601" s="520">
        <f>IFERROR(VLOOKUP($G$5,'רשימת רשויות'!A:C,3,0),0)</f>
        <v>0</v>
      </c>
      <c r="B1601" s="520">
        <f t="shared" si="220"/>
        <v>0</v>
      </c>
      <c r="C1601" s="39"/>
      <c r="D1601" s="1134"/>
      <c r="E1601" s="1137"/>
      <c r="F1601" s="585" t="s">
        <v>2195</v>
      </c>
      <c r="G1601" s="89">
        <f>IF(G1603="תקין",MAX(N1603,0),0)</f>
        <v>0</v>
      </c>
      <c r="H1601" s="725" t="s">
        <v>151</v>
      </c>
      <c r="I1601" s="725" t="s">
        <v>91</v>
      </c>
      <c r="J1601" s="970" t="s">
        <v>3396</v>
      </c>
      <c r="K1601" s="601"/>
      <c r="L1601" s="601"/>
      <c r="M1601" s="983" t="s">
        <v>2585</v>
      </c>
      <c r="N1601" s="400" t="str">
        <f>IFERROR(G1600/15*N1600*1.25,"")</f>
        <v/>
      </c>
      <c r="O1601" s="89" t="str">
        <f>IFERROR(G1600/15*O1600*1.25,"")</f>
        <v/>
      </c>
      <c r="P1601" s="595"/>
      <c r="Q1601" s="595"/>
      <c r="R1601" s="596"/>
      <c r="S1601" s="610"/>
      <c r="T1601" s="881"/>
      <c r="U1601" s="598"/>
      <c r="V1601" s="599"/>
      <c r="W1601" s="599"/>
      <c r="X1601" s="599"/>
      <c r="Y1601" s="879"/>
      <c r="Z1601" s="85"/>
      <c r="AC1601" s="493"/>
      <c r="AD1601" s="495"/>
      <c r="AG1601" s="22"/>
      <c r="AH1601" s="55"/>
      <c r="AI1601" s="55"/>
      <c r="AJ1601" s="55"/>
      <c r="AK1601" s="55"/>
      <c r="AO1601" s="22"/>
      <c r="AP1601" s="22"/>
      <c r="AQ1601" s="22"/>
      <c r="AR1601" s="22"/>
      <c r="AS1601" s="22"/>
      <c r="AT1601" s="22"/>
      <c r="AU1601" s="35"/>
      <c r="AV1601" s="35"/>
      <c r="AW1601" s="35"/>
      <c r="AX1601" s="35"/>
      <c r="AY1601" s="35"/>
      <c r="AZ1601" s="35"/>
      <c r="BA1601" s="35"/>
      <c r="BB1601" s="35"/>
      <c r="BC1601" s="35"/>
      <c r="BD1601" s="35"/>
      <c r="BE1601" s="35"/>
      <c r="BF1601" s="35"/>
      <c r="BG1601" s="35"/>
      <c r="BH1601" s="35"/>
      <c r="BI1601" s="35"/>
      <c r="BJ1601" s="35"/>
      <c r="BK1601" s="35"/>
      <c r="BL1601" s="35"/>
      <c r="BM1601" s="35"/>
      <c r="BN1601" s="35"/>
      <c r="BO1601" s="86"/>
    </row>
    <row r="1602" spans="1:67" s="20" customFormat="1" ht="16.5" thickBot="1" x14ac:dyDescent="0.3">
      <c r="A1602" s="520">
        <f>IFERROR(VLOOKUP($G$5,'רשימת רשויות'!A:C,3,0),0)</f>
        <v>0</v>
      </c>
      <c r="B1602" s="520">
        <f t="shared" si="220"/>
        <v>0</v>
      </c>
      <c r="C1602" s="39"/>
      <c r="D1602" s="1134"/>
      <c r="E1602" s="1137"/>
      <c r="F1602" s="585" t="s">
        <v>2196</v>
      </c>
      <c r="G1602" s="89">
        <f>IF(G1603="תקין",MAX(O1603,0),0)</f>
        <v>0</v>
      </c>
      <c r="H1602" s="88">
        <f>(IFERROR(IF((G1601+G1602)=0,0,IF(G1599="קטן",G1600*$AH$10,G1600*$AH$11)),0))+(IFERROR(IF((G1601+G1602)=0,0,VLOOKUP(G1598,'דוח ביצוע (3)'!$B:$AH,33,0)),0))</f>
        <v>0</v>
      </c>
      <c r="I1602" s="88">
        <f>IFERROR(IF((G1601+G1602)=0,0,IF(G1599="קטן",G1600*$AI$10,G1600*$AI$11)),0)</f>
        <v>0</v>
      </c>
      <c r="J1602" s="88">
        <f>IFERROR(IF((G1601+G1602)=0,0,VLOOKUP(G1598,'דוח ביצוע (3)'!$B:$AH,32,0)),0)</f>
        <v>0</v>
      </c>
      <c r="K1602" s="90"/>
      <c r="L1602" s="90"/>
      <c r="M1602" s="399" t="s">
        <v>412</v>
      </c>
      <c r="N1602" s="400">
        <f>IFERROR(VLOOKUP($G1598,'דוח ביצוע (3)'!$B$21:$U$500,18,0),0)</f>
        <v>0</v>
      </c>
      <c r="O1602" s="401">
        <f>IFERROR(VLOOKUP($G1598,'דוח ביצוע (3)'!$B$21:$U$500,19,0),0)</f>
        <v>0</v>
      </c>
      <c r="P1602" s="595"/>
      <c r="Q1602" s="595"/>
      <c r="R1602" s="596"/>
      <c r="S1602" s="610"/>
      <c r="T1602" s="881"/>
      <c r="U1602" s="598"/>
      <c r="V1602" s="599"/>
      <c r="W1602" s="599"/>
      <c r="X1602" s="599"/>
      <c r="Y1602" s="879"/>
      <c r="Z1602" s="85"/>
      <c r="AC1602" s="493"/>
      <c r="AD1602" s="495"/>
      <c r="AG1602" s="22"/>
      <c r="AH1602" s="55"/>
      <c r="AI1602" s="55"/>
      <c r="AJ1602" s="55"/>
      <c r="AK1602" s="55"/>
      <c r="AO1602" s="22"/>
      <c r="AP1602" s="22"/>
      <c r="AQ1602" s="22"/>
      <c r="AR1602" s="22"/>
      <c r="AS1602" s="22"/>
      <c r="AT1602" s="22"/>
      <c r="AU1602" s="35"/>
      <c r="AV1602" s="35"/>
      <c r="AW1602" s="35"/>
      <c r="AX1602" s="35"/>
      <c r="AY1602" s="35"/>
      <c r="AZ1602" s="35"/>
      <c r="BA1602" s="35"/>
      <c r="BB1602" s="35"/>
      <c r="BC1602" s="35"/>
      <c r="BD1602" s="35"/>
      <c r="BE1602" s="35"/>
      <c r="BF1602" s="35"/>
      <c r="BG1602" s="35"/>
      <c r="BH1602" s="35"/>
      <c r="BI1602" s="35"/>
      <c r="BJ1602" s="35"/>
      <c r="BK1602" s="35"/>
      <c r="BL1602" s="35"/>
      <c r="BM1602" s="35"/>
      <c r="BN1602" s="35"/>
      <c r="BO1602" s="86"/>
    </row>
    <row r="1603" spans="1:67" s="20" customFormat="1" ht="16.5" thickBot="1" x14ac:dyDescent="0.3">
      <c r="A1603" s="520">
        <f>IFERROR(VLOOKUP($G$5,'רשימת רשויות'!A:C,3,0),0)</f>
        <v>0</v>
      </c>
      <c r="B1603" s="520">
        <f t="shared" si="220"/>
        <v>0</v>
      </c>
      <c r="C1603" s="39"/>
      <c r="D1603" s="1134"/>
      <c r="E1603" s="1137"/>
      <c r="F1603" s="586" t="s">
        <v>2355</v>
      </c>
      <c r="G1603" s="514">
        <f>IFERROR(IF(VLOOKUP('בית ספר - תקצוב לפי מוסד (9)'!G1598,' איוש משרות (8)'!$C:$K,9,0)="תקין","תקין","לא תקין"),0)</f>
        <v>0</v>
      </c>
      <c r="H1603" s="91"/>
      <c r="I1603" s="91"/>
      <c r="J1603" s="91"/>
      <c r="K1603" s="90"/>
      <c r="L1603" s="90"/>
      <c r="M1603" s="402" t="s">
        <v>2586</v>
      </c>
      <c r="N1603" s="403">
        <f>IFERROR(MIN(N1601,N1602),0)</f>
        <v>0</v>
      </c>
      <c r="O1603" s="404">
        <f>IFERROR(MIN(O1601,O1602),0)</f>
        <v>0</v>
      </c>
      <c r="P1603" s="595"/>
      <c r="Q1603" s="595"/>
      <c r="R1603" s="596"/>
      <c r="S1603" s="610"/>
      <c r="T1603" s="881"/>
      <c r="U1603" s="598"/>
      <c r="V1603" s="599"/>
      <c r="W1603" s="599"/>
      <c r="X1603" s="599"/>
      <c r="Y1603" s="879"/>
      <c r="Z1603" s="85"/>
      <c r="AC1603" s="493"/>
      <c r="AD1603" s="495"/>
      <c r="AG1603" s="94"/>
      <c r="AH1603" s="40"/>
      <c r="AI1603" s="40"/>
      <c r="AJ1603" s="40"/>
      <c r="AK1603" s="40"/>
      <c r="AO1603" s="22"/>
      <c r="AP1603" s="22"/>
      <c r="AQ1603" s="22"/>
      <c r="AR1603" s="22"/>
      <c r="AS1603" s="22"/>
      <c r="AT1603" s="22"/>
      <c r="AU1603" s="35"/>
      <c r="AV1603" s="35"/>
      <c r="AW1603" s="35"/>
      <c r="AX1603" s="35"/>
      <c r="AY1603" s="35"/>
      <c r="AZ1603" s="35"/>
      <c r="BA1603" s="35"/>
      <c r="BB1603" s="35"/>
      <c r="BC1603" s="35"/>
      <c r="BD1603" s="35"/>
      <c r="BE1603" s="35"/>
      <c r="BF1603" s="35"/>
      <c r="BG1603" s="35"/>
      <c r="BH1603" s="35"/>
      <c r="BI1603" s="35"/>
      <c r="BJ1603" s="35"/>
      <c r="BK1603" s="35"/>
      <c r="BL1603" s="35"/>
      <c r="BM1603" s="35"/>
      <c r="BN1603" s="35"/>
      <c r="BO1603" s="86"/>
    </row>
    <row r="1604" spans="1:67" s="55" customFormat="1" ht="37.15" customHeight="1" thickBot="1" x14ac:dyDescent="0.3">
      <c r="A1604" s="520">
        <f>IFERROR(VLOOKUP($G$5,'רשימת רשויות'!A:C,3,0),0)</f>
        <v>0</v>
      </c>
      <c r="B1604" s="520">
        <f t="shared" si="220"/>
        <v>0</v>
      </c>
      <c r="C1604" s="39"/>
      <c r="D1604" s="1134"/>
      <c r="E1604" s="1137"/>
      <c r="F1604" s="587" t="s">
        <v>142</v>
      </c>
      <c r="G1604" s="92"/>
      <c r="H1604" s="92"/>
      <c r="I1604" s="92"/>
      <c r="J1604" s="92"/>
      <c r="K1604" s="602"/>
      <c r="L1604" s="602"/>
      <c r="M1604" s="602"/>
      <c r="N1604" s="602"/>
      <c r="O1604" s="602"/>
      <c r="P1604" s="595"/>
      <c r="Q1604" s="595"/>
      <c r="R1604" s="596"/>
      <c r="S1604" s="610"/>
      <c r="T1604" s="881"/>
      <c r="U1604" s="598"/>
      <c r="V1604" s="599"/>
      <c r="W1604" s="599"/>
      <c r="X1604" s="599"/>
      <c r="Y1604" s="879"/>
      <c r="Z1604" s="93"/>
      <c r="AC1604" s="493"/>
      <c r="AD1604" s="495"/>
      <c r="AF1604" s="22"/>
      <c r="AG1604" s="98"/>
      <c r="AH1604" s="98"/>
      <c r="AI1604" s="40"/>
      <c r="AJ1604" s="40"/>
      <c r="AK1604" s="40"/>
      <c r="AO1604" s="22"/>
      <c r="AP1604" s="22"/>
      <c r="AQ1604" s="22"/>
      <c r="AR1604" s="22"/>
      <c r="AS1604" s="22"/>
      <c r="AT1604" s="22"/>
      <c r="AU1604" s="35"/>
      <c r="AV1604" s="35"/>
      <c r="AW1604" s="35"/>
      <c r="AX1604" s="35"/>
      <c r="AY1604" s="35"/>
      <c r="AZ1604" s="35"/>
      <c r="BA1604" s="35"/>
      <c r="BB1604" s="35"/>
      <c r="BC1604" s="35"/>
      <c r="BD1604" s="35"/>
      <c r="BE1604" s="35"/>
      <c r="BF1604" s="35"/>
      <c r="BG1604" s="35"/>
      <c r="BH1604" s="35"/>
      <c r="BI1604" s="35"/>
      <c r="BJ1604" s="35"/>
      <c r="BK1604" s="35"/>
      <c r="BL1604" s="35"/>
      <c r="BM1604" s="35"/>
      <c r="BN1604" s="35"/>
      <c r="BO1604" s="86"/>
    </row>
    <row r="1605" spans="1:67" s="40" customFormat="1" ht="31.5" x14ac:dyDescent="0.25">
      <c r="A1605" s="520">
        <f>IFERROR(VLOOKUP($G$5,'רשימת רשויות'!A:C,3,0),0)</f>
        <v>0</v>
      </c>
      <c r="B1605" s="520">
        <f t="shared" si="220"/>
        <v>0</v>
      </c>
      <c r="C1605" s="39"/>
      <c r="D1605" s="1134"/>
      <c r="E1605" s="1137"/>
      <c r="F1605" s="588" t="s">
        <v>94</v>
      </c>
      <c r="G1605" s="95" t="s">
        <v>18</v>
      </c>
      <c r="H1605" s="95" t="s">
        <v>19</v>
      </c>
      <c r="I1605" s="95" t="s">
        <v>138</v>
      </c>
      <c r="J1605" s="96" t="s">
        <v>139</v>
      </c>
      <c r="K1605" s="603"/>
      <c r="L1605" s="603"/>
      <c r="M1605" s="603"/>
      <c r="N1605" s="603"/>
      <c r="O1605" s="603"/>
      <c r="P1605" s="604"/>
      <c r="Q1605" s="604"/>
      <c r="R1605" s="596"/>
      <c r="S1605" s="610"/>
      <c r="T1605" s="881"/>
      <c r="U1605" s="598"/>
      <c r="V1605" s="599"/>
      <c r="W1605" s="599"/>
      <c r="X1605" s="599"/>
      <c r="Y1605" s="879"/>
      <c r="Z1605" s="97"/>
      <c r="AA1605" s="94"/>
      <c r="AB1605" s="94"/>
      <c r="AC1605" s="493"/>
      <c r="AD1605" s="495"/>
      <c r="AE1605" s="94"/>
      <c r="AG1605" s="98"/>
      <c r="AH1605" s="98"/>
      <c r="AO1605" s="22"/>
      <c r="AP1605" s="22"/>
      <c r="AQ1605" s="22"/>
      <c r="AR1605" s="22"/>
      <c r="AS1605" s="22"/>
      <c r="AT1605" s="22"/>
      <c r="AU1605" s="35"/>
      <c r="AV1605" s="35"/>
      <c r="AW1605" s="35"/>
      <c r="AX1605" s="35"/>
      <c r="AY1605" s="35"/>
      <c r="AZ1605" s="35"/>
      <c r="BA1605" s="35"/>
      <c r="BB1605" s="35"/>
      <c r="BC1605" s="35"/>
      <c r="BD1605" s="35"/>
      <c r="BE1605" s="35"/>
      <c r="BF1605" s="35"/>
      <c r="BG1605" s="35"/>
      <c r="BH1605" s="35"/>
      <c r="BI1605" s="35"/>
      <c r="BJ1605" s="35"/>
      <c r="BK1605" s="35"/>
      <c r="BL1605" s="35"/>
      <c r="BM1605" s="35"/>
      <c r="BN1605" s="35"/>
      <c r="BO1605" s="86"/>
    </row>
    <row r="1606" spans="1:67" s="40" customFormat="1" ht="15.75" customHeight="1" thickBot="1" x14ac:dyDescent="0.3">
      <c r="A1606" s="520">
        <f>IFERROR(VLOOKUP($G$5,'רשימת רשויות'!A:C,3,0),0)</f>
        <v>0</v>
      </c>
      <c r="B1606" s="520">
        <f t="shared" si="220"/>
        <v>0</v>
      </c>
      <c r="C1606" s="39"/>
      <c r="D1606" s="1134"/>
      <c r="E1606" s="1137"/>
      <c r="F1606" s="589" t="s">
        <v>2280</v>
      </c>
      <c r="G1606" s="99">
        <f>+G1617</f>
        <v>0</v>
      </c>
      <c r="H1606" s="100">
        <f>K1600</f>
        <v>0</v>
      </c>
      <c r="I1606" s="100">
        <f>H1606-I1608</f>
        <v>0</v>
      </c>
      <c r="J1606" s="101">
        <f>IFERROR(I1606/H1606,0)</f>
        <v>0</v>
      </c>
      <c r="K1606" s="603"/>
      <c r="L1606" s="603"/>
      <c r="M1606" s="603"/>
      <c r="N1606" s="603"/>
      <c r="O1606" s="603"/>
      <c r="P1606" s="605"/>
      <c r="Q1606" s="604"/>
      <c r="R1606" s="606" t="s">
        <v>157</v>
      </c>
      <c r="S1606" s="611"/>
      <c r="T1606" s="881"/>
      <c r="U1606" s="598"/>
      <c r="V1606" s="599"/>
      <c r="W1606" s="599"/>
      <c r="X1606" s="599"/>
      <c r="Y1606" s="879"/>
      <c r="Z1606" s="102"/>
      <c r="AA1606" s="122"/>
      <c r="AB1606" s="122"/>
      <c r="AC1606" s="493"/>
      <c r="AD1606" s="495"/>
      <c r="AE1606" s="122"/>
      <c r="AF1606" s="22"/>
      <c r="AG1606" s="98"/>
      <c r="AH1606" s="98"/>
      <c r="AI1606" s="20"/>
      <c r="AO1606" s="22"/>
      <c r="AP1606" s="22"/>
      <c r="AQ1606" s="22"/>
      <c r="AR1606" s="22"/>
      <c r="AS1606" s="22"/>
      <c r="AT1606" s="22"/>
      <c r="AU1606" s="35"/>
      <c r="AV1606" s="35"/>
      <c r="AW1606" s="35"/>
      <c r="AX1606" s="35"/>
      <c r="AY1606" s="35"/>
      <c r="AZ1606" s="35"/>
      <c r="BA1606" s="35"/>
      <c r="BB1606" s="35"/>
      <c r="BC1606" s="35"/>
      <c r="BD1606" s="35"/>
      <c r="BE1606" s="35"/>
      <c r="BF1606" s="35"/>
      <c r="BG1606" s="35"/>
      <c r="BH1606" s="35"/>
      <c r="BI1606" s="35"/>
      <c r="BJ1606" s="35"/>
      <c r="BK1606" s="35"/>
      <c r="BL1606" s="35"/>
      <c r="BM1606" s="35"/>
      <c r="BN1606" s="35"/>
      <c r="BO1606" s="86"/>
    </row>
    <row r="1607" spans="1:67" s="40" customFormat="1" ht="15.75" customHeight="1" thickBot="1" x14ac:dyDescent="0.3">
      <c r="A1607" s="520">
        <f>IFERROR(VLOOKUP($G$5,'רשימת רשויות'!A:C,3,0),0)</f>
        <v>0</v>
      </c>
      <c r="B1607" s="520">
        <f t="shared" si="220"/>
        <v>0</v>
      </c>
      <c r="C1607" s="39"/>
      <c r="D1607" s="1134"/>
      <c r="E1607" s="1137"/>
      <c r="F1607" s="589" t="s">
        <v>2281</v>
      </c>
      <c r="G1607" s="99">
        <f>+G1616</f>
        <v>0</v>
      </c>
      <c r="H1607" s="103"/>
      <c r="I1607" s="104"/>
      <c r="J1607" s="105"/>
      <c r="K1607" s="603"/>
      <c r="L1607" s="603"/>
      <c r="M1607" s="603"/>
      <c r="N1607" s="603"/>
      <c r="O1607" s="603"/>
      <c r="P1607" s="605"/>
      <c r="Q1607" s="604"/>
      <c r="R1607" s="473">
        <f>I1608-R1609</f>
        <v>0</v>
      </c>
      <c r="S1607" s="611"/>
      <c r="T1607" s="881"/>
      <c r="U1607" s="598"/>
      <c r="V1607" s="599"/>
      <c r="W1607" s="599"/>
      <c r="X1607" s="599"/>
      <c r="Y1607" s="879"/>
      <c r="Z1607" s="106"/>
      <c r="AA1607" s="22"/>
      <c r="AB1607" s="22"/>
      <c r="AC1607" s="493"/>
      <c r="AD1607" s="495"/>
      <c r="AE1607" s="22"/>
      <c r="AF1607" s="22"/>
      <c r="AG1607" s="98"/>
      <c r="AH1607" s="98"/>
      <c r="AI1607" s="20"/>
      <c r="AO1607" s="22"/>
      <c r="AP1607" s="22"/>
      <c r="AQ1607" s="22"/>
      <c r="AR1607" s="22"/>
      <c r="AS1607" s="22"/>
      <c r="AT1607" s="22"/>
      <c r="AU1607" s="35"/>
      <c r="AV1607" s="35"/>
      <c r="AW1607" s="35"/>
      <c r="AX1607" s="35"/>
      <c r="AY1607" s="35"/>
      <c r="AZ1607" s="35"/>
      <c r="BA1607" s="35"/>
      <c r="BB1607" s="35"/>
      <c r="BC1607" s="35"/>
      <c r="BD1607" s="35"/>
      <c r="BE1607" s="35"/>
      <c r="BF1607" s="35"/>
      <c r="BG1607" s="35"/>
      <c r="BH1607" s="35"/>
      <c r="BI1607" s="35"/>
      <c r="BJ1607" s="35"/>
      <c r="BK1607" s="35"/>
      <c r="BL1607" s="35"/>
      <c r="BM1607" s="35"/>
      <c r="BN1607" s="35"/>
      <c r="BO1607" s="86"/>
    </row>
    <row r="1608" spans="1:67" s="40" customFormat="1" ht="16.5" customHeight="1" thickBot="1" x14ac:dyDescent="0.3">
      <c r="A1608" s="520">
        <f>IFERROR(VLOOKUP($G$5,'רשימת רשויות'!A:C,3,0),0)</f>
        <v>0</v>
      </c>
      <c r="B1608" s="520">
        <f t="shared" si="220"/>
        <v>0</v>
      </c>
      <c r="C1608" s="39"/>
      <c r="D1608" s="1134"/>
      <c r="E1608" s="1137"/>
      <c r="F1608" s="589" t="s">
        <v>2282</v>
      </c>
      <c r="G1608" s="99">
        <f>G1612+G1613+G1614</f>
        <v>0</v>
      </c>
      <c r="H1608" s="104"/>
      <c r="I1608" s="107">
        <f>MAX(H1606-G1606-G1607,0)</f>
        <v>0</v>
      </c>
      <c r="J1608" s="108">
        <f>IFERROR(I1608/H1606,0)</f>
        <v>0</v>
      </c>
      <c r="K1608" s="603"/>
      <c r="L1608" s="603"/>
      <c r="M1608" s="603"/>
      <c r="N1608" s="603"/>
      <c r="O1608" s="603"/>
      <c r="P1608" s="604"/>
      <c r="Q1608" s="604"/>
      <c r="R1608" s="606" t="s">
        <v>158</v>
      </c>
      <c r="S1608" s="612"/>
      <c r="T1608" s="881"/>
      <c r="U1608" s="598"/>
      <c r="V1608" s="599"/>
      <c r="W1608" s="599"/>
      <c r="X1608" s="599"/>
      <c r="Y1608" s="879"/>
      <c r="Z1608" s="106"/>
      <c r="AA1608" s="22"/>
      <c r="AB1608" s="22"/>
      <c r="AC1608" s="493"/>
      <c r="AD1608" s="495"/>
      <c r="AE1608" s="22"/>
      <c r="AF1608" s="22"/>
      <c r="AG1608" s="22"/>
      <c r="AH1608" s="22"/>
      <c r="AI1608" s="55"/>
      <c r="AJ1608" s="22"/>
      <c r="AK1608" s="22"/>
      <c r="AO1608" s="22"/>
      <c r="AP1608" s="22"/>
      <c r="AQ1608" s="22"/>
      <c r="AR1608" s="22"/>
      <c r="AS1608" s="22"/>
      <c r="AT1608" s="22"/>
      <c r="AU1608" s="35"/>
      <c r="AV1608" s="35"/>
      <c r="AW1608" s="35"/>
      <c r="AX1608" s="35"/>
      <c r="AY1608" s="35"/>
      <c r="AZ1608" s="35"/>
      <c r="BA1608" s="35"/>
      <c r="BB1608" s="35"/>
      <c r="BC1608" s="35"/>
      <c r="BD1608" s="35"/>
      <c r="BE1608" s="35"/>
      <c r="BF1608" s="35"/>
      <c r="BG1608" s="35"/>
      <c r="BH1608" s="35"/>
      <c r="BI1608" s="35"/>
      <c r="BJ1608" s="35"/>
      <c r="BK1608" s="35"/>
      <c r="BL1608" s="35"/>
      <c r="BM1608" s="35"/>
      <c r="BN1608" s="35"/>
      <c r="BO1608" s="86"/>
    </row>
    <row r="1609" spans="1:67" s="40" customFormat="1" ht="15.75" customHeight="1" thickBot="1" x14ac:dyDescent="0.3">
      <c r="A1609" s="520">
        <f>IFERROR(VLOOKUP($G$5,'רשימת רשויות'!A:C,3,0),0)</f>
        <v>0</v>
      </c>
      <c r="B1609" s="520">
        <f t="shared" si="220"/>
        <v>0</v>
      </c>
      <c r="C1609" s="39"/>
      <c r="D1609" s="1134"/>
      <c r="E1609" s="1137"/>
      <c r="F1609" s="590" t="s">
        <v>2290</v>
      </c>
      <c r="G1609" s="109"/>
      <c r="H1609" s="110"/>
      <c r="I1609" s="111">
        <f>SUM(I1606:I1608)</f>
        <v>0</v>
      </c>
      <c r="J1609" s="112">
        <f>SUM(J1606:J1608)</f>
        <v>0</v>
      </c>
      <c r="K1609" s="603"/>
      <c r="L1609" s="603"/>
      <c r="M1609" s="603"/>
      <c r="N1609" s="603"/>
      <c r="O1609" s="603"/>
      <c r="P1609" s="604"/>
      <c r="Q1609" s="604"/>
      <c r="R1609" s="473">
        <f>MIN(MAX(G1613+G1614-I1602-J1602,0),I1608)</f>
        <v>0</v>
      </c>
      <c r="S1609" s="612"/>
      <c r="T1609" s="881"/>
      <c r="U1609" s="598"/>
      <c r="V1609" s="599"/>
      <c r="W1609" s="599"/>
      <c r="X1609" s="599"/>
      <c r="Y1609" s="879"/>
      <c r="Z1609" s="106"/>
      <c r="AA1609" s="22"/>
      <c r="AB1609" s="22"/>
      <c r="AC1609" s="493"/>
      <c r="AD1609" s="495"/>
      <c r="AE1609" s="22"/>
      <c r="AF1609" s="22"/>
      <c r="AG1609" s="22"/>
      <c r="AH1609" s="22"/>
      <c r="AJ1609" s="22"/>
      <c r="AK1609" s="22"/>
      <c r="AO1609" s="22"/>
      <c r="AP1609" s="22"/>
      <c r="AQ1609" s="22"/>
      <c r="AR1609" s="22"/>
      <c r="AS1609" s="22"/>
      <c r="AT1609" s="22"/>
      <c r="AU1609" s="35"/>
      <c r="AV1609" s="35"/>
      <c r="AW1609" s="35"/>
      <c r="AX1609" s="35"/>
      <c r="AY1609" s="35"/>
      <c r="AZ1609" s="35"/>
      <c r="BA1609" s="35"/>
      <c r="BB1609" s="35"/>
      <c r="BC1609" s="35"/>
      <c r="BD1609" s="35"/>
      <c r="BE1609" s="35"/>
      <c r="BF1609" s="35"/>
      <c r="BG1609" s="35"/>
      <c r="BH1609" s="35"/>
      <c r="BI1609" s="35"/>
      <c r="BJ1609" s="35"/>
      <c r="BK1609" s="35"/>
      <c r="BL1609" s="35"/>
      <c r="BM1609" s="35"/>
      <c r="BN1609" s="35"/>
      <c r="BO1609" s="86"/>
    </row>
    <row r="1610" spans="1:67" ht="16.5" thickBot="1" x14ac:dyDescent="0.3">
      <c r="A1610" s="520">
        <f>IFERROR(VLOOKUP($G$5,'רשימת רשויות'!A:C,3,0),0)</f>
        <v>0</v>
      </c>
      <c r="B1610" s="520">
        <f t="shared" si="220"/>
        <v>0</v>
      </c>
      <c r="D1610" s="1134"/>
      <c r="E1610" s="1137"/>
      <c r="F1610" s="587" t="s">
        <v>17</v>
      </c>
      <c r="G1610" s="113"/>
      <c r="H1610" s="92"/>
      <c r="I1610" s="114"/>
      <c r="J1610" s="115"/>
      <c r="K1610" s="116"/>
      <c r="L1610" s="406"/>
      <c r="M1610" s="116"/>
      <c r="N1610" s="116"/>
      <c r="O1610" s="116"/>
      <c r="P1610" s="474"/>
      <c r="Q1610" s="607"/>
      <c r="R1610" s="608"/>
      <c r="S1610" s="612"/>
      <c r="T1610" s="881"/>
      <c r="U1610" s="598"/>
      <c r="V1610" s="599"/>
      <c r="W1610" s="599"/>
      <c r="X1610" s="599"/>
      <c r="Y1610" s="879"/>
      <c r="Z1610" s="106"/>
      <c r="AI1610" s="40"/>
      <c r="BO1610" s="86"/>
    </row>
    <row r="1611" spans="1:67" ht="47.25" x14ac:dyDescent="0.25">
      <c r="A1611" s="520">
        <f>IFERROR(VLOOKUP($G$5,'רשימת רשויות'!A:C,3,0),0)</f>
        <v>0</v>
      </c>
      <c r="B1611" s="520">
        <f t="shared" si="220"/>
        <v>0</v>
      </c>
      <c r="D1611" s="1134"/>
      <c r="E1611" s="1137"/>
      <c r="F1611" s="588" t="s">
        <v>2</v>
      </c>
      <c r="G1611" s="95" t="s">
        <v>18</v>
      </c>
      <c r="H1611" s="95" t="s">
        <v>19</v>
      </c>
      <c r="I1611" s="95" t="s">
        <v>20</v>
      </c>
      <c r="J1611" s="95" t="s">
        <v>22</v>
      </c>
      <c r="K1611" s="96" t="s">
        <v>2314</v>
      </c>
      <c r="L1611" s="609"/>
      <c r="M1611" s="609"/>
      <c r="N1611" s="609"/>
      <c r="O1611" s="580"/>
      <c r="P1611" s="618" t="s">
        <v>2298</v>
      </c>
      <c r="Q1611" s="618" t="s">
        <v>2299</v>
      </c>
      <c r="R1611" s="596"/>
      <c r="S1611" s="890" t="s">
        <v>2519</v>
      </c>
      <c r="T1611" s="890" t="s">
        <v>97</v>
      </c>
      <c r="U1611" s="891" t="s">
        <v>2521</v>
      </c>
      <c r="V1611" s="892" t="s">
        <v>2520</v>
      </c>
      <c r="W1611" s="893" t="s">
        <v>2524</v>
      </c>
      <c r="X1611" s="892" t="s">
        <v>2522</v>
      </c>
      <c r="Y1611" s="894" t="s">
        <v>2523</v>
      </c>
      <c r="Z1611" s="106"/>
      <c r="AC1611" s="498" t="s">
        <v>2568</v>
      </c>
      <c r="AD1611" s="499" t="s">
        <v>2569</v>
      </c>
      <c r="AF1611" s="122"/>
      <c r="AI1611" s="40"/>
      <c r="BO1611" s="86"/>
    </row>
    <row r="1612" spans="1:67" ht="15" customHeight="1" thickBot="1" x14ac:dyDescent="0.3">
      <c r="A1612" s="520">
        <f>IFERROR(VLOOKUP($G$5,'רשימת רשויות'!A:C,3,0),0)</f>
        <v>0</v>
      </c>
      <c r="B1612" s="520">
        <f t="shared" si="220"/>
        <v>0</v>
      </c>
      <c r="D1612" s="1134"/>
      <c r="E1612" s="1137"/>
      <c r="F1612" s="589" t="s">
        <v>76</v>
      </c>
      <c r="G1612" s="117">
        <f>IF(G1603="תקין",SUMIF('עלויות כח אדם (6)'!$B$15:$B$3014,'בית ספר - תקצוב לפי מוסד (9)'!$G1598,'עלויות כח אדם (6)'!$M$15:$M$3014)-VLOOKUP('בית ספר - תקצוב לפי מוסד (9)'!G1598,' איוש משרות (8)'!$C:$H,5,0)-VLOOKUP('בית ספר - תקצוב לפי מוסד (9)'!G1598,' איוש משרות (8)'!$C:$H,6,0),0)-Y1612</f>
        <v>0</v>
      </c>
      <c r="H1612" s="118">
        <f>I1600+R1607</f>
        <v>0</v>
      </c>
      <c r="I1612" s="119">
        <f>IFERROR(SUM(G1612)/H1612,0)</f>
        <v>0</v>
      </c>
      <c r="J1612" s="100">
        <f>MIN(I1600+R1607,IF(ISNUMBER(G1612),G1612,0))</f>
        <v>0</v>
      </c>
      <c r="K1612" s="120">
        <f>MAX(H1612-G1612,0)</f>
        <v>0</v>
      </c>
      <c r="L1612" s="407"/>
      <c r="M1612" s="393"/>
      <c r="N1612" s="393"/>
      <c r="O1612" s="580"/>
      <c r="P1612" s="968">
        <f>IFERROR(IF(SUM(G1612)/(I1600)&lt;100%,MIN((I1600)-SUM(G1612),(I1600)*0.25),0),0)</f>
        <v>0</v>
      </c>
      <c r="Q1612" s="968">
        <f>IF(SUM(G1612)-(I1600+R1607)&gt;0,SUM(G1612)-(I1600+R1607),0)</f>
        <v>0</v>
      </c>
      <c r="R1612" s="596" t="s">
        <v>2351</v>
      </c>
      <c r="S1612" s="576" t="s">
        <v>2342</v>
      </c>
      <c r="T1612" s="599">
        <f>G1598</f>
        <v>0</v>
      </c>
      <c r="U1612" s="578"/>
      <c r="V1612" s="579">
        <f>G1612+G1613+G1614</f>
        <v>0</v>
      </c>
      <c r="W1612" s="579">
        <f>U1612-V1612</f>
        <v>0</v>
      </c>
      <c r="X1612" s="579">
        <f>IFERROR(W1626*W1612/(SUM(W1612:W1625)),0)</f>
        <v>0</v>
      </c>
      <c r="Y1612" s="879">
        <f>SUMIFS(בקרה!$S:$S,בקרה!$D:$D,T1612,בקרה!$K:$K,S1612)</f>
        <v>0</v>
      </c>
      <c r="Z1612" s="121"/>
      <c r="AA1612" s="143"/>
      <c r="AB1612" s="143"/>
      <c r="AC1612" s="504">
        <v>0</v>
      </c>
      <c r="AD1612" s="505">
        <f>IFERROR(U1612-AC1612,0)</f>
        <v>0</v>
      </c>
      <c r="AE1612" s="143"/>
      <c r="AI1612" s="20"/>
      <c r="BO1612" s="86"/>
    </row>
    <row r="1613" spans="1:67" ht="15" customHeight="1" thickBot="1" x14ac:dyDescent="0.3">
      <c r="A1613" s="520">
        <f>IFERROR(VLOOKUP($G$5,'רשימת רשויות'!A:C,3,0),0)</f>
        <v>0</v>
      </c>
      <c r="B1613" s="520">
        <f t="shared" si="220"/>
        <v>0</v>
      </c>
      <c r="D1613" s="1134"/>
      <c r="E1613" s="1137"/>
      <c r="F1613" s="589" t="s">
        <v>44</v>
      </c>
      <c r="G1613" s="123">
        <f>IF(G1603="תקין",IFERROR(VLOOKUP('בית ספר - תקצוב לפי מוסד (9)'!G1598,' איוש משרות (8)'!C:J,7,0),0),0)</f>
        <v>0</v>
      </c>
      <c r="H1613" s="124">
        <f>I1602+R1609+J1602</f>
        <v>0</v>
      </c>
      <c r="I1613" s="119">
        <f>IFERROR(SUM(G1613:G1614)/H1613,0)</f>
        <v>0</v>
      </c>
      <c r="J1613" s="100">
        <f>MIN(R1609+I1602,IF(ISNUMBER(SUM(G1613:G1614)),SUM(G1613:G1614),0))</f>
        <v>0</v>
      </c>
      <c r="K1613" s="1139">
        <f>MAX((H1613)-(G1613+G1614),0)</f>
        <v>0</v>
      </c>
      <c r="L1613" s="407"/>
      <c r="M1613" s="393"/>
      <c r="N1613" s="393"/>
      <c r="O1613" s="580"/>
      <c r="P1613" s="1140"/>
      <c r="Q1613" s="1140"/>
      <c r="R1613" s="617">
        <f>MAX(MIN(P1621-Q1621,H1621*0.15-G1619),0)</f>
        <v>0</v>
      </c>
      <c r="S1613" s="576"/>
      <c r="T1613" s="599">
        <f>G1598</f>
        <v>0</v>
      </c>
      <c r="U1613" s="578"/>
      <c r="V1613" s="579"/>
      <c r="W1613" s="579">
        <f t="shared" ref="W1613:W1625" si="229">U1613-V1613</f>
        <v>0</v>
      </c>
      <c r="X1613" s="579"/>
      <c r="Y1613" s="879"/>
      <c r="Z1613" s="121"/>
      <c r="AA1613" s="143"/>
      <c r="AB1613" s="143"/>
      <c r="AC1613" s="504"/>
      <c r="AD1613" s="505">
        <f t="shared" ref="AD1613:AD1619" si="230">IFERROR(U1613-AC1613,0)</f>
        <v>0</v>
      </c>
      <c r="AE1613" s="143"/>
      <c r="AI1613" s="20"/>
      <c r="BO1613" s="86"/>
    </row>
    <row r="1614" spans="1:67" ht="15.75" customHeight="1" x14ac:dyDescent="0.25">
      <c r="A1614" s="520">
        <f>IFERROR(VLOOKUP($G$5,'רשימת רשויות'!A:C,3,0),0)</f>
        <v>0</v>
      </c>
      <c r="B1614" s="520">
        <f t="shared" ref="B1614:B1677" si="231">IF(F1615="סמל המוסד",G1615,B1613)</f>
        <v>0</v>
      </c>
      <c r="D1614" s="1134"/>
      <c r="E1614" s="1137"/>
      <c r="F1614" s="589" t="s">
        <v>45</v>
      </c>
      <c r="G1614" s="123">
        <f>IF(G1603="תקין",IFERROR(VLOOKUP('בית ספר - תקצוב לפי מוסד (9)'!G1598,' איוש משרות (8)'!C:J,8,0),0),0)</f>
        <v>0</v>
      </c>
      <c r="H1614" s="125"/>
      <c r="I1614" s="126"/>
      <c r="J1614" s="104"/>
      <c r="K1614" s="1139"/>
      <c r="L1614" s="407"/>
      <c r="M1614" s="393"/>
      <c r="N1614" s="393"/>
      <c r="O1614" s="580"/>
      <c r="P1614" s="1140"/>
      <c r="Q1614" s="1140"/>
      <c r="R1614" s="596"/>
      <c r="S1614" s="576"/>
      <c r="T1614" s="599">
        <f>G1598</f>
        <v>0</v>
      </c>
      <c r="U1614" s="578"/>
      <c r="V1614" s="579"/>
      <c r="W1614" s="579">
        <f t="shared" si="229"/>
        <v>0</v>
      </c>
      <c r="X1614" s="579"/>
      <c r="Y1614" s="879"/>
      <c r="Z1614" s="121"/>
      <c r="AA1614" s="143"/>
      <c r="AB1614" s="143"/>
      <c r="AC1614" s="504"/>
      <c r="AD1614" s="505">
        <f t="shared" si="230"/>
        <v>0</v>
      </c>
      <c r="AE1614" s="143"/>
      <c r="AG1614" s="55"/>
      <c r="AH1614" s="55"/>
      <c r="AI1614" s="55"/>
      <c r="AJ1614" s="55"/>
      <c r="AK1614" s="55"/>
      <c r="BO1614" s="86"/>
    </row>
    <row r="1615" spans="1:67" ht="15.75" customHeight="1" x14ac:dyDescent="0.25">
      <c r="A1615" s="520">
        <f>IFERROR(VLOOKUP($G$5,'רשימת רשויות'!A:C,3,0),0)</f>
        <v>0</v>
      </c>
      <c r="B1615" s="520">
        <f t="shared" si="231"/>
        <v>0</v>
      </c>
      <c r="D1615" s="1134"/>
      <c r="E1615" s="1137"/>
      <c r="F1615" s="589" t="s">
        <v>0</v>
      </c>
      <c r="G1615" s="117">
        <f>IF(G1603="תקין",SUMIFS('דוח הוצאות בפועל (4)'!$E$17:$E$3016,'דוח הוצאות בפועל (4)'!$B$17:$B$3016,'בית ספר - תקצוב לפי מוסד (9)'!$G1598,'דוח הוצאות בפועל (4)'!$M$17:$M$3016,"הע"),0)-Y1615</f>
        <v>0</v>
      </c>
      <c r="H1615" s="127">
        <f>J1600</f>
        <v>0</v>
      </c>
      <c r="I1615" s="128">
        <f>IFERROR(G1615/H1615,0)</f>
        <v>0</v>
      </c>
      <c r="J1615" s="129">
        <f>MIN(IF(ISNUMBER(G1615),G1615,0),H1615)</f>
        <v>0</v>
      </c>
      <c r="K1615" s="120">
        <f>MAX(H1615-G1615,0)</f>
        <v>0</v>
      </c>
      <c r="L1615" s="407"/>
      <c r="M1615" s="393"/>
      <c r="N1615" s="393"/>
      <c r="O1615" s="580"/>
      <c r="P1615" s="968">
        <f>MAX(IF(I1615&lt;100%,MIN((H1615-G1615),H1615*0.25),0),0)</f>
        <v>0</v>
      </c>
      <c r="Q1615" s="619">
        <f>IF(G1615-H1615&gt;0,G1615-H1615,0)</f>
        <v>0</v>
      </c>
      <c r="R1615" s="596"/>
      <c r="S1615" s="610" t="s">
        <v>0</v>
      </c>
      <c r="T1615" s="599">
        <f>G1598</f>
        <v>0</v>
      </c>
      <c r="U1615" s="578"/>
      <c r="V1615" s="579">
        <f>G1615</f>
        <v>0</v>
      </c>
      <c r="W1615" s="579">
        <f t="shared" si="229"/>
        <v>0</v>
      </c>
      <c r="X1615" s="579">
        <f>IFERROR(W1626*W1615/(SUM(W1612:W1625)),0)</f>
        <v>0</v>
      </c>
      <c r="Y1615" s="879">
        <f>SUMIFS(בקרה!$S:$S,בקרה!$D:$D,T1615,בקרה!$K:$K,S1615)</f>
        <v>0</v>
      </c>
      <c r="Z1615" s="121"/>
      <c r="AA1615" s="143"/>
      <c r="AB1615" s="143"/>
      <c r="AC1615" s="504">
        <v>0</v>
      </c>
      <c r="AD1615" s="505">
        <f t="shared" si="230"/>
        <v>0</v>
      </c>
      <c r="AE1615" s="143"/>
      <c r="AG1615" s="55"/>
      <c r="AH1615" s="55"/>
      <c r="AI1615" s="40"/>
      <c r="AJ1615" s="55"/>
      <c r="AK1615" s="55"/>
      <c r="BO1615" s="86"/>
    </row>
    <row r="1616" spans="1:67" s="55" customFormat="1" ht="15.75" customHeight="1" x14ac:dyDescent="0.25">
      <c r="A1616" s="520">
        <f>IFERROR(VLOOKUP($G$5,'רשימת רשויות'!A:C,3,0),0)</f>
        <v>0</v>
      </c>
      <c r="B1616" s="520">
        <f t="shared" si="231"/>
        <v>0</v>
      </c>
      <c r="C1616" s="39"/>
      <c r="D1616" s="1134"/>
      <c r="E1616" s="1137"/>
      <c r="F1616" s="589" t="s">
        <v>93</v>
      </c>
      <c r="G1616" s="130">
        <f>IF(G1603="תקין",SUMIFS('דוח הוצאות בפועל (4)'!$E$17:$E$3016,'דוח הוצאות בפועל (4)'!$B$17:$B$3016,'בית ספר - תקצוב לפי מוסד (9)'!$G1598,'דוח הוצאות בפועל (4)'!$M$17:$M$3016,"אר"),0)-Y1616</f>
        <v>0</v>
      </c>
      <c r="H1616" s="118">
        <f>$I1606</f>
        <v>0</v>
      </c>
      <c r="I1616" s="131">
        <f>IFERROR((G1616+G1617)/H1616,0)</f>
        <v>0</v>
      </c>
      <c r="J1616" s="100">
        <f>MIN((IF(ISNUMBER(G1616),G1616,0)+IF(ISNUMBER(G1617),G1617,0)),H1616)</f>
        <v>0</v>
      </c>
      <c r="K1616" s="1139">
        <f>MAX((H1616)-(G1616+G1617),0)</f>
        <v>0</v>
      </c>
      <c r="L1616" s="407"/>
      <c r="M1616" s="393"/>
      <c r="N1616" s="393"/>
      <c r="O1616" s="602"/>
      <c r="P1616" s="1141"/>
      <c r="Q1616" s="1142"/>
      <c r="R1616" s="596"/>
      <c r="S1616" s="610" t="s">
        <v>93</v>
      </c>
      <c r="T1616" s="599">
        <f>G1598</f>
        <v>0</v>
      </c>
      <c r="U1616" s="578"/>
      <c r="V1616" s="579">
        <f t="shared" ref="V1616:V1617" si="232">G1616</f>
        <v>0</v>
      </c>
      <c r="W1616" s="579">
        <f t="shared" si="229"/>
        <v>0</v>
      </c>
      <c r="X1616" s="579">
        <f>IFERROR(W1626*W1616/(SUM(W1612:W1625)),0)</f>
        <v>0</v>
      </c>
      <c r="Y1616" s="879">
        <f>SUMIFS(בקרה!$S:$S,בקרה!$D:$D,T1616,בקרה!$K:$K,S1616)</f>
        <v>0</v>
      </c>
      <c r="Z1616" s="121"/>
      <c r="AA1616" s="143"/>
      <c r="AB1616" s="143"/>
      <c r="AC1616" s="504">
        <v>0</v>
      </c>
      <c r="AD1616" s="505">
        <f t="shared" si="230"/>
        <v>0</v>
      </c>
      <c r="AE1616" s="143"/>
      <c r="AJ1616" s="22"/>
      <c r="AO1616" s="22"/>
      <c r="AP1616" s="22"/>
      <c r="AQ1616" s="22"/>
      <c r="AR1616" s="22"/>
      <c r="AS1616" s="22"/>
      <c r="AT1616" s="22"/>
      <c r="AU1616" s="35"/>
      <c r="AV1616" s="35"/>
      <c r="AW1616" s="35"/>
      <c r="AX1616" s="35"/>
      <c r="AY1616" s="35"/>
      <c r="AZ1616" s="35"/>
      <c r="BA1616" s="35"/>
      <c r="BB1616" s="35"/>
      <c r="BC1616" s="35"/>
      <c r="BD1616" s="35"/>
      <c r="BE1616" s="35"/>
      <c r="BF1616" s="35"/>
      <c r="BG1616" s="35"/>
      <c r="BH1616" s="35"/>
      <c r="BI1616" s="35"/>
      <c r="BJ1616" s="35"/>
      <c r="BK1616" s="35"/>
      <c r="BL1616" s="35"/>
      <c r="BM1616" s="35"/>
      <c r="BN1616" s="35"/>
      <c r="BO1616" s="86"/>
    </row>
    <row r="1617" spans="1:67" s="55" customFormat="1" ht="15.75" customHeight="1" x14ac:dyDescent="0.25">
      <c r="A1617" s="520">
        <f>IFERROR(VLOOKUP($G$5,'רשימת רשויות'!A:C,3,0),0)</f>
        <v>0</v>
      </c>
      <c r="B1617" s="520">
        <f t="shared" si="231"/>
        <v>0</v>
      </c>
      <c r="C1617" s="39"/>
      <c r="D1617" s="1134"/>
      <c r="E1617" s="1137"/>
      <c r="F1617" s="589" t="s">
        <v>46</v>
      </c>
      <c r="G1617" s="130">
        <f>IF(G1603="תקין",SUMIFS('דוח הוצאות בפועל (4)'!$E$17:$E$3016,'דוח הוצאות בפועל (4)'!$B$17:$B$3016,'בית ספר - תקצוב לפי מוסד (9)'!$G1598,'דוח הוצאות בפועל (4)'!$M$17:$M$3016,"מל"),0)-Y1617</f>
        <v>0</v>
      </c>
      <c r="H1617" s="132"/>
      <c r="I1617" s="133"/>
      <c r="J1617" s="104"/>
      <c r="K1617" s="1139"/>
      <c r="L1617" s="407"/>
      <c r="M1617" s="393"/>
      <c r="N1617" s="393"/>
      <c r="O1617" s="602"/>
      <c r="P1617" s="1141"/>
      <c r="Q1617" s="1142"/>
      <c r="R1617" s="596"/>
      <c r="S1617" s="610" t="s">
        <v>46</v>
      </c>
      <c r="T1617" s="599">
        <f>G1598</f>
        <v>0</v>
      </c>
      <c r="U1617" s="578"/>
      <c r="V1617" s="579">
        <f t="shared" si="232"/>
        <v>0</v>
      </c>
      <c r="W1617" s="579">
        <f t="shared" si="229"/>
        <v>0</v>
      </c>
      <c r="X1617" s="579">
        <f>IFERROR(W1626*W1617/(SUM(W1612:W1625)),0)</f>
        <v>0</v>
      </c>
      <c r="Y1617" s="879">
        <f>SUMIFS(בקרה!$S:$S,בקרה!$D:$D,T1617,בקרה!$K:$K,S1617)</f>
        <v>0</v>
      </c>
      <c r="Z1617" s="121"/>
      <c r="AA1617" s="143"/>
      <c r="AB1617" s="143"/>
      <c r="AC1617" s="504">
        <v>0</v>
      </c>
      <c r="AD1617" s="505">
        <f t="shared" si="230"/>
        <v>0</v>
      </c>
      <c r="AE1617" s="143"/>
      <c r="AJ1617" s="22"/>
      <c r="AO1617" s="22"/>
      <c r="AP1617" s="22"/>
      <c r="AQ1617" s="22"/>
      <c r="AR1617" s="22"/>
      <c r="AS1617" s="22"/>
      <c r="AT1617" s="22"/>
      <c r="AU1617" s="35"/>
      <c r="AV1617" s="35"/>
      <c r="AW1617" s="35"/>
      <c r="AX1617" s="35"/>
      <c r="AY1617" s="35"/>
      <c r="AZ1617" s="35"/>
      <c r="BA1617" s="35"/>
      <c r="BB1617" s="35"/>
      <c r="BC1617" s="35"/>
      <c r="BD1617" s="35"/>
      <c r="BE1617" s="35"/>
      <c r="BF1617" s="35"/>
      <c r="BG1617" s="35"/>
      <c r="BH1617" s="35"/>
      <c r="BI1617" s="35"/>
      <c r="BJ1617" s="35"/>
      <c r="BK1617" s="35"/>
      <c r="BL1617" s="35"/>
      <c r="BM1617" s="35"/>
      <c r="BN1617" s="35"/>
      <c r="BO1617" s="86"/>
    </row>
    <row r="1618" spans="1:67" s="55" customFormat="1" ht="15" customHeight="1" x14ac:dyDescent="0.25">
      <c r="A1618" s="520">
        <f>IFERROR(VLOOKUP($G$5,'רשימת רשויות'!A:C,3,0),0)</f>
        <v>0</v>
      </c>
      <c r="B1618" s="520">
        <f t="shared" si="231"/>
        <v>0</v>
      </c>
      <c r="C1618" s="39"/>
      <c r="D1618" s="1134"/>
      <c r="E1618" s="1137"/>
      <c r="F1618" s="591" t="s">
        <v>23</v>
      </c>
      <c r="G1618" s="134">
        <f>SUM(G1612:G1617)</f>
        <v>0</v>
      </c>
      <c r="H1618" s="135">
        <f>SUM(H1612:H1617)</f>
        <v>0</v>
      </c>
      <c r="I1618" s="128">
        <f>IFERROR(G1618/H1618,0)</f>
        <v>0</v>
      </c>
      <c r="J1618" s="136">
        <f>SUM(J1612:J1617)</f>
        <v>0</v>
      </c>
      <c r="K1618" s="137">
        <f>SUM(K1612:K1617)</f>
        <v>0</v>
      </c>
      <c r="L1618" s="408"/>
      <c r="M1618" s="394"/>
      <c r="N1618" s="394"/>
      <c r="O1618" s="602"/>
      <c r="P1618" s="620">
        <f>SUM(P1612:P1617)</f>
        <v>0</v>
      </c>
      <c r="Q1618" s="620">
        <f>SUM(Q1612:Q1617)</f>
        <v>0</v>
      </c>
      <c r="R1618" s="596"/>
      <c r="S1618" s="610"/>
      <c r="T1618" s="599">
        <f>G1598</f>
        <v>0</v>
      </c>
      <c r="U1618" s="578"/>
      <c r="V1618" s="579"/>
      <c r="W1618" s="579">
        <f t="shared" si="229"/>
        <v>0</v>
      </c>
      <c r="X1618" s="579"/>
      <c r="Y1618" s="879"/>
      <c r="Z1618" s="121"/>
      <c r="AA1618" s="143"/>
      <c r="AB1618" s="143"/>
      <c r="AC1618" s="504"/>
      <c r="AD1618" s="505">
        <f t="shared" si="230"/>
        <v>0</v>
      </c>
      <c r="AE1618" s="143"/>
      <c r="AJ1618" s="22"/>
      <c r="AL1618" s="22"/>
      <c r="AM1618" s="22"/>
      <c r="AN1618" s="22"/>
      <c r="AO1618" s="22"/>
      <c r="AP1618" s="22"/>
      <c r="AQ1618" s="22"/>
      <c r="AR1618" s="22"/>
      <c r="AS1618" s="22"/>
      <c r="AT1618" s="22"/>
      <c r="AU1618" s="35"/>
      <c r="AV1618" s="35"/>
      <c r="AW1618" s="35"/>
      <c r="AX1618" s="35"/>
      <c r="AY1618" s="35"/>
      <c r="AZ1618" s="35"/>
      <c r="BA1618" s="35"/>
      <c r="BB1618" s="35"/>
      <c r="BC1618" s="35"/>
      <c r="BD1618" s="35"/>
      <c r="BE1618" s="35"/>
      <c r="BF1618" s="35"/>
      <c r="BG1618" s="35"/>
      <c r="BH1618" s="35"/>
      <c r="BI1618" s="35"/>
      <c r="BJ1618" s="35"/>
      <c r="BK1618" s="35"/>
      <c r="BL1618" s="35"/>
      <c r="BM1618" s="35"/>
      <c r="BN1618" s="35"/>
      <c r="BO1618" s="86"/>
    </row>
    <row r="1619" spans="1:67" s="55" customFormat="1" ht="15" customHeight="1" x14ac:dyDescent="0.25">
      <c r="A1619" s="520">
        <f>IFERROR(VLOOKUP($G$5,'רשימת רשויות'!A:C,3,0),0)</f>
        <v>0</v>
      </c>
      <c r="B1619" s="520">
        <f t="shared" si="231"/>
        <v>0</v>
      </c>
      <c r="C1619" s="39"/>
      <c r="D1619" s="1134"/>
      <c r="E1619" s="1137"/>
      <c r="F1619" s="589" t="s">
        <v>3</v>
      </c>
      <c r="G1619" s="117">
        <f>IF(G1603="תקין",SUMIFS('דוח הוצאות בפועל (4)'!$E$17:$E$3016,'דוח הוצאות בפועל (4)'!$B$17:$B$3016,'בית ספר - תקצוב לפי מוסד (9)'!$G1598,'דוח הוצאות בפועל (4)'!$M$17:$M$3016,"ני")+SUMIFS('דוח הוצאות בפועל (4)'!$E$17:$E$3016,'דוח הוצאות בפועל (4)'!$B$17:$B$3016,'בית ספר - תקצוב לפי מוסד (9)'!$G1598,'דוח הוצאות בפועל (4)'!$M$17:$M$3016,"על"),0)-Y1619</f>
        <v>0</v>
      </c>
      <c r="H1619" s="117">
        <f>H1600</f>
        <v>0</v>
      </c>
      <c r="I1619" s="138">
        <f>IFERROR(G1619/H1619,0)</f>
        <v>0</v>
      </c>
      <c r="J1619" s="117">
        <f>IFERROR(IF(G1619/H1621&gt;0.15,MIN(H1621*0.15,H1619),MIN(H1619,IF(ISNUMBER(G1619),G1619,0))),0)</f>
        <v>0</v>
      </c>
      <c r="K1619" s="120">
        <f>MAX(H1619-G1619,0)</f>
        <v>0</v>
      </c>
      <c r="L1619" s="407"/>
      <c r="M1619" s="393"/>
      <c r="N1619" s="393"/>
      <c r="O1619" s="602"/>
      <c r="P1619" s="620">
        <f>IF(I1619&lt;100%,MIN(H1619-G1619,H1619*0.25),0)</f>
        <v>0</v>
      </c>
      <c r="Q1619" s="620">
        <f>MAX(MIN(IF(G1619-H1619&gt;0,G1619-H1619,0),$H1621*0.15-H1619-J1620),0)</f>
        <v>0</v>
      </c>
      <c r="R1619" s="596"/>
      <c r="S1619" s="610" t="s">
        <v>3</v>
      </c>
      <c r="T1619" s="599">
        <f>G1598</f>
        <v>0</v>
      </c>
      <c r="U1619" s="578"/>
      <c r="V1619" s="579">
        <f t="shared" ref="V1619" si="233">G1619</f>
        <v>0</v>
      </c>
      <c r="W1619" s="579">
        <f t="shared" si="229"/>
        <v>0</v>
      </c>
      <c r="X1619" s="579"/>
      <c r="Y1619" s="879"/>
      <c r="Z1619" s="121"/>
      <c r="AA1619" s="143"/>
      <c r="AB1619" s="143"/>
      <c r="AC1619" s="504">
        <v>0</v>
      </c>
      <c r="AD1619" s="505">
        <f t="shared" si="230"/>
        <v>0</v>
      </c>
      <c r="AE1619" s="143"/>
      <c r="AG1619" s="22"/>
      <c r="AH1619" s="22"/>
      <c r="AI1619" s="22"/>
      <c r="AJ1619" s="22"/>
      <c r="AK1619" s="22"/>
      <c r="AL1619" s="22"/>
      <c r="AM1619" s="22"/>
      <c r="AN1619" s="22"/>
      <c r="AO1619" s="22"/>
      <c r="AP1619" s="22"/>
      <c r="AQ1619" s="22"/>
      <c r="AR1619" s="22"/>
      <c r="AS1619" s="22"/>
      <c r="AT1619" s="22"/>
      <c r="AU1619" s="35"/>
      <c r="AV1619" s="35"/>
      <c r="AW1619" s="35"/>
      <c r="AX1619" s="35"/>
      <c r="AY1619" s="35"/>
      <c r="AZ1619" s="35"/>
      <c r="BA1619" s="35"/>
      <c r="BB1619" s="35"/>
      <c r="BC1619" s="35"/>
      <c r="BD1619" s="35"/>
      <c r="BE1619" s="35"/>
      <c r="BF1619" s="35"/>
      <c r="BG1619" s="35"/>
      <c r="BH1619" s="35"/>
      <c r="BI1619" s="35"/>
      <c r="BJ1619" s="35"/>
      <c r="BK1619" s="35"/>
      <c r="BL1619" s="35"/>
      <c r="BM1619" s="35"/>
      <c r="BN1619" s="35"/>
      <c r="BO1619" s="86"/>
    </row>
    <row r="1620" spans="1:67" s="55" customFormat="1" ht="15.75" customHeight="1" x14ac:dyDescent="0.25">
      <c r="A1620" s="520">
        <f>IFERROR(VLOOKUP($G$5,'רשימת רשויות'!A:C,3,0),0)</f>
        <v>0</v>
      </c>
      <c r="B1620" s="520">
        <f t="shared" si="231"/>
        <v>0</v>
      </c>
      <c r="C1620" s="39"/>
      <c r="D1620" s="1134"/>
      <c r="E1620" s="1137"/>
      <c r="F1620" s="589" t="s">
        <v>2918</v>
      </c>
      <c r="G1620" s="117">
        <f>0.07*(G1614+G1613)</f>
        <v>0</v>
      </c>
      <c r="H1620" s="117">
        <f>H1602</f>
        <v>0</v>
      </c>
      <c r="I1620" s="138">
        <f>IFERROR(G1620/H1620,0)</f>
        <v>0</v>
      </c>
      <c r="J1620" s="117">
        <f>IFERROR(MIN(0.07*(G1613+G1614),0.07*I1602),0)</f>
        <v>0</v>
      </c>
      <c r="K1620" s="120">
        <f>MAX(H1620-G1620,0)</f>
        <v>0</v>
      </c>
      <c r="L1620" s="407"/>
      <c r="M1620" s="393"/>
      <c r="N1620" s="393"/>
      <c r="O1620" s="602"/>
      <c r="P1620" s="620"/>
      <c r="Q1620" s="619"/>
      <c r="R1620" s="596"/>
      <c r="S1620" s="611"/>
      <c r="T1620" s="599">
        <f>G1598</f>
        <v>0</v>
      </c>
      <c r="U1620" s="578"/>
      <c r="V1620" s="579"/>
      <c r="W1620" s="579">
        <f t="shared" si="229"/>
        <v>0</v>
      </c>
      <c r="X1620" s="579"/>
      <c r="Y1620" s="879"/>
      <c r="Z1620" s="121"/>
      <c r="AA1620" s="143"/>
      <c r="AB1620" s="143"/>
      <c r="AC1620" s="504"/>
      <c r="AD1620" s="505"/>
      <c r="AE1620" s="143"/>
      <c r="AF1620" s="140"/>
      <c r="AG1620" s="22"/>
      <c r="AH1620" s="22"/>
      <c r="AI1620" s="22"/>
      <c r="AJ1620" s="22"/>
      <c r="AK1620" s="22"/>
      <c r="AL1620" s="22"/>
      <c r="AM1620" s="22"/>
      <c r="AN1620" s="22"/>
      <c r="AO1620" s="22"/>
      <c r="AP1620" s="22"/>
      <c r="AQ1620" s="22"/>
      <c r="AR1620" s="22"/>
      <c r="AS1620" s="22"/>
      <c r="AT1620" s="22"/>
      <c r="AU1620" s="35"/>
      <c r="AV1620" s="35"/>
      <c r="AW1620" s="35"/>
      <c r="AX1620" s="35"/>
      <c r="AY1620" s="35"/>
      <c r="AZ1620" s="35"/>
      <c r="BA1620" s="35"/>
      <c r="BB1620" s="35"/>
      <c r="BC1620" s="35"/>
      <c r="BD1620" s="35"/>
      <c r="BE1620" s="35"/>
      <c r="BF1620" s="35"/>
      <c r="BG1620" s="35"/>
      <c r="BH1620" s="35"/>
      <c r="BI1620" s="35"/>
      <c r="BJ1620" s="35"/>
      <c r="BK1620" s="35"/>
      <c r="BL1620" s="35"/>
      <c r="BM1620" s="35"/>
      <c r="BN1620" s="35"/>
      <c r="BO1620" s="86"/>
    </row>
    <row r="1621" spans="1:67" ht="15.75" customHeight="1" x14ac:dyDescent="0.25">
      <c r="A1621" s="520">
        <f>IFERROR(VLOOKUP($G$5,'רשימת רשויות'!A:C,3,0),0)</f>
        <v>0</v>
      </c>
      <c r="B1621" s="520">
        <f t="shared" si="231"/>
        <v>0</v>
      </c>
      <c r="D1621" s="1134"/>
      <c r="E1621" s="1137"/>
      <c r="F1621" s="591" t="s">
        <v>15</v>
      </c>
      <c r="G1621" s="134">
        <f>G1618+G1619+G1620</f>
        <v>0</v>
      </c>
      <c r="H1621" s="134">
        <f>H1618+H1619+H1620</f>
        <v>0</v>
      </c>
      <c r="I1621" s="138">
        <f>IFERROR(G1621/H1621,0)</f>
        <v>0</v>
      </c>
      <c r="J1621" s="139">
        <f>J1618+J1619+J1620</f>
        <v>0</v>
      </c>
      <c r="K1621" s="137">
        <f>K1619+K1618+K1620</f>
        <v>0</v>
      </c>
      <c r="L1621" s="408"/>
      <c r="M1621" s="394"/>
      <c r="N1621" s="394"/>
      <c r="O1621" s="602"/>
      <c r="P1621" s="621">
        <f>SUM(P1618:P1619)</f>
        <v>0</v>
      </c>
      <c r="Q1621" s="622">
        <f>Q1618+Q1619</f>
        <v>0</v>
      </c>
      <c r="R1621" s="596"/>
      <c r="S1621" s="611"/>
      <c r="T1621" s="599">
        <f>G1598</f>
        <v>0</v>
      </c>
      <c r="U1621" s="578"/>
      <c r="V1621" s="579"/>
      <c r="W1621" s="579">
        <f t="shared" si="229"/>
        <v>0</v>
      </c>
      <c r="X1621" s="579"/>
      <c r="Y1621" s="879"/>
      <c r="Z1621" s="106"/>
      <c r="AC1621" s="504"/>
      <c r="AD1621" s="505"/>
      <c r="AH1621" s="143"/>
      <c r="BO1621" s="86"/>
    </row>
    <row r="1622" spans="1:67" ht="15.75" customHeight="1" x14ac:dyDescent="0.25">
      <c r="A1622" s="520">
        <f>IFERROR(VLOOKUP($G$5,'רשימת רשויות'!A:C,3,0),0)</f>
        <v>0</v>
      </c>
      <c r="B1622" s="520">
        <f t="shared" si="231"/>
        <v>0</v>
      </c>
      <c r="D1622" s="1134"/>
      <c r="E1622" s="1137"/>
      <c r="F1622" s="589" t="s">
        <v>2261</v>
      </c>
      <c r="G1622" s="117">
        <f>IF(G1603="תקין",SUMIF('תשלומי הורים ומלגות להורים (5) '!$B$18:$B$517,$G1598,'תשלומי הורים ומלגות להורים (5) '!$C$18:$C$517),0)</f>
        <v>0</v>
      </c>
      <c r="H1622" s="117">
        <f>(G1601+G1602)*$G$7</f>
        <v>0</v>
      </c>
      <c r="I1622" s="141"/>
      <c r="J1622" s="141"/>
      <c r="K1622" s="142"/>
      <c r="L1622" s="395"/>
      <c r="M1622" s="395"/>
      <c r="N1622" s="395"/>
      <c r="O1622" s="602"/>
      <c r="P1622" s="623"/>
      <c r="Q1622" s="619"/>
      <c r="R1622" s="596"/>
      <c r="S1622" s="612"/>
      <c r="T1622" s="599">
        <f>G1598</f>
        <v>0</v>
      </c>
      <c r="U1622" s="578"/>
      <c r="V1622" s="579"/>
      <c r="W1622" s="579">
        <f t="shared" si="229"/>
        <v>0</v>
      </c>
      <c r="X1622" s="579"/>
      <c r="Y1622" s="879"/>
      <c r="Z1622" s="121"/>
      <c r="AA1622" s="143"/>
      <c r="AB1622" s="143"/>
      <c r="AC1622" s="504"/>
      <c r="AD1622" s="505"/>
      <c r="AE1622" s="143"/>
      <c r="AF1622" s="148"/>
      <c r="BO1622" s="86"/>
    </row>
    <row r="1623" spans="1:67" ht="15.75" customHeight="1" thickBot="1" x14ac:dyDescent="0.3">
      <c r="A1623" s="520">
        <f>IFERROR(VLOOKUP($G$5,'רשימת רשויות'!A:C,3,0),0)</f>
        <v>0</v>
      </c>
      <c r="B1623" s="520">
        <f t="shared" si="231"/>
        <v>0</v>
      </c>
      <c r="D1623" s="1134"/>
      <c r="E1623" s="1137"/>
      <c r="F1623" s="592" t="s">
        <v>21</v>
      </c>
      <c r="G1623" s="144">
        <f>G1621-G1622</f>
        <v>0</v>
      </c>
      <c r="H1623" s="144">
        <f>H1621-H1622</f>
        <v>0</v>
      </c>
      <c r="I1623" s="145"/>
      <c r="J1623" s="145"/>
      <c r="K1623" s="146"/>
      <c r="L1623" s="396"/>
      <c r="M1623" s="396"/>
      <c r="N1623" s="396"/>
      <c r="O1623" s="602"/>
      <c r="P1623" s="619"/>
      <c r="Q1623" s="619"/>
      <c r="R1623" s="596"/>
      <c r="S1623" s="612"/>
      <c r="T1623" s="599">
        <f>G1598</f>
        <v>0</v>
      </c>
      <c r="U1623" s="578"/>
      <c r="V1623" s="579"/>
      <c r="W1623" s="579">
        <f t="shared" si="229"/>
        <v>0</v>
      </c>
      <c r="X1623" s="579"/>
      <c r="Y1623" s="879"/>
      <c r="Z1623" s="147"/>
      <c r="AA1623" s="148"/>
      <c r="AB1623" s="148"/>
      <c r="AC1623" s="504"/>
      <c r="AD1623" s="505"/>
      <c r="AE1623" s="148"/>
      <c r="AF1623" s="148"/>
      <c r="BO1623" s="86"/>
    </row>
    <row r="1624" spans="1:67" ht="15.75" customHeight="1" thickBot="1" x14ac:dyDescent="0.3">
      <c r="A1624" s="520">
        <f>IFERROR(VLOOKUP($G$5,'רשימת רשויות'!A:C,3,0),0)</f>
        <v>0</v>
      </c>
      <c r="B1624" s="520">
        <f t="shared" si="231"/>
        <v>0</v>
      </c>
      <c r="D1624" s="1134"/>
      <c r="E1624" s="1137"/>
      <c r="F1624" s="580"/>
      <c r="G1624" s="580"/>
      <c r="H1624" s="147"/>
      <c r="I1624" s="149" t="s">
        <v>2197</v>
      </c>
      <c r="J1624" s="150">
        <f>MAX(MIN(P1621,Q1621),0)</f>
        <v>0</v>
      </c>
      <c r="K1624" s="580"/>
      <c r="L1624" s="580"/>
      <c r="M1624" s="580"/>
      <c r="N1624" s="580"/>
      <c r="O1624" s="580"/>
      <c r="P1624" s="615" t="s">
        <v>2317</v>
      </c>
      <c r="Q1624" s="624">
        <f>SUM(Q1625:Q1626)</f>
        <v>0</v>
      </c>
      <c r="R1624" s="596"/>
      <c r="S1624" s="612"/>
      <c r="T1624" s="599">
        <f>G1598</f>
        <v>0</v>
      </c>
      <c r="U1624" s="578"/>
      <c r="V1624" s="579"/>
      <c r="W1624" s="579">
        <f t="shared" si="229"/>
        <v>0</v>
      </c>
      <c r="X1624" s="579"/>
      <c r="Y1624" s="879"/>
      <c r="Z1624" s="106"/>
      <c r="AC1624" s="504"/>
      <c r="AD1624" s="505"/>
      <c r="AF1624" s="148"/>
      <c r="BO1624" s="86"/>
    </row>
    <row r="1625" spans="1:67" ht="16.5" thickBot="1" x14ac:dyDescent="0.3">
      <c r="A1625" s="520">
        <f>IFERROR(VLOOKUP($G$5,'רשימת רשויות'!A:C,3,0),0)</f>
        <v>0</v>
      </c>
      <c r="B1625" s="520">
        <f t="shared" si="231"/>
        <v>0</v>
      </c>
      <c r="D1625" s="1134"/>
      <c r="E1625" s="1137"/>
      <c r="F1625" s="580"/>
      <c r="G1625" s="580"/>
      <c r="H1625" s="580"/>
      <c r="I1625" s="84" t="s">
        <v>2193</v>
      </c>
      <c r="J1625" s="515" t="str">
        <f>IFERROR(1-H1622/H1621,"")</f>
        <v/>
      </c>
      <c r="K1625" s="580"/>
      <c r="L1625" s="580"/>
      <c r="M1625" s="580"/>
      <c r="N1625" s="580"/>
      <c r="O1625" s="580"/>
      <c r="P1625" s="615" t="s">
        <v>417</v>
      </c>
      <c r="Q1625" s="616">
        <f>IFERROR(MAX(H1623-I1626-Q1626,0),0)</f>
        <v>0</v>
      </c>
      <c r="R1625" s="596"/>
      <c r="S1625" s="600"/>
      <c r="T1625" s="599">
        <f>G1598</f>
        <v>0</v>
      </c>
      <c r="U1625" s="578"/>
      <c r="V1625" s="579"/>
      <c r="W1625" s="579">
        <f t="shared" si="229"/>
        <v>0</v>
      </c>
      <c r="X1625" s="579"/>
      <c r="Y1625" s="879"/>
      <c r="Z1625" s="106"/>
      <c r="AC1625" s="504"/>
      <c r="AD1625" s="505"/>
      <c r="BO1625" s="86"/>
    </row>
    <row r="1626" spans="1:67" ht="17.25" thickBot="1" x14ac:dyDescent="0.3">
      <c r="A1626" s="520">
        <f>IFERROR(VLOOKUP($G$5,'רשימת רשויות'!A:C,3,0),0)</f>
        <v>0</v>
      </c>
      <c r="B1626" s="520">
        <f t="shared" si="231"/>
        <v>0</v>
      </c>
      <c r="D1626" s="1134"/>
      <c r="E1626" s="1137"/>
      <c r="F1626" s="1143" t="s">
        <v>2679</v>
      </c>
      <c r="G1626" s="1143"/>
      <c r="H1626" s="1143"/>
      <c r="I1626" s="722">
        <f>IF(G1603="לא תקין","לא קיימת זכאות לתקציב לאור אי איוש משרות רכז ו/או סגן רכז ",IFERROR(J1625*(J1624+J1621),0))</f>
        <v>0</v>
      </c>
      <c r="J1626" s="573"/>
      <c r="K1626" s="574"/>
      <c r="L1626" s="396"/>
      <c r="M1626" s="574"/>
      <c r="N1626" s="574"/>
      <c r="O1626" s="574"/>
      <c r="P1626" s="615" t="s">
        <v>2279</v>
      </c>
      <c r="Q1626" s="616">
        <f>MAX(IF(AND(G1621&gt;H1621,I1626&lt;H1623),H1623-I1626,0),0)</f>
        <v>0</v>
      </c>
      <c r="R1626" s="575"/>
      <c r="S1626" s="576" t="s">
        <v>67</v>
      </c>
      <c r="T1626" s="577">
        <f>G1598</f>
        <v>0</v>
      </c>
      <c r="U1626" s="578"/>
      <c r="V1626" s="579">
        <f>I1626</f>
        <v>0</v>
      </c>
      <c r="W1626" s="579">
        <f>IFERROR(U1626-V1626,0)</f>
        <v>0</v>
      </c>
      <c r="X1626" s="579">
        <f>SUM(X1612:X1625)</f>
        <v>0</v>
      </c>
      <c r="Y1626" s="879"/>
      <c r="Z1626" s="106"/>
      <c r="AC1626" s="506">
        <v>0</v>
      </c>
      <c r="AD1626" s="507">
        <f>IFERROR(U1626-AC1626,0)</f>
        <v>0</v>
      </c>
      <c r="BO1626" s="86"/>
    </row>
    <row r="1627" spans="1:67" ht="16.5" thickBot="1" x14ac:dyDescent="0.3">
      <c r="A1627" s="520">
        <f>IFERROR(VLOOKUP($G$5,'רשימת רשויות'!A:C,3,0),0)</f>
        <v>0</v>
      </c>
      <c r="B1627" s="520">
        <f t="shared" si="231"/>
        <v>0</v>
      </c>
      <c r="D1627" s="1135"/>
      <c r="E1627" s="1138"/>
      <c r="F1627" s="1144" t="s">
        <v>2793</v>
      </c>
      <c r="G1627" s="1145"/>
      <c r="H1627" s="1145"/>
      <c r="I1627" s="593">
        <f>IFERROR(IF(G1603="תקין",SUMIFS('סייעות רפואיות או אישיות (7)'!$Q$17:Q$384,'סייעות רפואיות או אישיות (7)'!C$17:C$384,G1598),0),0)</f>
        <v>0</v>
      </c>
      <c r="J1627" s="151"/>
      <c r="K1627" s="152"/>
      <c r="L1627" s="409"/>
      <c r="M1627" s="152"/>
      <c r="N1627" s="152"/>
      <c r="O1627" s="152"/>
      <c r="P1627" s="613"/>
      <c r="Q1627" s="614"/>
      <c r="R1627" s="475"/>
      <c r="S1627" s="489"/>
      <c r="T1627" s="490"/>
      <c r="U1627" s="491"/>
      <c r="V1627" s="492"/>
      <c r="W1627" s="492"/>
      <c r="X1627" s="492"/>
      <c r="Y1627" s="880"/>
      <c r="Z1627" s="153"/>
      <c r="AC1627" s="581"/>
      <c r="AD1627" s="582"/>
      <c r="BO1627" s="86"/>
    </row>
    <row r="1628" spans="1:67" ht="34.5" thickBot="1" x14ac:dyDescent="0.55000000000000004">
      <c r="A1628" s="520">
        <f>IFERROR(VLOOKUP($G$5,'רשימת רשויות'!A:C,3,0),0)</f>
        <v>0</v>
      </c>
      <c r="B1628" s="520">
        <f t="shared" si="231"/>
        <v>0</v>
      </c>
      <c r="E1628" s="154"/>
      <c r="I1628" s="143"/>
      <c r="J1628" s="148"/>
      <c r="O1628" s="148"/>
      <c r="T1628" s="481"/>
      <c r="BO1628" s="86"/>
    </row>
    <row r="1629" spans="1:67" s="20" customFormat="1" ht="16.5" customHeight="1" thickBot="1" x14ac:dyDescent="0.3">
      <c r="A1629" s="520">
        <f>IFERROR(VLOOKUP($G$5,'רשימת רשויות'!A:C,3,0),0)</f>
        <v>0</v>
      </c>
      <c r="B1629" s="520">
        <f t="shared" si="231"/>
        <v>0</v>
      </c>
      <c r="C1629" s="39"/>
      <c r="D1629" s="1133">
        <f>D1598+1</f>
        <v>53</v>
      </c>
      <c r="E1629" s="1136" t="str">
        <f>IFERROR(CONCATENATE("בית הספר ",VLOOKUP(G1629,'מצבת והרשמה (2)'!$C$21:$D$520,2,0)," - ",$G$5),"")</f>
        <v>בית הספר המוסד לא קיים - 0</v>
      </c>
      <c r="F1629" s="720" t="s">
        <v>146</v>
      </c>
      <c r="G1629" s="721">
        <f>IFERROR(VLOOKUP(D:D,'דוח ביצוע (3)'!$A$21:$C$900,2,0),0)</f>
        <v>0</v>
      </c>
      <c r="H1629" s="79"/>
      <c r="I1629" s="80" t="s">
        <v>150</v>
      </c>
      <c r="J1629" s="80"/>
      <c r="K1629" s="81"/>
      <c r="L1629" s="392"/>
      <c r="M1629" s="392"/>
      <c r="N1629" s="392"/>
      <c r="O1629" s="82"/>
      <c r="P1629" s="470"/>
      <c r="Q1629" s="471"/>
      <c r="R1629" s="472"/>
      <c r="S1629" s="883"/>
      <c r="T1629" s="884"/>
      <c r="U1629" s="486"/>
      <c r="V1629" s="487"/>
      <c r="W1629" s="487"/>
      <c r="X1629" s="487"/>
      <c r="Y1629" s="885"/>
      <c r="Z1629" s="83"/>
      <c r="AC1629" s="502"/>
      <c r="AD1629" s="503"/>
      <c r="AO1629" s="22"/>
      <c r="AP1629" s="22"/>
      <c r="AQ1629" s="22"/>
      <c r="AR1629" s="22"/>
      <c r="AS1629" s="22"/>
      <c r="AT1629" s="22"/>
      <c r="AU1629" s="35"/>
      <c r="AV1629" s="35"/>
      <c r="AW1629" s="35"/>
      <c r="AX1629" s="35"/>
      <c r="AY1629" s="35"/>
      <c r="AZ1629" s="35"/>
      <c r="BA1629" s="35"/>
      <c r="BB1629" s="35"/>
      <c r="BC1629" s="35"/>
      <c r="BD1629" s="35"/>
      <c r="BE1629" s="35"/>
      <c r="BF1629" s="35"/>
      <c r="BG1629" s="35"/>
      <c r="BH1629" s="35"/>
      <c r="BI1629" s="35"/>
      <c r="BJ1629" s="35"/>
      <c r="BK1629" s="35"/>
      <c r="BL1629" s="35"/>
      <c r="BM1629" s="35"/>
      <c r="BN1629" s="35"/>
      <c r="BO1629" s="78"/>
    </row>
    <row r="1630" spans="1:67" s="20" customFormat="1" ht="16.5" thickBot="1" x14ac:dyDescent="0.3">
      <c r="A1630" s="520">
        <f>IFERROR(VLOOKUP($G$5,'רשימת רשויות'!A:C,3,0),0)</f>
        <v>0</v>
      </c>
      <c r="B1630" s="520">
        <f t="shared" si="231"/>
        <v>0</v>
      </c>
      <c r="C1630" s="39"/>
      <c r="D1630" s="1134"/>
      <c r="E1630" s="1137"/>
      <c r="F1630" s="583" t="s">
        <v>145</v>
      </c>
      <c r="G1630" s="516" t="str">
        <f>IFERROR(IF((G1632+G1633)=0,"",IF(VLOOKUP(G1629,'דוח ביצוע (3)'!$B$21:$K$900,5,0)&gt;149,"גדול",IF(AND(VLOOKUP(G1629,'דוח ביצוע (3)'!$B$21:$K$900,5,0)&gt;0,VLOOKUP(G1629,'דוח ביצוע (3)'!$B$21:$K$900,5,0)&lt;150),"קטן",0))),"")</f>
        <v/>
      </c>
      <c r="H1630" s="723" t="s">
        <v>88</v>
      </c>
      <c r="I1630" s="723" t="s">
        <v>13</v>
      </c>
      <c r="J1630" s="725" t="s">
        <v>14</v>
      </c>
      <c r="K1630" s="724" t="s">
        <v>94</v>
      </c>
      <c r="L1630" s="594"/>
      <c r="M1630" s="420" t="s">
        <v>2584</v>
      </c>
      <c r="N1630" s="397" t="s">
        <v>413</v>
      </c>
      <c r="O1630" s="398" t="s">
        <v>52</v>
      </c>
      <c r="P1630" s="595"/>
      <c r="Q1630" s="595"/>
      <c r="R1630" s="596"/>
      <c r="S1630" s="610"/>
      <c r="T1630" s="881"/>
      <c r="U1630" s="598"/>
      <c r="V1630" s="599"/>
      <c r="W1630" s="599"/>
      <c r="X1630" s="599"/>
      <c r="Y1630" s="879"/>
      <c r="Z1630" s="85"/>
      <c r="AC1630" s="493"/>
      <c r="AD1630" s="495"/>
      <c r="AO1630" s="22"/>
      <c r="AP1630" s="22"/>
      <c r="AQ1630" s="22"/>
      <c r="AR1630" s="22"/>
      <c r="AS1630" s="22"/>
      <c r="AT1630" s="22"/>
      <c r="AU1630" s="35"/>
      <c r="AV1630" s="35"/>
      <c r="AW1630" s="35"/>
      <c r="AX1630" s="35"/>
      <c r="AY1630" s="35"/>
      <c r="AZ1630" s="35"/>
      <c r="BA1630" s="35"/>
      <c r="BB1630" s="35"/>
      <c r="BC1630" s="35"/>
      <c r="BD1630" s="35"/>
      <c r="BE1630" s="35"/>
      <c r="BF1630" s="35"/>
      <c r="BG1630" s="35"/>
      <c r="BH1630" s="35"/>
      <c r="BI1630" s="35"/>
      <c r="BJ1630" s="35"/>
      <c r="BK1630" s="35"/>
      <c r="BL1630" s="35"/>
      <c r="BM1630" s="35"/>
      <c r="BN1630" s="35"/>
      <c r="BO1630" s="78"/>
    </row>
    <row r="1631" spans="1:67" s="20" customFormat="1" ht="15.75" customHeight="1" thickBot="1" x14ac:dyDescent="0.3">
      <c r="A1631" s="520">
        <f>IFERROR(VLOOKUP($G$5,'רשימת רשויות'!A:C,3,0),0)</f>
        <v>0</v>
      </c>
      <c r="B1631" s="520">
        <f t="shared" si="231"/>
        <v>0</v>
      </c>
      <c r="C1631" s="39"/>
      <c r="D1631" s="1134"/>
      <c r="E1631" s="1137"/>
      <c r="F1631" s="584" t="s">
        <v>144</v>
      </c>
      <c r="G1631" s="87">
        <f>IF(G1634="תקין",IFERROR(VLOOKUP($G1629,'דוח ביצוע (3)'!$B$21:$Q$900,12,0),0),0)</f>
        <v>0</v>
      </c>
      <c r="H1631" s="88">
        <f>IFERROR(G1632*$AH$6+G1633*$AH$7,0)</f>
        <v>0</v>
      </c>
      <c r="I1631" s="88">
        <f>IFERROR(G1632*$AI$6+G1633*$AI$7,0)</f>
        <v>0</v>
      </c>
      <c r="J1631" s="88">
        <f>IFERROR(G1632*$AJ$6+G1633*$AJ$7,0)</f>
        <v>0</v>
      </c>
      <c r="K1631" s="88">
        <f>IFERROR(G1632*$AK$6+G1633*$AK$7,0)</f>
        <v>0</v>
      </c>
      <c r="L1631" s="405"/>
      <c r="M1631" s="399" t="s">
        <v>427</v>
      </c>
      <c r="N1631" s="400" t="str">
        <f>IFERROR(VLOOKUP($G1629,'דוח ביצוע (3)'!$B:$AE,28,0),"")</f>
        <v/>
      </c>
      <c r="O1631" s="89" t="str">
        <f>IFERROR(VLOOKUP($G1629,'דוח ביצוע (3)'!B:AE,29,0),"")</f>
        <v/>
      </c>
      <c r="P1631" s="595"/>
      <c r="Q1631" s="595"/>
      <c r="R1631" s="596"/>
      <c r="S1631" s="610"/>
      <c r="T1631" s="881"/>
      <c r="U1631" s="598"/>
      <c r="V1631" s="599"/>
      <c r="W1631" s="599"/>
      <c r="X1631" s="599"/>
      <c r="Y1631" s="879"/>
      <c r="Z1631" s="85"/>
      <c r="AC1631" s="493"/>
      <c r="AD1631" s="495"/>
      <c r="AO1631" s="22"/>
      <c r="AP1631" s="22"/>
      <c r="AQ1631" s="22"/>
      <c r="AR1631" s="22"/>
      <c r="AS1631" s="22"/>
      <c r="AT1631" s="22"/>
      <c r="AU1631" s="35"/>
      <c r="AV1631" s="35"/>
      <c r="AW1631" s="35"/>
      <c r="AX1631" s="35"/>
      <c r="AY1631" s="35"/>
      <c r="AZ1631" s="35"/>
      <c r="BA1631" s="35"/>
      <c r="BB1631" s="35"/>
      <c r="BC1631" s="35"/>
      <c r="BD1631" s="35"/>
      <c r="BE1631" s="35"/>
      <c r="BF1631" s="35"/>
      <c r="BG1631" s="35"/>
      <c r="BH1631" s="35"/>
      <c r="BI1631" s="35"/>
      <c r="BJ1631" s="35"/>
      <c r="BK1631" s="35"/>
      <c r="BL1631" s="35"/>
      <c r="BM1631" s="35"/>
      <c r="BN1631" s="35"/>
      <c r="BO1631" s="78"/>
    </row>
    <row r="1632" spans="1:67" s="20" customFormat="1" ht="32.25" thickBot="1" x14ac:dyDescent="0.3">
      <c r="A1632" s="520">
        <f>IFERROR(VLOOKUP($G$5,'רשימת רשויות'!A:C,3,0),0)</f>
        <v>0</v>
      </c>
      <c r="B1632" s="520">
        <f t="shared" si="231"/>
        <v>0</v>
      </c>
      <c r="C1632" s="39"/>
      <c r="D1632" s="1134"/>
      <c r="E1632" s="1137"/>
      <c r="F1632" s="585" t="s">
        <v>2195</v>
      </c>
      <c r="G1632" s="89">
        <f>IF(G1634="תקין",MAX(N1634,0),0)</f>
        <v>0</v>
      </c>
      <c r="H1632" s="725" t="s">
        <v>151</v>
      </c>
      <c r="I1632" s="725" t="s">
        <v>91</v>
      </c>
      <c r="J1632" s="970" t="s">
        <v>3396</v>
      </c>
      <c r="K1632" s="601"/>
      <c r="L1632" s="601"/>
      <c r="M1632" s="983" t="s">
        <v>2585</v>
      </c>
      <c r="N1632" s="400" t="str">
        <f>IFERROR(G1631/15*N1631*1.25,"")</f>
        <v/>
      </c>
      <c r="O1632" s="89" t="str">
        <f>IFERROR(G1631/15*O1631*1.25,"")</f>
        <v/>
      </c>
      <c r="P1632" s="595"/>
      <c r="Q1632" s="595"/>
      <c r="R1632" s="596"/>
      <c r="S1632" s="610"/>
      <c r="T1632" s="881"/>
      <c r="U1632" s="598"/>
      <c r="V1632" s="599"/>
      <c r="W1632" s="599"/>
      <c r="X1632" s="599"/>
      <c r="Y1632" s="879"/>
      <c r="Z1632" s="85"/>
      <c r="AC1632" s="493"/>
      <c r="AD1632" s="495"/>
      <c r="AG1632" s="22"/>
      <c r="AH1632" s="55"/>
      <c r="AI1632" s="55"/>
      <c r="AJ1632" s="55"/>
      <c r="AK1632" s="55"/>
      <c r="AO1632" s="22"/>
      <c r="AP1632" s="22"/>
      <c r="AQ1632" s="22"/>
      <c r="AR1632" s="22"/>
      <c r="AS1632" s="22"/>
      <c r="AT1632" s="22"/>
      <c r="AU1632" s="35"/>
      <c r="AV1632" s="35"/>
      <c r="AW1632" s="35"/>
      <c r="AX1632" s="35"/>
      <c r="AY1632" s="35"/>
      <c r="AZ1632" s="35"/>
      <c r="BA1632" s="35"/>
      <c r="BB1632" s="35"/>
      <c r="BC1632" s="35"/>
      <c r="BD1632" s="35"/>
      <c r="BE1632" s="35"/>
      <c r="BF1632" s="35"/>
      <c r="BG1632" s="35"/>
      <c r="BH1632" s="35"/>
      <c r="BI1632" s="35"/>
      <c r="BJ1632" s="35"/>
      <c r="BK1632" s="35"/>
      <c r="BL1632" s="35"/>
      <c r="BM1632" s="35"/>
      <c r="BN1632" s="35"/>
      <c r="BO1632" s="86"/>
    </row>
    <row r="1633" spans="1:67" s="20" customFormat="1" ht="16.5" thickBot="1" x14ac:dyDescent="0.3">
      <c r="A1633" s="520">
        <f>IFERROR(VLOOKUP($G$5,'רשימת רשויות'!A:C,3,0),0)</f>
        <v>0</v>
      </c>
      <c r="B1633" s="520">
        <f t="shared" si="231"/>
        <v>0</v>
      </c>
      <c r="C1633" s="39"/>
      <c r="D1633" s="1134"/>
      <c r="E1633" s="1137"/>
      <c r="F1633" s="585" t="s">
        <v>2196</v>
      </c>
      <c r="G1633" s="89">
        <f>IF(G1634="תקין",MAX(O1634,0),0)</f>
        <v>0</v>
      </c>
      <c r="H1633" s="88">
        <f>(IFERROR(IF((G1632+G1633)=0,0,IF(G1630="קטן",G1631*$AH$10,G1631*$AH$11)),0))+(IFERROR(IF((G1632+G1633)=0,0,VLOOKUP(G1629,'דוח ביצוע (3)'!$B:$AH,33,0)),0))</f>
        <v>0</v>
      </c>
      <c r="I1633" s="88">
        <f>IFERROR(IF((G1632+G1633)=0,0,IF(G1630="קטן",G1631*$AI$10,G1631*$AI$11)),0)</f>
        <v>0</v>
      </c>
      <c r="J1633" s="88">
        <f>IFERROR(IF((G1632+G1633)=0,0,VLOOKUP(G1629,'דוח ביצוע (3)'!$B:$AH,32,0)),0)</f>
        <v>0</v>
      </c>
      <c r="K1633" s="90"/>
      <c r="L1633" s="90"/>
      <c r="M1633" s="399" t="s">
        <v>412</v>
      </c>
      <c r="N1633" s="400">
        <f>IFERROR(VLOOKUP($G1629,'דוח ביצוע (3)'!$B$21:$U$500,18,0),0)</f>
        <v>0</v>
      </c>
      <c r="O1633" s="401">
        <f>IFERROR(VLOOKUP($G1629,'דוח ביצוע (3)'!$B$21:$U$500,19,0),0)</f>
        <v>0</v>
      </c>
      <c r="P1633" s="595"/>
      <c r="Q1633" s="595"/>
      <c r="R1633" s="596"/>
      <c r="S1633" s="610"/>
      <c r="T1633" s="881"/>
      <c r="U1633" s="598"/>
      <c r="V1633" s="599"/>
      <c r="W1633" s="599"/>
      <c r="X1633" s="599"/>
      <c r="Y1633" s="879"/>
      <c r="Z1633" s="85"/>
      <c r="AC1633" s="493"/>
      <c r="AD1633" s="495"/>
      <c r="AG1633" s="22"/>
      <c r="AH1633" s="55"/>
      <c r="AI1633" s="55"/>
      <c r="AJ1633" s="55"/>
      <c r="AK1633" s="55"/>
      <c r="AO1633" s="22"/>
      <c r="AP1633" s="22"/>
      <c r="AQ1633" s="22"/>
      <c r="AR1633" s="22"/>
      <c r="AS1633" s="22"/>
      <c r="AT1633" s="22"/>
      <c r="AU1633" s="35"/>
      <c r="AV1633" s="35"/>
      <c r="AW1633" s="35"/>
      <c r="AX1633" s="35"/>
      <c r="AY1633" s="35"/>
      <c r="AZ1633" s="35"/>
      <c r="BA1633" s="35"/>
      <c r="BB1633" s="35"/>
      <c r="BC1633" s="35"/>
      <c r="BD1633" s="35"/>
      <c r="BE1633" s="35"/>
      <c r="BF1633" s="35"/>
      <c r="BG1633" s="35"/>
      <c r="BH1633" s="35"/>
      <c r="BI1633" s="35"/>
      <c r="BJ1633" s="35"/>
      <c r="BK1633" s="35"/>
      <c r="BL1633" s="35"/>
      <c r="BM1633" s="35"/>
      <c r="BN1633" s="35"/>
      <c r="BO1633" s="86"/>
    </row>
    <row r="1634" spans="1:67" s="20" customFormat="1" ht="16.5" thickBot="1" x14ac:dyDescent="0.3">
      <c r="A1634" s="520">
        <f>IFERROR(VLOOKUP($G$5,'רשימת רשויות'!A:C,3,0),0)</f>
        <v>0</v>
      </c>
      <c r="B1634" s="520">
        <f t="shared" si="231"/>
        <v>0</v>
      </c>
      <c r="C1634" s="39"/>
      <c r="D1634" s="1134"/>
      <c r="E1634" s="1137"/>
      <c r="F1634" s="586" t="s">
        <v>2355</v>
      </c>
      <c r="G1634" s="514">
        <f>IFERROR(IF(VLOOKUP('בית ספר - תקצוב לפי מוסד (9)'!G1629,' איוש משרות (8)'!$C:$K,9,0)="תקין","תקין","לא תקין"),0)</f>
        <v>0</v>
      </c>
      <c r="H1634" s="91"/>
      <c r="I1634" s="91"/>
      <c r="J1634" s="91"/>
      <c r="K1634" s="90"/>
      <c r="L1634" s="90"/>
      <c r="M1634" s="402" t="s">
        <v>2586</v>
      </c>
      <c r="N1634" s="403">
        <f>IFERROR(MIN(N1632,N1633),0)</f>
        <v>0</v>
      </c>
      <c r="O1634" s="404">
        <f>IFERROR(MIN(O1632,O1633),0)</f>
        <v>0</v>
      </c>
      <c r="P1634" s="595"/>
      <c r="Q1634" s="595"/>
      <c r="R1634" s="596"/>
      <c r="S1634" s="610"/>
      <c r="T1634" s="881"/>
      <c r="U1634" s="598"/>
      <c r="V1634" s="599"/>
      <c r="W1634" s="599"/>
      <c r="X1634" s="599"/>
      <c r="Y1634" s="879"/>
      <c r="Z1634" s="85"/>
      <c r="AC1634" s="493"/>
      <c r="AD1634" s="495"/>
      <c r="AG1634" s="94"/>
      <c r="AH1634" s="40"/>
      <c r="AI1634" s="40"/>
      <c r="AJ1634" s="40"/>
      <c r="AK1634" s="40"/>
      <c r="AO1634" s="22"/>
      <c r="AP1634" s="22"/>
      <c r="AQ1634" s="22"/>
      <c r="AR1634" s="22"/>
      <c r="AS1634" s="22"/>
      <c r="AT1634" s="22"/>
      <c r="AU1634" s="35"/>
      <c r="AV1634" s="35"/>
      <c r="AW1634" s="35"/>
      <c r="AX1634" s="35"/>
      <c r="AY1634" s="35"/>
      <c r="AZ1634" s="35"/>
      <c r="BA1634" s="35"/>
      <c r="BB1634" s="35"/>
      <c r="BC1634" s="35"/>
      <c r="BD1634" s="35"/>
      <c r="BE1634" s="35"/>
      <c r="BF1634" s="35"/>
      <c r="BG1634" s="35"/>
      <c r="BH1634" s="35"/>
      <c r="BI1634" s="35"/>
      <c r="BJ1634" s="35"/>
      <c r="BK1634" s="35"/>
      <c r="BL1634" s="35"/>
      <c r="BM1634" s="35"/>
      <c r="BN1634" s="35"/>
      <c r="BO1634" s="86"/>
    </row>
    <row r="1635" spans="1:67" s="55" customFormat="1" ht="37.15" customHeight="1" thickBot="1" x14ac:dyDescent="0.3">
      <c r="A1635" s="520">
        <f>IFERROR(VLOOKUP($G$5,'רשימת רשויות'!A:C,3,0),0)</f>
        <v>0</v>
      </c>
      <c r="B1635" s="520">
        <f t="shared" si="231"/>
        <v>0</v>
      </c>
      <c r="C1635" s="39"/>
      <c r="D1635" s="1134"/>
      <c r="E1635" s="1137"/>
      <c r="F1635" s="587" t="s">
        <v>142</v>
      </c>
      <c r="G1635" s="92"/>
      <c r="H1635" s="92"/>
      <c r="I1635" s="92"/>
      <c r="J1635" s="92"/>
      <c r="K1635" s="602"/>
      <c r="L1635" s="602"/>
      <c r="M1635" s="602"/>
      <c r="N1635" s="602"/>
      <c r="O1635" s="602"/>
      <c r="P1635" s="595"/>
      <c r="Q1635" s="595"/>
      <c r="R1635" s="596"/>
      <c r="S1635" s="610"/>
      <c r="T1635" s="881"/>
      <c r="U1635" s="598"/>
      <c r="V1635" s="599"/>
      <c r="W1635" s="599"/>
      <c r="X1635" s="599"/>
      <c r="Y1635" s="879"/>
      <c r="Z1635" s="93"/>
      <c r="AC1635" s="493"/>
      <c r="AD1635" s="495"/>
      <c r="AF1635" s="22"/>
      <c r="AG1635" s="98"/>
      <c r="AH1635" s="98"/>
      <c r="AI1635" s="40"/>
      <c r="AJ1635" s="40"/>
      <c r="AK1635" s="40"/>
      <c r="AO1635" s="22"/>
      <c r="AP1635" s="22"/>
      <c r="AQ1635" s="22"/>
      <c r="AR1635" s="22"/>
      <c r="AS1635" s="22"/>
      <c r="AT1635" s="22"/>
      <c r="AU1635" s="35"/>
      <c r="AV1635" s="35"/>
      <c r="AW1635" s="35"/>
      <c r="AX1635" s="35"/>
      <c r="AY1635" s="35"/>
      <c r="AZ1635" s="35"/>
      <c r="BA1635" s="35"/>
      <c r="BB1635" s="35"/>
      <c r="BC1635" s="35"/>
      <c r="BD1635" s="35"/>
      <c r="BE1635" s="35"/>
      <c r="BF1635" s="35"/>
      <c r="BG1635" s="35"/>
      <c r="BH1635" s="35"/>
      <c r="BI1635" s="35"/>
      <c r="BJ1635" s="35"/>
      <c r="BK1635" s="35"/>
      <c r="BL1635" s="35"/>
      <c r="BM1635" s="35"/>
      <c r="BN1635" s="35"/>
      <c r="BO1635" s="86"/>
    </row>
    <row r="1636" spans="1:67" s="40" customFormat="1" ht="31.5" x14ac:dyDescent="0.25">
      <c r="A1636" s="520">
        <f>IFERROR(VLOOKUP($G$5,'רשימת רשויות'!A:C,3,0),0)</f>
        <v>0</v>
      </c>
      <c r="B1636" s="520">
        <f t="shared" si="231"/>
        <v>0</v>
      </c>
      <c r="C1636" s="39"/>
      <c r="D1636" s="1134"/>
      <c r="E1636" s="1137"/>
      <c r="F1636" s="588" t="s">
        <v>94</v>
      </c>
      <c r="G1636" s="95" t="s">
        <v>18</v>
      </c>
      <c r="H1636" s="95" t="s">
        <v>19</v>
      </c>
      <c r="I1636" s="95" t="s">
        <v>138</v>
      </c>
      <c r="J1636" s="96" t="s">
        <v>139</v>
      </c>
      <c r="K1636" s="603"/>
      <c r="L1636" s="603"/>
      <c r="M1636" s="603"/>
      <c r="N1636" s="603"/>
      <c r="O1636" s="603"/>
      <c r="P1636" s="604"/>
      <c r="Q1636" s="604"/>
      <c r="R1636" s="596"/>
      <c r="S1636" s="610"/>
      <c r="T1636" s="881"/>
      <c r="U1636" s="598"/>
      <c r="V1636" s="599"/>
      <c r="W1636" s="599"/>
      <c r="X1636" s="599"/>
      <c r="Y1636" s="879"/>
      <c r="Z1636" s="97"/>
      <c r="AA1636" s="94"/>
      <c r="AB1636" s="94"/>
      <c r="AC1636" s="493"/>
      <c r="AD1636" s="495"/>
      <c r="AE1636" s="94"/>
      <c r="AG1636" s="98"/>
      <c r="AH1636" s="98"/>
      <c r="AO1636" s="22"/>
      <c r="AP1636" s="22"/>
      <c r="AQ1636" s="22"/>
      <c r="AR1636" s="22"/>
      <c r="AS1636" s="22"/>
      <c r="AT1636" s="22"/>
      <c r="AU1636" s="35"/>
      <c r="AV1636" s="35"/>
      <c r="AW1636" s="35"/>
      <c r="AX1636" s="35"/>
      <c r="AY1636" s="35"/>
      <c r="AZ1636" s="35"/>
      <c r="BA1636" s="35"/>
      <c r="BB1636" s="35"/>
      <c r="BC1636" s="35"/>
      <c r="BD1636" s="35"/>
      <c r="BE1636" s="35"/>
      <c r="BF1636" s="35"/>
      <c r="BG1636" s="35"/>
      <c r="BH1636" s="35"/>
      <c r="BI1636" s="35"/>
      <c r="BJ1636" s="35"/>
      <c r="BK1636" s="35"/>
      <c r="BL1636" s="35"/>
      <c r="BM1636" s="35"/>
      <c r="BN1636" s="35"/>
      <c r="BO1636" s="86"/>
    </row>
    <row r="1637" spans="1:67" s="40" customFormat="1" ht="15.75" customHeight="1" thickBot="1" x14ac:dyDescent="0.3">
      <c r="A1637" s="520">
        <f>IFERROR(VLOOKUP($G$5,'רשימת רשויות'!A:C,3,0),0)</f>
        <v>0</v>
      </c>
      <c r="B1637" s="520">
        <f t="shared" si="231"/>
        <v>0</v>
      </c>
      <c r="C1637" s="39"/>
      <c r="D1637" s="1134"/>
      <c r="E1637" s="1137"/>
      <c r="F1637" s="589" t="s">
        <v>2280</v>
      </c>
      <c r="G1637" s="99">
        <f>+G1648</f>
        <v>0</v>
      </c>
      <c r="H1637" s="100">
        <f>K1631</f>
        <v>0</v>
      </c>
      <c r="I1637" s="100">
        <f>H1637-I1639</f>
        <v>0</v>
      </c>
      <c r="J1637" s="101">
        <f>IFERROR(I1637/H1637,0)</f>
        <v>0</v>
      </c>
      <c r="K1637" s="603"/>
      <c r="L1637" s="603"/>
      <c r="M1637" s="603"/>
      <c r="N1637" s="603"/>
      <c r="O1637" s="603"/>
      <c r="P1637" s="605"/>
      <c r="Q1637" s="604"/>
      <c r="R1637" s="606" t="s">
        <v>157</v>
      </c>
      <c r="S1637" s="611"/>
      <c r="T1637" s="881"/>
      <c r="U1637" s="598"/>
      <c r="V1637" s="599"/>
      <c r="W1637" s="599"/>
      <c r="X1637" s="599"/>
      <c r="Y1637" s="879"/>
      <c r="Z1637" s="102"/>
      <c r="AA1637" s="122"/>
      <c r="AB1637" s="122"/>
      <c r="AC1637" s="493"/>
      <c r="AD1637" s="495"/>
      <c r="AE1637" s="122"/>
      <c r="AF1637" s="22"/>
      <c r="AG1637" s="98"/>
      <c r="AH1637" s="98"/>
      <c r="AI1637" s="20"/>
      <c r="AO1637" s="22"/>
      <c r="AP1637" s="22"/>
      <c r="AQ1637" s="22"/>
      <c r="AR1637" s="22"/>
      <c r="AS1637" s="22"/>
      <c r="AT1637" s="22"/>
      <c r="AU1637" s="35"/>
      <c r="AV1637" s="35"/>
      <c r="AW1637" s="35"/>
      <c r="AX1637" s="35"/>
      <c r="AY1637" s="35"/>
      <c r="AZ1637" s="35"/>
      <c r="BA1637" s="35"/>
      <c r="BB1637" s="35"/>
      <c r="BC1637" s="35"/>
      <c r="BD1637" s="35"/>
      <c r="BE1637" s="35"/>
      <c r="BF1637" s="35"/>
      <c r="BG1637" s="35"/>
      <c r="BH1637" s="35"/>
      <c r="BI1637" s="35"/>
      <c r="BJ1637" s="35"/>
      <c r="BK1637" s="35"/>
      <c r="BL1637" s="35"/>
      <c r="BM1637" s="35"/>
      <c r="BN1637" s="35"/>
      <c r="BO1637" s="86"/>
    </row>
    <row r="1638" spans="1:67" s="40" customFormat="1" ht="15.75" customHeight="1" thickBot="1" x14ac:dyDescent="0.3">
      <c r="A1638" s="520">
        <f>IFERROR(VLOOKUP($G$5,'רשימת רשויות'!A:C,3,0),0)</f>
        <v>0</v>
      </c>
      <c r="B1638" s="520">
        <f t="shared" si="231"/>
        <v>0</v>
      </c>
      <c r="C1638" s="39"/>
      <c r="D1638" s="1134"/>
      <c r="E1638" s="1137"/>
      <c r="F1638" s="589" t="s">
        <v>2281</v>
      </c>
      <c r="G1638" s="99">
        <f>+G1647</f>
        <v>0</v>
      </c>
      <c r="H1638" s="103"/>
      <c r="I1638" s="104"/>
      <c r="J1638" s="105"/>
      <c r="K1638" s="603"/>
      <c r="L1638" s="603"/>
      <c r="M1638" s="603"/>
      <c r="N1638" s="603"/>
      <c r="O1638" s="603"/>
      <c r="P1638" s="605"/>
      <c r="Q1638" s="604"/>
      <c r="R1638" s="473">
        <f>I1639-R1640</f>
        <v>0</v>
      </c>
      <c r="S1638" s="611"/>
      <c r="T1638" s="881"/>
      <c r="U1638" s="598"/>
      <c r="V1638" s="599"/>
      <c r="W1638" s="599"/>
      <c r="X1638" s="599"/>
      <c r="Y1638" s="879"/>
      <c r="Z1638" s="106"/>
      <c r="AA1638" s="22"/>
      <c r="AB1638" s="22"/>
      <c r="AC1638" s="493"/>
      <c r="AD1638" s="495"/>
      <c r="AE1638" s="22"/>
      <c r="AF1638" s="22"/>
      <c r="AG1638" s="98"/>
      <c r="AH1638" s="98"/>
      <c r="AI1638" s="20"/>
      <c r="AO1638" s="22"/>
      <c r="AP1638" s="22"/>
      <c r="AQ1638" s="22"/>
      <c r="AR1638" s="22"/>
      <c r="AS1638" s="22"/>
      <c r="AT1638" s="22"/>
      <c r="AU1638" s="35"/>
      <c r="AV1638" s="35"/>
      <c r="AW1638" s="35"/>
      <c r="AX1638" s="35"/>
      <c r="AY1638" s="35"/>
      <c r="AZ1638" s="35"/>
      <c r="BA1638" s="35"/>
      <c r="BB1638" s="35"/>
      <c r="BC1638" s="35"/>
      <c r="BD1638" s="35"/>
      <c r="BE1638" s="35"/>
      <c r="BF1638" s="35"/>
      <c r="BG1638" s="35"/>
      <c r="BH1638" s="35"/>
      <c r="BI1638" s="35"/>
      <c r="BJ1638" s="35"/>
      <c r="BK1638" s="35"/>
      <c r="BL1638" s="35"/>
      <c r="BM1638" s="35"/>
      <c r="BN1638" s="35"/>
      <c r="BO1638" s="86"/>
    </row>
    <row r="1639" spans="1:67" s="40" customFormat="1" ht="16.5" customHeight="1" thickBot="1" x14ac:dyDescent="0.3">
      <c r="A1639" s="520">
        <f>IFERROR(VLOOKUP($G$5,'רשימת רשויות'!A:C,3,0),0)</f>
        <v>0</v>
      </c>
      <c r="B1639" s="520">
        <f t="shared" si="231"/>
        <v>0</v>
      </c>
      <c r="C1639" s="39"/>
      <c r="D1639" s="1134"/>
      <c r="E1639" s="1137"/>
      <c r="F1639" s="589" t="s">
        <v>2282</v>
      </c>
      <c r="G1639" s="99">
        <f>G1643+G1644+G1645</f>
        <v>0</v>
      </c>
      <c r="H1639" s="104"/>
      <c r="I1639" s="107">
        <f>MAX(H1637-G1637-G1638,0)</f>
        <v>0</v>
      </c>
      <c r="J1639" s="108">
        <f>IFERROR(I1639/H1637,0)</f>
        <v>0</v>
      </c>
      <c r="K1639" s="603"/>
      <c r="L1639" s="603"/>
      <c r="M1639" s="603"/>
      <c r="N1639" s="603"/>
      <c r="O1639" s="603"/>
      <c r="P1639" s="604"/>
      <c r="Q1639" s="604"/>
      <c r="R1639" s="606" t="s">
        <v>158</v>
      </c>
      <c r="S1639" s="612"/>
      <c r="T1639" s="881"/>
      <c r="U1639" s="598"/>
      <c r="V1639" s="599"/>
      <c r="W1639" s="599"/>
      <c r="X1639" s="599"/>
      <c r="Y1639" s="879"/>
      <c r="Z1639" s="106"/>
      <c r="AA1639" s="22"/>
      <c r="AB1639" s="22"/>
      <c r="AC1639" s="493"/>
      <c r="AD1639" s="495"/>
      <c r="AE1639" s="22"/>
      <c r="AF1639" s="22"/>
      <c r="AG1639" s="22"/>
      <c r="AH1639" s="22"/>
      <c r="AI1639" s="55"/>
      <c r="AJ1639" s="22"/>
      <c r="AK1639" s="22"/>
      <c r="AO1639" s="22"/>
      <c r="AP1639" s="22"/>
      <c r="AQ1639" s="22"/>
      <c r="AR1639" s="22"/>
      <c r="AS1639" s="22"/>
      <c r="AT1639" s="22"/>
      <c r="AU1639" s="35"/>
      <c r="AV1639" s="35"/>
      <c r="AW1639" s="35"/>
      <c r="AX1639" s="35"/>
      <c r="AY1639" s="35"/>
      <c r="AZ1639" s="35"/>
      <c r="BA1639" s="35"/>
      <c r="BB1639" s="35"/>
      <c r="BC1639" s="35"/>
      <c r="BD1639" s="35"/>
      <c r="BE1639" s="35"/>
      <c r="BF1639" s="35"/>
      <c r="BG1639" s="35"/>
      <c r="BH1639" s="35"/>
      <c r="BI1639" s="35"/>
      <c r="BJ1639" s="35"/>
      <c r="BK1639" s="35"/>
      <c r="BL1639" s="35"/>
      <c r="BM1639" s="35"/>
      <c r="BN1639" s="35"/>
      <c r="BO1639" s="86"/>
    </row>
    <row r="1640" spans="1:67" s="40" customFormat="1" ht="15.75" customHeight="1" thickBot="1" x14ac:dyDescent="0.3">
      <c r="A1640" s="520">
        <f>IFERROR(VLOOKUP($G$5,'רשימת רשויות'!A:C,3,0),0)</f>
        <v>0</v>
      </c>
      <c r="B1640" s="520">
        <f t="shared" si="231"/>
        <v>0</v>
      </c>
      <c r="C1640" s="39"/>
      <c r="D1640" s="1134"/>
      <c r="E1640" s="1137"/>
      <c r="F1640" s="590" t="s">
        <v>2290</v>
      </c>
      <c r="G1640" s="109"/>
      <c r="H1640" s="110"/>
      <c r="I1640" s="111">
        <f>SUM(I1637:I1639)</f>
        <v>0</v>
      </c>
      <c r="J1640" s="112">
        <f>SUM(J1637:J1639)</f>
        <v>0</v>
      </c>
      <c r="K1640" s="603"/>
      <c r="L1640" s="603"/>
      <c r="M1640" s="603"/>
      <c r="N1640" s="603"/>
      <c r="O1640" s="603"/>
      <c r="P1640" s="604"/>
      <c r="Q1640" s="604"/>
      <c r="R1640" s="473">
        <f>MIN(MAX(G1644+G1645-I1633-J1633,0),I1639)</f>
        <v>0</v>
      </c>
      <c r="S1640" s="612"/>
      <c r="T1640" s="881"/>
      <c r="U1640" s="598"/>
      <c r="V1640" s="599"/>
      <c r="W1640" s="599"/>
      <c r="X1640" s="599"/>
      <c r="Y1640" s="879"/>
      <c r="Z1640" s="106"/>
      <c r="AA1640" s="22"/>
      <c r="AB1640" s="22"/>
      <c r="AC1640" s="493"/>
      <c r="AD1640" s="495"/>
      <c r="AE1640" s="22"/>
      <c r="AF1640" s="22"/>
      <c r="AG1640" s="22"/>
      <c r="AH1640" s="22"/>
      <c r="AJ1640" s="22"/>
      <c r="AK1640" s="22"/>
      <c r="AO1640" s="22"/>
      <c r="AP1640" s="22"/>
      <c r="AQ1640" s="22"/>
      <c r="AR1640" s="22"/>
      <c r="AS1640" s="22"/>
      <c r="AT1640" s="22"/>
      <c r="AU1640" s="35"/>
      <c r="AV1640" s="35"/>
      <c r="AW1640" s="35"/>
      <c r="AX1640" s="35"/>
      <c r="AY1640" s="35"/>
      <c r="AZ1640" s="35"/>
      <c r="BA1640" s="35"/>
      <c r="BB1640" s="35"/>
      <c r="BC1640" s="35"/>
      <c r="BD1640" s="35"/>
      <c r="BE1640" s="35"/>
      <c r="BF1640" s="35"/>
      <c r="BG1640" s="35"/>
      <c r="BH1640" s="35"/>
      <c r="BI1640" s="35"/>
      <c r="BJ1640" s="35"/>
      <c r="BK1640" s="35"/>
      <c r="BL1640" s="35"/>
      <c r="BM1640" s="35"/>
      <c r="BN1640" s="35"/>
      <c r="BO1640" s="86"/>
    </row>
    <row r="1641" spans="1:67" ht="16.5" thickBot="1" x14ac:dyDescent="0.3">
      <c r="A1641" s="520">
        <f>IFERROR(VLOOKUP($G$5,'רשימת רשויות'!A:C,3,0),0)</f>
        <v>0</v>
      </c>
      <c r="B1641" s="520">
        <f t="shared" si="231"/>
        <v>0</v>
      </c>
      <c r="D1641" s="1134"/>
      <c r="E1641" s="1137"/>
      <c r="F1641" s="587" t="s">
        <v>17</v>
      </c>
      <c r="G1641" s="113"/>
      <c r="H1641" s="92"/>
      <c r="I1641" s="114"/>
      <c r="J1641" s="115"/>
      <c r="K1641" s="116"/>
      <c r="L1641" s="406"/>
      <c r="M1641" s="116"/>
      <c r="N1641" s="116"/>
      <c r="O1641" s="116"/>
      <c r="P1641" s="474"/>
      <c r="Q1641" s="607"/>
      <c r="R1641" s="608"/>
      <c r="S1641" s="612"/>
      <c r="T1641" s="881"/>
      <c r="U1641" s="598"/>
      <c r="V1641" s="599"/>
      <c r="W1641" s="599"/>
      <c r="X1641" s="599"/>
      <c r="Y1641" s="879"/>
      <c r="Z1641" s="106"/>
      <c r="AI1641" s="40"/>
      <c r="BO1641" s="86"/>
    </row>
    <row r="1642" spans="1:67" ht="47.25" x14ac:dyDescent="0.25">
      <c r="A1642" s="520">
        <f>IFERROR(VLOOKUP($G$5,'רשימת רשויות'!A:C,3,0),0)</f>
        <v>0</v>
      </c>
      <c r="B1642" s="520">
        <f t="shared" si="231"/>
        <v>0</v>
      </c>
      <c r="D1642" s="1134"/>
      <c r="E1642" s="1137"/>
      <c r="F1642" s="588" t="s">
        <v>2</v>
      </c>
      <c r="G1642" s="95" t="s">
        <v>18</v>
      </c>
      <c r="H1642" s="95" t="s">
        <v>19</v>
      </c>
      <c r="I1642" s="95" t="s">
        <v>20</v>
      </c>
      <c r="J1642" s="95" t="s">
        <v>22</v>
      </c>
      <c r="K1642" s="96" t="s">
        <v>2314</v>
      </c>
      <c r="L1642" s="609"/>
      <c r="M1642" s="609"/>
      <c r="N1642" s="609"/>
      <c r="O1642" s="580"/>
      <c r="P1642" s="618" t="s">
        <v>2298</v>
      </c>
      <c r="Q1642" s="618" t="s">
        <v>2299</v>
      </c>
      <c r="R1642" s="596"/>
      <c r="S1642" s="890" t="s">
        <v>2519</v>
      </c>
      <c r="T1642" s="890" t="s">
        <v>97</v>
      </c>
      <c r="U1642" s="891" t="s">
        <v>2521</v>
      </c>
      <c r="V1642" s="892" t="s">
        <v>2520</v>
      </c>
      <c r="W1642" s="893" t="s">
        <v>2524</v>
      </c>
      <c r="X1642" s="892" t="s">
        <v>2522</v>
      </c>
      <c r="Y1642" s="894" t="s">
        <v>2523</v>
      </c>
      <c r="Z1642" s="106"/>
      <c r="AC1642" s="498" t="s">
        <v>2568</v>
      </c>
      <c r="AD1642" s="499" t="s">
        <v>2569</v>
      </c>
      <c r="AF1642" s="122"/>
      <c r="AI1642" s="40"/>
      <c r="BO1642" s="86"/>
    </row>
    <row r="1643" spans="1:67" ht="15" customHeight="1" thickBot="1" x14ac:dyDescent="0.3">
      <c r="A1643" s="520">
        <f>IFERROR(VLOOKUP($G$5,'רשימת רשויות'!A:C,3,0),0)</f>
        <v>0</v>
      </c>
      <c r="B1643" s="520">
        <f t="shared" si="231"/>
        <v>0</v>
      </c>
      <c r="D1643" s="1134"/>
      <c r="E1643" s="1137"/>
      <c r="F1643" s="589" t="s">
        <v>76</v>
      </c>
      <c r="G1643" s="117">
        <f>IF(G1634="תקין",SUMIF('עלויות כח אדם (6)'!$B$15:$B$3014,'בית ספר - תקצוב לפי מוסד (9)'!$G1629,'עלויות כח אדם (6)'!$M$15:$M$3014)-VLOOKUP('בית ספר - תקצוב לפי מוסד (9)'!G1629,' איוש משרות (8)'!$C:$H,5,0)-VLOOKUP('בית ספר - תקצוב לפי מוסד (9)'!G1629,' איוש משרות (8)'!$C:$H,6,0),0)-Y1643</f>
        <v>0</v>
      </c>
      <c r="H1643" s="118">
        <f>I1631+R1638</f>
        <v>0</v>
      </c>
      <c r="I1643" s="119">
        <f>IFERROR(SUM(G1643)/H1643,0)</f>
        <v>0</v>
      </c>
      <c r="J1643" s="100">
        <f>MIN(I1631+R1638,IF(ISNUMBER(G1643),G1643,0))</f>
        <v>0</v>
      </c>
      <c r="K1643" s="120">
        <f>MAX(H1643-G1643,0)</f>
        <v>0</v>
      </c>
      <c r="L1643" s="407"/>
      <c r="M1643" s="393"/>
      <c r="N1643" s="393"/>
      <c r="O1643" s="580"/>
      <c r="P1643" s="968">
        <f>IFERROR(IF(SUM(G1643)/(I1631)&lt;100%,MIN((I1631)-SUM(G1643),(I1631)*0.25),0),0)</f>
        <v>0</v>
      </c>
      <c r="Q1643" s="968">
        <f>IF(SUM(G1643)-(I1631+R1638)&gt;0,SUM(G1643)-(I1631+R1638),0)</f>
        <v>0</v>
      </c>
      <c r="R1643" s="596" t="s">
        <v>2351</v>
      </c>
      <c r="S1643" s="576" t="s">
        <v>2342</v>
      </c>
      <c r="T1643" s="599">
        <f>G1629</f>
        <v>0</v>
      </c>
      <c r="U1643" s="578"/>
      <c r="V1643" s="579">
        <f>G1643+G1644+G1645</f>
        <v>0</v>
      </c>
      <c r="W1643" s="579">
        <f>U1643-V1643</f>
        <v>0</v>
      </c>
      <c r="X1643" s="579">
        <f>IFERROR(W1657*W1643/(SUM(W1643:W1656)),0)</f>
        <v>0</v>
      </c>
      <c r="Y1643" s="879">
        <f>SUMIFS(בקרה!$S:$S,בקרה!$D:$D,T1643,בקרה!$K:$K,S1643)</f>
        <v>0</v>
      </c>
      <c r="Z1643" s="121"/>
      <c r="AA1643" s="143"/>
      <c r="AB1643" s="143"/>
      <c r="AC1643" s="504">
        <v>0</v>
      </c>
      <c r="AD1643" s="505">
        <f>IFERROR(U1643-AC1643,0)</f>
        <v>0</v>
      </c>
      <c r="AE1643" s="143"/>
      <c r="AI1643" s="20"/>
      <c r="BO1643" s="86"/>
    </row>
    <row r="1644" spans="1:67" ht="15" customHeight="1" thickBot="1" x14ac:dyDescent="0.3">
      <c r="A1644" s="520">
        <f>IFERROR(VLOOKUP($G$5,'רשימת רשויות'!A:C,3,0),0)</f>
        <v>0</v>
      </c>
      <c r="B1644" s="520">
        <f t="shared" si="231"/>
        <v>0</v>
      </c>
      <c r="D1644" s="1134"/>
      <c r="E1644" s="1137"/>
      <c r="F1644" s="589" t="s">
        <v>44</v>
      </c>
      <c r="G1644" s="123">
        <f>IF(G1634="תקין",IFERROR(VLOOKUP('בית ספר - תקצוב לפי מוסד (9)'!G1629,' איוש משרות (8)'!C:J,7,0),0),0)</f>
        <v>0</v>
      </c>
      <c r="H1644" s="124">
        <f>I1633+R1640+J1633</f>
        <v>0</v>
      </c>
      <c r="I1644" s="119">
        <f>IFERROR(SUM(G1644:G1645)/H1644,0)</f>
        <v>0</v>
      </c>
      <c r="J1644" s="100">
        <f>MIN(R1640+I1633,IF(ISNUMBER(SUM(G1644:G1645)),SUM(G1644:G1645),0))</f>
        <v>0</v>
      </c>
      <c r="K1644" s="1139">
        <f>MAX((H1644)-(G1644+G1645),0)</f>
        <v>0</v>
      </c>
      <c r="L1644" s="407"/>
      <c r="M1644" s="393"/>
      <c r="N1644" s="393"/>
      <c r="O1644" s="580"/>
      <c r="P1644" s="1140"/>
      <c r="Q1644" s="1140"/>
      <c r="R1644" s="617">
        <f>MAX(MIN(P1652-Q1652,H1652*0.15-G1650),0)</f>
        <v>0</v>
      </c>
      <c r="S1644" s="576"/>
      <c r="T1644" s="599">
        <f>G1629</f>
        <v>0</v>
      </c>
      <c r="U1644" s="578"/>
      <c r="V1644" s="579"/>
      <c r="W1644" s="579">
        <f t="shared" ref="W1644:W1656" si="234">U1644-V1644</f>
        <v>0</v>
      </c>
      <c r="X1644" s="579"/>
      <c r="Y1644" s="879"/>
      <c r="Z1644" s="121"/>
      <c r="AA1644" s="143"/>
      <c r="AB1644" s="143"/>
      <c r="AC1644" s="504"/>
      <c r="AD1644" s="505">
        <f t="shared" ref="AD1644:AD1650" si="235">IFERROR(U1644-AC1644,0)</f>
        <v>0</v>
      </c>
      <c r="AE1644" s="143"/>
      <c r="AI1644" s="20"/>
      <c r="BO1644" s="86"/>
    </row>
    <row r="1645" spans="1:67" ht="15.75" customHeight="1" x14ac:dyDescent="0.25">
      <c r="A1645" s="520">
        <f>IFERROR(VLOOKUP($G$5,'רשימת רשויות'!A:C,3,0),0)</f>
        <v>0</v>
      </c>
      <c r="B1645" s="520">
        <f t="shared" si="231"/>
        <v>0</v>
      </c>
      <c r="D1645" s="1134"/>
      <c r="E1645" s="1137"/>
      <c r="F1645" s="589" t="s">
        <v>45</v>
      </c>
      <c r="G1645" s="123">
        <f>IF(G1634="תקין",IFERROR(VLOOKUP('בית ספר - תקצוב לפי מוסד (9)'!G1629,' איוש משרות (8)'!C:J,8,0),0),0)</f>
        <v>0</v>
      </c>
      <c r="H1645" s="125"/>
      <c r="I1645" s="126"/>
      <c r="J1645" s="104"/>
      <c r="K1645" s="1139"/>
      <c r="L1645" s="407"/>
      <c r="M1645" s="393"/>
      <c r="N1645" s="393"/>
      <c r="O1645" s="580"/>
      <c r="P1645" s="1140"/>
      <c r="Q1645" s="1140"/>
      <c r="R1645" s="596"/>
      <c r="S1645" s="576"/>
      <c r="T1645" s="599">
        <f>G1629</f>
        <v>0</v>
      </c>
      <c r="U1645" s="578"/>
      <c r="V1645" s="579"/>
      <c r="W1645" s="579">
        <f t="shared" si="234"/>
        <v>0</v>
      </c>
      <c r="X1645" s="579"/>
      <c r="Y1645" s="879"/>
      <c r="Z1645" s="121"/>
      <c r="AA1645" s="143"/>
      <c r="AB1645" s="143"/>
      <c r="AC1645" s="504"/>
      <c r="AD1645" s="505">
        <f t="shared" si="235"/>
        <v>0</v>
      </c>
      <c r="AE1645" s="143"/>
      <c r="AG1645" s="55"/>
      <c r="AH1645" s="55"/>
      <c r="AI1645" s="55"/>
      <c r="AJ1645" s="55"/>
      <c r="AK1645" s="55"/>
      <c r="BO1645" s="86"/>
    </row>
    <row r="1646" spans="1:67" ht="15.75" customHeight="1" x14ac:dyDescent="0.25">
      <c r="A1646" s="520">
        <f>IFERROR(VLOOKUP($G$5,'רשימת רשויות'!A:C,3,0),0)</f>
        <v>0</v>
      </c>
      <c r="B1646" s="520">
        <f t="shared" si="231"/>
        <v>0</v>
      </c>
      <c r="D1646" s="1134"/>
      <c r="E1646" s="1137"/>
      <c r="F1646" s="589" t="s">
        <v>0</v>
      </c>
      <c r="G1646" s="117">
        <f>IF(G1634="תקין",SUMIFS('דוח הוצאות בפועל (4)'!$E$17:$E$3016,'דוח הוצאות בפועל (4)'!$B$17:$B$3016,'בית ספר - תקצוב לפי מוסד (9)'!$G1629,'דוח הוצאות בפועל (4)'!$M$17:$M$3016,"הע"),0)-Y1646</f>
        <v>0</v>
      </c>
      <c r="H1646" s="127">
        <f>J1631</f>
        <v>0</v>
      </c>
      <c r="I1646" s="128">
        <f>IFERROR(G1646/H1646,0)</f>
        <v>0</v>
      </c>
      <c r="J1646" s="129">
        <f>MIN(IF(ISNUMBER(G1646),G1646,0),H1646)</f>
        <v>0</v>
      </c>
      <c r="K1646" s="120">
        <f>MAX(H1646-G1646,0)</f>
        <v>0</v>
      </c>
      <c r="L1646" s="407"/>
      <c r="M1646" s="393"/>
      <c r="N1646" s="393"/>
      <c r="O1646" s="580"/>
      <c r="P1646" s="968">
        <f>MAX(IF(I1646&lt;100%,MIN((H1646-G1646),H1646*0.25),0),0)</f>
        <v>0</v>
      </c>
      <c r="Q1646" s="619">
        <f>IF(G1646-H1646&gt;0,G1646-H1646,0)</f>
        <v>0</v>
      </c>
      <c r="R1646" s="596"/>
      <c r="S1646" s="610" t="s">
        <v>0</v>
      </c>
      <c r="T1646" s="599">
        <f>G1629</f>
        <v>0</v>
      </c>
      <c r="U1646" s="578"/>
      <c r="V1646" s="579">
        <f>G1646</f>
        <v>0</v>
      </c>
      <c r="W1646" s="579">
        <f t="shared" si="234"/>
        <v>0</v>
      </c>
      <c r="X1646" s="579">
        <f>IFERROR(W1657*W1646/(SUM(W1643:W1656)),0)</f>
        <v>0</v>
      </c>
      <c r="Y1646" s="879">
        <f>SUMIFS(בקרה!$S:$S,בקרה!$D:$D,T1646,בקרה!$K:$K,S1646)</f>
        <v>0</v>
      </c>
      <c r="Z1646" s="121"/>
      <c r="AA1646" s="143"/>
      <c r="AB1646" s="143"/>
      <c r="AC1646" s="504">
        <v>0</v>
      </c>
      <c r="AD1646" s="505">
        <f t="shared" si="235"/>
        <v>0</v>
      </c>
      <c r="AE1646" s="143"/>
      <c r="AG1646" s="55"/>
      <c r="AH1646" s="55"/>
      <c r="AI1646" s="40"/>
      <c r="AJ1646" s="55"/>
      <c r="AK1646" s="55"/>
      <c r="BO1646" s="86"/>
    </row>
    <row r="1647" spans="1:67" s="55" customFormat="1" ht="15.75" customHeight="1" x14ac:dyDescent="0.25">
      <c r="A1647" s="520">
        <f>IFERROR(VLOOKUP($G$5,'רשימת רשויות'!A:C,3,0),0)</f>
        <v>0</v>
      </c>
      <c r="B1647" s="520">
        <f t="shared" si="231"/>
        <v>0</v>
      </c>
      <c r="C1647" s="39"/>
      <c r="D1647" s="1134"/>
      <c r="E1647" s="1137"/>
      <c r="F1647" s="589" t="s">
        <v>93</v>
      </c>
      <c r="G1647" s="130">
        <f>IF(G1634="תקין",SUMIFS('דוח הוצאות בפועל (4)'!$E$17:$E$3016,'דוח הוצאות בפועל (4)'!$B$17:$B$3016,'בית ספר - תקצוב לפי מוסד (9)'!$G1629,'דוח הוצאות בפועל (4)'!$M$17:$M$3016,"אר"),0)-Y1647</f>
        <v>0</v>
      </c>
      <c r="H1647" s="118">
        <f>$I1637</f>
        <v>0</v>
      </c>
      <c r="I1647" s="131">
        <f>IFERROR((G1647+G1648)/H1647,0)</f>
        <v>0</v>
      </c>
      <c r="J1647" s="100">
        <f>MIN((IF(ISNUMBER(G1647),G1647,0)+IF(ISNUMBER(G1648),G1648,0)),H1647)</f>
        <v>0</v>
      </c>
      <c r="K1647" s="1139">
        <f>MAX((H1647)-(G1647+G1648),0)</f>
        <v>0</v>
      </c>
      <c r="L1647" s="407"/>
      <c r="M1647" s="393"/>
      <c r="N1647" s="393"/>
      <c r="O1647" s="602"/>
      <c r="P1647" s="1141"/>
      <c r="Q1647" s="1142"/>
      <c r="R1647" s="596"/>
      <c r="S1647" s="610" t="s">
        <v>93</v>
      </c>
      <c r="T1647" s="599">
        <f>G1629</f>
        <v>0</v>
      </c>
      <c r="U1647" s="578"/>
      <c r="V1647" s="579">
        <f t="shared" ref="V1647:V1648" si="236">G1647</f>
        <v>0</v>
      </c>
      <c r="W1647" s="579">
        <f t="shared" si="234"/>
        <v>0</v>
      </c>
      <c r="X1647" s="579">
        <f>IFERROR(W1657*W1647/(SUM(W1643:W1656)),0)</f>
        <v>0</v>
      </c>
      <c r="Y1647" s="879">
        <f>SUMIFS(בקרה!$S:$S,בקרה!$D:$D,T1647,בקרה!$K:$K,S1647)</f>
        <v>0</v>
      </c>
      <c r="Z1647" s="121"/>
      <c r="AA1647" s="143"/>
      <c r="AB1647" s="143"/>
      <c r="AC1647" s="504">
        <v>0</v>
      </c>
      <c r="AD1647" s="505">
        <f t="shared" si="235"/>
        <v>0</v>
      </c>
      <c r="AE1647" s="143"/>
      <c r="AJ1647" s="22"/>
      <c r="AO1647" s="22"/>
      <c r="AP1647" s="22"/>
      <c r="AQ1647" s="22"/>
      <c r="AR1647" s="22"/>
      <c r="AS1647" s="22"/>
      <c r="AT1647" s="22"/>
      <c r="AU1647" s="35"/>
      <c r="AV1647" s="35"/>
      <c r="AW1647" s="35"/>
      <c r="AX1647" s="35"/>
      <c r="AY1647" s="35"/>
      <c r="AZ1647" s="35"/>
      <c r="BA1647" s="35"/>
      <c r="BB1647" s="35"/>
      <c r="BC1647" s="35"/>
      <c r="BD1647" s="35"/>
      <c r="BE1647" s="35"/>
      <c r="BF1647" s="35"/>
      <c r="BG1647" s="35"/>
      <c r="BH1647" s="35"/>
      <c r="BI1647" s="35"/>
      <c r="BJ1647" s="35"/>
      <c r="BK1647" s="35"/>
      <c r="BL1647" s="35"/>
      <c r="BM1647" s="35"/>
      <c r="BN1647" s="35"/>
      <c r="BO1647" s="86"/>
    </row>
    <row r="1648" spans="1:67" s="55" customFormat="1" ht="15.75" customHeight="1" x14ac:dyDescent="0.25">
      <c r="A1648" s="520">
        <f>IFERROR(VLOOKUP($G$5,'רשימת רשויות'!A:C,3,0),0)</f>
        <v>0</v>
      </c>
      <c r="B1648" s="520">
        <f t="shared" si="231"/>
        <v>0</v>
      </c>
      <c r="C1648" s="39"/>
      <c r="D1648" s="1134"/>
      <c r="E1648" s="1137"/>
      <c r="F1648" s="589" t="s">
        <v>46</v>
      </c>
      <c r="G1648" s="130">
        <f>IF(G1634="תקין",SUMIFS('דוח הוצאות בפועל (4)'!$E$17:$E$3016,'דוח הוצאות בפועל (4)'!$B$17:$B$3016,'בית ספר - תקצוב לפי מוסד (9)'!$G1629,'דוח הוצאות בפועל (4)'!$M$17:$M$3016,"מל"),0)-Y1648</f>
        <v>0</v>
      </c>
      <c r="H1648" s="132"/>
      <c r="I1648" s="133"/>
      <c r="J1648" s="104"/>
      <c r="K1648" s="1139"/>
      <c r="L1648" s="407"/>
      <c r="M1648" s="393"/>
      <c r="N1648" s="393"/>
      <c r="O1648" s="602"/>
      <c r="P1648" s="1141"/>
      <c r="Q1648" s="1142"/>
      <c r="R1648" s="596"/>
      <c r="S1648" s="610" t="s">
        <v>46</v>
      </c>
      <c r="T1648" s="599">
        <f>G1629</f>
        <v>0</v>
      </c>
      <c r="U1648" s="578"/>
      <c r="V1648" s="579">
        <f t="shared" si="236"/>
        <v>0</v>
      </c>
      <c r="W1648" s="579">
        <f t="shared" si="234"/>
        <v>0</v>
      </c>
      <c r="X1648" s="579">
        <f>IFERROR(W1657*W1648/(SUM(W1643:W1656)),0)</f>
        <v>0</v>
      </c>
      <c r="Y1648" s="879">
        <f>SUMIFS(בקרה!$S:$S,בקרה!$D:$D,T1648,בקרה!$K:$K,S1648)</f>
        <v>0</v>
      </c>
      <c r="Z1648" s="121"/>
      <c r="AA1648" s="143"/>
      <c r="AB1648" s="143"/>
      <c r="AC1648" s="504">
        <v>0</v>
      </c>
      <c r="AD1648" s="505">
        <f t="shared" si="235"/>
        <v>0</v>
      </c>
      <c r="AE1648" s="143"/>
      <c r="AJ1648" s="22"/>
      <c r="AO1648" s="22"/>
      <c r="AP1648" s="22"/>
      <c r="AQ1648" s="22"/>
      <c r="AR1648" s="22"/>
      <c r="AS1648" s="22"/>
      <c r="AT1648" s="22"/>
      <c r="AU1648" s="35"/>
      <c r="AV1648" s="35"/>
      <c r="AW1648" s="35"/>
      <c r="AX1648" s="35"/>
      <c r="AY1648" s="35"/>
      <c r="AZ1648" s="35"/>
      <c r="BA1648" s="35"/>
      <c r="BB1648" s="35"/>
      <c r="BC1648" s="35"/>
      <c r="BD1648" s="35"/>
      <c r="BE1648" s="35"/>
      <c r="BF1648" s="35"/>
      <c r="BG1648" s="35"/>
      <c r="BH1648" s="35"/>
      <c r="BI1648" s="35"/>
      <c r="BJ1648" s="35"/>
      <c r="BK1648" s="35"/>
      <c r="BL1648" s="35"/>
      <c r="BM1648" s="35"/>
      <c r="BN1648" s="35"/>
      <c r="BO1648" s="86"/>
    </row>
    <row r="1649" spans="1:67" s="55" customFormat="1" ht="15" customHeight="1" x14ac:dyDescent="0.25">
      <c r="A1649" s="520">
        <f>IFERROR(VLOOKUP($G$5,'רשימת רשויות'!A:C,3,0),0)</f>
        <v>0</v>
      </c>
      <c r="B1649" s="520">
        <f t="shared" si="231"/>
        <v>0</v>
      </c>
      <c r="C1649" s="39"/>
      <c r="D1649" s="1134"/>
      <c r="E1649" s="1137"/>
      <c r="F1649" s="591" t="s">
        <v>23</v>
      </c>
      <c r="G1649" s="134">
        <f>SUM(G1643:G1648)</f>
        <v>0</v>
      </c>
      <c r="H1649" s="135">
        <f>SUM(H1643:H1648)</f>
        <v>0</v>
      </c>
      <c r="I1649" s="128">
        <f>IFERROR(G1649/H1649,0)</f>
        <v>0</v>
      </c>
      <c r="J1649" s="136">
        <f>SUM(J1643:J1648)</f>
        <v>0</v>
      </c>
      <c r="K1649" s="137">
        <f>SUM(K1643:K1648)</f>
        <v>0</v>
      </c>
      <c r="L1649" s="408"/>
      <c r="M1649" s="394"/>
      <c r="N1649" s="394"/>
      <c r="O1649" s="602"/>
      <c r="P1649" s="620">
        <f>SUM(P1643:P1648)</f>
        <v>0</v>
      </c>
      <c r="Q1649" s="620">
        <f>SUM(Q1643:Q1648)</f>
        <v>0</v>
      </c>
      <c r="R1649" s="596"/>
      <c r="S1649" s="610"/>
      <c r="T1649" s="599">
        <f>G1629</f>
        <v>0</v>
      </c>
      <c r="U1649" s="578"/>
      <c r="V1649" s="579"/>
      <c r="W1649" s="579">
        <f t="shared" si="234"/>
        <v>0</v>
      </c>
      <c r="X1649" s="579"/>
      <c r="Y1649" s="879"/>
      <c r="Z1649" s="121"/>
      <c r="AA1649" s="143"/>
      <c r="AB1649" s="143"/>
      <c r="AC1649" s="504"/>
      <c r="AD1649" s="505">
        <f t="shared" si="235"/>
        <v>0</v>
      </c>
      <c r="AE1649" s="143"/>
      <c r="AJ1649" s="22"/>
      <c r="AL1649" s="22"/>
      <c r="AM1649" s="22"/>
      <c r="AN1649" s="22"/>
      <c r="AO1649" s="22"/>
      <c r="AP1649" s="22"/>
      <c r="AQ1649" s="22"/>
      <c r="AR1649" s="22"/>
      <c r="AS1649" s="22"/>
      <c r="AT1649" s="22"/>
      <c r="AU1649" s="35"/>
      <c r="AV1649" s="35"/>
      <c r="AW1649" s="35"/>
      <c r="AX1649" s="35"/>
      <c r="AY1649" s="35"/>
      <c r="AZ1649" s="35"/>
      <c r="BA1649" s="35"/>
      <c r="BB1649" s="35"/>
      <c r="BC1649" s="35"/>
      <c r="BD1649" s="35"/>
      <c r="BE1649" s="35"/>
      <c r="BF1649" s="35"/>
      <c r="BG1649" s="35"/>
      <c r="BH1649" s="35"/>
      <c r="BI1649" s="35"/>
      <c r="BJ1649" s="35"/>
      <c r="BK1649" s="35"/>
      <c r="BL1649" s="35"/>
      <c r="BM1649" s="35"/>
      <c r="BN1649" s="35"/>
      <c r="BO1649" s="86"/>
    </row>
    <row r="1650" spans="1:67" s="55" customFormat="1" ht="15" customHeight="1" x14ac:dyDescent="0.25">
      <c r="A1650" s="520">
        <f>IFERROR(VLOOKUP($G$5,'רשימת רשויות'!A:C,3,0),0)</f>
        <v>0</v>
      </c>
      <c r="B1650" s="520">
        <f t="shared" si="231"/>
        <v>0</v>
      </c>
      <c r="C1650" s="39"/>
      <c r="D1650" s="1134"/>
      <c r="E1650" s="1137"/>
      <c r="F1650" s="589" t="s">
        <v>3</v>
      </c>
      <c r="G1650" s="117">
        <f>IF(G1634="תקין",SUMIFS('דוח הוצאות בפועל (4)'!$E$17:$E$3016,'דוח הוצאות בפועל (4)'!$B$17:$B$3016,'בית ספר - תקצוב לפי מוסד (9)'!$G1629,'דוח הוצאות בפועל (4)'!$M$17:$M$3016,"ני")+SUMIFS('דוח הוצאות בפועל (4)'!$E$17:$E$3016,'דוח הוצאות בפועל (4)'!$B$17:$B$3016,'בית ספר - תקצוב לפי מוסד (9)'!$G1629,'דוח הוצאות בפועל (4)'!$M$17:$M$3016,"על"),0)-Y1650</f>
        <v>0</v>
      </c>
      <c r="H1650" s="117">
        <f>H1631</f>
        <v>0</v>
      </c>
      <c r="I1650" s="138">
        <f>IFERROR(G1650/H1650,0)</f>
        <v>0</v>
      </c>
      <c r="J1650" s="117">
        <f>IFERROR(IF(G1650/H1652&gt;0.15,MIN(H1652*0.15,H1650),MIN(H1650,IF(ISNUMBER(G1650),G1650,0))),0)</f>
        <v>0</v>
      </c>
      <c r="K1650" s="120">
        <f>MAX(H1650-G1650,0)</f>
        <v>0</v>
      </c>
      <c r="L1650" s="407"/>
      <c r="M1650" s="393"/>
      <c r="N1650" s="393"/>
      <c r="O1650" s="602"/>
      <c r="P1650" s="620">
        <f>IF(I1650&lt;100%,MIN(H1650-G1650,H1650*0.25),0)</f>
        <v>0</v>
      </c>
      <c r="Q1650" s="620">
        <f>MAX(MIN(IF(G1650-H1650&gt;0,G1650-H1650,0),$H1652*0.15-H1650-J1651),0)</f>
        <v>0</v>
      </c>
      <c r="R1650" s="596"/>
      <c r="S1650" s="610" t="s">
        <v>3</v>
      </c>
      <c r="T1650" s="599">
        <f>G1629</f>
        <v>0</v>
      </c>
      <c r="U1650" s="578"/>
      <c r="V1650" s="579">
        <f t="shared" ref="V1650" si="237">G1650</f>
        <v>0</v>
      </c>
      <c r="W1650" s="579">
        <f t="shared" si="234"/>
        <v>0</v>
      </c>
      <c r="X1650" s="579"/>
      <c r="Y1650" s="879"/>
      <c r="Z1650" s="121"/>
      <c r="AA1650" s="143"/>
      <c r="AB1650" s="143"/>
      <c r="AC1650" s="504">
        <v>0</v>
      </c>
      <c r="AD1650" s="505">
        <f t="shared" si="235"/>
        <v>0</v>
      </c>
      <c r="AE1650" s="143"/>
      <c r="AG1650" s="22"/>
      <c r="AH1650" s="22"/>
      <c r="AI1650" s="22"/>
      <c r="AJ1650" s="22"/>
      <c r="AK1650" s="22"/>
      <c r="AL1650" s="22"/>
      <c r="AM1650" s="22"/>
      <c r="AN1650" s="22"/>
      <c r="AO1650" s="22"/>
      <c r="AP1650" s="22"/>
      <c r="AQ1650" s="22"/>
      <c r="AR1650" s="22"/>
      <c r="AS1650" s="22"/>
      <c r="AT1650" s="22"/>
      <c r="AU1650" s="35"/>
      <c r="AV1650" s="35"/>
      <c r="AW1650" s="35"/>
      <c r="AX1650" s="35"/>
      <c r="AY1650" s="35"/>
      <c r="AZ1650" s="35"/>
      <c r="BA1650" s="35"/>
      <c r="BB1650" s="35"/>
      <c r="BC1650" s="35"/>
      <c r="BD1650" s="35"/>
      <c r="BE1650" s="35"/>
      <c r="BF1650" s="35"/>
      <c r="BG1650" s="35"/>
      <c r="BH1650" s="35"/>
      <c r="BI1650" s="35"/>
      <c r="BJ1650" s="35"/>
      <c r="BK1650" s="35"/>
      <c r="BL1650" s="35"/>
      <c r="BM1650" s="35"/>
      <c r="BN1650" s="35"/>
      <c r="BO1650" s="86"/>
    </row>
    <row r="1651" spans="1:67" s="55" customFormat="1" ht="15.75" customHeight="1" x14ac:dyDescent="0.25">
      <c r="A1651" s="520">
        <f>IFERROR(VLOOKUP($G$5,'רשימת רשויות'!A:C,3,0),0)</f>
        <v>0</v>
      </c>
      <c r="B1651" s="520">
        <f t="shared" si="231"/>
        <v>0</v>
      </c>
      <c r="C1651" s="39"/>
      <c r="D1651" s="1134"/>
      <c r="E1651" s="1137"/>
      <c r="F1651" s="589" t="s">
        <v>2918</v>
      </c>
      <c r="G1651" s="117">
        <f>0.07*(G1645+G1644)</f>
        <v>0</v>
      </c>
      <c r="H1651" s="117">
        <f>H1633</f>
        <v>0</v>
      </c>
      <c r="I1651" s="138">
        <f>IFERROR(G1651/H1651,0)</f>
        <v>0</v>
      </c>
      <c r="J1651" s="117">
        <f>IFERROR(MIN(0.07*(G1644+G1645),0.07*I1633),0)</f>
        <v>0</v>
      </c>
      <c r="K1651" s="120">
        <f>MAX(H1651-G1651,0)</f>
        <v>0</v>
      </c>
      <c r="L1651" s="407"/>
      <c r="M1651" s="393"/>
      <c r="N1651" s="393"/>
      <c r="O1651" s="602"/>
      <c r="P1651" s="620"/>
      <c r="Q1651" s="619"/>
      <c r="R1651" s="596"/>
      <c r="S1651" s="611"/>
      <c r="T1651" s="599">
        <f>G1629</f>
        <v>0</v>
      </c>
      <c r="U1651" s="578"/>
      <c r="V1651" s="579"/>
      <c r="W1651" s="579">
        <f t="shared" si="234"/>
        <v>0</v>
      </c>
      <c r="X1651" s="579"/>
      <c r="Y1651" s="879"/>
      <c r="Z1651" s="121"/>
      <c r="AA1651" s="143"/>
      <c r="AB1651" s="143"/>
      <c r="AC1651" s="504"/>
      <c r="AD1651" s="505"/>
      <c r="AE1651" s="143"/>
      <c r="AF1651" s="140"/>
      <c r="AG1651" s="22"/>
      <c r="AH1651" s="22"/>
      <c r="AI1651" s="22"/>
      <c r="AJ1651" s="22"/>
      <c r="AK1651" s="22"/>
      <c r="AL1651" s="22"/>
      <c r="AM1651" s="22"/>
      <c r="AN1651" s="22"/>
      <c r="AO1651" s="22"/>
      <c r="AP1651" s="22"/>
      <c r="AQ1651" s="22"/>
      <c r="AR1651" s="22"/>
      <c r="AS1651" s="22"/>
      <c r="AT1651" s="22"/>
      <c r="AU1651" s="35"/>
      <c r="AV1651" s="35"/>
      <c r="AW1651" s="35"/>
      <c r="AX1651" s="35"/>
      <c r="AY1651" s="35"/>
      <c r="AZ1651" s="35"/>
      <c r="BA1651" s="35"/>
      <c r="BB1651" s="35"/>
      <c r="BC1651" s="35"/>
      <c r="BD1651" s="35"/>
      <c r="BE1651" s="35"/>
      <c r="BF1651" s="35"/>
      <c r="BG1651" s="35"/>
      <c r="BH1651" s="35"/>
      <c r="BI1651" s="35"/>
      <c r="BJ1651" s="35"/>
      <c r="BK1651" s="35"/>
      <c r="BL1651" s="35"/>
      <c r="BM1651" s="35"/>
      <c r="BN1651" s="35"/>
      <c r="BO1651" s="86"/>
    </row>
    <row r="1652" spans="1:67" ht="15.75" customHeight="1" x14ac:dyDescent="0.25">
      <c r="A1652" s="520">
        <f>IFERROR(VLOOKUP($G$5,'רשימת רשויות'!A:C,3,0),0)</f>
        <v>0</v>
      </c>
      <c r="B1652" s="520">
        <f t="shared" si="231"/>
        <v>0</v>
      </c>
      <c r="D1652" s="1134"/>
      <c r="E1652" s="1137"/>
      <c r="F1652" s="591" t="s">
        <v>15</v>
      </c>
      <c r="G1652" s="134">
        <f>G1649+G1650+G1651</f>
        <v>0</v>
      </c>
      <c r="H1652" s="134">
        <f>H1649+H1650+H1651</f>
        <v>0</v>
      </c>
      <c r="I1652" s="138">
        <f>IFERROR(G1652/H1652,0)</f>
        <v>0</v>
      </c>
      <c r="J1652" s="139">
        <f>J1649+J1650+J1651</f>
        <v>0</v>
      </c>
      <c r="K1652" s="137">
        <f>K1650+K1649+K1651</f>
        <v>0</v>
      </c>
      <c r="L1652" s="408"/>
      <c r="M1652" s="394"/>
      <c r="N1652" s="394"/>
      <c r="O1652" s="602"/>
      <c r="P1652" s="621">
        <f>SUM(P1649:P1650)</f>
        <v>0</v>
      </c>
      <c r="Q1652" s="622">
        <f>Q1649+Q1650</f>
        <v>0</v>
      </c>
      <c r="R1652" s="596"/>
      <c r="S1652" s="611"/>
      <c r="T1652" s="599">
        <f>G1629</f>
        <v>0</v>
      </c>
      <c r="U1652" s="578"/>
      <c r="V1652" s="579"/>
      <c r="W1652" s="579">
        <f t="shared" si="234"/>
        <v>0</v>
      </c>
      <c r="X1652" s="579"/>
      <c r="Y1652" s="879"/>
      <c r="Z1652" s="106"/>
      <c r="AC1652" s="504"/>
      <c r="AD1652" s="505"/>
      <c r="AH1652" s="143"/>
      <c r="BO1652" s="86"/>
    </row>
    <row r="1653" spans="1:67" ht="15.75" customHeight="1" x14ac:dyDescent="0.25">
      <c r="A1653" s="520">
        <f>IFERROR(VLOOKUP($G$5,'רשימת רשויות'!A:C,3,0),0)</f>
        <v>0</v>
      </c>
      <c r="B1653" s="520">
        <f t="shared" si="231"/>
        <v>0</v>
      </c>
      <c r="D1653" s="1134"/>
      <c r="E1653" s="1137"/>
      <c r="F1653" s="589" t="s">
        <v>2261</v>
      </c>
      <c r="G1653" s="117">
        <f>IF(G1634="תקין",SUMIF('תשלומי הורים ומלגות להורים (5) '!$B$18:$B$517,$G1629,'תשלומי הורים ומלגות להורים (5) '!$C$18:$C$517),0)</f>
        <v>0</v>
      </c>
      <c r="H1653" s="117">
        <f>(G1632+G1633)*$G$7</f>
        <v>0</v>
      </c>
      <c r="I1653" s="141"/>
      <c r="J1653" s="141"/>
      <c r="K1653" s="142"/>
      <c r="L1653" s="395"/>
      <c r="M1653" s="395"/>
      <c r="N1653" s="395"/>
      <c r="O1653" s="602"/>
      <c r="P1653" s="623"/>
      <c r="Q1653" s="619"/>
      <c r="R1653" s="596"/>
      <c r="S1653" s="612"/>
      <c r="T1653" s="599">
        <f>G1629</f>
        <v>0</v>
      </c>
      <c r="U1653" s="578"/>
      <c r="V1653" s="579"/>
      <c r="W1653" s="579">
        <f t="shared" si="234"/>
        <v>0</v>
      </c>
      <c r="X1653" s="579"/>
      <c r="Y1653" s="879"/>
      <c r="Z1653" s="121"/>
      <c r="AA1653" s="143"/>
      <c r="AB1653" s="143"/>
      <c r="AC1653" s="504"/>
      <c r="AD1653" s="505"/>
      <c r="AE1653" s="143"/>
      <c r="AF1653" s="148"/>
      <c r="BO1653" s="86"/>
    </row>
    <row r="1654" spans="1:67" ht="15.75" customHeight="1" thickBot="1" x14ac:dyDescent="0.3">
      <c r="A1654" s="520">
        <f>IFERROR(VLOOKUP($G$5,'רשימת רשויות'!A:C,3,0),0)</f>
        <v>0</v>
      </c>
      <c r="B1654" s="520">
        <f t="shared" si="231"/>
        <v>0</v>
      </c>
      <c r="D1654" s="1134"/>
      <c r="E1654" s="1137"/>
      <c r="F1654" s="592" t="s">
        <v>21</v>
      </c>
      <c r="G1654" s="144">
        <f>G1652-G1653</f>
        <v>0</v>
      </c>
      <c r="H1654" s="144">
        <f>H1652-H1653</f>
        <v>0</v>
      </c>
      <c r="I1654" s="145"/>
      <c r="J1654" s="145"/>
      <c r="K1654" s="146"/>
      <c r="L1654" s="396"/>
      <c r="M1654" s="396"/>
      <c r="N1654" s="396"/>
      <c r="O1654" s="602"/>
      <c r="P1654" s="619"/>
      <c r="Q1654" s="619"/>
      <c r="R1654" s="596"/>
      <c r="S1654" s="612"/>
      <c r="T1654" s="599">
        <f>G1629</f>
        <v>0</v>
      </c>
      <c r="U1654" s="578"/>
      <c r="V1654" s="579"/>
      <c r="W1654" s="579">
        <f t="shared" si="234"/>
        <v>0</v>
      </c>
      <c r="X1654" s="579"/>
      <c r="Y1654" s="879"/>
      <c r="Z1654" s="147"/>
      <c r="AA1654" s="148"/>
      <c r="AB1654" s="148"/>
      <c r="AC1654" s="504"/>
      <c r="AD1654" s="505"/>
      <c r="AE1654" s="148"/>
      <c r="AF1654" s="148"/>
      <c r="BO1654" s="86"/>
    </row>
    <row r="1655" spans="1:67" ht="15.75" customHeight="1" thickBot="1" x14ac:dyDescent="0.3">
      <c r="A1655" s="520">
        <f>IFERROR(VLOOKUP($G$5,'רשימת רשויות'!A:C,3,0),0)</f>
        <v>0</v>
      </c>
      <c r="B1655" s="520">
        <f t="shared" si="231"/>
        <v>0</v>
      </c>
      <c r="D1655" s="1134"/>
      <c r="E1655" s="1137"/>
      <c r="F1655" s="580"/>
      <c r="G1655" s="580"/>
      <c r="H1655" s="147"/>
      <c r="I1655" s="149" t="s">
        <v>2197</v>
      </c>
      <c r="J1655" s="150">
        <f>MAX(MIN(P1652,Q1652),0)</f>
        <v>0</v>
      </c>
      <c r="K1655" s="580"/>
      <c r="L1655" s="580"/>
      <c r="M1655" s="580"/>
      <c r="N1655" s="580"/>
      <c r="O1655" s="580"/>
      <c r="P1655" s="615" t="s">
        <v>2317</v>
      </c>
      <c r="Q1655" s="624">
        <f>SUM(Q1656:Q1657)</f>
        <v>0</v>
      </c>
      <c r="R1655" s="596"/>
      <c r="S1655" s="612"/>
      <c r="T1655" s="599">
        <f>G1629</f>
        <v>0</v>
      </c>
      <c r="U1655" s="578"/>
      <c r="V1655" s="579"/>
      <c r="W1655" s="579">
        <f t="shared" si="234"/>
        <v>0</v>
      </c>
      <c r="X1655" s="579"/>
      <c r="Y1655" s="879"/>
      <c r="Z1655" s="106"/>
      <c r="AC1655" s="504"/>
      <c r="AD1655" s="505"/>
      <c r="AF1655" s="148"/>
      <c r="BO1655" s="86"/>
    </row>
    <row r="1656" spans="1:67" ht="16.5" thickBot="1" x14ac:dyDescent="0.3">
      <c r="A1656" s="520">
        <f>IFERROR(VLOOKUP($G$5,'רשימת רשויות'!A:C,3,0),0)</f>
        <v>0</v>
      </c>
      <c r="B1656" s="520">
        <f t="shared" si="231"/>
        <v>0</v>
      </c>
      <c r="D1656" s="1134"/>
      <c r="E1656" s="1137"/>
      <c r="F1656" s="580"/>
      <c r="G1656" s="580"/>
      <c r="H1656" s="580"/>
      <c r="I1656" s="84" t="s">
        <v>2193</v>
      </c>
      <c r="J1656" s="515" t="str">
        <f>IFERROR(1-H1653/H1652,"")</f>
        <v/>
      </c>
      <c r="K1656" s="580"/>
      <c r="L1656" s="580"/>
      <c r="M1656" s="580"/>
      <c r="N1656" s="580"/>
      <c r="O1656" s="580"/>
      <c r="P1656" s="615" t="s">
        <v>417</v>
      </c>
      <c r="Q1656" s="616">
        <f>IFERROR(MAX(H1654-I1657-Q1657,0),0)</f>
        <v>0</v>
      </c>
      <c r="R1656" s="596"/>
      <c r="S1656" s="600"/>
      <c r="T1656" s="599">
        <f>G1629</f>
        <v>0</v>
      </c>
      <c r="U1656" s="578"/>
      <c r="V1656" s="579"/>
      <c r="W1656" s="579">
        <f t="shared" si="234"/>
        <v>0</v>
      </c>
      <c r="X1656" s="579"/>
      <c r="Y1656" s="879"/>
      <c r="Z1656" s="106"/>
      <c r="AC1656" s="504"/>
      <c r="AD1656" s="505"/>
      <c r="BO1656" s="86"/>
    </row>
    <row r="1657" spans="1:67" ht="17.25" thickBot="1" x14ac:dyDescent="0.3">
      <c r="A1657" s="520">
        <f>IFERROR(VLOOKUP($G$5,'רשימת רשויות'!A:C,3,0),0)</f>
        <v>0</v>
      </c>
      <c r="B1657" s="520">
        <f t="shared" si="231"/>
        <v>0</v>
      </c>
      <c r="D1657" s="1134"/>
      <c r="E1657" s="1137"/>
      <c r="F1657" s="1143" t="s">
        <v>2679</v>
      </c>
      <c r="G1657" s="1143"/>
      <c r="H1657" s="1143"/>
      <c r="I1657" s="722">
        <f>IF(G1634="לא תקין","לא קיימת זכאות לתקציב לאור אי איוש משרות רכז ו/או סגן רכז ",IFERROR(J1656*(J1655+J1652),0))</f>
        <v>0</v>
      </c>
      <c r="J1657" s="573"/>
      <c r="K1657" s="574"/>
      <c r="L1657" s="396"/>
      <c r="M1657" s="574"/>
      <c r="N1657" s="574"/>
      <c r="O1657" s="574"/>
      <c r="P1657" s="615" t="s">
        <v>2279</v>
      </c>
      <c r="Q1657" s="616">
        <f>MAX(IF(AND(G1652&gt;H1652,I1657&lt;H1654),H1654-I1657,0),0)</f>
        <v>0</v>
      </c>
      <c r="R1657" s="575"/>
      <c r="S1657" s="576" t="s">
        <v>67</v>
      </c>
      <c r="T1657" s="577">
        <f>G1629</f>
        <v>0</v>
      </c>
      <c r="U1657" s="578"/>
      <c r="V1657" s="579">
        <f>I1657</f>
        <v>0</v>
      </c>
      <c r="W1657" s="579">
        <f>IFERROR(U1657-V1657,0)</f>
        <v>0</v>
      </c>
      <c r="X1657" s="579">
        <f>SUM(X1643:X1656)</f>
        <v>0</v>
      </c>
      <c r="Y1657" s="879"/>
      <c r="Z1657" s="106"/>
      <c r="AC1657" s="506">
        <v>0</v>
      </c>
      <c r="AD1657" s="507">
        <f>IFERROR(U1657-AC1657,0)</f>
        <v>0</v>
      </c>
      <c r="BO1657" s="86"/>
    </row>
    <row r="1658" spans="1:67" ht="16.5" thickBot="1" x14ac:dyDescent="0.3">
      <c r="A1658" s="520">
        <f>IFERROR(VLOOKUP($G$5,'רשימת רשויות'!A:C,3,0),0)</f>
        <v>0</v>
      </c>
      <c r="B1658" s="520">
        <f t="shared" si="231"/>
        <v>0</v>
      </c>
      <c r="D1658" s="1135"/>
      <c r="E1658" s="1138"/>
      <c r="F1658" s="1144" t="s">
        <v>2793</v>
      </c>
      <c r="G1658" s="1145"/>
      <c r="H1658" s="1145"/>
      <c r="I1658" s="593">
        <f>IFERROR(IF(G1634="תקין",SUMIFS('סייעות רפואיות או אישיות (7)'!$Q$17:Q$384,'סייעות רפואיות או אישיות (7)'!C$17:C$384,G1629),0),0)</f>
        <v>0</v>
      </c>
      <c r="J1658" s="151"/>
      <c r="K1658" s="152"/>
      <c r="L1658" s="409"/>
      <c r="M1658" s="152"/>
      <c r="N1658" s="152"/>
      <c r="O1658" s="152"/>
      <c r="P1658" s="613"/>
      <c r="Q1658" s="614"/>
      <c r="R1658" s="475"/>
      <c r="S1658" s="489"/>
      <c r="T1658" s="490"/>
      <c r="U1658" s="491"/>
      <c r="V1658" s="492"/>
      <c r="W1658" s="492"/>
      <c r="X1658" s="492"/>
      <c r="Y1658" s="880"/>
      <c r="Z1658" s="153"/>
      <c r="AC1658" s="581"/>
      <c r="AD1658" s="582"/>
      <c r="BO1658" s="86"/>
    </row>
    <row r="1659" spans="1:67" ht="34.5" thickBot="1" x14ac:dyDescent="0.55000000000000004">
      <c r="A1659" s="520">
        <f>IFERROR(VLOOKUP($G$5,'רשימת רשויות'!A:C,3,0),0)</f>
        <v>0</v>
      </c>
      <c r="B1659" s="520">
        <f t="shared" si="231"/>
        <v>0</v>
      </c>
      <c r="E1659" s="154"/>
      <c r="I1659" s="143"/>
      <c r="J1659" s="148"/>
      <c r="O1659" s="148"/>
      <c r="T1659" s="481"/>
      <c r="BO1659" s="86"/>
    </row>
    <row r="1660" spans="1:67" s="20" customFormat="1" ht="16.5" customHeight="1" thickBot="1" x14ac:dyDescent="0.3">
      <c r="A1660" s="520">
        <f>IFERROR(VLOOKUP($G$5,'רשימת רשויות'!A:C,3,0),0)</f>
        <v>0</v>
      </c>
      <c r="B1660" s="520">
        <f t="shared" si="231"/>
        <v>0</v>
      </c>
      <c r="C1660" s="39"/>
      <c r="D1660" s="1133">
        <f>D1629+1</f>
        <v>54</v>
      </c>
      <c r="E1660" s="1136" t="str">
        <f>IFERROR(CONCATENATE("בית הספר ",VLOOKUP(G1660,'מצבת והרשמה (2)'!$C$21:$D$520,2,0)," - ",$G$5),"")</f>
        <v>בית הספר המוסד לא קיים - 0</v>
      </c>
      <c r="F1660" s="720" t="s">
        <v>146</v>
      </c>
      <c r="G1660" s="721">
        <f>IFERROR(VLOOKUP(D:D,'דוח ביצוע (3)'!$A$21:$C$900,2,0),0)</f>
        <v>0</v>
      </c>
      <c r="H1660" s="79"/>
      <c r="I1660" s="80" t="s">
        <v>150</v>
      </c>
      <c r="J1660" s="80"/>
      <c r="K1660" s="81"/>
      <c r="L1660" s="392"/>
      <c r="M1660" s="392"/>
      <c r="N1660" s="392"/>
      <c r="O1660" s="82"/>
      <c r="P1660" s="470"/>
      <c r="Q1660" s="471"/>
      <c r="R1660" s="472"/>
      <c r="S1660" s="883"/>
      <c r="T1660" s="884"/>
      <c r="U1660" s="486"/>
      <c r="V1660" s="487"/>
      <c r="W1660" s="487"/>
      <c r="X1660" s="487"/>
      <c r="Y1660" s="885"/>
      <c r="Z1660" s="83"/>
      <c r="AC1660" s="502"/>
      <c r="AD1660" s="503"/>
      <c r="AO1660" s="22"/>
      <c r="AP1660" s="22"/>
      <c r="AQ1660" s="22"/>
      <c r="AR1660" s="22"/>
      <c r="AS1660" s="22"/>
      <c r="AT1660" s="22"/>
      <c r="AU1660" s="35"/>
      <c r="AV1660" s="35"/>
      <c r="AW1660" s="35"/>
      <c r="AX1660" s="35"/>
      <c r="AY1660" s="35"/>
      <c r="AZ1660" s="35"/>
      <c r="BA1660" s="35"/>
      <c r="BB1660" s="35"/>
      <c r="BC1660" s="35"/>
      <c r="BD1660" s="35"/>
      <c r="BE1660" s="35"/>
      <c r="BF1660" s="35"/>
      <c r="BG1660" s="35"/>
      <c r="BH1660" s="35"/>
      <c r="BI1660" s="35"/>
      <c r="BJ1660" s="35"/>
      <c r="BK1660" s="35"/>
      <c r="BL1660" s="35"/>
      <c r="BM1660" s="35"/>
      <c r="BN1660" s="35"/>
      <c r="BO1660" s="78"/>
    </row>
    <row r="1661" spans="1:67" s="20" customFormat="1" ht="16.5" thickBot="1" x14ac:dyDescent="0.3">
      <c r="A1661" s="520">
        <f>IFERROR(VLOOKUP($G$5,'רשימת רשויות'!A:C,3,0),0)</f>
        <v>0</v>
      </c>
      <c r="B1661" s="520">
        <f t="shared" si="231"/>
        <v>0</v>
      </c>
      <c r="C1661" s="39"/>
      <c r="D1661" s="1134"/>
      <c r="E1661" s="1137"/>
      <c r="F1661" s="583" t="s">
        <v>145</v>
      </c>
      <c r="G1661" s="516" t="str">
        <f>IFERROR(IF((G1663+G1664)=0,"",IF(VLOOKUP(G1660,'דוח ביצוע (3)'!$B$21:$K$900,5,0)&gt;149,"גדול",IF(AND(VLOOKUP(G1660,'דוח ביצוע (3)'!$B$21:$K$900,5,0)&gt;0,VLOOKUP(G1660,'דוח ביצוע (3)'!$B$21:$K$900,5,0)&lt;150),"קטן",0))),"")</f>
        <v/>
      </c>
      <c r="H1661" s="723" t="s">
        <v>88</v>
      </c>
      <c r="I1661" s="723" t="s">
        <v>13</v>
      </c>
      <c r="J1661" s="725" t="s">
        <v>14</v>
      </c>
      <c r="K1661" s="724" t="s">
        <v>94</v>
      </c>
      <c r="L1661" s="594"/>
      <c r="M1661" s="420" t="s">
        <v>2584</v>
      </c>
      <c r="N1661" s="397" t="s">
        <v>413</v>
      </c>
      <c r="O1661" s="398" t="s">
        <v>52</v>
      </c>
      <c r="P1661" s="595"/>
      <c r="Q1661" s="595"/>
      <c r="R1661" s="596"/>
      <c r="S1661" s="610"/>
      <c r="T1661" s="881"/>
      <c r="U1661" s="598"/>
      <c r="V1661" s="599"/>
      <c r="W1661" s="599"/>
      <c r="X1661" s="599"/>
      <c r="Y1661" s="879"/>
      <c r="Z1661" s="85"/>
      <c r="AC1661" s="493"/>
      <c r="AD1661" s="495"/>
      <c r="AO1661" s="22"/>
      <c r="AP1661" s="22"/>
      <c r="AQ1661" s="22"/>
      <c r="AR1661" s="22"/>
      <c r="AS1661" s="22"/>
      <c r="AT1661" s="22"/>
      <c r="AU1661" s="35"/>
      <c r="AV1661" s="35"/>
      <c r="AW1661" s="35"/>
      <c r="AX1661" s="35"/>
      <c r="AY1661" s="35"/>
      <c r="AZ1661" s="35"/>
      <c r="BA1661" s="35"/>
      <c r="BB1661" s="35"/>
      <c r="BC1661" s="35"/>
      <c r="BD1661" s="35"/>
      <c r="BE1661" s="35"/>
      <c r="BF1661" s="35"/>
      <c r="BG1661" s="35"/>
      <c r="BH1661" s="35"/>
      <c r="BI1661" s="35"/>
      <c r="BJ1661" s="35"/>
      <c r="BK1661" s="35"/>
      <c r="BL1661" s="35"/>
      <c r="BM1661" s="35"/>
      <c r="BN1661" s="35"/>
      <c r="BO1661" s="78"/>
    </row>
    <row r="1662" spans="1:67" s="20" customFormat="1" ht="15.75" customHeight="1" thickBot="1" x14ac:dyDescent="0.3">
      <c r="A1662" s="520">
        <f>IFERROR(VLOOKUP($G$5,'רשימת רשויות'!A:C,3,0),0)</f>
        <v>0</v>
      </c>
      <c r="B1662" s="520">
        <f t="shared" si="231"/>
        <v>0</v>
      </c>
      <c r="C1662" s="39"/>
      <c r="D1662" s="1134"/>
      <c r="E1662" s="1137"/>
      <c r="F1662" s="584" t="s">
        <v>144</v>
      </c>
      <c r="G1662" s="87">
        <f>IF(G1665="תקין",IFERROR(VLOOKUP($G1660,'דוח ביצוע (3)'!$B$21:$Q$900,12,0),0),0)</f>
        <v>0</v>
      </c>
      <c r="H1662" s="88">
        <f>IFERROR(G1663*$AH$6+G1664*$AH$7,0)</f>
        <v>0</v>
      </c>
      <c r="I1662" s="88">
        <f>IFERROR(G1663*$AI$6+G1664*$AI$7,0)</f>
        <v>0</v>
      </c>
      <c r="J1662" s="88">
        <f>IFERROR(G1663*$AJ$6+G1664*$AJ$7,0)</f>
        <v>0</v>
      </c>
      <c r="K1662" s="88">
        <f>IFERROR(G1663*$AK$6+G1664*$AK$7,0)</f>
        <v>0</v>
      </c>
      <c r="L1662" s="405"/>
      <c r="M1662" s="399" t="s">
        <v>427</v>
      </c>
      <c r="N1662" s="400" t="str">
        <f>IFERROR(VLOOKUP($G1660,'דוח ביצוע (3)'!$B:$AE,28,0),"")</f>
        <v/>
      </c>
      <c r="O1662" s="89" t="str">
        <f>IFERROR(VLOOKUP($G1660,'דוח ביצוע (3)'!B:AE,29,0),"")</f>
        <v/>
      </c>
      <c r="P1662" s="595"/>
      <c r="Q1662" s="595"/>
      <c r="R1662" s="596"/>
      <c r="S1662" s="610"/>
      <c r="T1662" s="881"/>
      <c r="U1662" s="598"/>
      <c r="V1662" s="599"/>
      <c r="W1662" s="599"/>
      <c r="X1662" s="599"/>
      <c r="Y1662" s="879"/>
      <c r="Z1662" s="85"/>
      <c r="AC1662" s="493"/>
      <c r="AD1662" s="495"/>
      <c r="AO1662" s="22"/>
      <c r="AP1662" s="22"/>
      <c r="AQ1662" s="22"/>
      <c r="AR1662" s="22"/>
      <c r="AS1662" s="22"/>
      <c r="AT1662" s="22"/>
      <c r="AU1662" s="35"/>
      <c r="AV1662" s="35"/>
      <c r="AW1662" s="35"/>
      <c r="AX1662" s="35"/>
      <c r="AY1662" s="35"/>
      <c r="AZ1662" s="35"/>
      <c r="BA1662" s="35"/>
      <c r="BB1662" s="35"/>
      <c r="BC1662" s="35"/>
      <c r="BD1662" s="35"/>
      <c r="BE1662" s="35"/>
      <c r="BF1662" s="35"/>
      <c r="BG1662" s="35"/>
      <c r="BH1662" s="35"/>
      <c r="BI1662" s="35"/>
      <c r="BJ1662" s="35"/>
      <c r="BK1662" s="35"/>
      <c r="BL1662" s="35"/>
      <c r="BM1662" s="35"/>
      <c r="BN1662" s="35"/>
      <c r="BO1662" s="78"/>
    </row>
    <row r="1663" spans="1:67" s="20" customFormat="1" ht="32.25" thickBot="1" x14ac:dyDescent="0.3">
      <c r="A1663" s="520">
        <f>IFERROR(VLOOKUP($G$5,'רשימת רשויות'!A:C,3,0),0)</f>
        <v>0</v>
      </c>
      <c r="B1663" s="520">
        <f t="shared" si="231"/>
        <v>0</v>
      </c>
      <c r="C1663" s="39"/>
      <c r="D1663" s="1134"/>
      <c r="E1663" s="1137"/>
      <c r="F1663" s="585" t="s">
        <v>2195</v>
      </c>
      <c r="G1663" s="89">
        <f>IF(G1665="תקין",MAX(N1665,0),0)</f>
        <v>0</v>
      </c>
      <c r="H1663" s="725" t="s">
        <v>151</v>
      </c>
      <c r="I1663" s="725" t="s">
        <v>91</v>
      </c>
      <c r="J1663" s="970" t="s">
        <v>3396</v>
      </c>
      <c r="K1663" s="601"/>
      <c r="L1663" s="601"/>
      <c r="M1663" s="983" t="s">
        <v>2585</v>
      </c>
      <c r="N1663" s="400" t="str">
        <f>IFERROR(G1662/15*N1662*1.25,"")</f>
        <v/>
      </c>
      <c r="O1663" s="89" t="str">
        <f>IFERROR(G1662/15*O1662*1.25,"")</f>
        <v/>
      </c>
      <c r="P1663" s="595"/>
      <c r="Q1663" s="595"/>
      <c r="R1663" s="596"/>
      <c r="S1663" s="610"/>
      <c r="T1663" s="881"/>
      <c r="U1663" s="598"/>
      <c r="V1663" s="599"/>
      <c r="W1663" s="599"/>
      <c r="X1663" s="599"/>
      <c r="Y1663" s="879"/>
      <c r="Z1663" s="85"/>
      <c r="AC1663" s="493"/>
      <c r="AD1663" s="495"/>
      <c r="AG1663" s="22"/>
      <c r="AH1663" s="55"/>
      <c r="AI1663" s="55"/>
      <c r="AJ1663" s="55"/>
      <c r="AK1663" s="55"/>
      <c r="AO1663" s="22"/>
      <c r="AP1663" s="22"/>
      <c r="AQ1663" s="22"/>
      <c r="AR1663" s="22"/>
      <c r="AS1663" s="22"/>
      <c r="AT1663" s="22"/>
      <c r="AU1663" s="35"/>
      <c r="AV1663" s="35"/>
      <c r="AW1663" s="35"/>
      <c r="AX1663" s="35"/>
      <c r="AY1663" s="35"/>
      <c r="AZ1663" s="35"/>
      <c r="BA1663" s="35"/>
      <c r="BB1663" s="35"/>
      <c r="BC1663" s="35"/>
      <c r="BD1663" s="35"/>
      <c r="BE1663" s="35"/>
      <c r="BF1663" s="35"/>
      <c r="BG1663" s="35"/>
      <c r="BH1663" s="35"/>
      <c r="BI1663" s="35"/>
      <c r="BJ1663" s="35"/>
      <c r="BK1663" s="35"/>
      <c r="BL1663" s="35"/>
      <c r="BM1663" s="35"/>
      <c r="BN1663" s="35"/>
      <c r="BO1663" s="86"/>
    </row>
    <row r="1664" spans="1:67" s="20" customFormat="1" ht="16.5" thickBot="1" x14ac:dyDescent="0.3">
      <c r="A1664" s="520">
        <f>IFERROR(VLOOKUP($G$5,'רשימת רשויות'!A:C,3,0),0)</f>
        <v>0</v>
      </c>
      <c r="B1664" s="520">
        <f t="shared" si="231"/>
        <v>0</v>
      </c>
      <c r="C1664" s="39"/>
      <c r="D1664" s="1134"/>
      <c r="E1664" s="1137"/>
      <c r="F1664" s="585" t="s">
        <v>2196</v>
      </c>
      <c r="G1664" s="89">
        <f>IF(G1665="תקין",MAX(O1665,0),0)</f>
        <v>0</v>
      </c>
      <c r="H1664" s="88">
        <f>(IFERROR(IF((G1663+G1664)=0,0,IF(G1661="קטן",G1662*$AH$10,G1662*$AH$11)),0))+(IFERROR(IF((G1663+G1664)=0,0,VLOOKUP(G1660,'דוח ביצוע (3)'!$B:$AH,33,0)),0))</f>
        <v>0</v>
      </c>
      <c r="I1664" s="88">
        <f>IFERROR(IF((G1663+G1664)=0,0,IF(G1661="קטן",G1662*$AI$10,G1662*$AI$11)),0)</f>
        <v>0</v>
      </c>
      <c r="J1664" s="88">
        <f>IFERROR(IF((G1663+G1664)=0,0,VLOOKUP(G1660,'דוח ביצוע (3)'!$B:$AH,32,0)),0)</f>
        <v>0</v>
      </c>
      <c r="K1664" s="90"/>
      <c r="L1664" s="90"/>
      <c r="M1664" s="399" t="s">
        <v>412</v>
      </c>
      <c r="N1664" s="400">
        <f>IFERROR(VLOOKUP($G1660,'דוח ביצוע (3)'!$B$21:$U$500,18,0),0)</f>
        <v>0</v>
      </c>
      <c r="O1664" s="401">
        <f>IFERROR(VLOOKUP($G1660,'דוח ביצוע (3)'!$B$21:$U$500,19,0),0)</f>
        <v>0</v>
      </c>
      <c r="P1664" s="595"/>
      <c r="Q1664" s="595"/>
      <c r="R1664" s="596"/>
      <c r="S1664" s="610"/>
      <c r="T1664" s="881"/>
      <c r="U1664" s="598"/>
      <c r="V1664" s="599"/>
      <c r="W1664" s="599"/>
      <c r="X1664" s="599"/>
      <c r="Y1664" s="879"/>
      <c r="Z1664" s="85"/>
      <c r="AC1664" s="493"/>
      <c r="AD1664" s="495"/>
      <c r="AG1664" s="22"/>
      <c r="AH1664" s="55"/>
      <c r="AI1664" s="55"/>
      <c r="AJ1664" s="55"/>
      <c r="AK1664" s="55"/>
      <c r="AO1664" s="22"/>
      <c r="AP1664" s="22"/>
      <c r="AQ1664" s="22"/>
      <c r="AR1664" s="22"/>
      <c r="AS1664" s="22"/>
      <c r="AT1664" s="22"/>
      <c r="AU1664" s="35"/>
      <c r="AV1664" s="35"/>
      <c r="AW1664" s="35"/>
      <c r="AX1664" s="35"/>
      <c r="AY1664" s="35"/>
      <c r="AZ1664" s="35"/>
      <c r="BA1664" s="35"/>
      <c r="BB1664" s="35"/>
      <c r="BC1664" s="35"/>
      <c r="BD1664" s="35"/>
      <c r="BE1664" s="35"/>
      <c r="BF1664" s="35"/>
      <c r="BG1664" s="35"/>
      <c r="BH1664" s="35"/>
      <c r="BI1664" s="35"/>
      <c r="BJ1664" s="35"/>
      <c r="BK1664" s="35"/>
      <c r="BL1664" s="35"/>
      <c r="BM1664" s="35"/>
      <c r="BN1664" s="35"/>
      <c r="BO1664" s="86"/>
    </row>
    <row r="1665" spans="1:67" s="20" customFormat="1" ht="16.5" thickBot="1" x14ac:dyDescent="0.3">
      <c r="A1665" s="520">
        <f>IFERROR(VLOOKUP($G$5,'רשימת רשויות'!A:C,3,0),0)</f>
        <v>0</v>
      </c>
      <c r="B1665" s="520">
        <f t="shared" si="231"/>
        <v>0</v>
      </c>
      <c r="C1665" s="39"/>
      <c r="D1665" s="1134"/>
      <c r="E1665" s="1137"/>
      <c r="F1665" s="586" t="s">
        <v>2355</v>
      </c>
      <c r="G1665" s="514">
        <f>IFERROR(IF(VLOOKUP('בית ספר - תקצוב לפי מוסד (9)'!G1660,' איוש משרות (8)'!$C:$K,9,0)="תקין","תקין","לא תקין"),0)</f>
        <v>0</v>
      </c>
      <c r="H1665" s="91"/>
      <c r="I1665" s="91"/>
      <c r="J1665" s="91"/>
      <c r="K1665" s="90"/>
      <c r="L1665" s="90"/>
      <c r="M1665" s="402" t="s">
        <v>2586</v>
      </c>
      <c r="N1665" s="403">
        <f>IFERROR(MIN(N1663,N1664),0)</f>
        <v>0</v>
      </c>
      <c r="O1665" s="404">
        <f>IFERROR(MIN(O1663,O1664),0)</f>
        <v>0</v>
      </c>
      <c r="P1665" s="595"/>
      <c r="Q1665" s="595"/>
      <c r="R1665" s="596"/>
      <c r="S1665" s="610"/>
      <c r="T1665" s="881"/>
      <c r="U1665" s="598"/>
      <c r="V1665" s="599"/>
      <c r="W1665" s="599"/>
      <c r="X1665" s="599"/>
      <c r="Y1665" s="879"/>
      <c r="Z1665" s="85"/>
      <c r="AC1665" s="493"/>
      <c r="AD1665" s="495"/>
      <c r="AG1665" s="94"/>
      <c r="AH1665" s="40"/>
      <c r="AI1665" s="40"/>
      <c r="AJ1665" s="40"/>
      <c r="AK1665" s="40"/>
      <c r="AO1665" s="22"/>
      <c r="AP1665" s="22"/>
      <c r="AQ1665" s="22"/>
      <c r="AR1665" s="22"/>
      <c r="AS1665" s="22"/>
      <c r="AT1665" s="22"/>
      <c r="AU1665" s="35"/>
      <c r="AV1665" s="35"/>
      <c r="AW1665" s="35"/>
      <c r="AX1665" s="35"/>
      <c r="AY1665" s="35"/>
      <c r="AZ1665" s="35"/>
      <c r="BA1665" s="35"/>
      <c r="BB1665" s="35"/>
      <c r="BC1665" s="35"/>
      <c r="BD1665" s="35"/>
      <c r="BE1665" s="35"/>
      <c r="BF1665" s="35"/>
      <c r="BG1665" s="35"/>
      <c r="BH1665" s="35"/>
      <c r="BI1665" s="35"/>
      <c r="BJ1665" s="35"/>
      <c r="BK1665" s="35"/>
      <c r="BL1665" s="35"/>
      <c r="BM1665" s="35"/>
      <c r="BN1665" s="35"/>
      <c r="BO1665" s="86"/>
    </row>
    <row r="1666" spans="1:67" s="55" customFormat="1" ht="37.15" customHeight="1" thickBot="1" x14ac:dyDescent="0.3">
      <c r="A1666" s="520">
        <f>IFERROR(VLOOKUP($G$5,'רשימת רשויות'!A:C,3,0),0)</f>
        <v>0</v>
      </c>
      <c r="B1666" s="520">
        <f t="shared" si="231"/>
        <v>0</v>
      </c>
      <c r="C1666" s="39"/>
      <c r="D1666" s="1134"/>
      <c r="E1666" s="1137"/>
      <c r="F1666" s="587" t="s">
        <v>142</v>
      </c>
      <c r="G1666" s="92"/>
      <c r="H1666" s="92"/>
      <c r="I1666" s="92"/>
      <c r="J1666" s="92"/>
      <c r="K1666" s="602"/>
      <c r="L1666" s="602"/>
      <c r="M1666" s="602"/>
      <c r="N1666" s="602"/>
      <c r="O1666" s="602"/>
      <c r="P1666" s="595"/>
      <c r="Q1666" s="595"/>
      <c r="R1666" s="596"/>
      <c r="S1666" s="610"/>
      <c r="T1666" s="881"/>
      <c r="U1666" s="598"/>
      <c r="V1666" s="599"/>
      <c r="W1666" s="599"/>
      <c r="X1666" s="599"/>
      <c r="Y1666" s="879"/>
      <c r="Z1666" s="93"/>
      <c r="AC1666" s="493"/>
      <c r="AD1666" s="495"/>
      <c r="AF1666" s="22"/>
      <c r="AG1666" s="98"/>
      <c r="AH1666" s="98"/>
      <c r="AI1666" s="40"/>
      <c r="AJ1666" s="40"/>
      <c r="AK1666" s="40"/>
      <c r="AO1666" s="22"/>
      <c r="AP1666" s="22"/>
      <c r="AQ1666" s="22"/>
      <c r="AR1666" s="22"/>
      <c r="AS1666" s="22"/>
      <c r="AT1666" s="22"/>
      <c r="AU1666" s="35"/>
      <c r="AV1666" s="35"/>
      <c r="AW1666" s="35"/>
      <c r="AX1666" s="35"/>
      <c r="AY1666" s="35"/>
      <c r="AZ1666" s="35"/>
      <c r="BA1666" s="35"/>
      <c r="BB1666" s="35"/>
      <c r="BC1666" s="35"/>
      <c r="BD1666" s="35"/>
      <c r="BE1666" s="35"/>
      <c r="BF1666" s="35"/>
      <c r="BG1666" s="35"/>
      <c r="BH1666" s="35"/>
      <c r="BI1666" s="35"/>
      <c r="BJ1666" s="35"/>
      <c r="BK1666" s="35"/>
      <c r="BL1666" s="35"/>
      <c r="BM1666" s="35"/>
      <c r="BN1666" s="35"/>
      <c r="BO1666" s="86"/>
    </row>
    <row r="1667" spans="1:67" s="40" customFormat="1" ht="31.5" x14ac:dyDescent="0.25">
      <c r="A1667" s="520">
        <f>IFERROR(VLOOKUP($G$5,'רשימת רשויות'!A:C,3,0),0)</f>
        <v>0</v>
      </c>
      <c r="B1667" s="520">
        <f t="shared" si="231"/>
        <v>0</v>
      </c>
      <c r="C1667" s="39"/>
      <c r="D1667" s="1134"/>
      <c r="E1667" s="1137"/>
      <c r="F1667" s="588" t="s">
        <v>94</v>
      </c>
      <c r="G1667" s="95" t="s">
        <v>18</v>
      </c>
      <c r="H1667" s="95" t="s">
        <v>19</v>
      </c>
      <c r="I1667" s="95" t="s">
        <v>138</v>
      </c>
      <c r="J1667" s="96" t="s">
        <v>139</v>
      </c>
      <c r="K1667" s="603"/>
      <c r="L1667" s="603"/>
      <c r="M1667" s="603"/>
      <c r="N1667" s="603"/>
      <c r="O1667" s="603"/>
      <c r="P1667" s="604"/>
      <c r="Q1667" s="604"/>
      <c r="R1667" s="596"/>
      <c r="S1667" s="610"/>
      <c r="T1667" s="881"/>
      <c r="U1667" s="598"/>
      <c r="V1667" s="599"/>
      <c r="W1667" s="599"/>
      <c r="X1667" s="599"/>
      <c r="Y1667" s="879"/>
      <c r="Z1667" s="97"/>
      <c r="AA1667" s="94"/>
      <c r="AB1667" s="94"/>
      <c r="AC1667" s="493"/>
      <c r="AD1667" s="495"/>
      <c r="AE1667" s="94"/>
      <c r="AG1667" s="98"/>
      <c r="AH1667" s="98"/>
      <c r="AO1667" s="22"/>
      <c r="AP1667" s="22"/>
      <c r="AQ1667" s="22"/>
      <c r="AR1667" s="22"/>
      <c r="AS1667" s="22"/>
      <c r="AT1667" s="22"/>
      <c r="AU1667" s="35"/>
      <c r="AV1667" s="35"/>
      <c r="AW1667" s="35"/>
      <c r="AX1667" s="35"/>
      <c r="AY1667" s="35"/>
      <c r="AZ1667" s="35"/>
      <c r="BA1667" s="35"/>
      <c r="BB1667" s="35"/>
      <c r="BC1667" s="35"/>
      <c r="BD1667" s="35"/>
      <c r="BE1667" s="35"/>
      <c r="BF1667" s="35"/>
      <c r="BG1667" s="35"/>
      <c r="BH1667" s="35"/>
      <c r="BI1667" s="35"/>
      <c r="BJ1667" s="35"/>
      <c r="BK1667" s="35"/>
      <c r="BL1667" s="35"/>
      <c r="BM1667" s="35"/>
      <c r="BN1667" s="35"/>
      <c r="BO1667" s="86"/>
    </row>
    <row r="1668" spans="1:67" s="40" customFormat="1" ht="15.75" customHeight="1" thickBot="1" x14ac:dyDescent="0.3">
      <c r="A1668" s="520">
        <f>IFERROR(VLOOKUP($G$5,'רשימת רשויות'!A:C,3,0),0)</f>
        <v>0</v>
      </c>
      <c r="B1668" s="520">
        <f t="shared" si="231"/>
        <v>0</v>
      </c>
      <c r="C1668" s="39"/>
      <c r="D1668" s="1134"/>
      <c r="E1668" s="1137"/>
      <c r="F1668" s="589" t="s">
        <v>2280</v>
      </c>
      <c r="G1668" s="99">
        <f>+G1679</f>
        <v>0</v>
      </c>
      <c r="H1668" s="100">
        <f>K1662</f>
        <v>0</v>
      </c>
      <c r="I1668" s="100">
        <f>H1668-I1670</f>
        <v>0</v>
      </c>
      <c r="J1668" s="101">
        <f>IFERROR(I1668/H1668,0)</f>
        <v>0</v>
      </c>
      <c r="K1668" s="603"/>
      <c r="L1668" s="603"/>
      <c r="M1668" s="603"/>
      <c r="N1668" s="603"/>
      <c r="O1668" s="603"/>
      <c r="P1668" s="605"/>
      <c r="Q1668" s="604"/>
      <c r="R1668" s="606" t="s">
        <v>157</v>
      </c>
      <c r="S1668" s="611"/>
      <c r="T1668" s="881"/>
      <c r="U1668" s="598"/>
      <c r="V1668" s="599"/>
      <c r="W1668" s="599"/>
      <c r="X1668" s="599"/>
      <c r="Y1668" s="879"/>
      <c r="Z1668" s="102"/>
      <c r="AA1668" s="122"/>
      <c r="AB1668" s="122"/>
      <c r="AC1668" s="493"/>
      <c r="AD1668" s="495"/>
      <c r="AE1668" s="122"/>
      <c r="AF1668" s="22"/>
      <c r="AG1668" s="98"/>
      <c r="AH1668" s="98"/>
      <c r="AI1668" s="20"/>
      <c r="AO1668" s="22"/>
      <c r="AP1668" s="22"/>
      <c r="AQ1668" s="22"/>
      <c r="AR1668" s="22"/>
      <c r="AS1668" s="22"/>
      <c r="AT1668" s="22"/>
      <c r="AU1668" s="35"/>
      <c r="AV1668" s="35"/>
      <c r="AW1668" s="35"/>
      <c r="AX1668" s="35"/>
      <c r="AY1668" s="35"/>
      <c r="AZ1668" s="35"/>
      <c r="BA1668" s="35"/>
      <c r="BB1668" s="35"/>
      <c r="BC1668" s="35"/>
      <c r="BD1668" s="35"/>
      <c r="BE1668" s="35"/>
      <c r="BF1668" s="35"/>
      <c r="BG1668" s="35"/>
      <c r="BH1668" s="35"/>
      <c r="BI1668" s="35"/>
      <c r="BJ1668" s="35"/>
      <c r="BK1668" s="35"/>
      <c r="BL1668" s="35"/>
      <c r="BM1668" s="35"/>
      <c r="BN1668" s="35"/>
      <c r="BO1668" s="86"/>
    </row>
    <row r="1669" spans="1:67" s="40" customFormat="1" ht="15.75" customHeight="1" thickBot="1" x14ac:dyDescent="0.3">
      <c r="A1669" s="520">
        <f>IFERROR(VLOOKUP($G$5,'רשימת רשויות'!A:C,3,0),0)</f>
        <v>0</v>
      </c>
      <c r="B1669" s="520">
        <f t="shared" si="231"/>
        <v>0</v>
      </c>
      <c r="C1669" s="39"/>
      <c r="D1669" s="1134"/>
      <c r="E1669" s="1137"/>
      <c r="F1669" s="589" t="s">
        <v>2281</v>
      </c>
      <c r="G1669" s="99">
        <f>+G1678</f>
        <v>0</v>
      </c>
      <c r="H1669" s="103"/>
      <c r="I1669" s="104"/>
      <c r="J1669" s="105"/>
      <c r="K1669" s="603"/>
      <c r="L1669" s="603"/>
      <c r="M1669" s="603"/>
      <c r="N1669" s="603"/>
      <c r="O1669" s="603"/>
      <c r="P1669" s="605"/>
      <c r="Q1669" s="604"/>
      <c r="R1669" s="473">
        <f>I1670-R1671</f>
        <v>0</v>
      </c>
      <c r="S1669" s="611"/>
      <c r="T1669" s="881"/>
      <c r="U1669" s="598"/>
      <c r="V1669" s="599"/>
      <c r="W1669" s="599"/>
      <c r="X1669" s="599"/>
      <c r="Y1669" s="879"/>
      <c r="Z1669" s="106"/>
      <c r="AA1669" s="22"/>
      <c r="AB1669" s="22"/>
      <c r="AC1669" s="493"/>
      <c r="AD1669" s="495"/>
      <c r="AE1669" s="22"/>
      <c r="AF1669" s="22"/>
      <c r="AG1669" s="98"/>
      <c r="AH1669" s="98"/>
      <c r="AI1669" s="20"/>
      <c r="AO1669" s="22"/>
      <c r="AP1669" s="22"/>
      <c r="AQ1669" s="22"/>
      <c r="AR1669" s="22"/>
      <c r="AS1669" s="22"/>
      <c r="AT1669" s="22"/>
      <c r="AU1669" s="35"/>
      <c r="AV1669" s="35"/>
      <c r="AW1669" s="35"/>
      <c r="AX1669" s="35"/>
      <c r="AY1669" s="35"/>
      <c r="AZ1669" s="35"/>
      <c r="BA1669" s="35"/>
      <c r="BB1669" s="35"/>
      <c r="BC1669" s="35"/>
      <c r="BD1669" s="35"/>
      <c r="BE1669" s="35"/>
      <c r="BF1669" s="35"/>
      <c r="BG1669" s="35"/>
      <c r="BH1669" s="35"/>
      <c r="BI1669" s="35"/>
      <c r="BJ1669" s="35"/>
      <c r="BK1669" s="35"/>
      <c r="BL1669" s="35"/>
      <c r="BM1669" s="35"/>
      <c r="BN1669" s="35"/>
      <c r="BO1669" s="86"/>
    </row>
    <row r="1670" spans="1:67" s="40" customFormat="1" ht="16.5" customHeight="1" thickBot="1" x14ac:dyDescent="0.3">
      <c r="A1670" s="520">
        <f>IFERROR(VLOOKUP($G$5,'רשימת רשויות'!A:C,3,0),0)</f>
        <v>0</v>
      </c>
      <c r="B1670" s="520">
        <f t="shared" si="231"/>
        <v>0</v>
      </c>
      <c r="C1670" s="39"/>
      <c r="D1670" s="1134"/>
      <c r="E1670" s="1137"/>
      <c r="F1670" s="589" t="s">
        <v>2282</v>
      </c>
      <c r="G1670" s="99">
        <f>G1674+G1675+G1676</f>
        <v>0</v>
      </c>
      <c r="H1670" s="104"/>
      <c r="I1670" s="107">
        <f>MAX(H1668-G1668-G1669,0)</f>
        <v>0</v>
      </c>
      <c r="J1670" s="108">
        <f>IFERROR(I1670/H1668,0)</f>
        <v>0</v>
      </c>
      <c r="K1670" s="603"/>
      <c r="L1670" s="603"/>
      <c r="M1670" s="603"/>
      <c r="N1670" s="603"/>
      <c r="O1670" s="603"/>
      <c r="P1670" s="604"/>
      <c r="Q1670" s="604"/>
      <c r="R1670" s="606" t="s">
        <v>158</v>
      </c>
      <c r="S1670" s="612"/>
      <c r="T1670" s="881"/>
      <c r="U1670" s="598"/>
      <c r="V1670" s="599"/>
      <c r="W1670" s="599"/>
      <c r="X1670" s="599"/>
      <c r="Y1670" s="879"/>
      <c r="Z1670" s="106"/>
      <c r="AA1670" s="22"/>
      <c r="AB1670" s="22"/>
      <c r="AC1670" s="493"/>
      <c r="AD1670" s="495"/>
      <c r="AE1670" s="22"/>
      <c r="AF1670" s="22"/>
      <c r="AG1670" s="22"/>
      <c r="AH1670" s="22"/>
      <c r="AI1670" s="55"/>
      <c r="AJ1670" s="22"/>
      <c r="AK1670" s="22"/>
      <c r="AO1670" s="22"/>
      <c r="AP1670" s="22"/>
      <c r="AQ1670" s="22"/>
      <c r="AR1670" s="22"/>
      <c r="AS1670" s="22"/>
      <c r="AT1670" s="22"/>
      <c r="AU1670" s="35"/>
      <c r="AV1670" s="35"/>
      <c r="AW1670" s="35"/>
      <c r="AX1670" s="35"/>
      <c r="AY1670" s="35"/>
      <c r="AZ1670" s="35"/>
      <c r="BA1670" s="35"/>
      <c r="BB1670" s="35"/>
      <c r="BC1670" s="35"/>
      <c r="BD1670" s="35"/>
      <c r="BE1670" s="35"/>
      <c r="BF1670" s="35"/>
      <c r="BG1670" s="35"/>
      <c r="BH1670" s="35"/>
      <c r="BI1670" s="35"/>
      <c r="BJ1670" s="35"/>
      <c r="BK1670" s="35"/>
      <c r="BL1670" s="35"/>
      <c r="BM1670" s="35"/>
      <c r="BN1670" s="35"/>
      <c r="BO1670" s="86"/>
    </row>
    <row r="1671" spans="1:67" s="40" customFormat="1" ht="15.75" customHeight="1" thickBot="1" x14ac:dyDescent="0.3">
      <c r="A1671" s="520">
        <f>IFERROR(VLOOKUP($G$5,'רשימת רשויות'!A:C,3,0),0)</f>
        <v>0</v>
      </c>
      <c r="B1671" s="520">
        <f t="shared" si="231"/>
        <v>0</v>
      </c>
      <c r="C1671" s="39"/>
      <c r="D1671" s="1134"/>
      <c r="E1671" s="1137"/>
      <c r="F1671" s="590" t="s">
        <v>2290</v>
      </c>
      <c r="G1671" s="109"/>
      <c r="H1671" s="110"/>
      <c r="I1671" s="111">
        <f>SUM(I1668:I1670)</f>
        <v>0</v>
      </c>
      <c r="J1671" s="112">
        <f>SUM(J1668:J1670)</f>
        <v>0</v>
      </c>
      <c r="K1671" s="603"/>
      <c r="L1671" s="603"/>
      <c r="M1671" s="603"/>
      <c r="N1671" s="603"/>
      <c r="O1671" s="603"/>
      <c r="P1671" s="604"/>
      <c r="Q1671" s="604"/>
      <c r="R1671" s="473">
        <f>MIN(MAX(G1675+G1676-I1664-J1664,0),I1670)</f>
        <v>0</v>
      </c>
      <c r="S1671" s="612"/>
      <c r="T1671" s="881"/>
      <c r="U1671" s="598"/>
      <c r="V1671" s="599"/>
      <c r="W1671" s="599"/>
      <c r="X1671" s="599"/>
      <c r="Y1671" s="879"/>
      <c r="Z1671" s="106"/>
      <c r="AA1671" s="22"/>
      <c r="AB1671" s="22"/>
      <c r="AC1671" s="493"/>
      <c r="AD1671" s="495"/>
      <c r="AE1671" s="22"/>
      <c r="AF1671" s="22"/>
      <c r="AG1671" s="22"/>
      <c r="AH1671" s="22"/>
      <c r="AJ1671" s="22"/>
      <c r="AK1671" s="22"/>
      <c r="AO1671" s="22"/>
      <c r="AP1671" s="22"/>
      <c r="AQ1671" s="22"/>
      <c r="AR1671" s="22"/>
      <c r="AS1671" s="22"/>
      <c r="AT1671" s="22"/>
      <c r="AU1671" s="35"/>
      <c r="AV1671" s="35"/>
      <c r="AW1671" s="35"/>
      <c r="AX1671" s="35"/>
      <c r="AY1671" s="35"/>
      <c r="AZ1671" s="35"/>
      <c r="BA1671" s="35"/>
      <c r="BB1671" s="35"/>
      <c r="BC1671" s="35"/>
      <c r="BD1671" s="35"/>
      <c r="BE1671" s="35"/>
      <c r="BF1671" s="35"/>
      <c r="BG1671" s="35"/>
      <c r="BH1671" s="35"/>
      <c r="BI1671" s="35"/>
      <c r="BJ1671" s="35"/>
      <c r="BK1671" s="35"/>
      <c r="BL1671" s="35"/>
      <c r="BM1671" s="35"/>
      <c r="BN1671" s="35"/>
      <c r="BO1671" s="86"/>
    </row>
    <row r="1672" spans="1:67" ht="16.5" thickBot="1" x14ac:dyDescent="0.3">
      <c r="A1672" s="520">
        <f>IFERROR(VLOOKUP($G$5,'רשימת רשויות'!A:C,3,0),0)</f>
        <v>0</v>
      </c>
      <c r="B1672" s="520">
        <f t="shared" si="231"/>
        <v>0</v>
      </c>
      <c r="D1672" s="1134"/>
      <c r="E1672" s="1137"/>
      <c r="F1672" s="587" t="s">
        <v>17</v>
      </c>
      <c r="G1672" s="113"/>
      <c r="H1672" s="92"/>
      <c r="I1672" s="114"/>
      <c r="J1672" s="115"/>
      <c r="K1672" s="116"/>
      <c r="L1672" s="406"/>
      <c r="M1672" s="116"/>
      <c r="N1672" s="116"/>
      <c r="O1672" s="116"/>
      <c r="P1672" s="474"/>
      <c r="Q1672" s="607"/>
      <c r="R1672" s="608"/>
      <c r="S1672" s="612"/>
      <c r="T1672" s="881"/>
      <c r="U1672" s="598"/>
      <c r="V1672" s="599"/>
      <c r="W1672" s="599"/>
      <c r="X1672" s="599"/>
      <c r="Y1672" s="879"/>
      <c r="Z1672" s="106"/>
      <c r="AI1672" s="40"/>
      <c r="BO1672" s="86"/>
    </row>
    <row r="1673" spans="1:67" ht="47.25" x14ac:dyDescent="0.25">
      <c r="A1673" s="520">
        <f>IFERROR(VLOOKUP($G$5,'רשימת רשויות'!A:C,3,0),0)</f>
        <v>0</v>
      </c>
      <c r="B1673" s="520">
        <f t="shared" si="231"/>
        <v>0</v>
      </c>
      <c r="D1673" s="1134"/>
      <c r="E1673" s="1137"/>
      <c r="F1673" s="588" t="s">
        <v>2</v>
      </c>
      <c r="G1673" s="95" t="s">
        <v>18</v>
      </c>
      <c r="H1673" s="95" t="s">
        <v>19</v>
      </c>
      <c r="I1673" s="95" t="s">
        <v>20</v>
      </c>
      <c r="J1673" s="95" t="s">
        <v>22</v>
      </c>
      <c r="K1673" s="96" t="s">
        <v>2314</v>
      </c>
      <c r="L1673" s="609"/>
      <c r="M1673" s="609"/>
      <c r="N1673" s="609"/>
      <c r="O1673" s="580"/>
      <c r="P1673" s="618" t="s">
        <v>2298</v>
      </c>
      <c r="Q1673" s="618" t="s">
        <v>2299</v>
      </c>
      <c r="R1673" s="596"/>
      <c r="S1673" s="890" t="s">
        <v>2519</v>
      </c>
      <c r="T1673" s="890" t="s">
        <v>97</v>
      </c>
      <c r="U1673" s="891" t="s">
        <v>2521</v>
      </c>
      <c r="V1673" s="892" t="s">
        <v>2520</v>
      </c>
      <c r="W1673" s="893" t="s">
        <v>2524</v>
      </c>
      <c r="X1673" s="892" t="s">
        <v>2522</v>
      </c>
      <c r="Y1673" s="894" t="s">
        <v>2523</v>
      </c>
      <c r="Z1673" s="106"/>
      <c r="AC1673" s="498" t="s">
        <v>2568</v>
      </c>
      <c r="AD1673" s="499" t="s">
        <v>2569</v>
      </c>
      <c r="AF1673" s="122"/>
      <c r="AI1673" s="40"/>
      <c r="BO1673" s="86"/>
    </row>
    <row r="1674" spans="1:67" ht="15" customHeight="1" thickBot="1" x14ac:dyDescent="0.3">
      <c r="A1674" s="520">
        <f>IFERROR(VLOOKUP($G$5,'רשימת רשויות'!A:C,3,0),0)</f>
        <v>0</v>
      </c>
      <c r="B1674" s="520">
        <f t="shared" si="231"/>
        <v>0</v>
      </c>
      <c r="D1674" s="1134"/>
      <c r="E1674" s="1137"/>
      <c r="F1674" s="589" t="s">
        <v>76</v>
      </c>
      <c r="G1674" s="117">
        <f>IF(G1665="תקין",SUMIF('עלויות כח אדם (6)'!$B$15:$B$3014,'בית ספר - תקצוב לפי מוסד (9)'!$G1660,'עלויות כח אדם (6)'!$M$15:$M$3014)-VLOOKUP('בית ספר - תקצוב לפי מוסד (9)'!G1660,' איוש משרות (8)'!$C:$H,5,0)-VLOOKUP('בית ספר - תקצוב לפי מוסד (9)'!G1660,' איוש משרות (8)'!$C:$H,6,0),0)-Y1674</f>
        <v>0</v>
      </c>
      <c r="H1674" s="118">
        <f>I1662+R1669</f>
        <v>0</v>
      </c>
      <c r="I1674" s="119">
        <f>IFERROR(SUM(G1674)/H1674,0)</f>
        <v>0</v>
      </c>
      <c r="J1674" s="100">
        <f>MIN(I1662+R1669,IF(ISNUMBER(G1674),G1674,0))</f>
        <v>0</v>
      </c>
      <c r="K1674" s="120">
        <f>MAX(H1674-G1674,0)</f>
        <v>0</v>
      </c>
      <c r="L1674" s="407"/>
      <c r="M1674" s="393"/>
      <c r="N1674" s="393"/>
      <c r="O1674" s="580"/>
      <c r="P1674" s="968">
        <f>IFERROR(IF(SUM(G1674)/(I1662)&lt;100%,MIN((I1662)-SUM(G1674),(I1662)*0.25),0),0)</f>
        <v>0</v>
      </c>
      <c r="Q1674" s="968">
        <f>IF(SUM(G1674)-(I1662+R1669)&gt;0,SUM(G1674)-(I1662+R1669),0)</f>
        <v>0</v>
      </c>
      <c r="R1674" s="596" t="s">
        <v>2351</v>
      </c>
      <c r="S1674" s="576" t="s">
        <v>2342</v>
      </c>
      <c r="T1674" s="599">
        <f>G1660</f>
        <v>0</v>
      </c>
      <c r="U1674" s="578"/>
      <c r="V1674" s="579">
        <f>G1674+G1675+G1676</f>
        <v>0</v>
      </c>
      <c r="W1674" s="579">
        <f>U1674-V1674</f>
        <v>0</v>
      </c>
      <c r="X1674" s="579">
        <f>IFERROR(W1688*W1674/(SUM(W1674:W1687)),0)</f>
        <v>0</v>
      </c>
      <c r="Y1674" s="879">
        <f>SUMIFS(בקרה!$S:$S,בקרה!$D:$D,T1674,בקרה!$K:$K,S1674)</f>
        <v>0</v>
      </c>
      <c r="Z1674" s="121"/>
      <c r="AA1674" s="143"/>
      <c r="AB1674" s="143"/>
      <c r="AC1674" s="504">
        <v>0</v>
      </c>
      <c r="AD1674" s="505">
        <f>IFERROR(U1674-AC1674,0)</f>
        <v>0</v>
      </c>
      <c r="AE1674" s="143"/>
      <c r="AI1674" s="20"/>
      <c r="BO1674" s="86"/>
    </row>
    <row r="1675" spans="1:67" ht="15" customHeight="1" thickBot="1" x14ac:dyDescent="0.3">
      <c r="A1675" s="520">
        <f>IFERROR(VLOOKUP($G$5,'רשימת רשויות'!A:C,3,0),0)</f>
        <v>0</v>
      </c>
      <c r="B1675" s="520">
        <f t="shared" si="231"/>
        <v>0</v>
      </c>
      <c r="D1675" s="1134"/>
      <c r="E1675" s="1137"/>
      <c r="F1675" s="589" t="s">
        <v>44</v>
      </c>
      <c r="G1675" s="123">
        <f>IF(G1665="תקין",IFERROR(VLOOKUP('בית ספר - תקצוב לפי מוסד (9)'!G1660,' איוש משרות (8)'!C:J,7,0),0),0)</f>
        <v>0</v>
      </c>
      <c r="H1675" s="124">
        <f>I1664+R1671+J1664</f>
        <v>0</v>
      </c>
      <c r="I1675" s="119">
        <f>IFERROR(SUM(G1675:G1676)/H1675,0)</f>
        <v>0</v>
      </c>
      <c r="J1675" s="100">
        <f>MIN(R1671+I1664,IF(ISNUMBER(SUM(G1675:G1676)),SUM(G1675:G1676),0))</f>
        <v>0</v>
      </c>
      <c r="K1675" s="1139">
        <f>MAX((H1675)-(G1675+G1676),0)</f>
        <v>0</v>
      </c>
      <c r="L1675" s="407"/>
      <c r="M1675" s="393"/>
      <c r="N1675" s="393"/>
      <c r="O1675" s="580"/>
      <c r="P1675" s="1140"/>
      <c r="Q1675" s="1140"/>
      <c r="R1675" s="617">
        <f>MAX(MIN(P1683-Q1683,H1683*0.15-G1681),0)</f>
        <v>0</v>
      </c>
      <c r="S1675" s="576"/>
      <c r="T1675" s="599">
        <f>G1660</f>
        <v>0</v>
      </c>
      <c r="U1675" s="578"/>
      <c r="V1675" s="579"/>
      <c r="W1675" s="579">
        <f t="shared" ref="W1675:W1687" si="238">U1675-V1675</f>
        <v>0</v>
      </c>
      <c r="X1675" s="579"/>
      <c r="Y1675" s="879"/>
      <c r="Z1675" s="121"/>
      <c r="AA1675" s="143"/>
      <c r="AB1675" s="143"/>
      <c r="AC1675" s="504"/>
      <c r="AD1675" s="505">
        <f t="shared" ref="AD1675:AD1681" si="239">IFERROR(U1675-AC1675,0)</f>
        <v>0</v>
      </c>
      <c r="AE1675" s="143"/>
      <c r="AI1675" s="20"/>
      <c r="BO1675" s="86"/>
    </row>
    <row r="1676" spans="1:67" ht="15.75" customHeight="1" x14ac:dyDescent="0.25">
      <c r="A1676" s="520">
        <f>IFERROR(VLOOKUP($G$5,'רשימת רשויות'!A:C,3,0),0)</f>
        <v>0</v>
      </c>
      <c r="B1676" s="520">
        <f t="shared" si="231"/>
        <v>0</v>
      </c>
      <c r="D1676" s="1134"/>
      <c r="E1676" s="1137"/>
      <c r="F1676" s="589" t="s">
        <v>45</v>
      </c>
      <c r="G1676" s="123">
        <f>IF(G1665="תקין",IFERROR(VLOOKUP('בית ספר - תקצוב לפי מוסד (9)'!G1660,' איוש משרות (8)'!C:J,8,0),0),0)</f>
        <v>0</v>
      </c>
      <c r="H1676" s="125"/>
      <c r="I1676" s="126"/>
      <c r="J1676" s="104"/>
      <c r="K1676" s="1139"/>
      <c r="L1676" s="407"/>
      <c r="M1676" s="393"/>
      <c r="N1676" s="393"/>
      <c r="O1676" s="580"/>
      <c r="P1676" s="1140"/>
      <c r="Q1676" s="1140"/>
      <c r="R1676" s="596"/>
      <c r="S1676" s="576"/>
      <c r="T1676" s="599">
        <f>G1660</f>
        <v>0</v>
      </c>
      <c r="U1676" s="578"/>
      <c r="V1676" s="579"/>
      <c r="W1676" s="579">
        <f t="shared" si="238"/>
        <v>0</v>
      </c>
      <c r="X1676" s="579"/>
      <c r="Y1676" s="879"/>
      <c r="Z1676" s="121"/>
      <c r="AA1676" s="143"/>
      <c r="AB1676" s="143"/>
      <c r="AC1676" s="504"/>
      <c r="AD1676" s="505">
        <f t="shared" si="239"/>
        <v>0</v>
      </c>
      <c r="AE1676" s="143"/>
      <c r="AG1676" s="55"/>
      <c r="AH1676" s="55"/>
      <c r="AI1676" s="55"/>
      <c r="AJ1676" s="55"/>
      <c r="AK1676" s="55"/>
      <c r="BO1676" s="86"/>
    </row>
    <row r="1677" spans="1:67" ht="15.75" customHeight="1" x14ac:dyDescent="0.25">
      <c r="A1677" s="520">
        <f>IFERROR(VLOOKUP($G$5,'רשימת רשויות'!A:C,3,0),0)</f>
        <v>0</v>
      </c>
      <c r="B1677" s="520">
        <f t="shared" si="231"/>
        <v>0</v>
      </c>
      <c r="D1677" s="1134"/>
      <c r="E1677" s="1137"/>
      <c r="F1677" s="589" t="s">
        <v>0</v>
      </c>
      <c r="G1677" s="117">
        <f>IF(G1665="תקין",SUMIFS('דוח הוצאות בפועל (4)'!$E$17:$E$3016,'דוח הוצאות בפועל (4)'!$B$17:$B$3016,'בית ספר - תקצוב לפי מוסד (9)'!$G1660,'דוח הוצאות בפועל (4)'!$M$17:$M$3016,"הע"),0)-Y1677</f>
        <v>0</v>
      </c>
      <c r="H1677" s="127">
        <f>J1662</f>
        <v>0</v>
      </c>
      <c r="I1677" s="128">
        <f>IFERROR(G1677/H1677,0)</f>
        <v>0</v>
      </c>
      <c r="J1677" s="129">
        <f>MIN(IF(ISNUMBER(G1677),G1677,0),H1677)</f>
        <v>0</v>
      </c>
      <c r="K1677" s="120">
        <f>MAX(H1677-G1677,0)</f>
        <v>0</v>
      </c>
      <c r="L1677" s="407"/>
      <c r="M1677" s="393"/>
      <c r="N1677" s="393"/>
      <c r="O1677" s="580"/>
      <c r="P1677" s="968">
        <f>MAX(IF(I1677&lt;100%,MIN((H1677-G1677),H1677*0.25),0),0)</f>
        <v>0</v>
      </c>
      <c r="Q1677" s="619">
        <f>IF(G1677-H1677&gt;0,G1677-H1677,0)</f>
        <v>0</v>
      </c>
      <c r="R1677" s="596"/>
      <c r="S1677" s="610" t="s">
        <v>0</v>
      </c>
      <c r="T1677" s="599">
        <f>G1660</f>
        <v>0</v>
      </c>
      <c r="U1677" s="578"/>
      <c r="V1677" s="579">
        <f>G1677</f>
        <v>0</v>
      </c>
      <c r="W1677" s="579">
        <f t="shared" si="238"/>
        <v>0</v>
      </c>
      <c r="X1677" s="579">
        <f>IFERROR(W1688*W1677/(SUM(W1674:W1687)),0)</f>
        <v>0</v>
      </c>
      <c r="Y1677" s="879">
        <f>SUMIFS(בקרה!$S:$S,בקרה!$D:$D,T1677,בקרה!$K:$K,S1677)</f>
        <v>0</v>
      </c>
      <c r="Z1677" s="121"/>
      <c r="AA1677" s="143"/>
      <c r="AB1677" s="143"/>
      <c r="AC1677" s="504">
        <v>0</v>
      </c>
      <c r="AD1677" s="505">
        <f t="shared" si="239"/>
        <v>0</v>
      </c>
      <c r="AE1677" s="143"/>
      <c r="AG1677" s="55"/>
      <c r="AH1677" s="55"/>
      <c r="AI1677" s="40"/>
      <c r="AJ1677" s="55"/>
      <c r="AK1677" s="55"/>
      <c r="BO1677" s="86"/>
    </row>
    <row r="1678" spans="1:67" s="55" customFormat="1" ht="15.75" customHeight="1" x14ac:dyDescent="0.25">
      <c r="A1678" s="520">
        <f>IFERROR(VLOOKUP($G$5,'רשימת רשויות'!A:C,3,0),0)</f>
        <v>0</v>
      </c>
      <c r="B1678" s="520">
        <f t="shared" ref="B1678:B1741" si="240">IF(F1679="סמל המוסד",G1679,B1677)</f>
        <v>0</v>
      </c>
      <c r="C1678" s="39"/>
      <c r="D1678" s="1134"/>
      <c r="E1678" s="1137"/>
      <c r="F1678" s="589" t="s">
        <v>93</v>
      </c>
      <c r="G1678" s="130">
        <f>IF(G1665="תקין",SUMIFS('דוח הוצאות בפועל (4)'!$E$17:$E$3016,'דוח הוצאות בפועל (4)'!$B$17:$B$3016,'בית ספר - תקצוב לפי מוסד (9)'!$G1660,'דוח הוצאות בפועל (4)'!$M$17:$M$3016,"אר"),0)-Y1678</f>
        <v>0</v>
      </c>
      <c r="H1678" s="118">
        <f>$I1668</f>
        <v>0</v>
      </c>
      <c r="I1678" s="131">
        <f>IFERROR((G1678+G1679)/H1678,0)</f>
        <v>0</v>
      </c>
      <c r="J1678" s="100">
        <f>MIN((IF(ISNUMBER(G1678),G1678,0)+IF(ISNUMBER(G1679),G1679,0)),H1678)</f>
        <v>0</v>
      </c>
      <c r="K1678" s="1139">
        <f>MAX((H1678)-(G1678+G1679),0)</f>
        <v>0</v>
      </c>
      <c r="L1678" s="407"/>
      <c r="M1678" s="393"/>
      <c r="N1678" s="393"/>
      <c r="O1678" s="602"/>
      <c r="P1678" s="1141"/>
      <c r="Q1678" s="1142"/>
      <c r="R1678" s="596"/>
      <c r="S1678" s="610" t="s">
        <v>93</v>
      </c>
      <c r="T1678" s="599">
        <f>G1660</f>
        <v>0</v>
      </c>
      <c r="U1678" s="578"/>
      <c r="V1678" s="579">
        <f t="shared" ref="V1678:V1679" si="241">G1678</f>
        <v>0</v>
      </c>
      <c r="W1678" s="579">
        <f t="shared" si="238"/>
        <v>0</v>
      </c>
      <c r="X1678" s="579">
        <f>IFERROR(W1688*W1678/(SUM(W1674:W1687)),0)</f>
        <v>0</v>
      </c>
      <c r="Y1678" s="879">
        <f>SUMIFS(בקרה!$S:$S,בקרה!$D:$D,T1678,בקרה!$K:$K,S1678)</f>
        <v>0</v>
      </c>
      <c r="Z1678" s="121"/>
      <c r="AA1678" s="143"/>
      <c r="AB1678" s="143"/>
      <c r="AC1678" s="504">
        <v>0</v>
      </c>
      <c r="AD1678" s="505">
        <f t="shared" si="239"/>
        <v>0</v>
      </c>
      <c r="AE1678" s="143"/>
      <c r="AJ1678" s="22"/>
      <c r="AO1678" s="22"/>
      <c r="AP1678" s="22"/>
      <c r="AQ1678" s="22"/>
      <c r="AR1678" s="22"/>
      <c r="AS1678" s="22"/>
      <c r="AT1678" s="22"/>
      <c r="AU1678" s="35"/>
      <c r="AV1678" s="35"/>
      <c r="AW1678" s="35"/>
      <c r="AX1678" s="35"/>
      <c r="AY1678" s="35"/>
      <c r="AZ1678" s="35"/>
      <c r="BA1678" s="35"/>
      <c r="BB1678" s="35"/>
      <c r="BC1678" s="35"/>
      <c r="BD1678" s="35"/>
      <c r="BE1678" s="35"/>
      <c r="BF1678" s="35"/>
      <c r="BG1678" s="35"/>
      <c r="BH1678" s="35"/>
      <c r="BI1678" s="35"/>
      <c r="BJ1678" s="35"/>
      <c r="BK1678" s="35"/>
      <c r="BL1678" s="35"/>
      <c r="BM1678" s="35"/>
      <c r="BN1678" s="35"/>
      <c r="BO1678" s="86"/>
    </row>
    <row r="1679" spans="1:67" s="55" customFormat="1" ht="15.75" customHeight="1" x14ac:dyDescent="0.25">
      <c r="A1679" s="520">
        <f>IFERROR(VLOOKUP($G$5,'רשימת רשויות'!A:C,3,0),0)</f>
        <v>0</v>
      </c>
      <c r="B1679" s="520">
        <f t="shared" si="240"/>
        <v>0</v>
      </c>
      <c r="C1679" s="39"/>
      <c r="D1679" s="1134"/>
      <c r="E1679" s="1137"/>
      <c r="F1679" s="589" t="s">
        <v>46</v>
      </c>
      <c r="G1679" s="130">
        <f>IF(G1665="תקין",SUMIFS('דוח הוצאות בפועל (4)'!$E$17:$E$3016,'דוח הוצאות בפועל (4)'!$B$17:$B$3016,'בית ספר - תקצוב לפי מוסד (9)'!$G1660,'דוח הוצאות בפועל (4)'!$M$17:$M$3016,"מל"),0)-Y1679</f>
        <v>0</v>
      </c>
      <c r="H1679" s="132"/>
      <c r="I1679" s="133"/>
      <c r="J1679" s="104"/>
      <c r="K1679" s="1139"/>
      <c r="L1679" s="407"/>
      <c r="M1679" s="393"/>
      <c r="N1679" s="393"/>
      <c r="O1679" s="602"/>
      <c r="P1679" s="1141"/>
      <c r="Q1679" s="1142"/>
      <c r="R1679" s="596"/>
      <c r="S1679" s="610" t="s">
        <v>46</v>
      </c>
      <c r="T1679" s="599">
        <f>G1660</f>
        <v>0</v>
      </c>
      <c r="U1679" s="578"/>
      <c r="V1679" s="579">
        <f t="shared" si="241"/>
        <v>0</v>
      </c>
      <c r="W1679" s="579">
        <f t="shared" si="238"/>
        <v>0</v>
      </c>
      <c r="X1679" s="579">
        <f>IFERROR(W1688*W1679/(SUM(W1674:W1687)),0)</f>
        <v>0</v>
      </c>
      <c r="Y1679" s="879">
        <f>SUMIFS(בקרה!$S:$S,בקרה!$D:$D,T1679,בקרה!$K:$K,S1679)</f>
        <v>0</v>
      </c>
      <c r="Z1679" s="121"/>
      <c r="AA1679" s="143"/>
      <c r="AB1679" s="143"/>
      <c r="AC1679" s="504">
        <v>0</v>
      </c>
      <c r="AD1679" s="505">
        <f t="shared" si="239"/>
        <v>0</v>
      </c>
      <c r="AE1679" s="143"/>
      <c r="AJ1679" s="22"/>
      <c r="AO1679" s="22"/>
      <c r="AP1679" s="22"/>
      <c r="AQ1679" s="22"/>
      <c r="AR1679" s="22"/>
      <c r="AS1679" s="22"/>
      <c r="AT1679" s="22"/>
      <c r="AU1679" s="35"/>
      <c r="AV1679" s="35"/>
      <c r="AW1679" s="35"/>
      <c r="AX1679" s="35"/>
      <c r="AY1679" s="35"/>
      <c r="AZ1679" s="35"/>
      <c r="BA1679" s="35"/>
      <c r="BB1679" s="35"/>
      <c r="BC1679" s="35"/>
      <c r="BD1679" s="35"/>
      <c r="BE1679" s="35"/>
      <c r="BF1679" s="35"/>
      <c r="BG1679" s="35"/>
      <c r="BH1679" s="35"/>
      <c r="BI1679" s="35"/>
      <c r="BJ1679" s="35"/>
      <c r="BK1679" s="35"/>
      <c r="BL1679" s="35"/>
      <c r="BM1679" s="35"/>
      <c r="BN1679" s="35"/>
      <c r="BO1679" s="86"/>
    </row>
    <row r="1680" spans="1:67" s="55" customFormat="1" ht="15" customHeight="1" x14ac:dyDescent="0.25">
      <c r="A1680" s="520">
        <f>IFERROR(VLOOKUP($G$5,'רשימת רשויות'!A:C,3,0),0)</f>
        <v>0</v>
      </c>
      <c r="B1680" s="520">
        <f t="shared" si="240"/>
        <v>0</v>
      </c>
      <c r="C1680" s="39"/>
      <c r="D1680" s="1134"/>
      <c r="E1680" s="1137"/>
      <c r="F1680" s="591" t="s">
        <v>23</v>
      </c>
      <c r="G1680" s="134">
        <f>SUM(G1674:G1679)</f>
        <v>0</v>
      </c>
      <c r="H1680" s="135">
        <f>SUM(H1674:H1679)</f>
        <v>0</v>
      </c>
      <c r="I1680" s="128">
        <f>IFERROR(G1680/H1680,0)</f>
        <v>0</v>
      </c>
      <c r="J1680" s="136">
        <f>SUM(J1674:J1679)</f>
        <v>0</v>
      </c>
      <c r="K1680" s="137">
        <f>SUM(K1674:K1679)</f>
        <v>0</v>
      </c>
      <c r="L1680" s="408"/>
      <c r="M1680" s="394"/>
      <c r="N1680" s="394"/>
      <c r="O1680" s="602"/>
      <c r="P1680" s="620">
        <f>SUM(P1674:P1679)</f>
        <v>0</v>
      </c>
      <c r="Q1680" s="620">
        <f>SUM(Q1674:Q1679)</f>
        <v>0</v>
      </c>
      <c r="R1680" s="596"/>
      <c r="S1680" s="610"/>
      <c r="T1680" s="599">
        <f>G1660</f>
        <v>0</v>
      </c>
      <c r="U1680" s="578"/>
      <c r="V1680" s="579"/>
      <c r="W1680" s="579">
        <f t="shared" si="238"/>
        <v>0</v>
      </c>
      <c r="X1680" s="579"/>
      <c r="Y1680" s="879"/>
      <c r="Z1680" s="121"/>
      <c r="AA1680" s="143"/>
      <c r="AB1680" s="143"/>
      <c r="AC1680" s="504"/>
      <c r="AD1680" s="505">
        <f t="shared" si="239"/>
        <v>0</v>
      </c>
      <c r="AE1680" s="143"/>
      <c r="AJ1680" s="22"/>
      <c r="AL1680" s="22"/>
      <c r="AM1680" s="22"/>
      <c r="AN1680" s="22"/>
      <c r="AO1680" s="22"/>
      <c r="AP1680" s="22"/>
      <c r="AQ1680" s="22"/>
      <c r="AR1680" s="22"/>
      <c r="AS1680" s="22"/>
      <c r="AT1680" s="22"/>
      <c r="AU1680" s="35"/>
      <c r="AV1680" s="35"/>
      <c r="AW1680" s="35"/>
      <c r="AX1680" s="35"/>
      <c r="AY1680" s="35"/>
      <c r="AZ1680" s="35"/>
      <c r="BA1680" s="35"/>
      <c r="BB1680" s="35"/>
      <c r="BC1680" s="35"/>
      <c r="BD1680" s="35"/>
      <c r="BE1680" s="35"/>
      <c r="BF1680" s="35"/>
      <c r="BG1680" s="35"/>
      <c r="BH1680" s="35"/>
      <c r="BI1680" s="35"/>
      <c r="BJ1680" s="35"/>
      <c r="BK1680" s="35"/>
      <c r="BL1680" s="35"/>
      <c r="BM1680" s="35"/>
      <c r="BN1680" s="35"/>
      <c r="BO1680" s="86"/>
    </row>
    <row r="1681" spans="1:67" s="55" customFormat="1" ht="15" customHeight="1" x14ac:dyDescent="0.25">
      <c r="A1681" s="520">
        <f>IFERROR(VLOOKUP($G$5,'רשימת רשויות'!A:C,3,0),0)</f>
        <v>0</v>
      </c>
      <c r="B1681" s="520">
        <f t="shared" si="240"/>
        <v>0</v>
      </c>
      <c r="C1681" s="39"/>
      <c r="D1681" s="1134"/>
      <c r="E1681" s="1137"/>
      <c r="F1681" s="589" t="s">
        <v>3</v>
      </c>
      <c r="G1681" s="117">
        <f>IF(G1665="תקין",SUMIFS('דוח הוצאות בפועל (4)'!$E$17:$E$3016,'דוח הוצאות בפועל (4)'!$B$17:$B$3016,'בית ספר - תקצוב לפי מוסד (9)'!$G1660,'דוח הוצאות בפועל (4)'!$M$17:$M$3016,"ני")+SUMIFS('דוח הוצאות בפועל (4)'!$E$17:$E$3016,'דוח הוצאות בפועל (4)'!$B$17:$B$3016,'בית ספר - תקצוב לפי מוסד (9)'!$G1660,'דוח הוצאות בפועל (4)'!$M$17:$M$3016,"על"),0)-Y1681</f>
        <v>0</v>
      </c>
      <c r="H1681" s="117">
        <f>H1662</f>
        <v>0</v>
      </c>
      <c r="I1681" s="138">
        <f>IFERROR(G1681/H1681,0)</f>
        <v>0</v>
      </c>
      <c r="J1681" s="117">
        <f>IFERROR(IF(G1681/H1683&gt;0.15,MIN(H1683*0.15,H1681),MIN(H1681,IF(ISNUMBER(G1681),G1681,0))),0)</f>
        <v>0</v>
      </c>
      <c r="K1681" s="120">
        <f>MAX(H1681-G1681,0)</f>
        <v>0</v>
      </c>
      <c r="L1681" s="407"/>
      <c r="M1681" s="393"/>
      <c r="N1681" s="393"/>
      <c r="O1681" s="602"/>
      <c r="P1681" s="620">
        <f>IF(I1681&lt;100%,MIN(H1681-G1681,H1681*0.25),0)</f>
        <v>0</v>
      </c>
      <c r="Q1681" s="620">
        <f>MAX(MIN(IF(G1681-H1681&gt;0,G1681-H1681,0),$H1683*0.15-H1681-J1682),0)</f>
        <v>0</v>
      </c>
      <c r="R1681" s="596"/>
      <c r="S1681" s="610" t="s">
        <v>3</v>
      </c>
      <c r="T1681" s="599">
        <f>G1660</f>
        <v>0</v>
      </c>
      <c r="U1681" s="578"/>
      <c r="V1681" s="579">
        <f t="shared" ref="V1681" si="242">G1681</f>
        <v>0</v>
      </c>
      <c r="W1681" s="579">
        <f t="shared" si="238"/>
        <v>0</v>
      </c>
      <c r="X1681" s="579"/>
      <c r="Y1681" s="879"/>
      <c r="Z1681" s="121"/>
      <c r="AA1681" s="143"/>
      <c r="AB1681" s="143"/>
      <c r="AC1681" s="504">
        <v>0</v>
      </c>
      <c r="AD1681" s="505">
        <f t="shared" si="239"/>
        <v>0</v>
      </c>
      <c r="AE1681" s="143"/>
      <c r="AG1681" s="22"/>
      <c r="AH1681" s="22"/>
      <c r="AI1681" s="22"/>
      <c r="AJ1681" s="22"/>
      <c r="AK1681" s="22"/>
      <c r="AL1681" s="22"/>
      <c r="AM1681" s="22"/>
      <c r="AN1681" s="22"/>
      <c r="AO1681" s="22"/>
      <c r="AP1681" s="22"/>
      <c r="AQ1681" s="22"/>
      <c r="AR1681" s="22"/>
      <c r="AS1681" s="22"/>
      <c r="AT1681" s="22"/>
      <c r="AU1681" s="35"/>
      <c r="AV1681" s="35"/>
      <c r="AW1681" s="35"/>
      <c r="AX1681" s="35"/>
      <c r="AY1681" s="35"/>
      <c r="AZ1681" s="35"/>
      <c r="BA1681" s="35"/>
      <c r="BB1681" s="35"/>
      <c r="BC1681" s="35"/>
      <c r="BD1681" s="35"/>
      <c r="BE1681" s="35"/>
      <c r="BF1681" s="35"/>
      <c r="BG1681" s="35"/>
      <c r="BH1681" s="35"/>
      <c r="BI1681" s="35"/>
      <c r="BJ1681" s="35"/>
      <c r="BK1681" s="35"/>
      <c r="BL1681" s="35"/>
      <c r="BM1681" s="35"/>
      <c r="BN1681" s="35"/>
      <c r="BO1681" s="86"/>
    </row>
    <row r="1682" spans="1:67" s="55" customFormat="1" ht="15.75" customHeight="1" x14ac:dyDescent="0.25">
      <c r="A1682" s="520">
        <f>IFERROR(VLOOKUP($G$5,'רשימת רשויות'!A:C,3,0),0)</f>
        <v>0</v>
      </c>
      <c r="B1682" s="520">
        <f t="shared" si="240"/>
        <v>0</v>
      </c>
      <c r="C1682" s="39"/>
      <c r="D1682" s="1134"/>
      <c r="E1682" s="1137"/>
      <c r="F1682" s="589" t="s">
        <v>2918</v>
      </c>
      <c r="G1682" s="117">
        <f>0.07*(G1676+G1675)</f>
        <v>0</v>
      </c>
      <c r="H1682" s="117">
        <f>H1664</f>
        <v>0</v>
      </c>
      <c r="I1682" s="138">
        <f>IFERROR(G1682/H1682,0)</f>
        <v>0</v>
      </c>
      <c r="J1682" s="117">
        <f>IFERROR(MIN(0.07*(G1675+G1676),0.07*I1664),0)</f>
        <v>0</v>
      </c>
      <c r="K1682" s="120">
        <f>MAX(H1682-G1682,0)</f>
        <v>0</v>
      </c>
      <c r="L1682" s="407"/>
      <c r="M1682" s="393"/>
      <c r="N1682" s="393"/>
      <c r="O1682" s="602"/>
      <c r="P1682" s="620"/>
      <c r="Q1682" s="619"/>
      <c r="R1682" s="596"/>
      <c r="S1682" s="611"/>
      <c r="T1682" s="599">
        <f>G1660</f>
        <v>0</v>
      </c>
      <c r="U1682" s="578"/>
      <c r="V1682" s="579"/>
      <c r="W1682" s="579">
        <f t="shared" si="238"/>
        <v>0</v>
      </c>
      <c r="X1682" s="579"/>
      <c r="Y1682" s="879"/>
      <c r="Z1682" s="121"/>
      <c r="AA1682" s="143"/>
      <c r="AB1682" s="143"/>
      <c r="AC1682" s="504"/>
      <c r="AD1682" s="505"/>
      <c r="AE1682" s="143"/>
      <c r="AF1682" s="140"/>
      <c r="AG1682" s="22"/>
      <c r="AH1682" s="22"/>
      <c r="AI1682" s="22"/>
      <c r="AJ1682" s="22"/>
      <c r="AK1682" s="22"/>
      <c r="AL1682" s="22"/>
      <c r="AM1682" s="22"/>
      <c r="AN1682" s="22"/>
      <c r="AO1682" s="22"/>
      <c r="AP1682" s="22"/>
      <c r="AQ1682" s="22"/>
      <c r="AR1682" s="22"/>
      <c r="AS1682" s="22"/>
      <c r="AT1682" s="22"/>
      <c r="AU1682" s="35"/>
      <c r="AV1682" s="35"/>
      <c r="AW1682" s="35"/>
      <c r="AX1682" s="35"/>
      <c r="AY1682" s="35"/>
      <c r="AZ1682" s="35"/>
      <c r="BA1682" s="35"/>
      <c r="BB1682" s="35"/>
      <c r="BC1682" s="35"/>
      <c r="BD1682" s="35"/>
      <c r="BE1682" s="35"/>
      <c r="BF1682" s="35"/>
      <c r="BG1682" s="35"/>
      <c r="BH1682" s="35"/>
      <c r="BI1682" s="35"/>
      <c r="BJ1682" s="35"/>
      <c r="BK1682" s="35"/>
      <c r="BL1682" s="35"/>
      <c r="BM1682" s="35"/>
      <c r="BN1682" s="35"/>
      <c r="BO1682" s="86"/>
    </row>
    <row r="1683" spans="1:67" ht="15.75" customHeight="1" x14ac:dyDescent="0.25">
      <c r="A1683" s="520">
        <f>IFERROR(VLOOKUP($G$5,'רשימת רשויות'!A:C,3,0),0)</f>
        <v>0</v>
      </c>
      <c r="B1683" s="520">
        <f t="shared" si="240"/>
        <v>0</v>
      </c>
      <c r="D1683" s="1134"/>
      <c r="E1683" s="1137"/>
      <c r="F1683" s="591" t="s">
        <v>15</v>
      </c>
      <c r="G1683" s="134">
        <f>G1680+G1681+G1682</f>
        <v>0</v>
      </c>
      <c r="H1683" s="134">
        <f>H1680+H1681+H1682</f>
        <v>0</v>
      </c>
      <c r="I1683" s="138">
        <f>IFERROR(G1683/H1683,0)</f>
        <v>0</v>
      </c>
      <c r="J1683" s="139">
        <f>J1680+J1681+J1682</f>
        <v>0</v>
      </c>
      <c r="K1683" s="137">
        <f>K1681+K1680+K1682</f>
        <v>0</v>
      </c>
      <c r="L1683" s="408"/>
      <c r="M1683" s="394"/>
      <c r="N1683" s="394"/>
      <c r="O1683" s="602"/>
      <c r="P1683" s="621">
        <f>SUM(P1680:P1681)</f>
        <v>0</v>
      </c>
      <c r="Q1683" s="622">
        <f>Q1680+Q1681</f>
        <v>0</v>
      </c>
      <c r="R1683" s="596"/>
      <c r="S1683" s="611"/>
      <c r="T1683" s="599">
        <f>G1660</f>
        <v>0</v>
      </c>
      <c r="U1683" s="578"/>
      <c r="V1683" s="579"/>
      <c r="W1683" s="579">
        <f t="shared" si="238"/>
        <v>0</v>
      </c>
      <c r="X1683" s="579"/>
      <c r="Y1683" s="879"/>
      <c r="Z1683" s="106"/>
      <c r="AC1683" s="504"/>
      <c r="AD1683" s="505"/>
      <c r="AH1683" s="143"/>
      <c r="BO1683" s="86"/>
    </row>
    <row r="1684" spans="1:67" ht="15.75" customHeight="1" x14ac:dyDescent="0.25">
      <c r="A1684" s="520">
        <f>IFERROR(VLOOKUP($G$5,'רשימת רשויות'!A:C,3,0),0)</f>
        <v>0</v>
      </c>
      <c r="B1684" s="520">
        <f t="shared" si="240"/>
        <v>0</v>
      </c>
      <c r="D1684" s="1134"/>
      <c r="E1684" s="1137"/>
      <c r="F1684" s="589" t="s">
        <v>2261</v>
      </c>
      <c r="G1684" s="117">
        <f>IF(G1665="תקין",SUMIF('תשלומי הורים ומלגות להורים (5) '!$B$18:$B$517,$G1660,'תשלומי הורים ומלגות להורים (5) '!$C$18:$C$517),0)</f>
        <v>0</v>
      </c>
      <c r="H1684" s="117">
        <f>(G1663+G1664)*$G$7</f>
        <v>0</v>
      </c>
      <c r="I1684" s="141"/>
      <c r="J1684" s="141"/>
      <c r="K1684" s="142"/>
      <c r="L1684" s="395"/>
      <c r="M1684" s="395"/>
      <c r="N1684" s="395"/>
      <c r="O1684" s="602"/>
      <c r="P1684" s="623"/>
      <c r="Q1684" s="619"/>
      <c r="R1684" s="596"/>
      <c r="S1684" s="612"/>
      <c r="T1684" s="599">
        <f>G1660</f>
        <v>0</v>
      </c>
      <c r="U1684" s="578"/>
      <c r="V1684" s="579"/>
      <c r="W1684" s="579">
        <f t="shared" si="238"/>
        <v>0</v>
      </c>
      <c r="X1684" s="579"/>
      <c r="Y1684" s="879"/>
      <c r="Z1684" s="121"/>
      <c r="AA1684" s="143"/>
      <c r="AB1684" s="143"/>
      <c r="AC1684" s="504"/>
      <c r="AD1684" s="505"/>
      <c r="AE1684" s="143"/>
      <c r="AF1684" s="148"/>
      <c r="BO1684" s="86"/>
    </row>
    <row r="1685" spans="1:67" ht="15.75" customHeight="1" thickBot="1" x14ac:dyDescent="0.3">
      <c r="A1685" s="520">
        <f>IFERROR(VLOOKUP($G$5,'רשימת רשויות'!A:C,3,0),0)</f>
        <v>0</v>
      </c>
      <c r="B1685" s="520">
        <f t="shared" si="240"/>
        <v>0</v>
      </c>
      <c r="D1685" s="1134"/>
      <c r="E1685" s="1137"/>
      <c r="F1685" s="592" t="s">
        <v>21</v>
      </c>
      <c r="G1685" s="144">
        <f>G1683-G1684</f>
        <v>0</v>
      </c>
      <c r="H1685" s="144">
        <f>H1683-H1684</f>
        <v>0</v>
      </c>
      <c r="I1685" s="145"/>
      <c r="J1685" s="145"/>
      <c r="K1685" s="146"/>
      <c r="L1685" s="396"/>
      <c r="M1685" s="396"/>
      <c r="N1685" s="396"/>
      <c r="O1685" s="602"/>
      <c r="P1685" s="619"/>
      <c r="Q1685" s="619"/>
      <c r="R1685" s="596"/>
      <c r="S1685" s="612"/>
      <c r="T1685" s="599">
        <f>G1660</f>
        <v>0</v>
      </c>
      <c r="U1685" s="578"/>
      <c r="V1685" s="579"/>
      <c r="W1685" s="579">
        <f t="shared" si="238"/>
        <v>0</v>
      </c>
      <c r="X1685" s="579"/>
      <c r="Y1685" s="879"/>
      <c r="Z1685" s="147"/>
      <c r="AA1685" s="148"/>
      <c r="AB1685" s="148"/>
      <c r="AC1685" s="504"/>
      <c r="AD1685" s="505"/>
      <c r="AE1685" s="148"/>
      <c r="AF1685" s="148"/>
      <c r="BO1685" s="86"/>
    </row>
    <row r="1686" spans="1:67" ht="15.75" customHeight="1" thickBot="1" x14ac:dyDescent="0.3">
      <c r="A1686" s="520">
        <f>IFERROR(VLOOKUP($G$5,'רשימת רשויות'!A:C,3,0),0)</f>
        <v>0</v>
      </c>
      <c r="B1686" s="520">
        <f t="shared" si="240"/>
        <v>0</v>
      </c>
      <c r="D1686" s="1134"/>
      <c r="E1686" s="1137"/>
      <c r="F1686" s="580"/>
      <c r="G1686" s="580"/>
      <c r="H1686" s="147"/>
      <c r="I1686" s="149" t="s">
        <v>2197</v>
      </c>
      <c r="J1686" s="150">
        <f>MAX(MIN(P1683,Q1683),0)</f>
        <v>0</v>
      </c>
      <c r="K1686" s="580"/>
      <c r="L1686" s="580"/>
      <c r="M1686" s="580"/>
      <c r="N1686" s="580"/>
      <c r="O1686" s="580"/>
      <c r="P1686" s="615" t="s">
        <v>2317</v>
      </c>
      <c r="Q1686" s="624">
        <f>SUM(Q1687:Q1688)</f>
        <v>0</v>
      </c>
      <c r="R1686" s="596"/>
      <c r="S1686" s="612"/>
      <c r="T1686" s="599">
        <f>G1660</f>
        <v>0</v>
      </c>
      <c r="U1686" s="578"/>
      <c r="V1686" s="579"/>
      <c r="W1686" s="579">
        <f t="shared" si="238"/>
        <v>0</v>
      </c>
      <c r="X1686" s="579"/>
      <c r="Y1686" s="879"/>
      <c r="Z1686" s="106"/>
      <c r="AC1686" s="504"/>
      <c r="AD1686" s="505"/>
      <c r="AF1686" s="148"/>
      <c r="BO1686" s="86"/>
    </row>
    <row r="1687" spans="1:67" ht="16.5" thickBot="1" x14ac:dyDescent="0.3">
      <c r="A1687" s="520">
        <f>IFERROR(VLOOKUP($G$5,'רשימת רשויות'!A:C,3,0),0)</f>
        <v>0</v>
      </c>
      <c r="B1687" s="520">
        <f t="shared" si="240"/>
        <v>0</v>
      </c>
      <c r="D1687" s="1134"/>
      <c r="E1687" s="1137"/>
      <c r="F1687" s="580"/>
      <c r="G1687" s="580"/>
      <c r="H1687" s="580"/>
      <c r="I1687" s="84" t="s">
        <v>2193</v>
      </c>
      <c r="J1687" s="515" t="str">
        <f>IFERROR(1-H1684/H1683,"")</f>
        <v/>
      </c>
      <c r="K1687" s="580"/>
      <c r="L1687" s="580"/>
      <c r="M1687" s="580"/>
      <c r="N1687" s="580"/>
      <c r="O1687" s="580"/>
      <c r="P1687" s="615" t="s">
        <v>417</v>
      </c>
      <c r="Q1687" s="616">
        <f>IFERROR(MAX(H1685-I1688-Q1688,0),0)</f>
        <v>0</v>
      </c>
      <c r="R1687" s="596"/>
      <c r="S1687" s="600"/>
      <c r="T1687" s="599">
        <f>G1660</f>
        <v>0</v>
      </c>
      <c r="U1687" s="578"/>
      <c r="V1687" s="579"/>
      <c r="W1687" s="579">
        <f t="shared" si="238"/>
        <v>0</v>
      </c>
      <c r="X1687" s="579"/>
      <c r="Y1687" s="879"/>
      <c r="Z1687" s="106"/>
      <c r="AC1687" s="504"/>
      <c r="AD1687" s="505"/>
      <c r="BO1687" s="86"/>
    </row>
    <row r="1688" spans="1:67" ht="17.25" thickBot="1" x14ac:dyDescent="0.3">
      <c r="A1688" s="520">
        <f>IFERROR(VLOOKUP($G$5,'רשימת רשויות'!A:C,3,0),0)</f>
        <v>0</v>
      </c>
      <c r="B1688" s="520">
        <f t="shared" si="240"/>
        <v>0</v>
      </c>
      <c r="D1688" s="1134"/>
      <c r="E1688" s="1137"/>
      <c r="F1688" s="1143" t="s">
        <v>2679</v>
      </c>
      <c r="G1688" s="1143"/>
      <c r="H1688" s="1143"/>
      <c r="I1688" s="722">
        <f>IF(G1665="לא תקין","לא קיימת זכאות לתקציב לאור אי איוש משרות רכז ו/או סגן רכז ",IFERROR(J1687*(J1686+J1683),0))</f>
        <v>0</v>
      </c>
      <c r="J1688" s="573"/>
      <c r="K1688" s="574"/>
      <c r="L1688" s="396"/>
      <c r="M1688" s="574"/>
      <c r="N1688" s="574"/>
      <c r="O1688" s="574"/>
      <c r="P1688" s="615" t="s">
        <v>2279</v>
      </c>
      <c r="Q1688" s="616">
        <f>MAX(IF(AND(G1683&gt;H1683,I1688&lt;H1685),H1685-I1688,0),0)</f>
        <v>0</v>
      </c>
      <c r="R1688" s="575"/>
      <c r="S1688" s="576" t="s">
        <v>67</v>
      </c>
      <c r="T1688" s="577">
        <f>G1660</f>
        <v>0</v>
      </c>
      <c r="U1688" s="578"/>
      <c r="V1688" s="579">
        <f>I1688</f>
        <v>0</v>
      </c>
      <c r="W1688" s="579">
        <f>IFERROR(U1688-V1688,0)</f>
        <v>0</v>
      </c>
      <c r="X1688" s="579">
        <f>SUM(X1674:X1687)</f>
        <v>0</v>
      </c>
      <c r="Y1688" s="879"/>
      <c r="Z1688" s="106"/>
      <c r="AC1688" s="506">
        <v>0</v>
      </c>
      <c r="AD1688" s="507">
        <f>IFERROR(U1688-AC1688,0)</f>
        <v>0</v>
      </c>
      <c r="BO1688" s="86"/>
    </row>
    <row r="1689" spans="1:67" ht="16.5" thickBot="1" x14ac:dyDescent="0.3">
      <c r="A1689" s="520">
        <f>IFERROR(VLOOKUP($G$5,'רשימת רשויות'!A:C,3,0),0)</f>
        <v>0</v>
      </c>
      <c r="B1689" s="520">
        <f t="shared" si="240"/>
        <v>0</v>
      </c>
      <c r="D1689" s="1135"/>
      <c r="E1689" s="1138"/>
      <c r="F1689" s="1144" t="s">
        <v>2793</v>
      </c>
      <c r="G1689" s="1145"/>
      <c r="H1689" s="1145"/>
      <c r="I1689" s="593">
        <f>IFERROR(IF(G1665="תקין",SUMIFS('סייעות רפואיות או אישיות (7)'!$Q$17:Q$384,'סייעות רפואיות או אישיות (7)'!C$17:C$384,G1660),0),0)</f>
        <v>0</v>
      </c>
      <c r="J1689" s="151"/>
      <c r="K1689" s="152"/>
      <c r="L1689" s="409"/>
      <c r="M1689" s="152"/>
      <c r="N1689" s="152"/>
      <c r="O1689" s="152"/>
      <c r="P1689" s="613"/>
      <c r="Q1689" s="614"/>
      <c r="R1689" s="475"/>
      <c r="S1689" s="489"/>
      <c r="T1689" s="490"/>
      <c r="U1689" s="491"/>
      <c r="V1689" s="492"/>
      <c r="W1689" s="492"/>
      <c r="X1689" s="492"/>
      <c r="Y1689" s="880"/>
      <c r="Z1689" s="153"/>
      <c r="AC1689" s="581"/>
      <c r="AD1689" s="582"/>
      <c r="BO1689" s="86"/>
    </row>
    <row r="1690" spans="1:67" ht="34.5" thickBot="1" x14ac:dyDescent="0.55000000000000004">
      <c r="A1690" s="520">
        <f>IFERROR(VLOOKUP($G$5,'רשימת רשויות'!A:C,3,0),0)</f>
        <v>0</v>
      </c>
      <c r="B1690" s="520">
        <f t="shared" si="240"/>
        <v>0</v>
      </c>
      <c r="E1690" s="154"/>
      <c r="I1690" s="143"/>
      <c r="J1690" s="148"/>
      <c r="O1690" s="148"/>
      <c r="T1690" s="481"/>
      <c r="BO1690" s="86"/>
    </row>
    <row r="1691" spans="1:67" s="20" customFormat="1" ht="16.5" customHeight="1" thickBot="1" x14ac:dyDescent="0.3">
      <c r="A1691" s="520">
        <f>IFERROR(VLOOKUP($G$5,'רשימת רשויות'!A:C,3,0),0)</f>
        <v>0</v>
      </c>
      <c r="B1691" s="520">
        <f t="shared" si="240"/>
        <v>0</v>
      </c>
      <c r="C1691" s="39"/>
      <c r="D1691" s="1133">
        <f>D1660+1</f>
        <v>55</v>
      </c>
      <c r="E1691" s="1136" t="str">
        <f>IFERROR(CONCATENATE("בית הספר ",VLOOKUP(G1691,'מצבת והרשמה (2)'!$C$21:$D$520,2,0)," - ",$G$5),"")</f>
        <v>בית הספר המוסד לא קיים - 0</v>
      </c>
      <c r="F1691" s="720" t="s">
        <v>146</v>
      </c>
      <c r="G1691" s="721">
        <f>IFERROR(VLOOKUP(D:D,'דוח ביצוע (3)'!$A$21:$C$900,2,0),0)</f>
        <v>0</v>
      </c>
      <c r="H1691" s="79"/>
      <c r="I1691" s="80" t="s">
        <v>150</v>
      </c>
      <c r="J1691" s="80"/>
      <c r="K1691" s="81"/>
      <c r="L1691" s="392"/>
      <c r="M1691" s="392"/>
      <c r="N1691" s="392"/>
      <c r="O1691" s="82"/>
      <c r="P1691" s="470"/>
      <c r="Q1691" s="471"/>
      <c r="R1691" s="472"/>
      <c r="S1691" s="883"/>
      <c r="T1691" s="884"/>
      <c r="U1691" s="486"/>
      <c r="V1691" s="487"/>
      <c r="W1691" s="487"/>
      <c r="X1691" s="487"/>
      <c r="Y1691" s="885"/>
      <c r="Z1691" s="83"/>
      <c r="AC1691" s="502"/>
      <c r="AD1691" s="503"/>
      <c r="AO1691" s="22"/>
      <c r="AP1691" s="22"/>
      <c r="AQ1691" s="22"/>
      <c r="AR1691" s="22"/>
      <c r="AS1691" s="22"/>
      <c r="AT1691" s="22"/>
      <c r="AU1691" s="35"/>
      <c r="AV1691" s="35"/>
      <c r="AW1691" s="35"/>
      <c r="AX1691" s="35"/>
      <c r="AY1691" s="35"/>
      <c r="AZ1691" s="35"/>
      <c r="BA1691" s="35"/>
      <c r="BB1691" s="35"/>
      <c r="BC1691" s="35"/>
      <c r="BD1691" s="35"/>
      <c r="BE1691" s="35"/>
      <c r="BF1691" s="35"/>
      <c r="BG1691" s="35"/>
      <c r="BH1691" s="35"/>
      <c r="BI1691" s="35"/>
      <c r="BJ1691" s="35"/>
      <c r="BK1691" s="35"/>
      <c r="BL1691" s="35"/>
      <c r="BM1691" s="35"/>
      <c r="BN1691" s="35"/>
      <c r="BO1691" s="78"/>
    </row>
    <row r="1692" spans="1:67" s="20" customFormat="1" ht="16.5" thickBot="1" x14ac:dyDescent="0.3">
      <c r="A1692" s="520">
        <f>IFERROR(VLOOKUP($G$5,'רשימת רשויות'!A:C,3,0),0)</f>
        <v>0</v>
      </c>
      <c r="B1692" s="520">
        <f t="shared" si="240"/>
        <v>0</v>
      </c>
      <c r="C1692" s="39"/>
      <c r="D1692" s="1134"/>
      <c r="E1692" s="1137"/>
      <c r="F1692" s="583" t="s">
        <v>145</v>
      </c>
      <c r="G1692" s="516" t="str">
        <f>IFERROR(IF((G1694+G1695)=0,"",IF(VLOOKUP(G1691,'דוח ביצוע (3)'!$B$21:$K$900,5,0)&gt;149,"גדול",IF(AND(VLOOKUP(G1691,'דוח ביצוע (3)'!$B$21:$K$900,5,0)&gt;0,VLOOKUP(G1691,'דוח ביצוע (3)'!$B$21:$K$900,5,0)&lt;150),"קטן",0))),"")</f>
        <v/>
      </c>
      <c r="H1692" s="723" t="s">
        <v>88</v>
      </c>
      <c r="I1692" s="723" t="s">
        <v>13</v>
      </c>
      <c r="J1692" s="725" t="s">
        <v>14</v>
      </c>
      <c r="K1692" s="724" t="s">
        <v>94</v>
      </c>
      <c r="L1692" s="594"/>
      <c r="M1692" s="420" t="s">
        <v>2584</v>
      </c>
      <c r="N1692" s="397" t="s">
        <v>413</v>
      </c>
      <c r="O1692" s="398" t="s">
        <v>52</v>
      </c>
      <c r="P1692" s="595"/>
      <c r="Q1692" s="595"/>
      <c r="R1692" s="596"/>
      <c r="S1692" s="610"/>
      <c r="T1692" s="881"/>
      <c r="U1692" s="598"/>
      <c r="V1692" s="599"/>
      <c r="W1692" s="599"/>
      <c r="X1692" s="599"/>
      <c r="Y1692" s="879"/>
      <c r="Z1692" s="85"/>
      <c r="AC1692" s="493"/>
      <c r="AD1692" s="495"/>
      <c r="AO1692" s="22"/>
      <c r="AP1692" s="22"/>
      <c r="AQ1692" s="22"/>
      <c r="AR1692" s="22"/>
      <c r="AS1692" s="22"/>
      <c r="AT1692" s="22"/>
      <c r="AU1692" s="35"/>
      <c r="AV1692" s="35"/>
      <c r="AW1692" s="35"/>
      <c r="AX1692" s="35"/>
      <c r="AY1692" s="35"/>
      <c r="AZ1692" s="35"/>
      <c r="BA1692" s="35"/>
      <c r="BB1692" s="35"/>
      <c r="BC1692" s="35"/>
      <c r="BD1692" s="35"/>
      <c r="BE1692" s="35"/>
      <c r="BF1692" s="35"/>
      <c r="BG1692" s="35"/>
      <c r="BH1692" s="35"/>
      <c r="BI1692" s="35"/>
      <c r="BJ1692" s="35"/>
      <c r="BK1692" s="35"/>
      <c r="BL1692" s="35"/>
      <c r="BM1692" s="35"/>
      <c r="BN1692" s="35"/>
      <c r="BO1692" s="78"/>
    </row>
    <row r="1693" spans="1:67" s="20" customFormat="1" ht="15.75" customHeight="1" thickBot="1" x14ac:dyDescent="0.3">
      <c r="A1693" s="520">
        <f>IFERROR(VLOOKUP($G$5,'רשימת רשויות'!A:C,3,0),0)</f>
        <v>0</v>
      </c>
      <c r="B1693" s="520">
        <f t="shared" si="240"/>
        <v>0</v>
      </c>
      <c r="C1693" s="39"/>
      <c r="D1693" s="1134"/>
      <c r="E1693" s="1137"/>
      <c r="F1693" s="584" t="s">
        <v>144</v>
      </c>
      <c r="G1693" s="87">
        <f>IF(G1696="תקין",IFERROR(VLOOKUP($G1691,'דוח ביצוע (3)'!$B$21:$Q$900,12,0),0),0)</f>
        <v>0</v>
      </c>
      <c r="H1693" s="88">
        <f>IFERROR(G1694*$AH$6+G1695*$AH$7,0)</f>
        <v>0</v>
      </c>
      <c r="I1693" s="88">
        <f>IFERROR(G1694*$AI$6+G1695*$AI$7,0)</f>
        <v>0</v>
      </c>
      <c r="J1693" s="88">
        <f>IFERROR(G1694*$AJ$6+G1695*$AJ$7,0)</f>
        <v>0</v>
      </c>
      <c r="K1693" s="88">
        <f>IFERROR(G1694*$AK$6+G1695*$AK$7,0)</f>
        <v>0</v>
      </c>
      <c r="L1693" s="405"/>
      <c r="M1693" s="399" t="s">
        <v>427</v>
      </c>
      <c r="N1693" s="400" t="str">
        <f>IFERROR(VLOOKUP($G1691,'דוח ביצוע (3)'!$B:$AE,28,0),"")</f>
        <v/>
      </c>
      <c r="O1693" s="89" t="str">
        <f>IFERROR(VLOOKUP($G1691,'דוח ביצוע (3)'!B:AE,29,0),"")</f>
        <v/>
      </c>
      <c r="P1693" s="595"/>
      <c r="Q1693" s="595"/>
      <c r="R1693" s="596"/>
      <c r="S1693" s="610"/>
      <c r="T1693" s="881"/>
      <c r="U1693" s="598"/>
      <c r="V1693" s="599"/>
      <c r="W1693" s="599"/>
      <c r="X1693" s="599"/>
      <c r="Y1693" s="879"/>
      <c r="Z1693" s="85"/>
      <c r="AC1693" s="493"/>
      <c r="AD1693" s="495"/>
      <c r="AO1693" s="22"/>
      <c r="AP1693" s="22"/>
      <c r="AQ1693" s="22"/>
      <c r="AR1693" s="22"/>
      <c r="AS1693" s="22"/>
      <c r="AT1693" s="22"/>
      <c r="AU1693" s="35"/>
      <c r="AV1693" s="35"/>
      <c r="AW1693" s="35"/>
      <c r="AX1693" s="35"/>
      <c r="AY1693" s="35"/>
      <c r="AZ1693" s="35"/>
      <c r="BA1693" s="35"/>
      <c r="BB1693" s="35"/>
      <c r="BC1693" s="35"/>
      <c r="BD1693" s="35"/>
      <c r="BE1693" s="35"/>
      <c r="BF1693" s="35"/>
      <c r="BG1693" s="35"/>
      <c r="BH1693" s="35"/>
      <c r="BI1693" s="35"/>
      <c r="BJ1693" s="35"/>
      <c r="BK1693" s="35"/>
      <c r="BL1693" s="35"/>
      <c r="BM1693" s="35"/>
      <c r="BN1693" s="35"/>
      <c r="BO1693" s="78"/>
    </row>
    <row r="1694" spans="1:67" s="20" customFormat="1" ht="32.25" thickBot="1" x14ac:dyDescent="0.3">
      <c r="A1694" s="520">
        <f>IFERROR(VLOOKUP($G$5,'רשימת רשויות'!A:C,3,0),0)</f>
        <v>0</v>
      </c>
      <c r="B1694" s="520">
        <f t="shared" si="240"/>
        <v>0</v>
      </c>
      <c r="C1694" s="39"/>
      <c r="D1694" s="1134"/>
      <c r="E1694" s="1137"/>
      <c r="F1694" s="585" t="s">
        <v>2195</v>
      </c>
      <c r="G1694" s="89">
        <f>IF(G1696="תקין",MAX(N1696,0),0)</f>
        <v>0</v>
      </c>
      <c r="H1694" s="725" t="s">
        <v>151</v>
      </c>
      <c r="I1694" s="725" t="s">
        <v>91</v>
      </c>
      <c r="J1694" s="970" t="s">
        <v>3396</v>
      </c>
      <c r="K1694" s="601"/>
      <c r="L1694" s="601"/>
      <c r="M1694" s="983" t="s">
        <v>2585</v>
      </c>
      <c r="N1694" s="400" t="str">
        <f>IFERROR(G1693/15*N1693*1.25,"")</f>
        <v/>
      </c>
      <c r="O1694" s="89" t="str">
        <f>IFERROR(G1693/15*O1693*1.25,"")</f>
        <v/>
      </c>
      <c r="P1694" s="595"/>
      <c r="Q1694" s="595"/>
      <c r="R1694" s="596"/>
      <c r="S1694" s="610"/>
      <c r="T1694" s="881"/>
      <c r="U1694" s="598"/>
      <c r="V1694" s="599"/>
      <c r="W1694" s="599"/>
      <c r="X1694" s="599"/>
      <c r="Y1694" s="879"/>
      <c r="Z1694" s="85"/>
      <c r="AC1694" s="493"/>
      <c r="AD1694" s="495"/>
      <c r="AG1694" s="22"/>
      <c r="AH1694" s="55"/>
      <c r="AI1694" s="55"/>
      <c r="AJ1694" s="55"/>
      <c r="AK1694" s="55"/>
      <c r="AO1694" s="22"/>
      <c r="AP1694" s="22"/>
      <c r="AQ1694" s="22"/>
      <c r="AR1694" s="22"/>
      <c r="AS1694" s="22"/>
      <c r="AT1694" s="22"/>
      <c r="AU1694" s="35"/>
      <c r="AV1694" s="35"/>
      <c r="AW1694" s="35"/>
      <c r="AX1694" s="35"/>
      <c r="AY1694" s="35"/>
      <c r="AZ1694" s="35"/>
      <c r="BA1694" s="35"/>
      <c r="BB1694" s="35"/>
      <c r="BC1694" s="35"/>
      <c r="BD1694" s="35"/>
      <c r="BE1694" s="35"/>
      <c r="BF1694" s="35"/>
      <c r="BG1694" s="35"/>
      <c r="BH1694" s="35"/>
      <c r="BI1694" s="35"/>
      <c r="BJ1694" s="35"/>
      <c r="BK1694" s="35"/>
      <c r="BL1694" s="35"/>
      <c r="BM1694" s="35"/>
      <c r="BN1694" s="35"/>
      <c r="BO1694" s="86"/>
    </row>
    <row r="1695" spans="1:67" s="20" customFormat="1" ht="16.5" thickBot="1" x14ac:dyDescent="0.3">
      <c r="A1695" s="520">
        <f>IFERROR(VLOOKUP($G$5,'רשימת רשויות'!A:C,3,0),0)</f>
        <v>0</v>
      </c>
      <c r="B1695" s="520">
        <f t="shared" si="240"/>
        <v>0</v>
      </c>
      <c r="C1695" s="39"/>
      <c r="D1695" s="1134"/>
      <c r="E1695" s="1137"/>
      <c r="F1695" s="585" t="s">
        <v>2196</v>
      </c>
      <c r="G1695" s="89">
        <f>IF(G1696="תקין",MAX(O1696,0),0)</f>
        <v>0</v>
      </c>
      <c r="H1695" s="88">
        <f>(IFERROR(IF((G1694+G1695)=0,0,IF(G1692="קטן",G1693*$AH$10,G1693*$AH$11)),0))+(IFERROR(IF((G1694+G1695)=0,0,VLOOKUP(G1691,'דוח ביצוע (3)'!$B:$AH,33,0)),0))</f>
        <v>0</v>
      </c>
      <c r="I1695" s="88">
        <f>IFERROR(IF((G1694+G1695)=0,0,IF(G1692="קטן",G1693*$AI$10,G1693*$AI$11)),0)</f>
        <v>0</v>
      </c>
      <c r="J1695" s="88">
        <f>IFERROR(IF((G1694+G1695)=0,0,VLOOKUP(G1691,'דוח ביצוע (3)'!$B:$AH,32,0)),0)</f>
        <v>0</v>
      </c>
      <c r="K1695" s="90"/>
      <c r="L1695" s="90"/>
      <c r="M1695" s="399" t="s">
        <v>412</v>
      </c>
      <c r="N1695" s="400">
        <f>IFERROR(VLOOKUP($G1691,'דוח ביצוע (3)'!$B$21:$U$500,18,0),0)</f>
        <v>0</v>
      </c>
      <c r="O1695" s="401">
        <f>IFERROR(VLOOKUP($G1691,'דוח ביצוע (3)'!$B$21:$U$500,19,0),0)</f>
        <v>0</v>
      </c>
      <c r="P1695" s="595"/>
      <c r="Q1695" s="595"/>
      <c r="R1695" s="596"/>
      <c r="S1695" s="610"/>
      <c r="T1695" s="881"/>
      <c r="U1695" s="598"/>
      <c r="V1695" s="599"/>
      <c r="W1695" s="599"/>
      <c r="X1695" s="599"/>
      <c r="Y1695" s="879"/>
      <c r="Z1695" s="85"/>
      <c r="AC1695" s="493"/>
      <c r="AD1695" s="495"/>
      <c r="AG1695" s="22"/>
      <c r="AH1695" s="55"/>
      <c r="AI1695" s="55"/>
      <c r="AJ1695" s="55"/>
      <c r="AK1695" s="55"/>
      <c r="AO1695" s="22"/>
      <c r="AP1695" s="22"/>
      <c r="AQ1695" s="22"/>
      <c r="AR1695" s="22"/>
      <c r="AS1695" s="22"/>
      <c r="AT1695" s="22"/>
      <c r="AU1695" s="35"/>
      <c r="AV1695" s="35"/>
      <c r="AW1695" s="35"/>
      <c r="AX1695" s="35"/>
      <c r="AY1695" s="35"/>
      <c r="AZ1695" s="35"/>
      <c r="BA1695" s="35"/>
      <c r="BB1695" s="35"/>
      <c r="BC1695" s="35"/>
      <c r="BD1695" s="35"/>
      <c r="BE1695" s="35"/>
      <c r="BF1695" s="35"/>
      <c r="BG1695" s="35"/>
      <c r="BH1695" s="35"/>
      <c r="BI1695" s="35"/>
      <c r="BJ1695" s="35"/>
      <c r="BK1695" s="35"/>
      <c r="BL1695" s="35"/>
      <c r="BM1695" s="35"/>
      <c r="BN1695" s="35"/>
      <c r="BO1695" s="86"/>
    </row>
    <row r="1696" spans="1:67" s="20" customFormat="1" ht="16.5" thickBot="1" x14ac:dyDescent="0.3">
      <c r="A1696" s="520">
        <f>IFERROR(VLOOKUP($G$5,'רשימת רשויות'!A:C,3,0),0)</f>
        <v>0</v>
      </c>
      <c r="B1696" s="520">
        <f t="shared" si="240"/>
        <v>0</v>
      </c>
      <c r="C1696" s="39"/>
      <c r="D1696" s="1134"/>
      <c r="E1696" s="1137"/>
      <c r="F1696" s="586" t="s">
        <v>2355</v>
      </c>
      <c r="G1696" s="514">
        <f>IFERROR(IF(VLOOKUP('בית ספר - תקצוב לפי מוסד (9)'!G1691,' איוש משרות (8)'!$C:$K,9,0)="תקין","תקין","לא תקין"),0)</f>
        <v>0</v>
      </c>
      <c r="H1696" s="91"/>
      <c r="I1696" s="91"/>
      <c r="J1696" s="91"/>
      <c r="K1696" s="90"/>
      <c r="L1696" s="90"/>
      <c r="M1696" s="402" t="s">
        <v>2586</v>
      </c>
      <c r="N1696" s="403">
        <f>IFERROR(MIN(N1694,N1695),0)</f>
        <v>0</v>
      </c>
      <c r="O1696" s="404">
        <f>IFERROR(MIN(O1694,O1695),0)</f>
        <v>0</v>
      </c>
      <c r="P1696" s="595"/>
      <c r="Q1696" s="595"/>
      <c r="R1696" s="596"/>
      <c r="S1696" s="610"/>
      <c r="T1696" s="881"/>
      <c r="U1696" s="598"/>
      <c r="V1696" s="599"/>
      <c r="W1696" s="599"/>
      <c r="X1696" s="599"/>
      <c r="Y1696" s="879"/>
      <c r="Z1696" s="85"/>
      <c r="AC1696" s="493"/>
      <c r="AD1696" s="495"/>
      <c r="AG1696" s="94"/>
      <c r="AH1696" s="40"/>
      <c r="AI1696" s="40"/>
      <c r="AJ1696" s="40"/>
      <c r="AK1696" s="40"/>
      <c r="AO1696" s="22"/>
      <c r="AP1696" s="22"/>
      <c r="AQ1696" s="22"/>
      <c r="AR1696" s="22"/>
      <c r="AS1696" s="22"/>
      <c r="AT1696" s="22"/>
      <c r="AU1696" s="35"/>
      <c r="AV1696" s="35"/>
      <c r="AW1696" s="35"/>
      <c r="AX1696" s="35"/>
      <c r="AY1696" s="35"/>
      <c r="AZ1696" s="35"/>
      <c r="BA1696" s="35"/>
      <c r="BB1696" s="35"/>
      <c r="BC1696" s="35"/>
      <c r="BD1696" s="35"/>
      <c r="BE1696" s="35"/>
      <c r="BF1696" s="35"/>
      <c r="BG1696" s="35"/>
      <c r="BH1696" s="35"/>
      <c r="BI1696" s="35"/>
      <c r="BJ1696" s="35"/>
      <c r="BK1696" s="35"/>
      <c r="BL1696" s="35"/>
      <c r="BM1696" s="35"/>
      <c r="BN1696" s="35"/>
      <c r="BO1696" s="86"/>
    </row>
    <row r="1697" spans="1:67" s="55" customFormat="1" ht="37.15" customHeight="1" thickBot="1" x14ac:dyDescent="0.3">
      <c r="A1697" s="520">
        <f>IFERROR(VLOOKUP($G$5,'רשימת רשויות'!A:C,3,0),0)</f>
        <v>0</v>
      </c>
      <c r="B1697" s="520">
        <f t="shared" si="240"/>
        <v>0</v>
      </c>
      <c r="C1697" s="39"/>
      <c r="D1697" s="1134"/>
      <c r="E1697" s="1137"/>
      <c r="F1697" s="587" t="s">
        <v>142</v>
      </c>
      <c r="G1697" s="92"/>
      <c r="H1697" s="92"/>
      <c r="I1697" s="92"/>
      <c r="J1697" s="92"/>
      <c r="K1697" s="602"/>
      <c r="L1697" s="602"/>
      <c r="M1697" s="602"/>
      <c r="N1697" s="602"/>
      <c r="O1697" s="602"/>
      <c r="P1697" s="595"/>
      <c r="Q1697" s="595"/>
      <c r="R1697" s="596"/>
      <c r="S1697" s="610"/>
      <c r="T1697" s="881"/>
      <c r="U1697" s="598"/>
      <c r="V1697" s="599"/>
      <c r="W1697" s="599"/>
      <c r="X1697" s="599"/>
      <c r="Y1697" s="879"/>
      <c r="Z1697" s="93"/>
      <c r="AC1697" s="493"/>
      <c r="AD1697" s="495"/>
      <c r="AF1697" s="22"/>
      <c r="AG1697" s="98"/>
      <c r="AH1697" s="98"/>
      <c r="AI1697" s="40"/>
      <c r="AJ1697" s="40"/>
      <c r="AK1697" s="40"/>
      <c r="AO1697" s="22"/>
      <c r="AP1697" s="22"/>
      <c r="AQ1697" s="22"/>
      <c r="AR1697" s="22"/>
      <c r="AS1697" s="22"/>
      <c r="AT1697" s="22"/>
      <c r="AU1697" s="35"/>
      <c r="AV1697" s="35"/>
      <c r="AW1697" s="35"/>
      <c r="AX1697" s="35"/>
      <c r="AY1697" s="35"/>
      <c r="AZ1697" s="35"/>
      <c r="BA1697" s="35"/>
      <c r="BB1697" s="35"/>
      <c r="BC1697" s="35"/>
      <c r="BD1697" s="35"/>
      <c r="BE1697" s="35"/>
      <c r="BF1697" s="35"/>
      <c r="BG1697" s="35"/>
      <c r="BH1697" s="35"/>
      <c r="BI1697" s="35"/>
      <c r="BJ1697" s="35"/>
      <c r="BK1697" s="35"/>
      <c r="BL1697" s="35"/>
      <c r="BM1697" s="35"/>
      <c r="BN1697" s="35"/>
      <c r="BO1697" s="86"/>
    </row>
    <row r="1698" spans="1:67" s="40" customFormat="1" ht="31.5" x14ac:dyDescent="0.25">
      <c r="A1698" s="520">
        <f>IFERROR(VLOOKUP($G$5,'רשימת רשויות'!A:C,3,0),0)</f>
        <v>0</v>
      </c>
      <c r="B1698" s="520">
        <f t="shared" si="240"/>
        <v>0</v>
      </c>
      <c r="C1698" s="39"/>
      <c r="D1698" s="1134"/>
      <c r="E1698" s="1137"/>
      <c r="F1698" s="588" t="s">
        <v>94</v>
      </c>
      <c r="G1698" s="95" t="s">
        <v>18</v>
      </c>
      <c r="H1698" s="95" t="s">
        <v>19</v>
      </c>
      <c r="I1698" s="95" t="s">
        <v>138</v>
      </c>
      <c r="J1698" s="96" t="s">
        <v>139</v>
      </c>
      <c r="K1698" s="603"/>
      <c r="L1698" s="603"/>
      <c r="M1698" s="603"/>
      <c r="N1698" s="603"/>
      <c r="O1698" s="603"/>
      <c r="P1698" s="604"/>
      <c r="Q1698" s="604"/>
      <c r="R1698" s="596"/>
      <c r="S1698" s="610"/>
      <c r="T1698" s="881"/>
      <c r="U1698" s="598"/>
      <c r="V1698" s="599"/>
      <c r="W1698" s="599"/>
      <c r="X1698" s="599"/>
      <c r="Y1698" s="879"/>
      <c r="Z1698" s="97"/>
      <c r="AA1698" s="94"/>
      <c r="AB1698" s="94"/>
      <c r="AC1698" s="493"/>
      <c r="AD1698" s="495"/>
      <c r="AE1698" s="94"/>
      <c r="AG1698" s="98"/>
      <c r="AH1698" s="98"/>
      <c r="AO1698" s="22"/>
      <c r="AP1698" s="22"/>
      <c r="AQ1698" s="22"/>
      <c r="AR1698" s="22"/>
      <c r="AS1698" s="22"/>
      <c r="AT1698" s="22"/>
      <c r="AU1698" s="35"/>
      <c r="AV1698" s="35"/>
      <c r="AW1698" s="35"/>
      <c r="AX1698" s="35"/>
      <c r="AY1698" s="35"/>
      <c r="AZ1698" s="35"/>
      <c r="BA1698" s="35"/>
      <c r="BB1698" s="35"/>
      <c r="BC1698" s="35"/>
      <c r="BD1698" s="35"/>
      <c r="BE1698" s="35"/>
      <c r="BF1698" s="35"/>
      <c r="BG1698" s="35"/>
      <c r="BH1698" s="35"/>
      <c r="BI1698" s="35"/>
      <c r="BJ1698" s="35"/>
      <c r="BK1698" s="35"/>
      <c r="BL1698" s="35"/>
      <c r="BM1698" s="35"/>
      <c r="BN1698" s="35"/>
      <c r="BO1698" s="86"/>
    </row>
    <row r="1699" spans="1:67" s="40" customFormat="1" ht="15.75" customHeight="1" thickBot="1" x14ac:dyDescent="0.3">
      <c r="A1699" s="520">
        <f>IFERROR(VLOOKUP($G$5,'רשימת רשויות'!A:C,3,0),0)</f>
        <v>0</v>
      </c>
      <c r="B1699" s="520">
        <f t="shared" si="240"/>
        <v>0</v>
      </c>
      <c r="C1699" s="39"/>
      <c r="D1699" s="1134"/>
      <c r="E1699" s="1137"/>
      <c r="F1699" s="589" t="s">
        <v>2280</v>
      </c>
      <c r="G1699" s="99">
        <f>+G1710</f>
        <v>0</v>
      </c>
      <c r="H1699" s="100">
        <f>K1693</f>
        <v>0</v>
      </c>
      <c r="I1699" s="100">
        <f>H1699-I1701</f>
        <v>0</v>
      </c>
      <c r="J1699" s="101">
        <f>IFERROR(I1699/H1699,0)</f>
        <v>0</v>
      </c>
      <c r="K1699" s="603"/>
      <c r="L1699" s="603"/>
      <c r="M1699" s="603"/>
      <c r="N1699" s="603"/>
      <c r="O1699" s="603"/>
      <c r="P1699" s="605"/>
      <c r="Q1699" s="604"/>
      <c r="R1699" s="606" t="s">
        <v>157</v>
      </c>
      <c r="S1699" s="611"/>
      <c r="T1699" s="881"/>
      <c r="U1699" s="598"/>
      <c r="V1699" s="599"/>
      <c r="W1699" s="599"/>
      <c r="X1699" s="599"/>
      <c r="Y1699" s="879"/>
      <c r="Z1699" s="102"/>
      <c r="AA1699" s="122"/>
      <c r="AB1699" s="122"/>
      <c r="AC1699" s="493"/>
      <c r="AD1699" s="495"/>
      <c r="AE1699" s="122"/>
      <c r="AF1699" s="22"/>
      <c r="AG1699" s="98"/>
      <c r="AH1699" s="98"/>
      <c r="AI1699" s="20"/>
      <c r="AO1699" s="22"/>
      <c r="AP1699" s="22"/>
      <c r="AQ1699" s="22"/>
      <c r="AR1699" s="22"/>
      <c r="AS1699" s="22"/>
      <c r="AT1699" s="22"/>
      <c r="AU1699" s="35"/>
      <c r="AV1699" s="35"/>
      <c r="AW1699" s="35"/>
      <c r="AX1699" s="35"/>
      <c r="AY1699" s="35"/>
      <c r="AZ1699" s="35"/>
      <c r="BA1699" s="35"/>
      <c r="BB1699" s="35"/>
      <c r="BC1699" s="35"/>
      <c r="BD1699" s="35"/>
      <c r="BE1699" s="35"/>
      <c r="BF1699" s="35"/>
      <c r="BG1699" s="35"/>
      <c r="BH1699" s="35"/>
      <c r="BI1699" s="35"/>
      <c r="BJ1699" s="35"/>
      <c r="BK1699" s="35"/>
      <c r="BL1699" s="35"/>
      <c r="BM1699" s="35"/>
      <c r="BN1699" s="35"/>
      <c r="BO1699" s="86"/>
    </row>
    <row r="1700" spans="1:67" s="40" customFormat="1" ht="15.75" customHeight="1" thickBot="1" x14ac:dyDescent="0.3">
      <c r="A1700" s="520">
        <f>IFERROR(VLOOKUP($G$5,'רשימת רשויות'!A:C,3,0),0)</f>
        <v>0</v>
      </c>
      <c r="B1700" s="520">
        <f t="shared" si="240"/>
        <v>0</v>
      </c>
      <c r="C1700" s="39"/>
      <c r="D1700" s="1134"/>
      <c r="E1700" s="1137"/>
      <c r="F1700" s="589" t="s">
        <v>2281</v>
      </c>
      <c r="G1700" s="99">
        <f>+G1709</f>
        <v>0</v>
      </c>
      <c r="H1700" s="103"/>
      <c r="I1700" s="104"/>
      <c r="J1700" s="105"/>
      <c r="K1700" s="603"/>
      <c r="L1700" s="603"/>
      <c r="M1700" s="603"/>
      <c r="N1700" s="603"/>
      <c r="O1700" s="603"/>
      <c r="P1700" s="605"/>
      <c r="Q1700" s="604"/>
      <c r="R1700" s="473">
        <f>I1701-R1702</f>
        <v>0</v>
      </c>
      <c r="S1700" s="611"/>
      <c r="T1700" s="881"/>
      <c r="U1700" s="598"/>
      <c r="V1700" s="599"/>
      <c r="W1700" s="599"/>
      <c r="X1700" s="599"/>
      <c r="Y1700" s="879"/>
      <c r="Z1700" s="106"/>
      <c r="AA1700" s="22"/>
      <c r="AB1700" s="22"/>
      <c r="AC1700" s="493"/>
      <c r="AD1700" s="495"/>
      <c r="AE1700" s="22"/>
      <c r="AF1700" s="22"/>
      <c r="AG1700" s="98"/>
      <c r="AH1700" s="98"/>
      <c r="AI1700" s="20"/>
      <c r="AO1700" s="22"/>
      <c r="AP1700" s="22"/>
      <c r="AQ1700" s="22"/>
      <c r="AR1700" s="22"/>
      <c r="AS1700" s="22"/>
      <c r="AT1700" s="22"/>
      <c r="AU1700" s="35"/>
      <c r="AV1700" s="35"/>
      <c r="AW1700" s="35"/>
      <c r="AX1700" s="35"/>
      <c r="AY1700" s="35"/>
      <c r="AZ1700" s="35"/>
      <c r="BA1700" s="35"/>
      <c r="BB1700" s="35"/>
      <c r="BC1700" s="35"/>
      <c r="BD1700" s="35"/>
      <c r="BE1700" s="35"/>
      <c r="BF1700" s="35"/>
      <c r="BG1700" s="35"/>
      <c r="BH1700" s="35"/>
      <c r="BI1700" s="35"/>
      <c r="BJ1700" s="35"/>
      <c r="BK1700" s="35"/>
      <c r="BL1700" s="35"/>
      <c r="BM1700" s="35"/>
      <c r="BN1700" s="35"/>
      <c r="BO1700" s="86"/>
    </row>
    <row r="1701" spans="1:67" s="40" customFormat="1" ht="16.5" customHeight="1" thickBot="1" x14ac:dyDescent="0.3">
      <c r="A1701" s="520">
        <f>IFERROR(VLOOKUP($G$5,'רשימת רשויות'!A:C,3,0),0)</f>
        <v>0</v>
      </c>
      <c r="B1701" s="520">
        <f t="shared" si="240"/>
        <v>0</v>
      </c>
      <c r="C1701" s="39"/>
      <c r="D1701" s="1134"/>
      <c r="E1701" s="1137"/>
      <c r="F1701" s="589" t="s">
        <v>2282</v>
      </c>
      <c r="G1701" s="99">
        <f>G1705+G1706+G1707</f>
        <v>0</v>
      </c>
      <c r="H1701" s="104"/>
      <c r="I1701" s="107">
        <f>MAX(H1699-G1699-G1700,0)</f>
        <v>0</v>
      </c>
      <c r="J1701" s="108">
        <f>IFERROR(I1701/H1699,0)</f>
        <v>0</v>
      </c>
      <c r="K1701" s="603"/>
      <c r="L1701" s="603"/>
      <c r="M1701" s="603"/>
      <c r="N1701" s="603"/>
      <c r="O1701" s="603"/>
      <c r="P1701" s="604"/>
      <c r="Q1701" s="604"/>
      <c r="R1701" s="606" t="s">
        <v>158</v>
      </c>
      <c r="S1701" s="612"/>
      <c r="T1701" s="881"/>
      <c r="U1701" s="598"/>
      <c r="V1701" s="599"/>
      <c r="W1701" s="599"/>
      <c r="X1701" s="599"/>
      <c r="Y1701" s="879"/>
      <c r="Z1701" s="106"/>
      <c r="AA1701" s="22"/>
      <c r="AB1701" s="22"/>
      <c r="AC1701" s="493"/>
      <c r="AD1701" s="495"/>
      <c r="AE1701" s="22"/>
      <c r="AF1701" s="22"/>
      <c r="AG1701" s="22"/>
      <c r="AH1701" s="22"/>
      <c r="AI1701" s="55"/>
      <c r="AJ1701" s="22"/>
      <c r="AK1701" s="22"/>
      <c r="AO1701" s="22"/>
      <c r="AP1701" s="22"/>
      <c r="AQ1701" s="22"/>
      <c r="AR1701" s="22"/>
      <c r="AS1701" s="22"/>
      <c r="AT1701" s="22"/>
      <c r="AU1701" s="35"/>
      <c r="AV1701" s="35"/>
      <c r="AW1701" s="35"/>
      <c r="AX1701" s="35"/>
      <c r="AY1701" s="35"/>
      <c r="AZ1701" s="35"/>
      <c r="BA1701" s="35"/>
      <c r="BB1701" s="35"/>
      <c r="BC1701" s="35"/>
      <c r="BD1701" s="35"/>
      <c r="BE1701" s="35"/>
      <c r="BF1701" s="35"/>
      <c r="BG1701" s="35"/>
      <c r="BH1701" s="35"/>
      <c r="BI1701" s="35"/>
      <c r="BJ1701" s="35"/>
      <c r="BK1701" s="35"/>
      <c r="BL1701" s="35"/>
      <c r="BM1701" s="35"/>
      <c r="BN1701" s="35"/>
      <c r="BO1701" s="86"/>
    </row>
    <row r="1702" spans="1:67" s="40" customFormat="1" ht="15.75" customHeight="1" thickBot="1" x14ac:dyDescent="0.3">
      <c r="A1702" s="520">
        <f>IFERROR(VLOOKUP($G$5,'רשימת רשויות'!A:C,3,0),0)</f>
        <v>0</v>
      </c>
      <c r="B1702" s="520">
        <f t="shared" si="240"/>
        <v>0</v>
      </c>
      <c r="C1702" s="39"/>
      <c r="D1702" s="1134"/>
      <c r="E1702" s="1137"/>
      <c r="F1702" s="590" t="s">
        <v>2290</v>
      </c>
      <c r="G1702" s="109"/>
      <c r="H1702" s="110"/>
      <c r="I1702" s="111">
        <f>SUM(I1699:I1701)</f>
        <v>0</v>
      </c>
      <c r="J1702" s="112">
        <f>SUM(J1699:J1701)</f>
        <v>0</v>
      </c>
      <c r="K1702" s="603"/>
      <c r="L1702" s="603"/>
      <c r="M1702" s="603"/>
      <c r="N1702" s="603"/>
      <c r="O1702" s="603"/>
      <c r="P1702" s="604"/>
      <c r="Q1702" s="604"/>
      <c r="R1702" s="473">
        <f>MIN(MAX(G1706+G1707-I1695-J1695,0),I1701)</f>
        <v>0</v>
      </c>
      <c r="S1702" s="612"/>
      <c r="T1702" s="881"/>
      <c r="U1702" s="598"/>
      <c r="V1702" s="599"/>
      <c r="W1702" s="599"/>
      <c r="X1702" s="599"/>
      <c r="Y1702" s="879"/>
      <c r="Z1702" s="106"/>
      <c r="AA1702" s="22"/>
      <c r="AB1702" s="22"/>
      <c r="AC1702" s="493"/>
      <c r="AD1702" s="495"/>
      <c r="AE1702" s="22"/>
      <c r="AF1702" s="22"/>
      <c r="AG1702" s="22"/>
      <c r="AH1702" s="22"/>
      <c r="AJ1702" s="22"/>
      <c r="AK1702" s="22"/>
      <c r="AO1702" s="22"/>
      <c r="AP1702" s="22"/>
      <c r="AQ1702" s="22"/>
      <c r="AR1702" s="22"/>
      <c r="AS1702" s="22"/>
      <c r="AT1702" s="22"/>
      <c r="AU1702" s="35"/>
      <c r="AV1702" s="35"/>
      <c r="AW1702" s="35"/>
      <c r="AX1702" s="35"/>
      <c r="AY1702" s="35"/>
      <c r="AZ1702" s="35"/>
      <c r="BA1702" s="35"/>
      <c r="BB1702" s="35"/>
      <c r="BC1702" s="35"/>
      <c r="BD1702" s="35"/>
      <c r="BE1702" s="35"/>
      <c r="BF1702" s="35"/>
      <c r="BG1702" s="35"/>
      <c r="BH1702" s="35"/>
      <c r="BI1702" s="35"/>
      <c r="BJ1702" s="35"/>
      <c r="BK1702" s="35"/>
      <c r="BL1702" s="35"/>
      <c r="BM1702" s="35"/>
      <c r="BN1702" s="35"/>
      <c r="BO1702" s="86"/>
    </row>
    <row r="1703" spans="1:67" ht="16.5" thickBot="1" x14ac:dyDescent="0.3">
      <c r="A1703" s="520">
        <f>IFERROR(VLOOKUP($G$5,'רשימת רשויות'!A:C,3,0),0)</f>
        <v>0</v>
      </c>
      <c r="B1703" s="520">
        <f t="shared" si="240"/>
        <v>0</v>
      </c>
      <c r="D1703" s="1134"/>
      <c r="E1703" s="1137"/>
      <c r="F1703" s="587" t="s">
        <v>17</v>
      </c>
      <c r="G1703" s="113"/>
      <c r="H1703" s="92"/>
      <c r="I1703" s="114"/>
      <c r="J1703" s="115"/>
      <c r="K1703" s="116"/>
      <c r="L1703" s="406"/>
      <c r="M1703" s="116"/>
      <c r="N1703" s="116"/>
      <c r="O1703" s="116"/>
      <c r="P1703" s="474"/>
      <c r="Q1703" s="607"/>
      <c r="R1703" s="608"/>
      <c r="S1703" s="612"/>
      <c r="T1703" s="881"/>
      <c r="U1703" s="598"/>
      <c r="V1703" s="599"/>
      <c r="W1703" s="599"/>
      <c r="X1703" s="599"/>
      <c r="Y1703" s="879"/>
      <c r="Z1703" s="106"/>
      <c r="AI1703" s="40"/>
      <c r="BO1703" s="86"/>
    </row>
    <row r="1704" spans="1:67" ht="47.25" x14ac:dyDescent="0.25">
      <c r="A1704" s="520">
        <f>IFERROR(VLOOKUP($G$5,'רשימת רשויות'!A:C,3,0),0)</f>
        <v>0</v>
      </c>
      <c r="B1704" s="520">
        <f t="shared" si="240"/>
        <v>0</v>
      </c>
      <c r="D1704" s="1134"/>
      <c r="E1704" s="1137"/>
      <c r="F1704" s="588" t="s">
        <v>2</v>
      </c>
      <c r="G1704" s="95" t="s">
        <v>18</v>
      </c>
      <c r="H1704" s="95" t="s">
        <v>19</v>
      </c>
      <c r="I1704" s="95" t="s">
        <v>20</v>
      </c>
      <c r="J1704" s="95" t="s">
        <v>22</v>
      </c>
      <c r="K1704" s="96" t="s">
        <v>2314</v>
      </c>
      <c r="L1704" s="609"/>
      <c r="M1704" s="609"/>
      <c r="N1704" s="609"/>
      <c r="O1704" s="580"/>
      <c r="P1704" s="618" t="s">
        <v>2298</v>
      </c>
      <c r="Q1704" s="618" t="s">
        <v>2299</v>
      </c>
      <c r="R1704" s="596"/>
      <c r="S1704" s="890" t="s">
        <v>2519</v>
      </c>
      <c r="T1704" s="890" t="s">
        <v>97</v>
      </c>
      <c r="U1704" s="891" t="s">
        <v>2521</v>
      </c>
      <c r="V1704" s="892" t="s">
        <v>2520</v>
      </c>
      <c r="W1704" s="893" t="s">
        <v>2524</v>
      </c>
      <c r="X1704" s="892" t="s">
        <v>2522</v>
      </c>
      <c r="Y1704" s="894" t="s">
        <v>2523</v>
      </c>
      <c r="Z1704" s="106"/>
      <c r="AC1704" s="498" t="s">
        <v>2568</v>
      </c>
      <c r="AD1704" s="499" t="s">
        <v>2569</v>
      </c>
      <c r="AF1704" s="122"/>
      <c r="AI1704" s="40"/>
      <c r="BO1704" s="86"/>
    </row>
    <row r="1705" spans="1:67" ht="15" customHeight="1" thickBot="1" x14ac:dyDescent="0.3">
      <c r="A1705" s="520">
        <f>IFERROR(VLOOKUP($G$5,'רשימת רשויות'!A:C,3,0),0)</f>
        <v>0</v>
      </c>
      <c r="B1705" s="520">
        <f t="shared" si="240"/>
        <v>0</v>
      </c>
      <c r="D1705" s="1134"/>
      <c r="E1705" s="1137"/>
      <c r="F1705" s="589" t="s">
        <v>76</v>
      </c>
      <c r="G1705" s="117">
        <f>IF(G1696="תקין",SUMIF('עלויות כח אדם (6)'!$B$15:$B$3014,'בית ספר - תקצוב לפי מוסד (9)'!$G1691,'עלויות כח אדם (6)'!$M$15:$M$3014)-VLOOKUP('בית ספר - תקצוב לפי מוסד (9)'!G1691,' איוש משרות (8)'!$C:$H,5,0)-VLOOKUP('בית ספר - תקצוב לפי מוסד (9)'!G1691,' איוש משרות (8)'!$C:$H,6,0),0)-Y1705</f>
        <v>0</v>
      </c>
      <c r="H1705" s="118">
        <f>I1693+R1700</f>
        <v>0</v>
      </c>
      <c r="I1705" s="119">
        <f>IFERROR(SUM(G1705)/H1705,0)</f>
        <v>0</v>
      </c>
      <c r="J1705" s="100">
        <f>MIN(I1693+R1700,IF(ISNUMBER(G1705),G1705,0))</f>
        <v>0</v>
      </c>
      <c r="K1705" s="120">
        <f>MAX(H1705-G1705,0)</f>
        <v>0</v>
      </c>
      <c r="L1705" s="407"/>
      <c r="M1705" s="393"/>
      <c r="N1705" s="393"/>
      <c r="O1705" s="580"/>
      <c r="P1705" s="968">
        <f>IFERROR(IF(SUM(G1705)/(I1693)&lt;100%,MIN((I1693)-SUM(G1705),(I1693)*0.25),0),0)</f>
        <v>0</v>
      </c>
      <c r="Q1705" s="968">
        <f>IF(SUM(G1705)-(I1693+R1700)&gt;0,SUM(G1705)-(I1693+R1700),0)</f>
        <v>0</v>
      </c>
      <c r="R1705" s="596" t="s">
        <v>2351</v>
      </c>
      <c r="S1705" s="576" t="s">
        <v>2342</v>
      </c>
      <c r="T1705" s="599">
        <f>G1691</f>
        <v>0</v>
      </c>
      <c r="U1705" s="578"/>
      <c r="V1705" s="579">
        <f>G1705+G1706+G1707</f>
        <v>0</v>
      </c>
      <c r="W1705" s="579">
        <f>U1705-V1705</f>
        <v>0</v>
      </c>
      <c r="X1705" s="579">
        <f>IFERROR(W1719*W1705/(SUM(W1705:W1718)),0)</f>
        <v>0</v>
      </c>
      <c r="Y1705" s="879">
        <f>SUMIFS(בקרה!$S:$S,בקרה!$D:$D,T1705,בקרה!$K:$K,S1705)</f>
        <v>0</v>
      </c>
      <c r="Z1705" s="121"/>
      <c r="AA1705" s="143"/>
      <c r="AB1705" s="143"/>
      <c r="AC1705" s="504">
        <v>0</v>
      </c>
      <c r="AD1705" s="505">
        <f>IFERROR(U1705-AC1705,0)</f>
        <v>0</v>
      </c>
      <c r="AE1705" s="143"/>
      <c r="AI1705" s="20"/>
      <c r="BO1705" s="86"/>
    </row>
    <row r="1706" spans="1:67" ht="15" customHeight="1" thickBot="1" x14ac:dyDescent="0.3">
      <c r="A1706" s="520">
        <f>IFERROR(VLOOKUP($G$5,'רשימת רשויות'!A:C,3,0),0)</f>
        <v>0</v>
      </c>
      <c r="B1706" s="520">
        <f t="shared" si="240"/>
        <v>0</v>
      </c>
      <c r="D1706" s="1134"/>
      <c r="E1706" s="1137"/>
      <c r="F1706" s="589" t="s">
        <v>44</v>
      </c>
      <c r="G1706" s="123">
        <f>IF(G1696="תקין",IFERROR(VLOOKUP('בית ספר - תקצוב לפי מוסד (9)'!G1691,' איוש משרות (8)'!C:J,7,0),0),0)</f>
        <v>0</v>
      </c>
      <c r="H1706" s="124">
        <f>I1695+R1702+J1695</f>
        <v>0</v>
      </c>
      <c r="I1706" s="119">
        <f>IFERROR(SUM(G1706:G1707)/H1706,0)</f>
        <v>0</v>
      </c>
      <c r="J1706" s="100">
        <f>MIN(R1702+I1695,IF(ISNUMBER(SUM(G1706:G1707)),SUM(G1706:G1707),0))</f>
        <v>0</v>
      </c>
      <c r="K1706" s="1139">
        <f>MAX((H1706)-(G1706+G1707),0)</f>
        <v>0</v>
      </c>
      <c r="L1706" s="407"/>
      <c r="M1706" s="393"/>
      <c r="N1706" s="393"/>
      <c r="O1706" s="580"/>
      <c r="P1706" s="1140"/>
      <c r="Q1706" s="1140"/>
      <c r="R1706" s="617">
        <f>MAX(MIN(P1714-Q1714,H1714*0.15-G1712),0)</f>
        <v>0</v>
      </c>
      <c r="S1706" s="576"/>
      <c r="T1706" s="599">
        <f>G1691</f>
        <v>0</v>
      </c>
      <c r="U1706" s="578"/>
      <c r="V1706" s="579"/>
      <c r="W1706" s="579">
        <f t="shared" ref="W1706:W1718" si="243">U1706-V1706</f>
        <v>0</v>
      </c>
      <c r="X1706" s="579"/>
      <c r="Y1706" s="879"/>
      <c r="Z1706" s="121"/>
      <c r="AA1706" s="143"/>
      <c r="AB1706" s="143"/>
      <c r="AC1706" s="504"/>
      <c r="AD1706" s="505">
        <f t="shared" ref="AD1706:AD1712" si="244">IFERROR(U1706-AC1706,0)</f>
        <v>0</v>
      </c>
      <c r="AE1706" s="143"/>
      <c r="AI1706" s="20"/>
      <c r="BO1706" s="86"/>
    </row>
    <row r="1707" spans="1:67" ht="15.75" customHeight="1" x14ac:dyDescent="0.25">
      <c r="A1707" s="520">
        <f>IFERROR(VLOOKUP($G$5,'רשימת רשויות'!A:C,3,0),0)</f>
        <v>0</v>
      </c>
      <c r="B1707" s="520">
        <f t="shared" si="240"/>
        <v>0</v>
      </c>
      <c r="D1707" s="1134"/>
      <c r="E1707" s="1137"/>
      <c r="F1707" s="589" t="s">
        <v>45</v>
      </c>
      <c r="G1707" s="123">
        <f>IF(G1696="תקין",IFERROR(VLOOKUP('בית ספר - תקצוב לפי מוסד (9)'!G1691,' איוש משרות (8)'!C:J,8,0),0),0)</f>
        <v>0</v>
      </c>
      <c r="H1707" s="125"/>
      <c r="I1707" s="126"/>
      <c r="J1707" s="104"/>
      <c r="K1707" s="1139"/>
      <c r="L1707" s="407"/>
      <c r="M1707" s="393"/>
      <c r="N1707" s="393"/>
      <c r="O1707" s="580"/>
      <c r="P1707" s="1140"/>
      <c r="Q1707" s="1140"/>
      <c r="R1707" s="596"/>
      <c r="S1707" s="576"/>
      <c r="T1707" s="599">
        <f>G1691</f>
        <v>0</v>
      </c>
      <c r="U1707" s="578"/>
      <c r="V1707" s="579"/>
      <c r="W1707" s="579">
        <f t="shared" si="243"/>
        <v>0</v>
      </c>
      <c r="X1707" s="579"/>
      <c r="Y1707" s="879"/>
      <c r="Z1707" s="121"/>
      <c r="AA1707" s="143"/>
      <c r="AB1707" s="143"/>
      <c r="AC1707" s="504"/>
      <c r="AD1707" s="505">
        <f t="shared" si="244"/>
        <v>0</v>
      </c>
      <c r="AE1707" s="143"/>
      <c r="AG1707" s="55"/>
      <c r="AH1707" s="55"/>
      <c r="AI1707" s="55"/>
      <c r="AJ1707" s="55"/>
      <c r="AK1707" s="55"/>
      <c r="BO1707" s="86"/>
    </row>
    <row r="1708" spans="1:67" ht="15.75" customHeight="1" x14ac:dyDescent="0.25">
      <c r="A1708" s="520">
        <f>IFERROR(VLOOKUP($G$5,'רשימת רשויות'!A:C,3,0),0)</f>
        <v>0</v>
      </c>
      <c r="B1708" s="520">
        <f t="shared" si="240"/>
        <v>0</v>
      </c>
      <c r="D1708" s="1134"/>
      <c r="E1708" s="1137"/>
      <c r="F1708" s="589" t="s">
        <v>0</v>
      </c>
      <c r="G1708" s="117">
        <f>IF(G1696="תקין",SUMIFS('דוח הוצאות בפועל (4)'!$E$17:$E$3016,'דוח הוצאות בפועל (4)'!$B$17:$B$3016,'בית ספר - תקצוב לפי מוסד (9)'!$G1691,'דוח הוצאות בפועל (4)'!$M$17:$M$3016,"הע"),0)-Y1708</f>
        <v>0</v>
      </c>
      <c r="H1708" s="127">
        <f>J1693</f>
        <v>0</v>
      </c>
      <c r="I1708" s="128">
        <f>IFERROR(G1708/H1708,0)</f>
        <v>0</v>
      </c>
      <c r="J1708" s="129">
        <f>MIN(IF(ISNUMBER(G1708),G1708,0),H1708)</f>
        <v>0</v>
      </c>
      <c r="K1708" s="120">
        <f>MAX(H1708-G1708,0)</f>
        <v>0</v>
      </c>
      <c r="L1708" s="407"/>
      <c r="M1708" s="393"/>
      <c r="N1708" s="393"/>
      <c r="O1708" s="580"/>
      <c r="P1708" s="968">
        <f>MAX(IF(I1708&lt;100%,MIN((H1708-G1708),H1708*0.25),0),0)</f>
        <v>0</v>
      </c>
      <c r="Q1708" s="619">
        <f>IF(G1708-H1708&gt;0,G1708-H1708,0)</f>
        <v>0</v>
      </c>
      <c r="R1708" s="596"/>
      <c r="S1708" s="610" t="s">
        <v>0</v>
      </c>
      <c r="T1708" s="599">
        <f>G1691</f>
        <v>0</v>
      </c>
      <c r="U1708" s="578"/>
      <c r="V1708" s="579">
        <f>G1708</f>
        <v>0</v>
      </c>
      <c r="W1708" s="579">
        <f t="shared" si="243"/>
        <v>0</v>
      </c>
      <c r="X1708" s="579">
        <f>IFERROR(W1719*W1708/(SUM(W1705:W1718)),0)</f>
        <v>0</v>
      </c>
      <c r="Y1708" s="879">
        <f>SUMIFS(בקרה!$S:$S,בקרה!$D:$D,T1708,בקרה!$K:$K,S1708)</f>
        <v>0</v>
      </c>
      <c r="Z1708" s="121"/>
      <c r="AA1708" s="143"/>
      <c r="AB1708" s="143"/>
      <c r="AC1708" s="504">
        <v>0</v>
      </c>
      <c r="AD1708" s="505">
        <f t="shared" si="244"/>
        <v>0</v>
      </c>
      <c r="AE1708" s="143"/>
      <c r="AG1708" s="55"/>
      <c r="AH1708" s="55"/>
      <c r="AI1708" s="40"/>
      <c r="AJ1708" s="55"/>
      <c r="AK1708" s="55"/>
      <c r="BO1708" s="86"/>
    </row>
    <row r="1709" spans="1:67" s="55" customFormat="1" ht="15.75" customHeight="1" x14ac:dyDescent="0.25">
      <c r="A1709" s="520">
        <f>IFERROR(VLOOKUP($G$5,'רשימת רשויות'!A:C,3,0),0)</f>
        <v>0</v>
      </c>
      <c r="B1709" s="520">
        <f t="shared" si="240"/>
        <v>0</v>
      </c>
      <c r="C1709" s="39"/>
      <c r="D1709" s="1134"/>
      <c r="E1709" s="1137"/>
      <c r="F1709" s="589" t="s">
        <v>93</v>
      </c>
      <c r="G1709" s="130">
        <f>IF(G1696="תקין",SUMIFS('דוח הוצאות בפועל (4)'!$E$17:$E$3016,'דוח הוצאות בפועל (4)'!$B$17:$B$3016,'בית ספר - תקצוב לפי מוסד (9)'!$G1691,'דוח הוצאות בפועל (4)'!$M$17:$M$3016,"אר"),0)-Y1709</f>
        <v>0</v>
      </c>
      <c r="H1709" s="118">
        <f>$I1699</f>
        <v>0</v>
      </c>
      <c r="I1709" s="131">
        <f>IFERROR((G1709+G1710)/H1709,0)</f>
        <v>0</v>
      </c>
      <c r="J1709" s="100">
        <f>MIN((IF(ISNUMBER(G1709),G1709,0)+IF(ISNUMBER(G1710),G1710,0)),H1709)</f>
        <v>0</v>
      </c>
      <c r="K1709" s="1139">
        <f>MAX((H1709)-(G1709+G1710),0)</f>
        <v>0</v>
      </c>
      <c r="L1709" s="407"/>
      <c r="M1709" s="393"/>
      <c r="N1709" s="393"/>
      <c r="O1709" s="602"/>
      <c r="P1709" s="1141"/>
      <c r="Q1709" s="1142"/>
      <c r="R1709" s="596"/>
      <c r="S1709" s="610" t="s">
        <v>93</v>
      </c>
      <c r="T1709" s="599">
        <f>G1691</f>
        <v>0</v>
      </c>
      <c r="U1709" s="578"/>
      <c r="V1709" s="579">
        <f t="shared" ref="V1709:V1710" si="245">G1709</f>
        <v>0</v>
      </c>
      <c r="W1709" s="579">
        <f t="shared" si="243"/>
        <v>0</v>
      </c>
      <c r="X1709" s="579">
        <f>IFERROR(W1719*W1709/(SUM(W1705:W1718)),0)</f>
        <v>0</v>
      </c>
      <c r="Y1709" s="879">
        <f>SUMIFS(בקרה!$S:$S,בקרה!$D:$D,T1709,בקרה!$K:$K,S1709)</f>
        <v>0</v>
      </c>
      <c r="Z1709" s="121"/>
      <c r="AA1709" s="143"/>
      <c r="AB1709" s="143"/>
      <c r="AC1709" s="504">
        <v>0</v>
      </c>
      <c r="AD1709" s="505">
        <f t="shared" si="244"/>
        <v>0</v>
      </c>
      <c r="AE1709" s="143"/>
      <c r="AJ1709" s="22"/>
      <c r="AO1709" s="22"/>
      <c r="AP1709" s="22"/>
      <c r="AQ1709" s="22"/>
      <c r="AR1709" s="22"/>
      <c r="AS1709" s="22"/>
      <c r="AT1709" s="22"/>
      <c r="AU1709" s="35"/>
      <c r="AV1709" s="35"/>
      <c r="AW1709" s="35"/>
      <c r="AX1709" s="35"/>
      <c r="AY1709" s="35"/>
      <c r="AZ1709" s="35"/>
      <c r="BA1709" s="35"/>
      <c r="BB1709" s="35"/>
      <c r="BC1709" s="35"/>
      <c r="BD1709" s="35"/>
      <c r="BE1709" s="35"/>
      <c r="BF1709" s="35"/>
      <c r="BG1709" s="35"/>
      <c r="BH1709" s="35"/>
      <c r="BI1709" s="35"/>
      <c r="BJ1709" s="35"/>
      <c r="BK1709" s="35"/>
      <c r="BL1709" s="35"/>
      <c r="BM1709" s="35"/>
      <c r="BN1709" s="35"/>
      <c r="BO1709" s="86"/>
    </row>
    <row r="1710" spans="1:67" s="55" customFormat="1" ht="15.75" customHeight="1" x14ac:dyDescent="0.25">
      <c r="A1710" s="520">
        <f>IFERROR(VLOOKUP($G$5,'רשימת רשויות'!A:C,3,0),0)</f>
        <v>0</v>
      </c>
      <c r="B1710" s="520">
        <f t="shared" si="240"/>
        <v>0</v>
      </c>
      <c r="C1710" s="39"/>
      <c r="D1710" s="1134"/>
      <c r="E1710" s="1137"/>
      <c r="F1710" s="589" t="s">
        <v>46</v>
      </c>
      <c r="G1710" s="130">
        <f>IF(G1696="תקין",SUMIFS('דוח הוצאות בפועל (4)'!$E$17:$E$3016,'דוח הוצאות בפועל (4)'!$B$17:$B$3016,'בית ספר - תקצוב לפי מוסד (9)'!$G1691,'דוח הוצאות בפועל (4)'!$M$17:$M$3016,"מל"),0)-Y1710</f>
        <v>0</v>
      </c>
      <c r="H1710" s="132"/>
      <c r="I1710" s="133"/>
      <c r="J1710" s="104"/>
      <c r="K1710" s="1139"/>
      <c r="L1710" s="407"/>
      <c r="M1710" s="393"/>
      <c r="N1710" s="393"/>
      <c r="O1710" s="602"/>
      <c r="P1710" s="1141"/>
      <c r="Q1710" s="1142"/>
      <c r="R1710" s="596"/>
      <c r="S1710" s="610" t="s">
        <v>46</v>
      </c>
      <c r="T1710" s="599">
        <f>G1691</f>
        <v>0</v>
      </c>
      <c r="U1710" s="578"/>
      <c r="V1710" s="579">
        <f t="shared" si="245"/>
        <v>0</v>
      </c>
      <c r="W1710" s="579">
        <f t="shared" si="243"/>
        <v>0</v>
      </c>
      <c r="X1710" s="579">
        <f>IFERROR(W1719*W1710/(SUM(W1705:W1718)),0)</f>
        <v>0</v>
      </c>
      <c r="Y1710" s="879">
        <f>SUMIFS(בקרה!$S:$S,בקרה!$D:$D,T1710,בקרה!$K:$K,S1710)</f>
        <v>0</v>
      </c>
      <c r="Z1710" s="121"/>
      <c r="AA1710" s="143"/>
      <c r="AB1710" s="143"/>
      <c r="AC1710" s="504">
        <v>0</v>
      </c>
      <c r="AD1710" s="505">
        <f t="shared" si="244"/>
        <v>0</v>
      </c>
      <c r="AE1710" s="143"/>
      <c r="AJ1710" s="22"/>
      <c r="AO1710" s="22"/>
      <c r="AP1710" s="22"/>
      <c r="AQ1710" s="22"/>
      <c r="AR1710" s="22"/>
      <c r="AS1710" s="22"/>
      <c r="AT1710" s="22"/>
      <c r="AU1710" s="35"/>
      <c r="AV1710" s="35"/>
      <c r="AW1710" s="35"/>
      <c r="AX1710" s="35"/>
      <c r="AY1710" s="35"/>
      <c r="AZ1710" s="35"/>
      <c r="BA1710" s="35"/>
      <c r="BB1710" s="35"/>
      <c r="BC1710" s="35"/>
      <c r="BD1710" s="35"/>
      <c r="BE1710" s="35"/>
      <c r="BF1710" s="35"/>
      <c r="BG1710" s="35"/>
      <c r="BH1710" s="35"/>
      <c r="BI1710" s="35"/>
      <c r="BJ1710" s="35"/>
      <c r="BK1710" s="35"/>
      <c r="BL1710" s="35"/>
      <c r="BM1710" s="35"/>
      <c r="BN1710" s="35"/>
      <c r="BO1710" s="86"/>
    </row>
    <row r="1711" spans="1:67" s="55" customFormat="1" ht="15" customHeight="1" x14ac:dyDescent="0.25">
      <c r="A1711" s="520">
        <f>IFERROR(VLOOKUP($G$5,'רשימת רשויות'!A:C,3,0),0)</f>
        <v>0</v>
      </c>
      <c r="B1711" s="520">
        <f t="shared" si="240"/>
        <v>0</v>
      </c>
      <c r="C1711" s="39"/>
      <c r="D1711" s="1134"/>
      <c r="E1711" s="1137"/>
      <c r="F1711" s="591" t="s">
        <v>23</v>
      </c>
      <c r="G1711" s="134">
        <f>SUM(G1705:G1710)</f>
        <v>0</v>
      </c>
      <c r="H1711" s="135">
        <f>SUM(H1705:H1710)</f>
        <v>0</v>
      </c>
      <c r="I1711" s="128">
        <f>IFERROR(G1711/H1711,0)</f>
        <v>0</v>
      </c>
      <c r="J1711" s="136">
        <f>SUM(J1705:J1710)</f>
        <v>0</v>
      </c>
      <c r="K1711" s="137">
        <f>SUM(K1705:K1710)</f>
        <v>0</v>
      </c>
      <c r="L1711" s="408"/>
      <c r="M1711" s="394"/>
      <c r="N1711" s="394"/>
      <c r="O1711" s="602"/>
      <c r="P1711" s="620">
        <f>SUM(P1705:P1710)</f>
        <v>0</v>
      </c>
      <c r="Q1711" s="620">
        <f>SUM(Q1705:Q1710)</f>
        <v>0</v>
      </c>
      <c r="R1711" s="596"/>
      <c r="S1711" s="610"/>
      <c r="T1711" s="599">
        <f>G1691</f>
        <v>0</v>
      </c>
      <c r="U1711" s="578"/>
      <c r="V1711" s="579"/>
      <c r="W1711" s="579">
        <f t="shared" si="243"/>
        <v>0</v>
      </c>
      <c r="X1711" s="579"/>
      <c r="Y1711" s="879"/>
      <c r="Z1711" s="121"/>
      <c r="AA1711" s="143"/>
      <c r="AB1711" s="143"/>
      <c r="AC1711" s="504"/>
      <c r="AD1711" s="505">
        <f t="shared" si="244"/>
        <v>0</v>
      </c>
      <c r="AE1711" s="143"/>
      <c r="AJ1711" s="22"/>
      <c r="AL1711" s="22"/>
      <c r="AM1711" s="22"/>
      <c r="AN1711" s="22"/>
      <c r="AO1711" s="22"/>
      <c r="AP1711" s="22"/>
      <c r="AQ1711" s="22"/>
      <c r="AR1711" s="22"/>
      <c r="AS1711" s="22"/>
      <c r="AT1711" s="22"/>
      <c r="AU1711" s="35"/>
      <c r="AV1711" s="35"/>
      <c r="AW1711" s="35"/>
      <c r="AX1711" s="35"/>
      <c r="AY1711" s="35"/>
      <c r="AZ1711" s="35"/>
      <c r="BA1711" s="35"/>
      <c r="BB1711" s="35"/>
      <c r="BC1711" s="35"/>
      <c r="BD1711" s="35"/>
      <c r="BE1711" s="35"/>
      <c r="BF1711" s="35"/>
      <c r="BG1711" s="35"/>
      <c r="BH1711" s="35"/>
      <c r="BI1711" s="35"/>
      <c r="BJ1711" s="35"/>
      <c r="BK1711" s="35"/>
      <c r="BL1711" s="35"/>
      <c r="BM1711" s="35"/>
      <c r="BN1711" s="35"/>
      <c r="BO1711" s="86"/>
    </row>
    <row r="1712" spans="1:67" s="55" customFormat="1" ht="15" customHeight="1" x14ac:dyDescent="0.25">
      <c r="A1712" s="520">
        <f>IFERROR(VLOOKUP($G$5,'רשימת רשויות'!A:C,3,0),0)</f>
        <v>0</v>
      </c>
      <c r="B1712" s="520">
        <f t="shared" si="240"/>
        <v>0</v>
      </c>
      <c r="C1712" s="39"/>
      <c r="D1712" s="1134"/>
      <c r="E1712" s="1137"/>
      <c r="F1712" s="589" t="s">
        <v>3</v>
      </c>
      <c r="G1712" s="117">
        <f>IF(G1696="תקין",SUMIFS('דוח הוצאות בפועל (4)'!$E$17:$E$3016,'דוח הוצאות בפועל (4)'!$B$17:$B$3016,'בית ספר - תקצוב לפי מוסד (9)'!$G1691,'דוח הוצאות בפועל (4)'!$M$17:$M$3016,"ני")+SUMIFS('דוח הוצאות בפועל (4)'!$E$17:$E$3016,'דוח הוצאות בפועל (4)'!$B$17:$B$3016,'בית ספר - תקצוב לפי מוסד (9)'!$G1691,'דוח הוצאות בפועל (4)'!$M$17:$M$3016,"על"),0)-Y1712</f>
        <v>0</v>
      </c>
      <c r="H1712" s="117">
        <f>H1693</f>
        <v>0</v>
      </c>
      <c r="I1712" s="138">
        <f>IFERROR(G1712/H1712,0)</f>
        <v>0</v>
      </c>
      <c r="J1712" s="117">
        <f>IFERROR(IF(G1712/H1714&gt;0.15,MIN(H1714*0.15,H1712),MIN(H1712,IF(ISNUMBER(G1712),G1712,0))),0)</f>
        <v>0</v>
      </c>
      <c r="K1712" s="120">
        <f>MAX(H1712-G1712,0)</f>
        <v>0</v>
      </c>
      <c r="L1712" s="407"/>
      <c r="M1712" s="393"/>
      <c r="N1712" s="393"/>
      <c r="O1712" s="602"/>
      <c r="P1712" s="620">
        <f>IF(I1712&lt;100%,MIN(H1712-G1712,H1712*0.25),0)</f>
        <v>0</v>
      </c>
      <c r="Q1712" s="620">
        <f>MAX(MIN(IF(G1712-H1712&gt;0,G1712-H1712,0),$H1714*0.15-H1712-J1713),0)</f>
        <v>0</v>
      </c>
      <c r="R1712" s="596"/>
      <c r="S1712" s="610" t="s">
        <v>3</v>
      </c>
      <c r="T1712" s="599">
        <f>G1691</f>
        <v>0</v>
      </c>
      <c r="U1712" s="578"/>
      <c r="V1712" s="579">
        <f t="shared" ref="V1712" si="246">G1712</f>
        <v>0</v>
      </c>
      <c r="W1712" s="579">
        <f t="shared" si="243"/>
        <v>0</v>
      </c>
      <c r="X1712" s="579"/>
      <c r="Y1712" s="879"/>
      <c r="Z1712" s="121"/>
      <c r="AA1712" s="143"/>
      <c r="AB1712" s="143"/>
      <c r="AC1712" s="504">
        <v>0</v>
      </c>
      <c r="AD1712" s="505">
        <f t="shared" si="244"/>
        <v>0</v>
      </c>
      <c r="AE1712" s="143"/>
      <c r="AG1712" s="22"/>
      <c r="AH1712" s="22"/>
      <c r="AI1712" s="22"/>
      <c r="AJ1712" s="22"/>
      <c r="AK1712" s="22"/>
      <c r="AL1712" s="22"/>
      <c r="AM1712" s="22"/>
      <c r="AN1712" s="22"/>
      <c r="AO1712" s="22"/>
      <c r="AP1712" s="22"/>
      <c r="AQ1712" s="22"/>
      <c r="AR1712" s="22"/>
      <c r="AS1712" s="22"/>
      <c r="AT1712" s="22"/>
      <c r="AU1712" s="35"/>
      <c r="AV1712" s="35"/>
      <c r="AW1712" s="35"/>
      <c r="AX1712" s="35"/>
      <c r="AY1712" s="35"/>
      <c r="AZ1712" s="35"/>
      <c r="BA1712" s="35"/>
      <c r="BB1712" s="35"/>
      <c r="BC1712" s="35"/>
      <c r="BD1712" s="35"/>
      <c r="BE1712" s="35"/>
      <c r="BF1712" s="35"/>
      <c r="BG1712" s="35"/>
      <c r="BH1712" s="35"/>
      <c r="BI1712" s="35"/>
      <c r="BJ1712" s="35"/>
      <c r="BK1712" s="35"/>
      <c r="BL1712" s="35"/>
      <c r="BM1712" s="35"/>
      <c r="BN1712" s="35"/>
      <c r="BO1712" s="86"/>
    </row>
    <row r="1713" spans="1:67" s="55" customFormat="1" ht="15.75" customHeight="1" x14ac:dyDescent="0.25">
      <c r="A1713" s="520">
        <f>IFERROR(VLOOKUP($G$5,'רשימת רשויות'!A:C,3,0),0)</f>
        <v>0</v>
      </c>
      <c r="B1713" s="520">
        <f t="shared" si="240"/>
        <v>0</v>
      </c>
      <c r="C1713" s="39"/>
      <c r="D1713" s="1134"/>
      <c r="E1713" s="1137"/>
      <c r="F1713" s="589" t="s">
        <v>2918</v>
      </c>
      <c r="G1713" s="117">
        <f>0.07*(G1707+G1706)</f>
        <v>0</v>
      </c>
      <c r="H1713" s="117">
        <f>H1695</f>
        <v>0</v>
      </c>
      <c r="I1713" s="138">
        <f>IFERROR(G1713/H1713,0)</f>
        <v>0</v>
      </c>
      <c r="J1713" s="117">
        <f>IFERROR(MIN(0.07*(G1706+G1707),0.07*I1695),0)</f>
        <v>0</v>
      </c>
      <c r="K1713" s="120">
        <f>MAX(H1713-G1713,0)</f>
        <v>0</v>
      </c>
      <c r="L1713" s="407"/>
      <c r="M1713" s="393"/>
      <c r="N1713" s="393"/>
      <c r="O1713" s="602"/>
      <c r="P1713" s="620"/>
      <c r="Q1713" s="619"/>
      <c r="R1713" s="596"/>
      <c r="S1713" s="611"/>
      <c r="T1713" s="599">
        <f>G1691</f>
        <v>0</v>
      </c>
      <c r="U1713" s="578"/>
      <c r="V1713" s="579"/>
      <c r="W1713" s="579">
        <f t="shared" si="243"/>
        <v>0</v>
      </c>
      <c r="X1713" s="579"/>
      <c r="Y1713" s="879"/>
      <c r="Z1713" s="121"/>
      <c r="AA1713" s="143"/>
      <c r="AB1713" s="143"/>
      <c r="AC1713" s="504"/>
      <c r="AD1713" s="505"/>
      <c r="AE1713" s="143"/>
      <c r="AF1713" s="140"/>
      <c r="AG1713" s="22"/>
      <c r="AH1713" s="22"/>
      <c r="AI1713" s="22"/>
      <c r="AJ1713" s="22"/>
      <c r="AK1713" s="22"/>
      <c r="AL1713" s="22"/>
      <c r="AM1713" s="22"/>
      <c r="AN1713" s="22"/>
      <c r="AO1713" s="22"/>
      <c r="AP1713" s="22"/>
      <c r="AQ1713" s="22"/>
      <c r="AR1713" s="22"/>
      <c r="AS1713" s="22"/>
      <c r="AT1713" s="22"/>
      <c r="AU1713" s="35"/>
      <c r="AV1713" s="35"/>
      <c r="AW1713" s="35"/>
      <c r="AX1713" s="35"/>
      <c r="AY1713" s="35"/>
      <c r="AZ1713" s="35"/>
      <c r="BA1713" s="35"/>
      <c r="BB1713" s="35"/>
      <c r="BC1713" s="35"/>
      <c r="BD1713" s="35"/>
      <c r="BE1713" s="35"/>
      <c r="BF1713" s="35"/>
      <c r="BG1713" s="35"/>
      <c r="BH1713" s="35"/>
      <c r="BI1713" s="35"/>
      <c r="BJ1713" s="35"/>
      <c r="BK1713" s="35"/>
      <c r="BL1713" s="35"/>
      <c r="BM1713" s="35"/>
      <c r="BN1713" s="35"/>
      <c r="BO1713" s="86"/>
    </row>
    <row r="1714" spans="1:67" ht="15.75" customHeight="1" x14ac:dyDescent="0.25">
      <c r="A1714" s="520">
        <f>IFERROR(VLOOKUP($G$5,'רשימת רשויות'!A:C,3,0),0)</f>
        <v>0</v>
      </c>
      <c r="B1714" s="520">
        <f t="shared" si="240"/>
        <v>0</v>
      </c>
      <c r="D1714" s="1134"/>
      <c r="E1714" s="1137"/>
      <c r="F1714" s="591" t="s">
        <v>15</v>
      </c>
      <c r="G1714" s="134">
        <f>G1711+G1712+G1713</f>
        <v>0</v>
      </c>
      <c r="H1714" s="134">
        <f>H1711+H1712+H1713</f>
        <v>0</v>
      </c>
      <c r="I1714" s="138">
        <f>IFERROR(G1714/H1714,0)</f>
        <v>0</v>
      </c>
      <c r="J1714" s="139">
        <f>J1711+J1712+J1713</f>
        <v>0</v>
      </c>
      <c r="K1714" s="137">
        <f>K1712+K1711+K1713</f>
        <v>0</v>
      </c>
      <c r="L1714" s="408"/>
      <c r="M1714" s="394"/>
      <c r="N1714" s="394"/>
      <c r="O1714" s="602"/>
      <c r="P1714" s="621">
        <f>SUM(P1711:P1712)</f>
        <v>0</v>
      </c>
      <c r="Q1714" s="622">
        <f>Q1711+Q1712</f>
        <v>0</v>
      </c>
      <c r="R1714" s="596"/>
      <c r="S1714" s="611"/>
      <c r="T1714" s="599">
        <f>G1691</f>
        <v>0</v>
      </c>
      <c r="U1714" s="578"/>
      <c r="V1714" s="579"/>
      <c r="W1714" s="579">
        <f t="shared" si="243"/>
        <v>0</v>
      </c>
      <c r="X1714" s="579"/>
      <c r="Y1714" s="879"/>
      <c r="Z1714" s="106"/>
      <c r="AC1714" s="504"/>
      <c r="AD1714" s="505"/>
      <c r="AH1714" s="143"/>
      <c r="BO1714" s="86"/>
    </row>
    <row r="1715" spans="1:67" ht="15.75" customHeight="1" x14ac:dyDescent="0.25">
      <c r="A1715" s="520">
        <f>IFERROR(VLOOKUP($G$5,'רשימת רשויות'!A:C,3,0),0)</f>
        <v>0</v>
      </c>
      <c r="B1715" s="520">
        <f t="shared" si="240"/>
        <v>0</v>
      </c>
      <c r="D1715" s="1134"/>
      <c r="E1715" s="1137"/>
      <c r="F1715" s="589" t="s">
        <v>2261</v>
      </c>
      <c r="G1715" s="117">
        <f>IF(G1696="תקין",SUMIF('תשלומי הורים ומלגות להורים (5) '!$B$18:$B$517,$G1691,'תשלומי הורים ומלגות להורים (5) '!$C$18:$C$517),0)</f>
        <v>0</v>
      </c>
      <c r="H1715" s="117">
        <f>(G1694+G1695)*$G$7</f>
        <v>0</v>
      </c>
      <c r="I1715" s="141"/>
      <c r="J1715" s="141"/>
      <c r="K1715" s="142"/>
      <c r="L1715" s="395"/>
      <c r="M1715" s="395"/>
      <c r="N1715" s="395"/>
      <c r="O1715" s="602"/>
      <c r="P1715" s="623"/>
      <c r="Q1715" s="619"/>
      <c r="R1715" s="596"/>
      <c r="S1715" s="612"/>
      <c r="T1715" s="599">
        <f>G1691</f>
        <v>0</v>
      </c>
      <c r="U1715" s="578"/>
      <c r="V1715" s="579"/>
      <c r="W1715" s="579">
        <f t="shared" si="243"/>
        <v>0</v>
      </c>
      <c r="X1715" s="579"/>
      <c r="Y1715" s="879"/>
      <c r="Z1715" s="121"/>
      <c r="AA1715" s="143"/>
      <c r="AB1715" s="143"/>
      <c r="AC1715" s="504"/>
      <c r="AD1715" s="505"/>
      <c r="AE1715" s="143"/>
      <c r="AF1715" s="148"/>
      <c r="BO1715" s="86"/>
    </row>
    <row r="1716" spans="1:67" ht="15.75" customHeight="1" thickBot="1" x14ac:dyDescent="0.3">
      <c r="A1716" s="520">
        <f>IFERROR(VLOOKUP($G$5,'רשימת רשויות'!A:C,3,0),0)</f>
        <v>0</v>
      </c>
      <c r="B1716" s="520">
        <f t="shared" si="240"/>
        <v>0</v>
      </c>
      <c r="D1716" s="1134"/>
      <c r="E1716" s="1137"/>
      <c r="F1716" s="592" t="s">
        <v>21</v>
      </c>
      <c r="G1716" s="144">
        <f>G1714-G1715</f>
        <v>0</v>
      </c>
      <c r="H1716" s="144">
        <f>H1714-H1715</f>
        <v>0</v>
      </c>
      <c r="I1716" s="145"/>
      <c r="J1716" s="145"/>
      <c r="K1716" s="146"/>
      <c r="L1716" s="396"/>
      <c r="M1716" s="396"/>
      <c r="N1716" s="396"/>
      <c r="O1716" s="602"/>
      <c r="P1716" s="619"/>
      <c r="Q1716" s="619"/>
      <c r="R1716" s="596"/>
      <c r="S1716" s="612"/>
      <c r="T1716" s="599">
        <f>G1691</f>
        <v>0</v>
      </c>
      <c r="U1716" s="578"/>
      <c r="V1716" s="579"/>
      <c r="W1716" s="579">
        <f t="shared" si="243"/>
        <v>0</v>
      </c>
      <c r="X1716" s="579"/>
      <c r="Y1716" s="879"/>
      <c r="Z1716" s="147"/>
      <c r="AA1716" s="148"/>
      <c r="AB1716" s="148"/>
      <c r="AC1716" s="504"/>
      <c r="AD1716" s="505"/>
      <c r="AE1716" s="148"/>
      <c r="AF1716" s="148"/>
      <c r="BO1716" s="86"/>
    </row>
    <row r="1717" spans="1:67" ht="15.75" customHeight="1" thickBot="1" x14ac:dyDescent="0.3">
      <c r="A1717" s="520">
        <f>IFERROR(VLOOKUP($G$5,'רשימת רשויות'!A:C,3,0),0)</f>
        <v>0</v>
      </c>
      <c r="B1717" s="520">
        <f t="shared" si="240"/>
        <v>0</v>
      </c>
      <c r="D1717" s="1134"/>
      <c r="E1717" s="1137"/>
      <c r="F1717" s="580"/>
      <c r="G1717" s="580"/>
      <c r="H1717" s="147"/>
      <c r="I1717" s="149" t="s">
        <v>2197</v>
      </c>
      <c r="J1717" s="150">
        <f>MAX(MIN(P1714,Q1714),0)</f>
        <v>0</v>
      </c>
      <c r="K1717" s="580"/>
      <c r="L1717" s="580"/>
      <c r="M1717" s="580"/>
      <c r="N1717" s="580"/>
      <c r="O1717" s="580"/>
      <c r="P1717" s="615" t="s">
        <v>2317</v>
      </c>
      <c r="Q1717" s="624">
        <f>SUM(Q1718:Q1719)</f>
        <v>0</v>
      </c>
      <c r="R1717" s="596"/>
      <c r="S1717" s="612"/>
      <c r="T1717" s="599">
        <f>G1691</f>
        <v>0</v>
      </c>
      <c r="U1717" s="578"/>
      <c r="V1717" s="579"/>
      <c r="W1717" s="579">
        <f t="shared" si="243"/>
        <v>0</v>
      </c>
      <c r="X1717" s="579"/>
      <c r="Y1717" s="879"/>
      <c r="Z1717" s="106"/>
      <c r="AC1717" s="504"/>
      <c r="AD1717" s="505"/>
      <c r="AF1717" s="148"/>
      <c r="BO1717" s="86"/>
    </row>
    <row r="1718" spans="1:67" ht="16.5" thickBot="1" x14ac:dyDescent="0.3">
      <c r="A1718" s="520">
        <f>IFERROR(VLOOKUP($G$5,'רשימת רשויות'!A:C,3,0),0)</f>
        <v>0</v>
      </c>
      <c r="B1718" s="520">
        <f t="shared" si="240"/>
        <v>0</v>
      </c>
      <c r="D1718" s="1134"/>
      <c r="E1718" s="1137"/>
      <c r="F1718" s="580"/>
      <c r="G1718" s="580"/>
      <c r="H1718" s="580"/>
      <c r="I1718" s="84" t="s">
        <v>2193</v>
      </c>
      <c r="J1718" s="515" t="str">
        <f>IFERROR(1-H1715/H1714,"")</f>
        <v/>
      </c>
      <c r="K1718" s="580"/>
      <c r="L1718" s="580"/>
      <c r="M1718" s="580"/>
      <c r="N1718" s="580"/>
      <c r="O1718" s="580"/>
      <c r="P1718" s="615" t="s">
        <v>417</v>
      </c>
      <c r="Q1718" s="616">
        <f>IFERROR(MAX(H1716-I1719-Q1719,0),0)</f>
        <v>0</v>
      </c>
      <c r="R1718" s="596"/>
      <c r="S1718" s="600"/>
      <c r="T1718" s="599">
        <f>G1691</f>
        <v>0</v>
      </c>
      <c r="U1718" s="578"/>
      <c r="V1718" s="579"/>
      <c r="W1718" s="579">
        <f t="shared" si="243"/>
        <v>0</v>
      </c>
      <c r="X1718" s="579"/>
      <c r="Y1718" s="879"/>
      <c r="Z1718" s="106"/>
      <c r="AC1718" s="504"/>
      <c r="AD1718" s="505"/>
      <c r="BO1718" s="86"/>
    </row>
    <row r="1719" spans="1:67" ht="17.25" thickBot="1" x14ac:dyDescent="0.3">
      <c r="A1719" s="520">
        <f>IFERROR(VLOOKUP($G$5,'רשימת רשויות'!A:C,3,0),0)</f>
        <v>0</v>
      </c>
      <c r="B1719" s="520">
        <f t="shared" si="240"/>
        <v>0</v>
      </c>
      <c r="D1719" s="1134"/>
      <c r="E1719" s="1137"/>
      <c r="F1719" s="1143" t="s">
        <v>2679</v>
      </c>
      <c r="G1719" s="1143"/>
      <c r="H1719" s="1143"/>
      <c r="I1719" s="722">
        <f>IF(G1696="לא תקין","לא קיימת זכאות לתקציב לאור אי איוש משרות רכז ו/או סגן רכז ",IFERROR(J1718*(J1717+J1714),0))</f>
        <v>0</v>
      </c>
      <c r="J1719" s="573"/>
      <c r="K1719" s="574"/>
      <c r="L1719" s="396"/>
      <c r="M1719" s="574"/>
      <c r="N1719" s="574"/>
      <c r="O1719" s="574"/>
      <c r="P1719" s="615" t="s">
        <v>2279</v>
      </c>
      <c r="Q1719" s="616">
        <f>MAX(IF(AND(G1714&gt;H1714,I1719&lt;H1716),H1716-I1719,0),0)</f>
        <v>0</v>
      </c>
      <c r="R1719" s="575"/>
      <c r="S1719" s="576" t="s">
        <v>67</v>
      </c>
      <c r="T1719" s="577">
        <f>G1691</f>
        <v>0</v>
      </c>
      <c r="U1719" s="578"/>
      <c r="V1719" s="579">
        <f>I1719</f>
        <v>0</v>
      </c>
      <c r="W1719" s="579">
        <f>IFERROR(U1719-V1719,0)</f>
        <v>0</v>
      </c>
      <c r="X1719" s="579">
        <f>SUM(X1705:X1718)</f>
        <v>0</v>
      </c>
      <c r="Y1719" s="879"/>
      <c r="Z1719" s="106"/>
      <c r="AC1719" s="506">
        <v>0</v>
      </c>
      <c r="AD1719" s="507">
        <f>IFERROR(U1719-AC1719,0)</f>
        <v>0</v>
      </c>
      <c r="BO1719" s="86"/>
    </row>
    <row r="1720" spans="1:67" ht="16.5" thickBot="1" x14ac:dyDescent="0.3">
      <c r="A1720" s="520">
        <f>IFERROR(VLOOKUP($G$5,'רשימת רשויות'!A:C,3,0),0)</f>
        <v>0</v>
      </c>
      <c r="B1720" s="520">
        <f t="shared" si="240"/>
        <v>0</v>
      </c>
      <c r="D1720" s="1135"/>
      <c r="E1720" s="1138"/>
      <c r="F1720" s="1144" t="s">
        <v>2793</v>
      </c>
      <c r="G1720" s="1145"/>
      <c r="H1720" s="1145"/>
      <c r="I1720" s="593">
        <f>IFERROR(IF(G1696="תקין",SUMIFS('סייעות רפואיות או אישיות (7)'!$Q$17:Q$384,'סייעות רפואיות או אישיות (7)'!C$17:C$384,G1691),0),0)</f>
        <v>0</v>
      </c>
      <c r="J1720" s="151"/>
      <c r="K1720" s="152"/>
      <c r="L1720" s="409"/>
      <c r="M1720" s="152"/>
      <c r="N1720" s="152"/>
      <c r="O1720" s="152"/>
      <c r="P1720" s="613"/>
      <c r="Q1720" s="614"/>
      <c r="R1720" s="475"/>
      <c r="S1720" s="489"/>
      <c r="T1720" s="490"/>
      <c r="U1720" s="491"/>
      <c r="V1720" s="492"/>
      <c r="W1720" s="492"/>
      <c r="X1720" s="492"/>
      <c r="Y1720" s="880"/>
      <c r="Z1720" s="153"/>
      <c r="AC1720" s="581"/>
      <c r="AD1720" s="582"/>
      <c r="BO1720" s="86"/>
    </row>
    <row r="1721" spans="1:67" ht="34.5" thickBot="1" x14ac:dyDescent="0.55000000000000004">
      <c r="A1721" s="520">
        <f>IFERROR(VLOOKUP($G$5,'רשימת רשויות'!A:C,3,0),0)</f>
        <v>0</v>
      </c>
      <c r="B1721" s="520">
        <f t="shared" si="240"/>
        <v>0</v>
      </c>
      <c r="E1721" s="154"/>
      <c r="I1721" s="143"/>
      <c r="J1721" s="148"/>
      <c r="O1721" s="148"/>
      <c r="T1721" s="481"/>
      <c r="BO1721" s="86"/>
    </row>
    <row r="1722" spans="1:67" s="20" customFormat="1" ht="16.5" customHeight="1" thickBot="1" x14ac:dyDescent="0.3">
      <c r="A1722" s="520">
        <f>IFERROR(VLOOKUP($G$5,'רשימת רשויות'!A:C,3,0),0)</f>
        <v>0</v>
      </c>
      <c r="B1722" s="520">
        <f t="shared" si="240"/>
        <v>0</v>
      </c>
      <c r="C1722" s="39"/>
      <c r="D1722" s="1133">
        <f>D1691+1</f>
        <v>56</v>
      </c>
      <c r="E1722" s="1136" t="str">
        <f>IFERROR(CONCATENATE("בית הספר ",VLOOKUP(G1722,'מצבת והרשמה (2)'!$C$21:$D$520,2,0)," - ",$G$5),"")</f>
        <v>בית הספר המוסד לא קיים - 0</v>
      </c>
      <c r="F1722" s="720" t="s">
        <v>146</v>
      </c>
      <c r="G1722" s="721">
        <f>IFERROR(VLOOKUP(D:D,'דוח ביצוע (3)'!$A$21:$C$900,2,0),0)</f>
        <v>0</v>
      </c>
      <c r="H1722" s="79"/>
      <c r="I1722" s="80" t="s">
        <v>150</v>
      </c>
      <c r="J1722" s="80"/>
      <c r="K1722" s="81"/>
      <c r="L1722" s="392"/>
      <c r="M1722" s="392"/>
      <c r="N1722" s="392"/>
      <c r="O1722" s="82"/>
      <c r="P1722" s="470"/>
      <c r="Q1722" s="471"/>
      <c r="R1722" s="472"/>
      <c r="S1722" s="883"/>
      <c r="T1722" s="884"/>
      <c r="U1722" s="486"/>
      <c r="V1722" s="487"/>
      <c r="W1722" s="487"/>
      <c r="X1722" s="487"/>
      <c r="Y1722" s="885"/>
      <c r="Z1722" s="83"/>
      <c r="AC1722" s="502"/>
      <c r="AD1722" s="503"/>
      <c r="AO1722" s="22"/>
      <c r="AP1722" s="22"/>
      <c r="AQ1722" s="22"/>
      <c r="AR1722" s="22"/>
      <c r="AS1722" s="22"/>
      <c r="AT1722" s="22"/>
      <c r="AU1722" s="35"/>
      <c r="AV1722" s="35"/>
      <c r="AW1722" s="35"/>
      <c r="AX1722" s="35"/>
      <c r="AY1722" s="35"/>
      <c r="AZ1722" s="35"/>
      <c r="BA1722" s="35"/>
      <c r="BB1722" s="35"/>
      <c r="BC1722" s="35"/>
      <c r="BD1722" s="35"/>
      <c r="BE1722" s="35"/>
      <c r="BF1722" s="35"/>
      <c r="BG1722" s="35"/>
      <c r="BH1722" s="35"/>
      <c r="BI1722" s="35"/>
      <c r="BJ1722" s="35"/>
      <c r="BK1722" s="35"/>
      <c r="BL1722" s="35"/>
      <c r="BM1722" s="35"/>
      <c r="BN1722" s="35"/>
      <c r="BO1722" s="78"/>
    </row>
    <row r="1723" spans="1:67" s="20" customFormat="1" ht="16.5" thickBot="1" x14ac:dyDescent="0.3">
      <c r="A1723" s="520">
        <f>IFERROR(VLOOKUP($G$5,'רשימת רשויות'!A:C,3,0),0)</f>
        <v>0</v>
      </c>
      <c r="B1723" s="520">
        <f t="shared" si="240"/>
        <v>0</v>
      </c>
      <c r="C1723" s="39"/>
      <c r="D1723" s="1134"/>
      <c r="E1723" s="1137"/>
      <c r="F1723" s="583" t="s">
        <v>145</v>
      </c>
      <c r="G1723" s="516" t="str">
        <f>IFERROR(IF((G1725+G1726)=0,"",IF(VLOOKUP(G1722,'דוח ביצוע (3)'!$B$21:$K$900,5,0)&gt;149,"גדול",IF(AND(VLOOKUP(G1722,'דוח ביצוע (3)'!$B$21:$K$900,5,0)&gt;0,VLOOKUP(G1722,'דוח ביצוע (3)'!$B$21:$K$900,5,0)&lt;150),"קטן",0))),"")</f>
        <v/>
      </c>
      <c r="H1723" s="723" t="s">
        <v>88</v>
      </c>
      <c r="I1723" s="723" t="s">
        <v>13</v>
      </c>
      <c r="J1723" s="725" t="s">
        <v>14</v>
      </c>
      <c r="K1723" s="724" t="s">
        <v>94</v>
      </c>
      <c r="L1723" s="594"/>
      <c r="M1723" s="420" t="s">
        <v>2584</v>
      </c>
      <c r="N1723" s="397" t="s">
        <v>413</v>
      </c>
      <c r="O1723" s="398" t="s">
        <v>52</v>
      </c>
      <c r="P1723" s="595"/>
      <c r="Q1723" s="595"/>
      <c r="R1723" s="596"/>
      <c r="S1723" s="610"/>
      <c r="T1723" s="881"/>
      <c r="U1723" s="598"/>
      <c r="V1723" s="599"/>
      <c r="W1723" s="599"/>
      <c r="X1723" s="599"/>
      <c r="Y1723" s="879"/>
      <c r="Z1723" s="85"/>
      <c r="AC1723" s="493"/>
      <c r="AD1723" s="495"/>
      <c r="AO1723" s="22"/>
      <c r="AP1723" s="22"/>
      <c r="AQ1723" s="22"/>
      <c r="AR1723" s="22"/>
      <c r="AS1723" s="22"/>
      <c r="AT1723" s="22"/>
      <c r="AU1723" s="35"/>
      <c r="AV1723" s="35"/>
      <c r="AW1723" s="35"/>
      <c r="AX1723" s="35"/>
      <c r="AY1723" s="35"/>
      <c r="AZ1723" s="35"/>
      <c r="BA1723" s="35"/>
      <c r="BB1723" s="35"/>
      <c r="BC1723" s="35"/>
      <c r="BD1723" s="35"/>
      <c r="BE1723" s="35"/>
      <c r="BF1723" s="35"/>
      <c r="BG1723" s="35"/>
      <c r="BH1723" s="35"/>
      <c r="BI1723" s="35"/>
      <c r="BJ1723" s="35"/>
      <c r="BK1723" s="35"/>
      <c r="BL1723" s="35"/>
      <c r="BM1723" s="35"/>
      <c r="BN1723" s="35"/>
      <c r="BO1723" s="78"/>
    </row>
    <row r="1724" spans="1:67" s="20" customFormat="1" ht="15.75" customHeight="1" thickBot="1" x14ac:dyDescent="0.3">
      <c r="A1724" s="520">
        <f>IFERROR(VLOOKUP($G$5,'רשימת רשויות'!A:C,3,0),0)</f>
        <v>0</v>
      </c>
      <c r="B1724" s="520">
        <f t="shared" si="240"/>
        <v>0</v>
      </c>
      <c r="C1724" s="39"/>
      <c r="D1724" s="1134"/>
      <c r="E1724" s="1137"/>
      <c r="F1724" s="584" t="s">
        <v>144</v>
      </c>
      <c r="G1724" s="87">
        <f>IF(G1727="תקין",IFERROR(VLOOKUP($G1722,'דוח ביצוע (3)'!$B$21:$Q$900,12,0),0),0)</f>
        <v>0</v>
      </c>
      <c r="H1724" s="88">
        <f>IFERROR(G1725*$AH$6+G1726*$AH$7,0)</f>
        <v>0</v>
      </c>
      <c r="I1724" s="88">
        <f>IFERROR(G1725*$AI$6+G1726*$AI$7,0)</f>
        <v>0</v>
      </c>
      <c r="J1724" s="88">
        <f>IFERROR(G1725*$AJ$6+G1726*$AJ$7,0)</f>
        <v>0</v>
      </c>
      <c r="K1724" s="88">
        <f>IFERROR(G1725*$AK$6+G1726*$AK$7,0)</f>
        <v>0</v>
      </c>
      <c r="L1724" s="405"/>
      <c r="M1724" s="399" t="s">
        <v>427</v>
      </c>
      <c r="N1724" s="400" t="str">
        <f>IFERROR(VLOOKUP($G1722,'דוח ביצוע (3)'!$B:$AE,28,0),"")</f>
        <v/>
      </c>
      <c r="O1724" s="89" t="str">
        <f>IFERROR(VLOOKUP($G1722,'דוח ביצוע (3)'!B:AE,29,0),"")</f>
        <v/>
      </c>
      <c r="P1724" s="595"/>
      <c r="Q1724" s="595"/>
      <c r="R1724" s="596"/>
      <c r="S1724" s="610"/>
      <c r="T1724" s="881"/>
      <c r="U1724" s="598"/>
      <c r="V1724" s="599"/>
      <c r="W1724" s="599"/>
      <c r="X1724" s="599"/>
      <c r="Y1724" s="879"/>
      <c r="Z1724" s="85"/>
      <c r="AC1724" s="493"/>
      <c r="AD1724" s="495"/>
      <c r="AO1724" s="22"/>
      <c r="AP1724" s="22"/>
      <c r="AQ1724" s="22"/>
      <c r="AR1724" s="22"/>
      <c r="AS1724" s="22"/>
      <c r="AT1724" s="22"/>
      <c r="AU1724" s="35"/>
      <c r="AV1724" s="35"/>
      <c r="AW1724" s="35"/>
      <c r="AX1724" s="35"/>
      <c r="AY1724" s="35"/>
      <c r="AZ1724" s="35"/>
      <c r="BA1724" s="35"/>
      <c r="BB1724" s="35"/>
      <c r="BC1724" s="35"/>
      <c r="BD1724" s="35"/>
      <c r="BE1724" s="35"/>
      <c r="BF1724" s="35"/>
      <c r="BG1724" s="35"/>
      <c r="BH1724" s="35"/>
      <c r="BI1724" s="35"/>
      <c r="BJ1724" s="35"/>
      <c r="BK1724" s="35"/>
      <c r="BL1724" s="35"/>
      <c r="BM1724" s="35"/>
      <c r="BN1724" s="35"/>
      <c r="BO1724" s="78"/>
    </row>
    <row r="1725" spans="1:67" s="20" customFormat="1" ht="32.25" thickBot="1" x14ac:dyDescent="0.3">
      <c r="A1725" s="520">
        <f>IFERROR(VLOOKUP($G$5,'רשימת רשויות'!A:C,3,0),0)</f>
        <v>0</v>
      </c>
      <c r="B1725" s="520">
        <f t="shared" si="240"/>
        <v>0</v>
      </c>
      <c r="C1725" s="39"/>
      <c r="D1725" s="1134"/>
      <c r="E1725" s="1137"/>
      <c r="F1725" s="585" t="s">
        <v>2195</v>
      </c>
      <c r="G1725" s="89">
        <f>IF(G1727="תקין",MAX(N1727,0),0)</f>
        <v>0</v>
      </c>
      <c r="H1725" s="725" t="s">
        <v>151</v>
      </c>
      <c r="I1725" s="725" t="s">
        <v>91</v>
      </c>
      <c r="J1725" s="970" t="s">
        <v>3396</v>
      </c>
      <c r="K1725" s="601"/>
      <c r="L1725" s="601"/>
      <c r="M1725" s="983" t="s">
        <v>2585</v>
      </c>
      <c r="N1725" s="400" t="str">
        <f>IFERROR(G1724/15*N1724*1.25,"")</f>
        <v/>
      </c>
      <c r="O1725" s="89" t="str">
        <f>IFERROR(G1724/15*O1724*1.25,"")</f>
        <v/>
      </c>
      <c r="P1725" s="595"/>
      <c r="Q1725" s="595"/>
      <c r="R1725" s="596"/>
      <c r="S1725" s="610"/>
      <c r="T1725" s="881"/>
      <c r="U1725" s="598"/>
      <c r="V1725" s="599"/>
      <c r="W1725" s="599"/>
      <c r="X1725" s="599"/>
      <c r="Y1725" s="879"/>
      <c r="Z1725" s="85"/>
      <c r="AC1725" s="493"/>
      <c r="AD1725" s="495"/>
      <c r="AG1725" s="22"/>
      <c r="AH1725" s="55"/>
      <c r="AI1725" s="55"/>
      <c r="AJ1725" s="55"/>
      <c r="AK1725" s="55"/>
      <c r="AO1725" s="22"/>
      <c r="AP1725" s="22"/>
      <c r="AQ1725" s="22"/>
      <c r="AR1725" s="22"/>
      <c r="AS1725" s="22"/>
      <c r="AT1725" s="22"/>
      <c r="AU1725" s="35"/>
      <c r="AV1725" s="35"/>
      <c r="AW1725" s="35"/>
      <c r="AX1725" s="35"/>
      <c r="AY1725" s="35"/>
      <c r="AZ1725" s="35"/>
      <c r="BA1725" s="35"/>
      <c r="BB1725" s="35"/>
      <c r="BC1725" s="35"/>
      <c r="BD1725" s="35"/>
      <c r="BE1725" s="35"/>
      <c r="BF1725" s="35"/>
      <c r="BG1725" s="35"/>
      <c r="BH1725" s="35"/>
      <c r="BI1725" s="35"/>
      <c r="BJ1725" s="35"/>
      <c r="BK1725" s="35"/>
      <c r="BL1725" s="35"/>
      <c r="BM1725" s="35"/>
      <c r="BN1725" s="35"/>
      <c r="BO1725" s="86"/>
    </row>
    <row r="1726" spans="1:67" s="20" customFormat="1" ht="16.5" thickBot="1" x14ac:dyDescent="0.3">
      <c r="A1726" s="520">
        <f>IFERROR(VLOOKUP($G$5,'רשימת רשויות'!A:C,3,0),0)</f>
        <v>0</v>
      </c>
      <c r="B1726" s="520">
        <f t="shared" si="240"/>
        <v>0</v>
      </c>
      <c r="C1726" s="39"/>
      <c r="D1726" s="1134"/>
      <c r="E1726" s="1137"/>
      <c r="F1726" s="585" t="s">
        <v>2196</v>
      </c>
      <c r="G1726" s="89">
        <f>IF(G1727="תקין",MAX(O1727,0),0)</f>
        <v>0</v>
      </c>
      <c r="H1726" s="88">
        <f>(IFERROR(IF((G1725+G1726)=0,0,IF(G1723="קטן",G1724*$AH$10,G1724*$AH$11)),0))+(IFERROR(IF((G1725+G1726)=0,0,VLOOKUP(G1722,'דוח ביצוע (3)'!$B:$AH,33,0)),0))</f>
        <v>0</v>
      </c>
      <c r="I1726" s="88">
        <f>IFERROR(IF((G1725+G1726)=0,0,IF(G1723="קטן",G1724*$AI$10,G1724*$AI$11)),0)</f>
        <v>0</v>
      </c>
      <c r="J1726" s="88">
        <f>IFERROR(IF((G1725+G1726)=0,0,VLOOKUP(G1722,'דוח ביצוע (3)'!$B:$AH,32,0)),0)</f>
        <v>0</v>
      </c>
      <c r="K1726" s="90"/>
      <c r="L1726" s="90"/>
      <c r="M1726" s="399" t="s">
        <v>412</v>
      </c>
      <c r="N1726" s="400">
        <f>IFERROR(VLOOKUP($G1722,'דוח ביצוע (3)'!$B$21:$U$500,18,0),0)</f>
        <v>0</v>
      </c>
      <c r="O1726" s="401">
        <f>IFERROR(VLOOKUP($G1722,'דוח ביצוע (3)'!$B$21:$U$500,19,0),0)</f>
        <v>0</v>
      </c>
      <c r="P1726" s="595"/>
      <c r="Q1726" s="595"/>
      <c r="R1726" s="596"/>
      <c r="S1726" s="610"/>
      <c r="T1726" s="881"/>
      <c r="U1726" s="598"/>
      <c r="V1726" s="599"/>
      <c r="W1726" s="599"/>
      <c r="X1726" s="599"/>
      <c r="Y1726" s="879"/>
      <c r="Z1726" s="85"/>
      <c r="AC1726" s="493"/>
      <c r="AD1726" s="495"/>
      <c r="AG1726" s="22"/>
      <c r="AH1726" s="55"/>
      <c r="AI1726" s="55"/>
      <c r="AJ1726" s="55"/>
      <c r="AK1726" s="55"/>
      <c r="AO1726" s="22"/>
      <c r="AP1726" s="22"/>
      <c r="AQ1726" s="22"/>
      <c r="AR1726" s="22"/>
      <c r="AS1726" s="22"/>
      <c r="AT1726" s="22"/>
      <c r="AU1726" s="35"/>
      <c r="AV1726" s="35"/>
      <c r="AW1726" s="35"/>
      <c r="AX1726" s="35"/>
      <c r="AY1726" s="35"/>
      <c r="AZ1726" s="35"/>
      <c r="BA1726" s="35"/>
      <c r="BB1726" s="35"/>
      <c r="BC1726" s="35"/>
      <c r="BD1726" s="35"/>
      <c r="BE1726" s="35"/>
      <c r="BF1726" s="35"/>
      <c r="BG1726" s="35"/>
      <c r="BH1726" s="35"/>
      <c r="BI1726" s="35"/>
      <c r="BJ1726" s="35"/>
      <c r="BK1726" s="35"/>
      <c r="BL1726" s="35"/>
      <c r="BM1726" s="35"/>
      <c r="BN1726" s="35"/>
      <c r="BO1726" s="86"/>
    </row>
    <row r="1727" spans="1:67" s="20" customFormat="1" ht="16.5" thickBot="1" x14ac:dyDescent="0.3">
      <c r="A1727" s="520">
        <f>IFERROR(VLOOKUP($G$5,'רשימת רשויות'!A:C,3,0),0)</f>
        <v>0</v>
      </c>
      <c r="B1727" s="520">
        <f t="shared" si="240"/>
        <v>0</v>
      </c>
      <c r="C1727" s="39"/>
      <c r="D1727" s="1134"/>
      <c r="E1727" s="1137"/>
      <c r="F1727" s="586" t="s">
        <v>2355</v>
      </c>
      <c r="G1727" s="514">
        <f>IFERROR(IF(VLOOKUP('בית ספר - תקצוב לפי מוסד (9)'!G1722,' איוש משרות (8)'!$C:$K,9,0)="תקין","תקין","לא תקין"),0)</f>
        <v>0</v>
      </c>
      <c r="H1727" s="91"/>
      <c r="I1727" s="91"/>
      <c r="J1727" s="91"/>
      <c r="K1727" s="90"/>
      <c r="L1727" s="90"/>
      <c r="M1727" s="402" t="s">
        <v>2586</v>
      </c>
      <c r="N1727" s="403">
        <f>IFERROR(MIN(N1725,N1726),0)</f>
        <v>0</v>
      </c>
      <c r="O1727" s="404">
        <f>IFERROR(MIN(O1725,O1726),0)</f>
        <v>0</v>
      </c>
      <c r="P1727" s="595"/>
      <c r="Q1727" s="595"/>
      <c r="R1727" s="596"/>
      <c r="S1727" s="610"/>
      <c r="T1727" s="881"/>
      <c r="U1727" s="598"/>
      <c r="V1727" s="599"/>
      <c r="W1727" s="599"/>
      <c r="X1727" s="599"/>
      <c r="Y1727" s="879"/>
      <c r="Z1727" s="85"/>
      <c r="AC1727" s="493"/>
      <c r="AD1727" s="495"/>
      <c r="AG1727" s="94"/>
      <c r="AH1727" s="40"/>
      <c r="AI1727" s="40"/>
      <c r="AJ1727" s="40"/>
      <c r="AK1727" s="40"/>
      <c r="AO1727" s="22"/>
      <c r="AP1727" s="22"/>
      <c r="AQ1727" s="22"/>
      <c r="AR1727" s="22"/>
      <c r="AS1727" s="22"/>
      <c r="AT1727" s="22"/>
      <c r="AU1727" s="35"/>
      <c r="AV1727" s="35"/>
      <c r="AW1727" s="35"/>
      <c r="AX1727" s="35"/>
      <c r="AY1727" s="35"/>
      <c r="AZ1727" s="35"/>
      <c r="BA1727" s="35"/>
      <c r="BB1727" s="35"/>
      <c r="BC1727" s="35"/>
      <c r="BD1727" s="35"/>
      <c r="BE1727" s="35"/>
      <c r="BF1727" s="35"/>
      <c r="BG1727" s="35"/>
      <c r="BH1727" s="35"/>
      <c r="BI1727" s="35"/>
      <c r="BJ1727" s="35"/>
      <c r="BK1727" s="35"/>
      <c r="BL1727" s="35"/>
      <c r="BM1727" s="35"/>
      <c r="BN1727" s="35"/>
      <c r="BO1727" s="86"/>
    </row>
    <row r="1728" spans="1:67" s="55" customFormat="1" ht="37.15" customHeight="1" thickBot="1" x14ac:dyDescent="0.3">
      <c r="A1728" s="520">
        <f>IFERROR(VLOOKUP($G$5,'רשימת רשויות'!A:C,3,0),0)</f>
        <v>0</v>
      </c>
      <c r="B1728" s="520">
        <f t="shared" si="240"/>
        <v>0</v>
      </c>
      <c r="C1728" s="39"/>
      <c r="D1728" s="1134"/>
      <c r="E1728" s="1137"/>
      <c r="F1728" s="587" t="s">
        <v>142</v>
      </c>
      <c r="G1728" s="92"/>
      <c r="H1728" s="92"/>
      <c r="I1728" s="92"/>
      <c r="J1728" s="92"/>
      <c r="K1728" s="602"/>
      <c r="L1728" s="602"/>
      <c r="M1728" s="602"/>
      <c r="N1728" s="602"/>
      <c r="O1728" s="602"/>
      <c r="P1728" s="595"/>
      <c r="Q1728" s="595"/>
      <c r="R1728" s="596"/>
      <c r="S1728" s="610"/>
      <c r="T1728" s="881"/>
      <c r="U1728" s="598"/>
      <c r="V1728" s="599"/>
      <c r="W1728" s="599"/>
      <c r="X1728" s="599"/>
      <c r="Y1728" s="879"/>
      <c r="Z1728" s="93"/>
      <c r="AC1728" s="493"/>
      <c r="AD1728" s="495"/>
      <c r="AF1728" s="22"/>
      <c r="AG1728" s="98"/>
      <c r="AH1728" s="98"/>
      <c r="AI1728" s="40"/>
      <c r="AJ1728" s="40"/>
      <c r="AK1728" s="40"/>
      <c r="AO1728" s="22"/>
      <c r="AP1728" s="22"/>
      <c r="AQ1728" s="22"/>
      <c r="AR1728" s="22"/>
      <c r="AS1728" s="22"/>
      <c r="AT1728" s="22"/>
      <c r="AU1728" s="35"/>
      <c r="AV1728" s="35"/>
      <c r="AW1728" s="35"/>
      <c r="AX1728" s="35"/>
      <c r="AY1728" s="35"/>
      <c r="AZ1728" s="35"/>
      <c r="BA1728" s="35"/>
      <c r="BB1728" s="35"/>
      <c r="BC1728" s="35"/>
      <c r="BD1728" s="35"/>
      <c r="BE1728" s="35"/>
      <c r="BF1728" s="35"/>
      <c r="BG1728" s="35"/>
      <c r="BH1728" s="35"/>
      <c r="BI1728" s="35"/>
      <c r="BJ1728" s="35"/>
      <c r="BK1728" s="35"/>
      <c r="BL1728" s="35"/>
      <c r="BM1728" s="35"/>
      <c r="BN1728" s="35"/>
      <c r="BO1728" s="86"/>
    </row>
    <row r="1729" spans="1:67" s="40" customFormat="1" ht="31.5" x14ac:dyDescent="0.25">
      <c r="A1729" s="520">
        <f>IFERROR(VLOOKUP($G$5,'רשימת רשויות'!A:C,3,0),0)</f>
        <v>0</v>
      </c>
      <c r="B1729" s="520">
        <f t="shared" si="240"/>
        <v>0</v>
      </c>
      <c r="C1729" s="39"/>
      <c r="D1729" s="1134"/>
      <c r="E1729" s="1137"/>
      <c r="F1729" s="588" t="s">
        <v>94</v>
      </c>
      <c r="G1729" s="95" t="s">
        <v>18</v>
      </c>
      <c r="H1729" s="95" t="s">
        <v>19</v>
      </c>
      <c r="I1729" s="95" t="s">
        <v>138</v>
      </c>
      <c r="J1729" s="96" t="s">
        <v>139</v>
      </c>
      <c r="K1729" s="603"/>
      <c r="L1729" s="603"/>
      <c r="M1729" s="603"/>
      <c r="N1729" s="603"/>
      <c r="O1729" s="603"/>
      <c r="P1729" s="604"/>
      <c r="Q1729" s="604"/>
      <c r="R1729" s="596"/>
      <c r="S1729" s="610"/>
      <c r="T1729" s="881"/>
      <c r="U1729" s="598"/>
      <c r="V1729" s="599"/>
      <c r="W1729" s="599"/>
      <c r="X1729" s="599"/>
      <c r="Y1729" s="879"/>
      <c r="Z1729" s="97"/>
      <c r="AA1729" s="94"/>
      <c r="AB1729" s="94"/>
      <c r="AC1729" s="493"/>
      <c r="AD1729" s="495"/>
      <c r="AE1729" s="94"/>
      <c r="AG1729" s="98"/>
      <c r="AH1729" s="98"/>
      <c r="AO1729" s="22"/>
      <c r="AP1729" s="22"/>
      <c r="AQ1729" s="22"/>
      <c r="AR1729" s="22"/>
      <c r="AS1729" s="22"/>
      <c r="AT1729" s="22"/>
      <c r="AU1729" s="35"/>
      <c r="AV1729" s="35"/>
      <c r="AW1729" s="35"/>
      <c r="AX1729" s="35"/>
      <c r="AY1729" s="35"/>
      <c r="AZ1729" s="35"/>
      <c r="BA1729" s="35"/>
      <c r="BB1729" s="35"/>
      <c r="BC1729" s="35"/>
      <c r="BD1729" s="35"/>
      <c r="BE1729" s="35"/>
      <c r="BF1729" s="35"/>
      <c r="BG1729" s="35"/>
      <c r="BH1729" s="35"/>
      <c r="BI1729" s="35"/>
      <c r="BJ1729" s="35"/>
      <c r="BK1729" s="35"/>
      <c r="BL1729" s="35"/>
      <c r="BM1729" s="35"/>
      <c r="BN1729" s="35"/>
      <c r="BO1729" s="86"/>
    </row>
    <row r="1730" spans="1:67" s="40" customFormat="1" ht="15.75" customHeight="1" thickBot="1" x14ac:dyDescent="0.3">
      <c r="A1730" s="520">
        <f>IFERROR(VLOOKUP($G$5,'רשימת רשויות'!A:C,3,0),0)</f>
        <v>0</v>
      </c>
      <c r="B1730" s="520">
        <f t="shared" si="240"/>
        <v>0</v>
      </c>
      <c r="C1730" s="39"/>
      <c r="D1730" s="1134"/>
      <c r="E1730" s="1137"/>
      <c r="F1730" s="589" t="s">
        <v>2280</v>
      </c>
      <c r="G1730" s="99">
        <f>+G1741</f>
        <v>0</v>
      </c>
      <c r="H1730" s="100">
        <f>K1724</f>
        <v>0</v>
      </c>
      <c r="I1730" s="100">
        <f>H1730-I1732</f>
        <v>0</v>
      </c>
      <c r="J1730" s="101">
        <f>IFERROR(I1730/H1730,0)</f>
        <v>0</v>
      </c>
      <c r="K1730" s="603"/>
      <c r="L1730" s="603"/>
      <c r="M1730" s="603"/>
      <c r="N1730" s="603"/>
      <c r="O1730" s="603"/>
      <c r="P1730" s="605"/>
      <c r="Q1730" s="604"/>
      <c r="R1730" s="606" t="s">
        <v>157</v>
      </c>
      <c r="S1730" s="611"/>
      <c r="T1730" s="881"/>
      <c r="U1730" s="598"/>
      <c r="V1730" s="599"/>
      <c r="W1730" s="599"/>
      <c r="X1730" s="599"/>
      <c r="Y1730" s="879"/>
      <c r="Z1730" s="102"/>
      <c r="AA1730" s="122"/>
      <c r="AB1730" s="122"/>
      <c r="AC1730" s="493"/>
      <c r="AD1730" s="495"/>
      <c r="AE1730" s="122"/>
      <c r="AF1730" s="22"/>
      <c r="AG1730" s="98"/>
      <c r="AH1730" s="98"/>
      <c r="AI1730" s="20"/>
      <c r="AO1730" s="22"/>
      <c r="AP1730" s="22"/>
      <c r="AQ1730" s="22"/>
      <c r="AR1730" s="22"/>
      <c r="AS1730" s="22"/>
      <c r="AT1730" s="22"/>
      <c r="AU1730" s="35"/>
      <c r="AV1730" s="35"/>
      <c r="AW1730" s="35"/>
      <c r="AX1730" s="35"/>
      <c r="AY1730" s="35"/>
      <c r="AZ1730" s="35"/>
      <c r="BA1730" s="35"/>
      <c r="BB1730" s="35"/>
      <c r="BC1730" s="35"/>
      <c r="BD1730" s="35"/>
      <c r="BE1730" s="35"/>
      <c r="BF1730" s="35"/>
      <c r="BG1730" s="35"/>
      <c r="BH1730" s="35"/>
      <c r="BI1730" s="35"/>
      <c r="BJ1730" s="35"/>
      <c r="BK1730" s="35"/>
      <c r="BL1730" s="35"/>
      <c r="BM1730" s="35"/>
      <c r="BN1730" s="35"/>
      <c r="BO1730" s="86"/>
    </row>
    <row r="1731" spans="1:67" s="40" customFormat="1" ht="15.75" customHeight="1" thickBot="1" x14ac:dyDescent="0.3">
      <c r="A1731" s="520">
        <f>IFERROR(VLOOKUP($G$5,'רשימת רשויות'!A:C,3,0),0)</f>
        <v>0</v>
      </c>
      <c r="B1731" s="520">
        <f t="shared" si="240"/>
        <v>0</v>
      </c>
      <c r="C1731" s="39"/>
      <c r="D1731" s="1134"/>
      <c r="E1731" s="1137"/>
      <c r="F1731" s="589" t="s">
        <v>2281</v>
      </c>
      <c r="G1731" s="99">
        <f>+G1740</f>
        <v>0</v>
      </c>
      <c r="H1731" s="103"/>
      <c r="I1731" s="104"/>
      <c r="J1731" s="105"/>
      <c r="K1731" s="603"/>
      <c r="L1731" s="603"/>
      <c r="M1731" s="603"/>
      <c r="N1731" s="603"/>
      <c r="O1731" s="603"/>
      <c r="P1731" s="605"/>
      <c r="Q1731" s="604"/>
      <c r="R1731" s="473">
        <f>I1732-R1733</f>
        <v>0</v>
      </c>
      <c r="S1731" s="611"/>
      <c r="T1731" s="881"/>
      <c r="U1731" s="598"/>
      <c r="V1731" s="599"/>
      <c r="W1731" s="599"/>
      <c r="X1731" s="599"/>
      <c r="Y1731" s="879"/>
      <c r="Z1731" s="106"/>
      <c r="AA1731" s="22"/>
      <c r="AB1731" s="22"/>
      <c r="AC1731" s="493"/>
      <c r="AD1731" s="495"/>
      <c r="AE1731" s="22"/>
      <c r="AF1731" s="22"/>
      <c r="AG1731" s="98"/>
      <c r="AH1731" s="98"/>
      <c r="AI1731" s="20"/>
      <c r="AO1731" s="22"/>
      <c r="AP1731" s="22"/>
      <c r="AQ1731" s="22"/>
      <c r="AR1731" s="22"/>
      <c r="AS1731" s="22"/>
      <c r="AT1731" s="22"/>
      <c r="AU1731" s="35"/>
      <c r="AV1731" s="35"/>
      <c r="AW1731" s="35"/>
      <c r="AX1731" s="35"/>
      <c r="AY1731" s="35"/>
      <c r="AZ1731" s="35"/>
      <c r="BA1731" s="35"/>
      <c r="BB1731" s="35"/>
      <c r="BC1731" s="35"/>
      <c r="BD1731" s="35"/>
      <c r="BE1731" s="35"/>
      <c r="BF1731" s="35"/>
      <c r="BG1731" s="35"/>
      <c r="BH1731" s="35"/>
      <c r="BI1731" s="35"/>
      <c r="BJ1731" s="35"/>
      <c r="BK1731" s="35"/>
      <c r="BL1731" s="35"/>
      <c r="BM1731" s="35"/>
      <c r="BN1731" s="35"/>
      <c r="BO1731" s="86"/>
    </row>
    <row r="1732" spans="1:67" s="40" customFormat="1" ht="16.5" customHeight="1" thickBot="1" x14ac:dyDescent="0.3">
      <c r="A1732" s="520">
        <f>IFERROR(VLOOKUP($G$5,'רשימת רשויות'!A:C,3,0),0)</f>
        <v>0</v>
      </c>
      <c r="B1732" s="520">
        <f t="shared" si="240"/>
        <v>0</v>
      </c>
      <c r="C1732" s="39"/>
      <c r="D1732" s="1134"/>
      <c r="E1732" s="1137"/>
      <c r="F1732" s="589" t="s">
        <v>2282</v>
      </c>
      <c r="G1732" s="99">
        <f>G1736+G1737+G1738</f>
        <v>0</v>
      </c>
      <c r="H1732" s="104"/>
      <c r="I1732" s="107">
        <f>MAX(H1730-G1730-G1731,0)</f>
        <v>0</v>
      </c>
      <c r="J1732" s="108">
        <f>IFERROR(I1732/H1730,0)</f>
        <v>0</v>
      </c>
      <c r="K1732" s="603"/>
      <c r="L1732" s="603"/>
      <c r="M1732" s="603"/>
      <c r="N1732" s="603"/>
      <c r="O1732" s="603"/>
      <c r="P1732" s="604"/>
      <c r="Q1732" s="604"/>
      <c r="R1732" s="606" t="s">
        <v>158</v>
      </c>
      <c r="S1732" s="612"/>
      <c r="T1732" s="881"/>
      <c r="U1732" s="598"/>
      <c r="V1732" s="599"/>
      <c r="W1732" s="599"/>
      <c r="X1732" s="599"/>
      <c r="Y1732" s="879"/>
      <c r="Z1732" s="106"/>
      <c r="AA1732" s="22"/>
      <c r="AB1732" s="22"/>
      <c r="AC1732" s="493"/>
      <c r="AD1732" s="495"/>
      <c r="AE1732" s="22"/>
      <c r="AF1732" s="22"/>
      <c r="AG1732" s="22"/>
      <c r="AH1732" s="22"/>
      <c r="AI1732" s="55"/>
      <c r="AJ1732" s="22"/>
      <c r="AK1732" s="22"/>
      <c r="AO1732" s="22"/>
      <c r="AP1732" s="22"/>
      <c r="AQ1732" s="22"/>
      <c r="AR1732" s="22"/>
      <c r="AS1732" s="22"/>
      <c r="AT1732" s="22"/>
      <c r="AU1732" s="35"/>
      <c r="AV1732" s="35"/>
      <c r="AW1732" s="35"/>
      <c r="AX1732" s="35"/>
      <c r="AY1732" s="35"/>
      <c r="AZ1732" s="35"/>
      <c r="BA1732" s="35"/>
      <c r="BB1732" s="35"/>
      <c r="BC1732" s="35"/>
      <c r="BD1732" s="35"/>
      <c r="BE1732" s="35"/>
      <c r="BF1732" s="35"/>
      <c r="BG1732" s="35"/>
      <c r="BH1732" s="35"/>
      <c r="BI1732" s="35"/>
      <c r="BJ1732" s="35"/>
      <c r="BK1732" s="35"/>
      <c r="BL1732" s="35"/>
      <c r="BM1732" s="35"/>
      <c r="BN1732" s="35"/>
      <c r="BO1732" s="86"/>
    </row>
    <row r="1733" spans="1:67" s="40" customFormat="1" ht="15.75" customHeight="1" thickBot="1" x14ac:dyDescent="0.3">
      <c r="A1733" s="520">
        <f>IFERROR(VLOOKUP($G$5,'רשימת רשויות'!A:C,3,0),0)</f>
        <v>0</v>
      </c>
      <c r="B1733" s="520">
        <f t="shared" si="240"/>
        <v>0</v>
      </c>
      <c r="C1733" s="39"/>
      <c r="D1733" s="1134"/>
      <c r="E1733" s="1137"/>
      <c r="F1733" s="590" t="s">
        <v>2290</v>
      </c>
      <c r="G1733" s="109"/>
      <c r="H1733" s="110"/>
      <c r="I1733" s="111">
        <f>SUM(I1730:I1732)</f>
        <v>0</v>
      </c>
      <c r="J1733" s="112">
        <f>SUM(J1730:J1732)</f>
        <v>0</v>
      </c>
      <c r="K1733" s="603"/>
      <c r="L1733" s="603"/>
      <c r="M1733" s="603"/>
      <c r="N1733" s="603"/>
      <c r="O1733" s="603"/>
      <c r="P1733" s="604"/>
      <c r="Q1733" s="604"/>
      <c r="R1733" s="473">
        <f>MIN(MAX(G1737+G1738-I1726-J1726,0),I1732)</f>
        <v>0</v>
      </c>
      <c r="S1733" s="612"/>
      <c r="T1733" s="881"/>
      <c r="U1733" s="598"/>
      <c r="V1733" s="599"/>
      <c r="W1733" s="599"/>
      <c r="X1733" s="599"/>
      <c r="Y1733" s="879"/>
      <c r="Z1733" s="106"/>
      <c r="AA1733" s="22"/>
      <c r="AB1733" s="22"/>
      <c r="AC1733" s="493"/>
      <c r="AD1733" s="495"/>
      <c r="AE1733" s="22"/>
      <c r="AF1733" s="22"/>
      <c r="AG1733" s="22"/>
      <c r="AH1733" s="22"/>
      <c r="AJ1733" s="22"/>
      <c r="AK1733" s="22"/>
      <c r="AO1733" s="22"/>
      <c r="AP1733" s="22"/>
      <c r="AQ1733" s="22"/>
      <c r="AR1733" s="22"/>
      <c r="AS1733" s="22"/>
      <c r="AT1733" s="22"/>
      <c r="AU1733" s="35"/>
      <c r="AV1733" s="35"/>
      <c r="AW1733" s="35"/>
      <c r="AX1733" s="35"/>
      <c r="AY1733" s="35"/>
      <c r="AZ1733" s="35"/>
      <c r="BA1733" s="35"/>
      <c r="BB1733" s="35"/>
      <c r="BC1733" s="35"/>
      <c r="BD1733" s="35"/>
      <c r="BE1733" s="35"/>
      <c r="BF1733" s="35"/>
      <c r="BG1733" s="35"/>
      <c r="BH1733" s="35"/>
      <c r="BI1733" s="35"/>
      <c r="BJ1733" s="35"/>
      <c r="BK1733" s="35"/>
      <c r="BL1733" s="35"/>
      <c r="BM1733" s="35"/>
      <c r="BN1733" s="35"/>
      <c r="BO1733" s="86"/>
    </row>
    <row r="1734" spans="1:67" ht="16.5" thickBot="1" x14ac:dyDescent="0.3">
      <c r="A1734" s="520">
        <f>IFERROR(VLOOKUP($G$5,'רשימת רשויות'!A:C,3,0),0)</f>
        <v>0</v>
      </c>
      <c r="B1734" s="520">
        <f t="shared" si="240"/>
        <v>0</v>
      </c>
      <c r="D1734" s="1134"/>
      <c r="E1734" s="1137"/>
      <c r="F1734" s="587" t="s">
        <v>17</v>
      </c>
      <c r="G1734" s="113"/>
      <c r="H1734" s="92"/>
      <c r="I1734" s="114"/>
      <c r="J1734" s="115"/>
      <c r="K1734" s="116"/>
      <c r="L1734" s="406"/>
      <c r="M1734" s="116"/>
      <c r="N1734" s="116"/>
      <c r="O1734" s="116"/>
      <c r="P1734" s="474"/>
      <c r="Q1734" s="607"/>
      <c r="R1734" s="608"/>
      <c r="S1734" s="612"/>
      <c r="T1734" s="881"/>
      <c r="U1734" s="598"/>
      <c r="V1734" s="599"/>
      <c r="W1734" s="599"/>
      <c r="X1734" s="599"/>
      <c r="Y1734" s="879"/>
      <c r="Z1734" s="106"/>
      <c r="AI1734" s="40"/>
      <c r="BO1734" s="86"/>
    </row>
    <row r="1735" spans="1:67" ht="47.25" x14ac:dyDescent="0.25">
      <c r="A1735" s="520">
        <f>IFERROR(VLOOKUP($G$5,'רשימת רשויות'!A:C,3,0),0)</f>
        <v>0</v>
      </c>
      <c r="B1735" s="520">
        <f t="shared" si="240"/>
        <v>0</v>
      </c>
      <c r="D1735" s="1134"/>
      <c r="E1735" s="1137"/>
      <c r="F1735" s="588" t="s">
        <v>2</v>
      </c>
      <c r="G1735" s="95" t="s">
        <v>18</v>
      </c>
      <c r="H1735" s="95" t="s">
        <v>19</v>
      </c>
      <c r="I1735" s="95" t="s">
        <v>20</v>
      </c>
      <c r="J1735" s="95" t="s">
        <v>22</v>
      </c>
      <c r="K1735" s="96" t="s">
        <v>2314</v>
      </c>
      <c r="L1735" s="609"/>
      <c r="M1735" s="609"/>
      <c r="N1735" s="609"/>
      <c r="O1735" s="580"/>
      <c r="P1735" s="618" t="s">
        <v>2298</v>
      </c>
      <c r="Q1735" s="618" t="s">
        <v>2299</v>
      </c>
      <c r="R1735" s="596"/>
      <c r="S1735" s="890" t="s">
        <v>2519</v>
      </c>
      <c r="T1735" s="890" t="s">
        <v>97</v>
      </c>
      <c r="U1735" s="891" t="s">
        <v>2521</v>
      </c>
      <c r="V1735" s="892" t="s">
        <v>2520</v>
      </c>
      <c r="W1735" s="893" t="s">
        <v>2524</v>
      </c>
      <c r="X1735" s="892" t="s">
        <v>2522</v>
      </c>
      <c r="Y1735" s="894" t="s">
        <v>2523</v>
      </c>
      <c r="Z1735" s="106"/>
      <c r="AC1735" s="498" t="s">
        <v>2568</v>
      </c>
      <c r="AD1735" s="499" t="s">
        <v>2569</v>
      </c>
      <c r="AF1735" s="122"/>
      <c r="AI1735" s="40"/>
      <c r="BO1735" s="86"/>
    </row>
    <row r="1736" spans="1:67" ht="15" customHeight="1" thickBot="1" x14ac:dyDescent="0.3">
      <c r="A1736" s="520">
        <f>IFERROR(VLOOKUP($G$5,'רשימת רשויות'!A:C,3,0),0)</f>
        <v>0</v>
      </c>
      <c r="B1736" s="520">
        <f t="shared" si="240"/>
        <v>0</v>
      </c>
      <c r="D1736" s="1134"/>
      <c r="E1736" s="1137"/>
      <c r="F1736" s="589" t="s">
        <v>76</v>
      </c>
      <c r="G1736" s="117">
        <f>IF(G1727="תקין",SUMIF('עלויות כח אדם (6)'!$B$15:$B$3014,'בית ספר - תקצוב לפי מוסד (9)'!$G1722,'עלויות כח אדם (6)'!$M$15:$M$3014)-VLOOKUP('בית ספר - תקצוב לפי מוסד (9)'!G1722,' איוש משרות (8)'!$C:$H,5,0)-VLOOKUP('בית ספר - תקצוב לפי מוסד (9)'!G1722,' איוש משרות (8)'!$C:$H,6,0),0)-Y1736</f>
        <v>0</v>
      </c>
      <c r="H1736" s="118">
        <f>I1724+R1731</f>
        <v>0</v>
      </c>
      <c r="I1736" s="119">
        <f>IFERROR(SUM(G1736)/H1736,0)</f>
        <v>0</v>
      </c>
      <c r="J1736" s="100">
        <f>MIN(I1724+R1731,IF(ISNUMBER(G1736),G1736,0))</f>
        <v>0</v>
      </c>
      <c r="K1736" s="120">
        <f>MAX(H1736-G1736,0)</f>
        <v>0</v>
      </c>
      <c r="L1736" s="407"/>
      <c r="M1736" s="393"/>
      <c r="N1736" s="393"/>
      <c r="O1736" s="580"/>
      <c r="P1736" s="968">
        <f>IFERROR(IF(SUM(G1736)/(I1724)&lt;100%,MIN((I1724)-SUM(G1736),(I1724)*0.25),0),0)</f>
        <v>0</v>
      </c>
      <c r="Q1736" s="968">
        <f>IF(SUM(G1736)-(I1724+R1731)&gt;0,SUM(G1736)-(I1724+R1731),0)</f>
        <v>0</v>
      </c>
      <c r="R1736" s="596" t="s">
        <v>2351</v>
      </c>
      <c r="S1736" s="576" t="s">
        <v>2342</v>
      </c>
      <c r="T1736" s="599">
        <f>G1722</f>
        <v>0</v>
      </c>
      <c r="U1736" s="578"/>
      <c r="V1736" s="579">
        <f>G1736+G1737+G1738</f>
        <v>0</v>
      </c>
      <c r="W1736" s="579">
        <f>U1736-V1736</f>
        <v>0</v>
      </c>
      <c r="X1736" s="579">
        <f>IFERROR(W1750*W1736/(SUM(W1736:W1749)),0)</f>
        <v>0</v>
      </c>
      <c r="Y1736" s="879">
        <f>SUMIFS(בקרה!$S:$S,בקרה!$D:$D,T1736,בקרה!$K:$K,S1736)</f>
        <v>0</v>
      </c>
      <c r="Z1736" s="121"/>
      <c r="AA1736" s="143"/>
      <c r="AB1736" s="143"/>
      <c r="AC1736" s="504">
        <v>0</v>
      </c>
      <c r="AD1736" s="505">
        <f>IFERROR(U1736-AC1736,0)</f>
        <v>0</v>
      </c>
      <c r="AE1736" s="143"/>
      <c r="AI1736" s="20"/>
      <c r="BO1736" s="86"/>
    </row>
    <row r="1737" spans="1:67" ht="15" customHeight="1" thickBot="1" x14ac:dyDescent="0.3">
      <c r="A1737" s="520">
        <f>IFERROR(VLOOKUP($G$5,'רשימת רשויות'!A:C,3,0),0)</f>
        <v>0</v>
      </c>
      <c r="B1737" s="520">
        <f t="shared" si="240"/>
        <v>0</v>
      </c>
      <c r="D1737" s="1134"/>
      <c r="E1737" s="1137"/>
      <c r="F1737" s="589" t="s">
        <v>44</v>
      </c>
      <c r="G1737" s="123">
        <f>IF(G1727="תקין",IFERROR(VLOOKUP('בית ספר - תקצוב לפי מוסד (9)'!G1722,' איוש משרות (8)'!C:J,7,0),0),0)</f>
        <v>0</v>
      </c>
      <c r="H1737" s="124">
        <f>I1726+R1733+J1726</f>
        <v>0</v>
      </c>
      <c r="I1737" s="119">
        <f>IFERROR(SUM(G1737:G1738)/H1737,0)</f>
        <v>0</v>
      </c>
      <c r="J1737" s="100">
        <f>MIN(R1733+I1726,IF(ISNUMBER(SUM(G1737:G1738)),SUM(G1737:G1738),0))</f>
        <v>0</v>
      </c>
      <c r="K1737" s="1139">
        <f>MAX((H1737)-(G1737+G1738),0)</f>
        <v>0</v>
      </c>
      <c r="L1737" s="407"/>
      <c r="M1737" s="393"/>
      <c r="N1737" s="393"/>
      <c r="O1737" s="580"/>
      <c r="P1737" s="1140"/>
      <c r="Q1737" s="1140"/>
      <c r="R1737" s="617">
        <f>MAX(MIN(P1745-Q1745,H1745*0.15-G1743),0)</f>
        <v>0</v>
      </c>
      <c r="S1737" s="576"/>
      <c r="T1737" s="599">
        <f>G1722</f>
        <v>0</v>
      </c>
      <c r="U1737" s="578"/>
      <c r="V1737" s="579"/>
      <c r="W1737" s="579">
        <f t="shared" ref="W1737:W1749" si="247">U1737-V1737</f>
        <v>0</v>
      </c>
      <c r="X1737" s="579"/>
      <c r="Y1737" s="879"/>
      <c r="Z1737" s="121"/>
      <c r="AA1737" s="143"/>
      <c r="AB1737" s="143"/>
      <c r="AC1737" s="504"/>
      <c r="AD1737" s="505">
        <f t="shared" ref="AD1737:AD1743" si="248">IFERROR(U1737-AC1737,0)</f>
        <v>0</v>
      </c>
      <c r="AE1737" s="143"/>
      <c r="AI1737" s="20"/>
      <c r="BO1737" s="86"/>
    </row>
    <row r="1738" spans="1:67" ht="15.75" customHeight="1" x14ac:dyDescent="0.25">
      <c r="A1738" s="520">
        <f>IFERROR(VLOOKUP($G$5,'רשימת רשויות'!A:C,3,0),0)</f>
        <v>0</v>
      </c>
      <c r="B1738" s="520">
        <f t="shared" si="240"/>
        <v>0</v>
      </c>
      <c r="D1738" s="1134"/>
      <c r="E1738" s="1137"/>
      <c r="F1738" s="589" t="s">
        <v>45</v>
      </c>
      <c r="G1738" s="123">
        <f>IF(G1727="תקין",IFERROR(VLOOKUP('בית ספר - תקצוב לפי מוסד (9)'!G1722,' איוש משרות (8)'!C:J,8,0),0),0)</f>
        <v>0</v>
      </c>
      <c r="H1738" s="125"/>
      <c r="I1738" s="126"/>
      <c r="J1738" s="104"/>
      <c r="K1738" s="1139"/>
      <c r="L1738" s="407"/>
      <c r="M1738" s="393"/>
      <c r="N1738" s="393"/>
      <c r="O1738" s="580"/>
      <c r="P1738" s="1140"/>
      <c r="Q1738" s="1140"/>
      <c r="R1738" s="596"/>
      <c r="S1738" s="576"/>
      <c r="T1738" s="599">
        <f>G1722</f>
        <v>0</v>
      </c>
      <c r="U1738" s="578"/>
      <c r="V1738" s="579"/>
      <c r="W1738" s="579">
        <f t="shared" si="247"/>
        <v>0</v>
      </c>
      <c r="X1738" s="579"/>
      <c r="Y1738" s="879"/>
      <c r="Z1738" s="121"/>
      <c r="AA1738" s="143"/>
      <c r="AB1738" s="143"/>
      <c r="AC1738" s="504"/>
      <c r="AD1738" s="505">
        <f t="shared" si="248"/>
        <v>0</v>
      </c>
      <c r="AE1738" s="143"/>
      <c r="AG1738" s="55"/>
      <c r="AH1738" s="55"/>
      <c r="AI1738" s="55"/>
      <c r="AJ1738" s="55"/>
      <c r="AK1738" s="55"/>
      <c r="BO1738" s="86"/>
    </row>
    <row r="1739" spans="1:67" ht="15.75" customHeight="1" x14ac:dyDescent="0.25">
      <c r="A1739" s="520">
        <f>IFERROR(VLOOKUP($G$5,'רשימת רשויות'!A:C,3,0),0)</f>
        <v>0</v>
      </c>
      <c r="B1739" s="520">
        <f t="shared" si="240"/>
        <v>0</v>
      </c>
      <c r="D1739" s="1134"/>
      <c r="E1739" s="1137"/>
      <c r="F1739" s="589" t="s">
        <v>0</v>
      </c>
      <c r="G1739" s="117">
        <f>IF(G1727="תקין",SUMIFS('דוח הוצאות בפועל (4)'!$E$17:$E$3016,'דוח הוצאות בפועל (4)'!$B$17:$B$3016,'בית ספר - תקצוב לפי מוסד (9)'!$G1722,'דוח הוצאות בפועל (4)'!$M$17:$M$3016,"הע"),0)-Y1739</f>
        <v>0</v>
      </c>
      <c r="H1739" s="127">
        <f>J1724</f>
        <v>0</v>
      </c>
      <c r="I1739" s="128">
        <f>IFERROR(G1739/H1739,0)</f>
        <v>0</v>
      </c>
      <c r="J1739" s="129">
        <f>MIN(IF(ISNUMBER(G1739),G1739,0),H1739)</f>
        <v>0</v>
      </c>
      <c r="K1739" s="120">
        <f>MAX(H1739-G1739,0)</f>
        <v>0</v>
      </c>
      <c r="L1739" s="407"/>
      <c r="M1739" s="393"/>
      <c r="N1739" s="393"/>
      <c r="O1739" s="580"/>
      <c r="P1739" s="968">
        <f>MAX(IF(I1739&lt;100%,MIN((H1739-G1739),H1739*0.25),0),0)</f>
        <v>0</v>
      </c>
      <c r="Q1739" s="619">
        <f>IF(G1739-H1739&gt;0,G1739-H1739,0)</f>
        <v>0</v>
      </c>
      <c r="R1739" s="596"/>
      <c r="S1739" s="610" t="s">
        <v>0</v>
      </c>
      <c r="T1739" s="599">
        <f>G1722</f>
        <v>0</v>
      </c>
      <c r="U1739" s="578"/>
      <c r="V1739" s="579">
        <f>G1739</f>
        <v>0</v>
      </c>
      <c r="W1739" s="579">
        <f t="shared" si="247"/>
        <v>0</v>
      </c>
      <c r="X1739" s="579">
        <f>IFERROR(W1750*W1739/(SUM(W1736:W1749)),0)</f>
        <v>0</v>
      </c>
      <c r="Y1739" s="879">
        <f>SUMIFS(בקרה!$S:$S,בקרה!$D:$D,T1739,בקרה!$K:$K,S1739)</f>
        <v>0</v>
      </c>
      <c r="Z1739" s="121"/>
      <c r="AA1739" s="143"/>
      <c r="AB1739" s="143"/>
      <c r="AC1739" s="504">
        <v>0</v>
      </c>
      <c r="AD1739" s="505">
        <f t="shared" si="248"/>
        <v>0</v>
      </c>
      <c r="AE1739" s="143"/>
      <c r="AG1739" s="55"/>
      <c r="AH1739" s="55"/>
      <c r="AI1739" s="40"/>
      <c r="AJ1739" s="55"/>
      <c r="AK1739" s="55"/>
      <c r="BO1739" s="86"/>
    </row>
    <row r="1740" spans="1:67" s="55" customFormat="1" ht="15.75" customHeight="1" x14ac:dyDescent="0.25">
      <c r="A1740" s="520">
        <f>IFERROR(VLOOKUP($G$5,'רשימת רשויות'!A:C,3,0),0)</f>
        <v>0</v>
      </c>
      <c r="B1740" s="520">
        <f t="shared" si="240"/>
        <v>0</v>
      </c>
      <c r="C1740" s="39"/>
      <c r="D1740" s="1134"/>
      <c r="E1740" s="1137"/>
      <c r="F1740" s="589" t="s">
        <v>93</v>
      </c>
      <c r="G1740" s="130">
        <f>IF(G1727="תקין",SUMIFS('דוח הוצאות בפועל (4)'!$E$17:$E$3016,'דוח הוצאות בפועל (4)'!$B$17:$B$3016,'בית ספר - תקצוב לפי מוסד (9)'!$G1722,'דוח הוצאות בפועל (4)'!$M$17:$M$3016,"אר"),0)-Y1740</f>
        <v>0</v>
      </c>
      <c r="H1740" s="118">
        <f>$I1730</f>
        <v>0</v>
      </c>
      <c r="I1740" s="131">
        <f>IFERROR((G1740+G1741)/H1740,0)</f>
        <v>0</v>
      </c>
      <c r="J1740" s="100">
        <f>MIN((IF(ISNUMBER(G1740),G1740,0)+IF(ISNUMBER(G1741),G1741,0)),H1740)</f>
        <v>0</v>
      </c>
      <c r="K1740" s="1139">
        <f>MAX((H1740)-(G1740+G1741),0)</f>
        <v>0</v>
      </c>
      <c r="L1740" s="407"/>
      <c r="M1740" s="393"/>
      <c r="N1740" s="393"/>
      <c r="O1740" s="602"/>
      <c r="P1740" s="1141"/>
      <c r="Q1740" s="1142"/>
      <c r="R1740" s="596"/>
      <c r="S1740" s="610" t="s">
        <v>93</v>
      </c>
      <c r="T1740" s="599">
        <f>G1722</f>
        <v>0</v>
      </c>
      <c r="U1740" s="578"/>
      <c r="V1740" s="579">
        <f t="shared" ref="V1740:V1741" si="249">G1740</f>
        <v>0</v>
      </c>
      <c r="W1740" s="579">
        <f t="shared" si="247"/>
        <v>0</v>
      </c>
      <c r="X1740" s="579">
        <f>IFERROR(W1750*W1740/(SUM(W1736:W1749)),0)</f>
        <v>0</v>
      </c>
      <c r="Y1740" s="879">
        <f>SUMIFS(בקרה!$S:$S,בקרה!$D:$D,T1740,בקרה!$K:$K,S1740)</f>
        <v>0</v>
      </c>
      <c r="Z1740" s="121"/>
      <c r="AA1740" s="143"/>
      <c r="AB1740" s="143"/>
      <c r="AC1740" s="504">
        <v>0</v>
      </c>
      <c r="AD1740" s="505">
        <f t="shared" si="248"/>
        <v>0</v>
      </c>
      <c r="AE1740" s="143"/>
      <c r="AJ1740" s="22"/>
      <c r="AO1740" s="22"/>
      <c r="AP1740" s="22"/>
      <c r="AQ1740" s="22"/>
      <c r="AR1740" s="22"/>
      <c r="AS1740" s="22"/>
      <c r="AT1740" s="22"/>
      <c r="AU1740" s="35"/>
      <c r="AV1740" s="35"/>
      <c r="AW1740" s="35"/>
      <c r="AX1740" s="35"/>
      <c r="AY1740" s="35"/>
      <c r="AZ1740" s="35"/>
      <c r="BA1740" s="35"/>
      <c r="BB1740" s="35"/>
      <c r="BC1740" s="35"/>
      <c r="BD1740" s="35"/>
      <c r="BE1740" s="35"/>
      <c r="BF1740" s="35"/>
      <c r="BG1740" s="35"/>
      <c r="BH1740" s="35"/>
      <c r="BI1740" s="35"/>
      <c r="BJ1740" s="35"/>
      <c r="BK1740" s="35"/>
      <c r="BL1740" s="35"/>
      <c r="BM1740" s="35"/>
      <c r="BN1740" s="35"/>
      <c r="BO1740" s="86"/>
    </row>
    <row r="1741" spans="1:67" s="55" customFormat="1" ht="15.75" customHeight="1" x14ac:dyDescent="0.25">
      <c r="A1741" s="520">
        <f>IFERROR(VLOOKUP($G$5,'רשימת רשויות'!A:C,3,0),0)</f>
        <v>0</v>
      </c>
      <c r="B1741" s="520">
        <f t="shared" si="240"/>
        <v>0</v>
      </c>
      <c r="C1741" s="39"/>
      <c r="D1741" s="1134"/>
      <c r="E1741" s="1137"/>
      <c r="F1741" s="589" t="s">
        <v>46</v>
      </c>
      <c r="G1741" s="130">
        <f>IF(G1727="תקין",SUMIFS('דוח הוצאות בפועל (4)'!$E$17:$E$3016,'דוח הוצאות בפועל (4)'!$B$17:$B$3016,'בית ספר - תקצוב לפי מוסד (9)'!$G1722,'דוח הוצאות בפועל (4)'!$M$17:$M$3016,"מל"),0)-Y1741</f>
        <v>0</v>
      </c>
      <c r="H1741" s="132"/>
      <c r="I1741" s="133"/>
      <c r="J1741" s="104"/>
      <c r="K1741" s="1139"/>
      <c r="L1741" s="407"/>
      <c r="M1741" s="393"/>
      <c r="N1741" s="393"/>
      <c r="O1741" s="602"/>
      <c r="P1741" s="1141"/>
      <c r="Q1741" s="1142"/>
      <c r="R1741" s="596"/>
      <c r="S1741" s="610" t="s">
        <v>46</v>
      </c>
      <c r="T1741" s="599">
        <f>G1722</f>
        <v>0</v>
      </c>
      <c r="U1741" s="578"/>
      <c r="V1741" s="579">
        <f t="shared" si="249"/>
        <v>0</v>
      </c>
      <c r="W1741" s="579">
        <f t="shared" si="247"/>
        <v>0</v>
      </c>
      <c r="X1741" s="579">
        <f>IFERROR(W1750*W1741/(SUM(W1736:W1749)),0)</f>
        <v>0</v>
      </c>
      <c r="Y1741" s="879">
        <f>SUMIFS(בקרה!$S:$S,בקרה!$D:$D,T1741,בקרה!$K:$K,S1741)</f>
        <v>0</v>
      </c>
      <c r="Z1741" s="121"/>
      <c r="AA1741" s="143"/>
      <c r="AB1741" s="143"/>
      <c r="AC1741" s="504">
        <v>0</v>
      </c>
      <c r="AD1741" s="505">
        <f t="shared" si="248"/>
        <v>0</v>
      </c>
      <c r="AE1741" s="143"/>
      <c r="AJ1741" s="22"/>
      <c r="AO1741" s="22"/>
      <c r="AP1741" s="22"/>
      <c r="AQ1741" s="22"/>
      <c r="AR1741" s="22"/>
      <c r="AS1741" s="22"/>
      <c r="AT1741" s="22"/>
      <c r="AU1741" s="35"/>
      <c r="AV1741" s="35"/>
      <c r="AW1741" s="35"/>
      <c r="AX1741" s="35"/>
      <c r="AY1741" s="35"/>
      <c r="AZ1741" s="35"/>
      <c r="BA1741" s="35"/>
      <c r="BB1741" s="35"/>
      <c r="BC1741" s="35"/>
      <c r="BD1741" s="35"/>
      <c r="BE1741" s="35"/>
      <c r="BF1741" s="35"/>
      <c r="BG1741" s="35"/>
      <c r="BH1741" s="35"/>
      <c r="BI1741" s="35"/>
      <c r="BJ1741" s="35"/>
      <c r="BK1741" s="35"/>
      <c r="BL1741" s="35"/>
      <c r="BM1741" s="35"/>
      <c r="BN1741" s="35"/>
      <c r="BO1741" s="86"/>
    </row>
    <row r="1742" spans="1:67" s="55" customFormat="1" ht="15" customHeight="1" x14ac:dyDescent="0.25">
      <c r="A1742" s="520">
        <f>IFERROR(VLOOKUP($G$5,'רשימת רשויות'!A:C,3,0),0)</f>
        <v>0</v>
      </c>
      <c r="B1742" s="520">
        <f t="shared" ref="B1742:B1805" si="250">IF(F1743="סמל המוסד",G1743,B1741)</f>
        <v>0</v>
      </c>
      <c r="C1742" s="39"/>
      <c r="D1742" s="1134"/>
      <c r="E1742" s="1137"/>
      <c r="F1742" s="591" t="s">
        <v>23</v>
      </c>
      <c r="G1742" s="134">
        <f>SUM(G1736:G1741)</f>
        <v>0</v>
      </c>
      <c r="H1742" s="135">
        <f>SUM(H1736:H1741)</f>
        <v>0</v>
      </c>
      <c r="I1742" s="128">
        <f>IFERROR(G1742/H1742,0)</f>
        <v>0</v>
      </c>
      <c r="J1742" s="136">
        <f>SUM(J1736:J1741)</f>
        <v>0</v>
      </c>
      <c r="K1742" s="137">
        <f>SUM(K1736:K1741)</f>
        <v>0</v>
      </c>
      <c r="L1742" s="408"/>
      <c r="M1742" s="394"/>
      <c r="N1742" s="394"/>
      <c r="O1742" s="602"/>
      <c r="P1742" s="620">
        <f>SUM(P1736:P1741)</f>
        <v>0</v>
      </c>
      <c r="Q1742" s="620">
        <f>SUM(Q1736:Q1741)</f>
        <v>0</v>
      </c>
      <c r="R1742" s="596"/>
      <c r="S1742" s="610"/>
      <c r="T1742" s="599">
        <f>G1722</f>
        <v>0</v>
      </c>
      <c r="U1742" s="578"/>
      <c r="V1742" s="579"/>
      <c r="W1742" s="579">
        <f t="shared" si="247"/>
        <v>0</v>
      </c>
      <c r="X1742" s="579"/>
      <c r="Y1742" s="879"/>
      <c r="Z1742" s="121"/>
      <c r="AA1742" s="143"/>
      <c r="AB1742" s="143"/>
      <c r="AC1742" s="504"/>
      <c r="AD1742" s="505">
        <f t="shared" si="248"/>
        <v>0</v>
      </c>
      <c r="AE1742" s="143"/>
      <c r="AJ1742" s="22"/>
      <c r="AL1742" s="22"/>
      <c r="AM1742" s="22"/>
      <c r="AN1742" s="22"/>
      <c r="AO1742" s="22"/>
      <c r="AP1742" s="22"/>
      <c r="AQ1742" s="22"/>
      <c r="AR1742" s="22"/>
      <c r="AS1742" s="22"/>
      <c r="AT1742" s="22"/>
      <c r="AU1742" s="35"/>
      <c r="AV1742" s="35"/>
      <c r="AW1742" s="35"/>
      <c r="AX1742" s="35"/>
      <c r="AY1742" s="35"/>
      <c r="AZ1742" s="35"/>
      <c r="BA1742" s="35"/>
      <c r="BB1742" s="35"/>
      <c r="BC1742" s="35"/>
      <c r="BD1742" s="35"/>
      <c r="BE1742" s="35"/>
      <c r="BF1742" s="35"/>
      <c r="BG1742" s="35"/>
      <c r="BH1742" s="35"/>
      <c r="BI1742" s="35"/>
      <c r="BJ1742" s="35"/>
      <c r="BK1742" s="35"/>
      <c r="BL1742" s="35"/>
      <c r="BM1742" s="35"/>
      <c r="BN1742" s="35"/>
      <c r="BO1742" s="86"/>
    </row>
    <row r="1743" spans="1:67" s="55" customFormat="1" ht="15" customHeight="1" x14ac:dyDescent="0.25">
      <c r="A1743" s="520">
        <f>IFERROR(VLOOKUP($G$5,'רשימת רשויות'!A:C,3,0),0)</f>
        <v>0</v>
      </c>
      <c r="B1743" s="520">
        <f t="shared" si="250"/>
        <v>0</v>
      </c>
      <c r="C1743" s="39"/>
      <c r="D1743" s="1134"/>
      <c r="E1743" s="1137"/>
      <c r="F1743" s="589" t="s">
        <v>3</v>
      </c>
      <c r="G1743" s="117">
        <f>IF(G1727="תקין",SUMIFS('דוח הוצאות בפועל (4)'!$E$17:$E$3016,'דוח הוצאות בפועל (4)'!$B$17:$B$3016,'בית ספר - תקצוב לפי מוסד (9)'!$G1722,'דוח הוצאות בפועל (4)'!$M$17:$M$3016,"ני")+SUMIFS('דוח הוצאות בפועל (4)'!$E$17:$E$3016,'דוח הוצאות בפועל (4)'!$B$17:$B$3016,'בית ספר - תקצוב לפי מוסד (9)'!$G1722,'דוח הוצאות בפועל (4)'!$M$17:$M$3016,"על"),0)-Y1743</f>
        <v>0</v>
      </c>
      <c r="H1743" s="117">
        <f>H1724</f>
        <v>0</v>
      </c>
      <c r="I1743" s="138">
        <f>IFERROR(G1743/H1743,0)</f>
        <v>0</v>
      </c>
      <c r="J1743" s="117">
        <f>IFERROR(IF(G1743/H1745&gt;0.15,MIN(H1745*0.15,H1743),MIN(H1743,IF(ISNUMBER(G1743),G1743,0))),0)</f>
        <v>0</v>
      </c>
      <c r="K1743" s="120">
        <f>MAX(H1743-G1743,0)</f>
        <v>0</v>
      </c>
      <c r="L1743" s="407"/>
      <c r="M1743" s="393"/>
      <c r="N1743" s="393"/>
      <c r="O1743" s="602"/>
      <c r="P1743" s="620">
        <f>IF(I1743&lt;100%,MIN(H1743-G1743,H1743*0.25),0)</f>
        <v>0</v>
      </c>
      <c r="Q1743" s="620">
        <f>MAX(MIN(IF(G1743-H1743&gt;0,G1743-H1743,0),$H1745*0.15-H1743-J1744),0)</f>
        <v>0</v>
      </c>
      <c r="R1743" s="596"/>
      <c r="S1743" s="610" t="s">
        <v>3</v>
      </c>
      <c r="T1743" s="599">
        <f>G1722</f>
        <v>0</v>
      </c>
      <c r="U1743" s="578"/>
      <c r="V1743" s="579">
        <f t="shared" ref="V1743" si="251">G1743</f>
        <v>0</v>
      </c>
      <c r="W1743" s="579">
        <f t="shared" si="247"/>
        <v>0</v>
      </c>
      <c r="X1743" s="579"/>
      <c r="Y1743" s="879"/>
      <c r="Z1743" s="121"/>
      <c r="AA1743" s="143"/>
      <c r="AB1743" s="143"/>
      <c r="AC1743" s="504">
        <v>0</v>
      </c>
      <c r="AD1743" s="505">
        <f t="shared" si="248"/>
        <v>0</v>
      </c>
      <c r="AE1743" s="143"/>
      <c r="AG1743" s="22"/>
      <c r="AH1743" s="22"/>
      <c r="AI1743" s="22"/>
      <c r="AJ1743" s="22"/>
      <c r="AK1743" s="22"/>
      <c r="AL1743" s="22"/>
      <c r="AM1743" s="22"/>
      <c r="AN1743" s="22"/>
      <c r="AO1743" s="22"/>
      <c r="AP1743" s="22"/>
      <c r="AQ1743" s="22"/>
      <c r="AR1743" s="22"/>
      <c r="AS1743" s="22"/>
      <c r="AT1743" s="22"/>
      <c r="AU1743" s="35"/>
      <c r="AV1743" s="35"/>
      <c r="AW1743" s="35"/>
      <c r="AX1743" s="35"/>
      <c r="AY1743" s="35"/>
      <c r="AZ1743" s="35"/>
      <c r="BA1743" s="35"/>
      <c r="BB1743" s="35"/>
      <c r="BC1743" s="35"/>
      <c r="BD1743" s="35"/>
      <c r="BE1743" s="35"/>
      <c r="BF1743" s="35"/>
      <c r="BG1743" s="35"/>
      <c r="BH1743" s="35"/>
      <c r="BI1743" s="35"/>
      <c r="BJ1743" s="35"/>
      <c r="BK1743" s="35"/>
      <c r="BL1743" s="35"/>
      <c r="BM1743" s="35"/>
      <c r="BN1743" s="35"/>
      <c r="BO1743" s="86"/>
    </row>
    <row r="1744" spans="1:67" s="55" customFormat="1" ht="15.75" customHeight="1" x14ac:dyDescent="0.25">
      <c r="A1744" s="520">
        <f>IFERROR(VLOOKUP($G$5,'רשימת רשויות'!A:C,3,0),0)</f>
        <v>0</v>
      </c>
      <c r="B1744" s="520">
        <f t="shared" si="250"/>
        <v>0</v>
      </c>
      <c r="C1744" s="39"/>
      <c r="D1744" s="1134"/>
      <c r="E1744" s="1137"/>
      <c r="F1744" s="589" t="s">
        <v>2918</v>
      </c>
      <c r="G1744" s="117">
        <f>0.07*(G1738+G1737)</f>
        <v>0</v>
      </c>
      <c r="H1744" s="117">
        <f>H1726</f>
        <v>0</v>
      </c>
      <c r="I1744" s="138">
        <f>IFERROR(G1744/H1744,0)</f>
        <v>0</v>
      </c>
      <c r="J1744" s="117">
        <f>IFERROR(MIN(0.07*(G1737+G1738),0.07*I1726),0)</f>
        <v>0</v>
      </c>
      <c r="K1744" s="120">
        <f>MAX(H1744-G1744,0)</f>
        <v>0</v>
      </c>
      <c r="L1744" s="407"/>
      <c r="M1744" s="393"/>
      <c r="N1744" s="393"/>
      <c r="O1744" s="602"/>
      <c r="P1744" s="620"/>
      <c r="Q1744" s="619"/>
      <c r="R1744" s="596"/>
      <c r="S1744" s="611"/>
      <c r="T1744" s="599">
        <f>G1722</f>
        <v>0</v>
      </c>
      <c r="U1744" s="578"/>
      <c r="V1744" s="579"/>
      <c r="W1744" s="579">
        <f t="shared" si="247"/>
        <v>0</v>
      </c>
      <c r="X1744" s="579"/>
      <c r="Y1744" s="879"/>
      <c r="Z1744" s="121"/>
      <c r="AA1744" s="143"/>
      <c r="AB1744" s="143"/>
      <c r="AC1744" s="504"/>
      <c r="AD1744" s="505"/>
      <c r="AE1744" s="143"/>
      <c r="AF1744" s="140"/>
      <c r="AG1744" s="22"/>
      <c r="AH1744" s="22"/>
      <c r="AI1744" s="22"/>
      <c r="AJ1744" s="22"/>
      <c r="AK1744" s="22"/>
      <c r="AL1744" s="22"/>
      <c r="AM1744" s="22"/>
      <c r="AN1744" s="22"/>
      <c r="AO1744" s="22"/>
      <c r="AP1744" s="22"/>
      <c r="AQ1744" s="22"/>
      <c r="AR1744" s="22"/>
      <c r="AS1744" s="22"/>
      <c r="AT1744" s="22"/>
      <c r="AU1744" s="35"/>
      <c r="AV1744" s="35"/>
      <c r="AW1744" s="35"/>
      <c r="AX1744" s="35"/>
      <c r="AY1744" s="35"/>
      <c r="AZ1744" s="35"/>
      <c r="BA1744" s="35"/>
      <c r="BB1744" s="35"/>
      <c r="BC1744" s="35"/>
      <c r="BD1744" s="35"/>
      <c r="BE1744" s="35"/>
      <c r="BF1744" s="35"/>
      <c r="BG1744" s="35"/>
      <c r="BH1744" s="35"/>
      <c r="BI1744" s="35"/>
      <c r="BJ1744" s="35"/>
      <c r="BK1744" s="35"/>
      <c r="BL1744" s="35"/>
      <c r="BM1744" s="35"/>
      <c r="BN1744" s="35"/>
      <c r="BO1744" s="86"/>
    </row>
    <row r="1745" spans="1:67" ht="15.75" customHeight="1" x14ac:dyDescent="0.25">
      <c r="A1745" s="520">
        <f>IFERROR(VLOOKUP($G$5,'רשימת רשויות'!A:C,3,0),0)</f>
        <v>0</v>
      </c>
      <c r="B1745" s="520">
        <f t="shared" si="250"/>
        <v>0</v>
      </c>
      <c r="D1745" s="1134"/>
      <c r="E1745" s="1137"/>
      <c r="F1745" s="591" t="s">
        <v>15</v>
      </c>
      <c r="G1745" s="134">
        <f>G1742+G1743+G1744</f>
        <v>0</v>
      </c>
      <c r="H1745" s="134">
        <f>H1742+H1743+H1744</f>
        <v>0</v>
      </c>
      <c r="I1745" s="138">
        <f>IFERROR(G1745/H1745,0)</f>
        <v>0</v>
      </c>
      <c r="J1745" s="139">
        <f>J1742+J1743+J1744</f>
        <v>0</v>
      </c>
      <c r="K1745" s="137">
        <f>K1743+K1742+K1744</f>
        <v>0</v>
      </c>
      <c r="L1745" s="408"/>
      <c r="M1745" s="394"/>
      <c r="N1745" s="394"/>
      <c r="O1745" s="602"/>
      <c r="P1745" s="621">
        <f>SUM(P1742:P1743)</f>
        <v>0</v>
      </c>
      <c r="Q1745" s="622">
        <f>Q1742+Q1743</f>
        <v>0</v>
      </c>
      <c r="R1745" s="596"/>
      <c r="S1745" s="611"/>
      <c r="T1745" s="599">
        <f>G1722</f>
        <v>0</v>
      </c>
      <c r="U1745" s="578"/>
      <c r="V1745" s="579"/>
      <c r="W1745" s="579">
        <f t="shared" si="247"/>
        <v>0</v>
      </c>
      <c r="X1745" s="579"/>
      <c r="Y1745" s="879"/>
      <c r="Z1745" s="106"/>
      <c r="AC1745" s="504"/>
      <c r="AD1745" s="505"/>
      <c r="AH1745" s="143"/>
      <c r="BO1745" s="86"/>
    </row>
    <row r="1746" spans="1:67" ht="15.75" customHeight="1" x14ac:dyDescent="0.25">
      <c r="A1746" s="520">
        <f>IFERROR(VLOOKUP($G$5,'רשימת רשויות'!A:C,3,0),0)</f>
        <v>0</v>
      </c>
      <c r="B1746" s="520">
        <f t="shared" si="250"/>
        <v>0</v>
      </c>
      <c r="D1746" s="1134"/>
      <c r="E1746" s="1137"/>
      <c r="F1746" s="589" t="s">
        <v>2261</v>
      </c>
      <c r="G1746" s="117">
        <f>IF(G1727="תקין",SUMIF('תשלומי הורים ומלגות להורים (5) '!$B$18:$B$517,$G1722,'תשלומי הורים ומלגות להורים (5) '!$C$18:$C$517),0)</f>
        <v>0</v>
      </c>
      <c r="H1746" s="117">
        <f>(G1725+G1726)*$G$7</f>
        <v>0</v>
      </c>
      <c r="I1746" s="141"/>
      <c r="J1746" s="141"/>
      <c r="K1746" s="142"/>
      <c r="L1746" s="395"/>
      <c r="M1746" s="395"/>
      <c r="N1746" s="395"/>
      <c r="O1746" s="602"/>
      <c r="P1746" s="623"/>
      <c r="Q1746" s="619"/>
      <c r="R1746" s="596"/>
      <c r="S1746" s="612"/>
      <c r="T1746" s="599">
        <f>G1722</f>
        <v>0</v>
      </c>
      <c r="U1746" s="578"/>
      <c r="V1746" s="579"/>
      <c r="W1746" s="579">
        <f t="shared" si="247"/>
        <v>0</v>
      </c>
      <c r="X1746" s="579"/>
      <c r="Y1746" s="879"/>
      <c r="Z1746" s="121"/>
      <c r="AA1746" s="143"/>
      <c r="AB1746" s="143"/>
      <c r="AC1746" s="504"/>
      <c r="AD1746" s="505"/>
      <c r="AE1746" s="143"/>
      <c r="AF1746" s="148"/>
      <c r="BO1746" s="86"/>
    </row>
    <row r="1747" spans="1:67" ht="15.75" customHeight="1" thickBot="1" x14ac:dyDescent="0.3">
      <c r="A1747" s="520">
        <f>IFERROR(VLOOKUP($G$5,'רשימת רשויות'!A:C,3,0),0)</f>
        <v>0</v>
      </c>
      <c r="B1747" s="520">
        <f t="shared" si="250"/>
        <v>0</v>
      </c>
      <c r="D1747" s="1134"/>
      <c r="E1747" s="1137"/>
      <c r="F1747" s="592" t="s">
        <v>21</v>
      </c>
      <c r="G1747" s="144">
        <f>G1745-G1746</f>
        <v>0</v>
      </c>
      <c r="H1747" s="144">
        <f>H1745-H1746</f>
        <v>0</v>
      </c>
      <c r="I1747" s="145"/>
      <c r="J1747" s="145"/>
      <c r="K1747" s="146"/>
      <c r="L1747" s="396"/>
      <c r="M1747" s="396"/>
      <c r="N1747" s="396"/>
      <c r="O1747" s="602"/>
      <c r="P1747" s="619"/>
      <c r="Q1747" s="619"/>
      <c r="R1747" s="596"/>
      <c r="S1747" s="612"/>
      <c r="T1747" s="599">
        <f>G1722</f>
        <v>0</v>
      </c>
      <c r="U1747" s="578"/>
      <c r="V1747" s="579"/>
      <c r="W1747" s="579">
        <f t="shared" si="247"/>
        <v>0</v>
      </c>
      <c r="X1747" s="579"/>
      <c r="Y1747" s="879"/>
      <c r="Z1747" s="147"/>
      <c r="AA1747" s="148"/>
      <c r="AB1747" s="148"/>
      <c r="AC1747" s="504"/>
      <c r="AD1747" s="505"/>
      <c r="AE1747" s="148"/>
      <c r="AF1747" s="148"/>
      <c r="BO1747" s="86"/>
    </row>
    <row r="1748" spans="1:67" ht="15.75" customHeight="1" thickBot="1" x14ac:dyDescent="0.3">
      <c r="A1748" s="520">
        <f>IFERROR(VLOOKUP($G$5,'רשימת רשויות'!A:C,3,0),0)</f>
        <v>0</v>
      </c>
      <c r="B1748" s="520">
        <f t="shared" si="250"/>
        <v>0</v>
      </c>
      <c r="D1748" s="1134"/>
      <c r="E1748" s="1137"/>
      <c r="F1748" s="580"/>
      <c r="G1748" s="580"/>
      <c r="H1748" s="147"/>
      <c r="I1748" s="149" t="s">
        <v>2197</v>
      </c>
      <c r="J1748" s="150">
        <f>MAX(MIN(P1745,Q1745),0)</f>
        <v>0</v>
      </c>
      <c r="K1748" s="580"/>
      <c r="L1748" s="580"/>
      <c r="M1748" s="580"/>
      <c r="N1748" s="580"/>
      <c r="O1748" s="580"/>
      <c r="P1748" s="615" t="s">
        <v>2317</v>
      </c>
      <c r="Q1748" s="624">
        <f>SUM(Q1749:Q1750)</f>
        <v>0</v>
      </c>
      <c r="R1748" s="596"/>
      <c r="S1748" s="612"/>
      <c r="T1748" s="599">
        <f>G1722</f>
        <v>0</v>
      </c>
      <c r="U1748" s="578"/>
      <c r="V1748" s="579"/>
      <c r="W1748" s="579">
        <f t="shared" si="247"/>
        <v>0</v>
      </c>
      <c r="X1748" s="579"/>
      <c r="Y1748" s="879"/>
      <c r="Z1748" s="106"/>
      <c r="AC1748" s="504"/>
      <c r="AD1748" s="505"/>
      <c r="AF1748" s="148"/>
      <c r="BO1748" s="86"/>
    </row>
    <row r="1749" spans="1:67" ht="16.5" thickBot="1" x14ac:dyDescent="0.3">
      <c r="A1749" s="520">
        <f>IFERROR(VLOOKUP($G$5,'רשימת רשויות'!A:C,3,0),0)</f>
        <v>0</v>
      </c>
      <c r="B1749" s="520">
        <f t="shared" si="250"/>
        <v>0</v>
      </c>
      <c r="D1749" s="1134"/>
      <c r="E1749" s="1137"/>
      <c r="F1749" s="580"/>
      <c r="G1749" s="580"/>
      <c r="H1749" s="580"/>
      <c r="I1749" s="84" t="s">
        <v>2193</v>
      </c>
      <c r="J1749" s="515" t="str">
        <f>IFERROR(1-H1746/H1745,"")</f>
        <v/>
      </c>
      <c r="K1749" s="580"/>
      <c r="L1749" s="580"/>
      <c r="M1749" s="580"/>
      <c r="N1749" s="580"/>
      <c r="O1749" s="580"/>
      <c r="P1749" s="615" t="s">
        <v>417</v>
      </c>
      <c r="Q1749" s="616">
        <f>IFERROR(MAX(H1747-I1750-Q1750,0),0)</f>
        <v>0</v>
      </c>
      <c r="R1749" s="596"/>
      <c r="S1749" s="600"/>
      <c r="T1749" s="599">
        <f>G1722</f>
        <v>0</v>
      </c>
      <c r="U1749" s="578"/>
      <c r="V1749" s="579"/>
      <c r="W1749" s="579">
        <f t="shared" si="247"/>
        <v>0</v>
      </c>
      <c r="X1749" s="579"/>
      <c r="Y1749" s="879"/>
      <c r="Z1749" s="106"/>
      <c r="AC1749" s="504"/>
      <c r="AD1749" s="505"/>
      <c r="BO1749" s="86"/>
    </row>
    <row r="1750" spans="1:67" ht="17.25" thickBot="1" x14ac:dyDescent="0.3">
      <c r="A1750" s="520">
        <f>IFERROR(VLOOKUP($G$5,'רשימת רשויות'!A:C,3,0),0)</f>
        <v>0</v>
      </c>
      <c r="B1750" s="520">
        <f t="shared" si="250"/>
        <v>0</v>
      </c>
      <c r="D1750" s="1134"/>
      <c r="E1750" s="1137"/>
      <c r="F1750" s="1143" t="s">
        <v>2679</v>
      </c>
      <c r="G1750" s="1143"/>
      <c r="H1750" s="1143"/>
      <c r="I1750" s="722">
        <f>IF(G1727="לא תקין","לא קיימת זכאות לתקציב לאור אי איוש משרות רכז ו/או סגן רכז ",IFERROR(J1749*(J1748+J1745),0))</f>
        <v>0</v>
      </c>
      <c r="J1750" s="573"/>
      <c r="K1750" s="574"/>
      <c r="L1750" s="396"/>
      <c r="M1750" s="574"/>
      <c r="N1750" s="574"/>
      <c r="O1750" s="574"/>
      <c r="P1750" s="615" t="s">
        <v>2279</v>
      </c>
      <c r="Q1750" s="616">
        <f>MAX(IF(AND(G1745&gt;H1745,I1750&lt;H1747),H1747-I1750,0),0)</f>
        <v>0</v>
      </c>
      <c r="R1750" s="575"/>
      <c r="S1750" s="576" t="s">
        <v>67</v>
      </c>
      <c r="T1750" s="577">
        <f>G1722</f>
        <v>0</v>
      </c>
      <c r="U1750" s="578"/>
      <c r="V1750" s="579">
        <f>I1750</f>
        <v>0</v>
      </c>
      <c r="W1750" s="579">
        <f>IFERROR(U1750-V1750,0)</f>
        <v>0</v>
      </c>
      <c r="X1750" s="579">
        <f>SUM(X1736:X1749)</f>
        <v>0</v>
      </c>
      <c r="Y1750" s="879"/>
      <c r="Z1750" s="106"/>
      <c r="AC1750" s="506">
        <v>0</v>
      </c>
      <c r="AD1750" s="507">
        <f>IFERROR(U1750-AC1750,0)</f>
        <v>0</v>
      </c>
      <c r="BO1750" s="86"/>
    </row>
    <row r="1751" spans="1:67" ht="16.5" thickBot="1" x14ac:dyDescent="0.3">
      <c r="A1751" s="520">
        <f>IFERROR(VLOOKUP($G$5,'רשימת רשויות'!A:C,3,0),0)</f>
        <v>0</v>
      </c>
      <c r="B1751" s="520">
        <f t="shared" si="250"/>
        <v>0</v>
      </c>
      <c r="D1751" s="1135"/>
      <c r="E1751" s="1138"/>
      <c r="F1751" s="1144" t="s">
        <v>2793</v>
      </c>
      <c r="G1751" s="1145"/>
      <c r="H1751" s="1145"/>
      <c r="I1751" s="593">
        <f>IFERROR(IF(G1727="תקין",SUMIFS('סייעות רפואיות או אישיות (7)'!$Q$17:Q$384,'סייעות רפואיות או אישיות (7)'!C$17:C$384,G1722),0),0)</f>
        <v>0</v>
      </c>
      <c r="J1751" s="151"/>
      <c r="K1751" s="152"/>
      <c r="L1751" s="409"/>
      <c r="M1751" s="152"/>
      <c r="N1751" s="152"/>
      <c r="O1751" s="152"/>
      <c r="P1751" s="613"/>
      <c r="Q1751" s="614"/>
      <c r="R1751" s="475"/>
      <c r="S1751" s="489"/>
      <c r="T1751" s="490"/>
      <c r="U1751" s="491"/>
      <c r="V1751" s="492"/>
      <c r="W1751" s="492"/>
      <c r="X1751" s="492"/>
      <c r="Y1751" s="880"/>
      <c r="Z1751" s="153"/>
      <c r="AC1751" s="581"/>
      <c r="AD1751" s="582"/>
      <c r="BO1751" s="86"/>
    </row>
    <row r="1752" spans="1:67" ht="34.5" thickBot="1" x14ac:dyDescent="0.55000000000000004">
      <c r="A1752" s="520">
        <f>IFERROR(VLOOKUP($G$5,'רשימת רשויות'!A:C,3,0),0)</f>
        <v>0</v>
      </c>
      <c r="B1752" s="520">
        <f t="shared" si="250"/>
        <v>0</v>
      </c>
      <c r="E1752" s="154"/>
      <c r="I1752" s="143"/>
      <c r="J1752" s="148"/>
      <c r="O1752" s="148"/>
      <c r="T1752" s="481"/>
      <c r="BO1752" s="86"/>
    </row>
    <row r="1753" spans="1:67" s="20" customFormat="1" ht="16.5" customHeight="1" thickBot="1" x14ac:dyDescent="0.3">
      <c r="A1753" s="520">
        <f>IFERROR(VLOOKUP($G$5,'רשימת רשויות'!A:C,3,0),0)</f>
        <v>0</v>
      </c>
      <c r="B1753" s="520">
        <f t="shared" si="250"/>
        <v>0</v>
      </c>
      <c r="C1753" s="39"/>
      <c r="D1753" s="1133">
        <f>D1722+1</f>
        <v>57</v>
      </c>
      <c r="E1753" s="1136" t="str">
        <f>IFERROR(CONCATENATE("בית הספר ",VLOOKUP(G1753,'מצבת והרשמה (2)'!$C$21:$D$520,2,0)," - ",$G$5),"")</f>
        <v>בית הספר המוסד לא קיים - 0</v>
      </c>
      <c r="F1753" s="720" t="s">
        <v>146</v>
      </c>
      <c r="G1753" s="721">
        <f>IFERROR(VLOOKUP(D:D,'דוח ביצוע (3)'!$A$21:$C$900,2,0),0)</f>
        <v>0</v>
      </c>
      <c r="H1753" s="79"/>
      <c r="I1753" s="80" t="s">
        <v>150</v>
      </c>
      <c r="J1753" s="80"/>
      <c r="K1753" s="81"/>
      <c r="L1753" s="392"/>
      <c r="M1753" s="392"/>
      <c r="N1753" s="392"/>
      <c r="O1753" s="82"/>
      <c r="P1753" s="470"/>
      <c r="Q1753" s="471"/>
      <c r="R1753" s="472"/>
      <c r="S1753" s="883"/>
      <c r="T1753" s="884"/>
      <c r="U1753" s="486"/>
      <c r="V1753" s="487"/>
      <c r="W1753" s="487"/>
      <c r="X1753" s="487"/>
      <c r="Y1753" s="885"/>
      <c r="Z1753" s="83"/>
      <c r="AC1753" s="502"/>
      <c r="AD1753" s="503"/>
      <c r="AO1753" s="22"/>
      <c r="AP1753" s="22"/>
      <c r="AQ1753" s="22"/>
      <c r="AR1753" s="22"/>
      <c r="AS1753" s="22"/>
      <c r="AT1753" s="22"/>
      <c r="AU1753" s="35"/>
      <c r="AV1753" s="35"/>
      <c r="AW1753" s="35"/>
      <c r="AX1753" s="35"/>
      <c r="AY1753" s="35"/>
      <c r="AZ1753" s="35"/>
      <c r="BA1753" s="35"/>
      <c r="BB1753" s="35"/>
      <c r="BC1753" s="35"/>
      <c r="BD1753" s="35"/>
      <c r="BE1753" s="35"/>
      <c r="BF1753" s="35"/>
      <c r="BG1753" s="35"/>
      <c r="BH1753" s="35"/>
      <c r="BI1753" s="35"/>
      <c r="BJ1753" s="35"/>
      <c r="BK1753" s="35"/>
      <c r="BL1753" s="35"/>
      <c r="BM1753" s="35"/>
      <c r="BN1753" s="35"/>
      <c r="BO1753" s="78"/>
    </row>
    <row r="1754" spans="1:67" s="20" customFormat="1" ht="16.5" thickBot="1" x14ac:dyDescent="0.3">
      <c r="A1754" s="520">
        <f>IFERROR(VLOOKUP($G$5,'רשימת רשויות'!A:C,3,0),0)</f>
        <v>0</v>
      </c>
      <c r="B1754" s="520">
        <f t="shared" si="250"/>
        <v>0</v>
      </c>
      <c r="C1754" s="39"/>
      <c r="D1754" s="1134"/>
      <c r="E1754" s="1137"/>
      <c r="F1754" s="583" t="s">
        <v>145</v>
      </c>
      <c r="G1754" s="516" t="str">
        <f>IFERROR(IF((G1756+G1757)=0,"",IF(VLOOKUP(G1753,'דוח ביצוע (3)'!$B$21:$K$900,5,0)&gt;149,"גדול",IF(AND(VLOOKUP(G1753,'דוח ביצוע (3)'!$B$21:$K$900,5,0)&gt;0,VLOOKUP(G1753,'דוח ביצוע (3)'!$B$21:$K$900,5,0)&lt;150),"קטן",0))),"")</f>
        <v/>
      </c>
      <c r="H1754" s="723" t="s">
        <v>88</v>
      </c>
      <c r="I1754" s="723" t="s">
        <v>13</v>
      </c>
      <c r="J1754" s="725" t="s">
        <v>14</v>
      </c>
      <c r="K1754" s="724" t="s">
        <v>94</v>
      </c>
      <c r="L1754" s="594"/>
      <c r="M1754" s="420" t="s">
        <v>2584</v>
      </c>
      <c r="N1754" s="397" t="s">
        <v>413</v>
      </c>
      <c r="O1754" s="398" t="s">
        <v>52</v>
      </c>
      <c r="P1754" s="595"/>
      <c r="Q1754" s="595"/>
      <c r="R1754" s="596"/>
      <c r="S1754" s="610"/>
      <c r="T1754" s="881"/>
      <c r="U1754" s="598"/>
      <c r="V1754" s="599"/>
      <c r="W1754" s="599"/>
      <c r="X1754" s="599"/>
      <c r="Y1754" s="879"/>
      <c r="Z1754" s="85"/>
      <c r="AC1754" s="493"/>
      <c r="AD1754" s="495"/>
      <c r="AO1754" s="22"/>
      <c r="AP1754" s="22"/>
      <c r="AQ1754" s="22"/>
      <c r="AR1754" s="22"/>
      <c r="AS1754" s="22"/>
      <c r="AT1754" s="22"/>
      <c r="AU1754" s="35"/>
      <c r="AV1754" s="35"/>
      <c r="AW1754" s="35"/>
      <c r="AX1754" s="35"/>
      <c r="AY1754" s="35"/>
      <c r="AZ1754" s="35"/>
      <c r="BA1754" s="35"/>
      <c r="BB1754" s="35"/>
      <c r="BC1754" s="35"/>
      <c r="BD1754" s="35"/>
      <c r="BE1754" s="35"/>
      <c r="BF1754" s="35"/>
      <c r="BG1754" s="35"/>
      <c r="BH1754" s="35"/>
      <c r="BI1754" s="35"/>
      <c r="BJ1754" s="35"/>
      <c r="BK1754" s="35"/>
      <c r="BL1754" s="35"/>
      <c r="BM1754" s="35"/>
      <c r="BN1754" s="35"/>
      <c r="BO1754" s="78"/>
    </row>
    <row r="1755" spans="1:67" s="20" customFormat="1" ht="15.75" customHeight="1" thickBot="1" x14ac:dyDescent="0.3">
      <c r="A1755" s="520">
        <f>IFERROR(VLOOKUP($G$5,'רשימת רשויות'!A:C,3,0),0)</f>
        <v>0</v>
      </c>
      <c r="B1755" s="520">
        <f t="shared" si="250"/>
        <v>0</v>
      </c>
      <c r="C1755" s="39"/>
      <c r="D1755" s="1134"/>
      <c r="E1755" s="1137"/>
      <c r="F1755" s="584" t="s">
        <v>144</v>
      </c>
      <c r="G1755" s="87">
        <f>IF(G1758="תקין",IFERROR(VLOOKUP($G1753,'דוח ביצוע (3)'!$B$21:$Q$900,12,0),0),0)</f>
        <v>0</v>
      </c>
      <c r="H1755" s="88">
        <f>IFERROR(G1756*$AH$6+G1757*$AH$7,0)</f>
        <v>0</v>
      </c>
      <c r="I1755" s="88">
        <f>IFERROR(G1756*$AI$6+G1757*$AI$7,0)</f>
        <v>0</v>
      </c>
      <c r="J1755" s="88">
        <f>IFERROR(G1756*$AJ$6+G1757*$AJ$7,0)</f>
        <v>0</v>
      </c>
      <c r="K1755" s="88">
        <f>IFERROR(G1756*$AK$6+G1757*$AK$7,0)</f>
        <v>0</v>
      </c>
      <c r="L1755" s="405"/>
      <c r="M1755" s="399" t="s">
        <v>427</v>
      </c>
      <c r="N1755" s="400" t="str">
        <f>IFERROR(VLOOKUP($G1753,'דוח ביצוע (3)'!$B:$AE,28,0),"")</f>
        <v/>
      </c>
      <c r="O1755" s="89" t="str">
        <f>IFERROR(VLOOKUP($G1753,'דוח ביצוע (3)'!B:AE,29,0),"")</f>
        <v/>
      </c>
      <c r="P1755" s="595"/>
      <c r="Q1755" s="595"/>
      <c r="R1755" s="596"/>
      <c r="S1755" s="610"/>
      <c r="T1755" s="881"/>
      <c r="U1755" s="598"/>
      <c r="V1755" s="599"/>
      <c r="W1755" s="599"/>
      <c r="X1755" s="599"/>
      <c r="Y1755" s="879"/>
      <c r="Z1755" s="85"/>
      <c r="AC1755" s="493"/>
      <c r="AD1755" s="495"/>
      <c r="AO1755" s="22"/>
      <c r="AP1755" s="22"/>
      <c r="AQ1755" s="22"/>
      <c r="AR1755" s="22"/>
      <c r="AS1755" s="22"/>
      <c r="AT1755" s="22"/>
      <c r="AU1755" s="35"/>
      <c r="AV1755" s="35"/>
      <c r="AW1755" s="35"/>
      <c r="AX1755" s="35"/>
      <c r="AY1755" s="35"/>
      <c r="AZ1755" s="35"/>
      <c r="BA1755" s="35"/>
      <c r="BB1755" s="35"/>
      <c r="BC1755" s="35"/>
      <c r="BD1755" s="35"/>
      <c r="BE1755" s="35"/>
      <c r="BF1755" s="35"/>
      <c r="BG1755" s="35"/>
      <c r="BH1755" s="35"/>
      <c r="BI1755" s="35"/>
      <c r="BJ1755" s="35"/>
      <c r="BK1755" s="35"/>
      <c r="BL1755" s="35"/>
      <c r="BM1755" s="35"/>
      <c r="BN1755" s="35"/>
      <c r="BO1755" s="78"/>
    </row>
    <row r="1756" spans="1:67" s="20" customFormat="1" ht="32.25" thickBot="1" x14ac:dyDescent="0.3">
      <c r="A1756" s="520">
        <f>IFERROR(VLOOKUP($G$5,'רשימת רשויות'!A:C,3,0),0)</f>
        <v>0</v>
      </c>
      <c r="B1756" s="520">
        <f t="shared" si="250"/>
        <v>0</v>
      </c>
      <c r="C1756" s="39"/>
      <c r="D1756" s="1134"/>
      <c r="E1756" s="1137"/>
      <c r="F1756" s="585" t="s">
        <v>2195</v>
      </c>
      <c r="G1756" s="89">
        <f>IF(G1758="תקין",MAX(N1758,0),0)</f>
        <v>0</v>
      </c>
      <c r="H1756" s="725" t="s">
        <v>151</v>
      </c>
      <c r="I1756" s="725" t="s">
        <v>91</v>
      </c>
      <c r="J1756" s="970" t="s">
        <v>3396</v>
      </c>
      <c r="K1756" s="601"/>
      <c r="L1756" s="601"/>
      <c r="M1756" s="983" t="s">
        <v>2585</v>
      </c>
      <c r="N1756" s="400" t="str">
        <f>IFERROR(G1755/15*N1755*1.25,"")</f>
        <v/>
      </c>
      <c r="O1756" s="89" t="str">
        <f>IFERROR(G1755/15*O1755*1.25,"")</f>
        <v/>
      </c>
      <c r="P1756" s="595"/>
      <c r="Q1756" s="595"/>
      <c r="R1756" s="596"/>
      <c r="S1756" s="610"/>
      <c r="T1756" s="881"/>
      <c r="U1756" s="598"/>
      <c r="V1756" s="599"/>
      <c r="W1756" s="599"/>
      <c r="X1756" s="599"/>
      <c r="Y1756" s="879"/>
      <c r="Z1756" s="85"/>
      <c r="AC1756" s="493"/>
      <c r="AD1756" s="495"/>
      <c r="AG1756" s="22"/>
      <c r="AH1756" s="55"/>
      <c r="AI1756" s="55"/>
      <c r="AJ1756" s="55"/>
      <c r="AK1756" s="55"/>
      <c r="AO1756" s="22"/>
      <c r="AP1756" s="22"/>
      <c r="AQ1756" s="22"/>
      <c r="AR1756" s="22"/>
      <c r="AS1756" s="22"/>
      <c r="AT1756" s="22"/>
      <c r="AU1756" s="35"/>
      <c r="AV1756" s="35"/>
      <c r="AW1756" s="35"/>
      <c r="AX1756" s="35"/>
      <c r="AY1756" s="35"/>
      <c r="AZ1756" s="35"/>
      <c r="BA1756" s="35"/>
      <c r="BB1756" s="35"/>
      <c r="BC1756" s="35"/>
      <c r="BD1756" s="35"/>
      <c r="BE1756" s="35"/>
      <c r="BF1756" s="35"/>
      <c r="BG1756" s="35"/>
      <c r="BH1756" s="35"/>
      <c r="BI1756" s="35"/>
      <c r="BJ1756" s="35"/>
      <c r="BK1756" s="35"/>
      <c r="BL1756" s="35"/>
      <c r="BM1756" s="35"/>
      <c r="BN1756" s="35"/>
      <c r="BO1756" s="86"/>
    </row>
    <row r="1757" spans="1:67" s="20" customFormat="1" ht="16.5" thickBot="1" x14ac:dyDescent="0.3">
      <c r="A1757" s="520">
        <f>IFERROR(VLOOKUP($G$5,'רשימת רשויות'!A:C,3,0),0)</f>
        <v>0</v>
      </c>
      <c r="B1757" s="520">
        <f t="shared" si="250"/>
        <v>0</v>
      </c>
      <c r="C1757" s="39"/>
      <c r="D1757" s="1134"/>
      <c r="E1757" s="1137"/>
      <c r="F1757" s="585" t="s">
        <v>2196</v>
      </c>
      <c r="G1757" s="89">
        <f>IF(G1758="תקין",MAX(O1758,0),0)</f>
        <v>0</v>
      </c>
      <c r="H1757" s="88">
        <f>(IFERROR(IF((G1756+G1757)=0,0,IF(G1754="קטן",G1755*$AH$10,G1755*$AH$11)),0))+(IFERROR(IF((G1756+G1757)=0,0,VLOOKUP(G1753,'דוח ביצוע (3)'!$B:$AH,33,0)),0))</f>
        <v>0</v>
      </c>
      <c r="I1757" s="88">
        <f>IFERROR(IF((G1756+G1757)=0,0,IF(G1754="קטן",G1755*$AI$10,G1755*$AI$11)),0)</f>
        <v>0</v>
      </c>
      <c r="J1757" s="88">
        <f>IFERROR(IF((G1756+G1757)=0,0,VLOOKUP(G1753,'דוח ביצוע (3)'!$B:$AH,32,0)),0)</f>
        <v>0</v>
      </c>
      <c r="K1757" s="90"/>
      <c r="L1757" s="90"/>
      <c r="M1757" s="399" t="s">
        <v>412</v>
      </c>
      <c r="N1757" s="400">
        <f>IFERROR(VLOOKUP($G1753,'דוח ביצוע (3)'!$B$21:$U$500,18,0),0)</f>
        <v>0</v>
      </c>
      <c r="O1757" s="401">
        <f>IFERROR(VLOOKUP($G1753,'דוח ביצוע (3)'!$B$21:$U$500,19,0),0)</f>
        <v>0</v>
      </c>
      <c r="P1757" s="595"/>
      <c r="Q1757" s="595"/>
      <c r="R1757" s="596"/>
      <c r="S1757" s="610"/>
      <c r="T1757" s="881"/>
      <c r="U1757" s="598"/>
      <c r="V1757" s="599"/>
      <c r="W1757" s="599"/>
      <c r="X1757" s="599"/>
      <c r="Y1757" s="879"/>
      <c r="Z1757" s="85"/>
      <c r="AC1757" s="493"/>
      <c r="AD1757" s="495"/>
      <c r="AG1757" s="22"/>
      <c r="AH1757" s="55"/>
      <c r="AI1757" s="55"/>
      <c r="AJ1757" s="55"/>
      <c r="AK1757" s="55"/>
      <c r="AO1757" s="22"/>
      <c r="AP1757" s="22"/>
      <c r="AQ1757" s="22"/>
      <c r="AR1757" s="22"/>
      <c r="AS1757" s="22"/>
      <c r="AT1757" s="22"/>
      <c r="AU1757" s="35"/>
      <c r="AV1757" s="35"/>
      <c r="AW1757" s="35"/>
      <c r="AX1757" s="35"/>
      <c r="AY1757" s="35"/>
      <c r="AZ1757" s="35"/>
      <c r="BA1757" s="35"/>
      <c r="BB1757" s="35"/>
      <c r="BC1757" s="35"/>
      <c r="BD1757" s="35"/>
      <c r="BE1757" s="35"/>
      <c r="BF1757" s="35"/>
      <c r="BG1757" s="35"/>
      <c r="BH1757" s="35"/>
      <c r="BI1757" s="35"/>
      <c r="BJ1757" s="35"/>
      <c r="BK1757" s="35"/>
      <c r="BL1757" s="35"/>
      <c r="BM1757" s="35"/>
      <c r="BN1757" s="35"/>
      <c r="BO1757" s="86"/>
    </row>
    <row r="1758" spans="1:67" s="20" customFormat="1" ht="16.5" thickBot="1" x14ac:dyDescent="0.3">
      <c r="A1758" s="520">
        <f>IFERROR(VLOOKUP($G$5,'רשימת רשויות'!A:C,3,0),0)</f>
        <v>0</v>
      </c>
      <c r="B1758" s="520">
        <f t="shared" si="250"/>
        <v>0</v>
      </c>
      <c r="C1758" s="39"/>
      <c r="D1758" s="1134"/>
      <c r="E1758" s="1137"/>
      <c r="F1758" s="586" t="s">
        <v>2355</v>
      </c>
      <c r="G1758" s="514">
        <f>IFERROR(IF(VLOOKUP('בית ספר - תקצוב לפי מוסד (9)'!G1753,' איוש משרות (8)'!$C:$K,9,0)="תקין","תקין","לא תקין"),0)</f>
        <v>0</v>
      </c>
      <c r="H1758" s="91"/>
      <c r="I1758" s="91"/>
      <c r="J1758" s="91"/>
      <c r="K1758" s="90"/>
      <c r="L1758" s="90"/>
      <c r="M1758" s="402" t="s">
        <v>2586</v>
      </c>
      <c r="N1758" s="403">
        <f>IFERROR(MIN(N1756,N1757),0)</f>
        <v>0</v>
      </c>
      <c r="O1758" s="404">
        <f>IFERROR(MIN(O1756,O1757),0)</f>
        <v>0</v>
      </c>
      <c r="P1758" s="595"/>
      <c r="Q1758" s="595"/>
      <c r="R1758" s="596"/>
      <c r="S1758" s="610"/>
      <c r="T1758" s="881"/>
      <c r="U1758" s="598"/>
      <c r="V1758" s="599"/>
      <c r="W1758" s="599"/>
      <c r="X1758" s="599"/>
      <c r="Y1758" s="879"/>
      <c r="Z1758" s="85"/>
      <c r="AC1758" s="493"/>
      <c r="AD1758" s="495"/>
      <c r="AG1758" s="94"/>
      <c r="AH1758" s="40"/>
      <c r="AI1758" s="40"/>
      <c r="AJ1758" s="40"/>
      <c r="AK1758" s="40"/>
      <c r="AO1758" s="22"/>
      <c r="AP1758" s="22"/>
      <c r="AQ1758" s="22"/>
      <c r="AR1758" s="22"/>
      <c r="AS1758" s="22"/>
      <c r="AT1758" s="22"/>
      <c r="AU1758" s="35"/>
      <c r="AV1758" s="35"/>
      <c r="AW1758" s="35"/>
      <c r="AX1758" s="35"/>
      <c r="AY1758" s="35"/>
      <c r="AZ1758" s="35"/>
      <c r="BA1758" s="35"/>
      <c r="BB1758" s="35"/>
      <c r="BC1758" s="35"/>
      <c r="BD1758" s="35"/>
      <c r="BE1758" s="35"/>
      <c r="BF1758" s="35"/>
      <c r="BG1758" s="35"/>
      <c r="BH1758" s="35"/>
      <c r="BI1758" s="35"/>
      <c r="BJ1758" s="35"/>
      <c r="BK1758" s="35"/>
      <c r="BL1758" s="35"/>
      <c r="BM1758" s="35"/>
      <c r="BN1758" s="35"/>
      <c r="BO1758" s="86"/>
    </row>
    <row r="1759" spans="1:67" s="55" customFormat="1" ht="37.15" customHeight="1" thickBot="1" x14ac:dyDescent="0.3">
      <c r="A1759" s="520">
        <f>IFERROR(VLOOKUP($G$5,'רשימת רשויות'!A:C,3,0),0)</f>
        <v>0</v>
      </c>
      <c r="B1759" s="520">
        <f t="shared" si="250"/>
        <v>0</v>
      </c>
      <c r="C1759" s="39"/>
      <c r="D1759" s="1134"/>
      <c r="E1759" s="1137"/>
      <c r="F1759" s="587" t="s">
        <v>142</v>
      </c>
      <c r="G1759" s="92"/>
      <c r="H1759" s="92"/>
      <c r="I1759" s="92"/>
      <c r="J1759" s="92"/>
      <c r="K1759" s="602"/>
      <c r="L1759" s="602"/>
      <c r="M1759" s="602"/>
      <c r="N1759" s="602"/>
      <c r="O1759" s="602"/>
      <c r="P1759" s="595"/>
      <c r="Q1759" s="595"/>
      <c r="R1759" s="596"/>
      <c r="S1759" s="610"/>
      <c r="T1759" s="881"/>
      <c r="U1759" s="598"/>
      <c r="V1759" s="599"/>
      <c r="W1759" s="599"/>
      <c r="X1759" s="599"/>
      <c r="Y1759" s="879"/>
      <c r="Z1759" s="93"/>
      <c r="AC1759" s="493"/>
      <c r="AD1759" s="495"/>
      <c r="AF1759" s="22"/>
      <c r="AG1759" s="98"/>
      <c r="AH1759" s="98"/>
      <c r="AI1759" s="40"/>
      <c r="AJ1759" s="40"/>
      <c r="AK1759" s="40"/>
      <c r="AO1759" s="22"/>
      <c r="AP1759" s="22"/>
      <c r="AQ1759" s="22"/>
      <c r="AR1759" s="22"/>
      <c r="AS1759" s="22"/>
      <c r="AT1759" s="22"/>
      <c r="AU1759" s="35"/>
      <c r="AV1759" s="35"/>
      <c r="AW1759" s="35"/>
      <c r="AX1759" s="35"/>
      <c r="AY1759" s="35"/>
      <c r="AZ1759" s="35"/>
      <c r="BA1759" s="35"/>
      <c r="BB1759" s="35"/>
      <c r="BC1759" s="35"/>
      <c r="BD1759" s="35"/>
      <c r="BE1759" s="35"/>
      <c r="BF1759" s="35"/>
      <c r="BG1759" s="35"/>
      <c r="BH1759" s="35"/>
      <c r="BI1759" s="35"/>
      <c r="BJ1759" s="35"/>
      <c r="BK1759" s="35"/>
      <c r="BL1759" s="35"/>
      <c r="BM1759" s="35"/>
      <c r="BN1759" s="35"/>
      <c r="BO1759" s="86"/>
    </row>
    <row r="1760" spans="1:67" s="40" customFormat="1" ht="31.5" x14ac:dyDescent="0.25">
      <c r="A1760" s="520">
        <f>IFERROR(VLOOKUP($G$5,'רשימת רשויות'!A:C,3,0),0)</f>
        <v>0</v>
      </c>
      <c r="B1760" s="520">
        <f t="shared" si="250"/>
        <v>0</v>
      </c>
      <c r="C1760" s="39"/>
      <c r="D1760" s="1134"/>
      <c r="E1760" s="1137"/>
      <c r="F1760" s="588" t="s">
        <v>94</v>
      </c>
      <c r="G1760" s="95" t="s">
        <v>18</v>
      </c>
      <c r="H1760" s="95" t="s">
        <v>19</v>
      </c>
      <c r="I1760" s="95" t="s">
        <v>138</v>
      </c>
      <c r="J1760" s="96" t="s">
        <v>139</v>
      </c>
      <c r="K1760" s="603"/>
      <c r="L1760" s="603"/>
      <c r="M1760" s="603"/>
      <c r="N1760" s="603"/>
      <c r="O1760" s="603"/>
      <c r="P1760" s="604"/>
      <c r="Q1760" s="604"/>
      <c r="R1760" s="596"/>
      <c r="S1760" s="610"/>
      <c r="T1760" s="881"/>
      <c r="U1760" s="598"/>
      <c r="V1760" s="599"/>
      <c r="W1760" s="599"/>
      <c r="X1760" s="599"/>
      <c r="Y1760" s="879"/>
      <c r="Z1760" s="97"/>
      <c r="AA1760" s="94"/>
      <c r="AB1760" s="94"/>
      <c r="AC1760" s="493"/>
      <c r="AD1760" s="495"/>
      <c r="AE1760" s="94"/>
      <c r="AG1760" s="98"/>
      <c r="AH1760" s="98"/>
      <c r="AO1760" s="22"/>
      <c r="AP1760" s="22"/>
      <c r="AQ1760" s="22"/>
      <c r="AR1760" s="22"/>
      <c r="AS1760" s="22"/>
      <c r="AT1760" s="22"/>
      <c r="AU1760" s="35"/>
      <c r="AV1760" s="35"/>
      <c r="AW1760" s="35"/>
      <c r="AX1760" s="35"/>
      <c r="AY1760" s="35"/>
      <c r="AZ1760" s="35"/>
      <c r="BA1760" s="35"/>
      <c r="BB1760" s="35"/>
      <c r="BC1760" s="35"/>
      <c r="BD1760" s="35"/>
      <c r="BE1760" s="35"/>
      <c r="BF1760" s="35"/>
      <c r="BG1760" s="35"/>
      <c r="BH1760" s="35"/>
      <c r="BI1760" s="35"/>
      <c r="BJ1760" s="35"/>
      <c r="BK1760" s="35"/>
      <c r="BL1760" s="35"/>
      <c r="BM1760" s="35"/>
      <c r="BN1760" s="35"/>
      <c r="BO1760" s="86"/>
    </row>
    <row r="1761" spans="1:67" s="40" customFormat="1" ht="15.75" customHeight="1" thickBot="1" x14ac:dyDescent="0.3">
      <c r="A1761" s="520">
        <f>IFERROR(VLOOKUP($G$5,'רשימת רשויות'!A:C,3,0),0)</f>
        <v>0</v>
      </c>
      <c r="B1761" s="520">
        <f t="shared" si="250"/>
        <v>0</v>
      </c>
      <c r="C1761" s="39"/>
      <c r="D1761" s="1134"/>
      <c r="E1761" s="1137"/>
      <c r="F1761" s="589" t="s">
        <v>2280</v>
      </c>
      <c r="G1761" s="99">
        <f>+G1772</f>
        <v>0</v>
      </c>
      <c r="H1761" s="100">
        <f>K1755</f>
        <v>0</v>
      </c>
      <c r="I1761" s="100">
        <f>H1761-I1763</f>
        <v>0</v>
      </c>
      <c r="J1761" s="101">
        <f>IFERROR(I1761/H1761,0)</f>
        <v>0</v>
      </c>
      <c r="K1761" s="603"/>
      <c r="L1761" s="603"/>
      <c r="M1761" s="603"/>
      <c r="N1761" s="603"/>
      <c r="O1761" s="603"/>
      <c r="P1761" s="605"/>
      <c r="Q1761" s="604"/>
      <c r="R1761" s="606" t="s">
        <v>157</v>
      </c>
      <c r="S1761" s="611"/>
      <c r="T1761" s="881"/>
      <c r="U1761" s="598"/>
      <c r="V1761" s="599"/>
      <c r="W1761" s="599"/>
      <c r="X1761" s="599"/>
      <c r="Y1761" s="879"/>
      <c r="Z1761" s="102"/>
      <c r="AA1761" s="122"/>
      <c r="AB1761" s="122"/>
      <c r="AC1761" s="493"/>
      <c r="AD1761" s="495"/>
      <c r="AE1761" s="122"/>
      <c r="AF1761" s="22"/>
      <c r="AG1761" s="98"/>
      <c r="AH1761" s="98"/>
      <c r="AI1761" s="20"/>
      <c r="AO1761" s="22"/>
      <c r="AP1761" s="22"/>
      <c r="AQ1761" s="22"/>
      <c r="AR1761" s="22"/>
      <c r="AS1761" s="22"/>
      <c r="AT1761" s="22"/>
      <c r="AU1761" s="35"/>
      <c r="AV1761" s="35"/>
      <c r="AW1761" s="35"/>
      <c r="AX1761" s="35"/>
      <c r="AY1761" s="35"/>
      <c r="AZ1761" s="35"/>
      <c r="BA1761" s="35"/>
      <c r="BB1761" s="35"/>
      <c r="BC1761" s="35"/>
      <c r="BD1761" s="35"/>
      <c r="BE1761" s="35"/>
      <c r="BF1761" s="35"/>
      <c r="BG1761" s="35"/>
      <c r="BH1761" s="35"/>
      <c r="BI1761" s="35"/>
      <c r="BJ1761" s="35"/>
      <c r="BK1761" s="35"/>
      <c r="BL1761" s="35"/>
      <c r="BM1761" s="35"/>
      <c r="BN1761" s="35"/>
      <c r="BO1761" s="86"/>
    </row>
    <row r="1762" spans="1:67" s="40" customFormat="1" ht="15.75" customHeight="1" thickBot="1" x14ac:dyDescent="0.3">
      <c r="A1762" s="520">
        <f>IFERROR(VLOOKUP($G$5,'רשימת רשויות'!A:C,3,0),0)</f>
        <v>0</v>
      </c>
      <c r="B1762" s="520">
        <f t="shared" si="250"/>
        <v>0</v>
      </c>
      <c r="C1762" s="39"/>
      <c r="D1762" s="1134"/>
      <c r="E1762" s="1137"/>
      <c r="F1762" s="589" t="s">
        <v>2281</v>
      </c>
      <c r="G1762" s="99">
        <f>+G1771</f>
        <v>0</v>
      </c>
      <c r="H1762" s="103"/>
      <c r="I1762" s="104"/>
      <c r="J1762" s="105"/>
      <c r="K1762" s="603"/>
      <c r="L1762" s="603"/>
      <c r="M1762" s="603"/>
      <c r="N1762" s="603"/>
      <c r="O1762" s="603"/>
      <c r="P1762" s="605"/>
      <c r="Q1762" s="604"/>
      <c r="R1762" s="473">
        <f>I1763-R1764</f>
        <v>0</v>
      </c>
      <c r="S1762" s="611"/>
      <c r="T1762" s="881"/>
      <c r="U1762" s="598"/>
      <c r="V1762" s="599"/>
      <c r="W1762" s="599"/>
      <c r="X1762" s="599"/>
      <c r="Y1762" s="879"/>
      <c r="Z1762" s="106"/>
      <c r="AA1762" s="22"/>
      <c r="AB1762" s="22"/>
      <c r="AC1762" s="493"/>
      <c r="AD1762" s="495"/>
      <c r="AE1762" s="22"/>
      <c r="AF1762" s="22"/>
      <c r="AG1762" s="98"/>
      <c r="AH1762" s="98"/>
      <c r="AI1762" s="20"/>
      <c r="AO1762" s="22"/>
      <c r="AP1762" s="22"/>
      <c r="AQ1762" s="22"/>
      <c r="AR1762" s="22"/>
      <c r="AS1762" s="22"/>
      <c r="AT1762" s="22"/>
      <c r="AU1762" s="35"/>
      <c r="AV1762" s="35"/>
      <c r="AW1762" s="35"/>
      <c r="AX1762" s="35"/>
      <c r="AY1762" s="35"/>
      <c r="AZ1762" s="35"/>
      <c r="BA1762" s="35"/>
      <c r="BB1762" s="35"/>
      <c r="BC1762" s="35"/>
      <c r="BD1762" s="35"/>
      <c r="BE1762" s="35"/>
      <c r="BF1762" s="35"/>
      <c r="BG1762" s="35"/>
      <c r="BH1762" s="35"/>
      <c r="BI1762" s="35"/>
      <c r="BJ1762" s="35"/>
      <c r="BK1762" s="35"/>
      <c r="BL1762" s="35"/>
      <c r="BM1762" s="35"/>
      <c r="BN1762" s="35"/>
      <c r="BO1762" s="86"/>
    </row>
    <row r="1763" spans="1:67" s="40" customFormat="1" ht="16.5" customHeight="1" thickBot="1" x14ac:dyDescent="0.3">
      <c r="A1763" s="520">
        <f>IFERROR(VLOOKUP($G$5,'רשימת רשויות'!A:C,3,0),0)</f>
        <v>0</v>
      </c>
      <c r="B1763" s="520">
        <f t="shared" si="250"/>
        <v>0</v>
      </c>
      <c r="C1763" s="39"/>
      <c r="D1763" s="1134"/>
      <c r="E1763" s="1137"/>
      <c r="F1763" s="589" t="s">
        <v>2282</v>
      </c>
      <c r="G1763" s="99">
        <f>G1767+G1768+G1769</f>
        <v>0</v>
      </c>
      <c r="H1763" s="104"/>
      <c r="I1763" s="107">
        <f>MAX(H1761-G1761-G1762,0)</f>
        <v>0</v>
      </c>
      <c r="J1763" s="108">
        <f>IFERROR(I1763/H1761,0)</f>
        <v>0</v>
      </c>
      <c r="K1763" s="603"/>
      <c r="L1763" s="603"/>
      <c r="M1763" s="603"/>
      <c r="N1763" s="603"/>
      <c r="O1763" s="603"/>
      <c r="P1763" s="604"/>
      <c r="Q1763" s="604"/>
      <c r="R1763" s="606" t="s">
        <v>158</v>
      </c>
      <c r="S1763" s="612"/>
      <c r="T1763" s="881"/>
      <c r="U1763" s="598"/>
      <c r="V1763" s="599"/>
      <c r="W1763" s="599"/>
      <c r="X1763" s="599"/>
      <c r="Y1763" s="879"/>
      <c r="Z1763" s="106"/>
      <c r="AA1763" s="22"/>
      <c r="AB1763" s="22"/>
      <c r="AC1763" s="493"/>
      <c r="AD1763" s="495"/>
      <c r="AE1763" s="22"/>
      <c r="AF1763" s="22"/>
      <c r="AG1763" s="22"/>
      <c r="AH1763" s="22"/>
      <c r="AI1763" s="55"/>
      <c r="AJ1763" s="22"/>
      <c r="AK1763" s="22"/>
      <c r="AO1763" s="22"/>
      <c r="AP1763" s="22"/>
      <c r="AQ1763" s="22"/>
      <c r="AR1763" s="22"/>
      <c r="AS1763" s="22"/>
      <c r="AT1763" s="22"/>
      <c r="AU1763" s="35"/>
      <c r="AV1763" s="35"/>
      <c r="AW1763" s="35"/>
      <c r="AX1763" s="35"/>
      <c r="AY1763" s="35"/>
      <c r="AZ1763" s="35"/>
      <c r="BA1763" s="35"/>
      <c r="BB1763" s="35"/>
      <c r="BC1763" s="35"/>
      <c r="BD1763" s="35"/>
      <c r="BE1763" s="35"/>
      <c r="BF1763" s="35"/>
      <c r="BG1763" s="35"/>
      <c r="BH1763" s="35"/>
      <c r="BI1763" s="35"/>
      <c r="BJ1763" s="35"/>
      <c r="BK1763" s="35"/>
      <c r="BL1763" s="35"/>
      <c r="BM1763" s="35"/>
      <c r="BN1763" s="35"/>
      <c r="BO1763" s="86"/>
    </row>
    <row r="1764" spans="1:67" s="40" customFormat="1" ht="15.75" customHeight="1" thickBot="1" x14ac:dyDescent="0.3">
      <c r="A1764" s="520">
        <f>IFERROR(VLOOKUP($G$5,'רשימת רשויות'!A:C,3,0),0)</f>
        <v>0</v>
      </c>
      <c r="B1764" s="520">
        <f t="shared" si="250"/>
        <v>0</v>
      </c>
      <c r="C1764" s="39"/>
      <c r="D1764" s="1134"/>
      <c r="E1764" s="1137"/>
      <c r="F1764" s="590" t="s">
        <v>2290</v>
      </c>
      <c r="G1764" s="109"/>
      <c r="H1764" s="110"/>
      <c r="I1764" s="111">
        <f>SUM(I1761:I1763)</f>
        <v>0</v>
      </c>
      <c r="J1764" s="112">
        <f>SUM(J1761:J1763)</f>
        <v>0</v>
      </c>
      <c r="K1764" s="603"/>
      <c r="L1764" s="603"/>
      <c r="M1764" s="603"/>
      <c r="N1764" s="603"/>
      <c r="O1764" s="603"/>
      <c r="P1764" s="604"/>
      <c r="Q1764" s="604"/>
      <c r="R1764" s="473">
        <f>MIN(MAX(G1768+G1769-I1757-J1757,0),I1763)</f>
        <v>0</v>
      </c>
      <c r="S1764" s="612"/>
      <c r="T1764" s="881"/>
      <c r="U1764" s="598"/>
      <c r="V1764" s="599"/>
      <c r="W1764" s="599"/>
      <c r="X1764" s="599"/>
      <c r="Y1764" s="879"/>
      <c r="Z1764" s="106"/>
      <c r="AA1764" s="22"/>
      <c r="AB1764" s="22"/>
      <c r="AC1764" s="493"/>
      <c r="AD1764" s="495"/>
      <c r="AE1764" s="22"/>
      <c r="AF1764" s="22"/>
      <c r="AG1764" s="22"/>
      <c r="AH1764" s="22"/>
      <c r="AJ1764" s="22"/>
      <c r="AK1764" s="22"/>
      <c r="AO1764" s="22"/>
      <c r="AP1764" s="22"/>
      <c r="AQ1764" s="22"/>
      <c r="AR1764" s="22"/>
      <c r="AS1764" s="22"/>
      <c r="AT1764" s="22"/>
      <c r="AU1764" s="35"/>
      <c r="AV1764" s="35"/>
      <c r="AW1764" s="35"/>
      <c r="AX1764" s="35"/>
      <c r="AY1764" s="35"/>
      <c r="AZ1764" s="35"/>
      <c r="BA1764" s="35"/>
      <c r="BB1764" s="35"/>
      <c r="BC1764" s="35"/>
      <c r="BD1764" s="35"/>
      <c r="BE1764" s="35"/>
      <c r="BF1764" s="35"/>
      <c r="BG1764" s="35"/>
      <c r="BH1764" s="35"/>
      <c r="BI1764" s="35"/>
      <c r="BJ1764" s="35"/>
      <c r="BK1764" s="35"/>
      <c r="BL1764" s="35"/>
      <c r="BM1764" s="35"/>
      <c r="BN1764" s="35"/>
      <c r="BO1764" s="86"/>
    </row>
    <row r="1765" spans="1:67" ht="16.5" thickBot="1" x14ac:dyDescent="0.3">
      <c r="A1765" s="520">
        <f>IFERROR(VLOOKUP($G$5,'רשימת רשויות'!A:C,3,0),0)</f>
        <v>0</v>
      </c>
      <c r="B1765" s="520">
        <f t="shared" si="250"/>
        <v>0</v>
      </c>
      <c r="D1765" s="1134"/>
      <c r="E1765" s="1137"/>
      <c r="F1765" s="587" t="s">
        <v>17</v>
      </c>
      <c r="G1765" s="113"/>
      <c r="H1765" s="92"/>
      <c r="I1765" s="114"/>
      <c r="J1765" s="115"/>
      <c r="K1765" s="116"/>
      <c r="L1765" s="406"/>
      <c r="M1765" s="116"/>
      <c r="N1765" s="116"/>
      <c r="O1765" s="116"/>
      <c r="P1765" s="474"/>
      <c r="Q1765" s="607"/>
      <c r="R1765" s="608"/>
      <c r="S1765" s="612"/>
      <c r="T1765" s="881"/>
      <c r="U1765" s="598"/>
      <c r="V1765" s="599"/>
      <c r="W1765" s="599"/>
      <c r="X1765" s="599"/>
      <c r="Y1765" s="879"/>
      <c r="Z1765" s="106"/>
      <c r="AI1765" s="40"/>
      <c r="BO1765" s="86"/>
    </row>
    <row r="1766" spans="1:67" ht="47.25" x14ac:dyDescent="0.25">
      <c r="A1766" s="520">
        <f>IFERROR(VLOOKUP($G$5,'רשימת רשויות'!A:C,3,0),0)</f>
        <v>0</v>
      </c>
      <c r="B1766" s="520">
        <f t="shared" si="250"/>
        <v>0</v>
      </c>
      <c r="D1766" s="1134"/>
      <c r="E1766" s="1137"/>
      <c r="F1766" s="588" t="s">
        <v>2</v>
      </c>
      <c r="G1766" s="95" t="s">
        <v>18</v>
      </c>
      <c r="H1766" s="95" t="s">
        <v>19</v>
      </c>
      <c r="I1766" s="95" t="s">
        <v>20</v>
      </c>
      <c r="J1766" s="95" t="s">
        <v>22</v>
      </c>
      <c r="K1766" s="96" t="s">
        <v>2314</v>
      </c>
      <c r="L1766" s="609"/>
      <c r="M1766" s="609"/>
      <c r="N1766" s="609"/>
      <c r="O1766" s="580"/>
      <c r="P1766" s="618" t="s">
        <v>2298</v>
      </c>
      <c r="Q1766" s="618" t="s">
        <v>2299</v>
      </c>
      <c r="R1766" s="596"/>
      <c r="S1766" s="890" t="s">
        <v>2519</v>
      </c>
      <c r="T1766" s="890" t="s">
        <v>97</v>
      </c>
      <c r="U1766" s="891" t="s">
        <v>2521</v>
      </c>
      <c r="V1766" s="892" t="s">
        <v>2520</v>
      </c>
      <c r="W1766" s="893" t="s">
        <v>2524</v>
      </c>
      <c r="X1766" s="892" t="s">
        <v>2522</v>
      </c>
      <c r="Y1766" s="894" t="s">
        <v>2523</v>
      </c>
      <c r="Z1766" s="106"/>
      <c r="AC1766" s="498" t="s">
        <v>2568</v>
      </c>
      <c r="AD1766" s="499" t="s">
        <v>2569</v>
      </c>
      <c r="AF1766" s="122"/>
      <c r="AI1766" s="40"/>
      <c r="BO1766" s="86"/>
    </row>
    <row r="1767" spans="1:67" ht="15" customHeight="1" thickBot="1" x14ac:dyDescent="0.3">
      <c r="A1767" s="520">
        <f>IFERROR(VLOOKUP($G$5,'רשימת רשויות'!A:C,3,0),0)</f>
        <v>0</v>
      </c>
      <c r="B1767" s="520">
        <f t="shared" si="250"/>
        <v>0</v>
      </c>
      <c r="D1767" s="1134"/>
      <c r="E1767" s="1137"/>
      <c r="F1767" s="589" t="s">
        <v>76</v>
      </c>
      <c r="G1767" s="117">
        <f>IF(G1758="תקין",SUMIF('עלויות כח אדם (6)'!$B$15:$B$3014,'בית ספר - תקצוב לפי מוסד (9)'!$G1753,'עלויות כח אדם (6)'!$M$15:$M$3014)-VLOOKUP('בית ספר - תקצוב לפי מוסד (9)'!G1753,' איוש משרות (8)'!$C:$H,5,0)-VLOOKUP('בית ספר - תקצוב לפי מוסד (9)'!G1753,' איוש משרות (8)'!$C:$H,6,0),0)-Y1767</f>
        <v>0</v>
      </c>
      <c r="H1767" s="118">
        <f>I1755+R1762</f>
        <v>0</v>
      </c>
      <c r="I1767" s="119">
        <f>IFERROR(SUM(G1767)/H1767,0)</f>
        <v>0</v>
      </c>
      <c r="J1767" s="100">
        <f>MIN(I1755+R1762,IF(ISNUMBER(G1767),G1767,0))</f>
        <v>0</v>
      </c>
      <c r="K1767" s="120">
        <f>MAX(H1767-G1767,0)</f>
        <v>0</v>
      </c>
      <c r="L1767" s="407"/>
      <c r="M1767" s="393"/>
      <c r="N1767" s="393"/>
      <c r="O1767" s="580"/>
      <c r="P1767" s="968">
        <f>IFERROR(IF(SUM(G1767)/(I1755)&lt;100%,MIN((I1755)-SUM(G1767),(I1755)*0.25),0),0)</f>
        <v>0</v>
      </c>
      <c r="Q1767" s="968">
        <f>IF(SUM(G1767)-(I1755+R1762)&gt;0,SUM(G1767)-(I1755+R1762),0)</f>
        <v>0</v>
      </c>
      <c r="R1767" s="596" t="s">
        <v>2351</v>
      </c>
      <c r="S1767" s="576" t="s">
        <v>2342</v>
      </c>
      <c r="T1767" s="599">
        <f>G1753</f>
        <v>0</v>
      </c>
      <c r="U1767" s="578"/>
      <c r="V1767" s="579">
        <f>G1767+G1768+G1769</f>
        <v>0</v>
      </c>
      <c r="W1767" s="579">
        <f>U1767-V1767</f>
        <v>0</v>
      </c>
      <c r="X1767" s="579">
        <f>IFERROR(W1781*W1767/(SUM(W1767:W1780)),0)</f>
        <v>0</v>
      </c>
      <c r="Y1767" s="879">
        <f>SUMIFS(בקרה!$S:$S,בקרה!$D:$D,T1767,בקרה!$K:$K,S1767)</f>
        <v>0</v>
      </c>
      <c r="Z1767" s="121"/>
      <c r="AA1767" s="143"/>
      <c r="AB1767" s="143"/>
      <c r="AC1767" s="504">
        <v>0</v>
      </c>
      <c r="AD1767" s="505">
        <f>IFERROR(U1767-AC1767,0)</f>
        <v>0</v>
      </c>
      <c r="AE1767" s="143"/>
      <c r="AI1767" s="20"/>
      <c r="BO1767" s="86"/>
    </row>
    <row r="1768" spans="1:67" ht="15" customHeight="1" thickBot="1" x14ac:dyDescent="0.3">
      <c r="A1768" s="520">
        <f>IFERROR(VLOOKUP($G$5,'רשימת רשויות'!A:C,3,0),0)</f>
        <v>0</v>
      </c>
      <c r="B1768" s="520">
        <f t="shared" si="250"/>
        <v>0</v>
      </c>
      <c r="D1768" s="1134"/>
      <c r="E1768" s="1137"/>
      <c r="F1768" s="589" t="s">
        <v>44</v>
      </c>
      <c r="G1768" s="123">
        <f>IF(G1758="תקין",IFERROR(VLOOKUP('בית ספר - תקצוב לפי מוסד (9)'!G1753,' איוש משרות (8)'!C:J,7,0),0),0)</f>
        <v>0</v>
      </c>
      <c r="H1768" s="124">
        <f>I1757+R1764+J1757</f>
        <v>0</v>
      </c>
      <c r="I1768" s="119">
        <f>IFERROR(SUM(G1768:G1769)/H1768,0)</f>
        <v>0</v>
      </c>
      <c r="J1768" s="100">
        <f>MIN(R1764+I1757,IF(ISNUMBER(SUM(G1768:G1769)),SUM(G1768:G1769),0))</f>
        <v>0</v>
      </c>
      <c r="K1768" s="1139">
        <f>MAX((H1768)-(G1768+G1769),0)</f>
        <v>0</v>
      </c>
      <c r="L1768" s="407"/>
      <c r="M1768" s="393"/>
      <c r="N1768" s="393"/>
      <c r="O1768" s="580"/>
      <c r="P1768" s="1140"/>
      <c r="Q1768" s="1140"/>
      <c r="R1768" s="617">
        <f>MAX(MIN(P1776-Q1776,H1776*0.15-G1774),0)</f>
        <v>0</v>
      </c>
      <c r="S1768" s="576"/>
      <c r="T1768" s="599">
        <f>G1753</f>
        <v>0</v>
      </c>
      <c r="U1768" s="578"/>
      <c r="V1768" s="579"/>
      <c r="W1768" s="579">
        <f t="shared" ref="W1768:W1780" si="252">U1768-V1768</f>
        <v>0</v>
      </c>
      <c r="X1768" s="579"/>
      <c r="Y1768" s="879"/>
      <c r="Z1768" s="121"/>
      <c r="AA1768" s="143"/>
      <c r="AB1768" s="143"/>
      <c r="AC1768" s="504"/>
      <c r="AD1768" s="505">
        <f t="shared" ref="AD1768:AD1774" si="253">IFERROR(U1768-AC1768,0)</f>
        <v>0</v>
      </c>
      <c r="AE1768" s="143"/>
      <c r="AI1768" s="20"/>
      <c r="BO1768" s="86"/>
    </row>
    <row r="1769" spans="1:67" ht="15.75" customHeight="1" x14ac:dyDescent="0.25">
      <c r="A1769" s="520">
        <f>IFERROR(VLOOKUP($G$5,'רשימת רשויות'!A:C,3,0),0)</f>
        <v>0</v>
      </c>
      <c r="B1769" s="520">
        <f t="shared" si="250"/>
        <v>0</v>
      </c>
      <c r="D1769" s="1134"/>
      <c r="E1769" s="1137"/>
      <c r="F1769" s="589" t="s">
        <v>45</v>
      </c>
      <c r="G1769" s="123">
        <f>IF(G1758="תקין",IFERROR(VLOOKUP('בית ספר - תקצוב לפי מוסד (9)'!G1753,' איוש משרות (8)'!C:J,8,0),0),0)</f>
        <v>0</v>
      </c>
      <c r="H1769" s="125"/>
      <c r="I1769" s="126"/>
      <c r="J1769" s="104"/>
      <c r="K1769" s="1139"/>
      <c r="L1769" s="407"/>
      <c r="M1769" s="393"/>
      <c r="N1769" s="393"/>
      <c r="O1769" s="580"/>
      <c r="P1769" s="1140"/>
      <c r="Q1769" s="1140"/>
      <c r="R1769" s="596"/>
      <c r="S1769" s="576"/>
      <c r="T1769" s="599">
        <f>G1753</f>
        <v>0</v>
      </c>
      <c r="U1769" s="578"/>
      <c r="V1769" s="579"/>
      <c r="W1769" s="579">
        <f t="shared" si="252"/>
        <v>0</v>
      </c>
      <c r="X1769" s="579"/>
      <c r="Y1769" s="879"/>
      <c r="Z1769" s="121"/>
      <c r="AA1769" s="143"/>
      <c r="AB1769" s="143"/>
      <c r="AC1769" s="504"/>
      <c r="AD1769" s="505">
        <f t="shared" si="253"/>
        <v>0</v>
      </c>
      <c r="AE1769" s="143"/>
      <c r="AG1769" s="55"/>
      <c r="AH1769" s="55"/>
      <c r="AI1769" s="55"/>
      <c r="AJ1769" s="55"/>
      <c r="AK1769" s="55"/>
      <c r="BO1769" s="86"/>
    </row>
    <row r="1770" spans="1:67" ht="15.75" customHeight="1" x14ac:dyDescent="0.25">
      <c r="A1770" s="520">
        <f>IFERROR(VLOOKUP($G$5,'רשימת רשויות'!A:C,3,0),0)</f>
        <v>0</v>
      </c>
      <c r="B1770" s="520">
        <f t="shared" si="250"/>
        <v>0</v>
      </c>
      <c r="D1770" s="1134"/>
      <c r="E1770" s="1137"/>
      <c r="F1770" s="589" t="s">
        <v>0</v>
      </c>
      <c r="G1770" s="117">
        <f>IF(G1758="תקין",SUMIFS('דוח הוצאות בפועל (4)'!$E$17:$E$3016,'דוח הוצאות בפועל (4)'!$B$17:$B$3016,'בית ספר - תקצוב לפי מוסד (9)'!$G1753,'דוח הוצאות בפועל (4)'!$M$17:$M$3016,"הע"),0)-Y1770</f>
        <v>0</v>
      </c>
      <c r="H1770" s="127">
        <f>J1755</f>
        <v>0</v>
      </c>
      <c r="I1770" s="128">
        <f>IFERROR(G1770/H1770,0)</f>
        <v>0</v>
      </c>
      <c r="J1770" s="129">
        <f>MIN(IF(ISNUMBER(G1770),G1770,0),H1770)</f>
        <v>0</v>
      </c>
      <c r="K1770" s="120">
        <f>MAX(H1770-G1770,0)</f>
        <v>0</v>
      </c>
      <c r="L1770" s="407"/>
      <c r="M1770" s="393"/>
      <c r="N1770" s="393"/>
      <c r="O1770" s="580"/>
      <c r="P1770" s="968">
        <f>MAX(IF(I1770&lt;100%,MIN((H1770-G1770),H1770*0.25),0),0)</f>
        <v>0</v>
      </c>
      <c r="Q1770" s="619">
        <f>IF(G1770-H1770&gt;0,G1770-H1770,0)</f>
        <v>0</v>
      </c>
      <c r="R1770" s="596"/>
      <c r="S1770" s="610" t="s">
        <v>0</v>
      </c>
      <c r="T1770" s="599">
        <f>G1753</f>
        <v>0</v>
      </c>
      <c r="U1770" s="578"/>
      <c r="V1770" s="579">
        <f>G1770</f>
        <v>0</v>
      </c>
      <c r="W1770" s="579">
        <f t="shared" si="252"/>
        <v>0</v>
      </c>
      <c r="X1770" s="579">
        <f>IFERROR(W1781*W1770/(SUM(W1767:W1780)),0)</f>
        <v>0</v>
      </c>
      <c r="Y1770" s="879">
        <f>SUMIFS(בקרה!$S:$S,בקרה!$D:$D,T1770,בקרה!$K:$K,S1770)</f>
        <v>0</v>
      </c>
      <c r="Z1770" s="121"/>
      <c r="AA1770" s="143"/>
      <c r="AB1770" s="143"/>
      <c r="AC1770" s="504">
        <v>0</v>
      </c>
      <c r="AD1770" s="505">
        <f t="shared" si="253"/>
        <v>0</v>
      </c>
      <c r="AE1770" s="143"/>
      <c r="AG1770" s="55"/>
      <c r="AH1770" s="55"/>
      <c r="AI1770" s="40"/>
      <c r="AJ1770" s="55"/>
      <c r="AK1770" s="55"/>
      <c r="BO1770" s="86"/>
    </row>
    <row r="1771" spans="1:67" s="55" customFormat="1" ht="15.75" customHeight="1" x14ac:dyDescent="0.25">
      <c r="A1771" s="520">
        <f>IFERROR(VLOOKUP($G$5,'רשימת רשויות'!A:C,3,0),0)</f>
        <v>0</v>
      </c>
      <c r="B1771" s="520">
        <f t="shared" si="250"/>
        <v>0</v>
      </c>
      <c r="C1771" s="39"/>
      <c r="D1771" s="1134"/>
      <c r="E1771" s="1137"/>
      <c r="F1771" s="589" t="s">
        <v>93</v>
      </c>
      <c r="G1771" s="130">
        <f>IF(G1758="תקין",SUMIFS('דוח הוצאות בפועל (4)'!$E$17:$E$3016,'דוח הוצאות בפועל (4)'!$B$17:$B$3016,'בית ספר - תקצוב לפי מוסד (9)'!$G1753,'דוח הוצאות בפועל (4)'!$M$17:$M$3016,"אר"),0)-Y1771</f>
        <v>0</v>
      </c>
      <c r="H1771" s="118">
        <f>$I1761</f>
        <v>0</v>
      </c>
      <c r="I1771" s="131">
        <f>IFERROR((G1771+G1772)/H1771,0)</f>
        <v>0</v>
      </c>
      <c r="J1771" s="100">
        <f>MIN((IF(ISNUMBER(G1771),G1771,0)+IF(ISNUMBER(G1772),G1772,0)),H1771)</f>
        <v>0</v>
      </c>
      <c r="K1771" s="1139">
        <f>MAX((H1771)-(G1771+G1772),0)</f>
        <v>0</v>
      </c>
      <c r="L1771" s="407"/>
      <c r="M1771" s="393"/>
      <c r="N1771" s="393"/>
      <c r="O1771" s="602"/>
      <c r="P1771" s="1141"/>
      <c r="Q1771" s="1142"/>
      <c r="R1771" s="596"/>
      <c r="S1771" s="610" t="s">
        <v>93</v>
      </c>
      <c r="T1771" s="599">
        <f>G1753</f>
        <v>0</v>
      </c>
      <c r="U1771" s="578"/>
      <c r="V1771" s="579">
        <f t="shared" ref="V1771:V1772" si="254">G1771</f>
        <v>0</v>
      </c>
      <c r="W1771" s="579">
        <f t="shared" si="252"/>
        <v>0</v>
      </c>
      <c r="X1771" s="579">
        <f>IFERROR(W1781*W1771/(SUM(W1767:W1780)),0)</f>
        <v>0</v>
      </c>
      <c r="Y1771" s="879">
        <f>SUMIFS(בקרה!$S:$S,בקרה!$D:$D,T1771,בקרה!$K:$K,S1771)</f>
        <v>0</v>
      </c>
      <c r="Z1771" s="121"/>
      <c r="AA1771" s="143"/>
      <c r="AB1771" s="143"/>
      <c r="AC1771" s="504">
        <v>0</v>
      </c>
      <c r="AD1771" s="505">
        <f t="shared" si="253"/>
        <v>0</v>
      </c>
      <c r="AE1771" s="143"/>
      <c r="AJ1771" s="22"/>
      <c r="AO1771" s="22"/>
      <c r="AP1771" s="22"/>
      <c r="AQ1771" s="22"/>
      <c r="AR1771" s="22"/>
      <c r="AS1771" s="22"/>
      <c r="AT1771" s="22"/>
      <c r="AU1771" s="35"/>
      <c r="AV1771" s="35"/>
      <c r="AW1771" s="35"/>
      <c r="AX1771" s="35"/>
      <c r="AY1771" s="35"/>
      <c r="AZ1771" s="35"/>
      <c r="BA1771" s="35"/>
      <c r="BB1771" s="35"/>
      <c r="BC1771" s="35"/>
      <c r="BD1771" s="35"/>
      <c r="BE1771" s="35"/>
      <c r="BF1771" s="35"/>
      <c r="BG1771" s="35"/>
      <c r="BH1771" s="35"/>
      <c r="BI1771" s="35"/>
      <c r="BJ1771" s="35"/>
      <c r="BK1771" s="35"/>
      <c r="BL1771" s="35"/>
      <c r="BM1771" s="35"/>
      <c r="BN1771" s="35"/>
      <c r="BO1771" s="86"/>
    </row>
    <row r="1772" spans="1:67" s="55" customFormat="1" ht="15.75" customHeight="1" x14ac:dyDescent="0.25">
      <c r="A1772" s="520">
        <f>IFERROR(VLOOKUP($G$5,'רשימת רשויות'!A:C,3,0),0)</f>
        <v>0</v>
      </c>
      <c r="B1772" s="520">
        <f t="shared" si="250"/>
        <v>0</v>
      </c>
      <c r="C1772" s="39"/>
      <c r="D1772" s="1134"/>
      <c r="E1772" s="1137"/>
      <c r="F1772" s="589" t="s">
        <v>46</v>
      </c>
      <c r="G1772" s="130">
        <f>IF(G1758="תקין",SUMIFS('דוח הוצאות בפועל (4)'!$E$17:$E$3016,'דוח הוצאות בפועל (4)'!$B$17:$B$3016,'בית ספר - תקצוב לפי מוסד (9)'!$G1753,'דוח הוצאות בפועל (4)'!$M$17:$M$3016,"מל"),0)-Y1772</f>
        <v>0</v>
      </c>
      <c r="H1772" s="132"/>
      <c r="I1772" s="133"/>
      <c r="J1772" s="104"/>
      <c r="K1772" s="1139"/>
      <c r="L1772" s="407"/>
      <c r="M1772" s="393"/>
      <c r="N1772" s="393"/>
      <c r="O1772" s="602"/>
      <c r="P1772" s="1141"/>
      <c r="Q1772" s="1142"/>
      <c r="R1772" s="596"/>
      <c r="S1772" s="610" t="s">
        <v>46</v>
      </c>
      <c r="T1772" s="599">
        <f>G1753</f>
        <v>0</v>
      </c>
      <c r="U1772" s="578"/>
      <c r="V1772" s="579">
        <f t="shared" si="254"/>
        <v>0</v>
      </c>
      <c r="W1772" s="579">
        <f t="shared" si="252"/>
        <v>0</v>
      </c>
      <c r="X1772" s="579">
        <f>IFERROR(W1781*W1772/(SUM(W1767:W1780)),0)</f>
        <v>0</v>
      </c>
      <c r="Y1772" s="879">
        <f>SUMIFS(בקרה!$S:$S,בקרה!$D:$D,T1772,בקרה!$K:$K,S1772)</f>
        <v>0</v>
      </c>
      <c r="Z1772" s="121"/>
      <c r="AA1772" s="143"/>
      <c r="AB1772" s="143"/>
      <c r="AC1772" s="504">
        <v>0</v>
      </c>
      <c r="AD1772" s="505">
        <f t="shared" si="253"/>
        <v>0</v>
      </c>
      <c r="AE1772" s="143"/>
      <c r="AJ1772" s="22"/>
      <c r="AO1772" s="22"/>
      <c r="AP1772" s="22"/>
      <c r="AQ1772" s="22"/>
      <c r="AR1772" s="22"/>
      <c r="AS1772" s="22"/>
      <c r="AT1772" s="22"/>
      <c r="AU1772" s="35"/>
      <c r="AV1772" s="35"/>
      <c r="AW1772" s="35"/>
      <c r="AX1772" s="35"/>
      <c r="AY1772" s="35"/>
      <c r="AZ1772" s="35"/>
      <c r="BA1772" s="35"/>
      <c r="BB1772" s="35"/>
      <c r="BC1772" s="35"/>
      <c r="BD1772" s="35"/>
      <c r="BE1772" s="35"/>
      <c r="BF1772" s="35"/>
      <c r="BG1772" s="35"/>
      <c r="BH1772" s="35"/>
      <c r="BI1772" s="35"/>
      <c r="BJ1772" s="35"/>
      <c r="BK1772" s="35"/>
      <c r="BL1772" s="35"/>
      <c r="BM1772" s="35"/>
      <c r="BN1772" s="35"/>
      <c r="BO1772" s="86"/>
    </row>
    <row r="1773" spans="1:67" s="55" customFormat="1" ht="15" customHeight="1" x14ac:dyDescent="0.25">
      <c r="A1773" s="520">
        <f>IFERROR(VLOOKUP($G$5,'רשימת רשויות'!A:C,3,0),0)</f>
        <v>0</v>
      </c>
      <c r="B1773" s="520">
        <f t="shared" si="250"/>
        <v>0</v>
      </c>
      <c r="C1773" s="39"/>
      <c r="D1773" s="1134"/>
      <c r="E1773" s="1137"/>
      <c r="F1773" s="591" t="s">
        <v>23</v>
      </c>
      <c r="G1773" s="134">
        <f>SUM(G1767:G1772)</f>
        <v>0</v>
      </c>
      <c r="H1773" s="135">
        <f>SUM(H1767:H1772)</f>
        <v>0</v>
      </c>
      <c r="I1773" s="128">
        <f>IFERROR(G1773/H1773,0)</f>
        <v>0</v>
      </c>
      <c r="J1773" s="136">
        <f>SUM(J1767:J1772)</f>
        <v>0</v>
      </c>
      <c r="K1773" s="137">
        <f>SUM(K1767:K1772)</f>
        <v>0</v>
      </c>
      <c r="L1773" s="408"/>
      <c r="M1773" s="394"/>
      <c r="N1773" s="394"/>
      <c r="O1773" s="602"/>
      <c r="P1773" s="620">
        <f>SUM(P1767:P1772)</f>
        <v>0</v>
      </c>
      <c r="Q1773" s="620">
        <f>SUM(Q1767:Q1772)</f>
        <v>0</v>
      </c>
      <c r="R1773" s="596"/>
      <c r="S1773" s="610"/>
      <c r="T1773" s="599">
        <f>G1753</f>
        <v>0</v>
      </c>
      <c r="U1773" s="578"/>
      <c r="V1773" s="579"/>
      <c r="W1773" s="579">
        <f t="shared" si="252"/>
        <v>0</v>
      </c>
      <c r="X1773" s="579"/>
      <c r="Y1773" s="879"/>
      <c r="Z1773" s="121"/>
      <c r="AA1773" s="143"/>
      <c r="AB1773" s="143"/>
      <c r="AC1773" s="504"/>
      <c r="AD1773" s="505">
        <f t="shared" si="253"/>
        <v>0</v>
      </c>
      <c r="AE1773" s="143"/>
      <c r="AJ1773" s="22"/>
      <c r="AL1773" s="22"/>
      <c r="AM1773" s="22"/>
      <c r="AN1773" s="22"/>
      <c r="AO1773" s="22"/>
      <c r="AP1773" s="22"/>
      <c r="AQ1773" s="22"/>
      <c r="AR1773" s="22"/>
      <c r="AS1773" s="22"/>
      <c r="AT1773" s="22"/>
      <c r="AU1773" s="35"/>
      <c r="AV1773" s="35"/>
      <c r="AW1773" s="35"/>
      <c r="AX1773" s="35"/>
      <c r="AY1773" s="35"/>
      <c r="AZ1773" s="35"/>
      <c r="BA1773" s="35"/>
      <c r="BB1773" s="35"/>
      <c r="BC1773" s="35"/>
      <c r="BD1773" s="35"/>
      <c r="BE1773" s="35"/>
      <c r="BF1773" s="35"/>
      <c r="BG1773" s="35"/>
      <c r="BH1773" s="35"/>
      <c r="BI1773" s="35"/>
      <c r="BJ1773" s="35"/>
      <c r="BK1773" s="35"/>
      <c r="BL1773" s="35"/>
      <c r="BM1773" s="35"/>
      <c r="BN1773" s="35"/>
      <c r="BO1773" s="86"/>
    </row>
    <row r="1774" spans="1:67" s="55" customFormat="1" ht="15" customHeight="1" x14ac:dyDescent="0.25">
      <c r="A1774" s="520">
        <f>IFERROR(VLOOKUP($G$5,'רשימת רשויות'!A:C,3,0),0)</f>
        <v>0</v>
      </c>
      <c r="B1774" s="520">
        <f t="shared" si="250"/>
        <v>0</v>
      </c>
      <c r="C1774" s="39"/>
      <c r="D1774" s="1134"/>
      <c r="E1774" s="1137"/>
      <c r="F1774" s="589" t="s">
        <v>3</v>
      </c>
      <c r="G1774" s="117">
        <f>IF(G1758="תקין",SUMIFS('דוח הוצאות בפועל (4)'!$E$17:$E$3016,'דוח הוצאות בפועל (4)'!$B$17:$B$3016,'בית ספר - תקצוב לפי מוסד (9)'!$G1753,'דוח הוצאות בפועל (4)'!$M$17:$M$3016,"ני")+SUMIFS('דוח הוצאות בפועל (4)'!$E$17:$E$3016,'דוח הוצאות בפועל (4)'!$B$17:$B$3016,'בית ספר - תקצוב לפי מוסד (9)'!$G1753,'דוח הוצאות בפועל (4)'!$M$17:$M$3016,"על"),0)-Y1774</f>
        <v>0</v>
      </c>
      <c r="H1774" s="117">
        <f>H1755</f>
        <v>0</v>
      </c>
      <c r="I1774" s="138">
        <f>IFERROR(G1774/H1774,0)</f>
        <v>0</v>
      </c>
      <c r="J1774" s="117">
        <f>IFERROR(IF(G1774/H1776&gt;0.15,MIN(H1776*0.15,H1774),MIN(H1774,IF(ISNUMBER(G1774),G1774,0))),0)</f>
        <v>0</v>
      </c>
      <c r="K1774" s="120">
        <f>MAX(H1774-G1774,0)</f>
        <v>0</v>
      </c>
      <c r="L1774" s="407"/>
      <c r="M1774" s="393"/>
      <c r="N1774" s="393"/>
      <c r="O1774" s="602"/>
      <c r="P1774" s="620">
        <f>IF(I1774&lt;100%,MIN(H1774-G1774,H1774*0.25),0)</f>
        <v>0</v>
      </c>
      <c r="Q1774" s="620">
        <f>MAX(MIN(IF(G1774-H1774&gt;0,G1774-H1774,0),$H1776*0.15-H1774-J1775),0)</f>
        <v>0</v>
      </c>
      <c r="R1774" s="596"/>
      <c r="S1774" s="610" t="s">
        <v>3</v>
      </c>
      <c r="T1774" s="599">
        <f>G1753</f>
        <v>0</v>
      </c>
      <c r="U1774" s="578"/>
      <c r="V1774" s="579">
        <f t="shared" ref="V1774" si="255">G1774</f>
        <v>0</v>
      </c>
      <c r="W1774" s="579">
        <f t="shared" si="252"/>
        <v>0</v>
      </c>
      <c r="X1774" s="579"/>
      <c r="Y1774" s="879"/>
      <c r="Z1774" s="121"/>
      <c r="AA1774" s="143"/>
      <c r="AB1774" s="143"/>
      <c r="AC1774" s="504">
        <v>0</v>
      </c>
      <c r="AD1774" s="505">
        <f t="shared" si="253"/>
        <v>0</v>
      </c>
      <c r="AE1774" s="143"/>
      <c r="AG1774" s="22"/>
      <c r="AH1774" s="22"/>
      <c r="AI1774" s="22"/>
      <c r="AJ1774" s="22"/>
      <c r="AK1774" s="22"/>
      <c r="AL1774" s="22"/>
      <c r="AM1774" s="22"/>
      <c r="AN1774" s="22"/>
      <c r="AO1774" s="22"/>
      <c r="AP1774" s="22"/>
      <c r="AQ1774" s="22"/>
      <c r="AR1774" s="22"/>
      <c r="AS1774" s="22"/>
      <c r="AT1774" s="22"/>
      <c r="AU1774" s="35"/>
      <c r="AV1774" s="35"/>
      <c r="AW1774" s="35"/>
      <c r="AX1774" s="35"/>
      <c r="AY1774" s="35"/>
      <c r="AZ1774" s="35"/>
      <c r="BA1774" s="35"/>
      <c r="BB1774" s="35"/>
      <c r="BC1774" s="35"/>
      <c r="BD1774" s="35"/>
      <c r="BE1774" s="35"/>
      <c r="BF1774" s="35"/>
      <c r="BG1774" s="35"/>
      <c r="BH1774" s="35"/>
      <c r="BI1774" s="35"/>
      <c r="BJ1774" s="35"/>
      <c r="BK1774" s="35"/>
      <c r="BL1774" s="35"/>
      <c r="BM1774" s="35"/>
      <c r="BN1774" s="35"/>
      <c r="BO1774" s="86"/>
    </row>
    <row r="1775" spans="1:67" s="55" customFormat="1" ht="15.75" customHeight="1" x14ac:dyDescent="0.25">
      <c r="A1775" s="520">
        <f>IFERROR(VLOOKUP($G$5,'רשימת רשויות'!A:C,3,0),0)</f>
        <v>0</v>
      </c>
      <c r="B1775" s="520">
        <f t="shared" si="250"/>
        <v>0</v>
      </c>
      <c r="C1775" s="39"/>
      <c r="D1775" s="1134"/>
      <c r="E1775" s="1137"/>
      <c r="F1775" s="589" t="s">
        <v>2918</v>
      </c>
      <c r="G1775" s="117">
        <f>0.07*(G1769+G1768)</f>
        <v>0</v>
      </c>
      <c r="H1775" s="117">
        <f>H1757</f>
        <v>0</v>
      </c>
      <c r="I1775" s="138">
        <f>IFERROR(G1775/H1775,0)</f>
        <v>0</v>
      </c>
      <c r="J1775" s="117">
        <f>IFERROR(MIN(0.07*(G1768+G1769),0.07*I1757),0)</f>
        <v>0</v>
      </c>
      <c r="K1775" s="120">
        <f>MAX(H1775-G1775,0)</f>
        <v>0</v>
      </c>
      <c r="L1775" s="407"/>
      <c r="M1775" s="393"/>
      <c r="N1775" s="393"/>
      <c r="O1775" s="602"/>
      <c r="P1775" s="620"/>
      <c r="Q1775" s="619"/>
      <c r="R1775" s="596"/>
      <c r="S1775" s="611"/>
      <c r="T1775" s="599">
        <f>G1753</f>
        <v>0</v>
      </c>
      <c r="U1775" s="578"/>
      <c r="V1775" s="579"/>
      <c r="W1775" s="579">
        <f t="shared" si="252"/>
        <v>0</v>
      </c>
      <c r="X1775" s="579"/>
      <c r="Y1775" s="879"/>
      <c r="Z1775" s="121"/>
      <c r="AA1775" s="143"/>
      <c r="AB1775" s="143"/>
      <c r="AC1775" s="504"/>
      <c r="AD1775" s="505"/>
      <c r="AE1775" s="143"/>
      <c r="AF1775" s="140"/>
      <c r="AG1775" s="22"/>
      <c r="AH1775" s="22"/>
      <c r="AI1775" s="22"/>
      <c r="AJ1775" s="22"/>
      <c r="AK1775" s="22"/>
      <c r="AL1775" s="22"/>
      <c r="AM1775" s="22"/>
      <c r="AN1775" s="22"/>
      <c r="AO1775" s="22"/>
      <c r="AP1775" s="22"/>
      <c r="AQ1775" s="22"/>
      <c r="AR1775" s="22"/>
      <c r="AS1775" s="22"/>
      <c r="AT1775" s="22"/>
      <c r="AU1775" s="35"/>
      <c r="AV1775" s="35"/>
      <c r="AW1775" s="35"/>
      <c r="AX1775" s="35"/>
      <c r="AY1775" s="35"/>
      <c r="AZ1775" s="35"/>
      <c r="BA1775" s="35"/>
      <c r="BB1775" s="35"/>
      <c r="BC1775" s="35"/>
      <c r="BD1775" s="35"/>
      <c r="BE1775" s="35"/>
      <c r="BF1775" s="35"/>
      <c r="BG1775" s="35"/>
      <c r="BH1775" s="35"/>
      <c r="BI1775" s="35"/>
      <c r="BJ1775" s="35"/>
      <c r="BK1775" s="35"/>
      <c r="BL1775" s="35"/>
      <c r="BM1775" s="35"/>
      <c r="BN1775" s="35"/>
      <c r="BO1775" s="86"/>
    </row>
    <row r="1776" spans="1:67" ht="15.75" customHeight="1" x14ac:dyDescent="0.25">
      <c r="A1776" s="520">
        <f>IFERROR(VLOOKUP($G$5,'רשימת רשויות'!A:C,3,0),0)</f>
        <v>0</v>
      </c>
      <c r="B1776" s="520">
        <f t="shared" si="250"/>
        <v>0</v>
      </c>
      <c r="D1776" s="1134"/>
      <c r="E1776" s="1137"/>
      <c r="F1776" s="591" t="s">
        <v>15</v>
      </c>
      <c r="G1776" s="134">
        <f>G1773+G1774+G1775</f>
        <v>0</v>
      </c>
      <c r="H1776" s="134">
        <f>H1773+H1774+H1775</f>
        <v>0</v>
      </c>
      <c r="I1776" s="138">
        <f>IFERROR(G1776/H1776,0)</f>
        <v>0</v>
      </c>
      <c r="J1776" s="139">
        <f>J1773+J1774+J1775</f>
        <v>0</v>
      </c>
      <c r="K1776" s="137">
        <f>K1774+K1773+K1775</f>
        <v>0</v>
      </c>
      <c r="L1776" s="408"/>
      <c r="M1776" s="394"/>
      <c r="N1776" s="394"/>
      <c r="O1776" s="602"/>
      <c r="P1776" s="621">
        <f>SUM(P1773:P1774)</f>
        <v>0</v>
      </c>
      <c r="Q1776" s="622">
        <f>Q1773+Q1774</f>
        <v>0</v>
      </c>
      <c r="R1776" s="596"/>
      <c r="S1776" s="611"/>
      <c r="T1776" s="599">
        <f>G1753</f>
        <v>0</v>
      </c>
      <c r="U1776" s="578"/>
      <c r="V1776" s="579"/>
      <c r="W1776" s="579">
        <f t="shared" si="252"/>
        <v>0</v>
      </c>
      <c r="X1776" s="579"/>
      <c r="Y1776" s="879"/>
      <c r="Z1776" s="106"/>
      <c r="AC1776" s="504"/>
      <c r="AD1776" s="505"/>
      <c r="AH1776" s="143"/>
      <c r="BO1776" s="86"/>
    </row>
    <row r="1777" spans="1:67" ht="15.75" customHeight="1" x14ac:dyDescent="0.25">
      <c r="A1777" s="520">
        <f>IFERROR(VLOOKUP($G$5,'רשימת רשויות'!A:C,3,0),0)</f>
        <v>0</v>
      </c>
      <c r="B1777" s="520">
        <f t="shared" si="250"/>
        <v>0</v>
      </c>
      <c r="D1777" s="1134"/>
      <c r="E1777" s="1137"/>
      <c r="F1777" s="589" t="s">
        <v>2261</v>
      </c>
      <c r="G1777" s="117">
        <f>IF(G1758="תקין",SUMIF('תשלומי הורים ומלגות להורים (5) '!$B$18:$B$517,$G1753,'תשלומי הורים ומלגות להורים (5) '!$C$18:$C$517),0)</f>
        <v>0</v>
      </c>
      <c r="H1777" s="117">
        <f>(G1756+G1757)*$G$7</f>
        <v>0</v>
      </c>
      <c r="I1777" s="141"/>
      <c r="J1777" s="141"/>
      <c r="K1777" s="142"/>
      <c r="L1777" s="395"/>
      <c r="M1777" s="395"/>
      <c r="N1777" s="395"/>
      <c r="O1777" s="602"/>
      <c r="P1777" s="623"/>
      <c r="Q1777" s="619"/>
      <c r="R1777" s="596"/>
      <c r="S1777" s="612"/>
      <c r="T1777" s="599">
        <f>G1753</f>
        <v>0</v>
      </c>
      <c r="U1777" s="578"/>
      <c r="V1777" s="579"/>
      <c r="W1777" s="579">
        <f t="shared" si="252"/>
        <v>0</v>
      </c>
      <c r="X1777" s="579"/>
      <c r="Y1777" s="879"/>
      <c r="Z1777" s="121"/>
      <c r="AA1777" s="143"/>
      <c r="AB1777" s="143"/>
      <c r="AC1777" s="504"/>
      <c r="AD1777" s="505"/>
      <c r="AE1777" s="143"/>
      <c r="AF1777" s="148"/>
      <c r="BO1777" s="86"/>
    </row>
    <row r="1778" spans="1:67" ht="15.75" customHeight="1" thickBot="1" x14ac:dyDescent="0.3">
      <c r="A1778" s="520">
        <f>IFERROR(VLOOKUP($G$5,'רשימת רשויות'!A:C,3,0),0)</f>
        <v>0</v>
      </c>
      <c r="B1778" s="520">
        <f t="shared" si="250"/>
        <v>0</v>
      </c>
      <c r="D1778" s="1134"/>
      <c r="E1778" s="1137"/>
      <c r="F1778" s="592" t="s">
        <v>21</v>
      </c>
      <c r="G1778" s="144">
        <f>G1776-G1777</f>
        <v>0</v>
      </c>
      <c r="H1778" s="144">
        <f>H1776-H1777</f>
        <v>0</v>
      </c>
      <c r="I1778" s="145"/>
      <c r="J1778" s="145"/>
      <c r="K1778" s="146"/>
      <c r="L1778" s="396"/>
      <c r="M1778" s="396"/>
      <c r="N1778" s="396"/>
      <c r="O1778" s="602"/>
      <c r="P1778" s="619"/>
      <c r="Q1778" s="619"/>
      <c r="R1778" s="596"/>
      <c r="S1778" s="612"/>
      <c r="T1778" s="599">
        <f>G1753</f>
        <v>0</v>
      </c>
      <c r="U1778" s="578"/>
      <c r="V1778" s="579"/>
      <c r="W1778" s="579">
        <f t="shared" si="252"/>
        <v>0</v>
      </c>
      <c r="X1778" s="579"/>
      <c r="Y1778" s="879"/>
      <c r="Z1778" s="147"/>
      <c r="AA1778" s="148"/>
      <c r="AB1778" s="148"/>
      <c r="AC1778" s="504"/>
      <c r="AD1778" s="505"/>
      <c r="AE1778" s="148"/>
      <c r="AF1778" s="148"/>
      <c r="BO1778" s="86"/>
    </row>
    <row r="1779" spans="1:67" ht="15.75" customHeight="1" thickBot="1" x14ac:dyDescent="0.3">
      <c r="A1779" s="520">
        <f>IFERROR(VLOOKUP($G$5,'רשימת רשויות'!A:C,3,0),0)</f>
        <v>0</v>
      </c>
      <c r="B1779" s="520">
        <f t="shared" si="250"/>
        <v>0</v>
      </c>
      <c r="D1779" s="1134"/>
      <c r="E1779" s="1137"/>
      <c r="F1779" s="580"/>
      <c r="G1779" s="580"/>
      <c r="H1779" s="147"/>
      <c r="I1779" s="149" t="s">
        <v>2197</v>
      </c>
      <c r="J1779" s="150">
        <f>MAX(MIN(P1776,Q1776),0)</f>
        <v>0</v>
      </c>
      <c r="K1779" s="580"/>
      <c r="L1779" s="580"/>
      <c r="M1779" s="580"/>
      <c r="N1779" s="580"/>
      <c r="O1779" s="580"/>
      <c r="P1779" s="615" t="s">
        <v>2317</v>
      </c>
      <c r="Q1779" s="624">
        <f>SUM(Q1780:Q1781)</f>
        <v>0</v>
      </c>
      <c r="R1779" s="596"/>
      <c r="S1779" s="612"/>
      <c r="T1779" s="599">
        <f>G1753</f>
        <v>0</v>
      </c>
      <c r="U1779" s="578"/>
      <c r="V1779" s="579"/>
      <c r="W1779" s="579">
        <f t="shared" si="252"/>
        <v>0</v>
      </c>
      <c r="X1779" s="579"/>
      <c r="Y1779" s="879"/>
      <c r="Z1779" s="106"/>
      <c r="AC1779" s="504"/>
      <c r="AD1779" s="505"/>
      <c r="AF1779" s="148"/>
      <c r="BO1779" s="86"/>
    </row>
    <row r="1780" spans="1:67" ht="16.5" thickBot="1" x14ac:dyDescent="0.3">
      <c r="A1780" s="520">
        <f>IFERROR(VLOOKUP($G$5,'רשימת רשויות'!A:C,3,0),0)</f>
        <v>0</v>
      </c>
      <c r="B1780" s="520">
        <f t="shared" si="250"/>
        <v>0</v>
      </c>
      <c r="D1780" s="1134"/>
      <c r="E1780" s="1137"/>
      <c r="F1780" s="580"/>
      <c r="G1780" s="580"/>
      <c r="H1780" s="580"/>
      <c r="I1780" s="84" t="s">
        <v>2193</v>
      </c>
      <c r="J1780" s="515" t="str">
        <f>IFERROR(1-H1777/H1776,"")</f>
        <v/>
      </c>
      <c r="K1780" s="580"/>
      <c r="L1780" s="580"/>
      <c r="M1780" s="580"/>
      <c r="N1780" s="580"/>
      <c r="O1780" s="580"/>
      <c r="P1780" s="615" t="s">
        <v>417</v>
      </c>
      <c r="Q1780" s="616">
        <f>IFERROR(MAX(H1778-I1781-Q1781,0),0)</f>
        <v>0</v>
      </c>
      <c r="R1780" s="596"/>
      <c r="S1780" s="600"/>
      <c r="T1780" s="599">
        <f>G1753</f>
        <v>0</v>
      </c>
      <c r="U1780" s="578"/>
      <c r="V1780" s="579"/>
      <c r="W1780" s="579">
        <f t="shared" si="252"/>
        <v>0</v>
      </c>
      <c r="X1780" s="579"/>
      <c r="Y1780" s="879"/>
      <c r="Z1780" s="106"/>
      <c r="AC1780" s="504"/>
      <c r="AD1780" s="505"/>
      <c r="BO1780" s="86"/>
    </row>
    <row r="1781" spans="1:67" ht="17.25" thickBot="1" x14ac:dyDescent="0.3">
      <c r="A1781" s="520">
        <f>IFERROR(VLOOKUP($G$5,'רשימת רשויות'!A:C,3,0),0)</f>
        <v>0</v>
      </c>
      <c r="B1781" s="520">
        <f t="shared" si="250"/>
        <v>0</v>
      </c>
      <c r="D1781" s="1134"/>
      <c r="E1781" s="1137"/>
      <c r="F1781" s="1143" t="s">
        <v>2679</v>
      </c>
      <c r="G1781" s="1143"/>
      <c r="H1781" s="1143"/>
      <c r="I1781" s="722">
        <f>IF(G1758="לא תקין","לא קיימת זכאות לתקציב לאור אי איוש משרות רכז ו/או סגן רכז ",IFERROR(J1780*(J1779+J1776),0))</f>
        <v>0</v>
      </c>
      <c r="J1781" s="573"/>
      <c r="K1781" s="574"/>
      <c r="L1781" s="396"/>
      <c r="M1781" s="574"/>
      <c r="N1781" s="574"/>
      <c r="O1781" s="574"/>
      <c r="P1781" s="615" t="s">
        <v>2279</v>
      </c>
      <c r="Q1781" s="616">
        <f>MAX(IF(AND(G1776&gt;H1776,I1781&lt;H1778),H1778-I1781,0),0)</f>
        <v>0</v>
      </c>
      <c r="R1781" s="575"/>
      <c r="S1781" s="576" t="s">
        <v>67</v>
      </c>
      <c r="T1781" s="577">
        <f>G1753</f>
        <v>0</v>
      </c>
      <c r="U1781" s="578"/>
      <c r="V1781" s="579">
        <f>I1781</f>
        <v>0</v>
      </c>
      <c r="W1781" s="579">
        <f>IFERROR(U1781-V1781,0)</f>
        <v>0</v>
      </c>
      <c r="X1781" s="579">
        <f>SUM(X1767:X1780)</f>
        <v>0</v>
      </c>
      <c r="Y1781" s="879"/>
      <c r="Z1781" s="106"/>
      <c r="AC1781" s="506">
        <v>0</v>
      </c>
      <c r="AD1781" s="507">
        <f>IFERROR(U1781-AC1781,0)</f>
        <v>0</v>
      </c>
      <c r="BO1781" s="86"/>
    </row>
    <row r="1782" spans="1:67" ht="16.5" thickBot="1" x14ac:dyDescent="0.3">
      <c r="A1782" s="520">
        <f>IFERROR(VLOOKUP($G$5,'רשימת רשויות'!A:C,3,0),0)</f>
        <v>0</v>
      </c>
      <c r="B1782" s="520">
        <f t="shared" si="250"/>
        <v>0</v>
      </c>
      <c r="D1782" s="1135"/>
      <c r="E1782" s="1138"/>
      <c r="F1782" s="1144" t="s">
        <v>2793</v>
      </c>
      <c r="G1782" s="1145"/>
      <c r="H1782" s="1145"/>
      <c r="I1782" s="593">
        <f>IFERROR(IF(G1758="תקין",SUMIFS('סייעות רפואיות או אישיות (7)'!$Q$17:Q$384,'סייעות רפואיות או אישיות (7)'!C$17:C$384,G1753),0),0)</f>
        <v>0</v>
      </c>
      <c r="J1782" s="151"/>
      <c r="K1782" s="152"/>
      <c r="L1782" s="409"/>
      <c r="M1782" s="152"/>
      <c r="N1782" s="152"/>
      <c r="O1782" s="152"/>
      <c r="P1782" s="613"/>
      <c r="Q1782" s="614"/>
      <c r="R1782" s="475"/>
      <c r="S1782" s="489"/>
      <c r="T1782" s="490"/>
      <c r="U1782" s="491"/>
      <c r="V1782" s="492"/>
      <c r="W1782" s="492"/>
      <c r="X1782" s="492"/>
      <c r="Y1782" s="880"/>
      <c r="Z1782" s="153"/>
      <c r="AC1782" s="581"/>
      <c r="AD1782" s="582"/>
      <c r="BO1782" s="86"/>
    </row>
    <row r="1783" spans="1:67" ht="34.5" thickBot="1" x14ac:dyDescent="0.55000000000000004">
      <c r="A1783" s="520">
        <f>IFERROR(VLOOKUP($G$5,'רשימת רשויות'!A:C,3,0),0)</f>
        <v>0</v>
      </c>
      <c r="B1783" s="520">
        <f t="shared" si="250"/>
        <v>0</v>
      </c>
      <c r="E1783" s="154"/>
      <c r="I1783" s="143"/>
      <c r="J1783" s="148"/>
      <c r="O1783" s="148"/>
      <c r="T1783" s="481"/>
      <c r="BO1783" s="86"/>
    </row>
    <row r="1784" spans="1:67" s="20" customFormat="1" ht="16.5" customHeight="1" thickBot="1" x14ac:dyDescent="0.3">
      <c r="A1784" s="520">
        <f>IFERROR(VLOOKUP($G$5,'רשימת רשויות'!A:C,3,0),0)</f>
        <v>0</v>
      </c>
      <c r="B1784" s="520">
        <f t="shared" si="250"/>
        <v>0</v>
      </c>
      <c r="C1784" s="39"/>
      <c r="D1784" s="1133">
        <f>D1753+1</f>
        <v>58</v>
      </c>
      <c r="E1784" s="1136" t="str">
        <f>IFERROR(CONCATENATE("בית הספר ",VLOOKUP(G1784,'מצבת והרשמה (2)'!$C$21:$D$520,2,0)," - ",$G$5),"")</f>
        <v>בית הספר המוסד לא קיים - 0</v>
      </c>
      <c r="F1784" s="720" t="s">
        <v>146</v>
      </c>
      <c r="G1784" s="721">
        <f>IFERROR(VLOOKUP(D:D,'דוח ביצוע (3)'!$A$21:$C$900,2,0),0)</f>
        <v>0</v>
      </c>
      <c r="H1784" s="79"/>
      <c r="I1784" s="80" t="s">
        <v>150</v>
      </c>
      <c r="J1784" s="80"/>
      <c r="K1784" s="81"/>
      <c r="L1784" s="392"/>
      <c r="M1784" s="392"/>
      <c r="N1784" s="392"/>
      <c r="O1784" s="82"/>
      <c r="P1784" s="470"/>
      <c r="Q1784" s="471"/>
      <c r="R1784" s="472"/>
      <c r="S1784" s="883"/>
      <c r="T1784" s="884"/>
      <c r="U1784" s="486"/>
      <c r="V1784" s="487"/>
      <c r="W1784" s="487"/>
      <c r="X1784" s="487"/>
      <c r="Y1784" s="885"/>
      <c r="Z1784" s="83"/>
      <c r="AC1784" s="502"/>
      <c r="AD1784" s="503"/>
      <c r="AO1784" s="22"/>
      <c r="AP1784" s="22"/>
      <c r="AQ1784" s="22"/>
      <c r="AR1784" s="22"/>
      <c r="AS1784" s="22"/>
      <c r="AT1784" s="22"/>
      <c r="AU1784" s="35"/>
      <c r="AV1784" s="35"/>
      <c r="AW1784" s="35"/>
      <c r="AX1784" s="35"/>
      <c r="AY1784" s="35"/>
      <c r="AZ1784" s="35"/>
      <c r="BA1784" s="35"/>
      <c r="BB1784" s="35"/>
      <c r="BC1784" s="35"/>
      <c r="BD1784" s="35"/>
      <c r="BE1784" s="35"/>
      <c r="BF1784" s="35"/>
      <c r="BG1784" s="35"/>
      <c r="BH1784" s="35"/>
      <c r="BI1784" s="35"/>
      <c r="BJ1784" s="35"/>
      <c r="BK1784" s="35"/>
      <c r="BL1784" s="35"/>
      <c r="BM1784" s="35"/>
      <c r="BN1784" s="35"/>
      <c r="BO1784" s="78"/>
    </row>
    <row r="1785" spans="1:67" s="20" customFormat="1" ht="16.5" thickBot="1" x14ac:dyDescent="0.3">
      <c r="A1785" s="520">
        <f>IFERROR(VLOOKUP($G$5,'רשימת רשויות'!A:C,3,0),0)</f>
        <v>0</v>
      </c>
      <c r="B1785" s="520">
        <f t="shared" si="250"/>
        <v>0</v>
      </c>
      <c r="C1785" s="39"/>
      <c r="D1785" s="1134"/>
      <c r="E1785" s="1137"/>
      <c r="F1785" s="583" t="s">
        <v>145</v>
      </c>
      <c r="G1785" s="516" t="str">
        <f>IFERROR(IF((G1787+G1788)=0,"",IF(VLOOKUP(G1784,'דוח ביצוע (3)'!$B$21:$K$900,5,0)&gt;149,"גדול",IF(AND(VLOOKUP(G1784,'דוח ביצוע (3)'!$B$21:$K$900,5,0)&gt;0,VLOOKUP(G1784,'דוח ביצוע (3)'!$B$21:$K$900,5,0)&lt;150),"קטן",0))),"")</f>
        <v/>
      </c>
      <c r="H1785" s="723" t="s">
        <v>88</v>
      </c>
      <c r="I1785" s="723" t="s">
        <v>13</v>
      </c>
      <c r="J1785" s="725" t="s">
        <v>14</v>
      </c>
      <c r="K1785" s="724" t="s">
        <v>94</v>
      </c>
      <c r="L1785" s="594"/>
      <c r="M1785" s="420" t="s">
        <v>2584</v>
      </c>
      <c r="N1785" s="397" t="s">
        <v>413</v>
      </c>
      <c r="O1785" s="398" t="s">
        <v>52</v>
      </c>
      <c r="P1785" s="595"/>
      <c r="Q1785" s="595"/>
      <c r="R1785" s="596"/>
      <c r="S1785" s="610"/>
      <c r="T1785" s="881"/>
      <c r="U1785" s="598"/>
      <c r="V1785" s="599"/>
      <c r="W1785" s="599"/>
      <c r="X1785" s="599"/>
      <c r="Y1785" s="879"/>
      <c r="Z1785" s="85"/>
      <c r="AC1785" s="493"/>
      <c r="AD1785" s="495"/>
      <c r="AO1785" s="22"/>
      <c r="AP1785" s="22"/>
      <c r="AQ1785" s="22"/>
      <c r="AR1785" s="22"/>
      <c r="AS1785" s="22"/>
      <c r="AT1785" s="22"/>
      <c r="AU1785" s="35"/>
      <c r="AV1785" s="35"/>
      <c r="AW1785" s="35"/>
      <c r="AX1785" s="35"/>
      <c r="AY1785" s="35"/>
      <c r="AZ1785" s="35"/>
      <c r="BA1785" s="35"/>
      <c r="BB1785" s="35"/>
      <c r="BC1785" s="35"/>
      <c r="BD1785" s="35"/>
      <c r="BE1785" s="35"/>
      <c r="BF1785" s="35"/>
      <c r="BG1785" s="35"/>
      <c r="BH1785" s="35"/>
      <c r="BI1785" s="35"/>
      <c r="BJ1785" s="35"/>
      <c r="BK1785" s="35"/>
      <c r="BL1785" s="35"/>
      <c r="BM1785" s="35"/>
      <c r="BN1785" s="35"/>
      <c r="BO1785" s="78"/>
    </row>
    <row r="1786" spans="1:67" s="20" customFormat="1" ht="15.75" customHeight="1" thickBot="1" x14ac:dyDescent="0.3">
      <c r="A1786" s="520">
        <f>IFERROR(VLOOKUP($G$5,'רשימת רשויות'!A:C,3,0),0)</f>
        <v>0</v>
      </c>
      <c r="B1786" s="520">
        <f t="shared" si="250"/>
        <v>0</v>
      </c>
      <c r="C1786" s="39"/>
      <c r="D1786" s="1134"/>
      <c r="E1786" s="1137"/>
      <c r="F1786" s="584" t="s">
        <v>144</v>
      </c>
      <c r="G1786" s="87">
        <f>IF(G1789="תקין",IFERROR(VLOOKUP($G1784,'דוח ביצוע (3)'!$B$21:$Q$900,12,0),0),0)</f>
        <v>0</v>
      </c>
      <c r="H1786" s="88">
        <f>IFERROR(G1787*$AH$6+G1788*$AH$7,0)</f>
        <v>0</v>
      </c>
      <c r="I1786" s="88">
        <f>IFERROR(G1787*$AI$6+G1788*$AI$7,0)</f>
        <v>0</v>
      </c>
      <c r="J1786" s="88">
        <f>IFERROR(G1787*$AJ$6+G1788*$AJ$7,0)</f>
        <v>0</v>
      </c>
      <c r="K1786" s="88">
        <f>IFERROR(G1787*$AK$6+G1788*$AK$7,0)</f>
        <v>0</v>
      </c>
      <c r="L1786" s="405"/>
      <c r="M1786" s="399" t="s">
        <v>427</v>
      </c>
      <c r="N1786" s="400" t="str">
        <f>IFERROR(VLOOKUP($G1784,'דוח ביצוע (3)'!$B:$AE,28,0),"")</f>
        <v/>
      </c>
      <c r="O1786" s="89" t="str">
        <f>IFERROR(VLOOKUP($G1784,'דוח ביצוע (3)'!B:AE,29,0),"")</f>
        <v/>
      </c>
      <c r="P1786" s="595"/>
      <c r="Q1786" s="595"/>
      <c r="R1786" s="596"/>
      <c r="S1786" s="610"/>
      <c r="T1786" s="881"/>
      <c r="U1786" s="598"/>
      <c r="V1786" s="599"/>
      <c r="W1786" s="599"/>
      <c r="X1786" s="599"/>
      <c r="Y1786" s="879"/>
      <c r="Z1786" s="85"/>
      <c r="AC1786" s="493"/>
      <c r="AD1786" s="495"/>
      <c r="AO1786" s="22"/>
      <c r="AP1786" s="22"/>
      <c r="AQ1786" s="22"/>
      <c r="AR1786" s="22"/>
      <c r="AS1786" s="22"/>
      <c r="AT1786" s="22"/>
      <c r="AU1786" s="35"/>
      <c r="AV1786" s="35"/>
      <c r="AW1786" s="35"/>
      <c r="AX1786" s="35"/>
      <c r="AY1786" s="35"/>
      <c r="AZ1786" s="35"/>
      <c r="BA1786" s="35"/>
      <c r="BB1786" s="35"/>
      <c r="BC1786" s="35"/>
      <c r="BD1786" s="35"/>
      <c r="BE1786" s="35"/>
      <c r="BF1786" s="35"/>
      <c r="BG1786" s="35"/>
      <c r="BH1786" s="35"/>
      <c r="BI1786" s="35"/>
      <c r="BJ1786" s="35"/>
      <c r="BK1786" s="35"/>
      <c r="BL1786" s="35"/>
      <c r="BM1786" s="35"/>
      <c r="BN1786" s="35"/>
      <c r="BO1786" s="78"/>
    </row>
    <row r="1787" spans="1:67" s="20" customFormat="1" ht="32.25" thickBot="1" x14ac:dyDescent="0.3">
      <c r="A1787" s="520">
        <f>IFERROR(VLOOKUP($G$5,'רשימת רשויות'!A:C,3,0),0)</f>
        <v>0</v>
      </c>
      <c r="B1787" s="520">
        <f t="shared" si="250"/>
        <v>0</v>
      </c>
      <c r="C1787" s="39"/>
      <c r="D1787" s="1134"/>
      <c r="E1787" s="1137"/>
      <c r="F1787" s="585" t="s">
        <v>2195</v>
      </c>
      <c r="G1787" s="89">
        <f>IF(G1789="תקין",MAX(N1789,0),0)</f>
        <v>0</v>
      </c>
      <c r="H1787" s="725" t="s">
        <v>151</v>
      </c>
      <c r="I1787" s="725" t="s">
        <v>91</v>
      </c>
      <c r="J1787" s="970" t="s">
        <v>3396</v>
      </c>
      <c r="K1787" s="601"/>
      <c r="L1787" s="601"/>
      <c r="M1787" s="983" t="s">
        <v>2585</v>
      </c>
      <c r="N1787" s="400" t="str">
        <f>IFERROR(G1786/15*N1786*1.25,"")</f>
        <v/>
      </c>
      <c r="O1787" s="89" t="str">
        <f>IFERROR(G1786/15*O1786*1.25,"")</f>
        <v/>
      </c>
      <c r="P1787" s="595"/>
      <c r="Q1787" s="595"/>
      <c r="R1787" s="596"/>
      <c r="S1787" s="610"/>
      <c r="T1787" s="881"/>
      <c r="U1787" s="598"/>
      <c r="V1787" s="599"/>
      <c r="W1787" s="599"/>
      <c r="X1787" s="599"/>
      <c r="Y1787" s="879"/>
      <c r="Z1787" s="85"/>
      <c r="AC1787" s="493"/>
      <c r="AD1787" s="495"/>
      <c r="AG1787" s="22"/>
      <c r="AH1787" s="55"/>
      <c r="AI1787" s="55"/>
      <c r="AJ1787" s="55"/>
      <c r="AK1787" s="55"/>
      <c r="AO1787" s="22"/>
      <c r="AP1787" s="22"/>
      <c r="AQ1787" s="22"/>
      <c r="AR1787" s="22"/>
      <c r="AS1787" s="22"/>
      <c r="AT1787" s="22"/>
      <c r="AU1787" s="35"/>
      <c r="AV1787" s="35"/>
      <c r="AW1787" s="35"/>
      <c r="AX1787" s="35"/>
      <c r="AY1787" s="35"/>
      <c r="AZ1787" s="35"/>
      <c r="BA1787" s="35"/>
      <c r="BB1787" s="35"/>
      <c r="BC1787" s="35"/>
      <c r="BD1787" s="35"/>
      <c r="BE1787" s="35"/>
      <c r="BF1787" s="35"/>
      <c r="BG1787" s="35"/>
      <c r="BH1787" s="35"/>
      <c r="BI1787" s="35"/>
      <c r="BJ1787" s="35"/>
      <c r="BK1787" s="35"/>
      <c r="BL1787" s="35"/>
      <c r="BM1787" s="35"/>
      <c r="BN1787" s="35"/>
      <c r="BO1787" s="86"/>
    </row>
    <row r="1788" spans="1:67" s="20" customFormat="1" ht="16.5" thickBot="1" x14ac:dyDescent="0.3">
      <c r="A1788" s="520">
        <f>IFERROR(VLOOKUP($G$5,'רשימת רשויות'!A:C,3,0),0)</f>
        <v>0</v>
      </c>
      <c r="B1788" s="520">
        <f t="shared" si="250"/>
        <v>0</v>
      </c>
      <c r="C1788" s="39"/>
      <c r="D1788" s="1134"/>
      <c r="E1788" s="1137"/>
      <c r="F1788" s="585" t="s">
        <v>2196</v>
      </c>
      <c r="G1788" s="89">
        <f>IF(G1789="תקין",MAX(O1789,0),0)</f>
        <v>0</v>
      </c>
      <c r="H1788" s="88">
        <f>(IFERROR(IF((G1787+G1788)=0,0,IF(G1785="קטן",G1786*$AH$10,G1786*$AH$11)),0))+(IFERROR(IF((G1787+G1788)=0,0,VLOOKUP(G1784,'דוח ביצוע (3)'!$B:$AH,33,0)),0))</f>
        <v>0</v>
      </c>
      <c r="I1788" s="88">
        <f>IFERROR(IF((G1787+G1788)=0,0,IF(G1785="קטן",G1786*$AI$10,G1786*$AI$11)),0)</f>
        <v>0</v>
      </c>
      <c r="J1788" s="88">
        <f>IFERROR(IF((G1787+G1788)=0,0,VLOOKUP(G1784,'דוח ביצוע (3)'!$B:$AH,32,0)),0)</f>
        <v>0</v>
      </c>
      <c r="K1788" s="90"/>
      <c r="L1788" s="90"/>
      <c r="M1788" s="399" t="s">
        <v>412</v>
      </c>
      <c r="N1788" s="400">
        <f>IFERROR(VLOOKUP($G1784,'דוח ביצוע (3)'!$B$21:$U$500,18,0),0)</f>
        <v>0</v>
      </c>
      <c r="O1788" s="401">
        <f>IFERROR(VLOOKUP($G1784,'דוח ביצוע (3)'!$B$21:$U$500,19,0),0)</f>
        <v>0</v>
      </c>
      <c r="P1788" s="595"/>
      <c r="Q1788" s="595"/>
      <c r="R1788" s="596"/>
      <c r="S1788" s="610"/>
      <c r="T1788" s="881"/>
      <c r="U1788" s="598"/>
      <c r="V1788" s="599"/>
      <c r="W1788" s="599"/>
      <c r="X1788" s="599"/>
      <c r="Y1788" s="879"/>
      <c r="Z1788" s="85"/>
      <c r="AC1788" s="493"/>
      <c r="AD1788" s="495"/>
      <c r="AG1788" s="22"/>
      <c r="AH1788" s="55"/>
      <c r="AI1788" s="55"/>
      <c r="AJ1788" s="55"/>
      <c r="AK1788" s="55"/>
      <c r="AO1788" s="22"/>
      <c r="AP1788" s="22"/>
      <c r="AQ1788" s="22"/>
      <c r="AR1788" s="22"/>
      <c r="AS1788" s="22"/>
      <c r="AT1788" s="22"/>
      <c r="AU1788" s="35"/>
      <c r="AV1788" s="35"/>
      <c r="AW1788" s="35"/>
      <c r="AX1788" s="35"/>
      <c r="AY1788" s="35"/>
      <c r="AZ1788" s="35"/>
      <c r="BA1788" s="35"/>
      <c r="BB1788" s="35"/>
      <c r="BC1788" s="35"/>
      <c r="BD1788" s="35"/>
      <c r="BE1788" s="35"/>
      <c r="BF1788" s="35"/>
      <c r="BG1788" s="35"/>
      <c r="BH1788" s="35"/>
      <c r="BI1788" s="35"/>
      <c r="BJ1788" s="35"/>
      <c r="BK1788" s="35"/>
      <c r="BL1788" s="35"/>
      <c r="BM1788" s="35"/>
      <c r="BN1788" s="35"/>
      <c r="BO1788" s="86"/>
    </row>
    <row r="1789" spans="1:67" s="20" customFormat="1" ht="16.5" thickBot="1" x14ac:dyDescent="0.3">
      <c r="A1789" s="520">
        <f>IFERROR(VLOOKUP($G$5,'רשימת רשויות'!A:C,3,0),0)</f>
        <v>0</v>
      </c>
      <c r="B1789" s="520">
        <f t="shared" si="250"/>
        <v>0</v>
      </c>
      <c r="C1789" s="39"/>
      <c r="D1789" s="1134"/>
      <c r="E1789" s="1137"/>
      <c r="F1789" s="586" t="s">
        <v>2355</v>
      </c>
      <c r="G1789" s="514">
        <f>IFERROR(IF(VLOOKUP('בית ספר - תקצוב לפי מוסד (9)'!G1784,' איוש משרות (8)'!$C:$K,9,0)="תקין","תקין","לא תקין"),0)</f>
        <v>0</v>
      </c>
      <c r="H1789" s="91"/>
      <c r="I1789" s="91"/>
      <c r="J1789" s="91"/>
      <c r="K1789" s="90"/>
      <c r="L1789" s="90"/>
      <c r="M1789" s="402" t="s">
        <v>2586</v>
      </c>
      <c r="N1789" s="403">
        <f>IFERROR(MIN(N1787,N1788),0)</f>
        <v>0</v>
      </c>
      <c r="O1789" s="404">
        <f>IFERROR(MIN(O1787,O1788),0)</f>
        <v>0</v>
      </c>
      <c r="P1789" s="595"/>
      <c r="Q1789" s="595"/>
      <c r="R1789" s="596"/>
      <c r="S1789" s="610"/>
      <c r="T1789" s="881"/>
      <c r="U1789" s="598"/>
      <c r="V1789" s="599"/>
      <c r="W1789" s="599"/>
      <c r="X1789" s="599"/>
      <c r="Y1789" s="879"/>
      <c r="Z1789" s="85"/>
      <c r="AC1789" s="493"/>
      <c r="AD1789" s="495"/>
      <c r="AG1789" s="94"/>
      <c r="AH1789" s="40"/>
      <c r="AI1789" s="40"/>
      <c r="AJ1789" s="40"/>
      <c r="AK1789" s="40"/>
      <c r="AO1789" s="22"/>
      <c r="AP1789" s="22"/>
      <c r="AQ1789" s="22"/>
      <c r="AR1789" s="22"/>
      <c r="AS1789" s="22"/>
      <c r="AT1789" s="22"/>
      <c r="AU1789" s="35"/>
      <c r="AV1789" s="35"/>
      <c r="AW1789" s="35"/>
      <c r="AX1789" s="35"/>
      <c r="AY1789" s="35"/>
      <c r="AZ1789" s="35"/>
      <c r="BA1789" s="35"/>
      <c r="BB1789" s="35"/>
      <c r="BC1789" s="35"/>
      <c r="BD1789" s="35"/>
      <c r="BE1789" s="35"/>
      <c r="BF1789" s="35"/>
      <c r="BG1789" s="35"/>
      <c r="BH1789" s="35"/>
      <c r="BI1789" s="35"/>
      <c r="BJ1789" s="35"/>
      <c r="BK1789" s="35"/>
      <c r="BL1789" s="35"/>
      <c r="BM1789" s="35"/>
      <c r="BN1789" s="35"/>
      <c r="BO1789" s="86"/>
    </row>
    <row r="1790" spans="1:67" s="55" customFormat="1" ht="37.15" customHeight="1" thickBot="1" x14ac:dyDescent="0.3">
      <c r="A1790" s="520">
        <f>IFERROR(VLOOKUP($G$5,'רשימת רשויות'!A:C,3,0),0)</f>
        <v>0</v>
      </c>
      <c r="B1790" s="520">
        <f t="shared" si="250"/>
        <v>0</v>
      </c>
      <c r="C1790" s="39"/>
      <c r="D1790" s="1134"/>
      <c r="E1790" s="1137"/>
      <c r="F1790" s="587" t="s">
        <v>142</v>
      </c>
      <c r="G1790" s="92"/>
      <c r="H1790" s="92"/>
      <c r="I1790" s="92"/>
      <c r="J1790" s="92"/>
      <c r="K1790" s="602"/>
      <c r="L1790" s="602"/>
      <c r="M1790" s="602"/>
      <c r="N1790" s="602"/>
      <c r="O1790" s="602"/>
      <c r="P1790" s="595"/>
      <c r="Q1790" s="595"/>
      <c r="R1790" s="596"/>
      <c r="S1790" s="610"/>
      <c r="T1790" s="881"/>
      <c r="U1790" s="598"/>
      <c r="V1790" s="599"/>
      <c r="W1790" s="599"/>
      <c r="X1790" s="599"/>
      <c r="Y1790" s="879"/>
      <c r="Z1790" s="93"/>
      <c r="AC1790" s="493"/>
      <c r="AD1790" s="495"/>
      <c r="AF1790" s="22"/>
      <c r="AG1790" s="98"/>
      <c r="AH1790" s="98"/>
      <c r="AI1790" s="40"/>
      <c r="AJ1790" s="40"/>
      <c r="AK1790" s="40"/>
      <c r="AO1790" s="22"/>
      <c r="AP1790" s="22"/>
      <c r="AQ1790" s="22"/>
      <c r="AR1790" s="22"/>
      <c r="AS1790" s="22"/>
      <c r="AT1790" s="22"/>
      <c r="AU1790" s="35"/>
      <c r="AV1790" s="35"/>
      <c r="AW1790" s="35"/>
      <c r="AX1790" s="35"/>
      <c r="AY1790" s="35"/>
      <c r="AZ1790" s="35"/>
      <c r="BA1790" s="35"/>
      <c r="BB1790" s="35"/>
      <c r="BC1790" s="35"/>
      <c r="BD1790" s="35"/>
      <c r="BE1790" s="35"/>
      <c r="BF1790" s="35"/>
      <c r="BG1790" s="35"/>
      <c r="BH1790" s="35"/>
      <c r="BI1790" s="35"/>
      <c r="BJ1790" s="35"/>
      <c r="BK1790" s="35"/>
      <c r="BL1790" s="35"/>
      <c r="BM1790" s="35"/>
      <c r="BN1790" s="35"/>
      <c r="BO1790" s="86"/>
    </row>
    <row r="1791" spans="1:67" s="40" customFormat="1" ht="31.5" x14ac:dyDescent="0.25">
      <c r="A1791" s="520">
        <f>IFERROR(VLOOKUP($G$5,'רשימת רשויות'!A:C,3,0),0)</f>
        <v>0</v>
      </c>
      <c r="B1791" s="520">
        <f t="shared" si="250"/>
        <v>0</v>
      </c>
      <c r="C1791" s="39"/>
      <c r="D1791" s="1134"/>
      <c r="E1791" s="1137"/>
      <c r="F1791" s="588" t="s">
        <v>94</v>
      </c>
      <c r="G1791" s="95" t="s">
        <v>18</v>
      </c>
      <c r="H1791" s="95" t="s">
        <v>19</v>
      </c>
      <c r="I1791" s="95" t="s">
        <v>138</v>
      </c>
      <c r="J1791" s="96" t="s">
        <v>139</v>
      </c>
      <c r="K1791" s="603"/>
      <c r="L1791" s="603"/>
      <c r="M1791" s="603"/>
      <c r="N1791" s="603"/>
      <c r="O1791" s="603"/>
      <c r="P1791" s="604"/>
      <c r="Q1791" s="604"/>
      <c r="R1791" s="596"/>
      <c r="S1791" s="610"/>
      <c r="T1791" s="881"/>
      <c r="U1791" s="598"/>
      <c r="V1791" s="599"/>
      <c r="W1791" s="599"/>
      <c r="X1791" s="599"/>
      <c r="Y1791" s="879"/>
      <c r="Z1791" s="97"/>
      <c r="AA1791" s="94"/>
      <c r="AB1791" s="94"/>
      <c r="AC1791" s="493"/>
      <c r="AD1791" s="495"/>
      <c r="AE1791" s="94"/>
      <c r="AG1791" s="98"/>
      <c r="AH1791" s="98"/>
      <c r="AO1791" s="22"/>
      <c r="AP1791" s="22"/>
      <c r="AQ1791" s="22"/>
      <c r="AR1791" s="22"/>
      <c r="AS1791" s="22"/>
      <c r="AT1791" s="22"/>
      <c r="AU1791" s="35"/>
      <c r="AV1791" s="35"/>
      <c r="AW1791" s="35"/>
      <c r="AX1791" s="35"/>
      <c r="AY1791" s="35"/>
      <c r="AZ1791" s="35"/>
      <c r="BA1791" s="35"/>
      <c r="BB1791" s="35"/>
      <c r="BC1791" s="35"/>
      <c r="BD1791" s="35"/>
      <c r="BE1791" s="35"/>
      <c r="BF1791" s="35"/>
      <c r="BG1791" s="35"/>
      <c r="BH1791" s="35"/>
      <c r="BI1791" s="35"/>
      <c r="BJ1791" s="35"/>
      <c r="BK1791" s="35"/>
      <c r="BL1791" s="35"/>
      <c r="BM1791" s="35"/>
      <c r="BN1791" s="35"/>
      <c r="BO1791" s="86"/>
    </row>
    <row r="1792" spans="1:67" s="40" customFormat="1" ht="15.75" customHeight="1" thickBot="1" x14ac:dyDescent="0.3">
      <c r="A1792" s="520">
        <f>IFERROR(VLOOKUP($G$5,'רשימת רשויות'!A:C,3,0),0)</f>
        <v>0</v>
      </c>
      <c r="B1792" s="520">
        <f t="shared" si="250"/>
        <v>0</v>
      </c>
      <c r="C1792" s="39"/>
      <c r="D1792" s="1134"/>
      <c r="E1792" s="1137"/>
      <c r="F1792" s="589" t="s">
        <v>2280</v>
      </c>
      <c r="G1792" s="99">
        <f>+G1803</f>
        <v>0</v>
      </c>
      <c r="H1792" s="100">
        <f>K1786</f>
        <v>0</v>
      </c>
      <c r="I1792" s="100">
        <f>H1792-I1794</f>
        <v>0</v>
      </c>
      <c r="J1792" s="101">
        <f>IFERROR(I1792/H1792,0)</f>
        <v>0</v>
      </c>
      <c r="K1792" s="603"/>
      <c r="L1792" s="603"/>
      <c r="M1792" s="603"/>
      <c r="N1792" s="603"/>
      <c r="O1792" s="603"/>
      <c r="P1792" s="605"/>
      <c r="Q1792" s="604"/>
      <c r="R1792" s="606" t="s">
        <v>157</v>
      </c>
      <c r="S1792" s="611"/>
      <c r="T1792" s="881"/>
      <c r="U1792" s="598"/>
      <c r="V1792" s="599"/>
      <c r="W1792" s="599"/>
      <c r="X1792" s="599"/>
      <c r="Y1792" s="879"/>
      <c r="Z1792" s="102"/>
      <c r="AA1792" s="122"/>
      <c r="AB1792" s="122"/>
      <c r="AC1792" s="493"/>
      <c r="AD1792" s="495"/>
      <c r="AE1792" s="122"/>
      <c r="AF1792" s="22"/>
      <c r="AG1792" s="98"/>
      <c r="AH1792" s="98"/>
      <c r="AI1792" s="20"/>
      <c r="AO1792" s="22"/>
      <c r="AP1792" s="22"/>
      <c r="AQ1792" s="22"/>
      <c r="AR1792" s="22"/>
      <c r="AS1792" s="22"/>
      <c r="AT1792" s="22"/>
      <c r="AU1792" s="35"/>
      <c r="AV1792" s="35"/>
      <c r="AW1792" s="35"/>
      <c r="AX1792" s="35"/>
      <c r="AY1792" s="35"/>
      <c r="AZ1792" s="35"/>
      <c r="BA1792" s="35"/>
      <c r="BB1792" s="35"/>
      <c r="BC1792" s="35"/>
      <c r="BD1792" s="35"/>
      <c r="BE1792" s="35"/>
      <c r="BF1792" s="35"/>
      <c r="BG1792" s="35"/>
      <c r="BH1792" s="35"/>
      <c r="BI1792" s="35"/>
      <c r="BJ1792" s="35"/>
      <c r="BK1792" s="35"/>
      <c r="BL1792" s="35"/>
      <c r="BM1792" s="35"/>
      <c r="BN1792" s="35"/>
      <c r="BO1792" s="86"/>
    </row>
    <row r="1793" spans="1:67" s="40" customFormat="1" ht="15.75" customHeight="1" thickBot="1" x14ac:dyDescent="0.3">
      <c r="A1793" s="520">
        <f>IFERROR(VLOOKUP($G$5,'רשימת רשויות'!A:C,3,0),0)</f>
        <v>0</v>
      </c>
      <c r="B1793" s="520">
        <f t="shared" si="250"/>
        <v>0</v>
      </c>
      <c r="C1793" s="39"/>
      <c r="D1793" s="1134"/>
      <c r="E1793" s="1137"/>
      <c r="F1793" s="589" t="s">
        <v>2281</v>
      </c>
      <c r="G1793" s="99">
        <f>+G1802</f>
        <v>0</v>
      </c>
      <c r="H1793" s="103"/>
      <c r="I1793" s="104"/>
      <c r="J1793" s="105"/>
      <c r="K1793" s="603"/>
      <c r="L1793" s="603"/>
      <c r="M1793" s="603"/>
      <c r="N1793" s="603"/>
      <c r="O1793" s="603"/>
      <c r="P1793" s="605"/>
      <c r="Q1793" s="604"/>
      <c r="R1793" s="473">
        <f>I1794-R1795</f>
        <v>0</v>
      </c>
      <c r="S1793" s="611"/>
      <c r="T1793" s="881"/>
      <c r="U1793" s="598"/>
      <c r="V1793" s="599"/>
      <c r="W1793" s="599"/>
      <c r="X1793" s="599"/>
      <c r="Y1793" s="879"/>
      <c r="Z1793" s="106"/>
      <c r="AA1793" s="22"/>
      <c r="AB1793" s="22"/>
      <c r="AC1793" s="493"/>
      <c r="AD1793" s="495"/>
      <c r="AE1793" s="22"/>
      <c r="AF1793" s="22"/>
      <c r="AG1793" s="98"/>
      <c r="AH1793" s="98"/>
      <c r="AI1793" s="20"/>
      <c r="AO1793" s="22"/>
      <c r="AP1793" s="22"/>
      <c r="AQ1793" s="22"/>
      <c r="AR1793" s="22"/>
      <c r="AS1793" s="22"/>
      <c r="AT1793" s="22"/>
      <c r="AU1793" s="35"/>
      <c r="AV1793" s="35"/>
      <c r="AW1793" s="35"/>
      <c r="AX1793" s="35"/>
      <c r="AY1793" s="35"/>
      <c r="AZ1793" s="35"/>
      <c r="BA1793" s="35"/>
      <c r="BB1793" s="35"/>
      <c r="BC1793" s="35"/>
      <c r="BD1793" s="35"/>
      <c r="BE1793" s="35"/>
      <c r="BF1793" s="35"/>
      <c r="BG1793" s="35"/>
      <c r="BH1793" s="35"/>
      <c r="BI1793" s="35"/>
      <c r="BJ1793" s="35"/>
      <c r="BK1793" s="35"/>
      <c r="BL1793" s="35"/>
      <c r="BM1793" s="35"/>
      <c r="BN1793" s="35"/>
      <c r="BO1793" s="86"/>
    </row>
    <row r="1794" spans="1:67" s="40" customFormat="1" ht="16.5" customHeight="1" thickBot="1" x14ac:dyDescent="0.3">
      <c r="A1794" s="520">
        <f>IFERROR(VLOOKUP($G$5,'רשימת רשויות'!A:C,3,0),0)</f>
        <v>0</v>
      </c>
      <c r="B1794" s="520">
        <f t="shared" si="250"/>
        <v>0</v>
      </c>
      <c r="C1794" s="39"/>
      <c r="D1794" s="1134"/>
      <c r="E1794" s="1137"/>
      <c r="F1794" s="589" t="s">
        <v>2282</v>
      </c>
      <c r="G1794" s="99">
        <f>G1798+G1799+G1800</f>
        <v>0</v>
      </c>
      <c r="H1794" s="104"/>
      <c r="I1794" s="107">
        <f>MAX(H1792-G1792-G1793,0)</f>
        <v>0</v>
      </c>
      <c r="J1794" s="108">
        <f>IFERROR(I1794/H1792,0)</f>
        <v>0</v>
      </c>
      <c r="K1794" s="603"/>
      <c r="L1794" s="603"/>
      <c r="M1794" s="603"/>
      <c r="N1794" s="603"/>
      <c r="O1794" s="603"/>
      <c r="P1794" s="604"/>
      <c r="Q1794" s="604"/>
      <c r="R1794" s="606" t="s">
        <v>158</v>
      </c>
      <c r="S1794" s="612"/>
      <c r="T1794" s="881"/>
      <c r="U1794" s="598"/>
      <c r="V1794" s="599"/>
      <c r="W1794" s="599"/>
      <c r="X1794" s="599"/>
      <c r="Y1794" s="879"/>
      <c r="Z1794" s="106"/>
      <c r="AA1794" s="22"/>
      <c r="AB1794" s="22"/>
      <c r="AC1794" s="493"/>
      <c r="AD1794" s="495"/>
      <c r="AE1794" s="22"/>
      <c r="AF1794" s="22"/>
      <c r="AG1794" s="22"/>
      <c r="AH1794" s="22"/>
      <c r="AI1794" s="55"/>
      <c r="AJ1794" s="22"/>
      <c r="AK1794" s="22"/>
      <c r="AO1794" s="22"/>
      <c r="AP1794" s="22"/>
      <c r="AQ1794" s="22"/>
      <c r="AR1794" s="22"/>
      <c r="AS1794" s="22"/>
      <c r="AT1794" s="22"/>
      <c r="AU1794" s="35"/>
      <c r="AV1794" s="35"/>
      <c r="AW1794" s="35"/>
      <c r="AX1794" s="35"/>
      <c r="AY1794" s="35"/>
      <c r="AZ1794" s="35"/>
      <c r="BA1794" s="35"/>
      <c r="BB1794" s="35"/>
      <c r="BC1794" s="35"/>
      <c r="BD1794" s="35"/>
      <c r="BE1794" s="35"/>
      <c r="BF1794" s="35"/>
      <c r="BG1794" s="35"/>
      <c r="BH1794" s="35"/>
      <c r="BI1794" s="35"/>
      <c r="BJ1794" s="35"/>
      <c r="BK1794" s="35"/>
      <c r="BL1794" s="35"/>
      <c r="BM1794" s="35"/>
      <c r="BN1794" s="35"/>
      <c r="BO1794" s="86"/>
    </row>
    <row r="1795" spans="1:67" s="40" customFormat="1" ht="15.75" customHeight="1" thickBot="1" x14ac:dyDescent="0.3">
      <c r="A1795" s="520">
        <f>IFERROR(VLOOKUP($G$5,'רשימת רשויות'!A:C,3,0),0)</f>
        <v>0</v>
      </c>
      <c r="B1795" s="520">
        <f t="shared" si="250"/>
        <v>0</v>
      </c>
      <c r="C1795" s="39"/>
      <c r="D1795" s="1134"/>
      <c r="E1795" s="1137"/>
      <c r="F1795" s="590" t="s">
        <v>2290</v>
      </c>
      <c r="G1795" s="109"/>
      <c r="H1795" s="110"/>
      <c r="I1795" s="111">
        <f>SUM(I1792:I1794)</f>
        <v>0</v>
      </c>
      <c r="J1795" s="112">
        <f>SUM(J1792:J1794)</f>
        <v>0</v>
      </c>
      <c r="K1795" s="603"/>
      <c r="L1795" s="603"/>
      <c r="M1795" s="603"/>
      <c r="N1795" s="603"/>
      <c r="O1795" s="603"/>
      <c r="P1795" s="604"/>
      <c r="Q1795" s="604"/>
      <c r="R1795" s="473">
        <f>MIN(MAX(G1799+G1800-I1788-J1788,0),I1794)</f>
        <v>0</v>
      </c>
      <c r="S1795" s="612"/>
      <c r="T1795" s="881"/>
      <c r="U1795" s="598"/>
      <c r="V1795" s="599"/>
      <c r="W1795" s="599"/>
      <c r="X1795" s="599"/>
      <c r="Y1795" s="879"/>
      <c r="Z1795" s="106"/>
      <c r="AA1795" s="22"/>
      <c r="AB1795" s="22"/>
      <c r="AC1795" s="493"/>
      <c r="AD1795" s="495"/>
      <c r="AE1795" s="22"/>
      <c r="AF1795" s="22"/>
      <c r="AG1795" s="22"/>
      <c r="AH1795" s="22"/>
      <c r="AJ1795" s="22"/>
      <c r="AK1795" s="22"/>
      <c r="AO1795" s="22"/>
      <c r="AP1795" s="22"/>
      <c r="AQ1795" s="22"/>
      <c r="AR1795" s="22"/>
      <c r="AS1795" s="22"/>
      <c r="AT1795" s="22"/>
      <c r="AU1795" s="35"/>
      <c r="AV1795" s="35"/>
      <c r="AW1795" s="35"/>
      <c r="AX1795" s="35"/>
      <c r="AY1795" s="35"/>
      <c r="AZ1795" s="35"/>
      <c r="BA1795" s="35"/>
      <c r="BB1795" s="35"/>
      <c r="BC1795" s="35"/>
      <c r="BD1795" s="35"/>
      <c r="BE1795" s="35"/>
      <c r="BF1795" s="35"/>
      <c r="BG1795" s="35"/>
      <c r="BH1795" s="35"/>
      <c r="BI1795" s="35"/>
      <c r="BJ1795" s="35"/>
      <c r="BK1795" s="35"/>
      <c r="BL1795" s="35"/>
      <c r="BM1795" s="35"/>
      <c r="BN1795" s="35"/>
      <c r="BO1795" s="86"/>
    </row>
    <row r="1796" spans="1:67" ht="16.5" thickBot="1" x14ac:dyDescent="0.3">
      <c r="A1796" s="520">
        <f>IFERROR(VLOOKUP($G$5,'רשימת רשויות'!A:C,3,0),0)</f>
        <v>0</v>
      </c>
      <c r="B1796" s="520">
        <f t="shared" si="250"/>
        <v>0</v>
      </c>
      <c r="D1796" s="1134"/>
      <c r="E1796" s="1137"/>
      <c r="F1796" s="587" t="s">
        <v>17</v>
      </c>
      <c r="G1796" s="113"/>
      <c r="H1796" s="92"/>
      <c r="I1796" s="114"/>
      <c r="J1796" s="115"/>
      <c r="K1796" s="116"/>
      <c r="L1796" s="406"/>
      <c r="M1796" s="116"/>
      <c r="N1796" s="116"/>
      <c r="O1796" s="116"/>
      <c r="P1796" s="474"/>
      <c r="Q1796" s="607"/>
      <c r="R1796" s="608"/>
      <c r="S1796" s="612"/>
      <c r="T1796" s="881"/>
      <c r="U1796" s="598"/>
      <c r="V1796" s="599"/>
      <c r="W1796" s="599"/>
      <c r="X1796" s="599"/>
      <c r="Y1796" s="879"/>
      <c r="Z1796" s="106"/>
      <c r="AI1796" s="40"/>
      <c r="BO1796" s="86"/>
    </row>
    <row r="1797" spans="1:67" ht="47.25" x14ac:dyDescent="0.25">
      <c r="A1797" s="520">
        <f>IFERROR(VLOOKUP($G$5,'רשימת רשויות'!A:C,3,0),0)</f>
        <v>0</v>
      </c>
      <c r="B1797" s="520">
        <f t="shared" si="250"/>
        <v>0</v>
      </c>
      <c r="D1797" s="1134"/>
      <c r="E1797" s="1137"/>
      <c r="F1797" s="588" t="s">
        <v>2</v>
      </c>
      <c r="G1797" s="95" t="s">
        <v>18</v>
      </c>
      <c r="H1797" s="95" t="s">
        <v>19</v>
      </c>
      <c r="I1797" s="95" t="s">
        <v>20</v>
      </c>
      <c r="J1797" s="95" t="s">
        <v>22</v>
      </c>
      <c r="K1797" s="96" t="s">
        <v>2314</v>
      </c>
      <c r="L1797" s="609"/>
      <c r="M1797" s="609"/>
      <c r="N1797" s="609"/>
      <c r="O1797" s="580"/>
      <c r="P1797" s="618" t="s">
        <v>2298</v>
      </c>
      <c r="Q1797" s="618" t="s">
        <v>2299</v>
      </c>
      <c r="R1797" s="596"/>
      <c r="S1797" s="890" t="s">
        <v>2519</v>
      </c>
      <c r="T1797" s="890" t="s">
        <v>97</v>
      </c>
      <c r="U1797" s="891" t="s">
        <v>2521</v>
      </c>
      <c r="V1797" s="892" t="s">
        <v>2520</v>
      </c>
      <c r="W1797" s="893" t="s">
        <v>2524</v>
      </c>
      <c r="X1797" s="892" t="s">
        <v>2522</v>
      </c>
      <c r="Y1797" s="894" t="s">
        <v>2523</v>
      </c>
      <c r="Z1797" s="106"/>
      <c r="AC1797" s="498" t="s">
        <v>2568</v>
      </c>
      <c r="AD1797" s="499" t="s">
        <v>2569</v>
      </c>
      <c r="AF1797" s="122"/>
      <c r="AI1797" s="40"/>
      <c r="BO1797" s="86"/>
    </row>
    <row r="1798" spans="1:67" ht="15" customHeight="1" thickBot="1" x14ac:dyDescent="0.3">
      <c r="A1798" s="520">
        <f>IFERROR(VLOOKUP($G$5,'רשימת רשויות'!A:C,3,0),0)</f>
        <v>0</v>
      </c>
      <c r="B1798" s="520">
        <f t="shared" si="250"/>
        <v>0</v>
      </c>
      <c r="D1798" s="1134"/>
      <c r="E1798" s="1137"/>
      <c r="F1798" s="589" t="s">
        <v>76</v>
      </c>
      <c r="G1798" s="117">
        <f>IF(G1789="תקין",SUMIF('עלויות כח אדם (6)'!$B$15:$B$3014,'בית ספר - תקצוב לפי מוסד (9)'!$G1784,'עלויות כח אדם (6)'!$M$15:$M$3014)-VLOOKUP('בית ספר - תקצוב לפי מוסד (9)'!G1784,' איוש משרות (8)'!$C:$H,5,0)-VLOOKUP('בית ספר - תקצוב לפי מוסד (9)'!G1784,' איוש משרות (8)'!$C:$H,6,0),0)-Y1798</f>
        <v>0</v>
      </c>
      <c r="H1798" s="118">
        <f>I1786+R1793</f>
        <v>0</v>
      </c>
      <c r="I1798" s="119">
        <f>IFERROR(SUM(G1798)/H1798,0)</f>
        <v>0</v>
      </c>
      <c r="J1798" s="100">
        <f>MIN(I1786+R1793,IF(ISNUMBER(G1798),G1798,0))</f>
        <v>0</v>
      </c>
      <c r="K1798" s="120">
        <f>MAX(H1798-G1798,0)</f>
        <v>0</v>
      </c>
      <c r="L1798" s="407"/>
      <c r="M1798" s="393"/>
      <c r="N1798" s="393"/>
      <c r="O1798" s="580"/>
      <c r="P1798" s="968">
        <f>IFERROR(IF(SUM(G1798)/(I1786)&lt;100%,MIN((I1786)-SUM(G1798),(I1786)*0.25),0),0)</f>
        <v>0</v>
      </c>
      <c r="Q1798" s="968">
        <f>IF(SUM(G1798)-(I1786+R1793)&gt;0,SUM(G1798)-(I1786+R1793),0)</f>
        <v>0</v>
      </c>
      <c r="R1798" s="596" t="s">
        <v>2351</v>
      </c>
      <c r="S1798" s="576" t="s">
        <v>2342</v>
      </c>
      <c r="T1798" s="599">
        <f>G1784</f>
        <v>0</v>
      </c>
      <c r="U1798" s="578"/>
      <c r="V1798" s="579">
        <f>G1798+G1799+G1800</f>
        <v>0</v>
      </c>
      <c r="W1798" s="579">
        <f>U1798-V1798</f>
        <v>0</v>
      </c>
      <c r="X1798" s="579">
        <f>IFERROR(W1812*W1798/(SUM(W1798:W1811)),0)</f>
        <v>0</v>
      </c>
      <c r="Y1798" s="879">
        <f>SUMIFS(בקרה!$S:$S,בקרה!$D:$D,T1798,בקרה!$K:$K,S1798)</f>
        <v>0</v>
      </c>
      <c r="Z1798" s="121"/>
      <c r="AA1798" s="143"/>
      <c r="AB1798" s="143"/>
      <c r="AC1798" s="504">
        <v>0</v>
      </c>
      <c r="AD1798" s="505">
        <f>IFERROR(U1798-AC1798,0)</f>
        <v>0</v>
      </c>
      <c r="AE1798" s="143"/>
      <c r="AI1798" s="20"/>
      <c r="BO1798" s="86"/>
    </row>
    <row r="1799" spans="1:67" ht="15" customHeight="1" thickBot="1" x14ac:dyDescent="0.3">
      <c r="A1799" s="520">
        <f>IFERROR(VLOOKUP($G$5,'רשימת רשויות'!A:C,3,0),0)</f>
        <v>0</v>
      </c>
      <c r="B1799" s="520">
        <f t="shared" si="250"/>
        <v>0</v>
      </c>
      <c r="D1799" s="1134"/>
      <c r="E1799" s="1137"/>
      <c r="F1799" s="589" t="s">
        <v>44</v>
      </c>
      <c r="G1799" s="123">
        <f>IF(G1789="תקין",IFERROR(VLOOKUP('בית ספר - תקצוב לפי מוסד (9)'!G1784,' איוש משרות (8)'!C:J,7,0),0),0)</f>
        <v>0</v>
      </c>
      <c r="H1799" s="124">
        <f>I1788+R1795+J1788</f>
        <v>0</v>
      </c>
      <c r="I1799" s="119">
        <f>IFERROR(SUM(G1799:G1800)/H1799,0)</f>
        <v>0</v>
      </c>
      <c r="J1799" s="100">
        <f>MIN(R1795+I1788,IF(ISNUMBER(SUM(G1799:G1800)),SUM(G1799:G1800),0))</f>
        <v>0</v>
      </c>
      <c r="K1799" s="1139">
        <f>MAX((H1799)-(G1799+G1800),0)</f>
        <v>0</v>
      </c>
      <c r="L1799" s="407"/>
      <c r="M1799" s="393"/>
      <c r="N1799" s="393"/>
      <c r="O1799" s="580"/>
      <c r="P1799" s="1140"/>
      <c r="Q1799" s="1140"/>
      <c r="R1799" s="617">
        <f>MAX(MIN(P1807-Q1807,H1807*0.15-G1805),0)</f>
        <v>0</v>
      </c>
      <c r="S1799" s="576"/>
      <c r="T1799" s="599">
        <f>G1784</f>
        <v>0</v>
      </c>
      <c r="U1799" s="578"/>
      <c r="V1799" s="579"/>
      <c r="W1799" s="579">
        <f t="shared" ref="W1799:W1811" si="256">U1799-V1799</f>
        <v>0</v>
      </c>
      <c r="X1799" s="579"/>
      <c r="Y1799" s="879"/>
      <c r="Z1799" s="121"/>
      <c r="AA1799" s="143"/>
      <c r="AB1799" s="143"/>
      <c r="AC1799" s="504"/>
      <c r="AD1799" s="505">
        <f t="shared" ref="AD1799:AD1805" si="257">IFERROR(U1799-AC1799,0)</f>
        <v>0</v>
      </c>
      <c r="AE1799" s="143"/>
      <c r="AI1799" s="20"/>
      <c r="BO1799" s="86"/>
    </row>
    <row r="1800" spans="1:67" ht="15.75" customHeight="1" x14ac:dyDescent="0.25">
      <c r="A1800" s="520">
        <f>IFERROR(VLOOKUP($G$5,'רשימת רשויות'!A:C,3,0),0)</f>
        <v>0</v>
      </c>
      <c r="B1800" s="520">
        <f t="shared" si="250"/>
        <v>0</v>
      </c>
      <c r="D1800" s="1134"/>
      <c r="E1800" s="1137"/>
      <c r="F1800" s="589" t="s">
        <v>45</v>
      </c>
      <c r="G1800" s="123">
        <f>IF(G1789="תקין",IFERROR(VLOOKUP('בית ספר - תקצוב לפי מוסד (9)'!G1784,' איוש משרות (8)'!C:J,8,0),0),0)</f>
        <v>0</v>
      </c>
      <c r="H1800" s="125"/>
      <c r="I1800" s="126"/>
      <c r="J1800" s="104"/>
      <c r="K1800" s="1139"/>
      <c r="L1800" s="407"/>
      <c r="M1800" s="393"/>
      <c r="N1800" s="393"/>
      <c r="O1800" s="580"/>
      <c r="P1800" s="1140"/>
      <c r="Q1800" s="1140"/>
      <c r="R1800" s="596"/>
      <c r="S1800" s="576"/>
      <c r="T1800" s="599">
        <f>G1784</f>
        <v>0</v>
      </c>
      <c r="U1800" s="578"/>
      <c r="V1800" s="579"/>
      <c r="W1800" s="579">
        <f t="shared" si="256"/>
        <v>0</v>
      </c>
      <c r="X1800" s="579"/>
      <c r="Y1800" s="879"/>
      <c r="Z1800" s="121"/>
      <c r="AA1800" s="143"/>
      <c r="AB1800" s="143"/>
      <c r="AC1800" s="504"/>
      <c r="AD1800" s="505">
        <f t="shared" si="257"/>
        <v>0</v>
      </c>
      <c r="AE1800" s="143"/>
      <c r="AG1800" s="55"/>
      <c r="AH1800" s="55"/>
      <c r="AI1800" s="55"/>
      <c r="AJ1800" s="55"/>
      <c r="AK1800" s="55"/>
      <c r="BO1800" s="86"/>
    </row>
    <row r="1801" spans="1:67" ht="15.75" customHeight="1" x14ac:dyDescent="0.25">
      <c r="A1801" s="520">
        <f>IFERROR(VLOOKUP($G$5,'רשימת רשויות'!A:C,3,0),0)</f>
        <v>0</v>
      </c>
      <c r="B1801" s="520">
        <f t="shared" si="250"/>
        <v>0</v>
      </c>
      <c r="D1801" s="1134"/>
      <c r="E1801" s="1137"/>
      <c r="F1801" s="589" t="s">
        <v>0</v>
      </c>
      <c r="G1801" s="117">
        <f>IF(G1789="תקין",SUMIFS('דוח הוצאות בפועל (4)'!$E$17:$E$3016,'דוח הוצאות בפועל (4)'!$B$17:$B$3016,'בית ספר - תקצוב לפי מוסד (9)'!$G1784,'דוח הוצאות בפועל (4)'!$M$17:$M$3016,"הע"),0)-Y1801</f>
        <v>0</v>
      </c>
      <c r="H1801" s="127">
        <f>J1786</f>
        <v>0</v>
      </c>
      <c r="I1801" s="128">
        <f>IFERROR(G1801/H1801,0)</f>
        <v>0</v>
      </c>
      <c r="J1801" s="129">
        <f>MIN(IF(ISNUMBER(G1801),G1801,0),H1801)</f>
        <v>0</v>
      </c>
      <c r="K1801" s="120">
        <f>MAX(H1801-G1801,0)</f>
        <v>0</v>
      </c>
      <c r="L1801" s="407"/>
      <c r="M1801" s="393"/>
      <c r="N1801" s="393"/>
      <c r="O1801" s="580"/>
      <c r="P1801" s="968">
        <f>MAX(IF(I1801&lt;100%,MIN((H1801-G1801),H1801*0.25),0),0)</f>
        <v>0</v>
      </c>
      <c r="Q1801" s="619">
        <f>IF(G1801-H1801&gt;0,G1801-H1801,0)</f>
        <v>0</v>
      </c>
      <c r="R1801" s="596"/>
      <c r="S1801" s="610" t="s">
        <v>0</v>
      </c>
      <c r="T1801" s="599">
        <f>G1784</f>
        <v>0</v>
      </c>
      <c r="U1801" s="578"/>
      <c r="V1801" s="579">
        <f>G1801</f>
        <v>0</v>
      </c>
      <c r="W1801" s="579">
        <f t="shared" si="256"/>
        <v>0</v>
      </c>
      <c r="X1801" s="579">
        <f>IFERROR(W1812*W1801/(SUM(W1798:W1811)),0)</f>
        <v>0</v>
      </c>
      <c r="Y1801" s="879">
        <f>SUMIFS(בקרה!$S:$S,בקרה!$D:$D,T1801,בקרה!$K:$K,S1801)</f>
        <v>0</v>
      </c>
      <c r="Z1801" s="121"/>
      <c r="AA1801" s="143"/>
      <c r="AB1801" s="143"/>
      <c r="AC1801" s="504">
        <v>0</v>
      </c>
      <c r="AD1801" s="505">
        <f t="shared" si="257"/>
        <v>0</v>
      </c>
      <c r="AE1801" s="143"/>
      <c r="AG1801" s="55"/>
      <c r="AH1801" s="55"/>
      <c r="AI1801" s="40"/>
      <c r="AJ1801" s="55"/>
      <c r="AK1801" s="55"/>
      <c r="BO1801" s="86"/>
    </row>
    <row r="1802" spans="1:67" s="55" customFormat="1" ht="15.75" customHeight="1" x14ac:dyDescent="0.25">
      <c r="A1802" s="520">
        <f>IFERROR(VLOOKUP($G$5,'רשימת רשויות'!A:C,3,0),0)</f>
        <v>0</v>
      </c>
      <c r="B1802" s="520">
        <f t="shared" si="250"/>
        <v>0</v>
      </c>
      <c r="C1802" s="39"/>
      <c r="D1802" s="1134"/>
      <c r="E1802" s="1137"/>
      <c r="F1802" s="589" t="s">
        <v>93</v>
      </c>
      <c r="G1802" s="130">
        <f>IF(G1789="תקין",SUMIFS('דוח הוצאות בפועל (4)'!$E$17:$E$3016,'דוח הוצאות בפועל (4)'!$B$17:$B$3016,'בית ספר - תקצוב לפי מוסד (9)'!$G1784,'דוח הוצאות בפועל (4)'!$M$17:$M$3016,"אר"),0)-Y1802</f>
        <v>0</v>
      </c>
      <c r="H1802" s="118">
        <f>$I1792</f>
        <v>0</v>
      </c>
      <c r="I1802" s="131">
        <f>IFERROR((G1802+G1803)/H1802,0)</f>
        <v>0</v>
      </c>
      <c r="J1802" s="100">
        <f>MIN((IF(ISNUMBER(G1802),G1802,0)+IF(ISNUMBER(G1803),G1803,0)),H1802)</f>
        <v>0</v>
      </c>
      <c r="K1802" s="1139">
        <f>MAX((H1802)-(G1802+G1803),0)</f>
        <v>0</v>
      </c>
      <c r="L1802" s="407"/>
      <c r="M1802" s="393"/>
      <c r="N1802" s="393"/>
      <c r="O1802" s="602"/>
      <c r="P1802" s="1141"/>
      <c r="Q1802" s="1142"/>
      <c r="R1802" s="596"/>
      <c r="S1802" s="610" t="s">
        <v>93</v>
      </c>
      <c r="T1802" s="599">
        <f>G1784</f>
        <v>0</v>
      </c>
      <c r="U1802" s="578"/>
      <c r="V1802" s="579">
        <f t="shared" ref="V1802:V1803" si="258">G1802</f>
        <v>0</v>
      </c>
      <c r="W1802" s="579">
        <f t="shared" si="256"/>
        <v>0</v>
      </c>
      <c r="X1802" s="579">
        <f>IFERROR(W1812*W1802/(SUM(W1798:W1811)),0)</f>
        <v>0</v>
      </c>
      <c r="Y1802" s="879">
        <f>SUMIFS(בקרה!$S:$S,בקרה!$D:$D,T1802,בקרה!$K:$K,S1802)</f>
        <v>0</v>
      </c>
      <c r="Z1802" s="121"/>
      <c r="AA1802" s="143"/>
      <c r="AB1802" s="143"/>
      <c r="AC1802" s="504">
        <v>0</v>
      </c>
      <c r="AD1802" s="505">
        <f t="shared" si="257"/>
        <v>0</v>
      </c>
      <c r="AE1802" s="143"/>
      <c r="AJ1802" s="22"/>
      <c r="AO1802" s="22"/>
      <c r="AP1802" s="22"/>
      <c r="AQ1802" s="22"/>
      <c r="AR1802" s="22"/>
      <c r="AS1802" s="22"/>
      <c r="AT1802" s="22"/>
      <c r="AU1802" s="35"/>
      <c r="AV1802" s="35"/>
      <c r="AW1802" s="35"/>
      <c r="AX1802" s="35"/>
      <c r="AY1802" s="35"/>
      <c r="AZ1802" s="35"/>
      <c r="BA1802" s="35"/>
      <c r="BB1802" s="35"/>
      <c r="BC1802" s="35"/>
      <c r="BD1802" s="35"/>
      <c r="BE1802" s="35"/>
      <c r="BF1802" s="35"/>
      <c r="BG1802" s="35"/>
      <c r="BH1802" s="35"/>
      <c r="BI1802" s="35"/>
      <c r="BJ1802" s="35"/>
      <c r="BK1802" s="35"/>
      <c r="BL1802" s="35"/>
      <c r="BM1802" s="35"/>
      <c r="BN1802" s="35"/>
      <c r="BO1802" s="86"/>
    </row>
    <row r="1803" spans="1:67" s="55" customFormat="1" ht="15.75" customHeight="1" x14ac:dyDescent="0.25">
      <c r="A1803" s="520">
        <f>IFERROR(VLOOKUP($G$5,'רשימת רשויות'!A:C,3,0),0)</f>
        <v>0</v>
      </c>
      <c r="B1803" s="520">
        <f t="shared" si="250"/>
        <v>0</v>
      </c>
      <c r="C1803" s="39"/>
      <c r="D1803" s="1134"/>
      <c r="E1803" s="1137"/>
      <c r="F1803" s="589" t="s">
        <v>46</v>
      </c>
      <c r="G1803" s="130">
        <f>IF(G1789="תקין",SUMIFS('דוח הוצאות בפועל (4)'!$E$17:$E$3016,'דוח הוצאות בפועל (4)'!$B$17:$B$3016,'בית ספר - תקצוב לפי מוסד (9)'!$G1784,'דוח הוצאות בפועל (4)'!$M$17:$M$3016,"מל"),0)-Y1803</f>
        <v>0</v>
      </c>
      <c r="H1803" s="132"/>
      <c r="I1803" s="133"/>
      <c r="J1803" s="104"/>
      <c r="K1803" s="1139"/>
      <c r="L1803" s="407"/>
      <c r="M1803" s="393"/>
      <c r="N1803" s="393"/>
      <c r="O1803" s="602"/>
      <c r="P1803" s="1141"/>
      <c r="Q1803" s="1142"/>
      <c r="R1803" s="596"/>
      <c r="S1803" s="610" t="s">
        <v>46</v>
      </c>
      <c r="T1803" s="599">
        <f>G1784</f>
        <v>0</v>
      </c>
      <c r="U1803" s="578"/>
      <c r="V1803" s="579">
        <f t="shared" si="258"/>
        <v>0</v>
      </c>
      <c r="W1803" s="579">
        <f t="shared" si="256"/>
        <v>0</v>
      </c>
      <c r="X1803" s="579">
        <f>IFERROR(W1812*W1803/(SUM(W1798:W1811)),0)</f>
        <v>0</v>
      </c>
      <c r="Y1803" s="879">
        <f>SUMIFS(בקרה!$S:$S,בקרה!$D:$D,T1803,בקרה!$K:$K,S1803)</f>
        <v>0</v>
      </c>
      <c r="Z1803" s="121"/>
      <c r="AA1803" s="143"/>
      <c r="AB1803" s="143"/>
      <c r="AC1803" s="504">
        <v>0</v>
      </c>
      <c r="AD1803" s="505">
        <f t="shared" si="257"/>
        <v>0</v>
      </c>
      <c r="AE1803" s="143"/>
      <c r="AJ1803" s="22"/>
      <c r="AO1803" s="22"/>
      <c r="AP1803" s="22"/>
      <c r="AQ1803" s="22"/>
      <c r="AR1803" s="22"/>
      <c r="AS1803" s="22"/>
      <c r="AT1803" s="22"/>
      <c r="AU1803" s="35"/>
      <c r="AV1803" s="35"/>
      <c r="AW1803" s="35"/>
      <c r="AX1803" s="35"/>
      <c r="AY1803" s="35"/>
      <c r="AZ1803" s="35"/>
      <c r="BA1803" s="35"/>
      <c r="BB1803" s="35"/>
      <c r="BC1803" s="35"/>
      <c r="BD1803" s="35"/>
      <c r="BE1803" s="35"/>
      <c r="BF1803" s="35"/>
      <c r="BG1803" s="35"/>
      <c r="BH1803" s="35"/>
      <c r="BI1803" s="35"/>
      <c r="BJ1803" s="35"/>
      <c r="BK1803" s="35"/>
      <c r="BL1803" s="35"/>
      <c r="BM1803" s="35"/>
      <c r="BN1803" s="35"/>
      <c r="BO1803" s="86"/>
    </row>
    <row r="1804" spans="1:67" s="55" customFormat="1" ht="15" customHeight="1" x14ac:dyDescent="0.25">
      <c r="A1804" s="520">
        <f>IFERROR(VLOOKUP($G$5,'רשימת רשויות'!A:C,3,0),0)</f>
        <v>0</v>
      </c>
      <c r="B1804" s="520">
        <f t="shared" si="250"/>
        <v>0</v>
      </c>
      <c r="C1804" s="39"/>
      <c r="D1804" s="1134"/>
      <c r="E1804" s="1137"/>
      <c r="F1804" s="591" t="s">
        <v>23</v>
      </c>
      <c r="G1804" s="134">
        <f>SUM(G1798:G1803)</f>
        <v>0</v>
      </c>
      <c r="H1804" s="135">
        <f>SUM(H1798:H1803)</f>
        <v>0</v>
      </c>
      <c r="I1804" s="128">
        <f>IFERROR(G1804/H1804,0)</f>
        <v>0</v>
      </c>
      <c r="J1804" s="136">
        <f>SUM(J1798:J1803)</f>
        <v>0</v>
      </c>
      <c r="K1804" s="137">
        <f>SUM(K1798:K1803)</f>
        <v>0</v>
      </c>
      <c r="L1804" s="408"/>
      <c r="M1804" s="394"/>
      <c r="N1804" s="394"/>
      <c r="O1804" s="602"/>
      <c r="P1804" s="620">
        <f>SUM(P1798:P1803)</f>
        <v>0</v>
      </c>
      <c r="Q1804" s="620">
        <f>SUM(Q1798:Q1803)</f>
        <v>0</v>
      </c>
      <c r="R1804" s="596"/>
      <c r="S1804" s="610"/>
      <c r="T1804" s="599">
        <f>G1784</f>
        <v>0</v>
      </c>
      <c r="U1804" s="578"/>
      <c r="V1804" s="579"/>
      <c r="W1804" s="579">
        <f t="shared" si="256"/>
        <v>0</v>
      </c>
      <c r="X1804" s="579"/>
      <c r="Y1804" s="879"/>
      <c r="Z1804" s="121"/>
      <c r="AA1804" s="143"/>
      <c r="AB1804" s="143"/>
      <c r="AC1804" s="504"/>
      <c r="AD1804" s="505">
        <f t="shared" si="257"/>
        <v>0</v>
      </c>
      <c r="AE1804" s="143"/>
      <c r="AJ1804" s="22"/>
      <c r="AL1804" s="22"/>
      <c r="AM1804" s="22"/>
      <c r="AN1804" s="22"/>
      <c r="AO1804" s="22"/>
      <c r="AP1804" s="22"/>
      <c r="AQ1804" s="22"/>
      <c r="AR1804" s="22"/>
      <c r="AS1804" s="22"/>
      <c r="AT1804" s="22"/>
      <c r="AU1804" s="35"/>
      <c r="AV1804" s="35"/>
      <c r="AW1804" s="35"/>
      <c r="AX1804" s="35"/>
      <c r="AY1804" s="35"/>
      <c r="AZ1804" s="35"/>
      <c r="BA1804" s="35"/>
      <c r="BB1804" s="35"/>
      <c r="BC1804" s="35"/>
      <c r="BD1804" s="35"/>
      <c r="BE1804" s="35"/>
      <c r="BF1804" s="35"/>
      <c r="BG1804" s="35"/>
      <c r="BH1804" s="35"/>
      <c r="BI1804" s="35"/>
      <c r="BJ1804" s="35"/>
      <c r="BK1804" s="35"/>
      <c r="BL1804" s="35"/>
      <c r="BM1804" s="35"/>
      <c r="BN1804" s="35"/>
      <c r="BO1804" s="86"/>
    </row>
    <row r="1805" spans="1:67" s="55" customFormat="1" ht="15" customHeight="1" x14ac:dyDescent="0.25">
      <c r="A1805" s="520">
        <f>IFERROR(VLOOKUP($G$5,'רשימת רשויות'!A:C,3,0),0)</f>
        <v>0</v>
      </c>
      <c r="B1805" s="520">
        <f t="shared" si="250"/>
        <v>0</v>
      </c>
      <c r="C1805" s="39"/>
      <c r="D1805" s="1134"/>
      <c r="E1805" s="1137"/>
      <c r="F1805" s="589" t="s">
        <v>3</v>
      </c>
      <c r="G1805" s="117">
        <f>IF(G1789="תקין",SUMIFS('דוח הוצאות בפועל (4)'!$E$17:$E$3016,'דוח הוצאות בפועל (4)'!$B$17:$B$3016,'בית ספר - תקצוב לפי מוסד (9)'!$G1784,'דוח הוצאות בפועל (4)'!$M$17:$M$3016,"ני")+SUMIFS('דוח הוצאות בפועל (4)'!$E$17:$E$3016,'דוח הוצאות בפועל (4)'!$B$17:$B$3016,'בית ספר - תקצוב לפי מוסד (9)'!$G1784,'דוח הוצאות בפועל (4)'!$M$17:$M$3016,"על"),0)-Y1805</f>
        <v>0</v>
      </c>
      <c r="H1805" s="117">
        <f>H1786</f>
        <v>0</v>
      </c>
      <c r="I1805" s="138">
        <f>IFERROR(G1805/H1805,0)</f>
        <v>0</v>
      </c>
      <c r="J1805" s="117">
        <f>IFERROR(IF(G1805/H1807&gt;0.15,MIN(H1807*0.15,H1805),MIN(H1805,IF(ISNUMBER(G1805),G1805,0))),0)</f>
        <v>0</v>
      </c>
      <c r="K1805" s="120">
        <f>MAX(H1805-G1805,0)</f>
        <v>0</v>
      </c>
      <c r="L1805" s="407"/>
      <c r="M1805" s="393"/>
      <c r="N1805" s="393"/>
      <c r="O1805" s="602"/>
      <c r="P1805" s="620">
        <f>IF(I1805&lt;100%,MIN(H1805-G1805,H1805*0.25),0)</f>
        <v>0</v>
      </c>
      <c r="Q1805" s="620">
        <f>MAX(MIN(IF(G1805-H1805&gt;0,G1805-H1805,0),$H1807*0.15-H1805-J1806),0)</f>
        <v>0</v>
      </c>
      <c r="R1805" s="596"/>
      <c r="S1805" s="610" t="s">
        <v>3</v>
      </c>
      <c r="T1805" s="599">
        <f>G1784</f>
        <v>0</v>
      </c>
      <c r="U1805" s="578"/>
      <c r="V1805" s="579">
        <f t="shared" ref="V1805" si="259">G1805</f>
        <v>0</v>
      </c>
      <c r="W1805" s="579">
        <f t="shared" si="256"/>
        <v>0</v>
      </c>
      <c r="X1805" s="579"/>
      <c r="Y1805" s="879"/>
      <c r="Z1805" s="121"/>
      <c r="AA1805" s="143"/>
      <c r="AB1805" s="143"/>
      <c r="AC1805" s="504">
        <v>0</v>
      </c>
      <c r="AD1805" s="505">
        <f t="shared" si="257"/>
        <v>0</v>
      </c>
      <c r="AE1805" s="143"/>
      <c r="AG1805" s="22"/>
      <c r="AH1805" s="22"/>
      <c r="AI1805" s="22"/>
      <c r="AJ1805" s="22"/>
      <c r="AK1805" s="22"/>
      <c r="AL1805" s="22"/>
      <c r="AM1805" s="22"/>
      <c r="AN1805" s="22"/>
      <c r="AO1805" s="22"/>
      <c r="AP1805" s="22"/>
      <c r="AQ1805" s="22"/>
      <c r="AR1805" s="22"/>
      <c r="AS1805" s="22"/>
      <c r="AT1805" s="22"/>
      <c r="AU1805" s="35"/>
      <c r="AV1805" s="35"/>
      <c r="AW1805" s="35"/>
      <c r="AX1805" s="35"/>
      <c r="AY1805" s="35"/>
      <c r="AZ1805" s="35"/>
      <c r="BA1805" s="35"/>
      <c r="BB1805" s="35"/>
      <c r="BC1805" s="35"/>
      <c r="BD1805" s="35"/>
      <c r="BE1805" s="35"/>
      <c r="BF1805" s="35"/>
      <c r="BG1805" s="35"/>
      <c r="BH1805" s="35"/>
      <c r="BI1805" s="35"/>
      <c r="BJ1805" s="35"/>
      <c r="BK1805" s="35"/>
      <c r="BL1805" s="35"/>
      <c r="BM1805" s="35"/>
      <c r="BN1805" s="35"/>
      <c r="BO1805" s="86"/>
    </row>
    <row r="1806" spans="1:67" s="55" customFormat="1" ht="15.75" customHeight="1" x14ac:dyDescent="0.25">
      <c r="A1806" s="520">
        <f>IFERROR(VLOOKUP($G$5,'רשימת רשויות'!A:C,3,0),0)</f>
        <v>0</v>
      </c>
      <c r="B1806" s="520">
        <f t="shared" ref="B1806:B1869" si="260">IF(F1807="סמל המוסד",G1807,B1805)</f>
        <v>0</v>
      </c>
      <c r="C1806" s="39"/>
      <c r="D1806" s="1134"/>
      <c r="E1806" s="1137"/>
      <c r="F1806" s="589" t="s">
        <v>2918</v>
      </c>
      <c r="G1806" s="117">
        <f>0.07*(G1800+G1799)</f>
        <v>0</v>
      </c>
      <c r="H1806" s="117">
        <f>H1788</f>
        <v>0</v>
      </c>
      <c r="I1806" s="138">
        <f>IFERROR(G1806/H1806,0)</f>
        <v>0</v>
      </c>
      <c r="J1806" s="117">
        <f>IFERROR(MIN(0.07*(G1799+G1800),0.07*I1788),0)</f>
        <v>0</v>
      </c>
      <c r="K1806" s="120">
        <f>MAX(H1806-G1806,0)</f>
        <v>0</v>
      </c>
      <c r="L1806" s="407"/>
      <c r="M1806" s="393"/>
      <c r="N1806" s="393"/>
      <c r="O1806" s="602"/>
      <c r="P1806" s="620"/>
      <c r="Q1806" s="619"/>
      <c r="R1806" s="596"/>
      <c r="S1806" s="611"/>
      <c r="T1806" s="599">
        <f>G1784</f>
        <v>0</v>
      </c>
      <c r="U1806" s="578"/>
      <c r="V1806" s="579"/>
      <c r="W1806" s="579">
        <f t="shared" si="256"/>
        <v>0</v>
      </c>
      <c r="X1806" s="579"/>
      <c r="Y1806" s="879"/>
      <c r="Z1806" s="121"/>
      <c r="AA1806" s="143"/>
      <c r="AB1806" s="143"/>
      <c r="AC1806" s="504"/>
      <c r="AD1806" s="505"/>
      <c r="AE1806" s="143"/>
      <c r="AF1806" s="140"/>
      <c r="AG1806" s="22"/>
      <c r="AH1806" s="22"/>
      <c r="AI1806" s="22"/>
      <c r="AJ1806" s="22"/>
      <c r="AK1806" s="22"/>
      <c r="AL1806" s="22"/>
      <c r="AM1806" s="22"/>
      <c r="AN1806" s="22"/>
      <c r="AO1806" s="22"/>
      <c r="AP1806" s="22"/>
      <c r="AQ1806" s="22"/>
      <c r="AR1806" s="22"/>
      <c r="AS1806" s="22"/>
      <c r="AT1806" s="22"/>
      <c r="AU1806" s="35"/>
      <c r="AV1806" s="35"/>
      <c r="AW1806" s="35"/>
      <c r="AX1806" s="35"/>
      <c r="AY1806" s="35"/>
      <c r="AZ1806" s="35"/>
      <c r="BA1806" s="35"/>
      <c r="BB1806" s="35"/>
      <c r="BC1806" s="35"/>
      <c r="BD1806" s="35"/>
      <c r="BE1806" s="35"/>
      <c r="BF1806" s="35"/>
      <c r="BG1806" s="35"/>
      <c r="BH1806" s="35"/>
      <c r="BI1806" s="35"/>
      <c r="BJ1806" s="35"/>
      <c r="BK1806" s="35"/>
      <c r="BL1806" s="35"/>
      <c r="BM1806" s="35"/>
      <c r="BN1806" s="35"/>
      <c r="BO1806" s="86"/>
    </row>
    <row r="1807" spans="1:67" ht="15.75" customHeight="1" x14ac:dyDescent="0.25">
      <c r="A1807" s="520">
        <f>IFERROR(VLOOKUP($G$5,'רשימת רשויות'!A:C,3,0),0)</f>
        <v>0</v>
      </c>
      <c r="B1807" s="520">
        <f t="shared" si="260"/>
        <v>0</v>
      </c>
      <c r="D1807" s="1134"/>
      <c r="E1807" s="1137"/>
      <c r="F1807" s="591" t="s">
        <v>15</v>
      </c>
      <c r="G1807" s="134">
        <f>G1804+G1805+G1806</f>
        <v>0</v>
      </c>
      <c r="H1807" s="134">
        <f>H1804+H1805+H1806</f>
        <v>0</v>
      </c>
      <c r="I1807" s="138">
        <f>IFERROR(G1807/H1807,0)</f>
        <v>0</v>
      </c>
      <c r="J1807" s="139">
        <f>J1804+J1805+J1806</f>
        <v>0</v>
      </c>
      <c r="K1807" s="137">
        <f>K1805+K1804+K1806</f>
        <v>0</v>
      </c>
      <c r="L1807" s="408"/>
      <c r="M1807" s="394"/>
      <c r="N1807" s="394"/>
      <c r="O1807" s="602"/>
      <c r="P1807" s="621">
        <f>SUM(P1804:P1805)</f>
        <v>0</v>
      </c>
      <c r="Q1807" s="622">
        <f>Q1804+Q1805</f>
        <v>0</v>
      </c>
      <c r="R1807" s="596"/>
      <c r="S1807" s="611"/>
      <c r="T1807" s="599">
        <f>G1784</f>
        <v>0</v>
      </c>
      <c r="U1807" s="578"/>
      <c r="V1807" s="579"/>
      <c r="W1807" s="579">
        <f t="shared" si="256"/>
        <v>0</v>
      </c>
      <c r="X1807" s="579"/>
      <c r="Y1807" s="879"/>
      <c r="Z1807" s="106"/>
      <c r="AC1807" s="504"/>
      <c r="AD1807" s="505"/>
      <c r="AH1807" s="143"/>
      <c r="BO1807" s="86"/>
    </row>
    <row r="1808" spans="1:67" ht="15.75" customHeight="1" x14ac:dyDescent="0.25">
      <c r="A1808" s="520">
        <f>IFERROR(VLOOKUP($G$5,'רשימת רשויות'!A:C,3,0),0)</f>
        <v>0</v>
      </c>
      <c r="B1808" s="520">
        <f t="shared" si="260"/>
        <v>0</v>
      </c>
      <c r="D1808" s="1134"/>
      <c r="E1808" s="1137"/>
      <c r="F1808" s="589" t="s">
        <v>2261</v>
      </c>
      <c r="G1808" s="117">
        <f>IF(G1789="תקין",SUMIF('תשלומי הורים ומלגות להורים (5) '!$B$18:$B$517,$G1784,'תשלומי הורים ומלגות להורים (5) '!$C$18:$C$517),0)</f>
        <v>0</v>
      </c>
      <c r="H1808" s="117">
        <f>(G1787+G1788)*$G$7</f>
        <v>0</v>
      </c>
      <c r="I1808" s="141"/>
      <c r="J1808" s="141"/>
      <c r="K1808" s="142"/>
      <c r="L1808" s="395"/>
      <c r="M1808" s="395"/>
      <c r="N1808" s="395"/>
      <c r="O1808" s="602"/>
      <c r="P1808" s="623"/>
      <c r="Q1808" s="619"/>
      <c r="R1808" s="596"/>
      <c r="S1808" s="612"/>
      <c r="T1808" s="599">
        <f>G1784</f>
        <v>0</v>
      </c>
      <c r="U1808" s="578"/>
      <c r="V1808" s="579"/>
      <c r="W1808" s="579">
        <f t="shared" si="256"/>
        <v>0</v>
      </c>
      <c r="X1808" s="579"/>
      <c r="Y1808" s="879"/>
      <c r="Z1808" s="121"/>
      <c r="AA1808" s="143"/>
      <c r="AB1808" s="143"/>
      <c r="AC1808" s="504"/>
      <c r="AD1808" s="505"/>
      <c r="AE1808" s="143"/>
      <c r="AF1808" s="148"/>
      <c r="BO1808" s="86"/>
    </row>
    <row r="1809" spans="1:67" ht="15.75" customHeight="1" thickBot="1" x14ac:dyDescent="0.3">
      <c r="A1809" s="520">
        <f>IFERROR(VLOOKUP($G$5,'רשימת רשויות'!A:C,3,0),0)</f>
        <v>0</v>
      </c>
      <c r="B1809" s="520">
        <f t="shared" si="260"/>
        <v>0</v>
      </c>
      <c r="D1809" s="1134"/>
      <c r="E1809" s="1137"/>
      <c r="F1809" s="592" t="s">
        <v>21</v>
      </c>
      <c r="G1809" s="144">
        <f>G1807-G1808</f>
        <v>0</v>
      </c>
      <c r="H1809" s="144">
        <f>H1807-H1808</f>
        <v>0</v>
      </c>
      <c r="I1809" s="145"/>
      <c r="J1809" s="145"/>
      <c r="K1809" s="146"/>
      <c r="L1809" s="396"/>
      <c r="M1809" s="396"/>
      <c r="N1809" s="396"/>
      <c r="O1809" s="602"/>
      <c r="P1809" s="619"/>
      <c r="Q1809" s="619"/>
      <c r="R1809" s="596"/>
      <c r="S1809" s="612"/>
      <c r="T1809" s="599">
        <f>G1784</f>
        <v>0</v>
      </c>
      <c r="U1809" s="578"/>
      <c r="V1809" s="579"/>
      <c r="W1809" s="579">
        <f t="shared" si="256"/>
        <v>0</v>
      </c>
      <c r="X1809" s="579"/>
      <c r="Y1809" s="879"/>
      <c r="Z1809" s="147"/>
      <c r="AA1809" s="148"/>
      <c r="AB1809" s="148"/>
      <c r="AC1809" s="504"/>
      <c r="AD1809" s="505"/>
      <c r="AE1809" s="148"/>
      <c r="AF1809" s="148"/>
      <c r="BO1809" s="86"/>
    </row>
    <row r="1810" spans="1:67" ht="15.75" customHeight="1" thickBot="1" x14ac:dyDescent="0.3">
      <c r="A1810" s="520">
        <f>IFERROR(VLOOKUP($G$5,'רשימת רשויות'!A:C,3,0),0)</f>
        <v>0</v>
      </c>
      <c r="B1810" s="520">
        <f t="shared" si="260"/>
        <v>0</v>
      </c>
      <c r="D1810" s="1134"/>
      <c r="E1810" s="1137"/>
      <c r="F1810" s="580"/>
      <c r="G1810" s="580"/>
      <c r="H1810" s="147"/>
      <c r="I1810" s="149" t="s">
        <v>2197</v>
      </c>
      <c r="J1810" s="150">
        <f>MAX(MIN(P1807,Q1807),0)</f>
        <v>0</v>
      </c>
      <c r="K1810" s="580"/>
      <c r="L1810" s="580"/>
      <c r="M1810" s="580"/>
      <c r="N1810" s="580"/>
      <c r="O1810" s="580"/>
      <c r="P1810" s="615" t="s">
        <v>2317</v>
      </c>
      <c r="Q1810" s="624">
        <f>SUM(Q1811:Q1812)</f>
        <v>0</v>
      </c>
      <c r="R1810" s="596"/>
      <c r="S1810" s="612"/>
      <c r="T1810" s="599">
        <f>G1784</f>
        <v>0</v>
      </c>
      <c r="U1810" s="578"/>
      <c r="V1810" s="579"/>
      <c r="W1810" s="579">
        <f t="shared" si="256"/>
        <v>0</v>
      </c>
      <c r="X1810" s="579"/>
      <c r="Y1810" s="879"/>
      <c r="Z1810" s="106"/>
      <c r="AC1810" s="504"/>
      <c r="AD1810" s="505"/>
      <c r="AF1810" s="148"/>
      <c r="BO1810" s="86"/>
    </row>
    <row r="1811" spans="1:67" ht="16.5" thickBot="1" x14ac:dyDescent="0.3">
      <c r="A1811" s="520">
        <f>IFERROR(VLOOKUP($G$5,'רשימת רשויות'!A:C,3,0),0)</f>
        <v>0</v>
      </c>
      <c r="B1811" s="520">
        <f t="shared" si="260"/>
        <v>0</v>
      </c>
      <c r="D1811" s="1134"/>
      <c r="E1811" s="1137"/>
      <c r="F1811" s="580"/>
      <c r="G1811" s="580"/>
      <c r="H1811" s="580"/>
      <c r="I1811" s="84" t="s">
        <v>2193</v>
      </c>
      <c r="J1811" s="515" t="str">
        <f>IFERROR(1-H1808/H1807,"")</f>
        <v/>
      </c>
      <c r="K1811" s="580"/>
      <c r="L1811" s="580"/>
      <c r="M1811" s="580"/>
      <c r="N1811" s="580"/>
      <c r="O1811" s="580"/>
      <c r="P1811" s="615" t="s">
        <v>417</v>
      </c>
      <c r="Q1811" s="616">
        <f>IFERROR(MAX(H1809-I1812-Q1812,0),0)</f>
        <v>0</v>
      </c>
      <c r="R1811" s="596"/>
      <c r="S1811" s="600"/>
      <c r="T1811" s="599">
        <f>G1784</f>
        <v>0</v>
      </c>
      <c r="U1811" s="578"/>
      <c r="V1811" s="579"/>
      <c r="W1811" s="579">
        <f t="shared" si="256"/>
        <v>0</v>
      </c>
      <c r="X1811" s="579"/>
      <c r="Y1811" s="879"/>
      <c r="Z1811" s="106"/>
      <c r="AC1811" s="504"/>
      <c r="AD1811" s="505"/>
      <c r="BO1811" s="86"/>
    </row>
    <row r="1812" spans="1:67" ht="17.25" thickBot="1" x14ac:dyDescent="0.3">
      <c r="A1812" s="520">
        <f>IFERROR(VLOOKUP($G$5,'רשימת רשויות'!A:C,3,0),0)</f>
        <v>0</v>
      </c>
      <c r="B1812" s="520">
        <f t="shared" si="260"/>
        <v>0</v>
      </c>
      <c r="D1812" s="1134"/>
      <c r="E1812" s="1137"/>
      <c r="F1812" s="1143" t="s">
        <v>2679</v>
      </c>
      <c r="G1812" s="1143"/>
      <c r="H1812" s="1143"/>
      <c r="I1812" s="722">
        <f>IF(G1789="לא תקין","לא קיימת זכאות לתקציב לאור אי איוש משרות רכז ו/או סגן רכז ",IFERROR(J1811*(J1810+J1807),0))</f>
        <v>0</v>
      </c>
      <c r="J1812" s="573"/>
      <c r="K1812" s="574"/>
      <c r="L1812" s="396"/>
      <c r="M1812" s="574"/>
      <c r="N1812" s="574"/>
      <c r="O1812" s="574"/>
      <c r="P1812" s="615" t="s">
        <v>2279</v>
      </c>
      <c r="Q1812" s="616">
        <f>MAX(IF(AND(G1807&gt;H1807,I1812&lt;H1809),H1809-I1812,0),0)</f>
        <v>0</v>
      </c>
      <c r="R1812" s="575"/>
      <c r="S1812" s="576" t="s">
        <v>67</v>
      </c>
      <c r="T1812" s="577">
        <f>G1784</f>
        <v>0</v>
      </c>
      <c r="U1812" s="578"/>
      <c r="V1812" s="579">
        <f>I1812</f>
        <v>0</v>
      </c>
      <c r="W1812" s="579">
        <f>IFERROR(U1812-V1812,0)</f>
        <v>0</v>
      </c>
      <c r="X1812" s="579">
        <f>SUM(X1798:X1811)</f>
        <v>0</v>
      </c>
      <c r="Y1812" s="879"/>
      <c r="Z1812" s="106"/>
      <c r="AC1812" s="506">
        <v>0</v>
      </c>
      <c r="AD1812" s="507">
        <f>IFERROR(U1812-AC1812,0)</f>
        <v>0</v>
      </c>
      <c r="BO1812" s="86"/>
    </row>
    <row r="1813" spans="1:67" ht="16.5" thickBot="1" x14ac:dyDescent="0.3">
      <c r="A1813" s="520">
        <f>IFERROR(VLOOKUP($G$5,'רשימת רשויות'!A:C,3,0),0)</f>
        <v>0</v>
      </c>
      <c r="B1813" s="520">
        <f t="shared" si="260"/>
        <v>0</v>
      </c>
      <c r="D1813" s="1135"/>
      <c r="E1813" s="1138"/>
      <c r="F1813" s="1144" t="s">
        <v>2793</v>
      </c>
      <c r="G1813" s="1145"/>
      <c r="H1813" s="1145"/>
      <c r="I1813" s="593">
        <f>IFERROR(IF(G1789="תקין",SUMIFS('סייעות רפואיות או אישיות (7)'!$Q$17:Q$384,'סייעות רפואיות או אישיות (7)'!C$17:C$384,G1784),0),0)</f>
        <v>0</v>
      </c>
      <c r="J1813" s="151"/>
      <c r="K1813" s="152"/>
      <c r="L1813" s="409"/>
      <c r="M1813" s="152"/>
      <c r="N1813" s="152"/>
      <c r="O1813" s="152"/>
      <c r="P1813" s="613"/>
      <c r="Q1813" s="614"/>
      <c r="R1813" s="475"/>
      <c r="S1813" s="489"/>
      <c r="T1813" s="490"/>
      <c r="U1813" s="491"/>
      <c r="V1813" s="492"/>
      <c r="W1813" s="492"/>
      <c r="X1813" s="492"/>
      <c r="Y1813" s="880"/>
      <c r="Z1813" s="153"/>
      <c r="AC1813" s="581"/>
      <c r="AD1813" s="582"/>
      <c r="BO1813" s="86"/>
    </row>
    <row r="1814" spans="1:67" ht="34.5" thickBot="1" x14ac:dyDescent="0.55000000000000004">
      <c r="A1814" s="520">
        <f>IFERROR(VLOOKUP($G$5,'רשימת רשויות'!A:C,3,0),0)</f>
        <v>0</v>
      </c>
      <c r="B1814" s="520">
        <f t="shared" si="260"/>
        <v>0</v>
      </c>
      <c r="E1814" s="154"/>
      <c r="I1814" s="143"/>
      <c r="J1814" s="148"/>
      <c r="O1814" s="148"/>
      <c r="T1814" s="481"/>
      <c r="BO1814" s="86"/>
    </row>
    <row r="1815" spans="1:67" s="20" customFormat="1" ht="16.5" customHeight="1" thickBot="1" x14ac:dyDescent="0.3">
      <c r="A1815" s="520">
        <f>IFERROR(VLOOKUP($G$5,'רשימת רשויות'!A:C,3,0),0)</f>
        <v>0</v>
      </c>
      <c r="B1815" s="520">
        <f t="shared" si="260"/>
        <v>0</v>
      </c>
      <c r="C1815" s="39"/>
      <c r="D1815" s="1133">
        <f>D1784+1</f>
        <v>59</v>
      </c>
      <c r="E1815" s="1136" t="str">
        <f>IFERROR(CONCATENATE("בית הספר ",VLOOKUP(G1815,'מצבת והרשמה (2)'!$C$21:$D$520,2,0)," - ",$G$5),"")</f>
        <v>בית הספר המוסד לא קיים - 0</v>
      </c>
      <c r="F1815" s="720" t="s">
        <v>146</v>
      </c>
      <c r="G1815" s="721">
        <f>IFERROR(VLOOKUP(D:D,'דוח ביצוע (3)'!$A$21:$C$900,2,0),0)</f>
        <v>0</v>
      </c>
      <c r="H1815" s="79"/>
      <c r="I1815" s="80" t="s">
        <v>150</v>
      </c>
      <c r="J1815" s="80"/>
      <c r="K1815" s="81"/>
      <c r="L1815" s="392"/>
      <c r="M1815" s="392"/>
      <c r="N1815" s="392"/>
      <c r="O1815" s="82"/>
      <c r="P1815" s="470"/>
      <c r="Q1815" s="471"/>
      <c r="R1815" s="472"/>
      <c r="S1815" s="883"/>
      <c r="T1815" s="884"/>
      <c r="U1815" s="486"/>
      <c r="V1815" s="487"/>
      <c r="W1815" s="487"/>
      <c r="X1815" s="487"/>
      <c r="Y1815" s="885"/>
      <c r="Z1815" s="83"/>
      <c r="AC1815" s="502"/>
      <c r="AD1815" s="503"/>
      <c r="AO1815" s="22"/>
      <c r="AP1815" s="22"/>
      <c r="AQ1815" s="22"/>
      <c r="AR1815" s="22"/>
      <c r="AS1815" s="22"/>
      <c r="AT1815" s="22"/>
      <c r="AU1815" s="35"/>
      <c r="AV1815" s="35"/>
      <c r="AW1815" s="35"/>
      <c r="AX1815" s="35"/>
      <c r="AY1815" s="35"/>
      <c r="AZ1815" s="35"/>
      <c r="BA1815" s="35"/>
      <c r="BB1815" s="35"/>
      <c r="BC1815" s="35"/>
      <c r="BD1815" s="35"/>
      <c r="BE1815" s="35"/>
      <c r="BF1815" s="35"/>
      <c r="BG1815" s="35"/>
      <c r="BH1815" s="35"/>
      <c r="BI1815" s="35"/>
      <c r="BJ1815" s="35"/>
      <c r="BK1815" s="35"/>
      <c r="BL1815" s="35"/>
      <c r="BM1815" s="35"/>
      <c r="BN1815" s="35"/>
      <c r="BO1815" s="78"/>
    </row>
    <row r="1816" spans="1:67" s="20" customFormat="1" ht="16.5" thickBot="1" x14ac:dyDescent="0.3">
      <c r="A1816" s="520">
        <f>IFERROR(VLOOKUP($G$5,'רשימת רשויות'!A:C,3,0),0)</f>
        <v>0</v>
      </c>
      <c r="B1816" s="520">
        <f t="shared" si="260"/>
        <v>0</v>
      </c>
      <c r="C1816" s="39"/>
      <c r="D1816" s="1134"/>
      <c r="E1816" s="1137"/>
      <c r="F1816" s="583" t="s">
        <v>145</v>
      </c>
      <c r="G1816" s="516" t="str">
        <f>IFERROR(IF((G1818+G1819)=0,"",IF(VLOOKUP(G1815,'דוח ביצוע (3)'!$B$21:$K$900,5,0)&gt;149,"גדול",IF(AND(VLOOKUP(G1815,'דוח ביצוע (3)'!$B$21:$K$900,5,0)&gt;0,VLOOKUP(G1815,'דוח ביצוע (3)'!$B$21:$K$900,5,0)&lt;150),"קטן",0))),"")</f>
        <v/>
      </c>
      <c r="H1816" s="723" t="s">
        <v>88</v>
      </c>
      <c r="I1816" s="723" t="s">
        <v>13</v>
      </c>
      <c r="J1816" s="725" t="s">
        <v>14</v>
      </c>
      <c r="K1816" s="724" t="s">
        <v>94</v>
      </c>
      <c r="L1816" s="594"/>
      <c r="M1816" s="420" t="s">
        <v>2584</v>
      </c>
      <c r="N1816" s="397" t="s">
        <v>413</v>
      </c>
      <c r="O1816" s="398" t="s">
        <v>52</v>
      </c>
      <c r="P1816" s="595"/>
      <c r="Q1816" s="595"/>
      <c r="R1816" s="596"/>
      <c r="S1816" s="610"/>
      <c r="T1816" s="881"/>
      <c r="U1816" s="598"/>
      <c r="V1816" s="599"/>
      <c r="W1816" s="599"/>
      <c r="X1816" s="599"/>
      <c r="Y1816" s="879"/>
      <c r="Z1816" s="85"/>
      <c r="AC1816" s="493"/>
      <c r="AD1816" s="495"/>
      <c r="AO1816" s="22"/>
      <c r="AP1816" s="22"/>
      <c r="AQ1816" s="22"/>
      <c r="AR1816" s="22"/>
      <c r="AS1816" s="22"/>
      <c r="AT1816" s="22"/>
      <c r="AU1816" s="35"/>
      <c r="AV1816" s="35"/>
      <c r="AW1816" s="35"/>
      <c r="AX1816" s="35"/>
      <c r="AY1816" s="35"/>
      <c r="AZ1816" s="35"/>
      <c r="BA1816" s="35"/>
      <c r="BB1816" s="35"/>
      <c r="BC1816" s="35"/>
      <c r="BD1816" s="35"/>
      <c r="BE1816" s="35"/>
      <c r="BF1816" s="35"/>
      <c r="BG1816" s="35"/>
      <c r="BH1816" s="35"/>
      <c r="BI1816" s="35"/>
      <c r="BJ1816" s="35"/>
      <c r="BK1816" s="35"/>
      <c r="BL1816" s="35"/>
      <c r="BM1816" s="35"/>
      <c r="BN1816" s="35"/>
      <c r="BO1816" s="78"/>
    </row>
    <row r="1817" spans="1:67" s="20" customFormat="1" ht="15.75" customHeight="1" thickBot="1" x14ac:dyDescent="0.3">
      <c r="A1817" s="520">
        <f>IFERROR(VLOOKUP($G$5,'רשימת רשויות'!A:C,3,0),0)</f>
        <v>0</v>
      </c>
      <c r="B1817" s="520">
        <f t="shared" si="260"/>
        <v>0</v>
      </c>
      <c r="C1817" s="39"/>
      <c r="D1817" s="1134"/>
      <c r="E1817" s="1137"/>
      <c r="F1817" s="584" t="s">
        <v>144</v>
      </c>
      <c r="G1817" s="87">
        <f>IF(G1820="תקין",IFERROR(VLOOKUP($G1815,'דוח ביצוע (3)'!$B$21:$Q$900,12,0),0),0)</f>
        <v>0</v>
      </c>
      <c r="H1817" s="88">
        <f>IFERROR(G1818*$AH$6+G1819*$AH$7,0)</f>
        <v>0</v>
      </c>
      <c r="I1817" s="88">
        <f>IFERROR(G1818*$AI$6+G1819*$AI$7,0)</f>
        <v>0</v>
      </c>
      <c r="J1817" s="88">
        <f>IFERROR(G1818*$AJ$6+G1819*$AJ$7,0)</f>
        <v>0</v>
      </c>
      <c r="K1817" s="88">
        <f>IFERROR(G1818*$AK$6+G1819*$AK$7,0)</f>
        <v>0</v>
      </c>
      <c r="L1817" s="405"/>
      <c r="M1817" s="399" t="s">
        <v>427</v>
      </c>
      <c r="N1817" s="400" t="str">
        <f>IFERROR(VLOOKUP($G1815,'דוח ביצוע (3)'!$B:$AE,28,0),"")</f>
        <v/>
      </c>
      <c r="O1817" s="89" t="str">
        <f>IFERROR(VLOOKUP($G1815,'דוח ביצוע (3)'!B:AE,29,0),"")</f>
        <v/>
      </c>
      <c r="P1817" s="595"/>
      <c r="Q1817" s="595"/>
      <c r="R1817" s="596"/>
      <c r="S1817" s="610"/>
      <c r="T1817" s="881"/>
      <c r="U1817" s="598"/>
      <c r="V1817" s="599"/>
      <c r="W1817" s="599"/>
      <c r="X1817" s="599"/>
      <c r="Y1817" s="879"/>
      <c r="Z1817" s="85"/>
      <c r="AC1817" s="493"/>
      <c r="AD1817" s="495"/>
      <c r="AO1817" s="22"/>
      <c r="AP1817" s="22"/>
      <c r="AQ1817" s="22"/>
      <c r="AR1817" s="22"/>
      <c r="AS1817" s="22"/>
      <c r="AT1817" s="22"/>
      <c r="AU1817" s="35"/>
      <c r="AV1817" s="35"/>
      <c r="AW1817" s="35"/>
      <c r="AX1817" s="35"/>
      <c r="AY1817" s="35"/>
      <c r="AZ1817" s="35"/>
      <c r="BA1817" s="35"/>
      <c r="BB1817" s="35"/>
      <c r="BC1817" s="35"/>
      <c r="BD1817" s="35"/>
      <c r="BE1817" s="35"/>
      <c r="BF1817" s="35"/>
      <c r="BG1817" s="35"/>
      <c r="BH1817" s="35"/>
      <c r="BI1817" s="35"/>
      <c r="BJ1817" s="35"/>
      <c r="BK1817" s="35"/>
      <c r="BL1817" s="35"/>
      <c r="BM1817" s="35"/>
      <c r="BN1817" s="35"/>
      <c r="BO1817" s="78"/>
    </row>
    <row r="1818" spans="1:67" s="20" customFormat="1" ht="32.25" thickBot="1" x14ac:dyDescent="0.3">
      <c r="A1818" s="520">
        <f>IFERROR(VLOOKUP($G$5,'רשימת רשויות'!A:C,3,0),0)</f>
        <v>0</v>
      </c>
      <c r="B1818" s="520">
        <f t="shared" si="260"/>
        <v>0</v>
      </c>
      <c r="C1818" s="39"/>
      <c r="D1818" s="1134"/>
      <c r="E1818" s="1137"/>
      <c r="F1818" s="585" t="s">
        <v>2195</v>
      </c>
      <c r="G1818" s="89">
        <f>IF(G1820="תקין",MAX(N1820,0),0)</f>
        <v>0</v>
      </c>
      <c r="H1818" s="725" t="s">
        <v>151</v>
      </c>
      <c r="I1818" s="725" t="s">
        <v>91</v>
      </c>
      <c r="J1818" s="970" t="s">
        <v>3396</v>
      </c>
      <c r="K1818" s="601"/>
      <c r="L1818" s="601"/>
      <c r="M1818" s="983" t="s">
        <v>2585</v>
      </c>
      <c r="N1818" s="400" t="str">
        <f>IFERROR(G1817/15*N1817*1.25,"")</f>
        <v/>
      </c>
      <c r="O1818" s="89" t="str">
        <f>IFERROR(G1817/15*O1817*1.25,"")</f>
        <v/>
      </c>
      <c r="P1818" s="595"/>
      <c r="Q1818" s="595"/>
      <c r="R1818" s="596"/>
      <c r="S1818" s="610"/>
      <c r="T1818" s="881"/>
      <c r="U1818" s="598"/>
      <c r="V1818" s="599"/>
      <c r="W1818" s="599"/>
      <c r="X1818" s="599"/>
      <c r="Y1818" s="879"/>
      <c r="Z1818" s="85"/>
      <c r="AC1818" s="493"/>
      <c r="AD1818" s="495"/>
      <c r="AG1818" s="22"/>
      <c r="AH1818" s="55"/>
      <c r="AI1818" s="55"/>
      <c r="AJ1818" s="55"/>
      <c r="AK1818" s="55"/>
      <c r="AO1818" s="22"/>
      <c r="AP1818" s="22"/>
      <c r="AQ1818" s="22"/>
      <c r="AR1818" s="22"/>
      <c r="AS1818" s="22"/>
      <c r="AT1818" s="22"/>
      <c r="AU1818" s="35"/>
      <c r="AV1818" s="35"/>
      <c r="AW1818" s="35"/>
      <c r="AX1818" s="35"/>
      <c r="AY1818" s="35"/>
      <c r="AZ1818" s="35"/>
      <c r="BA1818" s="35"/>
      <c r="BB1818" s="35"/>
      <c r="BC1818" s="35"/>
      <c r="BD1818" s="35"/>
      <c r="BE1818" s="35"/>
      <c r="BF1818" s="35"/>
      <c r="BG1818" s="35"/>
      <c r="BH1818" s="35"/>
      <c r="BI1818" s="35"/>
      <c r="BJ1818" s="35"/>
      <c r="BK1818" s="35"/>
      <c r="BL1818" s="35"/>
      <c r="BM1818" s="35"/>
      <c r="BN1818" s="35"/>
      <c r="BO1818" s="86"/>
    </row>
    <row r="1819" spans="1:67" s="20" customFormat="1" ht="16.5" thickBot="1" x14ac:dyDescent="0.3">
      <c r="A1819" s="520">
        <f>IFERROR(VLOOKUP($G$5,'רשימת רשויות'!A:C,3,0),0)</f>
        <v>0</v>
      </c>
      <c r="B1819" s="520">
        <f t="shared" si="260"/>
        <v>0</v>
      </c>
      <c r="C1819" s="39"/>
      <c r="D1819" s="1134"/>
      <c r="E1819" s="1137"/>
      <c r="F1819" s="585" t="s">
        <v>2196</v>
      </c>
      <c r="G1819" s="89">
        <f>IF(G1820="תקין",MAX(O1820,0),0)</f>
        <v>0</v>
      </c>
      <c r="H1819" s="88">
        <f>(IFERROR(IF((G1818+G1819)=0,0,IF(G1816="קטן",G1817*$AH$10,G1817*$AH$11)),0))+(IFERROR(IF((G1818+G1819)=0,0,VLOOKUP(G1815,'דוח ביצוע (3)'!$B:$AH,33,0)),0))</f>
        <v>0</v>
      </c>
      <c r="I1819" s="88">
        <f>IFERROR(IF((G1818+G1819)=0,0,IF(G1816="קטן",G1817*$AI$10,G1817*$AI$11)),0)</f>
        <v>0</v>
      </c>
      <c r="J1819" s="88">
        <f>IFERROR(IF((G1818+G1819)=0,0,VLOOKUP(G1815,'דוח ביצוע (3)'!$B:$AH,32,0)),0)</f>
        <v>0</v>
      </c>
      <c r="K1819" s="90"/>
      <c r="L1819" s="90"/>
      <c r="M1819" s="399" t="s">
        <v>412</v>
      </c>
      <c r="N1819" s="400">
        <f>IFERROR(VLOOKUP($G1815,'דוח ביצוע (3)'!$B$21:$U$500,18,0),0)</f>
        <v>0</v>
      </c>
      <c r="O1819" s="401">
        <f>IFERROR(VLOOKUP($G1815,'דוח ביצוע (3)'!$B$21:$U$500,19,0),0)</f>
        <v>0</v>
      </c>
      <c r="P1819" s="595"/>
      <c r="Q1819" s="595"/>
      <c r="R1819" s="596"/>
      <c r="S1819" s="610"/>
      <c r="T1819" s="881"/>
      <c r="U1819" s="598"/>
      <c r="V1819" s="599"/>
      <c r="W1819" s="599"/>
      <c r="X1819" s="599"/>
      <c r="Y1819" s="879"/>
      <c r="Z1819" s="85"/>
      <c r="AC1819" s="493"/>
      <c r="AD1819" s="495"/>
      <c r="AG1819" s="22"/>
      <c r="AH1819" s="55"/>
      <c r="AI1819" s="55"/>
      <c r="AJ1819" s="55"/>
      <c r="AK1819" s="55"/>
      <c r="AO1819" s="22"/>
      <c r="AP1819" s="22"/>
      <c r="AQ1819" s="22"/>
      <c r="AR1819" s="22"/>
      <c r="AS1819" s="22"/>
      <c r="AT1819" s="22"/>
      <c r="AU1819" s="35"/>
      <c r="AV1819" s="35"/>
      <c r="AW1819" s="35"/>
      <c r="AX1819" s="35"/>
      <c r="AY1819" s="35"/>
      <c r="AZ1819" s="35"/>
      <c r="BA1819" s="35"/>
      <c r="BB1819" s="35"/>
      <c r="BC1819" s="35"/>
      <c r="BD1819" s="35"/>
      <c r="BE1819" s="35"/>
      <c r="BF1819" s="35"/>
      <c r="BG1819" s="35"/>
      <c r="BH1819" s="35"/>
      <c r="BI1819" s="35"/>
      <c r="BJ1819" s="35"/>
      <c r="BK1819" s="35"/>
      <c r="BL1819" s="35"/>
      <c r="BM1819" s="35"/>
      <c r="BN1819" s="35"/>
      <c r="BO1819" s="86"/>
    </row>
    <row r="1820" spans="1:67" s="20" customFormat="1" ht="16.5" thickBot="1" x14ac:dyDescent="0.3">
      <c r="A1820" s="520">
        <f>IFERROR(VLOOKUP($G$5,'רשימת רשויות'!A:C,3,0),0)</f>
        <v>0</v>
      </c>
      <c r="B1820" s="520">
        <f t="shared" si="260"/>
        <v>0</v>
      </c>
      <c r="C1820" s="39"/>
      <c r="D1820" s="1134"/>
      <c r="E1820" s="1137"/>
      <c r="F1820" s="586" t="s">
        <v>2355</v>
      </c>
      <c r="G1820" s="514">
        <f>IFERROR(IF(VLOOKUP('בית ספר - תקצוב לפי מוסד (9)'!G1815,' איוש משרות (8)'!$C:$K,9,0)="תקין","תקין","לא תקין"),0)</f>
        <v>0</v>
      </c>
      <c r="H1820" s="91"/>
      <c r="I1820" s="91"/>
      <c r="J1820" s="91"/>
      <c r="K1820" s="90"/>
      <c r="L1820" s="90"/>
      <c r="M1820" s="402" t="s">
        <v>2586</v>
      </c>
      <c r="N1820" s="403">
        <f>IFERROR(MIN(N1818,N1819),0)</f>
        <v>0</v>
      </c>
      <c r="O1820" s="404">
        <f>IFERROR(MIN(O1818,O1819),0)</f>
        <v>0</v>
      </c>
      <c r="P1820" s="595"/>
      <c r="Q1820" s="595"/>
      <c r="R1820" s="596"/>
      <c r="S1820" s="610"/>
      <c r="T1820" s="881"/>
      <c r="U1820" s="598"/>
      <c r="V1820" s="599"/>
      <c r="W1820" s="599"/>
      <c r="X1820" s="599"/>
      <c r="Y1820" s="879"/>
      <c r="Z1820" s="85"/>
      <c r="AC1820" s="493"/>
      <c r="AD1820" s="495"/>
      <c r="AG1820" s="94"/>
      <c r="AH1820" s="40"/>
      <c r="AI1820" s="40"/>
      <c r="AJ1820" s="40"/>
      <c r="AK1820" s="40"/>
      <c r="AO1820" s="22"/>
      <c r="AP1820" s="22"/>
      <c r="AQ1820" s="22"/>
      <c r="AR1820" s="22"/>
      <c r="AS1820" s="22"/>
      <c r="AT1820" s="22"/>
      <c r="AU1820" s="35"/>
      <c r="AV1820" s="35"/>
      <c r="AW1820" s="35"/>
      <c r="AX1820" s="35"/>
      <c r="AY1820" s="35"/>
      <c r="AZ1820" s="35"/>
      <c r="BA1820" s="35"/>
      <c r="BB1820" s="35"/>
      <c r="BC1820" s="35"/>
      <c r="BD1820" s="35"/>
      <c r="BE1820" s="35"/>
      <c r="BF1820" s="35"/>
      <c r="BG1820" s="35"/>
      <c r="BH1820" s="35"/>
      <c r="BI1820" s="35"/>
      <c r="BJ1820" s="35"/>
      <c r="BK1820" s="35"/>
      <c r="BL1820" s="35"/>
      <c r="BM1820" s="35"/>
      <c r="BN1820" s="35"/>
      <c r="BO1820" s="86"/>
    </row>
    <row r="1821" spans="1:67" s="55" customFormat="1" ht="37.15" customHeight="1" thickBot="1" x14ac:dyDescent="0.3">
      <c r="A1821" s="520">
        <f>IFERROR(VLOOKUP($G$5,'רשימת רשויות'!A:C,3,0),0)</f>
        <v>0</v>
      </c>
      <c r="B1821" s="520">
        <f t="shared" si="260"/>
        <v>0</v>
      </c>
      <c r="C1821" s="39"/>
      <c r="D1821" s="1134"/>
      <c r="E1821" s="1137"/>
      <c r="F1821" s="587" t="s">
        <v>142</v>
      </c>
      <c r="G1821" s="92"/>
      <c r="H1821" s="92"/>
      <c r="I1821" s="92"/>
      <c r="J1821" s="92"/>
      <c r="K1821" s="602"/>
      <c r="L1821" s="602"/>
      <c r="M1821" s="602"/>
      <c r="N1821" s="602"/>
      <c r="O1821" s="602"/>
      <c r="P1821" s="595"/>
      <c r="Q1821" s="595"/>
      <c r="R1821" s="596"/>
      <c r="S1821" s="610"/>
      <c r="T1821" s="881"/>
      <c r="U1821" s="598"/>
      <c r="V1821" s="599"/>
      <c r="W1821" s="599"/>
      <c r="X1821" s="599"/>
      <c r="Y1821" s="879"/>
      <c r="Z1821" s="93"/>
      <c r="AC1821" s="493"/>
      <c r="AD1821" s="495"/>
      <c r="AF1821" s="22"/>
      <c r="AG1821" s="98"/>
      <c r="AH1821" s="98"/>
      <c r="AI1821" s="40"/>
      <c r="AJ1821" s="40"/>
      <c r="AK1821" s="40"/>
      <c r="AO1821" s="22"/>
      <c r="AP1821" s="22"/>
      <c r="AQ1821" s="22"/>
      <c r="AR1821" s="22"/>
      <c r="AS1821" s="22"/>
      <c r="AT1821" s="22"/>
      <c r="AU1821" s="35"/>
      <c r="AV1821" s="35"/>
      <c r="AW1821" s="35"/>
      <c r="AX1821" s="35"/>
      <c r="AY1821" s="35"/>
      <c r="AZ1821" s="35"/>
      <c r="BA1821" s="35"/>
      <c r="BB1821" s="35"/>
      <c r="BC1821" s="35"/>
      <c r="BD1821" s="35"/>
      <c r="BE1821" s="35"/>
      <c r="BF1821" s="35"/>
      <c r="BG1821" s="35"/>
      <c r="BH1821" s="35"/>
      <c r="BI1821" s="35"/>
      <c r="BJ1821" s="35"/>
      <c r="BK1821" s="35"/>
      <c r="BL1821" s="35"/>
      <c r="BM1821" s="35"/>
      <c r="BN1821" s="35"/>
      <c r="BO1821" s="86"/>
    </row>
    <row r="1822" spans="1:67" s="40" customFormat="1" ht="31.5" x14ac:dyDescent="0.25">
      <c r="A1822" s="520">
        <f>IFERROR(VLOOKUP($G$5,'רשימת רשויות'!A:C,3,0),0)</f>
        <v>0</v>
      </c>
      <c r="B1822" s="520">
        <f t="shared" si="260"/>
        <v>0</v>
      </c>
      <c r="C1822" s="39"/>
      <c r="D1822" s="1134"/>
      <c r="E1822" s="1137"/>
      <c r="F1822" s="588" t="s">
        <v>94</v>
      </c>
      <c r="G1822" s="95" t="s">
        <v>18</v>
      </c>
      <c r="H1822" s="95" t="s">
        <v>19</v>
      </c>
      <c r="I1822" s="95" t="s">
        <v>138</v>
      </c>
      <c r="J1822" s="96" t="s">
        <v>139</v>
      </c>
      <c r="K1822" s="603"/>
      <c r="L1822" s="603"/>
      <c r="M1822" s="603"/>
      <c r="N1822" s="603"/>
      <c r="O1822" s="603"/>
      <c r="P1822" s="604"/>
      <c r="Q1822" s="604"/>
      <c r="R1822" s="596"/>
      <c r="S1822" s="610"/>
      <c r="T1822" s="881"/>
      <c r="U1822" s="598"/>
      <c r="V1822" s="599"/>
      <c r="W1822" s="599"/>
      <c r="X1822" s="599"/>
      <c r="Y1822" s="879"/>
      <c r="Z1822" s="97"/>
      <c r="AA1822" s="94"/>
      <c r="AB1822" s="94"/>
      <c r="AC1822" s="493"/>
      <c r="AD1822" s="495"/>
      <c r="AE1822" s="94"/>
      <c r="AG1822" s="98"/>
      <c r="AH1822" s="98"/>
      <c r="AO1822" s="22"/>
      <c r="AP1822" s="22"/>
      <c r="AQ1822" s="22"/>
      <c r="AR1822" s="22"/>
      <c r="AS1822" s="22"/>
      <c r="AT1822" s="22"/>
      <c r="AU1822" s="35"/>
      <c r="AV1822" s="35"/>
      <c r="AW1822" s="35"/>
      <c r="AX1822" s="35"/>
      <c r="AY1822" s="35"/>
      <c r="AZ1822" s="35"/>
      <c r="BA1822" s="35"/>
      <c r="BB1822" s="35"/>
      <c r="BC1822" s="35"/>
      <c r="BD1822" s="35"/>
      <c r="BE1822" s="35"/>
      <c r="BF1822" s="35"/>
      <c r="BG1822" s="35"/>
      <c r="BH1822" s="35"/>
      <c r="BI1822" s="35"/>
      <c r="BJ1822" s="35"/>
      <c r="BK1822" s="35"/>
      <c r="BL1822" s="35"/>
      <c r="BM1822" s="35"/>
      <c r="BN1822" s="35"/>
      <c r="BO1822" s="86"/>
    </row>
    <row r="1823" spans="1:67" s="40" customFormat="1" ht="15.75" customHeight="1" thickBot="1" x14ac:dyDescent="0.3">
      <c r="A1823" s="520">
        <f>IFERROR(VLOOKUP($G$5,'רשימת רשויות'!A:C,3,0),0)</f>
        <v>0</v>
      </c>
      <c r="B1823" s="520">
        <f t="shared" si="260"/>
        <v>0</v>
      </c>
      <c r="C1823" s="39"/>
      <c r="D1823" s="1134"/>
      <c r="E1823" s="1137"/>
      <c r="F1823" s="589" t="s">
        <v>2280</v>
      </c>
      <c r="G1823" s="99">
        <f>+G1834</f>
        <v>0</v>
      </c>
      <c r="H1823" s="100">
        <f>K1817</f>
        <v>0</v>
      </c>
      <c r="I1823" s="100">
        <f>H1823-I1825</f>
        <v>0</v>
      </c>
      <c r="J1823" s="101">
        <f>IFERROR(I1823/H1823,0)</f>
        <v>0</v>
      </c>
      <c r="K1823" s="603"/>
      <c r="L1823" s="603"/>
      <c r="M1823" s="603"/>
      <c r="N1823" s="603"/>
      <c r="O1823" s="603"/>
      <c r="P1823" s="605"/>
      <c r="Q1823" s="604"/>
      <c r="R1823" s="606" t="s">
        <v>157</v>
      </c>
      <c r="S1823" s="611"/>
      <c r="T1823" s="881"/>
      <c r="U1823" s="598"/>
      <c r="V1823" s="599"/>
      <c r="W1823" s="599"/>
      <c r="X1823" s="599"/>
      <c r="Y1823" s="879"/>
      <c r="Z1823" s="102"/>
      <c r="AA1823" s="122"/>
      <c r="AB1823" s="122"/>
      <c r="AC1823" s="493"/>
      <c r="AD1823" s="495"/>
      <c r="AE1823" s="122"/>
      <c r="AF1823" s="22"/>
      <c r="AG1823" s="98"/>
      <c r="AH1823" s="98"/>
      <c r="AI1823" s="20"/>
      <c r="AO1823" s="22"/>
      <c r="AP1823" s="22"/>
      <c r="AQ1823" s="22"/>
      <c r="AR1823" s="22"/>
      <c r="AS1823" s="22"/>
      <c r="AT1823" s="22"/>
      <c r="AU1823" s="35"/>
      <c r="AV1823" s="35"/>
      <c r="AW1823" s="35"/>
      <c r="AX1823" s="35"/>
      <c r="AY1823" s="35"/>
      <c r="AZ1823" s="35"/>
      <c r="BA1823" s="35"/>
      <c r="BB1823" s="35"/>
      <c r="BC1823" s="35"/>
      <c r="BD1823" s="35"/>
      <c r="BE1823" s="35"/>
      <c r="BF1823" s="35"/>
      <c r="BG1823" s="35"/>
      <c r="BH1823" s="35"/>
      <c r="BI1823" s="35"/>
      <c r="BJ1823" s="35"/>
      <c r="BK1823" s="35"/>
      <c r="BL1823" s="35"/>
      <c r="BM1823" s="35"/>
      <c r="BN1823" s="35"/>
      <c r="BO1823" s="86"/>
    </row>
    <row r="1824" spans="1:67" s="40" customFormat="1" ht="15.75" customHeight="1" thickBot="1" x14ac:dyDescent="0.3">
      <c r="A1824" s="520">
        <f>IFERROR(VLOOKUP($G$5,'רשימת רשויות'!A:C,3,0),0)</f>
        <v>0</v>
      </c>
      <c r="B1824" s="520">
        <f t="shared" si="260"/>
        <v>0</v>
      </c>
      <c r="C1824" s="39"/>
      <c r="D1824" s="1134"/>
      <c r="E1824" s="1137"/>
      <c r="F1824" s="589" t="s">
        <v>2281</v>
      </c>
      <c r="G1824" s="99">
        <f>+G1833</f>
        <v>0</v>
      </c>
      <c r="H1824" s="103"/>
      <c r="I1824" s="104"/>
      <c r="J1824" s="105"/>
      <c r="K1824" s="603"/>
      <c r="L1824" s="603"/>
      <c r="M1824" s="603"/>
      <c r="N1824" s="603"/>
      <c r="O1824" s="603"/>
      <c r="P1824" s="605"/>
      <c r="Q1824" s="604"/>
      <c r="R1824" s="473">
        <f>I1825-R1826</f>
        <v>0</v>
      </c>
      <c r="S1824" s="611"/>
      <c r="T1824" s="881"/>
      <c r="U1824" s="598"/>
      <c r="V1824" s="599"/>
      <c r="W1824" s="599"/>
      <c r="X1824" s="599"/>
      <c r="Y1824" s="879"/>
      <c r="Z1824" s="106"/>
      <c r="AA1824" s="22"/>
      <c r="AB1824" s="22"/>
      <c r="AC1824" s="493"/>
      <c r="AD1824" s="495"/>
      <c r="AE1824" s="22"/>
      <c r="AF1824" s="22"/>
      <c r="AG1824" s="98"/>
      <c r="AH1824" s="98"/>
      <c r="AI1824" s="20"/>
      <c r="AO1824" s="22"/>
      <c r="AP1824" s="22"/>
      <c r="AQ1824" s="22"/>
      <c r="AR1824" s="22"/>
      <c r="AS1824" s="22"/>
      <c r="AT1824" s="22"/>
      <c r="AU1824" s="35"/>
      <c r="AV1824" s="35"/>
      <c r="AW1824" s="35"/>
      <c r="AX1824" s="35"/>
      <c r="AY1824" s="35"/>
      <c r="AZ1824" s="35"/>
      <c r="BA1824" s="35"/>
      <c r="BB1824" s="35"/>
      <c r="BC1824" s="35"/>
      <c r="BD1824" s="35"/>
      <c r="BE1824" s="35"/>
      <c r="BF1824" s="35"/>
      <c r="BG1824" s="35"/>
      <c r="BH1824" s="35"/>
      <c r="BI1824" s="35"/>
      <c r="BJ1824" s="35"/>
      <c r="BK1824" s="35"/>
      <c r="BL1824" s="35"/>
      <c r="BM1824" s="35"/>
      <c r="BN1824" s="35"/>
      <c r="BO1824" s="86"/>
    </row>
    <row r="1825" spans="1:67" s="40" customFormat="1" ht="16.5" customHeight="1" thickBot="1" x14ac:dyDescent="0.3">
      <c r="A1825" s="520">
        <f>IFERROR(VLOOKUP($G$5,'רשימת רשויות'!A:C,3,0),0)</f>
        <v>0</v>
      </c>
      <c r="B1825" s="520">
        <f t="shared" si="260"/>
        <v>0</v>
      </c>
      <c r="C1825" s="39"/>
      <c r="D1825" s="1134"/>
      <c r="E1825" s="1137"/>
      <c r="F1825" s="589" t="s">
        <v>2282</v>
      </c>
      <c r="G1825" s="99">
        <f>G1829+G1830+G1831</f>
        <v>0</v>
      </c>
      <c r="H1825" s="104"/>
      <c r="I1825" s="107">
        <f>MAX(H1823-G1823-G1824,0)</f>
        <v>0</v>
      </c>
      <c r="J1825" s="108">
        <f>IFERROR(I1825/H1823,0)</f>
        <v>0</v>
      </c>
      <c r="K1825" s="603"/>
      <c r="L1825" s="603"/>
      <c r="M1825" s="603"/>
      <c r="N1825" s="603"/>
      <c r="O1825" s="603"/>
      <c r="P1825" s="604"/>
      <c r="Q1825" s="604"/>
      <c r="R1825" s="606" t="s">
        <v>158</v>
      </c>
      <c r="S1825" s="612"/>
      <c r="T1825" s="881"/>
      <c r="U1825" s="598"/>
      <c r="V1825" s="599"/>
      <c r="W1825" s="599"/>
      <c r="X1825" s="599"/>
      <c r="Y1825" s="879"/>
      <c r="Z1825" s="106"/>
      <c r="AA1825" s="22"/>
      <c r="AB1825" s="22"/>
      <c r="AC1825" s="493"/>
      <c r="AD1825" s="495"/>
      <c r="AE1825" s="22"/>
      <c r="AF1825" s="22"/>
      <c r="AG1825" s="22"/>
      <c r="AH1825" s="22"/>
      <c r="AI1825" s="55"/>
      <c r="AJ1825" s="22"/>
      <c r="AK1825" s="22"/>
      <c r="AO1825" s="22"/>
      <c r="AP1825" s="22"/>
      <c r="AQ1825" s="22"/>
      <c r="AR1825" s="22"/>
      <c r="AS1825" s="22"/>
      <c r="AT1825" s="22"/>
      <c r="AU1825" s="35"/>
      <c r="AV1825" s="35"/>
      <c r="AW1825" s="35"/>
      <c r="AX1825" s="35"/>
      <c r="AY1825" s="35"/>
      <c r="AZ1825" s="35"/>
      <c r="BA1825" s="35"/>
      <c r="BB1825" s="35"/>
      <c r="BC1825" s="35"/>
      <c r="BD1825" s="35"/>
      <c r="BE1825" s="35"/>
      <c r="BF1825" s="35"/>
      <c r="BG1825" s="35"/>
      <c r="BH1825" s="35"/>
      <c r="BI1825" s="35"/>
      <c r="BJ1825" s="35"/>
      <c r="BK1825" s="35"/>
      <c r="BL1825" s="35"/>
      <c r="BM1825" s="35"/>
      <c r="BN1825" s="35"/>
      <c r="BO1825" s="86"/>
    </row>
    <row r="1826" spans="1:67" s="40" customFormat="1" ht="15.75" customHeight="1" thickBot="1" x14ac:dyDescent="0.3">
      <c r="A1826" s="520">
        <f>IFERROR(VLOOKUP($G$5,'רשימת רשויות'!A:C,3,0),0)</f>
        <v>0</v>
      </c>
      <c r="B1826" s="520">
        <f t="shared" si="260"/>
        <v>0</v>
      </c>
      <c r="C1826" s="39"/>
      <c r="D1826" s="1134"/>
      <c r="E1826" s="1137"/>
      <c r="F1826" s="590" t="s">
        <v>2290</v>
      </c>
      <c r="G1826" s="109"/>
      <c r="H1826" s="110"/>
      <c r="I1826" s="111">
        <f>SUM(I1823:I1825)</f>
        <v>0</v>
      </c>
      <c r="J1826" s="112">
        <f>SUM(J1823:J1825)</f>
        <v>0</v>
      </c>
      <c r="K1826" s="603"/>
      <c r="L1826" s="603"/>
      <c r="M1826" s="603"/>
      <c r="N1826" s="603"/>
      <c r="O1826" s="603"/>
      <c r="P1826" s="604"/>
      <c r="Q1826" s="604"/>
      <c r="R1826" s="473">
        <f>MIN(MAX(G1830+G1831-I1819-J1819,0),I1825)</f>
        <v>0</v>
      </c>
      <c r="S1826" s="612"/>
      <c r="T1826" s="881"/>
      <c r="U1826" s="598"/>
      <c r="V1826" s="599"/>
      <c r="W1826" s="599"/>
      <c r="X1826" s="599"/>
      <c r="Y1826" s="879"/>
      <c r="Z1826" s="106"/>
      <c r="AA1826" s="22"/>
      <c r="AB1826" s="22"/>
      <c r="AC1826" s="493"/>
      <c r="AD1826" s="495"/>
      <c r="AE1826" s="22"/>
      <c r="AF1826" s="22"/>
      <c r="AG1826" s="22"/>
      <c r="AH1826" s="22"/>
      <c r="AJ1826" s="22"/>
      <c r="AK1826" s="22"/>
      <c r="AO1826" s="22"/>
      <c r="AP1826" s="22"/>
      <c r="AQ1826" s="22"/>
      <c r="AR1826" s="22"/>
      <c r="AS1826" s="22"/>
      <c r="AT1826" s="22"/>
      <c r="AU1826" s="35"/>
      <c r="AV1826" s="35"/>
      <c r="AW1826" s="35"/>
      <c r="AX1826" s="35"/>
      <c r="AY1826" s="35"/>
      <c r="AZ1826" s="35"/>
      <c r="BA1826" s="35"/>
      <c r="BB1826" s="35"/>
      <c r="BC1826" s="35"/>
      <c r="BD1826" s="35"/>
      <c r="BE1826" s="35"/>
      <c r="BF1826" s="35"/>
      <c r="BG1826" s="35"/>
      <c r="BH1826" s="35"/>
      <c r="BI1826" s="35"/>
      <c r="BJ1826" s="35"/>
      <c r="BK1826" s="35"/>
      <c r="BL1826" s="35"/>
      <c r="BM1826" s="35"/>
      <c r="BN1826" s="35"/>
      <c r="BO1826" s="86"/>
    </row>
    <row r="1827" spans="1:67" ht="16.5" thickBot="1" x14ac:dyDescent="0.3">
      <c r="A1827" s="520">
        <f>IFERROR(VLOOKUP($G$5,'רשימת רשויות'!A:C,3,0),0)</f>
        <v>0</v>
      </c>
      <c r="B1827" s="520">
        <f t="shared" si="260"/>
        <v>0</v>
      </c>
      <c r="D1827" s="1134"/>
      <c r="E1827" s="1137"/>
      <c r="F1827" s="587" t="s">
        <v>17</v>
      </c>
      <c r="G1827" s="113"/>
      <c r="H1827" s="92"/>
      <c r="I1827" s="114"/>
      <c r="J1827" s="115"/>
      <c r="K1827" s="116"/>
      <c r="L1827" s="406"/>
      <c r="M1827" s="116"/>
      <c r="N1827" s="116"/>
      <c r="O1827" s="116"/>
      <c r="P1827" s="474"/>
      <c r="Q1827" s="607"/>
      <c r="R1827" s="608"/>
      <c r="S1827" s="612"/>
      <c r="T1827" s="881"/>
      <c r="U1827" s="598"/>
      <c r="V1827" s="599"/>
      <c r="W1827" s="599"/>
      <c r="X1827" s="599"/>
      <c r="Y1827" s="879"/>
      <c r="Z1827" s="106"/>
      <c r="AI1827" s="40"/>
      <c r="BO1827" s="86"/>
    </row>
    <row r="1828" spans="1:67" ht="47.25" x14ac:dyDescent="0.25">
      <c r="A1828" s="520">
        <f>IFERROR(VLOOKUP($G$5,'רשימת רשויות'!A:C,3,0),0)</f>
        <v>0</v>
      </c>
      <c r="B1828" s="520">
        <f t="shared" si="260"/>
        <v>0</v>
      </c>
      <c r="D1828" s="1134"/>
      <c r="E1828" s="1137"/>
      <c r="F1828" s="588" t="s">
        <v>2</v>
      </c>
      <c r="G1828" s="95" t="s">
        <v>18</v>
      </c>
      <c r="H1828" s="95" t="s">
        <v>19</v>
      </c>
      <c r="I1828" s="95" t="s">
        <v>20</v>
      </c>
      <c r="J1828" s="95" t="s">
        <v>22</v>
      </c>
      <c r="K1828" s="96" t="s">
        <v>2314</v>
      </c>
      <c r="L1828" s="609"/>
      <c r="M1828" s="609"/>
      <c r="N1828" s="609"/>
      <c r="O1828" s="580"/>
      <c r="P1828" s="618" t="s">
        <v>2298</v>
      </c>
      <c r="Q1828" s="618" t="s">
        <v>2299</v>
      </c>
      <c r="R1828" s="596"/>
      <c r="S1828" s="890" t="s">
        <v>2519</v>
      </c>
      <c r="T1828" s="890" t="s">
        <v>97</v>
      </c>
      <c r="U1828" s="891" t="s">
        <v>2521</v>
      </c>
      <c r="V1828" s="892" t="s">
        <v>2520</v>
      </c>
      <c r="W1828" s="893" t="s">
        <v>2524</v>
      </c>
      <c r="X1828" s="892" t="s">
        <v>2522</v>
      </c>
      <c r="Y1828" s="894" t="s">
        <v>2523</v>
      </c>
      <c r="Z1828" s="106"/>
      <c r="AC1828" s="498" t="s">
        <v>2568</v>
      </c>
      <c r="AD1828" s="499" t="s">
        <v>2569</v>
      </c>
      <c r="AF1828" s="122"/>
      <c r="AI1828" s="40"/>
      <c r="BO1828" s="86"/>
    </row>
    <row r="1829" spans="1:67" ht="15" customHeight="1" thickBot="1" x14ac:dyDescent="0.3">
      <c r="A1829" s="520">
        <f>IFERROR(VLOOKUP($G$5,'רשימת רשויות'!A:C,3,0),0)</f>
        <v>0</v>
      </c>
      <c r="B1829" s="520">
        <f t="shared" si="260"/>
        <v>0</v>
      </c>
      <c r="D1829" s="1134"/>
      <c r="E1829" s="1137"/>
      <c r="F1829" s="589" t="s">
        <v>76</v>
      </c>
      <c r="G1829" s="117">
        <f>IF(G1820="תקין",SUMIF('עלויות כח אדם (6)'!$B$15:$B$3014,'בית ספר - תקצוב לפי מוסד (9)'!$G1815,'עלויות כח אדם (6)'!$M$15:$M$3014)-VLOOKUP('בית ספר - תקצוב לפי מוסד (9)'!G1815,' איוש משרות (8)'!$C:$H,5,0)-VLOOKUP('בית ספר - תקצוב לפי מוסד (9)'!G1815,' איוש משרות (8)'!$C:$H,6,0),0)-Y1829</f>
        <v>0</v>
      </c>
      <c r="H1829" s="118">
        <f>I1817+R1824</f>
        <v>0</v>
      </c>
      <c r="I1829" s="119">
        <f>IFERROR(SUM(G1829)/H1829,0)</f>
        <v>0</v>
      </c>
      <c r="J1829" s="100">
        <f>MIN(I1817+R1824,IF(ISNUMBER(G1829),G1829,0))</f>
        <v>0</v>
      </c>
      <c r="K1829" s="120">
        <f>MAX(H1829-G1829,0)</f>
        <v>0</v>
      </c>
      <c r="L1829" s="407"/>
      <c r="M1829" s="393"/>
      <c r="N1829" s="393"/>
      <c r="O1829" s="580"/>
      <c r="P1829" s="968">
        <f>IFERROR(IF(SUM(G1829)/(I1817)&lt;100%,MIN((I1817)-SUM(G1829),(I1817)*0.25),0),0)</f>
        <v>0</v>
      </c>
      <c r="Q1829" s="968">
        <f>IF(SUM(G1829)-(I1817+R1824)&gt;0,SUM(G1829)-(I1817+R1824),0)</f>
        <v>0</v>
      </c>
      <c r="R1829" s="596" t="s">
        <v>2351</v>
      </c>
      <c r="S1829" s="576" t="s">
        <v>2342</v>
      </c>
      <c r="T1829" s="599">
        <f>G1815</f>
        <v>0</v>
      </c>
      <c r="U1829" s="578"/>
      <c r="V1829" s="579">
        <f>G1829+G1830+G1831</f>
        <v>0</v>
      </c>
      <c r="W1829" s="579">
        <f>U1829-V1829</f>
        <v>0</v>
      </c>
      <c r="X1829" s="579">
        <f>IFERROR(W1843*W1829/(SUM(W1829:W1842)),0)</f>
        <v>0</v>
      </c>
      <c r="Y1829" s="879">
        <f>SUMIFS(בקרה!$S:$S,בקרה!$D:$D,T1829,בקרה!$K:$K,S1829)</f>
        <v>0</v>
      </c>
      <c r="Z1829" s="121"/>
      <c r="AA1829" s="143"/>
      <c r="AB1829" s="143"/>
      <c r="AC1829" s="504">
        <v>0</v>
      </c>
      <c r="AD1829" s="505">
        <f>IFERROR(U1829-AC1829,0)</f>
        <v>0</v>
      </c>
      <c r="AE1829" s="143"/>
      <c r="AI1829" s="20"/>
      <c r="BO1829" s="86"/>
    </row>
    <row r="1830" spans="1:67" ht="15" customHeight="1" thickBot="1" x14ac:dyDescent="0.3">
      <c r="A1830" s="520">
        <f>IFERROR(VLOOKUP($G$5,'רשימת רשויות'!A:C,3,0),0)</f>
        <v>0</v>
      </c>
      <c r="B1830" s="520">
        <f t="shared" si="260"/>
        <v>0</v>
      </c>
      <c r="D1830" s="1134"/>
      <c r="E1830" s="1137"/>
      <c r="F1830" s="589" t="s">
        <v>44</v>
      </c>
      <c r="G1830" s="123">
        <f>IF(G1820="תקין",IFERROR(VLOOKUP('בית ספר - תקצוב לפי מוסד (9)'!G1815,' איוש משרות (8)'!C:J,7,0),0),0)</f>
        <v>0</v>
      </c>
      <c r="H1830" s="124">
        <f>I1819+R1826+J1819</f>
        <v>0</v>
      </c>
      <c r="I1830" s="119">
        <f>IFERROR(SUM(G1830:G1831)/H1830,0)</f>
        <v>0</v>
      </c>
      <c r="J1830" s="100">
        <f>MIN(R1826+I1819,IF(ISNUMBER(SUM(G1830:G1831)),SUM(G1830:G1831),0))</f>
        <v>0</v>
      </c>
      <c r="K1830" s="1139">
        <f>MAX((H1830)-(G1830+G1831),0)</f>
        <v>0</v>
      </c>
      <c r="L1830" s="407"/>
      <c r="M1830" s="393"/>
      <c r="N1830" s="393"/>
      <c r="O1830" s="580"/>
      <c r="P1830" s="1140"/>
      <c r="Q1830" s="1140"/>
      <c r="R1830" s="617">
        <f>MAX(MIN(P1838-Q1838,H1838*0.15-G1836),0)</f>
        <v>0</v>
      </c>
      <c r="S1830" s="576"/>
      <c r="T1830" s="599">
        <f>G1815</f>
        <v>0</v>
      </c>
      <c r="U1830" s="578"/>
      <c r="V1830" s="579"/>
      <c r="W1830" s="579">
        <f t="shared" ref="W1830:W1842" si="261">U1830-V1830</f>
        <v>0</v>
      </c>
      <c r="X1830" s="579"/>
      <c r="Y1830" s="879"/>
      <c r="Z1830" s="121"/>
      <c r="AA1830" s="143"/>
      <c r="AB1830" s="143"/>
      <c r="AC1830" s="504"/>
      <c r="AD1830" s="505">
        <f t="shared" ref="AD1830:AD1836" si="262">IFERROR(U1830-AC1830,0)</f>
        <v>0</v>
      </c>
      <c r="AE1830" s="143"/>
      <c r="AI1830" s="20"/>
      <c r="BO1830" s="86"/>
    </row>
    <row r="1831" spans="1:67" ht="15.75" customHeight="1" x14ac:dyDescent="0.25">
      <c r="A1831" s="520">
        <f>IFERROR(VLOOKUP($G$5,'רשימת רשויות'!A:C,3,0),0)</f>
        <v>0</v>
      </c>
      <c r="B1831" s="520">
        <f t="shared" si="260"/>
        <v>0</v>
      </c>
      <c r="D1831" s="1134"/>
      <c r="E1831" s="1137"/>
      <c r="F1831" s="589" t="s">
        <v>45</v>
      </c>
      <c r="G1831" s="123">
        <f>IF(G1820="תקין",IFERROR(VLOOKUP('בית ספר - תקצוב לפי מוסד (9)'!G1815,' איוש משרות (8)'!C:J,8,0),0),0)</f>
        <v>0</v>
      </c>
      <c r="H1831" s="125"/>
      <c r="I1831" s="126"/>
      <c r="J1831" s="104"/>
      <c r="K1831" s="1139"/>
      <c r="L1831" s="407"/>
      <c r="M1831" s="393"/>
      <c r="N1831" s="393"/>
      <c r="O1831" s="580"/>
      <c r="P1831" s="1140"/>
      <c r="Q1831" s="1140"/>
      <c r="R1831" s="596"/>
      <c r="S1831" s="576"/>
      <c r="T1831" s="599">
        <f>G1815</f>
        <v>0</v>
      </c>
      <c r="U1831" s="578"/>
      <c r="V1831" s="579"/>
      <c r="W1831" s="579">
        <f t="shared" si="261"/>
        <v>0</v>
      </c>
      <c r="X1831" s="579"/>
      <c r="Y1831" s="879"/>
      <c r="Z1831" s="121"/>
      <c r="AA1831" s="143"/>
      <c r="AB1831" s="143"/>
      <c r="AC1831" s="504"/>
      <c r="AD1831" s="505">
        <f t="shared" si="262"/>
        <v>0</v>
      </c>
      <c r="AE1831" s="143"/>
      <c r="AG1831" s="55"/>
      <c r="AH1831" s="55"/>
      <c r="AI1831" s="55"/>
      <c r="AJ1831" s="55"/>
      <c r="AK1831" s="55"/>
      <c r="BO1831" s="86"/>
    </row>
    <row r="1832" spans="1:67" ht="15.75" customHeight="1" x14ac:dyDescent="0.25">
      <c r="A1832" s="520">
        <f>IFERROR(VLOOKUP($G$5,'רשימת רשויות'!A:C,3,0),0)</f>
        <v>0</v>
      </c>
      <c r="B1832" s="520">
        <f t="shared" si="260"/>
        <v>0</v>
      </c>
      <c r="D1832" s="1134"/>
      <c r="E1832" s="1137"/>
      <c r="F1832" s="589" t="s">
        <v>0</v>
      </c>
      <c r="G1832" s="117">
        <f>IF(G1820="תקין",SUMIFS('דוח הוצאות בפועל (4)'!$E$17:$E$3016,'דוח הוצאות בפועל (4)'!$B$17:$B$3016,'בית ספר - תקצוב לפי מוסד (9)'!$G1815,'דוח הוצאות בפועל (4)'!$M$17:$M$3016,"הע"),0)-Y1832</f>
        <v>0</v>
      </c>
      <c r="H1832" s="127">
        <f>J1817</f>
        <v>0</v>
      </c>
      <c r="I1832" s="128">
        <f>IFERROR(G1832/H1832,0)</f>
        <v>0</v>
      </c>
      <c r="J1832" s="129">
        <f>MIN(IF(ISNUMBER(G1832),G1832,0),H1832)</f>
        <v>0</v>
      </c>
      <c r="K1832" s="120">
        <f>MAX(H1832-G1832,0)</f>
        <v>0</v>
      </c>
      <c r="L1832" s="407"/>
      <c r="M1832" s="393"/>
      <c r="N1832" s="393"/>
      <c r="O1832" s="580"/>
      <c r="P1832" s="968">
        <f>MAX(IF(I1832&lt;100%,MIN((H1832-G1832),H1832*0.25),0),0)</f>
        <v>0</v>
      </c>
      <c r="Q1832" s="619">
        <f>IF(G1832-H1832&gt;0,G1832-H1832,0)</f>
        <v>0</v>
      </c>
      <c r="R1832" s="596"/>
      <c r="S1832" s="610" t="s">
        <v>0</v>
      </c>
      <c r="T1832" s="599">
        <f>G1815</f>
        <v>0</v>
      </c>
      <c r="U1832" s="578"/>
      <c r="V1832" s="579">
        <f>G1832</f>
        <v>0</v>
      </c>
      <c r="W1832" s="579">
        <f t="shared" si="261"/>
        <v>0</v>
      </c>
      <c r="X1832" s="579">
        <f>IFERROR(W1843*W1832/(SUM(W1829:W1842)),0)</f>
        <v>0</v>
      </c>
      <c r="Y1832" s="879">
        <f>SUMIFS(בקרה!$S:$S,בקרה!$D:$D,T1832,בקרה!$K:$K,S1832)</f>
        <v>0</v>
      </c>
      <c r="Z1832" s="121"/>
      <c r="AA1832" s="143"/>
      <c r="AB1832" s="143"/>
      <c r="AC1832" s="504">
        <v>0</v>
      </c>
      <c r="AD1832" s="505">
        <f t="shared" si="262"/>
        <v>0</v>
      </c>
      <c r="AE1832" s="143"/>
      <c r="AG1832" s="55"/>
      <c r="AH1832" s="55"/>
      <c r="AI1832" s="40"/>
      <c r="AJ1832" s="55"/>
      <c r="AK1832" s="55"/>
      <c r="BO1832" s="86"/>
    </row>
    <row r="1833" spans="1:67" s="55" customFormat="1" ht="15.75" customHeight="1" x14ac:dyDescent="0.25">
      <c r="A1833" s="520">
        <f>IFERROR(VLOOKUP($G$5,'רשימת רשויות'!A:C,3,0),0)</f>
        <v>0</v>
      </c>
      <c r="B1833" s="520">
        <f t="shared" si="260"/>
        <v>0</v>
      </c>
      <c r="C1833" s="39"/>
      <c r="D1833" s="1134"/>
      <c r="E1833" s="1137"/>
      <c r="F1833" s="589" t="s">
        <v>93</v>
      </c>
      <c r="G1833" s="130">
        <f>IF(G1820="תקין",SUMIFS('דוח הוצאות בפועל (4)'!$E$17:$E$3016,'דוח הוצאות בפועל (4)'!$B$17:$B$3016,'בית ספר - תקצוב לפי מוסד (9)'!$G1815,'דוח הוצאות בפועל (4)'!$M$17:$M$3016,"אר"),0)-Y1833</f>
        <v>0</v>
      </c>
      <c r="H1833" s="118">
        <f>$I1823</f>
        <v>0</v>
      </c>
      <c r="I1833" s="131">
        <f>IFERROR((G1833+G1834)/H1833,0)</f>
        <v>0</v>
      </c>
      <c r="J1833" s="100">
        <f>MIN((IF(ISNUMBER(G1833),G1833,0)+IF(ISNUMBER(G1834),G1834,0)),H1833)</f>
        <v>0</v>
      </c>
      <c r="K1833" s="1139">
        <f>MAX((H1833)-(G1833+G1834),0)</f>
        <v>0</v>
      </c>
      <c r="L1833" s="407"/>
      <c r="M1833" s="393"/>
      <c r="N1833" s="393"/>
      <c r="O1833" s="602"/>
      <c r="P1833" s="1141"/>
      <c r="Q1833" s="1142"/>
      <c r="R1833" s="596"/>
      <c r="S1833" s="610" t="s">
        <v>93</v>
      </c>
      <c r="T1833" s="599">
        <f>G1815</f>
        <v>0</v>
      </c>
      <c r="U1833" s="578"/>
      <c r="V1833" s="579">
        <f t="shared" ref="V1833:V1834" si="263">G1833</f>
        <v>0</v>
      </c>
      <c r="W1833" s="579">
        <f t="shared" si="261"/>
        <v>0</v>
      </c>
      <c r="X1833" s="579">
        <f>IFERROR(W1843*W1833/(SUM(W1829:W1842)),0)</f>
        <v>0</v>
      </c>
      <c r="Y1833" s="879">
        <f>SUMIFS(בקרה!$S:$S,בקרה!$D:$D,T1833,בקרה!$K:$K,S1833)</f>
        <v>0</v>
      </c>
      <c r="Z1833" s="121"/>
      <c r="AA1833" s="143"/>
      <c r="AB1833" s="143"/>
      <c r="AC1833" s="504">
        <v>0</v>
      </c>
      <c r="AD1833" s="505">
        <f t="shared" si="262"/>
        <v>0</v>
      </c>
      <c r="AE1833" s="143"/>
      <c r="AJ1833" s="22"/>
      <c r="AO1833" s="22"/>
      <c r="AP1833" s="22"/>
      <c r="AQ1833" s="22"/>
      <c r="AR1833" s="22"/>
      <c r="AS1833" s="22"/>
      <c r="AT1833" s="22"/>
      <c r="AU1833" s="35"/>
      <c r="AV1833" s="35"/>
      <c r="AW1833" s="35"/>
      <c r="AX1833" s="35"/>
      <c r="AY1833" s="35"/>
      <c r="AZ1833" s="35"/>
      <c r="BA1833" s="35"/>
      <c r="BB1833" s="35"/>
      <c r="BC1833" s="35"/>
      <c r="BD1833" s="35"/>
      <c r="BE1833" s="35"/>
      <c r="BF1833" s="35"/>
      <c r="BG1833" s="35"/>
      <c r="BH1833" s="35"/>
      <c r="BI1833" s="35"/>
      <c r="BJ1833" s="35"/>
      <c r="BK1833" s="35"/>
      <c r="BL1833" s="35"/>
      <c r="BM1833" s="35"/>
      <c r="BN1833" s="35"/>
      <c r="BO1833" s="86"/>
    </row>
    <row r="1834" spans="1:67" s="55" customFormat="1" ht="15.75" customHeight="1" x14ac:dyDescent="0.25">
      <c r="A1834" s="520">
        <f>IFERROR(VLOOKUP($G$5,'רשימת רשויות'!A:C,3,0),0)</f>
        <v>0</v>
      </c>
      <c r="B1834" s="520">
        <f t="shared" si="260"/>
        <v>0</v>
      </c>
      <c r="C1834" s="39"/>
      <c r="D1834" s="1134"/>
      <c r="E1834" s="1137"/>
      <c r="F1834" s="589" t="s">
        <v>46</v>
      </c>
      <c r="G1834" s="130">
        <f>IF(G1820="תקין",SUMIFS('דוח הוצאות בפועל (4)'!$E$17:$E$3016,'דוח הוצאות בפועל (4)'!$B$17:$B$3016,'בית ספר - תקצוב לפי מוסד (9)'!$G1815,'דוח הוצאות בפועל (4)'!$M$17:$M$3016,"מל"),0)-Y1834</f>
        <v>0</v>
      </c>
      <c r="H1834" s="132"/>
      <c r="I1834" s="133"/>
      <c r="J1834" s="104"/>
      <c r="K1834" s="1139"/>
      <c r="L1834" s="407"/>
      <c r="M1834" s="393"/>
      <c r="N1834" s="393"/>
      <c r="O1834" s="602"/>
      <c r="P1834" s="1141"/>
      <c r="Q1834" s="1142"/>
      <c r="R1834" s="596"/>
      <c r="S1834" s="610" t="s">
        <v>46</v>
      </c>
      <c r="T1834" s="599">
        <f>G1815</f>
        <v>0</v>
      </c>
      <c r="U1834" s="578"/>
      <c r="V1834" s="579">
        <f t="shared" si="263"/>
        <v>0</v>
      </c>
      <c r="W1834" s="579">
        <f t="shared" si="261"/>
        <v>0</v>
      </c>
      <c r="X1834" s="579">
        <f>IFERROR(W1843*W1834/(SUM(W1829:W1842)),0)</f>
        <v>0</v>
      </c>
      <c r="Y1834" s="879">
        <f>SUMIFS(בקרה!$S:$S,בקרה!$D:$D,T1834,בקרה!$K:$K,S1834)</f>
        <v>0</v>
      </c>
      <c r="Z1834" s="121"/>
      <c r="AA1834" s="143"/>
      <c r="AB1834" s="143"/>
      <c r="AC1834" s="504">
        <v>0</v>
      </c>
      <c r="AD1834" s="505">
        <f t="shared" si="262"/>
        <v>0</v>
      </c>
      <c r="AE1834" s="143"/>
      <c r="AJ1834" s="22"/>
      <c r="AO1834" s="22"/>
      <c r="AP1834" s="22"/>
      <c r="AQ1834" s="22"/>
      <c r="AR1834" s="22"/>
      <c r="AS1834" s="22"/>
      <c r="AT1834" s="22"/>
      <c r="AU1834" s="35"/>
      <c r="AV1834" s="35"/>
      <c r="AW1834" s="35"/>
      <c r="AX1834" s="35"/>
      <c r="AY1834" s="35"/>
      <c r="AZ1834" s="35"/>
      <c r="BA1834" s="35"/>
      <c r="BB1834" s="35"/>
      <c r="BC1834" s="35"/>
      <c r="BD1834" s="35"/>
      <c r="BE1834" s="35"/>
      <c r="BF1834" s="35"/>
      <c r="BG1834" s="35"/>
      <c r="BH1834" s="35"/>
      <c r="BI1834" s="35"/>
      <c r="BJ1834" s="35"/>
      <c r="BK1834" s="35"/>
      <c r="BL1834" s="35"/>
      <c r="BM1834" s="35"/>
      <c r="BN1834" s="35"/>
      <c r="BO1834" s="86"/>
    </row>
    <row r="1835" spans="1:67" s="55" customFormat="1" ht="15" customHeight="1" x14ac:dyDescent="0.25">
      <c r="A1835" s="520">
        <f>IFERROR(VLOOKUP($G$5,'רשימת רשויות'!A:C,3,0),0)</f>
        <v>0</v>
      </c>
      <c r="B1835" s="520">
        <f t="shared" si="260"/>
        <v>0</v>
      </c>
      <c r="C1835" s="39"/>
      <c r="D1835" s="1134"/>
      <c r="E1835" s="1137"/>
      <c r="F1835" s="591" t="s">
        <v>23</v>
      </c>
      <c r="G1835" s="134">
        <f>SUM(G1829:G1834)</f>
        <v>0</v>
      </c>
      <c r="H1835" s="135">
        <f>SUM(H1829:H1834)</f>
        <v>0</v>
      </c>
      <c r="I1835" s="128">
        <f>IFERROR(G1835/H1835,0)</f>
        <v>0</v>
      </c>
      <c r="J1835" s="136">
        <f>SUM(J1829:J1834)</f>
        <v>0</v>
      </c>
      <c r="K1835" s="137">
        <f>SUM(K1829:K1834)</f>
        <v>0</v>
      </c>
      <c r="L1835" s="408"/>
      <c r="M1835" s="394"/>
      <c r="N1835" s="394"/>
      <c r="O1835" s="602"/>
      <c r="P1835" s="620">
        <f>SUM(P1829:P1834)</f>
        <v>0</v>
      </c>
      <c r="Q1835" s="620">
        <f>SUM(Q1829:Q1834)</f>
        <v>0</v>
      </c>
      <c r="R1835" s="596"/>
      <c r="S1835" s="610"/>
      <c r="T1835" s="599">
        <f>G1815</f>
        <v>0</v>
      </c>
      <c r="U1835" s="578"/>
      <c r="V1835" s="579"/>
      <c r="W1835" s="579">
        <f t="shared" si="261"/>
        <v>0</v>
      </c>
      <c r="X1835" s="579"/>
      <c r="Y1835" s="879"/>
      <c r="Z1835" s="121"/>
      <c r="AA1835" s="143"/>
      <c r="AB1835" s="143"/>
      <c r="AC1835" s="504"/>
      <c r="AD1835" s="505">
        <f t="shared" si="262"/>
        <v>0</v>
      </c>
      <c r="AE1835" s="143"/>
      <c r="AJ1835" s="22"/>
      <c r="AL1835" s="22"/>
      <c r="AM1835" s="22"/>
      <c r="AN1835" s="22"/>
      <c r="AO1835" s="22"/>
      <c r="AP1835" s="22"/>
      <c r="AQ1835" s="22"/>
      <c r="AR1835" s="22"/>
      <c r="AS1835" s="22"/>
      <c r="AT1835" s="22"/>
      <c r="AU1835" s="35"/>
      <c r="AV1835" s="35"/>
      <c r="AW1835" s="35"/>
      <c r="AX1835" s="35"/>
      <c r="AY1835" s="35"/>
      <c r="AZ1835" s="35"/>
      <c r="BA1835" s="35"/>
      <c r="BB1835" s="35"/>
      <c r="BC1835" s="35"/>
      <c r="BD1835" s="35"/>
      <c r="BE1835" s="35"/>
      <c r="BF1835" s="35"/>
      <c r="BG1835" s="35"/>
      <c r="BH1835" s="35"/>
      <c r="BI1835" s="35"/>
      <c r="BJ1835" s="35"/>
      <c r="BK1835" s="35"/>
      <c r="BL1835" s="35"/>
      <c r="BM1835" s="35"/>
      <c r="BN1835" s="35"/>
      <c r="BO1835" s="86"/>
    </row>
    <row r="1836" spans="1:67" s="55" customFormat="1" ht="15" customHeight="1" x14ac:dyDescent="0.25">
      <c r="A1836" s="520">
        <f>IFERROR(VLOOKUP($G$5,'רשימת רשויות'!A:C,3,0),0)</f>
        <v>0</v>
      </c>
      <c r="B1836" s="520">
        <f t="shared" si="260"/>
        <v>0</v>
      </c>
      <c r="C1836" s="39"/>
      <c r="D1836" s="1134"/>
      <c r="E1836" s="1137"/>
      <c r="F1836" s="589" t="s">
        <v>3</v>
      </c>
      <c r="G1836" s="117">
        <f>IF(G1820="תקין",SUMIFS('דוח הוצאות בפועל (4)'!$E$17:$E$3016,'דוח הוצאות בפועל (4)'!$B$17:$B$3016,'בית ספר - תקצוב לפי מוסד (9)'!$G1815,'דוח הוצאות בפועל (4)'!$M$17:$M$3016,"ני")+SUMIFS('דוח הוצאות בפועל (4)'!$E$17:$E$3016,'דוח הוצאות בפועל (4)'!$B$17:$B$3016,'בית ספר - תקצוב לפי מוסד (9)'!$G1815,'דוח הוצאות בפועל (4)'!$M$17:$M$3016,"על"),0)-Y1836</f>
        <v>0</v>
      </c>
      <c r="H1836" s="117">
        <f>H1817</f>
        <v>0</v>
      </c>
      <c r="I1836" s="138">
        <f>IFERROR(G1836/H1836,0)</f>
        <v>0</v>
      </c>
      <c r="J1836" s="117">
        <f>IFERROR(IF(G1836/H1838&gt;0.15,MIN(H1838*0.15,H1836),MIN(H1836,IF(ISNUMBER(G1836),G1836,0))),0)</f>
        <v>0</v>
      </c>
      <c r="K1836" s="120">
        <f>MAX(H1836-G1836,0)</f>
        <v>0</v>
      </c>
      <c r="L1836" s="407"/>
      <c r="M1836" s="393"/>
      <c r="N1836" s="393"/>
      <c r="O1836" s="602"/>
      <c r="P1836" s="620">
        <f>IF(I1836&lt;100%,MIN(H1836-G1836,H1836*0.25),0)</f>
        <v>0</v>
      </c>
      <c r="Q1836" s="620">
        <f>MAX(MIN(IF(G1836-H1836&gt;0,G1836-H1836,0),$H1838*0.15-H1836-J1837),0)</f>
        <v>0</v>
      </c>
      <c r="R1836" s="596"/>
      <c r="S1836" s="610" t="s">
        <v>3</v>
      </c>
      <c r="T1836" s="599">
        <f>G1815</f>
        <v>0</v>
      </c>
      <c r="U1836" s="578"/>
      <c r="V1836" s="579">
        <f t="shared" ref="V1836" si="264">G1836</f>
        <v>0</v>
      </c>
      <c r="W1836" s="579">
        <f t="shared" si="261"/>
        <v>0</v>
      </c>
      <c r="X1836" s="579"/>
      <c r="Y1836" s="879"/>
      <c r="Z1836" s="121"/>
      <c r="AA1836" s="143"/>
      <c r="AB1836" s="143"/>
      <c r="AC1836" s="504">
        <v>0</v>
      </c>
      <c r="AD1836" s="505">
        <f t="shared" si="262"/>
        <v>0</v>
      </c>
      <c r="AE1836" s="143"/>
      <c r="AG1836" s="22"/>
      <c r="AH1836" s="22"/>
      <c r="AI1836" s="22"/>
      <c r="AJ1836" s="22"/>
      <c r="AK1836" s="22"/>
      <c r="AL1836" s="22"/>
      <c r="AM1836" s="22"/>
      <c r="AN1836" s="22"/>
      <c r="AO1836" s="22"/>
      <c r="AP1836" s="22"/>
      <c r="AQ1836" s="22"/>
      <c r="AR1836" s="22"/>
      <c r="AS1836" s="22"/>
      <c r="AT1836" s="22"/>
      <c r="AU1836" s="35"/>
      <c r="AV1836" s="35"/>
      <c r="AW1836" s="35"/>
      <c r="AX1836" s="35"/>
      <c r="AY1836" s="35"/>
      <c r="AZ1836" s="35"/>
      <c r="BA1836" s="35"/>
      <c r="BB1836" s="35"/>
      <c r="BC1836" s="35"/>
      <c r="BD1836" s="35"/>
      <c r="BE1836" s="35"/>
      <c r="BF1836" s="35"/>
      <c r="BG1836" s="35"/>
      <c r="BH1836" s="35"/>
      <c r="BI1836" s="35"/>
      <c r="BJ1836" s="35"/>
      <c r="BK1836" s="35"/>
      <c r="BL1836" s="35"/>
      <c r="BM1836" s="35"/>
      <c r="BN1836" s="35"/>
      <c r="BO1836" s="86"/>
    </row>
    <row r="1837" spans="1:67" s="55" customFormat="1" ht="15.75" customHeight="1" x14ac:dyDescent="0.25">
      <c r="A1837" s="520">
        <f>IFERROR(VLOOKUP($G$5,'רשימת רשויות'!A:C,3,0),0)</f>
        <v>0</v>
      </c>
      <c r="B1837" s="520">
        <f t="shared" si="260"/>
        <v>0</v>
      </c>
      <c r="C1837" s="39"/>
      <c r="D1837" s="1134"/>
      <c r="E1837" s="1137"/>
      <c r="F1837" s="589" t="s">
        <v>2918</v>
      </c>
      <c r="G1837" s="117">
        <f>0.07*(G1831+G1830)</f>
        <v>0</v>
      </c>
      <c r="H1837" s="117">
        <f>H1819</f>
        <v>0</v>
      </c>
      <c r="I1837" s="138">
        <f>IFERROR(G1837/H1837,0)</f>
        <v>0</v>
      </c>
      <c r="J1837" s="117">
        <f>IFERROR(MIN(0.07*(G1830+G1831),0.07*I1819),0)</f>
        <v>0</v>
      </c>
      <c r="K1837" s="120">
        <f>MAX(H1837-G1837,0)</f>
        <v>0</v>
      </c>
      <c r="L1837" s="407"/>
      <c r="M1837" s="393"/>
      <c r="N1837" s="393"/>
      <c r="O1837" s="602"/>
      <c r="P1837" s="620"/>
      <c r="Q1837" s="619"/>
      <c r="R1837" s="596"/>
      <c r="S1837" s="611"/>
      <c r="T1837" s="599">
        <f>G1815</f>
        <v>0</v>
      </c>
      <c r="U1837" s="578"/>
      <c r="V1837" s="579"/>
      <c r="W1837" s="579">
        <f t="shared" si="261"/>
        <v>0</v>
      </c>
      <c r="X1837" s="579"/>
      <c r="Y1837" s="879"/>
      <c r="Z1837" s="121"/>
      <c r="AA1837" s="143"/>
      <c r="AB1837" s="143"/>
      <c r="AC1837" s="504"/>
      <c r="AD1837" s="505"/>
      <c r="AE1837" s="143"/>
      <c r="AF1837" s="140"/>
      <c r="AG1837" s="22"/>
      <c r="AH1837" s="22"/>
      <c r="AI1837" s="22"/>
      <c r="AJ1837" s="22"/>
      <c r="AK1837" s="22"/>
      <c r="AL1837" s="22"/>
      <c r="AM1837" s="22"/>
      <c r="AN1837" s="22"/>
      <c r="AO1837" s="22"/>
      <c r="AP1837" s="22"/>
      <c r="AQ1837" s="22"/>
      <c r="AR1837" s="22"/>
      <c r="AS1837" s="22"/>
      <c r="AT1837" s="22"/>
      <c r="AU1837" s="35"/>
      <c r="AV1837" s="35"/>
      <c r="AW1837" s="35"/>
      <c r="AX1837" s="35"/>
      <c r="AY1837" s="35"/>
      <c r="AZ1837" s="35"/>
      <c r="BA1837" s="35"/>
      <c r="BB1837" s="35"/>
      <c r="BC1837" s="35"/>
      <c r="BD1837" s="35"/>
      <c r="BE1837" s="35"/>
      <c r="BF1837" s="35"/>
      <c r="BG1837" s="35"/>
      <c r="BH1837" s="35"/>
      <c r="BI1837" s="35"/>
      <c r="BJ1837" s="35"/>
      <c r="BK1837" s="35"/>
      <c r="BL1837" s="35"/>
      <c r="BM1837" s="35"/>
      <c r="BN1837" s="35"/>
      <c r="BO1837" s="86"/>
    </row>
    <row r="1838" spans="1:67" ht="15.75" customHeight="1" x14ac:dyDescent="0.25">
      <c r="A1838" s="520">
        <f>IFERROR(VLOOKUP($G$5,'רשימת רשויות'!A:C,3,0),0)</f>
        <v>0</v>
      </c>
      <c r="B1838" s="520">
        <f t="shared" si="260"/>
        <v>0</v>
      </c>
      <c r="D1838" s="1134"/>
      <c r="E1838" s="1137"/>
      <c r="F1838" s="591" t="s">
        <v>15</v>
      </c>
      <c r="G1838" s="134">
        <f>G1835+G1836+G1837</f>
        <v>0</v>
      </c>
      <c r="H1838" s="134">
        <f>H1835+H1836+H1837</f>
        <v>0</v>
      </c>
      <c r="I1838" s="138">
        <f>IFERROR(G1838/H1838,0)</f>
        <v>0</v>
      </c>
      <c r="J1838" s="139">
        <f>J1835+J1836+J1837</f>
        <v>0</v>
      </c>
      <c r="K1838" s="137">
        <f>K1836+K1835+K1837</f>
        <v>0</v>
      </c>
      <c r="L1838" s="408"/>
      <c r="M1838" s="394"/>
      <c r="N1838" s="394"/>
      <c r="O1838" s="602"/>
      <c r="P1838" s="621">
        <f>SUM(P1835:P1836)</f>
        <v>0</v>
      </c>
      <c r="Q1838" s="622">
        <f>Q1835+Q1836</f>
        <v>0</v>
      </c>
      <c r="R1838" s="596"/>
      <c r="S1838" s="611"/>
      <c r="T1838" s="599">
        <f>G1815</f>
        <v>0</v>
      </c>
      <c r="U1838" s="578"/>
      <c r="V1838" s="579"/>
      <c r="W1838" s="579">
        <f t="shared" si="261"/>
        <v>0</v>
      </c>
      <c r="X1838" s="579"/>
      <c r="Y1838" s="879"/>
      <c r="Z1838" s="106"/>
      <c r="AC1838" s="504"/>
      <c r="AD1838" s="505"/>
      <c r="AH1838" s="143"/>
      <c r="BO1838" s="86"/>
    </row>
    <row r="1839" spans="1:67" ht="15.75" customHeight="1" x14ac:dyDescent="0.25">
      <c r="A1839" s="520">
        <f>IFERROR(VLOOKUP($G$5,'רשימת רשויות'!A:C,3,0),0)</f>
        <v>0</v>
      </c>
      <c r="B1839" s="520">
        <f t="shared" si="260"/>
        <v>0</v>
      </c>
      <c r="D1839" s="1134"/>
      <c r="E1839" s="1137"/>
      <c r="F1839" s="589" t="s">
        <v>2261</v>
      </c>
      <c r="G1839" s="117">
        <f>IF(G1820="תקין",SUMIF('תשלומי הורים ומלגות להורים (5) '!$B$18:$B$517,$G1815,'תשלומי הורים ומלגות להורים (5) '!$C$18:$C$517),0)</f>
        <v>0</v>
      </c>
      <c r="H1839" s="117">
        <f>(G1818+G1819)*$G$7</f>
        <v>0</v>
      </c>
      <c r="I1839" s="141"/>
      <c r="J1839" s="141"/>
      <c r="K1839" s="142"/>
      <c r="L1839" s="395"/>
      <c r="M1839" s="395"/>
      <c r="N1839" s="395"/>
      <c r="O1839" s="602"/>
      <c r="P1839" s="623"/>
      <c r="Q1839" s="619"/>
      <c r="R1839" s="596"/>
      <c r="S1839" s="612"/>
      <c r="T1839" s="599">
        <f>G1815</f>
        <v>0</v>
      </c>
      <c r="U1839" s="578"/>
      <c r="V1839" s="579"/>
      <c r="W1839" s="579">
        <f t="shared" si="261"/>
        <v>0</v>
      </c>
      <c r="X1839" s="579"/>
      <c r="Y1839" s="879"/>
      <c r="Z1839" s="121"/>
      <c r="AA1839" s="143"/>
      <c r="AB1839" s="143"/>
      <c r="AC1839" s="504"/>
      <c r="AD1839" s="505"/>
      <c r="AE1839" s="143"/>
      <c r="AF1839" s="148"/>
      <c r="BO1839" s="86"/>
    </row>
    <row r="1840" spans="1:67" ht="15.75" customHeight="1" thickBot="1" x14ac:dyDescent="0.3">
      <c r="A1840" s="520">
        <f>IFERROR(VLOOKUP($G$5,'רשימת רשויות'!A:C,3,0),0)</f>
        <v>0</v>
      </c>
      <c r="B1840" s="520">
        <f t="shared" si="260"/>
        <v>0</v>
      </c>
      <c r="D1840" s="1134"/>
      <c r="E1840" s="1137"/>
      <c r="F1840" s="592" t="s">
        <v>21</v>
      </c>
      <c r="G1840" s="144">
        <f>G1838-G1839</f>
        <v>0</v>
      </c>
      <c r="H1840" s="144">
        <f>H1838-H1839</f>
        <v>0</v>
      </c>
      <c r="I1840" s="145"/>
      <c r="J1840" s="145"/>
      <c r="K1840" s="146"/>
      <c r="L1840" s="396"/>
      <c r="M1840" s="396"/>
      <c r="N1840" s="396"/>
      <c r="O1840" s="602"/>
      <c r="P1840" s="619"/>
      <c r="Q1840" s="619"/>
      <c r="R1840" s="596"/>
      <c r="S1840" s="612"/>
      <c r="T1840" s="599">
        <f>G1815</f>
        <v>0</v>
      </c>
      <c r="U1840" s="578"/>
      <c r="V1840" s="579"/>
      <c r="W1840" s="579">
        <f t="shared" si="261"/>
        <v>0</v>
      </c>
      <c r="X1840" s="579"/>
      <c r="Y1840" s="879"/>
      <c r="Z1840" s="147"/>
      <c r="AA1840" s="148"/>
      <c r="AB1840" s="148"/>
      <c r="AC1840" s="504"/>
      <c r="AD1840" s="505"/>
      <c r="AE1840" s="148"/>
      <c r="AF1840" s="148"/>
      <c r="BO1840" s="86"/>
    </row>
    <row r="1841" spans="1:67" ht="15.75" customHeight="1" thickBot="1" x14ac:dyDescent="0.3">
      <c r="A1841" s="520">
        <f>IFERROR(VLOOKUP($G$5,'רשימת רשויות'!A:C,3,0),0)</f>
        <v>0</v>
      </c>
      <c r="B1841" s="520">
        <f t="shared" si="260"/>
        <v>0</v>
      </c>
      <c r="D1841" s="1134"/>
      <c r="E1841" s="1137"/>
      <c r="F1841" s="580"/>
      <c r="G1841" s="580"/>
      <c r="H1841" s="147"/>
      <c r="I1841" s="149" t="s">
        <v>2197</v>
      </c>
      <c r="J1841" s="150">
        <f>MAX(MIN(P1838,Q1838),0)</f>
        <v>0</v>
      </c>
      <c r="K1841" s="580"/>
      <c r="L1841" s="580"/>
      <c r="M1841" s="580"/>
      <c r="N1841" s="580"/>
      <c r="O1841" s="580"/>
      <c r="P1841" s="615" t="s">
        <v>2317</v>
      </c>
      <c r="Q1841" s="624">
        <f>SUM(Q1842:Q1843)</f>
        <v>0</v>
      </c>
      <c r="R1841" s="596"/>
      <c r="S1841" s="612"/>
      <c r="T1841" s="599">
        <f>G1815</f>
        <v>0</v>
      </c>
      <c r="U1841" s="578"/>
      <c r="V1841" s="579"/>
      <c r="W1841" s="579">
        <f t="shared" si="261"/>
        <v>0</v>
      </c>
      <c r="X1841" s="579"/>
      <c r="Y1841" s="879"/>
      <c r="Z1841" s="106"/>
      <c r="AC1841" s="504"/>
      <c r="AD1841" s="505"/>
      <c r="AF1841" s="148"/>
      <c r="BO1841" s="86"/>
    </row>
    <row r="1842" spans="1:67" ht="16.5" thickBot="1" x14ac:dyDescent="0.3">
      <c r="A1842" s="520">
        <f>IFERROR(VLOOKUP($G$5,'רשימת רשויות'!A:C,3,0),0)</f>
        <v>0</v>
      </c>
      <c r="B1842" s="520">
        <f t="shared" si="260"/>
        <v>0</v>
      </c>
      <c r="D1842" s="1134"/>
      <c r="E1842" s="1137"/>
      <c r="F1842" s="580"/>
      <c r="G1842" s="580"/>
      <c r="H1842" s="580"/>
      <c r="I1842" s="84" t="s">
        <v>2193</v>
      </c>
      <c r="J1842" s="515" t="str">
        <f>IFERROR(1-H1839/H1838,"")</f>
        <v/>
      </c>
      <c r="K1842" s="580"/>
      <c r="L1842" s="580"/>
      <c r="M1842" s="580"/>
      <c r="N1842" s="580"/>
      <c r="O1842" s="580"/>
      <c r="P1842" s="615" t="s">
        <v>417</v>
      </c>
      <c r="Q1842" s="616">
        <f>IFERROR(MAX(H1840-I1843-Q1843,0),0)</f>
        <v>0</v>
      </c>
      <c r="R1842" s="596"/>
      <c r="S1842" s="600"/>
      <c r="T1842" s="599">
        <f>G1815</f>
        <v>0</v>
      </c>
      <c r="U1842" s="578"/>
      <c r="V1842" s="579"/>
      <c r="W1842" s="579">
        <f t="shared" si="261"/>
        <v>0</v>
      </c>
      <c r="X1842" s="579"/>
      <c r="Y1842" s="879"/>
      <c r="Z1842" s="106"/>
      <c r="AC1842" s="504"/>
      <c r="AD1842" s="505"/>
      <c r="BO1842" s="86"/>
    </row>
    <row r="1843" spans="1:67" ht="17.25" thickBot="1" x14ac:dyDescent="0.3">
      <c r="A1843" s="520">
        <f>IFERROR(VLOOKUP($G$5,'רשימת רשויות'!A:C,3,0),0)</f>
        <v>0</v>
      </c>
      <c r="B1843" s="520">
        <f t="shared" si="260"/>
        <v>0</v>
      </c>
      <c r="D1843" s="1134"/>
      <c r="E1843" s="1137"/>
      <c r="F1843" s="1143" t="s">
        <v>2679</v>
      </c>
      <c r="G1843" s="1143"/>
      <c r="H1843" s="1143"/>
      <c r="I1843" s="722">
        <f>IF(G1820="לא תקין","לא קיימת זכאות לתקציב לאור אי איוש משרות רכז ו/או סגן רכז ",IFERROR(J1842*(J1841+J1838),0))</f>
        <v>0</v>
      </c>
      <c r="J1843" s="573"/>
      <c r="K1843" s="574"/>
      <c r="L1843" s="396"/>
      <c r="M1843" s="574"/>
      <c r="N1843" s="574"/>
      <c r="O1843" s="574"/>
      <c r="P1843" s="615" t="s">
        <v>2279</v>
      </c>
      <c r="Q1843" s="616">
        <f>MAX(IF(AND(G1838&gt;H1838,I1843&lt;H1840),H1840-I1843,0),0)</f>
        <v>0</v>
      </c>
      <c r="R1843" s="575"/>
      <c r="S1843" s="576" t="s">
        <v>67</v>
      </c>
      <c r="T1843" s="577">
        <f>G1815</f>
        <v>0</v>
      </c>
      <c r="U1843" s="578"/>
      <c r="V1843" s="579">
        <f>I1843</f>
        <v>0</v>
      </c>
      <c r="W1843" s="579">
        <f>IFERROR(U1843-V1843,0)</f>
        <v>0</v>
      </c>
      <c r="X1843" s="579">
        <f>SUM(X1829:X1842)</f>
        <v>0</v>
      </c>
      <c r="Y1843" s="879"/>
      <c r="Z1843" s="106"/>
      <c r="AC1843" s="506">
        <v>0</v>
      </c>
      <c r="AD1843" s="507">
        <f>IFERROR(U1843-AC1843,0)</f>
        <v>0</v>
      </c>
      <c r="BO1843" s="86"/>
    </row>
    <row r="1844" spans="1:67" ht="16.5" thickBot="1" x14ac:dyDescent="0.3">
      <c r="A1844" s="520">
        <f>IFERROR(VLOOKUP($G$5,'רשימת רשויות'!A:C,3,0),0)</f>
        <v>0</v>
      </c>
      <c r="B1844" s="520">
        <f t="shared" si="260"/>
        <v>0</v>
      </c>
      <c r="D1844" s="1135"/>
      <c r="E1844" s="1138"/>
      <c r="F1844" s="1144" t="s">
        <v>2793</v>
      </c>
      <c r="G1844" s="1145"/>
      <c r="H1844" s="1145"/>
      <c r="I1844" s="593">
        <f>IFERROR(IF(G1820="תקין",SUMIFS('סייעות רפואיות או אישיות (7)'!$Q$17:Q$384,'סייעות רפואיות או אישיות (7)'!C$17:C$384,G1815),0),0)</f>
        <v>0</v>
      </c>
      <c r="J1844" s="151"/>
      <c r="K1844" s="152"/>
      <c r="L1844" s="409"/>
      <c r="M1844" s="152"/>
      <c r="N1844" s="152"/>
      <c r="O1844" s="152"/>
      <c r="P1844" s="613"/>
      <c r="Q1844" s="614"/>
      <c r="R1844" s="475"/>
      <c r="S1844" s="489"/>
      <c r="T1844" s="490"/>
      <c r="U1844" s="491"/>
      <c r="V1844" s="492"/>
      <c r="W1844" s="492"/>
      <c r="X1844" s="492"/>
      <c r="Y1844" s="880"/>
      <c r="Z1844" s="153"/>
      <c r="AC1844" s="581"/>
      <c r="AD1844" s="582"/>
      <c r="BO1844" s="86"/>
    </row>
    <row r="1845" spans="1:67" ht="34.5" thickBot="1" x14ac:dyDescent="0.55000000000000004">
      <c r="A1845" s="520">
        <f>IFERROR(VLOOKUP($G$5,'רשימת רשויות'!A:C,3,0),0)</f>
        <v>0</v>
      </c>
      <c r="B1845" s="520">
        <f t="shared" si="260"/>
        <v>0</v>
      </c>
      <c r="E1845" s="154"/>
      <c r="I1845" s="143"/>
      <c r="J1845" s="148"/>
      <c r="O1845" s="148"/>
      <c r="T1845" s="481"/>
      <c r="BO1845" s="86"/>
    </row>
    <row r="1846" spans="1:67" s="20" customFormat="1" ht="16.5" customHeight="1" thickBot="1" x14ac:dyDescent="0.3">
      <c r="A1846" s="520">
        <f>IFERROR(VLOOKUP($G$5,'רשימת רשויות'!A:C,3,0),0)</f>
        <v>0</v>
      </c>
      <c r="B1846" s="520">
        <f t="shared" si="260"/>
        <v>0</v>
      </c>
      <c r="C1846" s="39"/>
      <c r="D1846" s="1133">
        <f>D1815+1</f>
        <v>60</v>
      </c>
      <c r="E1846" s="1136" t="str">
        <f>IFERROR(CONCATENATE("בית הספר ",VLOOKUP(G1846,'מצבת והרשמה (2)'!$C$21:$D$520,2,0)," - ",$G$5),"")</f>
        <v>בית הספר המוסד לא קיים - 0</v>
      </c>
      <c r="F1846" s="720" t="s">
        <v>146</v>
      </c>
      <c r="G1846" s="721">
        <f>IFERROR(VLOOKUP(D:D,'דוח ביצוע (3)'!$A$21:$C$900,2,0),0)</f>
        <v>0</v>
      </c>
      <c r="H1846" s="79"/>
      <c r="I1846" s="80" t="s">
        <v>150</v>
      </c>
      <c r="J1846" s="80"/>
      <c r="K1846" s="81"/>
      <c r="L1846" s="392"/>
      <c r="M1846" s="392"/>
      <c r="N1846" s="392"/>
      <c r="O1846" s="82"/>
      <c r="P1846" s="470"/>
      <c r="Q1846" s="471"/>
      <c r="R1846" s="472"/>
      <c r="S1846" s="883"/>
      <c r="T1846" s="884"/>
      <c r="U1846" s="486"/>
      <c r="V1846" s="487"/>
      <c r="W1846" s="487"/>
      <c r="X1846" s="487"/>
      <c r="Y1846" s="885"/>
      <c r="Z1846" s="83"/>
      <c r="AC1846" s="502"/>
      <c r="AD1846" s="503"/>
      <c r="AO1846" s="22"/>
      <c r="AP1846" s="22"/>
      <c r="AQ1846" s="22"/>
      <c r="AR1846" s="22"/>
      <c r="AS1846" s="22"/>
      <c r="AT1846" s="22"/>
      <c r="AU1846" s="35"/>
      <c r="AV1846" s="35"/>
      <c r="AW1846" s="35"/>
      <c r="AX1846" s="35"/>
      <c r="AY1846" s="35"/>
      <c r="AZ1846" s="35"/>
      <c r="BA1846" s="35"/>
      <c r="BB1846" s="35"/>
      <c r="BC1846" s="35"/>
      <c r="BD1846" s="35"/>
      <c r="BE1846" s="35"/>
      <c r="BF1846" s="35"/>
      <c r="BG1846" s="35"/>
      <c r="BH1846" s="35"/>
      <c r="BI1846" s="35"/>
      <c r="BJ1846" s="35"/>
      <c r="BK1846" s="35"/>
      <c r="BL1846" s="35"/>
      <c r="BM1846" s="35"/>
      <c r="BN1846" s="35"/>
      <c r="BO1846" s="78"/>
    </row>
    <row r="1847" spans="1:67" s="20" customFormat="1" ht="16.5" thickBot="1" x14ac:dyDescent="0.3">
      <c r="A1847" s="520">
        <f>IFERROR(VLOOKUP($G$5,'רשימת רשויות'!A:C,3,0),0)</f>
        <v>0</v>
      </c>
      <c r="B1847" s="520">
        <f t="shared" si="260"/>
        <v>0</v>
      </c>
      <c r="C1847" s="39"/>
      <c r="D1847" s="1134"/>
      <c r="E1847" s="1137"/>
      <c r="F1847" s="583" t="s">
        <v>145</v>
      </c>
      <c r="G1847" s="516" t="str">
        <f>IFERROR(IF((G1849+G1850)=0,"",IF(VLOOKUP(G1846,'דוח ביצוע (3)'!$B$21:$K$900,5,0)&gt;149,"גדול",IF(AND(VLOOKUP(G1846,'דוח ביצוע (3)'!$B$21:$K$900,5,0)&gt;0,VLOOKUP(G1846,'דוח ביצוע (3)'!$B$21:$K$900,5,0)&lt;150),"קטן",0))),"")</f>
        <v/>
      </c>
      <c r="H1847" s="723" t="s">
        <v>88</v>
      </c>
      <c r="I1847" s="723" t="s">
        <v>13</v>
      </c>
      <c r="J1847" s="725" t="s">
        <v>14</v>
      </c>
      <c r="K1847" s="724" t="s">
        <v>94</v>
      </c>
      <c r="L1847" s="594"/>
      <c r="M1847" s="420" t="s">
        <v>2584</v>
      </c>
      <c r="N1847" s="397" t="s">
        <v>413</v>
      </c>
      <c r="O1847" s="398" t="s">
        <v>52</v>
      </c>
      <c r="P1847" s="595"/>
      <c r="Q1847" s="595"/>
      <c r="R1847" s="596"/>
      <c r="S1847" s="610"/>
      <c r="T1847" s="881"/>
      <c r="U1847" s="598"/>
      <c r="V1847" s="599"/>
      <c r="W1847" s="599"/>
      <c r="X1847" s="599"/>
      <c r="Y1847" s="879"/>
      <c r="Z1847" s="85"/>
      <c r="AC1847" s="493"/>
      <c r="AD1847" s="495"/>
      <c r="AO1847" s="22"/>
      <c r="AP1847" s="22"/>
      <c r="AQ1847" s="22"/>
      <c r="AR1847" s="22"/>
      <c r="AS1847" s="22"/>
      <c r="AT1847" s="22"/>
      <c r="AU1847" s="35"/>
      <c r="AV1847" s="35"/>
      <c r="AW1847" s="35"/>
      <c r="AX1847" s="35"/>
      <c r="AY1847" s="35"/>
      <c r="AZ1847" s="35"/>
      <c r="BA1847" s="35"/>
      <c r="BB1847" s="35"/>
      <c r="BC1847" s="35"/>
      <c r="BD1847" s="35"/>
      <c r="BE1847" s="35"/>
      <c r="BF1847" s="35"/>
      <c r="BG1847" s="35"/>
      <c r="BH1847" s="35"/>
      <c r="BI1847" s="35"/>
      <c r="BJ1847" s="35"/>
      <c r="BK1847" s="35"/>
      <c r="BL1847" s="35"/>
      <c r="BM1847" s="35"/>
      <c r="BN1847" s="35"/>
      <c r="BO1847" s="78"/>
    </row>
    <row r="1848" spans="1:67" s="20" customFormat="1" ht="15.75" customHeight="1" thickBot="1" x14ac:dyDescent="0.3">
      <c r="A1848" s="520">
        <f>IFERROR(VLOOKUP($G$5,'רשימת רשויות'!A:C,3,0),0)</f>
        <v>0</v>
      </c>
      <c r="B1848" s="520">
        <f t="shared" si="260"/>
        <v>0</v>
      </c>
      <c r="C1848" s="39"/>
      <c r="D1848" s="1134"/>
      <c r="E1848" s="1137"/>
      <c r="F1848" s="584" t="s">
        <v>144</v>
      </c>
      <c r="G1848" s="87">
        <f>IF(G1851="תקין",IFERROR(VLOOKUP($G1846,'דוח ביצוע (3)'!$B$21:$Q$900,12,0),0),0)</f>
        <v>0</v>
      </c>
      <c r="H1848" s="88">
        <f>IFERROR(G1849*$AH$6+G1850*$AH$7,0)</f>
        <v>0</v>
      </c>
      <c r="I1848" s="88">
        <f>IFERROR(G1849*$AI$6+G1850*$AI$7,0)</f>
        <v>0</v>
      </c>
      <c r="J1848" s="88">
        <f>IFERROR(G1849*$AJ$6+G1850*$AJ$7,0)</f>
        <v>0</v>
      </c>
      <c r="K1848" s="88">
        <f>IFERROR(G1849*$AK$6+G1850*$AK$7,0)</f>
        <v>0</v>
      </c>
      <c r="L1848" s="405"/>
      <c r="M1848" s="399" t="s">
        <v>427</v>
      </c>
      <c r="N1848" s="400" t="str">
        <f>IFERROR(VLOOKUP($G1846,'דוח ביצוע (3)'!$B:$AE,28,0),"")</f>
        <v/>
      </c>
      <c r="O1848" s="89" t="str">
        <f>IFERROR(VLOOKUP($G1846,'דוח ביצוע (3)'!B:AE,29,0),"")</f>
        <v/>
      </c>
      <c r="P1848" s="595"/>
      <c r="Q1848" s="595"/>
      <c r="R1848" s="596"/>
      <c r="S1848" s="610"/>
      <c r="T1848" s="881"/>
      <c r="U1848" s="598"/>
      <c r="V1848" s="599"/>
      <c r="W1848" s="599"/>
      <c r="X1848" s="599"/>
      <c r="Y1848" s="879"/>
      <c r="Z1848" s="85"/>
      <c r="AC1848" s="493"/>
      <c r="AD1848" s="495"/>
      <c r="AO1848" s="22"/>
      <c r="AP1848" s="22"/>
      <c r="AQ1848" s="22"/>
      <c r="AR1848" s="22"/>
      <c r="AS1848" s="22"/>
      <c r="AT1848" s="22"/>
      <c r="AU1848" s="35"/>
      <c r="AV1848" s="35"/>
      <c r="AW1848" s="35"/>
      <c r="AX1848" s="35"/>
      <c r="AY1848" s="35"/>
      <c r="AZ1848" s="35"/>
      <c r="BA1848" s="35"/>
      <c r="BB1848" s="35"/>
      <c r="BC1848" s="35"/>
      <c r="BD1848" s="35"/>
      <c r="BE1848" s="35"/>
      <c r="BF1848" s="35"/>
      <c r="BG1848" s="35"/>
      <c r="BH1848" s="35"/>
      <c r="BI1848" s="35"/>
      <c r="BJ1848" s="35"/>
      <c r="BK1848" s="35"/>
      <c r="BL1848" s="35"/>
      <c r="BM1848" s="35"/>
      <c r="BN1848" s="35"/>
      <c r="BO1848" s="78"/>
    </row>
    <row r="1849" spans="1:67" s="20" customFormat="1" ht="32.25" thickBot="1" x14ac:dyDescent="0.3">
      <c r="A1849" s="520">
        <f>IFERROR(VLOOKUP($G$5,'רשימת רשויות'!A:C,3,0),0)</f>
        <v>0</v>
      </c>
      <c r="B1849" s="520">
        <f t="shared" si="260"/>
        <v>0</v>
      </c>
      <c r="C1849" s="39"/>
      <c r="D1849" s="1134"/>
      <c r="E1849" s="1137"/>
      <c r="F1849" s="585" t="s">
        <v>2195</v>
      </c>
      <c r="G1849" s="89">
        <f>IF(G1851="תקין",MAX(N1851,0),0)</f>
        <v>0</v>
      </c>
      <c r="H1849" s="725" t="s">
        <v>151</v>
      </c>
      <c r="I1849" s="725" t="s">
        <v>91</v>
      </c>
      <c r="J1849" s="970" t="s">
        <v>3396</v>
      </c>
      <c r="K1849" s="601"/>
      <c r="L1849" s="601"/>
      <c r="M1849" s="983" t="s">
        <v>2585</v>
      </c>
      <c r="N1849" s="400" t="str">
        <f>IFERROR(G1848/15*N1848*1.25,"")</f>
        <v/>
      </c>
      <c r="O1849" s="89" t="str">
        <f>IFERROR(G1848/15*O1848*1.25,"")</f>
        <v/>
      </c>
      <c r="P1849" s="595"/>
      <c r="Q1849" s="595"/>
      <c r="R1849" s="596"/>
      <c r="S1849" s="610"/>
      <c r="T1849" s="881"/>
      <c r="U1849" s="598"/>
      <c r="V1849" s="599"/>
      <c r="W1849" s="599"/>
      <c r="X1849" s="599"/>
      <c r="Y1849" s="879"/>
      <c r="Z1849" s="85"/>
      <c r="AC1849" s="493"/>
      <c r="AD1849" s="495"/>
      <c r="AG1849" s="22"/>
      <c r="AH1849" s="55"/>
      <c r="AI1849" s="55"/>
      <c r="AJ1849" s="55"/>
      <c r="AK1849" s="55"/>
      <c r="AO1849" s="22"/>
      <c r="AP1849" s="22"/>
      <c r="AQ1849" s="22"/>
      <c r="AR1849" s="22"/>
      <c r="AS1849" s="22"/>
      <c r="AT1849" s="22"/>
      <c r="AU1849" s="35"/>
      <c r="AV1849" s="35"/>
      <c r="AW1849" s="35"/>
      <c r="AX1849" s="35"/>
      <c r="AY1849" s="35"/>
      <c r="AZ1849" s="35"/>
      <c r="BA1849" s="35"/>
      <c r="BB1849" s="35"/>
      <c r="BC1849" s="35"/>
      <c r="BD1849" s="35"/>
      <c r="BE1849" s="35"/>
      <c r="BF1849" s="35"/>
      <c r="BG1849" s="35"/>
      <c r="BH1849" s="35"/>
      <c r="BI1849" s="35"/>
      <c r="BJ1849" s="35"/>
      <c r="BK1849" s="35"/>
      <c r="BL1849" s="35"/>
      <c r="BM1849" s="35"/>
      <c r="BN1849" s="35"/>
      <c r="BO1849" s="86"/>
    </row>
    <row r="1850" spans="1:67" s="20" customFormat="1" ht="16.5" thickBot="1" x14ac:dyDescent="0.3">
      <c r="A1850" s="520">
        <f>IFERROR(VLOOKUP($G$5,'רשימת רשויות'!A:C,3,0),0)</f>
        <v>0</v>
      </c>
      <c r="B1850" s="520">
        <f t="shared" si="260"/>
        <v>0</v>
      </c>
      <c r="C1850" s="39"/>
      <c r="D1850" s="1134"/>
      <c r="E1850" s="1137"/>
      <c r="F1850" s="585" t="s">
        <v>2196</v>
      </c>
      <c r="G1850" s="89">
        <f>IF(G1851="תקין",MAX(O1851,0),0)</f>
        <v>0</v>
      </c>
      <c r="H1850" s="88">
        <f>(IFERROR(IF((G1849+G1850)=0,0,IF(G1847="קטן",G1848*$AH$10,G1848*$AH$11)),0))+(IFERROR(IF((G1849+G1850)=0,0,VLOOKUP(G1846,'דוח ביצוע (3)'!$B:$AH,33,0)),0))</f>
        <v>0</v>
      </c>
      <c r="I1850" s="88">
        <f>IFERROR(IF((G1849+G1850)=0,0,IF(G1847="קטן",G1848*$AI$10,G1848*$AI$11)),0)</f>
        <v>0</v>
      </c>
      <c r="J1850" s="88">
        <f>IFERROR(IF((G1849+G1850)=0,0,VLOOKUP(G1846,'דוח ביצוע (3)'!$B:$AH,32,0)),0)</f>
        <v>0</v>
      </c>
      <c r="K1850" s="90"/>
      <c r="L1850" s="90"/>
      <c r="M1850" s="399" t="s">
        <v>412</v>
      </c>
      <c r="N1850" s="400">
        <f>IFERROR(VLOOKUP($G1846,'דוח ביצוע (3)'!$B$21:$U$500,18,0),0)</f>
        <v>0</v>
      </c>
      <c r="O1850" s="401">
        <f>IFERROR(VLOOKUP($G1846,'דוח ביצוע (3)'!$B$21:$U$500,19,0),0)</f>
        <v>0</v>
      </c>
      <c r="P1850" s="595"/>
      <c r="Q1850" s="595"/>
      <c r="R1850" s="596"/>
      <c r="S1850" s="610"/>
      <c r="T1850" s="881"/>
      <c r="U1850" s="598"/>
      <c r="V1850" s="599"/>
      <c r="W1850" s="599"/>
      <c r="X1850" s="599"/>
      <c r="Y1850" s="879"/>
      <c r="Z1850" s="85"/>
      <c r="AC1850" s="493"/>
      <c r="AD1850" s="495"/>
      <c r="AG1850" s="22"/>
      <c r="AH1850" s="55"/>
      <c r="AI1850" s="55"/>
      <c r="AJ1850" s="55"/>
      <c r="AK1850" s="55"/>
      <c r="AO1850" s="22"/>
      <c r="AP1850" s="22"/>
      <c r="AQ1850" s="22"/>
      <c r="AR1850" s="22"/>
      <c r="AS1850" s="22"/>
      <c r="AT1850" s="22"/>
      <c r="AU1850" s="35"/>
      <c r="AV1850" s="35"/>
      <c r="AW1850" s="35"/>
      <c r="AX1850" s="35"/>
      <c r="AY1850" s="35"/>
      <c r="AZ1850" s="35"/>
      <c r="BA1850" s="35"/>
      <c r="BB1850" s="35"/>
      <c r="BC1850" s="35"/>
      <c r="BD1850" s="35"/>
      <c r="BE1850" s="35"/>
      <c r="BF1850" s="35"/>
      <c r="BG1850" s="35"/>
      <c r="BH1850" s="35"/>
      <c r="BI1850" s="35"/>
      <c r="BJ1850" s="35"/>
      <c r="BK1850" s="35"/>
      <c r="BL1850" s="35"/>
      <c r="BM1850" s="35"/>
      <c r="BN1850" s="35"/>
      <c r="BO1850" s="86"/>
    </row>
    <row r="1851" spans="1:67" s="20" customFormat="1" ht="16.5" thickBot="1" x14ac:dyDescent="0.3">
      <c r="A1851" s="520">
        <f>IFERROR(VLOOKUP($G$5,'רשימת רשויות'!A:C,3,0),0)</f>
        <v>0</v>
      </c>
      <c r="B1851" s="520">
        <f t="shared" si="260"/>
        <v>0</v>
      </c>
      <c r="C1851" s="39"/>
      <c r="D1851" s="1134"/>
      <c r="E1851" s="1137"/>
      <c r="F1851" s="586" t="s">
        <v>2355</v>
      </c>
      <c r="G1851" s="514">
        <f>IFERROR(IF(VLOOKUP('בית ספר - תקצוב לפי מוסד (9)'!G1846,' איוש משרות (8)'!$C:$K,9,0)="תקין","תקין","לא תקין"),0)</f>
        <v>0</v>
      </c>
      <c r="H1851" s="91"/>
      <c r="I1851" s="91"/>
      <c r="J1851" s="91"/>
      <c r="K1851" s="90"/>
      <c r="L1851" s="90"/>
      <c r="M1851" s="402" t="s">
        <v>2586</v>
      </c>
      <c r="N1851" s="403">
        <f>IFERROR(MIN(N1849,N1850),0)</f>
        <v>0</v>
      </c>
      <c r="O1851" s="404">
        <f>IFERROR(MIN(O1849,O1850),0)</f>
        <v>0</v>
      </c>
      <c r="P1851" s="595"/>
      <c r="Q1851" s="595"/>
      <c r="R1851" s="596"/>
      <c r="S1851" s="610"/>
      <c r="T1851" s="881"/>
      <c r="U1851" s="598"/>
      <c r="V1851" s="599"/>
      <c r="W1851" s="599"/>
      <c r="X1851" s="599"/>
      <c r="Y1851" s="879"/>
      <c r="Z1851" s="85"/>
      <c r="AC1851" s="493"/>
      <c r="AD1851" s="495"/>
      <c r="AG1851" s="94"/>
      <c r="AH1851" s="40"/>
      <c r="AI1851" s="40"/>
      <c r="AJ1851" s="40"/>
      <c r="AK1851" s="40"/>
      <c r="AO1851" s="22"/>
      <c r="AP1851" s="22"/>
      <c r="AQ1851" s="22"/>
      <c r="AR1851" s="22"/>
      <c r="AS1851" s="22"/>
      <c r="AT1851" s="22"/>
      <c r="AU1851" s="35"/>
      <c r="AV1851" s="35"/>
      <c r="AW1851" s="35"/>
      <c r="AX1851" s="35"/>
      <c r="AY1851" s="35"/>
      <c r="AZ1851" s="35"/>
      <c r="BA1851" s="35"/>
      <c r="BB1851" s="35"/>
      <c r="BC1851" s="35"/>
      <c r="BD1851" s="35"/>
      <c r="BE1851" s="35"/>
      <c r="BF1851" s="35"/>
      <c r="BG1851" s="35"/>
      <c r="BH1851" s="35"/>
      <c r="BI1851" s="35"/>
      <c r="BJ1851" s="35"/>
      <c r="BK1851" s="35"/>
      <c r="BL1851" s="35"/>
      <c r="BM1851" s="35"/>
      <c r="BN1851" s="35"/>
      <c r="BO1851" s="86"/>
    </row>
    <row r="1852" spans="1:67" s="55" customFormat="1" ht="37.15" customHeight="1" thickBot="1" x14ac:dyDescent="0.3">
      <c r="A1852" s="520">
        <f>IFERROR(VLOOKUP($G$5,'רשימת רשויות'!A:C,3,0),0)</f>
        <v>0</v>
      </c>
      <c r="B1852" s="520">
        <f t="shared" si="260"/>
        <v>0</v>
      </c>
      <c r="C1852" s="39"/>
      <c r="D1852" s="1134"/>
      <c r="E1852" s="1137"/>
      <c r="F1852" s="587" t="s">
        <v>142</v>
      </c>
      <c r="G1852" s="92"/>
      <c r="H1852" s="92"/>
      <c r="I1852" s="92"/>
      <c r="J1852" s="92"/>
      <c r="K1852" s="602"/>
      <c r="L1852" s="602"/>
      <c r="M1852" s="602"/>
      <c r="N1852" s="602"/>
      <c r="O1852" s="602"/>
      <c r="P1852" s="595"/>
      <c r="Q1852" s="595"/>
      <c r="R1852" s="596"/>
      <c r="S1852" s="610"/>
      <c r="T1852" s="881"/>
      <c r="U1852" s="598"/>
      <c r="V1852" s="599"/>
      <c r="W1852" s="599"/>
      <c r="X1852" s="599"/>
      <c r="Y1852" s="879"/>
      <c r="Z1852" s="93"/>
      <c r="AC1852" s="493"/>
      <c r="AD1852" s="495"/>
      <c r="AF1852" s="22"/>
      <c r="AG1852" s="98"/>
      <c r="AH1852" s="98"/>
      <c r="AI1852" s="40"/>
      <c r="AJ1852" s="40"/>
      <c r="AK1852" s="40"/>
      <c r="AO1852" s="22"/>
      <c r="AP1852" s="22"/>
      <c r="AQ1852" s="22"/>
      <c r="AR1852" s="22"/>
      <c r="AS1852" s="22"/>
      <c r="AT1852" s="22"/>
      <c r="AU1852" s="35"/>
      <c r="AV1852" s="35"/>
      <c r="AW1852" s="35"/>
      <c r="AX1852" s="35"/>
      <c r="AY1852" s="35"/>
      <c r="AZ1852" s="35"/>
      <c r="BA1852" s="35"/>
      <c r="BB1852" s="35"/>
      <c r="BC1852" s="35"/>
      <c r="BD1852" s="35"/>
      <c r="BE1852" s="35"/>
      <c r="BF1852" s="35"/>
      <c r="BG1852" s="35"/>
      <c r="BH1852" s="35"/>
      <c r="BI1852" s="35"/>
      <c r="BJ1852" s="35"/>
      <c r="BK1852" s="35"/>
      <c r="BL1852" s="35"/>
      <c r="BM1852" s="35"/>
      <c r="BN1852" s="35"/>
      <c r="BO1852" s="86"/>
    </row>
    <row r="1853" spans="1:67" s="40" customFormat="1" ht="31.5" x14ac:dyDescent="0.25">
      <c r="A1853" s="520">
        <f>IFERROR(VLOOKUP($G$5,'רשימת רשויות'!A:C,3,0),0)</f>
        <v>0</v>
      </c>
      <c r="B1853" s="520">
        <f t="shared" si="260"/>
        <v>0</v>
      </c>
      <c r="C1853" s="39"/>
      <c r="D1853" s="1134"/>
      <c r="E1853" s="1137"/>
      <c r="F1853" s="588" t="s">
        <v>94</v>
      </c>
      <c r="G1853" s="95" t="s">
        <v>18</v>
      </c>
      <c r="H1853" s="95" t="s">
        <v>19</v>
      </c>
      <c r="I1853" s="95" t="s">
        <v>138</v>
      </c>
      <c r="J1853" s="96" t="s">
        <v>139</v>
      </c>
      <c r="K1853" s="603"/>
      <c r="L1853" s="603"/>
      <c r="M1853" s="603"/>
      <c r="N1853" s="603"/>
      <c r="O1853" s="603"/>
      <c r="P1853" s="604"/>
      <c r="Q1853" s="604"/>
      <c r="R1853" s="596"/>
      <c r="S1853" s="610"/>
      <c r="T1853" s="881"/>
      <c r="U1853" s="598"/>
      <c r="V1853" s="599"/>
      <c r="W1853" s="599"/>
      <c r="X1853" s="599"/>
      <c r="Y1853" s="879"/>
      <c r="Z1853" s="97"/>
      <c r="AA1853" s="94"/>
      <c r="AB1853" s="94"/>
      <c r="AC1853" s="493"/>
      <c r="AD1853" s="495"/>
      <c r="AE1853" s="94"/>
      <c r="AG1853" s="98"/>
      <c r="AH1853" s="98"/>
      <c r="AO1853" s="22"/>
      <c r="AP1853" s="22"/>
      <c r="AQ1853" s="22"/>
      <c r="AR1853" s="22"/>
      <c r="AS1853" s="22"/>
      <c r="AT1853" s="22"/>
      <c r="AU1853" s="35"/>
      <c r="AV1853" s="35"/>
      <c r="AW1853" s="35"/>
      <c r="AX1853" s="35"/>
      <c r="AY1853" s="35"/>
      <c r="AZ1853" s="35"/>
      <c r="BA1853" s="35"/>
      <c r="BB1853" s="35"/>
      <c r="BC1853" s="35"/>
      <c r="BD1853" s="35"/>
      <c r="BE1853" s="35"/>
      <c r="BF1853" s="35"/>
      <c r="BG1853" s="35"/>
      <c r="BH1853" s="35"/>
      <c r="BI1853" s="35"/>
      <c r="BJ1853" s="35"/>
      <c r="BK1853" s="35"/>
      <c r="BL1853" s="35"/>
      <c r="BM1853" s="35"/>
      <c r="BN1853" s="35"/>
      <c r="BO1853" s="86"/>
    </row>
    <row r="1854" spans="1:67" s="40" customFormat="1" ht="15.75" customHeight="1" thickBot="1" x14ac:dyDescent="0.3">
      <c r="A1854" s="520">
        <f>IFERROR(VLOOKUP($G$5,'רשימת רשויות'!A:C,3,0),0)</f>
        <v>0</v>
      </c>
      <c r="B1854" s="520">
        <f t="shared" si="260"/>
        <v>0</v>
      </c>
      <c r="C1854" s="39"/>
      <c r="D1854" s="1134"/>
      <c r="E1854" s="1137"/>
      <c r="F1854" s="589" t="s">
        <v>2280</v>
      </c>
      <c r="G1854" s="99">
        <f>+G1865</f>
        <v>0</v>
      </c>
      <c r="H1854" s="100">
        <f>K1848</f>
        <v>0</v>
      </c>
      <c r="I1854" s="100">
        <f>H1854-I1856</f>
        <v>0</v>
      </c>
      <c r="J1854" s="101">
        <f>IFERROR(I1854/H1854,0)</f>
        <v>0</v>
      </c>
      <c r="K1854" s="603"/>
      <c r="L1854" s="603"/>
      <c r="M1854" s="603"/>
      <c r="N1854" s="603"/>
      <c r="O1854" s="603"/>
      <c r="P1854" s="605"/>
      <c r="Q1854" s="604"/>
      <c r="R1854" s="606" t="s">
        <v>157</v>
      </c>
      <c r="S1854" s="611"/>
      <c r="T1854" s="881"/>
      <c r="U1854" s="598"/>
      <c r="V1854" s="599"/>
      <c r="W1854" s="599"/>
      <c r="X1854" s="599"/>
      <c r="Y1854" s="879"/>
      <c r="Z1854" s="102"/>
      <c r="AA1854" s="122"/>
      <c r="AB1854" s="122"/>
      <c r="AC1854" s="493"/>
      <c r="AD1854" s="495"/>
      <c r="AE1854" s="122"/>
      <c r="AF1854" s="22"/>
      <c r="AG1854" s="98"/>
      <c r="AH1854" s="98"/>
      <c r="AI1854" s="20"/>
      <c r="AO1854" s="22"/>
      <c r="AP1854" s="22"/>
      <c r="AQ1854" s="22"/>
      <c r="AR1854" s="22"/>
      <c r="AS1854" s="22"/>
      <c r="AT1854" s="22"/>
      <c r="AU1854" s="35"/>
      <c r="AV1854" s="35"/>
      <c r="AW1854" s="35"/>
      <c r="AX1854" s="35"/>
      <c r="AY1854" s="35"/>
      <c r="AZ1854" s="35"/>
      <c r="BA1854" s="35"/>
      <c r="BB1854" s="35"/>
      <c r="BC1854" s="35"/>
      <c r="BD1854" s="35"/>
      <c r="BE1854" s="35"/>
      <c r="BF1854" s="35"/>
      <c r="BG1854" s="35"/>
      <c r="BH1854" s="35"/>
      <c r="BI1854" s="35"/>
      <c r="BJ1854" s="35"/>
      <c r="BK1854" s="35"/>
      <c r="BL1854" s="35"/>
      <c r="BM1854" s="35"/>
      <c r="BN1854" s="35"/>
      <c r="BO1854" s="86"/>
    </row>
    <row r="1855" spans="1:67" s="40" customFormat="1" ht="15.75" customHeight="1" thickBot="1" x14ac:dyDescent="0.3">
      <c r="A1855" s="520">
        <f>IFERROR(VLOOKUP($G$5,'רשימת רשויות'!A:C,3,0),0)</f>
        <v>0</v>
      </c>
      <c r="B1855" s="520">
        <f t="shared" si="260"/>
        <v>0</v>
      </c>
      <c r="C1855" s="39"/>
      <c r="D1855" s="1134"/>
      <c r="E1855" s="1137"/>
      <c r="F1855" s="589" t="s">
        <v>2281</v>
      </c>
      <c r="G1855" s="99">
        <f>+G1864</f>
        <v>0</v>
      </c>
      <c r="H1855" s="103"/>
      <c r="I1855" s="104"/>
      <c r="J1855" s="105"/>
      <c r="K1855" s="603"/>
      <c r="L1855" s="603"/>
      <c r="M1855" s="603"/>
      <c r="N1855" s="603"/>
      <c r="O1855" s="603"/>
      <c r="P1855" s="605"/>
      <c r="Q1855" s="604"/>
      <c r="R1855" s="473">
        <f>I1856-R1857</f>
        <v>0</v>
      </c>
      <c r="S1855" s="611"/>
      <c r="T1855" s="881"/>
      <c r="U1855" s="598"/>
      <c r="V1855" s="599"/>
      <c r="W1855" s="599"/>
      <c r="X1855" s="599"/>
      <c r="Y1855" s="879"/>
      <c r="Z1855" s="106"/>
      <c r="AA1855" s="22"/>
      <c r="AB1855" s="22"/>
      <c r="AC1855" s="493"/>
      <c r="AD1855" s="495"/>
      <c r="AE1855" s="22"/>
      <c r="AF1855" s="22"/>
      <c r="AG1855" s="98"/>
      <c r="AH1855" s="98"/>
      <c r="AI1855" s="20"/>
      <c r="AO1855" s="22"/>
      <c r="AP1855" s="22"/>
      <c r="AQ1855" s="22"/>
      <c r="AR1855" s="22"/>
      <c r="AS1855" s="22"/>
      <c r="AT1855" s="22"/>
      <c r="AU1855" s="35"/>
      <c r="AV1855" s="35"/>
      <c r="AW1855" s="35"/>
      <c r="AX1855" s="35"/>
      <c r="AY1855" s="35"/>
      <c r="AZ1855" s="35"/>
      <c r="BA1855" s="35"/>
      <c r="BB1855" s="35"/>
      <c r="BC1855" s="35"/>
      <c r="BD1855" s="35"/>
      <c r="BE1855" s="35"/>
      <c r="BF1855" s="35"/>
      <c r="BG1855" s="35"/>
      <c r="BH1855" s="35"/>
      <c r="BI1855" s="35"/>
      <c r="BJ1855" s="35"/>
      <c r="BK1855" s="35"/>
      <c r="BL1855" s="35"/>
      <c r="BM1855" s="35"/>
      <c r="BN1855" s="35"/>
      <c r="BO1855" s="86"/>
    </row>
    <row r="1856" spans="1:67" s="40" customFormat="1" ht="16.5" customHeight="1" thickBot="1" x14ac:dyDescent="0.3">
      <c r="A1856" s="520">
        <f>IFERROR(VLOOKUP($G$5,'רשימת רשויות'!A:C,3,0),0)</f>
        <v>0</v>
      </c>
      <c r="B1856" s="520">
        <f t="shared" si="260"/>
        <v>0</v>
      </c>
      <c r="C1856" s="39"/>
      <c r="D1856" s="1134"/>
      <c r="E1856" s="1137"/>
      <c r="F1856" s="589" t="s">
        <v>2282</v>
      </c>
      <c r="G1856" s="99">
        <f>G1860+G1861+G1862</f>
        <v>0</v>
      </c>
      <c r="H1856" s="104"/>
      <c r="I1856" s="107">
        <f>MAX(H1854-G1854-G1855,0)</f>
        <v>0</v>
      </c>
      <c r="J1856" s="108">
        <f>IFERROR(I1856/H1854,0)</f>
        <v>0</v>
      </c>
      <c r="K1856" s="603"/>
      <c r="L1856" s="603"/>
      <c r="M1856" s="603"/>
      <c r="N1856" s="603"/>
      <c r="O1856" s="603"/>
      <c r="P1856" s="604"/>
      <c r="Q1856" s="604"/>
      <c r="R1856" s="606" t="s">
        <v>158</v>
      </c>
      <c r="S1856" s="612"/>
      <c r="T1856" s="881"/>
      <c r="U1856" s="598"/>
      <c r="V1856" s="599"/>
      <c r="W1856" s="599"/>
      <c r="X1856" s="599"/>
      <c r="Y1856" s="879"/>
      <c r="Z1856" s="106"/>
      <c r="AA1856" s="22"/>
      <c r="AB1856" s="22"/>
      <c r="AC1856" s="493"/>
      <c r="AD1856" s="495"/>
      <c r="AE1856" s="22"/>
      <c r="AF1856" s="22"/>
      <c r="AG1856" s="22"/>
      <c r="AH1856" s="22"/>
      <c r="AI1856" s="55"/>
      <c r="AJ1856" s="22"/>
      <c r="AK1856" s="22"/>
      <c r="AO1856" s="22"/>
      <c r="AP1856" s="22"/>
      <c r="AQ1856" s="22"/>
      <c r="AR1856" s="22"/>
      <c r="AS1856" s="22"/>
      <c r="AT1856" s="22"/>
      <c r="AU1856" s="35"/>
      <c r="AV1856" s="35"/>
      <c r="AW1856" s="35"/>
      <c r="AX1856" s="35"/>
      <c r="AY1856" s="35"/>
      <c r="AZ1856" s="35"/>
      <c r="BA1856" s="35"/>
      <c r="BB1856" s="35"/>
      <c r="BC1856" s="35"/>
      <c r="BD1856" s="35"/>
      <c r="BE1856" s="35"/>
      <c r="BF1856" s="35"/>
      <c r="BG1856" s="35"/>
      <c r="BH1856" s="35"/>
      <c r="BI1856" s="35"/>
      <c r="BJ1856" s="35"/>
      <c r="BK1856" s="35"/>
      <c r="BL1856" s="35"/>
      <c r="BM1856" s="35"/>
      <c r="BN1856" s="35"/>
      <c r="BO1856" s="86"/>
    </row>
    <row r="1857" spans="1:67" s="40" customFormat="1" ht="15.75" customHeight="1" thickBot="1" x14ac:dyDescent="0.3">
      <c r="A1857" s="520">
        <f>IFERROR(VLOOKUP($G$5,'רשימת רשויות'!A:C,3,0),0)</f>
        <v>0</v>
      </c>
      <c r="B1857" s="520">
        <f t="shared" si="260"/>
        <v>0</v>
      </c>
      <c r="C1857" s="39"/>
      <c r="D1857" s="1134"/>
      <c r="E1857" s="1137"/>
      <c r="F1857" s="590" t="s">
        <v>2290</v>
      </c>
      <c r="G1857" s="109"/>
      <c r="H1857" s="110"/>
      <c r="I1857" s="111">
        <f>SUM(I1854:I1856)</f>
        <v>0</v>
      </c>
      <c r="J1857" s="112">
        <f>SUM(J1854:J1856)</f>
        <v>0</v>
      </c>
      <c r="K1857" s="603"/>
      <c r="L1857" s="603"/>
      <c r="M1857" s="603"/>
      <c r="N1857" s="603"/>
      <c r="O1857" s="603"/>
      <c r="P1857" s="604"/>
      <c r="Q1857" s="604"/>
      <c r="R1857" s="473">
        <f>MIN(MAX(G1861+G1862-I1850-J1850,0),I1856)</f>
        <v>0</v>
      </c>
      <c r="S1857" s="612"/>
      <c r="T1857" s="881"/>
      <c r="U1857" s="598"/>
      <c r="V1857" s="599"/>
      <c r="W1857" s="599"/>
      <c r="X1857" s="599"/>
      <c r="Y1857" s="879"/>
      <c r="Z1857" s="106"/>
      <c r="AA1857" s="22"/>
      <c r="AB1857" s="22"/>
      <c r="AC1857" s="493"/>
      <c r="AD1857" s="495"/>
      <c r="AE1857" s="22"/>
      <c r="AF1857" s="22"/>
      <c r="AG1857" s="22"/>
      <c r="AH1857" s="22"/>
      <c r="AJ1857" s="22"/>
      <c r="AK1857" s="22"/>
      <c r="AO1857" s="22"/>
      <c r="AP1857" s="22"/>
      <c r="AQ1857" s="22"/>
      <c r="AR1857" s="22"/>
      <c r="AS1857" s="22"/>
      <c r="AT1857" s="22"/>
      <c r="AU1857" s="35"/>
      <c r="AV1857" s="35"/>
      <c r="AW1857" s="35"/>
      <c r="AX1857" s="35"/>
      <c r="AY1857" s="35"/>
      <c r="AZ1857" s="35"/>
      <c r="BA1857" s="35"/>
      <c r="BB1857" s="35"/>
      <c r="BC1857" s="35"/>
      <c r="BD1857" s="35"/>
      <c r="BE1857" s="35"/>
      <c r="BF1857" s="35"/>
      <c r="BG1857" s="35"/>
      <c r="BH1857" s="35"/>
      <c r="BI1857" s="35"/>
      <c r="BJ1857" s="35"/>
      <c r="BK1857" s="35"/>
      <c r="BL1857" s="35"/>
      <c r="BM1857" s="35"/>
      <c r="BN1857" s="35"/>
      <c r="BO1857" s="86"/>
    </row>
    <row r="1858" spans="1:67" ht="16.5" thickBot="1" x14ac:dyDescent="0.3">
      <c r="A1858" s="520">
        <f>IFERROR(VLOOKUP($G$5,'רשימת רשויות'!A:C,3,0),0)</f>
        <v>0</v>
      </c>
      <c r="B1858" s="520">
        <f t="shared" si="260"/>
        <v>0</v>
      </c>
      <c r="D1858" s="1134"/>
      <c r="E1858" s="1137"/>
      <c r="F1858" s="587" t="s">
        <v>17</v>
      </c>
      <c r="G1858" s="113"/>
      <c r="H1858" s="92"/>
      <c r="I1858" s="114"/>
      <c r="J1858" s="115"/>
      <c r="K1858" s="116"/>
      <c r="L1858" s="406"/>
      <c r="M1858" s="116"/>
      <c r="N1858" s="116"/>
      <c r="O1858" s="116"/>
      <c r="P1858" s="474"/>
      <c r="Q1858" s="607"/>
      <c r="R1858" s="608"/>
      <c r="S1858" s="612"/>
      <c r="T1858" s="881"/>
      <c r="U1858" s="598"/>
      <c r="V1858" s="599"/>
      <c r="W1858" s="599"/>
      <c r="X1858" s="599"/>
      <c r="Y1858" s="879"/>
      <c r="Z1858" s="106"/>
      <c r="AI1858" s="40"/>
      <c r="BO1858" s="86"/>
    </row>
    <row r="1859" spans="1:67" ht="47.25" x14ac:dyDescent="0.25">
      <c r="A1859" s="520">
        <f>IFERROR(VLOOKUP($G$5,'רשימת רשויות'!A:C,3,0),0)</f>
        <v>0</v>
      </c>
      <c r="B1859" s="520">
        <f t="shared" si="260"/>
        <v>0</v>
      </c>
      <c r="D1859" s="1134"/>
      <c r="E1859" s="1137"/>
      <c r="F1859" s="588" t="s">
        <v>2</v>
      </c>
      <c r="G1859" s="95" t="s">
        <v>18</v>
      </c>
      <c r="H1859" s="95" t="s">
        <v>19</v>
      </c>
      <c r="I1859" s="95" t="s">
        <v>20</v>
      </c>
      <c r="J1859" s="95" t="s">
        <v>22</v>
      </c>
      <c r="K1859" s="96" t="s">
        <v>2314</v>
      </c>
      <c r="L1859" s="609"/>
      <c r="M1859" s="609"/>
      <c r="N1859" s="609"/>
      <c r="O1859" s="580"/>
      <c r="P1859" s="618" t="s">
        <v>2298</v>
      </c>
      <c r="Q1859" s="618" t="s">
        <v>2299</v>
      </c>
      <c r="R1859" s="596"/>
      <c r="S1859" s="890" t="s">
        <v>2519</v>
      </c>
      <c r="T1859" s="890" t="s">
        <v>97</v>
      </c>
      <c r="U1859" s="891" t="s">
        <v>2521</v>
      </c>
      <c r="V1859" s="892" t="s">
        <v>2520</v>
      </c>
      <c r="W1859" s="893" t="s">
        <v>2524</v>
      </c>
      <c r="X1859" s="892" t="s">
        <v>2522</v>
      </c>
      <c r="Y1859" s="894" t="s">
        <v>2523</v>
      </c>
      <c r="Z1859" s="106"/>
      <c r="AC1859" s="498" t="s">
        <v>2568</v>
      </c>
      <c r="AD1859" s="499" t="s">
        <v>2569</v>
      </c>
      <c r="AF1859" s="122"/>
      <c r="AI1859" s="40"/>
      <c r="BO1859" s="86"/>
    </row>
    <row r="1860" spans="1:67" ht="15" customHeight="1" thickBot="1" x14ac:dyDescent="0.3">
      <c r="A1860" s="520">
        <f>IFERROR(VLOOKUP($G$5,'רשימת רשויות'!A:C,3,0),0)</f>
        <v>0</v>
      </c>
      <c r="B1860" s="520">
        <f t="shared" si="260"/>
        <v>0</v>
      </c>
      <c r="D1860" s="1134"/>
      <c r="E1860" s="1137"/>
      <c r="F1860" s="589" t="s">
        <v>76</v>
      </c>
      <c r="G1860" s="117">
        <f>IF(G1851="תקין",SUMIF('עלויות כח אדם (6)'!$B$15:$B$3014,'בית ספר - תקצוב לפי מוסד (9)'!$G1846,'עלויות כח אדם (6)'!$M$15:$M$3014)-VLOOKUP('בית ספר - תקצוב לפי מוסד (9)'!G1846,' איוש משרות (8)'!$C:$H,5,0)-VLOOKUP('בית ספר - תקצוב לפי מוסד (9)'!G1846,' איוש משרות (8)'!$C:$H,6,0),0)-Y1860</f>
        <v>0</v>
      </c>
      <c r="H1860" s="118">
        <f>I1848+R1855</f>
        <v>0</v>
      </c>
      <c r="I1860" s="119">
        <f>IFERROR(SUM(G1860)/H1860,0)</f>
        <v>0</v>
      </c>
      <c r="J1860" s="100">
        <f>MIN(I1848+R1855,IF(ISNUMBER(G1860),G1860,0))</f>
        <v>0</v>
      </c>
      <c r="K1860" s="120">
        <f>MAX(H1860-G1860,0)</f>
        <v>0</v>
      </c>
      <c r="L1860" s="407"/>
      <c r="M1860" s="393"/>
      <c r="N1860" s="393"/>
      <c r="O1860" s="580"/>
      <c r="P1860" s="968">
        <f>IFERROR(IF(SUM(G1860)/(I1848)&lt;100%,MIN((I1848)-SUM(G1860),(I1848)*0.25),0),0)</f>
        <v>0</v>
      </c>
      <c r="Q1860" s="968">
        <f>IF(SUM(G1860)-(I1848+R1855)&gt;0,SUM(G1860)-(I1848+R1855),0)</f>
        <v>0</v>
      </c>
      <c r="R1860" s="596" t="s">
        <v>2351</v>
      </c>
      <c r="S1860" s="576" t="s">
        <v>2342</v>
      </c>
      <c r="T1860" s="599">
        <f>G1846</f>
        <v>0</v>
      </c>
      <c r="U1860" s="578"/>
      <c r="V1860" s="579">
        <f>G1860+G1861+G1862</f>
        <v>0</v>
      </c>
      <c r="W1860" s="579">
        <f>U1860-V1860</f>
        <v>0</v>
      </c>
      <c r="X1860" s="579">
        <f>IFERROR(W1874*W1860/(SUM(W1860:W1873)),0)</f>
        <v>0</v>
      </c>
      <c r="Y1860" s="879">
        <f>SUMIFS(בקרה!$S:$S,בקרה!$D:$D,T1860,בקרה!$K:$K,S1860)</f>
        <v>0</v>
      </c>
      <c r="Z1860" s="121"/>
      <c r="AA1860" s="143"/>
      <c r="AB1860" s="143"/>
      <c r="AC1860" s="504">
        <v>0</v>
      </c>
      <c r="AD1860" s="505">
        <f>IFERROR(U1860-AC1860,0)</f>
        <v>0</v>
      </c>
      <c r="AE1860" s="143"/>
      <c r="AI1860" s="20"/>
      <c r="BO1860" s="86"/>
    </row>
    <row r="1861" spans="1:67" ht="15" customHeight="1" thickBot="1" x14ac:dyDescent="0.3">
      <c r="A1861" s="520">
        <f>IFERROR(VLOOKUP($G$5,'רשימת רשויות'!A:C,3,0),0)</f>
        <v>0</v>
      </c>
      <c r="B1861" s="520">
        <f t="shared" si="260"/>
        <v>0</v>
      </c>
      <c r="D1861" s="1134"/>
      <c r="E1861" s="1137"/>
      <c r="F1861" s="589" t="s">
        <v>44</v>
      </c>
      <c r="G1861" s="123">
        <f>IF(G1851="תקין",IFERROR(VLOOKUP('בית ספר - תקצוב לפי מוסד (9)'!G1846,' איוש משרות (8)'!C:J,7,0),0),0)</f>
        <v>0</v>
      </c>
      <c r="H1861" s="124">
        <f>I1850+R1857+J1850</f>
        <v>0</v>
      </c>
      <c r="I1861" s="119">
        <f>IFERROR(SUM(G1861:G1862)/H1861,0)</f>
        <v>0</v>
      </c>
      <c r="J1861" s="100">
        <f>MIN(R1857+I1850,IF(ISNUMBER(SUM(G1861:G1862)),SUM(G1861:G1862),0))</f>
        <v>0</v>
      </c>
      <c r="K1861" s="1139">
        <f>MAX((H1861)-(G1861+G1862),0)</f>
        <v>0</v>
      </c>
      <c r="L1861" s="407"/>
      <c r="M1861" s="393"/>
      <c r="N1861" s="393"/>
      <c r="O1861" s="580"/>
      <c r="P1861" s="1140"/>
      <c r="Q1861" s="1140"/>
      <c r="R1861" s="617">
        <f>MAX(MIN(P1869-Q1869,H1869*0.15-G1867),0)</f>
        <v>0</v>
      </c>
      <c r="S1861" s="576"/>
      <c r="T1861" s="599">
        <f>G1846</f>
        <v>0</v>
      </c>
      <c r="U1861" s="578"/>
      <c r="V1861" s="579"/>
      <c r="W1861" s="579">
        <f t="shared" ref="W1861:W1873" si="265">U1861-V1861</f>
        <v>0</v>
      </c>
      <c r="X1861" s="579"/>
      <c r="Y1861" s="879"/>
      <c r="Z1861" s="121"/>
      <c r="AA1861" s="143"/>
      <c r="AB1861" s="143"/>
      <c r="AC1861" s="504"/>
      <c r="AD1861" s="505">
        <f t="shared" ref="AD1861:AD1867" si="266">IFERROR(U1861-AC1861,0)</f>
        <v>0</v>
      </c>
      <c r="AE1861" s="143"/>
      <c r="AI1861" s="20"/>
      <c r="BO1861" s="86"/>
    </row>
    <row r="1862" spans="1:67" ht="15.75" customHeight="1" x14ac:dyDescent="0.25">
      <c r="A1862" s="520">
        <f>IFERROR(VLOOKUP($G$5,'רשימת רשויות'!A:C,3,0),0)</f>
        <v>0</v>
      </c>
      <c r="B1862" s="520">
        <f t="shared" si="260"/>
        <v>0</v>
      </c>
      <c r="D1862" s="1134"/>
      <c r="E1862" s="1137"/>
      <c r="F1862" s="589" t="s">
        <v>45</v>
      </c>
      <c r="G1862" s="123">
        <f>IF(G1851="תקין",IFERROR(VLOOKUP('בית ספר - תקצוב לפי מוסד (9)'!G1846,' איוש משרות (8)'!C:J,8,0),0),0)</f>
        <v>0</v>
      </c>
      <c r="H1862" s="125"/>
      <c r="I1862" s="126"/>
      <c r="J1862" s="104"/>
      <c r="K1862" s="1139"/>
      <c r="L1862" s="407"/>
      <c r="M1862" s="393"/>
      <c r="N1862" s="393"/>
      <c r="O1862" s="580"/>
      <c r="P1862" s="1140"/>
      <c r="Q1862" s="1140"/>
      <c r="R1862" s="596"/>
      <c r="S1862" s="576"/>
      <c r="T1862" s="599">
        <f>G1846</f>
        <v>0</v>
      </c>
      <c r="U1862" s="578"/>
      <c r="V1862" s="579"/>
      <c r="W1862" s="579">
        <f t="shared" si="265"/>
        <v>0</v>
      </c>
      <c r="X1862" s="579"/>
      <c r="Y1862" s="879"/>
      <c r="Z1862" s="121"/>
      <c r="AA1862" s="143"/>
      <c r="AB1862" s="143"/>
      <c r="AC1862" s="504"/>
      <c r="AD1862" s="505">
        <f t="shared" si="266"/>
        <v>0</v>
      </c>
      <c r="AE1862" s="143"/>
      <c r="AG1862" s="55"/>
      <c r="AH1862" s="55"/>
      <c r="AI1862" s="55"/>
      <c r="AJ1862" s="55"/>
      <c r="AK1862" s="55"/>
      <c r="BO1862" s="86"/>
    </row>
    <row r="1863" spans="1:67" ht="15.75" customHeight="1" x14ac:dyDescent="0.25">
      <c r="A1863" s="520">
        <f>IFERROR(VLOOKUP($G$5,'רשימת רשויות'!A:C,3,0),0)</f>
        <v>0</v>
      </c>
      <c r="B1863" s="520">
        <f t="shared" si="260"/>
        <v>0</v>
      </c>
      <c r="D1863" s="1134"/>
      <c r="E1863" s="1137"/>
      <c r="F1863" s="589" t="s">
        <v>0</v>
      </c>
      <c r="G1863" s="117">
        <f>IF(G1851="תקין",SUMIFS('דוח הוצאות בפועל (4)'!$E$17:$E$3016,'דוח הוצאות בפועל (4)'!$B$17:$B$3016,'בית ספר - תקצוב לפי מוסד (9)'!$G1846,'דוח הוצאות בפועל (4)'!$M$17:$M$3016,"הע"),0)-Y1863</f>
        <v>0</v>
      </c>
      <c r="H1863" s="127">
        <f>J1848</f>
        <v>0</v>
      </c>
      <c r="I1863" s="128">
        <f>IFERROR(G1863/H1863,0)</f>
        <v>0</v>
      </c>
      <c r="J1863" s="129">
        <f>MIN(IF(ISNUMBER(G1863),G1863,0),H1863)</f>
        <v>0</v>
      </c>
      <c r="K1863" s="120">
        <f>MAX(H1863-G1863,0)</f>
        <v>0</v>
      </c>
      <c r="L1863" s="407"/>
      <c r="M1863" s="393"/>
      <c r="N1863" s="393"/>
      <c r="O1863" s="580"/>
      <c r="P1863" s="968">
        <f>MAX(IF(I1863&lt;100%,MIN((H1863-G1863),H1863*0.25),0),0)</f>
        <v>0</v>
      </c>
      <c r="Q1863" s="619">
        <f>IF(G1863-H1863&gt;0,G1863-H1863,0)</f>
        <v>0</v>
      </c>
      <c r="R1863" s="596"/>
      <c r="S1863" s="610" t="s">
        <v>0</v>
      </c>
      <c r="T1863" s="599">
        <f>G1846</f>
        <v>0</v>
      </c>
      <c r="U1863" s="578"/>
      <c r="V1863" s="579">
        <f>G1863</f>
        <v>0</v>
      </c>
      <c r="W1863" s="579">
        <f t="shared" si="265"/>
        <v>0</v>
      </c>
      <c r="X1863" s="579">
        <f>IFERROR(W1874*W1863/(SUM(W1860:W1873)),0)</f>
        <v>0</v>
      </c>
      <c r="Y1863" s="879">
        <f>SUMIFS(בקרה!$S:$S,בקרה!$D:$D,T1863,בקרה!$K:$K,S1863)</f>
        <v>0</v>
      </c>
      <c r="Z1863" s="121"/>
      <c r="AA1863" s="143"/>
      <c r="AB1863" s="143"/>
      <c r="AC1863" s="504">
        <v>0</v>
      </c>
      <c r="AD1863" s="505">
        <f t="shared" si="266"/>
        <v>0</v>
      </c>
      <c r="AE1863" s="143"/>
      <c r="AG1863" s="55"/>
      <c r="AH1863" s="55"/>
      <c r="AI1863" s="40"/>
      <c r="AJ1863" s="55"/>
      <c r="AK1863" s="55"/>
      <c r="BO1863" s="86"/>
    </row>
    <row r="1864" spans="1:67" s="55" customFormat="1" ht="15.75" customHeight="1" x14ac:dyDescent="0.25">
      <c r="A1864" s="520">
        <f>IFERROR(VLOOKUP($G$5,'רשימת רשויות'!A:C,3,0),0)</f>
        <v>0</v>
      </c>
      <c r="B1864" s="520">
        <f t="shared" si="260"/>
        <v>0</v>
      </c>
      <c r="C1864" s="39"/>
      <c r="D1864" s="1134"/>
      <c r="E1864" s="1137"/>
      <c r="F1864" s="589" t="s">
        <v>93</v>
      </c>
      <c r="G1864" s="130">
        <f>IF(G1851="תקין",SUMIFS('דוח הוצאות בפועל (4)'!$E$17:$E$3016,'דוח הוצאות בפועל (4)'!$B$17:$B$3016,'בית ספר - תקצוב לפי מוסד (9)'!$G1846,'דוח הוצאות בפועל (4)'!$M$17:$M$3016,"אר"),0)-Y1864</f>
        <v>0</v>
      </c>
      <c r="H1864" s="118">
        <f>$I1854</f>
        <v>0</v>
      </c>
      <c r="I1864" s="131">
        <f>IFERROR((G1864+G1865)/H1864,0)</f>
        <v>0</v>
      </c>
      <c r="J1864" s="100">
        <f>MIN((IF(ISNUMBER(G1864),G1864,0)+IF(ISNUMBER(G1865),G1865,0)),H1864)</f>
        <v>0</v>
      </c>
      <c r="K1864" s="1139">
        <f>MAX((H1864)-(G1864+G1865),0)</f>
        <v>0</v>
      </c>
      <c r="L1864" s="407"/>
      <c r="M1864" s="393"/>
      <c r="N1864" s="393"/>
      <c r="O1864" s="602"/>
      <c r="P1864" s="1141"/>
      <c r="Q1864" s="1142"/>
      <c r="R1864" s="596"/>
      <c r="S1864" s="610" t="s">
        <v>93</v>
      </c>
      <c r="T1864" s="599">
        <f>G1846</f>
        <v>0</v>
      </c>
      <c r="U1864" s="578"/>
      <c r="V1864" s="579">
        <f t="shared" ref="V1864:V1865" si="267">G1864</f>
        <v>0</v>
      </c>
      <c r="W1864" s="579">
        <f t="shared" si="265"/>
        <v>0</v>
      </c>
      <c r="X1864" s="579">
        <f>IFERROR(W1874*W1864/(SUM(W1860:W1873)),0)</f>
        <v>0</v>
      </c>
      <c r="Y1864" s="879">
        <f>SUMIFS(בקרה!$S:$S,בקרה!$D:$D,T1864,בקרה!$K:$K,S1864)</f>
        <v>0</v>
      </c>
      <c r="Z1864" s="121"/>
      <c r="AA1864" s="143"/>
      <c r="AB1864" s="143"/>
      <c r="AC1864" s="504">
        <v>0</v>
      </c>
      <c r="AD1864" s="505">
        <f t="shared" si="266"/>
        <v>0</v>
      </c>
      <c r="AE1864" s="143"/>
      <c r="AJ1864" s="22"/>
      <c r="AO1864" s="22"/>
      <c r="AP1864" s="22"/>
      <c r="AQ1864" s="22"/>
      <c r="AR1864" s="22"/>
      <c r="AS1864" s="22"/>
      <c r="AT1864" s="22"/>
      <c r="AU1864" s="35"/>
      <c r="AV1864" s="35"/>
      <c r="AW1864" s="35"/>
      <c r="AX1864" s="35"/>
      <c r="AY1864" s="35"/>
      <c r="AZ1864" s="35"/>
      <c r="BA1864" s="35"/>
      <c r="BB1864" s="35"/>
      <c r="BC1864" s="35"/>
      <c r="BD1864" s="35"/>
      <c r="BE1864" s="35"/>
      <c r="BF1864" s="35"/>
      <c r="BG1864" s="35"/>
      <c r="BH1864" s="35"/>
      <c r="BI1864" s="35"/>
      <c r="BJ1864" s="35"/>
      <c r="BK1864" s="35"/>
      <c r="BL1864" s="35"/>
      <c r="BM1864" s="35"/>
      <c r="BN1864" s="35"/>
      <c r="BO1864" s="86"/>
    </row>
    <row r="1865" spans="1:67" s="55" customFormat="1" ht="15.75" customHeight="1" x14ac:dyDescent="0.25">
      <c r="A1865" s="520">
        <f>IFERROR(VLOOKUP($G$5,'רשימת רשויות'!A:C,3,0),0)</f>
        <v>0</v>
      </c>
      <c r="B1865" s="520">
        <f t="shared" si="260"/>
        <v>0</v>
      </c>
      <c r="C1865" s="39"/>
      <c r="D1865" s="1134"/>
      <c r="E1865" s="1137"/>
      <c r="F1865" s="589" t="s">
        <v>46</v>
      </c>
      <c r="G1865" s="130">
        <f>IF(G1851="תקין",SUMIFS('דוח הוצאות בפועל (4)'!$E$17:$E$3016,'דוח הוצאות בפועל (4)'!$B$17:$B$3016,'בית ספר - תקצוב לפי מוסד (9)'!$G1846,'דוח הוצאות בפועל (4)'!$M$17:$M$3016,"מל"),0)-Y1865</f>
        <v>0</v>
      </c>
      <c r="H1865" s="132"/>
      <c r="I1865" s="133"/>
      <c r="J1865" s="104"/>
      <c r="K1865" s="1139"/>
      <c r="L1865" s="407"/>
      <c r="M1865" s="393"/>
      <c r="N1865" s="393"/>
      <c r="O1865" s="602"/>
      <c r="P1865" s="1141"/>
      <c r="Q1865" s="1142"/>
      <c r="R1865" s="596"/>
      <c r="S1865" s="610" t="s">
        <v>46</v>
      </c>
      <c r="T1865" s="599">
        <f>G1846</f>
        <v>0</v>
      </c>
      <c r="U1865" s="578"/>
      <c r="V1865" s="579">
        <f t="shared" si="267"/>
        <v>0</v>
      </c>
      <c r="W1865" s="579">
        <f t="shared" si="265"/>
        <v>0</v>
      </c>
      <c r="X1865" s="579">
        <f>IFERROR(W1874*W1865/(SUM(W1860:W1873)),0)</f>
        <v>0</v>
      </c>
      <c r="Y1865" s="879">
        <f>SUMIFS(בקרה!$S:$S,בקרה!$D:$D,T1865,בקרה!$K:$K,S1865)</f>
        <v>0</v>
      </c>
      <c r="Z1865" s="121"/>
      <c r="AA1865" s="143"/>
      <c r="AB1865" s="143"/>
      <c r="AC1865" s="504">
        <v>0</v>
      </c>
      <c r="AD1865" s="505">
        <f t="shared" si="266"/>
        <v>0</v>
      </c>
      <c r="AE1865" s="143"/>
      <c r="AJ1865" s="22"/>
      <c r="AO1865" s="22"/>
      <c r="AP1865" s="22"/>
      <c r="AQ1865" s="22"/>
      <c r="AR1865" s="22"/>
      <c r="AS1865" s="22"/>
      <c r="AT1865" s="22"/>
      <c r="AU1865" s="35"/>
      <c r="AV1865" s="35"/>
      <c r="AW1865" s="35"/>
      <c r="AX1865" s="35"/>
      <c r="AY1865" s="35"/>
      <c r="AZ1865" s="35"/>
      <c r="BA1865" s="35"/>
      <c r="BB1865" s="35"/>
      <c r="BC1865" s="35"/>
      <c r="BD1865" s="35"/>
      <c r="BE1865" s="35"/>
      <c r="BF1865" s="35"/>
      <c r="BG1865" s="35"/>
      <c r="BH1865" s="35"/>
      <c r="BI1865" s="35"/>
      <c r="BJ1865" s="35"/>
      <c r="BK1865" s="35"/>
      <c r="BL1865" s="35"/>
      <c r="BM1865" s="35"/>
      <c r="BN1865" s="35"/>
      <c r="BO1865" s="86"/>
    </row>
    <row r="1866" spans="1:67" s="55" customFormat="1" ht="15" customHeight="1" x14ac:dyDescent="0.25">
      <c r="A1866" s="520">
        <f>IFERROR(VLOOKUP($G$5,'רשימת רשויות'!A:C,3,0),0)</f>
        <v>0</v>
      </c>
      <c r="B1866" s="520">
        <f t="shared" si="260"/>
        <v>0</v>
      </c>
      <c r="C1866" s="39"/>
      <c r="D1866" s="1134"/>
      <c r="E1866" s="1137"/>
      <c r="F1866" s="591" t="s">
        <v>23</v>
      </c>
      <c r="G1866" s="134">
        <f>SUM(G1860:G1865)</f>
        <v>0</v>
      </c>
      <c r="H1866" s="135">
        <f>SUM(H1860:H1865)</f>
        <v>0</v>
      </c>
      <c r="I1866" s="128">
        <f>IFERROR(G1866/H1866,0)</f>
        <v>0</v>
      </c>
      <c r="J1866" s="136">
        <f>SUM(J1860:J1865)</f>
        <v>0</v>
      </c>
      <c r="K1866" s="137">
        <f>SUM(K1860:K1865)</f>
        <v>0</v>
      </c>
      <c r="L1866" s="408"/>
      <c r="M1866" s="394"/>
      <c r="N1866" s="394"/>
      <c r="O1866" s="602"/>
      <c r="P1866" s="620">
        <f>SUM(P1860:P1865)</f>
        <v>0</v>
      </c>
      <c r="Q1866" s="620">
        <f>SUM(Q1860:Q1865)</f>
        <v>0</v>
      </c>
      <c r="R1866" s="596"/>
      <c r="S1866" s="610"/>
      <c r="T1866" s="599">
        <f>G1846</f>
        <v>0</v>
      </c>
      <c r="U1866" s="578"/>
      <c r="V1866" s="579"/>
      <c r="W1866" s="579">
        <f t="shared" si="265"/>
        <v>0</v>
      </c>
      <c r="X1866" s="579"/>
      <c r="Y1866" s="879"/>
      <c r="Z1866" s="121"/>
      <c r="AA1866" s="143"/>
      <c r="AB1866" s="143"/>
      <c r="AC1866" s="504"/>
      <c r="AD1866" s="505">
        <f t="shared" si="266"/>
        <v>0</v>
      </c>
      <c r="AE1866" s="143"/>
      <c r="AJ1866" s="22"/>
      <c r="AL1866" s="22"/>
      <c r="AM1866" s="22"/>
      <c r="AN1866" s="22"/>
      <c r="AO1866" s="22"/>
      <c r="AP1866" s="22"/>
      <c r="AQ1866" s="22"/>
      <c r="AR1866" s="22"/>
      <c r="AS1866" s="22"/>
      <c r="AT1866" s="22"/>
      <c r="AU1866" s="35"/>
      <c r="AV1866" s="35"/>
      <c r="AW1866" s="35"/>
      <c r="AX1866" s="35"/>
      <c r="AY1866" s="35"/>
      <c r="AZ1866" s="35"/>
      <c r="BA1866" s="35"/>
      <c r="BB1866" s="35"/>
      <c r="BC1866" s="35"/>
      <c r="BD1866" s="35"/>
      <c r="BE1866" s="35"/>
      <c r="BF1866" s="35"/>
      <c r="BG1866" s="35"/>
      <c r="BH1866" s="35"/>
      <c r="BI1866" s="35"/>
      <c r="BJ1866" s="35"/>
      <c r="BK1866" s="35"/>
      <c r="BL1866" s="35"/>
      <c r="BM1866" s="35"/>
      <c r="BN1866" s="35"/>
      <c r="BO1866" s="86"/>
    </row>
    <row r="1867" spans="1:67" s="55" customFormat="1" ht="15" customHeight="1" x14ac:dyDescent="0.25">
      <c r="A1867" s="520">
        <f>IFERROR(VLOOKUP($G$5,'רשימת רשויות'!A:C,3,0),0)</f>
        <v>0</v>
      </c>
      <c r="B1867" s="520">
        <f t="shared" si="260"/>
        <v>0</v>
      </c>
      <c r="C1867" s="39"/>
      <c r="D1867" s="1134"/>
      <c r="E1867" s="1137"/>
      <c r="F1867" s="589" t="s">
        <v>3</v>
      </c>
      <c r="G1867" s="117">
        <f>IF(G1851="תקין",SUMIFS('דוח הוצאות בפועל (4)'!$E$17:$E$3016,'דוח הוצאות בפועל (4)'!$B$17:$B$3016,'בית ספר - תקצוב לפי מוסד (9)'!$G1846,'דוח הוצאות בפועל (4)'!$M$17:$M$3016,"ני")+SUMIFS('דוח הוצאות בפועל (4)'!$E$17:$E$3016,'דוח הוצאות בפועל (4)'!$B$17:$B$3016,'בית ספר - תקצוב לפי מוסד (9)'!$G1846,'דוח הוצאות בפועל (4)'!$M$17:$M$3016,"על"),0)-Y1867</f>
        <v>0</v>
      </c>
      <c r="H1867" s="117">
        <f>H1848</f>
        <v>0</v>
      </c>
      <c r="I1867" s="138">
        <f>IFERROR(G1867/H1867,0)</f>
        <v>0</v>
      </c>
      <c r="J1867" s="117">
        <f>IFERROR(IF(G1867/H1869&gt;0.15,MIN(H1869*0.15,H1867),MIN(H1867,IF(ISNUMBER(G1867),G1867,0))),0)</f>
        <v>0</v>
      </c>
      <c r="K1867" s="120">
        <f>MAX(H1867-G1867,0)</f>
        <v>0</v>
      </c>
      <c r="L1867" s="407"/>
      <c r="M1867" s="393"/>
      <c r="N1867" s="393"/>
      <c r="O1867" s="602"/>
      <c r="P1867" s="620">
        <f>IF(I1867&lt;100%,MIN(H1867-G1867,H1867*0.25),0)</f>
        <v>0</v>
      </c>
      <c r="Q1867" s="620">
        <f>MAX(MIN(IF(G1867-H1867&gt;0,G1867-H1867,0),$H1869*0.15-H1867-J1868),0)</f>
        <v>0</v>
      </c>
      <c r="R1867" s="596"/>
      <c r="S1867" s="610" t="s">
        <v>3</v>
      </c>
      <c r="T1867" s="599">
        <f>G1846</f>
        <v>0</v>
      </c>
      <c r="U1867" s="578"/>
      <c r="V1867" s="579">
        <f t="shared" ref="V1867" si="268">G1867</f>
        <v>0</v>
      </c>
      <c r="W1867" s="579">
        <f t="shared" si="265"/>
        <v>0</v>
      </c>
      <c r="X1867" s="579"/>
      <c r="Y1867" s="879"/>
      <c r="Z1867" s="121"/>
      <c r="AA1867" s="143"/>
      <c r="AB1867" s="143"/>
      <c r="AC1867" s="504">
        <v>0</v>
      </c>
      <c r="AD1867" s="505">
        <f t="shared" si="266"/>
        <v>0</v>
      </c>
      <c r="AE1867" s="143"/>
      <c r="AG1867" s="22"/>
      <c r="AH1867" s="22"/>
      <c r="AI1867" s="22"/>
      <c r="AJ1867" s="22"/>
      <c r="AK1867" s="22"/>
      <c r="AL1867" s="22"/>
      <c r="AM1867" s="22"/>
      <c r="AN1867" s="22"/>
      <c r="AO1867" s="22"/>
      <c r="AP1867" s="22"/>
      <c r="AQ1867" s="22"/>
      <c r="AR1867" s="22"/>
      <c r="AS1867" s="22"/>
      <c r="AT1867" s="22"/>
      <c r="AU1867" s="35"/>
      <c r="AV1867" s="35"/>
      <c r="AW1867" s="35"/>
      <c r="AX1867" s="35"/>
      <c r="AY1867" s="35"/>
      <c r="AZ1867" s="35"/>
      <c r="BA1867" s="35"/>
      <c r="BB1867" s="35"/>
      <c r="BC1867" s="35"/>
      <c r="BD1867" s="35"/>
      <c r="BE1867" s="35"/>
      <c r="BF1867" s="35"/>
      <c r="BG1867" s="35"/>
      <c r="BH1867" s="35"/>
      <c r="BI1867" s="35"/>
      <c r="BJ1867" s="35"/>
      <c r="BK1867" s="35"/>
      <c r="BL1867" s="35"/>
      <c r="BM1867" s="35"/>
      <c r="BN1867" s="35"/>
      <c r="BO1867" s="86"/>
    </row>
    <row r="1868" spans="1:67" s="55" customFormat="1" ht="15.75" customHeight="1" x14ac:dyDescent="0.25">
      <c r="A1868" s="520">
        <f>IFERROR(VLOOKUP($G$5,'רשימת רשויות'!A:C,3,0),0)</f>
        <v>0</v>
      </c>
      <c r="B1868" s="520">
        <f t="shared" si="260"/>
        <v>0</v>
      </c>
      <c r="C1868" s="39"/>
      <c r="D1868" s="1134"/>
      <c r="E1868" s="1137"/>
      <c r="F1868" s="589" t="s">
        <v>2918</v>
      </c>
      <c r="G1868" s="117">
        <f>0.07*(G1862+G1861)</f>
        <v>0</v>
      </c>
      <c r="H1868" s="117">
        <f>H1850</f>
        <v>0</v>
      </c>
      <c r="I1868" s="138">
        <f>IFERROR(G1868/H1868,0)</f>
        <v>0</v>
      </c>
      <c r="J1868" s="117">
        <f>IFERROR(MIN(0.07*(G1861+G1862),0.07*I1850),0)</f>
        <v>0</v>
      </c>
      <c r="K1868" s="120">
        <f>MAX(H1868-G1868,0)</f>
        <v>0</v>
      </c>
      <c r="L1868" s="407"/>
      <c r="M1868" s="393"/>
      <c r="N1868" s="393"/>
      <c r="O1868" s="602"/>
      <c r="P1868" s="620"/>
      <c r="Q1868" s="619"/>
      <c r="R1868" s="596"/>
      <c r="S1868" s="611"/>
      <c r="T1868" s="599">
        <f>G1846</f>
        <v>0</v>
      </c>
      <c r="U1868" s="578"/>
      <c r="V1868" s="579"/>
      <c r="W1868" s="579">
        <f t="shared" si="265"/>
        <v>0</v>
      </c>
      <c r="X1868" s="579"/>
      <c r="Y1868" s="879"/>
      <c r="Z1868" s="121"/>
      <c r="AA1868" s="143"/>
      <c r="AB1868" s="143"/>
      <c r="AC1868" s="504"/>
      <c r="AD1868" s="505"/>
      <c r="AE1868" s="143"/>
      <c r="AF1868" s="140"/>
      <c r="AG1868" s="22"/>
      <c r="AH1868" s="22"/>
      <c r="AI1868" s="22"/>
      <c r="AJ1868" s="22"/>
      <c r="AK1868" s="22"/>
      <c r="AL1868" s="22"/>
      <c r="AM1868" s="22"/>
      <c r="AN1868" s="22"/>
      <c r="AO1868" s="22"/>
      <c r="AP1868" s="22"/>
      <c r="AQ1868" s="22"/>
      <c r="AR1868" s="22"/>
      <c r="AS1868" s="22"/>
      <c r="AT1868" s="22"/>
      <c r="AU1868" s="35"/>
      <c r="AV1868" s="35"/>
      <c r="AW1868" s="35"/>
      <c r="AX1868" s="35"/>
      <c r="AY1868" s="35"/>
      <c r="AZ1868" s="35"/>
      <c r="BA1868" s="35"/>
      <c r="BB1868" s="35"/>
      <c r="BC1868" s="35"/>
      <c r="BD1868" s="35"/>
      <c r="BE1868" s="35"/>
      <c r="BF1868" s="35"/>
      <c r="BG1868" s="35"/>
      <c r="BH1868" s="35"/>
      <c r="BI1868" s="35"/>
      <c r="BJ1868" s="35"/>
      <c r="BK1868" s="35"/>
      <c r="BL1868" s="35"/>
      <c r="BM1868" s="35"/>
      <c r="BN1868" s="35"/>
      <c r="BO1868" s="86"/>
    </row>
    <row r="1869" spans="1:67" ht="15.75" customHeight="1" x14ac:dyDescent="0.25">
      <c r="A1869" s="520">
        <f>IFERROR(VLOOKUP($G$5,'רשימת רשויות'!A:C,3,0),0)</f>
        <v>0</v>
      </c>
      <c r="B1869" s="520">
        <f t="shared" si="260"/>
        <v>0</v>
      </c>
      <c r="D1869" s="1134"/>
      <c r="E1869" s="1137"/>
      <c r="F1869" s="591" t="s">
        <v>15</v>
      </c>
      <c r="G1869" s="134">
        <f>G1866+G1867+G1868</f>
        <v>0</v>
      </c>
      <c r="H1869" s="134">
        <f>H1866+H1867+H1868</f>
        <v>0</v>
      </c>
      <c r="I1869" s="138">
        <f>IFERROR(G1869/H1869,0)</f>
        <v>0</v>
      </c>
      <c r="J1869" s="139">
        <f>J1866+J1867+J1868</f>
        <v>0</v>
      </c>
      <c r="K1869" s="137">
        <f>K1867+K1866+K1868</f>
        <v>0</v>
      </c>
      <c r="L1869" s="408"/>
      <c r="M1869" s="394"/>
      <c r="N1869" s="394"/>
      <c r="O1869" s="602"/>
      <c r="P1869" s="621">
        <f>SUM(P1866:P1867)</f>
        <v>0</v>
      </c>
      <c r="Q1869" s="622">
        <f>Q1866+Q1867</f>
        <v>0</v>
      </c>
      <c r="R1869" s="596"/>
      <c r="S1869" s="611"/>
      <c r="T1869" s="599">
        <f>G1846</f>
        <v>0</v>
      </c>
      <c r="U1869" s="578"/>
      <c r="V1869" s="579"/>
      <c r="W1869" s="579">
        <f t="shared" si="265"/>
        <v>0</v>
      </c>
      <c r="X1869" s="579"/>
      <c r="Y1869" s="879"/>
      <c r="Z1869" s="106"/>
      <c r="AC1869" s="504"/>
      <c r="AD1869" s="505"/>
      <c r="AH1869" s="143"/>
      <c r="BO1869" s="86"/>
    </row>
    <row r="1870" spans="1:67" ht="15.75" customHeight="1" x14ac:dyDescent="0.25">
      <c r="A1870" s="520">
        <f>IFERROR(VLOOKUP($G$5,'רשימת רשויות'!A:C,3,0),0)</f>
        <v>0</v>
      </c>
      <c r="B1870" s="520">
        <f t="shared" ref="B1870:B1907" si="269">IF(F1871="סמל המוסד",G1871,B1869)</f>
        <v>0</v>
      </c>
      <c r="D1870" s="1134"/>
      <c r="E1870" s="1137"/>
      <c r="F1870" s="589" t="s">
        <v>2261</v>
      </c>
      <c r="G1870" s="117">
        <f>IF(G1851="תקין",SUMIF('תשלומי הורים ומלגות להורים (5) '!$B$18:$B$517,$G1846,'תשלומי הורים ומלגות להורים (5) '!$C$18:$C$517),0)</f>
        <v>0</v>
      </c>
      <c r="H1870" s="117">
        <f>(G1849+G1850)*$G$7</f>
        <v>0</v>
      </c>
      <c r="I1870" s="141"/>
      <c r="J1870" s="141"/>
      <c r="K1870" s="142"/>
      <c r="L1870" s="395"/>
      <c r="M1870" s="395"/>
      <c r="N1870" s="395"/>
      <c r="O1870" s="602"/>
      <c r="P1870" s="623"/>
      <c r="Q1870" s="619"/>
      <c r="R1870" s="596"/>
      <c r="S1870" s="612"/>
      <c r="T1870" s="599">
        <f>G1846</f>
        <v>0</v>
      </c>
      <c r="U1870" s="578"/>
      <c r="V1870" s="579"/>
      <c r="W1870" s="579">
        <f t="shared" si="265"/>
        <v>0</v>
      </c>
      <c r="X1870" s="579"/>
      <c r="Y1870" s="879"/>
      <c r="Z1870" s="121"/>
      <c r="AA1870" s="143"/>
      <c r="AB1870" s="143"/>
      <c r="AC1870" s="504"/>
      <c r="AD1870" s="505"/>
      <c r="AE1870" s="143"/>
      <c r="AF1870" s="148"/>
      <c r="BO1870" s="86"/>
    </row>
    <row r="1871" spans="1:67" ht="15.75" customHeight="1" thickBot="1" x14ac:dyDescent="0.3">
      <c r="A1871" s="520">
        <f>IFERROR(VLOOKUP($G$5,'רשימת רשויות'!A:C,3,0),0)</f>
        <v>0</v>
      </c>
      <c r="B1871" s="520">
        <f t="shared" si="269"/>
        <v>0</v>
      </c>
      <c r="D1871" s="1134"/>
      <c r="E1871" s="1137"/>
      <c r="F1871" s="592" t="s">
        <v>21</v>
      </c>
      <c r="G1871" s="144">
        <f>G1869-G1870</f>
        <v>0</v>
      </c>
      <c r="H1871" s="144">
        <f>H1869-H1870</f>
        <v>0</v>
      </c>
      <c r="I1871" s="145"/>
      <c r="J1871" s="145"/>
      <c r="K1871" s="146"/>
      <c r="L1871" s="396"/>
      <c r="M1871" s="396"/>
      <c r="N1871" s="396"/>
      <c r="O1871" s="602"/>
      <c r="P1871" s="619"/>
      <c r="Q1871" s="619"/>
      <c r="R1871" s="596"/>
      <c r="S1871" s="612"/>
      <c r="T1871" s="599">
        <f>G1846</f>
        <v>0</v>
      </c>
      <c r="U1871" s="578"/>
      <c r="V1871" s="579"/>
      <c r="W1871" s="579">
        <f t="shared" si="265"/>
        <v>0</v>
      </c>
      <c r="X1871" s="579"/>
      <c r="Y1871" s="879"/>
      <c r="Z1871" s="147"/>
      <c r="AA1871" s="148"/>
      <c r="AB1871" s="148"/>
      <c r="AC1871" s="504"/>
      <c r="AD1871" s="505"/>
      <c r="AE1871" s="148"/>
      <c r="AF1871" s="148"/>
      <c r="BO1871" s="86"/>
    </row>
    <row r="1872" spans="1:67" ht="15.75" customHeight="1" thickBot="1" x14ac:dyDescent="0.3">
      <c r="A1872" s="520">
        <f>IFERROR(VLOOKUP($G$5,'רשימת רשויות'!A:C,3,0),0)</f>
        <v>0</v>
      </c>
      <c r="B1872" s="520">
        <f t="shared" si="269"/>
        <v>0</v>
      </c>
      <c r="D1872" s="1134"/>
      <c r="E1872" s="1137"/>
      <c r="F1872" s="580"/>
      <c r="G1872" s="580"/>
      <c r="H1872" s="147"/>
      <c r="I1872" s="149" t="s">
        <v>2197</v>
      </c>
      <c r="J1872" s="150">
        <f>MAX(MIN(P1869,Q1869),0)</f>
        <v>0</v>
      </c>
      <c r="K1872" s="580"/>
      <c r="L1872" s="580"/>
      <c r="M1872" s="580"/>
      <c r="N1872" s="580"/>
      <c r="O1872" s="580"/>
      <c r="P1872" s="615" t="s">
        <v>2317</v>
      </c>
      <c r="Q1872" s="624">
        <f>SUM(Q1873:Q1874)</f>
        <v>0</v>
      </c>
      <c r="R1872" s="596"/>
      <c r="S1872" s="612"/>
      <c r="T1872" s="599">
        <f>G1846</f>
        <v>0</v>
      </c>
      <c r="U1872" s="578"/>
      <c r="V1872" s="579"/>
      <c r="W1872" s="579">
        <f t="shared" si="265"/>
        <v>0</v>
      </c>
      <c r="X1872" s="579"/>
      <c r="Y1872" s="879"/>
      <c r="Z1872" s="106"/>
      <c r="AC1872" s="504"/>
      <c r="AD1872" s="505"/>
      <c r="AF1872" s="148"/>
      <c r="BO1872" s="86"/>
    </row>
    <row r="1873" spans="1:67" ht="16.5" thickBot="1" x14ac:dyDescent="0.3">
      <c r="A1873" s="520">
        <f>IFERROR(VLOOKUP($G$5,'רשימת רשויות'!A:C,3,0),0)</f>
        <v>0</v>
      </c>
      <c r="B1873" s="520">
        <f t="shared" si="269"/>
        <v>0</v>
      </c>
      <c r="D1873" s="1134"/>
      <c r="E1873" s="1137"/>
      <c r="F1873" s="580"/>
      <c r="G1873" s="580"/>
      <c r="H1873" s="580"/>
      <c r="I1873" s="84" t="s">
        <v>2193</v>
      </c>
      <c r="J1873" s="515" t="str">
        <f>IFERROR(1-H1870/H1869,"")</f>
        <v/>
      </c>
      <c r="K1873" s="580"/>
      <c r="L1873" s="580"/>
      <c r="M1873" s="580"/>
      <c r="N1873" s="580"/>
      <c r="O1873" s="580"/>
      <c r="P1873" s="615" t="s">
        <v>417</v>
      </c>
      <c r="Q1873" s="616">
        <f>IFERROR(MAX(H1871-I1874-Q1874,0),0)</f>
        <v>0</v>
      </c>
      <c r="R1873" s="596"/>
      <c r="S1873" s="600"/>
      <c r="T1873" s="599">
        <f>G1846</f>
        <v>0</v>
      </c>
      <c r="U1873" s="578"/>
      <c r="V1873" s="579"/>
      <c r="W1873" s="579">
        <f t="shared" si="265"/>
        <v>0</v>
      </c>
      <c r="X1873" s="579"/>
      <c r="Y1873" s="879"/>
      <c r="Z1873" s="106"/>
      <c r="AC1873" s="504"/>
      <c r="AD1873" s="505"/>
      <c r="BO1873" s="86"/>
    </row>
    <row r="1874" spans="1:67" ht="17.25" thickBot="1" x14ac:dyDescent="0.3">
      <c r="A1874" s="520">
        <f>IFERROR(VLOOKUP($G$5,'רשימת רשויות'!A:C,3,0),0)</f>
        <v>0</v>
      </c>
      <c r="B1874" s="520">
        <f t="shared" si="269"/>
        <v>0</v>
      </c>
      <c r="D1874" s="1134"/>
      <c r="E1874" s="1137"/>
      <c r="F1874" s="1143" t="s">
        <v>2679</v>
      </c>
      <c r="G1874" s="1143"/>
      <c r="H1874" s="1143"/>
      <c r="I1874" s="722">
        <f>IF(G1851="לא תקין","לא קיימת זכאות לתקציב לאור אי איוש משרות רכז ו/או סגן רכז ",IFERROR(J1873*(J1872+J1869),0))</f>
        <v>0</v>
      </c>
      <c r="J1874" s="573"/>
      <c r="K1874" s="574"/>
      <c r="L1874" s="396"/>
      <c r="M1874" s="574"/>
      <c r="N1874" s="574"/>
      <c r="O1874" s="574"/>
      <c r="P1874" s="615" t="s">
        <v>2279</v>
      </c>
      <c r="Q1874" s="616">
        <f>MAX(IF(AND(G1869&gt;H1869,I1874&lt;H1871),H1871-I1874,0),0)</f>
        <v>0</v>
      </c>
      <c r="R1874" s="575"/>
      <c r="S1874" s="576" t="s">
        <v>67</v>
      </c>
      <c r="T1874" s="577">
        <f>G1846</f>
        <v>0</v>
      </c>
      <c r="U1874" s="578"/>
      <c r="V1874" s="579">
        <f>I1874</f>
        <v>0</v>
      </c>
      <c r="W1874" s="579">
        <f>IFERROR(U1874-V1874,0)</f>
        <v>0</v>
      </c>
      <c r="X1874" s="579">
        <f>SUM(X1860:X1873)</f>
        <v>0</v>
      </c>
      <c r="Y1874" s="879"/>
      <c r="Z1874" s="106"/>
      <c r="AC1874" s="506">
        <v>0</v>
      </c>
      <c r="AD1874" s="507">
        <f>IFERROR(U1874-AC1874,0)</f>
        <v>0</v>
      </c>
      <c r="BO1874" s="86"/>
    </row>
    <row r="1875" spans="1:67" ht="16.5" thickBot="1" x14ac:dyDescent="0.3">
      <c r="A1875" s="520">
        <f>IFERROR(VLOOKUP($G$5,'רשימת רשויות'!A:C,3,0),0)</f>
        <v>0</v>
      </c>
      <c r="B1875" s="520">
        <f t="shared" si="269"/>
        <v>0</v>
      </c>
      <c r="D1875" s="1135"/>
      <c r="E1875" s="1138"/>
      <c r="F1875" s="1144" t="s">
        <v>2793</v>
      </c>
      <c r="G1875" s="1145"/>
      <c r="H1875" s="1145"/>
      <c r="I1875" s="593">
        <f>IFERROR(IF(G1851="תקין",SUMIFS('סייעות רפואיות או אישיות (7)'!$Q$17:Q$384,'סייעות רפואיות או אישיות (7)'!C$17:C$384,G1846),0),0)</f>
        <v>0</v>
      </c>
      <c r="J1875" s="151"/>
      <c r="K1875" s="152"/>
      <c r="L1875" s="409"/>
      <c r="M1875" s="152"/>
      <c r="N1875" s="152"/>
      <c r="O1875" s="152"/>
      <c r="P1875" s="613"/>
      <c r="Q1875" s="614"/>
      <c r="R1875" s="475"/>
      <c r="S1875" s="489"/>
      <c r="T1875" s="490"/>
      <c r="U1875" s="491"/>
      <c r="V1875" s="492"/>
      <c r="W1875" s="492"/>
      <c r="X1875" s="492"/>
      <c r="Y1875" s="880"/>
      <c r="Z1875" s="153"/>
      <c r="AC1875" s="581"/>
      <c r="AD1875" s="582"/>
      <c r="BO1875" s="86"/>
    </row>
    <row r="1876" spans="1:67" ht="34.5" thickBot="1" x14ac:dyDescent="0.55000000000000004">
      <c r="A1876" s="520">
        <f>IFERROR(VLOOKUP($G$5,'רשימת רשויות'!A:C,3,0),0)</f>
        <v>0</v>
      </c>
      <c r="B1876" s="520">
        <f t="shared" si="269"/>
        <v>0</v>
      </c>
      <c r="E1876" s="154"/>
      <c r="I1876" s="143"/>
      <c r="J1876" s="148"/>
      <c r="O1876" s="148"/>
      <c r="T1876" s="481"/>
      <c r="BO1876" s="86"/>
    </row>
    <row r="1877" spans="1:67" s="20" customFormat="1" ht="16.5" customHeight="1" thickBot="1" x14ac:dyDescent="0.3">
      <c r="A1877" s="520">
        <f>IFERROR(VLOOKUP($G$5,'רשימת רשויות'!A:C,3,0),0)</f>
        <v>0</v>
      </c>
      <c r="B1877" s="520">
        <f t="shared" si="269"/>
        <v>0</v>
      </c>
      <c r="C1877" s="39"/>
      <c r="D1877" s="1133">
        <f>D1846+1</f>
        <v>61</v>
      </c>
      <c r="E1877" s="1136" t="str">
        <f>IFERROR(CONCATENATE("בית הספר ",VLOOKUP(G1877,'מצבת והרשמה (2)'!$C$21:$D$520,2,0)," - ",$G$5),"")</f>
        <v>בית הספר המוסד לא קיים - 0</v>
      </c>
      <c r="F1877" s="720" t="s">
        <v>146</v>
      </c>
      <c r="G1877" s="721">
        <f>IFERROR(VLOOKUP(D:D,'דוח ביצוע (3)'!$A$21:$C$900,2,0),0)</f>
        <v>0</v>
      </c>
      <c r="H1877" s="79"/>
      <c r="I1877" s="80" t="s">
        <v>150</v>
      </c>
      <c r="J1877" s="80"/>
      <c r="K1877" s="81"/>
      <c r="L1877" s="392"/>
      <c r="M1877" s="392"/>
      <c r="N1877" s="392"/>
      <c r="O1877" s="82"/>
      <c r="P1877" s="470"/>
      <c r="Q1877" s="471"/>
      <c r="R1877" s="472"/>
      <c r="S1877" s="883"/>
      <c r="T1877" s="884"/>
      <c r="U1877" s="486"/>
      <c r="V1877" s="487"/>
      <c r="W1877" s="487"/>
      <c r="X1877" s="487"/>
      <c r="Y1877" s="885"/>
      <c r="Z1877" s="83"/>
      <c r="AC1877" s="502"/>
      <c r="AD1877" s="503"/>
      <c r="AO1877" s="22"/>
      <c r="AP1877" s="22"/>
      <c r="AQ1877" s="22"/>
      <c r="AR1877" s="22"/>
      <c r="AS1877" s="22"/>
      <c r="AT1877" s="22"/>
      <c r="AU1877" s="35"/>
      <c r="AV1877" s="35"/>
      <c r="AW1877" s="35"/>
      <c r="AX1877" s="35"/>
      <c r="AY1877" s="35"/>
      <c r="AZ1877" s="35"/>
      <c r="BA1877" s="35"/>
      <c r="BB1877" s="35"/>
      <c r="BC1877" s="35"/>
      <c r="BD1877" s="35"/>
      <c r="BE1877" s="35"/>
      <c r="BF1877" s="35"/>
      <c r="BG1877" s="35"/>
      <c r="BH1877" s="35"/>
      <c r="BI1877" s="35"/>
      <c r="BJ1877" s="35"/>
      <c r="BK1877" s="35"/>
      <c r="BL1877" s="35"/>
      <c r="BM1877" s="35"/>
      <c r="BN1877" s="35"/>
      <c r="BO1877" s="78"/>
    </row>
    <row r="1878" spans="1:67" s="20" customFormat="1" ht="16.5" thickBot="1" x14ac:dyDescent="0.3">
      <c r="A1878" s="520">
        <f>IFERROR(VLOOKUP($G$5,'רשימת רשויות'!A:C,3,0),0)</f>
        <v>0</v>
      </c>
      <c r="B1878" s="520">
        <f t="shared" si="269"/>
        <v>0</v>
      </c>
      <c r="C1878" s="39"/>
      <c r="D1878" s="1134"/>
      <c r="E1878" s="1137"/>
      <c r="F1878" s="583" t="s">
        <v>145</v>
      </c>
      <c r="G1878" s="516" t="str">
        <f>IFERROR(IF((G1880+G1881)=0,"",IF(VLOOKUP(G1877,'דוח ביצוע (3)'!$B$21:$K$900,5,0)&gt;149,"גדול",IF(AND(VLOOKUP(G1877,'דוח ביצוע (3)'!$B$21:$K$900,5,0)&gt;0,VLOOKUP(G1877,'דוח ביצוע (3)'!$B$21:$K$900,5,0)&lt;150),"קטן",0))),"")</f>
        <v/>
      </c>
      <c r="H1878" s="723" t="s">
        <v>88</v>
      </c>
      <c r="I1878" s="723" t="s">
        <v>13</v>
      </c>
      <c r="J1878" s="725" t="s">
        <v>14</v>
      </c>
      <c r="K1878" s="724" t="s">
        <v>94</v>
      </c>
      <c r="L1878" s="594"/>
      <c r="M1878" s="420" t="s">
        <v>2584</v>
      </c>
      <c r="N1878" s="397" t="s">
        <v>413</v>
      </c>
      <c r="O1878" s="398" t="s">
        <v>52</v>
      </c>
      <c r="P1878" s="595"/>
      <c r="Q1878" s="595"/>
      <c r="R1878" s="596"/>
      <c r="S1878" s="610"/>
      <c r="T1878" s="881"/>
      <c r="U1878" s="598"/>
      <c r="V1878" s="599"/>
      <c r="W1878" s="599"/>
      <c r="X1878" s="599"/>
      <c r="Y1878" s="879"/>
      <c r="Z1878" s="85"/>
      <c r="AC1878" s="493"/>
      <c r="AD1878" s="495"/>
      <c r="AO1878" s="22"/>
      <c r="AP1878" s="22"/>
      <c r="AQ1878" s="22"/>
      <c r="AR1878" s="22"/>
      <c r="AS1878" s="22"/>
      <c r="AT1878" s="22"/>
      <c r="AU1878" s="35"/>
      <c r="AV1878" s="35"/>
      <c r="AW1878" s="35"/>
      <c r="AX1878" s="35"/>
      <c r="AY1878" s="35"/>
      <c r="AZ1878" s="35"/>
      <c r="BA1878" s="35"/>
      <c r="BB1878" s="35"/>
      <c r="BC1878" s="35"/>
      <c r="BD1878" s="35"/>
      <c r="BE1878" s="35"/>
      <c r="BF1878" s="35"/>
      <c r="BG1878" s="35"/>
      <c r="BH1878" s="35"/>
      <c r="BI1878" s="35"/>
      <c r="BJ1878" s="35"/>
      <c r="BK1878" s="35"/>
      <c r="BL1878" s="35"/>
      <c r="BM1878" s="35"/>
      <c r="BN1878" s="35"/>
      <c r="BO1878" s="78"/>
    </row>
    <row r="1879" spans="1:67" s="20" customFormat="1" ht="15.75" customHeight="1" thickBot="1" x14ac:dyDescent="0.3">
      <c r="A1879" s="520">
        <f>IFERROR(VLOOKUP($G$5,'רשימת רשויות'!A:C,3,0),0)</f>
        <v>0</v>
      </c>
      <c r="B1879" s="520">
        <f t="shared" si="269"/>
        <v>0</v>
      </c>
      <c r="C1879" s="39"/>
      <c r="D1879" s="1134"/>
      <c r="E1879" s="1137"/>
      <c r="F1879" s="584" t="s">
        <v>144</v>
      </c>
      <c r="G1879" s="87">
        <f>IF(G1882="תקין",IFERROR(VLOOKUP($G1877,'דוח ביצוע (3)'!$B$21:$Q$900,12,0),0),0)</f>
        <v>0</v>
      </c>
      <c r="H1879" s="88">
        <f>IFERROR(G1880*$AH$6+G1881*$AH$7,0)</f>
        <v>0</v>
      </c>
      <c r="I1879" s="88">
        <f>IFERROR(G1880*$AI$6+G1881*$AI$7,0)</f>
        <v>0</v>
      </c>
      <c r="J1879" s="88">
        <f>IFERROR(G1880*$AJ$6+G1881*$AJ$7,0)</f>
        <v>0</v>
      </c>
      <c r="K1879" s="88">
        <f>IFERROR(G1880*$AK$6+G1881*$AK$7,0)</f>
        <v>0</v>
      </c>
      <c r="L1879" s="405"/>
      <c r="M1879" s="399" t="s">
        <v>427</v>
      </c>
      <c r="N1879" s="400" t="str">
        <f>IFERROR(VLOOKUP($G1877,'דוח ביצוע (3)'!$B:$AE,28,0),"")</f>
        <v/>
      </c>
      <c r="O1879" s="89" t="str">
        <f>IFERROR(VLOOKUP($G1877,'דוח ביצוע (3)'!B:AE,29,0),"")</f>
        <v/>
      </c>
      <c r="P1879" s="595"/>
      <c r="Q1879" s="595"/>
      <c r="R1879" s="596"/>
      <c r="S1879" s="610"/>
      <c r="T1879" s="881"/>
      <c r="U1879" s="598"/>
      <c r="V1879" s="599"/>
      <c r="W1879" s="599"/>
      <c r="X1879" s="599"/>
      <c r="Y1879" s="879"/>
      <c r="Z1879" s="85"/>
      <c r="AC1879" s="493"/>
      <c r="AD1879" s="495"/>
      <c r="AO1879" s="22"/>
      <c r="AP1879" s="22"/>
      <c r="AQ1879" s="22"/>
      <c r="AR1879" s="22"/>
      <c r="AS1879" s="22"/>
      <c r="AT1879" s="22"/>
      <c r="AU1879" s="35"/>
      <c r="AV1879" s="35"/>
      <c r="AW1879" s="35"/>
      <c r="AX1879" s="35"/>
      <c r="AY1879" s="35"/>
      <c r="AZ1879" s="35"/>
      <c r="BA1879" s="35"/>
      <c r="BB1879" s="35"/>
      <c r="BC1879" s="35"/>
      <c r="BD1879" s="35"/>
      <c r="BE1879" s="35"/>
      <c r="BF1879" s="35"/>
      <c r="BG1879" s="35"/>
      <c r="BH1879" s="35"/>
      <c r="BI1879" s="35"/>
      <c r="BJ1879" s="35"/>
      <c r="BK1879" s="35"/>
      <c r="BL1879" s="35"/>
      <c r="BM1879" s="35"/>
      <c r="BN1879" s="35"/>
      <c r="BO1879" s="78"/>
    </row>
    <row r="1880" spans="1:67" s="20" customFormat="1" ht="32.25" thickBot="1" x14ac:dyDescent="0.3">
      <c r="A1880" s="520">
        <f>IFERROR(VLOOKUP($G$5,'רשימת רשויות'!A:C,3,0),0)</f>
        <v>0</v>
      </c>
      <c r="B1880" s="520">
        <f t="shared" si="269"/>
        <v>0</v>
      </c>
      <c r="C1880" s="39"/>
      <c r="D1880" s="1134"/>
      <c r="E1880" s="1137"/>
      <c r="F1880" s="585" t="s">
        <v>2195</v>
      </c>
      <c r="G1880" s="89">
        <f>IF(G1882="תקין",MAX(N1882,0),0)</f>
        <v>0</v>
      </c>
      <c r="H1880" s="725" t="s">
        <v>151</v>
      </c>
      <c r="I1880" s="725" t="s">
        <v>91</v>
      </c>
      <c r="J1880" s="970" t="s">
        <v>3396</v>
      </c>
      <c r="K1880" s="601"/>
      <c r="L1880" s="601"/>
      <c r="M1880" s="983" t="s">
        <v>2585</v>
      </c>
      <c r="N1880" s="400" t="str">
        <f>IFERROR(G1879/15*N1879*1.25,"")</f>
        <v/>
      </c>
      <c r="O1880" s="89" t="str">
        <f>IFERROR(G1879/15*O1879*1.25,"")</f>
        <v/>
      </c>
      <c r="P1880" s="595"/>
      <c r="Q1880" s="595"/>
      <c r="R1880" s="596"/>
      <c r="S1880" s="610"/>
      <c r="T1880" s="881"/>
      <c r="U1880" s="598"/>
      <c r="V1880" s="599"/>
      <c r="W1880" s="599"/>
      <c r="X1880" s="599"/>
      <c r="Y1880" s="879"/>
      <c r="Z1880" s="85"/>
      <c r="AC1880" s="493"/>
      <c r="AD1880" s="495"/>
      <c r="AG1880" s="22"/>
      <c r="AH1880" s="55"/>
      <c r="AI1880" s="55"/>
      <c r="AJ1880" s="55"/>
      <c r="AK1880" s="55"/>
      <c r="AO1880" s="22"/>
      <c r="AP1880" s="22"/>
      <c r="AQ1880" s="22"/>
      <c r="AR1880" s="22"/>
      <c r="AS1880" s="22"/>
      <c r="AT1880" s="22"/>
      <c r="AU1880" s="35"/>
      <c r="AV1880" s="35"/>
      <c r="AW1880" s="35"/>
      <c r="AX1880" s="35"/>
      <c r="AY1880" s="35"/>
      <c r="AZ1880" s="35"/>
      <c r="BA1880" s="35"/>
      <c r="BB1880" s="35"/>
      <c r="BC1880" s="35"/>
      <c r="BD1880" s="35"/>
      <c r="BE1880" s="35"/>
      <c r="BF1880" s="35"/>
      <c r="BG1880" s="35"/>
      <c r="BH1880" s="35"/>
      <c r="BI1880" s="35"/>
      <c r="BJ1880" s="35"/>
      <c r="BK1880" s="35"/>
      <c r="BL1880" s="35"/>
      <c r="BM1880" s="35"/>
      <c r="BN1880" s="35"/>
      <c r="BO1880" s="86"/>
    </row>
    <row r="1881" spans="1:67" s="20" customFormat="1" ht="16.5" thickBot="1" x14ac:dyDescent="0.3">
      <c r="A1881" s="520">
        <f>IFERROR(VLOOKUP($G$5,'רשימת רשויות'!A:C,3,0),0)</f>
        <v>0</v>
      </c>
      <c r="B1881" s="520">
        <f t="shared" si="269"/>
        <v>0</v>
      </c>
      <c r="C1881" s="39"/>
      <c r="D1881" s="1134"/>
      <c r="E1881" s="1137"/>
      <c r="F1881" s="585" t="s">
        <v>2196</v>
      </c>
      <c r="G1881" s="89">
        <f>IF(G1882="תקין",MAX(O1882,0),0)</f>
        <v>0</v>
      </c>
      <c r="H1881" s="88">
        <f>(IFERROR(IF((G1880+G1881)=0,0,IF(G1878="קטן",G1879*$AH$10,G1879*$AH$11)),0))+(IFERROR(IF((G1880+G1881)=0,0,VLOOKUP(G1877,'דוח ביצוע (3)'!$B:$AH,33,0)),0))</f>
        <v>0</v>
      </c>
      <c r="I1881" s="88">
        <f>IFERROR(IF((G1880+G1881)=0,0,IF(G1878="קטן",G1879*$AI$10,G1879*$AI$11)),0)</f>
        <v>0</v>
      </c>
      <c r="J1881" s="88">
        <f>IFERROR(IF((G1880+G1881)=0,0,VLOOKUP(G1877,'דוח ביצוע (3)'!$B:$AH,32,0)),0)</f>
        <v>0</v>
      </c>
      <c r="K1881" s="90"/>
      <c r="L1881" s="90"/>
      <c r="M1881" s="399" t="s">
        <v>412</v>
      </c>
      <c r="N1881" s="400">
        <f>IFERROR(VLOOKUP($G1877,'דוח ביצוע (3)'!$B$21:$U$500,18,0),0)</f>
        <v>0</v>
      </c>
      <c r="O1881" s="401">
        <f>IFERROR(VLOOKUP($G1877,'דוח ביצוע (3)'!$B$21:$U$500,19,0),0)</f>
        <v>0</v>
      </c>
      <c r="P1881" s="595"/>
      <c r="Q1881" s="595"/>
      <c r="R1881" s="596"/>
      <c r="S1881" s="610"/>
      <c r="T1881" s="881"/>
      <c r="U1881" s="598"/>
      <c r="V1881" s="599"/>
      <c r="W1881" s="599"/>
      <c r="X1881" s="599"/>
      <c r="Y1881" s="879"/>
      <c r="Z1881" s="85"/>
      <c r="AC1881" s="493"/>
      <c r="AD1881" s="495"/>
      <c r="AG1881" s="22"/>
      <c r="AH1881" s="55"/>
      <c r="AI1881" s="55"/>
      <c r="AJ1881" s="55"/>
      <c r="AK1881" s="55"/>
      <c r="AO1881" s="22"/>
      <c r="AP1881" s="22"/>
      <c r="AQ1881" s="22"/>
      <c r="AR1881" s="22"/>
      <c r="AS1881" s="22"/>
      <c r="AT1881" s="22"/>
      <c r="AU1881" s="35"/>
      <c r="AV1881" s="35"/>
      <c r="AW1881" s="35"/>
      <c r="AX1881" s="35"/>
      <c r="AY1881" s="35"/>
      <c r="AZ1881" s="35"/>
      <c r="BA1881" s="35"/>
      <c r="BB1881" s="35"/>
      <c r="BC1881" s="35"/>
      <c r="BD1881" s="35"/>
      <c r="BE1881" s="35"/>
      <c r="BF1881" s="35"/>
      <c r="BG1881" s="35"/>
      <c r="BH1881" s="35"/>
      <c r="BI1881" s="35"/>
      <c r="BJ1881" s="35"/>
      <c r="BK1881" s="35"/>
      <c r="BL1881" s="35"/>
      <c r="BM1881" s="35"/>
      <c r="BN1881" s="35"/>
      <c r="BO1881" s="86"/>
    </row>
    <row r="1882" spans="1:67" s="20" customFormat="1" ht="16.5" thickBot="1" x14ac:dyDescent="0.3">
      <c r="A1882" s="520">
        <f>IFERROR(VLOOKUP($G$5,'רשימת רשויות'!A:C,3,0),0)</f>
        <v>0</v>
      </c>
      <c r="B1882" s="520">
        <f t="shared" si="269"/>
        <v>0</v>
      </c>
      <c r="C1882" s="39"/>
      <c r="D1882" s="1134"/>
      <c r="E1882" s="1137"/>
      <c r="F1882" s="586" t="s">
        <v>2355</v>
      </c>
      <c r="G1882" s="514">
        <f>IFERROR(IF(VLOOKUP('בית ספר - תקצוב לפי מוסד (9)'!G1877,' איוש משרות (8)'!$C:$K,9,0)="תקין","תקין","לא תקין"),0)</f>
        <v>0</v>
      </c>
      <c r="H1882" s="91"/>
      <c r="I1882" s="91"/>
      <c r="J1882" s="91"/>
      <c r="K1882" s="90"/>
      <c r="L1882" s="90"/>
      <c r="M1882" s="402" t="s">
        <v>2586</v>
      </c>
      <c r="N1882" s="403">
        <f>IFERROR(MIN(N1880,N1881),0)</f>
        <v>0</v>
      </c>
      <c r="O1882" s="404">
        <f>IFERROR(MIN(O1880,O1881),0)</f>
        <v>0</v>
      </c>
      <c r="P1882" s="595"/>
      <c r="Q1882" s="595"/>
      <c r="R1882" s="596"/>
      <c r="S1882" s="610"/>
      <c r="T1882" s="881"/>
      <c r="U1882" s="598"/>
      <c r="V1882" s="599"/>
      <c r="W1882" s="599"/>
      <c r="X1882" s="599"/>
      <c r="Y1882" s="879"/>
      <c r="Z1882" s="85"/>
      <c r="AC1882" s="493"/>
      <c r="AD1882" s="495"/>
      <c r="AG1882" s="94"/>
      <c r="AH1882" s="40"/>
      <c r="AI1882" s="40"/>
      <c r="AJ1882" s="40"/>
      <c r="AK1882" s="40"/>
      <c r="AO1882" s="22"/>
      <c r="AP1882" s="22"/>
      <c r="AQ1882" s="22"/>
      <c r="AR1882" s="22"/>
      <c r="AS1882" s="22"/>
      <c r="AT1882" s="22"/>
      <c r="AU1882" s="35"/>
      <c r="AV1882" s="35"/>
      <c r="AW1882" s="35"/>
      <c r="AX1882" s="35"/>
      <c r="AY1882" s="35"/>
      <c r="AZ1882" s="35"/>
      <c r="BA1882" s="35"/>
      <c r="BB1882" s="35"/>
      <c r="BC1882" s="35"/>
      <c r="BD1882" s="35"/>
      <c r="BE1882" s="35"/>
      <c r="BF1882" s="35"/>
      <c r="BG1882" s="35"/>
      <c r="BH1882" s="35"/>
      <c r="BI1882" s="35"/>
      <c r="BJ1882" s="35"/>
      <c r="BK1882" s="35"/>
      <c r="BL1882" s="35"/>
      <c r="BM1882" s="35"/>
      <c r="BN1882" s="35"/>
      <c r="BO1882" s="86"/>
    </row>
    <row r="1883" spans="1:67" s="55" customFormat="1" ht="37.15" customHeight="1" thickBot="1" x14ac:dyDescent="0.3">
      <c r="A1883" s="520">
        <f>IFERROR(VLOOKUP($G$5,'רשימת רשויות'!A:C,3,0),0)</f>
        <v>0</v>
      </c>
      <c r="B1883" s="520">
        <f t="shared" si="269"/>
        <v>0</v>
      </c>
      <c r="C1883" s="39"/>
      <c r="D1883" s="1134"/>
      <c r="E1883" s="1137"/>
      <c r="F1883" s="587" t="s">
        <v>142</v>
      </c>
      <c r="G1883" s="92"/>
      <c r="H1883" s="92"/>
      <c r="I1883" s="92"/>
      <c r="J1883" s="92"/>
      <c r="K1883" s="602"/>
      <c r="L1883" s="602"/>
      <c r="M1883" s="602"/>
      <c r="N1883" s="602"/>
      <c r="O1883" s="602"/>
      <c r="P1883" s="595"/>
      <c r="Q1883" s="595"/>
      <c r="R1883" s="596"/>
      <c r="S1883" s="610"/>
      <c r="T1883" s="881"/>
      <c r="U1883" s="598"/>
      <c r="V1883" s="599"/>
      <c r="W1883" s="599"/>
      <c r="X1883" s="599"/>
      <c r="Y1883" s="879"/>
      <c r="Z1883" s="93"/>
      <c r="AC1883" s="493"/>
      <c r="AD1883" s="495"/>
      <c r="AF1883" s="22"/>
      <c r="AG1883" s="98"/>
      <c r="AH1883" s="98"/>
      <c r="AI1883" s="40"/>
      <c r="AJ1883" s="40"/>
      <c r="AK1883" s="40"/>
      <c r="AO1883" s="22"/>
      <c r="AP1883" s="22"/>
      <c r="AQ1883" s="22"/>
      <c r="AR1883" s="22"/>
      <c r="AS1883" s="22"/>
      <c r="AT1883" s="22"/>
      <c r="AU1883" s="35"/>
      <c r="AV1883" s="35"/>
      <c r="AW1883" s="35"/>
      <c r="AX1883" s="35"/>
      <c r="AY1883" s="35"/>
      <c r="AZ1883" s="35"/>
      <c r="BA1883" s="35"/>
      <c r="BB1883" s="35"/>
      <c r="BC1883" s="35"/>
      <c r="BD1883" s="35"/>
      <c r="BE1883" s="35"/>
      <c r="BF1883" s="35"/>
      <c r="BG1883" s="35"/>
      <c r="BH1883" s="35"/>
      <c r="BI1883" s="35"/>
      <c r="BJ1883" s="35"/>
      <c r="BK1883" s="35"/>
      <c r="BL1883" s="35"/>
      <c r="BM1883" s="35"/>
      <c r="BN1883" s="35"/>
      <c r="BO1883" s="86"/>
    </row>
    <row r="1884" spans="1:67" s="40" customFormat="1" ht="31.5" x14ac:dyDescent="0.25">
      <c r="A1884" s="520">
        <f>IFERROR(VLOOKUP($G$5,'רשימת רשויות'!A:C,3,0),0)</f>
        <v>0</v>
      </c>
      <c r="B1884" s="520">
        <f t="shared" si="269"/>
        <v>0</v>
      </c>
      <c r="C1884" s="39"/>
      <c r="D1884" s="1134"/>
      <c r="E1884" s="1137"/>
      <c r="F1884" s="588" t="s">
        <v>94</v>
      </c>
      <c r="G1884" s="95" t="s">
        <v>18</v>
      </c>
      <c r="H1884" s="95" t="s">
        <v>19</v>
      </c>
      <c r="I1884" s="95" t="s">
        <v>138</v>
      </c>
      <c r="J1884" s="96" t="s">
        <v>139</v>
      </c>
      <c r="K1884" s="603"/>
      <c r="L1884" s="603"/>
      <c r="M1884" s="603"/>
      <c r="N1884" s="603"/>
      <c r="O1884" s="603"/>
      <c r="P1884" s="604"/>
      <c r="Q1884" s="604"/>
      <c r="R1884" s="596"/>
      <c r="S1884" s="610"/>
      <c r="T1884" s="881"/>
      <c r="U1884" s="598"/>
      <c r="V1884" s="599"/>
      <c r="W1884" s="599"/>
      <c r="X1884" s="599"/>
      <c r="Y1884" s="879"/>
      <c r="Z1884" s="97"/>
      <c r="AA1884" s="94"/>
      <c r="AB1884" s="94"/>
      <c r="AC1884" s="493"/>
      <c r="AD1884" s="495"/>
      <c r="AE1884" s="94"/>
      <c r="AG1884" s="98"/>
      <c r="AH1884" s="98"/>
      <c r="AO1884" s="22"/>
      <c r="AP1884" s="22"/>
      <c r="AQ1884" s="22"/>
      <c r="AR1884" s="22"/>
      <c r="AS1884" s="22"/>
      <c r="AT1884" s="22"/>
      <c r="AU1884" s="35"/>
      <c r="AV1884" s="35"/>
      <c r="AW1884" s="35"/>
      <c r="AX1884" s="35"/>
      <c r="AY1884" s="35"/>
      <c r="AZ1884" s="35"/>
      <c r="BA1884" s="35"/>
      <c r="BB1884" s="35"/>
      <c r="BC1884" s="35"/>
      <c r="BD1884" s="35"/>
      <c r="BE1884" s="35"/>
      <c r="BF1884" s="35"/>
      <c r="BG1884" s="35"/>
      <c r="BH1884" s="35"/>
      <c r="BI1884" s="35"/>
      <c r="BJ1884" s="35"/>
      <c r="BK1884" s="35"/>
      <c r="BL1884" s="35"/>
      <c r="BM1884" s="35"/>
      <c r="BN1884" s="35"/>
      <c r="BO1884" s="86"/>
    </row>
    <row r="1885" spans="1:67" s="40" customFormat="1" ht="15.75" customHeight="1" thickBot="1" x14ac:dyDescent="0.3">
      <c r="A1885" s="520">
        <f>IFERROR(VLOOKUP($G$5,'רשימת רשויות'!A:C,3,0),0)</f>
        <v>0</v>
      </c>
      <c r="B1885" s="520">
        <f t="shared" si="269"/>
        <v>0</v>
      </c>
      <c r="C1885" s="39"/>
      <c r="D1885" s="1134"/>
      <c r="E1885" s="1137"/>
      <c r="F1885" s="589" t="s">
        <v>2280</v>
      </c>
      <c r="G1885" s="99">
        <f>+G1896</f>
        <v>0</v>
      </c>
      <c r="H1885" s="100">
        <f>K1879</f>
        <v>0</v>
      </c>
      <c r="I1885" s="100">
        <f>H1885-I1887</f>
        <v>0</v>
      </c>
      <c r="J1885" s="101">
        <f>IFERROR(I1885/H1885,0)</f>
        <v>0</v>
      </c>
      <c r="K1885" s="603"/>
      <c r="L1885" s="603"/>
      <c r="M1885" s="603"/>
      <c r="N1885" s="603"/>
      <c r="O1885" s="603"/>
      <c r="P1885" s="605"/>
      <c r="Q1885" s="604"/>
      <c r="R1885" s="606" t="s">
        <v>157</v>
      </c>
      <c r="S1885" s="611"/>
      <c r="T1885" s="881"/>
      <c r="U1885" s="598"/>
      <c r="V1885" s="599"/>
      <c r="W1885" s="599"/>
      <c r="X1885" s="599"/>
      <c r="Y1885" s="879"/>
      <c r="Z1885" s="102"/>
      <c r="AA1885" s="122"/>
      <c r="AB1885" s="122"/>
      <c r="AC1885" s="493"/>
      <c r="AD1885" s="495"/>
      <c r="AE1885" s="122"/>
      <c r="AF1885" s="22"/>
      <c r="AG1885" s="98"/>
      <c r="AH1885" s="98"/>
      <c r="AI1885" s="20"/>
      <c r="AO1885" s="22"/>
      <c r="AP1885" s="22"/>
      <c r="AQ1885" s="22"/>
      <c r="AR1885" s="22"/>
      <c r="AS1885" s="22"/>
      <c r="AT1885" s="22"/>
      <c r="AU1885" s="35"/>
      <c r="AV1885" s="35"/>
      <c r="AW1885" s="35"/>
      <c r="AX1885" s="35"/>
      <c r="AY1885" s="35"/>
      <c r="AZ1885" s="35"/>
      <c r="BA1885" s="35"/>
      <c r="BB1885" s="35"/>
      <c r="BC1885" s="35"/>
      <c r="BD1885" s="35"/>
      <c r="BE1885" s="35"/>
      <c r="BF1885" s="35"/>
      <c r="BG1885" s="35"/>
      <c r="BH1885" s="35"/>
      <c r="BI1885" s="35"/>
      <c r="BJ1885" s="35"/>
      <c r="BK1885" s="35"/>
      <c r="BL1885" s="35"/>
      <c r="BM1885" s="35"/>
      <c r="BN1885" s="35"/>
      <c r="BO1885" s="86"/>
    </row>
    <row r="1886" spans="1:67" s="40" customFormat="1" ht="15.75" customHeight="1" thickBot="1" x14ac:dyDescent="0.3">
      <c r="A1886" s="520">
        <f>IFERROR(VLOOKUP($G$5,'רשימת רשויות'!A:C,3,0),0)</f>
        <v>0</v>
      </c>
      <c r="B1886" s="520">
        <f t="shared" si="269"/>
        <v>0</v>
      </c>
      <c r="C1886" s="39"/>
      <c r="D1886" s="1134"/>
      <c r="E1886" s="1137"/>
      <c r="F1886" s="589" t="s">
        <v>2281</v>
      </c>
      <c r="G1886" s="99">
        <f>+G1895</f>
        <v>0</v>
      </c>
      <c r="H1886" s="103"/>
      <c r="I1886" s="104"/>
      <c r="J1886" s="105"/>
      <c r="K1886" s="603"/>
      <c r="L1886" s="603"/>
      <c r="M1886" s="603"/>
      <c r="N1886" s="603"/>
      <c r="O1886" s="603"/>
      <c r="P1886" s="605"/>
      <c r="Q1886" s="604"/>
      <c r="R1886" s="473">
        <f>I1887-R1888</f>
        <v>0</v>
      </c>
      <c r="S1886" s="611"/>
      <c r="T1886" s="881"/>
      <c r="U1886" s="598"/>
      <c r="V1886" s="599"/>
      <c r="W1886" s="599"/>
      <c r="X1886" s="599"/>
      <c r="Y1886" s="879"/>
      <c r="Z1886" s="106"/>
      <c r="AA1886" s="22"/>
      <c r="AB1886" s="22"/>
      <c r="AC1886" s="493"/>
      <c r="AD1886" s="495"/>
      <c r="AE1886" s="22"/>
      <c r="AF1886" s="22"/>
      <c r="AG1886" s="98"/>
      <c r="AH1886" s="98"/>
      <c r="AI1886" s="20"/>
      <c r="AO1886" s="22"/>
      <c r="AP1886" s="22"/>
      <c r="AQ1886" s="22"/>
      <c r="AR1886" s="22"/>
      <c r="AS1886" s="22"/>
      <c r="AT1886" s="22"/>
      <c r="AU1886" s="35"/>
      <c r="AV1886" s="35"/>
      <c r="AW1886" s="35"/>
      <c r="AX1886" s="35"/>
      <c r="AY1886" s="35"/>
      <c r="AZ1886" s="35"/>
      <c r="BA1886" s="35"/>
      <c r="BB1886" s="35"/>
      <c r="BC1886" s="35"/>
      <c r="BD1886" s="35"/>
      <c r="BE1886" s="35"/>
      <c r="BF1886" s="35"/>
      <c r="BG1886" s="35"/>
      <c r="BH1886" s="35"/>
      <c r="BI1886" s="35"/>
      <c r="BJ1886" s="35"/>
      <c r="BK1886" s="35"/>
      <c r="BL1886" s="35"/>
      <c r="BM1886" s="35"/>
      <c r="BN1886" s="35"/>
      <c r="BO1886" s="86"/>
    </row>
    <row r="1887" spans="1:67" s="40" customFormat="1" ht="16.5" customHeight="1" thickBot="1" x14ac:dyDescent="0.3">
      <c r="A1887" s="520">
        <f>IFERROR(VLOOKUP($G$5,'רשימת רשויות'!A:C,3,0),0)</f>
        <v>0</v>
      </c>
      <c r="B1887" s="520">
        <f t="shared" si="269"/>
        <v>0</v>
      </c>
      <c r="C1887" s="39"/>
      <c r="D1887" s="1134"/>
      <c r="E1887" s="1137"/>
      <c r="F1887" s="589" t="s">
        <v>2282</v>
      </c>
      <c r="G1887" s="99">
        <f>G1891+G1892+G1893</f>
        <v>0</v>
      </c>
      <c r="H1887" s="104"/>
      <c r="I1887" s="107">
        <f>MAX(H1885-G1885-G1886,0)</f>
        <v>0</v>
      </c>
      <c r="J1887" s="108">
        <f>IFERROR(I1887/H1885,0)</f>
        <v>0</v>
      </c>
      <c r="K1887" s="603"/>
      <c r="L1887" s="603"/>
      <c r="M1887" s="603"/>
      <c r="N1887" s="603"/>
      <c r="O1887" s="603"/>
      <c r="P1887" s="604"/>
      <c r="Q1887" s="604"/>
      <c r="R1887" s="606" t="s">
        <v>158</v>
      </c>
      <c r="S1887" s="612"/>
      <c r="T1887" s="881"/>
      <c r="U1887" s="598"/>
      <c r="V1887" s="599"/>
      <c r="W1887" s="599"/>
      <c r="X1887" s="599"/>
      <c r="Y1887" s="879"/>
      <c r="Z1887" s="106"/>
      <c r="AA1887" s="22"/>
      <c r="AB1887" s="22"/>
      <c r="AC1887" s="493"/>
      <c r="AD1887" s="495"/>
      <c r="AE1887" s="22"/>
      <c r="AF1887" s="22"/>
      <c r="AG1887" s="22"/>
      <c r="AH1887" s="22"/>
      <c r="AI1887" s="55"/>
      <c r="AJ1887" s="22"/>
      <c r="AK1887" s="22"/>
      <c r="AO1887" s="22"/>
      <c r="AP1887" s="22"/>
      <c r="AQ1887" s="22"/>
      <c r="AR1887" s="22"/>
      <c r="AS1887" s="22"/>
      <c r="AT1887" s="22"/>
      <c r="AU1887" s="35"/>
      <c r="AV1887" s="35"/>
      <c r="AW1887" s="35"/>
      <c r="AX1887" s="35"/>
      <c r="AY1887" s="35"/>
      <c r="AZ1887" s="35"/>
      <c r="BA1887" s="35"/>
      <c r="BB1887" s="35"/>
      <c r="BC1887" s="35"/>
      <c r="BD1887" s="35"/>
      <c r="BE1887" s="35"/>
      <c r="BF1887" s="35"/>
      <c r="BG1887" s="35"/>
      <c r="BH1887" s="35"/>
      <c r="BI1887" s="35"/>
      <c r="BJ1887" s="35"/>
      <c r="BK1887" s="35"/>
      <c r="BL1887" s="35"/>
      <c r="BM1887" s="35"/>
      <c r="BN1887" s="35"/>
      <c r="BO1887" s="86"/>
    </row>
    <row r="1888" spans="1:67" s="40" customFormat="1" ht="15.75" customHeight="1" thickBot="1" x14ac:dyDescent="0.3">
      <c r="A1888" s="520">
        <f>IFERROR(VLOOKUP($G$5,'רשימת רשויות'!A:C,3,0),0)</f>
        <v>0</v>
      </c>
      <c r="B1888" s="520">
        <f t="shared" si="269"/>
        <v>0</v>
      </c>
      <c r="C1888" s="39"/>
      <c r="D1888" s="1134"/>
      <c r="E1888" s="1137"/>
      <c r="F1888" s="590" t="s">
        <v>2290</v>
      </c>
      <c r="G1888" s="109"/>
      <c r="H1888" s="110"/>
      <c r="I1888" s="111">
        <f>SUM(I1885:I1887)</f>
        <v>0</v>
      </c>
      <c r="J1888" s="112">
        <f>SUM(J1885:J1887)</f>
        <v>0</v>
      </c>
      <c r="K1888" s="603"/>
      <c r="L1888" s="603"/>
      <c r="M1888" s="603"/>
      <c r="N1888" s="603"/>
      <c r="O1888" s="603"/>
      <c r="P1888" s="604"/>
      <c r="Q1888" s="604"/>
      <c r="R1888" s="473">
        <f>MIN(MAX(G1892+G1893-I1881-J1881,0),I1887)</f>
        <v>0</v>
      </c>
      <c r="S1888" s="612"/>
      <c r="T1888" s="881"/>
      <c r="U1888" s="598"/>
      <c r="V1888" s="599"/>
      <c r="W1888" s="599"/>
      <c r="X1888" s="599"/>
      <c r="Y1888" s="879"/>
      <c r="Z1888" s="106"/>
      <c r="AA1888" s="22"/>
      <c r="AB1888" s="22"/>
      <c r="AC1888" s="493"/>
      <c r="AD1888" s="495"/>
      <c r="AE1888" s="22"/>
      <c r="AF1888" s="22"/>
      <c r="AG1888" s="22"/>
      <c r="AH1888" s="22"/>
      <c r="AJ1888" s="22"/>
      <c r="AK1888" s="22"/>
      <c r="AO1888" s="22"/>
      <c r="AP1888" s="22"/>
      <c r="AQ1888" s="22"/>
      <c r="AR1888" s="22"/>
      <c r="AS1888" s="22"/>
      <c r="AT1888" s="22"/>
      <c r="AU1888" s="35"/>
      <c r="AV1888" s="35"/>
      <c r="AW1888" s="35"/>
      <c r="AX1888" s="35"/>
      <c r="AY1888" s="35"/>
      <c r="AZ1888" s="35"/>
      <c r="BA1888" s="35"/>
      <c r="BB1888" s="35"/>
      <c r="BC1888" s="35"/>
      <c r="BD1888" s="35"/>
      <c r="BE1888" s="35"/>
      <c r="BF1888" s="35"/>
      <c r="BG1888" s="35"/>
      <c r="BH1888" s="35"/>
      <c r="BI1888" s="35"/>
      <c r="BJ1888" s="35"/>
      <c r="BK1888" s="35"/>
      <c r="BL1888" s="35"/>
      <c r="BM1888" s="35"/>
      <c r="BN1888" s="35"/>
      <c r="BO1888" s="86"/>
    </row>
    <row r="1889" spans="1:67" ht="16.5" thickBot="1" x14ac:dyDescent="0.3">
      <c r="A1889" s="520">
        <f>IFERROR(VLOOKUP($G$5,'רשימת רשויות'!A:C,3,0),0)</f>
        <v>0</v>
      </c>
      <c r="B1889" s="520">
        <f t="shared" si="269"/>
        <v>0</v>
      </c>
      <c r="D1889" s="1134"/>
      <c r="E1889" s="1137"/>
      <c r="F1889" s="587" t="s">
        <v>17</v>
      </c>
      <c r="G1889" s="113"/>
      <c r="H1889" s="92"/>
      <c r="I1889" s="114"/>
      <c r="J1889" s="115"/>
      <c r="K1889" s="116"/>
      <c r="L1889" s="406"/>
      <c r="M1889" s="116"/>
      <c r="N1889" s="116"/>
      <c r="O1889" s="116"/>
      <c r="P1889" s="474"/>
      <c r="Q1889" s="607"/>
      <c r="R1889" s="608"/>
      <c r="S1889" s="612"/>
      <c r="T1889" s="881"/>
      <c r="U1889" s="598"/>
      <c r="V1889" s="599"/>
      <c r="W1889" s="599"/>
      <c r="X1889" s="599"/>
      <c r="Y1889" s="879"/>
      <c r="Z1889" s="106"/>
      <c r="AI1889" s="40"/>
      <c r="BO1889" s="86"/>
    </row>
    <row r="1890" spans="1:67" ht="47.25" x14ac:dyDescent="0.25">
      <c r="A1890" s="520">
        <f>IFERROR(VLOOKUP($G$5,'רשימת רשויות'!A:C,3,0),0)</f>
        <v>0</v>
      </c>
      <c r="B1890" s="520">
        <f t="shared" si="269"/>
        <v>0</v>
      </c>
      <c r="D1890" s="1134"/>
      <c r="E1890" s="1137"/>
      <c r="F1890" s="588" t="s">
        <v>2</v>
      </c>
      <c r="G1890" s="95" t="s">
        <v>18</v>
      </c>
      <c r="H1890" s="95" t="s">
        <v>19</v>
      </c>
      <c r="I1890" s="95" t="s">
        <v>20</v>
      </c>
      <c r="J1890" s="95" t="s">
        <v>22</v>
      </c>
      <c r="K1890" s="96" t="s">
        <v>2314</v>
      </c>
      <c r="L1890" s="609"/>
      <c r="M1890" s="609"/>
      <c r="N1890" s="609"/>
      <c r="O1890" s="580"/>
      <c r="P1890" s="618" t="s">
        <v>2298</v>
      </c>
      <c r="Q1890" s="618" t="s">
        <v>2299</v>
      </c>
      <c r="R1890" s="596"/>
      <c r="S1890" s="890" t="s">
        <v>2519</v>
      </c>
      <c r="T1890" s="890" t="s">
        <v>97</v>
      </c>
      <c r="U1890" s="891" t="s">
        <v>2521</v>
      </c>
      <c r="V1890" s="892" t="s">
        <v>2520</v>
      </c>
      <c r="W1890" s="893" t="s">
        <v>2524</v>
      </c>
      <c r="X1890" s="892" t="s">
        <v>2522</v>
      </c>
      <c r="Y1890" s="894" t="s">
        <v>2523</v>
      </c>
      <c r="Z1890" s="106"/>
      <c r="AC1890" s="498" t="s">
        <v>2568</v>
      </c>
      <c r="AD1890" s="499" t="s">
        <v>2569</v>
      </c>
      <c r="AF1890" s="122"/>
      <c r="AI1890" s="40"/>
      <c r="BO1890" s="86"/>
    </row>
    <row r="1891" spans="1:67" ht="15" customHeight="1" thickBot="1" x14ac:dyDescent="0.3">
      <c r="A1891" s="520">
        <f>IFERROR(VLOOKUP($G$5,'רשימת רשויות'!A:C,3,0),0)</f>
        <v>0</v>
      </c>
      <c r="B1891" s="520">
        <f t="shared" si="269"/>
        <v>0</v>
      </c>
      <c r="D1891" s="1134"/>
      <c r="E1891" s="1137"/>
      <c r="F1891" s="589" t="s">
        <v>76</v>
      </c>
      <c r="G1891" s="117">
        <f>IF(G1882="תקין",SUMIF('עלויות כח אדם (6)'!$B$15:$B$3014,'בית ספר - תקצוב לפי מוסד (9)'!$G1877,'עלויות כח אדם (6)'!$M$15:$M$3014)-VLOOKUP('בית ספר - תקצוב לפי מוסד (9)'!G1877,' איוש משרות (8)'!$C:$H,5,0)-VLOOKUP('בית ספר - תקצוב לפי מוסד (9)'!G1877,' איוש משרות (8)'!$C:$H,6,0),0)-Y1891</f>
        <v>0</v>
      </c>
      <c r="H1891" s="118">
        <f>I1879+R1886</f>
        <v>0</v>
      </c>
      <c r="I1891" s="119">
        <f>IFERROR(SUM(G1891)/H1891,0)</f>
        <v>0</v>
      </c>
      <c r="J1891" s="100">
        <f>MIN(I1879+R1886,IF(ISNUMBER(G1891),G1891,0))</f>
        <v>0</v>
      </c>
      <c r="K1891" s="120">
        <f>MAX(H1891-G1891,0)</f>
        <v>0</v>
      </c>
      <c r="L1891" s="407"/>
      <c r="M1891" s="393"/>
      <c r="N1891" s="393"/>
      <c r="O1891" s="580"/>
      <c r="P1891" s="968">
        <f>IFERROR(IF(SUM(G1891)/(I1879)&lt;100%,MIN((I1879)-SUM(G1891),(I1879)*0.25),0),0)</f>
        <v>0</v>
      </c>
      <c r="Q1891" s="968">
        <f>IF(SUM(G1891)-(I1879+R1886)&gt;0,SUM(G1891)-(I1879+R1886),0)</f>
        <v>0</v>
      </c>
      <c r="R1891" s="596" t="s">
        <v>2351</v>
      </c>
      <c r="S1891" s="576" t="s">
        <v>2342</v>
      </c>
      <c r="T1891" s="599">
        <f>G1877</f>
        <v>0</v>
      </c>
      <c r="U1891" s="578"/>
      <c r="V1891" s="579">
        <f>G1891+G1892+G1893</f>
        <v>0</v>
      </c>
      <c r="W1891" s="579">
        <f>U1891-V1891</f>
        <v>0</v>
      </c>
      <c r="X1891" s="579">
        <f>IFERROR(W1905*W1891/(SUM(W1891:W1904)),0)</f>
        <v>0</v>
      </c>
      <c r="Y1891" s="879">
        <f>SUMIFS(בקרה!$S:$S,בקרה!$D:$D,T1891,בקרה!$K:$K,S1891)</f>
        <v>0</v>
      </c>
      <c r="Z1891" s="121"/>
      <c r="AA1891" s="143"/>
      <c r="AB1891" s="143"/>
      <c r="AC1891" s="504">
        <v>0</v>
      </c>
      <c r="AD1891" s="505">
        <f>IFERROR(U1891-AC1891,0)</f>
        <v>0</v>
      </c>
      <c r="AE1891" s="143"/>
      <c r="AI1891" s="20"/>
      <c r="BO1891" s="86"/>
    </row>
    <row r="1892" spans="1:67" ht="15" customHeight="1" thickBot="1" x14ac:dyDescent="0.3">
      <c r="A1892" s="520">
        <f>IFERROR(VLOOKUP($G$5,'רשימת רשויות'!A:C,3,0),0)</f>
        <v>0</v>
      </c>
      <c r="B1892" s="520">
        <f t="shared" si="269"/>
        <v>0</v>
      </c>
      <c r="D1892" s="1134"/>
      <c r="E1892" s="1137"/>
      <c r="F1892" s="589" t="s">
        <v>44</v>
      </c>
      <c r="G1892" s="123">
        <f>IF(G1882="תקין",IFERROR(VLOOKUP('בית ספר - תקצוב לפי מוסד (9)'!G1877,' איוש משרות (8)'!C:J,7,0),0),0)</f>
        <v>0</v>
      </c>
      <c r="H1892" s="124">
        <f>I1881+R1888+J1881</f>
        <v>0</v>
      </c>
      <c r="I1892" s="119">
        <f>IFERROR(SUM(G1892:G1893)/H1892,0)</f>
        <v>0</v>
      </c>
      <c r="J1892" s="100">
        <f>MIN(R1888+I1881,IF(ISNUMBER(SUM(G1892:G1893)),SUM(G1892:G1893),0))</f>
        <v>0</v>
      </c>
      <c r="K1892" s="1139">
        <f>MAX((H1892)-(G1892+G1893),0)</f>
        <v>0</v>
      </c>
      <c r="L1892" s="407"/>
      <c r="M1892" s="393"/>
      <c r="N1892" s="393"/>
      <c r="O1892" s="580"/>
      <c r="P1892" s="1140"/>
      <c r="Q1892" s="1140"/>
      <c r="R1892" s="617">
        <f>MAX(MIN(P1900-Q1900,H1900*0.15-G1898),0)</f>
        <v>0</v>
      </c>
      <c r="S1892" s="576"/>
      <c r="T1892" s="599">
        <f>G1877</f>
        <v>0</v>
      </c>
      <c r="U1892" s="578"/>
      <c r="V1892" s="579"/>
      <c r="W1892" s="579">
        <f t="shared" ref="W1892:W1904" si="270">U1892-V1892</f>
        <v>0</v>
      </c>
      <c r="X1892" s="579"/>
      <c r="Y1892" s="879"/>
      <c r="Z1892" s="121"/>
      <c r="AA1892" s="143"/>
      <c r="AB1892" s="143"/>
      <c r="AC1892" s="504"/>
      <c r="AD1892" s="505">
        <f t="shared" ref="AD1892:AD1898" si="271">IFERROR(U1892-AC1892,0)</f>
        <v>0</v>
      </c>
      <c r="AE1892" s="143"/>
      <c r="AI1892" s="20"/>
      <c r="BO1892" s="86"/>
    </row>
    <row r="1893" spans="1:67" ht="15.75" customHeight="1" x14ac:dyDescent="0.25">
      <c r="A1893" s="520">
        <f>IFERROR(VLOOKUP($G$5,'רשימת רשויות'!A:C,3,0),0)</f>
        <v>0</v>
      </c>
      <c r="B1893" s="520">
        <f t="shared" si="269"/>
        <v>0</v>
      </c>
      <c r="D1893" s="1134"/>
      <c r="E1893" s="1137"/>
      <c r="F1893" s="589" t="s">
        <v>45</v>
      </c>
      <c r="G1893" s="123">
        <f>IF(G1882="תקין",IFERROR(VLOOKUP('בית ספר - תקצוב לפי מוסד (9)'!G1877,' איוש משרות (8)'!C:J,8,0),0),0)</f>
        <v>0</v>
      </c>
      <c r="H1893" s="125"/>
      <c r="I1893" s="126"/>
      <c r="J1893" s="104"/>
      <c r="K1893" s="1139"/>
      <c r="L1893" s="407"/>
      <c r="M1893" s="393"/>
      <c r="N1893" s="393"/>
      <c r="O1893" s="580"/>
      <c r="P1893" s="1140"/>
      <c r="Q1893" s="1140"/>
      <c r="R1893" s="596"/>
      <c r="S1893" s="576"/>
      <c r="T1893" s="599">
        <f>G1877</f>
        <v>0</v>
      </c>
      <c r="U1893" s="578"/>
      <c r="V1893" s="579"/>
      <c r="W1893" s="579">
        <f t="shared" si="270"/>
        <v>0</v>
      </c>
      <c r="X1893" s="579"/>
      <c r="Y1893" s="879"/>
      <c r="Z1893" s="121"/>
      <c r="AA1893" s="143"/>
      <c r="AB1893" s="143"/>
      <c r="AC1893" s="504"/>
      <c r="AD1893" s="505">
        <f t="shared" si="271"/>
        <v>0</v>
      </c>
      <c r="AE1893" s="143"/>
      <c r="AG1893" s="55"/>
      <c r="AH1893" s="55"/>
      <c r="AI1893" s="55"/>
      <c r="AJ1893" s="55"/>
      <c r="AK1893" s="55"/>
      <c r="BO1893" s="86"/>
    </row>
    <row r="1894" spans="1:67" ht="15.75" customHeight="1" x14ac:dyDescent="0.25">
      <c r="A1894" s="520">
        <f>IFERROR(VLOOKUP($G$5,'רשימת רשויות'!A:C,3,0),0)</f>
        <v>0</v>
      </c>
      <c r="B1894" s="520">
        <f t="shared" si="269"/>
        <v>0</v>
      </c>
      <c r="D1894" s="1134"/>
      <c r="E1894" s="1137"/>
      <c r="F1894" s="589" t="s">
        <v>0</v>
      </c>
      <c r="G1894" s="117">
        <f>IF(G1882="תקין",SUMIFS('דוח הוצאות בפועל (4)'!$E$17:$E$3016,'דוח הוצאות בפועל (4)'!$B$17:$B$3016,'בית ספר - תקצוב לפי מוסד (9)'!$G1877,'דוח הוצאות בפועל (4)'!$M$17:$M$3016,"הע"),0)-Y1894</f>
        <v>0</v>
      </c>
      <c r="H1894" s="127">
        <f>J1879</f>
        <v>0</v>
      </c>
      <c r="I1894" s="128">
        <f>IFERROR(G1894/H1894,0)</f>
        <v>0</v>
      </c>
      <c r="J1894" s="129">
        <f>MIN(IF(ISNUMBER(G1894),G1894,0),H1894)</f>
        <v>0</v>
      </c>
      <c r="K1894" s="120">
        <f>MAX(H1894-G1894,0)</f>
        <v>0</v>
      </c>
      <c r="L1894" s="407"/>
      <c r="M1894" s="393"/>
      <c r="N1894" s="393"/>
      <c r="O1894" s="580"/>
      <c r="P1894" s="968">
        <f>MAX(IF(I1894&lt;100%,MIN((H1894-G1894),H1894*0.25),0),0)</f>
        <v>0</v>
      </c>
      <c r="Q1894" s="619">
        <f>IF(G1894-H1894&gt;0,G1894-H1894,0)</f>
        <v>0</v>
      </c>
      <c r="R1894" s="596"/>
      <c r="S1894" s="610" t="s">
        <v>0</v>
      </c>
      <c r="T1894" s="599">
        <f>G1877</f>
        <v>0</v>
      </c>
      <c r="U1894" s="578"/>
      <c r="V1894" s="579">
        <f>G1894</f>
        <v>0</v>
      </c>
      <c r="W1894" s="579">
        <f t="shared" si="270"/>
        <v>0</v>
      </c>
      <c r="X1894" s="579">
        <f>IFERROR(W1905*W1894/(SUM(W1891:W1904)),0)</f>
        <v>0</v>
      </c>
      <c r="Y1894" s="879">
        <f>SUMIFS(בקרה!$S:$S,בקרה!$D:$D,T1894,בקרה!$K:$K,S1894)</f>
        <v>0</v>
      </c>
      <c r="Z1894" s="121"/>
      <c r="AA1894" s="143"/>
      <c r="AB1894" s="143"/>
      <c r="AC1894" s="504">
        <v>0</v>
      </c>
      <c r="AD1894" s="505">
        <f t="shared" si="271"/>
        <v>0</v>
      </c>
      <c r="AE1894" s="143"/>
      <c r="AG1894" s="55"/>
      <c r="AH1894" s="55"/>
      <c r="AI1894" s="40"/>
      <c r="AJ1894" s="55"/>
      <c r="AK1894" s="55"/>
      <c r="BO1894" s="86"/>
    </row>
    <row r="1895" spans="1:67" s="55" customFormat="1" ht="15.75" customHeight="1" x14ac:dyDescent="0.25">
      <c r="A1895" s="520">
        <f>IFERROR(VLOOKUP($G$5,'רשימת רשויות'!A:C,3,0),0)</f>
        <v>0</v>
      </c>
      <c r="B1895" s="520">
        <f t="shared" si="269"/>
        <v>0</v>
      </c>
      <c r="C1895" s="39"/>
      <c r="D1895" s="1134"/>
      <c r="E1895" s="1137"/>
      <c r="F1895" s="589" t="s">
        <v>93</v>
      </c>
      <c r="G1895" s="130">
        <f>IF(G1882="תקין",SUMIFS('דוח הוצאות בפועל (4)'!$E$17:$E$3016,'דוח הוצאות בפועל (4)'!$B$17:$B$3016,'בית ספר - תקצוב לפי מוסד (9)'!$G1877,'דוח הוצאות בפועל (4)'!$M$17:$M$3016,"אר"),0)-Y1895</f>
        <v>0</v>
      </c>
      <c r="H1895" s="118">
        <f>$I1885</f>
        <v>0</v>
      </c>
      <c r="I1895" s="131">
        <f>IFERROR((G1895+G1896)/H1895,0)</f>
        <v>0</v>
      </c>
      <c r="J1895" s="100">
        <f>MIN((IF(ISNUMBER(G1895),G1895,0)+IF(ISNUMBER(G1896),G1896,0)),H1895)</f>
        <v>0</v>
      </c>
      <c r="K1895" s="1139">
        <f>MAX((H1895)-(G1895+G1896),0)</f>
        <v>0</v>
      </c>
      <c r="L1895" s="407"/>
      <c r="M1895" s="393"/>
      <c r="N1895" s="393"/>
      <c r="O1895" s="602"/>
      <c r="P1895" s="1141"/>
      <c r="Q1895" s="1142"/>
      <c r="R1895" s="596"/>
      <c r="S1895" s="610" t="s">
        <v>93</v>
      </c>
      <c r="T1895" s="599">
        <f>G1877</f>
        <v>0</v>
      </c>
      <c r="U1895" s="578"/>
      <c r="V1895" s="579">
        <f t="shared" ref="V1895:V1896" si="272">G1895</f>
        <v>0</v>
      </c>
      <c r="W1895" s="579">
        <f t="shared" si="270"/>
        <v>0</v>
      </c>
      <c r="X1895" s="579">
        <f>IFERROR(W1905*W1895/(SUM(W1891:W1904)),0)</f>
        <v>0</v>
      </c>
      <c r="Y1895" s="879">
        <f>SUMIFS(בקרה!$S:$S,בקרה!$D:$D,T1895,בקרה!$K:$K,S1895)</f>
        <v>0</v>
      </c>
      <c r="Z1895" s="121"/>
      <c r="AA1895" s="143"/>
      <c r="AB1895" s="143"/>
      <c r="AC1895" s="504">
        <v>0</v>
      </c>
      <c r="AD1895" s="505">
        <f t="shared" si="271"/>
        <v>0</v>
      </c>
      <c r="AE1895" s="143"/>
      <c r="AJ1895" s="22"/>
      <c r="AO1895" s="22"/>
      <c r="AP1895" s="22"/>
      <c r="AQ1895" s="22"/>
      <c r="AR1895" s="22"/>
      <c r="AS1895" s="22"/>
      <c r="AT1895" s="22"/>
      <c r="AU1895" s="35"/>
      <c r="AV1895" s="35"/>
      <c r="AW1895" s="35"/>
      <c r="AX1895" s="35"/>
      <c r="AY1895" s="35"/>
      <c r="AZ1895" s="35"/>
      <c r="BA1895" s="35"/>
      <c r="BB1895" s="35"/>
      <c r="BC1895" s="35"/>
      <c r="BD1895" s="35"/>
      <c r="BE1895" s="35"/>
      <c r="BF1895" s="35"/>
      <c r="BG1895" s="35"/>
      <c r="BH1895" s="35"/>
      <c r="BI1895" s="35"/>
      <c r="BJ1895" s="35"/>
      <c r="BK1895" s="35"/>
      <c r="BL1895" s="35"/>
      <c r="BM1895" s="35"/>
      <c r="BN1895" s="35"/>
      <c r="BO1895" s="86"/>
    </row>
    <row r="1896" spans="1:67" s="55" customFormat="1" ht="15.75" customHeight="1" x14ac:dyDescent="0.25">
      <c r="A1896" s="520">
        <f>IFERROR(VLOOKUP($G$5,'רשימת רשויות'!A:C,3,0),0)</f>
        <v>0</v>
      </c>
      <c r="B1896" s="520">
        <f t="shared" si="269"/>
        <v>0</v>
      </c>
      <c r="C1896" s="39"/>
      <c r="D1896" s="1134"/>
      <c r="E1896" s="1137"/>
      <c r="F1896" s="589" t="s">
        <v>46</v>
      </c>
      <c r="G1896" s="130">
        <f>IF(G1882="תקין",SUMIFS('דוח הוצאות בפועל (4)'!$E$17:$E$3016,'דוח הוצאות בפועל (4)'!$B$17:$B$3016,'בית ספר - תקצוב לפי מוסד (9)'!$G1877,'דוח הוצאות בפועל (4)'!$M$17:$M$3016,"מל"),0)-Y1896</f>
        <v>0</v>
      </c>
      <c r="H1896" s="132"/>
      <c r="I1896" s="133"/>
      <c r="J1896" s="104"/>
      <c r="K1896" s="1139"/>
      <c r="L1896" s="407"/>
      <c r="M1896" s="393"/>
      <c r="N1896" s="393"/>
      <c r="O1896" s="602"/>
      <c r="P1896" s="1141"/>
      <c r="Q1896" s="1142"/>
      <c r="R1896" s="596"/>
      <c r="S1896" s="610" t="s">
        <v>46</v>
      </c>
      <c r="T1896" s="599">
        <f>G1877</f>
        <v>0</v>
      </c>
      <c r="U1896" s="578"/>
      <c r="V1896" s="579">
        <f t="shared" si="272"/>
        <v>0</v>
      </c>
      <c r="W1896" s="579">
        <f t="shared" si="270"/>
        <v>0</v>
      </c>
      <c r="X1896" s="579">
        <f>IFERROR(W1905*W1896/(SUM(W1891:W1904)),0)</f>
        <v>0</v>
      </c>
      <c r="Y1896" s="879">
        <f>SUMIFS(בקרה!$S:$S,בקרה!$D:$D,T1896,בקרה!$K:$K,S1896)</f>
        <v>0</v>
      </c>
      <c r="Z1896" s="121"/>
      <c r="AA1896" s="143"/>
      <c r="AB1896" s="143"/>
      <c r="AC1896" s="504">
        <v>0</v>
      </c>
      <c r="AD1896" s="505">
        <f t="shared" si="271"/>
        <v>0</v>
      </c>
      <c r="AE1896" s="143"/>
      <c r="AJ1896" s="22"/>
      <c r="AO1896" s="22"/>
      <c r="AP1896" s="22"/>
      <c r="AQ1896" s="22"/>
      <c r="AR1896" s="22"/>
      <c r="AS1896" s="22"/>
      <c r="AT1896" s="22"/>
      <c r="AU1896" s="35"/>
      <c r="AV1896" s="35"/>
      <c r="AW1896" s="35"/>
      <c r="AX1896" s="35"/>
      <c r="AY1896" s="35"/>
      <c r="AZ1896" s="35"/>
      <c r="BA1896" s="35"/>
      <c r="BB1896" s="35"/>
      <c r="BC1896" s="35"/>
      <c r="BD1896" s="35"/>
      <c r="BE1896" s="35"/>
      <c r="BF1896" s="35"/>
      <c r="BG1896" s="35"/>
      <c r="BH1896" s="35"/>
      <c r="BI1896" s="35"/>
      <c r="BJ1896" s="35"/>
      <c r="BK1896" s="35"/>
      <c r="BL1896" s="35"/>
      <c r="BM1896" s="35"/>
      <c r="BN1896" s="35"/>
      <c r="BO1896" s="86"/>
    </row>
    <row r="1897" spans="1:67" s="55" customFormat="1" ht="15" customHeight="1" x14ac:dyDescent="0.25">
      <c r="A1897" s="520">
        <f>IFERROR(VLOOKUP($G$5,'רשימת רשויות'!A:C,3,0),0)</f>
        <v>0</v>
      </c>
      <c r="B1897" s="520">
        <f t="shared" si="269"/>
        <v>0</v>
      </c>
      <c r="C1897" s="39"/>
      <c r="D1897" s="1134"/>
      <c r="E1897" s="1137"/>
      <c r="F1897" s="591" t="s">
        <v>23</v>
      </c>
      <c r="G1897" s="134">
        <f>SUM(G1891:G1896)</f>
        <v>0</v>
      </c>
      <c r="H1897" s="135">
        <f>SUM(H1891:H1896)</f>
        <v>0</v>
      </c>
      <c r="I1897" s="128">
        <f>IFERROR(G1897/H1897,0)</f>
        <v>0</v>
      </c>
      <c r="J1897" s="136">
        <f>SUM(J1891:J1896)</f>
        <v>0</v>
      </c>
      <c r="K1897" s="137">
        <f>SUM(K1891:K1896)</f>
        <v>0</v>
      </c>
      <c r="L1897" s="408"/>
      <c r="M1897" s="394"/>
      <c r="N1897" s="394"/>
      <c r="O1897" s="602"/>
      <c r="P1897" s="620">
        <f>SUM(P1891:P1896)</f>
        <v>0</v>
      </c>
      <c r="Q1897" s="620">
        <f>SUM(Q1891:Q1896)</f>
        <v>0</v>
      </c>
      <c r="R1897" s="596"/>
      <c r="S1897" s="610"/>
      <c r="T1897" s="599">
        <f>G1877</f>
        <v>0</v>
      </c>
      <c r="U1897" s="578"/>
      <c r="V1897" s="579"/>
      <c r="W1897" s="579">
        <f t="shared" si="270"/>
        <v>0</v>
      </c>
      <c r="X1897" s="579"/>
      <c r="Y1897" s="879"/>
      <c r="Z1897" s="121"/>
      <c r="AA1897" s="143"/>
      <c r="AB1897" s="143"/>
      <c r="AC1897" s="504"/>
      <c r="AD1897" s="505">
        <f t="shared" si="271"/>
        <v>0</v>
      </c>
      <c r="AE1897" s="143"/>
      <c r="AJ1897" s="22"/>
      <c r="AL1897" s="22"/>
      <c r="AM1897" s="22"/>
      <c r="AN1897" s="22"/>
      <c r="AO1897" s="22"/>
      <c r="AP1897" s="22"/>
      <c r="AQ1897" s="22"/>
      <c r="AR1897" s="22"/>
      <c r="AS1897" s="22"/>
      <c r="AT1897" s="22"/>
      <c r="AU1897" s="35"/>
      <c r="AV1897" s="35"/>
      <c r="AW1897" s="35"/>
      <c r="AX1897" s="35"/>
      <c r="AY1897" s="35"/>
      <c r="AZ1897" s="35"/>
      <c r="BA1897" s="35"/>
      <c r="BB1897" s="35"/>
      <c r="BC1897" s="35"/>
      <c r="BD1897" s="35"/>
      <c r="BE1897" s="35"/>
      <c r="BF1897" s="35"/>
      <c r="BG1897" s="35"/>
      <c r="BH1897" s="35"/>
      <c r="BI1897" s="35"/>
      <c r="BJ1897" s="35"/>
      <c r="BK1897" s="35"/>
      <c r="BL1897" s="35"/>
      <c r="BM1897" s="35"/>
      <c r="BN1897" s="35"/>
      <c r="BO1897" s="86"/>
    </row>
    <row r="1898" spans="1:67" s="55" customFormat="1" ht="15" customHeight="1" x14ac:dyDescent="0.25">
      <c r="A1898" s="520">
        <f>IFERROR(VLOOKUP($G$5,'רשימת רשויות'!A:C,3,0),0)</f>
        <v>0</v>
      </c>
      <c r="B1898" s="520">
        <f t="shared" si="269"/>
        <v>0</v>
      </c>
      <c r="C1898" s="39"/>
      <c r="D1898" s="1134"/>
      <c r="E1898" s="1137"/>
      <c r="F1898" s="589" t="s">
        <v>3</v>
      </c>
      <c r="G1898" s="117">
        <f>IF(G1882="תקין",SUMIFS('דוח הוצאות בפועל (4)'!$E$17:$E$3016,'דוח הוצאות בפועל (4)'!$B$17:$B$3016,'בית ספר - תקצוב לפי מוסד (9)'!$G1877,'דוח הוצאות בפועל (4)'!$M$17:$M$3016,"ני")+SUMIFS('דוח הוצאות בפועל (4)'!$E$17:$E$3016,'דוח הוצאות בפועל (4)'!$B$17:$B$3016,'בית ספר - תקצוב לפי מוסד (9)'!$G1877,'דוח הוצאות בפועל (4)'!$M$17:$M$3016,"על"),0)-Y1898</f>
        <v>0</v>
      </c>
      <c r="H1898" s="117">
        <f>H1879</f>
        <v>0</v>
      </c>
      <c r="I1898" s="138">
        <f>IFERROR(G1898/H1898,0)</f>
        <v>0</v>
      </c>
      <c r="J1898" s="117">
        <f>IFERROR(IF(G1898/H1900&gt;0.15,MIN(H1900*0.15,H1898),MIN(H1898,IF(ISNUMBER(G1898),G1898,0))),0)</f>
        <v>0</v>
      </c>
      <c r="K1898" s="120">
        <f>MAX(H1898-G1898,0)</f>
        <v>0</v>
      </c>
      <c r="L1898" s="407"/>
      <c r="M1898" s="393"/>
      <c r="N1898" s="393"/>
      <c r="O1898" s="602"/>
      <c r="P1898" s="620">
        <f>IF(I1898&lt;100%,MIN(H1898-G1898,H1898*0.25),0)</f>
        <v>0</v>
      </c>
      <c r="Q1898" s="620">
        <f>MAX(MIN(IF(G1898-H1898&gt;0,G1898-H1898,0),$H1900*0.15-H1898-J1899),0)</f>
        <v>0</v>
      </c>
      <c r="R1898" s="596"/>
      <c r="S1898" s="610" t="s">
        <v>3</v>
      </c>
      <c r="T1898" s="599">
        <f>G1877</f>
        <v>0</v>
      </c>
      <c r="U1898" s="578"/>
      <c r="V1898" s="579">
        <f t="shared" ref="V1898" si="273">G1898</f>
        <v>0</v>
      </c>
      <c r="W1898" s="579">
        <f t="shared" si="270"/>
        <v>0</v>
      </c>
      <c r="X1898" s="579"/>
      <c r="Y1898" s="879"/>
      <c r="Z1898" s="121"/>
      <c r="AA1898" s="143"/>
      <c r="AB1898" s="143"/>
      <c r="AC1898" s="504">
        <v>0</v>
      </c>
      <c r="AD1898" s="505">
        <f t="shared" si="271"/>
        <v>0</v>
      </c>
      <c r="AE1898" s="143"/>
      <c r="AG1898" s="22"/>
      <c r="AH1898" s="22"/>
      <c r="AI1898" s="22"/>
      <c r="AJ1898" s="22"/>
      <c r="AK1898" s="22"/>
      <c r="AL1898" s="22"/>
      <c r="AM1898" s="22"/>
      <c r="AN1898" s="22"/>
      <c r="AO1898" s="22"/>
      <c r="AP1898" s="22"/>
      <c r="AQ1898" s="22"/>
      <c r="AR1898" s="22"/>
      <c r="AS1898" s="22"/>
      <c r="AT1898" s="22"/>
      <c r="AU1898" s="35"/>
      <c r="AV1898" s="35"/>
      <c r="AW1898" s="35"/>
      <c r="AX1898" s="35"/>
      <c r="AY1898" s="35"/>
      <c r="AZ1898" s="35"/>
      <c r="BA1898" s="35"/>
      <c r="BB1898" s="35"/>
      <c r="BC1898" s="35"/>
      <c r="BD1898" s="35"/>
      <c r="BE1898" s="35"/>
      <c r="BF1898" s="35"/>
      <c r="BG1898" s="35"/>
      <c r="BH1898" s="35"/>
      <c r="BI1898" s="35"/>
      <c r="BJ1898" s="35"/>
      <c r="BK1898" s="35"/>
      <c r="BL1898" s="35"/>
      <c r="BM1898" s="35"/>
      <c r="BN1898" s="35"/>
      <c r="BO1898" s="86"/>
    </row>
    <row r="1899" spans="1:67" s="55" customFormat="1" ht="15.75" customHeight="1" x14ac:dyDescent="0.25">
      <c r="A1899" s="520">
        <f>IFERROR(VLOOKUP($G$5,'רשימת רשויות'!A:C,3,0),0)</f>
        <v>0</v>
      </c>
      <c r="B1899" s="520">
        <f t="shared" si="269"/>
        <v>0</v>
      </c>
      <c r="C1899" s="39"/>
      <c r="D1899" s="1134"/>
      <c r="E1899" s="1137"/>
      <c r="F1899" s="589" t="s">
        <v>2918</v>
      </c>
      <c r="G1899" s="117">
        <f>0.07*(G1893+G1892)</f>
        <v>0</v>
      </c>
      <c r="H1899" s="117">
        <f>H1881</f>
        <v>0</v>
      </c>
      <c r="I1899" s="138">
        <f>IFERROR(G1899/H1899,0)</f>
        <v>0</v>
      </c>
      <c r="J1899" s="117">
        <f>IFERROR(MIN(0.07*(G1892+G1893),0.07*I1881),0)</f>
        <v>0</v>
      </c>
      <c r="K1899" s="120">
        <f>MAX(H1899-G1899,0)</f>
        <v>0</v>
      </c>
      <c r="L1899" s="407"/>
      <c r="M1899" s="393"/>
      <c r="N1899" s="393"/>
      <c r="O1899" s="602"/>
      <c r="P1899" s="620"/>
      <c r="Q1899" s="619"/>
      <c r="R1899" s="596"/>
      <c r="S1899" s="611"/>
      <c r="T1899" s="599">
        <f>G1877</f>
        <v>0</v>
      </c>
      <c r="U1899" s="578"/>
      <c r="V1899" s="579"/>
      <c r="W1899" s="579">
        <f t="shared" si="270"/>
        <v>0</v>
      </c>
      <c r="X1899" s="579"/>
      <c r="Y1899" s="879"/>
      <c r="Z1899" s="121"/>
      <c r="AA1899" s="143"/>
      <c r="AB1899" s="143"/>
      <c r="AC1899" s="504"/>
      <c r="AD1899" s="505"/>
      <c r="AE1899" s="143"/>
      <c r="AF1899" s="140"/>
      <c r="AG1899" s="22"/>
      <c r="AH1899" s="22"/>
      <c r="AI1899" s="22"/>
      <c r="AJ1899" s="22"/>
      <c r="AK1899" s="22"/>
      <c r="AL1899" s="22"/>
      <c r="AM1899" s="22"/>
      <c r="AN1899" s="22"/>
      <c r="AO1899" s="22"/>
      <c r="AP1899" s="22"/>
      <c r="AQ1899" s="22"/>
      <c r="AR1899" s="22"/>
      <c r="AS1899" s="22"/>
      <c r="AT1899" s="22"/>
      <c r="AU1899" s="35"/>
      <c r="AV1899" s="35"/>
      <c r="AW1899" s="35"/>
      <c r="AX1899" s="35"/>
      <c r="AY1899" s="35"/>
      <c r="AZ1899" s="35"/>
      <c r="BA1899" s="35"/>
      <c r="BB1899" s="35"/>
      <c r="BC1899" s="35"/>
      <c r="BD1899" s="35"/>
      <c r="BE1899" s="35"/>
      <c r="BF1899" s="35"/>
      <c r="BG1899" s="35"/>
      <c r="BH1899" s="35"/>
      <c r="BI1899" s="35"/>
      <c r="BJ1899" s="35"/>
      <c r="BK1899" s="35"/>
      <c r="BL1899" s="35"/>
      <c r="BM1899" s="35"/>
      <c r="BN1899" s="35"/>
      <c r="BO1899" s="86"/>
    </row>
    <row r="1900" spans="1:67" ht="15.75" customHeight="1" x14ac:dyDescent="0.25">
      <c r="A1900" s="520">
        <f>IFERROR(VLOOKUP($G$5,'רשימת רשויות'!A:C,3,0),0)</f>
        <v>0</v>
      </c>
      <c r="B1900" s="520">
        <f t="shared" si="269"/>
        <v>0</v>
      </c>
      <c r="D1900" s="1134"/>
      <c r="E1900" s="1137"/>
      <c r="F1900" s="591" t="s">
        <v>15</v>
      </c>
      <c r="G1900" s="134">
        <f>G1897+G1898+G1899</f>
        <v>0</v>
      </c>
      <c r="H1900" s="134">
        <f>H1897+H1898+H1899</f>
        <v>0</v>
      </c>
      <c r="I1900" s="138">
        <f>IFERROR(G1900/H1900,0)</f>
        <v>0</v>
      </c>
      <c r="J1900" s="139">
        <f>J1897+J1898+J1899</f>
        <v>0</v>
      </c>
      <c r="K1900" s="137">
        <f>K1898+K1897+K1899</f>
        <v>0</v>
      </c>
      <c r="L1900" s="408"/>
      <c r="M1900" s="394"/>
      <c r="N1900" s="394"/>
      <c r="O1900" s="602"/>
      <c r="P1900" s="621">
        <f>SUM(P1897:P1898)</f>
        <v>0</v>
      </c>
      <c r="Q1900" s="622">
        <f>Q1897+Q1898</f>
        <v>0</v>
      </c>
      <c r="R1900" s="596"/>
      <c r="S1900" s="611"/>
      <c r="T1900" s="599">
        <f>G1877</f>
        <v>0</v>
      </c>
      <c r="U1900" s="578"/>
      <c r="V1900" s="579"/>
      <c r="W1900" s="579">
        <f t="shared" si="270"/>
        <v>0</v>
      </c>
      <c r="X1900" s="579"/>
      <c r="Y1900" s="879"/>
      <c r="Z1900" s="106"/>
      <c r="AC1900" s="504"/>
      <c r="AD1900" s="505"/>
      <c r="AH1900" s="143"/>
      <c r="BO1900" s="86"/>
    </row>
    <row r="1901" spans="1:67" ht="15.75" customHeight="1" x14ac:dyDescent="0.25">
      <c r="A1901" s="520">
        <f>IFERROR(VLOOKUP($G$5,'רשימת רשויות'!A:C,3,0),0)</f>
        <v>0</v>
      </c>
      <c r="B1901" s="520">
        <f t="shared" si="269"/>
        <v>0</v>
      </c>
      <c r="D1901" s="1134"/>
      <c r="E1901" s="1137"/>
      <c r="F1901" s="589" t="s">
        <v>2261</v>
      </c>
      <c r="G1901" s="117">
        <f>IF(G1882="תקין",SUMIF('תשלומי הורים ומלגות להורים (5) '!$B$18:$B$517,$G1877,'תשלומי הורים ומלגות להורים (5) '!$C$18:$C$517),0)</f>
        <v>0</v>
      </c>
      <c r="H1901" s="117">
        <f>(G1880+G1881)*$G$7</f>
        <v>0</v>
      </c>
      <c r="I1901" s="141"/>
      <c r="J1901" s="141"/>
      <c r="K1901" s="142"/>
      <c r="L1901" s="395"/>
      <c r="M1901" s="395"/>
      <c r="N1901" s="395"/>
      <c r="O1901" s="602"/>
      <c r="P1901" s="623"/>
      <c r="Q1901" s="619"/>
      <c r="R1901" s="596"/>
      <c r="S1901" s="612"/>
      <c r="T1901" s="599">
        <f>G1877</f>
        <v>0</v>
      </c>
      <c r="U1901" s="578"/>
      <c r="V1901" s="579"/>
      <c r="W1901" s="579">
        <f t="shared" si="270"/>
        <v>0</v>
      </c>
      <c r="X1901" s="579"/>
      <c r="Y1901" s="879"/>
      <c r="Z1901" s="121"/>
      <c r="AA1901" s="143"/>
      <c r="AB1901" s="143"/>
      <c r="AC1901" s="504"/>
      <c r="AD1901" s="505"/>
      <c r="AE1901" s="143"/>
      <c r="AF1901" s="148"/>
      <c r="BO1901" s="86"/>
    </row>
    <row r="1902" spans="1:67" ht="15.75" customHeight="1" thickBot="1" x14ac:dyDescent="0.3">
      <c r="A1902" s="520">
        <f>IFERROR(VLOOKUP($G$5,'רשימת רשויות'!A:C,3,0),0)</f>
        <v>0</v>
      </c>
      <c r="B1902" s="520">
        <f t="shared" si="269"/>
        <v>0</v>
      </c>
      <c r="D1902" s="1134"/>
      <c r="E1902" s="1137"/>
      <c r="F1902" s="592" t="s">
        <v>21</v>
      </c>
      <c r="G1902" s="144">
        <f>G1900-G1901</f>
        <v>0</v>
      </c>
      <c r="H1902" s="144">
        <f>H1900-H1901</f>
        <v>0</v>
      </c>
      <c r="I1902" s="145"/>
      <c r="J1902" s="145"/>
      <c r="K1902" s="146"/>
      <c r="L1902" s="396"/>
      <c r="M1902" s="396"/>
      <c r="N1902" s="396"/>
      <c r="O1902" s="602"/>
      <c r="P1902" s="619"/>
      <c r="Q1902" s="619"/>
      <c r="R1902" s="596"/>
      <c r="S1902" s="612"/>
      <c r="T1902" s="599">
        <f>G1877</f>
        <v>0</v>
      </c>
      <c r="U1902" s="578"/>
      <c r="V1902" s="579"/>
      <c r="W1902" s="579">
        <f t="shared" si="270"/>
        <v>0</v>
      </c>
      <c r="X1902" s="579"/>
      <c r="Y1902" s="879"/>
      <c r="Z1902" s="147"/>
      <c r="AA1902" s="148"/>
      <c r="AB1902" s="148"/>
      <c r="AC1902" s="504"/>
      <c r="AD1902" s="505"/>
      <c r="AE1902" s="148"/>
      <c r="AF1902" s="148"/>
      <c r="BO1902" s="86"/>
    </row>
    <row r="1903" spans="1:67" ht="15.75" customHeight="1" thickBot="1" x14ac:dyDescent="0.3">
      <c r="A1903" s="520">
        <f>IFERROR(VLOOKUP($G$5,'רשימת רשויות'!A:C,3,0),0)</f>
        <v>0</v>
      </c>
      <c r="B1903" s="520">
        <f t="shared" si="269"/>
        <v>0</v>
      </c>
      <c r="D1903" s="1134"/>
      <c r="E1903" s="1137"/>
      <c r="F1903" s="580"/>
      <c r="G1903" s="580"/>
      <c r="H1903" s="147"/>
      <c r="I1903" s="149" t="s">
        <v>2197</v>
      </c>
      <c r="J1903" s="150">
        <f>MAX(MIN(P1900,Q1900),0)</f>
        <v>0</v>
      </c>
      <c r="K1903" s="580"/>
      <c r="L1903" s="580"/>
      <c r="M1903" s="580"/>
      <c r="N1903" s="580"/>
      <c r="O1903" s="580"/>
      <c r="P1903" s="615" t="s">
        <v>2317</v>
      </c>
      <c r="Q1903" s="624">
        <f>SUM(Q1904:Q1905)</f>
        <v>0</v>
      </c>
      <c r="R1903" s="596"/>
      <c r="S1903" s="612"/>
      <c r="T1903" s="599">
        <f>G1877</f>
        <v>0</v>
      </c>
      <c r="U1903" s="578"/>
      <c r="V1903" s="579"/>
      <c r="W1903" s="579">
        <f t="shared" si="270"/>
        <v>0</v>
      </c>
      <c r="X1903" s="579"/>
      <c r="Y1903" s="879"/>
      <c r="Z1903" s="106"/>
      <c r="AC1903" s="504"/>
      <c r="AD1903" s="505"/>
      <c r="AF1903" s="148"/>
      <c r="BO1903" s="86"/>
    </row>
    <row r="1904" spans="1:67" ht="16.5" thickBot="1" x14ac:dyDescent="0.3">
      <c r="A1904" s="520">
        <f>IFERROR(VLOOKUP($G$5,'רשימת רשויות'!A:C,3,0),0)</f>
        <v>0</v>
      </c>
      <c r="B1904" s="520">
        <f t="shared" si="269"/>
        <v>0</v>
      </c>
      <c r="D1904" s="1134"/>
      <c r="E1904" s="1137"/>
      <c r="F1904" s="580"/>
      <c r="G1904" s="580"/>
      <c r="H1904" s="580"/>
      <c r="I1904" s="84" t="s">
        <v>2193</v>
      </c>
      <c r="J1904" s="515" t="str">
        <f>IFERROR(1-H1901/H1900,"")</f>
        <v/>
      </c>
      <c r="K1904" s="580"/>
      <c r="L1904" s="580"/>
      <c r="M1904" s="580"/>
      <c r="N1904" s="580"/>
      <c r="O1904" s="580"/>
      <c r="P1904" s="615" t="s">
        <v>417</v>
      </c>
      <c r="Q1904" s="616">
        <f>IFERROR(MAX(H1902-I1905-Q1905,0),0)</f>
        <v>0</v>
      </c>
      <c r="R1904" s="596"/>
      <c r="S1904" s="600"/>
      <c r="T1904" s="599">
        <f>G1877</f>
        <v>0</v>
      </c>
      <c r="U1904" s="578"/>
      <c r="V1904" s="579"/>
      <c r="W1904" s="579">
        <f t="shared" si="270"/>
        <v>0</v>
      </c>
      <c r="X1904" s="579"/>
      <c r="Y1904" s="879"/>
      <c r="Z1904" s="106"/>
      <c r="AC1904" s="504"/>
      <c r="AD1904" s="505"/>
      <c r="BO1904" s="86"/>
    </row>
    <row r="1905" spans="1:67" ht="17.25" thickBot="1" x14ac:dyDescent="0.3">
      <c r="A1905" s="520">
        <f>IFERROR(VLOOKUP($G$5,'רשימת רשויות'!A:C,3,0),0)</f>
        <v>0</v>
      </c>
      <c r="B1905" s="520">
        <f t="shared" si="269"/>
        <v>0</v>
      </c>
      <c r="D1905" s="1134"/>
      <c r="E1905" s="1137"/>
      <c r="F1905" s="1143" t="s">
        <v>2679</v>
      </c>
      <c r="G1905" s="1143"/>
      <c r="H1905" s="1143"/>
      <c r="I1905" s="722">
        <f>IF(G1882="לא תקין","לא קיימת זכאות לתקציב לאור אי איוש משרות רכז ו/או סגן רכז ",IFERROR(J1904*(J1903+J1900),0))</f>
        <v>0</v>
      </c>
      <c r="J1905" s="573"/>
      <c r="K1905" s="574"/>
      <c r="L1905" s="396"/>
      <c r="M1905" s="574"/>
      <c r="N1905" s="574"/>
      <c r="O1905" s="574"/>
      <c r="P1905" s="615" t="s">
        <v>2279</v>
      </c>
      <c r="Q1905" s="616">
        <f>MAX(IF(AND(G1900&gt;H1900,I1905&lt;H1902),H1902-I1905,0),0)</f>
        <v>0</v>
      </c>
      <c r="R1905" s="575"/>
      <c r="S1905" s="576" t="s">
        <v>67</v>
      </c>
      <c r="T1905" s="577">
        <f>G1877</f>
        <v>0</v>
      </c>
      <c r="U1905" s="578"/>
      <c r="V1905" s="579">
        <f>I1905</f>
        <v>0</v>
      </c>
      <c r="W1905" s="579">
        <f>IFERROR(U1905-V1905,0)</f>
        <v>0</v>
      </c>
      <c r="X1905" s="579">
        <f>SUM(X1891:X1904)</f>
        <v>0</v>
      </c>
      <c r="Y1905" s="879"/>
      <c r="Z1905" s="106"/>
      <c r="AC1905" s="506">
        <v>0</v>
      </c>
      <c r="AD1905" s="507">
        <f>IFERROR(U1905-AC1905,0)</f>
        <v>0</v>
      </c>
      <c r="BO1905" s="86"/>
    </row>
    <row r="1906" spans="1:67" ht="16.5" thickBot="1" x14ac:dyDescent="0.3">
      <c r="A1906" s="520">
        <f>IFERROR(VLOOKUP($G$5,'רשימת רשויות'!A:C,3,0),0)</f>
        <v>0</v>
      </c>
      <c r="B1906" s="520">
        <f t="shared" si="269"/>
        <v>0</v>
      </c>
      <c r="D1906" s="1135"/>
      <c r="E1906" s="1138"/>
      <c r="F1906" s="1144" t="s">
        <v>2793</v>
      </c>
      <c r="G1906" s="1145"/>
      <c r="H1906" s="1145"/>
      <c r="I1906" s="593">
        <f>IFERROR(IF(G1882="תקין",SUMIFS('סייעות רפואיות או אישיות (7)'!$Q$17:Q$384,'סייעות רפואיות או אישיות (7)'!C$17:C$384,G1877),0),0)</f>
        <v>0</v>
      </c>
      <c r="J1906" s="151"/>
      <c r="K1906" s="152"/>
      <c r="L1906" s="409"/>
      <c r="M1906" s="152"/>
      <c r="N1906" s="152"/>
      <c r="O1906" s="152"/>
      <c r="P1906" s="613"/>
      <c r="Q1906" s="614"/>
      <c r="R1906" s="475"/>
      <c r="S1906" s="489"/>
      <c r="T1906" s="490"/>
      <c r="U1906" s="491"/>
      <c r="V1906" s="492"/>
      <c r="W1906" s="492"/>
      <c r="X1906" s="492"/>
      <c r="Y1906" s="880"/>
      <c r="Z1906" s="153"/>
      <c r="AC1906" s="581"/>
      <c r="AD1906" s="582"/>
      <c r="BO1906" s="86"/>
    </row>
    <row r="1907" spans="1:67" ht="34.5" thickBot="1" x14ac:dyDescent="0.55000000000000004">
      <c r="A1907" s="520">
        <f>IFERROR(VLOOKUP($G$5,'רשימת רשויות'!A:C,3,0),0)</f>
        <v>0</v>
      </c>
      <c r="B1907" s="520">
        <f t="shared" si="269"/>
        <v>0</v>
      </c>
      <c r="E1907" s="154"/>
      <c r="I1907" s="143"/>
      <c r="J1907" s="148"/>
      <c r="O1907" s="148"/>
      <c r="T1907" s="481"/>
      <c r="BO1907" s="86"/>
    </row>
    <row r="1908" spans="1:67" s="20" customFormat="1" ht="16.5" customHeight="1" thickBot="1" x14ac:dyDescent="0.3">
      <c r="A1908" s="520">
        <f>IFERROR(VLOOKUP($G$5,'רשימת רשויות'!A:C,3,0),0)</f>
        <v>0</v>
      </c>
      <c r="B1908" s="520">
        <f t="shared" ref="B1908:B1937" si="274">IF(F1909="סמל המוסד",G1909,B1907)</f>
        <v>0</v>
      </c>
      <c r="C1908" s="39"/>
      <c r="D1908" s="1133">
        <f>D1877+1</f>
        <v>62</v>
      </c>
      <c r="E1908" s="1136" t="str">
        <f>IFERROR(CONCATENATE("בית הספר ",VLOOKUP(G1908,'מצבת והרשמה (2)'!$C$21:$D$520,2,0)," - ",$G$5),"")</f>
        <v>בית הספר המוסד לא קיים - 0</v>
      </c>
      <c r="F1908" s="720" t="s">
        <v>146</v>
      </c>
      <c r="G1908" s="721">
        <f>IFERROR(VLOOKUP(D:D,'דוח ביצוע (3)'!$A$21:$C$900,2,0),0)</f>
        <v>0</v>
      </c>
      <c r="H1908" s="79"/>
      <c r="I1908" s="80" t="s">
        <v>150</v>
      </c>
      <c r="J1908" s="80"/>
      <c r="K1908" s="81"/>
      <c r="L1908" s="392"/>
      <c r="M1908" s="392"/>
      <c r="N1908" s="392"/>
      <c r="O1908" s="82"/>
      <c r="P1908" s="470"/>
      <c r="Q1908" s="471"/>
      <c r="R1908" s="472"/>
      <c r="S1908" s="883"/>
      <c r="T1908" s="884"/>
      <c r="U1908" s="486"/>
      <c r="V1908" s="487"/>
      <c r="W1908" s="487"/>
      <c r="X1908" s="487"/>
      <c r="Y1908" s="885"/>
      <c r="Z1908" s="83"/>
      <c r="AC1908" s="502"/>
      <c r="AD1908" s="503"/>
      <c r="AO1908" s="22"/>
      <c r="AP1908" s="22"/>
      <c r="AQ1908" s="22"/>
      <c r="AR1908" s="22"/>
      <c r="AS1908" s="22"/>
      <c r="AT1908" s="22"/>
      <c r="AU1908" s="35"/>
      <c r="AV1908" s="35"/>
      <c r="AW1908" s="35"/>
      <c r="AX1908" s="35"/>
      <c r="AY1908" s="35"/>
      <c r="AZ1908" s="35"/>
      <c r="BA1908" s="35"/>
      <c r="BB1908" s="35"/>
      <c r="BC1908" s="35"/>
      <c r="BD1908" s="35"/>
      <c r="BE1908" s="35"/>
      <c r="BF1908" s="35"/>
      <c r="BG1908" s="35"/>
      <c r="BH1908" s="35"/>
      <c r="BI1908" s="35"/>
      <c r="BJ1908" s="35"/>
      <c r="BK1908" s="35"/>
      <c r="BL1908" s="35"/>
      <c r="BM1908" s="35"/>
      <c r="BN1908" s="35"/>
      <c r="BO1908" s="78"/>
    </row>
    <row r="1909" spans="1:67" s="20" customFormat="1" ht="16.5" thickBot="1" x14ac:dyDescent="0.3">
      <c r="A1909" s="520">
        <f>IFERROR(VLOOKUP($G$5,'רשימת רשויות'!A:C,3,0),0)</f>
        <v>0</v>
      </c>
      <c r="B1909" s="520">
        <f t="shared" si="274"/>
        <v>0</v>
      </c>
      <c r="C1909" s="39"/>
      <c r="D1909" s="1134"/>
      <c r="E1909" s="1137"/>
      <c r="F1909" s="583" t="s">
        <v>145</v>
      </c>
      <c r="G1909" s="516" t="str">
        <f>IFERROR(IF((G1911+G1912)=0,"",IF(VLOOKUP(G1908,'דוח ביצוע (3)'!$B$21:$K$900,5,0)&gt;149,"גדול",IF(AND(VLOOKUP(G1908,'דוח ביצוע (3)'!$B$21:$K$900,5,0)&gt;0,VLOOKUP(G1908,'דוח ביצוע (3)'!$B$21:$K$900,5,0)&lt;150),"קטן",0))),"")</f>
        <v/>
      </c>
      <c r="H1909" s="723" t="s">
        <v>88</v>
      </c>
      <c r="I1909" s="723" t="s">
        <v>13</v>
      </c>
      <c r="J1909" s="725" t="s">
        <v>14</v>
      </c>
      <c r="K1909" s="724" t="s">
        <v>94</v>
      </c>
      <c r="L1909" s="594"/>
      <c r="M1909" s="420" t="s">
        <v>2584</v>
      </c>
      <c r="N1909" s="397" t="s">
        <v>413</v>
      </c>
      <c r="O1909" s="398" t="s">
        <v>52</v>
      </c>
      <c r="P1909" s="595"/>
      <c r="Q1909" s="595"/>
      <c r="R1909" s="596"/>
      <c r="S1909" s="610"/>
      <c r="T1909" s="881"/>
      <c r="U1909" s="598"/>
      <c r="V1909" s="599"/>
      <c r="W1909" s="599"/>
      <c r="X1909" s="599"/>
      <c r="Y1909" s="879"/>
      <c r="Z1909" s="85"/>
      <c r="AC1909" s="493"/>
      <c r="AD1909" s="495"/>
      <c r="AO1909" s="22"/>
      <c r="AP1909" s="22"/>
      <c r="AQ1909" s="22"/>
      <c r="AR1909" s="22"/>
      <c r="AS1909" s="22"/>
      <c r="AT1909" s="22"/>
      <c r="AU1909" s="35"/>
      <c r="AV1909" s="35"/>
      <c r="AW1909" s="35"/>
      <c r="AX1909" s="35"/>
      <c r="AY1909" s="35"/>
      <c r="AZ1909" s="35"/>
      <c r="BA1909" s="35"/>
      <c r="BB1909" s="35"/>
      <c r="BC1909" s="35"/>
      <c r="BD1909" s="35"/>
      <c r="BE1909" s="35"/>
      <c r="BF1909" s="35"/>
      <c r="BG1909" s="35"/>
      <c r="BH1909" s="35"/>
      <c r="BI1909" s="35"/>
      <c r="BJ1909" s="35"/>
      <c r="BK1909" s="35"/>
      <c r="BL1909" s="35"/>
      <c r="BM1909" s="35"/>
      <c r="BN1909" s="35"/>
      <c r="BO1909" s="78"/>
    </row>
    <row r="1910" spans="1:67" s="20" customFormat="1" ht="15.75" customHeight="1" thickBot="1" x14ac:dyDescent="0.3">
      <c r="A1910" s="520">
        <f>IFERROR(VLOOKUP($G$5,'רשימת רשויות'!A:C,3,0),0)</f>
        <v>0</v>
      </c>
      <c r="B1910" s="520">
        <f t="shared" si="274"/>
        <v>0</v>
      </c>
      <c r="C1910" s="39"/>
      <c r="D1910" s="1134"/>
      <c r="E1910" s="1137"/>
      <c r="F1910" s="584" t="s">
        <v>144</v>
      </c>
      <c r="G1910" s="87">
        <f>IF(G1913="תקין",IFERROR(VLOOKUP($G1908,'דוח ביצוע (3)'!$B$21:$Q$900,12,0),0),0)</f>
        <v>0</v>
      </c>
      <c r="H1910" s="88">
        <f>IFERROR(G1911*$AH$6+G1912*$AH$7,0)</f>
        <v>0</v>
      </c>
      <c r="I1910" s="88">
        <f>IFERROR(G1911*$AI$6+G1912*$AI$7,0)</f>
        <v>0</v>
      </c>
      <c r="J1910" s="88">
        <f>IFERROR(G1911*$AJ$6+G1912*$AJ$7,0)</f>
        <v>0</v>
      </c>
      <c r="K1910" s="88">
        <f>IFERROR(G1911*$AK$6+G1912*$AK$7,0)</f>
        <v>0</v>
      </c>
      <c r="L1910" s="405"/>
      <c r="M1910" s="399" t="s">
        <v>427</v>
      </c>
      <c r="N1910" s="400" t="str">
        <f>IFERROR(VLOOKUP($G1908,'דוח ביצוע (3)'!$B:$AE,28,0),"")</f>
        <v/>
      </c>
      <c r="O1910" s="89" t="str">
        <f>IFERROR(VLOOKUP($G1908,'דוח ביצוע (3)'!B:AE,29,0),"")</f>
        <v/>
      </c>
      <c r="P1910" s="595"/>
      <c r="Q1910" s="595"/>
      <c r="R1910" s="596"/>
      <c r="S1910" s="610"/>
      <c r="T1910" s="881"/>
      <c r="U1910" s="598"/>
      <c r="V1910" s="599"/>
      <c r="W1910" s="599"/>
      <c r="X1910" s="599"/>
      <c r="Y1910" s="879"/>
      <c r="Z1910" s="85"/>
      <c r="AC1910" s="493"/>
      <c r="AD1910" s="495"/>
      <c r="AO1910" s="22"/>
      <c r="AP1910" s="22"/>
      <c r="AQ1910" s="22"/>
      <c r="AR1910" s="22"/>
      <c r="AS1910" s="22"/>
      <c r="AT1910" s="22"/>
      <c r="AU1910" s="35"/>
      <c r="AV1910" s="35"/>
      <c r="AW1910" s="35"/>
      <c r="AX1910" s="35"/>
      <c r="AY1910" s="35"/>
      <c r="AZ1910" s="35"/>
      <c r="BA1910" s="35"/>
      <c r="BB1910" s="35"/>
      <c r="BC1910" s="35"/>
      <c r="BD1910" s="35"/>
      <c r="BE1910" s="35"/>
      <c r="BF1910" s="35"/>
      <c r="BG1910" s="35"/>
      <c r="BH1910" s="35"/>
      <c r="BI1910" s="35"/>
      <c r="BJ1910" s="35"/>
      <c r="BK1910" s="35"/>
      <c r="BL1910" s="35"/>
      <c r="BM1910" s="35"/>
      <c r="BN1910" s="35"/>
      <c r="BO1910" s="78"/>
    </row>
    <row r="1911" spans="1:67" s="20" customFormat="1" ht="32.25" thickBot="1" x14ac:dyDescent="0.3">
      <c r="A1911" s="520">
        <f>IFERROR(VLOOKUP($G$5,'רשימת רשויות'!A:C,3,0),0)</f>
        <v>0</v>
      </c>
      <c r="B1911" s="520">
        <f t="shared" si="274"/>
        <v>0</v>
      </c>
      <c r="C1911" s="39"/>
      <c r="D1911" s="1134"/>
      <c r="E1911" s="1137"/>
      <c r="F1911" s="585" t="s">
        <v>2195</v>
      </c>
      <c r="G1911" s="89">
        <f>IF(G1913="תקין",MAX(N1913,0),0)</f>
        <v>0</v>
      </c>
      <c r="H1911" s="725" t="s">
        <v>151</v>
      </c>
      <c r="I1911" s="725" t="s">
        <v>91</v>
      </c>
      <c r="J1911" s="970" t="s">
        <v>3396</v>
      </c>
      <c r="K1911" s="601"/>
      <c r="L1911" s="601"/>
      <c r="M1911" s="983" t="s">
        <v>2585</v>
      </c>
      <c r="N1911" s="400" t="str">
        <f>IFERROR(G1910/15*N1910*1.25,"")</f>
        <v/>
      </c>
      <c r="O1911" s="89" t="str">
        <f>IFERROR(G1910/15*O1910*1.25,"")</f>
        <v/>
      </c>
      <c r="P1911" s="595"/>
      <c r="Q1911" s="595"/>
      <c r="R1911" s="596"/>
      <c r="S1911" s="610"/>
      <c r="T1911" s="881"/>
      <c r="U1911" s="598"/>
      <c r="V1911" s="599"/>
      <c r="W1911" s="599"/>
      <c r="X1911" s="599"/>
      <c r="Y1911" s="879"/>
      <c r="Z1911" s="85"/>
      <c r="AC1911" s="493"/>
      <c r="AD1911" s="495"/>
      <c r="AG1911" s="22"/>
      <c r="AH1911" s="55"/>
      <c r="AI1911" s="55"/>
      <c r="AJ1911" s="55"/>
      <c r="AK1911" s="55"/>
      <c r="AO1911" s="22"/>
      <c r="AP1911" s="22"/>
      <c r="AQ1911" s="22"/>
      <c r="AR1911" s="22"/>
      <c r="AS1911" s="22"/>
      <c r="AT1911" s="22"/>
      <c r="AU1911" s="35"/>
      <c r="AV1911" s="35"/>
      <c r="AW1911" s="35"/>
      <c r="AX1911" s="35"/>
      <c r="AY1911" s="35"/>
      <c r="AZ1911" s="35"/>
      <c r="BA1911" s="35"/>
      <c r="BB1911" s="35"/>
      <c r="BC1911" s="35"/>
      <c r="BD1911" s="35"/>
      <c r="BE1911" s="35"/>
      <c r="BF1911" s="35"/>
      <c r="BG1911" s="35"/>
      <c r="BH1911" s="35"/>
      <c r="BI1911" s="35"/>
      <c r="BJ1911" s="35"/>
      <c r="BK1911" s="35"/>
      <c r="BL1911" s="35"/>
      <c r="BM1911" s="35"/>
      <c r="BN1911" s="35"/>
      <c r="BO1911" s="86"/>
    </row>
    <row r="1912" spans="1:67" s="20" customFormat="1" ht="16.5" thickBot="1" x14ac:dyDescent="0.3">
      <c r="A1912" s="520">
        <f>IFERROR(VLOOKUP($G$5,'רשימת רשויות'!A:C,3,0),0)</f>
        <v>0</v>
      </c>
      <c r="B1912" s="520">
        <f t="shared" si="274"/>
        <v>0</v>
      </c>
      <c r="C1912" s="39"/>
      <c r="D1912" s="1134"/>
      <c r="E1912" s="1137"/>
      <c r="F1912" s="585" t="s">
        <v>2196</v>
      </c>
      <c r="G1912" s="89">
        <f>IF(G1913="תקין",MAX(O1913,0),0)</f>
        <v>0</v>
      </c>
      <c r="H1912" s="88">
        <f>(IFERROR(IF((G1911+G1912)=0,0,IF(G1909="קטן",G1910*$AH$10,G1910*$AH$11)),0))+(IFERROR(IF((G1911+G1912)=0,0,VLOOKUP(G1908,'דוח ביצוע (3)'!$B:$AH,33,0)),0))</f>
        <v>0</v>
      </c>
      <c r="I1912" s="88">
        <f>IFERROR(IF((G1911+G1912)=0,0,IF(G1909="קטן",G1910*$AI$10,G1910*$AI$11)),0)</f>
        <v>0</v>
      </c>
      <c r="J1912" s="88">
        <f>IFERROR(IF((G1911+G1912)=0,0,VLOOKUP(G1908,'דוח ביצוע (3)'!$B:$AH,32,0)),0)</f>
        <v>0</v>
      </c>
      <c r="K1912" s="90"/>
      <c r="L1912" s="90"/>
      <c r="M1912" s="399" t="s">
        <v>412</v>
      </c>
      <c r="N1912" s="400">
        <f>IFERROR(VLOOKUP($G1908,'דוח ביצוע (3)'!$B$21:$U$500,18,0),0)</f>
        <v>0</v>
      </c>
      <c r="O1912" s="401">
        <f>IFERROR(VLOOKUP($G1908,'דוח ביצוע (3)'!$B$21:$U$500,19,0),0)</f>
        <v>0</v>
      </c>
      <c r="P1912" s="595"/>
      <c r="Q1912" s="595"/>
      <c r="R1912" s="596"/>
      <c r="S1912" s="610"/>
      <c r="T1912" s="881"/>
      <c r="U1912" s="598"/>
      <c r="V1912" s="599"/>
      <c r="W1912" s="599"/>
      <c r="X1912" s="599"/>
      <c r="Y1912" s="879"/>
      <c r="Z1912" s="85"/>
      <c r="AC1912" s="493"/>
      <c r="AD1912" s="495"/>
      <c r="AG1912" s="22"/>
      <c r="AH1912" s="55"/>
      <c r="AI1912" s="55"/>
      <c r="AJ1912" s="55"/>
      <c r="AK1912" s="55"/>
      <c r="AO1912" s="22"/>
      <c r="AP1912" s="22"/>
      <c r="AQ1912" s="22"/>
      <c r="AR1912" s="22"/>
      <c r="AS1912" s="22"/>
      <c r="AT1912" s="22"/>
      <c r="AU1912" s="35"/>
      <c r="AV1912" s="35"/>
      <c r="AW1912" s="35"/>
      <c r="AX1912" s="35"/>
      <c r="AY1912" s="35"/>
      <c r="AZ1912" s="35"/>
      <c r="BA1912" s="35"/>
      <c r="BB1912" s="35"/>
      <c r="BC1912" s="35"/>
      <c r="BD1912" s="35"/>
      <c r="BE1912" s="35"/>
      <c r="BF1912" s="35"/>
      <c r="BG1912" s="35"/>
      <c r="BH1912" s="35"/>
      <c r="BI1912" s="35"/>
      <c r="BJ1912" s="35"/>
      <c r="BK1912" s="35"/>
      <c r="BL1912" s="35"/>
      <c r="BM1912" s="35"/>
      <c r="BN1912" s="35"/>
      <c r="BO1912" s="86"/>
    </row>
    <row r="1913" spans="1:67" s="20" customFormat="1" ht="16.5" thickBot="1" x14ac:dyDescent="0.3">
      <c r="A1913" s="520">
        <f>IFERROR(VLOOKUP($G$5,'רשימת רשויות'!A:C,3,0),0)</f>
        <v>0</v>
      </c>
      <c r="B1913" s="520">
        <f t="shared" si="274"/>
        <v>0</v>
      </c>
      <c r="C1913" s="39"/>
      <c r="D1913" s="1134"/>
      <c r="E1913" s="1137"/>
      <c r="F1913" s="586" t="s">
        <v>2355</v>
      </c>
      <c r="G1913" s="514">
        <f>IFERROR(IF(VLOOKUP('בית ספר - תקצוב לפי מוסד (9)'!G1908,' איוש משרות (8)'!$C:$K,9,0)="תקין","תקין","לא תקין"),0)</f>
        <v>0</v>
      </c>
      <c r="H1913" s="91"/>
      <c r="I1913" s="91"/>
      <c r="J1913" s="91"/>
      <c r="K1913" s="90"/>
      <c r="L1913" s="90"/>
      <c r="M1913" s="402" t="s">
        <v>2586</v>
      </c>
      <c r="N1913" s="403">
        <f>IFERROR(MIN(N1911,N1912),0)</f>
        <v>0</v>
      </c>
      <c r="O1913" s="404">
        <f>IFERROR(MIN(O1911,O1912),0)</f>
        <v>0</v>
      </c>
      <c r="P1913" s="595"/>
      <c r="Q1913" s="595"/>
      <c r="R1913" s="596"/>
      <c r="S1913" s="610"/>
      <c r="T1913" s="881"/>
      <c r="U1913" s="598"/>
      <c r="V1913" s="599"/>
      <c r="W1913" s="599"/>
      <c r="X1913" s="599"/>
      <c r="Y1913" s="879"/>
      <c r="Z1913" s="85"/>
      <c r="AC1913" s="493"/>
      <c r="AD1913" s="495"/>
      <c r="AG1913" s="94"/>
      <c r="AH1913" s="40"/>
      <c r="AI1913" s="40"/>
      <c r="AJ1913" s="40"/>
      <c r="AK1913" s="40"/>
      <c r="AO1913" s="22"/>
      <c r="AP1913" s="22"/>
      <c r="AQ1913" s="22"/>
      <c r="AR1913" s="22"/>
      <c r="AS1913" s="22"/>
      <c r="AT1913" s="22"/>
      <c r="AU1913" s="35"/>
      <c r="AV1913" s="35"/>
      <c r="AW1913" s="35"/>
      <c r="AX1913" s="35"/>
      <c r="AY1913" s="35"/>
      <c r="AZ1913" s="35"/>
      <c r="BA1913" s="35"/>
      <c r="BB1913" s="35"/>
      <c r="BC1913" s="35"/>
      <c r="BD1913" s="35"/>
      <c r="BE1913" s="35"/>
      <c r="BF1913" s="35"/>
      <c r="BG1913" s="35"/>
      <c r="BH1913" s="35"/>
      <c r="BI1913" s="35"/>
      <c r="BJ1913" s="35"/>
      <c r="BK1913" s="35"/>
      <c r="BL1913" s="35"/>
      <c r="BM1913" s="35"/>
      <c r="BN1913" s="35"/>
      <c r="BO1913" s="86"/>
    </row>
    <row r="1914" spans="1:67" s="55" customFormat="1" ht="37.15" customHeight="1" thickBot="1" x14ac:dyDescent="0.3">
      <c r="A1914" s="520">
        <f>IFERROR(VLOOKUP($G$5,'רשימת רשויות'!A:C,3,0),0)</f>
        <v>0</v>
      </c>
      <c r="B1914" s="520">
        <f t="shared" si="274"/>
        <v>0</v>
      </c>
      <c r="C1914" s="39"/>
      <c r="D1914" s="1134"/>
      <c r="E1914" s="1137"/>
      <c r="F1914" s="587" t="s">
        <v>142</v>
      </c>
      <c r="G1914" s="92"/>
      <c r="H1914" s="92"/>
      <c r="I1914" s="92"/>
      <c r="J1914" s="92"/>
      <c r="K1914" s="602"/>
      <c r="L1914" s="602"/>
      <c r="M1914" s="602"/>
      <c r="N1914" s="602"/>
      <c r="O1914" s="602"/>
      <c r="P1914" s="595"/>
      <c r="Q1914" s="595"/>
      <c r="R1914" s="596"/>
      <c r="S1914" s="610"/>
      <c r="T1914" s="881"/>
      <c r="U1914" s="598"/>
      <c r="V1914" s="599"/>
      <c r="W1914" s="599"/>
      <c r="X1914" s="599"/>
      <c r="Y1914" s="879"/>
      <c r="Z1914" s="93"/>
      <c r="AC1914" s="493"/>
      <c r="AD1914" s="495"/>
      <c r="AF1914" s="22"/>
      <c r="AG1914" s="98"/>
      <c r="AH1914" s="98"/>
      <c r="AI1914" s="40"/>
      <c r="AJ1914" s="40"/>
      <c r="AK1914" s="40"/>
      <c r="AO1914" s="22"/>
      <c r="AP1914" s="22"/>
      <c r="AQ1914" s="22"/>
      <c r="AR1914" s="22"/>
      <c r="AS1914" s="22"/>
      <c r="AT1914" s="22"/>
      <c r="AU1914" s="35"/>
      <c r="AV1914" s="35"/>
      <c r="AW1914" s="35"/>
      <c r="AX1914" s="35"/>
      <c r="AY1914" s="35"/>
      <c r="AZ1914" s="35"/>
      <c r="BA1914" s="35"/>
      <c r="BB1914" s="35"/>
      <c r="BC1914" s="35"/>
      <c r="BD1914" s="35"/>
      <c r="BE1914" s="35"/>
      <c r="BF1914" s="35"/>
      <c r="BG1914" s="35"/>
      <c r="BH1914" s="35"/>
      <c r="BI1914" s="35"/>
      <c r="BJ1914" s="35"/>
      <c r="BK1914" s="35"/>
      <c r="BL1914" s="35"/>
      <c r="BM1914" s="35"/>
      <c r="BN1914" s="35"/>
      <c r="BO1914" s="86"/>
    </row>
    <row r="1915" spans="1:67" s="40" customFormat="1" ht="31.5" x14ac:dyDescent="0.25">
      <c r="A1915" s="520">
        <f>IFERROR(VLOOKUP($G$5,'רשימת רשויות'!A:C,3,0),0)</f>
        <v>0</v>
      </c>
      <c r="B1915" s="520">
        <f t="shared" si="274"/>
        <v>0</v>
      </c>
      <c r="C1915" s="39"/>
      <c r="D1915" s="1134"/>
      <c r="E1915" s="1137"/>
      <c r="F1915" s="588" t="s">
        <v>94</v>
      </c>
      <c r="G1915" s="95" t="s">
        <v>18</v>
      </c>
      <c r="H1915" s="95" t="s">
        <v>19</v>
      </c>
      <c r="I1915" s="95" t="s">
        <v>138</v>
      </c>
      <c r="J1915" s="96" t="s">
        <v>139</v>
      </c>
      <c r="K1915" s="603"/>
      <c r="L1915" s="603"/>
      <c r="M1915" s="603"/>
      <c r="N1915" s="603"/>
      <c r="O1915" s="603"/>
      <c r="P1915" s="604"/>
      <c r="Q1915" s="604"/>
      <c r="R1915" s="596"/>
      <c r="S1915" s="610"/>
      <c r="T1915" s="881"/>
      <c r="U1915" s="598"/>
      <c r="V1915" s="599"/>
      <c r="W1915" s="599"/>
      <c r="X1915" s="599"/>
      <c r="Y1915" s="879"/>
      <c r="Z1915" s="97"/>
      <c r="AA1915" s="94"/>
      <c r="AB1915" s="94"/>
      <c r="AC1915" s="493"/>
      <c r="AD1915" s="495"/>
      <c r="AE1915" s="94"/>
      <c r="AG1915" s="98"/>
      <c r="AH1915" s="98"/>
      <c r="AO1915" s="22"/>
      <c r="AP1915" s="22"/>
      <c r="AQ1915" s="22"/>
      <c r="AR1915" s="22"/>
      <c r="AS1915" s="22"/>
      <c r="AT1915" s="22"/>
      <c r="AU1915" s="35"/>
      <c r="AV1915" s="35"/>
      <c r="AW1915" s="35"/>
      <c r="AX1915" s="35"/>
      <c r="AY1915" s="35"/>
      <c r="AZ1915" s="35"/>
      <c r="BA1915" s="35"/>
      <c r="BB1915" s="35"/>
      <c r="BC1915" s="35"/>
      <c r="BD1915" s="35"/>
      <c r="BE1915" s="35"/>
      <c r="BF1915" s="35"/>
      <c r="BG1915" s="35"/>
      <c r="BH1915" s="35"/>
      <c r="BI1915" s="35"/>
      <c r="BJ1915" s="35"/>
      <c r="BK1915" s="35"/>
      <c r="BL1915" s="35"/>
      <c r="BM1915" s="35"/>
      <c r="BN1915" s="35"/>
      <c r="BO1915" s="86"/>
    </row>
    <row r="1916" spans="1:67" s="40" customFormat="1" ht="15.75" customHeight="1" thickBot="1" x14ac:dyDescent="0.3">
      <c r="A1916" s="520">
        <f>IFERROR(VLOOKUP($G$5,'רשימת רשויות'!A:C,3,0),0)</f>
        <v>0</v>
      </c>
      <c r="B1916" s="520">
        <f t="shared" si="274"/>
        <v>0</v>
      </c>
      <c r="C1916" s="39"/>
      <c r="D1916" s="1134"/>
      <c r="E1916" s="1137"/>
      <c r="F1916" s="589" t="s">
        <v>2280</v>
      </c>
      <c r="G1916" s="99">
        <f>+G1927</f>
        <v>0</v>
      </c>
      <c r="H1916" s="100">
        <f>K1910</f>
        <v>0</v>
      </c>
      <c r="I1916" s="100">
        <f>H1916-I1918</f>
        <v>0</v>
      </c>
      <c r="J1916" s="101">
        <f>IFERROR(I1916/H1916,0)</f>
        <v>0</v>
      </c>
      <c r="K1916" s="603"/>
      <c r="L1916" s="603"/>
      <c r="M1916" s="603"/>
      <c r="N1916" s="603"/>
      <c r="O1916" s="603"/>
      <c r="P1916" s="605"/>
      <c r="Q1916" s="604"/>
      <c r="R1916" s="606" t="s">
        <v>157</v>
      </c>
      <c r="S1916" s="611"/>
      <c r="T1916" s="881"/>
      <c r="U1916" s="598"/>
      <c r="V1916" s="599"/>
      <c r="W1916" s="599"/>
      <c r="X1916" s="599"/>
      <c r="Y1916" s="879"/>
      <c r="Z1916" s="102"/>
      <c r="AA1916" s="122"/>
      <c r="AB1916" s="122"/>
      <c r="AC1916" s="493"/>
      <c r="AD1916" s="495"/>
      <c r="AE1916" s="122"/>
      <c r="AF1916" s="22"/>
      <c r="AG1916" s="98"/>
      <c r="AH1916" s="98"/>
      <c r="AI1916" s="20"/>
      <c r="AO1916" s="22"/>
      <c r="AP1916" s="22"/>
      <c r="AQ1916" s="22"/>
      <c r="AR1916" s="22"/>
      <c r="AS1916" s="22"/>
      <c r="AT1916" s="22"/>
      <c r="AU1916" s="35"/>
      <c r="AV1916" s="35"/>
      <c r="AW1916" s="35"/>
      <c r="AX1916" s="35"/>
      <c r="AY1916" s="35"/>
      <c r="AZ1916" s="35"/>
      <c r="BA1916" s="35"/>
      <c r="BB1916" s="35"/>
      <c r="BC1916" s="35"/>
      <c r="BD1916" s="35"/>
      <c r="BE1916" s="35"/>
      <c r="BF1916" s="35"/>
      <c r="BG1916" s="35"/>
      <c r="BH1916" s="35"/>
      <c r="BI1916" s="35"/>
      <c r="BJ1916" s="35"/>
      <c r="BK1916" s="35"/>
      <c r="BL1916" s="35"/>
      <c r="BM1916" s="35"/>
      <c r="BN1916" s="35"/>
      <c r="BO1916" s="86"/>
    </row>
    <row r="1917" spans="1:67" s="40" customFormat="1" ht="15.75" customHeight="1" thickBot="1" x14ac:dyDescent="0.3">
      <c r="A1917" s="520">
        <f>IFERROR(VLOOKUP($G$5,'רשימת רשויות'!A:C,3,0),0)</f>
        <v>0</v>
      </c>
      <c r="B1917" s="520">
        <f t="shared" si="274"/>
        <v>0</v>
      </c>
      <c r="C1917" s="39"/>
      <c r="D1917" s="1134"/>
      <c r="E1917" s="1137"/>
      <c r="F1917" s="589" t="s">
        <v>2281</v>
      </c>
      <c r="G1917" s="99">
        <f>+G1926</f>
        <v>0</v>
      </c>
      <c r="H1917" s="103"/>
      <c r="I1917" s="104"/>
      <c r="J1917" s="105"/>
      <c r="K1917" s="603"/>
      <c r="L1917" s="603"/>
      <c r="M1917" s="603"/>
      <c r="N1917" s="603"/>
      <c r="O1917" s="603"/>
      <c r="P1917" s="605"/>
      <c r="Q1917" s="604"/>
      <c r="R1917" s="473">
        <f>I1918-R1919</f>
        <v>0</v>
      </c>
      <c r="S1917" s="611"/>
      <c r="T1917" s="881"/>
      <c r="U1917" s="598"/>
      <c r="V1917" s="599"/>
      <c r="W1917" s="599"/>
      <c r="X1917" s="599"/>
      <c r="Y1917" s="879"/>
      <c r="Z1917" s="106"/>
      <c r="AA1917" s="22"/>
      <c r="AB1917" s="22"/>
      <c r="AC1917" s="493"/>
      <c r="AD1917" s="495"/>
      <c r="AE1917" s="22"/>
      <c r="AF1917" s="22"/>
      <c r="AG1917" s="98"/>
      <c r="AH1917" s="98"/>
      <c r="AI1917" s="20"/>
      <c r="AO1917" s="22"/>
      <c r="AP1917" s="22"/>
      <c r="AQ1917" s="22"/>
      <c r="AR1917" s="22"/>
      <c r="AS1917" s="22"/>
      <c r="AT1917" s="22"/>
      <c r="AU1917" s="35"/>
      <c r="AV1917" s="35"/>
      <c r="AW1917" s="35"/>
      <c r="AX1917" s="35"/>
      <c r="AY1917" s="35"/>
      <c r="AZ1917" s="35"/>
      <c r="BA1917" s="35"/>
      <c r="BB1917" s="35"/>
      <c r="BC1917" s="35"/>
      <c r="BD1917" s="35"/>
      <c r="BE1917" s="35"/>
      <c r="BF1917" s="35"/>
      <c r="BG1917" s="35"/>
      <c r="BH1917" s="35"/>
      <c r="BI1917" s="35"/>
      <c r="BJ1917" s="35"/>
      <c r="BK1917" s="35"/>
      <c r="BL1917" s="35"/>
      <c r="BM1917" s="35"/>
      <c r="BN1917" s="35"/>
      <c r="BO1917" s="86"/>
    </row>
    <row r="1918" spans="1:67" s="40" customFormat="1" ht="16.5" customHeight="1" thickBot="1" x14ac:dyDescent="0.3">
      <c r="A1918" s="520">
        <f>IFERROR(VLOOKUP($G$5,'רשימת רשויות'!A:C,3,0),0)</f>
        <v>0</v>
      </c>
      <c r="B1918" s="520">
        <f t="shared" si="274"/>
        <v>0</v>
      </c>
      <c r="C1918" s="39"/>
      <c r="D1918" s="1134"/>
      <c r="E1918" s="1137"/>
      <c r="F1918" s="589" t="s">
        <v>2282</v>
      </c>
      <c r="G1918" s="99">
        <f>G1922+G1923+G1924</f>
        <v>0</v>
      </c>
      <c r="H1918" s="104"/>
      <c r="I1918" s="107">
        <f>MAX(H1916-G1916-G1917,0)</f>
        <v>0</v>
      </c>
      <c r="J1918" s="108">
        <f>IFERROR(I1918/H1916,0)</f>
        <v>0</v>
      </c>
      <c r="K1918" s="603"/>
      <c r="L1918" s="603"/>
      <c r="M1918" s="603"/>
      <c r="N1918" s="603"/>
      <c r="O1918" s="603"/>
      <c r="P1918" s="604"/>
      <c r="Q1918" s="604"/>
      <c r="R1918" s="606" t="s">
        <v>158</v>
      </c>
      <c r="S1918" s="612"/>
      <c r="T1918" s="881"/>
      <c r="U1918" s="598"/>
      <c r="V1918" s="599"/>
      <c r="W1918" s="599"/>
      <c r="X1918" s="599"/>
      <c r="Y1918" s="879"/>
      <c r="Z1918" s="106"/>
      <c r="AA1918" s="22"/>
      <c r="AB1918" s="22"/>
      <c r="AC1918" s="493"/>
      <c r="AD1918" s="495"/>
      <c r="AE1918" s="22"/>
      <c r="AF1918" s="22"/>
      <c r="AG1918" s="22"/>
      <c r="AH1918" s="22"/>
      <c r="AI1918" s="55"/>
      <c r="AJ1918" s="22"/>
      <c r="AK1918" s="22"/>
      <c r="AO1918" s="22"/>
      <c r="AP1918" s="22"/>
      <c r="AQ1918" s="22"/>
      <c r="AR1918" s="22"/>
      <c r="AS1918" s="22"/>
      <c r="AT1918" s="22"/>
      <c r="AU1918" s="35"/>
      <c r="AV1918" s="35"/>
      <c r="AW1918" s="35"/>
      <c r="AX1918" s="35"/>
      <c r="AY1918" s="35"/>
      <c r="AZ1918" s="35"/>
      <c r="BA1918" s="35"/>
      <c r="BB1918" s="35"/>
      <c r="BC1918" s="35"/>
      <c r="BD1918" s="35"/>
      <c r="BE1918" s="35"/>
      <c r="BF1918" s="35"/>
      <c r="BG1918" s="35"/>
      <c r="BH1918" s="35"/>
      <c r="BI1918" s="35"/>
      <c r="BJ1918" s="35"/>
      <c r="BK1918" s="35"/>
      <c r="BL1918" s="35"/>
      <c r="BM1918" s="35"/>
      <c r="BN1918" s="35"/>
      <c r="BO1918" s="86"/>
    </row>
    <row r="1919" spans="1:67" s="40" customFormat="1" ht="15.75" customHeight="1" thickBot="1" x14ac:dyDescent="0.3">
      <c r="A1919" s="520">
        <f>IFERROR(VLOOKUP($G$5,'רשימת רשויות'!A:C,3,0),0)</f>
        <v>0</v>
      </c>
      <c r="B1919" s="520">
        <f t="shared" si="274"/>
        <v>0</v>
      </c>
      <c r="C1919" s="39"/>
      <c r="D1919" s="1134"/>
      <c r="E1919" s="1137"/>
      <c r="F1919" s="590" t="s">
        <v>2290</v>
      </c>
      <c r="G1919" s="109"/>
      <c r="H1919" s="110"/>
      <c r="I1919" s="111">
        <f>SUM(I1916:I1918)</f>
        <v>0</v>
      </c>
      <c r="J1919" s="112">
        <f>SUM(J1916:J1918)</f>
        <v>0</v>
      </c>
      <c r="K1919" s="603"/>
      <c r="L1919" s="603"/>
      <c r="M1919" s="603"/>
      <c r="N1919" s="603"/>
      <c r="O1919" s="603"/>
      <c r="P1919" s="604"/>
      <c r="Q1919" s="604"/>
      <c r="R1919" s="473">
        <f>MIN(MAX(G1923+G1924-I1912-J1912,0),I1918)</f>
        <v>0</v>
      </c>
      <c r="S1919" s="612"/>
      <c r="T1919" s="881"/>
      <c r="U1919" s="598"/>
      <c r="V1919" s="599"/>
      <c r="W1919" s="599"/>
      <c r="X1919" s="599"/>
      <c r="Y1919" s="879"/>
      <c r="Z1919" s="106"/>
      <c r="AA1919" s="22"/>
      <c r="AB1919" s="22"/>
      <c r="AC1919" s="493"/>
      <c r="AD1919" s="495"/>
      <c r="AE1919" s="22"/>
      <c r="AF1919" s="22"/>
      <c r="AG1919" s="22"/>
      <c r="AH1919" s="22"/>
      <c r="AJ1919" s="22"/>
      <c r="AK1919" s="22"/>
      <c r="AO1919" s="22"/>
      <c r="AP1919" s="22"/>
      <c r="AQ1919" s="22"/>
      <c r="AR1919" s="22"/>
      <c r="AS1919" s="22"/>
      <c r="AT1919" s="22"/>
      <c r="AU1919" s="35"/>
      <c r="AV1919" s="35"/>
      <c r="AW1919" s="35"/>
      <c r="AX1919" s="35"/>
      <c r="AY1919" s="35"/>
      <c r="AZ1919" s="35"/>
      <c r="BA1919" s="35"/>
      <c r="BB1919" s="35"/>
      <c r="BC1919" s="35"/>
      <c r="BD1919" s="35"/>
      <c r="BE1919" s="35"/>
      <c r="BF1919" s="35"/>
      <c r="BG1919" s="35"/>
      <c r="BH1919" s="35"/>
      <c r="BI1919" s="35"/>
      <c r="BJ1919" s="35"/>
      <c r="BK1919" s="35"/>
      <c r="BL1919" s="35"/>
      <c r="BM1919" s="35"/>
      <c r="BN1919" s="35"/>
      <c r="BO1919" s="86"/>
    </row>
    <row r="1920" spans="1:67" ht="16.5" thickBot="1" x14ac:dyDescent="0.3">
      <c r="A1920" s="520">
        <f>IFERROR(VLOOKUP($G$5,'רשימת רשויות'!A:C,3,0),0)</f>
        <v>0</v>
      </c>
      <c r="B1920" s="520">
        <f t="shared" si="274"/>
        <v>0</v>
      </c>
      <c r="D1920" s="1134"/>
      <c r="E1920" s="1137"/>
      <c r="F1920" s="587" t="s">
        <v>17</v>
      </c>
      <c r="G1920" s="113"/>
      <c r="H1920" s="92"/>
      <c r="I1920" s="114"/>
      <c r="J1920" s="115"/>
      <c r="K1920" s="116"/>
      <c r="L1920" s="406"/>
      <c r="M1920" s="116"/>
      <c r="N1920" s="116"/>
      <c r="O1920" s="116"/>
      <c r="P1920" s="474"/>
      <c r="Q1920" s="607"/>
      <c r="R1920" s="608"/>
      <c r="S1920" s="612"/>
      <c r="T1920" s="881"/>
      <c r="U1920" s="598"/>
      <c r="V1920" s="599"/>
      <c r="W1920" s="599"/>
      <c r="X1920" s="599"/>
      <c r="Y1920" s="879"/>
      <c r="Z1920" s="106"/>
      <c r="AI1920" s="40"/>
      <c r="BO1920" s="86"/>
    </row>
    <row r="1921" spans="1:67" ht="47.25" x14ac:dyDescent="0.25">
      <c r="A1921" s="520">
        <f>IFERROR(VLOOKUP($G$5,'רשימת רשויות'!A:C,3,0),0)</f>
        <v>0</v>
      </c>
      <c r="B1921" s="520">
        <f t="shared" si="274"/>
        <v>0</v>
      </c>
      <c r="D1921" s="1134"/>
      <c r="E1921" s="1137"/>
      <c r="F1921" s="588" t="s">
        <v>2</v>
      </c>
      <c r="G1921" s="95" t="s">
        <v>18</v>
      </c>
      <c r="H1921" s="95" t="s">
        <v>19</v>
      </c>
      <c r="I1921" s="95" t="s">
        <v>20</v>
      </c>
      <c r="J1921" s="95" t="s">
        <v>22</v>
      </c>
      <c r="K1921" s="96" t="s">
        <v>2314</v>
      </c>
      <c r="L1921" s="609"/>
      <c r="M1921" s="609"/>
      <c r="N1921" s="609"/>
      <c r="O1921" s="580"/>
      <c r="P1921" s="618" t="s">
        <v>2298</v>
      </c>
      <c r="Q1921" s="618" t="s">
        <v>2299</v>
      </c>
      <c r="R1921" s="596"/>
      <c r="S1921" s="890" t="s">
        <v>2519</v>
      </c>
      <c r="T1921" s="890" t="s">
        <v>97</v>
      </c>
      <c r="U1921" s="891" t="s">
        <v>2521</v>
      </c>
      <c r="V1921" s="892" t="s">
        <v>2520</v>
      </c>
      <c r="W1921" s="893" t="s">
        <v>2524</v>
      </c>
      <c r="X1921" s="892" t="s">
        <v>2522</v>
      </c>
      <c r="Y1921" s="894" t="s">
        <v>2523</v>
      </c>
      <c r="Z1921" s="106"/>
      <c r="AC1921" s="498" t="s">
        <v>2568</v>
      </c>
      <c r="AD1921" s="499" t="s">
        <v>2569</v>
      </c>
      <c r="AF1921" s="122"/>
      <c r="AI1921" s="40"/>
      <c r="BO1921" s="86"/>
    </row>
    <row r="1922" spans="1:67" ht="15" customHeight="1" thickBot="1" x14ac:dyDescent="0.3">
      <c r="A1922" s="520">
        <f>IFERROR(VLOOKUP($G$5,'רשימת רשויות'!A:C,3,0),0)</f>
        <v>0</v>
      </c>
      <c r="B1922" s="520">
        <f t="shared" si="274"/>
        <v>0</v>
      </c>
      <c r="D1922" s="1134"/>
      <c r="E1922" s="1137"/>
      <c r="F1922" s="589" t="s">
        <v>76</v>
      </c>
      <c r="G1922" s="117">
        <f>IF(G1913="תקין",SUMIF('עלויות כח אדם (6)'!$B$15:$B$3014,'בית ספר - תקצוב לפי מוסד (9)'!$G1908,'עלויות כח אדם (6)'!$M$15:$M$3014)-VLOOKUP('בית ספר - תקצוב לפי מוסד (9)'!G1908,' איוש משרות (8)'!$C:$H,5,0)-VLOOKUP('בית ספר - תקצוב לפי מוסד (9)'!G1908,' איוש משרות (8)'!$C:$H,6,0),0)-Y1922</f>
        <v>0</v>
      </c>
      <c r="H1922" s="118">
        <f>I1910+R1917</f>
        <v>0</v>
      </c>
      <c r="I1922" s="119">
        <f>IFERROR(SUM(G1922)/H1922,0)</f>
        <v>0</v>
      </c>
      <c r="J1922" s="100">
        <f>MIN(I1910+R1917,IF(ISNUMBER(G1922),G1922,0))</f>
        <v>0</v>
      </c>
      <c r="K1922" s="120">
        <f>MAX(H1922-G1922,0)</f>
        <v>0</v>
      </c>
      <c r="L1922" s="407"/>
      <c r="M1922" s="393"/>
      <c r="N1922" s="393"/>
      <c r="O1922" s="580"/>
      <c r="P1922" s="1010">
        <f>IFERROR(IF(SUM(G1922)/(I1910)&lt;100%,MIN((I1910)-SUM(G1922),(I1910)*0.25),0),0)</f>
        <v>0</v>
      </c>
      <c r="Q1922" s="1010">
        <f>IF(SUM(G1922)-(I1910+R1917)&gt;0,SUM(G1922)-(I1910+R1917),0)</f>
        <v>0</v>
      </c>
      <c r="R1922" s="596" t="s">
        <v>2351</v>
      </c>
      <c r="S1922" s="576" t="s">
        <v>2342</v>
      </c>
      <c r="T1922" s="599">
        <f>G1908</f>
        <v>0</v>
      </c>
      <c r="U1922" s="578"/>
      <c r="V1922" s="579">
        <f>G1922+G1923+G1924</f>
        <v>0</v>
      </c>
      <c r="W1922" s="579">
        <f>U1922-V1922</f>
        <v>0</v>
      </c>
      <c r="X1922" s="579">
        <f>IFERROR(W1936*W1922/(SUM(W1922:W1935)),0)</f>
        <v>0</v>
      </c>
      <c r="Y1922" s="879">
        <f>SUMIFS(בקרה!$S:$S,בקרה!$D:$D,T1922,בקרה!$K:$K,S1922)</f>
        <v>0</v>
      </c>
      <c r="Z1922" s="121"/>
      <c r="AA1922" s="143"/>
      <c r="AB1922" s="143"/>
      <c r="AC1922" s="504">
        <v>0</v>
      </c>
      <c r="AD1922" s="505">
        <f>IFERROR(U1922-AC1922,0)</f>
        <v>0</v>
      </c>
      <c r="AE1922" s="143"/>
      <c r="AI1922" s="20"/>
      <c r="BO1922" s="86"/>
    </row>
    <row r="1923" spans="1:67" ht="15" customHeight="1" thickBot="1" x14ac:dyDescent="0.3">
      <c r="A1923" s="520">
        <f>IFERROR(VLOOKUP($G$5,'רשימת רשויות'!A:C,3,0),0)</f>
        <v>0</v>
      </c>
      <c r="B1923" s="520">
        <f t="shared" si="274"/>
        <v>0</v>
      </c>
      <c r="D1923" s="1134"/>
      <c r="E1923" s="1137"/>
      <c r="F1923" s="589" t="s">
        <v>44</v>
      </c>
      <c r="G1923" s="123">
        <f>IF(G1913="תקין",IFERROR(VLOOKUP('בית ספר - תקצוב לפי מוסד (9)'!G1908,' איוש משרות (8)'!C:J,7,0),0),0)</f>
        <v>0</v>
      </c>
      <c r="H1923" s="124">
        <f>I1912+R1919+J1912</f>
        <v>0</v>
      </c>
      <c r="I1923" s="119">
        <f>IFERROR(SUM(G1923:G1924)/H1923,0)</f>
        <v>0</v>
      </c>
      <c r="J1923" s="100">
        <f>MIN(R1919+I1912,IF(ISNUMBER(SUM(G1923:G1924)),SUM(G1923:G1924),0))</f>
        <v>0</v>
      </c>
      <c r="K1923" s="1139">
        <f>MAX((H1923)-(G1923+G1924),0)</f>
        <v>0</v>
      </c>
      <c r="L1923" s="407"/>
      <c r="M1923" s="393"/>
      <c r="N1923" s="393"/>
      <c r="O1923" s="580"/>
      <c r="P1923" s="1140"/>
      <c r="Q1923" s="1140"/>
      <c r="R1923" s="617">
        <f>MAX(MIN(P1931-Q1931,H1931*0.15-G1929),0)</f>
        <v>0</v>
      </c>
      <c r="S1923" s="576"/>
      <c r="T1923" s="599">
        <f>G1908</f>
        <v>0</v>
      </c>
      <c r="U1923" s="578"/>
      <c r="V1923" s="579"/>
      <c r="W1923" s="579">
        <f t="shared" ref="W1923:W1935" si="275">U1923-V1923</f>
        <v>0</v>
      </c>
      <c r="X1923" s="579"/>
      <c r="Y1923" s="879"/>
      <c r="Z1923" s="121"/>
      <c r="AA1923" s="143"/>
      <c r="AB1923" s="143"/>
      <c r="AC1923" s="504"/>
      <c r="AD1923" s="505">
        <f t="shared" ref="AD1923:AD1929" si="276">IFERROR(U1923-AC1923,0)</f>
        <v>0</v>
      </c>
      <c r="AE1923" s="143"/>
      <c r="AI1923" s="20"/>
      <c r="BO1923" s="86"/>
    </row>
    <row r="1924" spans="1:67" ht="15.75" customHeight="1" x14ac:dyDescent="0.25">
      <c r="A1924" s="520">
        <f>IFERROR(VLOOKUP($G$5,'רשימת רשויות'!A:C,3,0),0)</f>
        <v>0</v>
      </c>
      <c r="B1924" s="520">
        <f t="shared" si="274"/>
        <v>0</v>
      </c>
      <c r="D1924" s="1134"/>
      <c r="E1924" s="1137"/>
      <c r="F1924" s="589" t="s">
        <v>45</v>
      </c>
      <c r="G1924" s="123">
        <f>IF(G1913="תקין",IFERROR(VLOOKUP('בית ספר - תקצוב לפי מוסד (9)'!G1908,' איוש משרות (8)'!C:J,8,0),0),0)</f>
        <v>0</v>
      </c>
      <c r="H1924" s="125"/>
      <c r="I1924" s="126"/>
      <c r="J1924" s="104"/>
      <c r="K1924" s="1139"/>
      <c r="L1924" s="407"/>
      <c r="M1924" s="393"/>
      <c r="N1924" s="393"/>
      <c r="O1924" s="580"/>
      <c r="P1924" s="1140"/>
      <c r="Q1924" s="1140"/>
      <c r="R1924" s="596"/>
      <c r="S1924" s="576"/>
      <c r="T1924" s="599">
        <f>G1908</f>
        <v>0</v>
      </c>
      <c r="U1924" s="578"/>
      <c r="V1924" s="579"/>
      <c r="W1924" s="579">
        <f t="shared" si="275"/>
        <v>0</v>
      </c>
      <c r="X1924" s="579"/>
      <c r="Y1924" s="879"/>
      <c r="Z1924" s="121"/>
      <c r="AA1924" s="143"/>
      <c r="AB1924" s="143"/>
      <c r="AC1924" s="504"/>
      <c r="AD1924" s="505">
        <f t="shared" si="276"/>
        <v>0</v>
      </c>
      <c r="AE1924" s="143"/>
      <c r="AG1924" s="55"/>
      <c r="AH1924" s="55"/>
      <c r="AI1924" s="55"/>
      <c r="AJ1924" s="55"/>
      <c r="AK1924" s="55"/>
      <c r="BO1924" s="86"/>
    </row>
    <row r="1925" spans="1:67" ht="15.75" customHeight="1" x14ac:dyDescent="0.25">
      <c r="A1925" s="520">
        <f>IFERROR(VLOOKUP($G$5,'רשימת רשויות'!A:C,3,0),0)</f>
        <v>0</v>
      </c>
      <c r="B1925" s="520">
        <f t="shared" si="274"/>
        <v>0</v>
      </c>
      <c r="D1925" s="1134"/>
      <c r="E1925" s="1137"/>
      <c r="F1925" s="589" t="s">
        <v>0</v>
      </c>
      <c r="G1925" s="117">
        <f>IF(G1913="תקין",SUMIFS('דוח הוצאות בפועל (4)'!$E$17:$E$3016,'דוח הוצאות בפועל (4)'!$B$17:$B$3016,'בית ספר - תקצוב לפי מוסד (9)'!$G1908,'דוח הוצאות בפועל (4)'!$M$17:$M$3016,"הע"),0)-Y1925</f>
        <v>0</v>
      </c>
      <c r="H1925" s="127">
        <f>J1910</f>
        <v>0</v>
      </c>
      <c r="I1925" s="128">
        <f>IFERROR(G1925/H1925,0)</f>
        <v>0</v>
      </c>
      <c r="J1925" s="129">
        <f>MIN(IF(ISNUMBER(G1925),G1925,0),H1925)</f>
        <v>0</v>
      </c>
      <c r="K1925" s="120">
        <f>MAX(H1925-G1925,0)</f>
        <v>0</v>
      </c>
      <c r="L1925" s="407"/>
      <c r="M1925" s="393"/>
      <c r="N1925" s="393"/>
      <c r="O1925" s="580"/>
      <c r="P1925" s="1010">
        <f>MAX(IF(I1925&lt;100%,MIN((H1925-G1925),H1925*0.25),0),0)</f>
        <v>0</v>
      </c>
      <c r="Q1925" s="619">
        <f>IF(G1925-H1925&gt;0,G1925-H1925,0)</f>
        <v>0</v>
      </c>
      <c r="R1925" s="596"/>
      <c r="S1925" s="610" t="s">
        <v>0</v>
      </c>
      <c r="T1925" s="599">
        <f>G1908</f>
        <v>0</v>
      </c>
      <c r="U1925" s="578"/>
      <c r="V1925" s="579">
        <f>G1925</f>
        <v>0</v>
      </c>
      <c r="W1925" s="579">
        <f t="shared" si="275"/>
        <v>0</v>
      </c>
      <c r="X1925" s="579">
        <f>IFERROR(W1936*W1925/(SUM(W1922:W1935)),0)</f>
        <v>0</v>
      </c>
      <c r="Y1925" s="879">
        <f>SUMIFS(בקרה!$S:$S,בקרה!$D:$D,T1925,בקרה!$K:$K,S1925)</f>
        <v>0</v>
      </c>
      <c r="Z1925" s="121"/>
      <c r="AA1925" s="143"/>
      <c r="AB1925" s="143"/>
      <c r="AC1925" s="504">
        <v>0</v>
      </c>
      <c r="AD1925" s="505">
        <f t="shared" si="276"/>
        <v>0</v>
      </c>
      <c r="AE1925" s="143"/>
      <c r="AG1925" s="55"/>
      <c r="AH1925" s="55"/>
      <c r="AI1925" s="40"/>
      <c r="AJ1925" s="55"/>
      <c r="AK1925" s="55"/>
      <c r="BO1925" s="86"/>
    </row>
    <row r="1926" spans="1:67" s="55" customFormat="1" ht="15.75" customHeight="1" x14ac:dyDescent="0.25">
      <c r="A1926" s="520">
        <f>IFERROR(VLOOKUP($G$5,'רשימת רשויות'!A:C,3,0),0)</f>
        <v>0</v>
      </c>
      <c r="B1926" s="520">
        <f t="shared" si="274"/>
        <v>0</v>
      </c>
      <c r="C1926" s="39"/>
      <c r="D1926" s="1134"/>
      <c r="E1926" s="1137"/>
      <c r="F1926" s="589" t="s">
        <v>93</v>
      </c>
      <c r="G1926" s="130">
        <f>IF(G1913="תקין",SUMIFS('דוח הוצאות בפועל (4)'!$E$17:$E$3016,'דוח הוצאות בפועל (4)'!$B$17:$B$3016,'בית ספר - תקצוב לפי מוסד (9)'!$G1908,'דוח הוצאות בפועל (4)'!$M$17:$M$3016,"אר"),0)-Y1926</f>
        <v>0</v>
      </c>
      <c r="H1926" s="118">
        <f>$I1916</f>
        <v>0</v>
      </c>
      <c r="I1926" s="131">
        <f>IFERROR((G1926+G1927)/H1926,0)</f>
        <v>0</v>
      </c>
      <c r="J1926" s="100">
        <f>MIN((IF(ISNUMBER(G1926),G1926,0)+IF(ISNUMBER(G1927),G1927,0)),H1926)</f>
        <v>0</v>
      </c>
      <c r="K1926" s="1139">
        <f>MAX((H1926)-(G1926+G1927),0)</f>
        <v>0</v>
      </c>
      <c r="L1926" s="407"/>
      <c r="M1926" s="393"/>
      <c r="N1926" s="393"/>
      <c r="O1926" s="602"/>
      <c r="P1926" s="1141"/>
      <c r="Q1926" s="1142"/>
      <c r="R1926" s="596"/>
      <c r="S1926" s="610" t="s">
        <v>93</v>
      </c>
      <c r="T1926" s="599">
        <f>G1908</f>
        <v>0</v>
      </c>
      <c r="U1926" s="578"/>
      <c r="V1926" s="579">
        <f t="shared" ref="V1926:V1927" si="277">G1926</f>
        <v>0</v>
      </c>
      <c r="W1926" s="579">
        <f t="shared" si="275"/>
        <v>0</v>
      </c>
      <c r="X1926" s="579">
        <f>IFERROR(W1936*W1926/(SUM(W1922:W1935)),0)</f>
        <v>0</v>
      </c>
      <c r="Y1926" s="879">
        <f>SUMIFS(בקרה!$S:$S,בקרה!$D:$D,T1926,בקרה!$K:$K,S1926)</f>
        <v>0</v>
      </c>
      <c r="Z1926" s="121"/>
      <c r="AA1926" s="143"/>
      <c r="AB1926" s="143"/>
      <c r="AC1926" s="504">
        <v>0</v>
      </c>
      <c r="AD1926" s="505">
        <f t="shared" si="276"/>
        <v>0</v>
      </c>
      <c r="AE1926" s="143"/>
      <c r="AJ1926" s="22"/>
      <c r="AO1926" s="22"/>
      <c r="AP1926" s="22"/>
      <c r="AQ1926" s="22"/>
      <c r="AR1926" s="22"/>
      <c r="AS1926" s="22"/>
      <c r="AT1926" s="22"/>
      <c r="AU1926" s="35"/>
      <c r="AV1926" s="35"/>
      <c r="AW1926" s="35"/>
      <c r="AX1926" s="35"/>
      <c r="AY1926" s="35"/>
      <c r="AZ1926" s="35"/>
      <c r="BA1926" s="35"/>
      <c r="BB1926" s="35"/>
      <c r="BC1926" s="35"/>
      <c r="BD1926" s="35"/>
      <c r="BE1926" s="35"/>
      <c r="BF1926" s="35"/>
      <c r="BG1926" s="35"/>
      <c r="BH1926" s="35"/>
      <c r="BI1926" s="35"/>
      <c r="BJ1926" s="35"/>
      <c r="BK1926" s="35"/>
      <c r="BL1926" s="35"/>
      <c r="BM1926" s="35"/>
      <c r="BN1926" s="35"/>
      <c r="BO1926" s="86"/>
    </row>
    <row r="1927" spans="1:67" s="55" customFormat="1" ht="15.75" customHeight="1" x14ac:dyDescent="0.25">
      <c r="A1927" s="520">
        <f>IFERROR(VLOOKUP($G$5,'רשימת רשויות'!A:C,3,0),0)</f>
        <v>0</v>
      </c>
      <c r="B1927" s="520">
        <f t="shared" si="274"/>
        <v>0</v>
      </c>
      <c r="C1927" s="39"/>
      <c r="D1927" s="1134"/>
      <c r="E1927" s="1137"/>
      <c r="F1927" s="589" t="s">
        <v>46</v>
      </c>
      <c r="G1927" s="130">
        <f>IF(G1913="תקין",SUMIFS('דוח הוצאות בפועל (4)'!$E$17:$E$3016,'דוח הוצאות בפועל (4)'!$B$17:$B$3016,'בית ספר - תקצוב לפי מוסד (9)'!$G1908,'דוח הוצאות בפועל (4)'!$M$17:$M$3016,"מל"),0)-Y1927</f>
        <v>0</v>
      </c>
      <c r="H1927" s="132"/>
      <c r="I1927" s="133"/>
      <c r="J1927" s="104"/>
      <c r="K1927" s="1139"/>
      <c r="L1927" s="407"/>
      <c r="M1927" s="393"/>
      <c r="N1927" s="393"/>
      <c r="O1927" s="602"/>
      <c r="P1927" s="1141"/>
      <c r="Q1927" s="1142"/>
      <c r="R1927" s="596"/>
      <c r="S1927" s="610" t="s">
        <v>46</v>
      </c>
      <c r="T1927" s="599">
        <f>G1908</f>
        <v>0</v>
      </c>
      <c r="U1927" s="578"/>
      <c r="V1927" s="579">
        <f t="shared" si="277"/>
        <v>0</v>
      </c>
      <c r="W1927" s="579">
        <f t="shared" si="275"/>
        <v>0</v>
      </c>
      <c r="X1927" s="579">
        <f>IFERROR(W1936*W1927/(SUM(W1922:W1935)),0)</f>
        <v>0</v>
      </c>
      <c r="Y1927" s="879">
        <f>SUMIFS(בקרה!$S:$S,בקרה!$D:$D,T1927,בקרה!$K:$K,S1927)</f>
        <v>0</v>
      </c>
      <c r="Z1927" s="121"/>
      <c r="AA1927" s="143"/>
      <c r="AB1927" s="143"/>
      <c r="AC1927" s="504">
        <v>0</v>
      </c>
      <c r="AD1927" s="505">
        <f t="shared" si="276"/>
        <v>0</v>
      </c>
      <c r="AE1927" s="143"/>
      <c r="AJ1927" s="22"/>
      <c r="AO1927" s="22"/>
      <c r="AP1927" s="22"/>
      <c r="AQ1927" s="22"/>
      <c r="AR1927" s="22"/>
      <c r="AS1927" s="22"/>
      <c r="AT1927" s="22"/>
      <c r="AU1927" s="35"/>
      <c r="AV1927" s="35"/>
      <c r="AW1927" s="35"/>
      <c r="AX1927" s="35"/>
      <c r="AY1927" s="35"/>
      <c r="AZ1927" s="35"/>
      <c r="BA1927" s="35"/>
      <c r="BB1927" s="35"/>
      <c r="BC1927" s="35"/>
      <c r="BD1927" s="35"/>
      <c r="BE1927" s="35"/>
      <c r="BF1927" s="35"/>
      <c r="BG1927" s="35"/>
      <c r="BH1927" s="35"/>
      <c r="BI1927" s="35"/>
      <c r="BJ1927" s="35"/>
      <c r="BK1927" s="35"/>
      <c r="BL1927" s="35"/>
      <c r="BM1927" s="35"/>
      <c r="BN1927" s="35"/>
      <c r="BO1927" s="86"/>
    </row>
    <row r="1928" spans="1:67" s="55" customFormat="1" ht="15" customHeight="1" x14ac:dyDescent="0.25">
      <c r="A1928" s="520">
        <f>IFERROR(VLOOKUP($G$5,'רשימת רשויות'!A:C,3,0),0)</f>
        <v>0</v>
      </c>
      <c r="B1928" s="520">
        <f t="shared" si="274"/>
        <v>0</v>
      </c>
      <c r="C1928" s="39"/>
      <c r="D1928" s="1134"/>
      <c r="E1928" s="1137"/>
      <c r="F1928" s="591" t="s">
        <v>23</v>
      </c>
      <c r="G1928" s="134">
        <f>SUM(G1922:G1927)</f>
        <v>0</v>
      </c>
      <c r="H1928" s="135">
        <f>SUM(H1922:H1927)</f>
        <v>0</v>
      </c>
      <c r="I1928" s="128">
        <f>IFERROR(G1928/H1928,0)</f>
        <v>0</v>
      </c>
      <c r="J1928" s="136">
        <f>SUM(J1922:J1927)</f>
        <v>0</v>
      </c>
      <c r="K1928" s="137">
        <f>SUM(K1922:K1927)</f>
        <v>0</v>
      </c>
      <c r="L1928" s="408"/>
      <c r="M1928" s="394"/>
      <c r="N1928" s="394"/>
      <c r="O1928" s="602"/>
      <c r="P1928" s="620">
        <f>SUM(P1922:P1927)</f>
        <v>0</v>
      </c>
      <c r="Q1928" s="620">
        <f>SUM(Q1922:Q1927)</f>
        <v>0</v>
      </c>
      <c r="R1928" s="596"/>
      <c r="S1928" s="610"/>
      <c r="T1928" s="599">
        <f>G1908</f>
        <v>0</v>
      </c>
      <c r="U1928" s="578"/>
      <c r="V1928" s="579"/>
      <c r="W1928" s="579">
        <f t="shared" si="275"/>
        <v>0</v>
      </c>
      <c r="X1928" s="579"/>
      <c r="Y1928" s="879"/>
      <c r="Z1928" s="121"/>
      <c r="AA1928" s="143"/>
      <c r="AB1928" s="143"/>
      <c r="AC1928" s="504"/>
      <c r="AD1928" s="505">
        <f t="shared" si="276"/>
        <v>0</v>
      </c>
      <c r="AE1928" s="143"/>
      <c r="AJ1928" s="22"/>
      <c r="AL1928" s="22"/>
      <c r="AM1928" s="22"/>
      <c r="AN1928" s="22"/>
      <c r="AO1928" s="22"/>
      <c r="AP1928" s="22"/>
      <c r="AQ1928" s="22"/>
      <c r="AR1928" s="22"/>
      <c r="AS1928" s="22"/>
      <c r="AT1928" s="22"/>
      <c r="AU1928" s="35"/>
      <c r="AV1928" s="35"/>
      <c r="AW1928" s="35"/>
      <c r="AX1928" s="35"/>
      <c r="AY1928" s="35"/>
      <c r="AZ1928" s="35"/>
      <c r="BA1928" s="35"/>
      <c r="BB1928" s="35"/>
      <c r="BC1928" s="35"/>
      <c r="BD1928" s="35"/>
      <c r="BE1928" s="35"/>
      <c r="BF1928" s="35"/>
      <c r="BG1928" s="35"/>
      <c r="BH1928" s="35"/>
      <c r="BI1928" s="35"/>
      <c r="BJ1928" s="35"/>
      <c r="BK1928" s="35"/>
      <c r="BL1928" s="35"/>
      <c r="BM1928" s="35"/>
      <c r="BN1928" s="35"/>
      <c r="BO1928" s="86"/>
    </row>
    <row r="1929" spans="1:67" s="55" customFormat="1" ht="15" customHeight="1" x14ac:dyDescent="0.25">
      <c r="A1929" s="520">
        <f>IFERROR(VLOOKUP($G$5,'רשימת רשויות'!A:C,3,0),0)</f>
        <v>0</v>
      </c>
      <c r="B1929" s="520">
        <f t="shared" si="274"/>
        <v>0</v>
      </c>
      <c r="C1929" s="39"/>
      <c r="D1929" s="1134"/>
      <c r="E1929" s="1137"/>
      <c r="F1929" s="589" t="s">
        <v>3</v>
      </c>
      <c r="G1929" s="117">
        <f>IF(G1913="תקין",SUMIFS('דוח הוצאות בפועל (4)'!$E$17:$E$3016,'דוח הוצאות בפועל (4)'!$B$17:$B$3016,'בית ספר - תקצוב לפי מוסד (9)'!$G1908,'דוח הוצאות בפועל (4)'!$M$17:$M$3016,"ני")+SUMIFS('דוח הוצאות בפועל (4)'!$E$17:$E$3016,'דוח הוצאות בפועל (4)'!$B$17:$B$3016,'בית ספר - תקצוב לפי מוסד (9)'!$G1908,'דוח הוצאות בפועל (4)'!$M$17:$M$3016,"על"),0)-Y1929</f>
        <v>0</v>
      </c>
      <c r="H1929" s="117">
        <f>H1910</f>
        <v>0</v>
      </c>
      <c r="I1929" s="138">
        <f>IFERROR(G1929/H1929,0)</f>
        <v>0</v>
      </c>
      <c r="J1929" s="117">
        <f>IFERROR(IF(G1929/H1931&gt;0.15,MIN(H1931*0.15,H1929),MIN(H1929,IF(ISNUMBER(G1929),G1929,0))),0)</f>
        <v>0</v>
      </c>
      <c r="K1929" s="120">
        <f>MAX(H1929-G1929,0)</f>
        <v>0</v>
      </c>
      <c r="L1929" s="407"/>
      <c r="M1929" s="393"/>
      <c r="N1929" s="393"/>
      <c r="O1929" s="602"/>
      <c r="P1929" s="620">
        <f>IF(I1929&lt;100%,MIN(H1929-G1929,H1929*0.25),0)</f>
        <v>0</v>
      </c>
      <c r="Q1929" s="620">
        <f>MAX(MIN(IF(G1929-H1929&gt;0,G1929-H1929,0),$H1931*0.15-H1929-J1930),0)</f>
        <v>0</v>
      </c>
      <c r="R1929" s="596"/>
      <c r="S1929" s="610" t="s">
        <v>3</v>
      </c>
      <c r="T1929" s="599">
        <f>G1908</f>
        <v>0</v>
      </c>
      <c r="U1929" s="578"/>
      <c r="V1929" s="579">
        <f t="shared" ref="V1929" si="278">G1929</f>
        <v>0</v>
      </c>
      <c r="W1929" s="579">
        <f t="shared" si="275"/>
        <v>0</v>
      </c>
      <c r="X1929" s="579"/>
      <c r="Y1929" s="879"/>
      <c r="Z1929" s="121"/>
      <c r="AA1929" s="143"/>
      <c r="AB1929" s="143"/>
      <c r="AC1929" s="504">
        <v>0</v>
      </c>
      <c r="AD1929" s="505">
        <f t="shared" si="276"/>
        <v>0</v>
      </c>
      <c r="AE1929" s="143"/>
      <c r="AG1929" s="22"/>
      <c r="AH1929" s="22"/>
      <c r="AI1929" s="22"/>
      <c r="AJ1929" s="22"/>
      <c r="AK1929" s="22"/>
      <c r="AL1929" s="22"/>
      <c r="AM1929" s="22"/>
      <c r="AN1929" s="22"/>
      <c r="AO1929" s="22"/>
      <c r="AP1929" s="22"/>
      <c r="AQ1929" s="22"/>
      <c r="AR1929" s="22"/>
      <c r="AS1929" s="22"/>
      <c r="AT1929" s="22"/>
      <c r="AU1929" s="35"/>
      <c r="AV1929" s="35"/>
      <c r="AW1929" s="35"/>
      <c r="AX1929" s="35"/>
      <c r="AY1929" s="35"/>
      <c r="AZ1929" s="35"/>
      <c r="BA1929" s="35"/>
      <c r="BB1929" s="35"/>
      <c r="BC1929" s="35"/>
      <c r="BD1929" s="35"/>
      <c r="BE1929" s="35"/>
      <c r="BF1929" s="35"/>
      <c r="BG1929" s="35"/>
      <c r="BH1929" s="35"/>
      <c r="BI1929" s="35"/>
      <c r="BJ1929" s="35"/>
      <c r="BK1929" s="35"/>
      <c r="BL1929" s="35"/>
      <c r="BM1929" s="35"/>
      <c r="BN1929" s="35"/>
      <c r="BO1929" s="86"/>
    </row>
    <row r="1930" spans="1:67" s="55" customFormat="1" ht="15.75" customHeight="1" x14ac:dyDescent="0.25">
      <c r="A1930" s="520">
        <f>IFERROR(VLOOKUP($G$5,'רשימת רשויות'!A:C,3,0),0)</f>
        <v>0</v>
      </c>
      <c r="B1930" s="520">
        <f t="shared" si="274"/>
        <v>0</v>
      </c>
      <c r="C1930" s="39"/>
      <c r="D1930" s="1134"/>
      <c r="E1930" s="1137"/>
      <c r="F1930" s="589" t="s">
        <v>2918</v>
      </c>
      <c r="G1930" s="117">
        <f>0.07*(G1924+G1923)</f>
        <v>0</v>
      </c>
      <c r="H1930" s="117">
        <f>H1912</f>
        <v>0</v>
      </c>
      <c r="I1930" s="138">
        <f>IFERROR(G1930/H1930,0)</f>
        <v>0</v>
      </c>
      <c r="J1930" s="117">
        <f>IFERROR(MIN(0.07*(G1923+G1924),0.07*I1912),0)</f>
        <v>0</v>
      </c>
      <c r="K1930" s="120">
        <f>MAX(H1930-G1930,0)</f>
        <v>0</v>
      </c>
      <c r="L1930" s="407"/>
      <c r="M1930" s="393"/>
      <c r="N1930" s="393"/>
      <c r="O1930" s="602"/>
      <c r="P1930" s="620"/>
      <c r="Q1930" s="619"/>
      <c r="R1930" s="596"/>
      <c r="S1930" s="611"/>
      <c r="T1930" s="599">
        <f>G1908</f>
        <v>0</v>
      </c>
      <c r="U1930" s="578"/>
      <c r="V1930" s="579"/>
      <c r="W1930" s="579">
        <f t="shared" si="275"/>
        <v>0</v>
      </c>
      <c r="X1930" s="579"/>
      <c r="Y1930" s="879"/>
      <c r="Z1930" s="121"/>
      <c r="AA1930" s="143"/>
      <c r="AB1930" s="143"/>
      <c r="AC1930" s="504"/>
      <c r="AD1930" s="505"/>
      <c r="AE1930" s="143"/>
      <c r="AF1930" s="140"/>
      <c r="AG1930" s="22"/>
      <c r="AH1930" s="22"/>
      <c r="AI1930" s="22"/>
      <c r="AJ1930" s="22"/>
      <c r="AK1930" s="22"/>
      <c r="AL1930" s="22"/>
      <c r="AM1930" s="22"/>
      <c r="AN1930" s="22"/>
      <c r="AO1930" s="22"/>
      <c r="AP1930" s="22"/>
      <c r="AQ1930" s="22"/>
      <c r="AR1930" s="22"/>
      <c r="AS1930" s="22"/>
      <c r="AT1930" s="22"/>
      <c r="AU1930" s="35"/>
      <c r="AV1930" s="35"/>
      <c r="AW1930" s="35"/>
      <c r="AX1930" s="35"/>
      <c r="AY1930" s="35"/>
      <c r="AZ1930" s="35"/>
      <c r="BA1930" s="35"/>
      <c r="BB1930" s="35"/>
      <c r="BC1930" s="35"/>
      <c r="BD1930" s="35"/>
      <c r="BE1930" s="35"/>
      <c r="BF1930" s="35"/>
      <c r="BG1930" s="35"/>
      <c r="BH1930" s="35"/>
      <c r="BI1930" s="35"/>
      <c r="BJ1930" s="35"/>
      <c r="BK1930" s="35"/>
      <c r="BL1930" s="35"/>
      <c r="BM1930" s="35"/>
      <c r="BN1930" s="35"/>
      <c r="BO1930" s="86"/>
    </row>
    <row r="1931" spans="1:67" ht="15.75" customHeight="1" x14ac:dyDescent="0.25">
      <c r="A1931" s="520">
        <f>IFERROR(VLOOKUP($G$5,'רשימת רשויות'!A:C,3,0),0)</f>
        <v>0</v>
      </c>
      <c r="B1931" s="520">
        <f t="shared" si="274"/>
        <v>0</v>
      </c>
      <c r="D1931" s="1134"/>
      <c r="E1931" s="1137"/>
      <c r="F1931" s="591" t="s">
        <v>15</v>
      </c>
      <c r="G1931" s="134">
        <f>G1928+G1929+G1930</f>
        <v>0</v>
      </c>
      <c r="H1931" s="134">
        <f>H1928+H1929+H1930</f>
        <v>0</v>
      </c>
      <c r="I1931" s="138">
        <f>IFERROR(G1931/H1931,0)</f>
        <v>0</v>
      </c>
      <c r="J1931" s="139">
        <f>J1928+J1929+J1930</f>
        <v>0</v>
      </c>
      <c r="K1931" s="137">
        <f>K1929+K1928+K1930</f>
        <v>0</v>
      </c>
      <c r="L1931" s="408"/>
      <c r="M1931" s="394"/>
      <c r="N1931" s="394"/>
      <c r="O1931" s="602"/>
      <c r="P1931" s="621">
        <f>SUM(P1928:P1929)</f>
        <v>0</v>
      </c>
      <c r="Q1931" s="622">
        <f>Q1928+Q1929</f>
        <v>0</v>
      </c>
      <c r="R1931" s="596"/>
      <c r="S1931" s="611"/>
      <c r="T1931" s="599">
        <f>G1908</f>
        <v>0</v>
      </c>
      <c r="U1931" s="578"/>
      <c r="V1931" s="579"/>
      <c r="W1931" s="579">
        <f t="shared" si="275"/>
        <v>0</v>
      </c>
      <c r="X1931" s="579"/>
      <c r="Y1931" s="879"/>
      <c r="Z1931" s="106"/>
      <c r="AC1931" s="504"/>
      <c r="AD1931" s="505"/>
      <c r="AH1931" s="143"/>
      <c r="BO1931" s="86"/>
    </row>
    <row r="1932" spans="1:67" ht="15.75" customHeight="1" x14ac:dyDescent="0.25">
      <c r="A1932" s="520">
        <f>IFERROR(VLOOKUP($G$5,'רשימת רשויות'!A:C,3,0),0)</f>
        <v>0</v>
      </c>
      <c r="B1932" s="520">
        <f t="shared" si="274"/>
        <v>0</v>
      </c>
      <c r="D1932" s="1134"/>
      <c r="E1932" s="1137"/>
      <c r="F1932" s="589" t="s">
        <v>2261</v>
      </c>
      <c r="G1932" s="117">
        <f>IF(G1913="תקין",SUMIF('תשלומי הורים ומלגות להורים (5) '!$B$18:$B$517,$G1908,'תשלומי הורים ומלגות להורים (5) '!$C$18:$C$517),0)</f>
        <v>0</v>
      </c>
      <c r="H1932" s="117">
        <f>(G1911+G1912)*$G$7</f>
        <v>0</v>
      </c>
      <c r="I1932" s="141"/>
      <c r="J1932" s="141"/>
      <c r="K1932" s="142"/>
      <c r="L1932" s="395"/>
      <c r="M1932" s="395"/>
      <c r="N1932" s="395"/>
      <c r="O1932" s="602"/>
      <c r="P1932" s="623"/>
      <c r="Q1932" s="619"/>
      <c r="R1932" s="596"/>
      <c r="S1932" s="612"/>
      <c r="T1932" s="599">
        <f>G1908</f>
        <v>0</v>
      </c>
      <c r="U1932" s="578"/>
      <c r="V1932" s="579"/>
      <c r="W1932" s="579">
        <f t="shared" si="275"/>
        <v>0</v>
      </c>
      <c r="X1932" s="579"/>
      <c r="Y1932" s="879"/>
      <c r="Z1932" s="121"/>
      <c r="AA1932" s="143"/>
      <c r="AB1932" s="143"/>
      <c r="AC1932" s="504"/>
      <c r="AD1932" s="505"/>
      <c r="AE1932" s="143"/>
      <c r="AF1932" s="148"/>
      <c r="BO1932" s="86"/>
    </row>
    <row r="1933" spans="1:67" ht="15.75" customHeight="1" thickBot="1" x14ac:dyDescent="0.3">
      <c r="A1933" s="520">
        <f>IFERROR(VLOOKUP($G$5,'רשימת רשויות'!A:C,3,0),0)</f>
        <v>0</v>
      </c>
      <c r="B1933" s="520">
        <f t="shared" si="274"/>
        <v>0</v>
      </c>
      <c r="D1933" s="1134"/>
      <c r="E1933" s="1137"/>
      <c r="F1933" s="592" t="s">
        <v>21</v>
      </c>
      <c r="G1933" s="144">
        <f>G1931-G1932</f>
        <v>0</v>
      </c>
      <c r="H1933" s="144">
        <f>H1931-H1932</f>
        <v>0</v>
      </c>
      <c r="I1933" s="145"/>
      <c r="J1933" s="145"/>
      <c r="K1933" s="146"/>
      <c r="L1933" s="396"/>
      <c r="M1933" s="396"/>
      <c r="N1933" s="396"/>
      <c r="O1933" s="602"/>
      <c r="P1933" s="619"/>
      <c r="Q1933" s="619"/>
      <c r="R1933" s="596"/>
      <c r="S1933" s="612"/>
      <c r="T1933" s="599">
        <f>G1908</f>
        <v>0</v>
      </c>
      <c r="U1933" s="578"/>
      <c r="V1933" s="579"/>
      <c r="W1933" s="579">
        <f t="shared" si="275"/>
        <v>0</v>
      </c>
      <c r="X1933" s="579"/>
      <c r="Y1933" s="879"/>
      <c r="Z1933" s="147"/>
      <c r="AA1933" s="148"/>
      <c r="AB1933" s="148"/>
      <c r="AC1933" s="504"/>
      <c r="AD1933" s="505"/>
      <c r="AE1933" s="148"/>
      <c r="AF1933" s="148"/>
      <c r="BO1933" s="86"/>
    </row>
    <row r="1934" spans="1:67" ht="15.75" customHeight="1" thickBot="1" x14ac:dyDescent="0.3">
      <c r="A1934" s="520">
        <f>IFERROR(VLOOKUP($G$5,'רשימת רשויות'!A:C,3,0),0)</f>
        <v>0</v>
      </c>
      <c r="B1934" s="520">
        <f t="shared" si="274"/>
        <v>0</v>
      </c>
      <c r="D1934" s="1134"/>
      <c r="E1934" s="1137"/>
      <c r="F1934" s="580"/>
      <c r="G1934" s="580"/>
      <c r="H1934" s="147"/>
      <c r="I1934" s="149" t="s">
        <v>2197</v>
      </c>
      <c r="J1934" s="150">
        <f>MAX(MIN(P1931,Q1931),0)</f>
        <v>0</v>
      </c>
      <c r="K1934" s="580"/>
      <c r="L1934" s="580"/>
      <c r="M1934" s="580"/>
      <c r="N1934" s="580"/>
      <c r="O1934" s="580"/>
      <c r="P1934" s="615" t="s">
        <v>2317</v>
      </c>
      <c r="Q1934" s="624">
        <f>SUM(Q1935:Q1936)</f>
        <v>0</v>
      </c>
      <c r="R1934" s="596"/>
      <c r="S1934" s="612"/>
      <c r="T1934" s="599">
        <f>G1908</f>
        <v>0</v>
      </c>
      <c r="U1934" s="578"/>
      <c r="V1934" s="579"/>
      <c r="W1934" s="579">
        <f t="shared" si="275"/>
        <v>0</v>
      </c>
      <c r="X1934" s="579"/>
      <c r="Y1934" s="879"/>
      <c r="Z1934" s="106"/>
      <c r="AC1934" s="504"/>
      <c r="AD1934" s="505"/>
      <c r="AF1934" s="148"/>
      <c r="BO1934" s="86"/>
    </row>
    <row r="1935" spans="1:67" ht="16.5" thickBot="1" x14ac:dyDescent="0.3">
      <c r="A1935" s="520">
        <f>IFERROR(VLOOKUP($G$5,'רשימת רשויות'!A:C,3,0),0)</f>
        <v>0</v>
      </c>
      <c r="B1935" s="520">
        <f t="shared" si="274"/>
        <v>0</v>
      </c>
      <c r="D1935" s="1134"/>
      <c r="E1935" s="1137"/>
      <c r="F1935" s="580"/>
      <c r="G1935" s="580"/>
      <c r="H1935" s="580"/>
      <c r="I1935" s="84" t="s">
        <v>2193</v>
      </c>
      <c r="J1935" s="515" t="str">
        <f>IFERROR(1-H1932/H1931,"")</f>
        <v/>
      </c>
      <c r="K1935" s="580"/>
      <c r="L1935" s="580"/>
      <c r="M1935" s="580"/>
      <c r="N1935" s="580"/>
      <c r="O1935" s="580"/>
      <c r="P1935" s="615" t="s">
        <v>417</v>
      </c>
      <c r="Q1935" s="616">
        <f>IFERROR(MAX(H1933-I1936-Q1936,0),0)</f>
        <v>0</v>
      </c>
      <c r="R1935" s="596"/>
      <c r="S1935" s="600"/>
      <c r="T1935" s="599">
        <f>G1908</f>
        <v>0</v>
      </c>
      <c r="U1935" s="578"/>
      <c r="V1935" s="579"/>
      <c r="W1935" s="579">
        <f t="shared" si="275"/>
        <v>0</v>
      </c>
      <c r="X1935" s="579"/>
      <c r="Y1935" s="879"/>
      <c r="Z1935" s="106"/>
      <c r="AC1935" s="504"/>
      <c r="AD1935" s="505"/>
      <c r="BO1935" s="86"/>
    </row>
    <row r="1936" spans="1:67" ht="17.25" thickBot="1" x14ac:dyDescent="0.3">
      <c r="A1936" s="520">
        <f>IFERROR(VLOOKUP($G$5,'רשימת רשויות'!A:C,3,0),0)</f>
        <v>0</v>
      </c>
      <c r="B1936" s="520">
        <f t="shared" si="274"/>
        <v>0</v>
      </c>
      <c r="D1936" s="1134"/>
      <c r="E1936" s="1137"/>
      <c r="F1936" s="1143" t="s">
        <v>2679</v>
      </c>
      <c r="G1936" s="1143"/>
      <c r="H1936" s="1143"/>
      <c r="I1936" s="722">
        <f>IF(G1913="לא תקין","לא קיימת זכאות לתקציב לאור אי איוש משרות רכז ו/או סגן רכז ",IFERROR(J1935*(J1934+J1931),0))</f>
        <v>0</v>
      </c>
      <c r="J1936" s="573"/>
      <c r="K1936" s="574"/>
      <c r="L1936" s="396"/>
      <c r="M1936" s="574"/>
      <c r="N1936" s="574"/>
      <c r="O1936" s="574"/>
      <c r="P1936" s="615" t="s">
        <v>2279</v>
      </c>
      <c r="Q1936" s="616">
        <f>MAX(IF(AND(G1931&gt;H1931,I1936&lt;H1933),H1933-I1936,0),0)</f>
        <v>0</v>
      </c>
      <c r="R1936" s="575"/>
      <c r="S1936" s="576" t="s">
        <v>67</v>
      </c>
      <c r="T1936" s="577">
        <f>G1908</f>
        <v>0</v>
      </c>
      <c r="U1936" s="578"/>
      <c r="V1936" s="579">
        <f>I1936</f>
        <v>0</v>
      </c>
      <c r="W1936" s="579">
        <f>IFERROR(U1936-V1936,0)</f>
        <v>0</v>
      </c>
      <c r="X1936" s="579">
        <f>SUM(X1922:X1935)</f>
        <v>0</v>
      </c>
      <c r="Y1936" s="879"/>
      <c r="Z1936" s="106"/>
      <c r="AC1936" s="506">
        <v>0</v>
      </c>
      <c r="AD1936" s="507">
        <f>IFERROR(U1936-AC1936,0)</f>
        <v>0</v>
      </c>
      <c r="BO1936" s="86"/>
    </row>
    <row r="1937" spans="1:67" ht="16.5" thickBot="1" x14ac:dyDescent="0.3">
      <c r="A1937" s="520">
        <f>IFERROR(VLOOKUP($G$5,'רשימת רשויות'!A:C,3,0),0)</f>
        <v>0</v>
      </c>
      <c r="B1937" s="520">
        <f t="shared" si="274"/>
        <v>0</v>
      </c>
      <c r="D1937" s="1135"/>
      <c r="E1937" s="1138"/>
      <c r="F1937" s="1144" t="s">
        <v>2793</v>
      </c>
      <c r="G1937" s="1145"/>
      <c r="H1937" s="1145"/>
      <c r="I1937" s="593">
        <f>IFERROR(IF(G1913="תקין",SUMIFS('סייעות רפואיות או אישיות (7)'!$Q$17:Q$384,'סייעות רפואיות או אישיות (7)'!C$17:C$384,G1908),0),0)</f>
        <v>0</v>
      </c>
      <c r="J1937" s="151"/>
      <c r="K1937" s="152"/>
      <c r="L1937" s="409"/>
      <c r="M1937" s="152"/>
      <c r="N1937" s="152"/>
      <c r="O1937" s="152"/>
      <c r="P1937" s="613"/>
      <c r="Q1937" s="614"/>
      <c r="R1937" s="475"/>
      <c r="S1937" s="489"/>
      <c r="T1937" s="490"/>
      <c r="U1937" s="491"/>
      <c r="V1937" s="492"/>
      <c r="W1937" s="492"/>
      <c r="X1937" s="492"/>
      <c r="Y1937" s="880"/>
      <c r="Z1937" s="153"/>
      <c r="AC1937" s="581"/>
      <c r="AD1937" s="582"/>
      <c r="BO1937" s="86"/>
    </row>
    <row r="1938" spans="1:67" ht="34.5" thickBot="1" x14ac:dyDescent="0.55000000000000004">
      <c r="A1938" s="520">
        <f>IFERROR(VLOOKUP($G$5,'רשימת רשויות'!A:C,3,0),0)</f>
        <v>0</v>
      </c>
      <c r="B1938" s="520">
        <f t="shared" ref="B1938:B1997" si="279">IF(F1939="סמל המוסד",G1939,B1937)</f>
        <v>0</v>
      </c>
      <c r="E1938" s="154"/>
      <c r="I1938" s="143"/>
      <c r="J1938" s="148"/>
      <c r="O1938" s="148"/>
      <c r="T1938" s="481"/>
      <c r="BO1938" s="86"/>
    </row>
    <row r="1939" spans="1:67" s="20" customFormat="1" ht="16.5" customHeight="1" thickBot="1" x14ac:dyDescent="0.3">
      <c r="A1939" s="520">
        <f>IFERROR(VLOOKUP($G$5,'רשימת רשויות'!A:C,3,0),0)</f>
        <v>0</v>
      </c>
      <c r="B1939" s="520">
        <f t="shared" si="279"/>
        <v>0</v>
      </c>
      <c r="C1939" s="39"/>
      <c r="D1939" s="1133">
        <f>D1908+1</f>
        <v>63</v>
      </c>
      <c r="E1939" s="1136" t="str">
        <f>IFERROR(CONCATENATE("בית הספר ",VLOOKUP(G1939,'מצבת והרשמה (2)'!$C$21:$D$520,2,0)," - ",$G$5),"")</f>
        <v>בית הספר המוסד לא קיים - 0</v>
      </c>
      <c r="F1939" s="720" t="s">
        <v>146</v>
      </c>
      <c r="G1939" s="721">
        <f>IFERROR(VLOOKUP(D:D,'דוח ביצוע (3)'!$A$21:$C$900,2,0),0)</f>
        <v>0</v>
      </c>
      <c r="H1939" s="79"/>
      <c r="I1939" s="80" t="s">
        <v>150</v>
      </c>
      <c r="J1939" s="80"/>
      <c r="K1939" s="81"/>
      <c r="L1939" s="392"/>
      <c r="M1939" s="392"/>
      <c r="N1939" s="392"/>
      <c r="O1939" s="82"/>
      <c r="P1939" s="470"/>
      <c r="Q1939" s="471"/>
      <c r="R1939" s="472"/>
      <c r="S1939" s="883"/>
      <c r="T1939" s="884"/>
      <c r="U1939" s="486"/>
      <c r="V1939" s="487"/>
      <c r="W1939" s="487"/>
      <c r="X1939" s="487"/>
      <c r="Y1939" s="885"/>
      <c r="Z1939" s="83"/>
      <c r="AC1939" s="502"/>
      <c r="AD1939" s="503"/>
      <c r="AO1939" s="22"/>
      <c r="AP1939" s="22"/>
      <c r="AQ1939" s="22"/>
      <c r="AR1939" s="22"/>
      <c r="AS1939" s="22"/>
      <c r="AT1939" s="22"/>
      <c r="AU1939" s="35"/>
      <c r="AV1939" s="35"/>
      <c r="AW1939" s="35"/>
      <c r="AX1939" s="35"/>
      <c r="AY1939" s="35"/>
      <c r="AZ1939" s="35"/>
      <c r="BA1939" s="35"/>
      <c r="BB1939" s="35"/>
      <c r="BC1939" s="35"/>
      <c r="BD1939" s="35"/>
      <c r="BE1939" s="35"/>
      <c r="BF1939" s="35"/>
      <c r="BG1939" s="35"/>
      <c r="BH1939" s="35"/>
      <c r="BI1939" s="35"/>
      <c r="BJ1939" s="35"/>
      <c r="BK1939" s="35"/>
      <c r="BL1939" s="35"/>
      <c r="BM1939" s="35"/>
      <c r="BN1939" s="35"/>
      <c r="BO1939" s="78"/>
    </row>
    <row r="1940" spans="1:67" s="20" customFormat="1" ht="16.5" thickBot="1" x14ac:dyDescent="0.3">
      <c r="A1940" s="520">
        <f>IFERROR(VLOOKUP($G$5,'רשימת רשויות'!A:C,3,0),0)</f>
        <v>0</v>
      </c>
      <c r="B1940" s="520">
        <f t="shared" si="279"/>
        <v>0</v>
      </c>
      <c r="C1940" s="39"/>
      <c r="D1940" s="1134"/>
      <c r="E1940" s="1137"/>
      <c r="F1940" s="583" t="s">
        <v>145</v>
      </c>
      <c r="G1940" s="516" t="str">
        <f>IFERROR(IF((G1942+G1943)=0,"",IF(VLOOKUP(G1939,'דוח ביצוע (3)'!$B$21:$K$900,5,0)&gt;149,"גדול",IF(AND(VLOOKUP(G1939,'דוח ביצוע (3)'!$B$21:$K$900,5,0)&gt;0,VLOOKUP(G1939,'דוח ביצוע (3)'!$B$21:$K$900,5,0)&lt;150),"קטן",0))),"")</f>
        <v/>
      </c>
      <c r="H1940" s="723" t="s">
        <v>88</v>
      </c>
      <c r="I1940" s="723" t="s">
        <v>13</v>
      </c>
      <c r="J1940" s="725" t="s">
        <v>14</v>
      </c>
      <c r="K1940" s="724" t="s">
        <v>94</v>
      </c>
      <c r="L1940" s="594"/>
      <c r="M1940" s="420" t="s">
        <v>2584</v>
      </c>
      <c r="N1940" s="397" t="s">
        <v>413</v>
      </c>
      <c r="O1940" s="398" t="s">
        <v>52</v>
      </c>
      <c r="P1940" s="595"/>
      <c r="Q1940" s="595"/>
      <c r="R1940" s="596"/>
      <c r="S1940" s="610"/>
      <c r="T1940" s="881"/>
      <c r="U1940" s="598"/>
      <c r="V1940" s="599"/>
      <c r="W1940" s="599"/>
      <c r="X1940" s="599"/>
      <c r="Y1940" s="879"/>
      <c r="Z1940" s="85"/>
      <c r="AC1940" s="493"/>
      <c r="AD1940" s="495"/>
      <c r="AO1940" s="22"/>
      <c r="AP1940" s="22"/>
      <c r="AQ1940" s="22"/>
      <c r="AR1940" s="22"/>
      <c r="AS1940" s="22"/>
      <c r="AT1940" s="22"/>
      <c r="AU1940" s="35"/>
      <c r="AV1940" s="35"/>
      <c r="AW1940" s="35"/>
      <c r="AX1940" s="35"/>
      <c r="AY1940" s="35"/>
      <c r="AZ1940" s="35"/>
      <c r="BA1940" s="35"/>
      <c r="BB1940" s="35"/>
      <c r="BC1940" s="35"/>
      <c r="BD1940" s="35"/>
      <c r="BE1940" s="35"/>
      <c r="BF1940" s="35"/>
      <c r="BG1940" s="35"/>
      <c r="BH1940" s="35"/>
      <c r="BI1940" s="35"/>
      <c r="BJ1940" s="35"/>
      <c r="BK1940" s="35"/>
      <c r="BL1940" s="35"/>
      <c r="BM1940" s="35"/>
      <c r="BN1940" s="35"/>
      <c r="BO1940" s="78"/>
    </row>
    <row r="1941" spans="1:67" s="20" customFormat="1" ht="15.75" customHeight="1" thickBot="1" x14ac:dyDescent="0.3">
      <c r="A1941" s="520">
        <f>IFERROR(VLOOKUP($G$5,'רשימת רשויות'!A:C,3,0),0)</f>
        <v>0</v>
      </c>
      <c r="B1941" s="520">
        <f t="shared" si="279"/>
        <v>0</v>
      </c>
      <c r="C1941" s="39"/>
      <c r="D1941" s="1134"/>
      <c r="E1941" s="1137"/>
      <c r="F1941" s="584" t="s">
        <v>144</v>
      </c>
      <c r="G1941" s="87">
        <f>IF(G1944="תקין",IFERROR(VLOOKUP($G1939,'דוח ביצוע (3)'!$B$21:$Q$900,12,0),0),0)</f>
        <v>0</v>
      </c>
      <c r="H1941" s="88">
        <f>IFERROR(G1942*$AH$6+G1943*$AH$7,0)</f>
        <v>0</v>
      </c>
      <c r="I1941" s="88">
        <f>IFERROR(G1942*$AI$6+G1943*$AI$7,0)</f>
        <v>0</v>
      </c>
      <c r="J1941" s="88">
        <f>IFERROR(G1942*$AJ$6+G1943*$AJ$7,0)</f>
        <v>0</v>
      </c>
      <c r="K1941" s="88">
        <f>IFERROR(G1942*$AK$6+G1943*$AK$7,0)</f>
        <v>0</v>
      </c>
      <c r="L1941" s="405"/>
      <c r="M1941" s="399" t="s">
        <v>427</v>
      </c>
      <c r="N1941" s="400" t="str">
        <f>IFERROR(VLOOKUP($G1939,'דוח ביצוע (3)'!$B:$AE,28,0),"")</f>
        <v/>
      </c>
      <c r="O1941" s="89" t="str">
        <f>IFERROR(VLOOKUP($G1939,'דוח ביצוע (3)'!B:AE,29,0),"")</f>
        <v/>
      </c>
      <c r="P1941" s="595"/>
      <c r="Q1941" s="595"/>
      <c r="R1941" s="596"/>
      <c r="S1941" s="610"/>
      <c r="T1941" s="881"/>
      <c r="U1941" s="598"/>
      <c r="V1941" s="599"/>
      <c r="W1941" s="599"/>
      <c r="X1941" s="599"/>
      <c r="Y1941" s="879"/>
      <c r="Z1941" s="85"/>
      <c r="AC1941" s="493"/>
      <c r="AD1941" s="495"/>
      <c r="AO1941" s="22"/>
      <c r="AP1941" s="22"/>
      <c r="AQ1941" s="22"/>
      <c r="AR1941" s="22"/>
      <c r="AS1941" s="22"/>
      <c r="AT1941" s="22"/>
      <c r="AU1941" s="35"/>
      <c r="AV1941" s="35"/>
      <c r="AW1941" s="35"/>
      <c r="AX1941" s="35"/>
      <c r="AY1941" s="35"/>
      <c r="AZ1941" s="35"/>
      <c r="BA1941" s="35"/>
      <c r="BB1941" s="35"/>
      <c r="BC1941" s="35"/>
      <c r="BD1941" s="35"/>
      <c r="BE1941" s="35"/>
      <c r="BF1941" s="35"/>
      <c r="BG1941" s="35"/>
      <c r="BH1941" s="35"/>
      <c r="BI1941" s="35"/>
      <c r="BJ1941" s="35"/>
      <c r="BK1941" s="35"/>
      <c r="BL1941" s="35"/>
      <c r="BM1941" s="35"/>
      <c r="BN1941" s="35"/>
      <c r="BO1941" s="78"/>
    </row>
    <row r="1942" spans="1:67" s="20" customFormat="1" ht="32.25" thickBot="1" x14ac:dyDescent="0.3">
      <c r="A1942" s="520">
        <f>IFERROR(VLOOKUP($G$5,'רשימת רשויות'!A:C,3,0),0)</f>
        <v>0</v>
      </c>
      <c r="B1942" s="520">
        <f t="shared" si="279"/>
        <v>0</v>
      </c>
      <c r="C1942" s="39"/>
      <c r="D1942" s="1134"/>
      <c r="E1942" s="1137"/>
      <c r="F1942" s="585" t="s">
        <v>2195</v>
      </c>
      <c r="G1942" s="89">
        <f>IF(G1944="תקין",MAX(N1944,0),0)</f>
        <v>0</v>
      </c>
      <c r="H1942" s="725" t="s">
        <v>151</v>
      </c>
      <c r="I1942" s="725" t="s">
        <v>91</v>
      </c>
      <c r="J1942" s="970" t="s">
        <v>3396</v>
      </c>
      <c r="K1942" s="601"/>
      <c r="L1942" s="601"/>
      <c r="M1942" s="983" t="s">
        <v>2585</v>
      </c>
      <c r="N1942" s="400" t="str">
        <f>IFERROR(G1941/15*N1941*1.25,"")</f>
        <v/>
      </c>
      <c r="O1942" s="89" t="str">
        <f>IFERROR(G1941/15*O1941*1.25,"")</f>
        <v/>
      </c>
      <c r="P1942" s="595"/>
      <c r="Q1942" s="595"/>
      <c r="R1942" s="596"/>
      <c r="S1942" s="610"/>
      <c r="T1942" s="881"/>
      <c r="U1942" s="598"/>
      <c r="V1942" s="599"/>
      <c r="W1942" s="599"/>
      <c r="X1942" s="599"/>
      <c r="Y1942" s="879"/>
      <c r="Z1942" s="85"/>
      <c r="AC1942" s="493"/>
      <c r="AD1942" s="495"/>
      <c r="AG1942" s="22"/>
      <c r="AH1942" s="55"/>
      <c r="AI1942" s="55"/>
      <c r="AJ1942" s="55"/>
      <c r="AK1942" s="55"/>
      <c r="AO1942" s="22"/>
      <c r="AP1942" s="22"/>
      <c r="AQ1942" s="22"/>
      <c r="AR1942" s="22"/>
      <c r="AS1942" s="22"/>
      <c r="AT1942" s="22"/>
      <c r="AU1942" s="35"/>
      <c r="AV1942" s="35"/>
      <c r="AW1942" s="35"/>
      <c r="AX1942" s="35"/>
      <c r="AY1942" s="35"/>
      <c r="AZ1942" s="35"/>
      <c r="BA1942" s="35"/>
      <c r="BB1942" s="35"/>
      <c r="BC1942" s="35"/>
      <c r="BD1942" s="35"/>
      <c r="BE1942" s="35"/>
      <c r="BF1942" s="35"/>
      <c r="BG1942" s="35"/>
      <c r="BH1942" s="35"/>
      <c r="BI1942" s="35"/>
      <c r="BJ1942" s="35"/>
      <c r="BK1942" s="35"/>
      <c r="BL1942" s="35"/>
      <c r="BM1942" s="35"/>
      <c r="BN1942" s="35"/>
      <c r="BO1942" s="86"/>
    </row>
    <row r="1943" spans="1:67" s="20" customFormat="1" ht="16.5" thickBot="1" x14ac:dyDescent="0.3">
      <c r="A1943" s="520">
        <f>IFERROR(VLOOKUP($G$5,'רשימת רשויות'!A:C,3,0),0)</f>
        <v>0</v>
      </c>
      <c r="B1943" s="520">
        <f t="shared" si="279"/>
        <v>0</v>
      </c>
      <c r="C1943" s="39"/>
      <c r="D1943" s="1134"/>
      <c r="E1943" s="1137"/>
      <c r="F1943" s="585" t="s">
        <v>2196</v>
      </c>
      <c r="G1943" s="89">
        <f>IF(G1944="תקין",MAX(O1944,0),0)</f>
        <v>0</v>
      </c>
      <c r="H1943" s="88">
        <f>(IFERROR(IF((G1942+G1943)=0,0,IF(G1940="קטן",G1941*$AH$10,G1941*$AH$11)),0))+(IFERROR(IF((G1942+G1943)=0,0,VLOOKUP(G1939,'דוח ביצוע (3)'!$B:$AH,33,0)),0))</f>
        <v>0</v>
      </c>
      <c r="I1943" s="88">
        <f>IFERROR(IF((G1942+G1943)=0,0,IF(G1940="קטן",G1941*$AI$10,G1941*$AI$11)),0)</f>
        <v>0</v>
      </c>
      <c r="J1943" s="88">
        <f>IFERROR(IF((G1942+G1943)=0,0,VLOOKUP(G1939,'דוח ביצוע (3)'!$B:$AH,32,0)),0)</f>
        <v>0</v>
      </c>
      <c r="K1943" s="90"/>
      <c r="L1943" s="90"/>
      <c r="M1943" s="399" t="s">
        <v>412</v>
      </c>
      <c r="N1943" s="400">
        <f>IFERROR(VLOOKUP($G1939,'דוח ביצוע (3)'!$B$21:$U$500,18,0),0)</f>
        <v>0</v>
      </c>
      <c r="O1943" s="401">
        <f>IFERROR(VLOOKUP($G1939,'דוח ביצוע (3)'!$B$21:$U$500,19,0),0)</f>
        <v>0</v>
      </c>
      <c r="P1943" s="595"/>
      <c r="Q1943" s="595"/>
      <c r="R1943" s="596"/>
      <c r="S1943" s="610"/>
      <c r="T1943" s="881"/>
      <c r="U1943" s="598"/>
      <c r="V1943" s="599"/>
      <c r="W1943" s="599"/>
      <c r="X1943" s="599"/>
      <c r="Y1943" s="879"/>
      <c r="Z1943" s="85"/>
      <c r="AC1943" s="493"/>
      <c r="AD1943" s="495"/>
      <c r="AG1943" s="22"/>
      <c r="AH1943" s="55"/>
      <c r="AI1943" s="55"/>
      <c r="AJ1943" s="55"/>
      <c r="AK1943" s="55"/>
      <c r="AO1943" s="22"/>
      <c r="AP1943" s="22"/>
      <c r="AQ1943" s="22"/>
      <c r="AR1943" s="22"/>
      <c r="AS1943" s="22"/>
      <c r="AT1943" s="22"/>
      <c r="AU1943" s="35"/>
      <c r="AV1943" s="35"/>
      <c r="AW1943" s="35"/>
      <c r="AX1943" s="35"/>
      <c r="AY1943" s="35"/>
      <c r="AZ1943" s="35"/>
      <c r="BA1943" s="35"/>
      <c r="BB1943" s="35"/>
      <c r="BC1943" s="35"/>
      <c r="BD1943" s="35"/>
      <c r="BE1943" s="35"/>
      <c r="BF1943" s="35"/>
      <c r="BG1943" s="35"/>
      <c r="BH1943" s="35"/>
      <c r="BI1943" s="35"/>
      <c r="BJ1943" s="35"/>
      <c r="BK1943" s="35"/>
      <c r="BL1943" s="35"/>
      <c r="BM1943" s="35"/>
      <c r="BN1943" s="35"/>
      <c r="BO1943" s="86"/>
    </row>
    <row r="1944" spans="1:67" s="20" customFormat="1" ht="16.5" thickBot="1" x14ac:dyDescent="0.3">
      <c r="A1944" s="520">
        <f>IFERROR(VLOOKUP($G$5,'רשימת רשויות'!A:C,3,0),0)</f>
        <v>0</v>
      </c>
      <c r="B1944" s="520">
        <f t="shared" si="279"/>
        <v>0</v>
      </c>
      <c r="C1944" s="39"/>
      <c r="D1944" s="1134"/>
      <c r="E1944" s="1137"/>
      <c r="F1944" s="586" t="s">
        <v>2355</v>
      </c>
      <c r="G1944" s="514">
        <f>IFERROR(IF(VLOOKUP('בית ספר - תקצוב לפי מוסד (9)'!G1939,' איוש משרות (8)'!$C:$K,9,0)="תקין","תקין","לא תקין"),0)</f>
        <v>0</v>
      </c>
      <c r="H1944" s="91"/>
      <c r="I1944" s="91"/>
      <c r="J1944" s="91"/>
      <c r="K1944" s="90"/>
      <c r="L1944" s="90"/>
      <c r="M1944" s="402" t="s">
        <v>2586</v>
      </c>
      <c r="N1944" s="403">
        <f>IFERROR(MIN(N1942,N1943),0)</f>
        <v>0</v>
      </c>
      <c r="O1944" s="404">
        <f>IFERROR(MIN(O1942,O1943),0)</f>
        <v>0</v>
      </c>
      <c r="P1944" s="595"/>
      <c r="Q1944" s="595"/>
      <c r="R1944" s="596"/>
      <c r="S1944" s="610"/>
      <c r="T1944" s="881"/>
      <c r="U1944" s="598"/>
      <c r="V1944" s="599"/>
      <c r="W1944" s="599"/>
      <c r="X1944" s="599"/>
      <c r="Y1944" s="879"/>
      <c r="Z1944" s="85"/>
      <c r="AC1944" s="493"/>
      <c r="AD1944" s="495"/>
      <c r="AG1944" s="94"/>
      <c r="AH1944" s="40"/>
      <c r="AI1944" s="40"/>
      <c r="AJ1944" s="40"/>
      <c r="AK1944" s="40"/>
      <c r="AO1944" s="22"/>
      <c r="AP1944" s="22"/>
      <c r="AQ1944" s="22"/>
      <c r="AR1944" s="22"/>
      <c r="AS1944" s="22"/>
      <c r="AT1944" s="22"/>
      <c r="AU1944" s="35"/>
      <c r="AV1944" s="35"/>
      <c r="AW1944" s="35"/>
      <c r="AX1944" s="35"/>
      <c r="AY1944" s="35"/>
      <c r="AZ1944" s="35"/>
      <c r="BA1944" s="35"/>
      <c r="BB1944" s="35"/>
      <c r="BC1944" s="35"/>
      <c r="BD1944" s="35"/>
      <c r="BE1944" s="35"/>
      <c r="BF1944" s="35"/>
      <c r="BG1944" s="35"/>
      <c r="BH1944" s="35"/>
      <c r="BI1944" s="35"/>
      <c r="BJ1944" s="35"/>
      <c r="BK1944" s="35"/>
      <c r="BL1944" s="35"/>
      <c r="BM1944" s="35"/>
      <c r="BN1944" s="35"/>
      <c r="BO1944" s="86"/>
    </row>
    <row r="1945" spans="1:67" s="55" customFormat="1" ht="37.15" customHeight="1" thickBot="1" x14ac:dyDescent="0.3">
      <c r="A1945" s="520">
        <f>IFERROR(VLOOKUP($G$5,'רשימת רשויות'!A:C,3,0),0)</f>
        <v>0</v>
      </c>
      <c r="B1945" s="520">
        <f t="shared" si="279"/>
        <v>0</v>
      </c>
      <c r="C1945" s="39"/>
      <c r="D1945" s="1134"/>
      <c r="E1945" s="1137"/>
      <c r="F1945" s="587" t="s">
        <v>142</v>
      </c>
      <c r="G1945" s="92"/>
      <c r="H1945" s="92"/>
      <c r="I1945" s="92"/>
      <c r="J1945" s="92"/>
      <c r="K1945" s="602"/>
      <c r="L1945" s="602"/>
      <c r="M1945" s="602"/>
      <c r="N1945" s="602"/>
      <c r="O1945" s="602"/>
      <c r="P1945" s="595"/>
      <c r="Q1945" s="595"/>
      <c r="R1945" s="596"/>
      <c r="S1945" s="610"/>
      <c r="T1945" s="881"/>
      <c r="U1945" s="598"/>
      <c r="V1945" s="599"/>
      <c r="W1945" s="599"/>
      <c r="X1945" s="599"/>
      <c r="Y1945" s="879"/>
      <c r="Z1945" s="93"/>
      <c r="AC1945" s="493"/>
      <c r="AD1945" s="495"/>
      <c r="AF1945" s="22"/>
      <c r="AG1945" s="98"/>
      <c r="AH1945" s="98"/>
      <c r="AI1945" s="40"/>
      <c r="AJ1945" s="40"/>
      <c r="AK1945" s="40"/>
      <c r="AO1945" s="22"/>
      <c r="AP1945" s="22"/>
      <c r="AQ1945" s="22"/>
      <c r="AR1945" s="22"/>
      <c r="AS1945" s="22"/>
      <c r="AT1945" s="22"/>
      <c r="AU1945" s="35"/>
      <c r="AV1945" s="35"/>
      <c r="AW1945" s="35"/>
      <c r="AX1945" s="35"/>
      <c r="AY1945" s="35"/>
      <c r="AZ1945" s="35"/>
      <c r="BA1945" s="35"/>
      <c r="BB1945" s="35"/>
      <c r="BC1945" s="35"/>
      <c r="BD1945" s="35"/>
      <c r="BE1945" s="35"/>
      <c r="BF1945" s="35"/>
      <c r="BG1945" s="35"/>
      <c r="BH1945" s="35"/>
      <c r="BI1945" s="35"/>
      <c r="BJ1945" s="35"/>
      <c r="BK1945" s="35"/>
      <c r="BL1945" s="35"/>
      <c r="BM1945" s="35"/>
      <c r="BN1945" s="35"/>
      <c r="BO1945" s="86"/>
    </row>
    <row r="1946" spans="1:67" s="40" customFormat="1" ht="31.5" x14ac:dyDescent="0.25">
      <c r="A1946" s="520">
        <f>IFERROR(VLOOKUP($G$5,'רשימת רשויות'!A:C,3,0),0)</f>
        <v>0</v>
      </c>
      <c r="B1946" s="520">
        <f t="shared" si="279"/>
        <v>0</v>
      </c>
      <c r="C1946" s="39"/>
      <c r="D1946" s="1134"/>
      <c r="E1946" s="1137"/>
      <c r="F1946" s="588" t="s">
        <v>94</v>
      </c>
      <c r="G1946" s="95" t="s">
        <v>18</v>
      </c>
      <c r="H1946" s="95" t="s">
        <v>19</v>
      </c>
      <c r="I1946" s="95" t="s">
        <v>138</v>
      </c>
      <c r="J1946" s="96" t="s">
        <v>139</v>
      </c>
      <c r="K1946" s="603"/>
      <c r="L1946" s="603"/>
      <c r="M1946" s="603"/>
      <c r="N1946" s="603"/>
      <c r="O1946" s="603"/>
      <c r="P1946" s="604"/>
      <c r="Q1946" s="604"/>
      <c r="R1946" s="596"/>
      <c r="S1946" s="610"/>
      <c r="T1946" s="881"/>
      <c r="U1946" s="598"/>
      <c r="V1946" s="599"/>
      <c r="W1946" s="599"/>
      <c r="X1946" s="599"/>
      <c r="Y1946" s="879"/>
      <c r="Z1946" s="97"/>
      <c r="AA1946" s="94"/>
      <c r="AB1946" s="94"/>
      <c r="AC1946" s="493"/>
      <c r="AD1946" s="495"/>
      <c r="AE1946" s="94"/>
      <c r="AG1946" s="98"/>
      <c r="AH1946" s="98"/>
      <c r="AO1946" s="22"/>
      <c r="AP1946" s="22"/>
      <c r="AQ1946" s="22"/>
      <c r="AR1946" s="22"/>
      <c r="AS1946" s="22"/>
      <c r="AT1946" s="22"/>
      <c r="AU1946" s="35"/>
      <c r="AV1946" s="35"/>
      <c r="AW1946" s="35"/>
      <c r="AX1946" s="35"/>
      <c r="AY1946" s="35"/>
      <c r="AZ1946" s="35"/>
      <c r="BA1946" s="35"/>
      <c r="BB1946" s="35"/>
      <c r="BC1946" s="35"/>
      <c r="BD1946" s="35"/>
      <c r="BE1946" s="35"/>
      <c r="BF1946" s="35"/>
      <c r="BG1946" s="35"/>
      <c r="BH1946" s="35"/>
      <c r="BI1946" s="35"/>
      <c r="BJ1946" s="35"/>
      <c r="BK1946" s="35"/>
      <c r="BL1946" s="35"/>
      <c r="BM1946" s="35"/>
      <c r="BN1946" s="35"/>
      <c r="BO1946" s="86"/>
    </row>
    <row r="1947" spans="1:67" s="40" customFormat="1" ht="15.75" customHeight="1" thickBot="1" x14ac:dyDescent="0.3">
      <c r="A1947" s="520">
        <f>IFERROR(VLOOKUP($G$5,'רשימת רשויות'!A:C,3,0),0)</f>
        <v>0</v>
      </c>
      <c r="B1947" s="520">
        <f t="shared" si="279"/>
        <v>0</v>
      </c>
      <c r="C1947" s="39"/>
      <c r="D1947" s="1134"/>
      <c r="E1947" s="1137"/>
      <c r="F1947" s="589" t="s">
        <v>2280</v>
      </c>
      <c r="G1947" s="99">
        <f>+G1958</f>
        <v>0</v>
      </c>
      <c r="H1947" s="100">
        <f>K1941</f>
        <v>0</v>
      </c>
      <c r="I1947" s="100">
        <f>H1947-I1949</f>
        <v>0</v>
      </c>
      <c r="J1947" s="101">
        <f>IFERROR(I1947/H1947,0)</f>
        <v>0</v>
      </c>
      <c r="K1947" s="603"/>
      <c r="L1947" s="603"/>
      <c r="M1947" s="603"/>
      <c r="N1947" s="603"/>
      <c r="O1947" s="603"/>
      <c r="P1947" s="605"/>
      <c r="Q1947" s="604"/>
      <c r="R1947" s="606" t="s">
        <v>157</v>
      </c>
      <c r="S1947" s="611"/>
      <c r="T1947" s="881"/>
      <c r="U1947" s="598"/>
      <c r="V1947" s="599"/>
      <c r="W1947" s="599"/>
      <c r="X1947" s="599"/>
      <c r="Y1947" s="879"/>
      <c r="Z1947" s="102"/>
      <c r="AA1947" s="122"/>
      <c r="AB1947" s="122"/>
      <c r="AC1947" s="493"/>
      <c r="AD1947" s="495"/>
      <c r="AE1947" s="122"/>
      <c r="AF1947" s="22"/>
      <c r="AG1947" s="98"/>
      <c r="AH1947" s="98"/>
      <c r="AI1947" s="20"/>
      <c r="AO1947" s="22"/>
      <c r="AP1947" s="22"/>
      <c r="AQ1947" s="22"/>
      <c r="AR1947" s="22"/>
      <c r="AS1947" s="22"/>
      <c r="AT1947" s="22"/>
      <c r="AU1947" s="35"/>
      <c r="AV1947" s="35"/>
      <c r="AW1947" s="35"/>
      <c r="AX1947" s="35"/>
      <c r="AY1947" s="35"/>
      <c r="AZ1947" s="35"/>
      <c r="BA1947" s="35"/>
      <c r="BB1947" s="35"/>
      <c r="BC1947" s="35"/>
      <c r="BD1947" s="35"/>
      <c r="BE1947" s="35"/>
      <c r="BF1947" s="35"/>
      <c r="BG1947" s="35"/>
      <c r="BH1947" s="35"/>
      <c r="BI1947" s="35"/>
      <c r="BJ1947" s="35"/>
      <c r="BK1947" s="35"/>
      <c r="BL1947" s="35"/>
      <c r="BM1947" s="35"/>
      <c r="BN1947" s="35"/>
      <c r="BO1947" s="86"/>
    </row>
    <row r="1948" spans="1:67" s="40" customFormat="1" ht="15.75" customHeight="1" thickBot="1" x14ac:dyDescent="0.3">
      <c r="A1948" s="520">
        <f>IFERROR(VLOOKUP($G$5,'רשימת רשויות'!A:C,3,0),0)</f>
        <v>0</v>
      </c>
      <c r="B1948" s="520">
        <f t="shared" si="279"/>
        <v>0</v>
      </c>
      <c r="C1948" s="39"/>
      <c r="D1948" s="1134"/>
      <c r="E1948" s="1137"/>
      <c r="F1948" s="589" t="s">
        <v>2281</v>
      </c>
      <c r="G1948" s="99">
        <f>+G1957</f>
        <v>0</v>
      </c>
      <c r="H1948" s="103"/>
      <c r="I1948" s="104"/>
      <c r="J1948" s="105"/>
      <c r="K1948" s="603"/>
      <c r="L1948" s="603"/>
      <c r="M1948" s="603"/>
      <c r="N1948" s="603"/>
      <c r="O1948" s="603"/>
      <c r="P1948" s="605"/>
      <c r="Q1948" s="604"/>
      <c r="R1948" s="473">
        <f>I1949-R1950</f>
        <v>0</v>
      </c>
      <c r="S1948" s="611"/>
      <c r="T1948" s="881"/>
      <c r="U1948" s="598"/>
      <c r="V1948" s="599"/>
      <c r="W1948" s="599"/>
      <c r="X1948" s="599"/>
      <c r="Y1948" s="879"/>
      <c r="Z1948" s="106"/>
      <c r="AA1948" s="22"/>
      <c r="AB1948" s="22"/>
      <c r="AC1948" s="493"/>
      <c r="AD1948" s="495"/>
      <c r="AE1948" s="22"/>
      <c r="AF1948" s="22"/>
      <c r="AG1948" s="98"/>
      <c r="AH1948" s="98"/>
      <c r="AI1948" s="20"/>
      <c r="AO1948" s="22"/>
      <c r="AP1948" s="22"/>
      <c r="AQ1948" s="22"/>
      <c r="AR1948" s="22"/>
      <c r="AS1948" s="22"/>
      <c r="AT1948" s="22"/>
      <c r="AU1948" s="35"/>
      <c r="AV1948" s="35"/>
      <c r="AW1948" s="35"/>
      <c r="AX1948" s="35"/>
      <c r="AY1948" s="35"/>
      <c r="AZ1948" s="35"/>
      <c r="BA1948" s="35"/>
      <c r="BB1948" s="35"/>
      <c r="BC1948" s="35"/>
      <c r="BD1948" s="35"/>
      <c r="BE1948" s="35"/>
      <c r="BF1948" s="35"/>
      <c r="BG1948" s="35"/>
      <c r="BH1948" s="35"/>
      <c r="BI1948" s="35"/>
      <c r="BJ1948" s="35"/>
      <c r="BK1948" s="35"/>
      <c r="BL1948" s="35"/>
      <c r="BM1948" s="35"/>
      <c r="BN1948" s="35"/>
      <c r="BO1948" s="86"/>
    </row>
    <row r="1949" spans="1:67" s="40" customFormat="1" ht="16.5" customHeight="1" thickBot="1" x14ac:dyDescent="0.3">
      <c r="A1949" s="520">
        <f>IFERROR(VLOOKUP($G$5,'רשימת רשויות'!A:C,3,0),0)</f>
        <v>0</v>
      </c>
      <c r="B1949" s="520">
        <f t="shared" si="279"/>
        <v>0</v>
      </c>
      <c r="C1949" s="39"/>
      <c r="D1949" s="1134"/>
      <c r="E1949" s="1137"/>
      <c r="F1949" s="589" t="s">
        <v>2282</v>
      </c>
      <c r="G1949" s="99">
        <f>G1953+G1954+G1955</f>
        <v>0</v>
      </c>
      <c r="H1949" s="104"/>
      <c r="I1949" s="107">
        <f>MAX(H1947-G1947-G1948,0)</f>
        <v>0</v>
      </c>
      <c r="J1949" s="108">
        <f>IFERROR(I1949/H1947,0)</f>
        <v>0</v>
      </c>
      <c r="K1949" s="603"/>
      <c r="L1949" s="603"/>
      <c r="M1949" s="603"/>
      <c r="N1949" s="603"/>
      <c r="O1949" s="603"/>
      <c r="P1949" s="604"/>
      <c r="Q1949" s="604"/>
      <c r="R1949" s="606" t="s">
        <v>158</v>
      </c>
      <c r="S1949" s="612"/>
      <c r="T1949" s="881"/>
      <c r="U1949" s="598"/>
      <c r="V1949" s="599"/>
      <c r="W1949" s="599"/>
      <c r="X1949" s="599"/>
      <c r="Y1949" s="879"/>
      <c r="Z1949" s="106"/>
      <c r="AA1949" s="22"/>
      <c r="AB1949" s="22"/>
      <c r="AC1949" s="493"/>
      <c r="AD1949" s="495"/>
      <c r="AE1949" s="22"/>
      <c r="AF1949" s="22"/>
      <c r="AG1949" s="22"/>
      <c r="AH1949" s="22"/>
      <c r="AI1949" s="55"/>
      <c r="AJ1949" s="22"/>
      <c r="AK1949" s="22"/>
      <c r="AO1949" s="22"/>
      <c r="AP1949" s="22"/>
      <c r="AQ1949" s="22"/>
      <c r="AR1949" s="22"/>
      <c r="AS1949" s="22"/>
      <c r="AT1949" s="22"/>
      <c r="AU1949" s="35"/>
      <c r="AV1949" s="35"/>
      <c r="AW1949" s="35"/>
      <c r="AX1949" s="35"/>
      <c r="AY1949" s="35"/>
      <c r="AZ1949" s="35"/>
      <c r="BA1949" s="35"/>
      <c r="BB1949" s="35"/>
      <c r="BC1949" s="35"/>
      <c r="BD1949" s="35"/>
      <c r="BE1949" s="35"/>
      <c r="BF1949" s="35"/>
      <c r="BG1949" s="35"/>
      <c r="BH1949" s="35"/>
      <c r="BI1949" s="35"/>
      <c r="BJ1949" s="35"/>
      <c r="BK1949" s="35"/>
      <c r="BL1949" s="35"/>
      <c r="BM1949" s="35"/>
      <c r="BN1949" s="35"/>
      <c r="BO1949" s="86"/>
    </row>
    <row r="1950" spans="1:67" s="40" customFormat="1" ht="15.75" customHeight="1" thickBot="1" x14ac:dyDescent="0.3">
      <c r="A1950" s="520">
        <f>IFERROR(VLOOKUP($G$5,'רשימת רשויות'!A:C,3,0),0)</f>
        <v>0</v>
      </c>
      <c r="B1950" s="520">
        <f t="shared" si="279"/>
        <v>0</v>
      </c>
      <c r="C1950" s="39"/>
      <c r="D1950" s="1134"/>
      <c r="E1950" s="1137"/>
      <c r="F1950" s="590" t="s">
        <v>2290</v>
      </c>
      <c r="G1950" s="109"/>
      <c r="H1950" s="110"/>
      <c r="I1950" s="111">
        <f>SUM(I1947:I1949)</f>
        <v>0</v>
      </c>
      <c r="J1950" s="112">
        <f>SUM(J1947:J1949)</f>
        <v>0</v>
      </c>
      <c r="K1950" s="603"/>
      <c r="L1950" s="603"/>
      <c r="M1950" s="603"/>
      <c r="N1950" s="603"/>
      <c r="O1950" s="603"/>
      <c r="P1950" s="604"/>
      <c r="Q1950" s="604"/>
      <c r="R1950" s="473">
        <f>MIN(MAX(G1954+G1955-I1943-J1943,0),I1949)</f>
        <v>0</v>
      </c>
      <c r="S1950" s="612"/>
      <c r="T1950" s="881"/>
      <c r="U1950" s="598"/>
      <c r="V1950" s="599"/>
      <c r="W1950" s="599"/>
      <c r="X1950" s="599"/>
      <c r="Y1950" s="879"/>
      <c r="Z1950" s="106"/>
      <c r="AA1950" s="22"/>
      <c r="AB1950" s="22"/>
      <c r="AC1950" s="493"/>
      <c r="AD1950" s="495"/>
      <c r="AE1950" s="22"/>
      <c r="AF1950" s="22"/>
      <c r="AG1950" s="22"/>
      <c r="AH1950" s="22"/>
      <c r="AJ1950" s="22"/>
      <c r="AK1950" s="22"/>
      <c r="AO1950" s="22"/>
      <c r="AP1950" s="22"/>
      <c r="AQ1950" s="22"/>
      <c r="AR1950" s="22"/>
      <c r="AS1950" s="22"/>
      <c r="AT1950" s="22"/>
      <c r="AU1950" s="35"/>
      <c r="AV1950" s="35"/>
      <c r="AW1950" s="35"/>
      <c r="AX1950" s="35"/>
      <c r="AY1950" s="35"/>
      <c r="AZ1950" s="35"/>
      <c r="BA1950" s="35"/>
      <c r="BB1950" s="35"/>
      <c r="BC1950" s="35"/>
      <c r="BD1950" s="35"/>
      <c r="BE1950" s="35"/>
      <c r="BF1950" s="35"/>
      <c r="BG1950" s="35"/>
      <c r="BH1950" s="35"/>
      <c r="BI1950" s="35"/>
      <c r="BJ1950" s="35"/>
      <c r="BK1950" s="35"/>
      <c r="BL1950" s="35"/>
      <c r="BM1950" s="35"/>
      <c r="BN1950" s="35"/>
      <c r="BO1950" s="86"/>
    </row>
    <row r="1951" spans="1:67" ht="16.5" thickBot="1" x14ac:dyDescent="0.3">
      <c r="A1951" s="520">
        <f>IFERROR(VLOOKUP($G$5,'רשימת רשויות'!A:C,3,0),0)</f>
        <v>0</v>
      </c>
      <c r="B1951" s="520">
        <f t="shared" si="279"/>
        <v>0</v>
      </c>
      <c r="D1951" s="1134"/>
      <c r="E1951" s="1137"/>
      <c r="F1951" s="587" t="s">
        <v>17</v>
      </c>
      <c r="G1951" s="113"/>
      <c r="H1951" s="92"/>
      <c r="I1951" s="114"/>
      <c r="J1951" s="115"/>
      <c r="K1951" s="116"/>
      <c r="L1951" s="406"/>
      <c r="M1951" s="116"/>
      <c r="N1951" s="116"/>
      <c r="O1951" s="116"/>
      <c r="P1951" s="474"/>
      <c r="Q1951" s="607"/>
      <c r="R1951" s="608"/>
      <c r="S1951" s="612"/>
      <c r="T1951" s="881"/>
      <c r="U1951" s="598"/>
      <c r="V1951" s="599"/>
      <c r="W1951" s="599"/>
      <c r="X1951" s="599"/>
      <c r="Y1951" s="879"/>
      <c r="Z1951" s="106"/>
      <c r="AI1951" s="40"/>
      <c r="BO1951" s="86"/>
    </row>
    <row r="1952" spans="1:67" ht="47.25" x14ac:dyDescent="0.25">
      <c r="A1952" s="520">
        <f>IFERROR(VLOOKUP($G$5,'רשימת רשויות'!A:C,3,0),0)</f>
        <v>0</v>
      </c>
      <c r="B1952" s="520">
        <f t="shared" si="279"/>
        <v>0</v>
      </c>
      <c r="D1952" s="1134"/>
      <c r="E1952" s="1137"/>
      <c r="F1952" s="588" t="s">
        <v>2</v>
      </c>
      <c r="G1952" s="95" t="s">
        <v>18</v>
      </c>
      <c r="H1952" s="95" t="s">
        <v>19</v>
      </c>
      <c r="I1952" s="95" t="s">
        <v>20</v>
      </c>
      <c r="J1952" s="95" t="s">
        <v>22</v>
      </c>
      <c r="K1952" s="96" t="s">
        <v>2314</v>
      </c>
      <c r="L1952" s="609"/>
      <c r="M1952" s="609"/>
      <c r="N1952" s="609"/>
      <c r="O1952" s="580"/>
      <c r="P1952" s="618" t="s">
        <v>2298</v>
      </c>
      <c r="Q1952" s="618" t="s">
        <v>2299</v>
      </c>
      <c r="R1952" s="596"/>
      <c r="S1952" s="890" t="s">
        <v>2519</v>
      </c>
      <c r="T1952" s="890" t="s">
        <v>97</v>
      </c>
      <c r="U1952" s="891" t="s">
        <v>2521</v>
      </c>
      <c r="V1952" s="892" t="s">
        <v>2520</v>
      </c>
      <c r="W1952" s="893" t="s">
        <v>2524</v>
      </c>
      <c r="X1952" s="892" t="s">
        <v>2522</v>
      </c>
      <c r="Y1952" s="894" t="s">
        <v>2523</v>
      </c>
      <c r="Z1952" s="106"/>
      <c r="AC1952" s="498" t="s">
        <v>2568</v>
      </c>
      <c r="AD1952" s="499" t="s">
        <v>2569</v>
      </c>
      <c r="AF1952" s="122"/>
      <c r="AI1952" s="40"/>
      <c r="BO1952" s="86"/>
    </row>
    <row r="1953" spans="1:67" ht="15" customHeight="1" thickBot="1" x14ac:dyDescent="0.3">
      <c r="A1953" s="520">
        <f>IFERROR(VLOOKUP($G$5,'רשימת רשויות'!A:C,3,0),0)</f>
        <v>0</v>
      </c>
      <c r="B1953" s="520">
        <f t="shared" si="279"/>
        <v>0</v>
      </c>
      <c r="D1953" s="1134"/>
      <c r="E1953" s="1137"/>
      <c r="F1953" s="589" t="s">
        <v>76</v>
      </c>
      <c r="G1953" s="117">
        <f>IF(G1944="תקין",SUMIF('עלויות כח אדם (6)'!$B$15:$B$3014,'בית ספר - תקצוב לפי מוסד (9)'!$G1939,'עלויות כח אדם (6)'!$M$15:$M$3014)-VLOOKUP('בית ספר - תקצוב לפי מוסד (9)'!G1939,' איוש משרות (8)'!$C:$H,5,0)-VLOOKUP('בית ספר - תקצוב לפי מוסד (9)'!G1939,' איוש משרות (8)'!$C:$H,6,0),0)-Y1953</f>
        <v>0</v>
      </c>
      <c r="H1953" s="118">
        <f>I1941+R1948</f>
        <v>0</v>
      </c>
      <c r="I1953" s="119">
        <f>IFERROR(SUM(G1953)/H1953,0)</f>
        <v>0</v>
      </c>
      <c r="J1953" s="100">
        <f>MIN(I1941+R1948,IF(ISNUMBER(G1953),G1953,0))</f>
        <v>0</v>
      </c>
      <c r="K1953" s="120">
        <f>MAX(H1953-G1953,0)</f>
        <v>0</v>
      </c>
      <c r="L1953" s="407"/>
      <c r="M1953" s="393"/>
      <c r="N1953" s="393"/>
      <c r="O1953" s="580"/>
      <c r="P1953" s="968">
        <f>IFERROR(IF(SUM(G1953)/(I1941)&lt;100%,MIN((I1941)-SUM(G1953),(I1941)*0.25),0),0)</f>
        <v>0</v>
      </c>
      <c r="Q1953" s="968">
        <f>IF(SUM(G1953)-(I1941+R1948)&gt;0,SUM(G1953)-(I1941+R1948),0)</f>
        <v>0</v>
      </c>
      <c r="R1953" s="596" t="s">
        <v>2351</v>
      </c>
      <c r="S1953" s="576" t="s">
        <v>2342</v>
      </c>
      <c r="T1953" s="599">
        <f>G1939</f>
        <v>0</v>
      </c>
      <c r="U1953" s="578"/>
      <c r="V1953" s="579">
        <f>G1953+G1954+G1955</f>
        <v>0</v>
      </c>
      <c r="W1953" s="579">
        <f>U1953-V1953</f>
        <v>0</v>
      </c>
      <c r="X1953" s="579">
        <f>IFERROR(W1967*W1953/(SUM(W1953:W1966)),0)</f>
        <v>0</v>
      </c>
      <c r="Y1953" s="879">
        <f>SUMIFS(בקרה!$S:$S,בקרה!$D:$D,T1953,בקרה!$K:$K,S1953)</f>
        <v>0</v>
      </c>
      <c r="Z1953" s="121"/>
      <c r="AA1953" s="143"/>
      <c r="AB1953" s="143"/>
      <c r="AC1953" s="504">
        <v>0</v>
      </c>
      <c r="AD1953" s="505">
        <f>IFERROR(U1953-AC1953,0)</f>
        <v>0</v>
      </c>
      <c r="AE1953" s="143"/>
      <c r="AI1953" s="20"/>
      <c r="BO1953" s="86"/>
    </row>
    <row r="1954" spans="1:67" ht="15" customHeight="1" thickBot="1" x14ac:dyDescent="0.3">
      <c r="A1954" s="520">
        <f>IFERROR(VLOOKUP($G$5,'רשימת רשויות'!A:C,3,0),0)</f>
        <v>0</v>
      </c>
      <c r="B1954" s="520">
        <f t="shared" si="279"/>
        <v>0</v>
      </c>
      <c r="D1954" s="1134"/>
      <c r="E1954" s="1137"/>
      <c r="F1954" s="589" t="s">
        <v>44</v>
      </c>
      <c r="G1954" s="123">
        <f>IF(G1944="תקין",IFERROR(VLOOKUP('בית ספר - תקצוב לפי מוסד (9)'!G1939,' איוש משרות (8)'!C:J,7,0),0),0)</f>
        <v>0</v>
      </c>
      <c r="H1954" s="124">
        <f>I1943+R1950+J1943</f>
        <v>0</v>
      </c>
      <c r="I1954" s="119">
        <f>IFERROR(SUM(G1954:G1955)/H1954,0)</f>
        <v>0</v>
      </c>
      <c r="J1954" s="100">
        <f>MIN(R1950+I1943,IF(ISNUMBER(SUM(G1954:G1955)),SUM(G1954:G1955),0))</f>
        <v>0</v>
      </c>
      <c r="K1954" s="1139">
        <f>MAX((H1954)-(G1954+G1955),0)</f>
        <v>0</v>
      </c>
      <c r="L1954" s="407"/>
      <c r="M1954" s="393"/>
      <c r="N1954" s="393"/>
      <c r="O1954" s="580"/>
      <c r="P1954" s="1140"/>
      <c r="Q1954" s="1140"/>
      <c r="R1954" s="617">
        <f>MAX(MIN(P1962-Q1962,H1962*0.15-G1960),0)</f>
        <v>0</v>
      </c>
      <c r="S1954" s="576"/>
      <c r="T1954" s="599">
        <f>G1939</f>
        <v>0</v>
      </c>
      <c r="U1954" s="578"/>
      <c r="V1954" s="579"/>
      <c r="W1954" s="579">
        <f t="shared" ref="W1954:W1966" si="280">U1954-V1954</f>
        <v>0</v>
      </c>
      <c r="X1954" s="579"/>
      <c r="Y1954" s="879"/>
      <c r="Z1954" s="121"/>
      <c r="AA1954" s="143"/>
      <c r="AB1954" s="143"/>
      <c r="AC1954" s="504"/>
      <c r="AD1954" s="505">
        <f t="shared" ref="AD1954:AD1960" si="281">IFERROR(U1954-AC1954,0)</f>
        <v>0</v>
      </c>
      <c r="AE1954" s="143"/>
      <c r="AI1954" s="20"/>
      <c r="BO1954" s="86"/>
    </row>
    <row r="1955" spans="1:67" ht="15.75" customHeight="1" x14ac:dyDescent="0.25">
      <c r="A1955" s="520">
        <f>IFERROR(VLOOKUP($G$5,'רשימת רשויות'!A:C,3,0),0)</f>
        <v>0</v>
      </c>
      <c r="B1955" s="520">
        <f t="shared" si="279"/>
        <v>0</v>
      </c>
      <c r="D1955" s="1134"/>
      <c r="E1955" s="1137"/>
      <c r="F1955" s="589" t="s">
        <v>45</v>
      </c>
      <c r="G1955" s="123">
        <f>IF(G1944="תקין",IFERROR(VLOOKUP('בית ספר - תקצוב לפי מוסד (9)'!G1939,' איוש משרות (8)'!C:J,8,0),0),0)</f>
        <v>0</v>
      </c>
      <c r="H1955" s="125"/>
      <c r="I1955" s="126"/>
      <c r="J1955" s="104"/>
      <c r="K1955" s="1139"/>
      <c r="L1955" s="407"/>
      <c r="M1955" s="393"/>
      <c r="N1955" s="393"/>
      <c r="O1955" s="580"/>
      <c r="P1955" s="1140"/>
      <c r="Q1955" s="1140"/>
      <c r="R1955" s="596"/>
      <c r="S1955" s="576"/>
      <c r="T1955" s="599">
        <f>G1939</f>
        <v>0</v>
      </c>
      <c r="U1955" s="578"/>
      <c r="V1955" s="579"/>
      <c r="W1955" s="579">
        <f t="shared" si="280"/>
        <v>0</v>
      </c>
      <c r="X1955" s="579"/>
      <c r="Y1955" s="879"/>
      <c r="Z1955" s="121"/>
      <c r="AA1955" s="143"/>
      <c r="AB1955" s="143"/>
      <c r="AC1955" s="504"/>
      <c r="AD1955" s="505">
        <f t="shared" si="281"/>
        <v>0</v>
      </c>
      <c r="AE1955" s="143"/>
      <c r="AG1955" s="55"/>
      <c r="AH1955" s="55"/>
      <c r="AI1955" s="55"/>
      <c r="AJ1955" s="55"/>
      <c r="AK1955" s="55"/>
      <c r="BO1955" s="86"/>
    </row>
    <row r="1956" spans="1:67" ht="15.75" customHeight="1" x14ac:dyDescent="0.25">
      <c r="A1956" s="520">
        <f>IFERROR(VLOOKUP($G$5,'רשימת רשויות'!A:C,3,0),0)</f>
        <v>0</v>
      </c>
      <c r="B1956" s="520">
        <f t="shared" si="279"/>
        <v>0</v>
      </c>
      <c r="D1956" s="1134"/>
      <c r="E1956" s="1137"/>
      <c r="F1956" s="589" t="s">
        <v>0</v>
      </c>
      <c r="G1956" s="117">
        <f>IF(G1944="תקין",SUMIFS('דוח הוצאות בפועל (4)'!$E$17:$E$3016,'דוח הוצאות בפועל (4)'!$B$17:$B$3016,'בית ספר - תקצוב לפי מוסד (9)'!$G1939,'דוח הוצאות בפועל (4)'!$M$17:$M$3016,"הע"),0)-Y1956</f>
        <v>0</v>
      </c>
      <c r="H1956" s="127">
        <f>J1941</f>
        <v>0</v>
      </c>
      <c r="I1956" s="128">
        <f>IFERROR(G1956/H1956,0)</f>
        <v>0</v>
      </c>
      <c r="J1956" s="129">
        <f>MIN(IF(ISNUMBER(G1956),G1956,0),H1956)</f>
        <v>0</v>
      </c>
      <c r="K1956" s="120">
        <f>MAX(H1956-G1956,0)</f>
        <v>0</v>
      </c>
      <c r="L1956" s="407"/>
      <c r="M1956" s="393"/>
      <c r="N1956" s="393"/>
      <c r="O1956" s="580"/>
      <c r="P1956" s="968">
        <f>MAX(IF(I1956&lt;100%,MIN((H1956-G1956),H1956*0.25),0),0)</f>
        <v>0</v>
      </c>
      <c r="Q1956" s="619">
        <f>IF(G1956-H1956&gt;0,G1956-H1956,0)</f>
        <v>0</v>
      </c>
      <c r="R1956" s="596"/>
      <c r="S1956" s="610" t="s">
        <v>0</v>
      </c>
      <c r="T1956" s="599">
        <f>G1939</f>
        <v>0</v>
      </c>
      <c r="U1956" s="578"/>
      <c r="V1956" s="579">
        <f>G1956</f>
        <v>0</v>
      </c>
      <c r="W1956" s="579">
        <f t="shared" si="280"/>
        <v>0</v>
      </c>
      <c r="X1956" s="579">
        <f>IFERROR(W1967*W1956/(SUM(W1953:W1966)),0)</f>
        <v>0</v>
      </c>
      <c r="Y1956" s="879">
        <f>SUMIFS(בקרה!$S:$S,בקרה!$D:$D,T1956,בקרה!$K:$K,S1956)</f>
        <v>0</v>
      </c>
      <c r="Z1956" s="121"/>
      <c r="AA1956" s="143"/>
      <c r="AB1956" s="143"/>
      <c r="AC1956" s="504">
        <v>0</v>
      </c>
      <c r="AD1956" s="505">
        <f t="shared" si="281"/>
        <v>0</v>
      </c>
      <c r="AE1956" s="143"/>
      <c r="AG1956" s="55"/>
      <c r="AH1956" s="55"/>
      <c r="AI1956" s="40"/>
      <c r="AJ1956" s="55"/>
      <c r="AK1956" s="55"/>
      <c r="BO1956" s="86"/>
    </row>
    <row r="1957" spans="1:67" s="55" customFormat="1" ht="15.75" customHeight="1" x14ac:dyDescent="0.25">
      <c r="A1957" s="520">
        <f>IFERROR(VLOOKUP($G$5,'רשימת רשויות'!A:C,3,0),0)</f>
        <v>0</v>
      </c>
      <c r="B1957" s="520">
        <f t="shared" si="279"/>
        <v>0</v>
      </c>
      <c r="C1957" s="39"/>
      <c r="D1957" s="1134"/>
      <c r="E1957" s="1137"/>
      <c r="F1957" s="589" t="s">
        <v>93</v>
      </c>
      <c r="G1957" s="130">
        <f>IF(G1944="תקין",SUMIFS('דוח הוצאות בפועל (4)'!$E$17:$E$3016,'דוח הוצאות בפועל (4)'!$B$17:$B$3016,'בית ספר - תקצוב לפי מוסד (9)'!$G1939,'דוח הוצאות בפועל (4)'!$M$17:$M$3016,"אר"),0)-Y1957</f>
        <v>0</v>
      </c>
      <c r="H1957" s="118">
        <f>$I1947</f>
        <v>0</v>
      </c>
      <c r="I1957" s="131">
        <f>IFERROR((G1957+G1958)/H1957,0)</f>
        <v>0</v>
      </c>
      <c r="J1957" s="100">
        <f>MIN((IF(ISNUMBER(G1957),G1957,0)+IF(ISNUMBER(G1958),G1958,0)),H1957)</f>
        <v>0</v>
      </c>
      <c r="K1957" s="1139">
        <f>MAX((H1957)-(G1957+G1958),0)</f>
        <v>0</v>
      </c>
      <c r="L1957" s="407"/>
      <c r="M1957" s="393"/>
      <c r="N1957" s="393"/>
      <c r="O1957" s="602"/>
      <c r="P1957" s="1141"/>
      <c r="Q1957" s="1142"/>
      <c r="R1957" s="596"/>
      <c r="S1957" s="610" t="s">
        <v>93</v>
      </c>
      <c r="T1957" s="599">
        <f>G1939</f>
        <v>0</v>
      </c>
      <c r="U1957" s="578"/>
      <c r="V1957" s="579">
        <f t="shared" ref="V1957:V1958" si="282">G1957</f>
        <v>0</v>
      </c>
      <c r="W1957" s="579">
        <f t="shared" si="280"/>
        <v>0</v>
      </c>
      <c r="X1957" s="579">
        <f>IFERROR(W1967*W1957/(SUM(W1953:W1966)),0)</f>
        <v>0</v>
      </c>
      <c r="Y1957" s="879">
        <f>SUMIFS(בקרה!$S:$S,בקרה!$D:$D,T1957,בקרה!$K:$K,S1957)</f>
        <v>0</v>
      </c>
      <c r="Z1957" s="121"/>
      <c r="AA1957" s="143"/>
      <c r="AB1957" s="143"/>
      <c r="AC1957" s="504">
        <v>0</v>
      </c>
      <c r="AD1957" s="505">
        <f t="shared" si="281"/>
        <v>0</v>
      </c>
      <c r="AE1957" s="143"/>
      <c r="AJ1957" s="22"/>
      <c r="AO1957" s="22"/>
      <c r="AP1957" s="22"/>
      <c r="AQ1957" s="22"/>
      <c r="AR1957" s="22"/>
      <c r="AS1957" s="22"/>
      <c r="AT1957" s="22"/>
      <c r="AU1957" s="35"/>
      <c r="AV1957" s="35"/>
      <c r="AW1957" s="35"/>
      <c r="AX1957" s="35"/>
      <c r="AY1957" s="35"/>
      <c r="AZ1957" s="35"/>
      <c r="BA1957" s="35"/>
      <c r="BB1957" s="35"/>
      <c r="BC1957" s="35"/>
      <c r="BD1957" s="35"/>
      <c r="BE1957" s="35"/>
      <c r="BF1957" s="35"/>
      <c r="BG1957" s="35"/>
      <c r="BH1957" s="35"/>
      <c r="BI1957" s="35"/>
      <c r="BJ1957" s="35"/>
      <c r="BK1957" s="35"/>
      <c r="BL1957" s="35"/>
      <c r="BM1957" s="35"/>
      <c r="BN1957" s="35"/>
      <c r="BO1957" s="86"/>
    </row>
    <row r="1958" spans="1:67" s="55" customFormat="1" ht="15.75" customHeight="1" x14ac:dyDescent="0.25">
      <c r="A1958" s="520">
        <f>IFERROR(VLOOKUP($G$5,'רשימת רשויות'!A:C,3,0),0)</f>
        <v>0</v>
      </c>
      <c r="B1958" s="520">
        <f t="shared" si="279"/>
        <v>0</v>
      </c>
      <c r="C1958" s="39"/>
      <c r="D1958" s="1134"/>
      <c r="E1958" s="1137"/>
      <c r="F1958" s="589" t="s">
        <v>46</v>
      </c>
      <c r="G1958" s="130">
        <f>IF(G1944="תקין",SUMIFS('דוח הוצאות בפועל (4)'!$E$17:$E$3016,'דוח הוצאות בפועל (4)'!$B$17:$B$3016,'בית ספר - תקצוב לפי מוסד (9)'!$G1939,'דוח הוצאות בפועל (4)'!$M$17:$M$3016,"מל"),0)-Y1958</f>
        <v>0</v>
      </c>
      <c r="H1958" s="132"/>
      <c r="I1958" s="133"/>
      <c r="J1958" s="104"/>
      <c r="K1958" s="1139"/>
      <c r="L1958" s="407"/>
      <c r="M1958" s="393"/>
      <c r="N1958" s="393"/>
      <c r="O1958" s="602"/>
      <c r="P1958" s="1141"/>
      <c r="Q1958" s="1142"/>
      <c r="R1958" s="596"/>
      <c r="S1958" s="610" t="s">
        <v>46</v>
      </c>
      <c r="T1958" s="599">
        <f>G1939</f>
        <v>0</v>
      </c>
      <c r="U1958" s="578"/>
      <c r="V1958" s="579">
        <f t="shared" si="282"/>
        <v>0</v>
      </c>
      <c r="W1958" s="579">
        <f t="shared" si="280"/>
        <v>0</v>
      </c>
      <c r="X1958" s="579">
        <f>IFERROR(W1967*W1958/(SUM(W1953:W1966)),0)</f>
        <v>0</v>
      </c>
      <c r="Y1958" s="879">
        <f>SUMIFS(בקרה!$S:$S,בקרה!$D:$D,T1958,בקרה!$K:$K,S1958)</f>
        <v>0</v>
      </c>
      <c r="Z1958" s="121"/>
      <c r="AA1958" s="143"/>
      <c r="AB1958" s="143"/>
      <c r="AC1958" s="504">
        <v>0</v>
      </c>
      <c r="AD1958" s="505">
        <f t="shared" si="281"/>
        <v>0</v>
      </c>
      <c r="AE1958" s="143"/>
      <c r="AJ1958" s="22"/>
      <c r="AO1958" s="22"/>
      <c r="AP1958" s="22"/>
      <c r="AQ1958" s="22"/>
      <c r="AR1958" s="22"/>
      <c r="AS1958" s="22"/>
      <c r="AT1958" s="22"/>
      <c r="AU1958" s="35"/>
      <c r="AV1958" s="35"/>
      <c r="AW1958" s="35"/>
      <c r="AX1958" s="35"/>
      <c r="AY1958" s="35"/>
      <c r="AZ1958" s="35"/>
      <c r="BA1958" s="35"/>
      <c r="BB1958" s="35"/>
      <c r="BC1958" s="35"/>
      <c r="BD1958" s="35"/>
      <c r="BE1958" s="35"/>
      <c r="BF1958" s="35"/>
      <c r="BG1958" s="35"/>
      <c r="BH1958" s="35"/>
      <c r="BI1958" s="35"/>
      <c r="BJ1958" s="35"/>
      <c r="BK1958" s="35"/>
      <c r="BL1958" s="35"/>
      <c r="BM1958" s="35"/>
      <c r="BN1958" s="35"/>
      <c r="BO1958" s="86"/>
    </row>
    <row r="1959" spans="1:67" s="55" customFormat="1" ht="15" customHeight="1" x14ac:dyDescent="0.25">
      <c r="A1959" s="520">
        <f>IFERROR(VLOOKUP($G$5,'רשימת רשויות'!A:C,3,0),0)</f>
        <v>0</v>
      </c>
      <c r="B1959" s="520">
        <f t="shared" si="279"/>
        <v>0</v>
      </c>
      <c r="C1959" s="39"/>
      <c r="D1959" s="1134"/>
      <c r="E1959" s="1137"/>
      <c r="F1959" s="591" t="s">
        <v>23</v>
      </c>
      <c r="G1959" s="134">
        <f>SUM(G1953:G1958)</f>
        <v>0</v>
      </c>
      <c r="H1959" s="135">
        <f>SUM(H1953:H1958)</f>
        <v>0</v>
      </c>
      <c r="I1959" s="128">
        <f>IFERROR(G1959/H1959,0)</f>
        <v>0</v>
      </c>
      <c r="J1959" s="136">
        <f>SUM(J1953:J1958)</f>
        <v>0</v>
      </c>
      <c r="K1959" s="137">
        <f>SUM(K1953:K1958)</f>
        <v>0</v>
      </c>
      <c r="L1959" s="408"/>
      <c r="M1959" s="394"/>
      <c r="N1959" s="394"/>
      <c r="O1959" s="602"/>
      <c r="P1959" s="620">
        <f>SUM(P1953:P1958)</f>
        <v>0</v>
      </c>
      <c r="Q1959" s="620">
        <f>SUM(Q1953:Q1958)</f>
        <v>0</v>
      </c>
      <c r="R1959" s="596"/>
      <c r="S1959" s="610"/>
      <c r="T1959" s="599">
        <f>G1939</f>
        <v>0</v>
      </c>
      <c r="U1959" s="578"/>
      <c r="V1959" s="579"/>
      <c r="W1959" s="579">
        <f t="shared" si="280"/>
        <v>0</v>
      </c>
      <c r="X1959" s="579"/>
      <c r="Y1959" s="879"/>
      <c r="Z1959" s="121"/>
      <c r="AA1959" s="143"/>
      <c r="AB1959" s="143"/>
      <c r="AC1959" s="504"/>
      <c r="AD1959" s="505">
        <f t="shared" si="281"/>
        <v>0</v>
      </c>
      <c r="AE1959" s="143"/>
      <c r="AJ1959" s="22"/>
      <c r="AL1959" s="22"/>
      <c r="AM1959" s="22"/>
      <c r="AN1959" s="22"/>
      <c r="AO1959" s="22"/>
      <c r="AP1959" s="22"/>
      <c r="AQ1959" s="22"/>
      <c r="AR1959" s="22"/>
      <c r="AS1959" s="22"/>
      <c r="AT1959" s="22"/>
      <c r="AU1959" s="35"/>
      <c r="AV1959" s="35"/>
      <c r="AW1959" s="35"/>
      <c r="AX1959" s="35"/>
      <c r="AY1959" s="35"/>
      <c r="AZ1959" s="35"/>
      <c r="BA1959" s="35"/>
      <c r="BB1959" s="35"/>
      <c r="BC1959" s="35"/>
      <c r="BD1959" s="35"/>
      <c r="BE1959" s="35"/>
      <c r="BF1959" s="35"/>
      <c r="BG1959" s="35"/>
      <c r="BH1959" s="35"/>
      <c r="BI1959" s="35"/>
      <c r="BJ1959" s="35"/>
      <c r="BK1959" s="35"/>
      <c r="BL1959" s="35"/>
      <c r="BM1959" s="35"/>
      <c r="BN1959" s="35"/>
      <c r="BO1959" s="86"/>
    </row>
    <row r="1960" spans="1:67" s="55" customFormat="1" ht="15" customHeight="1" x14ac:dyDescent="0.25">
      <c r="A1960" s="520">
        <f>IFERROR(VLOOKUP($G$5,'רשימת רשויות'!A:C,3,0),0)</f>
        <v>0</v>
      </c>
      <c r="B1960" s="520">
        <f t="shared" si="279"/>
        <v>0</v>
      </c>
      <c r="C1960" s="39"/>
      <c r="D1960" s="1134"/>
      <c r="E1960" s="1137"/>
      <c r="F1960" s="589" t="s">
        <v>3</v>
      </c>
      <c r="G1960" s="117">
        <f>IF(G1944="תקין",SUMIFS('דוח הוצאות בפועל (4)'!$E$17:$E$3016,'דוח הוצאות בפועל (4)'!$B$17:$B$3016,'בית ספר - תקצוב לפי מוסד (9)'!$G1939,'דוח הוצאות בפועל (4)'!$M$17:$M$3016,"ני")+SUMIFS('דוח הוצאות בפועל (4)'!$E$17:$E$3016,'דוח הוצאות בפועל (4)'!$B$17:$B$3016,'בית ספר - תקצוב לפי מוסד (9)'!$G1939,'דוח הוצאות בפועל (4)'!$M$17:$M$3016,"על"),0)-Y1960</f>
        <v>0</v>
      </c>
      <c r="H1960" s="117">
        <f>H1941</f>
        <v>0</v>
      </c>
      <c r="I1960" s="138">
        <f>IFERROR(G1960/H1960,0)</f>
        <v>0</v>
      </c>
      <c r="J1960" s="117">
        <f>IFERROR(IF(G1960/H1962&gt;0.15,MIN(H1962*0.15,H1960),MIN(H1960,IF(ISNUMBER(G1960),G1960,0))),0)</f>
        <v>0</v>
      </c>
      <c r="K1960" s="120">
        <f>MAX(H1960-G1960,0)</f>
        <v>0</v>
      </c>
      <c r="L1960" s="407"/>
      <c r="M1960" s="393"/>
      <c r="N1960" s="393"/>
      <c r="O1960" s="602"/>
      <c r="P1960" s="620">
        <f>IF(I1960&lt;100%,MIN(H1960-G1960,H1960*0.25),0)</f>
        <v>0</v>
      </c>
      <c r="Q1960" s="620">
        <f>MAX(MIN(IF(G1960-H1960&gt;0,G1960-H1960,0),$H1962*0.15-H1960-J1961),0)</f>
        <v>0</v>
      </c>
      <c r="R1960" s="596"/>
      <c r="S1960" s="610" t="s">
        <v>3</v>
      </c>
      <c r="T1960" s="599">
        <f>G1939</f>
        <v>0</v>
      </c>
      <c r="U1960" s="578"/>
      <c r="V1960" s="579">
        <f t="shared" ref="V1960" si="283">G1960</f>
        <v>0</v>
      </c>
      <c r="W1960" s="579">
        <f t="shared" si="280"/>
        <v>0</v>
      </c>
      <c r="X1960" s="579"/>
      <c r="Y1960" s="879"/>
      <c r="Z1960" s="121"/>
      <c r="AA1960" s="143"/>
      <c r="AB1960" s="143"/>
      <c r="AC1960" s="504">
        <v>0</v>
      </c>
      <c r="AD1960" s="505">
        <f t="shared" si="281"/>
        <v>0</v>
      </c>
      <c r="AE1960" s="143"/>
      <c r="AG1960" s="22"/>
      <c r="AH1960" s="22"/>
      <c r="AI1960" s="22"/>
      <c r="AJ1960" s="22"/>
      <c r="AK1960" s="22"/>
      <c r="AL1960" s="22"/>
      <c r="AM1960" s="22"/>
      <c r="AN1960" s="22"/>
      <c r="AO1960" s="22"/>
      <c r="AP1960" s="22"/>
      <c r="AQ1960" s="22"/>
      <c r="AR1960" s="22"/>
      <c r="AS1960" s="22"/>
      <c r="AT1960" s="22"/>
      <c r="AU1960" s="35"/>
      <c r="AV1960" s="35"/>
      <c r="AW1960" s="35"/>
      <c r="AX1960" s="35"/>
      <c r="AY1960" s="35"/>
      <c r="AZ1960" s="35"/>
      <c r="BA1960" s="35"/>
      <c r="BB1960" s="35"/>
      <c r="BC1960" s="35"/>
      <c r="BD1960" s="35"/>
      <c r="BE1960" s="35"/>
      <c r="BF1960" s="35"/>
      <c r="BG1960" s="35"/>
      <c r="BH1960" s="35"/>
      <c r="BI1960" s="35"/>
      <c r="BJ1960" s="35"/>
      <c r="BK1960" s="35"/>
      <c r="BL1960" s="35"/>
      <c r="BM1960" s="35"/>
      <c r="BN1960" s="35"/>
      <c r="BO1960" s="86"/>
    </row>
    <row r="1961" spans="1:67" s="55" customFormat="1" ht="15.75" customHeight="1" x14ac:dyDescent="0.25">
      <c r="A1961" s="520">
        <f>IFERROR(VLOOKUP($G$5,'רשימת רשויות'!A:C,3,0),0)</f>
        <v>0</v>
      </c>
      <c r="B1961" s="520">
        <f t="shared" si="279"/>
        <v>0</v>
      </c>
      <c r="C1961" s="39"/>
      <c r="D1961" s="1134"/>
      <c r="E1961" s="1137"/>
      <c r="F1961" s="589" t="s">
        <v>2918</v>
      </c>
      <c r="G1961" s="117">
        <f>0.07*(G1955+G1954)</f>
        <v>0</v>
      </c>
      <c r="H1961" s="117">
        <f>H1943</f>
        <v>0</v>
      </c>
      <c r="I1961" s="138">
        <f>IFERROR(G1961/H1961,0)</f>
        <v>0</v>
      </c>
      <c r="J1961" s="117">
        <f>IFERROR(MIN(0.07*(G1954+G1955),0.07*I1943),0)</f>
        <v>0</v>
      </c>
      <c r="K1961" s="120">
        <f>MAX(H1961-G1961,0)</f>
        <v>0</v>
      </c>
      <c r="L1961" s="407"/>
      <c r="M1961" s="393"/>
      <c r="N1961" s="393"/>
      <c r="O1961" s="602"/>
      <c r="P1961" s="620"/>
      <c r="Q1961" s="619"/>
      <c r="R1961" s="596"/>
      <c r="S1961" s="611"/>
      <c r="T1961" s="599">
        <f>G1939</f>
        <v>0</v>
      </c>
      <c r="U1961" s="578"/>
      <c r="V1961" s="579"/>
      <c r="W1961" s="579">
        <f t="shared" si="280"/>
        <v>0</v>
      </c>
      <c r="X1961" s="579"/>
      <c r="Y1961" s="879"/>
      <c r="Z1961" s="121"/>
      <c r="AA1961" s="143"/>
      <c r="AB1961" s="143"/>
      <c r="AC1961" s="504"/>
      <c r="AD1961" s="505"/>
      <c r="AE1961" s="143"/>
      <c r="AF1961" s="140"/>
      <c r="AG1961" s="22"/>
      <c r="AH1961" s="22"/>
      <c r="AI1961" s="22"/>
      <c r="AJ1961" s="22"/>
      <c r="AK1961" s="22"/>
      <c r="AL1961" s="22"/>
      <c r="AM1961" s="22"/>
      <c r="AN1961" s="22"/>
      <c r="AO1961" s="22"/>
      <c r="AP1961" s="22"/>
      <c r="AQ1961" s="22"/>
      <c r="AR1961" s="22"/>
      <c r="AS1961" s="22"/>
      <c r="AT1961" s="22"/>
      <c r="AU1961" s="35"/>
      <c r="AV1961" s="35"/>
      <c r="AW1961" s="35"/>
      <c r="AX1961" s="35"/>
      <c r="AY1961" s="35"/>
      <c r="AZ1961" s="35"/>
      <c r="BA1961" s="35"/>
      <c r="BB1961" s="35"/>
      <c r="BC1961" s="35"/>
      <c r="BD1961" s="35"/>
      <c r="BE1961" s="35"/>
      <c r="BF1961" s="35"/>
      <c r="BG1961" s="35"/>
      <c r="BH1961" s="35"/>
      <c r="BI1961" s="35"/>
      <c r="BJ1961" s="35"/>
      <c r="BK1961" s="35"/>
      <c r="BL1961" s="35"/>
      <c r="BM1961" s="35"/>
      <c r="BN1961" s="35"/>
      <c r="BO1961" s="86"/>
    </row>
    <row r="1962" spans="1:67" ht="15.75" customHeight="1" x14ac:dyDescent="0.25">
      <c r="A1962" s="520">
        <f>IFERROR(VLOOKUP($G$5,'רשימת רשויות'!A:C,3,0),0)</f>
        <v>0</v>
      </c>
      <c r="B1962" s="520">
        <f t="shared" si="279"/>
        <v>0</v>
      </c>
      <c r="D1962" s="1134"/>
      <c r="E1962" s="1137"/>
      <c r="F1962" s="591" t="s">
        <v>15</v>
      </c>
      <c r="G1962" s="134">
        <f>G1959+G1960+G1961</f>
        <v>0</v>
      </c>
      <c r="H1962" s="134">
        <f>H1959+H1960+H1961</f>
        <v>0</v>
      </c>
      <c r="I1962" s="138">
        <f>IFERROR(G1962/H1962,0)</f>
        <v>0</v>
      </c>
      <c r="J1962" s="139">
        <f>J1959+J1960+J1961</f>
        <v>0</v>
      </c>
      <c r="K1962" s="137">
        <f>K1960+K1959+K1961</f>
        <v>0</v>
      </c>
      <c r="L1962" s="408"/>
      <c r="M1962" s="394"/>
      <c r="N1962" s="394"/>
      <c r="O1962" s="602"/>
      <c r="P1962" s="621">
        <f>SUM(P1959:P1960)</f>
        <v>0</v>
      </c>
      <c r="Q1962" s="622">
        <f>Q1959+Q1960</f>
        <v>0</v>
      </c>
      <c r="R1962" s="596"/>
      <c r="S1962" s="611"/>
      <c r="T1962" s="599">
        <f>G1939</f>
        <v>0</v>
      </c>
      <c r="U1962" s="578"/>
      <c r="V1962" s="579"/>
      <c r="W1962" s="579">
        <f t="shared" si="280"/>
        <v>0</v>
      </c>
      <c r="X1962" s="579"/>
      <c r="Y1962" s="879"/>
      <c r="Z1962" s="106"/>
      <c r="AC1962" s="504"/>
      <c r="AD1962" s="505"/>
      <c r="AH1962" s="143"/>
      <c r="BO1962" s="86"/>
    </row>
    <row r="1963" spans="1:67" ht="15.75" customHeight="1" x14ac:dyDescent="0.25">
      <c r="A1963" s="520">
        <f>IFERROR(VLOOKUP($G$5,'רשימת רשויות'!A:C,3,0),0)</f>
        <v>0</v>
      </c>
      <c r="B1963" s="520">
        <f t="shared" si="279"/>
        <v>0</v>
      </c>
      <c r="D1963" s="1134"/>
      <c r="E1963" s="1137"/>
      <c r="F1963" s="589" t="s">
        <v>2261</v>
      </c>
      <c r="G1963" s="117">
        <f>IF(G1944="תקין",SUMIF('תשלומי הורים ומלגות להורים (5) '!$B$18:$B$517,$G1939,'תשלומי הורים ומלגות להורים (5) '!$C$18:$C$517),0)</f>
        <v>0</v>
      </c>
      <c r="H1963" s="117">
        <f>(G1942+G1943)*$G$7</f>
        <v>0</v>
      </c>
      <c r="I1963" s="141"/>
      <c r="J1963" s="141"/>
      <c r="K1963" s="142"/>
      <c r="L1963" s="395"/>
      <c r="M1963" s="395"/>
      <c r="N1963" s="395"/>
      <c r="O1963" s="602"/>
      <c r="P1963" s="623"/>
      <c r="Q1963" s="619"/>
      <c r="R1963" s="596"/>
      <c r="S1963" s="612"/>
      <c r="T1963" s="599">
        <f>G1939</f>
        <v>0</v>
      </c>
      <c r="U1963" s="578"/>
      <c r="V1963" s="579"/>
      <c r="W1963" s="579">
        <f t="shared" si="280"/>
        <v>0</v>
      </c>
      <c r="X1963" s="579"/>
      <c r="Y1963" s="879"/>
      <c r="Z1963" s="121"/>
      <c r="AA1963" s="143"/>
      <c r="AB1963" s="143"/>
      <c r="AC1963" s="504"/>
      <c r="AD1963" s="505"/>
      <c r="AE1963" s="143"/>
      <c r="AF1963" s="148"/>
      <c r="BO1963" s="86"/>
    </row>
    <row r="1964" spans="1:67" ht="15.75" customHeight="1" thickBot="1" x14ac:dyDescent="0.3">
      <c r="A1964" s="520">
        <f>IFERROR(VLOOKUP($G$5,'רשימת רשויות'!A:C,3,0),0)</f>
        <v>0</v>
      </c>
      <c r="B1964" s="520">
        <f t="shared" si="279"/>
        <v>0</v>
      </c>
      <c r="D1964" s="1134"/>
      <c r="E1964" s="1137"/>
      <c r="F1964" s="592" t="s">
        <v>21</v>
      </c>
      <c r="G1964" s="144">
        <f>G1962-G1963</f>
        <v>0</v>
      </c>
      <c r="H1964" s="144">
        <f>H1962-H1963</f>
        <v>0</v>
      </c>
      <c r="I1964" s="145"/>
      <c r="J1964" s="145"/>
      <c r="K1964" s="146"/>
      <c r="L1964" s="396"/>
      <c r="M1964" s="396"/>
      <c r="N1964" s="396"/>
      <c r="O1964" s="602"/>
      <c r="P1964" s="619"/>
      <c r="Q1964" s="619"/>
      <c r="R1964" s="596"/>
      <c r="S1964" s="612"/>
      <c r="T1964" s="599">
        <f>G1939</f>
        <v>0</v>
      </c>
      <c r="U1964" s="578"/>
      <c r="V1964" s="579"/>
      <c r="W1964" s="579">
        <f t="shared" si="280"/>
        <v>0</v>
      </c>
      <c r="X1964" s="579"/>
      <c r="Y1964" s="879"/>
      <c r="Z1964" s="147"/>
      <c r="AA1964" s="148"/>
      <c r="AB1964" s="148"/>
      <c r="AC1964" s="504"/>
      <c r="AD1964" s="505"/>
      <c r="AE1964" s="148"/>
      <c r="AF1964" s="148"/>
      <c r="BO1964" s="86"/>
    </row>
    <row r="1965" spans="1:67" ht="15.75" customHeight="1" thickBot="1" x14ac:dyDescent="0.3">
      <c r="A1965" s="520">
        <f>IFERROR(VLOOKUP($G$5,'רשימת רשויות'!A:C,3,0),0)</f>
        <v>0</v>
      </c>
      <c r="B1965" s="520">
        <f t="shared" si="279"/>
        <v>0</v>
      </c>
      <c r="D1965" s="1134"/>
      <c r="E1965" s="1137"/>
      <c r="F1965" s="580"/>
      <c r="G1965" s="580"/>
      <c r="H1965" s="147"/>
      <c r="I1965" s="149" t="s">
        <v>2197</v>
      </c>
      <c r="J1965" s="150">
        <f>MAX(MIN(P1962,Q1962),0)</f>
        <v>0</v>
      </c>
      <c r="K1965" s="580"/>
      <c r="L1965" s="580"/>
      <c r="M1965" s="580"/>
      <c r="N1965" s="580"/>
      <c r="O1965" s="580"/>
      <c r="P1965" s="615" t="s">
        <v>2317</v>
      </c>
      <c r="Q1965" s="624">
        <f>SUM(Q1966:Q1967)</f>
        <v>0</v>
      </c>
      <c r="R1965" s="596"/>
      <c r="S1965" s="612"/>
      <c r="T1965" s="599">
        <f>G1939</f>
        <v>0</v>
      </c>
      <c r="U1965" s="578"/>
      <c r="V1965" s="579"/>
      <c r="W1965" s="579">
        <f t="shared" si="280"/>
        <v>0</v>
      </c>
      <c r="X1965" s="579"/>
      <c r="Y1965" s="879"/>
      <c r="Z1965" s="106"/>
      <c r="AC1965" s="504"/>
      <c r="AD1965" s="505"/>
      <c r="AF1965" s="148"/>
      <c r="BO1965" s="86"/>
    </row>
    <row r="1966" spans="1:67" ht="16.5" thickBot="1" x14ac:dyDescent="0.3">
      <c r="A1966" s="520">
        <f>IFERROR(VLOOKUP($G$5,'רשימת רשויות'!A:C,3,0),0)</f>
        <v>0</v>
      </c>
      <c r="B1966" s="520">
        <f t="shared" si="279"/>
        <v>0</v>
      </c>
      <c r="D1966" s="1134"/>
      <c r="E1966" s="1137"/>
      <c r="F1966" s="580"/>
      <c r="G1966" s="580"/>
      <c r="H1966" s="580"/>
      <c r="I1966" s="84" t="s">
        <v>2193</v>
      </c>
      <c r="J1966" s="515" t="str">
        <f>IFERROR(1-H1963/H1962,"")</f>
        <v/>
      </c>
      <c r="K1966" s="580"/>
      <c r="L1966" s="580"/>
      <c r="M1966" s="580"/>
      <c r="N1966" s="580"/>
      <c r="O1966" s="580"/>
      <c r="P1966" s="615" t="s">
        <v>417</v>
      </c>
      <c r="Q1966" s="616">
        <f>IFERROR(MAX(H1964-I1967-Q1967,0),0)</f>
        <v>0</v>
      </c>
      <c r="R1966" s="596"/>
      <c r="S1966" s="600"/>
      <c r="T1966" s="599">
        <f>G1939</f>
        <v>0</v>
      </c>
      <c r="U1966" s="578"/>
      <c r="V1966" s="579"/>
      <c r="W1966" s="579">
        <f t="shared" si="280"/>
        <v>0</v>
      </c>
      <c r="X1966" s="579"/>
      <c r="Y1966" s="879"/>
      <c r="Z1966" s="106"/>
      <c r="AC1966" s="504"/>
      <c r="AD1966" s="505"/>
      <c r="BO1966" s="86"/>
    </row>
    <row r="1967" spans="1:67" ht="17.25" thickBot="1" x14ac:dyDescent="0.3">
      <c r="A1967" s="520">
        <f>IFERROR(VLOOKUP($G$5,'רשימת רשויות'!A:C,3,0),0)</f>
        <v>0</v>
      </c>
      <c r="B1967" s="520">
        <f t="shared" si="279"/>
        <v>0</v>
      </c>
      <c r="D1967" s="1134"/>
      <c r="E1967" s="1137"/>
      <c r="F1967" s="1143" t="s">
        <v>2679</v>
      </c>
      <c r="G1967" s="1143"/>
      <c r="H1967" s="1143"/>
      <c r="I1967" s="722">
        <f>IF(G1944="לא תקין","לא קיימת זכאות לתקציב לאור אי איוש משרות רכז ו/או סגן רכז ",IFERROR(J1966*(J1965+J1962),0))</f>
        <v>0</v>
      </c>
      <c r="J1967" s="573"/>
      <c r="K1967" s="574"/>
      <c r="L1967" s="396"/>
      <c r="M1967" s="574"/>
      <c r="N1967" s="574"/>
      <c r="O1967" s="574"/>
      <c r="P1967" s="615" t="s">
        <v>2279</v>
      </c>
      <c r="Q1967" s="616">
        <f>MAX(IF(AND(G1962&gt;H1962,I1967&lt;H1964),H1964-I1967,0),0)</f>
        <v>0</v>
      </c>
      <c r="R1967" s="575"/>
      <c r="S1967" s="576" t="s">
        <v>67</v>
      </c>
      <c r="T1967" s="577">
        <f>G1939</f>
        <v>0</v>
      </c>
      <c r="U1967" s="578"/>
      <c r="V1967" s="579">
        <f>I1967</f>
        <v>0</v>
      </c>
      <c r="W1967" s="579">
        <f>IFERROR(U1967-V1967,0)</f>
        <v>0</v>
      </c>
      <c r="X1967" s="579">
        <f>SUM(X1953:X1966)</f>
        <v>0</v>
      </c>
      <c r="Y1967" s="879"/>
      <c r="Z1967" s="106"/>
      <c r="AC1967" s="506">
        <v>0</v>
      </c>
      <c r="AD1967" s="507">
        <f>IFERROR(U1967-AC1967,0)</f>
        <v>0</v>
      </c>
      <c r="BO1967" s="86"/>
    </row>
    <row r="1968" spans="1:67" ht="16.5" thickBot="1" x14ac:dyDescent="0.3">
      <c r="A1968" s="520">
        <f>IFERROR(VLOOKUP($G$5,'רשימת רשויות'!A:C,3,0),0)</f>
        <v>0</v>
      </c>
      <c r="B1968" s="520">
        <f t="shared" si="279"/>
        <v>0</v>
      </c>
      <c r="D1968" s="1135"/>
      <c r="E1968" s="1138"/>
      <c r="F1968" s="1144" t="s">
        <v>2793</v>
      </c>
      <c r="G1968" s="1145"/>
      <c r="H1968" s="1145"/>
      <c r="I1968" s="593">
        <f>IFERROR(IF(G1944="תקין",SUMIFS('סייעות רפואיות או אישיות (7)'!$Q$17:Q$384,'סייעות רפואיות או אישיות (7)'!C$17:C$384,G1939),0),0)</f>
        <v>0</v>
      </c>
      <c r="J1968" s="151"/>
      <c r="K1968" s="152"/>
      <c r="L1968" s="409"/>
      <c r="M1968" s="152"/>
      <c r="N1968" s="152"/>
      <c r="O1968" s="152"/>
      <c r="P1968" s="613"/>
      <c r="Q1968" s="614"/>
      <c r="R1968" s="475"/>
      <c r="S1968" s="489"/>
      <c r="T1968" s="490"/>
      <c r="U1968" s="491"/>
      <c r="V1968" s="492"/>
      <c r="W1968" s="492"/>
      <c r="X1968" s="492"/>
      <c r="Y1968" s="880"/>
      <c r="Z1968" s="153"/>
      <c r="AC1968" s="581"/>
      <c r="AD1968" s="582"/>
      <c r="BO1968" s="86"/>
    </row>
    <row r="1969" spans="1:67" ht="34.5" thickBot="1" x14ac:dyDescent="0.55000000000000004">
      <c r="A1969" s="520">
        <f>IFERROR(VLOOKUP($G$5,'רשימת רשויות'!A:C,3,0),0)</f>
        <v>0</v>
      </c>
      <c r="B1969" s="520">
        <f t="shared" si="279"/>
        <v>0</v>
      </c>
      <c r="E1969" s="154"/>
      <c r="I1969" s="143"/>
      <c r="J1969" s="148"/>
      <c r="O1969" s="148"/>
      <c r="T1969" s="481"/>
      <c r="BO1969" s="86"/>
    </row>
    <row r="1970" spans="1:67" s="20" customFormat="1" ht="16.5" customHeight="1" thickBot="1" x14ac:dyDescent="0.3">
      <c r="A1970" s="520">
        <f>IFERROR(VLOOKUP($G$5,'רשימת רשויות'!A:C,3,0),0)</f>
        <v>0</v>
      </c>
      <c r="B1970" s="520">
        <f t="shared" si="279"/>
        <v>0</v>
      </c>
      <c r="C1970" s="39"/>
      <c r="D1970" s="1133">
        <f>D1939+1</f>
        <v>64</v>
      </c>
      <c r="E1970" s="1136" t="str">
        <f>IFERROR(CONCATENATE("בית הספר ",VLOOKUP(G1970,'מצבת והרשמה (2)'!$C$21:$D$520,2,0)," - ",$G$5),"")</f>
        <v>בית הספר המוסד לא קיים - 0</v>
      </c>
      <c r="F1970" s="720" t="s">
        <v>146</v>
      </c>
      <c r="G1970" s="721">
        <f>IFERROR(VLOOKUP(D:D,'דוח ביצוע (3)'!$A$21:$C$900,2,0),0)</f>
        <v>0</v>
      </c>
      <c r="H1970" s="79"/>
      <c r="I1970" s="80" t="s">
        <v>150</v>
      </c>
      <c r="J1970" s="80"/>
      <c r="K1970" s="81"/>
      <c r="L1970" s="392"/>
      <c r="M1970" s="392"/>
      <c r="N1970" s="392"/>
      <c r="O1970" s="82"/>
      <c r="P1970" s="470"/>
      <c r="Q1970" s="471"/>
      <c r="R1970" s="472"/>
      <c r="S1970" s="883"/>
      <c r="T1970" s="884"/>
      <c r="U1970" s="486"/>
      <c r="V1970" s="487"/>
      <c r="W1970" s="487"/>
      <c r="X1970" s="487"/>
      <c r="Y1970" s="885"/>
      <c r="Z1970" s="83"/>
      <c r="AC1970" s="502"/>
      <c r="AD1970" s="503"/>
      <c r="AO1970" s="22"/>
      <c r="AP1970" s="22"/>
      <c r="AQ1970" s="22"/>
      <c r="AR1970" s="22"/>
      <c r="AS1970" s="22"/>
      <c r="AT1970" s="22"/>
      <c r="AU1970" s="35"/>
      <c r="AV1970" s="35"/>
      <c r="AW1970" s="35"/>
      <c r="AX1970" s="35"/>
      <c r="AY1970" s="35"/>
      <c r="AZ1970" s="35"/>
      <c r="BA1970" s="35"/>
      <c r="BB1970" s="35"/>
      <c r="BC1970" s="35"/>
      <c r="BD1970" s="35"/>
      <c r="BE1970" s="35"/>
      <c r="BF1970" s="35"/>
      <c r="BG1970" s="35"/>
      <c r="BH1970" s="35"/>
      <c r="BI1970" s="35"/>
      <c r="BJ1970" s="35"/>
      <c r="BK1970" s="35"/>
      <c r="BL1970" s="35"/>
      <c r="BM1970" s="35"/>
      <c r="BN1970" s="35"/>
      <c r="BO1970" s="78"/>
    </row>
    <row r="1971" spans="1:67" s="20" customFormat="1" ht="16.5" thickBot="1" x14ac:dyDescent="0.3">
      <c r="A1971" s="520">
        <f>IFERROR(VLOOKUP($G$5,'רשימת רשויות'!A:C,3,0),0)</f>
        <v>0</v>
      </c>
      <c r="B1971" s="520">
        <f t="shared" si="279"/>
        <v>0</v>
      </c>
      <c r="C1971" s="39"/>
      <c r="D1971" s="1134"/>
      <c r="E1971" s="1137"/>
      <c r="F1971" s="583" t="s">
        <v>145</v>
      </c>
      <c r="G1971" s="516" t="str">
        <f>IFERROR(IF((G1973+G1974)=0,"",IF(VLOOKUP(G1970,'דוח ביצוע (3)'!$B$21:$K$900,5,0)&gt;149,"גדול",IF(AND(VLOOKUP(G1970,'דוח ביצוע (3)'!$B$21:$K$900,5,0)&gt;0,VLOOKUP(G1970,'דוח ביצוע (3)'!$B$21:$K$900,5,0)&lt;150),"קטן",0))),"")</f>
        <v/>
      </c>
      <c r="H1971" s="723" t="s">
        <v>88</v>
      </c>
      <c r="I1971" s="723" t="s">
        <v>13</v>
      </c>
      <c r="J1971" s="725" t="s">
        <v>14</v>
      </c>
      <c r="K1971" s="724" t="s">
        <v>94</v>
      </c>
      <c r="L1971" s="594"/>
      <c r="M1971" s="420" t="s">
        <v>2584</v>
      </c>
      <c r="N1971" s="397" t="s">
        <v>413</v>
      </c>
      <c r="O1971" s="398" t="s">
        <v>52</v>
      </c>
      <c r="P1971" s="595"/>
      <c r="Q1971" s="595"/>
      <c r="R1971" s="596"/>
      <c r="S1971" s="610"/>
      <c r="T1971" s="881"/>
      <c r="U1971" s="598"/>
      <c r="V1971" s="599"/>
      <c r="W1971" s="599"/>
      <c r="X1971" s="599"/>
      <c r="Y1971" s="879"/>
      <c r="Z1971" s="85"/>
      <c r="AC1971" s="493"/>
      <c r="AD1971" s="495"/>
      <c r="AO1971" s="22"/>
      <c r="AP1971" s="22"/>
      <c r="AQ1971" s="22"/>
      <c r="AR1971" s="22"/>
      <c r="AS1971" s="22"/>
      <c r="AT1971" s="22"/>
      <c r="AU1971" s="35"/>
      <c r="AV1971" s="35"/>
      <c r="AW1971" s="35"/>
      <c r="AX1971" s="35"/>
      <c r="AY1971" s="35"/>
      <c r="AZ1971" s="35"/>
      <c r="BA1971" s="35"/>
      <c r="BB1971" s="35"/>
      <c r="BC1971" s="35"/>
      <c r="BD1971" s="35"/>
      <c r="BE1971" s="35"/>
      <c r="BF1971" s="35"/>
      <c r="BG1971" s="35"/>
      <c r="BH1971" s="35"/>
      <c r="BI1971" s="35"/>
      <c r="BJ1971" s="35"/>
      <c r="BK1971" s="35"/>
      <c r="BL1971" s="35"/>
      <c r="BM1971" s="35"/>
      <c r="BN1971" s="35"/>
      <c r="BO1971" s="78"/>
    </row>
    <row r="1972" spans="1:67" s="20" customFormat="1" ht="15.75" customHeight="1" thickBot="1" x14ac:dyDescent="0.3">
      <c r="A1972" s="520">
        <f>IFERROR(VLOOKUP($G$5,'רשימת רשויות'!A:C,3,0),0)</f>
        <v>0</v>
      </c>
      <c r="B1972" s="520">
        <f t="shared" si="279"/>
        <v>0</v>
      </c>
      <c r="C1972" s="39"/>
      <c r="D1972" s="1134"/>
      <c r="E1972" s="1137"/>
      <c r="F1972" s="584" t="s">
        <v>144</v>
      </c>
      <c r="G1972" s="87">
        <f>IF(G1975="תקין",IFERROR(VLOOKUP($G1970,'דוח ביצוע (3)'!$B$21:$Q$900,12,0),0),0)</f>
        <v>0</v>
      </c>
      <c r="H1972" s="88">
        <f>IFERROR(G1973*$AH$6+G1974*$AH$7,0)</f>
        <v>0</v>
      </c>
      <c r="I1972" s="88">
        <f>IFERROR(G1973*$AI$6+G1974*$AI$7,0)</f>
        <v>0</v>
      </c>
      <c r="J1972" s="88">
        <f>IFERROR(G1973*$AJ$6+G1974*$AJ$7,0)</f>
        <v>0</v>
      </c>
      <c r="K1972" s="88">
        <f>IFERROR(G1973*$AK$6+G1974*$AK$7,0)</f>
        <v>0</v>
      </c>
      <c r="L1972" s="405"/>
      <c r="M1972" s="399" t="s">
        <v>427</v>
      </c>
      <c r="N1972" s="400" t="str">
        <f>IFERROR(VLOOKUP($G1970,'דוח ביצוע (3)'!$B:$AE,28,0),"")</f>
        <v/>
      </c>
      <c r="O1972" s="89" t="str">
        <f>IFERROR(VLOOKUP($G1970,'דוח ביצוע (3)'!B:AE,29,0),"")</f>
        <v/>
      </c>
      <c r="P1972" s="595"/>
      <c r="Q1972" s="595"/>
      <c r="R1972" s="596"/>
      <c r="S1972" s="610"/>
      <c r="T1972" s="881"/>
      <c r="U1972" s="598"/>
      <c r="V1972" s="599"/>
      <c r="W1972" s="599"/>
      <c r="X1972" s="599"/>
      <c r="Y1972" s="879"/>
      <c r="Z1972" s="85"/>
      <c r="AC1972" s="493"/>
      <c r="AD1972" s="495"/>
      <c r="AO1972" s="22"/>
      <c r="AP1972" s="22"/>
      <c r="AQ1972" s="22"/>
      <c r="AR1972" s="22"/>
      <c r="AS1972" s="22"/>
      <c r="AT1972" s="22"/>
      <c r="AU1972" s="35"/>
      <c r="AV1972" s="35"/>
      <c r="AW1972" s="35"/>
      <c r="AX1972" s="35"/>
      <c r="AY1972" s="35"/>
      <c r="AZ1972" s="35"/>
      <c r="BA1972" s="35"/>
      <c r="BB1972" s="35"/>
      <c r="BC1972" s="35"/>
      <c r="BD1972" s="35"/>
      <c r="BE1972" s="35"/>
      <c r="BF1972" s="35"/>
      <c r="BG1972" s="35"/>
      <c r="BH1972" s="35"/>
      <c r="BI1972" s="35"/>
      <c r="BJ1972" s="35"/>
      <c r="BK1972" s="35"/>
      <c r="BL1972" s="35"/>
      <c r="BM1972" s="35"/>
      <c r="BN1972" s="35"/>
      <c r="BO1972" s="78"/>
    </row>
    <row r="1973" spans="1:67" s="20" customFormat="1" ht="32.25" thickBot="1" x14ac:dyDescent="0.3">
      <c r="A1973" s="520">
        <f>IFERROR(VLOOKUP($G$5,'רשימת רשויות'!A:C,3,0),0)</f>
        <v>0</v>
      </c>
      <c r="B1973" s="520">
        <f t="shared" si="279"/>
        <v>0</v>
      </c>
      <c r="C1973" s="39"/>
      <c r="D1973" s="1134"/>
      <c r="E1973" s="1137"/>
      <c r="F1973" s="585" t="s">
        <v>2195</v>
      </c>
      <c r="G1973" s="89">
        <f>IF(G1975="תקין",MAX(N1975,0),0)</f>
        <v>0</v>
      </c>
      <c r="H1973" s="725" t="s">
        <v>151</v>
      </c>
      <c r="I1973" s="725" t="s">
        <v>91</v>
      </c>
      <c r="J1973" s="970" t="s">
        <v>3396</v>
      </c>
      <c r="K1973" s="601"/>
      <c r="L1973" s="601"/>
      <c r="M1973" s="983" t="s">
        <v>2585</v>
      </c>
      <c r="N1973" s="400" t="str">
        <f>IFERROR(G1972/15*N1972*1.25,"")</f>
        <v/>
      </c>
      <c r="O1973" s="89" t="str">
        <f>IFERROR(G1972/15*O1972*1.25,"")</f>
        <v/>
      </c>
      <c r="P1973" s="595"/>
      <c r="Q1973" s="595"/>
      <c r="R1973" s="596"/>
      <c r="S1973" s="610"/>
      <c r="T1973" s="881"/>
      <c r="U1973" s="598"/>
      <c r="V1973" s="599"/>
      <c r="W1973" s="599"/>
      <c r="X1973" s="599"/>
      <c r="Y1973" s="879"/>
      <c r="Z1973" s="85"/>
      <c r="AC1973" s="493"/>
      <c r="AD1973" s="495"/>
      <c r="AG1973" s="22"/>
      <c r="AH1973" s="55"/>
      <c r="AI1973" s="55"/>
      <c r="AJ1973" s="55"/>
      <c r="AK1973" s="55"/>
      <c r="AO1973" s="22"/>
      <c r="AP1973" s="22"/>
      <c r="AQ1973" s="22"/>
      <c r="AR1973" s="22"/>
      <c r="AS1973" s="22"/>
      <c r="AT1973" s="22"/>
      <c r="AU1973" s="35"/>
      <c r="AV1973" s="35"/>
      <c r="AW1973" s="35"/>
      <c r="AX1973" s="35"/>
      <c r="AY1973" s="35"/>
      <c r="AZ1973" s="35"/>
      <c r="BA1973" s="35"/>
      <c r="BB1973" s="35"/>
      <c r="BC1973" s="35"/>
      <c r="BD1973" s="35"/>
      <c r="BE1973" s="35"/>
      <c r="BF1973" s="35"/>
      <c r="BG1973" s="35"/>
      <c r="BH1973" s="35"/>
      <c r="BI1973" s="35"/>
      <c r="BJ1973" s="35"/>
      <c r="BK1973" s="35"/>
      <c r="BL1973" s="35"/>
      <c r="BM1973" s="35"/>
      <c r="BN1973" s="35"/>
      <c r="BO1973" s="86"/>
    </row>
    <row r="1974" spans="1:67" s="20" customFormat="1" ht="16.5" thickBot="1" x14ac:dyDescent="0.3">
      <c r="A1974" s="520">
        <f>IFERROR(VLOOKUP($G$5,'רשימת רשויות'!A:C,3,0),0)</f>
        <v>0</v>
      </c>
      <c r="B1974" s="520">
        <f t="shared" si="279"/>
        <v>0</v>
      </c>
      <c r="C1974" s="39"/>
      <c r="D1974" s="1134"/>
      <c r="E1974" s="1137"/>
      <c r="F1974" s="585" t="s">
        <v>2196</v>
      </c>
      <c r="G1974" s="89">
        <f>IF(G1975="תקין",MAX(O1975,0),0)</f>
        <v>0</v>
      </c>
      <c r="H1974" s="88">
        <f>(IFERROR(IF((G1973+G1974)=0,0,IF(G1971="קטן",G1972*$AH$10,G1972*$AH$11)),0))+(IFERROR(IF((G1973+G1974)=0,0,VLOOKUP(G1970,'דוח ביצוע (3)'!$B:$AH,33,0)),0))</f>
        <v>0</v>
      </c>
      <c r="I1974" s="88">
        <f>IFERROR(IF((G1973+G1974)=0,0,IF(G1971="קטן",G1972*$AI$10,G1972*$AI$11)),0)</f>
        <v>0</v>
      </c>
      <c r="J1974" s="88">
        <f>IFERROR(IF((G1973+G1974)=0,0,VLOOKUP(G1970,'דוח ביצוע (3)'!$B:$AH,32,0)),0)</f>
        <v>0</v>
      </c>
      <c r="K1974" s="90"/>
      <c r="L1974" s="90"/>
      <c r="M1974" s="399" t="s">
        <v>412</v>
      </c>
      <c r="N1974" s="400">
        <f>IFERROR(VLOOKUP($G1970,'דוח ביצוע (3)'!$B$21:$U$500,18,0),0)</f>
        <v>0</v>
      </c>
      <c r="O1974" s="401">
        <f>IFERROR(VLOOKUP($G1970,'דוח ביצוע (3)'!$B$21:$U$500,19,0),0)</f>
        <v>0</v>
      </c>
      <c r="P1974" s="595"/>
      <c r="Q1974" s="595"/>
      <c r="R1974" s="596"/>
      <c r="S1974" s="610"/>
      <c r="T1974" s="881"/>
      <c r="U1974" s="598"/>
      <c r="V1974" s="599"/>
      <c r="W1974" s="599"/>
      <c r="X1974" s="599"/>
      <c r="Y1974" s="879"/>
      <c r="Z1974" s="85"/>
      <c r="AC1974" s="493"/>
      <c r="AD1974" s="495"/>
      <c r="AG1974" s="22"/>
      <c r="AH1974" s="55"/>
      <c r="AI1974" s="55"/>
      <c r="AJ1974" s="55"/>
      <c r="AK1974" s="55"/>
      <c r="AO1974" s="22"/>
      <c r="AP1974" s="22"/>
      <c r="AQ1974" s="22"/>
      <c r="AR1974" s="22"/>
      <c r="AS1974" s="22"/>
      <c r="AT1974" s="22"/>
      <c r="AU1974" s="35"/>
      <c r="AV1974" s="35"/>
      <c r="AW1974" s="35"/>
      <c r="AX1974" s="35"/>
      <c r="AY1974" s="35"/>
      <c r="AZ1974" s="35"/>
      <c r="BA1974" s="35"/>
      <c r="BB1974" s="35"/>
      <c r="BC1974" s="35"/>
      <c r="BD1974" s="35"/>
      <c r="BE1974" s="35"/>
      <c r="BF1974" s="35"/>
      <c r="BG1974" s="35"/>
      <c r="BH1974" s="35"/>
      <c r="BI1974" s="35"/>
      <c r="BJ1974" s="35"/>
      <c r="BK1974" s="35"/>
      <c r="BL1974" s="35"/>
      <c r="BM1974" s="35"/>
      <c r="BN1974" s="35"/>
      <c r="BO1974" s="86"/>
    </row>
    <row r="1975" spans="1:67" s="20" customFormat="1" ht="16.5" thickBot="1" x14ac:dyDescent="0.3">
      <c r="A1975" s="520">
        <f>IFERROR(VLOOKUP($G$5,'רשימת רשויות'!A:C,3,0),0)</f>
        <v>0</v>
      </c>
      <c r="B1975" s="520">
        <f t="shared" si="279"/>
        <v>0</v>
      </c>
      <c r="C1975" s="39"/>
      <c r="D1975" s="1134"/>
      <c r="E1975" s="1137"/>
      <c r="F1975" s="586" t="s">
        <v>2355</v>
      </c>
      <c r="G1975" s="514">
        <f>IFERROR(IF(VLOOKUP('בית ספר - תקצוב לפי מוסד (9)'!G1970,' איוש משרות (8)'!$C:$K,9,0)="תקין","תקין","לא תקין"),0)</f>
        <v>0</v>
      </c>
      <c r="H1975" s="91"/>
      <c r="I1975" s="91"/>
      <c r="J1975" s="91"/>
      <c r="K1975" s="90"/>
      <c r="L1975" s="90"/>
      <c r="M1975" s="402" t="s">
        <v>2586</v>
      </c>
      <c r="N1975" s="403">
        <f>IFERROR(MIN(N1973,N1974),0)</f>
        <v>0</v>
      </c>
      <c r="O1975" s="404">
        <f>IFERROR(MIN(O1973,O1974),0)</f>
        <v>0</v>
      </c>
      <c r="P1975" s="595"/>
      <c r="Q1975" s="595"/>
      <c r="R1975" s="596"/>
      <c r="S1975" s="610"/>
      <c r="T1975" s="881"/>
      <c r="U1975" s="598"/>
      <c r="V1975" s="599"/>
      <c r="W1975" s="599"/>
      <c r="X1975" s="599"/>
      <c r="Y1975" s="879"/>
      <c r="Z1975" s="85"/>
      <c r="AC1975" s="493"/>
      <c r="AD1975" s="495"/>
      <c r="AG1975" s="94"/>
      <c r="AH1975" s="40"/>
      <c r="AI1975" s="40"/>
      <c r="AJ1975" s="40"/>
      <c r="AK1975" s="40"/>
      <c r="AO1975" s="22"/>
      <c r="AP1975" s="22"/>
      <c r="AQ1975" s="22"/>
      <c r="AR1975" s="22"/>
      <c r="AS1975" s="22"/>
      <c r="AT1975" s="22"/>
      <c r="AU1975" s="35"/>
      <c r="AV1975" s="35"/>
      <c r="AW1975" s="35"/>
      <c r="AX1975" s="35"/>
      <c r="AY1975" s="35"/>
      <c r="AZ1975" s="35"/>
      <c r="BA1975" s="35"/>
      <c r="BB1975" s="35"/>
      <c r="BC1975" s="35"/>
      <c r="BD1975" s="35"/>
      <c r="BE1975" s="35"/>
      <c r="BF1975" s="35"/>
      <c r="BG1975" s="35"/>
      <c r="BH1975" s="35"/>
      <c r="BI1975" s="35"/>
      <c r="BJ1975" s="35"/>
      <c r="BK1975" s="35"/>
      <c r="BL1975" s="35"/>
      <c r="BM1975" s="35"/>
      <c r="BN1975" s="35"/>
      <c r="BO1975" s="86"/>
    </row>
    <row r="1976" spans="1:67" s="55" customFormat="1" ht="37.15" customHeight="1" thickBot="1" x14ac:dyDescent="0.3">
      <c r="A1976" s="520">
        <f>IFERROR(VLOOKUP($G$5,'רשימת רשויות'!A:C,3,0),0)</f>
        <v>0</v>
      </c>
      <c r="B1976" s="520">
        <f t="shared" si="279"/>
        <v>0</v>
      </c>
      <c r="C1976" s="39"/>
      <c r="D1976" s="1134"/>
      <c r="E1976" s="1137"/>
      <c r="F1976" s="587" t="s">
        <v>142</v>
      </c>
      <c r="G1976" s="92"/>
      <c r="H1976" s="92"/>
      <c r="I1976" s="92"/>
      <c r="J1976" s="92"/>
      <c r="K1976" s="602"/>
      <c r="L1976" s="602"/>
      <c r="M1976" s="602"/>
      <c r="N1976" s="602"/>
      <c r="O1976" s="602"/>
      <c r="P1976" s="595"/>
      <c r="Q1976" s="595"/>
      <c r="R1976" s="596"/>
      <c r="S1976" s="610"/>
      <c r="T1976" s="881"/>
      <c r="U1976" s="598"/>
      <c r="V1976" s="599"/>
      <c r="W1976" s="599"/>
      <c r="X1976" s="599"/>
      <c r="Y1976" s="879"/>
      <c r="Z1976" s="93"/>
      <c r="AC1976" s="493"/>
      <c r="AD1976" s="495"/>
      <c r="AF1976" s="22"/>
      <c r="AG1976" s="98"/>
      <c r="AH1976" s="98"/>
      <c r="AI1976" s="40"/>
      <c r="AJ1976" s="40"/>
      <c r="AK1976" s="40"/>
      <c r="AO1976" s="22"/>
      <c r="AP1976" s="22"/>
      <c r="AQ1976" s="22"/>
      <c r="AR1976" s="22"/>
      <c r="AS1976" s="22"/>
      <c r="AT1976" s="22"/>
      <c r="AU1976" s="35"/>
      <c r="AV1976" s="35"/>
      <c r="AW1976" s="35"/>
      <c r="AX1976" s="35"/>
      <c r="AY1976" s="35"/>
      <c r="AZ1976" s="35"/>
      <c r="BA1976" s="35"/>
      <c r="BB1976" s="35"/>
      <c r="BC1976" s="35"/>
      <c r="BD1976" s="35"/>
      <c r="BE1976" s="35"/>
      <c r="BF1976" s="35"/>
      <c r="BG1976" s="35"/>
      <c r="BH1976" s="35"/>
      <c r="BI1976" s="35"/>
      <c r="BJ1976" s="35"/>
      <c r="BK1976" s="35"/>
      <c r="BL1976" s="35"/>
      <c r="BM1976" s="35"/>
      <c r="BN1976" s="35"/>
      <c r="BO1976" s="86"/>
    </row>
    <row r="1977" spans="1:67" s="40" customFormat="1" ht="31.5" x14ac:dyDescent="0.25">
      <c r="A1977" s="520">
        <f>IFERROR(VLOOKUP($G$5,'רשימת רשויות'!A:C,3,0),0)</f>
        <v>0</v>
      </c>
      <c r="B1977" s="520">
        <f t="shared" si="279"/>
        <v>0</v>
      </c>
      <c r="C1977" s="39"/>
      <c r="D1977" s="1134"/>
      <c r="E1977" s="1137"/>
      <c r="F1977" s="588" t="s">
        <v>94</v>
      </c>
      <c r="G1977" s="95" t="s">
        <v>18</v>
      </c>
      <c r="H1977" s="95" t="s">
        <v>19</v>
      </c>
      <c r="I1977" s="95" t="s">
        <v>138</v>
      </c>
      <c r="J1977" s="96" t="s">
        <v>139</v>
      </c>
      <c r="K1977" s="603"/>
      <c r="L1977" s="603"/>
      <c r="M1977" s="603"/>
      <c r="N1977" s="603"/>
      <c r="O1977" s="603"/>
      <c r="P1977" s="604"/>
      <c r="Q1977" s="604"/>
      <c r="R1977" s="596"/>
      <c r="S1977" s="610"/>
      <c r="T1977" s="881"/>
      <c r="U1977" s="598"/>
      <c r="V1977" s="599"/>
      <c r="W1977" s="599"/>
      <c r="X1977" s="599"/>
      <c r="Y1977" s="879"/>
      <c r="Z1977" s="97"/>
      <c r="AA1977" s="94"/>
      <c r="AB1977" s="94"/>
      <c r="AC1977" s="493"/>
      <c r="AD1977" s="495"/>
      <c r="AE1977" s="94"/>
      <c r="AG1977" s="98"/>
      <c r="AH1977" s="98"/>
      <c r="AO1977" s="22"/>
      <c r="AP1977" s="22"/>
      <c r="AQ1977" s="22"/>
      <c r="AR1977" s="22"/>
      <c r="AS1977" s="22"/>
      <c r="AT1977" s="22"/>
      <c r="AU1977" s="35"/>
      <c r="AV1977" s="35"/>
      <c r="AW1977" s="35"/>
      <c r="AX1977" s="35"/>
      <c r="AY1977" s="35"/>
      <c r="AZ1977" s="35"/>
      <c r="BA1977" s="35"/>
      <c r="BB1977" s="35"/>
      <c r="BC1977" s="35"/>
      <c r="BD1977" s="35"/>
      <c r="BE1977" s="35"/>
      <c r="BF1977" s="35"/>
      <c r="BG1977" s="35"/>
      <c r="BH1977" s="35"/>
      <c r="BI1977" s="35"/>
      <c r="BJ1977" s="35"/>
      <c r="BK1977" s="35"/>
      <c r="BL1977" s="35"/>
      <c r="BM1977" s="35"/>
      <c r="BN1977" s="35"/>
      <c r="BO1977" s="86"/>
    </row>
    <row r="1978" spans="1:67" s="40" customFormat="1" ht="15.75" customHeight="1" thickBot="1" x14ac:dyDescent="0.3">
      <c r="A1978" s="520">
        <f>IFERROR(VLOOKUP($G$5,'רשימת רשויות'!A:C,3,0),0)</f>
        <v>0</v>
      </c>
      <c r="B1978" s="520">
        <f t="shared" si="279"/>
        <v>0</v>
      </c>
      <c r="C1978" s="39"/>
      <c r="D1978" s="1134"/>
      <c r="E1978" s="1137"/>
      <c r="F1978" s="589" t="s">
        <v>2280</v>
      </c>
      <c r="G1978" s="99">
        <f>+G1989</f>
        <v>0</v>
      </c>
      <c r="H1978" s="100">
        <f>K1972</f>
        <v>0</v>
      </c>
      <c r="I1978" s="100">
        <f>H1978-I1980</f>
        <v>0</v>
      </c>
      <c r="J1978" s="101">
        <f>IFERROR(I1978/H1978,0)</f>
        <v>0</v>
      </c>
      <c r="K1978" s="603"/>
      <c r="L1978" s="603"/>
      <c r="M1978" s="603"/>
      <c r="N1978" s="603"/>
      <c r="O1978" s="603"/>
      <c r="P1978" s="605"/>
      <c r="Q1978" s="604"/>
      <c r="R1978" s="606" t="s">
        <v>157</v>
      </c>
      <c r="S1978" s="611"/>
      <c r="T1978" s="881"/>
      <c r="U1978" s="598"/>
      <c r="V1978" s="599"/>
      <c r="W1978" s="599"/>
      <c r="X1978" s="599"/>
      <c r="Y1978" s="879"/>
      <c r="Z1978" s="102"/>
      <c r="AA1978" s="122"/>
      <c r="AB1978" s="122"/>
      <c r="AC1978" s="493"/>
      <c r="AD1978" s="495"/>
      <c r="AE1978" s="122"/>
      <c r="AF1978" s="22"/>
      <c r="AG1978" s="98"/>
      <c r="AH1978" s="98"/>
      <c r="AI1978" s="20"/>
      <c r="AO1978" s="22"/>
      <c r="AP1978" s="22"/>
      <c r="AQ1978" s="22"/>
      <c r="AR1978" s="22"/>
      <c r="AS1978" s="22"/>
      <c r="AT1978" s="22"/>
      <c r="AU1978" s="35"/>
      <c r="AV1978" s="35"/>
      <c r="AW1978" s="35"/>
      <c r="AX1978" s="35"/>
      <c r="AY1978" s="35"/>
      <c r="AZ1978" s="35"/>
      <c r="BA1978" s="35"/>
      <c r="BB1978" s="35"/>
      <c r="BC1978" s="35"/>
      <c r="BD1978" s="35"/>
      <c r="BE1978" s="35"/>
      <c r="BF1978" s="35"/>
      <c r="BG1978" s="35"/>
      <c r="BH1978" s="35"/>
      <c r="BI1978" s="35"/>
      <c r="BJ1978" s="35"/>
      <c r="BK1978" s="35"/>
      <c r="BL1978" s="35"/>
      <c r="BM1978" s="35"/>
      <c r="BN1978" s="35"/>
      <c r="BO1978" s="86"/>
    </row>
    <row r="1979" spans="1:67" s="40" customFormat="1" ht="15.75" customHeight="1" thickBot="1" x14ac:dyDescent="0.3">
      <c r="A1979" s="520">
        <f>IFERROR(VLOOKUP($G$5,'רשימת רשויות'!A:C,3,0),0)</f>
        <v>0</v>
      </c>
      <c r="B1979" s="520">
        <f t="shared" si="279"/>
        <v>0</v>
      </c>
      <c r="C1979" s="39"/>
      <c r="D1979" s="1134"/>
      <c r="E1979" s="1137"/>
      <c r="F1979" s="589" t="s">
        <v>2281</v>
      </c>
      <c r="G1979" s="99">
        <f>+G1988</f>
        <v>0</v>
      </c>
      <c r="H1979" s="103"/>
      <c r="I1979" s="104"/>
      <c r="J1979" s="105"/>
      <c r="K1979" s="603"/>
      <c r="L1979" s="603"/>
      <c r="M1979" s="603"/>
      <c r="N1979" s="603"/>
      <c r="O1979" s="603"/>
      <c r="P1979" s="605"/>
      <c r="Q1979" s="604"/>
      <c r="R1979" s="473">
        <f>I1980-R1981</f>
        <v>0</v>
      </c>
      <c r="S1979" s="611"/>
      <c r="T1979" s="881"/>
      <c r="U1979" s="598"/>
      <c r="V1979" s="599"/>
      <c r="W1979" s="599"/>
      <c r="X1979" s="599"/>
      <c r="Y1979" s="879"/>
      <c r="Z1979" s="106"/>
      <c r="AA1979" s="22"/>
      <c r="AB1979" s="22"/>
      <c r="AC1979" s="493"/>
      <c r="AD1979" s="495"/>
      <c r="AE1979" s="22"/>
      <c r="AF1979" s="22"/>
      <c r="AG1979" s="98"/>
      <c r="AH1979" s="98"/>
      <c r="AI1979" s="20"/>
      <c r="AO1979" s="22"/>
      <c r="AP1979" s="22"/>
      <c r="AQ1979" s="22"/>
      <c r="AR1979" s="22"/>
      <c r="AS1979" s="22"/>
      <c r="AT1979" s="22"/>
      <c r="AU1979" s="35"/>
      <c r="AV1979" s="35"/>
      <c r="AW1979" s="35"/>
      <c r="AX1979" s="35"/>
      <c r="AY1979" s="35"/>
      <c r="AZ1979" s="35"/>
      <c r="BA1979" s="35"/>
      <c r="BB1979" s="35"/>
      <c r="BC1979" s="35"/>
      <c r="BD1979" s="35"/>
      <c r="BE1979" s="35"/>
      <c r="BF1979" s="35"/>
      <c r="BG1979" s="35"/>
      <c r="BH1979" s="35"/>
      <c r="BI1979" s="35"/>
      <c r="BJ1979" s="35"/>
      <c r="BK1979" s="35"/>
      <c r="BL1979" s="35"/>
      <c r="BM1979" s="35"/>
      <c r="BN1979" s="35"/>
      <c r="BO1979" s="86"/>
    </row>
    <row r="1980" spans="1:67" s="40" customFormat="1" ht="16.5" customHeight="1" thickBot="1" x14ac:dyDescent="0.3">
      <c r="A1980" s="520">
        <f>IFERROR(VLOOKUP($G$5,'רשימת רשויות'!A:C,3,0),0)</f>
        <v>0</v>
      </c>
      <c r="B1980" s="520">
        <f t="shared" si="279"/>
        <v>0</v>
      </c>
      <c r="C1980" s="39"/>
      <c r="D1980" s="1134"/>
      <c r="E1980" s="1137"/>
      <c r="F1980" s="589" t="s">
        <v>2282</v>
      </c>
      <c r="G1980" s="99">
        <f>G1984+G1985+G1986</f>
        <v>0</v>
      </c>
      <c r="H1980" s="104"/>
      <c r="I1980" s="107">
        <f>MAX(H1978-G1978-G1979,0)</f>
        <v>0</v>
      </c>
      <c r="J1980" s="108">
        <f>IFERROR(I1980/H1978,0)</f>
        <v>0</v>
      </c>
      <c r="K1980" s="603"/>
      <c r="L1980" s="603"/>
      <c r="M1980" s="603"/>
      <c r="N1980" s="603"/>
      <c r="O1980" s="603"/>
      <c r="P1980" s="604"/>
      <c r="Q1980" s="604"/>
      <c r="R1980" s="606" t="s">
        <v>158</v>
      </c>
      <c r="S1980" s="612"/>
      <c r="T1980" s="881"/>
      <c r="U1980" s="598"/>
      <c r="V1980" s="599"/>
      <c r="W1980" s="599"/>
      <c r="X1980" s="599"/>
      <c r="Y1980" s="879"/>
      <c r="Z1980" s="106"/>
      <c r="AA1980" s="22"/>
      <c r="AB1980" s="22"/>
      <c r="AC1980" s="493"/>
      <c r="AD1980" s="495"/>
      <c r="AE1980" s="22"/>
      <c r="AF1980" s="22"/>
      <c r="AG1980" s="22"/>
      <c r="AH1980" s="22"/>
      <c r="AI1980" s="55"/>
      <c r="AJ1980" s="22"/>
      <c r="AK1980" s="22"/>
      <c r="AO1980" s="22"/>
      <c r="AP1980" s="22"/>
      <c r="AQ1980" s="22"/>
      <c r="AR1980" s="22"/>
      <c r="AS1980" s="22"/>
      <c r="AT1980" s="22"/>
      <c r="AU1980" s="35"/>
      <c r="AV1980" s="35"/>
      <c r="AW1980" s="35"/>
      <c r="AX1980" s="35"/>
      <c r="AY1980" s="35"/>
      <c r="AZ1980" s="35"/>
      <c r="BA1980" s="35"/>
      <c r="BB1980" s="35"/>
      <c r="BC1980" s="35"/>
      <c r="BD1980" s="35"/>
      <c r="BE1980" s="35"/>
      <c r="BF1980" s="35"/>
      <c r="BG1980" s="35"/>
      <c r="BH1980" s="35"/>
      <c r="BI1980" s="35"/>
      <c r="BJ1980" s="35"/>
      <c r="BK1980" s="35"/>
      <c r="BL1980" s="35"/>
      <c r="BM1980" s="35"/>
      <c r="BN1980" s="35"/>
      <c r="BO1980" s="86"/>
    </row>
    <row r="1981" spans="1:67" s="40" customFormat="1" ht="15.75" customHeight="1" thickBot="1" x14ac:dyDescent="0.3">
      <c r="A1981" s="520">
        <f>IFERROR(VLOOKUP($G$5,'רשימת רשויות'!A:C,3,0),0)</f>
        <v>0</v>
      </c>
      <c r="B1981" s="520">
        <f t="shared" si="279"/>
        <v>0</v>
      </c>
      <c r="C1981" s="39"/>
      <c r="D1981" s="1134"/>
      <c r="E1981" s="1137"/>
      <c r="F1981" s="590" t="s">
        <v>2290</v>
      </c>
      <c r="G1981" s="109"/>
      <c r="H1981" s="110"/>
      <c r="I1981" s="111">
        <f>SUM(I1978:I1980)</f>
        <v>0</v>
      </c>
      <c r="J1981" s="112">
        <f>SUM(J1978:J1980)</f>
        <v>0</v>
      </c>
      <c r="K1981" s="603"/>
      <c r="L1981" s="603"/>
      <c r="M1981" s="603"/>
      <c r="N1981" s="603"/>
      <c r="O1981" s="603"/>
      <c r="P1981" s="604"/>
      <c r="Q1981" s="604"/>
      <c r="R1981" s="473">
        <f>MIN(MAX(G1985+G1986-I1974-J1974,0),I1980)</f>
        <v>0</v>
      </c>
      <c r="S1981" s="612"/>
      <c r="T1981" s="881"/>
      <c r="U1981" s="598"/>
      <c r="V1981" s="599"/>
      <c r="W1981" s="599"/>
      <c r="X1981" s="599"/>
      <c r="Y1981" s="879"/>
      <c r="Z1981" s="106"/>
      <c r="AA1981" s="22"/>
      <c r="AB1981" s="22"/>
      <c r="AC1981" s="493"/>
      <c r="AD1981" s="495"/>
      <c r="AE1981" s="22"/>
      <c r="AF1981" s="22"/>
      <c r="AG1981" s="22"/>
      <c r="AH1981" s="22"/>
      <c r="AJ1981" s="22"/>
      <c r="AK1981" s="22"/>
      <c r="AO1981" s="22"/>
      <c r="AP1981" s="22"/>
      <c r="AQ1981" s="22"/>
      <c r="AR1981" s="22"/>
      <c r="AS1981" s="22"/>
      <c r="AT1981" s="22"/>
      <c r="AU1981" s="35"/>
      <c r="AV1981" s="35"/>
      <c r="AW1981" s="35"/>
      <c r="AX1981" s="35"/>
      <c r="AY1981" s="35"/>
      <c r="AZ1981" s="35"/>
      <c r="BA1981" s="35"/>
      <c r="BB1981" s="35"/>
      <c r="BC1981" s="35"/>
      <c r="BD1981" s="35"/>
      <c r="BE1981" s="35"/>
      <c r="BF1981" s="35"/>
      <c r="BG1981" s="35"/>
      <c r="BH1981" s="35"/>
      <c r="BI1981" s="35"/>
      <c r="BJ1981" s="35"/>
      <c r="BK1981" s="35"/>
      <c r="BL1981" s="35"/>
      <c r="BM1981" s="35"/>
      <c r="BN1981" s="35"/>
      <c r="BO1981" s="86"/>
    </row>
    <row r="1982" spans="1:67" ht="16.5" thickBot="1" x14ac:dyDescent="0.3">
      <c r="A1982" s="520">
        <f>IFERROR(VLOOKUP($G$5,'רשימת רשויות'!A:C,3,0),0)</f>
        <v>0</v>
      </c>
      <c r="B1982" s="520">
        <f t="shared" si="279"/>
        <v>0</v>
      </c>
      <c r="D1982" s="1134"/>
      <c r="E1982" s="1137"/>
      <c r="F1982" s="587" t="s">
        <v>17</v>
      </c>
      <c r="G1982" s="113"/>
      <c r="H1982" s="92"/>
      <c r="I1982" s="114"/>
      <c r="J1982" s="115"/>
      <c r="K1982" s="116"/>
      <c r="L1982" s="406"/>
      <c r="M1982" s="116"/>
      <c r="N1982" s="116"/>
      <c r="O1982" s="116"/>
      <c r="P1982" s="474"/>
      <c r="Q1982" s="607"/>
      <c r="R1982" s="608"/>
      <c r="S1982" s="612"/>
      <c r="T1982" s="881"/>
      <c r="U1982" s="598"/>
      <c r="V1982" s="599"/>
      <c r="W1982" s="599"/>
      <c r="X1982" s="599"/>
      <c r="Y1982" s="879"/>
      <c r="Z1982" s="106"/>
      <c r="AI1982" s="40"/>
      <c r="BO1982" s="86"/>
    </row>
    <row r="1983" spans="1:67" ht="47.25" x14ac:dyDescent="0.25">
      <c r="A1983" s="520">
        <f>IFERROR(VLOOKUP($G$5,'רשימת רשויות'!A:C,3,0),0)</f>
        <v>0</v>
      </c>
      <c r="B1983" s="520">
        <f t="shared" si="279"/>
        <v>0</v>
      </c>
      <c r="D1983" s="1134"/>
      <c r="E1983" s="1137"/>
      <c r="F1983" s="588" t="s">
        <v>2</v>
      </c>
      <c r="G1983" s="95" t="s">
        <v>18</v>
      </c>
      <c r="H1983" s="95" t="s">
        <v>19</v>
      </c>
      <c r="I1983" s="95" t="s">
        <v>20</v>
      </c>
      <c r="J1983" s="95" t="s">
        <v>22</v>
      </c>
      <c r="K1983" s="96" t="s">
        <v>2314</v>
      </c>
      <c r="L1983" s="609"/>
      <c r="M1983" s="609"/>
      <c r="N1983" s="609"/>
      <c r="O1983" s="580"/>
      <c r="P1983" s="618" t="s">
        <v>2298</v>
      </c>
      <c r="Q1983" s="618" t="s">
        <v>2299</v>
      </c>
      <c r="R1983" s="596"/>
      <c r="S1983" s="890" t="s">
        <v>2519</v>
      </c>
      <c r="T1983" s="890" t="s">
        <v>97</v>
      </c>
      <c r="U1983" s="891" t="s">
        <v>2521</v>
      </c>
      <c r="V1983" s="892" t="s">
        <v>2520</v>
      </c>
      <c r="W1983" s="893" t="s">
        <v>2524</v>
      </c>
      <c r="X1983" s="892" t="s">
        <v>2522</v>
      </c>
      <c r="Y1983" s="894" t="s">
        <v>2523</v>
      </c>
      <c r="Z1983" s="106"/>
      <c r="AC1983" s="498" t="s">
        <v>2568</v>
      </c>
      <c r="AD1983" s="499" t="s">
        <v>2569</v>
      </c>
      <c r="AF1983" s="122"/>
      <c r="AI1983" s="40"/>
      <c r="BO1983" s="86"/>
    </row>
    <row r="1984" spans="1:67" ht="15" customHeight="1" thickBot="1" x14ac:dyDescent="0.3">
      <c r="A1984" s="520">
        <f>IFERROR(VLOOKUP($G$5,'רשימת רשויות'!A:C,3,0),0)</f>
        <v>0</v>
      </c>
      <c r="B1984" s="520">
        <f t="shared" si="279"/>
        <v>0</v>
      </c>
      <c r="D1984" s="1134"/>
      <c r="E1984" s="1137"/>
      <c r="F1984" s="589" t="s">
        <v>76</v>
      </c>
      <c r="G1984" s="117">
        <f>IF(G1975="תקין",SUMIF('עלויות כח אדם (6)'!$B$15:$B$3014,'בית ספר - תקצוב לפי מוסד (9)'!$G1970,'עלויות כח אדם (6)'!$M$15:$M$3014)-VLOOKUP('בית ספר - תקצוב לפי מוסד (9)'!G1970,' איוש משרות (8)'!$C:$H,5,0)-VLOOKUP('בית ספר - תקצוב לפי מוסד (9)'!G1970,' איוש משרות (8)'!$C:$H,6,0),0)-Y1984</f>
        <v>0</v>
      </c>
      <c r="H1984" s="118">
        <f>I1972+R1979</f>
        <v>0</v>
      </c>
      <c r="I1984" s="119">
        <f>IFERROR(SUM(G1984)/H1984,0)</f>
        <v>0</v>
      </c>
      <c r="J1984" s="100">
        <f>MIN(I1972+R1979,IF(ISNUMBER(G1984),G1984,0))</f>
        <v>0</v>
      </c>
      <c r="K1984" s="120">
        <f>MAX(H1984-G1984,0)</f>
        <v>0</v>
      </c>
      <c r="L1984" s="407"/>
      <c r="M1984" s="393"/>
      <c r="N1984" s="393"/>
      <c r="O1984" s="580"/>
      <c r="P1984" s="968">
        <f>IFERROR(IF(SUM(G1984)/(I1972)&lt;100%,MIN((I1972)-SUM(G1984),(I1972)*0.25),0),0)</f>
        <v>0</v>
      </c>
      <c r="Q1984" s="968">
        <f>IF(SUM(G1984)-(I1972+R1979)&gt;0,SUM(G1984)-(I1972+R1979),0)</f>
        <v>0</v>
      </c>
      <c r="R1984" s="596" t="s">
        <v>2351</v>
      </c>
      <c r="S1984" s="576" t="s">
        <v>2342</v>
      </c>
      <c r="T1984" s="599">
        <f>G1970</f>
        <v>0</v>
      </c>
      <c r="U1984" s="578"/>
      <c r="V1984" s="579">
        <f>G1984+G1985+G1986</f>
        <v>0</v>
      </c>
      <c r="W1984" s="579">
        <f>U1984-V1984</f>
        <v>0</v>
      </c>
      <c r="X1984" s="579">
        <f>IFERROR(W1998*W1984/(SUM(W1984:W1997)),0)</f>
        <v>0</v>
      </c>
      <c r="Y1984" s="879">
        <f>SUMIFS(בקרה!$S:$S,בקרה!$D:$D,T1984,בקרה!$K:$K,S1984)</f>
        <v>0</v>
      </c>
      <c r="Z1984" s="121"/>
      <c r="AA1984" s="143"/>
      <c r="AB1984" s="143"/>
      <c r="AC1984" s="504">
        <v>0</v>
      </c>
      <c r="AD1984" s="505">
        <f>IFERROR(U1984-AC1984,0)</f>
        <v>0</v>
      </c>
      <c r="AE1984" s="143"/>
      <c r="AI1984" s="20"/>
      <c r="BO1984" s="86"/>
    </row>
    <row r="1985" spans="1:67" ht="15" customHeight="1" thickBot="1" x14ac:dyDescent="0.3">
      <c r="A1985" s="520">
        <f>IFERROR(VLOOKUP($G$5,'רשימת רשויות'!A:C,3,0),0)</f>
        <v>0</v>
      </c>
      <c r="B1985" s="520">
        <f t="shared" si="279"/>
        <v>0</v>
      </c>
      <c r="D1985" s="1134"/>
      <c r="E1985" s="1137"/>
      <c r="F1985" s="589" t="s">
        <v>44</v>
      </c>
      <c r="G1985" s="123">
        <f>IF(G1975="תקין",IFERROR(VLOOKUP('בית ספר - תקצוב לפי מוסד (9)'!G1970,' איוש משרות (8)'!C:J,7,0),0),0)</f>
        <v>0</v>
      </c>
      <c r="H1985" s="124">
        <f>I1974+R1981+J1974</f>
        <v>0</v>
      </c>
      <c r="I1985" s="119">
        <f>IFERROR(SUM(G1985:G1986)/H1985,0)</f>
        <v>0</v>
      </c>
      <c r="J1985" s="100">
        <f>MIN(R1981+I1974,IF(ISNUMBER(SUM(G1985:G1986)),SUM(G1985:G1986),0))</f>
        <v>0</v>
      </c>
      <c r="K1985" s="1139">
        <f>MAX((H1985)-(G1985+G1986),0)</f>
        <v>0</v>
      </c>
      <c r="L1985" s="407"/>
      <c r="M1985" s="393"/>
      <c r="N1985" s="393"/>
      <c r="O1985" s="580"/>
      <c r="P1985" s="1140"/>
      <c r="Q1985" s="1140"/>
      <c r="R1985" s="617">
        <f>MAX(MIN(P1993-Q1993,H1993*0.15-G1991),0)</f>
        <v>0</v>
      </c>
      <c r="S1985" s="576"/>
      <c r="T1985" s="599">
        <f>G1970</f>
        <v>0</v>
      </c>
      <c r="U1985" s="578"/>
      <c r="V1985" s="579"/>
      <c r="W1985" s="579">
        <f t="shared" ref="W1985:W1997" si="284">U1985-V1985</f>
        <v>0</v>
      </c>
      <c r="X1985" s="579"/>
      <c r="Y1985" s="879"/>
      <c r="Z1985" s="121"/>
      <c r="AA1985" s="143"/>
      <c r="AB1985" s="143"/>
      <c r="AC1985" s="504"/>
      <c r="AD1985" s="505">
        <f t="shared" ref="AD1985:AD1991" si="285">IFERROR(U1985-AC1985,0)</f>
        <v>0</v>
      </c>
      <c r="AE1985" s="143"/>
      <c r="AI1985" s="20"/>
      <c r="BO1985" s="86"/>
    </row>
    <row r="1986" spans="1:67" ht="15.75" customHeight="1" x14ac:dyDescent="0.25">
      <c r="A1986" s="520">
        <f>IFERROR(VLOOKUP($G$5,'רשימת רשויות'!A:C,3,0),0)</f>
        <v>0</v>
      </c>
      <c r="B1986" s="520">
        <f t="shared" si="279"/>
        <v>0</v>
      </c>
      <c r="D1986" s="1134"/>
      <c r="E1986" s="1137"/>
      <c r="F1986" s="589" t="s">
        <v>45</v>
      </c>
      <c r="G1986" s="123">
        <f>IF(G1975="תקין",IFERROR(VLOOKUP('בית ספר - תקצוב לפי מוסד (9)'!G1970,' איוש משרות (8)'!C:J,8,0),0),0)</f>
        <v>0</v>
      </c>
      <c r="H1986" s="125"/>
      <c r="I1986" s="126"/>
      <c r="J1986" s="104"/>
      <c r="K1986" s="1139"/>
      <c r="L1986" s="407"/>
      <c r="M1986" s="393"/>
      <c r="N1986" s="393"/>
      <c r="O1986" s="580"/>
      <c r="P1986" s="1140"/>
      <c r="Q1986" s="1140"/>
      <c r="R1986" s="596"/>
      <c r="S1986" s="576"/>
      <c r="T1986" s="599">
        <f>G1970</f>
        <v>0</v>
      </c>
      <c r="U1986" s="578"/>
      <c r="V1986" s="579"/>
      <c r="W1986" s="579">
        <f t="shared" si="284"/>
        <v>0</v>
      </c>
      <c r="X1986" s="579"/>
      <c r="Y1986" s="879"/>
      <c r="Z1986" s="121"/>
      <c r="AA1986" s="143"/>
      <c r="AB1986" s="143"/>
      <c r="AC1986" s="504"/>
      <c r="AD1986" s="505">
        <f t="shared" si="285"/>
        <v>0</v>
      </c>
      <c r="AE1986" s="143"/>
      <c r="AG1986" s="55"/>
      <c r="AH1986" s="55"/>
      <c r="AI1986" s="55"/>
      <c r="AJ1986" s="55"/>
      <c r="AK1986" s="55"/>
      <c r="BO1986" s="86"/>
    </row>
    <row r="1987" spans="1:67" ht="15.75" customHeight="1" x14ac:dyDescent="0.25">
      <c r="A1987" s="520">
        <f>IFERROR(VLOOKUP($G$5,'רשימת רשויות'!A:C,3,0),0)</f>
        <v>0</v>
      </c>
      <c r="B1987" s="520">
        <f t="shared" si="279"/>
        <v>0</v>
      </c>
      <c r="D1987" s="1134"/>
      <c r="E1987" s="1137"/>
      <c r="F1987" s="589" t="s">
        <v>0</v>
      </c>
      <c r="G1987" s="117">
        <f>IF(G1975="תקין",SUMIFS('דוח הוצאות בפועל (4)'!$E$17:$E$3016,'דוח הוצאות בפועל (4)'!$B$17:$B$3016,'בית ספר - תקצוב לפי מוסד (9)'!$G1970,'דוח הוצאות בפועל (4)'!$M$17:$M$3016,"הע"),0)-Y1987</f>
        <v>0</v>
      </c>
      <c r="H1987" s="127">
        <f>J1972</f>
        <v>0</v>
      </c>
      <c r="I1987" s="128">
        <f>IFERROR(G1987/H1987,0)</f>
        <v>0</v>
      </c>
      <c r="J1987" s="129">
        <f>MIN(IF(ISNUMBER(G1987),G1987,0),H1987)</f>
        <v>0</v>
      </c>
      <c r="K1987" s="120">
        <f>MAX(H1987-G1987,0)</f>
        <v>0</v>
      </c>
      <c r="L1987" s="407"/>
      <c r="M1987" s="393"/>
      <c r="N1987" s="393"/>
      <c r="O1987" s="580"/>
      <c r="P1987" s="968">
        <f>MAX(IF(I1987&lt;100%,MIN((H1987-G1987),H1987*0.25),0),0)</f>
        <v>0</v>
      </c>
      <c r="Q1987" s="619">
        <f>IF(G1987-H1987&gt;0,G1987-H1987,0)</f>
        <v>0</v>
      </c>
      <c r="R1987" s="596"/>
      <c r="S1987" s="610" t="s">
        <v>0</v>
      </c>
      <c r="T1987" s="599">
        <f>G1970</f>
        <v>0</v>
      </c>
      <c r="U1987" s="578"/>
      <c r="V1987" s="579">
        <f>G1987</f>
        <v>0</v>
      </c>
      <c r="W1987" s="579">
        <f t="shared" si="284"/>
        <v>0</v>
      </c>
      <c r="X1987" s="579">
        <f>IFERROR(W1998*W1987/(SUM(W1984:W1997)),0)</f>
        <v>0</v>
      </c>
      <c r="Y1987" s="879">
        <f>SUMIFS(בקרה!$S:$S,בקרה!$D:$D,T1987,בקרה!$K:$K,S1987)</f>
        <v>0</v>
      </c>
      <c r="Z1987" s="121"/>
      <c r="AA1987" s="143"/>
      <c r="AB1987" s="143"/>
      <c r="AC1987" s="504">
        <v>0</v>
      </c>
      <c r="AD1987" s="505">
        <f t="shared" si="285"/>
        <v>0</v>
      </c>
      <c r="AE1987" s="143"/>
      <c r="AG1987" s="55"/>
      <c r="AH1987" s="55"/>
      <c r="AI1987" s="40"/>
      <c r="AJ1987" s="55"/>
      <c r="AK1987" s="55"/>
      <c r="BO1987" s="86"/>
    </row>
    <row r="1988" spans="1:67" s="55" customFormat="1" ht="15.75" customHeight="1" x14ac:dyDescent="0.25">
      <c r="A1988" s="520">
        <f>IFERROR(VLOOKUP($G$5,'רשימת רשויות'!A:C,3,0),0)</f>
        <v>0</v>
      </c>
      <c r="B1988" s="520">
        <f t="shared" si="279"/>
        <v>0</v>
      </c>
      <c r="C1988" s="39"/>
      <c r="D1988" s="1134"/>
      <c r="E1988" s="1137"/>
      <c r="F1988" s="589" t="s">
        <v>93</v>
      </c>
      <c r="G1988" s="130">
        <f>IF(G1975="תקין",SUMIFS('דוח הוצאות בפועל (4)'!$E$17:$E$3016,'דוח הוצאות בפועל (4)'!$B$17:$B$3016,'בית ספר - תקצוב לפי מוסד (9)'!$G1970,'דוח הוצאות בפועל (4)'!$M$17:$M$3016,"אר"),0)-Y1988</f>
        <v>0</v>
      </c>
      <c r="H1988" s="118">
        <f>$I1978</f>
        <v>0</v>
      </c>
      <c r="I1988" s="131">
        <f>IFERROR((G1988+G1989)/H1988,0)</f>
        <v>0</v>
      </c>
      <c r="J1988" s="100">
        <f>MIN((IF(ISNUMBER(G1988),G1988,0)+IF(ISNUMBER(G1989),G1989,0)),H1988)</f>
        <v>0</v>
      </c>
      <c r="K1988" s="1139">
        <f>MAX((H1988)-(G1988+G1989),0)</f>
        <v>0</v>
      </c>
      <c r="L1988" s="407"/>
      <c r="M1988" s="393"/>
      <c r="N1988" s="393"/>
      <c r="O1988" s="602"/>
      <c r="P1988" s="1141"/>
      <c r="Q1988" s="1142"/>
      <c r="R1988" s="596"/>
      <c r="S1988" s="610" t="s">
        <v>93</v>
      </c>
      <c r="T1988" s="599">
        <f>G1970</f>
        <v>0</v>
      </c>
      <c r="U1988" s="578"/>
      <c r="V1988" s="579">
        <f t="shared" ref="V1988:V1989" si="286">G1988</f>
        <v>0</v>
      </c>
      <c r="W1988" s="579">
        <f t="shared" si="284"/>
        <v>0</v>
      </c>
      <c r="X1988" s="579">
        <f>IFERROR(W1998*W1988/(SUM(W1984:W1997)),0)</f>
        <v>0</v>
      </c>
      <c r="Y1988" s="879">
        <f>SUMIFS(בקרה!$S:$S,בקרה!$D:$D,T1988,בקרה!$K:$K,S1988)</f>
        <v>0</v>
      </c>
      <c r="Z1988" s="121"/>
      <c r="AA1988" s="143"/>
      <c r="AB1988" s="143"/>
      <c r="AC1988" s="504">
        <v>0</v>
      </c>
      <c r="AD1988" s="505">
        <f t="shared" si="285"/>
        <v>0</v>
      </c>
      <c r="AE1988" s="143"/>
      <c r="AJ1988" s="22"/>
      <c r="AO1988" s="22"/>
      <c r="AP1988" s="22"/>
      <c r="AQ1988" s="22"/>
      <c r="AR1988" s="22"/>
      <c r="AS1988" s="22"/>
      <c r="AT1988" s="22"/>
      <c r="AU1988" s="35"/>
      <c r="AV1988" s="35"/>
      <c r="AW1988" s="35"/>
      <c r="AX1988" s="35"/>
      <c r="AY1988" s="35"/>
      <c r="AZ1988" s="35"/>
      <c r="BA1988" s="35"/>
      <c r="BB1988" s="35"/>
      <c r="BC1988" s="35"/>
      <c r="BD1988" s="35"/>
      <c r="BE1988" s="35"/>
      <c r="BF1988" s="35"/>
      <c r="BG1988" s="35"/>
      <c r="BH1988" s="35"/>
      <c r="BI1988" s="35"/>
      <c r="BJ1988" s="35"/>
      <c r="BK1988" s="35"/>
      <c r="BL1988" s="35"/>
      <c r="BM1988" s="35"/>
      <c r="BN1988" s="35"/>
      <c r="BO1988" s="86"/>
    </row>
    <row r="1989" spans="1:67" s="55" customFormat="1" ht="15.75" customHeight="1" x14ac:dyDescent="0.25">
      <c r="A1989" s="520">
        <f>IFERROR(VLOOKUP($G$5,'רשימת רשויות'!A:C,3,0),0)</f>
        <v>0</v>
      </c>
      <c r="B1989" s="520">
        <f t="shared" si="279"/>
        <v>0</v>
      </c>
      <c r="C1989" s="39"/>
      <c r="D1989" s="1134"/>
      <c r="E1989" s="1137"/>
      <c r="F1989" s="589" t="s">
        <v>46</v>
      </c>
      <c r="G1989" s="130">
        <f>IF(G1975="תקין",SUMIFS('דוח הוצאות בפועל (4)'!$E$17:$E$3016,'דוח הוצאות בפועל (4)'!$B$17:$B$3016,'בית ספר - תקצוב לפי מוסד (9)'!$G1970,'דוח הוצאות בפועל (4)'!$M$17:$M$3016,"מל"),0)-Y1989</f>
        <v>0</v>
      </c>
      <c r="H1989" s="132"/>
      <c r="I1989" s="133"/>
      <c r="J1989" s="104"/>
      <c r="K1989" s="1139"/>
      <c r="L1989" s="407"/>
      <c r="M1989" s="393"/>
      <c r="N1989" s="393"/>
      <c r="O1989" s="602"/>
      <c r="P1989" s="1141"/>
      <c r="Q1989" s="1142"/>
      <c r="R1989" s="596"/>
      <c r="S1989" s="610" t="s">
        <v>46</v>
      </c>
      <c r="T1989" s="599">
        <f>G1970</f>
        <v>0</v>
      </c>
      <c r="U1989" s="578"/>
      <c r="V1989" s="579">
        <f t="shared" si="286"/>
        <v>0</v>
      </c>
      <c r="W1989" s="579">
        <f t="shared" si="284"/>
        <v>0</v>
      </c>
      <c r="X1989" s="579">
        <f>IFERROR(W1998*W1989/(SUM(W1984:W1997)),0)</f>
        <v>0</v>
      </c>
      <c r="Y1989" s="879">
        <f>SUMIFS(בקרה!$S:$S,בקרה!$D:$D,T1989,בקרה!$K:$K,S1989)</f>
        <v>0</v>
      </c>
      <c r="Z1989" s="121"/>
      <c r="AA1989" s="143"/>
      <c r="AB1989" s="143"/>
      <c r="AC1989" s="504">
        <v>0</v>
      </c>
      <c r="AD1989" s="505">
        <f t="shared" si="285"/>
        <v>0</v>
      </c>
      <c r="AE1989" s="143"/>
      <c r="AJ1989" s="22"/>
      <c r="AO1989" s="22"/>
      <c r="AP1989" s="22"/>
      <c r="AQ1989" s="22"/>
      <c r="AR1989" s="22"/>
      <c r="AS1989" s="22"/>
      <c r="AT1989" s="22"/>
      <c r="AU1989" s="35"/>
      <c r="AV1989" s="35"/>
      <c r="AW1989" s="35"/>
      <c r="AX1989" s="35"/>
      <c r="AY1989" s="35"/>
      <c r="AZ1989" s="35"/>
      <c r="BA1989" s="35"/>
      <c r="BB1989" s="35"/>
      <c r="BC1989" s="35"/>
      <c r="BD1989" s="35"/>
      <c r="BE1989" s="35"/>
      <c r="BF1989" s="35"/>
      <c r="BG1989" s="35"/>
      <c r="BH1989" s="35"/>
      <c r="BI1989" s="35"/>
      <c r="BJ1989" s="35"/>
      <c r="BK1989" s="35"/>
      <c r="BL1989" s="35"/>
      <c r="BM1989" s="35"/>
      <c r="BN1989" s="35"/>
      <c r="BO1989" s="86"/>
    </row>
    <row r="1990" spans="1:67" s="55" customFormat="1" ht="15" customHeight="1" x14ac:dyDescent="0.25">
      <c r="A1990" s="520">
        <f>IFERROR(VLOOKUP($G$5,'רשימת רשויות'!A:C,3,0),0)</f>
        <v>0</v>
      </c>
      <c r="B1990" s="520">
        <f t="shared" si="279"/>
        <v>0</v>
      </c>
      <c r="C1990" s="39"/>
      <c r="D1990" s="1134"/>
      <c r="E1990" s="1137"/>
      <c r="F1990" s="591" t="s">
        <v>23</v>
      </c>
      <c r="G1990" s="134">
        <f>SUM(G1984:G1989)</f>
        <v>0</v>
      </c>
      <c r="H1990" s="135">
        <f>SUM(H1984:H1989)</f>
        <v>0</v>
      </c>
      <c r="I1990" s="128">
        <f>IFERROR(G1990/H1990,0)</f>
        <v>0</v>
      </c>
      <c r="J1990" s="136">
        <f>SUM(J1984:J1989)</f>
        <v>0</v>
      </c>
      <c r="K1990" s="137">
        <f>SUM(K1984:K1989)</f>
        <v>0</v>
      </c>
      <c r="L1990" s="408"/>
      <c r="M1990" s="394"/>
      <c r="N1990" s="394"/>
      <c r="O1990" s="602"/>
      <c r="P1990" s="620">
        <f>SUM(P1984:P1989)</f>
        <v>0</v>
      </c>
      <c r="Q1990" s="620">
        <f>SUM(Q1984:Q1989)</f>
        <v>0</v>
      </c>
      <c r="R1990" s="596"/>
      <c r="S1990" s="610"/>
      <c r="T1990" s="599">
        <f>G1970</f>
        <v>0</v>
      </c>
      <c r="U1990" s="578"/>
      <c r="V1990" s="579"/>
      <c r="W1990" s="579">
        <f t="shared" si="284"/>
        <v>0</v>
      </c>
      <c r="X1990" s="579"/>
      <c r="Y1990" s="879"/>
      <c r="Z1990" s="121"/>
      <c r="AA1990" s="143"/>
      <c r="AB1990" s="143"/>
      <c r="AC1990" s="504"/>
      <c r="AD1990" s="505">
        <f t="shared" si="285"/>
        <v>0</v>
      </c>
      <c r="AE1990" s="143"/>
      <c r="AJ1990" s="22"/>
      <c r="AL1990" s="22"/>
      <c r="AM1990" s="22"/>
      <c r="AN1990" s="22"/>
      <c r="AO1990" s="22"/>
      <c r="AP1990" s="22"/>
      <c r="AQ1990" s="22"/>
      <c r="AR1990" s="22"/>
      <c r="AS1990" s="22"/>
      <c r="AT1990" s="22"/>
      <c r="AU1990" s="35"/>
      <c r="AV1990" s="35"/>
      <c r="AW1990" s="35"/>
      <c r="AX1990" s="35"/>
      <c r="AY1990" s="35"/>
      <c r="AZ1990" s="35"/>
      <c r="BA1990" s="35"/>
      <c r="BB1990" s="35"/>
      <c r="BC1990" s="35"/>
      <c r="BD1990" s="35"/>
      <c r="BE1990" s="35"/>
      <c r="BF1990" s="35"/>
      <c r="BG1990" s="35"/>
      <c r="BH1990" s="35"/>
      <c r="BI1990" s="35"/>
      <c r="BJ1990" s="35"/>
      <c r="BK1990" s="35"/>
      <c r="BL1990" s="35"/>
      <c r="BM1990" s="35"/>
      <c r="BN1990" s="35"/>
      <c r="BO1990" s="86"/>
    </row>
    <row r="1991" spans="1:67" s="55" customFormat="1" ht="15" customHeight="1" x14ac:dyDescent="0.25">
      <c r="A1991" s="520">
        <f>IFERROR(VLOOKUP($G$5,'רשימת רשויות'!A:C,3,0),0)</f>
        <v>0</v>
      </c>
      <c r="B1991" s="520">
        <f t="shared" si="279"/>
        <v>0</v>
      </c>
      <c r="C1991" s="39"/>
      <c r="D1991" s="1134"/>
      <c r="E1991" s="1137"/>
      <c r="F1991" s="589" t="s">
        <v>3</v>
      </c>
      <c r="G1991" s="117">
        <f>IF(G1975="תקין",SUMIFS('דוח הוצאות בפועל (4)'!$E$17:$E$3016,'דוח הוצאות בפועל (4)'!$B$17:$B$3016,'בית ספר - תקצוב לפי מוסד (9)'!$G1970,'דוח הוצאות בפועל (4)'!$M$17:$M$3016,"ני")+SUMIFS('דוח הוצאות בפועל (4)'!$E$17:$E$3016,'דוח הוצאות בפועל (4)'!$B$17:$B$3016,'בית ספר - תקצוב לפי מוסד (9)'!$G1970,'דוח הוצאות בפועל (4)'!$M$17:$M$3016,"על"),0)-Y1991</f>
        <v>0</v>
      </c>
      <c r="H1991" s="117">
        <f>H1972</f>
        <v>0</v>
      </c>
      <c r="I1991" s="138">
        <f>IFERROR(G1991/H1991,0)</f>
        <v>0</v>
      </c>
      <c r="J1991" s="117">
        <f>IFERROR(IF(G1991/H1993&gt;0.15,MIN(H1993*0.15,H1991),MIN(H1991,IF(ISNUMBER(G1991),G1991,0))),0)</f>
        <v>0</v>
      </c>
      <c r="K1991" s="120">
        <f>MAX(H1991-G1991,0)</f>
        <v>0</v>
      </c>
      <c r="L1991" s="407"/>
      <c r="M1991" s="393"/>
      <c r="N1991" s="393"/>
      <c r="O1991" s="602"/>
      <c r="P1991" s="620">
        <f>IF(I1991&lt;100%,MIN(H1991-G1991,H1991*0.25),0)</f>
        <v>0</v>
      </c>
      <c r="Q1991" s="620">
        <f>MAX(MIN(IF(G1991-H1991&gt;0,G1991-H1991,0),$H1993*0.15-H1991-J1992),0)</f>
        <v>0</v>
      </c>
      <c r="R1991" s="596"/>
      <c r="S1991" s="610" t="s">
        <v>3</v>
      </c>
      <c r="T1991" s="599">
        <f>G1970</f>
        <v>0</v>
      </c>
      <c r="U1991" s="578"/>
      <c r="V1991" s="579">
        <f t="shared" ref="V1991" si="287">G1991</f>
        <v>0</v>
      </c>
      <c r="W1991" s="579">
        <f t="shared" si="284"/>
        <v>0</v>
      </c>
      <c r="X1991" s="579"/>
      <c r="Y1991" s="879"/>
      <c r="Z1991" s="121"/>
      <c r="AA1991" s="143"/>
      <c r="AB1991" s="143"/>
      <c r="AC1991" s="504">
        <v>0</v>
      </c>
      <c r="AD1991" s="505">
        <f t="shared" si="285"/>
        <v>0</v>
      </c>
      <c r="AE1991" s="143"/>
      <c r="AG1991" s="22"/>
      <c r="AH1991" s="22"/>
      <c r="AI1991" s="22"/>
      <c r="AJ1991" s="22"/>
      <c r="AK1991" s="22"/>
      <c r="AL1991" s="22"/>
      <c r="AM1991" s="22"/>
      <c r="AN1991" s="22"/>
      <c r="AO1991" s="22"/>
      <c r="AP1991" s="22"/>
      <c r="AQ1991" s="22"/>
      <c r="AR1991" s="22"/>
      <c r="AS1991" s="22"/>
      <c r="AT1991" s="22"/>
      <c r="AU1991" s="35"/>
      <c r="AV1991" s="35"/>
      <c r="AW1991" s="35"/>
      <c r="AX1991" s="35"/>
      <c r="AY1991" s="35"/>
      <c r="AZ1991" s="35"/>
      <c r="BA1991" s="35"/>
      <c r="BB1991" s="35"/>
      <c r="BC1991" s="35"/>
      <c r="BD1991" s="35"/>
      <c r="BE1991" s="35"/>
      <c r="BF1991" s="35"/>
      <c r="BG1991" s="35"/>
      <c r="BH1991" s="35"/>
      <c r="BI1991" s="35"/>
      <c r="BJ1991" s="35"/>
      <c r="BK1991" s="35"/>
      <c r="BL1991" s="35"/>
      <c r="BM1991" s="35"/>
      <c r="BN1991" s="35"/>
      <c r="BO1991" s="86"/>
    </row>
    <row r="1992" spans="1:67" s="55" customFormat="1" ht="15.75" customHeight="1" x14ac:dyDescent="0.25">
      <c r="A1992" s="520">
        <f>IFERROR(VLOOKUP($G$5,'רשימת רשויות'!A:C,3,0),0)</f>
        <v>0</v>
      </c>
      <c r="B1992" s="520">
        <f t="shared" si="279"/>
        <v>0</v>
      </c>
      <c r="C1992" s="39"/>
      <c r="D1992" s="1134"/>
      <c r="E1992" s="1137"/>
      <c r="F1992" s="589" t="s">
        <v>2918</v>
      </c>
      <c r="G1992" s="117">
        <f>0.07*(G1986+G1985)</f>
        <v>0</v>
      </c>
      <c r="H1992" s="117">
        <f>H1974</f>
        <v>0</v>
      </c>
      <c r="I1992" s="138">
        <f>IFERROR(G1992/H1992,0)</f>
        <v>0</v>
      </c>
      <c r="J1992" s="117">
        <f>IFERROR(MIN(0.07*(G1985+G1986),0.07*I1974),0)</f>
        <v>0</v>
      </c>
      <c r="K1992" s="120">
        <f>MAX(H1992-G1992,0)</f>
        <v>0</v>
      </c>
      <c r="L1992" s="407"/>
      <c r="M1992" s="393"/>
      <c r="N1992" s="393"/>
      <c r="O1992" s="602"/>
      <c r="P1992" s="620"/>
      <c r="Q1992" s="619"/>
      <c r="R1992" s="596"/>
      <c r="S1992" s="611"/>
      <c r="T1992" s="599">
        <f>G1970</f>
        <v>0</v>
      </c>
      <c r="U1992" s="578"/>
      <c r="V1992" s="579"/>
      <c r="W1992" s="579">
        <f t="shared" si="284"/>
        <v>0</v>
      </c>
      <c r="X1992" s="579"/>
      <c r="Y1992" s="879"/>
      <c r="Z1992" s="121"/>
      <c r="AA1992" s="143"/>
      <c r="AB1992" s="143"/>
      <c r="AC1992" s="504"/>
      <c r="AD1992" s="505"/>
      <c r="AE1992" s="143"/>
      <c r="AF1992" s="140"/>
      <c r="AG1992" s="22"/>
      <c r="AH1992" s="22"/>
      <c r="AI1992" s="22"/>
      <c r="AJ1992" s="22"/>
      <c r="AK1992" s="22"/>
      <c r="AL1992" s="22"/>
      <c r="AM1992" s="22"/>
      <c r="AN1992" s="22"/>
      <c r="AO1992" s="22"/>
      <c r="AP1992" s="22"/>
      <c r="AQ1992" s="22"/>
      <c r="AR1992" s="22"/>
      <c r="AS1992" s="22"/>
      <c r="AT1992" s="22"/>
      <c r="AU1992" s="35"/>
      <c r="AV1992" s="35"/>
      <c r="AW1992" s="35"/>
      <c r="AX1992" s="35"/>
      <c r="AY1992" s="35"/>
      <c r="AZ1992" s="35"/>
      <c r="BA1992" s="35"/>
      <c r="BB1992" s="35"/>
      <c r="BC1992" s="35"/>
      <c r="BD1992" s="35"/>
      <c r="BE1992" s="35"/>
      <c r="BF1992" s="35"/>
      <c r="BG1992" s="35"/>
      <c r="BH1992" s="35"/>
      <c r="BI1992" s="35"/>
      <c r="BJ1992" s="35"/>
      <c r="BK1992" s="35"/>
      <c r="BL1992" s="35"/>
      <c r="BM1992" s="35"/>
      <c r="BN1992" s="35"/>
      <c r="BO1992" s="86"/>
    </row>
    <row r="1993" spans="1:67" ht="15.75" customHeight="1" x14ac:dyDescent="0.25">
      <c r="A1993" s="520">
        <f>IFERROR(VLOOKUP($G$5,'רשימת רשויות'!A:C,3,0),0)</f>
        <v>0</v>
      </c>
      <c r="B1993" s="520">
        <f t="shared" si="279"/>
        <v>0</v>
      </c>
      <c r="D1993" s="1134"/>
      <c r="E1993" s="1137"/>
      <c r="F1993" s="591" t="s">
        <v>15</v>
      </c>
      <c r="G1993" s="134">
        <f>G1990+G1991+G1992</f>
        <v>0</v>
      </c>
      <c r="H1993" s="134">
        <f>H1990+H1991+H1992</f>
        <v>0</v>
      </c>
      <c r="I1993" s="138">
        <f>IFERROR(G1993/H1993,0)</f>
        <v>0</v>
      </c>
      <c r="J1993" s="139">
        <f>J1990+J1991+J1992</f>
        <v>0</v>
      </c>
      <c r="K1993" s="137">
        <f>K1991+K1990+K1992</f>
        <v>0</v>
      </c>
      <c r="L1993" s="408"/>
      <c r="M1993" s="394"/>
      <c r="N1993" s="394"/>
      <c r="O1993" s="602"/>
      <c r="P1993" s="621">
        <f>SUM(P1990:P1991)</f>
        <v>0</v>
      </c>
      <c r="Q1993" s="622">
        <f>Q1990+Q1991</f>
        <v>0</v>
      </c>
      <c r="R1993" s="596"/>
      <c r="S1993" s="611"/>
      <c r="T1993" s="599">
        <f>G1970</f>
        <v>0</v>
      </c>
      <c r="U1993" s="578"/>
      <c r="V1993" s="579"/>
      <c r="W1993" s="579">
        <f t="shared" si="284"/>
        <v>0</v>
      </c>
      <c r="X1993" s="579"/>
      <c r="Y1993" s="879"/>
      <c r="Z1993" s="106"/>
      <c r="AC1993" s="504"/>
      <c r="AD1993" s="505"/>
      <c r="AH1993" s="143"/>
      <c r="BO1993" s="86"/>
    </row>
    <row r="1994" spans="1:67" ht="15.75" customHeight="1" x14ac:dyDescent="0.25">
      <c r="A1994" s="520">
        <f>IFERROR(VLOOKUP($G$5,'רשימת רשויות'!A:C,3,0),0)</f>
        <v>0</v>
      </c>
      <c r="B1994" s="520">
        <f t="shared" si="279"/>
        <v>0</v>
      </c>
      <c r="D1994" s="1134"/>
      <c r="E1994" s="1137"/>
      <c r="F1994" s="589" t="s">
        <v>2261</v>
      </c>
      <c r="G1994" s="117">
        <f>IF(G1975="תקין",SUMIF('תשלומי הורים ומלגות להורים (5) '!$B$18:$B$517,$G1970,'תשלומי הורים ומלגות להורים (5) '!$C$18:$C$517),0)</f>
        <v>0</v>
      </c>
      <c r="H1994" s="117">
        <f>(G1973+G1974)*$G$7</f>
        <v>0</v>
      </c>
      <c r="I1994" s="141"/>
      <c r="J1994" s="141"/>
      <c r="K1994" s="142"/>
      <c r="L1994" s="395"/>
      <c r="M1994" s="395"/>
      <c r="N1994" s="395"/>
      <c r="O1994" s="602"/>
      <c r="P1994" s="623"/>
      <c r="Q1994" s="619"/>
      <c r="R1994" s="596"/>
      <c r="S1994" s="612"/>
      <c r="T1994" s="599">
        <f>G1970</f>
        <v>0</v>
      </c>
      <c r="U1994" s="578"/>
      <c r="V1994" s="579"/>
      <c r="W1994" s="579">
        <f t="shared" si="284"/>
        <v>0</v>
      </c>
      <c r="X1994" s="579"/>
      <c r="Y1994" s="879"/>
      <c r="Z1994" s="121"/>
      <c r="AA1994" s="143"/>
      <c r="AB1994" s="143"/>
      <c r="AC1994" s="504"/>
      <c r="AD1994" s="505"/>
      <c r="AE1994" s="143"/>
      <c r="AF1994" s="148"/>
      <c r="BO1994" s="86"/>
    </row>
    <row r="1995" spans="1:67" ht="15.75" customHeight="1" thickBot="1" x14ac:dyDescent="0.3">
      <c r="A1995" s="520">
        <f>IFERROR(VLOOKUP($G$5,'רשימת רשויות'!A:C,3,0),0)</f>
        <v>0</v>
      </c>
      <c r="B1995" s="520">
        <f t="shared" si="279"/>
        <v>0</v>
      </c>
      <c r="D1995" s="1134"/>
      <c r="E1995" s="1137"/>
      <c r="F1995" s="592" t="s">
        <v>21</v>
      </c>
      <c r="G1995" s="144">
        <f>G1993-G1994</f>
        <v>0</v>
      </c>
      <c r="H1995" s="144">
        <f>H1993-H1994</f>
        <v>0</v>
      </c>
      <c r="I1995" s="145"/>
      <c r="J1995" s="145"/>
      <c r="K1995" s="146"/>
      <c r="L1995" s="396"/>
      <c r="M1995" s="396"/>
      <c r="N1995" s="396"/>
      <c r="O1995" s="602"/>
      <c r="P1995" s="619"/>
      <c r="Q1995" s="619"/>
      <c r="R1995" s="596"/>
      <c r="S1995" s="612"/>
      <c r="T1995" s="599">
        <f>G1970</f>
        <v>0</v>
      </c>
      <c r="U1995" s="578"/>
      <c r="V1995" s="579"/>
      <c r="W1995" s="579">
        <f t="shared" si="284"/>
        <v>0</v>
      </c>
      <c r="X1995" s="579"/>
      <c r="Y1995" s="879"/>
      <c r="Z1995" s="147"/>
      <c r="AA1995" s="148"/>
      <c r="AB1995" s="148"/>
      <c r="AC1995" s="504"/>
      <c r="AD1995" s="505"/>
      <c r="AE1995" s="148"/>
      <c r="AF1995" s="148"/>
      <c r="BO1995" s="86"/>
    </row>
    <row r="1996" spans="1:67" ht="15.75" customHeight="1" thickBot="1" x14ac:dyDescent="0.3">
      <c r="A1996" s="520">
        <f>IFERROR(VLOOKUP($G$5,'רשימת רשויות'!A:C,3,0),0)</f>
        <v>0</v>
      </c>
      <c r="B1996" s="520">
        <f t="shared" si="279"/>
        <v>0</v>
      </c>
      <c r="D1996" s="1134"/>
      <c r="E1996" s="1137"/>
      <c r="F1996" s="580"/>
      <c r="G1996" s="580"/>
      <c r="H1996" s="147"/>
      <c r="I1996" s="149" t="s">
        <v>2197</v>
      </c>
      <c r="J1996" s="150">
        <f>MAX(MIN(P1993,Q1993),0)</f>
        <v>0</v>
      </c>
      <c r="K1996" s="580"/>
      <c r="L1996" s="580"/>
      <c r="M1996" s="580"/>
      <c r="N1996" s="580"/>
      <c r="O1996" s="580"/>
      <c r="P1996" s="615" t="s">
        <v>2317</v>
      </c>
      <c r="Q1996" s="624">
        <f>SUM(Q1997:Q1998)</f>
        <v>0</v>
      </c>
      <c r="R1996" s="596"/>
      <c r="S1996" s="612"/>
      <c r="T1996" s="599">
        <f>G1970</f>
        <v>0</v>
      </c>
      <c r="U1996" s="578"/>
      <c r="V1996" s="579"/>
      <c r="W1996" s="579">
        <f t="shared" si="284"/>
        <v>0</v>
      </c>
      <c r="X1996" s="579"/>
      <c r="Y1996" s="879"/>
      <c r="Z1996" s="106"/>
      <c r="AC1996" s="504"/>
      <c r="AD1996" s="505"/>
      <c r="AF1996" s="148"/>
      <c r="BO1996" s="86"/>
    </row>
    <row r="1997" spans="1:67" ht="16.5" thickBot="1" x14ac:dyDescent="0.3">
      <c r="A1997" s="520">
        <f>IFERROR(VLOOKUP($G$5,'רשימת רשויות'!A:C,3,0),0)</f>
        <v>0</v>
      </c>
      <c r="B1997" s="520">
        <f t="shared" si="279"/>
        <v>0</v>
      </c>
      <c r="D1997" s="1134"/>
      <c r="E1997" s="1137"/>
      <c r="F1997" s="580"/>
      <c r="G1997" s="580"/>
      <c r="H1997" s="580"/>
      <c r="I1997" s="84" t="s">
        <v>2193</v>
      </c>
      <c r="J1997" s="515" t="str">
        <f>IFERROR(1-H1994/H1993,"")</f>
        <v/>
      </c>
      <c r="K1997" s="580"/>
      <c r="L1997" s="580"/>
      <c r="M1997" s="580"/>
      <c r="N1997" s="580"/>
      <c r="O1997" s="580"/>
      <c r="P1997" s="615" t="s">
        <v>417</v>
      </c>
      <c r="Q1997" s="616">
        <f>IFERROR(MAX(H1995-I1998-Q1998,0),0)</f>
        <v>0</v>
      </c>
      <c r="R1997" s="596"/>
      <c r="S1997" s="600"/>
      <c r="T1997" s="599">
        <f>G1970</f>
        <v>0</v>
      </c>
      <c r="U1997" s="578"/>
      <c r="V1997" s="579"/>
      <c r="W1997" s="579">
        <f t="shared" si="284"/>
        <v>0</v>
      </c>
      <c r="X1997" s="579"/>
      <c r="Y1997" s="879"/>
      <c r="Z1997" s="106"/>
      <c r="AC1997" s="504"/>
      <c r="AD1997" s="505"/>
      <c r="BO1997" s="86"/>
    </row>
    <row r="1998" spans="1:67" ht="17.25" thickBot="1" x14ac:dyDescent="0.3">
      <c r="A1998" s="520">
        <f>IFERROR(VLOOKUP($G$5,'רשימת רשויות'!A:C,3,0),0)</f>
        <v>0</v>
      </c>
      <c r="B1998" s="520">
        <f t="shared" ref="B1998:B2028" si="288">IF(F1999="סמל המוסד",G1999,B1997)</f>
        <v>0</v>
      </c>
      <c r="D1998" s="1134"/>
      <c r="E1998" s="1137"/>
      <c r="F1998" s="1143" t="s">
        <v>2679</v>
      </c>
      <c r="G1998" s="1143"/>
      <c r="H1998" s="1143"/>
      <c r="I1998" s="722">
        <f>IF(G1975="לא תקין","לא קיימת זכאות לתקציב לאור אי איוש משרות רכז ו/או סגן רכז ",IFERROR(J1997*(J1996+J1993),0))</f>
        <v>0</v>
      </c>
      <c r="J1998" s="573"/>
      <c r="K1998" s="574"/>
      <c r="L1998" s="396"/>
      <c r="M1998" s="574"/>
      <c r="N1998" s="574"/>
      <c r="O1998" s="574"/>
      <c r="P1998" s="615" t="s">
        <v>2279</v>
      </c>
      <c r="Q1998" s="616">
        <f>MAX(IF(AND(G1993&gt;H1993,I1998&lt;H1995),H1995-I1998,0),0)</f>
        <v>0</v>
      </c>
      <c r="R1998" s="575"/>
      <c r="S1998" s="576" t="s">
        <v>67</v>
      </c>
      <c r="T1998" s="577">
        <f>G1970</f>
        <v>0</v>
      </c>
      <c r="U1998" s="578"/>
      <c r="V1998" s="579">
        <f>I1998</f>
        <v>0</v>
      </c>
      <c r="W1998" s="579">
        <f>IFERROR(U1998-V1998,0)</f>
        <v>0</v>
      </c>
      <c r="X1998" s="579">
        <f>SUM(X1984:X1997)</f>
        <v>0</v>
      </c>
      <c r="Y1998" s="879"/>
      <c r="Z1998" s="106"/>
      <c r="AC1998" s="506">
        <v>0</v>
      </c>
      <c r="AD1998" s="507">
        <f>IFERROR(U1998-AC1998,0)</f>
        <v>0</v>
      </c>
      <c r="BO1998" s="86"/>
    </row>
    <row r="1999" spans="1:67" ht="16.5" thickBot="1" x14ac:dyDescent="0.3">
      <c r="A1999" s="520">
        <f>IFERROR(VLOOKUP($G$5,'רשימת רשויות'!A:C,3,0),0)</f>
        <v>0</v>
      </c>
      <c r="B1999" s="520">
        <f t="shared" si="288"/>
        <v>0</v>
      </c>
      <c r="D1999" s="1135"/>
      <c r="E1999" s="1138"/>
      <c r="F1999" s="1144" t="s">
        <v>2793</v>
      </c>
      <c r="G1999" s="1145"/>
      <c r="H1999" s="1145"/>
      <c r="I1999" s="593">
        <f>IFERROR(IF(G1975="תקין",SUMIFS('סייעות רפואיות או אישיות (7)'!$Q$17:Q$384,'סייעות רפואיות או אישיות (7)'!C$17:C$384,G1970),0),0)</f>
        <v>0</v>
      </c>
      <c r="J1999" s="151"/>
      <c r="K1999" s="152"/>
      <c r="L1999" s="409"/>
      <c r="M1999" s="152"/>
      <c r="N1999" s="152"/>
      <c r="O1999" s="152"/>
      <c r="P1999" s="613"/>
      <c r="Q1999" s="614"/>
      <c r="R1999" s="475"/>
      <c r="S1999" s="489"/>
      <c r="T1999" s="490"/>
      <c r="U1999" s="491"/>
      <c r="V1999" s="492"/>
      <c r="W1999" s="492"/>
      <c r="X1999" s="492"/>
      <c r="Y1999" s="880"/>
      <c r="Z1999" s="153"/>
      <c r="AC1999" s="581"/>
      <c r="AD1999" s="582"/>
      <c r="BO1999" s="86"/>
    </row>
    <row r="2000" spans="1:67" ht="34.5" thickBot="1" x14ac:dyDescent="0.55000000000000004">
      <c r="A2000" s="520">
        <f>IFERROR(VLOOKUP($G$5,'רשימת רשויות'!A:C,3,0),0)</f>
        <v>0</v>
      </c>
      <c r="B2000" s="520">
        <f t="shared" si="288"/>
        <v>0</v>
      </c>
      <c r="E2000" s="154"/>
      <c r="I2000" s="143"/>
      <c r="J2000" s="148"/>
      <c r="O2000" s="148"/>
      <c r="T2000" s="481"/>
      <c r="BO2000" s="86"/>
    </row>
    <row r="2001" spans="1:67" s="20" customFormat="1" ht="16.5" customHeight="1" thickBot="1" x14ac:dyDescent="0.3">
      <c r="A2001" s="520">
        <f>IFERROR(VLOOKUP($G$5,'רשימת רשויות'!A:C,3,0),0)</f>
        <v>0</v>
      </c>
      <c r="B2001" s="520">
        <f t="shared" si="288"/>
        <v>0</v>
      </c>
      <c r="C2001" s="39"/>
      <c r="D2001" s="1133">
        <f>D1970+1</f>
        <v>65</v>
      </c>
      <c r="E2001" s="1136" t="str">
        <f>IFERROR(CONCATENATE("בית הספר ",VLOOKUP(G2001,'מצבת והרשמה (2)'!$C$21:$D$520,2,0)," - ",$G$5),"")</f>
        <v>בית הספר המוסד לא קיים - 0</v>
      </c>
      <c r="F2001" s="720" t="s">
        <v>146</v>
      </c>
      <c r="G2001" s="721">
        <f>IFERROR(VLOOKUP(D:D,'דוח ביצוע (3)'!$A$21:$C$900,2,0),0)</f>
        <v>0</v>
      </c>
      <c r="H2001" s="79"/>
      <c r="I2001" s="80" t="s">
        <v>150</v>
      </c>
      <c r="J2001" s="80"/>
      <c r="K2001" s="81"/>
      <c r="L2001" s="392"/>
      <c r="M2001" s="392"/>
      <c r="N2001" s="392"/>
      <c r="O2001" s="82"/>
      <c r="P2001" s="470"/>
      <c r="Q2001" s="471"/>
      <c r="R2001" s="472"/>
      <c r="S2001" s="883"/>
      <c r="T2001" s="884"/>
      <c r="U2001" s="486"/>
      <c r="V2001" s="487"/>
      <c r="W2001" s="487"/>
      <c r="X2001" s="487"/>
      <c r="Y2001" s="885"/>
      <c r="Z2001" s="83"/>
      <c r="AC2001" s="502"/>
      <c r="AD2001" s="503"/>
      <c r="AO2001" s="22"/>
      <c r="AP2001" s="22"/>
      <c r="AQ2001" s="22"/>
      <c r="AR2001" s="22"/>
      <c r="AS2001" s="22"/>
      <c r="AT2001" s="22"/>
      <c r="AU2001" s="35"/>
      <c r="AV2001" s="35"/>
      <c r="AW2001" s="35"/>
      <c r="AX2001" s="35"/>
      <c r="AY2001" s="35"/>
      <c r="AZ2001" s="35"/>
      <c r="BA2001" s="35"/>
      <c r="BB2001" s="35"/>
      <c r="BC2001" s="35"/>
      <c r="BD2001" s="35"/>
      <c r="BE2001" s="35"/>
      <c r="BF2001" s="35"/>
      <c r="BG2001" s="35"/>
      <c r="BH2001" s="35"/>
      <c r="BI2001" s="35"/>
      <c r="BJ2001" s="35"/>
      <c r="BK2001" s="35"/>
      <c r="BL2001" s="35"/>
      <c r="BM2001" s="35"/>
      <c r="BN2001" s="35"/>
      <c r="BO2001" s="78"/>
    </row>
    <row r="2002" spans="1:67" s="20" customFormat="1" ht="16.5" thickBot="1" x14ac:dyDescent="0.3">
      <c r="A2002" s="520">
        <f>IFERROR(VLOOKUP($G$5,'רשימת רשויות'!A:C,3,0),0)</f>
        <v>0</v>
      </c>
      <c r="B2002" s="520">
        <f t="shared" si="288"/>
        <v>0</v>
      </c>
      <c r="C2002" s="39"/>
      <c r="D2002" s="1134"/>
      <c r="E2002" s="1137"/>
      <c r="F2002" s="583" t="s">
        <v>145</v>
      </c>
      <c r="G2002" s="516" t="str">
        <f>IFERROR(IF((G2004+G2005)=0,"",IF(VLOOKUP(G2001,'דוח ביצוע (3)'!$B$21:$K$900,5,0)&gt;149,"גדול",IF(AND(VLOOKUP(G2001,'דוח ביצוע (3)'!$B$21:$K$900,5,0)&gt;0,VLOOKUP(G2001,'דוח ביצוע (3)'!$B$21:$K$900,5,0)&lt;150),"קטן",0))),"")</f>
        <v/>
      </c>
      <c r="H2002" s="723" t="s">
        <v>88</v>
      </c>
      <c r="I2002" s="723" t="s">
        <v>13</v>
      </c>
      <c r="J2002" s="725" t="s">
        <v>14</v>
      </c>
      <c r="K2002" s="724" t="s">
        <v>94</v>
      </c>
      <c r="L2002" s="594"/>
      <c r="M2002" s="420" t="s">
        <v>2584</v>
      </c>
      <c r="N2002" s="397" t="s">
        <v>413</v>
      </c>
      <c r="O2002" s="398" t="s">
        <v>52</v>
      </c>
      <c r="P2002" s="595"/>
      <c r="Q2002" s="595"/>
      <c r="R2002" s="596"/>
      <c r="S2002" s="610"/>
      <c r="T2002" s="881"/>
      <c r="U2002" s="598"/>
      <c r="V2002" s="599"/>
      <c r="W2002" s="599"/>
      <c r="X2002" s="599"/>
      <c r="Y2002" s="879"/>
      <c r="Z2002" s="85"/>
      <c r="AC2002" s="493"/>
      <c r="AD2002" s="495"/>
      <c r="AO2002" s="22"/>
      <c r="AP2002" s="22"/>
      <c r="AQ2002" s="22"/>
      <c r="AR2002" s="22"/>
      <c r="AS2002" s="22"/>
      <c r="AT2002" s="22"/>
      <c r="AU2002" s="35"/>
      <c r="AV2002" s="35"/>
      <c r="AW2002" s="35"/>
      <c r="AX2002" s="35"/>
      <c r="AY2002" s="35"/>
      <c r="AZ2002" s="35"/>
      <c r="BA2002" s="35"/>
      <c r="BB2002" s="35"/>
      <c r="BC2002" s="35"/>
      <c r="BD2002" s="35"/>
      <c r="BE2002" s="35"/>
      <c r="BF2002" s="35"/>
      <c r="BG2002" s="35"/>
      <c r="BH2002" s="35"/>
      <c r="BI2002" s="35"/>
      <c r="BJ2002" s="35"/>
      <c r="BK2002" s="35"/>
      <c r="BL2002" s="35"/>
      <c r="BM2002" s="35"/>
      <c r="BN2002" s="35"/>
      <c r="BO2002" s="78"/>
    </row>
    <row r="2003" spans="1:67" s="20" customFormat="1" ht="15.75" customHeight="1" thickBot="1" x14ac:dyDescent="0.3">
      <c r="A2003" s="520">
        <f>IFERROR(VLOOKUP($G$5,'רשימת רשויות'!A:C,3,0),0)</f>
        <v>0</v>
      </c>
      <c r="B2003" s="520">
        <f t="shared" si="288"/>
        <v>0</v>
      </c>
      <c r="C2003" s="39"/>
      <c r="D2003" s="1134"/>
      <c r="E2003" s="1137"/>
      <c r="F2003" s="584" t="s">
        <v>144</v>
      </c>
      <c r="G2003" s="87">
        <f>IF(G2006="תקין",IFERROR(VLOOKUP($G2001,'דוח ביצוע (3)'!$B$21:$Q$900,12,0),0),0)</f>
        <v>0</v>
      </c>
      <c r="H2003" s="88">
        <f>IFERROR(G2004*$AH$6+G2005*$AH$7,0)</f>
        <v>0</v>
      </c>
      <c r="I2003" s="88">
        <f>IFERROR(G2004*$AI$6+G2005*$AI$7,0)</f>
        <v>0</v>
      </c>
      <c r="J2003" s="88">
        <f>IFERROR(G2004*$AJ$6+G2005*$AJ$7,0)</f>
        <v>0</v>
      </c>
      <c r="K2003" s="88">
        <f>IFERROR(G2004*$AK$6+G2005*$AK$7,0)</f>
        <v>0</v>
      </c>
      <c r="L2003" s="405"/>
      <c r="M2003" s="399" t="s">
        <v>427</v>
      </c>
      <c r="N2003" s="400" t="str">
        <f>IFERROR(VLOOKUP($G2001,'דוח ביצוע (3)'!$B:$AE,28,0),"")</f>
        <v/>
      </c>
      <c r="O2003" s="89" t="str">
        <f>IFERROR(VLOOKUP($G2001,'דוח ביצוע (3)'!B:AE,29,0),"")</f>
        <v/>
      </c>
      <c r="P2003" s="595"/>
      <c r="Q2003" s="595"/>
      <c r="R2003" s="596"/>
      <c r="S2003" s="610"/>
      <c r="T2003" s="881"/>
      <c r="U2003" s="598"/>
      <c r="V2003" s="599"/>
      <c r="W2003" s="599"/>
      <c r="X2003" s="599"/>
      <c r="Y2003" s="879"/>
      <c r="Z2003" s="85"/>
      <c r="AC2003" s="493"/>
      <c r="AD2003" s="495"/>
      <c r="AO2003" s="22"/>
      <c r="AP2003" s="22"/>
      <c r="AQ2003" s="22"/>
      <c r="AR2003" s="22"/>
      <c r="AS2003" s="22"/>
      <c r="AT2003" s="22"/>
      <c r="AU2003" s="35"/>
      <c r="AV2003" s="35"/>
      <c r="AW2003" s="35"/>
      <c r="AX2003" s="35"/>
      <c r="AY2003" s="35"/>
      <c r="AZ2003" s="35"/>
      <c r="BA2003" s="35"/>
      <c r="BB2003" s="35"/>
      <c r="BC2003" s="35"/>
      <c r="BD2003" s="35"/>
      <c r="BE2003" s="35"/>
      <c r="BF2003" s="35"/>
      <c r="BG2003" s="35"/>
      <c r="BH2003" s="35"/>
      <c r="BI2003" s="35"/>
      <c r="BJ2003" s="35"/>
      <c r="BK2003" s="35"/>
      <c r="BL2003" s="35"/>
      <c r="BM2003" s="35"/>
      <c r="BN2003" s="35"/>
      <c r="BO2003" s="78"/>
    </row>
    <row r="2004" spans="1:67" s="20" customFormat="1" ht="32.25" thickBot="1" x14ac:dyDescent="0.3">
      <c r="A2004" s="520">
        <f>IFERROR(VLOOKUP($G$5,'רשימת רשויות'!A:C,3,0),0)</f>
        <v>0</v>
      </c>
      <c r="B2004" s="520">
        <f t="shared" si="288"/>
        <v>0</v>
      </c>
      <c r="C2004" s="39"/>
      <c r="D2004" s="1134"/>
      <c r="E2004" s="1137"/>
      <c r="F2004" s="585" t="s">
        <v>2195</v>
      </c>
      <c r="G2004" s="89">
        <f>IF(G2006="תקין",MAX(N2006,0),0)</f>
        <v>0</v>
      </c>
      <c r="H2004" s="725" t="s">
        <v>151</v>
      </c>
      <c r="I2004" s="725" t="s">
        <v>91</v>
      </c>
      <c r="J2004" s="970" t="s">
        <v>3396</v>
      </c>
      <c r="K2004" s="601"/>
      <c r="L2004" s="601"/>
      <c r="M2004" s="983" t="s">
        <v>2585</v>
      </c>
      <c r="N2004" s="400" t="str">
        <f>IFERROR(G2003/15*N2003*1.25,"")</f>
        <v/>
      </c>
      <c r="O2004" s="89" t="str">
        <f>IFERROR(G2003/15*O2003*1.25,"")</f>
        <v/>
      </c>
      <c r="P2004" s="595"/>
      <c r="Q2004" s="595"/>
      <c r="R2004" s="596"/>
      <c r="S2004" s="610"/>
      <c r="T2004" s="881"/>
      <c r="U2004" s="598"/>
      <c r="V2004" s="599"/>
      <c r="W2004" s="599"/>
      <c r="X2004" s="599"/>
      <c r="Y2004" s="879"/>
      <c r="Z2004" s="85"/>
      <c r="AC2004" s="493"/>
      <c r="AD2004" s="495"/>
      <c r="AG2004" s="22"/>
      <c r="AH2004" s="55"/>
      <c r="AI2004" s="55"/>
      <c r="AJ2004" s="55"/>
      <c r="AK2004" s="55"/>
      <c r="AO2004" s="22"/>
      <c r="AP2004" s="22"/>
      <c r="AQ2004" s="22"/>
      <c r="AR2004" s="22"/>
      <c r="AS2004" s="22"/>
      <c r="AT2004" s="22"/>
      <c r="AU2004" s="35"/>
      <c r="AV2004" s="35"/>
      <c r="AW2004" s="35"/>
      <c r="AX2004" s="35"/>
      <c r="AY2004" s="35"/>
      <c r="AZ2004" s="35"/>
      <c r="BA2004" s="35"/>
      <c r="BB2004" s="35"/>
      <c r="BC2004" s="35"/>
      <c r="BD2004" s="35"/>
      <c r="BE2004" s="35"/>
      <c r="BF2004" s="35"/>
      <c r="BG2004" s="35"/>
      <c r="BH2004" s="35"/>
      <c r="BI2004" s="35"/>
      <c r="BJ2004" s="35"/>
      <c r="BK2004" s="35"/>
      <c r="BL2004" s="35"/>
      <c r="BM2004" s="35"/>
      <c r="BN2004" s="35"/>
      <c r="BO2004" s="86"/>
    </row>
    <row r="2005" spans="1:67" s="20" customFormat="1" ht="16.5" thickBot="1" x14ac:dyDescent="0.3">
      <c r="A2005" s="520">
        <f>IFERROR(VLOOKUP($G$5,'רשימת רשויות'!A:C,3,0),0)</f>
        <v>0</v>
      </c>
      <c r="B2005" s="520">
        <f t="shared" si="288"/>
        <v>0</v>
      </c>
      <c r="C2005" s="39"/>
      <c r="D2005" s="1134"/>
      <c r="E2005" s="1137"/>
      <c r="F2005" s="585" t="s">
        <v>2196</v>
      </c>
      <c r="G2005" s="89">
        <f>IF(G2006="תקין",MAX(O2006,0),0)</f>
        <v>0</v>
      </c>
      <c r="H2005" s="88">
        <f>(IFERROR(IF((G2004+G2005)=0,0,IF(G2002="קטן",G2003*$AH$10,G2003*$AH$11)),0))+(IFERROR(IF((G2004+G2005)=0,0,VLOOKUP(G2001,'דוח ביצוע (3)'!$B:$AH,33,0)),0))</f>
        <v>0</v>
      </c>
      <c r="I2005" s="88">
        <f>IFERROR(IF((G2004+G2005)=0,0,IF(G2002="קטן",G2003*$AI$10,G2003*$AI$11)),0)</f>
        <v>0</v>
      </c>
      <c r="J2005" s="88">
        <f>IFERROR(IF((G2004+G2005)=0,0,VLOOKUP(G2001,'דוח ביצוע (3)'!$B:$AH,32,0)),0)</f>
        <v>0</v>
      </c>
      <c r="K2005" s="90"/>
      <c r="L2005" s="90"/>
      <c r="M2005" s="399" t="s">
        <v>412</v>
      </c>
      <c r="N2005" s="400">
        <f>IFERROR(VLOOKUP($G2001,'דוח ביצוע (3)'!$B$21:$U$500,18,0),0)</f>
        <v>0</v>
      </c>
      <c r="O2005" s="401">
        <f>IFERROR(VLOOKUP($G2001,'דוח ביצוע (3)'!$B$21:$U$500,19,0),0)</f>
        <v>0</v>
      </c>
      <c r="P2005" s="595"/>
      <c r="Q2005" s="595"/>
      <c r="R2005" s="596"/>
      <c r="S2005" s="610"/>
      <c r="T2005" s="881"/>
      <c r="U2005" s="598"/>
      <c r="V2005" s="599"/>
      <c r="W2005" s="599"/>
      <c r="X2005" s="599"/>
      <c r="Y2005" s="879"/>
      <c r="Z2005" s="85"/>
      <c r="AC2005" s="493"/>
      <c r="AD2005" s="495"/>
      <c r="AG2005" s="22"/>
      <c r="AH2005" s="55"/>
      <c r="AI2005" s="55"/>
      <c r="AJ2005" s="55"/>
      <c r="AK2005" s="55"/>
      <c r="AO2005" s="22"/>
      <c r="AP2005" s="22"/>
      <c r="AQ2005" s="22"/>
      <c r="AR2005" s="22"/>
      <c r="AS2005" s="22"/>
      <c r="AT2005" s="22"/>
      <c r="AU2005" s="35"/>
      <c r="AV2005" s="35"/>
      <c r="AW2005" s="35"/>
      <c r="AX2005" s="35"/>
      <c r="AY2005" s="35"/>
      <c r="AZ2005" s="35"/>
      <c r="BA2005" s="35"/>
      <c r="BB2005" s="35"/>
      <c r="BC2005" s="35"/>
      <c r="BD2005" s="35"/>
      <c r="BE2005" s="35"/>
      <c r="BF2005" s="35"/>
      <c r="BG2005" s="35"/>
      <c r="BH2005" s="35"/>
      <c r="BI2005" s="35"/>
      <c r="BJ2005" s="35"/>
      <c r="BK2005" s="35"/>
      <c r="BL2005" s="35"/>
      <c r="BM2005" s="35"/>
      <c r="BN2005" s="35"/>
      <c r="BO2005" s="86"/>
    </row>
    <row r="2006" spans="1:67" s="20" customFormat="1" ht="16.5" thickBot="1" x14ac:dyDescent="0.3">
      <c r="A2006" s="520">
        <f>IFERROR(VLOOKUP($G$5,'רשימת רשויות'!A:C,3,0),0)</f>
        <v>0</v>
      </c>
      <c r="B2006" s="520">
        <f t="shared" si="288"/>
        <v>0</v>
      </c>
      <c r="C2006" s="39"/>
      <c r="D2006" s="1134"/>
      <c r="E2006" s="1137"/>
      <c r="F2006" s="586" t="s">
        <v>2355</v>
      </c>
      <c r="G2006" s="514">
        <f>IFERROR(IF(VLOOKUP('בית ספר - תקצוב לפי מוסד (9)'!G2001,' איוש משרות (8)'!$C:$K,9,0)="תקין","תקין","לא תקין"),0)</f>
        <v>0</v>
      </c>
      <c r="H2006" s="91"/>
      <c r="I2006" s="91"/>
      <c r="J2006" s="91"/>
      <c r="K2006" s="90"/>
      <c r="L2006" s="90"/>
      <c r="M2006" s="402" t="s">
        <v>2586</v>
      </c>
      <c r="N2006" s="403">
        <f>IFERROR(MIN(N2004,N2005),0)</f>
        <v>0</v>
      </c>
      <c r="O2006" s="404">
        <f>IFERROR(MIN(O2004,O2005),0)</f>
        <v>0</v>
      </c>
      <c r="P2006" s="595"/>
      <c r="Q2006" s="595"/>
      <c r="R2006" s="596"/>
      <c r="S2006" s="610"/>
      <c r="T2006" s="881"/>
      <c r="U2006" s="598"/>
      <c r="V2006" s="599"/>
      <c r="W2006" s="599"/>
      <c r="X2006" s="599"/>
      <c r="Y2006" s="879"/>
      <c r="Z2006" s="85"/>
      <c r="AC2006" s="493"/>
      <c r="AD2006" s="495"/>
      <c r="AG2006" s="94"/>
      <c r="AH2006" s="40"/>
      <c r="AI2006" s="40"/>
      <c r="AJ2006" s="40"/>
      <c r="AK2006" s="40"/>
      <c r="AO2006" s="22"/>
      <c r="AP2006" s="22"/>
      <c r="AQ2006" s="22"/>
      <c r="AR2006" s="22"/>
      <c r="AS2006" s="22"/>
      <c r="AT2006" s="22"/>
      <c r="AU2006" s="35"/>
      <c r="AV2006" s="35"/>
      <c r="AW2006" s="35"/>
      <c r="AX2006" s="35"/>
      <c r="AY2006" s="35"/>
      <c r="AZ2006" s="35"/>
      <c r="BA2006" s="35"/>
      <c r="BB2006" s="35"/>
      <c r="BC2006" s="35"/>
      <c r="BD2006" s="35"/>
      <c r="BE2006" s="35"/>
      <c r="BF2006" s="35"/>
      <c r="BG2006" s="35"/>
      <c r="BH2006" s="35"/>
      <c r="BI2006" s="35"/>
      <c r="BJ2006" s="35"/>
      <c r="BK2006" s="35"/>
      <c r="BL2006" s="35"/>
      <c r="BM2006" s="35"/>
      <c r="BN2006" s="35"/>
      <c r="BO2006" s="86"/>
    </row>
    <row r="2007" spans="1:67" s="55" customFormat="1" ht="37.15" customHeight="1" thickBot="1" x14ac:dyDescent="0.3">
      <c r="A2007" s="520">
        <f>IFERROR(VLOOKUP($G$5,'רשימת רשויות'!A:C,3,0),0)</f>
        <v>0</v>
      </c>
      <c r="B2007" s="520">
        <f t="shared" si="288"/>
        <v>0</v>
      </c>
      <c r="C2007" s="39"/>
      <c r="D2007" s="1134"/>
      <c r="E2007" s="1137"/>
      <c r="F2007" s="587" t="s">
        <v>142</v>
      </c>
      <c r="G2007" s="92"/>
      <c r="H2007" s="92"/>
      <c r="I2007" s="92"/>
      <c r="J2007" s="92"/>
      <c r="K2007" s="602"/>
      <c r="L2007" s="602"/>
      <c r="M2007" s="602"/>
      <c r="N2007" s="602"/>
      <c r="O2007" s="602"/>
      <c r="P2007" s="595"/>
      <c r="Q2007" s="595"/>
      <c r="R2007" s="596"/>
      <c r="S2007" s="610"/>
      <c r="T2007" s="881"/>
      <c r="U2007" s="598"/>
      <c r="V2007" s="599"/>
      <c r="W2007" s="599"/>
      <c r="X2007" s="599"/>
      <c r="Y2007" s="879"/>
      <c r="Z2007" s="93"/>
      <c r="AC2007" s="493"/>
      <c r="AD2007" s="495"/>
      <c r="AF2007" s="22"/>
      <c r="AG2007" s="98"/>
      <c r="AH2007" s="98"/>
      <c r="AI2007" s="40"/>
      <c r="AJ2007" s="40"/>
      <c r="AK2007" s="40"/>
      <c r="AO2007" s="22"/>
      <c r="AP2007" s="22"/>
      <c r="AQ2007" s="22"/>
      <c r="AR2007" s="22"/>
      <c r="AS2007" s="22"/>
      <c r="AT2007" s="22"/>
      <c r="AU2007" s="35"/>
      <c r="AV2007" s="35"/>
      <c r="AW2007" s="35"/>
      <c r="AX2007" s="35"/>
      <c r="AY2007" s="35"/>
      <c r="AZ2007" s="35"/>
      <c r="BA2007" s="35"/>
      <c r="BB2007" s="35"/>
      <c r="BC2007" s="35"/>
      <c r="BD2007" s="35"/>
      <c r="BE2007" s="35"/>
      <c r="BF2007" s="35"/>
      <c r="BG2007" s="35"/>
      <c r="BH2007" s="35"/>
      <c r="BI2007" s="35"/>
      <c r="BJ2007" s="35"/>
      <c r="BK2007" s="35"/>
      <c r="BL2007" s="35"/>
      <c r="BM2007" s="35"/>
      <c r="BN2007" s="35"/>
      <c r="BO2007" s="86"/>
    </row>
    <row r="2008" spans="1:67" s="40" customFormat="1" ht="31.5" x14ac:dyDescent="0.25">
      <c r="A2008" s="520">
        <f>IFERROR(VLOOKUP($G$5,'רשימת רשויות'!A:C,3,0),0)</f>
        <v>0</v>
      </c>
      <c r="B2008" s="520">
        <f t="shared" si="288"/>
        <v>0</v>
      </c>
      <c r="C2008" s="39"/>
      <c r="D2008" s="1134"/>
      <c r="E2008" s="1137"/>
      <c r="F2008" s="588" t="s">
        <v>94</v>
      </c>
      <c r="G2008" s="95" t="s">
        <v>18</v>
      </c>
      <c r="H2008" s="95" t="s">
        <v>19</v>
      </c>
      <c r="I2008" s="95" t="s">
        <v>138</v>
      </c>
      <c r="J2008" s="96" t="s">
        <v>139</v>
      </c>
      <c r="K2008" s="603"/>
      <c r="L2008" s="603"/>
      <c r="M2008" s="603"/>
      <c r="N2008" s="603"/>
      <c r="O2008" s="603"/>
      <c r="P2008" s="604"/>
      <c r="Q2008" s="604"/>
      <c r="R2008" s="596"/>
      <c r="S2008" s="610"/>
      <c r="T2008" s="881"/>
      <c r="U2008" s="598"/>
      <c r="V2008" s="599"/>
      <c r="W2008" s="599"/>
      <c r="X2008" s="599"/>
      <c r="Y2008" s="879"/>
      <c r="Z2008" s="97"/>
      <c r="AA2008" s="94"/>
      <c r="AB2008" s="94"/>
      <c r="AC2008" s="493"/>
      <c r="AD2008" s="495"/>
      <c r="AE2008" s="94"/>
      <c r="AG2008" s="98"/>
      <c r="AH2008" s="98"/>
      <c r="AO2008" s="22"/>
      <c r="AP2008" s="22"/>
      <c r="AQ2008" s="22"/>
      <c r="AR2008" s="22"/>
      <c r="AS2008" s="22"/>
      <c r="AT2008" s="22"/>
      <c r="AU2008" s="35"/>
      <c r="AV2008" s="35"/>
      <c r="AW2008" s="35"/>
      <c r="AX2008" s="35"/>
      <c r="AY2008" s="35"/>
      <c r="AZ2008" s="35"/>
      <c r="BA2008" s="35"/>
      <c r="BB2008" s="35"/>
      <c r="BC2008" s="35"/>
      <c r="BD2008" s="35"/>
      <c r="BE2008" s="35"/>
      <c r="BF2008" s="35"/>
      <c r="BG2008" s="35"/>
      <c r="BH2008" s="35"/>
      <c r="BI2008" s="35"/>
      <c r="BJ2008" s="35"/>
      <c r="BK2008" s="35"/>
      <c r="BL2008" s="35"/>
      <c r="BM2008" s="35"/>
      <c r="BN2008" s="35"/>
      <c r="BO2008" s="86"/>
    </row>
    <row r="2009" spans="1:67" s="40" customFormat="1" ht="15.75" customHeight="1" thickBot="1" x14ac:dyDescent="0.3">
      <c r="A2009" s="520">
        <f>IFERROR(VLOOKUP($G$5,'רשימת רשויות'!A:C,3,0),0)</f>
        <v>0</v>
      </c>
      <c r="B2009" s="520">
        <f t="shared" si="288"/>
        <v>0</v>
      </c>
      <c r="C2009" s="39"/>
      <c r="D2009" s="1134"/>
      <c r="E2009" s="1137"/>
      <c r="F2009" s="589" t="s">
        <v>2280</v>
      </c>
      <c r="G2009" s="99">
        <f>+G2020</f>
        <v>0</v>
      </c>
      <c r="H2009" s="100">
        <f>K2003</f>
        <v>0</v>
      </c>
      <c r="I2009" s="100">
        <f>H2009-I2011</f>
        <v>0</v>
      </c>
      <c r="J2009" s="101">
        <f>IFERROR(I2009/H2009,0)</f>
        <v>0</v>
      </c>
      <c r="K2009" s="603"/>
      <c r="L2009" s="603"/>
      <c r="M2009" s="603"/>
      <c r="N2009" s="603"/>
      <c r="O2009" s="603"/>
      <c r="P2009" s="605"/>
      <c r="Q2009" s="604"/>
      <c r="R2009" s="606" t="s">
        <v>157</v>
      </c>
      <c r="S2009" s="611"/>
      <c r="T2009" s="881"/>
      <c r="U2009" s="598"/>
      <c r="V2009" s="599"/>
      <c r="W2009" s="599"/>
      <c r="X2009" s="599"/>
      <c r="Y2009" s="879"/>
      <c r="Z2009" s="102"/>
      <c r="AA2009" s="122"/>
      <c r="AB2009" s="122"/>
      <c r="AC2009" s="493"/>
      <c r="AD2009" s="495"/>
      <c r="AE2009" s="122"/>
      <c r="AF2009" s="22"/>
      <c r="AG2009" s="98"/>
      <c r="AH2009" s="98"/>
      <c r="AI2009" s="20"/>
      <c r="AO2009" s="22"/>
      <c r="AP2009" s="22"/>
      <c r="AQ2009" s="22"/>
      <c r="AR2009" s="22"/>
      <c r="AS2009" s="22"/>
      <c r="AT2009" s="22"/>
      <c r="AU2009" s="35"/>
      <c r="AV2009" s="35"/>
      <c r="AW2009" s="35"/>
      <c r="AX2009" s="35"/>
      <c r="AY2009" s="35"/>
      <c r="AZ2009" s="35"/>
      <c r="BA2009" s="35"/>
      <c r="BB2009" s="35"/>
      <c r="BC2009" s="35"/>
      <c r="BD2009" s="35"/>
      <c r="BE2009" s="35"/>
      <c r="BF2009" s="35"/>
      <c r="BG2009" s="35"/>
      <c r="BH2009" s="35"/>
      <c r="BI2009" s="35"/>
      <c r="BJ2009" s="35"/>
      <c r="BK2009" s="35"/>
      <c r="BL2009" s="35"/>
      <c r="BM2009" s="35"/>
      <c r="BN2009" s="35"/>
      <c r="BO2009" s="86"/>
    </row>
    <row r="2010" spans="1:67" s="40" customFormat="1" ht="15.75" customHeight="1" thickBot="1" x14ac:dyDescent="0.3">
      <c r="A2010" s="520">
        <f>IFERROR(VLOOKUP($G$5,'רשימת רשויות'!A:C,3,0),0)</f>
        <v>0</v>
      </c>
      <c r="B2010" s="520">
        <f t="shared" si="288"/>
        <v>0</v>
      </c>
      <c r="C2010" s="39"/>
      <c r="D2010" s="1134"/>
      <c r="E2010" s="1137"/>
      <c r="F2010" s="589" t="s">
        <v>2281</v>
      </c>
      <c r="G2010" s="99">
        <f>+G2019</f>
        <v>0</v>
      </c>
      <c r="H2010" s="103"/>
      <c r="I2010" s="104"/>
      <c r="J2010" s="105"/>
      <c r="K2010" s="603"/>
      <c r="L2010" s="603"/>
      <c r="M2010" s="603"/>
      <c r="N2010" s="603"/>
      <c r="O2010" s="603"/>
      <c r="P2010" s="605"/>
      <c r="Q2010" s="604"/>
      <c r="R2010" s="473">
        <f>I2011-R2012</f>
        <v>0</v>
      </c>
      <c r="S2010" s="611"/>
      <c r="T2010" s="881"/>
      <c r="U2010" s="598"/>
      <c r="V2010" s="599"/>
      <c r="W2010" s="599"/>
      <c r="X2010" s="599"/>
      <c r="Y2010" s="879"/>
      <c r="Z2010" s="106"/>
      <c r="AA2010" s="22"/>
      <c r="AB2010" s="22"/>
      <c r="AC2010" s="493"/>
      <c r="AD2010" s="495"/>
      <c r="AE2010" s="22"/>
      <c r="AF2010" s="22"/>
      <c r="AG2010" s="98"/>
      <c r="AH2010" s="98"/>
      <c r="AI2010" s="20"/>
      <c r="AO2010" s="22"/>
      <c r="AP2010" s="22"/>
      <c r="AQ2010" s="22"/>
      <c r="AR2010" s="22"/>
      <c r="AS2010" s="22"/>
      <c r="AT2010" s="22"/>
      <c r="AU2010" s="35"/>
      <c r="AV2010" s="35"/>
      <c r="AW2010" s="35"/>
      <c r="AX2010" s="35"/>
      <c r="AY2010" s="35"/>
      <c r="AZ2010" s="35"/>
      <c r="BA2010" s="35"/>
      <c r="BB2010" s="35"/>
      <c r="BC2010" s="35"/>
      <c r="BD2010" s="35"/>
      <c r="BE2010" s="35"/>
      <c r="BF2010" s="35"/>
      <c r="BG2010" s="35"/>
      <c r="BH2010" s="35"/>
      <c r="BI2010" s="35"/>
      <c r="BJ2010" s="35"/>
      <c r="BK2010" s="35"/>
      <c r="BL2010" s="35"/>
      <c r="BM2010" s="35"/>
      <c r="BN2010" s="35"/>
      <c r="BO2010" s="86"/>
    </row>
    <row r="2011" spans="1:67" s="40" customFormat="1" ht="16.5" customHeight="1" thickBot="1" x14ac:dyDescent="0.3">
      <c r="A2011" s="520">
        <f>IFERROR(VLOOKUP($G$5,'רשימת רשויות'!A:C,3,0),0)</f>
        <v>0</v>
      </c>
      <c r="B2011" s="520">
        <f t="shared" si="288"/>
        <v>0</v>
      </c>
      <c r="C2011" s="39"/>
      <c r="D2011" s="1134"/>
      <c r="E2011" s="1137"/>
      <c r="F2011" s="589" t="s">
        <v>2282</v>
      </c>
      <c r="G2011" s="99">
        <f>G2015+G2016+G2017</f>
        <v>0</v>
      </c>
      <c r="H2011" s="104"/>
      <c r="I2011" s="107">
        <f>MAX(H2009-G2009-G2010,0)</f>
        <v>0</v>
      </c>
      <c r="J2011" s="108">
        <f>IFERROR(I2011/H2009,0)</f>
        <v>0</v>
      </c>
      <c r="K2011" s="603"/>
      <c r="L2011" s="603"/>
      <c r="M2011" s="603"/>
      <c r="N2011" s="603"/>
      <c r="O2011" s="603"/>
      <c r="P2011" s="604"/>
      <c r="Q2011" s="604"/>
      <c r="R2011" s="606" t="s">
        <v>158</v>
      </c>
      <c r="S2011" s="612"/>
      <c r="T2011" s="881"/>
      <c r="U2011" s="598"/>
      <c r="V2011" s="599"/>
      <c r="W2011" s="599"/>
      <c r="X2011" s="599"/>
      <c r="Y2011" s="879"/>
      <c r="Z2011" s="106"/>
      <c r="AA2011" s="22"/>
      <c r="AB2011" s="22"/>
      <c r="AC2011" s="493"/>
      <c r="AD2011" s="495"/>
      <c r="AE2011" s="22"/>
      <c r="AF2011" s="22"/>
      <c r="AG2011" s="22"/>
      <c r="AH2011" s="22"/>
      <c r="AI2011" s="55"/>
      <c r="AJ2011" s="22"/>
      <c r="AK2011" s="22"/>
      <c r="AO2011" s="22"/>
      <c r="AP2011" s="22"/>
      <c r="AQ2011" s="22"/>
      <c r="AR2011" s="22"/>
      <c r="AS2011" s="22"/>
      <c r="AT2011" s="22"/>
      <c r="AU2011" s="35"/>
      <c r="AV2011" s="35"/>
      <c r="AW2011" s="35"/>
      <c r="AX2011" s="35"/>
      <c r="AY2011" s="35"/>
      <c r="AZ2011" s="35"/>
      <c r="BA2011" s="35"/>
      <c r="BB2011" s="35"/>
      <c r="BC2011" s="35"/>
      <c r="BD2011" s="35"/>
      <c r="BE2011" s="35"/>
      <c r="BF2011" s="35"/>
      <c r="BG2011" s="35"/>
      <c r="BH2011" s="35"/>
      <c r="BI2011" s="35"/>
      <c r="BJ2011" s="35"/>
      <c r="BK2011" s="35"/>
      <c r="BL2011" s="35"/>
      <c r="BM2011" s="35"/>
      <c r="BN2011" s="35"/>
      <c r="BO2011" s="86"/>
    </row>
    <row r="2012" spans="1:67" s="40" customFormat="1" ht="15.75" customHeight="1" thickBot="1" x14ac:dyDescent="0.3">
      <c r="A2012" s="520">
        <f>IFERROR(VLOOKUP($G$5,'רשימת רשויות'!A:C,3,0),0)</f>
        <v>0</v>
      </c>
      <c r="B2012" s="520">
        <f t="shared" si="288"/>
        <v>0</v>
      </c>
      <c r="C2012" s="39"/>
      <c r="D2012" s="1134"/>
      <c r="E2012" s="1137"/>
      <c r="F2012" s="590" t="s">
        <v>2290</v>
      </c>
      <c r="G2012" s="109"/>
      <c r="H2012" s="110"/>
      <c r="I2012" s="111">
        <f>SUM(I2009:I2011)</f>
        <v>0</v>
      </c>
      <c r="J2012" s="112">
        <f>SUM(J2009:J2011)</f>
        <v>0</v>
      </c>
      <c r="K2012" s="603"/>
      <c r="L2012" s="603"/>
      <c r="M2012" s="603"/>
      <c r="N2012" s="603"/>
      <c r="O2012" s="603"/>
      <c r="P2012" s="604"/>
      <c r="Q2012" s="604"/>
      <c r="R2012" s="473">
        <f>MIN(MAX(G2016+G2017-I2005-J2005,0),I2011)</f>
        <v>0</v>
      </c>
      <c r="S2012" s="612"/>
      <c r="T2012" s="881"/>
      <c r="U2012" s="598"/>
      <c r="V2012" s="599"/>
      <c r="W2012" s="599"/>
      <c r="X2012" s="599"/>
      <c r="Y2012" s="879"/>
      <c r="Z2012" s="106"/>
      <c r="AA2012" s="22"/>
      <c r="AB2012" s="22"/>
      <c r="AC2012" s="493"/>
      <c r="AD2012" s="495"/>
      <c r="AE2012" s="22"/>
      <c r="AF2012" s="22"/>
      <c r="AG2012" s="22"/>
      <c r="AH2012" s="22"/>
      <c r="AJ2012" s="22"/>
      <c r="AK2012" s="22"/>
      <c r="AO2012" s="22"/>
      <c r="AP2012" s="22"/>
      <c r="AQ2012" s="22"/>
      <c r="AR2012" s="22"/>
      <c r="AS2012" s="22"/>
      <c r="AT2012" s="22"/>
      <c r="AU2012" s="35"/>
      <c r="AV2012" s="35"/>
      <c r="AW2012" s="35"/>
      <c r="AX2012" s="35"/>
      <c r="AY2012" s="35"/>
      <c r="AZ2012" s="35"/>
      <c r="BA2012" s="35"/>
      <c r="BB2012" s="35"/>
      <c r="BC2012" s="35"/>
      <c r="BD2012" s="35"/>
      <c r="BE2012" s="35"/>
      <c r="BF2012" s="35"/>
      <c r="BG2012" s="35"/>
      <c r="BH2012" s="35"/>
      <c r="BI2012" s="35"/>
      <c r="BJ2012" s="35"/>
      <c r="BK2012" s="35"/>
      <c r="BL2012" s="35"/>
      <c r="BM2012" s="35"/>
      <c r="BN2012" s="35"/>
      <c r="BO2012" s="86"/>
    </row>
    <row r="2013" spans="1:67" ht="16.5" thickBot="1" x14ac:dyDescent="0.3">
      <c r="A2013" s="520">
        <f>IFERROR(VLOOKUP($G$5,'רשימת רשויות'!A:C,3,0),0)</f>
        <v>0</v>
      </c>
      <c r="B2013" s="520">
        <f t="shared" si="288"/>
        <v>0</v>
      </c>
      <c r="D2013" s="1134"/>
      <c r="E2013" s="1137"/>
      <c r="F2013" s="587" t="s">
        <v>17</v>
      </c>
      <c r="G2013" s="113"/>
      <c r="H2013" s="92"/>
      <c r="I2013" s="114"/>
      <c r="J2013" s="115"/>
      <c r="K2013" s="116"/>
      <c r="L2013" s="406"/>
      <c r="M2013" s="116"/>
      <c r="N2013" s="116"/>
      <c r="O2013" s="116"/>
      <c r="P2013" s="474"/>
      <c r="Q2013" s="607"/>
      <c r="R2013" s="608"/>
      <c r="S2013" s="612"/>
      <c r="T2013" s="881"/>
      <c r="U2013" s="598"/>
      <c r="V2013" s="599"/>
      <c r="W2013" s="599"/>
      <c r="X2013" s="599"/>
      <c r="Y2013" s="879"/>
      <c r="Z2013" s="106"/>
      <c r="AI2013" s="40"/>
      <c r="BO2013" s="86"/>
    </row>
    <row r="2014" spans="1:67" ht="47.25" x14ac:dyDescent="0.25">
      <c r="A2014" s="520">
        <f>IFERROR(VLOOKUP($G$5,'רשימת רשויות'!A:C,3,0),0)</f>
        <v>0</v>
      </c>
      <c r="B2014" s="520">
        <f t="shared" si="288"/>
        <v>0</v>
      </c>
      <c r="D2014" s="1134"/>
      <c r="E2014" s="1137"/>
      <c r="F2014" s="588" t="s">
        <v>2</v>
      </c>
      <c r="G2014" s="95" t="s">
        <v>18</v>
      </c>
      <c r="H2014" s="95" t="s">
        <v>19</v>
      </c>
      <c r="I2014" s="95" t="s">
        <v>20</v>
      </c>
      <c r="J2014" s="95" t="s">
        <v>22</v>
      </c>
      <c r="K2014" s="96" t="s">
        <v>2314</v>
      </c>
      <c r="L2014" s="609"/>
      <c r="M2014" s="609"/>
      <c r="N2014" s="609"/>
      <c r="O2014" s="580"/>
      <c r="P2014" s="618" t="s">
        <v>2298</v>
      </c>
      <c r="Q2014" s="618" t="s">
        <v>2299</v>
      </c>
      <c r="R2014" s="596"/>
      <c r="S2014" s="890" t="s">
        <v>2519</v>
      </c>
      <c r="T2014" s="890" t="s">
        <v>97</v>
      </c>
      <c r="U2014" s="891" t="s">
        <v>2521</v>
      </c>
      <c r="V2014" s="892" t="s">
        <v>2520</v>
      </c>
      <c r="W2014" s="893" t="s">
        <v>2524</v>
      </c>
      <c r="X2014" s="892" t="s">
        <v>2522</v>
      </c>
      <c r="Y2014" s="894" t="s">
        <v>2523</v>
      </c>
      <c r="Z2014" s="106"/>
      <c r="AC2014" s="498" t="s">
        <v>2568</v>
      </c>
      <c r="AD2014" s="499" t="s">
        <v>2569</v>
      </c>
      <c r="AF2014" s="122"/>
      <c r="AI2014" s="40"/>
      <c r="BO2014" s="86"/>
    </row>
    <row r="2015" spans="1:67" ht="15" customHeight="1" thickBot="1" x14ac:dyDescent="0.3">
      <c r="A2015" s="520">
        <f>IFERROR(VLOOKUP($G$5,'רשימת רשויות'!A:C,3,0),0)</f>
        <v>0</v>
      </c>
      <c r="B2015" s="520">
        <f t="shared" si="288"/>
        <v>0</v>
      </c>
      <c r="D2015" s="1134"/>
      <c r="E2015" s="1137"/>
      <c r="F2015" s="589" t="s">
        <v>76</v>
      </c>
      <c r="G2015" s="117">
        <f>IF(G2006="תקין",SUMIF('עלויות כח אדם (6)'!$B$15:$B$3014,'בית ספר - תקצוב לפי מוסד (9)'!$G2001,'עלויות כח אדם (6)'!$M$15:$M$3014)-VLOOKUP('בית ספר - תקצוב לפי מוסד (9)'!G2001,' איוש משרות (8)'!$C:$H,5,0)-VLOOKUP('בית ספר - תקצוב לפי מוסד (9)'!G2001,' איוש משרות (8)'!$C:$H,6,0),0)-Y2015</f>
        <v>0</v>
      </c>
      <c r="H2015" s="118">
        <f>I2003+R2010</f>
        <v>0</v>
      </c>
      <c r="I2015" s="119">
        <f>IFERROR(SUM(G2015)/H2015,0)</f>
        <v>0</v>
      </c>
      <c r="J2015" s="100">
        <f>MIN(I2003+R2010,IF(ISNUMBER(G2015),G2015,0))</f>
        <v>0</v>
      </c>
      <c r="K2015" s="120">
        <f>MAX(H2015-G2015,0)</f>
        <v>0</v>
      </c>
      <c r="L2015" s="407"/>
      <c r="M2015" s="393"/>
      <c r="N2015" s="393"/>
      <c r="O2015" s="580"/>
      <c r="P2015" s="1010">
        <f>IFERROR(IF(SUM(G2015)/(I2003)&lt;100%,MIN((I2003)-SUM(G2015),(I2003)*0.25),0),0)</f>
        <v>0</v>
      </c>
      <c r="Q2015" s="1010">
        <f>IF(SUM(G2015)-(I2003+R2010)&gt;0,SUM(G2015)-(I2003+R2010),0)</f>
        <v>0</v>
      </c>
      <c r="R2015" s="596" t="s">
        <v>2351</v>
      </c>
      <c r="S2015" s="576" t="s">
        <v>2342</v>
      </c>
      <c r="T2015" s="599">
        <f>G2001</f>
        <v>0</v>
      </c>
      <c r="U2015" s="578"/>
      <c r="V2015" s="579">
        <f>G2015+G2016+G2017</f>
        <v>0</v>
      </c>
      <c r="W2015" s="579">
        <f>U2015-V2015</f>
        <v>0</v>
      </c>
      <c r="X2015" s="579">
        <f>IFERROR(W2029*W2015/(SUM(W2015:W2028)),0)</f>
        <v>0</v>
      </c>
      <c r="Y2015" s="879">
        <f>SUMIFS(בקרה!$S:$S,בקרה!$D:$D,T2015,בקרה!$K:$K,S2015)</f>
        <v>0</v>
      </c>
      <c r="Z2015" s="121"/>
      <c r="AA2015" s="143"/>
      <c r="AB2015" s="143"/>
      <c r="AC2015" s="504">
        <v>0</v>
      </c>
      <c r="AD2015" s="505">
        <f>IFERROR(U2015-AC2015,0)</f>
        <v>0</v>
      </c>
      <c r="AE2015" s="143"/>
      <c r="AI2015" s="20"/>
      <c r="BO2015" s="86"/>
    </row>
    <row r="2016" spans="1:67" ht="15" customHeight="1" thickBot="1" x14ac:dyDescent="0.3">
      <c r="A2016" s="520">
        <f>IFERROR(VLOOKUP($G$5,'רשימת רשויות'!A:C,3,0),0)</f>
        <v>0</v>
      </c>
      <c r="B2016" s="520">
        <f t="shared" si="288"/>
        <v>0</v>
      </c>
      <c r="D2016" s="1134"/>
      <c r="E2016" s="1137"/>
      <c r="F2016" s="589" t="s">
        <v>44</v>
      </c>
      <c r="G2016" s="123">
        <f>IF(G2006="תקין",IFERROR(VLOOKUP('בית ספר - תקצוב לפי מוסד (9)'!G2001,' איוש משרות (8)'!C:J,7,0),0),0)</f>
        <v>0</v>
      </c>
      <c r="H2016" s="124">
        <f>I2005+R2012+J2005</f>
        <v>0</v>
      </c>
      <c r="I2016" s="119">
        <f>IFERROR(SUM(G2016:G2017)/H2016,0)</f>
        <v>0</v>
      </c>
      <c r="J2016" s="100">
        <f>MIN(R2012+I2005,IF(ISNUMBER(SUM(G2016:G2017)),SUM(G2016:G2017),0))</f>
        <v>0</v>
      </c>
      <c r="K2016" s="1139">
        <f>MAX((H2016)-(G2016+G2017),0)</f>
        <v>0</v>
      </c>
      <c r="L2016" s="407"/>
      <c r="M2016" s="393"/>
      <c r="N2016" s="393"/>
      <c r="O2016" s="580"/>
      <c r="P2016" s="1140"/>
      <c r="Q2016" s="1140"/>
      <c r="R2016" s="617">
        <f>MAX(MIN(P2024-Q2024,H2024*0.15-G2022),0)</f>
        <v>0</v>
      </c>
      <c r="S2016" s="576"/>
      <c r="T2016" s="599">
        <f>G2001</f>
        <v>0</v>
      </c>
      <c r="U2016" s="578"/>
      <c r="V2016" s="579"/>
      <c r="W2016" s="579">
        <f t="shared" ref="W2016:W2028" si="289">U2016-V2016</f>
        <v>0</v>
      </c>
      <c r="X2016" s="579"/>
      <c r="Y2016" s="879"/>
      <c r="Z2016" s="121"/>
      <c r="AA2016" s="143"/>
      <c r="AB2016" s="143"/>
      <c r="AC2016" s="504"/>
      <c r="AD2016" s="505">
        <f t="shared" ref="AD2016:AD2022" si="290">IFERROR(U2016-AC2016,0)</f>
        <v>0</v>
      </c>
      <c r="AE2016" s="143"/>
      <c r="AI2016" s="20"/>
      <c r="BO2016" s="86"/>
    </row>
    <row r="2017" spans="1:67" ht="15.75" customHeight="1" x14ac:dyDescent="0.25">
      <c r="A2017" s="520">
        <f>IFERROR(VLOOKUP($G$5,'רשימת רשויות'!A:C,3,0),0)</f>
        <v>0</v>
      </c>
      <c r="B2017" s="520">
        <f t="shared" si="288"/>
        <v>0</v>
      </c>
      <c r="D2017" s="1134"/>
      <c r="E2017" s="1137"/>
      <c r="F2017" s="589" t="s">
        <v>45</v>
      </c>
      <c r="G2017" s="123">
        <f>IF(G2006="תקין",IFERROR(VLOOKUP('בית ספר - תקצוב לפי מוסד (9)'!G2001,' איוש משרות (8)'!C:J,8,0),0),0)</f>
        <v>0</v>
      </c>
      <c r="H2017" s="125"/>
      <c r="I2017" s="126"/>
      <c r="J2017" s="104"/>
      <c r="K2017" s="1139"/>
      <c r="L2017" s="407"/>
      <c r="M2017" s="393"/>
      <c r="N2017" s="393"/>
      <c r="O2017" s="580"/>
      <c r="P2017" s="1140"/>
      <c r="Q2017" s="1140"/>
      <c r="R2017" s="596"/>
      <c r="S2017" s="576"/>
      <c r="T2017" s="599">
        <f>G2001</f>
        <v>0</v>
      </c>
      <c r="U2017" s="578"/>
      <c r="V2017" s="579"/>
      <c r="W2017" s="579">
        <f t="shared" si="289"/>
        <v>0</v>
      </c>
      <c r="X2017" s="579"/>
      <c r="Y2017" s="879"/>
      <c r="Z2017" s="121"/>
      <c r="AA2017" s="143"/>
      <c r="AB2017" s="143"/>
      <c r="AC2017" s="504"/>
      <c r="AD2017" s="505">
        <f t="shared" si="290"/>
        <v>0</v>
      </c>
      <c r="AE2017" s="143"/>
      <c r="AG2017" s="55"/>
      <c r="AH2017" s="55"/>
      <c r="AI2017" s="55"/>
      <c r="AJ2017" s="55"/>
      <c r="AK2017" s="55"/>
      <c r="BO2017" s="86"/>
    </row>
    <row r="2018" spans="1:67" ht="15.75" customHeight="1" x14ac:dyDescent="0.25">
      <c r="A2018" s="520">
        <f>IFERROR(VLOOKUP($G$5,'רשימת רשויות'!A:C,3,0),0)</f>
        <v>0</v>
      </c>
      <c r="B2018" s="520">
        <f t="shared" si="288"/>
        <v>0</v>
      </c>
      <c r="D2018" s="1134"/>
      <c r="E2018" s="1137"/>
      <c r="F2018" s="589" t="s">
        <v>0</v>
      </c>
      <c r="G2018" s="117">
        <f>IF(G2006="תקין",SUMIFS('דוח הוצאות בפועל (4)'!$E$17:$E$3016,'דוח הוצאות בפועל (4)'!$B$17:$B$3016,'בית ספר - תקצוב לפי מוסד (9)'!$G2001,'דוח הוצאות בפועל (4)'!$M$17:$M$3016,"הע"),0)-Y2018</f>
        <v>0</v>
      </c>
      <c r="H2018" s="127">
        <f>J2003</f>
        <v>0</v>
      </c>
      <c r="I2018" s="128">
        <f>IFERROR(G2018/H2018,0)</f>
        <v>0</v>
      </c>
      <c r="J2018" s="129">
        <f>MIN(IF(ISNUMBER(G2018),G2018,0),H2018)</f>
        <v>0</v>
      </c>
      <c r="K2018" s="120">
        <f>MAX(H2018-G2018,0)</f>
        <v>0</v>
      </c>
      <c r="L2018" s="407"/>
      <c r="M2018" s="393"/>
      <c r="N2018" s="393"/>
      <c r="O2018" s="580"/>
      <c r="P2018" s="1010">
        <f>MAX(IF(I2018&lt;100%,MIN((H2018-G2018),H2018*0.25),0),0)</f>
        <v>0</v>
      </c>
      <c r="Q2018" s="619">
        <f>IF(G2018-H2018&gt;0,G2018-H2018,0)</f>
        <v>0</v>
      </c>
      <c r="R2018" s="596"/>
      <c r="S2018" s="610" t="s">
        <v>0</v>
      </c>
      <c r="T2018" s="599">
        <f>G2001</f>
        <v>0</v>
      </c>
      <c r="U2018" s="578"/>
      <c r="V2018" s="579">
        <f>G2018</f>
        <v>0</v>
      </c>
      <c r="W2018" s="579">
        <f t="shared" si="289"/>
        <v>0</v>
      </c>
      <c r="X2018" s="579">
        <f>IFERROR(W2029*W2018/(SUM(W2015:W2028)),0)</f>
        <v>0</v>
      </c>
      <c r="Y2018" s="879">
        <f>SUMIFS(בקרה!$S:$S,בקרה!$D:$D,T2018,בקרה!$K:$K,S2018)</f>
        <v>0</v>
      </c>
      <c r="Z2018" s="121"/>
      <c r="AA2018" s="143"/>
      <c r="AB2018" s="143"/>
      <c r="AC2018" s="504">
        <v>0</v>
      </c>
      <c r="AD2018" s="505">
        <f t="shared" si="290"/>
        <v>0</v>
      </c>
      <c r="AE2018" s="143"/>
      <c r="AG2018" s="55"/>
      <c r="AH2018" s="55"/>
      <c r="AI2018" s="40"/>
      <c r="AJ2018" s="55"/>
      <c r="AK2018" s="55"/>
      <c r="BO2018" s="86"/>
    </row>
    <row r="2019" spans="1:67" s="55" customFormat="1" ht="15.75" customHeight="1" x14ac:dyDescent="0.25">
      <c r="A2019" s="520">
        <f>IFERROR(VLOOKUP($G$5,'רשימת רשויות'!A:C,3,0),0)</f>
        <v>0</v>
      </c>
      <c r="B2019" s="520">
        <f t="shared" si="288"/>
        <v>0</v>
      </c>
      <c r="C2019" s="39"/>
      <c r="D2019" s="1134"/>
      <c r="E2019" s="1137"/>
      <c r="F2019" s="589" t="s">
        <v>93</v>
      </c>
      <c r="G2019" s="130">
        <f>IF(G2006="תקין",SUMIFS('דוח הוצאות בפועל (4)'!$E$17:$E$3016,'דוח הוצאות בפועל (4)'!$B$17:$B$3016,'בית ספר - תקצוב לפי מוסד (9)'!$G2001,'דוח הוצאות בפועל (4)'!$M$17:$M$3016,"אר"),0)-Y2019</f>
        <v>0</v>
      </c>
      <c r="H2019" s="118">
        <f>$I2009</f>
        <v>0</v>
      </c>
      <c r="I2019" s="131">
        <f>IFERROR((G2019+G2020)/H2019,0)</f>
        <v>0</v>
      </c>
      <c r="J2019" s="100">
        <f>MIN((IF(ISNUMBER(G2019),G2019,0)+IF(ISNUMBER(G2020),G2020,0)),H2019)</f>
        <v>0</v>
      </c>
      <c r="K2019" s="1139">
        <f>MAX((H2019)-(G2019+G2020),0)</f>
        <v>0</v>
      </c>
      <c r="L2019" s="407"/>
      <c r="M2019" s="393"/>
      <c r="N2019" s="393"/>
      <c r="O2019" s="602"/>
      <c r="P2019" s="1141"/>
      <c r="Q2019" s="1142"/>
      <c r="R2019" s="596"/>
      <c r="S2019" s="610" t="s">
        <v>93</v>
      </c>
      <c r="T2019" s="599">
        <f>G2001</f>
        <v>0</v>
      </c>
      <c r="U2019" s="578"/>
      <c r="V2019" s="579">
        <f t="shared" ref="V2019:V2020" si="291">G2019</f>
        <v>0</v>
      </c>
      <c r="W2019" s="579">
        <f t="shared" si="289"/>
        <v>0</v>
      </c>
      <c r="X2019" s="579">
        <f>IFERROR(W2029*W2019/(SUM(W2015:W2028)),0)</f>
        <v>0</v>
      </c>
      <c r="Y2019" s="879">
        <f>SUMIFS(בקרה!$S:$S,בקרה!$D:$D,T2019,בקרה!$K:$K,S2019)</f>
        <v>0</v>
      </c>
      <c r="Z2019" s="121"/>
      <c r="AA2019" s="143"/>
      <c r="AB2019" s="143"/>
      <c r="AC2019" s="504">
        <v>0</v>
      </c>
      <c r="AD2019" s="505">
        <f t="shared" si="290"/>
        <v>0</v>
      </c>
      <c r="AE2019" s="143"/>
      <c r="AJ2019" s="22"/>
      <c r="AO2019" s="22"/>
      <c r="AP2019" s="22"/>
      <c r="AQ2019" s="22"/>
      <c r="AR2019" s="22"/>
      <c r="AS2019" s="22"/>
      <c r="AT2019" s="22"/>
      <c r="AU2019" s="35"/>
      <c r="AV2019" s="35"/>
      <c r="AW2019" s="35"/>
      <c r="AX2019" s="35"/>
      <c r="AY2019" s="35"/>
      <c r="AZ2019" s="35"/>
      <c r="BA2019" s="35"/>
      <c r="BB2019" s="35"/>
      <c r="BC2019" s="35"/>
      <c r="BD2019" s="35"/>
      <c r="BE2019" s="35"/>
      <c r="BF2019" s="35"/>
      <c r="BG2019" s="35"/>
      <c r="BH2019" s="35"/>
      <c r="BI2019" s="35"/>
      <c r="BJ2019" s="35"/>
      <c r="BK2019" s="35"/>
      <c r="BL2019" s="35"/>
      <c r="BM2019" s="35"/>
      <c r="BN2019" s="35"/>
      <c r="BO2019" s="86"/>
    </row>
    <row r="2020" spans="1:67" s="55" customFormat="1" ht="15.75" customHeight="1" x14ac:dyDescent="0.25">
      <c r="A2020" s="520">
        <f>IFERROR(VLOOKUP($G$5,'רשימת רשויות'!A:C,3,0),0)</f>
        <v>0</v>
      </c>
      <c r="B2020" s="520">
        <f t="shared" si="288"/>
        <v>0</v>
      </c>
      <c r="C2020" s="39"/>
      <c r="D2020" s="1134"/>
      <c r="E2020" s="1137"/>
      <c r="F2020" s="589" t="s">
        <v>46</v>
      </c>
      <c r="G2020" s="130">
        <f>IF(G2006="תקין",SUMIFS('דוח הוצאות בפועל (4)'!$E$17:$E$3016,'דוח הוצאות בפועל (4)'!$B$17:$B$3016,'בית ספר - תקצוב לפי מוסד (9)'!$G2001,'דוח הוצאות בפועל (4)'!$M$17:$M$3016,"מל"),0)-Y2020</f>
        <v>0</v>
      </c>
      <c r="H2020" s="132"/>
      <c r="I2020" s="133"/>
      <c r="J2020" s="104"/>
      <c r="K2020" s="1139"/>
      <c r="L2020" s="407"/>
      <c r="M2020" s="393"/>
      <c r="N2020" s="393"/>
      <c r="O2020" s="602"/>
      <c r="P2020" s="1141"/>
      <c r="Q2020" s="1142"/>
      <c r="R2020" s="596"/>
      <c r="S2020" s="610" t="s">
        <v>46</v>
      </c>
      <c r="T2020" s="599">
        <f>G2001</f>
        <v>0</v>
      </c>
      <c r="U2020" s="578"/>
      <c r="V2020" s="579">
        <f t="shared" si="291"/>
        <v>0</v>
      </c>
      <c r="W2020" s="579">
        <f t="shared" si="289"/>
        <v>0</v>
      </c>
      <c r="X2020" s="579">
        <f>IFERROR(W2029*W2020/(SUM(W2015:W2028)),0)</f>
        <v>0</v>
      </c>
      <c r="Y2020" s="879">
        <f>SUMIFS(בקרה!$S:$S,בקרה!$D:$D,T2020,בקרה!$K:$K,S2020)</f>
        <v>0</v>
      </c>
      <c r="Z2020" s="121"/>
      <c r="AA2020" s="143"/>
      <c r="AB2020" s="143"/>
      <c r="AC2020" s="504">
        <v>0</v>
      </c>
      <c r="AD2020" s="505">
        <f t="shared" si="290"/>
        <v>0</v>
      </c>
      <c r="AE2020" s="143"/>
      <c r="AJ2020" s="22"/>
      <c r="AO2020" s="22"/>
      <c r="AP2020" s="22"/>
      <c r="AQ2020" s="22"/>
      <c r="AR2020" s="22"/>
      <c r="AS2020" s="22"/>
      <c r="AT2020" s="22"/>
      <c r="AU2020" s="35"/>
      <c r="AV2020" s="35"/>
      <c r="AW2020" s="35"/>
      <c r="AX2020" s="35"/>
      <c r="AY2020" s="35"/>
      <c r="AZ2020" s="35"/>
      <c r="BA2020" s="35"/>
      <c r="BB2020" s="35"/>
      <c r="BC2020" s="35"/>
      <c r="BD2020" s="35"/>
      <c r="BE2020" s="35"/>
      <c r="BF2020" s="35"/>
      <c r="BG2020" s="35"/>
      <c r="BH2020" s="35"/>
      <c r="BI2020" s="35"/>
      <c r="BJ2020" s="35"/>
      <c r="BK2020" s="35"/>
      <c r="BL2020" s="35"/>
      <c r="BM2020" s="35"/>
      <c r="BN2020" s="35"/>
      <c r="BO2020" s="86"/>
    </row>
    <row r="2021" spans="1:67" s="55" customFormat="1" ht="15" customHeight="1" x14ac:dyDescent="0.25">
      <c r="A2021" s="520">
        <f>IFERROR(VLOOKUP($G$5,'רשימת רשויות'!A:C,3,0),0)</f>
        <v>0</v>
      </c>
      <c r="B2021" s="520">
        <f t="shared" si="288"/>
        <v>0</v>
      </c>
      <c r="C2021" s="39"/>
      <c r="D2021" s="1134"/>
      <c r="E2021" s="1137"/>
      <c r="F2021" s="591" t="s">
        <v>23</v>
      </c>
      <c r="G2021" s="134">
        <f>SUM(G2015:G2020)</f>
        <v>0</v>
      </c>
      <c r="H2021" s="135">
        <f>SUM(H2015:H2020)</f>
        <v>0</v>
      </c>
      <c r="I2021" s="128">
        <f>IFERROR(G2021/H2021,0)</f>
        <v>0</v>
      </c>
      <c r="J2021" s="136">
        <f>SUM(J2015:J2020)</f>
        <v>0</v>
      </c>
      <c r="K2021" s="137">
        <f>SUM(K2015:K2020)</f>
        <v>0</v>
      </c>
      <c r="L2021" s="408"/>
      <c r="M2021" s="394"/>
      <c r="N2021" s="394"/>
      <c r="O2021" s="602"/>
      <c r="P2021" s="620">
        <f>SUM(P2015:P2020)</f>
        <v>0</v>
      </c>
      <c r="Q2021" s="620">
        <f>SUM(Q2015:Q2020)</f>
        <v>0</v>
      </c>
      <c r="R2021" s="596"/>
      <c r="S2021" s="610"/>
      <c r="T2021" s="599">
        <f>G2001</f>
        <v>0</v>
      </c>
      <c r="U2021" s="578"/>
      <c r="V2021" s="579"/>
      <c r="W2021" s="579">
        <f t="shared" si="289"/>
        <v>0</v>
      </c>
      <c r="X2021" s="579"/>
      <c r="Y2021" s="879"/>
      <c r="Z2021" s="121"/>
      <c r="AA2021" s="143"/>
      <c r="AB2021" s="143"/>
      <c r="AC2021" s="504"/>
      <c r="AD2021" s="505">
        <f t="shared" si="290"/>
        <v>0</v>
      </c>
      <c r="AE2021" s="143"/>
      <c r="AJ2021" s="22"/>
      <c r="AL2021" s="22"/>
      <c r="AM2021" s="22"/>
      <c r="AN2021" s="22"/>
      <c r="AO2021" s="22"/>
      <c r="AP2021" s="22"/>
      <c r="AQ2021" s="22"/>
      <c r="AR2021" s="22"/>
      <c r="AS2021" s="22"/>
      <c r="AT2021" s="22"/>
      <c r="AU2021" s="35"/>
      <c r="AV2021" s="35"/>
      <c r="AW2021" s="35"/>
      <c r="AX2021" s="35"/>
      <c r="AY2021" s="35"/>
      <c r="AZ2021" s="35"/>
      <c r="BA2021" s="35"/>
      <c r="BB2021" s="35"/>
      <c r="BC2021" s="35"/>
      <c r="BD2021" s="35"/>
      <c r="BE2021" s="35"/>
      <c r="BF2021" s="35"/>
      <c r="BG2021" s="35"/>
      <c r="BH2021" s="35"/>
      <c r="BI2021" s="35"/>
      <c r="BJ2021" s="35"/>
      <c r="BK2021" s="35"/>
      <c r="BL2021" s="35"/>
      <c r="BM2021" s="35"/>
      <c r="BN2021" s="35"/>
      <c r="BO2021" s="86"/>
    </row>
    <row r="2022" spans="1:67" s="55" customFormat="1" ht="15" customHeight="1" x14ac:dyDescent="0.25">
      <c r="A2022" s="520">
        <f>IFERROR(VLOOKUP($G$5,'רשימת רשויות'!A:C,3,0),0)</f>
        <v>0</v>
      </c>
      <c r="B2022" s="520">
        <f t="shared" si="288"/>
        <v>0</v>
      </c>
      <c r="C2022" s="39"/>
      <c r="D2022" s="1134"/>
      <c r="E2022" s="1137"/>
      <c r="F2022" s="589" t="s">
        <v>3</v>
      </c>
      <c r="G2022" s="117">
        <f>IF(G2006="תקין",SUMIFS('דוח הוצאות בפועל (4)'!$E$17:$E$3016,'דוח הוצאות בפועל (4)'!$B$17:$B$3016,'בית ספר - תקצוב לפי מוסד (9)'!$G2001,'דוח הוצאות בפועל (4)'!$M$17:$M$3016,"ני")+SUMIFS('דוח הוצאות בפועל (4)'!$E$17:$E$3016,'דוח הוצאות בפועל (4)'!$B$17:$B$3016,'בית ספר - תקצוב לפי מוסד (9)'!$G2001,'דוח הוצאות בפועל (4)'!$M$17:$M$3016,"על"),0)-Y2022</f>
        <v>0</v>
      </c>
      <c r="H2022" s="117">
        <f>H2003</f>
        <v>0</v>
      </c>
      <c r="I2022" s="138">
        <f>IFERROR(G2022/H2022,0)</f>
        <v>0</v>
      </c>
      <c r="J2022" s="117">
        <f>IFERROR(IF(G2022/H2024&gt;0.15,MIN(H2024*0.15,H2022),MIN(H2022,IF(ISNUMBER(G2022),G2022,0))),0)</f>
        <v>0</v>
      </c>
      <c r="K2022" s="120">
        <f>MAX(H2022-G2022,0)</f>
        <v>0</v>
      </c>
      <c r="L2022" s="407"/>
      <c r="M2022" s="393"/>
      <c r="N2022" s="393"/>
      <c r="O2022" s="602"/>
      <c r="P2022" s="620">
        <f>IF(I2022&lt;100%,MIN(H2022-G2022,H2022*0.25),0)</f>
        <v>0</v>
      </c>
      <c r="Q2022" s="620">
        <f>MAX(MIN(IF(G2022-H2022&gt;0,G2022-H2022,0),$H2024*0.15-H2022-J2023),0)</f>
        <v>0</v>
      </c>
      <c r="R2022" s="596"/>
      <c r="S2022" s="610" t="s">
        <v>3</v>
      </c>
      <c r="T2022" s="599">
        <f>G2001</f>
        <v>0</v>
      </c>
      <c r="U2022" s="578"/>
      <c r="V2022" s="579">
        <f t="shared" ref="V2022" si="292">G2022</f>
        <v>0</v>
      </c>
      <c r="W2022" s="579">
        <f t="shared" si="289"/>
        <v>0</v>
      </c>
      <c r="X2022" s="579"/>
      <c r="Y2022" s="879"/>
      <c r="Z2022" s="121"/>
      <c r="AA2022" s="143"/>
      <c r="AB2022" s="143"/>
      <c r="AC2022" s="504">
        <v>0</v>
      </c>
      <c r="AD2022" s="505">
        <f t="shared" si="290"/>
        <v>0</v>
      </c>
      <c r="AE2022" s="143"/>
      <c r="AG2022" s="22"/>
      <c r="AH2022" s="22"/>
      <c r="AI2022" s="22"/>
      <c r="AJ2022" s="22"/>
      <c r="AK2022" s="22"/>
      <c r="AL2022" s="22"/>
      <c r="AM2022" s="22"/>
      <c r="AN2022" s="22"/>
      <c r="AO2022" s="22"/>
      <c r="AP2022" s="22"/>
      <c r="AQ2022" s="22"/>
      <c r="AR2022" s="22"/>
      <c r="AS2022" s="22"/>
      <c r="AT2022" s="22"/>
      <c r="AU2022" s="35"/>
      <c r="AV2022" s="35"/>
      <c r="AW2022" s="35"/>
      <c r="AX2022" s="35"/>
      <c r="AY2022" s="35"/>
      <c r="AZ2022" s="35"/>
      <c r="BA2022" s="35"/>
      <c r="BB2022" s="35"/>
      <c r="BC2022" s="35"/>
      <c r="BD2022" s="35"/>
      <c r="BE2022" s="35"/>
      <c r="BF2022" s="35"/>
      <c r="BG2022" s="35"/>
      <c r="BH2022" s="35"/>
      <c r="BI2022" s="35"/>
      <c r="BJ2022" s="35"/>
      <c r="BK2022" s="35"/>
      <c r="BL2022" s="35"/>
      <c r="BM2022" s="35"/>
      <c r="BN2022" s="35"/>
      <c r="BO2022" s="86"/>
    </row>
    <row r="2023" spans="1:67" s="55" customFormat="1" ht="15.75" customHeight="1" x14ac:dyDescent="0.25">
      <c r="A2023" s="520">
        <f>IFERROR(VLOOKUP($G$5,'רשימת רשויות'!A:C,3,0),0)</f>
        <v>0</v>
      </c>
      <c r="B2023" s="520">
        <f t="shared" si="288"/>
        <v>0</v>
      </c>
      <c r="C2023" s="39"/>
      <c r="D2023" s="1134"/>
      <c r="E2023" s="1137"/>
      <c r="F2023" s="589" t="s">
        <v>2918</v>
      </c>
      <c r="G2023" s="117">
        <f>0.07*(G2017+G2016)</f>
        <v>0</v>
      </c>
      <c r="H2023" s="117">
        <f>H2005</f>
        <v>0</v>
      </c>
      <c r="I2023" s="138">
        <f>IFERROR(G2023/H2023,0)</f>
        <v>0</v>
      </c>
      <c r="J2023" s="117">
        <f>IFERROR(MIN(0.07*(G2016+G2017),0.07*I2005),0)</f>
        <v>0</v>
      </c>
      <c r="K2023" s="120">
        <f>MAX(H2023-G2023,0)</f>
        <v>0</v>
      </c>
      <c r="L2023" s="407"/>
      <c r="M2023" s="393"/>
      <c r="N2023" s="393"/>
      <c r="O2023" s="602"/>
      <c r="P2023" s="620"/>
      <c r="Q2023" s="619"/>
      <c r="R2023" s="596"/>
      <c r="S2023" s="611"/>
      <c r="T2023" s="599">
        <f>G2001</f>
        <v>0</v>
      </c>
      <c r="U2023" s="578"/>
      <c r="V2023" s="579"/>
      <c r="W2023" s="579">
        <f t="shared" si="289"/>
        <v>0</v>
      </c>
      <c r="X2023" s="579"/>
      <c r="Y2023" s="879"/>
      <c r="Z2023" s="121"/>
      <c r="AA2023" s="143"/>
      <c r="AB2023" s="143"/>
      <c r="AC2023" s="504"/>
      <c r="AD2023" s="505"/>
      <c r="AE2023" s="143"/>
      <c r="AF2023" s="140"/>
      <c r="AG2023" s="22"/>
      <c r="AH2023" s="22"/>
      <c r="AI2023" s="22"/>
      <c r="AJ2023" s="22"/>
      <c r="AK2023" s="22"/>
      <c r="AL2023" s="22"/>
      <c r="AM2023" s="22"/>
      <c r="AN2023" s="22"/>
      <c r="AO2023" s="22"/>
      <c r="AP2023" s="22"/>
      <c r="AQ2023" s="22"/>
      <c r="AR2023" s="22"/>
      <c r="AS2023" s="22"/>
      <c r="AT2023" s="22"/>
      <c r="AU2023" s="35"/>
      <c r="AV2023" s="35"/>
      <c r="AW2023" s="35"/>
      <c r="AX2023" s="35"/>
      <c r="AY2023" s="35"/>
      <c r="AZ2023" s="35"/>
      <c r="BA2023" s="35"/>
      <c r="BB2023" s="35"/>
      <c r="BC2023" s="35"/>
      <c r="BD2023" s="35"/>
      <c r="BE2023" s="35"/>
      <c r="BF2023" s="35"/>
      <c r="BG2023" s="35"/>
      <c r="BH2023" s="35"/>
      <c r="BI2023" s="35"/>
      <c r="BJ2023" s="35"/>
      <c r="BK2023" s="35"/>
      <c r="BL2023" s="35"/>
      <c r="BM2023" s="35"/>
      <c r="BN2023" s="35"/>
      <c r="BO2023" s="86"/>
    </row>
    <row r="2024" spans="1:67" ht="15.75" customHeight="1" x14ac:dyDescent="0.25">
      <c r="A2024" s="520">
        <f>IFERROR(VLOOKUP($G$5,'רשימת רשויות'!A:C,3,0),0)</f>
        <v>0</v>
      </c>
      <c r="B2024" s="520">
        <f t="shared" si="288"/>
        <v>0</v>
      </c>
      <c r="D2024" s="1134"/>
      <c r="E2024" s="1137"/>
      <c r="F2024" s="591" t="s">
        <v>15</v>
      </c>
      <c r="G2024" s="134">
        <f>G2021+G2022+G2023</f>
        <v>0</v>
      </c>
      <c r="H2024" s="134">
        <f>H2021+H2022+H2023</f>
        <v>0</v>
      </c>
      <c r="I2024" s="138">
        <f>IFERROR(G2024/H2024,0)</f>
        <v>0</v>
      </c>
      <c r="J2024" s="139">
        <f>J2021+J2022+J2023</f>
        <v>0</v>
      </c>
      <c r="K2024" s="137">
        <f>K2022+K2021+K2023</f>
        <v>0</v>
      </c>
      <c r="L2024" s="408"/>
      <c r="M2024" s="394"/>
      <c r="N2024" s="394"/>
      <c r="O2024" s="602"/>
      <c r="P2024" s="621">
        <f>SUM(P2021:P2022)</f>
        <v>0</v>
      </c>
      <c r="Q2024" s="622">
        <f>Q2021+Q2022</f>
        <v>0</v>
      </c>
      <c r="R2024" s="596"/>
      <c r="S2024" s="611"/>
      <c r="T2024" s="599">
        <f>G2001</f>
        <v>0</v>
      </c>
      <c r="U2024" s="578"/>
      <c r="V2024" s="579"/>
      <c r="W2024" s="579">
        <f t="shared" si="289"/>
        <v>0</v>
      </c>
      <c r="X2024" s="579"/>
      <c r="Y2024" s="879"/>
      <c r="Z2024" s="106"/>
      <c r="AC2024" s="504"/>
      <c r="AD2024" s="505"/>
      <c r="AH2024" s="143"/>
      <c r="BO2024" s="86"/>
    </row>
    <row r="2025" spans="1:67" ht="15.75" customHeight="1" x14ac:dyDescent="0.25">
      <c r="A2025" s="520">
        <f>IFERROR(VLOOKUP($G$5,'רשימת רשויות'!A:C,3,0),0)</f>
        <v>0</v>
      </c>
      <c r="B2025" s="520">
        <f t="shared" si="288"/>
        <v>0</v>
      </c>
      <c r="D2025" s="1134"/>
      <c r="E2025" s="1137"/>
      <c r="F2025" s="589" t="s">
        <v>2261</v>
      </c>
      <c r="G2025" s="117">
        <f>IF(G2006="תקין",SUMIF('תשלומי הורים ומלגות להורים (5) '!$B$18:$B$517,$G2001,'תשלומי הורים ומלגות להורים (5) '!$C$18:$C$517),0)</f>
        <v>0</v>
      </c>
      <c r="H2025" s="117">
        <f>(G2004+G2005)*$G$7</f>
        <v>0</v>
      </c>
      <c r="I2025" s="141"/>
      <c r="J2025" s="141"/>
      <c r="K2025" s="142"/>
      <c r="L2025" s="395"/>
      <c r="M2025" s="395"/>
      <c r="N2025" s="395"/>
      <c r="O2025" s="602"/>
      <c r="P2025" s="623"/>
      <c r="Q2025" s="619"/>
      <c r="R2025" s="596"/>
      <c r="S2025" s="612"/>
      <c r="T2025" s="599">
        <f>G2001</f>
        <v>0</v>
      </c>
      <c r="U2025" s="578"/>
      <c r="V2025" s="579"/>
      <c r="W2025" s="579">
        <f t="shared" si="289"/>
        <v>0</v>
      </c>
      <c r="X2025" s="579"/>
      <c r="Y2025" s="879"/>
      <c r="Z2025" s="121"/>
      <c r="AA2025" s="143"/>
      <c r="AB2025" s="143"/>
      <c r="AC2025" s="504"/>
      <c r="AD2025" s="505"/>
      <c r="AE2025" s="143"/>
      <c r="AF2025" s="148"/>
      <c r="BO2025" s="86"/>
    </row>
    <row r="2026" spans="1:67" ht="15.75" customHeight="1" thickBot="1" x14ac:dyDescent="0.3">
      <c r="A2026" s="520">
        <f>IFERROR(VLOOKUP($G$5,'רשימת רשויות'!A:C,3,0),0)</f>
        <v>0</v>
      </c>
      <c r="B2026" s="520">
        <f t="shared" si="288"/>
        <v>0</v>
      </c>
      <c r="D2026" s="1134"/>
      <c r="E2026" s="1137"/>
      <c r="F2026" s="592" t="s">
        <v>21</v>
      </c>
      <c r="G2026" s="144">
        <f>G2024-G2025</f>
        <v>0</v>
      </c>
      <c r="H2026" s="144">
        <f>H2024-H2025</f>
        <v>0</v>
      </c>
      <c r="I2026" s="145"/>
      <c r="J2026" s="145"/>
      <c r="K2026" s="146"/>
      <c r="L2026" s="396"/>
      <c r="M2026" s="396"/>
      <c r="N2026" s="396"/>
      <c r="O2026" s="602"/>
      <c r="P2026" s="619"/>
      <c r="Q2026" s="619"/>
      <c r="R2026" s="596"/>
      <c r="S2026" s="612"/>
      <c r="T2026" s="599">
        <f>G2001</f>
        <v>0</v>
      </c>
      <c r="U2026" s="578"/>
      <c r="V2026" s="579"/>
      <c r="W2026" s="579">
        <f t="shared" si="289"/>
        <v>0</v>
      </c>
      <c r="X2026" s="579"/>
      <c r="Y2026" s="879"/>
      <c r="Z2026" s="147"/>
      <c r="AA2026" s="148"/>
      <c r="AB2026" s="148"/>
      <c r="AC2026" s="504"/>
      <c r="AD2026" s="505"/>
      <c r="AE2026" s="148"/>
      <c r="AF2026" s="148"/>
      <c r="BO2026" s="86"/>
    </row>
    <row r="2027" spans="1:67" ht="15.75" customHeight="1" thickBot="1" x14ac:dyDescent="0.3">
      <c r="A2027" s="520">
        <f>IFERROR(VLOOKUP($G$5,'רשימת רשויות'!A:C,3,0),0)</f>
        <v>0</v>
      </c>
      <c r="B2027" s="520">
        <f t="shared" si="288"/>
        <v>0</v>
      </c>
      <c r="D2027" s="1134"/>
      <c r="E2027" s="1137"/>
      <c r="F2027" s="580"/>
      <c r="G2027" s="580"/>
      <c r="H2027" s="147"/>
      <c r="I2027" s="149" t="s">
        <v>2197</v>
      </c>
      <c r="J2027" s="150">
        <f>MAX(MIN(P2024,Q2024),0)</f>
        <v>0</v>
      </c>
      <c r="K2027" s="580"/>
      <c r="L2027" s="580"/>
      <c r="M2027" s="580"/>
      <c r="N2027" s="580"/>
      <c r="O2027" s="580"/>
      <c r="P2027" s="615" t="s">
        <v>2317</v>
      </c>
      <c r="Q2027" s="624">
        <f>SUM(Q2028:Q2029)</f>
        <v>0</v>
      </c>
      <c r="R2027" s="596"/>
      <c r="S2027" s="612"/>
      <c r="T2027" s="599">
        <f>G2001</f>
        <v>0</v>
      </c>
      <c r="U2027" s="578"/>
      <c r="V2027" s="579"/>
      <c r="W2027" s="579">
        <f t="shared" si="289"/>
        <v>0</v>
      </c>
      <c r="X2027" s="579"/>
      <c r="Y2027" s="879"/>
      <c r="Z2027" s="106"/>
      <c r="AC2027" s="504"/>
      <c r="AD2027" s="505"/>
      <c r="AF2027" s="148"/>
      <c r="BO2027" s="86"/>
    </row>
    <row r="2028" spans="1:67" ht="16.5" thickBot="1" x14ac:dyDescent="0.3">
      <c r="A2028" s="520">
        <f>IFERROR(VLOOKUP($G$5,'רשימת רשויות'!A:C,3,0),0)</f>
        <v>0</v>
      </c>
      <c r="B2028" s="520">
        <f t="shared" si="288"/>
        <v>0</v>
      </c>
      <c r="D2028" s="1134"/>
      <c r="E2028" s="1137"/>
      <c r="F2028" s="580"/>
      <c r="G2028" s="580"/>
      <c r="H2028" s="580"/>
      <c r="I2028" s="84" t="s">
        <v>2193</v>
      </c>
      <c r="J2028" s="515" t="str">
        <f>IFERROR(1-H2025/H2024,"")</f>
        <v/>
      </c>
      <c r="K2028" s="580"/>
      <c r="L2028" s="580"/>
      <c r="M2028" s="580"/>
      <c r="N2028" s="580"/>
      <c r="O2028" s="580"/>
      <c r="P2028" s="615" t="s">
        <v>417</v>
      </c>
      <c r="Q2028" s="616">
        <f>IFERROR(MAX(H2026-I2029-Q2029,0),0)</f>
        <v>0</v>
      </c>
      <c r="R2028" s="596"/>
      <c r="S2028" s="600"/>
      <c r="T2028" s="599">
        <f>G2001</f>
        <v>0</v>
      </c>
      <c r="U2028" s="578"/>
      <c r="V2028" s="579"/>
      <c r="W2028" s="579">
        <f t="shared" si="289"/>
        <v>0</v>
      </c>
      <c r="X2028" s="579"/>
      <c r="Y2028" s="879"/>
      <c r="Z2028" s="106"/>
      <c r="AC2028" s="504"/>
      <c r="AD2028" s="505"/>
      <c r="BO2028" s="86"/>
    </row>
    <row r="2029" spans="1:67" ht="17.25" thickBot="1" x14ac:dyDescent="0.3">
      <c r="A2029" s="520">
        <f>IFERROR(VLOOKUP($G$5,'רשימת רשויות'!A:C,3,0),0)</f>
        <v>0</v>
      </c>
      <c r="B2029" s="520">
        <f t="shared" ref="B2029:B2030" si="293">IF(F2030="סמל המוסד",G2030,B2028)</f>
        <v>0</v>
      </c>
      <c r="D2029" s="1134"/>
      <c r="E2029" s="1137"/>
      <c r="F2029" s="1143" t="s">
        <v>2679</v>
      </c>
      <c r="G2029" s="1143"/>
      <c r="H2029" s="1143"/>
      <c r="I2029" s="722">
        <f>IF(G2006="לא תקין","לא קיימת זכאות לתקציב לאור אי איוש משרות רכז ו/או סגן רכז ",IFERROR(J2028*(J2027+J2024),0))</f>
        <v>0</v>
      </c>
      <c r="J2029" s="573"/>
      <c r="K2029" s="574"/>
      <c r="L2029" s="396"/>
      <c r="M2029" s="574"/>
      <c r="N2029" s="574"/>
      <c r="O2029" s="574"/>
      <c r="P2029" s="615" t="s">
        <v>2279</v>
      </c>
      <c r="Q2029" s="616">
        <f>MAX(IF(AND(G2024&gt;H2024,I2029&lt;H2026),H2026-I2029,0),0)</f>
        <v>0</v>
      </c>
      <c r="R2029" s="575"/>
      <c r="S2029" s="576" t="s">
        <v>67</v>
      </c>
      <c r="T2029" s="577">
        <f>G2001</f>
        <v>0</v>
      </c>
      <c r="U2029" s="578"/>
      <c r="V2029" s="579">
        <f>I2029</f>
        <v>0</v>
      </c>
      <c r="W2029" s="579">
        <f>IFERROR(U2029-V2029,0)</f>
        <v>0</v>
      </c>
      <c r="X2029" s="579">
        <f>SUM(X2015:X2028)</f>
        <v>0</v>
      </c>
      <c r="Y2029" s="879"/>
      <c r="Z2029" s="106"/>
      <c r="AC2029" s="506">
        <v>0</v>
      </c>
      <c r="AD2029" s="507">
        <f>IFERROR(U2029-AC2029,0)</f>
        <v>0</v>
      </c>
      <c r="BO2029" s="86"/>
    </row>
    <row r="2030" spans="1:67" ht="16.5" thickBot="1" x14ac:dyDescent="0.3">
      <c r="A2030" s="520">
        <f>IFERROR(VLOOKUP($G$5,'רשימת רשויות'!A:C,3,0),0)</f>
        <v>0</v>
      </c>
      <c r="B2030" s="520">
        <f t="shared" si="293"/>
        <v>0</v>
      </c>
      <c r="D2030" s="1135"/>
      <c r="E2030" s="1138"/>
      <c r="F2030" s="1144" t="s">
        <v>2793</v>
      </c>
      <c r="G2030" s="1145"/>
      <c r="H2030" s="1145"/>
      <c r="I2030" s="593">
        <f>IFERROR(IF(G2006="תקין",SUMIFS('סייעות רפואיות או אישיות (7)'!$Q$17:Q$384,'סייעות רפואיות או אישיות (7)'!C$17:C$384,G2001),0),0)</f>
        <v>0</v>
      </c>
      <c r="J2030" s="151"/>
      <c r="K2030" s="152"/>
      <c r="L2030" s="409"/>
      <c r="M2030" s="152"/>
      <c r="N2030" s="152"/>
      <c r="O2030" s="152"/>
      <c r="P2030" s="613"/>
      <c r="Q2030" s="614"/>
      <c r="R2030" s="475"/>
      <c r="S2030" s="489"/>
      <c r="T2030" s="490"/>
      <c r="U2030" s="491"/>
      <c r="V2030" s="492"/>
      <c r="W2030" s="492"/>
      <c r="X2030" s="492"/>
      <c r="Y2030" s="880"/>
      <c r="Z2030" s="153"/>
      <c r="AC2030" s="581"/>
      <c r="AD2030" s="582"/>
      <c r="BO2030" s="86"/>
    </row>
    <row r="2031" spans="1:67" ht="33.75" x14ac:dyDescent="0.5">
      <c r="E2031" s="154"/>
      <c r="I2031" s="143"/>
      <c r="J2031" s="148"/>
      <c r="O2031" s="148"/>
      <c r="T2031" s="481"/>
      <c r="BO2031" s="86"/>
    </row>
  </sheetData>
  <sheetProtection algorithmName="SHA-512" hashValue="OX0+OaIZeC5+9iBCQavVjqG260bUNC6l/ug9CFIjQekmYjsF1H1ENksJBmZUDRoXGpm3fDCvy8Xt983bmDd1tA==" saltValue="afi1zKMxGX3/YnlbpfI6qQ==" spinCount="100000" sheet="1" objects="1" scenarios="1"/>
  <autoFilter ref="S15:Y15" xr:uid="{00000000-0009-0000-0000-00000B000000}"/>
  <mergeCells count="651">
    <mergeCell ref="D1071:D1100"/>
    <mergeCell ref="D1102:D1131"/>
    <mergeCell ref="E1102:E1131"/>
    <mergeCell ref="K1117:K1118"/>
    <mergeCell ref="D1226:D1255"/>
    <mergeCell ref="E1226:E1255"/>
    <mergeCell ref="K1241:K1242"/>
    <mergeCell ref="P1241:P1242"/>
    <mergeCell ref="Q1241:Q1242"/>
    <mergeCell ref="K1244:K1245"/>
    <mergeCell ref="P1244:P1245"/>
    <mergeCell ref="Q1244:Q1245"/>
    <mergeCell ref="F1254:H1254"/>
    <mergeCell ref="F1255:H1255"/>
    <mergeCell ref="E1071:E1100"/>
    <mergeCell ref="K1086:K1087"/>
    <mergeCell ref="P1086:P1087"/>
    <mergeCell ref="Q1086:Q1087"/>
    <mergeCell ref="K1089:K1090"/>
    <mergeCell ref="P1089:P1090"/>
    <mergeCell ref="Q1089:Q1090"/>
    <mergeCell ref="F1099:H1099"/>
    <mergeCell ref="F1100:H1100"/>
    <mergeCell ref="P1117:P1118"/>
    <mergeCell ref="D544:D573"/>
    <mergeCell ref="E544:E573"/>
    <mergeCell ref="F572:H572"/>
    <mergeCell ref="F573:H573"/>
    <mergeCell ref="Q624:Q625"/>
    <mergeCell ref="F634:H634"/>
    <mergeCell ref="F635:H635"/>
    <mergeCell ref="D637:D666"/>
    <mergeCell ref="F758:H758"/>
    <mergeCell ref="D730:D759"/>
    <mergeCell ref="E730:E759"/>
    <mergeCell ref="K745:K746"/>
    <mergeCell ref="P745:P746"/>
    <mergeCell ref="Q745:Q746"/>
    <mergeCell ref="K748:K749"/>
    <mergeCell ref="P748:P749"/>
    <mergeCell ref="Q748:Q749"/>
    <mergeCell ref="F759:H759"/>
    <mergeCell ref="D668:D697"/>
    <mergeCell ref="E668:E697"/>
    <mergeCell ref="K683:K684"/>
    <mergeCell ref="P683:P684"/>
    <mergeCell ref="Q683:Q684"/>
    <mergeCell ref="K686:K687"/>
    <mergeCell ref="D203:D232"/>
    <mergeCell ref="Q280:Q281"/>
    <mergeCell ref="K283:K284"/>
    <mergeCell ref="P283:P284"/>
    <mergeCell ref="Q283:Q284"/>
    <mergeCell ref="F293:H293"/>
    <mergeCell ref="P252:P253"/>
    <mergeCell ref="Q252:Q253"/>
    <mergeCell ref="F262:H262"/>
    <mergeCell ref="F263:H263"/>
    <mergeCell ref="D265:D294"/>
    <mergeCell ref="E265:E294"/>
    <mergeCell ref="K280:K281"/>
    <mergeCell ref="P280:P281"/>
    <mergeCell ref="F294:H294"/>
    <mergeCell ref="E203:E232"/>
    <mergeCell ref="D1846:D1875"/>
    <mergeCell ref="E1846:E1875"/>
    <mergeCell ref="K1861:K1862"/>
    <mergeCell ref="P1861:P1862"/>
    <mergeCell ref="Q1861:Q1862"/>
    <mergeCell ref="K1864:K1865"/>
    <mergeCell ref="P1864:P1865"/>
    <mergeCell ref="Q1864:Q1865"/>
    <mergeCell ref="F1874:H1874"/>
    <mergeCell ref="F1875:H1875"/>
    <mergeCell ref="D1815:D1844"/>
    <mergeCell ref="E1815:E1844"/>
    <mergeCell ref="K1830:K1831"/>
    <mergeCell ref="P1830:P1831"/>
    <mergeCell ref="Q1830:Q1831"/>
    <mergeCell ref="K1833:K1834"/>
    <mergeCell ref="P1833:P1834"/>
    <mergeCell ref="Q1833:Q1834"/>
    <mergeCell ref="F1843:H1843"/>
    <mergeCell ref="F1844:H1844"/>
    <mergeCell ref="D1784:D1813"/>
    <mergeCell ref="E1784:E1813"/>
    <mergeCell ref="K1799:K1800"/>
    <mergeCell ref="P1799:P1800"/>
    <mergeCell ref="Q1799:Q1800"/>
    <mergeCell ref="K1802:K1803"/>
    <mergeCell ref="P1802:P1803"/>
    <mergeCell ref="Q1802:Q1803"/>
    <mergeCell ref="F1812:H1812"/>
    <mergeCell ref="F1813:H1813"/>
    <mergeCell ref="D1753:D1782"/>
    <mergeCell ref="E1753:E1782"/>
    <mergeCell ref="K1768:K1769"/>
    <mergeCell ref="P1768:P1769"/>
    <mergeCell ref="Q1768:Q1769"/>
    <mergeCell ref="K1771:K1772"/>
    <mergeCell ref="P1771:P1772"/>
    <mergeCell ref="Q1771:Q1772"/>
    <mergeCell ref="F1781:H1781"/>
    <mergeCell ref="F1782:H1782"/>
    <mergeCell ref="D1660:D1689"/>
    <mergeCell ref="E1660:E1689"/>
    <mergeCell ref="K1675:K1676"/>
    <mergeCell ref="P1675:P1676"/>
    <mergeCell ref="Q1675:Q1676"/>
    <mergeCell ref="K1678:K1679"/>
    <mergeCell ref="P1678:P1679"/>
    <mergeCell ref="Q1678:Q1679"/>
    <mergeCell ref="F1688:H1688"/>
    <mergeCell ref="F1689:H1689"/>
    <mergeCell ref="D1629:D1658"/>
    <mergeCell ref="E1629:E1658"/>
    <mergeCell ref="K1644:K1645"/>
    <mergeCell ref="P1644:P1645"/>
    <mergeCell ref="Q1644:Q1645"/>
    <mergeCell ref="K1647:K1648"/>
    <mergeCell ref="P1647:P1648"/>
    <mergeCell ref="Q1647:Q1648"/>
    <mergeCell ref="F1657:H1657"/>
    <mergeCell ref="F1658:H1658"/>
    <mergeCell ref="D1598:D1627"/>
    <mergeCell ref="E1598:E1627"/>
    <mergeCell ref="K1613:K1614"/>
    <mergeCell ref="P1613:P1614"/>
    <mergeCell ref="Q1613:Q1614"/>
    <mergeCell ref="K1616:K1617"/>
    <mergeCell ref="P1616:P1617"/>
    <mergeCell ref="Q1616:Q1617"/>
    <mergeCell ref="F1626:H1626"/>
    <mergeCell ref="F1627:H1627"/>
    <mergeCell ref="D1567:D1596"/>
    <mergeCell ref="E1567:E1596"/>
    <mergeCell ref="K1582:K1583"/>
    <mergeCell ref="P1582:P1583"/>
    <mergeCell ref="Q1582:Q1583"/>
    <mergeCell ref="K1585:K1586"/>
    <mergeCell ref="P1585:P1586"/>
    <mergeCell ref="Q1585:Q1586"/>
    <mergeCell ref="F1595:H1595"/>
    <mergeCell ref="F1596:H1596"/>
    <mergeCell ref="D1536:D1565"/>
    <mergeCell ref="E1536:E1565"/>
    <mergeCell ref="K1551:K1552"/>
    <mergeCell ref="P1551:P1552"/>
    <mergeCell ref="Q1551:Q1552"/>
    <mergeCell ref="K1554:K1555"/>
    <mergeCell ref="P1554:P1555"/>
    <mergeCell ref="Q1554:Q1555"/>
    <mergeCell ref="F1564:H1564"/>
    <mergeCell ref="F1565:H1565"/>
    <mergeCell ref="D1505:D1534"/>
    <mergeCell ref="E1505:E1534"/>
    <mergeCell ref="K1520:K1521"/>
    <mergeCell ref="P1520:P1521"/>
    <mergeCell ref="Q1520:Q1521"/>
    <mergeCell ref="K1523:K1524"/>
    <mergeCell ref="P1523:P1524"/>
    <mergeCell ref="Q1523:Q1524"/>
    <mergeCell ref="F1533:H1533"/>
    <mergeCell ref="F1534:H1534"/>
    <mergeCell ref="D1474:D1503"/>
    <mergeCell ref="E1474:E1503"/>
    <mergeCell ref="K1489:K1490"/>
    <mergeCell ref="P1489:P1490"/>
    <mergeCell ref="Q1489:Q1490"/>
    <mergeCell ref="K1492:K1493"/>
    <mergeCell ref="P1492:P1493"/>
    <mergeCell ref="Q1492:Q1493"/>
    <mergeCell ref="F1502:H1502"/>
    <mergeCell ref="F1503:H1503"/>
    <mergeCell ref="D1443:D1472"/>
    <mergeCell ref="E1443:E1472"/>
    <mergeCell ref="K1458:K1459"/>
    <mergeCell ref="P1458:P1459"/>
    <mergeCell ref="Q1458:Q1459"/>
    <mergeCell ref="K1461:K1462"/>
    <mergeCell ref="P1461:P1462"/>
    <mergeCell ref="Q1461:Q1462"/>
    <mergeCell ref="F1471:H1471"/>
    <mergeCell ref="F1472:H1472"/>
    <mergeCell ref="D1412:D1441"/>
    <mergeCell ref="E1412:E1441"/>
    <mergeCell ref="K1427:K1428"/>
    <mergeCell ref="P1427:P1428"/>
    <mergeCell ref="Q1427:Q1428"/>
    <mergeCell ref="K1430:K1431"/>
    <mergeCell ref="P1430:P1431"/>
    <mergeCell ref="Q1430:Q1431"/>
    <mergeCell ref="F1440:H1440"/>
    <mergeCell ref="F1441:H1441"/>
    <mergeCell ref="D1381:D1410"/>
    <mergeCell ref="E1381:E1410"/>
    <mergeCell ref="K1396:K1397"/>
    <mergeCell ref="P1396:P1397"/>
    <mergeCell ref="Q1396:Q1397"/>
    <mergeCell ref="K1399:K1400"/>
    <mergeCell ref="P1399:P1400"/>
    <mergeCell ref="Q1399:Q1400"/>
    <mergeCell ref="F1409:H1409"/>
    <mergeCell ref="F1410:H1410"/>
    <mergeCell ref="D1350:D1379"/>
    <mergeCell ref="E1350:E1379"/>
    <mergeCell ref="K1365:K1366"/>
    <mergeCell ref="P1365:P1366"/>
    <mergeCell ref="Q1365:Q1366"/>
    <mergeCell ref="K1368:K1369"/>
    <mergeCell ref="P1368:P1369"/>
    <mergeCell ref="Q1368:Q1369"/>
    <mergeCell ref="F1378:H1378"/>
    <mergeCell ref="F1379:H1379"/>
    <mergeCell ref="D1319:D1348"/>
    <mergeCell ref="E1319:E1348"/>
    <mergeCell ref="K1334:K1335"/>
    <mergeCell ref="P1334:P1335"/>
    <mergeCell ref="Q1334:Q1335"/>
    <mergeCell ref="K1337:K1338"/>
    <mergeCell ref="P1337:P1338"/>
    <mergeCell ref="Q1337:Q1338"/>
    <mergeCell ref="F1347:H1347"/>
    <mergeCell ref="F1348:H1348"/>
    <mergeCell ref="D1288:D1317"/>
    <mergeCell ref="E1288:E1317"/>
    <mergeCell ref="K1303:K1304"/>
    <mergeCell ref="P1303:P1304"/>
    <mergeCell ref="Q1303:Q1304"/>
    <mergeCell ref="K1306:K1307"/>
    <mergeCell ref="P1306:P1307"/>
    <mergeCell ref="Q1306:Q1307"/>
    <mergeCell ref="F1316:H1316"/>
    <mergeCell ref="F1317:H1317"/>
    <mergeCell ref="D1257:D1286"/>
    <mergeCell ref="E1257:E1286"/>
    <mergeCell ref="K1272:K1273"/>
    <mergeCell ref="P1272:P1273"/>
    <mergeCell ref="Q1272:Q1273"/>
    <mergeCell ref="K1275:K1276"/>
    <mergeCell ref="P1275:P1276"/>
    <mergeCell ref="Q1275:Q1276"/>
    <mergeCell ref="F1285:H1285"/>
    <mergeCell ref="F1286:H1286"/>
    <mergeCell ref="D947:D976"/>
    <mergeCell ref="E947:E976"/>
    <mergeCell ref="K962:K963"/>
    <mergeCell ref="P962:P963"/>
    <mergeCell ref="Q962:Q963"/>
    <mergeCell ref="K965:K966"/>
    <mergeCell ref="P965:P966"/>
    <mergeCell ref="Q965:Q966"/>
    <mergeCell ref="F975:H975"/>
    <mergeCell ref="F976:H976"/>
    <mergeCell ref="D854:D883"/>
    <mergeCell ref="E854:E883"/>
    <mergeCell ref="K869:K870"/>
    <mergeCell ref="P869:P870"/>
    <mergeCell ref="Q869:Q870"/>
    <mergeCell ref="K872:K873"/>
    <mergeCell ref="P872:P873"/>
    <mergeCell ref="Q872:Q873"/>
    <mergeCell ref="F882:H882"/>
    <mergeCell ref="F883:H883"/>
    <mergeCell ref="D823:D852"/>
    <mergeCell ref="E823:E852"/>
    <mergeCell ref="K838:K839"/>
    <mergeCell ref="P838:P839"/>
    <mergeCell ref="Q838:Q839"/>
    <mergeCell ref="K841:K842"/>
    <mergeCell ref="P841:P842"/>
    <mergeCell ref="Q841:Q842"/>
    <mergeCell ref="F851:H851"/>
    <mergeCell ref="F852:H852"/>
    <mergeCell ref="D761:D790"/>
    <mergeCell ref="E761:E790"/>
    <mergeCell ref="K776:K777"/>
    <mergeCell ref="P776:P777"/>
    <mergeCell ref="D699:D728"/>
    <mergeCell ref="E699:E728"/>
    <mergeCell ref="K714:K715"/>
    <mergeCell ref="P714:P715"/>
    <mergeCell ref="Q714:Q715"/>
    <mergeCell ref="K717:K718"/>
    <mergeCell ref="P717:P718"/>
    <mergeCell ref="Q717:Q718"/>
    <mergeCell ref="F727:H727"/>
    <mergeCell ref="F728:H728"/>
    <mergeCell ref="Q776:Q777"/>
    <mergeCell ref="K779:K780"/>
    <mergeCell ref="P779:P780"/>
    <mergeCell ref="Q779:Q780"/>
    <mergeCell ref="F789:H789"/>
    <mergeCell ref="F790:H790"/>
    <mergeCell ref="P686:P687"/>
    <mergeCell ref="Q686:Q687"/>
    <mergeCell ref="F696:H696"/>
    <mergeCell ref="F697:H697"/>
    <mergeCell ref="D575:D604"/>
    <mergeCell ref="E575:E604"/>
    <mergeCell ref="K593:K594"/>
    <mergeCell ref="P593:P594"/>
    <mergeCell ref="Q593:Q594"/>
    <mergeCell ref="F603:H603"/>
    <mergeCell ref="F604:H604"/>
    <mergeCell ref="D606:D635"/>
    <mergeCell ref="E606:E635"/>
    <mergeCell ref="K621:K622"/>
    <mergeCell ref="P621:P622"/>
    <mergeCell ref="Q621:Q622"/>
    <mergeCell ref="K624:K625"/>
    <mergeCell ref="P624:P625"/>
    <mergeCell ref="K590:K591"/>
    <mergeCell ref="P590:P591"/>
    <mergeCell ref="Q590:Q591"/>
    <mergeCell ref="P435:P436"/>
    <mergeCell ref="D482:D511"/>
    <mergeCell ref="E482:E511"/>
    <mergeCell ref="K497:K498"/>
    <mergeCell ref="P497:P498"/>
    <mergeCell ref="Q497:Q498"/>
    <mergeCell ref="K500:K501"/>
    <mergeCell ref="P500:P501"/>
    <mergeCell ref="Q500:Q501"/>
    <mergeCell ref="F510:H510"/>
    <mergeCell ref="F511:H511"/>
    <mergeCell ref="Q435:Q436"/>
    <mergeCell ref="K438:K439"/>
    <mergeCell ref="P438:P439"/>
    <mergeCell ref="Q438:Q439"/>
    <mergeCell ref="F448:H448"/>
    <mergeCell ref="F449:H449"/>
    <mergeCell ref="D451:D480"/>
    <mergeCell ref="E451:E480"/>
    <mergeCell ref="K466:K467"/>
    <mergeCell ref="P466:P467"/>
    <mergeCell ref="Q466:Q467"/>
    <mergeCell ref="K469:K470"/>
    <mergeCell ref="P469:P470"/>
    <mergeCell ref="D389:D418"/>
    <mergeCell ref="E389:E418"/>
    <mergeCell ref="K404:K405"/>
    <mergeCell ref="P404:P405"/>
    <mergeCell ref="Q404:Q405"/>
    <mergeCell ref="K407:K408"/>
    <mergeCell ref="P407:P408"/>
    <mergeCell ref="Q407:Q408"/>
    <mergeCell ref="F417:H417"/>
    <mergeCell ref="F418:H418"/>
    <mergeCell ref="F45:H45"/>
    <mergeCell ref="F76:H76"/>
    <mergeCell ref="F46:H46"/>
    <mergeCell ref="K66:K67"/>
    <mergeCell ref="P66:P67"/>
    <mergeCell ref="Q66:Q67"/>
    <mergeCell ref="P156:P157"/>
    <mergeCell ref="Q156:Q157"/>
    <mergeCell ref="K159:K160"/>
    <mergeCell ref="P159:P160"/>
    <mergeCell ref="Q159:Q160"/>
    <mergeCell ref="P125:P126"/>
    <mergeCell ref="Q125:Q126"/>
    <mergeCell ref="K128:K129"/>
    <mergeCell ref="P128:P129"/>
    <mergeCell ref="Q128:Q129"/>
    <mergeCell ref="F138:H138"/>
    <mergeCell ref="F139:H139"/>
    <mergeCell ref="AC4:AD10"/>
    <mergeCell ref="K32:K33"/>
    <mergeCell ref="P32:P33"/>
    <mergeCell ref="Q32:Q33"/>
    <mergeCell ref="K35:K36"/>
    <mergeCell ref="P35:P36"/>
    <mergeCell ref="Q35:Q36"/>
    <mergeCell ref="K63:K64"/>
    <mergeCell ref="P63:P64"/>
    <mergeCell ref="Q63:Q64"/>
    <mergeCell ref="F169:H169"/>
    <mergeCell ref="F170:H170"/>
    <mergeCell ref="K187:K188"/>
    <mergeCell ref="P187:P188"/>
    <mergeCell ref="Q187:Q188"/>
    <mergeCell ref="K190:K191"/>
    <mergeCell ref="P190:P191"/>
    <mergeCell ref="K249:K250"/>
    <mergeCell ref="P249:P250"/>
    <mergeCell ref="Q249:Q250"/>
    <mergeCell ref="K218:K219"/>
    <mergeCell ref="P218:P219"/>
    <mergeCell ref="Q218:Q219"/>
    <mergeCell ref="K221:K222"/>
    <mergeCell ref="P221:P222"/>
    <mergeCell ref="Q221:Q222"/>
    <mergeCell ref="F231:H231"/>
    <mergeCell ref="F232:H232"/>
    <mergeCell ref="Q190:Q191"/>
    <mergeCell ref="F200:H200"/>
    <mergeCell ref="F201:H201"/>
    <mergeCell ref="D141:D170"/>
    <mergeCell ref="E141:E170"/>
    <mergeCell ref="K156:K157"/>
    <mergeCell ref="D17:D46"/>
    <mergeCell ref="E17:E46"/>
    <mergeCell ref="F77:H77"/>
    <mergeCell ref="D48:D77"/>
    <mergeCell ref="E48:E77"/>
    <mergeCell ref="K528:K529"/>
    <mergeCell ref="D172:D201"/>
    <mergeCell ref="E172:E201"/>
    <mergeCell ref="D234:D263"/>
    <mergeCell ref="E234:E263"/>
    <mergeCell ref="K252:K253"/>
    <mergeCell ref="D420:D449"/>
    <mergeCell ref="E420:E449"/>
    <mergeCell ref="K435:K436"/>
    <mergeCell ref="D513:D542"/>
    <mergeCell ref="E513:E542"/>
    <mergeCell ref="F541:H541"/>
    <mergeCell ref="F542:H542"/>
    <mergeCell ref="D110:D139"/>
    <mergeCell ref="E110:E139"/>
    <mergeCell ref="K125:K126"/>
    <mergeCell ref="D79:D108"/>
    <mergeCell ref="E79:E108"/>
    <mergeCell ref="K94:K95"/>
    <mergeCell ref="P94:P95"/>
    <mergeCell ref="Q94:Q95"/>
    <mergeCell ref="K97:K98"/>
    <mergeCell ref="P97:P98"/>
    <mergeCell ref="Q97:Q98"/>
    <mergeCell ref="F107:H107"/>
    <mergeCell ref="F108:H108"/>
    <mergeCell ref="D296:D325"/>
    <mergeCell ref="E296:E325"/>
    <mergeCell ref="K311:K312"/>
    <mergeCell ref="P311:P312"/>
    <mergeCell ref="Q311:Q312"/>
    <mergeCell ref="K314:K315"/>
    <mergeCell ref="P314:P315"/>
    <mergeCell ref="Q314:Q315"/>
    <mergeCell ref="F324:H324"/>
    <mergeCell ref="F325:H325"/>
    <mergeCell ref="Q342:Q343"/>
    <mergeCell ref="K345:K346"/>
    <mergeCell ref="P345:P346"/>
    <mergeCell ref="Q345:Q346"/>
    <mergeCell ref="F355:H355"/>
    <mergeCell ref="F356:H356"/>
    <mergeCell ref="D358:D387"/>
    <mergeCell ref="E358:E387"/>
    <mergeCell ref="K373:K374"/>
    <mergeCell ref="P373:P374"/>
    <mergeCell ref="Q373:Q374"/>
    <mergeCell ref="K376:K377"/>
    <mergeCell ref="P376:P377"/>
    <mergeCell ref="Q376:Q377"/>
    <mergeCell ref="F386:H386"/>
    <mergeCell ref="F387:H387"/>
    <mergeCell ref="D327:D356"/>
    <mergeCell ref="E327:E356"/>
    <mergeCell ref="K342:K343"/>
    <mergeCell ref="P342:P343"/>
    <mergeCell ref="Q469:Q470"/>
    <mergeCell ref="F479:H479"/>
    <mergeCell ref="F480:H480"/>
    <mergeCell ref="E637:E666"/>
    <mergeCell ref="K652:K653"/>
    <mergeCell ref="P652:P653"/>
    <mergeCell ref="Q652:Q653"/>
    <mergeCell ref="K655:K656"/>
    <mergeCell ref="P655:P656"/>
    <mergeCell ref="Q655:Q656"/>
    <mergeCell ref="F665:H665"/>
    <mergeCell ref="F666:H666"/>
    <mergeCell ref="P528:P529"/>
    <mergeCell ref="Q528:Q529"/>
    <mergeCell ref="K531:K532"/>
    <mergeCell ref="P531:P532"/>
    <mergeCell ref="Q531:Q532"/>
    <mergeCell ref="K559:K560"/>
    <mergeCell ref="P559:P560"/>
    <mergeCell ref="Q559:Q560"/>
    <mergeCell ref="K562:K563"/>
    <mergeCell ref="P562:P563"/>
    <mergeCell ref="Q562:Q563"/>
    <mergeCell ref="D792:D821"/>
    <mergeCell ref="E792:E821"/>
    <mergeCell ref="K807:K808"/>
    <mergeCell ref="P807:P808"/>
    <mergeCell ref="Q807:Q808"/>
    <mergeCell ref="K810:K811"/>
    <mergeCell ref="P810:P811"/>
    <mergeCell ref="Q810:Q811"/>
    <mergeCell ref="F820:H820"/>
    <mergeCell ref="F821:H821"/>
    <mergeCell ref="Q903:Q904"/>
    <mergeCell ref="F913:H913"/>
    <mergeCell ref="F914:H914"/>
    <mergeCell ref="D916:D945"/>
    <mergeCell ref="E916:E945"/>
    <mergeCell ref="K931:K932"/>
    <mergeCell ref="P931:P932"/>
    <mergeCell ref="Q931:Q932"/>
    <mergeCell ref="K934:K935"/>
    <mergeCell ref="P934:P935"/>
    <mergeCell ref="Q934:Q935"/>
    <mergeCell ref="F944:H944"/>
    <mergeCell ref="F945:H945"/>
    <mergeCell ref="D885:D914"/>
    <mergeCell ref="E885:E914"/>
    <mergeCell ref="K900:K901"/>
    <mergeCell ref="P900:P901"/>
    <mergeCell ref="Q900:Q901"/>
    <mergeCell ref="K903:K904"/>
    <mergeCell ref="P903:P904"/>
    <mergeCell ref="P993:P994"/>
    <mergeCell ref="Q993:Q994"/>
    <mergeCell ref="K996:K997"/>
    <mergeCell ref="P996:P997"/>
    <mergeCell ref="Q996:Q997"/>
    <mergeCell ref="F1006:H1006"/>
    <mergeCell ref="F1007:H1007"/>
    <mergeCell ref="D1009:D1038"/>
    <mergeCell ref="E1009:E1038"/>
    <mergeCell ref="K1024:K1025"/>
    <mergeCell ref="P1024:P1025"/>
    <mergeCell ref="Q1024:Q1025"/>
    <mergeCell ref="K1027:K1028"/>
    <mergeCell ref="P1027:P1028"/>
    <mergeCell ref="Q1027:Q1028"/>
    <mergeCell ref="F1037:H1037"/>
    <mergeCell ref="F1038:H1038"/>
    <mergeCell ref="D978:D1007"/>
    <mergeCell ref="E978:E1007"/>
    <mergeCell ref="K993:K994"/>
    <mergeCell ref="D1040:D1069"/>
    <mergeCell ref="E1040:E1069"/>
    <mergeCell ref="K1055:K1056"/>
    <mergeCell ref="P1055:P1056"/>
    <mergeCell ref="Q1055:Q1056"/>
    <mergeCell ref="K1058:K1059"/>
    <mergeCell ref="P1058:P1059"/>
    <mergeCell ref="Q1058:Q1059"/>
    <mergeCell ref="F1068:H1068"/>
    <mergeCell ref="F1069:H1069"/>
    <mergeCell ref="Q1117:Q1118"/>
    <mergeCell ref="K1120:K1121"/>
    <mergeCell ref="P1120:P1121"/>
    <mergeCell ref="Q1120:Q1121"/>
    <mergeCell ref="F1130:H1130"/>
    <mergeCell ref="F1131:H1131"/>
    <mergeCell ref="D1133:D1162"/>
    <mergeCell ref="E1133:E1162"/>
    <mergeCell ref="K1148:K1149"/>
    <mergeCell ref="P1148:P1149"/>
    <mergeCell ref="Q1148:Q1149"/>
    <mergeCell ref="K1151:K1152"/>
    <mergeCell ref="P1151:P1152"/>
    <mergeCell ref="Q1151:Q1152"/>
    <mergeCell ref="F1161:H1161"/>
    <mergeCell ref="F1162:H1162"/>
    <mergeCell ref="K1182:K1183"/>
    <mergeCell ref="P1182:P1183"/>
    <mergeCell ref="Q1182:Q1183"/>
    <mergeCell ref="F1192:H1192"/>
    <mergeCell ref="F1193:H1193"/>
    <mergeCell ref="D1195:D1224"/>
    <mergeCell ref="E1195:E1224"/>
    <mergeCell ref="K1210:K1211"/>
    <mergeCell ref="P1210:P1211"/>
    <mergeCell ref="Q1210:Q1211"/>
    <mergeCell ref="K1213:K1214"/>
    <mergeCell ref="P1213:P1214"/>
    <mergeCell ref="Q1213:Q1214"/>
    <mergeCell ref="F1223:H1223"/>
    <mergeCell ref="F1224:H1224"/>
    <mergeCell ref="D1164:D1193"/>
    <mergeCell ref="E1164:E1193"/>
    <mergeCell ref="K1179:K1180"/>
    <mergeCell ref="P1179:P1180"/>
    <mergeCell ref="Q1179:Q1180"/>
    <mergeCell ref="Q1706:Q1707"/>
    <mergeCell ref="K1709:K1710"/>
    <mergeCell ref="P1709:P1710"/>
    <mergeCell ref="Q1709:Q1710"/>
    <mergeCell ref="F1719:H1719"/>
    <mergeCell ref="F1720:H1720"/>
    <mergeCell ref="D1722:D1751"/>
    <mergeCell ref="E1722:E1751"/>
    <mergeCell ref="K1737:K1738"/>
    <mergeCell ref="P1737:P1738"/>
    <mergeCell ref="Q1737:Q1738"/>
    <mergeCell ref="K1740:K1741"/>
    <mergeCell ref="P1740:P1741"/>
    <mergeCell ref="Q1740:Q1741"/>
    <mergeCell ref="F1750:H1750"/>
    <mergeCell ref="F1751:H1751"/>
    <mergeCell ref="D1691:D1720"/>
    <mergeCell ref="E1691:E1720"/>
    <mergeCell ref="K1706:K1707"/>
    <mergeCell ref="P1706:P1707"/>
    <mergeCell ref="P1895:P1896"/>
    <mergeCell ref="Q1895:Q1896"/>
    <mergeCell ref="F1905:H1905"/>
    <mergeCell ref="F1906:H1906"/>
    <mergeCell ref="D1908:D1937"/>
    <mergeCell ref="E1908:E1937"/>
    <mergeCell ref="K1923:K1924"/>
    <mergeCell ref="P1923:P1924"/>
    <mergeCell ref="Q1923:Q1924"/>
    <mergeCell ref="K1926:K1927"/>
    <mergeCell ref="P1926:P1927"/>
    <mergeCell ref="Q1926:Q1927"/>
    <mergeCell ref="F1936:H1936"/>
    <mergeCell ref="F1937:H1937"/>
    <mergeCell ref="D1877:D1906"/>
    <mergeCell ref="E1877:E1906"/>
    <mergeCell ref="K1892:K1893"/>
    <mergeCell ref="P1892:P1893"/>
    <mergeCell ref="Q1892:Q1893"/>
    <mergeCell ref="K1895:K1896"/>
    <mergeCell ref="D1939:D1968"/>
    <mergeCell ref="E1939:E1968"/>
    <mergeCell ref="K1954:K1955"/>
    <mergeCell ref="P1954:P1955"/>
    <mergeCell ref="Q1954:Q1955"/>
    <mergeCell ref="K1957:K1958"/>
    <mergeCell ref="P1957:P1958"/>
    <mergeCell ref="Q1957:Q1958"/>
    <mergeCell ref="F1967:H1967"/>
    <mergeCell ref="F1968:H1968"/>
    <mergeCell ref="D1970:D1999"/>
    <mergeCell ref="E1970:E1999"/>
    <mergeCell ref="K1985:K1986"/>
    <mergeCell ref="P1985:P1986"/>
    <mergeCell ref="Q1985:Q1986"/>
    <mergeCell ref="K1988:K1989"/>
    <mergeCell ref="P1988:P1989"/>
    <mergeCell ref="Q1988:Q1989"/>
    <mergeCell ref="F1998:H1998"/>
    <mergeCell ref="F1999:H1999"/>
    <mergeCell ref="D2001:D2030"/>
    <mergeCell ref="E2001:E2030"/>
    <mergeCell ref="K2016:K2017"/>
    <mergeCell ref="P2016:P2017"/>
    <mergeCell ref="Q2016:Q2017"/>
    <mergeCell ref="K2019:K2020"/>
    <mergeCell ref="P2019:P2020"/>
    <mergeCell ref="Q2019:Q2020"/>
    <mergeCell ref="F2029:H2029"/>
    <mergeCell ref="F2030:H2030"/>
  </mergeCells>
  <conditionalFormatting sqref="I45:N45 J46:N46">
    <cfRule type="expression" dxfId="137" priority="1342">
      <formula>LEFT($I45,14)="לא קיימת זכאות"</formula>
    </cfRule>
  </conditionalFormatting>
  <conditionalFormatting sqref="Q5">
    <cfRule type="containsText" dxfId="136" priority="1797" operator="containsText" text="לא תקין">
      <formula>NOT(ISERROR(SEARCH("לא תקין",Q5)))</formula>
    </cfRule>
  </conditionalFormatting>
  <conditionalFormatting sqref="I46">
    <cfRule type="expression" dxfId="135" priority="1032">
      <formula>LEFT($I46,14)="לא קיימת זכאות"</formula>
    </cfRule>
  </conditionalFormatting>
  <conditionalFormatting sqref="I1068:N1068 J1069:N1069">
    <cfRule type="expression" dxfId="134" priority="68">
      <formula>LEFT($I1068,14)="לא קיימת זכאות"</formula>
    </cfRule>
  </conditionalFormatting>
  <conditionalFormatting sqref="I1038">
    <cfRule type="expression" dxfId="133" priority="69">
      <formula>LEFT($I1038,14)="לא קיימת זכאות"</formula>
    </cfRule>
  </conditionalFormatting>
  <conditionalFormatting sqref="I1037:N1037 J1038:N1038">
    <cfRule type="expression" dxfId="132" priority="70">
      <formula>LEFT($I1037,14)="לא קיימת זכאות"</formula>
    </cfRule>
  </conditionalFormatting>
  <conditionalFormatting sqref="I1007">
    <cfRule type="expression" dxfId="131" priority="71">
      <formula>LEFT($I1007,14)="לא קיימת זכאות"</formula>
    </cfRule>
  </conditionalFormatting>
  <conditionalFormatting sqref="I1006:N1006 J1007:N1007">
    <cfRule type="expression" dxfId="130" priority="72">
      <formula>LEFT($I1006,14)="לא קיימת זכאות"</formula>
    </cfRule>
  </conditionalFormatting>
  <conditionalFormatting sqref="I944:N944 J945:N945">
    <cfRule type="expression" dxfId="129" priority="76">
      <formula>LEFT($I944,14)="לא קיימת זכאות"</formula>
    </cfRule>
  </conditionalFormatting>
  <conditionalFormatting sqref="I945">
    <cfRule type="expression" dxfId="128" priority="75">
      <formula>LEFT($I945,14)="לא קיימת זכאות"</formula>
    </cfRule>
  </conditionalFormatting>
  <conditionalFormatting sqref="I975:N975 J976:N976">
    <cfRule type="expression" dxfId="127" priority="74">
      <formula>LEFT($I975,14)="לא קיימת זכאות"</formula>
    </cfRule>
  </conditionalFormatting>
  <conditionalFormatting sqref="I976">
    <cfRule type="expression" dxfId="126" priority="73">
      <formula>LEFT($I976,14)="לא קיימת זכאות"</formula>
    </cfRule>
  </conditionalFormatting>
  <conditionalFormatting sqref="I882:N882 J883:N883">
    <cfRule type="expression" dxfId="125" priority="80">
      <formula>LEFT($I882,14)="לא קיימת זכאות"</formula>
    </cfRule>
  </conditionalFormatting>
  <conditionalFormatting sqref="I883">
    <cfRule type="expression" dxfId="124" priority="79">
      <formula>LEFT($I883,14)="לא קיימת זכאות"</formula>
    </cfRule>
  </conditionalFormatting>
  <conditionalFormatting sqref="I913:N913 J914:N914">
    <cfRule type="expression" dxfId="123" priority="78">
      <formula>LEFT($I913,14)="לא קיימת זכאות"</formula>
    </cfRule>
  </conditionalFormatting>
  <conditionalFormatting sqref="I914">
    <cfRule type="expression" dxfId="122" priority="77">
      <formula>LEFT($I914,14)="לא קיימת זכאות"</formula>
    </cfRule>
  </conditionalFormatting>
  <conditionalFormatting sqref="I820:N820 J821:N821">
    <cfRule type="expression" dxfId="121" priority="84">
      <formula>LEFT($I820,14)="לא קיימת זכאות"</formula>
    </cfRule>
  </conditionalFormatting>
  <conditionalFormatting sqref="I821">
    <cfRule type="expression" dxfId="120" priority="83">
      <formula>LEFT($I821,14)="לא קיימת זכאות"</formula>
    </cfRule>
  </conditionalFormatting>
  <conditionalFormatting sqref="I851:N851 J852:N852">
    <cfRule type="expression" dxfId="119" priority="82">
      <formula>LEFT($I851,14)="לא קיימת זכאות"</formula>
    </cfRule>
  </conditionalFormatting>
  <conditionalFormatting sqref="I852">
    <cfRule type="expression" dxfId="118" priority="81">
      <formula>LEFT($I852,14)="לא קיימת זכאות"</formula>
    </cfRule>
  </conditionalFormatting>
  <conditionalFormatting sqref="I758:N758 J759:N759">
    <cfRule type="expression" dxfId="117" priority="88">
      <formula>LEFT($I758,14)="לא קיימת זכאות"</formula>
    </cfRule>
  </conditionalFormatting>
  <conditionalFormatting sqref="I759">
    <cfRule type="expression" dxfId="116" priority="87">
      <formula>LEFT($I759,14)="לא קיימת זכאות"</formula>
    </cfRule>
  </conditionalFormatting>
  <conditionalFormatting sqref="I789:N789 J790:N790">
    <cfRule type="expression" dxfId="115" priority="86">
      <formula>LEFT($I789,14)="לא קיימת זכאות"</formula>
    </cfRule>
  </conditionalFormatting>
  <conditionalFormatting sqref="I790">
    <cfRule type="expression" dxfId="114" priority="85">
      <formula>LEFT($I790,14)="לא קיימת זכאות"</formula>
    </cfRule>
  </conditionalFormatting>
  <conditionalFormatting sqref="I696:N696 J697:N697">
    <cfRule type="expression" dxfId="113" priority="92">
      <formula>LEFT($I696,14)="לא קיימת זכאות"</formula>
    </cfRule>
  </conditionalFormatting>
  <conditionalFormatting sqref="I697">
    <cfRule type="expression" dxfId="112" priority="91">
      <formula>LEFT($I697,14)="לא קיימת זכאות"</formula>
    </cfRule>
  </conditionalFormatting>
  <conditionalFormatting sqref="I727:N727 J728:N728">
    <cfRule type="expression" dxfId="111" priority="90">
      <formula>LEFT($I727,14)="לא קיימת זכאות"</formula>
    </cfRule>
  </conditionalFormatting>
  <conditionalFormatting sqref="I728">
    <cfRule type="expression" dxfId="110" priority="89">
      <formula>LEFT($I728,14)="לא קיימת זכאות"</formula>
    </cfRule>
  </conditionalFormatting>
  <conditionalFormatting sqref="I634:N634 J635:N635">
    <cfRule type="expression" dxfId="109" priority="96">
      <formula>LEFT($I634,14)="לא קיימת זכאות"</formula>
    </cfRule>
  </conditionalFormatting>
  <conditionalFormatting sqref="I635">
    <cfRule type="expression" dxfId="108" priority="95">
      <formula>LEFT($I635,14)="לא קיימת זכאות"</formula>
    </cfRule>
  </conditionalFormatting>
  <conditionalFormatting sqref="I665:N665 J666:N666">
    <cfRule type="expression" dxfId="107" priority="94">
      <formula>LEFT($I665,14)="לא קיימת זכאות"</formula>
    </cfRule>
  </conditionalFormatting>
  <conditionalFormatting sqref="I666">
    <cfRule type="expression" dxfId="106" priority="93">
      <formula>LEFT($I666,14)="לא קיימת זכאות"</formula>
    </cfRule>
  </conditionalFormatting>
  <conditionalFormatting sqref="I572:N572 J573:N573">
    <cfRule type="expression" dxfId="105" priority="100">
      <formula>LEFT($I572,14)="לא קיימת זכאות"</formula>
    </cfRule>
  </conditionalFormatting>
  <conditionalFormatting sqref="I573">
    <cfRule type="expression" dxfId="104" priority="99">
      <formula>LEFT($I573,14)="לא קיימת זכאות"</formula>
    </cfRule>
  </conditionalFormatting>
  <conditionalFormatting sqref="I603:N603 J604:N604">
    <cfRule type="expression" dxfId="103" priority="98">
      <formula>LEFT($I603,14)="לא קיימת זכאות"</formula>
    </cfRule>
  </conditionalFormatting>
  <conditionalFormatting sqref="I604">
    <cfRule type="expression" dxfId="102" priority="97">
      <formula>LEFT($I604,14)="לא קיימת זכאות"</formula>
    </cfRule>
  </conditionalFormatting>
  <conditionalFormatting sqref="I510:N510 J511:N511">
    <cfRule type="expression" dxfId="101" priority="104">
      <formula>LEFT($I510,14)="לא קיימת זכאות"</formula>
    </cfRule>
  </conditionalFormatting>
  <conditionalFormatting sqref="I511">
    <cfRule type="expression" dxfId="100" priority="103">
      <formula>LEFT($I511,14)="לא קיימת זכאות"</formula>
    </cfRule>
  </conditionalFormatting>
  <conditionalFormatting sqref="I541:N541 J542:N542">
    <cfRule type="expression" dxfId="99" priority="102">
      <formula>LEFT($I541,14)="לא קיימת זכאות"</formula>
    </cfRule>
  </conditionalFormatting>
  <conditionalFormatting sqref="I542">
    <cfRule type="expression" dxfId="98" priority="101">
      <formula>LEFT($I542,14)="לא קיימת זכאות"</formula>
    </cfRule>
  </conditionalFormatting>
  <conditionalFormatting sqref="I448:N448 J449:N449">
    <cfRule type="expression" dxfId="97" priority="108">
      <formula>LEFT($I448,14)="לא קיימת זכאות"</formula>
    </cfRule>
  </conditionalFormatting>
  <conditionalFormatting sqref="I449">
    <cfRule type="expression" dxfId="96" priority="107">
      <formula>LEFT($I449,14)="לא קיימת זכאות"</formula>
    </cfRule>
  </conditionalFormatting>
  <conditionalFormatting sqref="I479:N479 J480:N480">
    <cfRule type="expression" dxfId="95" priority="106">
      <formula>LEFT($I479,14)="לא קיימת זכאות"</formula>
    </cfRule>
  </conditionalFormatting>
  <conditionalFormatting sqref="I480">
    <cfRule type="expression" dxfId="94" priority="105">
      <formula>LEFT($I480,14)="לא קיימת זכאות"</formula>
    </cfRule>
  </conditionalFormatting>
  <conditionalFormatting sqref="I386:N386 J387:N387">
    <cfRule type="expression" dxfId="93" priority="112">
      <formula>LEFT($I386,14)="לא קיימת זכאות"</formula>
    </cfRule>
  </conditionalFormatting>
  <conditionalFormatting sqref="I387">
    <cfRule type="expression" dxfId="92" priority="111">
      <formula>LEFT($I387,14)="לא קיימת זכאות"</formula>
    </cfRule>
  </conditionalFormatting>
  <conditionalFormatting sqref="I417:N417 J418:N418">
    <cfRule type="expression" dxfId="91" priority="110">
      <formula>LEFT($I417,14)="לא קיימת זכאות"</formula>
    </cfRule>
  </conditionalFormatting>
  <conditionalFormatting sqref="I418">
    <cfRule type="expression" dxfId="90" priority="109">
      <formula>LEFT($I418,14)="לא קיימת זכאות"</formula>
    </cfRule>
  </conditionalFormatting>
  <conditionalFormatting sqref="I324:N324 J325:N325">
    <cfRule type="expression" dxfId="89" priority="116">
      <formula>LEFT($I324,14)="לא קיימת זכאות"</formula>
    </cfRule>
  </conditionalFormatting>
  <conditionalFormatting sqref="I325">
    <cfRule type="expression" dxfId="88" priority="115">
      <formula>LEFT($I325,14)="לא קיימת זכאות"</formula>
    </cfRule>
  </conditionalFormatting>
  <conditionalFormatting sqref="I355:N355 J356:N356">
    <cfRule type="expression" dxfId="87" priority="114">
      <formula>LEFT($I355,14)="לא קיימת זכאות"</formula>
    </cfRule>
  </conditionalFormatting>
  <conditionalFormatting sqref="I356">
    <cfRule type="expression" dxfId="86" priority="113">
      <formula>LEFT($I356,14)="לא קיימת זכאות"</formula>
    </cfRule>
  </conditionalFormatting>
  <conditionalFormatting sqref="I262:N262 J263:N263">
    <cfRule type="expression" dxfId="85" priority="120">
      <formula>LEFT($I262,14)="לא קיימת זכאות"</formula>
    </cfRule>
  </conditionalFormatting>
  <conditionalFormatting sqref="I263">
    <cfRule type="expression" dxfId="84" priority="119">
      <formula>LEFT($I263,14)="לא קיימת זכאות"</formula>
    </cfRule>
  </conditionalFormatting>
  <conditionalFormatting sqref="I293:N293 J294:N294">
    <cfRule type="expression" dxfId="83" priority="118">
      <formula>LEFT($I293,14)="לא קיימת זכאות"</formula>
    </cfRule>
  </conditionalFormatting>
  <conditionalFormatting sqref="I294">
    <cfRule type="expression" dxfId="82" priority="117">
      <formula>LEFT($I294,14)="לא קיימת זכאות"</formula>
    </cfRule>
  </conditionalFormatting>
  <conditionalFormatting sqref="I200:N200 J201:N201">
    <cfRule type="expression" dxfId="81" priority="124">
      <formula>LEFT($I200,14)="לא קיימת זכאות"</formula>
    </cfRule>
  </conditionalFormatting>
  <conditionalFormatting sqref="I201">
    <cfRule type="expression" dxfId="80" priority="123">
      <formula>LEFT($I201,14)="לא קיימת זכאות"</formula>
    </cfRule>
  </conditionalFormatting>
  <conditionalFormatting sqref="I231:N231 J232:N232">
    <cfRule type="expression" dxfId="79" priority="122">
      <formula>LEFT($I231,14)="לא קיימת זכאות"</formula>
    </cfRule>
  </conditionalFormatting>
  <conditionalFormatting sqref="I232">
    <cfRule type="expression" dxfId="78" priority="121">
      <formula>LEFT($I232,14)="לא קיימת זכאות"</formula>
    </cfRule>
  </conditionalFormatting>
  <conditionalFormatting sqref="I138:N138 J139:N139">
    <cfRule type="expression" dxfId="77" priority="128">
      <formula>LEFT($I138,14)="לא קיימת זכאות"</formula>
    </cfRule>
  </conditionalFormatting>
  <conditionalFormatting sqref="I139">
    <cfRule type="expression" dxfId="76" priority="127">
      <formula>LEFT($I139,14)="לא קיימת זכאות"</formula>
    </cfRule>
  </conditionalFormatting>
  <conditionalFormatting sqref="I169:N169 J170:N170">
    <cfRule type="expression" dxfId="75" priority="126">
      <formula>LEFT($I169,14)="לא קיימת זכאות"</formula>
    </cfRule>
  </conditionalFormatting>
  <conditionalFormatting sqref="I170">
    <cfRule type="expression" dxfId="74" priority="125">
      <formula>LEFT($I170,14)="לא קיימת זכאות"</formula>
    </cfRule>
  </conditionalFormatting>
  <conditionalFormatting sqref="I76:N76 J77:N77">
    <cfRule type="expression" dxfId="73" priority="132">
      <formula>LEFT($I76,14)="לא קיימת זכאות"</formula>
    </cfRule>
  </conditionalFormatting>
  <conditionalFormatting sqref="I77">
    <cfRule type="expression" dxfId="72" priority="131">
      <formula>LEFT($I77,14)="לא קיימת זכאות"</formula>
    </cfRule>
  </conditionalFormatting>
  <conditionalFormatting sqref="I107:N107 J108:N108">
    <cfRule type="expression" dxfId="71" priority="130">
      <formula>LEFT($I107,14)="לא קיימת זכאות"</formula>
    </cfRule>
  </conditionalFormatting>
  <conditionalFormatting sqref="I108">
    <cfRule type="expression" dxfId="70" priority="129">
      <formula>LEFT($I108,14)="לא קיימת זכאות"</formula>
    </cfRule>
  </conditionalFormatting>
  <conditionalFormatting sqref="I1069">
    <cfRule type="expression" dxfId="69" priority="67">
      <formula>LEFT($I1069,14)="לא קיימת זכאות"</formula>
    </cfRule>
  </conditionalFormatting>
  <conditionalFormatting sqref="I1099:N1099 J1100:N1100">
    <cfRule type="expression" dxfId="68" priority="66">
      <formula>LEFT($I1099,14)="לא קיימת זכאות"</formula>
    </cfRule>
  </conditionalFormatting>
  <conditionalFormatting sqref="I1100">
    <cfRule type="expression" dxfId="67" priority="65">
      <formula>LEFT($I1100,14)="לא קיימת זכאות"</formula>
    </cfRule>
  </conditionalFormatting>
  <conditionalFormatting sqref="I1130:N1130 J1131:N1131">
    <cfRule type="expression" dxfId="66" priority="64">
      <formula>LEFT($I1130,14)="לא קיימת זכאות"</formula>
    </cfRule>
  </conditionalFormatting>
  <conditionalFormatting sqref="I1131">
    <cfRule type="expression" dxfId="65" priority="63">
      <formula>LEFT($I1131,14)="לא קיימת זכאות"</formula>
    </cfRule>
  </conditionalFormatting>
  <conditionalFormatting sqref="I1161:N1161 J1162:N1162">
    <cfRule type="expression" dxfId="64" priority="62">
      <formula>LEFT($I1161,14)="לא קיימת זכאות"</formula>
    </cfRule>
  </conditionalFormatting>
  <conditionalFormatting sqref="I1162">
    <cfRule type="expression" dxfId="63" priority="61">
      <formula>LEFT($I1162,14)="לא קיימת זכאות"</formula>
    </cfRule>
  </conditionalFormatting>
  <conditionalFormatting sqref="I1192:N1192 J1193:N1193">
    <cfRule type="expression" dxfId="62" priority="60">
      <formula>LEFT($I1192,14)="לא קיימת זכאות"</formula>
    </cfRule>
  </conditionalFormatting>
  <conditionalFormatting sqref="I1193">
    <cfRule type="expression" dxfId="61" priority="59">
      <formula>LEFT($I1193,14)="לא קיימת זכאות"</formula>
    </cfRule>
  </conditionalFormatting>
  <conditionalFormatting sqref="I1223:N1223 J1224:N1224">
    <cfRule type="expression" dxfId="60" priority="58">
      <formula>LEFT($I1223,14)="לא קיימת זכאות"</formula>
    </cfRule>
  </conditionalFormatting>
  <conditionalFormatting sqref="I1224">
    <cfRule type="expression" dxfId="59" priority="57">
      <formula>LEFT($I1224,14)="לא קיימת זכאות"</formula>
    </cfRule>
  </conditionalFormatting>
  <conditionalFormatting sqref="I1254:N1254 J1255:N1255">
    <cfRule type="expression" dxfId="58" priority="56">
      <formula>LEFT($I1254,14)="לא קיימת זכאות"</formula>
    </cfRule>
  </conditionalFormatting>
  <conditionalFormatting sqref="I1255">
    <cfRule type="expression" dxfId="57" priority="55">
      <formula>LEFT($I1255,14)="לא קיימת זכאות"</formula>
    </cfRule>
  </conditionalFormatting>
  <conditionalFormatting sqref="I1285:N1285 J1286:N1286">
    <cfRule type="expression" dxfId="56" priority="54">
      <formula>LEFT($I1285,14)="לא קיימת זכאות"</formula>
    </cfRule>
  </conditionalFormatting>
  <conditionalFormatting sqref="I1286">
    <cfRule type="expression" dxfId="55" priority="53">
      <formula>LEFT($I1286,14)="לא קיימת זכאות"</formula>
    </cfRule>
  </conditionalFormatting>
  <conditionalFormatting sqref="I1316:N1316 J1317:N1317">
    <cfRule type="expression" dxfId="54" priority="52">
      <formula>LEFT($I1316,14)="לא קיימת זכאות"</formula>
    </cfRule>
  </conditionalFormatting>
  <conditionalFormatting sqref="I1317">
    <cfRule type="expression" dxfId="53" priority="51">
      <formula>LEFT($I1317,14)="לא קיימת זכאות"</formula>
    </cfRule>
  </conditionalFormatting>
  <conditionalFormatting sqref="I1347:N1347 J1348:N1348">
    <cfRule type="expression" dxfId="52" priority="50">
      <formula>LEFT($I1347,14)="לא קיימת זכאות"</formula>
    </cfRule>
  </conditionalFormatting>
  <conditionalFormatting sqref="I1348">
    <cfRule type="expression" dxfId="51" priority="49">
      <formula>LEFT($I1348,14)="לא קיימת זכאות"</formula>
    </cfRule>
  </conditionalFormatting>
  <conditionalFormatting sqref="I1378:N1378 J1379:N1379">
    <cfRule type="expression" dxfId="50" priority="48">
      <formula>LEFT($I1378,14)="לא קיימת זכאות"</formula>
    </cfRule>
  </conditionalFormatting>
  <conditionalFormatting sqref="I1379">
    <cfRule type="expression" dxfId="49" priority="47">
      <formula>LEFT($I1379,14)="לא קיימת זכאות"</formula>
    </cfRule>
  </conditionalFormatting>
  <conditionalFormatting sqref="I1409:N1409 J1410:N1410">
    <cfRule type="expression" dxfId="48" priority="46">
      <formula>LEFT($I1409,14)="לא קיימת זכאות"</formula>
    </cfRule>
  </conditionalFormatting>
  <conditionalFormatting sqref="I1410">
    <cfRule type="expression" dxfId="47" priority="45">
      <formula>LEFT($I1410,14)="לא קיימת זכאות"</formula>
    </cfRule>
  </conditionalFormatting>
  <conditionalFormatting sqref="I1440:N1440 J1441:N1441">
    <cfRule type="expression" dxfId="46" priority="44">
      <formula>LEFT($I1440,14)="לא קיימת זכאות"</formula>
    </cfRule>
  </conditionalFormatting>
  <conditionalFormatting sqref="I1441">
    <cfRule type="expression" dxfId="45" priority="43">
      <formula>LEFT($I1441,14)="לא קיימת זכאות"</formula>
    </cfRule>
  </conditionalFormatting>
  <conditionalFormatting sqref="I1471:N1471 J1472:N1472">
    <cfRule type="expression" dxfId="44" priority="42">
      <formula>LEFT($I1471,14)="לא קיימת זכאות"</formula>
    </cfRule>
  </conditionalFormatting>
  <conditionalFormatting sqref="I1472">
    <cfRule type="expression" dxfId="43" priority="41">
      <formula>LEFT($I1472,14)="לא קיימת זכאות"</formula>
    </cfRule>
  </conditionalFormatting>
  <conditionalFormatting sqref="I1502:N1502 J1503:N1503">
    <cfRule type="expression" dxfId="42" priority="40">
      <formula>LEFT($I1502,14)="לא קיימת זכאות"</formula>
    </cfRule>
  </conditionalFormatting>
  <conditionalFormatting sqref="I1503">
    <cfRule type="expression" dxfId="41" priority="39">
      <formula>LEFT($I1503,14)="לא קיימת זכאות"</formula>
    </cfRule>
  </conditionalFormatting>
  <conditionalFormatting sqref="I1533:N1533 J1534:N1534">
    <cfRule type="expression" dxfId="40" priority="38">
      <formula>LEFT($I1533,14)="לא קיימת זכאות"</formula>
    </cfRule>
  </conditionalFormatting>
  <conditionalFormatting sqref="I1534">
    <cfRule type="expression" dxfId="39" priority="37">
      <formula>LEFT($I1534,14)="לא קיימת זכאות"</formula>
    </cfRule>
  </conditionalFormatting>
  <conditionalFormatting sqref="I1564:N1564 J1565:N1565">
    <cfRule type="expression" dxfId="38" priority="36">
      <formula>LEFT($I1564,14)="לא קיימת זכאות"</formula>
    </cfRule>
  </conditionalFormatting>
  <conditionalFormatting sqref="I1565">
    <cfRule type="expression" dxfId="37" priority="35">
      <formula>LEFT($I1565,14)="לא קיימת זכאות"</formula>
    </cfRule>
  </conditionalFormatting>
  <conditionalFormatting sqref="I1595:N1595 J1596:N1596">
    <cfRule type="expression" dxfId="36" priority="34">
      <formula>LEFT($I1595,14)="לא קיימת זכאות"</formula>
    </cfRule>
  </conditionalFormatting>
  <conditionalFormatting sqref="I1596">
    <cfRule type="expression" dxfId="35" priority="33">
      <formula>LEFT($I1596,14)="לא קיימת זכאות"</formula>
    </cfRule>
  </conditionalFormatting>
  <conditionalFormatting sqref="I1626:N1626 J1627:N1627">
    <cfRule type="expression" dxfId="34" priority="32">
      <formula>LEFT($I1626,14)="לא קיימת זכאות"</formula>
    </cfRule>
  </conditionalFormatting>
  <conditionalFormatting sqref="I1627">
    <cfRule type="expression" dxfId="33" priority="31">
      <formula>LEFT($I1627,14)="לא קיימת זכאות"</formula>
    </cfRule>
  </conditionalFormatting>
  <conditionalFormatting sqref="I1657:N1657 J1658:N1658">
    <cfRule type="expression" dxfId="32" priority="30">
      <formula>LEFT($I1657,14)="לא קיימת זכאות"</formula>
    </cfRule>
  </conditionalFormatting>
  <conditionalFormatting sqref="I1658">
    <cfRule type="expression" dxfId="31" priority="29">
      <formula>LEFT($I1658,14)="לא קיימת זכאות"</formula>
    </cfRule>
  </conditionalFormatting>
  <conditionalFormatting sqref="I1688:N1688 J1689:N1689">
    <cfRule type="expression" dxfId="30" priority="28">
      <formula>LEFT($I1688,14)="לא קיימת זכאות"</formula>
    </cfRule>
  </conditionalFormatting>
  <conditionalFormatting sqref="I1689">
    <cfRule type="expression" dxfId="29" priority="27">
      <formula>LEFT($I1689,14)="לא קיימת זכאות"</formula>
    </cfRule>
  </conditionalFormatting>
  <conditionalFormatting sqref="I1719:N1719 J1720:N1720">
    <cfRule type="expression" dxfId="28" priority="26">
      <formula>LEFT($I1719,14)="לא קיימת זכאות"</formula>
    </cfRule>
  </conditionalFormatting>
  <conditionalFormatting sqref="I1720">
    <cfRule type="expression" dxfId="27" priority="25">
      <formula>LEFT($I1720,14)="לא קיימת זכאות"</formula>
    </cfRule>
  </conditionalFormatting>
  <conditionalFormatting sqref="I1750:N1750 J1751:N1751">
    <cfRule type="expression" dxfId="26" priority="24">
      <formula>LEFT($I1750,14)="לא קיימת זכאות"</formula>
    </cfRule>
  </conditionalFormatting>
  <conditionalFormatting sqref="I1751">
    <cfRule type="expression" dxfId="25" priority="23">
      <formula>LEFT($I1751,14)="לא קיימת זכאות"</formula>
    </cfRule>
  </conditionalFormatting>
  <conditionalFormatting sqref="I1781:N1781 J1782:N1782">
    <cfRule type="expression" dxfId="24" priority="22">
      <formula>LEFT($I1781,14)="לא קיימת זכאות"</formula>
    </cfRule>
  </conditionalFormatting>
  <conditionalFormatting sqref="I1782">
    <cfRule type="expression" dxfId="23" priority="21">
      <formula>LEFT($I1782,14)="לא קיימת זכאות"</formula>
    </cfRule>
  </conditionalFormatting>
  <conditionalFormatting sqref="I1812:N1812 J1813:N1813">
    <cfRule type="expression" dxfId="22" priority="20">
      <formula>LEFT($I1812,14)="לא קיימת זכאות"</formula>
    </cfRule>
  </conditionalFormatting>
  <conditionalFormatting sqref="I1813">
    <cfRule type="expression" dxfId="21" priority="19">
      <formula>LEFT($I1813,14)="לא קיימת זכאות"</formula>
    </cfRule>
  </conditionalFormatting>
  <conditionalFormatting sqref="I1843:N1843 J1844:N1844">
    <cfRule type="expression" dxfId="20" priority="18">
      <formula>LEFT($I1843,14)="לא קיימת זכאות"</formula>
    </cfRule>
  </conditionalFormatting>
  <conditionalFormatting sqref="I1844">
    <cfRule type="expression" dxfId="19" priority="17">
      <formula>LEFT($I1844,14)="לא קיימת זכאות"</formula>
    </cfRule>
  </conditionalFormatting>
  <conditionalFormatting sqref="I1874:N1874 J1875:N1875">
    <cfRule type="expression" dxfId="18" priority="16">
      <formula>LEFT($I1874,14)="לא קיימת זכאות"</formula>
    </cfRule>
  </conditionalFormatting>
  <conditionalFormatting sqref="I1875">
    <cfRule type="expression" dxfId="17" priority="15">
      <formula>LEFT($I1875,14)="לא קיימת זכאות"</formula>
    </cfRule>
  </conditionalFormatting>
  <conditionalFormatting sqref="I1905:N1905 J1906:N1906">
    <cfRule type="expression" dxfId="16" priority="14">
      <formula>LEFT($I1905,14)="לא קיימת זכאות"</formula>
    </cfRule>
  </conditionalFormatting>
  <conditionalFormatting sqref="I1906">
    <cfRule type="expression" dxfId="15" priority="13">
      <formula>LEFT($I1906,14)="לא קיימת זכאות"</formula>
    </cfRule>
  </conditionalFormatting>
  <conditionalFormatting sqref="I1967:N1967 J1968:N1968">
    <cfRule type="expression" dxfId="14" priority="10">
      <formula>LEFT($I1967,14)="לא קיימת זכאות"</formula>
    </cfRule>
  </conditionalFormatting>
  <conditionalFormatting sqref="I1968">
    <cfRule type="expression" dxfId="13" priority="9">
      <formula>LEFT($I1968,14)="לא קיימת זכאות"</formula>
    </cfRule>
  </conditionalFormatting>
  <conditionalFormatting sqref="I1998:N1998 J1999:N1999">
    <cfRule type="expression" dxfId="12" priority="8">
      <formula>LEFT($I1998,14)="לא קיימת זכאות"</formula>
    </cfRule>
  </conditionalFormatting>
  <conditionalFormatting sqref="I1999">
    <cfRule type="expression" dxfId="11" priority="7">
      <formula>LEFT($I1999,14)="לא קיימת זכאות"</formula>
    </cfRule>
  </conditionalFormatting>
  <conditionalFormatting sqref="I2029:N2029 J2030:N2030">
    <cfRule type="expression" dxfId="10" priority="4">
      <formula>LEFT($I2029,14)="לא קיימת זכאות"</formula>
    </cfRule>
  </conditionalFormatting>
  <conditionalFormatting sqref="I2030">
    <cfRule type="expression" dxfId="9" priority="3">
      <formula>LEFT($I2030,14)="לא קיימת זכאות"</formula>
    </cfRule>
  </conditionalFormatting>
  <conditionalFormatting sqref="I1936:N1936 J1937:N1937">
    <cfRule type="expression" dxfId="8" priority="2">
      <formula>LEFT($I1936,14)="לא קיימת זכאות"</formula>
    </cfRule>
  </conditionalFormatting>
  <conditionalFormatting sqref="I1937">
    <cfRule type="expression" dxfId="7" priority="1">
      <formula>LEFT($I1937,14)="לא קיימת זכאות"</formula>
    </cfRule>
  </conditionalFormatting>
  <hyperlinks>
    <hyperlink ref="C1" location="'תוכן העניינים'!A1" tooltip="הנחיות למילוי גיליון" display="תוכן העניינים" xr:uid="{BE427273-976E-49F5-A233-40B776A572B1}"/>
  </hyperlinks>
  <pageMargins left="0.31496062992125984" right="0.31496062992125984" top="0.51181102362204722" bottom="0.35433070866141736" header="7.874015748031496E-2" footer="0.19685039370078741"/>
  <pageSetup paperSize="9" scale="29" fitToHeight="0" orientation="portrait" horizontalDpi="4294967293" verticalDpi="4294967293" r:id="rId1"/>
  <headerFooter>
    <oddHeader>&amp;L&amp;12&amp;U&amp;A</oddHeader>
    <oddFooter>עמוד &amp;P מתוך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7">
    <tabColor rgb="FF99FFCC"/>
    <pageSetUpPr fitToPage="1"/>
  </sheetPr>
  <dimension ref="A1:AB127"/>
  <sheetViews>
    <sheetView rightToLeft="1" topLeftCell="J1" zoomScale="120" zoomScaleNormal="120" workbookViewId="0">
      <selection activeCell="M3" sqref="M3"/>
    </sheetView>
  </sheetViews>
  <sheetFormatPr defaultColWidth="9" defaultRowHeight="15" x14ac:dyDescent="0.25"/>
  <cols>
    <col min="1" max="1" width="9" style="807"/>
    <col min="2" max="2" width="7.375" style="805" customWidth="1"/>
    <col min="3" max="3" width="13.5" style="805" customWidth="1"/>
    <col min="4" max="4" width="7" style="805" customWidth="1"/>
    <col min="5" max="5" width="20.125" style="805" customWidth="1"/>
    <col min="6" max="7" width="14.5" style="805" customWidth="1"/>
    <col min="8" max="8" width="14" style="805" customWidth="1"/>
    <col min="9" max="9" width="11" style="826" customWidth="1"/>
    <col min="10" max="10" width="11" style="805" customWidth="1"/>
    <col min="11" max="11" width="11" style="807" customWidth="1"/>
    <col min="12" max="12" width="10.875" style="826" customWidth="1"/>
    <col min="13" max="13" width="11" style="1016" customWidth="1"/>
    <col min="14" max="15" width="10.875" style="805" customWidth="1"/>
    <col min="16" max="18" width="11.25" style="805" customWidth="1"/>
    <col min="19" max="19" width="9" style="805"/>
    <col min="20" max="20" width="11" style="805" customWidth="1"/>
    <col min="21" max="21" width="9" style="805"/>
    <col min="22" max="22" width="22.125" style="805" bestFit="1" customWidth="1"/>
    <col min="23" max="23" width="17.25" style="805" customWidth="1"/>
    <col min="24" max="24" width="9" style="805"/>
    <col min="25" max="26" width="9" style="410"/>
    <col min="27" max="27" width="10.75" style="410" bestFit="1" customWidth="1"/>
    <col min="28" max="28" width="32.375" style="410" bestFit="1" customWidth="1"/>
    <col min="29" max="16384" width="9" style="410"/>
  </cols>
  <sheetData>
    <row r="1" spans="1:28" x14ac:dyDescent="0.25">
      <c r="A1" s="1150" t="s">
        <v>2297</v>
      </c>
      <c r="B1" s="1150"/>
      <c r="C1" s="1150"/>
      <c r="D1" s="1150"/>
      <c r="E1" s="1150"/>
      <c r="F1" s="1150"/>
      <c r="G1" s="1150"/>
      <c r="H1" s="1150"/>
      <c r="I1" s="870"/>
      <c r="J1" s="411"/>
      <c r="K1" s="824"/>
      <c r="L1" s="1151" t="s">
        <v>2860</v>
      </c>
      <c r="M1" s="1152"/>
      <c r="N1" s="1152"/>
      <c r="O1" s="1152"/>
      <c r="P1" s="1152"/>
      <c r="Q1" s="1152"/>
      <c r="R1" s="1152"/>
      <c r="S1" s="1152"/>
      <c r="T1" s="1152"/>
      <c r="U1" s="1152"/>
      <c r="V1" s="1152"/>
      <c r="W1" s="1152"/>
      <c r="X1" s="1153"/>
    </row>
    <row r="2" spans="1:28" ht="60" x14ac:dyDescent="0.25">
      <c r="A2" s="808" t="s">
        <v>1</v>
      </c>
      <c r="B2" s="808" t="s">
        <v>414</v>
      </c>
      <c r="C2" s="808" t="s">
        <v>2324</v>
      </c>
      <c r="D2" s="808" t="s">
        <v>97</v>
      </c>
      <c r="E2" s="808" t="s">
        <v>2570</v>
      </c>
      <c r="F2" s="808" t="s">
        <v>2855</v>
      </c>
      <c r="G2" s="808" t="s">
        <v>2856</v>
      </c>
      <c r="H2" s="808" t="s">
        <v>2870</v>
      </c>
      <c r="I2" s="871" t="s">
        <v>2858</v>
      </c>
      <c r="J2" s="808" t="s">
        <v>2857</v>
      </c>
      <c r="K2" s="808" t="s">
        <v>2859</v>
      </c>
      <c r="L2" s="827" t="s">
        <v>2571</v>
      </c>
      <c r="M2" s="827" t="s">
        <v>2572</v>
      </c>
      <c r="N2" s="828" t="s">
        <v>2573</v>
      </c>
      <c r="O2" s="828" t="s">
        <v>2574</v>
      </c>
      <c r="P2" s="829" t="s">
        <v>2575</v>
      </c>
      <c r="Q2" s="829" t="s">
        <v>2871</v>
      </c>
      <c r="R2" s="829" t="s">
        <v>2875</v>
      </c>
      <c r="S2" s="828" t="s">
        <v>2576</v>
      </c>
      <c r="T2" s="828" t="s">
        <v>2864</v>
      </c>
      <c r="U2" s="829" t="s">
        <v>2577</v>
      </c>
      <c r="V2" s="829" t="s">
        <v>2861</v>
      </c>
      <c r="W2" s="829" t="s">
        <v>2862</v>
      </c>
      <c r="X2" s="830" t="s">
        <v>27</v>
      </c>
      <c r="AA2" s="410" t="s">
        <v>2869</v>
      </c>
    </row>
    <row r="3" spans="1:28" s="805" customFormat="1" ht="14.25" customHeight="1" x14ac:dyDescent="0.25">
      <c r="A3" s="819">
        <v>1</v>
      </c>
      <c r="B3" s="820" t="str">
        <f>IF(D3&gt;0,'נתונים כלליים (1)'!$C$5,"")</f>
        <v/>
      </c>
      <c r="C3" s="821" t="str">
        <f>IFERROR(VLOOKUP(B3,'רשימת רשויות'!A:C,3,0),"")</f>
        <v/>
      </c>
      <c r="D3" s="822">
        <f>VLOOKUP(A3,'דוח ביצוע (3)'!A:G,2,0)</f>
        <v>0</v>
      </c>
      <c r="E3" s="823" t="str">
        <f>IFERROR(VLOOKUP(D3,'נתוני רישום ומצבת'!B:D,3,0),"")</f>
        <v/>
      </c>
      <c r="F3" s="823" t="str">
        <f>IF(D3&gt;0,SUMIFS('בית ספר - תקצוב לפי מוסד (9)'!N:N,'בית ספר - תקצוב לפי מוסד (9)'!B:B,בקרה!D3,'בית ספר - תקצוב לפי מוסד (9)'!M:M,'בית ספר - תקצוב לפי מוסד (9)'!$M$22)+SUMIFS('בית ספר - תקצוב לפי מוסד (9)'!O:O,'בית ספר - תקצוב לפי מוסד (9)'!B:B,בקרה!D3,'בית ספר - תקצוב לפי מוסד (9)'!M:M,'בית ספר - תקצוב לפי מוסד (9)'!$M$22),"")</f>
        <v/>
      </c>
      <c r="G3" s="823">
        <v>2</v>
      </c>
      <c r="H3" s="823" t="s">
        <v>2867</v>
      </c>
      <c r="I3" s="872">
        <f t="shared" ref="I3:I34" si="0">G3-(COUNTIF(H:H,"כן")/5)</f>
        <v>0</v>
      </c>
      <c r="J3" s="823"/>
      <c r="K3" s="819" t="s">
        <v>2342</v>
      </c>
      <c r="L3" s="825">
        <f>SUMIFS('בית ספר - תקצוב לפי מוסד (9)'!$U:$U,'בית ספר - תקצוב לפי מוסד (9)'!$T:$T,בקרה!D3,'בית ספר - תקצוב לפי מוסד (9)'!$S:$S,K3)</f>
        <v>0</v>
      </c>
      <c r="M3" s="1011">
        <f>L3</f>
        <v>0</v>
      </c>
      <c r="N3" s="823"/>
      <c r="O3" s="823"/>
      <c r="P3" s="823"/>
      <c r="Q3" s="868" t="s">
        <v>2863</v>
      </c>
      <c r="R3" s="841">
        <f>MAX((L3-S3),0)</f>
        <v>0</v>
      </c>
      <c r="S3" s="841">
        <f>MAX(L3-MIN(M3,N3,O3,P3),0)</f>
        <v>0</v>
      </c>
      <c r="T3" s="825">
        <f>SUMIFS('בית ספר - תקצוב לפי מוסד (9)'!X:X,'בית ספר - תקצוב לפי מוסד (9)'!T:T,בקרה!D3,'בית ספר - תקצוב לפי מוסד (9)'!S:S,בקרה!K3)</f>
        <v>0</v>
      </c>
      <c r="U3" s="806" t="str">
        <f>IF(L3&gt;0,IF(T3&lt;0,"קיזוז","תקין"),"")</f>
        <v/>
      </c>
      <c r="V3" s="823"/>
      <c r="W3" s="823"/>
      <c r="X3" s="823"/>
    </row>
    <row r="4" spans="1:28" s="805" customFormat="1" x14ac:dyDescent="0.25">
      <c r="A4" s="832">
        <v>1</v>
      </c>
      <c r="B4" s="833" t="str">
        <f>IF(D4&gt;0,'נתונים כלליים (1)'!$C$5,"")</f>
        <v/>
      </c>
      <c r="C4" s="834" t="str">
        <f>IFERROR(VLOOKUP(B4,'רשימת רשויות'!A:C,3,0),"")</f>
        <v/>
      </c>
      <c r="D4" s="835">
        <f>VLOOKUP(A4,'דוח ביצוע (3)'!A:G,2,0)</f>
        <v>0</v>
      </c>
      <c r="E4" s="831" t="str">
        <f>IFERROR(VLOOKUP(D4,'נתוני רישום ומצבת'!B:D,3,0),"")</f>
        <v/>
      </c>
      <c r="F4" s="831" t="str">
        <f>IF(D4&gt;0,SUMIFS('בית ספר - תקצוב לפי מוסד (9)'!N:N,'בית ספר - תקצוב לפי מוסד (9)'!B:B,בקרה!D4,'בית ספר - תקצוב לפי מוסד (9)'!M:M,'בית ספר - תקצוב לפי מוסד (9)'!$M$22)+SUMIFS('בית ספר - תקצוב לפי מוסד (9)'!O:O,'בית ספר - תקצוב לפי מוסד (9)'!B:B,בקרה!D4,'בית ספר - תקצוב לפי מוסד (9)'!M:M,'בית ספר - תקצוב לפי מוסד (9)'!$M$22),"")</f>
        <v/>
      </c>
      <c r="G4" s="831">
        <v>2</v>
      </c>
      <c r="H4" s="831" t="s">
        <v>2867</v>
      </c>
      <c r="I4" s="873">
        <f t="shared" si="0"/>
        <v>0</v>
      </c>
      <c r="J4" s="831"/>
      <c r="K4" s="832" t="s">
        <v>0</v>
      </c>
      <c r="L4" s="825">
        <f>SUMIFS('בית ספר - תקצוב לפי מוסד (9)'!$U:$U,'בית ספר - תקצוב לפי מוסד (9)'!$T:$T,בקרה!D4,'בית ספר - תקצוב לפי מוסד (9)'!$S:$S,K4)</f>
        <v>0</v>
      </c>
      <c r="M4" s="1012">
        <f t="shared" ref="M4:M67" si="1">L4</f>
        <v>0</v>
      </c>
      <c r="N4" s="868" t="s">
        <v>2863</v>
      </c>
      <c r="O4" s="868" t="s">
        <v>2863</v>
      </c>
      <c r="P4" s="868" t="s">
        <v>2863</v>
      </c>
      <c r="Q4" s="868" t="s">
        <v>2863</v>
      </c>
      <c r="R4" s="841">
        <f t="shared" ref="R4:R7" si="2">MAX((L4-S4),0)</f>
        <v>0</v>
      </c>
      <c r="S4" s="841">
        <f>MAX(L4-M4,0)</f>
        <v>0</v>
      </c>
      <c r="T4" s="825">
        <f>SUMIFS('בית ספר - תקצוב לפי מוסד (9)'!X:X,'בית ספר - תקצוב לפי מוסד (9)'!T:T,בקרה!D4,'בית ספר - תקצוב לפי מוסד (9)'!S:S,בקרה!K4)</f>
        <v>0</v>
      </c>
      <c r="U4" s="806" t="str">
        <f t="shared" ref="U4:U5" si="3">IF(L4&gt;0,IF(T4&lt;0,"קיזוז","תקין"),"")</f>
        <v/>
      </c>
      <c r="V4" s="831"/>
      <c r="W4" s="831"/>
      <c r="X4" s="831"/>
      <c r="AA4" s="805" t="s">
        <v>2342</v>
      </c>
      <c r="AB4" s="805" t="s">
        <v>2868</v>
      </c>
    </row>
    <row r="5" spans="1:28" s="805" customFormat="1" x14ac:dyDescent="0.25">
      <c r="A5" s="836">
        <v>1</v>
      </c>
      <c r="B5" s="837" t="str">
        <f>IF(D5&gt;0,'נתונים כלליים (1)'!$C$5,"")</f>
        <v/>
      </c>
      <c r="C5" s="838" t="str">
        <f>IFERROR(VLOOKUP(B5,'רשימת רשויות'!A:C,3,0),"")</f>
        <v/>
      </c>
      <c r="D5" s="839">
        <f>VLOOKUP(A5,'דוח ביצוע (3)'!A:G,2,0)</f>
        <v>0</v>
      </c>
      <c r="E5" s="840" t="str">
        <f>IFERROR(VLOOKUP(D5,'נתוני רישום ומצבת'!B:D,3,0),"")</f>
        <v/>
      </c>
      <c r="F5" s="840" t="str">
        <f>IF(D5&gt;0,SUMIFS('בית ספר - תקצוב לפי מוסד (9)'!N:N,'בית ספר - תקצוב לפי מוסד (9)'!B:B,בקרה!D5,'בית ספר - תקצוב לפי מוסד (9)'!M:M,'בית ספר - תקצוב לפי מוסד (9)'!$M$22)+SUMIFS('בית ספר - תקצוב לפי מוסד (9)'!O:O,'בית ספר - תקצוב לפי מוסד (9)'!B:B,בקרה!D5,'בית ספר - תקצוב לפי מוסד (9)'!M:M,'בית ספר - תקצוב לפי מוסד (9)'!$M$22),"")</f>
        <v/>
      </c>
      <c r="G5" s="840">
        <v>2</v>
      </c>
      <c r="H5" s="840" t="s">
        <v>2867</v>
      </c>
      <c r="I5" s="874">
        <f t="shared" si="0"/>
        <v>0</v>
      </c>
      <c r="J5" s="840"/>
      <c r="K5" s="836" t="s">
        <v>93</v>
      </c>
      <c r="L5" s="825">
        <f>SUMIFS('בית ספר - תקצוב לפי מוסד (9)'!$U:$U,'בית ספר - תקצוב לפי מוסד (9)'!$T:$T,בקרה!D5,'בית ספר - תקצוב לפי מוסד (9)'!$S:$S,K5)</f>
        <v>0</v>
      </c>
      <c r="M5" s="1013">
        <f t="shared" si="1"/>
        <v>0</v>
      </c>
      <c r="N5" s="868" t="s">
        <v>2863</v>
      </c>
      <c r="O5" s="868" t="s">
        <v>2863</v>
      </c>
      <c r="P5" s="868" t="s">
        <v>2863</v>
      </c>
      <c r="Q5" s="868" t="s">
        <v>2863</v>
      </c>
      <c r="R5" s="841">
        <f t="shared" si="2"/>
        <v>0</v>
      </c>
      <c r="S5" s="841">
        <f t="shared" ref="S5:S7" si="4">MAX(L5-M5,0)</f>
        <v>0</v>
      </c>
      <c r="T5" s="825">
        <f>SUMIFS('בית ספר - תקצוב לפי מוסד (9)'!X:X,'בית ספר - תקצוב לפי מוסד (9)'!T:T,בקרה!D5,'בית ספר - תקצוב לפי מוסד (9)'!S:S,בקרה!K5)</f>
        <v>0</v>
      </c>
      <c r="U5" s="806" t="str">
        <f t="shared" si="3"/>
        <v/>
      </c>
      <c r="V5" s="840"/>
      <c r="W5" s="840"/>
      <c r="X5" s="840"/>
      <c r="AB5" s="805" t="s">
        <v>2865</v>
      </c>
    </row>
    <row r="6" spans="1:28" s="805" customFormat="1" x14ac:dyDescent="0.25">
      <c r="A6" s="809">
        <v>1</v>
      </c>
      <c r="B6" s="810" t="str">
        <f>IF(D6&gt;0,'נתונים כלליים (1)'!$C$5,"")</f>
        <v/>
      </c>
      <c r="C6" s="811" t="str">
        <f>IFERROR(VLOOKUP(B6,'רשימת רשויות'!A:C,3,0),"")</f>
        <v/>
      </c>
      <c r="D6" s="812">
        <f>VLOOKUP(A6,'דוח ביצוע (3)'!A:G,2,0)</f>
        <v>0</v>
      </c>
      <c r="E6" s="813" t="str">
        <f>IFERROR(VLOOKUP(D6,'נתוני רישום ומצבת'!B:D,3,0),"")</f>
        <v/>
      </c>
      <c r="F6" s="813" t="str">
        <f>IF(D6&gt;0,SUMIFS('בית ספר - תקצוב לפי מוסד (9)'!N:N,'בית ספר - תקצוב לפי מוסד (9)'!B:B,בקרה!D6,'בית ספר - תקצוב לפי מוסד (9)'!M:M,'בית ספר - תקצוב לפי מוסד (9)'!$M$22)+SUMIFS('בית ספר - תקצוב לפי מוסד (9)'!O:O,'בית ספר - תקצוב לפי מוסד (9)'!B:B,בקרה!D6,'בית ספר - תקצוב לפי מוסד (9)'!M:M,'בית ספר - תקצוב לפי מוסד (9)'!$M$22),"")</f>
        <v/>
      </c>
      <c r="G6" s="813">
        <v>2</v>
      </c>
      <c r="H6" s="813" t="s">
        <v>2867</v>
      </c>
      <c r="I6" s="875">
        <f t="shared" si="0"/>
        <v>0</v>
      </c>
      <c r="J6" s="813"/>
      <c r="K6" s="809" t="s">
        <v>2815</v>
      </c>
      <c r="L6" s="825">
        <f>SUMIFS('בית ספר - תקצוב לפי מוסד (9)'!$U:$U,'בית ספר - תקצוב לפי מוסד (9)'!$T:$T,בקרה!D6,'בית ספר - תקצוב לפי מוסד (9)'!$S:$S,"מלגות להורים")</f>
        <v>0</v>
      </c>
      <c r="M6" s="1014">
        <f t="shared" si="1"/>
        <v>0</v>
      </c>
      <c r="N6" s="868" t="s">
        <v>2863</v>
      </c>
      <c r="O6" s="868" t="s">
        <v>2863</v>
      </c>
      <c r="P6" s="868" t="s">
        <v>2863</v>
      </c>
      <c r="Q6" s="813" t="s">
        <v>2886</v>
      </c>
      <c r="R6" s="841">
        <f t="shared" si="2"/>
        <v>0</v>
      </c>
      <c r="S6" s="841">
        <f t="shared" si="4"/>
        <v>0</v>
      </c>
      <c r="T6" s="825">
        <f>SUMIFS('בית ספר - תקצוב לפי מוסד (9)'!X:X,'בית ספר - תקצוב לפי מוסד (9)'!T:T,בקרה!D6,'בית ספר - תקצוב לפי מוסד (9)'!S:S,בקרה!K6)</f>
        <v>0</v>
      </c>
      <c r="U6" s="806" t="str">
        <f>Q6</f>
        <v>לא תקין</v>
      </c>
      <c r="V6" s="813"/>
      <c r="W6" s="813"/>
      <c r="X6" s="813"/>
      <c r="AB6" s="805" t="s">
        <v>2866</v>
      </c>
    </row>
    <row r="7" spans="1:28" s="805" customFormat="1" x14ac:dyDescent="0.25">
      <c r="A7" s="814">
        <v>1</v>
      </c>
      <c r="B7" s="815" t="str">
        <f>IF(D7&gt;0,'נתונים כלליים (1)'!$C$5,"")</f>
        <v/>
      </c>
      <c r="C7" s="816" t="str">
        <f>IFERROR(VLOOKUP(B7,'רשימת רשויות'!A:C,3,0),"")</f>
        <v/>
      </c>
      <c r="D7" s="817">
        <f>VLOOKUP(A7,'דוח ביצוע (3)'!A:G,2,0)</f>
        <v>0</v>
      </c>
      <c r="E7" s="818" t="str">
        <f>IFERROR(VLOOKUP(D7,'נתוני רישום ומצבת'!B:D,3,0),"")</f>
        <v/>
      </c>
      <c r="F7" s="818" t="str">
        <f>IF(D7&gt;0,SUMIFS('בית ספר - תקצוב לפי מוסד (9)'!N:N,'בית ספר - תקצוב לפי מוסד (9)'!B:B,בקרה!D7,'בית ספר - תקצוב לפי מוסד (9)'!M:M,'בית ספר - תקצוב לפי מוסד (9)'!$M$22)+SUMIFS('בית ספר - תקצוב לפי מוסד (9)'!O:O,'בית ספר - תקצוב לפי מוסד (9)'!B:B,בקרה!D7,'בית ספר - תקצוב לפי מוסד (9)'!M:M,'בית ספר - תקצוב לפי מוסד (9)'!$M$22),"")</f>
        <v/>
      </c>
      <c r="G7" s="818">
        <v>2</v>
      </c>
      <c r="H7" s="818" t="s">
        <v>2867</v>
      </c>
      <c r="I7" s="876">
        <f t="shared" si="0"/>
        <v>0</v>
      </c>
      <c r="J7" s="818"/>
      <c r="K7" s="814" t="s">
        <v>2344</v>
      </c>
      <c r="L7" s="825">
        <f>IFERROR(VLOOKUP(D7,'תשלומי הורים ומלגות להורים (5) '!B:C,2,0),0)</f>
        <v>0</v>
      </c>
      <c r="M7" s="1015">
        <f t="shared" si="1"/>
        <v>0</v>
      </c>
      <c r="N7" s="868" t="s">
        <v>2863</v>
      </c>
      <c r="O7" s="868" t="s">
        <v>2863</v>
      </c>
      <c r="P7" s="868" t="s">
        <v>2863</v>
      </c>
      <c r="Q7" s="818" t="s">
        <v>2876</v>
      </c>
      <c r="R7" s="841">
        <f t="shared" si="2"/>
        <v>0</v>
      </c>
      <c r="S7" s="841">
        <f t="shared" si="4"/>
        <v>0</v>
      </c>
      <c r="T7" s="869"/>
      <c r="U7" s="806" t="str">
        <f>Q7</f>
        <v>תקין</v>
      </c>
      <c r="V7" s="818"/>
      <c r="W7" s="818"/>
      <c r="X7" s="818"/>
      <c r="AB7" s="805" t="s">
        <v>2877</v>
      </c>
    </row>
    <row r="8" spans="1:28" s="805" customFormat="1" ht="14.25" customHeight="1" x14ac:dyDescent="0.25">
      <c r="A8" s="819">
        <v>2</v>
      </c>
      <c r="B8" s="820" t="str">
        <f>IF(D8&gt;0,'נתונים כלליים (1)'!$C$5,"")</f>
        <v/>
      </c>
      <c r="C8" s="821" t="str">
        <f>IFERROR(VLOOKUP(B8,'רשימת רשויות'!A:C,3,0),"")</f>
        <v/>
      </c>
      <c r="D8" s="822">
        <f>VLOOKUP(A8,'דוח ביצוע (3)'!A:G,2,0)</f>
        <v>0</v>
      </c>
      <c r="E8" s="823" t="str">
        <f>IFERROR(VLOOKUP(D8,'נתוני רישום ומצבת'!B:D,3,0),"")</f>
        <v/>
      </c>
      <c r="F8" s="823" t="str">
        <f>IF(D8&gt;0,SUMIFS('בית ספר - תקצוב לפי מוסד (9)'!N:N,'בית ספר - תקצוב לפי מוסד (9)'!B:B,בקרה!D8,'בית ספר - תקצוב לפי מוסד (9)'!M:M,'בית ספר - תקצוב לפי מוסד (9)'!$M$22)+SUMIFS('בית ספר - תקצוב לפי מוסד (9)'!O:O,'בית ספר - תקצוב לפי מוסד (9)'!B:B,בקרה!D8,'בית ספר - תקצוב לפי מוסד (9)'!M:M,'בית ספר - תקצוב לפי מוסד (9)'!$M$22),"")</f>
        <v/>
      </c>
      <c r="G8" s="823">
        <v>2</v>
      </c>
      <c r="H8" s="823" t="s">
        <v>2867</v>
      </c>
      <c r="I8" s="872">
        <f t="shared" si="0"/>
        <v>0</v>
      </c>
      <c r="J8" s="823"/>
      <c r="K8" s="819" t="s">
        <v>2342</v>
      </c>
      <c r="L8" s="825">
        <f>SUMIFS('בית ספר - תקצוב לפי מוסד (9)'!$U:$U,'בית ספר - תקצוב לפי מוסד (9)'!$T:$T,בקרה!D8,'בית ספר - תקצוב לפי מוסד (9)'!$S:$S,K8)</f>
        <v>0</v>
      </c>
      <c r="M8" s="1011">
        <f t="shared" si="1"/>
        <v>0</v>
      </c>
      <c r="N8" s="823"/>
      <c r="O8" s="823"/>
      <c r="P8" s="823"/>
      <c r="Q8" s="868" t="s">
        <v>2863</v>
      </c>
      <c r="R8" s="841">
        <f>MAX((L8-S8),0)</f>
        <v>0</v>
      </c>
      <c r="S8" s="841">
        <f>MAX(L8-MIN(M8,N8,O8,P8),0)</f>
        <v>0</v>
      </c>
      <c r="T8" s="825">
        <f>SUMIFS('בית ספר - תקצוב לפי מוסד (9)'!X:X,'בית ספר - תקצוב לפי מוסד (9)'!T:T,בקרה!D8,'בית ספר - תקצוב לפי מוסד (9)'!S:S,בקרה!K8)</f>
        <v>0</v>
      </c>
      <c r="U8" s="806" t="str">
        <f>IF(L8&gt;0,IF(T8&lt;0,"קיזוז","תקין"),"")</f>
        <v/>
      </c>
      <c r="V8" s="823"/>
      <c r="W8" s="823"/>
      <c r="X8" s="823"/>
      <c r="AB8" s="805" t="s">
        <v>2878</v>
      </c>
    </row>
    <row r="9" spans="1:28" s="805" customFormat="1" x14ac:dyDescent="0.25">
      <c r="A9" s="832">
        <v>2</v>
      </c>
      <c r="B9" s="833" t="str">
        <f>IF(D9&gt;0,'נתונים כלליים (1)'!$C$5,"")</f>
        <v/>
      </c>
      <c r="C9" s="834" t="str">
        <f>IFERROR(VLOOKUP(B9,'רשימת רשויות'!A:C,3,0),"")</f>
        <v/>
      </c>
      <c r="D9" s="835">
        <f>VLOOKUP(A9,'דוח ביצוע (3)'!A:G,2,0)</f>
        <v>0</v>
      </c>
      <c r="E9" s="831" t="str">
        <f>IFERROR(VLOOKUP(D9,'נתוני רישום ומצבת'!B:D,3,0),"")</f>
        <v/>
      </c>
      <c r="F9" s="831" t="str">
        <f>IF(D9&gt;0,SUMIFS('בית ספר - תקצוב לפי מוסד (9)'!N:N,'בית ספר - תקצוב לפי מוסד (9)'!B:B,בקרה!D9,'בית ספר - תקצוב לפי מוסד (9)'!M:M,'בית ספר - תקצוב לפי מוסד (9)'!$M$22)+SUMIFS('בית ספר - תקצוב לפי מוסד (9)'!O:O,'בית ספר - תקצוב לפי מוסד (9)'!B:B,בקרה!D9,'בית ספר - תקצוב לפי מוסד (9)'!M:M,'בית ספר - תקצוב לפי מוסד (9)'!$M$22),"")</f>
        <v/>
      </c>
      <c r="G9" s="831">
        <v>2</v>
      </c>
      <c r="H9" s="831" t="s">
        <v>2867</v>
      </c>
      <c r="I9" s="873">
        <f t="shared" si="0"/>
        <v>0</v>
      </c>
      <c r="J9" s="831"/>
      <c r="K9" s="832" t="s">
        <v>0</v>
      </c>
      <c r="L9" s="825">
        <f>SUMIFS('בית ספר - תקצוב לפי מוסד (9)'!$U:$U,'בית ספר - תקצוב לפי מוסד (9)'!$T:$T,בקרה!D9,'בית ספר - תקצוב לפי מוסד (9)'!$S:$S,K9)</f>
        <v>0</v>
      </c>
      <c r="M9" s="1012">
        <f t="shared" si="1"/>
        <v>0</v>
      </c>
      <c r="N9" s="868" t="s">
        <v>2863</v>
      </c>
      <c r="O9" s="868" t="s">
        <v>2863</v>
      </c>
      <c r="P9" s="868" t="s">
        <v>2863</v>
      </c>
      <c r="Q9" s="868" t="s">
        <v>2863</v>
      </c>
      <c r="R9" s="841">
        <f t="shared" ref="R9:R12" si="5">MAX((L9-S9),0)</f>
        <v>0</v>
      </c>
      <c r="S9" s="841">
        <f>MAX(L9-M9,0)</f>
        <v>0</v>
      </c>
      <c r="T9" s="825">
        <f>SUMIFS('בית ספר - תקצוב לפי מוסד (9)'!X:X,'בית ספר - תקצוב לפי מוסד (9)'!T:T,בקרה!D9,'בית ספר - תקצוב לפי מוסד (9)'!S:S,בקרה!K9)</f>
        <v>0</v>
      </c>
      <c r="U9" s="806" t="str">
        <f t="shared" ref="U9:U11" si="6">IF(L9&gt;0,IF(T9&lt;0,"קיזוז","תקין"),"")</f>
        <v/>
      </c>
      <c r="V9" s="831"/>
      <c r="W9" s="831"/>
      <c r="X9" s="831"/>
      <c r="AA9" s="805" t="s">
        <v>0</v>
      </c>
      <c r="AB9" s="805" t="s">
        <v>2868</v>
      </c>
    </row>
    <row r="10" spans="1:28" s="805" customFormat="1" x14ac:dyDescent="0.25">
      <c r="A10" s="836">
        <v>2</v>
      </c>
      <c r="B10" s="837" t="str">
        <f>IF(D10&gt;0,'נתונים כלליים (1)'!$C$5,"")</f>
        <v/>
      </c>
      <c r="C10" s="838" t="str">
        <f>IFERROR(VLOOKUP(B10,'רשימת רשויות'!A:C,3,0),"")</f>
        <v/>
      </c>
      <c r="D10" s="839">
        <f>VLOOKUP(A10,'דוח ביצוע (3)'!A:G,2,0)</f>
        <v>0</v>
      </c>
      <c r="E10" s="840" t="str">
        <f>IFERROR(VLOOKUP(D10,'נתוני רישום ומצבת'!B:D,3,0),"")</f>
        <v/>
      </c>
      <c r="F10" s="840" t="str">
        <f>IF(D10&gt;0,SUMIFS('בית ספר - תקצוב לפי מוסד (9)'!N:N,'בית ספר - תקצוב לפי מוסד (9)'!B:B,בקרה!D10,'בית ספר - תקצוב לפי מוסד (9)'!M:M,'בית ספר - תקצוב לפי מוסד (9)'!$M$22)+SUMIFS('בית ספר - תקצוב לפי מוסד (9)'!O:O,'בית ספר - תקצוב לפי מוסד (9)'!B:B,בקרה!D10,'בית ספר - תקצוב לפי מוסד (9)'!M:M,'בית ספר - תקצוב לפי מוסד (9)'!$M$22),"")</f>
        <v/>
      </c>
      <c r="G10" s="840">
        <v>2</v>
      </c>
      <c r="H10" s="840" t="s">
        <v>2867</v>
      </c>
      <c r="I10" s="874">
        <f t="shared" si="0"/>
        <v>0</v>
      </c>
      <c r="J10" s="840"/>
      <c r="K10" s="836" t="s">
        <v>93</v>
      </c>
      <c r="L10" s="825">
        <f>SUMIFS('בית ספר - תקצוב לפי מוסד (9)'!$U:$U,'בית ספר - תקצוב לפי מוסד (9)'!$T:$T,בקרה!D10,'בית ספר - תקצוב לפי מוסד (9)'!$S:$S,K10)</f>
        <v>0</v>
      </c>
      <c r="M10" s="1013">
        <f t="shared" si="1"/>
        <v>0</v>
      </c>
      <c r="N10" s="868" t="s">
        <v>2863</v>
      </c>
      <c r="O10" s="868" t="s">
        <v>2863</v>
      </c>
      <c r="P10" s="868" t="s">
        <v>2863</v>
      </c>
      <c r="Q10" s="868" t="s">
        <v>2863</v>
      </c>
      <c r="R10" s="841">
        <f t="shared" si="5"/>
        <v>0</v>
      </c>
      <c r="S10" s="841">
        <f t="shared" ref="S10:S12" si="7">MAX(L10-M10,0)</f>
        <v>0</v>
      </c>
      <c r="T10" s="825">
        <f>SUMIFS('בית ספר - תקצוב לפי מוסד (9)'!X:X,'בית ספר - תקצוב לפי מוסד (9)'!T:T,בקרה!D10,'בית ספר - תקצוב לפי מוסד (9)'!S:S,בקרה!K10)</f>
        <v>0</v>
      </c>
      <c r="U10" s="806" t="str">
        <f t="shared" si="6"/>
        <v/>
      </c>
      <c r="V10" s="840"/>
      <c r="W10" s="840"/>
      <c r="X10" s="840"/>
      <c r="AB10" s="805" t="s">
        <v>2865</v>
      </c>
    </row>
    <row r="11" spans="1:28" s="805" customFormat="1" x14ac:dyDescent="0.25">
      <c r="A11" s="809">
        <v>2</v>
      </c>
      <c r="B11" s="810" t="str">
        <f>IF(D11&gt;0,'נתונים כלליים (1)'!$C$5,"")</f>
        <v/>
      </c>
      <c r="C11" s="811" t="str">
        <f>IFERROR(VLOOKUP(B11,'רשימת רשויות'!A:C,3,0),"")</f>
        <v/>
      </c>
      <c r="D11" s="812">
        <f>VLOOKUP(A11,'דוח ביצוע (3)'!A:G,2,0)</f>
        <v>0</v>
      </c>
      <c r="E11" s="813" t="str">
        <f>IFERROR(VLOOKUP(D11,'נתוני רישום ומצבת'!B:D,3,0),"")</f>
        <v/>
      </c>
      <c r="F11" s="813" t="str">
        <f>IF(D11&gt;0,SUMIFS('בית ספר - תקצוב לפי מוסד (9)'!N:N,'בית ספר - תקצוב לפי מוסד (9)'!B:B,בקרה!D11,'בית ספר - תקצוב לפי מוסד (9)'!M:M,'בית ספר - תקצוב לפי מוסד (9)'!$M$22)+SUMIFS('בית ספר - תקצוב לפי מוסד (9)'!O:O,'בית ספר - תקצוב לפי מוסד (9)'!B:B,בקרה!D11,'בית ספר - תקצוב לפי מוסד (9)'!M:M,'בית ספר - תקצוב לפי מוסד (9)'!$M$22),"")</f>
        <v/>
      </c>
      <c r="G11" s="813">
        <v>2</v>
      </c>
      <c r="H11" s="813" t="s">
        <v>2867</v>
      </c>
      <c r="I11" s="875">
        <f t="shared" si="0"/>
        <v>0</v>
      </c>
      <c r="J11" s="813"/>
      <c r="K11" s="809" t="s">
        <v>2815</v>
      </c>
      <c r="L11" s="825">
        <f>SUMIFS('בית ספר - תקצוב לפי מוסד (9)'!$U:$U,'בית ספר - תקצוב לפי מוסד (9)'!$T:$T,בקרה!D11,'בית ספר - תקצוב לפי מוסד (9)'!$S:$S,"מלגות להורים")</f>
        <v>0</v>
      </c>
      <c r="M11" s="1014">
        <f t="shared" si="1"/>
        <v>0</v>
      </c>
      <c r="N11" s="868" t="s">
        <v>2863</v>
      </c>
      <c r="O11" s="868" t="s">
        <v>2863</v>
      </c>
      <c r="P11" s="868" t="s">
        <v>2863</v>
      </c>
      <c r="Q11" s="813"/>
      <c r="R11" s="841">
        <f t="shared" si="5"/>
        <v>0</v>
      </c>
      <c r="S11" s="841">
        <f t="shared" si="7"/>
        <v>0</v>
      </c>
      <c r="T11" s="825">
        <f>SUMIFS('בית ספר - תקצוב לפי מוסד (9)'!X:X,'בית ספר - תקצוב לפי מוסד (9)'!T:T,בקרה!D11,'בית ספר - תקצוב לפי מוסד (9)'!S:S,בקרה!K11)</f>
        <v>0</v>
      </c>
      <c r="U11" s="806" t="str">
        <f t="shared" si="6"/>
        <v/>
      </c>
      <c r="V11" s="813"/>
      <c r="W11" s="813"/>
      <c r="X11" s="813"/>
      <c r="AB11" s="805" t="s">
        <v>2879</v>
      </c>
    </row>
    <row r="12" spans="1:28" s="805" customFormat="1" x14ac:dyDescent="0.25">
      <c r="A12" s="814">
        <v>2</v>
      </c>
      <c r="B12" s="815" t="str">
        <f>IF(D12&gt;0,'נתונים כלליים (1)'!$C$5,"")</f>
        <v/>
      </c>
      <c r="C12" s="816" t="str">
        <f>IFERROR(VLOOKUP(B12,'רשימת רשויות'!A:C,3,0),"")</f>
        <v/>
      </c>
      <c r="D12" s="817">
        <f>VLOOKUP(A12,'דוח ביצוע (3)'!A:G,2,0)</f>
        <v>0</v>
      </c>
      <c r="E12" s="818" t="str">
        <f>IFERROR(VLOOKUP(D12,'נתוני רישום ומצבת'!B:D,3,0),"")</f>
        <v/>
      </c>
      <c r="F12" s="818" t="str">
        <f>IF(D12&gt;0,SUMIFS('בית ספר - תקצוב לפי מוסד (9)'!N:N,'בית ספר - תקצוב לפי מוסד (9)'!B:B,בקרה!D12,'בית ספר - תקצוב לפי מוסד (9)'!M:M,'בית ספר - תקצוב לפי מוסד (9)'!$M$22)+SUMIFS('בית ספר - תקצוב לפי מוסד (9)'!O:O,'בית ספר - תקצוב לפי מוסד (9)'!B:B,בקרה!D12,'בית ספר - תקצוב לפי מוסד (9)'!M:M,'בית ספר - תקצוב לפי מוסד (9)'!$M$22),"")</f>
        <v/>
      </c>
      <c r="G12" s="818">
        <v>2</v>
      </c>
      <c r="H12" s="818" t="s">
        <v>2867</v>
      </c>
      <c r="I12" s="876">
        <f t="shared" si="0"/>
        <v>0</v>
      </c>
      <c r="J12" s="818"/>
      <c r="K12" s="814" t="s">
        <v>2344</v>
      </c>
      <c r="L12" s="825">
        <f>IFERROR(VLOOKUP(D12,'תשלומי הורים ומלגות להורים (5) '!B:C,2,0),0)</f>
        <v>0</v>
      </c>
      <c r="M12" s="1015">
        <f t="shared" si="1"/>
        <v>0</v>
      </c>
      <c r="N12" s="868" t="s">
        <v>2863</v>
      </c>
      <c r="O12" s="868" t="s">
        <v>2863</v>
      </c>
      <c r="P12" s="868" t="s">
        <v>2863</v>
      </c>
      <c r="Q12" s="818" t="s">
        <v>2876</v>
      </c>
      <c r="R12" s="841">
        <f t="shared" si="5"/>
        <v>0</v>
      </c>
      <c r="S12" s="841">
        <f t="shared" si="7"/>
        <v>0</v>
      </c>
      <c r="T12" s="869"/>
      <c r="U12" s="806" t="str">
        <f>Q12</f>
        <v>תקין</v>
      </c>
      <c r="V12" s="818"/>
      <c r="W12" s="818"/>
      <c r="X12" s="818"/>
      <c r="AB12" s="805" t="s">
        <v>2880</v>
      </c>
    </row>
    <row r="13" spans="1:28" s="805" customFormat="1" ht="14.25" customHeight="1" x14ac:dyDescent="0.25">
      <c r="A13" s="819">
        <v>3</v>
      </c>
      <c r="B13" s="820" t="str">
        <f>IF(D13&gt;0,'נתונים כלליים (1)'!$C$5,"")</f>
        <v/>
      </c>
      <c r="C13" s="821" t="str">
        <f>IFERROR(VLOOKUP(B13,'רשימת רשויות'!A:C,3,0),"")</f>
        <v/>
      </c>
      <c r="D13" s="822">
        <f>VLOOKUP(A13,'דוח ביצוע (3)'!A:G,2,0)</f>
        <v>0</v>
      </c>
      <c r="E13" s="823" t="str">
        <f>IFERROR(VLOOKUP(D13,'נתוני רישום ומצבת'!B:D,3,0),"")</f>
        <v/>
      </c>
      <c r="F13" s="823" t="str">
        <f>IF(D13&gt;0,SUMIFS('בית ספר - תקצוב לפי מוסד (9)'!N:N,'בית ספר - תקצוב לפי מוסד (9)'!B:B,בקרה!D13,'בית ספר - תקצוב לפי מוסד (9)'!M:M,'בית ספר - תקצוב לפי מוסד (9)'!$M$22)+SUMIFS('בית ספר - תקצוב לפי מוסד (9)'!O:O,'בית ספר - תקצוב לפי מוסד (9)'!B:B,בקרה!D13,'בית ספר - תקצוב לפי מוסד (9)'!M:M,'בית ספר - תקצוב לפי מוסד (9)'!$M$22),"")</f>
        <v/>
      </c>
      <c r="G13" s="823">
        <v>2</v>
      </c>
      <c r="H13" s="823"/>
      <c r="I13" s="872">
        <f t="shared" si="0"/>
        <v>0</v>
      </c>
      <c r="J13" s="823"/>
      <c r="K13" s="819" t="s">
        <v>2342</v>
      </c>
      <c r="L13" s="825">
        <f>SUMIFS('בית ספר - תקצוב לפי מוסד (9)'!$U:$U,'בית ספר - תקצוב לפי מוסד (9)'!$T:$T,בקרה!D13,'בית ספר - תקצוב לפי מוסד (9)'!$S:$S,K13)</f>
        <v>0</v>
      </c>
      <c r="M13" s="1011">
        <f t="shared" si="1"/>
        <v>0</v>
      </c>
      <c r="N13" s="823"/>
      <c r="O13" s="823"/>
      <c r="P13" s="823"/>
      <c r="Q13" s="868" t="s">
        <v>2863</v>
      </c>
      <c r="R13" s="841">
        <f>MAX((L13-S13),0)</f>
        <v>0</v>
      </c>
      <c r="S13" s="841">
        <f>MAX(L13-MIN(M13,N13,O13,P13),0)</f>
        <v>0</v>
      </c>
      <c r="T13" s="825">
        <f>SUMIFS('בית ספר - תקצוב לפי מוסד (9)'!X:X,'בית ספר - תקצוב לפי מוסד (9)'!T:T,בקרה!D13,'בית ספר - תקצוב לפי מוסד (9)'!S:S,בקרה!K13)</f>
        <v>0</v>
      </c>
      <c r="U13" s="806" t="str">
        <f>IF(L13&gt;0,IF(T13&lt;0,"קיזוז","תקין"),"")</f>
        <v/>
      </c>
      <c r="V13" s="823"/>
      <c r="W13" s="823"/>
      <c r="X13" s="823"/>
      <c r="AB13" s="805" t="s">
        <v>2881</v>
      </c>
    </row>
    <row r="14" spans="1:28" s="805" customFormat="1" x14ac:dyDescent="0.25">
      <c r="A14" s="832">
        <v>3</v>
      </c>
      <c r="B14" s="833" t="str">
        <f>IF(D14&gt;0,'נתונים כלליים (1)'!$C$5,"")</f>
        <v/>
      </c>
      <c r="C14" s="834" t="str">
        <f>IFERROR(VLOOKUP(B14,'רשימת רשויות'!A:C,3,0),"")</f>
        <v/>
      </c>
      <c r="D14" s="835">
        <f>VLOOKUP(A14,'דוח ביצוע (3)'!A:G,2,0)</f>
        <v>0</v>
      </c>
      <c r="E14" s="831" t="str">
        <f>IFERROR(VLOOKUP(D14,'נתוני רישום ומצבת'!B:D,3,0),"")</f>
        <v/>
      </c>
      <c r="F14" s="831" t="str">
        <f>IF(D14&gt;0,SUMIFS('בית ספר - תקצוב לפי מוסד (9)'!N:N,'בית ספר - תקצוב לפי מוסד (9)'!B:B,בקרה!D14,'בית ספר - תקצוב לפי מוסד (9)'!M:M,'בית ספר - תקצוב לפי מוסד (9)'!$M$22)+SUMIFS('בית ספר - תקצוב לפי מוסד (9)'!O:O,'בית ספר - תקצוב לפי מוסד (9)'!B:B,בקרה!D14,'בית ספר - תקצוב לפי מוסד (9)'!M:M,'בית ספר - תקצוב לפי מוסד (9)'!$M$22),"")</f>
        <v/>
      </c>
      <c r="G14" s="831">
        <v>2</v>
      </c>
      <c r="H14" s="831"/>
      <c r="I14" s="873">
        <f t="shared" si="0"/>
        <v>0</v>
      </c>
      <c r="J14" s="831"/>
      <c r="K14" s="832" t="s">
        <v>0</v>
      </c>
      <c r="L14" s="825">
        <f>SUMIFS('בית ספר - תקצוב לפי מוסד (9)'!$U:$U,'בית ספר - תקצוב לפי מוסד (9)'!$T:$T,בקרה!D14,'בית ספר - תקצוב לפי מוסד (9)'!$S:$S,K14)</f>
        <v>0</v>
      </c>
      <c r="M14" s="1012">
        <f t="shared" si="1"/>
        <v>0</v>
      </c>
      <c r="N14" s="868" t="s">
        <v>2863</v>
      </c>
      <c r="O14" s="868" t="s">
        <v>2863</v>
      </c>
      <c r="P14" s="868" t="s">
        <v>2863</v>
      </c>
      <c r="Q14" s="868" t="s">
        <v>2863</v>
      </c>
      <c r="R14" s="841">
        <f t="shared" ref="R14:R17" si="8">MAX((L14-S14),0)</f>
        <v>0</v>
      </c>
      <c r="S14" s="841">
        <f>MAX(L14-M14,0)</f>
        <v>0</v>
      </c>
      <c r="T14" s="825">
        <f>SUMIFS('בית ספר - תקצוב לפי מוסד (9)'!X:X,'בית ספר - תקצוב לפי מוסד (9)'!T:T,בקרה!D14,'בית ספר - תקצוב לפי מוסד (9)'!S:S,בקרה!K14)</f>
        <v>0</v>
      </c>
      <c r="U14" s="806" t="str">
        <f t="shared" ref="U14:U15" si="9">IF(L14&gt;0,IF(T14&lt;0,"קיזוז","תקין"),"")</f>
        <v/>
      </c>
      <c r="V14" s="831"/>
      <c r="W14" s="831"/>
      <c r="X14" s="831"/>
      <c r="AA14" s="805" t="s">
        <v>93</v>
      </c>
      <c r="AB14" s="805" t="s">
        <v>2868</v>
      </c>
    </row>
    <row r="15" spans="1:28" s="805" customFormat="1" x14ac:dyDescent="0.25">
      <c r="A15" s="836">
        <v>3</v>
      </c>
      <c r="B15" s="837" t="str">
        <f>IF(D15&gt;0,'נתונים כלליים (1)'!$C$5,"")</f>
        <v/>
      </c>
      <c r="C15" s="838" t="str">
        <f>IFERROR(VLOOKUP(B15,'רשימת רשויות'!A:C,3,0),"")</f>
        <v/>
      </c>
      <c r="D15" s="839">
        <f>VLOOKUP(A15,'דוח ביצוע (3)'!A:G,2,0)</f>
        <v>0</v>
      </c>
      <c r="E15" s="840" t="str">
        <f>IFERROR(VLOOKUP(D15,'נתוני רישום ומצבת'!B:D,3,0),"")</f>
        <v/>
      </c>
      <c r="F15" s="840" t="str">
        <f>IF(D15&gt;0,SUMIFS('בית ספר - תקצוב לפי מוסד (9)'!N:N,'בית ספר - תקצוב לפי מוסד (9)'!B:B,בקרה!D15,'בית ספר - תקצוב לפי מוסד (9)'!M:M,'בית ספר - תקצוב לפי מוסד (9)'!$M$22)+SUMIFS('בית ספר - תקצוב לפי מוסד (9)'!O:O,'בית ספר - תקצוב לפי מוסד (9)'!B:B,בקרה!D15,'בית ספר - תקצוב לפי מוסד (9)'!M:M,'בית ספר - תקצוב לפי מוסד (9)'!$M$22),"")</f>
        <v/>
      </c>
      <c r="G15" s="840">
        <v>2</v>
      </c>
      <c r="H15" s="840"/>
      <c r="I15" s="874">
        <f t="shared" si="0"/>
        <v>0</v>
      </c>
      <c r="J15" s="840"/>
      <c r="K15" s="836" t="s">
        <v>93</v>
      </c>
      <c r="L15" s="825">
        <f>SUMIFS('בית ספר - תקצוב לפי מוסד (9)'!$U:$U,'בית ספר - תקצוב לפי מוסד (9)'!$T:$T,בקרה!D15,'בית ספר - תקצוב לפי מוסד (9)'!$S:$S,K15)</f>
        <v>0</v>
      </c>
      <c r="M15" s="1013">
        <f t="shared" si="1"/>
        <v>0</v>
      </c>
      <c r="N15" s="868" t="s">
        <v>2863</v>
      </c>
      <c r="O15" s="868" t="s">
        <v>2863</v>
      </c>
      <c r="P15" s="868" t="s">
        <v>2863</v>
      </c>
      <c r="Q15" s="868" t="s">
        <v>2863</v>
      </c>
      <c r="R15" s="841">
        <f t="shared" si="8"/>
        <v>0</v>
      </c>
      <c r="S15" s="841">
        <f t="shared" ref="S15:S17" si="10">MAX(L15-M15,0)</f>
        <v>0</v>
      </c>
      <c r="T15" s="825">
        <f>SUMIFS('בית ספר - תקצוב לפי מוסד (9)'!X:X,'בית ספר - תקצוב לפי מוסד (9)'!T:T,בקרה!D15,'בית ספר - תקצוב לפי מוסד (9)'!S:S,בקרה!K15)</f>
        <v>0</v>
      </c>
      <c r="U15" s="806" t="str">
        <f t="shared" si="9"/>
        <v/>
      </c>
      <c r="V15" s="840"/>
      <c r="W15" s="840"/>
      <c r="X15" s="840"/>
      <c r="AB15" s="805" t="s">
        <v>2865</v>
      </c>
    </row>
    <row r="16" spans="1:28" s="805" customFormat="1" x14ac:dyDescent="0.25">
      <c r="A16" s="809">
        <v>3</v>
      </c>
      <c r="B16" s="810" t="str">
        <f>IF(D16&gt;0,'נתונים כלליים (1)'!$C$5,"")</f>
        <v/>
      </c>
      <c r="C16" s="811" t="str">
        <f>IFERROR(VLOOKUP(B16,'רשימת רשויות'!A:C,3,0),"")</f>
        <v/>
      </c>
      <c r="D16" s="812">
        <f>VLOOKUP(A16,'דוח ביצוע (3)'!A:G,2,0)</f>
        <v>0</v>
      </c>
      <c r="E16" s="813" t="str">
        <f>IFERROR(VLOOKUP(D16,'נתוני רישום ומצבת'!B:D,3,0),"")</f>
        <v/>
      </c>
      <c r="F16" s="813" t="str">
        <f>IF(D16&gt;0,SUMIFS('בית ספר - תקצוב לפי מוסד (9)'!N:N,'בית ספר - תקצוב לפי מוסד (9)'!B:B,בקרה!D16,'בית ספר - תקצוב לפי מוסד (9)'!M:M,'בית ספר - תקצוב לפי מוסד (9)'!$M$22)+SUMIFS('בית ספר - תקצוב לפי מוסד (9)'!O:O,'בית ספר - תקצוב לפי מוסד (9)'!B:B,בקרה!D16,'בית ספר - תקצוב לפי מוסד (9)'!M:M,'בית ספר - תקצוב לפי מוסד (9)'!$M$22),"")</f>
        <v/>
      </c>
      <c r="G16" s="813">
        <v>2</v>
      </c>
      <c r="H16" s="813"/>
      <c r="I16" s="875">
        <f t="shared" si="0"/>
        <v>0</v>
      </c>
      <c r="J16" s="813"/>
      <c r="K16" s="809" t="s">
        <v>2815</v>
      </c>
      <c r="L16" s="825">
        <f>SUMIFS('בית ספר - תקצוב לפי מוסד (9)'!$U:$U,'בית ספר - תקצוב לפי מוסד (9)'!$T:$T,בקרה!D16,'בית ספר - תקצוב לפי מוסד (9)'!$S:$S,"מלגות להורים")</f>
        <v>0</v>
      </c>
      <c r="M16" s="1014">
        <f t="shared" si="1"/>
        <v>0</v>
      </c>
      <c r="N16" s="868" t="s">
        <v>2863</v>
      </c>
      <c r="O16" s="868" t="s">
        <v>2863</v>
      </c>
      <c r="P16" s="868" t="s">
        <v>2863</v>
      </c>
      <c r="Q16" s="813"/>
      <c r="R16" s="841">
        <f t="shared" si="8"/>
        <v>0</v>
      </c>
      <c r="S16" s="841">
        <f t="shared" si="10"/>
        <v>0</v>
      </c>
      <c r="T16" s="825">
        <f>SUMIFS('בית ספר - תקצוב לפי מוסד (9)'!X:X,'בית ספר - תקצוב לפי מוסד (9)'!T:T,בקרה!D16,'בית ספר - תקצוב לפי מוסד (9)'!S:S,בקרה!K16)</f>
        <v>0</v>
      </c>
      <c r="U16" s="806">
        <f>Q16</f>
        <v>0</v>
      </c>
      <c r="V16" s="813"/>
      <c r="W16" s="813"/>
      <c r="X16" s="813"/>
      <c r="AB16" s="805" t="s">
        <v>2879</v>
      </c>
    </row>
    <row r="17" spans="1:28" s="805" customFormat="1" x14ac:dyDescent="0.25">
      <c r="A17" s="814">
        <v>3</v>
      </c>
      <c r="B17" s="815" t="str">
        <f>IF(D17&gt;0,'נתונים כלליים (1)'!$C$5,"")</f>
        <v/>
      </c>
      <c r="C17" s="816" t="str">
        <f>IFERROR(VLOOKUP(B17,'רשימת רשויות'!A:C,3,0),"")</f>
        <v/>
      </c>
      <c r="D17" s="817">
        <f>VLOOKUP(A17,'דוח ביצוע (3)'!A:G,2,0)</f>
        <v>0</v>
      </c>
      <c r="E17" s="818" t="str">
        <f>IFERROR(VLOOKUP(D17,'נתוני רישום ומצבת'!B:D,3,0),"")</f>
        <v/>
      </c>
      <c r="F17" s="818" t="str">
        <f>IF(D17&gt;0,SUMIFS('בית ספר - תקצוב לפי מוסד (9)'!N:N,'בית ספר - תקצוב לפי מוסד (9)'!B:B,בקרה!D17,'בית ספר - תקצוב לפי מוסד (9)'!M:M,'בית ספר - תקצוב לפי מוסד (9)'!$M$22)+SUMIFS('בית ספר - תקצוב לפי מוסד (9)'!O:O,'בית ספר - תקצוב לפי מוסד (9)'!B:B,בקרה!D17,'בית ספר - תקצוב לפי מוסד (9)'!M:M,'בית ספר - תקצוב לפי מוסד (9)'!$M$22),"")</f>
        <v/>
      </c>
      <c r="G17" s="818">
        <v>2</v>
      </c>
      <c r="H17" s="818"/>
      <c r="I17" s="876">
        <f t="shared" si="0"/>
        <v>0</v>
      </c>
      <c r="J17" s="818"/>
      <c r="K17" s="814" t="s">
        <v>2344</v>
      </c>
      <c r="L17" s="825">
        <f>IFERROR(VLOOKUP(D17,'תשלומי הורים ומלגות להורים (5) '!B:C,2,0),0)</f>
        <v>0</v>
      </c>
      <c r="M17" s="1015">
        <f t="shared" si="1"/>
        <v>0</v>
      </c>
      <c r="N17" s="868" t="s">
        <v>2863</v>
      </c>
      <c r="O17" s="868" t="s">
        <v>2863</v>
      </c>
      <c r="P17" s="868" t="s">
        <v>2863</v>
      </c>
      <c r="Q17" s="818" t="s">
        <v>2876</v>
      </c>
      <c r="R17" s="841">
        <f t="shared" si="8"/>
        <v>0</v>
      </c>
      <c r="S17" s="841">
        <f t="shared" si="10"/>
        <v>0</v>
      </c>
      <c r="T17" s="869"/>
      <c r="U17" s="806" t="str">
        <f>Q17</f>
        <v>תקין</v>
      </c>
      <c r="V17" s="818"/>
      <c r="W17" s="818"/>
      <c r="X17" s="818"/>
      <c r="AB17" s="805" t="s">
        <v>2881</v>
      </c>
    </row>
    <row r="18" spans="1:28" s="805" customFormat="1" ht="14.25" customHeight="1" x14ac:dyDescent="0.25">
      <c r="A18" s="819">
        <v>4</v>
      </c>
      <c r="B18" s="820" t="str">
        <f>IF(D18&gt;0,'נתונים כלליים (1)'!$C$5,"")</f>
        <v/>
      </c>
      <c r="C18" s="821" t="str">
        <f>IFERROR(VLOOKUP(B18,'רשימת רשויות'!A:C,3,0),"")</f>
        <v/>
      </c>
      <c r="D18" s="822">
        <f>VLOOKUP(A18,'דוח ביצוע (3)'!A:G,2,0)</f>
        <v>0</v>
      </c>
      <c r="E18" s="823" t="str">
        <f>IFERROR(VLOOKUP(D18,'נתוני רישום ומצבת'!B:D,3,0),"")</f>
        <v/>
      </c>
      <c r="F18" s="823" t="str">
        <f>IF(D18&gt;0,SUMIFS('בית ספר - תקצוב לפי מוסד (9)'!N:N,'בית ספר - תקצוב לפי מוסד (9)'!B:B,בקרה!D18,'בית ספר - תקצוב לפי מוסד (9)'!M:M,'בית ספר - תקצוב לפי מוסד (9)'!$M$22)+SUMIFS('בית ספר - תקצוב לפי מוסד (9)'!O:O,'בית ספר - תקצוב לפי מוסד (9)'!B:B,בקרה!D18,'בית ספר - תקצוב לפי מוסד (9)'!M:M,'בית ספר - תקצוב לפי מוסד (9)'!$M$22),"")</f>
        <v/>
      </c>
      <c r="G18" s="823">
        <v>2</v>
      </c>
      <c r="H18" s="823"/>
      <c r="I18" s="872">
        <f t="shared" si="0"/>
        <v>0</v>
      </c>
      <c r="J18" s="823"/>
      <c r="K18" s="819" t="s">
        <v>2342</v>
      </c>
      <c r="L18" s="825">
        <f>SUMIFS('בית ספר - תקצוב לפי מוסד (9)'!$U:$U,'בית ספר - תקצוב לפי מוסד (9)'!$T:$T,בקרה!D18,'בית ספר - תקצוב לפי מוסד (9)'!$S:$S,K18)</f>
        <v>0</v>
      </c>
      <c r="M18" s="1011">
        <f t="shared" si="1"/>
        <v>0</v>
      </c>
      <c r="N18" s="823"/>
      <c r="O18" s="823"/>
      <c r="P18" s="823"/>
      <c r="Q18" s="868" t="s">
        <v>2863</v>
      </c>
      <c r="R18" s="841">
        <f>MAX((L18-S18),0)</f>
        <v>0</v>
      </c>
      <c r="S18" s="841">
        <f>MAX(L18-MIN(M18,N18,O18,P18),0)</f>
        <v>0</v>
      </c>
      <c r="T18" s="825">
        <f>SUMIFS('בית ספר - תקצוב לפי מוסד (9)'!X:X,'בית ספר - תקצוב לפי מוסד (9)'!T:T,בקרה!D18,'בית ספר - תקצוב לפי מוסד (9)'!S:S,בקרה!K18)</f>
        <v>0</v>
      </c>
      <c r="U18" s="806" t="str">
        <f>IF(L18&gt;0,IF(T18&lt;0,"קיזוז","תקין"),"")</f>
        <v/>
      </c>
      <c r="V18" s="823"/>
      <c r="W18" s="823"/>
      <c r="X18" s="823"/>
      <c r="AA18" s="805" t="s">
        <v>2815</v>
      </c>
      <c r="AB18" s="805" t="s">
        <v>2868</v>
      </c>
    </row>
    <row r="19" spans="1:28" s="805" customFormat="1" x14ac:dyDescent="0.25">
      <c r="A19" s="832">
        <v>4</v>
      </c>
      <c r="B19" s="833" t="str">
        <f>IF(D19&gt;0,'נתונים כלליים (1)'!$C$5,"")</f>
        <v/>
      </c>
      <c r="C19" s="834" t="str">
        <f>IFERROR(VLOOKUP(B19,'רשימת רשויות'!A:C,3,0),"")</f>
        <v/>
      </c>
      <c r="D19" s="835">
        <f>VLOOKUP(A19,'דוח ביצוע (3)'!A:G,2,0)</f>
        <v>0</v>
      </c>
      <c r="E19" s="831" t="str">
        <f>IFERROR(VLOOKUP(D19,'נתוני רישום ומצבת'!B:D,3,0),"")</f>
        <v/>
      </c>
      <c r="F19" s="831" t="str">
        <f>IF(D19&gt;0,SUMIFS('בית ספר - תקצוב לפי מוסד (9)'!N:N,'בית ספר - תקצוב לפי מוסד (9)'!B:B,בקרה!D19,'בית ספר - תקצוב לפי מוסד (9)'!M:M,'בית ספר - תקצוב לפי מוסד (9)'!$M$22)+SUMIFS('בית ספר - תקצוב לפי מוסד (9)'!O:O,'בית ספר - תקצוב לפי מוסד (9)'!B:B,בקרה!D19,'בית ספר - תקצוב לפי מוסד (9)'!M:M,'בית ספר - תקצוב לפי מוסד (9)'!$M$22),"")</f>
        <v/>
      </c>
      <c r="G19" s="831">
        <v>2</v>
      </c>
      <c r="H19" s="831"/>
      <c r="I19" s="873">
        <f t="shared" si="0"/>
        <v>0</v>
      </c>
      <c r="J19" s="831"/>
      <c r="K19" s="832" t="s">
        <v>0</v>
      </c>
      <c r="L19" s="825">
        <f>SUMIFS('בית ספר - תקצוב לפי מוסד (9)'!$U:$U,'בית ספר - תקצוב לפי מוסד (9)'!$T:$T,בקרה!D19,'בית ספר - תקצוב לפי מוסד (9)'!$S:$S,K19)</f>
        <v>0</v>
      </c>
      <c r="M19" s="1012">
        <f t="shared" si="1"/>
        <v>0</v>
      </c>
      <c r="N19" s="868" t="s">
        <v>2863</v>
      </c>
      <c r="O19" s="868" t="s">
        <v>2863</v>
      </c>
      <c r="P19" s="868" t="s">
        <v>2863</v>
      </c>
      <c r="Q19" s="868" t="s">
        <v>2863</v>
      </c>
      <c r="R19" s="841">
        <f t="shared" ref="R19:R22" si="11">MAX((L19-S19),0)</f>
        <v>0</v>
      </c>
      <c r="S19" s="841">
        <f>MAX(L19-M19,0)</f>
        <v>0</v>
      </c>
      <c r="T19" s="825">
        <f>SUMIFS('בית ספר - תקצוב לפי מוסד (9)'!X:X,'בית ספר - תקצוב לפי מוסד (9)'!T:T,בקרה!D19,'בית ספר - תקצוב לפי מוסד (9)'!S:S,בקרה!K19)</f>
        <v>0</v>
      </c>
      <c r="U19" s="806" t="str">
        <f t="shared" ref="U19:U20" si="12">IF(L19&gt;0,IF(T19&lt;0,"קיזוז","תקין"),"")</f>
        <v/>
      </c>
      <c r="V19" s="831"/>
      <c r="W19" s="831"/>
      <c r="X19" s="831"/>
      <c r="AB19" s="805" t="s">
        <v>2865</v>
      </c>
    </row>
    <row r="20" spans="1:28" s="805" customFormat="1" x14ac:dyDescent="0.25">
      <c r="A20" s="836">
        <v>4</v>
      </c>
      <c r="B20" s="837" t="str">
        <f>IF(D20&gt;0,'נתונים כלליים (1)'!$C$5,"")</f>
        <v/>
      </c>
      <c r="C20" s="838" t="str">
        <f>IFERROR(VLOOKUP(B20,'רשימת רשויות'!A:C,3,0),"")</f>
        <v/>
      </c>
      <c r="D20" s="839">
        <f>VLOOKUP(A20,'דוח ביצוע (3)'!A:G,2,0)</f>
        <v>0</v>
      </c>
      <c r="E20" s="840" t="str">
        <f>IFERROR(VLOOKUP(D20,'נתוני רישום ומצבת'!B:D,3,0),"")</f>
        <v/>
      </c>
      <c r="F20" s="840" t="str">
        <f>IF(D20&gt;0,SUMIFS('בית ספר - תקצוב לפי מוסד (9)'!N:N,'בית ספר - תקצוב לפי מוסד (9)'!B:B,בקרה!D20,'בית ספר - תקצוב לפי מוסד (9)'!M:M,'בית ספר - תקצוב לפי מוסד (9)'!$M$22)+SUMIFS('בית ספר - תקצוב לפי מוסד (9)'!O:O,'בית ספר - תקצוב לפי מוסד (9)'!B:B,בקרה!D20,'בית ספר - תקצוב לפי מוסד (9)'!M:M,'בית ספר - תקצוב לפי מוסד (9)'!$M$22),"")</f>
        <v/>
      </c>
      <c r="G20" s="840">
        <v>2</v>
      </c>
      <c r="H20" s="840"/>
      <c r="I20" s="874">
        <f t="shared" si="0"/>
        <v>0</v>
      </c>
      <c r="J20" s="840"/>
      <c r="K20" s="836" t="s">
        <v>93</v>
      </c>
      <c r="L20" s="825">
        <f>SUMIFS('בית ספר - תקצוב לפי מוסד (9)'!$U:$U,'בית ספר - תקצוב לפי מוסד (9)'!$T:$T,בקרה!D20,'בית ספר - תקצוב לפי מוסד (9)'!$S:$S,K20)</f>
        <v>0</v>
      </c>
      <c r="M20" s="1013">
        <f t="shared" si="1"/>
        <v>0</v>
      </c>
      <c r="N20" s="868" t="s">
        <v>2863</v>
      </c>
      <c r="O20" s="868" t="s">
        <v>2863</v>
      </c>
      <c r="P20" s="868" t="s">
        <v>2863</v>
      </c>
      <c r="Q20" s="868" t="s">
        <v>2863</v>
      </c>
      <c r="R20" s="841">
        <f t="shared" si="11"/>
        <v>0</v>
      </c>
      <c r="S20" s="841">
        <f t="shared" ref="S20:S22" si="13">MAX(L20-M20,0)</f>
        <v>0</v>
      </c>
      <c r="T20" s="825">
        <f>SUMIFS('בית ספר - תקצוב לפי מוסד (9)'!X:X,'בית ספר - תקצוב לפי מוסד (9)'!T:T,בקרה!D20,'בית ספר - תקצוב לפי מוסד (9)'!S:S,בקרה!K20)</f>
        <v>0</v>
      </c>
      <c r="U20" s="806" t="str">
        <f t="shared" si="12"/>
        <v/>
      </c>
      <c r="V20" s="840"/>
      <c r="W20" s="840"/>
      <c r="X20" s="840"/>
      <c r="AB20" s="805" t="s">
        <v>2882</v>
      </c>
    </row>
    <row r="21" spans="1:28" s="805" customFormat="1" x14ac:dyDescent="0.25">
      <c r="A21" s="809">
        <v>4</v>
      </c>
      <c r="B21" s="810" t="str">
        <f>IF(D21&gt;0,'נתונים כלליים (1)'!$C$5,"")</f>
        <v/>
      </c>
      <c r="C21" s="811" t="str">
        <f>IFERROR(VLOOKUP(B21,'רשימת רשויות'!A:C,3,0),"")</f>
        <v/>
      </c>
      <c r="D21" s="812">
        <f>VLOOKUP(A21,'דוח ביצוע (3)'!A:G,2,0)</f>
        <v>0</v>
      </c>
      <c r="E21" s="813" t="str">
        <f>IFERROR(VLOOKUP(D21,'נתוני רישום ומצבת'!B:D,3,0),"")</f>
        <v/>
      </c>
      <c r="F21" s="813" t="str">
        <f>IF(D21&gt;0,SUMIFS('בית ספר - תקצוב לפי מוסד (9)'!N:N,'בית ספר - תקצוב לפי מוסד (9)'!B:B,בקרה!D21,'בית ספר - תקצוב לפי מוסד (9)'!M:M,'בית ספר - תקצוב לפי מוסד (9)'!$M$22)+SUMIFS('בית ספר - תקצוב לפי מוסד (9)'!O:O,'בית ספר - תקצוב לפי מוסד (9)'!B:B,בקרה!D21,'בית ספר - תקצוב לפי מוסד (9)'!M:M,'בית ספר - תקצוב לפי מוסד (9)'!$M$22),"")</f>
        <v/>
      </c>
      <c r="G21" s="813">
        <v>2</v>
      </c>
      <c r="H21" s="813"/>
      <c r="I21" s="875">
        <f t="shared" si="0"/>
        <v>0</v>
      </c>
      <c r="J21" s="813"/>
      <c r="K21" s="809" t="s">
        <v>2815</v>
      </c>
      <c r="L21" s="825">
        <f>SUMIFS('בית ספר - תקצוב לפי מוסד (9)'!$U:$U,'בית ספר - תקצוב לפי מוסד (9)'!$T:$T,בקרה!D21,'בית ספר - תקצוב לפי מוסד (9)'!$S:$S,"מלגות להורים")</f>
        <v>0</v>
      </c>
      <c r="M21" s="1014">
        <f t="shared" si="1"/>
        <v>0</v>
      </c>
      <c r="N21" s="868" t="s">
        <v>2863</v>
      </c>
      <c r="O21" s="868" t="s">
        <v>2863</v>
      </c>
      <c r="P21" s="868" t="s">
        <v>2863</v>
      </c>
      <c r="Q21" s="813"/>
      <c r="R21" s="841">
        <f t="shared" si="11"/>
        <v>0</v>
      </c>
      <c r="S21" s="841">
        <f t="shared" si="13"/>
        <v>0</v>
      </c>
      <c r="T21" s="825">
        <f>SUMIFS('בית ספר - תקצוב לפי מוסד (9)'!X:X,'בית ספר - תקצוב לפי מוסד (9)'!T:T,בקרה!D21,'בית ספר - תקצוב לפי מוסד (9)'!S:S,בקרה!K21)</f>
        <v>0</v>
      </c>
      <c r="U21" s="806">
        <f>Q21</f>
        <v>0</v>
      </c>
      <c r="V21" s="813"/>
      <c r="W21" s="813"/>
      <c r="X21" s="813"/>
      <c r="AB21" s="805" t="s">
        <v>2885</v>
      </c>
    </row>
    <row r="22" spans="1:28" s="805" customFormat="1" x14ac:dyDescent="0.25">
      <c r="A22" s="814">
        <v>4</v>
      </c>
      <c r="B22" s="815" t="str">
        <f>IF(D22&gt;0,'נתונים כלליים (1)'!$C$5,"")</f>
        <v/>
      </c>
      <c r="C22" s="816" t="str">
        <f>IFERROR(VLOOKUP(B22,'רשימת רשויות'!A:C,3,0),"")</f>
        <v/>
      </c>
      <c r="D22" s="817">
        <f>VLOOKUP(A22,'דוח ביצוע (3)'!A:G,2,0)</f>
        <v>0</v>
      </c>
      <c r="E22" s="818" t="str">
        <f>IFERROR(VLOOKUP(D22,'נתוני רישום ומצבת'!B:D,3,0),"")</f>
        <v/>
      </c>
      <c r="F22" s="818" t="str">
        <f>IF(D22&gt;0,SUMIFS('בית ספר - תקצוב לפי מוסד (9)'!N:N,'בית ספר - תקצוב לפי מוסד (9)'!B:B,בקרה!D22,'בית ספר - תקצוב לפי מוסד (9)'!M:M,'בית ספר - תקצוב לפי מוסד (9)'!$M$22)+SUMIFS('בית ספר - תקצוב לפי מוסד (9)'!O:O,'בית ספר - תקצוב לפי מוסד (9)'!B:B,בקרה!D22,'בית ספר - תקצוב לפי מוסד (9)'!M:M,'בית ספר - תקצוב לפי מוסד (9)'!$M$22),"")</f>
        <v/>
      </c>
      <c r="G22" s="818">
        <v>2</v>
      </c>
      <c r="H22" s="818"/>
      <c r="I22" s="876">
        <f t="shared" si="0"/>
        <v>0</v>
      </c>
      <c r="J22" s="818"/>
      <c r="K22" s="814" t="s">
        <v>2344</v>
      </c>
      <c r="L22" s="825">
        <f>IFERROR(VLOOKUP(D22,'תשלומי הורים ומלגות להורים (5) '!B:C,2,0),0)</f>
        <v>0</v>
      </c>
      <c r="M22" s="1015">
        <f t="shared" si="1"/>
        <v>0</v>
      </c>
      <c r="N22" s="868" t="s">
        <v>2863</v>
      </c>
      <c r="O22" s="868" t="s">
        <v>2863</v>
      </c>
      <c r="P22" s="868" t="s">
        <v>2863</v>
      </c>
      <c r="Q22" s="818" t="s">
        <v>2876</v>
      </c>
      <c r="R22" s="841">
        <f t="shared" si="11"/>
        <v>0</v>
      </c>
      <c r="S22" s="841">
        <f t="shared" si="13"/>
        <v>0</v>
      </c>
      <c r="T22" s="869"/>
      <c r="U22" s="806" t="str">
        <f>Q22</f>
        <v>תקין</v>
      </c>
      <c r="V22" s="818"/>
      <c r="W22" s="818"/>
      <c r="X22" s="818"/>
      <c r="AA22" s="805" t="s">
        <v>2344</v>
      </c>
      <c r="AB22" s="805" t="s">
        <v>2868</v>
      </c>
    </row>
    <row r="23" spans="1:28" s="805" customFormat="1" ht="14.25" customHeight="1" x14ac:dyDescent="0.25">
      <c r="A23" s="819">
        <v>5</v>
      </c>
      <c r="B23" s="820" t="str">
        <f>IF(D23&gt;0,'נתונים כלליים (1)'!$C$5,"")</f>
        <v/>
      </c>
      <c r="C23" s="821" t="str">
        <f>IFERROR(VLOOKUP(B23,'רשימת רשויות'!A:C,3,0),"")</f>
        <v/>
      </c>
      <c r="D23" s="822">
        <f>VLOOKUP(A23,'דוח ביצוע (3)'!A:G,2,0)</f>
        <v>0</v>
      </c>
      <c r="E23" s="823" t="str">
        <f>IFERROR(VLOOKUP(D23,'נתוני רישום ומצבת'!B:D,3,0),"")</f>
        <v/>
      </c>
      <c r="F23" s="823" t="str">
        <f>IF(D23&gt;0,SUMIFS('בית ספר - תקצוב לפי מוסד (9)'!N:N,'בית ספר - תקצוב לפי מוסד (9)'!B:B,בקרה!D23,'בית ספר - תקצוב לפי מוסד (9)'!M:M,'בית ספר - תקצוב לפי מוסד (9)'!$M$22)+SUMIFS('בית ספר - תקצוב לפי מוסד (9)'!O:O,'בית ספר - תקצוב לפי מוסד (9)'!B:B,בקרה!D23,'בית ספר - תקצוב לפי מוסד (9)'!M:M,'בית ספר - תקצוב לפי מוסד (9)'!$M$22),"")</f>
        <v/>
      </c>
      <c r="G23" s="823">
        <v>2</v>
      </c>
      <c r="H23" s="823"/>
      <c r="I23" s="872">
        <f t="shared" si="0"/>
        <v>0</v>
      </c>
      <c r="J23" s="823"/>
      <c r="K23" s="819" t="s">
        <v>2342</v>
      </c>
      <c r="L23" s="825">
        <f>SUMIFS('בית ספר - תקצוב לפי מוסד (9)'!$U:$U,'בית ספר - תקצוב לפי מוסד (9)'!$T:$T,בקרה!D23,'בית ספר - תקצוב לפי מוסד (9)'!$S:$S,K23)</f>
        <v>0</v>
      </c>
      <c r="M23" s="1011">
        <f t="shared" si="1"/>
        <v>0</v>
      </c>
      <c r="N23" s="823"/>
      <c r="O23" s="823"/>
      <c r="P23" s="823"/>
      <c r="Q23" s="868" t="s">
        <v>2863</v>
      </c>
      <c r="R23" s="841">
        <f>MAX((L23-S23),0)</f>
        <v>0</v>
      </c>
      <c r="S23" s="841">
        <f>MAX(L23-MIN(M23,N23,O23,P23),0)</f>
        <v>0</v>
      </c>
      <c r="T23" s="825">
        <f>SUMIFS('בית ספר - תקצוב לפי מוסד (9)'!X:X,'בית ספר - תקצוב לפי מוסד (9)'!T:T,בקרה!D23,'בית ספר - תקצוב לפי מוסד (9)'!S:S,בקרה!K23)</f>
        <v>0</v>
      </c>
      <c r="U23" s="806" t="str">
        <f>IF(L23&gt;0,IF(T23&lt;0,"קיזוז","תקין"),"")</f>
        <v/>
      </c>
      <c r="V23" s="823"/>
      <c r="W23" s="823"/>
      <c r="X23" s="823"/>
      <c r="AB23" s="805" t="s">
        <v>2865</v>
      </c>
    </row>
    <row r="24" spans="1:28" s="805" customFormat="1" x14ac:dyDescent="0.25">
      <c r="A24" s="832">
        <v>5</v>
      </c>
      <c r="B24" s="833" t="str">
        <f>IF(D24&gt;0,'נתונים כלליים (1)'!$C$5,"")</f>
        <v/>
      </c>
      <c r="C24" s="834" t="str">
        <f>IFERROR(VLOOKUP(B24,'רשימת רשויות'!A:C,3,0),"")</f>
        <v/>
      </c>
      <c r="D24" s="835">
        <f>VLOOKUP(A24,'דוח ביצוע (3)'!A:G,2,0)</f>
        <v>0</v>
      </c>
      <c r="E24" s="831" t="str">
        <f>IFERROR(VLOOKUP(D24,'נתוני רישום ומצבת'!B:D,3,0),"")</f>
        <v/>
      </c>
      <c r="F24" s="831" t="str">
        <f>IF(D24&gt;0,SUMIFS('בית ספר - תקצוב לפי מוסד (9)'!N:N,'בית ספר - תקצוב לפי מוסד (9)'!B:B,בקרה!D24,'בית ספר - תקצוב לפי מוסד (9)'!M:M,'בית ספר - תקצוב לפי מוסד (9)'!$M$22)+SUMIFS('בית ספר - תקצוב לפי מוסד (9)'!O:O,'בית ספר - תקצוב לפי מוסד (9)'!B:B,בקרה!D24,'בית ספר - תקצוב לפי מוסד (9)'!M:M,'בית ספר - תקצוב לפי מוסד (9)'!$M$22),"")</f>
        <v/>
      </c>
      <c r="G24" s="831">
        <v>2</v>
      </c>
      <c r="H24" s="831"/>
      <c r="I24" s="873">
        <f t="shared" si="0"/>
        <v>0</v>
      </c>
      <c r="J24" s="831"/>
      <c r="K24" s="832" t="s">
        <v>0</v>
      </c>
      <c r="L24" s="825">
        <f>SUMIFS('בית ספר - תקצוב לפי מוסד (9)'!$U:$U,'בית ספר - תקצוב לפי מוסד (9)'!$T:$T,בקרה!D24,'בית ספר - תקצוב לפי מוסד (9)'!$S:$S,K24)</f>
        <v>0</v>
      </c>
      <c r="M24" s="1012">
        <f t="shared" si="1"/>
        <v>0</v>
      </c>
      <c r="N24" s="868" t="s">
        <v>2863</v>
      </c>
      <c r="O24" s="868" t="s">
        <v>2863</v>
      </c>
      <c r="P24" s="868" t="s">
        <v>2863</v>
      </c>
      <c r="Q24" s="868" t="s">
        <v>2863</v>
      </c>
      <c r="R24" s="841">
        <f t="shared" ref="R24:R27" si="14">MAX((L24-S24),0)</f>
        <v>0</v>
      </c>
      <c r="S24" s="841">
        <f>MAX(L24-M24,0)</f>
        <v>0</v>
      </c>
      <c r="T24" s="825">
        <f>SUMIFS('בית ספר - תקצוב לפי מוסד (9)'!X:X,'בית ספר - תקצוב לפי מוסד (9)'!T:T,בקרה!D24,'בית ספר - תקצוב לפי מוסד (9)'!S:S,בקרה!K24)</f>
        <v>0</v>
      </c>
      <c r="U24" s="806" t="str">
        <f t="shared" ref="U24:U25" si="15">IF(L24&gt;0,IF(T24&lt;0,"קיזוז","תקין"),"")</f>
        <v/>
      </c>
      <c r="V24" s="831"/>
      <c r="W24" s="831"/>
      <c r="X24" s="831"/>
      <c r="AB24" s="805" t="s">
        <v>2883</v>
      </c>
    </row>
    <row r="25" spans="1:28" s="805" customFormat="1" x14ac:dyDescent="0.25">
      <c r="A25" s="836">
        <v>5</v>
      </c>
      <c r="B25" s="837" t="str">
        <f>IF(D25&gt;0,'נתונים כלליים (1)'!$C$5,"")</f>
        <v/>
      </c>
      <c r="C25" s="838" t="str">
        <f>IFERROR(VLOOKUP(B25,'רשימת רשויות'!A:C,3,0),"")</f>
        <v/>
      </c>
      <c r="D25" s="839">
        <f>VLOOKUP(A25,'דוח ביצוע (3)'!A:G,2,0)</f>
        <v>0</v>
      </c>
      <c r="E25" s="840" t="str">
        <f>IFERROR(VLOOKUP(D25,'נתוני רישום ומצבת'!B:D,3,0),"")</f>
        <v/>
      </c>
      <c r="F25" s="840" t="str">
        <f>IF(D25&gt;0,SUMIFS('בית ספר - תקצוב לפי מוסד (9)'!N:N,'בית ספר - תקצוב לפי מוסד (9)'!B:B,בקרה!D25,'בית ספר - תקצוב לפי מוסד (9)'!M:M,'בית ספר - תקצוב לפי מוסד (9)'!$M$22)+SUMIFS('בית ספר - תקצוב לפי מוסד (9)'!O:O,'בית ספר - תקצוב לפי מוסד (9)'!B:B,בקרה!D25,'בית ספר - תקצוב לפי מוסד (9)'!M:M,'בית ספר - תקצוב לפי מוסד (9)'!$M$22),"")</f>
        <v/>
      </c>
      <c r="G25" s="840">
        <v>2</v>
      </c>
      <c r="H25" s="840"/>
      <c r="I25" s="874">
        <f t="shared" si="0"/>
        <v>0</v>
      </c>
      <c r="J25" s="840"/>
      <c r="K25" s="836" t="s">
        <v>93</v>
      </c>
      <c r="L25" s="825">
        <f>SUMIFS('בית ספר - תקצוב לפי מוסד (9)'!$U:$U,'בית ספר - תקצוב לפי מוסד (9)'!$T:$T,בקרה!D25,'בית ספר - תקצוב לפי מוסד (9)'!$S:$S,K25)</f>
        <v>0</v>
      </c>
      <c r="M25" s="1013">
        <f t="shared" si="1"/>
        <v>0</v>
      </c>
      <c r="N25" s="868" t="s">
        <v>2863</v>
      </c>
      <c r="O25" s="868" t="s">
        <v>2863</v>
      </c>
      <c r="P25" s="868" t="s">
        <v>2863</v>
      </c>
      <c r="Q25" s="868" t="s">
        <v>2863</v>
      </c>
      <c r="R25" s="841">
        <f t="shared" si="14"/>
        <v>0</v>
      </c>
      <c r="S25" s="841">
        <f t="shared" ref="S25:S27" si="16">MAX(L25-M25,0)</f>
        <v>0</v>
      </c>
      <c r="T25" s="825">
        <f>SUMIFS('בית ספר - תקצוב לפי מוסד (9)'!X:X,'בית ספר - תקצוב לפי מוסד (9)'!T:T,בקרה!D25,'בית ספר - תקצוב לפי מוסד (9)'!S:S,בקרה!K25)</f>
        <v>0</v>
      </c>
      <c r="U25" s="806" t="str">
        <f t="shared" si="15"/>
        <v/>
      </c>
      <c r="V25" s="840"/>
      <c r="W25" s="840"/>
      <c r="X25" s="840"/>
      <c r="AB25" s="805" t="s">
        <v>2884</v>
      </c>
    </row>
    <row r="26" spans="1:28" s="805" customFormat="1" x14ac:dyDescent="0.25">
      <c r="A26" s="809">
        <v>5</v>
      </c>
      <c r="B26" s="810" t="str">
        <f>IF(D26&gt;0,'נתונים כלליים (1)'!$C$5,"")</f>
        <v/>
      </c>
      <c r="C26" s="811" t="str">
        <f>IFERROR(VLOOKUP(B26,'רשימת רשויות'!A:C,3,0),"")</f>
        <v/>
      </c>
      <c r="D26" s="812">
        <f>VLOOKUP(A26,'דוח ביצוע (3)'!A:G,2,0)</f>
        <v>0</v>
      </c>
      <c r="E26" s="813" t="str">
        <f>IFERROR(VLOOKUP(D26,'נתוני רישום ומצבת'!B:D,3,0),"")</f>
        <v/>
      </c>
      <c r="F26" s="813" t="str">
        <f>IF(D26&gt;0,SUMIFS('בית ספר - תקצוב לפי מוסד (9)'!N:N,'בית ספר - תקצוב לפי מוסד (9)'!B:B,בקרה!D26,'בית ספר - תקצוב לפי מוסד (9)'!M:M,'בית ספר - תקצוב לפי מוסד (9)'!$M$22)+SUMIFS('בית ספר - תקצוב לפי מוסד (9)'!O:O,'בית ספר - תקצוב לפי מוסד (9)'!B:B,בקרה!D26,'בית ספר - תקצוב לפי מוסד (9)'!M:M,'בית ספר - תקצוב לפי מוסד (9)'!$M$22),"")</f>
        <v/>
      </c>
      <c r="G26" s="813">
        <v>2</v>
      </c>
      <c r="H26" s="813"/>
      <c r="I26" s="875">
        <f t="shared" si="0"/>
        <v>0</v>
      </c>
      <c r="J26" s="813"/>
      <c r="K26" s="809" t="s">
        <v>2815</v>
      </c>
      <c r="L26" s="825">
        <f>SUMIFS('בית ספר - תקצוב לפי מוסד (9)'!$U:$U,'בית ספר - תקצוב לפי מוסד (9)'!$T:$T,בקרה!D26,'בית ספר - תקצוב לפי מוסד (9)'!$S:$S,"מלגות להורים")</f>
        <v>0</v>
      </c>
      <c r="M26" s="1014">
        <f t="shared" si="1"/>
        <v>0</v>
      </c>
      <c r="N26" s="868" t="s">
        <v>2863</v>
      </c>
      <c r="O26" s="868" t="s">
        <v>2863</v>
      </c>
      <c r="P26" s="868" t="s">
        <v>2863</v>
      </c>
      <c r="Q26" s="813"/>
      <c r="R26" s="841">
        <f t="shared" si="14"/>
        <v>0</v>
      </c>
      <c r="S26" s="841">
        <f t="shared" si="16"/>
        <v>0</v>
      </c>
      <c r="T26" s="825">
        <f>SUMIFS('בית ספר - תקצוב לפי מוסד (9)'!X:X,'בית ספר - תקצוב לפי מוסד (9)'!T:T,בקרה!D26,'בית ספר - תקצוב לפי מוסד (9)'!S:S,בקרה!K26)</f>
        <v>0</v>
      </c>
      <c r="U26" s="806">
        <f>Q26</f>
        <v>0</v>
      </c>
      <c r="V26" s="813"/>
      <c r="W26" s="813"/>
      <c r="X26" s="813"/>
      <c r="AB26" s="805" t="s">
        <v>2885</v>
      </c>
    </row>
    <row r="27" spans="1:28" s="805" customFormat="1" x14ac:dyDescent="0.25">
      <c r="A27" s="814">
        <v>5</v>
      </c>
      <c r="B27" s="815" t="str">
        <f>IF(D27&gt;0,'נתונים כלליים (1)'!$C$5,"")</f>
        <v/>
      </c>
      <c r="C27" s="816" t="str">
        <f>IFERROR(VLOOKUP(B27,'רשימת רשויות'!A:C,3,0),"")</f>
        <v/>
      </c>
      <c r="D27" s="817">
        <f>VLOOKUP(A27,'דוח ביצוע (3)'!A:G,2,0)</f>
        <v>0</v>
      </c>
      <c r="E27" s="818" t="str">
        <f>IFERROR(VLOOKUP(D27,'נתוני רישום ומצבת'!B:D,3,0),"")</f>
        <v/>
      </c>
      <c r="F27" s="818" t="str">
        <f>IF(D27&gt;0,SUMIFS('בית ספר - תקצוב לפי מוסד (9)'!N:N,'בית ספר - תקצוב לפי מוסד (9)'!B:B,בקרה!D27,'בית ספר - תקצוב לפי מוסד (9)'!M:M,'בית ספר - תקצוב לפי מוסד (9)'!$M$22)+SUMIFS('בית ספר - תקצוב לפי מוסד (9)'!O:O,'בית ספר - תקצוב לפי מוסד (9)'!B:B,בקרה!D27,'בית ספר - תקצוב לפי מוסד (9)'!M:M,'בית ספר - תקצוב לפי מוסד (9)'!$M$22),"")</f>
        <v/>
      </c>
      <c r="G27" s="818">
        <v>2</v>
      </c>
      <c r="H27" s="818"/>
      <c r="I27" s="876">
        <f t="shared" si="0"/>
        <v>0</v>
      </c>
      <c r="J27" s="818"/>
      <c r="K27" s="814" t="s">
        <v>2344</v>
      </c>
      <c r="L27" s="825">
        <f>IFERROR(VLOOKUP(D27,'תשלומי הורים ומלגות להורים (5) '!B:C,2,0),0)</f>
        <v>0</v>
      </c>
      <c r="M27" s="1015">
        <f t="shared" si="1"/>
        <v>0</v>
      </c>
      <c r="N27" s="868" t="s">
        <v>2863</v>
      </c>
      <c r="O27" s="868" t="s">
        <v>2863</v>
      </c>
      <c r="P27" s="868" t="s">
        <v>2863</v>
      </c>
      <c r="Q27" s="818" t="s">
        <v>2876</v>
      </c>
      <c r="R27" s="841">
        <f t="shared" si="14"/>
        <v>0</v>
      </c>
      <c r="S27" s="841">
        <f t="shared" si="16"/>
        <v>0</v>
      </c>
      <c r="T27" s="869"/>
      <c r="U27" s="806" t="str">
        <f>Q27</f>
        <v>תקין</v>
      </c>
      <c r="V27" s="818"/>
      <c r="W27" s="818"/>
      <c r="X27" s="818"/>
    </row>
    <row r="28" spans="1:28" s="805" customFormat="1" ht="14.25" customHeight="1" x14ac:dyDescent="0.25">
      <c r="A28" s="819">
        <v>6</v>
      </c>
      <c r="B28" s="820" t="str">
        <f>IF(D28&gt;0,'נתונים כלליים (1)'!$C$5,"")</f>
        <v/>
      </c>
      <c r="C28" s="821" t="str">
        <f>IFERROR(VLOOKUP(B28,'רשימת רשויות'!A:C,3,0),"")</f>
        <v/>
      </c>
      <c r="D28" s="822">
        <f>VLOOKUP(A28,'דוח ביצוע (3)'!A:G,2,0)</f>
        <v>0</v>
      </c>
      <c r="E28" s="823" t="str">
        <f>IFERROR(VLOOKUP(D28,'נתוני רישום ומצבת'!B:D,3,0),"")</f>
        <v/>
      </c>
      <c r="F28" s="823" t="str">
        <f>IF(D28&gt;0,SUMIFS('בית ספר - תקצוב לפי מוסד (9)'!N:N,'בית ספר - תקצוב לפי מוסד (9)'!B:B,בקרה!D28,'בית ספר - תקצוב לפי מוסד (9)'!M:M,'בית ספר - תקצוב לפי מוסד (9)'!$M$22)+SUMIFS('בית ספר - תקצוב לפי מוסד (9)'!O:O,'בית ספר - תקצוב לפי מוסד (9)'!B:B,בקרה!D28,'בית ספר - תקצוב לפי מוסד (9)'!M:M,'בית ספר - תקצוב לפי מוסד (9)'!$M$22),"")</f>
        <v/>
      </c>
      <c r="G28" s="823">
        <v>2</v>
      </c>
      <c r="H28" s="823"/>
      <c r="I28" s="872">
        <f t="shared" si="0"/>
        <v>0</v>
      </c>
      <c r="J28" s="823"/>
      <c r="K28" s="819" t="s">
        <v>2342</v>
      </c>
      <c r="L28" s="825">
        <f>SUMIFS('בית ספר - תקצוב לפי מוסד (9)'!$U:$U,'בית ספר - תקצוב לפי מוסד (9)'!$T:$T,בקרה!D28,'בית ספר - תקצוב לפי מוסד (9)'!$S:$S,K28)</f>
        <v>0</v>
      </c>
      <c r="M28" s="1011">
        <f t="shared" si="1"/>
        <v>0</v>
      </c>
      <c r="N28" s="823"/>
      <c r="O28" s="823"/>
      <c r="P28" s="823"/>
      <c r="Q28" s="868" t="s">
        <v>2863</v>
      </c>
      <c r="R28" s="841">
        <f>MAX((L28-S28),0)</f>
        <v>0</v>
      </c>
      <c r="S28" s="841">
        <f>MAX(L28-MIN(M28,N28,O28,P28),0)</f>
        <v>0</v>
      </c>
      <c r="T28" s="825">
        <f>SUMIFS('בית ספר - תקצוב לפי מוסד (9)'!X:X,'בית ספר - תקצוב לפי מוסד (9)'!T:T,בקרה!D28,'בית ספר - תקצוב לפי מוסד (9)'!S:S,בקרה!K28)</f>
        <v>0</v>
      </c>
      <c r="U28" s="806" t="str">
        <f>IF(L28&gt;0,IF(T28&lt;0,"קיזוז","תקין"),"")</f>
        <v/>
      </c>
      <c r="V28" s="823"/>
      <c r="W28" s="823"/>
      <c r="X28" s="823"/>
    </row>
    <row r="29" spans="1:28" s="805" customFormat="1" x14ac:dyDescent="0.25">
      <c r="A29" s="832">
        <v>6</v>
      </c>
      <c r="B29" s="833" t="str">
        <f>IF(D29&gt;0,'נתונים כלליים (1)'!$C$5,"")</f>
        <v/>
      </c>
      <c r="C29" s="834" t="str">
        <f>IFERROR(VLOOKUP(B29,'רשימת רשויות'!A:C,3,0),"")</f>
        <v/>
      </c>
      <c r="D29" s="835">
        <f>VLOOKUP(A29,'דוח ביצוע (3)'!A:G,2,0)</f>
        <v>0</v>
      </c>
      <c r="E29" s="831" t="str">
        <f>IFERROR(VLOOKUP(D29,'נתוני רישום ומצבת'!B:D,3,0),"")</f>
        <v/>
      </c>
      <c r="F29" s="831" t="str">
        <f>IF(D29&gt;0,SUMIFS('בית ספר - תקצוב לפי מוסד (9)'!N:N,'בית ספר - תקצוב לפי מוסד (9)'!B:B,בקרה!D29,'בית ספר - תקצוב לפי מוסד (9)'!M:M,'בית ספר - תקצוב לפי מוסד (9)'!$M$22)+SUMIFS('בית ספר - תקצוב לפי מוסד (9)'!O:O,'בית ספר - תקצוב לפי מוסד (9)'!B:B,בקרה!D29,'בית ספר - תקצוב לפי מוסד (9)'!M:M,'בית ספר - תקצוב לפי מוסד (9)'!$M$22),"")</f>
        <v/>
      </c>
      <c r="G29" s="831">
        <v>2</v>
      </c>
      <c r="H29" s="831"/>
      <c r="I29" s="873">
        <f t="shared" si="0"/>
        <v>0</v>
      </c>
      <c r="J29" s="831"/>
      <c r="K29" s="832" t="s">
        <v>0</v>
      </c>
      <c r="L29" s="825">
        <f>SUMIFS('בית ספר - תקצוב לפי מוסד (9)'!$U:$U,'בית ספר - תקצוב לפי מוסד (9)'!$T:$T,בקרה!D29,'בית ספר - תקצוב לפי מוסד (9)'!$S:$S,K29)</f>
        <v>0</v>
      </c>
      <c r="M29" s="1012">
        <f t="shared" si="1"/>
        <v>0</v>
      </c>
      <c r="N29" s="868" t="s">
        <v>2863</v>
      </c>
      <c r="O29" s="868" t="s">
        <v>2863</v>
      </c>
      <c r="P29" s="868" t="s">
        <v>2863</v>
      </c>
      <c r="Q29" s="868" t="s">
        <v>2863</v>
      </c>
      <c r="R29" s="841">
        <f t="shared" ref="R29:R32" si="17">MAX((L29-S29),0)</f>
        <v>0</v>
      </c>
      <c r="S29" s="841">
        <f>MAX(L29-M29,0)</f>
        <v>0</v>
      </c>
      <c r="T29" s="825">
        <f>SUMIFS('בית ספר - תקצוב לפי מוסד (9)'!X:X,'בית ספר - תקצוב לפי מוסד (9)'!T:T,בקרה!D29,'בית ספר - תקצוב לפי מוסד (9)'!S:S,בקרה!K29)</f>
        <v>0</v>
      </c>
      <c r="U29" s="806" t="str">
        <f t="shared" ref="U29:U30" si="18">IF(L29&gt;0,IF(T29&lt;0,"קיזוז","תקין"),"")</f>
        <v/>
      </c>
      <c r="V29" s="831"/>
      <c r="W29" s="831"/>
      <c r="X29" s="831"/>
    </row>
    <row r="30" spans="1:28" s="805" customFormat="1" x14ac:dyDescent="0.25">
      <c r="A30" s="836">
        <v>6</v>
      </c>
      <c r="B30" s="837" t="str">
        <f>IF(D30&gt;0,'נתונים כלליים (1)'!$C$5,"")</f>
        <v/>
      </c>
      <c r="C30" s="838" t="str">
        <f>IFERROR(VLOOKUP(B30,'רשימת רשויות'!A:C,3,0),"")</f>
        <v/>
      </c>
      <c r="D30" s="839">
        <f>VLOOKUP(A30,'דוח ביצוע (3)'!A:G,2,0)</f>
        <v>0</v>
      </c>
      <c r="E30" s="840" t="str">
        <f>IFERROR(VLOOKUP(D30,'נתוני רישום ומצבת'!B:D,3,0),"")</f>
        <v/>
      </c>
      <c r="F30" s="840" t="str">
        <f>IF(D30&gt;0,SUMIFS('בית ספר - תקצוב לפי מוסד (9)'!N:N,'בית ספר - תקצוב לפי מוסד (9)'!B:B,בקרה!D30,'בית ספר - תקצוב לפי מוסד (9)'!M:M,'בית ספר - תקצוב לפי מוסד (9)'!$M$22)+SUMIFS('בית ספר - תקצוב לפי מוסד (9)'!O:O,'בית ספר - תקצוב לפי מוסד (9)'!B:B,בקרה!D30,'בית ספר - תקצוב לפי מוסד (9)'!M:M,'בית ספר - תקצוב לפי מוסד (9)'!$M$22),"")</f>
        <v/>
      </c>
      <c r="G30" s="840">
        <v>2</v>
      </c>
      <c r="H30" s="840"/>
      <c r="I30" s="874">
        <f t="shared" si="0"/>
        <v>0</v>
      </c>
      <c r="J30" s="840"/>
      <c r="K30" s="836" t="s">
        <v>93</v>
      </c>
      <c r="L30" s="825">
        <f>SUMIFS('בית ספר - תקצוב לפי מוסד (9)'!$U:$U,'בית ספר - תקצוב לפי מוסד (9)'!$T:$T,בקרה!D30,'בית ספר - תקצוב לפי מוסד (9)'!$S:$S,K30)</f>
        <v>0</v>
      </c>
      <c r="M30" s="1013">
        <f t="shared" si="1"/>
        <v>0</v>
      </c>
      <c r="N30" s="868" t="s">
        <v>2863</v>
      </c>
      <c r="O30" s="868" t="s">
        <v>2863</v>
      </c>
      <c r="P30" s="868" t="s">
        <v>2863</v>
      </c>
      <c r="Q30" s="868" t="s">
        <v>2863</v>
      </c>
      <c r="R30" s="841">
        <f t="shared" si="17"/>
        <v>0</v>
      </c>
      <c r="S30" s="841">
        <f t="shared" ref="S30:S32" si="19">MAX(L30-M30,0)</f>
        <v>0</v>
      </c>
      <c r="T30" s="825">
        <f>SUMIFS('בית ספר - תקצוב לפי מוסד (9)'!X:X,'בית ספר - תקצוב לפי מוסד (9)'!T:T,בקרה!D30,'בית ספר - תקצוב לפי מוסד (9)'!S:S,בקרה!K30)</f>
        <v>0</v>
      </c>
      <c r="U30" s="806" t="str">
        <f t="shared" si="18"/>
        <v/>
      </c>
      <c r="V30" s="840"/>
      <c r="W30" s="840"/>
      <c r="X30" s="840"/>
    </row>
    <row r="31" spans="1:28" s="805" customFormat="1" x14ac:dyDescent="0.25">
      <c r="A31" s="809">
        <v>6</v>
      </c>
      <c r="B31" s="810" t="str">
        <f>IF(D31&gt;0,'נתונים כלליים (1)'!$C$5,"")</f>
        <v/>
      </c>
      <c r="C31" s="811" t="str">
        <f>IFERROR(VLOOKUP(B31,'רשימת רשויות'!A:C,3,0),"")</f>
        <v/>
      </c>
      <c r="D31" s="812">
        <f>VLOOKUP(A31,'דוח ביצוע (3)'!A:G,2,0)</f>
        <v>0</v>
      </c>
      <c r="E31" s="813" t="str">
        <f>IFERROR(VLOOKUP(D31,'נתוני רישום ומצבת'!B:D,3,0),"")</f>
        <v/>
      </c>
      <c r="F31" s="813" t="str">
        <f>IF(D31&gt;0,SUMIFS('בית ספר - תקצוב לפי מוסד (9)'!N:N,'בית ספר - תקצוב לפי מוסד (9)'!B:B,בקרה!D31,'בית ספר - תקצוב לפי מוסד (9)'!M:M,'בית ספר - תקצוב לפי מוסד (9)'!$M$22)+SUMIFS('בית ספר - תקצוב לפי מוסד (9)'!O:O,'בית ספר - תקצוב לפי מוסד (9)'!B:B,בקרה!D31,'בית ספר - תקצוב לפי מוסד (9)'!M:M,'בית ספר - תקצוב לפי מוסד (9)'!$M$22),"")</f>
        <v/>
      </c>
      <c r="G31" s="813">
        <v>2</v>
      </c>
      <c r="H31" s="813"/>
      <c r="I31" s="875">
        <f t="shared" si="0"/>
        <v>0</v>
      </c>
      <c r="J31" s="813"/>
      <c r="K31" s="809" t="s">
        <v>2815</v>
      </c>
      <c r="L31" s="825">
        <f>SUMIFS('בית ספר - תקצוב לפי מוסד (9)'!$U:$U,'בית ספר - תקצוב לפי מוסד (9)'!$T:$T,בקרה!D31,'בית ספר - תקצוב לפי מוסד (9)'!$S:$S,"מלגות להורים")</f>
        <v>0</v>
      </c>
      <c r="M31" s="1014">
        <f t="shared" si="1"/>
        <v>0</v>
      </c>
      <c r="N31" s="868" t="s">
        <v>2863</v>
      </c>
      <c r="O31" s="868" t="s">
        <v>2863</v>
      </c>
      <c r="P31" s="868" t="s">
        <v>2863</v>
      </c>
      <c r="Q31" s="813"/>
      <c r="R31" s="841">
        <f t="shared" si="17"/>
        <v>0</v>
      </c>
      <c r="S31" s="841">
        <f t="shared" si="19"/>
        <v>0</v>
      </c>
      <c r="T31" s="825">
        <f>SUMIFS('בית ספר - תקצוב לפי מוסד (9)'!X:X,'בית ספר - תקצוב לפי מוסד (9)'!T:T,בקרה!D31,'בית ספר - תקצוב לפי מוסד (9)'!S:S,בקרה!K31)</f>
        <v>0</v>
      </c>
      <c r="U31" s="806">
        <f>Q31</f>
        <v>0</v>
      </c>
      <c r="V31" s="813"/>
      <c r="W31" s="813"/>
      <c r="X31" s="813"/>
    </row>
    <row r="32" spans="1:28" s="805" customFormat="1" x14ac:dyDescent="0.25">
      <c r="A32" s="814">
        <v>6</v>
      </c>
      <c r="B32" s="815" t="str">
        <f>IF(D32&gt;0,'נתונים כלליים (1)'!$C$5,"")</f>
        <v/>
      </c>
      <c r="C32" s="816" t="str">
        <f>IFERROR(VLOOKUP(B32,'רשימת רשויות'!A:C,3,0),"")</f>
        <v/>
      </c>
      <c r="D32" s="817">
        <f>VLOOKUP(A32,'דוח ביצוע (3)'!A:G,2,0)</f>
        <v>0</v>
      </c>
      <c r="E32" s="818" t="str">
        <f>IFERROR(VLOOKUP(D32,'נתוני רישום ומצבת'!B:D,3,0),"")</f>
        <v/>
      </c>
      <c r="F32" s="818" t="str">
        <f>IF(D32&gt;0,SUMIFS('בית ספר - תקצוב לפי מוסד (9)'!N:N,'בית ספר - תקצוב לפי מוסד (9)'!B:B,בקרה!D32,'בית ספר - תקצוב לפי מוסד (9)'!M:M,'בית ספר - תקצוב לפי מוסד (9)'!$M$22)+SUMIFS('בית ספר - תקצוב לפי מוסד (9)'!O:O,'בית ספר - תקצוב לפי מוסד (9)'!B:B,בקרה!D32,'בית ספר - תקצוב לפי מוסד (9)'!M:M,'בית ספר - תקצוב לפי מוסד (9)'!$M$22),"")</f>
        <v/>
      </c>
      <c r="G32" s="818">
        <v>2</v>
      </c>
      <c r="H32" s="818"/>
      <c r="I32" s="876">
        <f t="shared" si="0"/>
        <v>0</v>
      </c>
      <c r="J32" s="818"/>
      <c r="K32" s="814" t="s">
        <v>2344</v>
      </c>
      <c r="L32" s="825">
        <f>IFERROR(VLOOKUP(D32,'תשלומי הורים ומלגות להורים (5) '!B:C,2,0),0)</f>
        <v>0</v>
      </c>
      <c r="M32" s="1015">
        <f t="shared" si="1"/>
        <v>0</v>
      </c>
      <c r="N32" s="868" t="s">
        <v>2863</v>
      </c>
      <c r="O32" s="868" t="s">
        <v>2863</v>
      </c>
      <c r="P32" s="868" t="s">
        <v>2863</v>
      </c>
      <c r="Q32" s="818" t="s">
        <v>2876</v>
      </c>
      <c r="R32" s="841">
        <f t="shared" si="17"/>
        <v>0</v>
      </c>
      <c r="S32" s="841">
        <f t="shared" si="19"/>
        <v>0</v>
      </c>
      <c r="T32" s="869"/>
      <c r="U32" s="806" t="str">
        <f>Q32</f>
        <v>תקין</v>
      </c>
      <c r="V32" s="818"/>
      <c r="W32" s="818"/>
      <c r="X32" s="818"/>
    </row>
    <row r="33" spans="1:24" s="805" customFormat="1" ht="14.25" customHeight="1" x14ac:dyDescent="0.25">
      <c r="A33" s="819">
        <v>7</v>
      </c>
      <c r="B33" s="820" t="str">
        <f>IF(D33&gt;0,'נתונים כלליים (1)'!$C$5,"")</f>
        <v/>
      </c>
      <c r="C33" s="821" t="str">
        <f>IFERROR(VLOOKUP(B33,'רשימת רשויות'!A:C,3,0),"")</f>
        <v/>
      </c>
      <c r="D33" s="822">
        <f>VLOOKUP(A33,'דוח ביצוע (3)'!A:G,2,0)</f>
        <v>0</v>
      </c>
      <c r="E33" s="823" t="str">
        <f>IFERROR(VLOOKUP(D33,'נתוני רישום ומצבת'!B:D,3,0),"")</f>
        <v/>
      </c>
      <c r="F33" s="823" t="str">
        <f>IF(D33&gt;0,SUMIFS('בית ספר - תקצוב לפי מוסד (9)'!N:N,'בית ספר - תקצוב לפי מוסד (9)'!B:B,בקרה!D33,'בית ספר - תקצוב לפי מוסד (9)'!M:M,'בית ספר - תקצוב לפי מוסד (9)'!$M$22)+SUMIFS('בית ספר - תקצוב לפי מוסד (9)'!O:O,'בית ספר - תקצוב לפי מוסד (9)'!B:B,בקרה!D33,'בית ספר - תקצוב לפי מוסד (9)'!M:M,'בית ספר - תקצוב לפי מוסד (9)'!$M$22),"")</f>
        <v/>
      </c>
      <c r="G33" s="823">
        <v>2</v>
      </c>
      <c r="H33" s="823"/>
      <c r="I33" s="872">
        <f t="shared" si="0"/>
        <v>0</v>
      </c>
      <c r="J33" s="823"/>
      <c r="K33" s="819" t="s">
        <v>2342</v>
      </c>
      <c r="L33" s="825">
        <f>SUMIFS('בית ספר - תקצוב לפי מוסד (9)'!$U:$U,'בית ספר - תקצוב לפי מוסד (9)'!$T:$T,בקרה!D33,'בית ספר - תקצוב לפי מוסד (9)'!$S:$S,K33)</f>
        <v>0</v>
      </c>
      <c r="M33" s="1011">
        <f t="shared" si="1"/>
        <v>0</v>
      </c>
      <c r="N33" s="823"/>
      <c r="O33" s="823"/>
      <c r="P33" s="823"/>
      <c r="Q33" s="868" t="s">
        <v>2863</v>
      </c>
      <c r="R33" s="841">
        <f>MAX((L33-S33),0)</f>
        <v>0</v>
      </c>
      <c r="S33" s="841">
        <f>MAX(L33-MIN(M33,N33,O33,P33),0)</f>
        <v>0</v>
      </c>
      <c r="T33" s="825">
        <f>SUMIFS('בית ספר - תקצוב לפי מוסד (9)'!X:X,'בית ספר - תקצוב לפי מוסד (9)'!T:T,בקרה!D33,'בית ספר - תקצוב לפי מוסד (9)'!S:S,בקרה!K33)</f>
        <v>0</v>
      </c>
      <c r="U33" s="806" t="str">
        <f>IF(L33&gt;0,IF(T33&lt;0,"קיזוז","תקין"),"")</f>
        <v/>
      </c>
      <c r="V33" s="823"/>
      <c r="W33" s="823"/>
      <c r="X33" s="823"/>
    </row>
    <row r="34" spans="1:24" s="805" customFormat="1" x14ac:dyDescent="0.25">
      <c r="A34" s="832">
        <v>7</v>
      </c>
      <c r="B34" s="833" t="str">
        <f>IF(D34&gt;0,'נתונים כלליים (1)'!$C$5,"")</f>
        <v/>
      </c>
      <c r="C34" s="834" t="str">
        <f>IFERROR(VLOOKUP(B34,'רשימת רשויות'!A:C,3,0),"")</f>
        <v/>
      </c>
      <c r="D34" s="835">
        <f>VLOOKUP(A34,'דוח ביצוע (3)'!A:G,2,0)</f>
        <v>0</v>
      </c>
      <c r="E34" s="831" t="str">
        <f>IFERROR(VLOOKUP(D34,'נתוני רישום ומצבת'!B:D,3,0),"")</f>
        <v/>
      </c>
      <c r="F34" s="831" t="str">
        <f>IF(D34&gt;0,SUMIFS('בית ספר - תקצוב לפי מוסד (9)'!N:N,'בית ספר - תקצוב לפי מוסד (9)'!B:B,בקרה!D34,'בית ספר - תקצוב לפי מוסד (9)'!M:M,'בית ספר - תקצוב לפי מוסד (9)'!$M$22)+SUMIFS('בית ספר - תקצוב לפי מוסד (9)'!O:O,'בית ספר - תקצוב לפי מוסד (9)'!B:B,בקרה!D34,'בית ספר - תקצוב לפי מוסד (9)'!M:M,'בית ספר - תקצוב לפי מוסד (9)'!$M$22),"")</f>
        <v/>
      </c>
      <c r="G34" s="831">
        <v>2</v>
      </c>
      <c r="H34" s="831"/>
      <c r="I34" s="873">
        <f t="shared" si="0"/>
        <v>0</v>
      </c>
      <c r="J34" s="831"/>
      <c r="K34" s="832" t="s">
        <v>0</v>
      </c>
      <c r="L34" s="825">
        <f>SUMIFS('בית ספר - תקצוב לפי מוסד (9)'!$U:$U,'בית ספר - תקצוב לפי מוסד (9)'!$T:$T,בקרה!D34,'בית ספר - תקצוב לפי מוסד (9)'!$S:$S,K34)</f>
        <v>0</v>
      </c>
      <c r="M34" s="1012">
        <f t="shared" si="1"/>
        <v>0</v>
      </c>
      <c r="N34" s="868" t="s">
        <v>2863</v>
      </c>
      <c r="O34" s="868" t="s">
        <v>2863</v>
      </c>
      <c r="P34" s="868" t="s">
        <v>2863</v>
      </c>
      <c r="Q34" s="868" t="s">
        <v>2863</v>
      </c>
      <c r="R34" s="841">
        <f t="shared" ref="R34:R37" si="20">MAX((L34-S34),0)</f>
        <v>0</v>
      </c>
      <c r="S34" s="841">
        <f>MAX(L34-M34,0)</f>
        <v>0</v>
      </c>
      <c r="T34" s="825">
        <f>SUMIFS('בית ספר - תקצוב לפי מוסד (9)'!X:X,'בית ספר - תקצוב לפי מוסד (9)'!T:T,בקרה!D34,'בית ספר - תקצוב לפי מוסד (9)'!S:S,בקרה!K34)</f>
        <v>0</v>
      </c>
      <c r="U34" s="806" t="str">
        <f t="shared" ref="U34:U35" si="21">IF(L34&gt;0,IF(T34&lt;0,"קיזוז","תקין"),"")</f>
        <v/>
      </c>
      <c r="V34" s="831"/>
      <c r="W34" s="831"/>
      <c r="X34" s="831"/>
    </row>
    <row r="35" spans="1:24" s="805" customFormat="1" x14ac:dyDescent="0.25">
      <c r="A35" s="836">
        <v>7</v>
      </c>
      <c r="B35" s="837" t="str">
        <f>IF(D35&gt;0,'נתונים כלליים (1)'!$C$5,"")</f>
        <v/>
      </c>
      <c r="C35" s="838" t="str">
        <f>IFERROR(VLOOKUP(B35,'רשימת רשויות'!A:C,3,0),"")</f>
        <v/>
      </c>
      <c r="D35" s="839">
        <f>VLOOKUP(A35,'דוח ביצוע (3)'!A:G,2,0)</f>
        <v>0</v>
      </c>
      <c r="E35" s="840" t="str">
        <f>IFERROR(VLOOKUP(D35,'נתוני רישום ומצבת'!B:D,3,0),"")</f>
        <v/>
      </c>
      <c r="F35" s="840" t="str">
        <f>IF(D35&gt;0,SUMIFS('בית ספר - תקצוב לפי מוסד (9)'!N:N,'בית ספר - תקצוב לפי מוסד (9)'!B:B,בקרה!D35,'בית ספר - תקצוב לפי מוסד (9)'!M:M,'בית ספר - תקצוב לפי מוסד (9)'!$M$22)+SUMIFS('בית ספר - תקצוב לפי מוסד (9)'!O:O,'בית ספר - תקצוב לפי מוסד (9)'!B:B,בקרה!D35,'בית ספר - תקצוב לפי מוסד (9)'!M:M,'בית ספר - תקצוב לפי מוסד (9)'!$M$22),"")</f>
        <v/>
      </c>
      <c r="G35" s="840">
        <v>2</v>
      </c>
      <c r="H35" s="840"/>
      <c r="I35" s="874">
        <f t="shared" ref="I35:I66" si="22">G35-(COUNTIF(H:H,"כן")/5)</f>
        <v>0</v>
      </c>
      <c r="J35" s="840"/>
      <c r="K35" s="836" t="s">
        <v>93</v>
      </c>
      <c r="L35" s="825">
        <f>SUMIFS('בית ספר - תקצוב לפי מוסד (9)'!$U:$U,'בית ספר - תקצוב לפי מוסד (9)'!$T:$T,בקרה!D35,'בית ספר - תקצוב לפי מוסד (9)'!$S:$S,K35)</f>
        <v>0</v>
      </c>
      <c r="M35" s="1013">
        <f t="shared" si="1"/>
        <v>0</v>
      </c>
      <c r="N35" s="868" t="s">
        <v>2863</v>
      </c>
      <c r="O35" s="868" t="s">
        <v>2863</v>
      </c>
      <c r="P35" s="868" t="s">
        <v>2863</v>
      </c>
      <c r="Q35" s="868" t="s">
        <v>2863</v>
      </c>
      <c r="R35" s="841">
        <f t="shared" si="20"/>
        <v>0</v>
      </c>
      <c r="S35" s="841">
        <f t="shared" ref="S35:S37" si="23">MAX(L35-M35,0)</f>
        <v>0</v>
      </c>
      <c r="T35" s="825">
        <f>SUMIFS('בית ספר - תקצוב לפי מוסד (9)'!X:X,'בית ספר - תקצוב לפי מוסד (9)'!T:T,בקרה!D35,'בית ספר - תקצוב לפי מוסד (9)'!S:S,בקרה!K35)</f>
        <v>0</v>
      </c>
      <c r="U35" s="806" t="str">
        <f t="shared" si="21"/>
        <v/>
      </c>
      <c r="V35" s="840"/>
      <c r="W35" s="840"/>
      <c r="X35" s="840"/>
    </row>
    <row r="36" spans="1:24" s="805" customFormat="1" x14ac:dyDescent="0.25">
      <c r="A36" s="809">
        <v>7</v>
      </c>
      <c r="B36" s="810" t="str">
        <f>IF(D36&gt;0,'נתונים כלליים (1)'!$C$5,"")</f>
        <v/>
      </c>
      <c r="C36" s="811" t="str">
        <f>IFERROR(VLOOKUP(B36,'רשימת רשויות'!A:C,3,0),"")</f>
        <v/>
      </c>
      <c r="D36" s="812">
        <f>VLOOKUP(A36,'דוח ביצוע (3)'!A:G,2,0)</f>
        <v>0</v>
      </c>
      <c r="E36" s="813" t="str">
        <f>IFERROR(VLOOKUP(D36,'נתוני רישום ומצבת'!B:D,3,0),"")</f>
        <v/>
      </c>
      <c r="F36" s="813" t="str">
        <f>IF(D36&gt;0,SUMIFS('בית ספר - תקצוב לפי מוסד (9)'!N:N,'בית ספר - תקצוב לפי מוסד (9)'!B:B,בקרה!D36,'בית ספר - תקצוב לפי מוסד (9)'!M:M,'בית ספר - תקצוב לפי מוסד (9)'!$M$22)+SUMIFS('בית ספר - תקצוב לפי מוסד (9)'!O:O,'בית ספר - תקצוב לפי מוסד (9)'!B:B,בקרה!D36,'בית ספר - תקצוב לפי מוסד (9)'!M:M,'בית ספר - תקצוב לפי מוסד (9)'!$M$22),"")</f>
        <v/>
      </c>
      <c r="G36" s="813">
        <v>2</v>
      </c>
      <c r="H36" s="813"/>
      <c r="I36" s="875">
        <f t="shared" si="22"/>
        <v>0</v>
      </c>
      <c r="J36" s="813"/>
      <c r="K36" s="809" t="s">
        <v>2815</v>
      </c>
      <c r="L36" s="825">
        <f>SUMIFS('בית ספר - תקצוב לפי מוסד (9)'!$U:$U,'בית ספר - תקצוב לפי מוסד (9)'!$T:$T,בקרה!D36,'בית ספר - תקצוב לפי מוסד (9)'!$S:$S,"מלגות להורים")</f>
        <v>0</v>
      </c>
      <c r="M36" s="1014">
        <f t="shared" si="1"/>
        <v>0</v>
      </c>
      <c r="N36" s="868" t="s">
        <v>2863</v>
      </c>
      <c r="O36" s="868" t="s">
        <v>2863</v>
      </c>
      <c r="P36" s="868" t="s">
        <v>2863</v>
      </c>
      <c r="Q36" s="813"/>
      <c r="R36" s="841">
        <f t="shared" si="20"/>
        <v>0</v>
      </c>
      <c r="S36" s="841">
        <f t="shared" si="23"/>
        <v>0</v>
      </c>
      <c r="T36" s="825">
        <f>SUMIFS('בית ספר - תקצוב לפי מוסד (9)'!X:X,'בית ספר - תקצוב לפי מוסד (9)'!T:T,בקרה!D36,'בית ספר - תקצוב לפי מוסד (9)'!S:S,בקרה!K36)</f>
        <v>0</v>
      </c>
      <c r="U36" s="806">
        <f>Q36</f>
        <v>0</v>
      </c>
      <c r="V36" s="813"/>
      <c r="W36" s="813"/>
      <c r="X36" s="813"/>
    </row>
    <row r="37" spans="1:24" s="805" customFormat="1" x14ac:dyDescent="0.25">
      <c r="A37" s="814">
        <v>7</v>
      </c>
      <c r="B37" s="815" t="str">
        <f>IF(D37&gt;0,'נתונים כלליים (1)'!$C$5,"")</f>
        <v/>
      </c>
      <c r="C37" s="816" t="str">
        <f>IFERROR(VLOOKUP(B37,'רשימת רשויות'!A:C,3,0),"")</f>
        <v/>
      </c>
      <c r="D37" s="817">
        <f>VLOOKUP(A37,'דוח ביצוע (3)'!A:G,2,0)</f>
        <v>0</v>
      </c>
      <c r="E37" s="818" t="str">
        <f>IFERROR(VLOOKUP(D37,'נתוני רישום ומצבת'!B:D,3,0),"")</f>
        <v/>
      </c>
      <c r="F37" s="818" t="str">
        <f>IF(D37&gt;0,SUMIFS('בית ספר - תקצוב לפי מוסד (9)'!N:N,'בית ספר - תקצוב לפי מוסד (9)'!B:B,בקרה!D37,'בית ספר - תקצוב לפי מוסד (9)'!M:M,'בית ספר - תקצוב לפי מוסד (9)'!$M$22)+SUMIFS('בית ספר - תקצוב לפי מוסד (9)'!O:O,'בית ספר - תקצוב לפי מוסד (9)'!B:B,בקרה!D37,'בית ספר - תקצוב לפי מוסד (9)'!M:M,'בית ספר - תקצוב לפי מוסד (9)'!$M$22),"")</f>
        <v/>
      </c>
      <c r="G37" s="818">
        <v>2</v>
      </c>
      <c r="H37" s="818"/>
      <c r="I37" s="876">
        <f t="shared" si="22"/>
        <v>0</v>
      </c>
      <c r="J37" s="818"/>
      <c r="K37" s="814" t="s">
        <v>2344</v>
      </c>
      <c r="L37" s="825">
        <f>IFERROR(VLOOKUP(D37,'תשלומי הורים ומלגות להורים (5) '!B:C,2,0),0)</f>
        <v>0</v>
      </c>
      <c r="M37" s="1015">
        <f t="shared" si="1"/>
        <v>0</v>
      </c>
      <c r="N37" s="868" t="s">
        <v>2863</v>
      </c>
      <c r="O37" s="868" t="s">
        <v>2863</v>
      </c>
      <c r="P37" s="868" t="s">
        <v>2863</v>
      </c>
      <c r="Q37" s="818" t="s">
        <v>2876</v>
      </c>
      <c r="R37" s="841">
        <f t="shared" si="20"/>
        <v>0</v>
      </c>
      <c r="S37" s="841">
        <f t="shared" si="23"/>
        <v>0</v>
      </c>
      <c r="T37" s="869"/>
      <c r="U37" s="806" t="str">
        <f>Q37</f>
        <v>תקין</v>
      </c>
      <c r="V37" s="818"/>
      <c r="W37" s="818"/>
      <c r="X37" s="818"/>
    </row>
    <row r="38" spans="1:24" s="805" customFormat="1" ht="14.25" customHeight="1" x14ac:dyDescent="0.25">
      <c r="A38" s="819">
        <v>8</v>
      </c>
      <c r="B38" s="820" t="str">
        <f>IF(D38&gt;0,'נתונים כלליים (1)'!$C$5,"")</f>
        <v/>
      </c>
      <c r="C38" s="821" t="str">
        <f>IFERROR(VLOOKUP(B38,'רשימת רשויות'!A:C,3,0),"")</f>
        <v/>
      </c>
      <c r="D38" s="822">
        <f>VLOOKUP(A38,'דוח ביצוע (3)'!A:G,2,0)</f>
        <v>0</v>
      </c>
      <c r="E38" s="823" t="str">
        <f>IFERROR(VLOOKUP(D38,'נתוני רישום ומצבת'!B:D,3,0),"")</f>
        <v/>
      </c>
      <c r="F38" s="823" t="str">
        <f>IF(D38&gt;0,SUMIFS('בית ספר - תקצוב לפי מוסד (9)'!N:N,'בית ספר - תקצוב לפי מוסד (9)'!B:B,בקרה!D38,'בית ספר - תקצוב לפי מוסד (9)'!M:M,'בית ספר - תקצוב לפי מוסד (9)'!$M$22)+SUMIFS('בית ספר - תקצוב לפי מוסד (9)'!O:O,'בית ספר - תקצוב לפי מוסד (9)'!B:B,בקרה!D38,'בית ספר - תקצוב לפי מוסד (9)'!M:M,'בית ספר - תקצוב לפי מוסד (9)'!$M$22),"")</f>
        <v/>
      </c>
      <c r="G38" s="823">
        <v>2</v>
      </c>
      <c r="H38" s="823"/>
      <c r="I38" s="872">
        <f t="shared" si="22"/>
        <v>0</v>
      </c>
      <c r="J38" s="823"/>
      <c r="K38" s="819" t="s">
        <v>2342</v>
      </c>
      <c r="L38" s="825">
        <f>SUMIFS('בית ספר - תקצוב לפי מוסד (9)'!$U:$U,'בית ספר - תקצוב לפי מוסד (9)'!$T:$T,בקרה!D38,'בית ספר - תקצוב לפי מוסד (9)'!$S:$S,K38)</f>
        <v>0</v>
      </c>
      <c r="M38" s="1011">
        <f t="shared" si="1"/>
        <v>0</v>
      </c>
      <c r="N38" s="823"/>
      <c r="O38" s="823"/>
      <c r="P38" s="823"/>
      <c r="Q38" s="868" t="s">
        <v>2863</v>
      </c>
      <c r="R38" s="841">
        <f>MAX((L38-S38),0)</f>
        <v>0</v>
      </c>
      <c r="S38" s="841">
        <f>MAX(L38-MIN(M38,N38,O38,P38),0)</f>
        <v>0</v>
      </c>
      <c r="T38" s="825">
        <f>SUMIFS('בית ספר - תקצוב לפי מוסד (9)'!X:X,'בית ספר - תקצוב לפי מוסד (9)'!T:T,בקרה!D38,'בית ספר - תקצוב לפי מוסד (9)'!S:S,בקרה!K38)</f>
        <v>0</v>
      </c>
      <c r="U38" s="806" t="str">
        <f>IF(L38&gt;0,IF(T38&lt;0,"קיזוז","תקין"),"")</f>
        <v/>
      </c>
      <c r="V38" s="823"/>
      <c r="W38" s="823"/>
      <c r="X38" s="823"/>
    </row>
    <row r="39" spans="1:24" s="805" customFormat="1" x14ac:dyDescent="0.25">
      <c r="A39" s="832">
        <v>8</v>
      </c>
      <c r="B39" s="833" t="str">
        <f>IF(D39&gt;0,'נתונים כלליים (1)'!$C$5,"")</f>
        <v/>
      </c>
      <c r="C39" s="834" t="str">
        <f>IFERROR(VLOOKUP(B39,'רשימת רשויות'!A:C,3,0),"")</f>
        <v/>
      </c>
      <c r="D39" s="835">
        <f>VLOOKUP(A39,'דוח ביצוע (3)'!A:G,2,0)</f>
        <v>0</v>
      </c>
      <c r="E39" s="831" t="str">
        <f>IFERROR(VLOOKUP(D39,'נתוני רישום ומצבת'!B:D,3,0),"")</f>
        <v/>
      </c>
      <c r="F39" s="831" t="str">
        <f>IF(D39&gt;0,SUMIFS('בית ספר - תקצוב לפי מוסד (9)'!N:N,'בית ספר - תקצוב לפי מוסד (9)'!B:B,בקרה!D39,'בית ספר - תקצוב לפי מוסד (9)'!M:M,'בית ספר - תקצוב לפי מוסד (9)'!$M$22)+SUMIFS('בית ספר - תקצוב לפי מוסד (9)'!O:O,'בית ספר - תקצוב לפי מוסד (9)'!B:B,בקרה!D39,'בית ספר - תקצוב לפי מוסד (9)'!M:M,'בית ספר - תקצוב לפי מוסד (9)'!$M$22),"")</f>
        <v/>
      </c>
      <c r="G39" s="831">
        <v>2</v>
      </c>
      <c r="H39" s="831"/>
      <c r="I39" s="873">
        <f t="shared" si="22"/>
        <v>0</v>
      </c>
      <c r="J39" s="831"/>
      <c r="K39" s="832" t="s">
        <v>0</v>
      </c>
      <c r="L39" s="825">
        <f>SUMIFS('בית ספר - תקצוב לפי מוסד (9)'!$U:$U,'בית ספר - תקצוב לפי מוסד (9)'!$T:$T,בקרה!D39,'בית ספר - תקצוב לפי מוסד (9)'!$S:$S,K39)</f>
        <v>0</v>
      </c>
      <c r="M39" s="1012">
        <f t="shared" si="1"/>
        <v>0</v>
      </c>
      <c r="N39" s="868" t="s">
        <v>2863</v>
      </c>
      <c r="O39" s="868" t="s">
        <v>2863</v>
      </c>
      <c r="P39" s="868" t="s">
        <v>2863</v>
      </c>
      <c r="Q39" s="868" t="s">
        <v>2863</v>
      </c>
      <c r="R39" s="841">
        <f t="shared" ref="R39:R42" si="24">MAX((L39-S39),0)</f>
        <v>0</v>
      </c>
      <c r="S39" s="841">
        <f>MAX(L39-M39,0)</f>
        <v>0</v>
      </c>
      <c r="T39" s="825">
        <f>SUMIFS('בית ספר - תקצוב לפי מוסד (9)'!X:X,'בית ספר - תקצוב לפי מוסד (9)'!T:T,בקרה!D39,'בית ספר - תקצוב לפי מוסד (9)'!S:S,בקרה!K39)</f>
        <v>0</v>
      </c>
      <c r="U39" s="806" t="str">
        <f t="shared" ref="U39:U40" si="25">IF(L39&gt;0,IF(T39&lt;0,"קיזוז","תקין"),"")</f>
        <v/>
      </c>
      <c r="V39" s="831"/>
      <c r="W39" s="831"/>
      <c r="X39" s="831"/>
    </row>
    <row r="40" spans="1:24" s="805" customFormat="1" x14ac:dyDescent="0.25">
      <c r="A40" s="836">
        <v>8</v>
      </c>
      <c r="B40" s="837" t="str">
        <f>IF(D40&gt;0,'נתונים כלליים (1)'!$C$5,"")</f>
        <v/>
      </c>
      <c r="C40" s="838" t="str">
        <f>IFERROR(VLOOKUP(B40,'רשימת רשויות'!A:C,3,0),"")</f>
        <v/>
      </c>
      <c r="D40" s="839">
        <f>VLOOKUP(A40,'דוח ביצוע (3)'!A:G,2,0)</f>
        <v>0</v>
      </c>
      <c r="E40" s="840" t="str">
        <f>IFERROR(VLOOKUP(D40,'נתוני רישום ומצבת'!B:D,3,0),"")</f>
        <v/>
      </c>
      <c r="F40" s="840" t="str">
        <f>IF(D40&gt;0,SUMIFS('בית ספר - תקצוב לפי מוסד (9)'!N:N,'בית ספר - תקצוב לפי מוסד (9)'!B:B,בקרה!D40,'בית ספר - תקצוב לפי מוסד (9)'!M:M,'בית ספר - תקצוב לפי מוסד (9)'!$M$22)+SUMIFS('בית ספר - תקצוב לפי מוסד (9)'!O:O,'בית ספר - תקצוב לפי מוסד (9)'!B:B,בקרה!D40,'בית ספר - תקצוב לפי מוסד (9)'!M:M,'בית ספר - תקצוב לפי מוסד (9)'!$M$22),"")</f>
        <v/>
      </c>
      <c r="G40" s="840">
        <v>2</v>
      </c>
      <c r="H40" s="840"/>
      <c r="I40" s="874">
        <f t="shared" si="22"/>
        <v>0</v>
      </c>
      <c r="J40" s="840"/>
      <c r="K40" s="836" t="s">
        <v>93</v>
      </c>
      <c r="L40" s="825">
        <f>SUMIFS('בית ספר - תקצוב לפי מוסד (9)'!$U:$U,'בית ספר - תקצוב לפי מוסד (9)'!$T:$T,בקרה!D40,'בית ספר - תקצוב לפי מוסד (9)'!$S:$S,K40)</f>
        <v>0</v>
      </c>
      <c r="M40" s="1013">
        <f t="shared" si="1"/>
        <v>0</v>
      </c>
      <c r="N40" s="868" t="s">
        <v>2863</v>
      </c>
      <c r="O40" s="868" t="s">
        <v>2863</v>
      </c>
      <c r="P40" s="868" t="s">
        <v>2863</v>
      </c>
      <c r="Q40" s="868" t="s">
        <v>2863</v>
      </c>
      <c r="R40" s="841">
        <f t="shared" si="24"/>
        <v>0</v>
      </c>
      <c r="S40" s="841">
        <f t="shared" ref="S40:S42" si="26">MAX(L40-M40,0)</f>
        <v>0</v>
      </c>
      <c r="T40" s="825">
        <f>SUMIFS('בית ספר - תקצוב לפי מוסד (9)'!X:X,'בית ספר - תקצוב לפי מוסד (9)'!T:T,בקרה!D40,'בית ספר - תקצוב לפי מוסד (9)'!S:S,בקרה!K40)</f>
        <v>0</v>
      </c>
      <c r="U40" s="806" t="str">
        <f t="shared" si="25"/>
        <v/>
      </c>
      <c r="V40" s="840"/>
      <c r="W40" s="840"/>
      <c r="X40" s="840"/>
    </row>
    <row r="41" spans="1:24" s="805" customFormat="1" x14ac:dyDescent="0.25">
      <c r="A41" s="809">
        <v>8</v>
      </c>
      <c r="B41" s="810" t="str">
        <f>IF(D41&gt;0,'נתונים כלליים (1)'!$C$5,"")</f>
        <v/>
      </c>
      <c r="C41" s="811" t="str">
        <f>IFERROR(VLOOKUP(B41,'רשימת רשויות'!A:C,3,0),"")</f>
        <v/>
      </c>
      <c r="D41" s="812">
        <f>VLOOKUP(A41,'דוח ביצוע (3)'!A:G,2,0)</f>
        <v>0</v>
      </c>
      <c r="E41" s="813" t="str">
        <f>IFERROR(VLOOKUP(D41,'נתוני רישום ומצבת'!B:D,3,0),"")</f>
        <v/>
      </c>
      <c r="F41" s="813" t="str">
        <f>IF(D41&gt;0,SUMIFS('בית ספר - תקצוב לפי מוסד (9)'!N:N,'בית ספר - תקצוב לפי מוסד (9)'!B:B,בקרה!D41,'בית ספר - תקצוב לפי מוסד (9)'!M:M,'בית ספר - תקצוב לפי מוסד (9)'!$M$22)+SUMIFS('בית ספר - תקצוב לפי מוסד (9)'!O:O,'בית ספר - תקצוב לפי מוסד (9)'!B:B,בקרה!D41,'בית ספר - תקצוב לפי מוסד (9)'!M:M,'בית ספר - תקצוב לפי מוסד (9)'!$M$22),"")</f>
        <v/>
      </c>
      <c r="G41" s="813">
        <v>2</v>
      </c>
      <c r="H41" s="813"/>
      <c r="I41" s="875">
        <f t="shared" si="22"/>
        <v>0</v>
      </c>
      <c r="J41" s="813"/>
      <c r="K41" s="809" t="s">
        <v>2815</v>
      </c>
      <c r="L41" s="825">
        <f>SUMIFS('בית ספר - תקצוב לפי מוסד (9)'!$U:$U,'בית ספר - תקצוב לפי מוסד (9)'!$T:$T,בקרה!D41,'בית ספר - תקצוב לפי מוסד (9)'!$S:$S,"מלגות להורים")</f>
        <v>0</v>
      </c>
      <c r="M41" s="1014">
        <f t="shared" si="1"/>
        <v>0</v>
      </c>
      <c r="N41" s="868" t="s">
        <v>2863</v>
      </c>
      <c r="O41" s="868" t="s">
        <v>2863</v>
      </c>
      <c r="P41" s="868" t="s">
        <v>2863</v>
      </c>
      <c r="Q41" s="813"/>
      <c r="R41" s="841">
        <f t="shared" si="24"/>
        <v>0</v>
      </c>
      <c r="S41" s="841">
        <f t="shared" si="26"/>
        <v>0</v>
      </c>
      <c r="T41" s="825">
        <f>SUMIFS('בית ספר - תקצוב לפי מוסד (9)'!X:X,'בית ספר - תקצוב לפי מוסד (9)'!T:T,בקרה!D41,'בית ספר - תקצוב לפי מוסד (9)'!S:S,בקרה!K41)</f>
        <v>0</v>
      </c>
      <c r="U41" s="806">
        <f>Q41</f>
        <v>0</v>
      </c>
      <c r="V41" s="813"/>
      <c r="W41" s="813"/>
      <c r="X41" s="813"/>
    </row>
    <row r="42" spans="1:24" s="805" customFormat="1" x14ac:dyDescent="0.25">
      <c r="A42" s="814">
        <v>8</v>
      </c>
      <c r="B42" s="815" t="str">
        <f>IF(D42&gt;0,'נתונים כלליים (1)'!$C$5,"")</f>
        <v/>
      </c>
      <c r="C42" s="816" t="str">
        <f>IFERROR(VLOOKUP(B42,'רשימת רשויות'!A:C,3,0),"")</f>
        <v/>
      </c>
      <c r="D42" s="817">
        <f>VLOOKUP(A42,'דוח ביצוע (3)'!A:G,2,0)</f>
        <v>0</v>
      </c>
      <c r="E42" s="818" t="str">
        <f>IFERROR(VLOOKUP(D42,'נתוני רישום ומצבת'!B:D,3,0),"")</f>
        <v/>
      </c>
      <c r="F42" s="818" t="str">
        <f>IF(D42&gt;0,SUMIFS('בית ספר - תקצוב לפי מוסד (9)'!N:N,'בית ספר - תקצוב לפי מוסד (9)'!B:B,בקרה!D42,'בית ספר - תקצוב לפי מוסד (9)'!M:M,'בית ספר - תקצוב לפי מוסד (9)'!$M$22)+SUMIFS('בית ספר - תקצוב לפי מוסד (9)'!O:O,'בית ספר - תקצוב לפי מוסד (9)'!B:B,בקרה!D42,'בית ספר - תקצוב לפי מוסד (9)'!M:M,'בית ספר - תקצוב לפי מוסד (9)'!$M$22),"")</f>
        <v/>
      </c>
      <c r="G42" s="818">
        <v>2</v>
      </c>
      <c r="H42" s="818"/>
      <c r="I42" s="876">
        <f t="shared" si="22"/>
        <v>0</v>
      </c>
      <c r="J42" s="818"/>
      <c r="K42" s="814" t="s">
        <v>2344</v>
      </c>
      <c r="L42" s="825">
        <f>IFERROR(VLOOKUP(D42,'תשלומי הורים ומלגות להורים (5) '!B:C,2,0),0)</f>
        <v>0</v>
      </c>
      <c r="M42" s="1015">
        <f t="shared" si="1"/>
        <v>0</v>
      </c>
      <c r="N42" s="868" t="s">
        <v>2863</v>
      </c>
      <c r="O42" s="868" t="s">
        <v>2863</v>
      </c>
      <c r="P42" s="868" t="s">
        <v>2863</v>
      </c>
      <c r="Q42" s="818" t="s">
        <v>2876</v>
      </c>
      <c r="R42" s="841">
        <f t="shared" si="24"/>
        <v>0</v>
      </c>
      <c r="S42" s="841">
        <f t="shared" si="26"/>
        <v>0</v>
      </c>
      <c r="T42" s="869"/>
      <c r="U42" s="806" t="str">
        <f>Q42</f>
        <v>תקין</v>
      </c>
      <c r="V42" s="818"/>
      <c r="W42" s="818"/>
      <c r="X42" s="818"/>
    </row>
    <row r="43" spans="1:24" s="805" customFormat="1" ht="14.25" customHeight="1" x14ac:dyDescent="0.25">
      <c r="A43" s="819">
        <v>9</v>
      </c>
      <c r="B43" s="820" t="str">
        <f>IF(D43&gt;0,'נתונים כלליים (1)'!$C$5,"")</f>
        <v/>
      </c>
      <c r="C43" s="821" t="str">
        <f>IFERROR(VLOOKUP(B43,'רשימת רשויות'!A:C,3,0),"")</f>
        <v/>
      </c>
      <c r="D43" s="822">
        <f>VLOOKUP(A43,'דוח ביצוע (3)'!A:G,2,0)</f>
        <v>0</v>
      </c>
      <c r="E43" s="823" t="str">
        <f>IFERROR(VLOOKUP(D43,'נתוני רישום ומצבת'!B:D,3,0),"")</f>
        <v/>
      </c>
      <c r="F43" s="823" t="str">
        <f>IF(D43&gt;0,SUMIFS('בית ספר - תקצוב לפי מוסד (9)'!N:N,'בית ספר - תקצוב לפי מוסד (9)'!B:B,בקרה!D43,'בית ספר - תקצוב לפי מוסד (9)'!M:M,'בית ספר - תקצוב לפי מוסד (9)'!$M$22)+SUMIFS('בית ספר - תקצוב לפי מוסד (9)'!O:O,'בית ספר - תקצוב לפי מוסד (9)'!B:B,בקרה!D43,'בית ספר - תקצוב לפי מוסד (9)'!M:M,'בית ספר - תקצוב לפי מוסד (9)'!$M$22),"")</f>
        <v/>
      </c>
      <c r="G43" s="823">
        <v>2</v>
      </c>
      <c r="H43" s="823"/>
      <c r="I43" s="872">
        <f t="shared" si="22"/>
        <v>0</v>
      </c>
      <c r="J43" s="823"/>
      <c r="K43" s="819" t="s">
        <v>2342</v>
      </c>
      <c r="L43" s="825">
        <f>SUMIFS('בית ספר - תקצוב לפי מוסד (9)'!$U:$U,'בית ספר - תקצוב לפי מוסד (9)'!$T:$T,בקרה!D43,'בית ספר - תקצוב לפי מוסד (9)'!$S:$S,K43)</f>
        <v>0</v>
      </c>
      <c r="M43" s="1011">
        <f t="shared" si="1"/>
        <v>0</v>
      </c>
      <c r="N43" s="823"/>
      <c r="O43" s="823"/>
      <c r="P43" s="823"/>
      <c r="Q43" s="868" t="s">
        <v>2863</v>
      </c>
      <c r="R43" s="841">
        <f>MAX((L43-S43),0)</f>
        <v>0</v>
      </c>
      <c r="S43" s="841">
        <f>MAX(L43-MIN(M43,N43,O43,P43),0)</f>
        <v>0</v>
      </c>
      <c r="T43" s="825">
        <f>SUMIFS('בית ספר - תקצוב לפי מוסד (9)'!X:X,'בית ספר - תקצוב לפי מוסד (9)'!T:T,בקרה!D43,'בית ספר - תקצוב לפי מוסד (9)'!S:S,בקרה!K43)</f>
        <v>0</v>
      </c>
      <c r="U43" s="806" t="str">
        <f>IF(L43&gt;0,IF(T43&lt;0,"קיזוז","תקין"),"")</f>
        <v/>
      </c>
      <c r="V43" s="823"/>
      <c r="W43" s="823"/>
      <c r="X43" s="823"/>
    </row>
    <row r="44" spans="1:24" s="805" customFormat="1" x14ac:dyDescent="0.25">
      <c r="A44" s="832">
        <v>9</v>
      </c>
      <c r="B44" s="833" t="str">
        <f>IF(D44&gt;0,'נתונים כלליים (1)'!$C$5,"")</f>
        <v/>
      </c>
      <c r="C44" s="834" t="str">
        <f>IFERROR(VLOOKUP(B44,'רשימת רשויות'!A:C,3,0),"")</f>
        <v/>
      </c>
      <c r="D44" s="835">
        <f>VLOOKUP(A44,'דוח ביצוע (3)'!A:G,2,0)</f>
        <v>0</v>
      </c>
      <c r="E44" s="831" t="str">
        <f>IFERROR(VLOOKUP(D44,'נתוני רישום ומצבת'!B:D,3,0),"")</f>
        <v/>
      </c>
      <c r="F44" s="831" t="str">
        <f>IF(D44&gt;0,SUMIFS('בית ספר - תקצוב לפי מוסד (9)'!N:N,'בית ספר - תקצוב לפי מוסד (9)'!B:B,בקרה!D44,'בית ספר - תקצוב לפי מוסד (9)'!M:M,'בית ספר - תקצוב לפי מוסד (9)'!$M$22)+SUMIFS('בית ספר - תקצוב לפי מוסד (9)'!O:O,'בית ספר - תקצוב לפי מוסד (9)'!B:B,בקרה!D44,'בית ספר - תקצוב לפי מוסד (9)'!M:M,'בית ספר - תקצוב לפי מוסד (9)'!$M$22),"")</f>
        <v/>
      </c>
      <c r="G44" s="831">
        <v>2</v>
      </c>
      <c r="H44" s="831"/>
      <c r="I44" s="873">
        <f t="shared" si="22"/>
        <v>0</v>
      </c>
      <c r="J44" s="831"/>
      <c r="K44" s="832" t="s">
        <v>0</v>
      </c>
      <c r="L44" s="825">
        <f>SUMIFS('בית ספר - תקצוב לפי מוסד (9)'!$U:$U,'בית ספר - תקצוב לפי מוסד (9)'!$T:$T,בקרה!D44,'בית ספר - תקצוב לפי מוסד (9)'!$S:$S,K44)</f>
        <v>0</v>
      </c>
      <c r="M44" s="1012">
        <f t="shared" si="1"/>
        <v>0</v>
      </c>
      <c r="N44" s="868" t="s">
        <v>2863</v>
      </c>
      <c r="O44" s="868" t="s">
        <v>2863</v>
      </c>
      <c r="P44" s="868" t="s">
        <v>2863</v>
      </c>
      <c r="Q44" s="868" t="s">
        <v>2863</v>
      </c>
      <c r="R44" s="841">
        <f t="shared" ref="R44:R47" si="27">MAX((L44-S44),0)</f>
        <v>0</v>
      </c>
      <c r="S44" s="841">
        <f>MAX(L44-M44,0)</f>
        <v>0</v>
      </c>
      <c r="T44" s="825">
        <f>SUMIFS('בית ספר - תקצוב לפי מוסד (9)'!X:X,'בית ספר - תקצוב לפי מוסד (9)'!T:T,בקרה!D44,'בית ספר - תקצוב לפי מוסד (9)'!S:S,בקרה!K44)</f>
        <v>0</v>
      </c>
      <c r="U44" s="806" t="str">
        <f t="shared" ref="U44:U45" si="28">IF(L44&gt;0,IF(T44&lt;0,"קיזוז","תקין"),"")</f>
        <v/>
      </c>
      <c r="V44" s="831"/>
      <c r="W44" s="831"/>
      <c r="X44" s="831"/>
    </row>
    <row r="45" spans="1:24" s="805" customFormat="1" x14ac:dyDescent="0.25">
      <c r="A45" s="836">
        <v>9</v>
      </c>
      <c r="B45" s="837" t="str">
        <f>IF(D45&gt;0,'נתונים כלליים (1)'!$C$5,"")</f>
        <v/>
      </c>
      <c r="C45" s="838" t="str">
        <f>IFERROR(VLOOKUP(B45,'רשימת רשויות'!A:C,3,0),"")</f>
        <v/>
      </c>
      <c r="D45" s="839">
        <f>VLOOKUP(A45,'דוח ביצוע (3)'!A:G,2,0)</f>
        <v>0</v>
      </c>
      <c r="E45" s="840" t="str">
        <f>IFERROR(VLOOKUP(D45,'נתוני רישום ומצבת'!B:D,3,0),"")</f>
        <v/>
      </c>
      <c r="F45" s="840" t="str">
        <f>IF(D45&gt;0,SUMIFS('בית ספר - תקצוב לפי מוסד (9)'!N:N,'בית ספר - תקצוב לפי מוסד (9)'!B:B,בקרה!D45,'בית ספר - תקצוב לפי מוסד (9)'!M:M,'בית ספר - תקצוב לפי מוסד (9)'!$M$22)+SUMIFS('בית ספר - תקצוב לפי מוסד (9)'!O:O,'בית ספר - תקצוב לפי מוסד (9)'!B:B,בקרה!D45,'בית ספר - תקצוב לפי מוסד (9)'!M:M,'בית ספר - תקצוב לפי מוסד (9)'!$M$22),"")</f>
        <v/>
      </c>
      <c r="G45" s="840">
        <v>2</v>
      </c>
      <c r="H45" s="840"/>
      <c r="I45" s="874">
        <f t="shared" si="22"/>
        <v>0</v>
      </c>
      <c r="J45" s="840"/>
      <c r="K45" s="836" t="s">
        <v>93</v>
      </c>
      <c r="L45" s="825">
        <f>SUMIFS('בית ספר - תקצוב לפי מוסד (9)'!$U:$U,'בית ספר - תקצוב לפי מוסד (9)'!$T:$T,בקרה!D45,'בית ספר - תקצוב לפי מוסד (9)'!$S:$S,K45)</f>
        <v>0</v>
      </c>
      <c r="M45" s="1013">
        <f t="shared" si="1"/>
        <v>0</v>
      </c>
      <c r="N45" s="868" t="s">
        <v>2863</v>
      </c>
      <c r="O45" s="868" t="s">
        <v>2863</v>
      </c>
      <c r="P45" s="868" t="s">
        <v>2863</v>
      </c>
      <c r="Q45" s="868" t="s">
        <v>2863</v>
      </c>
      <c r="R45" s="841">
        <f t="shared" si="27"/>
        <v>0</v>
      </c>
      <c r="S45" s="841">
        <f t="shared" ref="S45:S47" si="29">MAX(L45-M45,0)</f>
        <v>0</v>
      </c>
      <c r="T45" s="825">
        <f>SUMIFS('בית ספר - תקצוב לפי מוסד (9)'!X:X,'בית ספר - תקצוב לפי מוסד (9)'!T:T,בקרה!D45,'בית ספר - תקצוב לפי מוסד (9)'!S:S,בקרה!K45)</f>
        <v>0</v>
      </c>
      <c r="U45" s="806" t="str">
        <f t="shared" si="28"/>
        <v/>
      </c>
      <c r="V45" s="840"/>
      <c r="W45" s="840"/>
      <c r="X45" s="840"/>
    </row>
    <row r="46" spans="1:24" s="805" customFormat="1" x14ac:dyDescent="0.25">
      <c r="A46" s="809">
        <v>9</v>
      </c>
      <c r="B46" s="810" t="str">
        <f>IF(D46&gt;0,'נתונים כלליים (1)'!$C$5,"")</f>
        <v/>
      </c>
      <c r="C46" s="811" t="str">
        <f>IFERROR(VLOOKUP(B46,'רשימת רשויות'!A:C,3,0),"")</f>
        <v/>
      </c>
      <c r="D46" s="812">
        <f>VLOOKUP(A46,'דוח ביצוע (3)'!A:G,2,0)</f>
        <v>0</v>
      </c>
      <c r="E46" s="813" t="str">
        <f>IFERROR(VLOOKUP(D46,'נתוני רישום ומצבת'!B:D,3,0),"")</f>
        <v/>
      </c>
      <c r="F46" s="813" t="str">
        <f>IF(D46&gt;0,SUMIFS('בית ספר - תקצוב לפי מוסד (9)'!N:N,'בית ספר - תקצוב לפי מוסד (9)'!B:B,בקרה!D46,'בית ספר - תקצוב לפי מוסד (9)'!M:M,'בית ספר - תקצוב לפי מוסד (9)'!$M$22)+SUMIFS('בית ספר - תקצוב לפי מוסד (9)'!O:O,'בית ספר - תקצוב לפי מוסד (9)'!B:B,בקרה!D46,'בית ספר - תקצוב לפי מוסד (9)'!M:M,'בית ספר - תקצוב לפי מוסד (9)'!$M$22),"")</f>
        <v/>
      </c>
      <c r="G46" s="813">
        <v>2</v>
      </c>
      <c r="H46" s="813"/>
      <c r="I46" s="875">
        <f t="shared" si="22"/>
        <v>0</v>
      </c>
      <c r="J46" s="813"/>
      <c r="K46" s="809" t="s">
        <v>2815</v>
      </c>
      <c r="L46" s="825">
        <f>SUMIFS('בית ספר - תקצוב לפי מוסד (9)'!$U:$U,'בית ספר - תקצוב לפי מוסד (9)'!$T:$T,בקרה!D46,'בית ספר - תקצוב לפי מוסד (9)'!$S:$S,"מלגות להורים")</f>
        <v>0</v>
      </c>
      <c r="M46" s="1014">
        <f t="shared" si="1"/>
        <v>0</v>
      </c>
      <c r="N46" s="868" t="s">
        <v>2863</v>
      </c>
      <c r="O46" s="868" t="s">
        <v>2863</v>
      </c>
      <c r="P46" s="868" t="s">
        <v>2863</v>
      </c>
      <c r="Q46" s="813"/>
      <c r="R46" s="841">
        <f t="shared" si="27"/>
        <v>0</v>
      </c>
      <c r="S46" s="841">
        <f t="shared" si="29"/>
        <v>0</v>
      </c>
      <c r="T46" s="825">
        <f>SUMIFS('בית ספר - תקצוב לפי מוסד (9)'!X:X,'בית ספר - תקצוב לפי מוסד (9)'!T:T,בקרה!D46,'בית ספר - תקצוב לפי מוסד (9)'!S:S,בקרה!K46)</f>
        <v>0</v>
      </c>
      <c r="U46" s="806">
        <f>Q46</f>
        <v>0</v>
      </c>
      <c r="V46" s="813"/>
      <c r="W46" s="813"/>
      <c r="X46" s="813"/>
    </row>
    <row r="47" spans="1:24" s="805" customFormat="1" x14ac:dyDescent="0.25">
      <c r="A47" s="814">
        <v>9</v>
      </c>
      <c r="B47" s="815" t="str">
        <f>IF(D47&gt;0,'נתונים כלליים (1)'!$C$5,"")</f>
        <v/>
      </c>
      <c r="C47" s="816" t="str">
        <f>IFERROR(VLOOKUP(B47,'רשימת רשויות'!A:C,3,0),"")</f>
        <v/>
      </c>
      <c r="D47" s="817">
        <f>VLOOKUP(A47,'דוח ביצוע (3)'!A:G,2,0)</f>
        <v>0</v>
      </c>
      <c r="E47" s="818" t="str">
        <f>IFERROR(VLOOKUP(D47,'נתוני רישום ומצבת'!B:D,3,0),"")</f>
        <v/>
      </c>
      <c r="F47" s="818" t="str">
        <f>IF(D47&gt;0,SUMIFS('בית ספר - תקצוב לפי מוסד (9)'!N:N,'בית ספר - תקצוב לפי מוסד (9)'!B:B,בקרה!D47,'בית ספר - תקצוב לפי מוסד (9)'!M:M,'בית ספר - תקצוב לפי מוסד (9)'!$M$22)+SUMIFS('בית ספר - תקצוב לפי מוסד (9)'!O:O,'בית ספר - תקצוב לפי מוסד (9)'!B:B,בקרה!D47,'בית ספר - תקצוב לפי מוסד (9)'!M:M,'בית ספר - תקצוב לפי מוסד (9)'!$M$22),"")</f>
        <v/>
      </c>
      <c r="G47" s="818">
        <v>2</v>
      </c>
      <c r="H47" s="818"/>
      <c r="I47" s="876">
        <f t="shared" si="22"/>
        <v>0</v>
      </c>
      <c r="J47" s="818"/>
      <c r="K47" s="814" t="s">
        <v>2344</v>
      </c>
      <c r="L47" s="825">
        <f>IFERROR(VLOOKUP(D47,'תשלומי הורים ומלגות להורים (5) '!B:C,2,0),0)</f>
        <v>0</v>
      </c>
      <c r="M47" s="1015">
        <f t="shared" si="1"/>
        <v>0</v>
      </c>
      <c r="N47" s="868" t="s">
        <v>2863</v>
      </c>
      <c r="O47" s="868" t="s">
        <v>2863</v>
      </c>
      <c r="P47" s="868" t="s">
        <v>2863</v>
      </c>
      <c r="Q47" s="818" t="s">
        <v>2876</v>
      </c>
      <c r="R47" s="841">
        <f t="shared" si="27"/>
        <v>0</v>
      </c>
      <c r="S47" s="841">
        <f t="shared" si="29"/>
        <v>0</v>
      </c>
      <c r="T47" s="869"/>
      <c r="U47" s="806" t="str">
        <f>Q47</f>
        <v>תקין</v>
      </c>
      <c r="V47" s="818"/>
      <c r="W47" s="818"/>
      <c r="X47" s="818"/>
    </row>
    <row r="48" spans="1:24" s="805" customFormat="1" ht="14.25" customHeight="1" x14ac:dyDescent="0.25">
      <c r="A48" s="819">
        <v>10</v>
      </c>
      <c r="B48" s="820" t="str">
        <f>IF(D48&gt;0,'נתונים כלליים (1)'!$C$5,"")</f>
        <v/>
      </c>
      <c r="C48" s="821" t="str">
        <f>IFERROR(VLOOKUP(B48,'רשימת רשויות'!A:C,3,0),"")</f>
        <v/>
      </c>
      <c r="D48" s="822">
        <f>VLOOKUP(A48,'דוח ביצוע (3)'!A:G,2,0)</f>
        <v>0</v>
      </c>
      <c r="E48" s="823" t="str">
        <f>IFERROR(VLOOKUP(D48,'נתוני רישום ומצבת'!B:D,3,0),"")</f>
        <v/>
      </c>
      <c r="F48" s="823" t="str">
        <f>IF(D48&gt;0,SUMIFS('בית ספר - תקצוב לפי מוסד (9)'!N:N,'בית ספר - תקצוב לפי מוסד (9)'!B:B,בקרה!D48,'בית ספר - תקצוב לפי מוסד (9)'!M:M,'בית ספר - תקצוב לפי מוסד (9)'!$M$22)+SUMIFS('בית ספר - תקצוב לפי מוסד (9)'!O:O,'בית ספר - תקצוב לפי מוסד (9)'!B:B,בקרה!D48,'בית ספר - תקצוב לפי מוסד (9)'!M:M,'בית ספר - תקצוב לפי מוסד (9)'!$M$22),"")</f>
        <v/>
      </c>
      <c r="G48" s="823">
        <v>2</v>
      </c>
      <c r="H48" s="823"/>
      <c r="I48" s="872">
        <f t="shared" si="22"/>
        <v>0</v>
      </c>
      <c r="J48" s="823"/>
      <c r="K48" s="819" t="s">
        <v>2342</v>
      </c>
      <c r="L48" s="825">
        <f>SUMIFS('בית ספר - תקצוב לפי מוסד (9)'!$U:$U,'בית ספר - תקצוב לפי מוסד (9)'!$T:$T,בקרה!D48,'בית ספר - תקצוב לפי מוסד (9)'!$S:$S,K48)</f>
        <v>0</v>
      </c>
      <c r="M48" s="1011">
        <f t="shared" si="1"/>
        <v>0</v>
      </c>
      <c r="N48" s="823"/>
      <c r="O48" s="823"/>
      <c r="P48" s="823"/>
      <c r="Q48" s="868" t="s">
        <v>2863</v>
      </c>
      <c r="R48" s="841">
        <f>MAX((L48-S48),0)</f>
        <v>0</v>
      </c>
      <c r="S48" s="841">
        <f>MAX(L48-MIN(M48,N48,O48,P48),0)</f>
        <v>0</v>
      </c>
      <c r="T48" s="825">
        <f>SUMIFS('בית ספר - תקצוב לפי מוסד (9)'!X:X,'בית ספר - תקצוב לפי מוסד (9)'!T:T,בקרה!D48,'בית ספר - תקצוב לפי מוסד (9)'!S:S,בקרה!K48)</f>
        <v>0</v>
      </c>
      <c r="U48" s="806" t="str">
        <f>IF(L48&gt;0,IF(T48&lt;0,"קיזוז","תקין"),"")</f>
        <v/>
      </c>
      <c r="V48" s="823"/>
      <c r="W48" s="823"/>
      <c r="X48" s="823"/>
    </row>
    <row r="49" spans="1:24" s="805" customFormat="1" x14ac:dyDescent="0.25">
      <c r="A49" s="832">
        <v>10</v>
      </c>
      <c r="B49" s="833" t="str">
        <f>IF(D49&gt;0,'נתונים כלליים (1)'!$C$5,"")</f>
        <v/>
      </c>
      <c r="C49" s="834" t="str">
        <f>IFERROR(VLOOKUP(B49,'רשימת רשויות'!A:C,3,0),"")</f>
        <v/>
      </c>
      <c r="D49" s="835">
        <f>VLOOKUP(A49,'דוח ביצוע (3)'!A:G,2,0)</f>
        <v>0</v>
      </c>
      <c r="E49" s="831" t="str">
        <f>IFERROR(VLOOKUP(D49,'נתוני רישום ומצבת'!B:D,3,0),"")</f>
        <v/>
      </c>
      <c r="F49" s="831" t="str">
        <f>IF(D49&gt;0,SUMIFS('בית ספר - תקצוב לפי מוסד (9)'!N:N,'בית ספר - תקצוב לפי מוסד (9)'!B:B,בקרה!D49,'בית ספר - תקצוב לפי מוסד (9)'!M:M,'בית ספר - תקצוב לפי מוסד (9)'!$M$22)+SUMIFS('בית ספר - תקצוב לפי מוסד (9)'!O:O,'בית ספר - תקצוב לפי מוסד (9)'!B:B,בקרה!D49,'בית ספר - תקצוב לפי מוסד (9)'!M:M,'בית ספר - תקצוב לפי מוסד (9)'!$M$22),"")</f>
        <v/>
      </c>
      <c r="G49" s="831">
        <v>2</v>
      </c>
      <c r="H49" s="831"/>
      <c r="I49" s="873">
        <f t="shared" si="22"/>
        <v>0</v>
      </c>
      <c r="J49" s="831"/>
      <c r="K49" s="832" t="s">
        <v>0</v>
      </c>
      <c r="L49" s="825">
        <f>SUMIFS('בית ספר - תקצוב לפי מוסד (9)'!$U:$U,'בית ספר - תקצוב לפי מוסד (9)'!$T:$T,בקרה!D49,'בית ספר - תקצוב לפי מוסד (9)'!$S:$S,K49)</f>
        <v>0</v>
      </c>
      <c r="M49" s="1012">
        <f t="shared" si="1"/>
        <v>0</v>
      </c>
      <c r="N49" s="868" t="s">
        <v>2863</v>
      </c>
      <c r="O49" s="868" t="s">
        <v>2863</v>
      </c>
      <c r="P49" s="868" t="s">
        <v>2863</v>
      </c>
      <c r="Q49" s="868" t="s">
        <v>2863</v>
      </c>
      <c r="R49" s="841">
        <f t="shared" ref="R49:R52" si="30">MAX((L49-S49),0)</f>
        <v>0</v>
      </c>
      <c r="S49" s="841">
        <f>MAX(L49-M49,0)</f>
        <v>0</v>
      </c>
      <c r="T49" s="825">
        <f>SUMIFS('בית ספר - תקצוב לפי מוסד (9)'!X:X,'בית ספר - תקצוב לפי מוסד (9)'!T:T,בקרה!D49,'בית ספר - תקצוב לפי מוסד (9)'!S:S,בקרה!K49)</f>
        <v>0</v>
      </c>
      <c r="U49" s="806" t="str">
        <f t="shared" ref="U49:U50" si="31">IF(L49&gt;0,IF(T49&lt;0,"קיזוז","תקין"),"")</f>
        <v/>
      </c>
      <c r="V49" s="831"/>
      <c r="W49" s="831"/>
      <c r="X49" s="831"/>
    </row>
    <row r="50" spans="1:24" s="805" customFormat="1" x14ac:dyDescent="0.25">
      <c r="A50" s="836">
        <v>10</v>
      </c>
      <c r="B50" s="837" t="str">
        <f>IF(D50&gt;0,'נתונים כלליים (1)'!$C$5,"")</f>
        <v/>
      </c>
      <c r="C50" s="838" t="str">
        <f>IFERROR(VLOOKUP(B50,'רשימת רשויות'!A:C,3,0),"")</f>
        <v/>
      </c>
      <c r="D50" s="839">
        <f>VLOOKUP(A50,'דוח ביצוע (3)'!A:G,2,0)</f>
        <v>0</v>
      </c>
      <c r="E50" s="840" t="str">
        <f>IFERROR(VLOOKUP(D50,'נתוני רישום ומצבת'!B:D,3,0),"")</f>
        <v/>
      </c>
      <c r="F50" s="840" t="str">
        <f>IF(D50&gt;0,SUMIFS('בית ספר - תקצוב לפי מוסד (9)'!N:N,'בית ספר - תקצוב לפי מוסד (9)'!B:B,בקרה!D50,'בית ספר - תקצוב לפי מוסד (9)'!M:M,'בית ספר - תקצוב לפי מוסד (9)'!$M$22)+SUMIFS('בית ספר - תקצוב לפי מוסד (9)'!O:O,'בית ספר - תקצוב לפי מוסד (9)'!B:B,בקרה!D50,'בית ספר - תקצוב לפי מוסד (9)'!M:M,'בית ספר - תקצוב לפי מוסד (9)'!$M$22),"")</f>
        <v/>
      </c>
      <c r="G50" s="840">
        <v>2</v>
      </c>
      <c r="H50" s="840"/>
      <c r="I50" s="874">
        <f t="shared" si="22"/>
        <v>0</v>
      </c>
      <c r="J50" s="840"/>
      <c r="K50" s="836" t="s">
        <v>93</v>
      </c>
      <c r="L50" s="825">
        <f>SUMIFS('בית ספר - תקצוב לפי מוסד (9)'!$U:$U,'בית ספר - תקצוב לפי מוסד (9)'!$T:$T,בקרה!D50,'בית ספר - תקצוב לפי מוסד (9)'!$S:$S,K50)</f>
        <v>0</v>
      </c>
      <c r="M50" s="1013">
        <f t="shared" si="1"/>
        <v>0</v>
      </c>
      <c r="N50" s="868" t="s">
        <v>2863</v>
      </c>
      <c r="O50" s="868" t="s">
        <v>2863</v>
      </c>
      <c r="P50" s="868" t="s">
        <v>2863</v>
      </c>
      <c r="Q50" s="868" t="s">
        <v>2863</v>
      </c>
      <c r="R50" s="841">
        <f t="shared" si="30"/>
        <v>0</v>
      </c>
      <c r="S50" s="841">
        <f t="shared" ref="S50:S52" si="32">MAX(L50-M50,0)</f>
        <v>0</v>
      </c>
      <c r="T50" s="825">
        <f>SUMIFS('בית ספר - תקצוב לפי מוסד (9)'!X:X,'בית ספר - תקצוב לפי מוסד (9)'!T:T,בקרה!D50,'בית ספר - תקצוב לפי מוסד (9)'!S:S,בקרה!K50)</f>
        <v>0</v>
      </c>
      <c r="U50" s="806" t="str">
        <f t="shared" si="31"/>
        <v/>
      </c>
      <c r="V50" s="840"/>
      <c r="W50" s="840"/>
      <c r="X50" s="840"/>
    </row>
    <row r="51" spans="1:24" s="805" customFormat="1" x14ac:dyDescent="0.25">
      <c r="A51" s="809">
        <v>10</v>
      </c>
      <c r="B51" s="810" t="str">
        <f>IF(D51&gt;0,'נתונים כלליים (1)'!$C$5,"")</f>
        <v/>
      </c>
      <c r="C51" s="811" t="str">
        <f>IFERROR(VLOOKUP(B51,'רשימת רשויות'!A:C,3,0),"")</f>
        <v/>
      </c>
      <c r="D51" s="812">
        <f>VLOOKUP(A51,'דוח ביצוע (3)'!A:G,2,0)</f>
        <v>0</v>
      </c>
      <c r="E51" s="813" t="str">
        <f>IFERROR(VLOOKUP(D51,'נתוני רישום ומצבת'!B:D,3,0),"")</f>
        <v/>
      </c>
      <c r="F51" s="813" t="str">
        <f>IF(D51&gt;0,SUMIFS('בית ספר - תקצוב לפי מוסד (9)'!N:N,'בית ספר - תקצוב לפי מוסד (9)'!B:B,בקרה!D51,'בית ספר - תקצוב לפי מוסד (9)'!M:M,'בית ספר - תקצוב לפי מוסד (9)'!$M$22)+SUMIFS('בית ספר - תקצוב לפי מוסד (9)'!O:O,'בית ספר - תקצוב לפי מוסד (9)'!B:B,בקרה!D51,'בית ספר - תקצוב לפי מוסד (9)'!M:M,'בית ספר - תקצוב לפי מוסד (9)'!$M$22),"")</f>
        <v/>
      </c>
      <c r="G51" s="813">
        <v>2</v>
      </c>
      <c r="H51" s="813"/>
      <c r="I51" s="875">
        <f t="shared" si="22"/>
        <v>0</v>
      </c>
      <c r="J51" s="813"/>
      <c r="K51" s="809" t="s">
        <v>2815</v>
      </c>
      <c r="L51" s="825">
        <f>SUMIFS('בית ספר - תקצוב לפי מוסד (9)'!$U:$U,'בית ספר - תקצוב לפי מוסד (9)'!$T:$T,בקרה!D51,'בית ספר - תקצוב לפי מוסד (9)'!$S:$S,"מלגות להורים")</f>
        <v>0</v>
      </c>
      <c r="M51" s="1014">
        <f t="shared" si="1"/>
        <v>0</v>
      </c>
      <c r="N51" s="868" t="s">
        <v>2863</v>
      </c>
      <c r="O51" s="868" t="s">
        <v>2863</v>
      </c>
      <c r="P51" s="868" t="s">
        <v>2863</v>
      </c>
      <c r="Q51" s="813"/>
      <c r="R51" s="841">
        <f t="shared" si="30"/>
        <v>0</v>
      </c>
      <c r="S51" s="841">
        <f t="shared" si="32"/>
        <v>0</v>
      </c>
      <c r="T51" s="825">
        <f>SUMIFS('בית ספר - תקצוב לפי מוסד (9)'!X:X,'בית ספר - תקצוב לפי מוסד (9)'!T:T,בקרה!D51,'בית ספר - תקצוב לפי מוסד (9)'!S:S,בקרה!K51)</f>
        <v>0</v>
      </c>
      <c r="U51" s="806">
        <f>Q51</f>
        <v>0</v>
      </c>
      <c r="V51" s="813"/>
      <c r="W51" s="813"/>
      <c r="X51" s="813"/>
    </row>
    <row r="52" spans="1:24" s="805" customFormat="1" x14ac:dyDescent="0.25">
      <c r="A52" s="814">
        <v>10</v>
      </c>
      <c r="B52" s="815" t="str">
        <f>IF(D52&gt;0,'נתונים כלליים (1)'!$C$5,"")</f>
        <v/>
      </c>
      <c r="C52" s="816" t="str">
        <f>IFERROR(VLOOKUP(B52,'רשימת רשויות'!A:C,3,0),"")</f>
        <v/>
      </c>
      <c r="D52" s="817">
        <f>VLOOKUP(A52,'דוח ביצוע (3)'!A:G,2,0)</f>
        <v>0</v>
      </c>
      <c r="E52" s="818" t="str">
        <f>IFERROR(VLOOKUP(D52,'נתוני רישום ומצבת'!B:D,3,0),"")</f>
        <v/>
      </c>
      <c r="F52" s="818" t="str">
        <f>IF(D52&gt;0,SUMIFS('בית ספר - תקצוב לפי מוסד (9)'!N:N,'בית ספר - תקצוב לפי מוסד (9)'!B:B,בקרה!D52,'בית ספר - תקצוב לפי מוסד (9)'!M:M,'בית ספר - תקצוב לפי מוסד (9)'!$M$22)+SUMIFS('בית ספר - תקצוב לפי מוסד (9)'!O:O,'בית ספר - תקצוב לפי מוסד (9)'!B:B,בקרה!D52,'בית ספר - תקצוב לפי מוסד (9)'!M:M,'בית ספר - תקצוב לפי מוסד (9)'!$M$22),"")</f>
        <v/>
      </c>
      <c r="G52" s="818">
        <v>2</v>
      </c>
      <c r="H52" s="818"/>
      <c r="I52" s="876">
        <f t="shared" si="22"/>
        <v>0</v>
      </c>
      <c r="J52" s="818"/>
      <c r="K52" s="814" t="s">
        <v>2344</v>
      </c>
      <c r="L52" s="825">
        <f>IFERROR(VLOOKUP(D52,'תשלומי הורים ומלגות להורים (5) '!B:C,2,0),0)</f>
        <v>0</v>
      </c>
      <c r="M52" s="1015">
        <f t="shared" si="1"/>
        <v>0</v>
      </c>
      <c r="N52" s="868" t="s">
        <v>2863</v>
      </c>
      <c r="O52" s="868" t="s">
        <v>2863</v>
      </c>
      <c r="P52" s="868" t="s">
        <v>2863</v>
      </c>
      <c r="Q52" s="818" t="s">
        <v>2876</v>
      </c>
      <c r="R52" s="841">
        <f t="shared" si="30"/>
        <v>0</v>
      </c>
      <c r="S52" s="841">
        <f t="shared" si="32"/>
        <v>0</v>
      </c>
      <c r="T52" s="869"/>
      <c r="U52" s="806" t="str">
        <f>Q52</f>
        <v>תקין</v>
      </c>
      <c r="V52" s="818"/>
      <c r="W52" s="818"/>
      <c r="X52" s="818"/>
    </row>
    <row r="53" spans="1:24" s="805" customFormat="1" ht="14.25" customHeight="1" x14ac:dyDescent="0.25">
      <c r="A53" s="819">
        <v>11</v>
      </c>
      <c r="B53" s="820" t="str">
        <f>IF(D53&gt;0,'נתונים כלליים (1)'!$C$5,"")</f>
        <v/>
      </c>
      <c r="C53" s="821" t="str">
        <f>IFERROR(VLOOKUP(B53,'רשימת רשויות'!A:C,3,0),"")</f>
        <v/>
      </c>
      <c r="D53" s="822">
        <f>VLOOKUP(A53,'דוח ביצוע (3)'!A:G,2,0)</f>
        <v>0</v>
      </c>
      <c r="E53" s="823" t="str">
        <f>IFERROR(VLOOKUP(D53,'נתוני רישום ומצבת'!B:D,3,0),"")</f>
        <v/>
      </c>
      <c r="F53" s="823" t="str">
        <f>IF(D53&gt;0,SUMIFS('בית ספר - תקצוב לפי מוסד (9)'!N:N,'בית ספר - תקצוב לפי מוסד (9)'!B:B,בקרה!D53,'בית ספר - תקצוב לפי מוסד (9)'!M:M,'בית ספר - תקצוב לפי מוסד (9)'!$M$22)+SUMIFS('בית ספר - תקצוב לפי מוסד (9)'!O:O,'בית ספר - תקצוב לפי מוסד (9)'!B:B,בקרה!D53,'בית ספר - תקצוב לפי מוסד (9)'!M:M,'בית ספר - תקצוב לפי מוסד (9)'!$M$22),"")</f>
        <v/>
      </c>
      <c r="G53" s="823">
        <v>2</v>
      </c>
      <c r="H53" s="823"/>
      <c r="I53" s="872">
        <f t="shared" si="22"/>
        <v>0</v>
      </c>
      <c r="J53" s="823"/>
      <c r="K53" s="819" t="s">
        <v>2342</v>
      </c>
      <c r="L53" s="825">
        <f>SUMIFS('בית ספר - תקצוב לפי מוסד (9)'!$U:$U,'בית ספר - תקצוב לפי מוסד (9)'!$T:$T,בקרה!D53,'בית ספר - תקצוב לפי מוסד (9)'!$S:$S,K53)</f>
        <v>0</v>
      </c>
      <c r="M53" s="1011">
        <f t="shared" si="1"/>
        <v>0</v>
      </c>
      <c r="N53" s="823"/>
      <c r="O53" s="823"/>
      <c r="P53" s="823"/>
      <c r="Q53" s="868" t="s">
        <v>2863</v>
      </c>
      <c r="R53" s="841">
        <f>MAX((L53-S53),0)</f>
        <v>0</v>
      </c>
      <c r="S53" s="841">
        <f>MAX(L53-MIN(M53,N53,O53,P53),0)</f>
        <v>0</v>
      </c>
      <c r="T53" s="825">
        <f>SUMIFS('בית ספר - תקצוב לפי מוסד (9)'!X:X,'בית ספר - תקצוב לפי מוסד (9)'!T:T,בקרה!D53,'בית ספר - תקצוב לפי מוסד (9)'!S:S,בקרה!K53)</f>
        <v>0</v>
      </c>
      <c r="U53" s="806" t="str">
        <f>IF(L53&gt;0,IF(T53&lt;0,"קיזוז","תקין"),"")</f>
        <v/>
      </c>
      <c r="V53" s="823"/>
      <c r="W53" s="823"/>
      <c r="X53" s="823"/>
    </row>
    <row r="54" spans="1:24" s="805" customFormat="1" x14ac:dyDescent="0.25">
      <c r="A54" s="832">
        <v>11</v>
      </c>
      <c r="B54" s="833" t="str">
        <f>IF(D54&gt;0,'נתונים כלליים (1)'!$C$5,"")</f>
        <v/>
      </c>
      <c r="C54" s="834" t="str">
        <f>IFERROR(VLOOKUP(B54,'רשימת רשויות'!A:C,3,0),"")</f>
        <v/>
      </c>
      <c r="D54" s="835">
        <f>VLOOKUP(A54,'דוח ביצוע (3)'!A:G,2,0)</f>
        <v>0</v>
      </c>
      <c r="E54" s="831" t="str">
        <f>IFERROR(VLOOKUP(D54,'נתוני רישום ומצבת'!B:D,3,0),"")</f>
        <v/>
      </c>
      <c r="F54" s="831" t="str">
        <f>IF(D54&gt;0,SUMIFS('בית ספר - תקצוב לפי מוסד (9)'!N:N,'בית ספר - תקצוב לפי מוסד (9)'!B:B,בקרה!D54,'בית ספר - תקצוב לפי מוסד (9)'!M:M,'בית ספר - תקצוב לפי מוסד (9)'!$M$22)+SUMIFS('בית ספר - תקצוב לפי מוסד (9)'!O:O,'בית ספר - תקצוב לפי מוסד (9)'!B:B,בקרה!D54,'בית ספר - תקצוב לפי מוסד (9)'!M:M,'בית ספר - תקצוב לפי מוסד (9)'!$M$22),"")</f>
        <v/>
      </c>
      <c r="G54" s="831">
        <v>2</v>
      </c>
      <c r="H54" s="831"/>
      <c r="I54" s="873">
        <f t="shared" si="22"/>
        <v>0</v>
      </c>
      <c r="J54" s="831"/>
      <c r="K54" s="832" t="s">
        <v>0</v>
      </c>
      <c r="L54" s="825">
        <f>SUMIFS('בית ספר - תקצוב לפי מוסד (9)'!$U:$U,'בית ספר - תקצוב לפי מוסד (9)'!$T:$T,בקרה!D54,'בית ספר - תקצוב לפי מוסד (9)'!$S:$S,K54)</f>
        <v>0</v>
      </c>
      <c r="M54" s="1012">
        <f t="shared" si="1"/>
        <v>0</v>
      </c>
      <c r="N54" s="868" t="s">
        <v>2863</v>
      </c>
      <c r="O54" s="868" t="s">
        <v>2863</v>
      </c>
      <c r="P54" s="868" t="s">
        <v>2863</v>
      </c>
      <c r="Q54" s="868" t="s">
        <v>2863</v>
      </c>
      <c r="R54" s="841">
        <f t="shared" ref="R54:R57" si="33">MAX((L54-S54),0)</f>
        <v>0</v>
      </c>
      <c r="S54" s="841">
        <f>MAX(L54-M54,0)</f>
        <v>0</v>
      </c>
      <c r="T54" s="825">
        <f>SUMIFS('בית ספר - תקצוב לפי מוסד (9)'!X:X,'בית ספר - תקצוב לפי מוסד (9)'!T:T,בקרה!D54,'בית ספר - תקצוב לפי מוסד (9)'!S:S,בקרה!K54)</f>
        <v>0</v>
      </c>
      <c r="U54" s="806" t="str">
        <f t="shared" ref="U54:U55" si="34">IF(L54&gt;0,IF(T54&lt;0,"קיזוז","תקין"),"")</f>
        <v/>
      </c>
      <c r="V54" s="831"/>
      <c r="W54" s="831"/>
      <c r="X54" s="831"/>
    </row>
    <row r="55" spans="1:24" s="805" customFormat="1" x14ac:dyDescent="0.25">
      <c r="A55" s="836">
        <v>11</v>
      </c>
      <c r="B55" s="837" t="str">
        <f>IF(D55&gt;0,'נתונים כלליים (1)'!$C$5,"")</f>
        <v/>
      </c>
      <c r="C55" s="838" t="str">
        <f>IFERROR(VLOOKUP(B55,'רשימת רשויות'!A:C,3,0),"")</f>
        <v/>
      </c>
      <c r="D55" s="839">
        <f>VLOOKUP(A55,'דוח ביצוע (3)'!A:G,2,0)</f>
        <v>0</v>
      </c>
      <c r="E55" s="840" t="str">
        <f>IFERROR(VLOOKUP(D55,'נתוני רישום ומצבת'!B:D,3,0),"")</f>
        <v/>
      </c>
      <c r="F55" s="840" t="str">
        <f>IF(D55&gt;0,SUMIFS('בית ספר - תקצוב לפי מוסד (9)'!N:N,'בית ספר - תקצוב לפי מוסד (9)'!B:B,בקרה!D55,'בית ספר - תקצוב לפי מוסד (9)'!M:M,'בית ספר - תקצוב לפי מוסד (9)'!$M$22)+SUMIFS('בית ספר - תקצוב לפי מוסד (9)'!O:O,'בית ספר - תקצוב לפי מוסד (9)'!B:B,בקרה!D55,'בית ספר - תקצוב לפי מוסד (9)'!M:M,'בית ספר - תקצוב לפי מוסד (9)'!$M$22),"")</f>
        <v/>
      </c>
      <c r="G55" s="840">
        <v>2</v>
      </c>
      <c r="H55" s="840"/>
      <c r="I55" s="874">
        <f t="shared" si="22"/>
        <v>0</v>
      </c>
      <c r="J55" s="840"/>
      <c r="K55" s="836" t="s">
        <v>93</v>
      </c>
      <c r="L55" s="825">
        <f>SUMIFS('בית ספר - תקצוב לפי מוסד (9)'!$U:$U,'בית ספר - תקצוב לפי מוסד (9)'!$T:$T,בקרה!D55,'בית ספר - תקצוב לפי מוסד (9)'!$S:$S,K55)</f>
        <v>0</v>
      </c>
      <c r="M55" s="1013">
        <f t="shared" si="1"/>
        <v>0</v>
      </c>
      <c r="N55" s="868" t="s">
        <v>2863</v>
      </c>
      <c r="O55" s="868" t="s">
        <v>2863</v>
      </c>
      <c r="P55" s="868" t="s">
        <v>2863</v>
      </c>
      <c r="Q55" s="868" t="s">
        <v>2863</v>
      </c>
      <c r="R55" s="841">
        <f t="shared" si="33"/>
        <v>0</v>
      </c>
      <c r="S55" s="841">
        <f t="shared" ref="S55:S57" si="35">MAX(L55-M55,0)</f>
        <v>0</v>
      </c>
      <c r="T55" s="825">
        <f>SUMIFS('בית ספר - תקצוב לפי מוסד (9)'!X:X,'בית ספר - תקצוב לפי מוסד (9)'!T:T,בקרה!D55,'בית ספר - תקצוב לפי מוסד (9)'!S:S,בקרה!K55)</f>
        <v>0</v>
      </c>
      <c r="U55" s="806" t="str">
        <f t="shared" si="34"/>
        <v/>
      </c>
      <c r="V55" s="840"/>
      <c r="W55" s="840"/>
      <c r="X55" s="840"/>
    </row>
    <row r="56" spans="1:24" s="805" customFormat="1" x14ac:dyDescent="0.25">
      <c r="A56" s="809">
        <v>11</v>
      </c>
      <c r="B56" s="810" t="str">
        <f>IF(D56&gt;0,'נתונים כלליים (1)'!$C$5,"")</f>
        <v/>
      </c>
      <c r="C56" s="811" t="str">
        <f>IFERROR(VLOOKUP(B56,'רשימת רשויות'!A:C,3,0),"")</f>
        <v/>
      </c>
      <c r="D56" s="812">
        <f>VLOOKUP(A56,'דוח ביצוע (3)'!A:G,2,0)</f>
        <v>0</v>
      </c>
      <c r="E56" s="813" t="str">
        <f>IFERROR(VLOOKUP(D56,'נתוני רישום ומצבת'!B:D,3,0),"")</f>
        <v/>
      </c>
      <c r="F56" s="813" t="str">
        <f>IF(D56&gt;0,SUMIFS('בית ספר - תקצוב לפי מוסד (9)'!N:N,'בית ספר - תקצוב לפי מוסד (9)'!B:B,בקרה!D56,'בית ספר - תקצוב לפי מוסד (9)'!M:M,'בית ספר - תקצוב לפי מוסד (9)'!$M$22)+SUMIFS('בית ספר - תקצוב לפי מוסד (9)'!O:O,'בית ספר - תקצוב לפי מוסד (9)'!B:B,בקרה!D56,'בית ספר - תקצוב לפי מוסד (9)'!M:M,'בית ספר - תקצוב לפי מוסד (9)'!$M$22),"")</f>
        <v/>
      </c>
      <c r="G56" s="813">
        <v>2</v>
      </c>
      <c r="H56" s="813"/>
      <c r="I56" s="875">
        <f t="shared" si="22"/>
        <v>0</v>
      </c>
      <c r="J56" s="813"/>
      <c r="K56" s="809" t="s">
        <v>2815</v>
      </c>
      <c r="L56" s="825">
        <f>SUMIFS('בית ספר - תקצוב לפי מוסד (9)'!$U:$U,'בית ספר - תקצוב לפי מוסד (9)'!$T:$T,בקרה!D56,'בית ספר - תקצוב לפי מוסד (9)'!$S:$S,"מלגות להורים")</f>
        <v>0</v>
      </c>
      <c r="M56" s="1014">
        <f t="shared" si="1"/>
        <v>0</v>
      </c>
      <c r="N56" s="868" t="s">
        <v>2863</v>
      </c>
      <c r="O56" s="868" t="s">
        <v>2863</v>
      </c>
      <c r="P56" s="868" t="s">
        <v>2863</v>
      </c>
      <c r="Q56" s="813"/>
      <c r="R56" s="841">
        <f t="shared" si="33"/>
        <v>0</v>
      </c>
      <c r="S56" s="841">
        <f t="shared" si="35"/>
        <v>0</v>
      </c>
      <c r="T56" s="825">
        <f>SUMIFS('בית ספר - תקצוב לפי מוסד (9)'!X:X,'בית ספר - תקצוב לפי מוסד (9)'!T:T,בקרה!D56,'בית ספר - תקצוב לפי מוסד (9)'!S:S,בקרה!K56)</f>
        <v>0</v>
      </c>
      <c r="U56" s="806">
        <f>Q56</f>
        <v>0</v>
      </c>
      <c r="V56" s="813"/>
      <c r="W56" s="813"/>
      <c r="X56" s="813"/>
    </row>
    <row r="57" spans="1:24" s="805" customFormat="1" x14ac:dyDescent="0.25">
      <c r="A57" s="814">
        <v>11</v>
      </c>
      <c r="B57" s="815" t="str">
        <f>IF(D57&gt;0,'נתונים כלליים (1)'!$C$5,"")</f>
        <v/>
      </c>
      <c r="C57" s="816" t="str">
        <f>IFERROR(VLOOKUP(B57,'רשימת רשויות'!A:C,3,0),"")</f>
        <v/>
      </c>
      <c r="D57" s="817">
        <f>VLOOKUP(A57,'דוח ביצוע (3)'!A:G,2,0)</f>
        <v>0</v>
      </c>
      <c r="E57" s="818" t="str">
        <f>IFERROR(VLOOKUP(D57,'נתוני רישום ומצבת'!B:D,3,0),"")</f>
        <v/>
      </c>
      <c r="F57" s="818" t="str">
        <f>IF(D57&gt;0,SUMIFS('בית ספר - תקצוב לפי מוסד (9)'!N:N,'בית ספר - תקצוב לפי מוסד (9)'!B:B,בקרה!D57,'בית ספר - תקצוב לפי מוסד (9)'!M:M,'בית ספר - תקצוב לפי מוסד (9)'!$M$22)+SUMIFS('בית ספר - תקצוב לפי מוסד (9)'!O:O,'בית ספר - תקצוב לפי מוסד (9)'!B:B,בקרה!D57,'בית ספר - תקצוב לפי מוסד (9)'!M:M,'בית ספר - תקצוב לפי מוסד (9)'!$M$22),"")</f>
        <v/>
      </c>
      <c r="G57" s="818">
        <v>2</v>
      </c>
      <c r="H57" s="818"/>
      <c r="I57" s="876">
        <f t="shared" si="22"/>
        <v>0</v>
      </c>
      <c r="J57" s="818"/>
      <c r="K57" s="814" t="s">
        <v>2344</v>
      </c>
      <c r="L57" s="825">
        <f>IFERROR(VLOOKUP(D57,'תשלומי הורים ומלגות להורים (5) '!B:C,2,0),0)</f>
        <v>0</v>
      </c>
      <c r="M57" s="1015">
        <f t="shared" si="1"/>
        <v>0</v>
      </c>
      <c r="N57" s="868" t="s">
        <v>2863</v>
      </c>
      <c r="O57" s="868" t="s">
        <v>2863</v>
      </c>
      <c r="P57" s="868" t="s">
        <v>2863</v>
      </c>
      <c r="Q57" s="818" t="s">
        <v>2876</v>
      </c>
      <c r="R57" s="841">
        <f t="shared" si="33"/>
        <v>0</v>
      </c>
      <c r="S57" s="841">
        <f t="shared" si="35"/>
        <v>0</v>
      </c>
      <c r="T57" s="869"/>
      <c r="U57" s="806" t="str">
        <f>Q57</f>
        <v>תקין</v>
      </c>
      <c r="V57" s="818"/>
      <c r="W57" s="818"/>
      <c r="X57" s="818"/>
    </row>
    <row r="58" spans="1:24" s="805" customFormat="1" ht="14.25" customHeight="1" x14ac:dyDescent="0.25">
      <c r="A58" s="819">
        <v>12</v>
      </c>
      <c r="B58" s="820" t="str">
        <f>IF(D58&gt;0,'נתונים כלליים (1)'!$C$5,"")</f>
        <v/>
      </c>
      <c r="C58" s="821" t="str">
        <f>IFERROR(VLOOKUP(B58,'רשימת רשויות'!A:C,3,0),"")</f>
        <v/>
      </c>
      <c r="D58" s="822">
        <f>VLOOKUP(A58,'דוח ביצוע (3)'!A:G,2,0)</f>
        <v>0</v>
      </c>
      <c r="E58" s="823" t="str">
        <f>IFERROR(VLOOKUP(D58,'נתוני רישום ומצבת'!B:D,3,0),"")</f>
        <v/>
      </c>
      <c r="F58" s="823" t="str">
        <f>IF(D58&gt;0,SUMIFS('בית ספר - תקצוב לפי מוסד (9)'!N:N,'בית ספר - תקצוב לפי מוסד (9)'!B:B,בקרה!D58,'בית ספר - תקצוב לפי מוסד (9)'!M:M,'בית ספר - תקצוב לפי מוסד (9)'!$M$22)+SUMIFS('בית ספר - תקצוב לפי מוסד (9)'!O:O,'בית ספר - תקצוב לפי מוסד (9)'!B:B,בקרה!D58,'בית ספר - תקצוב לפי מוסד (9)'!M:M,'בית ספר - תקצוב לפי מוסד (9)'!$M$22),"")</f>
        <v/>
      </c>
      <c r="G58" s="823">
        <v>2</v>
      </c>
      <c r="H58" s="823"/>
      <c r="I58" s="872">
        <f t="shared" si="22"/>
        <v>0</v>
      </c>
      <c r="J58" s="823"/>
      <c r="K58" s="819" t="s">
        <v>2342</v>
      </c>
      <c r="L58" s="825">
        <f>SUMIFS('בית ספר - תקצוב לפי מוסד (9)'!$U:$U,'בית ספר - תקצוב לפי מוסד (9)'!$T:$T,בקרה!D58,'בית ספר - תקצוב לפי מוסד (9)'!$S:$S,K58)</f>
        <v>0</v>
      </c>
      <c r="M58" s="1011">
        <f t="shared" si="1"/>
        <v>0</v>
      </c>
      <c r="N58" s="823"/>
      <c r="O58" s="823"/>
      <c r="P58" s="823"/>
      <c r="Q58" s="868" t="s">
        <v>2863</v>
      </c>
      <c r="R58" s="841">
        <f>MAX((L58-S58),0)</f>
        <v>0</v>
      </c>
      <c r="S58" s="841">
        <f>MAX(L58-MIN(M58,N58,O58,P58),0)</f>
        <v>0</v>
      </c>
      <c r="T58" s="825">
        <f>SUMIFS('בית ספר - תקצוב לפי מוסד (9)'!X:X,'בית ספר - תקצוב לפי מוסד (9)'!T:T,בקרה!D58,'בית ספר - תקצוב לפי מוסד (9)'!S:S,בקרה!K58)</f>
        <v>0</v>
      </c>
      <c r="U58" s="806" t="str">
        <f>IF(L58&gt;0,IF(T58&lt;0,"קיזוז","תקין"),"")</f>
        <v/>
      </c>
      <c r="V58" s="823"/>
      <c r="W58" s="823"/>
      <c r="X58" s="823"/>
    </row>
    <row r="59" spans="1:24" s="805" customFormat="1" x14ac:dyDescent="0.25">
      <c r="A59" s="832">
        <v>12</v>
      </c>
      <c r="B59" s="833" t="str">
        <f>IF(D59&gt;0,'נתונים כלליים (1)'!$C$5,"")</f>
        <v/>
      </c>
      <c r="C59" s="834" t="str">
        <f>IFERROR(VLOOKUP(B59,'רשימת רשויות'!A:C,3,0),"")</f>
        <v/>
      </c>
      <c r="D59" s="835">
        <f>VLOOKUP(A59,'דוח ביצוע (3)'!A:G,2,0)</f>
        <v>0</v>
      </c>
      <c r="E59" s="831" t="str">
        <f>IFERROR(VLOOKUP(D59,'נתוני רישום ומצבת'!B:D,3,0),"")</f>
        <v/>
      </c>
      <c r="F59" s="831" t="str">
        <f>IF(D59&gt;0,SUMIFS('בית ספר - תקצוב לפי מוסד (9)'!N:N,'בית ספר - תקצוב לפי מוסד (9)'!B:B,בקרה!D59,'בית ספר - תקצוב לפי מוסד (9)'!M:M,'בית ספר - תקצוב לפי מוסד (9)'!$M$22)+SUMIFS('בית ספר - תקצוב לפי מוסד (9)'!O:O,'בית ספר - תקצוב לפי מוסד (9)'!B:B,בקרה!D59,'בית ספר - תקצוב לפי מוסד (9)'!M:M,'בית ספר - תקצוב לפי מוסד (9)'!$M$22),"")</f>
        <v/>
      </c>
      <c r="G59" s="831">
        <v>2</v>
      </c>
      <c r="H59" s="831"/>
      <c r="I59" s="873">
        <f t="shared" si="22"/>
        <v>0</v>
      </c>
      <c r="J59" s="831"/>
      <c r="K59" s="832" t="s">
        <v>0</v>
      </c>
      <c r="L59" s="825">
        <f>SUMIFS('בית ספר - תקצוב לפי מוסד (9)'!$U:$U,'בית ספר - תקצוב לפי מוסד (9)'!$T:$T,בקרה!D59,'בית ספר - תקצוב לפי מוסד (9)'!$S:$S,K59)</f>
        <v>0</v>
      </c>
      <c r="M59" s="1012">
        <f t="shared" si="1"/>
        <v>0</v>
      </c>
      <c r="N59" s="868" t="s">
        <v>2863</v>
      </c>
      <c r="O59" s="868" t="s">
        <v>2863</v>
      </c>
      <c r="P59" s="868" t="s">
        <v>2863</v>
      </c>
      <c r="Q59" s="868" t="s">
        <v>2863</v>
      </c>
      <c r="R59" s="841">
        <f t="shared" ref="R59:R62" si="36">MAX((L59-S59),0)</f>
        <v>0</v>
      </c>
      <c r="S59" s="841">
        <f>MAX(L59-M59,0)</f>
        <v>0</v>
      </c>
      <c r="T59" s="825">
        <f>SUMIFS('בית ספר - תקצוב לפי מוסד (9)'!X:X,'בית ספר - תקצוב לפי מוסד (9)'!T:T,בקרה!D59,'בית ספר - תקצוב לפי מוסד (9)'!S:S,בקרה!K59)</f>
        <v>0</v>
      </c>
      <c r="U59" s="806" t="str">
        <f t="shared" ref="U59:U60" si="37">IF(L59&gt;0,IF(T59&lt;0,"קיזוז","תקין"),"")</f>
        <v/>
      </c>
      <c r="V59" s="831"/>
      <c r="W59" s="831"/>
      <c r="X59" s="831"/>
    </row>
    <row r="60" spans="1:24" s="805" customFormat="1" x14ac:dyDescent="0.25">
      <c r="A60" s="836">
        <v>12</v>
      </c>
      <c r="B60" s="837" t="str">
        <f>IF(D60&gt;0,'נתונים כלליים (1)'!$C$5,"")</f>
        <v/>
      </c>
      <c r="C60" s="838" t="str">
        <f>IFERROR(VLOOKUP(B60,'רשימת רשויות'!A:C,3,0),"")</f>
        <v/>
      </c>
      <c r="D60" s="839">
        <f>VLOOKUP(A60,'דוח ביצוע (3)'!A:G,2,0)</f>
        <v>0</v>
      </c>
      <c r="E60" s="840" t="str">
        <f>IFERROR(VLOOKUP(D60,'נתוני רישום ומצבת'!B:D,3,0),"")</f>
        <v/>
      </c>
      <c r="F60" s="840" t="str">
        <f>IF(D60&gt;0,SUMIFS('בית ספר - תקצוב לפי מוסד (9)'!N:N,'בית ספר - תקצוב לפי מוסד (9)'!B:B,בקרה!D60,'בית ספר - תקצוב לפי מוסד (9)'!M:M,'בית ספר - תקצוב לפי מוסד (9)'!$M$22)+SUMIFS('בית ספר - תקצוב לפי מוסד (9)'!O:O,'בית ספר - תקצוב לפי מוסד (9)'!B:B,בקרה!D60,'בית ספר - תקצוב לפי מוסד (9)'!M:M,'בית ספר - תקצוב לפי מוסד (9)'!$M$22),"")</f>
        <v/>
      </c>
      <c r="G60" s="840">
        <v>2</v>
      </c>
      <c r="H60" s="840"/>
      <c r="I60" s="874">
        <f t="shared" si="22"/>
        <v>0</v>
      </c>
      <c r="J60" s="840"/>
      <c r="K60" s="836" t="s">
        <v>93</v>
      </c>
      <c r="L60" s="825">
        <f>SUMIFS('בית ספר - תקצוב לפי מוסד (9)'!$U:$U,'בית ספר - תקצוב לפי מוסד (9)'!$T:$T,בקרה!D60,'בית ספר - תקצוב לפי מוסד (9)'!$S:$S,K60)</f>
        <v>0</v>
      </c>
      <c r="M60" s="1013">
        <f t="shared" si="1"/>
        <v>0</v>
      </c>
      <c r="N60" s="868" t="s">
        <v>2863</v>
      </c>
      <c r="O60" s="868" t="s">
        <v>2863</v>
      </c>
      <c r="P60" s="868" t="s">
        <v>2863</v>
      </c>
      <c r="Q60" s="868" t="s">
        <v>2863</v>
      </c>
      <c r="R60" s="841">
        <f t="shared" si="36"/>
        <v>0</v>
      </c>
      <c r="S60" s="841">
        <f t="shared" ref="S60:S62" si="38">MAX(L60-M60,0)</f>
        <v>0</v>
      </c>
      <c r="T60" s="825">
        <f>SUMIFS('בית ספר - תקצוב לפי מוסד (9)'!X:X,'בית ספר - תקצוב לפי מוסד (9)'!T:T,בקרה!D60,'בית ספר - תקצוב לפי מוסד (9)'!S:S,בקרה!K60)</f>
        <v>0</v>
      </c>
      <c r="U60" s="806" t="str">
        <f t="shared" si="37"/>
        <v/>
      </c>
      <c r="V60" s="840"/>
      <c r="W60" s="840"/>
      <c r="X60" s="840"/>
    </row>
    <row r="61" spans="1:24" s="805" customFormat="1" x14ac:dyDescent="0.25">
      <c r="A61" s="809">
        <v>12</v>
      </c>
      <c r="B61" s="810" t="str">
        <f>IF(D61&gt;0,'נתונים כלליים (1)'!$C$5,"")</f>
        <v/>
      </c>
      <c r="C61" s="811" t="str">
        <f>IFERROR(VLOOKUP(B61,'רשימת רשויות'!A:C,3,0),"")</f>
        <v/>
      </c>
      <c r="D61" s="812">
        <f>VLOOKUP(A61,'דוח ביצוע (3)'!A:G,2,0)</f>
        <v>0</v>
      </c>
      <c r="E61" s="813" t="str">
        <f>IFERROR(VLOOKUP(D61,'נתוני רישום ומצבת'!B:D,3,0),"")</f>
        <v/>
      </c>
      <c r="F61" s="813" t="str">
        <f>IF(D61&gt;0,SUMIFS('בית ספר - תקצוב לפי מוסד (9)'!N:N,'בית ספר - תקצוב לפי מוסד (9)'!B:B,בקרה!D61,'בית ספר - תקצוב לפי מוסד (9)'!M:M,'בית ספר - תקצוב לפי מוסד (9)'!$M$22)+SUMIFS('בית ספר - תקצוב לפי מוסד (9)'!O:O,'בית ספר - תקצוב לפי מוסד (9)'!B:B,בקרה!D61,'בית ספר - תקצוב לפי מוסד (9)'!M:M,'בית ספר - תקצוב לפי מוסד (9)'!$M$22),"")</f>
        <v/>
      </c>
      <c r="G61" s="813">
        <v>2</v>
      </c>
      <c r="H61" s="813"/>
      <c r="I61" s="875">
        <f t="shared" si="22"/>
        <v>0</v>
      </c>
      <c r="J61" s="813"/>
      <c r="K61" s="809" t="s">
        <v>2815</v>
      </c>
      <c r="L61" s="825">
        <f>SUMIFS('בית ספר - תקצוב לפי מוסד (9)'!$U:$U,'בית ספר - תקצוב לפי מוסד (9)'!$T:$T,בקרה!D61,'בית ספר - תקצוב לפי מוסד (9)'!$S:$S,"מלגות להורים")</f>
        <v>0</v>
      </c>
      <c r="M61" s="1014">
        <f t="shared" si="1"/>
        <v>0</v>
      </c>
      <c r="N61" s="868" t="s">
        <v>2863</v>
      </c>
      <c r="O61" s="868" t="s">
        <v>2863</v>
      </c>
      <c r="P61" s="868" t="s">
        <v>2863</v>
      </c>
      <c r="Q61" s="813"/>
      <c r="R61" s="841">
        <f t="shared" si="36"/>
        <v>0</v>
      </c>
      <c r="S61" s="841">
        <f t="shared" si="38"/>
        <v>0</v>
      </c>
      <c r="T61" s="825">
        <f>SUMIFS('בית ספר - תקצוב לפי מוסד (9)'!X:X,'בית ספר - תקצוב לפי מוסד (9)'!T:T,בקרה!D61,'בית ספר - תקצוב לפי מוסד (9)'!S:S,בקרה!K61)</f>
        <v>0</v>
      </c>
      <c r="U61" s="806">
        <f>Q61</f>
        <v>0</v>
      </c>
      <c r="V61" s="813"/>
      <c r="W61" s="813"/>
      <c r="X61" s="813"/>
    </row>
    <row r="62" spans="1:24" s="805" customFormat="1" x14ac:dyDescent="0.25">
      <c r="A62" s="814">
        <v>12</v>
      </c>
      <c r="B62" s="815" t="str">
        <f>IF(D62&gt;0,'נתונים כלליים (1)'!$C$5,"")</f>
        <v/>
      </c>
      <c r="C62" s="816" t="str">
        <f>IFERROR(VLOOKUP(B62,'רשימת רשויות'!A:C,3,0),"")</f>
        <v/>
      </c>
      <c r="D62" s="817">
        <f>VLOOKUP(A62,'דוח ביצוע (3)'!A:G,2,0)</f>
        <v>0</v>
      </c>
      <c r="E62" s="818" t="str">
        <f>IFERROR(VLOOKUP(D62,'נתוני רישום ומצבת'!B:D,3,0),"")</f>
        <v/>
      </c>
      <c r="F62" s="818" t="str">
        <f>IF(D62&gt;0,SUMIFS('בית ספר - תקצוב לפי מוסד (9)'!N:N,'בית ספר - תקצוב לפי מוסד (9)'!B:B,בקרה!D62,'בית ספר - תקצוב לפי מוסד (9)'!M:M,'בית ספר - תקצוב לפי מוסד (9)'!$M$22)+SUMIFS('בית ספר - תקצוב לפי מוסד (9)'!O:O,'בית ספר - תקצוב לפי מוסד (9)'!B:B,בקרה!D62,'בית ספר - תקצוב לפי מוסד (9)'!M:M,'בית ספר - תקצוב לפי מוסד (9)'!$M$22),"")</f>
        <v/>
      </c>
      <c r="G62" s="818">
        <v>2</v>
      </c>
      <c r="H62" s="818"/>
      <c r="I62" s="876">
        <f t="shared" si="22"/>
        <v>0</v>
      </c>
      <c r="J62" s="818"/>
      <c r="K62" s="814" t="s">
        <v>2344</v>
      </c>
      <c r="L62" s="825">
        <f>IFERROR(VLOOKUP(D62,'תשלומי הורים ומלגות להורים (5) '!B:C,2,0),0)</f>
        <v>0</v>
      </c>
      <c r="M62" s="1015">
        <f t="shared" si="1"/>
        <v>0</v>
      </c>
      <c r="N62" s="868" t="s">
        <v>2863</v>
      </c>
      <c r="O62" s="868" t="s">
        <v>2863</v>
      </c>
      <c r="P62" s="868" t="s">
        <v>2863</v>
      </c>
      <c r="Q62" s="818" t="s">
        <v>2876</v>
      </c>
      <c r="R62" s="841">
        <f t="shared" si="36"/>
        <v>0</v>
      </c>
      <c r="S62" s="841">
        <f t="shared" si="38"/>
        <v>0</v>
      </c>
      <c r="T62" s="869"/>
      <c r="U62" s="806" t="str">
        <f>Q62</f>
        <v>תקין</v>
      </c>
      <c r="V62" s="818"/>
      <c r="W62" s="818"/>
      <c r="X62" s="818"/>
    </row>
    <row r="63" spans="1:24" s="805" customFormat="1" ht="14.25" customHeight="1" x14ac:dyDescent="0.25">
      <c r="A63" s="819">
        <v>13</v>
      </c>
      <c r="B63" s="820" t="str">
        <f>IF(D63&gt;0,'נתונים כלליים (1)'!$C$5,"")</f>
        <v/>
      </c>
      <c r="C63" s="821" t="str">
        <f>IFERROR(VLOOKUP(B63,'רשימת רשויות'!A:C,3,0),"")</f>
        <v/>
      </c>
      <c r="D63" s="822">
        <f>VLOOKUP(A63,'דוח ביצוע (3)'!A:G,2,0)</f>
        <v>0</v>
      </c>
      <c r="E63" s="823" t="str">
        <f>IFERROR(VLOOKUP(D63,'נתוני רישום ומצבת'!B:D,3,0),"")</f>
        <v/>
      </c>
      <c r="F63" s="823" t="str">
        <f>IF(D63&gt;0,SUMIFS('בית ספר - תקצוב לפי מוסד (9)'!N:N,'בית ספר - תקצוב לפי מוסד (9)'!B:B,בקרה!D63,'בית ספר - תקצוב לפי מוסד (9)'!M:M,'בית ספר - תקצוב לפי מוסד (9)'!$M$22)+SUMIFS('בית ספר - תקצוב לפי מוסד (9)'!O:O,'בית ספר - תקצוב לפי מוסד (9)'!B:B,בקרה!D63,'בית ספר - תקצוב לפי מוסד (9)'!M:M,'בית ספר - תקצוב לפי מוסד (9)'!$M$22),"")</f>
        <v/>
      </c>
      <c r="G63" s="823">
        <v>2</v>
      </c>
      <c r="H63" s="823"/>
      <c r="I63" s="872">
        <f t="shared" si="22"/>
        <v>0</v>
      </c>
      <c r="J63" s="823"/>
      <c r="K63" s="819" t="s">
        <v>2342</v>
      </c>
      <c r="L63" s="825">
        <f>SUMIFS('בית ספר - תקצוב לפי מוסד (9)'!$U:$U,'בית ספר - תקצוב לפי מוסד (9)'!$T:$T,בקרה!D63,'בית ספר - תקצוב לפי מוסד (9)'!$S:$S,K63)</f>
        <v>0</v>
      </c>
      <c r="M63" s="1011">
        <f t="shared" si="1"/>
        <v>0</v>
      </c>
      <c r="N63" s="823"/>
      <c r="O63" s="823"/>
      <c r="P63" s="823"/>
      <c r="Q63" s="868" t="s">
        <v>2863</v>
      </c>
      <c r="R63" s="841">
        <f>MAX((L63-S63),0)</f>
        <v>0</v>
      </c>
      <c r="S63" s="841">
        <f>MAX(L63-MIN(M63,N63,O63,P63),0)</f>
        <v>0</v>
      </c>
      <c r="T63" s="825">
        <f>SUMIFS('בית ספר - תקצוב לפי מוסד (9)'!X:X,'בית ספר - תקצוב לפי מוסד (9)'!T:T,בקרה!D63,'בית ספר - תקצוב לפי מוסד (9)'!S:S,בקרה!K63)</f>
        <v>0</v>
      </c>
      <c r="U63" s="806" t="str">
        <f>IF(L63&gt;0,IF(T63&lt;0,"קיזוז","תקין"),"")</f>
        <v/>
      </c>
      <c r="V63" s="823"/>
      <c r="W63" s="823"/>
      <c r="X63" s="823"/>
    </row>
    <row r="64" spans="1:24" s="805" customFormat="1" x14ac:dyDescent="0.25">
      <c r="A64" s="832">
        <v>13</v>
      </c>
      <c r="B64" s="833" t="str">
        <f>IF(D64&gt;0,'נתונים כלליים (1)'!$C$5,"")</f>
        <v/>
      </c>
      <c r="C64" s="834" t="str">
        <f>IFERROR(VLOOKUP(B64,'רשימת רשויות'!A:C,3,0),"")</f>
        <v/>
      </c>
      <c r="D64" s="835">
        <f>VLOOKUP(A64,'דוח ביצוע (3)'!A:G,2,0)</f>
        <v>0</v>
      </c>
      <c r="E64" s="831" t="str">
        <f>IFERROR(VLOOKUP(D64,'נתוני רישום ומצבת'!B:D,3,0),"")</f>
        <v/>
      </c>
      <c r="F64" s="831" t="str">
        <f>IF(D64&gt;0,SUMIFS('בית ספר - תקצוב לפי מוסד (9)'!N:N,'בית ספר - תקצוב לפי מוסד (9)'!B:B,בקרה!D64,'בית ספר - תקצוב לפי מוסד (9)'!M:M,'בית ספר - תקצוב לפי מוסד (9)'!$M$22)+SUMIFS('בית ספר - תקצוב לפי מוסד (9)'!O:O,'בית ספר - תקצוב לפי מוסד (9)'!B:B,בקרה!D64,'בית ספר - תקצוב לפי מוסד (9)'!M:M,'בית ספר - תקצוב לפי מוסד (9)'!$M$22),"")</f>
        <v/>
      </c>
      <c r="G64" s="831">
        <v>2</v>
      </c>
      <c r="H64" s="831"/>
      <c r="I64" s="873">
        <f t="shared" si="22"/>
        <v>0</v>
      </c>
      <c r="J64" s="831"/>
      <c r="K64" s="832" t="s">
        <v>0</v>
      </c>
      <c r="L64" s="825">
        <f>SUMIFS('בית ספר - תקצוב לפי מוסד (9)'!$U:$U,'בית ספר - תקצוב לפי מוסד (9)'!$T:$T,בקרה!D64,'בית ספר - תקצוב לפי מוסד (9)'!$S:$S,K64)</f>
        <v>0</v>
      </c>
      <c r="M64" s="1012">
        <f t="shared" si="1"/>
        <v>0</v>
      </c>
      <c r="N64" s="868" t="s">
        <v>2863</v>
      </c>
      <c r="O64" s="868" t="s">
        <v>2863</v>
      </c>
      <c r="P64" s="868" t="s">
        <v>2863</v>
      </c>
      <c r="Q64" s="868" t="s">
        <v>2863</v>
      </c>
      <c r="R64" s="841">
        <f t="shared" ref="R64:R67" si="39">MAX((L64-S64),0)</f>
        <v>0</v>
      </c>
      <c r="S64" s="841">
        <f>MAX(L64-M64,0)</f>
        <v>0</v>
      </c>
      <c r="T64" s="825">
        <f>SUMIFS('בית ספר - תקצוב לפי מוסד (9)'!X:X,'בית ספר - תקצוב לפי מוסד (9)'!T:T,בקרה!D64,'בית ספר - תקצוב לפי מוסד (9)'!S:S,בקרה!K64)</f>
        <v>0</v>
      </c>
      <c r="U64" s="806" t="str">
        <f t="shared" ref="U64:U65" si="40">IF(L64&gt;0,IF(T64&lt;0,"קיזוז","תקין"),"")</f>
        <v/>
      </c>
      <c r="V64" s="831"/>
      <c r="W64" s="831"/>
      <c r="X64" s="831"/>
    </row>
    <row r="65" spans="1:24" s="805" customFormat="1" x14ac:dyDescent="0.25">
      <c r="A65" s="836">
        <v>13</v>
      </c>
      <c r="B65" s="837" t="str">
        <f>IF(D65&gt;0,'נתונים כלליים (1)'!$C$5,"")</f>
        <v/>
      </c>
      <c r="C65" s="838" t="str">
        <f>IFERROR(VLOOKUP(B65,'רשימת רשויות'!A:C,3,0),"")</f>
        <v/>
      </c>
      <c r="D65" s="839">
        <f>VLOOKUP(A65,'דוח ביצוע (3)'!A:G,2,0)</f>
        <v>0</v>
      </c>
      <c r="E65" s="840" t="str">
        <f>IFERROR(VLOOKUP(D65,'נתוני רישום ומצבת'!B:D,3,0),"")</f>
        <v/>
      </c>
      <c r="F65" s="840" t="str">
        <f>IF(D65&gt;0,SUMIFS('בית ספר - תקצוב לפי מוסד (9)'!N:N,'בית ספר - תקצוב לפי מוסד (9)'!B:B,בקרה!D65,'בית ספר - תקצוב לפי מוסד (9)'!M:M,'בית ספר - תקצוב לפי מוסד (9)'!$M$22)+SUMIFS('בית ספר - תקצוב לפי מוסד (9)'!O:O,'בית ספר - תקצוב לפי מוסד (9)'!B:B,בקרה!D65,'בית ספר - תקצוב לפי מוסד (9)'!M:M,'בית ספר - תקצוב לפי מוסד (9)'!$M$22),"")</f>
        <v/>
      </c>
      <c r="G65" s="840">
        <v>2</v>
      </c>
      <c r="H65" s="840"/>
      <c r="I65" s="874">
        <f t="shared" si="22"/>
        <v>0</v>
      </c>
      <c r="J65" s="840"/>
      <c r="K65" s="836" t="s">
        <v>93</v>
      </c>
      <c r="L65" s="825">
        <f>SUMIFS('בית ספר - תקצוב לפי מוסד (9)'!$U:$U,'בית ספר - תקצוב לפי מוסד (9)'!$T:$T,בקרה!D65,'בית ספר - תקצוב לפי מוסד (9)'!$S:$S,K65)</f>
        <v>0</v>
      </c>
      <c r="M65" s="1013">
        <f t="shared" si="1"/>
        <v>0</v>
      </c>
      <c r="N65" s="868" t="s">
        <v>2863</v>
      </c>
      <c r="O65" s="868" t="s">
        <v>2863</v>
      </c>
      <c r="P65" s="868" t="s">
        <v>2863</v>
      </c>
      <c r="Q65" s="868" t="s">
        <v>2863</v>
      </c>
      <c r="R65" s="841">
        <f t="shared" si="39"/>
        <v>0</v>
      </c>
      <c r="S65" s="841">
        <f t="shared" ref="S65:S67" si="41">MAX(L65-M65,0)</f>
        <v>0</v>
      </c>
      <c r="T65" s="825">
        <f>SUMIFS('בית ספר - תקצוב לפי מוסד (9)'!X:X,'בית ספר - תקצוב לפי מוסד (9)'!T:T,בקרה!D65,'בית ספר - תקצוב לפי מוסד (9)'!S:S,בקרה!K65)</f>
        <v>0</v>
      </c>
      <c r="U65" s="806" t="str">
        <f t="shared" si="40"/>
        <v/>
      </c>
      <c r="V65" s="840"/>
      <c r="W65" s="840"/>
      <c r="X65" s="840"/>
    </row>
    <row r="66" spans="1:24" s="805" customFormat="1" x14ac:dyDescent="0.25">
      <c r="A66" s="809">
        <v>13</v>
      </c>
      <c r="B66" s="810" t="str">
        <f>IF(D66&gt;0,'נתונים כלליים (1)'!$C$5,"")</f>
        <v/>
      </c>
      <c r="C66" s="811" t="str">
        <f>IFERROR(VLOOKUP(B66,'רשימת רשויות'!A:C,3,0),"")</f>
        <v/>
      </c>
      <c r="D66" s="812">
        <f>VLOOKUP(A66,'דוח ביצוע (3)'!A:G,2,0)</f>
        <v>0</v>
      </c>
      <c r="E66" s="813" t="str">
        <f>IFERROR(VLOOKUP(D66,'נתוני רישום ומצבת'!B:D,3,0),"")</f>
        <v/>
      </c>
      <c r="F66" s="813" t="str">
        <f>IF(D66&gt;0,SUMIFS('בית ספר - תקצוב לפי מוסד (9)'!N:N,'בית ספר - תקצוב לפי מוסד (9)'!B:B,בקרה!D66,'בית ספר - תקצוב לפי מוסד (9)'!M:M,'בית ספר - תקצוב לפי מוסד (9)'!$M$22)+SUMIFS('בית ספר - תקצוב לפי מוסד (9)'!O:O,'בית ספר - תקצוב לפי מוסד (9)'!B:B,בקרה!D66,'בית ספר - תקצוב לפי מוסד (9)'!M:M,'בית ספר - תקצוב לפי מוסד (9)'!$M$22),"")</f>
        <v/>
      </c>
      <c r="G66" s="813">
        <v>2</v>
      </c>
      <c r="H66" s="813"/>
      <c r="I66" s="875">
        <f t="shared" si="22"/>
        <v>0</v>
      </c>
      <c r="J66" s="813"/>
      <c r="K66" s="809" t="s">
        <v>2815</v>
      </c>
      <c r="L66" s="825">
        <f>SUMIFS('בית ספר - תקצוב לפי מוסד (9)'!$U:$U,'בית ספר - תקצוב לפי מוסד (9)'!$T:$T,בקרה!D66,'בית ספר - תקצוב לפי מוסד (9)'!$S:$S,"מלגות להורים")</f>
        <v>0</v>
      </c>
      <c r="M66" s="1014">
        <f t="shared" si="1"/>
        <v>0</v>
      </c>
      <c r="N66" s="868" t="s">
        <v>2863</v>
      </c>
      <c r="O66" s="868" t="s">
        <v>2863</v>
      </c>
      <c r="P66" s="868" t="s">
        <v>2863</v>
      </c>
      <c r="Q66" s="813"/>
      <c r="R66" s="841">
        <f t="shared" si="39"/>
        <v>0</v>
      </c>
      <c r="S66" s="841">
        <f t="shared" si="41"/>
        <v>0</v>
      </c>
      <c r="T66" s="825">
        <f>SUMIFS('בית ספר - תקצוב לפי מוסד (9)'!X:X,'בית ספר - תקצוב לפי מוסד (9)'!T:T,בקרה!D66,'בית ספר - תקצוב לפי מוסד (9)'!S:S,בקרה!K66)</f>
        <v>0</v>
      </c>
      <c r="U66" s="806">
        <f>Q66</f>
        <v>0</v>
      </c>
      <c r="V66" s="813"/>
      <c r="W66" s="813"/>
      <c r="X66" s="813"/>
    </row>
    <row r="67" spans="1:24" s="805" customFormat="1" x14ac:dyDescent="0.25">
      <c r="A67" s="814">
        <v>13</v>
      </c>
      <c r="B67" s="815" t="str">
        <f>IF(D67&gt;0,'נתונים כלליים (1)'!$C$5,"")</f>
        <v/>
      </c>
      <c r="C67" s="816" t="str">
        <f>IFERROR(VLOOKUP(B67,'רשימת רשויות'!A:C,3,0),"")</f>
        <v/>
      </c>
      <c r="D67" s="817">
        <f>VLOOKUP(A67,'דוח ביצוע (3)'!A:G,2,0)</f>
        <v>0</v>
      </c>
      <c r="E67" s="818" t="str">
        <f>IFERROR(VLOOKUP(D67,'נתוני רישום ומצבת'!B:D,3,0),"")</f>
        <v/>
      </c>
      <c r="F67" s="818" t="str">
        <f>IF(D67&gt;0,SUMIFS('בית ספר - תקצוב לפי מוסד (9)'!N:N,'בית ספר - תקצוב לפי מוסד (9)'!B:B,בקרה!D67,'בית ספר - תקצוב לפי מוסד (9)'!M:M,'בית ספר - תקצוב לפי מוסד (9)'!$M$22)+SUMIFS('בית ספר - תקצוב לפי מוסד (9)'!O:O,'בית ספר - תקצוב לפי מוסד (9)'!B:B,בקרה!D67,'בית ספר - תקצוב לפי מוסד (9)'!M:M,'בית ספר - תקצוב לפי מוסד (9)'!$M$22),"")</f>
        <v/>
      </c>
      <c r="G67" s="818">
        <v>2</v>
      </c>
      <c r="H67" s="818"/>
      <c r="I67" s="876">
        <f t="shared" ref="I67:I98" si="42">G67-(COUNTIF(H:H,"כן")/5)</f>
        <v>0</v>
      </c>
      <c r="J67" s="818"/>
      <c r="K67" s="814" t="s">
        <v>2344</v>
      </c>
      <c r="L67" s="825">
        <f>IFERROR(VLOOKUP(D67,'תשלומי הורים ומלגות להורים (5) '!B:C,2,0),0)</f>
        <v>0</v>
      </c>
      <c r="M67" s="1015">
        <f t="shared" si="1"/>
        <v>0</v>
      </c>
      <c r="N67" s="868" t="s">
        <v>2863</v>
      </c>
      <c r="O67" s="868" t="s">
        <v>2863</v>
      </c>
      <c r="P67" s="868" t="s">
        <v>2863</v>
      </c>
      <c r="Q67" s="818" t="s">
        <v>2876</v>
      </c>
      <c r="R67" s="841">
        <f t="shared" si="39"/>
        <v>0</v>
      </c>
      <c r="S67" s="841">
        <f t="shared" si="41"/>
        <v>0</v>
      </c>
      <c r="T67" s="869"/>
      <c r="U67" s="806" t="str">
        <f>Q67</f>
        <v>תקין</v>
      </c>
      <c r="V67" s="818"/>
      <c r="W67" s="818"/>
      <c r="X67" s="818"/>
    </row>
    <row r="68" spans="1:24" s="805" customFormat="1" ht="14.25" customHeight="1" x14ac:dyDescent="0.25">
      <c r="A68" s="819">
        <v>14</v>
      </c>
      <c r="B68" s="820" t="str">
        <f>IF(D68&gt;0,'נתונים כלליים (1)'!$C$5,"")</f>
        <v/>
      </c>
      <c r="C68" s="821" t="str">
        <f>IFERROR(VLOOKUP(B68,'רשימת רשויות'!A:C,3,0),"")</f>
        <v/>
      </c>
      <c r="D68" s="822">
        <f>VLOOKUP(A68,'דוח ביצוע (3)'!A:G,2,0)</f>
        <v>0</v>
      </c>
      <c r="E68" s="823" t="str">
        <f>IFERROR(VLOOKUP(D68,'נתוני רישום ומצבת'!B:D,3,0),"")</f>
        <v/>
      </c>
      <c r="F68" s="823" t="str">
        <f>IF(D68&gt;0,SUMIFS('בית ספר - תקצוב לפי מוסד (9)'!N:N,'בית ספר - תקצוב לפי מוסד (9)'!B:B,בקרה!D68,'בית ספר - תקצוב לפי מוסד (9)'!M:M,'בית ספר - תקצוב לפי מוסד (9)'!$M$22)+SUMIFS('בית ספר - תקצוב לפי מוסד (9)'!O:O,'בית ספר - תקצוב לפי מוסד (9)'!B:B,בקרה!D68,'בית ספר - תקצוב לפי מוסד (9)'!M:M,'בית ספר - תקצוב לפי מוסד (9)'!$M$22),"")</f>
        <v/>
      </c>
      <c r="G68" s="823">
        <v>2</v>
      </c>
      <c r="H68" s="823"/>
      <c r="I68" s="872">
        <f t="shared" si="42"/>
        <v>0</v>
      </c>
      <c r="J68" s="823"/>
      <c r="K68" s="819" t="s">
        <v>2342</v>
      </c>
      <c r="L68" s="825">
        <f>SUMIFS('בית ספר - תקצוב לפי מוסד (9)'!$U:$U,'בית ספר - תקצוב לפי מוסד (9)'!$T:$T,בקרה!D68,'בית ספר - תקצוב לפי מוסד (9)'!$S:$S,K68)</f>
        <v>0</v>
      </c>
      <c r="M68" s="1011">
        <f t="shared" ref="M68:M127" si="43">L68</f>
        <v>0</v>
      </c>
      <c r="N68" s="823"/>
      <c r="O68" s="823"/>
      <c r="P68" s="823"/>
      <c r="Q68" s="868" t="s">
        <v>2863</v>
      </c>
      <c r="R68" s="841">
        <f>MAX((L68-S68),0)</f>
        <v>0</v>
      </c>
      <c r="S68" s="841">
        <f>MAX(L68-MIN(M68,N68,O68,P68),0)</f>
        <v>0</v>
      </c>
      <c r="T68" s="825">
        <f>SUMIFS('בית ספר - תקצוב לפי מוסד (9)'!X:X,'בית ספר - תקצוב לפי מוסד (9)'!T:T,בקרה!D68,'בית ספר - תקצוב לפי מוסד (9)'!S:S,בקרה!K68)</f>
        <v>0</v>
      </c>
      <c r="U68" s="806" t="str">
        <f>IF(L68&gt;0,IF(T68&lt;0,"קיזוז","תקין"),"")</f>
        <v/>
      </c>
      <c r="V68" s="823"/>
      <c r="W68" s="823"/>
      <c r="X68" s="823"/>
    </row>
    <row r="69" spans="1:24" s="805" customFormat="1" x14ac:dyDescent="0.25">
      <c r="A69" s="832">
        <v>14</v>
      </c>
      <c r="B69" s="833" t="str">
        <f>IF(D69&gt;0,'נתונים כלליים (1)'!$C$5,"")</f>
        <v/>
      </c>
      <c r="C69" s="834" t="str">
        <f>IFERROR(VLOOKUP(B69,'רשימת רשויות'!A:C,3,0),"")</f>
        <v/>
      </c>
      <c r="D69" s="835">
        <f>VLOOKUP(A69,'דוח ביצוע (3)'!A:G,2,0)</f>
        <v>0</v>
      </c>
      <c r="E69" s="831" t="str">
        <f>IFERROR(VLOOKUP(D69,'נתוני רישום ומצבת'!B:D,3,0),"")</f>
        <v/>
      </c>
      <c r="F69" s="831" t="str">
        <f>IF(D69&gt;0,SUMIFS('בית ספר - תקצוב לפי מוסד (9)'!N:N,'בית ספר - תקצוב לפי מוסד (9)'!B:B,בקרה!D69,'בית ספר - תקצוב לפי מוסד (9)'!M:M,'בית ספר - תקצוב לפי מוסד (9)'!$M$22)+SUMIFS('בית ספר - תקצוב לפי מוסד (9)'!O:O,'בית ספר - תקצוב לפי מוסד (9)'!B:B,בקרה!D69,'בית ספר - תקצוב לפי מוסד (9)'!M:M,'בית ספר - תקצוב לפי מוסד (9)'!$M$22),"")</f>
        <v/>
      </c>
      <c r="G69" s="831">
        <v>2</v>
      </c>
      <c r="H69" s="831"/>
      <c r="I69" s="873">
        <f t="shared" si="42"/>
        <v>0</v>
      </c>
      <c r="J69" s="831"/>
      <c r="K69" s="832" t="s">
        <v>0</v>
      </c>
      <c r="L69" s="825">
        <f>SUMIFS('בית ספר - תקצוב לפי מוסד (9)'!$U:$U,'בית ספר - תקצוב לפי מוסד (9)'!$T:$T,בקרה!D69,'בית ספר - תקצוב לפי מוסד (9)'!$S:$S,K69)</f>
        <v>0</v>
      </c>
      <c r="M69" s="1012">
        <f t="shared" si="43"/>
        <v>0</v>
      </c>
      <c r="N69" s="868" t="s">
        <v>2863</v>
      </c>
      <c r="O69" s="868" t="s">
        <v>2863</v>
      </c>
      <c r="P69" s="868" t="s">
        <v>2863</v>
      </c>
      <c r="Q69" s="868" t="s">
        <v>2863</v>
      </c>
      <c r="R69" s="841">
        <f t="shared" ref="R69:R72" si="44">MAX((L69-S69),0)</f>
        <v>0</v>
      </c>
      <c r="S69" s="841">
        <f>MAX(L69-M69,0)</f>
        <v>0</v>
      </c>
      <c r="T69" s="825">
        <f>SUMIFS('בית ספר - תקצוב לפי מוסד (9)'!X:X,'בית ספר - תקצוב לפי מוסד (9)'!T:T,בקרה!D69,'בית ספר - תקצוב לפי מוסד (9)'!S:S,בקרה!K69)</f>
        <v>0</v>
      </c>
      <c r="U69" s="806" t="str">
        <f t="shared" ref="U69:U70" si="45">IF(L69&gt;0,IF(T69&lt;0,"קיזוז","תקין"),"")</f>
        <v/>
      </c>
      <c r="V69" s="831"/>
      <c r="W69" s="831"/>
      <c r="X69" s="831"/>
    </row>
    <row r="70" spans="1:24" s="805" customFormat="1" x14ac:dyDescent="0.25">
      <c r="A70" s="836">
        <v>14</v>
      </c>
      <c r="B70" s="837" t="str">
        <f>IF(D70&gt;0,'נתונים כלליים (1)'!$C$5,"")</f>
        <v/>
      </c>
      <c r="C70" s="838" t="str">
        <f>IFERROR(VLOOKUP(B70,'רשימת רשויות'!A:C,3,0),"")</f>
        <v/>
      </c>
      <c r="D70" s="839">
        <f>VLOOKUP(A70,'דוח ביצוע (3)'!A:G,2,0)</f>
        <v>0</v>
      </c>
      <c r="E70" s="840" t="str">
        <f>IFERROR(VLOOKUP(D70,'נתוני רישום ומצבת'!B:D,3,0),"")</f>
        <v/>
      </c>
      <c r="F70" s="840" t="str">
        <f>IF(D70&gt;0,SUMIFS('בית ספר - תקצוב לפי מוסד (9)'!N:N,'בית ספר - תקצוב לפי מוסד (9)'!B:B,בקרה!D70,'בית ספר - תקצוב לפי מוסד (9)'!M:M,'בית ספר - תקצוב לפי מוסד (9)'!$M$22)+SUMIFS('בית ספר - תקצוב לפי מוסד (9)'!O:O,'בית ספר - תקצוב לפי מוסד (9)'!B:B,בקרה!D70,'בית ספר - תקצוב לפי מוסד (9)'!M:M,'בית ספר - תקצוב לפי מוסד (9)'!$M$22),"")</f>
        <v/>
      </c>
      <c r="G70" s="840">
        <v>2</v>
      </c>
      <c r="H70" s="840"/>
      <c r="I70" s="874">
        <f t="shared" si="42"/>
        <v>0</v>
      </c>
      <c r="J70" s="840"/>
      <c r="K70" s="836" t="s">
        <v>93</v>
      </c>
      <c r="L70" s="825">
        <f>SUMIFS('בית ספר - תקצוב לפי מוסד (9)'!$U:$U,'בית ספר - תקצוב לפי מוסד (9)'!$T:$T,בקרה!D70,'בית ספר - תקצוב לפי מוסד (9)'!$S:$S,K70)</f>
        <v>0</v>
      </c>
      <c r="M70" s="1013">
        <f t="shared" si="43"/>
        <v>0</v>
      </c>
      <c r="N70" s="868" t="s">
        <v>2863</v>
      </c>
      <c r="O70" s="868" t="s">
        <v>2863</v>
      </c>
      <c r="P70" s="868" t="s">
        <v>2863</v>
      </c>
      <c r="Q70" s="868" t="s">
        <v>2863</v>
      </c>
      <c r="R70" s="841">
        <f t="shared" si="44"/>
        <v>0</v>
      </c>
      <c r="S70" s="841">
        <f t="shared" ref="S70:S72" si="46">MAX(L70-M70,0)</f>
        <v>0</v>
      </c>
      <c r="T70" s="825">
        <f>SUMIFS('בית ספר - תקצוב לפי מוסד (9)'!X:X,'בית ספר - תקצוב לפי מוסד (9)'!T:T,בקרה!D70,'בית ספר - תקצוב לפי מוסד (9)'!S:S,בקרה!K70)</f>
        <v>0</v>
      </c>
      <c r="U70" s="806" t="str">
        <f t="shared" si="45"/>
        <v/>
      </c>
      <c r="V70" s="840"/>
      <c r="W70" s="840"/>
      <c r="X70" s="840"/>
    </row>
    <row r="71" spans="1:24" s="805" customFormat="1" x14ac:dyDescent="0.25">
      <c r="A71" s="809">
        <v>14</v>
      </c>
      <c r="B71" s="810" t="str">
        <f>IF(D71&gt;0,'נתונים כלליים (1)'!$C$5,"")</f>
        <v/>
      </c>
      <c r="C71" s="811" t="str">
        <f>IFERROR(VLOOKUP(B71,'רשימת רשויות'!A:C,3,0),"")</f>
        <v/>
      </c>
      <c r="D71" s="812">
        <f>VLOOKUP(A71,'דוח ביצוע (3)'!A:G,2,0)</f>
        <v>0</v>
      </c>
      <c r="E71" s="813" t="str">
        <f>IFERROR(VLOOKUP(D71,'נתוני רישום ומצבת'!B:D,3,0),"")</f>
        <v/>
      </c>
      <c r="F71" s="813" t="str">
        <f>IF(D71&gt;0,SUMIFS('בית ספר - תקצוב לפי מוסד (9)'!N:N,'בית ספר - תקצוב לפי מוסד (9)'!B:B,בקרה!D71,'בית ספר - תקצוב לפי מוסד (9)'!M:M,'בית ספר - תקצוב לפי מוסד (9)'!$M$22)+SUMIFS('בית ספר - תקצוב לפי מוסד (9)'!O:O,'בית ספר - תקצוב לפי מוסד (9)'!B:B,בקרה!D71,'בית ספר - תקצוב לפי מוסד (9)'!M:M,'בית ספר - תקצוב לפי מוסד (9)'!$M$22),"")</f>
        <v/>
      </c>
      <c r="G71" s="813">
        <v>2</v>
      </c>
      <c r="H71" s="813"/>
      <c r="I71" s="875">
        <f t="shared" si="42"/>
        <v>0</v>
      </c>
      <c r="J71" s="813"/>
      <c r="K71" s="809" t="s">
        <v>2815</v>
      </c>
      <c r="L71" s="825">
        <f>SUMIFS('בית ספר - תקצוב לפי מוסד (9)'!$U:$U,'בית ספר - תקצוב לפי מוסד (9)'!$T:$T,בקרה!D71,'בית ספר - תקצוב לפי מוסד (9)'!$S:$S,"מלגות להורים")</f>
        <v>0</v>
      </c>
      <c r="M71" s="1014">
        <f t="shared" si="43"/>
        <v>0</v>
      </c>
      <c r="N71" s="868" t="s">
        <v>2863</v>
      </c>
      <c r="O71" s="868" t="s">
        <v>2863</v>
      </c>
      <c r="P71" s="868" t="s">
        <v>2863</v>
      </c>
      <c r="Q71" s="813"/>
      <c r="R71" s="841">
        <f t="shared" si="44"/>
        <v>0</v>
      </c>
      <c r="S71" s="841">
        <f t="shared" si="46"/>
        <v>0</v>
      </c>
      <c r="T71" s="825">
        <f>SUMIFS('בית ספר - תקצוב לפי מוסד (9)'!X:X,'בית ספר - תקצוב לפי מוסד (9)'!T:T,בקרה!D71,'בית ספר - תקצוב לפי מוסד (9)'!S:S,בקרה!K71)</f>
        <v>0</v>
      </c>
      <c r="U71" s="806">
        <f>Q71</f>
        <v>0</v>
      </c>
      <c r="V71" s="813"/>
      <c r="W71" s="813"/>
      <c r="X71" s="813"/>
    </row>
    <row r="72" spans="1:24" s="805" customFormat="1" x14ac:dyDescent="0.25">
      <c r="A72" s="814">
        <v>14</v>
      </c>
      <c r="B72" s="815" t="str">
        <f>IF(D72&gt;0,'נתונים כלליים (1)'!$C$5,"")</f>
        <v/>
      </c>
      <c r="C72" s="816" t="str">
        <f>IFERROR(VLOOKUP(B72,'רשימת רשויות'!A:C,3,0),"")</f>
        <v/>
      </c>
      <c r="D72" s="817">
        <f>VLOOKUP(A72,'דוח ביצוע (3)'!A:G,2,0)</f>
        <v>0</v>
      </c>
      <c r="E72" s="818" t="str">
        <f>IFERROR(VLOOKUP(D72,'נתוני רישום ומצבת'!B:D,3,0),"")</f>
        <v/>
      </c>
      <c r="F72" s="818" t="str">
        <f>IF(D72&gt;0,SUMIFS('בית ספר - תקצוב לפי מוסד (9)'!N:N,'בית ספר - תקצוב לפי מוסד (9)'!B:B,בקרה!D72,'בית ספר - תקצוב לפי מוסד (9)'!M:M,'בית ספר - תקצוב לפי מוסד (9)'!$M$22)+SUMIFS('בית ספר - תקצוב לפי מוסד (9)'!O:O,'בית ספר - תקצוב לפי מוסד (9)'!B:B,בקרה!D72,'בית ספר - תקצוב לפי מוסד (9)'!M:M,'בית ספר - תקצוב לפי מוסד (9)'!$M$22),"")</f>
        <v/>
      </c>
      <c r="G72" s="818">
        <v>2</v>
      </c>
      <c r="H72" s="818"/>
      <c r="I72" s="876">
        <f t="shared" si="42"/>
        <v>0</v>
      </c>
      <c r="J72" s="818"/>
      <c r="K72" s="814" t="s">
        <v>2344</v>
      </c>
      <c r="L72" s="825">
        <f>IFERROR(VLOOKUP(D72,'תשלומי הורים ומלגות להורים (5) '!B:C,2,0),0)</f>
        <v>0</v>
      </c>
      <c r="M72" s="1015">
        <f t="shared" si="43"/>
        <v>0</v>
      </c>
      <c r="N72" s="868" t="s">
        <v>2863</v>
      </c>
      <c r="O72" s="868" t="s">
        <v>2863</v>
      </c>
      <c r="P72" s="868" t="s">
        <v>2863</v>
      </c>
      <c r="Q72" s="818" t="s">
        <v>2876</v>
      </c>
      <c r="R72" s="841">
        <f t="shared" si="44"/>
        <v>0</v>
      </c>
      <c r="S72" s="841">
        <f t="shared" si="46"/>
        <v>0</v>
      </c>
      <c r="T72" s="869"/>
      <c r="U72" s="806" t="str">
        <f>Q72</f>
        <v>תקין</v>
      </c>
      <c r="V72" s="818"/>
      <c r="W72" s="818"/>
      <c r="X72" s="818"/>
    </row>
    <row r="73" spans="1:24" s="805" customFormat="1" ht="14.25" customHeight="1" x14ac:dyDescent="0.25">
      <c r="A73" s="819">
        <v>15</v>
      </c>
      <c r="B73" s="820" t="str">
        <f>IF(D73&gt;0,'נתונים כלליים (1)'!$C$5,"")</f>
        <v/>
      </c>
      <c r="C73" s="821" t="str">
        <f>IFERROR(VLOOKUP(B73,'רשימת רשויות'!A:C,3,0),"")</f>
        <v/>
      </c>
      <c r="D73" s="822">
        <f>VLOOKUP(A73,'דוח ביצוע (3)'!A:G,2,0)</f>
        <v>0</v>
      </c>
      <c r="E73" s="823" t="str">
        <f>IFERROR(VLOOKUP(D73,'נתוני רישום ומצבת'!B:D,3,0),"")</f>
        <v/>
      </c>
      <c r="F73" s="823" t="str">
        <f>IF(D73&gt;0,SUMIFS('בית ספר - תקצוב לפי מוסד (9)'!N:N,'בית ספר - תקצוב לפי מוסד (9)'!B:B,בקרה!D73,'בית ספר - תקצוב לפי מוסד (9)'!M:M,'בית ספר - תקצוב לפי מוסד (9)'!$M$22)+SUMIFS('בית ספר - תקצוב לפי מוסד (9)'!O:O,'בית ספר - תקצוב לפי מוסד (9)'!B:B,בקרה!D73,'בית ספר - תקצוב לפי מוסד (9)'!M:M,'בית ספר - תקצוב לפי מוסד (9)'!$M$22),"")</f>
        <v/>
      </c>
      <c r="G73" s="823">
        <v>2</v>
      </c>
      <c r="H73" s="823"/>
      <c r="I73" s="872">
        <f t="shared" si="42"/>
        <v>0</v>
      </c>
      <c r="J73" s="823"/>
      <c r="K73" s="819" t="s">
        <v>2342</v>
      </c>
      <c r="L73" s="825">
        <f>SUMIFS('בית ספר - תקצוב לפי מוסד (9)'!$U:$U,'בית ספר - תקצוב לפי מוסד (9)'!$T:$T,בקרה!D73,'בית ספר - תקצוב לפי מוסד (9)'!$S:$S,K73)</f>
        <v>0</v>
      </c>
      <c r="M73" s="1011">
        <f t="shared" si="43"/>
        <v>0</v>
      </c>
      <c r="N73" s="823"/>
      <c r="O73" s="823"/>
      <c r="P73" s="823"/>
      <c r="Q73" s="868" t="s">
        <v>2863</v>
      </c>
      <c r="R73" s="841">
        <f>MAX((L73-S73),0)</f>
        <v>0</v>
      </c>
      <c r="S73" s="841">
        <f>MAX(L73-MIN(M73,N73,O73,P73),0)</f>
        <v>0</v>
      </c>
      <c r="T73" s="825">
        <f>SUMIFS('בית ספר - תקצוב לפי מוסד (9)'!X:X,'בית ספר - תקצוב לפי מוסד (9)'!T:T,בקרה!D73,'בית ספר - תקצוב לפי מוסד (9)'!S:S,בקרה!K73)</f>
        <v>0</v>
      </c>
      <c r="U73" s="806" t="str">
        <f>IF(L73&gt;0,IF(T73&lt;0,"קיזוז","תקין"),"")</f>
        <v/>
      </c>
      <c r="V73" s="823"/>
      <c r="W73" s="823"/>
      <c r="X73" s="823"/>
    </row>
    <row r="74" spans="1:24" s="805" customFormat="1" x14ac:dyDescent="0.25">
      <c r="A74" s="832">
        <v>15</v>
      </c>
      <c r="B74" s="833" t="str">
        <f>IF(D74&gt;0,'נתונים כלליים (1)'!$C$5,"")</f>
        <v/>
      </c>
      <c r="C74" s="834" t="str">
        <f>IFERROR(VLOOKUP(B74,'רשימת רשויות'!A:C,3,0),"")</f>
        <v/>
      </c>
      <c r="D74" s="835">
        <f>VLOOKUP(A74,'דוח ביצוע (3)'!A:G,2,0)</f>
        <v>0</v>
      </c>
      <c r="E74" s="831" t="str">
        <f>IFERROR(VLOOKUP(D74,'נתוני רישום ומצבת'!B:D,3,0),"")</f>
        <v/>
      </c>
      <c r="F74" s="831" t="str">
        <f>IF(D74&gt;0,SUMIFS('בית ספר - תקצוב לפי מוסד (9)'!N:N,'בית ספר - תקצוב לפי מוסד (9)'!B:B,בקרה!D74,'בית ספר - תקצוב לפי מוסד (9)'!M:M,'בית ספר - תקצוב לפי מוסד (9)'!$M$22)+SUMIFS('בית ספר - תקצוב לפי מוסד (9)'!O:O,'בית ספר - תקצוב לפי מוסד (9)'!B:B,בקרה!D74,'בית ספר - תקצוב לפי מוסד (9)'!M:M,'בית ספר - תקצוב לפי מוסד (9)'!$M$22),"")</f>
        <v/>
      </c>
      <c r="G74" s="831">
        <v>2</v>
      </c>
      <c r="H74" s="831"/>
      <c r="I74" s="873">
        <f t="shared" si="42"/>
        <v>0</v>
      </c>
      <c r="J74" s="831"/>
      <c r="K74" s="832" t="s">
        <v>0</v>
      </c>
      <c r="L74" s="825">
        <f>SUMIFS('בית ספר - תקצוב לפי מוסד (9)'!$U:$U,'בית ספר - תקצוב לפי מוסד (9)'!$T:$T,בקרה!D74,'בית ספר - תקצוב לפי מוסד (9)'!$S:$S,K74)</f>
        <v>0</v>
      </c>
      <c r="M74" s="1012">
        <f t="shared" si="43"/>
        <v>0</v>
      </c>
      <c r="N74" s="868" t="s">
        <v>2863</v>
      </c>
      <c r="O74" s="868" t="s">
        <v>2863</v>
      </c>
      <c r="P74" s="868" t="s">
        <v>2863</v>
      </c>
      <c r="Q74" s="868" t="s">
        <v>2863</v>
      </c>
      <c r="R74" s="841">
        <f t="shared" ref="R74:R77" si="47">MAX((L74-S74),0)</f>
        <v>0</v>
      </c>
      <c r="S74" s="841">
        <f>MAX(L74-M74,0)</f>
        <v>0</v>
      </c>
      <c r="T74" s="825">
        <f>SUMIFS('בית ספר - תקצוב לפי מוסד (9)'!X:X,'בית ספר - תקצוב לפי מוסד (9)'!T:T,בקרה!D74,'בית ספר - תקצוב לפי מוסד (9)'!S:S,בקרה!K74)</f>
        <v>0</v>
      </c>
      <c r="U74" s="806" t="str">
        <f t="shared" ref="U74:U75" si="48">IF(L74&gt;0,IF(T74&lt;0,"קיזוז","תקין"),"")</f>
        <v/>
      </c>
      <c r="V74" s="831"/>
      <c r="W74" s="831"/>
      <c r="X74" s="831"/>
    </row>
    <row r="75" spans="1:24" s="805" customFormat="1" x14ac:dyDescent="0.25">
      <c r="A75" s="836">
        <v>15</v>
      </c>
      <c r="B75" s="837" t="str">
        <f>IF(D75&gt;0,'נתונים כלליים (1)'!$C$5,"")</f>
        <v/>
      </c>
      <c r="C75" s="838" t="str">
        <f>IFERROR(VLOOKUP(B75,'רשימת רשויות'!A:C,3,0),"")</f>
        <v/>
      </c>
      <c r="D75" s="839">
        <f>VLOOKUP(A75,'דוח ביצוע (3)'!A:G,2,0)</f>
        <v>0</v>
      </c>
      <c r="E75" s="840" t="str">
        <f>IFERROR(VLOOKUP(D75,'נתוני רישום ומצבת'!B:D,3,0),"")</f>
        <v/>
      </c>
      <c r="F75" s="840" t="str">
        <f>IF(D75&gt;0,SUMIFS('בית ספר - תקצוב לפי מוסד (9)'!N:N,'בית ספר - תקצוב לפי מוסד (9)'!B:B,בקרה!D75,'בית ספר - תקצוב לפי מוסד (9)'!M:M,'בית ספר - תקצוב לפי מוסד (9)'!$M$22)+SUMIFS('בית ספר - תקצוב לפי מוסד (9)'!O:O,'בית ספר - תקצוב לפי מוסד (9)'!B:B,בקרה!D75,'בית ספר - תקצוב לפי מוסד (9)'!M:M,'בית ספר - תקצוב לפי מוסד (9)'!$M$22),"")</f>
        <v/>
      </c>
      <c r="G75" s="840">
        <v>2</v>
      </c>
      <c r="H75" s="840"/>
      <c r="I75" s="874">
        <f t="shared" si="42"/>
        <v>0</v>
      </c>
      <c r="J75" s="840"/>
      <c r="K75" s="836" t="s">
        <v>93</v>
      </c>
      <c r="L75" s="825">
        <f>SUMIFS('בית ספר - תקצוב לפי מוסד (9)'!$U:$U,'בית ספר - תקצוב לפי מוסד (9)'!$T:$T,בקרה!D75,'בית ספר - תקצוב לפי מוסד (9)'!$S:$S,K75)</f>
        <v>0</v>
      </c>
      <c r="M75" s="1013">
        <f t="shared" si="43"/>
        <v>0</v>
      </c>
      <c r="N75" s="868" t="s">
        <v>2863</v>
      </c>
      <c r="O75" s="868" t="s">
        <v>2863</v>
      </c>
      <c r="P75" s="868" t="s">
        <v>2863</v>
      </c>
      <c r="Q75" s="868" t="s">
        <v>2863</v>
      </c>
      <c r="R75" s="841">
        <f t="shared" si="47"/>
        <v>0</v>
      </c>
      <c r="S75" s="841">
        <f t="shared" ref="S75:S77" si="49">MAX(L75-M75,0)</f>
        <v>0</v>
      </c>
      <c r="T75" s="825">
        <f>SUMIFS('בית ספר - תקצוב לפי מוסד (9)'!X:X,'בית ספר - תקצוב לפי מוסד (9)'!T:T,בקרה!D75,'בית ספר - תקצוב לפי מוסד (9)'!S:S,בקרה!K75)</f>
        <v>0</v>
      </c>
      <c r="U75" s="806" t="str">
        <f t="shared" si="48"/>
        <v/>
      </c>
      <c r="V75" s="840"/>
      <c r="W75" s="840"/>
      <c r="X75" s="840"/>
    </row>
    <row r="76" spans="1:24" s="805" customFormat="1" x14ac:dyDescent="0.25">
      <c r="A76" s="809">
        <v>15</v>
      </c>
      <c r="B76" s="810" t="str">
        <f>IF(D76&gt;0,'נתונים כלליים (1)'!$C$5,"")</f>
        <v/>
      </c>
      <c r="C76" s="811" t="str">
        <f>IFERROR(VLOOKUP(B76,'רשימת רשויות'!A:C,3,0),"")</f>
        <v/>
      </c>
      <c r="D76" s="812">
        <f>VLOOKUP(A76,'דוח ביצוע (3)'!A:G,2,0)</f>
        <v>0</v>
      </c>
      <c r="E76" s="813" t="str">
        <f>IFERROR(VLOOKUP(D76,'נתוני רישום ומצבת'!B:D,3,0),"")</f>
        <v/>
      </c>
      <c r="F76" s="813" t="str">
        <f>IF(D76&gt;0,SUMIFS('בית ספר - תקצוב לפי מוסד (9)'!N:N,'בית ספר - תקצוב לפי מוסד (9)'!B:B,בקרה!D76,'בית ספר - תקצוב לפי מוסד (9)'!M:M,'בית ספר - תקצוב לפי מוסד (9)'!$M$22)+SUMIFS('בית ספר - תקצוב לפי מוסד (9)'!O:O,'בית ספר - תקצוב לפי מוסד (9)'!B:B,בקרה!D76,'בית ספר - תקצוב לפי מוסד (9)'!M:M,'בית ספר - תקצוב לפי מוסד (9)'!$M$22),"")</f>
        <v/>
      </c>
      <c r="G76" s="813">
        <v>2</v>
      </c>
      <c r="H76" s="813"/>
      <c r="I76" s="875">
        <f t="shared" si="42"/>
        <v>0</v>
      </c>
      <c r="J76" s="813"/>
      <c r="K76" s="809" t="s">
        <v>2815</v>
      </c>
      <c r="L76" s="825">
        <f>SUMIFS('בית ספר - תקצוב לפי מוסד (9)'!$U:$U,'בית ספר - תקצוב לפי מוסד (9)'!$T:$T,בקרה!D76,'בית ספר - תקצוב לפי מוסד (9)'!$S:$S,"מלגות להורים")</f>
        <v>0</v>
      </c>
      <c r="M76" s="1014">
        <f t="shared" si="43"/>
        <v>0</v>
      </c>
      <c r="N76" s="868" t="s">
        <v>2863</v>
      </c>
      <c r="O76" s="868" t="s">
        <v>2863</v>
      </c>
      <c r="P76" s="868" t="s">
        <v>2863</v>
      </c>
      <c r="Q76" s="813"/>
      <c r="R76" s="841">
        <f t="shared" si="47"/>
        <v>0</v>
      </c>
      <c r="S76" s="841">
        <f t="shared" si="49"/>
        <v>0</v>
      </c>
      <c r="T76" s="825">
        <f>SUMIFS('בית ספר - תקצוב לפי מוסד (9)'!X:X,'בית ספר - תקצוב לפי מוסד (9)'!T:T,בקרה!D76,'בית ספר - תקצוב לפי מוסד (9)'!S:S,בקרה!K76)</f>
        <v>0</v>
      </c>
      <c r="U76" s="806">
        <f>Q76</f>
        <v>0</v>
      </c>
      <c r="V76" s="813"/>
      <c r="W76" s="813"/>
      <c r="X76" s="813"/>
    </row>
    <row r="77" spans="1:24" s="805" customFormat="1" x14ac:dyDescent="0.25">
      <c r="A77" s="814">
        <v>15</v>
      </c>
      <c r="B77" s="815" t="str">
        <f>IF(D77&gt;0,'נתונים כלליים (1)'!$C$5,"")</f>
        <v/>
      </c>
      <c r="C77" s="816" t="str">
        <f>IFERROR(VLOOKUP(B77,'רשימת רשויות'!A:C,3,0),"")</f>
        <v/>
      </c>
      <c r="D77" s="817">
        <f>VLOOKUP(A77,'דוח ביצוע (3)'!A:G,2,0)</f>
        <v>0</v>
      </c>
      <c r="E77" s="818" t="str">
        <f>IFERROR(VLOOKUP(D77,'נתוני רישום ומצבת'!B:D,3,0),"")</f>
        <v/>
      </c>
      <c r="F77" s="818" t="str">
        <f>IF(D77&gt;0,SUMIFS('בית ספר - תקצוב לפי מוסד (9)'!N:N,'בית ספר - תקצוב לפי מוסד (9)'!B:B,בקרה!D77,'בית ספר - תקצוב לפי מוסד (9)'!M:M,'בית ספר - תקצוב לפי מוסד (9)'!$M$22)+SUMIFS('בית ספר - תקצוב לפי מוסד (9)'!O:O,'בית ספר - תקצוב לפי מוסד (9)'!B:B,בקרה!D77,'בית ספר - תקצוב לפי מוסד (9)'!M:M,'בית ספר - תקצוב לפי מוסד (9)'!$M$22),"")</f>
        <v/>
      </c>
      <c r="G77" s="818">
        <v>2</v>
      </c>
      <c r="H77" s="818"/>
      <c r="I77" s="876">
        <f t="shared" si="42"/>
        <v>0</v>
      </c>
      <c r="J77" s="818"/>
      <c r="K77" s="814" t="s">
        <v>2344</v>
      </c>
      <c r="L77" s="825">
        <f>IFERROR(VLOOKUP(D77,'תשלומי הורים ומלגות להורים (5) '!B:C,2,0),0)</f>
        <v>0</v>
      </c>
      <c r="M77" s="1015">
        <f t="shared" si="43"/>
        <v>0</v>
      </c>
      <c r="N77" s="868" t="s">
        <v>2863</v>
      </c>
      <c r="O77" s="868" t="s">
        <v>2863</v>
      </c>
      <c r="P77" s="868" t="s">
        <v>2863</v>
      </c>
      <c r="Q77" s="818" t="s">
        <v>2876</v>
      </c>
      <c r="R77" s="841">
        <f t="shared" si="47"/>
        <v>0</v>
      </c>
      <c r="S77" s="841">
        <f t="shared" si="49"/>
        <v>0</v>
      </c>
      <c r="T77" s="869"/>
      <c r="U77" s="806" t="str">
        <f>Q77</f>
        <v>תקין</v>
      </c>
      <c r="V77" s="818"/>
      <c r="W77" s="818"/>
      <c r="X77" s="818"/>
    </row>
    <row r="78" spans="1:24" s="805" customFormat="1" ht="14.25" customHeight="1" x14ac:dyDescent="0.25">
      <c r="A78" s="819">
        <v>16</v>
      </c>
      <c r="B78" s="820" t="str">
        <f>IF(D78&gt;0,'נתונים כלליים (1)'!$C$5,"")</f>
        <v/>
      </c>
      <c r="C78" s="821" t="str">
        <f>IFERROR(VLOOKUP(B78,'רשימת רשויות'!A:C,3,0),"")</f>
        <v/>
      </c>
      <c r="D78" s="822">
        <f>VLOOKUP(A78,'דוח ביצוע (3)'!A:G,2,0)</f>
        <v>0</v>
      </c>
      <c r="E78" s="823" t="str">
        <f>IFERROR(VLOOKUP(D78,'נתוני רישום ומצבת'!B:D,3,0),"")</f>
        <v/>
      </c>
      <c r="F78" s="823" t="str">
        <f>IF(D78&gt;0,SUMIFS('בית ספר - תקצוב לפי מוסד (9)'!N:N,'בית ספר - תקצוב לפי מוסד (9)'!B:B,בקרה!D78,'בית ספר - תקצוב לפי מוסד (9)'!M:M,'בית ספר - תקצוב לפי מוסד (9)'!$M$22)+SUMIFS('בית ספר - תקצוב לפי מוסד (9)'!O:O,'בית ספר - תקצוב לפי מוסד (9)'!B:B,בקרה!D78,'בית ספר - תקצוב לפי מוסד (9)'!M:M,'בית ספר - תקצוב לפי מוסד (9)'!$M$22),"")</f>
        <v/>
      </c>
      <c r="G78" s="823">
        <v>2</v>
      </c>
      <c r="H78" s="823"/>
      <c r="I78" s="872">
        <f t="shared" si="42"/>
        <v>0</v>
      </c>
      <c r="J78" s="823"/>
      <c r="K78" s="819" t="s">
        <v>2342</v>
      </c>
      <c r="L78" s="825">
        <f>SUMIFS('בית ספר - תקצוב לפי מוסד (9)'!$U:$U,'בית ספר - תקצוב לפי מוסד (9)'!$T:$T,בקרה!D78,'בית ספר - תקצוב לפי מוסד (9)'!$S:$S,K78)</f>
        <v>0</v>
      </c>
      <c r="M78" s="1011">
        <f t="shared" si="43"/>
        <v>0</v>
      </c>
      <c r="N78" s="823"/>
      <c r="O78" s="823"/>
      <c r="P78" s="823"/>
      <c r="Q78" s="868" t="s">
        <v>2863</v>
      </c>
      <c r="R78" s="841">
        <f>MAX((L78-S78),0)</f>
        <v>0</v>
      </c>
      <c r="S78" s="841">
        <f>MAX(L78-MIN(M78,N78,O78,P78),0)</f>
        <v>0</v>
      </c>
      <c r="T78" s="825">
        <f>SUMIFS('בית ספר - תקצוב לפי מוסד (9)'!X:X,'בית ספר - תקצוב לפי מוסד (9)'!T:T,בקרה!D78,'בית ספר - תקצוב לפי מוסד (9)'!S:S,בקרה!K78)</f>
        <v>0</v>
      </c>
      <c r="U78" s="806" t="str">
        <f>IF(L78&gt;0,IF(T78&lt;0,"קיזוז","תקין"),"")</f>
        <v/>
      </c>
      <c r="V78" s="823"/>
      <c r="W78" s="823"/>
      <c r="X78" s="823"/>
    </row>
    <row r="79" spans="1:24" s="805" customFormat="1" x14ac:dyDescent="0.25">
      <c r="A79" s="832">
        <v>16</v>
      </c>
      <c r="B79" s="833" t="str">
        <f>IF(D79&gt;0,'נתונים כלליים (1)'!$C$5,"")</f>
        <v/>
      </c>
      <c r="C79" s="834" t="str">
        <f>IFERROR(VLOOKUP(B79,'רשימת רשויות'!A:C,3,0),"")</f>
        <v/>
      </c>
      <c r="D79" s="835">
        <f>VLOOKUP(A79,'דוח ביצוע (3)'!A:G,2,0)</f>
        <v>0</v>
      </c>
      <c r="E79" s="831" t="str">
        <f>IFERROR(VLOOKUP(D79,'נתוני רישום ומצבת'!B:D,3,0),"")</f>
        <v/>
      </c>
      <c r="F79" s="831" t="str">
        <f>IF(D79&gt;0,SUMIFS('בית ספר - תקצוב לפי מוסד (9)'!N:N,'בית ספר - תקצוב לפי מוסד (9)'!B:B,בקרה!D79,'בית ספר - תקצוב לפי מוסד (9)'!M:M,'בית ספר - תקצוב לפי מוסד (9)'!$M$22)+SUMIFS('בית ספר - תקצוב לפי מוסד (9)'!O:O,'בית ספר - תקצוב לפי מוסד (9)'!B:B,בקרה!D79,'בית ספר - תקצוב לפי מוסד (9)'!M:M,'בית ספר - תקצוב לפי מוסד (9)'!$M$22),"")</f>
        <v/>
      </c>
      <c r="G79" s="831">
        <v>2</v>
      </c>
      <c r="H79" s="831"/>
      <c r="I79" s="873">
        <f t="shared" si="42"/>
        <v>0</v>
      </c>
      <c r="J79" s="831"/>
      <c r="K79" s="832" t="s">
        <v>0</v>
      </c>
      <c r="L79" s="825">
        <f>SUMIFS('בית ספר - תקצוב לפי מוסד (9)'!$U:$U,'בית ספר - תקצוב לפי מוסד (9)'!$T:$T,בקרה!D79,'בית ספר - תקצוב לפי מוסד (9)'!$S:$S,K79)</f>
        <v>0</v>
      </c>
      <c r="M79" s="1012">
        <f t="shared" si="43"/>
        <v>0</v>
      </c>
      <c r="N79" s="868" t="s">
        <v>2863</v>
      </c>
      <c r="O79" s="868" t="s">
        <v>2863</v>
      </c>
      <c r="P79" s="868" t="s">
        <v>2863</v>
      </c>
      <c r="Q79" s="868" t="s">
        <v>2863</v>
      </c>
      <c r="R79" s="841">
        <f t="shared" ref="R79:R82" si="50">MAX((L79-S79),0)</f>
        <v>0</v>
      </c>
      <c r="S79" s="841">
        <f>MAX(L79-M79,0)</f>
        <v>0</v>
      </c>
      <c r="T79" s="825">
        <f>SUMIFS('בית ספר - תקצוב לפי מוסד (9)'!X:X,'בית ספר - תקצוב לפי מוסד (9)'!T:T,בקרה!D79,'בית ספר - תקצוב לפי מוסד (9)'!S:S,בקרה!K79)</f>
        <v>0</v>
      </c>
      <c r="U79" s="806" t="str">
        <f t="shared" ref="U79:U80" si="51">IF(L79&gt;0,IF(T79&lt;0,"קיזוז","תקין"),"")</f>
        <v/>
      </c>
      <c r="V79" s="831"/>
      <c r="W79" s="831"/>
      <c r="X79" s="831"/>
    </row>
    <row r="80" spans="1:24" s="805" customFormat="1" x14ac:dyDescent="0.25">
      <c r="A80" s="836">
        <v>16</v>
      </c>
      <c r="B80" s="837" t="str">
        <f>IF(D80&gt;0,'נתונים כלליים (1)'!$C$5,"")</f>
        <v/>
      </c>
      <c r="C80" s="838" t="str">
        <f>IFERROR(VLOOKUP(B80,'רשימת רשויות'!A:C,3,0),"")</f>
        <v/>
      </c>
      <c r="D80" s="839">
        <f>VLOOKUP(A80,'דוח ביצוע (3)'!A:G,2,0)</f>
        <v>0</v>
      </c>
      <c r="E80" s="840" t="str">
        <f>IFERROR(VLOOKUP(D80,'נתוני רישום ומצבת'!B:D,3,0),"")</f>
        <v/>
      </c>
      <c r="F80" s="840" t="str">
        <f>IF(D80&gt;0,SUMIFS('בית ספר - תקצוב לפי מוסד (9)'!N:N,'בית ספר - תקצוב לפי מוסד (9)'!B:B,בקרה!D80,'בית ספר - תקצוב לפי מוסד (9)'!M:M,'בית ספר - תקצוב לפי מוסד (9)'!$M$22)+SUMIFS('בית ספר - תקצוב לפי מוסד (9)'!O:O,'בית ספר - תקצוב לפי מוסד (9)'!B:B,בקרה!D80,'בית ספר - תקצוב לפי מוסד (9)'!M:M,'בית ספר - תקצוב לפי מוסד (9)'!$M$22),"")</f>
        <v/>
      </c>
      <c r="G80" s="840">
        <v>2</v>
      </c>
      <c r="H80" s="840"/>
      <c r="I80" s="874">
        <f t="shared" si="42"/>
        <v>0</v>
      </c>
      <c r="J80" s="840"/>
      <c r="K80" s="836" t="s">
        <v>93</v>
      </c>
      <c r="L80" s="825">
        <f>SUMIFS('בית ספר - תקצוב לפי מוסד (9)'!$U:$U,'בית ספר - תקצוב לפי מוסד (9)'!$T:$T,בקרה!D80,'בית ספר - תקצוב לפי מוסד (9)'!$S:$S,K80)</f>
        <v>0</v>
      </c>
      <c r="M80" s="1013">
        <f t="shared" si="43"/>
        <v>0</v>
      </c>
      <c r="N80" s="868" t="s">
        <v>2863</v>
      </c>
      <c r="O80" s="868" t="s">
        <v>2863</v>
      </c>
      <c r="P80" s="868" t="s">
        <v>2863</v>
      </c>
      <c r="Q80" s="868" t="s">
        <v>2863</v>
      </c>
      <c r="R80" s="841">
        <f t="shared" si="50"/>
        <v>0</v>
      </c>
      <c r="S80" s="841">
        <f t="shared" ref="S80:S82" si="52">MAX(L80-M80,0)</f>
        <v>0</v>
      </c>
      <c r="T80" s="825">
        <f>SUMIFS('בית ספר - תקצוב לפי מוסד (9)'!X:X,'בית ספר - תקצוב לפי מוסד (9)'!T:T,בקרה!D80,'בית ספר - תקצוב לפי מוסד (9)'!S:S,בקרה!K80)</f>
        <v>0</v>
      </c>
      <c r="U80" s="806" t="str">
        <f t="shared" si="51"/>
        <v/>
      </c>
      <c r="V80" s="840"/>
      <c r="W80" s="840"/>
      <c r="X80" s="840"/>
    </row>
    <row r="81" spans="1:24" s="805" customFormat="1" x14ac:dyDescent="0.25">
      <c r="A81" s="809">
        <v>16</v>
      </c>
      <c r="B81" s="810" t="str">
        <f>IF(D81&gt;0,'נתונים כלליים (1)'!$C$5,"")</f>
        <v/>
      </c>
      <c r="C81" s="811" t="str">
        <f>IFERROR(VLOOKUP(B81,'רשימת רשויות'!A:C,3,0),"")</f>
        <v/>
      </c>
      <c r="D81" s="812">
        <f>VLOOKUP(A81,'דוח ביצוע (3)'!A:G,2,0)</f>
        <v>0</v>
      </c>
      <c r="E81" s="813" t="str">
        <f>IFERROR(VLOOKUP(D81,'נתוני רישום ומצבת'!B:D,3,0),"")</f>
        <v/>
      </c>
      <c r="F81" s="813" t="str">
        <f>IF(D81&gt;0,SUMIFS('בית ספר - תקצוב לפי מוסד (9)'!N:N,'בית ספר - תקצוב לפי מוסד (9)'!B:B,בקרה!D81,'בית ספר - תקצוב לפי מוסד (9)'!M:M,'בית ספר - תקצוב לפי מוסד (9)'!$M$22)+SUMIFS('בית ספר - תקצוב לפי מוסד (9)'!O:O,'בית ספר - תקצוב לפי מוסד (9)'!B:B,בקרה!D81,'בית ספר - תקצוב לפי מוסד (9)'!M:M,'בית ספר - תקצוב לפי מוסד (9)'!$M$22),"")</f>
        <v/>
      </c>
      <c r="G81" s="813">
        <v>2</v>
      </c>
      <c r="H81" s="813"/>
      <c r="I81" s="875">
        <f t="shared" si="42"/>
        <v>0</v>
      </c>
      <c r="J81" s="813"/>
      <c r="K81" s="809" t="s">
        <v>2815</v>
      </c>
      <c r="L81" s="825">
        <f>SUMIFS('בית ספר - תקצוב לפי מוסד (9)'!$U:$U,'בית ספר - תקצוב לפי מוסד (9)'!$T:$T,בקרה!D81,'בית ספר - תקצוב לפי מוסד (9)'!$S:$S,"מלגות להורים")</f>
        <v>0</v>
      </c>
      <c r="M81" s="1014">
        <f t="shared" si="43"/>
        <v>0</v>
      </c>
      <c r="N81" s="868" t="s">
        <v>2863</v>
      </c>
      <c r="O81" s="868" t="s">
        <v>2863</v>
      </c>
      <c r="P81" s="868" t="s">
        <v>2863</v>
      </c>
      <c r="Q81" s="813"/>
      <c r="R81" s="841">
        <f t="shared" si="50"/>
        <v>0</v>
      </c>
      <c r="S81" s="841">
        <f t="shared" si="52"/>
        <v>0</v>
      </c>
      <c r="T81" s="825">
        <f>SUMIFS('בית ספר - תקצוב לפי מוסד (9)'!X:X,'בית ספר - תקצוב לפי מוסד (9)'!T:T,בקרה!D81,'בית ספר - תקצוב לפי מוסד (9)'!S:S,בקרה!K81)</f>
        <v>0</v>
      </c>
      <c r="U81" s="806">
        <f>Q81</f>
        <v>0</v>
      </c>
      <c r="V81" s="813"/>
      <c r="W81" s="813"/>
      <c r="X81" s="813"/>
    </row>
    <row r="82" spans="1:24" s="805" customFormat="1" x14ac:dyDescent="0.25">
      <c r="A82" s="814">
        <v>16</v>
      </c>
      <c r="B82" s="815" t="str">
        <f>IF(D82&gt;0,'נתונים כלליים (1)'!$C$5,"")</f>
        <v/>
      </c>
      <c r="C82" s="816" t="str">
        <f>IFERROR(VLOOKUP(B82,'רשימת רשויות'!A:C,3,0),"")</f>
        <v/>
      </c>
      <c r="D82" s="817">
        <f>VLOOKUP(A82,'דוח ביצוע (3)'!A:G,2,0)</f>
        <v>0</v>
      </c>
      <c r="E82" s="818" t="str">
        <f>IFERROR(VLOOKUP(D82,'נתוני רישום ומצבת'!B:D,3,0),"")</f>
        <v/>
      </c>
      <c r="F82" s="818" t="str">
        <f>IF(D82&gt;0,SUMIFS('בית ספר - תקצוב לפי מוסד (9)'!N:N,'בית ספר - תקצוב לפי מוסד (9)'!B:B,בקרה!D82,'בית ספר - תקצוב לפי מוסד (9)'!M:M,'בית ספר - תקצוב לפי מוסד (9)'!$M$22)+SUMIFS('בית ספר - תקצוב לפי מוסד (9)'!O:O,'בית ספר - תקצוב לפי מוסד (9)'!B:B,בקרה!D82,'בית ספר - תקצוב לפי מוסד (9)'!M:M,'בית ספר - תקצוב לפי מוסד (9)'!$M$22),"")</f>
        <v/>
      </c>
      <c r="G82" s="818">
        <v>2</v>
      </c>
      <c r="H82" s="818"/>
      <c r="I82" s="876">
        <f t="shared" si="42"/>
        <v>0</v>
      </c>
      <c r="J82" s="818"/>
      <c r="K82" s="814" t="s">
        <v>2344</v>
      </c>
      <c r="L82" s="825">
        <f>IFERROR(VLOOKUP(D82,'תשלומי הורים ומלגות להורים (5) '!B:C,2,0),0)</f>
        <v>0</v>
      </c>
      <c r="M82" s="1015">
        <f t="shared" si="43"/>
        <v>0</v>
      </c>
      <c r="N82" s="868" t="s">
        <v>2863</v>
      </c>
      <c r="O82" s="868" t="s">
        <v>2863</v>
      </c>
      <c r="P82" s="868" t="s">
        <v>2863</v>
      </c>
      <c r="Q82" s="818" t="s">
        <v>2876</v>
      </c>
      <c r="R82" s="841">
        <f t="shared" si="50"/>
        <v>0</v>
      </c>
      <c r="S82" s="841">
        <f t="shared" si="52"/>
        <v>0</v>
      </c>
      <c r="T82" s="869"/>
      <c r="U82" s="806" t="str">
        <f>Q82</f>
        <v>תקין</v>
      </c>
      <c r="V82" s="818"/>
      <c r="W82" s="818"/>
      <c r="X82" s="818"/>
    </row>
    <row r="83" spans="1:24" s="805" customFormat="1" ht="14.25" customHeight="1" x14ac:dyDescent="0.25">
      <c r="A83" s="819">
        <v>17</v>
      </c>
      <c r="B83" s="820" t="str">
        <f>IF(D83&gt;0,'נתונים כלליים (1)'!$C$5,"")</f>
        <v/>
      </c>
      <c r="C83" s="821" t="str">
        <f>IFERROR(VLOOKUP(B83,'רשימת רשויות'!A:C,3,0),"")</f>
        <v/>
      </c>
      <c r="D83" s="822">
        <f>VLOOKUP(A83,'דוח ביצוע (3)'!A:G,2,0)</f>
        <v>0</v>
      </c>
      <c r="E83" s="823" t="str">
        <f>IFERROR(VLOOKUP(D83,'נתוני רישום ומצבת'!B:D,3,0),"")</f>
        <v/>
      </c>
      <c r="F83" s="823" t="str">
        <f>IF(D83&gt;0,SUMIFS('בית ספר - תקצוב לפי מוסד (9)'!N:N,'בית ספר - תקצוב לפי מוסד (9)'!B:B,בקרה!D83,'בית ספר - תקצוב לפי מוסד (9)'!M:M,'בית ספר - תקצוב לפי מוסד (9)'!$M$22)+SUMIFS('בית ספר - תקצוב לפי מוסד (9)'!O:O,'בית ספר - תקצוב לפי מוסד (9)'!B:B,בקרה!D83,'בית ספר - תקצוב לפי מוסד (9)'!M:M,'בית ספר - תקצוב לפי מוסד (9)'!$M$22),"")</f>
        <v/>
      </c>
      <c r="G83" s="823">
        <v>2</v>
      </c>
      <c r="H83" s="823"/>
      <c r="I83" s="872">
        <f t="shared" si="42"/>
        <v>0</v>
      </c>
      <c r="J83" s="823"/>
      <c r="K83" s="819" t="s">
        <v>2342</v>
      </c>
      <c r="L83" s="825">
        <f>SUMIFS('בית ספר - תקצוב לפי מוסד (9)'!$U:$U,'בית ספר - תקצוב לפי מוסד (9)'!$T:$T,בקרה!D83,'בית ספר - תקצוב לפי מוסד (9)'!$S:$S,K83)</f>
        <v>0</v>
      </c>
      <c r="M83" s="1011">
        <f t="shared" si="43"/>
        <v>0</v>
      </c>
      <c r="N83" s="823"/>
      <c r="O83" s="823"/>
      <c r="P83" s="823"/>
      <c r="Q83" s="868" t="s">
        <v>2863</v>
      </c>
      <c r="R83" s="841">
        <f>MAX((L83-S83),0)</f>
        <v>0</v>
      </c>
      <c r="S83" s="841">
        <f>MAX(L83-MIN(M83,N83,O83,P83),0)</f>
        <v>0</v>
      </c>
      <c r="T83" s="825">
        <f>SUMIFS('בית ספר - תקצוב לפי מוסד (9)'!X:X,'בית ספר - תקצוב לפי מוסד (9)'!T:T,בקרה!D83,'בית ספר - תקצוב לפי מוסד (9)'!S:S,בקרה!K83)</f>
        <v>0</v>
      </c>
      <c r="U83" s="806" t="str">
        <f>IF(L83&gt;0,IF(T83&lt;0,"קיזוז","תקין"),"")</f>
        <v/>
      </c>
      <c r="V83" s="823"/>
      <c r="W83" s="823"/>
      <c r="X83" s="823"/>
    </row>
    <row r="84" spans="1:24" s="805" customFormat="1" x14ac:dyDescent="0.25">
      <c r="A84" s="832">
        <v>17</v>
      </c>
      <c r="B84" s="833" t="str">
        <f>IF(D84&gt;0,'נתונים כלליים (1)'!$C$5,"")</f>
        <v/>
      </c>
      <c r="C84" s="834" t="str">
        <f>IFERROR(VLOOKUP(B84,'רשימת רשויות'!A:C,3,0),"")</f>
        <v/>
      </c>
      <c r="D84" s="835">
        <f>VLOOKUP(A84,'דוח ביצוע (3)'!A:G,2,0)</f>
        <v>0</v>
      </c>
      <c r="E84" s="831" t="str">
        <f>IFERROR(VLOOKUP(D84,'נתוני רישום ומצבת'!B:D,3,0),"")</f>
        <v/>
      </c>
      <c r="F84" s="831" t="str">
        <f>IF(D84&gt;0,SUMIFS('בית ספר - תקצוב לפי מוסד (9)'!N:N,'בית ספר - תקצוב לפי מוסד (9)'!B:B,בקרה!D84,'בית ספר - תקצוב לפי מוסד (9)'!M:M,'בית ספר - תקצוב לפי מוסד (9)'!$M$22)+SUMIFS('בית ספר - תקצוב לפי מוסד (9)'!O:O,'בית ספר - תקצוב לפי מוסד (9)'!B:B,בקרה!D84,'בית ספר - תקצוב לפי מוסד (9)'!M:M,'בית ספר - תקצוב לפי מוסד (9)'!$M$22),"")</f>
        <v/>
      </c>
      <c r="G84" s="831">
        <v>2</v>
      </c>
      <c r="H84" s="831"/>
      <c r="I84" s="873">
        <f t="shared" si="42"/>
        <v>0</v>
      </c>
      <c r="J84" s="831"/>
      <c r="K84" s="832" t="s">
        <v>0</v>
      </c>
      <c r="L84" s="825">
        <f>SUMIFS('בית ספר - תקצוב לפי מוסד (9)'!$U:$U,'בית ספר - תקצוב לפי מוסד (9)'!$T:$T,בקרה!D84,'בית ספר - תקצוב לפי מוסד (9)'!$S:$S,K84)</f>
        <v>0</v>
      </c>
      <c r="M84" s="1012">
        <f t="shared" si="43"/>
        <v>0</v>
      </c>
      <c r="N84" s="868" t="s">
        <v>2863</v>
      </c>
      <c r="O84" s="868" t="s">
        <v>2863</v>
      </c>
      <c r="P84" s="868" t="s">
        <v>2863</v>
      </c>
      <c r="Q84" s="868" t="s">
        <v>2863</v>
      </c>
      <c r="R84" s="841">
        <f t="shared" ref="R84:R87" si="53">MAX((L84-S84),0)</f>
        <v>0</v>
      </c>
      <c r="S84" s="841">
        <f>MAX(L84-M84,0)</f>
        <v>0</v>
      </c>
      <c r="T84" s="825">
        <f>SUMIFS('בית ספר - תקצוב לפי מוסד (9)'!X:X,'בית ספר - תקצוב לפי מוסד (9)'!T:T,בקרה!D84,'בית ספר - תקצוב לפי מוסד (9)'!S:S,בקרה!K84)</f>
        <v>0</v>
      </c>
      <c r="U84" s="806" t="str">
        <f t="shared" ref="U84:U85" si="54">IF(L84&gt;0,IF(T84&lt;0,"קיזוז","תקין"),"")</f>
        <v/>
      </c>
      <c r="V84" s="831"/>
      <c r="W84" s="831"/>
      <c r="X84" s="831"/>
    </row>
    <row r="85" spans="1:24" s="805" customFormat="1" x14ac:dyDescent="0.25">
      <c r="A85" s="836">
        <v>17</v>
      </c>
      <c r="B85" s="837" t="str">
        <f>IF(D85&gt;0,'נתונים כלליים (1)'!$C$5,"")</f>
        <v/>
      </c>
      <c r="C85" s="838" t="str">
        <f>IFERROR(VLOOKUP(B85,'רשימת רשויות'!A:C,3,0),"")</f>
        <v/>
      </c>
      <c r="D85" s="839">
        <f>VLOOKUP(A85,'דוח ביצוע (3)'!A:G,2,0)</f>
        <v>0</v>
      </c>
      <c r="E85" s="840" t="str">
        <f>IFERROR(VLOOKUP(D85,'נתוני רישום ומצבת'!B:D,3,0),"")</f>
        <v/>
      </c>
      <c r="F85" s="840" t="str">
        <f>IF(D85&gt;0,SUMIFS('בית ספר - תקצוב לפי מוסד (9)'!N:N,'בית ספר - תקצוב לפי מוסד (9)'!B:B,בקרה!D85,'בית ספר - תקצוב לפי מוסד (9)'!M:M,'בית ספר - תקצוב לפי מוסד (9)'!$M$22)+SUMIFS('בית ספר - תקצוב לפי מוסד (9)'!O:O,'בית ספר - תקצוב לפי מוסד (9)'!B:B,בקרה!D85,'בית ספר - תקצוב לפי מוסד (9)'!M:M,'בית ספר - תקצוב לפי מוסד (9)'!$M$22),"")</f>
        <v/>
      </c>
      <c r="G85" s="840">
        <v>2</v>
      </c>
      <c r="H85" s="840"/>
      <c r="I85" s="874">
        <f t="shared" si="42"/>
        <v>0</v>
      </c>
      <c r="J85" s="840"/>
      <c r="K85" s="836" t="s">
        <v>93</v>
      </c>
      <c r="L85" s="825">
        <f>SUMIFS('בית ספר - תקצוב לפי מוסד (9)'!$U:$U,'בית ספר - תקצוב לפי מוסד (9)'!$T:$T,בקרה!D85,'בית ספר - תקצוב לפי מוסד (9)'!$S:$S,K85)</f>
        <v>0</v>
      </c>
      <c r="M85" s="1013">
        <f t="shared" si="43"/>
        <v>0</v>
      </c>
      <c r="N85" s="868" t="s">
        <v>2863</v>
      </c>
      <c r="O85" s="868" t="s">
        <v>2863</v>
      </c>
      <c r="P85" s="868" t="s">
        <v>2863</v>
      </c>
      <c r="Q85" s="868" t="s">
        <v>2863</v>
      </c>
      <c r="R85" s="841">
        <f t="shared" si="53"/>
        <v>0</v>
      </c>
      <c r="S85" s="841">
        <f t="shared" ref="S85:S87" si="55">MAX(L85-M85,0)</f>
        <v>0</v>
      </c>
      <c r="T85" s="825">
        <f>SUMIFS('בית ספר - תקצוב לפי מוסד (9)'!X:X,'בית ספר - תקצוב לפי מוסד (9)'!T:T,בקרה!D85,'בית ספר - תקצוב לפי מוסד (9)'!S:S,בקרה!K85)</f>
        <v>0</v>
      </c>
      <c r="U85" s="806" t="str">
        <f t="shared" si="54"/>
        <v/>
      </c>
      <c r="V85" s="840"/>
      <c r="W85" s="840"/>
      <c r="X85" s="840"/>
    </row>
    <row r="86" spans="1:24" s="805" customFormat="1" x14ac:dyDescent="0.25">
      <c r="A86" s="809">
        <v>17</v>
      </c>
      <c r="B86" s="810" t="str">
        <f>IF(D86&gt;0,'נתונים כלליים (1)'!$C$5,"")</f>
        <v/>
      </c>
      <c r="C86" s="811" t="str">
        <f>IFERROR(VLOOKUP(B86,'רשימת רשויות'!A:C,3,0),"")</f>
        <v/>
      </c>
      <c r="D86" s="812">
        <f>VLOOKUP(A86,'דוח ביצוע (3)'!A:G,2,0)</f>
        <v>0</v>
      </c>
      <c r="E86" s="813" t="str">
        <f>IFERROR(VLOOKUP(D86,'נתוני רישום ומצבת'!B:D,3,0),"")</f>
        <v/>
      </c>
      <c r="F86" s="813" t="str">
        <f>IF(D86&gt;0,SUMIFS('בית ספר - תקצוב לפי מוסד (9)'!N:N,'בית ספר - תקצוב לפי מוסד (9)'!B:B,בקרה!D86,'בית ספר - תקצוב לפי מוסד (9)'!M:M,'בית ספר - תקצוב לפי מוסד (9)'!$M$22)+SUMIFS('בית ספר - תקצוב לפי מוסד (9)'!O:O,'בית ספר - תקצוב לפי מוסד (9)'!B:B,בקרה!D86,'בית ספר - תקצוב לפי מוסד (9)'!M:M,'בית ספר - תקצוב לפי מוסד (9)'!$M$22),"")</f>
        <v/>
      </c>
      <c r="G86" s="813">
        <v>2</v>
      </c>
      <c r="H86" s="813"/>
      <c r="I86" s="875">
        <f t="shared" si="42"/>
        <v>0</v>
      </c>
      <c r="J86" s="813"/>
      <c r="K86" s="809" t="s">
        <v>2815</v>
      </c>
      <c r="L86" s="825">
        <f>SUMIFS('בית ספר - תקצוב לפי מוסד (9)'!$U:$U,'בית ספר - תקצוב לפי מוסד (9)'!$T:$T,בקרה!D86,'בית ספר - תקצוב לפי מוסד (9)'!$S:$S,"מלגות להורים")</f>
        <v>0</v>
      </c>
      <c r="M86" s="1014">
        <f t="shared" si="43"/>
        <v>0</v>
      </c>
      <c r="N86" s="868" t="s">
        <v>2863</v>
      </c>
      <c r="O86" s="868" t="s">
        <v>2863</v>
      </c>
      <c r="P86" s="868" t="s">
        <v>2863</v>
      </c>
      <c r="Q86" s="813"/>
      <c r="R86" s="841">
        <f t="shared" si="53"/>
        <v>0</v>
      </c>
      <c r="S86" s="841">
        <f t="shared" si="55"/>
        <v>0</v>
      </c>
      <c r="T86" s="825">
        <f>SUMIFS('בית ספר - תקצוב לפי מוסד (9)'!X:X,'בית ספר - תקצוב לפי מוסד (9)'!T:T,בקרה!D86,'בית ספר - תקצוב לפי מוסד (9)'!S:S,בקרה!K86)</f>
        <v>0</v>
      </c>
      <c r="U86" s="806">
        <f>Q86</f>
        <v>0</v>
      </c>
      <c r="V86" s="813"/>
      <c r="W86" s="813"/>
      <c r="X86" s="813"/>
    </row>
    <row r="87" spans="1:24" s="805" customFormat="1" x14ac:dyDescent="0.25">
      <c r="A87" s="814">
        <v>17</v>
      </c>
      <c r="B87" s="815" t="str">
        <f>IF(D87&gt;0,'נתונים כלליים (1)'!$C$5,"")</f>
        <v/>
      </c>
      <c r="C87" s="816" t="str">
        <f>IFERROR(VLOOKUP(B87,'רשימת רשויות'!A:C,3,0),"")</f>
        <v/>
      </c>
      <c r="D87" s="817">
        <f>VLOOKUP(A87,'דוח ביצוע (3)'!A:G,2,0)</f>
        <v>0</v>
      </c>
      <c r="E87" s="818" t="str">
        <f>IFERROR(VLOOKUP(D87,'נתוני רישום ומצבת'!B:D,3,0),"")</f>
        <v/>
      </c>
      <c r="F87" s="818" t="str">
        <f>IF(D87&gt;0,SUMIFS('בית ספר - תקצוב לפי מוסד (9)'!N:N,'בית ספר - תקצוב לפי מוסד (9)'!B:B,בקרה!D87,'בית ספר - תקצוב לפי מוסד (9)'!M:M,'בית ספר - תקצוב לפי מוסד (9)'!$M$22)+SUMIFS('בית ספר - תקצוב לפי מוסד (9)'!O:O,'בית ספר - תקצוב לפי מוסד (9)'!B:B,בקרה!D87,'בית ספר - תקצוב לפי מוסד (9)'!M:M,'בית ספר - תקצוב לפי מוסד (9)'!$M$22),"")</f>
        <v/>
      </c>
      <c r="G87" s="818">
        <v>2</v>
      </c>
      <c r="H87" s="818"/>
      <c r="I87" s="876">
        <f t="shared" si="42"/>
        <v>0</v>
      </c>
      <c r="J87" s="818"/>
      <c r="K87" s="814" t="s">
        <v>2344</v>
      </c>
      <c r="L87" s="825">
        <f>IFERROR(VLOOKUP(D87,'תשלומי הורים ומלגות להורים (5) '!B:C,2,0),0)</f>
        <v>0</v>
      </c>
      <c r="M87" s="1015">
        <f t="shared" si="43"/>
        <v>0</v>
      </c>
      <c r="N87" s="868" t="s">
        <v>2863</v>
      </c>
      <c r="O87" s="868" t="s">
        <v>2863</v>
      </c>
      <c r="P87" s="868" t="s">
        <v>2863</v>
      </c>
      <c r="Q87" s="818" t="s">
        <v>2876</v>
      </c>
      <c r="R87" s="841">
        <f t="shared" si="53"/>
        <v>0</v>
      </c>
      <c r="S87" s="841">
        <f t="shared" si="55"/>
        <v>0</v>
      </c>
      <c r="T87" s="869"/>
      <c r="U87" s="806" t="str">
        <f>Q87</f>
        <v>תקין</v>
      </c>
      <c r="V87" s="818"/>
      <c r="W87" s="818"/>
      <c r="X87" s="818"/>
    </row>
    <row r="88" spans="1:24" s="805" customFormat="1" ht="14.25" customHeight="1" x14ac:dyDescent="0.25">
      <c r="A88" s="819">
        <v>18</v>
      </c>
      <c r="B88" s="820" t="str">
        <f>IF(D88&gt;0,'נתונים כלליים (1)'!$C$5,"")</f>
        <v/>
      </c>
      <c r="C88" s="821" t="str">
        <f>IFERROR(VLOOKUP(B88,'רשימת רשויות'!A:C,3,0),"")</f>
        <v/>
      </c>
      <c r="D88" s="822">
        <f>VLOOKUP(A88,'דוח ביצוע (3)'!A:G,2,0)</f>
        <v>0</v>
      </c>
      <c r="E88" s="823" t="str">
        <f>IFERROR(VLOOKUP(D88,'נתוני רישום ומצבת'!B:D,3,0),"")</f>
        <v/>
      </c>
      <c r="F88" s="823" t="str">
        <f>IF(D88&gt;0,SUMIFS('בית ספר - תקצוב לפי מוסד (9)'!N:N,'בית ספר - תקצוב לפי מוסד (9)'!B:B,בקרה!D88,'בית ספר - תקצוב לפי מוסד (9)'!M:M,'בית ספר - תקצוב לפי מוסד (9)'!$M$22)+SUMIFS('בית ספר - תקצוב לפי מוסד (9)'!O:O,'בית ספר - תקצוב לפי מוסד (9)'!B:B,בקרה!D88,'בית ספר - תקצוב לפי מוסד (9)'!M:M,'בית ספר - תקצוב לפי מוסד (9)'!$M$22),"")</f>
        <v/>
      </c>
      <c r="G88" s="823">
        <v>2</v>
      </c>
      <c r="H88" s="823"/>
      <c r="I88" s="872">
        <f t="shared" si="42"/>
        <v>0</v>
      </c>
      <c r="J88" s="823"/>
      <c r="K88" s="819" t="s">
        <v>2342</v>
      </c>
      <c r="L88" s="825">
        <f>SUMIFS('בית ספר - תקצוב לפי מוסד (9)'!$U:$U,'בית ספר - תקצוב לפי מוסד (9)'!$T:$T,בקרה!D88,'בית ספר - תקצוב לפי מוסד (9)'!$S:$S,K88)</f>
        <v>0</v>
      </c>
      <c r="M88" s="1011">
        <f t="shared" si="43"/>
        <v>0</v>
      </c>
      <c r="N88" s="823"/>
      <c r="O88" s="823"/>
      <c r="P88" s="823"/>
      <c r="Q88" s="868" t="s">
        <v>2863</v>
      </c>
      <c r="R88" s="841">
        <f>MAX((L88-S88),0)</f>
        <v>0</v>
      </c>
      <c r="S88" s="841">
        <f>MAX(L88-MIN(M88,N88,O88,P88),0)</f>
        <v>0</v>
      </c>
      <c r="T88" s="825">
        <f>SUMIFS('בית ספר - תקצוב לפי מוסד (9)'!X:X,'בית ספר - תקצוב לפי מוסד (9)'!T:T,בקרה!D88,'בית ספר - תקצוב לפי מוסד (9)'!S:S,בקרה!K88)</f>
        <v>0</v>
      </c>
      <c r="U88" s="806" t="str">
        <f>IF(L88&gt;0,IF(T88&lt;0,"קיזוז","תקין"),"")</f>
        <v/>
      </c>
      <c r="V88" s="823"/>
      <c r="W88" s="823"/>
      <c r="X88" s="823"/>
    </row>
    <row r="89" spans="1:24" s="805" customFormat="1" x14ac:dyDescent="0.25">
      <c r="A89" s="832">
        <v>18</v>
      </c>
      <c r="B89" s="833" t="str">
        <f>IF(D89&gt;0,'נתונים כלליים (1)'!$C$5,"")</f>
        <v/>
      </c>
      <c r="C89" s="834" t="str">
        <f>IFERROR(VLOOKUP(B89,'רשימת רשויות'!A:C,3,0),"")</f>
        <v/>
      </c>
      <c r="D89" s="835">
        <f>VLOOKUP(A89,'דוח ביצוע (3)'!A:G,2,0)</f>
        <v>0</v>
      </c>
      <c r="E89" s="831" t="str">
        <f>IFERROR(VLOOKUP(D89,'נתוני רישום ומצבת'!B:D,3,0),"")</f>
        <v/>
      </c>
      <c r="F89" s="831" t="str">
        <f>IF(D89&gt;0,SUMIFS('בית ספר - תקצוב לפי מוסד (9)'!N:N,'בית ספר - תקצוב לפי מוסד (9)'!B:B,בקרה!D89,'בית ספר - תקצוב לפי מוסד (9)'!M:M,'בית ספר - תקצוב לפי מוסד (9)'!$M$22)+SUMIFS('בית ספר - תקצוב לפי מוסד (9)'!O:O,'בית ספר - תקצוב לפי מוסד (9)'!B:B,בקרה!D89,'בית ספר - תקצוב לפי מוסד (9)'!M:M,'בית ספר - תקצוב לפי מוסד (9)'!$M$22),"")</f>
        <v/>
      </c>
      <c r="G89" s="831">
        <v>2</v>
      </c>
      <c r="H89" s="831"/>
      <c r="I89" s="873">
        <f t="shared" si="42"/>
        <v>0</v>
      </c>
      <c r="J89" s="831"/>
      <c r="K89" s="832" t="s">
        <v>0</v>
      </c>
      <c r="L89" s="825">
        <f>SUMIFS('בית ספר - תקצוב לפי מוסד (9)'!$U:$U,'בית ספר - תקצוב לפי מוסד (9)'!$T:$T,בקרה!D89,'בית ספר - תקצוב לפי מוסד (9)'!$S:$S,K89)</f>
        <v>0</v>
      </c>
      <c r="M89" s="1012">
        <f t="shared" si="43"/>
        <v>0</v>
      </c>
      <c r="N89" s="868" t="s">
        <v>2863</v>
      </c>
      <c r="O89" s="868" t="s">
        <v>2863</v>
      </c>
      <c r="P89" s="868" t="s">
        <v>2863</v>
      </c>
      <c r="Q89" s="868" t="s">
        <v>2863</v>
      </c>
      <c r="R89" s="841">
        <f t="shared" ref="R89:R92" si="56">MAX((L89-S89),0)</f>
        <v>0</v>
      </c>
      <c r="S89" s="841">
        <f>MAX(L89-M89,0)</f>
        <v>0</v>
      </c>
      <c r="T89" s="825">
        <f>SUMIFS('בית ספר - תקצוב לפי מוסד (9)'!X:X,'בית ספר - תקצוב לפי מוסד (9)'!T:T,בקרה!D89,'בית ספר - תקצוב לפי מוסד (9)'!S:S,בקרה!K89)</f>
        <v>0</v>
      </c>
      <c r="U89" s="806" t="str">
        <f t="shared" ref="U89:U90" si="57">IF(L89&gt;0,IF(T89&lt;0,"קיזוז","תקין"),"")</f>
        <v/>
      </c>
      <c r="V89" s="831"/>
      <c r="W89" s="831"/>
      <c r="X89" s="831"/>
    </row>
    <row r="90" spans="1:24" s="805" customFormat="1" x14ac:dyDescent="0.25">
      <c r="A90" s="836">
        <v>18</v>
      </c>
      <c r="B90" s="837" t="str">
        <f>IF(D90&gt;0,'נתונים כלליים (1)'!$C$5,"")</f>
        <v/>
      </c>
      <c r="C90" s="838" t="str">
        <f>IFERROR(VLOOKUP(B90,'רשימת רשויות'!A:C,3,0),"")</f>
        <v/>
      </c>
      <c r="D90" s="839">
        <f>VLOOKUP(A90,'דוח ביצוע (3)'!A:G,2,0)</f>
        <v>0</v>
      </c>
      <c r="E90" s="840" t="str">
        <f>IFERROR(VLOOKUP(D90,'נתוני רישום ומצבת'!B:D,3,0),"")</f>
        <v/>
      </c>
      <c r="F90" s="840" t="str">
        <f>IF(D90&gt;0,SUMIFS('בית ספר - תקצוב לפי מוסד (9)'!N:N,'בית ספר - תקצוב לפי מוסד (9)'!B:B,בקרה!D90,'בית ספר - תקצוב לפי מוסד (9)'!M:M,'בית ספר - תקצוב לפי מוסד (9)'!$M$22)+SUMIFS('בית ספר - תקצוב לפי מוסד (9)'!O:O,'בית ספר - תקצוב לפי מוסד (9)'!B:B,בקרה!D90,'בית ספר - תקצוב לפי מוסד (9)'!M:M,'בית ספר - תקצוב לפי מוסד (9)'!$M$22),"")</f>
        <v/>
      </c>
      <c r="G90" s="840">
        <v>2</v>
      </c>
      <c r="H90" s="840"/>
      <c r="I90" s="874">
        <f t="shared" si="42"/>
        <v>0</v>
      </c>
      <c r="J90" s="840"/>
      <c r="K90" s="836" t="s">
        <v>93</v>
      </c>
      <c r="L90" s="825">
        <f>SUMIFS('בית ספר - תקצוב לפי מוסד (9)'!$U:$U,'בית ספר - תקצוב לפי מוסד (9)'!$T:$T,בקרה!D90,'בית ספר - תקצוב לפי מוסד (9)'!$S:$S,K90)</f>
        <v>0</v>
      </c>
      <c r="M90" s="1013">
        <f t="shared" si="43"/>
        <v>0</v>
      </c>
      <c r="N90" s="868" t="s">
        <v>2863</v>
      </c>
      <c r="O90" s="868" t="s">
        <v>2863</v>
      </c>
      <c r="P90" s="868" t="s">
        <v>2863</v>
      </c>
      <c r="Q90" s="868" t="s">
        <v>2863</v>
      </c>
      <c r="R90" s="841">
        <f t="shared" si="56"/>
        <v>0</v>
      </c>
      <c r="S90" s="841">
        <f t="shared" ref="S90:S92" si="58">MAX(L90-M90,0)</f>
        <v>0</v>
      </c>
      <c r="T90" s="825">
        <f>SUMIFS('בית ספר - תקצוב לפי מוסד (9)'!X:X,'בית ספר - תקצוב לפי מוסד (9)'!T:T,בקרה!D90,'בית ספר - תקצוב לפי מוסד (9)'!S:S,בקרה!K90)</f>
        <v>0</v>
      </c>
      <c r="U90" s="806" t="str">
        <f t="shared" si="57"/>
        <v/>
      </c>
      <c r="V90" s="840"/>
      <c r="W90" s="840"/>
      <c r="X90" s="840"/>
    </row>
    <row r="91" spans="1:24" s="805" customFormat="1" x14ac:dyDescent="0.25">
      <c r="A91" s="809">
        <v>18</v>
      </c>
      <c r="B91" s="810" t="str">
        <f>IF(D91&gt;0,'נתונים כלליים (1)'!$C$5,"")</f>
        <v/>
      </c>
      <c r="C91" s="811" t="str">
        <f>IFERROR(VLOOKUP(B91,'רשימת רשויות'!A:C,3,0),"")</f>
        <v/>
      </c>
      <c r="D91" s="812">
        <f>VLOOKUP(A91,'דוח ביצוע (3)'!A:G,2,0)</f>
        <v>0</v>
      </c>
      <c r="E91" s="813" t="str">
        <f>IFERROR(VLOOKUP(D91,'נתוני רישום ומצבת'!B:D,3,0),"")</f>
        <v/>
      </c>
      <c r="F91" s="813" t="str">
        <f>IF(D91&gt;0,SUMIFS('בית ספר - תקצוב לפי מוסד (9)'!N:N,'בית ספר - תקצוב לפי מוסד (9)'!B:B,בקרה!D91,'בית ספר - תקצוב לפי מוסד (9)'!M:M,'בית ספר - תקצוב לפי מוסד (9)'!$M$22)+SUMIFS('בית ספר - תקצוב לפי מוסד (9)'!O:O,'בית ספר - תקצוב לפי מוסד (9)'!B:B,בקרה!D91,'בית ספר - תקצוב לפי מוסד (9)'!M:M,'בית ספר - תקצוב לפי מוסד (9)'!$M$22),"")</f>
        <v/>
      </c>
      <c r="G91" s="813">
        <v>2</v>
      </c>
      <c r="H91" s="813"/>
      <c r="I91" s="875">
        <f t="shared" si="42"/>
        <v>0</v>
      </c>
      <c r="J91" s="813"/>
      <c r="K91" s="809" t="s">
        <v>2815</v>
      </c>
      <c r="L91" s="825">
        <f>SUMIFS('בית ספר - תקצוב לפי מוסד (9)'!$U:$U,'בית ספר - תקצוב לפי מוסד (9)'!$T:$T,בקרה!D91,'בית ספר - תקצוב לפי מוסד (9)'!$S:$S,"מלגות להורים")</f>
        <v>0</v>
      </c>
      <c r="M91" s="1014">
        <f t="shared" si="43"/>
        <v>0</v>
      </c>
      <c r="N91" s="868" t="s">
        <v>2863</v>
      </c>
      <c r="O91" s="868" t="s">
        <v>2863</v>
      </c>
      <c r="P91" s="868" t="s">
        <v>2863</v>
      </c>
      <c r="Q91" s="813"/>
      <c r="R91" s="841">
        <f t="shared" si="56"/>
        <v>0</v>
      </c>
      <c r="S91" s="841">
        <f t="shared" si="58"/>
        <v>0</v>
      </c>
      <c r="T91" s="825">
        <f>SUMIFS('בית ספר - תקצוב לפי מוסד (9)'!X:X,'בית ספר - תקצוב לפי מוסד (9)'!T:T,בקרה!D91,'בית ספר - תקצוב לפי מוסד (9)'!S:S,בקרה!K91)</f>
        <v>0</v>
      </c>
      <c r="U91" s="806">
        <f>Q91</f>
        <v>0</v>
      </c>
      <c r="V91" s="813"/>
      <c r="W91" s="813"/>
      <c r="X91" s="813"/>
    </row>
    <row r="92" spans="1:24" s="805" customFormat="1" x14ac:dyDescent="0.25">
      <c r="A92" s="814">
        <v>18</v>
      </c>
      <c r="B92" s="815" t="str">
        <f>IF(D92&gt;0,'נתונים כלליים (1)'!$C$5,"")</f>
        <v/>
      </c>
      <c r="C92" s="816" t="str">
        <f>IFERROR(VLOOKUP(B92,'רשימת רשויות'!A:C,3,0),"")</f>
        <v/>
      </c>
      <c r="D92" s="817">
        <f>VLOOKUP(A92,'דוח ביצוע (3)'!A:G,2,0)</f>
        <v>0</v>
      </c>
      <c r="E92" s="818" t="str">
        <f>IFERROR(VLOOKUP(D92,'נתוני רישום ומצבת'!B:D,3,0),"")</f>
        <v/>
      </c>
      <c r="F92" s="818" t="str">
        <f>IF(D92&gt;0,SUMIFS('בית ספר - תקצוב לפי מוסד (9)'!N:N,'בית ספר - תקצוב לפי מוסד (9)'!B:B,בקרה!D92,'בית ספר - תקצוב לפי מוסד (9)'!M:M,'בית ספר - תקצוב לפי מוסד (9)'!$M$22)+SUMIFS('בית ספר - תקצוב לפי מוסד (9)'!O:O,'בית ספר - תקצוב לפי מוסד (9)'!B:B,בקרה!D92,'בית ספר - תקצוב לפי מוסד (9)'!M:M,'בית ספר - תקצוב לפי מוסד (9)'!$M$22),"")</f>
        <v/>
      </c>
      <c r="G92" s="818">
        <v>2</v>
      </c>
      <c r="H92" s="818"/>
      <c r="I92" s="876">
        <f t="shared" si="42"/>
        <v>0</v>
      </c>
      <c r="J92" s="818"/>
      <c r="K92" s="814" t="s">
        <v>2344</v>
      </c>
      <c r="L92" s="825">
        <f>IFERROR(VLOOKUP(D92,'תשלומי הורים ומלגות להורים (5) '!B:C,2,0),0)</f>
        <v>0</v>
      </c>
      <c r="M92" s="1015">
        <f t="shared" si="43"/>
        <v>0</v>
      </c>
      <c r="N92" s="868" t="s">
        <v>2863</v>
      </c>
      <c r="O92" s="868" t="s">
        <v>2863</v>
      </c>
      <c r="P92" s="868" t="s">
        <v>2863</v>
      </c>
      <c r="Q92" s="818" t="s">
        <v>2876</v>
      </c>
      <c r="R92" s="841">
        <f t="shared" si="56"/>
        <v>0</v>
      </c>
      <c r="S92" s="841">
        <f t="shared" si="58"/>
        <v>0</v>
      </c>
      <c r="T92" s="869"/>
      <c r="U92" s="806" t="str">
        <f>Q92</f>
        <v>תקין</v>
      </c>
      <c r="V92" s="818"/>
      <c r="W92" s="818"/>
      <c r="X92" s="818"/>
    </row>
    <row r="93" spans="1:24" s="805" customFormat="1" ht="14.25" customHeight="1" x14ac:dyDescent="0.25">
      <c r="A93" s="819">
        <v>19</v>
      </c>
      <c r="B93" s="820" t="str">
        <f>IF(D93&gt;0,'נתונים כלליים (1)'!$C$5,"")</f>
        <v/>
      </c>
      <c r="C93" s="821" t="str">
        <f>IFERROR(VLOOKUP(B93,'רשימת רשויות'!A:C,3,0),"")</f>
        <v/>
      </c>
      <c r="D93" s="822">
        <f>VLOOKUP(A93,'דוח ביצוע (3)'!A:G,2,0)</f>
        <v>0</v>
      </c>
      <c r="E93" s="823" t="str">
        <f>IFERROR(VLOOKUP(D93,'נתוני רישום ומצבת'!B:D,3,0),"")</f>
        <v/>
      </c>
      <c r="F93" s="823" t="str">
        <f>IF(D93&gt;0,SUMIFS('בית ספר - תקצוב לפי מוסד (9)'!N:N,'בית ספר - תקצוב לפי מוסד (9)'!B:B,בקרה!D93,'בית ספר - תקצוב לפי מוסד (9)'!M:M,'בית ספר - תקצוב לפי מוסד (9)'!$M$22)+SUMIFS('בית ספר - תקצוב לפי מוסד (9)'!O:O,'בית ספר - תקצוב לפי מוסד (9)'!B:B,בקרה!D93,'בית ספר - תקצוב לפי מוסד (9)'!M:M,'בית ספר - תקצוב לפי מוסד (9)'!$M$22),"")</f>
        <v/>
      </c>
      <c r="G93" s="823">
        <v>2</v>
      </c>
      <c r="H93" s="823"/>
      <c r="I93" s="872">
        <f t="shared" si="42"/>
        <v>0</v>
      </c>
      <c r="J93" s="823"/>
      <c r="K93" s="819" t="s">
        <v>2342</v>
      </c>
      <c r="L93" s="825">
        <f>SUMIFS('בית ספר - תקצוב לפי מוסד (9)'!$U:$U,'בית ספר - תקצוב לפי מוסד (9)'!$T:$T,בקרה!D93,'בית ספר - תקצוב לפי מוסד (9)'!$S:$S,K93)</f>
        <v>0</v>
      </c>
      <c r="M93" s="1011">
        <f t="shared" si="43"/>
        <v>0</v>
      </c>
      <c r="N93" s="823"/>
      <c r="O93" s="823"/>
      <c r="P93" s="823"/>
      <c r="Q93" s="868" t="s">
        <v>2863</v>
      </c>
      <c r="R93" s="841">
        <f>MAX((L93-S93),0)</f>
        <v>0</v>
      </c>
      <c r="S93" s="841">
        <f>MAX(L93-MIN(M93,N93,O93,P93),0)</f>
        <v>0</v>
      </c>
      <c r="T93" s="825">
        <f>SUMIFS('בית ספר - תקצוב לפי מוסד (9)'!X:X,'בית ספר - תקצוב לפי מוסד (9)'!T:T,בקרה!D93,'בית ספר - תקצוב לפי מוסד (9)'!S:S,בקרה!K93)</f>
        <v>0</v>
      </c>
      <c r="U93" s="806" t="str">
        <f>IF(L93&gt;0,IF(T93&lt;0,"קיזוז","תקין"),"")</f>
        <v/>
      </c>
      <c r="V93" s="823"/>
      <c r="W93" s="823"/>
      <c r="X93" s="823"/>
    </row>
    <row r="94" spans="1:24" s="805" customFormat="1" x14ac:dyDescent="0.25">
      <c r="A94" s="832">
        <v>19</v>
      </c>
      <c r="B94" s="833" t="str">
        <f>IF(D94&gt;0,'נתונים כלליים (1)'!$C$5,"")</f>
        <v/>
      </c>
      <c r="C94" s="834" t="str">
        <f>IFERROR(VLOOKUP(B94,'רשימת רשויות'!A:C,3,0),"")</f>
        <v/>
      </c>
      <c r="D94" s="835">
        <f>VLOOKUP(A94,'דוח ביצוע (3)'!A:G,2,0)</f>
        <v>0</v>
      </c>
      <c r="E94" s="831" t="str">
        <f>IFERROR(VLOOKUP(D94,'נתוני רישום ומצבת'!B:D,3,0),"")</f>
        <v/>
      </c>
      <c r="F94" s="831" t="str">
        <f>IF(D94&gt;0,SUMIFS('בית ספר - תקצוב לפי מוסד (9)'!N:N,'בית ספר - תקצוב לפי מוסד (9)'!B:B,בקרה!D94,'בית ספר - תקצוב לפי מוסד (9)'!M:M,'בית ספר - תקצוב לפי מוסד (9)'!$M$22)+SUMIFS('בית ספר - תקצוב לפי מוסד (9)'!O:O,'בית ספר - תקצוב לפי מוסד (9)'!B:B,בקרה!D94,'בית ספר - תקצוב לפי מוסד (9)'!M:M,'בית ספר - תקצוב לפי מוסד (9)'!$M$22),"")</f>
        <v/>
      </c>
      <c r="G94" s="831">
        <v>2</v>
      </c>
      <c r="H94" s="831"/>
      <c r="I94" s="873">
        <f t="shared" si="42"/>
        <v>0</v>
      </c>
      <c r="J94" s="831"/>
      <c r="K94" s="832" t="s">
        <v>0</v>
      </c>
      <c r="L94" s="825">
        <f>SUMIFS('בית ספר - תקצוב לפי מוסד (9)'!$U:$U,'בית ספר - תקצוב לפי מוסד (9)'!$T:$T,בקרה!D94,'בית ספר - תקצוב לפי מוסד (9)'!$S:$S,K94)</f>
        <v>0</v>
      </c>
      <c r="M94" s="1012">
        <f t="shared" si="43"/>
        <v>0</v>
      </c>
      <c r="N94" s="868" t="s">
        <v>2863</v>
      </c>
      <c r="O94" s="868" t="s">
        <v>2863</v>
      </c>
      <c r="P94" s="868" t="s">
        <v>2863</v>
      </c>
      <c r="Q94" s="868" t="s">
        <v>2863</v>
      </c>
      <c r="R94" s="841">
        <f t="shared" ref="R94:R97" si="59">MAX((L94-S94),0)</f>
        <v>0</v>
      </c>
      <c r="S94" s="841">
        <f>MAX(L94-M94,0)</f>
        <v>0</v>
      </c>
      <c r="T94" s="825">
        <f>SUMIFS('בית ספר - תקצוב לפי מוסד (9)'!X:X,'בית ספר - תקצוב לפי מוסד (9)'!T:T,בקרה!D94,'בית ספר - תקצוב לפי מוסד (9)'!S:S,בקרה!K94)</f>
        <v>0</v>
      </c>
      <c r="U94" s="806" t="str">
        <f t="shared" ref="U94:U95" si="60">IF(L94&gt;0,IF(T94&lt;0,"קיזוז","תקין"),"")</f>
        <v/>
      </c>
      <c r="V94" s="831"/>
      <c r="W94" s="831"/>
      <c r="X94" s="831"/>
    </row>
    <row r="95" spans="1:24" s="805" customFormat="1" x14ac:dyDescent="0.25">
      <c r="A95" s="836">
        <v>19</v>
      </c>
      <c r="B95" s="837" t="str">
        <f>IF(D95&gt;0,'נתונים כלליים (1)'!$C$5,"")</f>
        <v/>
      </c>
      <c r="C95" s="838" t="str">
        <f>IFERROR(VLOOKUP(B95,'רשימת רשויות'!A:C,3,0),"")</f>
        <v/>
      </c>
      <c r="D95" s="839">
        <f>VLOOKUP(A95,'דוח ביצוע (3)'!A:G,2,0)</f>
        <v>0</v>
      </c>
      <c r="E95" s="840" t="str">
        <f>IFERROR(VLOOKUP(D95,'נתוני רישום ומצבת'!B:D,3,0),"")</f>
        <v/>
      </c>
      <c r="F95" s="840" t="str">
        <f>IF(D95&gt;0,SUMIFS('בית ספר - תקצוב לפי מוסד (9)'!N:N,'בית ספר - תקצוב לפי מוסד (9)'!B:B,בקרה!D95,'בית ספר - תקצוב לפי מוסד (9)'!M:M,'בית ספר - תקצוב לפי מוסד (9)'!$M$22)+SUMIFS('בית ספר - תקצוב לפי מוסד (9)'!O:O,'בית ספר - תקצוב לפי מוסד (9)'!B:B,בקרה!D95,'בית ספר - תקצוב לפי מוסד (9)'!M:M,'בית ספר - תקצוב לפי מוסד (9)'!$M$22),"")</f>
        <v/>
      </c>
      <c r="G95" s="840">
        <v>2</v>
      </c>
      <c r="H95" s="840"/>
      <c r="I95" s="874">
        <f t="shared" si="42"/>
        <v>0</v>
      </c>
      <c r="J95" s="840"/>
      <c r="K95" s="836" t="s">
        <v>93</v>
      </c>
      <c r="L95" s="825">
        <f>SUMIFS('בית ספר - תקצוב לפי מוסד (9)'!$U:$U,'בית ספר - תקצוב לפי מוסד (9)'!$T:$T,בקרה!D95,'בית ספר - תקצוב לפי מוסד (9)'!$S:$S,K95)</f>
        <v>0</v>
      </c>
      <c r="M95" s="1013">
        <f t="shared" si="43"/>
        <v>0</v>
      </c>
      <c r="N95" s="868" t="s">
        <v>2863</v>
      </c>
      <c r="O95" s="868" t="s">
        <v>2863</v>
      </c>
      <c r="P95" s="868" t="s">
        <v>2863</v>
      </c>
      <c r="Q95" s="868" t="s">
        <v>2863</v>
      </c>
      <c r="R95" s="841">
        <f t="shared" si="59"/>
        <v>0</v>
      </c>
      <c r="S95" s="841">
        <f t="shared" ref="S95:S97" si="61">MAX(L95-M95,0)</f>
        <v>0</v>
      </c>
      <c r="T95" s="825">
        <f>SUMIFS('בית ספר - תקצוב לפי מוסד (9)'!X:X,'בית ספר - תקצוב לפי מוסד (9)'!T:T,בקרה!D95,'בית ספר - תקצוב לפי מוסד (9)'!S:S,בקרה!K95)</f>
        <v>0</v>
      </c>
      <c r="U95" s="806" t="str">
        <f t="shared" si="60"/>
        <v/>
      </c>
      <c r="V95" s="840"/>
      <c r="W95" s="840"/>
      <c r="X95" s="840"/>
    </row>
    <row r="96" spans="1:24" s="805" customFormat="1" x14ac:dyDescent="0.25">
      <c r="A96" s="809">
        <v>19</v>
      </c>
      <c r="B96" s="810" t="str">
        <f>IF(D96&gt;0,'נתונים כלליים (1)'!$C$5,"")</f>
        <v/>
      </c>
      <c r="C96" s="811" t="str">
        <f>IFERROR(VLOOKUP(B96,'רשימת רשויות'!A:C,3,0),"")</f>
        <v/>
      </c>
      <c r="D96" s="812">
        <f>VLOOKUP(A96,'דוח ביצוע (3)'!A:G,2,0)</f>
        <v>0</v>
      </c>
      <c r="E96" s="813" t="str">
        <f>IFERROR(VLOOKUP(D96,'נתוני רישום ומצבת'!B:D,3,0),"")</f>
        <v/>
      </c>
      <c r="F96" s="813" t="str">
        <f>IF(D96&gt;0,SUMIFS('בית ספר - תקצוב לפי מוסד (9)'!N:N,'בית ספר - תקצוב לפי מוסד (9)'!B:B,בקרה!D96,'בית ספר - תקצוב לפי מוסד (9)'!M:M,'בית ספר - תקצוב לפי מוסד (9)'!$M$22)+SUMIFS('בית ספר - תקצוב לפי מוסד (9)'!O:O,'בית ספר - תקצוב לפי מוסד (9)'!B:B,בקרה!D96,'בית ספר - תקצוב לפי מוסד (9)'!M:M,'בית ספר - תקצוב לפי מוסד (9)'!$M$22),"")</f>
        <v/>
      </c>
      <c r="G96" s="813">
        <v>2</v>
      </c>
      <c r="H96" s="813"/>
      <c r="I96" s="875">
        <f t="shared" si="42"/>
        <v>0</v>
      </c>
      <c r="J96" s="813"/>
      <c r="K96" s="809" t="s">
        <v>2815</v>
      </c>
      <c r="L96" s="825">
        <f>SUMIFS('בית ספר - תקצוב לפי מוסד (9)'!$U:$U,'בית ספר - תקצוב לפי מוסד (9)'!$T:$T,בקרה!D96,'בית ספר - תקצוב לפי מוסד (9)'!$S:$S,"מלגות להורים")</f>
        <v>0</v>
      </c>
      <c r="M96" s="1014">
        <f t="shared" si="43"/>
        <v>0</v>
      </c>
      <c r="N96" s="868" t="s">
        <v>2863</v>
      </c>
      <c r="O96" s="868" t="s">
        <v>2863</v>
      </c>
      <c r="P96" s="868" t="s">
        <v>2863</v>
      </c>
      <c r="Q96" s="813"/>
      <c r="R96" s="841">
        <f t="shared" si="59"/>
        <v>0</v>
      </c>
      <c r="S96" s="841">
        <f t="shared" si="61"/>
        <v>0</v>
      </c>
      <c r="T96" s="825">
        <f>SUMIFS('בית ספר - תקצוב לפי מוסד (9)'!X:X,'בית ספר - תקצוב לפי מוסד (9)'!T:T,בקרה!D96,'בית ספר - תקצוב לפי מוסד (9)'!S:S,בקרה!K96)</f>
        <v>0</v>
      </c>
      <c r="U96" s="806">
        <f>Q96</f>
        <v>0</v>
      </c>
      <c r="V96" s="813"/>
      <c r="W96" s="813"/>
      <c r="X96" s="813"/>
    </row>
    <row r="97" spans="1:24" s="805" customFormat="1" x14ac:dyDescent="0.25">
      <c r="A97" s="814">
        <v>19</v>
      </c>
      <c r="B97" s="815" t="str">
        <f>IF(D97&gt;0,'נתונים כלליים (1)'!$C$5,"")</f>
        <v/>
      </c>
      <c r="C97" s="816" t="str">
        <f>IFERROR(VLOOKUP(B97,'רשימת רשויות'!A:C,3,0),"")</f>
        <v/>
      </c>
      <c r="D97" s="817">
        <f>VLOOKUP(A97,'דוח ביצוע (3)'!A:G,2,0)</f>
        <v>0</v>
      </c>
      <c r="E97" s="818" t="str">
        <f>IFERROR(VLOOKUP(D97,'נתוני רישום ומצבת'!B:D,3,0),"")</f>
        <v/>
      </c>
      <c r="F97" s="818" t="str">
        <f>IF(D97&gt;0,SUMIFS('בית ספר - תקצוב לפי מוסד (9)'!N:N,'בית ספר - תקצוב לפי מוסד (9)'!B:B,בקרה!D97,'בית ספר - תקצוב לפי מוסד (9)'!M:M,'בית ספר - תקצוב לפי מוסד (9)'!$M$22)+SUMIFS('בית ספר - תקצוב לפי מוסד (9)'!O:O,'בית ספר - תקצוב לפי מוסד (9)'!B:B,בקרה!D97,'בית ספר - תקצוב לפי מוסד (9)'!M:M,'בית ספר - תקצוב לפי מוסד (9)'!$M$22),"")</f>
        <v/>
      </c>
      <c r="G97" s="818">
        <v>2</v>
      </c>
      <c r="H97" s="818"/>
      <c r="I97" s="876">
        <f t="shared" si="42"/>
        <v>0</v>
      </c>
      <c r="J97" s="818"/>
      <c r="K97" s="814" t="s">
        <v>2344</v>
      </c>
      <c r="L97" s="825">
        <f>IFERROR(VLOOKUP(D97,'תשלומי הורים ומלגות להורים (5) '!B:C,2,0),0)</f>
        <v>0</v>
      </c>
      <c r="M97" s="1015">
        <f t="shared" si="43"/>
        <v>0</v>
      </c>
      <c r="N97" s="868" t="s">
        <v>2863</v>
      </c>
      <c r="O97" s="868" t="s">
        <v>2863</v>
      </c>
      <c r="P97" s="868" t="s">
        <v>2863</v>
      </c>
      <c r="Q97" s="818" t="s">
        <v>2876</v>
      </c>
      <c r="R97" s="841">
        <f t="shared" si="59"/>
        <v>0</v>
      </c>
      <c r="S97" s="841">
        <f t="shared" si="61"/>
        <v>0</v>
      </c>
      <c r="T97" s="869"/>
      <c r="U97" s="806" t="str">
        <f>Q97</f>
        <v>תקין</v>
      </c>
      <c r="V97" s="818"/>
      <c r="W97" s="818"/>
      <c r="X97" s="818"/>
    </row>
    <row r="98" spans="1:24" s="805" customFormat="1" ht="14.25" customHeight="1" x14ac:dyDescent="0.25">
      <c r="A98" s="819">
        <v>20</v>
      </c>
      <c r="B98" s="820" t="str">
        <f>IF(D98&gt;0,'נתונים כלליים (1)'!$C$5,"")</f>
        <v/>
      </c>
      <c r="C98" s="821" t="str">
        <f>IFERROR(VLOOKUP(B98,'רשימת רשויות'!A:C,3,0),"")</f>
        <v/>
      </c>
      <c r="D98" s="822">
        <f>VLOOKUP(A98,'דוח ביצוע (3)'!A:G,2,0)</f>
        <v>0</v>
      </c>
      <c r="E98" s="823" t="str">
        <f>IFERROR(VLOOKUP(D98,'נתוני רישום ומצבת'!B:D,3,0),"")</f>
        <v/>
      </c>
      <c r="F98" s="823" t="str">
        <f>IF(D98&gt;0,SUMIFS('בית ספר - תקצוב לפי מוסד (9)'!N:N,'בית ספר - תקצוב לפי מוסד (9)'!B:B,בקרה!D98,'בית ספר - תקצוב לפי מוסד (9)'!M:M,'בית ספר - תקצוב לפי מוסד (9)'!$M$22)+SUMIFS('בית ספר - תקצוב לפי מוסד (9)'!O:O,'בית ספר - תקצוב לפי מוסד (9)'!B:B,בקרה!D98,'בית ספר - תקצוב לפי מוסד (9)'!M:M,'בית ספר - תקצוב לפי מוסד (9)'!$M$22),"")</f>
        <v/>
      </c>
      <c r="G98" s="823">
        <v>2</v>
      </c>
      <c r="H98" s="823"/>
      <c r="I98" s="872">
        <f t="shared" si="42"/>
        <v>0</v>
      </c>
      <c r="J98" s="823"/>
      <c r="K98" s="819" t="s">
        <v>2342</v>
      </c>
      <c r="L98" s="825">
        <f>SUMIFS('בית ספר - תקצוב לפי מוסד (9)'!$U:$U,'בית ספר - תקצוב לפי מוסד (9)'!$T:$T,בקרה!D98,'בית ספר - תקצוב לפי מוסד (9)'!$S:$S,K98)</f>
        <v>0</v>
      </c>
      <c r="M98" s="1011">
        <f t="shared" si="43"/>
        <v>0</v>
      </c>
      <c r="N98" s="823"/>
      <c r="O98" s="823"/>
      <c r="P98" s="823"/>
      <c r="Q98" s="868" t="s">
        <v>2863</v>
      </c>
      <c r="R98" s="841">
        <f>MAX((L98-S98),0)</f>
        <v>0</v>
      </c>
      <c r="S98" s="841">
        <f>MAX(L98-MIN(M98,N98,O98,P98),0)</f>
        <v>0</v>
      </c>
      <c r="T98" s="825">
        <f>SUMIFS('בית ספר - תקצוב לפי מוסד (9)'!X:X,'בית ספר - תקצוב לפי מוסד (9)'!T:T,בקרה!D98,'בית ספר - תקצוב לפי מוסד (9)'!S:S,בקרה!K98)</f>
        <v>0</v>
      </c>
      <c r="U98" s="806" t="str">
        <f>IF(L98&gt;0,IF(T98&lt;0,"קיזוז","תקין"),"")</f>
        <v/>
      </c>
      <c r="V98" s="823"/>
      <c r="W98" s="823"/>
      <c r="X98" s="823"/>
    </row>
    <row r="99" spans="1:24" s="805" customFormat="1" x14ac:dyDescent="0.25">
      <c r="A99" s="832">
        <v>20</v>
      </c>
      <c r="B99" s="833" t="str">
        <f>IF(D99&gt;0,'נתונים כלליים (1)'!$C$5,"")</f>
        <v/>
      </c>
      <c r="C99" s="834" t="str">
        <f>IFERROR(VLOOKUP(B99,'רשימת רשויות'!A:C,3,0),"")</f>
        <v/>
      </c>
      <c r="D99" s="835">
        <f>VLOOKUP(A99,'דוח ביצוע (3)'!A:G,2,0)</f>
        <v>0</v>
      </c>
      <c r="E99" s="831" t="str">
        <f>IFERROR(VLOOKUP(D99,'נתוני רישום ומצבת'!B:D,3,0),"")</f>
        <v/>
      </c>
      <c r="F99" s="831" t="str">
        <f>IF(D99&gt;0,SUMIFS('בית ספר - תקצוב לפי מוסד (9)'!N:N,'בית ספר - תקצוב לפי מוסד (9)'!B:B,בקרה!D99,'בית ספר - תקצוב לפי מוסד (9)'!M:M,'בית ספר - תקצוב לפי מוסד (9)'!$M$22)+SUMIFS('בית ספר - תקצוב לפי מוסד (9)'!O:O,'בית ספר - תקצוב לפי מוסד (9)'!B:B,בקרה!D99,'בית ספר - תקצוב לפי מוסד (9)'!M:M,'בית ספר - תקצוב לפי מוסד (9)'!$M$22),"")</f>
        <v/>
      </c>
      <c r="G99" s="831">
        <v>2</v>
      </c>
      <c r="H99" s="831"/>
      <c r="I99" s="873">
        <f t="shared" ref="I99:I127" si="62">G99-(COUNTIF(H:H,"כן")/5)</f>
        <v>0</v>
      </c>
      <c r="J99" s="831"/>
      <c r="K99" s="832" t="s">
        <v>0</v>
      </c>
      <c r="L99" s="825">
        <f>SUMIFS('בית ספר - תקצוב לפי מוסד (9)'!$U:$U,'בית ספר - תקצוב לפי מוסד (9)'!$T:$T,בקרה!D99,'בית ספר - תקצוב לפי מוסד (9)'!$S:$S,K99)</f>
        <v>0</v>
      </c>
      <c r="M99" s="1012">
        <f t="shared" si="43"/>
        <v>0</v>
      </c>
      <c r="N99" s="868" t="s">
        <v>2863</v>
      </c>
      <c r="O99" s="868" t="s">
        <v>2863</v>
      </c>
      <c r="P99" s="868" t="s">
        <v>2863</v>
      </c>
      <c r="Q99" s="868" t="s">
        <v>2863</v>
      </c>
      <c r="R99" s="841">
        <f t="shared" ref="R99:R102" si="63">MAX((L99-S99),0)</f>
        <v>0</v>
      </c>
      <c r="S99" s="841">
        <f>MAX(L99-M99,0)</f>
        <v>0</v>
      </c>
      <c r="T99" s="825">
        <f>SUMIFS('בית ספר - תקצוב לפי מוסד (9)'!X:X,'בית ספר - תקצוב לפי מוסד (9)'!T:T,בקרה!D99,'בית ספר - תקצוב לפי מוסד (9)'!S:S,בקרה!K99)</f>
        <v>0</v>
      </c>
      <c r="U99" s="806" t="str">
        <f t="shared" ref="U99:U100" si="64">IF(L99&gt;0,IF(T99&lt;0,"קיזוז","תקין"),"")</f>
        <v/>
      </c>
      <c r="V99" s="831"/>
      <c r="W99" s="831"/>
      <c r="X99" s="831"/>
    </row>
    <row r="100" spans="1:24" s="805" customFormat="1" x14ac:dyDescent="0.25">
      <c r="A100" s="836">
        <v>20</v>
      </c>
      <c r="B100" s="837" t="str">
        <f>IF(D100&gt;0,'נתונים כלליים (1)'!$C$5,"")</f>
        <v/>
      </c>
      <c r="C100" s="838" t="str">
        <f>IFERROR(VLOOKUP(B100,'רשימת רשויות'!A:C,3,0),"")</f>
        <v/>
      </c>
      <c r="D100" s="839">
        <f>VLOOKUP(A100,'דוח ביצוע (3)'!A:G,2,0)</f>
        <v>0</v>
      </c>
      <c r="E100" s="840" t="str">
        <f>IFERROR(VLOOKUP(D100,'נתוני רישום ומצבת'!B:D,3,0),"")</f>
        <v/>
      </c>
      <c r="F100" s="840" t="str">
        <f>IF(D100&gt;0,SUMIFS('בית ספר - תקצוב לפי מוסד (9)'!N:N,'בית ספר - תקצוב לפי מוסד (9)'!B:B,בקרה!D100,'בית ספר - תקצוב לפי מוסד (9)'!M:M,'בית ספר - תקצוב לפי מוסד (9)'!$M$22)+SUMIFS('בית ספר - תקצוב לפי מוסד (9)'!O:O,'בית ספר - תקצוב לפי מוסד (9)'!B:B,בקרה!D100,'בית ספר - תקצוב לפי מוסד (9)'!M:M,'בית ספר - תקצוב לפי מוסד (9)'!$M$22),"")</f>
        <v/>
      </c>
      <c r="G100" s="840">
        <v>2</v>
      </c>
      <c r="H100" s="840"/>
      <c r="I100" s="874">
        <f t="shared" si="62"/>
        <v>0</v>
      </c>
      <c r="J100" s="840"/>
      <c r="K100" s="836" t="s">
        <v>93</v>
      </c>
      <c r="L100" s="825">
        <f>SUMIFS('בית ספר - תקצוב לפי מוסד (9)'!$U:$U,'בית ספר - תקצוב לפי מוסד (9)'!$T:$T,בקרה!D100,'בית ספר - תקצוב לפי מוסד (9)'!$S:$S,K100)</f>
        <v>0</v>
      </c>
      <c r="M100" s="1013">
        <f t="shared" si="43"/>
        <v>0</v>
      </c>
      <c r="N100" s="868" t="s">
        <v>2863</v>
      </c>
      <c r="O100" s="868" t="s">
        <v>2863</v>
      </c>
      <c r="P100" s="868" t="s">
        <v>2863</v>
      </c>
      <c r="Q100" s="868" t="s">
        <v>2863</v>
      </c>
      <c r="R100" s="841">
        <f t="shared" si="63"/>
        <v>0</v>
      </c>
      <c r="S100" s="841">
        <f t="shared" ref="S100:S102" si="65">MAX(L100-M100,0)</f>
        <v>0</v>
      </c>
      <c r="T100" s="825">
        <f>SUMIFS('בית ספר - תקצוב לפי מוסד (9)'!X:X,'בית ספר - תקצוב לפי מוסד (9)'!T:T,בקרה!D100,'בית ספר - תקצוב לפי מוסד (9)'!S:S,בקרה!K100)</f>
        <v>0</v>
      </c>
      <c r="U100" s="806" t="str">
        <f t="shared" si="64"/>
        <v/>
      </c>
      <c r="V100" s="840"/>
      <c r="W100" s="840"/>
      <c r="X100" s="840"/>
    </row>
    <row r="101" spans="1:24" s="805" customFormat="1" x14ac:dyDescent="0.25">
      <c r="A101" s="809">
        <v>20</v>
      </c>
      <c r="B101" s="810" t="str">
        <f>IF(D101&gt;0,'נתונים כלליים (1)'!$C$5,"")</f>
        <v/>
      </c>
      <c r="C101" s="811" t="str">
        <f>IFERROR(VLOOKUP(B101,'רשימת רשויות'!A:C,3,0),"")</f>
        <v/>
      </c>
      <c r="D101" s="812">
        <f>VLOOKUP(A101,'דוח ביצוע (3)'!A:G,2,0)</f>
        <v>0</v>
      </c>
      <c r="E101" s="813" t="str">
        <f>IFERROR(VLOOKUP(D101,'נתוני רישום ומצבת'!B:D,3,0),"")</f>
        <v/>
      </c>
      <c r="F101" s="813" t="str">
        <f>IF(D101&gt;0,SUMIFS('בית ספר - תקצוב לפי מוסד (9)'!N:N,'בית ספר - תקצוב לפי מוסד (9)'!B:B,בקרה!D101,'בית ספר - תקצוב לפי מוסד (9)'!M:M,'בית ספר - תקצוב לפי מוסד (9)'!$M$22)+SUMIFS('בית ספר - תקצוב לפי מוסד (9)'!O:O,'בית ספר - תקצוב לפי מוסד (9)'!B:B,בקרה!D101,'בית ספר - תקצוב לפי מוסד (9)'!M:M,'בית ספר - תקצוב לפי מוסד (9)'!$M$22),"")</f>
        <v/>
      </c>
      <c r="G101" s="813">
        <v>2</v>
      </c>
      <c r="H101" s="813"/>
      <c r="I101" s="875">
        <f t="shared" si="62"/>
        <v>0</v>
      </c>
      <c r="J101" s="813"/>
      <c r="K101" s="809" t="s">
        <v>2815</v>
      </c>
      <c r="L101" s="825">
        <f>SUMIFS('בית ספר - תקצוב לפי מוסד (9)'!$U:$U,'בית ספר - תקצוב לפי מוסד (9)'!$T:$T,בקרה!D101,'בית ספר - תקצוב לפי מוסד (9)'!$S:$S,"מלגות להורים")</f>
        <v>0</v>
      </c>
      <c r="M101" s="1014">
        <f t="shared" si="43"/>
        <v>0</v>
      </c>
      <c r="N101" s="868" t="s">
        <v>2863</v>
      </c>
      <c r="O101" s="868" t="s">
        <v>2863</v>
      </c>
      <c r="P101" s="868" t="s">
        <v>2863</v>
      </c>
      <c r="Q101" s="813"/>
      <c r="R101" s="841">
        <f t="shared" si="63"/>
        <v>0</v>
      </c>
      <c r="S101" s="841">
        <f t="shared" si="65"/>
        <v>0</v>
      </c>
      <c r="T101" s="825">
        <f>SUMIFS('בית ספר - תקצוב לפי מוסד (9)'!X:X,'בית ספר - תקצוב לפי מוסד (9)'!T:T,בקרה!D101,'בית ספר - תקצוב לפי מוסד (9)'!S:S,בקרה!K101)</f>
        <v>0</v>
      </c>
      <c r="U101" s="806">
        <f>Q101</f>
        <v>0</v>
      </c>
      <c r="V101" s="813"/>
      <c r="W101" s="813"/>
      <c r="X101" s="813"/>
    </row>
    <row r="102" spans="1:24" s="805" customFormat="1" x14ac:dyDescent="0.25">
      <c r="A102" s="814">
        <v>20</v>
      </c>
      <c r="B102" s="815" t="str">
        <f>IF(D102&gt;0,'נתונים כלליים (1)'!$C$5,"")</f>
        <v/>
      </c>
      <c r="C102" s="816" t="str">
        <f>IFERROR(VLOOKUP(B102,'רשימת רשויות'!A:C,3,0),"")</f>
        <v/>
      </c>
      <c r="D102" s="817">
        <f>VLOOKUP(A102,'דוח ביצוע (3)'!A:G,2,0)</f>
        <v>0</v>
      </c>
      <c r="E102" s="818" t="str">
        <f>IFERROR(VLOOKUP(D102,'נתוני רישום ומצבת'!B:D,3,0),"")</f>
        <v/>
      </c>
      <c r="F102" s="818" t="str">
        <f>IF(D102&gt;0,SUMIFS('בית ספר - תקצוב לפי מוסד (9)'!N:N,'בית ספר - תקצוב לפי מוסד (9)'!B:B,בקרה!D102,'בית ספר - תקצוב לפי מוסד (9)'!M:M,'בית ספר - תקצוב לפי מוסד (9)'!$M$22)+SUMIFS('בית ספר - תקצוב לפי מוסד (9)'!O:O,'בית ספר - תקצוב לפי מוסד (9)'!B:B,בקרה!D102,'בית ספר - תקצוב לפי מוסד (9)'!M:M,'בית ספר - תקצוב לפי מוסד (9)'!$M$22),"")</f>
        <v/>
      </c>
      <c r="G102" s="818">
        <v>2</v>
      </c>
      <c r="H102" s="818"/>
      <c r="I102" s="876">
        <f t="shared" si="62"/>
        <v>0</v>
      </c>
      <c r="J102" s="818"/>
      <c r="K102" s="814" t="s">
        <v>2344</v>
      </c>
      <c r="L102" s="825">
        <f>IFERROR(VLOOKUP(D102,'תשלומי הורים ומלגות להורים (5) '!B:C,2,0),0)</f>
        <v>0</v>
      </c>
      <c r="M102" s="1015">
        <f t="shared" si="43"/>
        <v>0</v>
      </c>
      <c r="N102" s="868" t="s">
        <v>2863</v>
      </c>
      <c r="O102" s="868" t="s">
        <v>2863</v>
      </c>
      <c r="P102" s="868" t="s">
        <v>2863</v>
      </c>
      <c r="Q102" s="818" t="s">
        <v>2876</v>
      </c>
      <c r="R102" s="841">
        <f t="shared" si="63"/>
        <v>0</v>
      </c>
      <c r="S102" s="841">
        <f t="shared" si="65"/>
        <v>0</v>
      </c>
      <c r="T102" s="869"/>
      <c r="U102" s="806" t="str">
        <f>Q102</f>
        <v>תקין</v>
      </c>
      <c r="V102" s="818"/>
      <c r="W102" s="818"/>
      <c r="X102" s="818"/>
    </row>
    <row r="103" spans="1:24" s="805" customFormat="1" ht="14.25" customHeight="1" x14ac:dyDescent="0.25">
      <c r="A103" s="819">
        <v>21</v>
      </c>
      <c r="B103" s="820" t="str">
        <f>IF(D103&gt;0,'נתונים כלליים (1)'!$C$5,"")</f>
        <v/>
      </c>
      <c r="C103" s="821" t="str">
        <f>IFERROR(VLOOKUP(B103,'רשימת רשויות'!A:C,3,0),"")</f>
        <v/>
      </c>
      <c r="D103" s="822">
        <f>VLOOKUP(A103,'דוח ביצוע (3)'!A:G,2,0)</f>
        <v>0</v>
      </c>
      <c r="E103" s="823" t="str">
        <f>IFERROR(VLOOKUP(D103,'נתוני רישום ומצבת'!B:D,3,0),"")</f>
        <v/>
      </c>
      <c r="F103" s="823" t="str">
        <f>IF(D103&gt;0,SUMIFS('בית ספר - תקצוב לפי מוסד (9)'!N:N,'בית ספר - תקצוב לפי מוסד (9)'!B:B,בקרה!D103,'בית ספר - תקצוב לפי מוסד (9)'!M:M,'בית ספר - תקצוב לפי מוסד (9)'!$M$22)+SUMIFS('בית ספר - תקצוב לפי מוסד (9)'!O:O,'בית ספר - תקצוב לפי מוסד (9)'!B:B,בקרה!D103,'בית ספר - תקצוב לפי מוסד (9)'!M:M,'בית ספר - תקצוב לפי מוסד (9)'!$M$22),"")</f>
        <v/>
      </c>
      <c r="G103" s="823">
        <v>2</v>
      </c>
      <c r="H103" s="823"/>
      <c r="I103" s="872">
        <f t="shared" si="62"/>
        <v>0</v>
      </c>
      <c r="J103" s="823"/>
      <c r="K103" s="819" t="s">
        <v>2342</v>
      </c>
      <c r="L103" s="825">
        <f>SUMIFS('בית ספר - תקצוב לפי מוסד (9)'!$U:$U,'בית ספר - תקצוב לפי מוסד (9)'!$T:$T,בקרה!D103,'בית ספר - תקצוב לפי מוסד (9)'!$S:$S,K103)</f>
        <v>0</v>
      </c>
      <c r="M103" s="1011">
        <f t="shared" si="43"/>
        <v>0</v>
      </c>
      <c r="N103" s="823"/>
      <c r="O103" s="823"/>
      <c r="P103" s="823"/>
      <c r="Q103" s="868" t="s">
        <v>2863</v>
      </c>
      <c r="R103" s="841">
        <f>MAX((L103-S103),0)</f>
        <v>0</v>
      </c>
      <c r="S103" s="841">
        <f>MAX(L103-MIN(M103,N103,O103,P103),0)</f>
        <v>0</v>
      </c>
      <c r="T103" s="825">
        <f>SUMIFS('בית ספר - תקצוב לפי מוסד (9)'!X:X,'בית ספר - תקצוב לפי מוסד (9)'!T:T,בקרה!D103,'בית ספר - תקצוב לפי מוסד (9)'!S:S,בקרה!K103)</f>
        <v>0</v>
      </c>
      <c r="U103" s="806" t="str">
        <f>IF(L103&gt;0,IF(T103&lt;0,"קיזוז","תקין"),"")</f>
        <v/>
      </c>
      <c r="V103" s="823"/>
      <c r="W103" s="823"/>
      <c r="X103" s="823"/>
    </row>
    <row r="104" spans="1:24" s="805" customFormat="1" x14ac:dyDescent="0.25">
      <c r="A104" s="832">
        <v>21</v>
      </c>
      <c r="B104" s="833" t="str">
        <f>IF(D104&gt;0,'נתונים כלליים (1)'!$C$5,"")</f>
        <v/>
      </c>
      <c r="C104" s="834" t="str">
        <f>IFERROR(VLOOKUP(B104,'רשימת רשויות'!A:C,3,0),"")</f>
        <v/>
      </c>
      <c r="D104" s="835">
        <f>VLOOKUP(A104,'דוח ביצוע (3)'!A:G,2,0)</f>
        <v>0</v>
      </c>
      <c r="E104" s="831" t="str">
        <f>IFERROR(VLOOKUP(D104,'נתוני רישום ומצבת'!B:D,3,0),"")</f>
        <v/>
      </c>
      <c r="F104" s="831" t="str">
        <f>IF(D104&gt;0,SUMIFS('בית ספר - תקצוב לפי מוסד (9)'!N:N,'בית ספר - תקצוב לפי מוסד (9)'!B:B,בקרה!D104,'בית ספר - תקצוב לפי מוסד (9)'!M:M,'בית ספר - תקצוב לפי מוסד (9)'!$M$22)+SUMIFS('בית ספר - תקצוב לפי מוסד (9)'!O:O,'בית ספר - תקצוב לפי מוסד (9)'!B:B,בקרה!D104,'בית ספר - תקצוב לפי מוסד (9)'!M:M,'בית ספר - תקצוב לפי מוסד (9)'!$M$22),"")</f>
        <v/>
      </c>
      <c r="G104" s="831">
        <v>2</v>
      </c>
      <c r="H104" s="831"/>
      <c r="I104" s="873">
        <f t="shared" si="62"/>
        <v>0</v>
      </c>
      <c r="J104" s="831"/>
      <c r="K104" s="832" t="s">
        <v>0</v>
      </c>
      <c r="L104" s="825">
        <f>SUMIFS('בית ספר - תקצוב לפי מוסד (9)'!$U:$U,'בית ספר - תקצוב לפי מוסד (9)'!$T:$T,בקרה!D104,'בית ספר - תקצוב לפי מוסד (9)'!$S:$S,K104)</f>
        <v>0</v>
      </c>
      <c r="M104" s="1012">
        <f t="shared" si="43"/>
        <v>0</v>
      </c>
      <c r="N104" s="868" t="s">
        <v>2863</v>
      </c>
      <c r="O104" s="868" t="s">
        <v>2863</v>
      </c>
      <c r="P104" s="868" t="s">
        <v>2863</v>
      </c>
      <c r="Q104" s="868" t="s">
        <v>2863</v>
      </c>
      <c r="R104" s="841">
        <f t="shared" ref="R104:R107" si="66">MAX((L104-S104),0)</f>
        <v>0</v>
      </c>
      <c r="S104" s="841">
        <f>MAX(L104-M104,0)</f>
        <v>0</v>
      </c>
      <c r="T104" s="825">
        <f>SUMIFS('בית ספר - תקצוב לפי מוסד (9)'!X:X,'בית ספר - תקצוב לפי מוסד (9)'!T:T,בקרה!D104,'בית ספר - תקצוב לפי מוסד (9)'!S:S,בקרה!K104)</f>
        <v>0</v>
      </c>
      <c r="U104" s="806" t="str">
        <f t="shared" ref="U104:U105" si="67">IF(L104&gt;0,IF(T104&lt;0,"קיזוז","תקין"),"")</f>
        <v/>
      </c>
      <c r="V104" s="831"/>
      <c r="W104" s="831"/>
      <c r="X104" s="831"/>
    </row>
    <row r="105" spans="1:24" s="805" customFormat="1" x14ac:dyDescent="0.25">
      <c r="A105" s="836">
        <v>21</v>
      </c>
      <c r="B105" s="837" t="str">
        <f>IF(D105&gt;0,'נתונים כלליים (1)'!$C$5,"")</f>
        <v/>
      </c>
      <c r="C105" s="838" t="str">
        <f>IFERROR(VLOOKUP(B105,'רשימת רשויות'!A:C,3,0),"")</f>
        <v/>
      </c>
      <c r="D105" s="839">
        <f>VLOOKUP(A105,'דוח ביצוע (3)'!A:G,2,0)</f>
        <v>0</v>
      </c>
      <c r="E105" s="840" t="str">
        <f>IFERROR(VLOOKUP(D105,'נתוני רישום ומצבת'!B:D,3,0),"")</f>
        <v/>
      </c>
      <c r="F105" s="840" t="str">
        <f>IF(D105&gt;0,SUMIFS('בית ספר - תקצוב לפי מוסד (9)'!N:N,'בית ספר - תקצוב לפי מוסד (9)'!B:B,בקרה!D105,'בית ספר - תקצוב לפי מוסד (9)'!M:M,'בית ספר - תקצוב לפי מוסד (9)'!$M$22)+SUMIFS('בית ספר - תקצוב לפי מוסד (9)'!O:O,'בית ספר - תקצוב לפי מוסד (9)'!B:B,בקרה!D105,'בית ספר - תקצוב לפי מוסד (9)'!M:M,'בית ספר - תקצוב לפי מוסד (9)'!$M$22),"")</f>
        <v/>
      </c>
      <c r="G105" s="840">
        <v>2</v>
      </c>
      <c r="H105" s="840"/>
      <c r="I105" s="874">
        <f t="shared" si="62"/>
        <v>0</v>
      </c>
      <c r="J105" s="840"/>
      <c r="K105" s="836" t="s">
        <v>93</v>
      </c>
      <c r="L105" s="825">
        <f>SUMIFS('בית ספר - תקצוב לפי מוסד (9)'!$U:$U,'בית ספר - תקצוב לפי מוסד (9)'!$T:$T,בקרה!D105,'בית ספר - תקצוב לפי מוסד (9)'!$S:$S,K105)</f>
        <v>0</v>
      </c>
      <c r="M105" s="1013">
        <f t="shared" si="43"/>
        <v>0</v>
      </c>
      <c r="N105" s="868" t="s">
        <v>2863</v>
      </c>
      <c r="O105" s="868" t="s">
        <v>2863</v>
      </c>
      <c r="P105" s="868" t="s">
        <v>2863</v>
      </c>
      <c r="Q105" s="868" t="s">
        <v>2863</v>
      </c>
      <c r="R105" s="841">
        <f t="shared" si="66"/>
        <v>0</v>
      </c>
      <c r="S105" s="841">
        <f t="shared" ref="S105:S107" si="68">MAX(L105-M105,0)</f>
        <v>0</v>
      </c>
      <c r="T105" s="825">
        <f>SUMIFS('בית ספר - תקצוב לפי מוסד (9)'!X:X,'בית ספר - תקצוב לפי מוסד (9)'!T:T,בקרה!D105,'בית ספר - תקצוב לפי מוסד (9)'!S:S,בקרה!K105)</f>
        <v>0</v>
      </c>
      <c r="U105" s="806" t="str">
        <f t="shared" si="67"/>
        <v/>
      </c>
      <c r="V105" s="840"/>
      <c r="W105" s="840"/>
      <c r="X105" s="840"/>
    </row>
    <row r="106" spans="1:24" s="805" customFormat="1" x14ac:dyDescent="0.25">
      <c r="A106" s="809">
        <v>21</v>
      </c>
      <c r="B106" s="810" t="str">
        <f>IF(D106&gt;0,'נתונים כלליים (1)'!$C$5,"")</f>
        <v/>
      </c>
      <c r="C106" s="811" t="str">
        <f>IFERROR(VLOOKUP(B106,'רשימת רשויות'!A:C,3,0),"")</f>
        <v/>
      </c>
      <c r="D106" s="812">
        <f>VLOOKUP(A106,'דוח ביצוע (3)'!A:G,2,0)</f>
        <v>0</v>
      </c>
      <c r="E106" s="813" t="str">
        <f>IFERROR(VLOOKUP(D106,'נתוני רישום ומצבת'!B:D,3,0),"")</f>
        <v/>
      </c>
      <c r="F106" s="813" t="str">
        <f>IF(D106&gt;0,SUMIFS('בית ספר - תקצוב לפי מוסד (9)'!N:N,'בית ספר - תקצוב לפי מוסד (9)'!B:B,בקרה!D106,'בית ספר - תקצוב לפי מוסד (9)'!M:M,'בית ספר - תקצוב לפי מוסד (9)'!$M$22)+SUMIFS('בית ספר - תקצוב לפי מוסד (9)'!O:O,'בית ספר - תקצוב לפי מוסד (9)'!B:B,בקרה!D106,'בית ספר - תקצוב לפי מוסד (9)'!M:M,'בית ספר - תקצוב לפי מוסד (9)'!$M$22),"")</f>
        <v/>
      </c>
      <c r="G106" s="813">
        <v>2</v>
      </c>
      <c r="H106" s="813"/>
      <c r="I106" s="875">
        <f t="shared" si="62"/>
        <v>0</v>
      </c>
      <c r="J106" s="813"/>
      <c r="K106" s="809" t="s">
        <v>2815</v>
      </c>
      <c r="L106" s="825">
        <f>SUMIFS('בית ספר - תקצוב לפי מוסד (9)'!$U:$U,'בית ספר - תקצוב לפי מוסד (9)'!$T:$T,בקרה!D106,'בית ספר - תקצוב לפי מוסד (9)'!$S:$S,"מלגות להורים")</f>
        <v>0</v>
      </c>
      <c r="M106" s="1014">
        <f t="shared" si="43"/>
        <v>0</v>
      </c>
      <c r="N106" s="868" t="s">
        <v>2863</v>
      </c>
      <c r="O106" s="868" t="s">
        <v>2863</v>
      </c>
      <c r="P106" s="868" t="s">
        <v>2863</v>
      </c>
      <c r="Q106" s="813"/>
      <c r="R106" s="841">
        <f t="shared" si="66"/>
        <v>0</v>
      </c>
      <c r="S106" s="841">
        <f t="shared" si="68"/>
        <v>0</v>
      </c>
      <c r="T106" s="825">
        <f>SUMIFS('בית ספר - תקצוב לפי מוסד (9)'!X:X,'בית ספר - תקצוב לפי מוסד (9)'!T:T,בקרה!D106,'בית ספר - תקצוב לפי מוסד (9)'!S:S,בקרה!K106)</f>
        <v>0</v>
      </c>
      <c r="U106" s="806">
        <f>Q106</f>
        <v>0</v>
      </c>
      <c r="V106" s="813"/>
      <c r="W106" s="813"/>
      <c r="X106" s="813"/>
    </row>
    <row r="107" spans="1:24" s="805" customFormat="1" x14ac:dyDescent="0.25">
      <c r="A107" s="814">
        <v>21</v>
      </c>
      <c r="B107" s="815" t="str">
        <f>IF(D107&gt;0,'נתונים כלליים (1)'!$C$5,"")</f>
        <v/>
      </c>
      <c r="C107" s="816" t="str">
        <f>IFERROR(VLOOKUP(B107,'רשימת רשויות'!A:C,3,0),"")</f>
        <v/>
      </c>
      <c r="D107" s="817">
        <f>VLOOKUP(A107,'דוח ביצוע (3)'!A:G,2,0)</f>
        <v>0</v>
      </c>
      <c r="E107" s="818" t="str">
        <f>IFERROR(VLOOKUP(D107,'נתוני רישום ומצבת'!B:D,3,0),"")</f>
        <v/>
      </c>
      <c r="F107" s="818" t="str">
        <f>IF(D107&gt;0,SUMIFS('בית ספר - תקצוב לפי מוסד (9)'!N:N,'בית ספר - תקצוב לפי מוסד (9)'!B:B,בקרה!D107,'בית ספר - תקצוב לפי מוסד (9)'!M:M,'בית ספר - תקצוב לפי מוסד (9)'!$M$22)+SUMIFS('בית ספר - תקצוב לפי מוסד (9)'!O:O,'בית ספר - תקצוב לפי מוסד (9)'!B:B,בקרה!D107,'בית ספר - תקצוב לפי מוסד (9)'!M:M,'בית ספר - תקצוב לפי מוסד (9)'!$M$22),"")</f>
        <v/>
      </c>
      <c r="G107" s="818">
        <v>2</v>
      </c>
      <c r="H107" s="818"/>
      <c r="I107" s="876">
        <f t="shared" si="62"/>
        <v>0</v>
      </c>
      <c r="J107" s="818"/>
      <c r="K107" s="814" t="s">
        <v>2344</v>
      </c>
      <c r="L107" s="825">
        <f>IFERROR(VLOOKUP(D107,'תשלומי הורים ומלגות להורים (5) '!B:C,2,0),0)</f>
        <v>0</v>
      </c>
      <c r="M107" s="1015">
        <f t="shared" si="43"/>
        <v>0</v>
      </c>
      <c r="N107" s="868" t="s">
        <v>2863</v>
      </c>
      <c r="O107" s="868" t="s">
        <v>2863</v>
      </c>
      <c r="P107" s="868" t="s">
        <v>2863</v>
      </c>
      <c r="Q107" s="818" t="s">
        <v>2876</v>
      </c>
      <c r="R107" s="841">
        <f t="shared" si="66"/>
        <v>0</v>
      </c>
      <c r="S107" s="841">
        <f t="shared" si="68"/>
        <v>0</v>
      </c>
      <c r="T107" s="869"/>
      <c r="U107" s="806" t="str">
        <f>Q107</f>
        <v>תקין</v>
      </c>
      <c r="V107" s="818"/>
      <c r="W107" s="818"/>
      <c r="X107" s="818"/>
    </row>
    <row r="108" spans="1:24" s="805" customFormat="1" ht="14.25" customHeight="1" x14ac:dyDescent="0.25">
      <c r="A108" s="819">
        <v>22</v>
      </c>
      <c r="B108" s="820" t="str">
        <f>IF(D108&gt;0,'נתונים כלליים (1)'!$C$5,"")</f>
        <v/>
      </c>
      <c r="C108" s="821" t="str">
        <f>IFERROR(VLOOKUP(B108,'רשימת רשויות'!A:C,3,0),"")</f>
        <v/>
      </c>
      <c r="D108" s="822">
        <f>VLOOKUP(A108,'דוח ביצוע (3)'!A:G,2,0)</f>
        <v>0</v>
      </c>
      <c r="E108" s="823" t="str">
        <f>IFERROR(VLOOKUP(D108,'נתוני רישום ומצבת'!B:D,3,0),"")</f>
        <v/>
      </c>
      <c r="F108" s="823" t="str">
        <f>IF(D108&gt;0,SUMIFS('בית ספר - תקצוב לפי מוסד (9)'!N:N,'בית ספר - תקצוב לפי מוסד (9)'!B:B,בקרה!D108,'בית ספר - תקצוב לפי מוסד (9)'!M:M,'בית ספר - תקצוב לפי מוסד (9)'!$M$22)+SUMIFS('בית ספר - תקצוב לפי מוסד (9)'!O:O,'בית ספר - תקצוב לפי מוסד (9)'!B:B,בקרה!D108,'בית ספר - תקצוב לפי מוסד (9)'!M:M,'בית ספר - תקצוב לפי מוסד (9)'!$M$22),"")</f>
        <v/>
      </c>
      <c r="G108" s="823">
        <v>2</v>
      </c>
      <c r="H108" s="823"/>
      <c r="I108" s="872">
        <f t="shared" si="62"/>
        <v>0</v>
      </c>
      <c r="J108" s="823"/>
      <c r="K108" s="819" t="s">
        <v>2342</v>
      </c>
      <c r="L108" s="825">
        <f>SUMIFS('בית ספר - תקצוב לפי מוסד (9)'!$U:$U,'בית ספר - תקצוב לפי מוסד (9)'!$T:$T,בקרה!D108,'בית ספר - תקצוב לפי מוסד (9)'!$S:$S,K108)</f>
        <v>0</v>
      </c>
      <c r="M108" s="1011">
        <f t="shared" si="43"/>
        <v>0</v>
      </c>
      <c r="N108" s="823"/>
      <c r="O108" s="823"/>
      <c r="P108" s="823"/>
      <c r="Q108" s="868" t="s">
        <v>2863</v>
      </c>
      <c r="R108" s="841">
        <f>MAX((L108-S108),0)</f>
        <v>0</v>
      </c>
      <c r="S108" s="841">
        <f>MAX(L108-MIN(M108,N108,O108,P108),0)</f>
        <v>0</v>
      </c>
      <c r="T108" s="825">
        <f>SUMIFS('בית ספר - תקצוב לפי מוסד (9)'!X:X,'בית ספר - תקצוב לפי מוסד (9)'!T:T,בקרה!D108,'בית ספר - תקצוב לפי מוסד (9)'!S:S,בקרה!K108)</f>
        <v>0</v>
      </c>
      <c r="U108" s="806" t="str">
        <f>IF(L108&gt;0,IF(T108&lt;0,"קיזוז","תקין"),"")</f>
        <v/>
      </c>
      <c r="V108" s="823"/>
      <c r="W108" s="823"/>
      <c r="X108" s="823"/>
    </row>
    <row r="109" spans="1:24" s="805" customFormat="1" x14ac:dyDescent="0.25">
      <c r="A109" s="832">
        <v>22</v>
      </c>
      <c r="B109" s="833" t="str">
        <f>IF(D109&gt;0,'נתונים כלליים (1)'!$C$5,"")</f>
        <v/>
      </c>
      <c r="C109" s="834" t="str">
        <f>IFERROR(VLOOKUP(B109,'רשימת רשויות'!A:C,3,0),"")</f>
        <v/>
      </c>
      <c r="D109" s="835">
        <f>VLOOKUP(A109,'דוח ביצוע (3)'!A:G,2,0)</f>
        <v>0</v>
      </c>
      <c r="E109" s="831" t="str">
        <f>IFERROR(VLOOKUP(D109,'נתוני רישום ומצבת'!B:D,3,0),"")</f>
        <v/>
      </c>
      <c r="F109" s="831" t="str">
        <f>IF(D109&gt;0,SUMIFS('בית ספר - תקצוב לפי מוסד (9)'!N:N,'בית ספר - תקצוב לפי מוסד (9)'!B:B,בקרה!D109,'בית ספר - תקצוב לפי מוסד (9)'!M:M,'בית ספר - תקצוב לפי מוסד (9)'!$M$22)+SUMIFS('בית ספר - תקצוב לפי מוסד (9)'!O:O,'בית ספר - תקצוב לפי מוסד (9)'!B:B,בקרה!D109,'בית ספר - תקצוב לפי מוסד (9)'!M:M,'בית ספר - תקצוב לפי מוסד (9)'!$M$22),"")</f>
        <v/>
      </c>
      <c r="G109" s="831">
        <v>2</v>
      </c>
      <c r="H109" s="831"/>
      <c r="I109" s="873">
        <f t="shared" si="62"/>
        <v>0</v>
      </c>
      <c r="J109" s="831"/>
      <c r="K109" s="832" t="s">
        <v>0</v>
      </c>
      <c r="L109" s="825">
        <f>SUMIFS('בית ספר - תקצוב לפי מוסד (9)'!$U:$U,'בית ספר - תקצוב לפי מוסד (9)'!$T:$T,בקרה!D109,'בית ספר - תקצוב לפי מוסד (9)'!$S:$S,K109)</f>
        <v>0</v>
      </c>
      <c r="M109" s="1012">
        <f t="shared" si="43"/>
        <v>0</v>
      </c>
      <c r="N109" s="868" t="s">
        <v>2863</v>
      </c>
      <c r="O109" s="868" t="s">
        <v>2863</v>
      </c>
      <c r="P109" s="868" t="s">
        <v>2863</v>
      </c>
      <c r="Q109" s="868" t="s">
        <v>2863</v>
      </c>
      <c r="R109" s="841">
        <f t="shared" ref="R109:R112" si="69">MAX((L109-S109),0)</f>
        <v>0</v>
      </c>
      <c r="S109" s="841">
        <f>MAX(L109-M109,0)</f>
        <v>0</v>
      </c>
      <c r="T109" s="825">
        <f>SUMIFS('בית ספר - תקצוב לפי מוסד (9)'!X:X,'בית ספר - תקצוב לפי מוסד (9)'!T:T,בקרה!D109,'בית ספר - תקצוב לפי מוסד (9)'!S:S,בקרה!K109)</f>
        <v>0</v>
      </c>
      <c r="U109" s="806" t="str">
        <f t="shared" ref="U109:U110" si="70">IF(L109&gt;0,IF(T109&lt;0,"קיזוז","תקין"),"")</f>
        <v/>
      </c>
      <c r="V109" s="831"/>
      <c r="W109" s="831"/>
      <c r="X109" s="831"/>
    </row>
    <row r="110" spans="1:24" s="805" customFormat="1" x14ac:dyDescent="0.25">
      <c r="A110" s="836">
        <v>22</v>
      </c>
      <c r="B110" s="837" t="str">
        <f>IF(D110&gt;0,'נתונים כלליים (1)'!$C$5,"")</f>
        <v/>
      </c>
      <c r="C110" s="838" t="str">
        <f>IFERROR(VLOOKUP(B110,'רשימת רשויות'!A:C,3,0),"")</f>
        <v/>
      </c>
      <c r="D110" s="839">
        <f>VLOOKUP(A110,'דוח ביצוע (3)'!A:G,2,0)</f>
        <v>0</v>
      </c>
      <c r="E110" s="840" t="str">
        <f>IFERROR(VLOOKUP(D110,'נתוני רישום ומצבת'!B:D,3,0),"")</f>
        <v/>
      </c>
      <c r="F110" s="840" t="str">
        <f>IF(D110&gt;0,SUMIFS('בית ספר - תקצוב לפי מוסד (9)'!N:N,'בית ספר - תקצוב לפי מוסד (9)'!B:B,בקרה!D110,'בית ספר - תקצוב לפי מוסד (9)'!M:M,'בית ספר - תקצוב לפי מוסד (9)'!$M$22)+SUMIFS('בית ספר - תקצוב לפי מוסד (9)'!O:O,'בית ספר - תקצוב לפי מוסד (9)'!B:B,בקרה!D110,'בית ספר - תקצוב לפי מוסד (9)'!M:M,'בית ספר - תקצוב לפי מוסד (9)'!$M$22),"")</f>
        <v/>
      </c>
      <c r="G110" s="840">
        <v>2</v>
      </c>
      <c r="H110" s="840"/>
      <c r="I110" s="874">
        <f t="shared" si="62"/>
        <v>0</v>
      </c>
      <c r="J110" s="840"/>
      <c r="K110" s="836" t="s">
        <v>93</v>
      </c>
      <c r="L110" s="825">
        <f>SUMIFS('בית ספר - תקצוב לפי מוסד (9)'!$U:$U,'בית ספר - תקצוב לפי מוסד (9)'!$T:$T,בקרה!D110,'בית ספר - תקצוב לפי מוסד (9)'!$S:$S,K110)</f>
        <v>0</v>
      </c>
      <c r="M110" s="1013">
        <f t="shared" si="43"/>
        <v>0</v>
      </c>
      <c r="N110" s="868" t="s">
        <v>2863</v>
      </c>
      <c r="O110" s="868" t="s">
        <v>2863</v>
      </c>
      <c r="P110" s="868" t="s">
        <v>2863</v>
      </c>
      <c r="Q110" s="868" t="s">
        <v>2863</v>
      </c>
      <c r="R110" s="841">
        <f t="shared" si="69"/>
        <v>0</v>
      </c>
      <c r="S110" s="841">
        <f t="shared" ref="S110:S112" si="71">MAX(L110-M110,0)</f>
        <v>0</v>
      </c>
      <c r="T110" s="825">
        <f>SUMIFS('בית ספר - תקצוב לפי מוסד (9)'!X:X,'בית ספר - תקצוב לפי מוסד (9)'!T:T,בקרה!D110,'בית ספר - תקצוב לפי מוסד (9)'!S:S,בקרה!K110)</f>
        <v>0</v>
      </c>
      <c r="U110" s="806" t="str">
        <f t="shared" si="70"/>
        <v/>
      </c>
      <c r="V110" s="840"/>
      <c r="W110" s="840"/>
      <c r="X110" s="840"/>
    </row>
    <row r="111" spans="1:24" s="805" customFormat="1" x14ac:dyDescent="0.25">
      <c r="A111" s="809">
        <v>22</v>
      </c>
      <c r="B111" s="810" t="str">
        <f>IF(D111&gt;0,'נתונים כלליים (1)'!$C$5,"")</f>
        <v/>
      </c>
      <c r="C111" s="811" t="str">
        <f>IFERROR(VLOOKUP(B111,'רשימת רשויות'!A:C,3,0),"")</f>
        <v/>
      </c>
      <c r="D111" s="812">
        <f>VLOOKUP(A111,'דוח ביצוע (3)'!A:G,2,0)</f>
        <v>0</v>
      </c>
      <c r="E111" s="813" t="str">
        <f>IFERROR(VLOOKUP(D111,'נתוני רישום ומצבת'!B:D,3,0),"")</f>
        <v/>
      </c>
      <c r="F111" s="813" t="str">
        <f>IF(D111&gt;0,SUMIFS('בית ספר - תקצוב לפי מוסד (9)'!N:N,'בית ספר - תקצוב לפי מוסד (9)'!B:B,בקרה!D111,'בית ספר - תקצוב לפי מוסד (9)'!M:M,'בית ספר - תקצוב לפי מוסד (9)'!$M$22)+SUMIFS('בית ספר - תקצוב לפי מוסד (9)'!O:O,'בית ספר - תקצוב לפי מוסד (9)'!B:B,בקרה!D111,'בית ספר - תקצוב לפי מוסד (9)'!M:M,'בית ספר - תקצוב לפי מוסד (9)'!$M$22),"")</f>
        <v/>
      </c>
      <c r="G111" s="813">
        <v>2</v>
      </c>
      <c r="H111" s="813"/>
      <c r="I111" s="875">
        <f t="shared" si="62"/>
        <v>0</v>
      </c>
      <c r="J111" s="813"/>
      <c r="K111" s="809" t="s">
        <v>2815</v>
      </c>
      <c r="L111" s="825">
        <f>SUMIFS('בית ספר - תקצוב לפי מוסד (9)'!$U:$U,'בית ספר - תקצוב לפי מוסד (9)'!$T:$T,בקרה!D111,'בית ספר - תקצוב לפי מוסד (9)'!$S:$S,"מלגות להורים")</f>
        <v>0</v>
      </c>
      <c r="M111" s="1014">
        <f t="shared" si="43"/>
        <v>0</v>
      </c>
      <c r="N111" s="868" t="s">
        <v>2863</v>
      </c>
      <c r="O111" s="868" t="s">
        <v>2863</v>
      </c>
      <c r="P111" s="868" t="s">
        <v>2863</v>
      </c>
      <c r="Q111" s="813"/>
      <c r="R111" s="841">
        <f t="shared" si="69"/>
        <v>0</v>
      </c>
      <c r="S111" s="841">
        <f t="shared" si="71"/>
        <v>0</v>
      </c>
      <c r="T111" s="825">
        <f>SUMIFS('בית ספר - תקצוב לפי מוסד (9)'!X:X,'בית ספר - תקצוב לפי מוסד (9)'!T:T,בקרה!D111,'בית ספר - תקצוב לפי מוסד (9)'!S:S,בקרה!K111)</f>
        <v>0</v>
      </c>
      <c r="U111" s="806">
        <f>Q111</f>
        <v>0</v>
      </c>
      <c r="V111" s="813"/>
      <c r="W111" s="813"/>
      <c r="X111" s="813"/>
    </row>
    <row r="112" spans="1:24" s="805" customFormat="1" x14ac:dyDescent="0.25">
      <c r="A112" s="814">
        <v>22</v>
      </c>
      <c r="B112" s="815" t="str">
        <f>IF(D112&gt;0,'נתונים כלליים (1)'!$C$5,"")</f>
        <v/>
      </c>
      <c r="C112" s="816" t="str">
        <f>IFERROR(VLOOKUP(B112,'רשימת רשויות'!A:C,3,0),"")</f>
        <v/>
      </c>
      <c r="D112" s="817">
        <f>VLOOKUP(A112,'דוח ביצוע (3)'!A:G,2,0)</f>
        <v>0</v>
      </c>
      <c r="E112" s="818" t="str">
        <f>IFERROR(VLOOKUP(D112,'נתוני רישום ומצבת'!B:D,3,0),"")</f>
        <v/>
      </c>
      <c r="F112" s="818" t="str">
        <f>IF(D112&gt;0,SUMIFS('בית ספר - תקצוב לפי מוסד (9)'!N:N,'בית ספר - תקצוב לפי מוסד (9)'!B:B,בקרה!D112,'בית ספר - תקצוב לפי מוסד (9)'!M:M,'בית ספר - תקצוב לפי מוסד (9)'!$M$22)+SUMIFS('בית ספר - תקצוב לפי מוסד (9)'!O:O,'בית ספר - תקצוב לפי מוסד (9)'!B:B,בקרה!D112,'בית ספר - תקצוב לפי מוסד (9)'!M:M,'בית ספר - תקצוב לפי מוסד (9)'!$M$22),"")</f>
        <v/>
      </c>
      <c r="G112" s="818">
        <v>2</v>
      </c>
      <c r="H112" s="818"/>
      <c r="I112" s="876">
        <f t="shared" si="62"/>
        <v>0</v>
      </c>
      <c r="J112" s="818"/>
      <c r="K112" s="814" t="s">
        <v>2344</v>
      </c>
      <c r="L112" s="825">
        <f>IFERROR(VLOOKUP(D112,'תשלומי הורים ומלגות להורים (5) '!B:C,2,0),0)</f>
        <v>0</v>
      </c>
      <c r="M112" s="1015">
        <f t="shared" si="43"/>
        <v>0</v>
      </c>
      <c r="N112" s="868" t="s">
        <v>2863</v>
      </c>
      <c r="O112" s="868" t="s">
        <v>2863</v>
      </c>
      <c r="P112" s="868" t="s">
        <v>2863</v>
      </c>
      <c r="Q112" s="818" t="s">
        <v>2876</v>
      </c>
      <c r="R112" s="841">
        <f t="shared" si="69"/>
        <v>0</v>
      </c>
      <c r="S112" s="841">
        <f t="shared" si="71"/>
        <v>0</v>
      </c>
      <c r="T112" s="869"/>
      <c r="U112" s="806" t="str">
        <f>Q112</f>
        <v>תקין</v>
      </c>
      <c r="V112" s="818"/>
      <c r="W112" s="818"/>
      <c r="X112" s="818"/>
    </row>
    <row r="113" spans="1:24" s="805" customFormat="1" ht="14.25" customHeight="1" x14ac:dyDescent="0.25">
      <c r="A113" s="819">
        <v>23</v>
      </c>
      <c r="B113" s="820" t="str">
        <f>IF(D113&gt;0,'נתונים כלליים (1)'!$C$5,"")</f>
        <v/>
      </c>
      <c r="C113" s="821" t="str">
        <f>IFERROR(VLOOKUP(B113,'רשימת רשויות'!A:C,3,0),"")</f>
        <v/>
      </c>
      <c r="D113" s="822">
        <f>VLOOKUP(A113,'דוח ביצוע (3)'!A:G,2,0)</f>
        <v>0</v>
      </c>
      <c r="E113" s="823" t="str">
        <f>IFERROR(VLOOKUP(D113,'נתוני רישום ומצבת'!B:D,3,0),"")</f>
        <v/>
      </c>
      <c r="F113" s="823" t="str">
        <f>IF(D113&gt;0,SUMIFS('בית ספר - תקצוב לפי מוסד (9)'!N:N,'בית ספר - תקצוב לפי מוסד (9)'!B:B,בקרה!D113,'בית ספר - תקצוב לפי מוסד (9)'!M:M,'בית ספר - תקצוב לפי מוסד (9)'!$M$22)+SUMIFS('בית ספר - תקצוב לפי מוסד (9)'!O:O,'בית ספר - תקצוב לפי מוסד (9)'!B:B,בקרה!D113,'בית ספר - תקצוב לפי מוסד (9)'!M:M,'בית ספר - תקצוב לפי מוסד (9)'!$M$22),"")</f>
        <v/>
      </c>
      <c r="G113" s="823">
        <v>2</v>
      </c>
      <c r="H113" s="823"/>
      <c r="I113" s="872">
        <f t="shared" si="62"/>
        <v>0</v>
      </c>
      <c r="J113" s="823"/>
      <c r="K113" s="819" t="s">
        <v>2342</v>
      </c>
      <c r="L113" s="825">
        <f>SUMIFS('בית ספר - תקצוב לפי מוסד (9)'!$U:$U,'בית ספר - תקצוב לפי מוסד (9)'!$T:$T,בקרה!D113,'בית ספר - תקצוב לפי מוסד (9)'!$S:$S,K113)</f>
        <v>0</v>
      </c>
      <c r="M113" s="1011">
        <f t="shared" si="43"/>
        <v>0</v>
      </c>
      <c r="N113" s="823"/>
      <c r="O113" s="823"/>
      <c r="P113" s="823"/>
      <c r="Q113" s="868" t="s">
        <v>2863</v>
      </c>
      <c r="R113" s="841">
        <f>MAX((L113-S113),0)</f>
        <v>0</v>
      </c>
      <c r="S113" s="841">
        <f>MAX(L113-MIN(M113,N113,O113,P113),0)</f>
        <v>0</v>
      </c>
      <c r="T113" s="825">
        <f>SUMIFS('בית ספר - תקצוב לפי מוסד (9)'!X:X,'בית ספר - תקצוב לפי מוסד (9)'!T:T,בקרה!D113,'בית ספר - תקצוב לפי מוסד (9)'!S:S,בקרה!K113)</f>
        <v>0</v>
      </c>
      <c r="U113" s="806" t="str">
        <f>IF(L113&gt;0,IF(T113&lt;0,"קיזוז","תקין"),"")</f>
        <v/>
      </c>
      <c r="V113" s="823"/>
      <c r="W113" s="823"/>
      <c r="X113" s="823"/>
    </row>
    <row r="114" spans="1:24" s="805" customFormat="1" x14ac:dyDescent="0.25">
      <c r="A114" s="832">
        <v>23</v>
      </c>
      <c r="B114" s="833" t="str">
        <f>IF(D114&gt;0,'נתונים כלליים (1)'!$C$5,"")</f>
        <v/>
      </c>
      <c r="C114" s="834" t="str">
        <f>IFERROR(VLOOKUP(B114,'רשימת רשויות'!A:C,3,0),"")</f>
        <v/>
      </c>
      <c r="D114" s="835">
        <f>VLOOKUP(A114,'דוח ביצוע (3)'!A:G,2,0)</f>
        <v>0</v>
      </c>
      <c r="E114" s="831" t="str">
        <f>IFERROR(VLOOKUP(D114,'נתוני רישום ומצבת'!B:D,3,0),"")</f>
        <v/>
      </c>
      <c r="F114" s="831" t="str">
        <f>IF(D114&gt;0,SUMIFS('בית ספר - תקצוב לפי מוסד (9)'!N:N,'בית ספר - תקצוב לפי מוסד (9)'!B:B,בקרה!D114,'בית ספר - תקצוב לפי מוסד (9)'!M:M,'בית ספר - תקצוב לפי מוסד (9)'!$M$22)+SUMIFS('בית ספר - תקצוב לפי מוסד (9)'!O:O,'בית ספר - תקצוב לפי מוסד (9)'!B:B,בקרה!D114,'בית ספר - תקצוב לפי מוסד (9)'!M:M,'בית ספר - תקצוב לפי מוסד (9)'!$M$22),"")</f>
        <v/>
      </c>
      <c r="G114" s="831">
        <v>2</v>
      </c>
      <c r="H114" s="831"/>
      <c r="I114" s="873">
        <f t="shared" si="62"/>
        <v>0</v>
      </c>
      <c r="J114" s="831"/>
      <c r="K114" s="832" t="s">
        <v>0</v>
      </c>
      <c r="L114" s="825">
        <f>SUMIFS('בית ספר - תקצוב לפי מוסד (9)'!$U:$U,'בית ספר - תקצוב לפי מוסד (9)'!$T:$T,בקרה!D114,'בית ספר - תקצוב לפי מוסד (9)'!$S:$S,K114)</f>
        <v>0</v>
      </c>
      <c r="M114" s="1012">
        <f t="shared" si="43"/>
        <v>0</v>
      </c>
      <c r="N114" s="868" t="s">
        <v>2863</v>
      </c>
      <c r="O114" s="868" t="s">
        <v>2863</v>
      </c>
      <c r="P114" s="868" t="s">
        <v>2863</v>
      </c>
      <c r="Q114" s="868" t="s">
        <v>2863</v>
      </c>
      <c r="R114" s="841">
        <f t="shared" ref="R114:R117" si="72">MAX((L114-S114),0)</f>
        <v>0</v>
      </c>
      <c r="S114" s="841">
        <f>MAX(L114-M114,0)</f>
        <v>0</v>
      </c>
      <c r="T114" s="825">
        <f>SUMIFS('בית ספר - תקצוב לפי מוסד (9)'!X:X,'בית ספר - תקצוב לפי מוסד (9)'!T:T,בקרה!D114,'בית ספר - תקצוב לפי מוסד (9)'!S:S,בקרה!K114)</f>
        <v>0</v>
      </c>
      <c r="U114" s="806" t="str">
        <f t="shared" ref="U114:U115" si="73">IF(L114&gt;0,IF(T114&lt;0,"קיזוז","תקין"),"")</f>
        <v/>
      </c>
      <c r="V114" s="831"/>
      <c r="W114" s="831"/>
      <c r="X114" s="831"/>
    </row>
    <row r="115" spans="1:24" s="805" customFormat="1" x14ac:dyDescent="0.25">
      <c r="A115" s="836">
        <v>23</v>
      </c>
      <c r="B115" s="837" t="str">
        <f>IF(D115&gt;0,'נתונים כלליים (1)'!$C$5,"")</f>
        <v/>
      </c>
      <c r="C115" s="838" t="str">
        <f>IFERROR(VLOOKUP(B115,'רשימת רשויות'!A:C,3,0),"")</f>
        <v/>
      </c>
      <c r="D115" s="839">
        <f>VLOOKUP(A115,'דוח ביצוע (3)'!A:G,2,0)</f>
        <v>0</v>
      </c>
      <c r="E115" s="840" t="str">
        <f>IFERROR(VLOOKUP(D115,'נתוני רישום ומצבת'!B:D,3,0),"")</f>
        <v/>
      </c>
      <c r="F115" s="840" t="str">
        <f>IF(D115&gt;0,SUMIFS('בית ספר - תקצוב לפי מוסד (9)'!N:N,'בית ספר - תקצוב לפי מוסד (9)'!B:B,בקרה!D115,'בית ספר - תקצוב לפי מוסד (9)'!M:M,'בית ספר - תקצוב לפי מוסד (9)'!$M$22)+SUMIFS('בית ספר - תקצוב לפי מוסד (9)'!O:O,'בית ספר - תקצוב לפי מוסד (9)'!B:B,בקרה!D115,'בית ספר - תקצוב לפי מוסד (9)'!M:M,'בית ספר - תקצוב לפי מוסד (9)'!$M$22),"")</f>
        <v/>
      </c>
      <c r="G115" s="840">
        <v>2</v>
      </c>
      <c r="H115" s="840"/>
      <c r="I115" s="874">
        <f t="shared" si="62"/>
        <v>0</v>
      </c>
      <c r="J115" s="840"/>
      <c r="K115" s="836" t="s">
        <v>93</v>
      </c>
      <c r="L115" s="825">
        <f>SUMIFS('בית ספר - תקצוב לפי מוסד (9)'!$U:$U,'בית ספר - תקצוב לפי מוסד (9)'!$T:$T,בקרה!D115,'בית ספר - תקצוב לפי מוסד (9)'!$S:$S,K115)</f>
        <v>0</v>
      </c>
      <c r="M115" s="1013">
        <f t="shared" si="43"/>
        <v>0</v>
      </c>
      <c r="N115" s="868" t="s">
        <v>2863</v>
      </c>
      <c r="O115" s="868" t="s">
        <v>2863</v>
      </c>
      <c r="P115" s="868" t="s">
        <v>2863</v>
      </c>
      <c r="Q115" s="868" t="s">
        <v>2863</v>
      </c>
      <c r="R115" s="841">
        <f t="shared" si="72"/>
        <v>0</v>
      </c>
      <c r="S115" s="841">
        <f t="shared" ref="S115:S117" si="74">MAX(L115-M115,0)</f>
        <v>0</v>
      </c>
      <c r="T115" s="825">
        <f>SUMIFS('בית ספר - תקצוב לפי מוסד (9)'!X:X,'בית ספר - תקצוב לפי מוסד (9)'!T:T,בקרה!D115,'בית ספר - תקצוב לפי מוסד (9)'!S:S,בקרה!K115)</f>
        <v>0</v>
      </c>
      <c r="U115" s="806" t="str">
        <f t="shared" si="73"/>
        <v/>
      </c>
      <c r="V115" s="840"/>
      <c r="W115" s="840"/>
      <c r="X115" s="840"/>
    </row>
    <row r="116" spans="1:24" s="805" customFormat="1" x14ac:dyDescent="0.25">
      <c r="A116" s="809">
        <v>23</v>
      </c>
      <c r="B116" s="810" t="str">
        <f>IF(D116&gt;0,'נתונים כלליים (1)'!$C$5,"")</f>
        <v/>
      </c>
      <c r="C116" s="811" t="str">
        <f>IFERROR(VLOOKUP(B116,'רשימת רשויות'!A:C,3,0),"")</f>
        <v/>
      </c>
      <c r="D116" s="812">
        <f>VLOOKUP(A116,'דוח ביצוע (3)'!A:G,2,0)</f>
        <v>0</v>
      </c>
      <c r="E116" s="813" t="str">
        <f>IFERROR(VLOOKUP(D116,'נתוני רישום ומצבת'!B:D,3,0),"")</f>
        <v/>
      </c>
      <c r="F116" s="813" t="str">
        <f>IF(D116&gt;0,SUMIFS('בית ספר - תקצוב לפי מוסד (9)'!N:N,'בית ספר - תקצוב לפי מוסד (9)'!B:B,בקרה!D116,'בית ספר - תקצוב לפי מוסד (9)'!M:M,'בית ספר - תקצוב לפי מוסד (9)'!$M$22)+SUMIFS('בית ספר - תקצוב לפי מוסד (9)'!O:O,'בית ספר - תקצוב לפי מוסד (9)'!B:B,בקרה!D116,'בית ספר - תקצוב לפי מוסד (9)'!M:M,'בית ספר - תקצוב לפי מוסד (9)'!$M$22),"")</f>
        <v/>
      </c>
      <c r="G116" s="813">
        <v>2</v>
      </c>
      <c r="H116" s="813"/>
      <c r="I116" s="875">
        <f t="shared" si="62"/>
        <v>0</v>
      </c>
      <c r="J116" s="813"/>
      <c r="K116" s="809" t="s">
        <v>2815</v>
      </c>
      <c r="L116" s="825">
        <f>SUMIFS('בית ספר - תקצוב לפי מוסד (9)'!$U:$U,'בית ספר - תקצוב לפי מוסד (9)'!$T:$T,בקרה!D116,'בית ספר - תקצוב לפי מוסד (9)'!$S:$S,"מלגות להורים")</f>
        <v>0</v>
      </c>
      <c r="M116" s="1014">
        <f t="shared" si="43"/>
        <v>0</v>
      </c>
      <c r="N116" s="868" t="s">
        <v>2863</v>
      </c>
      <c r="O116" s="868" t="s">
        <v>2863</v>
      </c>
      <c r="P116" s="868" t="s">
        <v>2863</v>
      </c>
      <c r="Q116" s="813"/>
      <c r="R116" s="841">
        <f t="shared" si="72"/>
        <v>0</v>
      </c>
      <c r="S116" s="841">
        <f t="shared" si="74"/>
        <v>0</v>
      </c>
      <c r="T116" s="825">
        <f>SUMIFS('בית ספר - תקצוב לפי מוסד (9)'!X:X,'בית ספר - תקצוב לפי מוסד (9)'!T:T,בקרה!D116,'בית ספר - תקצוב לפי מוסד (9)'!S:S,בקרה!K116)</f>
        <v>0</v>
      </c>
      <c r="U116" s="806">
        <f>Q116</f>
        <v>0</v>
      </c>
      <c r="V116" s="813"/>
      <c r="W116" s="813"/>
      <c r="X116" s="813"/>
    </row>
    <row r="117" spans="1:24" s="805" customFormat="1" x14ac:dyDescent="0.25">
      <c r="A117" s="814">
        <v>23</v>
      </c>
      <c r="B117" s="815" t="str">
        <f>IF(D117&gt;0,'נתונים כלליים (1)'!$C$5,"")</f>
        <v/>
      </c>
      <c r="C117" s="816" t="str">
        <f>IFERROR(VLOOKUP(B117,'רשימת רשויות'!A:C,3,0),"")</f>
        <v/>
      </c>
      <c r="D117" s="817">
        <f>VLOOKUP(A117,'דוח ביצוע (3)'!A:G,2,0)</f>
        <v>0</v>
      </c>
      <c r="E117" s="818" t="str">
        <f>IFERROR(VLOOKUP(D117,'נתוני רישום ומצבת'!B:D,3,0),"")</f>
        <v/>
      </c>
      <c r="F117" s="818" t="str">
        <f>IF(D117&gt;0,SUMIFS('בית ספר - תקצוב לפי מוסד (9)'!N:N,'בית ספר - תקצוב לפי מוסד (9)'!B:B,בקרה!D117,'בית ספר - תקצוב לפי מוסד (9)'!M:M,'בית ספר - תקצוב לפי מוסד (9)'!$M$22)+SUMIFS('בית ספר - תקצוב לפי מוסד (9)'!O:O,'בית ספר - תקצוב לפי מוסד (9)'!B:B,בקרה!D117,'בית ספר - תקצוב לפי מוסד (9)'!M:M,'בית ספר - תקצוב לפי מוסד (9)'!$M$22),"")</f>
        <v/>
      </c>
      <c r="G117" s="818">
        <v>2</v>
      </c>
      <c r="H117" s="818"/>
      <c r="I117" s="876">
        <f t="shared" si="62"/>
        <v>0</v>
      </c>
      <c r="J117" s="818"/>
      <c r="K117" s="814" t="s">
        <v>2344</v>
      </c>
      <c r="L117" s="825">
        <f>IFERROR(VLOOKUP(D117,'תשלומי הורים ומלגות להורים (5) '!B:C,2,0),0)</f>
        <v>0</v>
      </c>
      <c r="M117" s="1015">
        <f t="shared" si="43"/>
        <v>0</v>
      </c>
      <c r="N117" s="868" t="s">
        <v>2863</v>
      </c>
      <c r="O117" s="868" t="s">
        <v>2863</v>
      </c>
      <c r="P117" s="868" t="s">
        <v>2863</v>
      </c>
      <c r="Q117" s="818" t="s">
        <v>2876</v>
      </c>
      <c r="R117" s="841">
        <f t="shared" si="72"/>
        <v>0</v>
      </c>
      <c r="S117" s="841">
        <f t="shared" si="74"/>
        <v>0</v>
      </c>
      <c r="T117" s="869"/>
      <c r="U117" s="806" t="str">
        <f>Q117</f>
        <v>תקין</v>
      </c>
      <c r="V117" s="818"/>
      <c r="W117" s="818"/>
      <c r="X117" s="818"/>
    </row>
    <row r="118" spans="1:24" s="805" customFormat="1" ht="14.25" customHeight="1" x14ac:dyDescent="0.25">
      <c r="A118" s="819">
        <v>24</v>
      </c>
      <c r="B118" s="820" t="str">
        <f>IF(D118&gt;0,'נתונים כלליים (1)'!$C$5,"")</f>
        <v/>
      </c>
      <c r="C118" s="821" t="str">
        <f>IFERROR(VLOOKUP(B118,'רשימת רשויות'!A:C,3,0),"")</f>
        <v/>
      </c>
      <c r="D118" s="822">
        <f>VLOOKUP(A118,'דוח ביצוע (3)'!A:G,2,0)</f>
        <v>0</v>
      </c>
      <c r="E118" s="823" t="str">
        <f>IFERROR(VLOOKUP(D118,'נתוני רישום ומצבת'!B:D,3,0),"")</f>
        <v/>
      </c>
      <c r="F118" s="823" t="str">
        <f>IF(D118&gt;0,SUMIFS('בית ספר - תקצוב לפי מוסד (9)'!N:N,'בית ספר - תקצוב לפי מוסד (9)'!B:B,בקרה!D118,'בית ספר - תקצוב לפי מוסד (9)'!M:M,'בית ספר - תקצוב לפי מוסד (9)'!$M$22)+SUMIFS('בית ספר - תקצוב לפי מוסד (9)'!O:O,'בית ספר - תקצוב לפי מוסד (9)'!B:B,בקרה!D118,'בית ספר - תקצוב לפי מוסד (9)'!M:M,'בית ספר - תקצוב לפי מוסד (9)'!$M$22),"")</f>
        <v/>
      </c>
      <c r="G118" s="823">
        <v>2</v>
      </c>
      <c r="H118" s="823"/>
      <c r="I118" s="872">
        <f t="shared" si="62"/>
        <v>0</v>
      </c>
      <c r="J118" s="823"/>
      <c r="K118" s="819" t="s">
        <v>2342</v>
      </c>
      <c r="L118" s="825">
        <f>SUMIFS('בית ספר - תקצוב לפי מוסד (9)'!$U:$U,'בית ספר - תקצוב לפי מוסד (9)'!$T:$T,בקרה!D118,'בית ספר - תקצוב לפי מוסד (9)'!$S:$S,K118)</f>
        <v>0</v>
      </c>
      <c r="M118" s="1011">
        <f t="shared" si="43"/>
        <v>0</v>
      </c>
      <c r="N118" s="823"/>
      <c r="O118" s="823"/>
      <c r="P118" s="823"/>
      <c r="Q118" s="868" t="s">
        <v>2863</v>
      </c>
      <c r="R118" s="841">
        <f>MAX((L118-S118),0)</f>
        <v>0</v>
      </c>
      <c r="S118" s="841">
        <f>MAX(L118-MIN(M118,N118,O118,P118),0)</f>
        <v>0</v>
      </c>
      <c r="T118" s="825">
        <f>SUMIFS('בית ספר - תקצוב לפי מוסד (9)'!X:X,'בית ספר - תקצוב לפי מוסד (9)'!T:T,בקרה!D118,'בית ספר - תקצוב לפי מוסד (9)'!S:S,בקרה!K118)</f>
        <v>0</v>
      </c>
      <c r="U118" s="806" t="str">
        <f>IF(L118&gt;0,IF(T118&lt;0,"קיזוז","תקין"),"")</f>
        <v/>
      </c>
      <c r="V118" s="823"/>
      <c r="W118" s="823"/>
      <c r="X118" s="823"/>
    </row>
    <row r="119" spans="1:24" s="805" customFormat="1" x14ac:dyDescent="0.25">
      <c r="A119" s="832">
        <v>24</v>
      </c>
      <c r="B119" s="833" t="str">
        <f>IF(D119&gt;0,'נתונים כלליים (1)'!$C$5,"")</f>
        <v/>
      </c>
      <c r="C119" s="834" t="str">
        <f>IFERROR(VLOOKUP(B119,'רשימת רשויות'!A:C,3,0),"")</f>
        <v/>
      </c>
      <c r="D119" s="835">
        <f>VLOOKUP(A119,'דוח ביצוע (3)'!A:G,2,0)</f>
        <v>0</v>
      </c>
      <c r="E119" s="831" t="str">
        <f>IFERROR(VLOOKUP(D119,'נתוני רישום ומצבת'!B:D,3,0),"")</f>
        <v/>
      </c>
      <c r="F119" s="831" t="str">
        <f>IF(D119&gt;0,SUMIFS('בית ספר - תקצוב לפי מוסד (9)'!N:N,'בית ספר - תקצוב לפי מוסד (9)'!B:B,בקרה!D119,'בית ספר - תקצוב לפי מוסד (9)'!M:M,'בית ספר - תקצוב לפי מוסד (9)'!$M$22)+SUMIFS('בית ספר - תקצוב לפי מוסד (9)'!O:O,'בית ספר - תקצוב לפי מוסד (9)'!B:B,בקרה!D119,'בית ספר - תקצוב לפי מוסד (9)'!M:M,'בית ספר - תקצוב לפי מוסד (9)'!$M$22),"")</f>
        <v/>
      </c>
      <c r="G119" s="831">
        <v>2</v>
      </c>
      <c r="H119" s="831"/>
      <c r="I119" s="873">
        <f t="shared" si="62"/>
        <v>0</v>
      </c>
      <c r="J119" s="831"/>
      <c r="K119" s="832" t="s">
        <v>0</v>
      </c>
      <c r="L119" s="825">
        <f>SUMIFS('בית ספר - תקצוב לפי מוסד (9)'!$U:$U,'בית ספר - תקצוב לפי מוסד (9)'!$T:$T,בקרה!D119,'בית ספר - תקצוב לפי מוסד (9)'!$S:$S,K119)</f>
        <v>0</v>
      </c>
      <c r="M119" s="1012">
        <f t="shared" si="43"/>
        <v>0</v>
      </c>
      <c r="N119" s="868" t="s">
        <v>2863</v>
      </c>
      <c r="O119" s="868" t="s">
        <v>2863</v>
      </c>
      <c r="P119" s="868" t="s">
        <v>2863</v>
      </c>
      <c r="Q119" s="868" t="s">
        <v>2863</v>
      </c>
      <c r="R119" s="841">
        <f t="shared" ref="R119:R122" si="75">MAX((L119-S119),0)</f>
        <v>0</v>
      </c>
      <c r="S119" s="841">
        <f>MAX(L119-M119,0)</f>
        <v>0</v>
      </c>
      <c r="T119" s="825">
        <f>SUMIFS('בית ספר - תקצוב לפי מוסד (9)'!X:X,'בית ספר - תקצוב לפי מוסד (9)'!T:T,בקרה!D119,'בית ספר - תקצוב לפי מוסד (9)'!S:S,בקרה!K119)</f>
        <v>0</v>
      </c>
      <c r="U119" s="806" t="str">
        <f t="shared" ref="U119:U120" si="76">IF(L119&gt;0,IF(T119&lt;0,"קיזוז","תקין"),"")</f>
        <v/>
      </c>
      <c r="V119" s="831"/>
      <c r="W119" s="831"/>
      <c r="X119" s="831"/>
    </row>
    <row r="120" spans="1:24" s="805" customFormat="1" x14ac:dyDescent="0.25">
      <c r="A120" s="836">
        <v>24</v>
      </c>
      <c r="B120" s="837" t="str">
        <f>IF(D120&gt;0,'נתונים כלליים (1)'!$C$5,"")</f>
        <v/>
      </c>
      <c r="C120" s="838" t="str">
        <f>IFERROR(VLOOKUP(B120,'רשימת רשויות'!A:C,3,0),"")</f>
        <v/>
      </c>
      <c r="D120" s="839">
        <f>VLOOKUP(A120,'דוח ביצוע (3)'!A:G,2,0)</f>
        <v>0</v>
      </c>
      <c r="E120" s="840" t="str">
        <f>IFERROR(VLOOKUP(D120,'נתוני רישום ומצבת'!B:D,3,0),"")</f>
        <v/>
      </c>
      <c r="F120" s="840" t="str">
        <f>IF(D120&gt;0,SUMIFS('בית ספר - תקצוב לפי מוסד (9)'!N:N,'בית ספר - תקצוב לפי מוסד (9)'!B:B,בקרה!D120,'בית ספר - תקצוב לפי מוסד (9)'!M:M,'בית ספר - תקצוב לפי מוסד (9)'!$M$22)+SUMIFS('בית ספר - תקצוב לפי מוסד (9)'!O:O,'בית ספר - תקצוב לפי מוסד (9)'!B:B,בקרה!D120,'בית ספר - תקצוב לפי מוסד (9)'!M:M,'בית ספר - תקצוב לפי מוסד (9)'!$M$22),"")</f>
        <v/>
      </c>
      <c r="G120" s="840">
        <v>2</v>
      </c>
      <c r="H120" s="840"/>
      <c r="I120" s="874">
        <f t="shared" si="62"/>
        <v>0</v>
      </c>
      <c r="J120" s="840"/>
      <c r="K120" s="836" t="s">
        <v>93</v>
      </c>
      <c r="L120" s="825">
        <f>SUMIFS('בית ספר - תקצוב לפי מוסד (9)'!$U:$U,'בית ספר - תקצוב לפי מוסד (9)'!$T:$T,בקרה!D120,'בית ספר - תקצוב לפי מוסד (9)'!$S:$S,K120)</f>
        <v>0</v>
      </c>
      <c r="M120" s="1013">
        <f t="shared" si="43"/>
        <v>0</v>
      </c>
      <c r="N120" s="868" t="s">
        <v>2863</v>
      </c>
      <c r="O120" s="868" t="s">
        <v>2863</v>
      </c>
      <c r="P120" s="868" t="s">
        <v>2863</v>
      </c>
      <c r="Q120" s="868" t="s">
        <v>2863</v>
      </c>
      <c r="R120" s="841">
        <f t="shared" si="75"/>
        <v>0</v>
      </c>
      <c r="S120" s="841">
        <f t="shared" ref="S120:S122" si="77">MAX(L120-M120,0)</f>
        <v>0</v>
      </c>
      <c r="T120" s="825">
        <f>SUMIFS('בית ספר - תקצוב לפי מוסד (9)'!X:X,'בית ספר - תקצוב לפי מוסד (9)'!T:T,בקרה!D120,'בית ספר - תקצוב לפי מוסד (9)'!S:S,בקרה!K120)</f>
        <v>0</v>
      </c>
      <c r="U120" s="806" t="str">
        <f t="shared" si="76"/>
        <v/>
      </c>
      <c r="V120" s="840"/>
      <c r="W120" s="840"/>
      <c r="X120" s="840"/>
    </row>
    <row r="121" spans="1:24" s="805" customFormat="1" x14ac:dyDescent="0.25">
      <c r="A121" s="809">
        <v>24</v>
      </c>
      <c r="B121" s="810" t="str">
        <f>IF(D121&gt;0,'נתונים כלליים (1)'!$C$5,"")</f>
        <v/>
      </c>
      <c r="C121" s="811" t="str">
        <f>IFERROR(VLOOKUP(B121,'רשימת רשויות'!A:C,3,0),"")</f>
        <v/>
      </c>
      <c r="D121" s="812">
        <f>VLOOKUP(A121,'דוח ביצוע (3)'!A:G,2,0)</f>
        <v>0</v>
      </c>
      <c r="E121" s="813" t="str">
        <f>IFERROR(VLOOKUP(D121,'נתוני רישום ומצבת'!B:D,3,0),"")</f>
        <v/>
      </c>
      <c r="F121" s="813" t="str">
        <f>IF(D121&gt;0,SUMIFS('בית ספר - תקצוב לפי מוסד (9)'!N:N,'בית ספר - תקצוב לפי מוסד (9)'!B:B,בקרה!D121,'בית ספר - תקצוב לפי מוסד (9)'!M:M,'בית ספר - תקצוב לפי מוסד (9)'!$M$22)+SUMIFS('בית ספר - תקצוב לפי מוסד (9)'!O:O,'בית ספר - תקצוב לפי מוסד (9)'!B:B,בקרה!D121,'בית ספר - תקצוב לפי מוסד (9)'!M:M,'בית ספר - תקצוב לפי מוסד (9)'!$M$22),"")</f>
        <v/>
      </c>
      <c r="G121" s="813">
        <v>2</v>
      </c>
      <c r="H121" s="813"/>
      <c r="I121" s="875">
        <f t="shared" si="62"/>
        <v>0</v>
      </c>
      <c r="J121" s="813"/>
      <c r="K121" s="809" t="s">
        <v>2815</v>
      </c>
      <c r="L121" s="825">
        <f>SUMIFS('בית ספר - תקצוב לפי מוסד (9)'!$U:$U,'בית ספר - תקצוב לפי מוסד (9)'!$T:$T,בקרה!D121,'בית ספר - תקצוב לפי מוסד (9)'!$S:$S,"מלגות להורים")</f>
        <v>0</v>
      </c>
      <c r="M121" s="1014">
        <f t="shared" si="43"/>
        <v>0</v>
      </c>
      <c r="N121" s="868" t="s">
        <v>2863</v>
      </c>
      <c r="O121" s="868" t="s">
        <v>2863</v>
      </c>
      <c r="P121" s="868" t="s">
        <v>2863</v>
      </c>
      <c r="Q121" s="813"/>
      <c r="R121" s="841">
        <f t="shared" si="75"/>
        <v>0</v>
      </c>
      <c r="S121" s="841">
        <f t="shared" si="77"/>
        <v>0</v>
      </c>
      <c r="T121" s="825">
        <f>SUMIFS('בית ספר - תקצוב לפי מוסד (9)'!X:X,'בית ספר - תקצוב לפי מוסד (9)'!T:T,בקרה!D121,'בית ספר - תקצוב לפי מוסד (9)'!S:S,בקרה!K121)</f>
        <v>0</v>
      </c>
      <c r="U121" s="806">
        <f>Q121</f>
        <v>0</v>
      </c>
      <c r="V121" s="813"/>
      <c r="W121" s="813"/>
      <c r="X121" s="813"/>
    </row>
    <row r="122" spans="1:24" s="805" customFormat="1" x14ac:dyDescent="0.25">
      <c r="A122" s="814">
        <v>24</v>
      </c>
      <c r="B122" s="815" t="str">
        <f>IF(D122&gt;0,'נתונים כלליים (1)'!$C$5,"")</f>
        <v/>
      </c>
      <c r="C122" s="816" t="str">
        <f>IFERROR(VLOOKUP(B122,'רשימת רשויות'!A:C,3,0),"")</f>
        <v/>
      </c>
      <c r="D122" s="817">
        <f>VLOOKUP(A122,'דוח ביצוע (3)'!A:G,2,0)</f>
        <v>0</v>
      </c>
      <c r="E122" s="818" t="str">
        <f>IFERROR(VLOOKUP(D122,'נתוני רישום ומצבת'!B:D,3,0),"")</f>
        <v/>
      </c>
      <c r="F122" s="818" t="str">
        <f>IF(D122&gt;0,SUMIFS('בית ספר - תקצוב לפי מוסד (9)'!N:N,'בית ספר - תקצוב לפי מוסד (9)'!B:B,בקרה!D122,'בית ספר - תקצוב לפי מוסד (9)'!M:M,'בית ספר - תקצוב לפי מוסד (9)'!$M$22)+SUMIFS('בית ספר - תקצוב לפי מוסד (9)'!O:O,'בית ספר - תקצוב לפי מוסד (9)'!B:B,בקרה!D122,'בית ספר - תקצוב לפי מוסד (9)'!M:M,'בית ספר - תקצוב לפי מוסד (9)'!$M$22),"")</f>
        <v/>
      </c>
      <c r="G122" s="818">
        <v>2</v>
      </c>
      <c r="H122" s="818"/>
      <c r="I122" s="876">
        <f t="shared" si="62"/>
        <v>0</v>
      </c>
      <c r="J122" s="818"/>
      <c r="K122" s="814" t="s">
        <v>2344</v>
      </c>
      <c r="L122" s="825">
        <f>IFERROR(VLOOKUP(D122,'תשלומי הורים ומלגות להורים (5) '!B:C,2,0),0)</f>
        <v>0</v>
      </c>
      <c r="M122" s="1015">
        <f t="shared" si="43"/>
        <v>0</v>
      </c>
      <c r="N122" s="868" t="s">
        <v>2863</v>
      </c>
      <c r="O122" s="868" t="s">
        <v>2863</v>
      </c>
      <c r="P122" s="868" t="s">
        <v>2863</v>
      </c>
      <c r="Q122" s="818" t="s">
        <v>2876</v>
      </c>
      <c r="R122" s="841">
        <f t="shared" si="75"/>
        <v>0</v>
      </c>
      <c r="S122" s="841">
        <f t="shared" si="77"/>
        <v>0</v>
      </c>
      <c r="T122" s="869"/>
      <c r="U122" s="806" t="str">
        <f>Q122</f>
        <v>תקין</v>
      </c>
      <c r="V122" s="818"/>
      <c r="W122" s="818"/>
      <c r="X122" s="818"/>
    </row>
    <row r="123" spans="1:24" s="805" customFormat="1" ht="14.25" customHeight="1" x14ac:dyDescent="0.25">
      <c r="A123" s="819">
        <v>25</v>
      </c>
      <c r="B123" s="820" t="str">
        <f>IF(D123&gt;0,'נתונים כלליים (1)'!$C$5,"")</f>
        <v/>
      </c>
      <c r="C123" s="821" t="str">
        <f>IFERROR(VLOOKUP(B123,'רשימת רשויות'!A:C,3,0),"")</f>
        <v/>
      </c>
      <c r="D123" s="822">
        <f>VLOOKUP(A123,'דוח ביצוע (3)'!A:G,2,0)</f>
        <v>0</v>
      </c>
      <c r="E123" s="823" t="str">
        <f>IFERROR(VLOOKUP(D123,'נתוני רישום ומצבת'!B:D,3,0),"")</f>
        <v/>
      </c>
      <c r="F123" s="823" t="str">
        <f>IF(D123&gt;0,SUMIFS('בית ספר - תקצוב לפי מוסד (9)'!N:N,'בית ספר - תקצוב לפי מוסד (9)'!B:B,בקרה!D123,'בית ספר - תקצוב לפי מוסד (9)'!M:M,'בית ספר - תקצוב לפי מוסד (9)'!$M$22)+SUMIFS('בית ספר - תקצוב לפי מוסד (9)'!O:O,'בית ספר - תקצוב לפי מוסד (9)'!B:B,בקרה!D123,'בית ספר - תקצוב לפי מוסד (9)'!M:M,'בית ספר - תקצוב לפי מוסד (9)'!$M$22),"")</f>
        <v/>
      </c>
      <c r="G123" s="823">
        <v>2</v>
      </c>
      <c r="H123" s="823"/>
      <c r="I123" s="872">
        <f t="shared" si="62"/>
        <v>0</v>
      </c>
      <c r="J123" s="823"/>
      <c r="K123" s="819" t="s">
        <v>2342</v>
      </c>
      <c r="L123" s="825">
        <f>SUMIFS('בית ספר - תקצוב לפי מוסד (9)'!$U:$U,'בית ספר - תקצוב לפי מוסד (9)'!$T:$T,בקרה!D123,'בית ספר - תקצוב לפי מוסד (9)'!$S:$S,K123)</f>
        <v>0</v>
      </c>
      <c r="M123" s="1011">
        <f t="shared" si="43"/>
        <v>0</v>
      </c>
      <c r="N123" s="823"/>
      <c r="O123" s="823"/>
      <c r="P123" s="823"/>
      <c r="Q123" s="868" t="s">
        <v>2863</v>
      </c>
      <c r="R123" s="841">
        <f>MAX((L123-S123),0)</f>
        <v>0</v>
      </c>
      <c r="S123" s="841">
        <f>MAX(L123-MIN(M123,N123,O123,P123),0)</f>
        <v>0</v>
      </c>
      <c r="T123" s="825">
        <f>SUMIFS('בית ספר - תקצוב לפי מוסד (9)'!X:X,'בית ספר - תקצוב לפי מוסד (9)'!T:T,בקרה!D123,'בית ספר - תקצוב לפי מוסד (9)'!S:S,בקרה!K123)</f>
        <v>0</v>
      </c>
      <c r="U123" s="806" t="str">
        <f>IF(L123&gt;0,IF(T123&lt;0,"קיזוז","תקין"),"")</f>
        <v/>
      </c>
      <c r="V123" s="823"/>
      <c r="W123" s="823"/>
      <c r="X123" s="823"/>
    </row>
    <row r="124" spans="1:24" s="805" customFormat="1" x14ac:dyDescent="0.25">
      <c r="A124" s="832">
        <v>25</v>
      </c>
      <c r="B124" s="833" t="str">
        <f>IF(D124&gt;0,'נתונים כלליים (1)'!$C$5,"")</f>
        <v/>
      </c>
      <c r="C124" s="834" t="str">
        <f>IFERROR(VLOOKUP(B124,'רשימת רשויות'!A:C,3,0),"")</f>
        <v/>
      </c>
      <c r="D124" s="835">
        <f>VLOOKUP(A124,'דוח ביצוע (3)'!A:G,2,0)</f>
        <v>0</v>
      </c>
      <c r="E124" s="831" t="str">
        <f>IFERROR(VLOOKUP(D124,'נתוני רישום ומצבת'!B:D,3,0),"")</f>
        <v/>
      </c>
      <c r="F124" s="831" t="str">
        <f>IF(D124&gt;0,SUMIFS('בית ספר - תקצוב לפי מוסד (9)'!N:N,'בית ספר - תקצוב לפי מוסד (9)'!B:B,בקרה!D124,'בית ספר - תקצוב לפי מוסד (9)'!M:M,'בית ספר - תקצוב לפי מוסד (9)'!$M$22)+SUMIFS('בית ספר - תקצוב לפי מוסד (9)'!O:O,'בית ספר - תקצוב לפי מוסד (9)'!B:B,בקרה!D124,'בית ספר - תקצוב לפי מוסד (9)'!M:M,'בית ספר - תקצוב לפי מוסד (9)'!$M$22),"")</f>
        <v/>
      </c>
      <c r="G124" s="831">
        <v>2</v>
      </c>
      <c r="H124" s="831"/>
      <c r="I124" s="873">
        <f t="shared" si="62"/>
        <v>0</v>
      </c>
      <c r="J124" s="831"/>
      <c r="K124" s="832" t="s">
        <v>0</v>
      </c>
      <c r="L124" s="825">
        <f>SUMIFS('בית ספר - תקצוב לפי מוסד (9)'!$U:$U,'בית ספר - תקצוב לפי מוסד (9)'!$T:$T,בקרה!D124,'בית ספר - תקצוב לפי מוסד (9)'!$S:$S,K124)</f>
        <v>0</v>
      </c>
      <c r="M124" s="1012">
        <f t="shared" si="43"/>
        <v>0</v>
      </c>
      <c r="N124" s="868" t="s">
        <v>2863</v>
      </c>
      <c r="O124" s="868" t="s">
        <v>2863</v>
      </c>
      <c r="P124" s="868" t="s">
        <v>2863</v>
      </c>
      <c r="Q124" s="868" t="s">
        <v>2863</v>
      </c>
      <c r="R124" s="841">
        <f t="shared" ref="R124:R127" si="78">MAX((L124-S124),0)</f>
        <v>0</v>
      </c>
      <c r="S124" s="841">
        <f>MAX(L124-M124,0)</f>
        <v>0</v>
      </c>
      <c r="T124" s="825">
        <f>SUMIFS('בית ספר - תקצוב לפי מוסד (9)'!X:X,'בית ספר - תקצוב לפי מוסד (9)'!T:T,בקרה!D124,'בית ספר - תקצוב לפי מוסד (9)'!S:S,בקרה!K124)</f>
        <v>0</v>
      </c>
      <c r="U124" s="806" t="str">
        <f t="shared" ref="U124:U125" si="79">IF(L124&gt;0,IF(T124&lt;0,"קיזוז","תקין"),"")</f>
        <v/>
      </c>
      <c r="V124" s="831"/>
      <c r="W124" s="831"/>
      <c r="X124" s="831"/>
    </row>
    <row r="125" spans="1:24" s="805" customFormat="1" x14ac:dyDescent="0.25">
      <c r="A125" s="836">
        <v>25</v>
      </c>
      <c r="B125" s="837" t="str">
        <f>IF(D125&gt;0,'נתונים כלליים (1)'!$C$5,"")</f>
        <v/>
      </c>
      <c r="C125" s="838" t="str">
        <f>IFERROR(VLOOKUP(B125,'רשימת רשויות'!A:C,3,0),"")</f>
        <v/>
      </c>
      <c r="D125" s="839">
        <f>VLOOKUP(A125,'דוח ביצוע (3)'!A:G,2,0)</f>
        <v>0</v>
      </c>
      <c r="E125" s="840" t="str">
        <f>IFERROR(VLOOKUP(D125,'נתוני רישום ומצבת'!B:D,3,0),"")</f>
        <v/>
      </c>
      <c r="F125" s="840" t="str">
        <f>IF(D125&gt;0,SUMIFS('בית ספר - תקצוב לפי מוסד (9)'!N:N,'בית ספר - תקצוב לפי מוסד (9)'!B:B,בקרה!D125,'בית ספר - תקצוב לפי מוסד (9)'!M:M,'בית ספר - תקצוב לפי מוסד (9)'!$M$22)+SUMIFS('בית ספר - תקצוב לפי מוסד (9)'!O:O,'בית ספר - תקצוב לפי מוסד (9)'!B:B,בקרה!D125,'בית ספר - תקצוב לפי מוסד (9)'!M:M,'בית ספר - תקצוב לפי מוסד (9)'!$M$22),"")</f>
        <v/>
      </c>
      <c r="G125" s="840">
        <v>2</v>
      </c>
      <c r="H125" s="840"/>
      <c r="I125" s="874">
        <f t="shared" si="62"/>
        <v>0</v>
      </c>
      <c r="J125" s="840"/>
      <c r="K125" s="836" t="s">
        <v>93</v>
      </c>
      <c r="L125" s="825">
        <f>SUMIFS('בית ספר - תקצוב לפי מוסד (9)'!$U:$U,'בית ספר - תקצוב לפי מוסד (9)'!$T:$T,בקרה!D125,'בית ספר - תקצוב לפי מוסד (9)'!$S:$S,K125)</f>
        <v>0</v>
      </c>
      <c r="M125" s="1013">
        <f t="shared" si="43"/>
        <v>0</v>
      </c>
      <c r="N125" s="868" t="s">
        <v>2863</v>
      </c>
      <c r="O125" s="868" t="s">
        <v>2863</v>
      </c>
      <c r="P125" s="868" t="s">
        <v>2863</v>
      </c>
      <c r="Q125" s="868" t="s">
        <v>2863</v>
      </c>
      <c r="R125" s="841">
        <f t="shared" si="78"/>
        <v>0</v>
      </c>
      <c r="S125" s="841">
        <f t="shared" ref="S125:S127" si="80">MAX(L125-M125,0)</f>
        <v>0</v>
      </c>
      <c r="T125" s="825">
        <f>SUMIFS('בית ספר - תקצוב לפי מוסד (9)'!X:X,'בית ספר - תקצוב לפי מוסד (9)'!T:T,בקרה!D125,'בית ספר - תקצוב לפי מוסד (9)'!S:S,בקרה!K125)</f>
        <v>0</v>
      </c>
      <c r="U125" s="806" t="str">
        <f t="shared" si="79"/>
        <v/>
      </c>
      <c r="V125" s="840"/>
      <c r="W125" s="840"/>
      <c r="X125" s="840"/>
    </row>
    <row r="126" spans="1:24" s="805" customFormat="1" x14ac:dyDescent="0.25">
      <c r="A126" s="809">
        <v>25</v>
      </c>
      <c r="B126" s="810" t="str">
        <f>IF(D126&gt;0,'נתונים כלליים (1)'!$C$5,"")</f>
        <v/>
      </c>
      <c r="C126" s="811" t="str">
        <f>IFERROR(VLOOKUP(B126,'רשימת רשויות'!A:C,3,0),"")</f>
        <v/>
      </c>
      <c r="D126" s="812">
        <f>VLOOKUP(A126,'דוח ביצוע (3)'!A:G,2,0)</f>
        <v>0</v>
      </c>
      <c r="E126" s="813" t="str">
        <f>IFERROR(VLOOKUP(D126,'נתוני רישום ומצבת'!B:D,3,0),"")</f>
        <v/>
      </c>
      <c r="F126" s="813" t="str">
        <f>IF(D126&gt;0,SUMIFS('בית ספר - תקצוב לפי מוסד (9)'!N:N,'בית ספר - תקצוב לפי מוסד (9)'!B:B,בקרה!D126,'בית ספר - תקצוב לפי מוסד (9)'!M:M,'בית ספר - תקצוב לפי מוסד (9)'!$M$22)+SUMIFS('בית ספר - תקצוב לפי מוסד (9)'!O:O,'בית ספר - תקצוב לפי מוסד (9)'!B:B,בקרה!D126,'בית ספר - תקצוב לפי מוסד (9)'!M:M,'בית ספר - תקצוב לפי מוסד (9)'!$M$22),"")</f>
        <v/>
      </c>
      <c r="G126" s="813">
        <v>2</v>
      </c>
      <c r="H126" s="813"/>
      <c r="I126" s="875">
        <f t="shared" si="62"/>
        <v>0</v>
      </c>
      <c r="J126" s="813"/>
      <c r="K126" s="809" t="s">
        <v>2815</v>
      </c>
      <c r="L126" s="825">
        <f>SUMIFS('בית ספר - תקצוב לפי מוסד (9)'!$U:$U,'בית ספר - תקצוב לפי מוסד (9)'!$T:$T,בקרה!D126,'בית ספר - תקצוב לפי מוסד (9)'!$S:$S,"מלגות להורים")</f>
        <v>0</v>
      </c>
      <c r="M126" s="1014">
        <f t="shared" si="43"/>
        <v>0</v>
      </c>
      <c r="N126" s="868" t="s">
        <v>2863</v>
      </c>
      <c r="O126" s="868" t="s">
        <v>2863</v>
      </c>
      <c r="P126" s="868" t="s">
        <v>2863</v>
      </c>
      <c r="Q126" s="813"/>
      <c r="R126" s="841">
        <f t="shared" si="78"/>
        <v>0</v>
      </c>
      <c r="S126" s="841">
        <f t="shared" si="80"/>
        <v>0</v>
      </c>
      <c r="T126" s="825">
        <f>SUMIFS('בית ספר - תקצוב לפי מוסד (9)'!X:X,'בית ספר - תקצוב לפי מוסד (9)'!T:T,בקרה!D126,'בית ספר - תקצוב לפי מוסד (9)'!S:S,בקרה!K126)</f>
        <v>0</v>
      </c>
      <c r="U126" s="806">
        <f>Q126</f>
        <v>0</v>
      </c>
      <c r="V126" s="813"/>
      <c r="W126" s="813"/>
      <c r="X126" s="813"/>
    </row>
    <row r="127" spans="1:24" s="805" customFormat="1" x14ac:dyDescent="0.25">
      <c r="A127" s="814">
        <v>25</v>
      </c>
      <c r="B127" s="815" t="str">
        <f>IF(D127&gt;0,'נתונים כלליים (1)'!$C$5,"")</f>
        <v/>
      </c>
      <c r="C127" s="816" t="str">
        <f>IFERROR(VLOOKUP(B127,'רשימת רשויות'!A:C,3,0),"")</f>
        <v/>
      </c>
      <c r="D127" s="817">
        <f>VLOOKUP(A127,'דוח ביצוע (3)'!A:G,2,0)</f>
        <v>0</v>
      </c>
      <c r="E127" s="818" t="str">
        <f>IFERROR(VLOOKUP(D127,'נתוני רישום ומצבת'!B:D,3,0),"")</f>
        <v/>
      </c>
      <c r="F127" s="818" t="str">
        <f>IF(D127&gt;0,SUMIFS('בית ספר - תקצוב לפי מוסד (9)'!N:N,'בית ספר - תקצוב לפי מוסד (9)'!B:B,בקרה!D127,'בית ספר - תקצוב לפי מוסד (9)'!M:M,'בית ספר - תקצוב לפי מוסד (9)'!$M$22)+SUMIFS('בית ספר - תקצוב לפי מוסד (9)'!O:O,'בית ספר - תקצוב לפי מוסד (9)'!B:B,בקרה!D127,'בית ספר - תקצוב לפי מוסד (9)'!M:M,'בית ספר - תקצוב לפי מוסד (9)'!$M$22),"")</f>
        <v/>
      </c>
      <c r="G127" s="818">
        <v>2</v>
      </c>
      <c r="H127" s="818"/>
      <c r="I127" s="876">
        <f t="shared" si="62"/>
        <v>0</v>
      </c>
      <c r="J127" s="818"/>
      <c r="K127" s="814" t="s">
        <v>2344</v>
      </c>
      <c r="L127" s="825">
        <f>IFERROR(VLOOKUP(D127,'תשלומי הורים ומלגות להורים (5) '!B:C,2,0),0)</f>
        <v>0</v>
      </c>
      <c r="M127" s="1015">
        <f t="shared" si="43"/>
        <v>0</v>
      </c>
      <c r="N127" s="868" t="s">
        <v>2863</v>
      </c>
      <c r="O127" s="868" t="s">
        <v>2863</v>
      </c>
      <c r="P127" s="868" t="s">
        <v>2863</v>
      </c>
      <c r="Q127" s="818" t="s">
        <v>2876</v>
      </c>
      <c r="R127" s="841">
        <f t="shared" si="78"/>
        <v>0</v>
      </c>
      <c r="S127" s="841">
        <f t="shared" si="80"/>
        <v>0</v>
      </c>
      <c r="T127" s="869"/>
      <c r="U127" s="806" t="str">
        <f>Q127</f>
        <v>תקין</v>
      </c>
      <c r="V127" s="818"/>
      <c r="W127" s="818"/>
      <c r="X127" s="818"/>
    </row>
  </sheetData>
  <mergeCells count="2">
    <mergeCell ref="A1:H1"/>
    <mergeCell ref="L1:X1"/>
  </mergeCells>
  <conditionalFormatting sqref="U2:W2">
    <cfRule type="cellIs" dxfId="6" priority="1" operator="equal">
      <formula>"לא תקין"</formula>
    </cfRule>
    <cfRule type="cellIs" dxfId="5" priority="2" operator="equal">
      <formula>"בבירור"</formula>
    </cfRule>
  </conditionalFormatting>
  <dataValidations count="10">
    <dataValidation allowBlank="1" showInputMessage="1" showErrorMessage="1" promptTitle="בקרת שכר 3 - דוח ריכוז משכורת:" prompt="לבדוק התאמת שכר ברוטו לשכר ברוטו בדוח עלות" sqref="O2" xr:uid="{6B736001-9EF8-417D-ABC3-7E2F1B965B06}"/>
    <dataValidation allowBlank="1" showInputMessage="1" showErrorMessage="1" promptTitle="בקרת שכר 2 - דוח עלות:" prompt="לבדוק התאמה לסה&quot;כ הוצאה שדווחה" sqref="N2" xr:uid="{3AF0ECC9-EA2F-4363-AECE-4680E2865F25}"/>
    <dataValidation allowBlank="1" showInputMessage="1" showErrorMessage="1" promptTitle="בקרת שכר 1 - כרטסת:" prompt="בדיקת התאמה לסה&quot;כ הוצאה שדווחה" sqref="M2" xr:uid="{76C24BC5-B916-4B20-B5D8-BD097B02B13B}"/>
    <dataValidation allowBlank="1" showInputMessage="1" showErrorMessage="1" promptTitle="בקרת שכר 4 - בדיקת שכר:" prompt="לערוך בקרת שכר בקובץ המיועד" sqref="P2" xr:uid="{08717192-79FC-4972-8616-2E1D0B5BEA46}"/>
    <dataValidation type="list" allowBlank="1" showInputMessage="1" showErrorMessage="1" sqref="H3:H127" xr:uid="{00000000-0002-0000-0C00-000008000000}">
      <formula1>"כן,לא"</formula1>
    </dataValidation>
    <dataValidation type="list" allowBlank="1" showInputMessage="1" showErrorMessage="1" sqref="V6:V7 V121:V122 V11:V12 V16:V17 V21:V22 V26:V27 V31:V32 V36:V37 V41:V42 V46:V47 V51:V52 V56:V57 V61:V62 V66:V67 V71:V72 V76:V77 V81:V82 V86:V87 V91:V92 V96:V97 V101:V102 V106:V107 V111:V112 V116:V117 V126:V127" xr:uid="{CE9EBE4F-F5A1-4F77-815E-EB2BBF4EDF60}">
      <formula1>$AB$33:$AB$38</formula1>
    </dataValidation>
    <dataValidation type="list" allowBlank="1" showInputMessage="1" showErrorMessage="1" sqref="Q6:Q7 Q11:Q12 Q16:Q17 Q21:Q22 Q26:Q27 Q31:Q32 Q36:Q37 Q41:Q42 Q46:Q47 Q51:Q52 Q56:Q57 Q61:Q62 Q66:Q67 Q71:Q72 Q76:Q77 Q81:Q82 Q86:Q87 Q91:Q92 Q96:Q97 Q101:Q102 Q106:Q107 Q111:Q112 Q116:Q117 Q121:Q122 Q126:Q127" xr:uid="{A6C3B24C-FD51-4FFE-9E9A-3616E749E9FE}">
      <formula1>"תקין, לא תקין"</formula1>
    </dataValidation>
    <dataValidation type="list" allowBlank="1" showInputMessage="1" showErrorMessage="1" sqref="V3 V8 V13 V18 V23 V28 V33 V38 V43 V48 V53 V58 V63 V68 V73 V78 V83 V88 V93 V98 V103 V108 V113 V118 V123" xr:uid="{C0EE963C-DEF7-4522-9604-1A78C6332B76}">
      <formula1>$AB$4:$AB$8</formula1>
    </dataValidation>
    <dataValidation type="list" allowBlank="1" showInputMessage="1" showErrorMessage="1" sqref="V4 V9 V14 V19 V24 V29 V34 V39 V44 V49 V54 V59 V64 V69 V74 V79 V84 V89 V94 V99 V104 V109 V114 V119 V124" xr:uid="{22AEC4B6-0046-45E7-B168-CA8E59B26C86}">
      <formula1>$AB$9:$AB$13</formula1>
    </dataValidation>
    <dataValidation type="list" allowBlank="1" showInputMessage="1" showErrorMessage="1" sqref="V5 V10 V15 V20 V25 V30 V35 V40 V45 V50 V55 V60 V65 V70 V75 V80 V85 V90 V95 V100 V105 V110 V115 V120 V125" xr:uid="{F2F95E04-61B2-4296-93FF-7C6DCCD998C9}">
      <formula1>$AB$14:$AB$17</formula1>
    </dataValidation>
  </dataValidations>
  <pageMargins left="0.7" right="0.7" top="0.75" bottom="0.75" header="0.3" footer="0.3"/>
  <pageSetup paperSize="9" scale="25"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3">
    <tabColor theme="8" tint="0.59999389629810485"/>
  </sheetPr>
  <dimension ref="A1:E260"/>
  <sheetViews>
    <sheetView rightToLeft="1" workbookViewId="0">
      <selection activeCell="A3" sqref="A3:E260"/>
    </sheetView>
  </sheetViews>
  <sheetFormatPr defaultColWidth="9" defaultRowHeight="14.25" x14ac:dyDescent="0.2"/>
  <cols>
    <col min="1" max="1" width="17.625" style="997" customWidth="1"/>
    <col min="2" max="2" width="13.5" style="997" customWidth="1"/>
    <col min="3" max="5" width="9" style="997" customWidth="1"/>
    <col min="6" max="7" width="9" style="17" customWidth="1"/>
    <col min="8" max="16384" width="9" style="17"/>
  </cols>
  <sheetData>
    <row r="1" spans="1:5" x14ac:dyDescent="0.2">
      <c r="A1" s="950" t="s">
        <v>2525</v>
      </c>
      <c r="B1" s="950" t="s">
        <v>2525</v>
      </c>
      <c r="C1" s="950" t="s">
        <v>2525</v>
      </c>
      <c r="D1" s="950" t="s">
        <v>2525</v>
      </c>
      <c r="E1" s="991" t="s">
        <v>2525</v>
      </c>
    </row>
    <row r="2" spans="1:5" ht="30" x14ac:dyDescent="0.25">
      <c r="A2" s="992" t="s">
        <v>2325</v>
      </c>
      <c r="B2" s="992" t="s">
        <v>3389</v>
      </c>
      <c r="C2" s="992" t="s">
        <v>2324</v>
      </c>
      <c r="D2" s="992" t="s">
        <v>2596</v>
      </c>
      <c r="E2" s="992" t="s">
        <v>2597</v>
      </c>
    </row>
    <row r="3" spans="1:5" ht="15" x14ac:dyDescent="0.25">
      <c r="A3" s="993" t="s">
        <v>160</v>
      </c>
      <c r="B3" s="993">
        <v>3</v>
      </c>
      <c r="C3" s="990">
        <v>10404721</v>
      </c>
      <c r="D3" s="990">
        <v>4721</v>
      </c>
      <c r="E3" s="990">
        <v>2026</v>
      </c>
    </row>
    <row r="4" spans="1:5" ht="15" x14ac:dyDescent="0.25">
      <c r="A4" s="993" t="s">
        <v>161</v>
      </c>
      <c r="B4" s="993">
        <v>3</v>
      </c>
      <c r="C4" s="990">
        <v>10404739</v>
      </c>
      <c r="D4" s="990">
        <v>4739</v>
      </c>
      <c r="E4" s="990">
        <v>2026</v>
      </c>
    </row>
    <row r="5" spans="1:5" ht="15" x14ac:dyDescent="0.25">
      <c r="A5" s="993" t="s">
        <v>162</v>
      </c>
      <c r="B5" s="993">
        <v>9</v>
      </c>
      <c r="C5" s="990">
        <v>10401826</v>
      </c>
      <c r="D5" s="990">
        <v>1826</v>
      </c>
      <c r="E5" s="990">
        <v>2026</v>
      </c>
    </row>
    <row r="6" spans="1:5" ht="15" x14ac:dyDescent="0.25">
      <c r="A6" s="993" t="s">
        <v>163</v>
      </c>
      <c r="B6" s="993">
        <v>2</v>
      </c>
      <c r="C6" s="990">
        <v>10427102</v>
      </c>
      <c r="D6" s="990">
        <v>27102</v>
      </c>
      <c r="E6" s="990">
        <v>2026</v>
      </c>
    </row>
    <row r="7" spans="1:5" ht="15" x14ac:dyDescent="0.25">
      <c r="A7" s="993" t="s">
        <v>164</v>
      </c>
      <c r="B7" s="993">
        <v>3</v>
      </c>
      <c r="C7" s="990">
        <v>10400315</v>
      </c>
      <c r="D7" s="990">
        <v>315</v>
      </c>
      <c r="E7" s="990">
        <v>2026</v>
      </c>
    </row>
    <row r="8" spans="1:5" ht="15" x14ac:dyDescent="0.25">
      <c r="A8" s="993" t="s">
        <v>165</v>
      </c>
      <c r="B8" s="993">
        <v>5</v>
      </c>
      <c r="C8" s="990">
        <v>10424000</v>
      </c>
      <c r="D8" s="990">
        <v>24000</v>
      </c>
      <c r="E8" s="990">
        <v>2026</v>
      </c>
    </row>
    <row r="9" spans="1:5" ht="15" x14ac:dyDescent="0.25">
      <c r="A9" s="993" t="s">
        <v>166</v>
      </c>
      <c r="B9" s="993">
        <v>5</v>
      </c>
      <c r="C9" s="990">
        <v>10410207</v>
      </c>
      <c r="D9" s="990">
        <v>10207</v>
      </c>
      <c r="E9" s="990">
        <v>2026</v>
      </c>
    </row>
    <row r="10" spans="1:5" ht="15" x14ac:dyDescent="0.25">
      <c r="A10" s="993" t="s">
        <v>167</v>
      </c>
      <c r="B10" s="993">
        <v>8</v>
      </c>
      <c r="C10" s="990">
        <v>10437606</v>
      </c>
      <c r="D10" s="990">
        <v>37606</v>
      </c>
      <c r="E10" s="990">
        <v>2026</v>
      </c>
    </row>
    <row r="11" spans="1:5" ht="15" x14ac:dyDescent="0.25">
      <c r="A11" s="993" t="s">
        <v>168</v>
      </c>
      <c r="B11" s="993">
        <v>7</v>
      </c>
      <c r="C11" s="990">
        <v>10405652</v>
      </c>
      <c r="D11" s="990">
        <v>5652</v>
      </c>
      <c r="E11" s="990">
        <v>2026</v>
      </c>
    </row>
    <row r="12" spans="1:5" ht="15" x14ac:dyDescent="0.25">
      <c r="A12" s="993" t="s">
        <v>169</v>
      </c>
      <c r="B12" s="993">
        <v>6</v>
      </c>
      <c r="C12" s="990">
        <v>10426005</v>
      </c>
      <c r="D12" s="990">
        <v>26005</v>
      </c>
      <c r="E12" s="990">
        <v>2026</v>
      </c>
    </row>
    <row r="13" spans="1:5" ht="15" x14ac:dyDescent="0.25">
      <c r="A13" s="993" t="s">
        <v>170</v>
      </c>
      <c r="B13" s="993">
        <v>3</v>
      </c>
      <c r="C13" s="990">
        <v>10404788</v>
      </c>
      <c r="D13" s="990">
        <v>4788</v>
      </c>
      <c r="E13" s="990">
        <v>2026</v>
      </c>
    </row>
    <row r="14" spans="1:5" ht="15" x14ac:dyDescent="0.25">
      <c r="A14" s="993" t="s">
        <v>171</v>
      </c>
      <c r="B14" s="993">
        <v>2</v>
      </c>
      <c r="C14" s="990">
        <v>12300653</v>
      </c>
      <c r="D14" s="990">
        <v>6500000</v>
      </c>
      <c r="E14" s="990">
        <v>2026</v>
      </c>
    </row>
    <row r="15" spans="1:5" ht="15" x14ac:dyDescent="0.25">
      <c r="A15" s="993" t="s">
        <v>172</v>
      </c>
      <c r="B15" s="993">
        <v>1</v>
      </c>
      <c r="C15" s="990">
        <v>12300695</v>
      </c>
      <c r="D15" s="990">
        <v>6900000</v>
      </c>
      <c r="E15" s="990">
        <v>2026</v>
      </c>
    </row>
    <row r="16" spans="1:5" ht="15" x14ac:dyDescent="0.25">
      <c r="A16" s="993" t="s">
        <v>173</v>
      </c>
      <c r="B16" s="993">
        <v>8</v>
      </c>
      <c r="C16" s="990">
        <v>12300455</v>
      </c>
      <c r="D16" s="990">
        <v>4500000</v>
      </c>
      <c r="E16" s="990">
        <v>2026</v>
      </c>
    </row>
    <row r="17" spans="1:5" ht="15" x14ac:dyDescent="0.25">
      <c r="A17" s="993" t="s">
        <v>174</v>
      </c>
      <c r="B17" s="993">
        <v>7</v>
      </c>
      <c r="C17" s="990">
        <v>10400414</v>
      </c>
      <c r="D17" s="990">
        <v>414</v>
      </c>
      <c r="E17" s="990">
        <v>2026</v>
      </c>
    </row>
    <row r="18" spans="1:5" ht="15" x14ac:dyDescent="0.25">
      <c r="A18" s="993" t="s">
        <v>175</v>
      </c>
      <c r="B18" s="993">
        <v>2</v>
      </c>
      <c r="C18" s="990">
        <v>10413094</v>
      </c>
      <c r="D18" s="990">
        <v>13094</v>
      </c>
      <c r="E18" s="990">
        <v>2026</v>
      </c>
    </row>
    <row r="19" spans="1:5" ht="15" x14ac:dyDescent="0.25">
      <c r="A19" s="993" t="s">
        <v>176</v>
      </c>
      <c r="B19" s="993">
        <v>8</v>
      </c>
      <c r="C19" s="990">
        <v>10437507</v>
      </c>
      <c r="D19" s="990">
        <v>37507</v>
      </c>
      <c r="E19" s="990">
        <v>2026</v>
      </c>
    </row>
    <row r="20" spans="1:5" ht="15" x14ac:dyDescent="0.25">
      <c r="A20" s="993" t="s">
        <v>177</v>
      </c>
      <c r="B20" s="993">
        <v>8</v>
      </c>
      <c r="C20" s="990">
        <v>10435600</v>
      </c>
      <c r="D20" s="990">
        <v>35600</v>
      </c>
      <c r="E20" s="990">
        <v>2026</v>
      </c>
    </row>
    <row r="21" spans="1:5" ht="15" x14ac:dyDescent="0.25">
      <c r="A21" s="993" t="s">
        <v>178</v>
      </c>
      <c r="B21" s="993">
        <v>3</v>
      </c>
      <c r="C21" s="990">
        <v>10405298</v>
      </c>
      <c r="D21" s="990">
        <v>5298</v>
      </c>
      <c r="E21" s="990">
        <v>2026</v>
      </c>
    </row>
    <row r="22" spans="1:5" ht="15" x14ac:dyDescent="0.25">
      <c r="A22" s="993" t="s">
        <v>179</v>
      </c>
      <c r="B22" s="993">
        <v>7</v>
      </c>
      <c r="C22" s="990">
        <v>10436509</v>
      </c>
      <c r="D22" s="990">
        <v>36509</v>
      </c>
      <c r="E22" s="990">
        <v>2026</v>
      </c>
    </row>
    <row r="23" spans="1:5" ht="15" x14ac:dyDescent="0.25">
      <c r="A23" s="993" t="s">
        <v>180</v>
      </c>
      <c r="B23" s="993">
        <v>6</v>
      </c>
      <c r="C23" s="990">
        <v>10435709</v>
      </c>
      <c r="D23" s="990">
        <v>35709</v>
      </c>
      <c r="E23" s="990">
        <v>2026</v>
      </c>
    </row>
    <row r="24" spans="1:5" ht="15" x14ac:dyDescent="0.25">
      <c r="A24" s="993" t="s">
        <v>181</v>
      </c>
      <c r="B24" s="993">
        <v>5</v>
      </c>
      <c r="C24" s="990">
        <v>10400703</v>
      </c>
      <c r="D24" s="990">
        <v>703</v>
      </c>
      <c r="E24" s="990">
        <v>2026</v>
      </c>
    </row>
    <row r="25" spans="1:5" ht="15" x14ac:dyDescent="0.25">
      <c r="A25" s="994" t="s">
        <v>182</v>
      </c>
      <c r="B25" s="993">
        <v>6</v>
      </c>
      <c r="C25" s="990">
        <v>12300380</v>
      </c>
      <c r="D25" s="990">
        <v>3800000</v>
      </c>
      <c r="E25" s="990">
        <v>2026</v>
      </c>
    </row>
    <row r="26" spans="1:5" ht="15" x14ac:dyDescent="0.25">
      <c r="A26" s="993" t="s">
        <v>183</v>
      </c>
      <c r="B26" s="993">
        <v>5</v>
      </c>
      <c r="C26" s="990">
        <v>10471001</v>
      </c>
      <c r="D26" s="990">
        <v>71001</v>
      </c>
      <c r="E26" s="990">
        <v>2026</v>
      </c>
    </row>
    <row r="27" spans="1:5" ht="15" x14ac:dyDescent="0.25">
      <c r="A27" s="993" t="s">
        <v>184</v>
      </c>
      <c r="B27" s="993">
        <v>4</v>
      </c>
      <c r="C27" s="990">
        <v>10460004</v>
      </c>
      <c r="D27" s="990">
        <v>60004</v>
      </c>
      <c r="E27" s="990">
        <v>2026</v>
      </c>
    </row>
    <row r="28" spans="1:5" ht="15" x14ac:dyDescent="0.25">
      <c r="A28" s="993" t="s">
        <v>185</v>
      </c>
      <c r="B28" s="993">
        <v>7</v>
      </c>
      <c r="C28" s="990">
        <v>12300331</v>
      </c>
      <c r="D28" s="990">
        <v>3300000</v>
      </c>
      <c r="E28" s="990">
        <v>2026</v>
      </c>
    </row>
    <row r="29" spans="1:5" ht="15" x14ac:dyDescent="0.25">
      <c r="A29" s="993" t="s">
        <v>186</v>
      </c>
      <c r="B29" s="993">
        <v>7</v>
      </c>
      <c r="C29" s="990">
        <v>10425304</v>
      </c>
      <c r="D29" s="990">
        <v>25304</v>
      </c>
      <c r="E29" s="990">
        <v>2026</v>
      </c>
    </row>
    <row r="30" spans="1:5" ht="15" x14ac:dyDescent="0.25">
      <c r="A30" s="993" t="s">
        <v>187</v>
      </c>
      <c r="B30" s="993">
        <v>5</v>
      </c>
      <c r="C30" s="990">
        <v>10490001</v>
      </c>
      <c r="D30" s="990">
        <v>90001</v>
      </c>
      <c r="E30" s="990">
        <v>2026</v>
      </c>
    </row>
    <row r="31" spans="1:5" ht="15" x14ac:dyDescent="0.25">
      <c r="A31" s="993" t="s">
        <v>188</v>
      </c>
      <c r="B31" s="993">
        <v>3</v>
      </c>
      <c r="C31" s="990">
        <v>12300661</v>
      </c>
      <c r="D31" s="990">
        <v>6600000</v>
      </c>
      <c r="E31" s="990">
        <v>2026</v>
      </c>
    </row>
    <row r="32" spans="1:5" ht="15" x14ac:dyDescent="0.25">
      <c r="A32" s="993" t="s">
        <v>2778</v>
      </c>
      <c r="B32" s="993">
        <v>3</v>
      </c>
      <c r="C32" s="990">
        <v>10404820</v>
      </c>
      <c r="D32" s="990">
        <v>4820</v>
      </c>
      <c r="E32" s="990">
        <v>2026</v>
      </c>
    </row>
    <row r="33" spans="1:5" ht="15" x14ac:dyDescent="0.25">
      <c r="A33" s="993" t="s">
        <v>189</v>
      </c>
      <c r="B33" s="993">
        <v>3</v>
      </c>
      <c r="C33" s="990">
        <v>10440014</v>
      </c>
      <c r="D33" s="990">
        <v>40014</v>
      </c>
      <c r="E33" s="990">
        <v>2026</v>
      </c>
    </row>
    <row r="34" spans="1:5" ht="15" x14ac:dyDescent="0.25">
      <c r="A34" s="993" t="s">
        <v>190</v>
      </c>
      <c r="B34" s="993">
        <v>2</v>
      </c>
      <c r="C34" s="990">
        <v>10409985</v>
      </c>
      <c r="D34" s="990">
        <v>9985</v>
      </c>
      <c r="E34" s="990">
        <v>2026</v>
      </c>
    </row>
    <row r="35" spans="1:5" ht="15" x14ac:dyDescent="0.25">
      <c r="A35" s="993" t="s">
        <v>191</v>
      </c>
      <c r="B35" s="993">
        <v>4</v>
      </c>
      <c r="C35" s="990">
        <v>10435741</v>
      </c>
      <c r="D35" s="990">
        <v>35741</v>
      </c>
      <c r="E35" s="990">
        <v>2026</v>
      </c>
    </row>
    <row r="36" spans="1:5" ht="15" x14ac:dyDescent="0.25">
      <c r="A36" s="993" t="s">
        <v>192</v>
      </c>
      <c r="B36" s="993">
        <v>7</v>
      </c>
      <c r="C36" s="990">
        <v>10436525</v>
      </c>
      <c r="D36" s="990">
        <v>36525</v>
      </c>
      <c r="E36" s="990">
        <v>2026</v>
      </c>
    </row>
    <row r="37" spans="1:5" ht="15" x14ac:dyDescent="0.25">
      <c r="A37" s="993" t="s">
        <v>193</v>
      </c>
      <c r="B37" s="993">
        <v>4</v>
      </c>
      <c r="C37" s="990">
        <v>10404804</v>
      </c>
      <c r="D37" s="990">
        <v>4804</v>
      </c>
      <c r="E37" s="990">
        <v>2026</v>
      </c>
    </row>
    <row r="38" spans="1:5" ht="15" x14ac:dyDescent="0.25">
      <c r="A38" s="993" t="s">
        <v>194</v>
      </c>
      <c r="B38" s="993">
        <v>7</v>
      </c>
      <c r="C38" s="990">
        <v>10404663</v>
      </c>
      <c r="D38" s="990">
        <v>4663</v>
      </c>
      <c r="E38" s="990">
        <v>2026</v>
      </c>
    </row>
    <row r="39" spans="1:5" ht="15" x14ac:dyDescent="0.25">
      <c r="A39" s="993" t="s">
        <v>195</v>
      </c>
      <c r="B39" s="993">
        <v>4</v>
      </c>
      <c r="C39" s="990">
        <v>10492007</v>
      </c>
      <c r="D39" s="990">
        <v>92007</v>
      </c>
      <c r="E39" s="990">
        <v>2026</v>
      </c>
    </row>
    <row r="40" spans="1:5" ht="15" x14ac:dyDescent="0.25">
      <c r="A40" s="993" t="s">
        <v>196</v>
      </c>
      <c r="B40" s="993">
        <v>2</v>
      </c>
      <c r="C40" s="990">
        <v>10426104</v>
      </c>
      <c r="D40" s="990">
        <v>26104</v>
      </c>
      <c r="E40" s="990">
        <v>2026</v>
      </c>
    </row>
    <row r="41" spans="1:5" ht="15" x14ac:dyDescent="0.25">
      <c r="A41" s="993" t="s">
        <v>197</v>
      </c>
      <c r="B41" s="993">
        <v>2</v>
      </c>
      <c r="C41" s="990">
        <v>10437804</v>
      </c>
      <c r="D41" s="990">
        <v>37804</v>
      </c>
      <c r="E41" s="990">
        <v>2026</v>
      </c>
    </row>
    <row r="42" spans="1:5" ht="15" x14ac:dyDescent="0.25">
      <c r="A42" s="993" t="s">
        <v>198</v>
      </c>
      <c r="B42" s="993">
        <v>2</v>
      </c>
      <c r="C42" s="990">
        <v>10461002</v>
      </c>
      <c r="D42" s="990">
        <v>61002</v>
      </c>
      <c r="E42" s="990">
        <v>2026</v>
      </c>
    </row>
    <row r="43" spans="1:5" ht="15" x14ac:dyDescent="0.25">
      <c r="A43" s="993" t="s">
        <v>199</v>
      </c>
      <c r="B43" s="993">
        <v>5</v>
      </c>
      <c r="C43" s="990">
        <v>10410660</v>
      </c>
      <c r="D43" s="990">
        <v>10660</v>
      </c>
      <c r="E43" s="990">
        <v>2026</v>
      </c>
    </row>
    <row r="44" spans="1:5" ht="15" x14ac:dyDescent="0.25">
      <c r="A44" s="993" t="s">
        <v>200</v>
      </c>
      <c r="B44" s="993">
        <v>7</v>
      </c>
      <c r="C44" s="990">
        <v>12300414</v>
      </c>
      <c r="D44" s="990">
        <v>4100000</v>
      </c>
      <c r="E44" s="990">
        <v>2026</v>
      </c>
    </row>
    <row r="45" spans="1:5" ht="15" x14ac:dyDescent="0.25">
      <c r="A45" s="993" t="s">
        <v>201</v>
      </c>
      <c r="B45" s="993">
        <v>8</v>
      </c>
      <c r="C45" s="990">
        <v>10413524</v>
      </c>
      <c r="D45" s="990">
        <v>13524</v>
      </c>
      <c r="E45" s="990">
        <v>2026</v>
      </c>
    </row>
    <row r="46" spans="1:5" ht="15" x14ac:dyDescent="0.25">
      <c r="A46" s="993" t="s">
        <v>202</v>
      </c>
      <c r="B46" s="993">
        <v>3</v>
      </c>
      <c r="C46" s="990">
        <v>10413268</v>
      </c>
      <c r="D46" s="990">
        <v>13268</v>
      </c>
      <c r="E46" s="990">
        <v>2026</v>
      </c>
    </row>
    <row r="47" spans="1:5" ht="15" x14ac:dyDescent="0.25">
      <c r="A47" s="993" t="s">
        <v>203</v>
      </c>
      <c r="B47" s="993">
        <v>3</v>
      </c>
      <c r="C47" s="990">
        <v>10409449</v>
      </c>
      <c r="D47" s="990">
        <v>9449</v>
      </c>
      <c r="E47" s="990">
        <v>2026</v>
      </c>
    </row>
    <row r="48" spans="1:5" ht="15" x14ac:dyDescent="0.25">
      <c r="A48" s="993" t="s">
        <v>204</v>
      </c>
      <c r="B48" s="993">
        <v>3</v>
      </c>
      <c r="C48" s="990">
        <v>10404838</v>
      </c>
      <c r="D48" s="990">
        <v>4838</v>
      </c>
      <c r="E48" s="990">
        <v>2026</v>
      </c>
    </row>
    <row r="49" spans="1:5" ht="15" x14ac:dyDescent="0.25">
      <c r="A49" s="993" t="s">
        <v>205</v>
      </c>
      <c r="B49" s="993">
        <v>8</v>
      </c>
      <c r="C49" s="990">
        <v>12300281</v>
      </c>
      <c r="D49" s="990">
        <v>2800000</v>
      </c>
      <c r="E49" s="990">
        <v>2026</v>
      </c>
    </row>
    <row r="50" spans="1:5" ht="15" x14ac:dyDescent="0.25">
      <c r="A50" s="993" t="s">
        <v>206</v>
      </c>
      <c r="B50" s="993">
        <v>5</v>
      </c>
      <c r="C50" s="990">
        <v>10462000</v>
      </c>
      <c r="D50" s="990">
        <v>62000</v>
      </c>
      <c r="E50" s="990">
        <v>2026</v>
      </c>
    </row>
    <row r="51" spans="1:5" ht="15" x14ac:dyDescent="0.25">
      <c r="A51" s="993" t="s">
        <v>207</v>
      </c>
      <c r="B51" s="993">
        <v>3</v>
      </c>
      <c r="C51" s="990">
        <v>10412922</v>
      </c>
      <c r="D51" s="990">
        <v>12922</v>
      </c>
      <c r="E51" s="990">
        <v>2026</v>
      </c>
    </row>
    <row r="52" spans="1:5" ht="15" x14ac:dyDescent="0.25">
      <c r="A52" s="993" t="s">
        <v>208</v>
      </c>
      <c r="B52" s="993">
        <v>5</v>
      </c>
      <c r="C52" s="990">
        <v>10404853</v>
      </c>
      <c r="D52" s="990">
        <v>4853</v>
      </c>
      <c r="E52" s="990">
        <v>2026</v>
      </c>
    </row>
    <row r="53" spans="1:5" ht="15" x14ac:dyDescent="0.25">
      <c r="A53" s="993" t="s">
        <v>209</v>
      </c>
      <c r="B53" s="993">
        <v>3</v>
      </c>
      <c r="C53" s="990">
        <v>10406270</v>
      </c>
      <c r="D53" s="990">
        <v>6270</v>
      </c>
      <c r="E53" s="990">
        <v>2026</v>
      </c>
    </row>
    <row r="54" spans="1:5" ht="15" x14ac:dyDescent="0.25">
      <c r="A54" s="993" t="s">
        <v>210</v>
      </c>
      <c r="B54" s="993">
        <v>2</v>
      </c>
      <c r="C54" s="990">
        <v>10405413</v>
      </c>
      <c r="D54" s="990">
        <v>5413</v>
      </c>
      <c r="E54" s="990">
        <v>2026</v>
      </c>
    </row>
    <row r="55" spans="1:5" ht="15" x14ac:dyDescent="0.25">
      <c r="A55" s="993" t="s">
        <v>211</v>
      </c>
      <c r="B55" s="993">
        <v>5</v>
      </c>
      <c r="C55" s="990">
        <v>10406288</v>
      </c>
      <c r="D55" s="990">
        <v>6288</v>
      </c>
      <c r="E55" s="990">
        <v>2026</v>
      </c>
    </row>
    <row r="56" spans="1:5" ht="15" x14ac:dyDescent="0.25">
      <c r="A56" s="993" t="s">
        <v>212</v>
      </c>
      <c r="B56" s="993">
        <v>4</v>
      </c>
      <c r="C56" s="990">
        <v>10437309</v>
      </c>
      <c r="D56" s="990">
        <v>37309</v>
      </c>
      <c r="E56" s="990">
        <v>2026</v>
      </c>
    </row>
    <row r="57" spans="1:5" ht="15" x14ac:dyDescent="0.25">
      <c r="A57" s="993" t="s">
        <v>213</v>
      </c>
      <c r="B57" s="993">
        <v>8</v>
      </c>
      <c r="C57" s="990">
        <v>10406817</v>
      </c>
      <c r="D57" s="990">
        <v>6817</v>
      </c>
      <c r="E57" s="990">
        <v>2026</v>
      </c>
    </row>
    <row r="58" spans="1:5" ht="15" x14ac:dyDescent="0.25">
      <c r="A58" s="993" t="s">
        <v>214</v>
      </c>
      <c r="B58" s="993">
        <v>9</v>
      </c>
      <c r="C58" s="990">
        <v>10463008</v>
      </c>
      <c r="D58" s="990">
        <v>63008</v>
      </c>
      <c r="E58" s="990">
        <v>2026</v>
      </c>
    </row>
    <row r="59" spans="1:5" ht="15" x14ac:dyDescent="0.25">
      <c r="A59" s="993" t="s">
        <v>215</v>
      </c>
      <c r="B59" s="993">
        <v>7</v>
      </c>
      <c r="C59" s="990">
        <v>10425502</v>
      </c>
      <c r="D59" s="990">
        <v>25502</v>
      </c>
      <c r="E59" s="990">
        <v>2026</v>
      </c>
    </row>
    <row r="60" spans="1:5" ht="15" x14ac:dyDescent="0.25">
      <c r="A60" s="994" t="s">
        <v>216</v>
      </c>
      <c r="B60" s="993">
        <v>9</v>
      </c>
      <c r="C60" s="990">
        <v>12300323</v>
      </c>
      <c r="D60" s="990">
        <v>3200000</v>
      </c>
      <c r="E60" s="990">
        <v>2026</v>
      </c>
    </row>
    <row r="61" spans="1:5" ht="15" x14ac:dyDescent="0.25">
      <c r="A61" s="993" t="s">
        <v>217</v>
      </c>
      <c r="B61" s="993">
        <v>6</v>
      </c>
      <c r="C61" s="990">
        <v>12300711</v>
      </c>
      <c r="D61" s="990">
        <v>7100000</v>
      </c>
      <c r="E61" s="990">
        <v>2026</v>
      </c>
    </row>
    <row r="62" spans="1:5" ht="15" x14ac:dyDescent="0.25">
      <c r="A62" s="993" t="s">
        <v>218</v>
      </c>
      <c r="B62" s="993">
        <v>7</v>
      </c>
      <c r="C62" s="990">
        <v>10404879</v>
      </c>
      <c r="D62" s="990">
        <v>4879</v>
      </c>
      <c r="E62" s="990">
        <v>2026</v>
      </c>
    </row>
    <row r="63" spans="1:5" ht="15" x14ac:dyDescent="0.25">
      <c r="A63" s="993" t="s">
        <v>219</v>
      </c>
      <c r="B63" s="993">
        <v>6</v>
      </c>
      <c r="C63" s="990">
        <v>12300760</v>
      </c>
      <c r="D63" s="990">
        <v>7600000</v>
      </c>
      <c r="E63" s="990">
        <v>2026</v>
      </c>
    </row>
    <row r="64" spans="1:5" ht="15" x14ac:dyDescent="0.25">
      <c r="A64" s="993" t="s">
        <v>220</v>
      </c>
      <c r="B64" s="993">
        <v>8</v>
      </c>
      <c r="C64" s="990">
        <v>12300307</v>
      </c>
      <c r="D64" s="990">
        <v>3000000</v>
      </c>
      <c r="E64" s="990">
        <v>2026</v>
      </c>
    </row>
    <row r="65" spans="1:5" ht="15" x14ac:dyDescent="0.25">
      <c r="A65" s="993" t="s">
        <v>221</v>
      </c>
      <c r="B65" s="993">
        <v>7</v>
      </c>
      <c r="C65" s="990">
        <v>10401669</v>
      </c>
      <c r="D65" s="990">
        <v>1669</v>
      </c>
      <c r="E65" s="990">
        <v>2026</v>
      </c>
    </row>
    <row r="66" spans="1:5" ht="15" x14ac:dyDescent="0.25">
      <c r="A66" s="993" t="s">
        <v>2779</v>
      </c>
      <c r="B66" s="993">
        <v>8</v>
      </c>
      <c r="C66" s="990">
        <v>12300273</v>
      </c>
      <c r="D66" s="990">
        <v>2700000</v>
      </c>
      <c r="E66" s="990">
        <v>2026</v>
      </c>
    </row>
    <row r="67" spans="1:5" ht="15" x14ac:dyDescent="0.25">
      <c r="A67" s="993" t="s">
        <v>2777</v>
      </c>
      <c r="B67" s="993">
        <v>9</v>
      </c>
      <c r="C67" s="990">
        <v>10402295</v>
      </c>
      <c r="D67" s="990">
        <v>2295</v>
      </c>
      <c r="E67" s="990">
        <v>2026</v>
      </c>
    </row>
    <row r="68" spans="1:5" ht="15" x14ac:dyDescent="0.25">
      <c r="A68" s="993" t="s">
        <v>222</v>
      </c>
      <c r="B68" s="993">
        <v>5</v>
      </c>
      <c r="C68" s="990">
        <v>10404945</v>
      </c>
      <c r="D68" s="990">
        <v>4945</v>
      </c>
      <c r="E68" s="990">
        <v>2026</v>
      </c>
    </row>
    <row r="69" spans="1:5" ht="15" x14ac:dyDescent="0.25">
      <c r="A69" s="993" t="s">
        <v>223</v>
      </c>
      <c r="B69" s="993">
        <v>4</v>
      </c>
      <c r="C69" s="990">
        <v>10404895</v>
      </c>
      <c r="D69" s="990">
        <v>4895</v>
      </c>
      <c r="E69" s="990">
        <v>2026</v>
      </c>
    </row>
    <row r="70" spans="1:5" ht="15" x14ac:dyDescent="0.25">
      <c r="A70" s="993" t="s">
        <v>224</v>
      </c>
      <c r="B70" s="993">
        <v>4</v>
      </c>
      <c r="C70" s="990">
        <v>10404903</v>
      </c>
      <c r="D70" s="990">
        <v>4903</v>
      </c>
      <c r="E70" s="990">
        <v>2026</v>
      </c>
    </row>
    <row r="71" spans="1:5" ht="15" x14ac:dyDescent="0.25">
      <c r="A71" s="993" t="s">
        <v>225</v>
      </c>
      <c r="B71" s="993">
        <v>4</v>
      </c>
      <c r="C71" s="990">
        <v>10422004</v>
      </c>
      <c r="D71" s="990">
        <v>22004</v>
      </c>
      <c r="E71" s="990">
        <v>2026</v>
      </c>
    </row>
    <row r="72" spans="1:5" ht="15" x14ac:dyDescent="0.25">
      <c r="A72" s="993" t="s">
        <v>226</v>
      </c>
      <c r="B72" s="993">
        <v>4</v>
      </c>
      <c r="C72" s="990">
        <v>10404929</v>
      </c>
      <c r="D72" s="990">
        <v>4929</v>
      </c>
      <c r="E72" s="990">
        <v>2026</v>
      </c>
    </row>
    <row r="73" spans="1:5" ht="15" x14ac:dyDescent="0.25">
      <c r="A73" s="993" t="s">
        <v>227</v>
      </c>
      <c r="B73" s="993">
        <v>8</v>
      </c>
      <c r="C73" s="990">
        <v>12300208</v>
      </c>
      <c r="D73" s="990">
        <v>2000000</v>
      </c>
      <c r="E73" s="990">
        <v>2026</v>
      </c>
    </row>
    <row r="74" spans="1:5" ht="15" x14ac:dyDescent="0.25">
      <c r="A74" s="993" t="s">
        <v>228</v>
      </c>
      <c r="B74" s="993">
        <v>5</v>
      </c>
      <c r="C74" s="990">
        <v>12300083</v>
      </c>
      <c r="D74" s="990">
        <v>800000</v>
      </c>
      <c r="E74" s="990">
        <v>2026</v>
      </c>
    </row>
    <row r="75" spans="1:5" ht="15" x14ac:dyDescent="0.25">
      <c r="A75" s="993" t="s">
        <v>229</v>
      </c>
      <c r="B75" s="993">
        <v>7</v>
      </c>
      <c r="C75" s="990">
        <v>12300018</v>
      </c>
      <c r="D75" s="990">
        <v>100000</v>
      </c>
      <c r="E75" s="990">
        <v>2026</v>
      </c>
    </row>
    <row r="76" spans="1:5" ht="15" x14ac:dyDescent="0.25">
      <c r="A76" s="993" t="s">
        <v>230</v>
      </c>
      <c r="B76" s="993">
        <v>7</v>
      </c>
      <c r="C76" s="990">
        <v>12300034</v>
      </c>
      <c r="D76" s="990">
        <v>300000</v>
      </c>
      <c r="E76" s="990">
        <v>2026</v>
      </c>
    </row>
    <row r="77" spans="1:5" ht="15" x14ac:dyDescent="0.25">
      <c r="A77" s="993" t="s">
        <v>231</v>
      </c>
      <c r="B77" s="993">
        <v>9</v>
      </c>
      <c r="C77" s="990">
        <v>10497006</v>
      </c>
      <c r="D77" s="990">
        <v>97006</v>
      </c>
      <c r="E77" s="990">
        <v>2026</v>
      </c>
    </row>
    <row r="78" spans="1:5" ht="15" x14ac:dyDescent="0.25">
      <c r="A78" s="993" t="s">
        <v>232</v>
      </c>
      <c r="B78" s="993">
        <v>7</v>
      </c>
      <c r="C78" s="990">
        <v>12300547</v>
      </c>
      <c r="D78" s="990">
        <v>5400000</v>
      </c>
      <c r="E78" s="990">
        <v>2026</v>
      </c>
    </row>
    <row r="79" spans="1:5" ht="15" x14ac:dyDescent="0.25">
      <c r="A79" s="993" t="s">
        <v>233</v>
      </c>
      <c r="B79" s="993">
        <v>9</v>
      </c>
      <c r="C79" s="990">
        <v>10437697</v>
      </c>
      <c r="D79" s="990">
        <v>37697</v>
      </c>
      <c r="E79" s="990">
        <v>2026</v>
      </c>
    </row>
    <row r="80" spans="1:5" ht="15" x14ac:dyDescent="0.25">
      <c r="A80" s="993" t="s">
        <v>234</v>
      </c>
      <c r="B80" s="993">
        <v>5</v>
      </c>
      <c r="C80" s="990">
        <v>12300786</v>
      </c>
      <c r="D80" s="990">
        <v>7800000</v>
      </c>
      <c r="E80" s="990">
        <v>2026</v>
      </c>
    </row>
    <row r="81" spans="1:5" ht="15" x14ac:dyDescent="0.25">
      <c r="A81" s="993" t="s">
        <v>235</v>
      </c>
      <c r="B81" s="993">
        <v>8</v>
      </c>
      <c r="C81" s="990">
        <v>10464006</v>
      </c>
      <c r="D81" s="990">
        <v>64006</v>
      </c>
      <c r="E81" s="990">
        <v>2026</v>
      </c>
    </row>
    <row r="82" spans="1:5" ht="15" x14ac:dyDescent="0.25">
      <c r="A82" s="993" t="s">
        <v>236</v>
      </c>
      <c r="B82" s="993">
        <v>5</v>
      </c>
      <c r="C82" s="990">
        <v>12300125</v>
      </c>
      <c r="D82" s="990">
        <v>1200000</v>
      </c>
      <c r="E82" s="990">
        <v>2026</v>
      </c>
    </row>
    <row r="83" spans="1:5" ht="15" x14ac:dyDescent="0.25">
      <c r="A83" s="993" t="s">
        <v>237</v>
      </c>
      <c r="B83" s="993">
        <v>8</v>
      </c>
      <c r="C83" s="990">
        <v>10493005</v>
      </c>
      <c r="D83" s="990">
        <v>93005</v>
      </c>
      <c r="E83" s="990">
        <v>2026</v>
      </c>
    </row>
    <row r="84" spans="1:5" ht="15" x14ac:dyDescent="0.25">
      <c r="A84" s="993" t="s">
        <v>238</v>
      </c>
      <c r="B84" s="993">
        <v>4</v>
      </c>
      <c r="C84" s="990">
        <v>10412906</v>
      </c>
      <c r="D84" s="990">
        <v>12906</v>
      </c>
      <c r="E84" s="990">
        <v>2026</v>
      </c>
    </row>
    <row r="85" spans="1:5" ht="15" x14ac:dyDescent="0.25">
      <c r="A85" s="993" t="s">
        <v>239</v>
      </c>
      <c r="B85" s="993">
        <v>3</v>
      </c>
      <c r="C85" s="990">
        <v>10409753</v>
      </c>
      <c r="D85" s="990">
        <v>9753</v>
      </c>
      <c r="E85" s="990">
        <v>2026</v>
      </c>
    </row>
    <row r="86" spans="1:5" ht="15" x14ac:dyDescent="0.25">
      <c r="A86" s="993" t="s">
        <v>240</v>
      </c>
      <c r="B86" s="993">
        <v>5</v>
      </c>
      <c r="C86" s="990">
        <v>12300539</v>
      </c>
      <c r="D86" s="990">
        <v>5300000</v>
      </c>
      <c r="E86" s="990">
        <v>2026</v>
      </c>
    </row>
    <row r="87" spans="1:5" ht="15" x14ac:dyDescent="0.25">
      <c r="A87" s="993" t="s">
        <v>241</v>
      </c>
      <c r="B87" s="993">
        <v>6</v>
      </c>
      <c r="C87" s="990">
        <v>12300299</v>
      </c>
      <c r="D87" s="990">
        <v>2900000</v>
      </c>
      <c r="E87" s="990">
        <v>2026</v>
      </c>
    </row>
    <row r="88" spans="1:5" ht="15" x14ac:dyDescent="0.25">
      <c r="A88" s="993" t="s">
        <v>242</v>
      </c>
      <c r="B88" s="993">
        <v>7</v>
      </c>
      <c r="C88" s="990">
        <v>12300257</v>
      </c>
      <c r="D88" s="990">
        <v>2500000</v>
      </c>
      <c r="E88" s="990">
        <v>2026</v>
      </c>
    </row>
    <row r="89" spans="1:5" ht="15" x14ac:dyDescent="0.25">
      <c r="A89" s="993" t="s">
        <v>243</v>
      </c>
      <c r="B89" s="993">
        <v>3</v>
      </c>
      <c r="C89" s="990">
        <v>10434009</v>
      </c>
      <c r="D89" s="990">
        <v>34009</v>
      </c>
      <c r="E89" s="990">
        <v>2026</v>
      </c>
    </row>
    <row r="90" spans="1:5" ht="15" x14ac:dyDescent="0.25">
      <c r="A90" s="993" t="s">
        <v>244</v>
      </c>
      <c r="B90" s="993">
        <v>6</v>
      </c>
      <c r="C90" s="990">
        <v>10465003</v>
      </c>
      <c r="D90" s="990">
        <v>65003</v>
      </c>
      <c r="E90" s="990">
        <v>2026</v>
      </c>
    </row>
    <row r="91" spans="1:5" ht="15" x14ac:dyDescent="0.25">
      <c r="A91" s="993" t="s">
        <v>245</v>
      </c>
      <c r="B91" s="993">
        <v>7</v>
      </c>
      <c r="C91" s="990">
        <v>10466001</v>
      </c>
      <c r="D91" s="990">
        <v>66001</v>
      </c>
      <c r="E91" s="990">
        <v>2026</v>
      </c>
    </row>
    <row r="92" spans="1:5" ht="15" x14ac:dyDescent="0.25">
      <c r="A92" s="993" t="s">
        <v>246</v>
      </c>
      <c r="B92" s="993">
        <v>7</v>
      </c>
      <c r="C92" s="990">
        <v>12300364</v>
      </c>
      <c r="D92" s="990">
        <v>3600000</v>
      </c>
      <c r="E92" s="990">
        <v>2026</v>
      </c>
    </row>
    <row r="93" spans="1:5" ht="15" x14ac:dyDescent="0.25">
      <c r="A93" s="993" t="s">
        <v>247</v>
      </c>
      <c r="B93" s="993">
        <v>8</v>
      </c>
      <c r="C93" s="990">
        <v>12300158</v>
      </c>
      <c r="D93" s="990">
        <v>1500000</v>
      </c>
      <c r="E93" s="990">
        <v>2026</v>
      </c>
    </row>
    <row r="94" spans="1:5" ht="15" x14ac:dyDescent="0.25">
      <c r="A94" s="993" t="s">
        <v>248</v>
      </c>
      <c r="B94" s="993">
        <v>8</v>
      </c>
      <c r="C94" s="990">
        <v>12300190</v>
      </c>
      <c r="D94" s="990">
        <v>1900000</v>
      </c>
      <c r="E94" s="990">
        <v>2026</v>
      </c>
    </row>
    <row r="95" spans="1:5" ht="15" x14ac:dyDescent="0.25">
      <c r="A95" s="993" t="s">
        <v>249</v>
      </c>
      <c r="B95" s="993">
        <v>1</v>
      </c>
      <c r="C95" s="990">
        <v>10413037</v>
      </c>
      <c r="D95" s="990">
        <v>13037</v>
      </c>
      <c r="E95" s="990">
        <v>2026</v>
      </c>
    </row>
    <row r="96" spans="1:5" ht="15" x14ac:dyDescent="0.25">
      <c r="A96" s="993" t="s">
        <v>250</v>
      </c>
      <c r="B96" s="993">
        <v>5</v>
      </c>
      <c r="C96" s="990">
        <v>10404960</v>
      </c>
      <c r="D96" s="990">
        <v>4960</v>
      </c>
      <c r="E96" s="990">
        <v>2026</v>
      </c>
    </row>
    <row r="97" spans="1:5" ht="15" x14ac:dyDescent="0.25">
      <c r="A97" s="993" t="s">
        <v>251</v>
      </c>
      <c r="B97" s="993">
        <v>7</v>
      </c>
      <c r="C97" s="990">
        <v>10440006</v>
      </c>
      <c r="D97" s="990">
        <v>40006</v>
      </c>
      <c r="E97" s="990">
        <v>2026</v>
      </c>
    </row>
    <row r="98" spans="1:5" ht="15" x14ac:dyDescent="0.25">
      <c r="A98" s="993" t="s">
        <v>252</v>
      </c>
      <c r="B98" s="993">
        <v>4</v>
      </c>
      <c r="C98" s="990">
        <v>10420347</v>
      </c>
      <c r="D98" s="990">
        <v>20347</v>
      </c>
      <c r="E98" s="990">
        <v>2026</v>
      </c>
    </row>
    <row r="99" spans="1:5" ht="15" x14ac:dyDescent="0.25">
      <c r="A99" s="993" t="s">
        <v>253</v>
      </c>
      <c r="B99" s="993">
        <v>5</v>
      </c>
      <c r="C99" s="990">
        <v>10412476</v>
      </c>
      <c r="D99" s="990">
        <v>12476</v>
      </c>
      <c r="E99" s="990">
        <v>2026</v>
      </c>
    </row>
    <row r="100" spans="1:5" ht="15" x14ac:dyDescent="0.25">
      <c r="A100" s="993" t="s">
        <v>254</v>
      </c>
      <c r="B100" s="993">
        <v>3</v>
      </c>
      <c r="C100" s="990">
        <v>10467009</v>
      </c>
      <c r="D100" s="990">
        <v>67009</v>
      </c>
      <c r="E100" s="990">
        <v>2026</v>
      </c>
    </row>
    <row r="101" spans="1:5" ht="15" x14ac:dyDescent="0.25">
      <c r="A101" s="993" t="s">
        <v>255</v>
      </c>
      <c r="B101" s="993">
        <v>3</v>
      </c>
      <c r="C101" s="990">
        <v>10409621</v>
      </c>
      <c r="D101" s="990">
        <v>9621</v>
      </c>
      <c r="E101" s="990">
        <v>2026</v>
      </c>
    </row>
    <row r="102" spans="1:5" ht="15" x14ac:dyDescent="0.25">
      <c r="A102" s="993" t="s">
        <v>256</v>
      </c>
      <c r="B102" s="993">
        <v>3</v>
      </c>
      <c r="C102" s="990">
        <v>10404986</v>
      </c>
      <c r="D102" s="990">
        <v>4986</v>
      </c>
      <c r="E102" s="990">
        <v>2026</v>
      </c>
    </row>
    <row r="103" spans="1:5" ht="15" x14ac:dyDescent="0.25">
      <c r="A103" s="993" t="s">
        <v>257</v>
      </c>
      <c r="B103" s="993">
        <v>3</v>
      </c>
      <c r="C103" s="990">
        <v>10427300</v>
      </c>
      <c r="D103" s="990">
        <v>27300</v>
      </c>
      <c r="E103" s="990">
        <v>2026</v>
      </c>
    </row>
    <row r="104" spans="1:5" ht="15" x14ac:dyDescent="0.25">
      <c r="A104" s="993" t="s">
        <v>258</v>
      </c>
      <c r="B104" s="993">
        <v>5</v>
      </c>
      <c r="C104" s="990">
        <v>10427201</v>
      </c>
      <c r="D104" s="990">
        <v>27201</v>
      </c>
      <c r="E104" s="990">
        <v>2026</v>
      </c>
    </row>
    <row r="105" spans="1:5" ht="15" x14ac:dyDescent="0.25">
      <c r="A105" s="993" t="s">
        <v>259</v>
      </c>
      <c r="B105" s="993">
        <v>6</v>
      </c>
      <c r="C105" s="990">
        <v>10421006</v>
      </c>
      <c r="D105" s="990">
        <v>21006</v>
      </c>
      <c r="E105" s="990">
        <v>2026</v>
      </c>
    </row>
    <row r="106" spans="1:5" ht="15" x14ac:dyDescent="0.25">
      <c r="A106" s="993" t="s">
        <v>260</v>
      </c>
      <c r="B106" s="993">
        <v>3</v>
      </c>
      <c r="C106" s="990">
        <v>10489003</v>
      </c>
      <c r="D106" s="990">
        <v>89003</v>
      </c>
      <c r="E106" s="990">
        <v>2026</v>
      </c>
    </row>
    <row r="107" spans="1:5" ht="15" x14ac:dyDescent="0.25">
      <c r="A107" s="993" t="s">
        <v>261</v>
      </c>
      <c r="B107" s="993">
        <v>2</v>
      </c>
      <c r="C107" s="990">
        <v>10400463</v>
      </c>
      <c r="D107" s="990">
        <v>463</v>
      </c>
      <c r="E107" s="990">
        <v>2026</v>
      </c>
    </row>
    <row r="108" spans="1:5" ht="15" x14ac:dyDescent="0.25">
      <c r="A108" s="993" t="s">
        <v>262</v>
      </c>
      <c r="B108" s="993">
        <v>7</v>
      </c>
      <c r="C108" s="990">
        <v>10426609</v>
      </c>
      <c r="D108" s="990">
        <v>26609</v>
      </c>
      <c r="E108" s="990">
        <v>2026</v>
      </c>
    </row>
    <row r="109" spans="1:5" ht="15" x14ac:dyDescent="0.25">
      <c r="A109" s="993" t="s">
        <v>263</v>
      </c>
      <c r="B109" s="993">
        <v>7</v>
      </c>
      <c r="C109" s="990">
        <v>10413573</v>
      </c>
      <c r="D109" s="990">
        <v>13573</v>
      </c>
      <c r="E109" s="990">
        <v>2026</v>
      </c>
    </row>
    <row r="110" spans="1:5" ht="15" x14ac:dyDescent="0.25">
      <c r="A110" s="993" t="s">
        <v>264</v>
      </c>
      <c r="B110" s="993">
        <v>8</v>
      </c>
      <c r="C110" s="990">
        <v>12300356</v>
      </c>
      <c r="D110" s="990">
        <v>3500000</v>
      </c>
      <c r="E110" s="990">
        <v>2026</v>
      </c>
    </row>
    <row r="111" spans="1:5" ht="15" x14ac:dyDescent="0.25">
      <c r="A111" s="993" t="s">
        <v>265</v>
      </c>
      <c r="B111" s="993">
        <v>4</v>
      </c>
      <c r="C111" s="990">
        <v>10412955</v>
      </c>
      <c r="D111" s="990">
        <v>12955</v>
      </c>
      <c r="E111" s="990">
        <v>2026</v>
      </c>
    </row>
    <row r="112" spans="1:5" ht="15" x14ac:dyDescent="0.25">
      <c r="A112" s="993" t="s">
        <v>266</v>
      </c>
      <c r="B112" s="993">
        <v>7</v>
      </c>
      <c r="C112" s="990">
        <v>10400299</v>
      </c>
      <c r="D112" s="990">
        <v>299</v>
      </c>
      <c r="E112" s="990">
        <v>2026</v>
      </c>
    </row>
    <row r="113" spans="1:5" ht="15" x14ac:dyDescent="0.25">
      <c r="A113" s="993" t="s">
        <v>267</v>
      </c>
      <c r="B113" s="993">
        <v>3</v>
      </c>
      <c r="C113" s="990">
        <v>10404994</v>
      </c>
      <c r="D113" s="990">
        <v>4994</v>
      </c>
      <c r="E113" s="990">
        <v>2026</v>
      </c>
    </row>
    <row r="114" spans="1:5" ht="15" x14ac:dyDescent="0.25">
      <c r="A114" s="993" t="s">
        <v>268</v>
      </c>
      <c r="B114" s="993">
        <v>7</v>
      </c>
      <c r="C114" s="990">
        <v>10402402</v>
      </c>
      <c r="D114" s="990">
        <v>2402</v>
      </c>
      <c r="E114" s="990">
        <v>2026</v>
      </c>
    </row>
    <row r="115" spans="1:5" ht="15" x14ac:dyDescent="0.25">
      <c r="A115" s="993" t="s">
        <v>269</v>
      </c>
      <c r="B115" s="993">
        <v>4</v>
      </c>
      <c r="C115" s="990">
        <v>10408318</v>
      </c>
      <c r="D115" s="990">
        <v>8318</v>
      </c>
      <c r="E115" s="990">
        <v>2026</v>
      </c>
    </row>
    <row r="116" spans="1:5" ht="15" x14ac:dyDescent="0.25">
      <c r="A116" s="993" t="s">
        <v>270</v>
      </c>
      <c r="B116" s="993">
        <v>2</v>
      </c>
      <c r="C116" s="990">
        <v>10430007</v>
      </c>
      <c r="D116" s="990">
        <v>30007</v>
      </c>
      <c r="E116" s="990">
        <v>2026</v>
      </c>
    </row>
    <row r="117" spans="1:5" ht="15" x14ac:dyDescent="0.25">
      <c r="A117" s="993" t="s">
        <v>271</v>
      </c>
      <c r="B117" s="993">
        <v>3</v>
      </c>
      <c r="C117" s="990">
        <v>10405025</v>
      </c>
      <c r="D117" s="990">
        <v>5025</v>
      </c>
      <c r="E117" s="990">
        <v>2026</v>
      </c>
    </row>
    <row r="118" spans="1:5" ht="15" x14ac:dyDescent="0.25">
      <c r="A118" s="993" t="s">
        <v>272</v>
      </c>
      <c r="B118" s="993">
        <v>3</v>
      </c>
      <c r="C118" s="990">
        <v>10405041</v>
      </c>
      <c r="D118" s="990">
        <v>5041</v>
      </c>
      <c r="E118" s="990">
        <v>2026</v>
      </c>
    </row>
    <row r="119" spans="1:5" ht="15" x14ac:dyDescent="0.25">
      <c r="A119" s="993" t="s">
        <v>273</v>
      </c>
      <c r="B119" s="993">
        <v>5</v>
      </c>
      <c r="C119" s="990">
        <v>10405058</v>
      </c>
      <c r="D119" s="990">
        <v>5058</v>
      </c>
      <c r="E119" s="990">
        <v>2026</v>
      </c>
    </row>
    <row r="120" spans="1:5" ht="15" x14ac:dyDescent="0.25">
      <c r="A120" s="993" t="s">
        <v>274</v>
      </c>
      <c r="B120" s="993">
        <v>9</v>
      </c>
      <c r="C120" s="990">
        <v>10412245</v>
      </c>
      <c r="D120" s="990">
        <v>12245</v>
      </c>
      <c r="E120" s="990">
        <v>2026</v>
      </c>
    </row>
    <row r="121" spans="1:5" ht="15" x14ac:dyDescent="0.25">
      <c r="A121" s="993" t="s">
        <v>275</v>
      </c>
      <c r="B121" s="993">
        <v>1</v>
      </c>
      <c r="C121" s="990">
        <v>10410595</v>
      </c>
      <c r="D121" s="990">
        <v>10595</v>
      </c>
      <c r="E121" s="990">
        <v>2026</v>
      </c>
    </row>
    <row r="122" spans="1:5" ht="15" x14ac:dyDescent="0.25">
      <c r="A122" s="993" t="s">
        <v>276</v>
      </c>
      <c r="B122" s="993">
        <v>3</v>
      </c>
      <c r="C122" s="990">
        <v>10412963</v>
      </c>
      <c r="D122" s="990">
        <v>12963</v>
      </c>
      <c r="E122" s="990">
        <v>2026</v>
      </c>
    </row>
    <row r="123" spans="1:5" ht="15" x14ac:dyDescent="0.25">
      <c r="A123" s="993" t="s">
        <v>277</v>
      </c>
      <c r="B123" s="993">
        <v>3</v>
      </c>
      <c r="C123" s="990">
        <v>10409787</v>
      </c>
      <c r="D123" s="990">
        <v>9787</v>
      </c>
      <c r="E123" s="990">
        <v>2026</v>
      </c>
    </row>
    <row r="124" spans="1:5" ht="15" x14ac:dyDescent="0.25">
      <c r="A124" s="993" t="s">
        <v>278</v>
      </c>
      <c r="B124" s="993">
        <v>4</v>
      </c>
      <c r="C124" s="990">
        <v>10406338</v>
      </c>
      <c r="D124" s="990">
        <v>6338</v>
      </c>
      <c r="E124" s="990">
        <v>2026</v>
      </c>
    </row>
    <row r="125" spans="1:5" ht="15" x14ac:dyDescent="0.25">
      <c r="A125" s="993" t="s">
        <v>279</v>
      </c>
      <c r="B125" s="993">
        <v>9</v>
      </c>
      <c r="C125" s="990">
        <v>10412633</v>
      </c>
      <c r="D125" s="990">
        <v>12633</v>
      </c>
      <c r="E125" s="990">
        <v>2026</v>
      </c>
    </row>
    <row r="126" spans="1:5" ht="15" x14ac:dyDescent="0.25">
      <c r="A126" s="993" t="s">
        <v>280</v>
      </c>
      <c r="B126" s="993">
        <v>5</v>
      </c>
      <c r="C126" s="990">
        <v>10405074</v>
      </c>
      <c r="D126" s="990">
        <v>5074</v>
      </c>
      <c r="E126" s="990">
        <v>2026</v>
      </c>
    </row>
    <row r="127" spans="1:5" ht="15" x14ac:dyDescent="0.25">
      <c r="A127" s="993" t="s">
        <v>281</v>
      </c>
      <c r="B127" s="993">
        <v>7</v>
      </c>
      <c r="C127" s="990">
        <v>10401685</v>
      </c>
      <c r="D127" s="990">
        <v>1685</v>
      </c>
      <c r="E127" s="990">
        <v>2026</v>
      </c>
    </row>
    <row r="128" spans="1:5" ht="15" x14ac:dyDescent="0.25">
      <c r="A128" s="993" t="s">
        <v>282</v>
      </c>
      <c r="B128" s="993">
        <v>3</v>
      </c>
      <c r="C128" s="990">
        <v>10405090</v>
      </c>
      <c r="D128" s="990">
        <v>5090</v>
      </c>
      <c r="E128" s="990">
        <v>2026</v>
      </c>
    </row>
    <row r="129" spans="1:5" ht="15" x14ac:dyDescent="0.25">
      <c r="A129" s="994" t="s">
        <v>283</v>
      </c>
      <c r="B129" s="993">
        <v>2</v>
      </c>
      <c r="C129" s="990">
        <v>10405108</v>
      </c>
      <c r="D129" s="990">
        <v>5108</v>
      </c>
      <c r="E129" s="990">
        <v>2026</v>
      </c>
    </row>
    <row r="130" spans="1:5" ht="15" x14ac:dyDescent="0.25">
      <c r="A130" s="993" t="s">
        <v>284</v>
      </c>
      <c r="B130" s="993">
        <v>8</v>
      </c>
      <c r="C130" s="990">
        <v>10469005</v>
      </c>
      <c r="D130" s="990">
        <v>69005</v>
      </c>
      <c r="E130" s="990">
        <v>2026</v>
      </c>
    </row>
    <row r="131" spans="1:5" ht="15" x14ac:dyDescent="0.25">
      <c r="A131" s="993" t="s">
        <v>285</v>
      </c>
      <c r="B131" s="993">
        <v>4</v>
      </c>
      <c r="C131" s="990">
        <v>10406346</v>
      </c>
      <c r="D131" s="990">
        <v>6346</v>
      </c>
      <c r="E131" s="990">
        <v>2026</v>
      </c>
    </row>
    <row r="132" spans="1:5" ht="15" x14ac:dyDescent="0.25">
      <c r="A132" s="993" t="s">
        <v>286</v>
      </c>
      <c r="B132" s="993">
        <v>6</v>
      </c>
      <c r="C132" s="990">
        <v>10405082</v>
      </c>
      <c r="D132" s="990">
        <v>5082</v>
      </c>
      <c r="E132" s="990">
        <v>2026</v>
      </c>
    </row>
    <row r="133" spans="1:5" ht="15" x14ac:dyDescent="0.25">
      <c r="A133" s="993" t="s">
        <v>287</v>
      </c>
      <c r="B133" s="993">
        <v>5</v>
      </c>
      <c r="C133" s="990">
        <v>10406544</v>
      </c>
      <c r="D133" s="990">
        <v>6544</v>
      </c>
      <c r="E133" s="990">
        <v>2026</v>
      </c>
    </row>
    <row r="134" spans="1:5" ht="15" x14ac:dyDescent="0.25">
      <c r="A134" s="993" t="s">
        <v>288</v>
      </c>
      <c r="B134" s="993">
        <v>10</v>
      </c>
      <c r="C134" s="990">
        <v>10402675</v>
      </c>
      <c r="D134" s="990">
        <v>2675</v>
      </c>
      <c r="E134" s="990">
        <v>2026</v>
      </c>
    </row>
    <row r="135" spans="1:5" ht="15" x14ac:dyDescent="0.25">
      <c r="A135" s="993" t="s">
        <v>289</v>
      </c>
      <c r="B135" s="993">
        <v>8</v>
      </c>
      <c r="C135" s="990">
        <v>10400471</v>
      </c>
      <c r="D135" s="990">
        <v>471</v>
      </c>
      <c r="E135" s="990">
        <v>2026</v>
      </c>
    </row>
    <row r="136" spans="1:5" ht="15" x14ac:dyDescent="0.25">
      <c r="A136" s="993" t="s">
        <v>290</v>
      </c>
      <c r="B136" s="993">
        <v>5</v>
      </c>
      <c r="C136" s="990">
        <v>10411395</v>
      </c>
      <c r="D136" s="990">
        <v>11395</v>
      </c>
      <c r="E136" s="990">
        <v>2026</v>
      </c>
    </row>
    <row r="137" spans="1:5" ht="15" x14ac:dyDescent="0.25">
      <c r="A137" s="993" t="s">
        <v>291</v>
      </c>
      <c r="B137" s="993">
        <v>8</v>
      </c>
      <c r="C137" s="990">
        <v>12300182</v>
      </c>
      <c r="D137" s="990">
        <v>1800000</v>
      </c>
      <c r="E137" s="990">
        <v>2026</v>
      </c>
    </row>
    <row r="138" spans="1:5" ht="15" x14ac:dyDescent="0.25">
      <c r="A138" s="993" t="s">
        <v>292</v>
      </c>
      <c r="B138" s="993">
        <v>9</v>
      </c>
      <c r="C138" s="990">
        <v>10412716</v>
      </c>
      <c r="D138" s="990">
        <v>12716</v>
      </c>
      <c r="E138" s="990">
        <v>2026</v>
      </c>
    </row>
    <row r="139" spans="1:5" ht="15" x14ac:dyDescent="0.25">
      <c r="A139" s="993" t="s">
        <v>293</v>
      </c>
      <c r="B139" s="993">
        <v>3</v>
      </c>
      <c r="C139" s="990">
        <v>10470003</v>
      </c>
      <c r="D139" s="990">
        <v>70003</v>
      </c>
      <c r="E139" s="990">
        <v>2026</v>
      </c>
    </row>
    <row r="140" spans="1:5" ht="15" x14ac:dyDescent="0.25">
      <c r="A140" s="993" t="s">
        <v>294</v>
      </c>
      <c r="B140" s="993">
        <v>7</v>
      </c>
      <c r="C140" s="990">
        <v>12300505</v>
      </c>
      <c r="D140" s="990">
        <v>5000000</v>
      </c>
      <c r="E140" s="990">
        <v>2026</v>
      </c>
    </row>
    <row r="141" spans="1:5" ht="15" x14ac:dyDescent="0.25">
      <c r="A141" s="993" t="s">
        <v>295</v>
      </c>
      <c r="B141" s="993">
        <v>2</v>
      </c>
      <c r="C141" s="990">
        <v>10410603</v>
      </c>
      <c r="D141" s="990">
        <v>10603</v>
      </c>
      <c r="E141" s="990">
        <v>2026</v>
      </c>
    </row>
    <row r="142" spans="1:5" ht="15" x14ac:dyDescent="0.25">
      <c r="A142" s="993" t="s">
        <v>296</v>
      </c>
      <c r="B142" s="993">
        <v>7</v>
      </c>
      <c r="C142" s="990">
        <v>12300554</v>
      </c>
      <c r="D142" s="990">
        <v>5500000</v>
      </c>
      <c r="E142" s="990">
        <v>2026</v>
      </c>
    </row>
    <row r="143" spans="1:5" ht="15" x14ac:dyDescent="0.25">
      <c r="A143" s="993" t="s">
        <v>297</v>
      </c>
      <c r="B143" s="993">
        <v>8</v>
      </c>
      <c r="C143" s="990">
        <v>10410157</v>
      </c>
      <c r="D143" s="990">
        <v>10157</v>
      </c>
      <c r="E143" s="990">
        <v>2026</v>
      </c>
    </row>
    <row r="144" spans="1:5" ht="15" x14ac:dyDescent="0.25">
      <c r="A144" s="993" t="s">
        <v>298</v>
      </c>
      <c r="B144" s="993">
        <v>3</v>
      </c>
      <c r="C144" s="990">
        <v>10404812</v>
      </c>
      <c r="D144" s="990">
        <v>4812</v>
      </c>
      <c r="E144" s="990">
        <v>2026</v>
      </c>
    </row>
    <row r="145" spans="1:5" ht="15" x14ac:dyDescent="0.25">
      <c r="A145" s="993" t="s">
        <v>299</v>
      </c>
      <c r="B145" s="993">
        <v>3</v>
      </c>
      <c r="C145" s="990">
        <v>10405165</v>
      </c>
      <c r="D145" s="990">
        <v>5165</v>
      </c>
      <c r="E145" s="990">
        <v>2026</v>
      </c>
    </row>
    <row r="146" spans="1:5" ht="15" x14ac:dyDescent="0.25">
      <c r="A146" s="993" t="s">
        <v>300</v>
      </c>
      <c r="B146" s="993">
        <v>3</v>
      </c>
      <c r="C146" s="990">
        <v>10442010</v>
      </c>
      <c r="D146" s="990">
        <v>42010</v>
      </c>
      <c r="E146" s="990">
        <v>2026</v>
      </c>
    </row>
    <row r="147" spans="1:5" ht="15" x14ac:dyDescent="0.25">
      <c r="A147" s="993" t="s">
        <v>301</v>
      </c>
      <c r="B147" s="993">
        <v>5</v>
      </c>
      <c r="C147" s="990">
        <v>10400653</v>
      </c>
      <c r="D147" s="990">
        <v>653</v>
      </c>
      <c r="E147" s="990">
        <v>2026</v>
      </c>
    </row>
    <row r="148" spans="1:5" ht="15" x14ac:dyDescent="0.25">
      <c r="A148" s="993" t="s">
        <v>302</v>
      </c>
      <c r="B148" s="993">
        <v>4</v>
      </c>
      <c r="C148" s="990">
        <v>10408748</v>
      </c>
      <c r="D148" s="990">
        <v>8748</v>
      </c>
      <c r="E148" s="990">
        <v>2026</v>
      </c>
    </row>
    <row r="149" spans="1:5" ht="15" x14ac:dyDescent="0.25">
      <c r="A149" s="993" t="s">
        <v>303</v>
      </c>
      <c r="B149" s="993">
        <v>7</v>
      </c>
      <c r="C149" s="990">
        <v>12300133</v>
      </c>
      <c r="D149" s="990">
        <v>1300000</v>
      </c>
      <c r="E149" s="990">
        <v>2026</v>
      </c>
    </row>
    <row r="150" spans="1:5" ht="15" x14ac:dyDescent="0.25">
      <c r="A150" s="993" t="s">
        <v>304</v>
      </c>
      <c r="B150" s="993">
        <v>7</v>
      </c>
      <c r="C150" s="990">
        <v>12300745</v>
      </c>
      <c r="D150" s="990">
        <v>7400000</v>
      </c>
      <c r="E150" s="990">
        <v>2026</v>
      </c>
    </row>
    <row r="151" spans="1:5" ht="15" x14ac:dyDescent="0.25">
      <c r="A151" s="993" t="s">
        <v>305</v>
      </c>
      <c r="B151" s="993">
        <v>8</v>
      </c>
      <c r="C151" s="990">
        <v>10413516</v>
      </c>
      <c r="D151" s="990">
        <v>13516</v>
      </c>
      <c r="E151" s="990">
        <v>2026</v>
      </c>
    </row>
    <row r="152" spans="1:5" ht="15" x14ac:dyDescent="0.25">
      <c r="A152" s="993" t="s">
        <v>306</v>
      </c>
      <c r="B152" s="993">
        <v>1</v>
      </c>
      <c r="C152" s="990">
        <v>10437978</v>
      </c>
      <c r="D152" s="990">
        <v>37978</v>
      </c>
      <c r="E152" s="990">
        <v>2026</v>
      </c>
    </row>
    <row r="153" spans="1:5" ht="15" x14ac:dyDescent="0.25">
      <c r="A153" s="993" t="s">
        <v>307</v>
      </c>
      <c r="B153" s="993">
        <v>8</v>
      </c>
      <c r="C153" s="990">
        <v>10400281</v>
      </c>
      <c r="D153" s="990">
        <v>281</v>
      </c>
      <c r="E153" s="990">
        <v>2026</v>
      </c>
    </row>
    <row r="154" spans="1:5" ht="15" x14ac:dyDescent="0.25">
      <c r="A154" s="993" t="s">
        <v>308</v>
      </c>
      <c r="B154" s="993">
        <v>4</v>
      </c>
      <c r="C154" s="990">
        <v>10405173</v>
      </c>
      <c r="D154" s="990">
        <v>5173</v>
      </c>
      <c r="E154" s="990">
        <v>2026</v>
      </c>
    </row>
    <row r="155" spans="1:5" ht="15" x14ac:dyDescent="0.25">
      <c r="A155" s="993" t="s">
        <v>309</v>
      </c>
      <c r="B155" s="993">
        <v>7</v>
      </c>
      <c r="C155" s="990">
        <v>12300042</v>
      </c>
      <c r="D155" s="990">
        <v>400000</v>
      </c>
      <c r="E155" s="990">
        <v>2026</v>
      </c>
    </row>
    <row r="156" spans="1:5" ht="15" x14ac:dyDescent="0.25">
      <c r="A156" s="993" t="s">
        <v>310</v>
      </c>
      <c r="B156" s="993">
        <v>5</v>
      </c>
      <c r="C156" s="990">
        <v>12300737</v>
      </c>
      <c r="D156" s="990">
        <v>7300000</v>
      </c>
      <c r="E156" s="990">
        <v>2026</v>
      </c>
    </row>
    <row r="157" spans="1:5" ht="15" x14ac:dyDescent="0.25">
      <c r="A157" s="993" t="s">
        <v>311</v>
      </c>
      <c r="B157" s="993">
        <v>7</v>
      </c>
      <c r="C157" s="990">
        <v>12300265</v>
      </c>
      <c r="D157" s="990">
        <v>2600000</v>
      </c>
      <c r="E157" s="990">
        <v>2026</v>
      </c>
    </row>
    <row r="158" spans="1:5" ht="15" x14ac:dyDescent="0.25">
      <c r="A158" s="993" t="s">
        <v>312</v>
      </c>
      <c r="B158" s="993">
        <v>7</v>
      </c>
      <c r="C158" s="990">
        <v>10400430</v>
      </c>
      <c r="D158" s="990">
        <v>430</v>
      </c>
      <c r="E158" s="990">
        <v>2026</v>
      </c>
    </row>
    <row r="159" spans="1:5" ht="15" x14ac:dyDescent="0.25">
      <c r="A159" s="993" t="s">
        <v>313</v>
      </c>
      <c r="B159" s="993">
        <v>9</v>
      </c>
      <c r="C159" s="990">
        <v>10412682</v>
      </c>
      <c r="D159" s="990">
        <v>12682</v>
      </c>
      <c r="E159" s="990">
        <v>2026</v>
      </c>
    </row>
    <row r="160" spans="1:5" ht="15" x14ac:dyDescent="0.25">
      <c r="A160" s="993" t="s">
        <v>314</v>
      </c>
      <c r="B160" s="993">
        <v>7</v>
      </c>
      <c r="C160" s="990">
        <v>12300141</v>
      </c>
      <c r="D160" s="990">
        <v>1400000</v>
      </c>
      <c r="E160" s="990">
        <v>2026</v>
      </c>
    </row>
    <row r="161" spans="1:5" ht="15" x14ac:dyDescent="0.25">
      <c r="A161" s="993" t="s">
        <v>315</v>
      </c>
      <c r="B161" s="993">
        <v>3</v>
      </c>
      <c r="C161" s="990">
        <v>10442036</v>
      </c>
      <c r="D161" s="990">
        <v>42036</v>
      </c>
      <c r="E161" s="990">
        <v>2026</v>
      </c>
    </row>
    <row r="162" spans="1:5" ht="15" x14ac:dyDescent="0.25">
      <c r="A162" s="993" t="s">
        <v>316</v>
      </c>
      <c r="B162" s="993">
        <v>7</v>
      </c>
      <c r="C162" s="990">
        <v>10405181</v>
      </c>
      <c r="D162" s="990">
        <v>5181</v>
      </c>
      <c r="E162" s="990">
        <v>2026</v>
      </c>
    </row>
    <row r="163" spans="1:5" ht="15" x14ac:dyDescent="0.25">
      <c r="A163" s="993" t="s">
        <v>317</v>
      </c>
      <c r="B163" s="993">
        <v>6</v>
      </c>
      <c r="C163" s="990">
        <v>10436160</v>
      </c>
      <c r="D163" s="990">
        <v>36160</v>
      </c>
      <c r="E163" s="990">
        <v>2026</v>
      </c>
    </row>
    <row r="164" spans="1:5" ht="15" x14ac:dyDescent="0.25">
      <c r="A164" s="993" t="s">
        <v>318</v>
      </c>
      <c r="B164" s="993">
        <v>3</v>
      </c>
      <c r="C164" s="990">
        <v>10436087</v>
      </c>
      <c r="D164" s="990">
        <v>36087</v>
      </c>
      <c r="E164" s="990">
        <v>2026</v>
      </c>
    </row>
    <row r="165" spans="1:5" ht="15" x14ac:dyDescent="0.25">
      <c r="A165" s="993" t="s">
        <v>319</v>
      </c>
      <c r="B165" s="993">
        <v>7</v>
      </c>
      <c r="C165" s="990">
        <v>12300521</v>
      </c>
      <c r="D165" s="990">
        <v>5200000</v>
      </c>
      <c r="E165" s="990">
        <v>2026</v>
      </c>
    </row>
    <row r="166" spans="1:5" ht="15" x14ac:dyDescent="0.25">
      <c r="A166" s="993" t="s">
        <v>320</v>
      </c>
      <c r="B166" s="993">
        <v>3</v>
      </c>
      <c r="C166" s="990">
        <v>10413276</v>
      </c>
      <c r="D166" s="990">
        <v>13276</v>
      </c>
      <c r="E166" s="990">
        <v>2026</v>
      </c>
    </row>
    <row r="167" spans="1:5" ht="15" x14ac:dyDescent="0.25">
      <c r="A167" s="993" t="s">
        <v>321</v>
      </c>
      <c r="B167" s="993">
        <v>5</v>
      </c>
      <c r="C167" s="990">
        <v>10410637</v>
      </c>
      <c r="D167" s="990">
        <v>10637</v>
      </c>
      <c r="E167" s="990">
        <v>2026</v>
      </c>
    </row>
    <row r="168" spans="1:5" ht="15" x14ac:dyDescent="0.25">
      <c r="A168" s="993" t="s">
        <v>322</v>
      </c>
      <c r="B168" s="993">
        <v>3</v>
      </c>
      <c r="C168" s="990">
        <v>10400992</v>
      </c>
      <c r="D168" s="990">
        <v>992</v>
      </c>
      <c r="E168" s="990">
        <v>2026</v>
      </c>
    </row>
    <row r="169" spans="1:5" ht="15" x14ac:dyDescent="0.25">
      <c r="A169" s="993" t="s">
        <v>323</v>
      </c>
      <c r="B169" s="993">
        <v>5</v>
      </c>
      <c r="C169" s="990">
        <v>12300026</v>
      </c>
      <c r="D169" s="990">
        <v>200000</v>
      </c>
      <c r="E169" s="990">
        <v>2026</v>
      </c>
    </row>
    <row r="170" spans="1:5" ht="15" x14ac:dyDescent="0.25">
      <c r="A170" s="993" t="s">
        <v>324</v>
      </c>
      <c r="B170" s="993">
        <v>6</v>
      </c>
      <c r="C170" s="990">
        <v>12300422</v>
      </c>
      <c r="D170" s="990">
        <v>4200000</v>
      </c>
      <c r="E170" s="990">
        <v>2026</v>
      </c>
    </row>
    <row r="171" spans="1:5" ht="15" x14ac:dyDescent="0.25">
      <c r="A171" s="993" t="s">
        <v>325</v>
      </c>
      <c r="B171" s="993">
        <v>7</v>
      </c>
      <c r="C171" s="990">
        <v>12300562</v>
      </c>
      <c r="D171" s="990">
        <v>5600000</v>
      </c>
      <c r="E171" s="990">
        <v>2026</v>
      </c>
    </row>
    <row r="172" spans="1:5" ht="15" x14ac:dyDescent="0.25">
      <c r="A172" s="993" t="s">
        <v>326</v>
      </c>
      <c r="B172" s="993">
        <v>3</v>
      </c>
      <c r="C172" s="990">
        <v>10405207</v>
      </c>
      <c r="D172" s="990">
        <v>5207</v>
      </c>
      <c r="E172" s="990">
        <v>2026</v>
      </c>
    </row>
    <row r="173" spans="1:5" ht="15" x14ac:dyDescent="0.25">
      <c r="A173" s="993" t="s">
        <v>327</v>
      </c>
      <c r="B173" s="993">
        <v>6</v>
      </c>
      <c r="C173" s="990">
        <v>10491009</v>
      </c>
      <c r="D173" s="990">
        <v>91009</v>
      </c>
      <c r="E173" s="990">
        <v>2026</v>
      </c>
    </row>
    <row r="174" spans="1:5" ht="15" x14ac:dyDescent="0.25">
      <c r="A174" s="993" t="s">
        <v>328</v>
      </c>
      <c r="B174" s="993">
        <v>1</v>
      </c>
      <c r="C174" s="990">
        <v>12300687</v>
      </c>
      <c r="D174" s="990">
        <v>6800000</v>
      </c>
      <c r="E174" s="990">
        <v>2026</v>
      </c>
    </row>
    <row r="175" spans="1:5" ht="15" x14ac:dyDescent="0.25">
      <c r="A175" s="993" t="s">
        <v>329</v>
      </c>
      <c r="B175" s="993">
        <v>5</v>
      </c>
      <c r="C175" s="990">
        <v>10410611</v>
      </c>
      <c r="D175" s="990">
        <v>10611</v>
      </c>
      <c r="E175" s="990">
        <v>2026</v>
      </c>
    </row>
    <row r="176" spans="1:5" ht="15" x14ac:dyDescent="0.25">
      <c r="A176" s="993" t="s">
        <v>330</v>
      </c>
      <c r="B176" s="993">
        <v>5</v>
      </c>
      <c r="C176" s="990">
        <v>12300315</v>
      </c>
      <c r="D176" s="990">
        <v>3100000</v>
      </c>
      <c r="E176" s="990">
        <v>2026</v>
      </c>
    </row>
    <row r="177" spans="1:5" ht="15" x14ac:dyDescent="0.25">
      <c r="A177" s="993" t="s">
        <v>331</v>
      </c>
      <c r="B177" s="993">
        <v>3</v>
      </c>
      <c r="C177" s="990">
        <v>10405223</v>
      </c>
      <c r="D177" s="990">
        <v>5223</v>
      </c>
      <c r="E177" s="990">
        <v>2026</v>
      </c>
    </row>
    <row r="178" spans="1:5" ht="15" x14ac:dyDescent="0.25">
      <c r="A178" s="993" t="s">
        <v>332</v>
      </c>
      <c r="B178" s="993">
        <v>8</v>
      </c>
      <c r="C178" s="990">
        <v>10472009</v>
      </c>
      <c r="D178" s="990">
        <v>72009</v>
      </c>
      <c r="E178" s="990">
        <v>2026</v>
      </c>
    </row>
    <row r="179" spans="1:5" ht="15" x14ac:dyDescent="0.25">
      <c r="A179" s="993" t="s">
        <v>333</v>
      </c>
      <c r="B179" s="993">
        <v>3</v>
      </c>
      <c r="C179" s="990">
        <v>10473007</v>
      </c>
      <c r="D179" s="990">
        <v>73007</v>
      </c>
      <c r="E179" s="990">
        <v>2026</v>
      </c>
    </row>
    <row r="180" spans="1:5" ht="15" x14ac:dyDescent="0.25">
      <c r="A180" s="993" t="s">
        <v>334</v>
      </c>
      <c r="B180" s="993">
        <v>7</v>
      </c>
      <c r="C180" s="990">
        <v>10425007</v>
      </c>
      <c r="D180" s="990">
        <v>25007</v>
      </c>
      <c r="E180" s="990">
        <v>2026</v>
      </c>
    </row>
    <row r="181" spans="1:5" ht="15" x14ac:dyDescent="0.25">
      <c r="A181" s="993" t="s">
        <v>335</v>
      </c>
      <c r="B181" s="993">
        <v>3</v>
      </c>
      <c r="C181" s="990">
        <v>10402469</v>
      </c>
      <c r="D181" s="990">
        <v>2469</v>
      </c>
      <c r="E181" s="990">
        <v>2026</v>
      </c>
    </row>
    <row r="182" spans="1:5" ht="15" x14ac:dyDescent="0.25">
      <c r="A182" s="993" t="s">
        <v>336</v>
      </c>
      <c r="B182" s="993">
        <v>6</v>
      </c>
      <c r="C182" s="990">
        <v>10474005</v>
      </c>
      <c r="D182" s="990">
        <v>74005</v>
      </c>
      <c r="E182" s="990">
        <v>2026</v>
      </c>
    </row>
    <row r="183" spans="1:5" ht="15" x14ac:dyDescent="0.25">
      <c r="A183" s="993" t="s">
        <v>337</v>
      </c>
      <c r="B183" s="993">
        <v>4</v>
      </c>
      <c r="C183" s="990">
        <v>10405256</v>
      </c>
      <c r="D183" s="990">
        <v>5256</v>
      </c>
      <c r="E183" s="990">
        <v>2026</v>
      </c>
    </row>
    <row r="184" spans="1:5" ht="15" x14ac:dyDescent="0.25">
      <c r="A184" s="993" t="s">
        <v>338</v>
      </c>
      <c r="B184" s="993">
        <v>10</v>
      </c>
      <c r="C184" s="990">
        <v>10405876</v>
      </c>
      <c r="D184" s="990">
        <v>5876</v>
      </c>
      <c r="E184" s="990">
        <v>2026</v>
      </c>
    </row>
    <row r="185" spans="1:5" ht="15" x14ac:dyDescent="0.25">
      <c r="A185" s="993" t="s">
        <v>339</v>
      </c>
      <c r="B185" s="993">
        <v>4</v>
      </c>
      <c r="C185" s="990">
        <v>10475002</v>
      </c>
      <c r="D185" s="990">
        <v>75002</v>
      </c>
      <c r="E185" s="990">
        <v>2026</v>
      </c>
    </row>
    <row r="186" spans="1:5" ht="15" x14ac:dyDescent="0.25">
      <c r="A186" s="993" t="s">
        <v>340</v>
      </c>
      <c r="B186" s="993">
        <v>3</v>
      </c>
      <c r="C186" s="990">
        <v>10445013</v>
      </c>
      <c r="D186" s="990">
        <v>45013</v>
      </c>
      <c r="E186" s="990">
        <v>2026</v>
      </c>
    </row>
    <row r="187" spans="1:5" ht="15" x14ac:dyDescent="0.25">
      <c r="A187" s="993" t="s">
        <v>341</v>
      </c>
      <c r="B187" s="993">
        <v>9</v>
      </c>
      <c r="C187" s="990">
        <v>10406668</v>
      </c>
      <c r="D187" s="990">
        <v>6668</v>
      </c>
      <c r="E187" s="990">
        <v>2026</v>
      </c>
    </row>
    <row r="188" spans="1:5" ht="15" x14ac:dyDescent="0.25">
      <c r="A188" s="993" t="s">
        <v>342</v>
      </c>
      <c r="B188" s="993">
        <v>5</v>
      </c>
      <c r="C188" s="990">
        <v>10405306</v>
      </c>
      <c r="D188" s="990">
        <v>5306</v>
      </c>
      <c r="E188" s="990">
        <v>2026</v>
      </c>
    </row>
    <row r="189" spans="1:5" ht="15" x14ac:dyDescent="0.25">
      <c r="A189" s="993" t="s">
        <v>343</v>
      </c>
      <c r="B189" s="993">
        <v>2</v>
      </c>
      <c r="C189" s="990">
        <v>10405116</v>
      </c>
      <c r="D189" s="990">
        <v>5116</v>
      </c>
      <c r="E189" s="990">
        <v>2026</v>
      </c>
    </row>
    <row r="190" spans="1:5" ht="15" x14ac:dyDescent="0.25">
      <c r="A190" s="993" t="s">
        <v>344</v>
      </c>
      <c r="B190" s="993">
        <v>3</v>
      </c>
      <c r="C190" s="990">
        <v>10405322</v>
      </c>
      <c r="D190" s="990">
        <v>5322</v>
      </c>
      <c r="E190" s="990">
        <v>2026</v>
      </c>
    </row>
    <row r="191" spans="1:5" ht="15" x14ac:dyDescent="0.25">
      <c r="A191" s="993" t="s">
        <v>345</v>
      </c>
      <c r="B191" s="993">
        <v>3</v>
      </c>
      <c r="C191" s="990">
        <v>10445021</v>
      </c>
      <c r="D191" s="990">
        <v>45021</v>
      </c>
      <c r="E191" s="990">
        <v>2026</v>
      </c>
    </row>
    <row r="192" spans="1:5" ht="15" x14ac:dyDescent="0.25">
      <c r="A192" s="993" t="s">
        <v>346</v>
      </c>
      <c r="B192" s="993">
        <v>4</v>
      </c>
      <c r="C192" s="990">
        <v>10476000</v>
      </c>
      <c r="D192" s="990">
        <v>76000</v>
      </c>
      <c r="E192" s="990">
        <v>2026</v>
      </c>
    </row>
    <row r="193" spans="1:5" ht="15" x14ac:dyDescent="0.25">
      <c r="A193" s="993" t="s">
        <v>347</v>
      </c>
      <c r="B193" s="993">
        <v>2</v>
      </c>
      <c r="C193" s="990">
        <v>10436608</v>
      </c>
      <c r="D193" s="990">
        <v>36608</v>
      </c>
      <c r="E193" s="990">
        <v>2026</v>
      </c>
    </row>
    <row r="194" spans="1:5" ht="15" x14ac:dyDescent="0.25">
      <c r="A194" s="993" t="s">
        <v>348</v>
      </c>
      <c r="B194" s="993">
        <v>7</v>
      </c>
      <c r="C194" s="996">
        <v>12300067</v>
      </c>
      <c r="D194" s="990">
        <v>600000</v>
      </c>
      <c r="E194" s="990">
        <v>2026</v>
      </c>
    </row>
    <row r="195" spans="1:5" ht="15" x14ac:dyDescent="0.25">
      <c r="A195" s="993" t="s">
        <v>349</v>
      </c>
      <c r="B195" s="993">
        <v>6</v>
      </c>
      <c r="C195" s="990">
        <v>12300075</v>
      </c>
      <c r="D195" s="990">
        <v>700000</v>
      </c>
      <c r="E195" s="990">
        <v>2026</v>
      </c>
    </row>
    <row r="196" spans="1:5" ht="15" x14ac:dyDescent="0.25">
      <c r="A196" s="993" t="s">
        <v>350</v>
      </c>
      <c r="B196" s="993">
        <v>8</v>
      </c>
      <c r="C196" s="990">
        <v>12300166</v>
      </c>
      <c r="D196" s="990">
        <v>1600000</v>
      </c>
      <c r="E196" s="990">
        <v>2026</v>
      </c>
    </row>
    <row r="197" spans="1:5" ht="15" x14ac:dyDescent="0.25">
      <c r="A197" s="993" t="s">
        <v>351</v>
      </c>
      <c r="B197" s="993">
        <v>8</v>
      </c>
      <c r="C197" s="990">
        <v>12300091</v>
      </c>
      <c r="D197" s="990">
        <v>900000</v>
      </c>
      <c r="E197" s="990">
        <v>2026</v>
      </c>
    </row>
    <row r="198" spans="1:5" ht="15" x14ac:dyDescent="0.25">
      <c r="A198" s="993" t="s">
        <v>352</v>
      </c>
      <c r="B198" s="993">
        <v>5</v>
      </c>
      <c r="C198" s="990">
        <v>10405348</v>
      </c>
      <c r="D198" s="990">
        <v>5348</v>
      </c>
      <c r="E198" s="990">
        <v>2026</v>
      </c>
    </row>
    <row r="199" spans="1:5" ht="15" x14ac:dyDescent="0.25">
      <c r="A199" s="993" t="s">
        <v>353</v>
      </c>
      <c r="B199" s="993">
        <v>5</v>
      </c>
      <c r="C199" s="990">
        <v>10477008</v>
      </c>
      <c r="D199" s="990">
        <v>77008</v>
      </c>
      <c r="E199" s="990">
        <v>2026</v>
      </c>
    </row>
    <row r="200" spans="1:5" ht="15" x14ac:dyDescent="0.25">
      <c r="A200" s="993" t="s">
        <v>354</v>
      </c>
      <c r="B200" s="993">
        <v>3</v>
      </c>
      <c r="C200" s="990">
        <v>10405314</v>
      </c>
      <c r="D200" s="990">
        <v>5314</v>
      </c>
      <c r="E200" s="990">
        <v>2026</v>
      </c>
    </row>
    <row r="201" spans="1:5" ht="15" x14ac:dyDescent="0.25">
      <c r="A201" s="993" t="s">
        <v>2326</v>
      </c>
      <c r="B201" s="993">
        <v>6</v>
      </c>
      <c r="C201" s="990">
        <v>12300752</v>
      </c>
      <c r="D201" s="990">
        <v>7500000</v>
      </c>
      <c r="E201" s="990">
        <v>2026</v>
      </c>
    </row>
    <row r="202" spans="1:5" ht="15" x14ac:dyDescent="0.25">
      <c r="A202" s="993" t="s">
        <v>355</v>
      </c>
      <c r="B202" s="993">
        <v>3</v>
      </c>
      <c r="C202" s="990">
        <v>10425601</v>
      </c>
      <c r="D202" s="990">
        <v>25601</v>
      </c>
      <c r="E202" s="990">
        <v>2026</v>
      </c>
    </row>
    <row r="203" spans="1:5" ht="15" x14ac:dyDescent="0.25">
      <c r="A203" s="993" t="s">
        <v>356</v>
      </c>
      <c r="B203" s="993">
        <v>4</v>
      </c>
      <c r="C203" s="990">
        <v>10406379</v>
      </c>
      <c r="D203" s="990">
        <v>6379</v>
      </c>
      <c r="E203" s="990">
        <v>2026</v>
      </c>
    </row>
    <row r="204" spans="1:5" ht="15" x14ac:dyDescent="0.25">
      <c r="A204" s="993" t="s">
        <v>357</v>
      </c>
      <c r="B204" s="993">
        <v>1</v>
      </c>
      <c r="C204" s="990">
        <v>10411924</v>
      </c>
      <c r="D204" s="990">
        <v>11924</v>
      </c>
      <c r="E204" s="990">
        <v>2026</v>
      </c>
    </row>
    <row r="205" spans="1:5" ht="15" x14ac:dyDescent="0.25">
      <c r="A205" s="993" t="s">
        <v>358</v>
      </c>
      <c r="B205" s="993">
        <v>3</v>
      </c>
      <c r="C205" s="990">
        <v>10405371</v>
      </c>
      <c r="D205" s="990">
        <v>5371</v>
      </c>
      <c r="E205" s="990">
        <v>2026</v>
      </c>
    </row>
    <row r="206" spans="1:5" ht="15" x14ac:dyDescent="0.25">
      <c r="A206" s="993" t="s">
        <v>359</v>
      </c>
      <c r="B206" s="993">
        <v>7</v>
      </c>
      <c r="C206" s="990">
        <v>10405355</v>
      </c>
      <c r="D206" s="990">
        <v>5355</v>
      </c>
      <c r="E206" s="990">
        <v>2026</v>
      </c>
    </row>
    <row r="207" spans="1:5" ht="15" x14ac:dyDescent="0.25">
      <c r="A207" s="993" t="s">
        <v>360</v>
      </c>
      <c r="B207" s="993">
        <v>5</v>
      </c>
      <c r="C207" s="990">
        <v>10405363</v>
      </c>
      <c r="D207" s="990">
        <v>5363</v>
      </c>
      <c r="E207" s="990">
        <v>2026</v>
      </c>
    </row>
    <row r="208" spans="1:5" ht="15" x14ac:dyDescent="0.25">
      <c r="A208" s="993" t="s">
        <v>361</v>
      </c>
      <c r="B208" s="993">
        <v>7</v>
      </c>
      <c r="C208" s="990">
        <v>10478006</v>
      </c>
      <c r="D208" s="990">
        <v>78006</v>
      </c>
      <c r="E208" s="990">
        <v>2026</v>
      </c>
    </row>
    <row r="209" spans="1:5" ht="15" x14ac:dyDescent="0.25">
      <c r="A209" s="993" t="s">
        <v>362</v>
      </c>
      <c r="B209" s="993">
        <v>9</v>
      </c>
      <c r="C209" s="990">
        <v>10401719</v>
      </c>
      <c r="D209" s="990">
        <v>1719</v>
      </c>
      <c r="E209" s="990">
        <v>2026</v>
      </c>
    </row>
    <row r="210" spans="1:5" ht="15" x14ac:dyDescent="0.25">
      <c r="A210" s="993" t="s">
        <v>363</v>
      </c>
      <c r="B210" s="993">
        <v>7</v>
      </c>
      <c r="C210" s="990">
        <v>10479004</v>
      </c>
      <c r="D210" s="990">
        <v>79004</v>
      </c>
      <c r="E210" s="990">
        <v>2026</v>
      </c>
    </row>
    <row r="211" spans="1:5" ht="15" x14ac:dyDescent="0.25">
      <c r="A211" s="993" t="s">
        <v>1087</v>
      </c>
      <c r="B211" s="993">
        <v>7</v>
      </c>
      <c r="C211" s="990">
        <v>10411130</v>
      </c>
      <c r="D211" s="990">
        <v>11130</v>
      </c>
      <c r="E211" s="990">
        <v>2026</v>
      </c>
    </row>
    <row r="212" spans="1:5" ht="15" x14ac:dyDescent="0.25">
      <c r="A212" s="993" t="s">
        <v>364</v>
      </c>
      <c r="B212" s="993">
        <v>8</v>
      </c>
      <c r="C212" s="990">
        <v>10413508</v>
      </c>
      <c r="D212" s="990">
        <v>13508</v>
      </c>
      <c r="E212" s="990">
        <v>2026</v>
      </c>
    </row>
    <row r="213" spans="1:5" ht="15" x14ac:dyDescent="0.25">
      <c r="A213" s="993" t="s">
        <v>365</v>
      </c>
      <c r="B213" s="993">
        <v>2</v>
      </c>
      <c r="C213" s="990">
        <v>10480002</v>
      </c>
      <c r="D213" s="990">
        <v>80002</v>
      </c>
      <c r="E213" s="990">
        <v>2026</v>
      </c>
    </row>
    <row r="214" spans="1:5" ht="15" x14ac:dyDescent="0.25">
      <c r="A214" s="993" t="s">
        <v>366</v>
      </c>
      <c r="B214" s="993">
        <v>5</v>
      </c>
      <c r="C214" s="990">
        <v>10435576</v>
      </c>
      <c r="D214" s="990">
        <v>35576</v>
      </c>
      <c r="E214" s="990">
        <v>2026</v>
      </c>
    </row>
    <row r="215" spans="1:5" ht="15" x14ac:dyDescent="0.25">
      <c r="A215" s="993" t="s">
        <v>367</v>
      </c>
      <c r="B215" s="993">
        <v>3</v>
      </c>
      <c r="C215" s="990">
        <v>10406387</v>
      </c>
      <c r="D215" s="990">
        <v>6387</v>
      </c>
      <c r="E215" s="990">
        <v>2026</v>
      </c>
    </row>
    <row r="216" spans="1:5" ht="15" x14ac:dyDescent="0.25">
      <c r="A216" s="993" t="s">
        <v>368</v>
      </c>
      <c r="B216" s="993">
        <v>5</v>
      </c>
      <c r="C216" s="990">
        <v>10441004</v>
      </c>
      <c r="D216" s="990">
        <v>41004</v>
      </c>
      <c r="E216" s="990">
        <v>2026</v>
      </c>
    </row>
    <row r="217" spans="1:5" ht="15" x14ac:dyDescent="0.25">
      <c r="A217" s="993" t="s">
        <v>369</v>
      </c>
      <c r="B217" s="993">
        <v>9</v>
      </c>
      <c r="C217" s="990">
        <v>10426203</v>
      </c>
      <c r="D217" s="990">
        <v>26203</v>
      </c>
      <c r="E217" s="990">
        <v>2026</v>
      </c>
    </row>
    <row r="218" spans="1:5" ht="15" x14ac:dyDescent="0.25">
      <c r="A218" s="993" t="s">
        <v>370</v>
      </c>
      <c r="B218" s="993">
        <v>3</v>
      </c>
      <c r="C218" s="990">
        <v>10436111</v>
      </c>
      <c r="D218" s="990">
        <v>36111</v>
      </c>
      <c r="E218" s="990">
        <v>2026</v>
      </c>
    </row>
    <row r="219" spans="1:5" ht="15" x14ac:dyDescent="0.25">
      <c r="A219" s="993" t="s">
        <v>371</v>
      </c>
      <c r="B219" s="993">
        <v>6</v>
      </c>
      <c r="C219" s="990">
        <v>10468007</v>
      </c>
      <c r="D219" s="990">
        <v>68007</v>
      </c>
      <c r="E219" s="990">
        <v>2026</v>
      </c>
    </row>
    <row r="220" spans="1:5" ht="15" x14ac:dyDescent="0.25">
      <c r="A220" s="993" t="s">
        <v>372</v>
      </c>
      <c r="B220" s="993">
        <v>6</v>
      </c>
      <c r="C220" s="990">
        <v>10495000</v>
      </c>
      <c r="D220" s="990">
        <v>95000</v>
      </c>
      <c r="E220" s="990">
        <v>2026</v>
      </c>
    </row>
    <row r="221" spans="1:5" ht="15" x14ac:dyDescent="0.25">
      <c r="A221" s="993" t="s">
        <v>373</v>
      </c>
      <c r="B221" s="993">
        <v>4</v>
      </c>
      <c r="C221" s="990">
        <v>10426302</v>
      </c>
      <c r="D221" s="990">
        <v>26302</v>
      </c>
      <c r="E221" s="990">
        <v>2026</v>
      </c>
    </row>
    <row r="222" spans="1:5" ht="15" x14ac:dyDescent="0.25">
      <c r="A222" s="993" t="s">
        <v>374</v>
      </c>
      <c r="B222" s="993">
        <v>8</v>
      </c>
      <c r="C222" s="990">
        <v>10423002</v>
      </c>
      <c r="D222" s="990">
        <v>23002</v>
      </c>
      <c r="E222" s="990">
        <v>2026</v>
      </c>
    </row>
    <row r="223" spans="1:5" ht="15" x14ac:dyDescent="0.25">
      <c r="A223" s="993" t="s">
        <v>375</v>
      </c>
      <c r="B223" s="993">
        <v>5</v>
      </c>
      <c r="C223" s="990">
        <v>10496008</v>
      </c>
      <c r="D223" s="990">
        <v>96008</v>
      </c>
      <c r="E223" s="990">
        <v>2026</v>
      </c>
    </row>
    <row r="224" spans="1:5" ht="15" x14ac:dyDescent="0.25">
      <c r="A224" s="993" t="s">
        <v>376</v>
      </c>
      <c r="B224" s="993">
        <v>2</v>
      </c>
      <c r="C224" s="990">
        <v>10411379</v>
      </c>
      <c r="D224" s="990">
        <v>11379</v>
      </c>
      <c r="E224" s="990">
        <v>2026</v>
      </c>
    </row>
    <row r="225" spans="1:5" ht="15" x14ac:dyDescent="0.25">
      <c r="A225" s="993" t="s">
        <v>377</v>
      </c>
      <c r="B225" s="993">
        <v>7</v>
      </c>
      <c r="C225" s="990">
        <v>10482008</v>
      </c>
      <c r="D225" s="990">
        <v>82008</v>
      </c>
      <c r="E225" s="990">
        <v>2026</v>
      </c>
    </row>
    <row r="226" spans="1:5" ht="15" x14ac:dyDescent="0.25">
      <c r="A226" s="993" t="s">
        <v>378</v>
      </c>
      <c r="B226" s="993">
        <v>3</v>
      </c>
      <c r="C226" s="990">
        <v>10410348</v>
      </c>
      <c r="D226" s="990">
        <v>10348</v>
      </c>
      <c r="E226" s="990">
        <v>2026</v>
      </c>
    </row>
    <row r="227" spans="1:5" ht="15" x14ac:dyDescent="0.25">
      <c r="A227" s="993" t="s">
        <v>379</v>
      </c>
      <c r="B227" s="993">
        <v>5</v>
      </c>
      <c r="C227" s="990">
        <v>10404697</v>
      </c>
      <c r="D227" s="990">
        <v>4697</v>
      </c>
      <c r="E227" s="990">
        <v>2026</v>
      </c>
    </row>
    <row r="228" spans="1:5" ht="15" x14ac:dyDescent="0.25">
      <c r="A228" s="993" t="s">
        <v>380</v>
      </c>
      <c r="B228" s="993">
        <v>5</v>
      </c>
      <c r="C228" s="990">
        <v>10428001</v>
      </c>
      <c r="D228" s="990">
        <v>28001</v>
      </c>
      <c r="E228" s="990">
        <v>2026</v>
      </c>
    </row>
    <row r="229" spans="1:5" ht="15" x14ac:dyDescent="0.25">
      <c r="A229" s="993" t="s">
        <v>381</v>
      </c>
      <c r="B229" s="993">
        <v>6</v>
      </c>
      <c r="C229" s="990">
        <v>10436400</v>
      </c>
      <c r="D229" s="990">
        <v>36400</v>
      </c>
      <c r="E229" s="990">
        <v>2026</v>
      </c>
    </row>
    <row r="230" spans="1:5" ht="15" x14ac:dyDescent="0.25">
      <c r="A230" s="993" t="s">
        <v>382</v>
      </c>
      <c r="B230" s="993">
        <v>5</v>
      </c>
      <c r="C230" s="990">
        <v>10405439</v>
      </c>
      <c r="D230" s="990">
        <v>5439</v>
      </c>
      <c r="E230" s="990">
        <v>2026</v>
      </c>
    </row>
    <row r="231" spans="1:5" ht="15" x14ac:dyDescent="0.25">
      <c r="A231" s="993" t="s">
        <v>383</v>
      </c>
      <c r="B231" s="993">
        <v>7</v>
      </c>
      <c r="C231" s="990">
        <v>10426401</v>
      </c>
      <c r="D231" s="990">
        <v>26401</v>
      </c>
      <c r="E231" s="990">
        <v>2026</v>
      </c>
    </row>
    <row r="232" spans="1:5" ht="15" x14ac:dyDescent="0.25">
      <c r="A232" s="993" t="s">
        <v>384</v>
      </c>
      <c r="B232" s="993">
        <v>7</v>
      </c>
      <c r="C232" s="990">
        <v>10400265</v>
      </c>
      <c r="D232" s="990">
        <v>265</v>
      </c>
      <c r="E232" s="990">
        <v>2026</v>
      </c>
    </row>
    <row r="233" spans="1:5" ht="15" x14ac:dyDescent="0.25">
      <c r="A233" s="993" t="s">
        <v>385</v>
      </c>
      <c r="B233" s="993">
        <v>7</v>
      </c>
      <c r="C233" s="990">
        <v>10483006</v>
      </c>
      <c r="D233" s="990">
        <v>83006</v>
      </c>
      <c r="E233" s="990">
        <v>2026</v>
      </c>
    </row>
    <row r="234" spans="1:5" ht="15" x14ac:dyDescent="0.25">
      <c r="A234" s="993" t="s">
        <v>386</v>
      </c>
      <c r="B234" s="993">
        <v>2</v>
      </c>
      <c r="C234" s="990">
        <v>10411619</v>
      </c>
      <c r="D234" s="990">
        <v>11619</v>
      </c>
      <c r="E234" s="990">
        <v>2026</v>
      </c>
    </row>
    <row r="235" spans="1:5" ht="15" x14ac:dyDescent="0.25">
      <c r="A235" s="993" t="s">
        <v>387</v>
      </c>
      <c r="B235" s="993">
        <v>7</v>
      </c>
      <c r="C235" s="990">
        <v>10484004</v>
      </c>
      <c r="D235" s="990">
        <v>84004</v>
      </c>
      <c r="E235" s="990">
        <v>2026</v>
      </c>
    </row>
    <row r="236" spans="1:5" ht="15" x14ac:dyDescent="0.25">
      <c r="A236" s="993" t="s">
        <v>388</v>
      </c>
      <c r="B236" s="993">
        <v>3</v>
      </c>
      <c r="C236" s="990">
        <v>10405421</v>
      </c>
      <c r="D236" s="990">
        <v>5421</v>
      </c>
      <c r="E236" s="990">
        <v>2026</v>
      </c>
    </row>
    <row r="237" spans="1:5" ht="15" x14ac:dyDescent="0.25">
      <c r="A237" s="993" t="s">
        <v>389</v>
      </c>
      <c r="B237" s="993">
        <v>2</v>
      </c>
      <c r="C237" s="990">
        <v>10409225</v>
      </c>
      <c r="D237" s="990">
        <v>9225</v>
      </c>
      <c r="E237" s="990">
        <v>2026</v>
      </c>
    </row>
    <row r="238" spans="1:5" ht="15" x14ac:dyDescent="0.25">
      <c r="A238" s="993" t="s">
        <v>390</v>
      </c>
      <c r="B238" s="993">
        <v>4</v>
      </c>
      <c r="C238" s="990">
        <v>10485001</v>
      </c>
      <c r="D238" s="990">
        <v>85001</v>
      </c>
      <c r="E238" s="990">
        <v>2026</v>
      </c>
    </row>
    <row r="239" spans="1:5" ht="15" x14ac:dyDescent="0.25">
      <c r="A239" s="993" t="s">
        <v>391</v>
      </c>
      <c r="B239" s="993">
        <v>8</v>
      </c>
      <c r="C239" s="990">
        <v>10486009</v>
      </c>
      <c r="D239" s="990">
        <v>86009</v>
      </c>
      <c r="E239" s="990">
        <v>2026</v>
      </c>
    </row>
    <row r="240" spans="1:5" ht="15" x14ac:dyDescent="0.25">
      <c r="A240" s="993" t="s">
        <v>392</v>
      </c>
      <c r="B240" s="993">
        <v>9</v>
      </c>
      <c r="C240" s="990">
        <v>10426500</v>
      </c>
      <c r="D240" s="990">
        <v>26500</v>
      </c>
      <c r="E240" s="990">
        <v>2026</v>
      </c>
    </row>
    <row r="241" spans="1:5" ht="15" x14ac:dyDescent="0.25">
      <c r="A241" s="993" t="s">
        <v>393</v>
      </c>
      <c r="B241" s="993">
        <v>8</v>
      </c>
      <c r="C241" s="990">
        <v>10401222</v>
      </c>
      <c r="D241" s="990">
        <v>1222</v>
      </c>
      <c r="E241" s="990">
        <v>2026</v>
      </c>
    </row>
    <row r="242" spans="1:5" ht="15" x14ac:dyDescent="0.25">
      <c r="A242" s="993" t="s">
        <v>394</v>
      </c>
      <c r="B242" s="993">
        <v>6</v>
      </c>
      <c r="C242" s="990">
        <v>12300489</v>
      </c>
      <c r="D242" s="990">
        <v>4800000</v>
      </c>
      <c r="E242" s="990">
        <v>2026</v>
      </c>
    </row>
    <row r="243" spans="1:5" ht="15" x14ac:dyDescent="0.25">
      <c r="A243" s="993" t="s">
        <v>395</v>
      </c>
      <c r="B243" s="993">
        <v>8</v>
      </c>
      <c r="C243" s="990">
        <v>10487007</v>
      </c>
      <c r="D243" s="990">
        <v>87007</v>
      </c>
      <c r="E243" s="990">
        <v>2026</v>
      </c>
    </row>
    <row r="244" spans="1:5" ht="15" x14ac:dyDescent="0.25">
      <c r="A244" s="993" t="s">
        <v>396</v>
      </c>
      <c r="B244" s="993">
        <v>3</v>
      </c>
      <c r="C244" s="990">
        <v>10409134</v>
      </c>
      <c r="D244" s="990">
        <v>9134</v>
      </c>
      <c r="E244" s="990">
        <v>2026</v>
      </c>
    </row>
    <row r="245" spans="1:5" ht="15" x14ac:dyDescent="0.25">
      <c r="A245" s="993" t="s">
        <v>397</v>
      </c>
      <c r="B245" s="993">
        <v>1</v>
      </c>
      <c r="C245" s="990">
        <v>10412864</v>
      </c>
      <c r="D245" s="990">
        <v>12864</v>
      </c>
      <c r="E245" s="990">
        <v>2026</v>
      </c>
    </row>
    <row r="246" spans="1:5" ht="15" x14ac:dyDescent="0.25">
      <c r="A246" s="993" t="s">
        <v>398</v>
      </c>
      <c r="B246" s="993">
        <v>6</v>
      </c>
      <c r="C246" s="990">
        <v>12300406</v>
      </c>
      <c r="D246" s="990">
        <v>4000000</v>
      </c>
      <c r="E246" s="990">
        <v>2026</v>
      </c>
    </row>
    <row r="247" spans="1:5" ht="15" x14ac:dyDescent="0.25">
      <c r="A247" s="993" t="s">
        <v>399</v>
      </c>
      <c r="B247" s="993">
        <v>6</v>
      </c>
      <c r="C247" s="990">
        <v>12300398</v>
      </c>
      <c r="D247" s="990">
        <v>3900000</v>
      </c>
      <c r="E247" s="990">
        <v>2026</v>
      </c>
    </row>
    <row r="248" spans="1:5" ht="15" x14ac:dyDescent="0.25">
      <c r="A248" s="993" t="s">
        <v>400</v>
      </c>
      <c r="B248" s="993">
        <v>5</v>
      </c>
      <c r="C248" s="990">
        <v>10410314</v>
      </c>
      <c r="D248" s="990">
        <v>10314</v>
      </c>
      <c r="E248" s="990">
        <v>2026</v>
      </c>
    </row>
    <row r="249" spans="1:5" ht="15" x14ac:dyDescent="0.25">
      <c r="A249" s="993" t="s">
        <v>401</v>
      </c>
      <c r="B249" s="993">
        <v>9</v>
      </c>
      <c r="C249" s="990">
        <v>10413045</v>
      </c>
      <c r="D249" s="990">
        <v>13045</v>
      </c>
      <c r="E249" s="990">
        <v>2026</v>
      </c>
    </row>
    <row r="250" spans="1:5" ht="15" x14ac:dyDescent="0.25">
      <c r="A250" s="993" t="s">
        <v>402</v>
      </c>
      <c r="B250" s="993">
        <v>6</v>
      </c>
      <c r="C250" s="990">
        <v>12300729</v>
      </c>
      <c r="D250" s="990">
        <v>7200000</v>
      </c>
      <c r="E250" s="990">
        <v>2026</v>
      </c>
    </row>
    <row r="251" spans="1:5" ht="15" x14ac:dyDescent="0.25">
      <c r="A251" s="993" t="s">
        <v>403</v>
      </c>
      <c r="B251" s="993">
        <v>6</v>
      </c>
      <c r="C251" s="990">
        <v>10408128</v>
      </c>
      <c r="D251" s="990">
        <v>8128</v>
      </c>
      <c r="E251" s="990">
        <v>2026</v>
      </c>
    </row>
    <row r="252" spans="1:5" ht="15" x14ac:dyDescent="0.25">
      <c r="A252" s="993" t="s">
        <v>404</v>
      </c>
      <c r="B252" s="993">
        <v>3</v>
      </c>
      <c r="C252" s="990">
        <v>10405389</v>
      </c>
      <c r="D252" s="990">
        <v>5389</v>
      </c>
      <c r="E252" s="990">
        <v>2026</v>
      </c>
    </row>
    <row r="253" spans="1:5" ht="15" x14ac:dyDescent="0.25">
      <c r="A253" s="993" t="s">
        <v>405</v>
      </c>
      <c r="B253" s="993">
        <v>7</v>
      </c>
      <c r="C253" s="990">
        <v>12300372</v>
      </c>
      <c r="D253" s="990">
        <v>3700000</v>
      </c>
      <c r="E253" s="990">
        <v>2026</v>
      </c>
    </row>
    <row r="254" spans="1:5" ht="15" x14ac:dyDescent="0.25">
      <c r="A254" s="993" t="s">
        <v>2598</v>
      </c>
      <c r="B254" s="993">
        <v>6</v>
      </c>
      <c r="C254" s="990">
        <v>10438265</v>
      </c>
      <c r="D254" s="990">
        <v>38265</v>
      </c>
      <c r="E254" s="990">
        <v>2026</v>
      </c>
    </row>
    <row r="255" spans="1:5" ht="15" x14ac:dyDescent="0.25">
      <c r="A255" s="993" t="s">
        <v>406</v>
      </c>
      <c r="B255" s="993">
        <v>5</v>
      </c>
      <c r="C255" s="990">
        <v>12300349</v>
      </c>
      <c r="D255" s="990">
        <v>3400000</v>
      </c>
      <c r="E255" s="990">
        <v>2026</v>
      </c>
    </row>
    <row r="256" spans="1:5" ht="15" x14ac:dyDescent="0.25">
      <c r="A256" s="993" t="s">
        <v>407</v>
      </c>
      <c r="B256" s="993">
        <v>3</v>
      </c>
      <c r="C256" s="990">
        <v>10488005</v>
      </c>
      <c r="D256" s="990">
        <v>88005</v>
      </c>
      <c r="E256" s="990">
        <v>2026</v>
      </c>
    </row>
    <row r="257" spans="1:5" ht="15" x14ac:dyDescent="0.25">
      <c r="A257" s="993" t="s">
        <v>408</v>
      </c>
      <c r="B257" s="993">
        <v>8</v>
      </c>
      <c r="C257" s="990">
        <v>10450005</v>
      </c>
      <c r="D257" s="990">
        <v>50005</v>
      </c>
      <c r="E257" s="990">
        <v>2026</v>
      </c>
    </row>
    <row r="258" spans="1:5" ht="15" x14ac:dyDescent="0.25">
      <c r="A258" s="993" t="s">
        <v>409</v>
      </c>
      <c r="B258" s="993">
        <v>9</v>
      </c>
      <c r="C258" s="990">
        <v>10401545</v>
      </c>
      <c r="D258" s="990">
        <v>1545</v>
      </c>
      <c r="E258" s="990">
        <v>2026</v>
      </c>
    </row>
    <row r="259" spans="1:5" ht="15" x14ac:dyDescent="0.25">
      <c r="A259" s="993" t="s">
        <v>410</v>
      </c>
      <c r="B259" s="993">
        <v>1</v>
      </c>
      <c r="C259" s="990">
        <v>10410546</v>
      </c>
      <c r="D259" s="990">
        <v>10546</v>
      </c>
      <c r="E259" s="990">
        <v>2026</v>
      </c>
    </row>
    <row r="260" spans="1:5" ht="15" x14ac:dyDescent="0.25">
      <c r="A260" s="993" t="s">
        <v>411</v>
      </c>
      <c r="B260" s="993">
        <v>7</v>
      </c>
      <c r="C260" s="990">
        <v>12300513</v>
      </c>
      <c r="D260" s="990">
        <v>5100000</v>
      </c>
      <c r="E260" s="990">
        <v>2026</v>
      </c>
    </row>
  </sheetData>
  <autoFilter ref="A2:E260" xr:uid="{00000000-0001-0000-0E00-000000000000}">
    <sortState xmlns:xlrd2="http://schemas.microsoft.com/office/spreadsheetml/2017/richdata2" ref="A3:E260">
      <sortCondition ref="A2:A260"/>
    </sortState>
  </autoFilter>
  <conditionalFormatting sqref="A32">
    <cfRule type="duplicateValues" dxfId="4" priority="6"/>
  </conditionalFormatting>
  <conditionalFormatting sqref="A66">
    <cfRule type="duplicateValues" dxfId="3" priority="5"/>
  </conditionalFormatting>
  <conditionalFormatting sqref="A67">
    <cfRule type="duplicateValues" dxfId="2" priority="4"/>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4">
    <tabColor theme="8" tint="0.59999389629810485"/>
  </sheetPr>
  <dimension ref="A1:R2890"/>
  <sheetViews>
    <sheetView rightToLeft="1" topLeftCell="A2864" workbookViewId="0">
      <selection activeCell="I2894" sqref="I2894"/>
    </sheetView>
  </sheetViews>
  <sheetFormatPr defaultColWidth="9" defaultRowHeight="14.25" x14ac:dyDescent="0.2"/>
  <cols>
    <col min="1" max="1" width="9" style="950"/>
    <col min="2" max="2" width="9.375" style="950" bestFit="1" customWidth="1"/>
    <col min="3" max="3" width="8.375" style="950" customWidth="1"/>
    <col min="4" max="4" width="26.125" style="950" customWidth="1"/>
    <col min="5" max="5" width="11.75" style="950" customWidth="1"/>
    <col min="6" max="6" width="12" style="950" customWidth="1"/>
    <col min="7" max="7" width="13.375" style="950" customWidth="1"/>
    <col min="8" max="8" width="9" style="950" customWidth="1"/>
    <col min="9" max="9" width="12.625" style="950" customWidth="1"/>
    <col min="10" max="11" width="9" style="950"/>
    <col min="12" max="12" width="9" style="631"/>
    <col min="13" max="13" width="9" style="18" customWidth="1"/>
    <col min="14" max="15" width="9.875" style="18" customWidth="1"/>
    <col min="16" max="16" width="10.375" style="950" customWidth="1"/>
    <col min="17" max="18" width="12" style="967" customWidth="1"/>
    <col min="19" max="16384" width="9" style="17"/>
  </cols>
  <sheetData>
    <row r="1" spans="1:18" x14ac:dyDescent="0.2">
      <c r="A1" s="950" t="s">
        <v>2525</v>
      </c>
      <c r="B1" s="950" t="s">
        <v>2525</v>
      </c>
      <c r="C1" s="950" t="s">
        <v>2525</v>
      </c>
      <c r="D1" s="950" t="s">
        <v>2525</v>
      </c>
      <c r="E1" s="950" t="s">
        <v>2525</v>
      </c>
      <c r="F1" s="950" t="s">
        <v>2525</v>
      </c>
      <c r="G1" s="950" t="s">
        <v>2525</v>
      </c>
      <c r="H1" s="950" t="s">
        <v>2525</v>
      </c>
      <c r="I1" s="950" t="s">
        <v>2525</v>
      </c>
      <c r="J1" s="950" t="s">
        <v>2525</v>
      </c>
      <c r="N1" s="18" t="s">
        <v>2525</v>
      </c>
      <c r="O1" s="18" t="s">
        <v>2525</v>
      </c>
      <c r="Q1" s="967" t="s">
        <v>2525</v>
      </c>
      <c r="R1" s="967" t="s">
        <v>2525</v>
      </c>
    </row>
    <row r="2" spans="1:18" ht="42.75" x14ac:dyDescent="0.25">
      <c r="A2" s="960" t="s">
        <v>2194</v>
      </c>
      <c r="B2" s="960" t="s">
        <v>97</v>
      </c>
      <c r="C2" s="960" t="s">
        <v>2532</v>
      </c>
      <c r="D2" s="960" t="s">
        <v>98</v>
      </c>
      <c r="E2" s="961" t="s">
        <v>3250</v>
      </c>
      <c r="F2" s="961" t="s">
        <v>3249</v>
      </c>
      <c r="G2" s="960" t="s">
        <v>2192</v>
      </c>
      <c r="H2" s="961" t="s">
        <v>2675</v>
      </c>
      <c r="I2" s="961" t="s">
        <v>2533</v>
      </c>
      <c r="J2" s="960" t="s">
        <v>2194</v>
      </c>
      <c r="K2" s="960" t="s">
        <v>2260</v>
      </c>
      <c r="L2" s="962"/>
      <c r="M2" s="963" t="s">
        <v>27</v>
      </c>
      <c r="N2" s="964" t="s">
        <v>2534</v>
      </c>
      <c r="O2" s="965">
        <v>46233</v>
      </c>
      <c r="P2" s="966" t="s">
        <v>2927</v>
      </c>
      <c r="Q2" s="961" t="s">
        <v>3383</v>
      </c>
      <c r="R2" s="961" t="s">
        <v>2889</v>
      </c>
    </row>
    <row r="3" spans="1:18" x14ac:dyDescent="0.2">
      <c r="A3" s="947" t="s">
        <v>270</v>
      </c>
      <c r="B3" s="947">
        <v>110023</v>
      </c>
      <c r="C3" s="947" t="s">
        <v>2189</v>
      </c>
      <c r="D3" s="947" t="s">
        <v>1347</v>
      </c>
      <c r="E3" s="951">
        <v>340</v>
      </c>
      <c r="F3" s="951">
        <v>630</v>
      </c>
      <c r="G3" s="947" t="s">
        <v>3252</v>
      </c>
      <c r="H3" s="951">
        <v>118</v>
      </c>
      <c r="I3" s="951">
        <v>18</v>
      </c>
      <c r="J3" s="947" t="s">
        <v>270</v>
      </c>
      <c r="K3" s="947">
        <v>110023</v>
      </c>
      <c r="M3" s="631"/>
      <c r="P3" s="950" t="str">
        <f>VLOOKUP(J3,'רשימת רשויות'!A:A,1,0)</f>
        <v>ירושלים</v>
      </c>
      <c r="Q3" s="956">
        <f>IFERROR(VLOOKUP(B3,[2]מעובד!$D:$K,8,0),0)</f>
        <v>0</v>
      </c>
      <c r="R3" s="956">
        <f>IFERROR(VLOOKUP(B3,[2]מעובד!$D:$L,9,0),0)</f>
        <v>0</v>
      </c>
    </row>
    <row r="4" spans="1:18" x14ac:dyDescent="0.2">
      <c r="A4" s="947" t="s">
        <v>311</v>
      </c>
      <c r="B4" s="947">
        <v>110098</v>
      </c>
      <c r="C4" s="947" t="s">
        <v>2189</v>
      </c>
      <c r="D4" s="947" t="s">
        <v>1072</v>
      </c>
      <c r="E4" s="951">
        <v>211</v>
      </c>
      <c r="F4" s="951">
        <v>162</v>
      </c>
      <c r="G4" s="947" t="s">
        <v>159</v>
      </c>
      <c r="H4" s="951">
        <v>0</v>
      </c>
      <c r="I4" s="951">
        <v>0</v>
      </c>
      <c r="J4" s="947" t="s">
        <v>311</v>
      </c>
      <c r="K4" s="947">
        <v>110098</v>
      </c>
      <c r="M4" s="631"/>
      <c r="P4" s="950" t="str">
        <f>VLOOKUP(J4,'רשימת רשויות'!A:A,1,0)</f>
        <v>מטה יהודה</v>
      </c>
      <c r="Q4" s="956">
        <f>IFERROR(VLOOKUP(B4,[2]מעובד!$D:$K,8,0),0)</f>
        <v>212</v>
      </c>
      <c r="R4" s="956">
        <f>IFERROR(VLOOKUP(B4,[2]מעובד!$D:$L,9,0),0)</f>
        <v>86</v>
      </c>
    </row>
    <row r="5" spans="1:18" x14ac:dyDescent="0.2">
      <c r="A5" s="947" t="s">
        <v>270</v>
      </c>
      <c r="B5" s="947">
        <v>110106</v>
      </c>
      <c r="C5" s="947" t="s">
        <v>2189</v>
      </c>
      <c r="D5" s="947" t="s">
        <v>1358</v>
      </c>
      <c r="E5" s="951">
        <v>117</v>
      </c>
      <c r="F5" s="951">
        <v>78</v>
      </c>
      <c r="G5" s="947" t="s">
        <v>159</v>
      </c>
      <c r="H5" s="951">
        <v>0</v>
      </c>
      <c r="I5" s="951">
        <v>0</v>
      </c>
      <c r="J5" s="947" t="s">
        <v>270</v>
      </c>
      <c r="K5" s="947">
        <v>110106</v>
      </c>
      <c r="M5" s="631"/>
      <c r="P5" s="950" t="str">
        <f>VLOOKUP(J5,'רשימת רשויות'!A:A,1,0)</f>
        <v>ירושלים</v>
      </c>
      <c r="Q5" s="956">
        <f>IFERROR(VLOOKUP(B5,[2]מעובד!$D:$K,8,0),0)</f>
        <v>98</v>
      </c>
      <c r="R5" s="956">
        <f>IFERROR(VLOOKUP(B5,[2]מעובד!$D:$L,9,0),0)</f>
        <v>51</v>
      </c>
    </row>
    <row r="6" spans="1:18" x14ac:dyDescent="0.2">
      <c r="A6" s="947" t="s">
        <v>270</v>
      </c>
      <c r="B6" s="947">
        <v>110130</v>
      </c>
      <c r="C6" s="947" t="s">
        <v>2189</v>
      </c>
      <c r="D6" s="947" t="s">
        <v>1367</v>
      </c>
      <c r="E6" s="951">
        <v>140</v>
      </c>
      <c r="F6" s="951">
        <v>113</v>
      </c>
      <c r="G6" s="947" t="s">
        <v>159</v>
      </c>
      <c r="H6" s="951">
        <v>50</v>
      </c>
      <c r="I6" s="951">
        <v>5</v>
      </c>
      <c r="J6" s="947" t="s">
        <v>270</v>
      </c>
      <c r="K6" s="947">
        <v>110130</v>
      </c>
      <c r="M6" s="631"/>
      <c r="P6" s="950" t="str">
        <f>VLOOKUP(J6,'רשימת רשויות'!A:A,1,0)</f>
        <v>ירושלים</v>
      </c>
      <c r="Q6" s="956">
        <f>IFERROR(VLOOKUP(B6,[2]מעובד!$D:$K,8,0),0)</f>
        <v>164</v>
      </c>
      <c r="R6" s="956">
        <f>IFERROR(VLOOKUP(B6,[2]מעובד!$D:$L,9,0),0)</f>
        <v>42</v>
      </c>
    </row>
    <row r="7" spans="1:18" x14ac:dyDescent="0.2">
      <c r="A7" s="947" t="s">
        <v>270</v>
      </c>
      <c r="B7" s="947">
        <v>110155</v>
      </c>
      <c r="C7" s="947" t="s">
        <v>2189</v>
      </c>
      <c r="D7" s="947" t="s">
        <v>1368</v>
      </c>
      <c r="E7" s="951">
        <v>204</v>
      </c>
      <c r="F7" s="951">
        <v>184</v>
      </c>
      <c r="G7" s="947" t="s">
        <v>159</v>
      </c>
      <c r="H7" s="951">
        <v>0</v>
      </c>
      <c r="I7" s="951">
        <v>0</v>
      </c>
      <c r="J7" s="947" t="s">
        <v>270</v>
      </c>
      <c r="K7" s="947">
        <v>110155</v>
      </c>
      <c r="M7" s="631"/>
      <c r="P7" s="950" t="str">
        <f>VLOOKUP(J7,'רשימת רשויות'!A:A,1,0)</f>
        <v>ירושלים</v>
      </c>
      <c r="Q7" s="956">
        <f>IFERROR(VLOOKUP(B7,[2]מעובד!$D:$K,8,0),0)</f>
        <v>131</v>
      </c>
      <c r="R7" s="956">
        <f>IFERROR(VLOOKUP(B7,[2]מעובד!$D:$L,9,0),0)</f>
        <v>47</v>
      </c>
    </row>
    <row r="8" spans="1:18" x14ac:dyDescent="0.2">
      <c r="A8" s="947" t="s">
        <v>270</v>
      </c>
      <c r="B8" s="947">
        <v>110171</v>
      </c>
      <c r="C8" s="947" t="s">
        <v>2189</v>
      </c>
      <c r="D8" s="947" t="s">
        <v>1369</v>
      </c>
      <c r="E8" s="951">
        <v>128</v>
      </c>
      <c r="F8" s="951">
        <v>90</v>
      </c>
      <c r="G8" s="947" t="s">
        <v>159</v>
      </c>
      <c r="H8" s="951">
        <v>0</v>
      </c>
      <c r="I8" s="951">
        <v>0</v>
      </c>
      <c r="J8" s="947" t="s">
        <v>270</v>
      </c>
      <c r="K8" s="947">
        <v>110171</v>
      </c>
      <c r="M8" s="631"/>
      <c r="P8" s="950" t="str">
        <f>VLOOKUP(J8,'רשימת רשויות'!A:A,1,0)</f>
        <v>ירושלים</v>
      </c>
      <c r="Q8" s="956">
        <f>IFERROR(VLOOKUP(B8,[2]מעובד!$D:$K,8,0),0)</f>
        <v>154</v>
      </c>
      <c r="R8" s="956">
        <f>IFERROR(VLOOKUP(B8,[2]מעובד!$D:$L,9,0),0)</f>
        <v>56</v>
      </c>
    </row>
    <row r="9" spans="1:18" x14ac:dyDescent="0.2">
      <c r="A9" s="947" t="s">
        <v>270</v>
      </c>
      <c r="B9" s="947">
        <v>110205</v>
      </c>
      <c r="C9" s="947" t="s">
        <v>2189</v>
      </c>
      <c r="D9" s="947" t="s">
        <v>1370</v>
      </c>
      <c r="E9" s="951">
        <v>211</v>
      </c>
      <c r="F9" s="951">
        <v>161</v>
      </c>
      <c r="G9" s="947" t="s">
        <v>159</v>
      </c>
      <c r="H9" s="951">
        <v>0</v>
      </c>
      <c r="I9" s="951">
        <v>0</v>
      </c>
      <c r="J9" s="947" t="s">
        <v>270</v>
      </c>
      <c r="K9" s="947">
        <v>110205</v>
      </c>
      <c r="M9" s="631"/>
      <c r="P9" s="950" t="str">
        <f>VLOOKUP(J9,'רשימת רשויות'!A:A,1,0)</f>
        <v>ירושלים</v>
      </c>
      <c r="Q9" s="956">
        <f>IFERROR(VLOOKUP(B9,[2]מעובד!$D:$K,8,0),0)</f>
        <v>227</v>
      </c>
      <c r="R9" s="956">
        <f>IFERROR(VLOOKUP(B9,[2]מעובד!$D:$L,9,0),0)</f>
        <v>90</v>
      </c>
    </row>
    <row r="10" spans="1:18" x14ac:dyDescent="0.2">
      <c r="A10" s="947" t="s">
        <v>270</v>
      </c>
      <c r="B10" s="947">
        <v>110270</v>
      </c>
      <c r="C10" s="947" t="s">
        <v>2189</v>
      </c>
      <c r="D10" s="947" t="s">
        <v>1380</v>
      </c>
      <c r="E10" s="951">
        <v>131</v>
      </c>
      <c r="F10" s="951">
        <v>102</v>
      </c>
      <c r="G10" s="947" t="s">
        <v>159</v>
      </c>
      <c r="H10" s="951">
        <v>0</v>
      </c>
      <c r="I10" s="951">
        <v>0</v>
      </c>
      <c r="J10" s="947" t="s">
        <v>270</v>
      </c>
      <c r="K10" s="947">
        <v>110270</v>
      </c>
      <c r="M10" s="631"/>
      <c r="P10" s="950" t="str">
        <f>VLOOKUP(J10,'רשימת רשויות'!A:A,1,0)</f>
        <v>ירושלים</v>
      </c>
      <c r="Q10" s="956">
        <f>IFERROR(VLOOKUP(B10,[2]מעובד!$D:$K,8,0),0)</f>
        <v>109</v>
      </c>
      <c r="R10" s="956">
        <f>IFERROR(VLOOKUP(B10,[2]מעובד!$D:$L,9,0),0)</f>
        <v>73</v>
      </c>
    </row>
    <row r="11" spans="1:18" x14ac:dyDescent="0.2">
      <c r="A11" s="947" t="s">
        <v>270</v>
      </c>
      <c r="B11" s="947">
        <v>110312</v>
      </c>
      <c r="C11" s="947" t="s">
        <v>2189</v>
      </c>
      <c r="D11" s="947" t="s">
        <v>1391</v>
      </c>
      <c r="E11" s="951">
        <v>127</v>
      </c>
      <c r="F11" s="951">
        <v>92</v>
      </c>
      <c r="G11" s="947" t="s">
        <v>159</v>
      </c>
      <c r="H11" s="951">
        <v>92</v>
      </c>
      <c r="I11" s="951">
        <v>5</v>
      </c>
      <c r="J11" s="947" t="s">
        <v>270</v>
      </c>
      <c r="K11" s="947">
        <v>110312</v>
      </c>
      <c r="M11" s="631"/>
      <c r="P11" s="950" t="str">
        <f>VLOOKUP(J11,'רשימת רשויות'!A:A,1,0)</f>
        <v>ירושלים</v>
      </c>
      <c r="Q11" s="956">
        <f>IFERROR(VLOOKUP(B11,[2]מעובד!$D:$K,8,0),0)</f>
        <v>0</v>
      </c>
      <c r="R11" s="956">
        <f>IFERROR(VLOOKUP(B11,[2]מעובד!$D:$L,9,0),0)</f>
        <v>0</v>
      </c>
    </row>
    <row r="12" spans="1:18" x14ac:dyDescent="0.2">
      <c r="A12" s="947" t="s">
        <v>270</v>
      </c>
      <c r="B12" s="947">
        <v>110320</v>
      </c>
      <c r="C12" s="947" t="s">
        <v>2189</v>
      </c>
      <c r="D12" s="947" t="s">
        <v>1404</v>
      </c>
      <c r="E12" s="951">
        <v>94</v>
      </c>
      <c r="F12" s="951">
        <v>42</v>
      </c>
      <c r="G12" s="947" t="s">
        <v>159</v>
      </c>
      <c r="H12" s="951">
        <v>94</v>
      </c>
      <c r="I12" s="951">
        <v>25</v>
      </c>
      <c r="J12" s="947" t="s">
        <v>270</v>
      </c>
      <c r="K12" s="947">
        <v>110320</v>
      </c>
      <c r="M12" s="631"/>
      <c r="P12" s="950" t="str">
        <f>VLOOKUP(J12,'רשימת רשויות'!A:A,1,0)</f>
        <v>ירושלים</v>
      </c>
      <c r="Q12" s="956">
        <f>IFERROR(VLOOKUP(B12,[2]מעובד!$D:$K,8,0),0)</f>
        <v>115</v>
      </c>
      <c r="R12" s="956">
        <f>IFERROR(VLOOKUP(B12,[2]מעובד!$D:$L,9,0),0)</f>
        <v>51</v>
      </c>
    </row>
    <row r="13" spans="1:18" x14ac:dyDescent="0.2">
      <c r="A13" s="947" t="s">
        <v>270</v>
      </c>
      <c r="B13" s="947">
        <v>110445</v>
      </c>
      <c r="C13" s="947" t="s">
        <v>2189</v>
      </c>
      <c r="D13" s="947" t="s">
        <v>1405</v>
      </c>
      <c r="E13" s="951">
        <v>153</v>
      </c>
      <c r="F13" s="951">
        <v>134</v>
      </c>
      <c r="G13" s="947" t="s">
        <v>159</v>
      </c>
      <c r="H13" s="951">
        <v>55</v>
      </c>
      <c r="I13" s="951">
        <v>5</v>
      </c>
      <c r="J13" s="947" t="s">
        <v>270</v>
      </c>
      <c r="K13" s="947">
        <v>110445</v>
      </c>
      <c r="M13" s="631"/>
      <c r="P13" s="950" t="str">
        <f>VLOOKUP(J13,'רשימת רשויות'!A:A,1,0)</f>
        <v>ירושלים</v>
      </c>
      <c r="Q13" s="956">
        <f>IFERROR(VLOOKUP(B13,[2]מעובד!$D:$K,8,0),0)</f>
        <v>135</v>
      </c>
      <c r="R13" s="956">
        <f>IFERROR(VLOOKUP(B13,[2]מעובד!$D:$L,9,0),0)</f>
        <v>73</v>
      </c>
    </row>
    <row r="14" spans="1:18" x14ac:dyDescent="0.2">
      <c r="A14" s="947" t="s">
        <v>270</v>
      </c>
      <c r="B14" s="947">
        <v>110452</v>
      </c>
      <c r="C14" s="947" t="s">
        <v>2189</v>
      </c>
      <c r="D14" s="947" t="s">
        <v>1406</v>
      </c>
      <c r="E14" s="951">
        <v>174</v>
      </c>
      <c r="F14" s="951">
        <v>131</v>
      </c>
      <c r="G14" s="947" t="s">
        <v>159</v>
      </c>
      <c r="H14" s="951">
        <v>115</v>
      </c>
      <c r="I14" s="951">
        <v>18</v>
      </c>
      <c r="J14" s="947" t="s">
        <v>270</v>
      </c>
      <c r="K14" s="947">
        <v>110452</v>
      </c>
      <c r="M14" s="631"/>
      <c r="P14" s="950" t="str">
        <f>VLOOKUP(J14,'רשימת רשויות'!A:A,1,0)</f>
        <v>ירושלים</v>
      </c>
      <c r="Q14" s="956">
        <f>IFERROR(VLOOKUP(B14,[2]מעובד!$D:$K,8,0),0)</f>
        <v>187</v>
      </c>
      <c r="R14" s="956">
        <f>IFERROR(VLOOKUP(B14,[2]מעובד!$D:$L,9,0),0)</f>
        <v>78</v>
      </c>
    </row>
    <row r="15" spans="1:18" x14ac:dyDescent="0.2">
      <c r="A15" s="947" t="s">
        <v>270</v>
      </c>
      <c r="B15" s="947">
        <v>110486</v>
      </c>
      <c r="C15" s="947" t="s">
        <v>2189</v>
      </c>
      <c r="D15" s="947" t="s">
        <v>914</v>
      </c>
      <c r="E15" s="951">
        <v>155</v>
      </c>
      <c r="F15" s="951">
        <v>113</v>
      </c>
      <c r="G15" s="947" t="s">
        <v>159</v>
      </c>
      <c r="H15" s="951">
        <v>58</v>
      </c>
      <c r="I15" s="951">
        <v>10</v>
      </c>
      <c r="J15" s="947" t="s">
        <v>270</v>
      </c>
      <c r="K15" s="947">
        <v>110486</v>
      </c>
      <c r="M15" s="631"/>
      <c r="P15" s="950" t="str">
        <f>VLOOKUP(J15,'רשימת רשויות'!A:A,1,0)</f>
        <v>ירושלים</v>
      </c>
      <c r="Q15" s="956">
        <f>IFERROR(VLOOKUP(B15,[2]מעובד!$D:$K,8,0),0)</f>
        <v>167</v>
      </c>
      <c r="R15" s="956">
        <f>IFERROR(VLOOKUP(B15,[2]מעובד!$D:$L,9,0),0)</f>
        <v>38</v>
      </c>
    </row>
    <row r="16" spans="1:18" x14ac:dyDescent="0.2">
      <c r="A16" s="947" t="s">
        <v>270</v>
      </c>
      <c r="B16" s="947">
        <v>110585</v>
      </c>
      <c r="C16" s="947" t="s">
        <v>2189</v>
      </c>
      <c r="D16" s="947" t="s">
        <v>1429</v>
      </c>
      <c r="E16" s="951">
        <v>115</v>
      </c>
      <c r="F16" s="951">
        <v>114</v>
      </c>
      <c r="G16" s="947" t="s">
        <v>159</v>
      </c>
      <c r="H16" s="951">
        <v>0</v>
      </c>
      <c r="I16" s="951">
        <v>0</v>
      </c>
      <c r="J16" s="947" t="s">
        <v>270</v>
      </c>
      <c r="K16" s="947">
        <v>110585</v>
      </c>
      <c r="M16" s="631"/>
      <c r="P16" s="950" t="str">
        <f>VLOOKUP(J16,'רשימת רשויות'!A:A,1,0)</f>
        <v>ירושלים</v>
      </c>
      <c r="Q16" s="956">
        <f>IFERROR(VLOOKUP(B16,[2]מעובד!$D:$K,8,0),0)</f>
        <v>104</v>
      </c>
      <c r="R16" s="956">
        <f>IFERROR(VLOOKUP(B16,[2]מעובד!$D:$L,9,0),0)</f>
        <v>104</v>
      </c>
    </row>
    <row r="17" spans="1:18" x14ac:dyDescent="0.2">
      <c r="A17" s="947" t="s">
        <v>270</v>
      </c>
      <c r="B17" s="947">
        <v>110619</v>
      </c>
      <c r="C17" s="947" t="s">
        <v>2189</v>
      </c>
      <c r="D17" s="947" t="s">
        <v>1430</v>
      </c>
      <c r="E17" s="951">
        <v>176</v>
      </c>
      <c r="F17" s="951">
        <v>131</v>
      </c>
      <c r="G17" s="947" t="s">
        <v>159</v>
      </c>
      <c r="H17" s="951">
        <v>65</v>
      </c>
      <c r="I17" s="951">
        <v>6</v>
      </c>
      <c r="J17" s="947" t="s">
        <v>270</v>
      </c>
      <c r="K17" s="947">
        <v>110619</v>
      </c>
      <c r="M17" s="631"/>
      <c r="P17" s="950" t="str">
        <f>VLOOKUP(J17,'רשימת רשויות'!A:A,1,0)</f>
        <v>ירושלים</v>
      </c>
      <c r="Q17" s="956">
        <f>IFERROR(VLOOKUP(B17,[2]מעובד!$D:$K,8,0),0)</f>
        <v>208</v>
      </c>
      <c r="R17" s="956">
        <f>IFERROR(VLOOKUP(B17,[2]מעובד!$D:$L,9,0),0)</f>
        <v>126</v>
      </c>
    </row>
    <row r="18" spans="1:18" x14ac:dyDescent="0.2">
      <c r="A18" s="947" t="s">
        <v>311</v>
      </c>
      <c r="B18" s="947">
        <v>110726</v>
      </c>
      <c r="C18" s="947" t="s">
        <v>2189</v>
      </c>
      <c r="D18" s="947" t="s">
        <v>1115</v>
      </c>
      <c r="E18" s="951">
        <v>146</v>
      </c>
      <c r="F18" s="951">
        <v>95</v>
      </c>
      <c r="G18" s="947" t="s">
        <v>159</v>
      </c>
      <c r="H18" s="951">
        <v>50</v>
      </c>
      <c r="I18" s="951">
        <v>1</v>
      </c>
      <c r="J18" s="947" t="s">
        <v>311</v>
      </c>
      <c r="K18" s="947">
        <v>110726</v>
      </c>
      <c r="M18" s="631"/>
      <c r="P18" s="950" t="str">
        <f>VLOOKUP(J18,'רשימת רשויות'!A:A,1,0)</f>
        <v>מטה יהודה</v>
      </c>
      <c r="Q18" s="956">
        <f>IFERROR(VLOOKUP(B18,[2]מעובד!$D:$K,8,0),0)</f>
        <v>156</v>
      </c>
      <c r="R18" s="956">
        <f>IFERROR(VLOOKUP(B18,[2]מעובד!$D:$L,9,0),0)</f>
        <v>76</v>
      </c>
    </row>
    <row r="19" spans="1:18" x14ac:dyDescent="0.2">
      <c r="A19" s="947" t="s">
        <v>311</v>
      </c>
      <c r="B19" s="947">
        <v>110734</v>
      </c>
      <c r="C19" s="947" t="s">
        <v>2189</v>
      </c>
      <c r="D19" s="947" t="s">
        <v>1116</v>
      </c>
      <c r="E19" s="951">
        <v>245</v>
      </c>
      <c r="F19" s="951">
        <v>110</v>
      </c>
      <c r="G19" s="947" t="s">
        <v>159</v>
      </c>
      <c r="H19" s="951">
        <v>84</v>
      </c>
      <c r="I19" s="951">
        <v>0</v>
      </c>
      <c r="J19" s="947" t="s">
        <v>311</v>
      </c>
      <c r="K19" s="947">
        <v>110734</v>
      </c>
      <c r="M19" s="631"/>
      <c r="P19" s="950" t="str">
        <f>VLOOKUP(J19,'רשימת רשויות'!A:A,1,0)</f>
        <v>מטה יהודה</v>
      </c>
      <c r="Q19" s="956">
        <f>IFERROR(VLOOKUP(B19,[2]מעובד!$D:$K,8,0),0)</f>
        <v>261</v>
      </c>
      <c r="R19" s="956">
        <f>IFERROR(VLOOKUP(B19,[2]מעובד!$D:$L,9,0),0)</f>
        <v>101</v>
      </c>
    </row>
    <row r="20" spans="1:18" x14ac:dyDescent="0.2">
      <c r="A20" s="947" t="s">
        <v>270</v>
      </c>
      <c r="B20" s="947">
        <v>110866</v>
      </c>
      <c r="C20" s="947" t="s">
        <v>2189</v>
      </c>
      <c r="D20" s="947" t="s">
        <v>2201</v>
      </c>
      <c r="E20" s="951">
        <v>189</v>
      </c>
      <c r="F20" s="951">
        <v>172</v>
      </c>
      <c r="G20" s="947" t="s">
        <v>3252</v>
      </c>
      <c r="H20" s="951">
        <v>0</v>
      </c>
      <c r="I20" s="951">
        <v>0</v>
      </c>
      <c r="J20" s="947" t="s">
        <v>270</v>
      </c>
      <c r="K20" s="947">
        <v>110866</v>
      </c>
      <c r="M20" s="631"/>
      <c r="P20" s="950" t="str">
        <f>VLOOKUP(J20,'רשימת רשויות'!A:A,1,0)</f>
        <v>ירושלים</v>
      </c>
      <c r="Q20" s="956">
        <f>IFERROR(VLOOKUP(B20,[2]מעובד!$D:$K,8,0),0)</f>
        <v>0</v>
      </c>
      <c r="R20" s="956">
        <f>IFERROR(VLOOKUP(B20,[2]מעובד!$D:$L,9,0),0)</f>
        <v>0</v>
      </c>
    </row>
    <row r="21" spans="1:18" x14ac:dyDescent="0.2">
      <c r="A21" s="947" t="s">
        <v>270</v>
      </c>
      <c r="B21" s="947">
        <v>110932</v>
      </c>
      <c r="C21" s="947" t="s">
        <v>2189</v>
      </c>
      <c r="D21" s="947" t="s">
        <v>1328</v>
      </c>
      <c r="E21" s="951">
        <v>255</v>
      </c>
      <c r="F21" s="951">
        <v>255</v>
      </c>
      <c r="G21" s="947" t="s">
        <v>3252</v>
      </c>
      <c r="H21" s="951">
        <v>0</v>
      </c>
      <c r="I21" s="951">
        <v>0</v>
      </c>
      <c r="J21" s="947" t="s">
        <v>270</v>
      </c>
      <c r="K21" s="947">
        <v>110932</v>
      </c>
      <c r="M21" s="631"/>
      <c r="P21" s="950" t="str">
        <f>VLOOKUP(J21,'רשימת רשויות'!A:A,1,0)</f>
        <v>ירושלים</v>
      </c>
      <c r="Q21" s="956">
        <f>IFERROR(VLOOKUP(B21,[2]מעובד!$D:$K,8,0),0)</f>
        <v>0</v>
      </c>
      <c r="R21" s="956">
        <f>IFERROR(VLOOKUP(B21,[2]מעובד!$D:$L,9,0),0)</f>
        <v>0</v>
      </c>
    </row>
    <row r="22" spans="1:18" x14ac:dyDescent="0.2">
      <c r="A22" s="947" t="s">
        <v>270</v>
      </c>
      <c r="B22" s="947">
        <v>110957</v>
      </c>
      <c r="C22" s="947" t="s">
        <v>2189</v>
      </c>
      <c r="D22" s="947" t="s">
        <v>1329</v>
      </c>
      <c r="E22" s="951">
        <v>296</v>
      </c>
      <c r="F22" s="951">
        <v>261</v>
      </c>
      <c r="G22" s="947" t="s">
        <v>3252</v>
      </c>
      <c r="H22" s="951">
        <v>0</v>
      </c>
      <c r="I22" s="951">
        <v>0</v>
      </c>
      <c r="J22" s="947" t="s">
        <v>270</v>
      </c>
      <c r="K22" s="947">
        <v>110957</v>
      </c>
      <c r="M22" s="631"/>
      <c r="P22" s="950" t="str">
        <f>VLOOKUP(J22,'רשימת רשויות'!A:A,1,0)</f>
        <v>ירושלים</v>
      </c>
      <c r="Q22" s="956">
        <f>IFERROR(VLOOKUP(B22,[2]מעובד!$D:$K,8,0),0)</f>
        <v>0</v>
      </c>
      <c r="R22" s="956">
        <f>IFERROR(VLOOKUP(B22,[2]מעובד!$D:$L,9,0),0)</f>
        <v>0</v>
      </c>
    </row>
    <row r="23" spans="1:18" x14ac:dyDescent="0.2">
      <c r="A23" s="947" t="s">
        <v>270</v>
      </c>
      <c r="B23" s="947">
        <v>110973</v>
      </c>
      <c r="C23" s="947" t="s">
        <v>2189</v>
      </c>
      <c r="D23" s="947" t="s">
        <v>2736</v>
      </c>
      <c r="E23" s="951">
        <v>64</v>
      </c>
      <c r="F23" s="951">
        <v>28</v>
      </c>
      <c r="G23" s="947" t="s">
        <v>3252</v>
      </c>
      <c r="H23" s="951">
        <v>0</v>
      </c>
      <c r="I23" s="951">
        <v>0</v>
      </c>
      <c r="J23" s="947" t="s">
        <v>270</v>
      </c>
      <c r="K23" s="947">
        <v>110973</v>
      </c>
      <c r="M23" s="631"/>
      <c r="P23" s="950" t="str">
        <f>VLOOKUP(J23,'רשימת רשויות'!A:A,1,0)</f>
        <v>ירושלים</v>
      </c>
      <c r="Q23" s="956">
        <f>IFERROR(VLOOKUP(B23,[2]מעובד!$D:$K,8,0),0)</f>
        <v>0</v>
      </c>
      <c r="R23" s="956">
        <f>IFERROR(VLOOKUP(B23,[2]מעובד!$D:$L,9,0),0)</f>
        <v>0</v>
      </c>
    </row>
    <row r="24" spans="1:18" x14ac:dyDescent="0.2">
      <c r="A24" s="947" t="s">
        <v>270</v>
      </c>
      <c r="B24" s="947">
        <v>110981</v>
      </c>
      <c r="C24" s="947" t="s">
        <v>2189</v>
      </c>
      <c r="D24" s="947" t="s">
        <v>1330</v>
      </c>
      <c r="E24" s="951">
        <v>74</v>
      </c>
      <c r="F24" s="951">
        <v>56</v>
      </c>
      <c r="G24" s="947" t="s">
        <v>3252</v>
      </c>
      <c r="H24" s="951">
        <v>0</v>
      </c>
      <c r="I24" s="951">
        <v>0</v>
      </c>
      <c r="J24" s="947" t="s">
        <v>270</v>
      </c>
      <c r="K24" s="947">
        <v>110981</v>
      </c>
      <c r="M24" s="631"/>
      <c r="P24" s="950" t="str">
        <f>VLOOKUP(J24,'רשימת רשויות'!A:A,1,0)</f>
        <v>ירושלים</v>
      </c>
      <c r="Q24" s="956">
        <f>IFERROR(VLOOKUP(B24,[2]מעובד!$D:$K,8,0),0)</f>
        <v>0</v>
      </c>
      <c r="R24" s="956">
        <f>IFERROR(VLOOKUP(B24,[2]מעובד!$D:$L,9,0),0)</f>
        <v>0</v>
      </c>
    </row>
    <row r="25" spans="1:18" x14ac:dyDescent="0.2">
      <c r="A25" s="947" t="s">
        <v>270</v>
      </c>
      <c r="B25" s="947">
        <v>111062</v>
      </c>
      <c r="C25" s="947" t="s">
        <v>2189</v>
      </c>
      <c r="D25" s="947" t="s">
        <v>706</v>
      </c>
      <c r="E25" s="951">
        <v>180</v>
      </c>
      <c r="F25" s="951">
        <v>126</v>
      </c>
      <c r="G25" s="947" t="s">
        <v>159</v>
      </c>
      <c r="H25" s="951">
        <v>180</v>
      </c>
      <c r="I25" s="951">
        <v>9</v>
      </c>
      <c r="J25" s="947" t="s">
        <v>270</v>
      </c>
      <c r="K25" s="947">
        <v>111062</v>
      </c>
      <c r="M25" s="631"/>
      <c r="P25" s="950" t="str">
        <f>VLOOKUP(J25,'רשימת רשויות'!A:A,1,0)</f>
        <v>ירושלים</v>
      </c>
      <c r="Q25" s="956">
        <f>IFERROR(VLOOKUP(B25,[2]מעובד!$D:$K,8,0),0)</f>
        <v>238</v>
      </c>
      <c r="R25" s="956">
        <f>IFERROR(VLOOKUP(B25,[2]מעובד!$D:$L,9,0),0)</f>
        <v>121</v>
      </c>
    </row>
    <row r="26" spans="1:18" x14ac:dyDescent="0.2">
      <c r="A26" s="947" t="s">
        <v>311</v>
      </c>
      <c r="B26" s="947">
        <v>111096</v>
      </c>
      <c r="C26" s="947" t="s">
        <v>2189</v>
      </c>
      <c r="D26" s="947" t="s">
        <v>1073</v>
      </c>
      <c r="E26" s="951">
        <v>214</v>
      </c>
      <c r="F26" s="951">
        <v>125</v>
      </c>
      <c r="G26" s="947" t="s">
        <v>159</v>
      </c>
      <c r="H26" s="951">
        <v>159</v>
      </c>
      <c r="I26" s="951">
        <v>8</v>
      </c>
      <c r="J26" s="947" t="s">
        <v>311</v>
      </c>
      <c r="K26" s="947">
        <v>111096</v>
      </c>
      <c r="M26" s="631"/>
      <c r="P26" s="950" t="str">
        <f>VLOOKUP(J26,'רשימת רשויות'!A:A,1,0)</f>
        <v>מטה יהודה</v>
      </c>
      <c r="Q26" s="956">
        <f>IFERROR(VLOOKUP(B26,[2]מעובד!$D:$K,8,0),0)</f>
        <v>258</v>
      </c>
      <c r="R26" s="956">
        <f>IFERROR(VLOOKUP(B26,[2]מעובד!$D:$L,9,0),0)</f>
        <v>85</v>
      </c>
    </row>
    <row r="27" spans="1:18" x14ac:dyDescent="0.2">
      <c r="A27" s="947" t="s">
        <v>270</v>
      </c>
      <c r="B27" s="947">
        <v>111112</v>
      </c>
      <c r="C27" s="947" t="s">
        <v>2189</v>
      </c>
      <c r="D27" s="947" t="s">
        <v>1361</v>
      </c>
      <c r="E27" s="951">
        <v>136</v>
      </c>
      <c r="F27" s="951">
        <v>85</v>
      </c>
      <c r="G27" s="947" t="s">
        <v>159</v>
      </c>
      <c r="H27" s="951">
        <v>136</v>
      </c>
      <c r="I27" s="951">
        <v>16</v>
      </c>
      <c r="J27" s="947" t="s">
        <v>270</v>
      </c>
      <c r="K27" s="947">
        <v>111112</v>
      </c>
      <c r="M27" s="631"/>
      <c r="P27" s="950" t="str">
        <f>VLOOKUP(J27,'רשימת רשויות'!A:A,1,0)</f>
        <v>ירושלים</v>
      </c>
      <c r="Q27" s="956">
        <f>IFERROR(VLOOKUP(B27,[2]מעובד!$D:$K,8,0),0)</f>
        <v>165</v>
      </c>
      <c r="R27" s="956">
        <f>IFERROR(VLOOKUP(B27,[2]מעובד!$D:$L,9,0),0)</f>
        <v>85</v>
      </c>
    </row>
    <row r="28" spans="1:18" x14ac:dyDescent="0.2">
      <c r="A28" s="947" t="s">
        <v>270</v>
      </c>
      <c r="B28" s="947">
        <v>111120</v>
      </c>
      <c r="C28" s="947" t="s">
        <v>2189</v>
      </c>
      <c r="D28" s="947" t="s">
        <v>1362</v>
      </c>
      <c r="E28" s="951">
        <v>110</v>
      </c>
      <c r="F28" s="951">
        <v>94</v>
      </c>
      <c r="G28" s="947" t="s">
        <v>159</v>
      </c>
      <c r="H28" s="951">
        <v>0</v>
      </c>
      <c r="I28" s="951">
        <v>0</v>
      </c>
      <c r="J28" s="947" t="s">
        <v>270</v>
      </c>
      <c r="K28" s="947">
        <v>111120</v>
      </c>
      <c r="M28" s="631"/>
      <c r="P28" s="950" t="str">
        <f>VLOOKUP(J28,'רשימת רשויות'!A:A,1,0)</f>
        <v>ירושלים</v>
      </c>
      <c r="Q28" s="956">
        <f>IFERROR(VLOOKUP(B28,[2]מעובד!$D:$K,8,0),0)</f>
        <v>128</v>
      </c>
      <c r="R28" s="956">
        <f>IFERROR(VLOOKUP(B28,[2]מעובד!$D:$L,9,0),0)</f>
        <v>107</v>
      </c>
    </row>
    <row r="29" spans="1:18" x14ac:dyDescent="0.2">
      <c r="A29" s="947" t="s">
        <v>270</v>
      </c>
      <c r="B29" s="947">
        <v>111138</v>
      </c>
      <c r="C29" s="947" t="s">
        <v>2189</v>
      </c>
      <c r="D29" s="947" t="s">
        <v>2931</v>
      </c>
      <c r="E29" s="951">
        <v>557</v>
      </c>
      <c r="F29" s="951">
        <v>521</v>
      </c>
      <c r="G29" s="947" t="s">
        <v>3252</v>
      </c>
      <c r="H29" s="951">
        <v>0</v>
      </c>
      <c r="I29" s="951">
        <v>0</v>
      </c>
      <c r="J29" s="947" t="s">
        <v>270</v>
      </c>
      <c r="K29" s="947">
        <v>111138</v>
      </c>
      <c r="M29" s="631"/>
      <c r="P29" s="950" t="str">
        <f>VLOOKUP(J29,'רשימת רשויות'!A:A,1,0)</f>
        <v>ירושלים</v>
      </c>
      <c r="Q29" s="956">
        <f>IFERROR(VLOOKUP(B29,[2]מעובד!$D:$K,8,0),0)</f>
        <v>528</v>
      </c>
      <c r="R29" s="956">
        <f>IFERROR(VLOOKUP(B29,[2]מעובד!$D:$L,9,0),0)</f>
        <v>296</v>
      </c>
    </row>
    <row r="30" spans="1:18" x14ac:dyDescent="0.2">
      <c r="A30" s="947" t="s">
        <v>196</v>
      </c>
      <c r="B30" s="947">
        <v>111179</v>
      </c>
      <c r="C30" s="947" t="s">
        <v>2189</v>
      </c>
      <c r="D30" s="947" t="s">
        <v>732</v>
      </c>
      <c r="E30" s="951">
        <v>158</v>
      </c>
      <c r="F30" s="951">
        <v>134</v>
      </c>
      <c r="G30" s="947" t="s">
        <v>159</v>
      </c>
      <c r="H30" s="951">
        <v>55</v>
      </c>
      <c r="I30" s="951">
        <v>10</v>
      </c>
      <c r="J30" s="947" t="s">
        <v>196</v>
      </c>
      <c r="K30" s="947">
        <v>111179</v>
      </c>
      <c r="M30" s="631"/>
      <c r="P30" s="950" t="str">
        <f>VLOOKUP(J30,'רשימת רשויות'!A:A,1,0)</f>
        <v>בית שמש</v>
      </c>
      <c r="Q30" s="956">
        <f>IFERROR(VLOOKUP(B30,[2]מעובד!$D:$K,8,0),0)</f>
        <v>153</v>
      </c>
      <c r="R30" s="956">
        <f>IFERROR(VLOOKUP(B30,[2]מעובד!$D:$L,9,0),0)</f>
        <v>83</v>
      </c>
    </row>
    <row r="31" spans="1:18" x14ac:dyDescent="0.2">
      <c r="A31" s="947" t="s">
        <v>370</v>
      </c>
      <c r="B31" s="947">
        <v>111195</v>
      </c>
      <c r="C31" s="947" t="s">
        <v>2189</v>
      </c>
      <c r="D31" s="947" t="s">
        <v>1079</v>
      </c>
      <c r="E31" s="951">
        <v>142</v>
      </c>
      <c r="F31" s="951">
        <v>120</v>
      </c>
      <c r="G31" s="947" t="s">
        <v>159</v>
      </c>
      <c r="H31" s="951">
        <v>56</v>
      </c>
      <c r="I31" s="951">
        <v>5</v>
      </c>
      <c r="J31" s="947" t="s">
        <v>370</v>
      </c>
      <c r="K31" s="947">
        <v>111195</v>
      </c>
      <c r="M31" s="631"/>
      <c r="P31" s="950" t="str">
        <f>VLOOKUP(J31,'רשימת רשויות'!A:A,1,0)</f>
        <v>קרית ארבע</v>
      </c>
      <c r="Q31" s="956">
        <f>IFERROR(VLOOKUP(B31,[2]מעובד!$D:$K,8,0),0)</f>
        <v>129</v>
      </c>
      <c r="R31" s="956">
        <f>IFERROR(VLOOKUP(B31,[2]מעובד!$D:$L,9,0),0)</f>
        <v>60</v>
      </c>
    </row>
    <row r="32" spans="1:18" x14ac:dyDescent="0.2">
      <c r="A32" s="947" t="s">
        <v>270</v>
      </c>
      <c r="B32" s="947">
        <v>111203</v>
      </c>
      <c r="C32" s="947" t="s">
        <v>2189</v>
      </c>
      <c r="D32" s="947" t="s">
        <v>1382</v>
      </c>
      <c r="E32" s="951">
        <v>149</v>
      </c>
      <c r="F32" s="951">
        <v>126</v>
      </c>
      <c r="G32" s="947" t="s">
        <v>159</v>
      </c>
      <c r="H32" s="951">
        <v>0</v>
      </c>
      <c r="I32" s="951">
        <v>0</v>
      </c>
      <c r="J32" s="947" t="s">
        <v>270</v>
      </c>
      <c r="K32" s="947">
        <v>111203</v>
      </c>
      <c r="M32" s="631"/>
      <c r="P32" s="950" t="str">
        <f>VLOOKUP(J32,'רשימת רשויות'!A:A,1,0)</f>
        <v>ירושלים</v>
      </c>
      <c r="Q32" s="956">
        <f>IFERROR(VLOOKUP(B32,[2]מעובד!$D:$K,8,0),0)</f>
        <v>64</v>
      </c>
      <c r="R32" s="956">
        <f>IFERROR(VLOOKUP(B32,[2]מעובד!$D:$L,9,0),0)</f>
        <v>32</v>
      </c>
    </row>
    <row r="33" spans="1:18" x14ac:dyDescent="0.2">
      <c r="A33" s="947" t="s">
        <v>270</v>
      </c>
      <c r="B33" s="947">
        <v>111252</v>
      </c>
      <c r="C33" s="947" t="s">
        <v>2189</v>
      </c>
      <c r="D33" s="947" t="s">
        <v>1142</v>
      </c>
      <c r="E33" s="951">
        <v>103</v>
      </c>
      <c r="F33" s="951">
        <v>102</v>
      </c>
      <c r="G33" s="947" t="s">
        <v>3252</v>
      </c>
      <c r="H33" s="951">
        <v>0</v>
      </c>
      <c r="I33" s="951">
        <v>0</v>
      </c>
      <c r="J33" s="947" t="s">
        <v>270</v>
      </c>
      <c r="K33" s="947">
        <v>111252</v>
      </c>
      <c r="M33" s="631"/>
      <c r="P33" s="950" t="str">
        <f>VLOOKUP(J33,'רשימת רשויות'!A:A,1,0)</f>
        <v>ירושלים</v>
      </c>
      <c r="Q33" s="956">
        <f>IFERROR(VLOOKUP(B33,[2]מעובד!$D:$K,8,0),0)</f>
        <v>0</v>
      </c>
      <c r="R33" s="956">
        <f>IFERROR(VLOOKUP(B33,[2]מעובד!$D:$L,9,0),0)</f>
        <v>0</v>
      </c>
    </row>
    <row r="34" spans="1:18" x14ac:dyDescent="0.2">
      <c r="A34" s="947" t="s">
        <v>270</v>
      </c>
      <c r="B34" s="947">
        <v>111260</v>
      </c>
      <c r="C34" s="947" t="s">
        <v>2189</v>
      </c>
      <c r="D34" s="947" t="s">
        <v>1383</v>
      </c>
      <c r="E34" s="951">
        <v>199</v>
      </c>
      <c r="F34" s="951">
        <v>180</v>
      </c>
      <c r="G34" s="947" t="s">
        <v>159</v>
      </c>
      <c r="H34" s="951">
        <v>0</v>
      </c>
      <c r="I34" s="951">
        <v>0</v>
      </c>
      <c r="J34" s="947" t="s">
        <v>270</v>
      </c>
      <c r="K34" s="947">
        <v>111260</v>
      </c>
      <c r="M34" s="631"/>
      <c r="P34" s="950" t="str">
        <f>VLOOKUP(J34,'רשימת רשויות'!A:A,1,0)</f>
        <v>ירושלים</v>
      </c>
      <c r="Q34" s="956">
        <f>IFERROR(VLOOKUP(B34,[2]מעובד!$D:$K,8,0),0)</f>
        <v>0</v>
      </c>
      <c r="R34" s="956">
        <f>IFERROR(VLOOKUP(B34,[2]מעובד!$D:$L,9,0),0)</f>
        <v>0</v>
      </c>
    </row>
    <row r="35" spans="1:18" x14ac:dyDescent="0.2">
      <c r="A35" s="947" t="s">
        <v>270</v>
      </c>
      <c r="B35" s="947">
        <v>111294</v>
      </c>
      <c r="C35" s="947" t="s">
        <v>2189</v>
      </c>
      <c r="D35" s="947" t="s">
        <v>1392</v>
      </c>
      <c r="E35" s="951">
        <v>49</v>
      </c>
      <c r="F35" s="951">
        <v>49</v>
      </c>
      <c r="G35" s="947" t="s">
        <v>159</v>
      </c>
      <c r="H35" s="951">
        <v>0</v>
      </c>
      <c r="I35" s="951">
        <v>0</v>
      </c>
      <c r="J35" s="947" t="s">
        <v>270</v>
      </c>
      <c r="K35" s="947">
        <v>111294</v>
      </c>
      <c r="M35" s="631"/>
      <c r="P35" s="950" t="str">
        <f>VLOOKUP(J35,'רשימת רשויות'!A:A,1,0)</f>
        <v>ירושלים</v>
      </c>
      <c r="Q35" s="956">
        <f>IFERROR(VLOOKUP(B35,[2]מעובד!$D:$K,8,0),0)</f>
        <v>0</v>
      </c>
      <c r="R35" s="956">
        <f>IFERROR(VLOOKUP(B35,[2]מעובד!$D:$L,9,0),0)</f>
        <v>0</v>
      </c>
    </row>
    <row r="36" spans="1:18" x14ac:dyDescent="0.2">
      <c r="A36" s="947" t="s">
        <v>270</v>
      </c>
      <c r="B36" s="947">
        <v>111344</v>
      </c>
      <c r="C36" s="947" t="s">
        <v>2189</v>
      </c>
      <c r="D36" s="947" t="s">
        <v>1393</v>
      </c>
      <c r="E36" s="951">
        <v>149</v>
      </c>
      <c r="F36" s="951">
        <v>121</v>
      </c>
      <c r="G36" s="947" t="s">
        <v>159</v>
      </c>
      <c r="H36" s="951">
        <v>0</v>
      </c>
      <c r="I36" s="951">
        <v>0</v>
      </c>
      <c r="J36" s="947" t="s">
        <v>270</v>
      </c>
      <c r="K36" s="947">
        <v>111344</v>
      </c>
      <c r="M36" s="631"/>
      <c r="P36" s="950" t="str">
        <f>VLOOKUP(J36,'רשימת רשויות'!A:A,1,0)</f>
        <v>ירושלים</v>
      </c>
      <c r="Q36" s="956">
        <f>IFERROR(VLOOKUP(B36,[2]מעובד!$D:$K,8,0),0)</f>
        <v>0</v>
      </c>
      <c r="R36" s="956">
        <f>IFERROR(VLOOKUP(B36,[2]מעובד!$D:$L,9,0),0)</f>
        <v>0</v>
      </c>
    </row>
    <row r="37" spans="1:18" x14ac:dyDescent="0.2">
      <c r="A37" s="947" t="s">
        <v>270</v>
      </c>
      <c r="B37" s="947">
        <v>111351</v>
      </c>
      <c r="C37" s="947" t="s">
        <v>2189</v>
      </c>
      <c r="D37" s="947" t="s">
        <v>1419</v>
      </c>
      <c r="E37" s="951">
        <v>65</v>
      </c>
      <c r="F37" s="951">
        <v>61</v>
      </c>
      <c r="G37" s="947" t="s">
        <v>159</v>
      </c>
      <c r="H37" s="951">
        <v>0</v>
      </c>
      <c r="I37" s="951">
        <v>0</v>
      </c>
      <c r="J37" s="947" t="s">
        <v>270</v>
      </c>
      <c r="K37" s="947">
        <v>111351</v>
      </c>
      <c r="M37" s="631"/>
      <c r="P37" s="950" t="str">
        <f>VLOOKUP(J37,'רשימת רשויות'!A:A,1,0)</f>
        <v>ירושלים</v>
      </c>
      <c r="Q37" s="956">
        <f>IFERROR(VLOOKUP(B37,[2]מעובד!$D:$K,8,0),0)</f>
        <v>113</v>
      </c>
      <c r="R37" s="956">
        <f>IFERROR(VLOOKUP(B37,[2]מעובד!$D:$L,9,0),0)</f>
        <v>41</v>
      </c>
    </row>
    <row r="38" spans="1:18" x14ac:dyDescent="0.2">
      <c r="A38" s="947" t="s">
        <v>297</v>
      </c>
      <c r="B38" s="947">
        <v>111369</v>
      </c>
      <c r="C38" s="947" t="s">
        <v>2189</v>
      </c>
      <c r="D38" s="947" t="s">
        <v>1019</v>
      </c>
      <c r="E38" s="951">
        <v>289</v>
      </c>
      <c r="F38" s="951">
        <v>103</v>
      </c>
      <c r="G38" s="947" t="s">
        <v>159</v>
      </c>
      <c r="H38" s="951">
        <v>289</v>
      </c>
      <c r="I38" s="951">
        <v>30</v>
      </c>
      <c r="J38" s="947" t="s">
        <v>297</v>
      </c>
      <c r="K38" s="947">
        <v>111369</v>
      </c>
      <c r="M38" s="631"/>
      <c r="P38" s="950" t="str">
        <f>VLOOKUP(J38,'רשימת רשויות'!A:A,1,0)</f>
        <v>מבשרת ציון</v>
      </c>
      <c r="Q38" s="956">
        <f>IFERROR(VLOOKUP(B38,[2]מעובד!$D:$K,8,0),0)</f>
        <v>276</v>
      </c>
      <c r="R38" s="956">
        <f>IFERROR(VLOOKUP(B38,[2]מעובד!$D:$L,9,0),0)</f>
        <v>118</v>
      </c>
    </row>
    <row r="39" spans="1:18" x14ac:dyDescent="0.2">
      <c r="A39" s="947" t="s">
        <v>179</v>
      </c>
      <c r="B39" s="947">
        <v>111385</v>
      </c>
      <c r="C39" s="947" t="s">
        <v>2189</v>
      </c>
      <c r="D39" s="947" t="s">
        <v>1092</v>
      </c>
      <c r="E39" s="951">
        <v>308</v>
      </c>
      <c r="F39" s="951">
        <v>263</v>
      </c>
      <c r="G39" s="947" t="s">
        <v>159</v>
      </c>
      <c r="H39" s="951">
        <v>116</v>
      </c>
      <c r="I39" s="951">
        <v>6</v>
      </c>
      <c r="J39" s="947" t="s">
        <v>179</v>
      </c>
      <c r="K39" s="947">
        <v>111385</v>
      </c>
      <c r="M39" s="631"/>
      <c r="P39" s="950" t="str">
        <f>VLOOKUP(J39,'רשימת רשויות'!A:A,1,0)</f>
        <v>אפרת</v>
      </c>
      <c r="Q39" s="956">
        <f>IFERROR(VLOOKUP(B39,[2]מעובד!$D:$K,8,0),0)</f>
        <v>0</v>
      </c>
      <c r="R39" s="956">
        <f>IFERROR(VLOOKUP(B39,[2]מעובד!$D:$L,9,0),0)</f>
        <v>0</v>
      </c>
    </row>
    <row r="40" spans="1:18" x14ac:dyDescent="0.2">
      <c r="A40" s="947" t="s">
        <v>270</v>
      </c>
      <c r="B40" s="947">
        <v>111393</v>
      </c>
      <c r="C40" s="947" t="s">
        <v>2189</v>
      </c>
      <c r="D40" s="947" t="s">
        <v>1431</v>
      </c>
      <c r="E40" s="951">
        <v>198</v>
      </c>
      <c r="F40" s="951">
        <v>187</v>
      </c>
      <c r="G40" s="947" t="s">
        <v>159</v>
      </c>
      <c r="H40" s="951">
        <v>0</v>
      </c>
      <c r="I40" s="951">
        <v>0</v>
      </c>
      <c r="J40" s="947" t="s">
        <v>270</v>
      </c>
      <c r="K40" s="947">
        <v>111393</v>
      </c>
      <c r="M40" s="631"/>
      <c r="P40" s="950" t="str">
        <f>VLOOKUP(J40,'רשימת רשויות'!A:A,1,0)</f>
        <v>ירושלים</v>
      </c>
      <c r="Q40" s="956">
        <f>IFERROR(VLOOKUP(B40,[2]מעובד!$D:$K,8,0),0)</f>
        <v>165</v>
      </c>
      <c r="R40" s="956">
        <f>IFERROR(VLOOKUP(B40,[2]מעובד!$D:$L,9,0),0)</f>
        <v>111</v>
      </c>
    </row>
    <row r="41" spans="1:18" x14ac:dyDescent="0.2">
      <c r="A41" s="947" t="s">
        <v>370</v>
      </c>
      <c r="B41" s="947">
        <v>111450</v>
      </c>
      <c r="C41" s="947" t="s">
        <v>2189</v>
      </c>
      <c r="D41" s="947" t="s">
        <v>1097</v>
      </c>
      <c r="E41" s="951">
        <v>18</v>
      </c>
      <c r="F41" s="951">
        <v>12</v>
      </c>
      <c r="G41" s="947" t="s">
        <v>159</v>
      </c>
      <c r="H41" s="951">
        <v>0</v>
      </c>
      <c r="I41" s="951">
        <v>0</v>
      </c>
      <c r="J41" s="947" t="s">
        <v>370</v>
      </c>
      <c r="K41" s="947">
        <v>111450</v>
      </c>
      <c r="M41" s="631"/>
      <c r="P41" s="950" t="str">
        <f>VLOOKUP(J41,'רשימת רשויות'!A:A,1,0)</f>
        <v>קרית ארבע</v>
      </c>
      <c r="Q41" s="956">
        <f>IFERROR(VLOOKUP(B41,[2]מעובד!$D:$K,8,0),0)</f>
        <v>5</v>
      </c>
      <c r="R41" s="956">
        <f>IFERROR(VLOOKUP(B41,[2]מעובד!$D:$L,9,0),0)</f>
        <v>4</v>
      </c>
    </row>
    <row r="42" spans="1:18" x14ac:dyDescent="0.2">
      <c r="A42" s="947" t="s">
        <v>270</v>
      </c>
      <c r="B42" s="947">
        <v>111500</v>
      </c>
      <c r="C42" s="947" t="s">
        <v>2189</v>
      </c>
      <c r="D42" s="947" t="s">
        <v>1432</v>
      </c>
      <c r="E42" s="951">
        <v>136</v>
      </c>
      <c r="F42" s="951">
        <v>80</v>
      </c>
      <c r="G42" s="947" t="s">
        <v>159</v>
      </c>
      <c r="H42" s="951">
        <v>101</v>
      </c>
      <c r="I42" s="951">
        <v>13</v>
      </c>
      <c r="J42" s="947" t="s">
        <v>270</v>
      </c>
      <c r="K42" s="947">
        <v>111500</v>
      </c>
      <c r="M42" s="631"/>
      <c r="P42" s="950" t="str">
        <f>VLOOKUP(J42,'רשימת רשויות'!A:A,1,0)</f>
        <v>ירושלים</v>
      </c>
      <c r="Q42" s="956">
        <f>IFERROR(VLOOKUP(B42,[2]מעובד!$D:$K,8,0),0)</f>
        <v>207</v>
      </c>
      <c r="R42" s="956">
        <f>IFERROR(VLOOKUP(B42,[2]מעובד!$D:$L,9,0),0)</f>
        <v>121</v>
      </c>
    </row>
    <row r="43" spans="1:18" x14ac:dyDescent="0.2">
      <c r="A43" s="947" t="s">
        <v>270</v>
      </c>
      <c r="B43" s="947">
        <v>111591</v>
      </c>
      <c r="C43" s="947" t="s">
        <v>2189</v>
      </c>
      <c r="D43" s="947" t="s">
        <v>1457</v>
      </c>
      <c r="E43" s="951">
        <v>107</v>
      </c>
      <c r="F43" s="951">
        <v>82</v>
      </c>
      <c r="G43" s="947" t="s">
        <v>159</v>
      </c>
      <c r="H43" s="951">
        <v>0</v>
      </c>
      <c r="I43" s="951">
        <v>0</v>
      </c>
      <c r="J43" s="947" t="s">
        <v>270</v>
      </c>
      <c r="K43" s="947">
        <v>111591</v>
      </c>
      <c r="M43" s="631"/>
      <c r="P43" s="950" t="str">
        <f>VLOOKUP(J43,'רשימת רשויות'!A:A,1,0)</f>
        <v>ירושלים</v>
      </c>
      <c r="Q43" s="956">
        <f>IFERROR(VLOOKUP(B43,[2]מעובד!$D:$K,8,0),0)</f>
        <v>64</v>
      </c>
      <c r="R43" s="956">
        <f>IFERROR(VLOOKUP(B43,[2]מעובד!$D:$L,9,0),0)</f>
        <v>62</v>
      </c>
    </row>
    <row r="44" spans="1:18" x14ac:dyDescent="0.2">
      <c r="A44" s="947" t="s">
        <v>270</v>
      </c>
      <c r="B44" s="947">
        <v>111633</v>
      </c>
      <c r="C44" s="947" t="s">
        <v>2189</v>
      </c>
      <c r="D44" s="947" t="s">
        <v>2737</v>
      </c>
      <c r="E44" s="951">
        <v>384</v>
      </c>
      <c r="F44" s="951">
        <v>372</v>
      </c>
      <c r="G44" s="947" t="s">
        <v>3252</v>
      </c>
      <c r="H44" s="951">
        <v>0</v>
      </c>
      <c r="I44" s="951">
        <v>0</v>
      </c>
      <c r="J44" s="947" t="s">
        <v>270</v>
      </c>
      <c r="K44" s="947">
        <v>111633</v>
      </c>
      <c r="M44" s="631"/>
      <c r="P44" s="950" t="str">
        <f>VLOOKUP(J44,'רשימת רשויות'!A:A,1,0)</f>
        <v>ירושלים</v>
      </c>
      <c r="Q44" s="956">
        <f>IFERROR(VLOOKUP(B44,[2]מעובד!$D:$K,8,0),0)</f>
        <v>0</v>
      </c>
      <c r="R44" s="956">
        <f>IFERROR(VLOOKUP(B44,[2]מעובד!$D:$L,9,0),0)</f>
        <v>0</v>
      </c>
    </row>
    <row r="45" spans="1:18" x14ac:dyDescent="0.2">
      <c r="A45" s="947" t="s">
        <v>270</v>
      </c>
      <c r="B45" s="947">
        <v>111641</v>
      </c>
      <c r="C45" s="947" t="s">
        <v>2189</v>
      </c>
      <c r="D45" s="947" t="s">
        <v>1458</v>
      </c>
      <c r="E45" s="951">
        <v>502</v>
      </c>
      <c r="F45" s="951">
        <v>500</v>
      </c>
      <c r="G45" s="947" t="s">
        <v>3252</v>
      </c>
      <c r="H45" s="951">
        <v>0</v>
      </c>
      <c r="I45" s="951">
        <v>0</v>
      </c>
      <c r="J45" s="947" t="s">
        <v>270</v>
      </c>
      <c r="K45" s="947">
        <v>111641</v>
      </c>
      <c r="M45" s="631"/>
      <c r="P45" s="950" t="str">
        <f>VLOOKUP(J45,'רשימת רשויות'!A:A,1,0)</f>
        <v>ירושלים</v>
      </c>
      <c r="Q45" s="956">
        <f>IFERROR(VLOOKUP(B45,[2]מעובד!$D:$K,8,0),0)</f>
        <v>443</v>
      </c>
      <c r="R45" s="956">
        <f>IFERROR(VLOOKUP(B45,[2]מעובד!$D:$L,9,0),0)</f>
        <v>88</v>
      </c>
    </row>
    <row r="46" spans="1:18" x14ac:dyDescent="0.2">
      <c r="A46" s="947" t="s">
        <v>270</v>
      </c>
      <c r="B46" s="947">
        <v>111682</v>
      </c>
      <c r="C46" s="947" t="s">
        <v>2189</v>
      </c>
      <c r="D46" s="947" t="s">
        <v>1459</v>
      </c>
      <c r="E46" s="951">
        <v>95</v>
      </c>
      <c r="F46" s="951">
        <v>68</v>
      </c>
      <c r="G46" s="947" t="s">
        <v>159</v>
      </c>
      <c r="H46" s="951">
        <v>33</v>
      </c>
      <c r="I46" s="951">
        <v>6</v>
      </c>
      <c r="J46" s="947" t="s">
        <v>270</v>
      </c>
      <c r="K46" s="947">
        <v>111682</v>
      </c>
      <c r="M46" s="631"/>
      <c r="P46" s="950" t="str">
        <f>VLOOKUP(J46,'רשימת רשויות'!A:A,1,0)</f>
        <v>ירושלים</v>
      </c>
      <c r="Q46" s="956">
        <f>IFERROR(VLOOKUP(B46,[2]מעובד!$D:$K,8,0),0)</f>
        <v>124</v>
      </c>
      <c r="R46" s="956">
        <f>IFERROR(VLOOKUP(B46,[2]מעובד!$D:$L,9,0),0)</f>
        <v>49</v>
      </c>
    </row>
    <row r="47" spans="1:18" x14ac:dyDescent="0.2">
      <c r="A47" s="947" t="s">
        <v>270</v>
      </c>
      <c r="B47" s="947">
        <v>111690</v>
      </c>
      <c r="C47" s="947" t="s">
        <v>2189</v>
      </c>
      <c r="D47" s="947" t="s">
        <v>1460</v>
      </c>
      <c r="E47" s="951">
        <v>143</v>
      </c>
      <c r="F47" s="951">
        <v>109</v>
      </c>
      <c r="G47" s="947" t="s">
        <v>159</v>
      </c>
      <c r="H47" s="951">
        <v>0</v>
      </c>
      <c r="I47" s="951">
        <v>0</v>
      </c>
      <c r="J47" s="947" t="s">
        <v>270</v>
      </c>
      <c r="K47" s="947">
        <v>111690</v>
      </c>
      <c r="M47" s="631"/>
      <c r="P47" s="950" t="str">
        <f>VLOOKUP(J47,'רשימת רשויות'!A:A,1,0)</f>
        <v>ירושלים</v>
      </c>
      <c r="Q47" s="956">
        <f>IFERROR(VLOOKUP(B47,[2]מעובד!$D:$K,8,0),0)</f>
        <v>0</v>
      </c>
      <c r="R47" s="956">
        <f>IFERROR(VLOOKUP(B47,[2]מעובד!$D:$L,9,0),0)</f>
        <v>0</v>
      </c>
    </row>
    <row r="48" spans="1:18" x14ac:dyDescent="0.2">
      <c r="A48" s="947" t="s">
        <v>310</v>
      </c>
      <c r="B48" s="947">
        <v>111708</v>
      </c>
      <c r="C48" s="947" t="s">
        <v>2189</v>
      </c>
      <c r="D48" s="947" t="s">
        <v>1062</v>
      </c>
      <c r="E48" s="951">
        <v>83</v>
      </c>
      <c r="F48" s="951">
        <v>69</v>
      </c>
      <c r="G48" s="947" t="s">
        <v>159</v>
      </c>
      <c r="H48" s="951">
        <v>34</v>
      </c>
      <c r="I48" s="951">
        <v>10</v>
      </c>
      <c r="J48" s="947" t="s">
        <v>310</v>
      </c>
      <c r="K48" s="947">
        <v>111708</v>
      </c>
      <c r="M48" s="631"/>
      <c r="P48" s="950" t="str">
        <f>VLOOKUP(J48,'רשימת רשויות'!A:A,1,0)</f>
        <v>מטה בנימין</v>
      </c>
      <c r="Q48" s="956">
        <f>IFERROR(VLOOKUP(B48,[2]מעובד!$D:$K,8,0),0)</f>
        <v>0</v>
      </c>
      <c r="R48" s="956">
        <f>IFERROR(VLOOKUP(B48,[2]מעובד!$D:$L,9,0),0)</f>
        <v>0</v>
      </c>
    </row>
    <row r="49" spans="1:18" x14ac:dyDescent="0.2">
      <c r="A49" s="947" t="s">
        <v>317</v>
      </c>
      <c r="B49" s="947">
        <v>111716</v>
      </c>
      <c r="C49" s="947" t="s">
        <v>2189</v>
      </c>
      <c r="D49" s="947" t="s">
        <v>1063</v>
      </c>
      <c r="E49" s="951">
        <v>109</v>
      </c>
      <c r="F49" s="951">
        <v>95</v>
      </c>
      <c r="G49" s="947" t="s">
        <v>159</v>
      </c>
      <c r="H49" s="951">
        <v>49</v>
      </c>
      <c r="I49" s="951">
        <v>8</v>
      </c>
      <c r="J49" s="947" t="s">
        <v>317</v>
      </c>
      <c r="K49" s="947">
        <v>111716</v>
      </c>
      <c r="M49" s="631"/>
      <c r="P49" s="950" t="str">
        <f>VLOOKUP(J49,'רשימת רשויות'!A:A,1,0)</f>
        <v>מעלה אדומים</v>
      </c>
      <c r="Q49" s="956">
        <f>IFERROR(VLOOKUP(B49,[2]מעובד!$D:$K,8,0),0)</f>
        <v>146</v>
      </c>
      <c r="R49" s="956">
        <f>IFERROR(VLOOKUP(B49,[2]מעובד!$D:$L,9,0),0)</f>
        <v>65</v>
      </c>
    </row>
    <row r="50" spans="1:18" x14ac:dyDescent="0.2">
      <c r="A50" s="947" t="s">
        <v>310</v>
      </c>
      <c r="B50" s="947">
        <v>111724</v>
      </c>
      <c r="C50" s="947" t="s">
        <v>2189</v>
      </c>
      <c r="D50" s="947" t="s">
        <v>1065</v>
      </c>
      <c r="E50" s="951">
        <v>96</v>
      </c>
      <c r="F50" s="951">
        <v>96</v>
      </c>
      <c r="G50" s="947" t="s">
        <v>159</v>
      </c>
      <c r="H50" s="951">
        <v>0</v>
      </c>
      <c r="I50" s="951">
        <v>0</v>
      </c>
      <c r="J50" s="947" t="s">
        <v>310</v>
      </c>
      <c r="K50" s="947">
        <v>111724</v>
      </c>
      <c r="M50" s="631"/>
      <c r="P50" s="950" t="str">
        <f>VLOOKUP(J50,'רשימת רשויות'!A:A,1,0)</f>
        <v>מטה בנימין</v>
      </c>
      <c r="Q50" s="956">
        <f>IFERROR(VLOOKUP(B50,[2]מעובד!$D:$K,8,0),0)</f>
        <v>107</v>
      </c>
      <c r="R50" s="956">
        <f>IFERROR(VLOOKUP(B50,[2]מעובד!$D:$L,9,0),0)</f>
        <v>84</v>
      </c>
    </row>
    <row r="51" spans="1:18" x14ac:dyDescent="0.2">
      <c r="A51" s="947" t="s">
        <v>270</v>
      </c>
      <c r="B51" s="947">
        <v>111831</v>
      </c>
      <c r="C51" s="947" t="s">
        <v>2189</v>
      </c>
      <c r="D51" s="947" t="s">
        <v>1331</v>
      </c>
      <c r="E51" s="951">
        <v>132</v>
      </c>
      <c r="F51" s="951">
        <v>97</v>
      </c>
      <c r="G51" s="947" t="s">
        <v>159</v>
      </c>
      <c r="H51" s="951">
        <v>0</v>
      </c>
      <c r="I51" s="951">
        <v>0</v>
      </c>
      <c r="J51" s="947" t="s">
        <v>270</v>
      </c>
      <c r="K51" s="947">
        <v>111831</v>
      </c>
      <c r="M51" s="631"/>
      <c r="P51" s="950" t="str">
        <f>VLOOKUP(J51,'רשימת רשויות'!A:A,1,0)</f>
        <v>ירושלים</v>
      </c>
      <c r="Q51" s="956">
        <f>IFERROR(VLOOKUP(B51,[2]מעובד!$D:$K,8,0),0)</f>
        <v>90</v>
      </c>
      <c r="R51" s="956">
        <f>IFERROR(VLOOKUP(B51,[2]מעובד!$D:$L,9,0),0)</f>
        <v>66</v>
      </c>
    </row>
    <row r="52" spans="1:18" x14ac:dyDescent="0.2">
      <c r="A52" s="947" t="s">
        <v>191</v>
      </c>
      <c r="B52" s="947">
        <v>111849</v>
      </c>
      <c r="C52" s="947" t="s">
        <v>2189</v>
      </c>
      <c r="D52" s="947" t="s">
        <v>1066</v>
      </c>
      <c r="E52" s="951">
        <v>251</v>
      </c>
      <c r="F52" s="951">
        <v>224</v>
      </c>
      <c r="G52" s="947" t="s">
        <v>159</v>
      </c>
      <c r="H52" s="951">
        <v>251</v>
      </c>
      <c r="I52" s="951">
        <v>25</v>
      </c>
      <c r="J52" s="947" t="s">
        <v>191</v>
      </c>
      <c r="K52" s="947">
        <v>111849</v>
      </c>
      <c r="M52" s="631"/>
      <c r="P52" s="950" t="str">
        <f>VLOOKUP(J52,'רשימת רשויות'!A:A,1,0)</f>
        <v>בית אל</v>
      </c>
      <c r="Q52" s="956">
        <f>IFERROR(VLOOKUP(B52,[2]מעובד!$D:$K,8,0),0)</f>
        <v>208</v>
      </c>
      <c r="R52" s="956">
        <f>IFERROR(VLOOKUP(B52,[2]מעובד!$D:$L,9,0),0)</f>
        <v>124</v>
      </c>
    </row>
    <row r="53" spans="1:18" x14ac:dyDescent="0.2">
      <c r="A53" s="947" t="s">
        <v>270</v>
      </c>
      <c r="B53" s="947">
        <v>111864</v>
      </c>
      <c r="C53" s="947" t="s">
        <v>2189</v>
      </c>
      <c r="D53" s="947" t="s">
        <v>2932</v>
      </c>
      <c r="E53" s="951">
        <v>122</v>
      </c>
      <c r="F53" s="951">
        <v>122</v>
      </c>
      <c r="G53" s="947" t="s">
        <v>159</v>
      </c>
      <c r="H53" s="951">
        <v>0</v>
      </c>
      <c r="I53" s="951">
        <v>0</v>
      </c>
      <c r="J53" s="947" t="s">
        <v>270</v>
      </c>
      <c r="K53" s="947">
        <v>111864</v>
      </c>
      <c r="M53" s="631"/>
      <c r="P53" s="950" t="str">
        <f>VLOOKUP(J53,'רשימת רשויות'!A:A,1,0)</f>
        <v>ירושלים</v>
      </c>
      <c r="Q53" s="956">
        <f>IFERROR(VLOOKUP(B53,[2]מעובד!$D:$K,8,0),0)</f>
        <v>110</v>
      </c>
      <c r="R53" s="956">
        <f>IFERROR(VLOOKUP(B53,[2]מעובד!$D:$L,9,0),0)</f>
        <v>110</v>
      </c>
    </row>
    <row r="54" spans="1:18" x14ac:dyDescent="0.2">
      <c r="A54" s="947" t="s">
        <v>270</v>
      </c>
      <c r="B54" s="947">
        <v>111872</v>
      </c>
      <c r="C54" s="947" t="s">
        <v>2189</v>
      </c>
      <c r="D54" s="947" t="s">
        <v>1341</v>
      </c>
      <c r="E54" s="951">
        <v>159</v>
      </c>
      <c r="F54" s="951">
        <v>131</v>
      </c>
      <c r="G54" s="947" t="s">
        <v>159</v>
      </c>
      <c r="H54" s="951">
        <v>0</v>
      </c>
      <c r="I54" s="951">
        <v>0</v>
      </c>
      <c r="J54" s="947" t="s">
        <v>270</v>
      </c>
      <c r="K54" s="947">
        <v>111872</v>
      </c>
      <c r="M54" s="631"/>
      <c r="P54" s="950" t="str">
        <f>VLOOKUP(J54,'רשימת רשויות'!A:A,1,0)</f>
        <v>ירושלים</v>
      </c>
      <c r="Q54" s="956">
        <f>IFERROR(VLOOKUP(B54,[2]מעובד!$D:$K,8,0),0)</f>
        <v>103</v>
      </c>
      <c r="R54" s="956">
        <f>IFERROR(VLOOKUP(B54,[2]מעובד!$D:$L,9,0),0)</f>
        <v>72</v>
      </c>
    </row>
    <row r="55" spans="1:18" x14ac:dyDescent="0.2">
      <c r="A55" s="947" t="s">
        <v>270</v>
      </c>
      <c r="B55" s="947">
        <v>111898</v>
      </c>
      <c r="C55" s="947" t="s">
        <v>2189</v>
      </c>
      <c r="D55" s="947" t="s">
        <v>2651</v>
      </c>
      <c r="E55" s="951">
        <v>141</v>
      </c>
      <c r="F55" s="951">
        <v>126</v>
      </c>
      <c r="G55" s="947" t="s">
        <v>159</v>
      </c>
      <c r="H55" s="951">
        <v>0</v>
      </c>
      <c r="I55" s="951">
        <v>0</v>
      </c>
      <c r="J55" s="947" t="s">
        <v>270</v>
      </c>
      <c r="K55" s="947">
        <v>111898</v>
      </c>
      <c r="M55" s="631"/>
      <c r="P55" s="950" t="str">
        <f>VLOOKUP(J55,'רשימת רשויות'!A:A,1,0)</f>
        <v>ירושלים</v>
      </c>
      <c r="Q55" s="956">
        <f>IFERROR(VLOOKUP(B55,[2]מעובד!$D:$K,8,0),0)</f>
        <v>122</v>
      </c>
      <c r="R55" s="956">
        <f>IFERROR(VLOOKUP(B55,[2]מעובד!$D:$L,9,0),0)</f>
        <v>74</v>
      </c>
    </row>
    <row r="56" spans="1:18" x14ac:dyDescent="0.2">
      <c r="A56" s="947" t="s">
        <v>270</v>
      </c>
      <c r="B56" s="947">
        <v>111906</v>
      </c>
      <c r="C56" s="947" t="s">
        <v>2189</v>
      </c>
      <c r="D56" s="947" t="s">
        <v>1350</v>
      </c>
      <c r="E56" s="951">
        <v>66</v>
      </c>
      <c r="F56" s="951">
        <v>42</v>
      </c>
      <c r="G56" s="947" t="s">
        <v>159</v>
      </c>
      <c r="H56" s="951">
        <v>29</v>
      </c>
      <c r="I56" s="951">
        <v>3</v>
      </c>
      <c r="J56" s="947" t="s">
        <v>270</v>
      </c>
      <c r="K56" s="947">
        <v>111906</v>
      </c>
      <c r="M56" s="631"/>
      <c r="P56" s="950" t="str">
        <f>VLOOKUP(J56,'רשימת רשויות'!A:A,1,0)</f>
        <v>ירושלים</v>
      </c>
      <c r="Q56" s="956">
        <f>IFERROR(VLOOKUP(B56,[2]מעובד!$D:$K,8,0),0)</f>
        <v>50</v>
      </c>
      <c r="R56" s="956">
        <f>IFERROR(VLOOKUP(B56,[2]מעובד!$D:$L,9,0),0)</f>
        <v>25</v>
      </c>
    </row>
    <row r="57" spans="1:18" x14ac:dyDescent="0.2">
      <c r="A57" s="947" t="s">
        <v>270</v>
      </c>
      <c r="B57" s="947">
        <v>111948</v>
      </c>
      <c r="C57" s="947" t="s">
        <v>2189</v>
      </c>
      <c r="D57" s="947" t="s">
        <v>1351</v>
      </c>
      <c r="E57" s="951">
        <v>151</v>
      </c>
      <c r="F57" s="951">
        <v>0</v>
      </c>
      <c r="G57" s="947" t="s">
        <v>3252</v>
      </c>
      <c r="H57" s="951">
        <v>0</v>
      </c>
      <c r="I57" s="951">
        <v>0</v>
      </c>
      <c r="J57" s="947" t="s">
        <v>270</v>
      </c>
      <c r="K57" s="947">
        <v>111948</v>
      </c>
      <c r="M57" s="631"/>
      <c r="P57" s="950" t="str">
        <f>VLOOKUP(J57,'רשימת רשויות'!A:A,1,0)</f>
        <v>ירושלים</v>
      </c>
      <c r="Q57" s="956">
        <f>IFERROR(VLOOKUP(B57,[2]מעובד!$D:$K,8,0),0)</f>
        <v>0</v>
      </c>
      <c r="R57" s="956">
        <f>IFERROR(VLOOKUP(B57,[2]מעובד!$D:$L,9,0),0)</f>
        <v>0</v>
      </c>
    </row>
    <row r="58" spans="1:18" x14ac:dyDescent="0.2">
      <c r="A58" s="947" t="s">
        <v>310</v>
      </c>
      <c r="B58" s="947">
        <v>111963</v>
      </c>
      <c r="C58" s="947" t="s">
        <v>2189</v>
      </c>
      <c r="D58" s="947" t="s">
        <v>1071</v>
      </c>
      <c r="E58" s="951">
        <v>168</v>
      </c>
      <c r="F58" s="951">
        <v>151</v>
      </c>
      <c r="G58" s="947" t="s">
        <v>159</v>
      </c>
      <c r="H58" s="951">
        <v>76</v>
      </c>
      <c r="I58" s="951">
        <v>10</v>
      </c>
      <c r="J58" s="947" t="s">
        <v>310</v>
      </c>
      <c r="K58" s="947">
        <v>111963</v>
      </c>
      <c r="M58" s="631"/>
      <c r="P58" s="950" t="str">
        <f>VLOOKUP(J58,'רשימת רשויות'!A:A,1,0)</f>
        <v>מטה בנימין</v>
      </c>
      <c r="Q58" s="956">
        <f>IFERROR(VLOOKUP(B58,[2]מעובד!$D:$K,8,0),0)</f>
        <v>0</v>
      </c>
      <c r="R58" s="956">
        <f>IFERROR(VLOOKUP(B58,[2]מעובד!$D:$L,9,0),0)</f>
        <v>0</v>
      </c>
    </row>
    <row r="59" spans="1:18" x14ac:dyDescent="0.2">
      <c r="A59" s="947" t="s">
        <v>270</v>
      </c>
      <c r="B59" s="947">
        <v>112003</v>
      </c>
      <c r="C59" s="947" t="s">
        <v>2189</v>
      </c>
      <c r="D59" s="947" t="s">
        <v>1352</v>
      </c>
      <c r="E59" s="951">
        <v>95</v>
      </c>
      <c r="F59" s="951">
        <v>67</v>
      </c>
      <c r="G59" s="947" t="s">
        <v>159</v>
      </c>
      <c r="H59" s="951">
        <v>31</v>
      </c>
      <c r="I59" s="951">
        <v>6</v>
      </c>
      <c r="J59" s="947" t="s">
        <v>270</v>
      </c>
      <c r="K59" s="947">
        <v>112003</v>
      </c>
      <c r="M59" s="631"/>
      <c r="P59" s="950" t="str">
        <f>VLOOKUP(J59,'רשימת רשויות'!A:A,1,0)</f>
        <v>ירושלים</v>
      </c>
      <c r="Q59" s="956">
        <f>IFERROR(VLOOKUP(B59,[2]מעובד!$D:$K,8,0),0)</f>
        <v>76</v>
      </c>
      <c r="R59" s="956">
        <f>IFERROR(VLOOKUP(B59,[2]מעובד!$D:$L,9,0),0)</f>
        <v>43</v>
      </c>
    </row>
    <row r="60" spans="1:18" x14ac:dyDescent="0.2">
      <c r="A60" s="947" t="s">
        <v>311</v>
      </c>
      <c r="B60" s="947">
        <v>112037</v>
      </c>
      <c r="C60" s="947" t="s">
        <v>2189</v>
      </c>
      <c r="D60" s="947" t="s">
        <v>452</v>
      </c>
      <c r="E60" s="951">
        <v>264</v>
      </c>
      <c r="F60" s="951">
        <v>125</v>
      </c>
      <c r="G60" s="947" t="s">
        <v>159</v>
      </c>
      <c r="H60" s="951">
        <v>0</v>
      </c>
      <c r="I60" s="951">
        <v>0</v>
      </c>
      <c r="J60" s="947" t="s">
        <v>311</v>
      </c>
      <c r="K60" s="947">
        <v>112037</v>
      </c>
      <c r="M60" s="631"/>
      <c r="P60" s="950" t="str">
        <f>VLOOKUP(J60,'רשימת רשויות'!A:A,1,0)</f>
        <v>מטה יהודה</v>
      </c>
      <c r="Q60" s="956">
        <f>IFERROR(VLOOKUP(B60,[2]מעובד!$D:$K,8,0),0)</f>
        <v>261</v>
      </c>
      <c r="R60" s="956">
        <f>IFERROR(VLOOKUP(B60,[2]מעובד!$D:$L,9,0),0)</f>
        <v>79</v>
      </c>
    </row>
    <row r="61" spans="1:18" x14ac:dyDescent="0.2">
      <c r="A61" s="947" t="s">
        <v>310</v>
      </c>
      <c r="B61" s="947">
        <v>112052</v>
      </c>
      <c r="C61" s="947" t="s">
        <v>2189</v>
      </c>
      <c r="D61" s="947" t="s">
        <v>1100</v>
      </c>
      <c r="E61" s="951">
        <v>235</v>
      </c>
      <c r="F61" s="951">
        <v>221</v>
      </c>
      <c r="G61" s="947" t="s">
        <v>159</v>
      </c>
      <c r="H61" s="951">
        <v>121</v>
      </c>
      <c r="I61" s="951">
        <v>7</v>
      </c>
      <c r="J61" s="947" t="s">
        <v>310</v>
      </c>
      <c r="K61" s="947">
        <v>112052</v>
      </c>
      <c r="M61" s="631"/>
      <c r="P61" s="950" t="str">
        <f>VLOOKUP(J61,'רשימת רשויות'!A:A,1,0)</f>
        <v>מטה בנימין</v>
      </c>
      <c r="Q61" s="956">
        <f>IFERROR(VLOOKUP(B61,[2]מעובד!$D:$K,8,0),0)</f>
        <v>275</v>
      </c>
      <c r="R61" s="956">
        <f>IFERROR(VLOOKUP(B61,[2]מעובד!$D:$L,9,0),0)</f>
        <v>41</v>
      </c>
    </row>
    <row r="62" spans="1:18" x14ac:dyDescent="0.2">
      <c r="A62" s="947" t="s">
        <v>196</v>
      </c>
      <c r="B62" s="947">
        <v>112078</v>
      </c>
      <c r="C62" s="947" t="s">
        <v>2189</v>
      </c>
      <c r="D62" s="947" t="s">
        <v>1101</v>
      </c>
      <c r="E62" s="951">
        <v>71</v>
      </c>
      <c r="F62" s="951">
        <v>49</v>
      </c>
      <c r="G62" s="947" t="s">
        <v>159</v>
      </c>
      <c r="H62" s="951">
        <v>24</v>
      </c>
      <c r="I62" s="951">
        <v>6</v>
      </c>
      <c r="J62" s="947" t="s">
        <v>196</v>
      </c>
      <c r="K62" s="947">
        <v>112078</v>
      </c>
      <c r="M62" s="631"/>
      <c r="P62" s="950" t="str">
        <f>VLOOKUP(J62,'רשימת רשויות'!A:A,1,0)</f>
        <v>בית שמש</v>
      </c>
      <c r="Q62" s="956">
        <f>IFERROR(VLOOKUP(B62,[2]מעובד!$D:$K,8,0),0)</f>
        <v>80</v>
      </c>
      <c r="R62" s="956">
        <f>IFERROR(VLOOKUP(B62,[2]מעובד!$D:$L,9,0),0)</f>
        <v>57</v>
      </c>
    </row>
    <row r="63" spans="1:18" x14ac:dyDescent="0.2">
      <c r="A63" s="947" t="s">
        <v>192</v>
      </c>
      <c r="B63" s="947">
        <v>112094</v>
      </c>
      <c r="C63" s="947" t="s">
        <v>2189</v>
      </c>
      <c r="D63" s="947" t="s">
        <v>1102</v>
      </c>
      <c r="E63" s="951">
        <v>199</v>
      </c>
      <c r="F63" s="951">
        <v>114</v>
      </c>
      <c r="G63" s="947" t="s">
        <v>159</v>
      </c>
      <c r="H63" s="951">
        <v>131</v>
      </c>
      <c r="I63" s="951">
        <v>6</v>
      </c>
      <c r="J63" s="947" t="s">
        <v>192</v>
      </c>
      <c r="K63" s="947">
        <v>112094</v>
      </c>
      <c r="M63" s="631"/>
      <c r="P63" s="950" t="str">
        <f>VLOOKUP(J63,'רשימת רשויות'!A:A,1,0)</f>
        <v>בית אריה</v>
      </c>
      <c r="Q63" s="956">
        <f>IFERROR(VLOOKUP(B63,[2]מעובד!$D:$K,8,0),0)</f>
        <v>0</v>
      </c>
      <c r="R63" s="956">
        <f>IFERROR(VLOOKUP(B63,[2]מעובד!$D:$L,9,0),0)</f>
        <v>0</v>
      </c>
    </row>
    <row r="64" spans="1:18" x14ac:dyDescent="0.2">
      <c r="A64" s="947" t="s">
        <v>197</v>
      </c>
      <c r="B64" s="947">
        <v>112102</v>
      </c>
      <c r="C64" s="947" t="s">
        <v>2189</v>
      </c>
      <c r="D64" s="947" t="s">
        <v>1107</v>
      </c>
      <c r="E64" s="951">
        <v>87</v>
      </c>
      <c r="F64" s="951">
        <v>70</v>
      </c>
      <c r="G64" s="947" t="s">
        <v>159</v>
      </c>
      <c r="H64" s="951">
        <v>64</v>
      </c>
      <c r="I64" s="951">
        <v>16</v>
      </c>
      <c r="J64" s="947" t="s">
        <v>197</v>
      </c>
      <c r="K64" s="947">
        <v>112102</v>
      </c>
      <c r="M64" s="631"/>
      <c r="P64" s="950" t="str">
        <f>VLOOKUP(J64,'רשימת רשויות'!A:A,1,0)</f>
        <v>ביתר עילית</v>
      </c>
      <c r="Q64" s="956">
        <f>IFERROR(VLOOKUP(B64,[2]מעובד!$D:$K,8,0),0)</f>
        <v>103</v>
      </c>
      <c r="R64" s="956">
        <f>IFERROR(VLOOKUP(B64,[2]מעובד!$D:$L,9,0),0)</f>
        <v>72</v>
      </c>
    </row>
    <row r="65" spans="1:18" x14ac:dyDescent="0.2">
      <c r="A65" s="947" t="s">
        <v>310</v>
      </c>
      <c r="B65" s="947">
        <v>112110</v>
      </c>
      <c r="C65" s="947" t="s">
        <v>2189</v>
      </c>
      <c r="D65" s="947" t="s">
        <v>473</v>
      </c>
      <c r="E65" s="951">
        <v>153</v>
      </c>
      <c r="F65" s="951">
        <v>144</v>
      </c>
      <c r="G65" s="947" t="s">
        <v>159</v>
      </c>
      <c r="H65" s="951">
        <v>0</v>
      </c>
      <c r="I65" s="951">
        <v>0</v>
      </c>
      <c r="J65" s="947" t="s">
        <v>310</v>
      </c>
      <c r="K65" s="947">
        <v>112110</v>
      </c>
      <c r="M65" s="631"/>
      <c r="P65" s="950" t="str">
        <f>VLOOKUP(J65,'רשימת רשויות'!A:A,1,0)</f>
        <v>מטה בנימין</v>
      </c>
      <c r="Q65" s="956">
        <f>IFERROR(VLOOKUP(B65,[2]מעובד!$D:$K,8,0),0)</f>
        <v>151</v>
      </c>
      <c r="R65" s="956">
        <f>IFERROR(VLOOKUP(B65,[2]מעובד!$D:$L,9,0),0)</f>
        <v>151</v>
      </c>
    </row>
    <row r="66" spans="1:18" x14ac:dyDescent="0.2">
      <c r="A66" s="947" t="s">
        <v>310</v>
      </c>
      <c r="B66" s="947">
        <v>112128</v>
      </c>
      <c r="C66" s="947" t="s">
        <v>2189</v>
      </c>
      <c r="D66" s="947" t="s">
        <v>1108</v>
      </c>
      <c r="E66" s="951">
        <v>331</v>
      </c>
      <c r="F66" s="951">
        <v>285</v>
      </c>
      <c r="G66" s="947" t="s">
        <v>159</v>
      </c>
      <c r="H66" s="951">
        <v>121</v>
      </c>
      <c r="I66" s="951">
        <v>7</v>
      </c>
      <c r="J66" s="947" t="s">
        <v>310</v>
      </c>
      <c r="K66" s="947">
        <v>112128</v>
      </c>
      <c r="M66" s="631"/>
      <c r="P66" s="950" t="str">
        <f>VLOOKUP(J66,'רשימת רשויות'!A:A,1,0)</f>
        <v>מטה בנימין</v>
      </c>
      <c r="Q66" s="956">
        <f>IFERROR(VLOOKUP(B66,[2]מעובד!$D:$K,8,0),0)</f>
        <v>99</v>
      </c>
      <c r="R66" s="956">
        <f>IFERROR(VLOOKUP(B66,[2]מעובד!$D:$L,9,0),0)</f>
        <v>43</v>
      </c>
    </row>
    <row r="67" spans="1:18" x14ac:dyDescent="0.2">
      <c r="A67" s="947" t="s">
        <v>270</v>
      </c>
      <c r="B67" s="947">
        <v>112136</v>
      </c>
      <c r="C67" s="947" t="s">
        <v>2189</v>
      </c>
      <c r="D67" s="947" t="s">
        <v>1449</v>
      </c>
      <c r="E67" s="951">
        <v>78</v>
      </c>
      <c r="F67" s="951">
        <v>56</v>
      </c>
      <c r="G67" s="947" t="s">
        <v>159</v>
      </c>
      <c r="H67" s="951">
        <v>31</v>
      </c>
      <c r="I67" s="951">
        <v>4</v>
      </c>
      <c r="J67" s="947" t="s">
        <v>270</v>
      </c>
      <c r="K67" s="947">
        <v>112136</v>
      </c>
      <c r="M67" s="631"/>
      <c r="P67" s="950" t="str">
        <f>VLOOKUP(J67,'רשימת רשויות'!A:A,1,0)</f>
        <v>ירושלים</v>
      </c>
      <c r="Q67" s="956">
        <f>IFERROR(VLOOKUP(B67,[2]מעובד!$D:$K,8,0),0)</f>
        <v>138</v>
      </c>
      <c r="R67" s="956">
        <f>IFERROR(VLOOKUP(B67,[2]מעובד!$D:$L,9,0),0)</f>
        <v>75</v>
      </c>
    </row>
    <row r="68" spans="1:18" x14ac:dyDescent="0.2">
      <c r="A68" s="947" t="s">
        <v>310</v>
      </c>
      <c r="B68" s="947">
        <v>112151</v>
      </c>
      <c r="C68" s="947" t="s">
        <v>2189</v>
      </c>
      <c r="D68" s="947" t="s">
        <v>1450</v>
      </c>
      <c r="E68" s="951">
        <v>246</v>
      </c>
      <c r="F68" s="951">
        <v>230</v>
      </c>
      <c r="G68" s="947" t="s">
        <v>159</v>
      </c>
      <c r="H68" s="951">
        <v>73</v>
      </c>
      <c r="I68" s="951">
        <v>6</v>
      </c>
      <c r="J68" s="947" t="s">
        <v>310</v>
      </c>
      <c r="K68" s="947">
        <v>112151</v>
      </c>
      <c r="M68" s="631"/>
      <c r="P68" s="950" t="str">
        <f>VLOOKUP(J68,'רשימת רשויות'!A:A,1,0)</f>
        <v>מטה בנימין</v>
      </c>
      <c r="Q68" s="956">
        <f>IFERROR(VLOOKUP(B68,[2]מעובד!$D:$K,8,0),0)</f>
        <v>240</v>
      </c>
      <c r="R68" s="956">
        <f>IFERROR(VLOOKUP(B68,[2]מעובד!$D:$L,9,0),0)</f>
        <v>127</v>
      </c>
    </row>
    <row r="69" spans="1:18" x14ac:dyDescent="0.2">
      <c r="A69" s="947" t="s">
        <v>270</v>
      </c>
      <c r="B69" s="947">
        <v>112169</v>
      </c>
      <c r="C69" s="947" t="s">
        <v>2189</v>
      </c>
      <c r="D69" s="947" t="s">
        <v>1451</v>
      </c>
      <c r="E69" s="951">
        <v>73</v>
      </c>
      <c r="F69" s="951">
        <v>62</v>
      </c>
      <c r="G69" s="947" t="s">
        <v>3252</v>
      </c>
      <c r="H69" s="951">
        <v>0</v>
      </c>
      <c r="I69" s="951">
        <v>0</v>
      </c>
      <c r="J69" s="947" t="s">
        <v>270</v>
      </c>
      <c r="K69" s="947">
        <v>112169</v>
      </c>
      <c r="M69" s="631"/>
      <c r="P69" s="950" t="str">
        <f>VLOOKUP(J69,'רשימת רשויות'!A:A,1,0)</f>
        <v>ירושלים</v>
      </c>
      <c r="Q69" s="956">
        <f>IFERROR(VLOOKUP(B69,[2]מעובד!$D:$K,8,0),0)</f>
        <v>73</v>
      </c>
      <c r="R69" s="956">
        <f>IFERROR(VLOOKUP(B69,[2]מעובד!$D:$L,9,0),0)</f>
        <v>40</v>
      </c>
    </row>
    <row r="70" spans="1:18" x14ac:dyDescent="0.2">
      <c r="A70" s="947" t="s">
        <v>317</v>
      </c>
      <c r="B70" s="947">
        <v>112177</v>
      </c>
      <c r="C70" s="947" t="s">
        <v>2189</v>
      </c>
      <c r="D70" s="947" t="s">
        <v>1109</v>
      </c>
      <c r="E70" s="951">
        <v>93</v>
      </c>
      <c r="F70" s="951">
        <v>65</v>
      </c>
      <c r="G70" s="947" t="s">
        <v>159</v>
      </c>
      <c r="H70" s="951">
        <v>0</v>
      </c>
      <c r="I70" s="951">
        <v>0</v>
      </c>
      <c r="J70" s="947" t="s">
        <v>317</v>
      </c>
      <c r="K70" s="947">
        <v>112177</v>
      </c>
      <c r="M70" s="631"/>
      <c r="P70" s="950" t="str">
        <f>VLOOKUP(J70,'רשימת רשויות'!A:A,1,0)</f>
        <v>מעלה אדומים</v>
      </c>
      <c r="Q70" s="956">
        <f>IFERROR(VLOOKUP(B70,[2]מעובד!$D:$K,8,0),0)</f>
        <v>121</v>
      </c>
      <c r="R70" s="956">
        <f>IFERROR(VLOOKUP(B70,[2]מעובד!$D:$L,9,0),0)</f>
        <v>48</v>
      </c>
    </row>
    <row r="71" spans="1:18" x14ac:dyDescent="0.2">
      <c r="A71" s="947" t="s">
        <v>270</v>
      </c>
      <c r="B71" s="947">
        <v>112185</v>
      </c>
      <c r="C71" s="947" t="s">
        <v>2189</v>
      </c>
      <c r="D71" s="947" t="s">
        <v>180</v>
      </c>
      <c r="E71" s="951">
        <v>101</v>
      </c>
      <c r="F71" s="951">
        <v>79</v>
      </c>
      <c r="G71" s="947" t="s">
        <v>159</v>
      </c>
      <c r="H71" s="951">
        <v>72</v>
      </c>
      <c r="I71" s="951">
        <v>12</v>
      </c>
      <c r="J71" s="947" t="s">
        <v>270</v>
      </c>
      <c r="K71" s="947">
        <v>112185</v>
      </c>
      <c r="M71" s="631"/>
      <c r="P71" s="950" t="str">
        <f>VLOOKUP(J71,'רשימת רשויות'!A:A,1,0)</f>
        <v>ירושלים</v>
      </c>
      <c r="Q71" s="956">
        <f>IFERROR(VLOOKUP(B71,[2]מעובד!$D:$K,8,0),0)</f>
        <v>140</v>
      </c>
      <c r="R71" s="956">
        <f>IFERROR(VLOOKUP(B71,[2]מעובד!$D:$L,9,0),0)</f>
        <v>55</v>
      </c>
    </row>
    <row r="72" spans="1:18" x14ac:dyDescent="0.2">
      <c r="A72" s="947" t="s">
        <v>310</v>
      </c>
      <c r="B72" s="947">
        <v>112193</v>
      </c>
      <c r="C72" s="947" t="s">
        <v>2189</v>
      </c>
      <c r="D72" s="947" t="s">
        <v>1113</v>
      </c>
      <c r="E72" s="951">
        <v>141</v>
      </c>
      <c r="F72" s="951">
        <v>130</v>
      </c>
      <c r="G72" s="947" t="s">
        <v>159</v>
      </c>
      <c r="H72" s="951">
        <v>0</v>
      </c>
      <c r="I72" s="951">
        <v>0</v>
      </c>
      <c r="J72" s="947" t="s">
        <v>310</v>
      </c>
      <c r="K72" s="947">
        <v>112193</v>
      </c>
      <c r="M72" s="631"/>
      <c r="P72" s="950" t="str">
        <f>VLOOKUP(J72,'רשימת רשויות'!A:A,1,0)</f>
        <v>מטה בנימין</v>
      </c>
      <c r="Q72" s="956">
        <f>IFERROR(VLOOKUP(B72,[2]מעובד!$D:$K,8,0),0)</f>
        <v>162</v>
      </c>
      <c r="R72" s="956">
        <f>IFERROR(VLOOKUP(B72,[2]מעובד!$D:$L,9,0),0)</f>
        <v>91</v>
      </c>
    </row>
    <row r="73" spans="1:18" x14ac:dyDescent="0.2">
      <c r="A73" s="947" t="s">
        <v>270</v>
      </c>
      <c r="B73" s="947">
        <v>112201</v>
      </c>
      <c r="C73" s="947" t="s">
        <v>2189</v>
      </c>
      <c r="D73" s="947" t="s">
        <v>1454</v>
      </c>
      <c r="E73" s="951">
        <v>69</v>
      </c>
      <c r="F73" s="951">
        <v>46</v>
      </c>
      <c r="G73" s="947" t="s">
        <v>159</v>
      </c>
      <c r="H73" s="951">
        <v>0</v>
      </c>
      <c r="I73" s="951">
        <v>0</v>
      </c>
      <c r="J73" s="947" t="s">
        <v>270</v>
      </c>
      <c r="K73" s="947">
        <v>112201</v>
      </c>
      <c r="M73" s="631"/>
      <c r="P73" s="950" t="str">
        <f>VLOOKUP(J73,'רשימת רשויות'!A:A,1,0)</f>
        <v>ירושלים</v>
      </c>
      <c r="Q73" s="956">
        <f>IFERROR(VLOOKUP(B73,[2]מעובד!$D:$K,8,0),0)</f>
        <v>69</v>
      </c>
      <c r="R73" s="956">
        <f>IFERROR(VLOOKUP(B73,[2]מעובד!$D:$L,9,0),0)</f>
        <v>35</v>
      </c>
    </row>
    <row r="74" spans="1:18" x14ac:dyDescent="0.2">
      <c r="A74" s="947" t="s">
        <v>270</v>
      </c>
      <c r="B74" s="947">
        <v>112219</v>
      </c>
      <c r="C74" s="947" t="s">
        <v>2189</v>
      </c>
      <c r="D74" s="947" t="s">
        <v>1455</v>
      </c>
      <c r="E74" s="951">
        <v>82</v>
      </c>
      <c r="F74" s="951">
        <v>62</v>
      </c>
      <c r="G74" s="947" t="s">
        <v>159</v>
      </c>
      <c r="H74" s="951">
        <v>58</v>
      </c>
      <c r="I74" s="951">
        <v>15</v>
      </c>
      <c r="J74" s="947" t="s">
        <v>270</v>
      </c>
      <c r="K74" s="947">
        <v>112219</v>
      </c>
      <c r="M74" s="631"/>
      <c r="P74" s="950" t="str">
        <f>VLOOKUP(J74,'רשימת רשויות'!A:A,1,0)</f>
        <v>ירושלים</v>
      </c>
      <c r="Q74" s="956">
        <f>IFERROR(VLOOKUP(B74,[2]מעובד!$D:$K,8,0),0)</f>
        <v>103</v>
      </c>
      <c r="R74" s="956">
        <f>IFERROR(VLOOKUP(B74,[2]מעובד!$D:$L,9,0),0)</f>
        <v>65</v>
      </c>
    </row>
    <row r="75" spans="1:18" x14ac:dyDescent="0.2">
      <c r="A75" s="947" t="s">
        <v>270</v>
      </c>
      <c r="B75" s="947">
        <v>112227</v>
      </c>
      <c r="C75" s="947" t="s">
        <v>2189</v>
      </c>
      <c r="D75" s="947" t="s">
        <v>1456</v>
      </c>
      <c r="E75" s="951">
        <v>262</v>
      </c>
      <c r="F75" s="951">
        <v>211</v>
      </c>
      <c r="G75" s="947" t="s">
        <v>159</v>
      </c>
      <c r="H75" s="951">
        <v>0</v>
      </c>
      <c r="I75" s="951">
        <v>0</v>
      </c>
      <c r="J75" s="947" t="s">
        <v>270</v>
      </c>
      <c r="K75" s="947">
        <v>112227</v>
      </c>
      <c r="M75" s="631"/>
      <c r="P75" s="950" t="str">
        <f>VLOOKUP(J75,'רשימת רשויות'!A:A,1,0)</f>
        <v>ירושלים</v>
      </c>
      <c r="Q75" s="956">
        <f>IFERROR(VLOOKUP(B75,[2]מעובד!$D:$K,8,0),0)</f>
        <v>156</v>
      </c>
      <c r="R75" s="956">
        <f>IFERROR(VLOOKUP(B75,[2]מעובד!$D:$L,9,0),0)</f>
        <v>120</v>
      </c>
    </row>
    <row r="76" spans="1:18" x14ac:dyDescent="0.2">
      <c r="A76" s="947" t="s">
        <v>219</v>
      </c>
      <c r="B76" s="947">
        <v>112235</v>
      </c>
      <c r="C76" s="947" t="s">
        <v>2189</v>
      </c>
      <c r="D76" s="947" t="s">
        <v>2752</v>
      </c>
      <c r="E76" s="951">
        <v>98</v>
      </c>
      <c r="F76" s="951">
        <v>51</v>
      </c>
      <c r="G76" s="947" t="s">
        <v>3252</v>
      </c>
      <c r="H76" s="951">
        <v>0</v>
      </c>
      <c r="I76" s="951">
        <v>0</v>
      </c>
      <c r="J76" s="947" t="s">
        <v>219</v>
      </c>
      <c r="K76" s="947">
        <v>112235</v>
      </c>
      <c r="M76" s="631"/>
      <c r="P76" s="950" t="str">
        <f>VLOOKUP(J76,'רשימת רשויות'!A:A,1,0)</f>
        <v>גוש עציון</v>
      </c>
      <c r="Q76" s="956">
        <f>IFERROR(VLOOKUP(B76,[2]מעובד!$D:$K,8,0),0)</f>
        <v>0</v>
      </c>
      <c r="R76" s="956">
        <f>IFERROR(VLOOKUP(B76,[2]מעובד!$D:$L,9,0),0)</f>
        <v>48</v>
      </c>
    </row>
    <row r="77" spans="1:18" x14ac:dyDescent="0.2">
      <c r="A77" s="947" t="s">
        <v>179</v>
      </c>
      <c r="B77" s="947">
        <v>112250</v>
      </c>
      <c r="C77" s="947" t="s">
        <v>2189</v>
      </c>
      <c r="D77" s="947" t="s">
        <v>1114</v>
      </c>
      <c r="E77" s="951">
        <v>129</v>
      </c>
      <c r="F77" s="951">
        <v>74</v>
      </c>
      <c r="G77" s="947" t="s">
        <v>159</v>
      </c>
      <c r="H77" s="951">
        <v>97</v>
      </c>
      <c r="I77" s="951">
        <v>17</v>
      </c>
      <c r="J77" s="947" t="s">
        <v>179</v>
      </c>
      <c r="K77" s="947">
        <v>112250</v>
      </c>
      <c r="M77" s="631"/>
      <c r="P77" s="950" t="str">
        <f>VLOOKUP(J77,'רשימת רשויות'!A:A,1,0)</f>
        <v>אפרת</v>
      </c>
      <c r="Q77" s="956">
        <f>IFERROR(VLOOKUP(B77,[2]מעובד!$D:$K,8,0),0)</f>
        <v>0</v>
      </c>
      <c r="R77" s="956">
        <f>IFERROR(VLOOKUP(B77,[2]מעובד!$D:$L,9,0),0)</f>
        <v>0</v>
      </c>
    </row>
    <row r="78" spans="1:18" x14ac:dyDescent="0.2">
      <c r="A78" s="947" t="s">
        <v>270</v>
      </c>
      <c r="B78" s="947">
        <v>112284</v>
      </c>
      <c r="C78" s="947" t="s">
        <v>2189</v>
      </c>
      <c r="D78" s="947" t="s">
        <v>1311</v>
      </c>
      <c r="E78" s="951">
        <v>164</v>
      </c>
      <c r="F78" s="951">
        <v>143</v>
      </c>
      <c r="G78" s="947" t="s">
        <v>159</v>
      </c>
      <c r="H78" s="951">
        <v>66</v>
      </c>
      <c r="I78" s="951">
        <v>9</v>
      </c>
      <c r="J78" s="947" t="s">
        <v>270</v>
      </c>
      <c r="K78" s="947">
        <v>112284</v>
      </c>
      <c r="M78" s="631"/>
      <c r="P78" s="950" t="str">
        <f>VLOOKUP(J78,'רשימת רשויות'!A:A,1,0)</f>
        <v>ירושלים</v>
      </c>
      <c r="Q78" s="956">
        <f>IFERROR(VLOOKUP(B78,[2]מעובד!$D:$K,8,0),0)</f>
        <v>123</v>
      </c>
      <c r="R78" s="956">
        <f>IFERROR(VLOOKUP(B78,[2]מעובד!$D:$L,9,0),0)</f>
        <v>88</v>
      </c>
    </row>
    <row r="79" spans="1:18" x14ac:dyDescent="0.2">
      <c r="A79" s="947" t="s">
        <v>270</v>
      </c>
      <c r="B79" s="947">
        <v>112292</v>
      </c>
      <c r="C79" s="947" t="s">
        <v>2189</v>
      </c>
      <c r="D79" s="947" t="s">
        <v>1312</v>
      </c>
      <c r="E79" s="951">
        <v>415</v>
      </c>
      <c r="F79" s="951">
        <v>407</v>
      </c>
      <c r="G79" s="947" t="s">
        <v>3252</v>
      </c>
      <c r="H79" s="951">
        <v>0</v>
      </c>
      <c r="I79" s="951">
        <v>0</v>
      </c>
      <c r="J79" s="947" t="s">
        <v>270</v>
      </c>
      <c r="K79" s="947">
        <v>112292</v>
      </c>
      <c r="M79" s="631"/>
      <c r="P79" s="950" t="str">
        <f>VLOOKUP(J79,'רשימת רשויות'!A:A,1,0)</f>
        <v>ירושלים</v>
      </c>
      <c r="Q79" s="956">
        <f>IFERROR(VLOOKUP(B79,[2]מעובד!$D:$K,8,0),0)</f>
        <v>0</v>
      </c>
      <c r="R79" s="956">
        <f>IFERROR(VLOOKUP(B79,[2]מעובד!$D:$L,9,0),0)</f>
        <v>0</v>
      </c>
    </row>
    <row r="80" spans="1:18" x14ac:dyDescent="0.2">
      <c r="A80" s="947" t="s">
        <v>270</v>
      </c>
      <c r="B80" s="947">
        <v>112300</v>
      </c>
      <c r="C80" s="947" t="s">
        <v>2189</v>
      </c>
      <c r="D80" s="947" t="s">
        <v>1313</v>
      </c>
      <c r="E80" s="951">
        <v>309</v>
      </c>
      <c r="F80" s="951">
        <v>299</v>
      </c>
      <c r="G80" s="947" t="s">
        <v>3252</v>
      </c>
      <c r="H80" s="951">
        <v>132</v>
      </c>
      <c r="I80" s="951">
        <v>10</v>
      </c>
      <c r="J80" s="947" t="s">
        <v>270</v>
      </c>
      <c r="K80" s="947">
        <v>112300</v>
      </c>
      <c r="M80" s="631"/>
      <c r="P80" s="950" t="str">
        <f>VLOOKUP(J80,'רשימת רשויות'!A:A,1,0)</f>
        <v>ירושלים</v>
      </c>
      <c r="Q80" s="956">
        <f>IFERROR(VLOOKUP(B80,[2]מעובד!$D:$K,8,0),0)</f>
        <v>0</v>
      </c>
      <c r="R80" s="956">
        <f>IFERROR(VLOOKUP(B80,[2]מעובד!$D:$L,9,0),0)</f>
        <v>0</v>
      </c>
    </row>
    <row r="81" spans="1:18" x14ac:dyDescent="0.2">
      <c r="A81" s="947" t="s">
        <v>376</v>
      </c>
      <c r="B81" s="947">
        <v>112326</v>
      </c>
      <c r="C81" s="947" t="s">
        <v>2189</v>
      </c>
      <c r="D81" s="947" t="s">
        <v>2700</v>
      </c>
      <c r="E81" s="951">
        <v>363</v>
      </c>
      <c r="F81" s="951">
        <v>353</v>
      </c>
      <c r="G81" s="947" t="s">
        <v>3252</v>
      </c>
      <c r="H81" s="951">
        <v>129</v>
      </c>
      <c r="I81" s="951">
        <v>10</v>
      </c>
      <c r="J81" s="947" t="s">
        <v>376</v>
      </c>
      <c r="K81" s="947">
        <v>112326</v>
      </c>
      <c r="M81" s="631"/>
      <c r="P81" s="950" t="str">
        <f>VLOOKUP(J81,'רשימת רשויות'!A:A,1,0)</f>
        <v>קרית יערים</v>
      </c>
      <c r="Q81" s="956">
        <f>IFERROR(VLOOKUP(B81,[2]מעובד!$D:$K,8,0),0)</f>
        <v>0</v>
      </c>
      <c r="R81" s="956">
        <f>IFERROR(VLOOKUP(B81,[2]מעובד!$D:$L,9,0),0)</f>
        <v>0</v>
      </c>
    </row>
    <row r="82" spans="1:18" x14ac:dyDescent="0.2">
      <c r="A82" s="947" t="s">
        <v>297</v>
      </c>
      <c r="B82" s="947">
        <v>112342</v>
      </c>
      <c r="C82" s="947" t="s">
        <v>2189</v>
      </c>
      <c r="D82" s="947" t="s">
        <v>1057</v>
      </c>
      <c r="E82" s="951">
        <v>277</v>
      </c>
      <c r="F82" s="951">
        <v>110</v>
      </c>
      <c r="G82" s="947" t="s">
        <v>159</v>
      </c>
      <c r="H82" s="951">
        <v>0</v>
      </c>
      <c r="I82" s="951">
        <v>0</v>
      </c>
      <c r="J82" s="947" t="s">
        <v>297</v>
      </c>
      <c r="K82" s="947">
        <v>112342</v>
      </c>
      <c r="M82" s="631"/>
      <c r="P82" s="950" t="str">
        <f>VLOOKUP(J82,'רשימת רשויות'!A:A,1,0)</f>
        <v>מבשרת ציון</v>
      </c>
      <c r="Q82" s="956">
        <f>IFERROR(VLOOKUP(B82,[2]מעובד!$D:$K,8,0),0)</f>
        <v>249</v>
      </c>
      <c r="R82" s="956">
        <f>IFERROR(VLOOKUP(B82,[2]מעובד!$D:$L,9,0),0)</f>
        <v>77</v>
      </c>
    </row>
    <row r="83" spans="1:18" x14ac:dyDescent="0.2">
      <c r="A83" s="947" t="s">
        <v>270</v>
      </c>
      <c r="B83" s="947">
        <v>112359</v>
      </c>
      <c r="C83" s="947" t="s">
        <v>2189</v>
      </c>
      <c r="D83" s="947" t="s">
        <v>1320</v>
      </c>
      <c r="E83" s="951">
        <v>194</v>
      </c>
      <c r="F83" s="951">
        <v>163</v>
      </c>
      <c r="G83" s="947" t="s">
        <v>159</v>
      </c>
      <c r="H83" s="951">
        <v>0</v>
      </c>
      <c r="I83" s="951">
        <v>0</v>
      </c>
      <c r="J83" s="947" t="s">
        <v>270</v>
      </c>
      <c r="K83" s="947">
        <v>112359</v>
      </c>
      <c r="M83" s="631"/>
      <c r="P83" s="950" t="str">
        <f>VLOOKUP(J83,'רשימת רשויות'!A:A,1,0)</f>
        <v>ירושלים</v>
      </c>
      <c r="Q83" s="956">
        <f>IFERROR(VLOOKUP(B83,[2]מעובד!$D:$K,8,0),0)</f>
        <v>190</v>
      </c>
      <c r="R83" s="956">
        <f>IFERROR(VLOOKUP(B83,[2]מעובד!$D:$L,9,0),0)</f>
        <v>54</v>
      </c>
    </row>
    <row r="84" spans="1:18" x14ac:dyDescent="0.2">
      <c r="A84" s="947" t="s">
        <v>304</v>
      </c>
      <c r="B84" s="947">
        <v>112367</v>
      </c>
      <c r="C84" s="947" t="s">
        <v>2189</v>
      </c>
      <c r="D84" s="947" t="s">
        <v>2369</v>
      </c>
      <c r="E84" s="951">
        <v>132</v>
      </c>
      <c r="F84" s="951">
        <v>114</v>
      </c>
      <c r="G84" s="947" t="s">
        <v>159</v>
      </c>
      <c r="H84" s="951">
        <v>51</v>
      </c>
      <c r="I84" s="951">
        <v>5</v>
      </c>
      <c r="J84" s="947" t="s">
        <v>304</v>
      </c>
      <c r="K84" s="947">
        <v>112367</v>
      </c>
      <c r="M84" s="631"/>
      <c r="P84" s="950" t="str">
        <f>VLOOKUP(J84,'רשימת רשויות'!A:A,1,0)</f>
        <v>מגילות ים המלח</v>
      </c>
      <c r="Q84" s="956">
        <f>IFERROR(VLOOKUP(B84,[2]מעובד!$D:$K,8,0),0)</f>
        <v>135</v>
      </c>
      <c r="R84" s="956">
        <f>IFERROR(VLOOKUP(B84,[2]מעובד!$D:$L,9,0),0)</f>
        <v>60</v>
      </c>
    </row>
    <row r="85" spans="1:18" x14ac:dyDescent="0.2">
      <c r="A85" s="947" t="s">
        <v>270</v>
      </c>
      <c r="B85" s="947">
        <v>112391</v>
      </c>
      <c r="C85" s="947" t="s">
        <v>2189</v>
      </c>
      <c r="D85" s="947" t="s">
        <v>1321</v>
      </c>
      <c r="E85" s="951">
        <v>185</v>
      </c>
      <c r="F85" s="951">
        <v>179</v>
      </c>
      <c r="G85" s="947" t="s">
        <v>159</v>
      </c>
      <c r="H85" s="951">
        <v>0</v>
      </c>
      <c r="I85" s="951">
        <v>0</v>
      </c>
      <c r="J85" s="947" t="s">
        <v>270</v>
      </c>
      <c r="K85" s="947">
        <v>112391</v>
      </c>
      <c r="M85" s="631"/>
      <c r="P85" s="950" t="str">
        <f>VLOOKUP(J85,'רשימת רשויות'!A:A,1,0)</f>
        <v>ירושלים</v>
      </c>
      <c r="Q85" s="956">
        <f>IFERROR(VLOOKUP(B85,[2]מעובד!$D:$K,8,0),0)</f>
        <v>135</v>
      </c>
      <c r="R85" s="956">
        <f>IFERROR(VLOOKUP(B85,[2]מעובד!$D:$L,9,0),0)</f>
        <v>49</v>
      </c>
    </row>
    <row r="86" spans="1:18" x14ac:dyDescent="0.2">
      <c r="A86" s="947" t="s">
        <v>270</v>
      </c>
      <c r="B86" s="947">
        <v>112433</v>
      </c>
      <c r="C86" s="947" t="s">
        <v>2189</v>
      </c>
      <c r="D86" s="947" t="s">
        <v>1322</v>
      </c>
      <c r="E86" s="951">
        <v>230</v>
      </c>
      <c r="F86" s="951">
        <v>211</v>
      </c>
      <c r="G86" s="947" t="s">
        <v>3252</v>
      </c>
      <c r="H86" s="951">
        <v>85</v>
      </c>
      <c r="I86" s="951">
        <v>10</v>
      </c>
      <c r="J86" s="947" t="s">
        <v>270</v>
      </c>
      <c r="K86" s="947">
        <v>112433</v>
      </c>
      <c r="M86" s="631"/>
      <c r="P86" s="950" t="str">
        <f>VLOOKUP(J86,'רשימת רשויות'!A:A,1,0)</f>
        <v>ירושלים</v>
      </c>
      <c r="Q86" s="956">
        <f>IFERROR(VLOOKUP(B86,[2]מעובד!$D:$K,8,0),0)</f>
        <v>0</v>
      </c>
      <c r="R86" s="956">
        <f>IFERROR(VLOOKUP(B86,[2]מעובד!$D:$L,9,0),0)</f>
        <v>160</v>
      </c>
    </row>
    <row r="87" spans="1:18" x14ac:dyDescent="0.2">
      <c r="A87" s="947" t="s">
        <v>270</v>
      </c>
      <c r="B87" s="947">
        <v>112482</v>
      </c>
      <c r="C87" s="947" t="s">
        <v>2189</v>
      </c>
      <c r="D87" s="947" t="s">
        <v>1325</v>
      </c>
      <c r="E87" s="951">
        <v>97</v>
      </c>
      <c r="F87" s="951">
        <v>75</v>
      </c>
      <c r="G87" s="947" t="s">
        <v>159</v>
      </c>
      <c r="H87" s="951">
        <v>68</v>
      </c>
      <c r="I87" s="951">
        <v>10</v>
      </c>
      <c r="J87" s="947" t="s">
        <v>270</v>
      </c>
      <c r="K87" s="947">
        <v>112482</v>
      </c>
      <c r="M87" s="631"/>
      <c r="P87" s="950" t="str">
        <f>VLOOKUP(J87,'רשימת רשויות'!A:A,1,0)</f>
        <v>ירושלים</v>
      </c>
      <c r="Q87" s="956">
        <f>IFERROR(VLOOKUP(B87,[2]מעובד!$D:$K,8,0),0)</f>
        <v>116</v>
      </c>
      <c r="R87" s="956">
        <f>IFERROR(VLOOKUP(B87,[2]מעובד!$D:$L,9,0),0)</f>
        <v>51</v>
      </c>
    </row>
    <row r="88" spans="1:18" x14ac:dyDescent="0.2">
      <c r="A88" s="947" t="s">
        <v>212</v>
      </c>
      <c r="B88" s="947">
        <v>112490</v>
      </c>
      <c r="C88" s="947" t="s">
        <v>2189</v>
      </c>
      <c r="D88" s="947" t="s">
        <v>1326</v>
      </c>
      <c r="E88" s="951">
        <v>124</v>
      </c>
      <c r="F88" s="951">
        <v>93</v>
      </c>
      <c r="G88" s="947" t="s">
        <v>159</v>
      </c>
      <c r="H88" s="951">
        <v>89</v>
      </c>
      <c r="I88" s="951">
        <v>14</v>
      </c>
      <c r="J88" s="947" t="s">
        <v>212</v>
      </c>
      <c r="K88" s="947">
        <v>112490</v>
      </c>
      <c r="M88" s="631"/>
      <c r="P88" s="950" t="str">
        <f>VLOOKUP(J88,'רשימת רשויות'!A:A,1,0)</f>
        <v>גבעת זאב</v>
      </c>
      <c r="Q88" s="956">
        <f>IFERROR(VLOOKUP(B88,[2]מעובד!$D:$K,8,0),0)</f>
        <v>139</v>
      </c>
      <c r="R88" s="956">
        <f>IFERROR(VLOOKUP(B88,[2]מעובד!$D:$L,9,0),0)</f>
        <v>54</v>
      </c>
    </row>
    <row r="89" spans="1:18" x14ac:dyDescent="0.2">
      <c r="A89" s="947" t="s">
        <v>310</v>
      </c>
      <c r="B89" s="947">
        <v>112516</v>
      </c>
      <c r="C89" s="947" t="s">
        <v>2189</v>
      </c>
      <c r="D89" s="947" t="s">
        <v>1064</v>
      </c>
      <c r="E89" s="951">
        <v>85</v>
      </c>
      <c r="F89" s="951">
        <v>79</v>
      </c>
      <c r="G89" s="947" t="s">
        <v>159</v>
      </c>
      <c r="H89" s="951">
        <v>36</v>
      </c>
      <c r="I89" s="951">
        <v>6</v>
      </c>
      <c r="J89" s="947" t="s">
        <v>310</v>
      </c>
      <c r="K89" s="947">
        <v>112516</v>
      </c>
      <c r="M89" s="631"/>
      <c r="P89" s="950" t="str">
        <f>VLOOKUP(J89,'רשימת רשויות'!A:A,1,0)</f>
        <v>מטה בנימין</v>
      </c>
      <c r="Q89" s="956">
        <f>IFERROR(VLOOKUP(B89,[2]מעובד!$D:$K,8,0),0)</f>
        <v>95</v>
      </c>
      <c r="R89" s="956">
        <f>IFERROR(VLOOKUP(B89,[2]מעובד!$D:$L,9,0),0)</f>
        <v>89</v>
      </c>
    </row>
    <row r="90" spans="1:18" x14ac:dyDescent="0.2">
      <c r="A90" s="947" t="s">
        <v>270</v>
      </c>
      <c r="B90" s="947">
        <v>112524</v>
      </c>
      <c r="C90" s="947" t="s">
        <v>2189</v>
      </c>
      <c r="D90" s="947" t="s">
        <v>1327</v>
      </c>
      <c r="E90" s="951">
        <v>78</v>
      </c>
      <c r="F90" s="951">
        <v>78</v>
      </c>
      <c r="G90" s="947" t="s">
        <v>3252</v>
      </c>
      <c r="H90" s="951">
        <v>0</v>
      </c>
      <c r="I90" s="951">
        <v>0</v>
      </c>
      <c r="J90" s="947" t="s">
        <v>270</v>
      </c>
      <c r="K90" s="947">
        <v>112524</v>
      </c>
      <c r="M90" s="631"/>
      <c r="P90" s="950" t="str">
        <f>VLOOKUP(J90,'רשימת רשויות'!A:A,1,0)</f>
        <v>ירושלים</v>
      </c>
      <c r="Q90" s="956">
        <f>IFERROR(VLOOKUP(B90,[2]מעובד!$D:$K,8,0),0)</f>
        <v>0</v>
      </c>
      <c r="R90" s="956">
        <f>IFERROR(VLOOKUP(B90,[2]מעובד!$D:$L,9,0),0)</f>
        <v>0</v>
      </c>
    </row>
    <row r="91" spans="1:18" x14ac:dyDescent="0.2">
      <c r="A91" s="947" t="s">
        <v>270</v>
      </c>
      <c r="B91" s="947">
        <v>112540</v>
      </c>
      <c r="C91" s="947" t="s">
        <v>2189</v>
      </c>
      <c r="D91" s="947" t="s">
        <v>1335</v>
      </c>
      <c r="E91" s="951">
        <v>286</v>
      </c>
      <c r="F91" s="951">
        <v>286</v>
      </c>
      <c r="G91" s="947" t="s">
        <v>3252</v>
      </c>
      <c r="H91" s="951">
        <v>0</v>
      </c>
      <c r="I91" s="951">
        <v>0</v>
      </c>
      <c r="J91" s="947" t="s">
        <v>270</v>
      </c>
      <c r="K91" s="947">
        <v>112540</v>
      </c>
      <c r="M91" s="631"/>
      <c r="P91" s="950" t="str">
        <f>VLOOKUP(J91,'רשימת רשויות'!A:A,1,0)</f>
        <v>ירושלים</v>
      </c>
      <c r="Q91" s="956">
        <f>IFERROR(VLOOKUP(B91,[2]מעובד!$D:$K,8,0),0)</f>
        <v>0</v>
      </c>
      <c r="R91" s="956">
        <f>IFERROR(VLOOKUP(B91,[2]מעובד!$D:$L,9,0),0)</f>
        <v>0</v>
      </c>
    </row>
    <row r="92" spans="1:18" x14ac:dyDescent="0.2">
      <c r="A92" s="947" t="s">
        <v>270</v>
      </c>
      <c r="B92" s="947">
        <v>112565</v>
      </c>
      <c r="C92" s="947" t="s">
        <v>2189</v>
      </c>
      <c r="D92" s="947" t="s">
        <v>1336</v>
      </c>
      <c r="E92" s="951">
        <v>115</v>
      </c>
      <c r="F92" s="951">
        <v>77</v>
      </c>
      <c r="G92" s="947" t="s">
        <v>159</v>
      </c>
      <c r="H92" s="951">
        <v>41</v>
      </c>
      <c r="I92" s="951">
        <v>9</v>
      </c>
      <c r="J92" s="947" t="s">
        <v>270</v>
      </c>
      <c r="K92" s="947">
        <v>112565</v>
      </c>
      <c r="M92" s="631"/>
      <c r="P92" s="950" t="str">
        <f>VLOOKUP(J92,'רשימת רשויות'!A:A,1,0)</f>
        <v>ירושלים</v>
      </c>
      <c r="Q92" s="956">
        <f>IFERROR(VLOOKUP(B92,[2]מעובד!$D:$K,8,0),0)</f>
        <v>130</v>
      </c>
      <c r="R92" s="956">
        <f>IFERROR(VLOOKUP(B92,[2]מעובד!$D:$L,9,0),0)</f>
        <v>80</v>
      </c>
    </row>
    <row r="93" spans="1:18" x14ac:dyDescent="0.2">
      <c r="A93" s="947" t="s">
        <v>270</v>
      </c>
      <c r="B93" s="947">
        <v>112573</v>
      </c>
      <c r="C93" s="947" t="s">
        <v>2189</v>
      </c>
      <c r="D93" s="947" t="s">
        <v>1337</v>
      </c>
      <c r="E93" s="951">
        <v>88</v>
      </c>
      <c r="F93" s="951">
        <v>65</v>
      </c>
      <c r="G93" s="947" t="s">
        <v>159</v>
      </c>
      <c r="H93" s="951">
        <v>28</v>
      </c>
      <c r="I93" s="951">
        <v>6</v>
      </c>
      <c r="J93" s="947" t="s">
        <v>270</v>
      </c>
      <c r="K93" s="947">
        <v>112573</v>
      </c>
      <c r="M93" s="631"/>
      <c r="P93" s="950" t="str">
        <f>VLOOKUP(J93,'רשימת רשויות'!A:A,1,0)</f>
        <v>ירושלים</v>
      </c>
      <c r="Q93" s="956">
        <f>IFERROR(VLOOKUP(B93,[2]מעובד!$D:$K,8,0),0)</f>
        <v>108</v>
      </c>
      <c r="R93" s="956">
        <f>IFERROR(VLOOKUP(B93,[2]מעובד!$D:$L,9,0),0)</f>
        <v>65</v>
      </c>
    </row>
    <row r="94" spans="1:18" x14ac:dyDescent="0.2">
      <c r="A94" s="947" t="s">
        <v>2326</v>
      </c>
      <c r="B94" s="947">
        <v>112599</v>
      </c>
      <c r="C94" s="947" t="s">
        <v>2189</v>
      </c>
      <c r="D94" s="947" t="s">
        <v>1068</v>
      </c>
      <c r="E94" s="951">
        <v>225</v>
      </c>
      <c r="F94" s="951">
        <v>133</v>
      </c>
      <c r="G94" s="947" t="s">
        <v>159</v>
      </c>
      <c r="H94" s="951">
        <v>167</v>
      </c>
      <c r="I94" s="951">
        <v>4</v>
      </c>
      <c r="J94" s="947" t="s">
        <v>2326</v>
      </c>
      <c r="K94" s="947">
        <v>112599</v>
      </c>
      <c r="M94" s="631"/>
      <c r="P94" s="950" t="str">
        <f>VLOOKUP(J94,'רשימת רשויות'!A:A,1,0)</f>
        <v>ערבות הירדן</v>
      </c>
      <c r="Q94" s="956">
        <f>IFERROR(VLOOKUP(B94,[2]מעובד!$D:$K,8,0),0)</f>
        <v>231</v>
      </c>
      <c r="R94" s="956">
        <f>IFERROR(VLOOKUP(B94,[2]מעובד!$D:$L,9,0),0)</f>
        <v>69</v>
      </c>
    </row>
    <row r="95" spans="1:18" x14ac:dyDescent="0.2">
      <c r="A95" s="947" t="s">
        <v>219</v>
      </c>
      <c r="B95" s="947">
        <v>112607</v>
      </c>
      <c r="C95" s="947" t="s">
        <v>2189</v>
      </c>
      <c r="D95" s="947" t="s">
        <v>2370</v>
      </c>
      <c r="E95" s="951">
        <v>302</v>
      </c>
      <c r="F95" s="951">
        <v>255</v>
      </c>
      <c r="G95" s="947" t="s">
        <v>159</v>
      </c>
      <c r="H95" s="951">
        <v>199</v>
      </c>
      <c r="I95" s="951">
        <v>15</v>
      </c>
      <c r="J95" s="947" t="s">
        <v>219</v>
      </c>
      <c r="K95" s="947">
        <v>112607</v>
      </c>
      <c r="M95" s="631"/>
      <c r="P95" s="950" t="str">
        <f>VLOOKUP(J95,'רשימת רשויות'!A:A,1,0)</f>
        <v>גוש עציון</v>
      </c>
      <c r="Q95" s="956">
        <f>IFERROR(VLOOKUP(B95,[2]מעובד!$D:$K,8,0),0)</f>
        <v>0</v>
      </c>
      <c r="R95" s="956">
        <f>IFERROR(VLOOKUP(B95,[2]מעובד!$D:$L,9,0),0)</f>
        <v>0</v>
      </c>
    </row>
    <row r="96" spans="1:18" x14ac:dyDescent="0.2">
      <c r="A96" s="947" t="s">
        <v>270</v>
      </c>
      <c r="B96" s="947">
        <v>112714</v>
      </c>
      <c r="C96" s="947" t="s">
        <v>2189</v>
      </c>
      <c r="D96" s="947" t="s">
        <v>1359</v>
      </c>
      <c r="E96" s="951">
        <v>72</v>
      </c>
      <c r="F96" s="951">
        <v>71</v>
      </c>
      <c r="G96" s="947" t="s">
        <v>3252</v>
      </c>
      <c r="H96" s="951">
        <v>0</v>
      </c>
      <c r="I96" s="951">
        <v>0</v>
      </c>
      <c r="J96" s="947" t="s">
        <v>270</v>
      </c>
      <c r="K96" s="947">
        <v>112714</v>
      </c>
      <c r="M96" s="631"/>
      <c r="P96" s="950" t="str">
        <f>VLOOKUP(J96,'רשימת רשויות'!A:A,1,0)</f>
        <v>ירושלים</v>
      </c>
      <c r="Q96" s="956">
        <f>IFERROR(VLOOKUP(B96,[2]מעובד!$D:$K,8,0),0)</f>
        <v>0</v>
      </c>
      <c r="R96" s="956">
        <f>IFERROR(VLOOKUP(B96,[2]מעובד!$D:$L,9,0),0)</f>
        <v>0</v>
      </c>
    </row>
    <row r="97" spans="1:18" x14ac:dyDescent="0.2">
      <c r="A97" s="947" t="s">
        <v>270</v>
      </c>
      <c r="B97" s="947">
        <v>112722</v>
      </c>
      <c r="C97" s="947" t="s">
        <v>2189</v>
      </c>
      <c r="D97" s="947" t="s">
        <v>1360</v>
      </c>
      <c r="E97" s="951">
        <v>78</v>
      </c>
      <c r="F97" s="951">
        <v>77</v>
      </c>
      <c r="G97" s="947" t="s">
        <v>3252</v>
      </c>
      <c r="H97" s="951">
        <v>0</v>
      </c>
      <c r="I97" s="951">
        <v>0</v>
      </c>
      <c r="J97" s="947" t="s">
        <v>270</v>
      </c>
      <c r="K97" s="947">
        <v>112722</v>
      </c>
      <c r="M97" s="631"/>
      <c r="P97" s="950" t="str">
        <f>VLOOKUP(J97,'רשימת רשויות'!A:A,1,0)</f>
        <v>ירושלים</v>
      </c>
      <c r="Q97" s="956">
        <f>IFERROR(VLOOKUP(B97,[2]מעובד!$D:$K,8,0),0)</f>
        <v>0</v>
      </c>
      <c r="R97" s="956">
        <f>IFERROR(VLOOKUP(B97,[2]מעובד!$D:$L,9,0),0)</f>
        <v>0</v>
      </c>
    </row>
    <row r="98" spans="1:18" x14ac:dyDescent="0.2">
      <c r="A98" s="947" t="s">
        <v>270</v>
      </c>
      <c r="B98" s="947">
        <v>112789</v>
      </c>
      <c r="C98" s="947" t="s">
        <v>2189</v>
      </c>
      <c r="D98" s="947" t="s">
        <v>1363</v>
      </c>
      <c r="E98" s="951">
        <v>87</v>
      </c>
      <c r="F98" s="951">
        <v>66</v>
      </c>
      <c r="G98" s="947" t="s">
        <v>3252</v>
      </c>
      <c r="H98" s="951">
        <v>0</v>
      </c>
      <c r="I98" s="951">
        <v>0</v>
      </c>
      <c r="J98" s="947" t="s">
        <v>270</v>
      </c>
      <c r="K98" s="947">
        <v>112789</v>
      </c>
      <c r="M98" s="631"/>
      <c r="P98" s="950" t="str">
        <f>VLOOKUP(J98,'רשימת רשויות'!A:A,1,0)</f>
        <v>ירושלים</v>
      </c>
      <c r="Q98" s="956">
        <f>IFERROR(VLOOKUP(B98,[2]מעובד!$D:$K,8,0),0)</f>
        <v>0</v>
      </c>
      <c r="R98" s="956">
        <f>IFERROR(VLOOKUP(B98,[2]מעובד!$D:$L,9,0),0)</f>
        <v>0</v>
      </c>
    </row>
    <row r="99" spans="1:18" x14ac:dyDescent="0.2">
      <c r="A99" s="947" t="s">
        <v>270</v>
      </c>
      <c r="B99" s="947">
        <v>112797</v>
      </c>
      <c r="C99" s="947" t="s">
        <v>2189</v>
      </c>
      <c r="D99" s="947" t="s">
        <v>1364</v>
      </c>
      <c r="E99" s="951">
        <v>280</v>
      </c>
      <c r="F99" s="951">
        <v>280</v>
      </c>
      <c r="G99" s="947" t="s">
        <v>3252</v>
      </c>
      <c r="H99" s="951">
        <v>0</v>
      </c>
      <c r="I99" s="951">
        <v>0</v>
      </c>
      <c r="J99" s="947" t="s">
        <v>270</v>
      </c>
      <c r="K99" s="947">
        <v>112797</v>
      </c>
      <c r="M99" s="631"/>
      <c r="P99" s="950" t="str">
        <f>VLOOKUP(J99,'רשימת רשויות'!A:A,1,0)</f>
        <v>ירושלים</v>
      </c>
      <c r="Q99" s="956">
        <f>IFERROR(VLOOKUP(B99,[2]מעובד!$D:$K,8,0),0)</f>
        <v>0</v>
      </c>
      <c r="R99" s="956">
        <f>IFERROR(VLOOKUP(B99,[2]מעובד!$D:$L,9,0),0)</f>
        <v>0</v>
      </c>
    </row>
    <row r="100" spans="1:18" x14ac:dyDescent="0.2">
      <c r="A100" s="947" t="s">
        <v>310</v>
      </c>
      <c r="B100" s="947">
        <v>112813</v>
      </c>
      <c r="C100" s="947" t="s">
        <v>2189</v>
      </c>
      <c r="D100" s="947" t="s">
        <v>1075</v>
      </c>
      <c r="E100" s="951">
        <v>154</v>
      </c>
      <c r="F100" s="951">
        <v>108</v>
      </c>
      <c r="G100" s="947" t="s">
        <v>159</v>
      </c>
      <c r="H100" s="951">
        <v>0</v>
      </c>
      <c r="I100" s="951">
        <v>0</v>
      </c>
      <c r="J100" s="947" t="s">
        <v>310</v>
      </c>
      <c r="K100" s="947">
        <v>112813</v>
      </c>
      <c r="M100" s="631"/>
      <c r="P100" s="950" t="str">
        <f>VLOOKUP(J100,'רשימת רשויות'!A:A,1,0)</f>
        <v>מטה בנימין</v>
      </c>
      <c r="Q100" s="956">
        <f>IFERROR(VLOOKUP(B100,[2]מעובד!$D:$K,8,0),0)</f>
        <v>138</v>
      </c>
      <c r="R100" s="956">
        <f>IFERROR(VLOOKUP(B100,[2]מעובד!$D:$L,9,0),0)</f>
        <v>67</v>
      </c>
    </row>
    <row r="101" spans="1:18" x14ac:dyDescent="0.2">
      <c r="A101" s="947" t="s">
        <v>270</v>
      </c>
      <c r="B101" s="947">
        <v>112896</v>
      </c>
      <c r="C101" s="947" t="s">
        <v>2189</v>
      </c>
      <c r="D101" s="947" t="s">
        <v>1381</v>
      </c>
      <c r="E101" s="951">
        <v>73</v>
      </c>
      <c r="F101" s="951">
        <v>65</v>
      </c>
      <c r="G101" s="947" t="s">
        <v>3252</v>
      </c>
      <c r="H101" s="951">
        <v>0</v>
      </c>
      <c r="I101" s="951">
        <v>0</v>
      </c>
      <c r="J101" s="947" t="s">
        <v>270</v>
      </c>
      <c r="K101" s="947">
        <v>112896</v>
      </c>
      <c r="M101" s="631"/>
      <c r="P101" s="950" t="str">
        <f>VLOOKUP(J101,'רשימת רשויות'!A:A,1,0)</f>
        <v>ירושלים</v>
      </c>
      <c r="Q101" s="956">
        <f>IFERROR(VLOOKUP(B101,[2]מעובד!$D:$K,8,0),0)</f>
        <v>0</v>
      </c>
      <c r="R101" s="956">
        <f>IFERROR(VLOOKUP(B101,[2]מעובד!$D:$L,9,0),0)</f>
        <v>0</v>
      </c>
    </row>
    <row r="102" spans="1:18" x14ac:dyDescent="0.2">
      <c r="A102" s="947" t="s">
        <v>270</v>
      </c>
      <c r="B102" s="947">
        <v>112953</v>
      </c>
      <c r="C102" s="947" t="s">
        <v>2189</v>
      </c>
      <c r="D102" s="947" t="s">
        <v>2371</v>
      </c>
      <c r="E102" s="951">
        <v>53</v>
      </c>
      <c r="F102" s="951">
        <v>37</v>
      </c>
      <c r="G102" s="947" t="s">
        <v>159</v>
      </c>
      <c r="H102" s="951">
        <v>0</v>
      </c>
      <c r="I102" s="951">
        <v>0</v>
      </c>
      <c r="J102" s="947" t="s">
        <v>270</v>
      </c>
      <c r="K102" s="947">
        <v>112953</v>
      </c>
      <c r="M102" s="631"/>
      <c r="P102" s="950" t="str">
        <f>VLOOKUP(J102,'רשימת רשויות'!A:A,1,0)</f>
        <v>ירושלים</v>
      </c>
      <c r="Q102" s="956">
        <f>IFERROR(VLOOKUP(B102,[2]מעובד!$D:$K,8,0),0)</f>
        <v>71</v>
      </c>
      <c r="R102" s="956">
        <f>IFERROR(VLOOKUP(B102,[2]מעובד!$D:$L,9,0),0)</f>
        <v>53</v>
      </c>
    </row>
    <row r="103" spans="1:18" x14ac:dyDescent="0.2">
      <c r="A103" s="947" t="s">
        <v>270</v>
      </c>
      <c r="B103" s="947">
        <v>113001</v>
      </c>
      <c r="C103" s="947" t="s">
        <v>2189</v>
      </c>
      <c r="D103" s="947" t="s">
        <v>1407</v>
      </c>
      <c r="E103" s="951">
        <v>120</v>
      </c>
      <c r="F103" s="951">
        <v>94</v>
      </c>
      <c r="G103" s="947" t="s">
        <v>159</v>
      </c>
      <c r="H103" s="951">
        <v>0</v>
      </c>
      <c r="I103" s="951">
        <v>0</v>
      </c>
      <c r="J103" s="947" t="s">
        <v>270</v>
      </c>
      <c r="K103" s="947">
        <v>113001</v>
      </c>
      <c r="M103" s="631"/>
      <c r="P103" s="950" t="str">
        <f>VLOOKUP(J103,'רשימת רשויות'!A:A,1,0)</f>
        <v>ירושלים</v>
      </c>
      <c r="Q103" s="956">
        <f>IFERROR(VLOOKUP(B103,[2]מעובד!$D:$K,8,0),0)</f>
        <v>136</v>
      </c>
      <c r="R103" s="956">
        <f>IFERROR(VLOOKUP(B103,[2]מעובד!$D:$L,9,0),0)</f>
        <v>86</v>
      </c>
    </row>
    <row r="104" spans="1:18" x14ac:dyDescent="0.2">
      <c r="A104" s="947" t="s">
        <v>270</v>
      </c>
      <c r="B104" s="947">
        <v>113043</v>
      </c>
      <c r="C104" s="947" t="s">
        <v>2189</v>
      </c>
      <c r="D104" s="947" t="s">
        <v>1408</v>
      </c>
      <c r="E104" s="951">
        <v>489</v>
      </c>
      <c r="F104" s="951">
        <v>482</v>
      </c>
      <c r="G104" s="947" t="s">
        <v>3252</v>
      </c>
      <c r="H104" s="951">
        <v>0</v>
      </c>
      <c r="I104" s="951">
        <v>0</v>
      </c>
      <c r="J104" s="947" t="s">
        <v>270</v>
      </c>
      <c r="K104" s="947">
        <v>113043</v>
      </c>
      <c r="M104" s="631"/>
      <c r="P104" s="950" t="str">
        <f>VLOOKUP(J104,'רשימת רשויות'!A:A,1,0)</f>
        <v>ירושלים</v>
      </c>
      <c r="Q104" s="956">
        <f>IFERROR(VLOOKUP(B104,[2]מעובד!$D:$K,8,0),0)</f>
        <v>503</v>
      </c>
      <c r="R104" s="956">
        <f>IFERROR(VLOOKUP(B104,[2]מעובד!$D:$L,9,0),0)</f>
        <v>125</v>
      </c>
    </row>
    <row r="105" spans="1:18" x14ac:dyDescent="0.2">
      <c r="A105" s="947" t="s">
        <v>270</v>
      </c>
      <c r="B105" s="947">
        <v>113076</v>
      </c>
      <c r="C105" s="947" t="s">
        <v>2189</v>
      </c>
      <c r="D105" s="947" t="s">
        <v>1416</v>
      </c>
      <c r="E105" s="951">
        <v>151</v>
      </c>
      <c r="F105" s="951">
        <v>117</v>
      </c>
      <c r="G105" s="947" t="s">
        <v>159</v>
      </c>
      <c r="H105" s="951">
        <v>60</v>
      </c>
      <c r="I105" s="951">
        <v>5</v>
      </c>
      <c r="J105" s="947" t="s">
        <v>270</v>
      </c>
      <c r="K105" s="947">
        <v>113076</v>
      </c>
      <c r="M105" s="631"/>
      <c r="P105" s="950" t="str">
        <f>VLOOKUP(J105,'רשימת רשויות'!A:A,1,0)</f>
        <v>ירושלים</v>
      </c>
      <c r="Q105" s="956">
        <f>IFERROR(VLOOKUP(B105,[2]מעובד!$D:$K,8,0),0)</f>
        <v>144</v>
      </c>
      <c r="R105" s="956">
        <f>IFERROR(VLOOKUP(B105,[2]מעובד!$D:$L,9,0),0)</f>
        <v>80</v>
      </c>
    </row>
    <row r="106" spans="1:18" x14ac:dyDescent="0.2">
      <c r="A106" s="947" t="s">
        <v>233</v>
      </c>
      <c r="B106" s="947">
        <v>113084</v>
      </c>
      <c r="C106" s="947" t="s">
        <v>2189</v>
      </c>
      <c r="D106" s="947" t="s">
        <v>233</v>
      </c>
      <c r="E106" s="951">
        <v>118</v>
      </c>
      <c r="F106" s="951">
        <v>115</v>
      </c>
      <c r="G106" s="947" t="s">
        <v>159</v>
      </c>
      <c r="H106" s="951">
        <v>0</v>
      </c>
      <c r="I106" s="951">
        <v>0</v>
      </c>
      <c r="J106" s="947" t="s">
        <v>233</v>
      </c>
      <c r="K106" s="947">
        <v>113084</v>
      </c>
      <c r="M106" s="631"/>
      <c r="P106" s="950" t="str">
        <f>VLOOKUP(J106,'רשימת רשויות'!A:A,1,0)</f>
        <v>הר-אדר</v>
      </c>
      <c r="Q106" s="956">
        <f>IFERROR(VLOOKUP(B106,[2]מעובד!$D:$K,8,0),0)</f>
        <v>0</v>
      </c>
      <c r="R106" s="956">
        <f>IFERROR(VLOOKUP(B106,[2]מעובד!$D:$L,9,0),0)</f>
        <v>0</v>
      </c>
    </row>
    <row r="107" spans="1:18" x14ac:dyDescent="0.2">
      <c r="A107" s="947" t="s">
        <v>270</v>
      </c>
      <c r="B107" s="947">
        <v>113126</v>
      </c>
      <c r="C107" s="947" t="s">
        <v>2189</v>
      </c>
      <c r="D107" s="947" t="s">
        <v>1417</v>
      </c>
      <c r="E107" s="951">
        <v>85</v>
      </c>
      <c r="F107" s="951">
        <v>85</v>
      </c>
      <c r="G107" s="947" t="s">
        <v>3252</v>
      </c>
      <c r="H107" s="951">
        <v>0</v>
      </c>
      <c r="I107" s="951">
        <v>0</v>
      </c>
      <c r="J107" s="947" t="s">
        <v>270</v>
      </c>
      <c r="K107" s="947">
        <v>113126</v>
      </c>
      <c r="M107" s="631"/>
      <c r="P107" s="950" t="str">
        <f>VLOOKUP(J107,'רשימת רשויות'!A:A,1,0)</f>
        <v>ירושלים</v>
      </c>
      <c r="Q107" s="956">
        <f>IFERROR(VLOOKUP(B107,[2]מעובד!$D:$K,8,0),0)</f>
        <v>0</v>
      </c>
      <c r="R107" s="956">
        <f>IFERROR(VLOOKUP(B107,[2]מעובד!$D:$L,9,0),0)</f>
        <v>0</v>
      </c>
    </row>
    <row r="108" spans="1:18" x14ac:dyDescent="0.2">
      <c r="A108" s="947" t="s">
        <v>197</v>
      </c>
      <c r="B108" s="947">
        <v>113134</v>
      </c>
      <c r="C108" s="947" t="s">
        <v>2189</v>
      </c>
      <c r="D108" s="947" t="s">
        <v>1418</v>
      </c>
      <c r="E108" s="951">
        <v>188</v>
      </c>
      <c r="F108" s="951">
        <v>188</v>
      </c>
      <c r="G108" s="947" t="s">
        <v>3252</v>
      </c>
      <c r="H108" s="951">
        <v>0</v>
      </c>
      <c r="I108" s="951">
        <v>0</v>
      </c>
      <c r="J108" s="947" t="s">
        <v>197</v>
      </c>
      <c r="K108" s="947">
        <v>113134</v>
      </c>
      <c r="M108" s="631"/>
      <c r="P108" s="950" t="str">
        <f>VLOOKUP(J108,'רשימת רשויות'!A:A,1,0)</f>
        <v>ביתר עילית</v>
      </c>
      <c r="Q108" s="956">
        <f>IFERROR(VLOOKUP(B108,[2]מעובד!$D:$K,8,0),0)</f>
        <v>172</v>
      </c>
      <c r="R108" s="956">
        <f>IFERROR(VLOOKUP(B108,[2]מעובד!$D:$L,9,0),0)</f>
        <v>104</v>
      </c>
    </row>
    <row r="109" spans="1:18" x14ac:dyDescent="0.2">
      <c r="A109" s="947" t="s">
        <v>297</v>
      </c>
      <c r="B109" s="947">
        <v>113159</v>
      </c>
      <c r="C109" s="947" t="s">
        <v>2189</v>
      </c>
      <c r="D109" s="947" t="s">
        <v>2933</v>
      </c>
      <c r="E109" s="951">
        <v>54</v>
      </c>
      <c r="F109" s="951">
        <v>0</v>
      </c>
      <c r="G109" s="947" t="s">
        <v>3252</v>
      </c>
      <c r="H109" s="951">
        <v>0</v>
      </c>
      <c r="I109" s="951">
        <v>0</v>
      </c>
      <c r="J109" s="947" t="s">
        <v>297</v>
      </c>
      <c r="K109" s="947">
        <v>113159</v>
      </c>
      <c r="M109" s="631"/>
      <c r="P109" s="950" t="str">
        <f>VLOOKUP(J109,'רשימת רשויות'!A:A,1,0)</f>
        <v>מבשרת ציון</v>
      </c>
      <c r="Q109" s="956">
        <f>IFERROR(VLOOKUP(B109,[2]מעובד!$D:$K,8,0),0)</f>
        <v>0</v>
      </c>
      <c r="R109" s="956">
        <f>IFERROR(VLOOKUP(B109,[2]מעובד!$D:$L,9,0),0)</f>
        <v>0</v>
      </c>
    </row>
    <row r="110" spans="1:18" x14ac:dyDescent="0.2">
      <c r="A110" s="947" t="s">
        <v>370</v>
      </c>
      <c r="B110" s="947">
        <v>113175</v>
      </c>
      <c r="C110" s="947" t="s">
        <v>2189</v>
      </c>
      <c r="D110" s="947" t="s">
        <v>1096</v>
      </c>
      <c r="E110" s="951">
        <v>122</v>
      </c>
      <c r="F110" s="951">
        <v>113</v>
      </c>
      <c r="G110" s="947" t="s">
        <v>159</v>
      </c>
      <c r="H110" s="951">
        <v>0</v>
      </c>
      <c r="I110" s="951">
        <v>0</v>
      </c>
      <c r="J110" s="947" t="s">
        <v>370</v>
      </c>
      <c r="K110" s="947">
        <v>113175</v>
      </c>
      <c r="M110" s="631"/>
      <c r="P110" s="950" t="str">
        <f>VLOOKUP(J110,'רשימת רשויות'!A:A,1,0)</f>
        <v>קרית ארבע</v>
      </c>
      <c r="Q110" s="956">
        <f>IFERROR(VLOOKUP(B110,[2]מעובד!$D:$K,8,0),0)</f>
        <v>103</v>
      </c>
      <c r="R110" s="956">
        <f>IFERROR(VLOOKUP(B110,[2]מעובד!$D:$L,9,0),0)</f>
        <v>79</v>
      </c>
    </row>
    <row r="111" spans="1:18" x14ac:dyDescent="0.2">
      <c r="A111" s="947" t="s">
        <v>270</v>
      </c>
      <c r="B111" s="947">
        <v>113183</v>
      </c>
      <c r="C111" s="947" t="s">
        <v>2189</v>
      </c>
      <c r="D111" s="947" t="s">
        <v>2626</v>
      </c>
      <c r="E111" s="951">
        <v>102</v>
      </c>
      <c r="F111" s="951">
        <v>100</v>
      </c>
      <c r="G111" s="947" t="s">
        <v>3252</v>
      </c>
      <c r="H111" s="951">
        <v>0</v>
      </c>
      <c r="I111" s="951">
        <v>0</v>
      </c>
      <c r="J111" s="947" t="s">
        <v>270</v>
      </c>
      <c r="K111" s="947">
        <v>113183</v>
      </c>
      <c r="M111" s="631"/>
      <c r="P111" s="950" t="str">
        <f>VLOOKUP(J111,'רשימת רשויות'!A:A,1,0)</f>
        <v>ירושלים</v>
      </c>
      <c r="Q111" s="956">
        <f>IFERROR(VLOOKUP(B111,[2]מעובד!$D:$K,8,0),0)</f>
        <v>0</v>
      </c>
      <c r="R111" s="956">
        <f>IFERROR(VLOOKUP(B111,[2]מעובד!$D:$L,9,0),0)</f>
        <v>0</v>
      </c>
    </row>
    <row r="112" spans="1:18" x14ac:dyDescent="0.2">
      <c r="A112" s="947" t="s">
        <v>270</v>
      </c>
      <c r="B112" s="947">
        <v>113217</v>
      </c>
      <c r="C112" s="947" t="s">
        <v>2189</v>
      </c>
      <c r="D112" s="947" t="s">
        <v>1439</v>
      </c>
      <c r="E112" s="951">
        <v>162</v>
      </c>
      <c r="F112" s="951">
        <v>162</v>
      </c>
      <c r="G112" s="947" t="s">
        <v>159</v>
      </c>
      <c r="H112" s="951">
        <v>0</v>
      </c>
      <c r="I112" s="951">
        <v>0</v>
      </c>
      <c r="J112" s="947" t="s">
        <v>270</v>
      </c>
      <c r="K112" s="947">
        <v>113217</v>
      </c>
      <c r="M112" s="631"/>
      <c r="P112" s="950" t="str">
        <f>VLOOKUP(J112,'רשימת רשויות'!A:A,1,0)</f>
        <v>ירושלים</v>
      </c>
      <c r="Q112" s="956">
        <f>IFERROR(VLOOKUP(B112,[2]מעובד!$D:$K,8,0),0)</f>
        <v>140</v>
      </c>
      <c r="R112" s="956">
        <f>IFERROR(VLOOKUP(B112,[2]מעובד!$D:$L,9,0),0)</f>
        <v>114</v>
      </c>
    </row>
    <row r="113" spans="1:18" x14ac:dyDescent="0.2">
      <c r="A113" s="947" t="s">
        <v>317</v>
      </c>
      <c r="B113" s="947">
        <v>113258</v>
      </c>
      <c r="C113" s="947" t="s">
        <v>2189</v>
      </c>
      <c r="D113" s="947" t="s">
        <v>1103</v>
      </c>
      <c r="E113" s="951">
        <v>190</v>
      </c>
      <c r="F113" s="951">
        <v>131</v>
      </c>
      <c r="G113" s="947" t="s">
        <v>159</v>
      </c>
      <c r="H113" s="951">
        <v>61</v>
      </c>
      <c r="I113" s="951">
        <v>12</v>
      </c>
      <c r="J113" s="947" t="s">
        <v>317</v>
      </c>
      <c r="K113" s="947">
        <v>113258</v>
      </c>
      <c r="M113" s="631"/>
      <c r="P113" s="950" t="str">
        <f>VLOOKUP(J113,'רשימת רשויות'!A:A,1,0)</f>
        <v>מעלה אדומים</v>
      </c>
      <c r="Q113" s="956">
        <f>IFERROR(VLOOKUP(B113,[2]מעובד!$D:$K,8,0),0)</f>
        <v>142</v>
      </c>
      <c r="R113" s="956">
        <f>IFERROR(VLOOKUP(B113,[2]מעובד!$D:$L,9,0),0)</f>
        <v>65</v>
      </c>
    </row>
    <row r="114" spans="1:18" x14ac:dyDescent="0.2">
      <c r="A114" s="947" t="s">
        <v>317</v>
      </c>
      <c r="B114" s="947">
        <v>113308</v>
      </c>
      <c r="C114" s="947" t="s">
        <v>2189</v>
      </c>
      <c r="D114" s="947" t="s">
        <v>1110</v>
      </c>
      <c r="E114" s="951">
        <v>204</v>
      </c>
      <c r="F114" s="951">
        <v>179</v>
      </c>
      <c r="G114" s="947" t="s">
        <v>159</v>
      </c>
      <c r="H114" s="951">
        <v>134</v>
      </c>
      <c r="I114" s="951">
        <v>10</v>
      </c>
      <c r="J114" s="947" t="s">
        <v>317</v>
      </c>
      <c r="K114" s="947">
        <v>113308</v>
      </c>
      <c r="M114" s="631"/>
      <c r="P114" s="950" t="str">
        <f>VLOOKUP(J114,'רשימת רשויות'!A:A,1,0)</f>
        <v>מעלה אדומים</v>
      </c>
      <c r="Q114" s="956">
        <f>IFERROR(VLOOKUP(B114,[2]מעובד!$D:$K,8,0),0)</f>
        <v>156</v>
      </c>
      <c r="R114" s="956">
        <f>IFERROR(VLOOKUP(B114,[2]מעובד!$D:$L,9,0),0)</f>
        <v>116</v>
      </c>
    </row>
    <row r="115" spans="1:18" x14ac:dyDescent="0.2">
      <c r="A115" s="947" t="s">
        <v>191</v>
      </c>
      <c r="B115" s="947">
        <v>113324</v>
      </c>
      <c r="C115" s="947" t="s">
        <v>2189</v>
      </c>
      <c r="D115" s="947" t="s">
        <v>1111</v>
      </c>
      <c r="E115" s="951">
        <v>177</v>
      </c>
      <c r="F115" s="951">
        <v>155</v>
      </c>
      <c r="G115" s="947" t="s">
        <v>159</v>
      </c>
      <c r="H115" s="951">
        <v>125</v>
      </c>
      <c r="I115" s="951">
        <v>17</v>
      </c>
      <c r="J115" s="947" t="s">
        <v>191</v>
      </c>
      <c r="K115" s="947">
        <v>113324</v>
      </c>
      <c r="M115" s="631"/>
      <c r="P115" s="950" t="str">
        <f>VLOOKUP(J115,'רשימת רשויות'!A:A,1,0)</f>
        <v>בית אל</v>
      </c>
      <c r="Q115" s="956">
        <f>IFERROR(VLOOKUP(B115,[2]מעובד!$D:$K,8,0),0)</f>
        <v>209</v>
      </c>
      <c r="R115" s="956">
        <f>IFERROR(VLOOKUP(B115,[2]מעובד!$D:$L,9,0),0)</f>
        <v>102</v>
      </c>
    </row>
    <row r="116" spans="1:18" x14ac:dyDescent="0.2">
      <c r="A116" s="947" t="s">
        <v>270</v>
      </c>
      <c r="B116" s="947">
        <v>113332</v>
      </c>
      <c r="C116" s="947" t="s">
        <v>2189</v>
      </c>
      <c r="D116" s="947" t="s">
        <v>1314</v>
      </c>
      <c r="E116" s="951">
        <v>325</v>
      </c>
      <c r="F116" s="951">
        <v>295</v>
      </c>
      <c r="G116" s="947" t="s">
        <v>3252</v>
      </c>
      <c r="H116" s="951">
        <v>0</v>
      </c>
      <c r="I116" s="951">
        <v>0</v>
      </c>
      <c r="J116" s="947" t="s">
        <v>270</v>
      </c>
      <c r="K116" s="947">
        <v>113332</v>
      </c>
      <c r="M116" s="631"/>
      <c r="P116" s="950" t="str">
        <f>VLOOKUP(J116,'רשימת רשויות'!A:A,1,0)</f>
        <v>ירושלים</v>
      </c>
      <c r="Q116" s="956">
        <f>IFERROR(VLOOKUP(B116,[2]מעובד!$D:$K,8,0),0)</f>
        <v>0</v>
      </c>
      <c r="R116" s="956">
        <f>IFERROR(VLOOKUP(B116,[2]מעובד!$D:$L,9,0),0)</f>
        <v>0</v>
      </c>
    </row>
    <row r="117" spans="1:18" x14ac:dyDescent="0.2">
      <c r="A117" s="947" t="s">
        <v>310</v>
      </c>
      <c r="B117" s="947">
        <v>113365</v>
      </c>
      <c r="C117" s="947" t="s">
        <v>2189</v>
      </c>
      <c r="D117" s="947" t="s">
        <v>1315</v>
      </c>
      <c r="E117" s="951">
        <v>71</v>
      </c>
      <c r="F117" s="951">
        <v>43</v>
      </c>
      <c r="G117" s="947" t="s">
        <v>3252</v>
      </c>
      <c r="H117" s="951">
        <v>51</v>
      </c>
      <c r="I117" s="951">
        <v>2</v>
      </c>
      <c r="J117" s="947" t="s">
        <v>310</v>
      </c>
      <c r="K117" s="947">
        <v>113365</v>
      </c>
      <c r="M117" s="631"/>
      <c r="P117" s="950" t="str">
        <f>VLOOKUP(J117,'רשימת רשויות'!A:A,1,0)</f>
        <v>מטה בנימין</v>
      </c>
      <c r="Q117" s="956">
        <f>IFERROR(VLOOKUP(B117,[2]מעובד!$D:$K,8,0),0)</f>
        <v>81</v>
      </c>
      <c r="R117" s="956">
        <f>IFERROR(VLOOKUP(B117,[2]מעובד!$D:$L,9,0),0)</f>
        <v>66</v>
      </c>
    </row>
    <row r="118" spans="1:18" x14ac:dyDescent="0.2">
      <c r="A118" s="947" t="s">
        <v>270</v>
      </c>
      <c r="B118" s="947">
        <v>113399</v>
      </c>
      <c r="C118" s="947" t="s">
        <v>2189</v>
      </c>
      <c r="D118" s="947" t="s">
        <v>1316</v>
      </c>
      <c r="E118" s="951">
        <v>216</v>
      </c>
      <c r="F118" s="951">
        <v>181</v>
      </c>
      <c r="G118" s="947" t="s">
        <v>159</v>
      </c>
      <c r="H118" s="951">
        <v>79</v>
      </c>
      <c r="I118" s="951">
        <v>9</v>
      </c>
      <c r="J118" s="947" t="s">
        <v>270</v>
      </c>
      <c r="K118" s="947">
        <v>113399</v>
      </c>
      <c r="M118" s="631"/>
      <c r="P118" s="950" t="str">
        <f>VLOOKUP(J118,'רשימת רשויות'!A:A,1,0)</f>
        <v>ירושלים</v>
      </c>
      <c r="Q118" s="956">
        <f>IFERROR(VLOOKUP(B118,[2]מעובד!$D:$K,8,0),0)</f>
        <v>195</v>
      </c>
      <c r="R118" s="956">
        <f>IFERROR(VLOOKUP(B118,[2]מעובד!$D:$L,9,0),0)</f>
        <v>76</v>
      </c>
    </row>
    <row r="119" spans="1:18" x14ac:dyDescent="0.2">
      <c r="A119" s="947" t="s">
        <v>270</v>
      </c>
      <c r="B119" s="947">
        <v>113449</v>
      </c>
      <c r="C119" s="947" t="s">
        <v>2189</v>
      </c>
      <c r="D119" s="947" t="s">
        <v>1072</v>
      </c>
      <c r="E119" s="951">
        <v>127</v>
      </c>
      <c r="F119" s="951">
        <v>100</v>
      </c>
      <c r="G119" s="947" t="s">
        <v>159</v>
      </c>
      <c r="H119" s="951">
        <v>46</v>
      </c>
      <c r="I119" s="951">
        <v>5</v>
      </c>
      <c r="J119" s="947" t="s">
        <v>270</v>
      </c>
      <c r="K119" s="947">
        <v>113449</v>
      </c>
      <c r="M119" s="631"/>
      <c r="P119" s="950" t="str">
        <f>VLOOKUP(J119,'רשימת רשויות'!A:A,1,0)</f>
        <v>ירושלים</v>
      </c>
      <c r="Q119" s="956">
        <f>IFERROR(VLOOKUP(B119,[2]מעובד!$D:$K,8,0),0)</f>
        <v>81</v>
      </c>
      <c r="R119" s="956">
        <f>IFERROR(VLOOKUP(B119,[2]מעובד!$D:$L,9,0),0)</f>
        <v>41</v>
      </c>
    </row>
    <row r="120" spans="1:18" x14ac:dyDescent="0.2">
      <c r="A120" s="947" t="s">
        <v>270</v>
      </c>
      <c r="B120" s="947">
        <v>113472</v>
      </c>
      <c r="C120" s="947" t="s">
        <v>2189</v>
      </c>
      <c r="D120" s="947" t="s">
        <v>2372</v>
      </c>
      <c r="E120" s="951">
        <v>54</v>
      </c>
      <c r="F120" s="951">
        <v>33</v>
      </c>
      <c r="G120" s="947" t="s">
        <v>159</v>
      </c>
      <c r="H120" s="951">
        <v>23</v>
      </c>
      <c r="I120" s="951">
        <v>7</v>
      </c>
      <c r="J120" s="947" t="s">
        <v>270</v>
      </c>
      <c r="K120" s="947">
        <v>113472</v>
      </c>
      <c r="M120" s="631"/>
      <c r="P120" s="950" t="str">
        <f>VLOOKUP(J120,'רשימת רשויות'!A:A,1,0)</f>
        <v>ירושלים</v>
      </c>
      <c r="Q120" s="956">
        <f>IFERROR(VLOOKUP(B120,[2]מעובד!$D:$K,8,0),0)</f>
        <v>62</v>
      </c>
      <c r="R120" s="956">
        <f>IFERROR(VLOOKUP(B120,[2]מעובד!$D:$L,9,0),0)</f>
        <v>36</v>
      </c>
    </row>
    <row r="121" spans="1:18" x14ac:dyDescent="0.2">
      <c r="A121" s="947" t="s">
        <v>310</v>
      </c>
      <c r="B121" s="947">
        <v>113480</v>
      </c>
      <c r="C121" s="947" t="s">
        <v>2189</v>
      </c>
      <c r="D121" s="947" t="s">
        <v>1061</v>
      </c>
      <c r="E121" s="951">
        <v>142</v>
      </c>
      <c r="F121" s="951">
        <v>130</v>
      </c>
      <c r="G121" s="947" t="s">
        <v>159</v>
      </c>
      <c r="H121" s="951">
        <v>0</v>
      </c>
      <c r="I121" s="951">
        <v>0</v>
      </c>
      <c r="J121" s="947" t="s">
        <v>310</v>
      </c>
      <c r="K121" s="947">
        <v>113480</v>
      </c>
      <c r="M121" s="631"/>
      <c r="P121" s="950" t="str">
        <f>VLOOKUP(J121,'רשימת רשויות'!A:A,1,0)</f>
        <v>מטה בנימין</v>
      </c>
      <c r="Q121" s="956">
        <f>IFERROR(VLOOKUP(B121,[2]מעובד!$D:$K,8,0),0)</f>
        <v>134</v>
      </c>
      <c r="R121" s="956">
        <f>IFERROR(VLOOKUP(B121,[2]מעובד!$D:$L,9,0),0)</f>
        <v>65</v>
      </c>
    </row>
    <row r="122" spans="1:18" x14ac:dyDescent="0.2">
      <c r="A122" s="947" t="s">
        <v>270</v>
      </c>
      <c r="B122" s="947">
        <v>113498</v>
      </c>
      <c r="C122" s="947" t="s">
        <v>2189</v>
      </c>
      <c r="D122" s="947" t="s">
        <v>2627</v>
      </c>
      <c r="E122" s="951">
        <v>140</v>
      </c>
      <c r="F122" s="951">
        <v>124</v>
      </c>
      <c r="G122" s="947" t="s">
        <v>3252</v>
      </c>
      <c r="H122" s="951">
        <v>0</v>
      </c>
      <c r="I122" s="951">
        <v>0</v>
      </c>
      <c r="J122" s="947" t="s">
        <v>270</v>
      </c>
      <c r="K122" s="947">
        <v>113498</v>
      </c>
      <c r="M122" s="631"/>
      <c r="P122" s="950" t="str">
        <f>VLOOKUP(J122,'רשימת רשויות'!A:A,1,0)</f>
        <v>ירושלים</v>
      </c>
      <c r="Q122" s="956">
        <f>IFERROR(VLOOKUP(B122,[2]מעובד!$D:$K,8,0),0)</f>
        <v>0</v>
      </c>
      <c r="R122" s="956">
        <f>IFERROR(VLOOKUP(B122,[2]מעובד!$D:$L,9,0),0)</f>
        <v>0</v>
      </c>
    </row>
    <row r="123" spans="1:18" x14ac:dyDescent="0.2">
      <c r="A123" s="947" t="s">
        <v>197</v>
      </c>
      <c r="B123" s="947">
        <v>113514</v>
      </c>
      <c r="C123" s="947" t="s">
        <v>2189</v>
      </c>
      <c r="D123" s="947" t="s">
        <v>1179</v>
      </c>
      <c r="E123" s="951">
        <v>85</v>
      </c>
      <c r="F123" s="951">
        <v>77</v>
      </c>
      <c r="G123" s="947" t="s">
        <v>3252</v>
      </c>
      <c r="H123" s="951">
        <v>29</v>
      </c>
      <c r="I123" s="951">
        <v>8</v>
      </c>
      <c r="J123" s="947" t="s">
        <v>197</v>
      </c>
      <c r="K123" s="947">
        <v>113514</v>
      </c>
      <c r="M123" s="631"/>
      <c r="P123" s="950" t="str">
        <f>VLOOKUP(J123,'רשימת רשויות'!A:A,1,0)</f>
        <v>ביתר עילית</v>
      </c>
      <c r="Q123" s="956">
        <f>IFERROR(VLOOKUP(B123,[2]מעובד!$D:$K,8,0),0)</f>
        <v>109</v>
      </c>
      <c r="R123" s="956">
        <f>IFERROR(VLOOKUP(B123,[2]מעובד!$D:$L,9,0),0)</f>
        <v>109</v>
      </c>
    </row>
    <row r="124" spans="1:18" x14ac:dyDescent="0.2">
      <c r="A124" s="947" t="s">
        <v>196</v>
      </c>
      <c r="B124" s="947">
        <v>113522</v>
      </c>
      <c r="C124" s="947" t="s">
        <v>2189</v>
      </c>
      <c r="D124" s="947" t="s">
        <v>1069</v>
      </c>
      <c r="E124" s="951">
        <v>209</v>
      </c>
      <c r="F124" s="951">
        <v>170</v>
      </c>
      <c r="G124" s="947" t="s">
        <v>159</v>
      </c>
      <c r="H124" s="951">
        <v>209</v>
      </c>
      <c r="I124" s="951">
        <v>39</v>
      </c>
      <c r="J124" s="947" t="s">
        <v>196</v>
      </c>
      <c r="K124" s="947">
        <v>113522</v>
      </c>
      <c r="M124" s="631"/>
      <c r="P124" s="950" t="str">
        <f>VLOOKUP(J124,'רשימת רשויות'!A:A,1,0)</f>
        <v>בית שמש</v>
      </c>
      <c r="Q124" s="956">
        <f>IFERROR(VLOOKUP(B124,[2]מעובד!$D:$K,8,0),0)</f>
        <v>188</v>
      </c>
      <c r="R124" s="956">
        <f>IFERROR(VLOOKUP(B124,[2]מעובד!$D:$L,9,0),0)</f>
        <v>65</v>
      </c>
    </row>
    <row r="125" spans="1:18" x14ac:dyDescent="0.2">
      <c r="A125" s="947" t="s">
        <v>196</v>
      </c>
      <c r="B125" s="947">
        <v>113530</v>
      </c>
      <c r="C125" s="947" t="s">
        <v>2189</v>
      </c>
      <c r="D125" s="947" t="s">
        <v>1038</v>
      </c>
      <c r="E125" s="951">
        <v>181</v>
      </c>
      <c r="F125" s="951">
        <v>163</v>
      </c>
      <c r="G125" s="947" t="s">
        <v>159</v>
      </c>
      <c r="H125" s="951">
        <v>128</v>
      </c>
      <c r="I125" s="951">
        <v>18</v>
      </c>
      <c r="J125" s="947" t="s">
        <v>196</v>
      </c>
      <c r="K125" s="947">
        <v>113530</v>
      </c>
      <c r="M125" s="631"/>
      <c r="P125" s="950" t="str">
        <f>VLOOKUP(J125,'רשימת רשויות'!A:A,1,0)</f>
        <v>בית שמש</v>
      </c>
      <c r="Q125" s="956">
        <f>IFERROR(VLOOKUP(B125,[2]מעובד!$D:$K,8,0),0)</f>
        <v>166</v>
      </c>
      <c r="R125" s="956">
        <f>IFERROR(VLOOKUP(B125,[2]מעובד!$D:$L,9,0),0)</f>
        <v>102</v>
      </c>
    </row>
    <row r="126" spans="1:18" x14ac:dyDescent="0.2">
      <c r="A126" s="947" t="s">
        <v>270</v>
      </c>
      <c r="B126" s="947">
        <v>113548</v>
      </c>
      <c r="C126" s="947" t="s">
        <v>2189</v>
      </c>
      <c r="D126" s="947" t="s">
        <v>1339</v>
      </c>
      <c r="E126" s="951">
        <v>80</v>
      </c>
      <c r="F126" s="951">
        <v>80</v>
      </c>
      <c r="G126" s="947" t="s">
        <v>3252</v>
      </c>
      <c r="H126" s="951">
        <v>0</v>
      </c>
      <c r="I126" s="951">
        <v>0</v>
      </c>
      <c r="J126" s="947" t="s">
        <v>270</v>
      </c>
      <c r="K126" s="947">
        <v>113548</v>
      </c>
      <c r="M126" s="631"/>
      <c r="P126" s="950" t="str">
        <f>VLOOKUP(J126,'רשימת רשויות'!A:A,1,0)</f>
        <v>ירושלים</v>
      </c>
      <c r="Q126" s="956">
        <f>IFERROR(VLOOKUP(B126,[2]מעובד!$D:$K,8,0),0)</f>
        <v>0</v>
      </c>
      <c r="R126" s="956">
        <f>IFERROR(VLOOKUP(B126,[2]מעובד!$D:$L,9,0),0)</f>
        <v>0</v>
      </c>
    </row>
    <row r="127" spans="1:18" x14ac:dyDescent="0.2">
      <c r="A127" s="947" t="s">
        <v>270</v>
      </c>
      <c r="B127" s="947">
        <v>113563</v>
      </c>
      <c r="C127" s="947" t="s">
        <v>2189</v>
      </c>
      <c r="D127" s="947" t="s">
        <v>1340</v>
      </c>
      <c r="E127" s="951">
        <v>140</v>
      </c>
      <c r="F127" s="951">
        <v>116</v>
      </c>
      <c r="G127" s="947" t="s">
        <v>159</v>
      </c>
      <c r="H127" s="951">
        <v>0</v>
      </c>
      <c r="I127" s="951">
        <v>0</v>
      </c>
      <c r="J127" s="947" t="s">
        <v>270</v>
      </c>
      <c r="K127" s="947">
        <v>113563</v>
      </c>
      <c r="M127" s="631"/>
      <c r="P127" s="950" t="str">
        <f>VLOOKUP(J127,'רשימת רשויות'!A:A,1,0)</f>
        <v>ירושלים</v>
      </c>
      <c r="Q127" s="956">
        <f>IFERROR(VLOOKUP(B127,[2]מעובד!$D:$K,8,0),0)</f>
        <v>127</v>
      </c>
      <c r="R127" s="956">
        <f>IFERROR(VLOOKUP(B127,[2]מעובד!$D:$L,9,0),0)</f>
        <v>73</v>
      </c>
    </row>
    <row r="128" spans="1:18" x14ac:dyDescent="0.2">
      <c r="A128" s="947" t="s">
        <v>270</v>
      </c>
      <c r="B128" s="947">
        <v>113589</v>
      </c>
      <c r="C128" s="947" t="s">
        <v>2189</v>
      </c>
      <c r="D128" s="947" t="s">
        <v>1348</v>
      </c>
      <c r="E128" s="951">
        <v>125</v>
      </c>
      <c r="F128" s="951">
        <v>120</v>
      </c>
      <c r="G128" s="947" t="s">
        <v>159</v>
      </c>
      <c r="H128" s="951">
        <v>0</v>
      </c>
      <c r="I128" s="951">
        <v>0</v>
      </c>
      <c r="J128" s="947" t="s">
        <v>270</v>
      </c>
      <c r="K128" s="947">
        <v>113589</v>
      </c>
      <c r="M128" s="631"/>
      <c r="P128" s="950" t="str">
        <f>VLOOKUP(J128,'רשימת רשויות'!A:A,1,0)</f>
        <v>ירושלים</v>
      </c>
      <c r="Q128" s="956">
        <f>IFERROR(VLOOKUP(B128,[2]מעובד!$D:$K,8,0),0)</f>
        <v>82</v>
      </c>
      <c r="R128" s="956">
        <f>IFERROR(VLOOKUP(B128,[2]מעובד!$D:$L,9,0),0)</f>
        <v>49</v>
      </c>
    </row>
    <row r="129" spans="1:18" x14ac:dyDescent="0.2">
      <c r="A129" s="947" t="s">
        <v>270</v>
      </c>
      <c r="B129" s="947">
        <v>113597</v>
      </c>
      <c r="C129" s="947" t="s">
        <v>2189</v>
      </c>
      <c r="D129" s="947" t="s">
        <v>1349</v>
      </c>
      <c r="E129" s="951">
        <v>149</v>
      </c>
      <c r="F129" s="951">
        <v>116</v>
      </c>
      <c r="G129" s="947" t="s">
        <v>159</v>
      </c>
      <c r="H129" s="951">
        <v>61</v>
      </c>
      <c r="I129" s="951">
        <v>10</v>
      </c>
      <c r="J129" s="947" t="s">
        <v>270</v>
      </c>
      <c r="K129" s="947">
        <v>113597</v>
      </c>
      <c r="M129" s="631"/>
      <c r="P129" s="950" t="str">
        <f>VLOOKUP(J129,'רשימת רשויות'!A:A,1,0)</f>
        <v>ירושלים</v>
      </c>
      <c r="Q129" s="956">
        <f>IFERROR(VLOOKUP(B129,[2]מעובד!$D:$K,8,0),0)</f>
        <v>139</v>
      </c>
      <c r="R129" s="956">
        <f>IFERROR(VLOOKUP(B129,[2]מעובד!$D:$L,9,0),0)</f>
        <v>56</v>
      </c>
    </row>
    <row r="130" spans="1:18" x14ac:dyDescent="0.2">
      <c r="A130" s="947" t="s">
        <v>196</v>
      </c>
      <c r="B130" s="947">
        <v>113639</v>
      </c>
      <c r="C130" s="947" t="s">
        <v>2189</v>
      </c>
      <c r="D130" s="947" t="s">
        <v>1070</v>
      </c>
      <c r="E130" s="951">
        <v>74</v>
      </c>
      <c r="F130" s="951">
        <v>54</v>
      </c>
      <c r="G130" s="947" t="s">
        <v>159</v>
      </c>
      <c r="H130" s="951">
        <v>56</v>
      </c>
      <c r="I130" s="951">
        <v>20</v>
      </c>
      <c r="J130" s="947" t="s">
        <v>196</v>
      </c>
      <c r="K130" s="947">
        <v>113639</v>
      </c>
      <c r="M130" s="631"/>
      <c r="P130" s="950" t="str">
        <f>VLOOKUP(J130,'רשימת רשויות'!A:A,1,0)</f>
        <v>בית שמש</v>
      </c>
      <c r="Q130" s="956">
        <f>IFERROR(VLOOKUP(B130,[2]מעובד!$D:$K,8,0),0)</f>
        <v>71</v>
      </c>
      <c r="R130" s="956">
        <f>IFERROR(VLOOKUP(B130,[2]מעובד!$D:$L,9,0),0)</f>
        <v>33</v>
      </c>
    </row>
    <row r="131" spans="1:18" x14ac:dyDescent="0.2">
      <c r="A131" s="947" t="s">
        <v>310</v>
      </c>
      <c r="B131" s="947">
        <v>113696</v>
      </c>
      <c r="C131" s="947" t="s">
        <v>2189</v>
      </c>
      <c r="D131" s="947" t="s">
        <v>1076</v>
      </c>
      <c r="E131" s="951">
        <v>82</v>
      </c>
      <c r="F131" s="951">
        <v>82</v>
      </c>
      <c r="G131" s="947" t="s">
        <v>159</v>
      </c>
      <c r="H131" s="951">
        <v>0</v>
      </c>
      <c r="I131" s="951">
        <v>0</v>
      </c>
      <c r="J131" s="947" t="s">
        <v>310</v>
      </c>
      <c r="K131" s="947">
        <v>113696</v>
      </c>
      <c r="M131" s="631"/>
      <c r="P131" s="950" t="str">
        <f>VLOOKUP(J131,'רשימת רשויות'!A:A,1,0)</f>
        <v>מטה בנימין</v>
      </c>
      <c r="Q131" s="956">
        <f>IFERROR(VLOOKUP(B131,[2]מעובד!$D:$K,8,0),0)</f>
        <v>87</v>
      </c>
      <c r="R131" s="956">
        <f>IFERROR(VLOOKUP(B131,[2]מעובד!$D:$L,9,0),0)</f>
        <v>50</v>
      </c>
    </row>
    <row r="132" spans="1:18" x14ac:dyDescent="0.2">
      <c r="A132" s="947" t="s">
        <v>270</v>
      </c>
      <c r="B132" s="947">
        <v>113738</v>
      </c>
      <c r="C132" s="947" t="s">
        <v>2189</v>
      </c>
      <c r="D132" s="947" t="s">
        <v>1371</v>
      </c>
      <c r="E132" s="951">
        <v>71</v>
      </c>
      <c r="F132" s="951">
        <v>71</v>
      </c>
      <c r="G132" s="947" t="s">
        <v>3252</v>
      </c>
      <c r="H132" s="951">
        <v>0</v>
      </c>
      <c r="I132" s="951">
        <v>0</v>
      </c>
      <c r="J132" s="947" t="s">
        <v>270</v>
      </c>
      <c r="K132" s="947">
        <v>113738</v>
      </c>
      <c r="M132" s="631"/>
      <c r="P132" s="950" t="str">
        <f>VLOOKUP(J132,'רשימת רשויות'!A:A,1,0)</f>
        <v>ירושלים</v>
      </c>
      <c r="Q132" s="956">
        <f>IFERROR(VLOOKUP(B132,[2]מעובד!$D:$K,8,0),0)</f>
        <v>0</v>
      </c>
      <c r="R132" s="956">
        <f>IFERROR(VLOOKUP(B132,[2]מעובד!$D:$L,9,0),0)</f>
        <v>0</v>
      </c>
    </row>
    <row r="133" spans="1:18" x14ac:dyDescent="0.2">
      <c r="A133" s="947" t="s">
        <v>270</v>
      </c>
      <c r="B133" s="947">
        <v>113746</v>
      </c>
      <c r="C133" s="947" t="s">
        <v>2189</v>
      </c>
      <c r="D133" s="947" t="s">
        <v>1372</v>
      </c>
      <c r="E133" s="951">
        <v>430</v>
      </c>
      <c r="F133" s="951">
        <v>429</v>
      </c>
      <c r="G133" s="947" t="s">
        <v>3252</v>
      </c>
      <c r="H133" s="951">
        <v>0</v>
      </c>
      <c r="I133" s="951">
        <v>0</v>
      </c>
      <c r="J133" s="947" t="s">
        <v>270</v>
      </c>
      <c r="K133" s="947">
        <v>113746</v>
      </c>
      <c r="M133" s="631"/>
      <c r="P133" s="950" t="str">
        <f>VLOOKUP(J133,'רשימת רשויות'!A:A,1,0)</f>
        <v>ירושלים</v>
      </c>
      <c r="Q133" s="956">
        <f>IFERROR(VLOOKUP(B133,[2]מעובד!$D:$K,8,0),0)</f>
        <v>0</v>
      </c>
      <c r="R133" s="956">
        <f>IFERROR(VLOOKUP(B133,[2]מעובד!$D:$L,9,0),0)</f>
        <v>0</v>
      </c>
    </row>
    <row r="134" spans="1:18" x14ac:dyDescent="0.2">
      <c r="A134" s="947" t="s">
        <v>317</v>
      </c>
      <c r="B134" s="947">
        <v>113753</v>
      </c>
      <c r="C134" s="947" t="s">
        <v>2189</v>
      </c>
      <c r="D134" s="947" t="s">
        <v>1077</v>
      </c>
      <c r="E134" s="951">
        <v>115</v>
      </c>
      <c r="F134" s="951">
        <v>71</v>
      </c>
      <c r="G134" s="947" t="s">
        <v>159</v>
      </c>
      <c r="H134" s="951">
        <v>94</v>
      </c>
      <c r="I134" s="951">
        <v>15</v>
      </c>
      <c r="J134" s="947" t="s">
        <v>317</v>
      </c>
      <c r="K134" s="947">
        <v>113753</v>
      </c>
      <c r="M134" s="631"/>
      <c r="P134" s="950" t="str">
        <f>VLOOKUP(J134,'רשימת רשויות'!A:A,1,0)</f>
        <v>מעלה אדומים</v>
      </c>
      <c r="Q134" s="956">
        <f>IFERROR(VLOOKUP(B134,[2]מעובד!$D:$K,8,0),0)</f>
        <v>122</v>
      </c>
      <c r="R134" s="956">
        <f>IFERROR(VLOOKUP(B134,[2]מעובד!$D:$L,9,0),0)</f>
        <v>60</v>
      </c>
    </row>
    <row r="135" spans="1:18" x14ac:dyDescent="0.2">
      <c r="A135" s="947" t="s">
        <v>270</v>
      </c>
      <c r="B135" s="947">
        <v>113761</v>
      </c>
      <c r="C135" s="947" t="s">
        <v>2189</v>
      </c>
      <c r="D135" s="947" t="s">
        <v>1373</v>
      </c>
      <c r="E135" s="951">
        <v>211</v>
      </c>
      <c r="F135" s="951">
        <v>197</v>
      </c>
      <c r="G135" s="947" t="s">
        <v>3252</v>
      </c>
      <c r="H135" s="951">
        <v>0</v>
      </c>
      <c r="I135" s="951">
        <v>0</v>
      </c>
      <c r="J135" s="947" t="s">
        <v>270</v>
      </c>
      <c r="K135" s="947">
        <v>113761</v>
      </c>
      <c r="M135" s="631"/>
      <c r="P135" s="950" t="str">
        <f>VLOOKUP(J135,'רשימת רשויות'!A:A,1,0)</f>
        <v>ירושלים</v>
      </c>
      <c r="Q135" s="956">
        <f>IFERROR(VLOOKUP(B135,[2]מעובד!$D:$K,8,0),0)</f>
        <v>221</v>
      </c>
      <c r="R135" s="956">
        <f>IFERROR(VLOOKUP(B135,[2]מעובד!$D:$L,9,0),0)</f>
        <v>49</v>
      </c>
    </row>
    <row r="136" spans="1:18" x14ac:dyDescent="0.2">
      <c r="A136" s="947" t="s">
        <v>310</v>
      </c>
      <c r="B136" s="947">
        <v>113787</v>
      </c>
      <c r="C136" s="947" t="s">
        <v>2189</v>
      </c>
      <c r="D136" s="947" t="s">
        <v>1078</v>
      </c>
      <c r="E136" s="951">
        <v>47</v>
      </c>
      <c r="F136" s="951">
        <v>40</v>
      </c>
      <c r="G136" s="947" t="s">
        <v>159</v>
      </c>
      <c r="H136" s="951">
        <v>0</v>
      </c>
      <c r="I136" s="951">
        <v>0</v>
      </c>
      <c r="J136" s="947" t="s">
        <v>310</v>
      </c>
      <c r="K136" s="947">
        <v>113787</v>
      </c>
      <c r="M136" s="631"/>
      <c r="P136" s="950" t="str">
        <f>VLOOKUP(J136,'רשימת רשויות'!A:A,1,0)</f>
        <v>מטה בנימין</v>
      </c>
      <c r="Q136" s="956">
        <f>IFERROR(VLOOKUP(B136,[2]מעובד!$D:$K,8,0),0)</f>
        <v>59</v>
      </c>
      <c r="R136" s="956">
        <f>IFERROR(VLOOKUP(B136,[2]מעובד!$D:$L,9,0),0)</f>
        <v>41</v>
      </c>
    </row>
    <row r="137" spans="1:18" x14ac:dyDescent="0.2">
      <c r="A137" s="947" t="s">
        <v>212</v>
      </c>
      <c r="B137" s="947">
        <v>113811</v>
      </c>
      <c r="C137" s="947" t="s">
        <v>2189</v>
      </c>
      <c r="D137" s="947" t="s">
        <v>496</v>
      </c>
      <c r="E137" s="951">
        <v>94</v>
      </c>
      <c r="F137" s="951">
        <v>74</v>
      </c>
      <c r="G137" s="947" t="s">
        <v>159</v>
      </c>
      <c r="H137" s="951">
        <v>63</v>
      </c>
      <c r="I137" s="951">
        <v>10</v>
      </c>
      <c r="J137" s="947" t="s">
        <v>212</v>
      </c>
      <c r="K137" s="947">
        <v>113811</v>
      </c>
      <c r="M137" s="631"/>
      <c r="P137" s="950" t="str">
        <f>VLOOKUP(J137,'רשימת רשויות'!A:A,1,0)</f>
        <v>גבעת זאב</v>
      </c>
      <c r="Q137" s="956">
        <f>IFERROR(VLOOKUP(B137,[2]מעובד!$D:$K,8,0),0)</f>
        <v>60</v>
      </c>
      <c r="R137" s="956">
        <f>IFERROR(VLOOKUP(B137,[2]מעובד!$D:$L,9,0),0)</f>
        <v>32</v>
      </c>
    </row>
    <row r="138" spans="1:18" x14ac:dyDescent="0.2">
      <c r="A138" s="947" t="s">
        <v>196</v>
      </c>
      <c r="B138" s="947">
        <v>113829</v>
      </c>
      <c r="C138" s="947" t="s">
        <v>2189</v>
      </c>
      <c r="D138" s="947" t="s">
        <v>2648</v>
      </c>
      <c r="E138" s="951">
        <v>157</v>
      </c>
      <c r="F138" s="951">
        <v>129</v>
      </c>
      <c r="G138" s="947" t="s">
        <v>159</v>
      </c>
      <c r="H138" s="951">
        <v>110</v>
      </c>
      <c r="I138" s="951">
        <v>19</v>
      </c>
      <c r="J138" s="947" t="s">
        <v>196</v>
      </c>
      <c r="K138" s="947">
        <v>113829</v>
      </c>
      <c r="M138" s="631"/>
      <c r="P138" s="950" t="str">
        <f>VLOOKUP(J138,'רשימת רשויות'!A:A,1,0)</f>
        <v>בית שמש</v>
      </c>
      <c r="Q138" s="956">
        <f>IFERROR(VLOOKUP(B138,[2]מעובד!$D:$K,8,0),0)</f>
        <v>25</v>
      </c>
      <c r="R138" s="956">
        <f>IFERROR(VLOOKUP(B138,[2]מעובד!$D:$L,9,0),0)</f>
        <v>20</v>
      </c>
    </row>
    <row r="139" spans="1:18" x14ac:dyDescent="0.2">
      <c r="A139" s="947" t="s">
        <v>270</v>
      </c>
      <c r="B139" s="947">
        <v>113852</v>
      </c>
      <c r="C139" s="947" t="s">
        <v>2189</v>
      </c>
      <c r="D139" s="947" t="s">
        <v>1409</v>
      </c>
      <c r="E139" s="951">
        <v>142</v>
      </c>
      <c r="F139" s="951">
        <v>99</v>
      </c>
      <c r="G139" s="947" t="s">
        <v>3252</v>
      </c>
      <c r="H139" s="951">
        <v>142</v>
      </c>
      <c r="I139" s="951">
        <v>40</v>
      </c>
      <c r="J139" s="947" t="s">
        <v>270</v>
      </c>
      <c r="K139" s="947">
        <v>113852</v>
      </c>
      <c r="M139" s="631"/>
      <c r="P139" s="950" t="str">
        <f>VLOOKUP(J139,'רשימת רשויות'!A:A,1,0)</f>
        <v>ירושלים</v>
      </c>
      <c r="Q139" s="956">
        <f>IFERROR(VLOOKUP(B139,[2]מעובד!$D:$K,8,0),0)</f>
        <v>0</v>
      </c>
      <c r="R139" s="956">
        <f>IFERROR(VLOOKUP(B139,[2]מעובד!$D:$L,9,0),0)</f>
        <v>0</v>
      </c>
    </row>
    <row r="140" spans="1:18" x14ac:dyDescent="0.2">
      <c r="A140" s="947" t="s">
        <v>270</v>
      </c>
      <c r="B140" s="947">
        <v>113860</v>
      </c>
      <c r="C140" s="947" t="s">
        <v>2189</v>
      </c>
      <c r="D140" s="947" t="s">
        <v>1410</v>
      </c>
      <c r="E140" s="951">
        <v>144</v>
      </c>
      <c r="F140" s="951">
        <v>121</v>
      </c>
      <c r="G140" s="947" t="s">
        <v>3252</v>
      </c>
      <c r="H140" s="951">
        <v>99</v>
      </c>
      <c r="I140" s="951">
        <v>22</v>
      </c>
      <c r="J140" s="947" t="s">
        <v>270</v>
      </c>
      <c r="K140" s="947">
        <v>113860</v>
      </c>
      <c r="M140" s="631"/>
      <c r="P140" s="950" t="str">
        <f>VLOOKUP(J140,'רשימת רשויות'!A:A,1,0)</f>
        <v>ירושלים</v>
      </c>
      <c r="Q140" s="956">
        <f>IFERROR(VLOOKUP(B140,[2]מעובד!$D:$K,8,0),0)</f>
        <v>0</v>
      </c>
      <c r="R140" s="956">
        <f>IFERROR(VLOOKUP(B140,[2]מעובד!$D:$L,9,0),0)</f>
        <v>0</v>
      </c>
    </row>
    <row r="141" spans="1:18" x14ac:dyDescent="0.2">
      <c r="A141" s="947" t="s">
        <v>317</v>
      </c>
      <c r="B141" s="947">
        <v>113902</v>
      </c>
      <c r="C141" s="947" t="s">
        <v>2189</v>
      </c>
      <c r="D141" s="947" t="s">
        <v>1084</v>
      </c>
      <c r="E141" s="951">
        <v>153</v>
      </c>
      <c r="F141" s="951">
        <v>118</v>
      </c>
      <c r="G141" s="947" t="s">
        <v>159</v>
      </c>
      <c r="H141" s="951">
        <v>106</v>
      </c>
      <c r="I141" s="951">
        <v>12</v>
      </c>
      <c r="J141" s="947" t="s">
        <v>317</v>
      </c>
      <c r="K141" s="947">
        <v>113902</v>
      </c>
      <c r="M141" s="631"/>
      <c r="P141" s="950" t="str">
        <f>VLOOKUP(J141,'רשימת רשויות'!A:A,1,0)</f>
        <v>מעלה אדומים</v>
      </c>
      <c r="Q141" s="956">
        <f>IFERROR(VLOOKUP(B141,[2]מעובד!$D:$K,8,0),0)</f>
        <v>144</v>
      </c>
      <c r="R141" s="956">
        <f>IFERROR(VLOOKUP(B141,[2]מעובד!$D:$L,9,0),0)</f>
        <v>84</v>
      </c>
    </row>
    <row r="142" spans="1:18" x14ac:dyDescent="0.2">
      <c r="A142" s="947" t="s">
        <v>197</v>
      </c>
      <c r="B142" s="947">
        <v>113928</v>
      </c>
      <c r="C142" s="947" t="s">
        <v>2189</v>
      </c>
      <c r="D142" s="947" t="s">
        <v>1411</v>
      </c>
      <c r="E142" s="951">
        <v>148</v>
      </c>
      <c r="F142" s="951">
        <v>120</v>
      </c>
      <c r="G142" s="947" t="s">
        <v>3252</v>
      </c>
      <c r="H142" s="951">
        <v>148</v>
      </c>
      <c r="I142" s="951">
        <v>27</v>
      </c>
      <c r="J142" s="947" t="s">
        <v>197</v>
      </c>
      <c r="K142" s="947">
        <v>113928</v>
      </c>
      <c r="M142" s="631"/>
      <c r="P142" s="950" t="str">
        <f>VLOOKUP(J142,'רשימת רשויות'!A:A,1,0)</f>
        <v>ביתר עילית</v>
      </c>
      <c r="Q142" s="956">
        <f>IFERROR(VLOOKUP(B142,[2]מעובד!$D:$K,8,0),0)</f>
        <v>0</v>
      </c>
      <c r="R142" s="956">
        <f>IFERROR(VLOOKUP(B142,[2]מעובד!$D:$L,9,0),0)</f>
        <v>0</v>
      </c>
    </row>
    <row r="143" spans="1:18" x14ac:dyDescent="0.2">
      <c r="A143" s="947" t="s">
        <v>270</v>
      </c>
      <c r="B143" s="947">
        <v>113944</v>
      </c>
      <c r="C143" s="947" t="s">
        <v>2189</v>
      </c>
      <c r="D143" s="947" t="s">
        <v>2373</v>
      </c>
      <c r="E143" s="951">
        <v>83</v>
      </c>
      <c r="F143" s="951">
        <v>50</v>
      </c>
      <c r="G143" s="947" t="s">
        <v>3252</v>
      </c>
      <c r="H143" s="951">
        <v>83</v>
      </c>
      <c r="I143" s="951">
        <v>23</v>
      </c>
      <c r="J143" s="947" t="s">
        <v>270</v>
      </c>
      <c r="K143" s="947">
        <v>113944</v>
      </c>
      <c r="M143" s="631"/>
      <c r="P143" s="950" t="str">
        <f>VLOOKUP(J143,'רשימת רשויות'!A:A,1,0)</f>
        <v>ירושלים</v>
      </c>
      <c r="Q143" s="956">
        <f>IFERROR(VLOOKUP(B143,[2]מעובד!$D:$K,8,0),0)</f>
        <v>87</v>
      </c>
      <c r="R143" s="956">
        <f>IFERROR(VLOOKUP(B143,[2]מעובד!$D:$L,9,0),0)</f>
        <v>65</v>
      </c>
    </row>
    <row r="144" spans="1:18" x14ac:dyDescent="0.2">
      <c r="A144" s="947" t="s">
        <v>370</v>
      </c>
      <c r="B144" s="947">
        <v>113969</v>
      </c>
      <c r="C144" s="947" t="s">
        <v>2189</v>
      </c>
      <c r="D144" s="947" t="s">
        <v>1091</v>
      </c>
      <c r="E144" s="951">
        <v>172</v>
      </c>
      <c r="F144" s="951">
        <v>133</v>
      </c>
      <c r="G144" s="947" t="s">
        <v>159</v>
      </c>
      <c r="H144" s="951">
        <v>172</v>
      </c>
      <c r="I144" s="951">
        <v>19</v>
      </c>
      <c r="J144" s="947" t="s">
        <v>370</v>
      </c>
      <c r="K144" s="947">
        <v>113969</v>
      </c>
      <c r="M144" s="631"/>
      <c r="P144" s="950" t="str">
        <f>VLOOKUP(J144,'רשימת רשויות'!A:A,1,0)</f>
        <v>קרית ארבע</v>
      </c>
      <c r="Q144" s="956">
        <f>IFERROR(VLOOKUP(B144,[2]מעובד!$D:$K,8,0),0)</f>
        <v>202</v>
      </c>
      <c r="R144" s="956">
        <f>IFERROR(VLOOKUP(B144,[2]מעובד!$D:$L,9,0),0)</f>
        <v>119</v>
      </c>
    </row>
    <row r="145" spans="1:18" x14ac:dyDescent="0.2">
      <c r="A145" s="947" t="s">
        <v>270</v>
      </c>
      <c r="B145" s="947">
        <v>114009</v>
      </c>
      <c r="C145" s="947" t="s">
        <v>2189</v>
      </c>
      <c r="D145" s="947" t="s">
        <v>1433</v>
      </c>
      <c r="E145" s="951">
        <v>67</v>
      </c>
      <c r="F145" s="951">
        <v>48</v>
      </c>
      <c r="G145" s="947" t="s">
        <v>3252</v>
      </c>
      <c r="H145" s="951">
        <v>0</v>
      </c>
      <c r="I145" s="951">
        <v>0</v>
      </c>
      <c r="J145" s="947" t="s">
        <v>270</v>
      </c>
      <c r="K145" s="947">
        <v>114009</v>
      </c>
      <c r="M145" s="631"/>
      <c r="P145" s="950" t="str">
        <f>VLOOKUP(J145,'רשימת רשויות'!A:A,1,0)</f>
        <v>ירושלים</v>
      </c>
      <c r="Q145" s="956">
        <f>IFERROR(VLOOKUP(B145,[2]מעובד!$D:$K,8,0),0)</f>
        <v>0</v>
      </c>
      <c r="R145" s="956">
        <f>IFERROR(VLOOKUP(B145,[2]מעובד!$D:$L,9,0),0)</f>
        <v>0</v>
      </c>
    </row>
    <row r="146" spans="1:18" x14ac:dyDescent="0.2">
      <c r="A146" s="947" t="s">
        <v>270</v>
      </c>
      <c r="B146" s="947">
        <v>114033</v>
      </c>
      <c r="C146" s="947" t="s">
        <v>2189</v>
      </c>
      <c r="D146" s="947" t="s">
        <v>1440</v>
      </c>
      <c r="E146" s="951">
        <v>65</v>
      </c>
      <c r="F146" s="951">
        <v>56</v>
      </c>
      <c r="G146" s="947" t="s">
        <v>159</v>
      </c>
      <c r="H146" s="951">
        <v>0</v>
      </c>
      <c r="I146" s="951">
        <v>0</v>
      </c>
      <c r="J146" s="947" t="s">
        <v>270</v>
      </c>
      <c r="K146" s="947">
        <v>114033</v>
      </c>
      <c r="M146" s="631"/>
      <c r="P146" s="950" t="str">
        <f>VLOOKUP(J146,'רשימת רשויות'!A:A,1,0)</f>
        <v>ירושלים</v>
      </c>
      <c r="Q146" s="956">
        <f>IFERROR(VLOOKUP(B146,[2]מעובד!$D:$K,8,0),0)</f>
        <v>85</v>
      </c>
      <c r="R146" s="956">
        <f>IFERROR(VLOOKUP(B146,[2]מעובד!$D:$L,9,0),0)</f>
        <v>52</v>
      </c>
    </row>
    <row r="147" spans="1:18" x14ac:dyDescent="0.2">
      <c r="A147" s="947" t="s">
        <v>179</v>
      </c>
      <c r="B147" s="947">
        <v>114058</v>
      </c>
      <c r="C147" s="947" t="s">
        <v>2189</v>
      </c>
      <c r="D147" s="947" t="s">
        <v>180</v>
      </c>
      <c r="E147" s="951">
        <v>171</v>
      </c>
      <c r="F147" s="951">
        <v>144</v>
      </c>
      <c r="G147" s="947" t="s">
        <v>159</v>
      </c>
      <c r="H147" s="951">
        <v>114</v>
      </c>
      <c r="I147" s="951">
        <v>13</v>
      </c>
      <c r="J147" s="947" t="s">
        <v>179</v>
      </c>
      <c r="K147" s="947">
        <v>114058</v>
      </c>
      <c r="M147" s="631"/>
      <c r="P147" s="950" t="str">
        <f>VLOOKUP(J147,'רשימת רשויות'!A:A,1,0)</f>
        <v>אפרת</v>
      </c>
      <c r="Q147" s="956">
        <f>IFERROR(VLOOKUP(B147,[2]מעובד!$D:$K,8,0),0)</f>
        <v>160</v>
      </c>
      <c r="R147" s="956">
        <f>IFERROR(VLOOKUP(B147,[2]מעובד!$D:$L,9,0),0)</f>
        <v>18</v>
      </c>
    </row>
    <row r="148" spans="1:18" x14ac:dyDescent="0.2">
      <c r="A148" s="947" t="s">
        <v>270</v>
      </c>
      <c r="B148" s="947">
        <v>114066</v>
      </c>
      <c r="C148" s="947" t="s">
        <v>2189</v>
      </c>
      <c r="D148" s="947" t="s">
        <v>1441</v>
      </c>
      <c r="E148" s="951">
        <v>78</v>
      </c>
      <c r="F148" s="951">
        <v>75</v>
      </c>
      <c r="G148" s="947" t="s">
        <v>159</v>
      </c>
      <c r="H148" s="951">
        <v>0</v>
      </c>
      <c r="I148" s="951">
        <v>0</v>
      </c>
      <c r="J148" s="947" t="s">
        <v>270</v>
      </c>
      <c r="K148" s="947">
        <v>114066</v>
      </c>
      <c r="M148" s="631"/>
      <c r="P148" s="950" t="str">
        <f>VLOOKUP(J148,'רשימת רשויות'!A:A,1,0)</f>
        <v>ירושלים</v>
      </c>
      <c r="Q148" s="956">
        <f>IFERROR(VLOOKUP(B148,[2]מעובד!$D:$K,8,0),0)</f>
        <v>140</v>
      </c>
      <c r="R148" s="956">
        <f>IFERROR(VLOOKUP(B148,[2]מעובד!$D:$L,9,0),0)</f>
        <v>65</v>
      </c>
    </row>
    <row r="149" spans="1:18" x14ac:dyDescent="0.2">
      <c r="A149" s="947" t="s">
        <v>270</v>
      </c>
      <c r="B149" s="947">
        <v>114074</v>
      </c>
      <c r="C149" s="947" t="s">
        <v>2189</v>
      </c>
      <c r="D149" s="947" t="s">
        <v>1442</v>
      </c>
      <c r="E149" s="951">
        <v>123</v>
      </c>
      <c r="F149" s="951">
        <v>88</v>
      </c>
      <c r="G149" s="947" t="s">
        <v>159</v>
      </c>
      <c r="H149" s="951">
        <v>49</v>
      </c>
      <c r="I149" s="951">
        <v>9</v>
      </c>
      <c r="J149" s="947" t="s">
        <v>270</v>
      </c>
      <c r="K149" s="947">
        <v>114074</v>
      </c>
      <c r="M149" s="631"/>
      <c r="P149" s="950" t="str">
        <f>VLOOKUP(J149,'רשימת רשויות'!A:A,1,0)</f>
        <v>ירושלים</v>
      </c>
      <c r="Q149" s="956">
        <f>IFERROR(VLOOKUP(B149,[2]מעובד!$D:$K,8,0),0)</f>
        <v>78</v>
      </c>
      <c r="R149" s="956">
        <f>IFERROR(VLOOKUP(B149,[2]מעובד!$D:$L,9,0),0)</f>
        <v>42</v>
      </c>
    </row>
    <row r="150" spans="1:18" x14ac:dyDescent="0.2">
      <c r="A150" s="947" t="s">
        <v>310</v>
      </c>
      <c r="B150" s="947">
        <v>114082</v>
      </c>
      <c r="C150" s="947" t="s">
        <v>2189</v>
      </c>
      <c r="D150" s="947" t="s">
        <v>1104</v>
      </c>
      <c r="E150" s="951">
        <v>159</v>
      </c>
      <c r="F150" s="951">
        <v>151</v>
      </c>
      <c r="G150" s="947" t="s">
        <v>159</v>
      </c>
      <c r="H150" s="951">
        <v>68</v>
      </c>
      <c r="I150" s="951">
        <v>6</v>
      </c>
      <c r="J150" s="947" t="s">
        <v>310</v>
      </c>
      <c r="K150" s="947">
        <v>114082</v>
      </c>
      <c r="M150" s="631"/>
      <c r="P150" s="950" t="str">
        <f>VLOOKUP(J150,'רשימת רשויות'!A:A,1,0)</f>
        <v>מטה בנימין</v>
      </c>
      <c r="Q150" s="956">
        <f>IFERROR(VLOOKUP(B150,[2]מעובד!$D:$K,8,0),0)</f>
        <v>139</v>
      </c>
      <c r="R150" s="956">
        <f>IFERROR(VLOOKUP(B150,[2]מעובד!$D:$L,9,0),0)</f>
        <v>62</v>
      </c>
    </row>
    <row r="151" spans="1:18" x14ac:dyDescent="0.2">
      <c r="A151" s="947" t="s">
        <v>197</v>
      </c>
      <c r="B151" s="947">
        <v>114132</v>
      </c>
      <c r="C151" s="947" t="s">
        <v>2189</v>
      </c>
      <c r="D151" s="947" t="s">
        <v>1112</v>
      </c>
      <c r="E151" s="951">
        <v>118</v>
      </c>
      <c r="F151" s="951">
        <v>118</v>
      </c>
      <c r="G151" s="947" t="s">
        <v>159</v>
      </c>
      <c r="H151" s="951">
        <v>0</v>
      </c>
      <c r="I151" s="951">
        <v>0</v>
      </c>
      <c r="J151" s="947" t="s">
        <v>197</v>
      </c>
      <c r="K151" s="947">
        <v>114132</v>
      </c>
      <c r="M151" s="631"/>
      <c r="P151" s="950" t="str">
        <f>VLOOKUP(J151,'רשימת רשויות'!A:A,1,0)</f>
        <v>ביתר עילית</v>
      </c>
      <c r="Q151" s="956">
        <f>IFERROR(VLOOKUP(B151,[2]מעובד!$D:$K,8,0),0)</f>
        <v>119</v>
      </c>
      <c r="R151" s="956">
        <f>IFERROR(VLOOKUP(B151,[2]מעובד!$D:$L,9,0),0)</f>
        <v>119</v>
      </c>
    </row>
    <row r="152" spans="1:18" x14ac:dyDescent="0.2">
      <c r="A152" s="947" t="s">
        <v>270</v>
      </c>
      <c r="B152" s="947">
        <v>114140</v>
      </c>
      <c r="C152" s="947" t="s">
        <v>2189</v>
      </c>
      <c r="D152" s="947" t="s">
        <v>1452</v>
      </c>
      <c r="E152" s="951">
        <v>53</v>
      </c>
      <c r="F152" s="951">
        <v>45</v>
      </c>
      <c r="G152" s="947" t="s">
        <v>3252</v>
      </c>
      <c r="H152" s="951">
        <v>19</v>
      </c>
      <c r="I152" s="951">
        <v>4</v>
      </c>
      <c r="J152" s="947" t="s">
        <v>270</v>
      </c>
      <c r="K152" s="947">
        <v>114140</v>
      </c>
      <c r="M152" s="631"/>
      <c r="P152" s="950" t="str">
        <f>VLOOKUP(J152,'רשימת רשויות'!A:A,1,0)</f>
        <v>ירושלים</v>
      </c>
      <c r="Q152" s="956">
        <f>IFERROR(VLOOKUP(B152,[2]מעובד!$D:$K,8,0),0)</f>
        <v>55</v>
      </c>
      <c r="R152" s="956">
        <f>IFERROR(VLOOKUP(B152,[2]מעובד!$D:$L,9,0),0)</f>
        <v>47</v>
      </c>
    </row>
    <row r="153" spans="1:18" x14ac:dyDescent="0.2">
      <c r="A153" s="947" t="s">
        <v>196</v>
      </c>
      <c r="B153" s="947">
        <v>114165</v>
      </c>
      <c r="C153" s="947" t="s">
        <v>2189</v>
      </c>
      <c r="D153" s="947" t="s">
        <v>1117</v>
      </c>
      <c r="E153" s="951">
        <v>99</v>
      </c>
      <c r="F153" s="951">
        <v>88</v>
      </c>
      <c r="G153" s="947" t="s">
        <v>159</v>
      </c>
      <c r="H153" s="951">
        <v>41</v>
      </c>
      <c r="I153" s="951">
        <v>11</v>
      </c>
      <c r="J153" s="947" t="s">
        <v>196</v>
      </c>
      <c r="K153" s="947">
        <v>114165</v>
      </c>
      <c r="M153" s="631"/>
      <c r="P153" s="950" t="str">
        <f>VLOOKUP(J153,'רשימת רשויות'!A:A,1,0)</f>
        <v>בית שמש</v>
      </c>
      <c r="Q153" s="956">
        <f>IFERROR(VLOOKUP(B153,[2]מעובד!$D:$K,8,0),0)</f>
        <v>141</v>
      </c>
      <c r="R153" s="956">
        <f>IFERROR(VLOOKUP(B153,[2]מעובד!$D:$L,9,0),0)</f>
        <v>74</v>
      </c>
    </row>
    <row r="154" spans="1:18" x14ac:dyDescent="0.2">
      <c r="A154" s="947" t="s">
        <v>179</v>
      </c>
      <c r="B154" s="947">
        <v>114173</v>
      </c>
      <c r="C154" s="947" t="s">
        <v>2189</v>
      </c>
      <c r="D154" s="947" t="s">
        <v>1058</v>
      </c>
      <c r="E154" s="951">
        <v>87</v>
      </c>
      <c r="F154" s="951">
        <v>60</v>
      </c>
      <c r="G154" s="947" t="s">
        <v>159</v>
      </c>
      <c r="H154" s="951">
        <v>0</v>
      </c>
      <c r="I154" s="951">
        <v>0</v>
      </c>
      <c r="J154" s="947" t="s">
        <v>179</v>
      </c>
      <c r="K154" s="947">
        <v>114173</v>
      </c>
      <c r="M154" s="631"/>
      <c r="P154" s="950" t="str">
        <f>VLOOKUP(J154,'רשימת רשויות'!A:A,1,0)</f>
        <v>אפרת</v>
      </c>
      <c r="Q154" s="956">
        <f>IFERROR(VLOOKUP(B154,[2]מעובד!$D:$K,8,0),0)</f>
        <v>0</v>
      </c>
      <c r="R154" s="956">
        <f>IFERROR(VLOOKUP(B154,[2]מעובד!$D:$L,9,0),0)</f>
        <v>0</v>
      </c>
    </row>
    <row r="155" spans="1:18" x14ac:dyDescent="0.2">
      <c r="A155" s="947" t="s">
        <v>317</v>
      </c>
      <c r="B155" s="947">
        <v>114181</v>
      </c>
      <c r="C155" s="947" t="s">
        <v>2189</v>
      </c>
      <c r="D155" s="947" t="s">
        <v>1059</v>
      </c>
      <c r="E155" s="951">
        <v>140</v>
      </c>
      <c r="F155" s="951">
        <v>102</v>
      </c>
      <c r="G155" s="947" t="s">
        <v>159</v>
      </c>
      <c r="H155" s="951">
        <v>0</v>
      </c>
      <c r="I155" s="951">
        <v>0</v>
      </c>
      <c r="J155" s="947" t="s">
        <v>317</v>
      </c>
      <c r="K155" s="947">
        <v>114181</v>
      </c>
      <c r="M155" s="631"/>
      <c r="P155" s="950" t="str">
        <f>VLOOKUP(J155,'רשימת רשויות'!A:A,1,0)</f>
        <v>מעלה אדומים</v>
      </c>
      <c r="Q155" s="956">
        <f>IFERROR(VLOOKUP(B155,[2]מעובד!$D:$K,8,0),0)</f>
        <v>125</v>
      </c>
      <c r="R155" s="956">
        <f>IFERROR(VLOOKUP(B155,[2]מעובד!$D:$L,9,0),0)</f>
        <v>57</v>
      </c>
    </row>
    <row r="156" spans="1:18" x14ac:dyDescent="0.2">
      <c r="A156" s="947" t="s">
        <v>297</v>
      </c>
      <c r="B156" s="947">
        <v>114199</v>
      </c>
      <c r="C156" s="947" t="s">
        <v>2189</v>
      </c>
      <c r="D156" s="947" t="s">
        <v>1060</v>
      </c>
      <c r="E156" s="951">
        <v>265</v>
      </c>
      <c r="F156" s="951">
        <v>127</v>
      </c>
      <c r="G156" s="947" t="s">
        <v>159</v>
      </c>
      <c r="H156" s="951">
        <v>0</v>
      </c>
      <c r="I156" s="951">
        <v>0</v>
      </c>
      <c r="J156" s="947" t="s">
        <v>297</v>
      </c>
      <c r="K156" s="947">
        <v>114199</v>
      </c>
      <c r="M156" s="631"/>
      <c r="P156" s="950" t="str">
        <f>VLOOKUP(J156,'רשימת רשויות'!A:A,1,0)</f>
        <v>מבשרת ציון</v>
      </c>
      <c r="Q156" s="956">
        <f>IFERROR(VLOOKUP(B156,[2]מעובד!$D:$K,8,0),0)</f>
        <v>303</v>
      </c>
      <c r="R156" s="956">
        <f>IFERROR(VLOOKUP(B156,[2]מעובד!$D:$L,9,0),0)</f>
        <v>123</v>
      </c>
    </row>
    <row r="157" spans="1:18" x14ac:dyDescent="0.2">
      <c r="A157" s="947" t="s">
        <v>270</v>
      </c>
      <c r="B157" s="947">
        <v>114215</v>
      </c>
      <c r="C157" s="947" t="s">
        <v>2189</v>
      </c>
      <c r="D157" s="947" t="s">
        <v>1317</v>
      </c>
      <c r="E157" s="951">
        <v>168</v>
      </c>
      <c r="F157" s="951">
        <v>125</v>
      </c>
      <c r="G157" s="947" t="s">
        <v>159</v>
      </c>
      <c r="H157" s="951">
        <v>0</v>
      </c>
      <c r="I157" s="951">
        <v>0</v>
      </c>
      <c r="J157" s="947" t="s">
        <v>270</v>
      </c>
      <c r="K157" s="947">
        <v>114215</v>
      </c>
      <c r="M157" s="631"/>
      <c r="P157" s="950" t="str">
        <f>VLOOKUP(J157,'רשימת רשויות'!A:A,1,0)</f>
        <v>ירושלים</v>
      </c>
      <c r="Q157" s="956">
        <f>IFERROR(VLOOKUP(B157,[2]מעובד!$D:$K,8,0),0)</f>
        <v>171</v>
      </c>
      <c r="R157" s="956">
        <f>IFERROR(VLOOKUP(B157,[2]מעובד!$D:$L,9,0),0)</f>
        <v>37</v>
      </c>
    </row>
    <row r="158" spans="1:18" x14ac:dyDescent="0.2">
      <c r="A158" s="947" t="s">
        <v>197</v>
      </c>
      <c r="B158" s="947">
        <v>114306</v>
      </c>
      <c r="C158" s="947" t="s">
        <v>2189</v>
      </c>
      <c r="D158" s="947" t="s">
        <v>1226</v>
      </c>
      <c r="E158" s="951">
        <v>73</v>
      </c>
      <c r="F158" s="951">
        <v>57</v>
      </c>
      <c r="G158" s="947" t="s">
        <v>3252</v>
      </c>
      <c r="H158" s="951">
        <v>59</v>
      </c>
      <c r="I158" s="951">
        <v>12</v>
      </c>
      <c r="J158" s="947" t="s">
        <v>197</v>
      </c>
      <c r="K158" s="947">
        <v>114306</v>
      </c>
      <c r="M158" s="631"/>
      <c r="P158" s="950" t="str">
        <f>VLOOKUP(J158,'רשימת רשויות'!A:A,1,0)</f>
        <v>ביתר עילית</v>
      </c>
      <c r="Q158" s="956">
        <f>IFERROR(VLOOKUP(B158,[2]מעובד!$D:$K,8,0),0)</f>
        <v>0</v>
      </c>
      <c r="R158" s="956">
        <f>IFERROR(VLOOKUP(B158,[2]מעובד!$D:$L,9,0),0)</f>
        <v>0</v>
      </c>
    </row>
    <row r="159" spans="1:18" x14ac:dyDescent="0.2">
      <c r="A159" s="947" t="s">
        <v>306</v>
      </c>
      <c r="B159" s="947">
        <v>114314</v>
      </c>
      <c r="C159" s="947" t="s">
        <v>2189</v>
      </c>
      <c r="D159" s="947" t="s">
        <v>1275</v>
      </c>
      <c r="E159" s="951">
        <v>419</v>
      </c>
      <c r="F159" s="951">
        <v>408</v>
      </c>
      <c r="G159" s="947" t="s">
        <v>3252</v>
      </c>
      <c r="H159" s="951">
        <v>140</v>
      </c>
      <c r="I159" s="951">
        <v>11</v>
      </c>
      <c r="J159" s="947" t="s">
        <v>306</v>
      </c>
      <c r="K159" s="947">
        <v>114314</v>
      </c>
      <c r="M159" s="631"/>
      <c r="P159" s="950" t="str">
        <f>VLOOKUP(J159,'רשימת רשויות'!A:A,1,0)</f>
        <v>מודיעין עילית</v>
      </c>
      <c r="Q159" s="956">
        <f>IFERROR(VLOOKUP(B159,[2]מעובד!$D:$K,8,0),0)</f>
        <v>0</v>
      </c>
      <c r="R159" s="956">
        <f>IFERROR(VLOOKUP(B159,[2]מעובד!$D:$L,9,0),0)</f>
        <v>0</v>
      </c>
    </row>
    <row r="160" spans="1:18" x14ac:dyDescent="0.2">
      <c r="A160" s="947" t="s">
        <v>306</v>
      </c>
      <c r="B160" s="947">
        <v>114322</v>
      </c>
      <c r="C160" s="947" t="s">
        <v>2189</v>
      </c>
      <c r="D160" s="947" t="s">
        <v>1324</v>
      </c>
      <c r="E160" s="951">
        <v>77</v>
      </c>
      <c r="F160" s="951">
        <v>43</v>
      </c>
      <c r="G160" s="947" t="s">
        <v>3252</v>
      </c>
      <c r="H160" s="951">
        <v>77</v>
      </c>
      <c r="I160" s="951">
        <v>34</v>
      </c>
      <c r="J160" s="947" t="s">
        <v>306</v>
      </c>
      <c r="K160" s="947">
        <v>114322</v>
      </c>
      <c r="M160" s="631"/>
      <c r="P160" s="950" t="str">
        <f>VLOOKUP(J160,'רשימת רשויות'!A:A,1,0)</f>
        <v>מודיעין עילית</v>
      </c>
      <c r="Q160" s="956">
        <f>IFERROR(VLOOKUP(B160,[2]מעובד!$D:$K,8,0),0)</f>
        <v>0</v>
      </c>
      <c r="R160" s="956">
        <f>IFERROR(VLOOKUP(B160,[2]מעובד!$D:$L,9,0),0)</f>
        <v>0</v>
      </c>
    </row>
    <row r="161" spans="1:18" x14ac:dyDescent="0.2">
      <c r="A161" s="947" t="s">
        <v>196</v>
      </c>
      <c r="B161" s="947">
        <v>114348</v>
      </c>
      <c r="C161" s="947" t="s">
        <v>2189</v>
      </c>
      <c r="D161" s="947" t="s">
        <v>1342</v>
      </c>
      <c r="E161" s="951">
        <v>405</v>
      </c>
      <c r="F161" s="951">
        <v>405</v>
      </c>
      <c r="G161" s="947" t="s">
        <v>3252</v>
      </c>
      <c r="H161" s="951">
        <v>0</v>
      </c>
      <c r="I161" s="951">
        <v>0</v>
      </c>
      <c r="J161" s="947" t="s">
        <v>196</v>
      </c>
      <c r="K161" s="947">
        <v>114348</v>
      </c>
      <c r="M161" s="631"/>
      <c r="P161" s="950" t="str">
        <f>VLOOKUP(J161,'רשימת רשויות'!A:A,1,0)</f>
        <v>בית שמש</v>
      </c>
      <c r="Q161" s="956">
        <f>IFERROR(VLOOKUP(B161,[2]מעובד!$D:$K,8,0),0)</f>
        <v>408</v>
      </c>
      <c r="R161" s="956">
        <f>IFERROR(VLOOKUP(B161,[2]מעובד!$D:$L,9,0),0)</f>
        <v>160</v>
      </c>
    </row>
    <row r="162" spans="1:18" x14ac:dyDescent="0.2">
      <c r="A162" s="947" t="s">
        <v>270</v>
      </c>
      <c r="B162" s="947">
        <v>114389</v>
      </c>
      <c r="C162" s="947" t="s">
        <v>2189</v>
      </c>
      <c r="D162" s="947" t="s">
        <v>1343</v>
      </c>
      <c r="E162" s="951">
        <v>196</v>
      </c>
      <c r="F162" s="951">
        <v>172</v>
      </c>
      <c r="G162" s="947" t="s">
        <v>159</v>
      </c>
      <c r="H162" s="951">
        <v>0</v>
      </c>
      <c r="I162" s="951">
        <v>0</v>
      </c>
      <c r="J162" s="947" t="s">
        <v>270</v>
      </c>
      <c r="K162" s="947">
        <v>114389</v>
      </c>
      <c r="M162" s="631"/>
      <c r="P162" s="950" t="str">
        <f>VLOOKUP(J162,'רשימת רשויות'!A:A,1,0)</f>
        <v>ירושלים</v>
      </c>
      <c r="Q162" s="956">
        <f>IFERROR(VLOOKUP(B162,[2]מעובד!$D:$K,8,0),0)</f>
        <v>181</v>
      </c>
      <c r="R162" s="956">
        <f>IFERROR(VLOOKUP(B162,[2]מעובד!$D:$L,9,0),0)</f>
        <v>65</v>
      </c>
    </row>
    <row r="163" spans="1:18" x14ac:dyDescent="0.2">
      <c r="A163" s="947" t="s">
        <v>196</v>
      </c>
      <c r="B163" s="947">
        <v>114397</v>
      </c>
      <c r="C163" s="947" t="s">
        <v>2189</v>
      </c>
      <c r="D163" s="947" t="s">
        <v>1344</v>
      </c>
      <c r="E163" s="951">
        <v>171</v>
      </c>
      <c r="F163" s="951">
        <v>146</v>
      </c>
      <c r="G163" s="947" t="s">
        <v>3252</v>
      </c>
      <c r="H163" s="951">
        <v>171</v>
      </c>
      <c r="I163" s="951">
        <v>22</v>
      </c>
      <c r="J163" s="947" t="s">
        <v>196</v>
      </c>
      <c r="K163" s="947">
        <v>114397</v>
      </c>
      <c r="M163" s="631"/>
      <c r="P163" s="950" t="str">
        <f>VLOOKUP(J163,'רשימת רשויות'!A:A,1,0)</f>
        <v>בית שמש</v>
      </c>
      <c r="Q163" s="956">
        <f>IFERROR(VLOOKUP(B163,[2]מעובד!$D:$K,8,0),0)</f>
        <v>162</v>
      </c>
      <c r="R163" s="956">
        <f>IFERROR(VLOOKUP(B163,[2]מעובד!$D:$L,9,0),0)</f>
        <v>101</v>
      </c>
    </row>
    <row r="164" spans="1:18" x14ac:dyDescent="0.2">
      <c r="A164" s="947" t="s">
        <v>305</v>
      </c>
      <c r="B164" s="947">
        <v>115527</v>
      </c>
      <c r="C164" s="947" t="s">
        <v>2189</v>
      </c>
      <c r="D164" s="947" t="s">
        <v>1085</v>
      </c>
      <c r="E164" s="951">
        <v>114</v>
      </c>
      <c r="F164" s="951">
        <v>72</v>
      </c>
      <c r="G164" s="947" t="s">
        <v>159</v>
      </c>
      <c r="H164" s="951">
        <v>83</v>
      </c>
      <c r="I164" s="951">
        <v>22</v>
      </c>
      <c r="J164" s="947" t="s">
        <v>305</v>
      </c>
      <c r="K164" s="947">
        <v>115527</v>
      </c>
      <c r="M164" s="631"/>
      <c r="P164" s="950" t="str">
        <f>VLOOKUP(J164,'רשימת רשויות'!A:A,1,0)</f>
        <v>מודיעין מכבים רעות</v>
      </c>
      <c r="Q164" s="956">
        <f>IFERROR(VLOOKUP(B164,[2]מעובד!$D:$K,8,0),0)</f>
        <v>0</v>
      </c>
      <c r="R164" s="956">
        <f>IFERROR(VLOOKUP(B164,[2]מעובד!$D:$L,9,0),0)</f>
        <v>0</v>
      </c>
    </row>
    <row r="165" spans="1:18" x14ac:dyDescent="0.2">
      <c r="A165" s="947" t="s">
        <v>305</v>
      </c>
      <c r="B165" s="947">
        <v>115550</v>
      </c>
      <c r="C165" s="947" t="s">
        <v>2189</v>
      </c>
      <c r="D165" s="947" t="s">
        <v>1086</v>
      </c>
      <c r="E165" s="951">
        <v>109</v>
      </c>
      <c r="F165" s="951">
        <v>73</v>
      </c>
      <c r="G165" s="947" t="s">
        <v>159</v>
      </c>
      <c r="H165" s="951">
        <v>0</v>
      </c>
      <c r="I165" s="951">
        <v>0</v>
      </c>
      <c r="J165" s="947" t="s">
        <v>305</v>
      </c>
      <c r="K165" s="947">
        <v>115550</v>
      </c>
      <c r="M165" s="631"/>
      <c r="P165" s="950" t="str">
        <f>VLOOKUP(J165,'רשימת רשויות'!A:A,1,0)</f>
        <v>מודיעין מכבים רעות</v>
      </c>
      <c r="Q165" s="956">
        <f>IFERROR(VLOOKUP(B165,[2]מעובד!$D:$K,8,0),0)</f>
        <v>109</v>
      </c>
      <c r="R165" s="956">
        <f>IFERROR(VLOOKUP(B165,[2]מעובד!$D:$L,9,0),0)</f>
        <v>46</v>
      </c>
    </row>
    <row r="166" spans="1:18" x14ac:dyDescent="0.2">
      <c r="A166" s="947" t="s">
        <v>270</v>
      </c>
      <c r="B166" s="947">
        <v>115592</v>
      </c>
      <c r="C166" s="947" t="s">
        <v>2189</v>
      </c>
      <c r="D166" s="947" t="s">
        <v>1444</v>
      </c>
      <c r="E166" s="951">
        <v>133</v>
      </c>
      <c r="F166" s="951">
        <v>127</v>
      </c>
      <c r="G166" s="947" t="s">
        <v>159</v>
      </c>
      <c r="H166" s="951">
        <v>0</v>
      </c>
      <c r="I166" s="951">
        <v>0</v>
      </c>
      <c r="J166" s="947" t="s">
        <v>270</v>
      </c>
      <c r="K166" s="947">
        <v>115592</v>
      </c>
      <c r="M166" s="631"/>
      <c r="P166" s="950" t="str">
        <f>VLOOKUP(J166,'רשימת רשויות'!A:A,1,0)</f>
        <v>ירושלים</v>
      </c>
      <c r="Q166" s="956">
        <f>IFERROR(VLOOKUP(B166,[2]מעובד!$D:$K,8,0),0)</f>
        <v>148</v>
      </c>
      <c r="R166" s="956">
        <f>IFERROR(VLOOKUP(B166,[2]מעובד!$D:$L,9,0),0)</f>
        <v>144</v>
      </c>
    </row>
    <row r="167" spans="1:18" x14ac:dyDescent="0.2">
      <c r="A167" s="947" t="s">
        <v>305</v>
      </c>
      <c r="B167" s="947">
        <v>115600</v>
      </c>
      <c r="C167" s="947" t="s">
        <v>2189</v>
      </c>
      <c r="D167" s="947" t="s">
        <v>2646</v>
      </c>
      <c r="E167" s="951">
        <v>294</v>
      </c>
      <c r="F167" s="951">
        <v>259</v>
      </c>
      <c r="G167" s="947" t="s">
        <v>159</v>
      </c>
      <c r="H167" s="951">
        <v>0</v>
      </c>
      <c r="I167" s="951">
        <v>0</v>
      </c>
      <c r="J167" s="947" t="s">
        <v>305</v>
      </c>
      <c r="K167" s="947">
        <v>115600</v>
      </c>
      <c r="M167" s="631"/>
      <c r="P167" s="950" t="str">
        <f>VLOOKUP(J167,'רשימת רשויות'!A:A,1,0)</f>
        <v>מודיעין מכבים רעות</v>
      </c>
      <c r="Q167" s="956">
        <f>IFERROR(VLOOKUP(B167,[2]מעובד!$D:$K,8,0),0)</f>
        <v>0</v>
      </c>
      <c r="R167" s="956">
        <f>IFERROR(VLOOKUP(B167,[2]מעובד!$D:$L,9,0),0)</f>
        <v>0</v>
      </c>
    </row>
    <row r="168" spans="1:18" x14ac:dyDescent="0.2">
      <c r="A168" s="947" t="s">
        <v>305</v>
      </c>
      <c r="B168" s="947">
        <v>115642</v>
      </c>
      <c r="C168" s="947" t="s">
        <v>2189</v>
      </c>
      <c r="D168" s="947" t="s">
        <v>755</v>
      </c>
      <c r="E168" s="951">
        <v>144</v>
      </c>
      <c r="F168" s="951">
        <v>100</v>
      </c>
      <c r="G168" s="947" t="s">
        <v>159</v>
      </c>
      <c r="H168" s="951">
        <v>0</v>
      </c>
      <c r="I168" s="951">
        <v>0</v>
      </c>
      <c r="J168" s="947" t="s">
        <v>305</v>
      </c>
      <c r="K168" s="947">
        <v>115642</v>
      </c>
      <c r="M168" s="631"/>
      <c r="P168" s="950" t="str">
        <f>VLOOKUP(J168,'רשימת רשויות'!A:A,1,0)</f>
        <v>מודיעין מכבים רעות</v>
      </c>
      <c r="Q168" s="956">
        <f>IFERROR(VLOOKUP(B168,[2]מעובד!$D:$K,8,0),0)</f>
        <v>0</v>
      </c>
      <c r="R168" s="956">
        <f>IFERROR(VLOOKUP(B168,[2]מעובד!$D:$L,9,0),0)</f>
        <v>0</v>
      </c>
    </row>
    <row r="169" spans="1:18" x14ac:dyDescent="0.2">
      <c r="A169" s="947" t="s">
        <v>270</v>
      </c>
      <c r="B169" s="947">
        <v>115766</v>
      </c>
      <c r="C169" s="947" t="s">
        <v>2189</v>
      </c>
      <c r="D169" s="947" t="s">
        <v>1461</v>
      </c>
      <c r="E169" s="951">
        <v>82</v>
      </c>
      <c r="F169" s="951">
        <v>82</v>
      </c>
      <c r="G169" s="947" t="s">
        <v>3252</v>
      </c>
      <c r="H169" s="951">
        <v>0</v>
      </c>
      <c r="I169" s="951">
        <v>0</v>
      </c>
      <c r="J169" s="947" t="s">
        <v>270</v>
      </c>
      <c r="K169" s="947">
        <v>115766</v>
      </c>
      <c r="M169" s="631"/>
      <c r="P169" s="950" t="str">
        <f>VLOOKUP(J169,'רשימת רשויות'!A:A,1,0)</f>
        <v>ירושלים</v>
      </c>
      <c r="Q169" s="956">
        <f>IFERROR(VLOOKUP(B169,[2]מעובד!$D:$K,8,0),0)</f>
        <v>0</v>
      </c>
      <c r="R169" s="956">
        <f>IFERROR(VLOOKUP(B169,[2]מעובד!$D:$L,9,0),0)</f>
        <v>0</v>
      </c>
    </row>
    <row r="170" spans="1:18" x14ac:dyDescent="0.2">
      <c r="A170" s="947" t="s">
        <v>305</v>
      </c>
      <c r="B170" s="947">
        <v>116012</v>
      </c>
      <c r="C170" s="947" t="s">
        <v>2189</v>
      </c>
      <c r="D170" s="947" t="s">
        <v>496</v>
      </c>
      <c r="E170" s="951">
        <v>77</v>
      </c>
      <c r="F170" s="951">
        <v>61</v>
      </c>
      <c r="G170" s="947" t="s">
        <v>159</v>
      </c>
      <c r="H170" s="951">
        <v>40</v>
      </c>
      <c r="I170" s="951">
        <v>7</v>
      </c>
      <c r="J170" s="947" t="s">
        <v>305</v>
      </c>
      <c r="K170" s="947">
        <v>116012</v>
      </c>
      <c r="M170" s="631"/>
      <c r="P170" s="950" t="str">
        <f>VLOOKUP(J170,'רשימת רשויות'!A:A,1,0)</f>
        <v>מודיעין מכבים רעות</v>
      </c>
      <c r="Q170" s="956">
        <f>IFERROR(VLOOKUP(B170,[2]מעובד!$D:$K,8,0),0)</f>
        <v>0</v>
      </c>
      <c r="R170" s="956">
        <f>IFERROR(VLOOKUP(B170,[2]מעובד!$D:$L,9,0),0)</f>
        <v>0</v>
      </c>
    </row>
    <row r="171" spans="1:18" x14ac:dyDescent="0.2">
      <c r="A171" s="947" t="s">
        <v>270</v>
      </c>
      <c r="B171" s="947">
        <v>116129</v>
      </c>
      <c r="C171" s="947" t="s">
        <v>2189</v>
      </c>
      <c r="D171" s="947" t="s">
        <v>1332</v>
      </c>
      <c r="E171" s="951">
        <v>56</v>
      </c>
      <c r="F171" s="951">
        <v>54</v>
      </c>
      <c r="G171" s="947" t="s">
        <v>3252</v>
      </c>
      <c r="H171" s="951">
        <v>0</v>
      </c>
      <c r="I171" s="951">
        <v>0</v>
      </c>
      <c r="J171" s="947" t="s">
        <v>270</v>
      </c>
      <c r="K171" s="947">
        <v>116129</v>
      </c>
      <c r="M171" s="631"/>
      <c r="P171" s="950" t="str">
        <f>VLOOKUP(J171,'רשימת רשויות'!A:A,1,0)</f>
        <v>ירושלים</v>
      </c>
      <c r="Q171" s="956">
        <f>IFERROR(VLOOKUP(B171,[2]מעובד!$D:$K,8,0),0)</f>
        <v>0</v>
      </c>
      <c r="R171" s="956">
        <f>IFERROR(VLOOKUP(B171,[2]מעובד!$D:$L,9,0),0)</f>
        <v>0</v>
      </c>
    </row>
    <row r="172" spans="1:18" x14ac:dyDescent="0.2">
      <c r="A172" s="947" t="s">
        <v>270</v>
      </c>
      <c r="B172" s="947">
        <v>117002</v>
      </c>
      <c r="C172" s="947" t="s">
        <v>2189</v>
      </c>
      <c r="D172" s="947" t="s">
        <v>2934</v>
      </c>
      <c r="E172" s="951">
        <v>194</v>
      </c>
      <c r="F172" s="951">
        <v>0</v>
      </c>
      <c r="G172" s="947" t="s">
        <v>3252</v>
      </c>
      <c r="H172" s="951">
        <v>0</v>
      </c>
      <c r="I172" s="951">
        <v>0</v>
      </c>
      <c r="J172" s="947" t="s">
        <v>270</v>
      </c>
      <c r="K172" s="947">
        <v>117002</v>
      </c>
      <c r="M172" s="631"/>
      <c r="P172" s="950" t="str">
        <f>VLOOKUP(J172,'רשימת רשויות'!A:A,1,0)</f>
        <v>ירושלים</v>
      </c>
      <c r="Q172" s="956">
        <f>IFERROR(VLOOKUP(B172,[2]מעובד!$D:$K,8,0),0)</f>
        <v>0</v>
      </c>
      <c r="R172" s="956">
        <f>IFERROR(VLOOKUP(B172,[2]מעובד!$D:$L,9,0),0)</f>
        <v>0</v>
      </c>
    </row>
    <row r="173" spans="1:18" x14ac:dyDescent="0.2">
      <c r="A173" s="947" t="s">
        <v>270</v>
      </c>
      <c r="B173" s="947">
        <v>117010</v>
      </c>
      <c r="C173" s="947" t="s">
        <v>2189</v>
      </c>
      <c r="D173" s="947" t="s">
        <v>1136</v>
      </c>
      <c r="E173" s="951">
        <v>103</v>
      </c>
      <c r="F173" s="951">
        <v>42</v>
      </c>
      <c r="G173" s="947" t="s">
        <v>3252</v>
      </c>
      <c r="H173" s="951">
        <v>0</v>
      </c>
      <c r="I173" s="951">
        <v>0</v>
      </c>
      <c r="J173" s="947" t="s">
        <v>270</v>
      </c>
      <c r="K173" s="947">
        <v>117010</v>
      </c>
      <c r="M173" s="631"/>
      <c r="P173" s="950" t="str">
        <f>VLOOKUP(J173,'רשימת רשויות'!A:A,1,0)</f>
        <v>ירושלים</v>
      </c>
      <c r="Q173" s="956">
        <f>IFERROR(VLOOKUP(B173,[2]מעובד!$D:$K,8,0),0)</f>
        <v>0</v>
      </c>
      <c r="R173" s="956">
        <f>IFERROR(VLOOKUP(B173,[2]מעובד!$D:$L,9,0),0)</f>
        <v>0</v>
      </c>
    </row>
    <row r="174" spans="1:18" x14ac:dyDescent="0.2">
      <c r="A174" s="947" t="s">
        <v>160</v>
      </c>
      <c r="B174" s="947">
        <v>118018</v>
      </c>
      <c r="C174" s="947" t="s">
        <v>2189</v>
      </c>
      <c r="D174" s="947" t="s">
        <v>160</v>
      </c>
      <c r="E174" s="951">
        <v>160</v>
      </c>
      <c r="F174" s="951">
        <v>149</v>
      </c>
      <c r="G174" s="947" t="s">
        <v>159</v>
      </c>
      <c r="H174" s="951">
        <v>60</v>
      </c>
      <c r="I174" s="951">
        <v>7</v>
      </c>
      <c r="J174" s="947" t="s">
        <v>160</v>
      </c>
      <c r="K174" s="947">
        <v>118018</v>
      </c>
      <c r="M174" s="631"/>
      <c r="P174" s="950" t="str">
        <f>VLOOKUP(J174,'רשימת רשויות'!A:A,1,0)</f>
        <v>אבו גוש</v>
      </c>
      <c r="Q174" s="956">
        <f>IFERROR(VLOOKUP(B174,[2]מעובד!$D:$K,8,0),0)</f>
        <v>170</v>
      </c>
      <c r="R174" s="956">
        <f>IFERROR(VLOOKUP(B174,[2]מעובד!$D:$L,9,0),0)</f>
        <v>120</v>
      </c>
    </row>
    <row r="175" spans="1:18" x14ac:dyDescent="0.2">
      <c r="A175" s="947" t="s">
        <v>311</v>
      </c>
      <c r="B175" s="947">
        <v>118034</v>
      </c>
      <c r="C175" s="947" t="s">
        <v>2189</v>
      </c>
      <c r="D175" s="947" t="s">
        <v>2935</v>
      </c>
      <c r="E175" s="951">
        <v>270</v>
      </c>
      <c r="F175" s="951">
        <v>0</v>
      </c>
      <c r="G175" s="947" t="s">
        <v>159</v>
      </c>
      <c r="H175" s="951">
        <v>102</v>
      </c>
      <c r="I175" s="951">
        <v>0</v>
      </c>
      <c r="J175" s="947" t="s">
        <v>311</v>
      </c>
      <c r="K175" s="947">
        <v>118034</v>
      </c>
      <c r="M175" s="631"/>
      <c r="P175" s="950" t="str">
        <f>VLOOKUP(J175,'רשימת רשויות'!A:A,1,0)</f>
        <v>מטה יהודה</v>
      </c>
      <c r="Q175" s="956">
        <f>IFERROR(VLOOKUP(B175,[2]מעובד!$D:$K,8,0),0)</f>
        <v>252</v>
      </c>
      <c r="R175" s="956">
        <f>IFERROR(VLOOKUP(B175,[2]מעובד!$D:$L,9,0),0)</f>
        <v>15</v>
      </c>
    </row>
    <row r="176" spans="1:18" x14ac:dyDescent="0.2">
      <c r="A176" s="947" t="s">
        <v>270</v>
      </c>
      <c r="B176" s="947">
        <v>118042</v>
      </c>
      <c r="C176" s="947" t="s">
        <v>2189</v>
      </c>
      <c r="D176" s="947" t="s">
        <v>1374</v>
      </c>
      <c r="E176" s="951">
        <v>314</v>
      </c>
      <c r="F176" s="951">
        <v>47</v>
      </c>
      <c r="G176" s="947" t="s">
        <v>159</v>
      </c>
      <c r="H176" s="951">
        <v>220</v>
      </c>
      <c r="I176" s="951">
        <v>0</v>
      </c>
      <c r="J176" s="947" t="s">
        <v>270</v>
      </c>
      <c r="K176" s="947">
        <v>118042</v>
      </c>
      <c r="M176" s="631"/>
      <c r="P176" s="950" t="str">
        <f>VLOOKUP(J176,'רשימת רשויות'!A:A,1,0)</f>
        <v>ירושלים</v>
      </c>
      <c r="Q176" s="956">
        <f>IFERROR(VLOOKUP(B176,[2]מעובד!$D:$K,8,0),0)</f>
        <v>335</v>
      </c>
      <c r="R176" s="956">
        <f>IFERROR(VLOOKUP(B176,[2]מעובד!$D:$L,9,0),0)</f>
        <v>50</v>
      </c>
    </row>
    <row r="177" spans="1:18" x14ac:dyDescent="0.2">
      <c r="A177" s="947" t="s">
        <v>270</v>
      </c>
      <c r="B177" s="947">
        <v>118067</v>
      </c>
      <c r="C177" s="947" t="s">
        <v>2189</v>
      </c>
      <c r="D177" s="947" t="s">
        <v>1375</v>
      </c>
      <c r="E177" s="951">
        <v>155</v>
      </c>
      <c r="F177" s="951">
        <v>25</v>
      </c>
      <c r="G177" s="947" t="s">
        <v>159</v>
      </c>
      <c r="H177" s="951">
        <v>114</v>
      </c>
      <c r="I177" s="951">
        <v>17</v>
      </c>
      <c r="J177" s="947" t="s">
        <v>270</v>
      </c>
      <c r="K177" s="947">
        <v>118067</v>
      </c>
      <c r="M177" s="631"/>
      <c r="P177" s="950" t="str">
        <f>VLOOKUP(J177,'רשימת רשויות'!A:A,1,0)</f>
        <v>ירושלים</v>
      </c>
      <c r="Q177" s="956">
        <f>IFERROR(VLOOKUP(B177,[2]מעובד!$D:$K,8,0),0)</f>
        <v>0</v>
      </c>
      <c r="R177" s="956">
        <f>IFERROR(VLOOKUP(B177,[2]מעובד!$D:$L,9,0),0)</f>
        <v>0</v>
      </c>
    </row>
    <row r="178" spans="1:18" x14ac:dyDescent="0.2">
      <c r="A178" s="947" t="s">
        <v>270</v>
      </c>
      <c r="B178" s="947">
        <v>118075</v>
      </c>
      <c r="C178" s="947" t="s">
        <v>2189</v>
      </c>
      <c r="D178" s="947" t="s">
        <v>1376</v>
      </c>
      <c r="E178" s="951">
        <v>264</v>
      </c>
      <c r="F178" s="951">
        <v>50</v>
      </c>
      <c r="G178" s="947" t="s">
        <v>159</v>
      </c>
      <c r="H178" s="951">
        <v>185</v>
      </c>
      <c r="I178" s="951">
        <v>7</v>
      </c>
      <c r="J178" s="947" t="s">
        <v>270</v>
      </c>
      <c r="K178" s="947">
        <v>118075</v>
      </c>
      <c r="M178" s="631"/>
      <c r="P178" s="950" t="str">
        <f>VLOOKUP(J178,'רשימת רשויות'!A:A,1,0)</f>
        <v>ירושלים</v>
      </c>
      <c r="Q178" s="956">
        <f>IFERROR(VLOOKUP(B178,[2]מעובד!$D:$K,8,0),0)</f>
        <v>243</v>
      </c>
      <c r="R178" s="956">
        <f>IFERROR(VLOOKUP(B178,[2]מעובד!$D:$L,9,0),0)</f>
        <v>85</v>
      </c>
    </row>
    <row r="179" spans="1:18" x14ac:dyDescent="0.2">
      <c r="A179" s="947" t="s">
        <v>270</v>
      </c>
      <c r="B179" s="947">
        <v>118083</v>
      </c>
      <c r="C179" s="947" t="s">
        <v>2189</v>
      </c>
      <c r="D179" s="947" t="s">
        <v>2202</v>
      </c>
      <c r="E179" s="951">
        <v>321</v>
      </c>
      <c r="F179" s="951">
        <v>92</v>
      </c>
      <c r="G179" s="947" t="s">
        <v>159</v>
      </c>
      <c r="H179" s="951">
        <v>224</v>
      </c>
      <c r="I179" s="951">
        <v>8</v>
      </c>
      <c r="J179" s="947" t="s">
        <v>270</v>
      </c>
      <c r="K179" s="947">
        <v>118083</v>
      </c>
      <c r="M179" s="631"/>
      <c r="P179" s="950" t="str">
        <f>VLOOKUP(J179,'רשימת רשויות'!A:A,1,0)</f>
        <v>ירושלים</v>
      </c>
      <c r="Q179" s="956">
        <f>IFERROR(VLOOKUP(B179,[2]מעובד!$D:$K,8,0),0)</f>
        <v>385</v>
      </c>
      <c r="R179" s="956">
        <f>IFERROR(VLOOKUP(B179,[2]מעובד!$D:$L,9,0),0)</f>
        <v>67</v>
      </c>
    </row>
    <row r="180" spans="1:18" x14ac:dyDescent="0.2">
      <c r="A180" s="947" t="s">
        <v>270</v>
      </c>
      <c r="B180" s="947">
        <v>118091</v>
      </c>
      <c r="C180" s="947" t="s">
        <v>2189</v>
      </c>
      <c r="D180" s="947" t="s">
        <v>1384</v>
      </c>
      <c r="E180" s="951">
        <v>311</v>
      </c>
      <c r="F180" s="951">
        <v>57</v>
      </c>
      <c r="G180" s="947" t="s">
        <v>159</v>
      </c>
      <c r="H180" s="951">
        <v>117</v>
      </c>
      <c r="I180" s="951">
        <v>0</v>
      </c>
      <c r="J180" s="947" t="s">
        <v>270</v>
      </c>
      <c r="K180" s="947">
        <v>118091</v>
      </c>
      <c r="M180" s="631"/>
      <c r="P180" s="950" t="str">
        <f>VLOOKUP(J180,'רשימת רשויות'!A:A,1,0)</f>
        <v>ירושלים</v>
      </c>
      <c r="Q180" s="956">
        <f>IFERROR(VLOOKUP(B180,[2]מעובד!$D:$K,8,0),0)</f>
        <v>279</v>
      </c>
      <c r="R180" s="956">
        <f>IFERROR(VLOOKUP(B180,[2]מעובד!$D:$L,9,0),0)</f>
        <v>45</v>
      </c>
    </row>
    <row r="181" spans="1:18" x14ac:dyDescent="0.2">
      <c r="A181" s="947" t="s">
        <v>270</v>
      </c>
      <c r="B181" s="947">
        <v>118125</v>
      </c>
      <c r="C181" s="947" t="s">
        <v>2189</v>
      </c>
      <c r="D181" s="947" t="s">
        <v>1385</v>
      </c>
      <c r="E181" s="951">
        <v>262</v>
      </c>
      <c r="F181" s="951">
        <v>43</v>
      </c>
      <c r="G181" s="947" t="s">
        <v>159</v>
      </c>
      <c r="H181" s="951">
        <v>185</v>
      </c>
      <c r="I181" s="951">
        <v>7</v>
      </c>
      <c r="J181" s="947" t="s">
        <v>270</v>
      </c>
      <c r="K181" s="947">
        <v>118125</v>
      </c>
      <c r="M181" s="631"/>
      <c r="P181" s="950" t="str">
        <f>VLOOKUP(J181,'רשימת רשויות'!A:A,1,0)</f>
        <v>ירושלים</v>
      </c>
      <c r="Q181" s="956">
        <f>IFERROR(VLOOKUP(B181,[2]מעובד!$D:$K,8,0),0)</f>
        <v>326</v>
      </c>
      <c r="R181" s="956">
        <f>IFERROR(VLOOKUP(B181,[2]מעובד!$D:$L,9,0),0)</f>
        <v>61</v>
      </c>
    </row>
    <row r="182" spans="1:18" x14ac:dyDescent="0.2">
      <c r="A182" s="947" t="s">
        <v>270</v>
      </c>
      <c r="B182" s="947">
        <v>118133</v>
      </c>
      <c r="C182" s="947" t="s">
        <v>2189</v>
      </c>
      <c r="D182" s="947" t="s">
        <v>1386</v>
      </c>
      <c r="E182" s="951">
        <v>200</v>
      </c>
      <c r="F182" s="951">
        <v>30</v>
      </c>
      <c r="G182" s="947" t="s">
        <v>159</v>
      </c>
      <c r="H182" s="951">
        <v>0</v>
      </c>
      <c r="I182" s="951">
        <v>0</v>
      </c>
      <c r="J182" s="947" t="s">
        <v>270</v>
      </c>
      <c r="K182" s="947">
        <v>118133</v>
      </c>
      <c r="M182" s="631"/>
      <c r="P182" s="950" t="str">
        <f>VLOOKUP(J182,'רשימת רשויות'!A:A,1,0)</f>
        <v>ירושלים</v>
      </c>
      <c r="Q182" s="956">
        <f>IFERROR(VLOOKUP(B182,[2]מעובד!$D:$K,8,0),0)</f>
        <v>271</v>
      </c>
      <c r="R182" s="956">
        <f>IFERROR(VLOOKUP(B182,[2]מעובד!$D:$L,9,0),0)</f>
        <v>47</v>
      </c>
    </row>
    <row r="183" spans="1:18" x14ac:dyDescent="0.2">
      <c r="A183" s="947" t="s">
        <v>270</v>
      </c>
      <c r="B183" s="947">
        <v>118166</v>
      </c>
      <c r="C183" s="947" t="s">
        <v>2189</v>
      </c>
      <c r="D183" s="947" t="s">
        <v>1387</v>
      </c>
      <c r="E183" s="951">
        <v>164</v>
      </c>
      <c r="F183" s="951">
        <v>51</v>
      </c>
      <c r="G183" s="947" t="s">
        <v>159</v>
      </c>
      <c r="H183" s="951">
        <v>0</v>
      </c>
      <c r="I183" s="951">
        <v>0</v>
      </c>
      <c r="J183" s="947" t="s">
        <v>270</v>
      </c>
      <c r="K183" s="947">
        <v>118166</v>
      </c>
      <c r="M183" s="631"/>
      <c r="P183" s="950" t="str">
        <f>VLOOKUP(J183,'רשימת רשויות'!A:A,1,0)</f>
        <v>ירושלים</v>
      </c>
      <c r="Q183" s="956">
        <f>IFERROR(VLOOKUP(B183,[2]מעובד!$D:$K,8,0),0)</f>
        <v>173</v>
      </c>
      <c r="R183" s="956">
        <f>IFERROR(VLOOKUP(B183,[2]מעובד!$D:$L,9,0),0)</f>
        <v>43</v>
      </c>
    </row>
    <row r="184" spans="1:18" x14ac:dyDescent="0.2">
      <c r="A184" s="947" t="s">
        <v>270</v>
      </c>
      <c r="B184" s="947">
        <v>118174</v>
      </c>
      <c r="C184" s="947" t="s">
        <v>2189</v>
      </c>
      <c r="D184" s="947" t="s">
        <v>1388</v>
      </c>
      <c r="E184" s="951">
        <v>281</v>
      </c>
      <c r="F184" s="951">
        <v>40</v>
      </c>
      <c r="G184" s="947" t="s">
        <v>159</v>
      </c>
      <c r="H184" s="951">
        <v>0</v>
      </c>
      <c r="I184" s="951">
        <v>0</v>
      </c>
      <c r="J184" s="947" t="s">
        <v>270</v>
      </c>
      <c r="K184" s="947">
        <v>118174</v>
      </c>
      <c r="M184" s="631"/>
      <c r="P184" s="950" t="str">
        <f>VLOOKUP(J184,'רשימת רשויות'!A:A,1,0)</f>
        <v>ירושלים</v>
      </c>
      <c r="Q184" s="956">
        <f>IFERROR(VLOOKUP(B184,[2]מעובד!$D:$K,8,0),0)</f>
        <v>264</v>
      </c>
      <c r="R184" s="956">
        <f>IFERROR(VLOOKUP(B184,[2]מעובד!$D:$L,9,0),0)</f>
        <v>55</v>
      </c>
    </row>
    <row r="185" spans="1:18" x14ac:dyDescent="0.2">
      <c r="A185" s="947" t="s">
        <v>270</v>
      </c>
      <c r="B185" s="947">
        <v>118182</v>
      </c>
      <c r="C185" s="947" t="s">
        <v>2189</v>
      </c>
      <c r="D185" s="947" t="s">
        <v>1389</v>
      </c>
      <c r="E185" s="951">
        <v>191</v>
      </c>
      <c r="F185" s="951">
        <v>33</v>
      </c>
      <c r="G185" s="947" t="s">
        <v>159</v>
      </c>
      <c r="H185" s="951">
        <v>133</v>
      </c>
      <c r="I185" s="951">
        <v>0</v>
      </c>
      <c r="J185" s="947" t="s">
        <v>270</v>
      </c>
      <c r="K185" s="947">
        <v>118182</v>
      </c>
      <c r="M185" s="631"/>
      <c r="P185" s="950" t="str">
        <f>VLOOKUP(J185,'רשימת רשויות'!A:A,1,0)</f>
        <v>ירושלים</v>
      </c>
      <c r="Q185" s="956">
        <f>IFERROR(VLOOKUP(B185,[2]מעובד!$D:$K,8,0),0)</f>
        <v>205</v>
      </c>
      <c r="R185" s="956">
        <f>IFERROR(VLOOKUP(B185,[2]מעובד!$D:$L,9,0),0)</f>
        <v>69</v>
      </c>
    </row>
    <row r="186" spans="1:18" x14ac:dyDescent="0.2">
      <c r="A186" s="947" t="s">
        <v>270</v>
      </c>
      <c r="B186" s="947">
        <v>118190</v>
      </c>
      <c r="C186" s="947" t="s">
        <v>2189</v>
      </c>
      <c r="D186" s="947" t="s">
        <v>1394</v>
      </c>
      <c r="E186" s="951">
        <v>223</v>
      </c>
      <c r="F186" s="951">
        <v>28</v>
      </c>
      <c r="G186" s="947" t="s">
        <v>159</v>
      </c>
      <c r="H186" s="951">
        <v>82</v>
      </c>
      <c r="I186" s="951">
        <v>9</v>
      </c>
      <c r="J186" s="947" t="s">
        <v>270</v>
      </c>
      <c r="K186" s="947">
        <v>118190</v>
      </c>
      <c r="M186" s="631"/>
      <c r="P186" s="950" t="str">
        <f>VLOOKUP(J186,'רשימת רשויות'!A:A,1,0)</f>
        <v>ירושלים</v>
      </c>
      <c r="Q186" s="956">
        <f>IFERROR(VLOOKUP(B186,[2]מעובד!$D:$K,8,0),0)</f>
        <v>236</v>
      </c>
      <c r="R186" s="956">
        <f>IFERROR(VLOOKUP(B186,[2]מעובד!$D:$L,9,0),0)</f>
        <v>53</v>
      </c>
    </row>
    <row r="187" spans="1:18" x14ac:dyDescent="0.2">
      <c r="A187" s="947" t="s">
        <v>270</v>
      </c>
      <c r="B187" s="947">
        <v>118208</v>
      </c>
      <c r="C187" s="947" t="s">
        <v>2189</v>
      </c>
      <c r="D187" s="947" t="s">
        <v>1395</v>
      </c>
      <c r="E187" s="951">
        <v>213</v>
      </c>
      <c r="F187" s="951">
        <v>33</v>
      </c>
      <c r="G187" s="947" t="s">
        <v>159</v>
      </c>
      <c r="H187" s="951">
        <v>86</v>
      </c>
      <c r="I187" s="951">
        <v>0</v>
      </c>
      <c r="J187" s="947" t="s">
        <v>270</v>
      </c>
      <c r="K187" s="947">
        <v>118208</v>
      </c>
      <c r="M187" s="631"/>
      <c r="P187" s="950" t="str">
        <f>VLOOKUP(J187,'רשימת רשויות'!A:A,1,0)</f>
        <v>ירושלים</v>
      </c>
      <c r="Q187" s="956">
        <f>IFERROR(VLOOKUP(B187,[2]מעובד!$D:$K,8,0),0)</f>
        <v>227</v>
      </c>
      <c r="R187" s="956">
        <f>IFERROR(VLOOKUP(B187,[2]מעובד!$D:$L,9,0),0)</f>
        <v>51</v>
      </c>
    </row>
    <row r="188" spans="1:18" x14ac:dyDescent="0.2">
      <c r="A188" s="947" t="s">
        <v>270</v>
      </c>
      <c r="B188" s="947">
        <v>118216</v>
      </c>
      <c r="C188" s="947" t="s">
        <v>2189</v>
      </c>
      <c r="D188" s="947" t="s">
        <v>1396</v>
      </c>
      <c r="E188" s="951">
        <v>369</v>
      </c>
      <c r="F188" s="951">
        <v>74</v>
      </c>
      <c r="G188" s="947" t="s">
        <v>159</v>
      </c>
      <c r="H188" s="951">
        <v>125</v>
      </c>
      <c r="I188" s="951">
        <v>0</v>
      </c>
      <c r="J188" s="947" t="s">
        <v>270</v>
      </c>
      <c r="K188" s="947">
        <v>118216</v>
      </c>
      <c r="M188" s="631"/>
      <c r="P188" s="950" t="str">
        <f>VLOOKUP(J188,'רשימת רשויות'!A:A,1,0)</f>
        <v>ירושלים</v>
      </c>
      <c r="Q188" s="956">
        <f>IFERROR(VLOOKUP(B188,[2]מעובד!$D:$K,8,0),0)</f>
        <v>387</v>
      </c>
      <c r="R188" s="956">
        <f>IFERROR(VLOOKUP(B188,[2]מעובד!$D:$L,9,0),0)</f>
        <v>47</v>
      </c>
    </row>
    <row r="189" spans="1:18" x14ac:dyDescent="0.2">
      <c r="A189" s="947" t="s">
        <v>270</v>
      </c>
      <c r="B189" s="947">
        <v>118224</v>
      </c>
      <c r="C189" s="947" t="s">
        <v>2189</v>
      </c>
      <c r="D189" s="947" t="s">
        <v>1397</v>
      </c>
      <c r="E189" s="951">
        <v>367</v>
      </c>
      <c r="F189" s="951">
        <v>64</v>
      </c>
      <c r="G189" s="947" t="s">
        <v>159</v>
      </c>
      <c r="H189" s="951">
        <v>136</v>
      </c>
      <c r="I189" s="951">
        <v>0</v>
      </c>
      <c r="J189" s="947" t="s">
        <v>270</v>
      </c>
      <c r="K189" s="947">
        <v>118224</v>
      </c>
      <c r="M189" s="631"/>
      <c r="P189" s="950" t="str">
        <f>VLOOKUP(J189,'רשימת רשויות'!A:A,1,0)</f>
        <v>ירושלים</v>
      </c>
      <c r="Q189" s="956">
        <f>IFERROR(VLOOKUP(B189,[2]מעובד!$D:$K,8,0),0)</f>
        <v>363</v>
      </c>
      <c r="R189" s="956">
        <f>IFERROR(VLOOKUP(B189,[2]מעובד!$D:$L,9,0),0)</f>
        <v>165</v>
      </c>
    </row>
    <row r="190" spans="1:18" x14ac:dyDescent="0.2">
      <c r="A190" s="947" t="s">
        <v>270</v>
      </c>
      <c r="B190" s="947">
        <v>118240</v>
      </c>
      <c r="C190" s="947" t="s">
        <v>2189</v>
      </c>
      <c r="D190" s="947" t="s">
        <v>1420</v>
      </c>
      <c r="E190" s="951">
        <v>258</v>
      </c>
      <c r="F190" s="951">
        <v>0</v>
      </c>
      <c r="G190" s="947" t="s">
        <v>159</v>
      </c>
      <c r="H190" s="951">
        <v>0</v>
      </c>
      <c r="I190" s="951">
        <v>0</v>
      </c>
      <c r="J190" s="947" t="s">
        <v>270</v>
      </c>
      <c r="K190" s="947">
        <v>118240</v>
      </c>
      <c r="M190" s="631"/>
      <c r="P190" s="950" t="str">
        <f>VLOOKUP(J190,'רשימת רשויות'!A:A,1,0)</f>
        <v>ירושלים</v>
      </c>
      <c r="Q190" s="956">
        <f>IFERROR(VLOOKUP(B190,[2]מעובד!$D:$K,8,0),0)</f>
        <v>0</v>
      </c>
      <c r="R190" s="956">
        <f>IFERROR(VLOOKUP(B190,[2]מעובד!$D:$L,9,0),0)</f>
        <v>0</v>
      </c>
    </row>
    <row r="191" spans="1:18" x14ac:dyDescent="0.2">
      <c r="A191" s="947" t="s">
        <v>270</v>
      </c>
      <c r="B191" s="947">
        <v>118273</v>
      </c>
      <c r="C191" s="947" t="s">
        <v>2189</v>
      </c>
      <c r="D191" s="947" t="s">
        <v>1421</v>
      </c>
      <c r="E191" s="951">
        <v>292</v>
      </c>
      <c r="F191" s="951">
        <v>46</v>
      </c>
      <c r="G191" s="947" t="s">
        <v>159</v>
      </c>
      <c r="H191" s="951">
        <v>292</v>
      </c>
      <c r="I191" s="951">
        <v>31</v>
      </c>
      <c r="J191" s="947" t="s">
        <v>270</v>
      </c>
      <c r="K191" s="947">
        <v>118273</v>
      </c>
      <c r="M191" s="631"/>
      <c r="P191" s="950" t="str">
        <f>VLOOKUP(J191,'רשימת רשויות'!A:A,1,0)</f>
        <v>ירושלים</v>
      </c>
      <c r="Q191" s="956">
        <f>IFERROR(VLOOKUP(B191,[2]מעובד!$D:$K,8,0),0)</f>
        <v>283</v>
      </c>
      <c r="R191" s="956">
        <f>IFERROR(VLOOKUP(B191,[2]מעובד!$D:$L,9,0),0)</f>
        <v>89</v>
      </c>
    </row>
    <row r="192" spans="1:18" x14ac:dyDescent="0.2">
      <c r="A192" s="947" t="s">
        <v>270</v>
      </c>
      <c r="B192" s="947">
        <v>118281</v>
      </c>
      <c r="C192" s="947" t="s">
        <v>2189</v>
      </c>
      <c r="D192" s="947" t="s">
        <v>2936</v>
      </c>
      <c r="E192" s="951">
        <v>146</v>
      </c>
      <c r="F192" s="951">
        <v>0</v>
      </c>
      <c r="G192" s="947" t="s">
        <v>159</v>
      </c>
      <c r="H192" s="951">
        <v>104</v>
      </c>
      <c r="I192" s="951">
        <v>0</v>
      </c>
      <c r="J192" s="947" t="s">
        <v>270</v>
      </c>
      <c r="K192" s="947">
        <v>118281</v>
      </c>
      <c r="M192" s="631"/>
      <c r="P192" s="950" t="str">
        <f>VLOOKUP(J192,'רשימת רשויות'!A:A,1,0)</f>
        <v>ירושלים</v>
      </c>
      <c r="Q192" s="956">
        <f>IFERROR(VLOOKUP(B192,[2]מעובד!$D:$K,8,0),0)</f>
        <v>0</v>
      </c>
      <c r="R192" s="956">
        <f>IFERROR(VLOOKUP(B192,[2]מעובד!$D:$L,9,0),0)</f>
        <v>0</v>
      </c>
    </row>
    <row r="193" spans="1:18" x14ac:dyDescent="0.2">
      <c r="A193" s="947" t="s">
        <v>270</v>
      </c>
      <c r="B193" s="947">
        <v>118299</v>
      </c>
      <c r="C193" s="947" t="s">
        <v>2189</v>
      </c>
      <c r="D193" s="947" t="s">
        <v>1422</v>
      </c>
      <c r="E193" s="951">
        <v>211</v>
      </c>
      <c r="F193" s="951">
        <v>43</v>
      </c>
      <c r="G193" s="947" t="s">
        <v>159</v>
      </c>
      <c r="H193" s="951">
        <v>0</v>
      </c>
      <c r="I193" s="951">
        <v>0</v>
      </c>
      <c r="J193" s="947" t="s">
        <v>270</v>
      </c>
      <c r="K193" s="947">
        <v>118299</v>
      </c>
      <c r="M193" s="631"/>
      <c r="P193" s="950" t="str">
        <f>VLOOKUP(J193,'רשימת רשויות'!A:A,1,0)</f>
        <v>ירושלים</v>
      </c>
      <c r="Q193" s="956">
        <f>IFERROR(VLOOKUP(B193,[2]מעובד!$D:$K,8,0),0)</f>
        <v>225</v>
      </c>
      <c r="R193" s="956">
        <f>IFERROR(VLOOKUP(B193,[2]מעובד!$D:$L,9,0),0)</f>
        <v>35</v>
      </c>
    </row>
    <row r="194" spans="1:18" x14ac:dyDescent="0.2">
      <c r="A194" s="947" t="s">
        <v>270</v>
      </c>
      <c r="B194" s="947">
        <v>118307</v>
      </c>
      <c r="C194" s="947" t="s">
        <v>2189</v>
      </c>
      <c r="D194" s="947" t="s">
        <v>1423</v>
      </c>
      <c r="E194" s="951">
        <v>93</v>
      </c>
      <c r="F194" s="951">
        <v>21</v>
      </c>
      <c r="G194" s="947" t="s">
        <v>159</v>
      </c>
      <c r="H194" s="951">
        <v>37</v>
      </c>
      <c r="I194" s="951">
        <v>0</v>
      </c>
      <c r="J194" s="947" t="s">
        <v>270</v>
      </c>
      <c r="K194" s="947">
        <v>118307</v>
      </c>
      <c r="M194" s="631"/>
      <c r="P194" s="950" t="str">
        <f>VLOOKUP(J194,'רשימת רשויות'!A:A,1,0)</f>
        <v>ירושלים</v>
      </c>
      <c r="Q194" s="956">
        <f>IFERROR(VLOOKUP(B194,[2]מעובד!$D:$K,8,0),0)</f>
        <v>114</v>
      </c>
      <c r="R194" s="956">
        <f>IFERROR(VLOOKUP(B194,[2]מעובד!$D:$L,9,0),0)</f>
        <v>35</v>
      </c>
    </row>
    <row r="195" spans="1:18" x14ac:dyDescent="0.2">
      <c r="A195" s="947" t="s">
        <v>270</v>
      </c>
      <c r="B195" s="947">
        <v>118331</v>
      </c>
      <c r="C195" s="947" t="s">
        <v>2189</v>
      </c>
      <c r="D195" s="947" t="s">
        <v>1424</v>
      </c>
      <c r="E195" s="951">
        <v>99</v>
      </c>
      <c r="F195" s="951">
        <v>25</v>
      </c>
      <c r="G195" s="947" t="s">
        <v>159</v>
      </c>
      <c r="H195" s="951">
        <v>0</v>
      </c>
      <c r="I195" s="951">
        <v>0</v>
      </c>
      <c r="J195" s="947" t="s">
        <v>270</v>
      </c>
      <c r="K195" s="947">
        <v>118331</v>
      </c>
      <c r="M195" s="631"/>
      <c r="P195" s="950" t="str">
        <f>VLOOKUP(J195,'רשימת רשויות'!A:A,1,0)</f>
        <v>ירושלים</v>
      </c>
      <c r="Q195" s="956">
        <f>IFERROR(VLOOKUP(B195,[2]מעובד!$D:$K,8,0),0)</f>
        <v>146</v>
      </c>
      <c r="R195" s="956">
        <f>IFERROR(VLOOKUP(B195,[2]מעובד!$D:$L,9,0),0)</f>
        <v>40</v>
      </c>
    </row>
    <row r="196" spans="1:18" x14ac:dyDescent="0.2">
      <c r="A196" s="947" t="s">
        <v>270</v>
      </c>
      <c r="B196" s="947">
        <v>118349</v>
      </c>
      <c r="C196" s="947" t="s">
        <v>2189</v>
      </c>
      <c r="D196" s="947" t="s">
        <v>1425</v>
      </c>
      <c r="E196" s="951">
        <v>398</v>
      </c>
      <c r="F196" s="951">
        <v>54</v>
      </c>
      <c r="G196" s="947" t="s">
        <v>159</v>
      </c>
      <c r="H196" s="951">
        <v>0</v>
      </c>
      <c r="I196" s="951">
        <v>0</v>
      </c>
      <c r="J196" s="947" t="s">
        <v>270</v>
      </c>
      <c r="K196" s="947">
        <v>118349</v>
      </c>
      <c r="M196" s="631"/>
      <c r="P196" s="950" t="str">
        <f>VLOOKUP(J196,'רשימת רשויות'!A:A,1,0)</f>
        <v>ירושלים</v>
      </c>
      <c r="Q196" s="956">
        <f>IFERROR(VLOOKUP(B196,[2]מעובד!$D:$K,8,0),0)</f>
        <v>0</v>
      </c>
      <c r="R196" s="956">
        <f>IFERROR(VLOOKUP(B196,[2]מעובד!$D:$L,9,0),0)</f>
        <v>0</v>
      </c>
    </row>
    <row r="197" spans="1:18" x14ac:dyDescent="0.2">
      <c r="A197" s="947" t="s">
        <v>270</v>
      </c>
      <c r="B197" s="947">
        <v>118356</v>
      </c>
      <c r="C197" s="947" t="s">
        <v>2189</v>
      </c>
      <c r="D197" s="947" t="s">
        <v>1426</v>
      </c>
      <c r="E197" s="951">
        <v>208</v>
      </c>
      <c r="F197" s="951">
        <v>43</v>
      </c>
      <c r="G197" s="947" t="s">
        <v>159</v>
      </c>
      <c r="H197" s="951">
        <v>0</v>
      </c>
      <c r="I197" s="951">
        <v>0</v>
      </c>
      <c r="J197" s="947" t="s">
        <v>270</v>
      </c>
      <c r="K197" s="947">
        <v>118356</v>
      </c>
      <c r="M197" s="631"/>
      <c r="P197" s="950" t="str">
        <f>VLOOKUP(J197,'רשימת רשויות'!A:A,1,0)</f>
        <v>ירושלים</v>
      </c>
      <c r="Q197" s="956">
        <f>IFERROR(VLOOKUP(B197,[2]מעובד!$D:$K,8,0),0)</f>
        <v>197</v>
      </c>
      <c r="R197" s="956">
        <f>IFERROR(VLOOKUP(B197,[2]מעובד!$D:$L,9,0),0)</f>
        <v>57</v>
      </c>
    </row>
    <row r="198" spans="1:18" x14ac:dyDescent="0.2">
      <c r="A198" s="947" t="s">
        <v>270</v>
      </c>
      <c r="B198" s="947">
        <v>118364</v>
      </c>
      <c r="C198" s="947" t="s">
        <v>2189</v>
      </c>
      <c r="D198" s="947" t="s">
        <v>2937</v>
      </c>
      <c r="E198" s="951">
        <v>411</v>
      </c>
      <c r="F198" s="951">
        <v>0</v>
      </c>
      <c r="G198" s="947" t="s">
        <v>3252</v>
      </c>
      <c r="H198" s="951">
        <v>0</v>
      </c>
      <c r="I198" s="951">
        <v>0</v>
      </c>
      <c r="J198" s="947" t="s">
        <v>270</v>
      </c>
      <c r="K198" s="947">
        <v>118364</v>
      </c>
      <c r="M198" s="631"/>
      <c r="P198" s="950" t="str">
        <f>VLOOKUP(J198,'רשימת רשויות'!A:A,1,0)</f>
        <v>ירושלים</v>
      </c>
      <c r="Q198" s="956">
        <f>IFERROR(VLOOKUP(B198,[2]מעובד!$D:$K,8,0),0)</f>
        <v>0</v>
      </c>
      <c r="R198" s="956">
        <f>IFERROR(VLOOKUP(B198,[2]מעובד!$D:$L,9,0),0)</f>
        <v>0</v>
      </c>
    </row>
    <row r="199" spans="1:18" x14ac:dyDescent="0.2">
      <c r="A199" s="947" t="s">
        <v>311</v>
      </c>
      <c r="B199" s="947">
        <v>124032</v>
      </c>
      <c r="C199" s="947" t="s">
        <v>2189</v>
      </c>
      <c r="D199" s="947" t="s">
        <v>1080</v>
      </c>
      <c r="E199" s="951">
        <v>64</v>
      </c>
      <c r="F199" s="951">
        <v>28</v>
      </c>
      <c r="G199" s="947" t="s">
        <v>159</v>
      </c>
      <c r="H199" s="951">
        <v>0</v>
      </c>
      <c r="I199" s="951">
        <v>0</v>
      </c>
      <c r="J199" s="947" t="s">
        <v>311</v>
      </c>
      <c r="K199" s="947">
        <v>124032</v>
      </c>
      <c r="M199" s="631"/>
      <c r="P199" s="950" t="str">
        <f>VLOOKUP(J199,'רשימת רשויות'!A:A,1,0)</f>
        <v>מטה יהודה</v>
      </c>
      <c r="Q199" s="956">
        <f>IFERROR(VLOOKUP(B199,[2]מעובד!$D:$K,8,0),0)</f>
        <v>0</v>
      </c>
      <c r="R199" s="956">
        <f>IFERROR(VLOOKUP(B199,[2]מעובד!$D:$L,9,0),0)</f>
        <v>0</v>
      </c>
    </row>
    <row r="200" spans="1:18" x14ac:dyDescent="0.2">
      <c r="A200" s="947" t="s">
        <v>196</v>
      </c>
      <c r="B200" s="947">
        <v>124040</v>
      </c>
      <c r="C200" s="947" t="s">
        <v>2189</v>
      </c>
      <c r="D200" s="947" t="s">
        <v>1209</v>
      </c>
      <c r="E200" s="951">
        <v>137</v>
      </c>
      <c r="F200" s="951">
        <v>114</v>
      </c>
      <c r="G200" s="947" t="s">
        <v>3252</v>
      </c>
      <c r="H200" s="951">
        <v>90</v>
      </c>
      <c r="I200" s="951">
        <v>16</v>
      </c>
      <c r="J200" s="947" t="s">
        <v>196</v>
      </c>
      <c r="K200" s="947">
        <v>124040</v>
      </c>
      <c r="M200" s="631"/>
      <c r="P200" s="950" t="str">
        <f>VLOOKUP(J200,'רשימת רשויות'!A:A,1,0)</f>
        <v>בית שמש</v>
      </c>
      <c r="Q200" s="956">
        <f>IFERROR(VLOOKUP(B200,[2]מעובד!$D:$K,8,0),0)</f>
        <v>105</v>
      </c>
      <c r="R200" s="956">
        <f>IFERROR(VLOOKUP(B200,[2]מעובד!$D:$L,9,0),0)</f>
        <v>106</v>
      </c>
    </row>
    <row r="201" spans="1:18" x14ac:dyDescent="0.2">
      <c r="A201" s="947" t="s">
        <v>196</v>
      </c>
      <c r="B201" s="947">
        <v>124057</v>
      </c>
      <c r="C201" s="947" t="s">
        <v>2189</v>
      </c>
      <c r="D201" s="947" t="s">
        <v>1412</v>
      </c>
      <c r="E201" s="951">
        <v>156</v>
      </c>
      <c r="F201" s="951">
        <v>153</v>
      </c>
      <c r="G201" s="947" t="s">
        <v>3252</v>
      </c>
      <c r="H201" s="951">
        <v>0</v>
      </c>
      <c r="I201" s="951">
        <v>0</v>
      </c>
      <c r="J201" s="947" t="s">
        <v>196</v>
      </c>
      <c r="K201" s="947">
        <v>124057</v>
      </c>
      <c r="M201" s="631"/>
      <c r="P201" s="950" t="str">
        <f>VLOOKUP(J201,'רשימת רשויות'!A:A,1,0)</f>
        <v>בית שמש</v>
      </c>
      <c r="Q201" s="956">
        <f>IFERROR(VLOOKUP(B201,[2]מעובד!$D:$K,8,0),0)</f>
        <v>166</v>
      </c>
      <c r="R201" s="956">
        <f>IFERROR(VLOOKUP(B201,[2]מעובד!$D:$L,9,0),0)</f>
        <v>43</v>
      </c>
    </row>
    <row r="202" spans="1:18" x14ac:dyDescent="0.2">
      <c r="A202" s="947" t="s">
        <v>197</v>
      </c>
      <c r="B202" s="947">
        <v>124099</v>
      </c>
      <c r="C202" s="947" t="s">
        <v>2189</v>
      </c>
      <c r="D202" s="947" t="s">
        <v>1434</v>
      </c>
      <c r="E202" s="951">
        <v>115</v>
      </c>
      <c r="F202" s="951">
        <v>113</v>
      </c>
      <c r="G202" s="947" t="s">
        <v>3252</v>
      </c>
      <c r="H202" s="951">
        <v>0</v>
      </c>
      <c r="I202" s="951">
        <v>0</v>
      </c>
      <c r="J202" s="947" t="s">
        <v>197</v>
      </c>
      <c r="K202" s="947">
        <v>124099</v>
      </c>
      <c r="M202" s="631"/>
      <c r="P202" s="950" t="str">
        <f>VLOOKUP(J202,'רשימת רשויות'!A:A,1,0)</f>
        <v>ביתר עילית</v>
      </c>
      <c r="Q202" s="956">
        <f>IFERROR(VLOOKUP(B202,[2]מעובד!$D:$K,8,0),0)</f>
        <v>0</v>
      </c>
      <c r="R202" s="956">
        <f>IFERROR(VLOOKUP(B202,[2]מעובד!$D:$L,9,0),0)</f>
        <v>0</v>
      </c>
    </row>
    <row r="203" spans="1:18" x14ac:dyDescent="0.2">
      <c r="A203" s="947" t="s">
        <v>306</v>
      </c>
      <c r="B203" s="947">
        <v>124123</v>
      </c>
      <c r="C203" s="947" t="s">
        <v>2189</v>
      </c>
      <c r="D203" s="947" t="s">
        <v>1435</v>
      </c>
      <c r="E203" s="951">
        <v>97</v>
      </c>
      <c r="F203" s="951">
        <v>96</v>
      </c>
      <c r="G203" s="947" t="s">
        <v>3252</v>
      </c>
      <c r="H203" s="951">
        <v>0</v>
      </c>
      <c r="I203" s="951">
        <v>0</v>
      </c>
      <c r="J203" s="947" t="s">
        <v>306</v>
      </c>
      <c r="K203" s="947">
        <v>124123</v>
      </c>
      <c r="M203" s="631"/>
      <c r="P203" s="950" t="str">
        <f>VLOOKUP(J203,'רשימת רשויות'!A:A,1,0)</f>
        <v>מודיעין עילית</v>
      </c>
      <c r="Q203" s="956">
        <f>IFERROR(VLOOKUP(B203,[2]מעובד!$D:$K,8,0),0)</f>
        <v>100</v>
      </c>
      <c r="R203" s="956">
        <f>IFERROR(VLOOKUP(B203,[2]מעובד!$D:$L,9,0),0)</f>
        <v>99</v>
      </c>
    </row>
    <row r="204" spans="1:18" x14ac:dyDescent="0.2">
      <c r="A204" s="947" t="s">
        <v>270</v>
      </c>
      <c r="B204" s="947">
        <v>124131</v>
      </c>
      <c r="C204" s="947" t="s">
        <v>2189</v>
      </c>
      <c r="D204" s="947" t="s">
        <v>1436</v>
      </c>
      <c r="E204" s="951">
        <v>48</v>
      </c>
      <c r="F204" s="951">
        <v>49</v>
      </c>
      <c r="G204" s="947" t="s">
        <v>3252</v>
      </c>
      <c r="H204" s="951">
        <v>0</v>
      </c>
      <c r="I204" s="951">
        <v>0</v>
      </c>
      <c r="J204" s="947" t="s">
        <v>270</v>
      </c>
      <c r="K204" s="947">
        <v>124131</v>
      </c>
      <c r="M204" s="631"/>
      <c r="P204" s="950" t="str">
        <f>VLOOKUP(J204,'רשימת רשויות'!A:A,1,0)</f>
        <v>ירושלים</v>
      </c>
      <c r="Q204" s="956">
        <f>IFERROR(VLOOKUP(B204,[2]מעובד!$D:$K,8,0),0)</f>
        <v>60</v>
      </c>
      <c r="R204" s="956">
        <f>IFERROR(VLOOKUP(B204,[2]מעובד!$D:$L,9,0),0)</f>
        <v>60</v>
      </c>
    </row>
    <row r="205" spans="1:18" x14ac:dyDescent="0.2">
      <c r="A205" s="947" t="s">
        <v>270</v>
      </c>
      <c r="B205" s="947">
        <v>124149</v>
      </c>
      <c r="C205" s="947" t="s">
        <v>2189</v>
      </c>
      <c r="D205" s="947" t="s">
        <v>1443</v>
      </c>
      <c r="E205" s="951">
        <v>641</v>
      </c>
      <c r="F205" s="951">
        <v>629</v>
      </c>
      <c r="G205" s="947" t="s">
        <v>3252</v>
      </c>
      <c r="H205" s="951">
        <v>193</v>
      </c>
      <c r="I205" s="951">
        <v>11</v>
      </c>
      <c r="J205" s="947" t="s">
        <v>270</v>
      </c>
      <c r="K205" s="947">
        <v>124149</v>
      </c>
      <c r="M205" s="631"/>
      <c r="P205" s="950" t="str">
        <f>VLOOKUP(J205,'רשימת רשויות'!A:A,1,0)</f>
        <v>ירושלים</v>
      </c>
      <c r="Q205" s="956">
        <f>IFERROR(VLOOKUP(B205,[2]מעובד!$D:$K,8,0),0)</f>
        <v>495</v>
      </c>
      <c r="R205" s="956">
        <f>IFERROR(VLOOKUP(B205,[2]מעובד!$D:$L,9,0),0)</f>
        <v>143</v>
      </c>
    </row>
    <row r="206" spans="1:18" x14ac:dyDescent="0.2">
      <c r="A206" s="947" t="s">
        <v>317</v>
      </c>
      <c r="B206" s="947">
        <v>131029</v>
      </c>
      <c r="C206" s="947" t="s">
        <v>2189</v>
      </c>
      <c r="D206" s="947" t="s">
        <v>1088</v>
      </c>
      <c r="E206" s="951">
        <v>231</v>
      </c>
      <c r="F206" s="951">
        <v>202</v>
      </c>
      <c r="G206" s="947" t="s">
        <v>159</v>
      </c>
      <c r="H206" s="951">
        <v>81</v>
      </c>
      <c r="I206" s="951">
        <v>6</v>
      </c>
      <c r="J206" s="947" t="s">
        <v>317</v>
      </c>
      <c r="K206" s="947">
        <v>131029</v>
      </c>
      <c r="M206" s="631"/>
      <c r="P206" s="950" t="str">
        <f>VLOOKUP(J206,'רשימת רשויות'!A:A,1,0)</f>
        <v>מעלה אדומים</v>
      </c>
      <c r="Q206" s="956">
        <f>IFERROR(VLOOKUP(B206,[2]מעובד!$D:$K,8,0),0)</f>
        <v>214</v>
      </c>
      <c r="R206" s="956">
        <f>IFERROR(VLOOKUP(B206,[2]מעובד!$D:$L,9,0),0)</f>
        <v>87</v>
      </c>
    </row>
    <row r="207" spans="1:18" x14ac:dyDescent="0.2">
      <c r="A207" s="947" t="s">
        <v>306</v>
      </c>
      <c r="B207" s="947">
        <v>131037</v>
      </c>
      <c r="C207" s="947" t="s">
        <v>2189</v>
      </c>
      <c r="D207" s="947" t="s">
        <v>1427</v>
      </c>
      <c r="E207" s="951">
        <v>461</v>
      </c>
      <c r="F207" s="951">
        <v>461</v>
      </c>
      <c r="G207" s="947" t="s">
        <v>3252</v>
      </c>
      <c r="H207" s="951">
        <v>0</v>
      </c>
      <c r="I207" s="951">
        <v>0</v>
      </c>
      <c r="J207" s="947" t="s">
        <v>306</v>
      </c>
      <c r="K207" s="947">
        <v>131037</v>
      </c>
      <c r="M207" s="631"/>
      <c r="P207" s="950" t="str">
        <f>VLOOKUP(J207,'רשימת רשויות'!A:A,1,0)</f>
        <v>מודיעין עילית</v>
      </c>
      <c r="Q207" s="956">
        <f>IFERROR(VLOOKUP(B207,[2]מעובד!$D:$K,8,0),0)</f>
        <v>0</v>
      </c>
      <c r="R207" s="956">
        <f>IFERROR(VLOOKUP(B207,[2]מעובד!$D:$L,9,0),0)</f>
        <v>0</v>
      </c>
    </row>
    <row r="208" spans="1:18" x14ac:dyDescent="0.2">
      <c r="A208" s="947" t="s">
        <v>196</v>
      </c>
      <c r="B208" s="947">
        <v>131052</v>
      </c>
      <c r="C208" s="947" t="s">
        <v>2189</v>
      </c>
      <c r="D208" s="947" t="s">
        <v>1093</v>
      </c>
      <c r="E208" s="951">
        <v>191</v>
      </c>
      <c r="F208" s="951">
        <v>146</v>
      </c>
      <c r="G208" s="947" t="s">
        <v>159</v>
      </c>
      <c r="H208" s="951">
        <v>191</v>
      </c>
      <c r="I208" s="951">
        <v>33</v>
      </c>
      <c r="J208" s="947" t="s">
        <v>196</v>
      </c>
      <c r="K208" s="947">
        <v>131052</v>
      </c>
      <c r="M208" s="631"/>
      <c r="P208" s="950" t="str">
        <f>VLOOKUP(J208,'רשימת רשויות'!A:A,1,0)</f>
        <v>בית שמש</v>
      </c>
      <c r="Q208" s="956">
        <f>IFERROR(VLOOKUP(B208,[2]מעובד!$D:$K,8,0),0)</f>
        <v>173</v>
      </c>
      <c r="R208" s="956">
        <f>IFERROR(VLOOKUP(B208,[2]מעובד!$D:$L,9,0),0)</f>
        <v>90</v>
      </c>
    </row>
    <row r="209" spans="1:18" x14ac:dyDescent="0.2">
      <c r="A209" s="947" t="s">
        <v>270</v>
      </c>
      <c r="B209" s="947">
        <v>131060</v>
      </c>
      <c r="C209" s="947" t="s">
        <v>2189</v>
      </c>
      <c r="D209" s="947" t="s">
        <v>1428</v>
      </c>
      <c r="E209" s="951">
        <v>66</v>
      </c>
      <c r="F209" s="951">
        <v>66</v>
      </c>
      <c r="G209" s="947" t="s">
        <v>3252</v>
      </c>
      <c r="H209" s="951">
        <v>0</v>
      </c>
      <c r="I209" s="951">
        <v>0</v>
      </c>
      <c r="J209" s="947" t="s">
        <v>270</v>
      </c>
      <c r="K209" s="947">
        <v>131060</v>
      </c>
      <c r="M209" s="631"/>
      <c r="P209" s="950" t="str">
        <f>VLOOKUP(J209,'רשימת רשויות'!A:A,1,0)</f>
        <v>ירושלים</v>
      </c>
      <c r="Q209" s="956">
        <f>IFERROR(VLOOKUP(B209,[2]מעובד!$D:$K,8,0),0)</f>
        <v>72</v>
      </c>
      <c r="R209" s="956">
        <f>IFERROR(VLOOKUP(B209,[2]מעובד!$D:$L,9,0),0)</f>
        <v>59</v>
      </c>
    </row>
    <row r="210" spans="1:18" x14ac:dyDescent="0.2">
      <c r="A210" s="947" t="s">
        <v>270</v>
      </c>
      <c r="B210" s="947">
        <v>131169</v>
      </c>
      <c r="C210" s="947" t="s">
        <v>2189</v>
      </c>
      <c r="D210" s="947" t="s">
        <v>1437</v>
      </c>
      <c r="E210" s="951">
        <v>220</v>
      </c>
      <c r="F210" s="951">
        <v>218</v>
      </c>
      <c r="G210" s="947" t="s">
        <v>3252</v>
      </c>
      <c r="H210" s="951">
        <v>0</v>
      </c>
      <c r="I210" s="951">
        <v>0</v>
      </c>
      <c r="J210" s="947" t="s">
        <v>270</v>
      </c>
      <c r="K210" s="947">
        <v>131169</v>
      </c>
      <c r="M210" s="631"/>
      <c r="P210" s="950" t="str">
        <f>VLOOKUP(J210,'רשימת רשויות'!A:A,1,0)</f>
        <v>ירושלים</v>
      </c>
      <c r="Q210" s="956">
        <f>IFERROR(VLOOKUP(B210,[2]מעובד!$D:$K,8,0),0)</f>
        <v>0</v>
      </c>
      <c r="R210" s="956">
        <f>IFERROR(VLOOKUP(B210,[2]מעובד!$D:$L,9,0),0)</f>
        <v>0</v>
      </c>
    </row>
    <row r="211" spans="1:18" x14ac:dyDescent="0.2">
      <c r="A211" s="947" t="s">
        <v>270</v>
      </c>
      <c r="B211" s="947">
        <v>131185</v>
      </c>
      <c r="C211" s="947" t="s">
        <v>2189</v>
      </c>
      <c r="D211" s="947" t="s">
        <v>2628</v>
      </c>
      <c r="E211" s="951">
        <v>34</v>
      </c>
      <c r="F211" s="951">
        <v>34</v>
      </c>
      <c r="G211" s="947" t="s">
        <v>3252</v>
      </c>
      <c r="H211" s="951">
        <v>0</v>
      </c>
      <c r="I211" s="951">
        <v>0</v>
      </c>
      <c r="J211" s="947" t="s">
        <v>270</v>
      </c>
      <c r="K211" s="947">
        <v>131185</v>
      </c>
      <c r="M211" s="631"/>
      <c r="P211" s="950" t="str">
        <f>VLOOKUP(J211,'רשימת רשויות'!A:A,1,0)</f>
        <v>ירושלים</v>
      </c>
      <c r="Q211" s="956">
        <f>IFERROR(VLOOKUP(B211,[2]מעובד!$D:$K,8,0),0)</f>
        <v>0</v>
      </c>
      <c r="R211" s="956">
        <f>IFERROR(VLOOKUP(B211,[2]מעובד!$D:$L,9,0),0)</f>
        <v>0</v>
      </c>
    </row>
    <row r="212" spans="1:18" x14ac:dyDescent="0.2">
      <c r="A212" s="947" t="s">
        <v>370</v>
      </c>
      <c r="B212" s="947">
        <v>131201</v>
      </c>
      <c r="C212" s="947" t="s">
        <v>2189</v>
      </c>
      <c r="D212" s="947" t="s">
        <v>1098</v>
      </c>
      <c r="E212" s="951">
        <v>178</v>
      </c>
      <c r="F212" s="951">
        <v>158</v>
      </c>
      <c r="G212" s="947" t="s">
        <v>159</v>
      </c>
      <c r="H212" s="951">
        <v>69</v>
      </c>
      <c r="I212" s="951">
        <v>8</v>
      </c>
      <c r="J212" s="947" t="s">
        <v>370</v>
      </c>
      <c r="K212" s="947">
        <v>131201</v>
      </c>
      <c r="M212" s="631"/>
      <c r="P212" s="950" t="str">
        <f>VLOOKUP(J212,'רשימת רשויות'!A:A,1,0)</f>
        <v>קרית ארבע</v>
      </c>
      <c r="Q212" s="956">
        <f>IFERROR(VLOOKUP(B212,[2]מעובד!$D:$K,8,0),0)</f>
        <v>78</v>
      </c>
      <c r="R212" s="956">
        <f>IFERROR(VLOOKUP(B212,[2]מעובד!$D:$L,9,0),0)</f>
        <v>43</v>
      </c>
    </row>
    <row r="213" spans="1:18" x14ac:dyDescent="0.2">
      <c r="A213" s="947" t="s">
        <v>197</v>
      </c>
      <c r="B213" s="947">
        <v>131219</v>
      </c>
      <c r="C213" s="947" t="s">
        <v>2189</v>
      </c>
      <c r="D213" s="947" t="s">
        <v>1445</v>
      </c>
      <c r="E213" s="951">
        <v>144</v>
      </c>
      <c r="F213" s="951">
        <v>144</v>
      </c>
      <c r="G213" s="947" t="s">
        <v>3252</v>
      </c>
      <c r="H213" s="951">
        <v>0</v>
      </c>
      <c r="I213" s="951">
        <v>0</v>
      </c>
      <c r="J213" s="947" t="s">
        <v>197</v>
      </c>
      <c r="K213" s="947">
        <v>131219</v>
      </c>
      <c r="M213" s="631"/>
      <c r="P213" s="950" t="str">
        <f>VLOOKUP(J213,'רשימת רשויות'!A:A,1,0)</f>
        <v>ביתר עילית</v>
      </c>
      <c r="Q213" s="956">
        <f>IFERROR(VLOOKUP(B213,[2]מעובד!$D:$K,8,0),0)</f>
        <v>148</v>
      </c>
      <c r="R213" s="956">
        <f>IFERROR(VLOOKUP(B213,[2]מעובד!$D:$L,9,0),0)</f>
        <v>148</v>
      </c>
    </row>
    <row r="214" spans="1:18" x14ac:dyDescent="0.2">
      <c r="A214" s="947" t="s">
        <v>270</v>
      </c>
      <c r="B214" s="947">
        <v>131227</v>
      </c>
      <c r="C214" s="947" t="s">
        <v>2189</v>
      </c>
      <c r="D214" s="947" t="s">
        <v>1446</v>
      </c>
      <c r="E214" s="951">
        <v>112</v>
      </c>
      <c r="F214" s="951">
        <v>80</v>
      </c>
      <c r="G214" s="947" t="s">
        <v>3252</v>
      </c>
      <c r="H214" s="951">
        <v>37</v>
      </c>
      <c r="I214" s="951">
        <v>11</v>
      </c>
      <c r="J214" s="947" t="s">
        <v>270</v>
      </c>
      <c r="K214" s="947">
        <v>131227</v>
      </c>
      <c r="M214" s="631"/>
      <c r="P214" s="950" t="str">
        <f>VLOOKUP(J214,'רשימת רשויות'!A:A,1,0)</f>
        <v>ירושלים</v>
      </c>
      <c r="Q214" s="956">
        <f>IFERROR(VLOOKUP(B214,[2]מעובד!$D:$K,8,0),0)</f>
        <v>127</v>
      </c>
      <c r="R214" s="956">
        <f>IFERROR(VLOOKUP(B214,[2]מעובד!$D:$L,9,0),0)</f>
        <v>100</v>
      </c>
    </row>
    <row r="215" spans="1:18" x14ac:dyDescent="0.2">
      <c r="A215" s="947" t="s">
        <v>219</v>
      </c>
      <c r="B215" s="947">
        <v>131292</v>
      </c>
      <c r="C215" s="947" t="s">
        <v>2189</v>
      </c>
      <c r="D215" s="947" t="s">
        <v>2374</v>
      </c>
      <c r="E215" s="951">
        <v>429</v>
      </c>
      <c r="F215" s="951">
        <v>380</v>
      </c>
      <c r="G215" s="947" t="s">
        <v>159</v>
      </c>
      <c r="H215" s="951">
        <v>283</v>
      </c>
      <c r="I215" s="951">
        <v>17</v>
      </c>
      <c r="J215" s="947" t="s">
        <v>219</v>
      </c>
      <c r="K215" s="947">
        <v>131292</v>
      </c>
      <c r="M215" s="631"/>
      <c r="P215" s="950" t="str">
        <f>VLOOKUP(J215,'רשימת רשויות'!A:A,1,0)</f>
        <v>גוש עציון</v>
      </c>
      <c r="Q215" s="956">
        <f>IFERROR(VLOOKUP(B215,[2]מעובד!$D:$K,8,0),0)</f>
        <v>0</v>
      </c>
      <c r="R215" s="956">
        <f>IFERROR(VLOOKUP(B215,[2]מעובד!$D:$L,9,0),0)</f>
        <v>0</v>
      </c>
    </row>
    <row r="216" spans="1:18" x14ac:dyDescent="0.2">
      <c r="A216" s="947" t="s">
        <v>305</v>
      </c>
      <c r="B216" s="947">
        <v>131300</v>
      </c>
      <c r="C216" s="947" t="s">
        <v>2189</v>
      </c>
      <c r="D216" s="947" t="s">
        <v>1105</v>
      </c>
      <c r="E216" s="951">
        <v>170</v>
      </c>
      <c r="F216" s="951">
        <v>140</v>
      </c>
      <c r="G216" s="947" t="s">
        <v>159</v>
      </c>
      <c r="H216" s="951">
        <v>0</v>
      </c>
      <c r="I216" s="951">
        <v>0</v>
      </c>
      <c r="J216" s="947" t="s">
        <v>305</v>
      </c>
      <c r="K216" s="947">
        <v>131300</v>
      </c>
      <c r="M216" s="631"/>
      <c r="P216" s="950" t="str">
        <f>VLOOKUP(J216,'רשימת רשויות'!A:A,1,0)</f>
        <v>מודיעין מכבים רעות</v>
      </c>
      <c r="Q216" s="956">
        <f>IFERROR(VLOOKUP(B216,[2]מעובד!$D:$K,8,0),0)</f>
        <v>220</v>
      </c>
      <c r="R216" s="956">
        <f>IFERROR(VLOOKUP(B216,[2]מעובד!$D:$L,9,0),0)</f>
        <v>52</v>
      </c>
    </row>
    <row r="217" spans="1:18" x14ac:dyDescent="0.2">
      <c r="A217" s="947" t="s">
        <v>305</v>
      </c>
      <c r="B217" s="947">
        <v>131318</v>
      </c>
      <c r="C217" s="947" t="s">
        <v>2189</v>
      </c>
      <c r="D217" s="947" t="s">
        <v>1106</v>
      </c>
      <c r="E217" s="951">
        <v>181</v>
      </c>
      <c r="F217" s="951">
        <v>156</v>
      </c>
      <c r="G217" s="947" t="s">
        <v>159</v>
      </c>
      <c r="H217" s="951">
        <v>68</v>
      </c>
      <c r="I217" s="951">
        <v>12</v>
      </c>
      <c r="J217" s="947" t="s">
        <v>305</v>
      </c>
      <c r="K217" s="947">
        <v>131318</v>
      </c>
      <c r="M217" s="631"/>
      <c r="P217" s="950" t="str">
        <f>VLOOKUP(J217,'רשימת רשויות'!A:A,1,0)</f>
        <v>מודיעין מכבים רעות</v>
      </c>
      <c r="Q217" s="956">
        <f>IFERROR(VLOOKUP(B217,[2]מעובד!$D:$K,8,0),0)</f>
        <v>89</v>
      </c>
      <c r="R217" s="956">
        <f>IFERROR(VLOOKUP(B217,[2]מעובד!$D:$L,9,0),0)</f>
        <v>44</v>
      </c>
    </row>
    <row r="218" spans="1:18" x14ac:dyDescent="0.2">
      <c r="A218" s="947" t="s">
        <v>197</v>
      </c>
      <c r="B218" s="947">
        <v>132282</v>
      </c>
      <c r="C218" s="947" t="s">
        <v>2189</v>
      </c>
      <c r="D218" s="947" t="s">
        <v>1398</v>
      </c>
      <c r="E218" s="951">
        <v>219</v>
      </c>
      <c r="F218" s="951">
        <v>215</v>
      </c>
      <c r="G218" s="947" t="s">
        <v>3252</v>
      </c>
      <c r="H218" s="951">
        <v>0</v>
      </c>
      <c r="I218" s="951">
        <v>0</v>
      </c>
      <c r="J218" s="947" t="s">
        <v>197</v>
      </c>
      <c r="K218" s="947">
        <v>132282</v>
      </c>
      <c r="M218" s="631"/>
      <c r="P218" s="950" t="str">
        <f>VLOOKUP(J218,'רשימת רשויות'!A:A,1,0)</f>
        <v>ביתר עילית</v>
      </c>
      <c r="Q218" s="956">
        <f>IFERROR(VLOOKUP(B218,[2]מעובד!$D:$K,8,0),0)</f>
        <v>265</v>
      </c>
      <c r="R218" s="956">
        <f>IFERROR(VLOOKUP(B218,[2]מעובד!$D:$L,9,0),0)</f>
        <v>66</v>
      </c>
    </row>
    <row r="219" spans="1:18" x14ac:dyDescent="0.2">
      <c r="A219" s="947" t="s">
        <v>310</v>
      </c>
      <c r="B219" s="947">
        <v>132290</v>
      </c>
      <c r="C219" s="947" t="s">
        <v>2189</v>
      </c>
      <c r="D219" s="947" t="s">
        <v>1399</v>
      </c>
      <c r="E219" s="951">
        <v>45</v>
      </c>
      <c r="F219" s="951">
        <v>24</v>
      </c>
      <c r="G219" s="947" t="s">
        <v>3252</v>
      </c>
      <c r="H219" s="951">
        <v>19</v>
      </c>
      <c r="I219" s="951">
        <v>6</v>
      </c>
      <c r="J219" s="947" t="s">
        <v>310</v>
      </c>
      <c r="K219" s="947">
        <v>132290</v>
      </c>
      <c r="M219" s="631"/>
      <c r="P219" s="950" t="str">
        <f>VLOOKUP(J219,'רשימת רשויות'!A:A,1,0)</f>
        <v>מטה בנימין</v>
      </c>
      <c r="Q219" s="956">
        <f>IFERROR(VLOOKUP(B219,[2]מעובד!$D:$K,8,0),0)</f>
        <v>0</v>
      </c>
      <c r="R219" s="956">
        <f>IFERROR(VLOOKUP(B219,[2]מעובד!$D:$L,9,0),0)</f>
        <v>0</v>
      </c>
    </row>
    <row r="220" spans="1:18" x14ac:dyDescent="0.2">
      <c r="A220" s="947" t="s">
        <v>270</v>
      </c>
      <c r="B220" s="947">
        <v>134676</v>
      </c>
      <c r="C220" s="947" t="s">
        <v>2189</v>
      </c>
      <c r="D220" s="947" t="s">
        <v>1447</v>
      </c>
      <c r="E220" s="951">
        <v>156</v>
      </c>
      <c r="F220" s="951">
        <v>135</v>
      </c>
      <c r="G220" s="947" t="s">
        <v>3252</v>
      </c>
      <c r="H220" s="951">
        <v>109</v>
      </c>
      <c r="I220" s="951">
        <v>20</v>
      </c>
      <c r="J220" s="947" t="s">
        <v>270</v>
      </c>
      <c r="K220" s="947">
        <v>134676</v>
      </c>
      <c r="M220" s="631"/>
      <c r="P220" s="950" t="str">
        <f>VLOOKUP(J220,'רשימת רשויות'!A:A,1,0)</f>
        <v>ירושלים</v>
      </c>
      <c r="Q220" s="956">
        <f>IFERROR(VLOOKUP(B220,[2]מעובד!$D:$K,8,0),0)</f>
        <v>0</v>
      </c>
      <c r="R220" s="956">
        <f>IFERROR(VLOOKUP(B220,[2]מעובד!$D:$L,9,0),0)</f>
        <v>0</v>
      </c>
    </row>
    <row r="221" spans="1:18" x14ac:dyDescent="0.2">
      <c r="A221" s="947" t="s">
        <v>270</v>
      </c>
      <c r="B221" s="947">
        <v>134700</v>
      </c>
      <c r="C221" s="947" t="s">
        <v>2189</v>
      </c>
      <c r="D221" s="947" t="s">
        <v>1453</v>
      </c>
      <c r="E221" s="951">
        <v>75</v>
      </c>
      <c r="F221" s="951">
        <v>74</v>
      </c>
      <c r="G221" s="947" t="s">
        <v>3252</v>
      </c>
      <c r="H221" s="951">
        <v>0</v>
      </c>
      <c r="I221" s="951">
        <v>0</v>
      </c>
      <c r="J221" s="947" t="s">
        <v>270</v>
      </c>
      <c r="K221" s="947">
        <v>134700</v>
      </c>
      <c r="M221" s="631"/>
      <c r="P221" s="950" t="str">
        <f>VLOOKUP(J221,'רשימת רשויות'!A:A,1,0)</f>
        <v>ירושלים</v>
      </c>
      <c r="Q221" s="956">
        <f>IFERROR(VLOOKUP(B221,[2]מעובד!$D:$K,8,0),0)</f>
        <v>73</v>
      </c>
      <c r="R221" s="956">
        <f>IFERROR(VLOOKUP(B221,[2]מעובד!$D:$L,9,0),0)</f>
        <v>73</v>
      </c>
    </row>
    <row r="222" spans="1:18" x14ac:dyDescent="0.2">
      <c r="A222" s="947" t="s">
        <v>196</v>
      </c>
      <c r="B222" s="947">
        <v>136010</v>
      </c>
      <c r="C222" s="947" t="s">
        <v>2189</v>
      </c>
      <c r="D222" s="947" t="s">
        <v>1400</v>
      </c>
      <c r="E222" s="951">
        <v>53</v>
      </c>
      <c r="F222" s="951">
        <v>41</v>
      </c>
      <c r="G222" s="947" t="s">
        <v>3252</v>
      </c>
      <c r="H222" s="951">
        <v>41</v>
      </c>
      <c r="I222" s="951">
        <v>12</v>
      </c>
      <c r="J222" s="947" t="s">
        <v>196</v>
      </c>
      <c r="K222" s="947">
        <v>136010</v>
      </c>
      <c r="M222" s="631"/>
      <c r="P222" s="950" t="str">
        <f>VLOOKUP(J222,'רשימת רשויות'!A:A,1,0)</f>
        <v>בית שמש</v>
      </c>
      <c r="Q222" s="956">
        <f>IFERROR(VLOOKUP(B222,[2]מעובד!$D:$K,8,0),0)</f>
        <v>0</v>
      </c>
      <c r="R222" s="956">
        <f>IFERROR(VLOOKUP(B222,[2]מעובד!$D:$L,9,0),0)</f>
        <v>0</v>
      </c>
    </row>
    <row r="223" spans="1:18" x14ac:dyDescent="0.2">
      <c r="A223" s="947" t="s">
        <v>1087</v>
      </c>
      <c r="B223" s="947">
        <v>136259</v>
      </c>
      <c r="C223" s="947" t="s">
        <v>2189</v>
      </c>
      <c r="D223" s="947" t="s">
        <v>1087</v>
      </c>
      <c r="E223" s="951">
        <v>180</v>
      </c>
      <c r="F223" s="951">
        <v>123</v>
      </c>
      <c r="G223" s="947" t="s">
        <v>159</v>
      </c>
      <c r="H223" s="951">
        <v>0</v>
      </c>
      <c r="I223" s="951">
        <v>0</v>
      </c>
      <c r="J223" s="947" t="s">
        <v>1087</v>
      </c>
      <c r="K223" s="947">
        <v>136259</v>
      </c>
      <c r="M223" s="631"/>
      <c r="P223" s="950" t="str">
        <f>VLOOKUP(J223,'רשימת רשויות'!A:A,1,0)</f>
        <v>צור הדסה</v>
      </c>
      <c r="Q223" s="956">
        <f>IFERROR(VLOOKUP(B223,[2]מעובד!$D:$K,8,0),0)</f>
        <v>219</v>
      </c>
      <c r="R223" s="956">
        <f>IFERROR(VLOOKUP(B223,[2]מעובד!$D:$L,9,0),0)</f>
        <v>121</v>
      </c>
    </row>
    <row r="224" spans="1:18" x14ac:dyDescent="0.2">
      <c r="A224" s="947" t="s">
        <v>306</v>
      </c>
      <c r="B224" s="947">
        <v>138602</v>
      </c>
      <c r="C224" s="947" t="s">
        <v>2189</v>
      </c>
      <c r="D224" s="947" t="s">
        <v>2728</v>
      </c>
      <c r="E224" s="951">
        <v>402</v>
      </c>
      <c r="F224" s="951">
        <v>388</v>
      </c>
      <c r="G224" s="947" t="s">
        <v>3252</v>
      </c>
      <c r="H224" s="951">
        <v>274</v>
      </c>
      <c r="I224" s="951">
        <v>14</v>
      </c>
      <c r="J224" s="947" t="s">
        <v>306</v>
      </c>
      <c r="K224" s="947">
        <v>138602</v>
      </c>
      <c r="M224" s="631"/>
      <c r="P224" s="950" t="str">
        <f>VLOOKUP(J224,'רשימת רשויות'!A:A,1,0)</f>
        <v>מודיעין עילית</v>
      </c>
      <c r="Q224" s="956">
        <f>IFERROR(VLOOKUP(B224,[2]מעובד!$D:$K,8,0),0)</f>
        <v>0</v>
      </c>
      <c r="R224" s="956">
        <f>IFERROR(VLOOKUP(B224,[2]מעובד!$D:$L,9,0),0)</f>
        <v>0</v>
      </c>
    </row>
    <row r="225" spans="1:18" x14ac:dyDescent="0.2">
      <c r="A225" s="947" t="s">
        <v>305</v>
      </c>
      <c r="B225" s="947">
        <v>142398</v>
      </c>
      <c r="C225" s="947" t="s">
        <v>2189</v>
      </c>
      <c r="D225" s="947" t="s">
        <v>651</v>
      </c>
      <c r="E225" s="951">
        <v>185</v>
      </c>
      <c r="F225" s="951">
        <v>156</v>
      </c>
      <c r="G225" s="947" t="s">
        <v>159</v>
      </c>
      <c r="H225" s="951">
        <v>0</v>
      </c>
      <c r="I225" s="951">
        <v>0</v>
      </c>
      <c r="J225" s="947" t="s">
        <v>305</v>
      </c>
      <c r="K225" s="947">
        <v>142398</v>
      </c>
      <c r="M225" s="631"/>
      <c r="P225" s="950" t="str">
        <f>VLOOKUP(J225,'רשימת רשויות'!A:A,1,0)</f>
        <v>מודיעין מכבים רעות</v>
      </c>
      <c r="Q225" s="956">
        <f>IFERROR(VLOOKUP(B225,[2]מעובד!$D:$K,8,0),0)</f>
        <v>0</v>
      </c>
      <c r="R225" s="956">
        <f>IFERROR(VLOOKUP(B225,[2]מעובד!$D:$L,9,0),0)</f>
        <v>0</v>
      </c>
    </row>
    <row r="226" spans="1:18" x14ac:dyDescent="0.2">
      <c r="A226" s="947" t="s">
        <v>219</v>
      </c>
      <c r="B226" s="947">
        <v>142406</v>
      </c>
      <c r="C226" s="947" t="s">
        <v>2189</v>
      </c>
      <c r="D226" s="947" t="s">
        <v>2375</v>
      </c>
      <c r="E226" s="951">
        <v>64</v>
      </c>
      <c r="F226" s="951">
        <v>0</v>
      </c>
      <c r="G226" s="947" t="s">
        <v>159</v>
      </c>
      <c r="H226" s="951">
        <v>0</v>
      </c>
      <c r="I226" s="951">
        <v>0</v>
      </c>
      <c r="J226" s="947" t="s">
        <v>219</v>
      </c>
      <c r="K226" s="947">
        <v>142406</v>
      </c>
      <c r="M226" s="631"/>
      <c r="P226" s="950" t="str">
        <f>VLOOKUP(J226,'רשימת רשויות'!A:A,1,0)</f>
        <v>גוש עציון</v>
      </c>
      <c r="Q226" s="956">
        <f>IFERROR(VLOOKUP(B226,[2]מעובד!$D:$K,8,0),0)</f>
        <v>32</v>
      </c>
      <c r="R226" s="956">
        <f>IFERROR(VLOOKUP(B226,[2]מעובד!$D:$L,9,0),0)</f>
        <v>32</v>
      </c>
    </row>
    <row r="227" spans="1:18" x14ac:dyDescent="0.2">
      <c r="A227" s="947" t="s">
        <v>310</v>
      </c>
      <c r="B227" s="947">
        <v>142646</v>
      </c>
      <c r="C227" s="947" t="s">
        <v>2189</v>
      </c>
      <c r="D227" s="947" t="s">
        <v>1290</v>
      </c>
      <c r="E227" s="951">
        <v>180</v>
      </c>
      <c r="F227" s="951">
        <v>180</v>
      </c>
      <c r="G227" s="947" t="s">
        <v>3252</v>
      </c>
      <c r="H227" s="951">
        <v>0</v>
      </c>
      <c r="I227" s="951">
        <v>0</v>
      </c>
      <c r="J227" s="947" t="s">
        <v>310</v>
      </c>
      <c r="K227" s="947">
        <v>142646</v>
      </c>
      <c r="M227" s="631"/>
      <c r="P227" s="950" t="str">
        <f>VLOOKUP(J227,'רשימת רשויות'!A:A,1,0)</f>
        <v>מטה בנימין</v>
      </c>
      <c r="Q227" s="956">
        <f>IFERROR(VLOOKUP(B227,[2]מעובד!$D:$K,8,0),0)</f>
        <v>0</v>
      </c>
      <c r="R227" s="956">
        <f>IFERROR(VLOOKUP(B227,[2]מעובד!$D:$L,9,0),0)</f>
        <v>0</v>
      </c>
    </row>
    <row r="228" spans="1:18" x14ac:dyDescent="0.2">
      <c r="A228" s="947" t="s">
        <v>270</v>
      </c>
      <c r="B228" s="947">
        <v>142729</v>
      </c>
      <c r="C228" s="947" t="s">
        <v>2189</v>
      </c>
      <c r="D228" s="947" t="s">
        <v>2938</v>
      </c>
      <c r="E228" s="951">
        <v>83</v>
      </c>
      <c r="F228" s="951">
        <v>83</v>
      </c>
      <c r="G228" s="947" t="s">
        <v>3252</v>
      </c>
      <c r="H228" s="951">
        <v>0</v>
      </c>
      <c r="I228" s="951">
        <v>0</v>
      </c>
      <c r="J228" s="947" t="s">
        <v>270</v>
      </c>
      <c r="K228" s="947">
        <v>142729</v>
      </c>
      <c r="M228" s="631"/>
      <c r="P228" s="950" t="str">
        <f>VLOOKUP(J228,'רשימת רשויות'!A:A,1,0)</f>
        <v>ירושלים</v>
      </c>
      <c r="Q228" s="956">
        <f>IFERROR(VLOOKUP(B228,[2]מעובד!$D:$K,8,0),0)</f>
        <v>0</v>
      </c>
      <c r="R228" s="956">
        <f>IFERROR(VLOOKUP(B228,[2]מעובד!$D:$L,9,0),0)</f>
        <v>0</v>
      </c>
    </row>
    <row r="229" spans="1:18" x14ac:dyDescent="0.2">
      <c r="A229" s="947" t="s">
        <v>270</v>
      </c>
      <c r="B229" s="947">
        <v>142935</v>
      </c>
      <c r="C229" s="947" t="s">
        <v>2189</v>
      </c>
      <c r="D229" s="947" t="s">
        <v>1291</v>
      </c>
      <c r="E229" s="951">
        <v>200</v>
      </c>
      <c r="F229" s="951">
        <v>191</v>
      </c>
      <c r="G229" s="947" t="s">
        <v>3252</v>
      </c>
      <c r="H229" s="951">
        <v>0</v>
      </c>
      <c r="I229" s="951">
        <v>0</v>
      </c>
      <c r="J229" s="947" t="s">
        <v>270</v>
      </c>
      <c r="K229" s="947">
        <v>142935</v>
      </c>
      <c r="M229" s="631"/>
      <c r="P229" s="950" t="str">
        <f>VLOOKUP(J229,'רשימת רשויות'!A:A,1,0)</f>
        <v>ירושלים</v>
      </c>
      <c r="Q229" s="956">
        <f>IFERROR(VLOOKUP(B229,[2]מעובד!$D:$K,8,0),0)</f>
        <v>198</v>
      </c>
      <c r="R229" s="956">
        <f>IFERROR(VLOOKUP(B229,[2]מעובד!$D:$L,9,0),0)</f>
        <v>198</v>
      </c>
    </row>
    <row r="230" spans="1:18" x14ac:dyDescent="0.2">
      <c r="A230" s="947" t="s">
        <v>310</v>
      </c>
      <c r="B230" s="947">
        <v>143404</v>
      </c>
      <c r="C230" s="947" t="s">
        <v>2189</v>
      </c>
      <c r="D230" s="947" t="s">
        <v>1054</v>
      </c>
      <c r="E230" s="951">
        <v>222</v>
      </c>
      <c r="F230" s="951">
        <v>186</v>
      </c>
      <c r="G230" s="947" t="s">
        <v>159</v>
      </c>
      <c r="H230" s="951">
        <v>147</v>
      </c>
      <c r="I230" s="951">
        <v>6</v>
      </c>
      <c r="J230" s="947" t="s">
        <v>310</v>
      </c>
      <c r="K230" s="947">
        <v>143404</v>
      </c>
      <c r="M230" s="631"/>
      <c r="P230" s="950" t="str">
        <f>VLOOKUP(J230,'רשימת רשויות'!A:A,1,0)</f>
        <v>מטה בנימין</v>
      </c>
      <c r="Q230" s="956">
        <f>IFERROR(VLOOKUP(B230,[2]מעובד!$D:$K,8,0),0)</f>
        <v>212</v>
      </c>
      <c r="R230" s="956">
        <f>IFERROR(VLOOKUP(B230,[2]מעובד!$D:$L,9,0),0)</f>
        <v>30</v>
      </c>
    </row>
    <row r="231" spans="1:18" x14ac:dyDescent="0.2">
      <c r="A231" s="947" t="s">
        <v>270</v>
      </c>
      <c r="B231" s="947">
        <v>143883</v>
      </c>
      <c r="C231" s="947" t="s">
        <v>2189</v>
      </c>
      <c r="D231" s="947" t="s">
        <v>1294</v>
      </c>
      <c r="E231" s="951">
        <v>207</v>
      </c>
      <c r="F231" s="951">
        <v>180</v>
      </c>
      <c r="G231" s="947" t="s">
        <v>3252</v>
      </c>
      <c r="H231" s="951">
        <v>0</v>
      </c>
      <c r="I231" s="951">
        <v>0</v>
      </c>
      <c r="J231" s="947" t="s">
        <v>270</v>
      </c>
      <c r="K231" s="947">
        <v>143883</v>
      </c>
      <c r="M231" s="631"/>
      <c r="P231" s="950" t="str">
        <f>VLOOKUP(J231,'רשימת רשויות'!A:A,1,0)</f>
        <v>ירושלים</v>
      </c>
      <c r="Q231" s="956">
        <f>IFERROR(VLOOKUP(B231,[2]מעובד!$D:$K,8,0),0)</f>
        <v>0</v>
      </c>
      <c r="R231" s="956">
        <f>IFERROR(VLOOKUP(B231,[2]מעובד!$D:$L,9,0),0)</f>
        <v>0</v>
      </c>
    </row>
    <row r="232" spans="1:18" x14ac:dyDescent="0.2">
      <c r="A232" s="947" t="s">
        <v>270</v>
      </c>
      <c r="B232" s="947">
        <v>144287</v>
      </c>
      <c r="C232" s="947" t="s">
        <v>2189</v>
      </c>
      <c r="D232" s="947" t="s">
        <v>1300</v>
      </c>
      <c r="E232" s="951">
        <v>99</v>
      </c>
      <c r="F232" s="951">
        <v>60</v>
      </c>
      <c r="G232" s="947" t="s">
        <v>3252</v>
      </c>
      <c r="H232" s="951">
        <v>99</v>
      </c>
      <c r="I232" s="951">
        <v>32</v>
      </c>
      <c r="J232" s="947" t="s">
        <v>270</v>
      </c>
      <c r="K232" s="947">
        <v>144287</v>
      </c>
      <c r="M232" s="631"/>
      <c r="P232" s="950" t="str">
        <f>VLOOKUP(J232,'רשימת רשויות'!A:A,1,0)</f>
        <v>ירושלים</v>
      </c>
      <c r="Q232" s="956">
        <f>IFERROR(VLOOKUP(B232,[2]מעובד!$D:$K,8,0),0)</f>
        <v>0</v>
      </c>
      <c r="R232" s="956">
        <f>IFERROR(VLOOKUP(B232,[2]מעובד!$D:$L,9,0),0)</f>
        <v>0</v>
      </c>
    </row>
    <row r="233" spans="1:18" x14ac:dyDescent="0.2">
      <c r="A233" s="947" t="s">
        <v>270</v>
      </c>
      <c r="B233" s="947">
        <v>145466</v>
      </c>
      <c r="C233" s="947" t="s">
        <v>2189</v>
      </c>
      <c r="D233" s="947" t="s">
        <v>1292</v>
      </c>
      <c r="E233" s="951">
        <v>122</v>
      </c>
      <c r="F233" s="951">
        <v>106</v>
      </c>
      <c r="G233" s="947" t="s">
        <v>3252</v>
      </c>
      <c r="H233" s="951">
        <v>55</v>
      </c>
      <c r="I233" s="951">
        <v>0</v>
      </c>
      <c r="J233" s="947" t="s">
        <v>270</v>
      </c>
      <c r="K233" s="947">
        <v>145466</v>
      </c>
      <c r="M233" s="631"/>
      <c r="P233" s="950" t="str">
        <f>VLOOKUP(J233,'רשימת רשויות'!A:A,1,0)</f>
        <v>ירושלים</v>
      </c>
      <c r="Q233" s="956">
        <f>IFERROR(VLOOKUP(B233,[2]מעובד!$D:$K,8,0),0)</f>
        <v>0</v>
      </c>
      <c r="R233" s="956">
        <f>IFERROR(VLOOKUP(B233,[2]מעובד!$D:$L,9,0),0)</f>
        <v>0</v>
      </c>
    </row>
    <row r="234" spans="1:18" x14ac:dyDescent="0.2">
      <c r="A234" s="947" t="s">
        <v>270</v>
      </c>
      <c r="B234" s="947">
        <v>148171</v>
      </c>
      <c r="C234" s="947" t="s">
        <v>2189</v>
      </c>
      <c r="D234" s="947" t="s">
        <v>2939</v>
      </c>
      <c r="E234" s="951">
        <v>148</v>
      </c>
      <c r="F234" s="951">
        <v>0</v>
      </c>
      <c r="G234" s="947" t="s">
        <v>3252</v>
      </c>
      <c r="H234" s="951">
        <v>0</v>
      </c>
      <c r="I234" s="951">
        <v>0</v>
      </c>
      <c r="J234" s="947" t="s">
        <v>270</v>
      </c>
      <c r="K234" s="947">
        <v>148171</v>
      </c>
      <c r="M234" s="631"/>
      <c r="P234" s="950" t="str">
        <f>VLOOKUP(J234,'רשימת רשויות'!A:A,1,0)</f>
        <v>ירושלים</v>
      </c>
      <c r="Q234" s="956">
        <f>IFERROR(VLOOKUP(B234,[2]מעובד!$D:$K,8,0),0)</f>
        <v>0</v>
      </c>
      <c r="R234" s="956">
        <f>IFERROR(VLOOKUP(B234,[2]מעובד!$D:$L,9,0),0)</f>
        <v>0</v>
      </c>
    </row>
    <row r="235" spans="1:18" x14ac:dyDescent="0.2">
      <c r="A235" s="947" t="s">
        <v>270</v>
      </c>
      <c r="B235" s="947">
        <v>148254</v>
      </c>
      <c r="C235" s="947" t="s">
        <v>2189</v>
      </c>
      <c r="D235" s="947" t="s">
        <v>1295</v>
      </c>
      <c r="E235" s="951">
        <v>202</v>
      </c>
      <c r="F235" s="951">
        <v>36</v>
      </c>
      <c r="G235" s="947" t="s">
        <v>159</v>
      </c>
      <c r="H235" s="951">
        <v>0</v>
      </c>
      <c r="I235" s="951">
        <v>0</v>
      </c>
      <c r="J235" s="947" t="s">
        <v>270</v>
      </c>
      <c r="K235" s="947">
        <v>148254</v>
      </c>
      <c r="M235" s="631"/>
      <c r="P235" s="950" t="str">
        <f>VLOOKUP(J235,'רשימת רשויות'!A:A,1,0)</f>
        <v>ירושלים</v>
      </c>
      <c r="Q235" s="956">
        <f>IFERROR(VLOOKUP(B235,[2]מעובד!$D:$K,8,0),0)</f>
        <v>0</v>
      </c>
      <c r="R235" s="956">
        <f>IFERROR(VLOOKUP(B235,[2]מעובד!$D:$L,9,0),0)</f>
        <v>0</v>
      </c>
    </row>
    <row r="236" spans="1:18" x14ac:dyDescent="0.2">
      <c r="A236" s="947" t="s">
        <v>270</v>
      </c>
      <c r="B236" s="947">
        <v>148262</v>
      </c>
      <c r="C236" s="947" t="s">
        <v>2189</v>
      </c>
      <c r="D236" s="947" t="s">
        <v>1296</v>
      </c>
      <c r="E236" s="951">
        <v>152</v>
      </c>
      <c r="F236" s="951">
        <v>71</v>
      </c>
      <c r="G236" s="947" t="s">
        <v>159</v>
      </c>
      <c r="H236" s="951">
        <v>0</v>
      </c>
      <c r="I236" s="951">
        <v>0</v>
      </c>
      <c r="J236" s="947" t="s">
        <v>270</v>
      </c>
      <c r="K236" s="947">
        <v>148262</v>
      </c>
      <c r="M236" s="631"/>
      <c r="P236" s="950" t="str">
        <f>VLOOKUP(J236,'רשימת רשויות'!A:A,1,0)</f>
        <v>ירושלים</v>
      </c>
      <c r="Q236" s="956">
        <f>IFERROR(VLOOKUP(B236,[2]מעובד!$D:$K,8,0),0)</f>
        <v>184</v>
      </c>
      <c r="R236" s="956">
        <f>IFERROR(VLOOKUP(B236,[2]מעובד!$D:$L,9,0),0)</f>
        <v>61</v>
      </c>
    </row>
    <row r="237" spans="1:18" x14ac:dyDescent="0.2">
      <c r="A237" s="947" t="s">
        <v>270</v>
      </c>
      <c r="B237" s="947">
        <v>148270</v>
      </c>
      <c r="C237" s="947" t="s">
        <v>2189</v>
      </c>
      <c r="D237" s="947" t="s">
        <v>1297</v>
      </c>
      <c r="E237" s="951">
        <v>383</v>
      </c>
      <c r="F237" s="951">
        <v>5</v>
      </c>
      <c r="G237" s="947" t="s">
        <v>159</v>
      </c>
      <c r="H237" s="951">
        <v>383</v>
      </c>
      <c r="I237" s="951">
        <v>29</v>
      </c>
      <c r="J237" s="947" t="s">
        <v>270</v>
      </c>
      <c r="K237" s="947">
        <v>148270</v>
      </c>
      <c r="M237" s="631"/>
      <c r="P237" s="950" t="str">
        <f>VLOOKUP(J237,'רשימת רשויות'!A:A,1,0)</f>
        <v>ירושלים</v>
      </c>
      <c r="Q237" s="956">
        <f>IFERROR(VLOOKUP(B237,[2]מעובד!$D:$K,8,0),0)</f>
        <v>357</v>
      </c>
      <c r="R237" s="956">
        <f>IFERROR(VLOOKUP(B237,[2]מעובד!$D:$L,9,0),0)</f>
        <v>90</v>
      </c>
    </row>
    <row r="238" spans="1:18" x14ac:dyDescent="0.2">
      <c r="A238" s="947" t="s">
        <v>270</v>
      </c>
      <c r="B238" s="947">
        <v>148288</v>
      </c>
      <c r="C238" s="947" t="s">
        <v>2189</v>
      </c>
      <c r="D238" s="947" t="s">
        <v>1298</v>
      </c>
      <c r="E238" s="951">
        <v>189</v>
      </c>
      <c r="F238" s="951">
        <v>27</v>
      </c>
      <c r="G238" s="947" t="s">
        <v>159</v>
      </c>
      <c r="H238" s="951">
        <v>80</v>
      </c>
      <c r="I238" s="951">
        <v>0</v>
      </c>
      <c r="J238" s="947" t="s">
        <v>270</v>
      </c>
      <c r="K238" s="947">
        <v>148288</v>
      </c>
      <c r="M238" s="631"/>
      <c r="P238" s="950" t="str">
        <f>VLOOKUP(J238,'רשימת רשויות'!A:A,1,0)</f>
        <v>ירושלים</v>
      </c>
      <c r="Q238" s="956">
        <f>IFERROR(VLOOKUP(B238,[2]מעובד!$D:$K,8,0),0)</f>
        <v>265</v>
      </c>
      <c r="R238" s="956">
        <f>IFERROR(VLOOKUP(B238,[2]מעובד!$D:$L,9,0),0)</f>
        <v>74</v>
      </c>
    </row>
    <row r="239" spans="1:18" x14ac:dyDescent="0.2">
      <c r="A239" s="947" t="s">
        <v>196</v>
      </c>
      <c r="B239" s="947">
        <v>160135</v>
      </c>
      <c r="C239" s="947" t="s">
        <v>2189</v>
      </c>
      <c r="D239" s="947" t="s">
        <v>2617</v>
      </c>
      <c r="E239" s="951">
        <v>67</v>
      </c>
      <c r="F239" s="951">
        <v>66</v>
      </c>
      <c r="G239" s="947" t="s">
        <v>3252</v>
      </c>
      <c r="H239" s="951">
        <v>0</v>
      </c>
      <c r="I239" s="951">
        <v>0</v>
      </c>
      <c r="J239" s="947" t="s">
        <v>196</v>
      </c>
      <c r="K239" s="947">
        <v>160135</v>
      </c>
      <c r="M239" s="631"/>
      <c r="P239" s="950" t="str">
        <f>VLOOKUP(J239,'רשימת רשויות'!A:A,1,0)</f>
        <v>בית שמש</v>
      </c>
      <c r="Q239" s="956">
        <f>IFERROR(VLOOKUP(B239,[2]מעובד!$D:$K,8,0),0)</f>
        <v>55</v>
      </c>
      <c r="R239" s="956">
        <f>IFERROR(VLOOKUP(B239,[2]מעובד!$D:$L,9,0),0)</f>
        <v>55</v>
      </c>
    </row>
    <row r="240" spans="1:18" x14ac:dyDescent="0.2">
      <c r="A240" s="947" t="s">
        <v>270</v>
      </c>
      <c r="B240" s="947">
        <v>160192</v>
      </c>
      <c r="C240" s="947" t="s">
        <v>2189</v>
      </c>
      <c r="D240" s="947" t="s">
        <v>1301</v>
      </c>
      <c r="E240" s="951">
        <v>219</v>
      </c>
      <c r="F240" s="951">
        <v>208</v>
      </c>
      <c r="G240" s="947" t="s">
        <v>3252</v>
      </c>
      <c r="H240" s="951">
        <v>0</v>
      </c>
      <c r="I240" s="951">
        <v>0</v>
      </c>
      <c r="J240" s="947" t="s">
        <v>270</v>
      </c>
      <c r="K240" s="947">
        <v>160192</v>
      </c>
      <c r="M240" s="631"/>
      <c r="P240" s="950" t="str">
        <f>VLOOKUP(J240,'רשימת רשויות'!A:A,1,0)</f>
        <v>ירושלים</v>
      </c>
      <c r="Q240" s="956">
        <f>IFERROR(VLOOKUP(B240,[2]מעובד!$D:$K,8,0),0)</f>
        <v>0</v>
      </c>
      <c r="R240" s="956">
        <f>IFERROR(VLOOKUP(B240,[2]מעובד!$D:$L,9,0),0)</f>
        <v>0</v>
      </c>
    </row>
    <row r="241" spans="1:18" x14ac:dyDescent="0.2">
      <c r="A241" s="947" t="s">
        <v>197</v>
      </c>
      <c r="B241" s="947">
        <v>160283</v>
      </c>
      <c r="C241" s="947" t="s">
        <v>2189</v>
      </c>
      <c r="D241" s="947" t="s">
        <v>1150</v>
      </c>
      <c r="E241" s="951">
        <v>150</v>
      </c>
      <c r="F241" s="951">
        <v>150</v>
      </c>
      <c r="G241" s="947" t="s">
        <v>3252</v>
      </c>
      <c r="H241" s="951">
        <v>0</v>
      </c>
      <c r="I241" s="951">
        <v>0</v>
      </c>
      <c r="J241" s="947" t="s">
        <v>197</v>
      </c>
      <c r="K241" s="947">
        <v>160283</v>
      </c>
      <c r="M241" s="631"/>
      <c r="P241" s="950" t="str">
        <f>VLOOKUP(J241,'רשימת רשויות'!A:A,1,0)</f>
        <v>ביתר עילית</v>
      </c>
      <c r="Q241" s="956">
        <f>IFERROR(VLOOKUP(B241,[2]מעובד!$D:$K,8,0),0)</f>
        <v>0</v>
      </c>
      <c r="R241" s="956">
        <f>IFERROR(VLOOKUP(B241,[2]מעובד!$D:$L,9,0),0)</f>
        <v>0</v>
      </c>
    </row>
    <row r="242" spans="1:18" x14ac:dyDescent="0.2">
      <c r="A242" s="947" t="s">
        <v>270</v>
      </c>
      <c r="B242" s="947">
        <v>160317</v>
      </c>
      <c r="C242" s="947" t="s">
        <v>2189</v>
      </c>
      <c r="D242" s="947" t="s">
        <v>1303</v>
      </c>
      <c r="E242" s="951">
        <v>198</v>
      </c>
      <c r="F242" s="951">
        <v>179</v>
      </c>
      <c r="G242" s="947" t="s">
        <v>3252</v>
      </c>
      <c r="H242" s="951">
        <v>0</v>
      </c>
      <c r="I242" s="951">
        <v>0</v>
      </c>
      <c r="J242" s="947" t="s">
        <v>270</v>
      </c>
      <c r="K242" s="947">
        <v>160317</v>
      </c>
      <c r="M242" s="631"/>
      <c r="P242" s="950" t="str">
        <f>VLOOKUP(J242,'רשימת רשויות'!A:A,1,0)</f>
        <v>ירושלים</v>
      </c>
      <c r="Q242" s="956">
        <f>IFERROR(VLOOKUP(B242,[2]מעובד!$D:$K,8,0),0)</f>
        <v>0</v>
      </c>
      <c r="R242" s="956">
        <f>IFERROR(VLOOKUP(B242,[2]מעובד!$D:$L,9,0),0)</f>
        <v>0</v>
      </c>
    </row>
    <row r="243" spans="1:18" x14ac:dyDescent="0.2">
      <c r="A243" s="947" t="s">
        <v>270</v>
      </c>
      <c r="B243" s="947">
        <v>160341</v>
      </c>
      <c r="C243" s="947" t="s">
        <v>2189</v>
      </c>
      <c r="D243" s="947" t="s">
        <v>1304</v>
      </c>
      <c r="E243" s="951">
        <v>174</v>
      </c>
      <c r="F243" s="951">
        <v>174</v>
      </c>
      <c r="G243" s="947" t="s">
        <v>3252</v>
      </c>
      <c r="H243" s="951">
        <v>0</v>
      </c>
      <c r="I243" s="951">
        <v>0</v>
      </c>
      <c r="J243" s="947" t="s">
        <v>270</v>
      </c>
      <c r="K243" s="947">
        <v>160341</v>
      </c>
      <c r="M243" s="631"/>
      <c r="P243" s="950" t="str">
        <f>VLOOKUP(J243,'רשימת רשויות'!A:A,1,0)</f>
        <v>ירושלים</v>
      </c>
      <c r="Q243" s="956">
        <f>IFERROR(VLOOKUP(B243,[2]מעובד!$D:$K,8,0),0)</f>
        <v>0</v>
      </c>
      <c r="R243" s="956">
        <f>IFERROR(VLOOKUP(B243,[2]מעובד!$D:$L,9,0),0)</f>
        <v>0</v>
      </c>
    </row>
    <row r="244" spans="1:18" x14ac:dyDescent="0.2">
      <c r="A244" s="947" t="s">
        <v>270</v>
      </c>
      <c r="B244" s="947">
        <v>160382</v>
      </c>
      <c r="C244" s="947" t="s">
        <v>2189</v>
      </c>
      <c r="D244" s="947" t="s">
        <v>1305</v>
      </c>
      <c r="E244" s="951">
        <v>121</v>
      </c>
      <c r="F244" s="951">
        <v>120</v>
      </c>
      <c r="G244" s="947" t="s">
        <v>3252</v>
      </c>
      <c r="H244" s="951">
        <v>0</v>
      </c>
      <c r="I244" s="951">
        <v>0</v>
      </c>
      <c r="J244" s="947" t="s">
        <v>270</v>
      </c>
      <c r="K244" s="947">
        <v>160382</v>
      </c>
      <c r="M244" s="631"/>
      <c r="P244" s="950" t="str">
        <f>VLOOKUP(J244,'רשימת רשויות'!A:A,1,0)</f>
        <v>ירושלים</v>
      </c>
      <c r="Q244" s="956">
        <f>IFERROR(VLOOKUP(B244,[2]מעובד!$D:$K,8,0),0)</f>
        <v>0</v>
      </c>
      <c r="R244" s="956">
        <f>IFERROR(VLOOKUP(B244,[2]מעובד!$D:$L,9,0),0)</f>
        <v>0</v>
      </c>
    </row>
    <row r="245" spans="1:18" x14ac:dyDescent="0.2">
      <c r="A245" s="947" t="s">
        <v>196</v>
      </c>
      <c r="B245" s="947">
        <v>160424</v>
      </c>
      <c r="C245" s="947" t="s">
        <v>2189</v>
      </c>
      <c r="D245" s="947" t="s">
        <v>1307</v>
      </c>
      <c r="E245" s="951">
        <v>71</v>
      </c>
      <c r="F245" s="951">
        <v>71</v>
      </c>
      <c r="G245" s="947" t="s">
        <v>3252</v>
      </c>
      <c r="H245" s="951">
        <v>0</v>
      </c>
      <c r="I245" s="951">
        <v>0</v>
      </c>
      <c r="J245" s="947" t="s">
        <v>196</v>
      </c>
      <c r="K245" s="947">
        <v>160424</v>
      </c>
      <c r="M245" s="631"/>
      <c r="P245" s="950" t="str">
        <f>VLOOKUP(J245,'רשימת רשויות'!A:A,1,0)</f>
        <v>בית שמש</v>
      </c>
      <c r="Q245" s="956">
        <f>IFERROR(VLOOKUP(B245,[2]מעובד!$D:$K,8,0),0)</f>
        <v>0</v>
      </c>
      <c r="R245" s="956">
        <f>IFERROR(VLOOKUP(B245,[2]מעובד!$D:$L,9,0),0)</f>
        <v>0</v>
      </c>
    </row>
    <row r="246" spans="1:18" x14ac:dyDescent="0.2">
      <c r="A246" s="947" t="s">
        <v>270</v>
      </c>
      <c r="B246" s="947">
        <v>160473</v>
      </c>
      <c r="C246" s="947" t="s">
        <v>2189</v>
      </c>
      <c r="D246" s="947" t="s">
        <v>2203</v>
      </c>
      <c r="E246" s="951">
        <v>198</v>
      </c>
      <c r="F246" s="951">
        <v>36</v>
      </c>
      <c r="G246" s="947" t="s">
        <v>159</v>
      </c>
      <c r="H246" s="951">
        <v>0</v>
      </c>
      <c r="I246" s="951">
        <v>0</v>
      </c>
      <c r="J246" s="947" t="s">
        <v>270</v>
      </c>
      <c r="K246" s="947">
        <v>160473</v>
      </c>
      <c r="M246" s="631"/>
      <c r="P246" s="950" t="str">
        <f>VLOOKUP(J246,'רשימת רשויות'!A:A,1,0)</f>
        <v>ירושלים</v>
      </c>
      <c r="Q246" s="956">
        <f>IFERROR(VLOOKUP(B246,[2]מעובד!$D:$K,8,0),0)</f>
        <v>252</v>
      </c>
      <c r="R246" s="956">
        <f>IFERROR(VLOOKUP(B246,[2]מעובד!$D:$L,9,0),0)</f>
        <v>60</v>
      </c>
    </row>
    <row r="247" spans="1:18" x14ac:dyDescent="0.2">
      <c r="A247" s="947" t="s">
        <v>310</v>
      </c>
      <c r="B247" s="947">
        <v>160481</v>
      </c>
      <c r="C247" s="947" t="s">
        <v>2189</v>
      </c>
      <c r="D247" s="947" t="s">
        <v>1055</v>
      </c>
      <c r="E247" s="951">
        <v>56</v>
      </c>
      <c r="F247" s="951">
        <v>30</v>
      </c>
      <c r="G247" s="947" t="s">
        <v>159</v>
      </c>
      <c r="H247" s="951">
        <v>46</v>
      </c>
      <c r="I247" s="951">
        <v>12</v>
      </c>
      <c r="J247" s="947" t="s">
        <v>310</v>
      </c>
      <c r="K247" s="947">
        <v>160481</v>
      </c>
      <c r="M247" s="631"/>
      <c r="P247" s="950" t="str">
        <f>VLOOKUP(J247,'רשימת רשויות'!A:A,1,0)</f>
        <v>מטה בנימין</v>
      </c>
      <c r="Q247" s="956">
        <f>IFERROR(VLOOKUP(B247,[2]מעובד!$D:$K,8,0),0)</f>
        <v>46</v>
      </c>
      <c r="R247" s="956">
        <f>IFERROR(VLOOKUP(B247,[2]מעובד!$D:$L,9,0),0)</f>
        <v>46</v>
      </c>
    </row>
    <row r="248" spans="1:18" x14ac:dyDescent="0.2">
      <c r="A248" s="947" t="s">
        <v>317</v>
      </c>
      <c r="B248" s="947">
        <v>160499</v>
      </c>
      <c r="C248" s="947" t="s">
        <v>2189</v>
      </c>
      <c r="D248" s="947" t="s">
        <v>1056</v>
      </c>
      <c r="E248" s="951">
        <v>135</v>
      </c>
      <c r="F248" s="951">
        <v>82</v>
      </c>
      <c r="G248" s="947" t="s">
        <v>159</v>
      </c>
      <c r="H248" s="951">
        <v>92</v>
      </c>
      <c r="I248" s="951">
        <v>16</v>
      </c>
      <c r="J248" s="947" t="s">
        <v>317</v>
      </c>
      <c r="K248" s="947">
        <v>160499</v>
      </c>
      <c r="M248" s="631"/>
      <c r="P248" s="950" t="str">
        <f>VLOOKUP(J248,'רשימת רשויות'!A:A,1,0)</f>
        <v>מעלה אדומים</v>
      </c>
      <c r="Q248" s="956">
        <f>IFERROR(VLOOKUP(B248,[2]מעובד!$D:$K,8,0),0)</f>
        <v>171</v>
      </c>
      <c r="R248" s="956">
        <f>IFERROR(VLOOKUP(B248,[2]מעובד!$D:$L,9,0),0)</f>
        <v>55</v>
      </c>
    </row>
    <row r="249" spans="1:18" x14ac:dyDescent="0.2">
      <c r="A249" s="947" t="s">
        <v>270</v>
      </c>
      <c r="B249" s="947">
        <v>160531</v>
      </c>
      <c r="C249" s="947" t="s">
        <v>2189</v>
      </c>
      <c r="D249" s="947" t="s">
        <v>1308</v>
      </c>
      <c r="E249" s="951">
        <v>387</v>
      </c>
      <c r="F249" s="951">
        <v>377</v>
      </c>
      <c r="G249" s="947" t="s">
        <v>159</v>
      </c>
      <c r="H249" s="951">
        <v>142</v>
      </c>
      <c r="I249" s="951">
        <v>10</v>
      </c>
      <c r="J249" s="947" t="s">
        <v>270</v>
      </c>
      <c r="K249" s="947">
        <v>160531</v>
      </c>
      <c r="M249" s="631"/>
      <c r="P249" s="950" t="str">
        <f>VLOOKUP(J249,'רשימת רשויות'!A:A,1,0)</f>
        <v>ירושלים</v>
      </c>
      <c r="Q249" s="956">
        <f>IFERROR(VLOOKUP(B249,[2]מעובד!$D:$K,8,0),0)</f>
        <v>427</v>
      </c>
      <c r="R249" s="956">
        <f>IFERROR(VLOOKUP(B249,[2]מעובד!$D:$L,9,0),0)</f>
        <v>330</v>
      </c>
    </row>
    <row r="250" spans="1:18" x14ac:dyDescent="0.2">
      <c r="A250" s="947" t="s">
        <v>317</v>
      </c>
      <c r="B250" s="947">
        <v>160564</v>
      </c>
      <c r="C250" s="947" t="s">
        <v>2189</v>
      </c>
      <c r="D250" s="947" t="s">
        <v>2940</v>
      </c>
      <c r="E250" s="951">
        <v>78</v>
      </c>
      <c r="F250" s="951">
        <v>76</v>
      </c>
      <c r="G250" s="947" t="s">
        <v>3252</v>
      </c>
      <c r="H250" s="951">
        <v>0</v>
      </c>
      <c r="I250" s="951">
        <v>0</v>
      </c>
      <c r="J250" s="947" t="s">
        <v>317</v>
      </c>
      <c r="K250" s="947">
        <v>160564</v>
      </c>
      <c r="M250" s="631"/>
      <c r="P250" s="950" t="str">
        <f>VLOOKUP(J250,'רשימת רשויות'!A:A,1,0)</f>
        <v>מעלה אדומים</v>
      </c>
      <c r="Q250" s="956">
        <f>IFERROR(VLOOKUP(B250,[2]מעובד!$D:$K,8,0),0)</f>
        <v>0</v>
      </c>
      <c r="R250" s="956">
        <f>IFERROR(VLOOKUP(B250,[2]מעובד!$D:$L,9,0),0)</f>
        <v>0</v>
      </c>
    </row>
    <row r="251" spans="1:18" x14ac:dyDescent="0.2">
      <c r="A251" s="947" t="s">
        <v>270</v>
      </c>
      <c r="B251" s="947">
        <v>160614</v>
      </c>
      <c r="C251" s="947" t="s">
        <v>2189</v>
      </c>
      <c r="D251" s="947" t="s">
        <v>1285</v>
      </c>
      <c r="E251" s="951">
        <v>793</v>
      </c>
      <c r="F251" s="951">
        <v>786</v>
      </c>
      <c r="G251" s="947" t="s">
        <v>3252</v>
      </c>
      <c r="H251" s="951">
        <v>0</v>
      </c>
      <c r="I251" s="951">
        <v>0</v>
      </c>
      <c r="J251" s="947" t="s">
        <v>270</v>
      </c>
      <c r="K251" s="947">
        <v>160614</v>
      </c>
      <c r="M251" s="631"/>
      <c r="P251" s="950" t="str">
        <f>VLOOKUP(J251,'רשימת רשויות'!A:A,1,0)</f>
        <v>ירושלים</v>
      </c>
      <c r="Q251" s="956">
        <f>IFERROR(VLOOKUP(B251,[2]מעובד!$D:$K,8,0),0)</f>
        <v>0</v>
      </c>
      <c r="R251" s="956">
        <f>IFERROR(VLOOKUP(B251,[2]מעובד!$D:$L,9,0),0)</f>
        <v>0</v>
      </c>
    </row>
    <row r="252" spans="1:18" x14ac:dyDescent="0.2">
      <c r="A252" s="947" t="s">
        <v>270</v>
      </c>
      <c r="B252" s="947">
        <v>160630</v>
      </c>
      <c r="C252" s="947" t="s">
        <v>2189</v>
      </c>
      <c r="D252" s="947" t="s">
        <v>1286</v>
      </c>
      <c r="E252" s="951">
        <v>99</v>
      </c>
      <c r="F252" s="951">
        <v>97</v>
      </c>
      <c r="G252" s="947" t="s">
        <v>3252</v>
      </c>
      <c r="H252" s="951">
        <v>0</v>
      </c>
      <c r="I252" s="951">
        <v>0</v>
      </c>
      <c r="J252" s="947" t="s">
        <v>270</v>
      </c>
      <c r="K252" s="947">
        <v>160630</v>
      </c>
      <c r="M252" s="631"/>
      <c r="P252" s="950" t="str">
        <f>VLOOKUP(J252,'רשימת רשויות'!A:A,1,0)</f>
        <v>ירושלים</v>
      </c>
      <c r="Q252" s="956">
        <f>IFERROR(VLOOKUP(B252,[2]מעובד!$D:$K,8,0),0)</f>
        <v>80</v>
      </c>
      <c r="R252" s="956">
        <f>IFERROR(VLOOKUP(B252,[2]מעובד!$D:$L,9,0),0)</f>
        <v>80</v>
      </c>
    </row>
    <row r="253" spans="1:18" x14ac:dyDescent="0.2">
      <c r="A253" s="947" t="s">
        <v>270</v>
      </c>
      <c r="B253" s="947">
        <v>160671</v>
      </c>
      <c r="C253" s="947" t="s">
        <v>2189</v>
      </c>
      <c r="D253" s="947" t="s">
        <v>1287</v>
      </c>
      <c r="E253" s="951">
        <v>105</v>
      </c>
      <c r="F253" s="951">
        <v>71</v>
      </c>
      <c r="G253" s="947" t="s">
        <v>3252</v>
      </c>
      <c r="H253" s="951">
        <v>0</v>
      </c>
      <c r="I253" s="951">
        <v>0</v>
      </c>
      <c r="J253" s="947" t="s">
        <v>270</v>
      </c>
      <c r="K253" s="947">
        <v>160671</v>
      </c>
      <c r="M253" s="631"/>
      <c r="P253" s="950" t="str">
        <f>VLOOKUP(J253,'רשימת רשויות'!A:A,1,0)</f>
        <v>ירושלים</v>
      </c>
      <c r="Q253" s="956">
        <f>IFERROR(VLOOKUP(B253,[2]מעובד!$D:$K,8,0),0)</f>
        <v>0</v>
      </c>
      <c r="R253" s="956">
        <f>IFERROR(VLOOKUP(B253,[2]מעובד!$D:$L,9,0),0)</f>
        <v>0</v>
      </c>
    </row>
    <row r="254" spans="1:18" x14ac:dyDescent="0.2">
      <c r="A254" s="947" t="s">
        <v>305</v>
      </c>
      <c r="B254" s="947">
        <v>160697</v>
      </c>
      <c r="C254" s="947" t="s">
        <v>2189</v>
      </c>
      <c r="D254" s="947" t="s">
        <v>1053</v>
      </c>
      <c r="E254" s="951">
        <v>259</v>
      </c>
      <c r="F254" s="951">
        <v>170</v>
      </c>
      <c r="G254" s="947" t="s">
        <v>159</v>
      </c>
      <c r="H254" s="951">
        <v>259</v>
      </c>
      <c r="I254" s="951">
        <v>25</v>
      </c>
      <c r="J254" s="947" t="s">
        <v>305</v>
      </c>
      <c r="K254" s="947">
        <v>160697</v>
      </c>
      <c r="M254" s="631"/>
      <c r="P254" s="950" t="str">
        <f>VLOOKUP(J254,'רשימת רשויות'!A:A,1,0)</f>
        <v>מודיעין מכבים רעות</v>
      </c>
      <c r="Q254" s="956">
        <f>IFERROR(VLOOKUP(B254,[2]מעובד!$D:$K,8,0),0)</f>
        <v>343</v>
      </c>
      <c r="R254" s="956">
        <f>IFERROR(VLOOKUP(B254,[2]מעובד!$D:$L,9,0),0)</f>
        <v>91</v>
      </c>
    </row>
    <row r="255" spans="1:18" x14ac:dyDescent="0.2">
      <c r="A255" s="947" t="s">
        <v>270</v>
      </c>
      <c r="B255" s="947">
        <v>160739</v>
      </c>
      <c r="C255" s="947" t="s">
        <v>2189</v>
      </c>
      <c r="D255" s="947" t="s">
        <v>2941</v>
      </c>
      <c r="E255" s="951">
        <v>446</v>
      </c>
      <c r="F255" s="951">
        <v>0</v>
      </c>
      <c r="G255" s="947" t="s">
        <v>3252</v>
      </c>
      <c r="H255" s="951">
        <v>0</v>
      </c>
      <c r="I255" s="951">
        <v>0</v>
      </c>
      <c r="J255" s="947" t="s">
        <v>270</v>
      </c>
      <c r="K255" s="947">
        <v>160739</v>
      </c>
      <c r="M255" s="631"/>
      <c r="P255" s="950" t="str">
        <f>VLOOKUP(J255,'רשימת רשויות'!A:A,1,0)</f>
        <v>ירושלים</v>
      </c>
      <c r="Q255" s="956">
        <f>IFERROR(VLOOKUP(B255,[2]מעובד!$D:$K,8,0),0)</f>
        <v>0</v>
      </c>
      <c r="R255" s="956">
        <f>IFERROR(VLOOKUP(B255,[2]מעובד!$D:$L,9,0),0)</f>
        <v>0</v>
      </c>
    </row>
    <row r="256" spans="1:18" x14ac:dyDescent="0.2">
      <c r="A256" s="947" t="s">
        <v>270</v>
      </c>
      <c r="B256" s="947">
        <v>162594</v>
      </c>
      <c r="C256" s="947" t="s">
        <v>2189</v>
      </c>
      <c r="D256" s="947" t="s">
        <v>1299</v>
      </c>
      <c r="E256" s="951">
        <v>132</v>
      </c>
      <c r="F256" s="951">
        <v>51</v>
      </c>
      <c r="G256" s="947" t="s">
        <v>159</v>
      </c>
      <c r="H256" s="951">
        <v>0</v>
      </c>
      <c r="I256" s="951">
        <v>0</v>
      </c>
      <c r="J256" s="947" t="s">
        <v>270</v>
      </c>
      <c r="K256" s="947">
        <v>162594</v>
      </c>
      <c r="M256" s="631"/>
      <c r="P256" s="950" t="str">
        <f>VLOOKUP(J256,'רשימת רשויות'!A:A,1,0)</f>
        <v>ירושלים</v>
      </c>
      <c r="Q256" s="956">
        <f>IFERROR(VLOOKUP(B256,[2]מעובד!$D:$K,8,0),0)</f>
        <v>134</v>
      </c>
      <c r="R256" s="956">
        <f>IFERROR(VLOOKUP(B256,[2]מעובד!$D:$L,9,0),0)</f>
        <v>37</v>
      </c>
    </row>
    <row r="257" spans="1:18" x14ac:dyDescent="0.2">
      <c r="A257" s="947" t="s">
        <v>197</v>
      </c>
      <c r="B257" s="947">
        <v>163022</v>
      </c>
      <c r="C257" s="947" t="s">
        <v>2189</v>
      </c>
      <c r="D257" s="947" t="s">
        <v>1302</v>
      </c>
      <c r="E257" s="951">
        <v>160</v>
      </c>
      <c r="F257" s="951">
        <v>160</v>
      </c>
      <c r="G257" s="947" t="s">
        <v>3252</v>
      </c>
      <c r="H257" s="951">
        <v>0</v>
      </c>
      <c r="I257" s="951">
        <v>0</v>
      </c>
      <c r="J257" s="947" t="s">
        <v>197</v>
      </c>
      <c r="K257" s="947">
        <v>163022</v>
      </c>
      <c r="M257" s="631"/>
      <c r="P257" s="950" t="str">
        <f>VLOOKUP(J257,'רשימת רשויות'!A:A,1,0)</f>
        <v>ביתר עילית</v>
      </c>
      <c r="Q257" s="956">
        <f>IFERROR(VLOOKUP(B257,[2]מעובד!$D:$K,8,0),0)</f>
        <v>0</v>
      </c>
      <c r="R257" s="956">
        <f>IFERROR(VLOOKUP(B257,[2]מעובד!$D:$L,9,0),0)</f>
        <v>0</v>
      </c>
    </row>
    <row r="258" spans="1:18" x14ac:dyDescent="0.2">
      <c r="A258" s="947" t="s">
        <v>270</v>
      </c>
      <c r="B258" s="947">
        <v>163931</v>
      </c>
      <c r="C258" s="947" t="s">
        <v>2189</v>
      </c>
      <c r="D258" s="947" t="s">
        <v>1448</v>
      </c>
      <c r="E258" s="951">
        <v>92</v>
      </c>
      <c r="F258" s="951">
        <v>92</v>
      </c>
      <c r="G258" s="947" t="s">
        <v>3252</v>
      </c>
      <c r="H258" s="951">
        <v>0</v>
      </c>
      <c r="I258" s="951">
        <v>0</v>
      </c>
      <c r="J258" s="947" t="s">
        <v>270</v>
      </c>
      <c r="K258" s="947">
        <v>163931</v>
      </c>
      <c r="M258" s="631"/>
      <c r="P258" s="950" t="str">
        <f>VLOOKUP(J258,'רשימת רשויות'!A:A,1,0)</f>
        <v>ירושלים</v>
      </c>
      <c r="Q258" s="956">
        <f>IFERROR(VLOOKUP(B258,[2]מעובד!$D:$K,8,0),0)</f>
        <v>0</v>
      </c>
      <c r="R258" s="956">
        <f>IFERROR(VLOOKUP(B258,[2]מעובד!$D:$L,9,0),0)</f>
        <v>0</v>
      </c>
    </row>
    <row r="259" spans="1:18" x14ac:dyDescent="0.2">
      <c r="A259" s="948" t="s">
        <v>197</v>
      </c>
      <c r="B259" s="948">
        <v>164186</v>
      </c>
      <c r="C259" s="948" t="s">
        <v>2189</v>
      </c>
      <c r="D259" s="948" t="s">
        <v>1288</v>
      </c>
      <c r="E259" s="951">
        <v>63</v>
      </c>
      <c r="F259" s="951">
        <v>56</v>
      </c>
      <c r="G259" s="948" t="s">
        <v>3252</v>
      </c>
      <c r="H259" s="951">
        <v>28</v>
      </c>
      <c r="I259" s="951">
        <v>7</v>
      </c>
      <c r="J259" s="948" t="s">
        <v>197</v>
      </c>
      <c r="K259" s="948">
        <v>164186</v>
      </c>
      <c r="M259" s="633"/>
      <c r="P259" s="950" t="str">
        <f>VLOOKUP(J259,'רשימת רשויות'!A:A,1,0)</f>
        <v>ביתר עילית</v>
      </c>
      <c r="Q259" s="956">
        <f>IFERROR(VLOOKUP(B259,[2]מעובד!$D:$K,8,0),0)</f>
        <v>0</v>
      </c>
      <c r="R259" s="956">
        <f>IFERROR(VLOOKUP(B259,[2]מעובד!$D:$L,9,0),0)</f>
        <v>0</v>
      </c>
    </row>
    <row r="260" spans="1:18" x14ac:dyDescent="0.2">
      <c r="A260" s="947" t="s">
        <v>197</v>
      </c>
      <c r="B260" s="947">
        <v>164673</v>
      </c>
      <c r="C260" s="947" t="s">
        <v>2189</v>
      </c>
      <c r="D260" s="947" t="s">
        <v>1354</v>
      </c>
      <c r="E260" s="951">
        <v>81</v>
      </c>
      <c r="F260" s="951">
        <v>81</v>
      </c>
      <c r="G260" s="947" t="s">
        <v>3252</v>
      </c>
      <c r="H260" s="951">
        <v>0</v>
      </c>
      <c r="I260" s="951">
        <v>0</v>
      </c>
      <c r="J260" s="947" t="s">
        <v>197</v>
      </c>
      <c r="K260" s="947">
        <v>164673</v>
      </c>
      <c r="M260" s="631"/>
      <c r="P260" s="950" t="str">
        <f>VLOOKUP(J260,'רשימת רשויות'!A:A,1,0)</f>
        <v>ביתר עילית</v>
      </c>
      <c r="Q260" s="956">
        <f>IFERROR(VLOOKUP(B260,[2]מעובד!$D:$K,8,0),0)</f>
        <v>0</v>
      </c>
      <c r="R260" s="956">
        <f>IFERROR(VLOOKUP(B260,[2]מעובד!$D:$L,9,0),0)</f>
        <v>0</v>
      </c>
    </row>
    <row r="261" spans="1:18" x14ac:dyDescent="0.2">
      <c r="A261" s="947" t="s">
        <v>270</v>
      </c>
      <c r="B261" s="947">
        <v>165126</v>
      </c>
      <c r="C261" s="947" t="s">
        <v>2189</v>
      </c>
      <c r="D261" s="947" t="s">
        <v>1355</v>
      </c>
      <c r="E261" s="951">
        <v>148</v>
      </c>
      <c r="F261" s="951">
        <v>125</v>
      </c>
      <c r="G261" s="947" t="s">
        <v>3252</v>
      </c>
      <c r="H261" s="951">
        <v>52</v>
      </c>
      <c r="I261" s="951">
        <v>9</v>
      </c>
      <c r="J261" s="947" t="s">
        <v>270</v>
      </c>
      <c r="K261" s="947">
        <v>165126</v>
      </c>
      <c r="M261" s="631"/>
      <c r="P261" s="950" t="str">
        <f>VLOOKUP(J261,'רשימת רשויות'!A:A,1,0)</f>
        <v>ירושלים</v>
      </c>
      <c r="Q261" s="956">
        <f>IFERROR(VLOOKUP(B261,[2]מעובד!$D:$K,8,0),0)</f>
        <v>0</v>
      </c>
      <c r="R261" s="956">
        <f>IFERROR(VLOOKUP(B261,[2]מעובד!$D:$L,9,0),0)</f>
        <v>0</v>
      </c>
    </row>
    <row r="262" spans="1:18" x14ac:dyDescent="0.2">
      <c r="A262" s="947" t="s">
        <v>310</v>
      </c>
      <c r="B262" s="947">
        <v>165324</v>
      </c>
      <c r="C262" s="947" t="s">
        <v>2189</v>
      </c>
      <c r="D262" s="947" t="s">
        <v>1074</v>
      </c>
      <c r="E262" s="951">
        <v>145</v>
      </c>
      <c r="F262" s="951">
        <v>128</v>
      </c>
      <c r="G262" s="947" t="s">
        <v>159</v>
      </c>
      <c r="H262" s="951">
        <v>90</v>
      </c>
      <c r="I262" s="951">
        <v>12</v>
      </c>
      <c r="J262" s="947" t="s">
        <v>310</v>
      </c>
      <c r="K262" s="947">
        <v>165324</v>
      </c>
      <c r="M262" s="631"/>
      <c r="P262" s="950" t="str">
        <f>VLOOKUP(J262,'רשימת רשויות'!A:A,1,0)</f>
        <v>מטה בנימין</v>
      </c>
      <c r="Q262" s="956">
        <f>IFERROR(VLOOKUP(B262,[2]מעובד!$D:$K,8,0),0)</f>
        <v>126</v>
      </c>
      <c r="R262" s="956">
        <f>IFERROR(VLOOKUP(B262,[2]מעובד!$D:$L,9,0),0)</f>
        <v>46</v>
      </c>
    </row>
    <row r="263" spans="1:18" x14ac:dyDescent="0.2">
      <c r="A263" s="947" t="s">
        <v>196</v>
      </c>
      <c r="B263" s="947">
        <v>165605</v>
      </c>
      <c r="C263" s="947" t="s">
        <v>2189</v>
      </c>
      <c r="D263" s="947" t="s">
        <v>1378</v>
      </c>
      <c r="E263" s="951">
        <v>288</v>
      </c>
      <c r="F263" s="951">
        <v>280</v>
      </c>
      <c r="G263" s="947" t="s">
        <v>3252</v>
      </c>
      <c r="H263" s="951">
        <v>101</v>
      </c>
      <c r="I263" s="951">
        <v>8</v>
      </c>
      <c r="J263" s="947" t="s">
        <v>196</v>
      </c>
      <c r="K263" s="947">
        <v>165605</v>
      </c>
      <c r="M263" s="631"/>
      <c r="P263" s="950" t="str">
        <f>VLOOKUP(J263,'רשימת רשויות'!A:A,1,0)</f>
        <v>בית שמש</v>
      </c>
      <c r="Q263" s="956">
        <f>IFERROR(VLOOKUP(B263,[2]מעובד!$D:$K,8,0),0)</f>
        <v>0</v>
      </c>
      <c r="R263" s="956">
        <f>IFERROR(VLOOKUP(B263,[2]מעובד!$D:$L,9,0),0)</f>
        <v>0</v>
      </c>
    </row>
    <row r="264" spans="1:18" x14ac:dyDescent="0.2">
      <c r="A264" s="947" t="s">
        <v>310</v>
      </c>
      <c r="B264" s="947">
        <v>166074</v>
      </c>
      <c r="C264" s="947" t="s">
        <v>2189</v>
      </c>
      <c r="D264" s="947" t="s">
        <v>1081</v>
      </c>
      <c r="E264" s="951">
        <v>186</v>
      </c>
      <c r="F264" s="951">
        <v>157</v>
      </c>
      <c r="G264" s="947" t="s">
        <v>159</v>
      </c>
      <c r="H264" s="951">
        <v>124</v>
      </c>
      <c r="I264" s="951">
        <v>12</v>
      </c>
      <c r="J264" s="947" t="s">
        <v>310</v>
      </c>
      <c r="K264" s="947">
        <v>166074</v>
      </c>
      <c r="M264" s="631"/>
      <c r="P264" s="950" t="str">
        <f>VLOOKUP(J264,'רשימת רשויות'!A:A,1,0)</f>
        <v>מטה בנימין</v>
      </c>
      <c r="Q264" s="956">
        <f>IFERROR(VLOOKUP(B264,[2]מעובד!$D:$K,8,0),0)</f>
        <v>0</v>
      </c>
      <c r="R264" s="956">
        <f>IFERROR(VLOOKUP(B264,[2]מעובד!$D:$L,9,0),0)</f>
        <v>0</v>
      </c>
    </row>
    <row r="265" spans="1:18" x14ac:dyDescent="0.2">
      <c r="A265" s="947" t="s">
        <v>310</v>
      </c>
      <c r="B265" s="947">
        <v>166470</v>
      </c>
      <c r="C265" s="947" t="s">
        <v>2189</v>
      </c>
      <c r="D265" s="947" t="s">
        <v>1094</v>
      </c>
      <c r="E265" s="951">
        <v>125</v>
      </c>
      <c r="F265" s="951">
        <v>121</v>
      </c>
      <c r="G265" s="947" t="s">
        <v>159</v>
      </c>
      <c r="H265" s="951">
        <v>0</v>
      </c>
      <c r="I265" s="951">
        <v>0</v>
      </c>
      <c r="J265" s="947" t="s">
        <v>310</v>
      </c>
      <c r="K265" s="947">
        <v>166470</v>
      </c>
      <c r="M265" s="631"/>
      <c r="P265" s="950" t="str">
        <f>VLOOKUP(J265,'רשימת רשויות'!A:A,1,0)</f>
        <v>מטה בנימין</v>
      </c>
      <c r="Q265" s="956">
        <f>IFERROR(VLOOKUP(B265,[2]מעובד!$D:$K,8,0),0)</f>
        <v>119</v>
      </c>
      <c r="R265" s="956">
        <f>IFERROR(VLOOKUP(B265,[2]מעובד!$D:$L,9,0),0)</f>
        <v>52</v>
      </c>
    </row>
    <row r="266" spans="1:18" x14ac:dyDescent="0.2">
      <c r="A266" s="947" t="s">
        <v>270</v>
      </c>
      <c r="B266" s="947">
        <v>167015</v>
      </c>
      <c r="C266" s="947" t="s">
        <v>2189</v>
      </c>
      <c r="D266" s="947" t="s">
        <v>1289</v>
      </c>
      <c r="E266" s="951">
        <v>836</v>
      </c>
      <c r="F266" s="951">
        <v>815</v>
      </c>
      <c r="G266" s="947" t="s">
        <v>3252</v>
      </c>
      <c r="H266" s="951">
        <v>328</v>
      </c>
      <c r="I266" s="951">
        <v>10</v>
      </c>
      <c r="J266" s="947" t="s">
        <v>270</v>
      </c>
      <c r="K266" s="947">
        <v>167015</v>
      </c>
      <c r="M266" s="631"/>
      <c r="P266" s="950" t="str">
        <f>VLOOKUP(J266,'רשימת רשויות'!A:A,1,0)</f>
        <v>ירושלים</v>
      </c>
      <c r="Q266" s="956">
        <f>IFERROR(VLOOKUP(B266,[2]מעובד!$D:$K,8,0),0)</f>
        <v>0</v>
      </c>
      <c r="R266" s="956">
        <f>IFERROR(VLOOKUP(B266,[2]מעובד!$D:$L,9,0),0)</f>
        <v>0</v>
      </c>
    </row>
    <row r="267" spans="1:18" x14ac:dyDescent="0.2">
      <c r="A267" s="947" t="s">
        <v>270</v>
      </c>
      <c r="B267" s="947">
        <v>168021</v>
      </c>
      <c r="C267" s="947" t="s">
        <v>2189</v>
      </c>
      <c r="D267" s="947" t="s">
        <v>2942</v>
      </c>
      <c r="E267" s="951">
        <v>181</v>
      </c>
      <c r="F267" s="951">
        <v>53</v>
      </c>
      <c r="G267" s="947" t="s">
        <v>159</v>
      </c>
      <c r="H267" s="951">
        <v>118</v>
      </c>
      <c r="I267" s="951">
        <v>4</v>
      </c>
      <c r="J267" s="947" t="s">
        <v>270</v>
      </c>
      <c r="K267" s="947">
        <v>168021</v>
      </c>
      <c r="M267" s="631"/>
      <c r="P267" s="950" t="str">
        <f>VLOOKUP(J267,'רשימת רשויות'!A:A,1,0)</f>
        <v>ירושלים</v>
      </c>
      <c r="Q267" s="956">
        <f>IFERROR(VLOOKUP(B267,[2]מעובד!$D:$K,8,0),0)</f>
        <v>0</v>
      </c>
      <c r="R267" s="956">
        <f>IFERROR(VLOOKUP(B267,[2]מעובד!$D:$L,9,0),0)</f>
        <v>0</v>
      </c>
    </row>
    <row r="268" spans="1:18" x14ac:dyDescent="0.2">
      <c r="A268" s="948" t="s">
        <v>370</v>
      </c>
      <c r="B268" s="948">
        <v>168427</v>
      </c>
      <c r="C268" s="948" t="s">
        <v>2189</v>
      </c>
      <c r="D268" s="948" t="s">
        <v>1377</v>
      </c>
      <c r="E268" s="951">
        <v>69</v>
      </c>
      <c r="F268" s="951">
        <v>69</v>
      </c>
      <c r="G268" s="947" t="s">
        <v>3252</v>
      </c>
      <c r="H268" s="951">
        <v>0</v>
      </c>
      <c r="I268" s="951">
        <v>0</v>
      </c>
      <c r="J268" s="948" t="s">
        <v>370</v>
      </c>
      <c r="K268" s="948">
        <v>168427</v>
      </c>
      <c r="M268" s="633"/>
      <c r="P268" s="950" t="str">
        <f>VLOOKUP(J268,'רשימת רשויות'!A:A,1,0)</f>
        <v>קרית ארבע</v>
      </c>
      <c r="Q268" s="956">
        <f>IFERROR(VLOOKUP(B268,[2]מעובד!$D:$K,8,0),0)</f>
        <v>0</v>
      </c>
      <c r="R268" s="956">
        <f>IFERROR(VLOOKUP(B268,[2]מעובד!$D:$L,9,0),0)</f>
        <v>0</v>
      </c>
    </row>
    <row r="269" spans="1:18" x14ac:dyDescent="0.2">
      <c r="A269" s="947" t="s">
        <v>270</v>
      </c>
      <c r="B269" s="947">
        <v>169680</v>
      </c>
      <c r="C269" s="947" t="s">
        <v>2189</v>
      </c>
      <c r="D269" s="947" t="s">
        <v>1438</v>
      </c>
      <c r="E269" s="951">
        <v>92</v>
      </c>
      <c r="F269" s="951">
        <v>90</v>
      </c>
      <c r="G269" s="947" t="s">
        <v>3252</v>
      </c>
      <c r="H269" s="951">
        <v>0</v>
      </c>
      <c r="I269" s="951">
        <v>0</v>
      </c>
      <c r="J269" s="947" t="s">
        <v>270</v>
      </c>
      <c r="K269" s="947">
        <v>169680</v>
      </c>
      <c r="M269" s="631"/>
      <c r="P269" s="950" t="str">
        <f>VLOOKUP(J269,'רשימת רשויות'!A:A,1,0)</f>
        <v>ירושלים</v>
      </c>
      <c r="Q269" s="956">
        <f>IFERROR(VLOOKUP(B269,[2]מעובד!$D:$K,8,0),0)</f>
        <v>0</v>
      </c>
      <c r="R269" s="956">
        <f>IFERROR(VLOOKUP(B269,[2]מעובד!$D:$L,9,0),0)</f>
        <v>0</v>
      </c>
    </row>
    <row r="270" spans="1:18" x14ac:dyDescent="0.2">
      <c r="A270" s="947" t="s">
        <v>196</v>
      </c>
      <c r="B270" s="947">
        <v>172023</v>
      </c>
      <c r="C270" s="947" t="s">
        <v>2189</v>
      </c>
      <c r="D270" s="947" t="s">
        <v>1089</v>
      </c>
      <c r="E270" s="951">
        <v>270</v>
      </c>
      <c r="F270" s="951">
        <v>242</v>
      </c>
      <c r="G270" s="947" t="s">
        <v>159</v>
      </c>
      <c r="H270" s="951">
        <v>101</v>
      </c>
      <c r="I270" s="951">
        <v>11</v>
      </c>
      <c r="J270" s="947" t="s">
        <v>196</v>
      </c>
      <c r="K270" s="947">
        <v>172023</v>
      </c>
      <c r="M270" s="631"/>
      <c r="P270" s="950" t="str">
        <f>VLOOKUP(J270,'רשימת רשויות'!A:A,1,0)</f>
        <v>בית שמש</v>
      </c>
      <c r="Q270" s="956">
        <f>IFERROR(VLOOKUP(B270,[2]מעובד!$D:$K,8,0),0)</f>
        <v>223</v>
      </c>
      <c r="R270" s="956">
        <f>IFERROR(VLOOKUP(B270,[2]מעובד!$D:$L,9,0),0)</f>
        <v>223</v>
      </c>
    </row>
    <row r="271" spans="1:18" x14ac:dyDescent="0.2">
      <c r="A271" s="947" t="s">
        <v>305</v>
      </c>
      <c r="B271" s="947">
        <v>172171</v>
      </c>
      <c r="C271" s="947" t="s">
        <v>2189</v>
      </c>
      <c r="D271" s="947" t="s">
        <v>816</v>
      </c>
      <c r="E271" s="951">
        <v>258</v>
      </c>
      <c r="F271" s="951">
        <v>227</v>
      </c>
      <c r="G271" s="947" t="s">
        <v>159</v>
      </c>
      <c r="H271" s="951">
        <v>0</v>
      </c>
      <c r="I271" s="951">
        <v>0</v>
      </c>
      <c r="J271" s="947" t="s">
        <v>305</v>
      </c>
      <c r="K271" s="947">
        <v>172171</v>
      </c>
      <c r="M271" s="631"/>
      <c r="P271" s="950" t="str">
        <f>VLOOKUP(J271,'רשימת רשויות'!A:A,1,0)</f>
        <v>מודיעין מכבים רעות</v>
      </c>
      <c r="Q271" s="956">
        <f>IFERROR(VLOOKUP(B271,[2]מעובד!$D:$K,8,0),0)</f>
        <v>0</v>
      </c>
      <c r="R271" s="956">
        <f>IFERROR(VLOOKUP(B271,[2]מעובד!$D:$L,9,0),0)</f>
        <v>0</v>
      </c>
    </row>
    <row r="272" spans="1:18" x14ac:dyDescent="0.2">
      <c r="A272" s="947" t="s">
        <v>305</v>
      </c>
      <c r="B272" s="947">
        <v>172189</v>
      </c>
      <c r="C272" s="947" t="s">
        <v>2189</v>
      </c>
      <c r="D272" s="947" t="s">
        <v>642</v>
      </c>
      <c r="E272" s="951">
        <v>168</v>
      </c>
      <c r="F272" s="951">
        <v>119</v>
      </c>
      <c r="G272" s="947" t="s">
        <v>159</v>
      </c>
      <c r="H272" s="951">
        <v>0</v>
      </c>
      <c r="I272" s="951">
        <v>0</v>
      </c>
      <c r="J272" s="947" t="s">
        <v>305</v>
      </c>
      <c r="K272" s="947">
        <v>172189</v>
      </c>
      <c r="M272" s="631"/>
      <c r="P272" s="950" t="str">
        <f>VLOOKUP(J272,'רשימת רשויות'!A:A,1,0)</f>
        <v>מודיעין מכבים רעות</v>
      </c>
      <c r="Q272" s="956">
        <f>IFERROR(VLOOKUP(B272,[2]מעובד!$D:$K,8,0),0)</f>
        <v>0</v>
      </c>
      <c r="R272" s="956">
        <f>IFERROR(VLOOKUP(B272,[2]מעובד!$D:$L,9,0),0)</f>
        <v>0</v>
      </c>
    </row>
    <row r="273" spans="1:18" x14ac:dyDescent="0.2">
      <c r="A273" s="947" t="s">
        <v>305</v>
      </c>
      <c r="B273" s="947">
        <v>172197</v>
      </c>
      <c r="C273" s="947" t="s">
        <v>2189</v>
      </c>
      <c r="D273" s="947" t="s">
        <v>971</v>
      </c>
      <c r="E273" s="951">
        <v>59</v>
      </c>
      <c r="F273" s="951">
        <v>47</v>
      </c>
      <c r="G273" s="947" t="s">
        <v>159</v>
      </c>
      <c r="H273" s="951">
        <v>0</v>
      </c>
      <c r="I273" s="951">
        <v>0</v>
      </c>
      <c r="J273" s="947" t="s">
        <v>305</v>
      </c>
      <c r="K273" s="947">
        <v>172197</v>
      </c>
      <c r="M273" s="631"/>
      <c r="P273" s="950" t="str">
        <f>VLOOKUP(J273,'רשימת רשויות'!A:A,1,0)</f>
        <v>מודיעין מכבים רעות</v>
      </c>
      <c r="Q273" s="956">
        <f>IFERROR(VLOOKUP(B273,[2]מעובד!$D:$K,8,0),0)</f>
        <v>0</v>
      </c>
      <c r="R273" s="956">
        <f>IFERROR(VLOOKUP(B273,[2]מעובד!$D:$L,9,0),0)</f>
        <v>0</v>
      </c>
    </row>
    <row r="274" spans="1:18" x14ac:dyDescent="0.2">
      <c r="A274" s="947" t="s">
        <v>305</v>
      </c>
      <c r="B274" s="947">
        <v>172205</v>
      </c>
      <c r="C274" s="947" t="s">
        <v>2189</v>
      </c>
      <c r="D274" s="947" t="s">
        <v>1095</v>
      </c>
      <c r="E274" s="951">
        <v>163</v>
      </c>
      <c r="F274" s="951">
        <v>95</v>
      </c>
      <c r="G274" s="947" t="s">
        <v>159</v>
      </c>
      <c r="H274" s="951">
        <v>163</v>
      </c>
      <c r="I274" s="951">
        <v>38</v>
      </c>
      <c r="J274" s="947" t="s">
        <v>305</v>
      </c>
      <c r="K274" s="947">
        <v>172205</v>
      </c>
      <c r="M274" s="631"/>
      <c r="P274" s="950" t="str">
        <f>VLOOKUP(J274,'רשימת רשויות'!A:A,1,0)</f>
        <v>מודיעין מכבים רעות</v>
      </c>
      <c r="Q274" s="956">
        <f>IFERROR(VLOOKUP(B274,[2]מעובד!$D:$K,8,0),0)</f>
        <v>0</v>
      </c>
      <c r="R274" s="956">
        <f>IFERROR(VLOOKUP(B274,[2]מעובד!$D:$L,9,0),0)</f>
        <v>0</v>
      </c>
    </row>
    <row r="275" spans="1:18" x14ac:dyDescent="0.2">
      <c r="A275" s="947" t="s">
        <v>310</v>
      </c>
      <c r="B275" s="947">
        <v>172395</v>
      </c>
      <c r="C275" s="947" t="s">
        <v>2189</v>
      </c>
      <c r="D275" s="947" t="s">
        <v>1099</v>
      </c>
      <c r="E275" s="951">
        <v>229</v>
      </c>
      <c r="F275" s="951">
        <v>197</v>
      </c>
      <c r="G275" s="947" t="s">
        <v>159</v>
      </c>
      <c r="H275" s="951">
        <v>86</v>
      </c>
      <c r="I275" s="951">
        <v>11</v>
      </c>
      <c r="J275" s="947" t="s">
        <v>310</v>
      </c>
      <c r="K275" s="947">
        <v>172395</v>
      </c>
      <c r="M275" s="631"/>
      <c r="P275" s="950" t="str">
        <f>VLOOKUP(J275,'רשימת רשויות'!A:A,1,0)</f>
        <v>מטה בנימין</v>
      </c>
      <c r="Q275" s="956">
        <f>IFERROR(VLOOKUP(B275,[2]מעובד!$D:$K,8,0),0)</f>
        <v>235</v>
      </c>
      <c r="R275" s="956">
        <f>IFERROR(VLOOKUP(B275,[2]מעובד!$D:$L,9,0),0)</f>
        <v>70</v>
      </c>
    </row>
    <row r="276" spans="1:18" x14ac:dyDescent="0.2">
      <c r="A276" s="947" t="s">
        <v>270</v>
      </c>
      <c r="B276" s="947">
        <v>174656</v>
      </c>
      <c r="C276" s="947" t="s">
        <v>2189</v>
      </c>
      <c r="D276" s="947" t="s">
        <v>1413</v>
      </c>
      <c r="E276" s="951">
        <v>155</v>
      </c>
      <c r="F276" s="951">
        <v>137</v>
      </c>
      <c r="G276" s="947" t="s">
        <v>3252</v>
      </c>
      <c r="H276" s="951">
        <v>104</v>
      </c>
      <c r="I276" s="951">
        <v>13</v>
      </c>
      <c r="J276" s="947" t="s">
        <v>270</v>
      </c>
      <c r="K276" s="947">
        <v>174656</v>
      </c>
      <c r="M276" s="631"/>
      <c r="P276" s="950" t="str">
        <f>VLOOKUP(J276,'רשימת רשויות'!A:A,1,0)</f>
        <v>ירושלים</v>
      </c>
      <c r="Q276" s="956">
        <f>IFERROR(VLOOKUP(B276,[2]מעובד!$D:$K,8,0),0)</f>
        <v>113</v>
      </c>
      <c r="R276" s="956">
        <f>IFERROR(VLOOKUP(B276,[2]מעובד!$D:$L,9,0),0)</f>
        <v>113</v>
      </c>
    </row>
    <row r="277" spans="1:18" x14ac:dyDescent="0.2">
      <c r="A277" s="947" t="s">
        <v>270</v>
      </c>
      <c r="B277" s="947">
        <v>174664</v>
      </c>
      <c r="C277" s="947" t="s">
        <v>2189</v>
      </c>
      <c r="D277" s="947" t="s">
        <v>1414</v>
      </c>
      <c r="E277" s="951">
        <v>103</v>
      </c>
      <c r="F277" s="951">
        <v>84</v>
      </c>
      <c r="G277" s="947" t="s">
        <v>3252</v>
      </c>
      <c r="H277" s="951">
        <v>81</v>
      </c>
      <c r="I277" s="951">
        <v>17</v>
      </c>
      <c r="J277" s="947" t="s">
        <v>270</v>
      </c>
      <c r="K277" s="947">
        <v>174664</v>
      </c>
      <c r="M277" s="631"/>
      <c r="P277" s="950" t="str">
        <f>VLOOKUP(J277,'רשימת רשויות'!A:A,1,0)</f>
        <v>ירושלים</v>
      </c>
      <c r="Q277" s="956">
        <f>IFERROR(VLOOKUP(B277,[2]מעובד!$D:$K,8,0),0)</f>
        <v>0</v>
      </c>
      <c r="R277" s="956">
        <f>IFERROR(VLOOKUP(B277,[2]מעובד!$D:$L,9,0),0)</f>
        <v>0</v>
      </c>
    </row>
    <row r="278" spans="1:18" x14ac:dyDescent="0.2">
      <c r="A278" s="947" t="s">
        <v>220</v>
      </c>
      <c r="B278" s="947">
        <v>174680</v>
      </c>
      <c r="C278" s="947" t="s">
        <v>2189</v>
      </c>
      <c r="D278" s="947" t="s">
        <v>2943</v>
      </c>
      <c r="E278" s="951">
        <v>76</v>
      </c>
      <c r="F278" s="951">
        <v>0</v>
      </c>
      <c r="G278" s="947" t="s">
        <v>3252</v>
      </c>
      <c r="H278" s="951">
        <v>0</v>
      </c>
      <c r="I278" s="951">
        <v>0</v>
      </c>
      <c r="J278" s="947" t="s">
        <v>220</v>
      </c>
      <c r="K278" s="947">
        <v>174680</v>
      </c>
      <c r="M278" s="631"/>
      <c r="P278" s="950" t="str">
        <f>VLOOKUP(J278,'רשימת רשויות'!A:A,1,0)</f>
        <v>גזר</v>
      </c>
      <c r="Q278" s="956">
        <f>IFERROR(VLOOKUP(B278,[2]מעובד!$D:$K,8,0),0)</f>
        <v>0</v>
      </c>
      <c r="R278" s="956">
        <f>IFERROR(VLOOKUP(B278,[2]מעובד!$D:$L,9,0),0)</f>
        <v>0</v>
      </c>
    </row>
    <row r="279" spans="1:18" x14ac:dyDescent="0.2">
      <c r="A279" s="947" t="s">
        <v>196</v>
      </c>
      <c r="B279" s="947">
        <v>174748</v>
      </c>
      <c r="C279" s="947" t="s">
        <v>2189</v>
      </c>
      <c r="D279" s="947" t="s">
        <v>1415</v>
      </c>
      <c r="E279" s="951">
        <v>350</v>
      </c>
      <c r="F279" s="951">
        <v>350</v>
      </c>
      <c r="G279" s="947" t="s">
        <v>3252</v>
      </c>
      <c r="H279" s="951">
        <v>0</v>
      </c>
      <c r="I279" s="951">
        <v>0</v>
      </c>
      <c r="J279" s="947" t="s">
        <v>196</v>
      </c>
      <c r="K279" s="947">
        <v>174748</v>
      </c>
      <c r="M279" s="631"/>
      <c r="P279" s="950" t="str">
        <f>VLOOKUP(J279,'רשימת רשויות'!A:A,1,0)</f>
        <v>בית שמש</v>
      </c>
      <c r="Q279" s="956">
        <f>IFERROR(VLOOKUP(B279,[2]מעובד!$D:$K,8,0),0)</f>
        <v>0</v>
      </c>
      <c r="R279" s="956">
        <f>IFERROR(VLOOKUP(B279,[2]מעובד!$D:$L,9,0),0)</f>
        <v>0</v>
      </c>
    </row>
    <row r="280" spans="1:18" x14ac:dyDescent="0.2">
      <c r="A280" s="947" t="s">
        <v>197</v>
      </c>
      <c r="B280" s="947">
        <v>176792</v>
      </c>
      <c r="C280" s="947" t="s">
        <v>2189</v>
      </c>
      <c r="D280" s="947" t="s">
        <v>1309</v>
      </c>
      <c r="E280" s="951">
        <v>65</v>
      </c>
      <c r="F280" s="951">
        <v>65</v>
      </c>
      <c r="G280" s="947" t="s">
        <v>3252</v>
      </c>
      <c r="H280" s="951">
        <v>0</v>
      </c>
      <c r="I280" s="951">
        <v>0</v>
      </c>
      <c r="J280" s="947" t="s">
        <v>197</v>
      </c>
      <c r="K280" s="947">
        <v>176792</v>
      </c>
      <c r="M280" s="631"/>
      <c r="P280" s="950" t="str">
        <f>VLOOKUP(J280,'רשימת רשויות'!A:A,1,0)</f>
        <v>ביתר עילית</v>
      </c>
      <c r="Q280" s="956">
        <f>IFERROR(VLOOKUP(B280,[2]מעובד!$D:$K,8,0),0)</f>
        <v>0</v>
      </c>
      <c r="R280" s="956">
        <f>IFERROR(VLOOKUP(B280,[2]מעובד!$D:$L,9,0),0)</f>
        <v>0</v>
      </c>
    </row>
    <row r="281" spans="1:18" x14ac:dyDescent="0.2">
      <c r="A281" s="947" t="s">
        <v>270</v>
      </c>
      <c r="B281" s="947">
        <v>177071</v>
      </c>
      <c r="C281" s="947" t="s">
        <v>2189</v>
      </c>
      <c r="D281" s="947" t="s">
        <v>2652</v>
      </c>
      <c r="E281" s="951">
        <v>82</v>
      </c>
      <c r="F281" s="951">
        <v>78</v>
      </c>
      <c r="G281" s="947" t="s">
        <v>159</v>
      </c>
      <c r="H281" s="951">
        <v>0</v>
      </c>
      <c r="I281" s="951">
        <v>0</v>
      </c>
      <c r="J281" s="947" t="s">
        <v>270</v>
      </c>
      <c r="K281" s="947">
        <v>177071</v>
      </c>
      <c r="M281" s="631"/>
      <c r="P281" s="950" t="str">
        <f>VLOOKUP(J281,'רשימת רשויות'!A:A,1,0)</f>
        <v>ירושלים</v>
      </c>
      <c r="Q281" s="956">
        <f>IFERROR(VLOOKUP(B281,[2]מעובד!$D:$K,8,0),0)</f>
        <v>0</v>
      </c>
      <c r="R281" s="956">
        <f>IFERROR(VLOOKUP(B281,[2]מעובד!$D:$L,9,0),0)</f>
        <v>0</v>
      </c>
    </row>
    <row r="282" spans="1:18" x14ac:dyDescent="0.2">
      <c r="A282" s="947" t="s">
        <v>270</v>
      </c>
      <c r="B282" s="947">
        <v>178137</v>
      </c>
      <c r="C282" s="947" t="s">
        <v>2189</v>
      </c>
      <c r="D282" s="947" t="s">
        <v>2944</v>
      </c>
      <c r="E282" s="951">
        <v>79</v>
      </c>
      <c r="F282" s="951">
        <v>0</v>
      </c>
      <c r="G282" s="947" t="s">
        <v>3252</v>
      </c>
      <c r="H282" s="951">
        <v>0</v>
      </c>
      <c r="I282" s="951">
        <v>0</v>
      </c>
      <c r="J282" s="947" t="s">
        <v>270</v>
      </c>
      <c r="K282" s="947">
        <v>178137</v>
      </c>
      <c r="M282" s="631"/>
      <c r="P282" s="950" t="str">
        <f>VLOOKUP(J282,'רשימת רשויות'!A:A,1,0)</f>
        <v>ירושלים</v>
      </c>
      <c r="Q282" s="956">
        <f>IFERROR(VLOOKUP(B282,[2]מעובד!$D:$K,8,0),0)</f>
        <v>0</v>
      </c>
      <c r="R282" s="956">
        <f>IFERROR(VLOOKUP(B282,[2]מעובד!$D:$L,9,0),0)</f>
        <v>0</v>
      </c>
    </row>
    <row r="283" spans="1:18" x14ac:dyDescent="0.2">
      <c r="A283" s="947" t="s">
        <v>270</v>
      </c>
      <c r="B283" s="947">
        <v>178145</v>
      </c>
      <c r="C283" s="947" t="s">
        <v>2189</v>
      </c>
      <c r="D283" s="947" t="s">
        <v>1356</v>
      </c>
      <c r="E283" s="951">
        <v>168</v>
      </c>
      <c r="F283" s="951">
        <v>33</v>
      </c>
      <c r="G283" s="947" t="s">
        <v>159</v>
      </c>
      <c r="H283" s="951">
        <v>71</v>
      </c>
      <c r="I283" s="951">
        <v>6</v>
      </c>
      <c r="J283" s="947" t="s">
        <v>270</v>
      </c>
      <c r="K283" s="947">
        <v>178145</v>
      </c>
      <c r="M283" s="631"/>
      <c r="P283" s="950" t="str">
        <f>VLOOKUP(J283,'רשימת רשויות'!A:A,1,0)</f>
        <v>ירושלים</v>
      </c>
      <c r="Q283" s="956">
        <f>IFERROR(VLOOKUP(B283,[2]מעובד!$D:$K,8,0),0)</f>
        <v>181</v>
      </c>
      <c r="R283" s="956">
        <f>IFERROR(VLOOKUP(B283,[2]מעובד!$D:$L,9,0),0)</f>
        <v>70</v>
      </c>
    </row>
    <row r="284" spans="1:18" x14ac:dyDescent="0.2">
      <c r="A284" s="947" t="s">
        <v>270</v>
      </c>
      <c r="B284" s="947">
        <v>178160</v>
      </c>
      <c r="C284" s="947" t="s">
        <v>2189</v>
      </c>
      <c r="D284" s="947" t="s">
        <v>1357</v>
      </c>
      <c r="E284" s="951">
        <v>184</v>
      </c>
      <c r="F284" s="951">
        <v>47</v>
      </c>
      <c r="G284" s="947" t="s">
        <v>159</v>
      </c>
      <c r="H284" s="951">
        <v>0</v>
      </c>
      <c r="I284" s="951">
        <v>0</v>
      </c>
      <c r="J284" s="947" t="s">
        <v>270</v>
      </c>
      <c r="K284" s="947">
        <v>178160</v>
      </c>
      <c r="M284" s="631"/>
      <c r="P284" s="950" t="str">
        <f>VLOOKUP(J284,'רשימת רשויות'!A:A,1,0)</f>
        <v>ירושלים</v>
      </c>
      <c r="Q284" s="956">
        <f>IFERROR(VLOOKUP(B284,[2]מעובד!$D:$K,8,0),0)</f>
        <v>218</v>
      </c>
      <c r="R284" s="956">
        <f>IFERROR(VLOOKUP(B284,[2]מעובד!$D:$L,9,0),0)</f>
        <v>90</v>
      </c>
    </row>
    <row r="285" spans="1:18" x14ac:dyDescent="0.2">
      <c r="A285" s="947" t="s">
        <v>270</v>
      </c>
      <c r="B285" s="947">
        <v>179754</v>
      </c>
      <c r="C285" s="947" t="s">
        <v>2189</v>
      </c>
      <c r="D285" s="947" t="s">
        <v>1310</v>
      </c>
      <c r="E285" s="951">
        <v>167</v>
      </c>
      <c r="F285" s="951">
        <v>79</v>
      </c>
      <c r="G285" s="947" t="s">
        <v>159</v>
      </c>
      <c r="H285" s="951">
        <v>0</v>
      </c>
      <c r="I285" s="951">
        <v>0</v>
      </c>
      <c r="J285" s="947" t="s">
        <v>270</v>
      </c>
      <c r="K285" s="947">
        <v>179754</v>
      </c>
      <c r="M285" s="631"/>
      <c r="P285" s="950" t="str">
        <f>VLOOKUP(J285,'רשימת רשויות'!A:A,1,0)</f>
        <v>ירושלים</v>
      </c>
      <c r="Q285" s="956">
        <f>IFERROR(VLOOKUP(B285,[2]מעובד!$D:$K,8,0),0)</f>
        <v>192</v>
      </c>
      <c r="R285" s="956">
        <f>IFERROR(VLOOKUP(B285,[2]מעובד!$D:$L,9,0),0)</f>
        <v>104</v>
      </c>
    </row>
    <row r="286" spans="1:18" x14ac:dyDescent="0.2">
      <c r="A286" s="947" t="s">
        <v>270</v>
      </c>
      <c r="B286" s="947">
        <v>179770</v>
      </c>
      <c r="C286" s="947" t="s">
        <v>2189</v>
      </c>
      <c r="D286" s="947" t="s">
        <v>1319</v>
      </c>
      <c r="E286" s="951">
        <v>87</v>
      </c>
      <c r="F286" s="951">
        <v>85</v>
      </c>
      <c r="G286" s="947" t="s">
        <v>3252</v>
      </c>
      <c r="H286" s="951">
        <v>0</v>
      </c>
      <c r="I286" s="951">
        <v>0</v>
      </c>
      <c r="J286" s="947" t="s">
        <v>270</v>
      </c>
      <c r="K286" s="947">
        <v>179770</v>
      </c>
      <c r="M286" s="631"/>
      <c r="P286" s="950" t="str">
        <f>VLOOKUP(J286,'רשימת רשויות'!A:A,1,0)</f>
        <v>ירושלים</v>
      </c>
      <c r="Q286" s="956">
        <f>IFERROR(VLOOKUP(B286,[2]מעובד!$D:$K,8,0),0)</f>
        <v>87</v>
      </c>
      <c r="R286" s="956">
        <f>IFERROR(VLOOKUP(B286,[2]מעובד!$D:$L,9,0),0)</f>
        <v>87</v>
      </c>
    </row>
    <row r="287" spans="1:18" x14ac:dyDescent="0.2">
      <c r="A287" s="947" t="s">
        <v>270</v>
      </c>
      <c r="B287" s="947">
        <v>183194</v>
      </c>
      <c r="C287" s="947" t="s">
        <v>2189</v>
      </c>
      <c r="D287" s="947" t="s">
        <v>1067</v>
      </c>
      <c r="E287" s="951">
        <v>331</v>
      </c>
      <c r="F287" s="951">
        <v>320</v>
      </c>
      <c r="G287" s="947" t="s">
        <v>159</v>
      </c>
      <c r="H287" s="951">
        <v>115</v>
      </c>
      <c r="I287" s="951">
        <v>8</v>
      </c>
      <c r="J287" s="947" t="s">
        <v>270</v>
      </c>
      <c r="K287" s="947">
        <v>183194</v>
      </c>
      <c r="M287" s="631"/>
      <c r="P287" s="950" t="str">
        <f>VLOOKUP(J287,'רשימת רשויות'!A:A,1,0)</f>
        <v>ירושלים</v>
      </c>
      <c r="Q287" s="956">
        <f>IFERROR(VLOOKUP(B287,[2]מעובד!$D:$K,8,0),0)</f>
        <v>300</v>
      </c>
      <c r="R287" s="956">
        <f>IFERROR(VLOOKUP(B287,[2]מעובד!$D:$L,9,0),0)</f>
        <v>175</v>
      </c>
    </row>
    <row r="288" spans="1:18" x14ac:dyDescent="0.2">
      <c r="A288" s="947" t="s">
        <v>270</v>
      </c>
      <c r="B288" s="947">
        <v>183210</v>
      </c>
      <c r="C288" s="947" t="s">
        <v>2189</v>
      </c>
      <c r="D288" s="947" t="s">
        <v>2945</v>
      </c>
      <c r="E288" s="951">
        <v>109</v>
      </c>
      <c r="F288" s="951">
        <v>0</v>
      </c>
      <c r="G288" s="947" t="s">
        <v>159</v>
      </c>
      <c r="H288" s="951">
        <v>56</v>
      </c>
      <c r="I288" s="951">
        <v>0</v>
      </c>
      <c r="J288" s="947" t="s">
        <v>270</v>
      </c>
      <c r="K288" s="947">
        <v>183210</v>
      </c>
      <c r="M288" s="631"/>
      <c r="P288" s="950" t="str">
        <f>VLOOKUP(J288,'רשימת רשויות'!A:A,1,0)</f>
        <v>ירושלים</v>
      </c>
      <c r="Q288" s="956">
        <f>IFERROR(VLOOKUP(B288,[2]מעובד!$D:$K,8,0),0)</f>
        <v>0</v>
      </c>
      <c r="R288" s="956">
        <f>IFERROR(VLOOKUP(B288,[2]מעובד!$D:$L,9,0),0)</f>
        <v>0</v>
      </c>
    </row>
    <row r="289" spans="1:18" x14ac:dyDescent="0.2">
      <c r="A289" s="947" t="s">
        <v>270</v>
      </c>
      <c r="B289" s="947">
        <v>184010</v>
      </c>
      <c r="C289" s="947" t="s">
        <v>2189</v>
      </c>
      <c r="D289" s="947" t="s">
        <v>2946</v>
      </c>
      <c r="E289" s="951">
        <v>329</v>
      </c>
      <c r="F289" s="951">
        <v>0</v>
      </c>
      <c r="G289" s="947" t="s">
        <v>3252</v>
      </c>
      <c r="H289" s="951">
        <v>0</v>
      </c>
      <c r="I289" s="951">
        <v>0</v>
      </c>
      <c r="J289" s="947" t="s">
        <v>270</v>
      </c>
      <c r="K289" s="947">
        <v>184010</v>
      </c>
      <c r="M289" s="631"/>
      <c r="P289" s="950" t="str">
        <f>VLOOKUP(J289,'רשימת רשויות'!A:A,1,0)</f>
        <v>ירושלים</v>
      </c>
      <c r="Q289" s="956">
        <f>IFERROR(VLOOKUP(B289,[2]מעובד!$D:$K,8,0),0)</f>
        <v>0</v>
      </c>
      <c r="R289" s="956">
        <f>IFERROR(VLOOKUP(B289,[2]מעובד!$D:$L,9,0),0)</f>
        <v>0</v>
      </c>
    </row>
    <row r="290" spans="1:18" x14ac:dyDescent="0.2">
      <c r="A290" s="947" t="s">
        <v>270</v>
      </c>
      <c r="B290" s="947">
        <v>186361</v>
      </c>
      <c r="C290" s="947" t="s">
        <v>2189</v>
      </c>
      <c r="D290" s="947" t="s">
        <v>1333</v>
      </c>
      <c r="E290" s="951">
        <v>105</v>
      </c>
      <c r="F290" s="951">
        <v>72</v>
      </c>
      <c r="G290" s="947" t="s">
        <v>3252</v>
      </c>
      <c r="H290" s="951">
        <v>0</v>
      </c>
      <c r="I290" s="951">
        <v>0</v>
      </c>
      <c r="J290" s="947" t="s">
        <v>270</v>
      </c>
      <c r="K290" s="947">
        <v>186361</v>
      </c>
      <c r="M290" s="631"/>
      <c r="P290" s="950" t="str">
        <f>VLOOKUP(J290,'רשימת רשויות'!A:A,1,0)</f>
        <v>ירושלים</v>
      </c>
      <c r="Q290" s="956">
        <f>IFERROR(VLOOKUP(B290,[2]מעובד!$D:$K,8,0),0)</f>
        <v>0</v>
      </c>
      <c r="R290" s="956">
        <f>IFERROR(VLOOKUP(B290,[2]מעובד!$D:$L,9,0),0)</f>
        <v>0</v>
      </c>
    </row>
    <row r="291" spans="1:18" x14ac:dyDescent="0.2">
      <c r="A291" s="947" t="s">
        <v>306</v>
      </c>
      <c r="B291" s="947">
        <v>186387</v>
      </c>
      <c r="C291" s="947" t="s">
        <v>2189</v>
      </c>
      <c r="D291" s="947" t="s">
        <v>1334</v>
      </c>
      <c r="E291" s="951">
        <v>202</v>
      </c>
      <c r="F291" s="951">
        <v>186</v>
      </c>
      <c r="G291" s="947" t="s">
        <v>3252</v>
      </c>
      <c r="H291" s="951">
        <v>0</v>
      </c>
      <c r="I291" s="951">
        <v>0</v>
      </c>
      <c r="J291" s="947" t="s">
        <v>306</v>
      </c>
      <c r="K291" s="947">
        <v>186387</v>
      </c>
      <c r="M291" s="631"/>
      <c r="P291" s="950" t="str">
        <f>VLOOKUP(J291,'רשימת רשויות'!A:A,1,0)</f>
        <v>מודיעין עילית</v>
      </c>
      <c r="Q291" s="956">
        <f>IFERROR(VLOOKUP(B291,[2]מעובד!$D:$K,8,0),0)</f>
        <v>0</v>
      </c>
      <c r="R291" s="956">
        <f>IFERROR(VLOOKUP(B291,[2]מעובד!$D:$L,9,0),0)</f>
        <v>0</v>
      </c>
    </row>
    <row r="292" spans="1:18" x14ac:dyDescent="0.2">
      <c r="A292" s="947" t="s">
        <v>219</v>
      </c>
      <c r="B292" s="947">
        <v>186395</v>
      </c>
      <c r="C292" s="947" t="s">
        <v>2189</v>
      </c>
      <c r="D292" s="947" t="s">
        <v>1067</v>
      </c>
      <c r="E292" s="951">
        <v>139</v>
      </c>
      <c r="F292" s="951">
        <v>133</v>
      </c>
      <c r="G292" s="947" t="s">
        <v>159</v>
      </c>
      <c r="H292" s="951">
        <v>0</v>
      </c>
      <c r="I292" s="951">
        <v>0</v>
      </c>
      <c r="J292" s="947" t="s">
        <v>219</v>
      </c>
      <c r="K292" s="947">
        <v>186395</v>
      </c>
      <c r="M292" s="631"/>
      <c r="P292" s="950" t="str">
        <f>VLOOKUP(J292,'רשימת רשויות'!A:A,1,0)</f>
        <v>גוש עציון</v>
      </c>
      <c r="Q292" s="956">
        <f>IFERROR(VLOOKUP(B292,[2]מעובד!$D:$K,8,0),0)</f>
        <v>144</v>
      </c>
      <c r="R292" s="956">
        <f>IFERROR(VLOOKUP(B292,[2]מעובד!$D:$L,9,0),0)</f>
        <v>66</v>
      </c>
    </row>
    <row r="293" spans="1:18" x14ac:dyDescent="0.2">
      <c r="A293" s="947" t="s">
        <v>270</v>
      </c>
      <c r="B293" s="947">
        <v>186809</v>
      </c>
      <c r="C293" s="947" t="s">
        <v>2189</v>
      </c>
      <c r="D293" s="947" t="s">
        <v>2947</v>
      </c>
      <c r="E293" s="951">
        <v>164</v>
      </c>
      <c r="F293" s="951">
        <v>0</v>
      </c>
      <c r="G293" s="947" t="s">
        <v>3252</v>
      </c>
      <c r="H293" s="951">
        <v>0</v>
      </c>
      <c r="I293" s="951">
        <v>0</v>
      </c>
      <c r="J293" s="947" t="s">
        <v>270</v>
      </c>
      <c r="K293" s="947">
        <v>186809</v>
      </c>
      <c r="M293" s="631"/>
      <c r="P293" s="950" t="str">
        <f>VLOOKUP(J293,'רשימת רשויות'!A:A,1,0)</f>
        <v>ירושלים</v>
      </c>
      <c r="Q293" s="956">
        <f>IFERROR(VLOOKUP(B293,[2]מעובד!$D:$K,8,0),0)</f>
        <v>0</v>
      </c>
      <c r="R293" s="956">
        <f>IFERROR(VLOOKUP(B293,[2]מעובד!$D:$L,9,0),0)</f>
        <v>0</v>
      </c>
    </row>
    <row r="294" spans="1:18" x14ac:dyDescent="0.2">
      <c r="A294" s="947" t="s">
        <v>270</v>
      </c>
      <c r="B294" s="947">
        <v>187575</v>
      </c>
      <c r="C294" s="947" t="s">
        <v>2189</v>
      </c>
      <c r="D294" s="947" t="s">
        <v>2948</v>
      </c>
      <c r="E294" s="951">
        <v>154</v>
      </c>
      <c r="F294" s="951">
        <v>0</v>
      </c>
      <c r="G294" s="947" t="s">
        <v>3252</v>
      </c>
      <c r="H294" s="951">
        <v>0</v>
      </c>
      <c r="I294" s="951">
        <v>0</v>
      </c>
      <c r="J294" s="947" t="s">
        <v>270</v>
      </c>
      <c r="K294" s="947">
        <v>187575</v>
      </c>
      <c r="M294" s="631"/>
      <c r="P294" s="950" t="str">
        <f>VLOOKUP(J294,'רשימת רשויות'!A:A,1,0)</f>
        <v>ירושלים</v>
      </c>
      <c r="Q294" s="956">
        <f>IFERROR(VLOOKUP(B294,[2]מעובד!$D:$K,8,0),0)</f>
        <v>0</v>
      </c>
      <c r="R294" s="956">
        <f>IFERROR(VLOOKUP(B294,[2]מעובד!$D:$L,9,0),0)</f>
        <v>0</v>
      </c>
    </row>
    <row r="295" spans="1:18" x14ac:dyDescent="0.2">
      <c r="A295" s="947" t="s">
        <v>196</v>
      </c>
      <c r="B295" s="947">
        <v>188060</v>
      </c>
      <c r="C295" s="947" t="s">
        <v>2189</v>
      </c>
      <c r="D295" s="947" t="s">
        <v>1402</v>
      </c>
      <c r="E295" s="951">
        <v>315</v>
      </c>
      <c r="F295" s="951">
        <v>307</v>
      </c>
      <c r="G295" s="947" t="s">
        <v>3252</v>
      </c>
      <c r="H295" s="951">
        <v>0</v>
      </c>
      <c r="I295" s="951">
        <v>0</v>
      </c>
      <c r="J295" s="947" t="s">
        <v>196</v>
      </c>
      <c r="K295" s="947">
        <v>188060</v>
      </c>
      <c r="M295" s="631"/>
      <c r="P295" s="950" t="str">
        <f>VLOOKUP(J295,'רשימת רשויות'!A:A,1,0)</f>
        <v>בית שמש</v>
      </c>
      <c r="Q295" s="956">
        <f>IFERROR(VLOOKUP(B295,[2]מעובד!$D:$K,8,0),0)</f>
        <v>0</v>
      </c>
      <c r="R295" s="956">
        <f>IFERROR(VLOOKUP(B295,[2]מעובד!$D:$L,9,0),0)</f>
        <v>0</v>
      </c>
    </row>
    <row r="296" spans="1:18" x14ac:dyDescent="0.2">
      <c r="A296" s="947" t="s">
        <v>310</v>
      </c>
      <c r="B296" s="947">
        <v>188078</v>
      </c>
      <c r="C296" s="947" t="s">
        <v>2189</v>
      </c>
      <c r="D296" s="947" t="s">
        <v>1403</v>
      </c>
      <c r="E296" s="951">
        <v>74</v>
      </c>
      <c r="F296" s="951">
        <v>73</v>
      </c>
      <c r="G296" s="947" t="s">
        <v>3252</v>
      </c>
      <c r="H296" s="951">
        <v>0</v>
      </c>
      <c r="I296" s="951">
        <v>0</v>
      </c>
      <c r="J296" s="947" t="s">
        <v>310</v>
      </c>
      <c r="K296" s="947">
        <v>188078</v>
      </c>
      <c r="M296" s="631"/>
      <c r="P296" s="950" t="str">
        <f>VLOOKUP(J296,'רשימת רשויות'!A:A,1,0)</f>
        <v>מטה בנימין</v>
      </c>
      <c r="Q296" s="956">
        <f>IFERROR(VLOOKUP(B296,[2]מעובד!$D:$K,8,0),0)</f>
        <v>75</v>
      </c>
      <c r="R296" s="956">
        <f>IFERROR(VLOOKUP(B296,[2]מעובד!$D:$L,9,0),0)</f>
        <v>79</v>
      </c>
    </row>
    <row r="297" spans="1:18" x14ac:dyDescent="0.2">
      <c r="A297" s="947" t="s">
        <v>305</v>
      </c>
      <c r="B297" s="947">
        <v>188086</v>
      </c>
      <c r="C297" s="947" t="s">
        <v>2189</v>
      </c>
      <c r="D297" s="947" t="s">
        <v>1082</v>
      </c>
      <c r="E297" s="951">
        <v>71</v>
      </c>
      <c r="F297" s="951">
        <v>58</v>
      </c>
      <c r="G297" s="947" t="s">
        <v>159</v>
      </c>
      <c r="H297" s="951">
        <v>0</v>
      </c>
      <c r="I297" s="951">
        <v>0</v>
      </c>
      <c r="J297" s="947" t="s">
        <v>305</v>
      </c>
      <c r="K297" s="947">
        <v>188086</v>
      </c>
      <c r="M297" s="631"/>
      <c r="P297" s="950" t="str">
        <f>VLOOKUP(J297,'רשימת רשויות'!A:A,1,0)</f>
        <v>מודיעין מכבים רעות</v>
      </c>
      <c r="Q297" s="956">
        <f>IFERROR(VLOOKUP(B297,[2]מעובד!$D:$K,8,0),0)</f>
        <v>0</v>
      </c>
      <c r="R297" s="956">
        <f>IFERROR(VLOOKUP(B297,[2]מעובד!$D:$L,9,0),0)</f>
        <v>0</v>
      </c>
    </row>
    <row r="298" spans="1:18" x14ac:dyDescent="0.2">
      <c r="A298" s="947" t="s">
        <v>270</v>
      </c>
      <c r="B298" s="947">
        <v>189043</v>
      </c>
      <c r="C298" s="947" t="s">
        <v>2189</v>
      </c>
      <c r="D298" s="947" t="s">
        <v>2653</v>
      </c>
      <c r="E298" s="951">
        <v>161</v>
      </c>
      <c r="F298" s="951">
        <v>30</v>
      </c>
      <c r="G298" s="947" t="s">
        <v>159</v>
      </c>
      <c r="H298" s="951">
        <v>58</v>
      </c>
      <c r="I298" s="951">
        <v>1</v>
      </c>
      <c r="J298" s="947" t="s">
        <v>270</v>
      </c>
      <c r="K298" s="947">
        <v>189043</v>
      </c>
      <c r="M298" s="631"/>
      <c r="P298" s="950" t="str">
        <f>VLOOKUP(J298,'רשימת רשויות'!A:A,1,0)</f>
        <v>ירושלים</v>
      </c>
      <c r="Q298" s="956">
        <f>IFERROR(VLOOKUP(B298,[2]מעובד!$D:$K,8,0),0)</f>
        <v>78</v>
      </c>
      <c r="R298" s="956">
        <f>IFERROR(VLOOKUP(B298,[2]מעובד!$D:$L,9,0),0)</f>
        <v>28</v>
      </c>
    </row>
    <row r="299" spans="1:18" x14ac:dyDescent="0.2">
      <c r="A299" s="947" t="s">
        <v>306</v>
      </c>
      <c r="B299" s="947">
        <v>189944</v>
      </c>
      <c r="C299" s="947" t="s">
        <v>2189</v>
      </c>
      <c r="D299" s="947" t="s">
        <v>1379</v>
      </c>
      <c r="E299" s="951">
        <v>499</v>
      </c>
      <c r="F299" s="951">
        <v>484</v>
      </c>
      <c r="G299" s="947" t="s">
        <v>3252</v>
      </c>
      <c r="H299" s="951">
        <v>175</v>
      </c>
      <c r="I299" s="951">
        <v>8</v>
      </c>
      <c r="J299" s="947" t="s">
        <v>306</v>
      </c>
      <c r="K299" s="947">
        <v>189944</v>
      </c>
      <c r="M299" s="631"/>
      <c r="P299" s="950" t="str">
        <f>VLOOKUP(J299,'רשימת רשויות'!A:A,1,0)</f>
        <v>מודיעין עילית</v>
      </c>
      <c r="Q299" s="956">
        <f>IFERROR(VLOOKUP(B299,[2]מעובד!$D:$K,8,0),0)</f>
        <v>521</v>
      </c>
      <c r="R299" s="956">
        <f>IFERROR(VLOOKUP(B299,[2]מעובד!$D:$L,9,0),0)</f>
        <v>192</v>
      </c>
    </row>
    <row r="300" spans="1:18" x14ac:dyDescent="0.2">
      <c r="A300" s="947" t="s">
        <v>305</v>
      </c>
      <c r="B300" s="947">
        <v>191015</v>
      </c>
      <c r="C300" s="947" t="s">
        <v>2189</v>
      </c>
      <c r="D300" s="947" t="s">
        <v>1083</v>
      </c>
      <c r="E300" s="951">
        <v>212</v>
      </c>
      <c r="F300" s="951">
        <v>142</v>
      </c>
      <c r="G300" s="947" t="s">
        <v>159</v>
      </c>
      <c r="H300" s="951">
        <v>212</v>
      </c>
      <c r="I300" s="951">
        <v>29</v>
      </c>
      <c r="J300" s="947" t="s">
        <v>305</v>
      </c>
      <c r="K300" s="947">
        <v>191015</v>
      </c>
      <c r="M300" s="631"/>
      <c r="P300" s="950" t="str">
        <f>VLOOKUP(J300,'רשימת רשויות'!A:A,1,0)</f>
        <v>מודיעין מכבים רעות</v>
      </c>
      <c r="Q300" s="956">
        <f>IFERROR(VLOOKUP(B300,[2]מעובד!$D:$K,8,0),0)</f>
        <v>118</v>
      </c>
      <c r="R300" s="956">
        <f>IFERROR(VLOOKUP(B300,[2]מעובד!$D:$L,9,0),0)</f>
        <v>41</v>
      </c>
    </row>
    <row r="301" spans="1:18" x14ac:dyDescent="0.2">
      <c r="A301" s="947" t="s">
        <v>270</v>
      </c>
      <c r="B301" s="947">
        <v>192849</v>
      </c>
      <c r="C301" s="947" t="s">
        <v>2189</v>
      </c>
      <c r="D301" s="947" t="s">
        <v>1366</v>
      </c>
      <c r="E301" s="951">
        <v>151</v>
      </c>
      <c r="F301" s="951">
        <v>124</v>
      </c>
      <c r="G301" s="947" t="s">
        <v>159</v>
      </c>
      <c r="H301" s="951">
        <v>50</v>
      </c>
      <c r="I301" s="951">
        <v>5</v>
      </c>
      <c r="J301" s="947" t="s">
        <v>270</v>
      </c>
      <c r="K301" s="947">
        <v>192849</v>
      </c>
      <c r="M301" s="631"/>
      <c r="P301" s="950" t="str">
        <f>VLOOKUP(J301,'רשימת רשויות'!A:A,1,0)</f>
        <v>ירושלים</v>
      </c>
      <c r="Q301" s="956">
        <f>IFERROR(VLOOKUP(B301,[2]מעובד!$D:$K,8,0),0)</f>
        <v>134</v>
      </c>
      <c r="R301" s="956">
        <f>IFERROR(VLOOKUP(B301,[2]מעובד!$D:$L,9,0),0)</f>
        <v>53</v>
      </c>
    </row>
    <row r="302" spans="1:18" x14ac:dyDescent="0.2">
      <c r="A302" s="947" t="s">
        <v>196</v>
      </c>
      <c r="B302" s="947">
        <v>194472</v>
      </c>
      <c r="C302" s="947" t="s">
        <v>2189</v>
      </c>
      <c r="D302" s="947" t="s">
        <v>1090</v>
      </c>
      <c r="E302" s="951">
        <v>142</v>
      </c>
      <c r="F302" s="951">
        <v>128</v>
      </c>
      <c r="G302" s="947" t="s">
        <v>159</v>
      </c>
      <c r="H302" s="951">
        <v>62</v>
      </c>
      <c r="I302" s="951">
        <v>7</v>
      </c>
      <c r="J302" s="947" t="s">
        <v>196</v>
      </c>
      <c r="K302" s="947">
        <v>194472</v>
      </c>
      <c r="M302" s="631"/>
      <c r="P302" s="950" t="str">
        <f>VLOOKUP(J302,'רשימת רשויות'!A:A,1,0)</f>
        <v>בית שמש</v>
      </c>
      <c r="Q302" s="956">
        <f>IFERROR(VLOOKUP(B302,[2]מעובד!$D:$K,8,0),0)</f>
        <v>164</v>
      </c>
      <c r="R302" s="956">
        <f>IFERROR(VLOOKUP(B302,[2]מעובד!$D:$L,9,0),0)</f>
        <v>100</v>
      </c>
    </row>
    <row r="303" spans="1:18" x14ac:dyDescent="0.2">
      <c r="A303" s="947" t="s">
        <v>196</v>
      </c>
      <c r="B303" s="947">
        <v>199117</v>
      </c>
      <c r="C303" s="947" t="s">
        <v>2189</v>
      </c>
      <c r="D303" s="947" t="s">
        <v>1695</v>
      </c>
      <c r="E303" s="951">
        <v>135</v>
      </c>
      <c r="F303" s="951">
        <v>134</v>
      </c>
      <c r="G303" s="947" t="s">
        <v>3252</v>
      </c>
      <c r="H303" s="951">
        <v>0</v>
      </c>
      <c r="I303" s="951">
        <v>0</v>
      </c>
      <c r="J303" s="947" t="s">
        <v>196</v>
      </c>
      <c r="K303" s="947">
        <v>199117</v>
      </c>
      <c r="M303" s="631"/>
      <c r="P303" s="950" t="str">
        <f>VLOOKUP(J303,'רשימת רשויות'!A:A,1,0)</f>
        <v>בית שמש</v>
      </c>
      <c r="Q303" s="956">
        <f>IFERROR(VLOOKUP(B303,[2]מעובד!$D:$K,8,0),0)</f>
        <v>0</v>
      </c>
      <c r="R303" s="956">
        <f>IFERROR(VLOOKUP(B303,[2]מעובד!$D:$L,9,0),0)</f>
        <v>0</v>
      </c>
    </row>
    <row r="304" spans="1:18" x14ac:dyDescent="0.2">
      <c r="A304" s="947" t="s">
        <v>306</v>
      </c>
      <c r="B304" s="947">
        <v>199539</v>
      </c>
      <c r="C304" s="947" t="s">
        <v>2189</v>
      </c>
      <c r="D304" s="947" t="s">
        <v>1696</v>
      </c>
      <c r="E304" s="951">
        <v>339</v>
      </c>
      <c r="F304" s="951">
        <v>332</v>
      </c>
      <c r="G304" s="947" t="s">
        <v>3252</v>
      </c>
      <c r="H304" s="951">
        <v>0</v>
      </c>
      <c r="I304" s="951">
        <v>0</v>
      </c>
      <c r="J304" s="947" t="s">
        <v>306</v>
      </c>
      <c r="K304" s="947">
        <v>199539</v>
      </c>
      <c r="M304" s="631"/>
      <c r="P304" s="950" t="str">
        <f>VLOOKUP(J304,'רשימת רשויות'!A:A,1,0)</f>
        <v>מודיעין עילית</v>
      </c>
      <c r="Q304" s="956">
        <f>IFERROR(VLOOKUP(B304,[2]מעובד!$D:$K,8,0),0)</f>
        <v>340</v>
      </c>
      <c r="R304" s="956">
        <f>IFERROR(VLOOKUP(B304,[2]מעובד!$D:$L,9,0),0)</f>
        <v>302</v>
      </c>
    </row>
    <row r="305" spans="1:18" x14ac:dyDescent="0.2">
      <c r="A305" s="947" t="s">
        <v>197</v>
      </c>
      <c r="B305" s="947">
        <v>199752</v>
      </c>
      <c r="C305" s="947" t="s">
        <v>2189</v>
      </c>
      <c r="D305" s="947" t="s">
        <v>1697</v>
      </c>
      <c r="E305" s="951">
        <v>52</v>
      </c>
      <c r="F305" s="951">
        <v>52</v>
      </c>
      <c r="G305" s="947" t="s">
        <v>3252</v>
      </c>
      <c r="H305" s="951">
        <v>0</v>
      </c>
      <c r="I305" s="951">
        <v>0</v>
      </c>
      <c r="J305" s="947" t="s">
        <v>197</v>
      </c>
      <c r="K305" s="947">
        <v>199752</v>
      </c>
      <c r="M305" s="631"/>
      <c r="P305" s="950" t="str">
        <f>VLOOKUP(J305,'רשימת רשויות'!A:A,1,0)</f>
        <v>ביתר עילית</v>
      </c>
      <c r="Q305" s="956">
        <f>IFERROR(VLOOKUP(B305,[2]מעובד!$D:$K,8,0),0)</f>
        <v>0</v>
      </c>
      <c r="R305" s="956">
        <f>IFERROR(VLOOKUP(B305,[2]מעובד!$D:$L,9,0),0)</f>
        <v>0</v>
      </c>
    </row>
    <row r="306" spans="1:18" x14ac:dyDescent="0.2">
      <c r="A306" s="947" t="s">
        <v>229</v>
      </c>
      <c r="B306" s="947">
        <v>210062</v>
      </c>
      <c r="C306" s="947" t="s">
        <v>2189</v>
      </c>
      <c r="D306" s="947" t="s">
        <v>1666</v>
      </c>
      <c r="E306" s="951">
        <v>293</v>
      </c>
      <c r="F306" s="951">
        <v>69</v>
      </c>
      <c r="G306" s="947" t="s">
        <v>159</v>
      </c>
      <c r="H306" s="951">
        <v>0</v>
      </c>
      <c r="I306" s="951">
        <v>0</v>
      </c>
      <c r="J306" s="947" t="s">
        <v>229</v>
      </c>
      <c r="K306" s="947">
        <v>210062</v>
      </c>
      <c r="M306" s="631"/>
      <c r="P306" s="950" t="str">
        <f>VLOOKUP(J306,'רשימת רשויות'!A:A,1,0)</f>
        <v>הגליל העליון</v>
      </c>
      <c r="Q306" s="956">
        <f>IFERROR(VLOOKUP(B306,[2]מעובד!$D:$K,8,0),0)</f>
        <v>267</v>
      </c>
      <c r="R306" s="956">
        <f>IFERROR(VLOOKUP(B306,[2]מעובד!$D:$L,9,0),0)</f>
        <v>33</v>
      </c>
    </row>
    <row r="307" spans="1:18" x14ac:dyDescent="0.2">
      <c r="A307" s="947" t="s">
        <v>303</v>
      </c>
      <c r="B307" s="947">
        <v>210104</v>
      </c>
      <c r="C307" s="947" t="s">
        <v>2189</v>
      </c>
      <c r="D307" s="947" t="s">
        <v>1667</v>
      </c>
      <c r="E307" s="951">
        <v>148</v>
      </c>
      <c r="F307" s="951">
        <v>58</v>
      </c>
      <c r="G307" s="947" t="s">
        <v>159</v>
      </c>
      <c r="H307" s="951">
        <v>0</v>
      </c>
      <c r="I307" s="951">
        <v>0</v>
      </c>
      <c r="J307" s="947" t="s">
        <v>303</v>
      </c>
      <c r="K307" s="957" t="s">
        <v>3255</v>
      </c>
      <c r="M307" s="631"/>
      <c r="P307" s="950" t="str">
        <f>VLOOKUP(J307,'רשימת רשויות'!A:A,1,0)</f>
        <v>מגידו</v>
      </c>
      <c r="Q307" s="956">
        <f>IFERROR(VLOOKUP(B307,[2]מעובד!$D:$K,8,0),0)</f>
        <v>0</v>
      </c>
      <c r="R307" s="956">
        <f>IFERROR(VLOOKUP(B307,[2]מעובד!$D:$L,9,0),0)</f>
        <v>0</v>
      </c>
    </row>
    <row r="308" spans="1:18" x14ac:dyDescent="0.2">
      <c r="A308" s="947" t="s">
        <v>348</v>
      </c>
      <c r="B308" s="947">
        <v>210120</v>
      </c>
      <c r="C308" s="947" t="s">
        <v>2189</v>
      </c>
      <c r="D308" s="947" t="s">
        <v>1668</v>
      </c>
      <c r="E308" s="951">
        <v>122</v>
      </c>
      <c r="F308" s="951">
        <v>106</v>
      </c>
      <c r="G308" s="947" t="s">
        <v>159</v>
      </c>
      <c r="H308" s="951">
        <v>0</v>
      </c>
      <c r="I308" s="951">
        <v>0</v>
      </c>
      <c r="J308" s="947" t="s">
        <v>348</v>
      </c>
      <c r="K308" s="947">
        <v>210120</v>
      </c>
      <c r="M308" s="631"/>
      <c r="P308" s="950" t="str">
        <f>VLOOKUP(J308,'רשימת רשויות'!A:A,1,0)</f>
        <v>עמק הירדן</v>
      </c>
      <c r="Q308" s="956">
        <f>IFERROR(VLOOKUP(B308,[2]מעובד!$D:$K,8,0),0)</f>
        <v>0</v>
      </c>
      <c r="R308" s="956">
        <f>IFERROR(VLOOKUP(B308,[2]מעובד!$D:$L,9,0),0)</f>
        <v>0</v>
      </c>
    </row>
    <row r="309" spans="1:18" x14ac:dyDescent="0.2">
      <c r="A309" s="947" t="s">
        <v>309</v>
      </c>
      <c r="B309" s="947">
        <v>210138</v>
      </c>
      <c r="C309" s="947" t="s">
        <v>2189</v>
      </c>
      <c r="D309" s="947" t="s">
        <v>1676</v>
      </c>
      <c r="E309" s="951">
        <v>165</v>
      </c>
      <c r="F309" s="951">
        <v>165</v>
      </c>
      <c r="G309" s="947" t="s">
        <v>159</v>
      </c>
      <c r="H309" s="951">
        <v>0</v>
      </c>
      <c r="I309" s="951">
        <v>0</v>
      </c>
      <c r="J309" s="947" t="s">
        <v>309</v>
      </c>
      <c r="K309" s="947">
        <v>210138</v>
      </c>
      <c r="M309" s="631"/>
      <c r="P309" s="950" t="str">
        <f>VLOOKUP(J309,'רשימת רשויות'!A:A,1,0)</f>
        <v>מטה אשר</v>
      </c>
      <c r="Q309" s="956">
        <f>IFERROR(VLOOKUP(B309,[2]מעובד!$D:$K,8,0),0)</f>
        <v>153</v>
      </c>
      <c r="R309" s="956">
        <f>IFERROR(VLOOKUP(B309,[2]מעובד!$D:$L,9,0),0)</f>
        <v>37</v>
      </c>
    </row>
    <row r="310" spans="1:18" x14ac:dyDescent="0.2">
      <c r="A310" s="947" t="s">
        <v>195</v>
      </c>
      <c r="B310" s="947">
        <v>210260</v>
      </c>
      <c r="C310" s="947" t="s">
        <v>2189</v>
      </c>
      <c r="D310" s="947" t="s">
        <v>1737</v>
      </c>
      <c r="E310" s="951">
        <v>78</v>
      </c>
      <c r="F310" s="951">
        <v>42</v>
      </c>
      <c r="G310" s="947" t="s">
        <v>159</v>
      </c>
      <c r="H310" s="951">
        <v>27</v>
      </c>
      <c r="I310" s="951">
        <v>8</v>
      </c>
      <c r="J310" s="947" t="s">
        <v>195</v>
      </c>
      <c r="K310" s="947">
        <v>210260</v>
      </c>
      <c r="M310" s="631"/>
      <c r="P310" s="950" t="str">
        <f>VLOOKUP(J310,'רשימת רשויות'!A:A,1,0)</f>
        <v>בית שאן</v>
      </c>
      <c r="Q310" s="956">
        <f>IFERROR(VLOOKUP(B310,[2]מעובד!$D:$K,8,0),0)</f>
        <v>78</v>
      </c>
      <c r="R310" s="956">
        <f>IFERROR(VLOOKUP(B310,[2]מעובד!$D:$L,9,0),0)</f>
        <v>42</v>
      </c>
    </row>
    <row r="311" spans="1:18" x14ac:dyDescent="0.2">
      <c r="A311" s="947" t="s">
        <v>195</v>
      </c>
      <c r="B311" s="947">
        <v>210286</v>
      </c>
      <c r="C311" s="947" t="s">
        <v>2189</v>
      </c>
      <c r="D311" s="947" t="s">
        <v>970</v>
      </c>
      <c r="E311" s="951">
        <v>108</v>
      </c>
      <c r="F311" s="951">
        <v>64</v>
      </c>
      <c r="G311" s="947" t="s">
        <v>159</v>
      </c>
      <c r="H311" s="951">
        <v>30</v>
      </c>
      <c r="I311" s="951">
        <v>0</v>
      </c>
      <c r="J311" s="947" t="s">
        <v>195</v>
      </c>
      <c r="K311" s="947">
        <v>210286</v>
      </c>
      <c r="M311" s="631"/>
      <c r="P311" s="950" t="str">
        <f>VLOOKUP(J311,'רשימת רשויות'!A:A,1,0)</f>
        <v>בית שאן</v>
      </c>
      <c r="Q311" s="956">
        <f>IFERROR(VLOOKUP(B311,[2]מעובד!$D:$K,8,0),0)</f>
        <v>144</v>
      </c>
      <c r="R311" s="956">
        <f>IFERROR(VLOOKUP(B311,[2]מעובד!$D:$L,9,0),0)</f>
        <v>144</v>
      </c>
    </row>
    <row r="312" spans="1:18" x14ac:dyDescent="0.2">
      <c r="A312" s="947" t="s">
        <v>195</v>
      </c>
      <c r="B312" s="947">
        <v>210294</v>
      </c>
      <c r="C312" s="947" t="s">
        <v>2189</v>
      </c>
      <c r="D312" s="947" t="s">
        <v>1738</v>
      </c>
      <c r="E312" s="951">
        <v>165</v>
      </c>
      <c r="F312" s="951">
        <v>83</v>
      </c>
      <c r="G312" s="947" t="s">
        <v>159</v>
      </c>
      <c r="H312" s="951">
        <v>66</v>
      </c>
      <c r="I312" s="951">
        <v>8</v>
      </c>
      <c r="J312" s="947" t="s">
        <v>195</v>
      </c>
      <c r="K312" s="947">
        <v>210294</v>
      </c>
      <c r="M312" s="631"/>
      <c r="P312" s="950" t="str">
        <f>VLOOKUP(J312,'רשימת רשויות'!A:A,1,0)</f>
        <v>בית שאן</v>
      </c>
      <c r="Q312" s="956">
        <f>IFERROR(VLOOKUP(B312,[2]מעובד!$D:$K,8,0),0)</f>
        <v>191</v>
      </c>
      <c r="R312" s="956">
        <f>IFERROR(VLOOKUP(B312,[2]מעובד!$D:$L,9,0),0)</f>
        <v>83</v>
      </c>
    </row>
    <row r="313" spans="1:18" x14ac:dyDescent="0.2">
      <c r="A313" s="947" t="s">
        <v>195</v>
      </c>
      <c r="B313" s="947">
        <v>210302</v>
      </c>
      <c r="C313" s="947" t="s">
        <v>2189</v>
      </c>
      <c r="D313" s="947" t="s">
        <v>1739</v>
      </c>
      <c r="E313" s="951">
        <v>133</v>
      </c>
      <c r="F313" s="951">
        <v>106</v>
      </c>
      <c r="G313" s="947" t="s">
        <v>159</v>
      </c>
      <c r="H313" s="951">
        <v>0</v>
      </c>
      <c r="I313" s="951">
        <v>0</v>
      </c>
      <c r="J313" s="947" t="s">
        <v>195</v>
      </c>
      <c r="K313" s="947">
        <v>210302</v>
      </c>
      <c r="M313" s="631"/>
      <c r="P313" s="950" t="str">
        <f>VLOOKUP(J313,'רשימת רשויות'!A:A,1,0)</f>
        <v>בית שאן</v>
      </c>
      <c r="Q313" s="956">
        <f>IFERROR(VLOOKUP(B313,[2]מעובד!$D:$K,8,0),0)</f>
        <v>98</v>
      </c>
      <c r="R313" s="956">
        <f>IFERROR(VLOOKUP(B313,[2]מעובד!$D:$L,9,0),0)</f>
        <v>72</v>
      </c>
    </row>
    <row r="314" spans="1:18" x14ac:dyDescent="0.2">
      <c r="A314" s="947" t="s">
        <v>195</v>
      </c>
      <c r="B314" s="947">
        <v>210310</v>
      </c>
      <c r="C314" s="947" t="s">
        <v>2189</v>
      </c>
      <c r="D314" s="947" t="s">
        <v>1740</v>
      </c>
      <c r="E314" s="951">
        <v>218</v>
      </c>
      <c r="F314" s="951">
        <v>130</v>
      </c>
      <c r="G314" s="947" t="s">
        <v>159</v>
      </c>
      <c r="H314" s="951">
        <v>0</v>
      </c>
      <c r="I314" s="951">
        <v>0</v>
      </c>
      <c r="J314" s="947" t="s">
        <v>195</v>
      </c>
      <c r="K314" s="947">
        <v>210310</v>
      </c>
      <c r="M314" s="631"/>
      <c r="P314" s="950" t="str">
        <f>VLOOKUP(J314,'רשימת רשויות'!A:A,1,0)</f>
        <v>בית שאן</v>
      </c>
      <c r="Q314" s="956">
        <f>IFERROR(VLOOKUP(B314,[2]מעובד!$D:$K,8,0),0)</f>
        <v>86</v>
      </c>
      <c r="R314" s="956">
        <f>IFERROR(VLOOKUP(B314,[2]מעובד!$D:$L,9,0),0)</f>
        <v>61</v>
      </c>
    </row>
    <row r="315" spans="1:18" x14ac:dyDescent="0.2">
      <c r="A315" s="947" t="s">
        <v>351</v>
      </c>
      <c r="B315" s="947">
        <v>210419</v>
      </c>
      <c r="C315" s="947" t="s">
        <v>2189</v>
      </c>
      <c r="D315" s="947" t="s">
        <v>164</v>
      </c>
      <c r="E315" s="951">
        <v>154</v>
      </c>
      <c r="F315" s="951">
        <v>81</v>
      </c>
      <c r="G315" s="947" t="s">
        <v>159</v>
      </c>
      <c r="H315" s="951">
        <v>108</v>
      </c>
      <c r="I315" s="951">
        <v>0</v>
      </c>
      <c r="J315" s="947" t="s">
        <v>351</v>
      </c>
      <c r="K315" s="947">
        <v>210419</v>
      </c>
      <c r="M315" s="631"/>
      <c r="P315" s="950" t="str">
        <f>VLOOKUP(J315,'רשימת רשויות'!A:A,1,0)</f>
        <v>עמק יזרעאל</v>
      </c>
      <c r="Q315" s="956">
        <f>IFERROR(VLOOKUP(B315,[2]מעובד!$D:$K,8,0),0)</f>
        <v>0</v>
      </c>
      <c r="R315" s="956">
        <f>IFERROR(VLOOKUP(B315,[2]מעובד!$D:$L,9,0),0)</f>
        <v>0</v>
      </c>
    </row>
    <row r="316" spans="1:18" x14ac:dyDescent="0.2">
      <c r="A316" s="947" t="s">
        <v>348</v>
      </c>
      <c r="B316" s="947">
        <v>210427</v>
      </c>
      <c r="C316" s="947" t="s">
        <v>2189</v>
      </c>
      <c r="D316" s="947" t="s">
        <v>1808</v>
      </c>
      <c r="E316" s="951">
        <v>176</v>
      </c>
      <c r="F316" s="951">
        <v>176</v>
      </c>
      <c r="G316" s="947" t="s">
        <v>159</v>
      </c>
      <c r="H316" s="951">
        <v>0</v>
      </c>
      <c r="I316" s="951">
        <v>0</v>
      </c>
      <c r="J316" s="947" t="s">
        <v>348</v>
      </c>
      <c r="K316" s="947">
        <v>210427</v>
      </c>
      <c r="M316" s="631"/>
      <c r="P316" s="950" t="str">
        <f>VLOOKUP(J316,'רשימת רשויות'!A:A,1,0)</f>
        <v>עמק הירדן</v>
      </c>
      <c r="Q316" s="956">
        <f>IFERROR(VLOOKUP(B316,[2]מעובד!$D:$K,8,0),0)</f>
        <v>0</v>
      </c>
      <c r="R316" s="956">
        <f>IFERROR(VLOOKUP(B316,[2]מעובד!$D:$L,9,0),0)</f>
        <v>0</v>
      </c>
    </row>
    <row r="317" spans="1:18" x14ac:dyDescent="0.2">
      <c r="A317" s="947" t="s">
        <v>351</v>
      </c>
      <c r="B317" s="947">
        <v>210435</v>
      </c>
      <c r="C317" s="947" t="s">
        <v>2189</v>
      </c>
      <c r="D317" s="947" t="s">
        <v>1809</v>
      </c>
      <c r="E317" s="951">
        <v>227</v>
      </c>
      <c r="F317" s="951">
        <v>140</v>
      </c>
      <c r="G317" s="947" t="s">
        <v>159</v>
      </c>
      <c r="H317" s="951">
        <v>0</v>
      </c>
      <c r="I317" s="951">
        <v>0</v>
      </c>
      <c r="J317" s="947" t="s">
        <v>351</v>
      </c>
      <c r="K317" s="947">
        <v>210435</v>
      </c>
      <c r="M317" s="631"/>
      <c r="P317" s="950" t="str">
        <f>VLOOKUP(J317,'רשימת רשויות'!A:A,1,0)</f>
        <v>עמק יזרעאל</v>
      </c>
      <c r="Q317" s="956">
        <f>IFERROR(VLOOKUP(B317,[2]מעובד!$D:$K,8,0),0)</f>
        <v>0</v>
      </c>
      <c r="R317" s="956">
        <f>IFERROR(VLOOKUP(B317,[2]מעובד!$D:$L,9,0),0)</f>
        <v>0</v>
      </c>
    </row>
    <row r="318" spans="1:18" x14ac:dyDescent="0.2">
      <c r="A318" s="947" t="s">
        <v>309</v>
      </c>
      <c r="B318" s="947">
        <v>210468</v>
      </c>
      <c r="C318" s="947" t="s">
        <v>2189</v>
      </c>
      <c r="D318" s="947" t="s">
        <v>1810</v>
      </c>
      <c r="E318" s="951">
        <v>190</v>
      </c>
      <c r="F318" s="951">
        <v>190</v>
      </c>
      <c r="G318" s="947" t="s">
        <v>159</v>
      </c>
      <c r="H318" s="951">
        <v>0</v>
      </c>
      <c r="I318" s="951">
        <v>0</v>
      </c>
      <c r="J318" s="947" t="s">
        <v>309</v>
      </c>
      <c r="K318" s="957" t="s">
        <v>3256</v>
      </c>
      <c r="M318" s="631"/>
      <c r="P318" s="950" t="str">
        <f>VLOOKUP(J318,'רשימת רשויות'!A:A,1,0)</f>
        <v>מטה אשר</v>
      </c>
      <c r="Q318" s="956">
        <f>IFERROR(VLOOKUP(B318,[2]מעובד!$D:$K,8,0),0)</f>
        <v>247</v>
      </c>
      <c r="R318" s="956">
        <f>IFERROR(VLOOKUP(B318,[2]מעובד!$D:$L,9,0),0)</f>
        <v>157</v>
      </c>
    </row>
    <row r="319" spans="1:18" x14ac:dyDescent="0.2">
      <c r="A319" s="947" t="s">
        <v>228</v>
      </c>
      <c r="B319" s="947">
        <v>210484</v>
      </c>
      <c r="C319" s="947" t="s">
        <v>2189</v>
      </c>
      <c r="D319" s="947" t="s">
        <v>1811</v>
      </c>
      <c r="E319" s="951">
        <v>260</v>
      </c>
      <c r="F319" s="951">
        <v>175</v>
      </c>
      <c r="G319" s="947" t="s">
        <v>159</v>
      </c>
      <c r="H319" s="951">
        <v>83</v>
      </c>
      <c r="I319" s="951">
        <v>9</v>
      </c>
      <c r="J319" s="947" t="s">
        <v>228</v>
      </c>
      <c r="K319" s="947">
        <v>210484</v>
      </c>
      <c r="M319" s="631"/>
      <c r="P319" s="950" t="str">
        <f>VLOOKUP(J319,'רשימת רשויות'!A:A,1,0)</f>
        <v>הגלבוע</v>
      </c>
      <c r="Q319" s="956">
        <f>IFERROR(VLOOKUP(B319,[2]מעובד!$D:$K,8,0),0)</f>
        <v>267</v>
      </c>
      <c r="R319" s="956">
        <f>IFERROR(VLOOKUP(B319,[2]מעובד!$D:$L,9,0),0)</f>
        <v>45</v>
      </c>
    </row>
    <row r="320" spans="1:18" x14ac:dyDescent="0.2">
      <c r="A320" s="947" t="s">
        <v>348</v>
      </c>
      <c r="B320" s="947">
        <v>210500</v>
      </c>
      <c r="C320" s="947" t="s">
        <v>2189</v>
      </c>
      <c r="D320" s="947" t="s">
        <v>1821</v>
      </c>
      <c r="E320" s="951">
        <v>220</v>
      </c>
      <c r="F320" s="951">
        <v>220</v>
      </c>
      <c r="G320" s="947" t="s">
        <v>159</v>
      </c>
      <c r="H320" s="951">
        <v>0</v>
      </c>
      <c r="I320" s="951">
        <v>0</v>
      </c>
      <c r="J320" s="947" t="s">
        <v>348</v>
      </c>
      <c r="K320" s="947">
        <v>210500</v>
      </c>
      <c r="M320" s="631"/>
      <c r="P320" s="950" t="str">
        <f>VLOOKUP(J320,'רשימת רשויות'!A:A,1,0)</f>
        <v>עמק הירדן</v>
      </c>
      <c r="Q320" s="956">
        <f>IFERROR(VLOOKUP(B320,[2]מעובד!$D:$K,8,0),0)</f>
        <v>0</v>
      </c>
      <c r="R320" s="956">
        <f>IFERROR(VLOOKUP(B320,[2]מעובד!$D:$L,9,0),0)</f>
        <v>0</v>
      </c>
    </row>
    <row r="321" spans="1:18" x14ac:dyDescent="0.2">
      <c r="A321" s="947" t="s">
        <v>303</v>
      </c>
      <c r="B321" s="947">
        <v>210575</v>
      </c>
      <c r="C321" s="947" t="s">
        <v>2189</v>
      </c>
      <c r="D321" s="947" t="s">
        <v>1822</v>
      </c>
      <c r="E321" s="951">
        <v>268</v>
      </c>
      <c r="F321" s="951">
        <v>86</v>
      </c>
      <c r="G321" s="947" t="s">
        <v>159</v>
      </c>
      <c r="H321" s="951">
        <v>93</v>
      </c>
      <c r="I321" s="951">
        <v>3</v>
      </c>
      <c r="J321" s="947" t="s">
        <v>303</v>
      </c>
      <c r="K321" s="957" t="s">
        <v>3255</v>
      </c>
      <c r="M321" s="631"/>
      <c r="P321" s="950" t="str">
        <f>VLOOKUP(J321,'רשימת רשויות'!A:A,1,0)</f>
        <v>מגידו</v>
      </c>
      <c r="Q321" s="956">
        <f>IFERROR(VLOOKUP(B321,[2]מעובד!$D:$K,8,0),0)</f>
        <v>0</v>
      </c>
      <c r="R321" s="956">
        <f>IFERROR(VLOOKUP(B321,[2]מעובד!$D:$L,9,0),0)</f>
        <v>0</v>
      </c>
    </row>
    <row r="322" spans="1:18" x14ac:dyDescent="0.2">
      <c r="A322" s="947" t="s">
        <v>349</v>
      </c>
      <c r="B322" s="947">
        <v>210641</v>
      </c>
      <c r="C322" s="947" t="s">
        <v>2189</v>
      </c>
      <c r="D322" s="947" t="s">
        <v>1670</v>
      </c>
      <c r="E322" s="951">
        <v>255</v>
      </c>
      <c r="F322" s="951">
        <v>98</v>
      </c>
      <c r="G322" s="947" t="s">
        <v>159</v>
      </c>
      <c r="H322" s="951">
        <v>176</v>
      </c>
      <c r="I322" s="951">
        <v>16</v>
      </c>
      <c r="J322" s="947" t="s">
        <v>349</v>
      </c>
      <c r="K322" s="957" t="s">
        <v>3257</v>
      </c>
      <c r="M322" s="631"/>
      <c r="P322" s="950" t="str">
        <f>VLOOKUP(J322,'רשימת רשויות'!A:A,1,0)</f>
        <v>עמק המעיינות</v>
      </c>
      <c r="Q322" s="956">
        <f>IFERROR(VLOOKUP(B322,[2]מעובד!$D:$K,8,0),0)</f>
        <v>0</v>
      </c>
      <c r="R322" s="956">
        <f>IFERROR(VLOOKUP(B322,[2]מעובד!$D:$L,9,0),0)</f>
        <v>0</v>
      </c>
    </row>
    <row r="323" spans="1:18" x14ac:dyDescent="0.2">
      <c r="A323" s="947" t="s">
        <v>252</v>
      </c>
      <c r="B323" s="947">
        <v>210674</v>
      </c>
      <c r="C323" s="947" t="s">
        <v>2189</v>
      </c>
      <c r="D323" s="947" t="s">
        <v>1671</v>
      </c>
      <c r="E323" s="951">
        <v>130</v>
      </c>
      <c r="F323" s="951">
        <v>80</v>
      </c>
      <c r="G323" s="947" t="s">
        <v>159</v>
      </c>
      <c r="H323" s="951">
        <v>52</v>
      </c>
      <c r="I323" s="951">
        <v>8</v>
      </c>
      <c r="J323" s="947" t="s">
        <v>252</v>
      </c>
      <c r="K323" s="947">
        <v>210674</v>
      </c>
      <c r="M323" s="631"/>
      <c r="P323" s="950" t="str">
        <f>VLOOKUP(J323,'רשימת רשויות'!A:A,1,0)</f>
        <v>חצור הגלילית</v>
      </c>
      <c r="Q323" s="956">
        <f>IFERROR(VLOOKUP(B323,[2]מעובד!$D:$K,8,0),0)</f>
        <v>133</v>
      </c>
      <c r="R323" s="956">
        <f>IFERROR(VLOOKUP(B323,[2]מעובד!$D:$L,9,0),0)</f>
        <v>73</v>
      </c>
    </row>
    <row r="324" spans="1:18" x14ac:dyDescent="0.2">
      <c r="A324" s="947" t="s">
        <v>252</v>
      </c>
      <c r="B324" s="947">
        <v>210682</v>
      </c>
      <c r="C324" s="947" t="s">
        <v>2189</v>
      </c>
      <c r="D324" s="947" t="s">
        <v>1672</v>
      </c>
      <c r="E324" s="951">
        <v>99</v>
      </c>
      <c r="F324" s="951">
        <v>75</v>
      </c>
      <c r="G324" s="947" t="s">
        <v>159</v>
      </c>
      <c r="H324" s="951">
        <v>60</v>
      </c>
      <c r="I324" s="951">
        <v>24</v>
      </c>
      <c r="J324" s="947" t="s">
        <v>252</v>
      </c>
      <c r="K324" s="947">
        <v>210682</v>
      </c>
      <c r="M324" s="631"/>
      <c r="P324" s="950" t="str">
        <f>VLOOKUP(J324,'רשימת רשויות'!A:A,1,0)</f>
        <v>חצור הגלילית</v>
      </c>
      <c r="Q324" s="956">
        <f>IFERROR(VLOOKUP(B324,[2]מעובד!$D:$K,8,0),0)</f>
        <v>0</v>
      </c>
      <c r="R324" s="956">
        <f>IFERROR(VLOOKUP(B324,[2]מעובד!$D:$L,9,0),0)</f>
        <v>0</v>
      </c>
    </row>
    <row r="325" spans="1:18" x14ac:dyDescent="0.2">
      <c r="A325" s="947" t="s">
        <v>254</v>
      </c>
      <c r="B325" s="947">
        <v>210690</v>
      </c>
      <c r="C325" s="947" t="s">
        <v>2189</v>
      </c>
      <c r="D325" s="947" t="s">
        <v>1673</v>
      </c>
      <c r="E325" s="951">
        <v>120</v>
      </c>
      <c r="F325" s="951">
        <v>103</v>
      </c>
      <c r="G325" s="947" t="s">
        <v>159</v>
      </c>
      <c r="H325" s="951">
        <v>43</v>
      </c>
      <c r="I325" s="951">
        <v>12</v>
      </c>
      <c r="J325" s="947" t="s">
        <v>254</v>
      </c>
      <c r="K325" s="947">
        <v>210690</v>
      </c>
      <c r="M325" s="631"/>
      <c r="P325" s="950" t="str">
        <f>VLOOKUP(J325,'רשימת רשויות'!A:A,1,0)</f>
        <v>טבריה</v>
      </c>
      <c r="Q325" s="956">
        <f>IFERROR(VLOOKUP(B325,[2]מעובד!$D:$K,8,0),0)</f>
        <v>128</v>
      </c>
      <c r="R325" s="956">
        <f>IFERROR(VLOOKUP(B325,[2]מעובד!$D:$L,9,0),0)</f>
        <v>50</v>
      </c>
    </row>
    <row r="326" spans="1:18" x14ac:dyDescent="0.2">
      <c r="A326" s="947" t="s">
        <v>254</v>
      </c>
      <c r="B326" s="947">
        <v>210708</v>
      </c>
      <c r="C326" s="947" t="s">
        <v>2189</v>
      </c>
      <c r="D326" s="947" t="s">
        <v>1674</v>
      </c>
      <c r="E326" s="951">
        <v>165</v>
      </c>
      <c r="F326" s="951">
        <v>151</v>
      </c>
      <c r="G326" s="947" t="s">
        <v>159</v>
      </c>
      <c r="H326" s="951">
        <v>0</v>
      </c>
      <c r="I326" s="951">
        <v>0</v>
      </c>
      <c r="J326" s="947" t="s">
        <v>254</v>
      </c>
      <c r="K326" s="947">
        <v>210708</v>
      </c>
      <c r="M326" s="631"/>
      <c r="P326" s="950" t="str">
        <f>VLOOKUP(J326,'רשימת רשויות'!A:A,1,0)</f>
        <v>טבריה</v>
      </c>
      <c r="Q326" s="956">
        <f>IFERROR(VLOOKUP(B326,[2]מעובד!$D:$K,8,0),0)</f>
        <v>129</v>
      </c>
      <c r="R326" s="956">
        <f>IFERROR(VLOOKUP(B326,[2]מעובד!$D:$L,9,0),0)</f>
        <v>75</v>
      </c>
    </row>
    <row r="327" spans="1:18" x14ac:dyDescent="0.2">
      <c r="A327" s="947" t="s">
        <v>254</v>
      </c>
      <c r="B327" s="947">
        <v>210732</v>
      </c>
      <c r="C327" s="947" t="s">
        <v>2189</v>
      </c>
      <c r="D327" s="947" t="s">
        <v>1679</v>
      </c>
      <c r="E327" s="951">
        <v>242</v>
      </c>
      <c r="F327" s="951">
        <v>232</v>
      </c>
      <c r="G327" s="947" t="s">
        <v>159</v>
      </c>
      <c r="H327" s="951">
        <v>91</v>
      </c>
      <c r="I327" s="951">
        <v>10</v>
      </c>
      <c r="J327" s="947" t="s">
        <v>254</v>
      </c>
      <c r="K327" s="947">
        <v>210732</v>
      </c>
      <c r="M327" s="631"/>
      <c r="P327" s="950" t="str">
        <f>VLOOKUP(J327,'רשימת רשויות'!A:A,1,0)</f>
        <v>טבריה</v>
      </c>
      <c r="Q327" s="956">
        <f>IFERROR(VLOOKUP(B327,[2]מעובד!$D:$K,8,0),0)</f>
        <v>211</v>
      </c>
      <c r="R327" s="956">
        <f>IFERROR(VLOOKUP(B327,[2]מעובד!$D:$L,9,0),0)</f>
        <v>120</v>
      </c>
    </row>
    <row r="328" spans="1:18" x14ac:dyDescent="0.2">
      <c r="A328" s="947" t="s">
        <v>254</v>
      </c>
      <c r="B328" s="947">
        <v>210781</v>
      </c>
      <c r="C328" s="947" t="s">
        <v>2189</v>
      </c>
      <c r="D328" s="947" t="s">
        <v>1721</v>
      </c>
      <c r="E328" s="951">
        <v>269</v>
      </c>
      <c r="F328" s="951">
        <v>229</v>
      </c>
      <c r="G328" s="947" t="s">
        <v>159</v>
      </c>
      <c r="H328" s="951">
        <v>269</v>
      </c>
      <c r="I328" s="951">
        <v>39</v>
      </c>
      <c r="J328" s="947" t="s">
        <v>254</v>
      </c>
      <c r="K328" s="947">
        <v>210781</v>
      </c>
      <c r="M328" s="631"/>
      <c r="P328" s="950" t="str">
        <f>VLOOKUP(J328,'רשימת רשויות'!A:A,1,0)</f>
        <v>טבריה</v>
      </c>
      <c r="Q328" s="956">
        <f>IFERROR(VLOOKUP(B328,[2]מעובד!$D:$K,8,0),0)</f>
        <v>183</v>
      </c>
      <c r="R328" s="956">
        <f>IFERROR(VLOOKUP(B328,[2]מעובד!$D:$L,9,0),0)</f>
        <v>83</v>
      </c>
    </row>
    <row r="329" spans="1:18" x14ac:dyDescent="0.2">
      <c r="A329" s="947" t="s">
        <v>254</v>
      </c>
      <c r="B329" s="947">
        <v>210799</v>
      </c>
      <c r="C329" s="947" t="s">
        <v>2189</v>
      </c>
      <c r="D329" s="947" t="s">
        <v>1732</v>
      </c>
      <c r="E329" s="951">
        <v>94</v>
      </c>
      <c r="F329" s="951">
        <v>94</v>
      </c>
      <c r="G329" s="947" t="s">
        <v>159</v>
      </c>
      <c r="H329" s="951">
        <v>0</v>
      </c>
      <c r="I329" s="951">
        <v>0</v>
      </c>
      <c r="J329" s="947" t="s">
        <v>254</v>
      </c>
      <c r="K329" s="947">
        <v>210799</v>
      </c>
      <c r="M329" s="631"/>
      <c r="P329" s="950" t="str">
        <f>VLOOKUP(J329,'רשימת רשויות'!A:A,1,0)</f>
        <v>טבריה</v>
      </c>
      <c r="Q329" s="956">
        <f>IFERROR(VLOOKUP(B329,[2]מעובד!$D:$K,8,0),0)</f>
        <v>75</v>
      </c>
      <c r="R329" s="956">
        <f>IFERROR(VLOOKUP(B329,[2]מעובד!$D:$L,9,0),0)</f>
        <v>73</v>
      </c>
    </row>
    <row r="330" spans="1:18" x14ac:dyDescent="0.2">
      <c r="A330" s="947" t="s">
        <v>261</v>
      </c>
      <c r="B330" s="947">
        <v>210807</v>
      </c>
      <c r="C330" s="947" t="s">
        <v>2189</v>
      </c>
      <c r="D330" s="947" t="s">
        <v>1733</v>
      </c>
      <c r="E330" s="951">
        <v>58</v>
      </c>
      <c r="F330" s="951">
        <v>36</v>
      </c>
      <c r="G330" s="947" t="s">
        <v>159</v>
      </c>
      <c r="H330" s="951">
        <v>29</v>
      </c>
      <c r="I330" s="951">
        <v>5</v>
      </c>
      <c r="J330" s="947" t="s">
        <v>261</v>
      </c>
      <c r="K330" s="957" t="s">
        <v>3258</v>
      </c>
      <c r="M330" s="631"/>
      <c r="P330" s="950" t="str">
        <f>VLOOKUP(J330,'רשימת רשויות'!A:A,1,0)</f>
        <v>יבנאל</v>
      </c>
      <c r="Q330" s="956">
        <f>IFERROR(VLOOKUP(B330,[2]מעובד!$D:$K,8,0),0)</f>
        <v>0</v>
      </c>
      <c r="R330" s="956">
        <f>IFERROR(VLOOKUP(B330,[2]מעובד!$D:$L,9,0),0)</f>
        <v>0</v>
      </c>
    </row>
    <row r="331" spans="1:18" x14ac:dyDescent="0.2">
      <c r="A331" s="947" t="s">
        <v>261</v>
      </c>
      <c r="B331" s="947">
        <v>210815</v>
      </c>
      <c r="C331" s="947" t="s">
        <v>2189</v>
      </c>
      <c r="D331" s="947" t="s">
        <v>1734</v>
      </c>
      <c r="E331" s="951">
        <v>74</v>
      </c>
      <c r="F331" s="951">
        <v>70</v>
      </c>
      <c r="G331" s="947" t="s">
        <v>159</v>
      </c>
      <c r="H331" s="951">
        <v>0</v>
      </c>
      <c r="I331" s="951">
        <v>0</v>
      </c>
      <c r="J331" s="947" t="s">
        <v>261</v>
      </c>
      <c r="K331" s="947">
        <v>210815</v>
      </c>
      <c r="M331" s="631"/>
      <c r="P331" s="950" t="str">
        <f>VLOOKUP(J331,'רשימת רשויות'!A:A,1,0)</f>
        <v>יבנאל</v>
      </c>
      <c r="Q331" s="956">
        <f>IFERROR(VLOOKUP(B331,[2]מעובד!$D:$K,8,0),0)</f>
        <v>81</v>
      </c>
      <c r="R331" s="956">
        <f>IFERROR(VLOOKUP(B331,[2]מעובד!$D:$L,9,0),0)</f>
        <v>53</v>
      </c>
    </row>
    <row r="332" spans="1:18" x14ac:dyDescent="0.2">
      <c r="A332" s="947" t="s">
        <v>268</v>
      </c>
      <c r="B332" s="947">
        <v>210880</v>
      </c>
      <c r="C332" s="947" t="s">
        <v>2189</v>
      </c>
      <c r="D332" s="947" t="s">
        <v>2376</v>
      </c>
      <c r="E332" s="951">
        <v>95</v>
      </c>
      <c r="F332" s="951">
        <v>51</v>
      </c>
      <c r="G332" s="947" t="s">
        <v>159</v>
      </c>
      <c r="H332" s="951">
        <v>36</v>
      </c>
      <c r="I332" s="951">
        <v>0</v>
      </c>
      <c r="J332" s="947" t="s">
        <v>268</v>
      </c>
      <c r="K332" s="947">
        <v>210880</v>
      </c>
      <c r="M332" s="631"/>
      <c r="P332" s="950" t="str">
        <f>VLOOKUP(J332,'רשימת רשויות'!A:A,1,0)</f>
        <v>יקנעם עילית</v>
      </c>
      <c r="Q332" s="956">
        <f>IFERROR(VLOOKUP(B332,[2]מעובד!$D:$K,8,0),0)</f>
        <v>159</v>
      </c>
      <c r="R332" s="956">
        <f>IFERROR(VLOOKUP(B332,[2]מעובד!$D:$L,9,0),0)</f>
        <v>60</v>
      </c>
    </row>
    <row r="333" spans="1:18" x14ac:dyDescent="0.2">
      <c r="A333" s="947" t="s">
        <v>268</v>
      </c>
      <c r="B333" s="947">
        <v>210906</v>
      </c>
      <c r="C333" s="947" t="s">
        <v>2189</v>
      </c>
      <c r="D333" s="947" t="s">
        <v>1741</v>
      </c>
      <c r="E333" s="951">
        <v>137</v>
      </c>
      <c r="F333" s="951">
        <v>95</v>
      </c>
      <c r="G333" s="947" t="s">
        <v>159</v>
      </c>
      <c r="H333" s="951">
        <v>56</v>
      </c>
      <c r="I333" s="951">
        <v>0</v>
      </c>
      <c r="J333" s="947" t="s">
        <v>268</v>
      </c>
      <c r="K333" s="947">
        <v>210906</v>
      </c>
      <c r="M333" s="631"/>
      <c r="P333" s="950" t="str">
        <f>VLOOKUP(J333,'רשימת רשויות'!A:A,1,0)</f>
        <v>יקנעם עילית</v>
      </c>
      <c r="Q333" s="956">
        <f>IFERROR(VLOOKUP(B333,[2]מעובד!$D:$K,8,0),0)</f>
        <v>134</v>
      </c>
      <c r="R333" s="956">
        <f>IFERROR(VLOOKUP(B333,[2]מעובד!$D:$L,9,0),0)</f>
        <v>60</v>
      </c>
    </row>
    <row r="334" spans="1:18" x14ac:dyDescent="0.2">
      <c r="A334" s="947" t="s">
        <v>229</v>
      </c>
      <c r="B334" s="947">
        <v>210914</v>
      </c>
      <c r="C334" s="947" t="s">
        <v>2189</v>
      </c>
      <c r="D334" s="947" t="s">
        <v>2949</v>
      </c>
      <c r="E334" s="951">
        <v>52</v>
      </c>
      <c r="F334" s="951">
        <v>35</v>
      </c>
      <c r="G334" s="947" t="s">
        <v>159</v>
      </c>
      <c r="H334" s="951">
        <v>0</v>
      </c>
      <c r="I334" s="951">
        <v>0</v>
      </c>
      <c r="J334" s="947" t="s">
        <v>229</v>
      </c>
      <c r="K334" s="947">
        <v>210914</v>
      </c>
      <c r="M334" s="631"/>
      <c r="P334" s="950" t="str">
        <f>VLOOKUP(J334,'רשימת רשויות'!A:A,1,0)</f>
        <v>הגליל העליון</v>
      </c>
      <c r="Q334" s="956">
        <f>IFERROR(VLOOKUP(B334,[2]מעובד!$D:$K,8,0),0)</f>
        <v>53</v>
      </c>
      <c r="R334" s="956">
        <f>IFERROR(VLOOKUP(B334,[2]מעובד!$D:$L,9,0),0)</f>
        <v>30</v>
      </c>
    </row>
    <row r="335" spans="1:18" x14ac:dyDescent="0.2">
      <c r="A335" s="947" t="s">
        <v>309</v>
      </c>
      <c r="B335" s="947">
        <v>210930</v>
      </c>
      <c r="C335" s="947" t="s">
        <v>2189</v>
      </c>
      <c r="D335" s="947" t="s">
        <v>2950</v>
      </c>
      <c r="E335" s="951">
        <v>228</v>
      </c>
      <c r="F335" s="951">
        <v>456</v>
      </c>
      <c r="G335" s="947" t="s">
        <v>159</v>
      </c>
      <c r="H335" s="951">
        <v>0</v>
      </c>
      <c r="I335" s="951">
        <v>0</v>
      </c>
      <c r="J335" s="947" t="s">
        <v>309</v>
      </c>
      <c r="K335" s="947">
        <v>210930</v>
      </c>
      <c r="M335" s="631"/>
      <c r="P335" s="950" t="str">
        <f>VLOOKUP(J335,'רשימת רשויות'!A:A,1,0)</f>
        <v>מטה אשר</v>
      </c>
      <c r="Q335" s="956">
        <f>IFERROR(VLOOKUP(B335,[2]מעובד!$D:$K,8,0),0)</f>
        <v>278</v>
      </c>
      <c r="R335" s="956">
        <f>IFERROR(VLOOKUP(B335,[2]מעובד!$D:$L,9,0),0)</f>
        <v>128</v>
      </c>
    </row>
    <row r="336" spans="1:18" x14ac:dyDescent="0.2">
      <c r="A336" s="947" t="s">
        <v>230</v>
      </c>
      <c r="B336" s="947">
        <v>210948</v>
      </c>
      <c r="C336" s="947" t="s">
        <v>2189</v>
      </c>
      <c r="D336" s="947" t="s">
        <v>1797</v>
      </c>
      <c r="E336" s="951">
        <v>163</v>
      </c>
      <c r="F336" s="951">
        <v>134</v>
      </c>
      <c r="G336" s="947" t="s">
        <v>159</v>
      </c>
      <c r="H336" s="951">
        <v>52</v>
      </c>
      <c r="I336" s="951">
        <v>5</v>
      </c>
      <c r="J336" s="947" t="s">
        <v>230</v>
      </c>
      <c r="K336" s="947">
        <v>210948</v>
      </c>
      <c r="M336" s="631"/>
      <c r="P336" s="950" t="str">
        <f>VLOOKUP(J336,'רשימת רשויות'!A:A,1,0)</f>
        <v>הגליל התחתון</v>
      </c>
      <c r="Q336" s="956">
        <f>IFERROR(VLOOKUP(B336,[2]מעובד!$D:$K,8,0),0)</f>
        <v>0</v>
      </c>
      <c r="R336" s="956">
        <f>IFERROR(VLOOKUP(B336,[2]מעובד!$D:$L,9,0),0)</f>
        <v>0</v>
      </c>
    </row>
    <row r="337" spans="1:18" x14ac:dyDescent="0.2">
      <c r="A337" s="947" t="s">
        <v>348</v>
      </c>
      <c r="B337" s="947">
        <v>210955</v>
      </c>
      <c r="C337" s="947" t="s">
        <v>2189</v>
      </c>
      <c r="D337" s="947" t="s">
        <v>1798</v>
      </c>
      <c r="E337" s="951">
        <v>66</v>
      </c>
      <c r="F337" s="951">
        <v>57</v>
      </c>
      <c r="G337" s="947" t="s">
        <v>159</v>
      </c>
      <c r="H337" s="951">
        <v>22</v>
      </c>
      <c r="I337" s="951">
        <v>9</v>
      </c>
      <c r="J337" s="947" t="s">
        <v>348</v>
      </c>
      <c r="K337" s="947">
        <v>210955</v>
      </c>
      <c r="M337" s="631"/>
      <c r="P337" s="950" t="str">
        <f>VLOOKUP(J337,'רשימת רשויות'!A:A,1,0)</f>
        <v>עמק הירדן</v>
      </c>
      <c r="Q337" s="956">
        <f>IFERROR(VLOOKUP(B337,[2]מעובד!$D:$K,8,0),0)</f>
        <v>0</v>
      </c>
      <c r="R337" s="956">
        <f>IFERROR(VLOOKUP(B337,[2]מעובד!$D:$L,9,0),0)</f>
        <v>0</v>
      </c>
    </row>
    <row r="338" spans="1:18" x14ac:dyDescent="0.2">
      <c r="A338" s="947" t="s">
        <v>229</v>
      </c>
      <c r="B338" s="947">
        <v>210963</v>
      </c>
      <c r="C338" s="947" t="s">
        <v>2189</v>
      </c>
      <c r="D338" s="947" t="s">
        <v>1799</v>
      </c>
      <c r="E338" s="951">
        <v>184</v>
      </c>
      <c r="F338" s="951">
        <v>162</v>
      </c>
      <c r="G338" s="947" t="s">
        <v>159</v>
      </c>
      <c r="H338" s="951">
        <v>132</v>
      </c>
      <c r="I338" s="951">
        <v>4</v>
      </c>
      <c r="J338" s="947" t="s">
        <v>229</v>
      </c>
      <c r="K338" s="957" t="s">
        <v>3259</v>
      </c>
      <c r="M338" s="631"/>
      <c r="P338" s="950" t="str">
        <f>VLOOKUP(J338,'רשימת רשויות'!A:A,1,0)</f>
        <v>הגליל העליון</v>
      </c>
      <c r="Q338" s="956">
        <f>IFERROR(VLOOKUP(B338,[2]מעובד!$D:$K,8,0),0)</f>
        <v>0</v>
      </c>
      <c r="R338" s="956">
        <f>IFERROR(VLOOKUP(B338,[2]מעובד!$D:$L,9,0),0)</f>
        <v>0</v>
      </c>
    </row>
    <row r="339" spans="1:18" x14ac:dyDescent="0.2">
      <c r="A339" s="947" t="s">
        <v>229</v>
      </c>
      <c r="B339" s="947">
        <v>210971</v>
      </c>
      <c r="C339" s="947" t="s">
        <v>2189</v>
      </c>
      <c r="D339" s="947" t="s">
        <v>1812</v>
      </c>
      <c r="E339" s="951">
        <v>220</v>
      </c>
      <c r="F339" s="951">
        <v>85</v>
      </c>
      <c r="G339" s="947" t="s">
        <v>159</v>
      </c>
      <c r="H339" s="951">
        <v>0</v>
      </c>
      <c r="I339" s="951">
        <v>0</v>
      </c>
      <c r="J339" s="947" t="s">
        <v>229</v>
      </c>
      <c r="K339" s="947">
        <v>210971</v>
      </c>
      <c r="M339" s="631"/>
      <c r="P339" s="950" t="str">
        <f>VLOOKUP(J339,'רשימת רשויות'!A:A,1,0)</f>
        <v>הגליל העליון</v>
      </c>
      <c r="Q339" s="956">
        <f>IFERROR(VLOOKUP(B339,[2]מעובד!$D:$K,8,0),0)</f>
        <v>221</v>
      </c>
      <c r="R339" s="956">
        <f>IFERROR(VLOOKUP(B339,[2]מעובד!$D:$L,9,0),0)</f>
        <v>78</v>
      </c>
    </row>
    <row r="340" spans="1:18" x14ac:dyDescent="0.2">
      <c r="A340" s="947" t="s">
        <v>351</v>
      </c>
      <c r="B340" s="947">
        <v>211029</v>
      </c>
      <c r="C340" s="947" t="s">
        <v>2189</v>
      </c>
      <c r="D340" s="947" t="s">
        <v>1813</v>
      </c>
      <c r="E340" s="951">
        <v>143</v>
      </c>
      <c r="F340" s="951">
        <v>114</v>
      </c>
      <c r="G340" s="947" t="s">
        <v>159</v>
      </c>
      <c r="H340" s="951">
        <v>0</v>
      </c>
      <c r="I340" s="951">
        <v>0</v>
      </c>
      <c r="J340" s="947" t="s">
        <v>351</v>
      </c>
      <c r="K340" s="947">
        <v>211029</v>
      </c>
      <c r="M340" s="631"/>
      <c r="P340" s="950" t="str">
        <f>VLOOKUP(J340,'רשימת רשויות'!A:A,1,0)</f>
        <v>עמק יזרעאל</v>
      </c>
      <c r="Q340" s="956">
        <f>IFERROR(VLOOKUP(B340,[2]מעובד!$D:$K,8,0),0)</f>
        <v>0</v>
      </c>
      <c r="R340" s="956">
        <f>IFERROR(VLOOKUP(B340,[2]מעובד!$D:$L,9,0),0)</f>
        <v>0</v>
      </c>
    </row>
    <row r="341" spans="1:18" x14ac:dyDescent="0.2">
      <c r="A341" s="947" t="s">
        <v>230</v>
      </c>
      <c r="B341" s="947">
        <v>211128</v>
      </c>
      <c r="C341" s="947" t="s">
        <v>2189</v>
      </c>
      <c r="D341" s="947" t="s">
        <v>1659</v>
      </c>
      <c r="E341" s="951">
        <v>331</v>
      </c>
      <c r="F341" s="951">
        <v>258</v>
      </c>
      <c r="G341" s="947" t="s">
        <v>159</v>
      </c>
      <c r="H341" s="951">
        <v>0</v>
      </c>
      <c r="I341" s="951">
        <v>0</v>
      </c>
      <c r="J341" s="947" t="s">
        <v>230</v>
      </c>
      <c r="K341" s="957" t="s">
        <v>3260</v>
      </c>
      <c r="M341" s="631"/>
      <c r="P341" s="950" t="str">
        <f>VLOOKUP(J341,'רשימת רשויות'!A:A,1,0)</f>
        <v>הגליל התחתון</v>
      </c>
      <c r="Q341" s="956">
        <f>IFERROR(VLOOKUP(B341,[2]מעובד!$D:$K,8,0),0)</f>
        <v>0</v>
      </c>
      <c r="R341" s="956">
        <f>IFERROR(VLOOKUP(B341,[2]מעובד!$D:$L,9,0),0)</f>
        <v>0</v>
      </c>
    </row>
    <row r="342" spans="1:18" x14ac:dyDescent="0.2">
      <c r="A342" s="947" t="s">
        <v>302</v>
      </c>
      <c r="B342" s="947">
        <v>211185</v>
      </c>
      <c r="C342" s="947" t="s">
        <v>2189</v>
      </c>
      <c r="D342" s="947" t="s">
        <v>1660</v>
      </c>
      <c r="E342" s="951">
        <v>158</v>
      </c>
      <c r="F342" s="951">
        <v>105</v>
      </c>
      <c r="G342" s="947" t="s">
        <v>159</v>
      </c>
      <c r="H342" s="951">
        <v>68</v>
      </c>
      <c r="I342" s="951">
        <v>9</v>
      </c>
      <c r="J342" s="947" t="s">
        <v>302</v>
      </c>
      <c r="K342" s="947">
        <v>211185</v>
      </c>
      <c r="M342" s="631"/>
      <c r="P342" s="950" t="str">
        <f>VLOOKUP(J342,'רשימת רשויות'!A:A,1,0)</f>
        <v>מגדל העמק</v>
      </c>
      <c r="Q342" s="956">
        <f>IFERROR(VLOOKUP(B342,[2]מעובד!$D:$K,8,0),0)</f>
        <v>100</v>
      </c>
      <c r="R342" s="956">
        <f>IFERROR(VLOOKUP(B342,[2]מעובד!$D:$L,9,0),0)</f>
        <v>39</v>
      </c>
    </row>
    <row r="343" spans="1:18" x14ac:dyDescent="0.2">
      <c r="A343" s="947" t="s">
        <v>302</v>
      </c>
      <c r="B343" s="947">
        <v>211193</v>
      </c>
      <c r="C343" s="947" t="s">
        <v>2189</v>
      </c>
      <c r="D343" s="947" t="s">
        <v>1661</v>
      </c>
      <c r="E343" s="951">
        <v>157</v>
      </c>
      <c r="F343" s="951">
        <v>112</v>
      </c>
      <c r="G343" s="947" t="s">
        <v>159</v>
      </c>
      <c r="H343" s="951">
        <v>60</v>
      </c>
      <c r="I343" s="951">
        <v>7</v>
      </c>
      <c r="J343" s="947" t="s">
        <v>302</v>
      </c>
      <c r="K343" s="947">
        <v>211193</v>
      </c>
      <c r="M343" s="631"/>
      <c r="P343" s="950" t="str">
        <f>VLOOKUP(J343,'רשימת רשויות'!A:A,1,0)</f>
        <v>מגדל העמק</v>
      </c>
      <c r="Q343" s="956">
        <f>IFERROR(VLOOKUP(B343,[2]מעובד!$D:$K,8,0),0)</f>
        <v>102</v>
      </c>
      <c r="R343" s="956">
        <f>IFERROR(VLOOKUP(B343,[2]מעובד!$D:$L,9,0),0)</f>
        <v>66</v>
      </c>
    </row>
    <row r="344" spans="1:18" x14ac:dyDescent="0.2">
      <c r="A344" s="947" t="s">
        <v>323</v>
      </c>
      <c r="B344" s="947">
        <v>211276</v>
      </c>
      <c r="C344" s="947" t="s">
        <v>2189</v>
      </c>
      <c r="D344" s="947" t="s">
        <v>1644</v>
      </c>
      <c r="E344" s="951">
        <v>202</v>
      </c>
      <c r="F344" s="951">
        <v>112</v>
      </c>
      <c r="G344" s="947" t="s">
        <v>159</v>
      </c>
      <c r="H344" s="951">
        <v>76</v>
      </c>
      <c r="I344" s="951">
        <v>10</v>
      </c>
      <c r="J344" s="947" t="s">
        <v>323</v>
      </c>
      <c r="K344" s="947">
        <v>211276</v>
      </c>
      <c r="M344" s="631"/>
      <c r="P344" s="950" t="str">
        <f>VLOOKUP(J344,'רשימת רשויות'!A:A,1,0)</f>
        <v>מרום הגליל</v>
      </c>
      <c r="Q344" s="956">
        <f>IFERROR(VLOOKUP(B344,[2]מעובד!$D:$K,8,0),0)</f>
        <v>0</v>
      </c>
      <c r="R344" s="956">
        <f>IFERROR(VLOOKUP(B344,[2]מעובד!$D:$L,9,0),0)</f>
        <v>0</v>
      </c>
    </row>
    <row r="345" spans="1:18" x14ac:dyDescent="0.2">
      <c r="A345" s="947" t="s">
        <v>349</v>
      </c>
      <c r="B345" s="947">
        <v>211326</v>
      </c>
      <c r="C345" s="947" t="s">
        <v>2189</v>
      </c>
      <c r="D345" s="947" t="s">
        <v>1923</v>
      </c>
      <c r="E345" s="951">
        <v>202</v>
      </c>
      <c r="F345" s="951">
        <v>83</v>
      </c>
      <c r="G345" s="947" t="s">
        <v>159</v>
      </c>
      <c r="H345" s="951">
        <v>0</v>
      </c>
      <c r="I345" s="951">
        <v>0</v>
      </c>
      <c r="J345" s="947" t="s">
        <v>349</v>
      </c>
      <c r="K345" s="947">
        <v>211326</v>
      </c>
      <c r="M345" s="631"/>
      <c r="P345" s="950" t="str">
        <f>VLOOKUP(J345,'רשימת רשויות'!A:A,1,0)</f>
        <v>עמק המעיינות</v>
      </c>
      <c r="Q345" s="956">
        <f>IFERROR(VLOOKUP(B345,[2]מעובד!$D:$K,8,0),0)</f>
        <v>0</v>
      </c>
      <c r="R345" s="956">
        <f>IFERROR(VLOOKUP(B345,[2]מעובד!$D:$L,9,0),0)</f>
        <v>0</v>
      </c>
    </row>
    <row r="346" spans="1:18" x14ac:dyDescent="0.2">
      <c r="A346" s="947" t="s">
        <v>321</v>
      </c>
      <c r="B346" s="947">
        <v>211375</v>
      </c>
      <c r="C346" s="947" t="s">
        <v>2189</v>
      </c>
      <c r="D346" s="947" t="s">
        <v>1924</v>
      </c>
      <c r="E346" s="951">
        <v>107</v>
      </c>
      <c r="F346" s="951">
        <v>58</v>
      </c>
      <c r="G346" s="947" t="s">
        <v>159</v>
      </c>
      <c r="H346" s="951">
        <v>0</v>
      </c>
      <c r="I346" s="951">
        <v>0</v>
      </c>
      <c r="J346" s="947" t="s">
        <v>321</v>
      </c>
      <c r="K346" s="947">
        <v>211375</v>
      </c>
      <c r="M346" s="631"/>
      <c r="P346" s="950" t="str">
        <f>VLOOKUP(J346,'רשימת רשויות'!A:A,1,0)</f>
        <v>מעלות-תרשיחא</v>
      </c>
      <c r="Q346" s="956">
        <f>IFERROR(VLOOKUP(B346,[2]מעובד!$D:$K,8,0),0)</f>
        <v>107</v>
      </c>
      <c r="R346" s="956">
        <f>IFERROR(VLOOKUP(B346,[2]מעובד!$D:$L,9,0),0)</f>
        <v>51</v>
      </c>
    </row>
    <row r="347" spans="1:18" x14ac:dyDescent="0.2">
      <c r="A347" s="947" t="s">
        <v>321</v>
      </c>
      <c r="B347" s="947">
        <v>211383</v>
      </c>
      <c r="C347" s="947" t="s">
        <v>2189</v>
      </c>
      <c r="D347" s="947" t="s">
        <v>2377</v>
      </c>
      <c r="E347" s="951">
        <v>161</v>
      </c>
      <c r="F347" s="951">
        <v>99</v>
      </c>
      <c r="G347" s="947" t="s">
        <v>159</v>
      </c>
      <c r="H347" s="951">
        <v>62</v>
      </c>
      <c r="I347" s="951">
        <v>10</v>
      </c>
      <c r="J347" s="947" t="s">
        <v>321</v>
      </c>
      <c r="K347" s="947">
        <v>211383</v>
      </c>
      <c r="M347" s="631"/>
      <c r="P347" s="950" t="str">
        <f>VLOOKUP(J347,'רשימת רשויות'!A:A,1,0)</f>
        <v>מעלות-תרשיחא</v>
      </c>
      <c r="Q347" s="956">
        <f>IFERROR(VLOOKUP(B347,[2]מעובד!$D:$K,8,0),0)</f>
        <v>152</v>
      </c>
      <c r="R347" s="956">
        <f>IFERROR(VLOOKUP(B347,[2]מעובד!$D:$L,9,0),0)</f>
        <v>90</v>
      </c>
    </row>
    <row r="348" spans="1:18" x14ac:dyDescent="0.2">
      <c r="A348" s="947" t="s">
        <v>229</v>
      </c>
      <c r="B348" s="947">
        <v>211441</v>
      </c>
      <c r="C348" s="947" t="s">
        <v>2189</v>
      </c>
      <c r="D348" s="947" t="s">
        <v>1973</v>
      </c>
      <c r="E348" s="951">
        <v>237</v>
      </c>
      <c r="F348" s="951">
        <v>88</v>
      </c>
      <c r="G348" s="947" t="s">
        <v>159</v>
      </c>
      <c r="H348" s="951">
        <v>0</v>
      </c>
      <c r="I348" s="951">
        <v>0</v>
      </c>
      <c r="J348" s="947" t="s">
        <v>229</v>
      </c>
      <c r="K348" s="947">
        <v>211441</v>
      </c>
      <c r="M348" s="631"/>
      <c r="P348" s="950" t="str">
        <f>VLOOKUP(J348,'רשימת רשויות'!A:A,1,0)</f>
        <v>הגליל העליון</v>
      </c>
      <c r="Q348" s="956">
        <f>IFERROR(VLOOKUP(B348,[2]מעובד!$D:$K,8,0),0)</f>
        <v>94</v>
      </c>
      <c r="R348" s="956">
        <f>IFERROR(VLOOKUP(B348,[2]מעובד!$D:$L,9,0),0)</f>
        <v>25</v>
      </c>
    </row>
    <row r="349" spans="1:18" x14ac:dyDescent="0.2">
      <c r="A349" s="947" t="s">
        <v>351</v>
      </c>
      <c r="B349" s="947">
        <v>211458</v>
      </c>
      <c r="C349" s="947" t="s">
        <v>2189</v>
      </c>
      <c r="D349" s="947" t="s">
        <v>1974</v>
      </c>
      <c r="E349" s="951">
        <v>240</v>
      </c>
      <c r="F349" s="951">
        <v>163</v>
      </c>
      <c r="G349" s="947" t="s">
        <v>159</v>
      </c>
      <c r="H349" s="951">
        <v>0</v>
      </c>
      <c r="I349" s="951">
        <v>0</v>
      </c>
      <c r="J349" s="947" t="s">
        <v>351</v>
      </c>
      <c r="K349" s="947">
        <v>211458</v>
      </c>
      <c r="M349" s="631"/>
      <c r="P349" s="950" t="str">
        <f>VLOOKUP(J349,'רשימת רשויות'!A:A,1,0)</f>
        <v>עמק יזרעאל</v>
      </c>
      <c r="Q349" s="956">
        <f>IFERROR(VLOOKUP(B349,[2]מעובד!$D:$K,8,0),0)</f>
        <v>0</v>
      </c>
      <c r="R349" s="956">
        <f>IFERROR(VLOOKUP(B349,[2]מעובד!$D:$L,9,0),0)</f>
        <v>0</v>
      </c>
    </row>
    <row r="350" spans="1:18" x14ac:dyDescent="0.2">
      <c r="A350" s="947" t="s">
        <v>327</v>
      </c>
      <c r="B350" s="947">
        <v>211466</v>
      </c>
      <c r="C350" s="947" t="s">
        <v>2189</v>
      </c>
      <c r="D350" s="947" t="s">
        <v>1975</v>
      </c>
      <c r="E350" s="951">
        <v>199</v>
      </c>
      <c r="F350" s="951">
        <v>128</v>
      </c>
      <c r="G350" s="947" t="s">
        <v>159</v>
      </c>
      <c r="H350" s="951">
        <v>0</v>
      </c>
      <c r="I350" s="951">
        <v>0</v>
      </c>
      <c r="J350" s="947" t="s">
        <v>327</v>
      </c>
      <c r="K350" s="947">
        <v>211466</v>
      </c>
      <c r="M350" s="631"/>
      <c r="P350" s="950" t="str">
        <f>VLOOKUP(J350,'רשימת רשויות'!A:A,1,0)</f>
        <v>נהריה</v>
      </c>
      <c r="Q350" s="956">
        <f>IFERROR(VLOOKUP(B350,[2]מעובד!$D:$K,8,0),0)</f>
        <v>227</v>
      </c>
      <c r="R350" s="956">
        <f>IFERROR(VLOOKUP(B350,[2]מעובד!$D:$L,9,0),0)</f>
        <v>99</v>
      </c>
    </row>
    <row r="351" spans="1:18" x14ac:dyDescent="0.2">
      <c r="A351" s="947" t="s">
        <v>327</v>
      </c>
      <c r="B351" s="947">
        <v>211474</v>
      </c>
      <c r="C351" s="947" t="s">
        <v>2189</v>
      </c>
      <c r="D351" s="947" t="s">
        <v>1976</v>
      </c>
      <c r="E351" s="951">
        <v>289</v>
      </c>
      <c r="F351" s="951">
        <v>224</v>
      </c>
      <c r="G351" s="947" t="s">
        <v>159</v>
      </c>
      <c r="H351" s="951">
        <v>114</v>
      </c>
      <c r="I351" s="951">
        <v>11</v>
      </c>
      <c r="J351" s="947" t="s">
        <v>327</v>
      </c>
      <c r="K351" s="947">
        <v>211474</v>
      </c>
      <c r="M351" s="631"/>
      <c r="P351" s="950" t="str">
        <f>VLOOKUP(J351,'רשימת רשויות'!A:A,1,0)</f>
        <v>נהריה</v>
      </c>
      <c r="Q351" s="956">
        <f>IFERROR(VLOOKUP(B351,[2]מעובד!$D:$K,8,0),0)</f>
        <v>353</v>
      </c>
      <c r="R351" s="956">
        <f>IFERROR(VLOOKUP(B351,[2]מעובד!$D:$L,9,0),0)</f>
        <v>125</v>
      </c>
    </row>
    <row r="352" spans="1:18" x14ac:dyDescent="0.2">
      <c r="A352" s="947" t="s">
        <v>327</v>
      </c>
      <c r="B352" s="947">
        <v>211490</v>
      </c>
      <c r="C352" s="947" t="s">
        <v>2189</v>
      </c>
      <c r="D352" s="947" t="s">
        <v>1984</v>
      </c>
      <c r="E352" s="951">
        <v>218</v>
      </c>
      <c r="F352" s="951">
        <v>164</v>
      </c>
      <c r="G352" s="947" t="s">
        <v>159</v>
      </c>
      <c r="H352" s="951">
        <v>91</v>
      </c>
      <c r="I352" s="951">
        <v>11</v>
      </c>
      <c r="J352" s="947" t="s">
        <v>327</v>
      </c>
      <c r="K352" s="947">
        <v>211490</v>
      </c>
      <c r="M352" s="631"/>
      <c r="P352" s="950" t="str">
        <f>VLOOKUP(J352,'רשימת רשויות'!A:A,1,0)</f>
        <v>נהריה</v>
      </c>
      <c r="Q352" s="956">
        <f>IFERROR(VLOOKUP(B352,[2]מעובד!$D:$K,8,0),0)</f>
        <v>243</v>
      </c>
      <c r="R352" s="956">
        <f>IFERROR(VLOOKUP(B352,[2]מעובד!$D:$L,9,0),0)</f>
        <v>93</v>
      </c>
    </row>
    <row r="353" spans="1:18" x14ac:dyDescent="0.2">
      <c r="A353" s="947" t="s">
        <v>327</v>
      </c>
      <c r="B353" s="947">
        <v>211516</v>
      </c>
      <c r="C353" s="947" t="s">
        <v>2189</v>
      </c>
      <c r="D353" s="947" t="s">
        <v>1985</v>
      </c>
      <c r="E353" s="951">
        <v>249</v>
      </c>
      <c r="F353" s="951">
        <v>170</v>
      </c>
      <c r="G353" s="947" t="s">
        <v>159</v>
      </c>
      <c r="H353" s="951">
        <v>172</v>
      </c>
      <c r="I353" s="951">
        <v>28</v>
      </c>
      <c r="J353" s="947" t="s">
        <v>327</v>
      </c>
      <c r="K353" s="947">
        <v>211516</v>
      </c>
      <c r="M353" s="631"/>
      <c r="P353" s="950" t="str">
        <f>VLOOKUP(J353,'רשימת רשויות'!A:A,1,0)</f>
        <v>נהריה</v>
      </c>
      <c r="Q353" s="956">
        <f>IFERROR(VLOOKUP(B353,[2]מעובד!$D:$K,8,0),0)</f>
        <v>260</v>
      </c>
      <c r="R353" s="956">
        <f>IFERROR(VLOOKUP(B353,[2]מעובד!$D:$L,9,0),0)</f>
        <v>67</v>
      </c>
    </row>
    <row r="354" spans="1:18" x14ac:dyDescent="0.2">
      <c r="A354" s="947" t="s">
        <v>327</v>
      </c>
      <c r="B354" s="947">
        <v>211532</v>
      </c>
      <c r="C354" s="947" t="s">
        <v>2189</v>
      </c>
      <c r="D354" s="947" t="s">
        <v>1986</v>
      </c>
      <c r="E354" s="951">
        <v>233</v>
      </c>
      <c r="F354" s="951">
        <v>179</v>
      </c>
      <c r="G354" s="947" t="s">
        <v>159</v>
      </c>
      <c r="H354" s="951">
        <v>0</v>
      </c>
      <c r="I354" s="951">
        <v>0</v>
      </c>
      <c r="J354" s="947" t="s">
        <v>327</v>
      </c>
      <c r="K354" s="947">
        <v>211532</v>
      </c>
      <c r="M354" s="631"/>
      <c r="P354" s="950" t="str">
        <f>VLOOKUP(J354,'רשימת רשויות'!A:A,1,0)</f>
        <v>נהריה</v>
      </c>
      <c r="Q354" s="956">
        <f>IFERROR(VLOOKUP(B354,[2]מעובד!$D:$K,8,0),0)</f>
        <v>129</v>
      </c>
      <c r="R354" s="956">
        <f>IFERROR(VLOOKUP(B354,[2]מעובד!$D:$L,9,0),0)</f>
        <v>55</v>
      </c>
    </row>
    <row r="355" spans="1:18" x14ac:dyDescent="0.2">
      <c r="A355" s="947" t="s">
        <v>329</v>
      </c>
      <c r="B355" s="947">
        <v>211623</v>
      </c>
      <c r="C355" s="947" t="s">
        <v>2189</v>
      </c>
      <c r="D355" s="947" t="s">
        <v>1899</v>
      </c>
      <c r="E355" s="951">
        <v>67</v>
      </c>
      <c r="F355" s="951">
        <v>59</v>
      </c>
      <c r="G355" s="947" t="s">
        <v>159</v>
      </c>
      <c r="H355" s="951">
        <v>0</v>
      </c>
      <c r="I355" s="951">
        <v>0</v>
      </c>
      <c r="J355" s="947" t="s">
        <v>329</v>
      </c>
      <c r="K355" s="947">
        <v>211623</v>
      </c>
      <c r="M355" s="631"/>
      <c r="P355" s="950" t="str">
        <f>VLOOKUP(J355,'רשימת רשויות'!A:A,1,0)</f>
        <v>נוף הגליל</v>
      </c>
      <c r="Q355" s="956">
        <f>IFERROR(VLOOKUP(B355,[2]מעובד!$D:$K,8,0),0)</f>
        <v>75</v>
      </c>
      <c r="R355" s="956">
        <f>IFERROR(VLOOKUP(B355,[2]מעובד!$D:$L,9,0),0)</f>
        <v>40</v>
      </c>
    </row>
    <row r="356" spans="1:18" x14ac:dyDescent="0.2">
      <c r="A356" s="947" t="s">
        <v>229</v>
      </c>
      <c r="B356" s="947">
        <v>211631</v>
      </c>
      <c r="C356" s="947" t="s">
        <v>2189</v>
      </c>
      <c r="D356" s="947" t="s">
        <v>1900</v>
      </c>
      <c r="E356" s="951">
        <v>84</v>
      </c>
      <c r="F356" s="951">
        <v>28</v>
      </c>
      <c r="G356" s="947" t="s">
        <v>159</v>
      </c>
      <c r="H356" s="951">
        <v>0</v>
      </c>
      <c r="I356" s="951">
        <v>0</v>
      </c>
      <c r="J356" s="947" t="s">
        <v>229</v>
      </c>
      <c r="K356" s="947">
        <v>211631</v>
      </c>
      <c r="M356" s="631"/>
      <c r="P356" s="950" t="str">
        <f>VLOOKUP(J356,'רשימת רשויות'!A:A,1,0)</f>
        <v>הגליל העליון</v>
      </c>
      <c r="Q356" s="956">
        <f>IFERROR(VLOOKUP(B356,[2]מעובד!$D:$K,8,0),0)</f>
        <v>0</v>
      </c>
      <c r="R356" s="956">
        <f>IFERROR(VLOOKUP(B356,[2]מעובד!$D:$L,9,0),0)</f>
        <v>0</v>
      </c>
    </row>
    <row r="357" spans="1:18" x14ac:dyDescent="0.2">
      <c r="A357" s="947" t="s">
        <v>309</v>
      </c>
      <c r="B357" s="947">
        <v>211714</v>
      </c>
      <c r="C357" s="947" t="s">
        <v>2189</v>
      </c>
      <c r="D357" s="947" t="s">
        <v>1901</v>
      </c>
      <c r="E357" s="951">
        <v>321</v>
      </c>
      <c r="F357" s="951">
        <v>318</v>
      </c>
      <c r="G357" s="947" t="s">
        <v>159</v>
      </c>
      <c r="H357" s="951">
        <v>0</v>
      </c>
      <c r="I357" s="951">
        <v>0</v>
      </c>
      <c r="J357" s="947" t="s">
        <v>309</v>
      </c>
      <c r="K357" s="947">
        <v>211714</v>
      </c>
      <c r="M357" s="631"/>
      <c r="P357" s="950" t="str">
        <f>VLOOKUP(J357,'רשימת רשויות'!A:A,1,0)</f>
        <v>מטה אשר</v>
      </c>
      <c r="Q357" s="956">
        <f>IFERROR(VLOOKUP(B357,[2]מעובד!$D:$K,8,0),0)</f>
        <v>0</v>
      </c>
      <c r="R357" s="956">
        <f>IFERROR(VLOOKUP(B357,[2]מעובד!$D:$L,9,0),0)</f>
        <v>0</v>
      </c>
    </row>
    <row r="358" spans="1:18" x14ac:dyDescent="0.2">
      <c r="A358" s="947" t="s">
        <v>228</v>
      </c>
      <c r="B358" s="947">
        <v>211755</v>
      </c>
      <c r="C358" s="947" t="s">
        <v>2189</v>
      </c>
      <c r="D358" s="947" t="s">
        <v>1911</v>
      </c>
      <c r="E358" s="951">
        <v>282</v>
      </c>
      <c r="F358" s="951">
        <v>220</v>
      </c>
      <c r="G358" s="947" t="s">
        <v>159</v>
      </c>
      <c r="H358" s="951">
        <v>103</v>
      </c>
      <c r="I358" s="951">
        <v>3</v>
      </c>
      <c r="J358" s="947" t="s">
        <v>228</v>
      </c>
      <c r="K358" s="957" t="s">
        <v>3261</v>
      </c>
      <c r="M358" s="631"/>
      <c r="P358" s="950" t="str">
        <f>VLOOKUP(J358,'רשימת רשויות'!A:A,1,0)</f>
        <v>הגלבוע</v>
      </c>
      <c r="Q358" s="956">
        <f>IFERROR(VLOOKUP(B358,[2]מעובד!$D:$K,8,0),0)</f>
        <v>0</v>
      </c>
      <c r="R358" s="956">
        <f>IFERROR(VLOOKUP(B358,[2]מעובד!$D:$L,9,0),0)</f>
        <v>0</v>
      </c>
    </row>
    <row r="359" spans="1:18" x14ac:dyDescent="0.2">
      <c r="A359" s="947" t="s">
        <v>346</v>
      </c>
      <c r="B359" s="947">
        <v>211797</v>
      </c>
      <c r="C359" s="947" t="s">
        <v>2189</v>
      </c>
      <c r="D359" s="947" t="s">
        <v>1945</v>
      </c>
      <c r="E359" s="951">
        <v>243</v>
      </c>
      <c r="F359" s="951">
        <v>243</v>
      </c>
      <c r="G359" s="947" t="s">
        <v>159</v>
      </c>
      <c r="H359" s="951">
        <v>0</v>
      </c>
      <c r="I359" s="951">
        <v>0</v>
      </c>
      <c r="J359" s="947" t="s">
        <v>346</v>
      </c>
      <c r="K359" s="947">
        <v>211797</v>
      </c>
      <c r="M359" s="631"/>
      <c r="P359" s="950" t="str">
        <f>VLOOKUP(J359,'רשימת רשויות'!A:A,1,0)</f>
        <v>עכו</v>
      </c>
      <c r="Q359" s="956">
        <f>IFERROR(VLOOKUP(B359,[2]מעובד!$D:$K,8,0),0)</f>
        <v>256</v>
      </c>
      <c r="R359" s="956">
        <f>IFERROR(VLOOKUP(B359,[2]מעובד!$D:$L,9,0),0)</f>
        <v>74</v>
      </c>
    </row>
    <row r="360" spans="1:18" x14ac:dyDescent="0.2">
      <c r="A360" s="947" t="s">
        <v>346</v>
      </c>
      <c r="B360" s="947">
        <v>211813</v>
      </c>
      <c r="C360" s="947" t="s">
        <v>2189</v>
      </c>
      <c r="D360" s="947" t="s">
        <v>1946</v>
      </c>
      <c r="E360" s="951">
        <v>92</v>
      </c>
      <c r="F360" s="951">
        <v>48</v>
      </c>
      <c r="G360" s="947" t="s">
        <v>159</v>
      </c>
      <c r="H360" s="951">
        <v>32</v>
      </c>
      <c r="I360" s="951">
        <v>12</v>
      </c>
      <c r="J360" s="947" t="s">
        <v>346</v>
      </c>
      <c r="K360" s="947">
        <v>211813</v>
      </c>
      <c r="M360" s="631"/>
      <c r="P360" s="950" t="str">
        <f>VLOOKUP(J360,'רשימת רשויות'!A:A,1,0)</f>
        <v>עכו</v>
      </c>
      <c r="Q360" s="956">
        <f>IFERROR(VLOOKUP(B360,[2]מעובד!$D:$K,8,0),0)</f>
        <v>73</v>
      </c>
      <c r="R360" s="956">
        <f>IFERROR(VLOOKUP(B360,[2]מעובד!$D:$L,9,0),0)</f>
        <v>42</v>
      </c>
    </row>
    <row r="361" spans="1:18" x14ac:dyDescent="0.2">
      <c r="A361" s="947" t="s">
        <v>346</v>
      </c>
      <c r="B361" s="947">
        <v>211821</v>
      </c>
      <c r="C361" s="947" t="s">
        <v>2189</v>
      </c>
      <c r="D361" s="947" t="s">
        <v>1947</v>
      </c>
      <c r="E361" s="951">
        <v>102</v>
      </c>
      <c r="F361" s="951">
        <v>81</v>
      </c>
      <c r="G361" s="947" t="s">
        <v>159</v>
      </c>
      <c r="H361" s="951">
        <v>63</v>
      </c>
      <c r="I361" s="951">
        <v>20</v>
      </c>
      <c r="J361" s="947" t="s">
        <v>346</v>
      </c>
      <c r="K361" s="947">
        <v>211821</v>
      </c>
      <c r="M361" s="631"/>
      <c r="P361" s="950" t="str">
        <f>VLOOKUP(J361,'רשימת רשויות'!A:A,1,0)</f>
        <v>עכו</v>
      </c>
      <c r="Q361" s="956">
        <f>IFERROR(VLOOKUP(B361,[2]מעובד!$D:$K,8,0),0)</f>
        <v>116</v>
      </c>
      <c r="R361" s="956">
        <f>IFERROR(VLOOKUP(B361,[2]מעובד!$D:$L,9,0),0)</f>
        <v>37</v>
      </c>
    </row>
    <row r="362" spans="1:18" x14ac:dyDescent="0.2">
      <c r="A362" s="947" t="s">
        <v>346</v>
      </c>
      <c r="B362" s="947">
        <v>211847</v>
      </c>
      <c r="C362" s="947" t="s">
        <v>2189</v>
      </c>
      <c r="D362" s="947" t="s">
        <v>1948</v>
      </c>
      <c r="E362" s="951">
        <v>245</v>
      </c>
      <c r="F362" s="951">
        <v>209</v>
      </c>
      <c r="G362" s="947" t="s">
        <v>159</v>
      </c>
      <c r="H362" s="951">
        <v>245</v>
      </c>
      <c r="I362" s="951">
        <v>35</v>
      </c>
      <c r="J362" s="947" t="s">
        <v>346</v>
      </c>
      <c r="K362" s="947">
        <v>211847</v>
      </c>
      <c r="M362" s="631"/>
      <c r="P362" s="950" t="str">
        <f>VLOOKUP(J362,'רשימת רשויות'!A:A,1,0)</f>
        <v>עכו</v>
      </c>
      <c r="Q362" s="956">
        <f>IFERROR(VLOOKUP(B362,[2]מעובד!$D:$K,8,0),0)</f>
        <v>125</v>
      </c>
      <c r="R362" s="956">
        <f>IFERROR(VLOOKUP(B362,[2]מעובד!$D:$L,9,0),0)</f>
        <v>70</v>
      </c>
    </row>
    <row r="363" spans="1:18" x14ac:dyDescent="0.2">
      <c r="A363" s="947" t="s">
        <v>346</v>
      </c>
      <c r="B363" s="947">
        <v>211854</v>
      </c>
      <c r="C363" s="947" t="s">
        <v>2189</v>
      </c>
      <c r="D363" s="947" t="s">
        <v>1951</v>
      </c>
      <c r="E363" s="951">
        <v>175</v>
      </c>
      <c r="F363" s="951">
        <v>162</v>
      </c>
      <c r="G363" s="947" t="s">
        <v>159</v>
      </c>
      <c r="H363" s="951">
        <v>75</v>
      </c>
      <c r="I363" s="951">
        <v>11</v>
      </c>
      <c r="J363" s="947" t="s">
        <v>346</v>
      </c>
      <c r="K363" s="947">
        <v>211854</v>
      </c>
      <c r="M363" s="631"/>
      <c r="P363" s="950" t="str">
        <f>VLOOKUP(J363,'רשימת רשויות'!A:A,1,0)</f>
        <v>עכו</v>
      </c>
      <c r="Q363" s="956">
        <f>IFERROR(VLOOKUP(B363,[2]מעובד!$D:$K,8,0),0)</f>
        <v>200</v>
      </c>
      <c r="R363" s="956">
        <f>IFERROR(VLOOKUP(B363,[2]מעובד!$D:$L,9,0),0)</f>
        <v>150</v>
      </c>
    </row>
    <row r="364" spans="1:18" x14ac:dyDescent="0.2">
      <c r="A364" s="947" t="s">
        <v>353</v>
      </c>
      <c r="B364" s="947">
        <v>211904</v>
      </c>
      <c r="C364" s="947" t="s">
        <v>2189</v>
      </c>
      <c r="D364" s="947" t="s">
        <v>2951</v>
      </c>
      <c r="E364" s="951">
        <v>137</v>
      </c>
      <c r="F364" s="951">
        <v>33</v>
      </c>
      <c r="G364" s="947" t="s">
        <v>159</v>
      </c>
      <c r="H364" s="951">
        <v>137</v>
      </c>
      <c r="I364" s="951">
        <v>12</v>
      </c>
      <c r="J364" s="947" t="s">
        <v>353</v>
      </c>
      <c r="K364" s="957" t="s">
        <v>3262</v>
      </c>
      <c r="M364" s="631"/>
      <c r="P364" s="950" t="str">
        <f>VLOOKUP(J364,'רשימת רשויות'!A:A,1,0)</f>
        <v>עפולה</v>
      </c>
      <c r="Q364" s="956">
        <f>IFERROR(VLOOKUP(B364,[2]מעובד!$D:$K,8,0),0)</f>
        <v>128</v>
      </c>
      <c r="R364" s="956">
        <f>IFERROR(VLOOKUP(B364,[2]מעובד!$D:$L,9,0),0)</f>
        <v>95</v>
      </c>
    </row>
    <row r="365" spans="1:18" x14ac:dyDescent="0.2">
      <c r="A365" s="947" t="s">
        <v>353</v>
      </c>
      <c r="B365" s="947">
        <v>211912</v>
      </c>
      <c r="C365" s="947" t="s">
        <v>2189</v>
      </c>
      <c r="D365" s="947" t="s">
        <v>1952</v>
      </c>
      <c r="E365" s="951">
        <v>275</v>
      </c>
      <c r="F365" s="951">
        <v>168</v>
      </c>
      <c r="G365" s="947" t="s">
        <v>159</v>
      </c>
      <c r="H365" s="951">
        <v>100</v>
      </c>
      <c r="I365" s="951">
        <v>7</v>
      </c>
      <c r="J365" s="947" t="s">
        <v>353</v>
      </c>
      <c r="K365" s="947">
        <v>211912</v>
      </c>
      <c r="M365" s="631"/>
      <c r="P365" s="950" t="str">
        <f>VLOOKUP(J365,'רשימת רשויות'!A:A,1,0)</f>
        <v>עפולה</v>
      </c>
      <c r="Q365" s="956">
        <f>IFERROR(VLOOKUP(B365,[2]מעובד!$D:$K,8,0),0)</f>
        <v>242</v>
      </c>
      <c r="R365" s="956">
        <f>IFERROR(VLOOKUP(B365,[2]מעובד!$D:$L,9,0),0)</f>
        <v>76</v>
      </c>
    </row>
    <row r="366" spans="1:18" x14ac:dyDescent="0.2">
      <c r="A366" s="947" t="s">
        <v>353</v>
      </c>
      <c r="B366" s="947">
        <v>211946</v>
      </c>
      <c r="C366" s="947" t="s">
        <v>2189</v>
      </c>
      <c r="D366" s="947" t="s">
        <v>2000</v>
      </c>
      <c r="E366" s="951">
        <v>261</v>
      </c>
      <c r="F366" s="951">
        <v>168</v>
      </c>
      <c r="G366" s="947" t="s">
        <v>159</v>
      </c>
      <c r="H366" s="951">
        <v>83</v>
      </c>
      <c r="I366" s="951">
        <v>7</v>
      </c>
      <c r="J366" s="947" t="s">
        <v>353</v>
      </c>
      <c r="K366" s="947">
        <v>211946</v>
      </c>
      <c r="M366" s="631"/>
      <c r="P366" s="950" t="str">
        <f>VLOOKUP(J366,'רשימת רשויות'!A:A,1,0)</f>
        <v>עפולה</v>
      </c>
      <c r="Q366" s="956">
        <f>IFERROR(VLOOKUP(B366,[2]מעובד!$D:$K,8,0),0)</f>
        <v>186</v>
      </c>
      <c r="R366" s="956">
        <f>IFERROR(VLOOKUP(B366,[2]מעובד!$D:$L,9,0),0)</f>
        <v>53</v>
      </c>
    </row>
    <row r="367" spans="1:18" x14ac:dyDescent="0.2">
      <c r="A367" s="947" t="s">
        <v>353</v>
      </c>
      <c r="B367" s="947">
        <v>211953</v>
      </c>
      <c r="C367" s="947" t="s">
        <v>2189</v>
      </c>
      <c r="D367" s="947" t="s">
        <v>2001</v>
      </c>
      <c r="E367" s="951">
        <v>108</v>
      </c>
      <c r="F367" s="951">
        <v>44</v>
      </c>
      <c r="G367" s="947" t="s">
        <v>159</v>
      </c>
      <c r="H367" s="951">
        <v>48</v>
      </c>
      <c r="I367" s="951">
        <v>5</v>
      </c>
      <c r="J367" s="947" t="s">
        <v>353</v>
      </c>
      <c r="K367" s="947">
        <v>211953</v>
      </c>
      <c r="M367" s="631"/>
      <c r="P367" s="950" t="str">
        <f>VLOOKUP(J367,'רשימת רשויות'!A:A,1,0)</f>
        <v>עפולה</v>
      </c>
      <c r="Q367" s="956">
        <f>IFERROR(VLOOKUP(B367,[2]מעובד!$D:$K,8,0),0)</f>
        <v>76</v>
      </c>
      <c r="R367" s="956">
        <f>IFERROR(VLOOKUP(B367,[2]מעובד!$D:$L,9,0),0)</f>
        <v>63</v>
      </c>
    </row>
    <row r="368" spans="1:18" x14ac:dyDescent="0.2">
      <c r="A368" s="947" t="s">
        <v>353</v>
      </c>
      <c r="B368" s="947">
        <v>211961</v>
      </c>
      <c r="C368" s="947" t="s">
        <v>2189</v>
      </c>
      <c r="D368" s="947" t="s">
        <v>2002</v>
      </c>
      <c r="E368" s="951">
        <v>166</v>
      </c>
      <c r="F368" s="951">
        <v>94</v>
      </c>
      <c r="G368" s="947" t="s">
        <v>159</v>
      </c>
      <c r="H368" s="951">
        <v>121</v>
      </c>
      <c r="I368" s="951">
        <v>7</v>
      </c>
      <c r="J368" s="947" t="s">
        <v>353</v>
      </c>
      <c r="K368" s="947">
        <v>211961</v>
      </c>
      <c r="M368" s="631"/>
      <c r="P368" s="950" t="str">
        <f>VLOOKUP(J368,'רשימת רשויות'!A:A,1,0)</f>
        <v>עפולה</v>
      </c>
      <c r="Q368" s="956">
        <f>IFERROR(VLOOKUP(B368,[2]מעובד!$D:$K,8,0),0)</f>
        <v>50</v>
      </c>
      <c r="R368" s="956">
        <f>IFERROR(VLOOKUP(B368,[2]מעובד!$D:$L,9,0),0)</f>
        <v>50</v>
      </c>
    </row>
    <row r="369" spans="1:18" x14ac:dyDescent="0.2">
      <c r="A369" s="947" t="s">
        <v>323</v>
      </c>
      <c r="B369" s="947">
        <v>212001</v>
      </c>
      <c r="C369" s="947" t="s">
        <v>2189</v>
      </c>
      <c r="D369" s="947" t="s">
        <v>2130</v>
      </c>
      <c r="E369" s="951">
        <v>131</v>
      </c>
      <c r="F369" s="951">
        <v>107</v>
      </c>
      <c r="G369" s="947" t="s">
        <v>159</v>
      </c>
      <c r="H369" s="951">
        <v>50</v>
      </c>
      <c r="I369" s="951">
        <v>7</v>
      </c>
      <c r="J369" s="947" t="s">
        <v>323</v>
      </c>
      <c r="K369" s="947">
        <v>212001</v>
      </c>
      <c r="M369" s="631"/>
      <c r="P369" s="950" t="str">
        <f>VLOOKUP(J369,'רשימת רשויות'!A:A,1,0)</f>
        <v>מרום הגליל</v>
      </c>
      <c r="Q369" s="956">
        <f>IFERROR(VLOOKUP(B369,[2]מעובד!$D:$K,8,0),0)</f>
        <v>0</v>
      </c>
      <c r="R369" s="956">
        <f>IFERROR(VLOOKUP(B369,[2]מעובד!$D:$L,9,0),0)</f>
        <v>0</v>
      </c>
    </row>
    <row r="370" spans="1:18" x14ac:dyDescent="0.2">
      <c r="A370" s="947" t="s">
        <v>228</v>
      </c>
      <c r="B370" s="947">
        <v>212019</v>
      </c>
      <c r="C370" s="947" t="s">
        <v>2189</v>
      </c>
      <c r="D370" s="947" t="s">
        <v>2006</v>
      </c>
      <c r="E370" s="951">
        <v>166</v>
      </c>
      <c r="F370" s="951">
        <v>112</v>
      </c>
      <c r="G370" s="947" t="s">
        <v>159</v>
      </c>
      <c r="H370" s="951">
        <v>0</v>
      </c>
      <c r="I370" s="951">
        <v>0</v>
      </c>
      <c r="J370" s="947" t="s">
        <v>228</v>
      </c>
      <c r="K370" s="947">
        <v>212019</v>
      </c>
      <c r="M370" s="631"/>
      <c r="P370" s="950" t="str">
        <f>VLOOKUP(J370,'רשימת רשויות'!A:A,1,0)</f>
        <v>הגלבוע</v>
      </c>
      <c r="Q370" s="956">
        <f>IFERROR(VLOOKUP(B370,[2]מעובד!$D:$K,8,0),0)</f>
        <v>120</v>
      </c>
      <c r="R370" s="956">
        <f>IFERROR(VLOOKUP(B370,[2]מעובד!$D:$L,9,0),0)</f>
        <v>50</v>
      </c>
    </row>
    <row r="371" spans="1:18" x14ac:dyDescent="0.2">
      <c r="A371" s="947" t="s">
        <v>365</v>
      </c>
      <c r="B371" s="947">
        <v>212043</v>
      </c>
      <c r="C371" s="947" t="s">
        <v>2189</v>
      </c>
      <c r="D371" s="947" t="s">
        <v>2007</v>
      </c>
      <c r="E371" s="951">
        <v>160</v>
      </c>
      <c r="F371" s="951">
        <v>140</v>
      </c>
      <c r="G371" s="947" t="s">
        <v>159</v>
      </c>
      <c r="H371" s="951">
        <v>56</v>
      </c>
      <c r="I371" s="951">
        <v>0</v>
      </c>
      <c r="J371" s="947" t="s">
        <v>365</v>
      </c>
      <c r="K371" s="947">
        <v>212043</v>
      </c>
      <c r="M371" s="631"/>
      <c r="P371" s="950" t="str">
        <f>VLOOKUP(J371,'רשימת רשויות'!A:A,1,0)</f>
        <v>צפת</v>
      </c>
      <c r="Q371" s="956">
        <f>IFERROR(VLOOKUP(B371,[2]מעובד!$D:$K,8,0),0)</f>
        <v>206</v>
      </c>
      <c r="R371" s="956">
        <f>IFERROR(VLOOKUP(B371,[2]מעובד!$D:$L,9,0),0)</f>
        <v>105</v>
      </c>
    </row>
    <row r="372" spans="1:18" x14ac:dyDescent="0.2">
      <c r="A372" s="947" t="s">
        <v>365</v>
      </c>
      <c r="B372" s="947">
        <v>212068</v>
      </c>
      <c r="C372" s="947" t="s">
        <v>2189</v>
      </c>
      <c r="D372" s="947" t="s">
        <v>2008</v>
      </c>
      <c r="E372" s="951">
        <v>133</v>
      </c>
      <c r="F372" s="951">
        <v>121</v>
      </c>
      <c r="G372" s="947" t="s">
        <v>159</v>
      </c>
      <c r="H372" s="951">
        <v>52</v>
      </c>
      <c r="I372" s="951">
        <v>10</v>
      </c>
      <c r="J372" s="947" t="s">
        <v>365</v>
      </c>
      <c r="K372" s="947">
        <v>212068</v>
      </c>
      <c r="M372" s="631"/>
      <c r="P372" s="950" t="str">
        <f>VLOOKUP(J372,'רשימת רשויות'!A:A,1,0)</f>
        <v>צפת</v>
      </c>
      <c r="Q372" s="956">
        <f>IFERROR(VLOOKUP(B372,[2]מעובד!$D:$K,8,0),0)</f>
        <v>0</v>
      </c>
      <c r="R372" s="956">
        <f>IFERROR(VLOOKUP(B372,[2]מעובד!$D:$L,9,0),0)</f>
        <v>0</v>
      </c>
    </row>
    <row r="373" spans="1:18" x14ac:dyDescent="0.2">
      <c r="A373" s="947" t="s">
        <v>380</v>
      </c>
      <c r="B373" s="947">
        <v>212084</v>
      </c>
      <c r="C373" s="947" t="s">
        <v>2189</v>
      </c>
      <c r="D373" s="947" t="s">
        <v>2009</v>
      </c>
      <c r="E373" s="951">
        <v>191</v>
      </c>
      <c r="F373" s="951">
        <v>98</v>
      </c>
      <c r="G373" s="947" t="s">
        <v>159</v>
      </c>
      <c r="H373" s="951">
        <v>123</v>
      </c>
      <c r="I373" s="951">
        <v>10</v>
      </c>
      <c r="J373" s="947" t="s">
        <v>380</v>
      </c>
      <c r="K373" s="947">
        <v>212084</v>
      </c>
      <c r="M373" s="631"/>
      <c r="P373" s="950" t="str">
        <f>VLOOKUP(J373,'רשימת רשויות'!A:A,1,0)</f>
        <v>קרית שמונה</v>
      </c>
      <c r="Q373" s="956">
        <f>IFERROR(VLOOKUP(B373,[2]מעובד!$D:$K,8,0),0)</f>
        <v>148</v>
      </c>
      <c r="R373" s="956">
        <f>IFERROR(VLOOKUP(B373,[2]מעובד!$D:$L,9,0),0)</f>
        <v>47</v>
      </c>
    </row>
    <row r="374" spans="1:18" x14ac:dyDescent="0.2">
      <c r="A374" s="947" t="s">
        <v>380</v>
      </c>
      <c r="B374" s="947">
        <v>212092</v>
      </c>
      <c r="C374" s="947" t="s">
        <v>2189</v>
      </c>
      <c r="D374" s="947" t="s">
        <v>2010</v>
      </c>
      <c r="E374" s="951">
        <v>160</v>
      </c>
      <c r="F374" s="951">
        <v>128</v>
      </c>
      <c r="G374" s="947" t="s">
        <v>159</v>
      </c>
      <c r="H374" s="951">
        <v>53</v>
      </c>
      <c r="I374" s="951">
        <v>0</v>
      </c>
      <c r="J374" s="947" t="s">
        <v>380</v>
      </c>
      <c r="K374" s="947">
        <v>212092</v>
      </c>
      <c r="M374" s="631"/>
      <c r="P374" s="950" t="str">
        <f>VLOOKUP(J374,'רשימת רשויות'!A:A,1,0)</f>
        <v>קרית שמונה</v>
      </c>
      <c r="Q374" s="956">
        <f>IFERROR(VLOOKUP(B374,[2]מעובד!$D:$K,8,0),0)</f>
        <v>161</v>
      </c>
      <c r="R374" s="956">
        <f>IFERROR(VLOOKUP(B374,[2]מעובד!$D:$L,9,0),0)</f>
        <v>50</v>
      </c>
    </row>
    <row r="375" spans="1:18" x14ac:dyDescent="0.2">
      <c r="A375" s="947" t="s">
        <v>380</v>
      </c>
      <c r="B375" s="947">
        <v>212100</v>
      </c>
      <c r="C375" s="947" t="s">
        <v>2189</v>
      </c>
      <c r="D375" s="947" t="s">
        <v>2698</v>
      </c>
      <c r="E375" s="951">
        <v>165</v>
      </c>
      <c r="F375" s="951">
        <v>114</v>
      </c>
      <c r="G375" s="947" t="s">
        <v>159</v>
      </c>
      <c r="H375" s="951">
        <v>67</v>
      </c>
      <c r="I375" s="951">
        <v>10</v>
      </c>
      <c r="J375" s="947" t="s">
        <v>380</v>
      </c>
      <c r="K375" s="947">
        <v>212100</v>
      </c>
      <c r="M375" s="631"/>
      <c r="P375" s="950" t="str">
        <f>VLOOKUP(J375,'רשימת רשויות'!A:A,1,0)</f>
        <v>קרית שמונה</v>
      </c>
      <c r="Q375" s="956">
        <f>IFERROR(VLOOKUP(B375,[2]מעובד!$D:$K,8,0),0)</f>
        <v>0</v>
      </c>
      <c r="R375" s="956">
        <f>IFERROR(VLOOKUP(B375,[2]מעובד!$D:$L,9,0),0)</f>
        <v>0</v>
      </c>
    </row>
    <row r="376" spans="1:18" x14ac:dyDescent="0.2">
      <c r="A376" s="947" t="s">
        <v>380</v>
      </c>
      <c r="B376" s="947">
        <v>212118</v>
      </c>
      <c r="C376" s="947" t="s">
        <v>2189</v>
      </c>
      <c r="D376" s="947" t="s">
        <v>1882</v>
      </c>
      <c r="E376" s="951">
        <v>166</v>
      </c>
      <c r="F376" s="951">
        <v>125</v>
      </c>
      <c r="G376" s="947" t="s">
        <v>159</v>
      </c>
      <c r="H376" s="951">
        <v>60</v>
      </c>
      <c r="I376" s="951">
        <v>8</v>
      </c>
      <c r="J376" s="947" t="s">
        <v>380</v>
      </c>
      <c r="K376" s="947">
        <v>212118</v>
      </c>
      <c r="M376" s="631"/>
      <c r="P376" s="950" t="str">
        <f>VLOOKUP(J376,'רשימת רשויות'!A:A,1,0)</f>
        <v>קרית שמונה</v>
      </c>
      <c r="Q376" s="956">
        <f>IFERROR(VLOOKUP(B376,[2]מעובד!$D:$K,8,0),0)</f>
        <v>148</v>
      </c>
      <c r="R376" s="956">
        <f>IFERROR(VLOOKUP(B376,[2]מעובד!$D:$L,9,0),0)</f>
        <v>121</v>
      </c>
    </row>
    <row r="377" spans="1:18" x14ac:dyDescent="0.2">
      <c r="A377" s="947" t="s">
        <v>380</v>
      </c>
      <c r="B377" s="947">
        <v>212126</v>
      </c>
      <c r="C377" s="947" t="s">
        <v>2189</v>
      </c>
      <c r="D377" s="947" t="s">
        <v>1883</v>
      </c>
      <c r="E377" s="951">
        <v>63</v>
      </c>
      <c r="F377" s="951">
        <v>56</v>
      </c>
      <c r="G377" s="947" t="s">
        <v>159</v>
      </c>
      <c r="H377" s="951">
        <v>0</v>
      </c>
      <c r="I377" s="951">
        <v>0</v>
      </c>
      <c r="J377" s="947" t="s">
        <v>380</v>
      </c>
      <c r="K377" s="947">
        <v>212126</v>
      </c>
      <c r="M377" s="631"/>
      <c r="P377" s="950" t="str">
        <f>VLOOKUP(J377,'רשימת רשויות'!A:A,1,0)</f>
        <v>קרית שמונה</v>
      </c>
      <c r="Q377" s="956">
        <f>IFERROR(VLOOKUP(B377,[2]מעובד!$D:$K,8,0),0)</f>
        <v>64</v>
      </c>
      <c r="R377" s="956">
        <f>IFERROR(VLOOKUP(B377,[2]מעובד!$D:$L,9,0),0)</f>
        <v>40</v>
      </c>
    </row>
    <row r="378" spans="1:18" x14ac:dyDescent="0.2">
      <c r="A378" s="947" t="s">
        <v>384</v>
      </c>
      <c r="B378" s="947">
        <v>212142</v>
      </c>
      <c r="C378" s="947" t="s">
        <v>2189</v>
      </c>
      <c r="D378" s="947" t="s">
        <v>1884</v>
      </c>
      <c r="E378" s="951">
        <v>74</v>
      </c>
      <c r="F378" s="951">
        <v>53</v>
      </c>
      <c r="G378" s="947" t="s">
        <v>159</v>
      </c>
      <c r="H378" s="951">
        <v>38</v>
      </c>
      <c r="I378" s="951">
        <v>3</v>
      </c>
      <c r="J378" s="947" t="s">
        <v>384</v>
      </c>
      <c r="K378" s="947">
        <v>212142</v>
      </c>
      <c r="M378" s="631"/>
      <c r="P378" s="950" t="str">
        <f>VLOOKUP(J378,'רשימת רשויות'!A:A,1,0)</f>
        <v>ראש פינה</v>
      </c>
      <c r="Q378" s="956">
        <f>IFERROR(VLOOKUP(B378,[2]מעובד!$D:$K,8,0),0)</f>
        <v>69</v>
      </c>
      <c r="R378" s="956">
        <f>IFERROR(VLOOKUP(B378,[2]מעובד!$D:$L,9,0),0)</f>
        <v>69</v>
      </c>
    </row>
    <row r="379" spans="1:18" x14ac:dyDescent="0.2">
      <c r="A379" s="947" t="s">
        <v>309</v>
      </c>
      <c r="B379" s="947">
        <v>212159</v>
      </c>
      <c r="C379" s="947" t="s">
        <v>2189</v>
      </c>
      <c r="D379" s="947" t="s">
        <v>1893</v>
      </c>
      <c r="E379" s="951">
        <v>224</v>
      </c>
      <c r="F379" s="951">
        <v>197</v>
      </c>
      <c r="G379" s="947" t="s">
        <v>159</v>
      </c>
      <c r="H379" s="951">
        <v>0</v>
      </c>
      <c r="I379" s="951">
        <v>0</v>
      </c>
      <c r="J379" s="947" t="s">
        <v>309</v>
      </c>
      <c r="K379" s="947">
        <v>212159</v>
      </c>
      <c r="M379" s="631"/>
      <c r="P379" s="950" t="str">
        <f>VLOOKUP(J379,'רשימת רשויות'!A:A,1,0)</f>
        <v>מטה אשר</v>
      </c>
      <c r="Q379" s="956">
        <f>IFERROR(VLOOKUP(B379,[2]מעובד!$D:$K,8,0),0)</f>
        <v>233</v>
      </c>
      <c r="R379" s="956">
        <f>IFERROR(VLOOKUP(B379,[2]מעובד!$D:$L,9,0),0)</f>
        <v>75</v>
      </c>
    </row>
    <row r="380" spans="1:18" x14ac:dyDescent="0.2">
      <c r="A380" s="947" t="s">
        <v>349</v>
      </c>
      <c r="B380" s="947">
        <v>212167</v>
      </c>
      <c r="C380" s="947" t="s">
        <v>2189</v>
      </c>
      <c r="D380" s="947" t="s">
        <v>1894</v>
      </c>
      <c r="E380" s="951">
        <v>178</v>
      </c>
      <c r="F380" s="951">
        <v>125</v>
      </c>
      <c r="G380" s="947" t="s">
        <v>159</v>
      </c>
      <c r="H380" s="951">
        <v>55</v>
      </c>
      <c r="I380" s="951">
        <v>5</v>
      </c>
      <c r="J380" s="947" t="s">
        <v>349</v>
      </c>
      <c r="K380" s="957" t="s">
        <v>3263</v>
      </c>
      <c r="M380" s="631"/>
      <c r="P380" s="950" t="str">
        <f>VLOOKUP(J380,'רשימת רשויות'!A:A,1,0)</f>
        <v>עמק המעיינות</v>
      </c>
      <c r="Q380" s="956">
        <f>IFERROR(VLOOKUP(B380,[2]מעובד!$D:$K,8,0),0)</f>
        <v>0</v>
      </c>
      <c r="R380" s="956">
        <f>IFERROR(VLOOKUP(B380,[2]מעובד!$D:$L,9,0),0)</f>
        <v>0</v>
      </c>
    </row>
    <row r="381" spans="1:18" x14ac:dyDescent="0.2">
      <c r="A381" s="947" t="s">
        <v>393</v>
      </c>
      <c r="B381" s="947">
        <v>212217</v>
      </c>
      <c r="C381" s="947" t="s">
        <v>2189</v>
      </c>
      <c r="D381" s="947" t="s">
        <v>1895</v>
      </c>
      <c r="E381" s="951">
        <v>167</v>
      </c>
      <c r="F381" s="951">
        <v>105</v>
      </c>
      <c r="G381" s="947" t="s">
        <v>159</v>
      </c>
      <c r="H381" s="951">
        <v>0</v>
      </c>
      <c r="I381" s="951">
        <v>0</v>
      </c>
      <c r="J381" s="947" t="s">
        <v>393</v>
      </c>
      <c r="K381" s="947">
        <v>212217</v>
      </c>
      <c r="M381" s="631"/>
      <c r="P381" s="950" t="str">
        <f>VLOOKUP(J381,'רשימת רשויות'!A:A,1,0)</f>
        <v>רמת ישי</v>
      </c>
      <c r="Q381" s="956">
        <f>IFERROR(VLOOKUP(B381,[2]מעובד!$D:$K,8,0),0)</f>
        <v>0</v>
      </c>
      <c r="R381" s="956">
        <f>IFERROR(VLOOKUP(B381,[2]מעובד!$D:$L,9,0),0)</f>
        <v>0</v>
      </c>
    </row>
    <row r="382" spans="1:18" x14ac:dyDescent="0.2">
      <c r="A382" s="947" t="s">
        <v>349</v>
      </c>
      <c r="B382" s="947">
        <v>212274</v>
      </c>
      <c r="C382" s="947" t="s">
        <v>2189</v>
      </c>
      <c r="D382" s="947" t="s">
        <v>1726</v>
      </c>
      <c r="E382" s="951">
        <v>254</v>
      </c>
      <c r="F382" s="951">
        <v>101</v>
      </c>
      <c r="G382" s="947" t="s">
        <v>159</v>
      </c>
      <c r="H382" s="951">
        <v>98</v>
      </c>
      <c r="I382" s="951">
        <v>1</v>
      </c>
      <c r="J382" s="947" t="s">
        <v>349</v>
      </c>
      <c r="K382" s="957" t="s">
        <v>3263</v>
      </c>
      <c r="M382" s="631"/>
      <c r="P382" s="950" t="str">
        <f>VLOOKUP(J382,'רשימת רשויות'!A:A,1,0)</f>
        <v>עמק המעיינות</v>
      </c>
      <c r="Q382" s="956">
        <f>IFERROR(VLOOKUP(B382,[2]מעובד!$D:$K,8,0),0)</f>
        <v>0</v>
      </c>
      <c r="R382" s="956">
        <f>IFERROR(VLOOKUP(B382,[2]מעובד!$D:$L,9,0),0)</f>
        <v>0</v>
      </c>
    </row>
    <row r="383" spans="1:18" x14ac:dyDescent="0.2">
      <c r="A383" s="947" t="s">
        <v>351</v>
      </c>
      <c r="B383" s="947">
        <v>212290</v>
      </c>
      <c r="C383" s="947" t="s">
        <v>2189</v>
      </c>
      <c r="D383" s="947" t="s">
        <v>1727</v>
      </c>
      <c r="E383" s="951">
        <v>83</v>
      </c>
      <c r="F383" s="951">
        <v>70</v>
      </c>
      <c r="G383" s="947" t="s">
        <v>159</v>
      </c>
      <c r="H383" s="951">
        <v>0</v>
      </c>
      <c r="I383" s="951">
        <v>0</v>
      </c>
      <c r="J383" s="947" t="s">
        <v>351</v>
      </c>
      <c r="K383" s="947">
        <v>212290</v>
      </c>
      <c r="M383" s="631"/>
      <c r="P383" s="950" t="str">
        <f>VLOOKUP(J383,'רשימת רשויות'!A:A,1,0)</f>
        <v>עמק יזרעאל</v>
      </c>
      <c r="Q383" s="956">
        <f>IFERROR(VLOOKUP(B383,[2]מעובד!$D:$K,8,0),0)</f>
        <v>0</v>
      </c>
      <c r="R383" s="956">
        <f>IFERROR(VLOOKUP(B383,[2]מעובד!$D:$L,9,0),0)</f>
        <v>0</v>
      </c>
    </row>
    <row r="384" spans="1:18" x14ac:dyDescent="0.2">
      <c r="A384" s="947" t="s">
        <v>403</v>
      </c>
      <c r="B384" s="947">
        <v>212357</v>
      </c>
      <c r="C384" s="947" t="s">
        <v>2189</v>
      </c>
      <c r="D384" s="947" t="s">
        <v>459</v>
      </c>
      <c r="E384" s="951">
        <v>161</v>
      </c>
      <c r="F384" s="951">
        <v>103</v>
      </c>
      <c r="G384" s="947" t="s">
        <v>159</v>
      </c>
      <c r="H384" s="951">
        <v>68</v>
      </c>
      <c r="I384" s="951">
        <v>2</v>
      </c>
      <c r="J384" s="947" t="s">
        <v>403</v>
      </c>
      <c r="K384" s="947">
        <v>212357</v>
      </c>
      <c r="M384" s="631"/>
      <c r="P384" s="950" t="str">
        <f>VLOOKUP(J384,'רשימת רשויות'!A:A,1,0)</f>
        <v>שלומי</v>
      </c>
      <c r="Q384" s="956">
        <f>IFERROR(VLOOKUP(B384,[2]מעובד!$D:$K,8,0),0)</f>
        <v>174</v>
      </c>
      <c r="R384" s="956">
        <f>IFERROR(VLOOKUP(B384,[2]מעובד!$D:$L,9,0),0)</f>
        <v>84</v>
      </c>
    </row>
    <row r="385" spans="1:18" x14ac:dyDescent="0.2">
      <c r="A385" s="947" t="s">
        <v>403</v>
      </c>
      <c r="B385" s="947">
        <v>212365</v>
      </c>
      <c r="C385" s="947" t="s">
        <v>2189</v>
      </c>
      <c r="D385" s="947" t="s">
        <v>1728</v>
      </c>
      <c r="E385" s="951">
        <v>113</v>
      </c>
      <c r="F385" s="951">
        <v>93</v>
      </c>
      <c r="G385" s="947" t="s">
        <v>159</v>
      </c>
      <c r="H385" s="951">
        <v>0</v>
      </c>
      <c r="I385" s="951">
        <v>0</v>
      </c>
      <c r="J385" s="947" t="s">
        <v>403</v>
      </c>
      <c r="K385" s="947">
        <v>212365</v>
      </c>
      <c r="M385" s="631"/>
      <c r="P385" s="950" t="str">
        <f>VLOOKUP(J385,'רשימת רשויות'!A:A,1,0)</f>
        <v>שלומי</v>
      </c>
      <c r="Q385" s="956">
        <f>IFERROR(VLOOKUP(B385,[2]מעובד!$D:$K,8,0),0)</f>
        <v>107</v>
      </c>
      <c r="R385" s="956">
        <f>IFERROR(VLOOKUP(B385,[2]מעובד!$D:$L,9,0),0)</f>
        <v>42</v>
      </c>
    </row>
    <row r="386" spans="1:18" x14ac:dyDescent="0.2">
      <c r="A386" s="947" t="s">
        <v>351</v>
      </c>
      <c r="B386" s="947">
        <v>212415</v>
      </c>
      <c r="C386" s="947" t="s">
        <v>2189</v>
      </c>
      <c r="D386" s="947" t="s">
        <v>2952</v>
      </c>
      <c r="E386" s="951">
        <v>251</v>
      </c>
      <c r="F386" s="951">
        <v>20</v>
      </c>
      <c r="G386" s="947" t="s">
        <v>159</v>
      </c>
      <c r="H386" s="951">
        <v>0</v>
      </c>
      <c r="I386" s="951">
        <v>0</v>
      </c>
      <c r="J386" s="947" t="s">
        <v>351</v>
      </c>
      <c r="K386" s="957" t="s">
        <v>3264</v>
      </c>
      <c r="M386" s="631"/>
      <c r="P386" s="950" t="str">
        <f>VLOOKUP(J386,'רשימת רשויות'!A:A,1,0)</f>
        <v>עמק יזרעאל</v>
      </c>
      <c r="Q386" s="956">
        <f>IFERROR(VLOOKUP(B386,[2]מעובד!$D:$K,8,0),0)</f>
        <v>0</v>
      </c>
      <c r="R386" s="956">
        <f>IFERROR(VLOOKUP(B386,[2]מעובד!$D:$L,9,0),0)</f>
        <v>0</v>
      </c>
    </row>
    <row r="387" spans="1:18" x14ac:dyDescent="0.2">
      <c r="A387" s="947" t="s">
        <v>254</v>
      </c>
      <c r="B387" s="947">
        <v>212464</v>
      </c>
      <c r="C387" s="947" t="s">
        <v>2189</v>
      </c>
      <c r="D387" s="947" t="s">
        <v>2378</v>
      </c>
      <c r="E387" s="951">
        <v>65</v>
      </c>
      <c r="F387" s="951">
        <v>64</v>
      </c>
      <c r="G387" s="947" t="s">
        <v>3252</v>
      </c>
      <c r="H387" s="951">
        <v>0</v>
      </c>
      <c r="I387" s="951">
        <v>0</v>
      </c>
      <c r="J387" s="947" t="s">
        <v>254</v>
      </c>
      <c r="K387" s="947">
        <v>212464</v>
      </c>
      <c r="M387" s="631"/>
      <c r="P387" s="950" t="str">
        <f>VLOOKUP(J387,'רשימת רשויות'!A:A,1,0)</f>
        <v>טבריה</v>
      </c>
      <c r="Q387" s="956">
        <f>IFERROR(VLOOKUP(B387,[2]מעובד!$D:$K,8,0),0)</f>
        <v>0</v>
      </c>
      <c r="R387" s="956">
        <f>IFERROR(VLOOKUP(B387,[2]מעובד!$D:$L,9,0),0)</f>
        <v>35</v>
      </c>
    </row>
    <row r="388" spans="1:18" x14ac:dyDescent="0.2">
      <c r="A388" s="947" t="s">
        <v>254</v>
      </c>
      <c r="B388" s="947">
        <v>212480</v>
      </c>
      <c r="C388" s="947" t="s">
        <v>2189</v>
      </c>
      <c r="D388" s="947" t="s">
        <v>2204</v>
      </c>
      <c r="E388" s="951">
        <v>66</v>
      </c>
      <c r="F388" s="951">
        <v>66</v>
      </c>
      <c r="G388" s="947" t="s">
        <v>3252</v>
      </c>
      <c r="H388" s="951">
        <v>0</v>
      </c>
      <c r="I388" s="951">
        <v>0</v>
      </c>
      <c r="J388" s="947" t="s">
        <v>254</v>
      </c>
      <c r="K388" s="947">
        <v>212480</v>
      </c>
      <c r="M388" s="631"/>
      <c r="P388" s="950" t="str">
        <f>VLOOKUP(J388,'רשימת רשויות'!A:A,1,0)</f>
        <v>טבריה</v>
      </c>
      <c r="Q388" s="956">
        <f>IFERROR(VLOOKUP(B388,[2]מעובד!$D:$K,8,0),0)</f>
        <v>0</v>
      </c>
      <c r="R388" s="956">
        <f>IFERROR(VLOOKUP(B388,[2]מעובד!$D:$L,9,0),0)</f>
        <v>0</v>
      </c>
    </row>
    <row r="389" spans="1:18" x14ac:dyDescent="0.2">
      <c r="A389" s="947" t="s">
        <v>351</v>
      </c>
      <c r="B389" s="947">
        <v>212506</v>
      </c>
      <c r="C389" s="947" t="s">
        <v>2189</v>
      </c>
      <c r="D389" s="947" t="s">
        <v>2713</v>
      </c>
      <c r="E389" s="951">
        <v>98</v>
      </c>
      <c r="F389" s="951">
        <v>75</v>
      </c>
      <c r="G389" s="947" t="s">
        <v>3252</v>
      </c>
      <c r="H389" s="951">
        <v>0</v>
      </c>
      <c r="I389" s="951">
        <v>0</v>
      </c>
      <c r="J389" s="947" t="s">
        <v>351</v>
      </c>
      <c r="K389" s="947">
        <v>212506</v>
      </c>
      <c r="M389" s="631"/>
      <c r="P389" s="950" t="str">
        <f>VLOOKUP(J389,'רשימת רשויות'!A:A,1,0)</f>
        <v>עמק יזרעאל</v>
      </c>
      <c r="Q389" s="956">
        <f>IFERROR(VLOOKUP(B389,[2]מעובד!$D:$K,8,0),0)</f>
        <v>0</v>
      </c>
      <c r="R389" s="956">
        <f>IFERROR(VLOOKUP(B389,[2]מעובד!$D:$L,9,0),0)</f>
        <v>0</v>
      </c>
    </row>
    <row r="390" spans="1:18" x14ac:dyDescent="0.2">
      <c r="A390" s="947" t="s">
        <v>346</v>
      </c>
      <c r="B390" s="947">
        <v>212522</v>
      </c>
      <c r="C390" s="947" t="s">
        <v>2189</v>
      </c>
      <c r="D390" s="947" t="s">
        <v>2715</v>
      </c>
      <c r="E390" s="951">
        <v>62</v>
      </c>
      <c r="F390" s="951">
        <v>62</v>
      </c>
      <c r="G390" s="947" t="s">
        <v>3252</v>
      </c>
      <c r="H390" s="951">
        <v>0</v>
      </c>
      <c r="I390" s="951">
        <v>0</v>
      </c>
      <c r="J390" s="947" t="s">
        <v>346</v>
      </c>
      <c r="K390" s="947">
        <v>212522</v>
      </c>
      <c r="M390" s="631"/>
      <c r="P390" s="950" t="str">
        <f>VLOOKUP(J390,'רשימת רשויות'!A:A,1,0)</f>
        <v>עכו</v>
      </c>
      <c r="Q390" s="956">
        <f>IFERROR(VLOOKUP(B390,[2]מעובד!$D:$K,8,0),0)</f>
        <v>0</v>
      </c>
      <c r="R390" s="956">
        <f>IFERROR(VLOOKUP(B390,[2]מעובד!$D:$L,9,0),0)</f>
        <v>0</v>
      </c>
    </row>
    <row r="391" spans="1:18" x14ac:dyDescent="0.2">
      <c r="A391" s="947" t="s">
        <v>346</v>
      </c>
      <c r="B391" s="947">
        <v>212530</v>
      </c>
      <c r="C391" s="947" t="s">
        <v>2189</v>
      </c>
      <c r="D391" s="947" t="s">
        <v>2716</v>
      </c>
      <c r="E391" s="951">
        <v>67</v>
      </c>
      <c r="F391" s="951">
        <v>67</v>
      </c>
      <c r="G391" s="947" t="s">
        <v>3252</v>
      </c>
      <c r="H391" s="951">
        <v>0</v>
      </c>
      <c r="I391" s="951">
        <v>0</v>
      </c>
      <c r="J391" s="947" t="s">
        <v>346</v>
      </c>
      <c r="K391" s="947">
        <v>212530</v>
      </c>
      <c r="M391" s="631"/>
      <c r="P391" s="950" t="str">
        <f>VLOOKUP(J391,'רשימת רשויות'!A:A,1,0)</f>
        <v>עכו</v>
      </c>
      <c r="Q391" s="956">
        <f>IFERROR(VLOOKUP(B391,[2]מעובד!$D:$K,8,0),0)</f>
        <v>0</v>
      </c>
      <c r="R391" s="956">
        <f>IFERROR(VLOOKUP(B391,[2]מעובד!$D:$L,9,0),0)</f>
        <v>0</v>
      </c>
    </row>
    <row r="392" spans="1:18" x14ac:dyDescent="0.2">
      <c r="A392" s="947" t="s">
        <v>329</v>
      </c>
      <c r="B392" s="947">
        <v>212589</v>
      </c>
      <c r="C392" s="947" t="s">
        <v>2189</v>
      </c>
      <c r="D392" s="947" t="s">
        <v>1756</v>
      </c>
      <c r="E392" s="951">
        <v>99</v>
      </c>
      <c r="F392" s="951">
        <v>36</v>
      </c>
      <c r="G392" s="947" t="s">
        <v>159</v>
      </c>
      <c r="H392" s="951">
        <v>0</v>
      </c>
      <c r="I392" s="951">
        <v>0</v>
      </c>
      <c r="J392" s="947" t="s">
        <v>329</v>
      </c>
      <c r="K392" s="947">
        <v>212589</v>
      </c>
      <c r="M392" s="631"/>
      <c r="P392" s="950" t="str">
        <f>VLOOKUP(J392,'רשימת רשויות'!A:A,1,0)</f>
        <v>נוף הגליל</v>
      </c>
      <c r="Q392" s="956">
        <f>IFERROR(VLOOKUP(B392,[2]מעובד!$D:$K,8,0),0)</f>
        <v>90</v>
      </c>
      <c r="R392" s="956">
        <f>IFERROR(VLOOKUP(B392,[2]מעובד!$D:$L,9,0),0)</f>
        <v>56</v>
      </c>
    </row>
    <row r="393" spans="1:18" x14ac:dyDescent="0.2">
      <c r="A393" s="947" t="s">
        <v>365</v>
      </c>
      <c r="B393" s="947">
        <v>212688</v>
      </c>
      <c r="C393" s="947" t="s">
        <v>2189</v>
      </c>
      <c r="D393" s="947" t="s">
        <v>1820</v>
      </c>
      <c r="E393" s="951">
        <v>118</v>
      </c>
      <c r="F393" s="951">
        <v>103</v>
      </c>
      <c r="G393" s="947" t="s">
        <v>159</v>
      </c>
      <c r="H393" s="951">
        <v>83</v>
      </c>
      <c r="I393" s="951">
        <v>13</v>
      </c>
      <c r="J393" s="947" t="s">
        <v>365</v>
      </c>
      <c r="K393" s="947">
        <v>212688</v>
      </c>
      <c r="M393" s="631"/>
      <c r="P393" s="950" t="str">
        <f>VLOOKUP(J393,'רשימת רשויות'!A:A,1,0)</f>
        <v>צפת</v>
      </c>
      <c r="Q393" s="956">
        <f>IFERROR(VLOOKUP(B393,[2]מעובד!$D:$K,8,0),0)</f>
        <v>121</v>
      </c>
      <c r="R393" s="956">
        <f>IFERROR(VLOOKUP(B393,[2]מעובד!$D:$L,9,0),0)</f>
        <v>82</v>
      </c>
    </row>
    <row r="394" spans="1:18" x14ac:dyDescent="0.2">
      <c r="A394" s="947" t="s">
        <v>365</v>
      </c>
      <c r="B394" s="947">
        <v>212746</v>
      </c>
      <c r="C394" s="947" t="s">
        <v>2189</v>
      </c>
      <c r="D394" s="947" t="s">
        <v>2205</v>
      </c>
      <c r="E394" s="951">
        <v>83</v>
      </c>
      <c r="F394" s="951">
        <v>75</v>
      </c>
      <c r="G394" s="947" t="s">
        <v>3252</v>
      </c>
      <c r="H394" s="951">
        <v>36</v>
      </c>
      <c r="I394" s="951">
        <v>10</v>
      </c>
      <c r="J394" s="947" t="s">
        <v>365</v>
      </c>
      <c r="K394" s="947">
        <v>212746</v>
      </c>
      <c r="M394" s="631"/>
      <c r="P394" s="950" t="str">
        <f>VLOOKUP(J394,'רשימת רשויות'!A:A,1,0)</f>
        <v>צפת</v>
      </c>
      <c r="Q394" s="956">
        <f>IFERROR(VLOOKUP(B394,[2]מעובד!$D:$K,8,0),0)</f>
        <v>0</v>
      </c>
      <c r="R394" s="956">
        <f>IFERROR(VLOOKUP(B394,[2]מעובד!$D:$L,9,0),0)</f>
        <v>0</v>
      </c>
    </row>
    <row r="395" spans="1:18" x14ac:dyDescent="0.2">
      <c r="A395" s="947" t="s">
        <v>266</v>
      </c>
      <c r="B395" s="947">
        <v>212753</v>
      </c>
      <c r="C395" s="947" t="s">
        <v>2189</v>
      </c>
      <c r="D395" s="947" t="s">
        <v>1833</v>
      </c>
      <c r="E395" s="951">
        <v>62</v>
      </c>
      <c r="F395" s="951">
        <v>62</v>
      </c>
      <c r="G395" s="947" t="s">
        <v>159</v>
      </c>
      <c r="H395" s="951">
        <v>0</v>
      </c>
      <c r="I395" s="951">
        <v>0</v>
      </c>
      <c r="J395" s="947" t="s">
        <v>266</v>
      </c>
      <c r="K395" s="947">
        <v>212753</v>
      </c>
      <c r="M395" s="631"/>
      <c r="P395" s="950" t="str">
        <f>VLOOKUP(J395,'רשימת רשויות'!A:A,1,0)</f>
        <v>יסוד המעלה</v>
      </c>
      <c r="Q395" s="956">
        <f>IFERROR(VLOOKUP(B395,[2]מעובד!$D:$K,8,0),0)</f>
        <v>0</v>
      </c>
      <c r="R395" s="956">
        <f>IFERROR(VLOOKUP(B395,[2]מעובד!$D:$L,9,0),0)</f>
        <v>0</v>
      </c>
    </row>
    <row r="396" spans="1:18" x14ac:dyDescent="0.2">
      <c r="A396" s="947" t="s">
        <v>252</v>
      </c>
      <c r="B396" s="947">
        <v>212761</v>
      </c>
      <c r="C396" s="947" t="s">
        <v>2189</v>
      </c>
      <c r="D396" s="947" t="s">
        <v>1834</v>
      </c>
      <c r="E396" s="951">
        <v>219</v>
      </c>
      <c r="F396" s="951">
        <v>219</v>
      </c>
      <c r="G396" s="947" t="s">
        <v>159</v>
      </c>
      <c r="H396" s="951">
        <v>0</v>
      </c>
      <c r="I396" s="951">
        <v>0</v>
      </c>
      <c r="J396" s="947" t="s">
        <v>252</v>
      </c>
      <c r="K396" s="947">
        <v>212761</v>
      </c>
      <c r="M396" s="631"/>
      <c r="P396" s="950" t="str">
        <f>VLOOKUP(J396,'רשימת רשויות'!A:A,1,0)</f>
        <v>חצור הגלילית</v>
      </c>
      <c r="Q396" s="956">
        <f>IFERROR(VLOOKUP(B396,[2]מעובד!$D:$K,8,0),0)</f>
        <v>164</v>
      </c>
      <c r="R396" s="956">
        <f>IFERROR(VLOOKUP(B396,[2]מעובד!$D:$L,9,0),0)</f>
        <v>117</v>
      </c>
    </row>
    <row r="397" spans="1:18" x14ac:dyDescent="0.2">
      <c r="A397" s="947" t="s">
        <v>195</v>
      </c>
      <c r="B397" s="947">
        <v>212795</v>
      </c>
      <c r="C397" s="947" t="s">
        <v>2189</v>
      </c>
      <c r="D397" s="947" t="s">
        <v>1677</v>
      </c>
      <c r="E397" s="951">
        <v>133</v>
      </c>
      <c r="F397" s="951">
        <v>99</v>
      </c>
      <c r="G397" s="947" t="s">
        <v>159</v>
      </c>
      <c r="H397" s="951">
        <v>57</v>
      </c>
      <c r="I397" s="951">
        <v>9</v>
      </c>
      <c r="J397" s="947" t="s">
        <v>195</v>
      </c>
      <c r="K397" s="947">
        <v>212795</v>
      </c>
      <c r="M397" s="631"/>
      <c r="P397" s="950" t="str">
        <f>VLOOKUP(J397,'רשימת רשויות'!A:A,1,0)</f>
        <v>בית שאן</v>
      </c>
      <c r="Q397" s="956">
        <f>IFERROR(VLOOKUP(B397,[2]מעובד!$D:$K,8,0),0)</f>
        <v>134</v>
      </c>
      <c r="R397" s="956">
        <f>IFERROR(VLOOKUP(B397,[2]מעובד!$D:$L,9,0),0)</f>
        <v>102</v>
      </c>
    </row>
    <row r="398" spans="1:18" x14ac:dyDescent="0.2">
      <c r="A398" s="947" t="s">
        <v>321</v>
      </c>
      <c r="B398" s="947">
        <v>212811</v>
      </c>
      <c r="C398" s="947" t="s">
        <v>2189</v>
      </c>
      <c r="D398" s="947" t="s">
        <v>1678</v>
      </c>
      <c r="E398" s="951">
        <v>172</v>
      </c>
      <c r="F398" s="951">
        <v>122</v>
      </c>
      <c r="G398" s="947" t="s">
        <v>159</v>
      </c>
      <c r="H398" s="951">
        <v>61</v>
      </c>
      <c r="I398" s="951">
        <v>10</v>
      </c>
      <c r="J398" s="947" t="s">
        <v>321</v>
      </c>
      <c r="K398" s="947">
        <v>212811</v>
      </c>
      <c r="M398" s="631"/>
      <c r="P398" s="950" t="str">
        <f>VLOOKUP(J398,'רשימת רשויות'!A:A,1,0)</f>
        <v>מעלות-תרשיחא</v>
      </c>
      <c r="Q398" s="956">
        <f>IFERROR(VLOOKUP(B398,[2]מעובד!$D:$K,8,0),0)</f>
        <v>153</v>
      </c>
      <c r="R398" s="956">
        <f>IFERROR(VLOOKUP(B398,[2]מעובד!$D:$L,9,0),0)</f>
        <v>55</v>
      </c>
    </row>
    <row r="399" spans="1:18" x14ac:dyDescent="0.2">
      <c r="A399" s="947" t="s">
        <v>195</v>
      </c>
      <c r="B399" s="947">
        <v>212902</v>
      </c>
      <c r="C399" s="947" t="s">
        <v>2189</v>
      </c>
      <c r="D399" s="947" t="s">
        <v>2206</v>
      </c>
      <c r="E399" s="951">
        <v>124</v>
      </c>
      <c r="F399" s="951">
        <v>85</v>
      </c>
      <c r="G399" s="947" t="s">
        <v>3252</v>
      </c>
      <c r="H399" s="951">
        <v>0</v>
      </c>
      <c r="I399" s="951">
        <v>0</v>
      </c>
      <c r="J399" s="947" t="s">
        <v>195</v>
      </c>
      <c r="K399" s="947">
        <v>212902</v>
      </c>
      <c r="M399" s="631"/>
      <c r="P399" s="950" t="str">
        <f>VLOOKUP(J399,'רשימת רשויות'!A:A,1,0)</f>
        <v>בית שאן</v>
      </c>
      <c r="Q399" s="956">
        <f>IFERROR(VLOOKUP(B399,[2]מעובד!$D:$K,8,0),0)</f>
        <v>118</v>
      </c>
      <c r="R399" s="956">
        <f>IFERROR(VLOOKUP(B399,[2]מעובד!$D:$L,9,0),0)</f>
        <v>116</v>
      </c>
    </row>
    <row r="400" spans="1:18" x14ac:dyDescent="0.2">
      <c r="A400" s="947" t="s">
        <v>319</v>
      </c>
      <c r="B400" s="947">
        <v>212936</v>
      </c>
      <c r="C400" s="947" t="s">
        <v>2189</v>
      </c>
      <c r="D400" s="947" t="s">
        <v>1686</v>
      </c>
      <c r="E400" s="951">
        <v>260</v>
      </c>
      <c r="F400" s="951">
        <v>200</v>
      </c>
      <c r="G400" s="947" t="s">
        <v>159</v>
      </c>
      <c r="H400" s="951">
        <v>174</v>
      </c>
      <c r="I400" s="951">
        <v>5</v>
      </c>
      <c r="J400" s="947" t="s">
        <v>319</v>
      </c>
      <c r="K400" s="947">
        <v>212936</v>
      </c>
      <c r="M400" s="631"/>
      <c r="P400" s="950" t="str">
        <f>VLOOKUP(J400,'רשימת רשויות'!A:A,1,0)</f>
        <v>מעלה יוסף</v>
      </c>
      <c r="Q400" s="956">
        <f>IFERROR(VLOOKUP(B400,[2]מעובד!$D:$K,8,0),0)</f>
        <v>253</v>
      </c>
      <c r="R400" s="956">
        <f>IFERROR(VLOOKUP(B400,[2]מעובד!$D:$L,9,0),0)</f>
        <v>66</v>
      </c>
    </row>
    <row r="401" spans="1:18" x14ac:dyDescent="0.2">
      <c r="A401" s="947" t="s">
        <v>329</v>
      </c>
      <c r="B401" s="947">
        <v>212969</v>
      </c>
      <c r="C401" s="947" t="s">
        <v>2189</v>
      </c>
      <c r="D401" s="947" t="s">
        <v>1748</v>
      </c>
      <c r="E401" s="951">
        <v>99</v>
      </c>
      <c r="F401" s="951">
        <v>60</v>
      </c>
      <c r="G401" s="947" t="s">
        <v>159</v>
      </c>
      <c r="H401" s="951">
        <v>32</v>
      </c>
      <c r="I401" s="951">
        <v>13</v>
      </c>
      <c r="J401" s="947" t="s">
        <v>329</v>
      </c>
      <c r="K401" s="947">
        <v>212969</v>
      </c>
      <c r="M401" s="631"/>
      <c r="P401" s="950" t="str">
        <f>VLOOKUP(J401,'רשימת רשויות'!A:A,1,0)</f>
        <v>נוף הגליל</v>
      </c>
      <c r="Q401" s="956">
        <f>IFERROR(VLOOKUP(B401,[2]מעובד!$D:$K,8,0),0)</f>
        <v>78</v>
      </c>
      <c r="R401" s="956">
        <f>IFERROR(VLOOKUP(B401,[2]מעובד!$D:$L,9,0),0)</f>
        <v>43</v>
      </c>
    </row>
    <row r="402" spans="1:18" x14ac:dyDescent="0.2">
      <c r="A402" s="947" t="s">
        <v>325</v>
      </c>
      <c r="B402" s="947">
        <v>212985</v>
      </c>
      <c r="C402" s="947" t="s">
        <v>2189</v>
      </c>
      <c r="D402" s="947" t="s">
        <v>2185</v>
      </c>
      <c r="E402" s="951">
        <v>112</v>
      </c>
      <c r="F402" s="951">
        <v>67</v>
      </c>
      <c r="G402" s="947" t="s">
        <v>159</v>
      </c>
      <c r="H402" s="951">
        <v>0</v>
      </c>
      <c r="I402" s="951">
        <v>0</v>
      </c>
      <c r="J402" s="947" t="s">
        <v>325</v>
      </c>
      <c r="K402" s="947">
        <v>212985</v>
      </c>
      <c r="M402" s="631"/>
      <c r="P402" s="950" t="str">
        <f>VLOOKUP(J402,'רשימת רשויות'!A:A,1,0)</f>
        <v>משגב</v>
      </c>
      <c r="Q402" s="956">
        <f>IFERROR(VLOOKUP(B402,[2]מעובד!$D:$K,8,0),0)</f>
        <v>0</v>
      </c>
      <c r="R402" s="956">
        <f>IFERROR(VLOOKUP(B402,[2]מעובד!$D:$L,9,0),0)</f>
        <v>0</v>
      </c>
    </row>
    <row r="403" spans="1:18" x14ac:dyDescent="0.2">
      <c r="A403" s="947" t="s">
        <v>325</v>
      </c>
      <c r="B403" s="947">
        <v>213090</v>
      </c>
      <c r="C403" s="947" t="s">
        <v>2189</v>
      </c>
      <c r="D403" s="947" t="s">
        <v>1757</v>
      </c>
      <c r="E403" s="951">
        <v>171</v>
      </c>
      <c r="F403" s="951">
        <v>89</v>
      </c>
      <c r="G403" s="947" t="s">
        <v>159</v>
      </c>
      <c r="H403" s="951">
        <v>0</v>
      </c>
      <c r="I403" s="951">
        <v>0</v>
      </c>
      <c r="J403" s="947" t="s">
        <v>325</v>
      </c>
      <c r="K403" s="947">
        <v>213090</v>
      </c>
      <c r="M403" s="631"/>
      <c r="P403" s="950" t="str">
        <f>VLOOKUP(J403,'רשימת רשויות'!A:A,1,0)</f>
        <v>משגב</v>
      </c>
      <c r="Q403" s="956">
        <f>IFERROR(VLOOKUP(B403,[2]מעובד!$D:$K,8,0),0)</f>
        <v>0</v>
      </c>
      <c r="R403" s="956">
        <f>IFERROR(VLOOKUP(B403,[2]מעובד!$D:$L,9,0),0)</f>
        <v>0</v>
      </c>
    </row>
    <row r="404" spans="1:18" x14ac:dyDescent="0.2">
      <c r="A404" s="947" t="s">
        <v>290</v>
      </c>
      <c r="B404" s="947">
        <v>213108</v>
      </c>
      <c r="C404" s="947" t="s">
        <v>2189</v>
      </c>
      <c r="D404" s="947" t="s">
        <v>1758</v>
      </c>
      <c r="E404" s="951">
        <v>148</v>
      </c>
      <c r="F404" s="951">
        <v>89</v>
      </c>
      <c r="G404" s="947" t="s">
        <v>159</v>
      </c>
      <c r="H404" s="951">
        <v>0</v>
      </c>
      <c r="I404" s="951">
        <v>0</v>
      </c>
      <c r="J404" s="947" t="s">
        <v>290</v>
      </c>
      <c r="K404" s="947">
        <v>213108</v>
      </c>
      <c r="M404" s="631"/>
      <c r="P404" s="950" t="str">
        <f>VLOOKUP(J404,'רשימת רשויות'!A:A,1,0)</f>
        <v>כרמיאל</v>
      </c>
      <c r="Q404" s="956">
        <f>IFERROR(VLOOKUP(B404,[2]מעובד!$D:$K,8,0),0)</f>
        <v>145</v>
      </c>
      <c r="R404" s="956">
        <f>IFERROR(VLOOKUP(B404,[2]מעובד!$D:$L,9,0),0)</f>
        <v>90</v>
      </c>
    </row>
    <row r="405" spans="1:18" x14ac:dyDescent="0.2">
      <c r="A405" s="947" t="s">
        <v>290</v>
      </c>
      <c r="B405" s="947">
        <v>213124</v>
      </c>
      <c r="C405" s="947" t="s">
        <v>2189</v>
      </c>
      <c r="D405" s="947" t="s">
        <v>2953</v>
      </c>
      <c r="E405" s="951">
        <v>96</v>
      </c>
      <c r="F405" s="951">
        <v>11</v>
      </c>
      <c r="G405" s="947" t="s">
        <v>159</v>
      </c>
      <c r="H405" s="951">
        <v>0</v>
      </c>
      <c r="I405" s="951">
        <v>0</v>
      </c>
      <c r="J405" s="947" t="s">
        <v>290</v>
      </c>
      <c r="K405" s="957" t="s">
        <v>3265</v>
      </c>
      <c r="M405" s="631"/>
      <c r="P405" s="950" t="str">
        <f>VLOOKUP(J405,'רשימת רשויות'!A:A,1,0)</f>
        <v>כרמיאל</v>
      </c>
      <c r="Q405" s="956">
        <f>IFERROR(VLOOKUP(B405,[2]מעובד!$D:$K,8,0),0)</f>
        <v>0</v>
      </c>
      <c r="R405" s="956">
        <f>IFERROR(VLOOKUP(B405,[2]מעובד!$D:$L,9,0),0)</f>
        <v>0</v>
      </c>
    </row>
    <row r="406" spans="1:18" x14ac:dyDescent="0.2">
      <c r="A406" s="947" t="s">
        <v>217</v>
      </c>
      <c r="B406" s="947">
        <v>213132</v>
      </c>
      <c r="C406" s="947" t="s">
        <v>2189</v>
      </c>
      <c r="D406" s="947" t="s">
        <v>1823</v>
      </c>
      <c r="E406" s="951">
        <v>243</v>
      </c>
      <c r="F406" s="951">
        <v>200</v>
      </c>
      <c r="G406" s="947" t="s">
        <v>159</v>
      </c>
      <c r="H406" s="951">
        <v>97</v>
      </c>
      <c r="I406" s="951">
        <v>8</v>
      </c>
      <c r="J406" s="947" t="s">
        <v>217</v>
      </c>
      <c r="K406" s="947">
        <v>213132</v>
      </c>
      <c r="M406" s="631"/>
      <c r="P406" s="950" t="str">
        <f>VLOOKUP(J406,'רשימת רשויות'!A:A,1,0)</f>
        <v>גולן</v>
      </c>
      <c r="Q406" s="956">
        <f>IFERROR(VLOOKUP(B406,[2]מעובד!$D:$K,8,0),0)</f>
        <v>220</v>
      </c>
      <c r="R406" s="956">
        <f>IFERROR(VLOOKUP(B406,[2]מעובד!$D:$L,9,0),0)</f>
        <v>100</v>
      </c>
    </row>
    <row r="407" spans="1:18" x14ac:dyDescent="0.2">
      <c r="A407" s="947" t="s">
        <v>217</v>
      </c>
      <c r="B407" s="947">
        <v>213157</v>
      </c>
      <c r="C407" s="947" t="s">
        <v>2189</v>
      </c>
      <c r="D407" s="947" t="s">
        <v>1306</v>
      </c>
      <c r="E407" s="951">
        <v>270</v>
      </c>
      <c r="F407" s="951">
        <v>243</v>
      </c>
      <c r="G407" s="947" t="s">
        <v>159</v>
      </c>
      <c r="H407" s="951">
        <v>175</v>
      </c>
      <c r="I407" s="951">
        <v>21</v>
      </c>
      <c r="J407" s="947" t="s">
        <v>217</v>
      </c>
      <c r="K407" s="947">
        <v>213157</v>
      </c>
      <c r="M407" s="631"/>
      <c r="P407" s="950" t="str">
        <f>VLOOKUP(J407,'רשימת רשויות'!A:A,1,0)</f>
        <v>גולן</v>
      </c>
      <c r="Q407" s="956">
        <f>IFERROR(VLOOKUP(B407,[2]מעובד!$D:$K,8,0),0)</f>
        <v>293</v>
      </c>
      <c r="R407" s="956">
        <f>IFERROR(VLOOKUP(B407,[2]מעובד!$D:$L,9,0),0)</f>
        <v>41</v>
      </c>
    </row>
    <row r="408" spans="1:18" x14ac:dyDescent="0.2">
      <c r="A408" s="947" t="s">
        <v>329</v>
      </c>
      <c r="B408" s="947">
        <v>213165</v>
      </c>
      <c r="C408" s="947" t="s">
        <v>2189</v>
      </c>
      <c r="D408" s="947" t="s">
        <v>2954</v>
      </c>
      <c r="E408" s="951">
        <v>81</v>
      </c>
      <c r="F408" s="951">
        <v>60</v>
      </c>
      <c r="G408" s="947" t="s">
        <v>159</v>
      </c>
      <c r="H408" s="951">
        <v>0</v>
      </c>
      <c r="I408" s="951">
        <v>0</v>
      </c>
      <c r="J408" s="947" t="s">
        <v>329</v>
      </c>
      <c r="K408" s="947">
        <v>213165</v>
      </c>
      <c r="M408" s="631"/>
      <c r="P408" s="950" t="str">
        <f>VLOOKUP(J408,'רשימת רשויות'!A:A,1,0)</f>
        <v>נוף הגליל</v>
      </c>
      <c r="Q408" s="956">
        <f>IFERROR(VLOOKUP(B408,[2]מעובד!$D:$K,8,0),0)</f>
        <v>79</v>
      </c>
      <c r="R408" s="956">
        <f>IFERROR(VLOOKUP(B408,[2]מעובד!$D:$L,9,0),0)</f>
        <v>63</v>
      </c>
    </row>
    <row r="409" spans="1:18" x14ac:dyDescent="0.2">
      <c r="A409" s="947" t="s">
        <v>254</v>
      </c>
      <c r="B409" s="947">
        <v>213181</v>
      </c>
      <c r="C409" s="947" t="s">
        <v>2189</v>
      </c>
      <c r="D409" s="947" t="s">
        <v>1835</v>
      </c>
      <c r="E409" s="951">
        <v>169</v>
      </c>
      <c r="F409" s="951">
        <v>169</v>
      </c>
      <c r="G409" s="947" t="s">
        <v>3252</v>
      </c>
      <c r="H409" s="951">
        <v>0</v>
      </c>
      <c r="I409" s="951">
        <v>0</v>
      </c>
      <c r="J409" s="947" t="s">
        <v>254</v>
      </c>
      <c r="K409" s="947">
        <v>213181</v>
      </c>
      <c r="M409" s="631"/>
      <c r="P409" s="950" t="str">
        <f>VLOOKUP(J409,'רשימת רשויות'!A:A,1,0)</f>
        <v>טבריה</v>
      </c>
      <c r="Q409" s="956">
        <f>IFERROR(VLOOKUP(B409,[2]מעובד!$D:$K,8,0),0)</f>
        <v>154</v>
      </c>
      <c r="R409" s="956">
        <f>IFERROR(VLOOKUP(B409,[2]מעובד!$D:$L,9,0),0)</f>
        <v>140</v>
      </c>
    </row>
    <row r="410" spans="1:18" x14ac:dyDescent="0.2">
      <c r="A410" s="947" t="s">
        <v>254</v>
      </c>
      <c r="B410" s="947">
        <v>213223</v>
      </c>
      <c r="C410" s="947" t="s">
        <v>2189</v>
      </c>
      <c r="D410" s="947" t="s">
        <v>1836</v>
      </c>
      <c r="E410" s="951">
        <v>96</v>
      </c>
      <c r="F410" s="951">
        <v>55</v>
      </c>
      <c r="G410" s="947" t="s">
        <v>159</v>
      </c>
      <c r="H410" s="951">
        <v>96</v>
      </c>
      <c r="I410" s="951">
        <v>39</v>
      </c>
      <c r="J410" s="947" t="s">
        <v>254</v>
      </c>
      <c r="K410" s="947">
        <v>213223</v>
      </c>
      <c r="M410" s="631"/>
      <c r="P410" s="950" t="str">
        <f>VLOOKUP(J410,'רשימת רשויות'!A:A,1,0)</f>
        <v>טבריה</v>
      </c>
      <c r="Q410" s="956">
        <f>IFERROR(VLOOKUP(B410,[2]מעובד!$D:$K,8,0),0)</f>
        <v>50</v>
      </c>
      <c r="R410" s="956">
        <f>IFERROR(VLOOKUP(B410,[2]מעובד!$D:$L,9,0),0)</f>
        <v>50</v>
      </c>
    </row>
    <row r="411" spans="1:18" x14ac:dyDescent="0.2">
      <c r="A411" s="947" t="s">
        <v>348</v>
      </c>
      <c r="B411" s="947">
        <v>213231</v>
      </c>
      <c r="C411" s="947" t="s">
        <v>2189</v>
      </c>
      <c r="D411" s="947" t="s">
        <v>1837</v>
      </c>
      <c r="E411" s="951">
        <v>172</v>
      </c>
      <c r="F411" s="951">
        <v>159</v>
      </c>
      <c r="G411" s="947" t="s">
        <v>159</v>
      </c>
      <c r="H411" s="951">
        <v>54</v>
      </c>
      <c r="I411" s="951">
        <v>12</v>
      </c>
      <c r="J411" s="947" t="s">
        <v>348</v>
      </c>
      <c r="K411" s="947">
        <v>213231</v>
      </c>
      <c r="M411" s="631"/>
      <c r="P411" s="950" t="str">
        <f>VLOOKUP(J411,'רשימת רשויות'!A:A,1,0)</f>
        <v>עמק הירדן</v>
      </c>
      <c r="Q411" s="956">
        <f>IFERROR(VLOOKUP(B411,[2]מעובד!$D:$K,8,0),0)</f>
        <v>0</v>
      </c>
      <c r="R411" s="956">
        <f>IFERROR(VLOOKUP(B411,[2]מעובד!$D:$L,9,0),0)</f>
        <v>0</v>
      </c>
    </row>
    <row r="412" spans="1:18" x14ac:dyDescent="0.2">
      <c r="A412" s="947" t="s">
        <v>302</v>
      </c>
      <c r="B412" s="947">
        <v>213249</v>
      </c>
      <c r="C412" s="947" t="s">
        <v>2189</v>
      </c>
      <c r="D412" s="947" t="s">
        <v>1838</v>
      </c>
      <c r="E412" s="951">
        <v>110</v>
      </c>
      <c r="F412" s="951">
        <v>91</v>
      </c>
      <c r="G412" s="947" t="s">
        <v>3252</v>
      </c>
      <c r="H412" s="951">
        <v>76</v>
      </c>
      <c r="I412" s="951">
        <v>15</v>
      </c>
      <c r="J412" s="947" t="s">
        <v>302</v>
      </c>
      <c r="K412" s="947">
        <v>213249</v>
      </c>
      <c r="M412" s="631"/>
      <c r="P412" s="950" t="str">
        <f>VLOOKUP(J412,'רשימת רשויות'!A:A,1,0)</f>
        <v>מגדל העמק</v>
      </c>
      <c r="Q412" s="956">
        <f>IFERROR(VLOOKUP(B412,[2]מעובד!$D:$K,8,0),0)</f>
        <v>119</v>
      </c>
      <c r="R412" s="956">
        <f>IFERROR(VLOOKUP(B412,[2]מעובד!$D:$L,9,0),0)</f>
        <v>72</v>
      </c>
    </row>
    <row r="413" spans="1:18" x14ac:dyDescent="0.2">
      <c r="A413" s="947" t="s">
        <v>217</v>
      </c>
      <c r="B413" s="947">
        <v>213272</v>
      </c>
      <c r="C413" s="947" t="s">
        <v>2189</v>
      </c>
      <c r="D413" s="947" t="s">
        <v>1848</v>
      </c>
      <c r="E413" s="951">
        <v>181</v>
      </c>
      <c r="F413" s="951">
        <v>125</v>
      </c>
      <c r="G413" s="947" t="s">
        <v>159</v>
      </c>
      <c r="H413" s="951">
        <v>110</v>
      </c>
      <c r="I413" s="951">
        <v>15</v>
      </c>
      <c r="J413" s="947" t="s">
        <v>217</v>
      </c>
      <c r="K413" s="947">
        <v>213272</v>
      </c>
      <c r="M413" s="631"/>
      <c r="P413" s="950" t="str">
        <f>VLOOKUP(J413,'רשימת רשויות'!A:A,1,0)</f>
        <v>גולן</v>
      </c>
      <c r="Q413" s="956">
        <f>IFERROR(VLOOKUP(B413,[2]מעובד!$D:$K,8,0),0)</f>
        <v>0</v>
      </c>
      <c r="R413" s="956">
        <f>IFERROR(VLOOKUP(B413,[2]מעובד!$D:$L,9,0),0)</f>
        <v>0</v>
      </c>
    </row>
    <row r="414" spans="1:18" x14ac:dyDescent="0.2">
      <c r="A414" s="947" t="s">
        <v>329</v>
      </c>
      <c r="B414" s="947">
        <v>213280</v>
      </c>
      <c r="C414" s="947" t="s">
        <v>2189</v>
      </c>
      <c r="D414" s="947" t="s">
        <v>1038</v>
      </c>
      <c r="E414" s="951">
        <v>92</v>
      </c>
      <c r="F414" s="951">
        <v>40</v>
      </c>
      <c r="G414" s="947" t="s">
        <v>159</v>
      </c>
      <c r="H414" s="951">
        <v>67</v>
      </c>
      <c r="I414" s="951">
        <v>0</v>
      </c>
      <c r="J414" s="947" t="s">
        <v>329</v>
      </c>
      <c r="K414" s="947">
        <v>213280</v>
      </c>
      <c r="M414" s="631"/>
      <c r="P414" s="950" t="str">
        <f>VLOOKUP(J414,'רשימת רשויות'!A:A,1,0)</f>
        <v>נוף הגליל</v>
      </c>
      <c r="Q414" s="956">
        <f>IFERROR(VLOOKUP(B414,[2]מעובד!$D:$K,8,0),0)</f>
        <v>0</v>
      </c>
      <c r="R414" s="956">
        <f>IFERROR(VLOOKUP(B414,[2]מעובד!$D:$L,9,0),0)</f>
        <v>0</v>
      </c>
    </row>
    <row r="415" spans="1:18" x14ac:dyDescent="0.2">
      <c r="A415" s="947" t="s">
        <v>329</v>
      </c>
      <c r="B415" s="947">
        <v>213306</v>
      </c>
      <c r="C415" s="947" t="s">
        <v>2189</v>
      </c>
      <c r="D415" s="947" t="s">
        <v>1680</v>
      </c>
      <c r="E415" s="951">
        <v>62</v>
      </c>
      <c r="F415" s="951">
        <v>0</v>
      </c>
      <c r="G415" s="947" t="s">
        <v>159</v>
      </c>
      <c r="H415" s="951">
        <v>26</v>
      </c>
      <c r="I415" s="951">
        <v>0</v>
      </c>
      <c r="J415" s="947" t="s">
        <v>329</v>
      </c>
      <c r="K415" s="947">
        <v>213306</v>
      </c>
      <c r="M415" s="631"/>
      <c r="P415" s="950" t="str">
        <f>VLOOKUP(J415,'רשימת רשויות'!A:A,1,0)</f>
        <v>נוף הגליל</v>
      </c>
      <c r="Q415" s="956">
        <f>IFERROR(VLOOKUP(B415,[2]מעובד!$D:$K,8,0),0)</f>
        <v>0</v>
      </c>
      <c r="R415" s="956">
        <f>IFERROR(VLOOKUP(B415,[2]מעובד!$D:$L,9,0),0)</f>
        <v>0</v>
      </c>
    </row>
    <row r="416" spans="1:18" x14ac:dyDescent="0.2">
      <c r="A416" s="947" t="s">
        <v>252</v>
      </c>
      <c r="B416" s="947">
        <v>213330</v>
      </c>
      <c r="C416" s="947" t="s">
        <v>2189</v>
      </c>
      <c r="D416" s="947" t="s">
        <v>1681</v>
      </c>
      <c r="E416" s="951">
        <v>133</v>
      </c>
      <c r="F416" s="951">
        <v>133</v>
      </c>
      <c r="G416" s="947" t="s">
        <v>3252</v>
      </c>
      <c r="H416" s="951">
        <v>0</v>
      </c>
      <c r="I416" s="951">
        <v>0</v>
      </c>
      <c r="J416" s="947" t="s">
        <v>252</v>
      </c>
      <c r="K416" s="947">
        <v>213330</v>
      </c>
      <c r="M416" s="631"/>
      <c r="P416" s="950" t="str">
        <f>VLOOKUP(J416,'רשימת רשויות'!A:A,1,0)</f>
        <v>חצור הגלילית</v>
      </c>
      <c r="Q416" s="956">
        <f>IFERROR(VLOOKUP(B416,[2]מעובד!$D:$K,8,0),0)</f>
        <v>0</v>
      </c>
      <c r="R416" s="956">
        <f>IFERROR(VLOOKUP(B416,[2]מעובד!$D:$L,9,0),0)</f>
        <v>0</v>
      </c>
    </row>
    <row r="417" spans="1:18" x14ac:dyDescent="0.2">
      <c r="A417" s="947" t="s">
        <v>368</v>
      </c>
      <c r="B417" s="947">
        <v>213389</v>
      </c>
      <c r="C417" s="947" t="s">
        <v>2189</v>
      </c>
      <c r="D417" s="947" t="s">
        <v>1687</v>
      </c>
      <c r="E417" s="951">
        <v>174</v>
      </c>
      <c r="F417" s="951">
        <v>140</v>
      </c>
      <c r="G417" s="947" t="s">
        <v>159</v>
      </c>
      <c r="H417" s="951">
        <v>174</v>
      </c>
      <c r="I417" s="951">
        <v>34</v>
      </c>
      <c r="J417" s="947" t="s">
        <v>368</v>
      </c>
      <c r="K417" s="947">
        <v>213389</v>
      </c>
      <c r="M417" s="631"/>
      <c r="P417" s="950" t="str">
        <f>VLOOKUP(J417,'רשימת רשויות'!A:A,1,0)</f>
        <v>קצרין</v>
      </c>
      <c r="Q417" s="956">
        <f>IFERROR(VLOOKUP(B417,[2]מעובד!$D:$K,8,0),0)</f>
        <v>164</v>
      </c>
      <c r="R417" s="956">
        <f>IFERROR(VLOOKUP(B417,[2]מעובד!$D:$L,9,0),0)</f>
        <v>132</v>
      </c>
    </row>
    <row r="418" spans="1:18" x14ac:dyDescent="0.2">
      <c r="A418" s="947" t="s">
        <v>346</v>
      </c>
      <c r="B418" s="947">
        <v>213405</v>
      </c>
      <c r="C418" s="947" t="s">
        <v>2189</v>
      </c>
      <c r="D418" s="947" t="s">
        <v>1688</v>
      </c>
      <c r="E418" s="951">
        <v>219</v>
      </c>
      <c r="F418" s="951">
        <v>219</v>
      </c>
      <c r="G418" s="947" t="s">
        <v>159</v>
      </c>
      <c r="H418" s="951">
        <v>0</v>
      </c>
      <c r="I418" s="951">
        <v>0</v>
      </c>
      <c r="J418" s="947" t="s">
        <v>346</v>
      </c>
      <c r="K418" s="947">
        <v>213405</v>
      </c>
      <c r="M418" s="631"/>
      <c r="P418" s="950" t="str">
        <f>VLOOKUP(J418,'רשימת רשויות'!A:A,1,0)</f>
        <v>עכו</v>
      </c>
      <c r="Q418" s="956">
        <f>IFERROR(VLOOKUP(B418,[2]מעובד!$D:$K,8,0),0)</f>
        <v>236</v>
      </c>
      <c r="R418" s="956">
        <f>IFERROR(VLOOKUP(B418,[2]מעובד!$D:$L,9,0),0)</f>
        <v>106</v>
      </c>
    </row>
    <row r="419" spans="1:18" x14ac:dyDescent="0.2">
      <c r="A419" s="947" t="s">
        <v>290</v>
      </c>
      <c r="B419" s="947">
        <v>213413</v>
      </c>
      <c r="C419" s="947" t="s">
        <v>2189</v>
      </c>
      <c r="D419" s="947" t="s">
        <v>1689</v>
      </c>
      <c r="E419" s="951">
        <v>119</v>
      </c>
      <c r="F419" s="951">
        <v>78</v>
      </c>
      <c r="G419" s="947" t="s">
        <v>159</v>
      </c>
      <c r="H419" s="951">
        <v>0</v>
      </c>
      <c r="I419" s="951">
        <v>0</v>
      </c>
      <c r="J419" s="947" t="s">
        <v>290</v>
      </c>
      <c r="K419" s="947">
        <v>213413</v>
      </c>
      <c r="M419" s="631"/>
      <c r="P419" s="950" t="str">
        <f>VLOOKUP(J419,'רשימת רשויות'!A:A,1,0)</f>
        <v>כרמיאל</v>
      </c>
      <c r="Q419" s="956">
        <f>IFERROR(VLOOKUP(B419,[2]מעובד!$D:$K,8,0),0)</f>
        <v>97</v>
      </c>
      <c r="R419" s="956">
        <f>IFERROR(VLOOKUP(B419,[2]מעובד!$D:$L,9,0),0)</f>
        <v>58</v>
      </c>
    </row>
    <row r="420" spans="1:18" x14ac:dyDescent="0.2">
      <c r="A420" s="947" t="s">
        <v>365</v>
      </c>
      <c r="B420" s="947">
        <v>213439</v>
      </c>
      <c r="C420" s="947" t="s">
        <v>2189</v>
      </c>
      <c r="D420" s="947" t="s">
        <v>1690</v>
      </c>
      <c r="E420" s="951">
        <v>87</v>
      </c>
      <c r="F420" s="951">
        <v>87</v>
      </c>
      <c r="G420" s="947" t="s">
        <v>3252</v>
      </c>
      <c r="H420" s="951">
        <v>0</v>
      </c>
      <c r="I420" s="951">
        <v>0</v>
      </c>
      <c r="J420" s="947" t="s">
        <v>365</v>
      </c>
      <c r="K420" s="947">
        <v>213439</v>
      </c>
      <c r="M420" s="631"/>
      <c r="P420" s="950" t="str">
        <f>VLOOKUP(J420,'רשימת רשויות'!A:A,1,0)</f>
        <v>צפת</v>
      </c>
      <c r="Q420" s="956">
        <f>IFERROR(VLOOKUP(B420,[2]מעובד!$D:$K,8,0),0)</f>
        <v>0</v>
      </c>
      <c r="R420" s="956">
        <f>IFERROR(VLOOKUP(B420,[2]מעובד!$D:$L,9,0),0)</f>
        <v>0</v>
      </c>
    </row>
    <row r="421" spans="1:18" x14ac:dyDescent="0.2">
      <c r="A421" s="947" t="s">
        <v>228</v>
      </c>
      <c r="B421" s="947">
        <v>213447</v>
      </c>
      <c r="C421" s="947" t="s">
        <v>2189</v>
      </c>
      <c r="D421" s="947" t="s">
        <v>1691</v>
      </c>
      <c r="E421" s="951">
        <v>113</v>
      </c>
      <c r="F421" s="951">
        <v>70</v>
      </c>
      <c r="G421" s="947" t="s">
        <v>159</v>
      </c>
      <c r="H421" s="951">
        <v>48</v>
      </c>
      <c r="I421" s="951">
        <v>2</v>
      </c>
      <c r="J421" s="947" t="s">
        <v>228</v>
      </c>
      <c r="K421" s="947">
        <v>213447</v>
      </c>
      <c r="M421" s="631"/>
      <c r="P421" s="950" t="str">
        <f>VLOOKUP(J421,'רשימת רשויות'!A:A,1,0)</f>
        <v>הגלבוע</v>
      </c>
      <c r="Q421" s="956">
        <f>IFERROR(VLOOKUP(B421,[2]מעובד!$D:$K,8,0),0)</f>
        <v>139</v>
      </c>
      <c r="R421" s="956">
        <f>IFERROR(VLOOKUP(B421,[2]מעובד!$D:$L,9,0),0)</f>
        <v>28</v>
      </c>
    </row>
    <row r="422" spans="1:18" x14ac:dyDescent="0.2">
      <c r="A422" s="947" t="s">
        <v>302</v>
      </c>
      <c r="B422" s="947">
        <v>213504</v>
      </c>
      <c r="C422" s="947" t="s">
        <v>2189</v>
      </c>
      <c r="D422" s="947" t="s">
        <v>1742</v>
      </c>
      <c r="E422" s="951">
        <v>145</v>
      </c>
      <c r="F422" s="951">
        <v>80</v>
      </c>
      <c r="G422" s="947" t="s">
        <v>159</v>
      </c>
      <c r="H422" s="951">
        <v>59</v>
      </c>
      <c r="I422" s="951">
        <v>8</v>
      </c>
      <c r="J422" s="947" t="s">
        <v>302</v>
      </c>
      <c r="K422" s="947">
        <v>213504</v>
      </c>
      <c r="M422" s="631"/>
      <c r="P422" s="950" t="str">
        <f>VLOOKUP(J422,'רשימת רשויות'!A:A,1,0)</f>
        <v>מגדל העמק</v>
      </c>
      <c r="Q422" s="956">
        <f>IFERROR(VLOOKUP(B422,[2]מעובד!$D:$K,8,0),0)</f>
        <v>158</v>
      </c>
      <c r="R422" s="956">
        <f>IFERROR(VLOOKUP(B422,[2]מעובד!$D:$L,9,0),0)</f>
        <v>46</v>
      </c>
    </row>
    <row r="423" spans="1:18" x14ac:dyDescent="0.2">
      <c r="A423" s="947" t="s">
        <v>365</v>
      </c>
      <c r="B423" s="947">
        <v>213561</v>
      </c>
      <c r="C423" s="947" t="s">
        <v>2189</v>
      </c>
      <c r="D423" s="947" t="s">
        <v>2011</v>
      </c>
      <c r="E423" s="951">
        <v>246</v>
      </c>
      <c r="F423" s="951">
        <v>237</v>
      </c>
      <c r="G423" s="947" t="s">
        <v>159</v>
      </c>
      <c r="H423" s="951">
        <v>90</v>
      </c>
      <c r="I423" s="951">
        <v>9</v>
      </c>
      <c r="J423" s="947" t="s">
        <v>365</v>
      </c>
      <c r="K423" s="947">
        <v>213561</v>
      </c>
      <c r="M423" s="631"/>
      <c r="P423" s="950" t="str">
        <f>VLOOKUP(J423,'רשימת רשויות'!A:A,1,0)</f>
        <v>צפת</v>
      </c>
      <c r="Q423" s="956">
        <f>IFERROR(VLOOKUP(B423,[2]מעובד!$D:$K,8,0),0)</f>
        <v>262</v>
      </c>
      <c r="R423" s="956">
        <f>IFERROR(VLOOKUP(B423,[2]מעובד!$D:$L,9,0),0)</f>
        <v>184</v>
      </c>
    </row>
    <row r="424" spans="1:18" x14ac:dyDescent="0.2">
      <c r="A424" s="947" t="s">
        <v>217</v>
      </c>
      <c r="B424" s="947">
        <v>213579</v>
      </c>
      <c r="C424" s="947" t="s">
        <v>2189</v>
      </c>
      <c r="D424" s="947" t="s">
        <v>1743</v>
      </c>
      <c r="E424" s="951">
        <v>202</v>
      </c>
      <c r="F424" s="951">
        <v>146</v>
      </c>
      <c r="G424" s="947" t="s">
        <v>159</v>
      </c>
      <c r="H424" s="951">
        <v>0</v>
      </c>
      <c r="I424" s="951">
        <v>0</v>
      </c>
      <c r="J424" s="947" t="s">
        <v>217</v>
      </c>
      <c r="K424" s="947">
        <v>213579</v>
      </c>
      <c r="M424" s="631"/>
      <c r="P424" s="950" t="str">
        <f>VLOOKUP(J424,'רשימת רשויות'!A:A,1,0)</f>
        <v>גולן</v>
      </c>
      <c r="Q424" s="956">
        <f>IFERROR(VLOOKUP(B424,[2]מעובד!$D:$K,8,0),0)</f>
        <v>240</v>
      </c>
      <c r="R424" s="956">
        <f>IFERROR(VLOOKUP(B424,[2]מעובד!$D:$L,9,0),0)</f>
        <v>60</v>
      </c>
    </row>
    <row r="425" spans="1:18" x14ac:dyDescent="0.2">
      <c r="A425" s="947" t="s">
        <v>327</v>
      </c>
      <c r="B425" s="947">
        <v>213595</v>
      </c>
      <c r="C425" s="947" t="s">
        <v>2189</v>
      </c>
      <c r="D425" s="947" t="s">
        <v>1749</v>
      </c>
      <c r="E425" s="951">
        <v>221</v>
      </c>
      <c r="F425" s="951">
        <v>176</v>
      </c>
      <c r="G425" s="947" t="s">
        <v>159</v>
      </c>
      <c r="H425" s="951">
        <v>0</v>
      </c>
      <c r="I425" s="951">
        <v>0</v>
      </c>
      <c r="J425" s="947" t="s">
        <v>327</v>
      </c>
      <c r="K425" s="947">
        <v>213595</v>
      </c>
      <c r="M425" s="631"/>
      <c r="P425" s="950" t="str">
        <f>VLOOKUP(J425,'רשימת רשויות'!A:A,1,0)</f>
        <v>נהריה</v>
      </c>
      <c r="Q425" s="956">
        <f>IFERROR(VLOOKUP(B425,[2]מעובד!$D:$K,8,0),0)</f>
        <v>0</v>
      </c>
      <c r="R425" s="956">
        <f>IFERROR(VLOOKUP(B425,[2]מעובד!$D:$L,9,0),0)</f>
        <v>0</v>
      </c>
    </row>
    <row r="426" spans="1:18" x14ac:dyDescent="0.2">
      <c r="A426" s="947" t="s">
        <v>329</v>
      </c>
      <c r="B426" s="947">
        <v>213629</v>
      </c>
      <c r="C426" s="947" t="s">
        <v>2189</v>
      </c>
      <c r="D426" s="947" t="s">
        <v>1750</v>
      </c>
      <c r="E426" s="951">
        <v>65</v>
      </c>
      <c r="F426" s="951">
        <v>28</v>
      </c>
      <c r="G426" s="947" t="s">
        <v>159</v>
      </c>
      <c r="H426" s="951">
        <v>0</v>
      </c>
      <c r="I426" s="951">
        <v>0</v>
      </c>
      <c r="J426" s="947" t="s">
        <v>329</v>
      </c>
      <c r="K426" s="947">
        <v>213629</v>
      </c>
      <c r="M426" s="631"/>
      <c r="P426" s="950" t="str">
        <f>VLOOKUP(J426,'רשימת רשויות'!A:A,1,0)</f>
        <v>נוף הגליל</v>
      </c>
      <c r="Q426" s="956">
        <f>IFERROR(VLOOKUP(B426,[2]מעובד!$D:$K,8,0),0)</f>
        <v>103</v>
      </c>
      <c r="R426" s="956">
        <f>IFERROR(VLOOKUP(B426,[2]מעובד!$D:$L,9,0),0)</f>
        <v>66</v>
      </c>
    </row>
    <row r="427" spans="1:18" x14ac:dyDescent="0.2">
      <c r="A427" s="947" t="s">
        <v>353</v>
      </c>
      <c r="B427" s="947">
        <v>213637</v>
      </c>
      <c r="C427" s="947" t="s">
        <v>2189</v>
      </c>
      <c r="D427" s="947" t="s">
        <v>1814</v>
      </c>
      <c r="E427" s="951">
        <v>235</v>
      </c>
      <c r="F427" s="951">
        <v>126</v>
      </c>
      <c r="G427" s="947" t="s">
        <v>159</v>
      </c>
      <c r="H427" s="951">
        <v>157</v>
      </c>
      <c r="I427" s="951">
        <v>15</v>
      </c>
      <c r="J427" s="947" t="s">
        <v>353</v>
      </c>
      <c r="K427" s="947">
        <v>213637</v>
      </c>
      <c r="M427" s="631"/>
      <c r="P427" s="950" t="str">
        <f>VLOOKUP(J427,'רשימת רשויות'!A:A,1,0)</f>
        <v>עפולה</v>
      </c>
      <c r="Q427" s="956">
        <f>IFERROR(VLOOKUP(B427,[2]מעובד!$D:$K,8,0),0)</f>
        <v>169</v>
      </c>
      <c r="R427" s="956">
        <f>IFERROR(VLOOKUP(B427,[2]מעובד!$D:$L,9,0),0)</f>
        <v>95</v>
      </c>
    </row>
    <row r="428" spans="1:18" x14ac:dyDescent="0.2">
      <c r="A428" s="947" t="s">
        <v>325</v>
      </c>
      <c r="B428" s="947">
        <v>213660</v>
      </c>
      <c r="C428" s="947" t="s">
        <v>2189</v>
      </c>
      <c r="D428" s="947" t="s">
        <v>1815</v>
      </c>
      <c r="E428" s="951">
        <v>220</v>
      </c>
      <c r="F428" s="951">
        <v>194</v>
      </c>
      <c r="G428" s="947" t="s">
        <v>159</v>
      </c>
      <c r="H428" s="951">
        <v>0</v>
      </c>
      <c r="I428" s="951">
        <v>0</v>
      </c>
      <c r="J428" s="947" t="s">
        <v>325</v>
      </c>
      <c r="K428" s="947">
        <v>213660</v>
      </c>
      <c r="M428" s="631"/>
      <c r="P428" s="950" t="str">
        <f>VLOOKUP(J428,'רשימת רשויות'!A:A,1,0)</f>
        <v>משגב</v>
      </c>
      <c r="Q428" s="956">
        <f>IFERROR(VLOOKUP(B428,[2]מעובד!$D:$K,8,0),0)</f>
        <v>297</v>
      </c>
      <c r="R428" s="956">
        <f>IFERROR(VLOOKUP(B428,[2]מעובד!$D:$L,9,0),0)</f>
        <v>56</v>
      </c>
    </row>
    <row r="429" spans="1:18" x14ac:dyDescent="0.2">
      <c r="A429" s="947" t="s">
        <v>302</v>
      </c>
      <c r="B429" s="947">
        <v>213702</v>
      </c>
      <c r="C429" s="947" t="s">
        <v>2189</v>
      </c>
      <c r="D429" s="947" t="s">
        <v>1824</v>
      </c>
      <c r="E429" s="951">
        <v>165</v>
      </c>
      <c r="F429" s="951">
        <v>80</v>
      </c>
      <c r="G429" s="947" t="s">
        <v>159</v>
      </c>
      <c r="H429" s="951">
        <v>0</v>
      </c>
      <c r="I429" s="951">
        <v>0</v>
      </c>
      <c r="J429" s="947" t="s">
        <v>302</v>
      </c>
      <c r="K429" s="947">
        <v>213702</v>
      </c>
      <c r="M429" s="631"/>
      <c r="P429" s="950" t="str">
        <f>VLOOKUP(J429,'רשימת רשויות'!A:A,1,0)</f>
        <v>מגדל העמק</v>
      </c>
      <c r="Q429" s="956">
        <f>IFERROR(VLOOKUP(B429,[2]מעובד!$D:$K,8,0),0)</f>
        <v>149</v>
      </c>
      <c r="R429" s="956">
        <f>IFERROR(VLOOKUP(B429,[2]מעובד!$D:$L,9,0),0)</f>
        <v>42</v>
      </c>
    </row>
    <row r="430" spans="1:18" x14ac:dyDescent="0.2">
      <c r="A430" s="947" t="s">
        <v>327</v>
      </c>
      <c r="B430" s="947">
        <v>213710</v>
      </c>
      <c r="C430" s="947" t="s">
        <v>2189</v>
      </c>
      <c r="D430" s="947" t="s">
        <v>1825</v>
      </c>
      <c r="E430" s="951">
        <v>279</v>
      </c>
      <c r="F430" s="951">
        <v>212</v>
      </c>
      <c r="G430" s="947" t="s">
        <v>159</v>
      </c>
      <c r="H430" s="951">
        <v>113</v>
      </c>
      <c r="I430" s="951">
        <v>12</v>
      </c>
      <c r="J430" s="947" t="s">
        <v>327</v>
      </c>
      <c r="K430" s="947">
        <v>213710</v>
      </c>
      <c r="M430" s="631"/>
      <c r="P430" s="950" t="str">
        <f>VLOOKUP(J430,'רשימת רשויות'!A:A,1,0)</f>
        <v>נהריה</v>
      </c>
      <c r="Q430" s="956">
        <f>IFERROR(VLOOKUP(B430,[2]מעובד!$D:$K,8,0),0)</f>
        <v>329</v>
      </c>
      <c r="R430" s="956">
        <f>IFERROR(VLOOKUP(B430,[2]מעובד!$D:$L,9,0),0)</f>
        <v>124</v>
      </c>
    </row>
    <row r="431" spans="1:18" x14ac:dyDescent="0.2">
      <c r="A431" s="947" t="s">
        <v>279</v>
      </c>
      <c r="B431" s="947">
        <v>213736</v>
      </c>
      <c r="C431" s="947" t="s">
        <v>2189</v>
      </c>
      <c r="D431" s="947" t="s">
        <v>1826</v>
      </c>
      <c r="E431" s="951">
        <v>163</v>
      </c>
      <c r="F431" s="951">
        <v>101</v>
      </c>
      <c r="G431" s="947" t="s">
        <v>159</v>
      </c>
      <c r="H431" s="951">
        <v>0</v>
      </c>
      <c r="I431" s="951">
        <v>0</v>
      </c>
      <c r="J431" s="947" t="s">
        <v>279</v>
      </c>
      <c r="K431" s="947">
        <v>213736</v>
      </c>
      <c r="M431" s="631"/>
      <c r="P431" s="950" t="str">
        <f>VLOOKUP(J431,'רשימת רשויות'!A:A,1,0)</f>
        <v>כפר ורדים</v>
      </c>
      <c r="Q431" s="956">
        <f>IFERROR(VLOOKUP(B431,[2]מעובד!$D:$K,8,0),0)</f>
        <v>221</v>
      </c>
      <c r="R431" s="956">
        <f>IFERROR(VLOOKUP(B431,[2]מעובד!$D:$L,9,0),0)</f>
        <v>129</v>
      </c>
    </row>
    <row r="432" spans="1:18" x14ac:dyDescent="0.2">
      <c r="A432" s="947" t="s">
        <v>346</v>
      </c>
      <c r="B432" s="947">
        <v>213751</v>
      </c>
      <c r="C432" s="947" t="s">
        <v>2189</v>
      </c>
      <c r="D432" s="947" t="s">
        <v>1827</v>
      </c>
      <c r="E432" s="951">
        <v>222</v>
      </c>
      <c r="F432" s="951">
        <v>222</v>
      </c>
      <c r="G432" s="947" t="s">
        <v>159</v>
      </c>
      <c r="H432" s="951">
        <v>0</v>
      </c>
      <c r="I432" s="951">
        <v>0</v>
      </c>
      <c r="J432" s="947" t="s">
        <v>346</v>
      </c>
      <c r="K432" s="947">
        <v>213751</v>
      </c>
      <c r="M432" s="631"/>
      <c r="P432" s="950" t="str">
        <f>VLOOKUP(J432,'רשימת רשויות'!A:A,1,0)</f>
        <v>עכו</v>
      </c>
      <c r="Q432" s="956">
        <f>IFERROR(VLOOKUP(B432,[2]מעובד!$D:$K,8,0),0)</f>
        <v>114</v>
      </c>
      <c r="R432" s="956">
        <f>IFERROR(VLOOKUP(B432,[2]מעובד!$D:$L,9,0),0)</f>
        <v>114</v>
      </c>
    </row>
    <row r="433" spans="1:18" x14ac:dyDescent="0.2">
      <c r="A433" s="947" t="s">
        <v>351</v>
      </c>
      <c r="B433" s="947">
        <v>213827</v>
      </c>
      <c r="C433" s="947" t="s">
        <v>2189</v>
      </c>
      <c r="D433" s="947" t="s">
        <v>816</v>
      </c>
      <c r="E433" s="951">
        <v>178</v>
      </c>
      <c r="F433" s="951">
        <v>151</v>
      </c>
      <c r="G433" s="947" t="s">
        <v>159</v>
      </c>
      <c r="H433" s="951">
        <v>0</v>
      </c>
      <c r="I433" s="951">
        <v>0</v>
      </c>
      <c r="J433" s="947" t="s">
        <v>351</v>
      </c>
      <c r="K433" s="947">
        <v>213827</v>
      </c>
      <c r="M433" s="631"/>
      <c r="P433" s="950" t="str">
        <f>VLOOKUP(J433,'רשימת רשויות'!A:A,1,0)</f>
        <v>עמק יזרעאל</v>
      </c>
      <c r="Q433" s="956">
        <f>IFERROR(VLOOKUP(B433,[2]מעובד!$D:$K,8,0),0)</f>
        <v>0</v>
      </c>
      <c r="R433" s="956">
        <f>IFERROR(VLOOKUP(B433,[2]מעובד!$D:$L,9,0),0)</f>
        <v>0</v>
      </c>
    </row>
    <row r="434" spans="1:18" x14ac:dyDescent="0.2">
      <c r="A434" s="947" t="s">
        <v>254</v>
      </c>
      <c r="B434" s="947">
        <v>213843</v>
      </c>
      <c r="C434" s="947" t="s">
        <v>2189</v>
      </c>
      <c r="D434" s="947" t="s">
        <v>1675</v>
      </c>
      <c r="E434" s="951">
        <v>115</v>
      </c>
      <c r="F434" s="951">
        <v>115</v>
      </c>
      <c r="G434" s="947" t="s">
        <v>3252</v>
      </c>
      <c r="H434" s="951">
        <v>0</v>
      </c>
      <c r="I434" s="951">
        <v>0</v>
      </c>
      <c r="J434" s="947" t="s">
        <v>254</v>
      </c>
      <c r="K434" s="947">
        <v>213843</v>
      </c>
      <c r="M434" s="631"/>
      <c r="P434" s="950" t="str">
        <f>VLOOKUP(J434,'רשימת רשויות'!A:A,1,0)</f>
        <v>טבריה</v>
      </c>
      <c r="Q434" s="956">
        <f>IFERROR(VLOOKUP(B434,[2]מעובד!$D:$K,8,0),0)</f>
        <v>0</v>
      </c>
      <c r="R434" s="956">
        <f>IFERROR(VLOOKUP(B434,[2]מעובד!$D:$L,9,0),0)</f>
        <v>0</v>
      </c>
    </row>
    <row r="435" spans="1:18" x14ac:dyDescent="0.2">
      <c r="A435" s="947" t="s">
        <v>365</v>
      </c>
      <c r="B435" s="947">
        <v>213868</v>
      </c>
      <c r="C435" s="947" t="s">
        <v>2189</v>
      </c>
      <c r="D435" s="947" t="s">
        <v>1682</v>
      </c>
      <c r="E435" s="951">
        <v>110</v>
      </c>
      <c r="F435" s="951">
        <v>86</v>
      </c>
      <c r="G435" s="947" t="s">
        <v>3252</v>
      </c>
      <c r="H435" s="951">
        <v>110</v>
      </c>
      <c r="I435" s="951">
        <v>22</v>
      </c>
      <c r="J435" s="947" t="s">
        <v>365</v>
      </c>
      <c r="K435" s="947">
        <v>213868</v>
      </c>
      <c r="M435" s="631"/>
      <c r="P435" s="950" t="str">
        <f>VLOOKUP(J435,'רשימת רשויות'!A:A,1,0)</f>
        <v>צפת</v>
      </c>
      <c r="Q435" s="956">
        <f>IFERROR(VLOOKUP(B435,[2]מעובד!$D:$K,8,0),0)</f>
        <v>0</v>
      </c>
      <c r="R435" s="956">
        <f>IFERROR(VLOOKUP(B435,[2]מעובד!$D:$L,9,0),0)</f>
        <v>0</v>
      </c>
    </row>
    <row r="436" spans="1:18" x14ac:dyDescent="0.2">
      <c r="A436" s="947" t="s">
        <v>351</v>
      </c>
      <c r="B436" s="947">
        <v>213884</v>
      </c>
      <c r="C436" s="947" t="s">
        <v>2189</v>
      </c>
      <c r="D436" s="947" t="s">
        <v>1683</v>
      </c>
      <c r="E436" s="951">
        <v>96</v>
      </c>
      <c r="F436" s="951">
        <v>64</v>
      </c>
      <c r="G436" s="947" t="s">
        <v>159</v>
      </c>
      <c r="H436" s="951">
        <v>0</v>
      </c>
      <c r="I436" s="951">
        <v>0</v>
      </c>
      <c r="J436" s="947" t="s">
        <v>351</v>
      </c>
      <c r="K436" s="947">
        <v>213884</v>
      </c>
      <c r="M436" s="631"/>
      <c r="P436" s="950" t="str">
        <f>VLOOKUP(J436,'רשימת רשויות'!A:A,1,0)</f>
        <v>עמק יזרעאל</v>
      </c>
      <c r="Q436" s="956">
        <f>IFERROR(VLOOKUP(B436,[2]מעובד!$D:$K,8,0),0)</f>
        <v>0</v>
      </c>
      <c r="R436" s="956">
        <f>IFERROR(VLOOKUP(B436,[2]מעובד!$D:$L,9,0),0)</f>
        <v>0</v>
      </c>
    </row>
    <row r="437" spans="1:18" x14ac:dyDescent="0.2">
      <c r="A437" s="947" t="s">
        <v>290</v>
      </c>
      <c r="B437" s="947">
        <v>213892</v>
      </c>
      <c r="C437" s="947" t="s">
        <v>2189</v>
      </c>
      <c r="D437" s="947" t="s">
        <v>1684</v>
      </c>
      <c r="E437" s="951">
        <v>231</v>
      </c>
      <c r="F437" s="951">
        <v>143</v>
      </c>
      <c r="G437" s="947" t="s">
        <v>159</v>
      </c>
      <c r="H437" s="951">
        <v>0</v>
      </c>
      <c r="I437" s="951">
        <v>0</v>
      </c>
      <c r="J437" s="947" t="s">
        <v>290</v>
      </c>
      <c r="K437" s="947">
        <v>213892</v>
      </c>
      <c r="M437" s="631"/>
      <c r="P437" s="950" t="str">
        <f>VLOOKUP(J437,'רשימת רשויות'!A:A,1,0)</f>
        <v>כרמיאל</v>
      </c>
      <c r="Q437" s="956">
        <f>IFERROR(VLOOKUP(B437,[2]מעובד!$D:$K,8,0),0)</f>
        <v>255</v>
      </c>
      <c r="R437" s="956">
        <f>IFERROR(VLOOKUP(B437,[2]מעובד!$D:$L,9,0),0)</f>
        <v>116</v>
      </c>
    </row>
    <row r="438" spans="1:18" x14ac:dyDescent="0.2">
      <c r="A438" s="947" t="s">
        <v>302</v>
      </c>
      <c r="B438" s="947">
        <v>213900</v>
      </c>
      <c r="C438" s="947" t="s">
        <v>2189</v>
      </c>
      <c r="D438" s="947" t="s">
        <v>2955</v>
      </c>
      <c r="E438" s="951">
        <v>153</v>
      </c>
      <c r="F438" s="951">
        <v>128</v>
      </c>
      <c r="G438" s="947" t="s">
        <v>159</v>
      </c>
      <c r="H438" s="951">
        <v>52</v>
      </c>
      <c r="I438" s="951">
        <v>10</v>
      </c>
      <c r="J438" s="947" t="s">
        <v>302</v>
      </c>
      <c r="K438" s="947">
        <v>213900</v>
      </c>
      <c r="M438" s="631"/>
      <c r="P438" s="950" t="str">
        <f>VLOOKUP(J438,'רשימת רשויות'!A:A,1,0)</f>
        <v>מגדל העמק</v>
      </c>
      <c r="Q438" s="956">
        <f>IFERROR(VLOOKUP(B438,[2]מעובד!$D:$K,8,0),0)</f>
        <v>134</v>
      </c>
      <c r="R438" s="956">
        <f>IFERROR(VLOOKUP(B438,[2]מעובד!$D:$L,9,0),0)</f>
        <v>90</v>
      </c>
    </row>
    <row r="439" spans="1:18" x14ac:dyDescent="0.2">
      <c r="A439" s="947" t="s">
        <v>254</v>
      </c>
      <c r="B439" s="947">
        <v>213918</v>
      </c>
      <c r="C439" s="947" t="s">
        <v>2189</v>
      </c>
      <c r="D439" s="947" t="s">
        <v>1685</v>
      </c>
      <c r="E439" s="951">
        <v>152</v>
      </c>
      <c r="F439" s="951">
        <v>129</v>
      </c>
      <c r="G439" s="947" t="s">
        <v>159</v>
      </c>
      <c r="H439" s="951">
        <v>0</v>
      </c>
      <c r="I439" s="951">
        <v>0</v>
      </c>
      <c r="J439" s="947" t="s">
        <v>254</v>
      </c>
      <c r="K439" s="947">
        <v>213918</v>
      </c>
      <c r="M439" s="631"/>
      <c r="P439" s="950" t="str">
        <f>VLOOKUP(J439,'רשימת רשויות'!A:A,1,0)</f>
        <v>טבריה</v>
      </c>
      <c r="Q439" s="956">
        <f>IFERROR(VLOOKUP(B439,[2]מעובד!$D:$K,8,0),0)</f>
        <v>188</v>
      </c>
      <c r="R439" s="956">
        <f>IFERROR(VLOOKUP(B439,[2]מעובד!$D:$L,9,0),0)</f>
        <v>92</v>
      </c>
    </row>
    <row r="440" spans="1:18" x14ac:dyDescent="0.2">
      <c r="A440" s="947" t="s">
        <v>327</v>
      </c>
      <c r="B440" s="947">
        <v>213926</v>
      </c>
      <c r="C440" s="947" t="s">
        <v>2189</v>
      </c>
      <c r="D440" s="947" t="s">
        <v>1038</v>
      </c>
      <c r="E440" s="951">
        <v>274</v>
      </c>
      <c r="F440" s="951">
        <v>206</v>
      </c>
      <c r="G440" s="947" t="s">
        <v>159</v>
      </c>
      <c r="H440" s="951">
        <v>0</v>
      </c>
      <c r="I440" s="951">
        <v>0</v>
      </c>
      <c r="J440" s="947" t="s">
        <v>327</v>
      </c>
      <c r="K440" s="947">
        <v>213926</v>
      </c>
      <c r="M440" s="631"/>
      <c r="P440" s="950" t="str">
        <f>VLOOKUP(J440,'רשימת רשויות'!A:A,1,0)</f>
        <v>נהריה</v>
      </c>
      <c r="Q440" s="956">
        <f>IFERROR(VLOOKUP(B440,[2]מעובד!$D:$K,8,0),0)</f>
        <v>278</v>
      </c>
      <c r="R440" s="956">
        <f>IFERROR(VLOOKUP(B440,[2]מעובד!$D:$L,9,0),0)</f>
        <v>118</v>
      </c>
    </row>
    <row r="441" spans="1:18" x14ac:dyDescent="0.2">
      <c r="A441" s="947" t="s">
        <v>325</v>
      </c>
      <c r="B441" s="947">
        <v>213934</v>
      </c>
      <c r="C441" s="947" t="s">
        <v>2189</v>
      </c>
      <c r="D441" s="947" t="s">
        <v>1200</v>
      </c>
      <c r="E441" s="951">
        <v>159</v>
      </c>
      <c r="F441" s="951">
        <v>126</v>
      </c>
      <c r="G441" s="947" t="s">
        <v>159</v>
      </c>
      <c r="H441" s="951">
        <v>0</v>
      </c>
      <c r="I441" s="951">
        <v>0</v>
      </c>
      <c r="J441" s="947" t="s">
        <v>325</v>
      </c>
      <c r="K441" s="947">
        <v>213934</v>
      </c>
      <c r="M441" s="631"/>
      <c r="P441" s="950" t="str">
        <f>VLOOKUP(J441,'רשימת רשויות'!A:A,1,0)</f>
        <v>משגב</v>
      </c>
      <c r="Q441" s="956">
        <f>IFERROR(VLOOKUP(B441,[2]מעובד!$D:$K,8,0),0)</f>
        <v>144</v>
      </c>
      <c r="R441" s="956">
        <f>IFERROR(VLOOKUP(B441,[2]מעובד!$D:$L,9,0),0)</f>
        <v>52</v>
      </c>
    </row>
    <row r="442" spans="1:18" x14ac:dyDescent="0.2">
      <c r="A442" s="947" t="s">
        <v>290</v>
      </c>
      <c r="B442" s="947">
        <v>213959</v>
      </c>
      <c r="C442" s="947" t="s">
        <v>2189</v>
      </c>
      <c r="D442" s="947" t="s">
        <v>1201</v>
      </c>
      <c r="E442" s="951">
        <v>187</v>
      </c>
      <c r="F442" s="951">
        <v>106</v>
      </c>
      <c r="G442" s="947" t="s">
        <v>159</v>
      </c>
      <c r="H442" s="951">
        <v>68</v>
      </c>
      <c r="I442" s="951">
        <v>0</v>
      </c>
      <c r="J442" s="947" t="s">
        <v>290</v>
      </c>
      <c r="K442" s="947">
        <v>213959</v>
      </c>
      <c r="M442" s="631"/>
      <c r="P442" s="950" t="str">
        <f>VLOOKUP(J442,'רשימת רשויות'!A:A,1,0)</f>
        <v>כרמיאל</v>
      </c>
      <c r="Q442" s="956">
        <f>IFERROR(VLOOKUP(B442,[2]מעובד!$D:$K,8,0),0)</f>
        <v>228</v>
      </c>
      <c r="R442" s="956">
        <f>IFERROR(VLOOKUP(B442,[2]מעובד!$D:$L,9,0),0)</f>
        <v>106</v>
      </c>
    </row>
    <row r="443" spans="1:18" x14ac:dyDescent="0.2">
      <c r="A443" s="947" t="s">
        <v>353</v>
      </c>
      <c r="B443" s="947">
        <v>213991</v>
      </c>
      <c r="C443" s="947" t="s">
        <v>2189</v>
      </c>
      <c r="D443" s="947" t="s">
        <v>1925</v>
      </c>
      <c r="E443" s="951">
        <v>217</v>
      </c>
      <c r="F443" s="951">
        <v>113</v>
      </c>
      <c r="G443" s="947" t="s">
        <v>159</v>
      </c>
      <c r="H443" s="951">
        <v>80</v>
      </c>
      <c r="I443" s="951">
        <v>7</v>
      </c>
      <c r="J443" s="947" t="s">
        <v>353</v>
      </c>
      <c r="K443" s="947">
        <v>213991</v>
      </c>
      <c r="M443" s="631"/>
      <c r="P443" s="950" t="str">
        <f>VLOOKUP(J443,'רשימת רשויות'!A:A,1,0)</f>
        <v>עפולה</v>
      </c>
      <c r="Q443" s="956">
        <f>IFERROR(VLOOKUP(B443,[2]מעובד!$D:$K,8,0),0)</f>
        <v>218</v>
      </c>
      <c r="R443" s="956">
        <f>IFERROR(VLOOKUP(B443,[2]מעובד!$D:$L,9,0),0)</f>
        <v>125</v>
      </c>
    </row>
    <row r="444" spans="1:18" x14ac:dyDescent="0.2">
      <c r="A444" s="947" t="s">
        <v>252</v>
      </c>
      <c r="B444" s="947">
        <v>214023</v>
      </c>
      <c r="C444" s="947" t="s">
        <v>2189</v>
      </c>
      <c r="D444" s="947" t="s">
        <v>2381</v>
      </c>
      <c r="E444" s="951">
        <v>57</v>
      </c>
      <c r="F444" s="951">
        <v>57</v>
      </c>
      <c r="G444" s="947" t="s">
        <v>3252</v>
      </c>
      <c r="H444" s="951">
        <v>0</v>
      </c>
      <c r="I444" s="951">
        <v>0</v>
      </c>
      <c r="J444" s="947" t="s">
        <v>252</v>
      </c>
      <c r="K444" s="947">
        <v>214023</v>
      </c>
      <c r="M444" s="631"/>
      <c r="P444" s="950" t="str">
        <f>VLOOKUP(J444,'רשימת רשויות'!A:A,1,0)</f>
        <v>חצור הגלילית</v>
      </c>
      <c r="Q444" s="956">
        <f>IFERROR(VLOOKUP(B444,[2]מעובד!$D:$K,8,0),0)</f>
        <v>54</v>
      </c>
      <c r="R444" s="956">
        <f>IFERROR(VLOOKUP(B444,[2]מעובד!$D:$L,9,0),0)</f>
        <v>54</v>
      </c>
    </row>
    <row r="445" spans="1:18" x14ac:dyDescent="0.2">
      <c r="A445" s="947" t="s">
        <v>302</v>
      </c>
      <c r="B445" s="947">
        <v>214031</v>
      </c>
      <c r="C445" s="947" t="s">
        <v>2189</v>
      </c>
      <c r="D445" s="947" t="s">
        <v>1934</v>
      </c>
      <c r="E445" s="951">
        <v>73</v>
      </c>
      <c r="F445" s="951">
        <v>66</v>
      </c>
      <c r="G445" s="947" t="s">
        <v>3252</v>
      </c>
      <c r="H445" s="951">
        <v>0</v>
      </c>
      <c r="I445" s="951">
        <v>0</v>
      </c>
      <c r="J445" s="947" t="s">
        <v>302</v>
      </c>
      <c r="K445" s="947">
        <v>214031</v>
      </c>
      <c r="M445" s="631"/>
      <c r="P445" s="950" t="str">
        <f>VLOOKUP(J445,'רשימת רשויות'!A:A,1,0)</f>
        <v>מגדל העמק</v>
      </c>
      <c r="Q445" s="956">
        <f>IFERROR(VLOOKUP(B445,[2]מעובד!$D:$K,8,0),0)</f>
        <v>67</v>
      </c>
      <c r="R445" s="956">
        <f>IFERROR(VLOOKUP(B445,[2]מעובד!$D:$L,9,0),0)</f>
        <v>61</v>
      </c>
    </row>
    <row r="446" spans="1:18" x14ac:dyDescent="0.2">
      <c r="A446" s="947" t="s">
        <v>254</v>
      </c>
      <c r="B446" s="947">
        <v>214049</v>
      </c>
      <c r="C446" s="947" t="s">
        <v>2189</v>
      </c>
      <c r="D446" s="947" t="s">
        <v>1523</v>
      </c>
      <c r="E446" s="951">
        <v>149</v>
      </c>
      <c r="F446" s="951">
        <v>149</v>
      </c>
      <c r="G446" s="947" t="s">
        <v>3252</v>
      </c>
      <c r="H446" s="951">
        <v>0</v>
      </c>
      <c r="I446" s="951">
        <v>0</v>
      </c>
      <c r="J446" s="947" t="s">
        <v>254</v>
      </c>
      <c r="K446" s="947">
        <v>214049</v>
      </c>
      <c r="M446" s="631"/>
      <c r="P446" s="950" t="str">
        <f>VLOOKUP(J446,'רשימת רשויות'!A:A,1,0)</f>
        <v>טבריה</v>
      </c>
      <c r="Q446" s="956">
        <f>IFERROR(VLOOKUP(B446,[2]מעובד!$D:$K,8,0),0)</f>
        <v>135</v>
      </c>
      <c r="R446" s="956">
        <f>IFERROR(VLOOKUP(B446,[2]מעובד!$D:$L,9,0),0)</f>
        <v>98</v>
      </c>
    </row>
    <row r="447" spans="1:18" x14ac:dyDescent="0.2">
      <c r="A447" s="947" t="s">
        <v>365</v>
      </c>
      <c r="B447" s="947">
        <v>214064</v>
      </c>
      <c r="C447" s="947" t="s">
        <v>2189</v>
      </c>
      <c r="D447" s="947" t="s">
        <v>1935</v>
      </c>
      <c r="E447" s="951">
        <v>153</v>
      </c>
      <c r="F447" s="951">
        <v>153</v>
      </c>
      <c r="G447" s="947" t="s">
        <v>3252</v>
      </c>
      <c r="H447" s="951">
        <v>0</v>
      </c>
      <c r="I447" s="951">
        <v>0</v>
      </c>
      <c r="J447" s="947" t="s">
        <v>365</v>
      </c>
      <c r="K447" s="947">
        <v>214064</v>
      </c>
      <c r="M447" s="631"/>
      <c r="P447" s="950" t="str">
        <f>VLOOKUP(J447,'רשימת רשויות'!A:A,1,0)</f>
        <v>צפת</v>
      </c>
      <c r="Q447" s="956">
        <f>IFERROR(VLOOKUP(B447,[2]מעובד!$D:$K,8,0),0)</f>
        <v>0</v>
      </c>
      <c r="R447" s="956">
        <f>IFERROR(VLOOKUP(B447,[2]מעובד!$D:$L,9,0),0)</f>
        <v>0</v>
      </c>
    </row>
    <row r="448" spans="1:18" x14ac:dyDescent="0.2">
      <c r="A448" s="947" t="s">
        <v>351</v>
      </c>
      <c r="B448" s="947">
        <v>214080</v>
      </c>
      <c r="C448" s="947" t="s">
        <v>2189</v>
      </c>
      <c r="D448" s="947" t="s">
        <v>1944</v>
      </c>
      <c r="E448" s="951">
        <v>129</v>
      </c>
      <c r="F448" s="951">
        <v>119</v>
      </c>
      <c r="G448" s="947" t="s">
        <v>159</v>
      </c>
      <c r="H448" s="951">
        <v>0</v>
      </c>
      <c r="I448" s="951">
        <v>0</v>
      </c>
      <c r="J448" s="947" t="s">
        <v>351</v>
      </c>
      <c r="K448" s="947">
        <v>214080</v>
      </c>
      <c r="M448" s="631"/>
      <c r="P448" s="950" t="str">
        <f>VLOOKUP(J448,'רשימת רשויות'!A:A,1,0)</f>
        <v>עמק יזרעאל</v>
      </c>
      <c r="Q448" s="956">
        <f>IFERROR(VLOOKUP(B448,[2]מעובד!$D:$K,8,0),0)</f>
        <v>0</v>
      </c>
      <c r="R448" s="956">
        <f>IFERROR(VLOOKUP(B448,[2]מעובד!$D:$L,9,0),0)</f>
        <v>0</v>
      </c>
    </row>
    <row r="449" spans="1:18" x14ac:dyDescent="0.2">
      <c r="A449" s="947" t="s">
        <v>365</v>
      </c>
      <c r="B449" s="947">
        <v>214114</v>
      </c>
      <c r="C449" s="947" t="s">
        <v>2189</v>
      </c>
      <c r="D449" s="947" t="s">
        <v>2147</v>
      </c>
      <c r="E449" s="951">
        <v>269</v>
      </c>
      <c r="F449" s="951">
        <v>260</v>
      </c>
      <c r="G449" s="947" t="s">
        <v>159</v>
      </c>
      <c r="H449" s="951">
        <v>102</v>
      </c>
      <c r="I449" s="951">
        <v>8</v>
      </c>
      <c r="J449" s="947" t="s">
        <v>365</v>
      </c>
      <c r="K449" s="947">
        <v>214114</v>
      </c>
      <c r="M449" s="631"/>
      <c r="P449" s="950" t="str">
        <f>VLOOKUP(J449,'רשימת רשויות'!A:A,1,0)</f>
        <v>צפת</v>
      </c>
      <c r="Q449" s="956">
        <f>IFERROR(VLOOKUP(B449,[2]מעובד!$D:$K,8,0),0)</f>
        <v>299</v>
      </c>
      <c r="R449" s="956">
        <f>IFERROR(VLOOKUP(B449,[2]מעובד!$D:$L,9,0),0)</f>
        <v>149</v>
      </c>
    </row>
    <row r="450" spans="1:18" x14ac:dyDescent="0.2">
      <c r="A450" s="947" t="s">
        <v>329</v>
      </c>
      <c r="B450" s="947">
        <v>214122</v>
      </c>
      <c r="C450" s="947" t="s">
        <v>2189</v>
      </c>
      <c r="D450" s="947" t="s">
        <v>2382</v>
      </c>
      <c r="E450" s="951">
        <v>71</v>
      </c>
      <c r="F450" s="951">
        <v>0</v>
      </c>
      <c r="G450" s="947" t="s">
        <v>159</v>
      </c>
      <c r="H450" s="951">
        <v>0</v>
      </c>
      <c r="I450" s="951">
        <v>0</v>
      </c>
      <c r="J450" s="947" t="s">
        <v>329</v>
      </c>
      <c r="K450" s="947">
        <v>214122</v>
      </c>
      <c r="M450" s="631"/>
      <c r="P450" s="950" t="str">
        <f>VLOOKUP(J450,'רשימת רשויות'!A:A,1,0)</f>
        <v>נוף הגליל</v>
      </c>
      <c r="Q450" s="956">
        <f>IFERROR(VLOOKUP(B450,[2]מעובד!$D:$K,8,0),0)</f>
        <v>0</v>
      </c>
      <c r="R450" s="956">
        <f>IFERROR(VLOOKUP(B450,[2]מעובד!$D:$L,9,0),0)</f>
        <v>0</v>
      </c>
    </row>
    <row r="451" spans="1:18" x14ac:dyDescent="0.2">
      <c r="A451" s="947" t="s">
        <v>329</v>
      </c>
      <c r="B451" s="947">
        <v>214130</v>
      </c>
      <c r="C451" s="947" t="s">
        <v>2189</v>
      </c>
      <c r="D451" s="947" t="s">
        <v>2666</v>
      </c>
      <c r="E451" s="951">
        <v>105</v>
      </c>
      <c r="F451" s="951">
        <v>60</v>
      </c>
      <c r="G451" s="947" t="s">
        <v>159</v>
      </c>
      <c r="H451" s="951">
        <v>0</v>
      </c>
      <c r="I451" s="951">
        <v>0</v>
      </c>
      <c r="J451" s="947" t="s">
        <v>329</v>
      </c>
      <c r="K451" s="947">
        <v>214130</v>
      </c>
      <c r="M451" s="631"/>
      <c r="P451" s="950" t="str">
        <f>VLOOKUP(J451,'רשימת רשויות'!A:A,1,0)</f>
        <v>נוף הגליל</v>
      </c>
      <c r="Q451" s="956">
        <f>IFERROR(VLOOKUP(B451,[2]מעובד!$D:$K,8,0),0)</f>
        <v>137</v>
      </c>
      <c r="R451" s="956">
        <f>IFERROR(VLOOKUP(B451,[2]מעובד!$D:$L,9,0),0)</f>
        <v>50</v>
      </c>
    </row>
    <row r="452" spans="1:18" x14ac:dyDescent="0.2">
      <c r="A452" s="947" t="s">
        <v>254</v>
      </c>
      <c r="B452" s="947">
        <v>214148</v>
      </c>
      <c r="C452" s="947" t="s">
        <v>2189</v>
      </c>
      <c r="D452" s="947" t="s">
        <v>1987</v>
      </c>
      <c r="E452" s="951">
        <v>150</v>
      </c>
      <c r="F452" s="951">
        <v>119</v>
      </c>
      <c r="G452" s="947" t="s">
        <v>3252</v>
      </c>
      <c r="H452" s="951">
        <v>150</v>
      </c>
      <c r="I452" s="951">
        <v>31</v>
      </c>
      <c r="J452" s="947" t="s">
        <v>254</v>
      </c>
      <c r="K452" s="947">
        <v>214148</v>
      </c>
      <c r="M452" s="631"/>
      <c r="P452" s="950" t="str">
        <f>VLOOKUP(J452,'רשימת רשויות'!A:A,1,0)</f>
        <v>טבריה</v>
      </c>
      <c r="Q452" s="956">
        <f>IFERROR(VLOOKUP(B452,[2]מעובד!$D:$K,8,0),0)</f>
        <v>146</v>
      </c>
      <c r="R452" s="956">
        <f>IFERROR(VLOOKUP(B452,[2]מעובד!$D:$L,9,0),0)</f>
        <v>146</v>
      </c>
    </row>
    <row r="453" spans="1:18" x14ac:dyDescent="0.2">
      <c r="A453" s="947" t="s">
        <v>289</v>
      </c>
      <c r="B453" s="947">
        <v>214155</v>
      </c>
      <c r="C453" s="947" t="s">
        <v>2189</v>
      </c>
      <c r="D453" s="947" t="s">
        <v>567</v>
      </c>
      <c r="E453" s="951">
        <v>182</v>
      </c>
      <c r="F453" s="951">
        <v>160</v>
      </c>
      <c r="G453" s="947" t="s">
        <v>159</v>
      </c>
      <c r="H453" s="951">
        <v>0</v>
      </c>
      <c r="I453" s="951">
        <v>0</v>
      </c>
      <c r="J453" s="947" t="s">
        <v>289</v>
      </c>
      <c r="K453" s="947">
        <v>214155</v>
      </c>
      <c r="M453" s="631"/>
      <c r="P453" s="950" t="str">
        <f>VLOOKUP(J453,'רשימת רשויות'!A:A,1,0)</f>
        <v>כפר תבור</v>
      </c>
      <c r="Q453" s="956">
        <f>IFERROR(VLOOKUP(B453,[2]מעובד!$D:$K,8,0),0)</f>
        <v>62</v>
      </c>
      <c r="R453" s="956">
        <f>IFERROR(VLOOKUP(B453,[2]מעובד!$D:$L,9,0),0)</f>
        <v>43</v>
      </c>
    </row>
    <row r="454" spans="1:18" x14ac:dyDescent="0.2">
      <c r="A454" s="947" t="s">
        <v>290</v>
      </c>
      <c r="B454" s="947">
        <v>214163</v>
      </c>
      <c r="C454" s="947" t="s">
        <v>2189</v>
      </c>
      <c r="D454" s="947" t="s">
        <v>1988</v>
      </c>
      <c r="E454" s="951">
        <v>169</v>
      </c>
      <c r="F454" s="951">
        <v>104</v>
      </c>
      <c r="G454" s="947" t="s">
        <v>159</v>
      </c>
      <c r="H454" s="951">
        <v>60</v>
      </c>
      <c r="I454" s="951">
        <v>10</v>
      </c>
      <c r="J454" s="947" t="s">
        <v>290</v>
      </c>
      <c r="K454" s="947">
        <v>214163</v>
      </c>
      <c r="M454" s="631"/>
      <c r="P454" s="950" t="str">
        <f>VLOOKUP(J454,'רשימת רשויות'!A:A,1,0)</f>
        <v>כרמיאל</v>
      </c>
      <c r="Q454" s="956">
        <f>IFERROR(VLOOKUP(B454,[2]מעובד!$D:$K,8,0),0)</f>
        <v>141</v>
      </c>
      <c r="R454" s="956">
        <f>IFERROR(VLOOKUP(B454,[2]מעובד!$D:$L,9,0),0)</f>
        <v>54</v>
      </c>
    </row>
    <row r="455" spans="1:18" x14ac:dyDescent="0.2">
      <c r="A455" s="947" t="s">
        <v>368</v>
      </c>
      <c r="B455" s="947">
        <v>214171</v>
      </c>
      <c r="C455" s="947" t="s">
        <v>2189</v>
      </c>
      <c r="D455" s="947" t="s">
        <v>1994</v>
      </c>
      <c r="E455" s="951">
        <v>157</v>
      </c>
      <c r="F455" s="951">
        <v>135</v>
      </c>
      <c r="G455" s="947" t="s">
        <v>159</v>
      </c>
      <c r="H455" s="951">
        <v>112</v>
      </c>
      <c r="I455" s="951">
        <v>22</v>
      </c>
      <c r="J455" s="947" t="s">
        <v>368</v>
      </c>
      <c r="K455" s="947">
        <v>214171</v>
      </c>
      <c r="M455" s="631"/>
      <c r="P455" s="950" t="str">
        <f>VLOOKUP(J455,'רשימת רשויות'!A:A,1,0)</f>
        <v>קצרין</v>
      </c>
      <c r="Q455" s="956">
        <f>IFERROR(VLOOKUP(B455,[2]מעובד!$D:$K,8,0),0)</f>
        <v>160</v>
      </c>
      <c r="R455" s="956">
        <f>IFERROR(VLOOKUP(B455,[2]מעובד!$D:$L,9,0),0)</f>
        <v>142</v>
      </c>
    </row>
    <row r="456" spans="1:18" x14ac:dyDescent="0.2">
      <c r="A456" s="947" t="s">
        <v>268</v>
      </c>
      <c r="B456" s="947">
        <v>214197</v>
      </c>
      <c r="C456" s="947" t="s">
        <v>2189</v>
      </c>
      <c r="D456" s="947" t="s">
        <v>1995</v>
      </c>
      <c r="E456" s="951">
        <v>164</v>
      </c>
      <c r="F456" s="951">
        <v>59</v>
      </c>
      <c r="G456" s="947" t="s">
        <v>159</v>
      </c>
      <c r="H456" s="951">
        <v>109</v>
      </c>
      <c r="I456" s="951">
        <v>5</v>
      </c>
      <c r="J456" s="947" t="s">
        <v>268</v>
      </c>
      <c r="K456" s="947">
        <v>214197</v>
      </c>
      <c r="M456" s="631"/>
      <c r="P456" s="950" t="str">
        <f>VLOOKUP(J456,'רשימת רשויות'!A:A,1,0)</f>
        <v>יקנעם עילית</v>
      </c>
      <c r="Q456" s="956">
        <f>IFERROR(VLOOKUP(B456,[2]מעובד!$D:$K,8,0),0)</f>
        <v>175</v>
      </c>
      <c r="R456" s="956">
        <f>IFERROR(VLOOKUP(B456,[2]מעובד!$D:$L,9,0),0)</f>
        <v>47</v>
      </c>
    </row>
    <row r="457" spans="1:18" x14ac:dyDescent="0.2">
      <c r="A457" s="947" t="s">
        <v>325</v>
      </c>
      <c r="B457" s="947">
        <v>214205</v>
      </c>
      <c r="C457" s="947" t="s">
        <v>2189</v>
      </c>
      <c r="D457" s="947" t="s">
        <v>1996</v>
      </c>
      <c r="E457" s="951">
        <v>184</v>
      </c>
      <c r="F457" s="951">
        <v>150</v>
      </c>
      <c r="G457" s="947" t="s">
        <v>159</v>
      </c>
      <c r="H457" s="951">
        <v>0</v>
      </c>
      <c r="I457" s="951">
        <v>0</v>
      </c>
      <c r="J457" s="947" t="s">
        <v>325</v>
      </c>
      <c r="K457" s="947">
        <v>214205</v>
      </c>
      <c r="M457" s="631"/>
      <c r="P457" s="950" t="str">
        <f>VLOOKUP(J457,'רשימת רשויות'!A:A,1,0)</f>
        <v>משגב</v>
      </c>
      <c r="Q457" s="956">
        <f>IFERROR(VLOOKUP(B457,[2]מעובד!$D:$K,8,0),0)</f>
        <v>199</v>
      </c>
      <c r="R457" s="956">
        <f>IFERROR(VLOOKUP(B457,[2]מעובד!$D:$L,9,0),0)</f>
        <v>55</v>
      </c>
    </row>
    <row r="458" spans="1:18" x14ac:dyDescent="0.2">
      <c r="A458" s="947" t="s">
        <v>302</v>
      </c>
      <c r="B458" s="947">
        <v>214213</v>
      </c>
      <c r="C458" s="947" t="s">
        <v>2189</v>
      </c>
      <c r="D458" s="947" t="s">
        <v>2956</v>
      </c>
      <c r="E458" s="951">
        <v>96</v>
      </c>
      <c r="F458" s="951">
        <v>56</v>
      </c>
      <c r="G458" s="947" t="s">
        <v>3252</v>
      </c>
      <c r="H458" s="951">
        <v>96</v>
      </c>
      <c r="I458" s="951">
        <v>30</v>
      </c>
      <c r="J458" s="947" t="s">
        <v>302</v>
      </c>
      <c r="K458" s="947">
        <v>214213</v>
      </c>
      <c r="M458" s="631"/>
      <c r="P458" s="950" t="str">
        <f>VLOOKUP(J458,'רשימת רשויות'!A:A,1,0)</f>
        <v>מגדל העמק</v>
      </c>
      <c r="Q458" s="956">
        <f>IFERROR(VLOOKUP(B458,[2]מעובד!$D:$K,8,0),0)</f>
        <v>71</v>
      </c>
      <c r="R458" s="956">
        <f>IFERROR(VLOOKUP(B458,[2]מעובד!$D:$L,9,0),0)</f>
        <v>54</v>
      </c>
    </row>
    <row r="459" spans="1:18" x14ac:dyDescent="0.2">
      <c r="A459" s="947" t="s">
        <v>321</v>
      </c>
      <c r="B459" s="947">
        <v>214221</v>
      </c>
      <c r="C459" s="947" t="s">
        <v>2189</v>
      </c>
      <c r="D459" s="947" t="s">
        <v>1997</v>
      </c>
      <c r="E459" s="951">
        <v>104</v>
      </c>
      <c r="F459" s="951">
        <v>52</v>
      </c>
      <c r="G459" s="947" t="s">
        <v>159</v>
      </c>
      <c r="H459" s="951">
        <v>44</v>
      </c>
      <c r="I459" s="951">
        <v>0</v>
      </c>
      <c r="J459" s="947" t="s">
        <v>321</v>
      </c>
      <c r="K459" s="957" t="s">
        <v>3266</v>
      </c>
      <c r="M459" s="631"/>
      <c r="P459" s="950" t="str">
        <f>VLOOKUP(J459,'רשימת רשויות'!A:A,1,0)</f>
        <v>מעלות-תרשיחא</v>
      </c>
      <c r="Q459" s="956">
        <f>IFERROR(VLOOKUP(B459,[2]מעובד!$D:$K,8,0),0)</f>
        <v>103</v>
      </c>
      <c r="R459" s="956">
        <f>IFERROR(VLOOKUP(B459,[2]מעובד!$D:$L,9,0),0)</f>
        <v>53</v>
      </c>
    </row>
    <row r="460" spans="1:18" x14ac:dyDescent="0.2">
      <c r="A460" s="947" t="s">
        <v>302</v>
      </c>
      <c r="B460" s="947">
        <v>214239</v>
      </c>
      <c r="C460" s="947" t="s">
        <v>2189</v>
      </c>
      <c r="D460" s="947" t="s">
        <v>1998</v>
      </c>
      <c r="E460" s="951">
        <v>187</v>
      </c>
      <c r="F460" s="951">
        <v>110</v>
      </c>
      <c r="G460" s="947" t="s">
        <v>159</v>
      </c>
      <c r="H460" s="951">
        <v>76</v>
      </c>
      <c r="I460" s="951">
        <v>5</v>
      </c>
      <c r="J460" s="947" t="s">
        <v>302</v>
      </c>
      <c r="K460" s="947">
        <v>214239</v>
      </c>
      <c r="M460" s="631"/>
      <c r="P460" s="950" t="str">
        <f>VLOOKUP(J460,'רשימת רשויות'!A:A,1,0)</f>
        <v>מגדל העמק</v>
      </c>
      <c r="Q460" s="956">
        <f>IFERROR(VLOOKUP(B460,[2]מעובד!$D:$K,8,0),0)</f>
        <v>257</v>
      </c>
      <c r="R460" s="956">
        <f>IFERROR(VLOOKUP(B460,[2]מעובד!$D:$L,9,0),0)</f>
        <v>80</v>
      </c>
    </row>
    <row r="461" spans="1:18" x14ac:dyDescent="0.2">
      <c r="A461" s="947" t="s">
        <v>230</v>
      </c>
      <c r="B461" s="947">
        <v>214247</v>
      </c>
      <c r="C461" s="947" t="s">
        <v>2189</v>
      </c>
      <c r="D461" s="947" t="s">
        <v>1999</v>
      </c>
      <c r="E461" s="951">
        <v>109</v>
      </c>
      <c r="F461" s="951">
        <v>52</v>
      </c>
      <c r="G461" s="947" t="s">
        <v>159</v>
      </c>
      <c r="H461" s="951">
        <v>0</v>
      </c>
      <c r="I461" s="951">
        <v>0</v>
      </c>
      <c r="J461" s="947" t="s">
        <v>230</v>
      </c>
      <c r="K461" s="957" t="s">
        <v>3267</v>
      </c>
      <c r="M461" s="631"/>
      <c r="P461" s="950" t="str">
        <f>VLOOKUP(J461,'רשימת רשויות'!A:A,1,0)</f>
        <v>הגליל התחתון</v>
      </c>
      <c r="Q461" s="956">
        <f>IFERROR(VLOOKUP(B461,[2]מעובד!$D:$K,8,0),0)</f>
        <v>0</v>
      </c>
      <c r="R461" s="956">
        <f>IFERROR(VLOOKUP(B461,[2]מעובד!$D:$L,9,0),0)</f>
        <v>0</v>
      </c>
    </row>
    <row r="462" spans="1:18" x14ac:dyDescent="0.2">
      <c r="A462" s="947" t="s">
        <v>302</v>
      </c>
      <c r="B462" s="947">
        <v>214254</v>
      </c>
      <c r="C462" s="947" t="s">
        <v>2189</v>
      </c>
      <c r="D462" s="947" t="s">
        <v>2957</v>
      </c>
      <c r="E462" s="951">
        <v>43</v>
      </c>
      <c r="F462" s="951">
        <v>43</v>
      </c>
      <c r="G462" s="947" t="s">
        <v>3252</v>
      </c>
      <c r="H462" s="951">
        <v>0</v>
      </c>
      <c r="I462" s="951">
        <v>0</v>
      </c>
      <c r="J462" s="947" t="s">
        <v>302</v>
      </c>
      <c r="K462" s="947">
        <v>214254</v>
      </c>
      <c r="M462" s="631"/>
      <c r="P462" s="950" t="str">
        <f>VLOOKUP(J462,'רשימת רשויות'!A:A,1,0)</f>
        <v>מגדל העמק</v>
      </c>
      <c r="Q462" s="956">
        <f>IFERROR(VLOOKUP(B462,[2]מעובד!$D:$K,8,0),0)</f>
        <v>0</v>
      </c>
      <c r="R462" s="956">
        <f>IFERROR(VLOOKUP(B462,[2]מעובד!$D:$L,9,0),0)</f>
        <v>0</v>
      </c>
    </row>
    <row r="463" spans="1:18" x14ac:dyDescent="0.2">
      <c r="A463" s="947" t="s">
        <v>333</v>
      </c>
      <c r="B463" s="947">
        <v>214262</v>
      </c>
      <c r="C463" s="947" t="s">
        <v>2189</v>
      </c>
      <c r="D463" s="947" t="s">
        <v>2390</v>
      </c>
      <c r="E463" s="951">
        <v>282</v>
      </c>
      <c r="F463" s="951">
        <v>282</v>
      </c>
      <c r="G463" s="947" t="s">
        <v>3252</v>
      </c>
      <c r="H463" s="951">
        <v>0</v>
      </c>
      <c r="I463" s="951">
        <v>0</v>
      </c>
      <c r="J463" s="947" t="s">
        <v>333</v>
      </c>
      <c r="K463" s="957" t="s">
        <v>3268</v>
      </c>
      <c r="M463" s="631"/>
      <c r="P463" s="950" t="str">
        <f>VLOOKUP(J463,'רשימת רשויות'!A:A,1,0)</f>
        <v>נצרת</v>
      </c>
      <c r="Q463" s="956">
        <f>IFERROR(VLOOKUP(B463,[2]מעובד!$D:$K,8,0),0)</f>
        <v>0</v>
      </c>
      <c r="R463" s="956">
        <f>IFERROR(VLOOKUP(B463,[2]מעובד!$D:$L,9,0),0)</f>
        <v>0</v>
      </c>
    </row>
    <row r="464" spans="1:18" x14ac:dyDescent="0.2">
      <c r="A464" s="947" t="s">
        <v>365</v>
      </c>
      <c r="B464" s="947">
        <v>214270</v>
      </c>
      <c r="C464" s="947" t="s">
        <v>2189</v>
      </c>
      <c r="D464" s="947" t="s">
        <v>2383</v>
      </c>
      <c r="E464" s="951">
        <v>76</v>
      </c>
      <c r="F464" s="951">
        <v>76</v>
      </c>
      <c r="G464" s="947" t="s">
        <v>3252</v>
      </c>
      <c r="H464" s="951">
        <v>0</v>
      </c>
      <c r="I464" s="951">
        <v>0</v>
      </c>
      <c r="J464" s="947" t="s">
        <v>365</v>
      </c>
      <c r="K464" s="947">
        <v>214270</v>
      </c>
      <c r="M464" s="631"/>
      <c r="P464" s="950" t="str">
        <f>VLOOKUP(J464,'רשימת רשויות'!A:A,1,0)</f>
        <v>צפת</v>
      </c>
      <c r="Q464" s="956">
        <f>IFERROR(VLOOKUP(B464,[2]מעובד!$D:$K,8,0),0)</f>
        <v>51</v>
      </c>
      <c r="R464" s="956">
        <f>IFERROR(VLOOKUP(B464,[2]מעובד!$D:$L,9,0),0)</f>
        <v>40</v>
      </c>
    </row>
    <row r="465" spans="1:18" x14ac:dyDescent="0.2">
      <c r="A465" s="947" t="s">
        <v>346</v>
      </c>
      <c r="B465" s="947">
        <v>214296</v>
      </c>
      <c r="C465" s="947" t="s">
        <v>2189</v>
      </c>
      <c r="D465" s="947" t="s">
        <v>1912</v>
      </c>
      <c r="E465" s="951">
        <v>41</v>
      </c>
      <c r="F465" s="951">
        <v>41</v>
      </c>
      <c r="G465" s="947" t="s">
        <v>3252</v>
      </c>
      <c r="H465" s="951">
        <v>0</v>
      </c>
      <c r="I465" s="951">
        <v>0</v>
      </c>
      <c r="J465" s="947" t="s">
        <v>346</v>
      </c>
      <c r="K465" s="947">
        <v>214296</v>
      </c>
      <c r="M465" s="631"/>
      <c r="P465" s="950" t="str">
        <f>VLOOKUP(J465,'רשימת רשויות'!A:A,1,0)</f>
        <v>עכו</v>
      </c>
      <c r="Q465" s="956">
        <f>IFERROR(VLOOKUP(B465,[2]מעובד!$D:$K,8,0),0)</f>
        <v>51</v>
      </c>
      <c r="R465" s="956">
        <f>IFERROR(VLOOKUP(B465,[2]מעובד!$D:$L,9,0),0)</f>
        <v>42</v>
      </c>
    </row>
    <row r="466" spans="1:18" x14ac:dyDescent="0.2">
      <c r="A466" s="947" t="s">
        <v>321</v>
      </c>
      <c r="B466" s="947">
        <v>214312</v>
      </c>
      <c r="C466" s="947" t="s">
        <v>2189</v>
      </c>
      <c r="D466" s="947" t="s">
        <v>2384</v>
      </c>
      <c r="E466" s="951">
        <v>126</v>
      </c>
      <c r="F466" s="951">
        <v>64</v>
      </c>
      <c r="G466" s="947" t="s">
        <v>3252</v>
      </c>
      <c r="H466" s="951">
        <v>0</v>
      </c>
      <c r="I466" s="951">
        <v>0</v>
      </c>
      <c r="J466" s="947" t="s">
        <v>321</v>
      </c>
      <c r="K466" s="947">
        <v>214312</v>
      </c>
      <c r="M466" s="631"/>
      <c r="P466" s="950" t="str">
        <f>VLOOKUP(J466,'רשימת רשויות'!A:A,1,0)</f>
        <v>מעלות-תרשיחא</v>
      </c>
      <c r="Q466" s="956">
        <f>IFERROR(VLOOKUP(B466,[2]מעובד!$D:$K,8,0),0)</f>
        <v>121</v>
      </c>
      <c r="R466" s="956">
        <f>IFERROR(VLOOKUP(B466,[2]מעובד!$D:$L,9,0),0)</f>
        <v>63</v>
      </c>
    </row>
    <row r="467" spans="1:18" x14ac:dyDescent="0.2">
      <c r="A467" s="947" t="s">
        <v>261</v>
      </c>
      <c r="B467" s="947">
        <v>214353</v>
      </c>
      <c r="C467" s="947" t="s">
        <v>2189</v>
      </c>
      <c r="D467" s="947" t="s">
        <v>1917</v>
      </c>
      <c r="E467" s="951">
        <v>48</v>
      </c>
      <c r="F467" s="951">
        <v>48</v>
      </c>
      <c r="G467" s="947" t="s">
        <v>3252</v>
      </c>
      <c r="H467" s="951">
        <v>0</v>
      </c>
      <c r="I467" s="951">
        <v>0</v>
      </c>
      <c r="J467" s="947" t="s">
        <v>261</v>
      </c>
      <c r="K467" s="957" t="s">
        <v>3269</v>
      </c>
      <c r="M467" s="631"/>
      <c r="P467" s="950" t="str">
        <f>VLOOKUP(J467,'רשימת רשויות'!A:A,1,0)</f>
        <v>יבנאל</v>
      </c>
      <c r="Q467" s="956">
        <f>IFERROR(VLOOKUP(B467,[2]מעובד!$D:$K,8,0),0)</f>
        <v>0</v>
      </c>
      <c r="R467" s="956">
        <f>IFERROR(VLOOKUP(B467,[2]מעובד!$D:$L,9,0),0)</f>
        <v>0</v>
      </c>
    </row>
    <row r="468" spans="1:18" x14ac:dyDescent="0.2">
      <c r="A468" s="947" t="s">
        <v>261</v>
      </c>
      <c r="B468" s="947">
        <v>214361</v>
      </c>
      <c r="C468" s="947" t="s">
        <v>2189</v>
      </c>
      <c r="D468" s="947" t="s">
        <v>1918</v>
      </c>
      <c r="E468" s="951">
        <v>27</v>
      </c>
      <c r="F468" s="951">
        <v>27</v>
      </c>
      <c r="G468" s="947" t="s">
        <v>3252</v>
      </c>
      <c r="H468" s="951">
        <v>0</v>
      </c>
      <c r="I468" s="951">
        <v>0</v>
      </c>
      <c r="J468" s="947" t="s">
        <v>261</v>
      </c>
      <c r="K468" s="947">
        <v>214361</v>
      </c>
      <c r="M468" s="631"/>
      <c r="P468" s="950" t="str">
        <f>VLOOKUP(J468,'רשימת רשויות'!A:A,1,0)</f>
        <v>יבנאל</v>
      </c>
      <c r="Q468" s="956">
        <f>IFERROR(VLOOKUP(B468,[2]מעובד!$D:$K,8,0),0)</f>
        <v>0</v>
      </c>
      <c r="R468" s="956">
        <f>IFERROR(VLOOKUP(B468,[2]מעובד!$D:$L,9,0),0)</f>
        <v>0</v>
      </c>
    </row>
    <row r="469" spans="1:18" x14ac:dyDescent="0.2">
      <c r="A469" s="947" t="s">
        <v>290</v>
      </c>
      <c r="B469" s="947">
        <v>214395</v>
      </c>
      <c r="C469" s="947" t="s">
        <v>2189</v>
      </c>
      <c r="D469" s="947" t="s">
        <v>1919</v>
      </c>
      <c r="E469" s="951">
        <v>221</v>
      </c>
      <c r="F469" s="951">
        <v>116</v>
      </c>
      <c r="G469" s="947" t="s">
        <v>159</v>
      </c>
      <c r="H469" s="951">
        <v>80</v>
      </c>
      <c r="I469" s="951">
        <v>0</v>
      </c>
      <c r="J469" s="947" t="s">
        <v>290</v>
      </c>
      <c r="K469" s="947">
        <v>214395</v>
      </c>
      <c r="M469" s="631"/>
      <c r="P469" s="950" t="str">
        <f>VLOOKUP(J469,'רשימת רשויות'!A:A,1,0)</f>
        <v>כרמיאל</v>
      </c>
      <c r="Q469" s="956">
        <f>IFERROR(VLOOKUP(B469,[2]מעובד!$D:$K,8,0),0)</f>
        <v>233</v>
      </c>
      <c r="R469" s="956">
        <f>IFERROR(VLOOKUP(B469,[2]מעובד!$D:$L,9,0),0)</f>
        <v>80</v>
      </c>
    </row>
    <row r="470" spans="1:18" x14ac:dyDescent="0.2">
      <c r="A470" s="947" t="s">
        <v>195</v>
      </c>
      <c r="B470" s="947">
        <v>214403</v>
      </c>
      <c r="C470" s="947" t="s">
        <v>2189</v>
      </c>
      <c r="D470" s="947" t="s">
        <v>2958</v>
      </c>
      <c r="E470" s="951">
        <v>42</v>
      </c>
      <c r="F470" s="951">
        <v>26</v>
      </c>
      <c r="G470" s="947" t="s">
        <v>3252</v>
      </c>
      <c r="H470" s="951">
        <v>0</v>
      </c>
      <c r="I470" s="951">
        <v>0</v>
      </c>
      <c r="J470" s="947" t="s">
        <v>195</v>
      </c>
      <c r="K470" s="947">
        <v>214403</v>
      </c>
      <c r="M470" s="631"/>
      <c r="P470" s="950" t="str">
        <f>VLOOKUP(J470,'רשימת רשויות'!A:A,1,0)</f>
        <v>בית שאן</v>
      </c>
      <c r="Q470" s="956">
        <f>IFERROR(VLOOKUP(B470,[2]מעובד!$D:$K,8,0),0)</f>
        <v>0</v>
      </c>
      <c r="R470" s="956">
        <f>IFERROR(VLOOKUP(B470,[2]מעובד!$D:$L,9,0),0)</f>
        <v>0</v>
      </c>
    </row>
    <row r="471" spans="1:18" x14ac:dyDescent="0.2">
      <c r="A471" s="947" t="s">
        <v>254</v>
      </c>
      <c r="B471" s="947">
        <v>214411</v>
      </c>
      <c r="C471" s="947" t="s">
        <v>2189</v>
      </c>
      <c r="D471" s="947" t="s">
        <v>1920</v>
      </c>
      <c r="E471" s="951">
        <v>143</v>
      </c>
      <c r="F471" s="951">
        <v>112</v>
      </c>
      <c r="G471" s="947" t="s">
        <v>159</v>
      </c>
      <c r="H471" s="951">
        <v>100</v>
      </c>
      <c r="I471" s="951">
        <v>23</v>
      </c>
      <c r="J471" s="947" t="s">
        <v>254</v>
      </c>
      <c r="K471" s="947">
        <v>214411</v>
      </c>
      <c r="M471" s="631"/>
      <c r="P471" s="950" t="str">
        <f>VLOOKUP(J471,'רשימת רשויות'!A:A,1,0)</f>
        <v>טבריה</v>
      </c>
      <c r="Q471" s="956">
        <f>IFERROR(VLOOKUP(B471,[2]מעובד!$D:$K,8,0),0)</f>
        <v>99</v>
      </c>
      <c r="R471" s="956">
        <f>IFERROR(VLOOKUP(B471,[2]מעובד!$D:$L,9,0),0)</f>
        <v>63</v>
      </c>
    </row>
    <row r="472" spans="1:18" x14ac:dyDescent="0.2">
      <c r="A472" s="947" t="s">
        <v>195</v>
      </c>
      <c r="B472" s="947">
        <v>214429</v>
      </c>
      <c r="C472" s="947" t="s">
        <v>2189</v>
      </c>
      <c r="D472" s="947" t="s">
        <v>1921</v>
      </c>
      <c r="E472" s="951">
        <v>134</v>
      </c>
      <c r="F472" s="951">
        <v>109</v>
      </c>
      <c r="G472" s="947" t="s">
        <v>159</v>
      </c>
      <c r="H472" s="951">
        <v>0</v>
      </c>
      <c r="I472" s="951">
        <v>0</v>
      </c>
      <c r="J472" s="947" t="s">
        <v>195</v>
      </c>
      <c r="K472" s="947">
        <v>214429</v>
      </c>
      <c r="M472" s="631"/>
      <c r="P472" s="950" t="str">
        <f>VLOOKUP(J472,'רשימת רשויות'!A:A,1,0)</f>
        <v>בית שאן</v>
      </c>
      <c r="Q472" s="956">
        <f>IFERROR(VLOOKUP(B472,[2]מעובד!$D:$K,8,0),0)</f>
        <v>136</v>
      </c>
      <c r="R472" s="956">
        <f>IFERROR(VLOOKUP(B472,[2]מעובד!$D:$L,9,0),0)</f>
        <v>132</v>
      </c>
    </row>
    <row r="473" spans="1:18" x14ac:dyDescent="0.2">
      <c r="A473" s="947" t="s">
        <v>303</v>
      </c>
      <c r="B473" s="947">
        <v>214437</v>
      </c>
      <c r="C473" s="947" t="s">
        <v>2189</v>
      </c>
      <c r="D473" s="947" t="s">
        <v>1926</v>
      </c>
      <c r="E473" s="951">
        <v>255</v>
      </c>
      <c r="F473" s="951">
        <v>28</v>
      </c>
      <c r="G473" s="947" t="s">
        <v>159</v>
      </c>
      <c r="H473" s="951">
        <v>177</v>
      </c>
      <c r="I473" s="951">
        <v>4</v>
      </c>
      <c r="J473" s="947" t="s">
        <v>303</v>
      </c>
      <c r="K473" s="947">
        <v>214437</v>
      </c>
      <c r="M473" s="631"/>
      <c r="P473" s="950" t="str">
        <f>VLOOKUP(J473,'רשימת רשויות'!A:A,1,0)</f>
        <v>מגידו</v>
      </c>
      <c r="Q473" s="956">
        <f>IFERROR(VLOOKUP(B473,[2]מעובד!$D:$K,8,0),0)</f>
        <v>0</v>
      </c>
      <c r="R473" s="956">
        <f>IFERROR(VLOOKUP(B473,[2]מעובד!$D:$L,9,0),0)</f>
        <v>0</v>
      </c>
    </row>
    <row r="474" spans="1:18" x14ac:dyDescent="0.2">
      <c r="A474" s="947" t="s">
        <v>321</v>
      </c>
      <c r="B474" s="947">
        <v>214452</v>
      </c>
      <c r="C474" s="947" t="s">
        <v>2189</v>
      </c>
      <c r="D474" s="947" t="s">
        <v>1953</v>
      </c>
      <c r="E474" s="951">
        <v>73</v>
      </c>
      <c r="F474" s="951">
        <v>45</v>
      </c>
      <c r="G474" s="947" t="s">
        <v>159</v>
      </c>
      <c r="H474" s="951">
        <v>0</v>
      </c>
      <c r="I474" s="951">
        <v>0</v>
      </c>
      <c r="J474" s="947" t="s">
        <v>321</v>
      </c>
      <c r="K474" s="947">
        <v>214452</v>
      </c>
      <c r="M474" s="631"/>
      <c r="P474" s="950" t="str">
        <f>VLOOKUP(J474,'רשימת רשויות'!A:A,1,0)</f>
        <v>מעלות-תרשיחא</v>
      </c>
      <c r="Q474" s="956">
        <f>IFERROR(VLOOKUP(B474,[2]מעובד!$D:$K,8,0),0)</f>
        <v>87</v>
      </c>
      <c r="R474" s="956">
        <f>IFERROR(VLOOKUP(B474,[2]מעובד!$D:$L,9,0),0)</f>
        <v>27</v>
      </c>
    </row>
    <row r="475" spans="1:18" x14ac:dyDescent="0.2">
      <c r="A475" s="947" t="s">
        <v>302</v>
      </c>
      <c r="B475" s="947">
        <v>214478</v>
      </c>
      <c r="C475" s="947" t="s">
        <v>2189</v>
      </c>
      <c r="D475" s="947" t="s">
        <v>1954</v>
      </c>
      <c r="E475" s="951">
        <v>188</v>
      </c>
      <c r="F475" s="951">
        <v>96</v>
      </c>
      <c r="G475" s="947" t="s">
        <v>3252</v>
      </c>
      <c r="H475" s="951">
        <v>0</v>
      </c>
      <c r="I475" s="951">
        <v>0</v>
      </c>
      <c r="J475" s="947" t="s">
        <v>302</v>
      </c>
      <c r="K475" s="947">
        <v>214478</v>
      </c>
      <c r="M475" s="631"/>
      <c r="P475" s="950" t="str">
        <f>VLOOKUP(J475,'רשימת רשויות'!A:A,1,0)</f>
        <v>מגדל העמק</v>
      </c>
      <c r="Q475" s="956">
        <f>IFERROR(VLOOKUP(B475,[2]מעובד!$D:$K,8,0),0)</f>
        <v>154</v>
      </c>
      <c r="R475" s="956">
        <f>IFERROR(VLOOKUP(B475,[2]מעובד!$D:$L,9,0),0)</f>
        <v>40</v>
      </c>
    </row>
    <row r="476" spans="1:18" x14ac:dyDescent="0.2">
      <c r="A476" s="947" t="s">
        <v>268</v>
      </c>
      <c r="B476" s="947">
        <v>214494</v>
      </c>
      <c r="C476" s="947" t="s">
        <v>2189</v>
      </c>
      <c r="D476" s="947" t="s">
        <v>1960</v>
      </c>
      <c r="E476" s="951">
        <v>147</v>
      </c>
      <c r="F476" s="951">
        <v>80</v>
      </c>
      <c r="G476" s="947" t="s">
        <v>159</v>
      </c>
      <c r="H476" s="951">
        <v>0</v>
      </c>
      <c r="I476" s="951">
        <v>0</v>
      </c>
      <c r="J476" s="947" t="s">
        <v>268</v>
      </c>
      <c r="K476" s="947">
        <v>214494</v>
      </c>
      <c r="M476" s="631"/>
      <c r="P476" s="950" t="str">
        <f>VLOOKUP(J476,'רשימת רשויות'!A:A,1,0)</f>
        <v>יקנעם עילית</v>
      </c>
      <c r="Q476" s="956">
        <f>IFERROR(VLOOKUP(B476,[2]מעובד!$D:$K,8,0),0)</f>
        <v>171</v>
      </c>
      <c r="R476" s="956">
        <f>IFERROR(VLOOKUP(B476,[2]מעובד!$D:$L,9,0),0)</f>
        <v>47</v>
      </c>
    </row>
    <row r="477" spans="1:18" x14ac:dyDescent="0.2">
      <c r="A477" s="947" t="s">
        <v>327</v>
      </c>
      <c r="B477" s="947">
        <v>214544</v>
      </c>
      <c r="C477" s="947" t="s">
        <v>2189</v>
      </c>
      <c r="D477" s="947" t="s">
        <v>943</v>
      </c>
      <c r="E477" s="951">
        <v>66</v>
      </c>
      <c r="F477" s="951">
        <v>30</v>
      </c>
      <c r="G477" s="947" t="s">
        <v>159</v>
      </c>
      <c r="H477" s="951">
        <v>27</v>
      </c>
      <c r="I477" s="951">
        <v>6</v>
      </c>
      <c r="J477" s="947" t="s">
        <v>327</v>
      </c>
      <c r="K477" s="947">
        <v>214544</v>
      </c>
      <c r="M477" s="631"/>
      <c r="P477" s="950" t="str">
        <f>VLOOKUP(J477,'רשימת רשויות'!A:A,1,0)</f>
        <v>נהריה</v>
      </c>
      <c r="Q477" s="956">
        <f>IFERROR(VLOOKUP(B477,[2]מעובד!$D:$K,8,0),0)</f>
        <v>0</v>
      </c>
      <c r="R477" s="956">
        <f>IFERROR(VLOOKUP(B477,[2]מעובד!$D:$L,9,0),0)</f>
        <v>0</v>
      </c>
    </row>
    <row r="478" spans="1:18" x14ac:dyDescent="0.2">
      <c r="A478" s="947" t="s">
        <v>254</v>
      </c>
      <c r="B478" s="947">
        <v>214551</v>
      </c>
      <c r="C478" s="947" t="s">
        <v>2189</v>
      </c>
      <c r="D478" s="947" t="s">
        <v>1254</v>
      </c>
      <c r="E478" s="951">
        <v>71</v>
      </c>
      <c r="F478" s="951">
        <v>71</v>
      </c>
      <c r="G478" s="947" t="s">
        <v>3252</v>
      </c>
      <c r="H478" s="951">
        <v>0</v>
      </c>
      <c r="I478" s="951">
        <v>0</v>
      </c>
      <c r="J478" s="947" t="s">
        <v>254</v>
      </c>
      <c r="K478" s="947">
        <v>214551</v>
      </c>
      <c r="M478" s="631"/>
      <c r="P478" s="950" t="str">
        <f>VLOOKUP(J478,'רשימת רשויות'!A:A,1,0)</f>
        <v>טבריה</v>
      </c>
      <c r="Q478" s="956">
        <f>IFERROR(VLOOKUP(B478,[2]מעובד!$D:$K,8,0),0)</f>
        <v>0</v>
      </c>
      <c r="R478" s="956">
        <f>IFERROR(VLOOKUP(B478,[2]מעובד!$D:$L,9,0),0)</f>
        <v>0</v>
      </c>
    </row>
    <row r="479" spans="1:18" x14ac:dyDescent="0.2">
      <c r="A479" s="947" t="s">
        <v>296</v>
      </c>
      <c r="B479" s="947">
        <v>214569</v>
      </c>
      <c r="C479" s="947" t="s">
        <v>2189</v>
      </c>
      <c r="D479" s="947" t="s">
        <v>1961</v>
      </c>
      <c r="E479" s="951">
        <v>217</v>
      </c>
      <c r="F479" s="951">
        <v>205</v>
      </c>
      <c r="G479" s="947" t="s">
        <v>159</v>
      </c>
      <c r="H479" s="951">
        <v>77</v>
      </c>
      <c r="I479" s="951">
        <v>6</v>
      </c>
      <c r="J479" s="947" t="s">
        <v>296</v>
      </c>
      <c r="K479" s="947">
        <v>214569</v>
      </c>
      <c r="M479" s="631"/>
      <c r="P479" s="950" t="str">
        <f>VLOOKUP(J479,'רשימת רשויות'!A:A,1,0)</f>
        <v>מבואות החרמון</v>
      </c>
      <c r="Q479" s="956">
        <f>IFERROR(VLOOKUP(B479,[2]מעובד!$D:$K,8,0),0)</f>
        <v>200</v>
      </c>
      <c r="R479" s="956">
        <f>IFERROR(VLOOKUP(B479,[2]מעובד!$D:$L,9,0),0)</f>
        <v>63</v>
      </c>
    </row>
    <row r="480" spans="1:18" x14ac:dyDescent="0.2">
      <c r="A480" s="947" t="s">
        <v>325</v>
      </c>
      <c r="B480" s="947">
        <v>214577</v>
      </c>
      <c r="C480" s="947" t="s">
        <v>2189</v>
      </c>
      <c r="D480" s="947" t="s">
        <v>2082</v>
      </c>
      <c r="E480" s="951">
        <v>135</v>
      </c>
      <c r="F480" s="951">
        <v>127</v>
      </c>
      <c r="G480" s="947" t="s">
        <v>159</v>
      </c>
      <c r="H480" s="951">
        <v>47</v>
      </c>
      <c r="I480" s="951">
        <v>8</v>
      </c>
      <c r="J480" s="947" t="s">
        <v>325</v>
      </c>
      <c r="K480" s="947">
        <v>214577</v>
      </c>
      <c r="M480" s="631"/>
      <c r="P480" s="950" t="str">
        <f>VLOOKUP(J480,'רשימת רשויות'!A:A,1,0)</f>
        <v>משגב</v>
      </c>
      <c r="Q480" s="956">
        <f>IFERROR(VLOOKUP(B480,[2]מעובד!$D:$K,8,0),0)</f>
        <v>140</v>
      </c>
      <c r="R480" s="956">
        <f>IFERROR(VLOOKUP(B480,[2]מעובד!$D:$L,9,0),0)</f>
        <v>96</v>
      </c>
    </row>
    <row r="481" spans="1:18" x14ac:dyDescent="0.2">
      <c r="A481" s="947" t="s">
        <v>353</v>
      </c>
      <c r="B481" s="947">
        <v>214627</v>
      </c>
      <c r="C481" s="947" t="s">
        <v>2189</v>
      </c>
      <c r="D481" s="947" t="s">
        <v>2712</v>
      </c>
      <c r="E481" s="951">
        <v>136</v>
      </c>
      <c r="F481" s="951">
        <v>136</v>
      </c>
      <c r="G481" s="947" t="s">
        <v>3252</v>
      </c>
      <c r="H481" s="951">
        <v>0</v>
      </c>
      <c r="I481" s="951">
        <v>0</v>
      </c>
      <c r="J481" s="947" t="s">
        <v>353</v>
      </c>
      <c r="K481" s="947">
        <v>214627</v>
      </c>
      <c r="M481" s="631"/>
      <c r="P481" s="950" t="str">
        <f>VLOOKUP(J481,'רשימת רשויות'!A:A,1,0)</f>
        <v>עפולה</v>
      </c>
      <c r="Q481" s="956">
        <f>IFERROR(VLOOKUP(B481,[2]מעובד!$D:$K,8,0),0)</f>
        <v>0</v>
      </c>
      <c r="R481" s="956">
        <f>IFERROR(VLOOKUP(B481,[2]מעובד!$D:$L,9,0),0)</f>
        <v>0</v>
      </c>
    </row>
    <row r="482" spans="1:18" x14ac:dyDescent="0.2">
      <c r="A482" s="947" t="s">
        <v>268</v>
      </c>
      <c r="B482" s="947">
        <v>214635</v>
      </c>
      <c r="C482" s="947" t="s">
        <v>2189</v>
      </c>
      <c r="D482" s="947" t="s">
        <v>1873</v>
      </c>
      <c r="E482" s="951">
        <v>110</v>
      </c>
      <c r="F482" s="951">
        <v>86</v>
      </c>
      <c r="G482" s="947" t="s">
        <v>159</v>
      </c>
      <c r="H482" s="951">
        <v>0</v>
      </c>
      <c r="I482" s="951">
        <v>0</v>
      </c>
      <c r="J482" s="947" t="s">
        <v>268</v>
      </c>
      <c r="K482" s="947">
        <v>214635</v>
      </c>
      <c r="M482" s="631"/>
      <c r="P482" s="950" t="str">
        <f>VLOOKUP(J482,'רשימת רשויות'!A:A,1,0)</f>
        <v>יקנעם עילית</v>
      </c>
      <c r="Q482" s="956">
        <f>IFERROR(VLOOKUP(B482,[2]מעובד!$D:$K,8,0),0)</f>
        <v>132</v>
      </c>
      <c r="R482" s="956">
        <f>IFERROR(VLOOKUP(B482,[2]מעובד!$D:$L,9,0),0)</f>
        <v>46</v>
      </c>
    </row>
    <row r="483" spans="1:18" x14ac:dyDescent="0.2">
      <c r="A483" s="947" t="s">
        <v>327</v>
      </c>
      <c r="B483" s="947">
        <v>214643</v>
      </c>
      <c r="C483" s="947" t="s">
        <v>2189</v>
      </c>
      <c r="D483" s="947" t="s">
        <v>2644</v>
      </c>
      <c r="E483" s="951">
        <v>58</v>
      </c>
      <c r="F483" s="951">
        <v>35</v>
      </c>
      <c r="G483" s="947" t="s">
        <v>3252</v>
      </c>
      <c r="H483" s="951">
        <v>0</v>
      </c>
      <c r="I483" s="951">
        <v>0</v>
      </c>
      <c r="J483" s="947" t="s">
        <v>327</v>
      </c>
      <c r="K483" s="947">
        <v>214643</v>
      </c>
      <c r="M483" s="631"/>
      <c r="P483" s="950" t="str">
        <f>VLOOKUP(J483,'רשימת רשויות'!A:A,1,0)</f>
        <v>נהריה</v>
      </c>
      <c r="Q483" s="956">
        <f>IFERROR(VLOOKUP(B483,[2]מעובד!$D:$K,8,0),0)</f>
        <v>63</v>
      </c>
      <c r="R483" s="956">
        <f>IFERROR(VLOOKUP(B483,[2]מעובד!$D:$L,9,0),0)</f>
        <v>40</v>
      </c>
    </row>
    <row r="484" spans="1:18" x14ac:dyDescent="0.2">
      <c r="A484" s="947" t="s">
        <v>365</v>
      </c>
      <c r="B484" s="947">
        <v>214668</v>
      </c>
      <c r="C484" s="947" t="s">
        <v>2189</v>
      </c>
      <c r="D484" s="947" t="s">
        <v>704</v>
      </c>
      <c r="E484" s="951">
        <v>168</v>
      </c>
      <c r="F484" s="951">
        <v>168</v>
      </c>
      <c r="G484" s="947" t="s">
        <v>159</v>
      </c>
      <c r="H484" s="951">
        <v>0</v>
      </c>
      <c r="I484" s="951">
        <v>0</v>
      </c>
      <c r="J484" s="947" t="s">
        <v>365</v>
      </c>
      <c r="K484" s="947">
        <v>214668</v>
      </c>
      <c r="M484" s="631"/>
      <c r="P484" s="950" t="str">
        <f>VLOOKUP(J484,'רשימת רשויות'!A:A,1,0)</f>
        <v>צפת</v>
      </c>
      <c r="Q484" s="956">
        <f>IFERROR(VLOOKUP(B484,[2]מעובד!$D:$K,8,0),0)</f>
        <v>141</v>
      </c>
      <c r="R484" s="956">
        <f>IFERROR(VLOOKUP(B484,[2]מעובד!$D:$L,9,0),0)</f>
        <v>106</v>
      </c>
    </row>
    <row r="485" spans="1:18" x14ac:dyDescent="0.2">
      <c r="A485" s="947" t="s">
        <v>351</v>
      </c>
      <c r="B485" s="947">
        <v>214684</v>
      </c>
      <c r="C485" s="947" t="s">
        <v>2189</v>
      </c>
      <c r="D485" s="947" t="s">
        <v>920</v>
      </c>
      <c r="E485" s="951">
        <v>175</v>
      </c>
      <c r="F485" s="951">
        <v>133</v>
      </c>
      <c r="G485" s="947" t="s">
        <v>159</v>
      </c>
      <c r="H485" s="951">
        <v>0</v>
      </c>
      <c r="I485" s="951">
        <v>0</v>
      </c>
      <c r="J485" s="947" t="s">
        <v>351</v>
      </c>
      <c r="K485" s="947">
        <v>214684</v>
      </c>
      <c r="M485" s="631"/>
      <c r="P485" s="950" t="str">
        <f>VLOOKUP(J485,'רשימת רשויות'!A:A,1,0)</f>
        <v>עמק יזרעאל</v>
      </c>
      <c r="Q485" s="956">
        <f>IFERROR(VLOOKUP(B485,[2]מעובד!$D:$K,8,0),0)</f>
        <v>0</v>
      </c>
      <c r="R485" s="956">
        <f>IFERROR(VLOOKUP(B485,[2]מעובד!$D:$L,9,0),0)</f>
        <v>0</v>
      </c>
    </row>
    <row r="486" spans="1:18" x14ac:dyDescent="0.2">
      <c r="A486" s="947" t="s">
        <v>329</v>
      </c>
      <c r="B486" s="947">
        <v>214700</v>
      </c>
      <c r="C486" s="947" t="s">
        <v>2189</v>
      </c>
      <c r="D486" s="947" t="s">
        <v>2959</v>
      </c>
      <c r="E486" s="951">
        <v>42</v>
      </c>
      <c r="F486" s="951">
        <v>0</v>
      </c>
      <c r="G486" s="947" t="s">
        <v>3252</v>
      </c>
      <c r="H486" s="951">
        <v>0</v>
      </c>
      <c r="I486" s="951">
        <v>0</v>
      </c>
      <c r="J486" s="947" t="s">
        <v>329</v>
      </c>
      <c r="K486" s="947">
        <v>214700</v>
      </c>
      <c r="M486" s="631"/>
      <c r="P486" s="950" t="str">
        <f>VLOOKUP(J486,'רשימת רשויות'!A:A,1,0)</f>
        <v>נוף הגליל</v>
      </c>
      <c r="Q486" s="956">
        <f>IFERROR(VLOOKUP(B486,[2]מעובד!$D:$K,8,0),0)</f>
        <v>0</v>
      </c>
      <c r="R486" s="956">
        <f>IFERROR(VLOOKUP(B486,[2]מעובד!$D:$L,9,0),0)</f>
        <v>0</v>
      </c>
    </row>
    <row r="487" spans="1:18" x14ac:dyDescent="0.2">
      <c r="A487" s="947" t="s">
        <v>290</v>
      </c>
      <c r="B487" s="947">
        <v>214718</v>
      </c>
      <c r="C487" s="947" t="s">
        <v>2189</v>
      </c>
      <c r="D487" s="947" t="s">
        <v>1879</v>
      </c>
      <c r="E487" s="951">
        <v>234</v>
      </c>
      <c r="F487" s="951">
        <v>143</v>
      </c>
      <c r="G487" s="947" t="s">
        <v>159</v>
      </c>
      <c r="H487" s="951">
        <v>0</v>
      </c>
      <c r="I487" s="951">
        <v>0</v>
      </c>
      <c r="J487" s="947" t="s">
        <v>290</v>
      </c>
      <c r="K487" s="947">
        <v>214718</v>
      </c>
      <c r="M487" s="631"/>
      <c r="P487" s="950" t="str">
        <f>VLOOKUP(J487,'רשימת רשויות'!A:A,1,0)</f>
        <v>כרמיאל</v>
      </c>
      <c r="Q487" s="956">
        <f>IFERROR(VLOOKUP(B487,[2]מעובד!$D:$K,8,0),0)</f>
        <v>256</v>
      </c>
      <c r="R487" s="956">
        <f>IFERROR(VLOOKUP(B487,[2]מעובד!$D:$L,9,0),0)</f>
        <v>77</v>
      </c>
    </row>
    <row r="488" spans="1:18" x14ac:dyDescent="0.2">
      <c r="A488" s="947" t="s">
        <v>271</v>
      </c>
      <c r="B488" s="947">
        <v>217018</v>
      </c>
      <c r="C488" s="947" t="s">
        <v>2189</v>
      </c>
      <c r="D488" s="947" t="s">
        <v>1955</v>
      </c>
      <c r="E488" s="951">
        <v>186</v>
      </c>
      <c r="F488" s="951">
        <v>185</v>
      </c>
      <c r="G488" s="947" t="s">
        <v>159</v>
      </c>
      <c r="H488" s="951">
        <v>0</v>
      </c>
      <c r="I488" s="951">
        <v>0</v>
      </c>
      <c r="J488" s="947" t="s">
        <v>271</v>
      </c>
      <c r="K488" s="947">
        <v>217018</v>
      </c>
      <c r="M488" s="631"/>
      <c r="P488" s="950" t="str">
        <f>VLOOKUP(J488,'רשימת רשויות'!A:A,1,0)</f>
        <v>ירכא</v>
      </c>
      <c r="Q488" s="956">
        <f>IFERROR(VLOOKUP(B488,[2]מעובד!$D:$K,8,0),0)</f>
        <v>0</v>
      </c>
      <c r="R488" s="956">
        <f>IFERROR(VLOOKUP(B488,[2]מעובד!$D:$L,9,0),0)</f>
        <v>0</v>
      </c>
    </row>
    <row r="489" spans="1:18" x14ac:dyDescent="0.2">
      <c r="A489" s="947" t="s">
        <v>267</v>
      </c>
      <c r="B489" s="947">
        <v>217026</v>
      </c>
      <c r="C489" s="947" t="s">
        <v>2189</v>
      </c>
      <c r="D489" s="947" t="s">
        <v>1956</v>
      </c>
      <c r="E489" s="951">
        <v>81</v>
      </c>
      <c r="F489" s="951">
        <v>81</v>
      </c>
      <c r="G489" s="947" t="s">
        <v>3252</v>
      </c>
      <c r="H489" s="951">
        <v>0</v>
      </c>
      <c r="I489" s="951">
        <v>0</v>
      </c>
      <c r="J489" s="947" t="s">
        <v>267</v>
      </c>
      <c r="K489" s="947">
        <v>217026</v>
      </c>
      <c r="M489" s="631"/>
      <c r="P489" s="950" t="str">
        <f>VLOOKUP(J489,'רשימת רשויות'!A:A,1,0)</f>
        <v>יפיע</v>
      </c>
      <c r="Q489" s="956">
        <f>IFERROR(VLOOKUP(B489,[2]מעובד!$D:$K,8,0),0)</f>
        <v>0</v>
      </c>
      <c r="R489" s="956">
        <f>IFERROR(VLOOKUP(B489,[2]מעובד!$D:$L,9,0),0)</f>
        <v>0</v>
      </c>
    </row>
    <row r="490" spans="1:18" x14ac:dyDescent="0.2">
      <c r="A490" s="947" t="s">
        <v>282</v>
      </c>
      <c r="B490" s="947">
        <v>217034</v>
      </c>
      <c r="C490" s="947" t="s">
        <v>2189</v>
      </c>
      <c r="D490" s="947" t="s">
        <v>2385</v>
      </c>
      <c r="E490" s="951">
        <v>75</v>
      </c>
      <c r="F490" s="951">
        <v>0</v>
      </c>
      <c r="G490" s="947" t="s">
        <v>3252</v>
      </c>
      <c r="H490" s="951">
        <v>0</v>
      </c>
      <c r="I490" s="951">
        <v>0</v>
      </c>
      <c r="J490" s="947" t="s">
        <v>282</v>
      </c>
      <c r="K490" s="947">
        <v>217034</v>
      </c>
      <c r="M490" s="631"/>
      <c r="P490" s="950" t="str">
        <f>VLOOKUP(J490,'רשימת רשויות'!A:A,1,0)</f>
        <v>כפר כנא</v>
      </c>
      <c r="Q490" s="956">
        <f>IFERROR(VLOOKUP(B490,[2]מעובד!$D:$K,8,0),0)</f>
        <v>0</v>
      </c>
      <c r="R490" s="956">
        <f>IFERROR(VLOOKUP(B490,[2]מעובד!$D:$L,9,0),0)</f>
        <v>0</v>
      </c>
    </row>
    <row r="491" spans="1:18" x14ac:dyDescent="0.2">
      <c r="A491" s="947" t="s">
        <v>388</v>
      </c>
      <c r="B491" s="947">
        <v>217042</v>
      </c>
      <c r="C491" s="947" t="s">
        <v>2189</v>
      </c>
      <c r="D491" s="947" t="s">
        <v>2004</v>
      </c>
      <c r="E491" s="951">
        <v>205</v>
      </c>
      <c r="F491" s="951">
        <v>170</v>
      </c>
      <c r="G491" s="947" t="s">
        <v>3252</v>
      </c>
      <c r="H491" s="951">
        <v>0</v>
      </c>
      <c r="I491" s="951">
        <v>0</v>
      </c>
      <c r="J491" s="947" t="s">
        <v>388</v>
      </c>
      <c r="K491" s="947">
        <v>217042</v>
      </c>
      <c r="M491" s="631"/>
      <c r="P491" s="950" t="str">
        <f>VLOOKUP(J491,'רשימת רשויות'!A:A,1,0)</f>
        <v>ריינה</v>
      </c>
      <c r="Q491" s="956">
        <f>IFERROR(VLOOKUP(B491,[2]מעובד!$D:$K,8,0),0)</f>
        <v>0</v>
      </c>
      <c r="R491" s="956">
        <f>IFERROR(VLOOKUP(B491,[2]מעובד!$D:$L,9,0),0)</f>
        <v>0</v>
      </c>
    </row>
    <row r="492" spans="1:18" x14ac:dyDescent="0.2">
      <c r="A492" s="947" t="s">
        <v>333</v>
      </c>
      <c r="B492" s="947">
        <v>217059</v>
      </c>
      <c r="C492" s="947" t="s">
        <v>2189</v>
      </c>
      <c r="D492" s="947" t="s">
        <v>2005</v>
      </c>
      <c r="E492" s="951">
        <v>295</v>
      </c>
      <c r="F492" s="951">
        <v>295</v>
      </c>
      <c r="G492" s="947" t="s">
        <v>3252</v>
      </c>
      <c r="H492" s="951">
        <v>0</v>
      </c>
      <c r="I492" s="951">
        <v>0</v>
      </c>
      <c r="J492" s="947" t="s">
        <v>333</v>
      </c>
      <c r="K492" s="947">
        <v>217059</v>
      </c>
      <c r="M492" s="631"/>
      <c r="P492" s="950" t="str">
        <f>VLOOKUP(J492,'רשימת רשויות'!A:A,1,0)</f>
        <v>נצרת</v>
      </c>
      <c r="Q492" s="956">
        <f>IFERROR(VLOOKUP(B492,[2]מעובד!$D:$K,8,0),0)</f>
        <v>0</v>
      </c>
      <c r="R492" s="956">
        <f>IFERROR(VLOOKUP(B492,[2]מעובד!$D:$L,9,0),0)</f>
        <v>0</v>
      </c>
    </row>
    <row r="493" spans="1:18" x14ac:dyDescent="0.2">
      <c r="A493" s="947" t="s">
        <v>333</v>
      </c>
      <c r="B493" s="947">
        <v>217083</v>
      </c>
      <c r="C493" s="947" t="s">
        <v>2189</v>
      </c>
      <c r="D493" s="947" t="s">
        <v>2385</v>
      </c>
      <c r="E493" s="951">
        <v>233</v>
      </c>
      <c r="F493" s="951">
        <v>232</v>
      </c>
      <c r="G493" s="947" t="s">
        <v>3252</v>
      </c>
      <c r="H493" s="951">
        <v>0</v>
      </c>
      <c r="I493" s="951">
        <v>0</v>
      </c>
      <c r="J493" s="947" t="s">
        <v>333</v>
      </c>
      <c r="K493" s="957" t="s">
        <v>3270</v>
      </c>
      <c r="M493" s="631"/>
      <c r="P493" s="950" t="str">
        <f>VLOOKUP(J493,'רשימת רשויות'!A:A,1,0)</f>
        <v>נצרת</v>
      </c>
      <c r="Q493" s="956">
        <f>IFERROR(VLOOKUP(B493,[2]מעובד!$D:$K,8,0),0)</f>
        <v>0</v>
      </c>
      <c r="R493" s="956">
        <f>IFERROR(VLOOKUP(B493,[2]מעובד!$D:$L,9,0),0)</f>
        <v>0</v>
      </c>
    </row>
    <row r="494" spans="1:18" x14ac:dyDescent="0.2">
      <c r="A494" s="947" t="s">
        <v>226</v>
      </c>
      <c r="B494" s="947">
        <v>217109</v>
      </c>
      <c r="C494" s="947" t="s">
        <v>2189</v>
      </c>
      <c r="D494" s="947" t="s">
        <v>1240</v>
      </c>
      <c r="E494" s="951">
        <v>139</v>
      </c>
      <c r="F494" s="951">
        <v>123</v>
      </c>
      <c r="G494" s="947" t="s">
        <v>159</v>
      </c>
      <c r="H494" s="951">
        <v>0</v>
      </c>
      <c r="I494" s="951">
        <v>0</v>
      </c>
      <c r="J494" s="947" t="s">
        <v>226</v>
      </c>
      <c r="K494" s="947">
        <v>217109</v>
      </c>
      <c r="M494" s="631"/>
      <c r="P494" s="950" t="str">
        <f>VLOOKUP(J494,'רשימת רשויות'!A:A,1,0)</f>
        <v>דיר חנא</v>
      </c>
      <c r="Q494" s="956">
        <f>IFERROR(VLOOKUP(B494,[2]מעובד!$D:$K,8,0),0)</f>
        <v>136</v>
      </c>
      <c r="R494" s="956">
        <f>IFERROR(VLOOKUP(B494,[2]מעובד!$D:$L,9,0),0)</f>
        <v>136</v>
      </c>
    </row>
    <row r="495" spans="1:18" x14ac:dyDescent="0.2">
      <c r="A495" s="947" t="s">
        <v>333</v>
      </c>
      <c r="B495" s="947">
        <v>217117</v>
      </c>
      <c r="C495" s="947" t="s">
        <v>2189</v>
      </c>
      <c r="D495" s="947" t="s">
        <v>2960</v>
      </c>
      <c r="E495" s="951">
        <v>87</v>
      </c>
      <c r="F495" s="951">
        <v>0</v>
      </c>
      <c r="G495" s="947" t="s">
        <v>3252</v>
      </c>
      <c r="H495" s="951">
        <v>0</v>
      </c>
      <c r="I495" s="951">
        <v>0</v>
      </c>
      <c r="J495" s="947" t="s">
        <v>333</v>
      </c>
      <c r="K495" s="947">
        <v>217117</v>
      </c>
      <c r="M495" s="631"/>
      <c r="P495" s="950" t="str">
        <f>VLOOKUP(J495,'רשימת רשויות'!A:A,1,0)</f>
        <v>נצרת</v>
      </c>
      <c r="Q495" s="956">
        <f>IFERROR(VLOOKUP(B495,[2]מעובד!$D:$K,8,0),0)</f>
        <v>0</v>
      </c>
      <c r="R495" s="956">
        <f>IFERROR(VLOOKUP(B495,[2]מעובד!$D:$L,9,0),0)</f>
        <v>0</v>
      </c>
    </row>
    <row r="496" spans="1:18" x14ac:dyDescent="0.2">
      <c r="A496" s="947" t="s">
        <v>333</v>
      </c>
      <c r="B496" s="947">
        <v>217133</v>
      </c>
      <c r="C496" s="947" t="s">
        <v>2189</v>
      </c>
      <c r="D496" s="947" t="s">
        <v>2961</v>
      </c>
      <c r="E496" s="951">
        <v>71</v>
      </c>
      <c r="F496" s="951">
        <v>0</v>
      </c>
      <c r="G496" s="947" t="s">
        <v>3252</v>
      </c>
      <c r="H496" s="951">
        <v>0</v>
      </c>
      <c r="I496" s="951">
        <v>0</v>
      </c>
      <c r="J496" s="947" t="s">
        <v>333</v>
      </c>
      <c r="K496" s="947">
        <v>217133</v>
      </c>
      <c r="M496" s="631"/>
      <c r="P496" s="950" t="str">
        <f>VLOOKUP(J496,'רשימת רשויות'!A:A,1,0)</f>
        <v>נצרת</v>
      </c>
      <c r="Q496" s="956">
        <f>IFERROR(VLOOKUP(B496,[2]מעובד!$D:$K,8,0),0)</f>
        <v>0</v>
      </c>
      <c r="R496" s="956">
        <f>IFERROR(VLOOKUP(B496,[2]מעובד!$D:$L,9,0),0)</f>
        <v>0</v>
      </c>
    </row>
    <row r="497" spans="1:18" x14ac:dyDescent="0.2">
      <c r="A497" s="947" t="s">
        <v>333</v>
      </c>
      <c r="B497" s="947">
        <v>217158</v>
      </c>
      <c r="C497" s="947" t="s">
        <v>2189</v>
      </c>
      <c r="D497" s="947" t="s">
        <v>2962</v>
      </c>
      <c r="E497" s="951">
        <v>317</v>
      </c>
      <c r="F497" s="951">
        <v>60</v>
      </c>
      <c r="G497" s="947" t="s">
        <v>3252</v>
      </c>
      <c r="H497" s="951">
        <v>0</v>
      </c>
      <c r="I497" s="951">
        <v>0</v>
      </c>
      <c r="J497" s="947" t="s">
        <v>333</v>
      </c>
      <c r="K497" s="957" t="s">
        <v>3270</v>
      </c>
      <c r="M497" s="631"/>
      <c r="P497" s="950" t="str">
        <f>VLOOKUP(J497,'רשימת רשויות'!A:A,1,0)</f>
        <v>נצרת</v>
      </c>
      <c r="Q497" s="956">
        <f>IFERROR(VLOOKUP(B497,[2]מעובד!$D:$K,8,0),0)</f>
        <v>0</v>
      </c>
      <c r="R497" s="956">
        <f>IFERROR(VLOOKUP(B497,[2]מעובד!$D:$L,9,0),0)</f>
        <v>0</v>
      </c>
    </row>
    <row r="498" spans="1:18" x14ac:dyDescent="0.2">
      <c r="A498" s="947" t="s">
        <v>276</v>
      </c>
      <c r="B498" s="947">
        <v>217166</v>
      </c>
      <c r="C498" s="947" t="s">
        <v>2189</v>
      </c>
      <c r="D498" s="947" t="s">
        <v>1872</v>
      </c>
      <c r="E498" s="951">
        <v>163</v>
      </c>
      <c r="F498" s="951">
        <v>148</v>
      </c>
      <c r="G498" s="947" t="s">
        <v>159</v>
      </c>
      <c r="H498" s="951">
        <v>61</v>
      </c>
      <c r="I498" s="951">
        <v>9</v>
      </c>
      <c r="J498" s="947" t="s">
        <v>276</v>
      </c>
      <c r="K498" s="947">
        <v>217166</v>
      </c>
      <c r="M498" s="631"/>
      <c r="P498" s="950" t="str">
        <f>VLOOKUP(J498,'רשימת רשויות'!A:A,1,0)</f>
        <v>כסרא-סמיע</v>
      </c>
      <c r="Q498" s="956">
        <f>IFERROR(VLOOKUP(B498,[2]מעובד!$D:$K,8,0),0)</f>
        <v>0</v>
      </c>
      <c r="R498" s="956">
        <f>IFERROR(VLOOKUP(B498,[2]מעובד!$D:$L,9,0),0)</f>
        <v>0</v>
      </c>
    </row>
    <row r="499" spans="1:18" x14ac:dyDescent="0.2">
      <c r="A499" s="947" t="s">
        <v>333</v>
      </c>
      <c r="B499" s="947">
        <v>217174</v>
      </c>
      <c r="C499" s="947" t="s">
        <v>2189</v>
      </c>
      <c r="D499" s="947" t="s">
        <v>2963</v>
      </c>
      <c r="E499" s="951">
        <v>199</v>
      </c>
      <c r="F499" s="951">
        <v>30</v>
      </c>
      <c r="G499" s="947" t="s">
        <v>3252</v>
      </c>
      <c r="H499" s="951">
        <v>0</v>
      </c>
      <c r="I499" s="951">
        <v>0</v>
      </c>
      <c r="J499" s="947" t="s">
        <v>333</v>
      </c>
      <c r="K499" s="957" t="s">
        <v>3270</v>
      </c>
      <c r="M499" s="631"/>
      <c r="P499" s="950" t="str">
        <f>VLOOKUP(J499,'רשימת רשויות'!A:A,1,0)</f>
        <v>נצרת</v>
      </c>
      <c r="Q499" s="956">
        <f>IFERROR(VLOOKUP(B499,[2]מעובד!$D:$K,8,0),0)</f>
        <v>0</v>
      </c>
      <c r="R499" s="956">
        <f>IFERROR(VLOOKUP(B499,[2]מעובד!$D:$L,9,0),0)</f>
        <v>0</v>
      </c>
    </row>
    <row r="500" spans="1:18" x14ac:dyDescent="0.2">
      <c r="A500" s="947" t="s">
        <v>346</v>
      </c>
      <c r="B500" s="947">
        <v>217190</v>
      </c>
      <c r="C500" s="947" t="s">
        <v>2189</v>
      </c>
      <c r="D500" s="947" t="s">
        <v>1874</v>
      </c>
      <c r="E500" s="951">
        <v>116</v>
      </c>
      <c r="F500" s="951">
        <v>116</v>
      </c>
      <c r="G500" s="947" t="s">
        <v>3252</v>
      </c>
      <c r="H500" s="951">
        <v>0</v>
      </c>
      <c r="I500" s="951">
        <v>0</v>
      </c>
      <c r="J500" s="947" t="s">
        <v>346</v>
      </c>
      <c r="K500" s="947">
        <v>217190</v>
      </c>
      <c r="M500" s="631"/>
      <c r="P500" s="950" t="str">
        <f>VLOOKUP(J500,'רשימת רשויות'!A:A,1,0)</f>
        <v>עכו</v>
      </c>
      <c r="Q500" s="956">
        <f>IFERROR(VLOOKUP(B500,[2]מעובד!$D:$K,8,0),0)</f>
        <v>120</v>
      </c>
      <c r="R500" s="956">
        <f>IFERROR(VLOOKUP(B500,[2]מעובד!$D:$L,9,0),0)</f>
        <v>50</v>
      </c>
    </row>
    <row r="501" spans="1:18" x14ac:dyDescent="0.2">
      <c r="A501" s="947" t="s">
        <v>382</v>
      </c>
      <c r="B501" s="947">
        <v>217224</v>
      </c>
      <c r="C501" s="947" t="s">
        <v>2189</v>
      </c>
      <c r="D501" s="947" t="s">
        <v>1927</v>
      </c>
      <c r="E501" s="951">
        <v>101</v>
      </c>
      <c r="F501" s="951">
        <v>92</v>
      </c>
      <c r="G501" s="947" t="s">
        <v>3252</v>
      </c>
      <c r="H501" s="951">
        <v>0</v>
      </c>
      <c r="I501" s="951">
        <v>0</v>
      </c>
      <c r="J501" s="947" t="s">
        <v>382</v>
      </c>
      <c r="K501" s="947">
        <v>217224</v>
      </c>
      <c r="M501" s="631"/>
      <c r="P501" s="950" t="str">
        <f>VLOOKUP(J501,'רשימת רשויות'!A:A,1,0)</f>
        <v>ראמה</v>
      </c>
      <c r="Q501" s="956">
        <f>IFERROR(VLOOKUP(B501,[2]מעובד!$D:$K,8,0),0)</f>
        <v>0</v>
      </c>
      <c r="R501" s="956">
        <f>IFERROR(VLOOKUP(B501,[2]מעובד!$D:$L,9,0),0)</f>
        <v>0</v>
      </c>
    </row>
    <row r="502" spans="1:18" x14ac:dyDescent="0.2">
      <c r="A502" s="947" t="s">
        <v>407</v>
      </c>
      <c r="B502" s="947">
        <v>217232</v>
      </c>
      <c r="C502" s="947" t="s">
        <v>2189</v>
      </c>
      <c r="D502" s="947" t="s">
        <v>1928</v>
      </c>
      <c r="E502" s="951">
        <v>138</v>
      </c>
      <c r="F502" s="951">
        <v>137</v>
      </c>
      <c r="G502" s="947" t="s">
        <v>3252</v>
      </c>
      <c r="H502" s="951">
        <v>0</v>
      </c>
      <c r="I502" s="951">
        <v>0</v>
      </c>
      <c r="J502" s="947" t="s">
        <v>407</v>
      </c>
      <c r="K502" s="947">
        <v>217232</v>
      </c>
      <c r="M502" s="631"/>
      <c r="P502" s="950" t="str">
        <f>VLOOKUP(J502,'רשימת רשויות'!A:A,1,0)</f>
        <v>שפרעם</v>
      </c>
      <c r="Q502" s="956">
        <f>IFERROR(VLOOKUP(B502,[2]מעובד!$D:$K,8,0),0)</f>
        <v>0</v>
      </c>
      <c r="R502" s="956">
        <f>IFERROR(VLOOKUP(B502,[2]מעובד!$D:$L,9,0),0)</f>
        <v>0</v>
      </c>
    </row>
    <row r="503" spans="1:18" x14ac:dyDescent="0.2">
      <c r="A503" s="947" t="s">
        <v>407</v>
      </c>
      <c r="B503" s="947">
        <v>217257</v>
      </c>
      <c r="C503" s="947" t="s">
        <v>2189</v>
      </c>
      <c r="D503" s="947" t="s">
        <v>1929</v>
      </c>
      <c r="E503" s="951">
        <v>288</v>
      </c>
      <c r="F503" s="951">
        <v>288</v>
      </c>
      <c r="G503" s="947" t="s">
        <v>3252</v>
      </c>
      <c r="H503" s="951">
        <v>0</v>
      </c>
      <c r="I503" s="951">
        <v>0</v>
      </c>
      <c r="J503" s="947" t="s">
        <v>407</v>
      </c>
      <c r="K503" s="947">
        <v>217257</v>
      </c>
      <c r="M503" s="631"/>
      <c r="P503" s="950" t="str">
        <f>VLOOKUP(J503,'רשימת רשויות'!A:A,1,0)</f>
        <v>שפרעם</v>
      </c>
      <c r="Q503" s="956">
        <f>IFERROR(VLOOKUP(B503,[2]מעובד!$D:$K,8,0),0)</f>
        <v>0</v>
      </c>
      <c r="R503" s="956">
        <f>IFERROR(VLOOKUP(B503,[2]מעובד!$D:$L,9,0),0)</f>
        <v>0</v>
      </c>
    </row>
    <row r="504" spans="1:18" x14ac:dyDescent="0.2">
      <c r="A504" s="947" t="s">
        <v>333</v>
      </c>
      <c r="B504" s="947">
        <v>217265</v>
      </c>
      <c r="C504" s="947" t="s">
        <v>2189</v>
      </c>
      <c r="D504" s="947" t="s">
        <v>2964</v>
      </c>
      <c r="E504" s="951">
        <v>212</v>
      </c>
      <c r="F504" s="951">
        <v>212</v>
      </c>
      <c r="G504" s="947" t="s">
        <v>3252</v>
      </c>
      <c r="H504" s="951">
        <v>0</v>
      </c>
      <c r="I504" s="951">
        <v>0</v>
      </c>
      <c r="J504" s="947" t="s">
        <v>333</v>
      </c>
      <c r="K504" s="947">
        <v>217265</v>
      </c>
      <c r="M504" s="631"/>
      <c r="P504" s="950" t="str">
        <f>VLOOKUP(J504,'רשימת רשויות'!A:A,1,0)</f>
        <v>נצרת</v>
      </c>
      <c r="Q504" s="956">
        <f>IFERROR(VLOOKUP(B504,[2]מעובד!$D:$K,8,0),0)</f>
        <v>0</v>
      </c>
      <c r="R504" s="956">
        <f>IFERROR(VLOOKUP(B504,[2]מעובד!$D:$L,9,0),0)</f>
        <v>0</v>
      </c>
    </row>
    <row r="505" spans="1:18" x14ac:dyDescent="0.2">
      <c r="A505" s="947" t="s">
        <v>326</v>
      </c>
      <c r="B505" s="947">
        <v>217273</v>
      </c>
      <c r="C505" s="947" t="s">
        <v>2189</v>
      </c>
      <c r="D505" s="947" t="s">
        <v>1930</v>
      </c>
      <c r="E505" s="951">
        <v>162</v>
      </c>
      <c r="F505" s="951">
        <v>90</v>
      </c>
      <c r="G505" s="947" t="s">
        <v>159</v>
      </c>
      <c r="H505" s="951">
        <v>0</v>
      </c>
      <c r="I505" s="951">
        <v>0</v>
      </c>
      <c r="J505" s="947" t="s">
        <v>326</v>
      </c>
      <c r="K505" s="947">
        <v>217273</v>
      </c>
      <c r="M505" s="631"/>
      <c r="P505" s="950" t="str">
        <f>VLOOKUP(J505,'רשימת רשויות'!A:A,1,0)</f>
        <v>משהד</v>
      </c>
      <c r="Q505" s="956">
        <f>IFERROR(VLOOKUP(B505,[2]מעובד!$D:$K,8,0),0)</f>
        <v>177</v>
      </c>
      <c r="R505" s="956">
        <f>IFERROR(VLOOKUP(B505,[2]מעובד!$D:$L,9,0),0)</f>
        <v>100</v>
      </c>
    </row>
    <row r="506" spans="1:18" x14ac:dyDescent="0.2">
      <c r="A506" s="947" t="s">
        <v>333</v>
      </c>
      <c r="B506" s="947">
        <v>217281</v>
      </c>
      <c r="C506" s="947" t="s">
        <v>2189</v>
      </c>
      <c r="D506" s="947" t="s">
        <v>2386</v>
      </c>
      <c r="E506" s="951">
        <v>205</v>
      </c>
      <c r="F506" s="951">
        <v>205</v>
      </c>
      <c r="G506" s="947" t="s">
        <v>3252</v>
      </c>
      <c r="H506" s="951">
        <v>0</v>
      </c>
      <c r="I506" s="951">
        <v>0</v>
      </c>
      <c r="J506" s="947" t="s">
        <v>333</v>
      </c>
      <c r="K506" s="957" t="s">
        <v>3268</v>
      </c>
      <c r="M506" s="631"/>
      <c r="P506" s="950" t="str">
        <f>VLOOKUP(J506,'רשימת רשויות'!A:A,1,0)</f>
        <v>נצרת</v>
      </c>
      <c r="Q506" s="956">
        <f>IFERROR(VLOOKUP(B506,[2]מעובד!$D:$K,8,0),0)</f>
        <v>0</v>
      </c>
      <c r="R506" s="956">
        <f>IFERROR(VLOOKUP(B506,[2]מעובד!$D:$L,9,0),0)</f>
        <v>0</v>
      </c>
    </row>
    <row r="507" spans="1:18" x14ac:dyDescent="0.2">
      <c r="A507" s="947" t="s">
        <v>161</v>
      </c>
      <c r="B507" s="947">
        <v>217299</v>
      </c>
      <c r="C507" s="947" t="s">
        <v>2189</v>
      </c>
      <c r="D507" s="947" t="s">
        <v>1936</v>
      </c>
      <c r="E507" s="951">
        <v>215</v>
      </c>
      <c r="F507" s="951">
        <v>192</v>
      </c>
      <c r="G507" s="947" t="s">
        <v>159</v>
      </c>
      <c r="H507" s="951">
        <v>0</v>
      </c>
      <c r="I507" s="951">
        <v>0</v>
      </c>
      <c r="J507" s="947" t="s">
        <v>161</v>
      </c>
      <c r="K507" s="947">
        <v>217299</v>
      </c>
      <c r="M507" s="631"/>
      <c r="P507" s="950" t="str">
        <f>VLOOKUP(J507,'רשימת רשויות'!A:A,1,0)</f>
        <v>אבו סנאן</v>
      </c>
      <c r="Q507" s="956">
        <f>IFERROR(VLOOKUP(B507,[2]מעובד!$D:$K,8,0),0)</f>
        <v>186</v>
      </c>
      <c r="R507" s="956">
        <f>IFERROR(VLOOKUP(B507,[2]מעובד!$D:$L,9,0),0)</f>
        <v>80</v>
      </c>
    </row>
    <row r="508" spans="1:18" x14ac:dyDescent="0.2">
      <c r="A508" s="947" t="s">
        <v>339</v>
      </c>
      <c r="B508" s="947">
        <v>217315</v>
      </c>
      <c r="C508" s="947" t="s">
        <v>2189</v>
      </c>
      <c r="D508" s="947" t="s">
        <v>1937</v>
      </c>
      <c r="E508" s="951">
        <v>185</v>
      </c>
      <c r="F508" s="951">
        <v>166</v>
      </c>
      <c r="G508" s="947" t="s">
        <v>159</v>
      </c>
      <c r="H508" s="951">
        <v>0</v>
      </c>
      <c r="I508" s="951">
        <v>0</v>
      </c>
      <c r="J508" s="947" t="s">
        <v>339</v>
      </c>
      <c r="K508" s="947">
        <v>217315</v>
      </c>
      <c r="M508" s="631"/>
      <c r="P508" s="950" t="str">
        <f>VLOOKUP(J508,'רשימת רשויות'!A:A,1,0)</f>
        <v>סח'נין</v>
      </c>
      <c r="Q508" s="956">
        <f>IFERROR(VLOOKUP(B508,[2]מעובד!$D:$K,8,0),0)</f>
        <v>0</v>
      </c>
      <c r="R508" s="956">
        <f>IFERROR(VLOOKUP(B508,[2]מעובד!$D:$L,9,0),0)</f>
        <v>0</v>
      </c>
    </row>
    <row r="509" spans="1:18" x14ac:dyDescent="0.2">
      <c r="A509" s="947" t="s">
        <v>193</v>
      </c>
      <c r="B509" s="947">
        <v>217331</v>
      </c>
      <c r="C509" s="947" t="s">
        <v>2189</v>
      </c>
      <c r="D509" s="947" t="s">
        <v>1938</v>
      </c>
      <c r="E509" s="951">
        <v>198</v>
      </c>
      <c r="F509" s="951">
        <v>135</v>
      </c>
      <c r="G509" s="947" t="s">
        <v>159</v>
      </c>
      <c r="H509" s="951">
        <v>0</v>
      </c>
      <c r="I509" s="951">
        <v>0</v>
      </c>
      <c r="J509" s="947" t="s">
        <v>193</v>
      </c>
      <c r="K509" s="947">
        <v>217331</v>
      </c>
      <c r="M509" s="631"/>
      <c r="P509" s="950" t="str">
        <f>VLOOKUP(J509,'רשימת רשויות'!A:A,1,0)</f>
        <v>בית ג'ן</v>
      </c>
      <c r="Q509" s="956">
        <f>IFERROR(VLOOKUP(B509,[2]מעובד!$D:$K,8,0),0)</f>
        <v>193</v>
      </c>
      <c r="R509" s="956">
        <f>IFERROR(VLOOKUP(B509,[2]מעובד!$D:$L,9,0),0)</f>
        <v>43</v>
      </c>
    </row>
    <row r="510" spans="1:18" x14ac:dyDescent="0.2">
      <c r="A510" s="947" t="s">
        <v>407</v>
      </c>
      <c r="B510" s="947">
        <v>217349</v>
      </c>
      <c r="C510" s="947" t="s">
        <v>2189</v>
      </c>
      <c r="D510" s="947" t="s">
        <v>1939</v>
      </c>
      <c r="E510" s="951">
        <v>167</v>
      </c>
      <c r="F510" s="951">
        <v>156</v>
      </c>
      <c r="G510" s="947" t="s">
        <v>159</v>
      </c>
      <c r="H510" s="951">
        <v>62</v>
      </c>
      <c r="I510" s="951">
        <v>11</v>
      </c>
      <c r="J510" s="947" t="s">
        <v>407</v>
      </c>
      <c r="K510" s="947">
        <v>217349</v>
      </c>
      <c r="M510" s="631"/>
      <c r="P510" s="950" t="str">
        <f>VLOOKUP(J510,'רשימת רשויות'!A:A,1,0)</f>
        <v>שפרעם</v>
      </c>
      <c r="Q510" s="956">
        <f>IFERROR(VLOOKUP(B510,[2]מעובד!$D:$K,8,0),0)</f>
        <v>0</v>
      </c>
      <c r="R510" s="956">
        <f>IFERROR(VLOOKUP(B510,[2]מעובד!$D:$L,9,0),0)</f>
        <v>0</v>
      </c>
    </row>
    <row r="511" spans="1:18" x14ac:dyDescent="0.2">
      <c r="A511" s="947" t="s">
        <v>223</v>
      </c>
      <c r="B511" s="947">
        <v>217356</v>
      </c>
      <c r="C511" s="947" t="s">
        <v>2189</v>
      </c>
      <c r="D511" s="947" t="s">
        <v>1940</v>
      </c>
      <c r="E511" s="951">
        <v>145</v>
      </c>
      <c r="F511" s="951">
        <v>128</v>
      </c>
      <c r="G511" s="947" t="s">
        <v>159</v>
      </c>
      <c r="H511" s="951">
        <v>63</v>
      </c>
      <c r="I511" s="951">
        <v>9</v>
      </c>
      <c r="J511" s="947" t="s">
        <v>223</v>
      </c>
      <c r="K511" s="947">
        <v>217356</v>
      </c>
      <c r="M511" s="631"/>
      <c r="P511" s="950" t="str">
        <f>VLOOKUP(J511,'רשימת רשויות'!A:A,1,0)</f>
        <v>דבוריה</v>
      </c>
      <c r="Q511" s="956">
        <f>IFERROR(VLOOKUP(B511,[2]מעובד!$D:$K,8,0),0)</f>
        <v>133</v>
      </c>
      <c r="R511" s="956">
        <f>IFERROR(VLOOKUP(B511,[2]מעובד!$D:$L,9,0),0)</f>
        <v>88</v>
      </c>
    </row>
    <row r="512" spans="1:18" x14ac:dyDescent="0.2">
      <c r="A512" s="947" t="s">
        <v>272</v>
      </c>
      <c r="B512" s="947">
        <v>217364</v>
      </c>
      <c r="C512" s="947" t="s">
        <v>2189</v>
      </c>
      <c r="D512" s="947" t="s">
        <v>1941</v>
      </c>
      <c r="E512" s="951">
        <v>161</v>
      </c>
      <c r="F512" s="951">
        <v>151</v>
      </c>
      <c r="G512" s="947" t="s">
        <v>159</v>
      </c>
      <c r="H512" s="951">
        <v>60</v>
      </c>
      <c r="I512" s="951">
        <v>9</v>
      </c>
      <c r="J512" s="947" t="s">
        <v>272</v>
      </c>
      <c r="K512" s="947">
        <v>217364</v>
      </c>
      <c r="M512" s="631"/>
      <c r="P512" s="950" t="str">
        <f>VLOOKUP(J512,'רשימת רשויות'!A:A,1,0)</f>
        <v>כאבול</v>
      </c>
      <c r="Q512" s="956">
        <f>IFERROR(VLOOKUP(B512,[2]מעובד!$D:$K,8,0),0)</f>
        <v>0</v>
      </c>
      <c r="R512" s="956">
        <f>IFERROR(VLOOKUP(B512,[2]מעובד!$D:$L,9,0),0)</f>
        <v>0</v>
      </c>
    </row>
    <row r="513" spans="1:18" x14ac:dyDescent="0.2">
      <c r="A513" s="947" t="s">
        <v>2778</v>
      </c>
      <c r="B513" s="947">
        <v>217372</v>
      </c>
      <c r="C513" s="947" t="s">
        <v>2189</v>
      </c>
      <c r="D513" s="947" t="s">
        <v>1967</v>
      </c>
      <c r="E513" s="951">
        <v>224</v>
      </c>
      <c r="F513" s="951">
        <v>180</v>
      </c>
      <c r="G513" s="947" t="s">
        <v>159</v>
      </c>
      <c r="H513" s="951">
        <v>0</v>
      </c>
      <c r="I513" s="951">
        <v>0</v>
      </c>
      <c r="J513" s="947" t="s">
        <v>2778</v>
      </c>
      <c r="K513" s="947">
        <v>217372</v>
      </c>
      <c r="M513" s="631"/>
      <c r="P513" s="950" t="str">
        <f>VLOOKUP(J513,'רשימת רשויות'!A:A,1,0)</f>
        <v>בועיינה נוג'ידאת</v>
      </c>
      <c r="Q513" s="956">
        <f>IFERROR(VLOOKUP(B513,[2]מעובד!$D:$K,8,0),0)</f>
        <v>248</v>
      </c>
      <c r="R513" s="956">
        <f>IFERROR(VLOOKUP(B513,[2]מעובד!$D:$L,9,0),0)</f>
        <v>180</v>
      </c>
    </row>
    <row r="514" spans="1:18" x14ac:dyDescent="0.2">
      <c r="A514" s="947" t="s">
        <v>256</v>
      </c>
      <c r="B514" s="947">
        <v>217380</v>
      </c>
      <c r="C514" s="947" t="s">
        <v>2189</v>
      </c>
      <c r="D514" s="947" t="s">
        <v>1968</v>
      </c>
      <c r="E514" s="951">
        <v>346</v>
      </c>
      <c r="F514" s="951">
        <v>345</v>
      </c>
      <c r="G514" s="947" t="s">
        <v>159</v>
      </c>
      <c r="H514" s="951">
        <v>0</v>
      </c>
      <c r="I514" s="951">
        <v>0</v>
      </c>
      <c r="J514" s="947" t="s">
        <v>256</v>
      </c>
      <c r="K514" s="947">
        <v>217380</v>
      </c>
      <c r="M514" s="631"/>
      <c r="P514" s="950" t="str">
        <f>VLOOKUP(J514,'רשימת רשויות'!A:A,1,0)</f>
        <v>טורעאן</v>
      </c>
      <c r="Q514" s="956">
        <f>IFERROR(VLOOKUP(B514,[2]מעובד!$D:$K,8,0),0)</f>
        <v>345</v>
      </c>
      <c r="R514" s="956">
        <f>IFERROR(VLOOKUP(B514,[2]מעובד!$D:$L,9,0),0)</f>
        <v>90</v>
      </c>
    </row>
    <row r="515" spans="1:18" x14ac:dyDescent="0.2">
      <c r="A515" s="947" t="s">
        <v>267</v>
      </c>
      <c r="B515" s="947">
        <v>217398</v>
      </c>
      <c r="C515" s="947" t="s">
        <v>2189</v>
      </c>
      <c r="D515" s="947" t="s">
        <v>1969</v>
      </c>
      <c r="E515" s="951">
        <v>169</v>
      </c>
      <c r="F515" s="951">
        <v>159</v>
      </c>
      <c r="G515" s="947" t="s">
        <v>159</v>
      </c>
      <c r="H515" s="951">
        <v>62</v>
      </c>
      <c r="I515" s="951">
        <v>10</v>
      </c>
      <c r="J515" s="947" t="s">
        <v>267</v>
      </c>
      <c r="K515" s="947">
        <v>217398</v>
      </c>
      <c r="M515" s="631"/>
      <c r="P515" s="950" t="str">
        <f>VLOOKUP(J515,'רשימת רשויות'!A:A,1,0)</f>
        <v>יפיע</v>
      </c>
      <c r="Q515" s="956">
        <f>IFERROR(VLOOKUP(B515,[2]מעובד!$D:$K,8,0),0)</f>
        <v>143</v>
      </c>
      <c r="R515" s="956">
        <f>IFERROR(VLOOKUP(B515,[2]מעובד!$D:$L,9,0),0)</f>
        <v>105</v>
      </c>
    </row>
    <row r="516" spans="1:18" x14ac:dyDescent="0.2">
      <c r="A516" s="947" t="s">
        <v>344</v>
      </c>
      <c r="B516" s="947">
        <v>217406</v>
      </c>
      <c r="C516" s="947" t="s">
        <v>2189</v>
      </c>
      <c r="D516" s="947" t="s">
        <v>1970</v>
      </c>
      <c r="E516" s="951">
        <v>327</v>
      </c>
      <c r="F516" s="951">
        <v>327</v>
      </c>
      <c r="G516" s="947" t="s">
        <v>159</v>
      </c>
      <c r="H516" s="951">
        <v>0</v>
      </c>
      <c r="I516" s="951">
        <v>0</v>
      </c>
      <c r="J516" s="947" t="s">
        <v>344</v>
      </c>
      <c r="K516" s="947">
        <v>217406</v>
      </c>
      <c r="M516" s="631"/>
      <c r="P516" s="950" t="str">
        <f>VLOOKUP(J516,'רשימת רשויות'!A:A,1,0)</f>
        <v>עין מאה'ל</v>
      </c>
      <c r="Q516" s="956">
        <f>IFERROR(VLOOKUP(B516,[2]מעובד!$D:$K,8,0),0)</f>
        <v>0</v>
      </c>
      <c r="R516" s="956">
        <f>IFERROR(VLOOKUP(B516,[2]מעובד!$D:$L,9,0),0)</f>
        <v>0</v>
      </c>
    </row>
    <row r="517" spans="1:18" x14ac:dyDescent="0.2">
      <c r="A517" s="947" t="s">
        <v>339</v>
      </c>
      <c r="B517" s="947">
        <v>217422</v>
      </c>
      <c r="C517" s="947" t="s">
        <v>2189</v>
      </c>
      <c r="D517" s="947" t="s">
        <v>1977</v>
      </c>
      <c r="E517" s="951">
        <v>309</v>
      </c>
      <c r="F517" s="951">
        <v>255</v>
      </c>
      <c r="G517" s="947" t="s">
        <v>159</v>
      </c>
      <c r="H517" s="951">
        <v>103</v>
      </c>
      <c r="I517" s="951">
        <v>9</v>
      </c>
      <c r="J517" s="947" t="s">
        <v>339</v>
      </c>
      <c r="K517" s="947">
        <v>217422</v>
      </c>
      <c r="M517" s="631"/>
      <c r="P517" s="950" t="str">
        <f>VLOOKUP(J517,'רשימת רשויות'!A:A,1,0)</f>
        <v>סח'נין</v>
      </c>
      <c r="Q517" s="956">
        <f>IFERROR(VLOOKUP(B517,[2]מעובד!$D:$K,8,0),0)</f>
        <v>0</v>
      </c>
      <c r="R517" s="956">
        <f>IFERROR(VLOOKUP(B517,[2]מעובד!$D:$L,9,0),0)</f>
        <v>0</v>
      </c>
    </row>
    <row r="518" spans="1:18" x14ac:dyDescent="0.2">
      <c r="A518" s="947" t="s">
        <v>255</v>
      </c>
      <c r="B518" s="947">
        <v>217430</v>
      </c>
      <c r="C518" s="947" t="s">
        <v>2189</v>
      </c>
      <c r="D518" s="947" t="s">
        <v>1978</v>
      </c>
      <c r="E518" s="951">
        <v>138</v>
      </c>
      <c r="F518" s="951">
        <v>136</v>
      </c>
      <c r="G518" s="947" t="s">
        <v>159</v>
      </c>
      <c r="H518" s="951">
        <v>0</v>
      </c>
      <c r="I518" s="951">
        <v>0</v>
      </c>
      <c r="J518" s="947" t="s">
        <v>255</v>
      </c>
      <c r="K518" s="947">
        <v>217430</v>
      </c>
      <c r="M518" s="631"/>
      <c r="P518" s="950" t="str">
        <f>VLOOKUP(J518,'רשימת רשויות'!A:A,1,0)</f>
        <v>טובא-זנגריה</v>
      </c>
      <c r="Q518" s="956">
        <f>IFERROR(VLOOKUP(B518,[2]מעובד!$D:$K,8,0),0)</f>
        <v>125</v>
      </c>
      <c r="R518" s="956">
        <f>IFERROR(VLOOKUP(B518,[2]מעובד!$D:$L,9,0),0)</f>
        <v>125</v>
      </c>
    </row>
    <row r="519" spans="1:18" x14ac:dyDescent="0.2">
      <c r="A519" s="947" t="s">
        <v>271</v>
      </c>
      <c r="B519" s="947">
        <v>217448</v>
      </c>
      <c r="C519" s="947" t="s">
        <v>2189</v>
      </c>
      <c r="D519" s="947" t="s">
        <v>1979</v>
      </c>
      <c r="E519" s="951">
        <v>132</v>
      </c>
      <c r="F519" s="951">
        <v>132</v>
      </c>
      <c r="G519" s="947" t="s">
        <v>159</v>
      </c>
      <c r="H519" s="951">
        <v>0</v>
      </c>
      <c r="I519" s="951">
        <v>0</v>
      </c>
      <c r="J519" s="947" t="s">
        <v>271</v>
      </c>
      <c r="K519" s="947">
        <v>217448</v>
      </c>
      <c r="M519" s="631"/>
      <c r="P519" s="950" t="str">
        <f>VLOOKUP(J519,'רשימת רשויות'!A:A,1,0)</f>
        <v>ירכא</v>
      </c>
      <c r="Q519" s="956">
        <f>IFERROR(VLOOKUP(B519,[2]מעובד!$D:$K,8,0),0)</f>
        <v>155</v>
      </c>
      <c r="R519" s="956">
        <f>IFERROR(VLOOKUP(B519,[2]מעובד!$D:$L,9,0),0)</f>
        <v>54</v>
      </c>
    </row>
    <row r="520" spans="1:18" x14ac:dyDescent="0.2">
      <c r="A520" s="947" t="s">
        <v>282</v>
      </c>
      <c r="B520" s="947">
        <v>217463</v>
      </c>
      <c r="C520" s="947" t="s">
        <v>2189</v>
      </c>
      <c r="D520" s="947" t="s">
        <v>1477</v>
      </c>
      <c r="E520" s="951">
        <v>232</v>
      </c>
      <c r="F520" s="951">
        <v>232</v>
      </c>
      <c r="G520" s="947" t="s">
        <v>159</v>
      </c>
      <c r="H520" s="951">
        <v>0</v>
      </c>
      <c r="I520" s="951">
        <v>0</v>
      </c>
      <c r="J520" s="947" t="s">
        <v>282</v>
      </c>
      <c r="K520" s="947">
        <v>217463</v>
      </c>
      <c r="M520" s="631"/>
      <c r="P520" s="950" t="str">
        <f>VLOOKUP(J520,'רשימת רשויות'!A:A,1,0)</f>
        <v>כפר כנא</v>
      </c>
      <c r="Q520" s="956">
        <f>IFERROR(VLOOKUP(B520,[2]מעובד!$D:$K,8,0),0)</f>
        <v>239</v>
      </c>
      <c r="R520" s="956">
        <f>IFERROR(VLOOKUP(B520,[2]מעובד!$D:$L,9,0),0)</f>
        <v>110</v>
      </c>
    </row>
    <row r="521" spans="1:18" x14ac:dyDescent="0.2">
      <c r="A521" s="947" t="s">
        <v>265</v>
      </c>
      <c r="B521" s="947">
        <v>217471</v>
      </c>
      <c r="C521" s="947" t="s">
        <v>2189</v>
      </c>
      <c r="D521" s="947" t="s">
        <v>1980</v>
      </c>
      <c r="E521" s="951">
        <v>137</v>
      </c>
      <c r="F521" s="951">
        <v>136</v>
      </c>
      <c r="G521" s="947" t="s">
        <v>159</v>
      </c>
      <c r="H521" s="951">
        <v>0</v>
      </c>
      <c r="I521" s="951">
        <v>0</v>
      </c>
      <c r="J521" s="947" t="s">
        <v>265</v>
      </c>
      <c r="K521" s="947">
        <v>217471</v>
      </c>
      <c r="M521" s="631"/>
      <c r="P521" s="950" t="str">
        <f>VLOOKUP(J521,'רשימת רשויות'!A:A,1,0)</f>
        <v>ינוח-ג'ת</v>
      </c>
      <c r="Q521" s="956">
        <f>IFERROR(VLOOKUP(B521,[2]מעובד!$D:$K,8,0),0)</f>
        <v>0</v>
      </c>
      <c r="R521" s="956">
        <f>IFERROR(VLOOKUP(B521,[2]מעובד!$D:$L,9,0),0)</f>
        <v>0</v>
      </c>
    </row>
    <row r="522" spans="1:18" x14ac:dyDescent="0.2">
      <c r="A522" s="947" t="s">
        <v>325</v>
      </c>
      <c r="B522" s="947">
        <v>217489</v>
      </c>
      <c r="C522" s="947" t="s">
        <v>2189</v>
      </c>
      <c r="D522" s="947" t="s">
        <v>1981</v>
      </c>
      <c r="E522" s="951">
        <v>128</v>
      </c>
      <c r="F522" s="951">
        <v>104</v>
      </c>
      <c r="G522" s="947" t="s">
        <v>159</v>
      </c>
      <c r="H522" s="951">
        <v>0</v>
      </c>
      <c r="I522" s="951">
        <v>0</v>
      </c>
      <c r="J522" s="947" t="s">
        <v>325</v>
      </c>
      <c r="K522" s="947">
        <v>217489</v>
      </c>
      <c r="M522" s="631"/>
      <c r="P522" s="950" t="str">
        <f>VLOOKUP(J522,'רשימת רשויות'!A:A,1,0)</f>
        <v>משגב</v>
      </c>
      <c r="Q522" s="956">
        <f>IFERROR(VLOOKUP(B522,[2]מעובד!$D:$K,8,0),0)</f>
        <v>0</v>
      </c>
      <c r="R522" s="956">
        <f>IFERROR(VLOOKUP(B522,[2]מעובד!$D:$L,9,0),0)</f>
        <v>0</v>
      </c>
    </row>
    <row r="523" spans="1:18" x14ac:dyDescent="0.2">
      <c r="A523" s="947" t="s">
        <v>170</v>
      </c>
      <c r="B523" s="947">
        <v>217505</v>
      </c>
      <c r="C523" s="947" t="s">
        <v>2189</v>
      </c>
      <c r="D523" s="947" t="s">
        <v>1982</v>
      </c>
      <c r="E523" s="951">
        <v>279</v>
      </c>
      <c r="F523" s="951">
        <v>279</v>
      </c>
      <c r="G523" s="947" t="s">
        <v>159</v>
      </c>
      <c r="H523" s="951">
        <v>0</v>
      </c>
      <c r="I523" s="951">
        <v>0</v>
      </c>
      <c r="J523" s="947" t="s">
        <v>170</v>
      </c>
      <c r="K523" s="947">
        <v>217505</v>
      </c>
      <c r="M523" s="631"/>
      <c r="P523" s="950" t="str">
        <f>VLOOKUP(J523,'רשימת רשויות'!A:A,1,0)</f>
        <v>אכסאל</v>
      </c>
      <c r="Q523" s="956">
        <f>IFERROR(VLOOKUP(B523,[2]מעובד!$D:$K,8,0),0)</f>
        <v>229</v>
      </c>
      <c r="R523" s="956">
        <f>IFERROR(VLOOKUP(B523,[2]מעובד!$D:$L,9,0),0)</f>
        <v>78</v>
      </c>
    </row>
    <row r="524" spans="1:18" x14ac:dyDescent="0.2">
      <c r="A524" s="947" t="s">
        <v>260</v>
      </c>
      <c r="B524" s="947">
        <v>217513</v>
      </c>
      <c r="C524" s="947" t="s">
        <v>2189</v>
      </c>
      <c r="D524" s="947" t="s">
        <v>1989</v>
      </c>
      <c r="E524" s="951">
        <v>217</v>
      </c>
      <c r="F524" s="951">
        <v>196</v>
      </c>
      <c r="G524" s="947" t="s">
        <v>159</v>
      </c>
      <c r="H524" s="951">
        <v>0</v>
      </c>
      <c r="I524" s="951">
        <v>0</v>
      </c>
      <c r="J524" s="947" t="s">
        <v>260</v>
      </c>
      <c r="K524" s="947">
        <v>217513</v>
      </c>
      <c r="M524" s="631"/>
      <c r="P524" s="950" t="str">
        <f>VLOOKUP(J524,'רשימת רשויות'!A:A,1,0)</f>
        <v>טמרה</v>
      </c>
      <c r="Q524" s="956">
        <f>IFERROR(VLOOKUP(B524,[2]מעובד!$D:$K,8,0),0)</f>
        <v>0</v>
      </c>
      <c r="R524" s="956">
        <f>IFERROR(VLOOKUP(B524,[2]מעובד!$D:$L,9,0),0)</f>
        <v>0</v>
      </c>
    </row>
    <row r="525" spans="1:18" x14ac:dyDescent="0.2">
      <c r="A525" s="947" t="s">
        <v>339</v>
      </c>
      <c r="B525" s="947">
        <v>217521</v>
      </c>
      <c r="C525" s="947" t="s">
        <v>2189</v>
      </c>
      <c r="D525" s="947" t="s">
        <v>1990</v>
      </c>
      <c r="E525" s="951">
        <v>257</v>
      </c>
      <c r="F525" s="951">
        <v>206</v>
      </c>
      <c r="G525" s="947" t="s">
        <v>159</v>
      </c>
      <c r="H525" s="951">
        <v>0</v>
      </c>
      <c r="I525" s="951">
        <v>0</v>
      </c>
      <c r="J525" s="947" t="s">
        <v>339</v>
      </c>
      <c r="K525" s="947">
        <v>217521</v>
      </c>
      <c r="M525" s="631"/>
      <c r="P525" s="950" t="str">
        <f>VLOOKUP(J525,'רשימת רשויות'!A:A,1,0)</f>
        <v>סח'נין</v>
      </c>
      <c r="Q525" s="956">
        <f>IFERROR(VLOOKUP(B525,[2]מעובד!$D:$K,8,0),0)</f>
        <v>0</v>
      </c>
      <c r="R525" s="956">
        <f>IFERROR(VLOOKUP(B525,[2]מעובד!$D:$L,9,0),0)</f>
        <v>0</v>
      </c>
    </row>
    <row r="526" spans="1:18" x14ac:dyDescent="0.2">
      <c r="A526" s="947" t="s">
        <v>283</v>
      </c>
      <c r="B526" s="947">
        <v>217547</v>
      </c>
      <c r="C526" s="947" t="s">
        <v>2189</v>
      </c>
      <c r="D526" s="947" t="s">
        <v>1880</v>
      </c>
      <c r="E526" s="951">
        <v>259</v>
      </c>
      <c r="F526" s="951">
        <v>212</v>
      </c>
      <c r="G526" s="947" t="s">
        <v>159</v>
      </c>
      <c r="H526" s="951">
        <v>108</v>
      </c>
      <c r="I526" s="951">
        <v>9</v>
      </c>
      <c r="J526" s="947" t="s">
        <v>283</v>
      </c>
      <c r="K526" s="947">
        <v>217547</v>
      </c>
      <c r="M526" s="631"/>
      <c r="P526" s="950" t="str">
        <f>VLOOKUP(J526,'רשימת רשויות'!A:A,1,0)</f>
        <v>כפר מנדא</v>
      </c>
      <c r="Q526" s="956">
        <f>IFERROR(VLOOKUP(B526,[2]מעובד!$D:$K,8,0),0)</f>
        <v>0</v>
      </c>
      <c r="R526" s="956">
        <f>IFERROR(VLOOKUP(B526,[2]מעובד!$D:$L,9,0),0)</f>
        <v>0</v>
      </c>
    </row>
    <row r="527" spans="1:18" x14ac:dyDescent="0.2">
      <c r="A527" s="947" t="s">
        <v>280</v>
      </c>
      <c r="B527" s="947">
        <v>217554</v>
      </c>
      <c r="C527" s="947" t="s">
        <v>2189</v>
      </c>
      <c r="D527" s="947" t="s">
        <v>1881</v>
      </c>
      <c r="E527" s="951">
        <v>117</v>
      </c>
      <c r="F527" s="951">
        <v>88</v>
      </c>
      <c r="G527" s="947" t="s">
        <v>3252</v>
      </c>
      <c r="H527" s="951">
        <v>0</v>
      </c>
      <c r="I527" s="951">
        <v>0</v>
      </c>
      <c r="J527" s="947" t="s">
        <v>280</v>
      </c>
      <c r="K527" s="947">
        <v>217554</v>
      </c>
      <c r="M527" s="631"/>
      <c r="P527" s="950" t="str">
        <f>VLOOKUP(J527,'רשימת רשויות'!A:A,1,0)</f>
        <v>כפר יאסיף</v>
      </c>
      <c r="Q527" s="956">
        <f>IFERROR(VLOOKUP(B527,[2]מעובד!$D:$K,8,0),0)</f>
        <v>0</v>
      </c>
      <c r="R527" s="956">
        <f>IFERROR(VLOOKUP(B527,[2]מעובד!$D:$L,9,0),0)</f>
        <v>0</v>
      </c>
    </row>
    <row r="528" spans="1:18" x14ac:dyDescent="0.2">
      <c r="A528" s="947" t="s">
        <v>189</v>
      </c>
      <c r="B528" s="947">
        <v>217810</v>
      </c>
      <c r="C528" s="947" t="s">
        <v>2189</v>
      </c>
      <c r="D528" s="947" t="s">
        <v>1707</v>
      </c>
      <c r="E528" s="951">
        <v>154</v>
      </c>
      <c r="F528" s="951">
        <v>60</v>
      </c>
      <c r="G528" s="947" t="s">
        <v>159</v>
      </c>
      <c r="H528" s="951">
        <v>46</v>
      </c>
      <c r="I528" s="951">
        <v>8</v>
      </c>
      <c r="J528" s="947" t="s">
        <v>189</v>
      </c>
      <c r="K528" s="947">
        <v>217810</v>
      </c>
      <c r="M528" s="631"/>
      <c r="P528" s="950" t="str">
        <f>VLOOKUP(J528,'רשימת רשויות'!A:A,1,0)</f>
        <v>בוקעאתה</v>
      </c>
      <c r="Q528" s="956">
        <f>IFERROR(VLOOKUP(B528,[2]מעובד!$D:$K,8,0),0)</f>
        <v>0</v>
      </c>
      <c r="R528" s="956">
        <f>IFERROR(VLOOKUP(B528,[2]מעובד!$D:$L,9,0),0)</f>
        <v>0</v>
      </c>
    </row>
    <row r="529" spans="1:18" x14ac:dyDescent="0.2">
      <c r="A529" s="947" t="s">
        <v>300</v>
      </c>
      <c r="B529" s="947">
        <v>217828</v>
      </c>
      <c r="C529" s="947" t="s">
        <v>2189</v>
      </c>
      <c r="D529" s="947" t="s">
        <v>1708</v>
      </c>
      <c r="E529" s="951">
        <v>138</v>
      </c>
      <c r="F529" s="951">
        <v>80</v>
      </c>
      <c r="G529" s="947" t="s">
        <v>159</v>
      </c>
      <c r="H529" s="951">
        <v>0</v>
      </c>
      <c r="I529" s="951">
        <v>0</v>
      </c>
      <c r="J529" s="947" t="s">
        <v>300</v>
      </c>
      <c r="K529" s="947">
        <v>217828</v>
      </c>
      <c r="M529" s="631"/>
      <c r="P529" s="950" t="str">
        <f>VLOOKUP(J529,'רשימת רשויות'!A:A,1,0)</f>
        <v>מג'דל שמס</v>
      </c>
      <c r="Q529" s="956">
        <f>IFERROR(VLOOKUP(B529,[2]מעובד!$D:$K,8,0),0)</f>
        <v>0</v>
      </c>
      <c r="R529" s="956">
        <f>IFERROR(VLOOKUP(B529,[2]מעובד!$D:$L,9,0),0)</f>
        <v>0</v>
      </c>
    </row>
    <row r="530" spans="1:18" x14ac:dyDescent="0.2">
      <c r="A530" s="947" t="s">
        <v>300</v>
      </c>
      <c r="B530" s="947">
        <v>217836</v>
      </c>
      <c r="C530" s="947" t="s">
        <v>2189</v>
      </c>
      <c r="D530" s="947" t="s">
        <v>1709</v>
      </c>
      <c r="E530" s="951">
        <v>240</v>
      </c>
      <c r="F530" s="951">
        <v>123</v>
      </c>
      <c r="G530" s="947" t="s">
        <v>159</v>
      </c>
      <c r="H530" s="951">
        <v>0</v>
      </c>
      <c r="I530" s="951">
        <v>0</v>
      </c>
      <c r="J530" s="947" t="s">
        <v>300</v>
      </c>
      <c r="K530" s="947">
        <v>217836</v>
      </c>
      <c r="M530" s="631"/>
      <c r="P530" s="950" t="str">
        <f>VLOOKUP(J530,'רשימת רשויות'!A:A,1,0)</f>
        <v>מג'דל שמס</v>
      </c>
      <c r="Q530" s="956">
        <f>IFERROR(VLOOKUP(B530,[2]מעובד!$D:$K,8,0),0)</f>
        <v>0</v>
      </c>
      <c r="R530" s="956">
        <f>IFERROR(VLOOKUP(B530,[2]מעובד!$D:$L,9,0),0)</f>
        <v>0</v>
      </c>
    </row>
    <row r="531" spans="1:18" x14ac:dyDescent="0.2">
      <c r="A531" s="947" t="s">
        <v>315</v>
      </c>
      <c r="B531" s="947">
        <v>217844</v>
      </c>
      <c r="C531" s="947" t="s">
        <v>2189</v>
      </c>
      <c r="D531" s="947" t="s">
        <v>1710</v>
      </c>
      <c r="E531" s="951">
        <v>190</v>
      </c>
      <c r="F531" s="951">
        <v>75</v>
      </c>
      <c r="G531" s="947" t="s">
        <v>159</v>
      </c>
      <c r="H531" s="951">
        <v>0</v>
      </c>
      <c r="I531" s="951">
        <v>0</v>
      </c>
      <c r="J531" s="947" t="s">
        <v>315</v>
      </c>
      <c r="K531" s="947">
        <v>217844</v>
      </c>
      <c r="M531" s="631"/>
      <c r="P531" s="950" t="str">
        <f>VLOOKUP(J531,'רשימת רשויות'!A:A,1,0)</f>
        <v>מסעדה</v>
      </c>
      <c r="Q531" s="956">
        <f>IFERROR(VLOOKUP(B531,[2]מעובד!$D:$K,8,0),0)</f>
        <v>0</v>
      </c>
      <c r="R531" s="956">
        <f>IFERROR(VLOOKUP(B531,[2]מעובד!$D:$L,9,0),0)</f>
        <v>0</v>
      </c>
    </row>
    <row r="532" spans="1:18" x14ac:dyDescent="0.2">
      <c r="A532" s="947" t="s">
        <v>340</v>
      </c>
      <c r="B532" s="947">
        <v>217851</v>
      </c>
      <c r="C532" s="947" t="s">
        <v>2189</v>
      </c>
      <c r="D532" s="947" t="s">
        <v>1711</v>
      </c>
      <c r="E532" s="951">
        <v>146</v>
      </c>
      <c r="F532" s="951">
        <v>146</v>
      </c>
      <c r="G532" s="947" t="s">
        <v>159</v>
      </c>
      <c r="H532" s="951">
        <v>0</v>
      </c>
      <c r="I532" s="951">
        <v>0</v>
      </c>
      <c r="J532" s="947" t="s">
        <v>340</v>
      </c>
      <c r="K532" s="947">
        <v>217851</v>
      </c>
      <c r="M532" s="631"/>
      <c r="P532" s="950" t="str">
        <f>VLOOKUP(J532,'רשימת רשויות'!A:A,1,0)</f>
        <v>עג'ר</v>
      </c>
      <c r="Q532" s="956">
        <f>IFERROR(VLOOKUP(B532,[2]מעובד!$D:$K,8,0),0)</f>
        <v>165</v>
      </c>
      <c r="R532" s="956">
        <f>IFERROR(VLOOKUP(B532,[2]מעובד!$D:$L,9,0),0)</f>
        <v>146</v>
      </c>
    </row>
    <row r="533" spans="1:18" x14ac:dyDescent="0.2">
      <c r="A533" s="947" t="s">
        <v>345</v>
      </c>
      <c r="B533" s="947">
        <v>217869</v>
      </c>
      <c r="C533" s="947" t="s">
        <v>2189</v>
      </c>
      <c r="D533" s="947" t="s">
        <v>2667</v>
      </c>
      <c r="E533" s="951">
        <v>107</v>
      </c>
      <c r="F533" s="951">
        <v>90</v>
      </c>
      <c r="G533" s="947" t="s">
        <v>159</v>
      </c>
      <c r="H533" s="951">
        <v>0</v>
      </c>
      <c r="I533" s="951">
        <v>0</v>
      </c>
      <c r="J533" s="947" t="s">
        <v>345</v>
      </c>
      <c r="K533" s="947">
        <v>217869</v>
      </c>
      <c r="M533" s="631"/>
      <c r="P533" s="950" t="str">
        <f>VLOOKUP(J533,'רשימת רשויות'!A:A,1,0)</f>
        <v>עין קניה</v>
      </c>
      <c r="Q533" s="956">
        <f>IFERROR(VLOOKUP(B533,[2]מעובד!$D:$K,8,0),0)</f>
        <v>0</v>
      </c>
      <c r="R533" s="956">
        <f>IFERROR(VLOOKUP(B533,[2]מעובד!$D:$L,9,0),0)</f>
        <v>0</v>
      </c>
    </row>
    <row r="534" spans="1:18" x14ac:dyDescent="0.2">
      <c r="A534" s="947" t="s">
        <v>161</v>
      </c>
      <c r="B534" s="947">
        <v>218024</v>
      </c>
      <c r="C534" s="947" t="s">
        <v>2189</v>
      </c>
      <c r="D534" s="947" t="s">
        <v>2207</v>
      </c>
      <c r="E534" s="951">
        <v>344</v>
      </c>
      <c r="F534" s="951">
        <v>274</v>
      </c>
      <c r="G534" s="947" t="s">
        <v>159</v>
      </c>
      <c r="H534" s="951">
        <v>119</v>
      </c>
      <c r="I534" s="951">
        <v>8</v>
      </c>
      <c r="J534" s="947" t="s">
        <v>161</v>
      </c>
      <c r="K534" s="947">
        <v>218024</v>
      </c>
      <c r="M534" s="631"/>
      <c r="P534" s="950" t="str">
        <f>VLOOKUP(J534,'רשימת רשויות'!A:A,1,0)</f>
        <v>אבו סנאן</v>
      </c>
      <c r="Q534" s="956">
        <f>IFERROR(VLOOKUP(B534,[2]מעובד!$D:$K,8,0),0)</f>
        <v>300</v>
      </c>
      <c r="R534" s="956">
        <f>IFERROR(VLOOKUP(B534,[2]מעובד!$D:$L,9,0),0)</f>
        <v>120</v>
      </c>
    </row>
    <row r="535" spans="1:18" x14ac:dyDescent="0.2">
      <c r="A535" s="947" t="s">
        <v>407</v>
      </c>
      <c r="B535" s="947">
        <v>218057</v>
      </c>
      <c r="C535" s="947" t="s">
        <v>2189</v>
      </c>
      <c r="D535" s="947" t="s">
        <v>1746</v>
      </c>
      <c r="E535" s="951">
        <v>119</v>
      </c>
      <c r="F535" s="951">
        <v>112</v>
      </c>
      <c r="G535" s="947" t="s">
        <v>159</v>
      </c>
      <c r="H535" s="951">
        <v>0</v>
      </c>
      <c r="I535" s="951">
        <v>0</v>
      </c>
      <c r="J535" s="947" t="s">
        <v>407</v>
      </c>
      <c r="K535" s="947">
        <v>218057</v>
      </c>
      <c r="M535" s="631"/>
      <c r="P535" s="950" t="str">
        <f>VLOOKUP(J535,'רשימת רשויות'!A:A,1,0)</f>
        <v>שפרעם</v>
      </c>
      <c r="Q535" s="956">
        <f>IFERROR(VLOOKUP(B535,[2]מעובד!$D:$K,8,0),0)</f>
        <v>0</v>
      </c>
      <c r="R535" s="956">
        <f>IFERROR(VLOOKUP(B535,[2]מעובד!$D:$L,9,0),0)</f>
        <v>0</v>
      </c>
    </row>
    <row r="536" spans="1:18" x14ac:dyDescent="0.2">
      <c r="A536" s="947" t="s">
        <v>171</v>
      </c>
      <c r="B536" s="947">
        <v>218065</v>
      </c>
      <c r="C536" s="947" t="s">
        <v>2189</v>
      </c>
      <c r="D536" s="947" t="s">
        <v>1747</v>
      </c>
      <c r="E536" s="951">
        <v>115</v>
      </c>
      <c r="F536" s="951">
        <v>113</v>
      </c>
      <c r="G536" s="947" t="s">
        <v>159</v>
      </c>
      <c r="H536" s="951">
        <v>0</v>
      </c>
      <c r="I536" s="951">
        <v>0</v>
      </c>
      <c r="J536" s="947" t="s">
        <v>171</v>
      </c>
      <c r="K536" s="947">
        <v>218065</v>
      </c>
      <c r="M536" s="631"/>
      <c r="P536" s="950" t="str">
        <f>VLOOKUP(J536,'רשימת רשויות'!A:A,1,0)</f>
        <v>אל בטוף</v>
      </c>
      <c r="Q536" s="956">
        <f>IFERROR(VLOOKUP(B536,[2]מעובד!$D:$K,8,0),0)</f>
        <v>102</v>
      </c>
      <c r="R536" s="956">
        <f>IFERROR(VLOOKUP(B536,[2]מעובד!$D:$L,9,0),0)</f>
        <v>102</v>
      </c>
    </row>
    <row r="537" spans="1:18" x14ac:dyDescent="0.2">
      <c r="A537" s="947" t="s">
        <v>351</v>
      </c>
      <c r="B537" s="947">
        <v>218073</v>
      </c>
      <c r="C537" s="947" t="s">
        <v>2189</v>
      </c>
      <c r="D537" s="947" t="s">
        <v>1784</v>
      </c>
      <c r="E537" s="951">
        <v>142</v>
      </c>
      <c r="F537" s="951">
        <v>45</v>
      </c>
      <c r="G537" s="947" t="s">
        <v>159</v>
      </c>
      <c r="H537" s="951">
        <v>0</v>
      </c>
      <c r="I537" s="951">
        <v>0</v>
      </c>
      <c r="J537" s="947" t="s">
        <v>351</v>
      </c>
      <c r="K537" s="947">
        <v>218073</v>
      </c>
      <c r="M537" s="631"/>
      <c r="P537" s="950" t="str">
        <f>VLOOKUP(J537,'רשימת רשויות'!A:A,1,0)</f>
        <v>עמק יזרעאל</v>
      </c>
      <c r="Q537" s="956">
        <f>IFERROR(VLOOKUP(B537,[2]מעובד!$D:$K,8,0),0)</f>
        <v>132</v>
      </c>
      <c r="R537" s="956">
        <f>IFERROR(VLOOKUP(B537,[2]מעובד!$D:$L,9,0),0)</f>
        <v>52</v>
      </c>
    </row>
    <row r="538" spans="1:18" x14ac:dyDescent="0.2">
      <c r="A538" s="947" t="s">
        <v>396</v>
      </c>
      <c r="B538" s="947">
        <v>218081</v>
      </c>
      <c r="C538" s="947" t="s">
        <v>2189</v>
      </c>
      <c r="D538" s="947" t="s">
        <v>1702</v>
      </c>
      <c r="E538" s="951">
        <v>125</v>
      </c>
      <c r="F538" s="951">
        <v>0</v>
      </c>
      <c r="G538" s="947" t="s">
        <v>159</v>
      </c>
      <c r="H538" s="951">
        <v>49</v>
      </c>
      <c r="I538" s="951">
        <v>0</v>
      </c>
      <c r="J538" s="947" t="s">
        <v>396</v>
      </c>
      <c r="K538" s="947">
        <v>218081</v>
      </c>
      <c r="M538" s="631"/>
      <c r="P538" s="950" t="str">
        <f>VLOOKUP(J538,'רשימת רשויות'!A:A,1,0)</f>
        <v>שבלי-אום אל-גנם</v>
      </c>
      <c r="Q538" s="956">
        <f>IFERROR(VLOOKUP(B538,[2]מעובד!$D:$K,8,0),0)</f>
        <v>0</v>
      </c>
      <c r="R538" s="956">
        <f>IFERROR(VLOOKUP(B538,[2]מעובד!$D:$L,9,0),0)</f>
        <v>0</v>
      </c>
    </row>
    <row r="539" spans="1:18" x14ac:dyDescent="0.2">
      <c r="A539" s="947" t="s">
        <v>2778</v>
      </c>
      <c r="B539" s="947">
        <v>218099</v>
      </c>
      <c r="C539" s="947" t="s">
        <v>2189</v>
      </c>
      <c r="D539" s="947" t="s">
        <v>1785</v>
      </c>
      <c r="E539" s="951">
        <v>204</v>
      </c>
      <c r="F539" s="951">
        <v>155</v>
      </c>
      <c r="G539" s="947" t="s">
        <v>159</v>
      </c>
      <c r="H539" s="951">
        <v>82</v>
      </c>
      <c r="I539" s="951">
        <v>8</v>
      </c>
      <c r="J539" s="947" t="s">
        <v>2778</v>
      </c>
      <c r="K539" s="947">
        <v>218099</v>
      </c>
      <c r="M539" s="631"/>
      <c r="P539" s="950" t="str">
        <f>VLOOKUP(J539,'רשימת רשויות'!A:A,1,0)</f>
        <v>בועיינה נוג'ידאת</v>
      </c>
      <c r="Q539" s="956">
        <f>IFERROR(VLOOKUP(B539,[2]מעובד!$D:$K,8,0),0)</f>
        <v>202</v>
      </c>
      <c r="R539" s="956">
        <f>IFERROR(VLOOKUP(B539,[2]מעובד!$D:$L,9,0),0)</f>
        <v>144</v>
      </c>
    </row>
    <row r="540" spans="1:18" x14ac:dyDescent="0.2">
      <c r="A540" s="947" t="s">
        <v>204</v>
      </c>
      <c r="B540" s="947">
        <v>218107</v>
      </c>
      <c r="C540" s="947" t="s">
        <v>2189</v>
      </c>
      <c r="D540" s="947" t="s">
        <v>1786</v>
      </c>
      <c r="E540" s="951">
        <v>202</v>
      </c>
      <c r="F540" s="951">
        <v>193</v>
      </c>
      <c r="G540" s="947" t="s">
        <v>159</v>
      </c>
      <c r="H540" s="951">
        <v>74</v>
      </c>
      <c r="I540" s="951">
        <v>9</v>
      </c>
      <c r="J540" s="947" t="s">
        <v>204</v>
      </c>
      <c r="K540" s="947">
        <v>218107</v>
      </c>
      <c r="M540" s="631"/>
      <c r="P540" s="950" t="str">
        <f>VLOOKUP(J540,'רשימת רשויות'!A:A,1,0)</f>
        <v>בענה</v>
      </c>
      <c r="Q540" s="956">
        <f>IFERROR(VLOOKUP(B540,[2]מעובד!$D:$K,8,0),0)</f>
        <v>188</v>
      </c>
      <c r="R540" s="956">
        <f>IFERROR(VLOOKUP(B540,[2]מעובד!$D:$L,9,0),0)</f>
        <v>170</v>
      </c>
    </row>
    <row r="541" spans="1:18" x14ac:dyDescent="0.2">
      <c r="A541" s="947" t="s">
        <v>193</v>
      </c>
      <c r="B541" s="947">
        <v>218115</v>
      </c>
      <c r="C541" s="947" t="s">
        <v>2189</v>
      </c>
      <c r="D541" s="947" t="s">
        <v>1787</v>
      </c>
      <c r="E541" s="951">
        <v>151</v>
      </c>
      <c r="F541" s="951">
        <v>118</v>
      </c>
      <c r="G541" s="953" t="s">
        <v>159</v>
      </c>
      <c r="H541" s="951">
        <v>0</v>
      </c>
      <c r="I541" s="951">
        <v>0</v>
      </c>
      <c r="J541" s="947" t="s">
        <v>193</v>
      </c>
      <c r="K541" s="947">
        <v>218115</v>
      </c>
      <c r="M541" s="636"/>
      <c r="P541" s="950" t="str">
        <f>VLOOKUP(J541,'רשימת רשויות'!A:A,1,0)</f>
        <v>בית ג'ן</v>
      </c>
      <c r="Q541" s="956">
        <f>IFERROR(VLOOKUP(B541,[2]מעובד!$D:$K,8,0),0)</f>
        <v>0</v>
      </c>
      <c r="R541" s="956">
        <f>IFERROR(VLOOKUP(B541,[2]מעובד!$D:$L,9,0),0)</f>
        <v>0</v>
      </c>
    </row>
    <row r="542" spans="1:18" x14ac:dyDescent="0.2">
      <c r="A542" s="947" t="s">
        <v>207</v>
      </c>
      <c r="B542" s="947">
        <v>218123</v>
      </c>
      <c r="C542" s="947" t="s">
        <v>2189</v>
      </c>
      <c r="D542" s="947" t="s">
        <v>1788</v>
      </c>
      <c r="E542" s="951">
        <v>263</v>
      </c>
      <c r="F542" s="951">
        <v>263</v>
      </c>
      <c r="G542" s="947" t="s">
        <v>159</v>
      </c>
      <c r="H542" s="951">
        <v>0</v>
      </c>
      <c r="I542" s="951">
        <v>0</v>
      </c>
      <c r="J542" s="947" t="s">
        <v>207</v>
      </c>
      <c r="K542" s="947">
        <v>218123</v>
      </c>
      <c r="M542" s="631"/>
      <c r="P542" s="950" t="str">
        <f>VLOOKUP(J542,'רשימת רשויות'!A:A,1,0)</f>
        <v>ג'דיידה-מכר</v>
      </c>
      <c r="Q542" s="956">
        <f>IFERROR(VLOOKUP(B542,[2]מעובד!$D:$K,8,0),0)</f>
        <v>227</v>
      </c>
      <c r="R542" s="956">
        <f>IFERROR(VLOOKUP(B542,[2]מעובד!$D:$L,9,0),0)</f>
        <v>120</v>
      </c>
    </row>
    <row r="543" spans="1:18" x14ac:dyDescent="0.2">
      <c r="A543" s="947" t="s">
        <v>208</v>
      </c>
      <c r="B543" s="947">
        <v>218131</v>
      </c>
      <c r="C543" s="947" t="s">
        <v>2189</v>
      </c>
      <c r="D543" s="947" t="s">
        <v>1801</v>
      </c>
      <c r="E543" s="951">
        <v>163</v>
      </c>
      <c r="F543" s="951">
        <v>87</v>
      </c>
      <c r="G543" s="947" t="s">
        <v>159</v>
      </c>
      <c r="H543" s="951">
        <v>58</v>
      </c>
      <c r="I543" s="951">
        <v>8</v>
      </c>
      <c r="J543" s="947" t="s">
        <v>208</v>
      </c>
      <c r="K543" s="947">
        <v>218131</v>
      </c>
      <c r="M543" s="631"/>
      <c r="P543" s="950" t="str">
        <f>VLOOKUP(J543,'רשימת רשויות'!A:A,1,0)</f>
        <v>ג'וליס</v>
      </c>
      <c r="Q543" s="956">
        <f>IFERROR(VLOOKUP(B543,[2]מעובד!$D:$K,8,0),0)</f>
        <v>0</v>
      </c>
      <c r="R543" s="956">
        <f>IFERROR(VLOOKUP(B543,[2]מעובד!$D:$L,9,0),0)</f>
        <v>0</v>
      </c>
    </row>
    <row r="544" spans="1:18" x14ac:dyDescent="0.2">
      <c r="A544" s="947" t="s">
        <v>218</v>
      </c>
      <c r="B544" s="947">
        <v>218149</v>
      </c>
      <c r="C544" s="947" t="s">
        <v>2189</v>
      </c>
      <c r="D544" s="947" t="s">
        <v>2387</v>
      </c>
      <c r="E544" s="951">
        <v>130</v>
      </c>
      <c r="F544" s="951">
        <v>121</v>
      </c>
      <c r="G544" s="947" t="s">
        <v>159</v>
      </c>
      <c r="H544" s="951">
        <v>0</v>
      </c>
      <c r="I544" s="951">
        <v>0</v>
      </c>
      <c r="J544" s="947" t="s">
        <v>218</v>
      </c>
      <c r="K544" s="947">
        <v>218149</v>
      </c>
      <c r="M544" s="631"/>
      <c r="P544" s="950" t="str">
        <f>VLOOKUP(J544,'רשימת רשויות'!A:A,1,0)</f>
        <v>גוש חלב</v>
      </c>
      <c r="Q544" s="956">
        <f>IFERROR(VLOOKUP(B544,[2]מעובד!$D:$K,8,0),0)</f>
        <v>0</v>
      </c>
      <c r="R544" s="956">
        <f>IFERROR(VLOOKUP(B544,[2]מעובד!$D:$L,9,0),0)</f>
        <v>0</v>
      </c>
    </row>
    <row r="545" spans="1:18" x14ac:dyDescent="0.2">
      <c r="A545" s="947" t="s">
        <v>265</v>
      </c>
      <c r="B545" s="947">
        <v>218156</v>
      </c>
      <c r="C545" s="947" t="s">
        <v>2189</v>
      </c>
      <c r="D545" s="947" t="s">
        <v>1802</v>
      </c>
      <c r="E545" s="951">
        <v>91</v>
      </c>
      <c r="F545" s="951">
        <v>91</v>
      </c>
      <c r="G545" s="947" t="s">
        <v>159</v>
      </c>
      <c r="H545" s="951">
        <v>0</v>
      </c>
      <c r="I545" s="951">
        <v>0</v>
      </c>
      <c r="J545" s="947" t="s">
        <v>265</v>
      </c>
      <c r="K545" s="947">
        <v>218156</v>
      </c>
      <c r="M545" s="631"/>
      <c r="P545" s="950" t="str">
        <f>VLOOKUP(J545,'רשימת רשויות'!A:A,1,0)</f>
        <v>ינוח-ג'ת</v>
      </c>
      <c r="Q545" s="956">
        <f>IFERROR(VLOOKUP(B545,[2]מעובד!$D:$K,8,0),0)</f>
        <v>0</v>
      </c>
      <c r="R545" s="956">
        <f>IFERROR(VLOOKUP(B545,[2]מעובד!$D:$L,9,0),0)</f>
        <v>0</v>
      </c>
    </row>
    <row r="546" spans="1:18" x14ac:dyDescent="0.2">
      <c r="A546" s="947" t="s">
        <v>223</v>
      </c>
      <c r="B546" s="947">
        <v>218164</v>
      </c>
      <c r="C546" s="947" t="s">
        <v>2189</v>
      </c>
      <c r="D546" s="947" t="s">
        <v>1803</v>
      </c>
      <c r="E546" s="951">
        <v>270</v>
      </c>
      <c r="F546" s="951">
        <v>270</v>
      </c>
      <c r="G546" s="947" t="s">
        <v>159</v>
      </c>
      <c r="H546" s="951">
        <v>0</v>
      </c>
      <c r="I546" s="951">
        <v>0</v>
      </c>
      <c r="J546" s="947" t="s">
        <v>223</v>
      </c>
      <c r="K546" s="947">
        <v>218164</v>
      </c>
      <c r="M546" s="631"/>
      <c r="P546" s="950" t="str">
        <f>VLOOKUP(J546,'רשימת רשויות'!A:A,1,0)</f>
        <v>דבוריה</v>
      </c>
      <c r="Q546" s="956">
        <f>IFERROR(VLOOKUP(B546,[2]מעובד!$D:$K,8,0),0)</f>
        <v>243</v>
      </c>
      <c r="R546" s="956">
        <f>IFERROR(VLOOKUP(B546,[2]מעובד!$D:$L,9,0),0)</f>
        <v>125</v>
      </c>
    </row>
    <row r="547" spans="1:18" x14ac:dyDescent="0.2">
      <c r="A547" s="947" t="s">
        <v>224</v>
      </c>
      <c r="B547" s="947">
        <v>218172</v>
      </c>
      <c r="C547" s="947" t="s">
        <v>2189</v>
      </c>
      <c r="D547" s="947" t="s">
        <v>1804</v>
      </c>
      <c r="E547" s="951">
        <v>209</v>
      </c>
      <c r="F547" s="951">
        <v>155</v>
      </c>
      <c r="G547" s="947" t="s">
        <v>159</v>
      </c>
      <c r="H547" s="951">
        <v>0</v>
      </c>
      <c r="I547" s="951">
        <v>0</v>
      </c>
      <c r="J547" s="947" t="s">
        <v>224</v>
      </c>
      <c r="K547" s="947">
        <v>218172</v>
      </c>
      <c r="M547" s="631"/>
      <c r="P547" s="950" t="str">
        <f>VLOOKUP(J547,'רשימת רשויות'!A:A,1,0)</f>
        <v>דייר אל-אסד</v>
      </c>
      <c r="Q547" s="956">
        <f>IFERROR(VLOOKUP(B547,[2]מעובד!$D:$K,8,0),0)</f>
        <v>234</v>
      </c>
      <c r="R547" s="956">
        <f>IFERROR(VLOOKUP(B547,[2]מעובד!$D:$L,9,0),0)</f>
        <v>234</v>
      </c>
    </row>
    <row r="548" spans="1:18" x14ac:dyDescent="0.2">
      <c r="A548" s="947" t="s">
        <v>226</v>
      </c>
      <c r="B548" s="947">
        <v>218180</v>
      </c>
      <c r="C548" s="947" t="s">
        <v>2189</v>
      </c>
      <c r="D548" s="947" t="s">
        <v>1805</v>
      </c>
      <c r="E548" s="951">
        <v>174</v>
      </c>
      <c r="F548" s="951">
        <v>153</v>
      </c>
      <c r="G548" s="947" t="s">
        <v>159</v>
      </c>
      <c r="H548" s="951">
        <v>0</v>
      </c>
      <c r="I548" s="951">
        <v>0</v>
      </c>
      <c r="J548" s="947" t="s">
        <v>226</v>
      </c>
      <c r="K548" s="947">
        <v>218180</v>
      </c>
      <c r="M548" s="631"/>
      <c r="P548" s="950" t="str">
        <f>VLOOKUP(J548,'רשימת רשויות'!A:A,1,0)</f>
        <v>דיר חנא</v>
      </c>
      <c r="Q548" s="956">
        <f>IFERROR(VLOOKUP(B548,[2]מעובד!$D:$K,8,0),0)</f>
        <v>0</v>
      </c>
      <c r="R548" s="956">
        <f>IFERROR(VLOOKUP(B548,[2]מעובד!$D:$L,9,0),0)</f>
        <v>0</v>
      </c>
    </row>
    <row r="549" spans="1:18" x14ac:dyDescent="0.2">
      <c r="A549" s="947" t="s">
        <v>309</v>
      </c>
      <c r="B549" s="947">
        <v>218198</v>
      </c>
      <c r="C549" s="947" t="s">
        <v>2189</v>
      </c>
      <c r="D549" s="947" t="s">
        <v>1806</v>
      </c>
      <c r="E549" s="951">
        <v>162</v>
      </c>
      <c r="F549" s="951">
        <v>0</v>
      </c>
      <c r="G549" s="947" t="s">
        <v>159</v>
      </c>
      <c r="H549" s="951">
        <v>0</v>
      </c>
      <c r="I549" s="951">
        <v>0</v>
      </c>
      <c r="J549" s="947" t="s">
        <v>309</v>
      </c>
      <c r="K549" s="947">
        <v>218198</v>
      </c>
      <c r="M549" s="631"/>
      <c r="P549" s="950" t="str">
        <f>VLOOKUP(J549,'רשימת רשויות'!A:A,1,0)</f>
        <v>מטה אשר</v>
      </c>
      <c r="Q549" s="956">
        <f>IFERROR(VLOOKUP(B549,[2]מעובד!$D:$K,8,0),0)</f>
        <v>0</v>
      </c>
      <c r="R549" s="956">
        <f>IFERROR(VLOOKUP(B549,[2]מעובד!$D:$L,9,0),0)</f>
        <v>0</v>
      </c>
    </row>
    <row r="550" spans="1:18" x14ac:dyDescent="0.2">
      <c r="A550" s="947" t="s">
        <v>171</v>
      </c>
      <c r="B550" s="947">
        <v>218206</v>
      </c>
      <c r="C550" s="947" t="s">
        <v>2189</v>
      </c>
      <c r="D550" s="947" t="s">
        <v>1807</v>
      </c>
      <c r="E550" s="951">
        <v>91</v>
      </c>
      <c r="F550" s="951">
        <v>91</v>
      </c>
      <c r="G550" s="947" t="s">
        <v>159</v>
      </c>
      <c r="H550" s="951">
        <v>0</v>
      </c>
      <c r="I550" s="951">
        <v>0</v>
      </c>
      <c r="J550" s="947" t="s">
        <v>171</v>
      </c>
      <c r="K550" s="947">
        <v>218206</v>
      </c>
      <c r="M550" s="631"/>
      <c r="P550" s="950" t="str">
        <f>VLOOKUP(J550,'רשימת רשויות'!A:A,1,0)</f>
        <v>אל בטוף</v>
      </c>
      <c r="Q550" s="956">
        <f>IFERROR(VLOOKUP(B550,[2]מעובד!$D:$K,8,0),0)</f>
        <v>71</v>
      </c>
      <c r="R550" s="956">
        <f>IFERROR(VLOOKUP(B550,[2]מעובד!$D:$L,9,0),0)</f>
        <v>71</v>
      </c>
    </row>
    <row r="551" spans="1:18" x14ac:dyDescent="0.2">
      <c r="A551" s="947" t="s">
        <v>190</v>
      </c>
      <c r="B551" s="947">
        <v>218222</v>
      </c>
      <c r="C551" s="947" t="s">
        <v>2189</v>
      </c>
      <c r="D551" s="947" t="s">
        <v>1819</v>
      </c>
      <c r="E551" s="951">
        <v>143</v>
      </c>
      <c r="F551" s="951">
        <v>143</v>
      </c>
      <c r="G551" s="947" t="s">
        <v>159</v>
      </c>
      <c r="H551" s="951">
        <v>0</v>
      </c>
      <c r="I551" s="951">
        <v>0</v>
      </c>
      <c r="J551" s="947" t="s">
        <v>190</v>
      </c>
      <c r="K551" s="947">
        <v>218222</v>
      </c>
      <c r="M551" s="631"/>
      <c r="P551" s="950" t="str">
        <f>VLOOKUP(J551,'רשימת רשויות'!A:A,1,0)</f>
        <v>ביר אל-מכסור</v>
      </c>
      <c r="Q551" s="956">
        <f>IFERROR(VLOOKUP(B551,[2]מעובד!$D:$K,8,0),0)</f>
        <v>0</v>
      </c>
      <c r="R551" s="956">
        <f>IFERROR(VLOOKUP(B551,[2]מעובד!$D:$L,9,0),0)</f>
        <v>0</v>
      </c>
    </row>
    <row r="552" spans="1:18" x14ac:dyDescent="0.2">
      <c r="A552" s="947" t="s">
        <v>190</v>
      </c>
      <c r="B552" s="947">
        <v>218230</v>
      </c>
      <c r="C552" s="947" t="s">
        <v>2189</v>
      </c>
      <c r="D552" s="947" t="s">
        <v>1844</v>
      </c>
      <c r="E552" s="951">
        <v>195</v>
      </c>
      <c r="F552" s="951">
        <v>182</v>
      </c>
      <c r="G552" s="947" t="s">
        <v>159</v>
      </c>
      <c r="H552" s="951">
        <v>81</v>
      </c>
      <c r="I552" s="951">
        <v>12</v>
      </c>
      <c r="J552" s="947" t="s">
        <v>190</v>
      </c>
      <c r="K552" s="947">
        <v>218230</v>
      </c>
      <c r="M552" s="631"/>
      <c r="P552" s="950" t="str">
        <f>VLOOKUP(J552,'רשימת רשויות'!A:A,1,0)</f>
        <v>ביר אל-מכסור</v>
      </c>
      <c r="Q552" s="956">
        <f>IFERROR(VLOOKUP(B552,[2]מעובד!$D:$K,8,0),0)</f>
        <v>240</v>
      </c>
      <c r="R552" s="956">
        <f>IFERROR(VLOOKUP(B552,[2]מעובד!$D:$L,9,0),0)</f>
        <v>90</v>
      </c>
    </row>
    <row r="553" spans="1:18" x14ac:dyDescent="0.2">
      <c r="A553" s="947" t="s">
        <v>250</v>
      </c>
      <c r="B553" s="947">
        <v>218248</v>
      </c>
      <c r="C553" s="947" t="s">
        <v>2189</v>
      </c>
      <c r="D553" s="947" t="s">
        <v>1845</v>
      </c>
      <c r="E553" s="951">
        <v>195</v>
      </c>
      <c r="F553" s="951">
        <v>195</v>
      </c>
      <c r="G553" s="947" t="s">
        <v>159</v>
      </c>
      <c r="H553" s="951">
        <v>0</v>
      </c>
      <c r="I553" s="951">
        <v>0</v>
      </c>
      <c r="J553" s="947" t="s">
        <v>250</v>
      </c>
      <c r="K553" s="947">
        <v>218248</v>
      </c>
      <c r="M553" s="631"/>
      <c r="P553" s="950" t="str">
        <f>VLOOKUP(J553,'רשימת רשויות'!A:A,1,0)</f>
        <v>חורפיש</v>
      </c>
      <c r="Q553" s="956">
        <f>IFERROR(VLOOKUP(B553,[2]מעובד!$D:$K,8,0),0)</f>
        <v>186</v>
      </c>
      <c r="R553" s="956">
        <f>IFERROR(VLOOKUP(B553,[2]מעובד!$D:$L,9,0),0)</f>
        <v>60</v>
      </c>
    </row>
    <row r="554" spans="1:18" x14ac:dyDescent="0.2">
      <c r="A554" s="947" t="s">
        <v>255</v>
      </c>
      <c r="B554" s="947">
        <v>218255</v>
      </c>
      <c r="C554" s="947" t="s">
        <v>2189</v>
      </c>
      <c r="D554" s="947" t="s">
        <v>1846</v>
      </c>
      <c r="E554" s="951">
        <v>252</v>
      </c>
      <c r="F554" s="951">
        <v>241</v>
      </c>
      <c r="G554" s="947" t="s">
        <v>159</v>
      </c>
      <c r="H554" s="951">
        <v>0</v>
      </c>
      <c r="I554" s="951">
        <v>0</v>
      </c>
      <c r="J554" s="947" t="s">
        <v>255</v>
      </c>
      <c r="K554" s="947">
        <v>218255</v>
      </c>
      <c r="M554" s="631"/>
      <c r="P554" s="950" t="str">
        <f>VLOOKUP(J554,'רשימת רשויות'!A:A,1,0)</f>
        <v>טובא-זנגריה</v>
      </c>
      <c r="Q554" s="956">
        <f>IFERROR(VLOOKUP(B554,[2]מעובד!$D:$K,8,0),0)</f>
        <v>225</v>
      </c>
      <c r="R554" s="956">
        <f>IFERROR(VLOOKUP(B554,[2]מעובד!$D:$L,9,0),0)</f>
        <v>225</v>
      </c>
    </row>
    <row r="555" spans="1:18" x14ac:dyDescent="0.2">
      <c r="A555" s="947" t="s">
        <v>256</v>
      </c>
      <c r="B555" s="947">
        <v>218263</v>
      </c>
      <c r="C555" s="947" t="s">
        <v>2189</v>
      </c>
      <c r="D555" s="947" t="s">
        <v>2965</v>
      </c>
      <c r="E555" s="951">
        <v>59</v>
      </c>
      <c r="F555" s="951">
        <v>59</v>
      </c>
      <c r="G555" s="947" t="s">
        <v>159</v>
      </c>
      <c r="H555" s="951">
        <v>0</v>
      </c>
      <c r="I555" s="951">
        <v>0</v>
      </c>
      <c r="J555" s="947" t="s">
        <v>256</v>
      </c>
      <c r="K555" s="947">
        <v>218263</v>
      </c>
      <c r="M555" s="631"/>
      <c r="P555" s="950" t="str">
        <f>VLOOKUP(J555,'רשימת רשויות'!A:A,1,0)</f>
        <v>טורעאן</v>
      </c>
      <c r="Q555" s="956">
        <f>IFERROR(VLOOKUP(B555,[2]מעובד!$D:$K,8,0),0)</f>
        <v>0</v>
      </c>
      <c r="R555" s="956">
        <f>IFERROR(VLOOKUP(B555,[2]מעובד!$D:$L,9,0),0)</f>
        <v>0</v>
      </c>
    </row>
    <row r="556" spans="1:18" x14ac:dyDescent="0.2">
      <c r="A556" s="947" t="s">
        <v>228</v>
      </c>
      <c r="B556" s="947">
        <v>218271</v>
      </c>
      <c r="C556" s="947" t="s">
        <v>2189</v>
      </c>
      <c r="D556" s="947" t="s">
        <v>2966</v>
      </c>
      <c r="E556" s="951">
        <v>106</v>
      </c>
      <c r="F556" s="951">
        <v>0</v>
      </c>
      <c r="G556" s="947" t="s">
        <v>159</v>
      </c>
      <c r="H556" s="951">
        <v>0</v>
      </c>
      <c r="I556" s="951">
        <v>0</v>
      </c>
      <c r="J556" s="947" t="s">
        <v>228</v>
      </c>
      <c r="K556" s="947">
        <v>218271</v>
      </c>
      <c r="M556" s="631"/>
      <c r="P556" s="950" t="str">
        <f>VLOOKUP(J556,'רשימת רשויות'!A:A,1,0)</f>
        <v>הגלבוע</v>
      </c>
      <c r="Q556" s="956">
        <f>IFERROR(VLOOKUP(B556,[2]מעובד!$D:$K,8,0),0)</f>
        <v>0</v>
      </c>
      <c r="R556" s="956">
        <f>IFERROR(VLOOKUP(B556,[2]מעובד!$D:$L,9,0),0)</f>
        <v>0</v>
      </c>
    </row>
    <row r="557" spans="1:18" x14ac:dyDescent="0.2">
      <c r="A557" s="947" t="s">
        <v>260</v>
      </c>
      <c r="B557" s="947">
        <v>218289</v>
      </c>
      <c r="C557" s="947" t="s">
        <v>2189</v>
      </c>
      <c r="D557" s="947" t="s">
        <v>1847</v>
      </c>
      <c r="E557" s="951">
        <v>215</v>
      </c>
      <c r="F557" s="951">
        <v>200</v>
      </c>
      <c r="G557" s="947" t="s">
        <v>159</v>
      </c>
      <c r="H557" s="951">
        <v>0</v>
      </c>
      <c r="I557" s="951">
        <v>0</v>
      </c>
      <c r="J557" s="947" t="s">
        <v>260</v>
      </c>
      <c r="K557" s="947">
        <v>218289</v>
      </c>
      <c r="M557" s="631"/>
      <c r="P557" s="950" t="str">
        <f>VLOOKUP(J557,'רשימת רשויות'!A:A,1,0)</f>
        <v>טמרה</v>
      </c>
      <c r="Q557" s="956">
        <f>IFERROR(VLOOKUP(B557,[2]מעובד!$D:$K,8,0),0)</f>
        <v>189</v>
      </c>
      <c r="R557" s="956">
        <f>IFERROR(VLOOKUP(B557,[2]מעובד!$D:$L,9,0),0)</f>
        <v>72</v>
      </c>
    </row>
    <row r="558" spans="1:18" x14ac:dyDescent="0.2">
      <c r="A558" s="947" t="s">
        <v>260</v>
      </c>
      <c r="B558" s="947">
        <v>218297</v>
      </c>
      <c r="C558" s="947" t="s">
        <v>2189</v>
      </c>
      <c r="D558" s="947" t="s">
        <v>1859</v>
      </c>
      <c r="E558" s="951">
        <v>195</v>
      </c>
      <c r="F558" s="951">
        <v>170</v>
      </c>
      <c r="G558" s="947" t="s">
        <v>159</v>
      </c>
      <c r="H558" s="951">
        <v>0</v>
      </c>
      <c r="I558" s="951">
        <v>0</v>
      </c>
      <c r="J558" s="947" t="s">
        <v>260</v>
      </c>
      <c r="K558" s="947">
        <v>218297</v>
      </c>
      <c r="M558" s="631"/>
      <c r="P558" s="950" t="str">
        <f>VLOOKUP(J558,'רשימת רשויות'!A:A,1,0)</f>
        <v>טמרה</v>
      </c>
      <c r="Q558" s="956">
        <f>IFERROR(VLOOKUP(B558,[2]מעובד!$D:$K,8,0),0)</f>
        <v>239</v>
      </c>
      <c r="R558" s="956">
        <f>IFERROR(VLOOKUP(B558,[2]מעובד!$D:$L,9,0),0)</f>
        <v>105</v>
      </c>
    </row>
    <row r="559" spans="1:18" x14ac:dyDescent="0.2">
      <c r="A559" s="947" t="s">
        <v>228</v>
      </c>
      <c r="B559" s="947">
        <v>218305</v>
      </c>
      <c r="C559" s="947" t="s">
        <v>2189</v>
      </c>
      <c r="D559" s="947" t="s">
        <v>2967</v>
      </c>
      <c r="E559" s="951">
        <v>80</v>
      </c>
      <c r="F559" s="951">
        <v>0</v>
      </c>
      <c r="G559" s="947" t="s">
        <v>159</v>
      </c>
      <c r="H559" s="951">
        <v>0</v>
      </c>
      <c r="I559" s="951">
        <v>0</v>
      </c>
      <c r="J559" s="947" t="s">
        <v>228</v>
      </c>
      <c r="K559" s="947">
        <v>218305</v>
      </c>
      <c r="M559" s="631"/>
      <c r="P559" s="950" t="str">
        <f>VLOOKUP(J559,'רשימת רשויות'!A:A,1,0)</f>
        <v>הגלבוע</v>
      </c>
      <c r="Q559" s="956">
        <f>IFERROR(VLOOKUP(B559,[2]מעובד!$D:$K,8,0),0)</f>
        <v>0</v>
      </c>
      <c r="R559" s="956">
        <f>IFERROR(VLOOKUP(B559,[2]מעובד!$D:$L,9,0),0)</f>
        <v>0</v>
      </c>
    </row>
    <row r="560" spans="1:18" x14ac:dyDescent="0.2">
      <c r="A560" s="947" t="s">
        <v>265</v>
      </c>
      <c r="B560" s="947">
        <v>218313</v>
      </c>
      <c r="C560" s="947" t="s">
        <v>2189</v>
      </c>
      <c r="D560" s="947" t="s">
        <v>1860</v>
      </c>
      <c r="E560" s="951">
        <v>113</v>
      </c>
      <c r="F560" s="951">
        <v>113</v>
      </c>
      <c r="G560" s="947" t="s">
        <v>159</v>
      </c>
      <c r="H560" s="951">
        <v>0</v>
      </c>
      <c r="I560" s="951">
        <v>0</v>
      </c>
      <c r="J560" s="947" t="s">
        <v>265</v>
      </c>
      <c r="K560" s="947">
        <v>218313</v>
      </c>
      <c r="M560" s="631"/>
      <c r="P560" s="950" t="str">
        <f>VLOOKUP(J560,'רשימת רשויות'!A:A,1,0)</f>
        <v>ינוח-ג'ת</v>
      </c>
      <c r="Q560" s="956">
        <f>IFERROR(VLOOKUP(B560,[2]מעובד!$D:$K,8,0),0)</f>
        <v>0</v>
      </c>
      <c r="R560" s="956">
        <f>IFERROR(VLOOKUP(B560,[2]מעובד!$D:$L,9,0),0)</f>
        <v>0</v>
      </c>
    </row>
    <row r="561" spans="1:18" x14ac:dyDescent="0.2">
      <c r="A561" s="947" t="s">
        <v>260</v>
      </c>
      <c r="B561" s="947">
        <v>218321</v>
      </c>
      <c r="C561" s="947" t="s">
        <v>2189</v>
      </c>
      <c r="D561" s="947" t="s">
        <v>1861</v>
      </c>
      <c r="E561" s="951">
        <v>316</v>
      </c>
      <c r="F561" s="951">
        <v>250</v>
      </c>
      <c r="G561" s="947" t="s">
        <v>159</v>
      </c>
      <c r="H561" s="951">
        <v>219</v>
      </c>
      <c r="I561" s="951">
        <v>17</v>
      </c>
      <c r="J561" s="947" t="s">
        <v>260</v>
      </c>
      <c r="K561" s="947">
        <v>218321</v>
      </c>
      <c r="M561" s="631"/>
      <c r="P561" s="950" t="str">
        <f>VLOOKUP(J561,'רשימת רשויות'!A:A,1,0)</f>
        <v>טמרה</v>
      </c>
      <c r="Q561" s="956">
        <f>IFERROR(VLOOKUP(B561,[2]מעובד!$D:$K,8,0),0)</f>
        <v>0</v>
      </c>
      <c r="R561" s="956">
        <f>IFERROR(VLOOKUP(B561,[2]מעובד!$D:$L,9,0),0)</f>
        <v>0</v>
      </c>
    </row>
    <row r="562" spans="1:18" x14ac:dyDescent="0.2">
      <c r="A562" s="947" t="s">
        <v>271</v>
      </c>
      <c r="B562" s="947">
        <v>218339</v>
      </c>
      <c r="C562" s="947" t="s">
        <v>2189</v>
      </c>
      <c r="D562" s="947" t="s">
        <v>1862</v>
      </c>
      <c r="E562" s="951">
        <v>120</v>
      </c>
      <c r="F562" s="951">
        <v>111</v>
      </c>
      <c r="G562" s="947" t="s">
        <v>159</v>
      </c>
      <c r="H562" s="951">
        <v>32</v>
      </c>
      <c r="I562" s="951">
        <v>9</v>
      </c>
      <c r="J562" s="947" t="s">
        <v>271</v>
      </c>
      <c r="K562" s="947">
        <v>218339</v>
      </c>
      <c r="M562" s="631"/>
      <c r="P562" s="950" t="str">
        <f>VLOOKUP(J562,'רשימת רשויות'!A:A,1,0)</f>
        <v>ירכא</v>
      </c>
      <c r="Q562" s="956">
        <f>IFERROR(VLOOKUP(B562,[2]מעובד!$D:$K,8,0),0)</f>
        <v>0</v>
      </c>
      <c r="R562" s="956">
        <f>IFERROR(VLOOKUP(B562,[2]מעובד!$D:$L,9,0),0)</f>
        <v>0</v>
      </c>
    </row>
    <row r="563" spans="1:18" x14ac:dyDescent="0.2">
      <c r="A563" s="947" t="s">
        <v>271</v>
      </c>
      <c r="B563" s="947">
        <v>218347</v>
      </c>
      <c r="C563" s="947" t="s">
        <v>2189</v>
      </c>
      <c r="D563" s="947" t="s">
        <v>1863</v>
      </c>
      <c r="E563" s="951">
        <v>239</v>
      </c>
      <c r="F563" s="951">
        <v>231</v>
      </c>
      <c r="G563" s="947" t="s">
        <v>159</v>
      </c>
      <c r="H563" s="951">
        <v>84</v>
      </c>
      <c r="I563" s="951">
        <v>8</v>
      </c>
      <c r="J563" s="947" t="s">
        <v>271</v>
      </c>
      <c r="K563" s="947">
        <v>218347</v>
      </c>
      <c r="M563" s="631"/>
      <c r="P563" s="950" t="str">
        <f>VLOOKUP(J563,'רשימת רשויות'!A:A,1,0)</f>
        <v>ירכא</v>
      </c>
      <c r="Q563" s="956">
        <f>IFERROR(VLOOKUP(B563,[2]מעובד!$D:$K,8,0),0)</f>
        <v>0</v>
      </c>
      <c r="R563" s="956">
        <f>IFERROR(VLOOKUP(B563,[2]מעובד!$D:$L,9,0),0)</f>
        <v>0</v>
      </c>
    </row>
    <row r="564" spans="1:18" x14ac:dyDescent="0.2">
      <c r="A564" s="947" t="s">
        <v>272</v>
      </c>
      <c r="B564" s="947">
        <v>218354</v>
      </c>
      <c r="C564" s="947" t="s">
        <v>2189</v>
      </c>
      <c r="D564" s="947" t="s">
        <v>1864</v>
      </c>
      <c r="E564" s="951">
        <v>203</v>
      </c>
      <c r="F564" s="951">
        <v>194</v>
      </c>
      <c r="G564" s="947" t="s">
        <v>159</v>
      </c>
      <c r="H564" s="951">
        <v>78</v>
      </c>
      <c r="I564" s="951">
        <v>9</v>
      </c>
      <c r="J564" s="947" t="s">
        <v>272</v>
      </c>
      <c r="K564" s="947">
        <v>218354</v>
      </c>
      <c r="M564" s="631"/>
      <c r="P564" s="950" t="str">
        <f>VLOOKUP(J564,'רשימת רשויות'!A:A,1,0)</f>
        <v>כאבול</v>
      </c>
      <c r="Q564" s="956">
        <f>IFERROR(VLOOKUP(B564,[2]מעובד!$D:$K,8,0),0)</f>
        <v>0</v>
      </c>
      <c r="R564" s="956">
        <f>IFERROR(VLOOKUP(B564,[2]מעובד!$D:$L,9,0),0)</f>
        <v>0</v>
      </c>
    </row>
    <row r="565" spans="1:18" x14ac:dyDescent="0.2">
      <c r="A565" s="947" t="s">
        <v>273</v>
      </c>
      <c r="B565" s="947">
        <v>218362</v>
      </c>
      <c r="C565" s="947" t="s">
        <v>2189</v>
      </c>
      <c r="D565" s="947" t="s">
        <v>1865</v>
      </c>
      <c r="E565" s="951">
        <v>205</v>
      </c>
      <c r="F565" s="951">
        <v>197</v>
      </c>
      <c r="G565" s="947" t="s">
        <v>159</v>
      </c>
      <c r="H565" s="951">
        <v>76</v>
      </c>
      <c r="I565" s="951">
        <v>8</v>
      </c>
      <c r="J565" s="947" t="s">
        <v>273</v>
      </c>
      <c r="K565" s="947">
        <v>218362</v>
      </c>
      <c r="M565" s="631"/>
      <c r="P565" s="950" t="str">
        <f>VLOOKUP(J565,'רשימת רשויות'!A:A,1,0)</f>
        <v>כאוכב אבו אל-היג'א</v>
      </c>
      <c r="Q565" s="956">
        <f>IFERROR(VLOOKUP(B565,[2]מעובד!$D:$K,8,0),0)</f>
        <v>237</v>
      </c>
      <c r="R565" s="956">
        <f>IFERROR(VLOOKUP(B565,[2]מעובד!$D:$L,9,0),0)</f>
        <v>61</v>
      </c>
    </row>
    <row r="566" spans="1:18" x14ac:dyDescent="0.2">
      <c r="A566" s="947" t="s">
        <v>276</v>
      </c>
      <c r="B566" s="947">
        <v>218370</v>
      </c>
      <c r="C566" s="947" t="s">
        <v>2189</v>
      </c>
      <c r="D566" s="947" t="s">
        <v>1664</v>
      </c>
      <c r="E566" s="951">
        <v>253</v>
      </c>
      <c r="F566" s="951">
        <v>215</v>
      </c>
      <c r="G566" s="947" t="s">
        <v>159</v>
      </c>
      <c r="H566" s="951">
        <v>90</v>
      </c>
      <c r="I566" s="951">
        <v>11</v>
      </c>
      <c r="J566" s="947" t="s">
        <v>276</v>
      </c>
      <c r="K566" s="947">
        <v>218370</v>
      </c>
      <c r="M566" s="631"/>
      <c r="P566" s="950" t="str">
        <f>VLOOKUP(J566,'רשימת רשויות'!A:A,1,0)</f>
        <v>כסרא-סמיע</v>
      </c>
      <c r="Q566" s="956">
        <f>IFERROR(VLOOKUP(B566,[2]מעובד!$D:$K,8,0),0)</f>
        <v>0</v>
      </c>
      <c r="R566" s="956">
        <f>IFERROR(VLOOKUP(B566,[2]מעובד!$D:$L,9,0),0)</f>
        <v>0</v>
      </c>
    </row>
    <row r="567" spans="1:18" x14ac:dyDescent="0.2">
      <c r="A567" s="947" t="s">
        <v>280</v>
      </c>
      <c r="B567" s="947">
        <v>218388</v>
      </c>
      <c r="C567" s="947" t="s">
        <v>2189</v>
      </c>
      <c r="D567" s="947" t="s">
        <v>1665</v>
      </c>
      <c r="E567" s="951">
        <v>208</v>
      </c>
      <c r="F567" s="951">
        <v>86</v>
      </c>
      <c r="G567" s="947" t="s">
        <v>159</v>
      </c>
      <c r="H567" s="951">
        <v>0</v>
      </c>
      <c r="I567" s="951">
        <v>0</v>
      </c>
      <c r="J567" s="947" t="s">
        <v>280</v>
      </c>
      <c r="K567" s="947">
        <v>218388</v>
      </c>
      <c r="M567" s="631"/>
      <c r="P567" s="950" t="str">
        <f>VLOOKUP(J567,'רשימת רשויות'!A:A,1,0)</f>
        <v>כפר יאסיף</v>
      </c>
      <c r="Q567" s="956">
        <f>IFERROR(VLOOKUP(B567,[2]מעובד!$D:$K,8,0),0)</f>
        <v>242</v>
      </c>
      <c r="R567" s="956">
        <f>IFERROR(VLOOKUP(B567,[2]מעובד!$D:$L,9,0),0)</f>
        <v>75</v>
      </c>
    </row>
    <row r="568" spans="1:18" x14ac:dyDescent="0.2">
      <c r="A568" s="947" t="s">
        <v>282</v>
      </c>
      <c r="B568" s="947">
        <v>218404</v>
      </c>
      <c r="C568" s="947" t="s">
        <v>2189</v>
      </c>
      <c r="D568" s="947" t="s">
        <v>1712</v>
      </c>
      <c r="E568" s="951">
        <v>254</v>
      </c>
      <c r="F568" s="951">
        <v>228</v>
      </c>
      <c r="G568" s="947" t="s">
        <v>159</v>
      </c>
      <c r="H568" s="951">
        <v>166</v>
      </c>
      <c r="I568" s="951">
        <v>20</v>
      </c>
      <c r="J568" s="947" t="s">
        <v>282</v>
      </c>
      <c r="K568" s="947">
        <v>218404</v>
      </c>
      <c r="M568" s="631"/>
      <c r="P568" s="950" t="str">
        <f>VLOOKUP(J568,'רשימת רשויות'!A:A,1,0)</f>
        <v>כפר כנא</v>
      </c>
      <c r="Q568" s="956">
        <f>IFERROR(VLOOKUP(B568,[2]מעובד!$D:$K,8,0),0)</f>
        <v>215</v>
      </c>
      <c r="R568" s="956">
        <f>IFERROR(VLOOKUP(B568,[2]מעובד!$D:$L,9,0),0)</f>
        <v>187</v>
      </c>
    </row>
    <row r="569" spans="1:18" x14ac:dyDescent="0.2">
      <c r="A569" s="947" t="s">
        <v>282</v>
      </c>
      <c r="B569" s="947">
        <v>218412</v>
      </c>
      <c r="C569" s="947" t="s">
        <v>2189</v>
      </c>
      <c r="D569" s="947" t="s">
        <v>1713</v>
      </c>
      <c r="E569" s="951">
        <v>215</v>
      </c>
      <c r="F569" s="951">
        <v>214</v>
      </c>
      <c r="G569" s="947" t="s">
        <v>159</v>
      </c>
      <c r="H569" s="951">
        <v>0</v>
      </c>
      <c r="I569" s="951">
        <v>0</v>
      </c>
      <c r="J569" s="947" t="s">
        <v>282</v>
      </c>
      <c r="K569" s="947">
        <v>218412</v>
      </c>
      <c r="M569" s="631"/>
      <c r="P569" s="950" t="str">
        <f>VLOOKUP(J569,'רשימת רשויות'!A:A,1,0)</f>
        <v>כפר כנא</v>
      </c>
      <c r="Q569" s="956">
        <f>IFERROR(VLOOKUP(B569,[2]מעובד!$D:$K,8,0),0)</f>
        <v>205</v>
      </c>
      <c r="R569" s="956">
        <f>IFERROR(VLOOKUP(B569,[2]מעובד!$D:$L,9,0),0)</f>
        <v>197</v>
      </c>
    </row>
    <row r="570" spans="1:18" x14ac:dyDescent="0.2">
      <c r="A570" s="947" t="s">
        <v>188</v>
      </c>
      <c r="B570" s="947">
        <v>218420</v>
      </c>
      <c r="C570" s="947" t="s">
        <v>2189</v>
      </c>
      <c r="D570" s="947" t="s">
        <v>1714</v>
      </c>
      <c r="E570" s="951">
        <v>123</v>
      </c>
      <c r="F570" s="951">
        <v>123</v>
      </c>
      <c r="G570" s="947" t="s">
        <v>159</v>
      </c>
      <c r="H570" s="951">
        <v>0</v>
      </c>
      <c r="I570" s="951">
        <v>0</v>
      </c>
      <c r="J570" s="947" t="s">
        <v>188</v>
      </c>
      <c r="K570" s="947">
        <v>218420</v>
      </c>
      <c r="M570" s="631"/>
      <c r="P570" s="950" t="str">
        <f>VLOOKUP(J570,'רשימת רשויות'!A:A,1,0)</f>
        <v>בוסתאן אל מרג</v>
      </c>
      <c r="Q570" s="956">
        <f>IFERROR(VLOOKUP(B570,[2]מעובד!$D:$K,8,0),0)</f>
        <v>108</v>
      </c>
      <c r="R570" s="956">
        <f>IFERROR(VLOOKUP(B570,[2]מעובד!$D:$L,9,0),0)</f>
        <v>80</v>
      </c>
    </row>
    <row r="571" spans="1:18" x14ac:dyDescent="0.2">
      <c r="A571" s="947" t="s">
        <v>283</v>
      </c>
      <c r="B571" s="947">
        <v>218438</v>
      </c>
      <c r="C571" s="947" t="s">
        <v>2189</v>
      </c>
      <c r="D571" s="947" t="s">
        <v>1715</v>
      </c>
      <c r="E571" s="951">
        <v>186</v>
      </c>
      <c r="F571" s="951">
        <v>152</v>
      </c>
      <c r="G571" s="947" t="s">
        <v>159</v>
      </c>
      <c r="H571" s="951">
        <v>56</v>
      </c>
      <c r="I571" s="951">
        <v>10</v>
      </c>
      <c r="J571" s="947" t="s">
        <v>283</v>
      </c>
      <c r="K571" s="947">
        <v>218438</v>
      </c>
      <c r="M571" s="631"/>
      <c r="P571" s="950" t="str">
        <f>VLOOKUP(J571,'רשימת רשויות'!A:A,1,0)</f>
        <v>כפר מנדא</v>
      </c>
      <c r="Q571" s="956">
        <f>IFERROR(VLOOKUP(B571,[2]מעובד!$D:$K,8,0),0)</f>
        <v>155</v>
      </c>
      <c r="R571" s="956">
        <f>IFERROR(VLOOKUP(B571,[2]מעובד!$D:$L,9,0),0)</f>
        <v>140</v>
      </c>
    </row>
    <row r="572" spans="1:18" x14ac:dyDescent="0.2">
      <c r="A572" s="947" t="s">
        <v>276</v>
      </c>
      <c r="B572" s="947">
        <v>218446</v>
      </c>
      <c r="C572" s="947" t="s">
        <v>2189</v>
      </c>
      <c r="D572" s="947" t="s">
        <v>2968</v>
      </c>
      <c r="E572" s="951">
        <v>122</v>
      </c>
      <c r="F572" s="951">
        <v>108</v>
      </c>
      <c r="G572" s="947" t="s">
        <v>159</v>
      </c>
      <c r="H572" s="951">
        <v>0</v>
      </c>
      <c r="I572" s="951">
        <v>0</v>
      </c>
      <c r="J572" s="947" t="s">
        <v>276</v>
      </c>
      <c r="K572" s="947">
        <v>218446</v>
      </c>
      <c r="M572" s="631"/>
      <c r="P572" s="950" t="str">
        <f>VLOOKUP(J572,'רשימת רשויות'!A:A,1,0)</f>
        <v>כסרא-סמיע</v>
      </c>
      <c r="Q572" s="956">
        <f>IFERROR(VLOOKUP(B572,[2]מעובד!$D:$K,8,0),0)</f>
        <v>0</v>
      </c>
      <c r="R572" s="956">
        <f>IFERROR(VLOOKUP(B572,[2]מעובד!$D:$L,9,0),0)</f>
        <v>0</v>
      </c>
    </row>
    <row r="573" spans="1:18" x14ac:dyDescent="0.2">
      <c r="A573" s="947" t="s">
        <v>299</v>
      </c>
      <c r="B573" s="947">
        <v>218453</v>
      </c>
      <c r="C573" s="947" t="s">
        <v>2189</v>
      </c>
      <c r="D573" s="947" t="s">
        <v>1716</v>
      </c>
      <c r="E573" s="951">
        <v>324</v>
      </c>
      <c r="F573" s="951">
        <v>323</v>
      </c>
      <c r="G573" s="947" t="s">
        <v>159</v>
      </c>
      <c r="H573" s="951">
        <v>0</v>
      </c>
      <c r="I573" s="951">
        <v>0</v>
      </c>
      <c r="J573" s="947" t="s">
        <v>299</v>
      </c>
      <c r="K573" s="947">
        <v>218453</v>
      </c>
      <c r="M573" s="631"/>
      <c r="P573" s="950" t="str">
        <f>VLOOKUP(J573,'רשימת רשויות'!A:A,1,0)</f>
        <v>מג'ד אל-כרום</v>
      </c>
      <c r="Q573" s="956">
        <f>IFERROR(VLOOKUP(B573,[2]מעובד!$D:$K,8,0),0)</f>
        <v>314</v>
      </c>
      <c r="R573" s="956">
        <f>IFERROR(VLOOKUP(B573,[2]מעובד!$D:$L,9,0),0)</f>
        <v>80</v>
      </c>
    </row>
    <row r="574" spans="1:18" x14ac:dyDescent="0.2">
      <c r="A574" s="947" t="s">
        <v>299</v>
      </c>
      <c r="B574" s="947">
        <v>218461</v>
      </c>
      <c r="C574" s="947" t="s">
        <v>2189</v>
      </c>
      <c r="D574" s="947" t="s">
        <v>1729</v>
      </c>
      <c r="E574" s="951">
        <v>310</v>
      </c>
      <c r="F574" s="951">
        <v>301</v>
      </c>
      <c r="G574" s="947" t="s">
        <v>159</v>
      </c>
      <c r="H574" s="951">
        <v>0</v>
      </c>
      <c r="I574" s="951">
        <v>0</v>
      </c>
      <c r="J574" s="947" t="s">
        <v>299</v>
      </c>
      <c r="K574" s="947">
        <v>218461</v>
      </c>
      <c r="M574" s="631"/>
      <c r="P574" s="950" t="str">
        <f>VLOOKUP(J574,'רשימת רשויות'!A:A,1,0)</f>
        <v>מג'ד אל-כרום</v>
      </c>
      <c r="Q574" s="956">
        <f>IFERROR(VLOOKUP(B574,[2]מעובד!$D:$K,8,0),0)</f>
        <v>326</v>
      </c>
      <c r="R574" s="956">
        <f>IFERROR(VLOOKUP(B574,[2]מעובד!$D:$L,9,0),0)</f>
        <v>80</v>
      </c>
    </row>
    <row r="575" spans="1:18" x14ac:dyDescent="0.2">
      <c r="A575" s="947" t="s">
        <v>298</v>
      </c>
      <c r="B575" s="947">
        <v>218479</v>
      </c>
      <c r="C575" s="947" t="s">
        <v>2189</v>
      </c>
      <c r="D575" s="947" t="s">
        <v>1401</v>
      </c>
      <c r="E575" s="951">
        <v>208</v>
      </c>
      <c r="F575" s="951">
        <v>208</v>
      </c>
      <c r="G575" s="947" t="s">
        <v>159</v>
      </c>
      <c r="H575" s="951">
        <v>0</v>
      </c>
      <c r="I575" s="951">
        <v>0</v>
      </c>
      <c r="J575" s="947" t="s">
        <v>298</v>
      </c>
      <c r="K575" s="947">
        <v>218479</v>
      </c>
      <c r="M575" s="631"/>
      <c r="P575" s="950" t="str">
        <f>VLOOKUP(J575,'רשימת רשויות'!A:A,1,0)</f>
        <v>מג'אר</v>
      </c>
      <c r="Q575" s="956">
        <f>IFERROR(VLOOKUP(B575,[2]מעובד!$D:$K,8,0),0)</f>
        <v>210</v>
      </c>
      <c r="R575" s="956">
        <f>IFERROR(VLOOKUP(B575,[2]מעובד!$D:$L,9,0),0)</f>
        <v>120</v>
      </c>
    </row>
    <row r="576" spans="1:18" x14ac:dyDescent="0.2">
      <c r="A576" s="947" t="s">
        <v>298</v>
      </c>
      <c r="B576" s="947">
        <v>218487</v>
      </c>
      <c r="C576" s="947" t="s">
        <v>2189</v>
      </c>
      <c r="D576" s="947" t="s">
        <v>2388</v>
      </c>
      <c r="E576" s="951">
        <v>137</v>
      </c>
      <c r="F576" s="951">
        <v>113</v>
      </c>
      <c r="G576" s="947" t="s">
        <v>159</v>
      </c>
      <c r="H576" s="951">
        <v>93</v>
      </c>
      <c r="I576" s="951">
        <v>16</v>
      </c>
      <c r="J576" s="947" t="s">
        <v>298</v>
      </c>
      <c r="K576" s="947">
        <v>218487</v>
      </c>
      <c r="M576" s="631"/>
      <c r="P576" s="950" t="str">
        <f>VLOOKUP(J576,'רשימת רשויות'!A:A,1,0)</f>
        <v>מג'אר</v>
      </c>
      <c r="Q576" s="956">
        <f>IFERROR(VLOOKUP(B576,[2]מעובד!$D:$K,8,0),0)</f>
        <v>95</v>
      </c>
      <c r="R576" s="956">
        <f>IFERROR(VLOOKUP(B576,[2]מעובד!$D:$L,9,0),0)</f>
        <v>95</v>
      </c>
    </row>
    <row r="577" spans="1:18" x14ac:dyDescent="0.2">
      <c r="A577" s="947" t="s">
        <v>228</v>
      </c>
      <c r="B577" s="947">
        <v>218495</v>
      </c>
      <c r="C577" s="947" t="s">
        <v>2189</v>
      </c>
      <c r="D577" s="947" t="s">
        <v>2969</v>
      </c>
      <c r="E577" s="951">
        <v>249</v>
      </c>
      <c r="F577" s="951">
        <v>43</v>
      </c>
      <c r="G577" s="947" t="s">
        <v>159</v>
      </c>
      <c r="H577" s="951">
        <v>92</v>
      </c>
      <c r="I577" s="951">
        <v>0</v>
      </c>
      <c r="J577" s="947" t="s">
        <v>228</v>
      </c>
      <c r="K577" s="947">
        <v>218495</v>
      </c>
      <c r="M577" s="631"/>
      <c r="P577" s="950" t="str">
        <f>VLOOKUP(J577,'רשימת רשויות'!A:A,1,0)</f>
        <v>הגלבוע</v>
      </c>
      <c r="Q577" s="956">
        <f>IFERROR(VLOOKUP(B577,[2]מעובד!$D:$K,8,0),0)</f>
        <v>0</v>
      </c>
      <c r="R577" s="956">
        <f>IFERROR(VLOOKUP(B577,[2]מעובד!$D:$L,9,0),0)</f>
        <v>0</v>
      </c>
    </row>
    <row r="578" spans="1:18" x14ac:dyDescent="0.2">
      <c r="A578" s="947" t="s">
        <v>308</v>
      </c>
      <c r="B578" s="947">
        <v>218503</v>
      </c>
      <c r="C578" s="947" t="s">
        <v>2189</v>
      </c>
      <c r="D578" s="947" t="s">
        <v>2970</v>
      </c>
      <c r="E578" s="951">
        <v>258</v>
      </c>
      <c r="F578" s="951">
        <v>258</v>
      </c>
      <c r="G578" s="947" t="s">
        <v>159</v>
      </c>
      <c r="H578" s="951">
        <v>0</v>
      </c>
      <c r="I578" s="951">
        <v>0</v>
      </c>
      <c r="J578" s="947" t="s">
        <v>308</v>
      </c>
      <c r="K578" s="947">
        <v>218503</v>
      </c>
      <c r="M578" s="631"/>
      <c r="P578" s="950" t="str">
        <f>VLOOKUP(J578,'רשימת רשויות'!A:A,1,0)</f>
        <v>מזרעה</v>
      </c>
      <c r="Q578" s="956">
        <f>IFERROR(VLOOKUP(B578,[2]מעובד!$D:$K,8,0),0)</f>
        <v>211</v>
      </c>
      <c r="R578" s="956">
        <f>IFERROR(VLOOKUP(B578,[2]מעובד!$D:$L,9,0),0)</f>
        <v>189</v>
      </c>
    </row>
    <row r="579" spans="1:18" x14ac:dyDescent="0.2">
      <c r="A579" s="947" t="s">
        <v>207</v>
      </c>
      <c r="B579" s="947">
        <v>218511</v>
      </c>
      <c r="C579" s="947" t="s">
        <v>2189</v>
      </c>
      <c r="D579" s="947" t="s">
        <v>1730</v>
      </c>
      <c r="E579" s="951">
        <v>228</v>
      </c>
      <c r="F579" s="951">
        <v>228</v>
      </c>
      <c r="G579" s="947" t="s">
        <v>159</v>
      </c>
      <c r="H579" s="951">
        <v>0</v>
      </c>
      <c r="I579" s="951">
        <v>0</v>
      </c>
      <c r="J579" s="947" t="s">
        <v>207</v>
      </c>
      <c r="K579" s="947">
        <v>218511</v>
      </c>
      <c r="M579" s="631"/>
      <c r="P579" s="950" t="str">
        <f>VLOOKUP(J579,'רשימת רשויות'!A:A,1,0)</f>
        <v>ג'דיידה-מכר</v>
      </c>
      <c r="Q579" s="956">
        <f>IFERROR(VLOOKUP(B579,[2]מעובד!$D:$K,8,0),0)</f>
        <v>227</v>
      </c>
      <c r="R579" s="956">
        <f>IFERROR(VLOOKUP(B579,[2]מעובד!$D:$L,9,0),0)</f>
        <v>120</v>
      </c>
    </row>
    <row r="580" spans="1:18" x14ac:dyDescent="0.2">
      <c r="A580" s="947" t="s">
        <v>316</v>
      </c>
      <c r="B580" s="947">
        <v>218529</v>
      </c>
      <c r="C580" s="947" t="s">
        <v>2189</v>
      </c>
      <c r="D580" s="947" t="s">
        <v>2971</v>
      </c>
      <c r="E580" s="951">
        <v>145</v>
      </c>
      <c r="F580" s="951">
        <v>0</v>
      </c>
      <c r="G580" s="947" t="s">
        <v>159</v>
      </c>
      <c r="H580" s="951">
        <v>0</v>
      </c>
      <c r="I580" s="951">
        <v>0</v>
      </c>
      <c r="J580" s="947" t="s">
        <v>316</v>
      </c>
      <c r="K580" s="947">
        <v>218529</v>
      </c>
      <c r="M580" s="631"/>
      <c r="P580" s="950" t="str">
        <f>VLOOKUP(J580,'רשימת רשויות'!A:A,1,0)</f>
        <v>מעיליא</v>
      </c>
      <c r="Q580" s="956">
        <f>IFERROR(VLOOKUP(B580,[2]מעובד!$D:$K,8,0),0)</f>
        <v>0</v>
      </c>
      <c r="R580" s="956">
        <f>IFERROR(VLOOKUP(B580,[2]מעובד!$D:$L,9,0),0)</f>
        <v>0</v>
      </c>
    </row>
    <row r="581" spans="1:18" x14ac:dyDescent="0.2">
      <c r="A581" s="947" t="s">
        <v>326</v>
      </c>
      <c r="B581" s="947">
        <v>218537</v>
      </c>
      <c r="C581" s="947" t="s">
        <v>2189</v>
      </c>
      <c r="D581" s="947" t="s">
        <v>1731</v>
      </c>
      <c r="E581" s="951">
        <v>244</v>
      </c>
      <c r="F581" s="951">
        <v>166</v>
      </c>
      <c r="G581" s="947" t="s">
        <v>159</v>
      </c>
      <c r="H581" s="951">
        <v>0</v>
      </c>
      <c r="I581" s="951">
        <v>0</v>
      </c>
      <c r="J581" s="947" t="s">
        <v>326</v>
      </c>
      <c r="K581" s="947">
        <v>218537</v>
      </c>
      <c r="M581" s="631"/>
      <c r="P581" s="950" t="str">
        <f>VLOOKUP(J581,'רשימת רשויות'!A:A,1,0)</f>
        <v>משהד</v>
      </c>
      <c r="Q581" s="956">
        <f>IFERROR(VLOOKUP(B581,[2]מעובד!$D:$K,8,0),0)</f>
        <v>273</v>
      </c>
      <c r="R581" s="956">
        <f>IFERROR(VLOOKUP(B581,[2]מעובד!$D:$L,9,0),0)</f>
        <v>82</v>
      </c>
    </row>
    <row r="582" spans="1:18" x14ac:dyDescent="0.2">
      <c r="A582" s="947" t="s">
        <v>228</v>
      </c>
      <c r="B582" s="947">
        <v>218545</v>
      </c>
      <c r="C582" s="947" t="s">
        <v>2189</v>
      </c>
      <c r="D582" s="947" t="s">
        <v>2972</v>
      </c>
      <c r="E582" s="951">
        <v>169</v>
      </c>
      <c r="F582" s="951">
        <v>0</v>
      </c>
      <c r="G582" s="947" t="s">
        <v>159</v>
      </c>
      <c r="H582" s="951">
        <v>70</v>
      </c>
      <c r="I582" s="951">
        <v>0</v>
      </c>
      <c r="J582" s="947" t="s">
        <v>228</v>
      </c>
      <c r="K582" s="947">
        <v>218545</v>
      </c>
      <c r="M582" s="631"/>
      <c r="P582" s="950" t="str">
        <f>VLOOKUP(J582,'רשימת רשויות'!A:A,1,0)</f>
        <v>הגלבוע</v>
      </c>
      <c r="Q582" s="956">
        <f>IFERROR(VLOOKUP(B582,[2]מעובד!$D:$K,8,0),0)</f>
        <v>0</v>
      </c>
      <c r="R582" s="956">
        <f>IFERROR(VLOOKUP(B582,[2]מעובד!$D:$L,9,0),0)</f>
        <v>0</v>
      </c>
    </row>
    <row r="583" spans="1:18" x14ac:dyDescent="0.2">
      <c r="A583" s="947" t="s">
        <v>331</v>
      </c>
      <c r="B583" s="947">
        <v>218552</v>
      </c>
      <c r="C583" s="947" t="s">
        <v>2189</v>
      </c>
      <c r="D583" s="947" t="s">
        <v>1769</v>
      </c>
      <c r="E583" s="951">
        <v>396</v>
      </c>
      <c r="F583" s="951">
        <v>356</v>
      </c>
      <c r="G583" s="947" t="s">
        <v>159</v>
      </c>
      <c r="H583" s="951">
        <v>267</v>
      </c>
      <c r="I583" s="951">
        <v>13</v>
      </c>
      <c r="J583" s="947" t="s">
        <v>331</v>
      </c>
      <c r="K583" s="947">
        <v>218552</v>
      </c>
      <c r="M583" s="631"/>
      <c r="P583" s="950" t="str">
        <f>VLOOKUP(J583,'רשימת רשויות'!A:A,1,0)</f>
        <v>נחף</v>
      </c>
      <c r="Q583" s="956">
        <f>IFERROR(VLOOKUP(B583,[2]מעובד!$D:$K,8,0),0)</f>
        <v>344</v>
      </c>
      <c r="R583" s="956">
        <f>IFERROR(VLOOKUP(B583,[2]מעובד!$D:$L,9,0),0)</f>
        <v>318</v>
      </c>
    </row>
    <row r="584" spans="1:18" x14ac:dyDescent="0.2">
      <c r="A584" s="947" t="s">
        <v>188</v>
      </c>
      <c r="B584" s="947">
        <v>218560</v>
      </c>
      <c r="C584" s="947" t="s">
        <v>2189</v>
      </c>
      <c r="D584" s="947" t="s">
        <v>1770</v>
      </c>
      <c r="E584" s="951">
        <v>163</v>
      </c>
      <c r="F584" s="951">
        <v>151</v>
      </c>
      <c r="G584" s="947" t="s">
        <v>159</v>
      </c>
      <c r="H584" s="951">
        <v>0</v>
      </c>
      <c r="I584" s="951">
        <v>0</v>
      </c>
      <c r="J584" s="947" t="s">
        <v>188</v>
      </c>
      <c r="K584" s="947">
        <v>218560</v>
      </c>
      <c r="M584" s="631"/>
      <c r="P584" s="950" t="str">
        <f>VLOOKUP(J584,'רשימת רשויות'!A:A,1,0)</f>
        <v>בוסתאן אל מרג</v>
      </c>
      <c r="Q584" s="956">
        <f>IFERROR(VLOOKUP(B584,[2]מעובד!$D:$K,8,0),0)</f>
        <v>152</v>
      </c>
      <c r="R584" s="956">
        <f>IFERROR(VLOOKUP(B584,[2]מעובד!$D:$L,9,0),0)</f>
        <v>53</v>
      </c>
    </row>
    <row r="585" spans="1:18" x14ac:dyDescent="0.2">
      <c r="A585" s="947" t="s">
        <v>178</v>
      </c>
      <c r="B585" s="947">
        <v>218578</v>
      </c>
      <c r="C585" s="947" t="s">
        <v>2189</v>
      </c>
      <c r="D585" s="947" t="s">
        <v>1771</v>
      </c>
      <c r="E585" s="951">
        <v>319</v>
      </c>
      <c r="F585" s="951">
        <v>305</v>
      </c>
      <c r="G585" s="947" t="s">
        <v>3252</v>
      </c>
      <c r="H585" s="951">
        <v>0</v>
      </c>
      <c r="I585" s="951">
        <v>0</v>
      </c>
      <c r="J585" s="947" t="s">
        <v>178</v>
      </c>
      <c r="K585" s="947">
        <v>218578</v>
      </c>
      <c r="M585" s="631"/>
      <c r="P585" s="950" t="str">
        <f>VLOOKUP(J585,'רשימת רשויות'!A:A,1,0)</f>
        <v>אעבלין</v>
      </c>
      <c r="Q585" s="956">
        <f>IFERROR(VLOOKUP(B585,[2]מעובד!$D:$K,8,0),0)</f>
        <v>0</v>
      </c>
      <c r="R585" s="956">
        <f>IFERROR(VLOOKUP(B585,[2]מעובד!$D:$L,9,0),0)</f>
        <v>0</v>
      </c>
    </row>
    <row r="586" spans="1:18" x14ac:dyDescent="0.2">
      <c r="A586" s="947" t="s">
        <v>299</v>
      </c>
      <c r="B586" s="947">
        <v>218586</v>
      </c>
      <c r="C586" s="947" t="s">
        <v>2189</v>
      </c>
      <c r="D586" s="947" t="s">
        <v>600</v>
      </c>
      <c r="E586" s="951">
        <v>155</v>
      </c>
      <c r="F586" s="951">
        <v>143</v>
      </c>
      <c r="G586" s="947" t="s">
        <v>159</v>
      </c>
      <c r="H586" s="951">
        <v>59</v>
      </c>
      <c r="I586" s="951">
        <v>12</v>
      </c>
      <c r="J586" s="947" t="s">
        <v>299</v>
      </c>
      <c r="K586" s="947">
        <v>218586</v>
      </c>
      <c r="M586" s="631"/>
      <c r="P586" s="950" t="str">
        <f>VLOOKUP(J586,'רשימת רשויות'!A:A,1,0)</f>
        <v>מג'ד אל-כרום</v>
      </c>
      <c r="Q586" s="956">
        <f>IFERROR(VLOOKUP(B586,[2]מעובד!$D:$K,8,0),0)</f>
        <v>139</v>
      </c>
      <c r="R586" s="956">
        <f>IFERROR(VLOOKUP(B586,[2]מעובד!$D:$L,9,0),0)</f>
        <v>60</v>
      </c>
    </row>
    <row r="587" spans="1:18" x14ac:dyDescent="0.2">
      <c r="A587" s="947" t="s">
        <v>333</v>
      </c>
      <c r="B587" s="947">
        <v>218602</v>
      </c>
      <c r="C587" s="947" t="s">
        <v>2189</v>
      </c>
      <c r="D587" s="947" t="s">
        <v>1772</v>
      </c>
      <c r="E587" s="951">
        <v>127</v>
      </c>
      <c r="F587" s="951">
        <v>101</v>
      </c>
      <c r="G587" s="947" t="s">
        <v>159</v>
      </c>
      <c r="H587" s="951">
        <v>47</v>
      </c>
      <c r="I587" s="951">
        <v>13</v>
      </c>
      <c r="J587" s="947" t="s">
        <v>333</v>
      </c>
      <c r="K587" s="947">
        <v>218602</v>
      </c>
      <c r="M587" s="631"/>
      <c r="P587" s="950" t="str">
        <f>VLOOKUP(J587,'רשימת רשויות'!A:A,1,0)</f>
        <v>נצרת</v>
      </c>
      <c r="Q587" s="956">
        <f>IFERROR(VLOOKUP(B587,[2]מעובד!$D:$K,8,0),0)</f>
        <v>117</v>
      </c>
      <c r="R587" s="956">
        <f>IFERROR(VLOOKUP(B587,[2]מעובד!$D:$L,9,0),0)</f>
        <v>78</v>
      </c>
    </row>
    <row r="588" spans="1:18" x14ac:dyDescent="0.2">
      <c r="A588" s="947" t="s">
        <v>333</v>
      </c>
      <c r="B588" s="947">
        <v>218610</v>
      </c>
      <c r="C588" s="947" t="s">
        <v>2189</v>
      </c>
      <c r="D588" s="947" t="s">
        <v>1789</v>
      </c>
      <c r="E588" s="951">
        <v>70</v>
      </c>
      <c r="F588" s="951">
        <v>70</v>
      </c>
      <c r="G588" s="947" t="s">
        <v>159</v>
      </c>
      <c r="H588" s="951">
        <v>0</v>
      </c>
      <c r="I588" s="951">
        <v>0</v>
      </c>
      <c r="J588" s="947" t="s">
        <v>333</v>
      </c>
      <c r="K588" s="947">
        <v>218610</v>
      </c>
      <c r="M588" s="631"/>
      <c r="P588" s="950" t="str">
        <f>VLOOKUP(J588,'רשימת רשויות'!A:A,1,0)</f>
        <v>נצרת</v>
      </c>
      <c r="Q588" s="956">
        <f>IFERROR(VLOOKUP(B588,[2]מעובד!$D:$K,8,0),0)</f>
        <v>119</v>
      </c>
      <c r="R588" s="956">
        <f>IFERROR(VLOOKUP(B588,[2]מעובד!$D:$L,9,0),0)</f>
        <v>52</v>
      </c>
    </row>
    <row r="589" spans="1:18" x14ac:dyDescent="0.2">
      <c r="A589" s="947" t="s">
        <v>333</v>
      </c>
      <c r="B589" s="947">
        <v>218651</v>
      </c>
      <c r="C589" s="947" t="s">
        <v>2189</v>
      </c>
      <c r="D589" s="947" t="s">
        <v>2389</v>
      </c>
      <c r="E589" s="951">
        <v>223</v>
      </c>
      <c r="F589" s="951">
        <v>223</v>
      </c>
      <c r="G589" s="947" t="s">
        <v>159</v>
      </c>
      <c r="H589" s="951">
        <v>0</v>
      </c>
      <c r="I589" s="951">
        <v>0</v>
      </c>
      <c r="J589" s="947" t="s">
        <v>333</v>
      </c>
      <c r="K589" s="947">
        <v>218651</v>
      </c>
      <c r="M589" s="631"/>
      <c r="P589" s="950" t="str">
        <f>VLOOKUP(J589,'רשימת רשויות'!A:A,1,0)</f>
        <v>נצרת</v>
      </c>
      <c r="Q589" s="956">
        <f>IFERROR(VLOOKUP(B589,[2]מעובד!$D:$K,8,0),0)</f>
        <v>230</v>
      </c>
      <c r="R589" s="956">
        <f>IFERROR(VLOOKUP(B589,[2]מעובד!$D:$L,9,0),0)</f>
        <v>75</v>
      </c>
    </row>
    <row r="590" spans="1:18" x14ac:dyDescent="0.2">
      <c r="A590" s="947" t="s">
        <v>333</v>
      </c>
      <c r="B590" s="947">
        <v>218669</v>
      </c>
      <c r="C590" s="947" t="s">
        <v>2189</v>
      </c>
      <c r="D590" s="947" t="s">
        <v>1790</v>
      </c>
      <c r="E590" s="951">
        <v>196</v>
      </c>
      <c r="F590" s="951">
        <v>388</v>
      </c>
      <c r="G590" s="947" t="s">
        <v>159</v>
      </c>
      <c r="H590" s="951">
        <v>0</v>
      </c>
      <c r="I590" s="951">
        <v>0</v>
      </c>
      <c r="J590" s="947" t="s">
        <v>333</v>
      </c>
      <c r="K590" s="947">
        <v>218669</v>
      </c>
      <c r="M590" s="631"/>
      <c r="P590" s="950" t="str">
        <f>VLOOKUP(J590,'רשימת רשויות'!A:A,1,0)</f>
        <v>נצרת</v>
      </c>
      <c r="Q590" s="956">
        <f>IFERROR(VLOOKUP(B590,[2]מעובד!$D:$K,8,0),0)</f>
        <v>223</v>
      </c>
      <c r="R590" s="956">
        <f>IFERROR(VLOOKUP(B590,[2]מעובד!$D:$L,9,0),0)</f>
        <v>141</v>
      </c>
    </row>
    <row r="591" spans="1:18" x14ac:dyDescent="0.2">
      <c r="A591" s="947" t="s">
        <v>333</v>
      </c>
      <c r="B591" s="947">
        <v>218677</v>
      </c>
      <c r="C591" s="947" t="s">
        <v>2189</v>
      </c>
      <c r="D591" s="947" t="s">
        <v>1791</v>
      </c>
      <c r="E591" s="951">
        <v>133</v>
      </c>
      <c r="F591" s="951">
        <v>121</v>
      </c>
      <c r="G591" s="947" t="s">
        <v>159</v>
      </c>
      <c r="H591" s="951">
        <v>57</v>
      </c>
      <c r="I591" s="951">
        <v>12</v>
      </c>
      <c r="J591" s="947" t="s">
        <v>333</v>
      </c>
      <c r="K591" s="947">
        <v>218677</v>
      </c>
      <c r="M591" s="631"/>
      <c r="P591" s="950" t="str">
        <f>VLOOKUP(J591,'רשימת רשויות'!A:A,1,0)</f>
        <v>נצרת</v>
      </c>
      <c r="Q591" s="956">
        <f>IFERROR(VLOOKUP(B591,[2]מעובד!$D:$K,8,0),0)</f>
        <v>120</v>
      </c>
      <c r="R591" s="956">
        <f>IFERROR(VLOOKUP(B591,[2]מעובד!$D:$L,9,0),0)</f>
        <v>75</v>
      </c>
    </row>
    <row r="592" spans="1:18" x14ac:dyDescent="0.2">
      <c r="A592" s="947" t="s">
        <v>337</v>
      </c>
      <c r="B592" s="947">
        <v>218685</v>
      </c>
      <c r="C592" s="947" t="s">
        <v>2189</v>
      </c>
      <c r="D592" s="947" t="s">
        <v>1792</v>
      </c>
      <c r="E592" s="951">
        <v>80</v>
      </c>
      <c r="F592" s="951">
        <v>79</v>
      </c>
      <c r="G592" s="947" t="s">
        <v>159</v>
      </c>
      <c r="H592" s="951">
        <v>0</v>
      </c>
      <c r="I592" s="951">
        <v>0</v>
      </c>
      <c r="J592" s="947" t="s">
        <v>337</v>
      </c>
      <c r="K592" s="947">
        <v>218685</v>
      </c>
      <c r="M592" s="631"/>
      <c r="P592" s="950" t="str">
        <f>VLOOKUP(J592,'רשימת רשויות'!A:A,1,0)</f>
        <v>סאג'ור</v>
      </c>
      <c r="Q592" s="956">
        <f>IFERROR(VLOOKUP(B592,[2]מעובד!$D:$K,8,0),0)</f>
        <v>0</v>
      </c>
      <c r="R592" s="956">
        <f>IFERROR(VLOOKUP(B592,[2]מעובד!$D:$L,9,0),0)</f>
        <v>0</v>
      </c>
    </row>
    <row r="593" spans="1:18" x14ac:dyDescent="0.2">
      <c r="A593" s="947" t="s">
        <v>188</v>
      </c>
      <c r="B593" s="947">
        <v>218693</v>
      </c>
      <c r="C593" s="947" t="s">
        <v>2189</v>
      </c>
      <c r="D593" s="947" t="s">
        <v>1793</v>
      </c>
      <c r="E593" s="951">
        <v>159</v>
      </c>
      <c r="F593" s="951">
        <v>159</v>
      </c>
      <c r="G593" s="947" t="s">
        <v>159</v>
      </c>
      <c r="H593" s="951">
        <v>0</v>
      </c>
      <c r="I593" s="951">
        <v>0</v>
      </c>
      <c r="J593" s="947" t="s">
        <v>188</v>
      </c>
      <c r="K593" s="947">
        <v>218693</v>
      </c>
      <c r="M593" s="631"/>
      <c r="P593" s="950" t="str">
        <f>VLOOKUP(J593,'רשימת רשויות'!A:A,1,0)</f>
        <v>בוסתאן אל מרג</v>
      </c>
      <c r="Q593" s="956">
        <f>IFERROR(VLOOKUP(B593,[2]מעובד!$D:$K,8,0),0)</f>
        <v>0</v>
      </c>
      <c r="R593" s="956">
        <f>IFERROR(VLOOKUP(B593,[2]מעובד!$D:$L,9,0),0)</f>
        <v>0</v>
      </c>
    </row>
    <row r="594" spans="1:18" x14ac:dyDescent="0.2">
      <c r="A594" s="947" t="s">
        <v>339</v>
      </c>
      <c r="B594" s="947">
        <v>218719</v>
      </c>
      <c r="C594" s="947" t="s">
        <v>2189</v>
      </c>
      <c r="D594" s="947" t="s">
        <v>1849</v>
      </c>
      <c r="E594" s="951">
        <v>269</v>
      </c>
      <c r="F594" s="951">
        <v>231</v>
      </c>
      <c r="G594" s="947" t="s">
        <v>159</v>
      </c>
      <c r="H594" s="951">
        <v>0</v>
      </c>
      <c r="I594" s="951">
        <v>0</v>
      </c>
      <c r="J594" s="947" t="s">
        <v>339</v>
      </c>
      <c r="K594" s="947">
        <v>218719</v>
      </c>
      <c r="M594" s="631"/>
      <c r="P594" s="950" t="str">
        <f>VLOOKUP(J594,'רשימת רשויות'!A:A,1,0)</f>
        <v>סח'נין</v>
      </c>
      <c r="Q594" s="956">
        <f>IFERROR(VLOOKUP(B594,[2]מעובד!$D:$K,8,0),0)</f>
        <v>0</v>
      </c>
      <c r="R594" s="956">
        <f>IFERROR(VLOOKUP(B594,[2]מעובד!$D:$L,9,0),0)</f>
        <v>0</v>
      </c>
    </row>
    <row r="595" spans="1:18" x14ac:dyDescent="0.2">
      <c r="A595" s="947" t="s">
        <v>228</v>
      </c>
      <c r="B595" s="947">
        <v>218735</v>
      </c>
      <c r="C595" s="947" t="s">
        <v>2189</v>
      </c>
      <c r="D595" s="947" t="s">
        <v>2973</v>
      </c>
      <c r="E595" s="951">
        <v>112</v>
      </c>
      <c r="F595" s="951">
        <v>0</v>
      </c>
      <c r="G595" s="947" t="s">
        <v>159</v>
      </c>
      <c r="H595" s="951">
        <v>0</v>
      </c>
      <c r="I595" s="951">
        <v>0</v>
      </c>
      <c r="J595" s="947" t="s">
        <v>228</v>
      </c>
      <c r="K595" s="947">
        <v>218735</v>
      </c>
      <c r="M595" s="631"/>
      <c r="P595" s="950" t="str">
        <f>VLOOKUP(J595,'רשימת רשויות'!A:A,1,0)</f>
        <v>הגלבוע</v>
      </c>
      <c r="Q595" s="956">
        <f>IFERROR(VLOOKUP(B595,[2]מעובד!$D:$K,8,0),0)</f>
        <v>0</v>
      </c>
      <c r="R595" s="956">
        <f>IFERROR(VLOOKUP(B595,[2]מעובד!$D:$L,9,0),0)</f>
        <v>0</v>
      </c>
    </row>
    <row r="596" spans="1:18" x14ac:dyDescent="0.2">
      <c r="A596" s="947" t="s">
        <v>178</v>
      </c>
      <c r="B596" s="947">
        <v>218743</v>
      </c>
      <c r="C596" s="947" t="s">
        <v>2189</v>
      </c>
      <c r="D596" s="947" t="s">
        <v>1850</v>
      </c>
      <c r="E596" s="951">
        <v>244</v>
      </c>
      <c r="F596" s="951">
        <v>211</v>
      </c>
      <c r="G596" s="947" t="s">
        <v>159</v>
      </c>
      <c r="H596" s="951">
        <v>0</v>
      </c>
      <c r="I596" s="951">
        <v>0</v>
      </c>
      <c r="J596" s="947" t="s">
        <v>178</v>
      </c>
      <c r="K596" s="947">
        <v>218743</v>
      </c>
      <c r="M596" s="631"/>
      <c r="P596" s="950" t="str">
        <f>VLOOKUP(J596,'רשימת רשויות'!A:A,1,0)</f>
        <v>אעבלין</v>
      </c>
      <c r="Q596" s="956">
        <f>IFERROR(VLOOKUP(B596,[2]מעובד!$D:$K,8,0),0)</f>
        <v>229</v>
      </c>
      <c r="R596" s="956">
        <f>IFERROR(VLOOKUP(B596,[2]מעובד!$D:$L,9,0),0)</f>
        <v>58</v>
      </c>
    </row>
    <row r="597" spans="1:18" x14ac:dyDescent="0.2">
      <c r="A597" s="947" t="s">
        <v>342</v>
      </c>
      <c r="B597" s="947">
        <v>218750</v>
      </c>
      <c r="C597" s="947" t="s">
        <v>2189</v>
      </c>
      <c r="D597" s="947" t="s">
        <v>1851</v>
      </c>
      <c r="E597" s="951">
        <v>247</v>
      </c>
      <c r="F597" s="951">
        <v>210</v>
      </c>
      <c r="G597" s="947" t="s">
        <v>159</v>
      </c>
      <c r="H597" s="951">
        <v>106</v>
      </c>
      <c r="I597" s="951">
        <v>8</v>
      </c>
      <c r="J597" s="947" t="s">
        <v>342</v>
      </c>
      <c r="K597" s="947">
        <v>218750</v>
      </c>
      <c r="M597" s="631"/>
      <c r="P597" s="950" t="str">
        <f>VLOOKUP(J597,'רשימת רשויות'!A:A,1,0)</f>
        <v>עילבון</v>
      </c>
      <c r="Q597" s="956">
        <f>IFERROR(VLOOKUP(B597,[2]מעובד!$D:$K,8,0),0)</f>
        <v>0</v>
      </c>
      <c r="R597" s="956">
        <f>IFERROR(VLOOKUP(B597,[2]מעובד!$D:$L,9,0),0)</f>
        <v>0</v>
      </c>
    </row>
    <row r="598" spans="1:18" x14ac:dyDescent="0.2">
      <c r="A598" s="947" t="s">
        <v>343</v>
      </c>
      <c r="B598" s="947">
        <v>218768</v>
      </c>
      <c r="C598" s="947" t="s">
        <v>2189</v>
      </c>
      <c r="D598" s="947" t="s">
        <v>1852</v>
      </c>
      <c r="E598" s="951">
        <v>247</v>
      </c>
      <c r="F598" s="951">
        <v>246</v>
      </c>
      <c r="G598" s="947" t="s">
        <v>159</v>
      </c>
      <c r="H598" s="951">
        <v>0</v>
      </c>
      <c r="I598" s="951">
        <v>0</v>
      </c>
      <c r="J598" s="947" t="s">
        <v>343</v>
      </c>
      <c r="K598" s="947">
        <v>218768</v>
      </c>
      <c r="M598" s="631"/>
      <c r="P598" s="950" t="str">
        <f>VLOOKUP(J598,'רשימת רשויות'!A:A,1,0)</f>
        <v>עילוט</v>
      </c>
      <c r="Q598" s="956">
        <f>IFERROR(VLOOKUP(B598,[2]מעובד!$D:$K,8,0),0)</f>
        <v>220</v>
      </c>
      <c r="R598" s="956">
        <f>IFERROR(VLOOKUP(B598,[2]מעובד!$D:$L,9,0),0)</f>
        <v>61</v>
      </c>
    </row>
    <row r="599" spans="1:18" x14ac:dyDescent="0.2">
      <c r="A599" s="947" t="s">
        <v>323</v>
      </c>
      <c r="B599" s="947">
        <v>218776</v>
      </c>
      <c r="C599" s="947" t="s">
        <v>2189</v>
      </c>
      <c r="D599" s="947" t="s">
        <v>1866</v>
      </c>
      <c r="E599" s="951">
        <v>40</v>
      </c>
      <c r="F599" s="951">
        <v>32</v>
      </c>
      <c r="G599" s="947" t="s">
        <v>159</v>
      </c>
      <c r="H599" s="951">
        <v>0</v>
      </c>
      <c r="I599" s="951">
        <v>0</v>
      </c>
      <c r="J599" s="947" t="s">
        <v>323</v>
      </c>
      <c r="K599" s="947">
        <v>218776</v>
      </c>
      <c r="M599" s="631"/>
      <c r="P599" s="950" t="str">
        <f>VLOOKUP(J599,'רשימת רשויות'!A:A,1,0)</f>
        <v>מרום הגליל</v>
      </c>
      <c r="Q599" s="956">
        <f>IFERROR(VLOOKUP(B599,[2]מעובד!$D:$K,8,0),0)</f>
        <v>0</v>
      </c>
      <c r="R599" s="956">
        <f>IFERROR(VLOOKUP(B599,[2]מעובד!$D:$L,9,0),0)</f>
        <v>0</v>
      </c>
    </row>
    <row r="600" spans="1:18" x14ac:dyDescent="0.2">
      <c r="A600" s="947" t="s">
        <v>344</v>
      </c>
      <c r="B600" s="947">
        <v>218784</v>
      </c>
      <c r="C600" s="947" t="s">
        <v>2189</v>
      </c>
      <c r="D600" s="947" t="s">
        <v>1022</v>
      </c>
      <c r="E600" s="951">
        <v>129</v>
      </c>
      <c r="F600" s="951">
        <v>129</v>
      </c>
      <c r="G600" s="947" t="s">
        <v>159</v>
      </c>
      <c r="H600" s="951">
        <v>0</v>
      </c>
      <c r="I600" s="951">
        <v>0</v>
      </c>
      <c r="J600" s="947" t="s">
        <v>344</v>
      </c>
      <c r="K600" s="947">
        <v>218784</v>
      </c>
      <c r="M600" s="631"/>
      <c r="P600" s="950" t="str">
        <f>VLOOKUP(J600,'רשימת רשויות'!A:A,1,0)</f>
        <v>עין מאה'ל</v>
      </c>
      <c r="Q600" s="956">
        <f>IFERROR(VLOOKUP(B600,[2]מעובד!$D:$K,8,0),0)</f>
        <v>89</v>
      </c>
      <c r="R600" s="956">
        <f>IFERROR(VLOOKUP(B600,[2]מעובד!$D:$L,9,0),0)</f>
        <v>41</v>
      </c>
    </row>
    <row r="601" spans="1:18" x14ac:dyDescent="0.2">
      <c r="A601" s="947" t="s">
        <v>346</v>
      </c>
      <c r="B601" s="947">
        <v>218800</v>
      </c>
      <c r="C601" s="947" t="s">
        <v>2189</v>
      </c>
      <c r="D601" s="947" t="s">
        <v>1867</v>
      </c>
      <c r="E601" s="951">
        <v>273</v>
      </c>
      <c r="F601" s="951">
        <v>254</v>
      </c>
      <c r="G601" s="947" t="s">
        <v>159</v>
      </c>
      <c r="H601" s="951">
        <v>196</v>
      </c>
      <c r="I601" s="951">
        <v>19</v>
      </c>
      <c r="J601" s="947" t="s">
        <v>346</v>
      </c>
      <c r="K601" s="947">
        <v>218800</v>
      </c>
      <c r="M601" s="631"/>
      <c r="P601" s="950" t="str">
        <f>VLOOKUP(J601,'רשימת רשויות'!A:A,1,0)</f>
        <v>עכו</v>
      </c>
      <c r="Q601" s="956">
        <f>IFERROR(VLOOKUP(B601,[2]מעובד!$D:$K,8,0),0)</f>
        <v>247</v>
      </c>
      <c r="R601" s="956">
        <f>IFERROR(VLOOKUP(B601,[2]מעובד!$D:$L,9,0),0)</f>
        <v>106</v>
      </c>
    </row>
    <row r="602" spans="1:18" x14ac:dyDescent="0.2">
      <c r="A602" s="947" t="s">
        <v>171</v>
      </c>
      <c r="B602" s="947">
        <v>218826</v>
      </c>
      <c r="C602" s="947" t="s">
        <v>2189</v>
      </c>
      <c r="D602" s="947" t="s">
        <v>1868</v>
      </c>
      <c r="E602" s="951">
        <v>172</v>
      </c>
      <c r="F602" s="951">
        <v>172</v>
      </c>
      <c r="G602" s="947" t="s">
        <v>159</v>
      </c>
      <c r="H602" s="951">
        <v>0</v>
      </c>
      <c r="I602" s="951">
        <v>0</v>
      </c>
      <c r="J602" s="947" t="s">
        <v>171</v>
      </c>
      <c r="K602" s="947">
        <v>218826</v>
      </c>
      <c r="M602" s="631"/>
      <c r="P602" s="950" t="str">
        <f>VLOOKUP(J602,'רשימת רשויות'!A:A,1,0)</f>
        <v>אל בטוף</v>
      </c>
      <c r="Q602" s="956">
        <f>IFERROR(VLOOKUP(B602,[2]מעובד!$D:$K,8,0),0)</f>
        <v>159</v>
      </c>
      <c r="R602" s="956">
        <f>IFERROR(VLOOKUP(B602,[2]מעובד!$D:$L,9,0),0)</f>
        <v>150</v>
      </c>
    </row>
    <row r="603" spans="1:18" x14ac:dyDescent="0.2">
      <c r="A603" s="947" t="s">
        <v>354</v>
      </c>
      <c r="B603" s="947">
        <v>218834</v>
      </c>
      <c r="C603" s="947" t="s">
        <v>2189</v>
      </c>
      <c r="D603" s="947" t="s">
        <v>1869</v>
      </c>
      <c r="E603" s="951">
        <v>120</v>
      </c>
      <c r="F603" s="951">
        <v>115</v>
      </c>
      <c r="G603" s="947" t="s">
        <v>159</v>
      </c>
      <c r="H603" s="951">
        <v>0</v>
      </c>
      <c r="I603" s="951">
        <v>0</v>
      </c>
      <c r="J603" s="947" t="s">
        <v>354</v>
      </c>
      <c r="K603" s="947">
        <v>218834</v>
      </c>
      <c r="M603" s="631"/>
      <c r="P603" s="950" t="str">
        <f>VLOOKUP(J603,'רשימת רשויות'!A:A,1,0)</f>
        <v>עראבה</v>
      </c>
      <c r="Q603" s="956">
        <f>IFERROR(VLOOKUP(B603,[2]מעובד!$D:$K,8,0),0)</f>
        <v>127</v>
      </c>
      <c r="R603" s="956">
        <f>IFERROR(VLOOKUP(B603,[2]מעובד!$D:$L,9,0),0)</f>
        <v>31</v>
      </c>
    </row>
    <row r="604" spans="1:18" x14ac:dyDescent="0.2">
      <c r="A604" s="947" t="s">
        <v>354</v>
      </c>
      <c r="B604" s="947">
        <v>218842</v>
      </c>
      <c r="C604" s="947" t="s">
        <v>2189</v>
      </c>
      <c r="D604" s="947" t="s">
        <v>1870</v>
      </c>
      <c r="E604" s="951">
        <v>336</v>
      </c>
      <c r="F604" s="951">
        <v>300</v>
      </c>
      <c r="G604" s="947" t="s">
        <v>159</v>
      </c>
      <c r="H604" s="951">
        <v>112</v>
      </c>
      <c r="I604" s="951">
        <v>8</v>
      </c>
      <c r="J604" s="947" t="s">
        <v>354</v>
      </c>
      <c r="K604" s="947">
        <v>218842</v>
      </c>
      <c r="M604" s="631"/>
      <c r="P604" s="950" t="str">
        <f>VLOOKUP(J604,'רשימת רשויות'!A:A,1,0)</f>
        <v>עראבה</v>
      </c>
      <c r="Q604" s="956">
        <f>IFERROR(VLOOKUP(B604,[2]מעובד!$D:$K,8,0),0)</f>
        <v>345</v>
      </c>
      <c r="R604" s="956">
        <f>IFERROR(VLOOKUP(B604,[2]מעובד!$D:$L,9,0),0)</f>
        <v>150</v>
      </c>
    </row>
    <row r="605" spans="1:18" x14ac:dyDescent="0.2">
      <c r="A605" s="947" t="s">
        <v>239</v>
      </c>
      <c r="B605" s="947">
        <v>218859</v>
      </c>
      <c r="C605" s="947" t="s">
        <v>2189</v>
      </c>
      <c r="D605" s="947" t="s">
        <v>1871</v>
      </c>
      <c r="E605" s="951">
        <v>155</v>
      </c>
      <c r="F605" s="951">
        <v>147</v>
      </c>
      <c r="G605" s="947" t="s">
        <v>159</v>
      </c>
      <c r="H605" s="951">
        <v>52</v>
      </c>
      <c r="I605" s="951">
        <v>8</v>
      </c>
      <c r="J605" s="947" t="s">
        <v>239</v>
      </c>
      <c r="K605" s="947">
        <v>218859</v>
      </c>
      <c r="M605" s="631"/>
      <c r="P605" s="950" t="str">
        <f>VLOOKUP(J605,'רשימת רשויות'!A:A,1,0)</f>
        <v>זרזיר</v>
      </c>
      <c r="Q605" s="956">
        <f>IFERROR(VLOOKUP(B605,[2]מעובד!$D:$K,8,0),0)</f>
        <v>176</v>
      </c>
      <c r="R605" s="956">
        <f>IFERROR(VLOOKUP(B605,[2]מעובד!$D:$L,9,0),0)</f>
        <v>80</v>
      </c>
    </row>
    <row r="606" spans="1:18" x14ac:dyDescent="0.2">
      <c r="A606" s="947" t="s">
        <v>277</v>
      </c>
      <c r="B606" s="947">
        <v>218867</v>
      </c>
      <c r="C606" s="947" t="s">
        <v>2189</v>
      </c>
      <c r="D606" s="947" t="s">
        <v>1669</v>
      </c>
      <c r="E606" s="951">
        <v>114</v>
      </c>
      <c r="F606" s="951">
        <v>114</v>
      </c>
      <c r="G606" s="947" t="s">
        <v>159</v>
      </c>
      <c r="H606" s="951">
        <v>0</v>
      </c>
      <c r="I606" s="951">
        <v>0</v>
      </c>
      <c r="J606" s="947" t="s">
        <v>277</v>
      </c>
      <c r="K606" s="947">
        <v>218867</v>
      </c>
      <c r="M606" s="631"/>
      <c r="P606" s="950" t="str">
        <f>VLOOKUP(J606,'רשימת רשויות'!A:A,1,0)</f>
        <v>כעביה-טבאש-חג'אג'רה</v>
      </c>
      <c r="Q606" s="956">
        <f>IFERROR(VLOOKUP(B606,[2]מעובד!$D:$K,8,0),0)</f>
        <v>103</v>
      </c>
      <c r="R606" s="956">
        <f>IFERROR(VLOOKUP(B606,[2]מעובד!$D:$L,9,0),0)</f>
        <v>72</v>
      </c>
    </row>
    <row r="607" spans="1:18" x14ac:dyDescent="0.2">
      <c r="A607" s="947" t="s">
        <v>203</v>
      </c>
      <c r="B607" s="947">
        <v>218875</v>
      </c>
      <c r="C607" s="947" t="s">
        <v>2189</v>
      </c>
      <c r="D607" s="947" t="s">
        <v>1692</v>
      </c>
      <c r="E607" s="951">
        <v>95</v>
      </c>
      <c r="F607" s="951">
        <v>76</v>
      </c>
      <c r="G607" s="947" t="s">
        <v>159</v>
      </c>
      <c r="H607" s="951">
        <v>0</v>
      </c>
      <c r="I607" s="951">
        <v>0</v>
      </c>
      <c r="J607" s="947" t="s">
        <v>203</v>
      </c>
      <c r="K607" s="947">
        <v>218875</v>
      </c>
      <c r="M607" s="631"/>
      <c r="P607" s="950" t="str">
        <f>VLOOKUP(J607,'רשימת רשויות'!A:A,1,0)</f>
        <v>בסמת טבעון</v>
      </c>
      <c r="Q607" s="956">
        <f>IFERROR(VLOOKUP(B607,[2]מעובד!$D:$K,8,0),0)</f>
        <v>59</v>
      </c>
      <c r="R607" s="956">
        <f>IFERROR(VLOOKUP(B607,[2]מעובד!$D:$L,9,0),0)</f>
        <v>59</v>
      </c>
    </row>
    <row r="608" spans="1:18" x14ac:dyDescent="0.2">
      <c r="A608" s="947" t="s">
        <v>407</v>
      </c>
      <c r="B608" s="947">
        <v>218883</v>
      </c>
      <c r="C608" s="947" t="s">
        <v>2189</v>
      </c>
      <c r="D608" s="947" t="s">
        <v>1698</v>
      </c>
      <c r="E608" s="951">
        <v>85</v>
      </c>
      <c r="F608" s="951">
        <v>76</v>
      </c>
      <c r="G608" s="947" t="s">
        <v>159</v>
      </c>
      <c r="H608" s="951">
        <v>34</v>
      </c>
      <c r="I608" s="951">
        <v>9</v>
      </c>
      <c r="J608" s="947" t="s">
        <v>407</v>
      </c>
      <c r="K608" s="947">
        <v>218883</v>
      </c>
      <c r="M608" s="631"/>
      <c r="P608" s="950" t="str">
        <f>VLOOKUP(J608,'רשימת רשויות'!A:A,1,0)</f>
        <v>שפרעם</v>
      </c>
      <c r="Q608" s="956">
        <f>IFERROR(VLOOKUP(B608,[2]מעובד!$D:$K,8,0),0)</f>
        <v>0</v>
      </c>
      <c r="R608" s="956">
        <f>IFERROR(VLOOKUP(B608,[2]מעובד!$D:$L,9,0),0)</f>
        <v>0</v>
      </c>
    </row>
    <row r="609" spans="1:18" s="533" customFormat="1" x14ac:dyDescent="0.2">
      <c r="A609" s="949" t="s">
        <v>277</v>
      </c>
      <c r="B609" s="949">
        <v>218891</v>
      </c>
      <c r="C609" s="949" t="s">
        <v>2189</v>
      </c>
      <c r="D609" s="949" t="s">
        <v>1699</v>
      </c>
      <c r="E609" s="952">
        <v>205</v>
      </c>
      <c r="F609" s="952">
        <v>192</v>
      </c>
      <c r="G609" s="949" t="s">
        <v>159</v>
      </c>
      <c r="H609" s="952">
        <v>0</v>
      </c>
      <c r="I609" s="952">
        <v>0</v>
      </c>
      <c r="J609" s="949" t="s">
        <v>277</v>
      </c>
      <c r="K609" s="949">
        <v>218891</v>
      </c>
      <c r="L609" s="635"/>
      <c r="M609" s="634"/>
      <c r="N609" s="635"/>
      <c r="O609" s="635"/>
      <c r="P609" s="950" t="str">
        <f>VLOOKUP(J609,'רשימת רשויות'!A:A,1,0)</f>
        <v>כעביה-טבאש-חג'אג'רה</v>
      </c>
      <c r="Q609" s="956">
        <f>IFERROR(VLOOKUP(B609,[2]מעובד!$D:$K,8,0),0)</f>
        <v>231</v>
      </c>
      <c r="R609" s="956">
        <f>IFERROR(VLOOKUP(B609,[2]מעובד!$D:$L,9,0),0)</f>
        <v>110</v>
      </c>
    </row>
    <row r="610" spans="1:18" s="533" customFormat="1" x14ac:dyDescent="0.2">
      <c r="A610" s="949" t="s">
        <v>239</v>
      </c>
      <c r="B610" s="949">
        <v>218909</v>
      </c>
      <c r="C610" s="949" t="s">
        <v>2189</v>
      </c>
      <c r="D610" s="949" t="s">
        <v>1700</v>
      </c>
      <c r="E610" s="952">
        <v>117</v>
      </c>
      <c r="F610" s="952">
        <v>116</v>
      </c>
      <c r="G610" s="949" t="s">
        <v>159</v>
      </c>
      <c r="H610" s="952">
        <v>0</v>
      </c>
      <c r="I610" s="952">
        <v>0</v>
      </c>
      <c r="J610" s="949" t="s">
        <v>239</v>
      </c>
      <c r="K610" s="949">
        <v>218909</v>
      </c>
      <c r="L610" s="635"/>
      <c r="M610" s="634"/>
      <c r="N610" s="635"/>
      <c r="O610" s="635"/>
      <c r="P610" s="950" t="str">
        <f>VLOOKUP(J610,'רשימת רשויות'!A:A,1,0)</f>
        <v>זרזיר</v>
      </c>
      <c r="Q610" s="956">
        <f>IFERROR(VLOOKUP(B610,[2]מעובד!$D:$K,8,0),0)</f>
        <v>127</v>
      </c>
      <c r="R610" s="956">
        <f>IFERROR(VLOOKUP(B610,[2]מעובד!$D:$L,9,0),0)</f>
        <v>50</v>
      </c>
    </row>
    <row r="611" spans="1:18" s="533" customFormat="1" x14ac:dyDescent="0.2">
      <c r="A611" s="949" t="s">
        <v>309</v>
      </c>
      <c r="B611" s="949">
        <v>218925</v>
      </c>
      <c r="C611" s="949" t="s">
        <v>2189</v>
      </c>
      <c r="D611" s="949" t="s">
        <v>2974</v>
      </c>
      <c r="E611" s="952">
        <v>69</v>
      </c>
      <c r="F611" s="952">
        <v>0</v>
      </c>
      <c r="G611" s="949" t="s">
        <v>159</v>
      </c>
      <c r="H611" s="952">
        <v>36</v>
      </c>
      <c r="I611" s="952">
        <v>0</v>
      </c>
      <c r="J611" s="949" t="s">
        <v>309</v>
      </c>
      <c r="K611" s="949">
        <v>218925</v>
      </c>
      <c r="L611" s="635"/>
      <c r="M611" s="634"/>
      <c r="N611" s="635"/>
      <c r="O611" s="635"/>
      <c r="P611" s="950" t="str">
        <f>VLOOKUP(J611,'רשימת רשויות'!A:A,1,0)</f>
        <v>מטה אשר</v>
      </c>
      <c r="Q611" s="956">
        <f>IFERROR(VLOOKUP(B611,[2]מעובד!$D:$K,8,0),0)</f>
        <v>0</v>
      </c>
      <c r="R611" s="956">
        <f>IFERROR(VLOOKUP(B611,[2]מעובד!$D:$L,9,0),0)</f>
        <v>0</v>
      </c>
    </row>
    <row r="612" spans="1:18" s="533" customFormat="1" x14ac:dyDescent="0.2">
      <c r="A612" s="949" t="s">
        <v>396</v>
      </c>
      <c r="B612" s="949">
        <v>218933</v>
      </c>
      <c r="C612" s="949" t="s">
        <v>2189</v>
      </c>
      <c r="D612" s="949" t="s">
        <v>1701</v>
      </c>
      <c r="E612" s="952">
        <v>144</v>
      </c>
      <c r="F612" s="952">
        <v>0</v>
      </c>
      <c r="G612" s="949" t="s">
        <v>159</v>
      </c>
      <c r="H612" s="952">
        <v>61</v>
      </c>
      <c r="I612" s="952">
        <v>0</v>
      </c>
      <c r="J612" s="949" t="s">
        <v>396</v>
      </c>
      <c r="K612" s="949">
        <v>218933</v>
      </c>
      <c r="L612" s="635"/>
      <c r="M612" s="634"/>
      <c r="N612" s="635"/>
      <c r="O612" s="635"/>
      <c r="P612" s="950" t="str">
        <f>VLOOKUP(J612,'רשימת רשויות'!A:A,1,0)</f>
        <v>שבלי-אום אל-גנם</v>
      </c>
      <c r="Q612" s="956">
        <f>IFERROR(VLOOKUP(B612,[2]מעובד!$D:$K,8,0),0)</f>
        <v>0</v>
      </c>
      <c r="R612" s="956">
        <f>IFERROR(VLOOKUP(B612,[2]מעובד!$D:$L,9,0),0)</f>
        <v>0</v>
      </c>
    </row>
    <row r="613" spans="1:18" x14ac:dyDescent="0.2">
      <c r="A613" s="947" t="s">
        <v>359</v>
      </c>
      <c r="B613" s="947">
        <v>218941</v>
      </c>
      <c r="C613" s="947" t="s">
        <v>2189</v>
      </c>
      <c r="D613" s="947" t="s">
        <v>1245</v>
      </c>
      <c r="E613" s="951">
        <v>136</v>
      </c>
      <c r="F613" s="951">
        <v>127</v>
      </c>
      <c r="G613" s="947" t="s">
        <v>159</v>
      </c>
      <c r="H613" s="951">
        <v>0</v>
      </c>
      <c r="I613" s="951">
        <v>0</v>
      </c>
      <c r="J613" s="947" t="s">
        <v>359</v>
      </c>
      <c r="K613" s="947">
        <v>218941</v>
      </c>
      <c r="M613" s="631"/>
      <c r="P613" s="950" t="str">
        <f>VLOOKUP(J613,'רשימת רשויות'!A:A,1,0)</f>
        <v>פסוטה</v>
      </c>
      <c r="Q613" s="956">
        <f>IFERROR(VLOOKUP(B613,[2]מעובד!$D:$K,8,0),0)</f>
        <v>163</v>
      </c>
      <c r="R613" s="956">
        <f>IFERROR(VLOOKUP(B613,[2]מעובד!$D:$L,9,0),0)</f>
        <v>0</v>
      </c>
    </row>
    <row r="614" spans="1:18" x14ac:dyDescent="0.2">
      <c r="A614" s="947" t="s">
        <v>360</v>
      </c>
      <c r="B614" s="947">
        <v>218958</v>
      </c>
      <c r="C614" s="947" t="s">
        <v>2189</v>
      </c>
      <c r="D614" s="947" t="s">
        <v>1703</v>
      </c>
      <c r="E614" s="951">
        <v>59</v>
      </c>
      <c r="F614" s="951">
        <v>59</v>
      </c>
      <c r="G614" s="947" t="s">
        <v>159</v>
      </c>
      <c r="H614" s="951">
        <v>0</v>
      </c>
      <c r="I614" s="951">
        <v>0</v>
      </c>
      <c r="J614" s="947" t="s">
        <v>360</v>
      </c>
      <c r="K614" s="947">
        <v>218958</v>
      </c>
      <c r="M614" s="631"/>
      <c r="P614" s="950" t="str">
        <f>VLOOKUP(J614,'רשימת רשויות'!A:A,1,0)</f>
        <v>פקיעין - בוקייעה</v>
      </c>
      <c r="Q614" s="956">
        <f>IFERROR(VLOOKUP(B614,[2]מעובד!$D:$K,8,0),0)</f>
        <v>0</v>
      </c>
      <c r="R614" s="956">
        <f>IFERROR(VLOOKUP(B614,[2]מעובד!$D:$L,9,0),0)</f>
        <v>0</v>
      </c>
    </row>
    <row r="615" spans="1:18" x14ac:dyDescent="0.2">
      <c r="A615" s="947" t="s">
        <v>382</v>
      </c>
      <c r="B615" s="947">
        <v>218966</v>
      </c>
      <c r="C615" s="947" t="s">
        <v>2189</v>
      </c>
      <c r="D615" s="947" t="s">
        <v>1704</v>
      </c>
      <c r="E615" s="951">
        <v>228</v>
      </c>
      <c r="F615" s="951">
        <v>165</v>
      </c>
      <c r="G615" s="947" t="s">
        <v>159</v>
      </c>
      <c r="H615" s="951">
        <v>89</v>
      </c>
      <c r="I615" s="951">
        <v>8</v>
      </c>
      <c r="J615" s="947" t="s">
        <v>382</v>
      </c>
      <c r="K615" s="947">
        <v>218966</v>
      </c>
      <c r="M615" s="631"/>
      <c r="P615" s="950" t="str">
        <f>VLOOKUP(J615,'רשימת רשויות'!A:A,1,0)</f>
        <v>ראמה</v>
      </c>
      <c r="Q615" s="956">
        <f>IFERROR(VLOOKUP(B615,[2]מעובד!$D:$K,8,0),0)</f>
        <v>0</v>
      </c>
      <c r="R615" s="956">
        <f>IFERROR(VLOOKUP(B615,[2]מעובד!$D:$L,9,0),0)</f>
        <v>0</v>
      </c>
    </row>
    <row r="616" spans="1:18" x14ac:dyDescent="0.2">
      <c r="A616" s="947" t="s">
        <v>236</v>
      </c>
      <c r="B616" s="947">
        <v>218974</v>
      </c>
      <c r="C616" s="947" t="s">
        <v>2189</v>
      </c>
      <c r="D616" s="947" t="s">
        <v>2975</v>
      </c>
      <c r="E616" s="951">
        <v>70</v>
      </c>
      <c r="F616" s="951">
        <v>0</v>
      </c>
      <c r="G616" s="947" t="s">
        <v>159</v>
      </c>
      <c r="H616" s="951">
        <v>26</v>
      </c>
      <c r="I616" s="951">
        <v>0</v>
      </c>
      <c r="J616" s="947" t="s">
        <v>236</v>
      </c>
      <c r="K616" s="947">
        <v>218974</v>
      </c>
      <c r="M616" s="631"/>
      <c r="P616" s="950" t="str">
        <f>VLOOKUP(J616,'רשימת רשויות'!A:A,1,0)</f>
        <v>זבולון</v>
      </c>
      <c r="Q616" s="956">
        <f>IFERROR(VLOOKUP(B616,[2]מעובד!$D:$K,8,0),0)</f>
        <v>0</v>
      </c>
      <c r="R616" s="956">
        <f>IFERROR(VLOOKUP(B616,[2]מעובד!$D:$L,9,0),0)</f>
        <v>0</v>
      </c>
    </row>
    <row r="617" spans="1:18" x14ac:dyDescent="0.2">
      <c r="A617" s="947" t="s">
        <v>323</v>
      </c>
      <c r="B617" s="947">
        <v>218982</v>
      </c>
      <c r="C617" s="947" t="s">
        <v>2189</v>
      </c>
      <c r="D617" s="947" t="s">
        <v>1717</v>
      </c>
      <c r="E617" s="951">
        <v>48</v>
      </c>
      <c r="F617" s="951">
        <v>38</v>
      </c>
      <c r="G617" s="947" t="s">
        <v>159</v>
      </c>
      <c r="H617" s="951">
        <v>0</v>
      </c>
      <c r="I617" s="951">
        <v>0</v>
      </c>
      <c r="J617" s="947" t="s">
        <v>323</v>
      </c>
      <c r="K617" s="947">
        <v>218982</v>
      </c>
      <c r="M617" s="631"/>
      <c r="P617" s="950" t="str">
        <f>VLOOKUP(J617,'רשימת רשויות'!A:A,1,0)</f>
        <v>מרום הגליל</v>
      </c>
      <c r="Q617" s="956">
        <f>IFERROR(VLOOKUP(B617,[2]מעובד!$D:$K,8,0),0)</f>
        <v>0</v>
      </c>
      <c r="R617" s="956">
        <f>IFERROR(VLOOKUP(B617,[2]מעובד!$D:$L,9,0),0)</f>
        <v>0</v>
      </c>
    </row>
    <row r="618" spans="1:18" x14ac:dyDescent="0.2">
      <c r="A618" s="947" t="s">
        <v>388</v>
      </c>
      <c r="B618" s="947">
        <v>218990</v>
      </c>
      <c r="C618" s="947" t="s">
        <v>2189</v>
      </c>
      <c r="D618" s="947" t="s">
        <v>525</v>
      </c>
      <c r="E618" s="951">
        <v>269</v>
      </c>
      <c r="F618" s="951">
        <v>138</v>
      </c>
      <c r="G618" s="947" t="s">
        <v>159</v>
      </c>
      <c r="H618" s="951">
        <v>101</v>
      </c>
      <c r="I618" s="951">
        <v>0</v>
      </c>
      <c r="J618" s="947" t="s">
        <v>388</v>
      </c>
      <c r="K618" s="947">
        <v>218990</v>
      </c>
      <c r="M618" s="631"/>
      <c r="P618" s="950" t="str">
        <f>VLOOKUP(J618,'רשימת רשויות'!A:A,1,0)</f>
        <v>ריינה</v>
      </c>
      <c r="Q618" s="956">
        <f>IFERROR(VLOOKUP(B618,[2]מעובד!$D:$K,8,0),0)</f>
        <v>0</v>
      </c>
      <c r="R618" s="956">
        <f>IFERROR(VLOOKUP(B618,[2]מעובד!$D:$L,9,0),0)</f>
        <v>0</v>
      </c>
    </row>
    <row r="619" spans="1:18" x14ac:dyDescent="0.2">
      <c r="A619" s="947" t="s">
        <v>404</v>
      </c>
      <c r="B619" s="947">
        <v>219006</v>
      </c>
      <c r="C619" s="947" t="s">
        <v>2189</v>
      </c>
      <c r="D619" s="947" t="s">
        <v>1718</v>
      </c>
      <c r="E619" s="951">
        <v>181</v>
      </c>
      <c r="F619" s="951">
        <v>120</v>
      </c>
      <c r="G619" s="947" t="s">
        <v>159</v>
      </c>
      <c r="H619" s="951">
        <v>0</v>
      </c>
      <c r="I619" s="951">
        <v>0</v>
      </c>
      <c r="J619" s="947" t="s">
        <v>404</v>
      </c>
      <c r="K619" s="947">
        <v>219006</v>
      </c>
      <c r="M619" s="631"/>
      <c r="P619" s="950" t="str">
        <f>VLOOKUP(J619,'רשימת רשויות'!A:A,1,0)</f>
        <v>שעב</v>
      </c>
      <c r="Q619" s="956">
        <f>IFERROR(VLOOKUP(B619,[2]מעובד!$D:$K,8,0),0)</f>
        <v>172</v>
      </c>
      <c r="R619" s="956">
        <f>IFERROR(VLOOKUP(B619,[2]מעובד!$D:$L,9,0),0)</f>
        <v>172</v>
      </c>
    </row>
    <row r="620" spans="1:18" x14ac:dyDescent="0.2">
      <c r="A620" s="947" t="s">
        <v>407</v>
      </c>
      <c r="B620" s="947">
        <v>219014</v>
      </c>
      <c r="C620" s="947" t="s">
        <v>2189</v>
      </c>
      <c r="D620" s="947" t="s">
        <v>1719</v>
      </c>
      <c r="E620" s="951">
        <v>165</v>
      </c>
      <c r="F620" s="951">
        <v>165</v>
      </c>
      <c r="G620" s="947" t="s">
        <v>159</v>
      </c>
      <c r="H620" s="951">
        <v>0</v>
      </c>
      <c r="I620" s="951">
        <v>0</v>
      </c>
      <c r="J620" s="947" t="s">
        <v>407</v>
      </c>
      <c r="K620" s="947">
        <v>219014</v>
      </c>
      <c r="M620" s="631"/>
      <c r="P620" s="950" t="str">
        <f>VLOOKUP(J620,'רשימת רשויות'!A:A,1,0)</f>
        <v>שפרעם</v>
      </c>
      <c r="Q620" s="956">
        <f>IFERROR(VLOOKUP(B620,[2]מעובד!$D:$K,8,0),0)</f>
        <v>0</v>
      </c>
      <c r="R620" s="956">
        <f>IFERROR(VLOOKUP(B620,[2]מעובד!$D:$L,9,0),0)</f>
        <v>0</v>
      </c>
    </row>
    <row r="621" spans="1:18" x14ac:dyDescent="0.2">
      <c r="A621" s="947" t="s">
        <v>407</v>
      </c>
      <c r="B621" s="947">
        <v>219022</v>
      </c>
      <c r="C621" s="947" t="s">
        <v>2189</v>
      </c>
      <c r="D621" s="947" t="s">
        <v>1720</v>
      </c>
      <c r="E621" s="951">
        <v>231</v>
      </c>
      <c r="F621" s="951">
        <v>227</v>
      </c>
      <c r="G621" s="947" t="s">
        <v>159</v>
      </c>
      <c r="H621" s="951">
        <v>0</v>
      </c>
      <c r="I621" s="951">
        <v>0</v>
      </c>
      <c r="J621" s="947" t="s">
        <v>407</v>
      </c>
      <c r="K621" s="947">
        <v>219022</v>
      </c>
      <c r="M621" s="631"/>
      <c r="P621" s="950" t="str">
        <f>VLOOKUP(J621,'רשימת רשויות'!A:A,1,0)</f>
        <v>שפרעם</v>
      </c>
      <c r="Q621" s="956">
        <f>IFERROR(VLOOKUP(B621,[2]מעובד!$D:$K,8,0),0)</f>
        <v>0</v>
      </c>
      <c r="R621" s="956">
        <f>IFERROR(VLOOKUP(B621,[2]מעובד!$D:$L,9,0),0)</f>
        <v>0</v>
      </c>
    </row>
    <row r="622" spans="1:18" x14ac:dyDescent="0.2">
      <c r="A622" s="947" t="s">
        <v>321</v>
      </c>
      <c r="B622" s="947">
        <v>219030</v>
      </c>
      <c r="C622" s="947" t="s">
        <v>2189</v>
      </c>
      <c r="D622" s="947" t="s">
        <v>2976</v>
      </c>
      <c r="E622" s="951">
        <v>265</v>
      </c>
      <c r="F622" s="951">
        <v>0</v>
      </c>
      <c r="G622" s="947" t="s">
        <v>159</v>
      </c>
      <c r="H622" s="951">
        <v>106</v>
      </c>
      <c r="I622" s="951">
        <v>0</v>
      </c>
      <c r="J622" s="947" t="s">
        <v>321</v>
      </c>
      <c r="K622" s="947">
        <v>219030</v>
      </c>
      <c r="M622" s="631"/>
      <c r="P622" s="950" t="str">
        <f>VLOOKUP(J622,'רשימת רשויות'!A:A,1,0)</f>
        <v>מעלות-תרשיחא</v>
      </c>
      <c r="Q622" s="956">
        <f>IFERROR(VLOOKUP(B622,[2]מעובד!$D:$K,8,0),0)</f>
        <v>0</v>
      </c>
      <c r="R622" s="956">
        <f>IFERROR(VLOOKUP(B622,[2]מעובד!$D:$L,9,0),0)</f>
        <v>0</v>
      </c>
    </row>
    <row r="623" spans="1:18" x14ac:dyDescent="0.2">
      <c r="A623" s="947" t="s">
        <v>333</v>
      </c>
      <c r="B623" s="947">
        <v>219055</v>
      </c>
      <c r="C623" s="947" t="s">
        <v>2189</v>
      </c>
      <c r="D623" s="947" t="s">
        <v>1751</v>
      </c>
      <c r="E623" s="951">
        <v>150</v>
      </c>
      <c r="F623" s="951">
        <v>450</v>
      </c>
      <c r="G623" s="947" t="s">
        <v>159</v>
      </c>
      <c r="H623" s="951">
        <v>0</v>
      </c>
      <c r="I623" s="951">
        <v>0</v>
      </c>
      <c r="J623" s="947" t="s">
        <v>333</v>
      </c>
      <c r="K623" s="947">
        <v>219055</v>
      </c>
      <c r="M623" s="631"/>
      <c r="P623" s="950" t="str">
        <f>VLOOKUP(J623,'רשימת רשויות'!A:A,1,0)</f>
        <v>נצרת</v>
      </c>
      <c r="Q623" s="956">
        <f>IFERROR(VLOOKUP(B623,[2]מעובד!$D:$K,8,0),0)</f>
        <v>178</v>
      </c>
      <c r="R623" s="956">
        <f>IFERROR(VLOOKUP(B623,[2]מעובד!$D:$L,9,0),0)</f>
        <v>85</v>
      </c>
    </row>
    <row r="624" spans="1:18" x14ac:dyDescent="0.2">
      <c r="A624" s="947" t="s">
        <v>286</v>
      </c>
      <c r="B624" s="947">
        <v>219071</v>
      </c>
      <c r="C624" s="947" t="s">
        <v>2189</v>
      </c>
      <c r="D624" s="947" t="s">
        <v>1752</v>
      </c>
      <c r="E624" s="951">
        <v>145</v>
      </c>
      <c r="F624" s="951">
        <v>110</v>
      </c>
      <c r="G624" s="947" t="s">
        <v>159</v>
      </c>
      <c r="H624" s="951">
        <v>58</v>
      </c>
      <c r="I624" s="951">
        <v>5</v>
      </c>
      <c r="J624" s="947" t="s">
        <v>286</v>
      </c>
      <c r="K624" s="947">
        <v>219071</v>
      </c>
      <c r="M624" s="631"/>
      <c r="P624" s="950" t="str">
        <f>VLOOKUP(J624,'רשימת רשויות'!A:A,1,0)</f>
        <v>כפר קמא</v>
      </c>
      <c r="Q624" s="956">
        <f>IFERROR(VLOOKUP(B624,[2]מעובד!$D:$K,8,0),0)</f>
        <v>121</v>
      </c>
      <c r="R624" s="956">
        <f>IFERROR(VLOOKUP(B624,[2]מעובד!$D:$L,9,0),0)</f>
        <v>77</v>
      </c>
    </row>
    <row r="625" spans="1:18" x14ac:dyDescent="0.2">
      <c r="A625" s="947" t="s">
        <v>260</v>
      </c>
      <c r="B625" s="947">
        <v>219089</v>
      </c>
      <c r="C625" s="947" t="s">
        <v>2189</v>
      </c>
      <c r="D625" s="947" t="s">
        <v>2391</v>
      </c>
      <c r="E625" s="951">
        <v>218</v>
      </c>
      <c r="F625" s="951">
        <v>200</v>
      </c>
      <c r="G625" s="947" t="s">
        <v>159</v>
      </c>
      <c r="H625" s="951">
        <v>0</v>
      </c>
      <c r="I625" s="951">
        <v>0</v>
      </c>
      <c r="J625" s="947" t="s">
        <v>260</v>
      </c>
      <c r="K625" s="947">
        <v>219089</v>
      </c>
      <c r="M625" s="631"/>
      <c r="P625" s="950" t="str">
        <f>VLOOKUP(J625,'רשימת רשויות'!A:A,1,0)</f>
        <v>טמרה</v>
      </c>
      <c r="Q625" s="956">
        <f>IFERROR(VLOOKUP(B625,[2]מעובד!$D:$K,8,0),0)</f>
        <v>213</v>
      </c>
      <c r="R625" s="956">
        <f>IFERROR(VLOOKUP(B625,[2]מעובד!$D:$L,9,0),0)</f>
        <v>82</v>
      </c>
    </row>
    <row r="626" spans="1:18" x14ac:dyDescent="0.2">
      <c r="A626" s="947" t="s">
        <v>333</v>
      </c>
      <c r="B626" s="947">
        <v>219097</v>
      </c>
      <c r="C626" s="947" t="s">
        <v>2189</v>
      </c>
      <c r="D626" s="947" t="s">
        <v>1773</v>
      </c>
      <c r="E626" s="951">
        <v>253</v>
      </c>
      <c r="F626" s="951">
        <v>252</v>
      </c>
      <c r="G626" s="947" t="s">
        <v>159</v>
      </c>
      <c r="H626" s="951">
        <v>0</v>
      </c>
      <c r="I626" s="951">
        <v>0</v>
      </c>
      <c r="J626" s="947" t="s">
        <v>333</v>
      </c>
      <c r="K626" s="947">
        <v>219097</v>
      </c>
      <c r="M626" s="631"/>
      <c r="P626" s="950" t="str">
        <f>VLOOKUP(J626,'רשימת רשויות'!A:A,1,0)</f>
        <v>נצרת</v>
      </c>
      <c r="Q626" s="956">
        <f>IFERROR(VLOOKUP(B626,[2]מעובד!$D:$K,8,0),0)</f>
        <v>194</v>
      </c>
      <c r="R626" s="956">
        <f>IFERROR(VLOOKUP(B626,[2]מעובד!$D:$L,9,0),0)</f>
        <v>72</v>
      </c>
    </row>
    <row r="627" spans="1:18" x14ac:dyDescent="0.2">
      <c r="A627" s="947" t="s">
        <v>407</v>
      </c>
      <c r="B627" s="947">
        <v>219105</v>
      </c>
      <c r="C627" s="947" t="s">
        <v>2189</v>
      </c>
      <c r="D627" s="947" t="s">
        <v>1774</v>
      </c>
      <c r="E627" s="951">
        <v>165</v>
      </c>
      <c r="F627" s="951">
        <v>144</v>
      </c>
      <c r="G627" s="947" t="s">
        <v>159</v>
      </c>
      <c r="H627" s="951">
        <v>59</v>
      </c>
      <c r="I627" s="951">
        <v>12</v>
      </c>
      <c r="J627" s="947" t="s">
        <v>407</v>
      </c>
      <c r="K627" s="947">
        <v>219105</v>
      </c>
      <c r="M627" s="631"/>
      <c r="P627" s="950" t="str">
        <f>VLOOKUP(J627,'רשימת רשויות'!A:A,1,0)</f>
        <v>שפרעם</v>
      </c>
      <c r="Q627" s="956">
        <f>IFERROR(VLOOKUP(B627,[2]מעובד!$D:$K,8,0),0)</f>
        <v>0</v>
      </c>
      <c r="R627" s="956">
        <f>IFERROR(VLOOKUP(B627,[2]מעובד!$D:$L,9,0),0)</f>
        <v>0</v>
      </c>
    </row>
    <row r="628" spans="1:18" x14ac:dyDescent="0.2">
      <c r="A628" s="947" t="s">
        <v>260</v>
      </c>
      <c r="B628" s="947">
        <v>219113</v>
      </c>
      <c r="C628" s="947" t="s">
        <v>2189</v>
      </c>
      <c r="D628" s="947" t="s">
        <v>1775</v>
      </c>
      <c r="E628" s="951">
        <v>154</v>
      </c>
      <c r="F628" s="951">
        <v>120</v>
      </c>
      <c r="G628" s="947" t="s">
        <v>159</v>
      </c>
      <c r="H628" s="951">
        <v>56</v>
      </c>
      <c r="I628" s="951">
        <v>10</v>
      </c>
      <c r="J628" s="947" t="s">
        <v>260</v>
      </c>
      <c r="K628" s="947">
        <v>219113</v>
      </c>
      <c r="M628" s="631"/>
      <c r="P628" s="950" t="str">
        <f>VLOOKUP(J628,'רשימת רשויות'!A:A,1,0)</f>
        <v>טמרה</v>
      </c>
      <c r="Q628" s="956">
        <f>IFERROR(VLOOKUP(B628,[2]מעובד!$D:$K,8,0),0)</f>
        <v>130</v>
      </c>
      <c r="R628" s="956">
        <f>IFERROR(VLOOKUP(B628,[2]מעובד!$D:$L,9,0),0)</f>
        <v>66</v>
      </c>
    </row>
    <row r="629" spans="1:18" x14ac:dyDescent="0.2">
      <c r="A629" s="947" t="s">
        <v>339</v>
      </c>
      <c r="B629" s="947">
        <v>219121</v>
      </c>
      <c r="C629" s="947" t="s">
        <v>2189</v>
      </c>
      <c r="D629" s="947" t="s">
        <v>1776</v>
      </c>
      <c r="E629" s="951">
        <v>142</v>
      </c>
      <c r="F629" s="951">
        <v>120</v>
      </c>
      <c r="G629" s="947" t="s">
        <v>159</v>
      </c>
      <c r="H629" s="951">
        <v>0</v>
      </c>
      <c r="I629" s="951">
        <v>0</v>
      </c>
      <c r="J629" s="947" t="s">
        <v>339</v>
      </c>
      <c r="K629" s="947">
        <v>219121</v>
      </c>
      <c r="M629" s="631"/>
      <c r="P629" s="950" t="str">
        <f>VLOOKUP(J629,'רשימת רשויות'!A:A,1,0)</f>
        <v>סח'נין</v>
      </c>
      <c r="Q629" s="956">
        <f>IFERROR(VLOOKUP(B629,[2]מעובד!$D:$K,8,0),0)</f>
        <v>0</v>
      </c>
      <c r="R629" s="956">
        <f>IFERROR(VLOOKUP(B629,[2]מעובד!$D:$L,9,0),0)</f>
        <v>0</v>
      </c>
    </row>
    <row r="630" spans="1:18" x14ac:dyDescent="0.2">
      <c r="A630" s="947" t="s">
        <v>280</v>
      </c>
      <c r="B630" s="947">
        <v>219147</v>
      </c>
      <c r="C630" s="947" t="s">
        <v>2189</v>
      </c>
      <c r="D630" s="947" t="s">
        <v>1777</v>
      </c>
      <c r="E630" s="951">
        <v>252</v>
      </c>
      <c r="F630" s="951">
        <v>62</v>
      </c>
      <c r="G630" s="947" t="s">
        <v>159</v>
      </c>
      <c r="H630" s="951">
        <v>0</v>
      </c>
      <c r="I630" s="951">
        <v>0</v>
      </c>
      <c r="J630" s="947" t="s">
        <v>280</v>
      </c>
      <c r="K630" s="957" t="s">
        <v>3271</v>
      </c>
      <c r="M630" s="631"/>
      <c r="P630" s="950" t="str">
        <f>VLOOKUP(J630,'רשימת רשויות'!A:A,1,0)</f>
        <v>כפר יאסיף</v>
      </c>
      <c r="Q630" s="956">
        <f>IFERROR(VLOOKUP(B630,[2]מעובד!$D:$K,8,0),0)</f>
        <v>0</v>
      </c>
      <c r="R630" s="956">
        <f>IFERROR(VLOOKUP(B630,[2]מעובד!$D:$L,9,0),0)</f>
        <v>0</v>
      </c>
    </row>
    <row r="631" spans="1:18" x14ac:dyDescent="0.2">
      <c r="A631" s="947" t="s">
        <v>256</v>
      </c>
      <c r="B631" s="947">
        <v>219154</v>
      </c>
      <c r="C631" s="947" t="s">
        <v>2189</v>
      </c>
      <c r="D631" s="947" t="s">
        <v>1778</v>
      </c>
      <c r="E631" s="951">
        <v>208</v>
      </c>
      <c r="F631" s="951">
        <v>199</v>
      </c>
      <c r="G631" s="947" t="s">
        <v>159</v>
      </c>
      <c r="H631" s="951">
        <v>84</v>
      </c>
      <c r="I631" s="951">
        <v>0</v>
      </c>
      <c r="J631" s="947" t="s">
        <v>256</v>
      </c>
      <c r="K631" s="947">
        <v>219154</v>
      </c>
      <c r="M631" s="631"/>
      <c r="P631" s="950" t="str">
        <f>VLOOKUP(J631,'רשימת רשויות'!A:A,1,0)</f>
        <v>טורעאן</v>
      </c>
      <c r="Q631" s="956">
        <f>IFERROR(VLOOKUP(B631,[2]מעובד!$D:$K,8,0),0)</f>
        <v>181</v>
      </c>
      <c r="R631" s="956">
        <f>IFERROR(VLOOKUP(B631,[2]מעובד!$D:$L,9,0),0)</f>
        <v>135</v>
      </c>
    </row>
    <row r="632" spans="1:18" x14ac:dyDescent="0.2">
      <c r="A632" s="947" t="s">
        <v>170</v>
      </c>
      <c r="B632" s="947">
        <v>219162</v>
      </c>
      <c r="C632" s="947" t="s">
        <v>2189</v>
      </c>
      <c r="D632" s="947" t="s">
        <v>1779</v>
      </c>
      <c r="E632" s="951">
        <v>341</v>
      </c>
      <c r="F632" s="951">
        <v>341</v>
      </c>
      <c r="G632" s="947" t="s">
        <v>159</v>
      </c>
      <c r="H632" s="951">
        <v>0</v>
      </c>
      <c r="I632" s="951">
        <v>0</v>
      </c>
      <c r="J632" s="947" t="s">
        <v>170</v>
      </c>
      <c r="K632" s="947">
        <v>219162</v>
      </c>
      <c r="M632" s="631"/>
      <c r="P632" s="950" t="str">
        <f>VLOOKUP(J632,'רשימת רשויות'!A:A,1,0)</f>
        <v>אכסאל</v>
      </c>
      <c r="Q632" s="956">
        <f>IFERROR(VLOOKUP(B632,[2]מעובד!$D:$K,8,0),0)</f>
        <v>0</v>
      </c>
      <c r="R632" s="956">
        <f>IFERROR(VLOOKUP(B632,[2]מעובד!$D:$L,9,0),0)</f>
        <v>0</v>
      </c>
    </row>
    <row r="633" spans="1:18" x14ac:dyDescent="0.2">
      <c r="A633" s="947" t="s">
        <v>223</v>
      </c>
      <c r="B633" s="947">
        <v>219170</v>
      </c>
      <c r="C633" s="947" t="s">
        <v>2189</v>
      </c>
      <c r="D633" s="947" t="s">
        <v>1794</v>
      </c>
      <c r="E633" s="951">
        <v>203</v>
      </c>
      <c r="F633" s="951">
        <v>203</v>
      </c>
      <c r="G633" s="947" t="s">
        <v>159</v>
      </c>
      <c r="H633" s="951">
        <v>0</v>
      </c>
      <c r="I633" s="951">
        <v>0</v>
      </c>
      <c r="J633" s="947" t="s">
        <v>223</v>
      </c>
      <c r="K633" s="947">
        <v>219170</v>
      </c>
      <c r="M633" s="631"/>
      <c r="P633" s="950" t="str">
        <f>VLOOKUP(J633,'רשימת רשויות'!A:A,1,0)</f>
        <v>דבוריה</v>
      </c>
      <c r="Q633" s="956">
        <f>IFERROR(VLOOKUP(B633,[2]מעובד!$D:$K,8,0),0)</f>
        <v>0</v>
      </c>
      <c r="R633" s="956">
        <f>IFERROR(VLOOKUP(B633,[2]מעובד!$D:$L,9,0),0)</f>
        <v>0</v>
      </c>
    </row>
    <row r="634" spans="1:18" x14ac:dyDescent="0.2">
      <c r="A634" s="947" t="s">
        <v>272</v>
      </c>
      <c r="B634" s="947">
        <v>219188</v>
      </c>
      <c r="C634" s="947" t="s">
        <v>2189</v>
      </c>
      <c r="D634" s="947" t="s">
        <v>1795</v>
      </c>
      <c r="E634" s="951">
        <v>149</v>
      </c>
      <c r="F634" s="951">
        <v>149</v>
      </c>
      <c r="G634" s="947" t="s">
        <v>159</v>
      </c>
      <c r="H634" s="951">
        <v>0</v>
      </c>
      <c r="I634" s="951">
        <v>0</v>
      </c>
      <c r="J634" s="947" t="s">
        <v>272</v>
      </c>
      <c r="K634" s="947">
        <v>219188</v>
      </c>
      <c r="M634" s="631"/>
      <c r="P634" s="950" t="str">
        <f>VLOOKUP(J634,'רשימת רשויות'!A:A,1,0)</f>
        <v>כאבול</v>
      </c>
      <c r="Q634" s="956">
        <f>IFERROR(VLOOKUP(B634,[2]מעובד!$D:$K,8,0),0)</f>
        <v>134</v>
      </c>
      <c r="R634" s="956">
        <f>IFERROR(VLOOKUP(B634,[2]מעובד!$D:$L,9,0),0)</f>
        <v>48</v>
      </c>
    </row>
    <row r="635" spans="1:18" x14ac:dyDescent="0.2">
      <c r="A635" s="947" t="s">
        <v>193</v>
      </c>
      <c r="B635" s="947">
        <v>219196</v>
      </c>
      <c r="C635" s="947" t="s">
        <v>2189</v>
      </c>
      <c r="D635" s="947" t="s">
        <v>1796</v>
      </c>
      <c r="E635" s="951">
        <v>193</v>
      </c>
      <c r="F635" s="951">
        <v>100</v>
      </c>
      <c r="G635" s="947" t="s">
        <v>159</v>
      </c>
      <c r="H635" s="951">
        <v>0</v>
      </c>
      <c r="I635" s="951">
        <v>0</v>
      </c>
      <c r="J635" s="947" t="s">
        <v>193</v>
      </c>
      <c r="K635" s="947">
        <v>219196</v>
      </c>
      <c r="M635" s="631"/>
      <c r="P635" s="950" t="str">
        <f>VLOOKUP(J635,'רשימת רשויות'!A:A,1,0)</f>
        <v>בית ג'ן</v>
      </c>
      <c r="Q635" s="956">
        <f>IFERROR(VLOOKUP(B635,[2]מעובד!$D:$K,8,0),0)</f>
        <v>0</v>
      </c>
      <c r="R635" s="956">
        <f>IFERROR(VLOOKUP(B635,[2]מעובד!$D:$L,9,0),0)</f>
        <v>0</v>
      </c>
    </row>
    <row r="636" spans="1:18" x14ac:dyDescent="0.2">
      <c r="A636" s="947" t="s">
        <v>283</v>
      </c>
      <c r="B636" s="947">
        <v>219204</v>
      </c>
      <c r="C636" s="947" t="s">
        <v>2189</v>
      </c>
      <c r="D636" s="947" t="s">
        <v>1839</v>
      </c>
      <c r="E636" s="951">
        <v>180</v>
      </c>
      <c r="F636" s="951">
        <v>158</v>
      </c>
      <c r="G636" s="947" t="s">
        <v>159</v>
      </c>
      <c r="H636" s="951">
        <v>0</v>
      </c>
      <c r="I636" s="951">
        <v>0</v>
      </c>
      <c r="J636" s="947" t="s">
        <v>283</v>
      </c>
      <c r="K636" s="947">
        <v>219204</v>
      </c>
      <c r="M636" s="631"/>
      <c r="P636" s="950" t="str">
        <f>VLOOKUP(J636,'רשימת רשויות'!A:A,1,0)</f>
        <v>כפר מנדא</v>
      </c>
      <c r="Q636" s="956">
        <f>IFERROR(VLOOKUP(B636,[2]מעובד!$D:$K,8,0),0)</f>
        <v>170</v>
      </c>
      <c r="R636" s="956">
        <f>IFERROR(VLOOKUP(B636,[2]מעובד!$D:$L,9,0),0)</f>
        <v>54</v>
      </c>
    </row>
    <row r="637" spans="1:18" x14ac:dyDescent="0.2">
      <c r="A637" s="947" t="s">
        <v>344</v>
      </c>
      <c r="B637" s="947">
        <v>219212</v>
      </c>
      <c r="C637" s="947" t="s">
        <v>2189</v>
      </c>
      <c r="D637" s="947" t="s">
        <v>475</v>
      </c>
      <c r="E637" s="951">
        <v>143</v>
      </c>
      <c r="F637" s="951">
        <v>135</v>
      </c>
      <c r="G637" s="947" t="s">
        <v>159</v>
      </c>
      <c r="H637" s="951">
        <v>51</v>
      </c>
      <c r="I637" s="951">
        <v>8</v>
      </c>
      <c r="J637" s="947" t="s">
        <v>344</v>
      </c>
      <c r="K637" s="947">
        <v>219212</v>
      </c>
      <c r="M637" s="631"/>
      <c r="P637" s="950" t="str">
        <f>VLOOKUP(J637,'רשימת רשויות'!A:A,1,0)</f>
        <v>עין מאה'ל</v>
      </c>
      <c r="Q637" s="956">
        <f>IFERROR(VLOOKUP(B637,[2]מעובד!$D:$K,8,0),0)</f>
        <v>137</v>
      </c>
      <c r="R637" s="956">
        <f>IFERROR(VLOOKUP(B637,[2]מעובד!$D:$L,9,0),0)</f>
        <v>113</v>
      </c>
    </row>
    <row r="638" spans="1:18" x14ac:dyDescent="0.2">
      <c r="A638" s="947" t="s">
        <v>161</v>
      </c>
      <c r="B638" s="947">
        <v>219220</v>
      </c>
      <c r="C638" s="947" t="s">
        <v>2189</v>
      </c>
      <c r="D638" s="947" t="s">
        <v>1840</v>
      </c>
      <c r="E638" s="951">
        <v>141</v>
      </c>
      <c r="F638" s="951">
        <v>124</v>
      </c>
      <c r="G638" s="947" t="s">
        <v>159</v>
      </c>
      <c r="H638" s="951">
        <v>0</v>
      </c>
      <c r="I638" s="951">
        <v>0</v>
      </c>
      <c r="J638" s="947" t="s">
        <v>161</v>
      </c>
      <c r="K638" s="947">
        <v>219220</v>
      </c>
      <c r="M638" s="631"/>
      <c r="P638" s="950" t="str">
        <f>VLOOKUP(J638,'רשימת רשויות'!A:A,1,0)</f>
        <v>אבו סנאן</v>
      </c>
      <c r="Q638" s="956">
        <f>IFERROR(VLOOKUP(B638,[2]מעובד!$D:$K,8,0),0)</f>
        <v>140</v>
      </c>
      <c r="R638" s="956">
        <f>IFERROR(VLOOKUP(B638,[2]מעובד!$D:$L,9,0),0)</f>
        <v>112</v>
      </c>
    </row>
    <row r="639" spans="1:18" x14ac:dyDescent="0.2">
      <c r="A639" s="947" t="s">
        <v>226</v>
      </c>
      <c r="B639" s="947">
        <v>219238</v>
      </c>
      <c r="C639" s="947" t="s">
        <v>2189</v>
      </c>
      <c r="D639" s="947" t="s">
        <v>2392</v>
      </c>
      <c r="E639" s="951">
        <v>166</v>
      </c>
      <c r="F639" s="951">
        <v>135</v>
      </c>
      <c r="G639" s="947" t="s">
        <v>159</v>
      </c>
      <c r="H639" s="951">
        <v>67</v>
      </c>
      <c r="I639" s="951">
        <v>8</v>
      </c>
      <c r="J639" s="947" t="s">
        <v>226</v>
      </c>
      <c r="K639" s="947">
        <v>219238</v>
      </c>
      <c r="M639" s="631"/>
      <c r="P639" s="950" t="str">
        <f>VLOOKUP(J639,'רשימת רשויות'!A:A,1,0)</f>
        <v>דיר חנא</v>
      </c>
      <c r="Q639" s="956">
        <f>IFERROR(VLOOKUP(B639,[2]מעובד!$D:$K,8,0),0)</f>
        <v>169</v>
      </c>
      <c r="R639" s="956">
        <f>IFERROR(VLOOKUP(B639,[2]מעובד!$D:$L,9,0),0)</f>
        <v>100</v>
      </c>
    </row>
    <row r="640" spans="1:18" x14ac:dyDescent="0.2">
      <c r="A640" s="947" t="s">
        <v>224</v>
      </c>
      <c r="B640" s="947">
        <v>219246</v>
      </c>
      <c r="C640" s="947" t="s">
        <v>2189</v>
      </c>
      <c r="D640" s="947" t="s">
        <v>475</v>
      </c>
      <c r="E640" s="951">
        <v>256</v>
      </c>
      <c r="F640" s="951">
        <v>205</v>
      </c>
      <c r="G640" s="947" t="s">
        <v>159</v>
      </c>
      <c r="H640" s="951">
        <v>83</v>
      </c>
      <c r="I640" s="951">
        <v>9</v>
      </c>
      <c r="J640" s="947" t="s">
        <v>224</v>
      </c>
      <c r="K640" s="947">
        <v>219246</v>
      </c>
      <c r="M640" s="631"/>
      <c r="P640" s="950" t="str">
        <f>VLOOKUP(J640,'רשימת רשויות'!A:A,1,0)</f>
        <v>דייר אל-אסד</v>
      </c>
      <c r="Q640" s="956">
        <f>IFERROR(VLOOKUP(B640,[2]מעובד!$D:$K,8,0),0)</f>
        <v>232</v>
      </c>
      <c r="R640" s="956">
        <f>IFERROR(VLOOKUP(B640,[2]מעובד!$D:$L,9,0),0)</f>
        <v>61</v>
      </c>
    </row>
    <row r="641" spans="1:18" x14ac:dyDescent="0.2">
      <c r="A641" s="947" t="s">
        <v>360</v>
      </c>
      <c r="B641" s="947">
        <v>219253</v>
      </c>
      <c r="C641" s="947" t="s">
        <v>2189</v>
      </c>
      <c r="D641" s="947" t="s">
        <v>1841</v>
      </c>
      <c r="E641" s="951">
        <v>186</v>
      </c>
      <c r="F641" s="951">
        <v>186</v>
      </c>
      <c r="G641" s="947" t="s">
        <v>159</v>
      </c>
      <c r="H641" s="951">
        <v>0</v>
      </c>
      <c r="I641" s="951">
        <v>0</v>
      </c>
      <c r="J641" s="947" t="s">
        <v>360</v>
      </c>
      <c r="K641" s="947">
        <v>219253</v>
      </c>
      <c r="M641" s="631"/>
      <c r="P641" s="950" t="str">
        <f>VLOOKUP(J641,'רשימת רשויות'!A:A,1,0)</f>
        <v>פקיעין - בוקייעה</v>
      </c>
      <c r="Q641" s="956">
        <f>IFERROR(VLOOKUP(B641,[2]מעובד!$D:$K,8,0),0)</f>
        <v>0</v>
      </c>
      <c r="R641" s="956">
        <f>IFERROR(VLOOKUP(B641,[2]מעובד!$D:$L,9,0),0)</f>
        <v>0</v>
      </c>
    </row>
    <row r="642" spans="1:18" x14ac:dyDescent="0.2">
      <c r="A642" s="947" t="s">
        <v>203</v>
      </c>
      <c r="B642" s="947">
        <v>219261</v>
      </c>
      <c r="C642" s="947" t="s">
        <v>2189</v>
      </c>
      <c r="D642" s="947" t="s">
        <v>1842</v>
      </c>
      <c r="E642" s="951">
        <v>187</v>
      </c>
      <c r="F642" s="951">
        <v>163</v>
      </c>
      <c r="G642" s="947" t="s">
        <v>159</v>
      </c>
      <c r="H642" s="951">
        <v>0</v>
      </c>
      <c r="I642" s="951">
        <v>0</v>
      </c>
      <c r="J642" s="947" t="s">
        <v>203</v>
      </c>
      <c r="K642" s="947">
        <v>219261</v>
      </c>
      <c r="M642" s="631"/>
      <c r="P642" s="950" t="str">
        <f>VLOOKUP(J642,'רשימת רשויות'!A:A,1,0)</f>
        <v>בסמת טבעון</v>
      </c>
      <c r="Q642" s="956">
        <f>IFERROR(VLOOKUP(B642,[2]מעובד!$D:$K,8,0),0)</f>
        <v>171</v>
      </c>
      <c r="R642" s="956">
        <f>IFERROR(VLOOKUP(B642,[2]מעובד!$D:$L,9,0),0)</f>
        <v>130</v>
      </c>
    </row>
    <row r="643" spans="1:18" x14ac:dyDescent="0.2">
      <c r="A643" s="947" t="s">
        <v>267</v>
      </c>
      <c r="B643" s="947">
        <v>219279</v>
      </c>
      <c r="C643" s="947" t="s">
        <v>2189</v>
      </c>
      <c r="D643" s="947" t="s">
        <v>1843</v>
      </c>
      <c r="E643" s="951">
        <v>241</v>
      </c>
      <c r="F643" s="951">
        <v>240</v>
      </c>
      <c r="G643" s="947" t="s">
        <v>159</v>
      </c>
      <c r="H643" s="951">
        <v>0</v>
      </c>
      <c r="I643" s="951">
        <v>0</v>
      </c>
      <c r="J643" s="947" t="s">
        <v>267</v>
      </c>
      <c r="K643" s="947">
        <v>219279</v>
      </c>
      <c r="M643" s="631"/>
      <c r="P643" s="950" t="str">
        <f>VLOOKUP(J643,'רשימת רשויות'!A:A,1,0)</f>
        <v>יפיע</v>
      </c>
      <c r="Q643" s="956">
        <f>IFERROR(VLOOKUP(B643,[2]מעובד!$D:$K,8,0),0)</f>
        <v>240</v>
      </c>
      <c r="R643" s="956">
        <f>IFERROR(VLOOKUP(B643,[2]מעובד!$D:$L,9,0),0)</f>
        <v>110</v>
      </c>
    </row>
    <row r="644" spans="1:18" x14ac:dyDescent="0.2">
      <c r="A644" s="947" t="s">
        <v>346</v>
      </c>
      <c r="B644" s="947">
        <v>219287</v>
      </c>
      <c r="C644" s="947" t="s">
        <v>2189</v>
      </c>
      <c r="D644" s="947" t="s">
        <v>1853</v>
      </c>
      <c r="E644" s="951">
        <v>390</v>
      </c>
      <c r="F644" s="951">
        <v>383</v>
      </c>
      <c r="G644" s="947" t="s">
        <v>159</v>
      </c>
      <c r="H644" s="951">
        <v>0</v>
      </c>
      <c r="I644" s="951">
        <v>0</v>
      </c>
      <c r="J644" s="947" t="s">
        <v>346</v>
      </c>
      <c r="K644" s="947">
        <v>219287</v>
      </c>
      <c r="M644" s="631"/>
      <c r="P644" s="950" t="str">
        <f>VLOOKUP(J644,'רשימת רשויות'!A:A,1,0)</f>
        <v>עכו</v>
      </c>
      <c r="Q644" s="956">
        <f>IFERROR(VLOOKUP(B644,[2]מעובד!$D:$K,8,0),0)</f>
        <v>337</v>
      </c>
      <c r="R644" s="956">
        <f>IFERROR(VLOOKUP(B644,[2]מעובד!$D:$L,9,0),0)</f>
        <v>141</v>
      </c>
    </row>
    <row r="645" spans="1:18" x14ac:dyDescent="0.2">
      <c r="A645" s="947" t="s">
        <v>333</v>
      </c>
      <c r="B645" s="947">
        <v>219295</v>
      </c>
      <c r="C645" s="947" t="s">
        <v>2189</v>
      </c>
      <c r="D645" s="947" t="s">
        <v>2393</v>
      </c>
      <c r="E645" s="951">
        <v>113</v>
      </c>
      <c r="F645" s="951">
        <v>95</v>
      </c>
      <c r="G645" s="947" t="s">
        <v>159</v>
      </c>
      <c r="H645" s="951">
        <v>72</v>
      </c>
      <c r="I645" s="951">
        <v>18</v>
      </c>
      <c r="J645" s="947" t="s">
        <v>333</v>
      </c>
      <c r="K645" s="947">
        <v>219295</v>
      </c>
      <c r="M645" s="631"/>
      <c r="P645" s="950" t="str">
        <f>VLOOKUP(J645,'רשימת רשויות'!A:A,1,0)</f>
        <v>נצרת</v>
      </c>
      <c r="Q645" s="956">
        <f>IFERROR(VLOOKUP(B645,[2]מעובד!$D:$K,8,0),0)</f>
        <v>104</v>
      </c>
      <c r="R645" s="956">
        <f>IFERROR(VLOOKUP(B645,[2]מעובד!$D:$L,9,0),0)</f>
        <v>53</v>
      </c>
    </row>
    <row r="646" spans="1:18" x14ac:dyDescent="0.2">
      <c r="A646" s="947" t="s">
        <v>208</v>
      </c>
      <c r="B646" s="947">
        <v>219303</v>
      </c>
      <c r="C646" s="947" t="s">
        <v>2189</v>
      </c>
      <c r="D646" s="947" t="s">
        <v>1854</v>
      </c>
      <c r="E646" s="951">
        <v>130</v>
      </c>
      <c r="F646" s="951">
        <v>90</v>
      </c>
      <c r="G646" s="947" t="s">
        <v>159</v>
      </c>
      <c r="H646" s="951">
        <v>0</v>
      </c>
      <c r="I646" s="951">
        <v>0</v>
      </c>
      <c r="J646" s="947" t="s">
        <v>208</v>
      </c>
      <c r="K646" s="947">
        <v>219303</v>
      </c>
      <c r="M646" s="631"/>
      <c r="P646" s="950" t="str">
        <f>VLOOKUP(J646,'רשימת רשויות'!A:A,1,0)</f>
        <v>ג'וליס</v>
      </c>
      <c r="Q646" s="956">
        <f>IFERROR(VLOOKUP(B646,[2]מעובד!$D:$K,8,0),0)</f>
        <v>0</v>
      </c>
      <c r="R646" s="956">
        <f>IFERROR(VLOOKUP(B646,[2]מעובד!$D:$L,9,0),0)</f>
        <v>0</v>
      </c>
    </row>
    <row r="647" spans="1:18" x14ac:dyDescent="0.2">
      <c r="A647" s="947" t="s">
        <v>388</v>
      </c>
      <c r="B647" s="947">
        <v>219311</v>
      </c>
      <c r="C647" s="947" t="s">
        <v>2189</v>
      </c>
      <c r="D647" s="947" t="s">
        <v>1022</v>
      </c>
      <c r="E647" s="951">
        <v>185</v>
      </c>
      <c r="F647" s="951">
        <v>120</v>
      </c>
      <c r="G647" s="947" t="s">
        <v>159</v>
      </c>
      <c r="H647" s="951">
        <v>66</v>
      </c>
      <c r="I647" s="951">
        <v>0</v>
      </c>
      <c r="J647" s="947" t="s">
        <v>388</v>
      </c>
      <c r="K647" s="947">
        <v>219311</v>
      </c>
      <c r="M647" s="631"/>
      <c r="P647" s="950" t="str">
        <f>VLOOKUP(J647,'רשימת רשויות'!A:A,1,0)</f>
        <v>ריינה</v>
      </c>
      <c r="Q647" s="956">
        <f>IFERROR(VLOOKUP(B647,[2]מעובד!$D:$K,8,0),0)</f>
        <v>201</v>
      </c>
      <c r="R647" s="956">
        <f>IFERROR(VLOOKUP(B647,[2]מעובד!$D:$L,9,0),0)</f>
        <v>92</v>
      </c>
    </row>
    <row r="648" spans="1:18" x14ac:dyDescent="0.2">
      <c r="A648" s="947" t="s">
        <v>333</v>
      </c>
      <c r="B648" s="947">
        <v>219329</v>
      </c>
      <c r="C648" s="947" t="s">
        <v>2189</v>
      </c>
      <c r="D648" s="947" t="s">
        <v>1855</v>
      </c>
      <c r="E648" s="951">
        <v>345</v>
      </c>
      <c r="F648" s="951">
        <v>345</v>
      </c>
      <c r="G648" s="947" t="s">
        <v>159</v>
      </c>
      <c r="H648" s="951">
        <v>0</v>
      </c>
      <c r="I648" s="951">
        <v>0</v>
      </c>
      <c r="J648" s="947" t="s">
        <v>333</v>
      </c>
      <c r="K648" s="947">
        <v>219329</v>
      </c>
      <c r="M648" s="631"/>
      <c r="P648" s="950" t="str">
        <f>VLOOKUP(J648,'רשימת רשויות'!A:A,1,0)</f>
        <v>נצרת</v>
      </c>
      <c r="Q648" s="956">
        <f>IFERROR(VLOOKUP(B648,[2]מעובד!$D:$K,8,0),0)</f>
        <v>375</v>
      </c>
      <c r="R648" s="956">
        <f>IFERROR(VLOOKUP(B648,[2]מעובד!$D:$L,9,0),0)</f>
        <v>205</v>
      </c>
    </row>
    <row r="649" spans="1:18" x14ac:dyDescent="0.2">
      <c r="A649" s="947" t="s">
        <v>331</v>
      </c>
      <c r="B649" s="947">
        <v>219337</v>
      </c>
      <c r="C649" s="947" t="s">
        <v>2189</v>
      </c>
      <c r="D649" s="947" t="s">
        <v>1856</v>
      </c>
      <c r="E649" s="951">
        <v>189</v>
      </c>
      <c r="F649" s="951">
        <v>171</v>
      </c>
      <c r="G649" s="947" t="s">
        <v>159</v>
      </c>
      <c r="H649" s="951">
        <v>78</v>
      </c>
      <c r="I649" s="951">
        <v>6</v>
      </c>
      <c r="J649" s="947" t="s">
        <v>331</v>
      </c>
      <c r="K649" s="947">
        <v>219337</v>
      </c>
      <c r="M649" s="631"/>
      <c r="P649" s="950" t="str">
        <f>VLOOKUP(J649,'רשימת רשויות'!A:A,1,0)</f>
        <v>נחף</v>
      </c>
      <c r="Q649" s="956">
        <f>IFERROR(VLOOKUP(B649,[2]מעובד!$D:$K,8,0),0)</f>
        <v>177</v>
      </c>
      <c r="R649" s="956">
        <f>IFERROR(VLOOKUP(B649,[2]מעובד!$D:$L,9,0),0)</f>
        <v>74</v>
      </c>
    </row>
    <row r="650" spans="1:18" x14ac:dyDescent="0.2">
      <c r="A650" s="947" t="s">
        <v>325</v>
      </c>
      <c r="B650" s="947">
        <v>219345</v>
      </c>
      <c r="C650" s="947" t="s">
        <v>2189</v>
      </c>
      <c r="D650" s="947" t="s">
        <v>1857</v>
      </c>
      <c r="E650" s="951">
        <v>212</v>
      </c>
      <c r="F650" s="951">
        <v>156</v>
      </c>
      <c r="G650" s="947" t="s">
        <v>159</v>
      </c>
      <c r="H650" s="951">
        <v>0</v>
      </c>
      <c r="I650" s="951">
        <v>0</v>
      </c>
      <c r="J650" s="947" t="s">
        <v>325</v>
      </c>
      <c r="K650" s="947">
        <v>219345</v>
      </c>
      <c r="M650" s="631"/>
      <c r="P650" s="950" t="str">
        <f>VLOOKUP(J650,'רשימת רשויות'!A:A,1,0)</f>
        <v>משגב</v>
      </c>
      <c r="Q650" s="956">
        <f>IFERROR(VLOOKUP(B650,[2]מעובד!$D:$K,8,0),0)</f>
        <v>201</v>
      </c>
      <c r="R650" s="956">
        <f>IFERROR(VLOOKUP(B650,[2]מעובד!$D:$L,9,0),0)</f>
        <v>135</v>
      </c>
    </row>
    <row r="651" spans="1:18" x14ac:dyDescent="0.2">
      <c r="A651" s="947" t="s">
        <v>298</v>
      </c>
      <c r="B651" s="947">
        <v>219352</v>
      </c>
      <c r="C651" s="947" t="s">
        <v>2189</v>
      </c>
      <c r="D651" s="947" t="s">
        <v>2977</v>
      </c>
      <c r="E651" s="951">
        <v>270</v>
      </c>
      <c r="F651" s="951">
        <v>265</v>
      </c>
      <c r="G651" s="947" t="s">
        <v>159</v>
      </c>
      <c r="H651" s="951">
        <v>0</v>
      </c>
      <c r="I651" s="951">
        <v>0</v>
      </c>
      <c r="J651" s="947" t="s">
        <v>298</v>
      </c>
      <c r="K651" s="947">
        <v>219352</v>
      </c>
      <c r="M651" s="631"/>
      <c r="P651" s="950" t="str">
        <f>VLOOKUP(J651,'רשימת רשויות'!A:A,1,0)</f>
        <v>מג'אר</v>
      </c>
      <c r="Q651" s="956">
        <f>IFERROR(VLOOKUP(B651,[2]מעובד!$D:$K,8,0),0)</f>
        <v>0</v>
      </c>
      <c r="R651" s="956">
        <f>IFERROR(VLOOKUP(B651,[2]מעובד!$D:$L,9,0),0)</f>
        <v>0</v>
      </c>
    </row>
    <row r="652" spans="1:18" x14ac:dyDescent="0.2">
      <c r="A652" s="947" t="s">
        <v>339</v>
      </c>
      <c r="B652" s="947">
        <v>219360</v>
      </c>
      <c r="C652" s="947" t="s">
        <v>2189</v>
      </c>
      <c r="D652" s="947" t="s">
        <v>1898</v>
      </c>
      <c r="E652" s="951">
        <v>216</v>
      </c>
      <c r="F652" s="951">
        <v>176</v>
      </c>
      <c r="G652" s="947" t="s">
        <v>159</v>
      </c>
      <c r="H652" s="951">
        <v>84</v>
      </c>
      <c r="I652" s="951">
        <v>8</v>
      </c>
      <c r="J652" s="947" t="s">
        <v>339</v>
      </c>
      <c r="K652" s="947">
        <v>219360</v>
      </c>
      <c r="M652" s="631"/>
      <c r="P652" s="950" t="str">
        <f>VLOOKUP(J652,'רשימת רשויות'!A:A,1,0)</f>
        <v>סח'נין</v>
      </c>
      <c r="Q652" s="956">
        <f>IFERROR(VLOOKUP(B652,[2]מעובד!$D:$K,8,0),0)</f>
        <v>0</v>
      </c>
      <c r="R652" s="956">
        <f>IFERROR(VLOOKUP(B652,[2]מעובד!$D:$L,9,0),0)</f>
        <v>0</v>
      </c>
    </row>
    <row r="653" spans="1:18" x14ac:dyDescent="0.2">
      <c r="A653" s="947" t="s">
        <v>407</v>
      </c>
      <c r="B653" s="947">
        <v>219378</v>
      </c>
      <c r="C653" s="947" t="s">
        <v>2189</v>
      </c>
      <c r="D653" s="947" t="s">
        <v>1905</v>
      </c>
      <c r="E653" s="951">
        <v>124</v>
      </c>
      <c r="F653" s="951">
        <v>122</v>
      </c>
      <c r="G653" s="947" t="s">
        <v>159</v>
      </c>
      <c r="H653" s="951">
        <v>0</v>
      </c>
      <c r="I653" s="951">
        <v>0</v>
      </c>
      <c r="J653" s="947" t="s">
        <v>407</v>
      </c>
      <c r="K653" s="947">
        <v>219378</v>
      </c>
      <c r="M653" s="631"/>
      <c r="P653" s="950" t="str">
        <f>VLOOKUP(J653,'רשימת רשויות'!A:A,1,0)</f>
        <v>שפרעם</v>
      </c>
      <c r="Q653" s="956">
        <f>IFERROR(VLOOKUP(B653,[2]מעובד!$D:$K,8,0),0)</f>
        <v>0</v>
      </c>
      <c r="R653" s="956">
        <f>IFERROR(VLOOKUP(B653,[2]מעובד!$D:$L,9,0),0)</f>
        <v>0</v>
      </c>
    </row>
    <row r="654" spans="1:18" x14ac:dyDescent="0.2">
      <c r="A654" s="947" t="s">
        <v>354</v>
      </c>
      <c r="B654" s="947">
        <v>219402</v>
      </c>
      <c r="C654" s="947" t="s">
        <v>2189</v>
      </c>
      <c r="D654" s="947" t="s">
        <v>1906</v>
      </c>
      <c r="E654" s="951">
        <v>126</v>
      </c>
      <c r="F654" s="951">
        <v>110</v>
      </c>
      <c r="G654" s="947" t="s">
        <v>159</v>
      </c>
      <c r="H654" s="951">
        <v>0</v>
      </c>
      <c r="I654" s="951">
        <v>0</v>
      </c>
      <c r="J654" s="947" t="s">
        <v>354</v>
      </c>
      <c r="K654" s="947">
        <v>219402</v>
      </c>
      <c r="M654" s="631"/>
      <c r="P654" s="950" t="str">
        <f>VLOOKUP(J654,'רשימת רשויות'!A:A,1,0)</f>
        <v>עראבה</v>
      </c>
      <c r="Q654" s="956">
        <f>IFERROR(VLOOKUP(B654,[2]מעובד!$D:$K,8,0),0)</f>
        <v>109</v>
      </c>
      <c r="R654" s="956">
        <f>IFERROR(VLOOKUP(B654,[2]מעובד!$D:$L,9,0),0)</f>
        <v>40</v>
      </c>
    </row>
    <row r="655" spans="1:18" x14ac:dyDescent="0.2">
      <c r="A655" s="947" t="s">
        <v>239</v>
      </c>
      <c r="B655" s="947">
        <v>219410</v>
      </c>
      <c r="C655" s="947" t="s">
        <v>2189</v>
      </c>
      <c r="D655" s="947" t="s">
        <v>1907</v>
      </c>
      <c r="E655" s="951">
        <v>222</v>
      </c>
      <c r="F655" s="951">
        <v>209</v>
      </c>
      <c r="G655" s="947" t="s">
        <v>159</v>
      </c>
      <c r="H655" s="951">
        <v>92</v>
      </c>
      <c r="I655" s="951">
        <v>15</v>
      </c>
      <c r="J655" s="947" t="s">
        <v>239</v>
      </c>
      <c r="K655" s="947">
        <v>219410</v>
      </c>
      <c r="M655" s="631"/>
      <c r="P655" s="950" t="str">
        <f>VLOOKUP(J655,'רשימת רשויות'!A:A,1,0)</f>
        <v>זרזיר</v>
      </c>
      <c r="Q655" s="956">
        <f>IFERROR(VLOOKUP(B655,[2]מעובד!$D:$K,8,0),0)</f>
        <v>202</v>
      </c>
      <c r="R655" s="956">
        <f>IFERROR(VLOOKUP(B655,[2]מעובד!$D:$L,9,0),0)</f>
        <v>48</v>
      </c>
    </row>
    <row r="656" spans="1:18" x14ac:dyDescent="0.2">
      <c r="A656" s="947" t="s">
        <v>267</v>
      </c>
      <c r="B656" s="947">
        <v>219428</v>
      </c>
      <c r="C656" s="947" t="s">
        <v>2189</v>
      </c>
      <c r="D656" s="947" t="s">
        <v>1908</v>
      </c>
      <c r="E656" s="951">
        <v>166</v>
      </c>
      <c r="F656" s="951">
        <v>166</v>
      </c>
      <c r="G656" s="947" t="s">
        <v>159</v>
      </c>
      <c r="H656" s="951">
        <v>0</v>
      </c>
      <c r="I656" s="951">
        <v>0</v>
      </c>
      <c r="J656" s="947" t="s">
        <v>267</v>
      </c>
      <c r="K656" s="947">
        <v>219428</v>
      </c>
      <c r="M656" s="631"/>
      <c r="P656" s="950" t="str">
        <f>VLOOKUP(J656,'רשימת רשויות'!A:A,1,0)</f>
        <v>יפיע</v>
      </c>
      <c r="Q656" s="956">
        <f>IFERROR(VLOOKUP(B656,[2]מעובד!$D:$K,8,0),0)</f>
        <v>195</v>
      </c>
      <c r="R656" s="956">
        <f>IFERROR(VLOOKUP(B656,[2]מעובד!$D:$L,9,0),0)</f>
        <v>54</v>
      </c>
    </row>
    <row r="657" spans="1:18" x14ac:dyDescent="0.2">
      <c r="A657" s="947" t="s">
        <v>407</v>
      </c>
      <c r="B657" s="947">
        <v>219436</v>
      </c>
      <c r="C657" s="947" t="s">
        <v>2189</v>
      </c>
      <c r="D657" s="947" t="s">
        <v>2208</v>
      </c>
      <c r="E657" s="951">
        <v>253</v>
      </c>
      <c r="F657" s="951">
        <v>252</v>
      </c>
      <c r="G657" s="947" t="s">
        <v>159</v>
      </c>
      <c r="H657" s="951">
        <v>0</v>
      </c>
      <c r="I657" s="951">
        <v>0</v>
      </c>
      <c r="J657" s="947" t="s">
        <v>407</v>
      </c>
      <c r="K657" s="947">
        <v>219436</v>
      </c>
      <c r="M657" s="631"/>
      <c r="P657" s="950" t="str">
        <f>VLOOKUP(J657,'רשימת רשויות'!A:A,1,0)</f>
        <v>שפרעם</v>
      </c>
      <c r="Q657" s="956">
        <f>IFERROR(VLOOKUP(B657,[2]מעובד!$D:$K,8,0),0)</f>
        <v>0</v>
      </c>
      <c r="R657" s="956">
        <f>IFERROR(VLOOKUP(B657,[2]מעובד!$D:$L,9,0),0)</f>
        <v>0</v>
      </c>
    </row>
    <row r="658" spans="1:18" x14ac:dyDescent="0.2">
      <c r="A658" s="947" t="s">
        <v>260</v>
      </c>
      <c r="B658" s="947">
        <v>219451</v>
      </c>
      <c r="C658" s="947" t="s">
        <v>2189</v>
      </c>
      <c r="D658" s="947" t="s">
        <v>1909</v>
      </c>
      <c r="E658" s="951">
        <v>187</v>
      </c>
      <c r="F658" s="951">
        <v>155</v>
      </c>
      <c r="G658" s="947" t="s">
        <v>159</v>
      </c>
      <c r="H658" s="951">
        <v>59</v>
      </c>
      <c r="I658" s="951">
        <v>9</v>
      </c>
      <c r="J658" s="947" t="s">
        <v>260</v>
      </c>
      <c r="K658" s="947">
        <v>219451</v>
      </c>
      <c r="M658" s="631"/>
      <c r="P658" s="950" t="str">
        <f>VLOOKUP(J658,'רשימת רשויות'!A:A,1,0)</f>
        <v>טמרה</v>
      </c>
      <c r="Q658" s="956">
        <f>IFERROR(VLOOKUP(B658,[2]מעובד!$D:$K,8,0),0)</f>
        <v>180</v>
      </c>
      <c r="R658" s="956">
        <f>IFERROR(VLOOKUP(B658,[2]מעובד!$D:$L,9,0),0)</f>
        <v>65</v>
      </c>
    </row>
    <row r="659" spans="1:18" x14ac:dyDescent="0.2">
      <c r="A659" s="947" t="s">
        <v>207</v>
      </c>
      <c r="B659" s="947">
        <v>219469</v>
      </c>
      <c r="C659" s="947" t="s">
        <v>2189</v>
      </c>
      <c r="D659" s="947" t="s">
        <v>1910</v>
      </c>
      <c r="E659" s="951">
        <v>231</v>
      </c>
      <c r="F659" s="951">
        <v>231</v>
      </c>
      <c r="G659" s="947" t="s">
        <v>159</v>
      </c>
      <c r="H659" s="951">
        <v>0</v>
      </c>
      <c r="I659" s="951">
        <v>0</v>
      </c>
      <c r="J659" s="947" t="s">
        <v>207</v>
      </c>
      <c r="K659" s="947">
        <v>219469</v>
      </c>
      <c r="M659" s="631"/>
      <c r="P659" s="950" t="str">
        <f>VLOOKUP(J659,'רשימת רשויות'!A:A,1,0)</f>
        <v>ג'דיידה-מכר</v>
      </c>
      <c r="Q659" s="956">
        <f>IFERROR(VLOOKUP(B659,[2]מעובד!$D:$K,8,0),0)</f>
        <v>219</v>
      </c>
      <c r="R659" s="956">
        <f>IFERROR(VLOOKUP(B659,[2]מעובד!$D:$L,9,0),0)</f>
        <v>105</v>
      </c>
    </row>
    <row r="660" spans="1:18" x14ac:dyDescent="0.2">
      <c r="A660" s="947" t="s">
        <v>207</v>
      </c>
      <c r="B660" s="947">
        <v>219477</v>
      </c>
      <c r="C660" s="947" t="s">
        <v>2189</v>
      </c>
      <c r="D660" s="947" t="s">
        <v>1913</v>
      </c>
      <c r="E660" s="951">
        <v>157</v>
      </c>
      <c r="F660" s="951">
        <v>141</v>
      </c>
      <c r="G660" s="947" t="s">
        <v>159</v>
      </c>
      <c r="H660" s="951">
        <v>106</v>
      </c>
      <c r="I660" s="951">
        <v>14</v>
      </c>
      <c r="J660" s="947" t="s">
        <v>207</v>
      </c>
      <c r="K660" s="947">
        <v>219477</v>
      </c>
      <c r="M660" s="631"/>
      <c r="P660" s="950" t="str">
        <f>VLOOKUP(J660,'רשימת רשויות'!A:A,1,0)</f>
        <v>ג'דיידה-מכר</v>
      </c>
      <c r="Q660" s="956">
        <f>IFERROR(VLOOKUP(B660,[2]מעובד!$D:$K,8,0),0)</f>
        <v>136</v>
      </c>
      <c r="R660" s="956">
        <f>IFERROR(VLOOKUP(B660,[2]מעובד!$D:$L,9,0),0)</f>
        <v>135</v>
      </c>
    </row>
    <row r="661" spans="1:18" x14ac:dyDescent="0.2">
      <c r="A661" s="947" t="s">
        <v>404</v>
      </c>
      <c r="B661" s="947">
        <v>219485</v>
      </c>
      <c r="C661" s="947" t="s">
        <v>2189</v>
      </c>
      <c r="D661" s="947" t="s">
        <v>1914</v>
      </c>
      <c r="E661" s="951">
        <v>211</v>
      </c>
      <c r="F661" s="951">
        <v>188</v>
      </c>
      <c r="G661" s="947" t="s">
        <v>159</v>
      </c>
      <c r="H661" s="951">
        <v>73</v>
      </c>
      <c r="I661" s="951">
        <v>7</v>
      </c>
      <c r="J661" s="947" t="s">
        <v>404</v>
      </c>
      <c r="K661" s="947">
        <v>219485</v>
      </c>
      <c r="M661" s="631"/>
      <c r="P661" s="950" t="str">
        <f>VLOOKUP(J661,'רשימת רשויות'!A:A,1,0)</f>
        <v>שעב</v>
      </c>
      <c r="Q661" s="956">
        <f>IFERROR(VLOOKUP(B661,[2]מעובד!$D:$K,8,0),0)</f>
        <v>0</v>
      </c>
      <c r="R661" s="956">
        <f>IFERROR(VLOOKUP(B661,[2]מעובד!$D:$L,9,0),0)</f>
        <v>0</v>
      </c>
    </row>
    <row r="662" spans="1:18" x14ac:dyDescent="0.2">
      <c r="A662" s="947" t="s">
        <v>282</v>
      </c>
      <c r="B662" s="947">
        <v>219493</v>
      </c>
      <c r="C662" s="947" t="s">
        <v>2189</v>
      </c>
      <c r="D662" s="947" t="s">
        <v>1915</v>
      </c>
      <c r="E662" s="951">
        <v>226</v>
      </c>
      <c r="F662" s="951">
        <v>226</v>
      </c>
      <c r="G662" s="947" t="s">
        <v>159</v>
      </c>
      <c r="H662" s="951">
        <v>0</v>
      </c>
      <c r="I662" s="951">
        <v>0</v>
      </c>
      <c r="J662" s="947" t="s">
        <v>282</v>
      </c>
      <c r="K662" s="947">
        <v>219493</v>
      </c>
      <c r="M662" s="631"/>
      <c r="P662" s="950" t="str">
        <f>VLOOKUP(J662,'רשימת רשויות'!A:A,1,0)</f>
        <v>כפר כנא</v>
      </c>
      <c r="Q662" s="956">
        <f>IFERROR(VLOOKUP(B662,[2]מעובד!$D:$K,8,0),0)</f>
        <v>221</v>
      </c>
      <c r="R662" s="956">
        <f>IFERROR(VLOOKUP(B662,[2]מעובד!$D:$L,9,0),0)</f>
        <v>160</v>
      </c>
    </row>
    <row r="663" spans="1:18" x14ac:dyDescent="0.2">
      <c r="A663" s="947" t="s">
        <v>204</v>
      </c>
      <c r="B663" s="947">
        <v>219501</v>
      </c>
      <c r="C663" s="947" t="s">
        <v>2189</v>
      </c>
      <c r="D663" s="947" t="s">
        <v>2978</v>
      </c>
      <c r="E663" s="951">
        <v>119</v>
      </c>
      <c r="F663" s="951">
        <v>102</v>
      </c>
      <c r="G663" s="947" t="s">
        <v>159</v>
      </c>
      <c r="H663" s="951">
        <v>78</v>
      </c>
      <c r="I663" s="951">
        <v>17</v>
      </c>
      <c r="J663" s="947" t="s">
        <v>204</v>
      </c>
      <c r="K663" s="947">
        <v>219501</v>
      </c>
      <c r="M663" s="631"/>
      <c r="P663" s="950" t="str">
        <f>VLOOKUP(J663,'רשימת רשויות'!A:A,1,0)</f>
        <v>בענה</v>
      </c>
      <c r="Q663" s="956">
        <f>IFERROR(VLOOKUP(B663,[2]מעובד!$D:$K,8,0),0)</f>
        <v>124</v>
      </c>
      <c r="R663" s="956">
        <f>IFERROR(VLOOKUP(B663,[2]מעובד!$D:$L,9,0),0)</f>
        <v>115</v>
      </c>
    </row>
    <row r="664" spans="1:18" x14ac:dyDescent="0.2">
      <c r="A664" s="947" t="s">
        <v>339</v>
      </c>
      <c r="B664" s="947">
        <v>219519</v>
      </c>
      <c r="C664" s="947" t="s">
        <v>2189</v>
      </c>
      <c r="D664" s="947" t="s">
        <v>1916</v>
      </c>
      <c r="E664" s="951">
        <v>186</v>
      </c>
      <c r="F664" s="951">
        <v>140</v>
      </c>
      <c r="G664" s="947" t="s">
        <v>159</v>
      </c>
      <c r="H664" s="951">
        <v>77</v>
      </c>
      <c r="I664" s="951">
        <v>9</v>
      </c>
      <c r="J664" s="947" t="s">
        <v>339</v>
      </c>
      <c r="K664" s="947">
        <v>219519</v>
      </c>
      <c r="M664" s="631"/>
      <c r="P664" s="950" t="str">
        <f>VLOOKUP(J664,'רשימת רשויות'!A:A,1,0)</f>
        <v>סח'נין</v>
      </c>
      <c r="Q664" s="956">
        <f>IFERROR(VLOOKUP(B664,[2]מעובד!$D:$K,8,0),0)</f>
        <v>211</v>
      </c>
      <c r="R664" s="956">
        <f>IFERROR(VLOOKUP(B664,[2]מעובד!$D:$L,9,0),0)</f>
        <v>60</v>
      </c>
    </row>
    <row r="665" spans="1:18" x14ac:dyDescent="0.2">
      <c r="A665" s="947" t="s">
        <v>333</v>
      </c>
      <c r="B665" s="947">
        <v>219527</v>
      </c>
      <c r="C665" s="947" t="s">
        <v>2189</v>
      </c>
      <c r="D665" s="947" t="s">
        <v>2394</v>
      </c>
      <c r="E665" s="951">
        <v>412</v>
      </c>
      <c r="F665" s="951">
        <v>397</v>
      </c>
      <c r="G665" s="947" t="s">
        <v>159</v>
      </c>
      <c r="H665" s="951">
        <v>138</v>
      </c>
      <c r="I665" s="951">
        <v>12</v>
      </c>
      <c r="J665" s="947" t="s">
        <v>333</v>
      </c>
      <c r="K665" s="947">
        <v>219527</v>
      </c>
      <c r="M665" s="631"/>
      <c r="P665" s="950" t="str">
        <f>VLOOKUP(J665,'רשימת רשויות'!A:A,1,0)</f>
        <v>נצרת</v>
      </c>
      <c r="Q665" s="956">
        <f>IFERROR(VLOOKUP(B665,[2]מעובד!$D:$K,8,0),0)</f>
        <v>230</v>
      </c>
      <c r="R665" s="956">
        <f>IFERROR(VLOOKUP(B665,[2]מעובד!$D:$L,9,0),0)</f>
        <v>90</v>
      </c>
    </row>
    <row r="666" spans="1:18" x14ac:dyDescent="0.2">
      <c r="A666" s="947" t="s">
        <v>333</v>
      </c>
      <c r="B666" s="947">
        <v>219535</v>
      </c>
      <c r="C666" s="947" t="s">
        <v>2189</v>
      </c>
      <c r="D666" s="947" t="s">
        <v>1957</v>
      </c>
      <c r="E666" s="951">
        <v>281</v>
      </c>
      <c r="F666" s="951">
        <v>281</v>
      </c>
      <c r="G666" s="947" t="s">
        <v>159</v>
      </c>
      <c r="H666" s="951">
        <v>0</v>
      </c>
      <c r="I666" s="951">
        <v>0</v>
      </c>
      <c r="J666" s="947" t="s">
        <v>333</v>
      </c>
      <c r="K666" s="947">
        <v>219535</v>
      </c>
      <c r="M666" s="631"/>
      <c r="P666" s="950" t="str">
        <f>VLOOKUP(J666,'רשימת רשויות'!A:A,1,0)</f>
        <v>נצרת</v>
      </c>
      <c r="Q666" s="956">
        <f>IFERROR(VLOOKUP(B666,[2]מעובד!$D:$K,8,0),0)</f>
        <v>272</v>
      </c>
      <c r="R666" s="956">
        <f>IFERROR(VLOOKUP(B666,[2]מעובד!$D:$L,9,0),0)</f>
        <v>78</v>
      </c>
    </row>
    <row r="667" spans="1:18" x14ac:dyDescent="0.2">
      <c r="A667" s="947" t="s">
        <v>260</v>
      </c>
      <c r="B667" s="947">
        <v>219543</v>
      </c>
      <c r="C667" s="947" t="s">
        <v>2189</v>
      </c>
      <c r="D667" s="947" t="s">
        <v>1958</v>
      </c>
      <c r="E667" s="951">
        <v>134</v>
      </c>
      <c r="F667" s="951">
        <v>120</v>
      </c>
      <c r="G667" s="947" t="s">
        <v>159</v>
      </c>
      <c r="H667" s="951">
        <v>0</v>
      </c>
      <c r="I667" s="951">
        <v>0</v>
      </c>
      <c r="J667" s="947" t="s">
        <v>260</v>
      </c>
      <c r="K667" s="947">
        <v>219543</v>
      </c>
      <c r="M667" s="631"/>
      <c r="P667" s="950" t="str">
        <f>VLOOKUP(J667,'רשימת רשויות'!A:A,1,0)</f>
        <v>טמרה</v>
      </c>
      <c r="Q667" s="956">
        <f>IFERROR(VLOOKUP(B667,[2]מעובד!$D:$K,8,0),0)</f>
        <v>151</v>
      </c>
      <c r="R667" s="956">
        <f>IFERROR(VLOOKUP(B667,[2]מעובד!$D:$L,9,0),0)</f>
        <v>68</v>
      </c>
    </row>
    <row r="668" spans="1:18" x14ac:dyDescent="0.2">
      <c r="A668" s="947" t="s">
        <v>170</v>
      </c>
      <c r="B668" s="947">
        <v>219550</v>
      </c>
      <c r="C668" s="947" t="s">
        <v>2189</v>
      </c>
      <c r="D668" s="947" t="s">
        <v>1959</v>
      </c>
      <c r="E668" s="951">
        <v>263</v>
      </c>
      <c r="F668" s="951">
        <v>262</v>
      </c>
      <c r="G668" s="947" t="s">
        <v>159</v>
      </c>
      <c r="H668" s="951">
        <v>0</v>
      </c>
      <c r="I668" s="951">
        <v>0</v>
      </c>
      <c r="J668" s="947" t="s">
        <v>170</v>
      </c>
      <c r="K668" s="947">
        <v>219550</v>
      </c>
      <c r="M668" s="631"/>
      <c r="P668" s="950" t="str">
        <f>VLOOKUP(J668,'רשימת רשויות'!A:A,1,0)</f>
        <v>אכסאל</v>
      </c>
      <c r="Q668" s="956">
        <f>IFERROR(VLOOKUP(B668,[2]מעובד!$D:$K,8,0),0)</f>
        <v>0</v>
      </c>
      <c r="R668" s="956">
        <f>IFERROR(VLOOKUP(B668,[2]מעובד!$D:$L,9,0),0)</f>
        <v>0</v>
      </c>
    </row>
    <row r="669" spans="1:18" x14ac:dyDescent="0.2">
      <c r="A669" s="947" t="s">
        <v>2778</v>
      </c>
      <c r="B669" s="947">
        <v>219568</v>
      </c>
      <c r="C669" s="947" t="s">
        <v>2189</v>
      </c>
      <c r="D669" s="947" t="s">
        <v>1880</v>
      </c>
      <c r="E669" s="951">
        <v>160</v>
      </c>
      <c r="F669" s="951">
        <v>120</v>
      </c>
      <c r="G669" s="947" t="s">
        <v>159</v>
      </c>
      <c r="H669" s="951">
        <v>0</v>
      </c>
      <c r="I669" s="951">
        <v>0</v>
      </c>
      <c r="J669" s="947" t="s">
        <v>2778</v>
      </c>
      <c r="K669" s="947">
        <v>219568</v>
      </c>
      <c r="M669" s="631"/>
      <c r="P669" s="950" t="str">
        <f>VLOOKUP(J669,'רשימת רשויות'!A:A,1,0)</f>
        <v>בועיינה נוג'ידאת</v>
      </c>
      <c r="Q669" s="956">
        <f>IFERROR(VLOOKUP(B669,[2]מעובד!$D:$K,8,0),0)</f>
        <v>154</v>
      </c>
      <c r="R669" s="956">
        <f>IFERROR(VLOOKUP(B669,[2]מעובד!$D:$L,9,0),0)</f>
        <v>105</v>
      </c>
    </row>
    <row r="670" spans="1:18" x14ac:dyDescent="0.2">
      <c r="A670" s="947" t="s">
        <v>178</v>
      </c>
      <c r="B670" s="947">
        <v>219576</v>
      </c>
      <c r="C670" s="947" t="s">
        <v>2189</v>
      </c>
      <c r="D670" s="947" t="s">
        <v>2979</v>
      </c>
      <c r="E670" s="951">
        <v>179</v>
      </c>
      <c r="F670" s="951">
        <v>150</v>
      </c>
      <c r="G670" s="947" t="s">
        <v>159</v>
      </c>
      <c r="H670" s="951">
        <v>125</v>
      </c>
      <c r="I670" s="951">
        <v>8</v>
      </c>
      <c r="J670" s="947" t="s">
        <v>178</v>
      </c>
      <c r="K670" s="947">
        <v>219576</v>
      </c>
      <c r="M670" s="631"/>
      <c r="P670" s="950" t="str">
        <f>VLOOKUP(J670,'רשימת רשויות'!A:A,1,0)</f>
        <v>אעבלין</v>
      </c>
      <c r="Q670" s="956">
        <f>IFERROR(VLOOKUP(B670,[2]מעובד!$D:$K,8,0),0)</f>
        <v>186</v>
      </c>
      <c r="R670" s="956">
        <f>IFERROR(VLOOKUP(B670,[2]מעובד!$D:$L,9,0),0)</f>
        <v>75</v>
      </c>
    </row>
    <row r="671" spans="1:18" x14ac:dyDescent="0.2">
      <c r="A671" s="947" t="s">
        <v>354</v>
      </c>
      <c r="B671" s="947">
        <v>219584</v>
      </c>
      <c r="C671" s="947" t="s">
        <v>2189</v>
      </c>
      <c r="D671" s="947" t="s">
        <v>1962</v>
      </c>
      <c r="E671" s="951">
        <v>283</v>
      </c>
      <c r="F671" s="951">
        <v>270</v>
      </c>
      <c r="G671" s="947" t="s">
        <v>159</v>
      </c>
      <c r="H671" s="951">
        <v>0</v>
      </c>
      <c r="I671" s="951">
        <v>0</v>
      </c>
      <c r="J671" s="947" t="s">
        <v>354</v>
      </c>
      <c r="K671" s="947">
        <v>219584</v>
      </c>
      <c r="M671" s="631"/>
      <c r="P671" s="950" t="str">
        <f>VLOOKUP(J671,'רשימת רשויות'!A:A,1,0)</f>
        <v>עראבה</v>
      </c>
      <c r="Q671" s="956">
        <f>IFERROR(VLOOKUP(B671,[2]מעובד!$D:$K,8,0),0)</f>
        <v>259</v>
      </c>
      <c r="R671" s="956">
        <f>IFERROR(VLOOKUP(B671,[2]מעובד!$D:$L,9,0),0)</f>
        <v>220</v>
      </c>
    </row>
    <row r="672" spans="1:18" x14ac:dyDescent="0.2">
      <c r="A672" s="947" t="s">
        <v>267</v>
      </c>
      <c r="B672" s="947">
        <v>219592</v>
      </c>
      <c r="C672" s="947" t="s">
        <v>2189</v>
      </c>
      <c r="D672" s="947" t="s">
        <v>1963</v>
      </c>
      <c r="E672" s="951">
        <v>170</v>
      </c>
      <c r="F672" s="951">
        <v>156</v>
      </c>
      <c r="G672" s="947" t="s">
        <v>159</v>
      </c>
      <c r="H672" s="951">
        <v>62</v>
      </c>
      <c r="I672" s="951">
        <v>12</v>
      </c>
      <c r="J672" s="947" t="s">
        <v>267</v>
      </c>
      <c r="K672" s="947">
        <v>219592</v>
      </c>
      <c r="M672" s="631"/>
      <c r="P672" s="950" t="str">
        <f>VLOOKUP(J672,'רשימת רשויות'!A:A,1,0)</f>
        <v>יפיע</v>
      </c>
      <c r="Q672" s="956">
        <f>IFERROR(VLOOKUP(B672,[2]מעובד!$D:$K,8,0),0)</f>
        <v>159</v>
      </c>
      <c r="R672" s="956">
        <f>IFERROR(VLOOKUP(B672,[2]מעובד!$D:$L,9,0),0)</f>
        <v>70</v>
      </c>
    </row>
    <row r="673" spans="1:18" x14ac:dyDescent="0.2">
      <c r="A673" s="947" t="s">
        <v>343</v>
      </c>
      <c r="B673" s="947">
        <v>219600</v>
      </c>
      <c r="C673" s="947" t="s">
        <v>2189</v>
      </c>
      <c r="D673" s="947" t="s">
        <v>1964</v>
      </c>
      <c r="E673" s="951">
        <v>185</v>
      </c>
      <c r="F673" s="951">
        <v>184</v>
      </c>
      <c r="G673" s="947" t="s">
        <v>159</v>
      </c>
      <c r="H673" s="951">
        <v>0</v>
      </c>
      <c r="I673" s="951">
        <v>0</v>
      </c>
      <c r="J673" s="947" t="s">
        <v>343</v>
      </c>
      <c r="K673" s="947">
        <v>219600</v>
      </c>
      <c r="M673" s="631"/>
      <c r="P673" s="950" t="str">
        <f>VLOOKUP(J673,'רשימת רשויות'!A:A,1,0)</f>
        <v>עילוט</v>
      </c>
      <c r="Q673" s="956">
        <f>IFERROR(VLOOKUP(B673,[2]מעובד!$D:$K,8,0),0)</f>
        <v>129</v>
      </c>
      <c r="R673" s="956">
        <f>IFERROR(VLOOKUP(B673,[2]מעובד!$D:$L,9,0),0)</f>
        <v>85</v>
      </c>
    </row>
    <row r="674" spans="1:18" x14ac:dyDescent="0.2">
      <c r="A674" s="947" t="s">
        <v>298</v>
      </c>
      <c r="B674" s="947">
        <v>219618</v>
      </c>
      <c r="C674" s="947" t="s">
        <v>2189</v>
      </c>
      <c r="D674" s="947" t="s">
        <v>1965</v>
      </c>
      <c r="E674" s="951">
        <v>261</v>
      </c>
      <c r="F674" s="951">
        <v>250</v>
      </c>
      <c r="G674" s="947" t="s">
        <v>159</v>
      </c>
      <c r="H674" s="951">
        <v>91</v>
      </c>
      <c r="I674" s="951">
        <v>11</v>
      </c>
      <c r="J674" s="947" t="s">
        <v>298</v>
      </c>
      <c r="K674" s="947">
        <v>219618</v>
      </c>
      <c r="M674" s="631"/>
      <c r="P674" s="950" t="str">
        <f>VLOOKUP(J674,'רשימת רשויות'!A:A,1,0)</f>
        <v>מג'אר</v>
      </c>
      <c r="Q674" s="956">
        <f>IFERROR(VLOOKUP(B674,[2]מעובד!$D:$K,8,0),0)</f>
        <v>203</v>
      </c>
      <c r="R674" s="956">
        <f>IFERROR(VLOOKUP(B674,[2]מעובד!$D:$L,9,0),0)</f>
        <v>203</v>
      </c>
    </row>
    <row r="675" spans="1:18" x14ac:dyDescent="0.2">
      <c r="A675" s="947" t="s">
        <v>283</v>
      </c>
      <c r="B675" s="947">
        <v>219626</v>
      </c>
      <c r="C675" s="947" t="s">
        <v>2189</v>
      </c>
      <c r="D675" s="947" t="s">
        <v>1966</v>
      </c>
      <c r="E675" s="951">
        <v>237</v>
      </c>
      <c r="F675" s="951">
        <v>190</v>
      </c>
      <c r="G675" s="947" t="s">
        <v>159</v>
      </c>
      <c r="H675" s="951">
        <v>91</v>
      </c>
      <c r="I675" s="951">
        <v>11</v>
      </c>
      <c r="J675" s="947" t="s">
        <v>283</v>
      </c>
      <c r="K675" s="947">
        <v>219626</v>
      </c>
      <c r="M675" s="631"/>
      <c r="P675" s="950" t="str">
        <f>VLOOKUP(J675,'רשימת רשויות'!A:A,1,0)</f>
        <v>כפר מנדא</v>
      </c>
      <c r="Q675" s="956">
        <f>IFERROR(VLOOKUP(B675,[2]מעובד!$D:$K,8,0),0)</f>
        <v>258</v>
      </c>
      <c r="R675" s="956">
        <f>IFERROR(VLOOKUP(B675,[2]מעובד!$D:$L,9,0),0)</f>
        <v>60</v>
      </c>
    </row>
    <row r="676" spans="1:18" x14ac:dyDescent="0.2">
      <c r="A676" s="947" t="s">
        <v>250</v>
      </c>
      <c r="B676" s="947">
        <v>219634</v>
      </c>
      <c r="C676" s="947" t="s">
        <v>2189</v>
      </c>
      <c r="D676" s="947" t="s">
        <v>517</v>
      </c>
      <c r="E676" s="951">
        <v>128</v>
      </c>
      <c r="F676" s="951">
        <v>127</v>
      </c>
      <c r="G676" s="947" t="s">
        <v>159</v>
      </c>
      <c r="H676" s="951">
        <v>0</v>
      </c>
      <c r="I676" s="951">
        <v>0</v>
      </c>
      <c r="J676" s="947" t="s">
        <v>250</v>
      </c>
      <c r="K676" s="947">
        <v>219634</v>
      </c>
      <c r="M676" s="631"/>
      <c r="P676" s="950" t="str">
        <f>VLOOKUP(J676,'רשימת רשויות'!A:A,1,0)</f>
        <v>חורפיש</v>
      </c>
      <c r="Q676" s="956">
        <f>IFERROR(VLOOKUP(B676,[2]מעובד!$D:$K,8,0),0)</f>
        <v>149</v>
      </c>
      <c r="R676" s="956">
        <f>IFERROR(VLOOKUP(B676,[2]מעובד!$D:$L,9,0),0)</f>
        <v>88</v>
      </c>
    </row>
    <row r="677" spans="1:18" x14ac:dyDescent="0.2">
      <c r="A677" s="947" t="s">
        <v>283</v>
      </c>
      <c r="B677" s="947">
        <v>219667</v>
      </c>
      <c r="C677" s="947" t="s">
        <v>2189</v>
      </c>
      <c r="D677" s="947" t="s">
        <v>2395</v>
      </c>
      <c r="E677" s="951">
        <v>222</v>
      </c>
      <c r="F677" s="951">
        <v>188</v>
      </c>
      <c r="G677" s="947" t="s">
        <v>159</v>
      </c>
      <c r="H677" s="951">
        <v>0</v>
      </c>
      <c r="I677" s="951">
        <v>0</v>
      </c>
      <c r="J677" s="947" t="s">
        <v>283</v>
      </c>
      <c r="K677" s="947">
        <v>219667</v>
      </c>
      <c r="M677" s="631"/>
      <c r="P677" s="950" t="str">
        <f>VLOOKUP(J677,'רשימת רשויות'!A:A,1,0)</f>
        <v>כפר מנדא</v>
      </c>
      <c r="Q677" s="956">
        <f>IFERROR(VLOOKUP(B677,[2]מעובד!$D:$K,8,0),0)</f>
        <v>241</v>
      </c>
      <c r="R677" s="956">
        <f>IFERROR(VLOOKUP(B677,[2]מעובד!$D:$L,9,0),0)</f>
        <v>225</v>
      </c>
    </row>
    <row r="678" spans="1:18" x14ac:dyDescent="0.2">
      <c r="A678" s="947" t="s">
        <v>283</v>
      </c>
      <c r="B678" s="947">
        <v>219709</v>
      </c>
      <c r="C678" s="947" t="s">
        <v>2189</v>
      </c>
      <c r="D678" s="947" t="s">
        <v>1875</v>
      </c>
      <c r="E678" s="951">
        <v>299</v>
      </c>
      <c r="F678" s="951">
        <v>261</v>
      </c>
      <c r="G678" s="947" t="s">
        <v>159</v>
      </c>
      <c r="H678" s="951">
        <v>106</v>
      </c>
      <c r="I678" s="951">
        <v>8</v>
      </c>
      <c r="J678" s="947" t="s">
        <v>283</v>
      </c>
      <c r="K678" s="947">
        <v>219709</v>
      </c>
      <c r="M678" s="631"/>
      <c r="P678" s="950" t="str">
        <f>VLOOKUP(J678,'רשימת רשויות'!A:A,1,0)</f>
        <v>כפר מנדא</v>
      </c>
      <c r="Q678" s="956">
        <f>IFERROR(VLOOKUP(B678,[2]מעובד!$D:$K,8,0),0)</f>
        <v>211</v>
      </c>
      <c r="R678" s="956">
        <f>IFERROR(VLOOKUP(B678,[2]מעובד!$D:$L,9,0),0)</f>
        <v>80</v>
      </c>
    </row>
    <row r="679" spans="1:18" x14ac:dyDescent="0.2">
      <c r="A679" s="947" t="s">
        <v>388</v>
      </c>
      <c r="B679" s="947">
        <v>219717</v>
      </c>
      <c r="C679" s="947" t="s">
        <v>2189</v>
      </c>
      <c r="D679" s="947" t="s">
        <v>2980</v>
      </c>
      <c r="E679" s="951">
        <v>94</v>
      </c>
      <c r="F679" s="951">
        <v>86</v>
      </c>
      <c r="G679" s="947" t="s">
        <v>159</v>
      </c>
      <c r="H679" s="951">
        <v>34</v>
      </c>
      <c r="I679" s="951">
        <v>7</v>
      </c>
      <c r="J679" s="947" t="s">
        <v>388</v>
      </c>
      <c r="K679" s="947">
        <v>219717</v>
      </c>
      <c r="M679" s="631"/>
      <c r="P679" s="950" t="str">
        <f>VLOOKUP(J679,'רשימת רשויות'!A:A,1,0)</f>
        <v>ריינה</v>
      </c>
      <c r="Q679" s="956">
        <f>IFERROR(VLOOKUP(B679,[2]מעובד!$D:$K,8,0),0)</f>
        <v>67</v>
      </c>
      <c r="R679" s="956">
        <f>IFERROR(VLOOKUP(B679,[2]מעובד!$D:$L,9,0),0)</f>
        <v>65</v>
      </c>
    </row>
    <row r="680" spans="1:18" x14ac:dyDescent="0.2">
      <c r="A680" s="947" t="s">
        <v>203</v>
      </c>
      <c r="B680" s="947">
        <v>219725</v>
      </c>
      <c r="C680" s="947" t="s">
        <v>2189</v>
      </c>
      <c r="D680" s="947" t="s">
        <v>1876</v>
      </c>
      <c r="E680" s="951">
        <v>125</v>
      </c>
      <c r="F680" s="951">
        <v>118</v>
      </c>
      <c r="G680" s="947" t="s">
        <v>159</v>
      </c>
      <c r="H680" s="951">
        <v>0</v>
      </c>
      <c r="I680" s="951">
        <v>0</v>
      </c>
      <c r="J680" s="947" t="s">
        <v>203</v>
      </c>
      <c r="K680" s="947">
        <v>219725</v>
      </c>
      <c r="M680" s="631"/>
      <c r="P680" s="950" t="str">
        <f>VLOOKUP(J680,'רשימת רשויות'!A:A,1,0)</f>
        <v>בסמת טבעון</v>
      </c>
      <c r="Q680" s="956">
        <f>IFERROR(VLOOKUP(B680,[2]מעובד!$D:$K,8,0),0)</f>
        <v>157</v>
      </c>
      <c r="R680" s="956">
        <f>IFERROR(VLOOKUP(B680,[2]מעובד!$D:$L,9,0),0)</f>
        <v>141</v>
      </c>
    </row>
    <row r="681" spans="1:18" x14ac:dyDescent="0.2">
      <c r="A681" s="947" t="s">
        <v>407</v>
      </c>
      <c r="B681" s="947">
        <v>219733</v>
      </c>
      <c r="C681" s="947" t="s">
        <v>2189</v>
      </c>
      <c r="D681" s="947" t="s">
        <v>1877</v>
      </c>
      <c r="E681" s="951">
        <v>112</v>
      </c>
      <c r="F681" s="951">
        <v>108</v>
      </c>
      <c r="G681" s="947" t="s">
        <v>159</v>
      </c>
      <c r="H681" s="951">
        <v>0</v>
      </c>
      <c r="I681" s="951">
        <v>0</v>
      </c>
      <c r="J681" s="947" t="s">
        <v>407</v>
      </c>
      <c r="K681" s="947">
        <v>219733</v>
      </c>
      <c r="M681" s="631"/>
      <c r="P681" s="950" t="str">
        <f>VLOOKUP(J681,'רשימת רשויות'!A:A,1,0)</f>
        <v>שפרעם</v>
      </c>
      <c r="Q681" s="956">
        <f>IFERROR(VLOOKUP(B681,[2]מעובד!$D:$K,8,0),0)</f>
        <v>0</v>
      </c>
      <c r="R681" s="956">
        <f>IFERROR(VLOOKUP(B681,[2]מעובד!$D:$L,9,0),0)</f>
        <v>0</v>
      </c>
    </row>
    <row r="682" spans="1:18" x14ac:dyDescent="0.2">
      <c r="A682" s="947" t="s">
        <v>204</v>
      </c>
      <c r="B682" s="947">
        <v>219758</v>
      </c>
      <c r="C682" s="947" t="s">
        <v>2189</v>
      </c>
      <c r="D682" s="947" t="s">
        <v>1878</v>
      </c>
      <c r="E682" s="951">
        <v>124</v>
      </c>
      <c r="F682" s="951">
        <v>124</v>
      </c>
      <c r="G682" s="947" t="s">
        <v>159</v>
      </c>
      <c r="H682" s="951">
        <v>0</v>
      </c>
      <c r="I682" s="951">
        <v>0</v>
      </c>
      <c r="J682" s="947" t="s">
        <v>204</v>
      </c>
      <c r="K682" s="947">
        <v>219758</v>
      </c>
      <c r="M682" s="631"/>
      <c r="P682" s="950" t="str">
        <f>VLOOKUP(J682,'רשימת רשויות'!A:A,1,0)</f>
        <v>בענה</v>
      </c>
      <c r="Q682" s="956">
        <f>IFERROR(VLOOKUP(B682,[2]מעובד!$D:$K,8,0),0)</f>
        <v>112</v>
      </c>
      <c r="R682" s="956">
        <f>IFERROR(VLOOKUP(B682,[2]מעובד!$D:$L,9,0),0)</f>
        <v>75</v>
      </c>
    </row>
    <row r="683" spans="1:18" x14ac:dyDescent="0.2">
      <c r="A683" s="947" t="s">
        <v>407</v>
      </c>
      <c r="B683" s="947">
        <v>219774</v>
      </c>
      <c r="C683" s="947" t="s">
        <v>2189</v>
      </c>
      <c r="D683" s="947" t="s">
        <v>1887</v>
      </c>
      <c r="E683" s="951">
        <v>173</v>
      </c>
      <c r="F683" s="951">
        <v>162</v>
      </c>
      <c r="G683" s="953" t="s">
        <v>159</v>
      </c>
      <c r="H683" s="951">
        <v>66</v>
      </c>
      <c r="I683" s="951">
        <v>9</v>
      </c>
      <c r="J683" s="947" t="s">
        <v>407</v>
      </c>
      <c r="K683" s="947">
        <v>219774</v>
      </c>
      <c r="M683" s="636"/>
      <c r="P683" s="950" t="str">
        <f>VLOOKUP(J683,'רשימת רשויות'!A:A,1,0)</f>
        <v>שפרעם</v>
      </c>
      <c r="Q683" s="956">
        <f>IFERROR(VLOOKUP(B683,[2]מעובד!$D:$K,8,0),0)</f>
        <v>0</v>
      </c>
      <c r="R683" s="956">
        <f>IFERROR(VLOOKUP(B683,[2]מעובד!$D:$L,9,0),0)</f>
        <v>0</v>
      </c>
    </row>
    <row r="684" spans="1:18" x14ac:dyDescent="0.2">
      <c r="A684" s="947" t="s">
        <v>260</v>
      </c>
      <c r="B684" s="947">
        <v>219782</v>
      </c>
      <c r="C684" s="947" t="s">
        <v>2189</v>
      </c>
      <c r="D684" s="947" t="s">
        <v>1888</v>
      </c>
      <c r="E684" s="951">
        <v>201</v>
      </c>
      <c r="F684" s="951">
        <v>188</v>
      </c>
      <c r="G684" s="947" t="s">
        <v>159</v>
      </c>
      <c r="H684" s="951">
        <v>0</v>
      </c>
      <c r="I684" s="951">
        <v>0</v>
      </c>
      <c r="J684" s="947" t="s">
        <v>260</v>
      </c>
      <c r="K684" s="947">
        <v>219782</v>
      </c>
      <c r="M684" s="631"/>
      <c r="P684" s="950" t="str">
        <f>VLOOKUP(J684,'רשימת רשויות'!A:A,1,0)</f>
        <v>טמרה</v>
      </c>
      <c r="Q684" s="956">
        <f>IFERROR(VLOOKUP(B684,[2]מעובד!$D:$K,8,0),0)</f>
        <v>212</v>
      </c>
      <c r="R684" s="956">
        <f>IFERROR(VLOOKUP(B684,[2]מעובד!$D:$L,9,0),0)</f>
        <v>72</v>
      </c>
    </row>
    <row r="685" spans="1:18" x14ac:dyDescent="0.2">
      <c r="A685" s="947" t="s">
        <v>331</v>
      </c>
      <c r="B685" s="947">
        <v>219790</v>
      </c>
      <c r="C685" s="947" t="s">
        <v>2189</v>
      </c>
      <c r="D685" s="947" t="s">
        <v>2665</v>
      </c>
      <c r="E685" s="951">
        <v>311</v>
      </c>
      <c r="F685" s="951">
        <v>283</v>
      </c>
      <c r="G685" s="947" t="s">
        <v>159</v>
      </c>
      <c r="H685" s="951">
        <v>104</v>
      </c>
      <c r="I685" s="951">
        <v>7</v>
      </c>
      <c r="J685" s="947" t="s">
        <v>331</v>
      </c>
      <c r="K685" s="947">
        <v>219790</v>
      </c>
      <c r="M685" s="631"/>
      <c r="P685" s="950" t="str">
        <f>VLOOKUP(J685,'רשימת רשויות'!A:A,1,0)</f>
        <v>נחף</v>
      </c>
      <c r="Q685" s="956">
        <f>IFERROR(VLOOKUP(B685,[2]מעובד!$D:$K,8,0),0)</f>
        <v>268</v>
      </c>
      <c r="R685" s="956">
        <f>IFERROR(VLOOKUP(B685,[2]מעובד!$D:$L,9,0),0)</f>
        <v>70</v>
      </c>
    </row>
    <row r="686" spans="1:18" x14ac:dyDescent="0.2">
      <c r="A686" s="947" t="s">
        <v>224</v>
      </c>
      <c r="B686" s="947">
        <v>219808</v>
      </c>
      <c r="C686" s="947" t="s">
        <v>2189</v>
      </c>
      <c r="D686" s="947" t="s">
        <v>1889</v>
      </c>
      <c r="E686" s="951">
        <v>224</v>
      </c>
      <c r="F686" s="951">
        <v>120</v>
      </c>
      <c r="G686" s="947" t="s">
        <v>159</v>
      </c>
      <c r="H686" s="951">
        <v>77</v>
      </c>
      <c r="I686" s="951">
        <v>8</v>
      </c>
      <c r="J686" s="947" t="s">
        <v>224</v>
      </c>
      <c r="K686" s="947">
        <v>219808</v>
      </c>
      <c r="M686" s="631"/>
      <c r="P686" s="950" t="str">
        <f>VLOOKUP(J686,'רשימת רשויות'!A:A,1,0)</f>
        <v>דייר אל-אסד</v>
      </c>
      <c r="Q686" s="956">
        <f>IFERROR(VLOOKUP(B686,[2]מעובד!$D:$K,8,0),0)</f>
        <v>198</v>
      </c>
      <c r="R686" s="956">
        <f>IFERROR(VLOOKUP(B686,[2]מעובד!$D:$L,9,0),0)</f>
        <v>61</v>
      </c>
    </row>
    <row r="687" spans="1:18" x14ac:dyDescent="0.2">
      <c r="A687" s="947" t="s">
        <v>298</v>
      </c>
      <c r="B687" s="947">
        <v>219816</v>
      </c>
      <c r="C687" s="947" t="s">
        <v>2189</v>
      </c>
      <c r="D687" s="947" t="s">
        <v>1890</v>
      </c>
      <c r="E687" s="951">
        <v>168</v>
      </c>
      <c r="F687" s="951">
        <v>156</v>
      </c>
      <c r="G687" s="947" t="s">
        <v>159</v>
      </c>
      <c r="H687" s="951">
        <v>68</v>
      </c>
      <c r="I687" s="951">
        <v>11</v>
      </c>
      <c r="J687" s="947" t="s">
        <v>298</v>
      </c>
      <c r="K687" s="947">
        <v>219816</v>
      </c>
      <c r="M687" s="631"/>
      <c r="P687" s="950" t="str">
        <f>VLOOKUP(J687,'רשימת רשויות'!A:A,1,0)</f>
        <v>מג'אר</v>
      </c>
      <c r="Q687" s="956">
        <f>IFERROR(VLOOKUP(B687,[2]מעובד!$D:$K,8,0),0)</f>
        <v>189</v>
      </c>
      <c r="R687" s="956">
        <f>IFERROR(VLOOKUP(B687,[2]מעובד!$D:$L,9,0),0)</f>
        <v>39</v>
      </c>
    </row>
    <row r="688" spans="1:18" x14ac:dyDescent="0.2">
      <c r="A688" s="947" t="s">
        <v>178</v>
      </c>
      <c r="B688" s="947">
        <v>219824</v>
      </c>
      <c r="C688" s="947" t="s">
        <v>2189</v>
      </c>
      <c r="D688" s="947" t="s">
        <v>1891</v>
      </c>
      <c r="E688" s="951">
        <v>137</v>
      </c>
      <c r="F688" s="951">
        <v>117</v>
      </c>
      <c r="G688" s="947" t="s">
        <v>159</v>
      </c>
      <c r="H688" s="951">
        <v>49</v>
      </c>
      <c r="I688" s="951">
        <v>0</v>
      </c>
      <c r="J688" s="947" t="s">
        <v>178</v>
      </c>
      <c r="K688" s="947">
        <v>219824</v>
      </c>
      <c r="M688" s="631"/>
      <c r="P688" s="950" t="str">
        <f>VLOOKUP(J688,'רשימת רשויות'!A:A,1,0)</f>
        <v>אעבלין</v>
      </c>
      <c r="Q688" s="956">
        <f>IFERROR(VLOOKUP(B688,[2]מעובד!$D:$K,8,0),0)</f>
        <v>138</v>
      </c>
      <c r="R688" s="956">
        <f>IFERROR(VLOOKUP(B688,[2]מעובד!$D:$L,9,0),0)</f>
        <v>42</v>
      </c>
    </row>
    <row r="689" spans="1:18" x14ac:dyDescent="0.2">
      <c r="A689" s="947" t="s">
        <v>354</v>
      </c>
      <c r="B689" s="947">
        <v>219832</v>
      </c>
      <c r="C689" s="947" t="s">
        <v>2189</v>
      </c>
      <c r="D689" s="947" t="s">
        <v>1892</v>
      </c>
      <c r="E689" s="951">
        <v>260</v>
      </c>
      <c r="F689" s="951">
        <v>240</v>
      </c>
      <c r="G689" s="947" t="s">
        <v>159</v>
      </c>
      <c r="H689" s="951">
        <v>96</v>
      </c>
      <c r="I689" s="951">
        <v>8</v>
      </c>
      <c r="J689" s="947" t="s">
        <v>354</v>
      </c>
      <c r="K689" s="947">
        <v>219832</v>
      </c>
      <c r="M689" s="631"/>
      <c r="P689" s="950" t="str">
        <f>VLOOKUP(J689,'רשימת רשויות'!A:A,1,0)</f>
        <v>עראבה</v>
      </c>
      <c r="Q689" s="956">
        <f>IFERROR(VLOOKUP(B689,[2]מעובד!$D:$K,8,0),0)</f>
        <v>0</v>
      </c>
      <c r="R689" s="956">
        <f>IFERROR(VLOOKUP(B689,[2]מעובד!$D:$L,9,0),0)</f>
        <v>0</v>
      </c>
    </row>
    <row r="690" spans="1:18" x14ac:dyDescent="0.2">
      <c r="A690" s="947" t="s">
        <v>282</v>
      </c>
      <c r="B690" s="947">
        <v>222364</v>
      </c>
      <c r="C690" s="947" t="s">
        <v>2189</v>
      </c>
      <c r="D690" s="947" t="s">
        <v>1971</v>
      </c>
      <c r="E690" s="951">
        <v>241</v>
      </c>
      <c r="F690" s="951">
        <v>240</v>
      </c>
      <c r="G690" s="947" t="s">
        <v>159</v>
      </c>
      <c r="H690" s="951">
        <v>0</v>
      </c>
      <c r="I690" s="951">
        <v>0</v>
      </c>
      <c r="J690" s="947" t="s">
        <v>282</v>
      </c>
      <c r="K690" s="947">
        <v>222364</v>
      </c>
      <c r="M690" s="631"/>
      <c r="P690" s="950" t="str">
        <f>VLOOKUP(J690,'רשימת רשויות'!A:A,1,0)</f>
        <v>כפר כנא</v>
      </c>
      <c r="Q690" s="956">
        <f>IFERROR(VLOOKUP(B690,[2]מעובד!$D:$K,8,0),0)</f>
        <v>226</v>
      </c>
      <c r="R690" s="956">
        <f>IFERROR(VLOOKUP(B690,[2]מעובד!$D:$L,9,0),0)</f>
        <v>215</v>
      </c>
    </row>
    <row r="691" spans="1:18" x14ac:dyDescent="0.2">
      <c r="A691" s="947" t="s">
        <v>196</v>
      </c>
      <c r="B691" s="947">
        <v>226340</v>
      </c>
      <c r="C691" s="947" t="s">
        <v>2189</v>
      </c>
      <c r="D691" s="947" t="s">
        <v>1359</v>
      </c>
      <c r="E691" s="951">
        <v>71</v>
      </c>
      <c r="F691" s="951">
        <v>71</v>
      </c>
      <c r="G691" s="947" t="s">
        <v>3252</v>
      </c>
      <c r="H691" s="951">
        <v>0</v>
      </c>
      <c r="I691" s="951">
        <v>0</v>
      </c>
      <c r="J691" s="947" t="s">
        <v>196</v>
      </c>
      <c r="K691" s="947">
        <v>226340</v>
      </c>
      <c r="M691" s="631"/>
      <c r="P691" s="950" t="str">
        <f>VLOOKUP(J691,'רשימת רשויות'!A:A,1,0)</f>
        <v>בית שמש</v>
      </c>
      <c r="Q691" s="956">
        <f>IFERROR(VLOOKUP(B691,[2]מעובד!$D:$K,8,0),0)</f>
        <v>0</v>
      </c>
      <c r="R691" s="956">
        <f>IFERROR(VLOOKUP(B691,[2]מעובד!$D:$L,9,0),0)</f>
        <v>0</v>
      </c>
    </row>
    <row r="692" spans="1:18" x14ac:dyDescent="0.2">
      <c r="A692" s="947" t="s">
        <v>310</v>
      </c>
      <c r="B692" s="947">
        <v>226811</v>
      </c>
      <c r="C692" s="947" t="s">
        <v>2189</v>
      </c>
      <c r="D692" s="947" t="s">
        <v>2727</v>
      </c>
      <c r="E692" s="951">
        <v>166</v>
      </c>
      <c r="F692" s="951">
        <v>166</v>
      </c>
      <c r="G692" s="947" t="s">
        <v>3252</v>
      </c>
      <c r="H692" s="951">
        <v>0</v>
      </c>
      <c r="I692" s="951">
        <v>0</v>
      </c>
      <c r="J692" s="947" t="s">
        <v>310</v>
      </c>
      <c r="K692" s="947">
        <v>226811</v>
      </c>
      <c r="M692" s="631"/>
      <c r="P692" s="950" t="str">
        <f>VLOOKUP(J692,'רשימת רשויות'!A:A,1,0)</f>
        <v>מטה בנימין</v>
      </c>
      <c r="Q692" s="956">
        <f>IFERROR(VLOOKUP(B692,[2]מעובד!$D:$K,8,0),0)</f>
        <v>0</v>
      </c>
      <c r="R692" s="956">
        <f>IFERROR(VLOOKUP(B692,[2]מעובד!$D:$L,9,0),0)</f>
        <v>0</v>
      </c>
    </row>
    <row r="693" spans="1:18" x14ac:dyDescent="0.2">
      <c r="A693" s="947" t="s">
        <v>310</v>
      </c>
      <c r="B693" s="947">
        <v>227017</v>
      </c>
      <c r="C693" s="947" t="s">
        <v>2189</v>
      </c>
      <c r="D693" s="947" t="s">
        <v>1931</v>
      </c>
      <c r="E693" s="951">
        <v>391</v>
      </c>
      <c r="F693" s="951">
        <v>364</v>
      </c>
      <c r="G693" s="947" t="s">
        <v>3252</v>
      </c>
      <c r="H693" s="951">
        <v>265</v>
      </c>
      <c r="I693" s="951">
        <v>18</v>
      </c>
      <c r="J693" s="947" t="s">
        <v>310</v>
      </c>
      <c r="K693" s="947">
        <v>227017</v>
      </c>
      <c r="M693" s="631"/>
      <c r="P693" s="950" t="str">
        <f>VLOOKUP(J693,'רשימת רשויות'!A:A,1,0)</f>
        <v>מטה בנימין</v>
      </c>
      <c r="Q693" s="956">
        <f>IFERROR(VLOOKUP(B693,[2]מעובד!$D:$K,8,0),0)</f>
        <v>307</v>
      </c>
      <c r="R693" s="956">
        <f>IFERROR(VLOOKUP(B693,[2]מעובד!$D:$L,9,0),0)</f>
        <v>270</v>
      </c>
    </row>
    <row r="694" spans="1:18" x14ac:dyDescent="0.2">
      <c r="A694" s="947" t="s">
        <v>310</v>
      </c>
      <c r="B694" s="947">
        <v>227090</v>
      </c>
      <c r="C694" s="947" t="s">
        <v>2189</v>
      </c>
      <c r="D694" s="947" t="s">
        <v>1156</v>
      </c>
      <c r="E694" s="951">
        <v>220</v>
      </c>
      <c r="F694" s="951">
        <v>191</v>
      </c>
      <c r="G694" s="947" t="s">
        <v>3252</v>
      </c>
      <c r="H694" s="951">
        <v>220</v>
      </c>
      <c r="I694" s="951">
        <v>29</v>
      </c>
      <c r="J694" s="947" t="s">
        <v>310</v>
      </c>
      <c r="K694" s="947">
        <v>227090</v>
      </c>
      <c r="M694" s="631"/>
      <c r="P694" s="950" t="str">
        <f>VLOOKUP(J694,'רשימת רשויות'!A:A,1,0)</f>
        <v>מטה בנימין</v>
      </c>
      <c r="Q694" s="956">
        <f>IFERROR(VLOOKUP(B694,[2]מעובד!$D:$K,8,0),0)</f>
        <v>0</v>
      </c>
      <c r="R694" s="956">
        <f>IFERROR(VLOOKUP(B694,[2]מעובד!$D:$L,9,0),0)</f>
        <v>0</v>
      </c>
    </row>
    <row r="695" spans="1:18" x14ac:dyDescent="0.2">
      <c r="A695" s="947" t="s">
        <v>197</v>
      </c>
      <c r="B695" s="947">
        <v>227108</v>
      </c>
      <c r="C695" s="947" t="s">
        <v>2189</v>
      </c>
      <c r="D695" s="947" t="s">
        <v>1942</v>
      </c>
      <c r="E695" s="951">
        <v>89</v>
      </c>
      <c r="F695" s="951">
        <v>89</v>
      </c>
      <c r="G695" s="947" t="s">
        <v>3252</v>
      </c>
      <c r="H695" s="951">
        <v>0</v>
      </c>
      <c r="I695" s="951">
        <v>0</v>
      </c>
      <c r="J695" s="947" t="s">
        <v>197</v>
      </c>
      <c r="K695" s="947">
        <v>227108</v>
      </c>
      <c r="M695" s="631"/>
      <c r="P695" s="950" t="str">
        <f>VLOOKUP(J695,'רשימת רשויות'!A:A,1,0)</f>
        <v>ביתר עילית</v>
      </c>
      <c r="Q695" s="956">
        <f>IFERROR(VLOOKUP(B695,[2]מעובד!$D:$K,8,0),0)</f>
        <v>0</v>
      </c>
      <c r="R695" s="956">
        <f>IFERROR(VLOOKUP(B695,[2]מעובד!$D:$L,9,0),0)</f>
        <v>0</v>
      </c>
    </row>
    <row r="696" spans="1:18" x14ac:dyDescent="0.2">
      <c r="A696" s="947" t="s">
        <v>354</v>
      </c>
      <c r="B696" s="947">
        <v>227488</v>
      </c>
      <c r="C696" s="947" t="s">
        <v>2189</v>
      </c>
      <c r="D696" s="947" t="s">
        <v>1943</v>
      </c>
      <c r="E696" s="951">
        <v>301</v>
      </c>
      <c r="F696" s="951">
        <v>280</v>
      </c>
      <c r="G696" s="947" t="s">
        <v>159</v>
      </c>
      <c r="H696" s="951">
        <v>105</v>
      </c>
      <c r="I696" s="951">
        <v>9</v>
      </c>
      <c r="J696" s="947" t="s">
        <v>354</v>
      </c>
      <c r="K696" s="947">
        <v>227488</v>
      </c>
      <c r="M696" s="631"/>
      <c r="P696" s="950" t="str">
        <f>VLOOKUP(J696,'רשימת רשויות'!A:A,1,0)</f>
        <v>עראבה</v>
      </c>
      <c r="Q696" s="956">
        <f>IFERROR(VLOOKUP(B696,[2]מעובד!$D:$K,8,0),0)</f>
        <v>0</v>
      </c>
      <c r="R696" s="956">
        <f>IFERROR(VLOOKUP(B696,[2]מעובד!$D:$L,9,0),0)</f>
        <v>0</v>
      </c>
    </row>
    <row r="697" spans="1:18" x14ac:dyDescent="0.2">
      <c r="A697" s="947" t="s">
        <v>207</v>
      </c>
      <c r="B697" s="947">
        <v>227496</v>
      </c>
      <c r="C697" s="947" t="s">
        <v>2189</v>
      </c>
      <c r="D697" s="947" t="s">
        <v>1949</v>
      </c>
      <c r="E697" s="951">
        <v>151</v>
      </c>
      <c r="F697" s="951">
        <v>151</v>
      </c>
      <c r="G697" s="947" t="s">
        <v>159</v>
      </c>
      <c r="H697" s="951">
        <v>0</v>
      </c>
      <c r="I697" s="951">
        <v>0</v>
      </c>
      <c r="J697" s="947" t="s">
        <v>207</v>
      </c>
      <c r="K697" s="947">
        <v>227496</v>
      </c>
      <c r="M697" s="631"/>
      <c r="P697" s="950" t="str">
        <f>VLOOKUP(J697,'רשימת רשויות'!A:A,1,0)</f>
        <v>ג'דיידה-מכר</v>
      </c>
      <c r="Q697" s="956">
        <f>IFERROR(VLOOKUP(B697,[2]מעובד!$D:$K,8,0),0)</f>
        <v>172</v>
      </c>
      <c r="R697" s="956">
        <f>IFERROR(VLOOKUP(B697,[2]מעובד!$D:$L,9,0),0)</f>
        <v>172</v>
      </c>
    </row>
    <row r="698" spans="1:18" x14ac:dyDescent="0.2">
      <c r="A698" s="947" t="s">
        <v>160</v>
      </c>
      <c r="B698" s="947">
        <v>228668</v>
      </c>
      <c r="C698" s="947" t="s">
        <v>2189</v>
      </c>
      <c r="D698" s="947" t="s">
        <v>1902</v>
      </c>
      <c r="E698" s="951">
        <v>95</v>
      </c>
      <c r="F698" s="951">
        <v>81</v>
      </c>
      <c r="G698" s="947" t="s">
        <v>159</v>
      </c>
      <c r="H698" s="951">
        <v>71</v>
      </c>
      <c r="I698" s="951">
        <v>13</v>
      </c>
      <c r="J698" s="947" t="s">
        <v>160</v>
      </c>
      <c r="K698" s="947">
        <v>228668</v>
      </c>
      <c r="M698" s="631"/>
      <c r="P698" s="950" t="str">
        <f>VLOOKUP(J698,'רשימת רשויות'!A:A,1,0)</f>
        <v>אבו גוש</v>
      </c>
      <c r="Q698" s="956">
        <f>IFERROR(VLOOKUP(B698,[2]מעובד!$D:$K,8,0),0)</f>
        <v>101</v>
      </c>
      <c r="R698" s="956">
        <f>IFERROR(VLOOKUP(B698,[2]מעובד!$D:$L,9,0),0)</f>
        <v>55</v>
      </c>
    </row>
    <row r="699" spans="1:18" x14ac:dyDescent="0.2">
      <c r="A699" s="947" t="s">
        <v>197</v>
      </c>
      <c r="B699" s="947">
        <v>229617</v>
      </c>
      <c r="C699" s="947" t="s">
        <v>2189</v>
      </c>
      <c r="D699" s="947" t="s">
        <v>1922</v>
      </c>
      <c r="E699" s="951">
        <v>69</v>
      </c>
      <c r="F699" s="951">
        <v>69</v>
      </c>
      <c r="G699" s="947" t="s">
        <v>3252</v>
      </c>
      <c r="H699" s="951">
        <v>0</v>
      </c>
      <c r="I699" s="951">
        <v>0</v>
      </c>
      <c r="J699" s="947" t="s">
        <v>197</v>
      </c>
      <c r="K699" s="947">
        <v>229617</v>
      </c>
      <c r="M699" s="631"/>
      <c r="P699" s="950" t="str">
        <f>VLOOKUP(J699,'רשימת רשויות'!A:A,1,0)</f>
        <v>ביתר עילית</v>
      </c>
      <c r="Q699" s="956">
        <f>IFERROR(VLOOKUP(B699,[2]מעובד!$D:$K,8,0),0)</f>
        <v>0</v>
      </c>
      <c r="R699" s="956">
        <f>IFERROR(VLOOKUP(B699,[2]מעובד!$D:$L,9,0),0)</f>
        <v>0</v>
      </c>
    </row>
    <row r="700" spans="1:18" x14ac:dyDescent="0.2">
      <c r="A700" s="947" t="s">
        <v>305</v>
      </c>
      <c r="B700" s="947">
        <v>232884</v>
      </c>
      <c r="C700" s="947" t="s">
        <v>2189</v>
      </c>
      <c r="D700" s="947" t="s">
        <v>1133</v>
      </c>
      <c r="E700" s="951">
        <v>222</v>
      </c>
      <c r="F700" s="951">
        <v>183</v>
      </c>
      <c r="G700" s="947" t="s">
        <v>159</v>
      </c>
      <c r="H700" s="951">
        <v>0</v>
      </c>
      <c r="I700" s="951">
        <v>0</v>
      </c>
      <c r="J700" s="947" t="s">
        <v>305</v>
      </c>
      <c r="K700" s="947">
        <v>232884</v>
      </c>
      <c r="M700" s="631"/>
      <c r="P700" s="950" t="str">
        <f>VLOOKUP(J700,'רשימת רשויות'!A:A,1,0)</f>
        <v>מודיעין מכבים רעות</v>
      </c>
      <c r="Q700" s="956">
        <f>IFERROR(VLOOKUP(B700,[2]מעובד!$D:$K,8,0),0)</f>
        <v>0</v>
      </c>
      <c r="R700" s="956">
        <f>IFERROR(VLOOKUP(B700,[2]מעובד!$D:$L,9,0),0)</f>
        <v>0</v>
      </c>
    </row>
    <row r="701" spans="1:18" x14ac:dyDescent="0.2">
      <c r="A701" s="947" t="s">
        <v>305</v>
      </c>
      <c r="B701" s="947">
        <v>232900</v>
      </c>
      <c r="C701" s="947" t="s">
        <v>2189</v>
      </c>
      <c r="D701" s="947" t="s">
        <v>1134</v>
      </c>
      <c r="E701" s="951">
        <v>96</v>
      </c>
      <c r="F701" s="951">
        <v>61</v>
      </c>
      <c r="G701" s="947" t="s">
        <v>159</v>
      </c>
      <c r="H701" s="951">
        <v>0</v>
      </c>
      <c r="I701" s="951">
        <v>0</v>
      </c>
      <c r="J701" s="947" t="s">
        <v>305</v>
      </c>
      <c r="K701" s="947">
        <v>232900</v>
      </c>
      <c r="M701" s="631"/>
      <c r="P701" s="950" t="str">
        <f>VLOOKUP(J701,'רשימת רשויות'!A:A,1,0)</f>
        <v>מודיעין מכבים רעות</v>
      </c>
      <c r="Q701" s="956">
        <f>IFERROR(VLOOKUP(B701,[2]מעובד!$D:$K,8,0),0)</f>
        <v>0</v>
      </c>
      <c r="R701" s="956">
        <f>IFERROR(VLOOKUP(B701,[2]מעובד!$D:$L,9,0),0)</f>
        <v>0</v>
      </c>
    </row>
    <row r="702" spans="1:18" x14ac:dyDescent="0.2">
      <c r="A702" s="947" t="s">
        <v>388</v>
      </c>
      <c r="B702" s="947">
        <v>235051</v>
      </c>
      <c r="C702" s="947" t="s">
        <v>2189</v>
      </c>
      <c r="D702" s="947" t="s">
        <v>1950</v>
      </c>
      <c r="E702" s="951">
        <v>200</v>
      </c>
      <c r="F702" s="951">
        <v>135</v>
      </c>
      <c r="G702" s="947" t="s">
        <v>159</v>
      </c>
      <c r="H702" s="951">
        <v>0</v>
      </c>
      <c r="I702" s="951">
        <v>0</v>
      </c>
      <c r="J702" s="947" t="s">
        <v>388</v>
      </c>
      <c r="K702" s="947">
        <v>235051</v>
      </c>
      <c r="M702" s="631"/>
      <c r="P702" s="950" t="str">
        <f>VLOOKUP(J702,'רשימת רשויות'!A:A,1,0)</f>
        <v>ריינה</v>
      </c>
      <c r="Q702" s="956">
        <f>IFERROR(VLOOKUP(B702,[2]מעובד!$D:$K,8,0),0)</f>
        <v>0</v>
      </c>
      <c r="R702" s="956">
        <f>IFERROR(VLOOKUP(B702,[2]מעובד!$D:$L,9,0),0)</f>
        <v>0</v>
      </c>
    </row>
    <row r="703" spans="1:18" x14ac:dyDescent="0.2">
      <c r="A703" s="947" t="s">
        <v>196</v>
      </c>
      <c r="B703" s="947">
        <v>236299</v>
      </c>
      <c r="C703" s="947" t="s">
        <v>2189</v>
      </c>
      <c r="D703" s="947" t="s">
        <v>625</v>
      </c>
      <c r="E703" s="951">
        <v>128</v>
      </c>
      <c r="F703" s="951">
        <v>121</v>
      </c>
      <c r="G703" s="947" t="s">
        <v>159</v>
      </c>
      <c r="H703" s="951">
        <v>46</v>
      </c>
      <c r="I703" s="951">
        <v>7</v>
      </c>
      <c r="J703" s="947" t="s">
        <v>196</v>
      </c>
      <c r="K703" s="947">
        <v>236299</v>
      </c>
      <c r="M703" s="631"/>
      <c r="P703" s="950" t="str">
        <f>VLOOKUP(J703,'רשימת רשויות'!A:A,1,0)</f>
        <v>בית שמש</v>
      </c>
      <c r="Q703" s="956">
        <f>IFERROR(VLOOKUP(B703,[2]מעובד!$D:$K,8,0),0)</f>
        <v>92</v>
      </c>
      <c r="R703" s="956">
        <f>IFERROR(VLOOKUP(B703,[2]מעובד!$D:$L,9,0),0)</f>
        <v>86</v>
      </c>
    </row>
    <row r="704" spans="1:18" x14ac:dyDescent="0.2">
      <c r="A704" s="947" t="s">
        <v>310</v>
      </c>
      <c r="B704" s="947">
        <v>237743</v>
      </c>
      <c r="C704" s="947" t="s">
        <v>2189</v>
      </c>
      <c r="D704" s="947" t="s">
        <v>1130</v>
      </c>
      <c r="E704" s="951">
        <v>69</v>
      </c>
      <c r="F704" s="951">
        <v>59</v>
      </c>
      <c r="G704" s="947" t="s">
        <v>159</v>
      </c>
      <c r="H704" s="951">
        <v>30</v>
      </c>
      <c r="I704" s="951">
        <v>6</v>
      </c>
      <c r="J704" s="947" t="s">
        <v>310</v>
      </c>
      <c r="K704" s="947">
        <v>237743</v>
      </c>
      <c r="M704" s="631"/>
      <c r="P704" s="950" t="str">
        <f>VLOOKUP(J704,'רשימת רשויות'!A:A,1,0)</f>
        <v>מטה בנימין</v>
      </c>
      <c r="Q704" s="956">
        <f>IFERROR(VLOOKUP(B704,[2]מעובד!$D:$K,8,0),0)</f>
        <v>80</v>
      </c>
      <c r="R704" s="956">
        <f>IFERROR(VLOOKUP(B704,[2]מעובד!$D:$L,9,0),0)</f>
        <v>44</v>
      </c>
    </row>
    <row r="705" spans="1:18" x14ac:dyDescent="0.2">
      <c r="A705" s="947" t="s">
        <v>333</v>
      </c>
      <c r="B705" s="947">
        <v>238089</v>
      </c>
      <c r="C705" s="947" t="s">
        <v>2189</v>
      </c>
      <c r="D705" s="947" t="s">
        <v>1991</v>
      </c>
      <c r="E705" s="951">
        <v>70</v>
      </c>
      <c r="F705" s="951">
        <v>70</v>
      </c>
      <c r="G705" s="947" t="s">
        <v>159</v>
      </c>
      <c r="H705" s="951">
        <v>0</v>
      </c>
      <c r="I705" s="951">
        <v>0</v>
      </c>
      <c r="J705" s="947" t="s">
        <v>333</v>
      </c>
      <c r="K705" s="947">
        <v>238089</v>
      </c>
      <c r="M705" s="631"/>
      <c r="P705" s="950" t="str">
        <f>VLOOKUP(J705,'רשימת רשויות'!A:A,1,0)</f>
        <v>נצרת</v>
      </c>
      <c r="Q705" s="956">
        <f>IFERROR(VLOOKUP(B705,[2]מעובד!$D:$K,8,0),0)</f>
        <v>0</v>
      </c>
      <c r="R705" s="956">
        <f>IFERROR(VLOOKUP(B705,[2]מעובד!$D:$L,9,0),0)</f>
        <v>0</v>
      </c>
    </row>
    <row r="706" spans="1:18" x14ac:dyDescent="0.2">
      <c r="A706" s="947" t="s">
        <v>197</v>
      </c>
      <c r="B706" s="947">
        <v>238097</v>
      </c>
      <c r="C706" s="947" t="s">
        <v>2189</v>
      </c>
      <c r="D706" s="947" t="s">
        <v>2981</v>
      </c>
      <c r="E706" s="951">
        <v>117</v>
      </c>
      <c r="F706" s="951">
        <v>116</v>
      </c>
      <c r="G706" s="947" t="s">
        <v>3252</v>
      </c>
      <c r="H706" s="951">
        <v>0</v>
      </c>
      <c r="I706" s="951">
        <v>0</v>
      </c>
      <c r="J706" s="947" t="s">
        <v>197</v>
      </c>
      <c r="K706" s="947">
        <v>238097</v>
      </c>
      <c r="M706" s="631"/>
      <c r="P706" s="950" t="str">
        <f>VLOOKUP(J706,'רשימת רשויות'!A:A,1,0)</f>
        <v>ביתר עילית</v>
      </c>
      <c r="Q706" s="956">
        <f>IFERROR(VLOOKUP(B706,[2]מעובד!$D:$K,8,0),0)</f>
        <v>0</v>
      </c>
      <c r="R706" s="956">
        <f>IFERROR(VLOOKUP(B706,[2]מעובד!$D:$L,9,0),0)</f>
        <v>0</v>
      </c>
    </row>
    <row r="707" spans="1:18" x14ac:dyDescent="0.2">
      <c r="A707" s="947" t="s">
        <v>270</v>
      </c>
      <c r="B707" s="947">
        <v>238493</v>
      </c>
      <c r="C707" s="947" t="s">
        <v>2189</v>
      </c>
      <c r="D707" s="947" t="s">
        <v>2982</v>
      </c>
      <c r="E707" s="951">
        <v>163</v>
      </c>
      <c r="F707" s="951">
        <v>0</v>
      </c>
      <c r="G707" s="947" t="s">
        <v>3252</v>
      </c>
      <c r="H707" s="951">
        <v>0</v>
      </c>
      <c r="I707" s="951">
        <v>0</v>
      </c>
      <c r="J707" s="947" t="s">
        <v>270</v>
      </c>
      <c r="K707" s="947">
        <v>238493</v>
      </c>
      <c r="M707" s="631"/>
      <c r="P707" s="950" t="str">
        <f>VLOOKUP(J707,'רשימת רשויות'!A:A,1,0)</f>
        <v>ירושלים</v>
      </c>
      <c r="Q707" s="956">
        <f>IFERROR(VLOOKUP(B707,[2]מעובד!$D:$K,8,0),0)</f>
        <v>0</v>
      </c>
      <c r="R707" s="956">
        <f>IFERROR(VLOOKUP(B707,[2]מעובד!$D:$L,9,0),0)</f>
        <v>0</v>
      </c>
    </row>
    <row r="708" spans="1:18" x14ac:dyDescent="0.2">
      <c r="A708" s="947" t="s">
        <v>270</v>
      </c>
      <c r="B708" s="947">
        <v>238501</v>
      </c>
      <c r="C708" s="947" t="s">
        <v>2189</v>
      </c>
      <c r="D708" s="947" t="s">
        <v>2983</v>
      </c>
      <c r="E708" s="951">
        <v>193</v>
      </c>
      <c r="F708" s="951">
        <v>0</v>
      </c>
      <c r="G708" s="947" t="s">
        <v>3252</v>
      </c>
      <c r="H708" s="951">
        <v>0</v>
      </c>
      <c r="I708" s="951">
        <v>0</v>
      </c>
      <c r="J708" s="947" t="s">
        <v>270</v>
      </c>
      <c r="K708" s="947">
        <v>238501</v>
      </c>
      <c r="M708" s="631"/>
      <c r="P708" s="950" t="str">
        <f>VLOOKUP(J708,'רשימת רשויות'!A:A,1,0)</f>
        <v>ירושלים</v>
      </c>
      <c r="Q708" s="956">
        <f>IFERROR(VLOOKUP(B708,[2]מעובד!$D:$K,8,0),0)</f>
        <v>0</v>
      </c>
      <c r="R708" s="956">
        <f>IFERROR(VLOOKUP(B708,[2]מעובד!$D:$L,9,0),0)</f>
        <v>0</v>
      </c>
    </row>
    <row r="709" spans="1:18" x14ac:dyDescent="0.2">
      <c r="A709" s="947" t="s">
        <v>272</v>
      </c>
      <c r="B709" s="947">
        <v>239814</v>
      </c>
      <c r="C709" s="947" t="s">
        <v>2189</v>
      </c>
      <c r="D709" s="947" t="s">
        <v>1896</v>
      </c>
      <c r="E709" s="951">
        <v>214</v>
      </c>
      <c r="F709" s="951">
        <v>214</v>
      </c>
      <c r="G709" s="947" t="s">
        <v>159</v>
      </c>
      <c r="H709" s="951">
        <v>0</v>
      </c>
      <c r="I709" s="951">
        <v>0</v>
      </c>
      <c r="J709" s="947" t="s">
        <v>272</v>
      </c>
      <c r="K709" s="947">
        <v>239814</v>
      </c>
      <c r="M709" s="631"/>
      <c r="P709" s="950" t="str">
        <f>VLOOKUP(J709,'רשימת רשויות'!A:A,1,0)</f>
        <v>כאבול</v>
      </c>
      <c r="Q709" s="956">
        <f>IFERROR(VLOOKUP(B709,[2]מעובד!$D:$K,8,0),0)</f>
        <v>230</v>
      </c>
      <c r="R709" s="956">
        <f>IFERROR(VLOOKUP(B709,[2]מעובד!$D:$L,9,0),0)</f>
        <v>55</v>
      </c>
    </row>
    <row r="710" spans="1:18" x14ac:dyDescent="0.2">
      <c r="A710" s="947" t="s">
        <v>270</v>
      </c>
      <c r="B710" s="947">
        <v>239871</v>
      </c>
      <c r="C710" s="947" t="s">
        <v>2189</v>
      </c>
      <c r="D710" s="947" t="s">
        <v>2984</v>
      </c>
      <c r="E710" s="951">
        <v>256</v>
      </c>
      <c r="F710" s="951">
        <v>0</v>
      </c>
      <c r="G710" s="947" t="s">
        <v>3252</v>
      </c>
      <c r="H710" s="951">
        <v>0</v>
      </c>
      <c r="I710" s="951">
        <v>0</v>
      </c>
      <c r="J710" s="947" t="s">
        <v>270</v>
      </c>
      <c r="K710" s="947">
        <v>239871</v>
      </c>
      <c r="M710" s="631"/>
      <c r="P710" s="950" t="str">
        <f>VLOOKUP(J710,'רשימת רשויות'!A:A,1,0)</f>
        <v>ירושלים</v>
      </c>
      <c r="Q710" s="956">
        <f>IFERROR(VLOOKUP(B710,[2]מעובד!$D:$K,8,0),0)</f>
        <v>0</v>
      </c>
      <c r="R710" s="956">
        <f>IFERROR(VLOOKUP(B710,[2]מעובד!$D:$L,9,0),0)</f>
        <v>0</v>
      </c>
    </row>
    <row r="711" spans="1:18" x14ac:dyDescent="0.2">
      <c r="A711" s="947" t="s">
        <v>270</v>
      </c>
      <c r="B711" s="947">
        <v>239905</v>
      </c>
      <c r="C711" s="947" t="s">
        <v>2189</v>
      </c>
      <c r="D711" s="947" t="s">
        <v>2985</v>
      </c>
      <c r="E711" s="951">
        <v>263</v>
      </c>
      <c r="F711" s="951">
        <v>0</v>
      </c>
      <c r="G711" s="947" t="s">
        <v>3252</v>
      </c>
      <c r="H711" s="951">
        <v>0</v>
      </c>
      <c r="I711" s="951">
        <v>0</v>
      </c>
      <c r="J711" s="947" t="s">
        <v>270</v>
      </c>
      <c r="K711" s="947">
        <v>239905</v>
      </c>
      <c r="M711" s="631"/>
      <c r="P711" s="950" t="str">
        <f>VLOOKUP(J711,'רשימת רשויות'!A:A,1,0)</f>
        <v>ירושלים</v>
      </c>
      <c r="Q711" s="956">
        <f>IFERROR(VLOOKUP(B711,[2]מעובד!$D:$K,8,0),0)</f>
        <v>0</v>
      </c>
      <c r="R711" s="956">
        <f>IFERROR(VLOOKUP(B711,[2]מעובד!$D:$L,9,0),0)</f>
        <v>0</v>
      </c>
    </row>
    <row r="712" spans="1:18" x14ac:dyDescent="0.2">
      <c r="A712" s="947" t="s">
        <v>175</v>
      </c>
      <c r="B712" s="947">
        <v>241018</v>
      </c>
      <c r="C712" s="947" t="s">
        <v>2189</v>
      </c>
      <c r="D712" s="947" t="s">
        <v>1992</v>
      </c>
      <c r="E712" s="951">
        <v>62</v>
      </c>
      <c r="F712" s="951">
        <v>62</v>
      </c>
      <c r="G712" s="947" t="s">
        <v>3252</v>
      </c>
      <c r="H712" s="951">
        <v>0</v>
      </c>
      <c r="I712" s="951">
        <v>0</v>
      </c>
      <c r="J712" s="947" t="s">
        <v>175</v>
      </c>
      <c r="K712" s="947">
        <v>241018</v>
      </c>
      <c r="M712" s="631"/>
      <c r="P712" s="950" t="str">
        <f>VLOOKUP(J712,'רשימת רשויות'!A:A,1,0)</f>
        <v>אלעד</v>
      </c>
      <c r="Q712" s="956">
        <f>IFERROR(VLOOKUP(B712,[2]מעובד!$D:$K,8,0),0)</f>
        <v>64</v>
      </c>
      <c r="R712" s="956">
        <f>IFERROR(VLOOKUP(B712,[2]מעובד!$D:$L,9,0),0)</f>
        <v>63</v>
      </c>
    </row>
    <row r="713" spans="1:18" x14ac:dyDescent="0.2">
      <c r="A713" s="947" t="s">
        <v>305</v>
      </c>
      <c r="B713" s="947">
        <v>241034</v>
      </c>
      <c r="C713" s="947" t="s">
        <v>2189</v>
      </c>
      <c r="D713" s="947" t="s">
        <v>502</v>
      </c>
      <c r="E713" s="951">
        <v>133</v>
      </c>
      <c r="F713" s="951">
        <v>103</v>
      </c>
      <c r="G713" s="947" t="s">
        <v>159</v>
      </c>
      <c r="H713" s="951">
        <v>0</v>
      </c>
      <c r="I713" s="951">
        <v>0</v>
      </c>
      <c r="J713" s="947" t="s">
        <v>305</v>
      </c>
      <c r="K713" s="947">
        <v>241034</v>
      </c>
      <c r="M713" s="631"/>
      <c r="P713" s="950" t="str">
        <f>VLOOKUP(J713,'רשימת רשויות'!A:A,1,0)</f>
        <v>מודיעין מכבים רעות</v>
      </c>
      <c r="Q713" s="956">
        <f>IFERROR(VLOOKUP(B713,[2]מעובד!$D:$K,8,0),0)</f>
        <v>94</v>
      </c>
      <c r="R713" s="956">
        <f>IFERROR(VLOOKUP(B713,[2]מעובד!$D:$L,9,0),0)</f>
        <v>63</v>
      </c>
    </row>
    <row r="714" spans="1:18" x14ac:dyDescent="0.2">
      <c r="A714" s="947" t="s">
        <v>317</v>
      </c>
      <c r="B714" s="947">
        <v>241042</v>
      </c>
      <c r="C714" s="947" t="s">
        <v>2189</v>
      </c>
      <c r="D714" s="947" t="s">
        <v>857</v>
      </c>
      <c r="E714" s="951">
        <v>165</v>
      </c>
      <c r="F714" s="951">
        <v>141</v>
      </c>
      <c r="G714" s="947" t="s">
        <v>159</v>
      </c>
      <c r="H714" s="951">
        <v>55</v>
      </c>
      <c r="I714" s="951">
        <v>4</v>
      </c>
      <c r="J714" s="947" t="s">
        <v>317</v>
      </c>
      <c r="K714" s="947">
        <v>241042</v>
      </c>
      <c r="M714" s="631"/>
      <c r="P714" s="950" t="str">
        <f>VLOOKUP(J714,'רשימת רשויות'!A:A,1,0)</f>
        <v>מעלה אדומים</v>
      </c>
      <c r="Q714" s="956">
        <f>IFERROR(VLOOKUP(B714,[2]מעובד!$D:$K,8,0),0)</f>
        <v>181</v>
      </c>
      <c r="R714" s="956">
        <f>IFERROR(VLOOKUP(B714,[2]מעובד!$D:$L,9,0),0)</f>
        <v>59</v>
      </c>
    </row>
    <row r="715" spans="1:18" x14ac:dyDescent="0.2">
      <c r="A715" s="947" t="s">
        <v>270</v>
      </c>
      <c r="B715" s="947">
        <v>241059</v>
      </c>
      <c r="C715" s="947" t="s">
        <v>2189</v>
      </c>
      <c r="D715" s="947" t="s">
        <v>2003</v>
      </c>
      <c r="E715" s="951">
        <v>141</v>
      </c>
      <c r="F715" s="951">
        <v>120</v>
      </c>
      <c r="G715" s="947" t="s">
        <v>159</v>
      </c>
      <c r="H715" s="951">
        <v>53</v>
      </c>
      <c r="I715" s="951">
        <v>9</v>
      </c>
      <c r="J715" s="947" t="s">
        <v>270</v>
      </c>
      <c r="K715" s="947">
        <v>241059</v>
      </c>
      <c r="M715" s="631"/>
      <c r="P715" s="950" t="str">
        <f>VLOOKUP(J715,'רשימת רשויות'!A:A,1,0)</f>
        <v>ירושלים</v>
      </c>
      <c r="Q715" s="956">
        <f>IFERROR(VLOOKUP(B715,[2]מעובד!$D:$K,8,0),0)</f>
        <v>114</v>
      </c>
      <c r="R715" s="956">
        <f>IFERROR(VLOOKUP(B715,[2]מעובד!$D:$L,9,0),0)</f>
        <v>99</v>
      </c>
    </row>
    <row r="716" spans="1:18" x14ac:dyDescent="0.2">
      <c r="A716" s="947" t="s">
        <v>290</v>
      </c>
      <c r="B716" s="947">
        <v>244277</v>
      </c>
      <c r="C716" s="947" t="s">
        <v>2189</v>
      </c>
      <c r="D716" s="947" t="s">
        <v>2734</v>
      </c>
      <c r="E716" s="951">
        <v>131</v>
      </c>
      <c r="F716" s="951">
        <v>122</v>
      </c>
      <c r="G716" s="947" t="s">
        <v>3252</v>
      </c>
      <c r="H716" s="951">
        <v>0</v>
      </c>
      <c r="I716" s="951">
        <v>0</v>
      </c>
      <c r="J716" s="947" t="s">
        <v>290</v>
      </c>
      <c r="K716" s="947">
        <v>244277</v>
      </c>
      <c r="M716" s="631"/>
      <c r="P716" s="950" t="str">
        <f>VLOOKUP(J716,'רשימת רשויות'!A:A,1,0)</f>
        <v>כרמיאל</v>
      </c>
      <c r="Q716" s="956">
        <f>IFERROR(VLOOKUP(B716,[2]מעובד!$D:$K,8,0),0)</f>
        <v>0</v>
      </c>
      <c r="R716" s="956">
        <f>IFERROR(VLOOKUP(B716,[2]מעובד!$D:$L,9,0),0)</f>
        <v>86</v>
      </c>
    </row>
    <row r="717" spans="1:18" x14ac:dyDescent="0.2">
      <c r="A717" s="947" t="s">
        <v>196</v>
      </c>
      <c r="B717" s="947">
        <v>246033</v>
      </c>
      <c r="C717" s="947" t="s">
        <v>2189</v>
      </c>
      <c r="D717" s="947" t="s">
        <v>1132</v>
      </c>
      <c r="E717" s="951">
        <v>155</v>
      </c>
      <c r="F717" s="951">
        <v>155</v>
      </c>
      <c r="G717" s="947" t="s">
        <v>159</v>
      </c>
      <c r="H717" s="951">
        <v>0</v>
      </c>
      <c r="I717" s="951">
        <v>0</v>
      </c>
      <c r="J717" s="947" t="s">
        <v>196</v>
      </c>
      <c r="K717" s="947">
        <v>246033</v>
      </c>
      <c r="M717" s="631"/>
      <c r="P717" s="950" t="str">
        <f>VLOOKUP(J717,'רשימת רשויות'!A:A,1,0)</f>
        <v>בית שמש</v>
      </c>
      <c r="Q717" s="956">
        <f>IFERROR(VLOOKUP(B717,[2]מעובד!$D:$K,8,0),0)</f>
        <v>199</v>
      </c>
      <c r="R717" s="956">
        <f>IFERROR(VLOOKUP(B717,[2]מעובד!$D:$L,9,0),0)</f>
        <v>130</v>
      </c>
    </row>
    <row r="718" spans="1:18" x14ac:dyDescent="0.2">
      <c r="A718" s="947" t="s">
        <v>270</v>
      </c>
      <c r="B718" s="947">
        <v>246041</v>
      </c>
      <c r="C718" s="947" t="s">
        <v>2189</v>
      </c>
      <c r="D718" s="947" t="s">
        <v>1972</v>
      </c>
      <c r="E718" s="951">
        <v>63</v>
      </c>
      <c r="F718" s="951">
        <v>47</v>
      </c>
      <c r="G718" s="947" t="s">
        <v>159</v>
      </c>
      <c r="H718" s="951">
        <v>0</v>
      </c>
      <c r="I718" s="951">
        <v>0</v>
      </c>
      <c r="J718" s="947" t="s">
        <v>270</v>
      </c>
      <c r="K718" s="947">
        <v>246041</v>
      </c>
      <c r="M718" s="631"/>
      <c r="P718" s="950" t="str">
        <f>VLOOKUP(J718,'רשימת רשויות'!A:A,1,0)</f>
        <v>ירושלים</v>
      </c>
      <c r="Q718" s="956">
        <f>IFERROR(VLOOKUP(B718,[2]מעובד!$D:$K,8,0),0)</f>
        <v>96</v>
      </c>
      <c r="R718" s="956">
        <f>IFERROR(VLOOKUP(B718,[2]מעובד!$D:$L,9,0),0)</f>
        <v>50</v>
      </c>
    </row>
    <row r="719" spans="1:18" x14ac:dyDescent="0.2">
      <c r="A719" s="947" t="s">
        <v>270</v>
      </c>
      <c r="B719" s="947">
        <v>247411</v>
      </c>
      <c r="C719" s="947" t="s">
        <v>2189</v>
      </c>
      <c r="D719" s="947" t="s">
        <v>2986</v>
      </c>
      <c r="E719" s="951">
        <v>29</v>
      </c>
      <c r="F719" s="951">
        <v>0</v>
      </c>
      <c r="G719" s="947" t="s">
        <v>3252</v>
      </c>
      <c r="H719" s="951">
        <v>0</v>
      </c>
      <c r="I719" s="951">
        <v>0</v>
      </c>
      <c r="J719" s="947" t="s">
        <v>270</v>
      </c>
      <c r="K719" s="947">
        <v>247411</v>
      </c>
      <c r="M719" s="631"/>
      <c r="P719" s="950" t="str">
        <f>VLOOKUP(J719,'רשימת רשויות'!A:A,1,0)</f>
        <v>ירושלים</v>
      </c>
      <c r="Q719" s="956">
        <f>IFERROR(VLOOKUP(B719,[2]מעובד!$D:$K,8,0),0)</f>
        <v>0</v>
      </c>
      <c r="R719" s="956">
        <f>IFERROR(VLOOKUP(B719,[2]מעובד!$D:$L,9,0),0)</f>
        <v>0</v>
      </c>
    </row>
    <row r="720" spans="1:18" x14ac:dyDescent="0.2">
      <c r="A720" s="947" t="s">
        <v>298</v>
      </c>
      <c r="B720" s="947">
        <v>247429</v>
      </c>
      <c r="C720" s="947" t="s">
        <v>2189</v>
      </c>
      <c r="D720" s="947" t="s">
        <v>1494</v>
      </c>
      <c r="E720" s="951">
        <v>175</v>
      </c>
      <c r="F720" s="951">
        <v>164</v>
      </c>
      <c r="G720" s="947" t="s">
        <v>159</v>
      </c>
      <c r="H720" s="951">
        <v>70</v>
      </c>
      <c r="I720" s="951">
        <v>9</v>
      </c>
      <c r="J720" s="947" t="s">
        <v>298</v>
      </c>
      <c r="K720" s="947">
        <v>247429</v>
      </c>
      <c r="M720" s="631"/>
      <c r="P720" s="950" t="str">
        <f>VLOOKUP(J720,'רשימת רשויות'!A:A,1,0)</f>
        <v>מג'אר</v>
      </c>
      <c r="Q720" s="956">
        <f>IFERROR(VLOOKUP(B720,[2]מעובד!$D:$K,8,0),0)</f>
        <v>177</v>
      </c>
      <c r="R720" s="956">
        <f>IFERROR(VLOOKUP(B720,[2]מעובד!$D:$L,9,0),0)</f>
        <v>45</v>
      </c>
    </row>
    <row r="721" spans="1:18" x14ac:dyDescent="0.2">
      <c r="A721" s="947" t="s">
        <v>270</v>
      </c>
      <c r="B721" s="947">
        <v>267344</v>
      </c>
      <c r="C721" s="947" t="s">
        <v>2189</v>
      </c>
      <c r="D721" s="947" t="s">
        <v>1932</v>
      </c>
      <c r="E721" s="951">
        <v>88</v>
      </c>
      <c r="F721" s="951">
        <v>65</v>
      </c>
      <c r="G721" s="947" t="s">
        <v>159</v>
      </c>
      <c r="H721" s="951">
        <v>0</v>
      </c>
      <c r="I721" s="951">
        <v>0</v>
      </c>
      <c r="J721" s="947" t="s">
        <v>270</v>
      </c>
      <c r="K721" s="947">
        <v>267344</v>
      </c>
      <c r="M721" s="631"/>
      <c r="P721" s="950" t="str">
        <f>VLOOKUP(J721,'רשימת רשויות'!A:A,1,0)</f>
        <v>ירושלים</v>
      </c>
      <c r="Q721" s="956">
        <f>IFERROR(VLOOKUP(B721,[2]מעובד!$D:$K,8,0),0)</f>
        <v>113</v>
      </c>
      <c r="R721" s="956">
        <f>IFERROR(VLOOKUP(B721,[2]מעובד!$D:$L,9,0),0)</f>
        <v>69</v>
      </c>
    </row>
    <row r="722" spans="1:18" x14ac:dyDescent="0.2">
      <c r="A722" s="947" t="s">
        <v>270</v>
      </c>
      <c r="B722" s="947">
        <v>267351</v>
      </c>
      <c r="C722" s="947" t="s">
        <v>2189</v>
      </c>
      <c r="D722" s="947" t="s">
        <v>1933</v>
      </c>
      <c r="E722" s="951">
        <v>96</v>
      </c>
      <c r="F722" s="951">
        <v>84</v>
      </c>
      <c r="G722" s="947" t="s">
        <v>3252</v>
      </c>
      <c r="H722" s="951">
        <v>0</v>
      </c>
      <c r="I722" s="951">
        <v>0</v>
      </c>
      <c r="J722" s="947" t="s">
        <v>270</v>
      </c>
      <c r="K722" s="947">
        <v>267351</v>
      </c>
      <c r="M722" s="631"/>
      <c r="P722" s="950" t="str">
        <f>VLOOKUP(J722,'רשימת רשויות'!A:A,1,0)</f>
        <v>ירושלים</v>
      </c>
      <c r="Q722" s="956">
        <f>IFERROR(VLOOKUP(B722,[2]מעובד!$D:$K,8,0),0)</f>
        <v>73</v>
      </c>
      <c r="R722" s="956">
        <f>IFERROR(VLOOKUP(B722,[2]מעובד!$D:$L,9,0),0)</f>
        <v>36</v>
      </c>
    </row>
    <row r="723" spans="1:18" x14ac:dyDescent="0.2">
      <c r="A723" s="947" t="s">
        <v>311</v>
      </c>
      <c r="B723" s="947">
        <v>267468</v>
      </c>
      <c r="C723" s="947" t="s">
        <v>2189</v>
      </c>
      <c r="D723" s="947" t="s">
        <v>1131</v>
      </c>
      <c r="E723" s="951">
        <v>79</v>
      </c>
      <c r="F723" s="951">
        <v>56</v>
      </c>
      <c r="G723" s="947" t="s">
        <v>159</v>
      </c>
      <c r="H723" s="951">
        <v>0</v>
      </c>
      <c r="I723" s="951">
        <v>0</v>
      </c>
      <c r="J723" s="947" t="s">
        <v>311</v>
      </c>
      <c r="K723" s="947">
        <v>267468</v>
      </c>
      <c r="M723" s="631"/>
      <c r="P723" s="950" t="str">
        <f>VLOOKUP(J723,'רשימת רשויות'!A:A,1,0)</f>
        <v>מטה יהודה</v>
      </c>
      <c r="Q723" s="956">
        <f>IFERROR(VLOOKUP(B723,[2]מעובד!$D:$K,8,0),0)</f>
        <v>98</v>
      </c>
      <c r="R723" s="956">
        <f>IFERROR(VLOOKUP(B723,[2]מעובד!$D:$L,9,0),0)</f>
        <v>48</v>
      </c>
    </row>
    <row r="724" spans="1:18" x14ac:dyDescent="0.2">
      <c r="A724" s="947" t="s">
        <v>290</v>
      </c>
      <c r="B724" s="947">
        <v>267716</v>
      </c>
      <c r="C724" s="947" t="s">
        <v>2189</v>
      </c>
      <c r="D724" s="947" t="s">
        <v>2396</v>
      </c>
      <c r="E724" s="951">
        <v>82</v>
      </c>
      <c r="F724" s="951">
        <v>62</v>
      </c>
      <c r="G724" s="947" t="s">
        <v>3252</v>
      </c>
      <c r="H724" s="951">
        <v>0</v>
      </c>
      <c r="I724" s="951">
        <v>0</v>
      </c>
      <c r="J724" s="947" t="s">
        <v>290</v>
      </c>
      <c r="K724" s="947">
        <v>267716</v>
      </c>
      <c r="M724" s="631"/>
      <c r="P724" s="950" t="str">
        <f>VLOOKUP(J724,'רשימת רשויות'!A:A,1,0)</f>
        <v>כרמיאל</v>
      </c>
      <c r="Q724" s="956">
        <f>IFERROR(VLOOKUP(B724,[2]מעובד!$D:$K,8,0),0)</f>
        <v>0</v>
      </c>
      <c r="R724" s="956">
        <f>IFERROR(VLOOKUP(B724,[2]מעובד!$D:$L,9,0),0)</f>
        <v>89</v>
      </c>
    </row>
    <row r="725" spans="1:18" x14ac:dyDescent="0.2">
      <c r="A725" s="947" t="s">
        <v>197</v>
      </c>
      <c r="B725" s="947">
        <v>267922</v>
      </c>
      <c r="C725" s="947" t="s">
        <v>2189</v>
      </c>
      <c r="D725" s="947" t="s">
        <v>1993</v>
      </c>
      <c r="E725" s="951">
        <v>360</v>
      </c>
      <c r="F725" s="951">
        <v>333</v>
      </c>
      <c r="G725" s="947" t="s">
        <v>3252</v>
      </c>
      <c r="H725" s="951">
        <v>360</v>
      </c>
      <c r="I725" s="951">
        <v>27</v>
      </c>
      <c r="J725" s="947" t="s">
        <v>197</v>
      </c>
      <c r="K725" s="947">
        <v>267922</v>
      </c>
      <c r="M725" s="631"/>
      <c r="P725" s="950" t="str">
        <f>VLOOKUP(J725,'רשימת רשויות'!A:A,1,0)</f>
        <v>ביתר עילית</v>
      </c>
      <c r="Q725" s="956">
        <f>IFERROR(VLOOKUP(B725,[2]מעובד!$D:$K,8,0),0)</f>
        <v>407</v>
      </c>
      <c r="R725" s="956">
        <f>IFERROR(VLOOKUP(B725,[2]מעובד!$D:$L,9,0),0)</f>
        <v>62</v>
      </c>
    </row>
    <row r="726" spans="1:18" x14ac:dyDescent="0.2">
      <c r="A726" s="947" t="s">
        <v>270</v>
      </c>
      <c r="B726" s="947">
        <v>267930</v>
      </c>
      <c r="C726" s="947" t="s">
        <v>2189</v>
      </c>
      <c r="D726" s="947" t="s">
        <v>2987</v>
      </c>
      <c r="E726" s="951">
        <v>95</v>
      </c>
      <c r="F726" s="951">
        <v>0</v>
      </c>
      <c r="G726" s="947" t="s">
        <v>3252</v>
      </c>
      <c r="H726" s="951">
        <v>0</v>
      </c>
      <c r="I726" s="951">
        <v>0</v>
      </c>
      <c r="J726" s="947" t="s">
        <v>270</v>
      </c>
      <c r="K726" s="947">
        <v>267930</v>
      </c>
      <c r="M726" s="631"/>
      <c r="P726" s="950" t="str">
        <f>VLOOKUP(J726,'רשימת רשויות'!A:A,1,0)</f>
        <v>ירושלים</v>
      </c>
      <c r="Q726" s="956">
        <f>IFERROR(VLOOKUP(B726,[2]מעובד!$D:$K,8,0),0)</f>
        <v>0</v>
      </c>
      <c r="R726" s="956">
        <f>IFERROR(VLOOKUP(B726,[2]מעובד!$D:$L,9,0),0)</f>
        <v>0</v>
      </c>
    </row>
    <row r="727" spans="1:18" x14ac:dyDescent="0.2">
      <c r="A727" s="947" t="s">
        <v>270</v>
      </c>
      <c r="B727" s="947">
        <v>267955</v>
      </c>
      <c r="C727" s="947" t="s">
        <v>2189</v>
      </c>
      <c r="D727" s="947" t="s">
        <v>2988</v>
      </c>
      <c r="E727" s="951">
        <v>300</v>
      </c>
      <c r="F727" s="951">
        <v>0</v>
      </c>
      <c r="G727" s="947" t="s">
        <v>3252</v>
      </c>
      <c r="H727" s="951">
        <v>0</v>
      </c>
      <c r="I727" s="951">
        <v>0</v>
      </c>
      <c r="J727" s="947" t="s">
        <v>270</v>
      </c>
      <c r="K727" s="947">
        <v>267955</v>
      </c>
      <c r="M727" s="631"/>
      <c r="P727" s="950" t="str">
        <f>VLOOKUP(J727,'רשימת רשויות'!A:A,1,0)</f>
        <v>ירושלים</v>
      </c>
      <c r="Q727" s="956">
        <f>IFERROR(VLOOKUP(B727,[2]מעובד!$D:$K,8,0),0)</f>
        <v>0</v>
      </c>
      <c r="R727" s="956">
        <f>IFERROR(VLOOKUP(B727,[2]מעובד!$D:$L,9,0),0)</f>
        <v>0</v>
      </c>
    </row>
    <row r="728" spans="1:18" x14ac:dyDescent="0.2">
      <c r="A728" s="947" t="s">
        <v>196</v>
      </c>
      <c r="B728" s="947">
        <v>267963</v>
      </c>
      <c r="C728" s="947" t="s">
        <v>2189</v>
      </c>
      <c r="D728" s="947" t="s">
        <v>2397</v>
      </c>
      <c r="E728" s="951">
        <v>314</v>
      </c>
      <c r="F728" s="951">
        <v>292</v>
      </c>
      <c r="G728" s="947" t="s">
        <v>3252</v>
      </c>
      <c r="H728" s="951">
        <v>191</v>
      </c>
      <c r="I728" s="951">
        <v>16</v>
      </c>
      <c r="J728" s="947" t="s">
        <v>196</v>
      </c>
      <c r="K728" s="947">
        <v>267963</v>
      </c>
      <c r="M728" s="631"/>
      <c r="P728" s="950" t="str">
        <f>VLOOKUP(J728,'רשימת רשויות'!A:A,1,0)</f>
        <v>בית שמש</v>
      </c>
      <c r="Q728" s="956">
        <f>IFERROR(VLOOKUP(B728,[2]מעובד!$D:$K,8,0),0)</f>
        <v>277</v>
      </c>
      <c r="R728" s="956">
        <f>IFERROR(VLOOKUP(B728,[2]מעובד!$D:$L,9,0),0)</f>
        <v>247</v>
      </c>
    </row>
    <row r="729" spans="1:18" x14ac:dyDescent="0.2">
      <c r="A729" s="947" t="s">
        <v>326</v>
      </c>
      <c r="B729" s="947">
        <v>268011</v>
      </c>
      <c r="C729" s="947" t="s">
        <v>2189</v>
      </c>
      <c r="D729" s="947" t="s">
        <v>862</v>
      </c>
      <c r="E729" s="951">
        <v>120</v>
      </c>
      <c r="F729" s="951">
        <v>82</v>
      </c>
      <c r="G729" s="947" t="s">
        <v>3252</v>
      </c>
      <c r="H729" s="951">
        <v>0</v>
      </c>
      <c r="I729" s="951">
        <v>0</v>
      </c>
      <c r="J729" s="947" t="s">
        <v>326</v>
      </c>
      <c r="K729" s="947">
        <v>268011</v>
      </c>
      <c r="M729" s="631"/>
      <c r="P729" s="950" t="str">
        <f>VLOOKUP(J729,'רשימת רשויות'!A:A,1,0)</f>
        <v>משהד</v>
      </c>
      <c r="Q729" s="956">
        <f>IFERROR(VLOOKUP(B729,[2]מעובד!$D:$K,8,0),0)</f>
        <v>0</v>
      </c>
      <c r="R729" s="956">
        <f>IFERROR(VLOOKUP(B729,[2]מעובד!$D:$L,9,0),0)</f>
        <v>0</v>
      </c>
    </row>
    <row r="730" spans="1:18" x14ac:dyDescent="0.2">
      <c r="A730" s="947" t="s">
        <v>196</v>
      </c>
      <c r="B730" s="947">
        <v>273086</v>
      </c>
      <c r="C730" s="947" t="s">
        <v>2189</v>
      </c>
      <c r="D730" s="947" t="s">
        <v>1983</v>
      </c>
      <c r="E730" s="951">
        <v>147</v>
      </c>
      <c r="F730" s="951">
        <v>147</v>
      </c>
      <c r="G730" s="947" t="s">
        <v>3252</v>
      </c>
      <c r="H730" s="951">
        <v>0</v>
      </c>
      <c r="I730" s="951">
        <v>0</v>
      </c>
      <c r="J730" s="947" t="s">
        <v>196</v>
      </c>
      <c r="K730" s="947">
        <v>273086</v>
      </c>
      <c r="M730" s="631"/>
      <c r="P730" s="950" t="str">
        <f>VLOOKUP(J730,'רשימת רשויות'!A:A,1,0)</f>
        <v>בית שמש</v>
      </c>
      <c r="Q730" s="956">
        <f>IFERROR(VLOOKUP(B730,[2]מעובד!$D:$K,8,0),0)</f>
        <v>124</v>
      </c>
      <c r="R730" s="956">
        <f>IFERROR(VLOOKUP(B730,[2]מעובד!$D:$L,9,0),0)</f>
        <v>114</v>
      </c>
    </row>
    <row r="731" spans="1:18" x14ac:dyDescent="0.2">
      <c r="A731" s="947" t="s">
        <v>196</v>
      </c>
      <c r="B731" s="947">
        <v>288027</v>
      </c>
      <c r="C731" s="947" t="s">
        <v>2189</v>
      </c>
      <c r="D731" s="947" t="s">
        <v>1351</v>
      </c>
      <c r="E731" s="951">
        <v>83</v>
      </c>
      <c r="F731" s="951">
        <v>82</v>
      </c>
      <c r="G731" s="947" t="s">
        <v>3252</v>
      </c>
      <c r="H731" s="951">
        <v>0</v>
      </c>
      <c r="I731" s="951">
        <v>0</v>
      </c>
      <c r="J731" s="947" t="s">
        <v>196</v>
      </c>
      <c r="K731" s="947">
        <v>288027</v>
      </c>
      <c r="M731" s="631"/>
      <c r="P731" s="950" t="str">
        <f>VLOOKUP(J731,'רשימת רשויות'!A:A,1,0)</f>
        <v>בית שמש</v>
      </c>
      <c r="Q731" s="956">
        <f>IFERROR(VLOOKUP(B731,[2]מעובד!$D:$K,8,0),0)</f>
        <v>0</v>
      </c>
      <c r="R731" s="956">
        <f>IFERROR(VLOOKUP(B731,[2]מעובד!$D:$L,9,0),0)</f>
        <v>0</v>
      </c>
    </row>
    <row r="732" spans="1:18" x14ac:dyDescent="0.2">
      <c r="A732" s="947" t="s">
        <v>197</v>
      </c>
      <c r="B732" s="947">
        <v>288076</v>
      </c>
      <c r="C732" s="947" t="s">
        <v>2189</v>
      </c>
      <c r="D732" s="947" t="s">
        <v>1897</v>
      </c>
      <c r="E732" s="951">
        <v>204</v>
      </c>
      <c r="F732" s="951">
        <v>204</v>
      </c>
      <c r="G732" s="947" t="s">
        <v>3252</v>
      </c>
      <c r="H732" s="951">
        <v>0</v>
      </c>
      <c r="I732" s="951">
        <v>0</v>
      </c>
      <c r="J732" s="947" t="s">
        <v>197</v>
      </c>
      <c r="K732" s="947">
        <v>288076</v>
      </c>
      <c r="M732" s="631"/>
      <c r="P732" s="950" t="str">
        <f>VLOOKUP(J732,'רשימת רשויות'!A:A,1,0)</f>
        <v>ביתר עילית</v>
      </c>
      <c r="Q732" s="956">
        <f>IFERROR(VLOOKUP(B732,[2]מעובד!$D:$K,8,0),0)</f>
        <v>0</v>
      </c>
      <c r="R732" s="956">
        <f>IFERROR(VLOOKUP(B732,[2]מעובד!$D:$L,9,0),0)</f>
        <v>0</v>
      </c>
    </row>
    <row r="733" spans="1:18" x14ac:dyDescent="0.2">
      <c r="A733" s="947" t="s">
        <v>270</v>
      </c>
      <c r="B733" s="947">
        <v>288100</v>
      </c>
      <c r="C733" s="947" t="s">
        <v>2189</v>
      </c>
      <c r="D733" s="947" t="s">
        <v>2209</v>
      </c>
      <c r="E733" s="951">
        <v>66</v>
      </c>
      <c r="F733" s="951">
        <v>65</v>
      </c>
      <c r="G733" s="947" t="s">
        <v>3252</v>
      </c>
      <c r="H733" s="951">
        <v>0</v>
      </c>
      <c r="I733" s="951">
        <v>0</v>
      </c>
      <c r="J733" s="947" t="s">
        <v>270</v>
      </c>
      <c r="K733" s="947">
        <v>288100</v>
      </c>
      <c r="M733" s="631"/>
      <c r="P733" s="950" t="str">
        <f>VLOOKUP(J733,'רשימת רשויות'!A:A,1,0)</f>
        <v>ירושלים</v>
      </c>
      <c r="Q733" s="956">
        <f>IFERROR(VLOOKUP(B733,[2]מעובד!$D:$K,8,0),0)</f>
        <v>0</v>
      </c>
      <c r="R733" s="956">
        <f>IFERROR(VLOOKUP(B733,[2]מעובד!$D:$L,9,0),0)</f>
        <v>0</v>
      </c>
    </row>
    <row r="734" spans="1:18" x14ac:dyDescent="0.2">
      <c r="A734" s="947" t="s">
        <v>306</v>
      </c>
      <c r="B734" s="947">
        <v>288167</v>
      </c>
      <c r="C734" s="947" t="s">
        <v>2189</v>
      </c>
      <c r="D734" s="947" t="s">
        <v>1903</v>
      </c>
      <c r="E734" s="951">
        <v>149</v>
      </c>
      <c r="F734" s="951">
        <v>149</v>
      </c>
      <c r="G734" s="947" t="s">
        <v>3252</v>
      </c>
      <c r="H734" s="951">
        <v>0</v>
      </c>
      <c r="I734" s="951">
        <v>0</v>
      </c>
      <c r="J734" s="947" t="s">
        <v>306</v>
      </c>
      <c r="K734" s="947">
        <v>288167</v>
      </c>
      <c r="M734" s="631"/>
      <c r="P734" s="950" t="str">
        <f>VLOOKUP(J734,'רשימת רשויות'!A:A,1,0)</f>
        <v>מודיעין עילית</v>
      </c>
      <c r="Q734" s="956">
        <f>IFERROR(VLOOKUP(B734,[2]מעובד!$D:$K,8,0),0)</f>
        <v>143</v>
      </c>
      <c r="R734" s="956">
        <f>IFERROR(VLOOKUP(B734,[2]מעובד!$D:$L,9,0),0)</f>
        <v>143</v>
      </c>
    </row>
    <row r="735" spans="1:18" x14ac:dyDescent="0.2">
      <c r="A735" s="947" t="s">
        <v>354</v>
      </c>
      <c r="B735" s="947">
        <v>288175</v>
      </c>
      <c r="C735" s="947" t="s">
        <v>2189</v>
      </c>
      <c r="D735" s="947" t="s">
        <v>1904</v>
      </c>
      <c r="E735" s="951">
        <v>139</v>
      </c>
      <c r="F735" s="951">
        <v>130</v>
      </c>
      <c r="G735" s="947" t="s">
        <v>159</v>
      </c>
      <c r="H735" s="951">
        <v>48</v>
      </c>
      <c r="I735" s="951">
        <v>7</v>
      </c>
      <c r="J735" s="947" t="s">
        <v>354</v>
      </c>
      <c r="K735" s="947">
        <v>288175</v>
      </c>
      <c r="M735" s="631"/>
      <c r="P735" s="950" t="str">
        <f>VLOOKUP(J735,'רשימת רשויות'!A:A,1,0)</f>
        <v>עראבה</v>
      </c>
      <c r="Q735" s="956">
        <f>IFERROR(VLOOKUP(B735,[2]מעובד!$D:$K,8,0),0)</f>
        <v>0</v>
      </c>
      <c r="R735" s="956">
        <f>IFERROR(VLOOKUP(B735,[2]מעובד!$D:$L,9,0),0)</f>
        <v>0</v>
      </c>
    </row>
    <row r="736" spans="1:18" x14ac:dyDescent="0.2">
      <c r="A736" s="947" t="s">
        <v>190</v>
      </c>
      <c r="B736" s="947">
        <v>288191</v>
      </c>
      <c r="C736" s="947" t="s">
        <v>2189</v>
      </c>
      <c r="D736" s="947" t="s">
        <v>1885</v>
      </c>
      <c r="E736" s="951">
        <v>243</v>
      </c>
      <c r="F736" s="951">
        <v>237</v>
      </c>
      <c r="G736" s="947" t="s">
        <v>159</v>
      </c>
      <c r="H736" s="951">
        <v>0</v>
      </c>
      <c r="I736" s="951">
        <v>0</v>
      </c>
      <c r="J736" s="947" t="s">
        <v>190</v>
      </c>
      <c r="K736" s="947">
        <v>288191</v>
      </c>
      <c r="M736" s="631"/>
      <c r="P736" s="950" t="str">
        <f>VLOOKUP(J736,'רשימת רשויות'!A:A,1,0)</f>
        <v>ביר אל-מכסור</v>
      </c>
      <c r="Q736" s="956">
        <f>IFERROR(VLOOKUP(B736,[2]מעובד!$D:$K,8,0),0)</f>
        <v>183</v>
      </c>
      <c r="R736" s="956">
        <f>IFERROR(VLOOKUP(B736,[2]מעובד!$D:$L,9,0),0)</f>
        <v>130</v>
      </c>
    </row>
    <row r="737" spans="1:18" x14ac:dyDescent="0.2">
      <c r="A737" s="947" t="s">
        <v>166</v>
      </c>
      <c r="B737" s="947">
        <v>310011</v>
      </c>
      <c r="C737" s="947" t="s">
        <v>2189</v>
      </c>
      <c r="D737" s="947" t="s">
        <v>568</v>
      </c>
      <c r="E737" s="951">
        <v>168</v>
      </c>
      <c r="F737" s="951">
        <v>124</v>
      </c>
      <c r="G737" s="947" t="s">
        <v>159</v>
      </c>
      <c r="H737" s="951">
        <v>59</v>
      </c>
      <c r="I737" s="951">
        <v>4</v>
      </c>
      <c r="J737" s="947" t="s">
        <v>166</v>
      </c>
      <c r="K737" s="947">
        <v>310011</v>
      </c>
      <c r="M737" s="631"/>
      <c r="P737" s="950" t="str">
        <f>VLOOKUP(J737,'רשימת רשויות'!A:A,1,0)</f>
        <v>אור עקיבא</v>
      </c>
      <c r="Q737" s="956">
        <f>IFERROR(VLOOKUP(B737,[2]מעובד!$D:$K,8,0),0)</f>
        <v>242</v>
      </c>
      <c r="R737" s="956">
        <f>IFERROR(VLOOKUP(B737,[2]מעובד!$D:$L,9,0),0)</f>
        <v>52</v>
      </c>
    </row>
    <row r="738" spans="1:18" x14ac:dyDescent="0.2">
      <c r="A738" s="947" t="s">
        <v>166</v>
      </c>
      <c r="B738" s="947">
        <v>310029</v>
      </c>
      <c r="C738" s="947" t="s">
        <v>2189</v>
      </c>
      <c r="D738" s="947" t="s">
        <v>573</v>
      </c>
      <c r="E738" s="951">
        <v>197</v>
      </c>
      <c r="F738" s="951">
        <v>83</v>
      </c>
      <c r="G738" s="947" t="s">
        <v>159</v>
      </c>
      <c r="H738" s="951">
        <v>0</v>
      </c>
      <c r="I738" s="951">
        <v>0</v>
      </c>
      <c r="J738" s="947" t="s">
        <v>166</v>
      </c>
      <c r="K738" s="947">
        <v>310029</v>
      </c>
      <c r="M738" s="631"/>
      <c r="P738" s="950" t="str">
        <f>VLOOKUP(J738,'רשימת רשויות'!A:A,1,0)</f>
        <v>אור עקיבא</v>
      </c>
      <c r="Q738" s="956">
        <f>IFERROR(VLOOKUP(B738,[2]מעובד!$D:$K,8,0),0)</f>
        <v>224</v>
      </c>
      <c r="R738" s="956">
        <f>IFERROR(VLOOKUP(B738,[2]מעובד!$D:$L,9,0),0)</f>
        <v>83</v>
      </c>
    </row>
    <row r="739" spans="1:18" x14ac:dyDescent="0.2">
      <c r="A739" s="947" t="s">
        <v>201</v>
      </c>
      <c r="B739" s="947">
        <v>310078</v>
      </c>
      <c r="C739" s="947" t="s">
        <v>2189</v>
      </c>
      <c r="D739" s="947" t="s">
        <v>578</v>
      </c>
      <c r="E739" s="951">
        <v>166</v>
      </c>
      <c r="F739" s="951">
        <v>119</v>
      </c>
      <c r="G739" s="947" t="s">
        <v>159</v>
      </c>
      <c r="H739" s="951">
        <v>0</v>
      </c>
      <c r="I739" s="951">
        <v>0</v>
      </c>
      <c r="J739" s="947" t="s">
        <v>201</v>
      </c>
      <c r="K739" s="947">
        <v>310078</v>
      </c>
      <c r="M739" s="631"/>
      <c r="P739" s="950" t="str">
        <f>VLOOKUP(J739,'רשימת רשויות'!A:A,1,0)</f>
        <v>בנימינה גבעת עדה</v>
      </c>
      <c r="Q739" s="956">
        <f>IFERROR(VLOOKUP(B739,[2]מעובד!$D:$K,8,0),0)</f>
        <v>197</v>
      </c>
      <c r="R739" s="956">
        <f>IFERROR(VLOOKUP(B739,[2]מעובד!$D:$L,9,0),0)</f>
        <v>76</v>
      </c>
    </row>
    <row r="740" spans="1:18" x14ac:dyDescent="0.2">
      <c r="A740" s="947" t="s">
        <v>201</v>
      </c>
      <c r="B740" s="947">
        <v>310086</v>
      </c>
      <c r="C740" s="947" t="s">
        <v>2189</v>
      </c>
      <c r="D740" s="947" t="s">
        <v>463</v>
      </c>
      <c r="E740" s="951">
        <v>87</v>
      </c>
      <c r="F740" s="951">
        <v>77</v>
      </c>
      <c r="G740" s="947" t="s">
        <v>159</v>
      </c>
      <c r="H740" s="951">
        <v>0</v>
      </c>
      <c r="I740" s="951">
        <v>0</v>
      </c>
      <c r="J740" s="947" t="s">
        <v>201</v>
      </c>
      <c r="K740" s="947">
        <v>310086</v>
      </c>
      <c r="M740" s="631"/>
      <c r="P740" s="950" t="str">
        <f>VLOOKUP(J740,'רשימת רשויות'!A:A,1,0)</f>
        <v>בנימינה גבעת עדה</v>
      </c>
      <c r="Q740" s="956">
        <f>IFERROR(VLOOKUP(B740,[2]מעובד!$D:$K,8,0),0)</f>
        <v>118</v>
      </c>
      <c r="R740" s="956">
        <f>IFERROR(VLOOKUP(B740,[2]מעובד!$D:$L,9,0),0)</f>
        <v>58</v>
      </c>
    </row>
    <row r="741" spans="1:18" x14ac:dyDescent="0.2">
      <c r="A741" s="947" t="s">
        <v>201</v>
      </c>
      <c r="B741" s="947">
        <v>310128</v>
      </c>
      <c r="C741" s="947" t="s">
        <v>2189</v>
      </c>
      <c r="D741" s="947" t="s">
        <v>584</v>
      </c>
      <c r="E741" s="951">
        <v>173</v>
      </c>
      <c r="F741" s="951">
        <v>109</v>
      </c>
      <c r="G741" s="947" t="s">
        <v>159</v>
      </c>
      <c r="H741" s="951">
        <v>0</v>
      </c>
      <c r="I741" s="951">
        <v>0</v>
      </c>
      <c r="J741" s="947" t="s">
        <v>201</v>
      </c>
      <c r="K741" s="947">
        <v>310128</v>
      </c>
      <c r="M741" s="631"/>
      <c r="P741" s="950" t="str">
        <f>VLOOKUP(J741,'רשימת רשויות'!A:A,1,0)</f>
        <v>בנימינה גבעת עדה</v>
      </c>
      <c r="Q741" s="956">
        <f>IFERROR(VLOOKUP(B741,[2]מעובד!$D:$K,8,0),0)</f>
        <v>222</v>
      </c>
      <c r="R741" s="956">
        <f>IFERROR(VLOOKUP(B741,[2]מעובד!$D:$L,9,0),0)</f>
        <v>74</v>
      </c>
    </row>
    <row r="742" spans="1:18" x14ac:dyDescent="0.2">
      <c r="A742" s="947" t="s">
        <v>237</v>
      </c>
      <c r="B742" s="947">
        <v>310177</v>
      </c>
      <c r="C742" s="947" t="s">
        <v>2189</v>
      </c>
      <c r="D742" s="947" t="s">
        <v>585</v>
      </c>
      <c r="E742" s="951">
        <v>169</v>
      </c>
      <c r="F742" s="951">
        <v>116</v>
      </c>
      <c r="G742" s="947" t="s">
        <v>159</v>
      </c>
      <c r="H742" s="951">
        <v>0</v>
      </c>
      <c r="I742" s="951">
        <v>0</v>
      </c>
      <c r="J742" s="947" t="s">
        <v>237</v>
      </c>
      <c r="K742" s="947">
        <v>310177</v>
      </c>
      <c r="M742" s="631"/>
      <c r="P742" s="950" t="str">
        <f>VLOOKUP(J742,'רשימת רשויות'!A:A,1,0)</f>
        <v>זכרון יעקב</v>
      </c>
      <c r="Q742" s="956">
        <f>IFERROR(VLOOKUP(B742,[2]מעובד!$D:$K,8,0),0)</f>
        <v>218</v>
      </c>
      <c r="R742" s="956">
        <f>IFERROR(VLOOKUP(B742,[2]מעובד!$D:$L,9,0),0)</f>
        <v>58</v>
      </c>
    </row>
    <row r="743" spans="1:18" x14ac:dyDescent="0.2">
      <c r="A743" s="947" t="s">
        <v>237</v>
      </c>
      <c r="B743" s="947">
        <v>310193</v>
      </c>
      <c r="C743" s="947" t="s">
        <v>2189</v>
      </c>
      <c r="D743" s="947" t="s">
        <v>586</v>
      </c>
      <c r="E743" s="951">
        <v>185</v>
      </c>
      <c r="F743" s="951">
        <v>82</v>
      </c>
      <c r="G743" s="947" t="s">
        <v>159</v>
      </c>
      <c r="H743" s="951">
        <v>70</v>
      </c>
      <c r="I743" s="951">
        <v>0</v>
      </c>
      <c r="J743" s="947" t="s">
        <v>237</v>
      </c>
      <c r="K743" s="947">
        <v>310193</v>
      </c>
      <c r="M743" s="631"/>
      <c r="P743" s="950" t="str">
        <f>VLOOKUP(J743,'רשימת רשויות'!A:A,1,0)</f>
        <v>זכרון יעקב</v>
      </c>
      <c r="Q743" s="956">
        <f>IFERROR(VLOOKUP(B743,[2]מעובד!$D:$K,8,0),0)</f>
        <v>159</v>
      </c>
      <c r="R743" s="956">
        <f>IFERROR(VLOOKUP(B743,[2]מעובד!$D:$L,9,0),0)</f>
        <v>66</v>
      </c>
    </row>
    <row r="744" spans="1:18" x14ac:dyDescent="0.2">
      <c r="A744" s="947" t="s">
        <v>244</v>
      </c>
      <c r="B744" s="947">
        <v>310219</v>
      </c>
      <c r="C744" s="947" t="s">
        <v>2189</v>
      </c>
      <c r="D744" s="947" t="s">
        <v>2610</v>
      </c>
      <c r="E744" s="951">
        <v>209</v>
      </c>
      <c r="F744" s="951">
        <v>117</v>
      </c>
      <c r="G744" s="947" t="s">
        <v>159</v>
      </c>
      <c r="H744" s="951">
        <v>78</v>
      </c>
      <c r="I744" s="951">
        <v>0</v>
      </c>
      <c r="J744" s="947" t="s">
        <v>244</v>
      </c>
      <c r="K744" s="947">
        <v>310219</v>
      </c>
      <c r="M744" s="631"/>
      <c r="P744" s="950" t="str">
        <f>VLOOKUP(J744,'רשימת רשויות'!A:A,1,0)</f>
        <v>חדרה</v>
      </c>
      <c r="Q744" s="956">
        <f>IFERROR(VLOOKUP(B744,[2]מעובד!$D:$K,8,0),0)</f>
        <v>117</v>
      </c>
      <c r="R744" s="956">
        <f>IFERROR(VLOOKUP(B744,[2]מעובד!$D:$L,9,0),0)</f>
        <v>50</v>
      </c>
    </row>
    <row r="745" spans="1:18" x14ac:dyDescent="0.2">
      <c r="A745" s="947" t="s">
        <v>244</v>
      </c>
      <c r="B745" s="947">
        <v>310227</v>
      </c>
      <c r="C745" s="947" t="s">
        <v>2189</v>
      </c>
      <c r="D745" s="947" t="s">
        <v>587</v>
      </c>
      <c r="E745" s="951">
        <v>180</v>
      </c>
      <c r="F745" s="951">
        <v>72</v>
      </c>
      <c r="G745" s="947" t="s">
        <v>159</v>
      </c>
      <c r="H745" s="951">
        <v>0</v>
      </c>
      <c r="I745" s="951">
        <v>0</v>
      </c>
      <c r="J745" s="947" t="s">
        <v>244</v>
      </c>
      <c r="K745" s="947">
        <v>310227</v>
      </c>
      <c r="M745" s="631"/>
      <c r="P745" s="950" t="str">
        <f>VLOOKUP(J745,'רשימת רשויות'!A:A,1,0)</f>
        <v>חדרה</v>
      </c>
      <c r="Q745" s="956">
        <f>IFERROR(VLOOKUP(B745,[2]מעובד!$D:$K,8,0),0)</f>
        <v>119</v>
      </c>
      <c r="R745" s="956">
        <f>IFERROR(VLOOKUP(B745,[2]מעובד!$D:$L,9,0),0)</f>
        <v>67</v>
      </c>
    </row>
    <row r="746" spans="1:18" x14ac:dyDescent="0.2">
      <c r="A746" s="947" t="s">
        <v>244</v>
      </c>
      <c r="B746" s="947">
        <v>310235</v>
      </c>
      <c r="C746" s="947" t="s">
        <v>2189</v>
      </c>
      <c r="D746" s="947" t="s">
        <v>534</v>
      </c>
      <c r="E746" s="951">
        <v>250</v>
      </c>
      <c r="F746" s="951">
        <v>85</v>
      </c>
      <c r="G746" s="947" t="s">
        <v>159</v>
      </c>
      <c r="H746" s="951">
        <v>83</v>
      </c>
      <c r="I746" s="951">
        <v>6</v>
      </c>
      <c r="J746" s="947" t="s">
        <v>244</v>
      </c>
      <c r="K746" s="947">
        <v>310235</v>
      </c>
      <c r="M746" s="631"/>
      <c r="P746" s="950" t="str">
        <f>VLOOKUP(J746,'רשימת רשויות'!A:A,1,0)</f>
        <v>חדרה</v>
      </c>
      <c r="Q746" s="956">
        <f>IFERROR(VLOOKUP(B746,[2]מעובד!$D:$K,8,0),0)</f>
        <v>187</v>
      </c>
      <c r="R746" s="956">
        <f>IFERROR(VLOOKUP(B746,[2]מעובד!$D:$L,9,0),0)</f>
        <v>52</v>
      </c>
    </row>
    <row r="747" spans="1:18" x14ac:dyDescent="0.2">
      <c r="A747" s="947" t="s">
        <v>244</v>
      </c>
      <c r="B747" s="947">
        <v>310250</v>
      </c>
      <c r="C747" s="947" t="s">
        <v>2189</v>
      </c>
      <c r="D747" s="947" t="s">
        <v>651</v>
      </c>
      <c r="E747" s="951">
        <v>179</v>
      </c>
      <c r="F747" s="951">
        <v>82</v>
      </c>
      <c r="G747" s="947" t="s">
        <v>159</v>
      </c>
      <c r="H747" s="951">
        <v>132</v>
      </c>
      <c r="I747" s="951">
        <v>7</v>
      </c>
      <c r="J747" s="947" t="s">
        <v>244</v>
      </c>
      <c r="K747" s="947">
        <v>310250</v>
      </c>
      <c r="M747" s="631"/>
      <c r="P747" s="950" t="str">
        <f>VLOOKUP(J747,'רשימת רשויות'!A:A,1,0)</f>
        <v>חדרה</v>
      </c>
      <c r="Q747" s="956">
        <f>IFERROR(VLOOKUP(B747,[2]מעובד!$D:$K,8,0),0)</f>
        <v>225</v>
      </c>
      <c r="R747" s="956">
        <f>IFERROR(VLOOKUP(B747,[2]מעובד!$D:$L,9,0),0)</f>
        <v>110</v>
      </c>
    </row>
    <row r="748" spans="1:18" x14ac:dyDescent="0.2">
      <c r="A748" s="947" t="s">
        <v>244</v>
      </c>
      <c r="B748" s="947">
        <v>310268</v>
      </c>
      <c r="C748" s="947" t="s">
        <v>2189</v>
      </c>
      <c r="D748" s="947" t="s">
        <v>604</v>
      </c>
      <c r="E748" s="951">
        <v>100</v>
      </c>
      <c r="F748" s="951">
        <v>78</v>
      </c>
      <c r="G748" s="947" t="s">
        <v>159</v>
      </c>
      <c r="H748" s="951">
        <v>0</v>
      </c>
      <c r="I748" s="951">
        <v>0</v>
      </c>
      <c r="J748" s="947" t="s">
        <v>244</v>
      </c>
      <c r="K748" s="947">
        <v>310268</v>
      </c>
      <c r="M748" s="631"/>
      <c r="P748" s="950" t="str">
        <f>VLOOKUP(J748,'רשימת רשויות'!A:A,1,0)</f>
        <v>חדרה</v>
      </c>
      <c r="Q748" s="956">
        <f>IFERROR(VLOOKUP(B748,[2]מעובד!$D:$K,8,0),0)</f>
        <v>0</v>
      </c>
      <c r="R748" s="956">
        <f>IFERROR(VLOOKUP(B748,[2]מעובד!$D:$L,9,0),0)</f>
        <v>0</v>
      </c>
    </row>
    <row r="749" spans="1:18" x14ac:dyDescent="0.2">
      <c r="A749" s="947" t="s">
        <v>244</v>
      </c>
      <c r="B749" s="947">
        <v>310276</v>
      </c>
      <c r="C749" s="947" t="s">
        <v>2189</v>
      </c>
      <c r="D749" s="947" t="s">
        <v>605</v>
      </c>
      <c r="E749" s="951">
        <v>327</v>
      </c>
      <c r="F749" s="951">
        <v>187</v>
      </c>
      <c r="G749" s="947" t="s">
        <v>159</v>
      </c>
      <c r="H749" s="951">
        <v>98</v>
      </c>
      <c r="I749" s="951">
        <v>6</v>
      </c>
      <c r="J749" s="947" t="s">
        <v>244</v>
      </c>
      <c r="K749" s="947">
        <v>310276</v>
      </c>
      <c r="M749" s="631"/>
      <c r="P749" s="950" t="str">
        <f>VLOOKUP(J749,'רשימת רשויות'!A:A,1,0)</f>
        <v>חדרה</v>
      </c>
      <c r="Q749" s="956">
        <f>IFERROR(VLOOKUP(B749,[2]מעובד!$D:$K,8,0),0)</f>
        <v>265</v>
      </c>
      <c r="R749" s="956">
        <f>IFERROR(VLOOKUP(B749,[2]מעובד!$D:$L,9,0),0)</f>
        <v>189</v>
      </c>
    </row>
    <row r="750" spans="1:18" x14ac:dyDescent="0.2">
      <c r="A750" s="947" t="s">
        <v>244</v>
      </c>
      <c r="B750" s="947">
        <v>310284</v>
      </c>
      <c r="C750" s="947" t="s">
        <v>2189</v>
      </c>
      <c r="D750" s="947" t="s">
        <v>612</v>
      </c>
      <c r="E750" s="951">
        <v>267</v>
      </c>
      <c r="F750" s="951">
        <v>138</v>
      </c>
      <c r="G750" s="947" t="s">
        <v>159</v>
      </c>
      <c r="H750" s="951">
        <v>0</v>
      </c>
      <c r="I750" s="951">
        <v>0</v>
      </c>
      <c r="J750" s="947" t="s">
        <v>244</v>
      </c>
      <c r="K750" s="947">
        <v>310284</v>
      </c>
      <c r="M750" s="631"/>
      <c r="P750" s="950" t="str">
        <f>VLOOKUP(J750,'רשימת רשויות'!A:A,1,0)</f>
        <v>חדרה</v>
      </c>
      <c r="Q750" s="956">
        <f>IFERROR(VLOOKUP(B750,[2]מעובד!$D:$K,8,0),0)</f>
        <v>182</v>
      </c>
      <c r="R750" s="956">
        <f>IFERROR(VLOOKUP(B750,[2]מעובד!$D:$L,9,0),0)</f>
        <v>115</v>
      </c>
    </row>
    <row r="751" spans="1:18" x14ac:dyDescent="0.2">
      <c r="A751" s="947" t="s">
        <v>244</v>
      </c>
      <c r="B751" s="947">
        <v>310300</v>
      </c>
      <c r="C751" s="947" t="s">
        <v>2189</v>
      </c>
      <c r="D751" s="947" t="s">
        <v>581</v>
      </c>
      <c r="E751" s="951">
        <v>218</v>
      </c>
      <c r="F751" s="951">
        <v>113</v>
      </c>
      <c r="G751" s="947" t="s">
        <v>159</v>
      </c>
      <c r="H751" s="951">
        <v>85</v>
      </c>
      <c r="I751" s="951">
        <v>3</v>
      </c>
      <c r="J751" s="947" t="s">
        <v>244</v>
      </c>
      <c r="K751" s="947">
        <v>310300</v>
      </c>
      <c r="M751" s="631"/>
      <c r="P751" s="950" t="str">
        <f>VLOOKUP(J751,'רשימת רשויות'!A:A,1,0)</f>
        <v>חדרה</v>
      </c>
      <c r="Q751" s="956">
        <f>IFERROR(VLOOKUP(B751,[2]מעובד!$D:$K,8,0),0)</f>
        <v>186</v>
      </c>
      <c r="R751" s="956">
        <f>IFERROR(VLOOKUP(B751,[2]מעובד!$D:$L,9,0),0)</f>
        <v>66</v>
      </c>
    </row>
    <row r="752" spans="1:18" x14ac:dyDescent="0.2">
      <c r="A752" s="947" t="s">
        <v>244</v>
      </c>
      <c r="B752" s="947">
        <v>310318</v>
      </c>
      <c r="C752" s="947" t="s">
        <v>2189</v>
      </c>
      <c r="D752" s="947" t="s">
        <v>262</v>
      </c>
      <c r="E752" s="951">
        <v>104</v>
      </c>
      <c r="F752" s="951">
        <v>35</v>
      </c>
      <c r="G752" s="947" t="s">
        <v>159</v>
      </c>
      <c r="H752" s="951">
        <v>0</v>
      </c>
      <c r="I752" s="951">
        <v>0</v>
      </c>
      <c r="J752" s="947" t="s">
        <v>244</v>
      </c>
      <c r="K752" s="957" t="s">
        <v>3272</v>
      </c>
      <c r="M752" s="631"/>
      <c r="P752" s="950" t="str">
        <f>VLOOKUP(J752,'רשימת רשויות'!A:A,1,0)</f>
        <v>חדרה</v>
      </c>
      <c r="Q752" s="956">
        <f>IFERROR(VLOOKUP(B752,[2]מעובד!$D:$K,8,0),0)</f>
        <v>0</v>
      </c>
      <c r="R752" s="956">
        <f>IFERROR(VLOOKUP(B752,[2]מעובד!$D:$L,9,0),0)</f>
        <v>0</v>
      </c>
    </row>
    <row r="753" spans="1:18" x14ac:dyDescent="0.2">
      <c r="A753" s="947" t="s">
        <v>244</v>
      </c>
      <c r="B753" s="947">
        <v>310342</v>
      </c>
      <c r="C753" s="947" t="s">
        <v>2189</v>
      </c>
      <c r="D753" s="947" t="s">
        <v>613</v>
      </c>
      <c r="E753" s="951">
        <v>182</v>
      </c>
      <c r="F753" s="951">
        <v>120</v>
      </c>
      <c r="G753" s="947" t="s">
        <v>159</v>
      </c>
      <c r="H753" s="951">
        <v>0</v>
      </c>
      <c r="I753" s="951">
        <v>0</v>
      </c>
      <c r="J753" s="947" t="s">
        <v>244</v>
      </c>
      <c r="K753" s="947">
        <v>310342</v>
      </c>
      <c r="M753" s="631"/>
      <c r="P753" s="950" t="str">
        <f>VLOOKUP(J753,'רשימת רשויות'!A:A,1,0)</f>
        <v>חדרה</v>
      </c>
      <c r="Q753" s="956">
        <f>IFERROR(VLOOKUP(B753,[2]מעובד!$D:$K,8,0),0)</f>
        <v>169</v>
      </c>
      <c r="R753" s="956">
        <f>IFERROR(VLOOKUP(B753,[2]מעובד!$D:$L,9,0),0)</f>
        <v>95</v>
      </c>
    </row>
    <row r="754" spans="1:18" x14ac:dyDescent="0.2">
      <c r="A754" s="947" t="s">
        <v>244</v>
      </c>
      <c r="B754" s="947">
        <v>310359</v>
      </c>
      <c r="C754" s="947" t="s">
        <v>2189</v>
      </c>
      <c r="D754" s="947" t="s">
        <v>614</v>
      </c>
      <c r="E754" s="951">
        <v>253</v>
      </c>
      <c r="F754" s="951">
        <v>95</v>
      </c>
      <c r="G754" s="947" t="s">
        <v>159</v>
      </c>
      <c r="H754" s="951">
        <v>0</v>
      </c>
      <c r="I754" s="951">
        <v>0</v>
      </c>
      <c r="J754" s="947" t="s">
        <v>244</v>
      </c>
      <c r="K754" s="947">
        <v>310359</v>
      </c>
      <c r="M754" s="631"/>
      <c r="P754" s="950" t="str">
        <f>VLOOKUP(J754,'רשימת רשויות'!A:A,1,0)</f>
        <v>חדרה</v>
      </c>
      <c r="Q754" s="956">
        <f>IFERROR(VLOOKUP(B754,[2]מעובד!$D:$K,8,0),0)</f>
        <v>229</v>
      </c>
      <c r="R754" s="956">
        <f>IFERROR(VLOOKUP(B754,[2]מעובד!$D:$L,9,0),0)</f>
        <v>50</v>
      </c>
    </row>
    <row r="755" spans="1:18" x14ac:dyDescent="0.2">
      <c r="A755" s="947" t="s">
        <v>251</v>
      </c>
      <c r="B755" s="947">
        <v>310375</v>
      </c>
      <c r="C755" s="947" t="s">
        <v>2189</v>
      </c>
      <c r="D755" s="947" t="s">
        <v>615</v>
      </c>
      <c r="E755" s="951">
        <v>246</v>
      </c>
      <c r="F755" s="951">
        <v>235</v>
      </c>
      <c r="G755" s="947" t="s">
        <v>159</v>
      </c>
      <c r="H755" s="951">
        <v>81</v>
      </c>
      <c r="I755" s="951">
        <v>8</v>
      </c>
      <c r="J755" s="947" t="s">
        <v>251</v>
      </c>
      <c r="K755" s="947">
        <v>310375</v>
      </c>
      <c r="M755" s="631"/>
      <c r="P755" s="950" t="str">
        <f>VLOOKUP(J755,'רשימת רשויות'!A:A,1,0)</f>
        <v>חיפה</v>
      </c>
      <c r="Q755" s="956">
        <f>IFERROR(VLOOKUP(B755,[2]מעובד!$D:$K,8,0),0)</f>
        <v>228</v>
      </c>
      <c r="R755" s="956">
        <f>IFERROR(VLOOKUP(B755,[2]מעובד!$D:$L,9,0),0)</f>
        <v>88</v>
      </c>
    </row>
    <row r="756" spans="1:18" x14ac:dyDescent="0.2">
      <c r="A756" s="947" t="s">
        <v>251</v>
      </c>
      <c r="B756" s="947">
        <v>310383</v>
      </c>
      <c r="C756" s="947" t="s">
        <v>2189</v>
      </c>
      <c r="D756" s="947" t="s">
        <v>453</v>
      </c>
      <c r="E756" s="951">
        <v>195</v>
      </c>
      <c r="F756" s="951">
        <v>167</v>
      </c>
      <c r="G756" s="947" t="s">
        <v>159</v>
      </c>
      <c r="H756" s="951">
        <v>66</v>
      </c>
      <c r="I756" s="951">
        <v>14</v>
      </c>
      <c r="J756" s="947" t="s">
        <v>251</v>
      </c>
      <c r="K756" s="947">
        <v>310383</v>
      </c>
      <c r="M756" s="631"/>
      <c r="P756" s="950" t="str">
        <f>VLOOKUP(J756,'רשימת רשויות'!A:A,1,0)</f>
        <v>חיפה</v>
      </c>
      <c r="Q756" s="956">
        <f>IFERROR(VLOOKUP(B756,[2]מעובד!$D:$K,8,0),0)</f>
        <v>171</v>
      </c>
      <c r="R756" s="956">
        <f>IFERROR(VLOOKUP(B756,[2]מעובד!$D:$L,9,0),0)</f>
        <v>95</v>
      </c>
    </row>
    <row r="757" spans="1:18" x14ac:dyDescent="0.2">
      <c r="A757" s="947" t="s">
        <v>251</v>
      </c>
      <c r="B757" s="947">
        <v>310391</v>
      </c>
      <c r="C757" s="947" t="s">
        <v>2189</v>
      </c>
      <c r="D757" s="947" t="s">
        <v>534</v>
      </c>
      <c r="E757" s="951">
        <v>306</v>
      </c>
      <c r="F757" s="951">
        <v>281</v>
      </c>
      <c r="G757" s="947" t="s">
        <v>159</v>
      </c>
      <c r="H757" s="951">
        <v>0</v>
      </c>
      <c r="I757" s="951">
        <v>0</v>
      </c>
      <c r="J757" s="947" t="s">
        <v>251</v>
      </c>
      <c r="K757" s="947">
        <v>310391</v>
      </c>
      <c r="M757" s="631"/>
      <c r="P757" s="950" t="str">
        <f>VLOOKUP(J757,'רשימת רשויות'!A:A,1,0)</f>
        <v>חיפה</v>
      </c>
      <c r="Q757" s="956">
        <f>IFERROR(VLOOKUP(B757,[2]מעובד!$D:$K,8,0),0)</f>
        <v>0</v>
      </c>
      <c r="R757" s="956">
        <f>IFERROR(VLOOKUP(B757,[2]מעובד!$D:$L,9,0),0)</f>
        <v>0</v>
      </c>
    </row>
    <row r="758" spans="1:18" x14ac:dyDescent="0.2">
      <c r="A758" s="947" t="s">
        <v>251</v>
      </c>
      <c r="B758" s="947">
        <v>310458</v>
      </c>
      <c r="C758" s="947" t="s">
        <v>2189</v>
      </c>
      <c r="D758" s="947" t="s">
        <v>457</v>
      </c>
      <c r="E758" s="951">
        <v>122</v>
      </c>
      <c r="F758" s="951">
        <v>120</v>
      </c>
      <c r="G758" s="947" t="s">
        <v>159</v>
      </c>
      <c r="H758" s="951">
        <v>0</v>
      </c>
      <c r="I758" s="951">
        <v>0</v>
      </c>
      <c r="J758" s="947" t="s">
        <v>251</v>
      </c>
      <c r="K758" s="947">
        <v>310458</v>
      </c>
      <c r="M758" s="631"/>
      <c r="P758" s="950" t="str">
        <f>VLOOKUP(J758,'רשימת רשויות'!A:A,1,0)</f>
        <v>חיפה</v>
      </c>
      <c r="Q758" s="956">
        <f>IFERROR(VLOOKUP(B758,[2]מעובד!$D:$K,8,0),0)</f>
        <v>150</v>
      </c>
      <c r="R758" s="956">
        <f>IFERROR(VLOOKUP(B758,[2]מעובד!$D:$L,9,0),0)</f>
        <v>53</v>
      </c>
    </row>
    <row r="759" spans="1:18" x14ac:dyDescent="0.2">
      <c r="A759" s="947" t="s">
        <v>251</v>
      </c>
      <c r="B759" s="947">
        <v>310466</v>
      </c>
      <c r="C759" s="947" t="s">
        <v>2189</v>
      </c>
      <c r="D759" s="947" t="s">
        <v>550</v>
      </c>
      <c r="E759" s="951">
        <v>113</v>
      </c>
      <c r="F759" s="951">
        <v>70</v>
      </c>
      <c r="G759" s="947" t="s">
        <v>159</v>
      </c>
      <c r="H759" s="951">
        <v>87</v>
      </c>
      <c r="I759" s="951">
        <v>34</v>
      </c>
      <c r="J759" s="947" t="s">
        <v>251</v>
      </c>
      <c r="K759" s="947">
        <v>310466</v>
      </c>
      <c r="M759" s="631"/>
      <c r="P759" s="950" t="str">
        <f>VLOOKUP(J759,'רשימת רשויות'!A:A,1,0)</f>
        <v>חיפה</v>
      </c>
      <c r="Q759" s="956">
        <f>IFERROR(VLOOKUP(B759,[2]מעובד!$D:$K,8,0),0)</f>
        <v>112</v>
      </c>
      <c r="R759" s="956">
        <f>IFERROR(VLOOKUP(B759,[2]מעובד!$D:$L,9,0),0)</f>
        <v>65</v>
      </c>
    </row>
    <row r="760" spans="1:18" x14ac:dyDescent="0.2">
      <c r="A760" s="947" t="s">
        <v>251</v>
      </c>
      <c r="B760" s="947">
        <v>310474</v>
      </c>
      <c r="C760" s="947" t="s">
        <v>2189</v>
      </c>
      <c r="D760" s="947" t="s">
        <v>551</v>
      </c>
      <c r="E760" s="951">
        <v>227</v>
      </c>
      <c r="F760" s="951">
        <v>183</v>
      </c>
      <c r="G760" s="947" t="s">
        <v>159</v>
      </c>
      <c r="H760" s="951">
        <v>0</v>
      </c>
      <c r="I760" s="951">
        <v>0</v>
      </c>
      <c r="J760" s="947" t="s">
        <v>251</v>
      </c>
      <c r="K760" s="947">
        <v>310474</v>
      </c>
      <c r="M760" s="631"/>
      <c r="P760" s="950" t="str">
        <f>VLOOKUP(J760,'רשימת רשויות'!A:A,1,0)</f>
        <v>חיפה</v>
      </c>
      <c r="Q760" s="956">
        <f>IFERROR(VLOOKUP(B760,[2]מעובד!$D:$K,8,0),0)</f>
        <v>161</v>
      </c>
      <c r="R760" s="956">
        <f>IFERROR(VLOOKUP(B760,[2]מעובד!$D:$L,9,0),0)</f>
        <v>73</v>
      </c>
    </row>
    <row r="761" spans="1:18" x14ac:dyDescent="0.2">
      <c r="A761" s="947" t="s">
        <v>251</v>
      </c>
      <c r="B761" s="947">
        <v>310482</v>
      </c>
      <c r="C761" s="947" t="s">
        <v>2189</v>
      </c>
      <c r="D761" s="947" t="s">
        <v>552</v>
      </c>
      <c r="E761" s="951">
        <v>78</v>
      </c>
      <c r="F761" s="951">
        <v>69</v>
      </c>
      <c r="G761" s="947" t="s">
        <v>159</v>
      </c>
      <c r="H761" s="951">
        <v>0</v>
      </c>
      <c r="I761" s="951">
        <v>0</v>
      </c>
      <c r="J761" s="947" t="s">
        <v>251</v>
      </c>
      <c r="K761" s="947">
        <v>310482</v>
      </c>
      <c r="M761" s="631"/>
      <c r="P761" s="950" t="str">
        <f>VLOOKUP(J761,'רשימת רשויות'!A:A,1,0)</f>
        <v>חיפה</v>
      </c>
      <c r="Q761" s="956">
        <f>IFERROR(VLOOKUP(B761,[2]מעובד!$D:$K,8,0),0)</f>
        <v>119</v>
      </c>
      <c r="R761" s="956">
        <f>IFERROR(VLOOKUP(B761,[2]מעובד!$D:$L,9,0),0)</f>
        <v>43</v>
      </c>
    </row>
    <row r="762" spans="1:18" x14ac:dyDescent="0.2">
      <c r="A762" s="947" t="s">
        <v>251</v>
      </c>
      <c r="B762" s="947">
        <v>310490</v>
      </c>
      <c r="C762" s="947" t="s">
        <v>2189</v>
      </c>
      <c r="D762" s="947" t="s">
        <v>505</v>
      </c>
      <c r="E762" s="951">
        <v>187</v>
      </c>
      <c r="F762" s="951">
        <v>170</v>
      </c>
      <c r="G762" s="947" t="s">
        <v>159</v>
      </c>
      <c r="H762" s="951">
        <v>0</v>
      </c>
      <c r="I762" s="951">
        <v>0</v>
      </c>
      <c r="J762" s="947" t="s">
        <v>251</v>
      </c>
      <c r="K762" s="947">
        <v>310490</v>
      </c>
      <c r="M762" s="631"/>
      <c r="P762" s="950" t="str">
        <f>VLOOKUP(J762,'רשימת רשויות'!A:A,1,0)</f>
        <v>חיפה</v>
      </c>
      <c r="Q762" s="956">
        <f>IFERROR(VLOOKUP(B762,[2]מעובד!$D:$K,8,0),0)</f>
        <v>148</v>
      </c>
      <c r="R762" s="956">
        <f>IFERROR(VLOOKUP(B762,[2]מעובד!$D:$L,9,0),0)</f>
        <v>46</v>
      </c>
    </row>
    <row r="763" spans="1:18" x14ac:dyDescent="0.2">
      <c r="A763" s="947" t="s">
        <v>251</v>
      </c>
      <c r="B763" s="947">
        <v>310516</v>
      </c>
      <c r="C763" s="947" t="s">
        <v>2189</v>
      </c>
      <c r="D763" s="947" t="s">
        <v>558</v>
      </c>
      <c r="E763" s="951">
        <v>316</v>
      </c>
      <c r="F763" s="951">
        <v>316</v>
      </c>
      <c r="G763" s="947" t="s">
        <v>3252</v>
      </c>
      <c r="H763" s="951">
        <v>0</v>
      </c>
      <c r="I763" s="951">
        <v>0</v>
      </c>
      <c r="J763" s="947" t="s">
        <v>251</v>
      </c>
      <c r="K763" s="947">
        <v>310516</v>
      </c>
      <c r="M763" s="631"/>
      <c r="P763" s="950" t="str">
        <f>VLOOKUP(J763,'רשימת רשויות'!A:A,1,0)</f>
        <v>חיפה</v>
      </c>
      <c r="Q763" s="956">
        <f>IFERROR(VLOOKUP(B763,[2]מעובד!$D:$K,8,0),0)</f>
        <v>0</v>
      </c>
      <c r="R763" s="956">
        <f>IFERROR(VLOOKUP(B763,[2]מעובד!$D:$L,9,0),0)</f>
        <v>0</v>
      </c>
    </row>
    <row r="764" spans="1:18" x14ac:dyDescent="0.2">
      <c r="A764" s="947" t="s">
        <v>251</v>
      </c>
      <c r="B764" s="947">
        <v>310524</v>
      </c>
      <c r="C764" s="947" t="s">
        <v>2189</v>
      </c>
      <c r="D764" s="947" t="s">
        <v>559</v>
      </c>
      <c r="E764" s="951">
        <v>339</v>
      </c>
      <c r="F764" s="951">
        <v>327</v>
      </c>
      <c r="G764" s="947" t="s">
        <v>159</v>
      </c>
      <c r="H764" s="951">
        <v>146</v>
      </c>
      <c r="I764" s="951">
        <v>12</v>
      </c>
      <c r="J764" s="947" t="s">
        <v>251</v>
      </c>
      <c r="K764" s="947">
        <v>310524</v>
      </c>
      <c r="M764" s="631"/>
      <c r="P764" s="950" t="str">
        <f>VLOOKUP(J764,'רשימת רשויות'!A:A,1,0)</f>
        <v>חיפה</v>
      </c>
      <c r="Q764" s="956">
        <f>IFERROR(VLOOKUP(B764,[2]מעובד!$D:$K,8,0),0)</f>
        <v>350</v>
      </c>
      <c r="R764" s="956">
        <f>IFERROR(VLOOKUP(B764,[2]מעובד!$D:$L,9,0),0)</f>
        <v>104</v>
      </c>
    </row>
    <row r="765" spans="1:18" x14ac:dyDescent="0.2">
      <c r="A765" s="947" t="s">
        <v>251</v>
      </c>
      <c r="B765" s="947">
        <v>310557</v>
      </c>
      <c r="C765" s="947" t="s">
        <v>2189</v>
      </c>
      <c r="D765" s="947" t="s">
        <v>560</v>
      </c>
      <c r="E765" s="951">
        <v>111</v>
      </c>
      <c r="F765" s="951">
        <v>85</v>
      </c>
      <c r="G765" s="947" t="s">
        <v>159</v>
      </c>
      <c r="H765" s="951">
        <v>0</v>
      </c>
      <c r="I765" s="951">
        <v>0</v>
      </c>
      <c r="J765" s="947" t="s">
        <v>251</v>
      </c>
      <c r="K765" s="947">
        <v>310557</v>
      </c>
      <c r="M765" s="631"/>
      <c r="P765" s="950" t="str">
        <f>VLOOKUP(J765,'רשימת רשויות'!A:A,1,0)</f>
        <v>חיפה</v>
      </c>
      <c r="Q765" s="956">
        <f>IFERROR(VLOOKUP(B765,[2]מעובד!$D:$K,8,0),0)</f>
        <v>138</v>
      </c>
      <c r="R765" s="956">
        <f>IFERROR(VLOOKUP(B765,[2]מעובד!$D:$L,9,0),0)</f>
        <v>101</v>
      </c>
    </row>
    <row r="766" spans="1:18" x14ac:dyDescent="0.2">
      <c r="A766" s="947" t="s">
        <v>251</v>
      </c>
      <c r="B766" s="947">
        <v>310565</v>
      </c>
      <c r="C766" s="947" t="s">
        <v>2189</v>
      </c>
      <c r="D766" s="947" t="s">
        <v>561</v>
      </c>
      <c r="E766" s="951">
        <v>58</v>
      </c>
      <c r="F766" s="951">
        <v>57</v>
      </c>
      <c r="G766" s="947" t="s">
        <v>159</v>
      </c>
      <c r="H766" s="951">
        <v>0</v>
      </c>
      <c r="I766" s="951">
        <v>0</v>
      </c>
      <c r="J766" s="947" t="s">
        <v>251</v>
      </c>
      <c r="K766" s="947">
        <v>310565</v>
      </c>
      <c r="M766" s="631"/>
      <c r="P766" s="950" t="str">
        <f>VLOOKUP(J766,'רשימת רשויות'!A:A,1,0)</f>
        <v>חיפה</v>
      </c>
      <c r="Q766" s="956">
        <f>IFERROR(VLOOKUP(B766,[2]מעובד!$D:$K,8,0),0)</f>
        <v>74</v>
      </c>
      <c r="R766" s="956">
        <f>IFERROR(VLOOKUP(B766,[2]מעובד!$D:$L,9,0),0)</f>
        <v>26</v>
      </c>
    </row>
    <row r="767" spans="1:18" x14ac:dyDescent="0.2">
      <c r="A767" s="947" t="s">
        <v>251</v>
      </c>
      <c r="B767" s="947">
        <v>310607</v>
      </c>
      <c r="C767" s="947" t="s">
        <v>2189</v>
      </c>
      <c r="D767" s="947" t="s">
        <v>570</v>
      </c>
      <c r="E767" s="951">
        <v>148</v>
      </c>
      <c r="F767" s="951">
        <v>125</v>
      </c>
      <c r="G767" s="947" t="s">
        <v>159</v>
      </c>
      <c r="H767" s="951">
        <v>102</v>
      </c>
      <c r="I767" s="951">
        <v>22</v>
      </c>
      <c r="J767" s="947" t="s">
        <v>251</v>
      </c>
      <c r="K767" s="947">
        <v>310607</v>
      </c>
      <c r="M767" s="631"/>
      <c r="P767" s="950" t="str">
        <f>VLOOKUP(J767,'רשימת רשויות'!A:A,1,0)</f>
        <v>חיפה</v>
      </c>
      <c r="Q767" s="956">
        <f>IFERROR(VLOOKUP(B767,[2]מעובד!$D:$K,8,0),0)</f>
        <v>152</v>
      </c>
      <c r="R767" s="956">
        <f>IFERROR(VLOOKUP(B767,[2]מעובד!$D:$L,9,0),0)</f>
        <v>36</v>
      </c>
    </row>
    <row r="768" spans="1:18" x14ac:dyDescent="0.2">
      <c r="A768" s="947" t="s">
        <v>251</v>
      </c>
      <c r="B768" s="947">
        <v>310623</v>
      </c>
      <c r="C768" s="947" t="s">
        <v>2189</v>
      </c>
      <c r="D768" s="947" t="s">
        <v>571</v>
      </c>
      <c r="E768" s="951">
        <v>311</v>
      </c>
      <c r="F768" s="951">
        <v>271</v>
      </c>
      <c r="G768" s="947" t="s">
        <v>159</v>
      </c>
      <c r="H768" s="951">
        <v>214</v>
      </c>
      <c r="I768" s="951">
        <v>22</v>
      </c>
      <c r="J768" s="947" t="s">
        <v>251</v>
      </c>
      <c r="K768" s="947">
        <v>310623</v>
      </c>
      <c r="M768" s="631"/>
      <c r="P768" s="950" t="str">
        <f>VLOOKUP(J768,'רשימת רשויות'!A:A,1,0)</f>
        <v>חיפה</v>
      </c>
      <c r="Q768" s="956">
        <f>IFERROR(VLOOKUP(B768,[2]מעובד!$D:$K,8,0),0)</f>
        <v>348</v>
      </c>
      <c r="R768" s="956">
        <f>IFERROR(VLOOKUP(B768,[2]מעובד!$D:$L,9,0),0)</f>
        <v>137</v>
      </c>
    </row>
    <row r="769" spans="1:18" x14ac:dyDescent="0.2">
      <c r="A769" s="947" t="s">
        <v>251</v>
      </c>
      <c r="B769" s="947">
        <v>310672</v>
      </c>
      <c r="C769" s="947" t="s">
        <v>2189</v>
      </c>
      <c r="D769" s="947" t="s">
        <v>572</v>
      </c>
      <c r="E769" s="951">
        <v>49</v>
      </c>
      <c r="F769" s="951">
        <v>39</v>
      </c>
      <c r="G769" s="947" t="s">
        <v>159</v>
      </c>
      <c r="H769" s="951">
        <v>22</v>
      </c>
      <c r="I769" s="951">
        <v>10</v>
      </c>
      <c r="J769" s="947" t="s">
        <v>251</v>
      </c>
      <c r="K769" s="947">
        <v>310672</v>
      </c>
      <c r="M769" s="631"/>
      <c r="P769" s="950" t="str">
        <f>VLOOKUP(J769,'רשימת רשויות'!A:A,1,0)</f>
        <v>חיפה</v>
      </c>
      <c r="Q769" s="956">
        <f>IFERROR(VLOOKUP(B769,[2]מעובד!$D:$K,8,0),0)</f>
        <v>43</v>
      </c>
      <c r="R769" s="956">
        <f>IFERROR(VLOOKUP(B769,[2]מעובד!$D:$L,9,0),0)</f>
        <v>36</v>
      </c>
    </row>
    <row r="770" spans="1:18" x14ac:dyDescent="0.2">
      <c r="A770" s="947" t="s">
        <v>251</v>
      </c>
      <c r="B770" s="947">
        <v>310698</v>
      </c>
      <c r="C770" s="947" t="s">
        <v>2189</v>
      </c>
      <c r="D770" s="947" t="s">
        <v>574</v>
      </c>
      <c r="E770" s="951">
        <v>154</v>
      </c>
      <c r="F770" s="951">
        <v>103</v>
      </c>
      <c r="G770" s="947" t="s">
        <v>159</v>
      </c>
      <c r="H770" s="951">
        <v>0</v>
      </c>
      <c r="I770" s="951">
        <v>0</v>
      </c>
      <c r="J770" s="947" t="s">
        <v>251</v>
      </c>
      <c r="K770" s="947">
        <v>310698</v>
      </c>
      <c r="M770" s="631"/>
      <c r="P770" s="950" t="str">
        <f>VLOOKUP(J770,'רשימת רשויות'!A:A,1,0)</f>
        <v>חיפה</v>
      </c>
      <c r="Q770" s="956">
        <f>IFERROR(VLOOKUP(B770,[2]מעובד!$D:$K,8,0),0)</f>
        <v>103</v>
      </c>
      <c r="R770" s="956">
        <f>IFERROR(VLOOKUP(B770,[2]מעובד!$D:$L,9,0),0)</f>
        <v>36</v>
      </c>
    </row>
    <row r="771" spans="1:18" x14ac:dyDescent="0.2">
      <c r="A771" s="947" t="s">
        <v>251</v>
      </c>
      <c r="B771" s="947">
        <v>310706</v>
      </c>
      <c r="C771" s="947" t="s">
        <v>2189</v>
      </c>
      <c r="D771" s="947" t="s">
        <v>575</v>
      </c>
      <c r="E771" s="951">
        <v>86</v>
      </c>
      <c r="F771" s="951">
        <v>86</v>
      </c>
      <c r="G771" s="947" t="s">
        <v>159</v>
      </c>
      <c r="H771" s="951">
        <v>0</v>
      </c>
      <c r="I771" s="951">
        <v>0</v>
      </c>
      <c r="J771" s="947" t="s">
        <v>251</v>
      </c>
      <c r="K771" s="947">
        <v>310706</v>
      </c>
      <c r="M771" s="631"/>
      <c r="P771" s="950" t="str">
        <f>VLOOKUP(J771,'רשימת רשויות'!A:A,1,0)</f>
        <v>חיפה</v>
      </c>
      <c r="Q771" s="956">
        <f>IFERROR(VLOOKUP(B771,[2]מעובד!$D:$K,8,0),0)</f>
        <v>76</v>
      </c>
      <c r="R771" s="956">
        <f>IFERROR(VLOOKUP(B771,[2]מעובד!$D:$L,9,0),0)</f>
        <v>39</v>
      </c>
    </row>
    <row r="772" spans="1:18" x14ac:dyDescent="0.2">
      <c r="A772" s="947" t="s">
        <v>251</v>
      </c>
      <c r="B772" s="947">
        <v>310755</v>
      </c>
      <c r="C772" s="947" t="s">
        <v>2189</v>
      </c>
      <c r="D772" s="947" t="s">
        <v>576</v>
      </c>
      <c r="E772" s="951">
        <v>105</v>
      </c>
      <c r="F772" s="951">
        <v>86</v>
      </c>
      <c r="G772" s="947" t="s">
        <v>159</v>
      </c>
      <c r="H772" s="951">
        <v>35</v>
      </c>
      <c r="I772" s="951">
        <v>12</v>
      </c>
      <c r="J772" s="947" t="s">
        <v>251</v>
      </c>
      <c r="K772" s="947">
        <v>310755</v>
      </c>
      <c r="M772" s="631"/>
      <c r="P772" s="950" t="str">
        <f>VLOOKUP(J772,'רשימת רשויות'!A:A,1,0)</f>
        <v>חיפה</v>
      </c>
      <c r="Q772" s="956">
        <f>IFERROR(VLOOKUP(B772,[2]מעובד!$D:$K,8,0),0)</f>
        <v>141</v>
      </c>
      <c r="R772" s="956">
        <f>IFERROR(VLOOKUP(B772,[2]מעובד!$D:$L,9,0),0)</f>
        <v>13</v>
      </c>
    </row>
    <row r="773" spans="1:18" x14ac:dyDescent="0.2">
      <c r="A773" s="947" t="s">
        <v>251</v>
      </c>
      <c r="B773" s="947">
        <v>310771</v>
      </c>
      <c r="C773" s="947" t="s">
        <v>2189</v>
      </c>
      <c r="D773" s="947" t="s">
        <v>577</v>
      </c>
      <c r="E773" s="951">
        <v>94</v>
      </c>
      <c r="F773" s="951">
        <v>66</v>
      </c>
      <c r="G773" s="947" t="s">
        <v>159</v>
      </c>
      <c r="H773" s="951">
        <v>36</v>
      </c>
      <c r="I773" s="951">
        <v>10</v>
      </c>
      <c r="J773" s="947" t="s">
        <v>251</v>
      </c>
      <c r="K773" s="947">
        <v>310771</v>
      </c>
      <c r="M773" s="631"/>
      <c r="P773" s="950" t="str">
        <f>VLOOKUP(J773,'רשימת רשויות'!A:A,1,0)</f>
        <v>חיפה</v>
      </c>
      <c r="Q773" s="956">
        <f>IFERROR(VLOOKUP(B773,[2]מעובד!$D:$K,8,0),0)</f>
        <v>67</v>
      </c>
      <c r="R773" s="956">
        <f>IFERROR(VLOOKUP(B773,[2]מעובד!$D:$L,9,0),0)</f>
        <v>40</v>
      </c>
    </row>
    <row r="774" spans="1:18" x14ac:dyDescent="0.2">
      <c r="A774" s="947" t="s">
        <v>251</v>
      </c>
      <c r="B774" s="947">
        <v>310789</v>
      </c>
      <c r="C774" s="947" t="s">
        <v>2189</v>
      </c>
      <c r="D774" s="947" t="s">
        <v>653</v>
      </c>
      <c r="E774" s="951">
        <v>197</v>
      </c>
      <c r="F774" s="951">
        <v>140</v>
      </c>
      <c r="G774" s="947" t="s">
        <v>159</v>
      </c>
      <c r="H774" s="951">
        <v>197</v>
      </c>
      <c r="I774" s="951">
        <v>56</v>
      </c>
      <c r="J774" s="947" t="s">
        <v>251</v>
      </c>
      <c r="K774" s="947">
        <v>310789</v>
      </c>
      <c r="M774" s="631"/>
      <c r="P774" s="950" t="str">
        <f>VLOOKUP(J774,'רשימת רשויות'!A:A,1,0)</f>
        <v>חיפה</v>
      </c>
      <c r="Q774" s="956">
        <f>IFERROR(VLOOKUP(B774,[2]מעובד!$D:$K,8,0),0)</f>
        <v>189</v>
      </c>
      <c r="R774" s="956">
        <f>IFERROR(VLOOKUP(B774,[2]מעובד!$D:$L,9,0),0)</f>
        <v>74</v>
      </c>
    </row>
    <row r="775" spans="1:18" x14ac:dyDescent="0.2">
      <c r="A775" s="947" t="s">
        <v>251</v>
      </c>
      <c r="B775" s="947">
        <v>310797</v>
      </c>
      <c r="C775" s="947" t="s">
        <v>2189</v>
      </c>
      <c r="D775" s="947" t="s">
        <v>579</v>
      </c>
      <c r="E775" s="951">
        <v>168</v>
      </c>
      <c r="F775" s="951">
        <v>168</v>
      </c>
      <c r="G775" s="947" t="s">
        <v>159</v>
      </c>
      <c r="H775" s="951">
        <v>0</v>
      </c>
      <c r="I775" s="951">
        <v>0</v>
      </c>
      <c r="J775" s="947" t="s">
        <v>251</v>
      </c>
      <c r="K775" s="947">
        <v>310797</v>
      </c>
      <c r="M775" s="631"/>
      <c r="P775" s="950" t="str">
        <f>VLOOKUP(J775,'רשימת רשויות'!A:A,1,0)</f>
        <v>חיפה</v>
      </c>
      <c r="Q775" s="956">
        <f>IFERROR(VLOOKUP(B775,[2]מעובד!$D:$K,8,0),0)</f>
        <v>170</v>
      </c>
      <c r="R775" s="956">
        <f>IFERROR(VLOOKUP(B775,[2]מעובד!$D:$L,9,0),0)</f>
        <v>145</v>
      </c>
    </row>
    <row r="776" spans="1:18" x14ac:dyDescent="0.2">
      <c r="A776" s="947" t="s">
        <v>251</v>
      </c>
      <c r="B776" s="947">
        <v>310847</v>
      </c>
      <c r="C776" s="947" t="s">
        <v>2189</v>
      </c>
      <c r="D776" s="947" t="s">
        <v>580</v>
      </c>
      <c r="E776" s="951">
        <v>92</v>
      </c>
      <c r="F776" s="951">
        <v>82</v>
      </c>
      <c r="G776" s="947" t="s">
        <v>159</v>
      </c>
      <c r="H776" s="951">
        <v>35</v>
      </c>
      <c r="I776" s="951">
        <v>10</v>
      </c>
      <c r="J776" s="947" t="s">
        <v>251</v>
      </c>
      <c r="K776" s="947">
        <v>310847</v>
      </c>
      <c r="M776" s="631"/>
      <c r="P776" s="950" t="str">
        <f>VLOOKUP(J776,'רשימת רשויות'!A:A,1,0)</f>
        <v>חיפה</v>
      </c>
      <c r="Q776" s="956">
        <f>IFERROR(VLOOKUP(B776,[2]מעובד!$D:$K,8,0),0)</f>
        <v>82</v>
      </c>
      <c r="R776" s="956">
        <f>IFERROR(VLOOKUP(B776,[2]מעובד!$D:$L,9,0),0)</f>
        <v>44</v>
      </c>
    </row>
    <row r="777" spans="1:18" x14ac:dyDescent="0.2">
      <c r="A777" s="947" t="s">
        <v>251</v>
      </c>
      <c r="B777" s="947">
        <v>310854</v>
      </c>
      <c r="C777" s="947" t="s">
        <v>2189</v>
      </c>
      <c r="D777" s="947" t="s">
        <v>581</v>
      </c>
      <c r="E777" s="951">
        <v>200</v>
      </c>
      <c r="F777" s="951">
        <v>200</v>
      </c>
      <c r="G777" s="947" t="s">
        <v>159</v>
      </c>
      <c r="H777" s="951">
        <v>0</v>
      </c>
      <c r="I777" s="951">
        <v>0</v>
      </c>
      <c r="J777" s="947" t="s">
        <v>251</v>
      </c>
      <c r="K777" s="947">
        <v>310854</v>
      </c>
      <c r="M777" s="631"/>
      <c r="P777" s="950" t="str">
        <f>VLOOKUP(J777,'רשימת רשויות'!A:A,1,0)</f>
        <v>חיפה</v>
      </c>
      <c r="Q777" s="956">
        <f>IFERROR(VLOOKUP(B777,[2]מעובד!$D:$K,8,0),0)</f>
        <v>164</v>
      </c>
      <c r="R777" s="956">
        <f>IFERROR(VLOOKUP(B777,[2]מעובד!$D:$L,9,0),0)</f>
        <v>52</v>
      </c>
    </row>
    <row r="778" spans="1:18" x14ac:dyDescent="0.2">
      <c r="A778" s="947" t="s">
        <v>251</v>
      </c>
      <c r="B778" s="947">
        <v>310870</v>
      </c>
      <c r="C778" s="947" t="s">
        <v>2189</v>
      </c>
      <c r="D778" s="947" t="s">
        <v>582</v>
      </c>
      <c r="E778" s="951">
        <v>205</v>
      </c>
      <c r="F778" s="951">
        <v>205</v>
      </c>
      <c r="G778" s="947" t="s">
        <v>159</v>
      </c>
      <c r="H778" s="951">
        <v>0</v>
      </c>
      <c r="I778" s="951">
        <v>0</v>
      </c>
      <c r="J778" s="947" t="s">
        <v>251</v>
      </c>
      <c r="K778" s="947">
        <v>310870</v>
      </c>
      <c r="M778" s="631"/>
      <c r="P778" s="950" t="str">
        <f>VLOOKUP(J778,'רשימת רשויות'!A:A,1,0)</f>
        <v>חיפה</v>
      </c>
      <c r="Q778" s="956">
        <f>IFERROR(VLOOKUP(B778,[2]מעובד!$D:$K,8,0),0)</f>
        <v>187</v>
      </c>
      <c r="R778" s="956">
        <f>IFERROR(VLOOKUP(B778,[2]מעובד!$D:$L,9,0),0)</f>
        <v>51</v>
      </c>
    </row>
    <row r="779" spans="1:18" x14ac:dyDescent="0.2">
      <c r="A779" s="947" t="s">
        <v>259</v>
      </c>
      <c r="B779" s="947">
        <v>310896</v>
      </c>
      <c r="C779" s="947" t="s">
        <v>2189</v>
      </c>
      <c r="D779" s="947" t="s">
        <v>583</v>
      </c>
      <c r="E779" s="951">
        <v>184</v>
      </c>
      <c r="F779" s="951">
        <v>77</v>
      </c>
      <c r="G779" s="947" t="s">
        <v>159</v>
      </c>
      <c r="H779" s="951">
        <v>120</v>
      </c>
      <c r="I779" s="951">
        <v>7</v>
      </c>
      <c r="J779" s="947" t="s">
        <v>259</v>
      </c>
      <c r="K779" s="947">
        <v>310896</v>
      </c>
      <c r="M779" s="631"/>
      <c r="P779" s="950" t="str">
        <f>VLOOKUP(J779,'רשימת רשויות'!A:A,1,0)</f>
        <v>טירת כרמל</v>
      </c>
      <c r="Q779" s="956">
        <f>IFERROR(VLOOKUP(B779,[2]מעובד!$D:$K,8,0),0)</f>
        <v>155</v>
      </c>
      <c r="R779" s="956">
        <f>IFERROR(VLOOKUP(B779,[2]מעובד!$D:$L,9,0),0)</f>
        <v>98</v>
      </c>
    </row>
    <row r="780" spans="1:18" x14ac:dyDescent="0.2">
      <c r="A780" s="947" t="s">
        <v>259</v>
      </c>
      <c r="B780" s="947">
        <v>310904</v>
      </c>
      <c r="C780" s="947" t="s">
        <v>2189</v>
      </c>
      <c r="D780" s="947" t="s">
        <v>588</v>
      </c>
      <c r="E780" s="951">
        <v>191</v>
      </c>
      <c r="F780" s="951">
        <v>120</v>
      </c>
      <c r="G780" s="947" t="s">
        <v>159</v>
      </c>
      <c r="H780" s="951">
        <v>131</v>
      </c>
      <c r="I780" s="951">
        <v>14</v>
      </c>
      <c r="J780" s="947" t="s">
        <v>259</v>
      </c>
      <c r="K780" s="957" t="s">
        <v>3273</v>
      </c>
      <c r="M780" s="631"/>
      <c r="P780" s="950" t="str">
        <f>VLOOKUP(J780,'רשימת רשויות'!A:A,1,0)</f>
        <v>טירת כרמל</v>
      </c>
      <c r="Q780" s="956">
        <f>IFERROR(VLOOKUP(B780,[2]מעובד!$D:$K,8,0),0)</f>
        <v>70</v>
      </c>
      <c r="R780" s="956">
        <f>IFERROR(VLOOKUP(B780,[2]מעובד!$D:$L,9,0),0)</f>
        <v>40</v>
      </c>
    </row>
    <row r="781" spans="1:18" x14ac:dyDescent="0.2">
      <c r="A781" s="947" t="s">
        <v>371</v>
      </c>
      <c r="B781" s="947">
        <v>310979</v>
      </c>
      <c r="C781" s="947" t="s">
        <v>2189</v>
      </c>
      <c r="D781" s="947" t="s">
        <v>457</v>
      </c>
      <c r="E781" s="951">
        <v>239</v>
      </c>
      <c r="F781" s="951">
        <v>67</v>
      </c>
      <c r="G781" s="947" t="s">
        <v>159</v>
      </c>
      <c r="H781" s="951">
        <v>169</v>
      </c>
      <c r="I781" s="951">
        <v>5</v>
      </c>
      <c r="J781" s="947" t="s">
        <v>371</v>
      </c>
      <c r="K781" s="947">
        <v>310979</v>
      </c>
      <c r="M781" s="631"/>
      <c r="P781" s="950" t="str">
        <f>VLOOKUP(J781,'רשימת רשויות'!A:A,1,0)</f>
        <v>קרית אתא</v>
      </c>
      <c r="Q781" s="956">
        <f>IFERROR(VLOOKUP(B781,[2]מעובד!$D:$K,8,0),0)</f>
        <v>250</v>
      </c>
      <c r="R781" s="956">
        <f>IFERROR(VLOOKUP(B781,[2]מעובד!$D:$L,9,0),0)</f>
        <v>81</v>
      </c>
    </row>
    <row r="782" spans="1:18" x14ac:dyDescent="0.2">
      <c r="A782" s="947" t="s">
        <v>371</v>
      </c>
      <c r="B782" s="947">
        <v>311001</v>
      </c>
      <c r="C782" s="947" t="s">
        <v>2189</v>
      </c>
      <c r="D782" s="947" t="s">
        <v>602</v>
      </c>
      <c r="E782" s="951">
        <v>159</v>
      </c>
      <c r="F782" s="951">
        <v>62</v>
      </c>
      <c r="G782" s="947" t="s">
        <v>159</v>
      </c>
      <c r="H782" s="951">
        <v>112</v>
      </c>
      <c r="I782" s="951">
        <v>0</v>
      </c>
      <c r="J782" s="947" t="s">
        <v>371</v>
      </c>
      <c r="K782" s="947">
        <v>311001</v>
      </c>
      <c r="M782" s="631"/>
      <c r="P782" s="950" t="str">
        <f>VLOOKUP(J782,'רשימת רשויות'!A:A,1,0)</f>
        <v>קרית אתא</v>
      </c>
      <c r="Q782" s="956">
        <f>IFERROR(VLOOKUP(B782,[2]מעובד!$D:$K,8,0),0)</f>
        <v>162</v>
      </c>
      <c r="R782" s="956">
        <f>IFERROR(VLOOKUP(B782,[2]מעובד!$D:$L,9,0),0)</f>
        <v>62</v>
      </c>
    </row>
    <row r="783" spans="1:18" x14ac:dyDescent="0.2">
      <c r="A783" s="947" t="s">
        <v>371</v>
      </c>
      <c r="B783" s="947">
        <v>311027</v>
      </c>
      <c r="C783" s="947" t="s">
        <v>2189</v>
      </c>
      <c r="D783" s="947" t="s">
        <v>262</v>
      </c>
      <c r="E783" s="951">
        <v>279</v>
      </c>
      <c r="F783" s="951">
        <v>113</v>
      </c>
      <c r="G783" s="947" t="s">
        <v>159</v>
      </c>
      <c r="H783" s="951">
        <v>84</v>
      </c>
      <c r="I783" s="951">
        <v>5</v>
      </c>
      <c r="J783" s="947" t="s">
        <v>371</v>
      </c>
      <c r="K783" s="947">
        <v>311027</v>
      </c>
      <c r="M783" s="631"/>
      <c r="P783" s="950" t="str">
        <f>VLOOKUP(J783,'רשימת רשויות'!A:A,1,0)</f>
        <v>קרית אתא</v>
      </c>
      <c r="Q783" s="956">
        <f>IFERROR(VLOOKUP(B783,[2]מעובד!$D:$K,8,0),0)</f>
        <v>248</v>
      </c>
      <c r="R783" s="956">
        <f>IFERROR(VLOOKUP(B783,[2]מעובד!$D:$L,9,0),0)</f>
        <v>89</v>
      </c>
    </row>
    <row r="784" spans="1:18" x14ac:dyDescent="0.2">
      <c r="A784" s="947" t="s">
        <v>236</v>
      </c>
      <c r="B784" s="947">
        <v>311035</v>
      </c>
      <c r="C784" s="947" t="s">
        <v>2189</v>
      </c>
      <c r="D784" s="947" t="s">
        <v>2989</v>
      </c>
      <c r="E784" s="951">
        <v>349</v>
      </c>
      <c r="F784" s="951">
        <v>323</v>
      </c>
      <c r="G784" s="947" t="s">
        <v>159</v>
      </c>
      <c r="H784" s="951">
        <v>121</v>
      </c>
      <c r="I784" s="951">
        <v>2</v>
      </c>
      <c r="J784" s="947" t="s">
        <v>236</v>
      </c>
      <c r="K784" s="947">
        <v>311035</v>
      </c>
      <c r="M784" s="631"/>
      <c r="P784" s="950" t="str">
        <f>VLOOKUP(J784,'רשימת רשויות'!A:A,1,0)</f>
        <v>זבולון</v>
      </c>
      <c r="Q784" s="956">
        <f>IFERROR(VLOOKUP(B784,[2]מעובד!$D:$K,8,0),0)</f>
        <v>0</v>
      </c>
      <c r="R784" s="956">
        <f>IFERROR(VLOOKUP(B784,[2]מעובד!$D:$L,9,0),0)</f>
        <v>0</v>
      </c>
    </row>
    <row r="785" spans="1:18" x14ac:dyDescent="0.2">
      <c r="A785" s="947" t="s">
        <v>361</v>
      </c>
      <c r="B785" s="947">
        <v>311076</v>
      </c>
      <c r="C785" s="947" t="s">
        <v>2189</v>
      </c>
      <c r="D785" s="947" t="s">
        <v>603</v>
      </c>
      <c r="E785" s="951">
        <v>274</v>
      </c>
      <c r="F785" s="951">
        <v>225</v>
      </c>
      <c r="G785" s="947" t="s">
        <v>159</v>
      </c>
      <c r="H785" s="951">
        <v>90</v>
      </c>
      <c r="I785" s="951">
        <v>12</v>
      </c>
      <c r="J785" s="947" t="s">
        <v>361</v>
      </c>
      <c r="K785" s="947">
        <v>311076</v>
      </c>
      <c r="M785" s="631"/>
      <c r="P785" s="950" t="str">
        <f>VLOOKUP(J785,'רשימת רשויות'!A:A,1,0)</f>
        <v>פרדס חנה-כרכור</v>
      </c>
      <c r="Q785" s="956">
        <f>IFERROR(VLOOKUP(B785,[2]מעובד!$D:$K,8,0),0)</f>
        <v>219</v>
      </c>
      <c r="R785" s="956">
        <f>IFERROR(VLOOKUP(B785,[2]מעובד!$D:$L,9,0),0)</f>
        <v>165</v>
      </c>
    </row>
    <row r="786" spans="1:18" x14ac:dyDescent="0.2">
      <c r="A786" s="947" t="s">
        <v>361</v>
      </c>
      <c r="B786" s="947">
        <v>311084</v>
      </c>
      <c r="C786" s="947" t="s">
        <v>2189</v>
      </c>
      <c r="D786" s="947" t="s">
        <v>606</v>
      </c>
      <c r="E786" s="951">
        <v>287</v>
      </c>
      <c r="F786" s="951">
        <v>265</v>
      </c>
      <c r="G786" s="947" t="s">
        <v>159</v>
      </c>
      <c r="H786" s="951">
        <v>0</v>
      </c>
      <c r="I786" s="951">
        <v>0</v>
      </c>
      <c r="J786" s="947" t="s">
        <v>361</v>
      </c>
      <c r="K786" s="947">
        <v>311084</v>
      </c>
      <c r="M786" s="631"/>
      <c r="P786" s="950" t="str">
        <f>VLOOKUP(J786,'רשימת רשויות'!A:A,1,0)</f>
        <v>פרדס חנה-כרכור</v>
      </c>
      <c r="Q786" s="956">
        <f>IFERROR(VLOOKUP(B786,[2]מעובד!$D:$K,8,0),0)</f>
        <v>238</v>
      </c>
      <c r="R786" s="956">
        <f>IFERROR(VLOOKUP(B786,[2]מעובד!$D:$L,9,0),0)</f>
        <v>81</v>
      </c>
    </row>
    <row r="787" spans="1:18" x14ac:dyDescent="0.2">
      <c r="A787" s="947" t="s">
        <v>247</v>
      </c>
      <c r="B787" s="947">
        <v>311092</v>
      </c>
      <c r="C787" s="947" t="s">
        <v>2189</v>
      </c>
      <c r="D787" s="947" t="s">
        <v>640</v>
      </c>
      <c r="E787" s="951">
        <v>219</v>
      </c>
      <c r="F787" s="951">
        <v>115</v>
      </c>
      <c r="G787" s="947" t="s">
        <v>159</v>
      </c>
      <c r="H787" s="951">
        <v>72</v>
      </c>
      <c r="I787" s="951">
        <v>6</v>
      </c>
      <c r="J787" s="947" t="s">
        <v>247</v>
      </c>
      <c r="K787" s="947">
        <v>311092</v>
      </c>
      <c r="M787" s="631"/>
      <c r="P787" s="950" t="str">
        <f>VLOOKUP(J787,'רשימת רשויות'!A:A,1,0)</f>
        <v>חוף הכרמל</v>
      </c>
      <c r="Q787" s="956">
        <f>IFERROR(VLOOKUP(B787,[2]מעובד!$D:$K,8,0),0)</f>
        <v>250</v>
      </c>
      <c r="R787" s="956">
        <f>IFERROR(VLOOKUP(B787,[2]מעובד!$D:$L,9,0),0)</f>
        <v>70</v>
      </c>
    </row>
    <row r="788" spans="1:18" x14ac:dyDescent="0.2">
      <c r="A788" s="947" t="s">
        <v>247</v>
      </c>
      <c r="B788" s="947">
        <v>311142</v>
      </c>
      <c r="C788" s="947" t="s">
        <v>2189</v>
      </c>
      <c r="D788" s="947" t="s">
        <v>648</v>
      </c>
      <c r="E788" s="951">
        <v>273</v>
      </c>
      <c r="F788" s="951">
        <v>96</v>
      </c>
      <c r="G788" s="947" t="s">
        <v>159</v>
      </c>
      <c r="H788" s="951">
        <v>0</v>
      </c>
      <c r="I788" s="951">
        <v>0</v>
      </c>
      <c r="J788" s="947" t="s">
        <v>247</v>
      </c>
      <c r="K788" s="947">
        <v>311142</v>
      </c>
      <c r="M788" s="631"/>
      <c r="P788" s="950" t="str">
        <f>VLOOKUP(J788,'רשימת רשויות'!A:A,1,0)</f>
        <v>חוף הכרמל</v>
      </c>
      <c r="Q788" s="956">
        <f>IFERROR(VLOOKUP(B788,[2]מעובד!$D:$K,8,0),0)</f>
        <v>0</v>
      </c>
      <c r="R788" s="956">
        <f>IFERROR(VLOOKUP(B788,[2]מעובד!$D:$L,9,0),0)</f>
        <v>0</v>
      </c>
    </row>
    <row r="789" spans="1:18" x14ac:dyDescent="0.2">
      <c r="A789" s="947" t="s">
        <v>247</v>
      </c>
      <c r="B789" s="947">
        <v>311209</v>
      </c>
      <c r="C789" s="947" t="s">
        <v>2189</v>
      </c>
      <c r="D789" s="947" t="s">
        <v>652</v>
      </c>
      <c r="E789" s="951">
        <v>182</v>
      </c>
      <c r="F789" s="951">
        <v>151</v>
      </c>
      <c r="G789" s="947" t="s">
        <v>159</v>
      </c>
      <c r="H789" s="951">
        <v>0</v>
      </c>
      <c r="I789" s="951">
        <v>0</v>
      </c>
      <c r="J789" s="947" t="s">
        <v>247</v>
      </c>
      <c r="K789" s="947">
        <v>311209</v>
      </c>
      <c r="M789" s="631"/>
      <c r="P789" s="950" t="str">
        <f>VLOOKUP(J789,'רשימת רשויות'!A:A,1,0)</f>
        <v>חוף הכרמל</v>
      </c>
      <c r="Q789" s="956">
        <f>IFERROR(VLOOKUP(B789,[2]מעובד!$D:$K,8,0),0)</f>
        <v>138</v>
      </c>
      <c r="R789" s="956">
        <f>IFERROR(VLOOKUP(B789,[2]מעובד!$D:$L,9,0),0)</f>
        <v>66</v>
      </c>
    </row>
    <row r="790" spans="1:18" x14ac:dyDescent="0.2">
      <c r="A790" s="947" t="s">
        <v>334</v>
      </c>
      <c r="B790" s="947">
        <v>311217</v>
      </c>
      <c r="C790" s="947" t="s">
        <v>2189</v>
      </c>
      <c r="D790" s="947" t="s">
        <v>487</v>
      </c>
      <c r="E790" s="951">
        <v>85</v>
      </c>
      <c r="F790" s="951">
        <v>43</v>
      </c>
      <c r="G790" s="947" t="s">
        <v>159</v>
      </c>
      <c r="H790" s="951">
        <v>38</v>
      </c>
      <c r="I790" s="951">
        <v>0</v>
      </c>
      <c r="J790" s="947" t="s">
        <v>334</v>
      </c>
      <c r="K790" s="947">
        <v>311217</v>
      </c>
      <c r="M790" s="631"/>
      <c r="P790" s="950" t="str">
        <f>VLOOKUP(J790,'רשימת רשויות'!A:A,1,0)</f>
        <v>נשר</v>
      </c>
      <c r="Q790" s="956">
        <f>IFERROR(VLOOKUP(B790,[2]מעובד!$D:$K,8,0),0)</f>
        <v>95</v>
      </c>
      <c r="R790" s="956">
        <f>IFERROR(VLOOKUP(B790,[2]מעובד!$D:$L,9,0),0)</f>
        <v>51</v>
      </c>
    </row>
    <row r="791" spans="1:18" x14ac:dyDescent="0.2">
      <c r="A791" s="947" t="s">
        <v>334</v>
      </c>
      <c r="B791" s="947">
        <v>311225</v>
      </c>
      <c r="C791" s="947" t="s">
        <v>2189</v>
      </c>
      <c r="D791" s="947" t="s">
        <v>488</v>
      </c>
      <c r="E791" s="951">
        <v>163</v>
      </c>
      <c r="F791" s="951">
        <v>85</v>
      </c>
      <c r="G791" s="947" t="s">
        <v>159</v>
      </c>
      <c r="H791" s="951">
        <v>111</v>
      </c>
      <c r="I791" s="951">
        <v>6</v>
      </c>
      <c r="J791" s="947" t="s">
        <v>334</v>
      </c>
      <c r="K791" s="947">
        <v>311225</v>
      </c>
      <c r="M791" s="631"/>
      <c r="P791" s="950" t="str">
        <f>VLOOKUP(J791,'רשימת רשויות'!A:A,1,0)</f>
        <v>נשר</v>
      </c>
      <c r="Q791" s="956">
        <f>IFERROR(VLOOKUP(B791,[2]מעובד!$D:$K,8,0),0)</f>
        <v>0</v>
      </c>
      <c r="R791" s="956">
        <f>IFERROR(VLOOKUP(B791,[2]מעובד!$D:$L,9,0),0)</f>
        <v>0</v>
      </c>
    </row>
    <row r="792" spans="1:18" x14ac:dyDescent="0.2">
      <c r="A792" s="947" t="s">
        <v>247</v>
      </c>
      <c r="B792" s="947">
        <v>311290</v>
      </c>
      <c r="C792" s="947" t="s">
        <v>2189</v>
      </c>
      <c r="D792" s="947" t="s">
        <v>645</v>
      </c>
      <c r="E792" s="951">
        <v>210</v>
      </c>
      <c r="F792" s="951">
        <v>100</v>
      </c>
      <c r="G792" s="947" t="s">
        <v>159</v>
      </c>
      <c r="H792" s="951">
        <v>0</v>
      </c>
      <c r="I792" s="951">
        <v>0</v>
      </c>
      <c r="J792" s="947" t="s">
        <v>247</v>
      </c>
      <c r="K792" s="947">
        <v>311290</v>
      </c>
      <c r="M792" s="631"/>
      <c r="P792" s="950" t="str">
        <f>VLOOKUP(J792,'רשימת רשויות'!A:A,1,0)</f>
        <v>חוף הכרמל</v>
      </c>
      <c r="Q792" s="956">
        <f>IFERROR(VLOOKUP(B792,[2]מעובד!$D:$K,8,0),0)</f>
        <v>216</v>
      </c>
      <c r="R792" s="956">
        <f>IFERROR(VLOOKUP(B792,[2]מעובד!$D:$L,9,0),0)</f>
        <v>49</v>
      </c>
    </row>
    <row r="793" spans="1:18" x14ac:dyDescent="0.2">
      <c r="A793" s="947" t="s">
        <v>173</v>
      </c>
      <c r="B793" s="947">
        <v>311324</v>
      </c>
      <c r="C793" s="947" t="s">
        <v>2189</v>
      </c>
      <c r="D793" s="947" t="s">
        <v>489</v>
      </c>
      <c r="E793" s="951">
        <v>141</v>
      </c>
      <c r="F793" s="951">
        <v>118</v>
      </c>
      <c r="G793" s="947" t="s">
        <v>159</v>
      </c>
      <c r="H793" s="951">
        <v>0</v>
      </c>
      <c r="I793" s="951">
        <v>0</v>
      </c>
      <c r="J793" s="947" t="s">
        <v>173</v>
      </c>
      <c r="K793" s="947">
        <v>311324</v>
      </c>
      <c r="M793" s="631"/>
      <c r="P793" s="950" t="str">
        <f>VLOOKUP(J793,'רשימת רשויות'!A:A,1,0)</f>
        <v>אלונה</v>
      </c>
      <c r="Q793" s="956">
        <f>IFERROR(VLOOKUP(B793,[2]מעובד!$D:$K,8,0),0)</f>
        <v>149</v>
      </c>
      <c r="R793" s="956">
        <f>IFERROR(VLOOKUP(B793,[2]מעובד!$D:$L,9,0),0)</f>
        <v>104</v>
      </c>
    </row>
    <row r="794" spans="1:18" x14ac:dyDescent="0.2">
      <c r="A794" s="947" t="s">
        <v>247</v>
      </c>
      <c r="B794" s="947">
        <v>311332</v>
      </c>
      <c r="C794" s="947" t="s">
        <v>2189</v>
      </c>
      <c r="D794" s="947" t="s">
        <v>629</v>
      </c>
      <c r="E794" s="951">
        <v>333</v>
      </c>
      <c r="F794" s="951">
        <v>238</v>
      </c>
      <c r="G794" s="947" t="s">
        <v>159</v>
      </c>
      <c r="H794" s="951">
        <v>140</v>
      </c>
      <c r="I794" s="951">
        <v>0</v>
      </c>
      <c r="J794" s="947" t="s">
        <v>247</v>
      </c>
      <c r="K794" s="947">
        <v>311332</v>
      </c>
      <c r="M794" s="631"/>
      <c r="P794" s="950" t="str">
        <f>VLOOKUP(J794,'רשימת רשויות'!A:A,1,0)</f>
        <v>חוף הכרמל</v>
      </c>
      <c r="Q794" s="956">
        <f>IFERROR(VLOOKUP(B794,[2]מעובד!$D:$K,8,0),0)</f>
        <v>360</v>
      </c>
      <c r="R794" s="956">
        <f>IFERROR(VLOOKUP(B794,[2]מעובד!$D:$L,9,0),0)</f>
        <v>107</v>
      </c>
    </row>
    <row r="795" spans="1:18" x14ac:dyDescent="0.2">
      <c r="A795" s="947" t="s">
        <v>361</v>
      </c>
      <c r="B795" s="947">
        <v>311357</v>
      </c>
      <c r="C795" s="947" t="s">
        <v>2189</v>
      </c>
      <c r="D795" s="947" t="s">
        <v>502</v>
      </c>
      <c r="E795" s="951">
        <v>156</v>
      </c>
      <c r="F795" s="951">
        <v>140</v>
      </c>
      <c r="G795" s="947" t="s">
        <v>159</v>
      </c>
      <c r="H795" s="951">
        <v>0</v>
      </c>
      <c r="I795" s="951">
        <v>0</v>
      </c>
      <c r="J795" s="947" t="s">
        <v>361</v>
      </c>
      <c r="K795" s="947">
        <v>311357</v>
      </c>
      <c r="M795" s="631"/>
      <c r="P795" s="950" t="str">
        <f>VLOOKUP(J795,'רשימת רשויות'!A:A,1,0)</f>
        <v>פרדס חנה-כרכור</v>
      </c>
      <c r="Q795" s="956">
        <f>IFERROR(VLOOKUP(B795,[2]מעובד!$D:$K,8,0),0)</f>
        <v>159</v>
      </c>
      <c r="R795" s="956">
        <f>IFERROR(VLOOKUP(B795,[2]מעובד!$D:$L,9,0),0)</f>
        <v>43</v>
      </c>
    </row>
    <row r="796" spans="1:18" x14ac:dyDescent="0.2">
      <c r="A796" s="947" t="s">
        <v>361</v>
      </c>
      <c r="B796" s="947">
        <v>311365</v>
      </c>
      <c r="C796" s="947" t="s">
        <v>2189</v>
      </c>
      <c r="D796" s="947" t="s">
        <v>324</v>
      </c>
      <c r="E796" s="951">
        <v>144</v>
      </c>
      <c r="F796" s="951">
        <v>124</v>
      </c>
      <c r="G796" s="947" t="s">
        <v>159</v>
      </c>
      <c r="H796" s="951">
        <v>0</v>
      </c>
      <c r="I796" s="951">
        <v>0</v>
      </c>
      <c r="J796" s="947" t="s">
        <v>361</v>
      </c>
      <c r="K796" s="947">
        <v>311365</v>
      </c>
      <c r="M796" s="631"/>
      <c r="P796" s="950" t="str">
        <f>VLOOKUP(J796,'רשימת רשויות'!A:A,1,0)</f>
        <v>פרדס חנה-כרכור</v>
      </c>
      <c r="Q796" s="956">
        <f>IFERROR(VLOOKUP(B796,[2]מעובד!$D:$K,8,0),0)</f>
        <v>141</v>
      </c>
      <c r="R796" s="956">
        <f>IFERROR(VLOOKUP(B796,[2]מעובד!$D:$L,9,0),0)</f>
        <v>78</v>
      </c>
    </row>
    <row r="797" spans="1:18" x14ac:dyDescent="0.2">
      <c r="A797" s="947" t="s">
        <v>361</v>
      </c>
      <c r="B797" s="947">
        <v>311399</v>
      </c>
      <c r="C797" s="947" t="s">
        <v>2189</v>
      </c>
      <c r="D797" s="947" t="s">
        <v>503</v>
      </c>
      <c r="E797" s="951">
        <v>207</v>
      </c>
      <c r="F797" s="951">
        <v>206</v>
      </c>
      <c r="G797" s="947" t="s">
        <v>159</v>
      </c>
      <c r="H797" s="951">
        <v>0</v>
      </c>
      <c r="I797" s="951">
        <v>0</v>
      </c>
      <c r="J797" s="947" t="s">
        <v>361</v>
      </c>
      <c r="K797" s="947">
        <v>311399</v>
      </c>
      <c r="M797" s="631"/>
      <c r="P797" s="950" t="str">
        <f>VLOOKUP(J797,'רשימת רשויות'!A:A,1,0)</f>
        <v>פרדס חנה-כרכור</v>
      </c>
      <c r="Q797" s="956">
        <f>IFERROR(VLOOKUP(B797,[2]מעובד!$D:$K,8,0),0)</f>
        <v>175</v>
      </c>
      <c r="R797" s="956">
        <f>IFERROR(VLOOKUP(B797,[2]מעובד!$D:$L,9,0),0)</f>
        <v>103</v>
      </c>
    </row>
    <row r="798" spans="1:18" x14ac:dyDescent="0.2">
      <c r="A798" s="947" t="s">
        <v>372</v>
      </c>
      <c r="B798" s="947">
        <v>311431</v>
      </c>
      <c r="C798" s="947" t="s">
        <v>2189</v>
      </c>
      <c r="D798" s="947" t="s">
        <v>435</v>
      </c>
      <c r="E798" s="951">
        <v>167</v>
      </c>
      <c r="F798" s="951">
        <v>95</v>
      </c>
      <c r="G798" s="947" t="s">
        <v>159</v>
      </c>
      <c r="H798" s="951">
        <v>0</v>
      </c>
      <c r="I798" s="951">
        <v>0</v>
      </c>
      <c r="J798" s="947" t="s">
        <v>372</v>
      </c>
      <c r="K798" s="947">
        <v>311431</v>
      </c>
      <c r="M798" s="631"/>
      <c r="P798" s="950" t="str">
        <f>VLOOKUP(J798,'רשימת רשויות'!A:A,1,0)</f>
        <v>קרית ביאליק</v>
      </c>
      <c r="Q798" s="956">
        <f>IFERROR(VLOOKUP(B798,[2]מעובד!$D:$K,8,0),0)</f>
        <v>0</v>
      </c>
      <c r="R798" s="956">
        <f>IFERROR(VLOOKUP(B798,[2]מעובד!$D:$L,9,0),0)</f>
        <v>0</v>
      </c>
    </row>
    <row r="799" spans="1:18" x14ac:dyDescent="0.2">
      <c r="A799" s="947" t="s">
        <v>372</v>
      </c>
      <c r="B799" s="947">
        <v>311456</v>
      </c>
      <c r="C799" s="947" t="s">
        <v>2189</v>
      </c>
      <c r="D799" s="947" t="s">
        <v>505</v>
      </c>
      <c r="E799" s="951">
        <v>306</v>
      </c>
      <c r="F799" s="951">
        <v>216</v>
      </c>
      <c r="G799" s="947" t="s">
        <v>159</v>
      </c>
      <c r="H799" s="951">
        <v>99</v>
      </c>
      <c r="I799" s="951">
        <v>7</v>
      </c>
      <c r="J799" s="947" t="s">
        <v>372</v>
      </c>
      <c r="K799" s="947">
        <v>311456</v>
      </c>
      <c r="M799" s="631"/>
      <c r="P799" s="950" t="str">
        <f>VLOOKUP(J799,'רשימת רשויות'!A:A,1,0)</f>
        <v>קרית ביאליק</v>
      </c>
      <c r="Q799" s="956">
        <f>IFERROR(VLOOKUP(B799,[2]מעובד!$D:$K,8,0),0)</f>
        <v>324</v>
      </c>
      <c r="R799" s="956">
        <f>IFERROR(VLOOKUP(B799,[2]מעובד!$D:$L,9,0),0)</f>
        <v>162</v>
      </c>
    </row>
    <row r="800" spans="1:18" x14ac:dyDescent="0.2">
      <c r="A800" s="947" t="s">
        <v>371</v>
      </c>
      <c r="B800" s="947">
        <v>311480</v>
      </c>
      <c r="C800" s="947" t="s">
        <v>2189</v>
      </c>
      <c r="D800" s="947" t="s">
        <v>506</v>
      </c>
      <c r="E800" s="951">
        <v>253</v>
      </c>
      <c r="F800" s="951">
        <v>61</v>
      </c>
      <c r="G800" s="947" t="s">
        <v>159</v>
      </c>
      <c r="H800" s="951">
        <v>0</v>
      </c>
      <c r="I800" s="951">
        <v>0</v>
      </c>
      <c r="J800" s="947" t="s">
        <v>371</v>
      </c>
      <c r="K800" s="947">
        <v>311480</v>
      </c>
      <c r="M800" s="631"/>
      <c r="P800" s="950" t="str">
        <f>VLOOKUP(J800,'רשימת רשויות'!A:A,1,0)</f>
        <v>קרית אתא</v>
      </c>
      <c r="Q800" s="956">
        <f>IFERROR(VLOOKUP(B800,[2]מעובד!$D:$K,8,0),0)</f>
        <v>240</v>
      </c>
      <c r="R800" s="956">
        <f>IFERROR(VLOOKUP(B800,[2]מעובד!$D:$L,9,0),0)</f>
        <v>85</v>
      </c>
    </row>
    <row r="801" spans="1:18" x14ac:dyDescent="0.2">
      <c r="A801" s="947" t="s">
        <v>374</v>
      </c>
      <c r="B801" s="947">
        <v>311514</v>
      </c>
      <c r="C801" s="947" t="s">
        <v>2189</v>
      </c>
      <c r="D801" s="947" t="s">
        <v>507</v>
      </c>
      <c r="E801" s="951">
        <v>115</v>
      </c>
      <c r="F801" s="951">
        <v>120</v>
      </c>
      <c r="G801" s="947" t="s">
        <v>159</v>
      </c>
      <c r="H801" s="951">
        <v>0</v>
      </c>
      <c r="I801" s="951">
        <v>0</v>
      </c>
      <c r="J801" s="947" t="s">
        <v>374</v>
      </c>
      <c r="K801" s="947">
        <v>311514</v>
      </c>
      <c r="M801" s="631"/>
      <c r="P801" s="950" t="str">
        <f>VLOOKUP(J801,'רשימת רשויות'!A:A,1,0)</f>
        <v>קרית טבעון</v>
      </c>
      <c r="Q801" s="956">
        <f>IFERROR(VLOOKUP(B801,[2]מעובד!$D:$K,8,0),0)</f>
        <v>0</v>
      </c>
      <c r="R801" s="956">
        <f>IFERROR(VLOOKUP(B801,[2]מעובד!$D:$L,9,0),0)</f>
        <v>0</v>
      </c>
    </row>
    <row r="802" spans="1:18" x14ac:dyDescent="0.2">
      <c r="A802" s="947" t="s">
        <v>374</v>
      </c>
      <c r="B802" s="947">
        <v>311522</v>
      </c>
      <c r="C802" s="947" t="s">
        <v>2189</v>
      </c>
      <c r="D802" s="947" t="s">
        <v>508</v>
      </c>
      <c r="E802" s="951">
        <v>122</v>
      </c>
      <c r="F802" s="951">
        <v>69</v>
      </c>
      <c r="G802" s="947" t="s">
        <v>159</v>
      </c>
      <c r="H802" s="951">
        <v>0</v>
      </c>
      <c r="I802" s="951">
        <v>0</v>
      </c>
      <c r="J802" s="947" t="s">
        <v>374</v>
      </c>
      <c r="K802" s="957" t="s">
        <v>3274</v>
      </c>
      <c r="M802" s="631"/>
      <c r="P802" s="950" t="str">
        <f>VLOOKUP(J802,'רשימת רשויות'!A:A,1,0)</f>
        <v>קרית טבעון</v>
      </c>
      <c r="Q802" s="956">
        <f>IFERROR(VLOOKUP(B802,[2]מעובד!$D:$K,8,0),0)</f>
        <v>0</v>
      </c>
      <c r="R802" s="956">
        <f>IFERROR(VLOOKUP(B802,[2]מעובד!$D:$L,9,0),0)</f>
        <v>0</v>
      </c>
    </row>
    <row r="803" spans="1:18" x14ac:dyDescent="0.2">
      <c r="A803" s="947" t="s">
        <v>374</v>
      </c>
      <c r="B803" s="947">
        <v>311530</v>
      </c>
      <c r="C803" s="947" t="s">
        <v>2189</v>
      </c>
      <c r="D803" s="947" t="s">
        <v>509</v>
      </c>
      <c r="E803" s="951">
        <v>119</v>
      </c>
      <c r="F803" s="951">
        <v>65</v>
      </c>
      <c r="G803" s="947" t="s">
        <v>159</v>
      </c>
      <c r="H803" s="951">
        <v>73</v>
      </c>
      <c r="I803" s="951">
        <v>7</v>
      </c>
      <c r="J803" s="947" t="s">
        <v>374</v>
      </c>
      <c r="K803" s="957" t="s">
        <v>3275</v>
      </c>
      <c r="M803" s="631"/>
      <c r="P803" s="950" t="str">
        <f>VLOOKUP(J803,'רשימת רשויות'!A:A,1,0)</f>
        <v>קרית טבעון</v>
      </c>
      <c r="Q803" s="956">
        <f>IFERROR(VLOOKUP(B803,[2]מעובד!$D:$K,8,0),0)</f>
        <v>0</v>
      </c>
      <c r="R803" s="956">
        <f>IFERROR(VLOOKUP(B803,[2]מעובד!$D:$L,9,0),0)</f>
        <v>0</v>
      </c>
    </row>
    <row r="804" spans="1:18" x14ac:dyDescent="0.2">
      <c r="A804" s="947" t="s">
        <v>374</v>
      </c>
      <c r="B804" s="947">
        <v>311548</v>
      </c>
      <c r="C804" s="947" t="s">
        <v>2189</v>
      </c>
      <c r="D804" s="947" t="s">
        <v>511</v>
      </c>
      <c r="E804" s="951">
        <v>84</v>
      </c>
      <c r="F804" s="951">
        <v>56</v>
      </c>
      <c r="G804" s="947" t="s">
        <v>159</v>
      </c>
      <c r="H804" s="951">
        <v>0</v>
      </c>
      <c r="I804" s="951">
        <v>0</v>
      </c>
      <c r="J804" s="947" t="s">
        <v>374</v>
      </c>
      <c r="K804" s="957" t="s">
        <v>3274</v>
      </c>
      <c r="M804" s="631"/>
      <c r="P804" s="950" t="str">
        <f>VLOOKUP(J804,'רשימת רשויות'!A:A,1,0)</f>
        <v>קרית טבעון</v>
      </c>
      <c r="Q804" s="956">
        <f>IFERROR(VLOOKUP(B804,[2]מעובד!$D:$K,8,0),0)</f>
        <v>84</v>
      </c>
      <c r="R804" s="956">
        <f>IFERROR(VLOOKUP(B804,[2]מעובד!$D:$L,9,0),0)</f>
        <v>27</v>
      </c>
    </row>
    <row r="805" spans="1:18" x14ac:dyDescent="0.2">
      <c r="A805" s="947" t="s">
        <v>375</v>
      </c>
      <c r="B805" s="947">
        <v>311563</v>
      </c>
      <c r="C805" s="947" t="s">
        <v>2189</v>
      </c>
      <c r="D805" s="947" t="s">
        <v>512</v>
      </c>
      <c r="E805" s="951">
        <v>204</v>
      </c>
      <c r="F805" s="951">
        <v>99</v>
      </c>
      <c r="G805" s="947" t="s">
        <v>159</v>
      </c>
      <c r="H805" s="951">
        <v>75</v>
      </c>
      <c r="I805" s="951">
        <v>0</v>
      </c>
      <c r="J805" s="947" t="s">
        <v>375</v>
      </c>
      <c r="K805" s="947">
        <v>311563</v>
      </c>
      <c r="M805" s="631"/>
      <c r="P805" s="950" t="str">
        <f>VLOOKUP(J805,'רשימת רשויות'!A:A,1,0)</f>
        <v>קרית ים</v>
      </c>
      <c r="Q805" s="956">
        <f>IFERROR(VLOOKUP(B805,[2]מעובד!$D:$K,8,0),0)</f>
        <v>221</v>
      </c>
      <c r="R805" s="956">
        <f>IFERROR(VLOOKUP(B805,[2]מעובד!$D:$L,9,0),0)</f>
        <v>115</v>
      </c>
    </row>
    <row r="806" spans="1:18" x14ac:dyDescent="0.2">
      <c r="A806" s="947" t="s">
        <v>375</v>
      </c>
      <c r="B806" s="947">
        <v>311597</v>
      </c>
      <c r="C806" s="947" t="s">
        <v>2189</v>
      </c>
      <c r="D806" s="947" t="s">
        <v>1025</v>
      </c>
      <c r="E806" s="951">
        <v>107</v>
      </c>
      <c r="F806" s="951">
        <v>59</v>
      </c>
      <c r="G806" s="947" t="s">
        <v>159</v>
      </c>
      <c r="H806" s="951">
        <v>31</v>
      </c>
      <c r="I806" s="951">
        <v>5</v>
      </c>
      <c r="J806" s="947" t="s">
        <v>375</v>
      </c>
      <c r="K806" s="947">
        <v>311597</v>
      </c>
      <c r="M806" s="631"/>
      <c r="P806" s="950" t="str">
        <f>VLOOKUP(J806,'רשימת רשויות'!A:A,1,0)</f>
        <v>קרית ים</v>
      </c>
      <c r="Q806" s="956">
        <f>IFERROR(VLOOKUP(B806,[2]מעובד!$D:$K,8,0),0)</f>
        <v>74</v>
      </c>
      <c r="R806" s="956">
        <f>IFERROR(VLOOKUP(B806,[2]מעובד!$D:$L,9,0),0)</f>
        <v>71</v>
      </c>
    </row>
    <row r="807" spans="1:18" x14ac:dyDescent="0.2">
      <c r="A807" s="947" t="s">
        <v>377</v>
      </c>
      <c r="B807" s="947">
        <v>311605</v>
      </c>
      <c r="C807" s="947" t="s">
        <v>2189</v>
      </c>
      <c r="D807" s="947" t="s">
        <v>468</v>
      </c>
      <c r="E807" s="951">
        <v>290</v>
      </c>
      <c r="F807" s="951">
        <v>182</v>
      </c>
      <c r="G807" s="947" t="s">
        <v>159</v>
      </c>
      <c r="H807" s="951">
        <v>100</v>
      </c>
      <c r="I807" s="951">
        <v>6</v>
      </c>
      <c r="J807" s="947" t="s">
        <v>377</v>
      </c>
      <c r="K807" s="947">
        <v>311605</v>
      </c>
      <c r="M807" s="631"/>
      <c r="P807" s="950" t="str">
        <f>VLOOKUP(J807,'רשימת רשויות'!A:A,1,0)</f>
        <v>קרית מוצקין</v>
      </c>
      <c r="Q807" s="956">
        <f>IFERROR(VLOOKUP(B807,[2]מעובד!$D:$K,8,0),0)</f>
        <v>269</v>
      </c>
      <c r="R807" s="956">
        <f>IFERROR(VLOOKUP(B807,[2]מעובד!$D:$L,9,0),0)</f>
        <v>118</v>
      </c>
    </row>
    <row r="808" spans="1:18" x14ac:dyDescent="0.2">
      <c r="A808" s="947" t="s">
        <v>377</v>
      </c>
      <c r="B808" s="947">
        <v>311613</v>
      </c>
      <c r="C808" s="947" t="s">
        <v>2189</v>
      </c>
      <c r="D808" s="947" t="s">
        <v>458</v>
      </c>
      <c r="E808" s="951">
        <v>217</v>
      </c>
      <c r="F808" s="951">
        <v>87</v>
      </c>
      <c r="G808" s="947" t="s">
        <v>159</v>
      </c>
      <c r="H808" s="951">
        <v>78</v>
      </c>
      <c r="I808" s="951">
        <v>10</v>
      </c>
      <c r="J808" s="947" t="s">
        <v>377</v>
      </c>
      <c r="K808" s="947">
        <v>311613</v>
      </c>
      <c r="M808" s="631"/>
      <c r="P808" s="950" t="str">
        <f>VLOOKUP(J808,'רשימת רשויות'!A:A,1,0)</f>
        <v>קרית מוצקין</v>
      </c>
      <c r="Q808" s="956">
        <f>IFERROR(VLOOKUP(B808,[2]מעובד!$D:$K,8,0),0)</f>
        <v>223</v>
      </c>
      <c r="R808" s="956">
        <f>IFERROR(VLOOKUP(B808,[2]מעובד!$D:$L,9,0),0)</f>
        <v>104</v>
      </c>
    </row>
    <row r="809" spans="1:18" x14ac:dyDescent="0.2">
      <c r="A809" s="947" t="s">
        <v>377</v>
      </c>
      <c r="B809" s="947">
        <v>311621</v>
      </c>
      <c r="C809" s="947" t="s">
        <v>2189</v>
      </c>
      <c r="D809" s="947" t="s">
        <v>469</v>
      </c>
      <c r="E809" s="951">
        <v>176</v>
      </c>
      <c r="F809" s="951">
        <v>93</v>
      </c>
      <c r="G809" s="947" t="s">
        <v>159</v>
      </c>
      <c r="H809" s="951">
        <v>126</v>
      </c>
      <c r="I809" s="951">
        <v>3</v>
      </c>
      <c r="J809" s="947" t="s">
        <v>377</v>
      </c>
      <c r="K809" s="947">
        <v>311621</v>
      </c>
      <c r="M809" s="631"/>
      <c r="P809" s="950" t="str">
        <f>VLOOKUP(J809,'רשימת רשויות'!A:A,1,0)</f>
        <v>קרית מוצקין</v>
      </c>
      <c r="Q809" s="956">
        <f>IFERROR(VLOOKUP(B809,[2]מעובד!$D:$K,8,0),0)</f>
        <v>178</v>
      </c>
      <c r="R809" s="956">
        <f>IFERROR(VLOOKUP(B809,[2]מעובד!$D:$L,9,0),0)</f>
        <v>90</v>
      </c>
    </row>
    <row r="810" spans="1:18" x14ac:dyDescent="0.2">
      <c r="A810" s="947" t="s">
        <v>244</v>
      </c>
      <c r="B810" s="947">
        <v>311738</v>
      </c>
      <c r="C810" s="947" t="s">
        <v>2189</v>
      </c>
      <c r="D810" s="947" t="s">
        <v>2750</v>
      </c>
      <c r="E810" s="951">
        <v>94</v>
      </c>
      <c r="F810" s="951">
        <v>43</v>
      </c>
      <c r="G810" s="947" t="s">
        <v>3252</v>
      </c>
      <c r="H810" s="951">
        <v>69</v>
      </c>
      <c r="I810" s="951">
        <v>15</v>
      </c>
      <c r="J810" s="947" t="s">
        <v>244</v>
      </c>
      <c r="K810" s="947">
        <v>311738</v>
      </c>
      <c r="M810" s="631"/>
      <c r="P810" s="950" t="str">
        <f>VLOOKUP(J810,'רשימת רשויות'!A:A,1,0)</f>
        <v>חדרה</v>
      </c>
      <c r="Q810" s="956">
        <f>IFERROR(VLOOKUP(B810,[2]מעובד!$D:$K,8,0),0)</f>
        <v>0</v>
      </c>
      <c r="R810" s="956">
        <f>IFERROR(VLOOKUP(B810,[2]מעובד!$D:$L,9,0),0)</f>
        <v>54</v>
      </c>
    </row>
    <row r="811" spans="1:18" x14ac:dyDescent="0.2">
      <c r="A811" s="947" t="s">
        <v>251</v>
      </c>
      <c r="B811" s="947">
        <v>311753</v>
      </c>
      <c r="C811" s="947" t="s">
        <v>2189</v>
      </c>
      <c r="D811" s="947" t="s">
        <v>2634</v>
      </c>
      <c r="E811" s="951">
        <v>289</v>
      </c>
      <c r="F811" s="951">
        <v>282</v>
      </c>
      <c r="G811" s="947" t="s">
        <v>3252</v>
      </c>
      <c r="H811" s="951">
        <v>95</v>
      </c>
      <c r="I811" s="951">
        <v>7</v>
      </c>
      <c r="J811" s="947" t="s">
        <v>251</v>
      </c>
      <c r="K811" s="947">
        <v>311753</v>
      </c>
      <c r="M811" s="631"/>
      <c r="P811" s="950" t="str">
        <f>VLOOKUP(J811,'רשימת רשויות'!A:A,1,0)</f>
        <v>חיפה</v>
      </c>
      <c r="Q811" s="956">
        <f>IFERROR(VLOOKUP(B811,[2]מעובד!$D:$K,8,0),0)</f>
        <v>0</v>
      </c>
      <c r="R811" s="956">
        <f>IFERROR(VLOOKUP(B811,[2]מעובד!$D:$L,9,0),0)</f>
        <v>125</v>
      </c>
    </row>
    <row r="812" spans="1:18" x14ac:dyDescent="0.2">
      <c r="A812" s="947" t="s">
        <v>251</v>
      </c>
      <c r="B812" s="947">
        <v>311761</v>
      </c>
      <c r="C812" s="947" t="s">
        <v>2189</v>
      </c>
      <c r="D812" s="947" t="s">
        <v>1140</v>
      </c>
      <c r="E812" s="951">
        <v>244</v>
      </c>
      <c r="F812" s="951">
        <v>239</v>
      </c>
      <c r="G812" s="947" t="s">
        <v>3252</v>
      </c>
      <c r="H812" s="951">
        <v>0</v>
      </c>
      <c r="I812" s="951">
        <v>0</v>
      </c>
      <c r="J812" s="947" t="s">
        <v>251</v>
      </c>
      <c r="K812" s="947">
        <v>311761</v>
      </c>
      <c r="M812" s="631"/>
      <c r="P812" s="950" t="str">
        <f>VLOOKUP(J812,'רשימת רשויות'!A:A,1,0)</f>
        <v>חיפה</v>
      </c>
      <c r="Q812" s="956">
        <f>IFERROR(VLOOKUP(B812,[2]מעובד!$D:$K,8,0),0)</f>
        <v>0</v>
      </c>
      <c r="R812" s="956">
        <f>IFERROR(VLOOKUP(B812,[2]מעובד!$D:$L,9,0),0)</f>
        <v>0</v>
      </c>
    </row>
    <row r="813" spans="1:18" x14ac:dyDescent="0.2">
      <c r="A813" s="947" t="s">
        <v>251</v>
      </c>
      <c r="B813" s="947">
        <v>311803</v>
      </c>
      <c r="C813" s="947" t="s">
        <v>2189</v>
      </c>
      <c r="D813" s="947" t="s">
        <v>2635</v>
      </c>
      <c r="E813" s="951">
        <v>46</v>
      </c>
      <c r="F813" s="951">
        <v>46</v>
      </c>
      <c r="G813" s="947" t="s">
        <v>3252</v>
      </c>
      <c r="H813" s="951">
        <v>0</v>
      </c>
      <c r="I813" s="951">
        <v>0</v>
      </c>
      <c r="J813" s="947" t="s">
        <v>251</v>
      </c>
      <c r="K813" s="947">
        <v>311803</v>
      </c>
      <c r="M813" s="631"/>
      <c r="P813" s="950" t="str">
        <f>VLOOKUP(J813,'רשימת רשויות'!A:A,1,0)</f>
        <v>חיפה</v>
      </c>
      <c r="Q813" s="956">
        <f>IFERROR(VLOOKUP(B813,[2]מעובד!$D:$K,8,0),0)</f>
        <v>0</v>
      </c>
      <c r="R813" s="956">
        <f>IFERROR(VLOOKUP(B813,[2]מעובד!$D:$L,9,0),0)</f>
        <v>0</v>
      </c>
    </row>
    <row r="814" spans="1:18" x14ac:dyDescent="0.2">
      <c r="A814" s="947" t="s">
        <v>251</v>
      </c>
      <c r="B814" s="947">
        <v>311811</v>
      </c>
      <c r="C814" s="947" t="s">
        <v>2189</v>
      </c>
      <c r="D814" s="947" t="s">
        <v>1142</v>
      </c>
      <c r="E814" s="951">
        <v>88</v>
      </c>
      <c r="F814" s="951">
        <v>68</v>
      </c>
      <c r="G814" s="947" t="s">
        <v>3252</v>
      </c>
      <c r="H814" s="951">
        <v>62</v>
      </c>
      <c r="I814" s="951">
        <v>19</v>
      </c>
      <c r="J814" s="947" t="s">
        <v>251</v>
      </c>
      <c r="K814" s="947">
        <v>311811</v>
      </c>
      <c r="M814" s="631"/>
      <c r="P814" s="950" t="str">
        <f>VLOOKUP(J814,'רשימת רשויות'!A:A,1,0)</f>
        <v>חיפה</v>
      </c>
      <c r="Q814" s="956">
        <f>IFERROR(VLOOKUP(B814,[2]מעובד!$D:$K,8,0),0)</f>
        <v>0</v>
      </c>
      <c r="R814" s="956">
        <f>IFERROR(VLOOKUP(B814,[2]מעובד!$D:$L,9,0),0)</f>
        <v>0</v>
      </c>
    </row>
    <row r="815" spans="1:18" x14ac:dyDescent="0.2">
      <c r="A815" s="947" t="s">
        <v>371</v>
      </c>
      <c r="B815" s="947">
        <v>311837</v>
      </c>
      <c r="C815" s="947" t="s">
        <v>2189</v>
      </c>
      <c r="D815" s="947" t="s">
        <v>1143</v>
      </c>
      <c r="E815" s="951">
        <v>139</v>
      </c>
      <c r="F815" s="951">
        <v>0</v>
      </c>
      <c r="G815" s="947" t="s">
        <v>3252</v>
      </c>
      <c r="H815" s="951">
        <v>0</v>
      </c>
      <c r="I815" s="951">
        <v>0</v>
      </c>
      <c r="J815" s="947" t="s">
        <v>371</v>
      </c>
      <c r="K815" s="947">
        <v>311837</v>
      </c>
      <c r="M815" s="631"/>
      <c r="P815" s="950" t="str">
        <f>VLOOKUP(J815,'רשימת רשויות'!A:A,1,0)</f>
        <v>קרית אתא</v>
      </c>
      <c r="Q815" s="956">
        <f>IFERROR(VLOOKUP(B815,[2]מעובד!$D:$K,8,0),0)</f>
        <v>0</v>
      </c>
      <c r="R815" s="956">
        <f>IFERROR(VLOOKUP(B815,[2]מעובד!$D:$L,9,0),0)</f>
        <v>0</v>
      </c>
    </row>
    <row r="816" spans="1:18" x14ac:dyDescent="0.2">
      <c r="A816" s="947" t="s">
        <v>372</v>
      </c>
      <c r="B816" s="947">
        <v>311886</v>
      </c>
      <c r="C816" s="947" t="s">
        <v>2189</v>
      </c>
      <c r="D816" s="947" t="s">
        <v>473</v>
      </c>
      <c r="E816" s="951">
        <v>187</v>
      </c>
      <c r="F816" s="951">
        <v>84</v>
      </c>
      <c r="G816" s="947" t="s">
        <v>159</v>
      </c>
      <c r="H816" s="951">
        <v>76</v>
      </c>
      <c r="I816" s="951">
        <v>0</v>
      </c>
      <c r="J816" s="947" t="s">
        <v>372</v>
      </c>
      <c r="K816" s="947">
        <v>311886</v>
      </c>
      <c r="M816" s="631"/>
      <c r="P816" s="950" t="str">
        <f>VLOOKUP(J816,'רשימת רשויות'!A:A,1,0)</f>
        <v>קרית ביאליק</v>
      </c>
      <c r="Q816" s="956">
        <f>IFERROR(VLOOKUP(B816,[2]מעובד!$D:$K,8,0),0)</f>
        <v>171</v>
      </c>
      <c r="R816" s="956">
        <f>IFERROR(VLOOKUP(B816,[2]מעובד!$D:$L,9,0),0)</f>
        <v>58</v>
      </c>
    </row>
    <row r="817" spans="1:18" x14ac:dyDescent="0.2">
      <c r="A817" s="947" t="s">
        <v>377</v>
      </c>
      <c r="B817" s="947">
        <v>311894</v>
      </c>
      <c r="C817" s="947" t="s">
        <v>2189</v>
      </c>
      <c r="D817" s="947" t="s">
        <v>474</v>
      </c>
      <c r="E817" s="951">
        <v>255</v>
      </c>
      <c r="F817" s="951">
        <v>124</v>
      </c>
      <c r="G817" s="947" t="s">
        <v>159</v>
      </c>
      <c r="H817" s="951">
        <v>0</v>
      </c>
      <c r="I817" s="951">
        <v>0</v>
      </c>
      <c r="J817" s="947" t="s">
        <v>377</v>
      </c>
      <c r="K817" s="947">
        <v>311894</v>
      </c>
      <c r="M817" s="631"/>
      <c r="P817" s="950" t="str">
        <f>VLOOKUP(J817,'רשימת רשויות'!A:A,1,0)</f>
        <v>קרית מוצקין</v>
      </c>
      <c r="Q817" s="956">
        <f>IFERROR(VLOOKUP(B817,[2]מעובד!$D:$K,8,0),0)</f>
        <v>228</v>
      </c>
      <c r="R817" s="956">
        <f>IFERROR(VLOOKUP(B817,[2]מעובד!$D:$L,9,0),0)</f>
        <v>132</v>
      </c>
    </row>
    <row r="818" spans="1:18" x14ac:dyDescent="0.2">
      <c r="A818" s="947" t="s">
        <v>244</v>
      </c>
      <c r="B818" s="947">
        <v>312033</v>
      </c>
      <c r="C818" s="947" t="s">
        <v>2189</v>
      </c>
      <c r="D818" s="947" t="s">
        <v>1144</v>
      </c>
      <c r="E818" s="951">
        <v>175</v>
      </c>
      <c r="F818" s="951">
        <v>66</v>
      </c>
      <c r="G818" s="947" t="s">
        <v>3252</v>
      </c>
      <c r="H818" s="951">
        <v>0</v>
      </c>
      <c r="I818" s="951">
        <v>0</v>
      </c>
      <c r="J818" s="947" t="s">
        <v>244</v>
      </c>
      <c r="K818" s="947">
        <v>312033</v>
      </c>
      <c r="M818" s="631"/>
      <c r="P818" s="950" t="str">
        <f>VLOOKUP(J818,'רשימת רשויות'!A:A,1,0)</f>
        <v>חדרה</v>
      </c>
      <c r="Q818" s="956">
        <f>IFERROR(VLOOKUP(B818,[2]מעובד!$D:$K,8,0),0)</f>
        <v>182</v>
      </c>
      <c r="R818" s="956">
        <f>IFERROR(VLOOKUP(B818,[2]מעובד!$D:$L,9,0),0)</f>
        <v>96</v>
      </c>
    </row>
    <row r="819" spans="1:18" x14ac:dyDescent="0.2">
      <c r="A819" s="947" t="s">
        <v>361</v>
      </c>
      <c r="B819" s="947">
        <v>312041</v>
      </c>
      <c r="C819" s="947" t="s">
        <v>2189</v>
      </c>
      <c r="D819" s="947" t="s">
        <v>2210</v>
      </c>
      <c r="E819" s="951">
        <v>85</v>
      </c>
      <c r="F819" s="951">
        <v>85</v>
      </c>
      <c r="G819" s="947" t="s">
        <v>3252</v>
      </c>
      <c r="H819" s="951">
        <v>0</v>
      </c>
      <c r="I819" s="951">
        <v>0</v>
      </c>
      <c r="J819" s="947" t="s">
        <v>361</v>
      </c>
      <c r="K819" s="947">
        <v>312041</v>
      </c>
      <c r="M819" s="631"/>
      <c r="P819" s="950" t="str">
        <f>VLOOKUP(J819,'רשימת רשויות'!A:A,1,0)</f>
        <v>פרדס חנה-כרכור</v>
      </c>
      <c r="Q819" s="956">
        <f>IFERROR(VLOOKUP(B819,[2]מעובד!$D:$K,8,0),0)</f>
        <v>0</v>
      </c>
      <c r="R819" s="956">
        <f>IFERROR(VLOOKUP(B819,[2]מעובד!$D:$L,9,0),0)</f>
        <v>59</v>
      </c>
    </row>
    <row r="820" spans="1:18" x14ac:dyDescent="0.2">
      <c r="A820" s="947" t="s">
        <v>251</v>
      </c>
      <c r="B820" s="947">
        <v>312082</v>
      </c>
      <c r="C820" s="947" t="s">
        <v>2189</v>
      </c>
      <c r="D820" s="947" t="s">
        <v>479</v>
      </c>
      <c r="E820" s="951">
        <v>149</v>
      </c>
      <c r="F820" s="951">
        <v>136</v>
      </c>
      <c r="G820" s="947" t="s">
        <v>159</v>
      </c>
      <c r="H820" s="951">
        <v>0</v>
      </c>
      <c r="I820" s="951">
        <v>0</v>
      </c>
      <c r="J820" s="947" t="s">
        <v>251</v>
      </c>
      <c r="K820" s="947">
        <v>312082</v>
      </c>
      <c r="M820" s="631"/>
      <c r="P820" s="950" t="str">
        <f>VLOOKUP(J820,'רשימת רשויות'!A:A,1,0)</f>
        <v>חיפה</v>
      </c>
      <c r="Q820" s="956">
        <f>IFERROR(VLOOKUP(B820,[2]מעובד!$D:$K,8,0),0)</f>
        <v>99</v>
      </c>
      <c r="R820" s="956">
        <f>IFERROR(VLOOKUP(B820,[2]מעובד!$D:$L,9,0),0)</f>
        <v>60</v>
      </c>
    </row>
    <row r="821" spans="1:18" x14ac:dyDescent="0.2">
      <c r="A821" s="947" t="s">
        <v>251</v>
      </c>
      <c r="B821" s="947">
        <v>312090</v>
      </c>
      <c r="C821" s="947" t="s">
        <v>2189</v>
      </c>
      <c r="D821" s="947" t="s">
        <v>480</v>
      </c>
      <c r="E821" s="951">
        <v>119</v>
      </c>
      <c r="F821" s="951">
        <v>94</v>
      </c>
      <c r="G821" s="947" t="s">
        <v>159</v>
      </c>
      <c r="H821" s="951">
        <v>0</v>
      </c>
      <c r="I821" s="951">
        <v>0</v>
      </c>
      <c r="J821" s="947" t="s">
        <v>251</v>
      </c>
      <c r="K821" s="947">
        <v>312090</v>
      </c>
      <c r="M821" s="631"/>
      <c r="P821" s="950" t="str">
        <f>VLOOKUP(J821,'רשימת רשויות'!A:A,1,0)</f>
        <v>חיפה</v>
      </c>
      <c r="Q821" s="956">
        <f>IFERROR(VLOOKUP(B821,[2]מעובד!$D:$K,8,0),0)</f>
        <v>139</v>
      </c>
      <c r="R821" s="956">
        <f>IFERROR(VLOOKUP(B821,[2]מעובד!$D:$L,9,0),0)</f>
        <v>48</v>
      </c>
    </row>
    <row r="822" spans="1:18" x14ac:dyDescent="0.2">
      <c r="A822" s="947" t="s">
        <v>251</v>
      </c>
      <c r="B822" s="947">
        <v>312108</v>
      </c>
      <c r="C822" s="947" t="s">
        <v>2189</v>
      </c>
      <c r="D822" s="947" t="s">
        <v>481</v>
      </c>
      <c r="E822" s="951">
        <v>210</v>
      </c>
      <c r="F822" s="951">
        <v>187</v>
      </c>
      <c r="G822" s="947" t="s">
        <v>159</v>
      </c>
      <c r="H822" s="951">
        <v>0</v>
      </c>
      <c r="I822" s="951">
        <v>0</v>
      </c>
      <c r="J822" s="947" t="s">
        <v>251</v>
      </c>
      <c r="K822" s="947">
        <v>312108</v>
      </c>
      <c r="M822" s="631"/>
      <c r="P822" s="950" t="str">
        <f>VLOOKUP(J822,'רשימת רשויות'!A:A,1,0)</f>
        <v>חיפה</v>
      </c>
      <c r="Q822" s="956">
        <f>IFERROR(VLOOKUP(B822,[2]מעובד!$D:$K,8,0),0)</f>
        <v>214</v>
      </c>
      <c r="R822" s="956">
        <f>IFERROR(VLOOKUP(B822,[2]מעובד!$D:$L,9,0),0)</f>
        <v>65</v>
      </c>
    </row>
    <row r="823" spans="1:18" x14ac:dyDescent="0.2">
      <c r="A823" s="947" t="s">
        <v>361</v>
      </c>
      <c r="B823" s="947">
        <v>312124</v>
      </c>
      <c r="C823" s="947" t="s">
        <v>2189</v>
      </c>
      <c r="D823" s="947" t="s">
        <v>482</v>
      </c>
      <c r="E823" s="951">
        <v>253</v>
      </c>
      <c r="F823" s="951">
        <v>253</v>
      </c>
      <c r="G823" s="947" t="s">
        <v>159</v>
      </c>
      <c r="H823" s="951">
        <v>0</v>
      </c>
      <c r="I823" s="951">
        <v>0</v>
      </c>
      <c r="J823" s="947" t="s">
        <v>361</v>
      </c>
      <c r="K823" s="947">
        <v>312124</v>
      </c>
      <c r="M823" s="631"/>
      <c r="P823" s="950" t="str">
        <f>VLOOKUP(J823,'רשימת רשויות'!A:A,1,0)</f>
        <v>פרדס חנה-כרכור</v>
      </c>
      <c r="Q823" s="956">
        <f>IFERROR(VLOOKUP(B823,[2]מעובד!$D:$K,8,0),0)</f>
        <v>269</v>
      </c>
      <c r="R823" s="956">
        <f>IFERROR(VLOOKUP(B823,[2]מעובד!$D:$L,9,0),0)</f>
        <v>120</v>
      </c>
    </row>
    <row r="824" spans="1:18" x14ac:dyDescent="0.2">
      <c r="A824" s="947" t="s">
        <v>251</v>
      </c>
      <c r="B824" s="947">
        <v>312132</v>
      </c>
      <c r="C824" s="947" t="s">
        <v>2189</v>
      </c>
      <c r="D824" s="947" t="s">
        <v>2990</v>
      </c>
      <c r="E824" s="951">
        <v>46</v>
      </c>
      <c r="F824" s="951">
        <v>44</v>
      </c>
      <c r="G824" s="947" t="s">
        <v>159</v>
      </c>
      <c r="H824" s="951">
        <v>0</v>
      </c>
      <c r="I824" s="951">
        <v>0</v>
      </c>
      <c r="J824" s="947" t="s">
        <v>251</v>
      </c>
      <c r="K824" s="947">
        <v>312132</v>
      </c>
      <c r="M824" s="631"/>
      <c r="P824" s="950" t="str">
        <f>VLOOKUP(J824,'רשימת רשויות'!A:A,1,0)</f>
        <v>חיפה</v>
      </c>
      <c r="Q824" s="956">
        <f>IFERROR(VLOOKUP(B824,[2]מעובד!$D:$K,8,0),0)</f>
        <v>28</v>
      </c>
      <c r="R824" s="956">
        <f>IFERROR(VLOOKUP(B824,[2]מעובד!$D:$L,9,0),0)</f>
        <v>22</v>
      </c>
    </row>
    <row r="825" spans="1:18" x14ac:dyDescent="0.2">
      <c r="A825" s="947" t="s">
        <v>251</v>
      </c>
      <c r="B825" s="947">
        <v>312140</v>
      </c>
      <c r="C825" s="947" t="s">
        <v>2189</v>
      </c>
      <c r="D825" s="947" t="s">
        <v>483</v>
      </c>
      <c r="E825" s="951">
        <v>149</v>
      </c>
      <c r="F825" s="951">
        <v>147</v>
      </c>
      <c r="G825" s="947" t="s">
        <v>159</v>
      </c>
      <c r="H825" s="951">
        <v>0</v>
      </c>
      <c r="I825" s="951">
        <v>0</v>
      </c>
      <c r="J825" s="947" t="s">
        <v>251</v>
      </c>
      <c r="K825" s="947">
        <v>312140</v>
      </c>
      <c r="M825" s="631"/>
      <c r="P825" s="950" t="str">
        <f>VLOOKUP(J825,'רשימת רשויות'!A:A,1,0)</f>
        <v>חיפה</v>
      </c>
      <c r="Q825" s="956">
        <f>IFERROR(VLOOKUP(B825,[2]מעובד!$D:$K,8,0),0)</f>
        <v>222</v>
      </c>
      <c r="R825" s="956">
        <f>IFERROR(VLOOKUP(B825,[2]מעובד!$D:$L,9,0),0)</f>
        <v>50</v>
      </c>
    </row>
    <row r="826" spans="1:18" x14ac:dyDescent="0.2">
      <c r="A826" s="947" t="s">
        <v>372</v>
      </c>
      <c r="B826" s="947">
        <v>312165</v>
      </c>
      <c r="C826" s="947" t="s">
        <v>2189</v>
      </c>
      <c r="D826" s="947" t="s">
        <v>2398</v>
      </c>
      <c r="E826" s="951">
        <v>161</v>
      </c>
      <c r="F826" s="951">
        <v>95</v>
      </c>
      <c r="G826" s="947" t="s">
        <v>159</v>
      </c>
      <c r="H826" s="951">
        <v>0</v>
      </c>
      <c r="I826" s="951">
        <v>0</v>
      </c>
      <c r="J826" s="947" t="s">
        <v>372</v>
      </c>
      <c r="K826" s="947">
        <v>312165</v>
      </c>
      <c r="M826" s="631"/>
      <c r="P826" s="950" t="str">
        <f>VLOOKUP(J826,'רשימת רשויות'!A:A,1,0)</f>
        <v>קרית ביאליק</v>
      </c>
      <c r="Q826" s="956">
        <f>IFERROR(VLOOKUP(B826,[2]מעובד!$D:$K,8,0),0)</f>
        <v>161</v>
      </c>
      <c r="R826" s="956">
        <f>IFERROR(VLOOKUP(B826,[2]מעובד!$D:$L,9,0),0)</f>
        <v>73</v>
      </c>
    </row>
    <row r="827" spans="1:18" x14ac:dyDescent="0.2">
      <c r="A827" s="947" t="s">
        <v>375</v>
      </c>
      <c r="B827" s="947">
        <v>312173</v>
      </c>
      <c r="C827" s="947" t="s">
        <v>2189</v>
      </c>
      <c r="D827" s="947" t="s">
        <v>484</v>
      </c>
      <c r="E827" s="951">
        <v>155</v>
      </c>
      <c r="F827" s="951">
        <v>56</v>
      </c>
      <c r="G827" s="947" t="s">
        <v>159</v>
      </c>
      <c r="H827" s="951">
        <v>0</v>
      </c>
      <c r="I827" s="951">
        <v>0</v>
      </c>
      <c r="J827" s="947" t="s">
        <v>375</v>
      </c>
      <c r="K827" s="947">
        <v>312173</v>
      </c>
      <c r="M827" s="631"/>
      <c r="P827" s="950" t="str">
        <f>VLOOKUP(J827,'רשימת רשויות'!A:A,1,0)</f>
        <v>קרית ים</v>
      </c>
      <c r="Q827" s="956">
        <f>IFERROR(VLOOKUP(B827,[2]מעובד!$D:$K,8,0),0)</f>
        <v>204</v>
      </c>
      <c r="R827" s="956">
        <f>IFERROR(VLOOKUP(B827,[2]מעובד!$D:$L,9,0),0)</f>
        <v>80</v>
      </c>
    </row>
    <row r="828" spans="1:18" x14ac:dyDescent="0.2">
      <c r="A828" s="947" t="s">
        <v>361</v>
      </c>
      <c r="B828" s="947">
        <v>312199</v>
      </c>
      <c r="C828" s="947" t="s">
        <v>2189</v>
      </c>
      <c r="D828" s="947" t="s">
        <v>485</v>
      </c>
      <c r="E828" s="951">
        <v>150</v>
      </c>
      <c r="F828" s="951">
        <v>149</v>
      </c>
      <c r="G828" s="947" t="s">
        <v>159</v>
      </c>
      <c r="H828" s="951">
        <v>0</v>
      </c>
      <c r="I828" s="951">
        <v>0</v>
      </c>
      <c r="J828" s="947" t="s">
        <v>361</v>
      </c>
      <c r="K828" s="947">
        <v>312199</v>
      </c>
      <c r="M828" s="631"/>
      <c r="P828" s="950" t="str">
        <f>VLOOKUP(J828,'רשימת רשויות'!A:A,1,0)</f>
        <v>פרדס חנה-כרכור</v>
      </c>
      <c r="Q828" s="956">
        <f>IFERROR(VLOOKUP(B828,[2]מעובד!$D:$K,8,0),0)</f>
        <v>111</v>
      </c>
      <c r="R828" s="956">
        <f>IFERROR(VLOOKUP(B828,[2]מעובד!$D:$L,9,0),0)</f>
        <v>75</v>
      </c>
    </row>
    <row r="829" spans="1:18" x14ac:dyDescent="0.2">
      <c r="A829" s="947" t="s">
        <v>375</v>
      </c>
      <c r="B829" s="947">
        <v>312207</v>
      </c>
      <c r="C829" s="947" t="s">
        <v>2189</v>
      </c>
      <c r="D829" s="947" t="s">
        <v>486</v>
      </c>
      <c r="E829" s="951">
        <v>125</v>
      </c>
      <c r="F829" s="951">
        <v>54</v>
      </c>
      <c r="G829" s="947" t="s">
        <v>159</v>
      </c>
      <c r="H829" s="951">
        <v>0</v>
      </c>
      <c r="I829" s="951">
        <v>0</v>
      </c>
      <c r="J829" s="947" t="s">
        <v>375</v>
      </c>
      <c r="K829" s="947">
        <v>312207</v>
      </c>
      <c r="M829" s="631"/>
      <c r="P829" s="950" t="str">
        <f>VLOOKUP(J829,'רשימת רשויות'!A:A,1,0)</f>
        <v>קרית ים</v>
      </c>
      <c r="Q829" s="956">
        <f>IFERROR(VLOOKUP(B829,[2]מעובד!$D:$K,8,0),0)</f>
        <v>128</v>
      </c>
      <c r="R829" s="956">
        <f>IFERROR(VLOOKUP(B829,[2]מעובד!$D:$L,9,0),0)</f>
        <v>41</v>
      </c>
    </row>
    <row r="830" spans="1:18" x14ac:dyDescent="0.2">
      <c r="A830" s="947" t="s">
        <v>166</v>
      </c>
      <c r="B830" s="947">
        <v>312223</v>
      </c>
      <c r="C830" s="947" t="s">
        <v>2189</v>
      </c>
      <c r="D830" s="947" t="s">
        <v>2991</v>
      </c>
      <c r="E830" s="951">
        <v>82</v>
      </c>
      <c r="F830" s="951">
        <v>5</v>
      </c>
      <c r="G830" s="947" t="s">
        <v>159</v>
      </c>
      <c r="H830" s="951">
        <v>36</v>
      </c>
      <c r="I830" s="951">
        <v>0</v>
      </c>
      <c r="J830" s="947" t="s">
        <v>166</v>
      </c>
      <c r="K830" s="957" t="s">
        <v>3276</v>
      </c>
      <c r="M830" s="631"/>
      <c r="P830" s="950" t="str">
        <f>VLOOKUP(J830,'רשימת רשויות'!A:A,1,0)</f>
        <v>אור עקיבא</v>
      </c>
      <c r="Q830" s="956">
        <f>IFERROR(VLOOKUP(B830,[2]מעובד!$D:$K,8,0),0)</f>
        <v>0</v>
      </c>
      <c r="R830" s="956">
        <f>IFERROR(VLOOKUP(B830,[2]מעובד!$D:$L,9,0),0)</f>
        <v>0</v>
      </c>
    </row>
    <row r="831" spans="1:18" x14ac:dyDescent="0.2">
      <c r="A831" s="947" t="s">
        <v>389</v>
      </c>
      <c r="B831" s="947">
        <v>312314</v>
      </c>
      <c r="C831" s="947" t="s">
        <v>2189</v>
      </c>
      <c r="D831" s="947" t="s">
        <v>2614</v>
      </c>
      <c r="E831" s="951">
        <v>254</v>
      </c>
      <c r="F831" s="951">
        <v>254</v>
      </c>
      <c r="G831" s="947" t="s">
        <v>3252</v>
      </c>
      <c r="H831" s="951">
        <v>0</v>
      </c>
      <c r="I831" s="951">
        <v>0</v>
      </c>
      <c r="J831" s="947" t="s">
        <v>389</v>
      </c>
      <c r="K831" s="947">
        <v>312314</v>
      </c>
      <c r="M831" s="631"/>
      <c r="P831" s="950" t="str">
        <f>VLOOKUP(J831,'רשימת רשויות'!A:A,1,0)</f>
        <v>רכסים</v>
      </c>
      <c r="Q831" s="956">
        <f>IFERROR(VLOOKUP(B831,[2]מעובד!$D:$K,8,0),0)</f>
        <v>287</v>
      </c>
      <c r="R831" s="956">
        <f>IFERROR(VLOOKUP(B831,[2]מעובד!$D:$L,9,0),0)</f>
        <v>285</v>
      </c>
    </row>
    <row r="832" spans="1:18" x14ac:dyDescent="0.2">
      <c r="A832" s="947" t="s">
        <v>251</v>
      </c>
      <c r="B832" s="947">
        <v>312322</v>
      </c>
      <c r="C832" s="947" t="s">
        <v>2189</v>
      </c>
      <c r="D832" s="947" t="s">
        <v>611</v>
      </c>
      <c r="E832" s="951">
        <v>121</v>
      </c>
      <c r="F832" s="951">
        <v>119</v>
      </c>
      <c r="G832" s="947" t="s">
        <v>159</v>
      </c>
      <c r="H832" s="951">
        <v>0</v>
      </c>
      <c r="I832" s="951">
        <v>0</v>
      </c>
      <c r="J832" s="947" t="s">
        <v>251</v>
      </c>
      <c r="K832" s="947">
        <v>312322</v>
      </c>
      <c r="M832" s="631"/>
      <c r="P832" s="950" t="str">
        <f>VLOOKUP(J832,'רשימת רשויות'!A:A,1,0)</f>
        <v>חיפה</v>
      </c>
      <c r="Q832" s="956">
        <f>IFERROR(VLOOKUP(B832,[2]מעובד!$D:$K,8,0),0)</f>
        <v>151</v>
      </c>
      <c r="R832" s="956">
        <f>IFERROR(VLOOKUP(B832,[2]מעובד!$D:$L,9,0),0)</f>
        <v>65</v>
      </c>
    </row>
    <row r="833" spans="1:18" x14ac:dyDescent="0.2">
      <c r="A833" s="947" t="s">
        <v>251</v>
      </c>
      <c r="B833" s="947">
        <v>312355</v>
      </c>
      <c r="C833" s="947" t="s">
        <v>2189</v>
      </c>
      <c r="D833" s="947" t="s">
        <v>532</v>
      </c>
      <c r="E833" s="951">
        <v>121</v>
      </c>
      <c r="F833" s="951">
        <v>98</v>
      </c>
      <c r="G833" s="947" t="s">
        <v>159</v>
      </c>
      <c r="H833" s="951">
        <v>0</v>
      </c>
      <c r="I833" s="951">
        <v>0</v>
      </c>
      <c r="J833" s="947" t="s">
        <v>251</v>
      </c>
      <c r="K833" s="947">
        <v>312355</v>
      </c>
      <c r="M833" s="631"/>
      <c r="P833" s="950" t="str">
        <f>VLOOKUP(J833,'רשימת רשויות'!A:A,1,0)</f>
        <v>חיפה</v>
      </c>
      <c r="Q833" s="956">
        <f>IFERROR(VLOOKUP(B833,[2]מעובד!$D:$K,8,0),0)</f>
        <v>139</v>
      </c>
      <c r="R833" s="956">
        <f>IFERROR(VLOOKUP(B833,[2]מעובד!$D:$L,9,0),0)</f>
        <v>139</v>
      </c>
    </row>
    <row r="834" spans="1:18" x14ac:dyDescent="0.2">
      <c r="A834" s="947" t="s">
        <v>251</v>
      </c>
      <c r="B834" s="947">
        <v>312371</v>
      </c>
      <c r="C834" s="947" t="s">
        <v>2189</v>
      </c>
      <c r="D834" s="947" t="s">
        <v>607</v>
      </c>
      <c r="E834" s="951">
        <v>146</v>
      </c>
      <c r="F834" s="951">
        <v>146</v>
      </c>
      <c r="G834" s="947" t="s">
        <v>159</v>
      </c>
      <c r="H834" s="951">
        <v>0</v>
      </c>
      <c r="I834" s="951">
        <v>0</v>
      </c>
      <c r="J834" s="947" t="s">
        <v>251</v>
      </c>
      <c r="K834" s="947">
        <v>312371</v>
      </c>
      <c r="M834" s="631"/>
      <c r="P834" s="950" t="str">
        <f>VLOOKUP(J834,'רשימת רשויות'!A:A,1,0)</f>
        <v>חיפה</v>
      </c>
      <c r="Q834" s="956">
        <f>IFERROR(VLOOKUP(B834,[2]מעובד!$D:$K,8,0),0)</f>
        <v>225</v>
      </c>
      <c r="R834" s="956">
        <f>IFERROR(VLOOKUP(B834,[2]מעובד!$D:$L,9,0),0)</f>
        <v>65</v>
      </c>
    </row>
    <row r="835" spans="1:18" x14ac:dyDescent="0.2">
      <c r="A835" s="947" t="s">
        <v>244</v>
      </c>
      <c r="B835" s="947">
        <v>312397</v>
      </c>
      <c r="C835" s="947" t="s">
        <v>2189</v>
      </c>
      <c r="D835" s="947" t="s">
        <v>533</v>
      </c>
      <c r="E835" s="951">
        <v>201</v>
      </c>
      <c r="F835" s="951">
        <v>64</v>
      </c>
      <c r="G835" s="947" t="s">
        <v>159</v>
      </c>
      <c r="H835" s="951">
        <v>0</v>
      </c>
      <c r="I835" s="951">
        <v>0</v>
      </c>
      <c r="J835" s="947" t="s">
        <v>244</v>
      </c>
      <c r="K835" s="947">
        <v>312397</v>
      </c>
      <c r="M835" s="631"/>
      <c r="P835" s="950" t="str">
        <f>VLOOKUP(J835,'רשימת רשויות'!A:A,1,0)</f>
        <v>חדרה</v>
      </c>
      <c r="Q835" s="956">
        <f>IFERROR(VLOOKUP(B835,[2]מעובד!$D:$K,8,0),0)</f>
        <v>265</v>
      </c>
      <c r="R835" s="956">
        <f>IFERROR(VLOOKUP(B835,[2]מעובד!$D:$L,9,0),0)</f>
        <v>103</v>
      </c>
    </row>
    <row r="836" spans="1:18" x14ac:dyDescent="0.2">
      <c r="A836" s="947" t="s">
        <v>251</v>
      </c>
      <c r="B836" s="947">
        <v>312421</v>
      </c>
      <c r="C836" s="947" t="s">
        <v>2189</v>
      </c>
      <c r="D836" s="947" t="s">
        <v>539</v>
      </c>
      <c r="E836" s="951">
        <v>84</v>
      </c>
      <c r="F836" s="951">
        <v>62</v>
      </c>
      <c r="G836" s="947" t="s">
        <v>159</v>
      </c>
      <c r="H836" s="951">
        <v>26</v>
      </c>
      <c r="I836" s="951">
        <v>5</v>
      </c>
      <c r="J836" s="947" t="s">
        <v>251</v>
      </c>
      <c r="K836" s="947">
        <v>312421</v>
      </c>
      <c r="M836" s="631"/>
      <c r="P836" s="950" t="str">
        <f>VLOOKUP(J836,'רשימת רשויות'!A:A,1,0)</f>
        <v>חיפה</v>
      </c>
      <c r="Q836" s="956">
        <f>IFERROR(VLOOKUP(B836,[2]מעובד!$D:$K,8,0),0)</f>
        <v>103</v>
      </c>
      <c r="R836" s="956">
        <f>IFERROR(VLOOKUP(B836,[2]מעובד!$D:$L,9,0),0)</f>
        <v>44</v>
      </c>
    </row>
    <row r="837" spans="1:18" x14ac:dyDescent="0.2">
      <c r="A837" s="947" t="s">
        <v>251</v>
      </c>
      <c r="B837" s="947">
        <v>312439</v>
      </c>
      <c r="C837" s="947" t="s">
        <v>2189</v>
      </c>
      <c r="D837" s="947" t="s">
        <v>540</v>
      </c>
      <c r="E837" s="951">
        <v>180</v>
      </c>
      <c r="F837" s="951">
        <v>168</v>
      </c>
      <c r="G837" s="947" t="s">
        <v>159</v>
      </c>
      <c r="H837" s="951">
        <v>77</v>
      </c>
      <c r="I837" s="951">
        <v>10</v>
      </c>
      <c r="J837" s="947" t="s">
        <v>251</v>
      </c>
      <c r="K837" s="947">
        <v>312439</v>
      </c>
      <c r="M837" s="631"/>
      <c r="P837" s="950" t="str">
        <f>VLOOKUP(J837,'רשימת רשויות'!A:A,1,0)</f>
        <v>חיפה</v>
      </c>
      <c r="Q837" s="956">
        <f>IFERROR(VLOOKUP(B837,[2]מעובד!$D:$K,8,0),0)</f>
        <v>250</v>
      </c>
      <c r="R837" s="956">
        <f>IFERROR(VLOOKUP(B837,[2]מעובד!$D:$L,9,0),0)</f>
        <v>82</v>
      </c>
    </row>
    <row r="838" spans="1:18" x14ac:dyDescent="0.2">
      <c r="A838" s="947" t="s">
        <v>251</v>
      </c>
      <c r="B838" s="947">
        <v>312470</v>
      </c>
      <c r="C838" s="947" t="s">
        <v>2189</v>
      </c>
      <c r="D838" s="947" t="s">
        <v>2695</v>
      </c>
      <c r="E838" s="951">
        <v>170</v>
      </c>
      <c r="F838" s="951">
        <v>169</v>
      </c>
      <c r="G838" s="947" t="s">
        <v>3252</v>
      </c>
      <c r="H838" s="951">
        <v>0</v>
      </c>
      <c r="I838" s="951">
        <v>0</v>
      </c>
      <c r="J838" s="947" t="s">
        <v>251</v>
      </c>
      <c r="K838" s="947">
        <v>312470</v>
      </c>
      <c r="M838" s="631"/>
      <c r="P838" s="950" t="str">
        <f>VLOOKUP(J838,'רשימת רשויות'!A:A,1,0)</f>
        <v>חיפה</v>
      </c>
      <c r="Q838" s="956">
        <f>IFERROR(VLOOKUP(B838,[2]מעובד!$D:$K,8,0),0)</f>
        <v>0</v>
      </c>
      <c r="R838" s="956">
        <f>IFERROR(VLOOKUP(B838,[2]מעובד!$D:$L,9,0),0)</f>
        <v>0</v>
      </c>
    </row>
    <row r="839" spans="1:18" x14ac:dyDescent="0.2">
      <c r="A839" s="947" t="s">
        <v>371</v>
      </c>
      <c r="B839" s="947">
        <v>312504</v>
      </c>
      <c r="C839" s="947" t="s">
        <v>2189</v>
      </c>
      <c r="D839" s="947" t="s">
        <v>541</v>
      </c>
      <c r="E839" s="951">
        <v>255</v>
      </c>
      <c r="F839" s="951">
        <v>127</v>
      </c>
      <c r="G839" s="947" t="s">
        <v>159</v>
      </c>
      <c r="H839" s="951">
        <v>0</v>
      </c>
      <c r="I839" s="951">
        <v>0</v>
      </c>
      <c r="J839" s="947" t="s">
        <v>371</v>
      </c>
      <c r="K839" s="947">
        <v>312504</v>
      </c>
      <c r="M839" s="631"/>
      <c r="P839" s="950" t="str">
        <f>VLOOKUP(J839,'רשימת רשויות'!A:A,1,0)</f>
        <v>קרית אתא</v>
      </c>
      <c r="Q839" s="956">
        <f>IFERROR(VLOOKUP(B839,[2]מעובד!$D:$K,8,0),0)</f>
        <v>207</v>
      </c>
      <c r="R839" s="956">
        <f>IFERROR(VLOOKUP(B839,[2]מעובד!$D:$L,9,0),0)</f>
        <v>146</v>
      </c>
    </row>
    <row r="840" spans="1:18" x14ac:dyDescent="0.2">
      <c r="A840" s="947" t="s">
        <v>259</v>
      </c>
      <c r="B840" s="947">
        <v>312512</v>
      </c>
      <c r="C840" s="947" t="s">
        <v>2189</v>
      </c>
      <c r="D840" s="947" t="s">
        <v>2742</v>
      </c>
      <c r="E840" s="951">
        <v>63</v>
      </c>
      <c r="F840" s="951">
        <v>40</v>
      </c>
      <c r="G840" s="947" t="s">
        <v>3252</v>
      </c>
      <c r="H840" s="951">
        <v>0</v>
      </c>
      <c r="I840" s="951">
        <v>0</v>
      </c>
      <c r="J840" s="947" t="s">
        <v>259</v>
      </c>
      <c r="K840" s="947">
        <v>312512</v>
      </c>
      <c r="M840" s="631"/>
      <c r="P840" s="950" t="str">
        <f>VLOOKUP(J840,'רשימת רשויות'!A:A,1,0)</f>
        <v>טירת כרמל</v>
      </c>
      <c r="Q840" s="956">
        <f>IFERROR(VLOOKUP(B840,[2]מעובד!$D:$K,8,0),0)</f>
        <v>0</v>
      </c>
      <c r="R840" s="956">
        <f>IFERROR(VLOOKUP(B840,[2]מעובד!$D:$L,9,0),0)</f>
        <v>0</v>
      </c>
    </row>
    <row r="841" spans="1:18" x14ac:dyDescent="0.2">
      <c r="A841" s="947" t="s">
        <v>372</v>
      </c>
      <c r="B841" s="947">
        <v>312520</v>
      </c>
      <c r="C841" s="947" t="s">
        <v>2189</v>
      </c>
      <c r="D841" s="947" t="s">
        <v>2399</v>
      </c>
      <c r="E841" s="951">
        <v>306</v>
      </c>
      <c r="F841" s="951">
        <v>181</v>
      </c>
      <c r="G841" s="947" t="s">
        <v>159</v>
      </c>
      <c r="H841" s="951">
        <v>192</v>
      </c>
      <c r="I841" s="951">
        <v>14</v>
      </c>
      <c r="J841" s="947" t="s">
        <v>372</v>
      </c>
      <c r="K841" s="947">
        <v>312520</v>
      </c>
      <c r="M841" s="631"/>
      <c r="P841" s="950" t="str">
        <f>VLOOKUP(J841,'רשימת רשויות'!A:A,1,0)</f>
        <v>קרית ביאליק</v>
      </c>
      <c r="Q841" s="956">
        <f>IFERROR(VLOOKUP(B841,[2]מעובד!$D:$K,8,0),0)</f>
        <v>339</v>
      </c>
      <c r="R841" s="956">
        <f>IFERROR(VLOOKUP(B841,[2]מעובד!$D:$L,9,0),0)</f>
        <v>129</v>
      </c>
    </row>
    <row r="842" spans="1:18" x14ac:dyDescent="0.2">
      <c r="A842" s="947" t="s">
        <v>259</v>
      </c>
      <c r="B842" s="947">
        <v>312538</v>
      </c>
      <c r="C842" s="947" t="s">
        <v>2189</v>
      </c>
      <c r="D842" s="947" t="s">
        <v>2400</v>
      </c>
      <c r="E842" s="951">
        <v>174</v>
      </c>
      <c r="F842" s="951">
        <v>105</v>
      </c>
      <c r="G842" s="947" t="s">
        <v>159</v>
      </c>
      <c r="H842" s="951">
        <v>0</v>
      </c>
      <c r="I842" s="951">
        <v>0</v>
      </c>
      <c r="J842" s="947" t="s">
        <v>259</v>
      </c>
      <c r="K842" s="947">
        <v>312538</v>
      </c>
      <c r="M842" s="631"/>
      <c r="P842" s="950" t="str">
        <f>VLOOKUP(J842,'רשימת רשויות'!A:A,1,0)</f>
        <v>טירת כרמל</v>
      </c>
      <c r="Q842" s="956">
        <f>IFERROR(VLOOKUP(B842,[2]מעובד!$D:$K,8,0),0)</f>
        <v>188</v>
      </c>
      <c r="R842" s="956">
        <f>IFERROR(VLOOKUP(B842,[2]מעובד!$D:$L,9,0),0)</f>
        <v>75</v>
      </c>
    </row>
    <row r="843" spans="1:18" x14ac:dyDescent="0.2">
      <c r="A843" s="947" t="s">
        <v>375</v>
      </c>
      <c r="B843" s="947">
        <v>312579</v>
      </c>
      <c r="C843" s="947" t="s">
        <v>2189</v>
      </c>
      <c r="D843" s="947" t="s">
        <v>546</v>
      </c>
      <c r="E843" s="951">
        <v>27</v>
      </c>
      <c r="F843" s="951">
        <v>0</v>
      </c>
      <c r="G843" s="947" t="s">
        <v>159</v>
      </c>
      <c r="H843" s="951">
        <v>27</v>
      </c>
      <c r="I843" s="951">
        <v>0</v>
      </c>
      <c r="J843" s="947" t="s">
        <v>375</v>
      </c>
      <c r="K843" s="947">
        <v>312579</v>
      </c>
      <c r="M843" s="631"/>
      <c r="P843" s="950" t="str">
        <f>VLOOKUP(J843,'רשימת רשויות'!A:A,1,0)</f>
        <v>קרית ים</v>
      </c>
      <c r="Q843" s="956">
        <f>IFERROR(VLOOKUP(B843,[2]מעובד!$D:$K,8,0),0)</f>
        <v>0</v>
      </c>
      <c r="R843" s="956">
        <f>IFERROR(VLOOKUP(B843,[2]מעובד!$D:$L,9,0),0)</f>
        <v>0</v>
      </c>
    </row>
    <row r="844" spans="1:18" x14ac:dyDescent="0.2">
      <c r="A844" s="947" t="s">
        <v>251</v>
      </c>
      <c r="B844" s="947">
        <v>312603</v>
      </c>
      <c r="C844" s="947" t="s">
        <v>2189</v>
      </c>
      <c r="D844" s="947" t="s">
        <v>2992</v>
      </c>
      <c r="E844" s="951">
        <v>151</v>
      </c>
      <c r="F844" s="951">
        <v>150</v>
      </c>
      <c r="G844" s="947" t="s">
        <v>159</v>
      </c>
      <c r="H844" s="951">
        <v>0</v>
      </c>
      <c r="I844" s="951">
        <v>0</v>
      </c>
      <c r="J844" s="947" t="s">
        <v>251</v>
      </c>
      <c r="K844" s="947">
        <v>312603</v>
      </c>
      <c r="M844" s="631"/>
      <c r="P844" s="950" t="str">
        <f>VLOOKUP(J844,'רשימת רשויות'!A:A,1,0)</f>
        <v>חיפה</v>
      </c>
      <c r="Q844" s="956">
        <f>IFERROR(VLOOKUP(B844,[2]מעובד!$D:$K,8,0),0)</f>
        <v>137</v>
      </c>
      <c r="R844" s="956">
        <f>IFERROR(VLOOKUP(B844,[2]מעובד!$D:$L,9,0),0)</f>
        <v>80</v>
      </c>
    </row>
    <row r="845" spans="1:18" x14ac:dyDescent="0.2">
      <c r="A845" s="947" t="s">
        <v>377</v>
      </c>
      <c r="B845" s="947">
        <v>312611</v>
      </c>
      <c r="C845" s="947" t="s">
        <v>2189</v>
      </c>
      <c r="D845" s="947" t="s">
        <v>607</v>
      </c>
      <c r="E845" s="951">
        <v>246</v>
      </c>
      <c r="F845" s="951">
        <v>124</v>
      </c>
      <c r="G845" s="947" t="s">
        <v>159</v>
      </c>
      <c r="H845" s="951">
        <v>111</v>
      </c>
      <c r="I845" s="951">
        <v>0</v>
      </c>
      <c r="J845" s="947" t="s">
        <v>377</v>
      </c>
      <c r="K845" s="947">
        <v>312611</v>
      </c>
      <c r="M845" s="631"/>
      <c r="P845" s="950" t="str">
        <f>VLOOKUP(J845,'רשימת רשויות'!A:A,1,0)</f>
        <v>קרית מוצקין</v>
      </c>
      <c r="Q845" s="956">
        <f>IFERROR(VLOOKUP(B845,[2]מעובד!$D:$K,8,0),0)</f>
        <v>169</v>
      </c>
      <c r="R845" s="956">
        <f>IFERROR(VLOOKUP(B845,[2]מעובד!$D:$L,9,0),0)</f>
        <v>105</v>
      </c>
    </row>
    <row r="846" spans="1:18" x14ac:dyDescent="0.2">
      <c r="A846" s="947" t="s">
        <v>371</v>
      </c>
      <c r="B846" s="947">
        <v>312629</v>
      </c>
      <c r="C846" s="947" t="s">
        <v>2189</v>
      </c>
      <c r="D846" s="947" t="s">
        <v>547</v>
      </c>
      <c r="E846" s="951">
        <v>223</v>
      </c>
      <c r="F846" s="951">
        <v>103</v>
      </c>
      <c r="G846" s="947" t="s">
        <v>159</v>
      </c>
      <c r="H846" s="951">
        <v>77</v>
      </c>
      <c r="I846" s="951">
        <v>0</v>
      </c>
      <c r="J846" s="947" t="s">
        <v>371</v>
      </c>
      <c r="K846" s="947">
        <v>312629</v>
      </c>
      <c r="M846" s="631"/>
      <c r="P846" s="950" t="str">
        <f>VLOOKUP(J846,'רשימת רשויות'!A:A,1,0)</f>
        <v>קרית אתא</v>
      </c>
      <c r="Q846" s="956">
        <f>IFERROR(VLOOKUP(B846,[2]מעובד!$D:$K,8,0),0)</f>
        <v>128</v>
      </c>
      <c r="R846" s="956">
        <f>IFERROR(VLOOKUP(B846,[2]מעובד!$D:$L,9,0),0)</f>
        <v>120</v>
      </c>
    </row>
    <row r="847" spans="1:18" x14ac:dyDescent="0.2">
      <c r="A847" s="947" t="s">
        <v>371</v>
      </c>
      <c r="B847" s="947">
        <v>312637</v>
      </c>
      <c r="C847" s="947" t="s">
        <v>2189</v>
      </c>
      <c r="D847" s="947" t="s">
        <v>548</v>
      </c>
      <c r="E847" s="951">
        <v>170</v>
      </c>
      <c r="F847" s="951">
        <v>109</v>
      </c>
      <c r="G847" s="947" t="s">
        <v>159</v>
      </c>
      <c r="H847" s="951">
        <v>70</v>
      </c>
      <c r="I847" s="951">
        <v>6</v>
      </c>
      <c r="J847" s="947" t="s">
        <v>371</v>
      </c>
      <c r="K847" s="947">
        <v>312637</v>
      </c>
      <c r="M847" s="631"/>
      <c r="P847" s="950" t="str">
        <f>VLOOKUP(J847,'רשימת רשויות'!A:A,1,0)</f>
        <v>קרית אתא</v>
      </c>
      <c r="Q847" s="956">
        <f>IFERROR(VLOOKUP(B847,[2]מעובד!$D:$K,8,0),0)</f>
        <v>105</v>
      </c>
      <c r="R847" s="956">
        <f>IFERROR(VLOOKUP(B847,[2]מעובד!$D:$L,9,0),0)</f>
        <v>43</v>
      </c>
    </row>
    <row r="848" spans="1:18" x14ac:dyDescent="0.2">
      <c r="A848" s="947" t="s">
        <v>236</v>
      </c>
      <c r="B848" s="947">
        <v>312652</v>
      </c>
      <c r="C848" s="947" t="s">
        <v>2189</v>
      </c>
      <c r="D848" s="947" t="s">
        <v>650</v>
      </c>
      <c r="E848" s="951">
        <v>82</v>
      </c>
      <c r="F848" s="951">
        <v>82</v>
      </c>
      <c r="G848" s="947" t="s">
        <v>159</v>
      </c>
      <c r="H848" s="951">
        <v>0</v>
      </c>
      <c r="I848" s="951">
        <v>0</v>
      </c>
      <c r="J848" s="947" t="s">
        <v>236</v>
      </c>
      <c r="K848" s="947">
        <v>312652</v>
      </c>
      <c r="M848" s="631"/>
      <c r="P848" s="950" t="str">
        <f>VLOOKUP(J848,'רשימת רשויות'!A:A,1,0)</f>
        <v>זבולון</v>
      </c>
      <c r="Q848" s="956">
        <f>IFERROR(VLOOKUP(B848,[2]מעובד!$D:$K,8,0),0)</f>
        <v>90</v>
      </c>
      <c r="R848" s="956">
        <f>IFERROR(VLOOKUP(B848,[2]מעובד!$D:$L,9,0),0)</f>
        <v>42</v>
      </c>
    </row>
    <row r="849" spans="1:18" x14ac:dyDescent="0.2">
      <c r="A849" s="947" t="s">
        <v>244</v>
      </c>
      <c r="B849" s="947">
        <v>312660</v>
      </c>
      <c r="C849" s="947" t="s">
        <v>2189</v>
      </c>
      <c r="D849" s="947" t="s">
        <v>549</v>
      </c>
      <c r="E849" s="951">
        <v>109</v>
      </c>
      <c r="F849" s="951">
        <v>58</v>
      </c>
      <c r="G849" s="947" t="s">
        <v>159</v>
      </c>
      <c r="H849" s="951">
        <v>0</v>
      </c>
      <c r="I849" s="951">
        <v>0</v>
      </c>
      <c r="J849" s="947" t="s">
        <v>244</v>
      </c>
      <c r="K849" s="947">
        <v>312660</v>
      </c>
      <c r="M849" s="631"/>
      <c r="P849" s="950" t="str">
        <f>VLOOKUP(J849,'רשימת רשויות'!A:A,1,0)</f>
        <v>חדרה</v>
      </c>
      <c r="Q849" s="956">
        <f>IFERROR(VLOOKUP(B849,[2]מעובד!$D:$K,8,0),0)</f>
        <v>143</v>
      </c>
      <c r="R849" s="956">
        <f>IFERROR(VLOOKUP(B849,[2]מעובד!$D:$L,9,0),0)</f>
        <v>60</v>
      </c>
    </row>
    <row r="850" spans="1:18" x14ac:dyDescent="0.2">
      <c r="A850" s="947" t="s">
        <v>389</v>
      </c>
      <c r="B850" s="947">
        <v>312686</v>
      </c>
      <c r="C850" s="947" t="s">
        <v>2189</v>
      </c>
      <c r="D850" s="947" t="s">
        <v>1346</v>
      </c>
      <c r="E850" s="951">
        <v>29</v>
      </c>
      <c r="F850" s="951">
        <v>29</v>
      </c>
      <c r="G850" s="947" t="s">
        <v>3252</v>
      </c>
      <c r="H850" s="951">
        <v>0</v>
      </c>
      <c r="I850" s="951">
        <v>0</v>
      </c>
      <c r="J850" s="947" t="s">
        <v>389</v>
      </c>
      <c r="K850" s="947">
        <v>312686</v>
      </c>
      <c r="M850" s="631"/>
      <c r="P850" s="950" t="str">
        <f>VLOOKUP(J850,'רשימת רשויות'!A:A,1,0)</f>
        <v>רכסים</v>
      </c>
      <c r="Q850" s="956">
        <f>IFERROR(VLOOKUP(B850,[2]מעובד!$D:$K,8,0),0)</f>
        <v>0</v>
      </c>
      <c r="R850" s="956">
        <f>IFERROR(VLOOKUP(B850,[2]מעובד!$D:$L,9,0),0)</f>
        <v>0</v>
      </c>
    </row>
    <row r="851" spans="1:18" x14ac:dyDescent="0.2">
      <c r="A851" s="947" t="s">
        <v>251</v>
      </c>
      <c r="B851" s="947">
        <v>312694</v>
      </c>
      <c r="C851" s="947" t="s">
        <v>2189</v>
      </c>
      <c r="D851" s="947" t="s">
        <v>2401</v>
      </c>
      <c r="E851" s="951">
        <v>83</v>
      </c>
      <c r="F851" s="951">
        <v>83</v>
      </c>
      <c r="G851" s="947" t="s">
        <v>3252</v>
      </c>
      <c r="H851" s="951">
        <v>0</v>
      </c>
      <c r="I851" s="951">
        <v>0</v>
      </c>
      <c r="J851" s="947" t="s">
        <v>251</v>
      </c>
      <c r="K851" s="947">
        <v>312694</v>
      </c>
      <c r="M851" s="631"/>
      <c r="P851" s="950" t="str">
        <f>VLOOKUP(J851,'רשימת רשויות'!A:A,1,0)</f>
        <v>חיפה</v>
      </c>
      <c r="Q851" s="956">
        <f>IFERROR(VLOOKUP(B851,[2]מעובד!$D:$K,8,0),0)</f>
        <v>0</v>
      </c>
      <c r="R851" s="956">
        <f>IFERROR(VLOOKUP(B851,[2]מעובד!$D:$L,9,0),0)</f>
        <v>0</v>
      </c>
    </row>
    <row r="852" spans="1:18" x14ac:dyDescent="0.2">
      <c r="A852" s="947" t="s">
        <v>371</v>
      </c>
      <c r="B852" s="947">
        <v>312702</v>
      </c>
      <c r="C852" s="947" t="s">
        <v>2189</v>
      </c>
      <c r="D852" s="947" t="s">
        <v>270</v>
      </c>
      <c r="E852" s="951">
        <v>219</v>
      </c>
      <c r="F852" s="951">
        <v>113</v>
      </c>
      <c r="G852" s="947" t="s">
        <v>159</v>
      </c>
      <c r="H852" s="951">
        <v>81</v>
      </c>
      <c r="I852" s="951">
        <v>5</v>
      </c>
      <c r="J852" s="947" t="s">
        <v>371</v>
      </c>
      <c r="K852" s="947">
        <v>312702</v>
      </c>
      <c r="M852" s="631"/>
      <c r="P852" s="950" t="str">
        <f>VLOOKUP(J852,'רשימת רשויות'!A:A,1,0)</f>
        <v>קרית אתא</v>
      </c>
      <c r="Q852" s="956">
        <f>IFERROR(VLOOKUP(B852,[2]מעובד!$D:$K,8,0),0)</f>
        <v>261</v>
      </c>
      <c r="R852" s="956">
        <f>IFERROR(VLOOKUP(B852,[2]מעובד!$D:$L,9,0),0)</f>
        <v>135</v>
      </c>
    </row>
    <row r="853" spans="1:18" x14ac:dyDescent="0.2">
      <c r="A853" s="947" t="s">
        <v>237</v>
      </c>
      <c r="B853" s="947">
        <v>312710</v>
      </c>
      <c r="C853" s="947" t="s">
        <v>2189</v>
      </c>
      <c r="D853" s="947" t="s">
        <v>553</v>
      </c>
      <c r="E853" s="951">
        <v>211</v>
      </c>
      <c r="F853" s="951">
        <v>113</v>
      </c>
      <c r="G853" s="947" t="s">
        <v>159</v>
      </c>
      <c r="H853" s="951">
        <v>0</v>
      </c>
      <c r="I853" s="951">
        <v>0</v>
      </c>
      <c r="J853" s="947" t="s">
        <v>237</v>
      </c>
      <c r="K853" s="947">
        <v>312710</v>
      </c>
      <c r="M853" s="631"/>
      <c r="P853" s="950" t="str">
        <f>VLOOKUP(J853,'רשימת רשויות'!A:A,1,0)</f>
        <v>זכרון יעקב</v>
      </c>
      <c r="Q853" s="956">
        <f>IFERROR(VLOOKUP(B853,[2]מעובד!$D:$K,8,0),0)</f>
        <v>211</v>
      </c>
      <c r="R853" s="956">
        <f>IFERROR(VLOOKUP(B853,[2]מעובד!$D:$L,9,0),0)</f>
        <v>45</v>
      </c>
    </row>
    <row r="854" spans="1:18" x14ac:dyDescent="0.2">
      <c r="A854" s="947" t="s">
        <v>361</v>
      </c>
      <c r="B854" s="947">
        <v>312728</v>
      </c>
      <c r="C854" s="947" t="s">
        <v>2189</v>
      </c>
      <c r="D854" s="947" t="s">
        <v>554</v>
      </c>
      <c r="E854" s="951">
        <v>189</v>
      </c>
      <c r="F854" s="951">
        <v>182</v>
      </c>
      <c r="G854" s="947" t="s">
        <v>159</v>
      </c>
      <c r="H854" s="951">
        <v>0</v>
      </c>
      <c r="I854" s="951">
        <v>0</v>
      </c>
      <c r="J854" s="947" t="s">
        <v>361</v>
      </c>
      <c r="K854" s="947">
        <v>312728</v>
      </c>
      <c r="M854" s="631"/>
      <c r="P854" s="950" t="str">
        <f>VLOOKUP(J854,'רשימת רשויות'!A:A,1,0)</f>
        <v>פרדס חנה-כרכור</v>
      </c>
      <c r="Q854" s="956">
        <f>IFERROR(VLOOKUP(B854,[2]מעובד!$D:$K,8,0),0)</f>
        <v>183</v>
      </c>
      <c r="R854" s="956">
        <f>IFERROR(VLOOKUP(B854,[2]מעובד!$D:$L,9,0),0)</f>
        <v>56</v>
      </c>
    </row>
    <row r="855" spans="1:18" x14ac:dyDescent="0.2">
      <c r="A855" s="947" t="s">
        <v>166</v>
      </c>
      <c r="B855" s="947">
        <v>312736</v>
      </c>
      <c r="C855" s="947" t="s">
        <v>2189</v>
      </c>
      <c r="D855" s="947" t="s">
        <v>555</v>
      </c>
      <c r="E855" s="951">
        <v>140</v>
      </c>
      <c r="F855" s="951">
        <v>64</v>
      </c>
      <c r="G855" s="947" t="s">
        <v>159</v>
      </c>
      <c r="H855" s="951">
        <v>58</v>
      </c>
      <c r="I855" s="951">
        <v>6</v>
      </c>
      <c r="J855" s="947" t="s">
        <v>166</v>
      </c>
      <c r="K855" s="947">
        <v>312736</v>
      </c>
      <c r="M855" s="631"/>
      <c r="P855" s="950" t="str">
        <f>VLOOKUP(J855,'רשימת רשויות'!A:A,1,0)</f>
        <v>אור עקיבא</v>
      </c>
      <c r="Q855" s="956">
        <f>IFERROR(VLOOKUP(B855,[2]מעובד!$D:$K,8,0),0)</f>
        <v>167</v>
      </c>
      <c r="R855" s="956">
        <f>IFERROR(VLOOKUP(B855,[2]מעובד!$D:$L,9,0),0)</f>
        <v>85</v>
      </c>
    </row>
    <row r="856" spans="1:18" x14ac:dyDescent="0.2">
      <c r="A856" s="947" t="s">
        <v>244</v>
      </c>
      <c r="B856" s="947">
        <v>312744</v>
      </c>
      <c r="C856" s="947" t="s">
        <v>2189</v>
      </c>
      <c r="D856" s="947" t="s">
        <v>556</v>
      </c>
      <c r="E856" s="951">
        <v>372</v>
      </c>
      <c r="F856" s="951">
        <v>261</v>
      </c>
      <c r="G856" s="947" t="s">
        <v>159</v>
      </c>
      <c r="H856" s="951">
        <v>0</v>
      </c>
      <c r="I856" s="951">
        <v>0</v>
      </c>
      <c r="J856" s="947" t="s">
        <v>244</v>
      </c>
      <c r="K856" s="947">
        <v>312744</v>
      </c>
      <c r="M856" s="631"/>
      <c r="P856" s="950" t="str">
        <f>VLOOKUP(J856,'רשימת רשויות'!A:A,1,0)</f>
        <v>חדרה</v>
      </c>
      <c r="Q856" s="956">
        <f>IFERROR(VLOOKUP(B856,[2]מעובד!$D:$K,8,0),0)</f>
        <v>390</v>
      </c>
      <c r="R856" s="956">
        <f>IFERROR(VLOOKUP(B856,[2]מעובד!$D:$L,9,0),0)</f>
        <v>162</v>
      </c>
    </row>
    <row r="857" spans="1:18" x14ac:dyDescent="0.2">
      <c r="A857" s="947" t="s">
        <v>371</v>
      </c>
      <c r="B857" s="947">
        <v>312751</v>
      </c>
      <c r="C857" s="947" t="s">
        <v>2189</v>
      </c>
      <c r="D857" s="947" t="s">
        <v>2708</v>
      </c>
      <c r="E857" s="951">
        <v>101</v>
      </c>
      <c r="F857" s="951">
        <v>55</v>
      </c>
      <c r="G857" s="947" t="s">
        <v>159</v>
      </c>
      <c r="H857" s="951">
        <v>0</v>
      </c>
      <c r="I857" s="951">
        <v>0</v>
      </c>
      <c r="J857" s="947" t="s">
        <v>371</v>
      </c>
      <c r="K857" s="947">
        <v>312751</v>
      </c>
      <c r="M857" s="631"/>
      <c r="P857" s="950" t="str">
        <f>VLOOKUP(J857,'רשימת רשויות'!A:A,1,0)</f>
        <v>קרית אתא</v>
      </c>
      <c r="Q857" s="956">
        <f>IFERROR(VLOOKUP(B857,[2]מעובד!$D:$K,8,0),0)</f>
        <v>106</v>
      </c>
      <c r="R857" s="956">
        <f>IFERROR(VLOOKUP(B857,[2]מעובד!$D:$L,9,0),0)</f>
        <v>48</v>
      </c>
    </row>
    <row r="858" spans="1:18" x14ac:dyDescent="0.2">
      <c r="A858" s="947" t="s">
        <v>374</v>
      </c>
      <c r="B858" s="947">
        <v>312769</v>
      </c>
      <c r="C858" s="947" t="s">
        <v>2189</v>
      </c>
      <c r="D858" s="947" t="s">
        <v>557</v>
      </c>
      <c r="E858" s="951">
        <v>200</v>
      </c>
      <c r="F858" s="951">
        <v>100</v>
      </c>
      <c r="G858" s="947" t="s">
        <v>159</v>
      </c>
      <c r="H858" s="951">
        <v>0</v>
      </c>
      <c r="I858" s="951">
        <v>0</v>
      </c>
      <c r="J858" s="947" t="s">
        <v>374</v>
      </c>
      <c r="K858" s="957" t="s">
        <v>3275</v>
      </c>
      <c r="M858" s="631"/>
      <c r="P858" s="950" t="str">
        <f>VLOOKUP(J858,'רשימת רשויות'!A:A,1,0)</f>
        <v>קרית טבעון</v>
      </c>
      <c r="Q858" s="956">
        <f>IFERROR(VLOOKUP(B858,[2]מעובד!$D:$K,8,0),0)</f>
        <v>0</v>
      </c>
      <c r="R858" s="956">
        <f>IFERROR(VLOOKUP(B858,[2]מעובד!$D:$L,9,0),0)</f>
        <v>0</v>
      </c>
    </row>
    <row r="859" spans="1:18" x14ac:dyDescent="0.2">
      <c r="A859" s="947" t="s">
        <v>237</v>
      </c>
      <c r="B859" s="947">
        <v>312793</v>
      </c>
      <c r="C859" s="947" t="s">
        <v>2189</v>
      </c>
      <c r="D859" s="947" t="s">
        <v>564</v>
      </c>
      <c r="E859" s="951">
        <v>241</v>
      </c>
      <c r="F859" s="951">
        <v>143</v>
      </c>
      <c r="G859" s="947" t="s">
        <v>159</v>
      </c>
      <c r="H859" s="951">
        <v>87</v>
      </c>
      <c r="I859" s="951">
        <v>0</v>
      </c>
      <c r="J859" s="947" t="s">
        <v>237</v>
      </c>
      <c r="K859" s="947">
        <v>312793</v>
      </c>
      <c r="M859" s="631"/>
      <c r="P859" s="950" t="str">
        <f>VLOOKUP(J859,'רשימת רשויות'!A:A,1,0)</f>
        <v>זכרון יעקב</v>
      </c>
      <c r="Q859" s="956">
        <f>IFERROR(VLOOKUP(B859,[2]מעובד!$D:$K,8,0),0)</f>
        <v>249</v>
      </c>
      <c r="R859" s="956">
        <f>IFERROR(VLOOKUP(B859,[2]מעובד!$D:$L,9,0),0)</f>
        <v>75</v>
      </c>
    </row>
    <row r="860" spans="1:18" x14ac:dyDescent="0.2">
      <c r="A860" s="947" t="s">
        <v>259</v>
      </c>
      <c r="B860" s="947">
        <v>312819</v>
      </c>
      <c r="C860" s="947" t="s">
        <v>2189</v>
      </c>
      <c r="D860" s="947" t="s">
        <v>565</v>
      </c>
      <c r="E860" s="951">
        <v>190</v>
      </c>
      <c r="F860" s="951">
        <v>95</v>
      </c>
      <c r="G860" s="947" t="s">
        <v>159</v>
      </c>
      <c r="H860" s="951">
        <v>77</v>
      </c>
      <c r="I860" s="951">
        <v>2</v>
      </c>
      <c r="J860" s="947" t="s">
        <v>259</v>
      </c>
      <c r="K860" s="947">
        <v>312819</v>
      </c>
      <c r="M860" s="631"/>
      <c r="P860" s="950" t="str">
        <f>VLOOKUP(J860,'רשימת רשויות'!A:A,1,0)</f>
        <v>טירת כרמל</v>
      </c>
      <c r="Q860" s="956">
        <f>IFERROR(VLOOKUP(B860,[2]מעובד!$D:$K,8,0),0)</f>
        <v>202</v>
      </c>
      <c r="R860" s="956">
        <f>IFERROR(VLOOKUP(B860,[2]מעובד!$D:$L,9,0),0)</f>
        <v>81</v>
      </c>
    </row>
    <row r="861" spans="1:18" x14ac:dyDescent="0.2">
      <c r="A861" s="947" t="s">
        <v>247</v>
      </c>
      <c r="B861" s="947">
        <v>312835</v>
      </c>
      <c r="C861" s="947" t="s">
        <v>2189</v>
      </c>
      <c r="D861" s="947" t="s">
        <v>2748</v>
      </c>
      <c r="E861" s="951">
        <v>179</v>
      </c>
      <c r="F861" s="951">
        <v>111</v>
      </c>
      <c r="G861" s="947" t="s">
        <v>159</v>
      </c>
      <c r="H861" s="951">
        <v>0</v>
      </c>
      <c r="I861" s="951">
        <v>0</v>
      </c>
      <c r="J861" s="947" t="s">
        <v>247</v>
      </c>
      <c r="K861" s="947">
        <v>312835</v>
      </c>
      <c r="M861" s="631"/>
      <c r="P861" s="950" t="str">
        <f>VLOOKUP(J861,'רשימת רשויות'!A:A,1,0)</f>
        <v>חוף הכרמל</v>
      </c>
      <c r="Q861" s="956">
        <f>IFERROR(VLOOKUP(B861,[2]מעובד!$D:$K,8,0),0)</f>
        <v>215</v>
      </c>
      <c r="R861" s="956">
        <f>IFERROR(VLOOKUP(B861,[2]מעובד!$D:$L,9,0),0)</f>
        <v>67</v>
      </c>
    </row>
    <row r="862" spans="1:18" x14ac:dyDescent="0.2">
      <c r="A862" s="947" t="s">
        <v>166</v>
      </c>
      <c r="B862" s="947">
        <v>312850</v>
      </c>
      <c r="C862" s="947" t="s">
        <v>2189</v>
      </c>
      <c r="D862" s="947" t="s">
        <v>1025</v>
      </c>
      <c r="E862" s="951">
        <v>361</v>
      </c>
      <c r="F862" s="951">
        <v>246</v>
      </c>
      <c r="G862" s="947" t="s">
        <v>159</v>
      </c>
      <c r="H862" s="951">
        <v>0</v>
      </c>
      <c r="I862" s="951">
        <v>0</v>
      </c>
      <c r="J862" s="947" t="s">
        <v>166</v>
      </c>
      <c r="K862" s="947">
        <v>312850</v>
      </c>
      <c r="M862" s="631"/>
      <c r="P862" s="950" t="str">
        <f>VLOOKUP(J862,'רשימת רשויות'!A:A,1,0)</f>
        <v>אור עקיבא</v>
      </c>
      <c r="Q862" s="956">
        <f>IFERROR(VLOOKUP(B862,[2]מעובד!$D:$K,8,0),0)</f>
        <v>170</v>
      </c>
      <c r="R862" s="956">
        <f>IFERROR(VLOOKUP(B862,[2]מעובד!$D:$L,9,0),0)</f>
        <v>75</v>
      </c>
    </row>
    <row r="863" spans="1:18" x14ac:dyDescent="0.2">
      <c r="A863" s="947" t="s">
        <v>244</v>
      </c>
      <c r="B863" s="947">
        <v>312876</v>
      </c>
      <c r="C863" s="947" t="s">
        <v>2189</v>
      </c>
      <c r="D863" s="947" t="s">
        <v>1365</v>
      </c>
      <c r="E863" s="951">
        <v>105</v>
      </c>
      <c r="F863" s="951">
        <v>53</v>
      </c>
      <c r="G863" s="947" t="s">
        <v>3252</v>
      </c>
      <c r="H863" s="951">
        <v>0</v>
      </c>
      <c r="I863" s="951">
        <v>0</v>
      </c>
      <c r="J863" s="947" t="s">
        <v>244</v>
      </c>
      <c r="K863" s="947">
        <v>312876</v>
      </c>
      <c r="M863" s="631"/>
      <c r="P863" s="950" t="str">
        <f>VLOOKUP(J863,'רשימת רשויות'!A:A,1,0)</f>
        <v>חדרה</v>
      </c>
      <c r="Q863" s="956">
        <f>IFERROR(VLOOKUP(B863,[2]מעובד!$D:$K,8,0),0)</f>
        <v>122</v>
      </c>
      <c r="R863" s="956">
        <f>IFERROR(VLOOKUP(B863,[2]מעובד!$D:$L,9,0),0)</f>
        <v>85</v>
      </c>
    </row>
    <row r="864" spans="1:18" x14ac:dyDescent="0.2">
      <c r="A864" s="947" t="s">
        <v>237</v>
      </c>
      <c r="B864" s="947">
        <v>312918</v>
      </c>
      <c r="C864" s="947" t="s">
        <v>2189</v>
      </c>
      <c r="D864" s="947" t="s">
        <v>1238</v>
      </c>
      <c r="E864" s="951">
        <v>58</v>
      </c>
      <c r="F864" s="951">
        <v>0</v>
      </c>
      <c r="G864" s="947" t="s">
        <v>3252</v>
      </c>
      <c r="H864" s="951">
        <v>0</v>
      </c>
      <c r="I864" s="951">
        <v>0</v>
      </c>
      <c r="J864" s="947" t="s">
        <v>237</v>
      </c>
      <c r="K864" s="947">
        <v>312918</v>
      </c>
      <c r="M864" s="631"/>
      <c r="P864" s="950" t="str">
        <f>VLOOKUP(J864,'רשימת רשויות'!A:A,1,0)</f>
        <v>זכרון יעקב</v>
      </c>
      <c r="Q864" s="956">
        <f>IFERROR(VLOOKUP(B864,[2]מעובד!$D:$K,8,0),0)</f>
        <v>0</v>
      </c>
      <c r="R864" s="956">
        <f>IFERROR(VLOOKUP(B864,[2]מעובד!$D:$L,9,0),0)</f>
        <v>0</v>
      </c>
    </row>
    <row r="865" spans="1:18" x14ac:dyDescent="0.2">
      <c r="A865" s="947" t="s">
        <v>237</v>
      </c>
      <c r="B865" s="947">
        <v>312926</v>
      </c>
      <c r="C865" s="947" t="s">
        <v>2189</v>
      </c>
      <c r="D865" s="947" t="s">
        <v>2993</v>
      </c>
      <c r="E865" s="951">
        <v>126</v>
      </c>
      <c r="F865" s="951">
        <v>0</v>
      </c>
      <c r="G865" s="947" t="s">
        <v>3252</v>
      </c>
      <c r="H865" s="951">
        <v>0</v>
      </c>
      <c r="I865" s="951">
        <v>0</v>
      </c>
      <c r="J865" s="947" t="s">
        <v>237</v>
      </c>
      <c r="K865" s="947">
        <v>312926</v>
      </c>
      <c r="M865" s="631"/>
      <c r="P865" s="950" t="str">
        <f>VLOOKUP(J865,'רשימת רשויות'!A:A,1,0)</f>
        <v>זכרון יעקב</v>
      </c>
      <c r="Q865" s="956">
        <f>IFERROR(VLOOKUP(B865,[2]מעובד!$D:$K,8,0),0)</f>
        <v>0</v>
      </c>
      <c r="R865" s="956">
        <f>IFERROR(VLOOKUP(B865,[2]מעובד!$D:$L,9,0),0)</f>
        <v>0</v>
      </c>
    </row>
    <row r="866" spans="1:18" x14ac:dyDescent="0.2">
      <c r="A866" s="947" t="s">
        <v>247</v>
      </c>
      <c r="B866" s="947">
        <v>312942</v>
      </c>
      <c r="C866" s="947" t="s">
        <v>2189</v>
      </c>
      <c r="D866" s="947" t="s">
        <v>313</v>
      </c>
      <c r="E866" s="951">
        <v>65</v>
      </c>
      <c r="F866" s="951">
        <v>54</v>
      </c>
      <c r="G866" s="947" t="s">
        <v>3252</v>
      </c>
      <c r="H866" s="951">
        <v>0</v>
      </c>
      <c r="I866" s="951">
        <v>0</v>
      </c>
      <c r="J866" s="947" t="s">
        <v>247</v>
      </c>
      <c r="K866" s="947">
        <v>312942</v>
      </c>
      <c r="M866" s="631"/>
      <c r="P866" s="950" t="str">
        <f>VLOOKUP(J866,'רשימת רשויות'!A:A,1,0)</f>
        <v>חוף הכרמל</v>
      </c>
      <c r="Q866" s="956">
        <f>IFERROR(VLOOKUP(B866,[2]מעובד!$D:$K,8,0),0)</f>
        <v>0</v>
      </c>
      <c r="R866" s="956">
        <f>IFERROR(VLOOKUP(B866,[2]מעובד!$D:$L,9,0),0)</f>
        <v>0</v>
      </c>
    </row>
    <row r="867" spans="1:18" x14ac:dyDescent="0.2">
      <c r="A867" s="947" t="s">
        <v>251</v>
      </c>
      <c r="B867" s="947">
        <v>312975</v>
      </c>
      <c r="C867" s="947" t="s">
        <v>2189</v>
      </c>
      <c r="D867" s="947" t="s">
        <v>1140</v>
      </c>
      <c r="E867" s="951">
        <v>210</v>
      </c>
      <c r="F867" s="951">
        <v>202</v>
      </c>
      <c r="G867" s="947" t="s">
        <v>3252</v>
      </c>
      <c r="H867" s="951">
        <v>90</v>
      </c>
      <c r="I867" s="951">
        <v>8</v>
      </c>
      <c r="J867" s="947" t="s">
        <v>251</v>
      </c>
      <c r="K867" s="947">
        <v>312975</v>
      </c>
      <c r="M867" s="631"/>
      <c r="P867" s="950" t="str">
        <f>VLOOKUP(J867,'רשימת רשויות'!A:A,1,0)</f>
        <v>חיפה</v>
      </c>
      <c r="Q867" s="956">
        <f>IFERROR(VLOOKUP(B867,[2]מעובד!$D:$K,8,0),0)</f>
        <v>0</v>
      </c>
      <c r="R867" s="956">
        <f>IFERROR(VLOOKUP(B867,[2]מעובד!$D:$L,9,0),0)</f>
        <v>0</v>
      </c>
    </row>
    <row r="868" spans="1:18" x14ac:dyDescent="0.2">
      <c r="A868" s="947" t="s">
        <v>389</v>
      </c>
      <c r="B868" s="947">
        <v>312991</v>
      </c>
      <c r="C868" s="947" t="s">
        <v>2189</v>
      </c>
      <c r="D868" s="947" t="s">
        <v>1390</v>
      </c>
      <c r="E868" s="951">
        <v>129</v>
      </c>
      <c r="F868" s="951">
        <v>129</v>
      </c>
      <c r="G868" s="947" t="s">
        <v>3252</v>
      </c>
      <c r="H868" s="951">
        <v>0</v>
      </c>
      <c r="I868" s="951">
        <v>0</v>
      </c>
      <c r="J868" s="947" t="s">
        <v>389</v>
      </c>
      <c r="K868" s="947">
        <v>312991</v>
      </c>
      <c r="M868" s="631"/>
      <c r="P868" s="950" t="str">
        <f>VLOOKUP(J868,'רשימת רשויות'!A:A,1,0)</f>
        <v>רכסים</v>
      </c>
      <c r="Q868" s="956">
        <f>IFERROR(VLOOKUP(B868,[2]מעובד!$D:$K,8,0),0)</f>
        <v>0</v>
      </c>
      <c r="R868" s="956">
        <f>IFERROR(VLOOKUP(B868,[2]מעובד!$D:$L,9,0),0)</f>
        <v>0</v>
      </c>
    </row>
    <row r="869" spans="1:18" x14ac:dyDescent="0.2">
      <c r="A869" s="947" t="s">
        <v>251</v>
      </c>
      <c r="B869" s="947">
        <v>313460</v>
      </c>
      <c r="C869" s="947" t="s">
        <v>2189</v>
      </c>
      <c r="D869" s="947" t="s">
        <v>592</v>
      </c>
      <c r="E869" s="951">
        <v>158</v>
      </c>
      <c r="F869" s="951">
        <v>156</v>
      </c>
      <c r="G869" s="947" t="s">
        <v>3252</v>
      </c>
      <c r="H869" s="951">
        <v>0</v>
      </c>
      <c r="I869" s="951">
        <v>0</v>
      </c>
      <c r="J869" s="947" t="s">
        <v>251</v>
      </c>
      <c r="K869" s="947">
        <v>313460</v>
      </c>
      <c r="M869" s="631"/>
      <c r="P869" s="950" t="str">
        <f>VLOOKUP(J869,'רשימת רשויות'!A:A,1,0)</f>
        <v>חיפה</v>
      </c>
      <c r="Q869" s="956">
        <f>IFERROR(VLOOKUP(B869,[2]מעובד!$D:$K,8,0),0)</f>
        <v>0</v>
      </c>
      <c r="R869" s="956">
        <f>IFERROR(VLOOKUP(B869,[2]מעובד!$D:$L,9,0),0)</f>
        <v>0</v>
      </c>
    </row>
    <row r="870" spans="1:18" x14ac:dyDescent="0.2">
      <c r="A870" s="947" t="s">
        <v>201</v>
      </c>
      <c r="B870" s="947">
        <v>313478</v>
      </c>
      <c r="C870" s="947" t="s">
        <v>2189</v>
      </c>
      <c r="D870" s="947" t="s">
        <v>484</v>
      </c>
      <c r="E870" s="951">
        <v>162</v>
      </c>
      <c r="F870" s="951">
        <v>99</v>
      </c>
      <c r="G870" s="947" t="s">
        <v>159</v>
      </c>
      <c r="H870" s="951">
        <v>0</v>
      </c>
      <c r="I870" s="951">
        <v>0</v>
      </c>
      <c r="J870" s="947" t="s">
        <v>201</v>
      </c>
      <c r="K870" s="947">
        <v>313478</v>
      </c>
      <c r="M870" s="631"/>
      <c r="P870" s="950" t="str">
        <f>VLOOKUP(J870,'רשימת רשויות'!A:A,1,0)</f>
        <v>בנימינה גבעת עדה</v>
      </c>
      <c r="Q870" s="956">
        <f>IFERROR(VLOOKUP(B870,[2]מעובד!$D:$K,8,0),0)</f>
        <v>159</v>
      </c>
      <c r="R870" s="956">
        <f>IFERROR(VLOOKUP(B870,[2]מעובד!$D:$L,9,0),0)</f>
        <v>61</v>
      </c>
    </row>
    <row r="871" spans="1:18" x14ac:dyDescent="0.2">
      <c r="A871" s="947" t="s">
        <v>244</v>
      </c>
      <c r="B871" s="947">
        <v>313502</v>
      </c>
      <c r="C871" s="947" t="s">
        <v>2189</v>
      </c>
      <c r="D871" s="947" t="s">
        <v>535</v>
      </c>
      <c r="E871" s="951">
        <v>119</v>
      </c>
      <c r="F871" s="951">
        <v>88</v>
      </c>
      <c r="G871" s="947" t="s">
        <v>159</v>
      </c>
      <c r="H871" s="951">
        <v>0</v>
      </c>
      <c r="I871" s="951">
        <v>0</v>
      </c>
      <c r="J871" s="947" t="s">
        <v>244</v>
      </c>
      <c r="K871" s="947">
        <v>313502</v>
      </c>
      <c r="M871" s="631"/>
      <c r="P871" s="950" t="str">
        <f>VLOOKUP(J871,'רשימת רשויות'!A:A,1,0)</f>
        <v>חדרה</v>
      </c>
      <c r="Q871" s="956">
        <f>IFERROR(VLOOKUP(B871,[2]מעובד!$D:$K,8,0),0)</f>
        <v>85</v>
      </c>
      <c r="R871" s="956">
        <f>IFERROR(VLOOKUP(B871,[2]מעובד!$D:$L,9,0),0)</f>
        <v>45</v>
      </c>
    </row>
    <row r="872" spans="1:18" x14ac:dyDescent="0.2">
      <c r="A872" s="947" t="s">
        <v>166</v>
      </c>
      <c r="B872" s="947">
        <v>313544</v>
      </c>
      <c r="C872" s="947" t="s">
        <v>2189</v>
      </c>
      <c r="D872" s="947" t="s">
        <v>2402</v>
      </c>
      <c r="E872" s="951">
        <v>48</v>
      </c>
      <c r="F872" s="951">
        <v>28</v>
      </c>
      <c r="G872" s="947" t="s">
        <v>3252</v>
      </c>
      <c r="H872" s="951">
        <v>0</v>
      </c>
      <c r="I872" s="951">
        <v>0</v>
      </c>
      <c r="J872" s="947" t="s">
        <v>166</v>
      </c>
      <c r="K872" s="947">
        <v>313544</v>
      </c>
      <c r="M872" s="631"/>
      <c r="P872" s="950" t="str">
        <f>VLOOKUP(J872,'רשימת רשויות'!A:A,1,0)</f>
        <v>אור עקיבא</v>
      </c>
      <c r="Q872" s="956">
        <f>IFERROR(VLOOKUP(B872,[2]מעובד!$D:$K,8,0),0)</f>
        <v>0</v>
      </c>
      <c r="R872" s="956">
        <f>IFERROR(VLOOKUP(B872,[2]מעובד!$D:$L,9,0),0)</f>
        <v>0</v>
      </c>
    </row>
    <row r="873" spans="1:18" x14ac:dyDescent="0.2">
      <c r="A873" s="947" t="s">
        <v>371</v>
      </c>
      <c r="B873" s="947">
        <v>313551</v>
      </c>
      <c r="C873" s="947" t="s">
        <v>2189</v>
      </c>
      <c r="D873" s="947" t="s">
        <v>2994</v>
      </c>
      <c r="E873" s="951">
        <v>224</v>
      </c>
      <c r="F873" s="951">
        <v>0</v>
      </c>
      <c r="G873" s="947" t="s">
        <v>3252</v>
      </c>
      <c r="H873" s="951">
        <v>85</v>
      </c>
      <c r="I873" s="951">
        <v>0</v>
      </c>
      <c r="J873" s="947" t="s">
        <v>371</v>
      </c>
      <c r="K873" s="947">
        <v>313551</v>
      </c>
      <c r="M873" s="631"/>
      <c r="P873" s="950" t="str">
        <f>VLOOKUP(J873,'רשימת רשויות'!A:A,1,0)</f>
        <v>קרית אתא</v>
      </c>
      <c r="Q873" s="956">
        <f>IFERROR(VLOOKUP(B873,[2]מעובד!$D:$K,8,0),0)</f>
        <v>0</v>
      </c>
      <c r="R873" s="956">
        <f>IFERROR(VLOOKUP(B873,[2]מעובד!$D:$L,9,0),0)</f>
        <v>0</v>
      </c>
    </row>
    <row r="874" spans="1:18" x14ac:dyDescent="0.2">
      <c r="A874" s="947" t="s">
        <v>251</v>
      </c>
      <c r="B874" s="947">
        <v>313585</v>
      </c>
      <c r="C874" s="947" t="s">
        <v>2189</v>
      </c>
      <c r="D874" s="947" t="s">
        <v>542</v>
      </c>
      <c r="E874" s="951">
        <v>196</v>
      </c>
      <c r="F874" s="951">
        <v>195</v>
      </c>
      <c r="G874" s="947" t="s">
        <v>159</v>
      </c>
      <c r="H874" s="951">
        <v>0</v>
      </c>
      <c r="I874" s="951">
        <v>0</v>
      </c>
      <c r="J874" s="947" t="s">
        <v>251</v>
      </c>
      <c r="K874" s="947">
        <v>313585</v>
      </c>
      <c r="M874" s="631"/>
      <c r="P874" s="950" t="str">
        <f>VLOOKUP(J874,'רשימת רשויות'!A:A,1,0)</f>
        <v>חיפה</v>
      </c>
      <c r="Q874" s="956">
        <f>IFERROR(VLOOKUP(B874,[2]מעובד!$D:$K,8,0),0)</f>
        <v>106</v>
      </c>
      <c r="R874" s="956">
        <f>IFERROR(VLOOKUP(B874,[2]מעובד!$D:$L,9,0),0)</f>
        <v>66</v>
      </c>
    </row>
    <row r="875" spans="1:18" x14ac:dyDescent="0.2">
      <c r="A875" s="947" t="s">
        <v>166</v>
      </c>
      <c r="B875" s="947">
        <v>313619</v>
      </c>
      <c r="C875" s="947" t="s">
        <v>2189</v>
      </c>
      <c r="D875" s="947" t="s">
        <v>543</v>
      </c>
      <c r="E875" s="951">
        <v>250</v>
      </c>
      <c r="F875" s="951">
        <v>150</v>
      </c>
      <c r="G875" s="947" t="s">
        <v>159</v>
      </c>
      <c r="H875" s="951">
        <v>103</v>
      </c>
      <c r="I875" s="951">
        <v>0</v>
      </c>
      <c r="J875" s="947" t="s">
        <v>166</v>
      </c>
      <c r="K875" s="947">
        <v>313619</v>
      </c>
      <c r="M875" s="631"/>
      <c r="P875" s="950" t="str">
        <f>VLOOKUP(J875,'רשימת רשויות'!A:A,1,0)</f>
        <v>אור עקיבא</v>
      </c>
      <c r="Q875" s="956">
        <f>IFERROR(VLOOKUP(B875,[2]מעובד!$D:$K,8,0),0)</f>
        <v>218</v>
      </c>
      <c r="R875" s="956">
        <f>IFERROR(VLOOKUP(B875,[2]מעובד!$D:$L,9,0),0)</f>
        <v>34</v>
      </c>
    </row>
    <row r="876" spans="1:18" x14ac:dyDescent="0.2">
      <c r="A876" s="947" t="s">
        <v>314</v>
      </c>
      <c r="B876" s="947">
        <v>313635</v>
      </c>
      <c r="C876" s="947" t="s">
        <v>2189</v>
      </c>
      <c r="D876" s="947" t="s">
        <v>544</v>
      </c>
      <c r="E876" s="951">
        <v>116</v>
      </c>
      <c r="F876" s="951">
        <v>116</v>
      </c>
      <c r="G876" s="947" t="s">
        <v>159</v>
      </c>
      <c r="H876" s="951">
        <v>0</v>
      </c>
      <c r="I876" s="951">
        <v>0</v>
      </c>
      <c r="J876" s="947" t="s">
        <v>314</v>
      </c>
      <c r="K876" s="947">
        <v>313635</v>
      </c>
      <c r="M876" s="631"/>
      <c r="P876" s="950" t="str">
        <f>VLOOKUP(J876,'רשימת רשויות'!A:A,1,0)</f>
        <v>מנשה</v>
      </c>
      <c r="Q876" s="956">
        <f>IFERROR(VLOOKUP(B876,[2]מעובד!$D:$K,8,0),0)</f>
        <v>138</v>
      </c>
      <c r="R876" s="956">
        <f>IFERROR(VLOOKUP(B876,[2]מעובד!$D:$L,9,0),0)</f>
        <v>80</v>
      </c>
    </row>
    <row r="877" spans="1:18" x14ac:dyDescent="0.2">
      <c r="A877" s="947" t="s">
        <v>251</v>
      </c>
      <c r="B877" s="947">
        <v>313668</v>
      </c>
      <c r="C877" s="947" t="s">
        <v>2189</v>
      </c>
      <c r="D877" s="947" t="s">
        <v>545</v>
      </c>
      <c r="E877" s="951">
        <v>290</v>
      </c>
      <c r="F877" s="951">
        <v>175</v>
      </c>
      <c r="G877" s="947" t="s">
        <v>159</v>
      </c>
      <c r="H877" s="951">
        <v>99</v>
      </c>
      <c r="I877" s="951">
        <v>14</v>
      </c>
      <c r="J877" s="947" t="s">
        <v>251</v>
      </c>
      <c r="K877" s="947">
        <v>313668</v>
      </c>
      <c r="M877" s="631"/>
      <c r="P877" s="950" t="str">
        <f>VLOOKUP(J877,'רשימת רשויות'!A:A,1,0)</f>
        <v>חיפה</v>
      </c>
      <c r="Q877" s="956">
        <f>IFERROR(VLOOKUP(B877,[2]מעובד!$D:$K,8,0),0)</f>
        <v>0</v>
      </c>
      <c r="R877" s="956">
        <f>IFERROR(VLOOKUP(B877,[2]מעובד!$D:$L,9,0),0)</f>
        <v>0</v>
      </c>
    </row>
    <row r="878" spans="1:18" x14ac:dyDescent="0.2">
      <c r="A878" s="947" t="s">
        <v>334</v>
      </c>
      <c r="B878" s="947">
        <v>313676</v>
      </c>
      <c r="C878" s="947" t="s">
        <v>2189</v>
      </c>
      <c r="D878" s="947" t="s">
        <v>562</v>
      </c>
      <c r="E878" s="951">
        <v>117</v>
      </c>
      <c r="F878" s="951">
        <v>66</v>
      </c>
      <c r="G878" s="947" t="s">
        <v>159</v>
      </c>
      <c r="H878" s="951">
        <v>35</v>
      </c>
      <c r="I878" s="951">
        <v>5</v>
      </c>
      <c r="J878" s="947" t="s">
        <v>334</v>
      </c>
      <c r="K878" s="947">
        <v>313676</v>
      </c>
      <c r="M878" s="631"/>
      <c r="P878" s="950" t="str">
        <f>VLOOKUP(J878,'רשימת רשויות'!A:A,1,0)</f>
        <v>נשר</v>
      </c>
      <c r="Q878" s="956">
        <f>IFERROR(VLOOKUP(B878,[2]מעובד!$D:$K,8,0),0)</f>
        <v>133</v>
      </c>
      <c r="R878" s="956">
        <f>IFERROR(VLOOKUP(B878,[2]מעובד!$D:$L,9,0),0)</f>
        <v>46</v>
      </c>
    </row>
    <row r="879" spans="1:18" x14ac:dyDescent="0.2">
      <c r="A879" s="947" t="s">
        <v>375</v>
      </c>
      <c r="B879" s="947">
        <v>313684</v>
      </c>
      <c r="C879" s="947" t="s">
        <v>2189</v>
      </c>
      <c r="D879" s="947" t="s">
        <v>524</v>
      </c>
      <c r="E879" s="951">
        <v>211</v>
      </c>
      <c r="F879" s="951">
        <v>94</v>
      </c>
      <c r="G879" s="947" t="s">
        <v>159</v>
      </c>
      <c r="H879" s="951">
        <v>149</v>
      </c>
      <c r="I879" s="951">
        <v>11</v>
      </c>
      <c r="J879" s="947" t="s">
        <v>375</v>
      </c>
      <c r="K879" s="947">
        <v>313684</v>
      </c>
      <c r="M879" s="631"/>
      <c r="P879" s="950" t="str">
        <f>VLOOKUP(J879,'רשימת רשויות'!A:A,1,0)</f>
        <v>קרית ים</v>
      </c>
      <c r="Q879" s="956">
        <f>IFERROR(VLOOKUP(B879,[2]מעובד!$D:$K,8,0),0)</f>
        <v>252</v>
      </c>
      <c r="R879" s="956">
        <f>IFERROR(VLOOKUP(B879,[2]מעובד!$D:$L,9,0),0)</f>
        <v>239</v>
      </c>
    </row>
    <row r="880" spans="1:18" x14ac:dyDescent="0.2">
      <c r="A880" s="947" t="s">
        <v>244</v>
      </c>
      <c r="B880" s="947">
        <v>313692</v>
      </c>
      <c r="C880" s="947" t="s">
        <v>2189</v>
      </c>
      <c r="D880" s="947" t="s">
        <v>563</v>
      </c>
      <c r="E880" s="951">
        <v>250</v>
      </c>
      <c r="F880" s="951">
        <v>80</v>
      </c>
      <c r="G880" s="947" t="s">
        <v>159</v>
      </c>
      <c r="H880" s="951">
        <v>194</v>
      </c>
      <c r="I880" s="951">
        <v>4</v>
      </c>
      <c r="J880" s="947" t="s">
        <v>244</v>
      </c>
      <c r="K880" s="947">
        <v>313692</v>
      </c>
      <c r="M880" s="631"/>
      <c r="P880" s="950" t="str">
        <f>VLOOKUP(J880,'רשימת רשויות'!A:A,1,0)</f>
        <v>חדרה</v>
      </c>
      <c r="Q880" s="956">
        <f>IFERROR(VLOOKUP(B880,[2]מעובד!$D:$K,8,0),0)</f>
        <v>257</v>
      </c>
      <c r="R880" s="956">
        <f>IFERROR(VLOOKUP(B880,[2]מעובד!$D:$L,9,0),0)</f>
        <v>74</v>
      </c>
    </row>
    <row r="881" spans="1:18" x14ac:dyDescent="0.2">
      <c r="A881" s="947" t="s">
        <v>251</v>
      </c>
      <c r="B881" s="947">
        <v>313700</v>
      </c>
      <c r="C881" s="947" t="s">
        <v>2189</v>
      </c>
      <c r="D881" s="947" t="s">
        <v>1353</v>
      </c>
      <c r="E881" s="951">
        <v>78</v>
      </c>
      <c r="F881" s="951">
        <v>77</v>
      </c>
      <c r="G881" s="947" t="s">
        <v>3252</v>
      </c>
      <c r="H881" s="951">
        <v>0</v>
      </c>
      <c r="I881" s="951">
        <v>0</v>
      </c>
      <c r="J881" s="947" t="s">
        <v>251</v>
      </c>
      <c r="K881" s="947">
        <v>313700</v>
      </c>
      <c r="M881" s="631"/>
      <c r="P881" s="950" t="str">
        <f>VLOOKUP(J881,'רשימת רשויות'!A:A,1,0)</f>
        <v>חיפה</v>
      </c>
      <c r="Q881" s="956">
        <f>IFERROR(VLOOKUP(B881,[2]מעובד!$D:$K,8,0),0)</f>
        <v>0</v>
      </c>
      <c r="R881" s="956">
        <f>IFERROR(VLOOKUP(B881,[2]מעובד!$D:$L,9,0),0)</f>
        <v>0</v>
      </c>
    </row>
    <row r="882" spans="1:18" x14ac:dyDescent="0.2">
      <c r="A882" s="947" t="s">
        <v>314</v>
      </c>
      <c r="B882" s="947">
        <v>313759</v>
      </c>
      <c r="C882" s="947" t="s">
        <v>2189</v>
      </c>
      <c r="D882" s="947" t="s">
        <v>566</v>
      </c>
      <c r="E882" s="951">
        <v>259</v>
      </c>
      <c r="F882" s="951">
        <v>240</v>
      </c>
      <c r="G882" s="947" t="s">
        <v>159</v>
      </c>
      <c r="H882" s="951">
        <v>173</v>
      </c>
      <c r="I882" s="951">
        <v>0</v>
      </c>
      <c r="J882" s="947" t="s">
        <v>314</v>
      </c>
      <c r="K882" s="957" t="s">
        <v>3277</v>
      </c>
      <c r="M882" s="631"/>
      <c r="P882" s="950" t="str">
        <f>VLOOKUP(J882,'רשימת רשויות'!A:A,1,0)</f>
        <v>מנשה</v>
      </c>
      <c r="Q882" s="956">
        <f>IFERROR(VLOOKUP(B882,[2]מעובד!$D:$K,8,0),0)</f>
        <v>278</v>
      </c>
      <c r="R882" s="956">
        <f>IFERROR(VLOOKUP(B882,[2]מעובד!$D:$L,9,0),0)</f>
        <v>278</v>
      </c>
    </row>
    <row r="883" spans="1:18" x14ac:dyDescent="0.2">
      <c r="A883" s="947" t="s">
        <v>251</v>
      </c>
      <c r="B883" s="947">
        <v>313767</v>
      </c>
      <c r="C883" s="947" t="s">
        <v>2189</v>
      </c>
      <c r="D883" s="947" t="s">
        <v>452</v>
      </c>
      <c r="E883" s="951">
        <v>162</v>
      </c>
      <c r="F883" s="951">
        <v>160</v>
      </c>
      <c r="G883" s="947" t="s">
        <v>159</v>
      </c>
      <c r="H883" s="951">
        <v>0</v>
      </c>
      <c r="I883" s="951">
        <v>0</v>
      </c>
      <c r="J883" s="947" t="s">
        <v>251</v>
      </c>
      <c r="K883" s="947">
        <v>313767</v>
      </c>
      <c r="M883" s="631"/>
      <c r="P883" s="950" t="str">
        <f>VLOOKUP(J883,'רשימת רשויות'!A:A,1,0)</f>
        <v>חיפה</v>
      </c>
      <c r="Q883" s="956">
        <f>IFERROR(VLOOKUP(B883,[2]מעובד!$D:$K,8,0),0)</f>
        <v>145</v>
      </c>
      <c r="R883" s="956">
        <f>IFERROR(VLOOKUP(B883,[2]מעובד!$D:$L,9,0),0)</f>
        <v>55</v>
      </c>
    </row>
    <row r="884" spans="1:18" x14ac:dyDescent="0.2">
      <c r="A884" s="947" t="s">
        <v>334</v>
      </c>
      <c r="B884" s="947">
        <v>313783</v>
      </c>
      <c r="C884" s="947" t="s">
        <v>2189</v>
      </c>
      <c r="D884" s="947" t="s">
        <v>567</v>
      </c>
      <c r="E884" s="951">
        <v>277</v>
      </c>
      <c r="F884" s="951">
        <v>132</v>
      </c>
      <c r="G884" s="947" t="s">
        <v>159</v>
      </c>
      <c r="H884" s="951">
        <v>0</v>
      </c>
      <c r="I884" s="951">
        <v>0</v>
      </c>
      <c r="J884" s="947" t="s">
        <v>334</v>
      </c>
      <c r="K884" s="957" t="s">
        <v>3278</v>
      </c>
      <c r="M884" s="631"/>
      <c r="P884" s="950" t="str">
        <f>VLOOKUP(J884,'רשימת רשויות'!A:A,1,0)</f>
        <v>נשר</v>
      </c>
      <c r="Q884" s="956">
        <f>IFERROR(VLOOKUP(B884,[2]מעובד!$D:$K,8,0),0)</f>
        <v>241</v>
      </c>
      <c r="R884" s="956">
        <f>IFERROR(VLOOKUP(B884,[2]מעובד!$D:$L,9,0),0)</f>
        <v>105</v>
      </c>
    </row>
    <row r="885" spans="1:18" x14ac:dyDescent="0.2">
      <c r="A885" s="947" t="s">
        <v>389</v>
      </c>
      <c r="B885" s="947">
        <v>313809</v>
      </c>
      <c r="C885" s="947" t="s">
        <v>2189</v>
      </c>
      <c r="D885" s="947" t="s">
        <v>2615</v>
      </c>
      <c r="E885" s="951">
        <v>139</v>
      </c>
      <c r="F885" s="951">
        <v>138</v>
      </c>
      <c r="G885" s="947" t="s">
        <v>3252</v>
      </c>
      <c r="H885" s="951">
        <v>0</v>
      </c>
      <c r="I885" s="951">
        <v>0</v>
      </c>
      <c r="J885" s="947" t="s">
        <v>389</v>
      </c>
      <c r="K885" s="947">
        <v>313809</v>
      </c>
      <c r="M885" s="631"/>
      <c r="P885" s="950" t="str">
        <f>VLOOKUP(J885,'רשימת רשויות'!A:A,1,0)</f>
        <v>רכסים</v>
      </c>
      <c r="Q885" s="956">
        <f>IFERROR(VLOOKUP(B885,[2]מעובד!$D:$K,8,0),0)</f>
        <v>0</v>
      </c>
      <c r="R885" s="956">
        <f>IFERROR(VLOOKUP(B885,[2]מעובד!$D:$L,9,0),0)</f>
        <v>0</v>
      </c>
    </row>
    <row r="886" spans="1:18" x14ac:dyDescent="0.2">
      <c r="A886" s="947" t="s">
        <v>377</v>
      </c>
      <c r="B886" s="947">
        <v>313825</v>
      </c>
      <c r="C886" s="947" t="s">
        <v>2189</v>
      </c>
      <c r="D886" s="947" t="s">
        <v>569</v>
      </c>
      <c r="E886" s="951">
        <v>323</v>
      </c>
      <c r="F886" s="951">
        <v>213</v>
      </c>
      <c r="G886" s="947" t="s">
        <v>159</v>
      </c>
      <c r="H886" s="951">
        <v>230</v>
      </c>
      <c r="I886" s="951">
        <v>5</v>
      </c>
      <c r="J886" s="947" t="s">
        <v>377</v>
      </c>
      <c r="K886" s="947">
        <v>313825</v>
      </c>
      <c r="M886" s="631"/>
      <c r="P886" s="950" t="str">
        <f>VLOOKUP(J886,'רשימת רשויות'!A:A,1,0)</f>
        <v>קרית מוצקין</v>
      </c>
      <c r="Q886" s="956">
        <f>IFERROR(VLOOKUP(B886,[2]מעובד!$D:$K,8,0),0)</f>
        <v>334</v>
      </c>
      <c r="R886" s="956">
        <f>IFERROR(VLOOKUP(B886,[2]מעובד!$D:$L,9,0),0)</f>
        <v>93</v>
      </c>
    </row>
    <row r="887" spans="1:18" x14ac:dyDescent="0.2">
      <c r="A887" s="947" t="s">
        <v>251</v>
      </c>
      <c r="B887" s="947">
        <v>313841</v>
      </c>
      <c r="C887" s="947" t="s">
        <v>2189</v>
      </c>
      <c r="D887" s="947" t="s">
        <v>2609</v>
      </c>
      <c r="E887" s="951">
        <v>109</v>
      </c>
      <c r="F887" s="951">
        <v>104</v>
      </c>
      <c r="G887" s="947" t="s">
        <v>159</v>
      </c>
      <c r="H887" s="951">
        <v>0</v>
      </c>
      <c r="I887" s="951">
        <v>0</v>
      </c>
      <c r="J887" s="947" t="s">
        <v>251</v>
      </c>
      <c r="K887" s="947">
        <v>313841</v>
      </c>
      <c r="M887" s="631"/>
      <c r="P887" s="950" t="str">
        <f>VLOOKUP(J887,'רשימת רשויות'!A:A,1,0)</f>
        <v>חיפה</v>
      </c>
      <c r="Q887" s="956">
        <f>IFERROR(VLOOKUP(B887,[2]מעובד!$D:$K,8,0),0)</f>
        <v>0</v>
      </c>
      <c r="R887" s="956">
        <f>IFERROR(VLOOKUP(B887,[2]מעובד!$D:$L,9,0),0)</f>
        <v>0</v>
      </c>
    </row>
    <row r="888" spans="1:18" x14ac:dyDescent="0.2">
      <c r="A888" s="947" t="s">
        <v>251</v>
      </c>
      <c r="B888" s="947">
        <v>317024</v>
      </c>
      <c r="C888" s="947" t="s">
        <v>2189</v>
      </c>
      <c r="D888" s="947" t="s">
        <v>598</v>
      </c>
      <c r="E888" s="951">
        <v>178</v>
      </c>
      <c r="F888" s="951">
        <v>178</v>
      </c>
      <c r="G888" s="947" t="s">
        <v>3252</v>
      </c>
      <c r="H888" s="951">
        <v>0</v>
      </c>
      <c r="I888" s="951">
        <v>0</v>
      </c>
      <c r="J888" s="947" t="s">
        <v>251</v>
      </c>
      <c r="K888" s="947">
        <v>317024</v>
      </c>
      <c r="M888" s="631"/>
      <c r="P888" s="950" t="str">
        <f>VLOOKUP(J888,'רשימת רשויות'!A:A,1,0)</f>
        <v>חיפה</v>
      </c>
      <c r="Q888" s="956">
        <f>IFERROR(VLOOKUP(B888,[2]מעובד!$D:$K,8,0),0)</f>
        <v>0</v>
      </c>
      <c r="R888" s="956">
        <f>IFERROR(VLOOKUP(B888,[2]מעובד!$D:$L,9,0),0)</f>
        <v>0</v>
      </c>
    </row>
    <row r="889" spans="1:18" x14ac:dyDescent="0.2">
      <c r="A889" s="947" t="s">
        <v>210</v>
      </c>
      <c r="B889" s="947">
        <v>317032</v>
      </c>
      <c r="C889" s="947" t="s">
        <v>2189</v>
      </c>
      <c r="D889" s="947" t="s">
        <v>599</v>
      </c>
      <c r="E889" s="951">
        <v>252</v>
      </c>
      <c r="F889" s="951">
        <v>240</v>
      </c>
      <c r="G889" s="947" t="s">
        <v>159</v>
      </c>
      <c r="H889" s="951">
        <v>91</v>
      </c>
      <c r="I889" s="951">
        <v>12</v>
      </c>
      <c r="J889" s="947" t="s">
        <v>210</v>
      </c>
      <c r="K889" s="947">
        <v>317032</v>
      </c>
      <c r="M889" s="631"/>
      <c r="P889" s="950" t="str">
        <f>VLOOKUP(J889,'רשימת רשויות'!A:A,1,0)</f>
        <v>ג'סר א-זרקא</v>
      </c>
      <c r="Q889" s="956">
        <f>IFERROR(VLOOKUP(B889,[2]מעובד!$D:$K,8,0),0)</f>
        <v>251</v>
      </c>
      <c r="R889" s="956">
        <f>IFERROR(VLOOKUP(B889,[2]מעובד!$D:$L,9,0),0)</f>
        <v>117</v>
      </c>
    </row>
    <row r="890" spans="1:18" x14ac:dyDescent="0.2">
      <c r="A890" s="947" t="s">
        <v>163</v>
      </c>
      <c r="B890" s="947">
        <v>317065</v>
      </c>
      <c r="C890" s="947" t="s">
        <v>2189</v>
      </c>
      <c r="D890" s="947" t="s">
        <v>600</v>
      </c>
      <c r="E890" s="951">
        <v>234</v>
      </c>
      <c r="F890" s="951">
        <v>166</v>
      </c>
      <c r="G890" s="947" t="s">
        <v>159</v>
      </c>
      <c r="H890" s="951">
        <v>61</v>
      </c>
      <c r="I890" s="951">
        <v>0</v>
      </c>
      <c r="J890" s="947" t="s">
        <v>163</v>
      </c>
      <c r="K890" s="947">
        <v>317065</v>
      </c>
      <c r="M890" s="631"/>
      <c r="P890" s="950" t="str">
        <f>VLOOKUP(J890,'רשימת רשויות'!A:A,1,0)</f>
        <v>אום אל-פחם</v>
      </c>
      <c r="Q890" s="956">
        <f>IFERROR(VLOOKUP(B890,[2]מעובד!$D:$K,8,0),0)</f>
        <v>211</v>
      </c>
      <c r="R890" s="956">
        <f>IFERROR(VLOOKUP(B890,[2]מעובד!$D:$L,9,0),0)</f>
        <v>60</v>
      </c>
    </row>
    <row r="891" spans="1:18" x14ac:dyDescent="0.2">
      <c r="A891" s="947" t="s">
        <v>251</v>
      </c>
      <c r="B891" s="947">
        <v>317073</v>
      </c>
      <c r="C891" s="947" t="s">
        <v>2189</v>
      </c>
      <c r="D891" s="947" t="s">
        <v>601</v>
      </c>
      <c r="E891" s="951">
        <v>183</v>
      </c>
      <c r="F891" s="951">
        <v>182</v>
      </c>
      <c r="G891" s="947" t="s">
        <v>3252</v>
      </c>
      <c r="H891" s="951">
        <v>0</v>
      </c>
      <c r="I891" s="951">
        <v>0</v>
      </c>
      <c r="J891" s="947" t="s">
        <v>251</v>
      </c>
      <c r="K891" s="947">
        <v>317073</v>
      </c>
      <c r="M891" s="631"/>
      <c r="P891" s="950" t="str">
        <f>VLOOKUP(J891,'רשימת רשויות'!A:A,1,0)</f>
        <v>חיפה</v>
      </c>
      <c r="Q891" s="956">
        <f>IFERROR(VLOOKUP(B891,[2]מעובד!$D:$K,8,0),0)</f>
        <v>0</v>
      </c>
      <c r="R891" s="956">
        <f>IFERROR(VLOOKUP(B891,[2]מעובד!$D:$L,9,0),0)</f>
        <v>0</v>
      </c>
    </row>
    <row r="892" spans="1:18" x14ac:dyDescent="0.2">
      <c r="A892" s="947" t="s">
        <v>163</v>
      </c>
      <c r="B892" s="947">
        <v>317123</v>
      </c>
      <c r="C892" s="947" t="s">
        <v>2189</v>
      </c>
      <c r="D892" s="947" t="s">
        <v>2995</v>
      </c>
      <c r="E892" s="951">
        <v>294</v>
      </c>
      <c r="F892" s="951">
        <v>219</v>
      </c>
      <c r="G892" s="947" t="s">
        <v>159</v>
      </c>
      <c r="H892" s="951">
        <v>0</v>
      </c>
      <c r="I892" s="951">
        <v>0</v>
      </c>
      <c r="J892" s="947" t="s">
        <v>163</v>
      </c>
      <c r="K892" s="947">
        <v>317123</v>
      </c>
      <c r="M892" s="631"/>
      <c r="P892" s="950" t="str">
        <f>VLOOKUP(J892,'רשימת רשויות'!A:A,1,0)</f>
        <v>אום אל-פחם</v>
      </c>
      <c r="Q892" s="956">
        <f>IFERROR(VLOOKUP(B892,[2]מעובד!$D:$K,8,0),0)</f>
        <v>276</v>
      </c>
      <c r="R892" s="956">
        <f>IFERROR(VLOOKUP(B892,[2]מעובד!$D:$L,9,0),0)</f>
        <v>41</v>
      </c>
    </row>
    <row r="893" spans="1:18" x14ac:dyDescent="0.2">
      <c r="A893" s="947" t="s">
        <v>163</v>
      </c>
      <c r="B893" s="947">
        <v>318030</v>
      </c>
      <c r="C893" s="947" t="s">
        <v>2189</v>
      </c>
      <c r="D893" s="947" t="s">
        <v>590</v>
      </c>
      <c r="E893" s="951">
        <v>218</v>
      </c>
      <c r="F893" s="951">
        <v>156</v>
      </c>
      <c r="G893" s="947" t="s">
        <v>159</v>
      </c>
      <c r="H893" s="951">
        <v>0</v>
      </c>
      <c r="I893" s="951">
        <v>0</v>
      </c>
      <c r="J893" s="947" t="s">
        <v>163</v>
      </c>
      <c r="K893" s="947">
        <v>318030</v>
      </c>
      <c r="M893" s="631"/>
      <c r="P893" s="950" t="str">
        <f>VLOOKUP(J893,'רשימת רשויות'!A:A,1,0)</f>
        <v>אום אל-פחם</v>
      </c>
      <c r="Q893" s="956">
        <f>IFERROR(VLOOKUP(B893,[2]מעובד!$D:$K,8,0),0)</f>
        <v>234</v>
      </c>
      <c r="R893" s="956">
        <f>IFERROR(VLOOKUP(B893,[2]מעובד!$D:$L,9,0),0)</f>
        <v>62</v>
      </c>
    </row>
    <row r="894" spans="1:18" x14ac:dyDescent="0.2">
      <c r="A894" s="947" t="s">
        <v>163</v>
      </c>
      <c r="B894" s="947">
        <v>318048</v>
      </c>
      <c r="C894" s="947" t="s">
        <v>2189</v>
      </c>
      <c r="D894" s="947" t="s">
        <v>591</v>
      </c>
      <c r="E894" s="951">
        <v>274</v>
      </c>
      <c r="F894" s="951">
        <v>164</v>
      </c>
      <c r="G894" s="947" t="s">
        <v>159</v>
      </c>
      <c r="H894" s="951">
        <v>0</v>
      </c>
      <c r="I894" s="951">
        <v>0</v>
      </c>
      <c r="J894" s="947" t="s">
        <v>163</v>
      </c>
      <c r="K894" s="947">
        <v>318048</v>
      </c>
      <c r="M894" s="631"/>
      <c r="P894" s="950" t="str">
        <f>VLOOKUP(J894,'רשימת רשויות'!A:A,1,0)</f>
        <v>אום אל-פחם</v>
      </c>
      <c r="Q894" s="956">
        <f>IFERROR(VLOOKUP(B894,[2]מעובד!$D:$K,8,0),0)</f>
        <v>320</v>
      </c>
      <c r="R894" s="956">
        <f>IFERROR(VLOOKUP(B894,[2]מעובד!$D:$L,9,0),0)</f>
        <v>86</v>
      </c>
    </row>
    <row r="895" spans="1:18" x14ac:dyDescent="0.2">
      <c r="A895" s="947" t="s">
        <v>236</v>
      </c>
      <c r="B895" s="947">
        <v>318055</v>
      </c>
      <c r="C895" s="947" t="s">
        <v>2189</v>
      </c>
      <c r="D895" s="947" t="s">
        <v>2996</v>
      </c>
      <c r="E895" s="951">
        <v>134</v>
      </c>
      <c r="F895" s="951">
        <v>81</v>
      </c>
      <c r="G895" s="947" t="s">
        <v>159</v>
      </c>
      <c r="H895" s="951">
        <v>0</v>
      </c>
      <c r="I895" s="951">
        <v>0</v>
      </c>
      <c r="J895" s="947" t="s">
        <v>236</v>
      </c>
      <c r="K895" s="947">
        <v>318055</v>
      </c>
      <c r="M895" s="631"/>
      <c r="P895" s="950" t="str">
        <f>VLOOKUP(J895,'רשימת רשויות'!A:A,1,0)</f>
        <v>זבולון</v>
      </c>
      <c r="Q895" s="956">
        <f>IFERROR(VLOOKUP(B895,[2]מעובד!$D:$K,8,0),0)</f>
        <v>125</v>
      </c>
      <c r="R895" s="956">
        <f>IFERROR(VLOOKUP(B895,[2]מעובד!$D:$L,9,0),0)</f>
        <v>49</v>
      </c>
    </row>
    <row r="896" spans="1:18" x14ac:dyDescent="0.2">
      <c r="A896" s="947" t="s">
        <v>184</v>
      </c>
      <c r="B896" s="947">
        <v>318063</v>
      </c>
      <c r="C896" s="947" t="s">
        <v>2189</v>
      </c>
      <c r="D896" s="947" t="s">
        <v>2997</v>
      </c>
      <c r="E896" s="951">
        <v>159</v>
      </c>
      <c r="F896" s="951">
        <v>142</v>
      </c>
      <c r="G896" s="947" t="s">
        <v>159</v>
      </c>
      <c r="H896" s="951">
        <v>0</v>
      </c>
      <c r="I896" s="951">
        <v>0</v>
      </c>
      <c r="J896" s="947" t="s">
        <v>184</v>
      </c>
      <c r="K896" s="947">
        <v>318063</v>
      </c>
      <c r="M896" s="631"/>
      <c r="P896" s="950" t="str">
        <f>VLOOKUP(J896,'רשימת רשויות'!A:A,1,0)</f>
        <v>באקה אל-גרביה</v>
      </c>
      <c r="Q896" s="956">
        <f>IFERROR(VLOOKUP(B896,[2]מעובד!$D:$K,8,0),0)</f>
        <v>0</v>
      </c>
      <c r="R896" s="956">
        <f>IFERROR(VLOOKUP(B896,[2]מעובד!$D:$L,9,0),0)</f>
        <v>0</v>
      </c>
    </row>
    <row r="897" spans="1:18" x14ac:dyDescent="0.2">
      <c r="A897" s="947" t="s">
        <v>184</v>
      </c>
      <c r="B897" s="947">
        <v>318071</v>
      </c>
      <c r="C897" s="947" t="s">
        <v>2189</v>
      </c>
      <c r="D897" s="947" t="s">
        <v>2998</v>
      </c>
      <c r="E897" s="951">
        <v>203</v>
      </c>
      <c r="F897" s="951">
        <v>150</v>
      </c>
      <c r="G897" s="947" t="s">
        <v>159</v>
      </c>
      <c r="H897" s="951">
        <v>70</v>
      </c>
      <c r="I897" s="951">
        <v>0</v>
      </c>
      <c r="J897" s="947" t="s">
        <v>184</v>
      </c>
      <c r="K897" s="947">
        <v>318071</v>
      </c>
      <c r="M897" s="631"/>
      <c r="P897" s="950" t="str">
        <f>VLOOKUP(J897,'רשימת רשויות'!A:A,1,0)</f>
        <v>באקה אל-גרביה</v>
      </c>
      <c r="Q897" s="956">
        <f>IFERROR(VLOOKUP(B897,[2]מעובד!$D:$K,8,0),0)</f>
        <v>156</v>
      </c>
      <c r="R897" s="956">
        <f>IFERROR(VLOOKUP(B897,[2]מעובד!$D:$L,9,0),0)</f>
        <v>70</v>
      </c>
    </row>
    <row r="898" spans="1:18" x14ac:dyDescent="0.2">
      <c r="A898" s="947" t="s">
        <v>202</v>
      </c>
      <c r="B898" s="947">
        <v>318089</v>
      </c>
      <c r="C898" s="947" t="s">
        <v>2189</v>
      </c>
      <c r="D898" s="947" t="s">
        <v>593</v>
      </c>
      <c r="E898" s="951">
        <v>185</v>
      </c>
      <c r="F898" s="951">
        <v>176</v>
      </c>
      <c r="G898" s="947" t="s">
        <v>159</v>
      </c>
      <c r="H898" s="951">
        <v>72</v>
      </c>
      <c r="I898" s="951">
        <v>9</v>
      </c>
      <c r="J898" s="947" t="s">
        <v>202</v>
      </c>
      <c r="K898" s="947">
        <v>318089</v>
      </c>
      <c r="M898" s="631"/>
      <c r="P898" s="950" t="str">
        <f>VLOOKUP(J898,'רשימת רשויות'!A:A,1,0)</f>
        <v>בסמ"ה</v>
      </c>
      <c r="Q898" s="956">
        <f>IFERROR(VLOOKUP(B898,[2]מעובד!$D:$K,8,0),0)</f>
        <v>0</v>
      </c>
      <c r="R898" s="956">
        <f>IFERROR(VLOOKUP(B898,[2]מעובד!$D:$L,9,0),0)</f>
        <v>0</v>
      </c>
    </row>
    <row r="899" spans="1:18" x14ac:dyDescent="0.2">
      <c r="A899" s="947" t="s">
        <v>210</v>
      </c>
      <c r="B899" s="947">
        <v>318097</v>
      </c>
      <c r="C899" s="947" t="s">
        <v>2189</v>
      </c>
      <c r="D899" s="947" t="s">
        <v>594</v>
      </c>
      <c r="E899" s="951">
        <v>225</v>
      </c>
      <c r="F899" s="951">
        <v>215</v>
      </c>
      <c r="G899" s="947" t="s">
        <v>159</v>
      </c>
      <c r="H899" s="951">
        <v>82</v>
      </c>
      <c r="I899" s="951">
        <v>10</v>
      </c>
      <c r="J899" s="947" t="s">
        <v>210</v>
      </c>
      <c r="K899" s="947">
        <v>318097</v>
      </c>
      <c r="M899" s="631"/>
      <c r="P899" s="950" t="str">
        <f>VLOOKUP(J899,'רשימת רשויות'!A:A,1,0)</f>
        <v>ג'סר א-זרקא</v>
      </c>
      <c r="Q899" s="956">
        <f>IFERROR(VLOOKUP(B899,[2]מעובד!$D:$K,8,0),0)</f>
        <v>188</v>
      </c>
      <c r="R899" s="956">
        <f>IFERROR(VLOOKUP(B899,[2]מעובד!$D:$L,9,0),0)</f>
        <v>79</v>
      </c>
    </row>
    <row r="900" spans="1:18" x14ac:dyDescent="0.2">
      <c r="A900" s="947" t="s">
        <v>211</v>
      </c>
      <c r="B900" s="947">
        <v>318105</v>
      </c>
      <c r="C900" s="947" t="s">
        <v>2189</v>
      </c>
      <c r="D900" s="947" t="s">
        <v>595</v>
      </c>
      <c r="E900" s="951">
        <v>157</v>
      </c>
      <c r="F900" s="951">
        <v>92</v>
      </c>
      <c r="G900" s="947" t="s">
        <v>159</v>
      </c>
      <c r="H900" s="951">
        <v>0</v>
      </c>
      <c r="I900" s="951">
        <v>0</v>
      </c>
      <c r="J900" s="947" t="s">
        <v>211</v>
      </c>
      <c r="K900" s="947">
        <v>318105</v>
      </c>
      <c r="M900" s="631"/>
      <c r="P900" s="950" t="str">
        <f>VLOOKUP(J900,'רשימת רשויות'!A:A,1,0)</f>
        <v>ג'ת</v>
      </c>
      <c r="Q900" s="956">
        <f>IFERROR(VLOOKUP(B900,[2]מעובד!$D:$K,8,0),0)</f>
        <v>179</v>
      </c>
      <c r="R900" s="956">
        <f>IFERROR(VLOOKUP(B900,[2]מעובד!$D:$L,9,0),0)</f>
        <v>42</v>
      </c>
    </row>
    <row r="901" spans="1:18" x14ac:dyDescent="0.2">
      <c r="A901" s="947" t="s">
        <v>222</v>
      </c>
      <c r="B901" s="947">
        <v>318121</v>
      </c>
      <c r="C901" s="947" t="s">
        <v>2189</v>
      </c>
      <c r="D901" s="947" t="s">
        <v>596</v>
      </c>
      <c r="E901" s="951">
        <v>197</v>
      </c>
      <c r="F901" s="951">
        <v>175</v>
      </c>
      <c r="G901" s="947" t="s">
        <v>159</v>
      </c>
      <c r="H901" s="951">
        <v>66</v>
      </c>
      <c r="I901" s="951">
        <v>13</v>
      </c>
      <c r="J901" s="947" t="s">
        <v>222</v>
      </c>
      <c r="K901" s="947">
        <v>318121</v>
      </c>
      <c r="M901" s="631"/>
      <c r="P901" s="950" t="str">
        <f>VLOOKUP(J901,'רשימת רשויות'!A:A,1,0)</f>
        <v>דאלית אל-כרמל</v>
      </c>
      <c r="Q901" s="956">
        <f>IFERROR(VLOOKUP(B901,[2]מעובד!$D:$K,8,0),0)</f>
        <v>155</v>
      </c>
      <c r="R901" s="956">
        <f>IFERROR(VLOOKUP(B901,[2]מעובד!$D:$L,9,0),0)</f>
        <v>65</v>
      </c>
    </row>
    <row r="902" spans="1:18" x14ac:dyDescent="0.2">
      <c r="A902" s="947" t="s">
        <v>211</v>
      </c>
      <c r="B902" s="947">
        <v>318139</v>
      </c>
      <c r="C902" s="947" t="s">
        <v>2189</v>
      </c>
      <c r="D902" s="947" t="s">
        <v>597</v>
      </c>
      <c r="E902" s="951">
        <v>251</v>
      </c>
      <c r="F902" s="951">
        <v>126</v>
      </c>
      <c r="G902" s="947" t="s">
        <v>159</v>
      </c>
      <c r="H902" s="951">
        <v>0</v>
      </c>
      <c r="I902" s="951">
        <v>0</v>
      </c>
      <c r="J902" s="947" t="s">
        <v>211</v>
      </c>
      <c r="K902" s="947">
        <v>318139</v>
      </c>
      <c r="M902" s="631"/>
      <c r="P902" s="950" t="str">
        <f>VLOOKUP(J902,'רשימת רשויות'!A:A,1,0)</f>
        <v>ג'ת</v>
      </c>
      <c r="Q902" s="956">
        <f>IFERROR(VLOOKUP(B902,[2]מעובד!$D:$K,8,0),0)</f>
        <v>216</v>
      </c>
      <c r="R902" s="956">
        <f>IFERROR(VLOOKUP(B902,[2]מעובד!$D:$L,9,0),0)</f>
        <v>60</v>
      </c>
    </row>
    <row r="903" spans="1:18" x14ac:dyDescent="0.2">
      <c r="A903" s="947" t="s">
        <v>356</v>
      </c>
      <c r="B903" s="947">
        <v>318147</v>
      </c>
      <c r="C903" s="947" t="s">
        <v>2189</v>
      </c>
      <c r="D903" s="947" t="s">
        <v>608</v>
      </c>
      <c r="E903" s="951">
        <v>70</v>
      </c>
      <c r="F903" s="951">
        <v>70</v>
      </c>
      <c r="G903" s="947" t="s">
        <v>159</v>
      </c>
      <c r="H903" s="951">
        <v>0</v>
      </c>
      <c r="I903" s="951">
        <v>0</v>
      </c>
      <c r="J903" s="947" t="s">
        <v>356</v>
      </c>
      <c r="K903" s="947">
        <v>318147</v>
      </c>
      <c r="M903" s="631"/>
      <c r="P903" s="950" t="str">
        <f>VLOOKUP(J903,'רשימת רשויות'!A:A,1,0)</f>
        <v>ערערה</v>
      </c>
      <c r="Q903" s="956">
        <f>IFERROR(VLOOKUP(B903,[2]מעובד!$D:$K,8,0),0)</f>
        <v>0</v>
      </c>
      <c r="R903" s="956">
        <f>IFERROR(VLOOKUP(B903,[2]מעובד!$D:$L,9,0),0)</f>
        <v>0</v>
      </c>
    </row>
    <row r="904" spans="1:18" x14ac:dyDescent="0.2">
      <c r="A904" s="947" t="s">
        <v>320</v>
      </c>
      <c r="B904" s="947">
        <v>318154</v>
      </c>
      <c r="C904" s="947" t="s">
        <v>2189</v>
      </c>
      <c r="D904" s="947" t="s">
        <v>609</v>
      </c>
      <c r="E904" s="951">
        <v>144</v>
      </c>
      <c r="F904" s="951">
        <v>113</v>
      </c>
      <c r="G904" s="947" t="s">
        <v>159</v>
      </c>
      <c r="H904" s="951">
        <v>0</v>
      </c>
      <c r="I904" s="951">
        <v>0</v>
      </c>
      <c r="J904" s="947" t="s">
        <v>320</v>
      </c>
      <c r="K904" s="947">
        <v>318154</v>
      </c>
      <c r="M904" s="631"/>
      <c r="P904" s="950" t="str">
        <f>VLOOKUP(J904,'רשימת רשויות'!A:A,1,0)</f>
        <v>מעלה עירון</v>
      </c>
      <c r="Q904" s="956">
        <f>IFERROR(VLOOKUP(B904,[2]מעובד!$D:$K,8,0),0)</f>
        <v>142</v>
      </c>
      <c r="R904" s="956">
        <f>IFERROR(VLOOKUP(B904,[2]מעובד!$D:$L,9,0),0)</f>
        <v>62</v>
      </c>
    </row>
    <row r="905" spans="1:18" x14ac:dyDescent="0.2">
      <c r="A905" s="947" t="s">
        <v>251</v>
      </c>
      <c r="B905" s="947">
        <v>318162</v>
      </c>
      <c r="C905" s="947" t="s">
        <v>2189</v>
      </c>
      <c r="D905" s="947" t="s">
        <v>610</v>
      </c>
      <c r="E905" s="951">
        <v>78</v>
      </c>
      <c r="F905" s="951">
        <v>46</v>
      </c>
      <c r="G905" s="947" t="s">
        <v>159</v>
      </c>
      <c r="H905" s="951">
        <v>36</v>
      </c>
      <c r="I905" s="951">
        <v>11</v>
      </c>
      <c r="J905" s="947" t="s">
        <v>251</v>
      </c>
      <c r="K905" s="947">
        <v>318162</v>
      </c>
      <c r="M905" s="631"/>
      <c r="P905" s="950" t="str">
        <f>VLOOKUP(J905,'רשימת רשויות'!A:A,1,0)</f>
        <v>חיפה</v>
      </c>
      <c r="Q905" s="956">
        <f>IFERROR(VLOOKUP(B905,[2]מעובד!$D:$K,8,0),0)</f>
        <v>89</v>
      </c>
      <c r="R905" s="956">
        <f>IFERROR(VLOOKUP(B905,[2]מעובד!$D:$L,9,0),0)</f>
        <v>46</v>
      </c>
    </row>
    <row r="906" spans="1:18" x14ac:dyDescent="0.2">
      <c r="A906" s="947" t="s">
        <v>287</v>
      </c>
      <c r="B906" s="947">
        <v>318188</v>
      </c>
      <c r="C906" s="947" t="s">
        <v>2189</v>
      </c>
      <c r="D906" s="947" t="s">
        <v>525</v>
      </c>
      <c r="E906" s="951">
        <v>359</v>
      </c>
      <c r="F906" s="951">
        <v>324</v>
      </c>
      <c r="G906" s="947" t="s">
        <v>159</v>
      </c>
      <c r="H906" s="951">
        <v>109</v>
      </c>
      <c r="I906" s="951">
        <v>9</v>
      </c>
      <c r="J906" s="947" t="s">
        <v>287</v>
      </c>
      <c r="K906" s="947">
        <v>318188</v>
      </c>
      <c r="M906" s="631"/>
      <c r="P906" s="950" t="str">
        <f>VLOOKUP(J906,'רשימת רשויות'!A:A,1,0)</f>
        <v>כפר קרע</v>
      </c>
      <c r="Q906" s="956">
        <f>IFERROR(VLOOKUP(B906,[2]מעובד!$D:$K,8,0),0)</f>
        <v>309</v>
      </c>
      <c r="R906" s="956">
        <f>IFERROR(VLOOKUP(B906,[2]מעובד!$D:$L,9,0),0)</f>
        <v>80</v>
      </c>
    </row>
    <row r="907" spans="1:18" x14ac:dyDescent="0.2">
      <c r="A907" s="947" t="s">
        <v>202</v>
      </c>
      <c r="B907" s="947">
        <v>318196</v>
      </c>
      <c r="C907" s="947" t="s">
        <v>2189</v>
      </c>
      <c r="D907" s="947" t="s">
        <v>526</v>
      </c>
      <c r="E907" s="951">
        <v>228</v>
      </c>
      <c r="F907" s="951">
        <v>228</v>
      </c>
      <c r="G907" s="947" t="s">
        <v>159</v>
      </c>
      <c r="H907" s="951">
        <v>0</v>
      </c>
      <c r="I907" s="951">
        <v>0</v>
      </c>
      <c r="J907" s="947" t="s">
        <v>202</v>
      </c>
      <c r="K907" s="947">
        <v>318196</v>
      </c>
      <c r="M907" s="631"/>
      <c r="P907" s="950" t="str">
        <f>VLOOKUP(J907,'רשימת רשויות'!A:A,1,0)</f>
        <v>בסמ"ה</v>
      </c>
      <c r="Q907" s="956">
        <f>IFERROR(VLOOKUP(B907,[2]מעובד!$D:$K,8,0),0)</f>
        <v>0</v>
      </c>
      <c r="R907" s="956">
        <f>IFERROR(VLOOKUP(B907,[2]מעובד!$D:$L,9,0),0)</f>
        <v>0</v>
      </c>
    </row>
    <row r="908" spans="1:18" x14ac:dyDescent="0.2">
      <c r="A908" s="947" t="s">
        <v>320</v>
      </c>
      <c r="B908" s="947">
        <v>318204</v>
      </c>
      <c r="C908" s="947" t="s">
        <v>2189</v>
      </c>
      <c r="D908" s="947" t="s">
        <v>527</v>
      </c>
      <c r="E908" s="951">
        <v>198</v>
      </c>
      <c r="F908" s="951">
        <v>170</v>
      </c>
      <c r="G908" s="947" t="s">
        <v>159</v>
      </c>
      <c r="H908" s="951">
        <v>0</v>
      </c>
      <c r="I908" s="951">
        <v>0</v>
      </c>
      <c r="J908" s="947" t="s">
        <v>320</v>
      </c>
      <c r="K908" s="947">
        <v>318204</v>
      </c>
      <c r="M908" s="631"/>
      <c r="P908" s="950" t="str">
        <f>VLOOKUP(J908,'רשימת רשויות'!A:A,1,0)</f>
        <v>מעלה עירון</v>
      </c>
      <c r="Q908" s="956">
        <f>IFERROR(VLOOKUP(B908,[2]מעובד!$D:$K,8,0),0)</f>
        <v>186</v>
      </c>
      <c r="R908" s="956">
        <f>IFERROR(VLOOKUP(B908,[2]מעובד!$D:$L,9,0),0)</f>
        <v>56</v>
      </c>
    </row>
    <row r="909" spans="1:18" x14ac:dyDescent="0.2">
      <c r="A909" s="947" t="s">
        <v>320</v>
      </c>
      <c r="B909" s="947">
        <v>318212</v>
      </c>
      <c r="C909" s="947" t="s">
        <v>2189</v>
      </c>
      <c r="D909" s="947" t="s">
        <v>528</v>
      </c>
      <c r="E909" s="951">
        <v>233</v>
      </c>
      <c r="F909" s="951">
        <v>130</v>
      </c>
      <c r="G909" s="953" t="s">
        <v>159</v>
      </c>
      <c r="H909" s="951">
        <v>0</v>
      </c>
      <c r="I909" s="951">
        <v>0</v>
      </c>
      <c r="J909" s="947" t="s">
        <v>320</v>
      </c>
      <c r="K909" s="947">
        <v>318212</v>
      </c>
      <c r="M909" s="636"/>
      <c r="P909" s="950" t="str">
        <f>VLOOKUP(J909,'רשימת רשויות'!A:A,1,0)</f>
        <v>מעלה עירון</v>
      </c>
      <c r="Q909" s="956">
        <f>IFERROR(VLOOKUP(B909,[2]מעובד!$D:$K,8,0),0)</f>
        <v>215</v>
      </c>
      <c r="R909" s="956">
        <f>IFERROR(VLOOKUP(B909,[2]מעובד!$D:$L,9,0),0)</f>
        <v>72</v>
      </c>
    </row>
    <row r="910" spans="1:18" x14ac:dyDescent="0.2">
      <c r="A910" s="947" t="s">
        <v>314</v>
      </c>
      <c r="B910" s="947">
        <v>318220</v>
      </c>
      <c r="C910" s="947" t="s">
        <v>2189</v>
      </c>
      <c r="D910" s="947" t="s">
        <v>2999</v>
      </c>
      <c r="E910" s="951">
        <v>176</v>
      </c>
      <c r="F910" s="951">
        <v>0</v>
      </c>
      <c r="G910" s="953" t="s">
        <v>159</v>
      </c>
      <c r="H910" s="951">
        <v>0</v>
      </c>
      <c r="I910" s="951">
        <v>0</v>
      </c>
      <c r="J910" s="947" t="s">
        <v>314</v>
      </c>
      <c r="K910" s="947">
        <v>318220</v>
      </c>
      <c r="M910" s="636"/>
      <c r="P910" s="950" t="str">
        <f>VLOOKUP(J910,'רשימת רשויות'!A:A,1,0)</f>
        <v>מנשה</v>
      </c>
      <c r="Q910" s="956">
        <f>IFERROR(VLOOKUP(B910,[2]מעובד!$D:$K,8,0),0)</f>
        <v>0</v>
      </c>
      <c r="R910" s="956">
        <f>IFERROR(VLOOKUP(B910,[2]מעובד!$D:$L,9,0),0)</f>
        <v>0</v>
      </c>
    </row>
    <row r="911" spans="1:18" x14ac:dyDescent="0.2">
      <c r="A911" s="947" t="s">
        <v>320</v>
      </c>
      <c r="B911" s="947">
        <v>318246</v>
      </c>
      <c r="C911" s="947" t="s">
        <v>2189</v>
      </c>
      <c r="D911" s="947" t="s">
        <v>529</v>
      </c>
      <c r="E911" s="951">
        <v>170</v>
      </c>
      <c r="F911" s="951">
        <v>118</v>
      </c>
      <c r="G911" s="953" t="s">
        <v>159</v>
      </c>
      <c r="H911" s="951">
        <v>0</v>
      </c>
      <c r="I911" s="951">
        <v>0</v>
      </c>
      <c r="J911" s="947" t="s">
        <v>320</v>
      </c>
      <c r="K911" s="947">
        <v>318246</v>
      </c>
      <c r="M911" s="636"/>
      <c r="P911" s="950" t="str">
        <f>VLOOKUP(J911,'רשימת רשויות'!A:A,1,0)</f>
        <v>מעלה עירון</v>
      </c>
      <c r="Q911" s="956">
        <f>IFERROR(VLOOKUP(B911,[2]מעובד!$D:$K,8,0),0)</f>
        <v>166</v>
      </c>
      <c r="R911" s="956">
        <f>IFERROR(VLOOKUP(B911,[2]מעובד!$D:$L,9,0),0)</f>
        <v>51</v>
      </c>
    </row>
    <row r="912" spans="1:18" x14ac:dyDescent="0.2">
      <c r="A912" s="947" t="s">
        <v>356</v>
      </c>
      <c r="B912" s="947">
        <v>318261</v>
      </c>
      <c r="C912" s="947" t="s">
        <v>2189</v>
      </c>
      <c r="D912" s="947" t="s">
        <v>530</v>
      </c>
      <c r="E912" s="951">
        <v>173</v>
      </c>
      <c r="F912" s="951">
        <v>173</v>
      </c>
      <c r="G912" s="947" t="s">
        <v>159</v>
      </c>
      <c r="H912" s="951">
        <v>0</v>
      </c>
      <c r="I912" s="951">
        <v>0</v>
      </c>
      <c r="J912" s="947" t="s">
        <v>356</v>
      </c>
      <c r="K912" s="947">
        <v>318261</v>
      </c>
      <c r="M912" s="631"/>
      <c r="P912" s="950" t="str">
        <f>VLOOKUP(J912,'רשימת רשויות'!A:A,1,0)</f>
        <v>ערערה</v>
      </c>
      <c r="Q912" s="956">
        <f>IFERROR(VLOOKUP(B912,[2]מעובד!$D:$K,8,0),0)</f>
        <v>0</v>
      </c>
      <c r="R912" s="956">
        <f>IFERROR(VLOOKUP(B912,[2]מעובד!$D:$L,9,0),0)</f>
        <v>0</v>
      </c>
    </row>
    <row r="913" spans="1:18" x14ac:dyDescent="0.2">
      <c r="A913" s="947" t="s">
        <v>163</v>
      </c>
      <c r="B913" s="947">
        <v>318279</v>
      </c>
      <c r="C913" s="947" t="s">
        <v>2189</v>
      </c>
      <c r="D913" s="947" t="s">
        <v>531</v>
      </c>
      <c r="E913" s="951">
        <v>204</v>
      </c>
      <c r="F913" s="951">
        <v>164</v>
      </c>
      <c r="G913" s="947" t="s">
        <v>159</v>
      </c>
      <c r="H913" s="951">
        <v>0</v>
      </c>
      <c r="I913" s="951">
        <v>0</v>
      </c>
      <c r="J913" s="947" t="s">
        <v>163</v>
      </c>
      <c r="K913" s="947">
        <v>318279</v>
      </c>
      <c r="M913" s="631"/>
      <c r="P913" s="950" t="str">
        <f>VLOOKUP(J913,'רשימת רשויות'!A:A,1,0)</f>
        <v>אום אל-פחם</v>
      </c>
      <c r="Q913" s="956">
        <f>IFERROR(VLOOKUP(B913,[2]מעובד!$D:$K,8,0),0)</f>
        <v>168</v>
      </c>
      <c r="R913" s="956">
        <f>IFERROR(VLOOKUP(B913,[2]מעובד!$D:$L,9,0),0)</f>
        <v>55</v>
      </c>
    </row>
    <row r="914" spans="1:18" x14ac:dyDescent="0.2">
      <c r="A914" s="947" t="s">
        <v>202</v>
      </c>
      <c r="B914" s="947">
        <v>318287</v>
      </c>
      <c r="C914" s="947" t="s">
        <v>2189</v>
      </c>
      <c r="D914" s="947" t="s">
        <v>536</v>
      </c>
      <c r="E914" s="951">
        <v>130</v>
      </c>
      <c r="F914" s="951">
        <v>130</v>
      </c>
      <c r="G914" s="947" t="s">
        <v>159</v>
      </c>
      <c r="H914" s="951">
        <v>0</v>
      </c>
      <c r="I914" s="951">
        <v>0</v>
      </c>
      <c r="J914" s="947" t="s">
        <v>202</v>
      </c>
      <c r="K914" s="947">
        <v>318287</v>
      </c>
      <c r="M914" s="631"/>
      <c r="P914" s="950" t="str">
        <f>VLOOKUP(J914,'רשימת רשויות'!A:A,1,0)</f>
        <v>בסמ"ה</v>
      </c>
      <c r="Q914" s="956">
        <f>IFERROR(VLOOKUP(B914,[2]מעובד!$D:$K,8,0),0)</f>
        <v>0</v>
      </c>
      <c r="R914" s="956">
        <f>IFERROR(VLOOKUP(B914,[2]מעובד!$D:$L,9,0),0)</f>
        <v>0</v>
      </c>
    </row>
    <row r="915" spans="1:18" x14ac:dyDescent="0.2">
      <c r="A915" s="947" t="s">
        <v>352</v>
      </c>
      <c r="B915" s="947">
        <v>318295</v>
      </c>
      <c r="C915" s="947" t="s">
        <v>2189</v>
      </c>
      <c r="D915" s="947" t="s">
        <v>537</v>
      </c>
      <c r="E915" s="951">
        <v>180</v>
      </c>
      <c r="F915" s="951">
        <v>148</v>
      </c>
      <c r="G915" s="947" t="s">
        <v>159</v>
      </c>
      <c r="H915" s="951">
        <v>0</v>
      </c>
      <c r="I915" s="951">
        <v>0</v>
      </c>
      <c r="J915" s="947" t="s">
        <v>352</v>
      </c>
      <c r="K915" s="947">
        <v>318295</v>
      </c>
      <c r="M915" s="631"/>
      <c r="P915" s="950" t="str">
        <f>VLOOKUP(J915,'רשימת רשויות'!A:A,1,0)</f>
        <v>עספיא</v>
      </c>
      <c r="Q915" s="956">
        <f>IFERROR(VLOOKUP(B915,[2]מעובד!$D:$K,8,0),0)</f>
        <v>99</v>
      </c>
      <c r="R915" s="956">
        <f>IFERROR(VLOOKUP(B915,[2]מעובד!$D:$L,9,0),0)</f>
        <v>30</v>
      </c>
    </row>
    <row r="916" spans="1:18" x14ac:dyDescent="0.2">
      <c r="A916" s="947" t="s">
        <v>352</v>
      </c>
      <c r="B916" s="947">
        <v>318303</v>
      </c>
      <c r="C916" s="947" t="s">
        <v>2189</v>
      </c>
      <c r="D916" s="947" t="s">
        <v>538</v>
      </c>
      <c r="E916" s="951">
        <v>178</v>
      </c>
      <c r="F916" s="951">
        <v>148</v>
      </c>
      <c r="G916" s="953" t="s">
        <v>159</v>
      </c>
      <c r="H916" s="951">
        <v>51</v>
      </c>
      <c r="I916" s="951">
        <v>0</v>
      </c>
      <c r="J916" s="947" t="s">
        <v>352</v>
      </c>
      <c r="K916" s="947">
        <v>318303</v>
      </c>
      <c r="M916" s="636"/>
      <c r="P916" s="950" t="str">
        <f>VLOOKUP(J916,'רשימת רשויות'!A:A,1,0)</f>
        <v>עספיא</v>
      </c>
      <c r="Q916" s="956">
        <f>IFERROR(VLOOKUP(B916,[2]מעובד!$D:$K,8,0),0)</f>
        <v>217</v>
      </c>
      <c r="R916" s="956">
        <f>IFERROR(VLOOKUP(B916,[2]מעובד!$D:$L,9,0),0)</f>
        <v>55</v>
      </c>
    </row>
    <row r="917" spans="1:18" x14ac:dyDescent="0.2">
      <c r="A917" s="947" t="s">
        <v>356</v>
      </c>
      <c r="B917" s="947">
        <v>318311</v>
      </c>
      <c r="C917" s="947" t="s">
        <v>2189</v>
      </c>
      <c r="D917" s="947" t="s">
        <v>490</v>
      </c>
      <c r="E917" s="951">
        <v>199</v>
      </c>
      <c r="F917" s="951">
        <v>200</v>
      </c>
      <c r="G917" s="953" t="s">
        <v>159</v>
      </c>
      <c r="H917" s="951">
        <v>0</v>
      </c>
      <c r="I917" s="951">
        <v>0</v>
      </c>
      <c r="J917" s="947" t="s">
        <v>356</v>
      </c>
      <c r="K917" s="947">
        <v>318311</v>
      </c>
      <c r="M917" s="636"/>
      <c r="P917" s="950" t="str">
        <f>VLOOKUP(J917,'רשימת רשויות'!A:A,1,0)</f>
        <v>ערערה</v>
      </c>
      <c r="Q917" s="956">
        <f>IFERROR(VLOOKUP(B917,[2]מעובד!$D:$K,8,0),0)</f>
        <v>170</v>
      </c>
      <c r="R917" s="956">
        <f>IFERROR(VLOOKUP(B917,[2]מעובד!$D:$L,9,0),0)</f>
        <v>45</v>
      </c>
    </row>
    <row r="918" spans="1:18" x14ac:dyDescent="0.2">
      <c r="A918" s="947" t="s">
        <v>163</v>
      </c>
      <c r="B918" s="947">
        <v>318337</v>
      </c>
      <c r="C918" s="947" t="s">
        <v>2189</v>
      </c>
      <c r="D918" s="947" t="s">
        <v>491</v>
      </c>
      <c r="E918" s="951">
        <v>198</v>
      </c>
      <c r="F918" s="951">
        <v>159</v>
      </c>
      <c r="G918" s="947" t="s">
        <v>159</v>
      </c>
      <c r="H918" s="951">
        <v>0</v>
      </c>
      <c r="I918" s="951">
        <v>0</v>
      </c>
      <c r="J918" s="947" t="s">
        <v>163</v>
      </c>
      <c r="K918" s="947">
        <v>318337</v>
      </c>
      <c r="M918" s="631"/>
      <c r="P918" s="950" t="str">
        <f>VLOOKUP(J918,'רשימת רשויות'!A:A,1,0)</f>
        <v>אום אל-פחם</v>
      </c>
      <c r="Q918" s="956">
        <f>IFERROR(VLOOKUP(B918,[2]מעובד!$D:$K,8,0),0)</f>
        <v>242</v>
      </c>
      <c r="R918" s="956">
        <f>IFERROR(VLOOKUP(B918,[2]מעובד!$D:$L,9,0),0)</f>
        <v>72</v>
      </c>
    </row>
    <row r="919" spans="1:18" x14ac:dyDescent="0.2">
      <c r="A919" s="947" t="s">
        <v>358</v>
      </c>
      <c r="B919" s="947">
        <v>318345</v>
      </c>
      <c r="C919" s="947" t="s">
        <v>2189</v>
      </c>
      <c r="D919" s="947" t="s">
        <v>492</v>
      </c>
      <c r="E919" s="951">
        <v>247</v>
      </c>
      <c r="F919" s="951">
        <v>247</v>
      </c>
      <c r="G919" s="947" t="s">
        <v>159</v>
      </c>
      <c r="H919" s="951">
        <v>0</v>
      </c>
      <c r="I919" s="951">
        <v>0</v>
      </c>
      <c r="J919" s="947" t="s">
        <v>358</v>
      </c>
      <c r="K919" s="947">
        <v>318345</v>
      </c>
      <c r="M919" s="631"/>
      <c r="P919" s="950" t="str">
        <f>VLOOKUP(J919,'רשימת רשויות'!A:A,1,0)</f>
        <v>פוריידיס</v>
      </c>
      <c r="Q919" s="956">
        <f>IFERROR(VLOOKUP(B919,[2]מעובד!$D:$K,8,0),0)</f>
        <v>242</v>
      </c>
      <c r="R919" s="956">
        <f>IFERROR(VLOOKUP(B919,[2]מעובד!$D:$L,9,0),0)</f>
        <v>80</v>
      </c>
    </row>
    <row r="920" spans="1:18" x14ac:dyDescent="0.2">
      <c r="A920" s="947" t="s">
        <v>287</v>
      </c>
      <c r="B920" s="947">
        <v>318352</v>
      </c>
      <c r="C920" s="947" t="s">
        <v>2189</v>
      </c>
      <c r="D920" s="947" t="s">
        <v>493</v>
      </c>
      <c r="E920" s="951">
        <v>94</v>
      </c>
      <c r="F920" s="951">
        <v>79</v>
      </c>
      <c r="G920" s="947" t="s">
        <v>159</v>
      </c>
      <c r="H920" s="951">
        <v>32</v>
      </c>
      <c r="I920" s="951">
        <v>8</v>
      </c>
      <c r="J920" s="947" t="s">
        <v>287</v>
      </c>
      <c r="K920" s="947">
        <v>318352</v>
      </c>
      <c r="M920" s="631"/>
      <c r="P920" s="950" t="str">
        <f>VLOOKUP(J920,'רשימת רשויות'!A:A,1,0)</f>
        <v>כפר קרע</v>
      </c>
      <c r="Q920" s="956">
        <f>IFERROR(VLOOKUP(B920,[2]מעובד!$D:$K,8,0),0)</f>
        <v>70</v>
      </c>
      <c r="R920" s="956">
        <f>IFERROR(VLOOKUP(B920,[2]מעובד!$D:$L,9,0),0)</f>
        <v>40</v>
      </c>
    </row>
    <row r="921" spans="1:18" x14ac:dyDescent="0.2">
      <c r="A921" s="947" t="s">
        <v>358</v>
      </c>
      <c r="B921" s="947">
        <v>318360</v>
      </c>
      <c r="C921" s="947" t="s">
        <v>2189</v>
      </c>
      <c r="D921" s="947" t="s">
        <v>494</v>
      </c>
      <c r="E921" s="951">
        <v>234</v>
      </c>
      <c r="F921" s="951">
        <v>215</v>
      </c>
      <c r="G921" s="947" t="s">
        <v>159</v>
      </c>
      <c r="H921" s="951">
        <v>86</v>
      </c>
      <c r="I921" s="951">
        <v>10</v>
      </c>
      <c r="J921" s="947" t="s">
        <v>358</v>
      </c>
      <c r="K921" s="947">
        <v>318360</v>
      </c>
      <c r="M921" s="631"/>
      <c r="P921" s="950" t="str">
        <f>VLOOKUP(J921,'רשימת רשויות'!A:A,1,0)</f>
        <v>פוריידיס</v>
      </c>
      <c r="Q921" s="956">
        <f>IFERROR(VLOOKUP(B921,[2]מעובד!$D:$K,8,0),0)</f>
        <v>249</v>
      </c>
      <c r="R921" s="956">
        <f>IFERROR(VLOOKUP(B921,[2]מעובד!$D:$L,9,0),0)</f>
        <v>52</v>
      </c>
    </row>
    <row r="922" spans="1:18" x14ac:dyDescent="0.2">
      <c r="A922" s="947" t="s">
        <v>251</v>
      </c>
      <c r="B922" s="947">
        <v>318394</v>
      </c>
      <c r="C922" s="947" t="s">
        <v>2189</v>
      </c>
      <c r="D922" s="947" t="s">
        <v>495</v>
      </c>
      <c r="E922" s="951">
        <v>84</v>
      </c>
      <c r="F922" s="951">
        <v>73</v>
      </c>
      <c r="G922" s="947" t="s">
        <v>159</v>
      </c>
      <c r="H922" s="951">
        <v>34</v>
      </c>
      <c r="I922" s="951">
        <v>11</v>
      </c>
      <c r="J922" s="947" t="s">
        <v>251</v>
      </c>
      <c r="K922" s="947">
        <v>318394</v>
      </c>
      <c r="M922" s="631"/>
      <c r="P922" s="950" t="str">
        <f>VLOOKUP(J922,'רשימת רשויות'!A:A,1,0)</f>
        <v>חיפה</v>
      </c>
      <c r="Q922" s="956">
        <f>IFERROR(VLOOKUP(B922,[2]מעובד!$D:$K,8,0),0)</f>
        <v>94</v>
      </c>
      <c r="R922" s="956">
        <f>IFERROR(VLOOKUP(B922,[2]מעובד!$D:$L,9,0),0)</f>
        <v>45</v>
      </c>
    </row>
    <row r="923" spans="1:18" x14ac:dyDescent="0.2">
      <c r="A923" s="947" t="s">
        <v>184</v>
      </c>
      <c r="B923" s="947">
        <v>318402</v>
      </c>
      <c r="C923" s="947" t="s">
        <v>2189</v>
      </c>
      <c r="D923" s="947" t="s">
        <v>3000</v>
      </c>
      <c r="E923" s="951">
        <v>288</v>
      </c>
      <c r="F923" s="951">
        <v>180</v>
      </c>
      <c r="G923" s="947" t="s">
        <v>159</v>
      </c>
      <c r="H923" s="951">
        <v>0</v>
      </c>
      <c r="I923" s="951">
        <v>0</v>
      </c>
      <c r="J923" s="947" t="s">
        <v>184</v>
      </c>
      <c r="K923" s="947">
        <v>318402</v>
      </c>
      <c r="M923" s="631"/>
      <c r="P923" s="950" t="str">
        <f>VLOOKUP(J923,'רשימת רשויות'!A:A,1,0)</f>
        <v>באקה אל-גרביה</v>
      </c>
      <c r="Q923" s="956">
        <f>IFERROR(VLOOKUP(B923,[2]מעובד!$D:$K,8,0),0)</f>
        <v>286</v>
      </c>
      <c r="R923" s="956">
        <f>IFERROR(VLOOKUP(B923,[2]מעובד!$D:$L,9,0),0)</f>
        <v>67</v>
      </c>
    </row>
    <row r="924" spans="1:18" x14ac:dyDescent="0.2">
      <c r="A924" s="947" t="s">
        <v>222</v>
      </c>
      <c r="B924" s="947">
        <v>318410</v>
      </c>
      <c r="C924" s="947" t="s">
        <v>2189</v>
      </c>
      <c r="D924" s="947" t="s">
        <v>496</v>
      </c>
      <c r="E924" s="951">
        <v>178</v>
      </c>
      <c r="F924" s="951">
        <v>160</v>
      </c>
      <c r="G924" s="947" t="s">
        <v>159</v>
      </c>
      <c r="H924" s="951">
        <v>65</v>
      </c>
      <c r="I924" s="951">
        <v>11</v>
      </c>
      <c r="J924" s="947" t="s">
        <v>222</v>
      </c>
      <c r="K924" s="947">
        <v>318410</v>
      </c>
      <c r="M924" s="631"/>
      <c r="P924" s="950" t="str">
        <f>VLOOKUP(J924,'רשימת רשויות'!A:A,1,0)</f>
        <v>דאלית אל-כרמל</v>
      </c>
      <c r="Q924" s="956">
        <f>IFERROR(VLOOKUP(B924,[2]מעובד!$D:$K,8,0),0)</f>
        <v>84</v>
      </c>
      <c r="R924" s="956">
        <f>IFERROR(VLOOKUP(B924,[2]מעובד!$D:$L,9,0),0)</f>
        <v>50</v>
      </c>
    </row>
    <row r="925" spans="1:18" x14ac:dyDescent="0.2">
      <c r="A925" s="947" t="s">
        <v>163</v>
      </c>
      <c r="B925" s="947">
        <v>318428</v>
      </c>
      <c r="C925" s="947" t="s">
        <v>2189</v>
      </c>
      <c r="D925" s="947" t="s">
        <v>497</v>
      </c>
      <c r="E925" s="951">
        <v>187</v>
      </c>
      <c r="F925" s="951">
        <v>162</v>
      </c>
      <c r="G925" s="947" t="s">
        <v>159</v>
      </c>
      <c r="H925" s="951">
        <v>0</v>
      </c>
      <c r="I925" s="951">
        <v>0</v>
      </c>
      <c r="J925" s="947" t="s">
        <v>163</v>
      </c>
      <c r="K925" s="947">
        <v>318428</v>
      </c>
      <c r="M925" s="631"/>
      <c r="P925" s="950" t="str">
        <f>VLOOKUP(J925,'רשימת רשויות'!A:A,1,0)</f>
        <v>אום אל-פחם</v>
      </c>
      <c r="Q925" s="956">
        <f>IFERROR(VLOOKUP(B925,[2]מעובד!$D:$K,8,0),0)</f>
        <v>0</v>
      </c>
      <c r="R925" s="956">
        <f>IFERROR(VLOOKUP(B925,[2]מעובד!$D:$L,9,0),0)</f>
        <v>0</v>
      </c>
    </row>
    <row r="926" spans="1:18" x14ac:dyDescent="0.2">
      <c r="A926" s="947" t="s">
        <v>211</v>
      </c>
      <c r="B926" s="947">
        <v>318436</v>
      </c>
      <c r="C926" s="947" t="s">
        <v>2189</v>
      </c>
      <c r="D926" s="947" t="s">
        <v>498</v>
      </c>
      <c r="E926" s="951">
        <v>295</v>
      </c>
      <c r="F926" s="951">
        <v>148</v>
      </c>
      <c r="G926" s="947" t="s">
        <v>159</v>
      </c>
      <c r="H926" s="951">
        <v>112</v>
      </c>
      <c r="I926" s="951">
        <v>7</v>
      </c>
      <c r="J926" s="947" t="s">
        <v>211</v>
      </c>
      <c r="K926" s="957" t="s">
        <v>3279</v>
      </c>
      <c r="M926" s="631"/>
      <c r="P926" s="950" t="str">
        <f>VLOOKUP(J926,'רשימת רשויות'!A:A,1,0)</f>
        <v>ג'ת</v>
      </c>
      <c r="Q926" s="956">
        <f>IFERROR(VLOOKUP(B926,[2]מעובד!$D:$K,8,0),0)</f>
        <v>287</v>
      </c>
      <c r="R926" s="956">
        <f>IFERROR(VLOOKUP(B926,[2]מעובד!$D:$L,9,0),0)</f>
        <v>53</v>
      </c>
    </row>
    <row r="927" spans="1:18" x14ac:dyDescent="0.2">
      <c r="A927" s="947" t="s">
        <v>356</v>
      </c>
      <c r="B927" s="947">
        <v>318469</v>
      </c>
      <c r="C927" s="947" t="s">
        <v>2189</v>
      </c>
      <c r="D927" s="947" t="s">
        <v>499</v>
      </c>
      <c r="E927" s="951">
        <v>96</v>
      </c>
      <c r="F927" s="951">
        <v>97</v>
      </c>
      <c r="G927" s="947" t="s">
        <v>159</v>
      </c>
      <c r="H927" s="951">
        <v>0</v>
      </c>
      <c r="I927" s="951">
        <v>0</v>
      </c>
      <c r="J927" s="947" t="s">
        <v>356</v>
      </c>
      <c r="K927" s="947">
        <v>318469</v>
      </c>
      <c r="M927" s="631"/>
      <c r="P927" s="950" t="str">
        <f>VLOOKUP(J927,'רשימת רשויות'!A:A,1,0)</f>
        <v>ערערה</v>
      </c>
      <c r="Q927" s="956">
        <f>IFERROR(VLOOKUP(B927,[2]מעובד!$D:$K,8,0),0)</f>
        <v>0</v>
      </c>
      <c r="R927" s="956">
        <f>IFERROR(VLOOKUP(B927,[2]מעובד!$D:$L,9,0),0)</f>
        <v>0</v>
      </c>
    </row>
    <row r="928" spans="1:18" x14ac:dyDescent="0.2">
      <c r="A928" s="947" t="s">
        <v>163</v>
      </c>
      <c r="B928" s="947">
        <v>318477</v>
      </c>
      <c r="C928" s="947" t="s">
        <v>2189</v>
      </c>
      <c r="D928" s="947" t="s">
        <v>500</v>
      </c>
      <c r="E928" s="951">
        <v>106</v>
      </c>
      <c r="F928" s="951">
        <v>37</v>
      </c>
      <c r="G928" s="947" t="s">
        <v>159</v>
      </c>
      <c r="H928" s="951">
        <v>91</v>
      </c>
      <c r="I928" s="951">
        <v>27</v>
      </c>
      <c r="J928" s="947" t="s">
        <v>163</v>
      </c>
      <c r="K928" s="947">
        <v>318477</v>
      </c>
      <c r="M928" s="631"/>
      <c r="P928" s="950" t="str">
        <f>VLOOKUP(J928,'רשימת רשויות'!A:A,1,0)</f>
        <v>אום אל-פחם</v>
      </c>
      <c r="Q928" s="956">
        <f>IFERROR(VLOOKUP(B928,[2]מעובד!$D:$K,8,0),0)</f>
        <v>0</v>
      </c>
      <c r="R928" s="956">
        <f>IFERROR(VLOOKUP(B928,[2]מעובד!$D:$L,9,0),0)</f>
        <v>0</v>
      </c>
    </row>
    <row r="929" spans="1:18" x14ac:dyDescent="0.2">
      <c r="A929" s="947" t="s">
        <v>356</v>
      </c>
      <c r="B929" s="947">
        <v>318485</v>
      </c>
      <c r="C929" s="947" t="s">
        <v>2189</v>
      </c>
      <c r="D929" s="947" t="s">
        <v>501</v>
      </c>
      <c r="E929" s="951">
        <v>183</v>
      </c>
      <c r="F929" s="951">
        <v>175</v>
      </c>
      <c r="G929" s="947" t="s">
        <v>159</v>
      </c>
      <c r="H929" s="951">
        <v>62</v>
      </c>
      <c r="I929" s="951">
        <v>8</v>
      </c>
      <c r="J929" s="947" t="s">
        <v>356</v>
      </c>
      <c r="K929" s="947">
        <v>318485</v>
      </c>
      <c r="M929" s="631"/>
      <c r="P929" s="950" t="str">
        <f>VLOOKUP(J929,'רשימת רשויות'!A:A,1,0)</f>
        <v>ערערה</v>
      </c>
      <c r="Q929" s="956">
        <f>IFERROR(VLOOKUP(B929,[2]מעובד!$D:$K,8,0),0)</f>
        <v>175</v>
      </c>
      <c r="R929" s="956">
        <f>IFERROR(VLOOKUP(B929,[2]מעובד!$D:$L,9,0),0)</f>
        <v>40</v>
      </c>
    </row>
    <row r="930" spans="1:18" x14ac:dyDescent="0.2">
      <c r="A930" s="947" t="s">
        <v>163</v>
      </c>
      <c r="B930" s="947">
        <v>318493</v>
      </c>
      <c r="C930" s="947" t="s">
        <v>2189</v>
      </c>
      <c r="D930" s="947" t="s">
        <v>513</v>
      </c>
      <c r="E930" s="951">
        <v>291</v>
      </c>
      <c r="F930" s="951">
        <v>168</v>
      </c>
      <c r="G930" s="947" t="s">
        <v>159</v>
      </c>
      <c r="H930" s="951">
        <v>0</v>
      </c>
      <c r="I930" s="951">
        <v>0</v>
      </c>
      <c r="J930" s="947" t="s">
        <v>163</v>
      </c>
      <c r="K930" s="947">
        <v>318493</v>
      </c>
      <c r="M930" s="631"/>
      <c r="P930" s="950" t="str">
        <f>VLOOKUP(J930,'רשימת רשויות'!A:A,1,0)</f>
        <v>אום אל-פחם</v>
      </c>
      <c r="Q930" s="956">
        <f>IFERROR(VLOOKUP(B930,[2]מעובד!$D:$K,8,0),0)</f>
        <v>269</v>
      </c>
      <c r="R930" s="956">
        <f>IFERROR(VLOOKUP(B930,[2]מעובד!$D:$L,9,0),0)</f>
        <v>57</v>
      </c>
    </row>
    <row r="931" spans="1:18" x14ac:dyDescent="0.2">
      <c r="A931" s="947" t="s">
        <v>184</v>
      </c>
      <c r="B931" s="947">
        <v>318501</v>
      </c>
      <c r="C931" s="947" t="s">
        <v>2189</v>
      </c>
      <c r="D931" s="947" t="s">
        <v>514</v>
      </c>
      <c r="E931" s="951">
        <v>148</v>
      </c>
      <c r="F931" s="951">
        <v>114</v>
      </c>
      <c r="G931" s="947" t="s">
        <v>159</v>
      </c>
      <c r="H931" s="951">
        <v>61</v>
      </c>
      <c r="I931" s="951">
        <v>0</v>
      </c>
      <c r="J931" s="947" t="s">
        <v>184</v>
      </c>
      <c r="K931" s="947">
        <v>318501</v>
      </c>
      <c r="M931" s="631"/>
      <c r="P931" s="950" t="str">
        <f>VLOOKUP(J931,'רשימת רשויות'!A:A,1,0)</f>
        <v>באקה אל-גרביה</v>
      </c>
      <c r="Q931" s="956">
        <f>IFERROR(VLOOKUP(B931,[2]מעובד!$D:$K,8,0),0)</f>
        <v>202</v>
      </c>
      <c r="R931" s="956">
        <f>IFERROR(VLOOKUP(B931,[2]מעובד!$D:$L,9,0),0)</f>
        <v>45</v>
      </c>
    </row>
    <row r="932" spans="1:18" x14ac:dyDescent="0.2">
      <c r="A932" s="947" t="s">
        <v>210</v>
      </c>
      <c r="B932" s="947">
        <v>318519</v>
      </c>
      <c r="C932" s="947" t="s">
        <v>2189</v>
      </c>
      <c r="D932" s="947" t="s">
        <v>515</v>
      </c>
      <c r="E932" s="951">
        <v>277</v>
      </c>
      <c r="F932" s="951">
        <v>264</v>
      </c>
      <c r="G932" s="947" t="s">
        <v>159</v>
      </c>
      <c r="H932" s="951">
        <v>97</v>
      </c>
      <c r="I932" s="951">
        <v>13</v>
      </c>
      <c r="J932" s="947" t="s">
        <v>210</v>
      </c>
      <c r="K932" s="947">
        <v>318519</v>
      </c>
      <c r="M932" s="631"/>
      <c r="P932" s="950" t="str">
        <f>VLOOKUP(J932,'רשימת רשויות'!A:A,1,0)</f>
        <v>ג'סר א-זרקא</v>
      </c>
      <c r="Q932" s="956">
        <f>IFERROR(VLOOKUP(B932,[2]מעובד!$D:$K,8,0),0)</f>
        <v>242</v>
      </c>
      <c r="R932" s="956">
        <f>IFERROR(VLOOKUP(B932,[2]מעובד!$D:$L,9,0),0)</f>
        <v>188</v>
      </c>
    </row>
    <row r="933" spans="1:18" x14ac:dyDescent="0.2">
      <c r="A933" s="947" t="s">
        <v>356</v>
      </c>
      <c r="B933" s="947">
        <v>318527</v>
      </c>
      <c r="C933" s="947" t="s">
        <v>2189</v>
      </c>
      <c r="D933" s="947" t="s">
        <v>516</v>
      </c>
      <c r="E933" s="951">
        <v>333</v>
      </c>
      <c r="F933" s="951">
        <v>323</v>
      </c>
      <c r="G933" s="947" t="s">
        <v>159</v>
      </c>
      <c r="H933" s="951">
        <v>113</v>
      </c>
      <c r="I933" s="951">
        <v>10</v>
      </c>
      <c r="J933" s="947" t="s">
        <v>356</v>
      </c>
      <c r="K933" s="947">
        <v>318527</v>
      </c>
      <c r="M933" s="631"/>
      <c r="P933" s="950" t="str">
        <f>VLOOKUP(J933,'רשימת רשויות'!A:A,1,0)</f>
        <v>ערערה</v>
      </c>
      <c r="Q933" s="956">
        <f>IFERROR(VLOOKUP(B933,[2]מעובד!$D:$K,8,0),0)</f>
        <v>334</v>
      </c>
      <c r="R933" s="956">
        <f>IFERROR(VLOOKUP(B933,[2]מעובד!$D:$L,9,0),0)</f>
        <v>70</v>
      </c>
    </row>
    <row r="934" spans="1:18" x14ac:dyDescent="0.2">
      <c r="A934" s="947" t="s">
        <v>222</v>
      </c>
      <c r="B934" s="947">
        <v>318535</v>
      </c>
      <c r="C934" s="947" t="s">
        <v>2189</v>
      </c>
      <c r="D934" s="947" t="s">
        <v>517</v>
      </c>
      <c r="E934" s="951">
        <v>210</v>
      </c>
      <c r="F934" s="951">
        <v>210</v>
      </c>
      <c r="G934" s="947" t="s">
        <v>159</v>
      </c>
      <c r="H934" s="951">
        <v>0</v>
      </c>
      <c r="I934" s="951">
        <v>0</v>
      </c>
      <c r="J934" s="947" t="s">
        <v>222</v>
      </c>
      <c r="K934" s="947">
        <v>318535</v>
      </c>
      <c r="M934" s="631"/>
      <c r="P934" s="950" t="str">
        <f>VLOOKUP(J934,'רשימת רשויות'!A:A,1,0)</f>
        <v>דאלית אל-כרמל</v>
      </c>
      <c r="Q934" s="956">
        <f>IFERROR(VLOOKUP(B934,[2]מעובד!$D:$K,8,0),0)</f>
        <v>0</v>
      </c>
      <c r="R934" s="956">
        <f>IFERROR(VLOOKUP(B934,[2]מעובד!$D:$L,9,0),0)</f>
        <v>0</v>
      </c>
    </row>
    <row r="935" spans="1:18" x14ac:dyDescent="0.2">
      <c r="A935" s="947" t="s">
        <v>251</v>
      </c>
      <c r="B935" s="947">
        <v>318543</v>
      </c>
      <c r="C935" s="947" t="s">
        <v>2189</v>
      </c>
      <c r="D935" s="947" t="s">
        <v>518</v>
      </c>
      <c r="E935" s="951">
        <v>121</v>
      </c>
      <c r="F935" s="951">
        <v>120</v>
      </c>
      <c r="G935" s="947" t="s">
        <v>159</v>
      </c>
      <c r="H935" s="951">
        <v>0</v>
      </c>
      <c r="I935" s="951">
        <v>0</v>
      </c>
      <c r="J935" s="947" t="s">
        <v>251</v>
      </c>
      <c r="K935" s="947">
        <v>318543</v>
      </c>
      <c r="M935" s="631"/>
      <c r="P935" s="950" t="str">
        <f>VLOOKUP(J935,'רשימת רשויות'!A:A,1,0)</f>
        <v>חיפה</v>
      </c>
      <c r="Q935" s="956">
        <f>IFERROR(VLOOKUP(B935,[2]מעובד!$D:$K,8,0),0)</f>
        <v>0</v>
      </c>
      <c r="R935" s="956">
        <f>IFERROR(VLOOKUP(B935,[2]מעובד!$D:$L,9,0),0)</f>
        <v>0</v>
      </c>
    </row>
    <row r="936" spans="1:18" x14ac:dyDescent="0.2">
      <c r="A936" s="947" t="s">
        <v>163</v>
      </c>
      <c r="B936" s="947">
        <v>318550</v>
      </c>
      <c r="C936" s="947" t="s">
        <v>2189</v>
      </c>
      <c r="D936" s="947" t="s">
        <v>519</v>
      </c>
      <c r="E936" s="951">
        <v>351</v>
      </c>
      <c r="F936" s="951">
        <v>198</v>
      </c>
      <c r="G936" s="947" t="s">
        <v>159</v>
      </c>
      <c r="H936" s="951">
        <v>0</v>
      </c>
      <c r="I936" s="951">
        <v>0</v>
      </c>
      <c r="J936" s="947" t="s">
        <v>163</v>
      </c>
      <c r="K936" s="947">
        <v>318550</v>
      </c>
      <c r="M936" s="631"/>
      <c r="P936" s="950" t="str">
        <f>VLOOKUP(J936,'רשימת רשויות'!A:A,1,0)</f>
        <v>אום אל-פחם</v>
      </c>
      <c r="Q936" s="956">
        <f>IFERROR(VLOOKUP(B936,[2]מעובד!$D:$K,8,0),0)</f>
        <v>229</v>
      </c>
      <c r="R936" s="956">
        <f>IFERROR(VLOOKUP(B936,[2]מעובד!$D:$L,9,0),0)</f>
        <v>77</v>
      </c>
    </row>
    <row r="937" spans="1:18" x14ac:dyDescent="0.2">
      <c r="A937" s="947" t="s">
        <v>251</v>
      </c>
      <c r="B937" s="947">
        <v>318568</v>
      </c>
      <c r="C937" s="947" t="s">
        <v>2189</v>
      </c>
      <c r="D937" s="947" t="s">
        <v>520</v>
      </c>
      <c r="E937" s="951">
        <v>131</v>
      </c>
      <c r="F937" s="951">
        <v>120</v>
      </c>
      <c r="G937" s="947" t="s">
        <v>159</v>
      </c>
      <c r="H937" s="951">
        <v>39</v>
      </c>
      <c r="I937" s="951">
        <v>11</v>
      </c>
      <c r="J937" s="947" t="s">
        <v>251</v>
      </c>
      <c r="K937" s="947">
        <v>318568</v>
      </c>
      <c r="M937" s="631"/>
      <c r="P937" s="950" t="str">
        <f>VLOOKUP(J937,'רשימת רשויות'!A:A,1,0)</f>
        <v>חיפה</v>
      </c>
      <c r="Q937" s="956">
        <f>IFERROR(VLOOKUP(B937,[2]מעובד!$D:$K,8,0),0)</f>
        <v>150</v>
      </c>
      <c r="R937" s="956">
        <f>IFERROR(VLOOKUP(B937,[2]מעובד!$D:$L,9,0),0)</f>
        <v>60</v>
      </c>
    </row>
    <row r="938" spans="1:18" x14ac:dyDescent="0.2">
      <c r="A938" s="947" t="s">
        <v>287</v>
      </c>
      <c r="B938" s="947">
        <v>318576</v>
      </c>
      <c r="C938" s="947" t="s">
        <v>2189</v>
      </c>
      <c r="D938" s="947" t="s">
        <v>521</v>
      </c>
      <c r="E938" s="951">
        <v>310</v>
      </c>
      <c r="F938" s="951">
        <v>288</v>
      </c>
      <c r="G938" s="947" t="s">
        <v>159</v>
      </c>
      <c r="H938" s="951">
        <v>0</v>
      </c>
      <c r="I938" s="951">
        <v>0</v>
      </c>
      <c r="J938" s="947" t="s">
        <v>287</v>
      </c>
      <c r="K938" s="947">
        <v>318576</v>
      </c>
      <c r="M938" s="631"/>
      <c r="P938" s="950" t="str">
        <f>VLOOKUP(J938,'רשימת רשויות'!A:A,1,0)</f>
        <v>כפר קרע</v>
      </c>
      <c r="Q938" s="956">
        <f>IFERROR(VLOOKUP(B938,[2]מעובד!$D:$K,8,0),0)</f>
        <v>287</v>
      </c>
      <c r="R938" s="956">
        <f>IFERROR(VLOOKUP(B938,[2]מעובד!$D:$L,9,0),0)</f>
        <v>65</v>
      </c>
    </row>
    <row r="939" spans="1:18" x14ac:dyDescent="0.2">
      <c r="A939" s="947" t="s">
        <v>184</v>
      </c>
      <c r="B939" s="947">
        <v>318592</v>
      </c>
      <c r="C939" s="947" t="s">
        <v>2189</v>
      </c>
      <c r="D939" s="947" t="s">
        <v>497</v>
      </c>
      <c r="E939" s="951">
        <v>233</v>
      </c>
      <c r="F939" s="951">
        <v>180</v>
      </c>
      <c r="G939" s="947" t="s">
        <v>159</v>
      </c>
      <c r="H939" s="951">
        <v>0</v>
      </c>
      <c r="I939" s="951">
        <v>0</v>
      </c>
      <c r="J939" s="947" t="s">
        <v>184</v>
      </c>
      <c r="K939" s="947">
        <v>318592</v>
      </c>
      <c r="M939" s="631"/>
      <c r="P939" s="950" t="str">
        <f>VLOOKUP(J939,'רשימת רשויות'!A:A,1,0)</f>
        <v>באקה אל-גרביה</v>
      </c>
      <c r="Q939" s="956">
        <f>IFERROR(VLOOKUP(B939,[2]מעובד!$D:$K,8,0),0)</f>
        <v>216</v>
      </c>
      <c r="R939" s="956">
        <f>IFERROR(VLOOKUP(B939,[2]מעובד!$D:$L,9,0),0)</f>
        <v>49</v>
      </c>
    </row>
    <row r="940" spans="1:18" x14ac:dyDescent="0.2">
      <c r="A940" s="947" t="s">
        <v>358</v>
      </c>
      <c r="B940" s="947">
        <v>318600</v>
      </c>
      <c r="C940" s="947" t="s">
        <v>2189</v>
      </c>
      <c r="D940" s="947" t="s">
        <v>522</v>
      </c>
      <c r="E940" s="951">
        <v>360</v>
      </c>
      <c r="F940" s="951">
        <v>338</v>
      </c>
      <c r="G940" s="947" t="s">
        <v>159</v>
      </c>
      <c r="H940" s="951">
        <v>259</v>
      </c>
      <c r="I940" s="951">
        <v>22</v>
      </c>
      <c r="J940" s="947" t="s">
        <v>358</v>
      </c>
      <c r="K940" s="947">
        <v>318600</v>
      </c>
      <c r="M940" s="631"/>
      <c r="P940" s="950" t="str">
        <f>VLOOKUP(J940,'רשימת רשויות'!A:A,1,0)</f>
        <v>פוריידיס</v>
      </c>
      <c r="Q940" s="956">
        <f>IFERROR(VLOOKUP(B940,[2]מעובד!$D:$K,8,0),0)</f>
        <v>319</v>
      </c>
      <c r="R940" s="956">
        <f>IFERROR(VLOOKUP(B940,[2]מעובד!$D:$L,9,0),0)</f>
        <v>171</v>
      </c>
    </row>
    <row r="941" spans="1:18" x14ac:dyDescent="0.2">
      <c r="A941" s="947" t="s">
        <v>251</v>
      </c>
      <c r="B941" s="947">
        <v>318618</v>
      </c>
      <c r="C941" s="947" t="s">
        <v>2189</v>
      </c>
      <c r="D941" s="947" t="s">
        <v>523</v>
      </c>
      <c r="E941" s="951">
        <v>130</v>
      </c>
      <c r="F941" s="951">
        <v>128</v>
      </c>
      <c r="G941" s="947" t="s">
        <v>3252</v>
      </c>
      <c r="H941" s="951">
        <v>0</v>
      </c>
      <c r="I941" s="951">
        <v>0</v>
      </c>
      <c r="J941" s="947" t="s">
        <v>251</v>
      </c>
      <c r="K941" s="947">
        <v>318618</v>
      </c>
      <c r="M941" s="631"/>
      <c r="P941" s="950" t="str">
        <f>VLOOKUP(J941,'רשימת רשויות'!A:A,1,0)</f>
        <v>חיפה</v>
      </c>
      <c r="Q941" s="956">
        <f>IFERROR(VLOOKUP(B941,[2]מעובד!$D:$K,8,0),0)</f>
        <v>0</v>
      </c>
      <c r="R941" s="956">
        <f>IFERROR(VLOOKUP(B941,[2]מעובד!$D:$L,9,0),0)</f>
        <v>0</v>
      </c>
    </row>
    <row r="942" spans="1:18" x14ac:dyDescent="0.2">
      <c r="A942" s="947" t="s">
        <v>251</v>
      </c>
      <c r="B942" s="947">
        <v>318626</v>
      </c>
      <c r="C942" s="947" t="s">
        <v>2189</v>
      </c>
      <c r="D942" s="947" t="s">
        <v>466</v>
      </c>
      <c r="E942" s="951">
        <v>297</v>
      </c>
      <c r="F942" s="951">
        <v>295</v>
      </c>
      <c r="G942" s="947" t="s">
        <v>3252</v>
      </c>
      <c r="H942" s="951">
        <v>0</v>
      </c>
      <c r="I942" s="951">
        <v>0</v>
      </c>
      <c r="J942" s="947" t="s">
        <v>251</v>
      </c>
      <c r="K942" s="947">
        <v>318626</v>
      </c>
      <c r="M942" s="631"/>
      <c r="P942" s="950" t="str">
        <f>VLOOKUP(J942,'רשימת רשויות'!A:A,1,0)</f>
        <v>חיפה</v>
      </c>
      <c r="Q942" s="956">
        <f>IFERROR(VLOOKUP(B942,[2]מעובד!$D:$K,8,0),0)</f>
        <v>0</v>
      </c>
      <c r="R942" s="956">
        <f>IFERROR(VLOOKUP(B942,[2]מעובד!$D:$L,9,0),0)</f>
        <v>0</v>
      </c>
    </row>
    <row r="943" spans="1:18" x14ac:dyDescent="0.2">
      <c r="A943" s="947" t="s">
        <v>163</v>
      </c>
      <c r="B943" s="947">
        <v>318634</v>
      </c>
      <c r="C943" s="947" t="s">
        <v>2189</v>
      </c>
      <c r="D943" s="947" t="s">
        <v>3001</v>
      </c>
      <c r="E943" s="951">
        <v>158</v>
      </c>
      <c r="F943" s="951">
        <v>68</v>
      </c>
      <c r="G943" s="947" t="s">
        <v>159</v>
      </c>
      <c r="H943" s="951">
        <v>0</v>
      </c>
      <c r="I943" s="951">
        <v>0</v>
      </c>
      <c r="J943" s="947" t="s">
        <v>163</v>
      </c>
      <c r="K943" s="947">
        <v>318634</v>
      </c>
      <c r="M943" s="631"/>
      <c r="P943" s="950" t="str">
        <f>VLOOKUP(J943,'רשימת רשויות'!A:A,1,0)</f>
        <v>אום אל-פחם</v>
      </c>
      <c r="Q943" s="956">
        <f>IFERROR(VLOOKUP(B943,[2]מעובד!$D:$K,8,0),0)</f>
        <v>0</v>
      </c>
      <c r="R943" s="956">
        <f>IFERROR(VLOOKUP(B943,[2]מעובד!$D:$L,9,0),0)</f>
        <v>0</v>
      </c>
    </row>
    <row r="944" spans="1:18" x14ac:dyDescent="0.2">
      <c r="A944" s="947" t="s">
        <v>251</v>
      </c>
      <c r="B944" s="947">
        <v>318659</v>
      </c>
      <c r="C944" s="947" t="s">
        <v>2189</v>
      </c>
      <c r="D944" s="947" t="s">
        <v>471</v>
      </c>
      <c r="E944" s="951">
        <v>74</v>
      </c>
      <c r="F944" s="951">
        <v>71</v>
      </c>
      <c r="G944" s="947" t="s">
        <v>159</v>
      </c>
      <c r="H944" s="951">
        <v>0</v>
      </c>
      <c r="I944" s="951">
        <v>0</v>
      </c>
      <c r="J944" s="947" t="s">
        <v>251</v>
      </c>
      <c r="K944" s="947">
        <v>318659</v>
      </c>
      <c r="M944" s="631"/>
      <c r="P944" s="950" t="str">
        <f>VLOOKUP(J944,'רשימת רשויות'!A:A,1,0)</f>
        <v>חיפה</v>
      </c>
      <c r="Q944" s="956">
        <f>IFERROR(VLOOKUP(B944,[2]מעובד!$D:$K,8,0),0)</f>
        <v>0</v>
      </c>
      <c r="R944" s="956">
        <f>IFERROR(VLOOKUP(B944,[2]מעובד!$D:$L,9,0),0)</f>
        <v>0</v>
      </c>
    </row>
    <row r="945" spans="1:18" x14ac:dyDescent="0.2">
      <c r="A945" s="947" t="s">
        <v>184</v>
      </c>
      <c r="B945" s="947">
        <v>318667</v>
      </c>
      <c r="C945" s="947" t="s">
        <v>2189</v>
      </c>
      <c r="D945" s="947" t="s">
        <v>472</v>
      </c>
      <c r="E945" s="951">
        <v>195</v>
      </c>
      <c r="F945" s="951">
        <v>150</v>
      </c>
      <c r="G945" s="947" t="s">
        <v>159</v>
      </c>
      <c r="H945" s="951">
        <v>0</v>
      </c>
      <c r="I945" s="951">
        <v>0</v>
      </c>
      <c r="J945" s="947" t="s">
        <v>184</v>
      </c>
      <c r="K945" s="947">
        <v>318667</v>
      </c>
      <c r="M945" s="631"/>
      <c r="P945" s="950" t="str">
        <f>VLOOKUP(J945,'רשימת רשויות'!A:A,1,0)</f>
        <v>באקה אל-גרביה</v>
      </c>
      <c r="Q945" s="956">
        <f>IFERROR(VLOOKUP(B945,[2]מעובד!$D:$K,8,0),0)</f>
        <v>186</v>
      </c>
      <c r="R945" s="956">
        <f>IFERROR(VLOOKUP(B945,[2]מעובד!$D:$L,9,0),0)</f>
        <v>49</v>
      </c>
    </row>
    <row r="946" spans="1:18" x14ac:dyDescent="0.2">
      <c r="A946" s="947" t="s">
        <v>222</v>
      </c>
      <c r="B946" s="947">
        <v>318840</v>
      </c>
      <c r="C946" s="947" t="s">
        <v>2189</v>
      </c>
      <c r="D946" s="947" t="s">
        <v>475</v>
      </c>
      <c r="E946" s="951">
        <v>149</v>
      </c>
      <c r="F946" s="951">
        <v>149</v>
      </c>
      <c r="G946" s="947" t="s">
        <v>159</v>
      </c>
      <c r="H946" s="951">
        <v>0</v>
      </c>
      <c r="I946" s="951">
        <v>0</v>
      </c>
      <c r="J946" s="947" t="s">
        <v>222</v>
      </c>
      <c r="K946" s="947">
        <v>318840</v>
      </c>
      <c r="M946" s="631"/>
      <c r="P946" s="950" t="str">
        <f>VLOOKUP(J946,'רשימת רשויות'!A:A,1,0)</f>
        <v>דאלית אל-כרמל</v>
      </c>
      <c r="Q946" s="956">
        <f>IFERROR(VLOOKUP(B946,[2]מעובד!$D:$K,8,0),0)</f>
        <v>151</v>
      </c>
      <c r="R946" s="956">
        <f>IFERROR(VLOOKUP(B946,[2]מעובד!$D:$L,9,0),0)</f>
        <v>65</v>
      </c>
    </row>
    <row r="947" spans="1:18" x14ac:dyDescent="0.2">
      <c r="A947" s="947" t="s">
        <v>352</v>
      </c>
      <c r="B947" s="947">
        <v>318857</v>
      </c>
      <c r="C947" s="947" t="s">
        <v>2189</v>
      </c>
      <c r="D947" s="947" t="s">
        <v>476</v>
      </c>
      <c r="E947" s="951">
        <v>228</v>
      </c>
      <c r="F947" s="951">
        <v>174</v>
      </c>
      <c r="G947" s="947" t="s">
        <v>159</v>
      </c>
      <c r="H947" s="951">
        <v>159</v>
      </c>
      <c r="I947" s="951">
        <v>0</v>
      </c>
      <c r="J947" s="947" t="s">
        <v>352</v>
      </c>
      <c r="K947" s="947">
        <v>318857</v>
      </c>
      <c r="M947" s="631"/>
      <c r="P947" s="950" t="str">
        <f>VLOOKUP(J947,'רשימת רשויות'!A:A,1,0)</f>
        <v>עספיא</v>
      </c>
      <c r="Q947" s="956">
        <f>IFERROR(VLOOKUP(B947,[2]מעובד!$D:$K,8,0),0)</f>
        <v>216</v>
      </c>
      <c r="R947" s="956">
        <f>IFERROR(VLOOKUP(B947,[2]מעובד!$D:$L,9,0),0)</f>
        <v>55</v>
      </c>
    </row>
    <row r="948" spans="1:18" x14ac:dyDescent="0.2">
      <c r="A948" s="947" t="s">
        <v>163</v>
      </c>
      <c r="B948" s="947">
        <v>318873</v>
      </c>
      <c r="C948" s="947" t="s">
        <v>2189</v>
      </c>
      <c r="D948" s="947" t="s">
        <v>477</v>
      </c>
      <c r="E948" s="951">
        <v>344</v>
      </c>
      <c r="F948" s="951">
        <v>196</v>
      </c>
      <c r="G948" s="947" t="s">
        <v>159</v>
      </c>
      <c r="H948" s="951">
        <v>0</v>
      </c>
      <c r="I948" s="951">
        <v>0</v>
      </c>
      <c r="J948" s="947" t="s">
        <v>163</v>
      </c>
      <c r="K948" s="947">
        <v>318873</v>
      </c>
      <c r="M948" s="631"/>
      <c r="P948" s="950" t="str">
        <f>VLOOKUP(J948,'רשימת רשויות'!A:A,1,0)</f>
        <v>אום אל-פחם</v>
      </c>
      <c r="Q948" s="956">
        <f>IFERROR(VLOOKUP(B948,[2]מעובד!$D:$K,8,0),0)</f>
        <v>362</v>
      </c>
      <c r="R948" s="956">
        <f>IFERROR(VLOOKUP(B948,[2]מעובד!$D:$L,9,0),0)</f>
        <v>53</v>
      </c>
    </row>
    <row r="949" spans="1:18" x14ac:dyDescent="0.2">
      <c r="A949" s="947" t="s">
        <v>163</v>
      </c>
      <c r="B949" s="947">
        <v>318881</v>
      </c>
      <c r="C949" s="947" t="s">
        <v>2189</v>
      </c>
      <c r="D949" s="947" t="s">
        <v>478</v>
      </c>
      <c r="E949" s="951">
        <v>399</v>
      </c>
      <c r="F949" s="951">
        <v>221</v>
      </c>
      <c r="G949" s="947" t="s">
        <v>159</v>
      </c>
      <c r="H949" s="951">
        <v>0</v>
      </c>
      <c r="I949" s="951">
        <v>0</v>
      </c>
      <c r="J949" s="947" t="s">
        <v>163</v>
      </c>
      <c r="K949" s="947">
        <v>318881</v>
      </c>
      <c r="M949" s="631"/>
      <c r="P949" s="950" t="str">
        <f>VLOOKUP(J949,'רשימת רשויות'!A:A,1,0)</f>
        <v>אום אל-פחם</v>
      </c>
      <c r="Q949" s="956">
        <f>IFERROR(VLOOKUP(B949,[2]מעובד!$D:$K,8,0),0)</f>
        <v>341</v>
      </c>
      <c r="R949" s="956">
        <f>IFERROR(VLOOKUP(B949,[2]מעובד!$D:$L,9,0),0)</f>
        <v>54</v>
      </c>
    </row>
    <row r="950" spans="1:18" x14ac:dyDescent="0.2">
      <c r="A950" s="947" t="s">
        <v>287</v>
      </c>
      <c r="B950" s="947">
        <v>328153</v>
      </c>
      <c r="C950" s="947" t="s">
        <v>2189</v>
      </c>
      <c r="D950" s="947" t="s">
        <v>510</v>
      </c>
      <c r="E950" s="951">
        <v>72</v>
      </c>
      <c r="F950" s="951">
        <v>71</v>
      </c>
      <c r="G950" s="947" t="s">
        <v>159</v>
      </c>
      <c r="H950" s="951">
        <v>0</v>
      </c>
      <c r="I950" s="951">
        <v>0</v>
      </c>
      <c r="J950" s="947" t="s">
        <v>287</v>
      </c>
      <c r="K950" s="947">
        <v>328153</v>
      </c>
      <c r="M950" s="631"/>
      <c r="P950" s="950" t="str">
        <f>VLOOKUP(J950,'רשימת רשויות'!A:A,1,0)</f>
        <v>כפר קרע</v>
      </c>
      <c r="Q950" s="956">
        <f>IFERROR(VLOOKUP(B950,[2]מעובד!$D:$K,8,0),0)</f>
        <v>0</v>
      </c>
      <c r="R950" s="956">
        <f>IFERROR(VLOOKUP(B950,[2]מעובד!$D:$L,9,0),0)</f>
        <v>0</v>
      </c>
    </row>
    <row r="951" spans="1:18" x14ac:dyDescent="0.2">
      <c r="A951" s="947" t="s">
        <v>238</v>
      </c>
      <c r="B951" s="947">
        <v>328187</v>
      </c>
      <c r="C951" s="947" t="s">
        <v>2189</v>
      </c>
      <c r="D951" s="947" t="s">
        <v>3002</v>
      </c>
      <c r="E951" s="951">
        <v>208</v>
      </c>
      <c r="F951" s="951">
        <v>103</v>
      </c>
      <c r="G951" s="947" t="s">
        <v>159</v>
      </c>
      <c r="H951" s="951">
        <v>0</v>
      </c>
      <c r="I951" s="951">
        <v>0</v>
      </c>
      <c r="J951" s="947" t="s">
        <v>238</v>
      </c>
      <c r="K951" s="947">
        <v>328187</v>
      </c>
      <c r="M951" s="631"/>
      <c r="P951" s="950" t="str">
        <f>VLOOKUP(J951,'רשימת רשויות'!A:A,1,0)</f>
        <v>זמר</v>
      </c>
      <c r="Q951" s="956">
        <f>IFERROR(VLOOKUP(B951,[2]מעובד!$D:$K,8,0),0)</f>
        <v>168</v>
      </c>
      <c r="R951" s="956">
        <f>IFERROR(VLOOKUP(B951,[2]מעובד!$D:$L,9,0),0)</f>
        <v>76</v>
      </c>
    </row>
    <row r="952" spans="1:18" x14ac:dyDescent="0.2">
      <c r="A952" s="947" t="s">
        <v>244</v>
      </c>
      <c r="B952" s="947">
        <v>331066</v>
      </c>
      <c r="C952" s="947" t="s">
        <v>2189</v>
      </c>
      <c r="D952" s="947" t="s">
        <v>1138</v>
      </c>
      <c r="E952" s="951">
        <v>90</v>
      </c>
      <c r="F952" s="951">
        <v>56</v>
      </c>
      <c r="G952" s="947" t="s">
        <v>3252</v>
      </c>
      <c r="H952" s="951">
        <v>0</v>
      </c>
      <c r="I952" s="951">
        <v>0</v>
      </c>
      <c r="J952" s="947" t="s">
        <v>244</v>
      </c>
      <c r="K952" s="947">
        <v>331066</v>
      </c>
      <c r="M952" s="631"/>
      <c r="P952" s="950" t="str">
        <f>VLOOKUP(J952,'רשימת רשויות'!A:A,1,0)</f>
        <v>חדרה</v>
      </c>
      <c r="Q952" s="956">
        <f>IFERROR(VLOOKUP(B952,[2]מעובד!$D:$K,8,0),0)</f>
        <v>0</v>
      </c>
      <c r="R952" s="956">
        <f>IFERROR(VLOOKUP(B952,[2]מעובד!$D:$L,9,0),0)</f>
        <v>0</v>
      </c>
    </row>
    <row r="953" spans="1:18" x14ac:dyDescent="0.2">
      <c r="A953" s="947" t="s">
        <v>339</v>
      </c>
      <c r="B953" s="947">
        <v>338053</v>
      </c>
      <c r="C953" s="947" t="s">
        <v>2189</v>
      </c>
      <c r="D953" s="947" t="s">
        <v>1149</v>
      </c>
      <c r="E953" s="951">
        <v>75</v>
      </c>
      <c r="F953" s="951">
        <v>65</v>
      </c>
      <c r="G953" s="947" t="s">
        <v>3252</v>
      </c>
      <c r="H953" s="951">
        <v>0</v>
      </c>
      <c r="I953" s="951">
        <v>0</v>
      </c>
      <c r="J953" s="947" t="s">
        <v>339</v>
      </c>
      <c r="K953" s="947">
        <v>338053</v>
      </c>
      <c r="M953" s="631"/>
      <c r="P953" s="950" t="str">
        <f>VLOOKUP(J953,'רשימת רשויות'!A:A,1,0)</f>
        <v>סח'נין</v>
      </c>
      <c r="Q953" s="956">
        <f>IFERROR(VLOOKUP(B953,[2]מעובד!$D:$K,8,0),0)</f>
        <v>0</v>
      </c>
      <c r="R953" s="956">
        <f>IFERROR(VLOOKUP(B953,[2]מעובד!$D:$L,9,0),0)</f>
        <v>0</v>
      </c>
    </row>
    <row r="954" spans="1:18" x14ac:dyDescent="0.2">
      <c r="A954" s="947" t="s">
        <v>196</v>
      </c>
      <c r="B954" s="947">
        <v>338087</v>
      </c>
      <c r="C954" s="947" t="s">
        <v>2189</v>
      </c>
      <c r="D954" s="947" t="s">
        <v>1153</v>
      </c>
      <c r="E954" s="951">
        <v>107</v>
      </c>
      <c r="F954" s="951">
        <v>107</v>
      </c>
      <c r="G954" s="947" t="s">
        <v>3252</v>
      </c>
      <c r="H954" s="951">
        <v>0</v>
      </c>
      <c r="I954" s="951">
        <v>0</v>
      </c>
      <c r="J954" s="947" t="s">
        <v>196</v>
      </c>
      <c r="K954" s="947">
        <v>338087</v>
      </c>
      <c r="M954" s="631"/>
      <c r="P954" s="950" t="str">
        <f>VLOOKUP(J954,'רשימת רשויות'!A:A,1,0)</f>
        <v>בית שמש</v>
      </c>
      <c r="Q954" s="956">
        <f>IFERROR(VLOOKUP(B954,[2]מעובד!$D:$K,8,0),0)</f>
        <v>0</v>
      </c>
      <c r="R954" s="956">
        <f>IFERROR(VLOOKUP(B954,[2]מעובד!$D:$L,9,0),0)</f>
        <v>0</v>
      </c>
    </row>
    <row r="955" spans="1:18" x14ac:dyDescent="0.2">
      <c r="A955" s="947" t="s">
        <v>175</v>
      </c>
      <c r="B955" s="947">
        <v>338145</v>
      </c>
      <c r="C955" s="947" t="s">
        <v>2189</v>
      </c>
      <c r="D955" s="947" t="s">
        <v>1154</v>
      </c>
      <c r="E955" s="951">
        <v>81</v>
      </c>
      <c r="F955" s="951">
        <v>52</v>
      </c>
      <c r="G955" s="947" t="s">
        <v>3252</v>
      </c>
      <c r="H955" s="951">
        <v>0</v>
      </c>
      <c r="I955" s="951">
        <v>0</v>
      </c>
      <c r="J955" s="947" t="s">
        <v>175</v>
      </c>
      <c r="K955" s="957" t="s">
        <v>3280</v>
      </c>
      <c r="M955" s="631"/>
      <c r="P955" s="950" t="str">
        <f>VLOOKUP(J955,'רשימת רשויות'!A:A,1,0)</f>
        <v>אלעד</v>
      </c>
      <c r="Q955" s="956">
        <f>IFERROR(VLOOKUP(B955,[2]מעובד!$D:$K,8,0),0)</f>
        <v>0</v>
      </c>
      <c r="R955" s="956">
        <f>IFERROR(VLOOKUP(B955,[2]מעובד!$D:$L,9,0),0)</f>
        <v>0</v>
      </c>
    </row>
    <row r="956" spans="1:18" x14ac:dyDescent="0.2">
      <c r="A956" s="947" t="s">
        <v>270</v>
      </c>
      <c r="B956" s="947">
        <v>338152</v>
      </c>
      <c r="C956" s="947" t="s">
        <v>2189</v>
      </c>
      <c r="D956" s="947" t="s">
        <v>3003</v>
      </c>
      <c r="E956" s="951">
        <v>71</v>
      </c>
      <c r="F956" s="951">
        <v>55</v>
      </c>
      <c r="G956" s="947" t="s">
        <v>3252</v>
      </c>
      <c r="H956" s="951">
        <v>51</v>
      </c>
      <c r="I956" s="951">
        <v>0</v>
      </c>
      <c r="J956" s="947" t="s">
        <v>270</v>
      </c>
      <c r="K956" s="947">
        <v>338152</v>
      </c>
      <c r="M956" s="631"/>
      <c r="P956" s="950" t="str">
        <f>VLOOKUP(J956,'רשימת רשויות'!A:A,1,0)</f>
        <v>ירושלים</v>
      </c>
      <c r="Q956" s="956">
        <f>IFERROR(VLOOKUP(B956,[2]מעובד!$D:$K,8,0),0)</f>
        <v>0</v>
      </c>
      <c r="R956" s="956">
        <f>IFERROR(VLOOKUP(B956,[2]מעובד!$D:$L,9,0),0)</f>
        <v>0</v>
      </c>
    </row>
    <row r="957" spans="1:18" x14ac:dyDescent="0.2">
      <c r="A957" s="947" t="s">
        <v>175</v>
      </c>
      <c r="B957" s="947">
        <v>338178</v>
      </c>
      <c r="C957" s="947" t="s">
        <v>2189</v>
      </c>
      <c r="D957" s="947" t="s">
        <v>1155</v>
      </c>
      <c r="E957" s="951">
        <v>89</v>
      </c>
      <c r="F957" s="951">
        <v>89</v>
      </c>
      <c r="G957" s="947" t="s">
        <v>3252</v>
      </c>
      <c r="H957" s="951">
        <v>0</v>
      </c>
      <c r="I957" s="951">
        <v>0</v>
      </c>
      <c r="J957" s="947" t="s">
        <v>175</v>
      </c>
      <c r="K957" s="947">
        <v>338178</v>
      </c>
      <c r="M957" s="631"/>
      <c r="P957" s="950" t="str">
        <f>VLOOKUP(J957,'רשימת רשויות'!A:A,1,0)</f>
        <v>אלעד</v>
      </c>
      <c r="Q957" s="956">
        <f>IFERROR(VLOOKUP(B957,[2]מעובד!$D:$K,8,0),0)</f>
        <v>0</v>
      </c>
      <c r="R957" s="956">
        <f>IFERROR(VLOOKUP(B957,[2]מעובד!$D:$L,9,0),0)</f>
        <v>0</v>
      </c>
    </row>
    <row r="958" spans="1:18" x14ac:dyDescent="0.2">
      <c r="A958" s="947" t="s">
        <v>306</v>
      </c>
      <c r="B958" s="947">
        <v>338186</v>
      </c>
      <c r="C958" s="947" t="s">
        <v>2189</v>
      </c>
      <c r="D958" s="947" t="s">
        <v>1156</v>
      </c>
      <c r="E958" s="951">
        <v>70</v>
      </c>
      <c r="F958" s="951">
        <v>70</v>
      </c>
      <c r="G958" s="947" t="s">
        <v>3252</v>
      </c>
      <c r="H958" s="951">
        <v>0</v>
      </c>
      <c r="I958" s="951">
        <v>0</v>
      </c>
      <c r="J958" s="947" t="s">
        <v>306</v>
      </c>
      <c r="K958" s="947">
        <v>338186</v>
      </c>
      <c r="M958" s="631"/>
      <c r="P958" s="950" t="str">
        <f>VLOOKUP(J958,'רשימת רשויות'!A:A,1,0)</f>
        <v>מודיעין עילית</v>
      </c>
      <c r="Q958" s="956">
        <f>IFERROR(VLOOKUP(B958,[2]מעובד!$D:$K,8,0),0)</f>
        <v>0</v>
      </c>
      <c r="R958" s="956">
        <f>IFERROR(VLOOKUP(B958,[2]מעובד!$D:$L,9,0),0)</f>
        <v>0</v>
      </c>
    </row>
    <row r="959" spans="1:18" x14ac:dyDescent="0.2">
      <c r="A959" s="947" t="s">
        <v>287</v>
      </c>
      <c r="B959" s="947">
        <v>338210</v>
      </c>
      <c r="C959" s="947" t="s">
        <v>2189</v>
      </c>
      <c r="D959" s="947" t="s">
        <v>504</v>
      </c>
      <c r="E959" s="951">
        <v>320</v>
      </c>
      <c r="F959" s="951">
        <v>295</v>
      </c>
      <c r="G959" s="947" t="s">
        <v>159</v>
      </c>
      <c r="H959" s="951">
        <v>105</v>
      </c>
      <c r="I959" s="951">
        <v>9</v>
      </c>
      <c r="J959" s="947" t="s">
        <v>287</v>
      </c>
      <c r="K959" s="947">
        <v>338210</v>
      </c>
      <c r="M959" s="631"/>
      <c r="P959" s="950" t="str">
        <f>VLOOKUP(J959,'רשימת רשויות'!A:A,1,0)</f>
        <v>כפר קרע</v>
      </c>
      <c r="Q959" s="956">
        <f>IFERROR(VLOOKUP(B959,[2]מעובד!$D:$K,8,0),0)</f>
        <v>284</v>
      </c>
      <c r="R959" s="956">
        <f>IFERROR(VLOOKUP(B959,[2]מעובד!$D:$L,9,0),0)</f>
        <v>69</v>
      </c>
    </row>
    <row r="960" spans="1:18" x14ac:dyDescent="0.2">
      <c r="A960" s="947" t="s">
        <v>175</v>
      </c>
      <c r="B960" s="947">
        <v>338285</v>
      </c>
      <c r="C960" s="947" t="s">
        <v>2189</v>
      </c>
      <c r="D960" s="947" t="s">
        <v>2773</v>
      </c>
      <c r="E960" s="951">
        <v>334</v>
      </c>
      <c r="F960" s="951">
        <v>334</v>
      </c>
      <c r="G960" s="947" t="s">
        <v>3252</v>
      </c>
      <c r="H960" s="951">
        <v>0</v>
      </c>
      <c r="I960" s="951">
        <v>0</v>
      </c>
      <c r="J960" s="947" t="s">
        <v>175</v>
      </c>
      <c r="K960" s="947">
        <v>338285</v>
      </c>
      <c r="M960" s="631"/>
      <c r="P960" s="950" t="str">
        <f>VLOOKUP(J960,'רשימת רשויות'!A:A,1,0)</f>
        <v>אלעד</v>
      </c>
      <c r="Q960" s="956">
        <f>IFERROR(VLOOKUP(B960,[2]מעובד!$D:$K,8,0),0)</f>
        <v>0</v>
      </c>
      <c r="R960" s="956">
        <f>IFERROR(VLOOKUP(B960,[2]מעובד!$D:$L,9,0),0)</f>
        <v>0</v>
      </c>
    </row>
    <row r="961" spans="1:18" x14ac:dyDescent="0.2">
      <c r="A961" s="947" t="s">
        <v>184</v>
      </c>
      <c r="B961" s="947">
        <v>338327</v>
      </c>
      <c r="C961" s="947" t="s">
        <v>2189</v>
      </c>
      <c r="D961" s="947" t="s">
        <v>3004</v>
      </c>
      <c r="E961" s="951">
        <v>141</v>
      </c>
      <c r="F961" s="951">
        <v>141</v>
      </c>
      <c r="G961" s="947" t="s">
        <v>159</v>
      </c>
      <c r="H961" s="951">
        <v>0</v>
      </c>
      <c r="I961" s="951">
        <v>0</v>
      </c>
      <c r="J961" s="947" t="s">
        <v>184</v>
      </c>
      <c r="K961" s="947">
        <v>338327</v>
      </c>
      <c r="M961" s="631"/>
      <c r="P961" s="950" t="str">
        <f>VLOOKUP(J961,'רשימת רשויות'!A:A,1,0)</f>
        <v>באקה אל-גרביה</v>
      </c>
      <c r="Q961" s="956">
        <f>IFERROR(VLOOKUP(B961,[2]מעובד!$D:$K,8,0),0)</f>
        <v>164</v>
      </c>
      <c r="R961" s="956">
        <f>IFERROR(VLOOKUP(B961,[2]מעובד!$D:$L,9,0),0)</f>
        <v>63</v>
      </c>
    </row>
    <row r="962" spans="1:18" x14ac:dyDescent="0.2">
      <c r="A962" s="947" t="s">
        <v>163</v>
      </c>
      <c r="B962" s="947">
        <v>338335</v>
      </c>
      <c r="C962" s="947" t="s">
        <v>2189</v>
      </c>
      <c r="D962" s="947" t="s">
        <v>470</v>
      </c>
      <c r="E962" s="951">
        <v>242</v>
      </c>
      <c r="F962" s="951">
        <v>172</v>
      </c>
      <c r="G962" s="947" t="s">
        <v>159</v>
      </c>
      <c r="H962" s="951">
        <v>0</v>
      </c>
      <c r="I962" s="951">
        <v>0</v>
      </c>
      <c r="J962" s="947" t="s">
        <v>163</v>
      </c>
      <c r="K962" s="947">
        <v>338335</v>
      </c>
      <c r="M962" s="631"/>
      <c r="P962" s="950" t="str">
        <f>VLOOKUP(J962,'רשימת רשויות'!A:A,1,0)</f>
        <v>אום אל-פחם</v>
      </c>
      <c r="Q962" s="956">
        <f>IFERROR(VLOOKUP(B962,[2]מעובד!$D:$K,8,0),0)</f>
        <v>218</v>
      </c>
      <c r="R962" s="956">
        <f>IFERROR(VLOOKUP(B962,[2]מעובד!$D:$L,9,0),0)</f>
        <v>62</v>
      </c>
    </row>
    <row r="963" spans="1:18" x14ac:dyDescent="0.2">
      <c r="A963" s="947" t="s">
        <v>270</v>
      </c>
      <c r="B963" s="947">
        <v>338343</v>
      </c>
      <c r="C963" s="947" t="s">
        <v>2189</v>
      </c>
      <c r="D963" s="947" t="s">
        <v>3005</v>
      </c>
      <c r="E963" s="951">
        <v>153</v>
      </c>
      <c r="F963" s="951">
        <v>0</v>
      </c>
      <c r="G963" s="947" t="s">
        <v>3252</v>
      </c>
      <c r="H963" s="951">
        <v>0</v>
      </c>
      <c r="I963" s="951">
        <v>0</v>
      </c>
      <c r="J963" s="947" t="s">
        <v>270</v>
      </c>
      <c r="K963" s="947">
        <v>338343</v>
      </c>
      <c r="M963" s="631"/>
      <c r="P963" s="950" t="str">
        <f>VLOOKUP(J963,'רשימת רשויות'!A:A,1,0)</f>
        <v>ירושלים</v>
      </c>
      <c r="Q963" s="956">
        <f>IFERROR(VLOOKUP(B963,[2]מעובד!$D:$K,8,0),0)</f>
        <v>0</v>
      </c>
      <c r="R963" s="956">
        <f>IFERROR(VLOOKUP(B963,[2]מעובד!$D:$L,9,0),0)</f>
        <v>0</v>
      </c>
    </row>
    <row r="964" spans="1:18" x14ac:dyDescent="0.2">
      <c r="A964" s="947" t="s">
        <v>268</v>
      </c>
      <c r="B964" s="947">
        <v>338350</v>
      </c>
      <c r="C964" s="947" t="s">
        <v>2189</v>
      </c>
      <c r="D964" s="947" t="s">
        <v>2663</v>
      </c>
      <c r="E964" s="951">
        <v>158</v>
      </c>
      <c r="F964" s="951">
        <v>99</v>
      </c>
      <c r="G964" s="947" t="s">
        <v>159</v>
      </c>
      <c r="H964" s="951">
        <v>0</v>
      </c>
      <c r="I964" s="951">
        <v>0</v>
      </c>
      <c r="J964" s="947" t="s">
        <v>268</v>
      </c>
      <c r="K964" s="947">
        <v>338350</v>
      </c>
      <c r="M964" s="631"/>
      <c r="P964" s="950" t="str">
        <f>VLOOKUP(J964,'רשימת רשויות'!A:A,1,0)</f>
        <v>יקנעם עילית</v>
      </c>
      <c r="Q964" s="956">
        <f>IFERROR(VLOOKUP(B964,[2]מעובד!$D:$K,8,0),0)</f>
        <v>126</v>
      </c>
      <c r="R964" s="956">
        <f>IFERROR(VLOOKUP(B964,[2]מעובד!$D:$L,9,0),0)</f>
        <v>48</v>
      </c>
    </row>
    <row r="965" spans="1:18" x14ac:dyDescent="0.2">
      <c r="A965" s="947" t="s">
        <v>344</v>
      </c>
      <c r="B965" s="947">
        <v>338368</v>
      </c>
      <c r="C965" s="947" t="s">
        <v>2189</v>
      </c>
      <c r="D965" s="947" t="s">
        <v>1141</v>
      </c>
      <c r="E965" s="951">
        <v>210</v>
      </c>
      <c r="F965" s="951">
        <v>210</v>
      </c>
      <c r="G965" s="947" t="s">
        <v>159</v>
      </c>
      <c r="H965" s="951">
        <v>0</v>
      </c>
      <c r="I965" s="951">
        <v>0</v>
      </c>
      <c r="J965" s="947" t="s">
        <v>344</v>
      </c>
      <c r="K965" s="947">
        <v>338368</v>
      </c>
      <c r="M965" s="631"/>
      <c r="P965" s="950" t="str">
        <f>VLOOKUP(J965,'רשימת רשויות'!A:A,1,0)</f>
        <v>עין מאה'ל</v>
      </c>
      <c r="Q965" s="956">
        <f>IFERROR(VLOOKUP(B965,[2]מעובד!$D:$K,8,0),0)</f>
        <v>199</v>
      </c>
      <c r="R965" s="956">
        <f>IFERROR(VLOOKUP(B965,[2]מעובד!$D:$L,9,0),0)</f>
        <v>139</v>
      </c>
    </row>
    <row r="966" spans="1:18" x14ac:dyDescent="0.2">
      <c r="A966" s="947" t="s">
        <v>184</v>
      </c>
      <c r="B966" s="947">
        <v>338376</v>
      </c>
      <c r="C966" s="947" t="s">
        <v>2189</v>
      </c>
      <c r="D966" s="947" t="s">
        <v>3006</v>
      </c>
      <c r="E966" s="951">
        <v>237</v>
      </c>
      <c r="F966" s="951">
        <v>180</v>
      </c>
      <c r="G966" s="947" t="s">
        <v>159</v>
      </c>
      <c r="H966" s="951">
        <v>0</v>
      </c>
      <c r="I966" s="951">
        <v>0</v>
      </c>
      <c r="J966" s="947" t="s">
        <v>184</v>
      </c>
      <c r="K966" s="947">
        <v>338376</v>
      </c>
      <c r="M966" s="631"/>
      <c r="P966" s="950" t="str">
        <f>VLOOKUP(J966,'רשימת רשויות'!A:A,1,0)</f>
        <v>באקה אל-גרביה</v>
      </c>
      <c r="Q966" s="956">
        <f>IFERROR(VLOOKUP(B966,[2]מעובד!$D:$K,8,0),0)</f>
        <v>210</v>
      </c>
      <c r="R966" s="956">
        <f>IFERROR(VLOOKUP(B966,[2]מעובד!$D:$L,9,0),0)</f>
        <v>46</v>
      </c>
    </row>
    <row r="967" spans="1:18" x14ac:dyDescent="0.2">
      <c r="A967" s="947" t="s">
        <v>270</v>
      </c>
      <c r="B967" s="947">
        <v>338434</v>
      </c>
      <c r="C967" s="947" t="s">
        <v>2189</v>
      </c>
      <c r="D967" s="947" t="s">
        <v>3007</v>
      </c>
      <c r="E967" s="951">
        <v>56</v>
      </c>
      <c r="F967" s="951">
        <v>0</v>
      </c>
      <c r="G967" s="947" t="s">
        <v>3252</v>
      </c>
      <c r="H967" s="951">
        <v>0</v>
      </c>
      <c r="I967" s="951">
        <v>0</v>
      </c>
      <c r="J967" s="947" t="s">
        <v>270</v>
      </c>
      <c r="K967" s="947">
        <v>338434</v>
      </c>
      <c r="M967" s="631"/>
      <c r="P967" s="950" t="str">
        <f>VLOOKUP(J967,'רשימת רשויות'!A:A,1,0)</f>
        <v>ירושלים</v>
      </c>
      <c r="Q967" s="956">
        <f>IFERROR(VLOOKUP(B967,[2]מעובד!$D:$K,8,0),0)</f>
        <v>0</v>
      </c>
      <c r="R967" s="956">
        <f>IFERROR(VLOOKUP(B967,[2]מעובד!$D:$L,9,0),0)</f>
        <v>0</v>
      </c>
    </row>
    <row r="968" spans="1:18" x14ac:dyDescent="0.2">
      <c r="A968" s="947" t="s">
        <v>2326</v>
      </c>
      <c r="B968" s="947">
        <v>338442</v>
      </c>
      <c r="C968" s="947" t="s">
        <v>2189</v>
      </c>
      <c r="D968" s="947" t="s">
        <v>411</v>
      </c>
      <c r="E968" s="951">
        <v>242</v>
      </c>
      <c r="F968" s="951">
        <v>210</v>
      </c>
      <c r="G968" s="947" t="s">
        <v>159</v>
      </c>
      <c r="H968" s="951">
        <v>0</v>
      </c>
      <c r="I968" s="951">
        <v>0</v>
      </c>
      <c r="J968" s="947" t="s">
        <v>2326</v>
      </c>
      <c r="K968" s="947">
        <v>338442</v>
      </c>
      <c r="M968" s="631"/>
      <c r="P968" s="950" t="str">
        <f>VLOOKUP(J968,'רשימת רשויות'!A:A,1,0)</f>
        <v>ערבות הירדן</v>
      </c>
      <c r="Q968" s="956">
        <f>IFERROR(VLOOKUP(B968,[2]מעובד!$D:$K,8,0),0)</f>
        <v>287</v>
      </c>
      <c r="R968" s="956">
        <f>IFERROR(VLOOKUP(B968,[2]מעובד!$D:$L,9,0),0)</f>
        <v>31</v>
      </c>
    </row>
    <row r="969" spans="1:18" x14ac:dyDescent="0.2">
      <c r="A969" s="947" t="s">
        <v>268</v>
      </c>
      <c r="B969" s="947">
        <v>338467</v>
      </c>
      <c r="C969" s="947" t="s">
        <v>2189</v>
      </c>
      <c r="D969" s="947" t="s">
        <v>1145</v>
      </c>
      <c r="E969" s="951">
        <v>138</v>
      </c>
      <c r="F969" s="951">
        <v>91</v>
      </c>
      <c r="G969" s="947" t="s">
        <v>159</v>
      </c>
      <c r="H969" s="951">
        <v>37</v>
      </c>
      <c r="I969" s="951">
        <v>8</v>
      </c>
      <c r="J969" s="947" t="s">
        <v>268</v>
      </c>
      <c r="K969" s="947">
        <v>338467</v>
      </c>
      <c r="M969" s="631"/>
      <c r="P969" s="950" t="str">
        <f>VLOOKUP(J969,'רשימת רשויות'!A:A,1,0)</f>
        <v>יקנעם עילית</v>
      </c>
      <c r="Q969" s="956">
        <f>IFERROR(VLOOKUP(B969,[2]מעובד!$D:$K,8,0),0)</f>
        <v>226</v>
      </c>
      <c r="R969" s="956">
        <f>IFERROR(VLOOKUP(B969,[2]מעובד!$D:$L,9,0),0)</f>
        <v>90</v>
      </c>
    </row>
    <row r="970" spans="1:18" x14ac:dyDescent="0.2">
      <c r="A970" s="947" t="s">
        <v>270</v>
      </c>
      <c r="B970" s="947">
        <v>338483</v>
      </c>
      <c r="C970" s="947" t="s">
        <v>2189</v>
      </c>
      <c r="D970" s="947" t="s">
        <v>1146</v>
      </c>
      <c r="E970" s="951">
        <v>275</v>
      </c>
      <c r="F970" s="951">
        <v>48</v>
      </c>
      <c r="G970" s="947" t="s">
        <v>159</v>
      </c>
      <c r="H970" s="951">
        <v>0</v>
      </c>
      <c r="I970" s="951">
        <v>0</v>
      </c>
      <c r="J970" s="947" t="s">
        <v>270</v>
      </c>
      <c r="K970" s="947">
        <v>338483</v>
      </c>
      <c r="M970" s="631"/>
      <c r="P970" s="950" t="str">
        <f>VLOOKUP(J970,'רשימת רשויות'!A:A,1,0)</f>
        <v>ירושלים</v>
      </c>
      <c r="Q970" s="956">
        <f>IFERROR(VLOOKUP(B970,[2]מעובד!$D:$K,8,0),0)</f>
        <v>224</v>
      </c>
      <c r="R970" s="956">
        <f>IFERROR(VLOOKUP(B970,[2]מעובד!$D:$L,9,0),0)</f>
        <v>45</v>
      </c>
    </row>
    <row r="971" spans="1:18" x14ac:dyDescent="0.2">
      <c r="A971" s="947" t="s">
        <v>270</v>
      </c>
      <c r="B971" s="947">
        <v>338491</v>
      </c>
      <c r="C971" s="947" t="s">
        <v>2189</v>
      </c>
      <c r="D971" s="947" t="s">
        <v>2654</v>
      </c>
      <c r="E971" s="951">
        <v>387</v>
      </c>
      <c r="F971" s="951">
        <v>34</v>
      </c>
      <c r="G971" s="947" t="s">
        <v>159</v>
      </c>
      <c r="H971" s="951">
        <v>387</v>
      </c>
      <c r="I971" s="951">
        <v>9</v>
      </c>
      <c r="J971" s="947" t="s">
        <v>270</v>
      </c>
      <c r="K971" s="947">
        <v>338491</v>
      </c>
      <c r="M971" s="631"/>
      <c r="P971" s="950" t="str">
        <f>VLOOKUP(J971,'רשימת רשויות'!A:A,1,0)</f>
        <v>ירושלים</v>
      </c>
      <c r="Q971" s="956">
        <f>IFERROR(VLOOKUP(B971,[2]מעובד!$D:$K,8,0),0)</f>
        <v>342</v>
      </c>
      <c r="R971" s="956">
        <f>IFERROR(VLOOKUP(B971,[2]מעובד!$D:$L,9,0),0)</f>
        <v>52</v>
      </c>
    </row>
    <row r="972" spans="1:18" x14ac:dyDescent="0.2">
      <c r="A972" s="947" t="s">
        <v>270</v>
      </c>
      <c r="B972" s="947">
        <v>338533</v>
      </c>
      <c r="C972" s="947" t="s">
        <v>2189</v>
      </c>
      <c r="D972" s="947" t="s">
        <v>3008</v>
      </c>
      <c r="E972" s="951">
        <v>137</v>
      </c>
      <c r="F972" s="951">
        <v>0</v>
      </c>
      <c r="G972" s="947" t="s">
        <v>3252</v>
      </c>
      <c r="H972" s="951">
        <v>0</v>
      </c>
      <c r="I972" s="951">
        <v>0</v>
      </c>
      <c r="J972" s="947" t="s">
        <v>270</v>
      </c>
      <c r="K972" s="947">
        <v>338533</v>
      </c>
      <c r="M972" s="631"/>
      <c r="P972" s="950" t="str">
        <f>VLOOKUP(J972,'רשימת רשויות'!A:A,1,0)</f>
        <v>ירושלים</v>
      </c>
      <c r="Q972" s="956">
        <f>IFERROR(VLOOKUP(B972,[2]מעובד!$D:$K,8,0),0)</f>
        <v>0</v>
      </c>
      <c r="R972" s="956">
        <f>IFERROR(VLOOKUP(B972,[2]מעובד!$D:$L,9,0),0)</f>
        <v>0</v>
      </c>
    </row>
    <row r="973" spans="1:18" x14ac:dyDescent="0.2">
      <c r="A973" s="947" t="s">
        <v>325</v>
      </c>
      <c r="B973" s="947">
        <v>338590</v>
      </c>
      <c r="C973" s="947" t="s">
        <v>2189</v>
      </c>
      <c r="D973" s="947" t="s">
        <v>1152</v>
      </c>
      <c r="E973" s="951">
        <v>135</v>
      </c>
      <c r="F973" s="951">
        <v>113</v>
      </c>
      <c r="G973" s="947" t="s">
        <v>159</v>
      </c>
      <c r="H973" s="951">
        <v>0</v>
      </c>
      <c r="I973" s="951">
        <v>0</v>
      </c>
      <c r="J973" s="947" t="s">
        <v>325</v>
      </c>
      <c r="K973" s="947">
        <v>338590</v>
      </c>
      <c r="M973" s="631"/>
      <c r="P973" s="950" t="str">
        <f>VLOOKUP(J973,'רשימת רשויות'!A:A,1,0)</f>
        <v>משגב</v>
      </c>
      <c r="Q973" s="956">
        <f>IFERROR(VLOOKUP(B973,[2]מעובד!$D:$K,8,0),0)</f>
        <v>0</v>
      </c>
      <c r="R973" s="956">
        <f>IFERROR(VLOOKUP(B973,[2]מעובד!$D:$L,9,0),0)</f>
        <v>0</v>
      </c>
    </row>
    <row r="974" spans="1:18" x14ac:dyDescent="0.2">
      <c r="A974" s="947" t="s">
        <v>317</v>
      </c>
      <c r="B974" s="947">
        <v>338723</v>
      </c>
      <c r="C974" s="947" t="s">
        <v>2189</v>
      </c>
      <c r="D974" s="947" t="s">
        <v>1119</v>
      </c>
      <c r="E974" s="951">
        <v>135</v>
      </c>
      <c r="F974" s="951">
        <v>93</v>
      </c>
      <c r="G974" s="947" t="s">
        <v>159</v>
      </c>
      <c r="H974" s="951">
        <v>45</v>
      </c>
      <c r="I974" s="951">
        <v>9</v>
      </c>
      <c r="J974" s="947" t="s">
        <v>317</v>
      </c>
      <c r="K974" s="947">
        <v>338723</v>
      </c>
      <c r="M974" s="631"/>
      <c r="P974" s="950" t="str">
        <f>VLOOKUP(J974,'רשימת רשויות'!A:A,1,0)</f>
        <v>מעלה אדומים</v>
      </c>
      <c r="Q974" s="956">
        <f>IFERROR(VLOOKUP(B974,[2]מעובד!$D:$K,8,0),0)</f>
        <v>75</v>
      </c>
      <c r="R974" s="956">
        <f>IFERROR(VLOOKUP(B974,[2]מעובד!$D:$L,9,0),0)</f>
        <v>40</v>
      </c>
    </row>
    <row r="975" spans="1:18" x14ac:dyDescent="0.2">
      <c r="A975" s="947" t="s">
        <v>175</v>
      </c>
      <c r="B975" s="947">
        <v>338749</v>
      </c>
      <c r="C975" s="947" t="s">
        <v>2189</v>
      </c>
      <c r="D975" s="947" t="s">
        <v>1497</v>
      </c>
      <c r="E975" s="951">
        <v>79</v>
      </c>
      <c r="F975" s="951">
        <v>77</v>
      </c>
      <c r="G975" s="947" t="s">
        <v>3252</v>
      </c>
      <c r="H975" s="951">
        <v>0</v>
      </c>
      <c r="I975" s="951">
        <v>0</v>
      </c>
      <c r="J975" s="947" t="s">
        <v>175</v>
      </c>
      <c r="K975" s="947">
        <v>338749</v>
      </c>
      <c r="M975" s="631"/>
      <c r="P975" s="950" t="str">
        <f>VLOOKUP(J975,'רשימת רשויות'!A:A,1,0)</f>
        <v>אלעד</v>
      </c>
      <c r="Q975" s="956">
        <f>IFERROR(VLOOKUP(B975,[2]מעובד!$D:$K,8,0),0)</f>
        <v>62</v>
      </c>
      <c r="R975" s="956">
        <f>IFERROR(VLOOKUP(B975,[2]מעובד!$D:$L,9,0),0)</f>
        <v>63</v>
      </c>
    </row>
    <row r="976" spans="1:18" x14ac:dyDescent="0.2">
      <c r="A976" s="947" t="s">
        <v>237</v>
      </c>
      <c r="B976" s="947">
        <v>343905</v>
      </c>
      <c r="C976" s="947" t="s">
        <v>2189</v>
      </c>
      <c r="D976" s="947" t="s">
        <v>191</v>
      </c>
      <c r="E976" s="951">
        <v>46</v>
      </c>
      <c r="F976" s="951">
        <v>0</v>
      </c>
      <c r="G976" s="947" t="s">
        <v>3252</v>
      </c>
      <c r="H976" s="951">
        <v>0</v>
      </c>
      <c r="I976" s="951">
        <v>0</v>
      </c>
      <c r="J976" s="947" t="s">
        <v>237</v>
      </c>
      <c r="K976" s="947">
        <v>343905</v>
      </c>
      <c r="M976" s="631"/>
      <c r="P976" s="950" t="str">
        <f>VLOOKUP(J976,'רשימת רשויות'!A:A,1,0)</f>
        <v>זכרון יעקב</v>
      </c>
      <c r="Q976" s="956">
        <f>IFERROR(VLOOKUP(B976,[2]מעובד!$D:$K,8,0),0)</f>
        <v>0</v>
      </c>
      <c r="R976" s="956">
        <f>IFERROR(VLOOKUP(B976,[2]מעובד!$D:$L,9,0),0)</f>
        <v>0</v>
      </c>
    </row>
    <row r="977" spans="1:18" x14ac:dyDescent="0.2">
      <c r="A977" s="947" t="s">
        <v>282</v>
      </c>
      <c r="B977" s="947">
        <v>343913</v>
      </c>
      <c r="C977" s="947" t="s">
        <v>2189</v>
      </c>
      <c r="D977" s="947" t="s">
        <v>1147</v>
      </c>
      <c r="E977" s="951">
        <v>264</v>
      </c>
      <c r="F977" s="951">
        <v>264</v>
      </c>
      <c r="G977" s="947" t="s">
        <v>3252</v>
      </c>
      <c r="H977" s="951">
        <v>0</v>
      </c>
      <c r="I977" s="951">
        <v>0</v>
      </c>
      <c r="J977" s="947" t="s">
        <v>282</v>
      </c>
      <c r="K977" s="947">
        <v>343913</v>
      </c>
      <c r="M977" s="631"/>
      <c r="P977" s="950" t="str">
        <f>VLOOKUP(J977,'רשימת רשויות'!A:A,1,0)</f>
        <v>כפר כנא</v>
      </c>
      <c r="Q977" s="956">
        <f>IFERROR(VLOOKUP(B977,[2]מעובד!$D:$K,8,0),0)</f>
        <v>0</v>
      </c>
      <c r="R977" s="956">
        <f>IFERROR(VLOOKUP(B977,[2]מעובד!$D:$L,9,0),0)</f>
        <v>0</v>
      </c>
    </row>
    <row r="978" spans="1:18" x14ac:dyDescent="0.2">
      <c r="A978" s="947" t="s">
        <v>196</v>
      </c>
      <c r="B978" s="947">
        <v>343947</v>
      </c>
      <c r="C978" s="947" t="s">
        <v>2189</v>
      </c>
      <c r="D978" s="947" t="s">
        <v>1148</v>
      </c>
      <c r="E978" s="951">
        <v>70</v>
      </c>
      <c r="F978" s="951">
        <v>70</v>
      </c>
      <c r="G978" s="947" t="s">
        <v>3252</v>
      </c>
      <c r="H978" s="951">
        <v>0</v>
      </c>
      <c r="I978" s="951">
        <v>0</v>
      </c>
      <c r="J978" s="947" t="s">
        <v>196</v>
      </c>
      <c r="K978" s="947">
        <v>343947</v>
      </c>
      <c r="M978" s="631"/>
      <c r="P978" s="950" t="str">
        <f>VLOOKUP(J978,'רשימת רשויות'!A:A,1,0)</f>
        <v>בית שמש</v>
      </c>
      <c r="Q978" s="956">
        <f>IFERROR(VLOOKUP(B978,[2]מעובד!$D:$K,8,0),0)</f>
        <v>70</v>
      </c>
      <c r="R978" s="956">
        <f>IFERROR(VLOOKUP(B978,[2]מעובד!$D:$L,9,0),0)</f>
        <v>72</v>
      </c>
    </row>
    <row r="979" spans="1:18" x14ac:dyDescent="0.2">
      <c r="A979" s="947" t="s">
        <v>270</v>
      </c>
      <c r="B979" s="947">
        <v>343970</v>
      </c>
      <c r="C979" s="947" t="s">
        <v>2189</v>
      </c>
      <c r="D979" s="947" t="s">
        <v>3009</v>
      </c>
      <c r="E979" s="951">
        <v>78</v>
      </c>
      <c r="F979" s="951">
        <v>0</v>
      </c>
      <c r="G979" s="947" t="s">
        <v>3252</v>
      </c>
      <c r="H979" s="951">
        <v>0</v>
      </c>
      <c r="I979" s="951">
        <v>0</v>
      </c>
      <c r="J979" s="947" t="s">
        <v>270</v>
      </c>
      <c r="K979" s="947">
        <v>343970</v>
      </c>
      <c r="M979" s="631"/>
      <c r="P979" s="950" t="str">
        <f>VLOOKUP(J979,'רשימת רשויות'!A:A,1,0)</f>
        <v>ירושלים</v>
      </c>
      <c r="Q979" s="956">
        <f>IFERROR(VLOOKUP(B979,[2]מעובד!$D:$K,8,0),0)</f>
        <v>0</v>
      </c>
      <c r="R979" s="956">
        <f>IFERROR(VLOOKUP(B979,[2]מעובד!$D:$L,9,0),0)</f>
        <v>0</v>
      </c>
    </row>
    <row r="980" spans="1:18" x14ac:dyDescent="0.2">
      <c r="A980" s="947" t="s">
        <v>197</v>
      </c>
      <c r="B980" s="947">
        <v>343988</v>
      </c>
      <c r="C980" s="947" t="s">
        <v>2189</v>
      </c>
      <c r="D980" s="947" t="s">
        <v>1150</v>
      </c>
      <c r="E980" s="951">
        <v>247</v>
      </c>
      <c r="F980" s="951">
        <v>231</v>
      </c>
      <c r="G980" s="947" t="s">
        <v>3252</v>
      </c>
      <c r="H980" s="951">
        <v>176</v>
      </c>
      <c r="I980" s="951">
        <v>16</v>
      </c>
      <c r="J980" s="947" t="s">
        <v>197</v>
      </c>
      <c r="K980" s="947">
        <v>343988</v>
      </c>
      <c r="M980" s="631"/>
      <c r="P980" s="950" t="str">
        <f>VLOOKUP(J980,'רשימת רשויות'!A:A,1,0)</f>
        <v>ביתר עילית</v>
      </c>
      <c r="Q980" s="956">
        <f>IFERROR(VLOOKUP(B980,[2]מעובד!$D:$K,8,0),0)</f>
        <v>0</v>
      </c>
      <c r="R980" s="956">
        <f>IFERROR(VLOOKUP(B980,[2]מעובד!$D:$L,9,0),0)</f>
        <v>0</v>
      </c>
    </row>
    <row r="981" spans="1:18" x14ac:dyDescent="0.2">
      <c r="A981" s="947" t="s">
        <v>306</v>
      </c>
      <c r="B981" s="947">
        <v>344051</v>
      </c>
      <c r="C981" s="947" t="s">
        <v>2189</v>
      </c>
      <c r="D981" s="947" t="s">
        <v>1151</v>
      </c>
      <c r="E981" s="951">
        <v>146</v>
      </c>
      <c r="F981" s="951">
        <v>146</v>
      </c>
      <c r="G981" s="947" t="s">
        <v>3252</v>
      </c>
      <c r="H981" s="951">
        <v>0</v>
      </c>
      <c r="I981" s="951">
        <v>0</v>
      </c>
      <c r="J981" s="947" t="s">
        <v>306</v>
      </c>
      <c r="K981" s="947">
        <v>344051</v>
      </c>
      <c r="M981" s="631"/>
      <c r="P981" s="950" t="str">
        <f>VLOOKUP(J981,'רשימת רשויות'!A:A,1,0)</f>
        <v>מודיעין עילית</v>
      </c>
      <c r="Q981" s="956">
        <f>IFERROR(VLOOKUP(B981,[2]מעובד!$D:$K,8,0),0)</f>
        <v>177</v>
      </c>
      <c r="R981" s="956">
        <f>IFERROR(VLOOKUP(B981,[2]מעובד!$D:$L,9,0),0)</f>
        <v>178</v>
      </c>
    </row>
    <row r="982" spans="1:18" x14ac:dyDescent="0.2">
      <c r="A982" s="947" t="s">
        <v>196</v>
      </c>
      <c r="B982" s="947">
        <v>346437</v>
      </c>
      <c r="C982" s="947" t="s">
        <v>2189</v>
      </c>
      <c r="D982" s="947" t="s">
        <v>1648</v>
      </c>
      <c r="E982" s="951">
        <v>114</v>
      </c>
      <c r="F982" s="951">
        <v>112</v>
      </c>
      <c r="G982" s="947" t="s">
        <v>3252</v>
      </c>
      <c r="H982" s="951">
        <v>0</v>
      </c>
      <c r="I982" s="951">
        <v>0</v>
      </c>
      <c r="J982" s="947" t="s">
        <v>196</v>
      </c>
      <c r="K982" s="947">
        <v>346437</v>
      </c>
      <c r="M982" s="631"/>
      <c r="P982" s="950" t="str">
        <f>VLOOKUP(J982,'רשימת רשויות'!A:A,1,0)</f>
        <v>בית שמש</v>
      </c>
      <c r="Q982" s="956">
        <f>IFERROR(VLOOKUP(B982,[2]מעובד!$D:$K,8,0),0)</f>
        <v>0</v>
      </c>
      <c r="R982" s="956">
        <f>IFERROR(VLOOKUP(B982,[2]מעובד!$D:$L,9,0),0)</f>
        <v>0</v>
      </c>
    </row>
    <row r="983" spans="1:18" x14ac:dyDescent="0.2">
      <c r="A983" s="947" t="s">
        <v>310</v>
      </c>
      <c r="B983" s="947">
        <v>346528</v>
      </c>
      <c r="C983" s="947" t="s">
        <v>2189</v>
      </c>
      <c r="D983" s="947" t="s">
        <v>1522</v>
      </c>
      <c r="E983" s="951">
        <v>68</v>
      </c>
      <c r="F983" s="951">
        <v>65</v>
      </c>
      <c r="G983" s="947" t="s">
        <v>159</v>
      </c>
      <c r="H983" s="951">
        <v>0</v>
      </c>
      <c r="I983" s="951">
        <v>0</v>
      </c>
      <c r="J983" s="947" t="s">
        <v>310</v>
      </c>
      <c r="K983" s="947">
        <v>346528</v>
      </c>
      <c r="M983" s="631"/>
      <c r="P983" s="950" t="str">
        <f>VLOOKUP(J983,'רשימת רשויות'!A:A,1,0)</f>
        <v>מטה בנימין</v>
      </c>
      <c r="Q983" s="956">
        <f>IFERROR(VLOOKUP(B983,[2]מעובד!$D:$K,8,0),0)</f>
        <v>65</v>
      </c>
      <c r="R983" s="956">
        <f>IFERROR(VLOOKUP(B983,[2]מעובד!$D:$L,9,0),0)</f>
        <v>65</v>
      </c>
    </row>
    <row r="984" spans="1:18" x14ac:dyDescent="0.2">
      <c r="A984" s="947" t="s">
        <v>361</v>
      </c>
      <c r="B984" s="947">
        <v>346734</v>
      </c>
      <c r="C984" s="947" t="s">
        <v>2189</v>
      </c>
      <c r="D984" s="947" t="s">
        <v>627</v>
      </c>
      <c r="E984" s="951">
        <v>187</v>
      </c>
      <c r="F984" s="951">
        <v>184</v>
      </c>
      <c r="G984" s="947" t="s">
        <v>159</v>
      </c>
      <c r="H984" s="951">
        <v>0</v>
      </c>
      <c r="I984" s="951">
        <v>0</v>
      </c>
      <c r="J984" s="947" t="s">
        <v>361</v>
      </c>
      <c r="K984" s="947">
        <v>346734</v>
      </c>
      <c r="M984" s="631"/>
      <c r="P984" s="950" t="str">
        <f>VLOOKUP(J984,'רשימת רשויות'!A:A,1,0)</f>
        <v>פרדס חנה-כרכור</v>
      </c>
      <c r="Q984" s="956">
        <f>IFERROR(VLOOKUP(B984,[2]מעובד!$D:$K,8,0),0)</f>
        <v>181</v>
      </c>
      <c r="R984" s="956">
        <f>IFERROR(VLOOKUP(B984,[2]מעובד!$D:$L,9,0),0)</f>
        <v>62</v>
      </c>
    </row>
    <row r="985" spans="1:18" x14ac:dyDescent="0.2">
      <c r="A985" s="947" t="s">
        <v>270</v>
      </c>
      <c r="B985" s="947">
        <v>347187</v>
      </c>
      <c r="C985" s="947" t="s">
        <v>2189</v>
      </c>
      <c r="D985" s="947" t="s">
        <v>2211</v>
      </c>
      <c r="E985" s="951">
        <v>69</v>
      </c>
      <c r="F985" s="951">
        <v>0</v>
      </c>
      <c r="G985" s="947" t="s">
        <v>159</v>
      </c>
      <c r="H985" s="951">
        <v>0</v>
      </c>
      <c r="I985" s="951">
        <v>0</v>
      </c>
      <c r="J985" s="947" t="s">
        <v>270</v>
      </c>
      <c r="K985" s="947">
        <v>347187</v>
      </c>
      <c r="M985" s="631"/>
      <c r="P985" s="950" t="str">
        <f>VLOOKUP(J985,'רשימת רשויות'!A:A,1,0)</f>
        <v>ירושלים</v>
      </c>
      <c r="Q985" s="956">
        <f>IFERROR(VLOOKUP(B985,[2]מעובד!$D:$K,8,0),0)</f>
        <v>0</v>
      </c>
      <c r="R985" s="956">
        <f>IFERROR(VLOOKUP(B985,[2]מעובד!$D:$L,9,0),0)</f>
        <v>0</v>
      </c>
    </row>
    <row r="986" spans="1:18" x14ac:dyDescent="0.2">
      <c r="A986" s="947" t="s">
        <v>270</v>
      </c>
      <c r="B986" s="947">
        <v>347757</v>
      </c>
      <c r="C986" s="947" t="s">
        <v>2189</v>
      </c>
      <c r="D986" s="947" t="s">
        <v>3010</v>
      </c>
      <c r="E986" s="951">
        <v>6</v>
      </c>
      <c r="F986" s="951">
        <v>0</v>
      </c>
      <c r="G986" s="947" t="s">
        <v>3252</v>
      </c>
      <c r="H986" s="951">
        <v>0</v>
      </c>
      <c r="I986" s="951">
        <v>0</v>
      </c>
      <c r="J986" s="947" t="s">
        <v>270</v>
      </c>
      <c r="K986" s="947">
        <v>347757</v>
      </c>
      <c r="M986" s="631"/>
      <c r="P986" s="950" t="str">
        <f>VLOOKUP(J986,'רשימת רשויות'!A:A,1,0)</f>
        <v>ירושלים</v>
      </c>
      <c r="Q986" s="956">
        <f>IFERROR(VLOOKUP(B986,[2]מעובד!$D:$K,8,0),0)</f>
        <v>0</v>
      </c>
      <c r="R986" s="956">
        <f>IFERROR(VLOOKUP(B986,[2]מעובד!$D:$L,9,0),0)</f>
        <v>0</v>
      </c>
    </row>
    <row r="987" spans="1:18" x14ac:dyDescent="0.2">
      <c r="A987" s="947" t="s">
        <v>256</v>
      </c>
      <c r="B987" s="947">
        <v>348110</v>
      </c>
      <c r="C987" s="947" t="s">
        <v>2189</v>
      </c>
      <c r="D987" s="947" t="s">
        <v>1477</v>
      </c>
      <c r="E987" s="951">
        <v>167</v>
      </c>
      <c r="F987" s="951">
        <v>151</v>
      </c>
      <c r="G987" s="947" t="s">
        <v>159</v>
      </c>
      <c r="H987" s="951">
        <v>0</v>
      </c>
      <c r="I987" s="951">
        <v>0</v>
      </c>
      <c r="J987" s="947" t="s">
        <v>256</v>
      </c>
      <c r="K987" s="947">
        <v>348110</v>
      </c>
      <c r="M987" s="631"/>
      <c r="P987" s="950" t="str">
        <f>VLOOKUP(J987,'רשימת רשויות'!A:A,1,0)</f>
        <v>טורעאן</v>
      </c>
      <c r="Q987" s="956">
        <f>IFERROR(VLOOKUP(B987,[2]מעובד!$D:$K,8,0),0)</f>
        <v>140</v>
      </c>
      <c r="R987" s="956">
        <f>IFERROR(VLOOKUP(B987,[2]מעובד!$D:$L,9,0),0)</f>
        <v>44</v>
      </c>
    </row>
    <row r="988" spans="1:18" x14ac:dyDescent="0.2">
      <c r="A988" s="947" t="s">
        <v>305</v>
      </c>
      <c r="B988" s="947">
        <v>348466</v>
      </c>
      <c r="C988" s="947" t="s">
        <v>2189</v>
      </c>
      <c r="D988" s="947" t="s">
        <v>1123</v>
      </c>
      <c r="E988" s="951">
        <v>340</v>
      </c>
      <c r="F988" s="951">
        <v>313</v>
      </c>
      <c r="G988" s="947" t="s">
        <v>159</v>
      </c>
      <c r="H988" s="951">
        <v>0</v>
      </c>
      <c r="I988" s="951">
        <v>0</v>
      </c>
      <c r="J988" s="947" t="s">
        <v>305</v>
      </c>
      <c r="K988" s="947">
        <v>348466</v>
      </c>
      <c r="M988" s="631"/>
      <c r="P988" s="950" t="str">
        <f>VLOOKUP(J988,'רשימת רשויות'!A:A,1,0)</f>
        <v>מודיעין מכבים רעות</v>
      </c>
      <c r="Q988" s="956">
        <f>IFERROR(VLOOKUP(B988,[2]מעובד!$D:$K,8,0),0)</f>
        <v>388</v>
      </c>
      <c r="R988" s="956">
        <f>IFERROR(VLOOKUP(B988,[2]מעובד!$D:$L,9,0),0)</f>
        <v>82</v>
      </c>
    </row>
    <row r="989" spans="1:18" x14ac:dyDescent="0.2">
      <c r="A989" s="947" t="s">
        <v>279</v>
      </c>
      <c r="B989" s="947">
        <v>349910</v>
      </c>
      <c r="C989" s="947" t="s">
        <v>2189</v>
      </c>
      <c r="D989" s="947" t="s">
        <v>1566</v>
      </c>
      <c r="E989" s="951">
        <v>71</v>
      </c>
      <c r="F989" s="951">
        <v>31</v>
      </c>
      <c r="G989" s="947" t="s">
        <v>159</v>
      </c>
      <c r="H989" s="951">
        <v>0</v>
      </c>
      <c r="I989" s="951">
        <v>0</v>
      </c>
      <c r="J989" s="947" t="s">
        <v>279</v>
      </c>
      <c r="K989" s="947">
        <v>349910</v>
      </c>
      <c r="M989" s="631"/>
      <c r="P989" s="950" t="str">
        <f>VLOOKUP(J989,'רשימת רשויות'!A:A,1,0)</f>
        <v>כפר ורדים</v>
      </c>
      <c r="Q989" s="956">
        <f>IFERROR(VLOOKUP(B989,[2]מעובד!$D:$K,8,0),0)</f>
        <v>0</v>
      </c>
      <c r="R989" s="956">
        <f>IFERROR(VLOOKUP(B989,[2]מעובד!$D:$L,9,0),0)</f>
        <v>0</v>
      </c>
    </row>
    <row r="990" spans="1:18" x14ac:dyDescent="0.2">
      <c r="A990" s="947" t="s">
        <v>175</v>
      </c>
      <c r="B990" s="947">
        <v>350983</v>
      </c>
      <c r="C990" s="947" t="s">
        <v>2189</v>
      </c>
      <c r="D990" s="947" t="s">
        <v>1594</v>
      </c>
      <c r="E990" s="951">
        <v>70</v>
      </c>
      <c r="F990" s="951">
        <v>50</v>
      </c>
      <c r="G990" s="947" t="s">
        <v>3252</v>
      </c>
      <c r="H990" s="951">
        <v>52</v>
      </c>
      <c r="I990" s="951">
        <v>20</v>
      </c>
      <c r="J990" s="947" t="s">
        <v>175</v>
      </c>
      <c r="K990" s="947">
        <v>350983</v>
      </c>
      <c r="M990" s="631"/>
      <c r="P990" s="950" t="str">
        <f>VLOOKUP(J990,'רשימת רשויות'!A:A,1,0)</f>
        <v>אלעד</v>
      </c>
      <c r="Q990" s="956">
        <f>IFERROR(VLOOKUP(B990,[2]מעובד!$D:$K,8,0),0)</f>
        <v>79</v>
      </c>
      <c r="R990" s="956">
        <f>IFERROR(VLOOKUP(B990,[2]מעובד!$D:$L,9,0),0)</f>
        <v>79</v>
      </c>
    </row>
    <row r="991" spans="1:18" x14ac:dyDescent="0.2">
      <c r="A991" s="947" t="s">
        <v>244</v>
      </c>
      <c r="B991" s="947">
        <v>352716</v>
      </c>
      <c r="C991" s="947" t="s">
        <v>2189</v>
      </c>
      <c r="D991" s="947" t="s">
        <v>1511</v>
      </c>
      <c r="E991" s="951">
        <v>90</v>
      </c>
      <c r="F991" s="951">
        <v>0</v>
      </c>
      <c r="G991" s="947" t="s">
        <v>3252</v>
      </c>
      <c r="H991" s="951">
        <v>0</v>
      </c>
      <c r="I991" s="951">
        <v>0</v>
      </c>
      <c r="J991" s="947" t="s">
        <v>244</v>
      </c>
      <c r="K991" s="947">
        <v>352716</v>
      </c>
      <c r="M991" s="631"/>
      <c r="P991" s="950" t="str">
        <f>VLOOKUP(J991,'רשימת רשויות'!A:A,1,0)</f>
        <v>חדרה</v>
      </c>
      <c r="Q991" s="956">
        <f>IFERROR(VLOOKUP(B991,[2]מעובד!$D:$K,8,0),0)</f>
        <v>0</v>
      </c>
      <c r="R991" s="956">
        <f>IFERROR(VLOOKUP(B991,[2]מעובד!$D:$L,9,0),0)</f>
        <v>0</v>
      </c>
    </row>
    <row r="992" spans="1:18" x14ac:dyDescent="0.2">
      <c r="A992" s="947" t="s">
        <v>237</v>
      </c>
      <c r="B992" s="947">
        <v>353037</v>
      </c>
      <c r="C992" s="947" t="s">
        <v>2189</v>
      </c>
      <c r="D992" s="947" t="s">
        <v>642</v>
      </c>
      <c r="E992" s="951">
        <v>82</v>
      </c>
      <c r="F992" s="951">
        <v>62</v>
      </c>
      <c r="G992" s="947" t="s">
        <v>159</v>
      </c>
      <c r="H992" s="951">
        <v>0</v>
      </c>
      <c r="I992" s="951">
        <v>0</v>
      </c>
      <c r="J992" s="947" t="s">
        <v>237</v>
      </c>
      <c r="K992" s="947">
        <v>353037</v>
      </c>
      <c r="M992" s="631"/>
      <c r="P992" s="950" t="str">
        <f>VLOOKUP(J992,'רשימת רשויות'!A:A,1,0)</f>
        <v>זכרון יעקב</v>
      </c>
      <c r="Q992" s="956">
        <f>IFERROR(VLOOKUP(B992,[2]מעובד!$D:$K,8,0),0)</f>
        <v>0</v>
      </c>
      <c r="R992" s="956">
        <f>IFERROR(VLOOKUP(B992,[2]מעובד!$D:$L,9,0),0)</f>
        <v>0</v>
      </c>
    </row>
    <row r="993" spans="1:18" x14ac:dyDescent="0.2">
      <c r="A993" s="947" t="s">
        <v>210</v>
      </c>
      <c r="B993" s="947">
        <v>353169</v>
      </c>
      <c r="C993" s="947" t="s">
        <v>2189</v>
      </c>
      <c r="D993" s="947" t="s">
        <v>643</v>
      </c>
      <c r="E993" s="951">
        <v>162</v>
      </c>
      <c r="F993" s="951">
        <v>137</v>
      </c>
      <c r="G993" s="947" t="s">
        <v>159</v>
      </c>
      <c r="H993" s="951">
        <v>71</v>
      </c>
      <c r="I993" s="951">
        <v>24</v>
      </c>
      <c r="J993" s="947" t="s">
        <v>210</v>
      </c>
      <c r="K993" s="947">
        <v>353169</v>
      </c>
      <c r="M993" s="631"/>
      <c r="P993" s="950" t="str">
        <f>VLOOKUP(J993,'רשימת רשויות'!A:A,1,0)</f>
        <v>ג'סר א-זרקא</v>
      </c>
      <c r="Q993" s="956">
        <f>IFERROR(VLOOKUP(B993,[2]מעובד!$D:$K,8,0),0)</f>
        <v>145</v>
      </c>
      <c r="R993" s="956">
        <f>IFERROR(VLOOKUP(B993,[2]מעובד!$D:$L,9,0),0)</f>
        <v>137</v>
      </c>
    </row>
    <row r="994" spans="1:18" x14ac:dyDescent="0.2">
      <c r="A994" s="947" t="s">
        <v>270</v>
      </c>
      <c r="B994" s="947">
        <v>353458</v>
      </c>
      <c r="C994" s="947" t="s">
        <v>2189</v>
      </c>
      <c r="D994" s="947" t="s">
        <v>2403</v>
      </c>
      <c r="E994" s="951">
        <v>149</v>
      </c>
      <c r="F994" s="951">
        <v>35</v>
      </c>
      <c r="G994" s="947" t="s">
        <v>159</v>
      </c>
      <c r="H994" s="951">
        <v>0</v>
      </c>
      <c r="I994" s="951">
        <v>0</v>
      </c>
      <c r="J994" s="947" t="s">
        <v>270</v>
      </c>
      <c r="K994" s="947">
        <v>353458</v>
      </c>
      <c r="M994" s="631"/>
      <c r="P994" s="950" t="str">
        <f>VLOOKUP(J994,'רשימת רשויות'!A:A,1,0)</f>
        <v>ירושלים</v>
      </c>
      <c r="Q994" s="956">
        <f>IFERROR(VLOOKUP(B994,[2]מעובד!$D:$K,8,0),0)</f>
        <v>0</v>
      </c>
      <c r="R994" s="956">
        <f>IFERROR(VLOOKUP(B994,[2]מעובד!$D:$L,9,0),0)</f>
        <v>0</v>
      </c>
    </row>
    <row r="995" spans="1:18" x14ac:dyDescent="0.2">
      <c r="A995" s="947" t="s">
        <v>270</v>
      </c>
      <c r="B995" s="947">
        <v>353573</v>
      </c>
      <c r="C995" s="947" t="s">
        <v>2189</v>
      </c>
      <c r="D995" s="947" t="s">
        <v>1512</v>
      </c>
      <c r="E995" s="951">
        <v>57</v>
      </c>
      <c r="F995" s="951">
        <v>51</v>
      </c>
      <c r="G995" s="947" t="s">
        <v>3252</v>
      </c>
      <c r="H995" s="951">
        <v>0</v>
      </c>
      <c r="I995" s="951">
        <v>0</v>
      </c>
      <c r="J995" s="947" t="s">
        <v>270</v>
      </c>
      <c r="K995" s="947">
        <v>353573</v>
      </c>
      <c r="M995" s="631"/>
      <c r="P995" s="950" t="str">
        <f>VLOOKUP(J995,'רשימת רשויות'!A:A,1,0)</f>
        <v>ירושלים</v>
      </c>
      <c r="Q995" s="956">
        <f>IFERROR(VLOOKUP(B995,[2]מעובד!$D:$K,8,0),0)</f>
        <v>0</v>
      </c>
      <c r="R995" s="956">
        <f>IFERROR(VLOOKUP(B995,[2]מעובד!$D:$L,9,0),0)</f>
        <v>0</v>
      </c>
    </row>
    <row r="996" spans="1:18" x14ac:dyDescent="0.2">
      <c r="A996" s="947" t="s">
        <v>310</v>
      </c>
      <c r="B996" s="947">
        <v>353615</v>
      </c>
      <c r="C996" s="947" t="s">
        <v>2189</v>
      </c>
      <c r="D996" s="947" t="s">
        <v>1121</v>
      </c>
      <c r="E996" s="951">
        <v>191</v>
      </c>
      <c r="F996" s="951">
        <v>130</v>
      </c>
      <c r="G996" s="947" t="s">
        <v>159</v>
      </c>
      <c r="H996" s="951">
        <v>191</v>
      </c>
      <c r="I996" s="951">
        <v>40</v>
      </c>
      <c r="J996" s="947" t="s">
        <v>310</v>
      </c>
      <c r="K996" s="947">
        <v>353615</v>
      </c>
      <c r="M996" s="631"/>
      <c r="P996" s="950" t="str">
        <f>VLOOKUP(J996,'רשימת רשויות'!A:A,1,0)</f>
        <v>מטה בנימין</v>
      </c>
      <c r="Q996" s="956">
        <f>IFERROR(VLOOKUP(B996,[2]מעובד!$D:$K,8,0),0)</f>
        <v>0</v>
      </c>
      <c r="R996" s="956">
        <f>IFERROR(VLOOKUP(B996,[2]מעובד!$D:$L,9,0),0)</f>
        <v>0</v>
      </c>
    </row>
    <row r="997" spans="1:18" x14ac:dyDescent="0.2">
      <c r="A997" s="947" t="s">
        <v>171</v>
      </c>
      <c r="B997" s="947">
        <v>354977</v>
      </c>
      <c r="C997" s="947" t="s">
        <v>2189</v>
      </c>
      <c r="D997" s="947" t="s">
        <v>1581</v>
      </c>
      <c r="E997" s="951">
        <v>124</v>
      </c>
      <c r="F997" s="951">
        <v>123</v>
      </c>
      <c r="G997" s="947" t="s">
        <v>159</v>
      </c>
      <c r="H997" s="951">
        <v>0</v>
      </c>
      <c r="I997" s="951">
        <v>0</v>
      </c>
      <c r="J997" s="947" t="s">
        <v>171</v>
      </c>
      <c r="K997" s="947">
        <v>354977</v>
      </c>
      <c r="M997" s="631"/>
      <c r="P997" s="950" t="str">
        <f>VLOOKUP(J997,'רשימת רשויות'!A:A,1,0)</f>
        <v>אל בטוף</v>
      </c>
      <c r="Q997" s="956">
        <f>IFERROR(VLOOKUP(B997,[2]מעובד!$D:$K,8,0),0)</f>
        <v>111</v>
      </c>
      <c r="R997" s="956">
        <f>IFERROR(VLOOKUP(B997,[2]מעובד!$D:$L,9,0),0)</f>
        <v>96</v>
      </c>
    </row>
    <row r="998" spans="1:18" x14ac:dyDescent="0.2">
      <c r="A998" s="947" t="s">
        <v>305</v>
      </c>
      <c r="B998" s="947">
        <v>355552</v>
      </c>
      <c r="C998" s="947" t="s">
        <v>2189</v>
      </c>
      <c r="D998" s="947" t="s">
        <v>1127</v>
      </c>
      <c r="E998" s="951">
        <v>125</v>
      </c>
      <c r="F998" s="951">
        <v>99</v>
      </c>
      <c r="G998" s="947" t="s">
        <v>159</v>
      </c>
      <c r="H998" s="951">
        <v>0</v>
      </c>
      <c r="I998" s="951">
        <v>0</v>
      </c>
      <c r="J998" s="947" t="s">
        <v>305</v>
      </c>
      <c r="K998" s="947">
        <v>355552</v>
      </c>
      <c r="M998" s="631"/>
      <c r="P998" s="950" t="str">
        <f>VLOOKUP(J998,'רשימת רשויות'!A:A,1,0)</f>
        <v>מודיעין מכבים רעות</v>
      </c>
      <c r="Q998" s="956">
        <f>IFERROR(VLOOKUP(B998,[2]מעובד!$D:$K,8,0),0)</f>
        <v>149</v>
      </c>
      <c r="R998" s="956">
        <f>IFERROR(VLOOKUP(B998,[2]מעובד!$D:$L,9,0),0)</f>
        <v>41</v>
      </c>
    </row>
    <row r="999" spans="1:18" x14ac:dyDescent="0.2">
      <c r="A999" s="947" t="s">
        <v>251</v>
      </c>
      <c r="B999" s="947">
        <v>355578</v>
      </c>
      <c r="C999" s="947" t="s">
        <v>2189</v>
      </c>
      <c r="D999" s="947" t="s">
        <v>633</v>
      </c>
      <c r="E999" s="951">
        <v>159</v>
      </c>
      <c r="F999" s="951">
        <v>159</v>
      </c>
      <c r="G999" s="947" t="s">
        <v>159</v>
      </c>
      <c r="H999" s="951">
        <v>0</v>
      </c>
      <c r="I999" s="951">
        <v>0</v>
      </c>
      <c r="J999" s="947" t="s">
        <v>251</v>
      </c>
      <c r="K999" s="947">
        <v>355578</v>
      </c>
      <c r="M999" s="631"/>
      <c r="P999" s="950" t="str">
        <f>VLOOKUP(J999,'רשימת רשויות'!A:A,1,0)</f>
        <v>חיפה</v>
      </c>
      <c r="Q999" s="956">
        <f>IFERROR(VLOOKUP(B999,[2]מעובד!$D:$K,8,0),0)</f>
        <v>170</v>
      </c>
      <c r="R999" s="956">
        <f>IFERROR(VLOOKUP(B999,[2]מעובד!$D:$L,9,0),0)</f>
        <v>170</v>
      </c>
    </row>
    <row r="1000" spans="1:18" x14ac:dyDescent="0.2">
      <c r="A1000" s="947" t="s">
        <v>314</v>
      </c>
      <c r="B1000" s="947">
        <v>357467</v>
      </c>
      <c r="C1000" s="947" t="s">
        <v>2189</v>
      </c>
      <c r="D1000" s="947" t="s">
        <v>630</v>
      </c>
      <c r="E1000" s="951">
        <v>244</v>
      </c>
      <c r="F1000" s="951">
        <v>488</v>
      </c>
      <c r="G1000" s="947" t="s">
        <v>159</v>
      </c>
      <c r="H1000" s="951">
        <v>0</v>
      </c>
      <c r="I1000" s="951">
        <v>0</v>
      </c>
      <c r="J1000" s="947" t="s">
        <v>314</v>
      </c>
      <c r="K1000" s="947">
        <v>357467</v>
      </c>
      <c r="M1000" s="631"/>
      <c r="P1000" s="950" t="str">
        <f>VLOOKUP(J1000,'רשימת רשויות'!A:A,1,0)</f>
        <v>מנשה</v>
      </c>
      <c r="Q1000" s="956">
        <f>IFERROR(VLOOKUP(B1000,[2]מעובד!$D:$K,8,0),0)</f>
        <v>283</v>
      </c>
      <c r="R1000" s="956">
        <f>IFERROR(VLOOKUP(B1000,[2]מעובד!$D:$L,9,0),0)</f>
        <v>283</v>
      </c>
    </row>
    <row r="1001" spans="1:18" x14ac:dyDescent="0.2">
      <c r="A1001" s="947" t="s">
        <v>361</v>
      </c>
      <c r="B1001" s="947">
        <v>357475</v>
      </c>
      <c r="C1001" s="947" t="s">
        <v>2189</v>
      </c>
      <c r="D1001" s="947" t="s">
        <v>631</v>
      </c>
      <c r="E1001" s="951">
        <v>193</v>
      </c>
      <c r="F1001" s="951">
        <v>171</v>
      </c>
      <c r="G1001" s="947" t="s">
        <v>159</v>
      </c>
      <c r="H1001" s="951">
        <v>139</v>
      </c>
      <c r="I1001" s="951">
        <v>22</v>
      </c>
      <c r="J1001" s="947" t="s">
        <v>361</v>
      </c>
      <c r="K1001" s="947">
        <v>357475</v>
      </c>
      <c r="M1001" s="631"/>
      <c r="P1001" s="950" t="str">
        <f>VLOOKUP(J1001,'רשימת רשויות'!A:A,1,0)</f>
        <v>פרדס חנה-כרכור</v>
      </c>
      <c r="Q1001" s="956">
        <f>IFERROR(VLOOKUP(B1001,[2]מעובד!$D:$K,8,0),0)</f>
        <v>232</v>
      </c>
      <c r="R1001" s="956">
        <f>IFERROR(VLOOKUP(B1001,[2]מעובד!$D:$L,9,0),0)</f>
        <v>92</v>
      </c>
    </row>
    <row r="1002" spans="1:18" x14ac:dyDescent="0.2">
      <c r="A1002" s="947" t="s">
        <v>244</v>
      </c>
      <c r="B1002" s="947">
        <v>357483</v>
      </c>
      <c r="C1002" s="947" t="s">
        <v>2189</v>
      </c>
      <c r="D1002" s="947" t="s">
        <v>632</v>
      </c>
      <c r="E1002" s="951">
        <v>228</v>
      </c>
      <c r="F1002" s="951">
        <v>132</v>
      </c>
      <c r="G1002" s="947" t="s">
        <v>159</v>
      </c>
      <c r="H1002" s="951">
        <v>185</v>
      </c>
      <c r="I1002" s="951">
        <v>8</v>
      </c>
      <c r="J1002" s="947" t="s">
        <v>244</v>
      </c>
      <c r="K1002" s="947">
        <v>357483</v>
      </c>
      <c r="M1002" s="631"/>
      <c r="P1002" s="950" t="str">
        <f>VLOOKUP(J1002,'רשימת רשויות'!A:A,1,0)</f>
        <v>חדרה</v>
      </c>
      <c r="Q1002" s="956">
        <f>IFERROR(VLOOKUP(B1002,[2]מעובד!$D:$K,8,0),0)</f>
        <v>159</v>
      </c>
      <c r="R1002" s="956">
        <f>IFERROR(VLOOKUP(B1002,[2]מעובד!$D:$L,9,0),0)</f>
        <v>82</v>
      </c>
    </row>
    <row r="1003" spans="1:18" x14ac:dyDescent="0.2">
      <c r="A1003" s="947" t="s">
        <v>297</v>
      </c>
      <c r="B1003" s="947">
        <v>358655</v>
      </c>
      <c r="C1003" s="947" t="s">
        <v>2189</v>
      </c>
      <c r="D1003" s="947" t="s">
        <v>1126</v>
      </c>
      <c r="E1003" s="951">
        <v>189</v>
      </c>
      <c r="F1003" s="951">
        <v>110</v>
      </c>
      <c r="G1003" s="947" t="s">
        <v>159</v>
      </c>
      <c r="H1003" s="951">
        <v>77</v>
      </c>
      <c r="I1003" s="951">
        <v>4</v>
      </c>
      <c r="J1003" s="947" t="s">
        <v>297</v>
      </c>
      <c r="K1003" s="947">
        <v>358655</v>
      </c>
      <c r="M1003" s="631"/>
      <c r="P1003" s="950" t="str">
        <f>VLOOKUP(J1003,'רשימת רשויות'!A:A,1,0)</f>
        <v>מבשרת ציון</v>
      </c>
      <c r="Q1003" s="956">
        <f>IFERROR(VLOOKUP(B1003,[2]מעובד!$D:$K,8,0),0)</f>
        <v>150</v>
      </c>
      <c r="R1003" s="956">
        <f>IFERROR(VLOOKUP(B1003,[2]מעובד!$D:$L,9,0),0)</f>
        <v>75</v>
      </c>
    </row>
    <row r="1004" spans="1:18" x14ac:dyDescent="0.2">
      <c r="A1004" s="947" t="s">
        <v>197</v>
      </c>
      <c r="B1004" s="947">
        <v>359190</v>
      </c>
      <c r="C1004" s="947" t="s">
        <v>2189</v>
      </c>
      <c r="D1004" s="947" t="s">
        <v>1614</v>
      </c>
      <c r="E1004" s="951">
        <v>127</v>
      </c>
      <c r="F1004" s="951">
        <v>126</v>
      </c>
      <c r="G1004" s="947" t="s">
        <v>3252</v>
      </c>
      <c r="H1004" s="951">
        <v>0</v>
      </c>
      <c r="I1004" s="951">
        <v>0</v>
      </c>
      <c r="J1004" s="947" t="s">
        <v>197</v>
      </c>
      <c r="K1004" s="947">
        <v>359190</v>
      </c>
      <c r="M1004" s="631"/>
      <c r="P1004" s="950" t="str">
        <f>VLOOKUP(J1004,'רשימת רשויות'!A:A,1,0)</f>
        <v>ביתר עילית</v>
      </c>
      <c r="Q1004" s="956">
        <f>IFERROR(VLOOKUP(B1004,[2]מעובד!$D:$K,8,0),0)</f>
        <v>129</v>
      </c>
      <c r="R1004" s="956">
        <f>IFERROR(VLOOKUP(B1004,[2]מעובד!$D:$L,9,0),0)</f>
        <v>120</v>
      </c>
    </row>
    <row r="1005" spans="1:18" x14ac:dyDescent="0.2">
      <c r="A1005" s="947" t="s">
        <v>197</v>
      </c>
      <c r="B1005" s="947">
        <v>359208</v>
      </c>
      <c r="C1005" s="947" t="s">
        <v>2189</v>
      </c>
      <c r="D1005" s="947" t="s">
        <v>1615</v>
      </c>
      <c r="E1005" s="951">
        <v>53</v>
      </c>
      <c r="F1005" s="951">
        <v>53</v>
      </c>
      <c r="G1005" s="947" t="s">
        <v>3252</v>
      </c>
      <c r="H1005" s="951">
        <v>0</v>
      </c>
      <c r="I1005" s="951">
        <v>0</v>
      </c>
      <c r="J1005" s="947" t="s">
        <v>197</v>
      </c>
      <c r="K1005" s="947">
        <v>359208</v>
      </c>
      <c r="M1005" s="631"/>
      <c r="P1005" s="950" t="str">
        <f>VLOOKUP(J1005,'רשימת רשויות'!A:A,1,0)</f>
        <v>ביתר עילית</v>
      </c>
      <c r="Q1005" s="956">
        <f>IFERROR(VLOOKUP(B1005,[2]מעובד!$D:$K,8,0),0)</f>
        <v>0</v>
      </c>
      <c r="R1005" s="956">
        <f>IFERROR(VLOOKUP(B1005,[2]מעובד!$D:$L,9,0),0)</f>
        <v>0</v>
      </c>
    </row>
    <row r="1006" spans="1:18" x14ac:dyDescent="0.2">
      <c r="A1006" s="947" t="s">
        <v>270</v>
      </c>
      <c r="B1006" s="947">
        <v>359224</v>
      </c>
      <c r="C1006" s="947" t="s">
        <v>2189</v>
      </c>
      <c r="D1006" s="947" t="s">
        <v>1623</v>
      </c>
      <c r="E1006" s="951">
        <v>61</v>
      </c>
      <c r="F1006" s="951">
        <v>58</v>
      </c>
      <c r="G1006" s="947" t="s">
        <v>3252</v>
      </c>
      <c r="H1006" s="951">
        <v>0</v>
      </c>
      <c r="I1006" s="951">
        <v>0</v>
      </c>
      <c r="J1006" s="947" t="s">
        <v>270</v>
      </c>
      <c r="K1006" s="947">
        <v>359224</v>
      </c>
      <c r="M1006" s="631"/>
      <c r="P1006" s="950" t="str">
        <f>VLOOKUP(J1006,'רשימת רשויות'!A:A,1,0)</f>
        <v>ירושלים</v>
      </c>
      <c r="Q1006" s="956">
        <f>IFERROR(VLOOKUP(B1006,[2]מעובד!$D:$K,8,0),0)</f>
        <v>0</v>
      </c>
      <c r="R1006" s="956">
        <f>IFERROR(VLOOKUP(B1006,[2]מעובד!$D:$L,9,0),0)</f>
        <v>0</v>
      </c>
    </row>
    <row r="1007" spans="1:18" x14ac:dyDescent="0.2">
      <c r="A1007" s="947" t="s">
        <v>196</v>
      </c>
      <c r="B1007" s="947">
        <v>359232</v>
      </c>
      <c r="C1007" s="947" t="s">
        <v>2189</v>
      </c>
      <c r="D1007" s="947" t="s">
        <v>1624</v>
      </c>
      <c r="E1007" s="951">
        <v>75</v>
      </c>
      <c r="F1007" s="951">
        <v>75</v>
      </c>
      <c r="G1007" s="947" t="s">
        <v>3252</v>
      </c>
      <c r="H1007" s="951">
        <v>0</v>
      </c>
      <c r="I1007" s="951">
        <v>0</v>
      </c>
      <c r="J1007" s="947" t="s">
        <v>196</v>
      </c>
      <c r="K1007" s="947">
        <v>359232</v>
      </c>
      <c r="M1007" s="631"/>
      <c r="P1007" s="950" t="str">
        <f>VLOOKUP(J1007,'רשימת רשויות'!A:A,1,0)</f>
        <v>בית שמש</v>
      </c>
      <c r="Q1007" s="956">
        <f>IFERROR(VLOOKUP(B1007,[2]מעובד!$D:$K,8,0),0)</f>
        <v>0</v>
      </c>
      <c r="R1007" s="956">
        <f>IFERROR(VLOOKUP(B1007,[2]מעובד!$D:$L,9,0),0)</f>
        <v>77</v>
      </c>
    </row>
    <row r="1008" spans="1:18" x14ac:dyDescent="0.2">
      <c r="A1008" s="947" t="s">
        <v>270</v>
      </c>
      <c r="B1008" s="947">
        <v>359331</v>
      </c>
      <c r="C1008" s="947" t="s">
        <v>2189</v>
      </c>
      <c r="D1008" s="947" t="s">
        <v>1625</v>
      </c>
      <c r="E1008" s="951">
        <v>58</v>
      </c>
      <c r="F1008" s="951">
        <v>33</v>
      </c>
      <c r="G1008" s="947" t="s">
        <v>3252</v>
      </c>
      <c r="H1008" s="951">
        <v>20</v>
      </c>
      <c r="I1008" s="951">
        <v>8</v>
      </c>
      <c r="J1008" s="947" t="s">
        <v>270</v>
      </c>
      <c r="K1008" s="947">
        <v>359331</v>
      </c>
      <c r="M1008" s="631"/>
      <c r="P1008" s="950" t="str">
        <f>VLOOKUP(J1008,'רשימת רשויות'!A:A,1,0)</f>
        <v>ירושלים</v>
      </c>
      <c r="Q1008" s="956">
        <f>IFERROR(VLOOKUP(B1008,[2]מעובד!$D:$K,8,0),0)</f>
        <v>40</v>
      </c>
      <c r="R1008" s="956">
        <f>IFERROR(VLOOKUP(B1008,[2]מעובד!$D:$L,9,0),0)</f>
        <v>42</v>
      </c>
    </row>
    <row r="1009" spans="1:18" x14ac:dyDescent="0.2">
      <c r="A1009" s="947" t="s">
        <v>270</v>
      </c>
      <c r="B1009" s="947">
        <v>359828</v>
      </c>
      <c r="C1009" s="947" t="s">
        <v>2189</v>
      </c>
      <c r="D1009" s="947" t="s">
        <v>1510</v>
      </c>
      <c r="E1009" s="951">
        <v>349</v>
      </c>
      <c r="F1009" s="951">
        <v>83</v>
      </c>
      <c r="G1009" s="947" t="s">
        <v>159</v>
      </c>
      <c r="H1009" s="951">
        <v>0</v>
      </c>
      <c r="I1009" s="951">
        <v>0</v>
      </c>
      <c r="J1009" s="947" t="s">
        <v>270</v>
      </c>
      <c r="K1009" s="947">
        <v>359828</v>
      </c>
      <c r="M1009" s="631"/>
      <c r="P1009" s="950" t="str">
        <f>VLOOKUP(J1009,'רשימת רשויות'!A:A,1,0)</f>
        <v>ירושלים</v>
      </c>
      <c r="Q1009" s="956">
        <f>IFERROR(VLOOKUP(B1009,[2]מעובד!$D:$K,8,0),0)</f>
        <v>318</v>
      </c>
      <c r="R1009" s="956">
        <f>IFERROR(VLOOKUP(B1009,[2]מעובד!$D:$L,9,0),0)</f>
        <v>150</v>
      </c>
    </row>
    <row r="1010" spans="1:18" x14ac:dyDescent="0.2">
      <c r="A1010" s="947" t="s">
        <v>270</v>
      </c>
      <c r="B1010" s="947">
        <v>359836</v>
      </c>
      <c r="C1010" s="947" t="s">
        <v>2189</v>
      </c>
      <c r="D1010" s="947" t="s">
        <v>2655</v>
      </c>
      <c r="E1010" s="951">
        <v>162</v>
      </c>
      <c r="F1010" s="951">
        <v>58</v>
      </c>
      <c r="G1010" s="947" t="s">
        <v>159</v>
      </c>
      <c r="H1010" s="951">
        <v>64</v>
      </c>
      <c r="I1010" s="951">
        <v>9</v>
      </c>
      <c r="J1010" s="947" t="s">
        <v>270</v>
      </c>
      <c r="K1010" s="947">
        <v>359836</v>
      </c>
      <c r="M1010" s="631"/>
      <c r="P1010" s="950" t="str">
        <f>VLOOKUP(J1010,'רשימת רשויות'!A:A,1,0)</f>
        <v>ירושלים</v>
      </c>
      <c r="Q1010" s="956">
        <f>IFERROR(VLOOKUP(B1010,[2]מעובד!$D:$K,8,0),0)</f>
        <v>100</v>
      </c>
      <c r="R1010" s="956">
        <f>IFERROR(VLOOKUP(B1010,[2]מעובד!$D:$L,9,0),0)</f>
        <v>45</v>
      </c>
    </row>
    <row r="1011" spans="1:18" x14ac:dyDescent="0.2">
      <c r="A1011" s="947" t="s">
        <v>270</v>
      </c>
      <c r="B1011" s="947">
        <v>360842</v>
      </c>
      <c r="C1011" s="947" t="s">
        <v>2189</v>
      </c>
      <c r="D1011" s="947" t="s">
        <v>1402</v>
      </c>
      <c r="E1011" s="951">
        <v>78</v>
      </c>
      <c r="F1011" s="951">
        <v>70</v>
      </c>
      <c r="G1011" s="947" t="s">
        <v>3252</v>
      </c>
      <c r="H1011" s="951">
        <v>0</v>
      </c>
      <c r="I1011" s="951">
        <v>0</v>
      </c>
      <c r="J1011" s="947" t="s">
        <v>270</v>
      </c>
      <c r="K1011" s="947">
        <v>360842</v>
      </c>
      <c r="M1011" s="631"/>
      <c r="P1011" s="950" t="str">
        <f>VLOOKUP(J1011,'רשימת רשויות'!A:A,1,0)</f>
        <v>ירושלים</v>
      </c>
      <c r="Q1011" s="956">
        <f>IFERROR(VLOOKUP(B1011,[2]מעובד!$D:$K,8,0),0)</f>
        <v>0</v>
      </c>
      <c r="R1011" s="956">
        <f>IFERROR(VLOOKUP(B1011,[2]מעובד!$D:$L,9,0),0)</f>
        <v>0</v>
      </c>
    </row>
    <row r="1012" spans="1:18" x14ac:dyDescent="0.2">
      <c r="A1012" s="947" t="s">
        <v>270</v>
      </c>
      <c r="B1012" s="947">
        <v>361238</v>
      </c>
      <c r="C1012" s="947" t="s">
        <v>2189</v>
      </c>
      <c r="D1012" s="947" t="s">
        <v>1204</v>
      </c>
      <c r="E1012" s="951">
        <v>51</v>
      </c>
      <c r="F1012" s="951">
        <v>50</v>
      </c>
      <c r="G1012" s="947" t="s">
        <v>3252</v>
      </c>
      <c r="H1012" s="951">
        <v>0</v>
      </c>
      <c r="I1012" s="951">
        <v>0</v>
      </c>
      <c r="J1012" s="947" t="s">
        <v>270</v>
      </c>
      <c r="K1012" s="947">
        <v>361238</v>
      </c>
      <c r="M1012" s="631"/>
      <c r="P1012" s="950" t="str">
        <f>VLOOKUP(J1012,'רשימת רשויות'!A:A,1,0)</f>
        <v>ירושלים</v>
      </c>
      <c r="Q1012" s="956">
        <f>IFERROR(VLOOKUP(B1012,[2]מעובד!$D:$K,8,0),0)</f>
        <v>54</v>
      </c>
      <c r="R1012" s="956">
        <f>IFERROR(VLOOKUP(B1012,[2]מעובד!$D:$L,9,0),0)</f>
        <v>43</v>
      </c>
    </row>
    <row r="1013" spans="1:18" x14ac:dyDescent="0.2">
      <c r="A1013" s="947" t="s">
        <v>305</v>
      </c>
      <c r="B1013" s="947">
        <v>361493</v>
      </c>
      <c r="C1013" s="947" t="s">
        <v>2189</v>
      </c>
      <c r="D1013" s="947" t="s">
        <v>1118</v>
      </c>
      <c r="E1013" s="951">
        <v>52</v>
      </c>
      <c r="F1013" s="951">
        <v>24</v>
      </c>
      <c r="G1013" s="947" t="s">
        <v>159</v>
      </c>
      <c r="H1013" s="951">
        <v>30</v>
      </c>
      <c r="I1013" s="951">
        <v>12</v>
      </c>
      <c r="J1013" s="947" t="s">
        <v>305</v>
      </c>
      <c r="K1013" s="957" t="s">
        <v>3281</v>
      </c>
      <c r="M1013" s="631"/>
      <c r="P1013" s="950" t="str">
        <f>VLOOKUP(J1013,'רשימת רשויות'!A:A,1,0)</f>
        <v>מודיעין מכבים רעות</v>
      </c>
      <c r="Q1013" s="956">
        <f>IFERROR(VLOOKUP(B1013,[2]מעובד!$D:$K,8,0),0)</f>
        <v>0</v>
      </c>
      <c r="R1013" s="956">
        <f>IFERROR(VLOOKUP(B1013,[2]מעובד!$D:$L,9,0),0)</f>
        <v>0</v>
      </c>
    </row>
    <row r="1014" spans="1:18" x14ac:dyDescent="0.2">
      <c r="A1014" s="947" t="s">
        <v>407</v>
      </c>
      <c r="B1014" s="947">
        <v>361501</v>
      </c>
      <c r="C1014" s="947" t="s">
        <v>2189</v>
      </c>
      <c r="D1014" s="947" t="s">
        <v>1462</v>
      </c>
      <c r="E1014" s="951">
        <v>159</v>
      </c>
      <c r="F1014" s="951">
        <v>159</v>
      </c>
      <c r="G1014" s="947" t="s">
        <v>159</v>
      </c>
      <c r="H1014" s="951">
        <v>0</v>
      </c>
      <c r="I1014" s="951">
        <v>0</v>
      </c>
      <c r="J1014" s="947" t="s">
        <v>407</v>
      </c>
      <c r="K1014" s="947">
        <v>361501</v>
      </c>
      <c r="M1014" s="631"/>
      <c r="P1014" s="950" t="str">
        <f>VLOOKUP(J1014,'רשימת רשויות'!A:A,1,0)</f>
        <v>שפרעם</v>
      </c>
      <c r="Q1014" s="956">
        <f>IFERROR(VLOOKUP(B1014,[2]מעובד!$D:$K,8,0),0)</f>
        <v>0</v>
      </c>
      <c r="R1014" s="956">
        <f>IFERROR(VLOOKUP(B1014,[2]מעובד!$D:$L,9,0),0)</f>
        <v>0</v>
      </c>
    </row>
    <row r="1015" spans="1:18" x14ac:dyDescent="0.2">
      <c r="A1015" s="947" t="s">
        <v>270</v>
      </c>
      <c r="B1015" s="947">
        <v>361527</v>
      </c>
      <c r="C1015" s="947" t="s">
        <v>2189</v>
      </c>
      <c r="D1015" s="947" t="s">
        <v>1476</v>
      </c>
      <c r="E1015" s="951">
        <v>38</v>
      </c>
      <c r="F1015" s="951">
        <v>26</v>
      </c>
      <c r="G1015" s="947" t="s">
        <v>3252</v>
      </c>
      <c r="H1015" s="951">
        <v>0</v>
      </c>
      <c r="I1015" s="951">
        <v>0</v>
      </c>
      <c r="J1015" s="947" t="s">
        <v>270</v>
      </c>
      <c r="K1015" s="947">
        <v>361527</v>
      </c>
      <c r="M1015" s="631"/>
      <c r="P1015" s="950" t="str">
        <f>VLOOKUP(J1015,'רשימת רשויות'!A:A,1,0)</f>
        <v>ירושלים</v>
      </c>
      <c r="Q1015" s="956">
        <f>IFERROR(VLOOKUP(B1015,[2]מעובד!$D:$K,8,0),0)</f>
        <v>33</v>
      </c>
      <c r="R1015" s="956">
        <f>IFERROR(VLOOKUP(B1015,[2]מעובד!$D:$L,9,0),0)</f>
        <v>33</v>
      </c>
    </row>
    <row r="1016" spans="1:18" x14ac:dyDescent="0.2">
      <c r="A1016" s="947" t="s">
        <v>270</v>
      </c>
      <c r="B1016" s="947">
        <v>362046</v>
      </c>
      <c r="C1016" s="947" t="s">
        <v>2189</v>
      </c>
      <c r="D1016" s="947" t="s">
        <v>1498</v>
      </c>
      <c r="E1016" s="951">
        <v>287</v>
      </c>
      <c r="F1016" s="951">
        <v>48</v>
      </c>
      <c r="G1016" s="947" t="s">
        <v>3252</v>
      </c>
      <c r="H1016" s="951">
        <v>0</v>
      </c>
      <c r="I1016" s="951">
        <v>0</v>
      </c>
      <c r="J1016" s="947" t="s">
        <v>270</v>
      </c>
      <c r="K1016" s="947">
        <v>362046</v>
      </c>
      <c r="M1016" s="631"/>
      <c r="P1016" s="950" t="str">
        <f>VLOOKUP(J1016,'רשימת רשויות'!A:A,1,0)</f>
        <v>ירושלים</v>
      </c>
      <c r="Q1016" s="956">
        <f>IFERROR(VLOOKUP(B1016,[2]מעובד!$D:$K,8,0),0)</f>
        <v>213</v>
      </c>
      <c r="R1016" s="956">
        <f>IFERROR(VLOOKUP(B1016,[2]מעובד!$D:$L,9,0),0)</f>
        <v>38</v>
      </c>
    </row>
    <row r="1017" spans="1:18" x14ac:dyDescent="0.2">
      <c r="A1017" s="947" t="s">
        <v>291</v>
      </c>
      <c r="B1017" s="947">
        <v>362061</v>
      </c>
      <c r="C1017" s="947" t="s">
        <v>2189</v>
      </c>
      <c r="D1017" s="947" t="s">
        <v>1499</v>
      </c>
      <c r="E1017" s="951">
        <v>184</v>
      </c>
      <c r="F1017" s="951">
        <v>138</v>
      </c>
      <c r="G1017" s="947" t="s">
        <v>159</v>
      </c>
      <c r="H1017" s="951">
        <v>59</v>
      </c>
      <c r="I1017" s="951">
        <v>0</v>
      </c>
      <c r="J1017" s="947" t="s">
        <v>291</v>
      </c>
      <c r="K1017" s="947">
        <v>362061</v>
      </c>
      <c r="M1017" s="631"/>
      <c r="P1017" s="950" t="str">
        <f>VLOOKUP(J1017,'רשימת רשויות'!A:A,1,0)</f>
        <v>לב השרון</v>
      </c>
      <c r="Q1017" s="956">
        <f>IFERROR(VLOOKUP(B1017,[2]מעובד!$D:$K,8,0),0)</f>
        <v>200</v>
      </c>
      <c r="R1017" s="956">
        <f>IFERROR(VLOOKUP(B1017,[2]מעובד!$D:$L,9,0),0)</f>
        <v>40</v>
      </c>
    </row>
    <row r="1018" spans="1:18" x14ac:dyDescent="0.2">
      <c r="A1018" s="947" t="s">
        <v>389</v>
      </c>
      <c r="B1018" s="947">
        <v>362178</v>
      </c>
      <c r="C1018" s="947" t="s">
        <v>2189</v>
      </c>
      <c r="D1018" s="947" t="s">
        <v>1523</v>
      </c>
      <c r="E1018" s="951">
        <v>103</v>
      </c>
      <c r="F1018" s="951">
        <v>103</v>
      </c>
      <c r="G1018" s="947" t="s">
        <v>3252</v>
      </c>
      <c r="H1018" s="951">
        <v>0</v>
      </c>
      <c r="I1018" s="951">
        <v>0</v>
      </c>
      <c r="J1018" s="947" t="s">
        <v>389</v>
      </c>
      <c r="K1018" s="947">
        <v>362178</v>
      </c>
      <c r="M1018" s="631"/>
      <c r="P1018" s="950" t="str">
        <f>VLOOKUP(J1018,'רשימת רשויות'!A:A,1,0)</f>
        <v>רכסים</v>
      </c>
      <c r="Q1018" s="956">
        <f>IFERROR(VLOOKUP(B1018,[2]מעובד!$D:$K,8,0),0)</f>
        <v>99</v>
      </c>
      <c r="R1018" s="956">
        <f>IFERROR(VLOOKUP(B1018,[2]מעובד!$D:$L,9,0),0)</f>
        <v>99</v>
      </c>
    </row>
    <row r="1019" spans="1:18" x14ac:dyDescent="0.2">
      <c r="A1019" s="947" t="s">
        <v>1087</v>
      </c>
      <c r="B1019" s="947">
        <v>362228</v>
      </c>
      <c r="C1019" s="947" t="s">
        <v>2189</v>
      </c>
      <c r="D1019" s="947" t="s">
        <v>1122</v>
      </c>
      <c r="E1019" s="951">
        <v>274</v>
      </c>
      <c r="F1019" s="951">
        <v>225</v>
      </c>
      <c r="G1019" s="947" t="s">
        <v>159</v>
      </c>
      <c r="H1019" s="951">
        <v>0</v>
      </c>
      <c r="I1019" s="951">
        <v>0</v>
      </c>
      <c r="J1019" s="947" t="s">
        <v>1087</v>
      </c>
      <c r="K1019" s="947">
        <v>362228</v>
      </c>
      <c r="M1019" s="631"/>
      <c r="P1019" s="950" t="str">
        <f>VLOOKUP(J1019,'רשימת רשויות'!A:A,1,0)</f>
        <v>צור הדסה</v>
      </c>
      <c r="Q1019" s="956">
        <f>IFERROR(VLOOKUP(B1019,[2]מעובד!$D:$K,8,0),0)</f>
        <v>267</v>
      </c>
      <c r="R1019" s="956">
        <f>IFERROR(VLOOKUP(B1019,[2]מעובד!$D:$L,9,0),0)</f>
        <v>99</v>
      </c>
    </row>
    <row r="1020" spans="1:18" x14ac:dyDescent="0.2">
      <c r="A1020" s="947" t="s">
        <v>270</v>
      </c>
      <c r="B1020" s="947">
        <v>362624</v>
      </c>
      <c r="C1020" s="947" t="s">
        <v>2189</v>
      </c>
      <c r="D1020" s="947" t="s">
        <v>1558</v>
      </c>
      <c r="E1020" s="951">
        <v>54</v>
      </c>
      <c r="F1020" s="951">
        <v>52</v>
      </c>
      <c r="G1020" s="953" t="s">
        <v>3252</v>
      </c>
      <c r="H1020" s="951">
        <v>0</v>
      </c>
      <c r="I1020" s="951">
        <v>0</v>
      </c>
      <c r="J1020" s="947" t="s">
        <v>270</v>
      </c>
      <c r="K1020" s="947">
        <v>362624</v>
      </c>
      <c r="M1020" s="636"/>
      <c r="P1020" s="950" t="str">
        <f>VLOOKUP(J1020,'רשימת רשויות'!A:A,1,0)</f>
        <v>ירושלים</v>
      </c>
      <c r="Q1020" s="956">
        <f>IFERROR(VLOOKUP(B1020,[2]מעובד!$D:$K,8,0),0)</f>
        <v>0</v>
      </c>
      <c r="R1020" s="956">
        <f>IFERROR(VLOOKUP(B1020,[2]מעובד!$D:$L,9,0),0)</f>
        <v>0</v>
      </c>
    </row>
    <row r="1021" spans="1:18" x14ac:dyDescent="0.2">
      <c r="A1021" s="947" t="s">
        <v>197</v>
      </c>
      <c r="B1021" s="947">
        <v>363135</v>
      </c>
      <c r="C1021" s="947" t="s">
        <v>2189</v>
      </c>
      <c r="D1021" s="947" t="s">
        <v>1511</v>
      </c>
      <c r="E1021" s="951">
        <v>47</v>
      </c>
      <c r="F1021" s="951">
        <v>47</v>
      </c>
      <c r="G1021" s="947" t="s">
        <v>3252</v>
      </c>
      <c r="H1021" s="951">
        <v>0</v>
      </c>
      <c r="I1021" s="951">
        <v>0</v>
      </c>
      <c r="J1021" s="947" t="s">
        <v>197</v>
      </c>
      <c r="K1021" s="947">
        <v>363135</v>
      </c>
      <c r="M1021" s="631"/>
      <c r="P1021" s="950" t="str">
        <f>VLOOKUP(J1021,'רשימת רשויות'!A:A,1,0)</f>
        <v>ביתר עילית</v>
      </c>
      <c r="Q1021" s="956">
        <f>IFERROR(VLOOKUP(B1021,[2]מעובד!$D:$K,8,0),0)</f>
        <v>0</v>
      </c>
      <c r="R1021" s="956">
        <f>IFERROR(VLOOKUP(B1021,[2]מעובד!$D:$L,9,0),0)</f>
        <v>0</v>
      </c>
    </row>
    <row r="1022" spans="1:18" x14ac:dyDescent="0.2">
      <c r="A1022" s="947" t="s">
        <v>196</v>
      </c>
      <c r="B1022" s="947">
        <v>366666</v>
      </c>
      <c r="C1022" s="947" t="s">
        <v>2189</v>
      </c>
      <c r="D1022" s="947" t="s">
        <v>2618</v>
      </c>
      <c r="E1022" s="951">
        <v>90</v>
      </c>
      <c r="F1022" s="951">
        <v>87</v>
      </c>
      <c r="G1022" s="947" t="s">
        <v>3252</v>
      </c>
      <c r="H1022" s="951">
        <v>0</v>
      </c>
      <c r="I1022" s="951">
        <v>0</v>
      </c>
      <c r="J1022" s="947" t="s">
        <v>196</v>
      </c>
      <c r="K1022" s="947">
        <v>366666</v>
      </c>
      <c r="M1022" s="631"/>
      <c r="P1022" s="950" t="str">
        <f>VLOOKUP(J1022,'רשימת רשויות'!A:A,1,0)</f>
        <v>בית שמש</v>
      </c>
      <c r="Q1022" s="956">
        <f>IFERROR(VLOOKUP(B1022,[2]מעובד!$D:$K,8,0),0)</f>
        <v>0</v>
      </c>
      <c r="R1022" s="956">
        <f>IFERROR(VLOOKUP(B1022,[2]מעובד!$D:$L,9,0),0)</f>
        <v>0</v>
      </c>
    </row>
    <row r="1023" spans="1:18" x14ac:dyDescent="0.2">
      <c r="A1023" s="947" t="s">
        <v>361</v>
      </c>
      <c r="B1023" s="947">
        <v>367730</v>
      </c>
      <c r="C1023" s="947" t="s">
        <v>2189</v>
      </c>
      <c r="D1023" s="947" t="s">
        <v>628</v>
      </c>
      <c r="E1023" s="951">
        <v>193</v>
      </c>
      <c r="F1023" s="951">
        <v>185</v>
      </c>
      <c r="G1023" s="947" t="s">
        <v>159</v>
      </c>
      <c r="H1023" s="951">
        <v>0</v>
      </c>
      <c r="I1023" s="951">
        <v>0</v>
      </c>
      <c r="J1023" s="947" t="s">
        <v>361</v>
      </c>
      <c r="K1023" s="947">
        <v>367730</v>
      </c>
      <c r="M1023" s="631"/>
      <c r="P1023" s="950" t="str">
        <f>VLOOKUP(J1023,'רשימת רשויות'!A:A,1,0)</f>
        <v>פרדס חנה-כרכור</v>
      </c>
      <c r="Q1023" s="956">
        <f>IFERROR(VLOOKUP(B1023,[2]מעובד!$D:$K,8,0),0)</f>
        <v>183</v>
      </c>
      <c r="R1023" s="956">
        <f>IFERROR(VLOOKUP(B1023,[2]מעובד!$D:$L,9,0),0)</f>
        <v>82</v>
      </c>
    </row>
    <row r="1024" spans="1:18" x14ac:dyDescent="0.2">
      <c r="A1024" s="947" t="s">
        <v>270</v>
      </c>
      <c r="B1024" s="947">
        <v>368084</v>
      </c>
      <c r="C1024" s="947" t="s">
        <v>2189</v>
      </c>
      <c r="D1024" s="947" t="s">
        <v>3011</v>
      </c>
      <c r="E1024" s="951">
        <v>48</v>
      </c>
      <c r="F1024" s="951">
        <v>0</v>
      </c>
      <c r="G1024" s="947" t="s">
        <v>3252</v>
      </c>
      <c r="H1024" s="951">
        <v>0</v>
      </c>
      <c r="I1024" s="951">
        <v>0</v>
      </c>
      <c r="J1024" s="947" t="s">
        <v>270</v>
      </c>
      <c r="K1024" s="947">
        <v>368084</v>
      </c>
      <c r="M1024" s="631"/>
      <c r="P1024" s="950" t="str">
        <f>VLOOKUP(J1024,'רשימת רשויות'!A:A,1,0)</f>
        <v>ירושלים</v>
      </c>
      <c r="Q1024" s="956">
        <f>IFERROR(VLOOKUP(B1024,[2]מעובד!$D:$K,8,0),0)</f>
        <v>0</v>
      </c>
      <c r="R1024" s="956">
        <f>IFERROR(VLOOKUP(B1024,[2]מעובד!$D:$L,9,0),0)</f>
        <v>0</v>
      </c>
    </row>
    <row r="1025" spans="1:18" x14ac:dyDescent="0.2">
      <c r="A1025" s="947" t="s">
        <v>389</v>
      </c>
      <c r="B1025" s="947">
        <v>370379</v>
      </c>
      <c r="C1025" s="947" t="s">
        <v>2189</v>
      </c>
      <c r="D1025" s="947" t="s">
        <v>2404</v>
      </c>
      <c r="E1025" s="951">
        <v>54</v>
      </c>
      <c r="F1025" s="951">
        <v>31</v>
      </c>
      <c r="G1025" s="947" t="s">
        <v>3252</v>
      </c>
      <c r="H1025" s="951">
        <v>0</v>
      </c>
      <c r="I1025" s="951">
        <v>0</v>
      </c>
      <c r="J1025" s="947" t="s">
        <v>389</v>
      </c>
      <c r="K1025" s="947">
        <v>370379</v>
      </c>
      <c r="M1025" s="631"/>
      <c r="P1025" s="950" t="str">
        <f>VLOOKUP(J1025,'רשימת רשויות'!A:A,1,0)</f>
        <v>רכסים</v>
      </c>
      <c r="Q1025" s="956">
        <f>IFERROR(VLOOKUP(B1025,[2]מעובד!$D:$K,8,0),0)</f>
        <v>0</v>
      </c>
      <c r="R1025" s="956">
        <f>IFERROR(VLOOKUP(B1025,[2]מעובד!$D:$L,9,0),0)</f>
        <v>0</v>
      </c>
    </row>
    <row r="1026" spans="1:18" x14ac:dyDescent="0.2">
      <c r="A1026" s="947" t="s">
        <v>365</v>
      </c>
      <c r="B1026" s="947">
        <v>370528</v>
      </c>
      <c r="C1026" s="947" t="s">
        <v>2189</v>
      </c>
      <c r="D1026" s="947" t="s">
        <v>1437</v>
      </c>
      <c r="E1026" s="951">
        <v>73</v>
      </c>
      <c r="F1026" s="951">
        <v>73</v>
      </c>
      <c r="G1026" s="947" t="s">
        <v>3252</v>
      </c>
      <c r="H1026" s="951">
        <v>0</v>
      </c>
      <c r="I1026" s="951">
        <v>0</v>
      </c>
      <c r="J1026" s="947" t="s">
        <v>365</v>
      </c>
      <c r="K1026" s="947">
        <v>370528</v>
      </c>
      <c r="M1026" s="631"/>
      <c r="P1026" s="950" t="str">
        <f>VLOOKUP(J1026,'רשימת רשויות'!A:A,1,0)</f>
        <v>צפת</v>
      </c>
      <c r="Q1026" s="956">
        <f>IFERROR(VLOOKUP(B1026,[2]מעובד!$D:$K,8,0),0)</f>
        <v>0</v>
      </c>
      <c r="R1026" s="956">
        <f>IFERROR(VLOOKUP(B1026,[2]מעובד!$D:$L,9,0),0)</f>
        <v>0</v>
      </c>
    </row>
    <row r="1027" spans="1:18" x14ac:dyDescent="0.2">
      <c r="A1027" s="947" t="s">
        <v>270</v>
      </c>
      <c r="B1027" s="947">
        <v>370536</v>
      </c>
      <c r="C1027" s="947" t="s">
        <v>2189</v>
      </c>
      <c r="D1027" s="947" t="s">
        <v>1513</v>
      </c>
      <c r="E1027" s="951">
        <v>161</v>
      </c>
      <c r="F1027" s="951">
        <v>161</v>
      </c>
      <c r="G1027" s="947" t="s">
        <v>3252</v>
      </c>
      <c r="H1027" s="951">
        <v>0</v>
      </c>
      <c r="I1027" s="951">
        <v>0</v>
      </c>
      <c r="J1027" s="947" t="s">
        <v>270</v>
      </c>
      <c r="K1027" s="947">
        <v>370536</v>
      </c>
      <c r="M1027" s="631"/>
      <c r="P1027" s="950" t="str">
        <f>VLOOKUP(J1027,'רשימת רשויות'!A:A,1,0)</f>
        <v>ירושלים</v>
      </c>
      <c r="Q1027" s="956">
        <f>IFERROR(VLOOKUP(B1027,[2]מעובד!$D:$K,8,0),0)</f>
        <v>0</v>
      </c>
      <c r="R1027" s="956">
        <f>IFERROR(VLOOKUP(B1027,[2]מעובד!$D:$L,9,0),0)</f>
        <v>0</v>
      </c>
    </row>
    <row r="1028" spans="1:18" x14ac:dyDescent="0.2">
      <c r="A1028" s="947" t="s">
        <v>271</v>
      </c>
      <c r="B1028" s="947">
        <v>370544</v>
      </c>
      <c r="C1028" s="947" t="s">
        <v>2189</v>
      </c>
      <c r="D1028" s="947" t="s">
        <v>1524</v>
      </c>
      <c r="E1028" s="951">
        <v>139</v>
      </c>
      <c r="F1028" s="951">
        <v>138</v>
      </c>
      <c r="G1028" s="947" t="s">
        <v>159</v>
      </c>
      <c r="H1028" s="951">
        <v>0</v>
      </c>
      <c r="I1028" s="951">
        <v>0</v>
      </c>
      <c r="J1028" s="947" t="s">
        <v>271</v>
      </c>
      <c r="K1028" s="947">
        <v>370544</v>
      </c>
      <c r="M1028" s="631"/>
      <c r="P1028" s="950" t="str">
        <f>VLOOKUP(J1028,'רשימת רשויות'!A:A,1,0)</f>
        <v>ירכא</v>
      </c>
      <c r="Q1028" s="956">
        <f>IFERROR(VLOOKUP(B1028,[2]מעובד!$D:$K,8,0),0)</f>
        <v>178</v>
      </c>
      <c r="R1028" s="956">
        <f>IFERROR(VLOOKUP(B1028,[2]מעובד!$D:$L,9,0),0)</f>
        <v>60</v>
      </c>
    </row>
    <row r="1029" spans="1:18" x14ac:dyDescent="0.2">
      <c r="A1029" s="947" t="s">
        <v>251</v>
      </c>
      <c r="B1029" s="947">
        <v>375881</v>
      </c>
      <c r="C1029" s="947" t="s">
        <v>2189</v>
      </c>
      <c r="D1029" s="947" t="s">
        <v>2405</v>
      </c>
      <c r="E1029" s="951">
        <v>159</v>
      </c>
      <c r="F1029" s="951">
        <v>159</v>
      </c>
      <c r="G1029" s="947" t="s">
        <v>3252</v>
      </c>
      <c r="H1029" s="951">
        <v>0</v>
      </c>
      <c r="I1029" s="951">
        <v>0</v>
      </c>
      <c r="J1029" s="947" t="s">
        <v>251</v>
      </c>
      <c r="K1029" s="947">
        <v>375881</v>
      </c>
      <c r="M1029" s="631"/>
      <c r="P1029" s="950" t="str">
        <f>VLOOKUP(J1029,'רשימת רשויות'!A:A,1,0)</f>
        <v>חיפה</v>
      </c>
      <c r="Q1029" s="956">
        <f>IFERROR(VLOOKUP(B1029,[2]מעובד!$D:$K,8,0),0)</f>
        <v>0</v>
      </c>
      <c r="R1029" s="956">
        <f>IFERROR(VLOOKUP(B1029,[2]מעובד!$D:$L,9,0),0)</f>
        <v>0</v>
      </c>
    </row>
    <row r="1030" spans="1:18" x14ac:dyDescent="0.2">
      <c r="A1030" s="947" t="s">
        <v>375</v>
      </c>
      <c r="B1030" s="947">
        <v>376004</v>
      </c>
      <c r="C1030" s="947" t="s">
        <v>2189</v>
      </c>
      <c r="D1030" s="947" t="s">
        <v>616</v>
      </c>
      <c r="E1030" s="951">
        <v>190</v>
      </c>
      <c r="F1030" s="951">
        <v>92</v>
      </c>
      <c r="G1030" s="947" t="s">
        <v>159</v>
      </c>
      <c r="H1030" s="951">
        <v>0</v>
      </c>
      <c r="I1030" s="951">
        <v>0</v>
      </c>
      <c r="J1030" s="947" t="s">
        <v>375</v>
      </c>
      <c r="K1030" s="947">
        <v>376004</v>
      </c>
      <c r="M1030" s="631"/>
      <c r="P1030" s="950" t="str">
        <f>VLOOKUP(J1030,'רשימת רשויות'!A:A,1,0)</f>
        <v>קרית ים</v>
      </c>
      <c r="Q1030" s="956">
        <f>IFERROR(VLOOKUP(B1030,[2]מעובד!$D:$K,8,0),0)</f>
        <v>192</v>
      </c>
      <c r="R1030" s="956">
        <f>IFERROR(VLOOKUP(B1030,[2]מעובד!$D:$L,9,0),0)</f>
        <v>78</v>
      </c>
    </row>
    <row r="1031" spans="1:18" x14ac:dyDescent="0.2">
      <c r="A1031" s="947" t="s">
        <v>251</v>
      </c>
      <c r="B1031" s="947">
        <v>379842</v>
      </c>
      <c r="C1031" s="947" t="s">
        <v>2189</v>
      </c>
      <c r="D1031" s="947" t="s">
        <v>639</v>
      </c>
      <c r="E1031" s="951">
        <v>62</v>
      </c>
      <c r="F1031" s="951">
        <v>62</v>
      </c>
      <c r="G1031" s="947" t="s">
        <v>3252</v>
      </c>
      <c r="H1031" s="951">
        <v>0</v>
      </c>
      <c r="I1031" s="951">
        <v>0</v>
      </c>
      <c r="J1031" s="947" t="s">
        <v>251</v>
      </c>
      <c r="K1031" s="947">
        <v>379842</v>
      </c>
      <c r="M1031" s="631"/>
      <c r="P1031" s="950" t="str">
        <f>VLOOKUP(J1031,'רשימת רשויות'!A:A,1,0)</f>
        <v>חיפה</v>
      </c>
      <c r="Q1031" s="956">
        <f>IFERROR(VLOOKUP(B1031,[2]מעובד!$D:$K,8,0),0)</f>
        <v>0</v>
      </c>
      <c r="R1031" s="956">
        <f>IFERROR(VLOOKUP(B1031,[2]מעובד!$D:$L,9,0),0)</f>
        <v>0</v>
      </c>
    </row>
    <row r="1032" spans="1:18" x14ac:dyDescent="0.2">
      <c r="A1032" s="947" t="s">
        <v>253</v>
      </c>
      <c r="B1032" s="947">
        <v>383729</v>
      </c>
      <c r="C1032" s="947" t="s">
        <v>2189</v>
      </c>
      <c r="D1032" s="947" t="s">
        <v>2408</v>
      </c>
      <c r="E1032" s="951">
        <v>104</v>
      </c>
      <c r="F1032" s="951">
        <v>75</v>
      </c>
      <c r="G1032" s="947" t="s">
        <v>159</v>
      </c>
      <c r="H1032" s="951">
        <v>38</v>
      </c>
      <c r="I1032" s="951">
        <v>0</v>
      </c>
      <c r="J1032" s="947" t="s">
        <v>253</v>
      </c>
      <c r="K1032" s="947">
        <v>383729</v>
      </c>
      <c r="M1032" s="631"/>
      <c r="P1032" s="950" t="str">
        <f>VLOOKUP(J1032,'רשימת רשויות'!A:A,1,0)</f>
        <v>חריש</v>
      </c>
      <c r="Q1032" s="956">
        <f>IFERROR(VLOOKUP(B1032,[2]מעובד!$D:$K,8,0),0)</f>
        <v>87</v>
      </c>
      <c r="R1032" s="956">
        <f>IFERROR(VLOOKUP(B1032,[2]מעובד!$D:$L,9,0),0)</f>
        <v>65</v>
      </c>
    </row>
    <row r="1033" spans="1:18" x14ac:dyDescent="0.2">
      <c r="A1033" s="947" t="s">
        <v>253</v>
      </c>
      <c r="B1033" s="947">
        <v>383737</v>
      </c>
      <c r="C1033" s="947" t="s">
        <v>2189</v>
      </c>
      <c r="D1033" s="947" t="s">
        <v>3012</v>
      </c>
      <c r="E1033" s="951">
        <v>187</v>
      </c>
      <c r="F1033" s="951">
        <v>122</v>
      </c>
      <c r="G1033" s="947" t="s">
        <v>159</v>
      </c>
      <c r="H1033" s="951">
        <v>0</v>
      </c>
      <c r="I1033" s="951">
        <v>0</v>
      </c>
      <c r="J1033" s="947" t="s">
        <v>253</v>
      </c>
      <c r="K1033" s="947">
        <v>383737</v>
      </c>
      <c r="M1033" s="631"/>
      <c r="P1033" s="950" t="str">
        <f>VLOOKUP(J1033,'רשימת רשויות'!A:A,1,0)</f>
        <v>חריש</v>
      </c>
      <c r="Q1033" s="956">
        <f>IFERROR(VLOOKUP(B1033,[2]מעובד!$D:$K,8,0),0)</f>
        <v>149</v>
      </c>
      <c r="R1033" s="956">
        <f>IFERROR(VLOOKUP(B1033,[2]מעובד!$D:$L,9,0),0)</f>
        <v>74</v>
      </c>
    </row>
    <row r="1034" spans="1:18" x14ac:dyDescent="0.2">
      <c r="A1034" s="947" t="s">
        <v>259</v>
      </c>
      <c r="B1034" s="947">
        <v>383927</v>
      </c>
      <c r="C1034" s="947" t="s">
        <v>2189</v>
      </c>
      <c r="D1034" s="947" t="s">
        <v>2212</v>
      </c>
      <c r="E1034" s="951">
        <v>326</v>
      </c>
      <c r="F1034" s="951">
        <v>238</v>
      </c>
      <c r="G1034" s="947" t="s">
        <v>159</v>
      </c>
      <c r="H1034" s="951">
        <v>128</v>
      </c>
      <c r="I1034" s="951">
        <v>3</v>
      </c>
      <c r="J1034" s="947" t="s">
        <v>259</v>
      </c>
      <c r="K1034" s="947">
        <v>383927</v>
      </c>
      <c r="M1034" s="631"/>
      <c r="P1034" s="950" t="str">
        <f>VLOOKUP(J1034,'רשימת רשויות'!A:A,1,0)</f>
        <v>טירת כרמל</v>
      </c>
      <c r="Q1034" s="956">
        <f>IFERROR(VLOOKUP(B1034,[2]מעובד!$D:$K,8,0),0)</f>
        <v>305</v>
      </c>
      <c r="R1034" s="956">
        <f>IFERROR(VLOOKUP(B1034,[2]מעובד!$D:$L,9,0),0)</f>
        <v>191</v>
      </c>
    </row>
    <row r="1035" spans="1:18" x14ac:dyDescent="0.2">
      <c r="A1035" s="947" t="s">
        <v>247</v>
      </c>
      <c r="B1035" s="947">
        <v>384024</v>
      </c>
      <c r="C1035" s="947" t="s">
        <v>2189</v>
      </c>
      <c r="D1035" s="947" t="s">
        <v>649</v>
      </c>
      <c r="E1035" s="951">
        <v>225</v>
      </c>
      <c r="F1035" s="951">
        <v>135</v>
      </c>
      <c r="G1035" s="947" t="s">
        <v>159</v>
      </c>
      <c r="H1035" s="951">
        <v>0</v>
      </c>
      <c r="I1035" s="951">
        <v>0</v>
      </c>
      <c r="J1035" s="947" t="s">
        <v>247</v>
      </c>
      <c r="K1035" s="947">
        <v>384024</v>
      </c>
      <c r="M1035" s="631"/>
      <c r="P1035" s="950" t="str">
        <f>VLOOKUP(J1035,'רשימת רשויות'!A:A,1,0)</f>
        <v>חוף הכרמל</v>
      </c>
      <c r="Q1035" s="956">
        <f>IFERROR(VLOOKUP(B1035,[2]מעובד!$D:$K,8,0),0)</f>
        <v>0</v>
      </c>
      <c r="R1035" s="956">
        <f>IFERROR(VLOOKUP(B1035,[2]מעובד!$D:$L,9,0),0)</f>
        <v>0</v>
      </c>
    </row>
    <row r="1036" spans="1:18" x14ac:dyDescent="0.2">
      <c r="A1036" s="947" t="s">
        <v>372</v>
      </c>
      <c r="B1036" s="947">
        <v>384032</v>
      </c>
      <c r="C1036" s="947" t="s">
        <v>2189</v>
      </c>
      <c r="D1036" s="947" t="s">
        <v>2406</v>
      </c>
      <c r="E1036" s="951">
        <v>263</v>
      </c>
      <c r="F1036" s="951">
        <v>240</v>
      </c>
      <c r="G1036" s="947" t="s">
        <v>159</v>
      </c>
      <c r="H1036" s="951">
        <v>0</v>
      </c>
      <c r="I1036" s="951">
        <v>0</v>
      </c>
      <c r="J1036" s="947" t="s">
        <v>372</v>
      </c>
      <c r="K1036" s="947">
        <v>384032</v>
      </c>
      <c r="M1036" s="631"/>
      <c r="P1036" s="950" t="str">
        <f>VLOOKUP(J1036,'רשימת רשויות'!A:A,1,0)</f>
        <v>קרית ביאליק</v>
      </c>
      <c r="Q1036" s="956">
        <f>IFERROR(VLOOKUP(B1036,[2]מעובד!$D:$K,8,0),0)</f>
        <v>267</v>
      </c>
      <c r="R1036" s="956">
        <f>IFERROR(VLOOKUP(B1036,[2]מעובד!$D:$L,9,0),0)</f>
        <v>178</v>
      </c>
    </row>
    <row r="1037" spans="1:18" x14ac:dyDescent="0.2">
      <c r="A1037" s="947" t="s">
        <v>352</v>
      </c>
      <c r="B1037" s="947">
        <v>384057</v>
      </c>
      <c r="C1037" s="947" t="s">
        <v>2189</v>
      </c>
      <c r="D1037" s="947" t="s">
        <v>3013</v>
      </c>
      <c r="E1037" s="951">
        <v>36</v>
      </c>
      <c r="F1037" s="951">
        <v>0</v>
      </c>
      <c r="G1037" s="947" t="s">
        <v>159</v>
      </c>
      <c r="H1037" s="951">
        <v>0</v>
      </c>
      <c r="I1037" s="951">
        <v>0</v>
      </c>
      <c r="J1037" s="947" t="s">
        <v>352</v>
      </c>
      <c r="K1037" s="947">
        <v>384057</v>
      </c>
      <c r="M1037" s="631"/>
      <c r="P1037" s="950" t="str">
        <f>VLOOKUP(J1037,'רשימת רשויות'!A:A,1,0)</f>
        <v>עספיא</v>
      </c>
      <c r="Q1037" s="956">
        <f>IFERROR(VLOOKUP(B1037,[2]מעובד!$D:$K,8,0),0)</f>
        <v>0</v>
      </c>
      <c r="R1037" s="956">
        <f>IFERROR(VLOOKUP(B1037,[2]מעובד!$D:$L,9,0),0)</f>
        <v>0</v>
      </c>
    </row>
    <row r="1038" spans="1:18" x14ac:dyDescent="0.2">
      <c r="A1038" s="947" t="s">
        <v>314</v>
      </c>
      <c r="B1038" s="947">
        <v>384065</v>
      </c>
      <c r="C1038" s="947" t="s">
        <v>2189</v>
      </c>
      <c r="D1038" s="947" t="s">
        <v>641</v>
      </c>
      <c r="E1038" s="951">
        <v>142</v>
      </c>
      <c r="F1038" s="951">
        <v>141</v>
      </c>
      <c r="G1038" s="947" t="s">
        <v>159</v>
      </c>
      <c r="H1038" s="951">
        <v>0</v>
      </c>
      <c r="I1038" s="951">
        <v>0</v>
      </c>
      <c r="J1038" s="947" t="s">
        <v>314</v>
      </c>
      <c r="K1038" s="947">
        <v>384065</v>
      </c>
      <c r="M1038" s="631"/>
      <c r="P1038" s="950" t="str">
        <f>VLOOKUP(J1038,'רשימת רשויות'!A:A,1,0)</f>
        <v>מנשה</v>
      </c>
      <c r="Q1038" s="956">
        <f>IFERROR(VLOOKUP(B1038,[2]מעובד!$D:$K,8,0),0)</f>
        <v>0</v>
      </c>
      <c r="R1038" s="956">
        <f>IFERROR(VLOOKUP(B1038,[2]מעובד!$D:$L,9,0),0)</f>
        <v>0</v>
      </c>
    </row>
    <row r="1039" spans="1:18" x14ac:dyDescent="0.2">
      <c r="A1039" s="947" t="s">
        <v>361</v>
      </c>
      <c r="B1039" s="947">
        <v>384149</v>
      </c>
      <c r="C1039" s="947" t="s">
        <v>2189</v>
      </c>
      <c r="D1039" s="947" t="s">
        <v>644</v>
      </c>
      <c r="E1039" s="951">
        <v>280</v>
      </c>
      <c r="F1039" s="951">
        <v>270</v>
      </c>
      <c r="G1039" s="947" t="s">
        <v>159</v>
      </c>
      <c r="H1039" s="951">
        <v>0</v>
      </c>
      <c r="I1039" s="951">
        <v>0</v>
      </c>
      <c r="J1039" s="947" t="s">
        <v>361</v>
      </c>
      <c r="K1039" s="947">
        <v>384149</v>
      </c>
      <c r="M1039" s="631"/>
      <c r="P1039" s="950" t="str">
        <f>VLOOKUP(J1039,'רשימת רשויות'!A:A,1,0)</f>
        <v>פרדס חנה-כרכור</v>
      </c>
      <c r="Q1039" s="956">
        <f>IFERROR(VLOOKUP(B1039,[2]מעובד!$D:$K,8,0),0)</f>
        <v>257</v>
      </c>
      <c r="R1039" s="956">
        <f>IFERROR(VLOOKUP(B1039,[2]מעובד!$D:$L,9,0),0)</f>
        <v>66</v>
      </c>
    </row>
    <row r="1040" spans="1:18" x14ac:dyDescent="0.2">
      <c r="A1040" s="947" t="s">
        <v>375</v>
      </c>
      <c r="B1040" s="947">
        <v>384172</v>
      </c>
      <c r="C1040" s="947" t="s">
        <v>2189</v>
      </c>
      <c r="D1040" s="947" t="s">
        <v>1463</v>
      </c>
      <c r="E1040" s="951">
        <v>110</v>
      </c>
      <c r="F1040" s="951">
        <v>80</v>
      </c>
      <c r="G1040" s="947" t="s">
        <v>159</v>
      </c>
      <c r="H1040" s="951">
        <v>0</v>
      </c>
      <c r="I1040" s="951">
        <v>0</v>
      </c>
      <c r="J1040" s="947" t="s">
        <v>375</v>
      </c>
      <c r="K1040" s="947">
        <v>384172</v>
      </c>
      <c r="M1040" s="631"/>
      <c r="P1040" s="950" t="str">
        <f>VLOOKUP(J1040,'רשימת רשויות'!A:A,1,0)</f>
        <v>קרית ים</v>
      </c>
      <c r="Q1040" s="956">
        <f>IFERROR(VLOOKUP(B1040,[2]מעובד!$D:$K,8,0),0)</f>
        <v>90</v>
      </c>
      <c r="R1040" s="956">
        <f>IFERROR(VLOOKUP(B1040,[2]מעובד!$D:$L,9,0),0)</f>
        <v>84</v>
      </c>
    </row>
    <row r="1041" spans="1:18" x14ac:dyDescent="0.2">
      <c r="A1041" s="947" t="s">
        <v>247</v>
      </c>
      <c r="B1041" s="947">
        <v>384206</v>
      </c>
      <c r="C1041" s="947" t="s">
        <v>2189</v>
      </c>
      <c r="D1041" s="947" t="s">
        <v>2213</v>
      </c>
      <c r="E1041" s="951">
        <v>44</v>
      </c>
      <c r="F1041" s="951">
        <v>37</v>
      </c>
      <c r="G1041" s="947" t="s">
        <v>159</v>
      </c>
      <c r="H1041" s="951">
        <v>0</v>
      </c>
      <c r="I1041" s="951">
        <v>0</v>
      </c>
      <c r="J1041" s="947" t="s">
        <v>247</v>
      </c>
      <c r="K1041" s="947">
        <v>384206</v>
      </c>
      <c r="M1041" s="631"/>
      <c r="P1041" s="950" t="str">
        <f>VLOOKUP(J1041,'רשימת רשויות'!A:A,1,0)</f>
        <v>חוף הכרמל</v>
      </c>
      <c r="Q1041" s="956">
        <f>IFERROR(VLOOKUP(B1041,[2]מעובד!$D:$K,8,0),0)</f>
        <v>26</v>
      </c>
      <c r="R1041" s="956">
        <f>IFERROR(VLOOKUP(B1041,[2]מעובד!$D:$L,9,0),0)</f>
        <v>26</v>
      </c>
    </row>
    <row r="1042" spans="1:18" x14ac:dyDescent="0.2">
      <c r="A1042" s="947" t="s">
        <v>247</v>
      </c>
      <c r="B1042" s="947">
        <v>384214</v>
      </c>
      <c r="C1042" s="947" t="s">
        <v>2189</v>
      </c>
      <c r="D1042" s="947" t="s">
        <v>2214</v>
      </c>
      <c r="E1042" s="951">
        <v>46</v>
      </c>
      <c r="F1042" s="951">
        <v>25</v>
      </c>
      <c r="G1042" s="947" t="s">
        <v>159</v>
      </c>
      <c r="H1042" s="951">
        <v>0</v>
      </c>
      <c r="I1042" s="951">
        <v>0</v>
      </c>
      <c r="J1042" s="947" t="s">
        <v>247</v>
      </c>
      <c r="K1042" s="957" t="s">
        <v>3282</v>
      </c>
      <c r="M1042" s="631"/>
      <c r="P1042" s="950" t="str">
        <f>VLOOKUP(J1042,'רשימת רשויות'!A:A,1,0)</f>
        <v>חוף הכרמל</v>
      </c>
      <c r="Q1042" s="956">
        <f>IFERROR(VLOOKUP(B1042,[2]מעובד!$D:$K,8,0),0)</f>
        <v>34</v>
      </c>
      <c r="R1042" s="956">
        <f>IFERROR(VLOOKUP(B1042,[2]מעובד!$D:$L,9,0),0)</f>
        <v>34</v>
      </c>
    </row>
    <row r="1043" spans="1:18" x14ac:dyDescent="0.2">
      <c r="A1043" s="947" t="s">
        <v>201</v>
      </c>
      <c r="B1043" s="947">
        <v>384248</v>
      </c>
      <c r="C1043" s="947" t="s">
        <v>2189</v>
      </c>
      <c r="D1043" s="947" t="s">
        <v>467</v>
      </c>
      <c r="E1043" s="951">
        <v>162</v>
      </c>
      <c r="F1043" s="951">
        <v>124</v>
      </c>
      <c r="G1043" s="947" t="s">
        <v>159</v>
      </c>
      <c r="H1043" s="951">
        <v>0</v>
      </c>
      <c r="I1043" s="951">
        <v>0</v>
      </c>
      <c r="J1043" s="947" t="s">
        <v>201</v>
      </c>
      <c r="K1043" s="947">
        <v>384248</v>
      </c>
      <c r="M1043" s="631"/>
      <c r="P1043" s="950" t="str">
        <f>VLOOKUP(J1043,'רשימת רשויות'!A:A,1,0)</f>
        <v>בנימינה גבעת עדה</v>
      </c>
      <c r="Q1043" s="956">
        <f>IFERROR(VLOOKUP(B1043,[2]מעובד!$D:$K,8,0),0)</f>
        <v>149</v>
      </c>
      <c r="R1043" s="956">
        <f>IFERROR(VLOOKUP(B1043,[2]מעובד!$D:$L,9,0),0)</f>
        <v>66</v>
      </c>
    </row>
    <row r="1044" spans="1:18" x14ac:dyDescent="0.2">
      <c r="A1044" s="947" t="s">
        <v>251</v>
      </c>
      <c r="B1044" s="947">
        <v>384255</v>
      </c>
      <c r="C1044" s="947" t="s">
        <v>2189</v>
      </c>
      <c r="D1044" s="947" t="s">
        <v>558</v>
      </c>
      <c r="E1044" s="951">
        <v>164</v>
      </c>
      <c r="F1044" s="951">
        <v>163</v>
      </c>
      <c r="G1044" s="947" t="s">
        <v>3252</v>
      </c>
      <c r="H1044" s="951">
        <v>0</v>
      </c>
      <c r="I1044" s="951">
        <v>0</v>
      </c>
      <c r="J1044" s="947" t="s">
        <v>251</v>
      </c>
      <c r="K1044" s="947">
        <v>384255</v>
      </c>
      <c r="M1044" s="631"/>
      <c r="P1044" s="950" t="str">
        <f>VLOOKUP(J1044,'רשימת רשויות'!A:A,1,0)</f>
        <v>חיפה</v>
      </c>
      <c r="Q1044" s="956">
        <f>IFERROR(VLOOKUP(B1044,[2]מעובד!$D:$K,8,0),0)</f>
        <v>0</v>
      </c>
      <c r="R1044" s="956">
        <f>IFERROR(VLOOKUP(B1044,[2]מעובד!$D:$L,9,0),0)</f>
        <v>0</v>
      </c>
    </row>
    <row r="1045" spans="1:18" x14ac:dyDescent="0.2">
      <c r="A1045" s="947" t="s">
        <v>251</v>
      </c>
      <c r="B1045" s="947">
        <v>384263</v>
      </c>
      <c r="C1045" s="947" t="s">
        <v>2189</v>
      </c>
      <c r="D1045" s="947" t="s">
        <v>558</v>
      </c>
      <c r="E1045" s="951">
        <v>351</v>
      </c>
      <c r="F1045" s="951">
        <v>350</v>
      </c>
      <c r="G1045" s="947" t="s">
        <v>3252</v>
      </c>
      <c r="H1045" s="951">
        <v>0</v>
      </c>
      <c r="I1045" s="951">
        <v>0</v>
      </c>
      <c r="J1045" s="947" t="s">
        <v>251</v>
      </c>
      <c r="K1045" s="947">
        <v>384263</v>
      </c>
      <c r="M1045" s="631"/>
      <c r="P1045" s="950" t="str">
        <f>VLOOKUP(J1045,'רשימת רשויות'!A:A,1,0)</f>
        <v>חיפה</v>
      </c>
      <c r="Q1045" s="956">
        <f>IFERROR(VLOOKUP(B1045,[2]מעובד!$D:$K,8,0),0)</f>
        <v>0</v>
      </c>
      <c r="R1045" s="956">
        <f>IFERROR(VLOOKUP(B1045,[2]מעובד!$D:$L,9,0),0)</f>
        <v>0</v>
      </c>
    </row>
    <row r="1046" spans="1:18" x14ac:dyDescent="0.2">
      <c r="A1046" s="947" t="s">
        <v>253</v>
      </c>
      <c r="B1046" s="947">
        <v>384271</v>
      </c>
      <c r="C1046" s="947" t="s">
        <v>2189</v>
      </c>
      <c r="D1046" s="947" t="s">
        <v>617</v>
      </c>
      <c r="E1046" s="951">
        <v>240</v>
      </c>
      <c r="F1046" s="951">
        <v>171</v>
      </c>
      <c r="G1046" s="947" t="s">
        <v>159</v>
      </c>
      <c r="H1046" s="951">
        <v>165</v>
      </c>
      <c r="I1046" s="951">
        <v>14</v>
      </c>
      <c r="J1046" s="947" t="s">
        <v>253</v>
      </c>
      <c r="K1046" s="957" t="s">
        <v>3283</v>
      </c>
      <c r="M1046" s="631"/>
      <c r="P1046" s="950" t="str">
        <f>VLOOKUP(J1046,'רשימת רשויות'!A:A,1,0)</f>
        <v>חריש</v>
      </c>
      <c r="Q1046" s="956">
        <f>IFERROR(VLOOKUP(B1046,[2]מעובד!$D:$K,8,0),0)</f>
        <v>272</v>
      </c>
      <c r="R1046" s="956">
        <f>IFERROR(VLOOKUP(B1046,[2]מעובד!$D:$L,9,0),0)</f>
        <v>51</v>
      </c>
    </row>
    <row r="1047" spans="1:18" x14ac:dyDescent="0.2">
      <c r="A1047" s="947" t="s">
        <v>253</v>
      </c>
      <c r="B1047" s="947">
        <v>384289</v>
      </c>
      <c r="C1047" s="947" t="s">
        <v>2189</v>
      </c>
      <c r="D1047" s="947" t="s">
        <v>618</v>
      </c>
      <c r="E1047" s="951">
        <v>256</v>
      </c>
      <c r="F1047" s="951">
        <v>82</v>
      </c>
      <c r="G1047" s="947" t="s">
        <v>159</v>
      </c>
      <c r="H1047" s="951">
        <v>172</v>
      </c>
      <c r="I1047" s="951">
        <v>0</v>
      </c>
      <c r="J1047" s="947" t="s">
        <v>253</v>
      </c>
      <c r="K1047" s="957" t="s">
        <v>3284</v>
      </c>
      <c r="M1047" s="631"/>
      <c r="P1047" s="950" t="str">
        <f>VLOOKUP(J1047,'רשימת רשויות'!A:A,1,0)</f>
        <v>חריש</v>
      </c>
      <c r="Q1047" s="956">
        <f>IFERROR(VLOOKUP(B1047,[2]מעובד!$D:$K,8,0),0)</f>
        <v>254</v>
      </c>
      <c r="R1047" s="956">
        <f>IFERROR(VLOOKUP(B1047,[2]מעובד!$D:$L,9,0),0)</f>
        <v>41</v>
      </c>
    </row>
    <row r="1048" spans="1:18" x14ac:dyDescent="0.2">
      <c r="A1048" s="947" t="s">
        <v>314</v>
      </c>
      <c r="B1048" s="947">
        <v>384313</v>
      </c>
      <c r="C1048" s="947" t="s">
        <v>2189</v>
      </c>
      <c r="D1048" s="947" t="s">
        <v>619</v>
      </c>
      <c r="E1048" s="951">
        <v>253</v>
      </c>
      <c r="F1048" s="951">
        <v>240</v>
      </c>
      <c r="G1048" s="947" t="s">
        <v>159</v>
      </c>
      <c r="H1048" s="951">
        <v>0</v>
      </c>
      <c r="I1048" s="951">
        <v>0</v>
      </c>
      <c r="J1048" s="947" t="s">
        <v>314</v>
      </c>
      <c r="K1048" s="957" t="s">
        <v>3277</v>
      </c>
      <c r="M1048" s="631"/>
      <c r="P1048" s="950" t="str">
        <f>VLOOKUP(J1048,'רשימת רשויות'!A:A,1,0)</f>
        <v>מנשה</v>
      </c>
      <c r="Q1048" s="956">
        <f>IFERROR(VLOOKUP(B1048,[2]מעובד!$D:$K,8,0),0)</f>
        <v>284</v>
      </c>
      <c r="R1048" s="956">
        <f>IFERROR(VLOOKUP(B1048,[2]מעובד!$D:$L,9,0),0)</f>
        <v>284</v>
      </c>
    </row>
    <row r="1049" spans="1:18" x14ac:dyDescent="0.2">
      <c r="A1049" s="947" t="s">
        <v>377</v>
      </c>
      <c r="B1049" s="947">
        <v>384339</v>
      </c>
      <c r="C1049" s="947" t="s">
        <v>2189</v>
      </c>
      <c r="D1049" s="947" t="s">
        <v>620</v>
      </c>
      <c r="E1049" s="951">
        <v>326</v>
      </c>
      <c r="F1049" s="951">
        <v>237</v>
      </c>
      <c r="G1049" s="947" t="s">
        <v>159</v>
      </c>
      <c r="H1049" s="951">
        <v>0</v>
      </c>
      <c r="I1049" s="951">
        <v>0</v>
      </c>
      <c r="J1049" s="947" t="s">
        <v>377</v>
      </c>
      <c r="K1049" s="947">
        <v>384339</v>
      </c>
      <c r="M1049" s="631"/>
      <c r="P1049" s="950" t="str">
        <f>VLOOKUP(J1049,'רשימת רשויות'!A:A,1,0)</f>
        <v>קרית מוצקין</v>
      </c>
      <c r="Q1049" s="956">
        <f>IFERROR(VLOOKUP(B1049,[2]מעובד!$D:$K,8,0),0)</f>
        <v>287</v>
      </c>
      <c r="R1049" s="956">
        <f>IFERROR(VLOOKUP(B1049,[2]מעובד!$D:$L,9,0),0)</f>
        <v>78</v>
      </c>
    </row>
    <row r="1050" spans="1:18" x14ac:dyDescent="0.2">
      <c r="A1050" s="947" t="s">
        <v>259</v>
      </c>
      <c r="B1050" s="947">
        <v>384347</v>
      </c>
      <c r="C1050" s="947" t="s">
        <v>2189</v>
      </c>
      <c r="D1050" s="947" t="s">
        <v>2407</v>
      </c>
      <c r="E1050" s="951">
        <v>278</v>
      </c>
      <c r="F1050" s="951">
        <v>197</v>
      </c>
      <c r="G1050" s="947" t="s">
        <v>159</v>
      </c>
      <c r="H1050" s="951">
        <v>80</v>
      </c>
      <c r="I1050" s="951">
        <v>0</v>
      </c>
      <c r="J1050" s="947" t="s">
        <v>259</v>
      </c>
      <c r="K1050" s="947">
        <v>384347</v>
      </c>
      <c r="M1050" s="631"/>
      <c r="P1050" s="950" t="str">
        <f>VLOOKUP(J1050,'רשימת רשויות'!A:A,1,0)</f>
        <v>טירת כרמל</v>
      </c>
      <c r="Q1050" s="956">
        <f>IFERROR(VLOOKUP(B1050,[2]מעובד!$D:$K,8,0),0)</f>
        <v>196</v>
      </c>
      <c r="R1050" s="956">
        <f>IFERROR(VLOOKUP(B1050,[2]מעובד!$D:$L,9,0),0)</f>
        <v>102</v>
      </c>
    </row>
    <row r="1051" spans="1:18" x14ac:dyDescent="0.2">
      <c r="A1051" s="947" t="s">
        <v>253</v>
      </c>
      <c r="B1051" s="947">
        <v>384354</v>
      </c>
      <c r="C1051" s="947" t="s">
        <v>2189</v>
      </c>
      <c r="D1051" s="947" t="s">
        <v>621</v>
      </c>
      <c r="E1051" s="951">
        <v>252</v>
      </c>
      <c r="F1051" s="951">
        <v>149</v>
      </c>
      <c r="G1051" s="947" t="s">
        <v>159</v>
      </c>
      <c r="H1051" s="951">
        <v>0</v>
      </c>
      <c r="I1051" s="951">
        <v>0</v>
      </c>
      <c r="J1051" s="947" t="s">
        <v>253</v>
      </c>
      <c r="K1051" s="947">
        <v>384354</v>
      </c>
      <c r="M1051" s="631"/>
      <c r="P1051" s="950" t="str">
        <f>VLOOKUP(J1051,'רשימת רשויות'!A:A,1,0)</f>
        <v>חריש</v>
      </c>
      <c r="Q1051" s="956">
        <f>IFERROR(VLOOKUP(B1051,[2]מעובד!$D:$K,8,0),0)</f>
        <v>212</v>
      </c>
      <c r="R1051" s="956">
        <f>IFERROR(VLOOKUP(B1051,[2]מעובד!$D:$L,9,0),0)</f>
        <v>56</v>
      </c>
    </row>
    <row r="1052" spans="1:18" x14ac:dyDescent="0.2">
      <c r="A1052" s="947" t="s">
        <v>251</v>
      </c>
      <c r="B1052" s="947">
        <v>384362</v>
      </c>
      <c r="C1052" s="947" t="s">
        <v>2189</v>
      </c>
      <c r="D1052" s="947" t="s">
        <v>3014</v>
      </c>
      <c r="E1052" s="951">
        <v>391</v>
      </c>
      <c r="F1052" s="951">
        <v>350</v>
      </c>
      <c r="G1052" s="947" t="s">
        <v>159</v>
      </c>
      <c r="H1052" s="951">
        <v>129</v>
      </c>
      <c r="I1052" s="951">
        <v>8</v>
      </c>
      <c r="J1052" s="947" t="s">
        <v>251</v>
      </c>
      <c r="K1052" s="947">
        <v>384362</v>
      </c>
      <c r="M1052" s="631"/>
      <c r="P1052" s="950" t="str">
        <f>VLOOKUP(J1052,'רשימת רשויות'!A:A,1,0)</f>
        <v>חיפה</v>
      </c>
      <c r="Q1052" s="956">
        <f>IFERROR(VLOOKUP(B1052,[2]מעובד!$D:$K,8,0),0)</f>
        <v>273</v>
      </c>
      <c r="R1052" s="956">
        <f>IFERROR(VLOOKUP(B1052,[2]מעובד!$D:$L,9,0),0)</f>
        <v>145</v>
      </c>
    </row>
    <row r="1053" spans="1:18" x14ac:dyDescent="0.2">
      <c r="A1053" s="947" t="s">
        <v>247</v>
      </c>
      <c r="B1053" s="947">
        <v>384396</v>
      </c>
      <c r="C1053" s="947" t="s">
        <v>2189</v>
      </c>
      <c r="D1053" s="947" t="s">
        <v>2749</v>
      </c>
      <c r="E1053" s="951">
        <v>104</v>
      </c>
      <c r="F1053" s="951">
        <v>61</v>
      </c>
      <c r="G1053" s="947" t="s">
        <v>159</v>
      </c>
      <c r="H1053" s="951">
        <v>31</v>
      </c>
      <c r="I1053" s="951">
        <v>0</v>
      </c>
      <c r="J1053" s="947" t="s">
        <v>247</v>
      </c>
      <c r="K1053" s="947">
        <v>384396</v>
      </c>
      <c r="M1053" s="631"/>
      <c r="P1053" s="950" t="str">
        <f>VLOOKUP(J1053,'רשימת רשויות'!A:A,1,0)</f>
        <v>חוף הכרמל</v>
      </c>
      <c r="Q1053" s="956">
        <f>IFERROR(VLOOKUP(B1053,[2]מעובד!$D:$K,8,0),0)</f>
        <v>101</v>
      </c>
      <c r="R1053" s="956">
        <f>IFERROR(VLOOKUP(B1053,[2]מעובד!$D:$L,9,0),0)</f>
        <v>46</v>
      </c>
    </row>
    <row r="1054" spans="1:18" x14ac:dyDescent="0.2">
      <c r="A1054" s="947" t="s">
        <v>244</v>
      </c>
      <c r="B1054" s="947">
        <v>384404</v>
      </c>
      <c r="C1054" s="947" t="s">
        <v>2189</v>
      </c>
      <c r="D1054" s="947" t="s">
        <v>622</v>
      </c>
      <c r="E1054" s="951">
        <v>237</v>
      </c>
      <c r="F1054" s="951">
        <v>172</v>
      </c>
      <c r="G1054" s="947" t="s">
        <v>159</v>
      </c>
      <c r="H1054" s="951">
        <v>0</v>
      </c>
      <c r="I1054" s="951">
        <v>0</v>
      </c>
      <c r="J1054" s="947" t="s">
        <v>244</v>
      </c>
      <c r="K1054" s="947">
        <v>384404</v>
      </c>
      <c r="M1054" s="631"/>
      <c r="P1054" s="950" t="str">
        <f>VLOOKUP(J1054,'רשימת רשויות'!A:A,1,0)</f>
        <v>חדרה</v>
      </c>
      <c r="Q1054" s="956">
        <f>IFERROR(VLOOKUP(B1054,[2]מעובד!$D:$K,8,0),0)</f>
        <v>154</v>
      </c>
      <c r="R1054" s="956">
        <f>IFERROR(VLOOKUP(B1054,[2]מעובד!$D:$L,9,0),0)</f>
        <v>97</v>
      </c>
    </row>
    <row r="1055" spans="1:18" x14ac:dyDescent="0.2">
      <c r="A1055" s="947" t="s">
        <v>334</v>
      </c>
      <c r="B1055" s="947">
        <v>384420</v>
      </c>
      <c r="C1055" s="947" t="s">
        <v>2189</v>
      </c>
      <c r="D1055" s="947" t="s">
        <v>3015</v>
      </c>
      <c r="E1055" s="951">
        <v>35</v>
      </c>
      <c r="F1055" s="951">
        <v>19</v>
      </c>
      <c r="G1055" s="947" t="s">
        <v>159</v>
      </c>
      <c r="H1055" s="951">
        <v>0</v>
      </c>
      <c r="I1055" s="951">
        <v>0</v>
      </c>
      <c r="J1055" s="947" t="s">
        <v>334</v>
      </c>
      <c r="K1055" s="947">
        <v>384420</v>
      </c>
      <c r="M1055" s="631"/>
      <c r="P1055" s="950" t="str">
        <f>VLOOKUP(J1055,'רשימת רשויות'!A:A,1,0)</f>
        <v>נשר</v>
      </c>
      <c r="Q1055" s="956">
        <f>IFERROR(VLOOKUP(B1055,[2]מעובד!$D:$K,8,0),0)</f>
        <v>36</v>
      </c>
      <c r="R1055" s="956">
        <f>IFERROR(VLOOKUP(B1055,[2]מעובד!$D:$L,9,0),0)</f>
        <v>36</v>
      </c>
    </row>
    <row r="1056" spans="1:18" x14ac:dyDescent="0.2">
      <c r="A1056" s="947" t="s">
        <v>371</v>
      </c>
      <c r="B1056" s="947">
        <v>384446</v>
      </c>
      <c r="C1056" s="947" t="s">
        <v>2189</v>
      </c>
      <c r="D1056" s="947" t="s">
        <v>623</v>
      </c>
      <c r="E1056" s="951">
        <v>316</v>
      </c>
      <c r="F1056" s="951">
        <v>185</v>
      </c>
      <c r="G1056" s="947" t="s">
        <v>159</v>
      </c>
      <c r="H1056" s="951">
        <v>0</v>
      </c>
      <c r="I1056" s="951">
        <v>0</v>
      </c>
      <c r="J1056" s="947" t="s">
        <v>371</v>
      </c>
      <c r="K1056" s="947">
        <v>384446</v>
      </c>
      <c r="M1056" s="631"/>
      <c r="P1056" s="950" t="str">
        <f>VLOOKUP(J1056,'רשימת רשויות'!A:A,1,0)</f>
        <v>קרית אתא</v>
      </c>
      <c r="Q1056" s="956">
        <f>IFERROR(VLOOKUP(B1056,[2]מעובד!$D:$K,8,0),0)</f>
        <v>294</v>
      </c>
      <c r="R1056" s="956">
        <f>IFERROR(VLOOKUP(B1056,[2]מעובד!$D:$L,9,0),0)</f>
        <v>175</v>
      </c>
    </row>
    <row r="1057" spans="1:18" x14ac:dyDescent="0.2">
      <c r="A1057" s="947" t="s">
        <v>253</v>
      </c>
      <c r="B1057" s="947">
        <v>384453</v>
      </c>
      <c r="C1057" s="947" t="s">
        <v>2189</v>
      </c>
      <c r="D1057" s="947" t="s">
        <v>624</v>
      </c>
      <c r="E1057" s="951">
        <v>228</v>
      </c>
      <c r="F1057" s="951">
        <v>105</v>
      </c>
      <c r="G1057" s="947" t="s">
        <v>159</v>
      </c>
      <c r="H1057" s="951">
        <v>0</v>
      </c>
      <c r="I1057" s="951">
        <v>0</v>
      </c>
      <c r="J1057" s="947" t="s">
        <v>253</v>
      </c>
      <c r="K1057" s="947">
        <v>384453</v>
      </c>
      <c r="M1057" s="631"/>
      <c r="P1057" s="950" t="str">
        <f>VLOOKUP(J1057,'רשימת רשויות'!A:A,1,0)</f>
        <v>חריש</v>
      </c>
      <c r="Q1057" s="956">
        <f>IFERROR(VLOOKUP(B1057,[2]מעובד!$D:$K,8,0),0)</f>
        <v>211</v>
      </c>
      <c r="R1057" s="956">
        <f>IFERROR(VLOOKUP(B1057,[2]מעובד!$D:$L,9,0),0)</f>
        <v>59</v>
      </c>
    </row>
    <row r="1058" spans="1:18" x14ac:dyDescent="0.2">
      <c r="A1058" s="947" t="s">
        <v>244</v>
      </c>
      <c r="B1058" s="947">
        <v>384495</v>
      </c>
      <c r="C1058" s="947" t="s">
        <v>2189</v>
      </c>
      <c r="D1058" s="947" t="s">
        <v>625</v>
      </c>
      <c r="E1058" s="951">
        <v>99</v>
      </c>
      <c r="F1058" s="951">
        <v>0</v>
      </c>
      <c r="G1058" s="947" t="s">
        <v>159</v>
      </c>
      <c r="H1058" s="951">
        <v>0</v>
      </c>
      <c r="I1058" s="951">
        <v>0</v>
      </c>
      <c r="J1058" s="947" t="s">
        <v>244</v>
      </c>
      <c r="K1058" s="947">
        <v>384495</v>
      </c>
      <c r="M1058" s="631"/>
      <c r="P1058" s="950" t="str">
        <f>VLOOKUP(J1058,'רשימת רשויות'!A:A,1,0)</f>
        <v>חדרה</v>
      </c>
      <c r="Q1058" s="956">
        <f>IFERROR(VLOOKUP(B1058,[2]מעובד!$D:$K,8,0),0)</f>
        <v>115</v>
      </c>
      <c r="R1058" s="956">
        <f>IFERROR(VLOOKUP(B1058,[2]מעובד!$D:$L,9,0),0)</f>
        <v>115</v>
      </c>
    </row>
    <row r="1059" spans="1:18" x14ac:dyDescent="0.2">
      <c r="A1059" s="947" t="s">
        <v>372</v>
      </c>
      <c r="B1059" s="947">
        <v>384503</v>
      </c>
      <c r="C1059" s="947" t="s">
        <v>2189</v>
      </c>
      <c r="D1059" s="947" t="s">
        <v>626</v>
      </c>
      <c r="E1059" s="951">
        <v>348</v>
      </c>
      <c r="F1059" s="951">
        <v>294</v>
      </c>
      <c r="G1059" s="947" t="s">
        <v>159</v>
      </c>
      <c r="H1059" s="951">
        <v>0</v>
      </c>
      <c r="I1059" s="951">
        <v>0</v>
      </c>
      <c r="J1059" s="947" t="s">
        <v>372</v>
      </c>
      <c r="K1059" s="947">
        <v>384503</v>
      </c>
      <c r="M1059" s="631"/>
      <c r="P1059" s="950" t="str">
        <f>VLOOKUP(J1059,'רשימת רשויות'!A:A,1,0)</f>
        <v>קרית ביאליק</v>
      </c>
      <c r="Q1059" s="956">
        <f>IFERROR(VLOOKUP(B1059,[2]מעובד!$D:$K,8,0),0)</f>
        <v>342</v>
      </c>
      <c r="R1059" s="956">
        <f>IFERROR(VLOOKUP(B1059,[2]מעובד!$D:$L,9,0),0)</f>
        <v>163</v>
      </c>
    </row>
    <row r="1060" spans="1:18" x14ac:dyDescent="0.2">
      <c r="A1060" s="947" t="s">
        <v>253</v>
      </c>
      <c r="B1060" s="947">
        <v>384552</v>
      </c>
      <c r="C1060" s="947" t="s">
        <v>2189</v>
      </c>
      <c r="D1060" s="947" t="s">
        <v>634</v>
      </c>
      <c r="E1060" s="951">
        <v>322</v>
      </c>
      <c r="F1060" s="951">
        <v>262</v>
      </c>
      <c r="G1060" s="947" t="s">
        <v>159</v>
      </c>
      <c r="H1060" s="951">
        <v>112</v>
      </c>
      <c r="I1060" s="951">
        <v>10</v>
      </c>
      <c r="J1060" s="947" t="s">
        <v>253</v>
      </c>
      <c r="K1060" s="947">
        <v>384552</v>
      </c>
      <c r="M1060" s="631"/>
      <c r="P1060" s="950" t="str">
        <f>VLOOKUP(J1060,'רשימת רשויות'!A:A,1,0)</f>
        <v>חריש</v>
      </c>
      <c r="Q1060" s="956">
        <f>IFERROR(VLOOKUP(B1060,[2]מעובד!$D:$K,8,0),0)</f>
        <v>364</v>
      </c>
      <c r="R1060" s="956">
        <f>IFERROR(VLOOKUP(B1060,[2]מעובד!$D:$L,9,0),0)</f>
        <v>274</v>
      </c>
    </row>
    <row r="1061" spans="1:18" x14ac:dyDescent="0.2">
      <c r="A1061" s="947" t="s">
        <v>253</v>
      </c>
      <c r="B1061" s="947">
        <v>384560</v>
      </c>
      <c r="C1061" s="947" t="s">
        <v>2189</v>
      </c>
      <c r="D1061" s="947" t="s">
        <v>635</v>
      </c>
      <c r="E1061" s="951">
        <v>173</v>
      </c>
      <c r="F1061" s="951">
        <v>85</v>
      </c>
      <c r="G1061" s="947" t="s">
        <v>159</v>
      </c>
      <c r="H1061" s="951">
        <v>127</v>
      </c>
      <c r="I1061" s="951">
        <v>11</v>
      </c>
      <c r="J1061" s="947" t="s">
        <v>253</v>
      </c>
      <c r="K1061" s="957" t="s">
        <v>3285</v>
      </c>
      <c r="M1061" s="631"/>
      <c r="P1061" s="950" t="str">
        <f>VLOOKUP(J1061,'רשימת רשויות'!A:A,1,0)</f>
        <v>חריש</v>
      </c>
      <c r="Q1061" s="956">
        <f>IFERROR(VLOOKUP(B1061,[2]מעובד!$D:$K,8,0),0)</f>
        <v>191</v>
      </c>
      <c r="R1061" s="956">
        <f>IFERROR(VLOOKUP(B1061,[2]מעובד!$D:$L,9,0),0)</f>
        <v>87</v>
      </c>
    </row>
    <row r="1062" spans="1:18" x14ac:dyDescent="0.2">
      <c r="A1062" s="947" t="s">
        <v>377</v>
      </c>
      <c r="B1062" s="947">
        <v>384578</v>
      </c>
      <c r="C1062" s="947" t="s">
        <v>2189</v>
      </c>
      <c r="D1062" s="947" t="s">
        <v>636</v>
      </c>
      <c r="E1062" s="951">
        <v>369</v>
      </c>
      <c r="F1062" s="951">
        <v>232</v>
      </c>
      <c r="G1062" s="947" t="s">
        <v>159</v>
      </c>
      <c r="H1062" s="951">
        <v>0</v>
      </c>
      <c r="I1062" s="951">
        <v>0</v>
      </c>
      <c r="J1062" s="947" t="s">
        <v>377</v>
      </c>
      <c r="K1062" s="947">
        <v>384578</v>
      </c>
      <c r="M1062" s="631"/>
      <c r="P1062" s="950" t="str">
        <f>VLOOKUP(J1062,'רשימת רשויות'!A:A,1,0)</f>
        <v>קרית מוצקין</v>
      </c>
      <c r="Q1062" s="956">
        <f>IFERROR(VLOOKUP(B1062,[2]מעובד!$D:$K,8,0),0)</f>
        <v>311</v>
      </c>
      <c r="R1062" s="956">
        <f>IFERROR(VLOOKUP(B1062,[2]מעובד!$D:$L,9,0),0)</f>
        <v>91</v>
      </c>
    </row>
    <row r="1063" spans="1:18" x14ac:dyDescent="0.2">
      <c r="A1063" s="947" t="s">
        <v>244</v>
      </c>
      <c r="B1063" s="947">
        <v>384586</v>
      </c>
      <c r="C1063" s="947" t="s">
        <v>2189</v>
      </c>
      <c r="D1063" s="947" t="s">
        <v>637</v>
      </c>
      <c r="E1063" s="951">
        <v>269</v>
      </c>
      <c r="F1063" s="951">
        <v>171</v>
      </c>
      <c r="G1063" s="947" t="s">
        <v>159</v>
      </c>
      <c r="H1063" s="951">
        <v>0</v>
      </c>
      <c r="I1063" s="951">
        <v>0</v>
      </c>
      <c r="J1063" s="947" t="s">
        <v>244</v>
      </c>
      <c r="K1063" s="947">
        <v>384586</v>
      </c>
      <c r="M1063" s="631"/>
      <c r="P1063" s="950" t="str">
        <f>VLOOKUP(J1063,'רשימת רשויות'!A:A,1,0)</f>
        <v>חדרה</v>
      </c>
      <c r="Q1063" s="956">
        <f>IFERROR(VLOOKUP(B1063,[2]מעובד!$D:$K,8,0),0)</f>
        <v>155</v>
      </c>
      <c r="R1063" s="956">
        <f>IFERROR(VLOOKUP(B1063,[2]מעובד!$D:$L,9,0),0)</f>
        <v>77</v>
      </c>
    </row>
    <row r="1064" spans="1:18" x14ac:dyDescent="0.2">
      <c r="A1064" s="947" t="s">
        <v>217</v>
      </c>
      <c r="B1064" s="947">
        <v>384594</v>
      </c>
      <c r="C1064" s="947" t="s">
        <v>2189</v>
      </c>
      <c r="D1064" s="947" t="s">
        <v>1595</v>
      </c>
      <c r="E1064" s="951">
        <v>137</v>
      </c>
      <c r="F1064" s="951">
        <v>115</v>
      </c>
      <c r="G1064" s="947" t="s">
        <v>159</v>
      </c>
      <c r="H1064" s="951">
        <v>0</v>
      </c>
      <c r="I1064" s="951">
        <v>0</v>
      </c>
      <c r="J1064" s="947" t="s">
        <v>217</v>
      </c>
      <c r="K1064" s="947">
        <v>384594</v>
      </c>
      <c r="M1064" s="631"/>
      <c r="P1064" s="950" t="str">
        <f>VLOOKUP(J1064,'רשימת רשויות'!A:A,1,0)</f>
        <v>גולן</v>
      </c>
      <c r="Q1064" s="956">
        <f>IFERROR(VLOOKUP(B1064,[2]מעובד!$D:$K,8,0),0)</f>
        <v>101</v>
      </c>
      <c r="R1064" s="956">
        <f>IFERROR(VLOOKUP(B1064,[2]מעובד!$D:$L,9,0),0)</f>
        <v>68</v>
      </c>
    </row>
    <row r="1065" spans="1:18" x14ac:dyDescent="0.2">
      <c r="A1065" s="947" t="s">
        <v>230</v>
      </c>
      <c r="B1065" s="947">
        <v>384602</v>
      </c>
      <c r="C1065" s="947" t="s">
        <v>2189</v>
      </c>
      <c r="D1065" s="947" t="s">
        <v>1596</v>
      </c>
      <c r="E1065" s="951">
        <v>64</v>
      </c>
      <c r="F1065" s="951">
        <v>62</v>
      </c>
      <c r="G1065" s="947" t="s">
        <v>159</v>
      </c>
      <c r="H1065" s="951">
        <v>0</v>
      </c>
      <c r="I1065" s="951">
        <v>0</v>
      </c>
      <c r="J1065" s="947" t="s">
        <v>230</v>
      </c>
      <c r="K1065" s="947">
        <v>384602</v>
      </c>
      <c r="M1065" s="631"/>
      <c r="P1065" s="950" t="str">
        <f>VLOOKUP(J1065,'רשימת רשויות'!A:A,1,0)</f>
        <v>הגליל התחתון</v>
      </c>
      <c r="Q1065" s="956">
        <f>IFERROR(VLOOKUP(B1065,[2]מעובד!$D:$K,8,0),0)</f>
        <v>0</v>
      </c>
      <c r="R1065" s="956">
        <f>IFERROR(VLOOKUP(B1065,[2]מעובד!$D:$L,9,0),0)</f>
        <v>0</v>
      </c>
    </row>
    <row r="1066" spans="1:18" x14ac:dyDescent="0.2">
      <c r="A1066" s="947" t="s">
        <v>230</v>
      </c>
      <c r="B1066" s="947">
        <v>384610</v>
      </c>
      <c r="C1066" s="947" t="s">
        <v>2189</v>
      </c>
      <c r="D1066" s="947" t="s">
        <v>1597</v>
      </c>
      <c r="E1066" s="951">
        <v>133</v>
      </c>
      <c r="F1066" s="951">
        <v>133</v>
      </c>
      <c r="G1066" s="947" t="s">
        <v>159</v>
      </c>
      <c r="H1066" s="951">
        <v>0</v>
      </c>
      <c r="I1066" s="951">
        <v>0</v>
      </c>
      <c r="J1066" s="947" t="s">
        <v>230</v>
      </c>
      <c r="K1066" s="947">
        <v>384610</v>
      </c>
      <c r="M1066" s="631"/>
      <c r="P1066" s="950" t="str">
        <f>VLOOKUP(J1066,'רשימת רשויות'!A:A,1,0)</f>
        <v>הגליל התחתון</v>
      </c>
      <c r="Q1066" s="956">
        <f>IFERROR(VLOOKUP(B1066,[2]מעובד!$D:$K,8,0),0)</f>
        <v>136</v>
      </c>
      <c r="R1066" s="956">
        <f>IFERROR(VLOOKUP(B1066,[2]מעובד!$D:$L,9,0),0)</f>
        <v>115</v>
      </c>
    </row>
    <row r="1067" spans="1:18" x14ac:dyDescent="0.2">
      <c r="A1067" s="947" t="s">
        <v>343</v>
      </c>
      <c r="B1067" s="947">
        <v>384636</v>
      </c>
      <c r="C1067" s="947" t="s">
        <v>2189</v>
      </c>
      <c r="D1067" s="947" t="s">
        <v>1240</v>
      </c>
      <c r="E1067" s="951">
        <v>56</v>
      </c>
      <c r="F1067" s="951">
        <v>56</v>
      </c>
      <c r="G1067" s="947" t="s">
        <v>159</v>
      </c>
      <c r="H1067" s="951">
        <v>0</v>
      </c>
      <c r="I1067" s="951">
        <v>0</v>
      </c>
      <c r="J1067" s="947" t="s">
        <v>343</v>
      </c>
      <c r="K1067" s="947">
        <v>384636</v>
      </c>
      <c r="M1067" s="631"/>
      <c r="P1067" s="950" t="str">
        <f>VLOOKUP(J1067,'רשימת רשויות'!A:A,1,0)</f>
        <v>עילוט</v>
      </c>
      <c r="Q1067" s="956">
        <f>IFERROR(VLOOKUP(B1067,[2]מעובד!$D:$K,8,0),0)</f>
        <v>69</v>
      </c>
      <c r="R1067" s="956">
        <f>IFERROR(VLOOKUP(B1067,[2]מעובד!$D:$L,9,0),0)</f>
        <v>67</v>
      </c>
    </row>
    <row r="1068" spans="1:18" x14ac:dyDescent="0.2">
      <c r="A1068" s="947" t="s">
        <v>253</v>
      </c>
      <c r="B1068" s="947">
        <v>384644</v>
      </c>
      <c r="C1068" s="947" t="s">
        <v>2189</v>
      </c>
      <c r="D1068" s="947" t="s">
        <v>638</v>
      </c>
      <c r="E1068" s="951">
        <v>223</v>
      </c>
      <c r="F1068" s="951">
        <v>150</v>
      </c>
      <c r="G1068" s="947" t="s">
        <v>159</v>
      </c>
      <c r="H1068" s="951">
        <v>92</v>
      </c>
      <c r="I1068" s="951">
        <v>10</v>
      </c>
      <c r="J1068" s="947" t="s">
        <v>253</v>
      </c>
      <c r="K1068" s="947">
        <v>384644</v>
      </c>
      <c r="M1068" s="631"/>
      <c r="P1068" s="950" t="str">
        <f>VLOOKUP(J1068,'רשימת רשויות'!A:A,1,0)</f>
        <v>חריש</v>
      </c>
      <c r="Q1068" s="956">
        <f>IFERROR(VLOOKUP(B1068,[2]מעובד!$D:$K,8,0),0)</f>
        <v>167</v>
      </c>
      <c r="R1068" s="956">
        <f>IFERROR(VLOOKUP(B1068,[2]מעובד!$D:$L,9,0),0)</f>
        <v>102</v>
      </c>
    </row>
    <row r="1069" spans="1:18" x14ac:dyDescent="0.2">
      <c r="A1069" s="947" t="s">
        <v>253</v>
      </c>
      <c r="B1069" s="947">
        <v>384651</v>
      </c>
      <c r="C1069" s="947" t="s">
        <v>2189</v>
      </c>
      <c r="D1069" s="947" t="s">
        <v>2215</v>
      </c>
      <c r="E1069" s="951">
        <v>310</v>
      </c>
      <c r="F1069" s="951">
        <v>213</v>
      </c>
      <c r="G1069" s="947" t="s">
        <v>159</v>
      </c>
      <c r="H1069" s="951">
        <v>93</v>
      </c>
      <c r="I1069" s="951">
        <v>0</v>
      </c>
      <c r="J1069" s="947" t="s">
        <v>253</v>
      </c>
      <c r="K1069" s="947">
        <v>384651</v>
      </c>
      <c r="M1069" s="631"/>
      <c r="P1069" s="950" t="str">
        <f>VLOOKUP(J1069,'רשימת רשויות'!A:A,1,0)</f>
        <v>חריש</v>
      </c>
      <c r="Q1069" s="956">
        <f>IFERROR(VLOOKUP(B1069,[2]מעובד!$D:$K,8,0),0)</f>
        <v>190</v>
      </c>
      <c r="R1069" s="956">
        <f>IFERROR(VLOOKUP(B1069,[2]מעובד!$D:$L,9,0),0)</f>
        <v>93</v>
      </c>
    </row>
    <row r="1070" spans="1:18" x14ac:dyDescent="0.2">
      <c r="A1070" s="947" t="s">
        <v>253</v>
      </c>
      <c r="B1070" s="947">
        <v>384669</v>
      </c>
      <c r="C1070" s="947" t="s">
        <v>2189</v>
      </c>
      <c r="D1070" s="947" t="s">
        <v>2216</v>
      </c>
      <c r="E1070" s="951">
        <v>221</v>
      </c>
      <c r="F1070" s="951">
        <v>95</v>
      </c>
      <c r="G1070" s="947" t="s">
        <v>159</v>
      </c>
      <c r="H1070" s="951">
        <v>0</v>
      </c>
      <c r="I1070" s="951">
        <v>0</v>
      </c>
      <c r="J1070" s="947" t="s">
        <v>253</v>
      </c>
      <c r="K1070" s="947">
        <v>384669</v>
      </c>
      <c r="M1070" s="631"/>
      <c r="P1070" s="950" t="str">
        <f>VLOOKUP(J1070,'רשימת רשויות'!A:A,1,0)</f>
        <v>חריש</v>
      </c>
      <c r="Q1070" s="956">
        <f>IFERROR(VLOOKUP(B1070,[2]מעובד!$D:$K,8,0),0)</f>
        <v>204</v>
      </c>
      <c r="R1070" s="956">
        <f>IFERROR(VLOOKUP(B1070,[2]מעובד!$D:$L,9,0),0)</f>
        <v>109</v>
      </c>
    </row>
    <row r="1071" spans="1:18" x14ac:dyDescent="0.2">
      <c r="A1071" s="947" t="s">
        <v>202</v>
      </c>
      <c r="B1071" s="947">
        <v>384677</v>
      </c>
      <c r="C1071" s="947" t="s">
        <v>2189</v>
      </c>
      <c r="D1071" s="947" t="s">
        <v>2409</v>
      </c>
      <c r="E1071" s="951">
        <v>162</v>
      </c>
      <c r="F1071" s="951">
        <v>153</v>
      </c>
      <c r="G1071" s="947" t="s">
        <v>159</v>
      </c>
      <c r="H1071" s="951">
        <v>62</v>
      </c>
      <c r="I1071" s="951">
        <v>8</v>
      </c>
      <c r="J1071" s="947" t="s">
        <v>202</v>
      </c>
      <c r="K1071" s="947">
        <v>384677</v>
      </c>
      <c r="M1071" s="631"/>
      <c r="P1071" s="950" t="str">
        <f>VLOOKUP(J1071,'רשימת רשויות'!A:A,1,0)</f>
        <v>בסמ"ה</v>
      </c>
      <c r="Q1071" s="956">
        <f>IFERROR(VLOOKUP(B1071,[2]מעובד!$D:$K,8,0),0)</f>
        <v>0</v>
      </c>
      <c r="R1071" s="956">
        <f>IFERROR(VLOOKUP(B1071,[2]מעובד!$D:$L,9,0),0)</f>
        <v>0</v>
      </c>
    </row>
    <row r="1072" spans="1:18" x14ac:dyDescent="0.2">
      <c r="A1072" s="947" t="s">
        <v>320</v>
      </c>
      <c r="B1072" s="947">
        <v>384693</v>
      </c>
      <c r="C1072" s="947" t="s">
        <v>2189</v>
      </c>
      <c r="D1072" s="947" t="s">
        <v>3016</v>
      </c>
      <c r="E1072" s="951">
        <v>124</v>
      </c>
      <c r="F1072" s="951">
        <v>80</v>
      </c>
      <c r="G1072" s="947" t="s">
        <v>159</v>
      </c>
      <c r="H1072" s="951">
        <v>0</v>
      </c>
      <c r="I1072" s="951">
        <v>0</v>
      </c>
      <c r="J1072" s="947" t="s">
        <v>320</v>
      </c>
      <c r="K1072" s="947">
        <v>384693</v>
      </c>
      <c r="M1072" s="631"/>
      <c r="P1072" s="950" t="str">
        <f>VLOOKUP(J1072,'רשימת רשויות'!A:A,1,0)</f>
        <v>מעלה עירון</v>
      </c>
      <c r="Q1072" s="956">
        <f>IFERROR(VLOOKUP(B1072,[2]מעובד!$D:$K,8,0),0)</f>
        <v>76</v>
      </c>
      <c r="R1072" s="956">
        <f>IFERROR(VLOOKUP(B1072,[2]מעובד!$D:$L,9,0),0)</f>
        <v>42</v>
      </c>
    </row>
    <row r="1073" spans="1:18" x14ac:dyDescent="0.2">
      <c r="A1073" s="947" t="s">
        <v>375</v>
      </c>
      <c r="B1073" s="947">
        <v>384727</v>
      </c>
      <c r="C1073" s="947" t="s">
        <v>2189</v>
      </c>
      <c r="D1073" s="947" t="s">
        <v>847</v>
      </c>
      <c r="E1073" s="951">
        <v>226</v>
      </c>
      <c r="F1073" s="951">
        <v>147</v>
      </c>
      <c r="G1073" s="947" t="s">
        <v>159</v>
      </c>
      <c r="H1073" s="951">
        <v>0</v>
      </c>
      <c r="I1073" s="951">
        <v>0</v>
      </c>
      <c r="J1073" s="947" t="s">
        <v>375</v>
      </c>
      <c r="K1073" s="947">
        <v>384727</v>
      </c>
      <c r="M1073" s="631"/>
      <c r="P1073" s="950" t="str">
        <f>VLOOKUP(J1073,'רשימת רשויות'!A:A,1,0)</f>
        <v>קרית ים</v>
      </c>
      <c r="Q1073" s="956">
        <f>IFERROR(VLOOKUP(B1073,[2]מעובד!$D:$K,8,0),0)</f>
        <v>79</v>
      </c>
      <c r="R1073" s="956">
        <f>IFERROR(VLOOKUP(B1073,[2]מעובד!$D:$L,9,0),0)</f>
        <v>65</v>
      </c>
    </row>
    <row r="1074" spans="1:18" x14ac:dyDescent="0.2">
      <c r="A1074" s="947" t="s">
        <v>253</v>
      </c>
      <c r="B1074" s="947">
        <v>384735</v>
      </c>
      <c r="C1074" s="947" t="s">
        <v>2189</v>
      </c>
      <c r="D1074" s="947" t="s">
        <v>2746</v>
      </c>
      <c r="E1074" s="951">
        <v>226</v>
      </c>
      <c r="F1074" s="951">
        <v>162</v>
      </c>
      <c r="G1074" s="947" t="s">
        <v>159</v>
      </c>
      <c r="H1074" s="951">
        <v>95</v>
      </c>
      <c r="I1074" s="951">
        <v>11</v>
      </c>
      <c r="J1074" s="947" t="s">
        <v>253</v>
      </c>
      <c r="K1074" s="947">
        <v>384735</v>
      </c>
      <c r="M1074" s="631"/>
      <c r="P1074" s="950" t="str">
        <f>VLOOKUP(J1074,'רשימת רשויות'!A:A,1,0)</f>
        <v>חריש</v>
      </c>
      <c r="Q1074" s="956">
        <f>IFERROR(VLOOKUP(B1074,[2]מעובד!$D:$K,8,0),0)</f>
        <v>0</v>
      </c>
      <c r="R1074" s="956">
        <f>IFERROR(VLOOKUP(B1074,[2]מעובד!$D:$L,9,0),0)</f>
        <v>0</v>
      </c>
    </row>
    <row r="1075" spans="1:18" x14ac:dyDescent="0.2">
      <c r="A1075" s="947" t="s">
        <v>253</v>
      </c>
      <c r="B1075" s="947">
        <v>384750</v>
      </c>
      <c r="C1075" s="947" t="s">
        <v>2189</v>
      </c>
      <c r="D1075" s="947" t="s">
        <v>2608</v>
      </c>
      <c r="E1075" s="951">
        <v>287</v>
      </c>
      <c r="F1075" s="951">
        <v>175</v>
      </c>
      <c r="G1075" s="947" t="s">
        <v>159</v>
      </c>
      <c r="H1075" s="951">
        <v>111</v>
      </c>
      <c r="I1075" s="951">
        <v>10</v>
      </c>
      <c r="J1075" s="947" t="s">
        <v>253</v>
      </c>
      <c r="K1075" s="947">
        <v>384750</v>
      </c>
      <c r="M1075" s="631"/>
      <c r="P1075" s="950" t="str">
        <f>VLOOKUP(J1075,'רשימת רשויות'!A:A,1,0)</f>
        <v>חריש</v>
      </c>
      <c r="Q1075" s="956">
        <f>IFERROR(VLOOKUP(B1075,[2]מעובד!$D:$K,8,0),0)</f>
        <v>69</v>
      </c>
      <c r="R1075" s="956">
        <f>IFERROR(VLOOKUP(B1075,[2]מעובד!$D:$L,9,0),0)</f>
        <v>69</v>
      </c>
    </row>
    <row r="1076" spans="1:18" x14ac:dyDescent="0.2">
      <c r="A1076" s="947" t="s">
        <v>374</v>
      </c>
      <c r="B1076" s="947">
        <v>384784</v>
      </c>
      <c r="C1076" s="947" t="s">
        <v>2189</v>
      </c>
      <c r="D1076" s="947" t="s">
        <v>2701</v>
      </c>
      <c r="E1076" s="951">
        <v>138</v>
      </c>
      <c r="F1076" s="951">
        <v>206</v>
      </c>
      <c r="G1076" s="947" t="s">
        <v>159</v>
      </c>
      <c r="H1076" s="951">
        <v>0</v>
      </c>
      <c r="I1076" s="951">
        <v>0</v>
      </c>
      <c r="J1076" s="947" t="s">
        <v>374</v>
      </c>
      <c r="K1076" s="947">
        <v>384784</v>
      </c>
      <c r="M1076" s="631"/>
      <c r="P1076" s="950" t="str">
        <f>VLOOKUP(J1076,'רשימת רשויות'!A:A,1,0)</f>
        <v>קרית טבעון</v>
      </c>
      <c r="Q1076" s="956">
        <f>IFERROR(VLOOKUP(B1076,[2]מעובד!$D:$K,8,0),0)</f>
        <v>0</v>
      </c>
      <c r="R1076" s="956">
        <f>IFERROR(VLOOKUP(B1076,[2]מעובד!$D:$L,9,0),0)</f>
        <v>0</v>
      </c>
    </row>
    <row r="1077" spans="1:18" x14ac:dyDescent="0.2">
      <c r="A1077" s="947" t="s">
        <v>259</v>
      </c>
      <c r="B1077" s="947">
        <v>384792</v>
      </c>
      <c r="C1077" s="947" t="s">
        <v>2189</v>
      </c>
      <c r="D1077" s="947" t="s">
        <v>460</v>
      </c>
      <c r="E1077" s="951">
        <v>219</v>
      </c>
      <c r="F1077" s="951">
        <v>178</v>
      </c>
      <c r="G1077" s="947" t="s">
        <v>159</v>
      </c>
      <c r="H1077" s="951">
        <v>0</v>
      </c>
      <c r="I1077" s="951">
        <v>0</v>
      </c>
      <c r="J1077" s="947" t="s">
        <v>259</v>
      </c>
      <c r="K1077" s="947">
        <v>384792</v>
      </c>
      <c r="M1077" s="631"/>
      <c r="P1077" s="950" t="str">
        <f>VLOOKUP(J1077,'רשימת רשויות'!A:A,1,0)</f>
        <v>טירת כרמל</v>
      </c>
      <c r="Q1077" s="956">
        <f>IFERROR(VLOOKUP(B1077,[2]מעובד!$D:$K,8,0),0)</f>
        <v>54</v>
      </c>
      <c r="R1077" s="956">
        <f>IFERROR(VLOOKUP(B1077,[2]מעובד!$D:$L,9,0),0)</f>
        <v>24</v>
      </c>
    </row>
    <row r="1078" spans="1:18" x14ac:dyDescent="0.2">
      <c r="A1078" s="947" t="s">
        <v>372</v>
      </c>
      <c r="B1078" s="947">
        <v>384826</v>
      </c>
      <c r="C1078" s="947" t="s">
        <v>2189</v>
      </c>
      <c r="D1078" s="947" t="s">
        <v>3017</v>
      </c>
      <c r="E1078" s="951">
        <v>102</v>
      </c>
      <c r="F1078" s="951">
        <v>82</v>
      </c>
      <c r="G1078" s="947" t="s">
        <v>159</v>
      </c>
      <c r="H1078" s="951">
        <v>0</v>
      </c>
      <c r="I1078" s="951">
        <v>0</v>
      </c>
      <c r="J1078" s="947" t="s">
        <v>372</v>
      </c>
      <c r="K1078" s="947">
        <v>384826</v>
      </c>
      <c r="M1078" s="631"/>
      <c r="P1078" s="950" t="str">
        <f>VLOOKUP(J1078,'רשימת רשויות'!A:A,1,0)</f>
        <v>קרית ביאליק</v>
      </c>
      <c r="Q1078" s="956">
        <f>IFERROR(VLOOKUP(B1078,[2]מעובד!$D:$K,8,0),0)</f>
        <v>0</v>
      </c>
      <c r="R1078" s="956">
        <f>IFERROR(VLOOKUP(B1078,[2]מעובד!$D:$L,9,0),0)</f>
        <v>0</v>
      </c>
    </row>
    <row r="1079" spans="1:18" x14ac:dyDescent="0.2">
      <c r="A1079" s="947" t="s">
        <v>244</v>
      </c>
      <c r="B1079" s="947">
        <v>384834</v>
      </c>
      <c r="C1079" s="947" t="s">
        <v>2189</v>
      </c>
      <c r="D1079" s="947" t="s">
        <v>3018</v>
      </c>
      <c r="E1079" s="951">
        <v>41</v>
      </c>
      <c r="F1079" s="951">
        <v>23</v>
      </c>
      <c r="G1079" s="947" t="s">
        <v>159</v>
      </c>
      <c r="H1079" s="951">
        <v>0</v>
      </c>
      <c r="I1079" s="951">
        <v>0</v>
      </c>
      <c r="J1079" s="947" t="s">
        <v>244</v>
      </c>
      <c r="K1079" s="957" t="s">
        <v>3286</v>
      </c>
      <c r="M1079" s="631"/>
      <c r="P1079" s="950" t="str">
        <f>VLOOKUP(J1079,'רשימת רשויות'!A:A,1,0)</f>
        <v>חדרה</v>
      </c>
      <c r="Q1079" s="956">
        <f>IFERROR(VLOOKUP(B1079,[2]מעובד!$D:$K,8,0),0)</f>
        <v>0</v>
      </c>
      <c r="R1079" s="956">
        <f>IFERROR(VLOOKUP(B1079,[2]מעובד!$D:$L,9,0),0)</f>
        <v>0</v>
      </c>
    </row>
    <row r="1080" spans="1:18" x14ac:dyDescent="0.2">
      <c r="A1080" s="947" t="s">
        <v>244</v>
      </c>
      <c r="B1080" s="947">
        <v>384842</v>
      </c>
      <c r="C1080" s="947" t="s">
        <v>2189</v>
      </c>
      <c r="D1080" s="947" t="s">
        <v>624</v>
      </c>
      <c r="E1080" s="951">
        <v>58</v>
      </c>
      <c r="F1080" s="951">
        <v>43</v>
      </c>
      <c r="G1080" s="947" t="s">
        <v>159</v>
      </c>
      <c r="H1080" s="951">
        <v>0</v>
      </c>
      <c r="I1080" s="951">
        <v>0</v>
      </c>
      <c r="J1080" s="947" t="s">
        <v>244</v>
      </c>
      <c r="K1080" s="947">
        <v>384842</v>
      </c>
      <c r="M1080" s="631"/>
      <c r="P1080" s="950" t="str">
        <f>VLOOKUP(J1080,'רשימת רשויות'!A:A,1,0)</f>
        <v>חדרה</v>
      </c>
      <c r="Q1080" s="956">
        <f>IFERROR(VLOOKUP(B1080,[2]מעובד!$D:$K,8,0),0)</f>
        <v>0</v>
      </c>
      <c r="R1080" s="956">
        <f>IFERROR(VLOOKUP(B1080,[2]מעובד!$D:$L,9,0),0)</f>
        <v>0</v>
      </c>
    </row>
    <row r="1081" spans="1:18" x14ac:dyDescent="0.2">
      <c r="A1081" s="947" t="s">
        <v>398</v>
      </c>
      <c r="B1081" s="947">
        <v>400002</v>
      </c>
      <c r="C1081" s="947" t="s">
        <v>2189</v>
      </c>
      <c r="D1081" s="947" t="s">
        <v>1616</v>
      </c>
      <c r="E1081" s="951">
        <v>180</v>
      </c>
      <c r="F1081" s="951">
        <v>160</v>
      </c>
      <c r="G1081" s="947" t="s">
        <v>159</v>
      </c>
      <c r="H1081" s="951">
        <v>0</v>
      </c>
      <c r="I1081" s="951">
        <v>0</v>
      </c>
      <c r="J1081" s="947" t="s">
        <v>398</v>
      </c>
      <c r="K1081" s="947">
        <v>400002</v>
      </c>
      <c r="M1081" s="631"/>
      <c r="P1081" s="950" t="str">
        <f>VLOOKUP(J1081,'רשימת רשויות'!A:A,1,0)</f>
        <v>שדות דן</v>
      </c>
      <c r="Q1081" s="956">
        <f>IFERROR(VLOOKUP(B1081,[2]מעובד!$D:$K,8,0),0)</f>
        <v>206</v>
      </c>
      <c r="R1081" s="956">
        <f>IFERROR(VLOOKUP(B1081,[2]מעובד!$D:$L,9,0),0)</f>
        <v>206</v>
      </c>
    </row>
    <row r="1082" spans="1:18" x14ac:dyDescent="0.2">
      <c r="A1082" s="947" t="s">
        <v>350</v>
      </c>
      <c r="B1082" s="947">
        <v>410019</v>
      </c>
      <c r="C1082" s="947" t="s">
        <v>2189</v>
      </c>
      <c r="D1082" s="947" t="s">
        <v>1653</v>
      </c>
      <c r="E1082" s="951">
        <v>128</v>
      </c>
      <c r="F1082" s="951">
        <v>80</v>
      </c>
      <c r="G1082" s="947" t="s">
        <v>159</v>
      </c>
      <c r="H1082" s="951">
        <v>0</v>
      </c>
      <c r="I1082" s="951">
        <v>0</v>
      </c>
      <c r="J1082" s="947" t="s">
        <v>350</v>
      </c>
      <c r="K1082" s="947">
        <v>410019</v>
      </c>
      <c r="M1082" s="631"/>
      <c r="P1082" s="950" t="str">
        <f>VLOOKUP(J1082,'רשימת רשויות'!A:A,1,0)</f>
        <v>עמק חפר</v>
      </c>
      <c r="Q1082" s="956">
        <f>IFERROR(VLOOKUP(B1082,[2]מעובד!$D:$K,8,0),0)</f>
        <v>132</v>
      </c>
      <c r="R1082" s="956">
        <f>IFERROR(VLOOKUP(B1082,[2]מעובד!$D:$L,9,0),0)</f>
        <v>15</v>
      </c>
    </row>
    <row r="1083" spans="1:18" x14ac:dyDescent="0.2">
      <c r="A1083" s="947" t="s">
        <v>162</v>
      </c>
      <c r="B1083" s="947">
        <v>410027</v>
      </c>
      <c r="C1083" s="947" t="s">
        <v>2189</v>
      </c>
      <c r="D1083" s="947" t="s">
        <v>1465</v>
      </c>
      <c r="E1083" s="951">
        <v>248</v>
      </c>
      <c r="F1083" s="951">
        <v>186</v>
      </c>
      <c r="G1083" s="947" t="s">
        <v>159</v>
      </c>
      <c r="H1083" s="951">
        <v>0</v>
      </c>
      <c r="I1083" s="951">
        <v>0</v>
      </c>
      <c r="J1083" s="947" t="s">
        <v>162</v>
      </c>
      <c r="K1083" s="947">
        <v>410027</v>
      </c>
      <c r="M1083" s="631"/>
      <c r="P1083" s="950" t="str">
        <f>VLOOKUP(J1083,'רשימת רשויות'!A:A,1,0)</f>
        <v>אבן יהודה</v>
      </c>
      <c r="Q1083" s="956">
        <f>IFERROR(VLOOKUP(B1083,[2]מעובד!$D:$K,8,0),0)</f>
        <v>276</v>
      </c>
      <c r="R1083" s="956">
        <f>IFERROR(VLOOKUP(B1083,[2]מעובד!$D:$L,9,0),0)</f>
        <v>64</v>
      </c>
    </row>
    <row r="1084" spans="1:18" x14ac:dyDescent="0.2">
      <c r="A1084" s="947" t="s">
        <v>174</v>
      </c>
      <c r="B1084" s="947">
        <v>410068</v>
      </c>
      <c r="C1084" s="947" t="s">
        <v>2189</v>
      </c>
      <c r="D1084" s="947" t="s">
        <v>1466</v>
      </c>
      <c r="E1084" s="951">
        <v>44</v>
      </c>
      <c r="F1084" s="951">
        <v>44</v>
      </c>
      <c r="G1084" s="947" t="s">
        <v>159</v>
      </c>
      <c r="H1084" s="951">
        <v>0</v>
      </c>
      <c r="I1084" s="951">
        <v>0</v>
      </c>
      <c r="J1084" s="947" t="s">
        <v>174</v>
      </c>
      <c r="K1084" s="957" t="s">
        <v>3287</v>
      </c>
      <c r="M1084" s="631"/>
      <c r="P1084" s="950" t="str">
        <f>VLOOKUP(J1084,'רשימת רשויות'!A:A,1,0)</f>
        <v>אליכין</v>
      </c>
      <c r="Q1084" s="956">
        <f>IFERROR(VLOOKUP(B1084,[2]מעובד!$D:$K,8,0),0)</f>
        <v>58</v>
      </c>
      <c r="R1084" s="956">
        <f>IFERROR(VLOOKUP(B1084,[2]מעובד!$D:$L,9,0),0)</f>
        <v>21</v>
      </c>
    </row>
    <row r="1085" spans="1:18" x14ac:dyDescent="0.2">
      <c r="A1085" s="947" t="s">
        <v>231</v>
      </c>
      <c r="B1085" s="947">
        <v>410084</v>
      </c>
      <c r="C1085" s="947" t="s">
        <v>2189</v>
      </c>
      <c r="D1085" s="947" t="s">
        <v>1467</v>
      </c>
      <c r="E1085" s="951">
        <v>277</v>
      </c>
      <c r="F1085" s="951">
        <v>213</v>
      </c>
      <c r="G1085" s="947" t="s">
        <v>159</v>
      </c>
      <c r="H1085" s="951">
        <v>0</v>
      </c>
      <c r="I1085" s="951">
        <v>0</v>
      </c>
      <c r="J1085" s="947" t="s">
        <v>231</v>
      </c>
      <c r="K1085" s="947">
        <v>410084</v>
      </c>
      <c r="M1085" s="631"/>
      <c r="P1085" s="950" t="str">
        <f>VLOOKUP(J1085,'רשימת רשויות'!A:A,1,0)</f>
        <v>הוד השרון</v>
      </c>
      <c r="Q1085" s="956">
        <f>IFERROR(VLOOKUP(B1085,[2]מעובד!$D:$K,8,0),0)</f>
        <v>267</v>
      </c>
      <c r="R1085" s="956">
        <f>IFERROR(VLOOKUP(B1085,[2]מעובד!$D:$L,9,0),0)</f>
        <v>120</v>
      </c>
    </row>
    <row r="1086" spans="1:18" x14ac:dyDescent="0.2">
      <c r="A1086" s="947" t="s">
        <v>242</v>
      </c>
      <c r="B1086" s="947">
        <v>410092</v>
      </c>
      <c r="C1086" s="947" t="s">
        <v>2189</v>
      </c>
      <c r="D1086" s="947" t="s">
        <v>1468</v>
      </c>
      <c r="E1086" s="951">
        <v>309</v>
      </c>
      <c r="F1086" s="951">
        <v>288</v>
      </c>
      <c r="G1086" s="947" t="s">
        <v>159</v>
      </c>
      <c r="H1086" s="951">
        <v>213</v>
      </c>
      <c r="I1086" s="951">
        <v>0</v>
      </c>
      <c r="J1086" s="947" t="s">
        <v>242</v>
      </c>
      <c r="K1086" s="947">
        <v>410092</v>
      </c>
      <c r="M1086" s="631"/>
      <c r="P1086" s="950" t="str">
        <f>VLOOKUP(J1086,'רשימת רשויות'!A:A,1,0)</f>
        <v>חבל מודיעין</v>
      </c>
      <c r="Q1086" s="956">
        <f>IFERROR(VLOOKUP(B1086,[2]מעובד!$D:$K,8,0),0)</f>
        <v>279</v>
      </c>
      <c r="R1086" s="956">
        <f>IFERROR(VLOOKUP(B1086,[2]מעובד!$D:$L,9,0),0)</f>
        <v>133</v>
      </c>
    </row>
    <row r="1087" spans="1:18" x14ac:dyDescent="0.2">
      <c r="A1087" s="947" t="s">
        <v>186</v>
      </c>
      <c r="B1087" s="947">
        <v>410100</v>
      </c>
      <c r="C1087" s="947" t="s">
        <v>2189</v>
      </c>
      <c r="D1087" s="947" t="s">
        <v>1479</v>
      </c>
      <c r="E1087" s="951">
        <v>260</v>
      </c>
      <c r="F1087" s="951">
        <v>166</v>
      </c>
      <c r="G1087" s="947" t="s">
        <v>159</v>
      </c>
      <c r="H1087" s="951">
        <v>167</v>
      </c>
      <c r="I1087" s="951">
        <v>11</v>
      </c>
      <c r="J1087" s="947" t="s">
        <v>186</v>
      </c>
      <c r="K1087" s="947">
        <v>410100</v>
      </c>
      <c r="M1087" s="631"/>
      <c r="P1087" s="950" t="str">
        <f>VLOOKUP(J1087,'רשימת רשויות'!A:A,1,0)</f>
        <v>באר יעקב</v>
      </c>
      <c r="Q1087" s="956">
        <f>IFERROR(VLOOKUP(B1087,[2]מעובד!$D:$K,8,0),0)</f>
        <v>280</v>
      </c>
      <c r="R1087" s="956">
        <f>IFERROR(VLOOKUP(B1087,[2]מעובד!$D:$L,9,0),0)</f>
        <v>133</v>
      </c>
    </row>
    <row r="1088" spans="1:18" x14ac:dyDescent="0.2">
      <c r="A1088" s="947" t="s">
        <v>284</v>
      </c>
      <c r="B1088" s="947">
        <v>410118</v>
      </c>
      <c r="C1088" s="947" t="s">
        <v>2189</v>
      </c>
      <c r="D1088" s="947" t="s">
        <v>1600</v>
      </c>
      <c r="E1088" s="951">
        <v>214</v>
      </c>
      <c r="F1088" s="951">
        <v>179</v>
      </c>
      <c r="G1088" s="947" t="s">
        <v>159</v>
      </c>
      <c r="H1088" s="951">
        <v>0</v>
      </c>
      <c r="I1088" s="951">
        <v>0</v>
      </c>
      <c r="J1088" s="947" t="s">
        <v>284</v>
      </c>
      <c r="K1088" s="947">
        <v>410118</v>
      </c>
      <c r="M1088" s="631"/>
      <c r="P1088" s="950" t="str">
        <f>VLOOKUP(J1088,'רשימת רשויות'!A:A,1,0)</f>
        <v>כפר סבא</v>
      </c>
      <c r="Q1088" s="956">
        <f>IFERROR(VLOOKUP(B1088,[2]מעובד!$D:$K,8,0),0)</f>
        <v>244</v>
      </c>
      <c r="R1088" s="956">
        <f>IFERROR(VLOOKUP(B1088,[2]מעובד!$D:$L,9,0),0)</f>
        <v>81</v>
      </c>
    </row>
    <row r="1089" spans="1:18" x14ac:dyDescent="0.2">
      <c r="A1089" s="947" t="s">
        <v>284</v>
      </c>
      <c r="B1089" s="947">
        <v>410134</v>
      </c>
      <c r="C1089" s="947" t="s">
        <v>2189</v>
      </c>
      <c r="D1089" s="947" t="s">
        <v>2183</v>
      </c>
      <c r="E1089" s="951">
        <v>264</v>
      </c>
      <c r="F1089" s="951">
        <v>196</v>
      </c>
      <c r="G1089" s="947" t="s">
        <v>159</v>
      </c>
      <c r="H1089" s="951">
        <v>0</v>
      </c>
      <c r="I1089" s="951">
        <v>0</v>
      </c>
      <c r="J1089" s="947" t="s">
        <v>284</v>
      </c>
      <c r="K1089" s="947">
        <v>410134</v>
      </c>
      <c r="M1089" s="631"/>
      <c r="P1089" s="950" t="str">
        <f>VLOOKUP(J1089,'רשימת רשויות'!A:A,1,0)</f>
        <v>כפר סבא</v>
      </c>
      <c r="Q1089" s="956">
        <f>IFERROR(VLOOKUP(B1089,[2]מעובד!$D:$K,8,0),0)</f>
        <v>321</v>
      </c>
      <c r="R1089" s="956">
        <f>IFERROR(VLOOKUP(B1089,[2]מעובד!$D:$L,9,0),0)</f>
        <v>51</v>
      </c>
    </row>
    <row r="1090" spans="1:18" x14ac:dyDescent="0.2">
      <c r="A1090" s="947" t="s">
        <v>194</v>
      </c>
      <c r="B1090" s="947">
        <v>410175</v>
      </c>
      <c r="C1090" s="947" t="s">
        <v>2189</v>
      </c>
      <c r="D1090" s="947" t="s">
        <v>1466</v>
      </c>
      <c r="E1090" s="951">
        <v>84</v>
      </c>
      <c r="F1090" s="951">
        <v>42</v>
      </c>
      <c r="G1090" s="947" t="s">
        <v>159</v>
      </c>
      <c r="H1090" s="951">
        <v>61</v>
      </c>
      <c r="I1090" s="951">
        <v>8</v>
      </c>
      <c r="J1090" s="947" t="s">
        <v>194</v>
      </c>
      <c r="K1090" s="947">
        <v>410175</v>
      </c>
      <c r="M1090" s="631"/>
      <c r="P1090" s="950" t="str">
        <f>VLOOKUP(J1090,'רשימת רשויות'!A:A,1,0)</f>
        <v>בית דגן</v>
      </c>
      <c r="Q1090" s="956">
        <f>IFERROR(VLOOKUP(B1090,[2]מעובד!$D:$K,8,0),0)</f>
        <v>70</v>
      </c>
      <c r="R1090" s="956">
        <f>IFERROR(VLOOKUP(B1090,[2]מעובד!$D:$L,9,0),0)</f>
        <v>42</v>
      </c>
    </row>
    <row r="1091" spans="1:18" x14ac:dyDescent="0.2">
      <c r="A1091" s="947" t="s">
        <v>2779</v>
      </c>
      <c r="B1091" s="947">
        <v>410183</v>
      </c>
      <c r="C1091" s="947" t="s">
        <v>2189</v>
      </c>
      <c r="D1091" s="947" t="s">
        <v>1503</v>
      </c>
      <c r="E1091" s="951">
        <v>260</v>
      </c>
      <c r="F1091" s="951">
        <v>162</v>
      </c>
      <c r="G1091" s="947" t="s">
        <v>159</v>
      </c>
      <c r="H1091" s="951">
        <v>87</v>
      </c>
      <c r="I1091" s="951">
        <v>5</v>
      </c>
      <c r="J1091" s="947" t="s">
        <v>2779</v>
      </c>
      <c r="K1091" s="947">
        <v>410183</v>
      </c>
      <c r="M1091" s="631"/>
      <c r="P1091" s="950" t="str">
        <f>VLOOKUP(J1091,'רשימת רשויות'!A:A,1,0)</f>
        <v>גן רווה</v>
      </c>
      <c r="Q1091" s="956">
        <f>IFERROR(VLOOKUP(B1091,[2]מעובד!$D:$K,8,0),0)</f>
        <v>0</v>
      </c>
      <c r="R1091" s="956">
        <f>IFERROR(VLOOKUP(B1091,[2]מעובד!$D:$L,9,0),0)</f>
        <v>0</v>
      </c>
    </row>
    <row r="1092" spans="1:18" x14ac:dyDescent="0.2">
      <c r="A1092" s="947" t="s">
        <v>248</v>
      </c>
      <c r="B1092" s="947">
        <v>410191</v>
      </c>
      <c r="C1092" s="947" t="s">
        <v>2189</v>
      </c>
      <c r="D1092" s="947" t="s">
        <v>458</v>
      </c>
      <c r="E1092" s="951">
        <v>267</v>
      </c>
      <c r="F1092" s="951">
        <v>108</v>
      </c>
      <c r="G1092" s="947" t="s">
        <v>159</v>
      </c>
      <c r="H1092" s="951">
        <v>0</v>
      </c>
      <c r="I1092" s="951">
        <v>0</v>
      </c>
      <c r="J1092" s="947" t="s">
        <v>248</v>
      </c>
      <c r="K1092" s="947">
        <v>410191</v>
      </c>
      <c r="M1092" s="631"/>
      <c r="P1092" s="950" t="str">
        <f>VLOOKUP(J1092,'רשימת רשויות'!A:A,1,0)</f>
        <v>חוף השרון</v>
      </c>
      <c r="Q1092" s="956">
        <f>IFERROR(VLOOKUP(B1092,[2]מעובד!$D:$K,8,0),0)</f>
        <v>0</v>
      </c>
      <c r="R1092" s="956">
        <f>IFERROR(VLOOKUP(B1092,[2]מעובד!$D:$L,9,0),0)</f>
        <v>0</v>
      </c>
    </row>
    <row r="1093" spans="1:18" x14ac:dyDescent="0.2">
      <c r="A1093" s="947" t="s">
        <v>350</v>
      </c>
      <c r="B1093" s="947">
        <v>410209</v>
      </c>
      <c r="C1093" s="947" t="s">
        <v>2189</v>
      </c>
      <c r="D1093" s="947" t="s">
        <v>3019</v>
      </c>
      <c r="E1093" s="951">
        <v>218</v>
      </c>
      <c r="F1093" s="951">
        <v>215</v>
      </c>
      <c r="G1093" s="947" t="s">
        <v>159</v>
      </c>
      <c r="H1093" s="951">
        <v>0</v>
      </c>
      <c r="I1093" s="951">
        <v>0</v>
      </c>
      <c r="J1093" s="947" t="s">
        <v>350</v>
      </c>
      <c r="K1093" s="947">
        <v>410209</v>
      </c>
      <c r="M1093" s="631"/>
      <c r="P1093" s="950" t="str">
        <f>VLOOKUP(J1093,'רשימת רשויות'!A:A,1,0)</f>
        <v>עמק חפר</v>
      </c>
      <c r="Q1093" s="956">
        <f>IFERROR(VLOOKUP(B1093,[2]מעובד!$D:$K,8,0),0)</f>
        <v>271</v>
      </c>
      <c r="R1093" s="956">
        <f>IFERROR(VLOOKUP(B1093,[2]מעובד!$D:$L,9,0),0)</f>
        <v>53</v>
      </c>
    </row>
    <row r="1094" spans="1:18" x14ac:dyDescent="0.2">
      <c r="A1094" s="947" t="s">
        <v>229</v>
      </c>
      <c r="B1094" s="947">
        <v>410217</v>
      </c>
      <c r="C1094" s="947" t="s">
        <v>2189</v>
      </c>
      <c r="D1094" s="947" t="s">
        <v>1507</v>
      </c>
      <c r="E1094" s="951">
        <v>65</v>
      </c>
      <c r="F1094" s="951">
        <v>48</v>
      </c>
      <c r="G1094" s="947" t="s">
        <v>159</v>
      </c>
      <c r="H1094" s="951">
        <v>0</v>
      </c>
      <c r="I1094" s="951">
        <v>0</v>
      </c>
      <c r="J1094" s="947" t="s">
        <v>229</v>
      </c>
      <c r="K1094" s="947">
        <v>410217</v>
      </c>
      <c r="M1094" s="631"/>
      <c r="P1094" s="950" t="str">
        <f>VLOOKUP(J1094,'רשימת רשויות'!A:A,1,0)</f>
        <v>הגליל העליון</v>
      </c>
      <c r="Q1094" s="956">
        <f>IFERROR(VLOOKUP(B1094,[2]מעובד!$D:$K,8,0),0)</f>
        <v>71</v>
      </c>
      <c r="R1094" s="956">
        <f>IFERROR(VLOOKUP(B1094,[2]מעובד!$D:$L,9,0),0)</f>
        <v>33</v>
      </c>
    </row>
    <row r="1095" spans="1:18" x14ac:dyDescent="0.2">
      <c r="A1095" s="947" t="s">
        <v>242</v>
      </c>
      <c r="B1095" s="947">
        <v>410233</v>
      </c>
      <c r="C1095" s="947" t="s">
        <v>2189</v>
      </c>
      <c r="D1095" s="947" t="s">
        <v>451</v>
      </c>
      <c r="E1095" s="951">
        <v>229</v>
      </c>
      <c r="F1095" s="951">
        <v>216</v>
      </c>
      <c r="G1095" s="947" t="s">
        <v>159</v>
      </c>
      <c r="H1095" s="951">
        <v>0</v>
      </c>
      <c r="I1095" s="951">
        <v>0</v>
      </c>
      <c r="J1095" s="947" t="s">
        <v>242</v>
      </c>
      <c r="K1095" s="947">
        <v>410233</v>
      </c>
      <c r="M1095" s="631"/>
      <c r="P1095" s="950" t="str">
        <f>VLOOKUP(J1095,'רשימת רשויות'!A:A,1,0)</f>
        <v>חבל מודיעין</v>
      </c>
      <c r="Q1095" s="956">
        <f>IFERROR(VLOOKUP(B1095,[2]מעובד!$D:$K,8,0),0)</f>
        <v>210</v>
      </c>
      <c r="R1095" s="956">
        <f>IFERROR(VLOOKUP(B1095,[2]מעובד!$D:$L,9,0),0)</f>
        <v>93</v>
      </c>
    </row>
    <row r="1096" spans="1:18" x14ac:dyDescent="0.2">
      <c r="A1096" s="947" t="s">
        <v>248</v>
      </c>
      <c r="B1096" s="947">
        <v>410241</v>
      </c>
      <c r="C1096" s="947" t="s">
        <v>2189</v>
      </c>
      <c r="D1096" s="947" t="s">
        <v>2410</v>
      </c>
      <c r="E1096" s="951">
        <v>102</v>
      </c>
      <c r="F1096" s="951">
        <v>59</v>
      </c>
      <c r="G1096" s="947" t="s">
        <v>159</v>
      </c>
      <c r="H1096" s="951">
        <v>0</v>
      </c>
      <c r="I1096" s="951">
        <v>0</v>
      </c>
      <c r="J1096" s="947" t="s">
        <v>248</v>
      </c>
      <c r="K1096" s="947">
        <v>410241</v>
      </c>
      <c r="M1096" s="631"/>
      <c r="P1096" s="950" t="str">
        <f>VLOOKUP(J1096,'רשימת רשויות'!A:A,1,0)</f>
        <v>חוף השרון</v>
      </c>
      <c r="Q1096" s="956">
        <f>IFERROR(VLOOKUP(B1096,[2]מעובד!$D:$K,8,0),0)</f>
        <v>0</v>
      </c>
      <c r="R1096" s="956">
        <f>IFERROR(VLOOKUP(B1096,[2]מעובד!$D:$L,9,0),0)</f>
        <v>0</v>
      </c>
    </row>
    <row r="1097" spans="1:18" x14ac:dyDescent="0.2">
      <c r="A1097" s="947" t="s">
        <v>242</v>
      </c>
      <c r="B1097" s="947">
        <v>410258</v>
      </c>
      <c r="C1097" s="947" t="s">
        <v>2189</v>
      </c>
      <c r="D1097" s="947" t="s">
        <v>1508</v>
      </c>
      <c r="E1097" s="951">
        <v>138</v>
      </c>
      <c r="F1097" s="951">
        <v>138</v>
      </c>
      <c r="G1097" s="947" t="s">
        <v>159</v>
      </c>
      <c r="H1097" s="951">
        <v>0</v>
      </c>
      <c r="I1097" s="951">
        <v>0</v>
      </c>
      <c r="J1097" s="947" t="s">
        <v>242</v>
      </c>
      <c r="K1097" s="947">
        <v>410258</v>
      </c>
      <c r="M1097" s="631"/>
      <c r="P1097" s="950" t="str">
        <f>VLOOKUP(J1097,'רשימת רשויות'!A:A,1,0)</f>
        <v>חבל מודיעין</v>
      </c>
      <c r="Q1097" s="956">
        <f>IFERROR(VLOOKUP(B1097,[2]מעובד!$D:$K,8,0),0)</f>
        <v>189</v>
      </c>
      <c r="R1097" s="956">
        <f>IFERROR(VLOOKUP(B1097,[2]מעובד!$D:$L,9,0),0)</f>
        <v>61</v>
      </c>
    </row>
    <row r="1098" spans="1:18" x14ac:dyDescent="0.2">
      <c r="A1098" s="947" t="s">
        <v>311</v>
      </c>
      <c r="B1098" s="947">
        <v>410266</v>
      </c>
      <c r="C1098" s="947" t="s">
        <v>2189</v>
      </c>
      <c r="D1098" s="947" t="s">
        <v>1120</v>
      </c>
      <c r="E1098" s="951">
        <v>227</v>
      </c>
      <c r="F1098" s="951">
        <v>204</v>
      </c>
      <c r="G1098" s="947" t="s">
        <v>159</v>
      </c>
      <c r="H1098" s="951">
        <v>77</v>
      </c>
      <c r="I1098" s="951">
        <v>7</v>
      </c>
      <c r="J1098" s="947" t="s">
        <v>311</v>
      </c>
      <c r="K1098" s="947">
        <v>410266</v>
      </c>
      <c r="M1098" s="631"/>
      <c r="P1098" s="950" t="str">
        <f>VLOOKUP(J1098,'רשימת רשויות'!A:A,1,0)</f>
        <v>מטה יהודה</v>
      </c>
      <c r="Q1098" s="956">
        <f>IFERROR(VLOOKUP(B1098,[2]מעובד!$D:$K,8,0),0)</f>
        <v>247</v>
      </c>
      <c r="R1098" s="956">
        <f>IFERROR(VLOOKUP(B1098,[2]מעובד!$D:$L,9,0),0)</f>
        <v>119</v>
      </c>
    </row>
    <row r="1099" spans="1:18" x14ac:dyDescent="0.2">
      <c r="A1099" s="947" t="s">
        <v>189</v>
      </c>
      <c r="B1099" s="947">
        <v>410282</v>
      </c>
      <c r="C1099" s="947" t="s">
        <v>2189</v>
      </c>
      <c r="D1099" s="947" t="s">
        <v>1516</v>
      </c>
      <c r="E1099" s="951">
        <v>141</v>
      </c>
      <c r="F1099" s="951">
        <v>95</v>
      </c>
      <c r="G1099" s="947" t="s">
        <v>159</v>
      </c>
      <c r="H1099" s="951">
        <v>0</v>
      </c>
      <c r="I1099" s="951">
        <v>0</v>
      </c>
      <c r="J1099" s="947" t="s">
        <v>189</v>
      </c>
      <c r="K1099" s="957" t="s">
        <v>3288</v>
      </c>
      <c r="M1099" s="631"/>
      <c r="P1099" s="950" t="str">
        <f>VLOOKUP(J1099,'רשימת רשויות'!A:A,1,0)</f>
        <v>בוקעאתה</v>
      </c>
      <c r="Q1099" s="956">
        <f>IFERROR(VLOOKUP(B1099,[2]מעובד!$D:$K,8,0),0)</f>
        <v>0</v>
      </c>
      <c r="R1099" s="956">
        <f>IFERROR(VLOOKUP(B1099,[2]מעובד!$D:$L,9,0),0)</f>
        <v>0</v>
      </c>
    </row>
    <row r="1100" spans="1:18" x14ac:dyDescent="0.2">
      <c r="A1100" s="947" t="s">
        <v>350</v>
      </c>
      <c r="B1100" s="947">
        <v>410290</v>
      </c>
      <c r="C1100" s="947" t="s">
        <v>2189</v>
      </c>
      <c r="D1100" s="947" t="s">
        <v>3020</v>
      </c>
      <c r="E1100" s="951">
        <v>301</v>
      </c>
      <c r="F1100" s="951">
        <v>11</v>
      </c>
      <c r="G1100" s="947" t="s">
        <v>159</v>
      </c>
      <c r="H1100" s="951">
        <v>0</v>
      </c>
      <c r="I1100" s="951">
        <v>0</v>
      </c>
      <c r="J1100" s="947" t="s">
        <v>350</v>
      </c>
      <c r="K1100" s="957" t="s">
        <v>3289</v>
      </c>
      <c r="M1100" s="631"/>
      <c r="P1100" s="950" t="str">
        <f>VLOOKUP(J1100,'רשימת רשויות'!A:A,1,0)</f>
        <v>עמק חפר</v>
      </c>
      <c r="Q1100" s="956">
        <f>IFERROR(VLOOKUP(B1100,[2]מעובד!$D:$K,8,0),0)</f>
        <v>0</v>
      </c>
      <c r="R1100" s="956">
        <f>IFERROR(VLOOKUP(B1100,[2]מעובד!$D:$L,9,0),0)</f>
        <v>0</v>
      </c>
    </row>
    <row r="1101" spans="1:18" x14ac:dyDescent="0.2">
      <c r="A1101" s="947" t="s">
        <v>350</v>
      </c>
      <c r="B1101" s="947">
        <v>410308</v>
      </c>
      <c r="C1101" s="947" t="s">
        <v>2189</v>
      </c>
      <c r="D1101" s="947" t="s">
        <v>1505</v>
      </c>
      <c r="E1101" s="951">
        <v>288</v>
      </c>
      <c r="F1101" s="951">
        <v>95</v>
      </c>
      <c r="G1101" s="947" t="s">
        <v>159</v>
      </c>
      <c r="H1101" s="951">
        <v>0</v>
      </c>
      <c r="I1101" s="951">
        <v>0</v>
      </c>
      <c r="J1101" s="947" t="s">
        <v>350</v>
      </c>
      <c r="K1101" s="947">
        <v>410308</v>
      </c>
      <c r="M1101" s="631"/>
      <c r="P1101" s="950" t="str">
        <f>VLOOKUP(J1101,'רשימת רשויות'!A:A,1,0)</f>
        <v>עמק חפר</v>
      </c>
      <c r="Q1101" s="956">
        <f>IFERROR(VLOOKUP(B1101,[2]מעובד!$D:$K,8,0),0)</f>
        <v>323</v>
      </c>
      <c r="R1101" s="956">
        <f>IFERROR(VLOOKUP(B1101,[2]מעובד!$D:$L,9,0),0)</f>
        <v>48</v>
      </c>
    </row>
    <row r="1102" spans="1:18" x14ac:dyDescent="0.2">
      <c r="A1102" s="947" t="s">
        <v>336</v>
      </c>
      <c r="B1102" s="947">
        <v>410316</v>
      </c>
      <c r="C1102" s="947" t="s">
        <v>2189</v>
      </c>
      <c r="D1102" s="947" t="s">
        <v>440</v>
      </c>
      <c r="E1102" s="951">
        <v>264</v>
      </c>
      <c r="F1102" s="951">
        <v>207</v>
      </c>
      <c r="G1102" s="947" t="s">
        <v>159</v>
      </c>
      <c r="H1102" s="951">
        <v>0</v>
      </c>
      <c r="I1102" s="951">
        <v>0</v>
      </c>
      <c r="J1102" s="947" t="s">
        <v>336</v>
      </c>
      <c r="K1102" s="947">
        <v>410316</v>
      </c>
      <c r="M1102" s="631"/>
      <c r="P1102" s="950" t="str">
        <f>VLOOKUP(J1102,'רשימת רשויות'!A:A,1,0)</f>
        <v>נתניה</v>
      </c>
      <c r="Q1102" s="956">
        <f>IFERROR(VLOOKUP(B1102,[2]מעובד!$D:$K,8,0),0)</f>
        <v>0</v>
      </c>
      <c r="R1102" s="956">
        <f>IFERROR(VLOOKUP(B1102,[2]מעובד!$D:$L,9,0),0)</f>
        <v>0</v>
      </c>
    </row>
    <row r="1103" spans="1:18" x14ac:dyDescent="0.2">
      <c r="A1103" s="947" t="s">
        <v>213</v>
      </c>
      <c r="B1103" s="947">
        <v>410324</v>
      </c>
      <c r="C1103" s="947" t="s">
        <v>2189</v>
      </c>
      <c r="D1103" s="947" t="s">
        <v>452</v>
      </c>
      <c r="E1103" s="951">
        <v>142</v>
      </c>
      <c r="F1103" s="951">
        <v>133</v>
      </c>
      <c r="G1103" s="947" t="s">
        <v>159</v>
      </c>
      <c r="H1103" s="951">
        <v>0</v>
      </c>
      <c r="I1103" s="951">
        <v>0</v>
      </c>
      <c r="J1103" s="947" t="s">
        <v>213</v>
      </c>
      <c r="K1103" s="947">
        <v>410324</v>
      </c>
      <c r="M1103" s="631"/>
      <c r="P1103" s="950" t="str">
        <f>VLOOKUP(J1103,'רשימת רשויות'!A:A,1,0)</f>
        <v>גבעת שמואל</v>
      </c>
      <c r="Q1103" s="956">
        <f>IFERROR(VLOOKUP(B1103,[2]מעובד!$D:$K,8,0),0)</f>
        <v>118</v>
      </c>
      <c r="R1103" s="956">
        <f>IFERROR(VLOOKUP(B1103,[2]מעובד!$D:$L,9,0),0)</f>
        <v>43</v>
      </c>
    </row>
    <row r="1104" spans="1:18" x14ac:dyDescent="0.2">
      <c r="A1104" s="947" t="s">
        <v>167</v>
      </c>
      <c r="B1104" s="947">
        <v>410332</v>
      </c>
      <c r="C1104" s="947" t="s">
        <v>2189</v>
      </c>
      <c r="D1104" s="947" t="s">
        <v>3021</v>
      </c>
      <c r="E1104" s="951">
        <v>153</v>
      </c>
      <c r="F1104" s="951">
        <v>109</v>
      </c>
      <c r="G1104" s="947" t="s">
        <v>159</v>
      </c>
      <c r="H1104" s="951">
        <v>0</v>
      </c>
      <c r="I1104" s="951">
        <v>0</v>
      </c>
      <c r="J1104" s="947" t="s">
        <v>167</v>
      </c>
      <c r="K1104" s="947">
        <v>410332</v>
      </c>
      <c r="M1104" s="631"/>
      <c r="P1104" s="950" t="str">
        <f>VLOOKUP(J1104,'רשימת רשויות'!A:A,1,0)</f>
        <v>אורנית</v>
      </c>
      <c r="Q1104" s="956">
        <f>IFERROR(VLOOKUP(B1104,[2]מעובד!$D:$K,8,0),0)</f>
        <v>186</v>
      </c>
      <c r="R1104" s="956">
        <f>IFERROR(VLOOKUP(B1104,[2]מעובד!$D:$L,9,0),0)</f>
        <v>78</v>
      </c>
    </row>
    <row r="1105" spans="1:18" x14ac:dyDescent="0.2">
      <c r="A1105" s="947" t="s">
        <v>215</v>
      </c>
      <c r="B1105" s="947">
        <v>410340</v>
      </c>
      <c r="C1105" s="947" t="s">
        <v>2189</v>
      </c>
      <c r="D1105" s="947" t="s">
        <v>1514</v>
      </c>
      <c r="E1105" s="951">
        <v>210</v>
      </c>
      <c r="F1105" s="951">
        <v>117</v>
      </c>
      <c r="G1105" s="947" t="s">
        <v>159</v>
      </c>
      <c r="H1105" s="951">
        <v>0</v>
      </c>
      <c r="I1105" s="951">
        <v>0</v>
      </c>
      <c r="J1105" s="947" t="s">
        <v>215</v>
      </c>
      <c r="K1105" s="947">
        <v>410340</v>
      </c>
      <c r="M1105" s="631"/>
      <c r="P1105" s="950" t="str">
        <f>VLOOKUP(J1105,'רשימת רשויות'!A:A,1,0)</f>
        <v>גדרה</v>
      </c>
      <c r="Q1105" s="956">
        <f>IFERROR(VLOOKUP(B1105,[2]מעובד!$D:$K,8,0),0)</f>
        <v>155</v>
      </c>
      <c r="R1105" s="956">
        <f>IFERROR(VLOOKUP(B1105,[2]מעובד!$D:$L,9,0),0)</f>
        <v>107</v>
      </c>
    </row>
    <row r="1106" spans="1:18" x14ac:dyDescent="0.2">
      <c r="A1106" s="947" t="s">
        <v>215</v>
      </c>
      <c r="B1106" s="947">
        <v>410357</v>
      </c>
      <c r="C1106" s="947" t="s">
        <v>2189</v>
      </c>
      <c r="D1106" s="947" t="s">
        <v>1545</v>
      </c>
      <c r="E1106" s="951">
        <v>186</v>
      </c>
      <c r="F1106" s="951">
        <v>151</v>
      </c>
      <c r="G1106" s="947" t="s">
        <v>159</v>
      </c>
      <c r="H1106" s="951">
        <v>128</v>
      </c>
      <c r="I1106" s="951">
        <v>0</v>
      </c>
      <c r="J1106" s="947" t="s">
        <v>215</v>
      </c>
      <c r="K1106" s="947">
        <v>410357</v>
      </c>
      <c r="M1106" s="631"/>
      <c r="P1106" s="950" t="str">
        <f>VLOOKUP(J1106,'רשימת רשויות'!A:A,1,0)</f>
        <v>גדרה</v>
      </c>
      <c r="Q1106" s="956">
        <f>IFERROR(VLOOKUP(B1106,[2]מעובד!$D:$K,8,0),0)</f>
        <v>161</v>
      </c>
      <c r="R1106" s="956">
        <f>IFERROR(VLOOKUP(B1106,[2]מעובד!$D:$L,9,0),0)</f>
        <v>93</v>
      </c>
    </row>
    <row r="1107" spans="1:18" x14ac:dyDescent="0.2">
      <c r="A1107" s="947" t="s">
        <v>221</v>
      </c>
      <c r="B1107" s="947">
        <v>410373</v>
      </c>
      <c r="C1107" s="947" t="s">
        <v>2189</v>
      </c>
      <c r="D1107" s="947" t="s">
        <v>607</v>
      </c>
      <c r="E1107" s="951">
        <v>150</v>
      </c>
      <c r="F1107" s="951">
        <v>89</v>
      </c>
      <c r="G1107" s="947" t="s">
        <v>159</v>
      </c>
      <c r="H1107" s="951">
        <v>0</v>
      </c>
      <c r="I1107" s="951">
        <v>0</v>
      </c>
      <c r="J1107" s="947" t="s">
        <v>221</v>
      </c>
      <c r="K1107" s="947">
        <v>410373</v>
      </c>
      <c r="M1107" s="631"/>
      <c r="P1107" s="950" t="str">
        <f>VLOOKUP(J1107,'רשימת רשויות'!A:A,1,0)</f>
        <v>גן יבנה</v>
      </c>
      <c r="Q1107" s="956">
        <f>IFERROR(VLOOKUP(B1107,[2]מעובד!$D:$K,8,0),0)</f>
        <v>119</v>
      </c>
      <c r="R1107" s="956">
        <f>IFERROR(VLOOKUP(B1107,[2]מעובד!$D:$L,9,0),0)</f>
        <v>51</v>
      </c>
    </row>
    <row r="1108" spans="1:18" x14ac:dyDescent="0.2">
      <c r="A1108" s="947" t="s">
        <v>347</v>
      </c>
      <c r="B1108" s="947">
        <v>410381</v>
      </c>
      <c r="C1108" s="947" t="s">
        <v>2189</v>
      </c>
      <c r="D1108" s="947" t="s">
        <v>2631</v>
      </c>
      <c r="E1108" s="951">
        <v>85</v>
      </c>
      <c r="F1108" s="951">
        <v>85</v>
      </c>
      <c r="G1108" s="947" t="s">
        <v>3252</v>
      </c>
      <c r="H1108" s="951">
        <v>0</v>
      </c>
      <c r="I1108" s="951">
        <v>0</v>
      </c>
      <c r="J1108" s="947" t="s">
        <v>347</v>
      </c>
      <c r="K1108" s="947">
        <v>410381</v>
      </c>
      <c r="M1108" s="631"/>
      <c r="P1108" s="950" t="str">
        <f>VLOOKUP(J1108,'רשימת רשויות'!A:A,1,0)</f>
        <v>עמנואל</v>
      </c>
      <c r="Q1108" s="956">
        <f>IFERROR(VLOOKUP(B1108,[2]מעובד!$D:$K,8,0),0)</f>
        <v>68</v>
      </c>
      <c r="R1108" s="956">
        <f>IFERROR(VLOOKUP(B1108,[2]מעובד!$D:$L,9,0),0)</f>
        <v>68</v>
      </c>
    </row>
    <row r="1109" spans="1:18" x14ac:dyDescent="0.2">
      <c r="A1109" s="947" t="s">
        <v>221</v>
      </c>
      <c r="B1109" s="947">
        <v>410399</v>
      </c>
      <c r="C1109" s="947" t="s">
        <v>2189</v>
      </c>
      <c r="D1109" s="947" t="s">
        <v>1515</v>
      </c>
      <c r="E1109" s="951">
        <v>126</v>
      </c>
      <c r="F1109" s="951">
        <v>87</v>
      </c>
      <c r="G1109" s="947" t="s">
        <v>159</v>
      </c>
      <c r="H1109" s="951">
        <v>0</v>
      </c>
      <c r="I1109" s="951">
        <v>0</v>
      </c>
      <c r="J1109" s="947" t="s">
        <v>221</v>
      </c>
      <c r="K1109" s="947">
        <v>410399</v>
      </c>
      <c r="M1109" s="631"/>
      <c r="P1109" s="950" t="str">
        <f>VLOOKUP(J1109,'רשימת רשויות'!A:A,1,0)</f>
        <v>גן יבנה</v>
      </c>
      <c r="Q1109" s="956">
        <f>IFERROR(VLOOKUP(B1109,[2]מעובד!$D:$K,8,0),0)</f>
        <v>138</v>
      </c>
      <c r="R1109" s="956">
        <f>IFERROR(VLOOKUP(B1109,[2]מעובד!$D:$L,9,0),0)</f>
        <v>75</v>
      </c>
    </row>
    <row r="1110" spans="1:18" x14ac:dyDescent="0.2">
      <c r="A1110" s="947" t="s">
        <v>2777</v>
      </c>
      <c r="B1110" s="947">
        <v>410407</v>
      </c>
      <c r="C1110" s="947" t="s">
        <v>2189</v>
      </c>
      <c r="D1110" s="947" t="s">
        <v>1525</v>
      </c>
      <c r="E1110" s="951">
        <v>158</v>
      </c>
      <c r="F1110" s="951">
        <v>127</v>
      </c>
      <c r="G1110" s="947" t="s">
        <v>159</v>
      </c>
      <c r="H1110" s="951">
        <v>117</v>
      </c>
      <c r="I1110" s="951">
        <v>7</v>
      </c>
      <c r="J1110" s="947" t="s">
        <v>2777</v>
      </c>
      <c r="K1110" s="947">
        <v>410407</v>
      </c>
      <c r="M1110" s="631"/>
      <c r="P1110" s="950" t="str">
        <f>VLOOKUP(J1110,'רשימת רשויות'!A:A,1,0)</f>
        <v>גני תקווה</v>
      </c>
      <c r="Q1110" s="956">
        <f>IFERROR(VLOOKUP(B1110,[2]מעובד!$D:$K,8,0),0)</f>
        <v>198</v>
      </c>
      <c r="R1110" s="956">
        <f>IFERROR(VLOOKUP(B1110,[2]מעובד!$D:$L,9,0),0)</f>
        <v>120</v>
      </c>
    </row>
    <row r="1111" spans="1:18" x14ac:dyDescent="0.2">
      <c r="A1111" s="947" t="s">
        <v>2777</v>
      </c>
      <c r="B1111" s="947">
        <v>410415</v>
      </c>
      <c r="C1111" s="947" t="s">
        <v>2189</v>
      </c>
      <c r="D1111" s="947" t="s">
        <v>1590</v>
      </c>
      <c r="E1111" s="951">
        <v>98</v>
      </c>
      <c r="F1111" s="951">
        <v>72</v>
      </c>
      <c r="G1111" s="947" t="s">
        <v>159</v>
      </c>
      <c r="H1111" s="951">
        <v>0</v>
      </c>
      <c r="I1111" s="951">
        <v>0</v>
      </c>
      <c r="J1111" s="947" t="s">
        <v>2777</v>
      </c>
      <c r="K1111" s="947">
        <v>410415</v>
      </c>
      <c r="M1111" s="631"/>
      <c r="P1111" s="950" t="str">
        <f>VLOOKUP(J1111,'רשימת רשויות'!A:A,1,0)</f>
        <v>גני תקווה</v>
      </c>
      <c r="Q1111" s="956">
        <f>IFERROR(VLOOKUP(B1111,[2]מעובד!$D:$K,8,0),0)</f>
        <v>108</v>
      </c>
      <c r="R1111" s="956">
        <f>IFERROR(VLOOKUP(B1111,[2]מעובד!$D:$L,9,0),0)</f>
        <v>53</v>
      </c>
    </row>
    <row r="1112" spans="1:18" x14ac:dyDescent="0.2">
      <c r="A1112" s="947" t="s">
        <v>248</v>
      </c>
      <c r="B1112" s="947">
        <v>410431</v>
      </c>
      <c r="C1112" s="947" t="s">
        <v>2189</v>
      </c>
      <c r="D1112" s="947" t="s">
        <v>2411</v>
      </c>
      <c r="E1112" s="951">
        <v>196</v>
      </c>
      <c r="F1112" s="951">
        <v>109</v>
      </c>
      <c r="G1112" s="947" t="s">
        <v>159</v>
      </c>
      <c r="H1112" s="951">
        <v>0</v>
      </c>
      <c r="I1112" s="951">
        <v>0</v>
      </c>
      <c r="J1112" s="947" t="s">
        <v>248</v>
      </c>
      <c r="K1112" s="947">
        <v>410431</v>
      </c>
      <c r="M1112" s="631"/>
      <c r="P1112" s="950" t="str">
        <f>VLOOKUP(J1112,'רשימת רשויות'!A:A,1,0)</f>
        <v>חוף השרון</v>
      </c>
      <c r="Q1112" s="956">
        <f>IFERROR(VLOOKUP(B1112,[2]מעובד!$D:$K,8,0),0)</f>
        <v>122</v>
      </c>
      <c r="R1112" s="956">
        <f>IFERROR(VLOOKUP(B1112,[2]מעובד!$D:$L,9,0),0)</f>
        <v>46</v>
      </c>
    </row>
    <row r="1113" spans="1:18" x14ac:dyDescent="0.2">
      <c r="A1113" s="947" t="s">
        <v>231</v>
      </c>
      <c r="B1113" s="947">
        <v>410456</v>
      </c>
      <c r="C1113" s="947" t="s">
        <v>2189</v>
      </c>
      <c r="D1113" s="947" t="s">
        <v>1526</v>
      </c>
      <c r="E1113" s="951">
        <v>156</v>
      </c>
      <c r="F1113" s="951">
        <v>69</v>
      </c>
      <c r="G1113" s="947" t="s">
        <v>159</v>
      </c>
      <c r="H1113" s="951">
        <v>156</v>
      </c>
      <c r="I1113" s="951">
        <v>9</v>
      </c>
      <c r="J1113" s="947" t="s">
        <v>231</v>
      </c>
      <c r="K1113" s="947">
        <v>410456</v>
      </c>
      <c r="M1113" s="631"/>
      <c r="P1113" s="950" t="str">
        <f>VLOOKUP(J1113,'רשימת רשויות'!A:A,1,0)</f>
        <v>הוד השרון</v>
      </c>
      <c r="Q1113" s="956">
        <f>IFERROR(VLOOKUP(B1113,[2]מעובד!$D:$K,8,0),0)</f>
        <v>201</v>
      </c>
      <c r="R1113" s="956">
        <f>IFERROR(VLOOKUP(B1113,[2]מעובד!$D:$L,9,0),0)</f>
        <v>58</v>
      </c>
    </row>
    <row r="1114" spans="1:18" x14ac:dyDescent="0.2">
      <c r="A1114" s="947" t="s">
        <v>231</v>
      </c>
      <c r="B1114" s="947">
        <v>410464</v>
      </c>
      <c r="C1114" s="947" t="s">
        <v>2189</v>
      </c>
      <c r="D1114" s="947" t="s">
        <v>1527</v>
      </c>
      <c r="E1114" s="951">
        <v>155</v>
      </c>
      <c r="F1114" s="951">
        <v>105</v>
      </c>
      <c r="G1114" s="947" t="s">
        <v>159</v>
      </c>
      <c r="H1114" s="951">
        <v>0</v>
      </c>
      <c r="I1114" s="951">
        <v>0</v>
      </c>
      <c r="J1114" s="947" t="s">
        <v>231</v>
      </c>
      <c r="K1114" s="947">
        <v>410464</v>
      </c>
      <c r="M1114" s="631"/>
      <c r="P1114" s="950" t="str">
        <f>VLOOKUP(J1114,'רשימת רשויות'!A:A,1,0)</f>
        <v>הוד השרון</v>
      </c>
      <c r="Q1114" s="956">
        <f>IFERROR(VLOOKUP(B1114,[2]מעובד!$D:$K,8,0),0)</f>
        <v>132</v>
      </c>
      <c r="R1114" s="956">
        <f>IFERROR(VLOOKUP(B1114,[2]מעובד!$D:$L,9,0),0)</f>
        <v>41</v>
      </c>
    </row>
    <row r="1115" spans="1:18" x14ac:dyDescent="0.2">
      <c r="A1115" s="947" t="s">
        <v>347</v>
      </c>
      <c r="B1115" s="947">
        <v>410472</v>
      </c>
      <c r="C1115" s="947" t="s">
        <v>2189</v>
      </c>
      <c r="D1115" s="947" t="s">
        <v>1528</v>
      </c>
      <c r="E1115" s="951">
        <v>41</v>
      </c>
      <c r="F1115" s="951">
        <v>40</v>
      </c>
      <c r="G1115" s="947" t="s">
        <v>3252</v>
      </c>
      <c r="H1115" s="951">
        <v>0</v>
      </c>
      <c r="I1115" s="951">
        <v>0</v>
      </c>
      <c r="J1115" s="947" t="s">
        <v>347</v>
      </c>
      <c r="K1115" s="947">
        <v>410472</v>
      </c>
      <c r="M1115" s="631"/>
      <c r="P1115" s="950" t="str">
        <f>VLOOKUP(J1115,'רשימת רשויות'!A:A,1,0)</f>
        <v>עמנואל</v>
      </c>
      <c r="Q1115" s="956">
        <f>IFERROR(VLOOKUP(B1115,[2]מעובד!$D:$K,8,0),0)</f>
        <v>0</v>
      </c>
      <c r="R1115" s="956">
        <f>IFERROR(VLOOKUP(B1115,[2]מעובד!$D:$L,9,0),0)</f>
        <v>0</v>
      </c>
    </row>
    <row r="1116" spans="1:18" x14ac:dyDescent="0.2">
      <c r="A1116" s="947" t="s">
        <v>197</v>
      </c>
      <c r="B1116" s="947">
        <v>410522</v>
      </c>
      <c r="C1116" s="947" t="s">
        <v>2189</v>
      </c>
      <c r="D1116" s="947" t="s">
        <v>1541</v>
      </c>
      <c r="E1116" s="951">
        <v>102</v>
      </c>
      <c r="F1116" s="951">
        <v>83</v>
      </c>
      <c r="G1116" s="947" t="s">
        <v>3252</v>
      </c>
      <c r="H1116" s="951">
        <v>75</v>
      </c>
      <c r="I1116" s="951">
        <v>19</v>
      </c>
      <c r="J1116" s="947" t="s">
        <v>197</v>
      </c>
      <c r="K1116" s="947">
        <v>410522</v>
      </c>
      <c r="M1116" s="631"/>
      <c r="P1116" s="950" t="str">
        <f>VLOOKUP(J1116,'רשימת רשויות'!A:A,1,0)</f>
        <v>ביתר עילית</v>
      </c>
      <c r="Q1116" s="956">
        <f>IFERROR(VLOOKUP(B1116,[2]מעובד!$D:$K,8,0),0)</f>
        <v>0</v>
      </c>
      <c r="R1116" s="956">
        <f>IFERROR(VLOOKUP(B1116,[2]מעובד!$D:$L,9,0),0)</f>
        <v>0</v>
      </c>
    </row>
    <row r="1117" spans="1:18" x14ac:dyDescent="0.2">
      <c r="A1117" s="947" t="s">
        <v>302</v>
      </c>
      <c r="B1117" s="947">
        <v>410530</v>
      </c>
      <c r="C1117" s="947" t="s">
        <v>2189</v>
      </c>
      <c r="D1117" s="947" t="s">
        <v>1542</v>
      </c>
      <c r="E1117" s="951">
        <v>149</v>
      </c>
      <c r="F1117" s="951">
        <v>120</v>
      </c>
      <c r="G1117" s="947" t="s">
        <v>159</v>
      </c>
      <c r="H1117" s="951">
        <v>55</v>
      </c>
      <c r="I1117" s="951">
        <v>7</v>
      </c>
      <c r="J1117" s="947" t="s">
        <v>302</v>
      </c>
      <c r="K1117" s="947">
        <v>410530</v>
      </c>
      <c r="M1117" s="631"/>
      <c r="P1117" s="950" t="str">
        <f>VLOOKUP(J1117,'רשימת רשויות'!A:A,1,0)</f>
        <v>מגדל העמק</v>
      </c>
      <c r="Q1117" s="956">
        <f>IFERROR(VLOOKUP(B1117,[2]מעובד!$D:$K,8,0),0)</f>
        <v>107</v>
      </c>
      <c r="R1117" s="956">
        <f>IFERROR(VLOOKUP(B1117,[2]מעובד!$D:$L,9,0),0)</f>
        <v>73</v>
      </c>
    </row>
    <row r="1118" spans="1:18" x14ac:dyDescent="0.2">
      <c r="A1118" s="947" t="s">
        <v>175</v>
      </c>
      <c r="B1118" s="947">
        <v>410555</v>
      </c>
      <c r="C1118" s="947" t="s">
        <v>2189</v>
      </c>
      <c r="D1118" s="947" t="s">
        <v>1543</v>
      </c>
      <c r="E1118" s="951">
        <v>74</v>
      </c>
      <c r="F1118" s="951">
        <v>72</v>
      </c>
      <c r="G1118" s="947" t="s">
        <v>3252</v>
      </c>
      <c r="H1118" s="951">
        <v>0</v>
      </c>
      <c r="I1118" s="951">
        <v>0</v>
      </c>
      <c r="J1118" s="947" t="s">
        <v>175</v>
      </c>
      <c r="K1118" s="947">
        <v>410555</v>
      </c>
      <c r="M1118" s="631"/>
      <c r="P1118" s="950" t="str">
        <f>VLOOKUP(J1118,'רשימת רשויות'!A:A,1,0)</f>
        <v>אלעד</v>
      </c>
      <c r="Q1118" s="956">
        <f>IFERROR(VLOOKUP(B1118,[2]מעובד!$D:$K,8,0),0)</f>
        <v>0</v>
      </c>
      <c r="R1118" s="956">
        <f>IFERROR(VLOOKUP(B1118,[2]מעובד!$D:$L,9,0),0)</f>
        <v>0</v>
      </c>
    </row>
    <row r="1119" spans="1:18" x14ac:dyDescent="0.2">
      <c r="A1119" s="947" t="s">
        <v>270</v>
      </c>
      <c r="B1119" s="947">
        <v>410571</v>
      </c>
      <c r="C1119" s="947" t="s">
        <v>2189</v>
      </c>
      <c r="D1119" s="947" t="s">
        <v>3022</v>
      </c>
      <c r="E1119" s="951">
        <v>126</v>
      </c>
      <c r="F1119" s="951">
        <v>0</v>
      </c>
      <c r="G1119" s="947" t="s">
        <v>3252</v>
      </c>
      <c r="H1119" s="951">
        <v>0</v>
      </c>
      <c r="I1119" s="951">
        <v>0</v>
      </c>
      <c r="J1119" s="947" t="s">
        <v>270</v>
      </c>
      <c r="K1119" s="947">
        <v>410571</v>
      </c>
      <c r="M1119" s="631"/>
      <c r="P1119" s="950" t="str">
        <f>VLOOKUP(J1119,'רשימת רשויות'!A:A,1,0)</f>
        <v>ירושלים</v>
      </c>
      <c r="Q1119" s="956">
        <f>IFERROR(VLOOKUP(B1119,[2]מעובד!$D:$K,8,0),0)</f>
        <v>0</v>
      </c>
      <c r="R1119" s="956">
        <f>IFERROR(VLOOKUP(B1119,[2]מעובד!$D:$L,9,0),0)</f>
        <v>0</v>
      </c>
    </row>
    <row r="1120" spans="1:18" x14ac:dyDescent="0.2">
      <c r="A1120" s="947" t="s">
        <v>330</v>
      </c>
      <c r="B1120" s="947">
        <v>410589</v>
      </c>
      <c r="C1120" s="947" t="s">
        <v>2189</v>
      </c>
      <c r="D1120" s="947" t="s">
        <v>2412</v>
      </c>
      <c r="E1120" s="951">
        <v>93</v>
      </c>
      <c r="F1120" s="951">
        <v>80</v>
      </c>
      <c r="G1120" s="947" t="s">
        <v>159</v>
      </c>
      <c r="H1120" s="951">
        <v>0</v>
      </c>
      <c r="I1120" s="951">
        <v>0</v>
      </c>
      <c r="J1120" s="947" t="s">
        <v>330</v>
      </c>
      <c r="K1120" s="947">
        <v>410589</v>
      </c>
      <c r="M1120" s="631"/>
      <c r="P1120" s="950" t="str">
        <f>VLOOKUP(J1120,'רשימת רשויות'!A:A,1,0)</f>
        <v>נחל שורק</v>
      </c>
      <c r="Q1120" s="956">
        <f>IFERROR(VLOOKUP(B1120,[2]מעובד!$D:$K,8,0),0)</f>
        <v>119</v>
      </c>
      <c r="R1120" s="956">
        <f>IFERROR(VLOOKUP(B1120,[2]מעובד!$D:$L,9,0),0)</f>
        <v>104</v>
      </c>
    </row>
    <row r="1121" spans="1:18" x14ac:dyDescent="0.2">
      <c r="A1121" s="947" t="s">
        <v>263</v>
      </c>
      <c r="B1121" s="947">
        <v>410605</v>
      </c>
      <c r="C1121" s="947" t="s">
        <v>2189</v>
      </c>
      <c r="D1121" s="947" t="s">
        <v>559</v>
      </c>
      <c r="E1121" s="951">
        <v>277</v>
      </c>
      <c r="F1121" s="951">
        <v>271</v>
      </c>
      <c r="G1121" s="947" t="s">
        <v>159</v>
      </c>
      <c r="H1121" s="951">
        <v>77</v>
      </c>
      <c r="I1121" s="951">
        <v>6</v>
      </c>
      <c r="J1121" s="947" t="s">
        <v>263</v>
      </c>
      <c r="K1121" s="947">
        <v>410605</v>
      </c>
      <c r="M1121" s="631"/>
      <c r="P1121" s="950" t="str">
        <f>VLOOKUP(J1121,'רשימת רשויות'!A:A,1,0)</f>
        <v>יהוד נווה אפרים</v>
      </c>
      <c r="Q1121" s="956">
        <f>IFERROR(VLOOKUP(B1121,[2]מעובד!$D:$K,8,0),0)</f>
        <v>128</v>
      </c>
      <c r="R1121" s="956">
        <f>IFERROR(VLOOKUP(B1121,[2]מעובד!$D:$L,9,0),0)</f>
        <v>57</v>
      </c>
    </row>
    <row r="1122" spans="1:18" x14ac:dyDescent="0.2">
      <c r="A1122" s="947" t="s">
        <v>263</v>
      </c>
      <c r="B1122" s="947">
        <v>410621</v>
      </c>
      <c r="C1122" s="947" t="s">
        <v>2189</v>
      </c>
      <c r="D1122" s="947" t="s">
        <v>2181</v>
      </c>
      <c r="E1122" s="951">
        <v>184</v>
      </c>
      <c r="F1122" s="951">
        <v>184</v>
      </c>
      <c r="G1122" s="947" t="s">
        <v>159</v>
      </c>
      <c r="H1122" s="951">
        <v>0</v>
      </c>
      <c r="I1122" s="951">
        <v>0</v>
      </c>
      <c r="J1122" s="947" t="s">
        <v>263</v>
      </c>
      <c r="K1122" s="947">
        <v>410621</v>
      </c>
      <c r="M1122" s="631"/>
      <c r="P1122" s="950" t="str">
        <f>VLOOKUP(J1122,'רשימת רשויות'!A:A,1,0)</f>
        <v>יהוד נווה אפרים</v>
      </c>
      <c r="Q1122" s="956">
        <f>IFERROR(VLOOKUP(B1122,[2]מעובד!$D:$K,8,0),0)</f>
        <v>220</v>
      </c>
      <c r="R1122" s="956">
        <f>IFERROR(VLOOKUP(B1122,[2]מעובד!$D:$L,9,0),0)</f>
        <v>68</v>
      </c>
    </row>
    <row r="1123" spans="1:18" x14ac:dyDescent="0.2">
      <c r="A1123" s="947" t="s">
        <v>263</v>
      </c>
      <c r="B1123" s="947">
        <v>410639</v>
      </c>
      <c r="C1123" s="947" t="s">
        <v>2189</v>
      </c>
      <c r="D1123" s="947" t="s">
        <v>2055</v>
      </c>
      <c r="E1123" s="951">
        <v>170</v>
      </c>
      <c r="F1123" s="951">
        <v>150</v>
      </c>
      <c r="G1123" s="947" t="s">
        <v>159</v>
      </c>
      <c r="H1123" s="951">
        <v>104</v>
      </c>
      <c r="I1123" s="951">
        <v>20</v>
      </c>
      <c r="J1123" s="947" t="s">
        <v>263</v>
      </c>
      <c r="K1123" s="947">
        <v>410639</v>
      </c>
      <c r="M1123" s="631"/>
      <c r="P1123" s="950" t="str">
        <f>VLOOKUP(J1123,'רשימת רשויות'!A:A,1,0)</f>
        <v>יהוד נווה אפרים</v>
      </c>
      <c r="Q1123" s="956">
        <f>IFERROR(VLOOKUP(B1123,[2]מעובד!$D:$K,8,0),0)</f>
        <v>129</v>
      </c>
      <c r="R1123" s="956">
        <f>IFERROR(VLOOKUP(B1123,[2]מעובד!$D:$L,9,0),0)</f>
        <v>120</v>
      </c>
    </row>
    <row r="1124" spans="1:18" x14ac:dyDescent="0.2">
      <c r="A1124" s="947" t="s">
        <v>401</v>
      </c>
      <c r="B1124" s="947">
        <v>410647</v>
      </c>
      <c r="C1124" s="947" t="s">
        <v>2189</v>
      </c>
      <c r="D1124" s="947" t="s">
        <v>1560</v>
      </c>
      <c r="E1124" s="951">
        <v>65</v>
      </c>
      <c r="F1124" s="951">
        <v>34</v>
      </c>
      <c r="G1124" s="947" t="s">
        <v>159</v>
      </c>
      <c r="H1124" s="951">
        <v>0</v>
      </c>
      <c r="I1124" s="951">
        <v>0</v>
      </c>
      <c r="J1124" s="947" t="s">
        <v>401</v>
      </c>
      <c r="K1124" s="957" t="s">
        <v>3290</v>
      </c>
      <c r="M1124" s="631"/>
      <c r="P1124" s="950" t="str">
        <f>VLOOKUP(J1124,'רשימת רשויות'!A:A,1,0)</f>
        <v>שוהם</v>
      </c>
      <c r="Q1124" s="956">
        <f>IFERROR(VLOOKUP(B1124,[2]מעובד!$D:$K,8,0),0)</f>
        <v>0</v>
      </c>
      <c r="R1124" s="956">
        <f>IFERROR(VLOOKUP(B1124,[2]מעובד!$D:$L,9,0),0)</f>
        <v>0</v>
      </c>
    </row>
    <row r="1125" spans="1:18" x14ac:dyDescent="0.2">
      <c r="A1125" s="947" t="s">
        <v>306</v>
      </c>
      <c r="B1125" s="947">
        <v>410654</v>
      </c>
      <c r="C1125" s="947" t="s">
        <v>2189</v>
      </c>
      <c r="D1125" s="947" t="s">
        <v>2729</v>
      </c>
      <c r="E1125" s="951">
        <v>453</v>
      </c>
      <c r="F1125" s="951">
        <v>427</v>
      </c>
      <c r="G1125" s="947" t="s">
        <v>3252</v>
      </c>
      <c r="H1125" s="951">
        <v>453</v>
      </c>
      <c r="I1125" s="951">
        <v>26</v>
      </c>
      <c r="J1125" s="947" t="s">
        <v>306</v>
      </c>
      <c r="K1125" s="947">
        <v>410654</v>
      </c>
      <c r="M1125" s="631"/>
      <c r="P1125" s="950" t="str">
        <f>VLOOKUP(J1125,'רשימת רשויות'!A:A,1,0)</f>
        <v>מודיעין עילית</v>
      </c>
      <c r="Q1125" s="956">
        <f>IFERROR(VLOOKUP(B1125,[2]מעובד!$D:$K,8,0),0)</f>
        <v>447</v>
      </c>
      <c r="R1125" s="956">
        <f>IFERROR(VLOOKUP(B1125,[2]מעובד!$D:$L,9,0),0)</f>
        <v>41</v>
      </c>
    </row>
    <row r="1126" spans="1:18" x14ac:dyDescent="0.2">
      <c r="A1126" s="947" t="s">
        <v>330</v>
      </c>
      <c r="B1126" s="947">
        <v>410662</v>
      </c>
      <c r="C1126" s="947" t="s">
        <v>2189</v>
      </c>
      <c r="D1126" s="947" t="s">
        <v>1567</v>
      </c>
      <c r="E1126" s="951">
        <v>84</v>
      </c>
      <c r="F1126" s="951">
        <v>75</v>
      </c>
      <c r="G1126" s="947" t="s">
        <v>159</v>
      </c>
      <c r="H1126" s="951">
        <v>0</v>
      </c>
      <c r="I1126" s="951">
        <v>0</v>
      </c>
      <c r="J1126" s="947" t="s">
        <v>330</v>
      </c>
      <c r="K1126" s="947">
        <v>410662</v>
      </c>
      <c r="M1126" s="631"/>
      <c r="P1126" s="950" t="str">
        <f>VLOOKUP(J1126,'רשימת רשויות'!A:A,1,0)</f>
        <v>נחל שורק</v>
      </c>
      <c r="Q1126" s="956">
        <f>IFERROR(VLOOKUP(B1126,[2]מעובד!$D:$K,8,0),0)</f>
        <v>83</v>
      </c>
      <c r="R1126" s="956">
        <f>IFERROR(VLOOKUP(B1126,[2]מעובד!$D:$L,9,0),0)</f>
        <v>55</v>
      </c>
    </row>
    <row r="1127" spans="1:18" x14ac:dyDescent="0.2">
      <c r="A1127" s="947" t="s">
        <v>306</v>
      </c>
      <c r="B1127" s="947">
        <v>410670</v>
      </c>
      <c r="C1127" s="947" t="s">
        <v>2189</v>
      </c>
      <c r="D1127" s="947" t="s">
        <v>1568</v>
      </c>
      <c r="E1127" s="951">
        <v>198</v>
      </c>
      <c r="F1127" s="951">
        <v>176</v>
      </c>
      <c r="G1127" s="947" t="s">
        <v>3252</v>
      </c>
      <c r="H1127" s="951">
        <v>135</v>
      </c>
      <c r="I1127" s="951">
        <v>15</v>
      </c>
      <c r="J1127" s="947" t="s">
        <v>306</v>
      </c>
      <c r="K1127" s="947">
        <v>410670</v>
      </c>
      <c r="M1127" s="631"/>
      <c r="P1127" s="950" t="str">
        <f>VLOOKUP(J1127,'רשימת רשויות'!A:A,1,0)</f>
        <v>מודיעין עילית</v>
      </c>
      <c r="Q1127" s="956">
        <f>IFERROR(VLOOKUP(B1127,[2]מעובד!$D:$K,8,0),0)</f>
        <v>114</v>
      </c>
      <c r="R1127" s="956">
        <f>IFERROR(VLOOKUP(B1127,[2]מעובד!$D:$L,9,0),0)</f>
        <v>114</v>
      </c>
    </row>
    <row r="1128" spans="1:18" x14ac:dyDescent="0.2">
      <c r="A1128" s="947" t="s">
        <v>363</v>
      </c>
      <c r="B1128" s="947">
        <v>410712</v>
      </c>
      <c r="C1128" s="947" t="s">
        <v>2189</v>
      </c>
      <c r="D1128" s="947" t="s">
        <v>694</v>
      </c>
      <c r="E1128" s="951">
        <v>217</v>
      </c>
      <c r="F1128" s="951">
        <v>187</v>
      </c>
      <c r="G1128" s="947" t="s">
        <v>159</v>
      </c>
      <c r="H1128" s="951">
        <v>0</v>
      </c>
      <c r="I1128" s="951">
        <v>0</v>
      </c>
      <c r="J1128" s="947" t="s">
        <v>363</v>
      </c>
      <c r="K1128" s="947">
        <v>410712</v>
      </c>
      <c r="M1128" s="631"/>
      <c r="P1128" s="950" t="str">
        <f>VLOOKUP(J1128,'רשימת רשויות'!A:A,1,0)</f>
        <v>פתח תקוה</v>
      </c>
      <c r="Q1128" s="956">
        <f>IFERROR(VLOOKUP(B1128,[2]מעובד!$D:$K,8,0),0)</f>
        <v>227</v>
      </c>
      <c r="R1128" s="956">
        <f>IFERROR(VLOOKUP(B1128,[2]מעובד!$D:$L,9,0),0)</f>
        <v>68</v>
      </c>
    </row>
    <row r="1129" spans="1:18" x14ac:dyDescent="0.2">
      <c r="A1129" s="947" t="s">
        <v>350</v>
      </c>
      <c r="B1129" s="947">
        <v>410720</v>
      </c>
      <c r="C1129" s="947" t="s">
        <v>2189</v>
      </c>
      <c r="D1129" s="947" t="s">
        <v>2217</v>
      </c>
      <c r="E1129" s="951">
        <v>119</v>
      </c>
      <c r="F1129" s="951">
        <v>101</v>
      </c>
      <c r="G1129" s="947" t="s">
        <v>159</v>
      </c>
      <c r="H1129" s="951">
        <v>0</v>
      </c>
      <c r="I1129" s="951">
        <v>0</v>
      </c>
      <c r="J1129" s="947" t="s">
        <v>350</v>
      </c>
      <c r="K1129" s="947">
        <v>410720</v>
      </c>
      <c r="M1129" s="631"/>
      <c r="P1129" s="950" t="str">
        <f>VLOOKUP(J1129,'רשימת רשויות'!A:A,1,0)</f>
        <v>עמק חפר</v>
      </c>
      <c r="Q1129" s="956">
        <f>IFERROR(VLOOKUP(B1129,[2]מעובד!$D:$K,8,0),0)</f>
        <v>0</v>
      </c>
      <c r="R1129" s="956">
        <f>IFERROR(VLOOKUP(B1129,[2]מעובד!$D:$L,9,0),0)</f>
        <v>0</v>
      </c>
    </row>
    <row r="1130" spans="1:18" x14ac:dyDescent="0.2">
      <c r="A1130" s="947" t="s">
        <v>350</v>
      </c>
      <c r="B1130" s="947">
        <v>410738</v>
      </c>
      <c r="C1130" s="947" t="s">
        <v>2189</v>
      </c>
      <c r="D1130" s="947" t="s">
        <v>1582</v>
      </c>
      <c r="E1130" s="951">
        <v>262</v>
      </c>
      <c r="F1130" s="951">
        <v>190</v>
      </c>
      <c r="G1130" s="947" t="s">
        <v>159</v>
      </c>
      <c r="H1130" s="951">
        <v>0</v>
      </c>
      <c r="I1130" s="951">
        <v>0</v>
      </c>
      <c r="J1130" s="947" t="s">
        <v>350</v>
      </c>
      <c r="K1130" s="947">
        <v>410738</v>
      </c>
      <c r="M1130" s="631"/>
      <c r="P1130" s="950" t="str">
        <f>VLOOKUP(J1130,'רשימת רשויות'!A:A,1,0)</f>
        <v>עמק חפר</v>
      </c>
      <c r="Q1130" s="956">
        <f>IFERROR(VLOOKUP(B1130,[2]מעובד!$D:$K,8,0),0)</f>
        <v>0</v>
      </c>
      <c r="R1130" s="956">
        <f>IFERROR(VLOOKUP(B1130,[2]מעובד!$D:$L,9,0),0)</f>
        <v>0</v>
      </c>
    </row>
    <row r="1131" spans="1:18" x14ac:dyDescent="0.2">
      <c r="A1131" s="947" t="s">
        <v>398</v>
      </c>
      <c r="B1131" s="947">
        <v>410746</v>
      </c>
      <c r="C1131" s="947" t="s">
        <v>2189</v>
      </c>
      <c r="D1131" s="947" t="s">
        <v>3023</v>
      </c>
      <c r="E1131" s="951">
        <v>72</v>
      </c>
      <c r="F1131" s="951">
        <v>70</v>
      </c>
      <c r="G1131" s="947" t="s">
        <v>159</v>
      </c>
      <c r="H1131" s="951">
        <v>0</v>
      </c>
      <c r="I1131" s="951">
        <v>0</v>
      </c>
      <c r="J1131" s="947" t="s">
        <v>398</v>
      </c>
      <c r="K1131" s="947">
        <v>410746</v>
      </c>
      <c r="M1131" s="631"/>
      <c r="P1131" s="950" t="str">
        <f>VLOOKUP(J1131,'רשימת רשויות'!A:A,1,0)</f>
        <v>שדות דן</v>
      </c>
      <c r="Q1131" s="956">
        <f>IFERROR(VLOOKUP(B1131,[2]מעובד!$D:$K,8,0),0)</f>
        <v>63</v>
      </c>
      <c r="R1131" s="956">
        <f>IFERROR(VLOOKUP(B1131,[2]מעובד!$D:$L,9,0),0)</f>
        <v>62</v>
      </c>
    </row>
    <row r="1132" spans="1:18" x14ac:dyDescent="0.2">
      <c r="A1132" s="947" t="s">
        <v>262</v>
      </c>
      <c r="B1132" s="947">
        <v>410779</v>
      </c>
      <c r="C1132" s="947" t="s">
        <v>2189</v>
      </c>
      <c r="D1132" s="947" t="s">
        <v>435</v>
      </c>
      <c r="E1132" s="951">
        <v>146</v>
      </c>
      <c r="F1132" s="951">
        <v>125</v>
      </c>
      <c r="G1132" s="947" t="s">
        <v>159</v>
      </c>
      <c r="H1132" s="951">
        <v>0</v>
      </c>
      <c r="I1132" s="951">
        <v>0</v>
      </c>
      <c r="J1132" s="947" t="s">
        <v>262</v>
      </c>
      <c r="K1132" s="947">
        <v>410779</v>
      </c>
      <c r="M1132" s="631"/>
      <c r="P1132" s="950" t="str">
        <f>VLOOKUP(J1132,'רשימת רשויות'!A:A,1,0)</f>
        <v>יבנה</v>
      </c>
      <c r="Q1132" s="956">
        <f>IFERROR(VLOOKUP(B1132,[2]מעובד!$D:$K,8,0),0)</f>
        <v>156</v>
      </c>
      <c r="R1132" s="956">
        <f>IFERROR(VLOOKUP(B1132,[2]מעובד!$D:$L,9,0),0)</f>
        <v>55</v>
      </c>
    </row>
    <row r="1133" spans="1:18" x14ac:dyDescent="0.2">
      <c r="A1133" s="947" t="s">
        <v>262</v>
      </c>
      <c r="B1133" s="947">
        <v>410787</v>
      </c>
      <c r="C1133" s="947" t="s">
        <v>2189</v>
      </c>
      <c r="D1133" s="947" t="s">
        <v>1583</v>
      </c>
      <c r="E1133" s="951">
        <v>226</v>
      </c>
      <c r="F1133" s="951">
        <v>165</v>
      </c>
      <c r="G1133" s="947" t="s">
        <v>159</v>
      </c>
      <c r="H1133" s="951">
        <v>82</v>
      </c>
      <c r="I1133" s="951">
        <v>8</v>
      </c>
      <c r="J1133" s="947" t="s">
        <v>262</v>
      </c>
      <c r="K1133" s="947">
        <v>410787</v>
      </c>
      <c r="M1133" s="631"/>
      <c r="P1133" s="950" t="str">
        <f>VLOOKUP(J1133,'רשימת רשויות'!A:A,1,0)</f>
        <v>יבנה</v>
      </c>
      <c r="Q1133" s="956">
        <f>IFERROR(VLOOKUP(B1133,[2]מעובד!$D:$K,8,0),0)</f>
        <v>285</v>
      </c>
      <c r="R1133" s="956">
        <f>IFERROR(VLOOKUP(B1133,[2]מעובד!$D:$L,9,0),0)</f>
        <v>85</v>
      </c>
    </row>
    <row r="1134" spans="1:18" x14ac:dyDescent="0.2">
      <c r="A1134" s="947" t="s">
        <v>262</v>
      </c>
      <c r="B1134" s="947">
        <v>410795</v>
      </c>
      <c r="C1134" s="947" t="s">
        <v>2189</v>
      </c>
      <c r="D1134" s="947" t="s">
        <v>3024</v>
      </c>
      <c r="E1134" s="951">
        <v>89</v>
      </c>
      <c r="F1134" s="951">
        <v>40</v>
      </c>
      <c r="G1134" s="947" t="s">
        <v>159</v>
      </c>
      <c r="H1134" s="951">
        <v>73</v>
      </c>
      <c r="I1134" s="951">
        <v>0</v>
      </c>
      <c r="J1134" s="947" t="s">
        <v>262</v>
      </c>
      <c r="K1134" s="957" t="s">
        <v>3291</v>
      </c>
      <c r="M1134" s="631"/>
      <c r="P1134" s="950" t="str">
        <f>VLOOKUP(J1134,'רשימת רשויות'!A:A,1,0)</f>
        <v>יבנה</v>
      </c>
      <c r="Q1134" s="956">
        <f>IFERROR(VLOOKUP(B1134,[2]מעובד!$D:$K,8,0),0)</f>
        <v>0</v>
      </c>
      <c r="R1134" s="956">
        <f>IFERROR(VLOOKUP(B1134,[2]מעובד!$D:$L,9,0),0)</f>
        <v>0</v>
      </c>
    </row>
    <row r="1135" spans="1:18" x14ac:dyDescent="0.2">
      <c r="A1135" s="947" t="s">
        <v>281</v>
      </c>
      <c r="B1135" s="947">
        <v>410811</v>
      </c>
      <c r="C1135" s="947" t="s">
        <v>2189</v>
      </c>
      <c r="D1135" s="947" t="s">
        <v>1598</v>
      </c>
      <c r="E1135" s="951">
        <v>188</v>
      </c>
      <c r="F1135" s="951">
        <v>78</v>
      </c>
      <c r="G1135" s="947" t="s">
        <v>159</v>
      </c>
      <c r="H1135" s="951">
        <v>57</v>
      </c>
      <c r="I1135" s="951">
        <v>2</v>
      </c>
      <c r="J1135" s="947" t="s">
        <v>281</v>
      </c>
      <c r="K1135" s="947">
        <v>410811</v>
      </c>
      <c r="M1135" s="631"/>
      <c r="P1135" s="950" t="str">
        <f>VLOOKUP(J1135,'רשימת רשויות'!A:A,1,0)</f>
        <v>כפר יונה</v>
      </c>
      <c r="Q1135" s="956">
        <f>IFERROR(VLOOKUP(B1135,[2]מעובד!$D:$K,8,0),0)</f>
        <v>188</v>
      </c>
      <c r="R1135" s="956">
        <f>IFERROR(VLOOKUP(B1135,[2]מעובד!$D:$L,9,0),0)</f>
        <v>48</v>
      </c>
    </row>
    <row r="1136" spans="1:18" x14ac:dyDescent="0.2">
      <c r="A1136" s="947" t="s">
        <v>281</v>
      </c>
      <c r="B1136" s="947">
        <v>410829</v>
      </c>
      <c r="C1136" s="947" t="s">
        <v>2189</v>
      </c>
      <c r="D1136" s="947" t="s">
        <v>1585</v>
      </c>
      <c r="E1136" s="951">
        <v>142</v>
      </c>
      <c r="F1136" s="951">
        <v>78</v>
      </c>
      <c r="G1136" s="947" t="s">
        <v>159</v>
      </c>
      <c r="H1136" s="951">
        <v>48</v>
      </c>
      <c r="I1136" s="951">
        <v>3</v>
      </c>
      <c r="J1136" s="947" t="s">
        <v>281</v>
      </c>
      <c r="K1136" s="947">
        <v>410829</v>
      </c>
      <c r="M1136" s="631"/>
      <c r="P1136" s="950" t="str">
        <f>VLOOKUP(J1136,'רשימת רשויות'!A:A,1,0)</f>
        <v>כפר יונה</v>
      </c>
      <c r="Q1136" s="956">
        <f>IFERROR(VLOOKUP(B1136,[2]מעובד!$D:$K,8,0),0)</f>
        <v>127</v>
      </c>
      <c r="R1136" s="956">
        <f>IFERROR(VLOOKUP(B1136,[2]מעובד!$D:$L,9,0),0)</f>
        <v>57</v>
      </c>
    </row>
    <row r="1137" spans="1:18" x14ac:dyDescent="0.2">
      <c r="A1137" s="948" t="s">
        <v>291</v>
      </c>
      <c r="B1137" s="948">
        <v>410837</v>
      </c>
      <c r="C1137" s="948" t="s">
        <v>2189</v>
      </c>
      <c r="D1137" s="948" t="s">
        <v>2425</v>
      </c>
      <c r="E1137" s="951">
        <v>85</v>
      </c>
      <c r="F1137" s="951">
        <v>66</v>
      </c>
      <c r="G1137" s="948" t="s">
        <v>159</v>
      </c>
      <c r="H1137" s="951">
        <v>0</v>
      </c>
      <c r="I1137" s="951">
        <v>0</v>
      </c>
      <c r="J1137" s="948" t="s">
        <v>291</v>
      </c>
      <c r="K1137" s="948">
        <v>410837</v>
      </c>
      <c r="M1137" s="633"/>
      <c r="P1137" s="950" t="str">
        <f>VLOOKUP(J1137,'רשימת רשויות'!A:A,1,0)</f>
        <v>לב השרון</v>
      </c>
      <c r="Q1137" s="956">
        <f>IFERROR(VLOOKUP(B1137,[2]מעובד!$D:$K,8,0),0)</f>
        <v>87</v>
      </c>
      <c r="R1137" s="956">
        <f>IFERROR(VLOOKUP(B1137,[2]מעובד!$D:$L,9,0),0)</f>
        <v>48</v>
      </c>
    </row>
    <row r="1138" spans="1:18" x14ac:dyDescent="0.2">
      <c r="A1138" s="947" t="s">
        <v>227</v>
      </c>
      <c r="B1138" s="947">
        <v>410845</v>
      </c>
      <c r="C1138" s="947" t="s">
        <v>2189</v>
      </c>
      <c r="D1138" s="947" t="s">
        <v>1599</v>
      </c>
      <c r="E1138" s="951">
        <v>178</v>
      </c>
      <c r="F1138" s="951">
        <v>98</v>
      </c>
      <c r="G1138" s="947" t="s">
        <v>159</v>
      </c>
      <c r="H1138" s="951">
        <v>0</v>
      </c>
      <c r="I1138" s="951">
        <v>0</v>
      </c>
      <c r="J1138" s="947" t="s">
        <v>227</v>
      </c>
      <c r="K1138" s="947">
        <v>410845</v>
      </c>
      <c r="M1138" s="631"/>
      <c r="P1138" s="950" t="str">
        <f>VLOOKUP(J1138,'רשימת רשויות'!A:A,1,0)</f>
        <v>דרום השרון</v>
      </c>
      <c r="Q1138" s="956">
        <f>IFERROR(VLOOKUP(B1138,[2]מעובד!$D:$K,8,0),0)</f>
        <v>218</v>
      </c>
      <c r="R1138" s="956">
        <f>IFERROR(VLOOKUP(B1138,[2]מעובד!$D:$L,9,0),0)</f>
        <v>54</v>
      </c>
    </row>
    <row r="1139" spans="1:18" x14ac:dyDescent="0.2">
      <c r="A1139" s="947" t="s">
        <v>284</v>
      </c>
      <c r="B1139" s="947">
        <v>410852</v>
      </c>
      <c r="C1139" s="947" t="s">
        <v>2189</v>
      </c>
      <c r="D1139" s="947" t="s">
        <v>666</v>
      </c>
      <c r="E1139" s="951">
        <v>419</v>
      </c>
      <c r="F1139" s="951">
        <v>334</v>
      </c>
      <c r="G1139" s="947" t="s">
        <v>159</v>
      </c>
      <c r="H1139" s="951">
        <v>0</v>
      </c>
      <c r="I1139" s="951">
        <v>0</v>
      </c>
      <c r="J1139" s="947" t="s">
        <v>284</v>
      </c>
      <c r="K1139" s="947">
        <v>410852</v>
      </c>
      <c r="M1139" s="631"/>
      <c r="P1139" s="950" t="str">
        <f>VLOOKUP(J1139,'רשימת רשויות'!A:A,1,0)</f>
        <v>כפר סבא</v>
      </c>
      <c r="Q1139" s="956">
        <f>IFERROR(VLOOKUP(B1139,[2]מעובד!$D:$K,8,0),0)</f>
        <v>445</v>
      </c>
      <c r="R1139" s="956">
        <f>IFERROR(VLOOKUP(B1139,[2]מעובד!$D:$L,9,0),0)</f>
        <v>133</v>
      </c>
    </row>
    <row r="1140" spans="1:18" x14ac:dyDescent="0.2">
      <c r="A1140" s="947" t="s">
        <v>284</v>
      </c>
      <c r="B1140" s="947">
        <v>410860</v>
      </c>
      <c r="C1140" s="947" t="s">
        <v>2189</v>
      </c>
      <c r="D1140" s="947" t="s">
        <v>205</v>
      </c>
      <c r="E1140" s="951">
        <v>289</v>
      </c>
      <c r="F1140" s="951">
        <v>224</v>
      </c>
      <c r="G1140" s="947" t="s">
        <v>159</v>
      </c>
      <c r="H1140" s="951">
        <v>0</v>
      </c>
      <c r="I1140" s="951">
        <v>0</v>
      </c>
      <c r="J1140" s="947" t="s">
        <v>284</v>
      </c>
      <c r="K1140" s="947">
        <v>410860</v>
      </c>
      <c r="M1140" s="631"/>
      <c r="P1140" s="950" t="str">
        <f>VLOOKUP(J1140,'רשימת רשויות'!A:A,1,0)</f>
        <v>כפר סבא</v>
      </c>
      <c r="Q1140" s="956">
        <f>IFERROR(VLOOKUP(B1140,[2]מעובד!$D:$K,8,0),0)</f>
        <v>279</v>
      </c>
      <c r="R1140" s="956">
        <f>IFERROR(VLOOKUP(B1140,[2]מעובד!$D:$L,9,0),0)</f>
        <v>85</v>
      </c>
    </row>
    <row r="1141" spans="1:18" x14ac:dyDescent="0.2">
      <c r="A1141" s="947" t="s">
        <v>284</v>
      </c>
      <c r="B1141" s="947">
        <v>410878</v>
      </c>
      <c r="C1141" s="947" t="s">
        <v>2189</v>
      </c>
      <c r="D1141" s="947" t="s">
        <v>457</v>
      </c>
      <c r="E1141" s="951">
        <v>197</v>
      </c>
      <c r="F1141" s="951">
        <v>120</v>
      </c>
      <c r="G1141" s="947" t="s">
        <v>159</v>
      </c>
      <c r="H1141" s="951">
        <v>0</v>
      </c>
      <c r="I1141" s="951">
        <v>0</v>
      </c>
      <c r="J1141" s="947" t="s">
        <v>284</v>
      </c>
      <c r="K1141" s="957" t="s">
        <v>3292</v>
      </c>
      <c r="M1141" s="631"/>
      <c r="P1141" s="950" t="str">
        <f>VLOOKUP(J1141,'רשימת רשויות'!A:A,1,0)</f>
        <v>כפר סבא</v>
      </c>
      <c r="Q1141" s="956">
        <f>IFERROR(VLOOKUP(B1141,[2]מעובד!$D:$K,8,0),0)</f>
        <v>0</v>
      </c>
      <c r="R1141" s="956">
        <f>IFERROR(VLOOKUP(B1141,[2]מעובד!$D:$L,9,0),0)</f>
        <v>0</v>
      </c>
    </row>
    <row r="1142" spans="1:18" x14ac:dyDescent="0.2">
      <c r="A1142" s="947" t="s">
        <v>284</v>
      </c>
      <c r="B1142" s="947">
        <v>410894</v>
      </c>
      <c r="C1142" s="947" t="s">
        <v>2189</v>
      </c>
      <c r="D1142" s="947" t="s">
        <v>2181</v>
      </c>
      <c r="E1142" s="951">
        <v>234</v>
      </c>
      <c r="F1142" s="951">
        <v>108</v>
      </c>
      <c r="G1142" s="947" t="s">
        <v>159</v>
      </c>
      <c r="H1142" s="951">
        <v>234</v>
      </c>
      <c r="I1142" s="951">
        <v>6</v>
      </c>
      <c r="J1142" s="947" t="s">
        <v>284</v>
      </c>
      <c r="K1142" s="957" t="s">
        <v>3293</v>
      </c>
      <c r="M1142" s="631"/>
      <c r="P1142" s="950" t="str">
        <f>VLOOKUP(J1142,'רשימת רשויות'!A:A,1,0)</f>
        <v>כפר סבא</v>
      </c>
      <c r="Q1142" s="956">
        <f>IFERROR(VLOOKUP(B1142,[2]מעובד!$D:$K,8,0),0)</f>
        <v>265</v>
      </c>
      <c r="R1142" s="956">
        <f>IFERROR(VLOOKUP(B1142,[2]מעובד!$D:$L,9,0),0)</f>
        <v>86</v>
      </c>
    </row>
    <row r="1143" spans="1:18" x14ac:dyDescent="0.2">
      <c r="A1143" s="947" t="s">
        <v>284</v>
      </c>
      <c r="B1143" s="947">
        <v>410910</v>
      </c>
      <c r="C1143" s="947" t="s">
        <v>2189</v>
      </c>
      <c r="D1143" s="947" t="s">
        <v>1585</v>
      </c>
      <c r="E1143" s="951">
        <v>216</v>
      </c>
      <c r="F1143" s="951">
        <v>160</v>
      </c>
      <c r="G1143" s="947" t="s">
        <v>159</v>
      </c>
      <c r="H1143" s="951">
        <v>158</v>
      </c>
      <c r="I1143" s="951">
        <v>12</v>
      </c>
      <c r="J1143" s="947" t="s">
        <v>284</v>
      </c>
      <c r="K1143" s="947">
        <v>410910</v>
      </c>
      <c r="M1143" s="631"/>
      <c r="P1143" s="950" t="str">
        <f>VLOOKUP(J1143,'רשימת רשויות'!A:A,1,0)</f>
        <v>כפר סבא</v>
      </c>
      <c r="Q1143" s="956">
        <f>IFERROR(VLOOKUP(B1143,[2]מעובד!$D:$K,8,0),0)</f>
        <v>223</v>
      </c>
      <c r="R1143" s="956">
        <f>IFERROR(VLOOKUP(B1143,[2]מעובד!$D:$L,9,0),0)</f>
        <v>52</v>
      </c>
    </row>
    <row r="1144" spans="1:18" x14ac:dyDescent="0.2">
      <c r="A1144" s="947" t="s">
        <v>284</v>
      </c>
      <c r="B1144" s="947">
        <v>410928</v>
      </c>
      <c r="C1144" s="947" t="s">
        <v>2189</v>
      </c>
      <c r="D1144" s="947" t="s">
        <v>2068</v>
      </c>
      <c r="E1144" s="951">
        <v>128</v>
      </c>
      <c r="F1144" s="951">
        <v>91</v>
      </c>
      <c r="G1144" s="947" t="s">
        <v>159</v>
      </c>
      <c r="H1144" s="951">
        <v>0</v>
      </c>
      <c r="I1144" s="951">
        <v>0</v>
      </c>
      <c r="J1144" s="947" t="s">
        <v>284</v>
      </c>
      <c r="K1144" s="957" t="s">
        <v>3294</v>
      </c>
      <c r="M1144" s="631"/>
      <c r="P1144" s="950" t="str">
        <f>VLOOKUP(J1144,'רשימת רשויות'!A:A,1,0)</f>
        <v>כפר סבא</v>
      </c>
      <c r="Q1144" s="956">
        <f>IFERROR(VLOOKUP(B1144,[2]מעובד!$D:$K,8,0),0)</f>
        <v>149</v>
      </c>
      <c r="R1144" s="956">
        <f>IFERROR(VLOOKUP(B1144,[2]מעובד!$D:$L,9,0),0)</f>
        <v>149</v>
      </c>
    </row>
    <row r="1145" spans="1:18" x14ac:dyDescent="0.2">
      <c r="A1145" s="947" t="s">
        <v>227</v>
      </c>
      <c r="B1145" s="947">
        <v>410944</v>
      </c>
      <c r="C1145" s="947" t="s">
        <v>2189</v>
      </c>
      <c r="D1145" s="947" t="s">
        <v>791</v>
      </c>
      <c r="E1145" s="951">
        <v>139</v>
      </c>
      <c r="F1145" s="951">
        <v>101</v>
      </c>
      <c r="G1145" s="947" t="s">
        <v>159</v>
      </c>
      <c r="H1145" s="951">
        <v>0</v>
      </c>
      <c r="I1145" s="951">
        <v>0</v>
      </c>
      <c r="J1145" s="947" t="s">
        <v>227</v>
      </c>
      <c r="K1145" s="947">
        <v>410944</v>
      </c>
      <c r="M1145" s="631"/>
      <c r="P1145" s="950" t="str">
        <f>VLOOKUP(J1145,'רשימת רשויות'!A:A,1,0)</f>
        <v>דרום השרון</v>
      </c>
      <c r="Q1145" s="956">
        <f>IFERROR(VLOOKUP(B1145,[2]מעובד!$D:$K,8,0),0)</f>
        <v>144</v>
      </c>
      <c r="R1145" s="956">
        <f>IFERROR(VLOOKUP(B1145,[2]מעובד!$D:$L,9,0),0)</f>
        <v>43</v>
      </c>
    </row>
    <row r="1146" spans="1:18" x14ac:dyDescent="0.2">
      <c r="A1146" s="947" t="s">
        <v>379</v>
      </c>
      <c r="B1146" s="947">
        <v>410951</v>
      </c>
      <c r="C1146" s="947" t="s">
        <v>2189</v>
      </c>
      <c r="D1146" s="947" t="s">
        <v>1618</v>
      </c>
      <c r="E1146" s="951">
        <v>256</v>
      </c>
      <c r="F1146" s="951">
        <v>168</v>
      </c>
      <c r="G1146" s="947" t="s">
        <v>159</v>
      </c>
      <c r="H1146" s="951">
        <v>256</v>
      </c>
      <c r="I1146" s="951">
        <v>12</v>
      </c>
      <c r="J1146" s="947" t="s">
        <v>379</v>
      </c>
      <c r="K1146" s="947">
        <v>410951</v>
      </c>
      <c r="M1146" s="631"/>
      <c r="P1146" s="950" t="str">
        <f>VLOOKUP(J1146,'רשימת רשויות'!A:A,1,0)</f>
        <v>קרית עקרון</v>
      </c>
      <c r="Q1146" s="956">
        <f>IFERROR(VLOOKUP(B1146,[2]מעובד!$D:$K,8,0),0)</f>
        <v>231</v>
      </c>
      <c r="R1146" s="956">
        <f>IFERROR(VLOOKUP(B1146,[2]מעובד!$D:$L,9,0),0)</f>
        <v>68</v>
      </c>
    </row>
    <row r="1147" spans="1:18" x14ac:dyDescent="0.2">
      <c r="A1147" s="947" t="s">
        <v>379</v>
      </c>
      <c r="B1147" s="947">
        <v>410969</v>
      </c>
      <c r="C1147" s="947" t="s">
        <v>2189</v>
      </c>
      <c r="D1147" s="947" t="s">
        <v>1619</v>
      </c>
      <c r="E1147" s="951">
        <v>124</v>
      </c>
      <c r="F1147" s="951">
        <v>81</v>
      </c>
      <c r="G1147" s="947" t="s">
        <v>159</v>
      </c>
      <c r="H1147" s="951">
        <v>0</v>
      </c>
      <c r="I1147" s="951">
        <v>0</v>
      </c>
      <c r="J1147" s="947" t="s">
        <v>379</v>
      </c>
      <c r="K1147" s="947">
        <v>410969</v>
      </c>
      <c r="M1147" s="631"/>
      <c r="P1147" s="950" t="str">
        <f>VLOOKUP(J1147,'רשימת רשויות'!A:A,1,0)</f>
        <v>קרית עקרון</v>
      </c>
      <c r="Q1147" s="956">
        <f>IFERROR(VLOOKUP(B1147,[2]מעובד!$D:$K,8,0),0)</f>
        <v>126</v>
      </c>
      <c r="R1147" s="956">
        <f>IFERROR(VLOOKUP(B1147,[2]מעובד!$D:$L,9,0),0)</f>
        <v>56</v>
      </c>
    </row>
    <row r="1148" spans="1:18" x14ac:dyDescent="0.2">
      <c r="A1148" s="947" t="s">
        <v>241</v>
      </c>
      <c r="B1148" s="947">
        <v>410977</v>
      </c>
      <c r="C1148" s="947" t="s">
        <v>2189</v>
      </c>
      <c r="D1148" s="947" t="s">
        <v>1626</v>
      </c>
      <c r="E1148" s="951">
        <v>220</v>
      </c>
      <c r="F1148" s="951">
        <v>153</v>
      </c>
      <c r="G1148" s="947" t="s">
        <v>159</v>
      </c>
      <c r="H1148" s="951">
        <v>0</v>
      </c>
      <c r="I1148" s="951">
        <v>0</v>
      </c>
      <c r="J1148" s="947" t="s">
        <v>241</v>
      </c>
      <c r="K1148" s="947">
        <v>410977</v>
      </c>
      <c r="M1148" s="631"/>
      <c r="P1148" s="950" t="str">
        <f>VLOOKUP(J1148,'רשימת רשויות'!A:A,1,0)</f>
        <v>חבל יבנה</v>
      </c>
      <c r="Q1148" s="956">
        <f>IFERROR(VLOOKUP(B1148,[2]מעובד!$D:$K,8,0),0)</f>
        <v>217</v>
      </c>
      <c r="R1148" s="956">
        <f>IFERROR(VLOOKUP(B1148,[2]מעובד!$D:$L,9,0),0)</f>
        <v>59</v>
      </c>
    </row>
    <row r="1149" spans="1:18" x14ac:dyDescent="0.2">
      <c r="A1149" s="947" t="s">
        <v>293</v>
      </c>
      <c r="B1149" s="947">
        <v>411041</v>
      </c>
      <c r="C1149" s="947" t="s">
        <v>2189</v>
      </c>
      <c r="D1149" s="947" t="s">
        <v>2218</v>
      </c>
      <c r="E1149" s="951">
        <v>175</v>
      </c>
      <c r="F1149" s="951">
        <v>158</v>
      </c>
      <c r="G1149" s="947" t="s">
        <v>159</v>
      </c>
      <c r="H1149" s="951">
        <v>130</v>
      </c>
      <c r="I1149" s="951">
        <v>17</v>
      </c>
      <c r="J1149" s="947" t="s">
        <v>293</v>
      </c>
      <c r="K1149" s="947">
        <v>411041</v>
      </c>
      <c r="M1149" s="631"/>
      <c r="P1149" s="950" t="str">
        <f>VLOOKUP(J1149,'רשימת רשויות'!A:A,1,0)</f>
        <v>לוד</v>
      </c>
      <c r="Q1149" s="956">
        <f>IFERROR(VLOOKUP(B1149,[2]מעובד!$D:$K,8,0),0)</f>
        <v>217</v>
      </c>
      <c r="R1149" s="956">
        <f>IFERROR(VLOOKUP(B1149,[2]מעובד!$D:$L,9,0),0)</f>
        <v>95</v>
      </c>
    </row>
    <row r="1150" spans="1:18" x14ac:dyDescent="0.2">
      <c r="A1150" s="947" t="s">
        <v>293</v>
      </c>
      <c r="B1150" s="947">
        <v>411058</v>
      </c>
      <c r="C1150" s="947" t="s">
        <v>2189</v>
      </c>
      <c r="D1150" s="947" t="s">
        <v>1627</v>
      </c>
      <c r="E1150" s="951">
        <v>305</v>
      </c>
      <c r="F1150" s="951">
        <v>305</v>
      </c>
      <c r="G1150" s="947" t="s">
        <v>159</v>
      </c>
      <c r="H1150" s="951">
        <v>0</v>
      </c>
      <c r="I1150" s="951">
        <v>0</v>
      </c>
      <c r="J1150" s="947" t="s">
        <v>293</v>
      </c>
      <c r="K1150" s="947">
        <v>411058</v>
      </c>
      <c r="M1150" s="631"/>
      <c r="P1150" s="950" t="str">
        <f>VLOOKUP(J1150,'רשימת רשויות'!A:A,1,0)</f>
        <v>לוד</v>
      </c>
      <c r="Q1150" s="956">
        <f>IFERROR(VLOOKUP(B1150,[2]מעובד!$D:$K,8,0),0)</f>
        <v>284</v>
      </c>
      <c r="R1150" s="956">
        <f>IFERROR(VLOOKUP(B1150,[2]מעובד!$D:$L,9,0),0)</f>
        <v>116</v>
      </c>
    </row>
    <row r="1151" spans="1:18" x14ac:dyDescent="0.2">
      <c r="A1151" s="947" t="s">
        <v>231</v>
      </c>
      <c r="B1151" s="947">
        <v>411066</v>
      </c>
      <c r="C1151" s="947" t="s">
        <v>2189</v>
      </c>
      <c r="D1151" s="947" t="s">
        <v>1518</v>
      </c>
      <c r="E1151" s="951">
        <v>237</v>
      </c>
      <c r="F1151" s="951">
        <v>148</v>
      </c>
      <c r="G1151" s="947" t="s">
        <v>159</v>
      </c>
      <c r="H1151" s="951">
        <v>161</v>
      </c>
      <c r="I1151" s="951">
        <v>12</v>
      </c>
      <c r="J1151" s="947" t="s">
        <v>231</v>
      </c>
      <c r="K1151" s="947">
        <v>411066</v>
      </c>
      <c r="M1151" s="631"/>
      <c r="P1151" s="950" t="str">
        <f>VLOOKUP(J1151,'רשימת רשויות'!A:A,1,0)</f>
        <v>הוד השרון</v>
      </c>
      <c r="Q1151" s="956">
        <f>IFERROR(VLOOKUP(B1151,[2]מעובד!$D:$K,8,0),0)</f>
        <v>241</v>
      </c>
      <c r="R1151" s="956">
        <f>IFERROR(VLOOKUP(B1151,[2]מעובד!$D:$L,9,0),0)</f>
        <v>84</v>
      </c>
    </row>
    <row r="1152" spans="1:18" x14ac:dyDescent="0.2">
      <c r="A1152" s="947" t="s">
        <v>231</v>
      </c>
      <c r="B1152" s="947">
        <v>411082</v>
      </c>
      <c r="C1152" s="947" t="s">
        <v>2189</v>
      </c>
      <c r="D1152" s="947" t="s">
        <v>1167</v>
      </c>
      <c r="E1152" s="951">
        <v>116</v>
      </c>
      <c r="F1152" s="951">
        <v>72</v>
      </c>
      <c r="G1152" s="947" t="s">
        <v>159</v>
      </c>
      <c r="H1152" s="951">
        <v>0</v>
      </c>
      <c r="I1152" s="951">
        <v>0</v>
      </c>
      <c r="J1152" s="947" t="s">
        <v>231</v>
      </c>
      <c r="K1152" s="947">
        <v>411082</v>
      </c>
      <c r="M1152" s="631"/>
      <c r="P1152" s="950" t="str">
        <f>VLOOKUP(J1152,'רשימת רשויות'!A:A,1,0)</f>
        <v>הוד השרון</v>
      </c>
      <c r="Q1152" s="956">
        <f>IFERROR(VLOOKUP(B1152,[2]מעובד!$D:$K,8,0),0)</f>
        <v>95</v>
      </c>
      <c r="R1152" s="956">
        <f>IFERROR(VLOOKUP(B1152,[2]מעובד!$D:$L,9,0),0)</f>
        <v>60</v>
      </c>
    </row>
    <row r="1153" spans="1:18" x14ac:dyDescent="0.2">
      <c r="A1153" s="947" t="s">
        <v>364</v>
      </c>
      <c r="B1153" s="947">
        <v>411090</v>
      </c>
      <c r="C1153" s="947" t="s">
        <v>2189</v>
      </c>
      <c r="D1153" s="947" t="s">
        <v>2616</v>
      </c>
      <c r="E1153" s="951">
        <v>135</v>
      </c>
      <c r="F1153" s="951">
        <v>95</v>
      </c>
      <c r="G1153" s="947" t="s">
        <v>3252</v>
      </c>
      <c r="H1153" s="951">
        <v>0</v>
      </c>
      <c r="I1153" s="951">
        <v>0</v>
      </c>
      <c r="J1153" s="947" t="s">
        <v>364</v>
      </c>
      <c r="K1153" s="947">
        <v>411090</v>
      </c>
      <c r="M1153" s="631"/>
      <c r="P1153" s="950" t="str">
        <f>VLOOKUP(J1153,'רשימת רשויות'!A:A,1,0)</f>
        <v>צורן קדימה</v>
      </c>
      <c r="Q1153" s="956">
        <f>IFERROR(VLOOKUP(B1153,[2]מעובד!$D:$K,8,0),0)</f>
        <v>0</v>
      </c>
      <c r="R1153" s="956">
        <f>IFERROR(VLOOKUP(B1153,[2]מעובד!$D:$L,9,0),0)</f>
        <v>0</v>
      </c>
    </row>
    <row r="1154" spans="1:18" x14ac:dyDescent="0.2">
      <c r="A1154" s="947" t="s">
        <v>395</v>
      </c>
      <c r="B1154" s="947">
        <v>411108</v>
      </c>
      <c r="C1154" s="947" t="s">
        <v>2189</v>
      </c>
      <c r="D1154" s="947" t="s">
        <v>3025</v>
      </c>
      <c r="E1154" s="951">
        <v>107</v>
      </c>
      <c r="F1154" s="951">
        <v>0</v>
      </c>
      <c r="G1154" s="947" t="s">
        <v>3252</v>
      </c>
      <c r="H1154" s="951">
        <v>0</v>
      </c>
      <c r="I1154" s="951">
        <v>0</v>
      </c>
      <c r="J1154" s="947" t="s">
        <v>395</v>
      </c>
      <c r="K1154" s="947">
        <v>411108</v>
      </c>
      <c r="M1154" s="631"/>
      <c r="P1154" s="950" t="str">
        <f>VLOOKUP(J1154,'רשימת רשויות'!A:A,1,0)</f>
        <v>רעננה</v>
      </c>
      <c r="Q1154" s="956">
        <f>IFERROR(VLOOKUP(B1154,[2]מעובד!$D:$K,8,0),0)</f>
        <v>0</v>
      </c>
      <c r="R1154" s="956">
        <f>IFERROR(VLOOKUP(B1154,[2]מעובד!$D:$L,9,0),0)</f>
        <v>0</v>
      </c>
    </row>
    <row r="1155" spans="1:18" x14ac:dyDescent="0.2">
      <c r="A1155" s="947" t="s">
        <v>307</v>
      </c>
      <c r="B1155" s="947">
        <v>411116</v>
      </c>
      <c r="C1155" s="947" t="s">
        <v>2189</v>
      </c>
      <c r="D1155" s="947" t="s">
        <v>1635</v>
      </c>
      <c r="E1155" s="951">
        <v>185</v>
      </c>
      <c r="F1155" s="951">
        <v>131</v>
      </c>
      <c r="G1155" s="947" t="s">
        <v>159</v>
      </c>
      <c r="H1155" s="951">
        <v>112</v>
      </c>
      <c r="I1155" s="951">
        <v>12</v>
      </c>
      <c r="J1155" s="947" t="s">
        <v>307</v>
      </c>
      <c r="K1155" s="947">
        <v>411116</v>
      </c>
      <c r="M1155" s="631"/>
      <c r="P1155" s="950" t="str">
        <f>VLOOKUP(J1155,'רשימת רשויות'!A:A,1,0)</f>
        <v>מזכרת בתיה</v>
      </c>
      <c r="Q1155" s="956">
        <f>IFERROR(VLOOKUP(B1155,[2]מעובד!$D:$K,8,0),0)</f>
        <v>226</v>
      </c>
      <c r="R1155" s="956">
        <f>IFERROR(VLOOKUP(B1155,[2]מעובד!$D:$L,9,0),0)</f>
        <v>61</v>
      </c>
    </row>
    <row r="1156" spans="1:18" x14ac:dyDescent="0.2">
      <c r="A1156" s="947" t="s">
        <v>270</v>
      </c>
      <c r="B1156" s="947">
        <v>411157</v>
      </c>
      <c r="C1156" s="947" t="s">
        <v>2189</v>
      </c>
      <c r="D1156" s="947" t="s">
        <v>3026</v>
      </c>
      <c r="E1156" s="951">
        <v>307</v>
      </c>
      <c r="F1156" s="951">
        <v>0</v>
      </c>
      <c r="G1156" s="947" t="s">
        <v>3252</v>
      </c>
      <c r="H1156" s="951">
        <v>0</v>
      </c>
      <c r="I1156" s="951">
        <v>0</v>
      </c>
      <c r="J1156" s="947" t="s">
        <v>270</v>
      </c>
      <c r="K1156" s="947">
        <v>411157</v>
      </c>
      <c r="M1156" s="631"/>
      <c r="P1156" s="950" t="str">
        <f>VLOOKUP(J1156,'רשימת רשויות'!A:A,1,0)</f>
        <v>ירושלים</v>
      </c>
      <c r="Q1156" s="956">
        <f>IFERROR(VLOOKUP(B1156,[2]מעובד!$D:$K,8,0),0)</f>
        <v>0</v>
      </c>
      <c r="R1156" s="956">
        <f>IFERROR(VLOOKUP(B1156,[2]מעובד!$D:$L,9,0),0)</f>
        <v>0</v>
      </c>
    </row>
    <row r="1157" spans="1:18" x14ac:dyDescent="0.2">
      <c r="A1157" s="947" t="s">
        <v>263</v>
      </c>
      <c r="B1157" s="947">
        <v>411181</v>
      </c>
      <c r="C1157" s="947" t="s">
        <v>2189</v>
      </c>
      <c r="D1157" s="947" t="s">
        <v>1649</v>
      </c>
      <c r="E1157" s="951">
        <v>241</v>
      </c>
      <c r="F1157" s="951">
        <v>241</v>
      </c>
      <c r="G1157" s="947" t="s">
        <v>159</v>
      </c>
      <c r="H1157" s="951">
        <v>0</v>
      </c>
      <c r="I1157" s="951">
        <v>0</v>
      </c>
      <c r="J1157" s="947" t="s">
        <v>263</v>
      </c>
      <c r="K1157" s="947">
        <v>411181</v>
      </c>
      <c r="M1157" s="631"/>
      <c r="P1157" s="950" t="str">
        <f>VLOOKUP(J1157,'רשימת רשויות'!A:A,1,0)</f>
        <v>יהוד נווה אפרים</v>
      </c>
      <c r="Q1157" s="956">
        <f>IFERROR(VLOOKUP(B1157,[2]מעובד!$D:$K,8,0),0)</f>
        <v>302</v>
      </c>
      <c r="R1157" s="956">
        <f>IFERROR(VLOOKUP(B1157,[2]מעובד!$D:$L,9,0),0)</f>
        <v>55</v>
      </c>
    </row>
    <row r="1158" spans="1:18" x14ac:dyDescent="0.2">
      <c r="A1158" s="947" t="s">
        <v>227</v>
      </c>
      <c r="B1158" s="947">
        <v>411199</v>
      </c>
      <c r="C1158" s="947" t="s">
        <v>2189</v>
      </c>
      <c r="D1158" s="947" t="s">
        <v>1650</v>
      </c>
      <c r="E1158" s="951">
        <v>159</v>
      </c>
      <c r="F1158" s="951">
        <v>116</v>
      </c>
      <c r="G1158" s="947" t="s">
        <v>159</v>
      </c>
      <c r="H1158" s="951">
        <v>0</v>
      </c>
      <c r="I1158" s="951">
        <v>0</v>
      </c>
      <c r="J1158" s="947" t="s">
        <v>227</v>
      </c>
      <c r="K1158" s="947">
        <v>411199</v>
      </c>
      <c r="M1158" s="631"/>
      <c r="P1158" s="950" t="str">
        <f>VLOOKUP(J1158,'רשימת רשויות'!A:A,1,0)</f>
        <v>דרום השרון</v>
      </c>
      <c r="Q1158" s="956">
        <f>IFERROR(VLOOKUP(B1158,[2]מעובד!$D:$K,8,0),0)</f>
        <v>0</v>
      </c>
      <c r="R1158" s="956">
        <f>IFERROR(VLOOKUP(B1158,[2]מעובד!$D:$L,9,0),0)</f>
        <v>0</v>
      </c>
    </row>
    <row r="1159" spans="1:18" x14ac:dyDescent="0.2">
      <c r="A1159" s="947" t="s">
        <v>307</v>
      </c>
      <c r="B1159" s="947">
        <v>411215</v>
      </c>
      <c r="C1159" s="947" t="s">
        <v>2189</v>
      </c>
      <c r="D1159" s="947" t="s">
        <v>451</v>
      </c>
      <c r="E1159" s="951">
        <v>116</v>
      </c>
      <c r="F1159" s="951">
        <v>92</v>
      </c>
      <c r="G1159" s="947" t="s">
        <v>159</v>
      </c>
      <c r="H1159" s="951">
        <v>0</v>
      </c>
      <c r="I1159" s="951">
        <v>0</v>
      </c>
      <c r="J1159" s="947" t="s">
        <v>307</v>
      </c>
      <c r="K1159" s="947">
        <v>411215</v>
      </c>
      <c r="M1159" s="631"/>
      <c r="P1159" s="950" t="str">
        <f>VLOOKUP(J1159,'רשימת רשויות'!A:A,1,0)</f>
        <v>מזכרת בתיה</v>
      </c>
      <c r="Q1159" s="956">
        <f>IFERROR(VLOOKUP(B1159,[2]מעובד!$D:$K,8,0),0)</f>
        <v>124</v>
      </c>
      <c r="R1159" s="956">
        <f>IFERROR(VLOOKUP(B1159,[2]מעובד!$D:$L,9,0),0)</f>
        <v>48</v>
      </c>
    </row>
    <row r="1160" spans="1:18" x14ac:dyDescent="0.2">
      <c r="A1160" s="947" t="s">
        <v>350</v>
      </c>
      <c r="B1160" s="947">
        <v>411231</v>
      </c>
      <c r="C1160" s="947" t="s">
        <v>2189</v>
      </c>
      <c r="D1160" s="947" t="s">
        <v>995</v>
      </c>
      <c r="E1160" s="951">
        <v>200</v>
      </c>
      <c r="F1160" s="951">
        <v>114</v>
      </c>
      <c r="G1160" s="947" t="s">
        <v>159</v>
      </c>
      <c r="H1160" s="951">
        <v>94</v>
      </c>
      <c r="I1160" s="951">
        <v>0</v>
      </c>
      <c r="J1160" s="947" t="s">
        <v>350</v>
      </c>
      <c r="K1160" s="947">
        <v>411231</v>
      </c>
      <c r="M1160" s="631"/>
      <c r="P1160" s="950" t="str">
        <f>VLOOKUP(J1160,'רשימת רשויות'!A:A,1,0)</f>
        <v>עמק חפר</v>
      </c>
      <c r="Q1160" s="956">
        <f>IFERROR(VLOOKUP(B1160,[2]מעובד!$D:$K,8,0),0)</f>
        <v>252</v>
      </c>
      <c r="R1160" s="956">
        <f>IFERROR(VLOOKUP(B1160,[2]מעובד!$D:$L,9,0),0)</f>
        <v>56</v>
      </c>
    </row>
    <row r="1161" spans="1:18" x14ac:dyDescent="0.2">
      <c r="A1161" s="947" t="s">
        <v>332</v>
      </c>
      <c r="B1161" s="947">
        <v>411256</v>
      </c>
      <c r="C1161" s="947" t="s">
        <v>2189</v>
      </c>
      <c r="D1161" s="947" t="s">
        <v>774</v>
      </c>
      <c r="E1161" s="951">
        <v>156</v>
      </c>
      <c r="F1161" s="951">
        <v>132</v>
      </c>
      <c r="G1161" s="947" t="s">
        <v>159</v>
      </c>
      <c r="H1161" s="951">
        <v>0</v>
      </c>
      <c r="I1161" s="951">
        <v>0</v>
      </c>
      <c r="J1161" s="947" t="s">
        <v>332</v>
      </c>
      <c r="K1161" s="957" t="s">
        <v>3295</v>
      </c>
      <c r="M1161" s="631"/>
      <c r="P1161" s="950" t="str">
        <f>VLOOKUP(J1161,'רשימת רשויות'!A:A,1,0)</f>
        <v>נס ציונה</v>
      </c>
      <c r="Q1161" s="956">
        <f>IFERROR(VLOOKUP(B1161,[2]מעובד!$D:$K,8,0),0)</f>
        <v>0</v>
      </c>
      <c r="R1161" s="956">
        <f>IFERROR(VLOOKUP(B1161,[2]מעובד!$D:$L,9,0),0)</f>
        <v>0</v>
      </c>
    </row>
    <row r="1162" spans="1:18" x14ac:dyDescent="0.2">
      <c r="A1162" s="947" t="s">
        <v>332</v>
      </c>
      <c r="B1162" s="947">
        <v>411264</v>
      </c>
      <c r="C1162" s="947" t="s">
        <v>2189</v>
      </c>
      <c r="D1162" s="947" t="s">
        <v>182</v>
      </c>
      <c r="E1162" s="951">
        <v>235</v>
      </c>
      <c r="F1162" s="951">
        <v>222</v>
      </c>
      <c r="G1162" s="947" t="s">
        <v>159</v>
      </c>
      <c r="H1162" s="951">
        <v>0</v>
      </c>
      <c r="I1162" s="951">
        <v>0</v>
      </c>
      <c r="J1162" s="947" t="s">
        <v>332</v>
      </c>
      <c r="K1162" s="947">
        <v>411264</v>
      </c>
      <c r="M1162" s="631"/>
      <c r="P1162" s="950" t="str">
        <f>VLOOKUP(J1162,'רשימת רשויות'!A:A,1,0)</f>
        <v>נס ציונה</v>
      </c>
      <c r="Q1162" s="956">
        <f>IFERROR(VLOOKUP(B1162,[2]מעובד!$D:$K,8,0),0)</f>
        <v>251</v>
      </c>
      <c r="R1162" s="956">
        <f>IFERROR(VLOOKUP(B1162,[2]מעובד!$D:$L,9,0),0)</f>
        <v>57</v>
      </c>
    </row>
    <row r="1163" spans="1:18" x14ac:dyDescent="0.2">
      <c r="A1163" s="947" t="s">
        <v>332</v>
      </c>
      <c r="B1163" s="947">
        <v>411272</v>
      </c>
      <c r="C1163" s="947" t="s">
        <v>2189</v>
      </c>
      <c r="D1163" s="947" t="s">
        <v>1464</v>
      </c>
      <c r="E1163" s="951">
        <v>198</v>
      </c>
      <c r="F1163" s="951">
        <v>104</v>
      </c>
      <c r="G1163" s="947" t="s">
        <v>159</v>
      </c>
      <c r="H1163" s="951">
        <v>0</v>
      </c>
      <c r="I1163" s="951">
        <v>0</v>
      </c>
      <c r="J1163" s="947" t="s">
        <v>332</v>
      </c>
      <c r="K1163" s="947">
        <v>411272</v>
      </c>
      <c r="M1163" s="631"/>
      <c r="P1163" s="950" t="str">
        <f>VLOOKUP(J1163,'רשימת רשויות'!A:A,1,0)</f>
        <v>נס ציונה</v>
      </c>
      <c r="Q1163" s="956">
        <f>IFERROR(VLOOKUP(B1163,[2]מעובד!$D:$K,8,0),0)</f>
        <v>0</v>
      </c>
      <c r="R1163" s="956">
        <f>IFERROR(VLOOKUP(B1163,[2]מעובד!$D:$L,9,0),0)</f>
        <v>0</v>
      </c>
    </row>
    <row r="1164" spans="1:18" x14ac:dyDescent="0.2">
      <c r="A1164" s="947" t="s">
        <v>332</v>
      </c>
      <c r="B1164" s="947">
        <v>411298</v>
      </c>
      <c r="C1164" s="947" t="s">
        <v>2189</v>
      </c>
      <c r="D1164" s="947" t="s">
        <v>2069</v>
      </c>
      <c r="E1164" s="951">
        <v>83</v>
      </c>
      <c r="F1164" s="951">
        <v>50</v>
      </c>
      <c r="G1164" s="947" t="s">
        <v>159</v>
      </c>
      <c r="H1164" s="951">
        <v>0</v>
      </c>
      <c r="I1164" s="951">
        <v>0</v>
      </c>
      <c r="J1164" s="947" t="s">
        <v>332</v>
      </c>
      <c r="K1164" s="947">
        <v>411298</v>
      </c>
      <c r="M1164" s="631"/>
      <c r="P1164" s="950" t="str">
        <f>VLOOKUP(J1164,'רשימת רשויות'!A:A,1,0)</f>
        <v>נס ציונה</v>
      </c>
      <c r="Q1164" s="956">
        <f>IFERROR(VLOOKUP(B1164,[2]מעובד!$D:$K,8,0),0)</f>
        <v>104</v>
      </c>
      <c r="R1164" s="956">
        <f>IFERROR(VLOOKUP(B1164,[2]מעובד!$D:$L,9,0),0)</f>
        <v>104</v>
      </c>
    </row>
    <row r="1165" spans="1:18" x14ac:dyDescent="0.2">
      <c r="A1165" s="947" t="s">
        <v>363</v>
      </c>
      <c r="B1165" s="947">
        <v>411306</v>
      </c>
      <c r="C1165" s="947" t="s">
        <v>2189</v>
      </c>
      <c r="D1165" s="947" t="s">
        <v>674</v>
      </c>
      <c r="E1165" s="951">
        <v>420</v>
      </c>
      <c r="F1165" s="951">
        <v>372</v>
      </c>
      <c r="G1165" s="947" t="s">
        <v>159</v>
      </c>
      <c r="H1165" s="951">
        <v>420</v>
      </c>
      <c r="I1165" s="951">
        <v>47</v>
      </c>
      <c r="J1165" s="947" t="s">
        <v>363</v>
      </c>
      <c r="K1165" s="947">
        <v>411306</v>
      </c>
      <c r="M1165" s="631"/>
      <c r="P1165" s="950" t="str">
        <f>VLOOKUP(J1165,'רשימת רשויות'!A:A,1,0)</f>
        <v>פתח תקוה</v>
      </c>
      <c r="Q1165" s="956">
        <f>IFERROR(VLOOKUP(B1165,[2]מעובד!$D:$K,8,0),0)</f>
        <v>473</v>
      </c>
      <c r="R1165" s="956">
        <f>IFERROR(VLOOKUP(B1165,[2]מעובד!$D:$L,9,0),0)</f>
        <v>267</v>
      </c>
    </row>
    <row r="1166" spans="1:18" x14ac:dyDescent="0.2">
      <c r="A1166" s="947" t="s">
        <v>353</v>
      </c>
      <c r="B1166" s="947">
        <v>411330</v>
      </c>
      <c r="C1166" s="947" t="s">
        <v>2189</v>
      </c>
      <c r="D1166" s="947" t="s">
        <v>1478</v>
      </c>
      <c r="E1166" s="951">
        <v>287</v>
      </c>
      <c r="F1166" s="951">
        <v>205</v>
      </c>
      <c r="G1166" s="947" t="s">
        <v>159</v>
      </c>
      <c r="H1166" s="951">
        <v>106</v>
      </c>
      <c r="I1166" s="951">
        <v>11</v>
      </c>
      <c r="J1166" s="947" t="s">
        <v>353</v>
      </c>
      <c r="K1166" s="947">
        <v>411330</v>
      </c>
      <c r="M1166" s="631"/>
      <c r="P1166" s="950" t="str">
        <f>VLOOKUP(J1166,'רשימת רשויות'!A:A,1,0)</f>
        <v>עפולה</v>
      </c>
      <c r="Q1166" s="956">
        <f>IFERROR(VLOOKUP(B1166,[2]מעובד!$D:$K,8,0),0)</f>
        <v>208</v>
      </c>
      <c r="R1166" s="956">
        <f>IFERROR(VLOOKUP(B1166,[2]מעובד!$D:$L,9,0),0)</f>
        <v>70</v>
      </c>
    </row>
    <row r="1167" spans="1:18" x14ac:dyDescent="0.2">
      <c r="A1167" s="947" t="s">
        <v>336</v>
      </c>
      <c r="B1167" s="947">
        <v>411355</v>
      </c>
      <c r="C1167" s="947" t="s">
        <v>2189</v>
      </c>
      <c r="D1167" s="947" t="s">
        <v>432</v>
      </c>
      <c r="E1167" s="951">
        <v>278</v>
      </c>
      <c r="F1167" s="951">
        <v>145</v>
      </c>
      <c r="G1167" s="947" t="s">
        <v>159</v>
      </c>
      <c r="H1167" s="951">
        <v>0</v>
      </c>
      <c r="I1167" s="951">
        <v>0</v>
      </c>
      <c r="J1167" s="947" t="s">
        <v>336</v>
      </c>
      <c r="K1167" s="957" t="s">
        <v>3296</v>
      </c>
      <c r="M1167" s="631"/>
      <c r="P1167" s="950" t="str">
        <f>VLOOKUP(J1167,'רשימת רשויות'!A:A,1,0)</f>
        <v>נתניה</v>
      </c>
      <c r="Q1167" s="956">
        <f>IFERROR(VLOOKUP(B1167,[2]מעובד!$D:$K,8,0),0)</f>
        <v>247</v>
      </c>
      <c r="R1167" s="956">
        <f>IFERROR(VLOOKUP(B1167,[2]מעובד!$D:$L,9,0),0)</f>
        <v>50</v>
      </c>
    </row>
    <row r="1168" spans="1:18" x14ac:dyDescent="0.2">
      <c r="A1168" s="947" t="s">
        <v>336</v>
      </c>
      <c r="B1168" s="947">
        <v>411371</v>
      </c>
      <c r="C1168" s="947" t="s">
        <v>2189</v>
      </c>
      <c r="D1168" s="947" t="s">
        <v>434</v>
      </c>
      <c r="E1168" s="951">
        <v>315</v>
      </c>
      <c r="F1168" s="951">
        <v>145</v>
      </c>
      <c r="G1168" s="947" t="s">
        <v>159</v>
      </c>
      <c r="H1168" s="951">
        <v>315</v>
      </c>
      <c r="I1168" s="951">
        <v>10</v>
      </c>
      <c r="J1168" s="947" t="s">
        <v>336</v>
      </c>
      <c r="K1168" s="957" t="s">
        <v>3297</v>
      </c>
      <c r="M1168" s="631"/>
      <c r="P1168" s="950" t="str">
        <f>VLOOKUP(J1168,'רשימת רשויות'!A:A,1,0)</f>
        <v>נתניה</v>
      </c>
      <c r="Q1168" s="956">
        <f>IFERROR(VLOOKUP(B1168,[2]מעובד!$D:$K,8,0),0)</f>
        <v>230</v>
      </c>
      <c r="R1168" s="956">
        <f>IFERROR(VLOOKUP(B1168,[2]מעובד!$D:$L,9,0),0)</f>
        <v>42</v>
      </c>
    </row>
    <row r="1169" spans="1:18" x14ac:dyDescent="0.2">
      <c r="A1169" s="947" t="s">
        <v>336</v>
      </c>
      <c r="B1169" s="947">
        <v>411389</v>
      </c>
      <c r="C1169" s="947" t="s">
        <v>2189</v>
      </c>
      <c r="D1169" s="947" t="s">
        <v>435</v>
      </c>
      <c r="E1169" s="951">
        <v>160</v>
      </c>
      <c r="F1169" s="951">
        <v>50</v>
      </c>
      <c r="G1169" s="947" t="s">
        <v>159</v>
      </c>
      <c r="H1169" s="951">
        <v>0</v>
      </c>
      <c r="I1169" s="951">
        <v>0</v>
      </c>
      <c r="J1169" s="947" t="s">
        <v>336</v>
      </c>
      <c r="K1169" s="957" t="s">
        <v>3298</v>
      </c>
      <c r="M1169" s="631"/>
      <c r="P1169" s="950" t="str">
        <f>VLOOKUP(J1169,'רשימת רשויות'!A:A,1,0)</f>
        <v>נתניה</v>
      </c>
      <c r="Q1169" s="956">
        <f>IFERROR(VLOOKUP(B1169,[2]מעובד!$D:$K,8,0),0)</f>
        <v>179</v>
      </c>
      <c r="R1169" s="956">
        <f>IFERROR(VLOOKUP(B1169,[2]מעובד!$D:$L,9,0),0)</f>
        <v>65</v>
      </c>
    </row>
    <row r="1170" spans="1:18" x14ac:dyDescent="0.2">
      <c r="A1170" s="947" t="s">
        <v>336</v>
      </c>
      <c r="B1170" s="947">
        <v>411413</v>
      </c>
      <c r="C1170" s="947" t="s">
        <v>2189</v>
      </c>
      <c r="D1170" s="947" t="s">
        <v>437</v>
      </c>
      <c r="E1170" s="951">
        <v>351</v>
      </c>
      <c r="F1170" s="951">
        <v>303</v>
      </c>
      <c r="G1170" s="947" t="s">
        <v>159</v>
      </c>
      <c r="H1170" s="951">
        <v>127</v>
      </c>
      <c r="I1170" s="951">
        <v>11</v>
      </c>
      <c r="J1170" s="947" t="s">
        <v>336</v>
      </c>
      <c r="K1170" s="947">
        <v>411413</v>
      </c>
      <c r="M1170" s="631"/>
      <c r="P1170" s="950" t="str">
        <f>VLOOKUP(J1170,'רשימת רשויות'!A:A,1,0)</f>
        <v>נתניה</v>
      </c>
      <c r="Q1170" s="956">
        <f>IFERROR(VLOOKUP(B1170,[2]מעובד!$D:$K,8,0),0)</f>
        <v>428</v>
      </c>
      <c r="R1170" s="956">
        <f>IFERROR(VLOOKUP(B1170,[2]מעובד!$D:$L,9,0),0)</f>
        <v>260</v>
      </c>
    </row>
    <row r="1171" spans="1:18" x14ac:dyDescent="0.2">
      <c r="A1171" s="947" t="s">
        <v>336</v>
      </c>
      <c r="B1171" s="947">
        <v>411421</v>
      </c>
      <c r="C1171" s="947" t="s">
        <v>2189</v>
      </c>
      <c r="D1171" s="947" t="s">
        <v>3027</v>
      </c>
      <c r="E1171" s="951">
        <v>141</v>
      </c>
      <c r="F1171" s="951">
        <v>90</v>
      </c>
      <c r="G1171" s="947" t="s">
        <v>159</v>
      </c>
      <c r="H1171" s="951">
        <v>57</v>
      </c>
      <c r="I1171" s="951">
        <v>0</v>
      </c>
      <c r="J1171" s="947" t="s">
        <v>336</v>
      </c>
      <c r="K1171" s="947">
        <v>411421</v>
      </c>
      <c r="M1171" s="631"/>
      <c r="P1171" s="950" t="str">
        <f>VLOOKUP(J1171,'רשימת רשויות'!A:A,1,0)</f>
        <v>נתניה</v>
      </c>
      <c r="Q1171" s="956">
        <f>IFERROR(VLOOKUP(B1171,[2]מעובד!$D:$K,8,0),0)</f>
        <v>122</v>
      </c>
      <c r="R1171" s="956">
        <f>IFERROR(VLOOKUP(B1171,[2]מעובד!$D:$L,9,0),0)</f>
        <v>42</v>
      </c>
    </row>
    <row r="1172" spans="1:18" x14ac:dyDescent="0.2">
      <c r="A1172" s="947" t="s">
        <v>336</v>
      </c>
      <c r="B1172" s="947">
        <v>411439</v>
      </c>
      <c r="C1172" s="947" t="s">
        <v>2189</v>
      </c>
      <c r="D1172" s="947" t="s">
        <v>2717</v>
      </c>
      <c r="E1172" s="951">
        <v>230</v>
      </c>
      <c r="F1172" s="951">
        <v>210</v>
      </c>
      <c r="G1172" s="947" t="s">
        <v>159</v>
      </c>
      <c r="H1172" s="951">
        <v>0</v>
      </c>
      <c r="I1172" s="951">
        <v>0</v>
      </c>
      <c r="J1172" s="947" t="s">
        <v>336</v>
      </c>
      <c r="K1172" s="947">
        <v>411439</v>
      </c>
      <c r="M1172" s="631"/>
      <c r="P1172" s="950" t="str">
        <f>VLOOKUP(J1172,'רשימת רשויות'!A:A,1,0)</f>
        <v>נתניה</v>
      </c>
      <c r="Q1172" s="956">
        <f>IFERROR(VLOOKUP(B1172,[2]מעובד!$D:$K,8,0),0)</f>
        <v>221</v>
      </c>
      <c r="R1172" s="956">
        <f>IFERROR(VLOOKUP(B1172,[2]מעובד!$D:$L,9,0),0)</f>
        <v>96</v>
      </c>
    </row>
    <row r="1173" spans="1:18" x14ac:dyDescent="0.2">
      <c r="A1173" s="947" t="s">
        <v>336</v>
      </c>
      <c r="B1173" s="947">
        <v>411496</v>
      </c>
      <c r="C1173" s="947" t="s">
        <v>2189</v>
      </c>
      <c r="D1173" s="947" t="s">
        <v>678</v>
      </c>
      <c r="E1173" s="951">
        <v>314</v>
      </c>
      <c r="F1173" s="951">
        <v>298</v>
      </c>
      <c r="G1173" s="947" t="s">
        <v>159</v>
      </c>
      <c r="H1173" s="951">
        <v>0</v>
      </c>
      <c r="I1173" s="951">
        <v>0</v>
      </c>
      <c r="J1173" s="947" t="s">
        <v>336</v>
      </c>
      <c r="K1173" s="947">
        <v>411496</v>
      </c>
      <c r="M1173" s="631"/>
      <c r="P1173" s="950" t="str">
        <f>VLOOKUP(J1173,'רשימת רשויות'!A:A,1,0)</f>
        <v>נתניה</v>
      </c>
      <c r="Q1173" s="956">
        <f>IFERROR(VLOOKUP(B1173,[2]מעובד!$D:$K,8,0),0)</f>
        <v>302</v>
      </c>
      <c r="R1173" s="956">
        <f>IFERROR(VLOOKUP(B1173,[2]מעובד!$D:$L,9,0),0)</f>
        <v>293</v>
      </c>
    </row>
    <row r="1174" spans="1:18" x14ac:dyDescent="0.2">
      <c r="A1174" s="947" t="s">
        <v>338</v>
      </c>
      <c r="B1174" s="947">
        <v>411504</v>
      </c>
      <c r="C1174" s="947" t="s">
        <v>2189</v>
      </c>
      <c r="D1174" s="947" t="s">
        <v>1500</v>
      </c>
      <c r="E1174" s="951">
        <v>143</v>
      </c>
      <c r="F1174" s="951">
        <v>140</v>
      </c>
      <c r="G1174" s="947" t="s">
        <v>159</v>
      </c>
      <c r="H1174" s="951">
        <v>0</v>
      </c>
      <c r="I1174" s="951">
        <v>0</v>
      </c>
      <c r="J1174" s="947" t="s">
        <v>338</v>
      </c>
      <c r="K1174" s="947">
        <v>411504</v>
      </c>
      <c r="M1174" s="631"/>
      <c r="P1174" s="950" t="str">
        <f>VLOOKUP(J1174,'רשימת רשויות'!A:A,1,0)</f>
        <v>סביון</v>
      </c>
      <c r="Q1174" s="956">
        <f>IFERROR(VLOOKUP(B1174,[2]מעובד!$D:$K,8,0),0)</f>
        <v>183</v>
      </c>
      <c r="R1174" s="956">
        <f>IFERROR(VLOOKUP(B1174,[2]מעובד!$D:$L,9,0),0)</f>
        <v>37</v>
      </c>
    </row>
    <row r="1175" spans="1:18" x14ac:dyDescent="0.2">
      <c r="A1175" s="947" t="s">
        <v>227</v>
      </c>
      <c r="B1175" s="947">
        <v>411546</v>
      </c>
      <c r="C1175" s="947" t="s">
        <v>2189</v>
      </c>
      <c r="D1175" s="947" t="s">
        <v>1501</v>
      </c>
      <c r="E1175" s="951">
        <v>143</v>
      </c>
      <c r="F1175" s="951">
        <v>140</v>
      </c>
      <c r="G1175" s="947" t="s">
        <v>159</v>
      </c>
      <c r="H1175" s="951">
        <v>0</v>
      </c>
      <c r="I1175" s="951">
        <v>0</v>
      </c>
      <c r="J1175" s="947" t="s">
        <v>227</v>
      </c>
      <c r="K1175" s="947">
        <v>411546</v>
      </c>
      <c r="M1175" s="631"/>
      <c r="P1175" s="950" t="str">
        <f>VLOOKUP(J1175,'רשימת רשויות'!A:A,1,0)</f>
        <v>דרום השרון</v>
      </c>
      <c r="Q1175" s="956">
        <f>IFERROR(VLOOKUP(B1175,[2]מעובד!$D:$K,8,0),0)</f>
        <v>0</v>
      </c>
      <c r="R1175" s="956">
        <f>IFERROR(VLOOKUP(B1175,[2]מעובד!$D:$L,9,0),0)</f>
        <v>0</v>
      </c>
    </row>
    <row r="1176" spans="1:18" x14ac:dyDescent="0.2">
      <c r="A1176" s="947" t="s">
        <v>216</v>
      </c>
      <c r="B1176" s="947">
        <v>411553</v>
      </c>
      <c r="C1176" s="947" t="s">
        <v>2189</v>
      </c>
      <c r="D1176" s="947" t="s">
        <v>1549</v>
      </c>
      <c r="E1176" s="951">
        <v>176</v>
      </c>
      <c r="F1176" s="951">
        <v>90</v>
      </c>
      <c r="G1176" s="947" t="s">
        <v>159</v>
      </c>
      <c r="H1176" s="951">
        <v>0</v>
      </c>
      <c r="I1176" s="951">
        <v>0</v>
      </c>
      <c r="J1176" s="947" t="s">
        <v>216</v>
      </c>
      <c r="K1176" s="947">
        <v>411553</v>
      </c>
      <c r="M1176" s="631"/>
      <c r="P1176" s="950" t="str">
        <f>VLOOKUP(J1176,'רשימת רשויות'!A:A,1,0)</f>
        <v>גדרות</v>
      </c>
      <c r="Q1176" s="956">
        <f>IFERROR(VLOOKUP(B1176,[2]מעובד!$D:$K,8,0),0)</f>
        <v>219</v>
      </c>
      <c r="R1176" s="956">
        <f>IFERROR(VLOOKUP(B1176,[2]מעובד!$D:$L,9,0),0)</f>
        <v>78</v>
      </c>
    </row>
    <row r="1177" spans="1:18" x14ac:dyDescent="0.2">
      <c r="A1177" s="947" t="s">
        <v>262</v>
      </c>
      <c r="B1177" s="947">
        <v>411595</v>
      </c>
      <c r="C1177" s="947" t="s">
        <v>2189</v>
      </c>
      <c r="D1177" s="947" t="s">
        <v>1506</v>
      </c>
      <c r="E1177" s="951">
        <v>204</v>
      </c>
      <c r="F1177" s="951">
        <v>110</v>
      </c>
      <c r="G1177" s="947" t="s">
        <v>159</v>
      </c>
      <c r="H1177" s="951">
        <v>0</v>
      </c>
      <c r="I1177" s="951">
        <v>0</v>
      </c>
      <c r="J1177" s="947" t="s">
        <v>262</v>
      </c>
      <c r="K1177" s="947">
        <v>411595</v>
      </c>
      <c r="M1177" s="631"/>
      <c r="P1177" s="950" t="str">
        <f>VLOOKUP(J1177,'רשימת רשויות'!A:A,1,0)</f>
        <v>יבנה</v>
      </c>
      <c r="Q1177" s="956">
        <f>IFERROR(VLOOKUP(B1177,[2]מעובד!$D:$K,8,0),0)</f>
        <v>158</v>
      </c>
      <c r="R1177" s="956">
        <f>IFERROR(VLOOKUP(B1177,[2]מעובד!$D:$L,9,0),0)</f>
        <v>76</v>
      </c>
    </row>
    <row r="1178" spans="1:18" x14ac:dyDescent="0.2">
      <c r="A1178" s="947" t="s">
        <v>363</v>
      </c>
      <c r="B1178" s="947">
        <v>411603</v>
      </c>
      <c r="C1178" s="947" t="s">
        <v>2189</v>
      </c>
      <c r="D1178" s="947" t="s">
        <v>457</v>
      </c>
      <c r="E1178" s="951">
        <v>96</v>
      </c>
      <c r="F1178" s="951">
        <v>73</v>
      </c>
      <c r="G1178" s="947" t="s">
        <v>159</v>
      </c>
      <c r="H1178" s="951">
        <v>0</v>
      </c>
      <c r="I1178" s="951">
        <v>0</v>
      </c>
      <c r="J1178" s="947" t="s">
        <v>363</v>
      </c>
      <c r="K1178" s="947">
        <v>411603</v>
      </c>
      <c r="M1178" s="631"/>
      <c r="P1178" s="950" t="str">
        <f>VLOOKUP(J1178,'רשימת רשויות'!A:A,1,0)</f>
        <v>פתח תקוה</v>
      </c>
      <c r="Q1178" s="956">
        <f>IFERROR(VLOOKUP(B1178,[2]מעובד!$D:$K,8,0),0)</f>
        <v>74</v>
      </c>
      <c r="R1178" s="956">
        <f>IFERROR(VLOOKUP(B1178,[2]מעובד!$D:$L,9,0),0)</f>
        <v>39</v>
      </c>
    </row>
    <row r="1179" spans="1:18" x14ac:dyDescent="0.2">
      <c r="A1179" s="947" t="s">
        <v>363</v>
      </c>
      <c r="B1179" s="947">
        <v>411611</v>
      </c>
      <c r="C1179" s="947" t="s">
        <v>2189</v>
      </c>
      <c r="D1179" s="947" t="s">
        <v>679</v>
      </c>
      <c r="E1179" s="951">
        <v>223</v>
      </c>
      <c r="F1179" s="951">
        <v>200</v>
      </c>
      <c r="G1179" s="947" t="s">
        <v>159</v>
      </c>
      <c r="H1179" s="951">
        <v>0</v>
      </c>
      <c r="I1179" s="951">
        <v>0</v>
      </c>
      <c r="J1179" s="947" t="s">
        <v>363</v>
      </c>
      <c r="K1179" s="947">
        <v>411611</v>
      </c>
      <c r="M1179" s="631"/>
      <c r="P1179" s="950" t="str">
        <f>VLOOKUP(J1179,'רשימת רשויות'!A:A,1,0)</f>
        <v>פתח תקוה</v>
      </c>
      <c r="Q1179" s="956">
        <f>IFERROR(VLOOKUP(B1179,[2]מעובד!$D:$K,8,0),0)</f>
        <v>178</v>
      </c>
      <c r="R1179" s="956">
        <f>IFERROR(VLOOKUP(B1179,[2]מעובד!$D:$L,9,0),0)</f>
        <v>76</v>
      </c>
    </row>
    <row r="1180" spans="1:18" x14ac:dyDescent="0.2">
      <c r="A1180" s="947" t="s">
        <v>363</v>
      </c>
      <c r="B1180" s="947">
        <v>411629</v>
      </c>
      <c r="C1180" s="947" t="s">
        <v>2189</v>
      </c>
      <c r="D1180" s="947" t="s">
        <v>3028</v>
      </c>
      <c r="E1180" s="951">
        <v>87</v>
      </c>
      <c r="F1180" s="951">
        <v>86</v>
      </c>
      <c r="G1180" s="947" t="s">
        <v>159</v>
      </c>
      <c r="H1180" s="951">
        <v>0</v>
      </c>
      <c r="I1180" s="951">
        <v>0</v>
      </c>
      <c r="J1180" s="947" t="s">
        <v>363</v>
      </c>
      <c r="K1180" s="947">
        <v>411629</v>
      </c>
      <c r="M1180" s="631"/>
      <c r="P1180" s="950" t="str">
        <f>VLOOKUP(J1180,'רשימת רשויות'!A:A,1,0)</f>
        <v>פתח תקוה</v>
      </c>
      <c r="Q1180" s="956">
        <f>IFERROR(VLOOKUP(B1180,[2]מעובד!$D:$K,8,0),0)</f>
        <v>94</v>
      </c>
      <c r="R1180" s="956">
        <f>IFERROR(VLOOKUP(B1180,[2]מעובד!$D:$L,9,0),0)</f>
        <v>48</v>
      </c>
    </row>
    <row r="1181" spans="1:18" x14ac:dyDescent="0.2">
      <c r="A1181" s="947" t="s">
        <v>363</v>
      </c>
      <c r="B1181" s="947">
        <v>411637</v>
      </c>
      <c r="C1181" s="947" t="s">
        <v>2189</v>
      </c>
      <c r="D1181" s="947" t="s">
        <v>680</v>
      </c>
      <c r="E1181" s="951">
        <v>237</v>
      </c>
      <c r="F1181" s="951">
        <v>224</v>
      </c>
      <c r="G1181" s="947" t="s">
        <v>159</v>
      </c>
      <c r="H1181" s="951">
        <v>87</v>
      </c>
      <c r="I1181" s="951">
        <v>13</v>
      </c>
      <c r="J1181" s="947" t="s">
        <v>363</v>
      </c>
      <c r="K1181" s="947">
        <v>411637</v>
      </c>
      <c r="M1181" s="631"/>
      <c r="P1181" s="950" t="str">
        <f>VLOOKUP(J1181,'רשימת רשויות'!A:A,1,0)</f>
        <v>פתח תקוה</v>
      </c>
      <c r="Q1181" s="956">
        <f>IFERROR(VLOOKUP(B1181,[2]מעובד!$D:$K,8,0),0)</f>
        <v>282</v>
      </c>
      <c r="R1181" s="956">
        <f>IFERROR(VLOOKUP(B1181,[2]מעובד!$D:$L,9,0),0)</f>
        <v>176</v>
      </c>
    </row>
    <row r="1182" spans="1:18" x14ac:dyDescent="0.2">
      <c r="A1182" s="947" t="s">
        <v>363</v>
      </c>
      <c r="B1182" s="947">
        <v>411652</v>
      </c>
      <c r="C1182" s="947" t="s">
        <v>2189</v>
      </c>
      <c r="D1182" s="947" t="s">
        <v>681</v>
      </c>
      <c r="E1182" s="951">
        <v>191</v>
      </c>
      <c r="F1182" s="951">
        <v>125</v>
      </c>
      <c r="G1182" s="947" t="s">
        <v>159</v>
      </c>
      <c r="H1182" s="951">
        <v>191</v>
      </c>
      <c r="I1182" s="951">
        <v>58</v>
      </c>
      <c r="J1182" s="947" t="s">
        <v>363</v>
      </c>
      <c r="K1182" s="947">
        <v>411652</v>
      </c>
      <c r="M1182" s="631"/>
      <c r="P1182" s="950" t="str">
        <f>VLOOKUP(J1182,'רשימת רשויות'!A:A,1,0)</f>
        <v>פתח תקוה</v>
      </c>
      <c r="Q1182" s="956">
        <f>IFERROR(VLOOKUP(B1182,[2]מעובד!$D:$K,8,0),0)</f>
        <v>132</v>
      </c>
      <c r="R1182" s="956">
        <f>IFERROR(VLOOKUP(B1182,[2]מעובד!$D:$L,9,0),0)</f>
        <v>44</v>
      </c>
    </row>
    <row r="1183" spans="1:18" x14ac:dyDescent="0.2">
      <c r="A1183" s="947" t="s">
        <v>363</v>
      </c>
      <c r="B1183" s="947">
        <v>411660</v>
      </c>
      <c r="C1183" s="947" t="s">
        <v>2189</v>
      </c>
      <c r="D1183" s="947" t="s">
        <v>682</v>
      </c>
      <c r="E1183" s="951">
        <v>164</v>
      </c>
      <c r="F1183" s="951">
        <v>124</v>
      </c>
      <c r="G1183" s="947" t="s">
        <v>159</v>
      </c>
      <c r="H1183" s="951">
        <v>0</v>
      </c>
      <c r="I1183" s="951">
        <v>0</v>
      </c>
      <c r="J1183" s="947" t="s">
        <v>363</v>
      </c>
      <c r="K1183" s="947">
        <v>411660</v>
      </c>
      <c r="M1183" s="631"/>
      <c r="P1183" s="950" t="str">
        <f>VLOOKUP(J1183,'רשימת רשויות'!A:A,1,0)</f>
        <v>פתח תקוה</v>
      </c>
      <c r="Q1183" s="956">
        <f>IFERROR(VLOOKUP(B1183,[2]מעובד!$D:$K,8,0),0)</f>
        <v>177</v>
      </c>
      <c r="R1183" s="956">
        <f>IFERROR(VLOOKUP(B1183,[2]מעובד!$D:$L,9,0),0)</f>
        <v>91</v>
      </c>
    </row>
    <row r="1184" spans="1:18" x14ac:dyDescent="0.2">
      <c r="A1184" s="947" t="s">
        <v>363</v>
      </c>
      <c r="B1184" s="947">
        <v>411686</v>
      </c>
      <c r="C1184" s="947" t="s">
        <v>2189</v>
      </c>
      <c r="D1184" s="947" t="s">
        <v>612</v>
      </c>
      <c r="E1184" s="951">
        <v>179</v>
      </c>
      <c r="F1184" s="951">
        <v>167</v>
      </c>
      <c r="G1184" s="947" t="s">
        <v>159</v>
      </c>
      <c r="H1184" s="951">
        <v>82</v>
      </c>
      <c r="I1184" s="951">
        <v>10</v>
      </c>
      <c r="J1184" s="947" t="s">
        <v>363</v>
      </c>
      <c r="K1184" s="947">
        <v>411686</v>
      </c>
      <c r="M1184" s="631"/>
      <c r="P1184" s="950" t="str">
        <f>VLOOKUP(J1184,'רשימת רשויות'!A:A,1,0)</f>
        <v>פתח תקוה</v>
      </c>
      <c r="Q1184" s="956">
        <f>IFERROR(VLOOKUP(B1184,[2]מעובד!$D:$K,8,0),0)</f>
        <v>133</v>
      </c>
      <c r="R1184" s="956">
        <f>IFERROR(VLOOKUP(B1184,[2]מעובד!$D:$L,9,0),0)</f>
        <v>53</v>
      </c>
    </row>
    <row r="1185" spans="1:18" x14ac:dyDescent="0.2">
      <c r="A1185" s="947" t="s">
        <v>363</v>
      </c>
      <c r="B1185" s="947">
        <v>411694</v>
      </c>
      <c r="C1185" s="947" t="s">
        <v>2189</v>
      </c>
      <c r="D1185" s="947" t="s">
        <v>684</v>
      </c>
      <c r="E1185" s="951">
        <v>128</v>
      </c>
      <c r="F1185" s="951">
        <v>109</v>
      </c>
      <c r="G1185" s="947" t="s">
        <v>159</v>
      </c>
      <c r="H1185" s="951">
        <v>0</v>
      </c>
      <c r="I1185" s="951">
        <v>0</v>
      </c>
      <c r="J1185" s="947" t="s">
        <v>363</v>
      </c>
      <c r="K1185" s="947">
        <v>411694</v>
      </c>
      <c r="M1185" s="631"/>
      <c r="P1185" s="950" t="str">
        <f>VLOOKUP(J1185,'רשימת רשויות'!A:A,1,0)</f>
        <v>פתח תקוה</v>
      </c>
      <c r="Q1185" s="956">
        <f>IFERROR(VLOOKUP(B1185,[2]מעובד!$D:$K,8,0),0)</f>
        <v>91</v>
      </c>
      <c r="R1185" s="956">
        <f>IFERROR(VLOOKUP(B1185,[2]מעובד!$D:$L,9,0),0)</f>
        <v>35</v>
      </c>
    </row>
    <row r="1186" spans="1:18" x14ac:dyDescent="0.2">
      <c r="A1186" s="947" t="s">
        <v>363</v>
      </c>
      <c r="B1186" s="947">
        <v>411702</v>
      </c>
      <c r="C1186" s="947" t="s">
        <v>2189</v>
      </c>
      <c r="D1186" s="947" t="s">
        <v>685</v>
      </c>
      <c r="E1186" s="951">
        <v>175</v>
      </c>
      <c r="F1186" s="951">
        <v>167</v>
      </c>
      <c r="G1186" s="947" t="s">
        <v>159</v>
      </c>
      <c r="H1186" s="951">
        <v>0</v>
      </c>
      <c r="I1186" s="951">
        <v>0</v>
      </c>
      <c r="J1186" s="947" t="s">
        <v>363</v>
      </c>
      <c r="K1186" s="947">
        <v>411702</v>
      </c>
      <c r="M1186" s="631"/>
      <c r="P1186" s="950" t="str">
        <f>VLOOKUP(J1186,'רשימת רשויות'!A:A,1,0)</f>
        <v>פתח תקוה</v>
      </c>
      <c r="Q1186" s="956">
        <f>IFERROR(VLOOKUP(B1186,[2]מעובד!$D:$K,8,0),0)</f>
        <v>174</v>
      </c>
      <c r="R1186" s="956">
        <f>IFERROR(VLOOKUP(B1186,[2]מעובד!$D:$L,9,0),0)</f>
        <v>62</v>
      </c>
    </row>
    <row r="1187" spans="1:18" x14ac:dyDescent="0.2">
      <c r="A1187" s="947" t="s">
        <v>363</v>
      </c>
      <c r="B1187" s="947">
        <v>411710</v>
      </c>
      <c r="C1187" s="947" t="s">
        <v>2189</v>
      </c>
      <c r="D1187" s="947" t="s">
        <v>686</v>
      </c>
      <c r="E1187" s="951">
        <v>460</v>
      </c>
      <c r="F1187" s="951">
        <v>430</v>
      </c>
      <c r="G1187" s="947" t="s">
        <v>159</v>
      </c>
      <c r="H1187" s="951">
        <v>0</v>
      </c>
      <c r="I1187" s="951">
        <v>0</v>
      </c>
      <c r="J1187" s="947" t="s">
        <v>363</v>
      </c>
      <c r="K1187" s="947">
        <v>411710</v>
      </c>
      <c r="M1187" s="631"/>
      <c r="P1187" s="950" t="str">
        <f>VLOOKUP(J1187,'רשימת רשויות'!A:A,1,0)</f>
        <v>פתח תקוה</v>
      </c>
      <c r="Q1187" s="956">
        <f>IFERROR(VLOOKUP(B1187,[2]מעובד!$D:$K,8,0),0)</f>
        <v>390</v>
      </c>
      <c r="R1187" s="956">
        <f>IFERROR(VLOOKUP(B1187,[2]מעובד!$D:$L,9,0),0)</f>
        <v>92</v>
      </c>
    </row>
    <row r="1188" spans="1:18" x14ac:dyDescent="0.2">
      <c r="A1188" s="947" t="s">
        <v>363</v>
      </c>
      <c r="B1188" s="947">
        <v>411736</v>
      </c>
      <c r="C1188" s="947" t="s">
        <v>2189</v>
      </c>
      <c r="D1188" s="947" t="s">
        <v>687</v>
      </c>
      <c r="E1188" s="951">
        <v>226</v>
      </c>
      <c r="F1188" s="951">
        <v>216</v>
      </c>
      <c r="G1188" s="947" t="s">
        <v>159</v>
      </c>
      <c r="H1188" s="951">
        <v>87</v>
      </c>
      <c r="I1188" s="951">
        <v>10</v>
      </c>
      <c r="J1188" s="947" t="s">
        <v>363</v>
      </c>
      <c r="K1188" s="947">
        <v>411736</v>
      </c>
      <c r="M1188" s="631"/>
      <c r="P1188" s="950" t="str">
        <f>VLOOKUP(J1188,'רשימת רשויות'!A:A,1,0)</f>
        <v>פתח תקוה</v>
      </c>
      <c r="Q1188" s="956">
        <f>IFERROR(VLOOKUP(B1188,[2]מעובד!$D:$K,8,0),0)</f>
        <v>285</v>
      </c>
      <c r="R1188" s="956">
        <f>IFERROR(VLOOKUP(B1188,[2]מעובד!$D:$L,9,0),0)</f>
        <v>85</v>
      </c>
    </row>
    <row r="1189" spans="1:18" x14ac:dyDescent="0.2">
      <c r="A1189" s="947" t="s">
        <v>262</v>
      </c>
      <c r="B1189" s="947">
        <v>411751</v>
      </c>
      <c r="C1189" s="947" t="s">
        <v>2189</v>
      </c>
      <c r="D1189" s="947" t="s">
        <v>1529</v>
      </c>
      <c r="E1189" s="951">
        <v>220</v>
      </c>
      <c r="F1189" s="951">
        <v>145</v>
      </c>
      <c r="G1189" s="947" t="s">
        <v>159</v>
      </c>
      <c r="H1189" s="951">
        <v>0</v>
      </c>
      <c r="I1189" s="951">
        <v>0</v>
      </c>
      <c r="J1189" s="947" t="s">
        <v>262</v>
      </c>
      <c r="K1189" s="947">
        <v>411751</v>
      </c>
      <c r="M1189" s="631"/>
      <c r="P1189" s="950" t="str">
        <f>VLOOKUP(J1189,'רשימת רשויות'!A:A,1,0)</f>
        <v>יבנה</v>
      </c>
      <c r="Q1189" s="956">
        <f>IFERROR(VLOOKUP(B1189,[2]מעובד!$D:$K,8,0),0)</f>
        <v>0</v>
      </c>
      <c r="R1189" s="956">
        <f>IFERROR(VLOOKUP(B1189,[2]מעובד!$D:$L,9,0),0)</f>
        <v>0</v>
      </c>
    </row>
    <row r="1190" spans="1:18" x14ac:dyDescent="0.2">
      <c r="A1190" s="947" t="s">
        <v>363</v>
      </c>
      <c r="B1190" s="947">
        <v>411769</v>
      </c>
      <c r="C1190" s="947" t="s">
        <v>2189</v>
      </c>
      <c r="D1190" s="947" t="s">
        <v>688</v>
      </c>
      <c r="E1190" s="951">
        <v>444</v>
      </c>
      <c r="F1190" s="951">
        <v>402</v>
      </c>
      <c r="G1190" s="947" t="s">
        <v>159</v>
      </c>
      <c r="H1190" s="951">
        <v>444</v>
      </c>
      <c r="I1190" s="951">
        <v>29</v>
      </c>
      <c r="J1190" s="947" t="s">
        <v>363</v>
      </c>
      <c r="K1190" s="947">
        <v>411769</v>
      </c>
      <c r="M1190" s="631"/>
      <c r="P1190" s="950" t="str">
        <f>VLOOKUP(J1190,'רשימת רשויות'!A:A,1,0)</f>
        <v>פתח תקוה</v>
      </c>
      <c r="Q1190" s="956">
        <f>IFERROR(VLOOKUP(B1190,[2]מעובד!$D:$K,8,0),0)</f>
        <v>410</v>
      </c>
      <c r="R1190" s="956">
        <f>IFERROR(VLOOKUP(B1190,[2]מעובד!$D:$L,9,0),0)</f>
        <v>68</v>
      </c>
    </row>
    <row r="1191" spans="1:18" x14ac:dyDescent="0.2">
      <c r="A1191" s="947" t="s">
        <v>227</v>
      </c>
      <c r="B1191" s="947">
        <v>411785</v>
      </c>
      <c r="C1191" s="947" t="s">
        <v>2189</v>
      </c>
      <c r="D1191" s="947" t="s">
        <v>1530</v>
      </c>
      <c r="E1191" s="951">
        <v>153</v>
      </c>
      <c r="F1191" s="951">
        <v>86</v>
      </c>
      <c r="G1191" s="947" t="s">
        <v>159</v>
      </c>
      <c r="H1191" s="951">
        <v>106</v>
      </c>
      <c r="I1191" s="951">
        <v>0</v>
      </c>
      <c r="J1191" s="947" t="s">
        <v>227</v>
      </c>
      <c r="K1191" s="947">
        <v>411785</v>
      </c>
      <c r="M1191" s="631"/>
      <c r="P1191" s="950" t="str">
        <f>VLOOKUP(J1191,'רשימת רשויות'!A:A,1,0)</f>
        <v>דרום השרון</v>
      </c>
      <c r="Q1191" s="956">
        <f>IFERROR(VLOOKUP(B1191,[2]מעובד!$D:$K,8,0),0)</f>
        <v>0</v>
      </c>
      <c r="R1191" s="956">
        <f>IFERROR(VLOOKUP(B1191,[2]מעובד!$D:$L,9,0),0)</f>
        <v>0</v>
      </c>
    </row>
    <row r="1192" spans="1:18" x14ac:dyDescent="0.2">
      <c r="A1192" s="947" t="s">
        <v>291</v>
      </c>
      <c r="B1192" s="947">
        <v>411793</v>
      </c>
      <c r="C1192" s="947" t="s">
        <v>2189</v>
      </c>
      <c r="D1192" s="947" t="s">
        <v>1531</v>
      </c>
      <c r="E1192" s="951">
        <v>154</v>
      </c>
      <c r="F1192" s="951">
        <v>123</v>
      </c>
      <c r="G1192" s="947" t="s">
        <v>159</v>
      </c>
      <c r="H1192" s="951">
        <v>0</v>
      </c>
      <c r="I1192" s="951">
        <v>0</v>
      </c>
      <c r="J1192" s="947" t="s">
        <v>291</v>
      </c>
      <c r="K1192" s="947">
        <v>411793</v>
      </c>
      <c r="M1192" s="631"/>
      <c r="P1192" s="950" t="str">
        <f>VLOOKUP(J1192,'רשימת רשויות'!A:A,1,0)</f>
        <v>לב השרון</v>
      </c>
      <c r="Q1192" s="956">
        <f>IFERROR(VLOOKUP(B1192,[2]מעובד!$D:$K,8,0),0)</f>
        <v>0</v>
      </c>
      <c r="R1192" s="956">
        <f>IFERROR(VLOOKUP(B1192,[2]מעובד!$D:$L,9,0),0)</f>
        <v>0</v>
      </c>
    </row>
    <row r="1193" spans="1:18" x14ac:dyDescent="0.2">
      <c r="A1193" s="947" t="s">
        <v>364</v>
      </c>
      <c r="B1193" s="947">
        <v>411819</v>
      </c>
      <c r="C1193" s="947" t="s">
        <v>2189</v>
      </c>
      <c r="D1193" s="947" t="s">
        <v>583</v>
      </c>
      <c r="E1193" s="951">
        <v>201</v>
      </c>
      <c r="F1193" s="951">
        <v>145</v>
      </c>
      <c r="G1193" s="947" t="s">
        <v>159</v>
      </c>
      <c r="H1193" s="951">
        <v>0</v>
      </c>
      <c r="I1193" s="951">
        <v>0</v>
      </c>
      <c r="J1193" s="947" t="s">
        <v>364</v>
      </c>
      <c r="K1193" s="947">
        <v>411819</v>
      </c>
      <c r="M1193" s="631"/>
      <c r="P1193" s="950" t="str">
        <f>VLOOKUP(J1193,'רשימת רשויות'!A:A,1,0)</f>
        <v>צורן קדימה</v>
      </c>
      <c r="Q1193" s="956">
        <f>IFERROR(VLOOKUP(B1193,[2]מעובד!$D:$K,8,0),0)</f>
        <v>190</v>
      </c>
      <c r="R1193" s="956">
        <f>IFERROR(VLOOKUP(B1193,[2]מעובד!$D:$L,9,0),0)</f>
        <v>50</v>
      </c>
    </row>
    <row r="1194" spans="1:18" x14ac:dyDescent="0.2">
      <c r="A1194" s="947" t="s">
        <v>364</v>
      </c>
      <c r="B1194" s="947">
        <v>411827</v>
      </c>
      <c r="C1194" s="947" t="s">
        <v>2189</v>
      </c>
      <c r="D1194" s="947" t="s">
        <v>1532</v>
      </c>
      <c r="E1194" s="951">
        <v>74</v>
      </c>
      <c r="F1194" s="951">
        <v>28</v>
      </c>
      <c r="G1194" s="947" t="s">
        <v>159</v>
      </c>
      <c r="H1194" s="951">
        <v>34</v>
      </c>
      <c r="I1194" s="951">
        <v>0</v>
      </c>
      <c r="J1194" s="947" t="s">
        <v>364</v>
      </c>
      <c r="K1194" s="947">
        <v>411827</v>
      </c>
      <c r="M1194" s="631"/>
      <c r="P1194" s="950" t="str">
        <f>VLOOKUP(J1194,'רשימת רשויות'!A:A,1,0)</f>
        <v>צורן קדימה</v>
      </c>
      <c r="Q1194" s="956">
        <f>IFERROR(VLOOKUP(B1194,[2]מעובד!$D:$K,8,0),0)</f>
        <v>71</v>
      </c>
      <c r="R1194" s="956">
        <f>IFERROR(VLOOKUP(B1194,[2]מעובד!$D:$L,9,0),0)</f>
        <v>43</v>
      </c>
    </row>
    <row r="1195" spans="1:18" x14ac:dyDescent="0.2">
      <c r="A1195" s="947" t="s">
        <v>205</v>
      </c>
      <c r="B1195" s="947">
        <v>411835</v>
      </c>
      <c r="C1195" s="947" t="s">
        <v>2189</v>
      </c>
      <c r="D1195" s="947" t="s">
        <v>1544</v>
      </c>
      <c r="E1195" s="951">
        <v>208</v>
      </c>
      <c r="F1195" s="951">
        <v>77</v>
      </c>
      <c r="G1195" s="947" t="s">
        <v>159</v>
      </c>
      <c r="H1195" s="951">
        <v>0</v>
      </c>
      <c r="I1195" s="951">
        <v>0</v>
      </c>
      <c r="J1195" s="947" t="s">
        <v>205</v>
      </c>
      <c r="K1195" s="947">
        <v>411835</v>
      </c>
      <c r="M1195" s="631"/>
      <c r="P1195" s="950" t="str">
        <f>VLOOKUP(J1195,'רשימת רשויות'!A:A,1,0)</f>
        <v>ברנר</v>
      </c>
      <c r="Q1195" s="956">
        <f>IFERROR(VLOOKUP(B1195,[2]מעובד!$D:$K,8,0),0)</f>
        <v>218</v>
      </c>
      <c r="R1195" s="956">
        <f>IFERROR(VLOOKUP(B1195,[2]מעובד!$D:$L,9,0),0)</f>
        <v>57</v>
      </c>
    </row>
    <row r="1196" spans="1:18" x14ac:dyDescent="0.2">
      <c r="A1196" s="947" t="s">
        <v>383</v>
      </c>
      <c r="B1196" s="947">
        <v>411843</v>
      </c>
      <c r="C1196" s="947" t="s">
        <v>2189</v>
      </c>
      <c r="D1196" s="947" t="s">
        <v>1545</v>
      </c>
      <c r="E1196" s="951">
        <v>220</v>
      </c>
      <c r="F1196" s="951">
        <v>158</v>
      </c>
      <c r="G1196" s="947" t="s">
        <v>159</v>
      </c>
      <c r="H1196" s="951">
        <v>145</v>
      </c>
      <c r="I1196" s="951">
        <v>20</v>
      </c>
      <c r="J1196" s="947" t="s">
        <v>383</v>
      </c>
      <c r="K1196" s="947">
        <v>411843</v>
      </c>
      <c r="M1196" s="631"/>
      <c r="P1196" s="950" t="str">
        <f>VLOOKUP(J1196,'רשימת רשויות'!A:A,1,0)</f>
        <v>ראש העין</v>
      </c>
      <c r="Q1196" s="956">
        <f>IFERROR(VLOOKUP(B1196,[2]מעובד!$D:$K,8,0),0)</f>
        <v>183</v>
      </c>
      <c r="R1196" s="956">
        <f>IFERROR(VLOOKUP(B1196,[2]מעובד!$D:$L,9,0),0)</f>
        <v>130</v>
      </c>
    </row>
    <row r="1197" spans="1:18" x14ac:dyDescent="0.2">
      <c r="A1197" s="947" t="s">
        <v>383</v>
      </c>
      <c r="B1197" s="947">
        <v>411850</v>
      </c>
      <c r="C1197" s="947" t="s">
        <v>2189</v>
      </c>
      <c r="D1197" s="947" t="s">
        <v>1546</v>
      </c>
      <c r="E1197" s="951">
        <v>217</v>
      </c>
      <c r="F1197" s="951">
        <v>184</v>
      </c>
      <c r="G1197" s="947" t="s">
        <v>159</v>
      </c>
      <c r="H1197" s="951">
        <v>75</v>
      </c>
      <c r="I1197" s="951">
        <v>11</v>
      </c>
      <c r="J1197" s="947" t="s">
        <v>383</v>
      </c>
      <c r="K1197" s="947">
        <v>411850</v>
      </c>
      <c r="M1197" s="631"/>
      <c r="P1197" s="950" t="str">
        <f>VLOOKUP(J1197,'רשימת רשויות'!A:A,1,0)</f>
        <v>ראש העין</v>
      </c>
      <c r="Q1197" s="956">
        <f>IFERROR(VLOOKUP(B1197,[2]מעובד!$D:$K,8,0),0)</f>
        <v>208</v>
      </c>
      <c r="R1197" s="956">
        <f>IFERROR(VLOOKUP(B1197,[2]מעובד!$D:$L,9,0),0)</f>
        <v>74</v>
      </c>
    </row>
    <row r="1198" spans="1:18" x14ac:dyDescent="0.2">
      <c r="A1198" s="947" t="s">
        <v>383</v>
      </c>
      <c r="B1198" s="947">
        <v>411868</v>
      </c>
      <c r="C1198" s="947" t="s">
        <v>2189</v>
      </c>
      <c r="D1198" s="947" t="s">
        <v>1466</v>
      </c>
      <c r="E1198" s="951">
        <v>187</v>
      </c>
      <c r="F1198" s="951">
        <v>130</v>
      </c>
      <c r="G1198" s="947" t="s">
        <v>159</v>
      </c>
      <c r="H1198" s="951">
        <v>76</v>
      </c>
      <c r="I1198" s="951">
        <v>12</v>
      </c>
      <c r="J1198" s="947" t="s">
        <v>383</v>
      </c>
      <c r="K1198" s="947">
        <v>411868</v>
      </c>
      <c r="M1198" s="631"/>
      <c r="P1198" s="950" t="str">
        <f>VLOOKUP(J1198,'רשימת רשויות'!A:A,1,0)</f>
        <v>ראש העין</v>
      </c>
      <c r="Q1198" s="956">
        <f>IFERROR(VLOOKUP(B1198,[2]מעובד!$D:$K,8,0),0)</f>
        <v>194</v>
      </c>
      <c r="R1198" s="956">
        <f>IFERROR(VLOOKUP(B1198,[2]מעובד!$D:$L,9,0),0)</f>
        <v>100</v>
      </c>
    </row>
    <row r="1199" spans="1:18" x14ac:dyDescent="0.2">
      <c r="A1199" s="947" t="s">
        <v>385</v>
      </c>
      <c r="B1199" s="947">
        <v>411876</v>
      </c>
      <c r="C1199" s="947" t="s">
        <v>2189</v>
      </c>
      <c r="D1199" s="947" t="s">
        <v>434</v>
      </c>
      <c r="E1199" s="951">
        <v>228</v>
      </c>
      <c r="F1199" s="951">
        <v>165</v>
      </c>
      <c r="G1199" s="947" t="s">
        <v>159</v>
      </c>
      <c r="H1199" s="951">
        <v>160</v>
      </c>
      <c r="I1199" s="951">
        <v>3</v>
      </c>
      <c r="J1199" s="947" t="s">
        <v>385</v>
      </c>
      <c r="K1199" s="947">
        <v>411876</v>
      </c>
      <c r="M1199" s="631"/>
      <c r="P1199" s="950" t="str">
        <f>VLOOKUP(J1199,'רשימת רשויות'!A:A,1,0)</f>
        <v>ראשון לציון</v>
      </c>
      <c r="Q1199" s="956">
        <f>IFERROR(VLOOKUP(B1199,[2]מעובד!$D:$K,8,0),0)</f>
        <v>284</v>
      </c>
      <c r="R1199" s="956">
        <f>IFERROR(VLOOKUP(B1199,[2]מעובד!$D:$L,9,0),0)</f>
        <v>99</v>
      </c>
    </row>
    <row r="1200" spans="1:18" x14ac:dyDescent="0.2">
      <c r="A1200" s="947" t="s">
        <v>385</v>
      </c>
      <c r="B1200" s="947">
        <v>411892</v>
      </c>
      <c r="C1200" s="947" t="s">
        <v>2189</v>
      </c>
      <c r="D1200" s="947" t="s">
        <v>1547</v>
      </c>
      <c r="E1200" s="951">
        <v>161</v>
      </c>
      <c r="F1200" s="951">
        <v>85</v>
      </c>
      <c r="G1200" s="947" t="s">
        <v>159</v>
      </c>
      <c r="H1200" s="951">
        <v>0</v>
      </c>
      <c r="I1200" s="951">
        <v>0</v>
      </c>
      <c r="J1200" s="947" t="s">
        <v>385</v>
      </c>
      <c r="K1200" s="947">
        <v>411892</v>
      </c>
      <c r="M1200" s="631"/>
      <c r="P1200" s="950" t="str">
        <f>VLOOKUP(J1200,'רשימת רשויות'!A:A,1,0)</f>
        <v>ראשון לציון</v>
      </c>
      <c r="Q1200" s="956">
        <f>IFERROR(VLOOKUP(B1200,[2]מעובד!$D:$K,8,0),0)</f>
        <v>157</v>
      </c>
      <c r="R1200" s="956">
        <f>IFERROR(VLOOKUP(B1200,[2]מעובד!$D:$L,9,0),0)</f>
        <v>47</v>
      </c>
    </row>
    <row r="1201" spans="1:18" x14ac:dyDescent="0.2">
      <c r="A1201" s="947" t="s">
        <v>385</v>
      </c>
      <c r="B1201" s="947">
        <v>411900</v>
      </c>
      <c r="C1201" s="947" t="s">
        <v>2189</v>
      </c>
      <c r="D1201" s="947" t="s">
        <v>1548</v>
      </c>
      <c r="E1201" s="951">
        <v>203</v>
      </c>
      <c r="F1201" s="951">
        <v>122</v>
      </c>
      <c r="G1201" s="947" t="s">
        <v>159</v>
      </c>
      <c r="H1201" s="951">
        <v>0</v>
      </c>
      <c r="I1201" s="951">
        <v>0</v>
      </c>
      <c r="J1201" s="947" t="s">
        <v>385</v>
      </c>
      <c r="K1201" s="947">
        <v>411900</v>
      </c>
      <c r="M1201" s="631"/>
      <c r="P1201" s="950" t="str">
        <f>VLOOKUP(J1201,'רשימת רשויות'!A:A,1,0)</f>
        <v>ראשון לציון</v>
      </c>
      <c r="Q1201" s="956">
        <f>IFERROR(VLOOKUP(B1201,[2]מעובד!$D:$K,8,0),0)</f>
        <v>222</v>
      </c>
      <c r="R1201" s="956">
        <f>IFERROR(VLOOKUP(B1201,[2]מעובד!$D:$L,9,0),0)</f>
        <v>77</v>
      </c>
    </row>
    <row r="1202" spans="1:18" x14ac:dyDescent="0.2">
      <c r="A1202" s="947" t="s">
        <v>385</v>
      </c>
      <c r="B1202" s="947">
        <v>411918</v>
      </c>
      <c r="C1202" s="947" t="s">
        <v>2189</v>
      </c>
      <c r="D1202" s="947" t="s">
        <v>2181</v>
      </c>
      <c r="E1202" s="951">
        <v>288</v>
      </c>
      <c r="F1202" s="951">
        <v>137</v>
      </c>
      <c r="G1202" s="947" t="s">
        <v>159</v>
      </c>
      <c r="H1202" s="951">
        <v>202</v>
      </c>
      <c r="I1202" s="951">
        <v>0</v>
      </c>
      <c r="J1202" s="947" t="s">
        <v>385</v>
      </c>
      <c r="K1202" s="947">
        <v>411918</v>
      </c>
      <c r="M1202" s="631"/>
      <c r="P1202" s="950" t="str">
        <f>VLOOKUP(J1202,'רשימת רשויות'!A:A,1,0)</f>
        <v>ראשון לציון</v>
      </c>
      <c r="Q1202" s="956">
        <f>IFERROR(VLOOKUP(B1202,[2]מעובד!$D:$K,8,0),0)</f>
        <v>305</v>
      </c>
      <c r="R1202" s="956">
        <f>IFERROR(VLOOKUP(B1202,[2]מעובד!$D:$L,9,0),0)</f>
        <v>74</v>
      </c>
    </row>
    <row r="1203" spans="1:18" x14ac:dyDescent="0.2">
      <c r="A1203" s="947" t="s">
        <v>336</v>
      </c>
      <c r="B1203" s="947">
        <v>411926</v>
      </c>
      <c r="C1203" s="947" t="s">
        <v>2189</v>
      </c>
      <c r="D1203" s="947" t="s">
        <v>443</v>
      </c>
      <c r="E1203" s="951">
        <v>176</v>
      </c>
      <c r="F1203" s="951">
        <v>142</v>
      </c>
      <c r="G1203" s="947" t="s">
        <v>159</v>
      </c>
      <c r="H1203" s="951">
        <v>123</v>
      </c>
      <c r="I1203" s="951">
        <v>15</v>
      </c>
      <c r="J1203" s="947" t="s">
        <v>336</v>
      </c>
      <c r="K1203" s="957" t="s">
        <v>3299</v>
      </c>
      <c r="M1203" s="631"/>
      <c r="P1203" s="950" t="str">
        <f>VLOOKUP(J1203,'רשימת רשויות'!A:A,1,0)</f>
        <v>נתניה</v>
      </c>
      <c r="Q1203" s="956">
        <f>IFERROR(VLOOKUP(B1203,[2]מעובד!$D:$K,8,0),0)</f>
        <v>206</v>
      </c>
      <c r="R1203" s="956">
        <f>IFERROR(VLOOKUP(B1203,[2]מעובד!$D:$L,9,0),0)</f>
        <v>62</v>
      </c>
    </row>
    <row r="1204" spans="1:18" x14ac:dyDescent="0.2">
      <c r="A1204" s="947" t="s">
        <v>385</v>
      </c>
      <c r="B1204" s="947">
        <v>411934</v>
      </c>
      <c r="C1204" s="947" t="s">
        <v>2189</v>
      </c>
      <c r="D1204" s="947" t="s">
        <v>703</v>
      </c>
      <c r="E1204" s="951">
        <v>176</v>
      </c>
      <c r="F1204" s="951">
        <v>85</v>
      </c>
      <c r="G1204" s="947" t="s">
        <v>159</v>
      </c>
      <c r="H1204" s="951">
        <v>0</v>
      </c>
      <c r="I1204" s="951">
        <v>0</v>
      </c>
      <c r="J1204" s="947" t="s">
        <v>385</v>
      </c>
      <c r="K1204" s="947">
        <v>411934</v>
      </c>
      <c r="M1204" s="631"/>
      <c r="P1204" s="950" t="str">
        <f>VLOOKUP(J1204,'רשימת רשויות'!A:A,1,0)</f>
        <v>ראשון לציון</v>
      </c>
      <c r="Q1204" s="956">
        <f>IFERROR(VLOOKUP(B1204,[2]מעובד!$D:$K,8,0),0)</f>
        <v>134</v>
      </c>
      <c r="R1204" s="956">
        <f>IFERROR(VLOOKUP(B1204,[2]מעובד!$D:$L,9,0),0)</f>
        <v>45</v>
      </c>
    </row>
    <row r="1205" spans="1:18" x14ac:dyDescent="0.2">
      <c r="A1205" s="947" t="s">
        <v>385</v>
      </c>
      <c r="B1205" s="947">
        <v>411942</v>
      </c>
      <c r="C1205" s="947" t="s">
        <v>2189</v>
      </c>
      <c r="D1205" s="947" t="s">
        <v>1515</v>
      </c>
      <c r="E1205" s="951">
        <v>256</v>
      </c>
      <c r="F1205" s="951">
        <v>160</v>
      </c>
      <c r="G1205" s="947" t="s">
        <v>159</v>
      </c>
      <c r="H1205" s="951">
        <v>82</v>
      </c>
      <c r="I1205" s="951">
        <v>5</v>
      </c>
      <c r="J1205" s="947" t="s">
        <v>385</v>
      </c>
      <c r="K1205" s="947">
        <v>411942</v>
      </c>
      <c r="M1205" s="631"/>
      <c r="P1205" s="950" t="str">
        <f>VLOOKUP(J1205,'רשימת רשויות'!A:A,1,0)</f>
        <v>ראשון לציון</v>
      </c>
      <c r="Q1205" s="956">
        <f>IFERROR(VLOOKUP(B1205,[2]מעובד!$D:$K,8,0),0)</f>
        <v>219</v>
      </c>
      <c r="R1205" s="956">
        <f>IFERROR(VLOOKUP(B1205,[2]מעובד!$D:$L,9,0),0)</f>
        <v>80</v>
      </c>
    </row>
    <row r="1206" spans="1:18" x14ac:dyDescent="0.2">
      <c r="A1206" s="947" t="s">
        <v>387</v>
      </c>
      <c r="B1206" s="947">
        <v>411959</v>
      </c>
      <c r="C1206" s="947" t="s">
        <v>2189</v>
      </c>
      <c r="D1206" s="947" t="s">
        <v>758</v>
      </c>
      <c r="E1206" s="951">
        <v>76</v>
      </c>
      <c r="F1206" s="951">
        <v>44</v>
      </c>
      <c r="G1206" s="947" t="s">
        <v>159</v>
      </c>
      <c r="H1206" s="951">
        <v>0</v>
      </c>
      <c r="I1206" s="951">
        <v>0</v>
      </c>
      <c r="J1206" s="947" t="s">
        <v>387</v>
      </c>
      <c r="K1206" s="957" t="s">
        <v>3300</v>
      </c>
      <c r="M1206" s="631"/>
      <c r="P1206" s="950" t="str">
        <f>VLOOKUP(J1206,'רשימת רשויות'!A:A,1,0)</f>
        <v>רחובות</v>
      </c>
      <c r="Q1206" s="956">
        <f>IFERROR(VLOOKUP(B1206,[2]מעובד!$D:$K,8,0),0)</f>
        <v>0</v>
      </c>
      <c r="R1206" s="956">
        <f>IFERROR(VLOOKUP(B1206,[2]מעובד!$D:$L,9,0),0)</f>
        <v>0</v>
      </c>
    </row>
    <row r="1207" spans="1:18" x14ac:dyDescent="0.2">
      <c r="A1207" s="947" t="s">
        <v>387</v>
      </c>
      <c r="B1207" s="947">
        <v>411983</v>
      </c>
      <c r="C1207" s="947" t="s">
        <v>2189</v>
      </c>
      <c r="D1207" s="947" t="s">
        <v>607</v>
      </c>
      <c r="E1207" s="951">
        <v>352</v>
      </c>
      <c r="F1207" s="951">
        <v>296</v>
      </c>
      <c r="G1207" s="947" t="s">
        <v>159</v>
      </c>
      <c r="H1207" s="951">
        <v>0</v>
      </c>
      <c r="I1207" s="951">
        <v>0</v>
      </c>
      <c r="J1207" s="947" t="s">
        <v>387</v>
      </c>
      <c r="K1207" s="947">
        <v>411983</v>
      </c>
      <c r="M1207" s="631"/>
      <c r="P1207" s="950" t="str">
        <f>VLOOKUP(J1207,'רשימת רשויות'!A:A,1,0)</f>
        <v>רחובות</v>
      </c>
      <c r="Q1207" s="956">
        <f>IFERROR(VLOOKUP(B1207,[2]מעובד!$D:$K,8,0),0)</f>
        <v>286</v>
      </c>
      <c r="R1207" s="956">
        <f>IFERROR(VLOOKUP(B1207,[2]מעובד!$D:$L,9,0),0)</f>
        <v>100</v>
      </c>
    </row>
    <row r="1208" spans="1:18" x14ac:dyDescent="0.2">
      <c r="A1208" s="947" t="s">
        <v>387</v>
      </c>
      <c r="B1208" s="947">
        <v>411991</v>
      </c>
      <c r="C1208" s="947" t="s">
        <v>2189</v>
      </c>
      <c r="D1208" s="947" t="s">
        <v>506</v>
      </c>
      <c r="E1208" s="951">
        <v>289</v>
      </c>
      <c r="F1208" s="951">
        <v>271</v>
      </c>
      <c r="G1208" s="947" t="s">
        <v>159</v>
      </c>
      <c r="H1208" s="951">
        <v>0</v>
      </c>
      <c r="I1208" s="951">
        <v>0</v>
      </c>
      <c r="J1208" s="947" t="s">
        <v>387</v>
      </c>
      <c r="K1208" s="947">
        <v>411991</v>
      </c>
      <c r="M1208" s="631"/>
      <c r="P1208" s="950" t="str">
        <f>VLOOKUP(J1208,'רשימת רשויות'!A:A,1,0)</f>
        <v>רחובות</v>
      </c>
      <c r="Q1208" s="956">
        <f>IFERROR(VLOOKUP(B1208,[2]מעובד!$D:$K,8,0),0)</f>
        <v>307</v>
      </c>
      <c r="R1208" s="956">
        <f>IFERROR(VLOOKUP(B1208,[2]מעובד!$D:$L,9,0),0)</f>
        <v>113</v>
      </c>
    </row>
    <row r="1209" spans="1:18" x14ac:dyDescent="0.2">
      <c r="A1209" s="947" t="s">
        <v>385</v>
      </c>
      <c r="B1209" s="947">
        <v>412015</v>
      </c>
      <c r="C1209" s="947" t="s">
        <v>2189</v>
      </c>
      <c r="D1209" s="947" t="s">
        <v>1569</v>
      </c>
      <c r="E1209" s="951">
        <v>269</v>
      </c>
      <c r="F1209" s="951">
        <v>198</v>
      </c>
      <c r="G1209" s="947" t="s">
        <v>159</v>
      </c>
      <c r="H1209" s="951">
        <v>0</v>
      </c>
      <c r="I1209" s="951">
        <v>0</v>
      </c>
      <c r="J1209" s="947" t="s">
        <v>385</v>
      </c>
      <c r="K1209" s="947">
        <v>412015</v>
      </c>
      <c r="M1209" s="631"/>
      <c r="P1209" s="950" t="str">
        <f>VLOOKUP(J1209,'רשימת רשויות'!A:A,1,0)</f>
        <v>ראשון לציון</v>
      </c>
      <c r="Q1209" s="956">
        <f>IFERROR(VLOOKUP(B1209,[2]מעובד!$D:$K,8,0),0)</f>
        <v>260</v>
      </c>
      <c r="R1209" s="956">
        <f>IFERROR(VLOOKUP(B1209,[2]מעובד!$D:$L,9,0),0)</f>
        <v>78</v>
      </c>
    </row>
    <row r="1210" spans="1:18" x14ac:dyDescent="0.2">
      <c r="A1210" s="947" t="s">
        <v>387</v>
      </c>
      <c r="B1210" s="947">
        <v>412023</v>
      </c>
      <c r="C1210" s="947" t="s">
        <v>2189</v>
      </c>
      <c r="D1210" s="947" t="s">
        <v>458</v>
      </c>
      <c r="E1210" s="951">
        <v>265</v>
      </c>
      <c r="F1210" s="951">
        <v>226</v>
      </c>
      <c r="G1210" s="947" t="s">
        <v>159</v>
      </c>
      <c r="H1210" s="951">
        <v>0</v>
      </c>
      <c r="I1210" s="951">
        <v>0</v>
      </c>
      <c r="J1210" s="947" t="s">
        <v>387</v>
      </c>
      <c r="K1210" s="947">
        <v>412023</v>
      </c>
      <c r="M1210" s="631"/>
      <c r="P1210" s="950" t="str">
        <f>VLOOKUP(J1210,'רשימת רשויות'!A:A,1,0)</f>
        <v>רחובות</v>
      </c>
      <c r="Q1210" s="956">
        <f>IFERROR(VLOOKUP(B1210,[2]מעובד!$D:$K,8,0),0)</f>
        <v>0</v>
      </c>
      <c r="R1210" s="956">
        <f>IFERROR(VLOOKUP(B1210,[2]מעובד!$D:$L,9,0),0)</f>
        <v>0</v>
      </c>
    </row>
    <row r="1211" spans="1:18" x14ac:dyDescent="0.2">
      <c r="A1211" s="947" t="s">
        <v>387</v>
      </c>
      <c r="B1211" s="947">
        <v>412031</v>
      </c>
      <c r="C1211" s="947" t="s">
        <v>2189</v>
      </c>
      <c r="D1211" s="947" t="s">
        <v>1570</v>
      </c>
      <c r="E1211" s="951">
        <v>105</v>
      </c>
      <c r="F1211" s="951">
        <v>100</v>
      </c>
      <c r="G1211" s="947" t="s">
        <v>159</v>
      </c>
      <c r="H1211" s="951">
        <v>0</v>
      </c>
      <c r="I1211" s="951">
        <v>0</v>
      </c>
      <c r="J1211" s="947" t="s">
        <v>387</v>
      </c>
      <c r="K1211" s="947">
        <v>412031</v>
      </c>
      <c r="M1211" s="631"/>
      <c r="P1211" s="950" t="str">
        <f>VLOOKUP(J1211,'רשימת רשויות'!A:A,1,0)</f>
        <v>רחובות</v>
      </c>
      <c r="Q1211" s="956">
        <f>IFERROR(VLOOKUP(B1211,[2]מעובד!$D:$K,8,0),0)</f>
        <v>109</v>
      </c>
      <c r="R1211" s="956">
        <f>IFERROR(VLOOKUP(B1211,[2]מעובד!$D:$L,9,0),0)</f>
        <v>50</v>
      </c>
    </row>
    <row r="1212" spans="1:18" x14ac:dyDescent="0.2">
      <c r="A1212" s="947" t="s">
        <v>305</v>
      </c>
      <c r="B1212" s="947">
        <v>412049</v>
      </c>
      <c r="C1212" s="947" t="s">
        <v>2189</v>
      </c>
      <c r="D1212" s="947" t="s">
        <v>1124</v>
      </c>
      <c r="E1212" s="951">
        <v>58</v>
      </c>
      <c r="F1212" s="951">
        <v>43</v>
      </c>
      <c r="G1212" s="947" t="s">
        <v>159</v>
      </c>
      <c r="H1212" s="951">
        <v>39</v>
      </c>
      <c r="I1212" s="951">
        <v>5</v>
      </c>
      <c r="J1212" s="947" t="s">
        <v>305</v>
      </c>
      <c r="K1212" s="957" t="s">
        <v>3301</v>
      </c>
      <c r="M1212" s="631"/>
      <c r="P1212" s="950" t="str">
        <f>VLOOKUP(J1212,'רשימת רשויות'!A:A,1,0)</f>
        <v>מודיעין מכבים רעות</v>
      </c>
      <c r="Q1212" s="956">
        <f>IFERROR(VLOOKUP(B1212,[2]מעובד!$D:$K,8,0),0)</f>
        <v>56</v>
      </c>
      <c r="R1212" s="956">
        <f>IFERROR(VLOOKUP(B1212,[2]מעובד!$D:$L,9,0),0)</f>
        <v>33</v>
      </c>
    </row>
    <row r="1213" spans="1:18" x14ac:dyDescent="0.2">
      <c r="A1213" s="947" t="s">
        <v>385</v>
      </c>
      <c r="B1213" s="947">
        <v>412056</v>
      </c>
      <c r="C1213" s="947" t="s">
        <v>2189</v>
      </c>
      <c r="D1213" s="947" t="s">
        <v>1571</v>
      </c>
      <c r="E1213" s="951">
        <v>102</v>
      </c>
      <c r="F1213" s="951">
        <v>74</v>
      </c>
      <c r="G1213" s="947" t="s">
        <v>159</v>
      </c>
      <c r="H1213" s="951">
        <v>0</v>
      </c>
      <c r="I1213" s="951">
        <v>0</v>
      </c>
      <c r="J1213" s="947" t="s">
        <v>385</v>
      </c>
      <c r="K1213" s="947">
        <v>412056</v>
      </c>
      <c r="M1213" s="631"/>
      <c r="P1213" s="950" t="str">
        <f>VLOOKUP(J1213,'רשימת רשויות'!A:A,1,0)</f>
        <v>ראשון לציון</v>
      </c>
      <c r="Q1213" s="956">
        <f>IFERROR(VLOOKUP(B1213,[2]מעובד!$D:$K,8,0),0)</f>
        <v>111</v>
      </c>
      <c r="R1213" s="956">
        <f>IFERROR(VLOOKUP(B1213,[2]מעובד!$D:$L,9,0),0)</f>
        <v>26</v>
      </c>
    </row>
    <row r="1214" spans="1:18" x14ac:dyDescent="0.2">
      <c r="A1214" s="947" t="s">
        <v>387</v>
      </c>
      <c r="B1214" s="947">
        <v>412064</v>
      </c>
      <c r="C1214" s="947" t="s">
        <v>2189</v>
      </c>
      <c r="D1214" s="947" t="s">
        <v>1515</v>
      </c>
      <c r="E1214" s="951">
        <v>192</v>
      </c>
      <c r="F1214" s="951">
        <v>90</v>
      </c>
      <c r="G1214" s="947" t="s">
        <v>159</v>
      </c>
      <c r="H1214" s="951">
        <v>140</v>
      </c>
      <c r="I1214" s="951">
        <v>12</v>
      </c>
      <c r="J1214" s="947" t="s">
        <v>387</v>
      </c>
      <c r="K1214" s="947">
        <v>412064</v>
      </c>
      <c r="M1214" s="631"/>
      <c r="P1214" s="950" t="str">
        <f>VLOOKUP(J1214,'רשימת רשויות'!A:A,1,0)</f>
        <v>רחובות</v>
      </c>
      <c r="Q1214" s="956">
        <f>IFERROR(VLOOKUP(B1214,[2]מעובד!$D:$K,8,0),0)</f>
        <v>210</v>
      </c>
      <c r="R1214" s="956">
        <f>IFERROR(VLOOKUP(B1214,[2]מעובד!$D:$L,9,0),0)</f>
        <v>55</v>
      </c>
    </row>
    <row r="1215" spans="1:18" x14ac:dyDescent="0.2">
      <c r="A1215" s="947" t="s">
        <v>387</v>
      </c>
      <c r="B1215" s="947">
        <v>412080</v>
      </c>
      <c r="C1215" s="947" t="s">
        <v>2189</v>
      </c>
      <c r="D1215" s="947" t="s">
        <v>678</v>
      </c>
      <c r="E1215" s="951">
        <v>303</v>
      </c>
      <c r="F1215" s="951">
        <v>206</v>
      </c>
      <c r="G1215" s="947" t="s">
        <v>159</v>
      </c>
      <c r="H1215" s="951">
        <v>0</v>
      </c>
      <c r="I1215" s="951">
        <v>0</v>
      </c>
      <c r="J1215" s="947" t="s">
        <v>387</v>
      </c>
      <c r="K1215" s="947">
        <v>412080</v>
      </c>
      <c r="M1215" s="631"/>
      <c r="P1215" s="950" t="str">
        <f>VLOOKUP(J1215,'רשימת רשויות'!A:A,1,0)</f>
        <v>רחובות</v>
      </c>
      <c r="Q1215" s="956">
        <f>IFERROR(VLOOKUP(B1215,[2]מעובד!$D:$K,8,0),0)</f>
        <v>225</v>
      </c>
      <c r="R1215" s="956">
        <f>IFERROR(VLOOKUP(B1215,[2]מעובד!$D:$L,9,0),0)</f>
        <v>99</v>
      </c>
    </row>
    <row r="1216" spans="1:18" x14ac:dyDescent="0.2">
      <c r="A1216" s="947" t="s">
        <v>293</v>
      </c>
      <c r="B1216" s="947">
        <v>412114</v>
      </c>
      <c r="C1216" s="947" t="s">
        <v>2189</v>
      </c>
      <c r="D1216" s="947" t="s">
        <v>2413</v>
      </c>
      <c r="E1216" s="951">
        <v>91</v>
      </c>
      <c r="F1216" s="951">
        <v>89</v>
      </c>
      <c r="G1216" s="947" t="s">
        <v>3252</v>
      </c>
      <c r="H1216" s="951">
        <v>0</v>
      </c>
      <c r="I1216" s="951">
        <v>0</v>
      </c>
      <c r="J1216" s="947" t="s">
        <v>293</v>
      </c>
      <c r="K1216" s="947">
        <v>412114</v>
      </c>
      <c r="M1216" s="631"/>
      <c r="P1216" s="950" t="str">
        <f>VLOOKUP(J1216,'רשימת רשויות'!A:A,1,0)</f>
        <v>לוד</v>
      </c>
      <c r="Q1216" s="956">
        <f>IFERROR(VLOOKUP(B1216,[2]מעובד!$D:$K,8,0),0)</f>
        <v>114</v>
      </c>
      <c r="R1216" s="956">
        <f>IFERROR(VLOOKUP(B1216,[2]מעובד!$D:$L,9,0),0)</f>
        <v>49</v>
      </c>
    </row>
    <row r="1217" spans="1:18" x14ac:dyDescent="0.2">
      <c r="A1217" s="947" t="s">
        <v>390</v>
      </c>
      <c r="B1217" s="947">
        <v>412122</v>
      </c>
      <c r="C1217" s="947" t="s">
        <v>2189</v>
      </c>
      <c r="D1217" s="947" t="s">
        <v>928</v>
      </c>
      <c r="E1217" s="951">
        <v>113</v>
      </c>
      <c r="F1217" s="951">
        <v>90</v>
      </c>
      <c r="G1217" s="947" t="s">
        <v>159</v>
      </c>
      <c r="H1217" s="951">
        <v>0</v>
      </c>
      <c r="I1217" s="951">
        <v>0</v>
      </c>
      <c r="J1217" s="947" t="s">
        <v>390</v>
      </c>
      <c r="K1217" s="947">
        <v>412122</v>
      </c>
      <c r="M1217" s="631"/>
      <c r="P1217" s="950" t="str">
        <f>VLOOKUP(J1217,'רשימת רשויות'!A:A,1,0)</f>
        <v>רמלה</v>
      </c>
      <c r="Q1217" s="956">
        <f>IFERROR(VLOOKUP(B1217,[2]מעובד!$D:$K,8,0),0)</f>
        <v>70</v>
      </c>
      <c r="R1217" s="956">
        <f>IFERROR(VLOOKUP(B1217,[2]מעובד!$D:$L,9,0),0)</f>
        <v>50</v>
      </c>
    </row>
    <row r="1218" spans="1:18" x14ac:dyDescent="0.2">
      <c r="A1218" s="947" t="s">
        <v>227</v>
      </c>
      <c r="B1218" s="947">
        <v>412163</v>
      </c>
      <c r="C1218" s="947" t="s">
        <v>2189</v>
      </c>
      <c r="D1218" s="947" t="s">
        <v>1584</v>
      </c>
      <c r="E1218" s="951">
        <v>266</v>
      </c>
      <c r="F1218" s="951">
        <v>197</v>
      </c>
      <c r="G1218" s="947" t="s">
        <v>159</v>
      </c>
      <c r="H1218" s="951">
        <v>97</v>
      </c>
      <c r="I1218" s="951">
        <v>0</v>
      </c>
      <c r="J1218" s="947" t="s">
        <v>227</v>
      </c>
      <c r="K1218" s="947">
        <v>412163</v>
      </c>
      <c r="M1218" s="631"/>
      <c r="P1218" s="950" t="str">
        <f>VLOOKUP(J1218,'רשימת רשויות'!A:A,1,0)</f>
        <v>דרום השרון</v>
      </c>
      <c r="Q1218" s="956">
        <f>IFERROR(VLOOKUP(B1218,[2]מעובד!$D:$K,8,0),0)</f>
        <v>278</v>
      </c>
      <c r="R1218" s="956">
        <f>IFERROR(VLOOKUP(B1218,[2]מעובד!$D:$L,9,0),0)</f>
        <v>105</v>
      </c>
    </row>
    <row r="1219" spans="1:18" x14ac:dyDescent="0.2">
      <c r="A1219" s="947" t="s">
        <v>390</v>
      </c>
      <c r="B1219" s="947">
        <v>412171</v>
      </c>
      <c r="C1219" s="947" t="s">
        <v>2189</v>
      </c>
      <c r="D1219" s="947" t="s">
        <v>1585</v>
      </c>
      <c r="E1219" s="951">
        <v>130</v>
      </c>
      <c r="F1219" s="951">
        <v>57</v>
      </c>
      <c r="G1219" s="947" t="s">
        <v>159</v>
      </c>
      <c r="H1219" s="951">
        <v>0</v>
      </c>
      <c r="I1219" s="951">
        <v>0</v>
      </c>
      <c r="J1219" s="947" t="s">
        <v>390</v>
      </c>
      <c r="K1219" s="947">
        <v>412171</v>
      </c>
      <c r="M1219" s="631"/>
      <c r="P1219" s="950" t="str">
        <f>VLOOKUP(J1219,'רשימת רשויות'!A:A,1,0)</f>
        <v>רמלה</v>
      </c>
      <c r="Q1219" s="956">
        <f>IFERROR(VLOOKUP(B1219,[2]מעובד!$D:$K,8,0),0)</f>
        <v>65</v>
      </c>
      <c r="R1219" s="956">
        <f>IFERROR(VLOOKUP(B1219,[2]מעובד!$D:$L,9,0),0)</f>
        <v>43</v>
      </c>
    </row>
    <row r="1220" spans="1:18" x14ac:dyDescent="0.2">
      <c r="A1220" s="947" t="s">
        <v>227</v>
      </c>
      <c r="B1220" s="947">
        <v>412189</v>
      </c>
      <c r="C1220" s="947" t="s">
        <v>2189</v>
      </c>
      <c r="D1220" s="947" t="s">
        <v>844</v>
      </c>
      <c r="E1220" s="951">
        <v>124</v>
      </c>
      <c r="F1220" s="951">
        <v>112</v>
      </c>
      <c r="G1220" s="947" t="s">
        <v>159</v>
      </c>
      <c r="H1220" s="951">
        <v>0</v>
      </c>
      <c r="I1220" s="951">
        <v>0</v>
      </c>
      <c r="J1220" s="947" t="s">
        <v>227</v>
      </c>
      <c r="K1220" s="947">
        <v>412189</v>
      </c>
      <c r="M1220" s="631"/>
      <c r="P1220" s="950" t="str">
        <f>VLOOKUP(J1220,'רשימת רשויות'!A:A,1,0)</f>
        <v>דרום השרון</v>
      </c>
      <c r="Q1220" s="956">
        <f>IFERROR(VLOOKUP(B1220,[2]מעובד!$D:$K,8,0),0)</f>
        <v>0</v>
      </c>
      <c r="R1220" s="956">
        <f>IFERROR(VLOOKUP(B1220,[2]מעובד!$D:$L,9,0),0)</f>
        <v>0</v>
      </c>
    </row>
    <row r="1221" spans="1:18" x14ac:dyDescent="0.2">
      <c r="A1221" s="947" t="s">
        <v>395</v>
      </c>
      <c r="B1221" s="947">
        <v>412205</v>
      </c>
      <c r="C1221" s="947" t="s">
        <v>2189</v>
      </c>
      <c r="D1221" s="947" t="s">
        <v>1601</v>
      </c>
      <c r="E1221" s="951">
        <v>124</v>
      </c>
      <c r="F1221" s="951">
        <v>108</v>
      </c>
      <c r="G1221" s="947" t="s">
        <v>159</v>
      </c>
      <c r="H1221" s="951">
        <v>53</v>
      </c>
      <c r="I1221" s="951">
        <v>12</v>
      </c>
      <c r="J1221" s="947" t="s">
        <v>395</v>
      </c>
      <c r="K1221" s="947">
        <v>412205</v>
      </c>
      <c r="M1221" s="631"/>
      <c r="P1221" s="950" t="str">
        <f>VLOOKUP(J1221,'רשימת רשויות'!A:A,1,0)</f>
        <v>רעננה</v>
      </c>
      <c r="Q1221" s="956">
        <f>IFERROR(VLOOKUP(B1221,[2]מעובד!$D:$K,8,0),0)</f>
        <v>167</v>
      </c>
      <c r="R1221" s="956">
        <f>IFERROR(VLOOKUP(B1221,[2]מעובד!$D:$L,9,0),0)</f>
        <v>87</v>
      </c>
    </row>
    <row r="1222" spans="1:18" x14ac:dyDescent="0.2">
      <c r="A1222" s="947" t="s">
        <v>395</v>
      </c>
      <c r="B1222" s="947">
        <v>412213</v>
      </c>
      <c r="C1222" s="947" t="s">
        <v>2189</v>
      </c>
      <c r="D1222" s="947" t="s">
        <v>1602</v>
      </c>
      <c r="E1222" s="951">
        <v>121</v>
      </c>
      <c r="F1222" s="951">
        <v>91</v>
      </c>
      <c r="G1222" s="947" t="s">
        <v>159</v>
      </c>
      <c r="H1222" s="951">
        <v>0</v>
      </c>
      <c r="I1222" s="951">
        <v>0</v>
      </c>
      <c r="J1222" s="947" t="s">
        <v>395</v>
      </c>
      <c r="K1222" s="947">
        <v>412213</v>
      </c>
      <c r="M1222" s="631"/>
      <c r="P1222" s="950" t="str">
        <f>VLOOKUP(J1222,'רשימת רשויות'!A:A,1,0)</f>
        <v>רעננה</v>
      </c>
      <c r="Q1222" s="956">
        <f>IFERROR(VLOOKUP(B1222,[2]מעובד!$D:$K,8,0),0)</f>
        <v>112</v>
      </c>
      <c r="R1222" s="956">
        <f>IFERROR(VLOOKUP(B1222,[2]מעובד!$D:$L,9,0),0)</f>
        <v>65</v>
      </c>
    </row>
    <row r="1223" spans="1:18" x14ac:dyDescent="0.2">
      <c r="A1223" s="947" t="s">
        <v>336</v>
      </c>
      <c r="B1223" s="947">
        <v>412221</v>
      </c>
      <c r="C1223" s="947" t="s">
        <v>2189</v>
      </c>
      <c r="D1223" s="947" t="s">
        <v>2718</v>
      </c>
      <c r="E1223" s="951">
        <v>72</v>
      </c>
      <c r="F1223" s="951">
        <v>72</v>
      </c>
      <c r="G1223" s="947" t="s">
        <v>3252</v>
      </c>
      <c r="H1223" s="951">
        <v>0</v>
      </c>
      <c r="I1223" s="951">
        <v>0</v>
      </c>
      <c r="J1223" s="947" t="s">
        <v>336</v>
      </c>
      <c r="K1223" s="947">
        <v>412221</v>
      </c>
      <c r="M1223" s="631"/>
      <c r="P1223" s="950" t="str">
        <f>VLOOKUP(J1223,'רשימת רשויות'!A:A,1,0)</f>
        <v>נתניה</v>
      </c>
      <c r="Q1223" s="956">
        <f>IFERROR(VLOOKUP(B1223,[2]מעובד!$D:$K,8,0),0)</f>
        <v>44</v>
      </c>
      <c r="R1223" s="956">
        <f>IFERROR(VLOOKUP(B1223,[2]מעובד!$D:$L,9,0),0)</f>
        <v>44</v>
      </c>
    </row>
    <row r="1224" spans="1:18" x14ac:dyDescent="0.2">
      <c r="A1224" s="947" t="s">
        <v>336</v>
      </c>
      <c r="B1224" s="947">
        <v>412239</v>
      </c>
      <c r="C1224" s="947" t="s">
        <v>2189</v>
      </c>
      <c r="D1224" s="947" t="s">
        <v>446</v>
      </c>
      <c r="E1224" s="951">
        <v>199</v>
      </c>
      <c r="F1224" s="951">
        <v>158</v>
      </c>
      <c r="G1224" s="947" t="s">
        <v>159</v>
      </c>
      <c r="H1224" s="951">
        <v>199</v>
      </c>
      <c r="I1224" s="951">
        <v>22</v>
      </c>
      <c r="J1224" s="947" t="s">
        <v>336</v>
      </c>
      <c r="K1224" s="957" t="s">
        <v>3302</v>
      </c>
      <c r="M1224" s="631"/>
      <c r="P1224" s="950" t="str">
        <f>VLOOKUP(J1224,'רשימת רשויות'!A:A,1,0)</f>
        <v>נתניה</v>
      </c>
      <c r="Q1224" s="956">
        <f>IFERROR(VLOOKUP(B1224,[2]מעובד!$D:$K,8,0),0)</f>
        <v>213</v>
      </c>
      <c r="R1224" s="956">
        <f>IFERROR(VLOOKUP(B1224,[2]מעובד!$D:$L,9,0),0)</f>
        <v>42</v>
      </c>
    </row>
    <row r="1225" spans="1:18" x14ac:dyDescent="0.2">
      <c r="A1225" s="947" t="s">
        <v>395</v>
      </c>
      <c r="B1225" s="947">
        <v>412254</v>
      </c>
      <c r="C1225" s="947" t="s">
        <v>2189</v>
      </c>
      <c r="D1225" s="947" t="s">
        <v>1603</v>
      </c>
      <c r="E1225" s="951">
        <v>362</v>
      </c>
      <c r="F1225" s="951">
        <v>321</v>
      </c>
      <c r="G1225" s="947" t="s">
        <v>159</v>
      </c>
      <c r="H1225" s="951">
        <v>362</v>
      </c>
      <c r="I1225" s="951">
        <v>38</v>
      </c>
      <c r="J1225" s="947" t="s">
        <v>395</v>
      </c>
      <c r="K1225" s="947">
        <v>412254</v>
      </c>
      <c r="M1225" s="631"/>
      <c r="P1225" s="950" t="str">
        <f>VLOOKUP(J1225,'רשימת רשויות'!A:A,1,0)</f>
        <v>רעננה</v>
      </c>
      <c r="Q1225" s="956">
        <f>IFERROR(VLOOKUP(B1225,[2]מעובד!$D:$K,8,0),0)</f>
        <v>303</v>
      </c>
      <c r="R1225" s="956">
        <f>IFERROR(VLOOKUP(B1225,[2]מעובד!$D:$L,9,0),0)</f>
        <v>49</v>
      </c>
    </row>
    <row r="1226" spans="1:18" x14ac:dyDescent="0.2">
      <c r="A1226" s="947" t="s">
        <v>385</v>
      </c>
      <c r="B1226" s="947">
        <v>412262</v>
      </c>
      <c r="C1226" s="947" t="s">
        <v>2189</v>
      </c>
      <c r="D1226" s="947" t="s">
        <v>607</v>
      </c>
      <c r="E1226" s="951">
        <v>264</v>
      </c>
      <c r="F1226" s="951">
        <v>217</v>
      </c>
      <c r="G1226" s="947" t="s">
        <v>159</v>
      </c>
      <c r="H1226" s="951">
        <v>0</v>
      </c>
      <c r="I1226" s="951">
        <v>0</v>
      </c>
      <c r="J1226" s="947" t="s">
        <v>385</v>
      </c>
      <c r="K1226" s="947">
        <v>412262</v>
      </c>
      <c r="M1226" s="631"/>
      <c r="P1226" s="950" t="str">
        <f>VLOOKUP(J1226,'רשימת רשויות'!A:A,1,0)</f>
        <v>ראשון לציון</v>
      </c>
      <c r="Q1226" s="956">
        <f>IFERROR(VLOOKUP(B1226,[2]מעובד!$D:$K,8,0),0)</f>
        <v>303</v>
      </c>
      <c r="R1226" s="956">
        <f>IFERROR(VLOOKUP(B1226,[2]מעובד!$D:$L,9,0),0)</f>
        <v>87</v>
      </c>
    </row>
    <row r="1227" spans="1:18" x14ac:dyDescent="0.2">
      <c r="A1227" s="947" t="s">
        <v>381</v>
      </c>
      <c r="B1227" s="947">
        <v>412288</v>
      </c>
      <c r="C1227" s="947" t="s">
        <v>2189</v>
      </c>
      <c r="D1227" s="947" t="s">
        <v>1620</v>
      </c>
      <c r="E1227" s="951">
        <v>290</v>
      </c>
      <c r="F1227" s="951">
        <v>279</v>
      </c>
      <c r="G1227" s="947" t="s">
        <v>159</v>
      </c>
      <c r="H1227" s="951">
        <v>102</v>
      </c>
      <c r="I1227" s="951">
        <v>0</v>
      </c>
      <c r="J1227" s="947" t="s">
        <v>381</v>
      </c>
      <c r="K1227" s="947">
        <v>412288</v>
      </c>
      <c r="M1227" s="631"/>
      <c r="P1227" s="950" t="str">
        <f>VLOOKUP(J1227,'רשימת רשויות'!A:A,1,0)</f>
        <v>קרני שומרון</v>
      </c>
      <c r="Q1227" s="956">
        <f>IFERROR(VLOOKUP(B1227,[2]מעובד!$D:$K,8,0),0)</f>
        <v>0</v>
      </c>
      <c r="R1227" s="956">
        <f>IFERROR(VLOOKUP(B1227,[2]מעובד!$D:$L,9,0),0)</f>
        <v>0</v>
      </c>
    </row>
    <row r="1228" spans="1:18" x14ac:dyDescent="0.2">
      <c r="A1228" s="947" t="s">
        <v>347</v>
      </c>
      <c r="B1228" s="947">
        <v>412296</v>
      </c>
      <c r="C1228" s="947" t="s">
        <v>2189</v>
      </c>
      <c r="D1228" s="947" t="s">
        <v>1621</v>
      </c>
      <c r="E1228" s="951">
        <v>74</v>
      </c>
      <c r="F1228" s="951">
        <v>66</v>
      </c>
      <c r="G1228" s="947" t="s">
        <v>159</v>
      </c>
      <c r="H1228" s="951">
        <v>27</v>
      </c>
      <c r="I1228" s="951">
        <v>8</v>
      </c>
      <c r="J1228" s="947" t="s">
        <v>347</v>
      </c>
      <c r="K1228" s="947">
        <v>412296</v>
      </c>
      <c r="M1228" s="631"/>
      <c r="P1228" s="950" t="str">
        <f>VLOOKUP(J1228,'רשימת רשויות'!A:A,1,0)</f>
        <v>עמנואל</v>
      </c>
      <c r="Q1228" s="956">
        <f>IFERROR(VLOOKUP(B1228,[2]מעובד!$D:$K,8,0),0)</f>
        <v>71</v>
      </c>
      <c r="R1228" s="956">
        <f>IFERROR(VLOOKUP(B1228,[2]מעובד!$D:$L,9,0),0)</f>
        <v>71</v>
      </c>
    </row>
    <row r="1229" spans="1:18" x14ac:dyDescent="0.2">
      <c r="A1229" s="947" t="s">
        <v>175</v>
      </c>
      <c r="B1229" s="947">
        <v>412312</v>
      </c>
      <c r="C1229" s="947" t="s">
        <v>2189</v>
      </c>
      <c r="D1229" s="947" t="s">
        <v>1622</v>
      </c>
      <c r="E1229" s="951">
        <v>180</v>
      </c>
      <c r="F1229" s="951">
        <v>180</v>
      </c>
      <c r="G1229" s="947" t="s">
        <v>3252</v>
      </c>
      <c r="H1229" s="951">
        <v>0</v>
      </c>
      <c r="I1229" s="951">
        <v>0</v>
      </c>
      <c r="J1229" s="947" t="s">
        <v>175</v>
      </c>
      <c r="K1229" s="947">
        <v>412312</v>
      </c>
      <c r="M1229" s="631"/>
      <c r="P1229" s="950" t="str">
        <f>VLOOKUP(J1229,'רשימת רשויות'!A:A,1,0)</f>
        <v>אלעד</v>
      </c>
      <c r="Q1229" s="956">
        <f>IFERROR(VLOOKUP(B1229,[2]מעובד!$D:$K,8,0),0)</f>
        <v>0</v>
      </c>
      <c r="R1229" s="956">
        <f>IFERROR(VLOOKUP(B1229,[2]מעובד!$D:$L,9,0),0)</f>
        <v>0</v>
      </c>
    </row>
    <row r="1230" spans="1:18" x14ac:dyDescent="0.2">
      <c r="A1230" s="947" t="s">
        <v>409</v>
      </c>
      <c r="B1230" s="947">
        <v>412346</v>
      </c>
      <c r="C1230" s="947" t="s">
        <v>2189</v>
      </c>
      <c r="D1230" s="947" t="s">
        <v>1628</v>
      </c>
      <c r="E1230" s="951">
        <v>167</v>
      </c>
      <c r="F1230" s="951">
        <v>132</v>
      </c>
      <c r="G1230" s="947" t="s">
        <v>159</v>
      </c>
      <c r="H1230" s="951">
        <v>0</v>
      </c>
      <c r="I1230" s="951">
        <v>0</v>
      </c>
      <c r="J1230" s="947" t="s">
        <v>409</v>
      </c>
      <c r="K1230" s="947">
        <v>412346</v>
      </c>
      <c r="M1230" s="631"/>
      <c r="P1230" s="950" t="str">
        <f>VLOOKUP(J1230,'רשימת רשויות'!A:A,1,0)</f>
        <v>תל מונד</v>
      </c>
      <c r="Q1230" s="956">
        <f>IFERROR(VLOOKUP(B1230,[2]מעובד!$D:$K,8,0),0)</f>
        <v>193</v>
      </c>
      <c r="R1230" s="956">
        <f>IFERROR(VLOOKUP(B1230,[2]מעובד!$D:$L,9,0),0)</f>
        <v>91</v>
      </c>
    </row>
    <row r="1231" spans="1:18" x14ac:dyDescent="0.2">
      <c r="A1231" s="947" t="s">
        <v>409</v>
      </c>
      <c r="B1231" s="947">
        <v>412361</v>
      </c>
      <c r="C1231" s="947" t="s">
        <v>2189</v>
      </c>
      <c r="D1231" s="947" t="s">
        <v>1532</v>
      </c>
      <c r="E1231" s="951">
        <v>171</v>
      </c>
      <c r="F1231" s="951">
        <v>140</v>
      </c>
      <c r="G1231" s="947" t="s">
        <v>159</v>
      </c>
      <c r="H1231" s="951">
        <v>0</v>
      </c>
      <c r="I1231" s="951">
        <v>0</v>
      </c>
      <c r="J1231" s="947" t="s">
        <v>409</v>
      </c>
      <c r="K1231" s="947">
        <v>412361</v>
      </c>
      <c r="M1231" s="631"/>
      <c r="P1231" s="950" t="str">
        <f>VLOOKUP(J1231,'רשימת רשויות'!A:A,1,0)</f>
        <v>תל מונד</v>
      </c>
      <c r="Q1231" s="956">
        <f>IFERROR(VLOOKUP(B1231,[2]מעובד!$D:$K,8,0),0)</f>
        <v>155</v>
      </c>
      <c r="R1231" s="956">
        <f>IFERROR(VLOOKUP(B1231,[2]מעובד!$D:$L,9,0),0)</f>
        <v>55</v>
      </c>
    </row>
    <row r="1232" spans="1:18" x14ac:dyDescent="0.2">
      <c r="A1232" s="947" t="s">
        <v>291</v>
      </c>
      <c r="B1232" s="947">
        <v>412379</v>
      </c>
      <c r="C1232" s="947" t="s">
        <v>2189</v>
      </c>
      <c r="D1232" s="947" t="s">
        <v>3029</v>
      </c>
      <c r="E1232" s="951">
        <v>63</v>
      </c>
      <c r="F1232" s="951">
        <v>28</v>
      </c>
      <c r="G1232" s="947" t="s">
        <v>159</v>
      </c>
      <c r="H1232" s="951">
        <v>0</v>
      </c>
      <c r="I1232" s="951">
        <v>0</v>
      </c>
      <c r="J1232" s="947" t="s">
        <v>291</v>
      </c>
      <c r="K1232" s="957" t="s">
        <v>3303</v>
      </c>
      <c r="M1232" s="631"/>
      <c r="P1232" s="950" t="str">
        <f>VLOOKUP(J1232,'רשימת רשויות'!A:A,1,0)</f>
        <v>לב השרון</v>
      </c>
      <c r="Q1232" s="956">
        <f>IFERROR(VLOOKUP(B1232,[2]מעובד!$D:$K,8,0),0)</f>
        <v>0</v>
      </c>
      <c r="R1232" s="956">
        <f>IFERROR(VLOOKUP(B1232,[2]מעובד!$D:$L,9,0),0)</f>
        <v>0</v>
      </c>
    </row>
    <row r="1233" spans="1:18" x14ac:dyDescent="0.2">
      <c r="A1233" s="947" t="s">
        <v>212</v>
      </c>
      <c r="B1233" s="947">
        <v>412403</v>
      </c>
      <c r="C1233" s="947" t="s">
        <v>2189</v>
      </c>
      <c r="D1233" s="947" t="s">
        <v>1629</v>
      </c>
      <c r="E1233" s="951">
        <v>446</v>
      </c>
      <c r="F1233" s="951">
        <v>437</v>
      </c>
      <c r="G1233" s="947" t="s">
        <v>3252</v>
      </c>
      <c r="H1233" s="951">
        <v>146</v>
      </c>
      <c r="I1233" s="951">
        <v>8</v>
      </c>
      <c r="J1233" s="947" t="s">
        <v>212</v>
      </c>
      <c r="K1233" s="947">
        <v>412403</v>
      </c>
      <c r="M1233" s="631"/>
      <c r="P1233" s="950" t="str">
        <f>VLOOKUP(J1233,'רשימת רשויות'!A:A,1,0)</f>
        <v>גבעת זאב</v>
      </c>
      <c r="Q1233" s="956">
        <f>IFERROR(VLOOKUP(B1233,[2]מעובד!$D:$K,8,0),0)</f>
        <v>487</v>
      </c>
      <c r="R1233" s="956">
        <f>IFERROR(VLOOKUP(B1233,[2]מעובד!$D:$L,9,0),0)</f>
        <v>145</v>
      </c>
    </row>
    <row r="1234" spans="1:18" x14ac:dyDescent="0.2">
      <c r="A1234" s="947" t="s">
        <v>186</v>
      </c>
      <c r="B1234" s="947">
        <v>412429</v>
      </c>
      <c r="C1234" s="947" t="s">
        <v>2189</v>
      </c>
      <c r="D1234" s="947" t="s">
        <v>2414</v>
      </c>
      <c r="E1234" s="951">
        <v>95</v>
      </c>
      <c r="F1234" s="951">
        <v>56</v>
      </c>
      <c r="G1234" s="947" t="s">
        <v>3252</v>
      </c>
      <c r="H1234" s="951">
        <v>0</v>
      </c>
      <c r="I1234" s="951">
        <v>0</v>
      </c>
      <c r="J1234" s="947" t="s">
        <v>186</v>
      </c>
      <c r="K1234" s="947">
        <v>412429</v>
      </c>
      <c r="M1234" s="631"/>
      <c r="P1234" s="950" t="str">
        <f>VLOOKUP(J1234,'רשימת רשויות'!A:A,1,0)</f>
        <v>באר יעקב</v>
      </c>
      <c r="Q1234" s="956">
        <f>IFERROR(VLOOKUP(B1234,[2]מעובד!$D:$K,8,0),0)</f>
        <v>0</v>
      </c>
      <c r="R1234" s="956">
        <f>IFERROR(VLOOKUP(B1234,[2]מעובד!$D:$L,9,0),0)</f>
        <v>0</v>
      </c>
    </row>
    <row r="1235" spans="1:18" x14ac:dyDescent="0.2">
      <c r="A1235" s="947" t="s">
        <v>395</v>
      </c>
      <c r="B1235" s="947">
        <v>412445</v>
      </c>
      <c r="C1235" s="947" t="s">
        <v>2189</v>
      </c>
      <c r="D1235" s="947" t="s">
        <v>1636</v>
      </c>
      <c r="E1235" s="951">
        <v>202</v>
      </c>
      <c r="F1235" s="951">
        <v>193</v>
      </c>
      <c r="G1235" s="947" t="s">
        <v>159</v>
      </c>
      <c r="H1235" s="951">
        <v>0</v>
      </c>
      <c r="I1235" s="951">
        <v>0</v>
      </c>
      <c r="J1235" s="947" t="s">
        <v>395</v>
      </c>
      <c r="K1235" s="947">
        <v>412445</v>
      </c>
      <c r="M1235" s="631"/>
      <c r="P1235" s="950" t="str">
        <f>VLOOKUP(J1235,'רשימת רשויות'!A:A,1,0)</f>
        <v>רעננה</v>
      </c>
      <c r="Q1235" s="956">
        <f>IFERROR(VLOOKUP(B1235,[2]מעובד!$D:$K,8,0),0)</f>
        <v>0</v>
      </c>
      <c r="R1235" s="956">
        <f>IFERROR(VLOOKUP(B1235,[2]מעובד!$D:$L,9,0),0)</f>
        <v>0</v>
      </c>
    </row>
    <row r="1236" spans="1:18" x14ac:dyDescent="0.2">
      <c r="A1236" s="947" t="s">
        <v>231</v>
      </c>
      <c r="B1236" s="947">
        <v>412460</v>
      </c>
      <c r="C1236" s="947" t="s">
        <v>2189</v>
      </c>
      <c r="D1236" s="947" t="s">
        <v>1637</v>
      </c>
      <c r="E1236" s="951">
        <v>151</v>
      </c>
      <c r="F1236" s="951">
        <v>108</v>
      </c>
      <c r="G1236" s="947" t="s">
        <v>159</v>
      </c>
      <c r="H1236" s="951">
        <v>0</v>
      </c>
      <c r="I1236" s="951">
        <v>0</v>
      </c>
      <c r="J1236" s="947" t="s">
        <v>231</v>
      </c>
      <c r="K1236" s="947">
        <v>412460</v>
      </c>
      <c r="M1236" s="631"/>
      <c r="P1236" s="950" t="str">
        <f>VLOOKUP(J1236,'רשימת רשויות'!A:A,1,0)</f>
        <v>הוד השרון</v>
      </c>
      <c r="Q1236" s="956">
        <f>IFERROR(VLOOKUP(B1236,[2]מעובד!$D:$K,8,0),0)</f>
        <v>0</v>
      </c>
      <c r="R1236" s="956">
        <f>IFERROR(VLOOKUP(B1236,[2]מעובד!$D:$L,9,0),0)</f>
        <v>0</v>
      </c>
    </row>
    <row r="1237" spans="1:18" x14ac:dyDescent="0.2">
      <c r="A1237" s="947" t="s">
        <v>263</v>
      </c>
      <c r="B1237" s="947">
        <v>412486</v>
      </c>
      <c r="C1237" s="947" t="s">
        <v>2189</v>
      </c>
      <c r="D1237" s="947" t="s">
        <v>2741</v>
      </c>
      <c r="E1237" s="951">
        <v>34</v>
      </c>
      <c r="F1237" s="951">
        <v>0</v>
      </c>
      <c r="G1237" s="947" t="s">
        <v>3252</v>
      </c>
      <c r="H1237" s="951">
        <v>0</v>
      </c>
      <c r="I1237" s="951">
        <v>0</v>
      </c>
      <c r="J1237" s="947" t="s">
        <v>263</v>
      </c>
      <c r="K1237" s="947">
        <v>412486</v>
      </c>
      <c r="M1237" s="631"/>
      <c r="P1237" s="950" t="str">
        <f>VLOOKUP(J1237,'רשימת רשויות'!A:A,1,0)</f>
        <v>יהוד נווה אפרים</v>
      </c>
      <c r="Q1237" s="956">
        <f>IFERROR(VLOOKUP(B1237,[2]מעובד!$D:$K,8,0),0)</f>
        <v>0</v>
      </c>
      <c r="R1237" s="956">
        <f>IFERROR(VLOOKUP(B1237,[2]מעובד!$D:$L,9,0),0)</f>
        <v>0</v>
      </c>
    </row>
    <row r="1238" spans="1:18" x14ac:dyDescent="0.2">
      <c r="A1238" s="947" t="s">
        <v>330</v>
      </c>
      <c r="B1238" s="947">
        <v>412494</v>
      </c>
      <c r="C1238" s="947" t="s">
        <v>2189</v>
      </c>
      <c r="D1238" s="947" t="s">
        <v>1638</v>
      </c>
      <c r="E1238" s="951">
        <v>137</v>
      </c>
      <c r="F1238" s="951">
        <v>137</v>
      </c>
      <c r="G1238" s="947" t="s">
        <v>3252</v>
      </c>
      <c r="H1238" s="951">
        <v>0</v>
      </c>
      <c r="I1238" s="951">
        <v>0</v>
      </c>
      <c r="J1238" s="947" t="s">
        <v>330</v>
      </c>
      <c r="K1238" s="947">
        <v>412494</v>
      </c>
      <c r="M1238" s="631"/>
      <c r="P1238" s="950" t="str">
        <f>VLOOKUP(J1238,'רשימת רשויות'!A:A,1,0)</f>
        <v>נחל שורק</v>
      </c>
      <c r="Q1238" s="956">
        <f>IFERROR(VLOOKUP(B1238,[2]מעובד!$D:$K,8,0),0)</f>
        <v>0</v>
      </c>
      <c r="R1238" s="956">
        <f>IFERROR(VLOOKUP(B1238,[2]מעובד!$D:$L,9,0),0)</f>
        <v>87</v>
      </c>
    </row>
    <row r="1239" spans="1:18" x14ac:dyDescent="0.2">
      <c r="A1239" s="947" t="s">
        <v>336</v>
      </c>
      <c r="B1239" s="947">
        <v>412551</v>
      </c>
      <c r="C1239" s="947" t="s">
        <v>2189</v>
      </c>
      <c r="D1239" s="947" t="s">
        <v>1651</v>
      </c>
      <c r="E1239" s="951">
        <v>99</v>
      </c>
      <c r="F1239" s="951">
        <v>85</v>
      </c>
      <c r="G1239" s="947" t="s">
        <v>3252</v>
      </c>
      <c r="H1239" s="951">
        <v>0</v>
      </c>
      <c r="I1239" s="951">
        <v>0</v>
      </c>
      <c r="J1239" s="947" t="s">
        <v>336</v>
      </c>
      <c r="K1239" s="947">
        <v>412551</v>
      </c>
      <c r="M1239" s="631"/>
      <c r="P1239" s="950" t="str">
        <f>VLOOKUP(J1239,'רשימת רשויות'!A:A,1,0)</f>
        <v>נתניה</v>
      </c>
      <c r="Q1239" s="956">
        <f>IFERROR(VLOOKUP(B1239,[2]מעובד!$D:$K,8,0),0)</f>
        <v>0</v>
      </c>
      <c r="R1239" s="956">
        <f>IFERROR(VLOOKUP(B1239,[2]מעובד!$D:$L,9,0),0)</f>
        <v>0</v>
      </c>
    </row>
    <row r="1240" spans="1:18" x14ac:dyDescent="0.2">
      <c r="A1240" s="947" t="s">
        <v>363</v>
      </c>
      <c r="B1240" s="947">
        <v>412569</v>
      </c>
      <c r="C1240" s="947" t="s">
        <v>2189</v>
      </c>
      <c r="D1240" s="947" t="s">
        <v>1652</v>
      </c>
      <c r="E1240" s="951">
        <v>184</v>
      </c>
      <c r="F1240" s="951">
        <v>173</v>
      </c>
      <c r="G1240" s="947" t="s">
        <v>3252</v>
      </c>
      <c r="H1240" s="951">
        <v>77</v>
      </c>
      <c r="I1240" s="951">
        <v>11</v>
      </c>
      <c r="J1240" s="947" t="s">
        <v>363</v>
      </c>
      <c r="K1240" s="947">
        <v>412569</v>
      </c>
      <c r="M1240" s="631"/>
      <c r="P1240" s="950" t="str">
        <f>VLOOKUP(J1240,'רשימת רשויות'!A:A,1,0)</f>
        <v>פתח תקוה</v>
      </c>
      <c r="Q1240" s="956">
        <f>IFERROR(VLOOKUP(B1240,[2]מעובד!$D:$K,8,0),0)</f>
        <v>0</v>
      </c>
      <c r="R1240" s="956">
        <f>IFERROR(VLOOKUP(B1240,[2]מעובד!$D:$L,9,0),0)</f>
        <v>0</v>
      </c>
    </row>
    <row r="1241" spans="1:18" x14ac:dyDescent="0.2">
      <c r="A1241" s="947" t="s">
        <v>257</v>
      </c>
      <c r="B1241" s="947">
        <v>412577</v>
      </c>
      <c r="C1241" s="947" t="s">
        <v>2189</v>
      </c>
      <c r="D1241" s="947" t="s">
        <v>1492</v>
      </c>
      <c r="E1241" s="951">
        <v>203</v>
      </c>
      <c r="F1241" s="951">
        <v>101</v>
      </c>
      <c r="G1241" s="947" t="s">
        <v>159</v>
      </c>
      <c r="H1241" s="951">
        <v>0</v>
      </c>
      <c r="I1241" s="951">
        <v>0</v>
      </c>
      <c r="J1241" s="947" t="s">
        <v>257</v>
      </c>
      <c r="K1241" s="947">
        <v>412577</v>
      </c>
      <c r="M1241" s="631"/>
      <c r="P1241" s="950" t="str">
        <f>VLOOKUP(J1241,'רשימת רשויות'!A:A,1,0)</f>
        <v>טייבה</v>
      </c>
      <c r="Q1241" s="956">
        <f>IFERROR(VLOOKUP(B1241,[2]מעובד!$D:$K,8,0),0)</f>
        <v>217</v>
      </c>
      <c r="R1241" s="956">
        <f>IFERROR(VLOOKUP(B1241,[2]מעובד!$D:$L,9,0),0)</f>
        <v>90</v>
      </c>
    </row>
    <row r="1242" spans="1:18" x14ac:dyDescent="0.2">
      <c r="A1242" s="947" t="s">
        <v>363</v>
      </c>
      <c r="B1242" s="947">
        <v>412585</v>
      </c>
      <c r="C1242" s="947" t="s">
        <v>2189</v>
      </c>
      <c r="D1242" s="947" t="s">
        <v>2415</v>
      </c>
      <c r="E1242" s="951">
        <v>601</v>
      </c>
      <c r="F1242" s="951">
        <v>601</v>
      </c>
      <c r="G1242" s="947" t="s">
        <v>3252</v>
      </c>
      <c r="H1242" s="951">
        <v>0</v>
      </c>
      <c r="I1242" s="951">
        <v>0</v>
      </c>
      <c r="J1242" s="947" t="s">
        <v>363</v>
      </c>
      <c r="K1242" s="947">
        <v>412585</v>
      </c>
      <c r="M1242" s="631"/>
      <c r="P1242" s="950" t="str">
        <f>VLOOKUP(J1242,'רשימת רשויות'!A:A,1,0)</f>
        <v>פתח תקוה</v>
      </c>
      <c r="Q1242" s="956">
        <f>IFERROR(VLOOKUP(B1242,[2]מעובד!$D:$K,8,0),0)</f>
        <v>0</v>
      </c>
      <c r="R1242" s="956">
        <f>IFERROR(VLOOKUP(B1242,[2]מעובד!$D:$L,9,0),0)</f>
        <v>0</v>
      </c>
    </row>
    <row r="1243" spans="1:18" x14ac:dyDescent="0.2">
      <c r="A1243" s="947" t="s">
        <v>387</v>
      </c>
      <c r="B1243" s="947">
        <v>412593</v>
      </c>
      <c r="C1243" s="947" t="s">
        <v>2189</v>
      </c>
      <c r="D1243" s="947" t="s">
        <v>451</v>
      </c>
      <c r="E1243" s="951">
        <v>152</v>
      </c>
      <c r="F1243" s="951">
        <v>152</v>
      </c>
      <c r="G1243" s="947" t="s">
        <v>159</v>
      </c>
      <c r="H1243" s="951">
        <v>0</v>
      </c>
      <c r="I1243" s="951">
        <v>0</v>
      </c>
      <c r="J1243" s="947" t="s">
        <v>387</v>
      </c>
      <c r="K1243" s="947">
        <v>412593</v>
      </c>
      <c r="M1243" s="631"/>
      <c r="P1243" s="950" t="str">
        <f>VLOOKUP(J1243,'רשימת רשויות'!A:A,1,0)</f>
        <v>רחובות</v>
      </c>
      <c r="Q1243" s="956">
        <f>IFERROR(VLOOKUP(B1243,[2]מעובד!$D:$K,8,0),0)</f>
        <v>113</v>
      </c>
      <c r="R1243" s="956">
        <f>IFERROR(VLOOKUP(B1243,[2]מעובד!$D:$L,9,0),0)</f>
        <v>88</v>
      </c>
    </row>
    <row r="1244" spans="1:18" x14ac:dyDescent="0.2">
      <c r="A1244" s="947" t="s">
        <v>270</v>
      </c>
      <c r="B1244" s="947">
        <v>412619</v>
      </c>
      <c r="C1244" s="947" t="s">
        <v>2189</v>
      </c>
      <c r="D1244" s="947" t="s">
        <v>1480</v>
      </c>
      <c r="E1244" s="951">
        <v>120</v>
      </c>
      <c r="F1244" s="951">
        <v>107</v>
      </c>
      <c r="G1244" s="947" t="s">
        <v>3252</v>
      </c>
      <c r="H1244" s="951">
        <v>0</v>
      </c>
      <c r="I1244" s="951">
        <v>0</v>
      </c>
      <c r="J1244" s="947" t="s">
        <v>270</v>
      </c>
      <c r="K1244" s="947">
        <v>412619</v>
      </c>
      <c r="M1244" s="631"/>
      <c r="P1244" s="950" t="str">
        <f>VLOOKUP(J1244,'רשימת רשויות'!A:A,1,0)</f>
        <v>ירושלים</v>
      </c>
      <c r="Q1244" s="956">
        <f>IFERROR(VLOOKUP(B1244,[2]מעובד!$D:$K,8,0),0)</f>
        <v>0</v>
      </c>
      <c r="R1244" s="956">
        <f>IFERROR(VLOOKUP(B1244,[2]מעובד!$D:$L,9,0),0)</f>
        <v>111</v>
      </c>
    </row>
    <row r="1245" spans="1:18" x14ac:dyDescent="0.2">
      <c r="A1245" s="947" t="s">
        <v>383</v>
      </c>
      <c r="B1245" s="947">
        <v>412627</v>
      </c>
      <c r="C1245" s="947" t="s">
        <v>2189</v>
      </c>
      <c r="D1245" s="947" t="s">
        <v>1490</v>
      </c>
      <c r="E1245" s="951">
        <v>145</v>
      </c>
      <c r="F1245" s="951">
        <v>145</v>
      </c>
      <c r="G1245" s="947" t="s">
        <v>3252</v>
      </c>
      <c r="H1245" s="951">
        <v>0</v>
      </c>
      <c r="I1245" s="951">
        <v>0</v>
      </c>
      <c r="J1245" s="947" t="s">
        <v>383</v>
      </c>
      <c r="K1245" s="947">
        <v>412627</v>
      </c>
      <c r="M1245" s="631"/>
      <c r="P1245" s="950" t="str">
        <f>VLOOKUP(J1245,'רשימת רשויות'!A:A,1,0)</f>
        <v>ראש העין</v>
      </c>
      <c r="Q1245" s="956">
        <f>IFERROR(VLOOKUP(B1245,[2]מעובד!$D:$K,8,0),0)</f>
        <v>0</v>
      </c>
      <c r="R1245" s="956">
        <f>IFERROR(VLOOKUP(B1245,[2]מעובד!$D:$L,9,0),0)</f>
        <v>0</v>
      </c>
    </row>
    <row r="1246" spans="1:18" x14ac:dyDescent="0.2">
      <c r="A1246" s="947" t="s">
        <v>383</v>
      </c>
      <c r="B1246" s="947">
        <v>412635</v>
      </c>
      <c r="C1246" s="947" t="s">
        <v>2189</v>
      </c>
      <c r="D1246" s="947" t="s">
        <v>2697</v>
      </c>
      <c r="E1246" s="951">
        <v>214</v>
      </c>
      <c r="F1246" s="951">
        <v>214</v>
      </c>
      <c r="G1246" s="947" t="s">
        <v>3252</v>
      </c>
      <c r="H1246" s="951">
        <v>0</v>
      </c>
      <c r="I1246" s="951">
        <v>0</v>
      </c>
      <c r="J1246" s="947" t="s">
        <v>383</v>
      </c>
      <c r="K1246" s="947">
        <v>412635</v>
      </c>
      <c r="M1246" s="631"/>
      <c r="P1246" s="950" t="str">
        <f>VLOOKUP(J1246,'רשימת רשויות'!A:A,1,0)</f>
        <v>ראש העין</v>
      </c>
      <c r="Q1246" s="956">
        <f>IFERROR(VLOOKUP(B1246,[2]מעובד!$D:$K,8,0),0)</f>
        <v>219</v>
      </c>
      <c r="R1246" s="956">
        <f>IFERROR(VLOOKUP(B1246,[2]מעובד!$D:$L,9,0),0)</f>
        <v>138</v>
      </c>
    </row>
    <row r="1247" spans="1:18" x14ac:dyDescent="0.2">
      <c r="A1247" s="947" t="s">
        <v>385</v>
      </c>
      <c r="B1247" s="947">
        <v>412643</v>
      </c>
      <c r="C1247" s="947" t="s">
        <v>2189</v>
      </c>
      <c r="D1247" s="947" t="s">
        <v>2696</v>
      </c>
      <c r="E1247" s="951">
        <v>138</v>
      </c>
      <c r="F1247" s="951">
        <v>96</v>
      </c>
      <c r="G1247" s="947" t="s">
        <v>3252</v>
      </c>
      <c r="H1247" s="951">
        <v>0</v>
      </c>
      <c r="I1247" s="951">
        <v>0</v>
      </c>
      <c r="J1247" s="947" t="s">
        <v>385</v>
      </c>
      <c r="K1247" s="947">
        <v>412643</v>
      </c>
      <c r="M1247" s="631"/>
      <c r="P1247" s="950" t="str">
        <f>VLOOKUP(J1247,'רשימת רשויות'!A:A,1,0)</f>
        <v>ראשון לציון</v>
      </c>
      <c r="Q1247" s="956">
        <f>IFERROR(VLOOKUP(B1247,[2]מעובד!$D:$K,8,0),0)</f>
        <v>0</v>
      </c>
      <c r="R1247" s="956">
        <f>IFERROR(VLOOKUP(B1247,[2]מעובד!$D:$L,9,0),0)</f>
        <v>45</v>
      </c>
    </row>
    <row r="1248" spans="1:18" x14ac:dyDescent="0.2">
      <c r="A1248" s="947" t="s">
        <v>387</v>
      </c>
      <c r="B1248" s="947">
        <v>412650</v>
      </c>
      <c r="C1248" s="947" t="s">
        <v>2189</v>
      </c>
      <c r="D1248" s="947" t="s">
        <v>2641</v>
      </c>
      <c r="E1248" s="951">
        <v>500</v>
      </c>
      <c r="F1248" s="951">
        <v>324</v>
      </c>
      <c r="G1248" s="947" t="s">
        <v>3252</v>
      </c>
      <c r="H1248" s="951">
        <v>0</v>
      </c>
      <c r="I1248" s="951">
        <v>0</v>
      </c>
      <c r="J1248" s="947" t="s">
        <v>387</v>
      </c>
      <c r="K1248" s="947">
        <v>412650</v>
      </c>
      <c r="M1248" s="631"/>
      <c r="P1248" s="950" t="str">
        <f>VLOOKUP(J1248,'רשימת רשויות'!A:A,1,0)</f>
        <v>רחובות</v>
      </c>
      <c r="Q1248" s="956">
        <f>IFERROR(VLOOKUP(B1248,[2]מעובד!$D:$K,8,0),0)</f>
        <v>0</v>
      </c>
      <c r="R1248" s="956">
        <f>IFERROR(VLOOKUP(B1248,[2]מעובד!$D:$L,9,0),0)</f>
        <v>0</v>
      </c>
    </row>
    <row r="1249" spans="1:18" x14ac:dyDescent="0.2">
      <c r="A1249" s="947" t="s">
        <v>390</v>
      </c>
      <c r="B1249" s="947">
        <v>412692</v>
      </c>
      <c r="C1249" s="947" t="s">
        <v>2189</v>
      </c>
      <c r="D1249" s="947" t="s">
        <v>1491</v>
      </c>
      <c r="E1249" s="951">
        <v>78</v>
      </c>
      <c r="F1249" s="951">
        <v>54</v>
      </c>
      <c r="G1249" s="947" t="s">
        <v>3252</v>
      </c>
      <c r="H1249" s="951">
        <v>0</v>
      </c>
      <c r="I1249" s="951">
        <v>0</v>
      </c>
      <c r="J1249" s="947" t="s">
        <v>390</v>
      </c>
      <c r="K1249" s="947">
        <v>412692</v>
      </c>
      <c r="M1249" s="631"/>
      <c r="P1249" s="950" t="str">
        <f>VLOOKUP(J1249,'רשימת רשויות'!A:A,1,0)</f>
        <v>רמלה</v>
      </c>
      <c r="Q1249" s="956">
        <f>IFERROR(VLOOKUP(B1249,[2]מעובד!$D:$K,8,0),0)</f>
        <v>63</v>
      </c>
      <c r="R1249" s="956">
        <f>IFERROR(VLOOKUP(B1249,[2]מעובד!$D:$L,9,0),0)</f>
        <v>46</v>
      </c>
    </row>
    <row r="1250" spans="1:18" x14ac:dyDescent="0.2">
      <c r="A1250" s="947" t="s">
        <v>395</v>
      </c>
      <c r="B1250" s="947">
        <v>412700</v>
      </c>
      <c r="C1250" s="947" t="s">
        <v>2189</v>
      </c>
      <c r="D1250" s="947" t="s">
        <v>3030</v>
      </c>
      <c r="E1250" s="951">
        <v>110</v>
      </c>
      <c r="F1250" s="951">
        <v>0</v>
      </c>
      <c r="G1250" s="947" t="s">
        <v>3252</v>
      </c>
      <c r="H1250" s="951">
        <v>0</v>
      </c>
      <c r="I1250" s="951">
        <v>0</v>
      </c>
      <c r="J1250" s="947" t="s">
        <v>395</v>
      </c>
      <c r="K1250" s="947">
        <v>412700</v>
      </c>
      <c r="M1250" s="631"/>
      <c r="P1250" s="950" t="str">
        <f>VLOOKUP(J1250,'רשימת רשויות'!A:A,1,0)</f>
        <v>רעננה</v>
      </c>
      <c r="Q1250" s="956">
        <f>IFERROR(VLOOKUP(B1250,[2]מעובד!$D:$K,8,0),0)</f>
        <v>0</v>
      </c>
      <c r="R1250" s="956">
        <f>IFERROR(VLOOKUP(B1250,[2]מעובד!$D:$L,9,0),0)</f>
        <v>0</v>
      </c>
    </row>
    <row r="1251" spans="1:18" x14ac:dyDescent="0.2">
      <c r="A1251" s="947" t="s">
        <v>332</v>
      </c>
      <c r="B1251" s="947">
        <v>412718</v>
      </c>
      <c r="C1251" s="947" t="s">
        <v>2189</v>
      </c>
      <c r="D1251" s="947" t="s">
        <v>1502</v>
      </c>
      <c r="E1251" s="951">
        <v>149</v>
      </c>
      <c r="F1251" s="951">
        <v>133</v>
      </c>
      <c r="G1251" s="947" t="s">
        <v>159</v>
      </c>
      <c r="H1251" s="951">
        <v>0</v>
      </c>
      <c r="I1251" s="951">
        <v>0</v>
      </c>
      <c r="J1251" s="947" t="s">
        <v>332</v>
      </c>
      <c r="K1251" s="947">
        <v>412718</v>
      </c>
      <c r="M1251" s="631"/>
      <c r="P1251" s="950" t="str">
        <f>VLOOKUP(J1251,'רשימת רשויות'!A:A,1,0)</f>
        <v>נס ציונה</v>
      </c>
      <c r="Q1251" s="956">
        <f>IFERROR(VLOOKUP(B1251,[2]מעובד!$D:$K,8,0),0)</f>
        <v>218</v>
      </c>
      <c r="R1251" s="956">
        <f>IFERROR(VLOOKUP(B1251,[2]מעובד!$D:$L,9,0),0)</f>
        <v>38</v>
      </c>
    </row>
    <row r="1252" spans="1:18" x14ac:dyDescent="0.2">
      <c r="A1252" s="947" t="s">
        <v>332</v>
      </c>
      <c r="B1252" s="947">
        <v>412726</v>
      </c>
      <c r="C1252" s="947" t="s">
        <v>2189</v>
      </c>
      <c r="D1252" s="947" t="s">
        <v>2416</v>
      </c>
      <c r="E1252" s="951">
        <v>159</v>
      </c>
      <c r="F1252" s="951">
        <v>108</v>
      </c>
      <c r="G1252" s="947" t="s">
        <v>159</v>
      </c>
      <c r="H1252" s="951">
        <v>63</v>
      </c>
      <c r="I1252" s="951">
        <v>0</v>
      </c>
      <c r="J1252" s="947" t="s">
        <v>332</v>
      </c>
      <c r="K1252" s="947">
        <v>412726</v>
      </c>
      <c r="M1252" s="631"/>
      <c r="P1252" s="950" t="str">
        <f>VLOOKUP(J1252,'רשימת רשויות'!A:A,1,0)</f>
        <v>נס ציונה</v>
      </c>
      <c r="Q1252" s="956">
        <f>IFERROR(VLOOKUP(B1252,[2]מעובד!$D:$K,8,0),0)</f>
        <v>174</v>
      </c>
      <c r="R1252" s="956">
        <f>IFERROR(VLOOKUP(B1252,[2]מעובד!$D:$L,9,0),0)</f>
        <v>81</v>
      </c>
    </row>
    <row r="1253" spans="1:18" x14ac:dyDescent="0.2">
      <c r="A1253" s="947" t="s">
        <v>1087</v>
      </c>
      <c r="B1253" s="947">
        <v>412783</v>
      </c>
      <c r="C1253" s="947" t="s">
        <v>2189</v>
      </c>
      <c r="D1253" s="947" t="s">
        <v>1040</v>
      </c>
      <c r="E1253" s="951">
        <v>141</v>
      </c>
      <c r="F1253" s="951">
        <v>101</v>
      </c>
      <c r="G1253" s="947" t="s">
        <v>159</v>
      </c>
      <c r="H1253" s="951">
        <v>55</v>
      </c>
      <c r="I1253" s="951">
        <v>4</v>
      </c>
      <c r="J1253" s="947" t="s">
        <v>1087</v>
      </c>
      <c r="K1253" s="947">
        <v>412783</v>
      </c>
      <c r="M1253" s="631"/>
      <c r="P1253" s="950" t="str">
        <f>VLOOKUP(J1253,'רשימת רשויות'!A:A,1,0)</f>
        <v>צור הדסה</v>
      </c>
      <c r="Q1253" s="956">
        <f>IFERROR(VLOOKUP(B1253,[2]מעובד!$D:$K,8,0),0)</f>
        <v>151</v>
      </c>
      <c r="R1253" s="956">
        <f>IFERROR(VLOOKUP(B1253,[2]מעובד!$D:$L,9,0),0)</f>
        <v>109</v>
      </c>
    </row>
    <row r="1254" spans="1:18" x14ac:dyDescent="0.2">
      <c r="A1254" s="947" t="s">
        <v>387</v>
      </c>
      <c r="B1254" s="947">
        <v>412791</v>
      </c>
      <c r="C1254" s="947" t="s">
        <v>2189</v>
      </c>
      <c r="D1254" s="947" t="s">
        <v>699</v>
      </c>
      <c r="E1254" s="951">
        <v>150</v>
      </c>
      <c r="F1254" s="951">
        <v>150</v>
      </c>
      <c r="G1254" s="947" t="s">
        <v>159</v>
      </c>
      <c r="H1254" s="951">
        <v>0</v>
      </c>
      <c r="I1254" s="951">
        <v>0</v>
      </c>
      <c r="J1254" s="947" t="s">
        <v>387</v>
      </c>
      <c r="K1254" s="947">
        <v>412791</v>
      </c>
      <c r="M1254" s="631"/>
      <c r="P1254" s="950" t="str">
        <f>VLOOKUP(J1254,'רשימת רשויות'!A:A,1,0)</f>
        <v>רחובות</v>
      </c>
      <c r="Q1254" s="956">
        <f>IFERROR(VLOOKUP(B1254,[2]מעובד!$D:$K,8,0),0)</f>
        <v>166</v>
      </c>
      <c r="R1254" s="956">
        <f>IFERROR(VLOOKUP(B1254,[2]מעובד!$D:$L,9,0),0)</f>
        <v>130</v>
      </c>
    </row>
    <row r="1255" spans="1:18" x14ac:dyDescent="0.2">
      <c r="A1255" s="947" t="s">
        <v>217</v>
      </c>
      <c r="B1255" s="947">
        <v>412809</v>
      </c>
      <c r="C1255" s="947" t="s">
        <v>2189</v>
      </c>
      <c r="D1255" s="947" t="s">
        <v>438</v>
      </c>
      <c r="E1255" s="951">
        <v>150</v>
      </c>
      <c r="F1255" s="951">
        <v>141</v>
      </c>
      <c r="G1255" s="947" t="s">
        <v>159</v>
      </c>
      <c r="H1255" s="951">
        <v>0</v>
      </c>
      <c r="I1255" s="951">
        <v>0</v>
      </c>
      <c r="J1255" s="947" t="s">
        <v>217</v>
      </c>
      <c r="K1255" s="947">
        <v>412809</v>
      </c>
      <c r="M1255" s="631"/>
      <c r="P1255" s="950" t="str">
        <f>VLOOKUP(J1255,'רשימת רשויות'!A:A,1,0)</f>
        <v>גולן</v>
      </c>
      <c r="Q1255" s="956">
        <f>IFERROR(VLOOKUP(B1255,[2]מעובד!$D:$K,8,0),0)</f>
        <v>0</v>
      </c>
      <c r="R1255" s="956">
        <f>IFERROR(VLOOKUP(B1255,[2]מעובד!$D:$L,9,0),0)</f>
        <v>0</v>
      </c>
    </row>
    <row r="1256" spans="1:18" x14ac:dyDescent="0.2">
      <c r="A1256" s="947" t="s">
        <v>293</v>
      </c>
      <c r="B1256" s="947">
        <v>412825</v>
      </c>
      <c r="C1256" s="947" t="s">
        <v>2189</v>
      </c>
      <c r="D1256" s="947" t="s">
        <v>1693</v>
      </c>
      <c r="E1256" s="951">
        <v>170</v>
      </c>
      <c r="F1256" s="951">
        <v>149</v>
      </c>
      <c r="G1256" s="947" t="s">
        <v>159</v>
      </c>
      <c r="H1256" s="951">
        <v>116</v>
      </c>
      <c r="I1256" s="951">
        <v>20</v>
      </c>
      <c r="J1256" s="947" t="s">
        <v>293</v>
      </c>
      <c r="K1256" s="947">
        <v>412825</v>
      </c>
      <c r="M1256" s="631"/>
      <c r="P1256" s="950" t="str">
        <f>VLOOKUP(J1256,'רשימת רשויות'!A:A,1,0)</f>
        <v>לוד</v>
      </c>
      <c r="Q1256" s="956">
        <f>IFERROR(VLOOKUP(B1256,[2]מעובד!$D:$K,8,0),0)</f>
        <v>169</v>
      </c>
      <c r="R1256" s="956">
        <f>IFERROR(VLOOKUP(B1256,[2]מעובד!$D:$L,9,0),0)</f>
        <v>70</v>
      </c>
    </row>
    <row r="1257" spans="1:18" x14ac:dyDescent="0.2">
      <c r="A1257" s="947" t="s">
        <v>363</v>
      </c>
      <c r="B1257" s="947">
        <v>412841</v>
      </c>
      <c r="C1257" s="947" t="s">
        <v>2189</v>
      </c>
      <c r="D1257" s="947" t="s">
        <v>702</v>
      </c>
      <c r="E1257" s="951">
        <v>243</v>
      </c>
      <c r="F1257" s="951">
        <v>215</v>
      </c>
      <c r="G1257" s="947" t="s">
        <v>159</v>
      </c>
      <c r="H1257" s="951">
        <v>168</v>
      </c>
      <c r="I1257" s="951">
        <v>27</v>
      </c>
      <c r="J1257" s="947" t="s">
        <v>363</v>
      </c>
      <c r="K1257" s="947">
        <v>412841</v>
      </c>
      <c r="M1257" s="631"/>
      <c r="P1257" s="950" t="str">
        <f>VLOOKUP(J1257,'רשימת רשויות'!A:A,1,0)</f>
        <v>פתח תקוה</v>
      </c>
      <c r="Q1257" s="956">
        <f>IFERROR(VLOOKUP(B1257,[2]מעובד!$D:$K,8,0),0)</f>
        <v>188</v>
      </c>
      <c r="R1257" s="956">
        <f>IFERROR(VLOOKUP(B1257,[2]מעובד!$D:$L,9,0),0)</f>
        <v>122</v>
      </c>
    </row>
    <row r="1258" spans="1:18" x14ac:dyDescent="0.2">
      <c r="A1258" s="947" t="s">
        <v>390</v>
      </c>
      <c r="B1258" s="947">
        <v>412858</v>
      </c>
      <c r="C1258" s="947" t="s">
        <v>2189</v>
      </c>
      <c r="D1258" s="947" t="s">
        <v>758</v>
      </c>
      <c r="E1258" s="951">
        <v>133</v>
      </c>
      <c r="F1258" s="951">
        <v>28</v>
      </c>
      <c r="G1258" s="947" t="s">
        <v>159</v>
      </c>
      <c r="H1258" s="951">
        <v>64</v>
      </c>
      <c r="I1258" s="951">
        <v>8</v>
      </c>
      <c r="J1258" s="947" t="s">
        <v>390</v>
      </c>
      <c r="K1258" s="957" t="s">
        <v>3304</v>
      </c>
      <c r="M1258" s="631"/>
      <c r="P1258" s="950" t="str">
        <f>VLOOKUP(J1258,'רשימת רשויות'!A:A,1,0)</f>
        <v>רמלה</v>
      </c>
      <c r="Q1258" s="956">
        <f>IFERROR(VLOOKUP(B1258,[2]מעובד!$D:$K,8,0),0)</f>
        <v>138</v>
      </c>
      <c r="R1258" s="956">
        <f>IFERROR(VLOOKUP(B1258,[2]מעובד!$D:$L,9,0),0)</f>
        <v>43</v>
      </c>
    </row>
    <row r="1259" spans="1:18" x14ac:dyDescent="0.2">
      <c r="A1259" s="947" t="s">
        <v>336</v>
      </c>
      <c r="B1259" s="947">
        <v>412866</v>
      </c>
      <c r="C1259" s="947" t="s">
        <v>2189</v>
      </c>
      <c r="D1259" s="947" t="s">
        <v>1694</v>
      </c>
      <c r="E1259" s="951">
        <v>249</v>
      </c>
      <c r="F1259" s="951">
        <v>180</v>
      </c>
      <c r="G1259" s="947" t="s">
        <v>3252</v>
      </c>
      <c r="H1259" s="951">
        <v>0</v>
      </c>
      <c r="I1259" s="951">
        <v>0</v>
      </c>
      <c r="J1259" s="947" t="s">
        <v>336</v>
      </c>
      <c r="K1259" s="947">
        <v>412866</v>
      </c>
      <c r="M1259" s="631"/>
      <c r="P1259" s="950" t="str">
        <f>VLOOKUP(J1259,'רשימת רשויות'!A:A,1,0)</f>
        <v>נתניה</v>
      </c>
      <c r="Q1259" s="956">
        <f>IFERROR(VLOOKUP(B1259,[2]מעובד!$D:$K,8,0),0)</f>
        <v>0</v>
      </c>
      <c r="R1259" s="956">
        <f>IFERROR(VLOOKUP(B1259,[2]מעובד!$D:$L,9,0),0)</f>
        <v>75</v>
      </c>
    </row>
    <row r="1260" spans="1:18" x14ac:dyDescent="0.2">
      <c r="A1260" s="947" t="s">
        <v>336</v>
      </c>
      <c r="B1260" s="947">
        <v>412874</v>
      </c>
      <c r="C1260" s="947" t="s">
        <v>2189</v>
      </c>
      <c r="D1260" s="947" t="s">
        <v>703</v>
      </c>
      <c r="E1260" s="951">
        <v>279</v>
      </c>
      <c r="F1260" s="951">
        <v>140</v>
      </c>
      <c r="G1260" s="947" t="s">
        <v>159</v>
      </c>
      <c r="H1260" s="951">
        <v>279</v>
      </c>
      <c r="I1260" s="951">
        <v>16</v>
      </c>
      <c r="J1260" s="947" t="s">
        <v>336</v>
      </c>
      <c r="K1260" s="947">
        <v>412874</v>
      </c>
      <c r="M1260" s="631"/>
      <c r="P1260" s="950" t="str">
        <f>VLOOKUP(J1260,'רשימת רשויות'!A:A,1,0)</f>
        <v>נתניה</v>
      </c>
      <c r="Q1260" s="956">
        <f>IFERROR(VLOOKUP(B1260,[2]מעובד!$D:$K,8,0),0)</f>
        <v>278</v>
      </c>
      <c r="R1260" s="956">
        <f>IFERROR(VLOOKUP(B1260,[2]מעובד!$D:$L,9,0),0)</f>
        <v>64</v>
      </c>
    </row>
    <row r="1261" spans="1:18" x14ac:dyDescent="0.2">
      <c r="A1261" s="947" t="s">
        <v>363</v>
      </c>
      <c r="B1261" s="947">
        <v>412908</v>
      </c>
      <c r="C1261" s="947" t="s">
        <v>2189</v>
      </c>
      <c r="D1261" s="947" t="s">
        <v>689</v>
      </c>
      <c r="E1261" s="951">
        <v>195</v>
      </c>
      <c r="F1261" s="951">
        <v>169</v>
      </c>
      <c r="G1261" s="947" t="s">
        <v>159</v>
      </c>
      <c r="H1261" s="951">
        <v>0</v>
      </c>
      <c r="I1261" s="951">
        <v>0</v>
      </c>
      <c r="J1261" s="947" t="s">
        <v>363</v>
      </c>
      <c r="K1261" s="947">
        <v>412908</v>
      </c>
      <c r="M1261" s="631"/>
      <c r="P1261" s="950" t="str">
        <f>VLOOKUP(J1261,'רשימת רשויות'!A:A,1,0)</f>
        <v>פתח תקוה</v>
      </c>
      <c r="Q1261" s="956">
        <f>IFERROR(VLOOKUP(B1261,[2]מעובד!$D:$K,8,0),0)</f>
        <v>195</v>
      </c>
      <c r="R1261" s="956">
        <f>IFERROR(VLOOKUP(B1261,[2]מעובד!$D:$L,9,0),0)</f>
        <v>195</v>
      </c>
    </row>
    <row r="1262" spans="1:18" x14ac:dyDescent="0.2">
      <c r="A1262" s="947" t="s">
        <v>385</v>
      </c>
      <c r="B1262" s="947">
        <v>412932</v>
      </c>
      <c r="C1262" s="947" t="s">
        <v>2189</v>
      </c>
      <c r="D1262" s="947" t="s">
        <v>1550</v>
      </c>
      <c r="E1262" s="951">
        <v>279</v>
      </c>
      <c r="F1262" s="951">
        <v>228</v>
      </c>
      <c r="G1262" s="947" t="s">
        <v>159</v>
      </c>
      <c r="H1262" s="951">
        <v>0</v>
      </c>
      <c r="I1262" s="951">
        <v>0</v>
      </c>
      <c r="J1262" s="947" t="s">
        <v>385</v>
      </c>
      <c r="K1262" s="947">
        <v>412932</v>
      </c>
      <c r="M1262" s="631"/>
      <c r="P1262" s="950" t="str">
        <f>VLOOKUP(J1262,'רשימת רשויות'!A:A,1,0)</f>
        <v>ראשון לציון</v>
      </c>
      <c r="Q1262" s="956">
        <f>IFERROR(VLOOKUP(B1262,[2]מעובד!$D:$K,8,0),0)</f>
        <v>296</v>
      </c>
      <c r="R1262" s="956">
        <f>IFERROR(VLOOKUP(B1262,[2]מעובד!$D:$L,9,0),0)</f>
        <v>141</v>
      </c>
    </row>
    <row r="1263" spans="1:18" x14ac:dyDescent="0.2">
      <c r="A1263" s="947" t="s">
        <v>220</v>
      </c>
      <c r="B1263" s="947">
        <v>412940</v>
      </c>
      <c r="C1263" s="947" t="s">
        <v>2189</v>
      </c>
      <c r="D1263" s="947" t="s">
        <v>1551</v>
      </c>
      <c r="E1263" s="951">
        <v>90</v>
      </c>
      <c r="F1263" s="951">
        <v>66</v>
      </c>
      <c r="G1263" s="947" t="s">
        <v>159</v>
      </c>
      <c r="H1263" s="951">
        <v>0</v>
      </c>
      <c r="I1263" s="951">
        <v>0</v>
      </c>
      <c r="J1263" s="947" t="s">
        <v>220</v>
      </c>
      <c r="K1263" s="947">
        <v>412940</v>
      </c>
      <c r="M1263" s="631"/>
      <c r="P1263" s="950" t="str">
        <f>VLOOKUP(J1263,'רשימת רשויות'!A:A,1,0)</f>
        <v>גזר</v>
      </c>
      <c r="Q1263" s="956">
        <f>IFERROR(VLOOKUP(B1263,[2]מעובד!$D:$K,8,0),0)</f>
        <v>85</v>
      </c>
      <c r="R1263" s="956">
        <f>IFERROR(VLOOKUP(B1263,[2]מעובד!$D:$L,9,0),0)</f>
        <v>54</v>
      </c>
    </row>
    <row r="1264" spans="1:18" x14ac:dyDescent="0.2">
      <c r="A1264" s="947" t="s">
        <v>385</v>
      </c>
      <c r="B1264" s="947">
        <v>412965</v>
      </c>
      <c r="C1264" s="947" t="s">
        <v>2189</v>
      </c>
      <c r="D1264" s="947" t="s">
        <v>3031</v>
      </c>
      <c r="E1264" s="951">
        <v>100</v>
      </c>
      <c r="F1264" s="951">
        <v>45</v>
      </c>
      <c r="G1264" s="947" t="s">
        <v>159</v>
      </c>
      <c r="H1264" s="951">
        <v>32</v>
      </c>
      <c r="I1264" s="951">
        <v>4</v>
      </c>
      <c r="J1264" s="947" t="s">
        <v>385</v>
      </c>
      <c r="K1264" s="947">
        <v>412965</v>
      </c>
      <c r="M1264" s="631"/>
      <c r="P1264" s="950" t="str">
        <f>VLOOKUP(J1264,'רשימת רשויות'!A:A,1,0)</f>
        <v>ראשון לציון</v>
      </c>
      <c r="Q1264" s="956">
        <f>IFERROR(VLOOKUP(B1264,[2]מעובד!$D:$K,8,0),0)</f>
        <v>0</v>
      </c>
      <c r="R1264" s="956">
        <f>IFERROR(VLOOKUP(B1264,[2]מעובד!$D:$L,9,0),0)</f>
        <v>0</v>
      </c>
    </row>
    <row r="1265" spans="1:18" x14ac:dyDescent="0.2">
      <c r="A1265" s="947" t="s">
        <v>262</v>
      </c>
      <c r="B1265" s="947">
        <v>412973</v>
      </c>
      <c r="C1265" s="947" t="s">
        <v>2189</v>
      </c>
      <c r="D1265" s="947" t="s">
        <v>651</v>
      </c>
      <c r="E1265" s="951">
        <v>375</v>
      </c>
      <c r="F1265" s="951">
        <v>260</v>
      </c>
      <c r="G1265" s="947" t="s">
        <v>159</v>
      </c>
      <c r="H1265" s="951">
        <v>0</v>
      </c>
      <c r="I1265" s="951">
        <v>0</v>
      </c>
      <c r="J1265" s="947" t="s">
        <v>262</v>
      </c>
      <c r="K1265" s="947">
        <v>412973</v>
      </c>
      <c r="M1265" s="631"/>
      <c r="P1265" s="950" t="str">
        <f>VLOOKUP(J1265,'רשימת רשויות'!A:A,1,0)</f>
        <v>יבנה</v>
      </c>
      <c r="Q1265" s="956">
        <f>IFERROR(VLOOKUP(B1265,[2]מעובד!$D:$K,8,0),0)</f>
        <v>0</v>
      </c>
      <c r="R1265" s="956">
        <f>IFERROR(VLOOKUP(B1265,[2]מעובד!$D:$L,9,0),0)</f>
        <v>0</v>
      </c>
    </row>
    <row r="1266" spans="1:18" x14ac:dyDescent="0.2">
      <c r="A1266" s="947" t="s">
        <v>385</v>
      </c>
      <c r="B1266" s="947">
        <v>412981</v>
      </c>
      <c r="C1266" s="947" t="s">
        <v>2189</v>
      </c>
      <c r="D1266" s="947" t="s">
        <v>1552</v>
      </c>
      <c r="E1266" s="951">
        <v>142</v>
      </c>
      <c r="F1266" s="951">
        <v>56</v>
      </c>
      <c r="G1266" s="947" t="s">
        <v>159</v>
      </c>
      <c r="H1266" s="951">
        <v>53</v>
      </c>
      <c r="I1266" s="951">
        <v>5</v>
      </c>
      <c r="J1266" s="947" t="s">
        <v>385</v>
      </c>
      <c r="K1266" s="947">
        <v>412981</v>
      </c>
      <c r="M1266" s="631"/>
      <c r="P1266" s="950" t="str">
        <f>VLOOKUP(J1266,'רשימת רשויות'!A:A,1,0)</f>
        <v>ראשון לציון</v>
      </c>
      <c r="Q1266" s="956">
        <f>IFERROR(VLOOKUP(B1266,[2]מעובד!$D:$K,8,0),0)</f>
        <v>211</v>
      </c>
      <c r="R1266" s="956">
        <f>IFERROR(VLOOKUP(B1266,[2]מעובד!$D:$L,9,0),0)</f>
        <v>144</v>
      </c>
    </row>
    <row r="1267" spans="1:18" x14ac:dyDescent="0.2">
      <c r="A1267" s="947" t="s">
        <v>284</v>
      </c>
      <c r="B1267" s="947">
        <v>413013</v>
      </c>
      <c r="C1267" s="947" t="s">
        <v>2189</v>
      </c>
      <c r="D1267" s="947" t="s">
        <v>2177</v>
      </c>
      <c r="E1267" s="951">
        <v>104</v>
      </c>
      <c r="F1267" s="951">
        <v>104</v>
      </c>
      <c r="G1267" s="947" t="s">
        <v>3252</v>
      </c>
      <c r="H1267" s="951">
        <v>0</v>
      </c>
      <c r="I1267" s="951">
        <v>0</v>
      </c>
      <c r="J1267" s="947" t="s">
        <v>284</v>
      </c>
      <c r="K1267" s="947">
        <v>413013</v>
      </c>
      <c r="M1267" s="631"/>
      <c r="P1267" s="950" t="str">
        <f>VLOOKUP(J1267,'רשימת רשויות'!A:A,1,0)</f>
        <v>כפר סבא</v>
      </c>
      <c r="Q1267" s="956">
        <f>IFERROR(VLOOKUP(B1267,[2]מעובד!$D:$K,8,0),0)</f>
        <v>102</v>
      </c>
      <c r="R1267" s="956">
        <f>IFERROR(VLOOKUP(B1267,[2]מעובד!$D:$L,9,0),0)</f>
        <v>99</v>
      </c>
    </row>
    <row r="1268" spans="1:18" x14ac:dyDescent="0.2">
      <c r="A1268" s="947" t="s">
        <v>363</v>
      </c>
      <c r="B1268" s="947">
        <v>413021</v>
      </c>
      <c r="C1268" s="947" t="s">
        <v>2189</v>
      </c>
      <c r="D1268" s="947" t="s">
        <v>2417</v>
      </c>
      <c r="E1268" s="951">
        <v>244</v>
      </c>
      <c r="F1268" s="951">
        <v>244</v>
      </c>
      <c r="G1268" s="947" t="s">
        <v>3252</v>
      </c>
      <c r="H1268" s="951">
        <v>0</v>
      </c>
      <c r="I1268" s="951">
        <v>0</v>
      </c>
      <c r="J1268" s="947" t="s">
        <v>363</v>
      </c>
      <c r="K1268" s="947">
        <v>413021</v>
      </c>
      <c r="M1268" s="631"/>
      <c r="P1268" s="950" t="str">
        <f>VLOOKUP(J1268,'רשימת רשויות'!A:A,1,0)</f>
        <v>פתח תקוה</v>
      </c>
      <c r="Q1268" s="956">
        <f>IFERROR(VLOOKUP(B1268,[2]מעובד!$D:$K,8,0),0)</f>
        <v>0</v>
      </c>
      <c r="R1268" s="956">
        <f>IFERROR(VLOOKUP(B1268,[2]מעובד!$D:$L,9,0),0)</f>
        <v>0</v>
      </c>
    </row>
    <row r="1269" spans="1:18" x14ac:dyDescent="0.2">
      <c r="A1269" s="947" t="s">
        <v>363</v>
      </c>
      <c r="B1269" s="947">
        <v>413039</v>
      </c>
      <c r="C1269" s="947" t="s">
        <v>2189</v>
      </c>
      <c r="D1269" s="947" t="s">
        <v>692</v>
      </c>
      <c r="E1269" s="951">
        <v>235</v>
      </c>
      <c r="F1269" s="951">
        <v>228</v>
      </c>
      <c r="G1269" s="947" t="s">
        <v>159</v>
      </c>
      <c r="H1269" s="951">
        <v>0</v>
      </c>
      <c r="I1269" s="951">
        <v>0</v>
      </c>
      <c r="J1269" s="947" t="s">
        <v>363</v>
      </c>
      <c r="K1269" s="947">
        <v>413039</v>
      </c>
      <c r="M1269" s="631"/>
      <c r="P1269" s="950" t="str">
        <f>VLOOKUP(J1269,'רשימת רשויות'!A:A,1,0)</f>
        <v>פתח תקוה</v>
      </c>
      <c r="Q1269" s="956">
        <f>IFERROR(VLOOKUP(B1269,[2]מעובד!$D:$K,8,0),0)</f>
        <v>243</v>
      </c>
      <c r="R1269" s="956">
        <f>IFERROR(VLOOKUP(B1269,[2]מעובד!$D:$L,9,0),0)</f>
        <v>145</v>
      </c>
    </row>
    <row r="1270" spans="1:18" x14ac:dyDescent="0.2">
      <c r="A1270" s="947" t="s">
        <v>262</v>
      </c>
      <c r="B1270" s="947">
        <v>413054</v>
      </c>
      <c r="C1270" s="947" t="s">
        <v>2189</v>
      </c>
      <c r="D1270" s="947" t="s">
        <v>2219</v>
      </c>
      <c r="E1270" s="951">
        <v>289</v>
      </c>
      <c r="F1270" s="951">
        <v>275</v>
      </c>
      <c r="G1270" s="947" t="s">
        <v>159</v>
      </c>
      <c r="H1270" s="951">
        <v>0</v>
      </c>
      <c r="I1270" s="951">
        <v>0</v>
      </c>
      <c r="J1270" s="947" t="s">
        <v>262</v>
      </c>
      <c r="K1270" s="947">
        <v>413054</v>
      </c>
      <c r="M1270" s="631"/>
      <c r="P1270" s="950" t="str">
        <f>VLOOKUP(J1270,'רשימת רשויות'!A:A,1,0)</f>
        <v>יבנה</v>
      </c>
      <c r="Q1270" s="956">
        <f>IFERROR(VLOOKUP(B1270,[2]מעובד!$D:$K,8,0),0)</f>
        <v>239</v>
      </c>
      <c r="R1270" s="956">
        <f>IFERROR(VLOOKUP(B1270,[2]מעובד!$D:$L,9,0),0)</f>
        <v>107</v>
      </c>
    </row>
    <row r="1271" spans="1:18" x14ac:dyDescent="0.2">
      <c r="A1271" s="947" t="s">
        <v>390</v>
      </c>
      <c r="B1271" s="947">
        <v>413062</v>
      </c>
      <c r="C1271" s="947" t="s">
        <v>2189</v>
      </c>
      <c r="D1271" s="947" t="s">
        <v>485</v>
      </c>
      <c r="E1271" s="951">
        <v>105</v>
      </c>
      <c r="F1271" s="951">
        <v>35</v>
      </c>
      <c r="G1271" s="947" t="s">
        <v>159</v>
      </c>
      <c r="H1271" s="951">
        <v>76</v>
      </c>
      <c r="I1271" s="951">
        <v>0</v>
      </c>
      <c r="J1271" s="947" t="s">
        <v>390</v>
      </c>
      <c r="K1271" s="957" t="s">
        <v>3304</v>
      </c>
      <c r="M1271" s="631"/>
      <c r="P1271" s="950" t="str">
        <f>VLOOKUP(J1271,'רשימת רשויות'!A:A,1,0)</f>
        <v>רמלה</v>
      </c>
      <c r="Q1271" s="956">
        <f>IFERROR(VLOOKUP(B1271,[2]מעובד!$D:$K,8,0),0)</f>
        <v>135</v>
      </c>
      <c r="R1271" s="956">
        <f>IFERROR(VLOOKUP(B1271,[2]מעובד!$D:$L,9,0),0)</f>
        <v>55</v>
      </c>
    </row>
    <row r="1272" spans="1:18" x14ac:dyDescent="0.2">
      <c r="A1272" s="947" t="s">
        <v>385</v>
      </c>
      <c r="B1272" s="947">
        <v>413070</v>
      </c>
      <c r="C1272" s="947" t="s">
        <v>2189</v>
      </c>
      <c r="D1272" s="947" t="s">
        <v>1217</v>
      </c>
      <c r="E1272" s="951">
        <v>270</v>
      </c>
      <c r="F1272" s="951">
        <v>175</v>
      </c>
      <c r="G1272" s="947" t="s">
        <v>159</v>
      </c>
      <c r="H1272" s="951">
        <v>0</v>
      </c>
      <c r="I1272" s="951">
        <v>0</v>
      </c>
      <c r="J1272" s="947" t="s">
        <v>385</v>
      </c>
      <c r="K1272" s="947">
        <v>413070</v>
      </c>
      <c r="M1272" s="631"/>
      <c r="P1272" s="950" t="str">
        <f>VLOOKUP(J1272,'רשימת רשויות'!A:A,1,0)</f>
        <v>ראשון לציון</v>
      </c>
      <c r="Q1272" s="956">
        <f>IFERROR(VLOOKUP(B1272,[2]מעובד!$D:$K,8,0),0)</f>
        <v>248</v>
      </c>
      <c r="R1272" s="956">
        <f>IFERROR(VLOOKUP(B1272,[2]מעובד!$D:$L,9,0),0)</f>
        <v>87</v>
      </c>
    </row>
    <row r="1273" spans="1:18" x14ac:dyDescent="0.2">
      <c r="A1273" s="947" t="s">
        <v>395</v>
      </c>
      <c r="B1273" s="947">
        <v>413088</v>
      </c>
      <c r="C1273" s="947" t="s">
        <v>2189</v>
      </c>
      <c r="D1273" s="947" t="s">
        <v>844</v>
      </c>
      <c r="E1273" s="951">
        <v>137</v>
      </c>
      <c r="F1273" s="951">
        <v>125</v>
      </c>
      <c r="G1273" s="947" t="s">
        <v>159</v>
      </c>
      <c r="H1273" s="951">
        <v>60</v>
      </c>
      <c r="I1273" s="951">
        <v>8</v>
      </c>
      <c r="J1273" s="947" t="s">
        <v>395</v>
      </c>
      <c r="K1273" s="947">
        <v>413088</v>
      </c>
      <c r="M1273" s="631"/>
      <c r="P1273" s="950" t="str">
        <f>VLOOKUP(J1273,'רשימת רשויות'!A:A,1,0)</f>
        <v>רעננה</v>
      </c>
      <c r="Q1273" s="956">
        <f>IFERROR(VLOOKUP(B1273,[2]מעובד!$D:$K,8,0),0)</f>
        <v>110</v>
      </c>
      <c r="R1273" s="956">
        <f>IFERROR(VLOOKUP(B1273,[2]מעובד!$D:$L,9,0),0)</f>
        <v>42</v>
      </c>
    </row>
    <row r="1274" spans="1:18" x14ac:dyDescent="0.2">
      <c r="A1274" s="947" t="s">
        <v>401</v>
      </c>
      <c r="B1274" s="947">
        <v>413096</v>
      </c>
      <c r="C1274" s="947" t="s">
        <v>2189</v>
      </c>
      <c r="D1274" s="947" t="s">
        <v>1630</v>
      </c>
      <c r="E1274" s="951">
        <v>205</v>
      </c>
      <c r="F1274" s="951">
        <v>164</v>
      </c>
      <c r="G1274" s="947" t="s">
        <v>159</v>
      </c>
      <c r="H1274" s="951">
        <v>0</v>
      </c>
      <c r="I1274" s="951">
        <v>0</v>
      </c>
      <c r="J1274" s="947" t="s">
        <v>401</v>
      </c>
      <c r="K1274" s="947">
        <v>413096</v>
      </c>
      <c r="M1274" s="631"/>
      <c r="P1274" s="950" t="str">
        <f>VLOOKUP(J1274,'רשימת רשויות'!A:A,1,0)</f>
        <v>שוהם</v>
      </c>
      <c r="Q1274" s="956">
        <f>IFERROR(VLOOKUP(B1274,[2]מעובד!$D:$K,8,0),0)</f>
        <v>183</v>
      </c>
      <c r="R1274" s="956">
        <f>IFERROR(VLOOKUP(B1274,[2]מעובד!$D:$L,9,0),0)</f>
        <v>86</v>
      </c>
    </row>
    <row r="1275" spans="1:18" x14ac:dyDescent="0.2">
      <c r="A1275" s="947" t="s">
        <v>402</v>
      </c>
      <c r="B1275" s="947">
        <v>413104</v>
      </c>
      <c r="C1275" s="947" t="s">
        <v>2189</v>
      </c>
      <c r="D1275" s="947" t="s">
        <v>1217</v>
      </c>
      <c r="E1275" s="951">
        <v>117</v>
      </c>
      <c r="F1275" s="951">
        <v>88</v>
      </c>
      <c r="G1275" s="947" t="s">
        <v>159</v>
      </c>
      <c r="H1275" s="951">
        <v>0</v>
      </c>
      <c r="I1275" s="951">
        <v>0</v>
      </c>
      <c r="J1275" s="947" t="s">
        <v>402</v>
      </c>
      <c r="K1275" s="947">
        <v>413104</v>
      </c>
      <c r="M1275" s="631"/>
      <c r="P1275" s="950" t="str">
        <f>VLOOKUP(J1275,'רשימת רשויות'!A:A,1,0)</f>
        <v>שומרון</v>
      </c>
      <c r="Q1275" s="956">
        <f>IFERROR(VLOOKUP(B1275,[2]מעובד!$D:$K,8,0),0)</f>
        <v>116</v>
      </c>
      <c r="R1275" s="956">
        <f>IFERROR(VLOOKUP(B1275,[2]מעובד!$D:$L,9,0),0)</f>
        <v>88</v>
      </c>
    </row>
    <row r="1276" spans="1:18" x14ac:dyDescent="0.2">
      <c r="A1276" s="947" t="s">
        <v>2777</v>
      </c>
      <c r="B1276" s="947">
        <v>413112</v>
      </c>
      <c r="C1276" s="947" t="s">
        <v>2189</v>
      </c>
      <c r="D1276" s="947" t="s">
        <v>3032</v>
      </c>
      <c r="E1276" s="951">
        <v>65</v>
      </c>
      <c r="F1276" s="951">
        <v>0</v>
      </c>
      <c r="G1276" s="947" t="s">
        <v>3252</v>
      </c>
      <c r="H1276" s="951">
        <v>0</v>
      </c>
      <c r="I1276" s="951">
        <v>0</v>
      </c>
      <c r="J1276" s="947" t="s">
        <v>2777</v>
      </c>
      <c r="K1276" s="947">
        <v>413112</v>
      </c>
      <c r="M1276" s="631"/>
      <c r="P1276" s="950" t="str">
        <f>VLOOKUP(J1276,'רשימת רשויות'!A:A,1,0)</f>
        <v>גני תקווה</v>
      </c>
      <c r="Q1276" s="956">
        <f>IFERROR(VLOOKUP(B1276,[2]מעובד!$D:$K,8,0),0)</f>
        <v>0</v>
      </c>
      <c r="R1276" s="956">
        <f>IFERROR(VLOOKUP(B1276,[2]מעובד!$D:$L,9,0),0)</f>
        <v>0</v>
      </c>
    </row>
    <row r="1277" spans="1:18" x14ac:dyDescent="0.2">
      <c r="A1277" s="947" t="s">
        <v>262</v>
      </c>
      <c r="B1277" s="947">
        <v>413120</v>
      </c>
      <c r="C1277" s="947" t="s">
        <v>2189</v>
      </c>
      <c r="D1277" s="947" t="s">
        <v>1639</v>
      </c>
      <c r="E1277" s="951">
        <v>183</v>
      </c>
      <c r="F1277" s="951">
        <v>136</v>
      </c>
      <c r="G1277" s="947" t="s">
        <v>3252</v>
      </c>
      <c r="H1277" s="951">
        <v>0</v>
      </c>
      <c r="I1277" s="951">
        <v>0</v>
      </c>
      <c r="J1277" s="947" t="s">
        <v>262</v>
      </c>
      <c r="K1277" s="947">
        <v>413120</v>
      </c>
      <c r="M1277" s="631"/>
      <c r="P1277" s="950" t="str">
        <f>VLOOKUP(J1277,'רשימת רשויות'!A:A,1,0)</f>
        <v>יבנה</v>
      </c>
      <c r="Q1277" s="956">
        <f>IFERROR(VLOOKUP(B1277,[2]מעובד!$D:$K,8,0),0)</f>
        <v>0</v>
      </c>
      <c r="R1277" s="956">
        <f>IFERROR(VLOOKUP(B1277,[2]מעובד!$D:$L,9,0),0)</f>
        <v>75</v>
      </c>
    </row>
    <row r="1278" spans="1:18" x14ac:dyDescent="0.2">
      <c r="A1278" s="947" t="s">
        <v>362</v>
      </c>
      <c r="B1278" s="947">
        <v>413146</v>
      </c>
      <c r="C1278" s="947" t="s">
        <v>2189</v>
      </c>
      <c r="D1278" s="947" t="s">
        <v>1640</v>
      </c>
      <c r="E1278" s="951">
        <v>204</v>
      </c>
      <c r="F1278" s="951">
        <v>204</v>
      </c>
      <c r="G1278" s="947" t="s">
        <v>159</v>
      </c>
      <c r="H1278" s="951">
        <v>0</v>
      </c>
      <c r="I1278" s="951">
        <v>0</v>
      </c>
      <c r="J1278" s="947" t="s">
        <v>362</v>
      </c>
      <c r="K1278" s="947">
        <v>413146</v>
      </c>
      <c r="M1278" s="631"/>
      <c r="P1278" s="950" t="str">
        <f>VLOOKUP(J1278,'רשימת רשויות'!A:A,1,0)</f>
        <v>פרדסיה</v>
      </c>
      <c r="Q1278" s="956">
        <f>IFERROR(VLOOKUP(B1278,[2]מעובד!$D:$K,8,0),0)</f>
        <v>190</v>
      </c>
      <c r="R1278" s="956">
        <f>IFERROR(VLOOKUP(B1278,[2]מעובד!$D:$L,9,0),0)</f>
        <v>85</v>
      </c>
    </row>
    <row r="1279" spans="1:18" x14ac:dyDescent="0.2">
      <c r="A1279" s="947" t="s">
        <v>199</v>
      </c>
      <c r="B1279" s="947">
        <v>413153</v>
      </c>
      <c r="C1279" s="947" t="s">
        <v>2189</v>
      </c>
      <c r="D1279" s="947" t="s">
        <v>1641</v>
      </c>
      <c r="E1279" s="951">
        <v>79</v>
      </c>
      <c r="F1279" s="951">
        <v>58</v>
      </c>
      <c r="G1279" s="947" t="s">
        <v>159</v>
      </c>
      <c r="H1279" s="951">
        <v>0</v>
      </c>
      <c r="I1279" s="951">
        <v>0</v>
      </c>
      <c r="J1279" s="947" t="s">
        <v>199</v>
      </c>
      <c r="K1279" s="947">
        <v>413153</v>
      </c>
      <c r="M1279" s="631"/>
      <c r="P1279" s="950" t="str">
        <f>VLOOKUP(J1279,'רשימת רשויות'!A:A,1,0)</f>
        <v>בני עי"ש</v>
      </c>
      <c r="Q1279" s="956">
        <f>IFERROR(VLOOKUP(B1279,[2]מעובד!$D:$K,8,0),0)</f>
        <v>88</v>
      </c>
      <c r="R1279" s="956">
        <f>IFERROR(VLOOKUP(B1279,[2]מעובד!$D:$L,9,0),0)</f>
        <v>88</v>
      </c>
    </row>
    <row r="1280" spans="1:18" x14ac:dyDescent="0.2">
      <c r="A1280" s="947" t="s">
        <v>293</v>
      </c>
      <c r="B1280" s="947">
        <v>413161</v>
      </c>
      <c r="C1280" s="947" t="s">
        <v>2189</v>
      </c>
      <c r="D1280" s="947" t="s">
        <v>182</v>
      </c>
      <c r="E1280" s="951">
        <v>112</v>
      </c>
      <c r="F1280" s="951">
        <v>0</v>
      </c>
      <c r="G1280" s="947" t="s">
        <v>159</v>
      </c>
      <c r="H1280" s="951">
        <v>60</v>
      </c>
      <c r="I1280" s="951">
        <v>0</v>
      </c>
      <c r="J1280" s="947" t="s">
        <v>293</v>
      </c>
      <c r="K1280" s="947">
        <v>413161</v>
      </c>
      <c r="M1280" s="631"/>
      <c r="P1280" s="950" t="str">
        <f>VLOOKUP(J1280,'רשימת רשויות'!A:A,1,0)</f>
        <v>לוד</v>
      </c>
      <c r="Q1280" s="956">
        <f>IFERROR(VLOOKUP(B1280,[2]מעובד!$D:$K,8,0),0)</f>
        <v>119</v>
      </c>
      <c r="R1280" s="956">
        <f>IFERROR(VLOOKUP(B1280,[2]מעובד!$D:$L,9,0),0)</f>
        <v>112</v>
      </c>
    </row>
    <row r="1281" spans="1:18" x14ac:dyDescent="0.2">
      <c r="A1281" s="947" t="s">
        <v>363</v>
      </c>
      <c r="B1281" s="947">
        <v>413187</v>
      </c>
      <c r="C1281" s="947" t="s">
        <v>2189</v>
      </c>
      <c r="D1281" s="947" t="s">
        <v>2695</v>
      </c>
      <c r="E1281" s="951">
        <v>66</v>
      </c>
      <c r="F1281" s="951">
        <v>66</v>
      </c>
      <c r="G1281" s="947" t="s">
        <v>3252</v>
      </c>
      <c r="H1281" s="951">
        <v>0</v>
      </c>
      <c r="I1281" s="951">
        <v>0</v>
      </c>
      <c r="J1281" s="947" t="s">
        <v>363</v>
      </c>
      <c r="K1281" s="947">
        <v>413187</v>
      </c>
      <c r="M1281" s="631"/>
      <c r="P1281" s="950" t="str">
        <f>VLOOKUP(J1281,'רשימת רשויות'!A:A,1,0)</f>
        <v>פתח תקוה</v>
      </c>
      <c r="Q1281" s="956">
        <f>IFERROR(VLOOKUP(B1281,[2]מעובד!$D:$K,8,0),0)</f>
        <v>0</v>
      </c>
      <c r="R1281" s="956">
        <f>IFERROR(VLOOKUP(B1281,[2]מעובד!$D:$L,9,0),0)</f>
        <v>0</v>
      </c>
    </row>
    <row r="1282" spans="1:18" x14ac:dyDescent="0.2">
      <c r="A1282" s="947" t="s">
        <v>385</v>
      </c>
      <c r="B1282" s="947">
        <v>413195</v>
      </c>
      <c r="C1282" s="947" t="s">
        <v>2189</v>
      </c>
      <c r="D1282" s="947" t="s">
        <v>1642</v>
      </c>
      <c r="E1282" s="951">
        <v>224</v>
      </c>
      <c r="F1282" s="951">
        <v>159</v>
      </c>
      <c r="G1282" s="947" t="s">
        <v>159</v>
      </c>
      <c r="H1282" s="951">
        <v>0</v>
      </c>
      <c r="I1282" s="951">
        <v>0</v>
      </c>
      <c r="J1282" s="947" t="s">
        <v>385</v>
      </c>
      <c r="K1282" s="947">
        <v>413195</v>
      </c>
      <c r="M1282" s="631"/>
      <c r="P1282" s="950" t="str">
        <f>VLOOKUP(J1282,'רשימת רשויות'!A:A,1,0)</f>
        <v>ראשון לציון</v>
      </c>
      <c r="Q1282" s="956">
        <f>IFERROR(VLOOKUP(B1282,[2]מעובד!$D:$K,8,0),0)</f>
        <v>236</v>
      </c>
      <c r="R1282" s="956">
        <f>IFERROR(VLOOKUP(B1282,[2]מעובד!$D:$L,9,0),0)</f>
        <v>47</v>
      </c>
    </row>
    <row r="1283" spans="1:18" x14ac:dyDescent="0.2">
      <c r="A1283" s="947" t="s">
        <v>401</v>
      </c>
      <c r="B1283" s="947">
        <v>413211</v>
      </c>
      <c r="C1283" s="947" t="s">
        <v>2189</v>
      </c>
      <c r="D1283" s="947" t="s">
        <v>1654</v>
      </c>
      <c r="E1283" s="951">
        <v>154</v>
      </c>
      <c r="F1283" s="951">
        <v>104</v>
      </c>
      <c r="G1283" s="947" t="s">
        <v>159</v>
      </c>
      <c r="H1283" s="951">
        <v>0</v>
      </c>
      <c r="I1283" s="951">
        <v>0</v>
      </c>
      <c r="J1283" s="947" t="s">
        <v>401</v>
      </c>
      <c r="K1283" s="947">
        <v>413211</v>
      </c>
      <c r="M1283" s="631"/>
      <c r="P1283" s="950" t="str">
        <f>VLOOKUP(J1283,'רשימת רשויות'!A:A,1,0)</f>
        <v>שוהם</v>
      </c>
      <c r="Q1283" s="956">
        <f>IFERROR(VLOOKUP(B1283,[2]מעובד!$D:$K,8,0),0)</f>
        <v>146</v>
      </c>
      <c r="R1283" s="956">
        <f>IFERROR(VLOOKUP(B1283,[2]מעובד!$D:$L,9,0),0)</f>
        <v>83</v>
      </c>
    </row>
    <row r="1284" spans="1:18" x14ac:dyDescent="0.2">
      <c r="A1284" s="947" t="s">
        <v>336</v>
      </c>
      <c r="B1284" s="947">
        <v>413260</v>
      </c>
      <c r="C1284" s="947" t="s">
        <v>2189</v>
      </c>
      <c r="D1284" s="947" t="s">
        <v>2719</v>
      </c>
      <c r="E1284" s="951">
        <v>174</v>
      </c>
      <c r="F1284" s="951">
        <v>118</v>
      </c>
      <c r="G1284" s="947" t="s">
        <v>159</v>
      </c>
      <c r="H1284" s="951">
        <v>0</v>
      </c>
      <c r="I1284" s="951">
        <v>0</v>
      </c>
      <c r="J1284" s="947" t="s">
        <v>336</v>
      </c>
      <c r="K1284" s="947">
        <v>413260</v>
      </c>
      <c r="M1284" s="631"/>
      <c r="P1284" s="950" t="str">
        <f>VLOOKUP(J1284,'רשימת רשויות'!A:A,1,0)</f>
        <v>נתניה</v>
      </c>
      <c r="Q1284" s="956">
        <f>IFERROR(VLOOKUP(B1284,[2]מעובד!$D:$K,8,0),0)</f>
        <v>159</v>
      </c>
      <c r="R1284" s="956">
        <f>IFERROR(VLOOKUP(B1284,[2]מעובד!$D:$L,9,0),0)</f>
        <v>110</v>
      </c>
    </row>
    <row r="1285" spans="1:18" x14ac:dyDescent="0.2">
      <c r="A1285" s="947" t="s">
        <v>385</v>
      </c>
      <c r="B1285" s="947">
        <v>413294</v>
      </c>
      <c r="C1285" s="947" t="s">
        <v>2189</v>
      </c>
      <c r="D1285" s="947" t="s">
        <v>1517</v>
      </c>
      <c r="E1285" s="951">
        <v>234</v>
      </c>
      <c r="F1285" s="951">
        <v>154</v>
      </c>
      <c r="G1285" s="947" t="s">
        <v>159</v>
      </c>
      <c r="H1285" s="951">
        <v>84</v>
      </c>
      <c r="I1285" s="951">
        <v>8</v>
      </c>
      <c r="J1285" s="947" t="s">
        <v>385</v>
      </c>
      <c r="K1285" s="947">
        <v>413294</v>
      </c>
      <c r="M1285" s="631"/>
      <c r="P1285" s="950" t="str">
        <f>VLOOKUP(J1285,'רשימת רשויות'!A:A,1,0)</f>
        <v>ראשון לציון</v>
      </c>
      <c r="Q1285" s="956">
        <f>IFERROR(VLOOKUP(B1285,[2]מעובד!$D:$K,8,0),0)</f>
        <v>293</v>
      </c>
      <c r="R1285" s="956">
        <f>IFERROR(VLOOKUP(B1285,[2]מעובד!$D:$L,9,0),0)</f>
        <v>79</v>
      </c>
    </row>
    <row r="1286" spans="1:18" x14ac:dyDescent="0.2">
      <c r="A1286" s="947" t="s">
        <v>385</v>
      </c>
      <c r="B1286" s="947">
        <v>413302</v>
      </c>
      <c r="C1286" s="947" t="s">
        <v>2189</v>
      </c>
      <c r="D1286" s="947" t="s">
        <v>1518</v>
      </c>
      <c r="E1286" s="951">
        <v>194</v>
      </c>
      <c r="F1286" s="951">
        <v>137</v>
      </c>
      <c r="G1286" s="947" t="s">
        <v>159</v>
      </c>
      <c r="H1286" s="951">
        <v>0</v>
      </c>
      <c r="I1286" s="951">
        <v>0</v>
      </c>
      <c r="J1286" s="947" t="s">
        <v>385</v>
      </c>
      <c r="K1286" s="947">
        <v>413302</v>
      </c>
      <c r="M1286" s="631"/>
      <c r="P1286" s="950" t="str">
        <f>VLOOKUP(J1286,'רשימת רשויות'!A:A,1,0)</f>
        <v>ראשון לציון</v>
      </c>
      <c r="Q1286" s="956">
        <f>IFERROR(VLOOKUP(B1286,[2]מעובד!$D:$K,8,0),0)</f>
        <v>203</v>
      </c>
      <c r="R1286" s="956">
        <f>IFERROR(VLOOKUP(B1286,[2]מעובד!$D:$L,9,0),0)</f>
        <v>99</v>
      </c>
    </row>
    <row r="1287" spans="1:18" x14ac:dyDescent="0.2">
      <c r="A1287" s="947" t="s">
        <v>385</v>
      </c>
      <c r="B1287" s="947">
        <v>413336</v>
      </c>
      <c r="C1287" s="947" t="s">
        <v>2189</v>
      </c>
      <c r="D1287" s="947" t="s">
        <v>1519</v>
      </c>
      <c r="E1287" s="951">
        <v>206</v>
      </c>
      <c r="F1287" s="951">
        <v>167</v>
      </c>
      <c r="G1287" s="947" t="s">
        <v>159</v>
      </c>
      <c r="H1287" s="951">
        <v>0</v>
      </c>
      <c r="I1287" s="951">
        <v>0</v>
      </c>
      <c r="J1287" s="947" t="s">
        <v>385</v>
      </c>
      <c r="K1287" s="947">
        <v>413336</v>
      </c>
      <c r="M1287" s="631"/>
      <c r="P1287" s="950" t="str">
        <f>VLOOKUP(J1287,'רשימת רשויות'!A:A,1,0)</f>
        <v>ראשון לציון</v>
      </c>
      <c r="Q1287" s="956">
        <f>IFERROR(VLOOKUP(B1287,[2]מעובד!$D:$K,8,0),0)</f>
        <v>214</v>
      </c>
      <c r="R1287" s="956">
        <f>IFERROR(VLOOKUP(B1287,[2]מעובד!$D:$L,9,0),0)</f>
        <v>118</v>
      </c>
    </row>
    <row r="1288" spans="1:18" x14ac:dyDescent="0.2">
      <c r="A1288" s="947" t="s">
        <v>385</v>
      </c>
      <c r="B1288" s="947">
        <v>413344</v>
      </c>
      <c r="C1288" s="947" t="s">
        <v>2189</v>
      </c>
      <c r="D1288" s="947" t="s">
        <v>1137</v>
      </c>
      <c r="E1288" s="951">
        <v>153</v>
      </c>
      <c r="F1288" s="951">
        <v>87</v>
      </c>
      <c r="G1288" s="947" t="s">
        <v>159</v>
      </c>
      <c r="H1288" s="951">
        <v>0</v>
      </c>
      <c r="I1288" s="951">
        <v>0</v>
      </c>
      <c r="J1288" s="947" t="s">
        <v>385</v>
      </c>
      <c r="K1288" s="947">
        <v>413344</v>
      </c>
      <c r="M1288" s="631"/>
      <c r="P1288" s="950" t="str">
        <f>VLOOKUP(J1288,'רשימת רשויות'!A:A,1,0)</f>
        <v>ראשון לציון</v>
      </c>
      <c r="Q1288" s="956">
        <f>IFERROR(VLOOKUP(B1288,[2]מעובד!$D:$K,8,0),0)</f>
        <v>130</v>
      </c>
      <c r="R1288" s="956">
        <f>IFERROR(VLOOKUP(B1288,[2]מעובד!$D:$L,9,0),0)</f>
        <v>51</v>
      </c>
    </row>
    <row r="1289" spans="1:18" x14ac:dyDescent="0.2">
      <c r="A1289" s="947" t="s">
        <v>387</v>
      </c>
      <c r="B1289" s="947">
        <v>413351</v>
      </c>
      <c r="C1289" s="947" t="s">
        <v>2189</v>
      </c>
      <c r="D1289" s="947" t="s">
        <v>1533</v>
      </c>
      <c r="E1289" s="951">
        <v>303</v>
      </c>
      <c r="F1289" s="951">
        <v>252</v>
      </c>
      <c r="G1289" s="947" t="s">
        <v>159</v>
      </c>
      <c r="H1289" s="951">
        <v>0</v>
      </c>
      <c r="I1289" s="951">
        <v>0</v>
      </c>
      <c r="J1289" s="947" t="s">
        <v>387</v>
      </c>
      <c r="K1289" s="947">
        <v>413351</v>
      </c>
      <c r="M1289" s="631"/>
      <c r="P1289" s="950" t="str">
        <f>VLOOKUP(J1289,'רשימת רשויות'!A:A,1,0)</f>
        <v>רחובות</v>
      </c>
      <c r="Q1289" s="956">
        <f>IFERROR(VLOOKUP(B1289,[2]מעובד!$D:$K,8,0),0)</f>
        <v>298</v>
      </c>
      <c r="R1289" s="956">
        <f>IFERROR(VLOOKUP(B1289,[2]מעובד!$D:$L,9,0),0)</f>
        <v>77</v>
      </c>
    </row>
    <row r="1290" spans="1:18" x14ac:dyDescent="0.2">
      <c r="A1290" s="947" t="s">
        <v>398</v>
      </c>
      <c r="B1290" s="947">
        <v>413369</v>
      </c>
      <c r="C1290" s="947" t="s">
        <v>2189</v>
      </c>
      <c r="D1290" s="947" t="s">
        <v>1534</v>
      </c>
      <c r="E1290" s="951">
        <v>117</v>
      </c>
      <c r="F1290" s="951">
        <v>95</v>
      </c>
      <c r="G1290" s="947" t="s">
        <v>159</v>
      </c>
      <c r="H1290" s="951">
        <v>0</v>
      </c>
      <c r="I1290" s="951">
        <v>0</v>
      </c>
      <c r="J1290" s="947" t="s">
        <v>398</v>
      </c>
      <c r="K1290" s="947">
        <v>413369</v>
      </c>
      <c r="M1290" s="631"/>
      <c r="P1290" s="950" t="str">
        <f>VLOOKUP(J1290,'רשימת רשויות'!A:A,1,0)</f>
        <v>שדות דן</v>
      </c>
      <c r="Q1290" s="956">
        <f>IFERROR(VLOOKUP(B1290,[2]מעובד!$D:$K,8,0),0)</f>
        <v>157</v>
      </c>
      <c r="R1290" s="956">
        <f>IFERROR(VLOOKUP(B1290,[2]מעובד!$D:$L,9,0),0)</f>
        <v>82</v>
      </c>
    </row>
    <row r="1291" spans="1:18" x14ac:dyDescent="0.2">
      <c r="A1291" s="947" t="s">
        <v>180</v>
      </c>
      <c r="B1291" s="947">
        <v>413377</v>
      </c>
      <c r="C1291" s="947" t="s">
        <v>2189</v>
      </c>
      <c r="D1291" s="947" t="s">
        <v>1535</v>
      </c>
      <c r="E1291" s="951">
        <v>191</v>
      </c>
      <c r="F1291" s="951">
        <v>107</v>
      </c>
      <c r="G1291" s="947" t="s">
        <v>159</v>
      </c>
      <c r="H1291" s="951">
        <v>0</v>
      </c>
      <c r="I1291" s="951">
        <v>0</v>
      </c>
      <c r="J1291" s="947" t="s">
        <v>180</v>
      </c>
      <c r="K1291" s="947">
        <v>413377</v>
      </c>
      <c r="M1291" s="631"/>
      <c r="P1291" s="950" t="str">
        <f>VLOOKUP(J1291,'רשימת רשויות'!A:A,1,0)</f>
        <v>אריאל</v>
      </c>
      <c r="Q1291" s="956">
        <f>IFERROR(VLOOKUP(B1291,[2]מעובד!$D:$K,8,0),0)</f>
        <v>179</v>
      </c>
      <c r="R1291" s="956">
        <f>IFERROR(VLOOKUP(B1291,[2]מעובד!$D:$L,9,0),0)</f>
        <v>75</v>
      </c>
    </row>
    <row r="1292" spans="1:18" x14ac:dyDescent="0.2">
      <c r="A1292" s="947" t="s">
        <v>385</v>
      </c>
      <c r="B1292" s="947">
        <v>413393</v>
      </c>
      <c r="C1292" s="947" t="s">
        <v>2189</v>
      </c>
      <c r="D1292" s="947" t="s">
        <v>1276</v>
      </c>
      <c r="E1292" s="951">
        <v>224</v>
      </c>
      <c r="F1292" s="951">
        <v>147</v>
      </c>
      <c r="G1292" s="947" t="s">
        <v>159</v>
      </c>
      <c r="H1292" s="951">
        <v>0</v>
      </c>
      <c r="I1292" s="951">
        <v>0</v>
      </c>
      <c r="J1292" s="947" t="s">
        <v>385</v>
      </c>
      <c r="K1292" s="947">
        <v>413393</v>
      </c>
      <c r="M1292" s="631"/>
      <c r="P1292" s="950" t="str">
        <f>VLOOKUP(J1292,'רשימת רשויות'!A:A,1,0)</f>
        <v>ראשון לציון</v>
      </c>
      <c r="Q1292" s="956">
        <f>IFERROR(VLOOKUP(B1292,[2]מעובד!$D:$K,8,0),0)</f>
        <v>255</v>
      </c>
      <c r="R1292" s="956">
        <f>IFERROR(VLOOKUP(B1292,[2]מעובד!$D:$L,9,0),0)</f>
        <v>61</v>
      </c>
    </row>
    <row r="1293" spans="1:18" x14ac:dyDescent="0.2">
      <c r="A1293" s="947" t="s">
        <v>385</v>
      </c>
      <c r="B1293" s="947">
        <v>413401</v>
      </c>
      <c r="C1293" s="947" t="s">
        <v>2189</v>
      </c>
      <c r="D1293" s="947" t="s">
        <v>578</v>
      </c>
      <c r="E1293" s="951">
        <v>98</v>
      </c>
      <c r="F1293" s="951">
        <v>54</v>
      </c>
      <c r="G1293" s="947" t="s">
        <v>159</v>
      </c>
      <c r="H1293" s="951">
        <v>0</v>
      </c>
      <c r="I1293" s="951">
        <v>0</v>
      </c>
      <c r="J1293" s="947" t="s">
        <v>385</v>
      </c>
      <c r="K1293" s="947">
        <v>413401</v>
      </c>
      <c r="M1293" s="631"/>
      <c r="P1293" s="950" t="str">
        <f>VLOOKUP(J1293,'רשימת רשויות'!A:A,1,0)</f>
        <v>ראשון לציון</v>
      </c>
      <c r="Q1293" s="956">
        <f>IFERROR(VLOOKUP(B1293,[2]מעובד!$D:$K,8,0),0)</f>
        <v>135</v>
      </c>
      <c r="R1293" s="956">
        <f>IFERROR(VLOOKUP(B1293,[2]מעובד!$D:$L,9,0),0)</f>
        <v>42</v>
      </c>
    </row>
    <row r="1294" spans="1:18" x14ac:dyDescent="0.2">
      <c r="A1294" s="947" t="s">
        <v>387</v>
      </c>
      <c r="B1294" s="947">
        <v>413435</v>
      </c>
      <c r="C1294" s="947" t="s">
        <v>2189</v>
      </c>
      <c r="D1294" s="947" t="s">
        <v>441</v>
      </c>
      <c r="E1294" s="951">
        <v>258</v>
      </c>
      <c r="F1294" s="951">
        <v>235</v>
      </c>
      <c r="G1294" s="947" t="s">
        <v>159</v>
      </c>
      <c r="H1294" s="951">
        <v>0</v>
      </c>
      <c r="I1294" s="951">
        <v>0</v>
      </c>
      <c r="J1294" s="947" t="s">
        <v>387</v>
      </c>
      <c r="K1294" s="947">
        <v>413435</v>
      </c>
      <c r="M1294" s="631"/>
      <c r="P1294" s="950" t="str">
        <f>VLOOKUP(J1294,'רשימת רשויות'!A:A,1,0)</f>
        <v>רחובות</v>
      </c>
      <c r="Q1294" s="956">
        <f>IFERROR(VLOOKUP(B1294,[2]מעובד!$D:$K,8,0),0)</f>
        <v>180</v>
      </c>
      <c r="R1294" s="956">
        <f>IFERROR(VLOOKUP(B1294,[2]מעובד!$D:$L,9,0),0)</f>
        <v>65</v>
      </c>
    </row>
    <row r="1295" spans="1:18" x14ac:dyDescent="0.2">
      <c r="A1295" s="947" t="s">
        <v>213</v>
      </c>
      <c r="B1295" s="947">
        <v>413443</v>
      </c>
      <c r="C1295" s="947" t="s">
        <v>2189</v>
      </c>
      <c r="D1295" s="947" t="s">
        <v>607</v>
      </c>
      <c r="E1295" s="951">
        <v>143</v>
      </c>
      <c r="F1295" s="951">
        <v>142</v>
      </c>
      <c r="G1295" s="947" t="s">
        <v>159</v>
      </c>
      <c r="H1295" s="951">
        <v>0</v>
      </c>
      <c r="I1295" s="951">
        <v>0</v>
      </c>
      <c r="J1295" s="947" t="s">
        <v>213</v>
      </c>
      <c r="K1295" s="947">
        <v>413443</v>
      </c>
      <c r="M1295" s="631"/>
      <c r="P1295" s="950" t="str">
        <f>VLOOKUP(J1295,'רשימת רשויות'!A:A,1,0)</f>
        <v>גבעת שמואל</v>
      </c>
      <c r="Q1295" s="956">
        <f>IFERROR(VLOOKUP(B1295,[2]מעובד!$D:$K,8,0),0)</f>
        <v>100</v>
      </c>
      <c r="R1295" s="956">
        <f>IFERROR(VLOOKUP(B1295,[2]מעובד!$D:$L,9,0),0)</f>
        <v>40</v>
      </c>
    </row>
    <row r="1296" spans="1:18" x14ac:dyDescent="0.2">
      <c r="A1296" s="947" t="s">
        <v>385</v>
      </c>
      <c r="B1296" s="947">
        <v>413450</v>
      </c>
      <c r="C1296" s="947" t="s">
        <v>2189</v>
      </c>
      <c r="D1296" s="947" t="s">
        <v>1577</v>
      </c>
      <c r="E1296" s="951">
        <v>141</v>
      </c>
      <c r="F1296" s="951">
        <v>80</v>
      </c>
      <c r="G1296" s="947" t="s">
        <v>159</v>
      </c>
      <c r="H1296" s="951">
        <v>0</v>
      </c>
      <c r="I1296" s="951">
        <v>0</v>
      </c>
      <c r="J1296" s="947" t="s">
        <v>385</v>
      </c>
      <c r="K1296" s="947">
        <v>413450</v>
      </c>
      <c r="M1296" s="631"/>
      <c r="P1296" s="950" t="str">
        <f>VLOOKUP(J1296,'רשימת רשויות'!A:A,1,0)</f>
        <v>ראשון לציון</v>
      </c>
      <c r="Q1296" s="956">
        <f>IFERROR(VLOOKUP(B1296,[2]מעובד!$D:$K,8,0),0)</f>
        <v>185</v>
      </c>
      <c r="R1296" s="956">
        <f>IFERROR(VLOOKUP(B1296,[2]מעובד!$D:$L,9,0),0)</f>
        <v>51</v>
      </c>
    </row>
    <row r="1297" spans="1:18" x14ac:dyDescent="0.2">
      <c r="A1297" s="947" t="s">
        <v>231</v>
      </c>
      <c r="B1297" s="947">
        <v>413476</v>
      </c>
      <c r="C1297" s="947" t="s">
        <v>2189</v>
      </c>
      <c r="D1297" s="947" t="s">
        <v>2021</v>
      </c>
      <c r="E1297" s="951">
        <v>259</v>
      </c>
      <c r="F1297" s="951">
        <v>172</v>
      </c>
      <c r="G1297" s="947" t="s">
        <v>159</v>
      </c>
      <c r="H1297" s="951">
        <v>0</v>
      </c>
      <c r="I1297" s="951">
        <v>0</v>
      </c>
      <c r="J1297" s="947" t="s">
        <v>231</v>
      </c>
      <c r="K1297" s="947">
        <v>413476</v>
      </c>
      <c r="M1297" s="631"/>
      <c r="P1297" s="950" t="str">
        <f>VLOOKUP(J1297,'רשימת רשויות'!A:A,1,0)</f>
        <v>הוד השרון</v>
      </c>
      <c r="Q1297" s="956">
        <f>IFERROR(VLOOKUP(B1297,[2]מעובד!$D:$K,8,0),0)</f>
        <v>283</v>
      </c>
      <c r="R1297" s="956">
        <f>IFERROR(VLOOKUP(B1297,[2]מעובד!$D:$L,9,0),0)</f>
        <v>105</v>
      </c>
    </row>
    <row r="1298" spans="1:18" x14ac:dyDescent="0.2">
      <c r="A1298" s="947" t="s">
        <v>336</v>
      </c>
      <c r="B1298" s="947">
        <v>413484</v>
      </c>
      <c r="C1298" s="947" t="s">
        <v>2189</v>
      </c>
      <c r="D1298" s="947" t="s">
        <v>445</v>
      </c>
      <c r="E1298" s="951">
        <v>203</v>
      </c>
      <c r="F1298" s="951">
        <v>100</v>
      </c>
      <c r="G1298" s="947" t="s">
        <v>159</v>
      </c>
      <c r="H1298" s="951">
        <v>147</v>
      </c>
      <c r="I1298" s="951">
        <v>10</v>
      </c>
      <c r="J1298" s="947" t="s">
        <v>336</v>
      </c>
      <c r="K1298" s="957" t="s">
        <v>3296</v>
      </c>
      <c r="M1298" s="631"/>
      <c r="P1298" s="950" t="str">
        <f>VLOOKUP(J1298,'רשימת רשויות'!A:A,1,0)</f>
        <v>נתניה</v>
      </c>
      <c r="Q1298" s="956">
        <f>IFERROR(VLOOKUP(B1298,[2]מעובד!$D:$K,8,0),0)</f>
        <v>245</v>
      </c>
      <c r="R1298" s="956">
        <f>IFERROR(VLOOKUP(B1298,[2]מעובד!$D:$L,9,0),0)</f>
        <v>53</v>
      </c>
    </row>
    <row r="1299" spans="1:18" x14ac:dyDescent="0.2">
      <c r="A1299" s="947" t="s">
        <v>395</v>
      </c>
      <c r="B1299" s="947">
        <v>413492</v>
      </c>
      <c r="C1299" s="947" t="s">
        <v>2189</v>
      </c>
      <c r="D1299" s="947" t="s">
        <v>1588</v>
      </c>
      <c r="E1299" s="951">
        <v>301</v>
      </c>
      <c r="F1299" s="951">
        <v>283</v>
      </c>
      <c r="G1299" s="947" t="s">
        <v>159</v>
      </c>
      <c r="H1299" s="951">
        <v>0</v>
      </c>
      <c r="I1299" s="951">
        <v>0</v>
      </c>
      <c r="J1299" s="947" t="s">
        <v>395</v>
      </c>
      <c r="K1299" s="947">
        <v>413492</v>
      </c>
      <c r="M1299" s="631"/>
      <c r="P1299" s="950" t="str">
        <f>VLOOKUP(J1299,'רשימת רשויות'!A:A,1,0)</f>
        <v>רעננה</v>
      </c>
      <c r="Q1299" s="956">
        <f>IFERROR(VLOOKUP(B1299,[2]מעובד!$D:$K,8,0),0)</f>
        <v>302</v>
      </c>
      <c r="R1299" s="956">
        <f>IFERROR(VLOOKUP(B1299,[2]מעובד!$D:$L,9,0),0)</f>
        <v>68</v>
      </c>
    </row>
    <row r="1300" spans="1:18" x14ac:dyDescent="0.2">
      <c r="A1300" s="947" t="s">
        <v>336</v>
      </c>
      <c r="B1300" s="947">
        <v>413500</v>
      </c>
      <c r="C1300" s="947" t="s">
        <v>2189</v>
      </c>
      <c r="D1300" s="947" t="s">
        <v>2672</v>
      </c>
      <c r="E1300" s="951">
        <v>255</v>
      </c>
      <c r="F1300" s="951">
        <v>205</v>
      </c>
      <c r="G1300" s="947" t="s">
        <v>159</v>
      </c>
      <c r="H1300" s="951">
        <v>0</v>
      </c>
      <c r="I1300" s="951">
        <v>0</v>
      </c>
      <c r="J1300" s="947" t="s">
        <v>336</v>
      </c>
      <c r="K1300" s="947">
        <v>413500</v>
      </c>
      <c r="M1300" s="631"/>
      <c r="P1300" s="950" t="str">
        <f>VLOOKUP(J1300,'רשימת רשויות'!A:A,1,0)</f>
        <v>נתניה</v>
      </c>
      <c r="Q1300" s="956">
        <f>IFERROR(VLOOKUP(B1300,[2]מעובד!$D:$K,8,0),0)</f>
        <v>72</v>
      </c>
      <c r="R1300" s="956">
        <f>IFERROR(VLOOKUP(B1300,[2]מעובד!$D:$L,9,0),0)</f>
        <v>71</v>
      </c>
    </row>
    <row r="1301" spans="1:18" x14ac:dyDescent="0.2">
      <c r="A1301" s="947" t="s">
        <v>221</v>
      </c>
      <c r="B1301" s="947">
        <v>413518</v>
      </c>
      <c r="C1301" s="947" t="s">
        <v>2189</v>
      </c>
      <c r="D1301" s="947" t="s">
        <v>2418</v>
      </c>
      <c r="E1301" s="951">
        <v>192</v>
      </c>
      <c r="F1301" s="951">
        <v>118</v>
      </c>
      <c r="G1301" s="947" t="s">
        <v>159</v>
      </c>
      <c r="H1301" s="951">
        <v>84</v>
      </c>
      <c r="I1301" s="951">
        <v>6</v>
      </c>
      <c r="J1301" s="947" t="s">
        <v>221</v>
      </c>
      <c r="K1301" s="957" t="s">
        <v>3305</v>
      </c>
      <c r="M1301" s="631"/>
      <c r="P1301" s="950" t="str">
        <f>VLOOKUP(J1301,'רשימת רשויות'!A:A,1,0)</f>
        <v>גן יבנה</v>
      </c>
      <c r="Q1301" s="956">
        <f>IFERROR(VLOOKUP(B1301,[2]מעובד!$D:$K,8,0),0)</f>
        <v>183</v>
      </c>
      <c r="R1301" s="956">
        <f>IFERROR(VLOOKUP(B1301,[2]מעובד!$D:$L,9,0),0)</f>
        <v>103</v>
      </c>
    </row>
    <row r="1302" spans="1:18" x14ac:dyDescent="0.2">
      <c r="A1302" s="947" t="s">
        <v>387</v>
      </c>
      <c r="B1302" s="947">
        <v>413526</v>
      </c>
      <c r="C1302" s="947" t="s">
        <v>2189</v>
      </c>
      <c r="D1302" s="947" t="s">
        <v>1589</v>
      </c>
      <c r="E1302" s="951">
        <v>266</v>
      </c>
      <c r="F1302" s="951">
        <v>153</v>
      </c>
      <c r="G1302" s="947" t="s">
        <v>159</v>
      </c>
      <c r="H1302" s="951">
        <v>0</v>
      </c>
      <c r="I1302" s="951">
        <v>0</v>
      </c>
      <c r="J1302" s="947" t="s">
        <v>387</v>
      </c>
      <c r="K1302" s="947">
        <v>413526</v>
      </c>
      <c r="M1302" s="631"/>
      <c r="P1302" s="950" t="str">
        <f>VLOOKUP(J1302,'רשימת רשויות'!A:A,1,0)</f>
        <v>רחובות</v>
      </c>
      <c r="Q1302" s="956">
        <f>IFERROR(VLOOKUP(B1302,[2]מעובד!$D:$K,8,0),0)</f>
        <v>221</v>
      </c>
      <c r="R1302" s="956">
        <f>IFERROR(VLOOKUP(B1302,[2]מעובד!$D:$L,9,0),0)</f>
        <v>72</v>
      </c>
    </row>
    <row r="1303" spans="1:18" x14ac:dyDescent="0.2">
      <c r="A1303" s="947" t="s">
        <v>390</v>
      </c>
      <c r="B1303" s="947">
        <v>413534</v>
      </c>
      <c r="C1303" s="947" t="s">
        <v>2189</v>
      </c>
      <c r="D1303" s="947" t="s">
        <v>1590</v>
      </c>
      <c r="E1303" s="951">
        <v>231</v>
      </c>
      <c r="F1303" s="951">
        <v>82</v>
      </c>
      <c r="G1303" s="947" t="s">
        <v>159</v>
      </c>
      <c r="H1303" s="951">
        <v>231</v>
      </c>
      <c r="I1303" s="951">
        <v>19</v>
      </c>
      <c r="J1303" s="947" t="s">
        <v>390</v>
      </c>
      <c r="K1303" s="947">
        <v>413534</v>
      </c>
      <c r="M1303" s="631"/>
      <c r="P1303" s="950" t="str">
        <f>VLOOKUP(J1303,'רשימת רשויות'!A:A,1,0)</f>
        <v>רמלה</v>
      </c>
      <c r="Q1303" s="956">
        <f>IFERROR(VLOOKUP(B1303,[2]מעובד!$D:$K,8,0),0)</f>
        <v>204</v>
      </c>
      <c r="R1303" s="956">
        <f>IFERROR(VLOOKUP(B1303,[2]מעובד!$D:$L,9,0),0)</f>
        <v>73</v>
      </c>
    </row>
    <row r="1304" spans="1:18" x14ac:dyDescent="0.2">
      <c r="A1304" s="947" t="s">
        <v>383</v>
      </c>
      <c r="B1304" s="947">
        <v>413542</v>
      </c>
      <c r="C1304" s="947" t="s">
        <v>2189</v>
      </c>
      <c r="D1304" s="947" t="s">
        <v>2658</v>
      </c>
      <c r="E1304" s="951">
        <v>218</v>
      </c>
      <c r="F1304" s="951">
        <v>173</v>
      </c>
      <c r="G1304" s="947" t="s">
        <v>159</v>
      </c>
      <c r="H1304" s="951">
        <v>0</v>
      </c>
      <c r="I1304" s="951">
        <v>0</v>
      </c>
      <c r="J1304" s="947" t="s">
        <v>383</v>
      </c>
      <c r="K1304" s="947">
        <v>413542</v>
      </c>
      <c r="M1304" s="631"/>
      <c r="P1304" s="950" t="str">
        <f>VLOOKUP(J1304,'רשימת רשויות'!A:A,1,0)</f>
        <v>ראש העין</v>
      </c>
      <c r="Q1304" s="956">
        <f>IFERROR(VLOOKUP(B1304,[2]מעובד!$D:$K,8,0),0)</f>
        <v>97</v>
      </c>
      <c r="R1304" s="956">
        <f>IFERROR(VLOOKUP(B1304,[2]מעובד!$D:$L,9,0),0)</f>
        <v>51</v>
      </c>
    </row>
    <row r="1305" spans="1:18" x14ac:dyDescent="0.2">
      <c r="A1305" s="947" t="s">
        <v>387</v>
      </c>
      <c r="B1305" s="947">
        <v>413559</v>
      </c>
      <c r="C1305" s="947" t="s">
        <v>2189</v>
      </c>
      <c r="D1305" s="947" t="s">
        <v>2220</v>
      </c>
      <c r="E1305" s="951">
        <v>271</v>
      </c>
      <c r="F1305" s="951">
        <v>271</v>
      </c>
      <c r="G1305" s="947" t="s">
        <v>159</v>
      </c>
      <c r="H1305" s="951">
        <v>0</v>
      </c>
      <c r="I1305" s="951">
        <v>0</v>
      </c>
      <c r="J1305" s="947" t="s">
        <v>387</v>
      </c>
      <c r="K1305" s="947">
        <v>413559</v>
      </c>
      <c r="M1305" s="631"/>
      <c r="P1305" s="950" t="str">
        <f>VLOOKUP(J1305,'רשימת רשויות'!A:A,1,0)</f>
        <v>רחובות</v>
      </c>
      <c r="Q1305" s="956">
        <f>IFERROR(VLOOKUP(B1305,[2]מעובד!$D:$K,8,0),0)</f>
        <v>268</v>
      </c>
      <c r="R1305" s="956">
        <f>IFERROR(VLOOKUP(B1305,[2]מעובד!$D:$L,9,0),0)</f>
        <v>130</v>
      </c>
    </row>
    <row r="1306" spans="1:18" x14ac:dyDescent="0.2">
      <c r="A1306" s="947" t="s">
        <v>330</v>
      </c>
      <c r="B1306" s="947">
        <v>413583</v>
      </c>
      <c r="C1306" s="947" t="s">
        <v>2189</v>
      </c>
      <c r="D1306" s="947" t="s">
        <v>2419</v>
      </c>
      <c r="E1306" s="951">
        <v>128</v>
      </c>
      <c r="F1306" s="951">
        <v>98</v>
      </c>
      <c r="G1306" s="947" t="s">
        <v>159</v>
      </c>
      <c r="H1306" s="951">
        <v>0</v>
      </c>
      <c r="I1306" s="951">
        <v>0</v>
      </c>
      <c r="J1306" s="947" t="s">
        <v>330</v>
      </c>
      <c r="K1306" s="947">
        <v>413583</v>
      </c>
      <c r="M1306" s="631"/>
      <c r="P1306" s="950" t="str">
        <f>VLOOKUP(J1306,'רשימת רשויות'!A:A,1,0)</f>
        <v>נחל שורק</v>
      </c>
      <c r="Q1306" s="956">
        <f>IFERROR(VLOOKUP(B1306,[2]מעובד!$D:$K,8,0),0)</f>
        <v>141</v>
      </c>
      <c r="R1306" s="956">
        <f>IFERROR(VLOOKUP(B1306,[2]מעובד!$D:$L,9,0),0)</f>
        <v>131</v>
      </c>
    </row>
    <row r="1307" spans="1:18" x14ac:dyDescent="0.2">
      <c r="A1307" s="947" t="s">
        <v>385</v>
      </c>
      <c r="B1307" s="947">
        <v>413617</v>
      </c>
      <c r="C1307" s="947" t="s">
        <v>2189</v>
      </c>
      <c r="D1307" s="947" t="s">
        <v>912</v>
      </c>
      <c r="E1307" s="951">
        <v>177</v>
      </c>
      <c r="F1307" s="951">
        <v>111</v>
      </c>
      <c r="G1307" s="947" t="s">
        <v>159</v>
      </c>
      <c r="H1307" s="951">
        <v>0</v>
      </c>
      <c r="I1307" s="951">
        <v>0</v>
      </c>
      <c r="J1307" s="947" t="s">
        <v>385</v>
      </c>
      <c r="K1307" s="947">
        <v>413617</v>
      </c>
      <c r="M1307" s="631"/>
      <c r="P1307" s="950" t="str">
        <f>VLOOKUP(J1307,'רשימת רשויות'!A:A,1,0)</f>
        <v>ראשון לציון</v>
      </c>
      <c r="Q1307" s="956">
        <f>IFERROR(VLOOKUP(B1307,[2]מעובד!$D:$K,8,0),0)</f>
        <v>162</v>
      </c>
      <c r="R1307" s="956">
        <f>IFERROR(VLOOKUP(B1307,[2]מעובד!$D:$L,9,0),0)</f>
        <v>55</v>
      </c>
    </row>
    <row r="1308" spans="1:18" x14ac:dyDescent="0.2">
      <c r="A1308" s="947" t="s">
        <v>366</v>
      </c>
      <c r="B1308" s="947">
        <v>413625</v>
      </c>
      <c r="C1308" s="947" t="s">
        <v>2189</v>
      </c>
      <c r="D1308" s="947" t="s">
        <v>1631</v>
      </c>
      <c r="E1308" s="951">
        <v>144</v>
      </c>
      <c r="F1308" s="951">
        <v>118</v>
      </c>
      <c r="G1308" s="947" t="s">
        <v>159</v>
      </c>
      <c r="H1308" s="951">
        <v>0</v>
      </c>
      <c r="I1308" s="951">
        <v>0</v>
      </c>
      <c r="J1308" s="947" t="s">
        <v>366</v>
      </c>
      <c r="K1308" s="947">
        <v>413625</v>
      </c>
      <c r="M1308" s="631"/>
      <c r="P1308" s="950" t="str">
        <f>VLOOKUP(J1308,'רשימת רשויות'!A:A,1,0)</f>
        <v>קדומים</v>
      </c>
      <c r="Q1308" s="956">
        <f>IFERROR(VLOOKUP(B1308,[2]מעובד!$D:$K,8,0),0)</f>
        <v>178</v>
      </c>
      <c r="R1308" s="956">
        <f>IFERROR(VLOOKUP(B1308,[2]מעובד!$D:$L,9,0),0)</f>
        <v>132</v>
      </c>
    </row>
    <row r="1309" spans="1:18" x14ac:dyDescent="0.2">
      <c r="A1309" s="947" t="s">
        <v>385</v>
      </c>
      <c r="B1309" s="947">
        <v>413633</v>
      </c>
      <c r="C1309" s="947" t="s">
        <v>2189</v>
      </c>
      <c r="D1309" s="947" t="s">
        <v>164</v>
      </c>
      <c r="E1309" s="951">
        <v>176</v>
      </c>
      <c r="F1309" s="951">
        <v>126</v>
      </c>
      <c r="G1309" s="947" t="s">
        <v>159</v>
      </c>
      <c r="H1309" s="951">
        <v>134</v>
      </c>
      <c r="I1309" s="951">
        <v>16</v>
      </c>
      <c r="J1309" s="947" t="s">
        <v>385</v>
      </c>
      <c r="K1309" s="947">
        <v>413633</v>
      </c>
      <c r="M1309" s="631"/>
      <c r="P1309" s="950" t="str">
        <f>VLOOKUP(J1309,'רשימת רשויות'!A:A,1,0)</f>
        <v>ראשון לציון</v>
      </c>
      <c r="Q1309" s="956">
        <f>IFERROR(VLOOKUP(B1309,[2]מעובד!$D:$K,8,0),0)</f>
        <v>183</v>
      </c>
      <c r="R1309" s="956">
        <f>IFERROR(VLOOKUP(B1309,[2]מעובד!$D:$L,9,0),0)</f>
        <v>88</v>
      </c>
    </row>
    <row r="1310" spans="1:18" x14ac:dyDescent="0.2">
      <c r="A1310" s="947" t="s">
        <v>385</v>
      </c>
      <c r="B1310" s="947">
        <v>413641</v>
      </c>
      <c r="C1310" s="947" t="s">
        <v>2189</v>
      </c>
      <c r="D1310" s="947" t="s">
        <v>706</v>
      </c>
      <c r="E1310" s="951">
        <v>262</v>
      </c>
      <c r="F1310" s="951">
        <v>185</v>
      </c>
      <c r="G1310" s="947" t="s">
        <v>159</v>
      </c>
      <c r="H1310" s="951">
        <v>0</v>
      </c>
      <c r="I1310" s="951">
        <v>0</v>
      </c>
      <c r="J1310" s="947" t="s">
        <v>385</v>
      </c>
      <c r="K1310" s="947">
        <v>413641</v>
      </c>
      <c r="M1310" s="631"/>
      <c r="P1310" s="950" t="str">
        <f>VLOOKUP(J1310,'רשימת רשויות'!A:A,1,0)</f>
        <v>ראשון לציון</v>
      </c>
      <c r="Q1310" s="956">
        <f>IFERROR(VLOOKUP(B1310,[2]מעובד!$D:$K,8,0),0)</f>
        <v>266</v>
      </c>
      <c r="R1310" s="956">
        <f>IFERROR(VLOOKUP(B1310,[2]מעובד!$D:$L,9,0),0)</f>
        <v>58</v>
      </c>
    </row>
    <row r="1311" spans="1:18" x14ac:dyDescent="0.2">
      <c r="A1311" s="947" t="s">
        <v>293</v>
      </c>
      <c r="B1311" s="947">
        <v>413658</v>
      </c>
      <c r="C1311" s="947" t="s">
        <v>2189</v>
      </c>
      <c r="D1311" s="947" t="s">
        <v>1643</v>
      </c>
      <c r="E1311" s="951">
        <v>90</v>
      </c>
      <c r="F1311" s="951">
        <v>75</v>
      </c>
      <c r="G1311" s="947" t="s">
        <v>159</v>
      </c>
      <c r="H1311" s="951">
        <v>39</v>
      </c>
      <c r="I1311" s="951">
        <v>8</v>
      </c>
      <c r="J1311" s="947" t="s">
        <v>293</v>
      </c>
      <c r="K1311" s="947">
        <v>413658</v>
      </c>
      <c r="M1311" s="631"/>
      <c r="P1311" s="950" t="str">
        <f>VLOOKUP(J1311,'רשימת רשויות'!A:A,1,0)</f>
        <v>לוד</v>
      </c>
      <c r="Q1311" s="956">
        <f>IFERROR(VLOOKUP(B1311,[2]מעובד!$D:$K,8,0),0)</f>
        <v>97</v>
      </c>
      <c r="R1311" s="956">
        <f>IFERROR(VLOOKUP(B1311,[2]מעובד!$D:$L,9,0),0)</f>
        <v>60</v>
      </c>
    </row>
    <row r="1312" spans="1:18" x14ac:dyDescent="0.2">
      <c r="A1312" s="947" t="s">
        <v>332</v>
      </c>
      <c r="B1312" s="947">
        <v>413666</v>
      </c>
      <c r="C1312" s="947" t="s">
        <v>2189</v>
      </c>
      <c r="D1312" s="947" t="s">
        <v>758</v>
      </c>
      <c r="E1312" s="951">
        <v>118</v>
      </c>
      <c r="F1312" s="951">
        <v>69</v>
      </c>
      <c r="G1312" s="947" t="s">
        <v>159</v>
      </c>
      <c r="H1312" s="951">
        <v>0</v>
      </c>
      <c r="I1312" s="951">
        <v>0</v>
      </c>
      <c r="J1312" s="947" t="s">
        <v>332</v>
      </c>
      <c r="K1312" s="947">
        <v>413666</v>
      </c>
      <c r="M1312" s="631"/>
      <c r="P1312" s="950" t="str">
        <f>VLOOKUP(J1312,'רשימת רשויות'!A:A,1,0)</f>
        <v>נס ציונה</v>
      </c>
      <c r="Q1312" s="956">
        <f>IFERROR(VLOOKUP(B1312,[2]מעובד!$D:$K,8,0),0)</f>
        <v>153</v>
      </c>
      <c r="R1312" s="956">
        <f>IFERROR(VLOOKUP(B1312,[2]מעובד!$D:$L,9,0),0)</f>
        <v>39</v>
      </c>
    </row>
    <row r="1313" spans="1:18" x14ac:dyDescent="0.2">
      <c r="A1313" s="947" t="s">
        <v>395</v>
      </c>
      <c r="B1313" s="947">
        <v>413674</v>
      </c>
      <c r="C1313" s="947" t="s">
        <v>2189</v>
      </c>
      <c r="D1313" s="947" t="s">
        <v>755</v>
      </c>
      <c r="E1313" s="951">
        <v>210</v>
      </c>
      <c r="F1313" s="951">
        <v>209</v>
      </c>
      <c r="G1313" s="947" t="s">
        <v>159</v>
      </c>
      <c r="H1313" s="951">
        <v>0</v>
      </c>
      <c r="I1313" s="951">
        <v>0</v>
      </c>
      <c r="J1313" s="947" t="s">
        <v>395</v>
      </c>
      <c r="K1313" s="947">
        <v>413674</v>
      </c>
      <c r="M1313" s="631"/>
      <c r="P1313" s="950" t="str">
        <f>VLOOKUP(J1313,'רשימת רשויות'!A:A,1,0)</f>
        <v>רעננה</v>
      </c>
      <c r="Q1313" s="956">
        <f>IFERROR(VLOOKUP(B1313,[2]מעובד!$D:$K,8,0),0)</f>
        <v>189</v>
      </c>
      <c r="R1313" s="956">
        <f>IFERROR(VLOOKUP(B1313,[2]מעובד!$D:$L,9,0),0)</f>
        <v>65</v>
      </c>
    </row>
    <row r="1314" spans="1:18" x14ac:dyDescent="0.2">
      <c r="A1314" s="947" t="s">
        <v>262</v>
      </c>
      <c r="B1314" s="947">
        <v>413682</v>
      </c>
      <c r="C1314" s="947" t="s">
        <v>2189</v>
      </c>
      <c r="D1314" s="947" t="s">
        <v>607</v>
      </c>
      <c r="E1314" s="951">
        <v>122</v>
      </c>
      <c r="F1314" s="951">
        <v>73</v>
      </c>
      <c r="G1314" s="947" t="s">
        <v>159</v>
      </c>
      <c r="H1314" s="951">
        <v>98</v>
      </c>
      <c r="I1314" s="951">
        <v>30</v>
      </c>
      <c r="J1314" s="947" t="s">
        <v>262</v>
      </c>
      <c r="K1314" s="947">
        <v>413682</v>
      </c>
      <c r="M1314" s="631"/>
      <c r="P1314" s="950" t="str">
        <f>VLOOKUP(J1314,'רשימת רשויות'!A:A,1,0)</f>
        <v>יבנה</v>
      </c>
      <c r="Q1314" s="956">
        <f>IFERROR(VLOOKUP(B1314,[2]מעובד!$D:$K,8,0),0)</f>
        <v>109</v>
      </c>
      <c r="R1314" s="956">
        <f>IFERROR(VLOOKUP(B1314,[2]מעובד!$D:$L,9,0),0)</f>
        <v>43</v>
      </c>
    </row>
    <row r="1315" spans="1:18" x14ac:dyDescent="0.2">
      <c r="A1315" s="947" t="s">
        <v>177</v>
      </c>
      <c r="B1315" s="947">
        <v>413690</v>
      </c>
      <c r="C1315" s="947" t="s">
        <v>2189</v>
      </c>
      <c r="D1315" s="947" t="s">
        <v>912</v>
      </c>
      <c r="E1315" s="951">
        <v>270</v>
      </c>
      <c r="F1315" s="951">
        <v>239</v>
      </c>
      <c r="G1315" s="947" t="s">
        <v>159</v>
      </c>
      <c r="H1315" s="951">
        <v>107</v>
      </c>
      <c r="I1315" s="951">
        <v>10</v>
      </c>
      <c r="J1315" s="947" t="s">
        <v>177</v>
      </c>
      <c r="K1315" s="947">
        <v>413690</v>
      </c>
      <c r="M1315" s="631"/>
      <c r="P1315" s="950" t="str">
        <f>VLOOKUP(J1315,'רשימת רשויות'!A:A,1,0)</f>
        <v>אלקנה</v>
      </c>
      <c r="Q1315" s="956">
        <f>IFERROR(VLOOKUP(B1315,[2]מעובד!$D:$K,8,0),0)</f>
        <v>272</v>
      </c>
      <c r="R1315" s="956">
        <f>IFERROR(VLOOKUP(B1315,[2]מעובד!$D:$L,9,0),0)</f>
        <v>160</v>
      </c>
    </row>
    <row r="1316" spans="1:18" x14ac:dyDescent="0.2">
      <c r="A1316" s="947" t="s">
        <v>402</v>
      </c>
      <c r="B1316" s="947">
        <v>413708</v>
      </c>
      <c r="C1316" s="947" t="s">
        <v>2189</v>
      </c>
      <c r="D1316" s="947" t="s">
        <v>2221</v>
      </c>
      <c r="E1316" s="951">
        <v>215</v>
      </c>
      <c r="F1316" s="951">
        <v>181</v>
      </c>
      <c r="G1316" s="947" t="s">
        <v>159</v>
      </c>
      <c r="H1316" s="951">
        <v>0</v>
      </c>
      <c r="I1316" s="951">
        <v>0</v>
      </c>
      <c r="J1316" s="947" t="s">
        <v>402</v>
      </c>
      <c r="K1316" s="947">
        <v>413708</v>
      </c>
      <c r="M1316" s="631"/>
      <c r="P1316" s="950" t="str">
        <f>VLOOKUP(J1316,'רשימת רשויות'!A:A,1,0)</f>
        <v>שומרון</v>
      </c>
      <c r="Q1316" s="956">
        <f>IFERROR(VLOOKUP(B1316,[2]מעובד!$D:$K,8,0),0)</f>
        <v>218</v>
      </c>
      <c r="R1316" s="956">
        <f>IFERROR(VLOOKUP(B1316,[2]מעובד!$D:$L,9,0),0)</f>
        <v>156</v>
      </c>
    </row>
    <row r="1317" spans="1:18" x14ac:dyDescent="0.2">
      <c r="A1317" s="947" t="s">
        <v>385</v>
      </c>
      <c r="B1317" s="947">
        <v>413716</v>
      </c>
      <c r="C1317" s="947" t="s">
        <v>2189</v>
      </c>
      <c r="D1317" s="947" t="s">
        <v>1655</v>
      </c>
      <c r="E1317" s="951">
        <v>145</v>
      </c>
      <c r="F1317" s="951">
        <v>53</v>
      </c>
      <c r="G1317" s="947" t="s">
        <v>159</v>
      </c>
      <c r="H1317" s="951">
        <v>0</v>
      </c>
      <c r="I1317" s="951">
        <v>0</v>
      </c>
      <c r="J1317" s="947" t="s">
        <v>385</v>
      </c>
      <c r="K1317" s="947">
        <v>413716</v>
      </c>
      <c r="M1317" s="631"/>
      <c r="P1317" s="950" t="str">
        <f>VLOOKUP(J1317,'רשימת רשויות'!A:A,1,0)</f>
        <v>ראשון לציון</v>
      </c>
      <c r="Q1317" s="956">
        <f>IFERROR(VLOOKUP(B1317,[2]מעובד!$D:$K,8,0),0)</f>
        <v>0</v>
      </c>
      <c r="R1317" s="956">
        <f>IFERROR(VLOOKUP(B1317,[2]מעובד!$D:$L,9,0),0)</f>
        <v>0</v>
      </c>
    </row>
    <row r="1318" spans="1:18" x14ac:dyDescent="0.2">
      <c r="A1318" s="947" t="s">
        <v>383</v>
      </c>
      <c r="B1318" s="947">
        <v>413724</v>
      </c>
      <c r="C1318" s="947" t="s">
        <v>2189</v>
      </c>
      <c r="D1318" s="947" t="s">
        <v>1656</v>
      </c>
      <c r="E1318" s="951">
        <v>211</v>
      </c>
      <c r="F1318" s="951">
        <v>180</v>
      </c>
      <c r="G1318" s="947" t="s">
        <v>159</v>
      </c>
      <c r="H1318" s="951">
        <v>161</v>
      </c>
      <c r="I1318" s="951">
        <v>31</v>
      </c>
      <c r="J1318" s="947" t="s">
        <v>383</v>
      </c>
      <c r="K1318" s="947">
        <v>413724</v>
      </c>
      <c r="M1318" s="631"/>
      <c r="P1318" s="950" t="str">
        <f>VLOOKUP(J1318,'רשימת רשויות'!A:A,1,0)</f>
        <v>ראש העין</v>
      </c>
      <c r="Q1318" s="956">
        <f>IFERROR(VLOOKUP(B1318,[2]מעובד!$D:$K,8,0),0)</f>
        <v>0</v>
      </c>
      <c r="R1318" s="956">
        <f>IFERROR(VLOOKUP(B1318,[2]מעובד!$D:$L,9,0),0)</f>
        <v>0</v>
      </c>
    </row>
    <row r="1319" spans="1:18" x14ac:dyDescent="0.2">
      <c r="A1319" s="947" t="s">
        <v>401</v>
      </c>
      <c r="B1319" s="947">
        <v>413732</v>
      </c>
      <c r="C1319" s="947" t="s">
        <v>2189</v>
      </c>
      <c r="D1319" s="947" t="s">
        <v>1486</v>
      </c>
      <c r="E1319" s="951">
        <v>363</v>
      </c>
      <c r="F1319" s="951">
        <v>283</v>
      </c>
      <c r="G1319" s="947" t="s">
        <v>159</v>
      </c>
      <c r="H1319" s="951">
        <v>119</v>
      </c>
      <c r="I1319" s="951">
        <v>7</v>
      </c>
      <c r="J1319" s="947" t="s">
        <v>401</v>
      </c>
      <c r="K1319" s="947">
        <v>413732</v>
      </c>
      <c r="M1319" s="631"/>
      <c r="P1319" s="950" t="str">
        <f>VLOOKUP(J1319,'רשימת רשויות'!A:A,1,0)</f>
        <v>שוהם</v>
      </c>
      <c r="Q1319" s="956">
        <f>IFERROR(VLOOKUP(B1319,[2]מעובד!$D:$K,8,0),0)</f>
        <v>284</v>
      </c>
      <c r="R1319" s="956">
        <f>IFERROR(VLOOKUP(B1319,[2]מעובד!$D:$L,9,0),0)</f>
        <v>95</v>
      </c>
    </row>
    <row r="1320" spans="1:18" x14ac:dyDescent="0.2">
      <c r="A1320" s="947" t="s">
        <v>213</v>
      </c>
      <c r="B1320" s="947">
        <v>413740</v>
      </c>
      <c r="C1320" s="947" t="s">
        <v>2189</v>
      </c>
      <c r="D1320" s="947" t="s">
        <v>1487</v>
      </c>
      <c r="E1320" s="951">
        <v>359</v>
      </c>
      <c r="F1320" s="951">
        <v>348</v>
      </c>
      <c r="G1320" s="947" t="s">
        <v>159</v>
      </c>
      <c r="H1320" s="951">
        <v>118</v>
      </c>
      <c r="I1320" s="951">
        <v>9</v>
      </c>
      <c r="J1320" s="947" t="s">
        <v>213</v>
      </c>
      <c r="K1320" s="947">
        <v>413740</v>
      </c>
      <c r="M1320" s="631"/>
      <c r="P1320" s="950" t="str">
        <f>VLOOKUP(J1320,'רשימת רשויות'!A:A,1,0)</f>
        <v>גבעת שמואל</v>
      </c>
      <c r="Q1320" s="956">
        <f>IFERROR(VLOOKUP(B1320,[2]מעובד!$D:$K,8,0),0)</f>
        <v>387</v>
      </c>
      <c r="R1320" s="956">
        <f>IFERROR(VLOOKUP(B1320,[2]מעובד!$D:$L,9,0),0)</f>
        <v>135</v>
      </c>
    </row>
    <row r="1321" spans="1:18" x14ac:dyDescent="0.2">
      <c r="A1321" s="947" t="s">
        <v>364</v>
      </c>
      <c r="B1321" s="947">
        <v>413773</v>
      </c>
      <c r="C1321" s="947" t="s">
        <v>2189</v>
      </c>
      <c r="D1321" s="947" t="s">
        <v>1216</v>
      </c>
      <c r="E1321" s="951">
        <v>215</v>
      </c>
      <c r="F1321" s="951">
        <v>106</v>
      </c>
      <c r="G1321" s="947" t="s">
        <v>159</v>
      </c>
      <c r="H1321" s="951">
        <v>0</v>
      </c>
      <c r="I1321" s="951">
        <v>0</v>
      </c>
      <c r="J1321" s="947" t="s">
        <v>364</v>
      </c>
      <c r="K1321" s="947">
        <v>413773</v>
      </c>
      <c r="M1321" s="631"/>
      <c r="P1321" s="950" t="str">
        <f>VLOOKUP(J1321,'רשימת רשויות'!A:A,1,0)</f>
        <v>צורן קדימה</v>
      </c>
      <c r="Q1321" s="956">
        <f>IFERROR(VLOOKUP(B1321,[2]מעובד!$D:$K,8,0),0)</f>
        <v>233</v>
      </c>
      <c r="R1321" s="956">
        <f>IFERROR(VLOOKUP(B1321,[2]מעובד!$D:$L,9,0),0)</f>
        <v>58</v>
      </c>
    </row>
    <row r="1322" spans="1:18" x14ac:dyDescent="0.2">
      <c r="A1322" s="947" t="s">
        <v>220</v>
      </c>
      <c r="B1322" s="947">
        <v>413799</v>
      </c>
      <c r="C1322" s="947" t="s">
        <v>2189</v>
      </c>
      <c r="D1322" s="947" t="s">
        <v>668</v>
      </c>
      <c r="E1322" s="951">
        <v>245</v>
      </c>
      <c r="F1322" s="951">
        <v>115</v>
      </c>
      <c r="G1322" s="947" t="s">
        <v>159</v>
      </c>
      <c r="H1322" s="951">
        <v>0</v>
      </c>
      <c r="I1322" s="951">
        <v>0</v>
      </c>
      <c r="J1322" s="947" t="s">
        <v>220</v>
      </c>
      <c r="K1322" s="947">
        <v>413799</v>
      </c>
      <c r="M1322" s="631"/>
      <c r="P1322" s="950" t="str">
        <f>VLOOKUP(J1322,'רשימת רשויות'!A:A,1,0)</f>
        <v>גזר</v>
      </c>
      <c r="Q1322" s="956">
        <f>IFERROR(VLOOKUP(B1322,[2]מעובד!$D:$K,8,0),0)</f>
        <v>182</v>
      </c>
      <c r="R1322" s="956">
        <f>IFERROR(VLOOKUP(B1322,[2]מעובד!$D:$L,9,0),0)</f>
        <v>80</v>
      </c>
    </row>
    <row r="1323" spans="1:18" x14ac:dyDescent="0.2">
      <c r="A1323" s="947" t="s">
        <v>175</v>
      </c>
      <c r="B1323" s="947">
        <v>413807</v>
      </c>
      <c r="C1323" s="947" t="s">
        <v>2189</v>
      </c>
      <c r="D1323" s="947" t="s">
        <v>3033</v>
      </c>
      <c r="E1323" s="951">
        <v>58</v>
      </c>
      <c r="F1323" s="951">
        <v>51</v>
      </c>
      <c r="G1323" s="947" t="s">
        <v>159</v>
      </c>
      <c r="H1323" s="951">
        <v>0</v>
      </c>
      <c r="I1323" s="951">
        <v>0</v>
      </c>
      <c r="J1323" s="947" t="s">
        <v>175</v>
      </c>
      <c r="K1323" s="947">
        <v>413807</v>
      </c>
      <c r="M1323" s="631"/>
      <c r="P1323" s="950" t="str">
        <f>VLOOKUP(J1323,'רשימת רשויות'!A:A,1,0)</f>
        <v>אלעד</v>
      </c>
      <c r="Q1323" s="956">
        <f>IFERROR(VLOOKUP(B1323,[2]מעובד!$D:$K,8,0),0)</f>
        <v>71</v>
      </c>
      <c r="R1323" s="956">
        <f>IFERROR(VLOOKUP(B1323,[2]מעובד!$D:$L,9,0),0)</f>
        <v>60</v>
      </c>
    </row>
    <row r="1324" spans="1:18" x14ac:dyDescent="0.2">
      <c r="A1324" s="947" t="s">
        <v>363</v>
      </c>
      <c r="B1324" s="947">
        <v>413823</v>
      </c>
      <c r="C1324" s="947" t="s">
        <v>2189</v>
      </c>
      <c r="D1324" s="947" t="s">
        <v>677</v>
      </c>
      <c r="E1324" s="951">
        <v>224</v>
      </c>
      <c r="F1324" s="951">
        <v>205</v>
      </c>
      <c r="G1324" s="947" t="s">
        <v>159</v>
      </c>
      <c r="H1324" s="951">
        <v>90</v>
      </c>
      <c r="I1324" s="951">
        <v>17</v>
      </c>
      <c r="J1324" s="947" t="s">
        <v>363</v>
      </c>
      <c r="K1324" s="947">
        <v>413823</v>
      </c>
      <c r="M1324" s="631"/>
      <c r="P1324" s="950" t="str">
        <f>VLOOKUP(J1324,'רשימת רשויות'!A:A,1,0)</f>
        <v>פתח תקוה</v>
      </c>
      <c r="Q1324" s="956">
        <f>IFERROR(VLOOKUP(B1324,[2]מעובד!$D:$K,8,0),0)</f>
        <v>226</v>
      </c>
      <c r="R1324" s="956">
        <f>IFERROR(VLOOKUP(B1324,[2]מעובד!$D:$L,9,0),0)</f>
        <v>111</v>
      </c>
    </row>
    <row r="1325" spans="1:18" x14ac:dyDescent="0.2">
      <c r="A1325" s="947" t="s">
        <v>385</v>
      </c>
      <c r="B1325" s="947">
        <v>413831</v>
      </c>
      <c r="C1325" s="947" t="s">
        <v>2189</v>
      </c>
      <c r="D1325" s="947" t="s">
        <v>1495</v>
      </c>
      <c r="E1325" s="951">
        <v>291</v>
      </c>
      <c r="F1325" s="951">
        <v>205</v>
      </c>
      <c r="G1325" s="947" t="s">
        <v>159</v>
      </c>
      <c r="H1325" s="951">
        <v>0</v>
      </c>
      <c r="I1325" s="951">
        <v>0</v>
      </c>
      <c r="J1325" s="947" t="s">
        <v>385</v>
      </c>
      <c r="K1325" s="947">
        <v>413831</v>
      </c>
      <c r="M1325" s="631"/>
      <c r="P1325" s="950" t="str">
        <f>VLOOKUP(J1325,'רשימת רשויות'!A:A,1,0)</f>
        <v>ראשון לציון</v>
      </c>
      <c r="Q1325" s="956">
        <f>IFERROR(VLOOKUP(B1325,[2]מעובד!$D:$K,8,0),0)</f>
        <v>293</v>
      </c>
      <c r="R1325" s="956">
        <f>IFERROR(VLOOKUP(B1325,[2]מעובד!$D:$L,9,0),0)</f>
        <v>103</v>
      </c>
    </row>
    <row r="1326" spans="1:18" x14ac:dyDescent="0.2">
      <c r="A1326" s="947" t="s">
        <v>381</v>
      </c>
      <c r="B1326" s="947">
        <v>413849</v>
      </c>
      <c r="C1326" s="947" t="s">
        <v>2189</v>
      </c>
      <c r="D1326" s="947" t="s">
        <v>2420</v>
      </c>
      <c r="E1326" s="951">
        <v>165</v>
      </c>
      <c r="F1326" s="951">
        <v>128</v>
      </c>
      <c r="G1326" s="947" t="s">
        <v>159</v>
      </c>
      <c r="H1326" s="951">
        <v>0</v>
      </c>
      <c r="I1326" s="951">
        <v>0</v>
      </c>
      <c r="J1326" s="947" t="s">
        <v>381</v>
      </c>
      <c r="K1326" s="947">
        <v>413849</v>
      </c>
      <c r="M1326" s="631"/>
      <c r="P1326" s="950" t="str">
        <f>VLOOKUP(J1326,'רשימת רשויות'!A:A,1,0)</f>
        <v>קרני שומרון</v>
      </c>
      <c r="Q1326" s="956">
        <f>IFERROR(VLOOKUP(B1326,[2]מעובד!$D:$K,8,0),0)</f>
        <v>159</v>
      </c>
      <c r="R1326" s="956">
        <f>IFERROR(VLOOKUP(B1326,[2]מעובד!$D:$L,9,0),0)</f>
        <v>43</v>
      </c>
    </row>
    <row r="1327" spans="1:18" x14ac:dyDescent="0.2">
      <c r="A1327" s="947" t="s">
        <v>284</v>
      </c>
      <c r="B1327" s="947">
        <v>413856</v>
      </c>
      <c r="C1327" s="947" t="s">
        <v>2189</v>
      </c>
      <c r="D1327" s="947" t="s">
        <v>607</v>
      </c>
      <c r="E1327" s="951">
        <v>247</v>
      </c>
      <c r="F1327" s="951">
        <v>160</v>
      </c>
      <c r="G1327" s="947" t="s">
        <v>159</v>
      </c>
      <c r="H1327" s="951">
        <v>0</v>
      </c>
      <c r="I1327" s="951">
        <v>0</v>
      </c>
      <c r="J1327" s="947" t="s">
        <v>284</v>
      </c>
      <c r="K1327" s="947">
        <v>413856</v>
      </c>
      <c r="M1327" s="631"/>
      <c r="P1327" s="950" t="str">
        <f>VLOOKUP(J1327,'רשימת רשויות'!A:A,1,0)</f>
        <v>כפר סבא</v>
      </c>
      <c r="Q1327" s="956">
        <f>IFERROR(VLOOKUP(B1327,[2]מעובד!$D:$K,8,0),0)</f>
        <v>0</v>
      </c>
      <c r="R1327" s="956">
        <f>IFERROR(VLOOKUP(B1327,[2]מעובד!$D:$L,9,0),0)</f>
        <v>0</v>
      </c>
    </row>
    <row r="1328" spans="1:18" x14ac:dyDescent="0.2">
      <c r="A1328" s="947" t="s">
        <v>162</v>
      </c>
      <c r="B1328" s="947">
        <v>413864</v>
      </c>
      <c r="C1328" s="947" t="s">
        <v>2189</v>
      </c>
      <c r="D1328" s="947" t="s">
        <v>1496</v>
      </c>
      <c r="E1328" s="951">
        <v>114</v>
      </c>
      <c r="F1328" s="951">
        <v>84</v>
      </c>
      <c r="G1328" s="947" t="s">
        <v>3252</v>
      </c>
      <c r="H1328" s="951">
        <v>0</v>
      </c>
      <c r="I1328" s="951">
        <v>0</v>
      </c>
      <c r="J1328" s="947" t="s">
        <v>162</v>
      </c>
      <c r="K1328" s="947">
        <v>413864</v>
      </c>
      <c r="M1328" s="631"/>
      <c r="P1328" s="950" t="str">
        <f>VLOOKUP(J1328,'רשימת רשויות'!A:A,1,0)</f>
        <v>אבן יהודה</v>
      </c>
      <c r="Q1328" s="956">
        <f>IFERROR(VLOOKUP(B1328,[2]מעובד!$D:$K,8,0),0)</f>
        <v>0</v>
      </c>
      <c r="R1328" s="956">
        <f>IFERROR(VLOOKUP(B1328,[2]מעובד!$D:$L,9,0),0)</f>
        <v>0</v>
      </c>
    </row>
    <row r="1329" spans="1:18" x14ac:dyDescent="0.2">
      <c r="A1329" s="947" t="s">
        <v>363</v>
      </c>
      <c r="B1329" s="947">
        <v>413872</v>
      </c>
      <c r="C1329" s="947" t="s">
        <v>2189</v>
      </c>
      <c r="D1329" s="947" t="s">
        <v>3034</v>
      </c>
      <c r="E1329" s="951">
        <v>64</v>
      </c>
      <c r="F1329" s="951">
        <v>63</v>
      </c>
      <c r="G1329" s="947" t="s">
        <v>159</v>
      </c>
      <c r="H1329" s="951">
        <v>0</v>
      </c>
      <c r="I1329" s="951">
        <v>0</v>
      </c>
      <c r="J1329" s="947" t="s">
        <v>363</v>
      </c>
      <c r="K1329" s="947">
        <v>413872</v>
      </c>
      <c r="M1329" s="631"/>
      <c r="P1329" s="950" t="str">
        <f>VLOOKUP(J1329,'רשימת רשויות'!A:A,1,0)</f>
        <v>פתח תקוה</v>
      </c>
      <c r="Q1329" s="956">
        <f>IFERROR(VLOOKUP(B1329,[2]מעובד!$D:$K,8,0),0)</f>
        <v>0</v>
      </c>
      <c r="R1329" s="956">
        <f>IFERROR(VLOOKUP(B1329,[2]מעובד!$D:$L,9,0),0)</f>
        <v>0</v>
      </c>
    </row>
    <row r="1330" spans="1:18" x14ac:dyDescent="0.2">
      <c r="A1330" s="947" t="s">
        <v>390</v>
      </c>
      <c r="B1330" s="947">
        <v>413880</v>
      </c>
      <c r="C1330" s="947" t="s">
        <v>2189</v>
      </c>
      <c r="D1330" s="947" t="s">
        <v>607</v>
      </c>
      <c r="E1330" s="951">
        <v>44</v>
      </c>
      <c r="F1330" s="951">
        <v>4</v>
      </c>
      <c r="G1330" s="947" t="s">
        <v>159</v>
      </c>
      <c r="H1330" s="951">
        <v>0</v>
      </c>
      <c r="I1330" s="951">
        <v>0</v>
      </c>
      <c r="J1330" s="947" t="s">
        <v>390</v>
      </c>
      <c r="K1330" s="957" t="s">
        <v>3304</v>
      </c>
      <c r="M1330" s="631"/>
      <c r="P1330" s="950" t="str">
        <f>VLOOKUP(J1330,'רשימת רשויות'!A:A,1,0)</f>
        <v>רמלה</v>
      </c>
      <c r="Q1330" s="956">
        <f>IFERROR(VLOOKUP(B1330,[2]מעובד!$D:$K,8,0),0)</f>
        <v>0</v>
      </c>
      <c r="R1330" s="956">
        <f>IFERROR(VLOOKUP(B1330,[2]מעובד!$D:$L,9,0),0)</f>
        <v>0</v>
      </c>
    </row>
    <row r="1331" spans="1:18" x14ac:dyDescent="0.2">
      <c r="A1331" s="947" t="s">
        <v>395</v>
      </c>
      <c r="B1331" s="947">
        <v>413906</v>
      </c>
      <c r="C1331" s="947" t="s">
        <v>2189</v>
      </c>
      <c r="D1331" s="947" t="s">
        <v>1521</v>
      </c>
      <c r="E1331" s="951">
        <v>119</v>
      </c>
      <c r="F1331" s="951">
        <v>106</v>
      </c>
      <c r="G1331" s="947" t="s">
        <v>159</v>
      </c>
      <c r="H1331" s="951">
        <v>0</v>
      </c>
      <c r="I1331" s="951">
        <v>0</v>
      </c>
      <c r="J1331" s="947" t="s">
        <v>395</v>
      </c>
      <c r="K1331" s="947">
        <v>413906</v>
      </c>
      <c r="M1331" s="631"/>
      <c r="P1331" s="950" t="str">
        <f>VLOOKUP(J1331,'רשימת רשויות'!A:A,1,0)</f>
        <v>רעננה</v>
      </c>
      <c r="Q1331" s="956">
        <f>IFERROR(VLOOKUP(B1331,[2]מעובד!$D:$K,8,0),0)</f>
        <v>160</v>
      </c>
      <c r="R1331" s="956">
        <f>IFERROR(VLOOKUP(B1331,[2]מעובד!$D:$L,9,0),0)</f>
        <v>52</v>
      </c>
    </row>
    <row r="1332" spans="1:18" x14ac:dyDescent="0.2">
      <c r="A1332" s="947" t="s">
        <v>395</v>
      </c>
      <c r="B1332" s="947">
        <v>413914</v>
      </c>
      <c r="C1332" s="947" t="s">
        <v>2189</v>
      </c>
      <c r="D1332" s="947" t="s">
        <v>694</v>
      </c>
      <c r="E1332" s="951">
        <v>154</v>
      </c>
      <c r="F1332" s="951">
        <v>131</v>
      </c>
      <c r="G1332" s="947" t="s">
        <v>159</v>
      </c>
      <c r="H1332" s="951">
        <v>106</v>
      </c>
      <c r="I1332" s="951">
        <v>21</v>
      </c>
      <c r="J1332" s="947" t="s">
        <v>395</v>
      </c>
      <c r="K1332" s="947">
        <v>413914</v>
      </c>
      <c r="M1332" s="631"/>
      <c r="P1332" s="950" t="str">
        <f>VLOOKUP(J1332,'רשימת רשויות'!A:A,1,0)</f>
        <v>רעננה</v>
      </c>
      <c r="Q1332" s="956">
        <f>IFERROR(VLOOKUP(B1332,[2]מעובד!$D:$K,8,0),0)</f>
        <v>159</v>
      </c>
      <c r="R1332" s="956">
        <f>IFERROR(VLOOKUP(B1332,[2]מעובד!$D:$L,9,0),0)</f>
        <v>48</v>
      </c>
    </row>
    <row r="1333" spans="1:18" x14ac:dyDescent="0.2">
      <c r="A1333" s="947" t="s">
        <v>336</v>
      </c>
      <c r="B1333" s="947">
        <v>413922</v>
      </c>
      <c r="C1333" s="947" t="s">
        <v>2189</v>
      </c>
      <c r="D1333" s="947" t="s">
        <v>442</v>
      </c>
      <c r="E1333" s="951">
        <v>151</v>
      </c>
      <c r="F1333" s="951">
        <v>113</v>
      </c>
      <c r="G1333" s="947" t="s">
        <v>159</v>
      </c>
      <c r="H1333" s="951">
        <v>0</v>
      </c>
      <c r="I1333" s="951">
        <v>0</v>
      </c>
      <c r="J1333" s="947" t="s">
        <v>336</v>
      </c>
      <c r="K1333" s="947">
        <v>413922</v>
      </c>
      <c r="M1333" s="631"/>
      <c r="P1333" s="950" t="str">
        <f>VLOOKUP(J1333,'רשימת רשויות'!A:A,1,0)</f>
        <v>נתניה</v>
      </c>
      <c r="Q1333" s="956">
        <f>IFERROR(VLOOKUP(B1333,[2]מעובד!$D:$K,8,0),0)</f>
        <v>0</v>
      </c>
      <c r="R1333" s="956">
        <f>IFERROR(VLOOKUP(B1333,[2]מעובד!$D:$L,9,0),0)</f>
        <v>0</v>
      </c>
    </row>
    <row r="1334" spans="1:18" x14ac:dyDescent="0.2">
      <c r="A1334" s="947" t="s">
        <v>385</v>
      </c>
      <c r="B1334" s="947">
        <v>413948</v>
      </c>
      <c r="C1334" s="947" t="s">
        <v>2189</v>
      </c>
      <c r="D1334" s="947" t="s">
        <v>266</v>
      </c>
      <c r="E1334" s="951">
        <v>201</v>
      </c>
      <c r="F1334" s="951">
        <v>133</v>
      </c>
      <c r="G1334" s="947" t="s">
        <v>159</v>
      </c>
      <c r="H1334" s="951">
        <v>0</v>
      </c>
      <c r="I1334" s="951">
        <v>0</v>
      </c>
      <c r="J1334" s="947" t="s">
        <v>385</v>
      </c>
      <c r="K1334" s="947">
        <v>413948</v>
      </c>
      <c r="M1334" s="631"/>
      <c r="P1334" s="950" t="str">
        <f>VLOOKUP(J1334,'רשימת רשויות'!A:A,1,0)</f>
        <v>ראשון לציון</v>
      </c>
      <c r="Q1334" s="956">
        <f>IFERROR(VLOOKUP(B1334,[2]מעובד!$D:$K,8,0),0)</f>
        <v>157</v>
      </c>
      <c r="R1334" s="956">
        <f>IFERROR(VLOOKUP(B1334,[2]מעובד!$D:$L,9,0),0)</f>
        <v>45</v>
      </c>
    </row>
    <row r="1335" spans="1:18" x14ac:dyDescent="0.2">
      <c r="A1335" s="947" t="s">
        <v>363</v>
      </c>
      <c r="B1335" s="947">
        <v>413955</v>
      </c>
      <c r="C1335" s="947" t="s">
        <v>2189</v>
      </c>
      <c r="D1335" s="947" t="s">
        <v>447</v>
      </c>
      <c r="E1335" s="951">
        <v>200</v>
      </c>
      <c r="F1335" s="951">
        <v>184</v>
      </c>
      <c r="G1335" s="947" t="s">
        <v>159</v>
      </c>
      <c r="H1335" s="951">
        <v>75</v>
      </c>
      <c r="I1335" s="951">
        <v>13</v>
      </c>
      <c r="J1335" s="947" t="s">
        <v>363</v>
      </c>
      <c r="K1335" s="947">
        <v>413955</v>
      </c>
      <c r="M1335" s="631"/>
      <c r="P1335" s="950" t="str">
        <f>VLOOKUP(J1335,'רשימת רשויות'!A:A,1,0)</f>
        <v>פתח תקוה</v>
      </c>
      <c r="Q1335" s="956">
        <f>IFERROR(VLOOKUP(B1335,[2]מעובד!$D:$K,8,0),0)</f>
        <v>135</v>
      </c>
      <c r="R1335" s="956">
        <f>IFERROR(VLOOKUP(B1335,[2]מעובד!$D:$L,9,0),0)</f>
        <v>63</v>
      </c>
    </row>
    <row r="1336" spans="1:18" x14ac:dyDescent="0.2">
      <c r="A1336" s="947" t="s">
        <v>215</v>
      </c>
      <c r="B1336" s="947">
        <v>413963</v>
      </c>
      <c r="C1336" s="947" t="s">
        <v>2189</v>
      </c>
      <c r="D1336" s="947" t="s">
        <v>668</v>
      </c>
      <c r="E1336" s="951">
        <v>128</v>
      </c>
      <c r="F1336" s="951">
        <v>96</v>
      </c>
      <c r="G1336" s="947" t="s">
        <v>159</v>
      </c>
      <c r="H1336" s="951">
        <v>0</v>
      </c>
      <c r="I1336" s="951">
        <v>0</v>
      </c>
      <c r="J1336" s="947" t="s">
        <v>215</v>
      </c>
      <c r="K1336" s="947">
        <v>413963</v>
      </c>
      <c r="M1336" s="631"/>
      <c r="P1336" s="950" t="str">
        <f>VLOOKUP(J1336,'רשימת רשויות'!A:A,1,0)</f>
        <v>גדרה</v>
      </c>
      <c r="Q1336" s="956">
        <f>IFERROR(VLOOKUP(B1336,[2]מעובד!$D:$K,8,0),0)</f>
        <v>189</v>
      </c>
      <c r="R1336" s="956">
        <f>IFERROR(VLOOKUP(B1336,[2]מעובד!$D:$L,9,0),0)</f>
        <v>80</v>
      </c>
    </row>
    <row r="1337" spans="1:18" x14ac:dyDescent="0.2">
      <c r="A1337" s="947" t="s">
        <v>387</v>
      </c>
      <c r="B1337" s="947">
        <v>413971</v>
      </c>
      <c r="C1337" s="947" t="s">
        <v>2189</v>
      </c>
      <c r="D1337" s="947" t="s">
        <v>1536</v>
      </c>
      <c r="E1337" s="951">
        <v>67</v>
      </c>
      <c r="F1337" s="951">
        <v>58</v>
      </c>
      <c r="G1337" s="947" t="s">
        <v>159</v>
      </c>
      <c r="H1337" s="951">
        <v>0</v>
      </c>
      <c r="I1337" s="951">
        <v>0</v>
      </c>
      <c r="J1337" s="947" t="s">
        <v>387</v>
      </c>
      <c r="K1337" s="947">
        <v>413971</v>
      </c>
      <c r="M1337" s="631"/>
      <c r="P1337" s="950" t="str">
        <f>VLOOKUP(J1337,'רשימת רשויות'!A:A,1,0)</f>
        <v>רחובות</v>
      </c>
      <c r="Q1337" s="956">
        <f>IFERROR(VLOOKUP(B1337,[2]מעובד!$D:$K,8,0),0)</f>
        <v>90</v>
      </c>
      <c r="R1337" s="956">
        <f>IFERROR(VLOOKUP(B1337,[2]מעובד!$D:$L,9,0),0)</f>
        <v>35</v>
      </c>
    </row>
    <row r="1338" spans="1:18" x14ac:dyDescent="0.2">
      <c r="A1338" s="947" t="s">
        <v>402</v>
      </c>
      <c r="B1338" s="947">
        <v>413989</v>
      </c>
      <c r="C1338" s="947" t="s">
        <v>2189</v>
      </c>
      <c r="D1338" s="947" t="s">
        <v>2057</v>
      </c>
      <c r="E1338" s="951">
        <v>88</v>
      </c>
      <c r="F1338" s="951">
        <v>85</v>
      </c>
      <c r="G1338" s="947" t="s">
        <v>159</v>
      </c>
      <c r="H1338" s="951">
        <v>0</v>
      </c>
      <c r="I1338" s="951">
        <v>0</v>
      </c>
      <c r="J1338" s="947" t="s">
        <v>402</v>
      </c>
      <c r="K1338" s="947">
        <v>413989</v>
      </c>
      <c r="M1338" s="631"/>
      <c r="P1338" s="950" t="str">
        <f>VLOOKUP(J1338,'רשימת רשויות'!A:A,1,0)</f>
        <v>שומרון</v>
      </c>
      <c r="Q1338" s="956">
        <f>IFERROR(VLOOKUP(B1338,[2]מעובד!$D:$K,8,0),0)</f>
        <v>82</v>
      </c>
      <c r="R1338" s="956">
        <f>IFERROR(VLOOKUP(B1338,[2]מעובד!$D:$L,9,0),0)</f>
        <v>60</v>
      </c>
    </row>
    <row r="1339" spans="1:18" x14ac:dyDescent="0.2">
      <c r="A1339" s="947" t="s">
        <v>262</v>
      </c>
      <c r="B1339" s="947">
        <v>413997</v>
      </c>
      <c r="C1339" s="947" t="s">
        <v>2189</v>
      </c>
      <c r="D1339" s="947" t="s">
        <v>1537</v>
      </c>
      <c r="E1339" s="951">
        <v>258</v>
      </c>
      <c r="F1339" s="951">
        <v>236</v>
      </c>
      <c r="G1339" s="947" t="s">
        <v>159</v>
      </c>
      <c r="H1339" s="951">
        <v>103</v>
      </c>
      <c r="I1339" s="951">
        <v>0</v>
      </c>
      <c r="J1339" s="947" t="s">
        <v>262</v>
      </c>
      <c r="K1339" s="947">
        <v>413997</v>
      </c>
      <c r="M1339" s="631"/>
      <c r="P1339" s="950" t="str">
        <f>VLOOKUP(J1339,'רשימת רשויות'!A:A,1,0)</f>
        <v>יבנה</v>
      </c>
      <c r="Q1339" s="956">
        <f>IFERROR(VLOOKUP(B1339,[2]מעובד!$D:$K,8,0),0)</f>
        <v>207</v>
      </c>
      <c r="R1339" s="956">
        <f>IFERROR(VLOOKUP(B1339,[2]מעובד!$D:$L,9,0),0)</f>
        <v>96</v>
      </c>
    </row>
    <row r="1340" spans="1:18" x14ac:dyDescent="0.2">
      <c r="A1340" s="947" t="s">
        <v>363</v>
      </c>
      <c r="B1340" s="947">
        <v>414003</v>
      </c>
      <c r="C1340" s="947" t="s">
        <v>2189</v>
      </c>
      <c r="D1340" s="947" t="s">
        <v>435</v>
      </c>
      <c r="E1340" s="951">
        <v>228</v>
      </c>
      <c r="F1340" s="951">
        <v>229</v>
      </c>
      <c r="G1340" s="947" t="s">
        <v>159</v>
      </c>
      <c r="H1340" s="951">
        <v>0</v>
      </c>
      <c r="I1340" s="951">
        <v>0</v>
      </c>
      <c r="J1340" s="947" t="s">
        <v>363</v>
      </c>
      <c r="K1340" s="947">
        <v>414003</v>
      </c>
      <c r="M1340" s="631"/>
      <c r="P1340" s="950" t="str">
        <f>VLOOKUP(J1340,'רשימת רשויות'!A:A,1,0)</f>
        <v>פתח תקוה</v>
      </c>
      <c r="Q1340" s="956">
        <f>IFERROR(VLOOKUP(B1340,[2]מעובד!$D:$K,8,0),0)</f>
        <v>220</v>
      </c>
      <c r="R1340" s="956">
        <f>IFERROR(VLOOKUP(B1340,[2]מעובד!$D:$L,9,0),0)</f>
        <v>86</v>
      </c>
    </row>
    <row r="1341" spans="1:18" x14ac:dyDescent="0.2">
      <c r="A1341" s="947" t="s">
        <v>390</v>
      </c>
      <c r="B1341" s="947">
        <v>414011</v>
      </c>
      <c r="C1341" s="947" t="s">
        <v>2189</v>
      </c>
      <c r="D1341" s="947" t="s">
        <v>1538</v>
      </c>
      <c r="E1341" s="951">
        <v>136</v>
      </c>
      <c r="F1341" s="951">
        <v>83</v>
      </c>
      <c r="G1341" s="947" t="s">
        <v>3252</v>
      </c>
      <c r="H1341" s="951">
        <v>0</v>
      </c>
      <c r="I1341" s="951">
        <v>0</v>
      </c>
      <c r="J1341" s="947" t="s">
        <v>390</v>
      </c>
      <c r="K1341" s="947">
        <v>414011</v>
      </c>
      <c r="M1341" s="631"/>
      <c r="P1341" s="950" t="str">
        <f>VLOOKUP(J1341,'רשימת רשויות'!A:A,1,0)</f>
        <v>רמלה</v>
      </c>
      <c r="Q1341" s="956">
        <f>IFERROR(VLOOKUP(B1341,[2]מעובד!$D:$K,8,0),0)</f>
        <v>157</v>
      </c>
      <c r="R1341" s="956">
        <f>IFERROR(VLOOKUP(B1341,[2]מעובד!$D:$L,9,0),0)</f>
        <v>55</v>
      </c>
    </row>
    <row r="1342" spans="1:18" x14ac:dyDescent="0.2">
      <c r="A1342" s="947" t="s">
        <v>284</v>
      </c>
      <c r="B1342" s="947">
        <v>414029</v>
      </c>
      <c r="C1342" s="947" t="s">
        <v>2189</v>
      </c>
      <c r="D1342" s="947" t="s">
        <v>1035</v>
      </c>
      <c r="E1342" s="951">
        <v>231</v>
      </c>
      <c r="F1342" s="951">
        <v>169</v>
      </c>
      <c r="G1342" s="947" t="s">
        <v>159</v>
      </c>
      <c r="H1342" s="951">
        <v>86</v>
      </c>
      <c r="I1342" s="951">
        <v>0</v>
      </c>
      <c r="J1342" s="947" t="s">
        <v>284</v>
      </c>
      <c r="K1342" s="947">
        <v>414029</v>
      </c>
      <c r="M1342" s="631"/>
      <c r="P1342" s="950" t="str">
        <f>VLOOKUP(J1342,'רשימת רשויות'!A:A,1,0)</f>
        <v>כפר סבא</v>
      </c>
      <c r="Q1342" s="956">
        <f>IFERROR(VLOOKUP(B1342,[2]מעובד!$D:$K,8,0),0)</f>
        <v>0</v>
      </c>
      <c r="R1342" s="956">
        <f>IFERROR(VLOOKUP(B1342,[2]מעובד!$D:$L,9,0),0)</f>
        <v>0</v>
      </c>
    </row>
    <row r="1343" spans="1:18" x14ac:dyDescent="0.2">
      <c r="A1343" s="947" t="s">
        <v>332</v>
      </c>
      <c r="B1343" s="947">
        <v>414037</v>
      </c>
      <c r="C1343" s="947" t="s">
        <v>2189</v>
      </c>
      <c r="D1343" s="947" t="s">
        <v>2090</v>
      </c>
      <c r="E1343" s="951">
        <v>58</v>
      </c>
      <c r="F1343" s="951">
        <v>35</v>
      </c>
      <c r="G1343" s="947" t="s">
        <v>159</v>
      </c>
      <c r="H1343" s="951">
        <v>0</v>
      </c>
      <c r="I1343" s="951">
        <v>0</v>
      </c>
      <c r="J1343" s="947" t="s">
        <v>332</v>
      </c>
      <c r="K1343" s="957" t="s">
        <v>3306</v>
      </c>
      <c r="M1343" s="631"/>
      <c r="P1343" s="950" t="str">
        <f>VLOOKUP(J1343,'רשימת רשויות'!A:A,1,0)</f>
        <v>נס ציונה</v>
      </c>
      <c r="Q1343" s="956">
        <f>IFERROR(VLOOKUP(B1343,[2]מעובד!$D:$K,8,0),0)</f>
        <v>0</v>
      </c>
      <c r="R1343" s="956">
        <f>IFERROR(VLOOKUP(B1343,[2]מעובד!$D:$L,9,0),0)</f>
        <v>0</v>
      </c>
    </row>
    <row r="1344" spans="1:18" x14ac:dyDescent="0.2">
      <c r="A1344" s="947" t="s">
        <v>385</v>
      </c>
      <c r="B1344" s="947">
        <v>414045</v>
      </c>
      <c r="C1344" s="947" t="s">
        <v>2189</v>
      </c>
      <c r="D1344" s="947" t="s">
        <v>1555</v>
      </c>
      <c r="E1344" s="951">
        <v>145</v>
      </c>
      <c r="F1344" s="951">
        <v>131</v>
      </c>
      <c r="G1344" s="947" t="s">
        <v>3252</v>
      </c>
      <c r="H1344" s="951">
        <v>0</v>
      </c>
      <c r="I1344" s="951">
        <v>0</v>
      </c>
      <c r="J1344" s="947" t="s">
        <v>385</v>
      </c>
      <c r="K1344" s="947">
        <v>414045</v>
      </c>
      <c r="M1344" s="631"/>
      <c r="P1344" s="950" t="str">
        <f>VLOOKUP(J1344,'רשימת רשויות'!A:A,1,0)</f>
        <v>ראשון לציון</v>
      </c>
      <c r="Q1344" s="956">
        <f>IFERROR(VLOOKUP(B1344,[2]מעובד!$D:$K,8,0),0)</f>
        <v>0</v>
      </c>
      <c r="R1344" s="956">
        <f>IFERROR(VLOOKUP(B1344,[2]מעובד!$D:$L,9,0),0)</f>
        <v>133</v>
      </c>
    </row>
    <row r="1345" spans="1:18" x14ac:dyDescent="0.2">
      <c r="A1345" s="947" t="s">
        <v>305</v>
      </c>
      <c r="B1345" s="947">
        <v>414052</v>
      </c>
      <c r="C1345" s="947" t="s">
        <v>2189</v>
      </c>
      <c r="D1345" s="947" t="s">
        <v>1125</v>
      </c>
      <c r="E1345" s="951">
        <v>125</v>
      </c>
      <c r="F1345" s="951">
        <v>99</v>
      </c>
      <c r="G1345" s="947" t="s">
        <v>159</v>
      </c>
      <c r="H1345" s="951">
        <v>0</v>
      </c>
      <c r="I1345" s="951">
        <v>0</v>
      </c>
      <c r="J1345" s="947" t="s">
        <v>305</v>
      </c>
      <c r="K1345" s="947">
        <v>414052</v>
      </c>
      <c r="M1345" s="631"/>
      <c r="P1345" s="950" t="str">
        <f>VLOOKUP(J1345,'רשימת רשויות'!A:A,1,0)</f>
        <v>מודיעין מכבים רעות</v>
      </c>
      <c r="Q1345" s="956">
        <f>IFERROR(VLOOKUP(B1345,[2]מעובד!$D:$K,8,0),0)</f>
        <v>130</v>
      </c>
      <c r="R1345" s="956">
        <f>IFERROR(VLOOKUP(B1345,[2]מעובד!$D:$L,9,0),0)</f>
        <v>49</v>
      </c>
    </row>
    <row r="1346" spans="1:18" x14ac:dyDescent="0.2">
      <c r="A1346" s="947" t="s">
        <v>390</v>
      </c>
      <c r="B1346" s="947">
        <v>414060</v>
      </c>
      <c r="C1346" s="947" t="s">
        <v>2189</v>
      </c>
      <c r="D1346" s="947" t="s">
        <v>1580</v>
      </c>
      <c r="E1346" s="951">
        <v>254</v>
      </c>
      <c r="F1346" s="951">
        <v>89</v>
      </c>
      <c r="G1346" s="947" t="s">
        <v>159</v>
      </c>
      <c r="H1346" s="951">
        <v>77</v>
      </c>
      <c r="I1346" s="951">
        <v>10</v>
      </c>
      <c r="J1346" s="947" t="s">
        <v>390</v>
      </c>
      <c r="K1346" s="947">
        <v>414060</v>
      </c>
      <c r="M1346" s="631"/>
      <c r="P1346" s="950" t="str">
        <f>VLOOKUP(J1346,'רשימת רשויות'!A:A,1,0)</f>
        <v>רמלה</v>
      </c>
      <c r="Q1346" s="956">
        <f>IFERROR(VLOOKUP(B1346,[2]מעובד!$D:$K,8,0),0)</f>
        <v>233</v>
      </c>
      <c r="R1346" s="956">
        <f>IFERROR(VLOOKUP(B1346,[2]מעובד!$D:$L,9,0),0)</f>
        <v>80</v>
      </c>
    </row>
    <row r="1347" spans="1:18" x14ac:dyDescent="0.2">
      <c r="A1347" s="947" t="s">
        <v>395</v>
      </c>
      <c r="B1347" s="947">
        <v>414078</v>
      </c>
      <c r="C1347" s="947" t="s">
        <v>2189</v>
      </c>
      <c r="D1347" s="947" t="s">
        <v>941</v>
      </c>
      <c r="E1347" s="951">
        <v>138</v>
      </c>
      <c r="F1347" s="951">
        <v>118</v>
      </c>
      <c r="G1347" s="947" t="s">
        <v>159</v>
      </c>
      <c r="H1347" s="951">
        <v>0</v>
      </c>
      <c r="I1347" s="951">
        <v>0</v>
      </c>
      <c r="J1347" s="947" t="s">
        <v>395</v>
      </c>
      <c r="K1347" s="947">
        <v>414078</v>
      </c>
      <c r="M1347" s="631"/>
      <c r="P1347" s="950" t="str">
        <f>VLOOKUP(J1347,'רשימת רשויות'!A:A,1,0)</f>
        <v>רעננה</v>
      </c>
      <c r="Q1347" s="956">
        <f>IFERROR(VLOOKUP(B1347,[2]מעובד!$D:$K,8,0),0)</f>
        <v>175</v>
      </c>
      <c r="R1347" s="956">
        <f>IFERROR(VLOOKUP(B1347,[2]מעובד!$D:$L,9,0),0)</f>
        <v>43</v>
      </c>
    </row>
    <row r="1348" spans="1:18" x14ac:dyDescent="0.2">
      <c r="A1348" s="947" t="s">
        <v>387</v>
      </c>
      <c r="B1348" s="947">
        <v>414094</v>
      </c>
      <c r="C1348" s="947" t="s">
        <v>2189</v>
      </c>
      <c r="D1348" s="947" t="s">
        <v>1591</v>
      </c>
      <c r="E1348" s="951">
        <v>215</v>
      </c>
      <c r="F1348" s="951">
        <v>191</v>
      </c>
      <c r="G1348" s="947" t="s">
        <v>159</v>
      </c>
      <c r="H1348" s="951">
        <v>90</v>
      </c>
      <c r="I1348" s="951">
        <v>11</v>
      </c>
      <c r="J1348" s="947" t="s">
        <v>387</v>
      </c>
      <c r="K1348" s="947">
        <v>414094</v>
      </c>
      <c r="M1348" s="631"/>
      <c r="P1348" s="950" t="str">
        <f>VLOOKUP(J1348,'רשימת רשויות'!A:A,1,0)</f>
        <v>רחובות</v>
      </c>
      <c r="Q1348" s="956">
        <f>IFERROR(VLOOKUP(B1348,[2]מעובד!$D:$K,8,0),0)</f>
        <v>218</v>
      </c>
      <c r="R1348" s="956">
        <f>IFERROR(VLOOKUP(B1348,[2]מעובד!$D:$L,9,0),0)</f>
        <v>40</v>
      </c>
    </row>
    <row r="1349" spans="1:18" x14ac:dyDescent="0.2">
      <c r="A1349" s="947" t="s">
        <v>385</v>
      </c>
      <c r="B1349" s="947">
        <v>414128</v>
      </c>
      <c r="C1349" s="947" t="s">
        <v>2189</v>
      </c>
      <c r="D1349" s="947" t="s">
        <v>1592</v>
      </c>
      <c r="E1349" s="951">
        <v>119</v>
      </c>
      <c r="F1349" s="951">
        <v>71</v>
      </c>
      <c r="G1349" s="947" t="s">
        <v>3252</v>
      </c>
      <c r="H1349" s="951">
        <v>0</v>
      </c>
      <c r="I1349" s="951">
        <v>0</v>
      </c>
      <c r="J1349" s="947" t="s">
        <v>385</v>
      </c>
      <c r="K1349" s="947">
        <v>414128</v>
      </c>
      <c r="M1349" s="631"/>
      <c r="P1349" s="950" t="str">
        <f>VLOOKUP(J1349,'רשימת רשויות'!A:A,1,0)</f>
        <v>ראשון לציון</v>
      </c>
      <c r="Q1349" s="956">
        <f>IFERROR(VLOOKUP(B1349,[2]מעובד!$D:$K,8,0),0)</f>
        <v>0</v>
      </c>
      <c r="R1349" s="956">
        <f>IFERROR(VLOOKUP(B1349,[2]מעובד!$D:$L,9,0),0)</f>
        <v>42</v>
      </c>
    </row>
    <row r="1350" spans="1:18" x14ac:dyDescent="0.2">
      <c r="A1350" s="947" t="s">
        <v>274</v>
      </c>
      <c r="B1350" s="947">
        <v>414144</v>
      </c>
      <c r="C1350" s="947" t="s">
        <v>2189</v>
      </c>
      <c r="D1350" s="947" t="s">
        <v>1593</v>
      </c>
      <c r="E1350" s="951">
        <v>165</v>
      </c>
      <c r="F1350" s="951">
        <v>101</v>
      </c>
      <c r="G1350" s="947" t="s">
        <v>159</v>
      </c>
      <c r="H1350" s="951">
        <v>0</v>
      </c>
      <c r="I1350" s="951">
        <v>0</v>
      </c>
      <c r="J1350" s="947" t="s">
        <v>274</v>
      </c>
      <c r="K1350" s="947">
        <v>414144</v>
      </c>
      <c r="M1350" s="631"/>
      <c r="P1350" s="950" t="str">
        <f>VLOOKUP(J1350,'רשימת רשויות'!A:A,1,0)</f>
        <v>כוכב יאיר</v>
      </c>
      <c r="Q1350" s="956">
        <f>IFERROR(VLOOKUP(B1350,[2]מעובד!$D:$K,8,0),0)</f>
        <v>0</v>
      </c>
      <c r="R1350" s="956">
        <f>IFERROR(VLOOKUP(B1350,[2]מעובד!$D:$L,9,0),0)</f>
        <v>0</v>
      </c>
    </row>
    <row r="1351" spans="1:18" x14ac:dyDescent="0.2">
      <c r="A1351" s="947" t="s">
        <v>385</v>
      </c>
      <c r="B1351" s="947">
        <v>414151</v>
      </c>
      <c r="C1351" s="947" t="s">
        <v>2189</v>
      </c>
      <c r="D1351" s="947" t="s">
        <v>539</v>
      </c>
      <c r="E1351" s="951">
        <v>120</v>
      </c>
      <c r="F1351" s="951">
        <v>56</v>
      </c>
      <c r="G1351" s="947" t="s">
        <v>159</v>
      </c>
      <c r="H1351" s="951">
        <v>0</v>
      </c>
      <c r="I1351" s="951">
        <v>0</v>
      </c>
      <c r="J1351" s="947" t="s">
        <v>385</v>
      </c>
      <c r="K1351" s="947">
        <v>414151</v>
      </c>
      <c r="M1351" s="631"/>
      <c r="P1351" s="950" t="str">
        <f>VLOOKUP(J1351,'רשימת רשויות'!A:A,1,0)</f>
        <v>ראשון לציון</v>
      </c>
      <c r="Q1351" s="956">
        <f>IFERROR(VLOOKUP(B1351,[2]מעובד!$D:$K,8,0),0)</f>
        <v>148</v>
      </c>
      <c r="R1351" s="956">
        <f>IFERROR(VLOOKUP(B1351,[2]מעובד!$D:$L,9,0),0)</f>
        <v>89</v>
      </c>
    </row>
    <row r="1352" spans="1:18" x14ac:dyDescent="0.2">
      <c r="A1352" s="947" t="s">
        <v>336</v>
      </c>
      <c r="B1352" s="947">
        <v>414177</v>
      </c>
      <c r="C1352" s="947" t="s">
        <v>2189</v>
      </c>
      <c r="D1352" s="947" t="s">
        <v>695</v>
      </c>
      <c r="E1352" s="951">
        <v>160</v>
      </c>
      <c r="F1352" s="951">
        <v>60</v>
      </c>
      <c r="G1352" s="947" t="s">
        <v>159</v>
      </c>
      <c r="H1352" s="951">
        <v>97</v>
      </c>
      <c r="I1352" s="951">
        <v>7</v>
      </c>
      <c r="J1352" s="947" t="s">
        <v>336</v>
      </c>
      <c r="K1352" s="957" t="s">
        <v>3307</v>
      </c>
      <c r="M1352" s="631"/>
      <c r="P1352" s="950" t="str">
        <f>VLOOKUP(J1352,'רשימת רשויות'!A:A,1,0)</f>
        <v>נתניה</v>
      </c>
      <c r="Q1352" s="956">
        <f>IFERROR(VLOOKUP(B1352,[2]מעובד!$D:$K,8,0),0)</f>
        <v>0</v>
      </c>
      <c r="R1352" s="956">
        <f>IFERROR(VLOOKUP(B1352,[2]מעובד!$D:$L,9,0),0)</f>
        <v>0</v>
      </c>
    </row>
    <row r="1353" spans="1:18" x14ac:dyDescent="0.2">
      <c r="A1353" s="947" t="s">
        <v>387</v>
      </c>
      <c r="B1353" s="947">
        <v>414185</v>
      </c>
      <c r="C1353" s="947" t="s">
        <v>2189</v>
      </c>
      <c r="D1353" s="947" t="s">
        <v>2222</v>
      </c>
      <c r="E1353" s="951">
        <v>162</v>
      </c>
      <c r="F1353" s="951">
        <v>162</v>
      </c>
      <c r="G1353" s="947" t="s">
        <v>159</v>
      </c>
      <c r="H1353" s="951">
        <v>0</v>
      </c>
      <c r="I1353" s="951">
        <v>0</v>
      </c>
      <c r="J1353" s="947" t="s">
        <v>387</v>
      </c>
      <c r="K1353" s="947">
        <v>414185</v>
      </c>
      <c r="M1353" s="631"/>
      <c r="P1353" s="950" t="str">
        <f>VLOOKUP(J1353,'רשימת רשויות'!A:A,1,0)</f>
        <v>רחובות</v>
      </c>
      <c r="Q1353" s="956">
        <f>IFERROR(VLOOKUP(B1353,[2]מעובד!$D:$K,8,0),0)</f>
        <v>172</v>
      </c>
      <c r="R1353" s="956">
        <f>IFERROR(VLOOKUP(B1353,[2]מעובד!$D:$L,9,0),0)</f>
        <v>60</v>
      </c>
    </row>
    <row r="1354" spans="1:18" x14ac:dyDescent="0.2">
      <c r="A1354" s="947" t="s">
        <v>402</v>
      </c>
      <c r="B1354" s="947">
        <v>414193</v>
      </c>
      <c r="C1354" s="947" t="s">
        <v>2189</v>
      </c>
      <c r="D1354" s="947" t="s">
        <v>2092</v>
      </c>
      <c r="E1354" s="951">
        <v>121</v>
      </c>
      <c r="F1354" s="951">
        <v>71</v>
      </c>
      <c r="G1354" s="947" t="s">
        <v>159</v>
      </c>
      <c r="H1354" s="951">
        <v>41</v>
      </c>
      <c r="I1354" s="951">
        <v>5</v>
      </c>
      <c r="J1354" s="947" t="s">
        <v>402</v>
      </c>
      <c r="K1354" s="947">
        <v>414193</v>
      </c>
      <c r="M1354" s="631"/>
      <c r="P1354" s="950" t="str">
        <f>VLOOKUP(J1354,'רשימת רשויות'!A:A,1,0)</f>
        <v>שומרון</v>
      </c>
      <c r="Q1354" s="956">
        <f>IFERROR(VLOOKUP(B1354,[2]מעובד!$D:$K,8,0),0)</f>
        <v>0</v>
      </c>
      <c r="R1354" s="956">
        <f>IFERROR(VLOOKUP(B1354,[2]מעובד!$D:$L,9,0),0)</f>
        <v>0</v>
      </c>
    </row>
    <row r="1355" spans="1:18" x14ac:dyDescent="0.2">
      <c r="A1355" s="947" t="s">
        <v>336</v>
      </c>
      <c r="B1355" s="947">
        <v>414201</v>
      </c>
      <c r="C1355" s="947" t="s">
        <v>2189</v>
      </c>
      <c r="D1355" s="947" t="s">
        <v>447</v>
      </c>
      <c r="E1355" s="951">
        <v>158</v>
      </c>
      <c r="F1355" s="951">
        <v>85</v>
      </c>
      <c r="G1355" s="947" t="s">
        <v>159</v>
      </c>
      <c r="H1355" s="951">
        <v>43</v>
      </c>
      <c r="I1355" s="951">
        <v>6</v>
      </c>
      <c r="J1355" s="947" t="s">
        <v>336</v>
      </c>
      <c r="K1355" s="947">
        <v>414201</v>
      </c>
      <c r="M1355" s="631"/>
      <c r="P1355" s="950" t="str">
        <f>VLOOKUP(J1355,'רשימת רשויות'!A:A,1,0)</f>
        <v>נתניה</v>
      </c>
      <c r="Q1355" s="956">
        <f>IFERROR(VLOOKUP(B1355,[2]מעובד!$D:$K,8,0),0)</f>
        <v>188</v>
      </c>
      <c r="R1355" s="956">
        <f>IFERROR(VLOOKUP(B1355,[2]מעובד!$D:$L,9,0),0)</f>
        <v>55</v>
      </c>
    </row>
    <row r="1356" spans="1:18" x14ac:dyDescent="0.2">
      <c r="A1356" s="947" t="s">
        <v>293</v>
      </c>
      <c r="B1356" s="947">
        <v>414219</v>
      </c>
      <c r="C1356" s="947" t="s">
        <v>2189</v>
      </c>
      <c r="D1356" s="947" t="s">
        <v>2065</v>
      </c>
      <c r="E1356" s="951">
        <v>319</v>
      </c>
      <c r="F1356" s="951">
        <v>303</v>
      </c>
      <c r="G1356" s="947" t="s">
        <v>159</v>
      </c>
      <c r="H1356" s="951">
        <v>95</v>
      </c>
      <c r="I1356" s="951">
        <v>8</v>
      </c>
      <c r="J1356" s="947" t="s">
        <v>293</v>
      </c>
      <c r="K1356" s="947">
        <v>414219</v>
      </c>
      <c r="M1356" s="631"/>
      <c r="P1356" s="950" t="str">
        <f>VLOOKUP(J1356,'רשימת רשויות'!A:A,1,0)</f>
        <v>לוד</v>
      </c>
      <c r="Q1356" s="956">
        <f>IFERROR(VLOOKUP(B1356,[2]מעובד!$D:$K,8,0),0)</f>
        <v>271</v>
      </c>
      <c r="R1356" s="956">
        <f>IFERROR(VLOOKUP(B1356,[2]מעובד!$D:$L,9,0),0)</f>
        <v>271</v>
      </c>
    </row>
    <row r="1357" spans="1:18" x14ac:dyDescent="0.2">
      <c r="A1357" s="947" t="s">
        <v>262</v>
      </c>
      <c r="B1357" s="947">
        <v>414227</v>
      </c>
      <c r="C1357" s="947" t="s">
        <v>2189</v>
      </c>
      <c r="D1357" s="947" t="s">
        <v>1632</v>
      </c>
      <c r="E1357" s="951">
        <v>174</v>
      </c>
      <c r="F1357" s="951">
        <v>112</v>
      </c>
      <c r="G1357" s="947" t="s">
        <v>159</v>
      </c>
      <c r="H1357" s="951">
        <v>122</v>
      </c>
      <c r="I1357" s="951">
        <v>20</v>
      </c>
      <c r="J1357" s="947" t="s">
        <v>262</v>
      </c>
      <c r="K1357" s="947">
        <v>414227</v>
      </c>
      <c r="M1357" s="631"/>
      <c r="P1357" s="950" t="str">
        <f>VLOOKUP(J1357,'רשימת רשויות'!A:A,1,0)</f>
        <v>יבנה</v>
      </c>
      <c r="Q1357" s="956">
        <f>IFERROR(VLOOKUP(B1357,[2]מעובד!$D:$K,8,0),0)</f>
        <v>169</v>
      </c>
      <c r="R1357" s="956">
        <f>IFERROR(VLOOKUP(B1357,[2]מעובד!$D:$L,9,0),0)</f>
        <v>67</v>
      </c>
    </row>
    <row r="1358" spans="1:18" x14ac:dyDescent="0.2">
      <c r="A1358" s="947" t="s">
        <v>284</v>
      </c>
      <c r="B1358" s="947">
        <v>414235</v>
      </c>
      <c r="C1358" s="947" t="s">
        <v>2189</v>
      </c>
      <c r="D1358" s="947" t="s">
        <v>899</v>
      </c>
      <c r="E1358" s="951">
        <v>191</v>
      </c>
      <c r="F1358" s="951">
        <v>129</v>
      </c>
      <c r="G1358" s="947" t="s">
        <v>159</v>
      </c>
      <c r="H1358" s="951">
        <v>0</v>
      </c>
      <c r="I1358" s="951">
        <v>0</v>
      </c>
      <c r="J1358" s="947" t="s">
        <v>284</v>
      </c>
      <c r="K1358" s="947">
        <v>414235</v>
      </c>
      <c r="M1358" s="631"/>
      <c r="P1358" s="950" t="str">
        <f>VLOOKUP(J1358,'רשימת רשויות'!A:A,1,0)</f>
        <v>כפר סבא</v>
      </c>
      <c r="Q1358" s="956">
        <f>IFERROR(VLOOKUP(B1358,[2]מעובד!$D:$K,8,0),0)</f>
        <v>0</v>
      </c>
      <c r="R1358" s="956">
        <f>IFERROR(VLOOKUP(B1358,[2]מעובד!$D:$L,9,0),0)</f>
        <v>0</v>
      </c>
    </row>
    <row r="1359" spans="1:18" x14ac:dyDescent="0.2">
      <c r="A1359" s="947" t="s">
        <v>387</v>
      </c>
      <c r="B1359" s="947">
        <v>414243</v>
      </c>
      <c r="C1359" s="947" t="s">
        <v>2189</v>
      </c>
      <c r="D1359" s="947" t="s">
        <v>452</v>
      </c>
      <c r="E1359" s="951">
        <v>121</v>
      </c>
      <c r="F1359" s="951">
        <v>72</v>
      </c>
      <c r="G1359" s="947" t="s">
        <v>159</v>
      </c>
      <c r="H1359" s="951">
        <v>96</v>
      </c>
      <c r="I1359" s="951">
        <v>6</v>
      </c>
      <c r="J1359" s="947" t="s">
        <v>387</v>
      </c>
      <c r="K1359" s="947">
        <v>414243</v>
      </c>
      <c r="M1359" s="631"/>
      <c r="P1359" s="950" t="str">
        <f>VLOOKUP(J1359,'רשימת רשויות'!A:A,1,0)</f>
        <v>רחובות</v>
      </c>
      <c r="Q1359" s="956">
        <f>IFERROR(VLOOKUP(B1359,[2]מעובד!$D:$K,8,0),0)</f>
        <v>0</v>
      </c>
      <c r="R1359" s="956">
        <f>IFERROR(VLOOKUP(B1359,[2]מעובד!$D:$L,9,0),0)</f>
        <v>0</v>
      </c>
    </row>
    <row r="1360" spans="1:18" x14ac:dyDescent="0.2">
      <c r="A1360" s="947" t="s">
        <v>387</v>
      </c>
      <c r="B1360" s="947">
        <v>414250</v>
      </c>
      <c r="C1360" s="947" t="s">
        <v>2189</v>
      </c>
      <c r="D1360" s="947" t="s">
        <v>1633</v>
      </c>
      <c r="E1360" s="951">
        <v>289</v>
      </c>
      <c r="F1360" s="951">
        <v>194</v>
      </c>
      <c r="G1360" s="947" t="s">
        <v>159</v>
      </c>
      <c r="H1360" s="951">
        <v>94</v>
      </c>
      <c r="I1360" s="951">
        <v>0</v>
      </c>
      <c r="J1360" s="947" t="s">
        <v>387</v>
      </c>
      <c r="K1360" s="947">
        <v>414250</v>
      </c>
      <c r="M1360" s="631"/>
      <c r="P1360" s="950" t="str">
        <f>VLOOKUP(J1360,'רשימת רשויות'!A:A,1,0)</f>
        <v>רחובות</v>
      </c>
      <c r="Q1360" s="956">
        <f>IFERROR(VLOOKUP(B1360,[2]מעובד!$D:$K,8,0),0)</f>
        <v>336</v>
      </c>
      <c r="R1360" s="956">
        <f>IFERROR(VLOOKUP(B1360,[2]מעובד!$D:$L,9,0),0)</f>
        <v>140</v>
      </c>
    </row>
    <row r="1361" spans="1:18" x14ac:dyDescent="0.2">
      <c r="A1361" s="947" t="s">
        <v>395</v>
      </c>
      <c r="B1361" s="947">
        <v>414268</v>
      </c>
      <c r="C1361" s="947" t="s">
        <v>2189</v>
      </c>
      <c r="D1361" s="947" t="s">
        <v>1590</v>
      </c>
      <c r="E1361" s="951">
        <v>303</v>
      </c>
      <c r="F1361" s="951">
        <v>291</v>
      </c>
      <c r="G1361" s="947" t="s">
        <v>159</v>
      </c>
      <c r="H1361" s="951">
        <v>0</v>
      </c>
      <c r="I1361" s="951">
        <v>0</v>
      </c>
      <c r="J1361" s="947" t="s">
        <v>395</v>
      </c>
      <c r="K1361" s="947">
        <v>414268</v>
      </c>
      <c r="M1361" s="631"/>
      <c r="P1361" s="950" t="str">
        <f>VLOOKUP(J1361,'רשימת רשויות'!A:A,1,0)</f>
        <v>רעננה</v>
      </c>
      <c r="Q1361" s="956">
        <f>IFERROR(VLOOKUP(B1361,[2]מעובד!$D:$K,8,0),0)</f>
        <v>346</v>
      </c>
      <c r="R1361" s="956">
        <f>IFERROR(VLOOKUP(B1361,[2]מעובד!$D:$L,9,0),0)</f>
        <v>191</v>
      </c>
    </row>
    <row r="1362" spans="1:18" x14ac:dyDescent="0.2">
      <c r="A1362" s="947" t="s">
        <v>293</v>
      </c>
      <c r="B1362" s="947">
        <v>414276</v>
      </c>
      <c r="C1362" s="947" t="s">
        <v>2189</v>
      </c>
      <c r="D1362" s="947" t="s">
        <v>1466</v>
      </c>
      <c r="E1362" s="951">
        <v>208</v>
      </c>
      <c r="F1362" s="951">
        <v>176</v>
      </c>
      <c r="G1362" s="947" t="s">
        <v>159</v>
      </c>
      <c r="H1362" s="951">
        <v>0</v>
      </c>
      <c r="I1362" s="951">
        <v>0</v>
      </c>
      <c r="J1362" s="947" t="s">
        <v>293</v>
      </c>
      <c r="K1362" s="947">
        <v>414276</v>
      </c>
      <c r="M1362" s="631"/>
      <c r="P1362" s="950" t="str">
        <f>VLOOKUP(J1362,'רשימת רשויות'!A:A,1,0)</f>
        <v>לוד</v>
      </c>
      <c r="Q1362" s="956">
        <f>IFERROR(VLOOKUP(B1362,[2]מעובד!$D:$K,8,0),0)</f>
        <v>196</v>
      </c>
      <c r="R1362" s="956">
        <f>IFERROR(VLOOKUP(B1362,[2]מעובד!$D:$L,9,0),0)</f>
        <v>67</v>
      </c>
    </row>
    <row r="1363" spans="1:18" x14ac:dyDescent="0.2">
      <c r="A1363" s="947" t="s">
        <v>350</v>
      </c>
      <c r="B1363" s="947">
        <v>414284</v>
      </c>
      <c r="C1363" s="947" t="s">
        <v>2189</v>
      </c>
      <c r="D1363" s="947" t="s">
        <v>1634</v>
      </c>
      <c r="E1363" s="951">
        <v>167</v>
      </c>
      <c r="F1363" s="951">
        <v>101</v>
      </c>
      <c r="G1363" s="947" t="s">
        <v>159</v>
      </c>
      <c r="H1363" s="951">
        <v>51</v>
      </c>
      <c r="I1363" s="951">
        <v>0</v>
      </c>
      <c r="J1363" s="947" t="s">
        <v>350</v>
      </c>
      <c r="K1363" s="947">
        <v>414284</v>
      </c>
      <c r="M1363" s="631"/>
      <c r="P1363" s="950" t="str">
        <f>VLOOKUP(J1363,'רשימת רשויות'!A:A,1,0)</f>
        <v>עמק חפר</v>
      </c>
      <c r="Q1363" s="956">
        <f>IFERROR(VLOOKUP(B1363,[2]מעובד!$D:$K,8,0),0)</f>
        <v>210</v>
      </c>
      <c r="R1363" s="956">
        <f>IFERROR(VLOOKUP(B1363,[2]מעובד!$D:$L,9,0),0)</f>
        <v>82</v>
      </c>
    </row>
    <row r="1364" spans="1:18" x14ac:dyDescent="0.2">
      <c r="A1364" s="947" t="s">
        <v>180</v>
      </c>
      <c r="B1364" s="947">
        <v>414292</v>
      </c>
      <c r="C1364" s="947" t="s">
        <v>2189</v>
      </c>
      <c r="D1364" s="947" t="s">
        <v>1645</v>
      </c>
      <c r="E1364" s="951">
        <v>114</v>
      </c>
      <c r="F1364" s="951">
        <v>87</v>
      </c>
      <c r="G1364" s="947" t="s">
        <v>3252</v>
      </c>
      <c r="H1364" s="951">
        <v>0</v>
      </c>
      <c r="I1364" s="951">
        <v>0</v>
      </c>
      <c r="J1364" s="947" t="s">
        <v>180</v>
      </c>
      <c r="K1364" s="947">
        <v>414292</v>
      </c>
      <c r="M1364" s="631"/>
      <c r="P1364" s="950" t="str">
        <f>VLOOKUP(J1364,'רשימת רשויות'!A:A,1,0)</f>
        <v>אריאל</v>
      </c>
      <c r="Q1364" s="956">
        <f>IFERROR(VLOOKUP(B1364,[2]מעובד!$D:$K,8,0),0)</f>
        <v>0</v>
      </c>
      <c r="R1364" s="956">
        <f>IFERROR(VLOOKUP(B1364,[2]מעובד!$D:$L,9,0),0)</f>
        <v>0</v>
      </c>
    </row>
    <row r="1365" spans="1:18" x14ac:dyDescent="0.2">
      <c r="A1365" s="947" t="s">
        <v>387</v>
      </c>
      <c r="B1365" s="947">
        <v>414300</v>
      </c>
      <c r="C1365" s="947" t="s">
        <v>2189</v>
      </c>
      <c r="D1365" s="947" t="s">
        <v>1646</v>
      </c>
      <c r="E1365" s="951">
        <v>142</v>
      </c>
      <c r="F1365" s="951">
        <v>141</v>
      </c>
      <c r="G1365" s="947" t="s">
        <v>3252</v>
      </c>
      <c r="H1365" s="951">
        <v>0</v>
      </c>
      <c r="I1365" s="951">
        <v>0</v>
      </c>
      <c r="J1365" s="947" t="s">
        <v>387</v>
      </c>
      <c r="K1365" s="947">
        <v>414300</v>
      </c>
      <c r="M1365" s="631"/>
      <c r="P1365" s="950" t="str">
        <f>VLOOKUP(J1365,'רשימת רשויות'!A:A,1,0)</f>
        <v>רחובות</v>
      </c>
      <c r="Q1365" s="956">
        <f>IFERROR(VLOOKUP(B1365,[2]מעובד!$D:$K,8,0),0)</f>
        <v>0</v>
      </c>
      <c r="R1365" s="956">
        <f>IFERROR(VLOOKUP(B1365,[2]מעובד!$D:$L,9,0),0)</f>
        <v>0</v>
      </c>
    </row>
    <row r="1366" spans="1:18" x14ac:dyDescent="0.2">
      <c r="A1366" s="947" t="s">
        <v>176</v>
      </c>
      <c r="B1366" s="947">
        <v>414318</v>
      </c>
      <c r="C1366" s="947" t="s">
        <v>2189</v>
      </c>
      <c r="D1366" s="947" t="s">
        <v>1647</v>
      </c>
      <c r="E1366" s="951">
        <v>192</v>
      </c>
      <c r="F1366" s="951">
        <v>103</v>
      </c>
      <c r="G1366" s="947" t="s">
        <v>159</v>
      </c>
      <c r="H1366" s="951">
        <v>80</v>
      </c>
      <c r="I1366" s="951">
        <v>1</v>
      </c>
      <c r="J1366" s="947" t="s">
        <v>176</v>
      </c>
      <c r="K1366" s="947">
        <v>414318</v>
      </c>
      <c r="M1366" s="631"/>
      <c r="P1366" s="950" t="str">
        <f>VLOOKUP(J1366,'רשימת רשויות'!A:A,1,0)</f>
        <v>אלפי מנשה</v>
      </c>
      <c r="Q1366" s="956">
        <f>IFERROR(VLOOKUP(B1366,[2]מעובד!$D:$K,8,0),0)</f>
        <v>0</v>
      </c>
      <c r="R1366" s="956">
        <f>IFERROR(VLOOKUP(B1366,[2]מעובד!$D:$L,9,0),0)</f>
        <v>0</v>
      </c>
    </row>
    <row r="1367" spans="1:18" x14ac:dyDescent="0.2">
      <c r="A1367" s="947" t="s">
        <v>332</v>
      </c>
      <c r="B1367" s="947">
        <v>414334</v>
      </c>
      <c r="C1367" s="947" t="s">
        <v>2189</v>
      </c>
      <c r="D1367" s="947" t="s">
        <v>557</v>
      </c>
      <c r="E1367" s="951">
        <v>208</v>
      </c>
      <c r="F1367" s="951">
        <v>119</v>
      </c>
      <c r="G1367" s="947" t="s">
        <v>159</v>
      </c>
      <c r="H1367" s="951">
        <v>152</v>
      </c>
      <c r="I1367" s="951">
        <v>9</v>
      </c>
      <c r="J1367" s="947" t="s">
        <v>332</v>
      </c>
      <c r="K1367" s="957" t="s">
        <v>3308</v>
      </c>
      <c r="M1367" s="631"/>
      <c r="P1367" s="950" t="str">
        <f>VLOOKUP(J1367,'רשימת רשויות'!A:A,1,0)</f>
        <v>נס ציונה</v>
      </c>
      <c r="Q1367" s="956">
        <f>IFERROR(VLOOKUP(B1367,[2]מעובד!$D:$K,8,0),0)</f>
        <v>229</v>
      </c>
      <c r="R1367" s="956">
        <f>IFERROR(VLOOKUP(B1367,[2]מעובד!$D:$L,9,0),0)</f>
        <v>51</v>
      </c>
    </row>
    <row r="1368" spans="1:18" x14ac:dyDescent="0.2">
      <c r="A1368" s="947" t="s">
        <v>385</v>
      </c>
      <c r="B1368" s="947">
        <v>414359</v>
      </c>
      <c r="C1368" s="947" t="s">
        <v>2189</v>
      </c>
      <c r="D1368" s="947" t="s">
        <v>651</v>
      </c>
      <c r="E1368" s="951">
        <v>172</v>
      </c>
      <c r="F1368" s="951">
        <v>151</v>
      </c>
      <c r="G1368" s="947" t="s">
        <v>159</v>
      </c>
      <c r="H1368" s="951">
        <v>61</v>
      </c>
      <c r="I1368" s="951">
        <v>3</v>
      </c>
      <c r="J1368" s="947" t="s">
        <v>385</v>
      </c>
      <c r="K1368" s="947">
        <v>414359</v>
      </c>
      <c r="M1368" s="631"/>
      <c r="P1368" s="950" t="str">
        <f>VLOOKUP(J1368,'רשימת רשויות'!A:A,1,0)</f>
        <v>ראשון לציון</v>
      </c>
      <c r="Q1368" s="956">
        <f>IFERROR(VLOOKUP(B1368,[2]מעובד!$D:$K,8,0),0)</f>
        <v>170</v>
      </c>
      <c r="R1368" s="956">
        <f>IFERROR(VLOOKUP(B1368,[2]מעובד!$D:$L,9,0),0)</f>
        <v>43</v>
      </c>
    </row>
    <row r="1369" spans="1:18" x14ac:dyDescent="0.2">
      <c r="A1369" s="947" t="s">
        <v>347</v>
      </c>
      <c r="B1369" s="947">
        <v>414383</v>
      </c>
      <c r="C1369" s="947" t="s">
        <v>2189</v>
      </c>
      <c r="D1369" s="947" t="s">
        <v>2421</v>
      </c>
      <c r="E1369" s="951">
        <v>85</v>
      </c>
      <c r="F1369" s="951">
        <v>85</v>
      </c>
      <c r="G1369" s="947" t="s">
        <v>3252</v>
      </c>
      <c r="H1369" s="951">
        <v>0</v>
      </c>
      <c r="I1369" s="951">
        <v>0</v>
      </c>
      <c r="J1369" s="947" t="s">
        <v>347</v>
      </c>
      <c r="K1369" s="947">
        <v>414383</v>
      </c>
      <c r="M1369" s="631"/>
      <c r="P1369" s="950" t="str">
        <f>VLOOKUP(J1369,'רשימת רשויות'!A:A,1,0)</f>
        <v>עמנואל</v>
      </c>
      <c r="Q1369" s="956">
        <f>IFERROR(VLOOKUP(B1369,[2]מעובד!$D:$K,8,0),0)</f>
        <v>0</v>
      </c>
      <c r="R1369" s="956">
        <f>IFERROR(VLOOKUP(B1369,[2]מעובד!$D:$L,9,0),0)</f>
        <v>0</v>
      </c>
    </row>
    <row r="1370" spans="1:18" x14ac:dyDescent="0.2">
      <c r="A1370" s="947" t="s">
        <v>347</v>
      </c>
      <c r="B1370" s="947">
        <v>414391</v>
      </c>
      <c r="C1370" s="947" t="s">
        <v>2189</v>
      </c>
      <c r="D1370" s="947" t="s">
        <v>1475</v>
      </c>
      <c r="E1370" s="951">
        <v>52</v>
      </c>
      <c r="F1370" s="951">
        <v>51</v>
      </c>
      <c r="G1370" s="947" t="s">
        <v>3252</v>
      </c>
      <c r="H1370" s="951">
        <v>0</v>
      </c>
      <c r="I1370" s="951">
        <v>0</v>
      </c>
      <c r="J1370" s="947" t="s">
        <v>347</v>
      </c>
      <c r="K1370" s="947">
        <v>414391</v>
      </c>
      <c r="M1370" s="631"/>
      <c r="P1370" s="950" t="str">
        <f>VLOOKUP(J1370,'רשימת רשויות'!A:A,1,0)</f>
        <v>עמנואל</v>
      </c>
      <c r="Q1370" s="956">
        <f>IFERROR(VLOOKUP(B1370,[2]מעובד!$D:$K,8,0),0)</f>
        <v>51</v>
      </c>
      <c r="R1370" s="956">
        <f>IFERROR(VLOOKUP(B1370,[2]מעובד!$D:$L,9,0),0)</f>
        <v>51</v>
      </c>
    </row>
    <row r="1371" spans="1:18" x14ac:dyDescent="0.2">
      <c r="A1371" s="947" t="s">
        <v>167</v>
      </c>
      <c r="B1371" s="947">
        <v>414409</v>
      </c>
      <c r="C1371" s="947" t="s">
        <v>2189</v>
      </c>
      <c r="D1371" s="947" t="s">
        <v>3035</v>
      </c>
      <c r="E1371" s="951">
        <v>287</v>
      </c>
      <c r="F1371" s="951">
        <v>221</v>
      </c>
      <c r="G1371" s="947" t="s">
        <v>159</v>
      </c>
      <c r="H1371" s="951">
        <v>86</v>
      </c>
      <c r="I1371" s="951">
        <v>0</v>
      </c>
      <c r="J1371" s="947" t="s">
        <v>167</v>
      </c>
      <c r="K1371" s="947">
        <v>414409</v>
      </c>
      <c r="M1371" s="631"/>
      <c r="P1371" s="950" t="str">
        <f>VLOOKUP(J1371,'רשימת רשויות'!A:A,1,0)</f>
        <v>אורנית</v>
      </c>
      <c r="Q1371" s="956">
        <f>IFERROR(VLOOKUP(B1371,[2]מעובד!$D:$K,8,0),0)</f>
        <v>377</v>
      </c>
      <c r="R1371" s="956">
        <f>IFERROR(VLOOKUP(B1371,[2]מעובד!$D:$L,9,0),0)</f>
        <v>162</v>
      </c>
    </row>
    <row r="1372" spans="1:18" x14ac:dyDescent="0.2">
      <c r="A1372" s="947" t="s">
        <v>180</v>
      </c>
      <c r="B1372" s="947">
        <v>414417</v>
      </c>
      <c r="C1372" s="947" t="s">
        <v>2189</v>
      </c>
      <c r="D1372" s="947" t="s">
        <v>1488</v>
      </c>
      <c r="E1372" s="951">
        <v>163</v>
      </c>
      <c r="F1372" s="951">
        <v>103</v>
      </c>
      <c r="G1372" s="947" t="s">
        <v>159</v>
      </c>
      <c r="H1372" s="951">
        <v>66</v>
      </c>
      <c r="I1372" s="951">
        <v>5</v>
      </c>
      <c r="J1372" s="947" t="s">
        <v>180</v>
      </c>
      <c r="K1372" s="947">
        <v>414417</v>
      </c>
      <c r="M1372" s="631"/>
      <c r="P1372" s="950" t="str">
        <f>VLOOKUP(J1372,'רשימת רשויות'!A:A,1,0)</f>
        <v>אריאל</v>
      </c>
      <c r="Q1372" s="956">
        <f>IFERROR(VLOOKUP(B1372,[2]מעובד!$D:$K,8,0),0)</f>
        <v>148</v>
      </c>
      <c r="R1372" s="956">
        <f>IFERROR(VLOOKUP(B1372,[2]מעובד!$D:$L,9,0),0)</f>
        <v>64</v>
      </c>
    </row>
    <row r="1373" spans="1:18" x14ac:dyDescent="0.2">
      <c r="A1373" s="947" t="s">
        <v>336</v>
      </c>
      <c r="B1373" s="947">
        <v>414425</v>
      </c>
      <c r="C1373" s="947" t="s">
        <v>2189</v>
      </c>
      <c r="D1373" s="947" t="s">
        <v>436</v>
      </c>
      <c r="E1373" s="951">
        <v>334</v>
      </c>
      <c r="F1373" s="951">
        <v>185</v>
      </c>
      <c r="G1373" s="947" t="s">
        <v>159</v>
      </c>
      <c r="H1373" s="951">
        <v>106</v>
      </c>
      <c r="I1373" s="951">
        <v>6</v>
      </c>
      <c r="J1373" s="947" t="s">
        <v>336</v>
      </c>
      <c r="K1373" s="947">
        <v>414425</v>
      </c>
      <c r="M1373" s="631"/>
      <c r="P1373" s="950" t="str">
        <f>VLOOKUP(J1373,'רשימת רשויות'!A:A,1,0)</f>
        <v>נתניה</v>
      </c>
      <c r="Q1373" s="956">
        <f>IFERROR(VLOOKUP(B1373,[2]מעובד!$D:$K,8,0),0)</f>
        <v>389</v>
      </c>
      <c r="R1373" s="956">
        <f>IFERROR(VLOOKUP(B1373,[2]מעובד!$D:$L,9,0),0)</f>
        <v>151</v>
      </c>
    </row>
    <row r="1374" spans="1:18" x14ac:dyDescent="0.2">
      <c r="A1374" s="947" t="s">
        <v>363</v>
      </c>
      <c r="B1374" s="947">
        <v>414433</v>
      </c>
      <c r="C1374" s="947" t="s">
        <v>2189</v>
      </c>
      <c r="D1374" s="947" t="s">
        <v>675</v>
      </c>
      <c r="E1374" s="951">
        <v>256</v>
      </c>
      <c r="F1374" s="951">
        <v>244</v>
      </c>
      <c r="G1374" s="947" t="s">
        <v>159</v>
      </c>
      <c r="H1374" s="951">
        <v>86</v>
      </c>
      <c r="I1374" s="951">
        <v>12</v>
      </c>
      <c r="J1374" s="947" t="s">
        <v>363</v>
      </c>
      <c r="K1374" s="947">
        <v>414433</v>
      </c>
      <c r="M1374" s="631"/>
      <c r="P1374" s="950" t="str">
        <f>VLOOKUP(J1374,'רשימת רשויות'!A:A,1,0)</f>
        <v>פתח תקוה</v>
      </c>
      <c r="Q1374" s="956">
        <f>IFERROR(VLOOKUP(B1374,[2]מעובד!$D:$K,8,0),0)</f>
        <v>242</v>
      </c>
      <c r="R1374" s="956">
        <f>IFERROR(VLOOKUP(B1374,[2]מעובד!$D:$L,9,0),0)</f>
        <v>226</v>
      </c>
    </row>
    <row r="1375" spans="1:18" x14ac:dyDescent="0.2">
      <c r="A1375" s="947" t="s">
        <v>385</v>
      </c>
      <c r="B1375" s="947">
        <v>414441</v>
      </c>
      <c r="C1375" s="947" t="s">
        <v>2189</v>
      </c>
      <c r="D1375" s="947" t="s">
        <v>895</v>
      </c>
      <c r="E1375" s="951">
        <v>142</v>
      </c>
      <c r="F1375" s="951">
        <v>122</v>
      </c>
      <c r="G1375" s="947" t="s">
        <v>159</v>
      </c>
      <c r="H1375" s="951">
        <v>0</v>
      </c>
      <c r="I1375" s="951">
        <v>0</v>
      </c>
      <c r="J1375" s="947" t="s">
        <v>385</v>
      </c>
      <c r="K1375" s="947">
        <v>414441</v>
      </c>
      <c r="M1375" s="631"/>
      <c r="P1375" s="950" t="str">
        <f>VLOOKUP(J1375,'רשימת רשויות'!A:A,1,0)</f>
        <v>ראשון לציון</v>
      </c>
      <c r="Q1375" s="956">
        <f>IFERROR(VLOOKUP(B1375,[2]מעובד!$D:$K,8,0),0)</f>
        <v>133</v>
      </c>
      <c r="R1375" s="956">
        <f>IFERROR(VLOOKUP(B1375,[2]מעובד!$D:$L,9,0),0)</f>
        <v>57</v>
      </c>
    </row>
    <row r="1376" spans="1:18" x14ac:dyDescent="0.2">
      <c r="A1376" s="947" t="s">
        <v>336</v>
      </c>
      <c r="B1376" s="947">
        <v>414466</v>
      </c>
      <c r="C1376" s="947" t="s">
        <v>2189</v>
      </c>
      <c r="D1376" s="947" t="s">
        <v>676</v>
      </c>
      <c r="E1376" s="951">
        <v>173</v>
      </c>
      <c r="F1376" s="951">
        <v>165</v>
      </c>
      <c r="G1376" s="947" t="s">
        <v>159</v>
      </c>
      <c r="H1376" s="951">
        <v>57</v>
      </c>
      <c r="I1376" s="951">
        <v>8</v>
      </c>
      <c r="J1376" s="947" t="s">
        <v>336</v>
      </c>
      <c r="K1376" s="947">
        <v>414466</v>
      </c>
      <c r="M1376" s="631"/>
      <c r="P1376" s="950" t="str">
        <f>VLOOKUP(J1376,'רשימת רשויות'!A:A,1,0)</f>
        <v>נתניה</v>
      </c>
      <c r="Q1376" s="956">
        <f>IFERROR(VLOOKUP(B1376,[2]מעובד!$D:$K,8,0),0)</f>
        <v>130</v>
      </c>
      <c r="R1376" s="956">
        <f>IFERROR(VLOOKUP(B1376,[2]מעובד!$D:$L,9,0),0)</f>
        <v>100</v>
      </c>
    </row>
    <row r="1377" spans="1:18" x14ac:dyDescent="0.2">
      <c r="A1377" s="947" t="s">
        <v>274</v>
      </c>
      <c r="B1377" s="947">
        <v>414474</v>
      </c>
      <c r="C1377" s="947" t="s">
        <v>2189</v>
      </c>
      <c r="D1377" s="947" t="s">
        <v>1489</v>
      </c>
      <c r="E1377" s="951">
        <v>129</v>
      </c>
      <c r="F1377" s="951">
        <v>91</v>
      </c>
      <c r="G1377" s="947" t="s">
        <v>159</v>
      </c>
      <c r="H1377" s="951">
        <v>0</v>
      </c>
      <c r="I1377" s="951">
        <v>0</v>
      </c>
      <c r="J1377" s="947" t="s">
        <v>274</v>
      </c>
      <c r="K1377" s="957" t="s">
        <v>3309</v>
      </c>
      <c r="M1377" s="631"/>
      <c r="P1377" s="950" t="str">
        <f>VLOOKUP(J1377,'רשימת רשויות'!A:A,1,0)</f>
        <v>כוכב יאיר</v>
      </c>
      <c r="Q1377" s="956">
        <f>IFERROR(VLOOKUP(B1377,[2]מעובד!$D:$K,8,0),0)</f>
        <v>131</v>
      </c>
      <c r="R1377" s="956">
        <f>IFERROR(VLOOKUP(B1377,[2]מעובד!$D:$L,9,0),0)</f>
        <v>50</v>
      </c>
    </row>
    <row r="1378" spans="1:18" x14ac:dyDescent="0.2">
      <c r="A1378" s="947" t="s">
        <v>336</v>
      </c>
      <c r="B1378" s="947">
        <v>414482</v>
      </c>
      <c r="C1378" s="947" t="s">
        <v>2189</v>
      </c>
      <c r="D1378" s="947" t="s">
        <v>429</v>
      </c>
      <c r="E1378" s="951">
        <v>158</v>
      </c>
      <c r="F1378" s="951">
        <v>97</v>
      </c>
      <c r="G1378" s="947" t="s">
        <v>159</v>
      </c>
      <c r="H1378" s="951">
        <v>55</v>
      </c>
      <c r="I1378" s="951">
        <v>11</v>
      </c>
      <c r="J1378" s="947" t="s">
        <v>336</v>
      </c>
      <c r="K1378" s="947">
        <v>414482</v>
      </c>
      <c r="M1378" s="631"/>
      <c r="P1378" s="950" t="str">
        <f>VLOOKUP(J1378,'רשימת רשויות'!A:A,1,0)</f>
        <v>נתניה</v>
      </c>
      <c r="Q1378" s="956">
        <f>IFERROR(VLOOKUP(B1378,[2]מעובד!$D:$K,8,0),0)</f>
        <v>154</v>
      </c>
      <c r="R1378" s="956">
        <f>IFERROR(VLOOKUP(B1378,[2]מעובד!$D:$L,9,0),0)</f>
        <v>69</v>
      </c>
    </row>
    <row r="1379" spans="1:18" x14ac:dyDescent="0.2">
      <c r="A1379" s="947" t="s">
        <v>284</v>
      </c>
      <c r="B1379" s="947">
        <v>414490</v>
      </c>
      <c r="C1379" s="947" t="s">
        <v>2189</v>
      </c>
      <c r="D1379" s="947" t="s">
        <v>1167</v>
      </c>
      <c r="E1379" s="951">
        <v>148</v>
      </c>
      <c r="F1379" s="951">
        <v>92</v>
      </c>
      <c r="G1379" s="947" t="s">
        <v>159</v>
      </c>
      <c r="H1379" s="951">
        <v>55</v>
      </c>
      <c r="I1379" s="951">
        <v>7</v>
      </c>
      <c r="J1379" s="947" t="s">
        <v>284</v>
      </c>
      <c r="K1379" s="947">
        <v>414490</v>
      </c>
      <c r="M1379" s="631"/>
      <c r="P1379" s="950" t="str">
        <f>VLOOKUP(J1379,'רשימת רשויות'!A:A,1,0)</f>
        <v>כפר סבא</v>
      </c>
      <c r="Q1379" s="956">
        <f>IFERROR(VLOOKUP(B1379,[2]מעובד!$D:$K,8,0),0)</f>
        <v>129</v>
      </c>
      <c r="R1379" s="956">
        <f>IFERROR(VLOOKUP(B1379,[2]מעובד!$D:$L,9,0),0)</f>
        <v>116</v>
      </c>
    </row>
    <row r="1380" spans="1:18" x14ac:dyDescent="0.2">
      <c r="A1380" s="947" t="s">
        <v>274</v>
      </c>
      <c r="B1380" s="947">
        <v>414508</v>
      </c>
      <c r="C1380" s="947" t="s">
        <v>2189</v>
      </c>
      <c r="D1380" s="947" t="s">
        <v>642</v>
      </c>
      <c r="E1380" s="951">
        <v>179</v>
      </c>
      <c r="F1380" s="951">
        <v>67</v>
      </c>
      <c r="G1380" s="947" t="s">
        <v>159</v>
      </c>
      <c r="H1380" s="951">
        <v>0</v>
      </c>
      <c r="I1380" s="951">
        <v>0</v>
      </c>
      <c r="J1380" s="947" t="s">
        <v>274</v>
      </c>
      <c r="K1380" s="947">
        <v>414508</v>
      </c>
      <c r="M1380" s="631"/>
      <c r="P1380" s="950" t="str">
        <f>VLOOKUP(J1380,'רשימת רשויות'!A:A,1,0)</f>
        <v>כוכב יאיר</v>
      </c>
      <c r="Q1380" s="956">
        <f>IFERROR(VLOOKUP(B1380,[2]מעובד!$D:$K,8,0),0)</f>
        <v>0</v>
      </c>
      <c r="R1380" s="956">
        <f>IFERROR(VLOOKUP(B1380,[2]מעובד!$D:$L,9,0),0)</f>
        <v>0</v>
      </c>
    </row>
    <row r="1381" spans="1:18" x14ac:dyDescent="0.2">
      <c r="A1381" s="947" t="s">
        <v>381</v>
      </c>
      <c r="B1381" s="947">
        <v>414540</v>
      </c>
      <c r="C1381" s="947" t="s">
        <v>2189</v>
      </c>
      <c r="D1381" s="947" t="s">
        <v>1175</v>
      </c>
      <c r="E1381" s="951">
        <v>65</v>
      </c>
      <c r="F1381" s="951">
        <v>53</v>
      </c>
      <c r="G1381" s="947" t="s">
        <v>159</v>
      </c>
      <c r="H1381" s="951">
        <v>0</v>
      </c>
      <c r="I1381" s="951">
        <v>0</v>
      </c>
      <c r="J1381" s="947" t="s">
        <v>381</v>
      </c>
      <c r="K1381" s="947">
        <v>414540</v>
      </c>
      <c r="M1381" s="631"/>
      <c r="P1381" s="950" t="str">
        <f>VLOOKUP(J1381,'רשימת רשויות'!A:A,1,0)</f>
        <v>קרני שומרון</v>
      </c>
      <c r="Q1381" s="956">
        <f>IFERROR(VLOOKUP(B1381,[2]מעובד!$D:$K,8,0),0)</f>
        <v>70</v>
      </c>
      <c r="R1381" s="956">
        <f>IFERROR(VLOOKUP(B1381,[2]מעובד!$D:$L,9,0),0)</f>
        <v>70</v>
      </c>
    </row>
    <row r="1382" spans="1:18" x14ac:dyDescent="0.2">
      <c r="A1382" s="947" t="s">
        <v>180</v>
      </c>
      <c r="B1382" s="947">
        <v>414557</v>
      </c>
      <c r="C1382" s="947" t="s">
        <v>2189</v>
      </c>
      <c r="D1382" s="947" t="s">
        <v>1176</v>
      </c>
      <c r="E1382" s="951">
        <v>249</v>
      </c>
      <c r="F1382" s="951">
        <v>219</v>
      </c>
      <c r="G1382" s="947" t="s">
        <v>159</v>
      </c>
      <c r="H1382" s="951">
        <v>186</v>
      </c>
      <c r="I1382" s="951">
        <v>6</v>
      </c>
      <c r="J1382" s="947" t="s">
        <v>180</v>
      </c>
      <c r="K1382" s="947">
        <v>414557</v>
      </c>
      <c r="M1382" s="631"/>
      <c r="P1382" s="950" t="str">
        <f>VLOOKUP(J1382,'רשימת רשויות'!A:A,1,0)</f>
        <v>אריאל</v>
      </c>
      <c r="Q1382" s="956">
        <f>IFERROR(VLOOKUP(B1382,[2]מעובד!$D:$K,8,0),0)</f>
        <v>275</v>
      </c>
      <c r="R1382" s="956">
        <f>IFERROR(VLOOKUP(B1382,[2]מעובד!$D:$L,9,0),0)</f>
        <v>103</v>
      </c>
    </row>
    <row r="1383" spans="1:18" x14ac:dyDescent="0.2">
      <c r="A1383" s="947" t="s">
        <v>2777</v>
      </c>
      <c r="B1383" s="947">
        <v>414565</v>
      </c>
      <c r="C1383" s="947" t="s">
        <v>2189</v>
      </c>
      <c r="D1383" s="947" t="s">
        <v>1177</v>
      </c>
      <c r="E1383" s="951">
        <v>171</v>
      </c>
      <c r="F1383" s="951">
        <v>137</v>
      </c>
      <c r="G1383" s="947" t="s">
        <v>159</v>
      </c>
      <c r="H1383" s="951">
        <v>0</v>
      </c>
      <c r="I1383" s="951">
        <v>0</v>
      </c>
      <c r="J1383" s="947" t="s">
        <v>2777</v>
      </c>
      <c r="K1383" s="947">
        <v>414565</v>
      </c>
      <c r="M1383" s="631"/>
      <c r="P1383" s="950" t="str">
        <f>VLOOKUP(J1383,'רשימת רשויות'!A:A,1,0)</f>
        <v>גני תקווה</v>
      </c>
      <c r="Q1383" s="956">
        <f>IFERROR(VLOOKUP(B1383,[2]מעובד!$D:$K,8,0),0)</f>
        <v>172</v>
      </c>
      <c r="R1383" s="956">
        <f>IFERROR(VLOOKUP(B1383,[2]מעובד!$D:$L,9,0),0)</f>
        <v>78</v>
      </c>
    </row>
    <row r="1384" spans="1:18" x14ac:dyDescent="0.2">
      <c r="A1384" s="947" t="s">
        <v>231</v>
      </c>
      <c r="B1384" s="947">
        <v>414573</v>
      </c>
      <c r="C1384" s="947" t="s">
        <v>2189</v>
      </c>
      <c r="D1384" s="947" t="s">
        <v>583</v>
      </c>
      <c r="E1384" s="951">
        <v>222</v>
      </c>
      <c r="F1384" s="951">
        <v>167</v>
      </c>
      <c r="G1384" s="947" t="s">
        <v>159</v>
      </c>
      <c r="H1384" s="951">
        <v>0</v>
      </c>
      <c r="I1384" s="951">
        <v>0</v>
      </c>
      <c r="J1384" s="947" t="s">
        <v>231</v>
      </c>
      <c r="K1384" s="957" t="s">
        <v>3310</v>
      </c>
      <c r="M1384" s="631"/>
      <c r="P1384" s="950" t="str">
        <f>VLOOKUP(J1384,'רשימת רשויות'!A:A,1,0)</f>
        <v>הוד השרון</v>
      </c>
      <c r="Q1384" s="956">
        <f>IFERROR(VLOOKUP(B1384,[2]מעובד!$D:$K,8,0),0)</f>
        <v>285</v>
      </c>
      <c r="R1384" s="956">
        <f>IFERROR(VLOOKUP(B1384,[2]מעובד!$D:$L,9,0),0)</f>
        <v>73</v>
      </c>
    </row>
    <row r="1385" spans="1:18" x14ac:dyDescent="0.2">
      <c r="A1385" s="947" t="s">
        <v>180</v>
      </c>
      <c r="B1385" s="947">
        <v>414581</v>
      </c>
      <c r="C1385" s="947" t="s">
        <v>2189</v>
      </c>
      <c r="D1385" s="947" t="s">
        <v>1181</v>
      </c>
      <c r="E1385" s="951">
        <v>169</v>
      </c>
      <c r="F1385" s="951">
        <v>113</v>
      </c>
      <c r="G1385" s="947" t="s">
        <v>159</v>
      </c>
      <c r="H1385" s="951">
        <v>120</v>
      </c>
      <c r="I1385" s="951">
        <v>2</v>
      </c>
      <c r="J1385" s="947" t="s">
        <v>180</v>
      </c>
      <c r="K1385" s="947">
        <v>414581</v>
      </c>
      <c r="M1385" s="631"/>
      <c r="P1385" s="950" t="str">
        <f>VLOOKUP(J1385,'רשימת רשויות'!A:A,1,0)</f>
        <v>אריאל</v>
      </c>
      <c r="Q1385" s="956">
        <f>IFERROR(VLOOKUP(B1385,[2]מעובד!$D:$K,8,0),0)</f>
        <v>172</v>
      </c>
      <c r="R1385" s="956">
        <f>IFERROR(VLOOKUP(B1385,[2]מעובד!$D:$L,9,0),0)</f>
        <v>65</v>
      </c>
    </row>
    <row r="1386" spans="1:18" x14ac:dyDescent="0.2">
      <c r="A1386" s="947" t="s">
        <v>387</v>
      </c>
      <c r="B1386" s="947">
        <v>414599</v>
      </c>
      <c r="C1386" s="947" t="s">
        <v>2189</v>
      </c>
      <c r="D1386" s="947" t="s">
        <v>1182</v>
      </c>
      <c r="E1386" s="951">
        <v>133</v>
      </c>
      <c r="F1386" s="951">
        <v>103</v>
      </c>
      <c r="G1386" s="947" t="s">
        <v>159</v>
      </c>
      <c r="H1386" s="951">
        <v>0</v>
      </c>
      <c r="I1386" s="951">
        <v>0</v>
      </c>
      <c r="J1386" s="947" t="s">
        <v>387</v>
      </c>
      <c r="K1386" s="947">
        <v>414599</v>
      </c>
      <c r="M1386" s="631"/>
      <c r="P1386" s="950" t="str">
        <f>VLOOKUP(J1386,'רשימת רשויות'!A:A,1,0)</f>
        <v>רחובות</v>
      </c>
      <c r="Q1386" s="956">
        <f>IFERROR(VLOOKUP(B1386,[2]מעובד!$D:$K,8,0),0)</f>
        <v>134</v>
      </c>
      <c r="R1386" s="956">
        <f>IFERROR(VLOOKUP(B1386,[2]מעובד!$D:$L,9,0),0)</f>
        <v>134</v>
      </c>
    </row>
    <row r="1387" spans="1:18" x14ac:dyDescent="0.2">
      <c r="A1387" s="947" t="s">
        <v>387</v>
      </c>
      <c r="B1387" s="947">
        <v>414615</v>
      </c>
      <c r="C1387" s="947" t="s">
        <v>2189</v>
      </c>
      <c r="D1387" s="947" t="s">
        <v>3036</v>
      </c>
      <c r="E1387" s="951">
        <v>71</v>
      </c>
      <c r="F1387" s="951">
        <v>0</v>
      </c>
      <c r="G1387" s="947" t="s">
        <v>3252</v>
      </c>
      <c r="H1387" s="951">
        <v>0</v>
      </c>
      <c r="I1387" s="951">
        <v>0</v>
      </c>
      <c r="J1387" s="947" t="s">
        <v>387</v>
      </c>
      <c r="K1387" s="947">
        <v>414615</v>
      </c>
      <c r="M1387" s="631"/>
      <c r="P1387" s="950" t="str">
        <f>VLOOKUP(J1387,'רשימת רשויות'!A:A,1,0)</f>
        <v>רחובות</v>
      </c>
      <c r="Q1387" s="956">
        <f>IFERROR(VLOOKUP(B1387,[2]מעובד!$D:$K,8,0),0)</f>
        <v>0</v>
      </c>
      <c r="R1387" s="956">
        <f>IFERROR(VLOOKUP(B1387,[2]מעובד!$D:$L,9,0),0)</f>
        <v>0</v>
      </c>
    </row>
    <row r="1388" spans="1:18" x14ac:dyDescent="0.2">
      <c r="A1388" s="947" t="s">
        <v>402</v>
      </c>
      <c r="B1388" s="947">
        <v>414623</v>
      </c>
      <c r="C1388" s="947" t="s">
        <v>2189</v>
      </c>
      <c r="D1388" s="947" t="s">
        <v>2079</v>
      </c>
      <c r="E1388" s="951">
        <v>401</v>
      </c>
      <c r="F1388" s="951">
        <v>353</v>
      </c>
      <c r="G1388" s="947" t="s">
        <v>159</v>
      </c>
      <c r="H1388" s="951">
        <v>304</v>
      </c>
      <c r="I1388" s="951">
        <v>16</v>
      </c>
      <c r="J1388" s="947" t="s">
        <v>402</v>
      </c>
      <c r="K1388" s="947">
        <v>414623</v>
      </c>
      <c r="M1388" s="631"/>
      <c r="P1388" s="950" t="str">
        <f>VLOOKUP(J1388,'רשימת רשויות'!A:A,1,0)</f>
        <v>שומרון</v>
      </c>
      <c r="Q1388" s="956">
        <f>IFERROR(VLOOKUP(B1388,[2]מעובד!$D:$K,8,0),0)</f>
        <v>290</v>
      </c>
      <c r="R1388" s="956">
        <f>IFERROR(VLOOKUP(B1388,[2]מעובד!$D:$L,9,0),0)</f>
        <v>109</v>
      </c>
    </row>
    <row r="1389" spans="1:18" x14ac:dyDescent="0.2">
      <c r="A1389" s="947" t="s">
        <v>305</v>
      </c>
      <c r="B1389" s="947">
        <v>414631</v>
      </c>
      <c r="C1389" s="947" t="s">
        <v>2189</v>
      </c>
      <c r="D1389" s="947" t="s">
        <v>1039</v>
      </c>
      <c r="E1389" s="951">
        <v>79</v>
      </c>
      <c r="F1389" s="951">
        <v>74</v>
      </c>
      <c r="G1389" s="947" t="s">
        <v>159</v>
      </c>
      <c r="H1389" s="951">
        <v>0</v>
      </c>
      <c r="I1389" s="951">
        <v>0</v>
      </c>
      <c r="J1389" s="947" t="s">
        <v>305</v>
      </c>
      <c r="K1389" s="947">
        <v>414631</v>
      </c>
      <c r="M1389" s="631"/>
      <c r="P1389" s="950" t="str">
        <f>VLOOKUP(J1389,'רשימת רשויות'!A:A,1,0)</f>
        <v>מודיעין מכבים רעות</v>
      </c>
      <c r="Q1389" s="956">
        <f>IFERROR(VLOOKUP(B1389,[2]מעובד!$D:$K,8,0),0)</f>
        <v>94</v>
      </c>
      <c r="R1389" s="956">
        <f>IFERROR(VLOOKUP(B1389,[2]מעובד!$D:$L,9,0),0)</f>
        <v>59</v>
      </c>
    </row>
    <row r="1390" spans="1:18" x14ac:dyDescent="0.2">
      <c r="A1390" s="947" t="s">
        <v>363</v>
      </c>
      <c r="B1390" s="947">
        <v>414664</v>
      </c>
      <c r="C1390" s="947" t="s">
        <v>2189</v>
      </c>
      <c r="D1390" s="947" t="s">
        <v>1183</v>
      </c>
      <c r="E1390" s="951">
        <v>151</v>
      </c>
      <c r="F1390" s="951">
        <v>138</v>
      </c>
      <c r="G1390" s="947" t="s">
        <v>3252</v>
      </c>
      <c r="H1390" s="951">
        <v>0</v>
      </c>
      <c r="I1390" s="951">
        <v>0</v>
      </c>
      <c r="J1390" s="947" t="s">
        <v>363</v>
      </c>
      <c r="K1390" s="947">
        <v>414664</v>
      </c>
      <c r="M1390" s="631"/>
      <c r="P1390" s="950" t="str">
        <f>VLOOKUP(J1390,'רשימת רשויות'!A:A,1,0)</f>
        <v>פתח תקוה</v>
      </c>
      <c r="Q1390" s="956">
        <f>IFERROR(VLOOKUP(B1390,[2]מעובד!$D:$K,8,0),0)</f>
        <v>144</v>
      </c>
      <c r="R1390" s="956">
        <f>IFERROR(VLOOKUP(B1390,[2]מעובד!$D:$L,9,0),0)</f>
        <v>90</v>
      </c>
    </row>
    <row r="1391" spans="1:18" x14ac:dyDescent="0.2">
      <c r="A1391" s="947" t="s">
        <v>385</v>
      </c>
      <c r="B1391" s="947">
        <v>414680</v>
      </c>
      <c r="C1391" s="947" t="s">
        <v>2189</v>
      </c>
      <c r="D1391" s="947" t="s">
        <v>1184</v>
      </c>
      <c r="E1391" s="951">
        <v>248</v>
      </c>
      <c r="F1391" s="951">
        <v>172</v>
      </c>
      <c r="G1391" s="947" t="s">
        <v>159</v>
      </c>
      <c r="H1391" s="951">
        <v>0</v>
      </c>
      <c r="I1391" s="951">
        <v>0</v>
      </c>
      <c r="J1391" s="947" t="s">
        <v>385</v>
      </c>
      <c r="K1391" s="947">
        <v>414680</v>
      </c>
      <c r="M1391" s="631"/>
      <c r="P1391" s="950" t="str">
        <f>VLOOKUP(J1391,'רשימת רשויות'!A:A,1,0)</f>
        <v>ראשון לציון</v>
      </c>
      <c r="Q1391" s="956">
        <f>IFERROR(VLOOKUP(B1391,[2]מעובד!$D:$K,8,0),0)</f>
        <v>211</v>
      </c>
      <c r="R1391" s="956">
        <f>IFERROR(VLOOKUP(B1391,[2]מעובד!$D:$L,9,0),0)</f>
        <v>72</v>
      </c>
    </row>
    <row r="1392" spans="1:18" x14ac:dyDescent="0.2">
      <c r="A1392" s="947" t="s">
        <v>347</v>
      </c>
      <c r="B1392" s="947">
        <v>414698</v>
      </c>
      <c r="C1392" s="947" t="s">
        <v>2189</v>
      </c>
      <c r="D1392" s="947" t="s">
        <v>1157</v>
      </c>
      <c r="E1392" s="951">
        <v>46</v>
      </c>
      <c r="F1392" s="951">
        <v>46</v>
      </c>
      <c r="G1392" s="947" t="s">
        <v>3252</v>
      </c>
      <c r="H1392" s="951">
        <v>0</v>
      </c>
      <c r="I1392" s="951">
        <v>0</v>
      </c>
      <c r="J1392" s="947" t="s">
        <v>347</v>
      </c>
      <c r="K1392" s="947">
        <v>414698</v>
      </c>
      <c r="M1392" s="631"/>
      <c r="P1392" s="950" t="str">
        <f>VLOOKUP(J1392,'רשימת רשויות'!A:A,1,0)</f>
        <v>עמנואל</v>
      </c>
      <c r="Q1392" s="956">
        <f>IFERROR(VLOOKUP(B1392,[2]מעובד!$D:$K,8,0),0)</f>
        <v>0</v>
      </c>
      <c r="R1392" s="956">
        <f>IFERROR(VLOOKUP(B1392,[2]מעובד!$D:$L,9,0),0)</f>
        <v>0</v>
      </c>
    </row>
    <row r="1393" spans="1:18" x14ac:dyDescent="0.2">
      <c r="A1393" s="947" t="s">
        <v>336</v>
      </c>
      <c r="B1393" s="947">
        <v>414730</v>
      </c>
      <c r="C1393" s="947" t="s">
        <v>2189</v>
      </c>
      <c r="D1393" s="947" t="s">
        <v>656</v>
      </c>
      <c r="E1393" s="951">
        <v>129</v>
      </c>
      <c r="F1393" s="951">
        <v>0</v>
      </c>
      <c r="G1393" s="947" t="s">
        <v>159</v>
      </c>
      <c r="H1393" s="951">
        <v>0</v>
      </c>
      <c r="I1393" s="951">
        <v>0</v>
      </c>
      <c r="J1393" s="947" t="s">
        <v>336</v>
      </c>
      <c r="K1393" s="947">
        <v>414730</v>
      </c>
      <c r="M1393" s="631"/>
      <c r="P1393" s="950" t="str">
        <f>VLOOKUP(J1393,'רשימת רשויות'!A:A,1,0)</f>
        <v>נתניה</v>
      </c>
      <c r="Q1393" s="956">
        <f>IFERROR(VLOOKUP(B1393,[2]מעובד!$D:$K,8,0),0)</f>
        <v>0</v>
      </c>
      <c r="R1393" s="956">
        <f>IFERROR(VLOOKUP(B1393,[2]מעובד!$D:$L,9,0),0)</f>
        <v>0</v>
      </c>
    </row>
    <row r="1394" spans="1:18" x14ac:dyDescent="0.2">
      <c r="A1394" s="947" t="s">
        <v>2777</v>
      </c>
      <c r="B1394" s="947">
        <v>414748</v>
      </c>
      <c r="C1394" s="947" t="s">
        <v>2189</v>
      </c>
      <c r="D1394" s="947" t="s">
        <v>3037</v>
      </c>
      <c r="E1394" s="951">
        <v>80</v>
      </c>
      <c r="F1394" s="951">
        <v>0</v>
      </c>
      <c r="G1394" s="947" t="s">
        <v>3252</v>
      </c>
      <c r="H1394" s="951">
        <v>0</v>
      </c>
      <c r="I1394" s="951">
        <v>0</v>
      </c>
      <c r="J1394" s="947" t="s">
        <v>2777</v>
      </c>
      <c r="K1394" s="947">
        <v>414748</v>
      </c>
      <c r="M1394" s="631"/>
      <c r="P1394" s="950" t="str">
        <f>VLOOKUP(J1394,'רשימת רשויות'!A:A,1,0)</f>
        <v>גני תקווה</v>
      </c>
      <c r="Q1394" s="956">
        <f>IFERROR(VLOOKUP(B1394,[2]מעובד!$D:$K,8,0),0)</f>
        <v>0</v>
      </c>
      <c r="R1394" s="956">
        <f>IFERROR(VLOOKUP(B1394,[2]מעובד!$D:$L,9,0),0)</f>
        <v>0</v>
      </c>
    </row>
    <row r="1395" spans="1:18" x14ac:dyDescent="0.2">
      <c r="A1395" s="947" t="s">
        <v>387</v>
      </c>
      <c r="B1395" s="947">
        <v>414755</v>
      </c>
      <c r="C1395" s="947" t="s">
        <v>2189</v>
      </c>
      <c r="D1395" s="947" t="s">
        <v>2694</v>
      </c>
      <c r="E1395" s="951">
        <v>74</v>
      </c>
      <c r="F1395" s="951">
        <v>71</v>
      </c>
      <c r="G1395" s="947" t="s">
        <v>3252</v>
      </c>
      <c r="H1395" s="951">
        <v>0</v>
      </c>
      <c r="I1395" s="951">
        <v>0</v>
      </c>
      <c r="J1395" s="947" t="s">
        <v>387</v>
      </c>
      <c r="K1395" s="947">
        <v>414755</v>
      </c>
      <c r="M1395" s="631"/>
      <c r="P1395" s="950" t="str">
        <f>VLOOKUP(J1395,'רשימת רשויות'!A:A,1,0)</f>
        <v>רחובות</v>
      </c>
      <c r="Q1395" s="956">
        <f>IFERROR(VLOOKUP(B1395,[2]מעובד!$D:$K,8,0),0)</f>
        <v>0</v>
      </c>
      <c r="R1395" s="956">
        <f>IFERROR(VLOOKUP(B1395,[2]מעובד!$D:$L,9,0),0)</f>
        <v>0</v>
      </c>
    </row>
    <row r="1396" spans="1:18" x14ac:dyDescent="0.2">
      <c r="A1396" s="947" t="s">
        <v>336</v>
      </c>
      <c r="B1396" s="947">
        <v>414763</v>
      </c>
      <c r="C1396" s="947" t="s">
        <v>2189</v>
      </c>
      <c r="D1396" s="947" t="s">
        <v>3038</v>
      </c>
      <c r="E1396" s="951">
        <v>141</v>
      </c>
      <c r="F1396" s="951">
        <v>0</v>
      </c>
      <c r="G1396" s="947" t="s">
        <v>3252</v>
      </c>
      <c r="H1396" s="951">
        <v>0</v>
      </c>
      <c r="I1396" s="951">
        <v>0</v>
      </c>
      <c r="J1396" s="947" t="s">
        <v>336</v>
      </c>
      <c r="K1396" s="947">
        <v>414763</v>
      </c>
      <c r="M1396" s="631"/>
      <c r="P1396" s="950" t="str">
        <f>VLOOKUP(J1396,'רשימת רשויות'!A:A,1,0)</f>
        <v>נתניה</v>
      </c>
      <c r="Q1396" s="956">
        <f>IFERROR(VLOOKUP(B1396,[2]מעובד!$D:$K,8,0),0)</f>
        <v>0</v>
      </c>
      <c r="R1396" s="956">
        <f>IFERROR(VLOOKUP(B1396,[2]מעובד!$D:$L,9,0),0)</f>
        <v>0</v>
      </c>
    </row>
    <row r="1397" spans="1:18" x14ac:dyDescent="0.2">
      <c r="A1397" s="947" t="s">
        <v>387</v>
      </c>
      <c r="B1397" s="947">
        <v>414789</v>
      </c>
      <c r="C1397" s="947" t="s">
        <v>2189</v>
      </c>
      <c r="D1397" s="947" t="s">
        <v>1162</v>
      </c>
      <c r="E1397" s="951">
        <v>120</v>
      </c>
      <c r="F1397" s="951">
        <v>58</v>
      </c>
      <c r="G1397" s="947" t="s">
        <v>3252</v>
      </c>
      <c r="H1397" s="951">
        <v>50</v>
      </c>
      <c r="I1397" s="951">
        <v>0</v>
      </c>
      <c r="J1397" s="947" t="s">
        <v>387</v>
      </c>
      <c r="K1397" s="947">
        <v>414789</v>
      </c>
      <c r="M1397" s="631"/>
      <c r="P1397" s="950" t="str">
        <f>VLOOKUP(J1397,'רשימת רשויות'!A:A,1,0)</f>
        <v>רחובות</v>
      </c>
      <c r="Q1397" s="956">
        <f>IFERROR(VLOOKUP(B1397,[2]מעובד!$D:$K,8,0),0)</f>
        <v>114</v>
      </c>
      <c r="R1397" s="956">
        <f>IFERROR(VLOOKUP(B1397,[2]מעובד!$D:$L,9,0),0)</f>
        <v>30</v>
      </c>
    </row>
    <row r="1398" spans="1:18" x14ac:dyDescent="0.2">
      <c r="A1398" s="947" t="s">
        <v>220</v>
      </c>
      <c r="B1398" s="947">
        <v>414797</v>
      </c>
      <c r="C1398" s="947" t="s">
        <v>2189</v>
      </c>
      <c r="D1398" s="947" t="s">
        <v>1163</v>
      </c>
      <c r="E1398" s="951">
        <v>257</v>
      </c>
      <c r="F1398" s="951">
        <v>81</v>
      </c>
      <c r="G1398" s="947" t="s">
        <v>159</v>
      </c>
      <c r="H1398" s="951">
        <v>89</v>
      </c>
      <c r="I1398" s="951">
        <v>8</v>
      </c>
      <c r="J1398" s="947" t="s">
        <v>220</v>
      </c>
      <c r="K1398" s="957" t="s">
        <v>3311</v>
      </c>
      <c r="M1398" s="631"/>
      <c r="P1398" s="950" t="str">
        <f>VLOOKUP(J1398,'רשימת רשויות'!A:A,1,0)</f>
        <v>גזר</v>
      </c>
      <c r="Q1398" s="956">
        <f>IFERROR(VLOOKUP(B1398,[2]מעובד!$D:$K,8,0),0)</f>
        <v>0</v>
      </c>
      <c r="R1398" s="956">
        <f>IFERROR(VLOOKUP(B1398,[2]מעובד!$D:$L,9,0),0)</f>
        <v>0</v>
      </c>
    </row>
    <row r="1399" spans="1:18" x14ac:dyDescent="0.2">
      <c r="A1399" s="947" t="s">
        <v>364</v>
      </c>
      <c r="B1399" s="947">
        <v>414805</v>
      </c>
      <c r="C1399" s="947" t="s">
        <v>2189</v>
      </c>
      <c r="D1399" s="947" t="s">
        <v>2422</v>
      </c>
      <c r="E1399" s="951">
        <v>248</v>
      </c>
      <c r="F1399" s="951">
        <v>161</v>
      </c>
      <c r="G1399" s="947" t="s">
        <v>159</v>
      </c>
      <c r="H1399" s="951">
        <v>0</v>
      </c>
      <c r="I1399" s="951">
        <v>0</v>
      </c>
      <c r="J1399" s="947" t="s">
        <v>364</v>
      </c>
      <c r="K1399" s="947">
        <v>414805</v>
      </c>
      <c r="M1399" s="631"/>
      <c r="P1399" s="950" t="str">
        <f>VLOOKUP(J1399,'רשימת רשויות'!A:A,1,0)</f>
        <v>צורן קדימה</v>
      </c>
      <c r="Q1399" s="956">
        <f>IFERROR(VLOOKUP(B1399,[2]מעובד!$D:$K,8,0),0)</f>
        <v>316</v>
      </c>
      <c r="R1399" s="956">
        <f>IFERROR(VLOOKUP(B1399,[2]מעובד!$D:$L,9,0),0)</f>
        <v>91</v>
      </c>
    </row>
    <row r="1400" spans="1:18" x14ac:dyDescent="0.2">
      <c r="A1400" s="947" t="s">
        <v>262</v>
      </c>
      <c r="B1400" s="947">
        <v>414813</v>
      </c>
      <c r="C1400" s="947" t="s">
        <v>2189</v>
      </c>
      <c r="D1400" s="947" t="s">
        <v>2180</v>
      </c>
      <c r="E1400" s="951">
        <v>149</v>
      </c>
      <c r="F1400" s="951">
        <v>110</v>
      </c>
      <c r="G1400" s="947" t="s">
        <v>159</v>
      </c>
      <c r="H1400" s="951">
        <v>0</v>
      </c>
      <c r="I1400" s="951">
        <v>0</v>
      </c>
      <c r="J1400" s="947" t="s">
        <v>262</v>
      </c>
      <c r="K1400" s="947">
        <v>414813</v>
      </c>
      <c r="M1400" s="631"/>
      <c r="P1400" s="950" t="str">
        <f>VLOOKUP(J1400,'רשימת רשויות'!A:A,1,0)</f>
        <v>יבנה</v>
      </c>
      <c r="Q1400" s="956">
        <f>IFERROR(VLOOKUP(B1400,[2]מעובד!$D:$K,8,0),0)</f>
        <v>0</v>
      </c>
      <c r="R1400" s="956">
        <f>IFERROR(VLOOKUP(B1400,[2]מעובד!$D:$L,9,0),0)</f>
        <v>0</v>
      </c>
    </row>
    <row r="1401" spans="1:18" x14ac:dyDescent="0.2">
      <c r="A1401" s="947" t="s">
        <v>336</v>
      </c>
      <c r="B1401" s="947">
        <v>414821</v>
      </c>
      <c r="C1401" s="947" t="s">
        <v>2189</v>
      </c>
      <c r="D1401" s="947" t="s">
        <v>1164</v>
      </c>
      <c r="E1401" s="951">
        <v>118</v>
      </c>
      <c r="F1401" s="951">
        <v>40</v>
      </c>
      <c r="G1401" s="947" t="s">
        <v>3252</v>
      </c>
      <c r="H1401" s="951">
        <v>81</v>
      </c>
      <c r="I1401" s="951">
        <v>16</v>
      </c>
      <c r="J1401" s="947" t="s">
        <v>336</v>
      </c>
      <c r="K1401" s="947">
        <v>414821</v>
      </c>
      <c r="M1401" s="631"/>
      <c r="P1401" s="950" t="str">
        <f>VLOOKUP(J1401,'רשימת רשויות'!A:A,1,0)</f>
        <v>נתניה</v>
      </c>
      <c r="Q1401" s="956">
        <f>IFERROR(VLOOKUP(B1401,[2]מעובד!$D:$K,8,0),0)</f>
        <v>0</v>
      </c>
      <c r="R1401" s="956">
        <f>IFERROR(VLOOKUP(B1401,[2]מעובד!$D:$L,9,0),0)</f>
        <v>0</v>
      </c>
    </row>
    <row r="1402" spans="1:18" x14ac:dyDescent="0.2">
      <c r="A1402" s="947" t="s">
        <v>381</v>
      </c>
      <c r="B1402" s="947">
        <v>414839</v>
      </c>
      <c r="C1402" s="947" t="s">
        <v>2189</v>
      </c>
      <c r="D1402" s="947" t="s">
        <v>1166</v>
      </c>
      <c r="E1402" s="951">
        <v>282</v>
      </c>
      <c r="F1402" s="951">
        <v>241</v>
      </c>
      <c r="G1402" s="947" t="s">
        <v>159</v>
      </c>
      <c r="H1402" s="951">
        <v>282</v>
      </c>
      <c r="I1402" s="951">
        <v>11</v>
      </c>
      <c r="J1402" s="947" t="s">
        <v>381</v>
      </c>
      <c r="K1402" s="947">
        <v>414839</v>
      </c>
      <c r="M1402" s="631"/>
      <c r="P1402" s="950" t="str">
        <f>VLOOKUP(J1402,'רשימת רשויות'!A:A,1,0)</f>
        <v>קרני שומרון</v>
      </c>
      <c r="Q1402" s="956">
        <f>IFERROR(VLOOKUP(B1402,[2]מעובד!$D:$K,8,0),0)</f>
        <v>0</v>
      </c>
      <c r="R1402" s="956">
        <f>IFERROR(VLOOKUP(B1402,[2]מעובד!$D:$L,9,0),0)</f>
        <v>0</v>
      </c>
    </row>
    <row r="1403" spans="1:18" x14ac:dyDescent="0.2">
      <c r="A1403" s="947" t="s">
        <v>390</v>
      </c>
      <c r="B1403" s="947">
        <v>414847</v>
      </c>
      <c r="C1403" s="947" t="s">
        <v>2189</v>
      </c>
      <c r="D1403" s="947" t="s">
        <v>496</v>
      </c>
      <c r="E1403" s="951">
        <v>174</v>
      </c>
      <c r="F1403" s="951">
        <v>102</v>
      </c>
      <c r="G1403" s="947" t="s">
        <v>159</v>
      </c>
      <c r="H1403" s="951">
        <v>0</v>
      </c>
      <c r="I1403" s="951">
        <v>0</v>
      </c>
      <c r="J1403" s="947" t="s">
        <v>390</v>
      </c>
      <c r="K1403" s="947">
        <v>414847</v>
      </c>
      <c r="M1403" s="631"/>
      <c r="P1403" s="950" t="str">
        <f>VLOOKUP(J1403,'רשימת רשויות'!A:A,1,0)</f>
        <v>רמלה</v>
      </c>
      <c r="Q1403" s="956">
        <f>IFERROR(VLOOKUP(B1403,[2]מעובד!$D:$K,8,0),0)</f>
        <v>188</v>
      </c>
      <c r="R1403" s="956">
        <f>IFERROR(VLOOKUP(B1403,[2]מעובד!$D:$L,9,0),0)</f>
        <v>80</v>
      </c>
    </row>
    <row r="1404" spans="1:18" x14ac:dyDescent="0.2">
      <c r="A1404" s="947" t="s">
        <v>284</v>
      </c>
      <c r="B1404" s="947">
        <v>414854</v>
      </c>
      <c r="C1404" s="947" t="s">
        <v>2189</v>
      </c>
      <c r="D1404" s="947" t="s">
        <v>1172</v>
      </c>
      <c r="E1404" s="951">
        <v>158</v>
      </c>
      <c r="F1404" s="951">
        <v>88</v>
      </c>
      <c r="G1404" s="947" t="s">
        <v>159</v>
      </c>
      <c r="H1404" s="951">
        <v>0</v>
      </c>
      <c r="I1404" s="951">
        <v>0</v>
      </c>
      <c r="J1404" s="947" t="s">
        <v>284</v>
      </c>
      <c r="K1404" s="947">
        <v>414854</v>
      </c>
      <c r="M1404" s="631"/>
      <c r="P1404" s="950" t="str">
        <f>VLOOKUP(J1404,'רשימת רשויות'!A:A,1,0)</f>
        <v>כפר סבא</v>
      </c>
      <c r="Q1404" s="956">
        <f>IFERROR(VLOOKUP(B1404,[2]מעובד!$D:$K,8,0),0)</f>
        <v>0</v>
      </c>
      <c r="R1404" s="956">
        <f>IFERROR(VLOOKUP(B1404,[2]מעובד!$D:$L,9,0),0)</f>
        <v>0</v>
      </c>
    </row>
    <row r="1405" spans="1:18" x14ac:dyDescent="0.2">
      <c r="A1405" s="947" t="s">
        <v>366</v>
      </c>
      <c r="B1405" s="947">
        <v>414862</v>
      </c>
      <c r="C1405" s="947" t="s">
        <v>2189</v>
      </c>
      <c r="D1405" s="947" t="s">
        <v>1174</v>
      </c>
      <c r="E1405" s="951">
        <v>135</v>
      </c>
      <c r="F1405" s="951">
        <v>121</v>
      </c>
      <c r="G1405" s="947" t="s">
        <v>159</v>
      </c>
      <c r="H1405" s="951">
        <v>0</v>
      </c>
      <c r="I1405" s="951">
        <v>0</v>
      </c>
      <c r="J1405" s="947" t="s">
        <v>366</v>
      </c>
      <c r="K1405" s="947">
        <v>414862</v>
      </c>
      <c r="M1405" s="631"/>
      <c r="P1405" s="950" t="str">
        <f>VLOOKUP(J1405,'רשימת רשויות'!A:A,1,0)</f>
        <v>קדומים</v>
      </c>
      <c r="Q1405" s="956">
        <f>IFERROR(VLOOKUP(B1405,[2]מעובד!$D:$K,8,0),0)</f>
        <v>136</v>
      </c>
      <c r="R1405" s="956">
        <f>IFERROR(VLOOKUP(B1405,[2]מעובד!$D:$L,9,0),0)</f>
        <v>95</v>
      </c>
    </row>
    <row r="1406" spans="1:18" x14ac:dyDescent="0.2">
      <c r="A1406" s="947" t="s">
        <v>336</v>
      </c>
      <c r="B1406" s="947">
        <v>414870</v>
      </c>
      <c r="C1406" s="947" t="s">
        <v>2189</v>
      </c>
      <c r="D1406" s="947" t="s">
        <v>430</v>
      </c>
      <c r="E1406" s="951">
        <v>261</v>
      </c>
      <c r="F1406" s="951">
        <v>205</v>
      </c>
      <c r="G1406" s="947" t="s">
        <v>159</v>
      </c>
      <c r="H1406" s="951">
        <v>0</v>
      </c>
      <c r="I1406" s="951">
        <v>0</v>
      </c>
      <c r="J1406" s="947" t="s">
        <v>336</v>
      </c>
      <c r="K1406" s="947">
        <v>414870</v>
      </c>
      <c r="M1406" s="631"/>
      <c r="P1406" s="950" t="str">
        <f>VLOOKUP(J1406,'רשימת רשויות'!A:A,1,0)</f>
        <v>נתניה</v>
      </c>
      <c r="Q1406" s="956">
        <f>IFERROR(VLOOKUP(B1406,[2]מעובד!$D:$K,8,0),0)</f>
        <v>0</v>
      </c>
      <c r="R1406" s="956">
        <f>IFERROR(VLOOKUP(B1406,[2]מעובד!$D:$L,9,0),0)</f>
        <v>0</v>
      </c>
    </row>
    <row r="1407" spans="1:18" x14ac:dyDescent="0.2">
      <c r="A1407" s="947" t="s">
        <v>336</v>
      </c>
      <c r="B1407" s="947">
        <v>414888</v>
      </c>
      <c r="C1407" s="947" t="s">
        <v>2189</v>
      </c>
      <c r="D1407" s="947" t="s">
        <v>428</v>
      </c>
      <c r="E1407" s="951">
        <v>225</v>
      </c>
      <c r="F1407" s="951">
        <v>165</v>
      </c>
      <c r="G1407" s="947" t="s">
        <v>159</v>
      </c>
      <c r="H1407" s="951">
        <v>87</v>
      </c>
      <c r="I1407" s="951">
        <v>6</v>
      </c>
      <c r="J1407" s="947" t="s">
        <v>336</v>
      </c>
      <c r="K1407" s="947">
        <v>414888</v>
      </c>
      <c r="M1407" s="631"/>
      <c r="P1407" s="950" t="str">
        <f>VLOOKUP(J1407,'רשימת רשויות'!A:A,1,0)</f>
        <v>נתניה</v>
      </c>
      <c r="Q1407" s="956">
        <f>IFERROR(VLOOKUP(B1407,[2]מעובד!$D:$K,8,0),0)</f>
        <v>253</v>
      </c>
      <c r="R1407" s="956">
        <f>IFERROR(VLOOKUP(B1407,[2]מעובד!$D:$L,9,0),0)</f>
        <v>41</v>
      </c>
    </row>
    <row r="1408" spans="1:18" x14ac:dyDescent="0.2">
      <c r="A1408" s="947" t="s">
        <v>383</v>
      </c>
      <c r="B1408" s="947">
        <v>414896</v>
      </c>
      <c r="C1408" s="947" t="s">
        <v>2189</v>
      </c>
      <c r="D1408" s="947" t="s">
        <v>1158</v>
      </c>
      <c r="E1408" s="951">
        <v>208</v>
      </c>
      <c r="F1408" s="951">
        <v>176</v>
      </c>
      <c r="G1408" s="947" t="s">
        <v>159</v>
      </c>
      <c r="H1408" s="951">
        <v>0</v>
      </c>
      <c r="I1408" s="951">
        <v>0</v>
      </c>
      <c r="J1408" s="947" t="s">
        <v>383</v>
      </c>
      <c r="K1408" s="947">
        <v>414896</v>
      </c>
      <c r="M1408" s="631"/>
      <c r="P1408" s="950" t="str">
        <f>VLOOKUP(J1408,'רשימת רשויות'!A:A,1,0)</f>
        <v>ראש העין</v>
      </c>
      <c r="Q1408" s="956">
        <f>IFERROR(VLOOKUP(B1408,[2]מעובד!$D:$K,8,0),0)</f>
        <v>0</v>
      </c>
      <c r="R1408" s="956">
        <f>IFERROR(VLOOKUP(B1408,[2]מעובד!$D:$L,9,0),0)</f>
        <v>0</v>
      </c>
    </row>
    <row r="1409" spans="1:18" x14ac:dyDescent="0.2">
      <c r="A1409" s="947" t="s">
        <v>383</v>
      </c>
      <c r="B1409" s="947">
        <v>414904</v>
      </c>
      <c r="C1409" s="947" t="s">
        <v>2189</v>
      </c>
      <c r="D1409" s="947" t="s">
        <v>1159</v>
      </c>
      <c r="E1409" s="951">
        <v>175</v>
      </c>
      <c r="F1409" s="951">
        <v>165</v>
      </c>
      <c r="G1409" s="947" t="s">
        <v>159</v>
      </c>
      <c r="H1409" s="951">
        <v>71</v>
      </c>
      <c r="I1409" s="951">
        <v>10</v>
      </c>
      <c r="J1409" s="947" t="s">
        <v>383</v>
      </c>
      <c r="K1409" s="947">
        <v>414904</v>
      </c>
      <c r="M1409" s="631"/>
      <c r="P1409" s="950" t="str">
        <f>VLOOKUP(J1409,'רשימת רשויות'!A:A,1,0)</f>
        <v>ראש העין</v>
      </c>
      <c r="Q1409" s="956">
        <f>IFERROR(VLOOKUP(B1409,[2]מעובד!$D:$K,8,0),0)</f>
        <v>138</v>
      </c>
      <c r="R1409" s="956">
        <f>IFERROR(VLOOKUP(B1409,[2]מעובד!$D:$L,9,0),0)</f>
        <v>72</v>
      </c>
    </row>
    <row r="1410" spans="1:18" x14ac:dyDescent="0.2">
      <c r="A1410" s="947" t="s">
        <v>401</v>
      </c>
      <c r="B1410" s="947">
        <v>414938</v>
      </c>
      <c r="C1410" s="947" t="s">
        <v>2189</v>
      </c>
      <c r="D1410" s="947" t="s">
        <v>1160</v>
      </c>
      <c r="E1410" s="951">
        <v>151</v>
      </c>
      <c r="F1410" s="951">
        <v>122</v>
      </c>
      <c r="G1410" s="947" t="s">
        <v>159</v>
      </c>
      <c r="H1410" s="951">
        <v>54</v>
      </c>
      <c r="I1410" s="951">
        <v>5</v>
      </c>
      <c r="J1410" s="947" t="s">
        <v>401</v>
      </c>
      <c r="K1410" s="957" t="s">
        <v>3312</v>
      </c>
      <c r="M1410" s="631"/>
      <c r="P1410" s="950" t="str">
        <f>VLOOKUP(J1410,'רשימת רשויות'!A:A,1,0)</f>
        <v>שוהם</v>
      </c>
      <c r="Q1410" s="956">
        <f>IFERROR(VLOOKUP(B1410,[2]מעובד!$D:$K,8,0),0)</f>
        <v>126</v>
      </c>
      <c r="R1410" s="956">
        <f>IFERROR(VLOOKUP(B1410,[2]מעובד!$D:$L,9,0),0)</f>
        <v>64</v>
      </c>
    </row>
    <row r="1411" spans="1:18" x14ac:dyDescent="0.2">
      <c r="A1411" s="947" t="s">
        <v>293</v>
      </c>
      <c r="B1411" s="947">
        <v>414946</v>
      </c>
      <c r="C1411" s="947" t="s">
        <v>2189</v>
      </c>
      <c r="D1411" s="947" t="s">
        <v>2223</v>
      </c>
      <c r="E1411" s="951">
        <v>97</v>
      </c>
      <c r="F1411" s="951">
        <v>77</v>
      </c>
      <c r="G1411" s="947" t="s">
        <v>3252</v>
      </c>
      <c r="H1411" s="951">
        <v>69</v>
      </c>
      <c r="I1411" s="951">
        <v>20</v>
      </c>
      <c r="J1411" s="947" t="s">
        <v>293</v>
      </c>
      <c r="K1411" s="947">
        <v>414946</v>
      </c>
      <c r="M1411" s="631"/>
      <c r="P1411" s="950" t="str">
        <f>VLOOKUP(J1411,'רשימת רשויות'!A:A,1,0)</f>
        <v>לוד</v>
      </c>
      <c r="Q1411" s="956">
        <f>IFERROR(VLOOKUP(B1411,[2]מעובד!$D:$K,8,0),0)</f>
        <v>0</v>
      </c>
      <c r="R1411" s="956">
        <f>IFERROR(VLOOKUP(B1411,[2]מעובד!$D:$L,9,0),0)</f>
        <v>0</v>
      </c>
    </row>
    <row r="1412" spans="1:18" x14ac:dyDescent="0.2">
      <c r="A1412" s="947" t="s">
        <v>199</v>
      </c>
      <c r="B1412" s="947">
        <v>414953</v>
      </c>
      <c r="C1412" s="947" t="s">
        <v>2189</v>
      </c>
      <c r="D1412" s="947" t="s">
        <v>1161</v>
      </c>
      <c r="E1412" s="951">
        <v>111</v>
      </c>
      <c r="F1412" s="951">
        <v>56</v>
      </c>
      <c r="G1412" s="947" t="s">
        <v>159</v>
      </c>
      <c r="H1412" s="951">
        <v>29</v>
      </c>
      <c r="I1412" s="951">
        <v>0</v>
      </c>
      <c r="J1412" s="947" t="s">
        <v>199</v>
      </c>
      <c r="K1412" s="947">
        <v>414953</v>
      </c>
      <c r="M1412" s="631"/>
      <c r="P1412" s="950" t="str">
        <f>VLOOKUP(J1412,'רשימת רשויות'!A:A,1,0)</f>
        <v>בני עי"ש</v>
      </c>
      <c r="Q1412" s="956">
        <f>IFERROR(VLOOKUP(B1412,[2]מעובד!$D:$K,8,0),0)</f>
        <v>111</v>
      </c>
      <c r="R1412" s="956">
        <f>IFERROR(VLOOKUP(B1412,[2]מעובד!$D:$L,9,0),0)</f>
        <v>75</v>
      </c>
    </row>
    <row r="1413" spans="1:18" x14ac:dyDescent="0.2">
      <c r="A1413" s="947" t="s">
        <v>402</v>
      </c>
      <c r="B1413" s="947">
        <v>414961</v>
      </c>
      <c r="C1413" s="947" t="s">
        <v>2189</v>
      </c>
      <c r="D1413" s="947" t="s">
        <v>2067</v>
      </c>
      <c r="E1413" s="951">
        <v>85</v>
      </c>
      <c r="F1413" s="951">
        <v>66</v>
      </c>
      <c r="G1413" s="947" t="s">
        <v>159</v>
      </c>
      <c r="H1413" s="951">
        <v>0</v>
      </c>
      <c r="I1413" s="951">
        <v>0</v>
      </c>
      <c r="J1413" s="947" t="s">
        <v>402</v>
      </c>
      <c r="K1413" s="947">
        <v>414961</v>
      </c>
      <c r="M1413" s="631"/>
      <c r="P1413" s="950" t="str">
        <f>VLOOKUP(J1413,'רשימת רשויות'!A:A,1,0)</f>
        <v>שומרון</v>
      </c>
      <c r="Q1413" s="956">
        <f>IFERROR(VLOOKUP(B1413,[2]מעובד!$D:$K,8,0),0)</f>
        <v>83</v>
      </c>
      <c r="R1413" s="956">
        <f>IFERROR(VLOOKUP(B1413,[2]מעובד!$D:$L,9,0),0)</f>
        <v>58</v>
      </c>
    </row>
    <row r="1414" spans="1:18" x14ac:dyDescent="0.2">
      <c r="A1414" s="947" t="s">
        <v>194</v>
      </c>
      <c r="B1414" s="947">
        <v>415042</v>
      </c>
      <c r="C1414" s="947" t="s">
        <v>2189</v>
      </c>
      <c r="D1414" s="947" t="s">
        <v>1178</v>
      </c>
      <c r="E1414" s="951">
        <v>199</v>
      </c>
      <c r="F1414" s="951">
        <v>132</v>
      </c>
      <c r="G1414" s="947" t="s">
        <v>159</v>
      </c>
      <c r="H1414" s="951">
        <v>0</v>
      </c>
      <c r="I1414" s="951">
        <v>0</v>
      </c>
      <c r="J1414" s="947" t="s">
        <v>194</v>
      </c>
      <c r="K1414" s="947">
        <v>415042</v>
      </c>
      <c r="M1414" s="631"/>
      <c r="P1414" s="950" t="str">
        <f>VLOOKUP(J1414,'רשימת רשויות'!A:A,1,0)</f>
        <v>בית דגן</v>
      </c>
      <c r="Q1414" s="956">
        <f>IFERROR(VLOOKUP(B1414,[2]מעובד!$D:$K,8,0),0)</f>
        <v>185</v>
      </c>
      <c r="R1414" s="956">
        <f>IFERROR(VLOOKUP(B1414,[2]מעובד!$D:$L,9,0),0)</f>
        <v>85</v>
      </c>
    </row>
    <row r="1415" spans="1:18" x14ac:dyDescent="0.2">
      <c r="A1415" s="947" t="s">
        <v>175</v>
      </c>
      <c r="B1415" s="947">
        <v>415059</v>
      </c>
      <c r="C1415" s="947" t="s">
        <v>2189</v>
      </c>
      <c r="D1415" s="947" t="s">
        <v>1179</v>
      </c>
      <c r="E1415" s="951">
        <v>124</v>
      </c>
      <c r="F1415" s="951">
        <v>108</v>
      </c>
      <c r="G1415" s="947" t="s">
        <v>3252</v>
      </c>
      <c r="H1415" s="951">
        <v>50</v>
      </c>
      <c r="I1415" s="951">
        <v>9</v>
      </c>
      <c r="J1415" s="947" t="s">
        <v>175</v>
      </c>
      <c r="K1415" s="947">
        <v>415059</v>
      </c>
      <c r="M1415" s="631"/>
      <c r="P1415" s="950" t="str">
        <f>VLOOKUP(J1415,'רשימת רשויות'!A:A,1,0)</f>
        <v>אלעד</v>
      </c>
      <c r="Q1415" s="956">
        <f>IFERROR(VLOOKUP(B1415,[2]מעובד!$D:$K,8,0),0)</f>
        <v>0</v>
      </c>
      <c r="R1415" s="956">
        <f>IFERROR(VLOOKUP(B1415,[2]מעובד!$D:$L,9,0),0)</f>
        <v>0</v>
      </c>
    </row>
    <row r="1416" spans="1:18" x14ac:dyDescent="0.2">
      <c r="A1416" s="947" t="s">
        <v>242</v>
      </c>
      <c r="B1416" s="947">
        <v>415075</v>
      </c>
      <c r="C1416" s="947" t="s">
        <v>2189</v>
      </c>
      <c r="D1416" s="947" t="s">
        <v>1180</v>
      </c>
      <c r="E1416" s="951">
        <v>137</v>
      </c>
      <c r="F1416" s="951">
        <v>137</v>
      </c>
      <c r="G1416" s="947" t="s">
        <v>159</v>
      </c>
      <c r="H1416" s="951">
        <v>0</v>
      </c>
      <c r="I1416" s="951">
        <v>0</v>
      </c>
      <c r="J1416" s="947" t="s">
        <v>242</v>
      </c>
      <c r="K1416" s="947">
        <v>415075</v>
      </c>
      <c r="M1416" s="631"/>
      <c r="P1416" s="950" t="str">
        <f>VLOOKUP(J1416,'רשימת רשויות'!A:A,1,0)</f>
        <v>חבל מודיעין</v>
      </c>
      <c r="Q1416" s="956">
        <f>IFERROR(VLOOKUP(B1416,[2]מעובד!$D:$K,8,0),0)</f>
        <v>224</v>
      </c>
      <c r="R1416" s="956">
        <f>IFERROR(VLOOKUP(B1416,[2]מעובד!$D:$L,9,0),0)</f>
        <v>83</v>
      </c>
    </row>
    <row r="1417" spans="1:18" x14ac:dyDescent="0.2">
      <c r="A1417" s="947" t="s">
        <v>364</v>
      </c>
      <c r="B1417" s="947">
        <v>415083</v>
      </c>
      <c r="C1417" s="947" t="s">
        <v>2189</v>
      </c>
      <c r="D1417" s="947" t="s">
        <v>2423</v>
      </c>
      <c r="E1417" s="951">
        <v>201</v>
      </c>
      <c r="F1417" s="951">
        <v>129</v>
      </c>
      <c r="G1417" s="947" t="s">
        <v>159</v>
      </c>
      <c r="H1417" s="951">
        <v>0</v>
      </c>
      <c r="I1417" s="951">
        <v>0</v>
      </c>
      <c r="J1417" s="947" t="s">
        <v>364</v>
      </c>
      <c r="K1417" s="947">
        <v>415083</v>
      </c>
      <c r="M1417" s="631"/>
      <c r="P1417" s="950" t="str">
        <f>VLOOKUP(J1417,'רשימת רשויות'!A:A,1,0)</f>
        <v>צורן קדימה</v>
      </c>
      <c r="Q1417" s="956">
        <f>IFERROR(VLOOKUP(B1417,[2]מעובד!$D:$K,8,0),0)</f>
        <v>269</v>
      </c>
      <c r="R1417" s="956">
        <f>IFERROR(VLOOKUP(B1417,[2]מעובד!$D:$L,9,0),0)</f>
        <v>52</v>
      </c>
    </row>
    <row r="1418" spans="1:18" x14ac:dyDescent="0.2">
      <c r="A1418" s="947" t="s">
        <v>363</v>
      </c>
      <c r="B1418" s="947">
        <v>415091</v>
      </c>
      <c r="C1418" s="947" t="s">
        <v>2189</v>
      </c>
      <c r="D1418" s="947" t="s">
        <v>1192</v>
      </c>
      <c r="E1418" s="951">
        <v>150</v>
      </c>
      <c r="F1418" s="951">
        <v>147</v>
      </c>
      <c r="G1418" s="947" t="s">
        <v>3252</v>
      </c>
      <c r="H1418" s="951">
        <v>0</v>
      </c>
      <c r="I1418" s="951">
        <v>0</v>
      </c>
      <c r="J1418" s="947" t="s">
        <v>363</v>
      </c>
      <c r="K1418" s="947">
        <v>415091</v>
      </c>
      <c r="M1418" s="631"/>
      <c r="P1418" s="950" t="str">
        <f>VLOOKUP(J1418,'רשימת רשויות'!A:A,1,0)</f>
        <v>פתח תקוה</v>
      </c>
      <c r="Q1418" s="956">
        <f>IFERROR(VLOOKUP(B1418,[2]מעובד!$D:$K,8,0),0)</f>
        <v>0</v>
      </c>
      <c r="R1418" s="956">
        <f>IFERROR(VLOOKUP(B1418,[2]מעובד!$D:$L,9,0),0)</f>
        <v>0</v>
      </c>
    </row>
    <row r="1419" spans="1:18" x14ac:dyDescent="0.2">
      <c r="A1419" s="947" t="s">
        <v>213</v>
      </c>
      <c r="B1419" s="947">
        <v>415117</v>
      </c>
      <c r="C1419" s="947" t="s">
        <v>2189</v>
      </c>
      <c r="D1419" s="947" t="s">
        <v>1193</v>
      </c>
      <c r="E1419" s="951">
        <v>362</v>
      </c>
      <c r="F1419" s="951">
        <v>335</v>
      </c>
      <c r="G1419" s="947" t="s">
        <v>159</v>
      </c>
      <c r="H1419" s="951">
        <v>138</v>
      </c>
      <c r="I1419" s="951">
        <v>12</v>
      </c>
      <c r="J1419" s="947" t="s">
        <v>213</v>
      </c>
      <c r="K1419" s="947">
        <v>415117</v>
      </c>
      <c r="M1419" s="631"/>
      <c r="P1419" s="950" t="str">
        <f>VLOOKUP(J1419,'רשימת רשויות'!A:A,1,0)</f>
        <v>גבעת שמואל</v>
      </c>
      <c r="Q1419" s="956">
        <f>IFERROR(VLOOKUP(B1419,[2]מעובד!$D:$K,8,0),0)</f>
        <v>384</v>
      </c>
      <c r="R1419" s="956">
        <f>IFERROR(VLOOKUP(B1419,[2]מעובד!$D:$L,9,0),0)</f>
        <v>91</v>
      </c>
    </row>
    <row r="1420" spans="1:18" x14ac:dyDescent="0.2">
      <c r="A1420" s="947" t="s">
        <v>383</v>
      </c>
      <c r="B1420" s="947">
        <v>415125</v>
      </c>
      <c r="C1420" s="947" t="s">
        <v>2189</v>
      </c>
      <c r="D1420" s="947" t="s">
        <v>1194</v>
      </c>
      <c r="E1420" s="951">
        <v>164</v>
      </c>
      <c r="F1420" s="951">
        <v>147</v>
      </c>
      <c r="G1420" s="947" t="s">
        <v>159</v>
      </c>
      <c r="H1420" s="951">
        <v>52</v>
      </c>
      <c r="I1420" s="951">
        <v>9</v>
      </c>
      <c r="J1420" s="947" t="s">
        <v>383</v>
      </c>
      <c r="K1420" s="947">
        <v>415125</v>
      </c>
      <c r="M1420" s="631"/>
      <c r="P1420" s="950" t="str">
        <f>VLOOKUP(J1420,'רשימת רשויות'!A:A,1,0)</f>
        <v>ראש העין</v>
      </c>
      <c r="Q1420" s="956">
        <f>IFERROR(VLOOKUP(B1420,[2]מעובד!$D:$K,8,0),0)</f>
        <v>181</v>
      </c>
      <c r="R1420" s="956">
        <f>IFERROR(VLOOKUP(B1420,[2]מעובד!$D:$L,9,0),0)</f>
        <v>77</v>
      </c>
    </row>
    <row r="1421" spans="1:18" x14ac:dyDescent="0.2">
      <c r="A1421" s="947" t="s">
        <v>383</v>
      </c>
      <c r="B1421" s="947">
        <v>415133</v>
      </c>
      <c r="C1421" s="947" t="s">
        <v>2189</v>
      </c>
      <c r="D1421" s="947" t="s">
        <v>1195</v>
      </c>
      <c r="E1421" s="951">
        <v>229</v>
      </c>
      <c r="F1421" s="951">
        <v>220</v>
      </c>
      <c r="G1421" s="947" t="s">
        <v>159</v>
      </c>
      <c r="H1421" s="951">
        <v>70</v>
      </c>
      <c r="I1421" s="951">
        <v>9</v>
      </c>
      <c r="J1421" s="947" t="s">
        <v>383</v>
      </c>
      <c r="K1421" s="947">
        <v>415133</v>
      </c>
      <c r="M1421" s="631"/>
      <c r="P1421" s="950" t="str">
        <f>VLOOKUP(J1421,'רשימת רשויות'!A:A,1,0)</f>
        <v>ראש העין</v>
      </c>
      <c r="Q1421" s="956">
        <f>IFERROR(VLOOKUP(B1421,[2]מעובד!$D:$K,8,0),0)</f>
        <v>135</v>
      </c>
      <c r="R1421" s="956">
        <f>IFERROR(VLOOKUP(B1421,[2]מעובד!$D:$L,9,0),0)</f>
        <v>60</v>
      </c>
    </row>
    <row r="1422" spans="1:18" x14ac:dyDescent="0.2">
      <c r="A1422" s="947" t="s">
        <v>395</v>
      </c>
      <c r="B1422" s="947">
        <v>415166</v>
      </c>
      <c r="C1422" s="947" t="s">
        <v>2189</v>
      </c>
      <c r="D1422" s="947" t="s">
        <v>1196</v>
      </c>
      <c r="E1422" s="951">
        <v>242</v>
      </c>
      <c r="F1422" s="951">
        <v>240</v>
      </c>
      <c r="G1422" s="947" t="s">
        <v>159</v>
      </c>
      <c r="H1422" s="951">
        <v>0</v>
      </c>
      <c r="I1422" s="951">
        <v>0</v>
      </c>
      <c r="J1422" s="947" t="s">
        <v>395</v>
      </c>
      <c r="K1422" s="947">
        <v>415166</v>
      </c>
      <c r="M1422" s="631"/>
      <c r="P1422" s="950" t="str">
        <f>VLOOKUP(J1422,'רשימת רשויות'!A:A,1,0)</f>
        <v>רעננה</v>
      </c>
      <c r="Q1422" s="956">
        <f>IFERROR(VLOOKUP(B1422,[2]מעובד!$D:$K,8,0),0)</f>
        <v>0</v>
      </c>
      <c r="R1422" s="956">
        <f>IFERROR(VLOOKUP(B1422,[2]מעובד!$D:$L,9,0),0)</f>
        <v>0</v>
      </c>
    </row>
    <row r="1423" spans="1:18" x14ac:dyDescent="0.2">
      <c r="A1423" s="947" t="s">
        <v>363</v>
      </c>
      <c r="B1423" s="947">
        <v>415208</v>
      </c>
      <c r="C1423" s="947" t="s">
        <v>2189</v>
      </c>
      <c r="D1423" s="947" t="s">
        <v>1187</v>
      </c>
      <c r="E1423" s="951">
        <v>162</v>
      </c>
      <c r="F1423" s="951">
        <v>134</v>
      </c>
      <c r="G1423" s="947" t="s">
        <v>3252</v>
      </c>
      <c r="H1423" s="951">
        <v>117</v>
      </c>
      <c r="I1423" s="951">
        <v>28</v>
      </c>
      <c r="J1423" s="947" t="s">
        <v>363</v>
      </c>
      <c r="K1423" s="947">
        <v>415208</v>
      </c>
      <c r="M1423" s="631"/>
      <c r="P1423" s="950" t="str">
        <f>VLOOKUP(J1423,'רשימת רשויות'!A:A,1,0)</f>
        <v>פתח תקוה</v>
      </c>
      <c r="Q1423" s="956">
        <f>IFERROR(VLOOKUP(B1423,[2]מעובד!$D:$K,8,0),0)</f>
        <v>0</v>
      </c>
      <c r="R1423" s="956">
        <f>IFERROR(VLOOKUP(B1423,[2]מעובד!$D:$L,9,0),0)</f>
        <v>0</v>
      </c>
    </row>
    <row r="1424" spans="1:18" x14ac:dyDescent="0.2">
      <c r="A1424" s="947" t="s">
        <v>363</v>
      </c>
      <c r="B1424" s="947">
        <v>415224</v>
      </c>
      <c r="C1424" s="947" t="s">
        <v>2189</v>
      </c>
      <c r="D1424" s="947" t="s">
        <v>661</v>
      </c>
      <c r="E1424" s="951">
        <v>276</v>
      </c>
      <c r="F1424" s="951">
        <v>263</v>
      </c>
      <c r="G1424" s="947" t="s">
        <v>159</v>
      </c>
      <c r="H1424" s="951">
        <v>94</v>
      </c>
      <c r="I1424" s="951">
        <v>12</v>
      </c>
      <c r="J1424" s="947" t="s">
        <v>363</v>
      </c>
      <c r="K1424" s="947">
        <v>415224</v>
      </c>
      <c r="M1424" s="631"/>
      <c r="P1424" s="950" t="str">
        <f>VLOOKUP(J1424,'רשימת רשויות'!A:A,1,0)</f>
        <v>פתח תקוה</v>
      </c>
      <c r="Q1424" s="956">
        <f>IFERROR(VLOOKUP(B1424,[2]מעובד!$D:$K,8,0),0)</f>
        <v>246</v>
      </c>
      <c r="R1424" s="956">
        <f>IFERROR(VLOOKUP(B1424,[2]מעובד!$D:$L,9,0),0)</f>
        <v>128</v>
      </c>
    </row>
    <row r="1425" spans="1:18" x14ac:dyDescent="0.2">
      <c r="A1425" s="947" t="s">
        <v>231</v>
      </c>
      <c r="B1425" s="947">
        <v>415232</v>
      </c>
      <c r="C1425" s="947" t="s">
        <v>2189</v>
      </c>
      <c r="D1425" s="947" t="s">
        <v>567</v>
      </c>
      <c r="E1425" s="951">
        <v>246</v>
      </c>
      <c r="F1425" s="951">
        <v>112</v>
      </c>
      <c r="G1425" s="947" t="s">
        <v>159</v>
      </c>
      <c r="H1425" s="951">
        <v>0</v>
      </c>
      <c r="I1425" s="951">
        <v>0</v>
      </c>
      <c r="J1425" s="947" t="s">
        <v>231</v>
      </c>
      <c r="K1425" s="947">
        <v>415232</v>
      </c>
      <c r="M1425" s="631"/>
      <c r="P1425" s="950" t="str">
        <f>VLOOKUP(J1425,'רשימת רשויות'!A:A,1,0)</f>
        <v>הוד השרון</v>
      </c>
      <c r="Q1425" s="956">
        <f>IFERROR(VLOOKUP(B1425,[2]מעובד!$D:$K,8,0),0)</f>
        <v>307</v>
      </c>
      <c r="R1425" s="956">
        <f>IFERROR(VLOOKUP(B1425,[2]מעובד!$D:$L,9,0),0)</f>
        <v>67</v>
      </c>
    </row>
    <row r="1426" spans="1:18" x14ac:dyDescent="0.2">
      <c r="A1426" s="947" t="s">
        <v>383</v>
      </c>
      <c r="B1426" s="947">
        <v>415240</v>
      </c>
      <c r="C1426" s="947" t="s">
        <v>2189</v>
      </c>
      <c r="D1426" s="947" t="s">
        <v>1188</v>
      </c>
      <c r="E1426" s="951">
        <v>147</v>
      </c>
      <c r="F1426" s="951">
        <v>146</v>
      </c>
      <c r="G1426" s="947" t="s">
        <v>159</v>
      </c>
      <c r="H1426" s="951">
        <v>0</v>
      </c>
      <c r="I1426" s="951">
        <v>0</v>
      </c>
      <c r="J1426" s="947" t="s">
        <v>383</v>
      </c>
      <c r="K1426" s="947">
        <v>415240</v>
      </c>
      <c r="M1426" s="631"/>
      <c r="P1426" s="950" t="str">
        <f>VLOOKUP(J1426,'רשימת רשויות'!A:A,1,0)</f>
        <v>ראש העין</v>
      </c>
      <c r="Q1426" s="956">
        <f>IFERROR(VLOOKUP(B1426,[2]מעובד!$D:$K,8,0),0)</f>
        <v>176</v>
      </c>
      <c r="R1426" s="956">
        <f>IFERROR(VLOOKUP(B1426,[2]מעובד!$D:$L,9,0),0)</f>
        <v>86</v>
      </c>
    </row>
    <row r="1427" spans="1:18" x14ac:dyDescent="0.2">
      <c r="A1427" s="947" t="s">
        <v>231</v>
      </c>
      <c r="B1427" s="947">
        <v>415257</v>
      </c>
      <c r="C1427" s="947" t="s">
        <v>2189</v>
      </c>
      <c r="D1427" s="947" t="s">
        <v>1617</v>
      </c>
      <c r="E1427" s="951">
        <v>191</v>
      </c>
      <c r="F1427" s="951">
        <v>159</v>
      </c>
      <c r="G1427" s="947" t="s">
        <v>159</v>
      </c>
      <c r="H1427" s="951">
        <v>0</v>
      </c>
      <c r="I1427" s="951">
        <v>0</v>
      </c>
      <c r="J1427" s="947" t="s">
        <v>231</v>
      </c>
      <c r="K1427" s="947">
        <v>415257</v>
      </c>
      <c r="M1427" s="631"/>
      <c r="P1427" s="950" t="str">
        <f>VLOOKUP(J1427,'רשימת רשויות'!A:A,1,0)</f>
        <v>הוד השרון</v>
      </c>
      <c r="Q1427" s="956">
        <f>IFERROR(VLOOKUP(B1427,[2]מעובד!$D:$K,8,0),0)</f>
        <v>215</v>
      </c>
      <c r="R1427" s="956">
        <f>IFERROR(VLOOKUP(B1427,[2]מעובד!$D:$L,9,0),0)</f>
        <v>70</v>
      </c>
    </row>
    <row r="1428" spans="1:18" x14ac:dyDescent="0.2">
      <c r="A1428" s="947" t="s">
        <v>401</v>
      </c>
      <c r="B1428" s="947">
        <v>415265</v>
      </c>
      <c r="C1428" s="947" t="s">
        <v>2189</v>
      </c>
      <c r="D1428" s="947" t="s">
        <v>2692</v>
      </c>
      <c r="E1428" s="951">
        <v>167</v>
      </c>
      <c r="F1428" s="951">
        <v>129</v>
      </c>
      <c r="G1428" s="947" t="s">
        <v>159</v>
      </c>
      <c r="H1428" s="951">
        <v>0</v>
      </c>
      <c r="I1428" s="951">
        <v>0</v>
      </c>
      <c r="J1428" s="947" t="s">
        <v>401</v>
      </c>
      <c r="K1428" s="947">
        <v>415265</v>
      </c>
      <c r="M1428" s="631"/>
      <c r="P1428" s="950" t="str">
        <f>VLOOKUP(J1428,'רשימת רשויות'!A:A,1,0)</f>
        <v>שוהם</v>
      </c>
      <c r="Q1428" s="956">
        <f>IFERROR(VLOOKUP(B1428,[2]מעובד!$D:$K,8,0),0)</f>
        <v>166</v>
      </c>
      <c r="R1428" s="956">
        <f>IFERROR(VLOOKUP(B1428,[2]מעובד!$D:$L,9,0),0)</f>
        <v>65</v>
      </c>
    </row>
    <row r="1429" spans="1:18" x14ac:dyDescent="0.2">
      <c r="A1429" s="947" t="s">
        <v>307</v>
      </c>
      <c r="B1429" s="947">
        <v>415273</v>
      </c>
      <c r="C1429" s="947" t="s">
        <v>2189</v>
      </c>
      <c r="D1429" s="947" t="s">
        <v>1189</v>
      </c>
      <c r="E1429" s="951">
        <v>153</v>
      </c>
      <c r="F1429" s="951">
        <v>124</v>
      </c>
      <c r="G1429" s="947" t="s">
        <v>159</v>
      </c>
      <c r="H1429" s="951">
        <v>55</v>
      </c>
      <c r="I1429" s="951">
        <v>0</v>
      </c>
      <c r="J1429" s="947" t="s">
        <v>307</v>
      </c>
      <c r="K1429" s="947">
        <v>415273</v>
      </c>
      <c r="M1429" s="631"/>
      <c r="P1429" s="950" t="str">
        <f>VLOOKUP(J1429,'רשימת רשויות'!A:A,1,0)</f>
        <v>מזכרת בתיה</v>
      </c>
      <c r="Q1429" s="956">
        <f>IFERROR(VLOOKUP(B1429,[2]מעובד!$D:$K,8,0),0)</f>
        <v>122</v>
      </c>
      <c r="R1429" s="956">
        <f>IFERROR(VLOOKUP(B1429,[2]מעובד!$D:$L,9,0),0)</f>
        <v>71</v>
      </c>
    </row>
    <row r="1430" spans="1:18" x14ac:dyDescent="0.2">
      <c r="A1430" s="947" t="s">
        <v>390</v>
      </c>
      <c r="B1430" s="947">
        <v>415281</v>
      </c>
      <c r="C1430" s="947" t="s">
        <v>2189</v>
      </c>
      <c r="D1430" s="947" t="s">
        <v>2424</v>
      </c>
      <c r="E1430" s="951">
        <v>354</v>
      </c>
      <c r="F1430" s="951">
        <v>197</v>
      </c>
      <c r="G1430" s="947" t="s">
        <v>159</v>
      </c>
      <c r="H1430" s="951">
        <v>0</v>
      </c>
      <c r="I1430" s="951">
        <v>0</v>
      </c>
      <c r="J1430" s="947" t="s">
        <v>390</v>
      </c>
      <c r="K1430" s="947">
        <v>415281</v>
      </c>
      <c r="M1430" s="631"/>
      <c r="P1430" s="950" t="str">
        <f>VLOOKUP(J1430,'רשימת רשויות'!A:A,1,0)</f>
        <v>רמלה</v>
      </c>
      <c r="Q1430" s="956">
        <f>IFERROR(VLOOKUP(B1430,[2]מעובד!$D:$K,8,0),0)</f>
        <v>139</v>
      </c>
      <c r="R1430" s="956">
        <f>IFERROR(VLOOKUP(B1430,[2]מעובד!$D:$L,9,0),0)</f>
        <v>93</v>
      </c>
    </row>
    <row r="1431" spans="1:18" x14ac:dyDescent="0.2">
      <c r="A1431" s="947" t="s">
        <v>263</v>
      </c>
      <c r="B1431" s="947">
        <v>415299</v>
      </c>
      <c r="C1431" s="947" t="s">
        <v>2189</v>
      </c>
      <c r="D1431" s="947" t="s">
        <v>755</v>
      </c>
      <c r="E1431" s="951">
        <v>238</v>
      </c>
      <c r="F1431" s="951">
        <v>222</v>
      </c>
      <c r="G1431" s="947" t="s">
        <v>159</v>
      </c>
      <c r="H1431" s="951">
        <v>0</v>
      </c>
      <c r="I1431" s="951">
        <v>0</v>
      </c>
      <c r="J1431" s="947" t="s">
        <v>263</v>
      </c>
      <c r="K1431" s="947">
        <v>415299</v>
      </c>
      <c r="M1431" s="631"/>
      <c r="P1431" s="950" t="str">
        <f>VLOOKUP(J1431,'רשימת רשויות'!A:A,1,0)</f>
        <v>יהוד נווה אפרים</v>
      </c>
      <c r="Q1431" s="956">
        <f>IFERROR(VLOOKUP(B1431,[2]מעובד!$D:$K,8,0),0)</f>
        <v>272</v>
      </c>
      <c r="R1431" s="956">
        <f>IFERROR(VLOOKUP(B1431,[2]מעובד!$D:$L,9,0),0)</f>
        <v>91</v>
      </c>
    </row>
    <row r="1432" spans="1:18" x14ac:dyDescent="0.2">
      <c r="A1432" s="947" t="s">
        <v>291</v>
      </c>
      <c r="B1432" s="947">
        <v>415315</v>
      </c>
      <c r="C1432" s="947" t="s">
        <v>2189</v>
      </c>
      <c r="D1432" s="947" t="s">
        <v>1190</v>
      </c>
      <c r="E1432" s="951">
        <v>166</v>
      </c>
      <c r="F1432" s="951">
        <v>153</v>
      </c>
      <c r="G1432" s="947" t="s">
        <v>159</v>
      </c>
      <c r="H1432" s="951">
        <v>0</v>
      </c>
      <c r="I1432" s="951">
        <v>0</v>
      </c>
      <c r="J1432" s="947" t="s">
        <v>291</v>
      </c>
      <c r="K1432" s="947">
        <v>415315</v>
      </c>
      <c r="M1432" s="631"/>
      <c r="P1432" s="950" t="str">
        <f>VLOOKUP(J1432,'רשימת רשויות'!A:A,1,0)</f>
        <v>לב השרון</v>
      </c>
      <c r="Q1432" s="956">
        <f>IFERROR(VLOOKUP(B1432,[2]מעובד!$D:$K,8,0),0)</f>
        <v>149</v>
      </c>
      <c r="R1432" s="956">
        <f>IFERROR(VLOOKUP(B1432,[2]מעובד!$D:$L,9,0),0)</f>
        <v>58</v>
      </c>
    </row>
    <row r="1433" spans="1:18" x14ac:dyDescent="0.2">
      <c r="A1433" s="947" t="s">
        <v>363</v>
      </c>
      <c r="B1433" s="947">
        <v>415349</v>
      </c>
      <c r="C1433" s="947" t="s">
        <v>2189</v>
      </c>
      <c r="D1433" s="947" t="s">
        <v>662</v>
      </c>
      <c r="E1433" s="951">
        <v>77</v>
      </c>
      <c r="F1433" s="951">
        <v>77</v>
      </c>
      <c r="G1433" s="947" t="s">
        <v>159</v>
      </c>
      <c r="H1433" s="951">
        <v>0</v>
      </c>
      <c r="I1433" s="951">
        <v>0</v>
      </c>
      <c r="J1433" s="947" t="s">
        <v>363</v>
      </c>
      <c r="K1433" s="947">
        <v>415349</v>
      </c>
      <c r="M1433" s="631"/>
      <c r="P1433" s="950" t="str">
        <f>VLOOKUP(J1433,'רשימת רשויות'!A:A,1,0)</f>
        <v>פתח תקוה</v>
      </c>
      <c r="Q1433" s="956">
        <f>IFERROR(VLOOKUP(B1433,[2]מעובד!$D:$K,8,0),0)</f>
        <v>63</v>
      </c>
      <c r="R1433" s="956">
        <f>IFERROR(VLOOKUP(B1433,[2]מעובד!$D:$L,9,0),0)</f>
        <v>15</v>
      </c>
    </row>
    <row r="1434" spans="1:18" x14ac:dyDescent="0.2">
      <c r="A1434" s="947" t="s">
        <v>293</v>
      </c>
      <c r="B1434" s="947">
        <v>415364</v>
      </c>
      <c r="C1434" s="947" t="s">
        <v>2189</v>
      </c>
      <c r="D1434" s="947" t="s">
        <v>1705</v>
      </c>
      <c r="E1434" s="951">
        <v>128</v>
      </c>
      <c r="F1434" s="951">
        <v>101</v>
      </c>
      <c r="G1434" s="947" t="s">
        <v>159</v>
      </c>
      <c r="H1434" s="951">
        <v>92</v>
      </c>
      <c r="I1434" s="951">
        <v>14</v>
      </c>
      <c r="J1434" s="947" t="s">
        <v>293</v>
      </c>
      <c r="K1434" s="947">
        <v>415364</v>
      </c>
      <c r="M1434" s="631"/>
      <c r="P1434" s="950" t="str">
        <f>VLOOKUP(J1434,'רשימת רשויות'!A:A,1,0)</f>
        <v>לוד</v>
      </c>
      <c r="Q1434" s="956">
        <f>IFERROR(VLOOKUP(B1434,[2]מעובד!$D:$K,8,0),0)</f>
        <v>143</v>
      </c>
      <c r="R1434" s="956">
        <f>IFERROR(VLOOKUP(B1434,[2]מעובד!$D:$L,9,0),0)</f>
        <v>76</v>
      </c>
    </row>
    <row r="1435" spans="1:18" x14ac:dyDescent="0.2">
      <c r="A1435" s="947" t="s">
        <v>336</v>
      </c>
      <c r="B1435" s="947">
        <v>415372</v>
      </c>
      <c r="C1435" s="947" t="s">
        <v>2189</v>
      </c>
      <c r="D1435" s="947" t="s">
        <v>704</v>
      </c>
      <c r="E1435" s="951">
        <v>219</v>
      </c>
      <c r="F1435" s="951">
        <v>125</v>
      </c>
      <c r="G1435" s="947" t="s">
        <v>159</v>
      </c>
      <c r="H1435" s="951">
        <v>171</v>
      </c>
      <c r="I1435" s="951">
        <v>14</v>
      </c>
      <c r="J1435" s="947" t="s">
        <v>336</v>
      </c>
      <c r="K1435" s="947">
        <v>415372</v>
      </c>
      <c r="M1435" s="631"/>
      <c r="P1435" s="950" t="str">
        <f>VLOOKUP(J1435,'רשימת רשויות'!A:A,1,0)</f>
        <v>נתניה</v>
      </c>
      <c r="Q1435" s="956">
        <f>IFERROR(VLOOKUP(B1435,[2]מעובד!$D:$K,8,0),0)</f>
        <v>173</v>
      </c>
      <c r="R1435" s="956">
        <f>IFERROR(VLOOKUP(B1435,[2]מעובד!$D:$L,9,0),0)</f>
        <v>75</v>
      </c>
    </row>
    <row r="1436" spans="1:18" x14ac:dyDescent="0.2">
      <c r="A1436" s="947" t="s">
        <v>385</v>
      </c>
      <c r="B1436" s="947">
        <v>415398</v>
      </c>
      <c r="C1436" s="947" t="s">
        <v>2189</v>
      </c>
      <c r="D1436" s="947" t="s">
        <v>1706</v>
      </c>
      <c r="E1436" s="951">
        <v>168</v>
      </c>
      <c r="F1436" s="951">
        <v>103</v>
      </c>
      <c r="G1436" s="947" t="s">
        <v>159</v>
      </c>
      <c r="H1436" s="951">
        <v>0</v>
      </c>
      <c r="I1436" s="951">
        <v>0</v>
      </c>
      <c r="J1436" s="947" t="s">
        <v>385</v>
      </c>
      <c r="K1436" s="947">
        <v>415398</v>
      </c>
      <c r="M1436" s="631"/>
      <c r="P1436" s="950" t="str">
        <f>VLOOKUP(J1436,'רשימת רשויות'!A:A,1,0)</f>
        <v>ראשון לציון</v>
      </c>
      <c r="Q1436" s="956">
        <f>IFERROR(VLOOKUP(B1436,[2]מעובד!$D:$K,8,0),0)</f>
        <v>175</v>
      </c>
      <c r="R1436" s="956">
        <f>IFERROR(VLOOKUP(B1436,[2]מעובד!$D:$L,9,0),0)</f>
        <v>75</v>
      </c>
    </row>
    <row r="1437" spans="1:18" x14ac:dyDescent="0.2">
      <c r="A1437" s="947" t="s">
        <v>363</v>
      </c>
      <c r="B1437" s="947">
        <v>415430</v>
      </c>
      <c r="C1437" s="947" t="s">
        <v>2189</v>
      </c>
      <c r="D1437" s="947" t="s">
        <v>705</v>
      </c>
      <c r="E1437" s="951">
        <v>258</v>
      </c>
      <c r="F1437" s="951">
        <v>242</v>
      </c>
      <c r="G1437" s="947" t="s">
        <v>159</v>
      </c>
      <c r="H1437" s="951">
        <v>0</v>
      </c>
      <c r="I1437" s="951">
        <v>0</v>
      </c>
      <c r="J1437" s="947" t="s">
        <v>363</v>
      </c>
      <c r="K1437" s="947">
        <v>415430</v>
      </c>
      <c r="M1437" s="631"/>
      <c r="P1437" s="950" t="str">
        <f>VLOOKUP(J1437,'רשימת רשויות'!A:A,1,0)</f>
        <v>פתח תקוה</v>
      </c>
      <c r="Q1437" s="956">
        <f>IFERROR(VLOOKUP(B1437,[2]מעובד!$D:$K,8,0),0)</f>
        <v>0</v>
      </c>
      <c r="R1437" s="956">
        <f>IFERROR(VLOOKUP(B1437,[2]מעובד!$D:$L,9,0),0)</f>
        <v>0</v>
      </c>
    </row>
    <row r="1438" spans="1:18" x14ac:dyDescent="0.2">
      <c r="A1438" s="947" t="s">
        <v>402</v>
      </c>
      <c r="B1438" s="947">
        <v>415455</v>
      </c>
      <c r="C1438" s="947" t="s">
        <v>2189</v>
      </c>
      <c r="D1438" s="947" t="s">
        <v>2070</v>
      </c>
      <c r="E1438" s="951">
        <v>252</v>
      </c>
      <c r="F1438" s="951">
        <v>194</v>
      </c>
      <c r="G1438" s="947" t="s">
        <v>159</v>
      </c>
      <c r="H1438" s="951">
        <v>0</v>
      </c>
      <c r="I1438" s="951">
        <v>0</v>
      </c>
      <c r="J1438" s="947" t="s">
        <v>402</v>
      </c>
      <c r="K1438" s="947">
        <v>415455</v>
      </c>
      <c r="M1438" s="631"/>
      <c r="P1438" s="950" t="str">
        <f>VLOOKUP(J1438,'רשימת רשויות'!A:A,1,0)</f>
        <v>שומרון</v>
      </c>
      <c r="Q1438" s="956">
        <f>IFERROR(VLOOKUP(B1438,[2]מעובד!$D:$K,8,0),0)</f>
        <v>226</v>
      </c>
      <c r="R1438" s="956">
        <f>IFERROR(VLOOKUP(B1438,[2]מעובד!$D:$L,9,0),0)</f>
        <v>126</v>
      </c>
    </row>
    <row r="1439" spans="1:18" x14ac:dyDescent="0.2">
      <c r="A1439" s="947" t="s">
        <v>402</v>
      </c>
      <c r="B1439" s="947">
        <v>415463</v>
      </c>
      <c r="C1439" s="947" t="s">
        <v>2189</v>
      </c>
      <c r="D1439" s="947" t="s">
        <v>2053</v>
      </c>
      <c r="E1439" s="951">
        <v>211</v>
      </c>
      <c r="F1439" s="951">
        <v>164</v>
      </c>
      <c r="G1439" s="947" t="s">
        <v>159</v>
      </c>
      <c r="H1439" s="951">
        <v>0</v>
      </c>
      <c r="I1439" s="951">
        <v>0</v>
      </c>
      <c r="J1439" s="947" t="s">
        <v>402</v>
      </c>
      <c r="K1439" s="947">
        <v>415463</v>
      </c>
      <c r="M1439" s="631"/>
      <c r="P1439" s="950" t="str">
        <f>VLOOKUP(J1439,'רשימת רשויות'!A:A,1,0)</f>
        <v>שומרון</v>
      </c>
      <c r="Q1439" s="956">
        <f>IFERROR(VLOOKUP(B1439,[2]מעובד!$D:$K,8,0),0)</f>
        <v>149</v>
      </c>
      <c r="R1439" s="956">
        <f>IFERROR(VLOOKUP(B1439,[2]מעובד!$D:$L,9,0),0)</f>
        <v>80</v>
      </c>
    </row>
    <row r="1440" spans="1:18" x14ac:dyDescent="0.2">
      <c r="A1440" s="947" t="s">
        <v>293</v>
      </c>
      <c r="B1440" s="947">
        <v>415489</v>
      </c>
      <c r="C1440" s="947" t="s">
        <v>2189</v>
      </c>
      <c r="D1440" s="947" t="s">
        <v>851</v>
      </c>
      <c r="E1440" s="951">
        <v>235</v>
      </c>
      <c r="F1440" s="951">
        <v>184</v>
      </c>
      <c r="G1440" s="947" t="s">
        <v>159</v>
      </c>
      <c r="H1440" s="951">
        <v>0</v>
      </c>
      <c r="I1440" s="951">
        <v>0</v>
      </c>
      <c r="J1440" s="947" t="s">
        <v>293</v>
      </c>
      <c r="K1440" s="947">
        <v>415489</v>
      </c>
      <c r="M1440" s="631"/>
      <c r="P1440" s="950" t="str">
        <f>VLOOKUP(J1440,'רשימת רשויות'!A:A,1,0)</f>
        <v>לוד</v>
      </c>
      <c r="Q1440" s="956">
        <f>IFERROR(VLOOKUP(B1440,[2]מעובד!$D:$K,8,0),0)</f>
        <v>215</v>
      </c>
      <c r="R1440" s="956">
        <f>IFERROR(VLOOKUP(B1440,[2]מעובד!$D:$L,9,0),0)</f>
        <v>139</v>
      </c>
    </row>
    <row r="1441" spans="1:18" x14ac:dyDescent="0.2">
      <c r="A1441" s="947" t="s">
        <v>385</v>
      </c>
      <c r="B1441" s="947">
        <v>415497</v>
      </c>
      <c r="C1441" s="947" t="s">
        <v>2189</v>
      </c>
      <c r="D1441" s="947" t="s">
        <v>1723</v>
      </c>
      <c r="E1441" s="951">
        <v>128</v>
      </c>
      <c r="F1441" s="951">
        <v>78</v>
      </c>
      <c r="G1441" s="947" t="s">
        <v>159</v>
      </c>
      <c r="H1441" s="951">
        <v>128</v>
      </c>
      <c r="I1441" s="951">
        <v>7</v>
      </c>
      <c r="J1441" s="947" t="s">
        <v>385</v>
      </c>
      <c r="K1441" s="947">
        <v>415497</v>
      </c>
      <c r="M1441" s="631"/>
      <c r="P1441" s="950" t="str">
        <f>VLOOKUP(J1441,'רשימת רשויות'!A:A,1,0)</f>
        <v>ראשון לציון</v>
      </c>
      <c r="Q1441" s="956">
        <f>IFERROR(VLOOKUP(B1441,[2]מעובד!$D:$K,8,0),0)</f>
        <v>0</v>
      </c>
      <c r="R1441" s="956">
        <f>IFERROR(VLOOKUP(B1441,[2]מעובד!$D:$L,9,0),0)</f>
        <v>0</v>
      </c>
    </row>
    <row r="1442" spans="1:18" x14ac:dyDescent="0.2">
      <c r="A1442" s="947" t="s">
        <v>336</v>
      </c>
      <c r="B1442" s="947">
        <v>415521</v>
      </c>
      <c r="C1442" s="947" t="s">
        <v>2189</v>
      </c>
      <c r="D1442" s="947" t="s">
        <v>693</v>
      </c>
      <c r="E1442" s="951">
        <v>169</v>
      </c>
      <c r="F1442" s="951">
        <v>148</v>
      </c>
      <c r="G1442" s="947" t="s">
        <v>159</v>
      </c>
      <c r="H1442" s="951">
        <v>64</v>
      </c>
      <c r="I1442" s="951">
        <v>12</v>
      </c>
      <c r="J1442" s="947" t="s">
        <v>336</v>
      </c>
      <c r="K1442" s="947">
        <v>415521</v>
      </c>
      <c r="M1442" s="631"/>
      <c r="P1442" s="950" t="str">
        <f>VLOOKUP(J1442,'רשימת רשויות'!A:A,1,0)</f>
        <v>נתניה</v>
      </c>
      <c r="Q1442" s="956">
        <f>IFERROR(VLOOKUP(B1442,[2]מעובד!$D:$K,8,0),0)</f>
        <v>173</v>
      </c>
      <c r="R1442" s="956">
        <f>IFERROR(VLOOKUP(B1442,[2]מעובד!$D:$L,9,0),0)</f>
        <v>163</v>
      </c>
    </row>
    <row r="1443" spans="1:18" x14ac:dyDescent="0.2">
      <c r="A1443" s="947" t="s">
        <v>284</v>
      </c>
      <c r="B1443" s="947">
        <v>415596</v>
      </c>
      <c r="C1443" s="947" t="s">
        <v>2189</v>
      </c>
      <c r="D1443" s="947" t="s">
        <v>1572</v>
      </c>
      <c r="E1443" s="951">
        <v>165</v>
      </c>
      <c r="F1443" s="951">
        <v>110</v>
      </c>
      <c r="G1443" s="947" t="s">
        <v>159</v>
      </c>
      <c r="H1443" s="951">
        <v>115</v>
      </c>
      <c r="I1443" s="951">
        <v>19</v>
      </c>
      <c r="J1443" s="947" t="s">
        <v>284</v>
      </c>
      <c r="K1443" s="947">
        <v>415596</v>
      </c>
      <c r="M1443" s="631"/>
      <c r="P1443" s="950" t="str">
        <f>VLOOKUP(J1443,'רשימת רשויות'!A:A,1,0)</f>
        <v>כפר סבא</v>
      </c>
      <c r="Q1443" s="956">
        <f>IFERROR(VLOOKUP(B1443,[2]מעובד!$D:$K,8,0),0)</f>
        <v>166</v>
      </c>
      <c r="R1443" s="956">
        <f>IFERROR(VLOOKUP(B1443,[2]מעובד!$D:$L,9,0),0)</f>
        <v>56</v>
      </c>
    </row>
    <row r="1444" spans="1:18" x14ac:dyDescent="0.2">
      <c r="A1444" s="947" t="s">
        <v>213</v>
      </c>
      <c r="B1444" s="947">
        <v>415604</v>
      </c>
      <c r="C1444" s="947" t="s">
        <v>2189</v>
      </c>
      <c r="D1444" s="947" t="s">
        <v>1052</v>
      </c>
      <c r="E1444" s="951">
        <v>323</v>
      </c>
      <c r="F1444" s="951">
        <v>323</v>
      </c>
      <c r="G1444" s="947" t="s">
        <v>159</v>
      </c>
      <c r="H1444" s="951">
        <v>0</v>
      </c>
      <c r="I1444" s="951">
        <v>0</v>
      </c>
      <c r="J1444" s="947" t="s">
        <v>213</v>
      </c>
      <c r="K1444" s="947">
        <v>415604</v>
      </c>
      <c r="M1444" s="631"/>
      <c r="P1444" s="950" t="str">
        <f>VLOOKUP(J1444,'רשימת רשויות'!A:A,1,0)</f>
        <v>גבעת שמואל</v>
      </c>
      <c r="Q1444" s="956">
        <f>IFERROR(VLOOKUP(B1444,[2]מעובד!$D:$K,8,0),0)</f>
        <v>231</v>
      </c>
      <c r="R1444" s="956">
        <f>IFERROR(VLOOKUP(B1444,[2]מעובד!$D:$L,9,0),0)</f>
        <v>120</v>
      </c>
    </row>
    <row r="1445" spans="1:18" x14ac:dyDescent="0.2">
      <c r="A1445" s="947" t="s">
        <v>385</v>
      </c>
      <c r="B1445" s="947">
        <v>415612</v>
      </c>
      <c r="C1445" s="947" t="s">
        <v>2189</v>
      </c>
      <c r="D1445" s="947" t="s">
        <v>1573</v>
      </c>
      <c r="E1445" s="951">
        <v>186</v>
      </c>
      <c r="F1445" s="951">
        <v>166</v>
      </c>
      <c r="G1445" s="947" t="s">
        <v>159</v>
      </c>
      <c r="H1445" s="951">
        <v>0</v>
      </c>
      <c r="I1445" s="951">
        <v>0</v>
      </c>
      <c r="J1445" s="947" t="s">
        <v>385</v>
      </c>
      <c r="K1445" s="947">
        <v>415612</v>
      </c>
      <c r="M1445" s="631"/>
      <c r="P1445" s="950" t="str">
        <f>VLOOKUP(J1445,'רשימת רשויות'!A:A,1,0)</f>
        <v>ראשון לציון</v>
      </c>
      <c r="Q1445" s="956">
        <f>IFERROR(VLOOKUP(B1445,[2]מעובד!$D:$K,8,0),0)</f>
        <v>240</v>
      </c>
      <c r="R1445" s="956">
        <f>IFERROR(VLOOKUP(B1445,[2]מעובד!$D:$L,9,0),0)</f>
        <v>109</v>
      </c>
    </row>
    <row r="1446" spans="1:18" x14ac:dyDescent="0.2">
      <c r="A1446" s="947" t="s">
        <v>385</v>
      </c>
      <c r="B1446" s="947">
        <v>415620</v>
      </c>
      <c r="C1446" s="947" t="s">
        <v>2189</v>
      </c>
      <c r="D1446" s="947" t="s">
        <v>1574</v>
      </c>
      <c r="E1446" s="951">
        <v>150</v>
      </c>
      <c r="F1446" s="951">
        <v>120</v>
      </c>
      <c r="G1446" s="947" t="s">
        <v>159</v>
      </c>
      <c r="H1446" s="951">
        <v>0</v>
      </c>
      <c r="I1446" s="951">
        <v>0</v>
      </c>
      <c r="J1446" s="947" t="s">
        <v>385</v>
      </c>
      <c r="K1446" s="947">
        <v>415620</v>
      </c>
      <c r="M1446" s="631"/>
      <c r="P1446" s="950" t="str">
        <f>VLOOKUP(J1446,'רשימת רשויות'!A:A,1,0)</f>
        <v>ראשון לציון</v>
      </c>
      <c r="Q1446" s="956">
        <f>IFERROR(VLOOKUP(B1446,[2]מעובד!$D:$K,8,0),0)</f>
        <v>117</v>
      </c>
      <c r="R1446" s="956">
        <f>IFERROR(VLOOKUP(B1446,[2]מעובד!$D:$L,9,0),0)</f>
        <v>51</v>
      </c>
    </row>
    <row r="1447" spans="1:18" x14ac:dyDescent="0.2">
      <c r="A1447" s="947" t="s">
        <v>175</v>
      </c>
      <c r="B1447" s="947">
        <v>415638</v>
      </c>
      <c r="C1447" s="947" t="s">
        <v>2189</v>
      </c>
      <c r="D1447" s="947" t="s">
        <v>1575</v>
      </c>
      <c r="E1447" s="951">
        <v>340</v>
      </c>
      <c r="F1447" s="951">
        <v>340</v>
      </c>
      <c r="G1447" s="947" t="s">
        <v>3252</v>
      </c>
      <c r="H1447" s="951">
        <v>0</v>
      </c>
      <c r="I1447" s="951">
        <v>0</v>
      </c>
      <c r="J1447" s="947" t="s">
        <v>175</v>
      </c>
      <c r="K1447" s="947">
        <v>415638</v>
      </c>
      <c r="M1447" s="631"/>
      <c r="P1447" s="950" t="str">
        <f>VLOOKUP(J1447,'רשימת רשויות'!A:A,1,0)</f>
        <v>אלעד</v>
      </c>
      <c r="Q1447" s="956">
        <f>IFERROR(VLOOKUP(B1447,[2]מעובד!$D:$K,8,0),0)</f>
        <v>342</v>
      </c>
      <c r="R1447" s="956">
        <f>IFERROR(VLOOKUP(B1447,[2]מעובד!$D:$L,9,0),0)</f>
        <v>198</v>
      </c>
    </row>
    <row r="1448" spans="1:18" x14ac:dyDescent="0.2">
      <c r="A1448" s="947" t="s">
        <v>175</v>
      </c>
      <c r="B1448" s="947">
        <v>415653</v>
      </c>
      <c r="C1448" s="947" t="s">
        <v>2189</v>
      </c>
      <c r="D1448" s="947" t="s">
        <v>2224</v>
      </c>
      <c r="E1448" s="951">
        <v>70</v>
      </c>
      <c r="F1448" s="951">
        <v>64</v>
      </c>
      <c r="G1448" s="947" t="s">
        <v>159</v>
      </c>
      <c r="H1448" s="951">
        <v>0</v>
      </c>
      <c r="I1448" s="951">
        <v>0</v>
      </c>
      <c r="J1448" s="947" t="s">
        <v>175</v>
      </c>
      <c r="K1448" s="947">
        <v>415653</v>
      </c>
      <c r="M1448" s="631"/>
      <c r="P1448" s="950" t="str">
        <f>VLOOKUP(J1448,'רשימת רשויות'!A:A,1,0)</f>
        <v>אלעד</v>
      </c>
      <c r="Q1448" s="956">
        <f>IFERROR(VLOOKUP(B1448,[2]מעובד!$D:$K,8,0),0)</f>
        <v>74</v>
      </c>
      <c r="R1448" s="956">
        <f>IFERROR(VLOOKUP(B1448,[2]מעובד!$D:$L,9,0),0)</f>
        <v>45</v>
      </c>
    </row>
    <row r="1449" spans="1:18" x14ac:dyDescent="0.2">
      <c r="A1449" s="947" t="s">
        <v>175</v>
      </c>
      <c r="B1449" s="947">
        <v>415661</v>
      </c>
      <c r="C1449" s="947" t="s">
        <v>2189</v>
      </c>
      <c r="D1449" s="947" t="s">
        <v>1576</v>
      </c>
      <c r="E1449" s="951">
        <v>59</v>
      </c>
      <c r="F1449" s="951">
        <v>55</v>
      </c>
      <c r="G1449" s="947" t="s">
        <v>3252</v>
      </c>
      <c r="H1449" s="951">
        <v>0</v>
      </c>
      <c r="I1449" s="951">
        <v>0</v>
      </c>
      <c r="J1449" s="947" t="s">
        <v>175</v>
      </c>
      <c r="K1449" s="947">
        <v>415661</v>
      </c>
      <c r="M1449" s="631"/>
      <c r="P1449" s="950" t="str">
        <f>VLOOKUP(J1449,'רשימת רשויות'!A:A,1,0)</f>
        <v>אלעד</v>
      </c>
      <c r="Q1449" s="956">
        <f>IFERROR(VLOOKUP(B1449,[2]מעובד!$D:$K,8,0),0)</f>
        <v>66</v>
      </c>
      <c r="R1449" s="956">
        <f>IFERROR(VLOOKUP(B1449,[2]מעובד!$D:$L,9,0),0)</f>
        <v>65</v>
      </c>
    </row>
    <row r="1450" spans="1:18" x14ac:dyDescent="0.2">
      <c r="A1450" s="947" t="s">
        <v>363</v>
      </c>
      <c r="B1450" s="947">
        <v>415679</v>
      </c>
      <c r="C1450" s="947" t="s">
        <v>2189</v>
      </c>
      <c r="D1450" s="947" t="s">
        <v>2640</v>
      </c>
      <c r="E1450" s="951">
        <v>129</v>
      </c>
      <c r="F1450" s="951">
        <v>129</v>
      </c>
      <c r="G1450" s="947" t="s">
        <v>159</v>
      </c>
      <c r="H1450" s="951">
        <v>0</v>
      </c>
      <c r="I1450" s="951">
        <v>0</v>
      </c>
      <c r="J1450" s="947" t="s">
        <v>363</v>
      </c>
      <c r="K1450" s="947">
        <v>415679</v>
      </c>
      <c r="M1450" s="631"/>
      <c r="P1450" s="950" t="str">
        <f>VLOOKUP(J1450,'רשימת רשויות'!A:A,1,0)</f>
        <v>פתח תקוה</v>
      </c>
      <c r="Q1450" s="956">
        <f>IFERROR(VLOOKUP(B1450,[2]מעובד!$D:$K,8,0),0)</f>
        <v>0</v>
      </c>
      <c r="R1450" s="956">
        <f>IFERROR(VLOOKUP(B1450,[2]מעובד!$D:$L,9,0),0)</f>
        <v>0</v>
      </c>
    </row>
    <row r="1451" spans="1:18" x14ac:dyDescent="0.2">
      <c r="A1451" s="947" t="s">
        <v>293</v>
      </c>
      <c r="B1451" s="947">
        <v>415695</v>
      </c>
      <c r="C1451" s="947" t="s">
        <v>2189</v>
      </c>
      <c r="D1451" s="947" t="s">
        <v>2426</v>
      </c>
      <c r="E1451" s="951">
        <v>84</v>
      </c>
      <c r="F1451" s="951">
        <v>82</v>
      </c>
      <c r="G1451" s="947" t="s">
        <v>3252</v>
      </c>
      <c r="H1451" s="951">
        <v>0</v>
      </c>
      <c r="I1451" s="951">
        <v>0</v>
      </c>
      <c r="J1451" s="947" t="s">
        <v>293</v>
      </c>
      <c r="K1451" s="947">
        <v>415695</v>
      </c>
      <c r="M1451" s="631"/>
      <c r="P1451" s="950" t="str">
        <f>VLOOKUP(J1451,'רשימת רשויות'!A:A,1,0)</f>
        <v>לוד</v>
      </c>
      <c r="Q1451" s="956">
        <f>IFERROR(VLOOKUP(B1451,[2]מעובד!$D:$K,8,0),0)</f>
        <v>0</v>
      </c>
      <c r="R1451" s="956">
        <f>IFERROR(VLOOKUP(B1451,[2]מעובד!$D:$L,9,0),0)</f>
        <v>0</v>
      </c>
    </row>
    <row r="1452" spans="1:18" x14ac:dyDescent="0.2">
      <c r="A1452" s="947" t="s">
        <v>387</v>
      </c>
      <c r="B1452" s="947">
        <v>415786</v>
      </c>
      <c r="C1452" s="947" t="s">
        <v>2189</v>
      </c>
      <c r="D1452" s="947" t="s">
        <v>2695</v>
      </c>
      <c r="E1452" s="951">
        <v>97</v>
      </c>
      <c r="F1452" s="951">
        <v>86</v>
      </c>
      <c r="G1452" s="947" t="s">
        <v>3252</v>
      </c>
      <c r="H1452" s="951">
        <v>0</v>
      </c>
      <c r="I1452" s="951">
        <v>0</v>
      </c>
      <c r="J1452" s="947" t="s">
        <v>387</v>
      </c>
      <c r="K1452" s="947">
        <v>415786</v>
      </c>
      <c r="M1452" s="631"/>
      <c r="P1452" s="950" t="str">
        <f>VLOOKUP(J1452,'רשימת רשויות'!A:A,1,0)</f>
        <v>רחובות</v>
      </c>
      <c r="Q1452" s="956">
        <f>IFERROR(VLOOKUP(B1452,[2]מעובד!$D:$K,8,0),0)</f>
        <v>0</v>
      </c>
      <c r="R1452" s="956">
        <f>IFERROR(VLOOKUP(B1452,[2]מעובד!$D:$L,9,0),0)</f>
        <v>0</v>
      </c>
    </row>
    <row r="1453" spans="1:18" x14ac:dyDescent="0.2">
      <c r="A1453" s="947" t="s">
        <v>390</v>
      </c>
      <c r="B1453" s="947">
        <v>415794</v>
      </c>
      <c r="C1453" s="947" t="s">
        <v>2189</v>
      </c>
      <c r="D1453" s="947" t="s">
        <v>3039</v>
      </c>
      <c r="E1453" s="951">
        <v>109</v>
      </c>
      <c r="F1453" s="951">
        <v>77</v>
      </c>
      <c r="G1453" s="947" t="s">
        <v>3252</v>
      </c>
      <c r="H1453" s="951">
        <v>0</v>
      </c>
      <c r="I1453" s="951">
        <v>0</v>
      </c>
      <c r="J1453" s="947" t="s">
        <v>390</v>
      </c>
      <c r="K1453" s="947">
        <v>415794</v>
      </c>
      <c r="M1453" s="631"/>
      <c r="P1453" s="950" t="str">
        <f>VLOOKUP(J1453,'רשימת רשויות'!A:A,1,0)</f>
        <v>רמלה</v>
      </c>
      <c r="Q1453" s="956">
        <f>IFERROR(VLOOKUP(B1453,[2]מעובד!$D:$K,8,0),0)</f>
        <v>0</v>
      </c>
      <c r="R1453" s="956">
        <f>IFERROR(VLOOKUP(B1453,[2]מעובד!$D:$L,9,0),0)</f>
        <v>0</v>
      </c>
    </row>
    <row r="1454" spans="1:18" x14ac:dyDescent="0.2">
      <c r="A1454" s="947" t="s">
        <v>363</v>
      </c>
      <c r="B1454" s="947">
        <v>415828</v>
      </c>
      <c r="C1454" s="947" t="s">
        <v>2189</v>
      </c>
      <c r="D1454" s="947" t="s">
        <v>1469</v>
      </c>
      <c r="E1454" s="951">
        <v>158</v>
      </c>
      <c r="F1454" s="951">
        <v>158</v>
      </c>
      <c r="G1454" s="947" t="s">
        <v>3252</v>
      </c>
      <c r="H1454" s="951">
        <v>0</v>
      </c>
      <c r="I1454" s="951">
        <v>0</v>
      </c>
      <c r="J1454" s="947" t="s">
        <v>363</v>
      </c>
      <c r="K1454" s="947">
        <v>415828</v>
      </c>
      <c r="M1454" s="631"/>
      <c r="P1454" s="950" t="str">
        <f>VLOOKUP(J1454,'רשימת רשויות'!A:A,1,0)</f>
        <v>פתח תקוה</v>
      </c>
      <c r="Q1454" s="956">
        <f>IFERROR(VLOOKUP(B1454,[2]מעובד!$D:$K,8,0),0)</f>
        <v>155</v>
      </c>
      <c r="R1454" s="956">
        <f>IFERROR(VLOOKUP(B1454,[2]מעובד!$D:$L,9,0),0)</f>
        <v>90</v>
      </c>
    </row>
    <row r="1455" spans="1:18" x14ac:dyDescent="0.2">
      <c r="A1455" s="947" t="s">
        <v>363</v>
      </c>
      <c r="B1455" s="947">
        <v>415836</v>
      </c>
      <c r="C1455" s="947" t="s">
        <v>2189</v>
      </c>
      <c r="D1455" s="947" t="s">
        <v>726</v>
      </c>
      <c r="E1455" s="951">
        <v>158</v>
      </c>
      <c r="F1455" s="951">
        <v>136</v>
      </c>
      <c r="G1455" s="947" t="s">
        <v>3252</v>
      </c>
      <c r="H1455" s="951">
        <v>114</v>
      </c>
      <c r="I1455" s="951">
        <v>22</v>
      </c>
      <c r="J1455" s="947" t="s">
        <v>363</v>
      </c>
      <c r="K1455" s="947">
        <v>415836</v>
      </c>
      <c r="M1455" s="631"/>
      <c r="P1455" s="950" t="str">
        <f>VLOOKUP(J1455,'רשימת רשויות'!A:A,1,0)</f>
        <v>פתח תקוה</v>
      </c>
      <c r="Q1455" s="956">
        <f>IFERROR(VLOOKUP(B1455,[2]מעובד!$D:$K,8,0),0)</f>
        <v>117</v>
      </c>
      <c r="R1455" s="956">
        <f>IFERROR(VLOOKUP(B1455,[2]מעובד!$D:$L,9,0),0)</f>
        <v>94</v>
      </c>
    </row>
    <row r="1456" spans="1:18" x14ac:dyDescent="0.2">
      <c r="A1456" s="947" t="s">
        <v>198</v>
      </c>
      <c r="B1456" s="947">
        <v>415877</v>
      </c>
      <c r="C1456" s="947" t="s">
        <v>2189</v>
      </c>
      <c r="D1456" s="947" t="s">
        <v>2225</v>
      </c>
      <c r="E1456" s="951">
        <v>97</v>
      </c>
      <c r="F1456" s="951">
        <v>95</v>
      </c>
      <c r="G1456" s="947" t="s">
        <v>3252</v>
      </c>
      <c r="H1456" s="951">
        <v>0</v>
      </c>
      <c r="I1456" s="951">
        <v>0</v>
      </c>
      <c r="J1456" s="947" t="s">
        <v>198</v>
      </c>
      <c r="K1456" s="947">
        <v>415877</v>
      </c>
      <c r="M1456" s="631"/>
      <c r="P1456" s="950" t="str">
        <f>VLOOKUP(J1456,'רשימת רשויות'!A:A,1,0)</f>
        <v>בני ברק</v>
      </c>
      <c r="Q1456" s="956">
        <f>IFERROR(VLOOKUP(B1456,[2]מעובד!$D:$K,8,0),0)</f>
        <v>0</v>
      </c>
      <c r="R1456" s="956">
        <f>IFERROR(VLOOKUP(B1456,[2]מעובד!$D:$L,9,0),0)</f>
        <v>0</v>
      </c>
    </row>
    <row r="1457" spans="1:18" x14ac:dyDescent="0.2">
      <c r="A1457" s="947" t="s">
        <v>395</v>
      </c>
      <c r="B1457" s="947">
        <v>415885</v>
      </c>
      <c r="C1457" s="947" t="s">
        <v>2189</v>
      </c>
      <c r="D1457" s="947" t="s">
        <v>1553</v>
      </c>
      <c r="E1457" s="951">
        <v>307</v>
      </c>
      <c r="F1457" s="951">
        <v>304</v>
      </c>
      <c r="G1457" s="947" t="s">
        <v>159</v>
      </c>
      <c r="H1457" s="951">
        <v>0</v>
      </c>
      <c r="I1457" s="951">
        <v>0</v>
      </c>
      <c r="J1457" s="947" t="s">
        <v>395</v>
      </c>
      <c r="K1457" s="947">
        <v>415885</v>
      </c>
      <c r="M1457" s="631"/>
      <c r="P1457" s="950" t="str">
        <f>VLOOKUP(J1457,'רשימת רשויות'!A:A,1,0)</f>
        <v>רעננה</v>
      </c>
      <c r="Q1457" s="956">
        <f>IFERROR(VLOOKUP(B1457,[2]מעובד!$D:$K,8,0),0)</f>
        <v>334</v>
      </c>
      <c r="R1457" s="956">
        <f>IFERROR(VLOOKUP(B1457,[2]מעובד!$D:$L,9,0),0)</f>
        <v>89</v>
      </c>
    </row>
    <row r="1458" spans="1:18" x14ac:dyDescent="0.2">
      <c r="A1458" s="947" t="s">
        <v>284</v>
      </c>
      <c r="B1458" s="947">
        <v>415893</v>
      </c>
      <c r="C1458" s="947" t="s">
        <v>2189</v>
      </c>
      <c r="D1458" s="947" t="s">
        <v>1559</v>
      </c>
      <c r="E1458" s="951">
        <v>97</v>
      </c>
      <c r="F1458" s="951">
        <v>70</v>
      </c>
      <c r="G1458" s="947" t="s">
        <v>159</v>
      </c>
      <c r="H1458" s="951">
        <v>0</v>
      </c>
      <c r="I1458" s="951">
        <v>0</v>
      </c>
      <c r="J1458" s="947" t="s">
        <v>284</v>
      </c>
      <c r="K1458" s="947">
        <v>415893</v>
      </c>
      <c r="M1458" s="631"/>
      <c r="P1458" s="950" t="str">
        <f>VLOOKUP(J1458,'רשימת רשויות'!A:A,1,0)</f>
        <v>כפר סבא</v>
      </c>
      <c r="Q1458" s="956">
        <f>IFERROR(VLOOKUP(B1458,[2]מעובד!$D:$K,8,0),0)</f>
        <v>0</v>
      </c>
      <c r="R1458" s="956">
        <f>IFERROR(VLOOKUP(B1458,[2]מעובד!$D:$L,9,0),0)</f>
        <v>0</v>
      </c>
    </row>
    <row r="1459" spans="1:18" x14ac:dyDescent="0.2">
      <c r="A1459" s="947" t="s">
        <v>385</v>
      </c>
      <c r="B1459" s="947">
        <v>415927</v>
      </c>
      <c r="C1459" s="947" t="s">
        <v>2189</v>
      </c>
      <c r="D1459" s="947" t="s">
        <v>3040</v>
      </c>
      <c r="E1459" s="951">
        <v>149</v>
      </c>
      <c r="F1459" s="951">
        <v>88</v>
      </c>
      <c r="G1459" s="947" t="s">
        <v>159</v>
      </c>
      <c r="H1459" s="951">
        <v>117</v>
      </c>
      <c r="I1459" s="951">
        <v>11</v>
      </c>
      <c r="J1459" s="947" t="s">
        <v>385</v>
      </c>
      <c r="K1459" s="947">
        <v>415927</v>
      </c>
      <c r="M1459" s="631"/>
      <c r="P1459" s="950" t="str">
        <f>VLOOKUP(J1459,'רשימת רשויות'!A:A,1,0)</f>
        <v>ראשון לציון</v>
      </c>
      <c r="Q1459" s="956">
        <f>IFERROR(VLOOKUP(B1459,[2]מעובד!$D:$K,8,0),0)</f>
        <v>158</v>
      </c>
      <c r="R1459" s="956">
        <f>IFERROR(VLOOKUP(B1459,[2]מעובד!$D:$L,9,0),0)</f>
        <v>72</v>
      </c>
    </row>
    <row r="1460" spans="1:18" x14ac:dyDescent="0.2">
      <c r="A1460" s="947" t="s">
        <v>390</v>
      </c>
      <c r="B1460" s="947">
        <v>415935</v>
      </c>
      <c r="C1460" s="947" t="s">
        <v>2189</v>
      </c>
      <c r="D1460" s="947" t="s">
        <v>1554</v>
      </c>
      <c r="E1460" s="951">
        <v>86</v>
      </c>
      <c r="F1460" s="951">
        <v>40</v>
      </c>
      <c r="G1460" s="947" t="s">
        <v>159</v>
      </c>
      <c r="H1460" s="951">
        <v>0</v>
      </c>
      <c r="I1460" s="951">
        <v>0</v>
      </c>
      <c r="J1460" s="947" t="s">
        <v>390</v>
      </c>
      <c r="K1460" s="957" t="s">
        <v>3313</v>
      </c>
      <c r="M1460" s="631"/>
      <c r="P1460" s="950" t="str">
        <f>VLOOKUP(J1460,'רשימת רשויות'!A:A,1,0)</f>
        <v>רמלה</v>
      </c>
      <c r="Q1460" s="956">
        <f>IFERROR(VLOOKUP(B1460,[2]מעובד!$D:$K,8,0),0)</f>
        <v>74</v>
      </c>
      <c r="R1460" s="956">
        <f>IFERROR(VLOOKUP(B1460,[2]מעובד!$D:$L,9,0),0)</f>
        <v>61</v>
      </c>
    </row>
    <row r="1461" spans="1:18" x14ac:dyDescent="0.2">
      <c r="A1461" s="947" t="s">
        <v>385</v>
      </c>
      <c r="B1461" s="947">
        <v>415943</v>
      </c>
      <c r="C1461" s="947" t="s">
        <v>2189</v>
      </c>
      <c r="D1461" s="947" t="s">
        <v>626</v>
      </c>
      <c r="E1461" s="951">
        <v>182</v>
      </c>
      <c r="F1461" s="951">
        <v>129</v>
      </c>
      <c r="G1461" s="947" t="s">
        <v>159</v>
      </c>
      <c r="H1461" s="951">
        <v>137</v>
      </c>
      <c r="I1461" s="951">
        <v>5</v>
      </c>
      <c r="J1461" s="947" t="s">
        <v>385</v>
      </c>
      <c r="K1461" s="947">
        <v>415943</v>
      </c>
      <c r="M1461" s="631"/>
      <c r="P1461" s="950" t="str">
        <f>VLOOKUP(J1461,'רשימת רשויות'!A:A,1,0)</f>
        <v>ראשון לציון</v>
      </c>
      <c r="Q1461" s="956">
        <f>IFERROR(VLOOKUP(B1461,[2]מעובד!$D:$K,8,0),0)</f>
        <v>149</v>
      </c>
      <c r="R1461" s="956">
        <f>IFERROR(VLOOKUP(B1461,[2]מעובד!$D:$L,9,0),0)</f>
        <v>82</v>
      </c>
    </row>
    <row r="1462" spans="1:18" x14ac:dyDescent="0.2">
      <c r="A1462" s="947" t="s">
        <v>409</v>
      </c>
      <c r="B1462" s="947">
        <v>415950</v>
      </c>
      <c r="C1462" s="947" t="s">
        <v>2189</v>
      </c>
      <c r="D1462" s="947" t="s">
        <v>651</v>
      </c>
      <c r="E1462" s="951">
        <v>192</v>
      </c>
      <c r="F1462" s="951">
        <v>145</v>
      </c>
      <c r="G1462" s="947" t="s">
        <v>159</v>
      </c>
      <c r="H1462" s="951">
        <v>0</v>
      </c>
      <c r="I1462" s="951">
        <v>0</v>
      </c>
      <c r="J1462" s="947" t="s">
        <v>409</v>
      </c>
      <c r="K1462" s="947">
        <v>415950</v>
      </c>
      <c r="M1462" s="631"/>
      <c r="P1462" s="950" t="str">
        <f>VLOOKUP(J1462,'רשימת רשויות'!A:A,1,0)</f>
        <v>תל מונד</v>
      </c>
      <c r="Q1462" s="956">
        <f>IFERROR(VLOOKUP(B1462,[2]מעובד!$D:$K,8,0),0)</f>
        <v>318</v>
      </c>
      <c r="R1462" s="956">
        <f>IFERROR(VLOOKUP(B1462,[2]מעובד!$D:$L,9,0),0)</f>
        <v>77</v>
      </c>
    </row>
    <row r="1463" spans="1:18" x14ac:dyDescent="0.2">
      <c r="A1463" s="947" t="s">
        <v>363</v>
      </c>
      <c r="B1463" s="947">
        <v>415968</v>
      </c>
      <c r="C1463" s="947" t="s">
        <v>2189</v>
      </c>
      <c r="D1463" s="947" t="s">
        <v>2427</v>
      </c>
      <c r="E1463" s="951">
        <v>292</v>
      </c>
      <c r="F1463" s="951">
        <v>292</v>
      </c>
      <c r="G1463" s="947" t="s">
        <v>3252</v>
      </c>
      <c r="H1463" s="951">
        <v>0</v>
      </c>
      <c r="I1463" s="951">
        <v>0</v>
      </c>
      <c r="J1463" s="947" t="s">
        <v>363</v>
      </c>
      <c r="K1463" s="947">
        <v>415968</v>
      </c>
      <c r="M1463" s="631"/>
      <c r="P1463" s="950" t="str">
        <f>VLOOKUP(J1463,'רשימת רשויות'!A:A,1,0)</f>
        <v>פתח תקוה</v>
      </c>
      <c r="Q1463" s="956">
        <f>IFERROR(VLOOKUP(B1463,[2]מעובד!$D:$K,8,0),0)</f>
        <v>276</v>
      </c>
      <c r="R1463" s="956">
        <f>IFERROR(VLOOKUP(B1463,[2]מעובד!$D:$L,9,0),0)</f>
        <v>275</v>
      </c>
    </row>
    <row r="1464" spans="1:18" x14ac:dyDescent="0.2">
      <c r="A1464" s="947" t="s">
        <v>220</v>
      </c>
      <c r="B1464" s="947">
        <v>415976</v>
      </c>
      <c r="C1464" s="947" t="s">
        <v>2189</v>
      </c>
      <c r="D1464" s="947" t="s">
        <v>1561</v>
      </c>
      <c r="E1464" s="951">
        <v>132</v>
      </c>
      <c r="F1464" s="951">
        <v>83</v>
      </c>
      <c r="G1464" s="947" t="s">
        <v>159</v>
      </c>
      <c r="H1464" s="951">
        <v>0</v>
      </c>
      <c r="I1464" s="951">
        <v>0</v>
      </c>
      <c r="J1464" s="947" t="s">
        <v>220</v>
      </c>
      <c r="K1464" s="947">
        <v>415976</v>
      </c>
      <c r="M1464" s="631"/>
      <c r="P1464" s="950" t="str">
        <f>VLOOKUP(J1464,'רשימת רשויות'!A:A,1,0)</f>
        <v>גזר</v>
      </c>
      <c r="Q1464" s="956">
        <f>IFERROR(VLOOKUP(B1464,[2]מעובד!$D:$K,8,0),0)</f>
        <v>138</v>
      </c>
      <c r="R1464" s="956">
        <f>IFERROR(VLOOKUP(B1464,[2]מעובד!$D:$L,9,0),0)</f>
        <v>61</v>
      </c>
    </row>
    <row r="1465" spans="1:18" x14ac:dyDescent="0.2">
      <c r="A1465" s="947" t="s">
        <v>293</v>
      </c>
      <c r="B1465" s="947">
        <v>415984</v>
      </c>
      <c r="C1465" s="947" t="s">
        <v>2189</v>
      </c>
      <c r="D1465" s="947" t="s">
        <v>2428</v>
      </c>
      <c r="E1465" s="951">
        <v>136</v>
      </c>
      <c r="F1465" s="951">
        <v>123</v>
      </c>
      <c r="G1465" s="947" t="s">
        <v>159</v>
      </c>
      <c r="H1465" s="951">
        <v>0</v>
      </c>
      <c r="I1465" s="951">
        <v>0</v>
      </c>
      <c r="J1465" s="947" t="s">
        <v>293</v>
      </c>
      <c r="K1465" s="947">
        <v>415984</v>
      </c>
      <c r="M1465" s="631"/>
      <c r="P1465" s="950" t="str">
        <f>VLOOKUP(J1465,'רשימת רשויות'!A:A,1,0)</f>
        <v>לוד</v>
      </c>
      <c r="Q1465" s="956">
        <f>IFERROR(VLOOKUP(B1465,[2]מעובד!$D:$K,8,0),0)</f>
        <v>130</v>
      </c>
      <c r="R1465" s="956">
        <f>IFERROR(VLOOKUP(B1465,[2]מעובד!$D:$L,9,0),0)</f>
        <v>130</v>
      </c>
    </row>
    <row r="1466" spans="1:18" x14ac:dyDescent="0.2">
      <c r="A1466" s="947" t="s">
        <v>186</v>
      </c>
      <c r="B1466" s="947">
        <v>415992</v>
      </c>
      <c r="C1466" s="947" t="s">
        <v>2189</v>
      </c>
      <c r="D1466" s="947" t="s">
        <v>932</v>
      </c>
      <c r="E1466" s="951">
        <v>251</v>
      </c>
      <c r="F1466" s="951">
        <v>163</v>
      </c>
      <c r="G1466" s="947" t="s">
        <v>159</v>
      </c>
      <c r="H1466" s="951">
        <v>198</v>
      </c>
      <c r="I1466" s="951">
        <v>21</v>
      </c>
      <c r="J1466" s="947" t="s">
        <v>186</v>
      </c>
      <c r="K1466" s="947">
        <v>415992</v>
      </c>
      <c r="M1466" s="631"/>
      <c r="P1466" s="950" t="str">
        <f>VLOOKUP(J1466,'רשימת רשויות'!A:A,1,0)</f>
        <v>באר יעקב</v>
      </c>
      <c r="Q1466" s="956">
        <f>IFERROR(VLOOKUP(B1466,[2]מעובד!$D:$K,8,0),0)</f>
        <v>0</v>
      </c>
      <c r="R1466" s="956">
        <f>IFERROR(VLOOKUP(B1466,[2]מעובד!$D:$L,9,0),0)</f>
        <v>0</v>
      </c>
    </row>
    <row r="1467" spans="1:18" x14ac:dyDescent="0.2">
      <c r="A1467" s="947" t="s">
        <v>221</v>
      </c>
      <c r="B1467" s="947">
        <v>416008</v>
      </c>
      <c r="C1467" s="947" t="s">
        <v>2189</v>
      </c>
      <c r="D1467" s="947" t="s">
        <v>439</v>
      </c>
      <c r="E1467" s="951">
        <v>198</v>
      </c>
      <c r="F1467" s="951">
        <v>114</v>
      </c>
      <c r="G1467" s="947" t="s">
        <v>159</v>
      </c>
      <c r="H1467" s="951">
        <v>0</v>
      </c>
      <c r="I1467" s="951">
        <v>0</v>
      </c>
      <c r="J1467" s="947" t="s">
        <v>221</v>
      </c>
      <c r="K1467" s="947">
        <v>416008</v>
      </c>
      <c r="M1467" s="631"/>
      <c r="P1467" s="950" t="str">
        <f>VLOOKUP(J1467,'רשימת רשויות'!A:A,1,0)</f>
        <v>גן יבנה</v>
      </c>
      <c r="Q1467" s="956">
        <f>IFERROR(VLOOKUP(B1467,[2]מעובד!$D:$K,8,0),0)</f>
        <v>269</v>
      </c>
      <c r="R1467" s="956">
        <f>IFERROR(VLOOKUP(B1467,[2]מעובד!$D:$L,9,0),0)</f>
        <v>48</v>
      </c>
    </row>
    <row r="1468" spans="1:18" x14ac:dyDescent="0.2">
      <c r="A1468" s="947" t="s">
        <v>215</v>
      </c>
      <c r="B1468" s="947">
        <v>416016</v>
      </c>
      <c r="C1468" s="947" t="s">
        <v>2189</v>
      </c>
      <c r="D1468" s="947" t="s">
        <v>1518</v>
      </c>
      <c r="E1468" s="951">
        <v>172</v>
      </c>
      <c r="F1468" s="951">
        <v>90</v>
      </c>
      <c r="G1468" s="947" t="s">
        <v>159</v>
      </c>
      <c r="H1468" s="951">
        <v>129</v>
      </c>
      <c r="I1468" s="951">
        <v>0</v>
      </c>
      <c r="J1468" s="947" t="s">
        <v>215</v>
      </c>
      <c r="K1468" s="947">
        <v>416016</v>
      </c>
      <c r="M1468" s="631"/>
      <c r="P1468" s="950" t="str">
        <f>VLOOKUP(J1468,'רשימת רשויות'!A:A,1,0)</f>
        <v>גדרה</v>
      </c>
      <c r="Q1468" s="956">
        <f>IFERROR(VLOOKUP(B1468,[2]מעובד!$D:$K,8,0),0)</f>
        <v>174</v>
      </c>
      <c r="R1468" s="956">
        <f>IFERROR(VLOOKUP(B1468,[2]מעובד!$D:$L,9,0),0)</f>
        <v>62</v>
      </c>
    </row>
    <row r="1469" spans="1:18" x14ac:dyDescent="0.2">
      <c r="A1469" s="947" t="s">
        <v>385</v>
      </c>
      <c r="B1469" s="947">
        <v>416024</v>
      </c>
      <c r="C1469" s="947" t="s">
        <v>2189</v>
      </c>
      <c r="D1469" s="947" t="s">
        <v>1610</v>
      </c>
      <c r="E1469" s="951">
        <v>85</v>
      </c>
      <c r="F1469" s="951">
        <v>51</v>
      </c>
      <c r="G1469" s="947" t="s">
        <v>159</v>
      </c>
      <c r="H1469" s="951">
        <v>0</v>
      </c>
      <c r="I1469" s="951">
        <v>0</v>
      </c>
      <c r="J1469" s="947" t="s">
        <v>385</v>
      </c>
      <c r="K1469" s="947">
        <v>416024</v>
      </c>
      <c r="M1469" s="631"/>
      <c r="P1469" s="950" t="str">
        <f>VLOOKUP(J1469,'רשימת רשויות'!A:A,1,0)</f>
        <v>ראשון לציון</v>
      </c>
      <c r="Q1469" s="956">
        <f>IFERROR(VLOOKUP(B1469,[2]מעובד!$D:$K,8,0),0)</f>
        <v>138</v>
      </c>
      <c r="R1469" s="956">
        <f>IFERROR(VLOOKUP(B1469,[2]מעובד!$D:$L,9,0),0)</f>
        <v>75</v>
      </c>
    </row>
    <row r="1470" spans="1:18" x14ac:dyDescent="0.2">
      <c r="A1470" s="947" t="s">
        <v>293</v>
      </c>
      <c r="B1470" s="947">
        <v>416032</v>
      </c>
      <c r="C1470" s="947" t="s">
        <v>2189</v>
      </c>
      <c r="D1470" s="947" t="s">
        <v>2731</v>
      </c>
      <c r="E1470" s="951">
        <v>38</v>
      </c>
      <c r="F1470" s="951">
        <v>38</v>
      </c>
      <c r="G1470" s="947" t="s">
        <v>159</v>
      </c>
      <c r="H1470" s="951">
        <v>0</v>
      </c>
      <c r="I1470" s="951">
        <v>0</v>
      </c>
      <c r="J1470" s="947" t="s">
        <v>293</v>
      </c>
      <c r="K1470" s="957" t="s">
        <v>3314</v>
      </c>
      <c r="M1470" s="631"/>
      <c r="P1470" s="950" t="str">
        <f>VLOOKUP(J1470,'רשימת רשויות'!A:A,1,0)</f>
        <v>לוד</v>
      </c>
      <c r="Q1470" s="956">
        <f>IFERROR(VLOOKUP(B1470,[2]מעובד!$D:$K,8,0),0)</f>
        <v>0</v>
      </c>
      <c r="R1470" s="956">
        <f>IFERROR(VLOOKUP(B1470,[2]מעובד!$D:$L,9,0),0)</f>
        <v>0</v>
      </c>
    </row>
    <row r="1471" spans="1:18" x14ac:dyDescent="0.2">
      <c r="A1471" s="947" t="s">
        <v>293</v>
      </c>
      <c r="B1471" s="947">
        <v>416040</v>
      </c>
      <c r="C1471" s="947" t="s">
        <v>2189</v>
      </c>
      <c r="D1471" s="947" t="s">
        <v>1611</v>
      </c>
      <c r="E1471" s="951">
        <v>130</v>
      </c>
      <c r="F1471" s="951">
        <v>114</v>
      </c>
      <c r="G1471" s="947" t="s">
        <v>159</v>
      </c>
      <c r="H1471" s="951">
        <v>82</v>
      </c>
      <c r="I1471" s="951">
        <v>15</v>
      </c>
      <c r="J1471" s="947" t="s">
        <v>293</v>
      </c>
      <c r="K1471" s="947">
        <v>416040</v>
      </c>
      <c r="M1471" s="631"/>
      <c r="P1471" s="950" t="str">
        <f>VLOOKUP(J1471,'רשימת רשויות'!A:A,1,0)</f>
        <v>לוד</v>
      </c>
      <c r="Q1471" s="956">
        <f>IFERROR(VLOOKUP(B1471,[2]מעובד!$D:$K,8,0),0)</f>
        <v>132</v>
      </c>
      <c r="R1471" s="956">
        <f>IFERROR(VLOOKUP(B1471,[2]מעובד!$D:$L,9,0),0)</f>
        <v>132</v>
      </c>
    </row>
    <row r="1472" spans="1:18" x14ac:dyDescent="0.2">
      <c r="A1472" s="947" t="s">
        <v>336</v>
      </c>
      <c r="B1472" s="947">
        <v>416099</v>
      </c>
      <c r="C1472" s="947" t="s">
        <v>2189</v>
      </c>
      <c r="D1472" s="947" t="s">
        <v>2226</v>
      </c>
      <c r="E1472" s="951">
        <v>132</v>
      </c>
      <c r="F1472" s="951">
        <v>80</v>
      </c>
      <c r="G1472" s="947" t="s">
        <v>3252</v>
      </c>
      <c r="H1472" s="951">
        <v>0</v>
      </c>
      <c r="I1472" s="951">
        <v>0</v>
      </c>
      <c r="J1472" s="947" t="s">
        <v>336</v>
      </c>
      <c r="K1472" s="947">
        <v>416099</v>
      </c>
      <c r="M1472" s="631"/>
      <c r="P1472" s="950" t="str">
        <f>VLOOKUP(J1472,'רשימת רשויות'!A:A,1,0)</f>
        <v>נתניה</v>
      </c>
      <c r="Q1472" s="956">
        <f>IFERROR(VLOOKUP(B1472,[2]מעובד!$D:$K,8,0),0)</f>
        <v>0</v>
      </c>
      <c r="R1472" s="956">
        <f>IFERROR(VLOOKUP(B1472,[2]מעובד!$D:$L,9,0),0)</f>
        <v>62</v>
      </c>
    </row>
    <row r="1473" spans="1:18" x14ac:dyDescent="0.2">
      <c r="A1473" s="947" t="s">
        <v>363</v>
      </c>
      <c r="B1473" s="947">
        <v>416131</v>
      </c>
      <c r="C1473" s="947" t="s">
        <v>2189</v>
      </c>
      <c r="D1473" s="947" t="s">
        <v>697</v>
      </c>
      <c r="E1473" s="951">
        <v>97</v>
      </c>
      <c r="F1473" s="951">
        <v>96</v>
      </c>
      <c r="G1473" s="947" t="s">
        <v>159</v>
      </c>
      <c r="H1473" s="951">
        <v>0</v>
      </c>
      <c r="I1473" s="951">
        <v>0</v>
      </c>
      <c r="J1473" s="947" t="s">
        <v>363</v>
      </c>
      <c r="K1473" s="947">
        <v>416131</v>
      </c>
      <c r="M1473" s="631"/>
      <c r="P1473" s="950" t="str">
        <f>VLOOKUP(J1473,'רשימת רשויות'!A:A,1,0)</f>
        <v>פתח תקוה</v>
      </c>
      <c r="Q1473" s="956">
        <f>IFERROR(VLOOKUP(B1473,[2]מעובד!$D:$K,8,0),0)</f>
        <v>113</v>
      </c>
      <c r="R1473" s="956">
        <f>IFERROR(VLOOKUP(B1473,[2]מעובד!$D:$L,9,0),0)</f>
        <v>72</v>
      </c>
    </row>
    <row r="1474" spans="1:18" x14ac:dyDescent="0.2">
      <c r="A1474" s="947" t="s">
        <v>281</v>
      </c>
      <c r="B1474" s="947">
        <v>416156</v>
      </c>
      <c r="C1474" s="947" t="s">
        <v>2189</v>
      </c>
      <c r="D1474" s="947" t="s">
        <v>3041</v>
      </c>
      <c r="E1474" s="951">
        <v>68</v>
      </c>
      <c r="F1474" s="951">
        <v>68</v>
      </c>
      <c r="G1474" s="947" t="s">
        <v>3252</v>
      </c>
      <c r="H1474" s="951">
        <v>0</v>
      </c>
      <c r="I1474" s="951">
        <v>0</v>
      </c>
      <c r="J1474" s="947" t="s">
        <v>281</v>
      </c>
      <c r="K1474" s="947">
        <v>416156</v>
      </c>
      <c r="M1474" s="631"/>
      <c r="P1474" s="950" t="str">
        <f>VLOOKUP(J1474,'רשימת רשויות'!A:A,1,0)</f>
        <v>כפר יונה</v>
      </c>
      <c r="Q1474" s="956">
        <f>IFERROR(VLOOKUP(B1474,[2]מעובד!$D:$K,8,0),0)</f>
        <v>0</v>
      </c>
      <c r="R1474" s="956">
        <f>IFERROR(VLOOKUP(B1474,[2]מעובד!$D:$L,9,0),0)</f>
        <v>0</v>
      </c>
    </row>
    <row r="1475" spans="1:18" x14ac:dyDescent="0.2">
      <c r="A1475" s="947" t="s">
        <v>336</v>
      </c>
      <c r="B1475" s="947">
        <v>416164</v>
      </c>
      <c r="C1475" s="947" t="s">
        <v>2189</v>
      </c>
      <c r="D1475" s="947" t="s">
        <v>448</v>
      </c>
      <c r="E1475" s="951">
        <v>153</v>
      </c>
      <c r="F1475" s="951">
        <v>123</v>
      </c>
      <c r="G1475" s="947" t="s">
        <v>159</v>
      </c>
      <c r="H1475" s="951">
        <v>60</v>
      </c>
      <c r="I1475" s="951">
        <v>8</v>
      </c>
      <c r="J1475" s="947" t="s">
        <v>336</v>
      </c>
      <c r="K1475" s="947">
        <v>416164</v>
      </c>
      <c r="M1475" s="631"/>
      <c r="P1475" s="950" t="str">
        <f>VLOOKUP(J1475,'רשימת רשויות'!A:A,1,0)</f>
        <v>נתניה</v>
      </c>
      <c r="Q1475" s="956">
        <f>IFERROR(VLOOKUP(B1475,[2]מעובד!$D:$K,8,0),0)</f>
        <v>178</v>
      </c>
      <c r="R1475" s="956">
        <f>IFERROR(VLOOKUP(B1475,[2]מעובד!$D:$L,9,0),0)</f>
        <v>47</v>
      </c>
    </row>
    <row r="1476" spans="1:18" x14ac:dyDescent="0.2">
      <c r="A1476" s="947" t="s">
        <v>364</v>
      </c>
      <c r="B1476" s="947">
        <v>416172</v>
      </c>
      <c r="C1476" s="947" t="s">
        <v>2189</v>
      </c>
      <c r="D1476" s="947" t="s">
        <v>2429</v>
      </c>
      <c r="E1476" s="951">
        <v>66</v>
      </c>
      <c r="F1476" s="951">
        <v>42</v>
      </c>
      <c r="G1476" s="947" t="s">
        <v>3252</v>
      </c>
      <c r="H1476" s="951">
        <v>0</v>
      </c>
      <c r="I1476" s="951">
        <v>0</v>
      </c>
      <c r="J1476" s="947" t="s">
        <v>364</v>
      </c>
      <c r="K1476" s="947">
        <v>416172</v>
      </c>
      <c r="M1476" s="631"/>
      <c r="P1476" s="950" t="str">
        <f>VLOOKUP(J1476,'רשימת רשויות'!A:A,1,0)</f>
        <v>צורן קדימה</v>
      </c>
      <c r="Q1476" s="956">
        <f>IFERROR(VLOOKUP(B1476,[2]מעובד!$D:$K,8,0),0)</f>
        <v>0</v>
      </c>
      <c r="R1476" s="956">
        <f>IFERROR(VLOOKUP(B1476,[2]מעובד!$D:$L,9,0),0)</f>
        <v>0</v>
      </c>
    </row>
    <row r="1477" spans="1:18" x14ac:dyDescent="0.2">
      <c r="A1477" s="947" t="s">
        <v>363</v>
      </c>
      <c r="B1477" s="947">
        <v>416198</v>
      </c>
      <c r="C1477" s="947" t="s">
        <v>2189</v>
      </c>
      <c r="D1477" s="947" t="s">
        <v>1657</v>
      </c>
      <c r="E1477" s="951">
        <v>69</v>
      </c>
      <c r="F1477" s="951">
        <v>69</v>
      </c>
      <c r="G1477" s="947" t="s">
        <v>3252</v>
      </c>
      <c r="H1477" s="951">
        <v>0</v>
      </c>
      <c r="I1477" s="951">
        <v>0</v>
      </c>
      <c r="J1477" s="947" t="s">
        <v>363</v>
      </c>
      <c r="K1477" s="947">
        <v>416198</v>
      </c>
      <c r="M1477" s="631"/>
      <c r="P1477" s="950" t="str">
        <f>VLOOKUP(J1477,'רשימת רשויות'!A:A,1,0)</f>
        <v>פתח תקוה</v>
      </c>
      <c r="Q1477" s="956">
        <f>IFERROR(VLOOKUP(B1477,[2]מעובד!$D:$K,8,0),0)</f>
        <v>0</v>
      </c>
      <c r="R1477" s="956">
        <f>IFERROR(VLOOKUP(B1477,[2]מעובד!$D:$L,9,0),0)</f>
        <v>68</v>
      </c>
    </row>
    <row r="1478" spans="1:18" x14ac:dyDescent="0.2">
      <c r="A1478" s="947" t="s">
        <v>385</v>
      </c>
      <c r="B1478" s="947">
        <v>416206</v>
      </c>
      <c r="C1478" s="947" t="s">
        <v>2189</v>
      </c>
      <c r="D1478" s="947" t="s">
        <v>1658</v>
      </c>
      <c r="E1478" s="951">
        <v>118</v>
      </c>
      <c r="F1478" s="951">
        <v>74</v>
      </c>
      <c r="G1478" s="947" t="s">
        <v>3252</v>
      </c>
      <c r="H1478" s="951">
        <v>0</v>
      </c>
      <c r="I1478" s="951">
        <v>0</v>
      </c>
      <c r="J1478" s="947" t="s">
        <v>385</v>
      </c>
      <c r="K1478" s="947">
        <v>416206</v>
      </c>
      <c r="M1478" s="631"/>
      <c r="P1478" s="950" t="str">
        <f>VLOOKUP(J1478,'רשימת רשויות'!A:A,1,0)</f>
        <v>ראשון לציון</v>
      </c>
      <c r="Q1478" s="956">
        <f>IFERROR(VLOOKUP(B1478,[2]מעובד!$D:$K,8,0),0)</f>
        <v>0</v>
      </c>
      <c r="R1478" s="956">
        <f>IFERROR(VLOOKUP(B1478,[2]מעובד!$D:$L,9,0),0)</f>
        <v>0</v>
      </c>
    </row>
    <row r="1479" spans="1:18" x14ac:dyDescent="0.2">
      <c r="A1479" s="947" t="s">
        <v>402</v>
      </c>
      <c r="B1479" s="947">
        <v>416214</v>
      </c>
      <c r="C1479" s="947" t="s">
        <v>2189</v>
      </c>
      <c r="D1479" s="947" t="s">
        <v>2083</v>
      </c>
      <c r="E1479" s="951">
        <v>160</v>
      </c>
      <c r="F1479" s="951">
        <v>147</v>
      </c>
      <c r="G1479" s="947" t="s">
        <v>159</v>
      </c>
      <c r="H1479" s="951">
        <v>0</v>
      </c>
      <c r="I1479" s="951">
        <v>0</v>
      </c>
      <c r="J1479" s="947" t="s">
        <v>402</v>
      </c>
      <c r="K1479" s="947">
        <v>416214</v>
      </c>
      <c r="M1479" s="631"/>
      <c r="P1479" s="950" t="str">
        <f>VLOOKUP(J1479,'רשימת רשויות'!A:A,1,0)</f>
        <v>שומרון</v>
      </c>
      <c r="Q1479" s="956">
        <f>IFERROR(VLOOKUP(B1479,[2]מעובד!$D:$K,8,0),0)</f>
        <v>231</v>
      </c>
      <c r="R1479" s="956">
        <f>IFERROR(VLOOKUP(B1479,[2]מעובד!$D:$L,9,0),0)</f>
        <v>173</v>
      </c>
    </row>
    <row r="1480" spans="1:18" x14ac:dyDescent="0.2">
      <c r="A1480" s="947" t="s">
        <v>336</v>
      </c>
      <c r="B1480" s="947">
        <v>416230</v>
      </c>
      <c r="C1480" s="947" t="s">
        <v>2189</v>
      </c>
      <c r="D1480" s="947" t="s">
        <v>700</v>
      </c>
      <c r="E1480" s="951">
        <v>390</v>
      </c>
      <c r="F1480" s="951">
        <v>270</v>
      </c>
      <c r="G1480" s="947" t="s">
        <v>159</v>
      </c>
      <c r="H1480" s="951">
        <v>0</v>
      </c>
      <c r="I1480" s="951">
        <v>0</v>
      </c>
      <c r="J1480" s="947" t="s">
        <v>336</v>
      </c>
      <c r="K1480" s="957" t="s">
        <v>3315</v>
      </c>
      <c r="M1480" s="631"/>
      <c r="P1480" s="950" t="str">
        <f>VLOOKUP(J1480,'רשימת רשויות'!A:A,1,0)</f>
        <v>נתניה</v>
      </c>
      <c r="Q1480" s="956">
        <f>IFERROR(VLOOKUP(B1480,[2]מעובד!$D:$K,8,0),0)</f>
        <v>338</v>
      </c>
      <c r="R1480" s="956">
        <f>IFERROR(VLOOKUP(B1480,[2]מעובד!$D:$L,9,0),0)</f>
        <v>338</v>
      </c>
    </row>
    <row r="1481" spans="1:18" x14ac:dyDescent="0.2">
      <c r="A1481" s="947" t="s">
        <v>390</v>
      </c>
      <c r="B1481" s="947">
        <v>416255</v>
      </c>
      <c r="C1481" s="947" t="s">
        <v>2189</v>
      </c>
      <c r="D1481" s="947" t="s">
        <v>1470</v>
      </c>
      <c r="E1481" s="951">
        <v>170</v>
      </c>
      <c r="F1481" s="951">
        <v>110</v>
      </c>
      <c r="G1481" s="947" t="s">
        <v>3252</v>
      </c>
      <c r="H1481" s="951">
        <v>0</v>
      </c>
      <c r="I1481" s="951">
        <v>0</v>
      </c>
      <c r="J1481" s="947" t="s">
        <v>390</v>
      </c>
      <c r="K1481" s="947">
        <v>416255</v>
      </c>
      <c r="M1481" s="631"/>
      <c r="P1481" s="950" t="str">
        <f>VLOOKUP(J1481,'רשימת רשויות'!A:A,1,0)</f>
        <v>רמלה</v>
      </c>
      <c r="Q1481" s="956">
        <f>IFERROR(VLOOKUP(B1481,[2]מעובד!$D:$K,8,0),0)</f>
        <v>131</v>
      </c>
      <c r="R1481" s="956">
        <f>IFERROR(VLOOKUP(B1481,[2]מעובד!$D:$L,9,0),0)</f>
        <v>90</v>
      </c>
    </row>
    <row r="1482" spans="1:18" x14ac:dyDescent="0.2">
      <c r="A1482" s="947" t="s">
        <v>363</v>
      </c>
      <c r="B1482" s="947">
        <v>416271</v>
      </c>
      <c r="C1482" s="947" t="s">
        <v>2189</v>
      </c>
      <c r="D1482" s="947" t="s">
        <v>1471</v>
      </c>
      <c r="E1482" s="951">
        <v>133</v>
      </c>
      <c r="F1482" s="951">
        <v>133</v>
      </c>
      <c r="G1482" s="947" t="s">
        <v>3252</v>
      </c>
      <c r="H1482" s="951">
        <v>0</v>
      </c>
      <c r="I1482" s="951">
        <v>0</v>
      </c>
      <c r="J1482" s="947" t="s">
        <v>363</v>
      </c>
      <c r="K1482" s="947">
        <v>416271</v>
      </c>
      <c r="M1482" s="631"/>
      <c r="P1482" s="950" t="str">
        <f>VLOOKUP(J1482,'רשימת רשויות'!A:A,1,0)</f>
        <v>פתח תקוה</v>
      </c>
      <c r="Q1482" s="956">
        <f>IFERROR(VLOOKUP(B1482,[2]מעובד!$D:$K,8,0),0)</f>
        <v>0</v>
      </c>
      <c r="R1482" s="956">
        <f>IFERROR(VLOOKUP(B1482,[2]מעובד!$D:$L,9,0),0)</f>
        <v>0</v>
      </c>
    </row>
    <row r="1483" spans="1:18" x14ac:dyDescent="0.2">
      <c r="A1483" s="947" t="s">
        <v>231</v>
      </c>
      <c r="B1483" s="947">
        <v>416289</v>
      </c>
      <c r="C1483" s="947" t="s">
        <v>2189</v>
      </c>
      <c r="D1483" s="947" t="s">
        <v>1472</v>
      </c>
      <c r="E1483" s="951">
        <v>132</v>
      </c>
      <c r="F1483" s="951">
        <v>84</v>
      </c>
      <c r="G1483" s="947" t="s">
        <v>159</v>
      </c>
      <c r="H1483" s="951">
        <v>0</v>
      </c>
      <c r="I1483" s="951">
        <v>0</v>
      </c>
      <c r="J1483" s="947" t="s">
        <v>231</v>
      </c>
      <c r="K1483" s="947">
        <v>416289</v>
      </c>
      <c r="M1483" s="631"/>
      <c r="P1483" s="950" t="str">
        <f>VLOOKUP(J1483,'רשימת רשויות'!A:A,1,0)</f>
        <v>הוד השרון</v>
      </c>
      <c r="Q1483" s="956">
        <f>IFERROR(VLOOKUP(B1483,[2]מעובד!$D:$K,8,0),0)</f>
        <v>123</v>
      </c>
      <c r="R1483" s="956">
        <f>IFERROR(VLOOKUP(B1483,[2]מעובד!$D:$L,9,0),0)</f>
        <v>55</v>
      </c>
    </row>
    <row r="1484" spans="1:18" x14ac:dyDescent="0.2">
      <c r="A1484" s="947" t="s">
        <v>291</v>
      </c>
      <c r="B1484" s="947">
        <v>416339</v>
      </c>
      <c r="C1484" s="947" t="s">
        <v>2189</v>
      </c>
      <c r="D1484" s="947" t="s">
        <v>1485</v>
      </c>
      <c r="E1484" s="951">
        <v>211</v>
      </c>
      <c r="F1484" s="951">
        <v>117</v>
      </c>
      <c r="G1484" s="947" t="s">
        <v>159</v>
      </c>
      <c r="H1484" s="951">
        <v>0</v>
      </c>
      <c r="I1484" s="951">
        <v>0</v>
      </c>
      <c r="J1484" s="947" t="s">
        <v>291</v>
      </c>
      <c r="K1484" s="947">
        <v>416339</v>
      </c>
      <c r="M1484" s="631"/>
      <c r="P1484" s="950" t="str">
        <f>VLOOKUP(J1484,'רשימת רשויות'!A:A,1,0)</f>
        <v>לב השרון</v>
      </c>
      <c r="Q1484" s="956">
        <f>IFERROR(VLOOKUP(B1484,[2]מעובד!$D:$K,8,0),0)</f>
        <v>238</v>
      </c>
      <c r="R1484" s="956">
        <f>IFERROR(VLOOKUP(B1484,[2]מעובד!$D:$L,9,0),0)</f>
        <v>77</v>
      </c>
    </row>
    <row r="1485" spans="1:18" x14ac:dyDescent="0.2">
      <c r="A1485" s="947" t="s">
        <v>175</v>
      </c>
      <c r="B1485" s="947">
        <v>416347</v>
      </c>
      <c r="C1485" s="947" t="s">
        <v>2189</v>
      </c>
      <c r="D1485" s="947" t="s">
        <v>1504</v>
      </c>
      <c r="E1485" s="951">
        <v>156</v>
      </c>
      <c r="F1485" s="951">
        <v>154</v>
      </c>
      <c r="G1485" s="947" t="s">
        <v>3252</v>
      </c>
      <c r="H1485" s="951">
        <v>0</v>
      </c>
      <c r="I1485" s="951">
        <v>0</v>
      </c>
      <c r="J1485" s="947" t="s">
        <v>175</v>
      </c>
      <c r="K1485" s="947">
        <v>416347</v>
      </c>
      <c r="M1485" s="631"/>
      <c r="P1485" s="950" t="str">
        <f>VLOOKUP(J1485,'רשימת רשויות'!A:A,1,0)</f>
        <v>אלעד</v>
      </c>
      <c r="Q1485" s="956">
        <f>IFERROR(VLOOKUP(B1485,[2]מעובד!$D:$K,8,0),0)</f>
        <v>150</v>
      </c>
      <c r="R1485" s="956">
        <f>IFERROR(VLOOKUP(B1485,[2]מעובד!$D:$L,9,0),0)</f>
        <v>150</v>
      </c>
    </row>
    <row r="1486" spans="1:18" x14ac:dyDescent="0.2">
      <c r="A1486" s="947" t="s">
        <v>215</v>
      </c>
      <c r="B1486" s="947">
        <v>416370</v>
      </c>
      <c r="C1486" s="947" t="s">
        <v>2189</v>
      </c>
      <c r="D1486" s="947" t="s">
        <v>508</v>
      </c>
      <c r="E1486" s="951">
        <v>228</v>
      </c>
      <c r="F1486" s="951">
        <v>150</v>
      </c>
      <c r="G1486" s="947" t="s">
        <v>159</v>
      </c>
      <c r="H1486" s="951">
        <v>0</v>
      </c>
      <c r="I1486" s="951">
        <v>0</v>
      </c>
      <c r="J1486" s="947" t="s">
        <v>215</v>
      </c>
      <c r="K1486" s="947">
        <v>416370</v>
      </c>
      <c r="M1486" s="631"/>
      <c r="P1486" s="950" t="str">
        <f>VLOOKUP(J1486,'רשימת רשויות'!A:A,1,0)</f>
        <v>גדרה</v>
      </c>
      <c r="Q1486" s="956">
        <f>IFERROR(VLOOKUP(B1486,[2]מעובד!$D:$K,8,0),0)</f>
        <v>191</v>
      </c>
      <c r="R1486" s="956">
        <f>IFERROR(VLOOKUP(B1486,[2]מעובד!$D:$L,9,0),0)</f>
        <v>115</v>
      </c>
    </row>
    <row r="1487" spans="1:18" x14ac:dyDescent="0.2">
      <c r="A1487" s="947" t="s">
        <v>332</v>
      </c>
      <c r="B1487" s="947">
        <v>416388</v>
      </c>
      <c r="C1487" s="947" t="s">
        <v>2189</v>
      </c>
      <c r="D1487" s="947" t="s">
        <v>734</v>
      </c>
      <c r="E1487" s="951">
        <v>196</v>
      </c>
      <c r="F1487" s="951">
        <v>165</v>
      </c>
      <c r="G1487" s="947" t="s">
        <v>159</v>
      </c>
      <c r="H1487" s="951">
        <v>0</v>
      </c>
      <c r="I1487" s="951">
        <v>0</v>
      </c>
      <c r="J1487" s="947" t="s">
        <v>332</v>
      </c>
      <c r="K1487" s="947">
        <v>416388</v>
      </c>
      <c r="M1487" s="631"/>
      <c r="P1487" s="950" t="str">
        <f>VLOOKUP(J1487,'רשימת רשויות'!A:A,1,0)</f>
        <v>נס ציונה</v>
      </c>
      <c r="Q1487" s="956">
        <f>IFERROR(VLOOKUP(B1487,[2]מעובד!$D:$K,8,0),0)</f>
        <v>0</v>
      </c>
      <c r="R1487" s="956">
        <f>IFERROR(VLOOKUP(B1487,[2]מעובד!$D:$L,9,0),0)</f>
        <v>0</v>
      </c>
    </row>
    <row r="1488" spans="1:18" x14ac:dyDescent="0.2">
      <c r="A1488" s="947" t="s">
        <v>336</v>
      </c>
      <c r="B1488" s="947">
        <v>416396</v>
      </c>
      <c r="C1488" s="947" t="s">
        <v>2189</v>
      </c>
      <c r="D1488" s="947" t="s">
        <v>439</v>
      </c>
      <c r="E1488" s="951">
        <v>266</v>
      </c>
      <c r="F1488" s="951">
        <v>175</v>
      </c>
      <c r="G1488" s="947" t="s">
        <v>159</v>
      </c>
      <c r="H1488" s="951">
        <v>96</v>
      </c>
      <c r="I1488" s="951">
        <v>0</v>
      </c>
      <c r="J1488" s="947" t="s">
        <v>336</v>
      </c>
      <c r="K1488" s="957" t="s">
        <v>3316</v>
      </c>
      <c r="M1488" s="631"/>
      <c r="P1488" s="950" t="str">
        <f>VLOOKUP(J1488,'רשימת רשויות'!A:A,1,0)</f>
        <v>נתניה</v>
      </c>
      <c r="Q1488" s="956">
        <f>IFERROR(VLOOKUP(B1488,[2]מעובד!$D:$K,8,0),0)</f>
        <v>276</v>
      </c>
      <c r="R1488" s="956">
        <f>IFERROR(VLOOKUP(B1488,[2]מעובד!$D:$L,9,0),0)</f>
        <v>83</v>
      </c>
    </row>
    <row r="1489" spans="1:18" x14ac:dyDescent="0.2">
      <c r="A1489" s="947" t="s">
        <v>383</v>
      </c>
      <c r="B1489" s="947">
        <v>416404</v>
      </c>
      <c r="C1489" s="947" t="s">
        <v>2189</v>
      </c>
      <c r="D1489" s="947" t="s">
        <v>2625</v>
      </c>
      <c r="E1489" s="951">
        <v>214</v>
      </c>
      <c r="F1489" s="951">
        <v>214</v>
      </c>
      <c r="G1489" s="947" t="s">
        <v>3252</v>
      </c>
      <c r="H1489" s="951">
        <v>0</v>
      </c>
      <c r="I1489" s="951">
        <v>0</v>
      </c>
      <c r="J1489" s="947" t="s">
        <v>383</v>
      </c>
      <c r="K1489" s="947">
        <v>416404</v>
      </c>
      <c r="M1489" s="631"/>
      <c r="P1489" s="950" t="str">
        <f>VLOOKUP(J1489,'רשימת רשויות'!A:A,1,0)</f>
        <v>ראש העין</v>
      </c>
      <c r="Q1489" s="956">
        <f>IFERROR(VLOOKUP(B1489,[2]מעובד!$D:$K,8,0),0)</f>
        <v>0</v>
      </c>
      <c r="R1489" s="956">
        <f>IFERROR(VLOOKUP(B1489,[2]מעובד!$D:$L,9,0),0)</f>
        <v>0</v>
      </c>
    </row>
    <row r="1490" spans="1:18" x14ac:dyDescent="0.2">
      <c r="A1490" s="947" t="s">
        <v>175</v>
      </c>
      <c r="B1490" s="947">
        <v>416412</v>
      </c>
      <c r="C1490" s="947" t="s">
        <v>2189</v>
      </c>
      <c r="D1490" s="947" t="s">
        <v>2430</v>
      </c>
      <c r="E1490" s="951">
        <v>275</v>
      </c>
      <c r="F1490" s="951">
        <v>274</v>
      </c>
      <c r="G1490" s="947" t="s">
        <v>3252</v>
      </c>
      <c r="H1490" s="951">
        <v>0</v>
      </c>
      <c r="I1490" s="951">
        <v>0</v>
      </c>
      <c r="J1490" s="947" t="s">
        <v>175</v>
      </c>
      <c r="K1490" s="947">
        <v>416412</v>
      </c>
      <c r="M1490" s="631"/>
      <c r="P1490" s="950" t="str">
        <f>VLOOKUP(J1490,'רשימת רשויות'!A:A,1,0)</f>
        <v>אלעד</v>
      </c>
      <c r="Q1490" s="956">
        <f>IFERROR(VLOOKUP(B1490,[2]מעובד!$D:$K,8,0),0)</f>
        <v>0</v>
      </c>
      <c r="R1490" s="956">
        <f>IFERROR(VLOOKUP(B1490,[2]מעובד!$D:$L,9,0),0)</f>
        <v>248</v>
      </c>
    </row>
    <row r="1491" spans="1:18" x14ac:dyDescent="0.2">
      <c r="A1491" s="947" t="s">
        <v>332</v>
      </c>
      <c r="B1491" s="947">
        <v>416420</v>
      </c>
      <c r="C1491" s="947" t="s">
        <v>2189</v>
      </c>
      <c r="D1491" s="947" t="s">
        <v>651</v>
      </c>
      <c r="E1491" s="951">
        <v>241</v>
      </c>
      <c r="F1491" s="951">
        <v>210</v>
      </c>
      <c r="G1491" s="947" t="s">
        <v>159</v>
      </c>
      <c r="H1491" s="951">
        <v>0</v>
      </c>
      <c r="I1491" s="951">
        <v>0</v>
      </c>
      <c r="J1491" s="947" t="s">
        <v>332</v>
      </c>
      <c r="K1491" s="947">
        <v>416420</v>
      </c>
      <c r="M1491" s="631"/>
      <c r="P1491" s="950" t="str">
        <f>VLOOKUP(J1491,'רשימת רשויות'!A:A,1,0)</f>
        <v>נס ציונה</v>
      </c>
      <c r="Q1491" s="956">
        <f>IFERROR(VLOOKUP(B1491,[2]מעובד!$D:$K,8,0),0)</f>
        <v>344</v>
      </c>
      <c r="R1491" s="956">
        <f>IFERROR(VLOOKUP(B1491,[2]מעובד!$D:$L,9,0),0)</f>
        <v>102</v>
      </c>
    </row>
    <row r="1492" spans="1:18" x14ac:dyDescent="0.2">
      <c r="A1492" s="947" t="s">
        <v>363</v>
      </c>
      <c r="B1492" s="947">
        <v>416438</v>
      </c>
      <c r="C1492" s="947" t="s">
        <v>2189</v>
      </c>
      <c r="D1492" s="947" t="s">
        <v>1509</v>
      </c>
      <c r="E1492" s="951">
        <v>208</v>
      </c>
      <c r="F1492" s="951">
        <v>196</v>
      </c>
      <c r="G1492" s="947" t="s">
        <v>159</v>
      </c>
      <c r="H1492" s="951">
        <v>82</v>
      </c>
      <c r="I1492" s="951">
        <v>11</v>
      </c>
      <c r="J1492" s="947" t="s">
        <v>363</v>
      </c>
      <c r="K1492" s="947">
        <v>416438</v>
      </c>
      <c r="M1492" s="631"/>
      <c r="P1492" s="950" t="str">
        <f>VLOOKUP(J1492,'רשימת רשויות'!A:A,1,0)</f>
        <v>פתח תקוה</v>
      </c>
      <c r="Q1492" s="956">
        <f>IFERROR(VLOOKUP(B1492,[2]מעובד!$D:$K,8,0),0)</f>
        <v>138</v>
      </c>
      <c r="R1492" s="956">
        <f>IFERROR(VLOOKUP(B1492,[2]מעובד!$D:$L,9,0),0)</f>
        <v>99</v>
      </c>
    </row>
    <row r="1493" spans="1:18" x14ac:dyDescent="0.2">
      <c r="A1493" s="947" t="s">
        <v>363</v>
      </c>
      <c r="B1493" s="947">
        <v>416446</v>
      </c>
      <c r="C1493" s="947" t="s">
        <v>2189</v>
      </c>
      <c r="D1493" s="947" t="s">
        <v>683</v>
      </c>
      <c r="E1493" s="951">
        <v>296</v>
      </c>
      <c r="F1493" s="951">
        <v>278</v>
      </c>
      <c r="G1493" s="947" t="s">
        <v>159</v>
      </c>
      <c r="H1493" s="951">
        <v>0</v>
      </c>
      <c r="I1493" s="951">
        <v>0</v>
      </c>
      <c r="J1493" s="947" t="s">
        <v>363</v>
      </c>
      <c r="K1493" s="947">
        <v>416446</v>
      </c>
      <c r="M1493" s="631"/>
      <c r="P1493" s="950" t="str">
        <f>VLOOKUP(J1493,'רשימת רשויות'!A:A,1,0)</f>
        <v>פתח תקוה</v>
      </c>
      <c r="Q1493" s="956">
        <f>IFERROR(VLOOKUP(B1493,[2]מעובד!$D:$K,8,0),0)</f>
        <v>345</v>
      </c>
      <c r="R1493" s="956">
        <f>IFERROR(VLOOKUP(B1493,[2]מעובד!$D:$L,9,0),0)</f>
        <v>180</v>
      </c>
    </row>
    <row r="1494" spans="1:18" x14ac:dyDescent="0.2">
      <c r="A1494" s="947" t="s">
        <v>387</v>
      </c>
      <c r="B1494" s="947">
        <v>416453</v>
      </c>
      <c r="C1494" s="947" t="s">
        <v>2189</v>
      </c>
      <c r="D1494" s="947" t="s">
        <v>3042</v>
      </c>
      <c r="E1494" s="951">
        <v>65</v>
      </c>
      <c r="F1494" s="951">
        <v>0</v>
      </c>
      <c r="G1494" s="947" t="s">
        <v>3252</v>
      </c>
      <c r="H1494" s="951">
        <v>0</v>
      </c>
      <c r="I1494" s="951">
        <v>0</v>
      </c>
      <c r="J1494" s="947" t="s">
        <v>387</v>
      </c>
      <c r="K1494" s="947">
        <v>416453</v>
      </c>
      <c r="M1494" s="631"/>
      <c r="P1494" s="950" t="str">
        <f>VLOOKUP(J1494,'רשימת רשויות'!A:A,1,0)</f>
        <v>רחובות</v>
      </c>
      <c r="Q1494" s="956">
        <f>IFERROR(VLOOKUP(B1494,[2]מעובד!$D:$K,8,0),0)</f>
        <v>0</v>
      </c>
      <c r="R1494" s="956">
        <f>IFERROR(VLOOKUP(B1494,[2]מעובד!$D:$L,9,0),0)</f>
        <v>0</v>
      </c>
    </row>
    <row r="1495" spans="1:18" x14ac:dyDescent="0.2">
      <c r="A1495" s="947" t="s">
        <v>281</v>
      </c>
      <c r="B1495" s="947">
        <v>416487</v>
      </c>
      <c r="C1495" s="947" t="s">
        <v>2189</v>
      </c>
      <c r="D1495" s="947" t="s">
        <v>627</v>
      </c>
      <c r="E1495" s="951">
        <v>344</v>
      </c>
      <c r="F1495" s="951">
        <v>252</v>
      </c>
      <c r="G1495" s="947" t="s">
        <v>159</v>
      </c>
      <c r="H1495" s="951">
        <v>0</v>
      </c>
      <c r="I1495" s="951">
        <v>0</v>
      </c>
      <c r="J1495" s="947" t="s">
        <v>281</v>
      </c>
      <c r="K1495" s="947">
        <v>416487</v>
      </c>
      <c r="M1495" s="631"/>
      <c r="P1495" s="950" t="str">
        <f>VLOOKUP(J1495,'רשימת רשויות'!A:A,1,0)</f>
        <v>כפר יונה</v>
      </c>
      <c r="Q1495" s="956">
        <f>IFERROR(VLOOKUP(B1495,[2]מעובד!$D:$K,8,0),0)</f>
        <v>262</v>
      </c>
      <c r="R1495" s="956">
        <f>IFERROR(VLOOKUP(B1495,[2]מעובד!$D:$L,9,0),0)</f>
        <v>47</v>
      </c>
    </row>
    <row r="1496" spans="1:18" x14ac:dyDescent="0.2">
      <c r="A1496" s="947" t="s">
        <v>387</v>
      </c>
      <c r="B1496" s="947">
        <v>416495</v>
      </c>
      <c r="C1496" s="947" t="s">
        <v>2189</v>
      </c>
      <c r="D1496" s="947" t="s">
        <v>1520</v>
      </c>
      <c r="E1496" s="951">
        <v>279</v>
      </c>
      <c r="F1496" s="951">
        <v>251</v>
      </c>
      <c r="G1496" s="947" t="s">
        <v>159</v>
      </c>
      <c r="H1496" s="951">
        <v>0</v>
      </c>
      <c r="I1496" s="951">
        <v>0</v>
      </c>
      <c r="J1496" s="947" t="s">
        <v>387</v>
      </c>
      <c r="K1496" s="947">
        <v>416495</v>
      </c>
      <c r="M1496" s="631"/>
      <c r="P1496" s="950" t="str">
        <f>VLOOKUP(J1496,'רשימת רשויות'!A:A,1,0)</f>
        <v>רחובות</v>
      </c>
      <c r="Q1496" s="956">
        <f>IFERROR(VLOOKUP(B1496,[2]מעובד!$D:$K,8,0),0)</f>
        <v>247</v>
      </c>
      <c r="R1496" s="956">
        <f>IFERROR(VLOOKUP(B1496,[2]מעובד!$D:$L,9,0),0)</f>
        <v>84</v>
      </c>
    </row>
    <row r="1497" spans="1:18" x14ac:dyDescent="0.2">
      <c r="A1497" s="947" t="s">
        <v>176</v>
      </c>
      <c r="B1497" s="947">
        <v>416503</v>
      </c>
      <c r="C1497" s="947" t="s">
        <v>2189</v>
      </c>
      <c r="D1497" s="947" t="s">
        <v>1556</v>
      </c>
      <c r="E1497" s="951">
        <v>131</v>
      </c>
      <c r="F1497" s="951">
        <v>78</v>
      </c>
      <c r="G1497" s="947" t="s">
        <v>159</v>
      </c>
      <c r="H1497" s="951">
        <v>45</v>
      </c>
      <c r="I1497" s="951">
        <v>4</v>
      </c>
      <c r="J1497" s="947" t="s">
        <v>176</v>
      </c>
      <c r="K1497" s="947">
        <v>416503</v>
      </c>
      <c r="M1497" s="631"/>
      <c r="P1497" s="950" t="str">
        <f>VLOOKUP(J1497,'רשימת רשויות'!A:A,1,0)</f>
        <v>אלפי מנשה</v>
      </c>
      <c r="Q1497" s="956">
        <f>IFERROR(VLOOKUP(B1497,[2]מעובד!$D:$K,8,0),0)</f>
        <v>0</v>
      </c>
      <c r="R1497" s="956">
        <f>IFERROR(VLOOKUP(B1497,[2]מעובד!$D:$L,9,0),0)</f>
        <v>0</v>
      </c>
    </row>
    <row r="1498" spans="1:18" x14ac:dyDescent="0.2">
      <c r="A1498" s="947" t="s">
        <v>231</v>
      </c>
      <c r="B1498" s="947">
        <v>416511</v>
      </c>
      <c r="C1498" s="947" t="s">
        <v>2189</v>
      </c>
      <c r="D1498" s="947" t="s">
        <v>443</v>
      </c>
      <c r="E1498" s="951">
        <v>66</v>
      </c>
      <c r="F1498" s="951">
        <v>38</v>
      </c>
      <c r="G1498" s="947" t="s">
        <v>159</v>
      </c>
      <c r="H1498" s="951">
        <v>0</v>
      </c>
      <c r="I1498" s="951">
        <v>0</v>
      </c>
      <c r="J1498" s="947" t="s">
        <v>231</v>
      </c>
      <c r="K1498" s="957" t="s">
        <v>3317</v>
      </c>
      <c r="M1498" s="631"/>
      <c r="P1498" s="950" t="str">
        <f>VLOOKUP(J1498,'רשימת רשויות'!A:A,1,0)</f>
        <v>הוד השרון</v>
      </c>
      <c r="Q1498" s="956">
        <f>IFERROR(VLOOKUP(B1498,[2]מעובד!$D:$K,8,0),0)</f>
        <v>0</v>
      </c>
      <c r="R1498" s="956">
        <f>IFERROR(VLOOKUP(B1498,[2]מעובד!$D:$L,9,0),0)</f>
        <v>0</v>
      </c>
    </row>
    <row r="1499" spans="1:18" x14ac:dyDescent="0.2">
      <c r="A1499" s="947" t="s">
        <v>175</v>
      </c>
      <c r="B1499" s="947">
        <v>416545</v>
      </c>
      <c r="C1499" s="947" t="s">
        <v>2189</v>
      </c>
      <c r="D1499" s="947" t="s">
        <v>1557</v>
      </c>
      <c r="E1499" s="951">
        <v>121</v>
      </c>
      <c r="F1499" s="951">
        <v>113</v>
      </c>
      <c r="G1499" s="947" t="s">
        <v>3252</v>
      </c>
      <c r="H1499" s="951">
        <v>0</v>
      </c>
      <c r="I1499" s="951">
        <v>0</v>
      </c>
      <c r="J1499" s="947" t="s">
        <v>175</v>
      </c>
      <c r="K1499" s="947">
        <v>416545</v>
      </c>
      <c r="M1499" s="631"/>
      <c r="P1499" s="950" t="str">
        <f>VLOOKUP(J1499,'רשימת רשויות'!A:A,1,0)</f>
        <v>אלעד</v>
      </c>
      <c r="Q1499" s="956">
        <f>IFERROR(VLOOKUP(B1499,[2]מעובד!$D:$K,8,0),0)</f>
        <v>138</v>
      </c>
      <c r="R1499" s="956">
        <f>IFERROR(VLOOKUP(B1499,[2]מעובד!$D:$L,9,0),0)</f>
        <v>51</v>
      </c>
    </row>
    <row r="1500" spans="1:18" x14ac:dyDescent="0.2">
      <c r="A1500" s="947" t="s">
        <v>262</v>
      </c>
      <c r="B1500" s="947">
        <v>416552</v>
      </c>
      <c r="C1500" s="947" t="s">
        <v>2189</v>
      </c>
      <c r="D1500" s="947" t="s">
        <v>2227</v>
      </c>
      <c r="E1500" s="951">
        <v>168</v>
      </c>
      <c r="F1500" s="951">
        <v>150</v>
      </c>
      <c r="G1500" s="947" t="s">
        <v>3252</v>
      </c>
      <c r="H1500" s="951">
        <v>0</v>
      </c>
      <c r="I1500" s="951">
        <v>0</v>
      </c>
      <c r="J1500" s="947" t="s">
        <v>262</v>
      </c>
      <c r="K1500" s="947">
        <v>416552</v>
      </c>
      <c r="M1500" s="631"/>
      <c r="P1500" s="950" t="str">
        <f>VLOOKUP(J1500,'רשימת רשויות'!A:A,1,0)</f>
        <v>יבנה</v>
      </c>
      <c r="Q1500" s="956">
        <f>IFERROR(VLOOKUP(B1500,[2]מעובד!$D:$K,8,0),0)</f>
        <v>0</v>
      </c>
      <c r="R1500" s="956">
        <f>IFERROR(VLOOKUP(B1500,[2]מעובד!$D:$L,9,0),0)</f>
        <v>75</v>
      </c>
    </row>
    <row r="1501" spans="1:18" x14ac:dyDescent="0.2">
      <c r="A1501" s="947" t="s">
        <v>363</v>
      </c>
      <c r="B1501" s="947">
        <v>416560</v>
      </c>
      <c r="C1501" s="947" t="s">
        <v>2189</v>
      </c>
      <c r="D1501" s="947" t="s">
        <v>1230</v>
      </c>
      <c r="E1501" s="951">
        <v>90</v>
      </c>
      <c r="F1501" s="951">
        <v>74</v>
      </c>
      <c r="G1501" s="947" t="s">
        <v>3252</v>
      </c>
      <c r="H1501" s="951">
        <v>73</v>
      </c>
      <c r="I1501" s="951">
        <v>16</v>
      </c>
      <c r="J1501" s="947" t="s">
        <v>363</v>
      </c>
      <c r="K1501" s="947">
        <v>416560</v>
      </c>
      <c r="M1501" s="631"/>
      <c r="P1501" s="950" t="str">
        <f>VLOOKUP(J1501,'רשימת רשויות'!A:A,1,0)</f>
        <v>פתח תקוה</v>
      </c>
      <c r="Q1501" s="956">
        <f>IFERROR(VLOOKUP(B1501,[2]מעובד!$D:$K,8,0),0)</f>
        <v>84</v>
      </c>
      <c r="R1501" s="956">
        <f>IFERROR(VLOOKUP(B1501,[2]מעובד!$D:$L,9,0),0)</f>
        <v>46</v>
      </c>
    </row>
    <row r="1502" spans="1:18" x14ac:dyDescent="0.2">
      <c r="A1502" s="947" t="s">
        <v>387</v>
      </c>
      <c r="B1502" s="947">
        <v>416578</v>
      </c>
      <c r="C1502" s="947" t="s">
        <v>2189</v>
      </c>
      <c r="D1502" s="947" t="s">
        <v>932</v>
      </c>
      <c r="E1502" s="951">
        <v>379</v>
      </c>
      <c r="F1502" s="951">
        <v>352</v>
      </c>
      <c r="G1502" s="947" t="s">
        <v>159</v>
      </c>
      <c r="H1502" s="951">
        <v>0</v>
      </c>
      <c r="I1502" s="951">
        <v>0</v>
      </c>
      <c r="J1502" s="947" t="s">
        <v>387</v>
      </c>
      <c r="K1502" s="947">
        <v>416578</v>
      </c>
      <c r="M1502" s="631"/>
      <c r="P1502" s="950" t="str">
        <f>VLOOKUP(J1502,'רשימת רשויות'!A:A,1,0)</f>
        <v>רחובות</v>
      </c>
      <c r="Q1502" s="956">
        <f>IFERROR(VLOOKUP(B1502,[2]מעובד!$D:$K,8,0),0)</f>
        <v>361</v>
      </c>
      <c r="R1502" s="956">
        <f>IFERROR(VLOOKUP(B1502,[2]מעובד!$D:$L,9,0),0)</f>
        <v>75</v>
      </c>
    </row>
    <row r="1503" spans="1:18" x14ac:dyDescent="0.2">
      <c r="A1503" s="947" t="s">
        <v>262</v>
      </c>
      <c r="B1503" s="947">
        <v>416586</v>
      </c>
      <c r="C1503" s="947" t="s">
        <v>2189</v>
      </c>
      <c r="D1503" s="947" t="s">
        <v>1562</v>
      </c>
      <c r="E1503" s="951">
        <v>265</v>
      </c>
      <c r="F1503" s="951">
        <v>219</v>
      </c>
      <c r="G1503" s="947" t="s">
        <v>159</v>
      </c>
      <c r="H1503" s="951">
        <v>0</v>
      </c>
      <c r="I1503" s="951">
        <v>0</v>
      </c>
      <c r="J1503" s="947" t="s">
        <v>262</v>
      </c>
      <c r="K1503" s="947">
        <v>416586</v>
      </c>
      <c r="M1503" s="631"/>
      <c r="P1503" s="950" t="str">
        <f>VLOOKUP(J1503,'רשימת רשויות'!A:A,1,0)</f>
        <v>יבנה</v>
      </c>
      <c r="Q1503" s="956">
        <f>IFERROR(VLOOKUP(B1503,[2]מעובד!$D:$K,8,0),0)</f>
        <v>307</v>
      </c>
      <c r="R1503" s="956">
        <f>IFERROR(VLOOKUP(B1503,[2]מעובד!$D:$L,9,0),0)</f>
        <v>130</v>
      </c>
    </row>
    <row r="1504" spans="1:18" x14ac:dyDescent="0.2">
      <c r="A1504" s="947" t="s">
        <v>186</v>
      </c>
      <c r="B1504" s="947">
        <v>416594</v>
      </c>
      <c r="C1504" s="947" t="s">
        <v>2189</v>
      </c>
      <c r="D1504" s="947" t="s">
        <v>1563</v>
      </c>
      <c r="E1504" s="951">
        <v>491</v>
      </c>
      <c r="F1504" s="951">
        <v>362</v>
      </c>
      <c r="G1504" s="947" t="s">
        <v>159</v>
      </c>
      <c r="H1504" s="951">
        <v>0</v>
      </c>
      <c r="I1504" s="951">
        <v>0</v>
      </c>
      <c r="J1504" s="947" t="s">
        <v>186</v>
      </c>
      <c r="K1504" s="947">
        <v>416594</v>
      </c>
      <c r="M1504" s="631"/>
      <c r="P1504" s="950" t="str">
        <f>VLOOKUP(J1504,'רשימת רשויות'!A:A,1,0)</f>
        <v>באר יעקב</v>
      </c>
      <c r="Q1504" s="956">
        <f>IFERROR(VLOOKUP(B1504,[2]מעובד!$D:$K,8,0),0)</f>
        <v>0</v>
      </c>
      <c r="R1504" s="956">
        <f>IFERROR(VLOOKUP(B1504,[2]מעובד!$D:$L,9,0),0)</f>
        <v>0</v>
      </c>
    </row>
    <row r="1505" spans="1:18" x14ac:dyDescent="0.2">
      <c r="A1505" s="947" t="s">
        <v>395</v>
      </c>
      <c r="B1505" s="947">
        <v>416610</v>
      </c>
      <c r="C1505" s="947" t="s">
        <v>2189</v>
      </c>
      <c r="D1505" s="947" t="s">
        <v>1564</v>
      </c>
      <c r="E1505" s="951">
        <v>183</v>
      </c>
      <c r="F1505" s="951">
        <v>173</v>
      </c>
      <c r="G1505" s="947" t="s">
        <v>159</v>
      </c>
      <c r="H1505" s="951">
        <v>65</v>
      </c>
      <c r="I1505" s="951">
        <v>8</v>
      </c>
      <c r="J1505" s="947" t="s">
        <v>395</v>
      </c>
      <c r="K1505" s="947">
        <v>416610</v>
      </c>
      <c r="M1505" s="631"/>
      <c r="P1505" s="950" t="str">
        <f>VLOOKUP(J1505,'רשימת רשויות'!A:A,1,0)</f>
        <v>רעננה</v>
      </c>
      <c r="Q1505" s="956">
        <f>IFERROR(VLOOKUP(B1505,[2]מעובד!$D:$K,8,0),0)</f>
        <v>233</v>
      </c>
      <c r="R1505" s="956">
        <f>IFERROR(VLOOKUP(B1505,[2]מעובד!$D:$L,9,0),0)</f>
        <v>62</v>
      </c>
    </row>
    <row r="1506" spans="1:18" x14ac:dyDescent="0.2">
      <c r="A1506" s="947" t="s">
        <v>336</v>
      </c>
      <c r="B1506" s="947">
        <v>416628</v>
      </c>
      <c r="C1506" s="947" t="s">
        <v>2189</v>
      </c>
      <c r="D1506" s="947" t="s">
        <v>444</v>
      </c>
      <c r="E1506" s="951">
        <v>158</v>
      </c>
      <c r="F1506" s="951">
        <v>110</v>
      </c>
      <c r="G1506" s="947" t="s">
        <v>159</v>
      </c>
      <c r="H1506" s="951">
        <v>0</v>
      </c>
      <c r="I1506" s="951">
        <v>0</v>
      </c>
      <c r="J1506" s="947" t="s">
        <v>336</v>
      </c>
      <c r="K1506" s="947">
        <v>416628</v>
      </c>
      <c r="M1506" s="631"/>
      <c r="P1506" s="950" t="str">
        <f>VLOOKUP(J1506,'רשימת רשויות'!A:A,1,0)</f>
        <v>נתניה</v>
      </c>
      <c r="Q1506" s="956">
        <f>IFERROR(VLOOKUP(B1506,[2]מעובד!$D:$K,8,0),0)</f>
        <v>166</v>
      </c>
      <c r="R1506" s="956">
        <f>IFERROR(VLOOKUP(B1506,[2]מעובד!$D:$L,9,0),0)</f>
        <v>124</v>
      </c>
    </row>
    <row r="1507" spans="1:18" x14ac:dyDescent="0.2">
      <c r="A1507" s="947" t="s">
        <v>213</v>
      </c>
      <c r="B1507" s="947">
        <v>416636</v>
      </c>
      <c r="C1507" s="947" t="s">
        <v>2189</v>
      </c>
      <c r="D1507" s="947" t="s">
        <v>1565</v>
      </c>
      <c r="E1507" s="951">
        <v>171</v>
      </c>
      <c r="F1507" s="951">
        <v>160</v>
      </c>
      <c r="G1507" s="947" t="s">
        <v>159</v>
      </c>
      <c r="H1507" s="951">
        <v>64</v>
      </c>
      <c r="I1507" s="951">
        <v>10</v>
      </c>
      <c r="J1507" s="947" t="s">
        <v>213</v>
      </c>
      <c r="K1507" s="947">
        <v>416636</v>
      </c>
      <c r="M1507" s="631"/>
      <c r="P1507" s="950" t="str">
        <f>VLOOKUP(J1507,'רשימת רשויות'!A:A,1,0)</f>
        <v>גבעת שמואל</v>
      </c>
      <c r="Q1507" s="956">
        <f>IFERROR(VLOOKUP(B1507,[2]מעובד!$D:$K,8,0),0)</f>
        <v>296</v>
      </c>
      <c r="R1507" s="956">
        <f>IFERROR(VLOOKUP(B1507,[2]מעובד!$D:$L,9,0),0)</f>
        <v>65</v>
      </c>
    </row>
    <row r="1508" spans="1:18" x14ac:dyDescent="0.2">
      <c r="A1508" s="947" t="s">
        <v>165</v>
      </c>
      <c r="B1508" s="947">
        <v>416644</v>
      </c>
      <c r="C1508" s="947" t="s">
        <v>2189</v>
      </c>
      <c r="D1508" s="947" t="s">
        <v>1144</v>
      </c>
      <c r="E1508" s="951">
        <v>106</v>
      </c>
      <c r="F1508" s="951">
        <v>106</v>
      </c>
      <c r="G1508" s="947" t="s">
        <v>3252</v>
      </c>
      <c r="H1508" s="951">
        <v>0</v>
      </c>
      <c r="I1508" s="951">
        <v>0</v>
      </c>
      <c r="J1508" s="947" t="s">
        <v>165</v>
      </c>
      <c r="K1508" s="947">
        <v>416644</v>
      </c>
      <c r="M1508" s="631"/>
      <c r="P1508" s="950" t="str">
        <f>VLOOKUP(J1508,'רשימת רשויות'!A:A,1,0)</f>
        <v>אור יהודה</v>
      </c>
      <c r="Q1508" s="956">
        <f>IFERROR(VLOOKUP(B1508,[2]מעובד!$D:$K,8,0),0)</f>
        <v>122</v>
      </c>
      <c r="R1508" s="956">
        <f>IFERROR(VLOOKUP(B1508,[2]מעובד!$D:$L,9,0),0)</f>
        <v>77</v>
      </c>
    </row>
    <row r="1509" spans="1:18" x14ac:dyDescent="0.2">
      <c r="A1509" s="947" t="s">
        <v>332</v>
      </c>
      <c r="B1509" s="947">
        <v>416651</v>
      </c>
      <c r="C1509" s="947" t="s">
        <v>2189</v>
      </c>
      <c r="D1509" s="947" t="s">
        <v>1578</v>
      </c>
      <c r="E1509" s="951">
        <v>186</v>
      </c>
      <c r="F1509" s="951">
        <v>153</v>
      </c>
      <c r="G1509" s="947" t="s">
        <v>159</v>
      </c>
      <c r="H1509" s="951">
        <v>0</v>
      </c>
      <c r="I1509" s="951">
        <v>0</v>
      </c>
      <c r="J1509" s="947" t="s">
        <v>332</v>
      </c>
      <c r="K1509" s="947">
        <v>416651</v>
      </c>
      <c r="M1509" s="631"/>
      <c r="P1509" s="950" t="str">
        <f>VLOOKUP(J1509,'רשימת רשויות'!A:A,1,0)</f>
        <v>נס ציונה</v>
      </c>
      <c r="Q1509" s="956">
        <f>IFERROR(VLOOKUP(B1509,[2]מעובד!$D:$K,8,0),0)</f>
        <v>217</v>
      </c>
      <c r="R1509" s="956">
        <f>IFERROR(VLOOKUP(B1509,[2]מעובד!$D:$L,9,0),0)</f>
        <v>67</v>
      </c>
    </row>
    <row r="1510" spans="1:18" x14ac:dyDescent="0.2">
      <c r="A1510" s="947" t="s">
        <v>387</v>
      </c>
      <c r="B1510" s="947">
        <v>416669</v>
      </c>
      <c r="C1510" s="947" t="s">
        <v>2189</v>
      </c>
      <c r="D1510" s="947" t="s">
        <v>446</v>
      </c>
      <c r="E1510" s="951">
        <v>229</v>
      </c>
      <c r="F1510" s="951">
        <v>208</v>
      </c>
      <c r="G1510" s="947" t="s">
        <v>159</v>
      </c>
      <c r="H1510" s="951">
        <v>97</v>
      </c>
      <c r="I1510" s="951">
        <v>18</v>
      </c>
      <c r="J1510" s="947" t="s">
        <v>387</v>
      </c>
      <c r="K1510" s="947">
        <v>416669</v>
      </c>
      <c r="M1510" s="631"/>
      <c r="P1510" s="950" t="str">
        <f>VLOOKUP(J1510,'רשימת רשויות'!A:A,1,0)</f>
        <v>רחובות</v>
      </c>
      <c r="Q1510" s="956">
        <f>IFERROR(VLOOKUP(B1510,[2]מעובד!$D:$K,8,0),0)</f>
        <v>222</v>
      </c>
      <c r="R1510" s="956">
        <f>IFERROR(VLOOKUP(B1510,[2]מעובד!$D:$L,9,0),0)</f>
        <v>54</v>
      </c>
    </row>
    <row r="1511" spans="1:18" x14ac:dyDescent="0.2">
      <c r="A1511" s="947" t="s">
        <v>307</v>
      </c>
      <c r="B1511" s="947">
        <v>416677</v>
      </c>
      <c r="C1511" s="947" t="s">
        <v>2189</v>
      </c>
      <c r="D1511" s="947" t="s">
        <v>1612</v>
      </c>
      <c r="E1511" s="951">
        <v>213</v>
      </c>
      <c r="F1511" s="951">
        <v>194</v>
      </c>
      <c r="G1511" s="947" t="s">
        <v>159</v>
      </c>
      <c r="H1511" s="951">
        <v>0</v>
      </c>
      <c r="I1511" s="951">
        <v>0</v>
      </c>
      <c r="J1511" s="947" t="s">
        <v>307</v>
      </c>
      <c r="K1511" s="947">
        <v>416677</v>
      </c>
      <c r="M1511" s="631"/>
      <c r="P1511" s="950" t="str">
        <f>VLOOKUP(J1511,'רשימת רשויות'!A:A,1,0)</f>
        <v>מזכרת בתיה</v>
      </c>
      <c r="Q1511" s="956">
        <f>IFERROR(VLOOKUP(B1511,[2]מעובד!$D:$K,8,0),0)</f>
        <v>225</v>
      </c>
      <c r="R1511" s="956">
        <f>IFERROR(VLOOKUP(B1511,[2]מעובד!$D:$L,9,0),0)</f>
        <v>98</v>
      </c>
    </row>
    <row r="1512" spans="1:18" x14ac:dyDescent="0.2">
      <c r="A1512" s="947" t="s">
        <v>347</v>
      </c>
      <c r="B1512" s="947">
        <v>416727</v>
      </c>
      <c r="C1512" s="947" t="s">
        <v>2189</v>
      </c>
      <c r="D1512" s="947" t="s">
        <v>1613</v>
      </c>
      <c r="E1512" s="951">
        <v>71</v>
      </c>
      <c r="F1512" s="951">
        <v>63</v>
      </c>
      <c r="G1512" s="947" t="s">
        <v>159</v>
      </c>
      <c r="H1512" s="951">
        <v>27</v>
      </c>
      <c r="I1512" s="951">
        <v>8</v>
      </c>
      <c r="J1512" s="947" t="s">
        <v>347</v>
      </c>
      <c r="K1512" s="947">
        <v>416727</v>
      </c>
      <c r="M1512" s="631"/>
      <c r="P1512" s="950" t="str">
        <f>VLOOKUP(J1512,'רשימת רשויות'!A:A,1,0)</f>
        <v>עמנואל</v>
      </c>
      <c r="Q1512" s="956">
        <f>IFERROR(VLOOKUP(B1512,[2]מעובד!$D:$K,8,0),0)</f>
        <v>71</v>
      </c>
      <c r="R1512" s="956">
        <f>IFERROR(VLOOKUP(B1512,[2]מעובד!$D:$L,9,0),0)</f>
        <v>40</v>
      </c>
    </row>
    <row r="1513" spans="1:18" x14ac:dyDescent="0.2">
      <c r="A1513" s="947" t="s">
        <v>2598</v>
      </c>
      <c r="B1513" s="947">
        <v>416941</v>
      </c>
      <c r="C1513" s="947" t="s">
        <v>2189</v>
      </c>
      <c r="D1513" s="947" t="s">
        <v>1473</v>
      </c>
      <c r="E1513" s="951">
        <v>137</v>
      </c>
      <c r="F1513" s="951">
        <v>114</v>
      </c>
      <c r="G1513" s="947" t="s">
        <v>159</v>
      </c>
      <c r="H1513" s="951">
        <v>56</v>
      </c>
      <c r="I1513" s="951">
        <v>0</v>
      </c>
      <c r="J1513" s="947" t="s">
        <v>2598</v>
      </c>
      <c r="K1513" s="947">
        <v>416941</v>
      </c>
      <c r="M1513" s="631"/>
      <c r="P1513" s="950" t="str">
        <f>VLOOKUP(J1513,'רשימת רשויות'!A:A,1,0)</f>
        <v>שער השומרון</v>
      </c>
      <c r="Q1513" s="956">
        <f>IFERROR(VLOOKUP(B1513,[2]מעובד!$D:$K,8,0),0)</f>
        <v>145</v>
      </c>
      <c r="R1513" s="956">
        <f>IFERROR(VLOOKUP(B1513,[2]מעובד!$D:$L,9,0),0)</f>
        <v>70</v>
      </c>
    </row>
    <row r="1514" spans="1:18" x14ac:dyDescent="0.2">
      <c r="A1514" s="947" t="s">
        <v>281</v>
      </c>
      <c r="B1514" s="947">
        <v>416958</v>
      </c>
      <c r="C1514" s="947" t="s">
        <v>2189</v>
      </c>
      <c r="D1514" s="947" t="s">
        <v>1474</v>
      </c>
      <c r="E1514" s="951">
        <v>196</v>
      </c>
      <c r="F1514" s="951">
        <v>118</v>
      </c>
      <c r="G1514" s="947" t="s">
        <v>159</v>
      </c>
      <c r="H1514" s="951">
        <v>142</v>
      </c>
      <c r="I1514" s="951">
        <v>20</v>
      </c>
      <c r="J1514" s="947" t="s">
        <v>281</v>
      </c>
      <c r="K1514" s="947">
        <v>416958</v>
      </c>
      <c r="M1514" s="631"/>
      <c r="P1514" s="950" t="str">
        <f>VLOOKUP(J1514,'רשימת רשויות'!A:A,1,0)</f>
        <v>כפר יונה</v>
      </c>
      <c r="Q1514" s="956">
        <f>IFERROR(VLOOKUP(B1514,[2]מעובד!$D:$K,8,0),0)</f>
        <v>258</v>
      </c>
      <c r="R1514" s="956">
        <f>IFERROR(VLOOKUP(B1514,[2]מעובד!$D:$L,9,0),0)</f>
        <v>65</v>
      </c>
    </row>
    <row r="1515" spans="1:18" x14ac:dyDescent="0.2">
      <c r="A1515" s="947" t="s">
        <v>307</v>
      </c>
      <c r="B1515" s="947">
        <v>416982</v>
      </c>
      <c r="C1515" s="947" t="s">
        <v>2189</v>
      </c>
      <c r="D1515" s="947" t="s">
        <v>2431</v>
      </c>
      <c r="E1515" s="951">
        <v>154</v>
      </c>
      <c r="F1515" s="951">
        <v>130</v>
      </c>
      <c r="G1515" s="947" t="s">
        <v>159</v>
      </c>
      <c r="H1515" s="951">
        <v>0</v>
      </c>
      <c r="I1515" s="951">
        <v>0</v>
      </c>
      <c r="J1515" s="947" t="s">
        <v>307</v>
      </c>
      <c r="K1515" s="947">
        <v>416982</v>
      </c>
      <c r="M1515" s="631"/>
      <c r="P1515" s="950" t="str">
        <f>VLOOKUP(J1515,'רשימת רשויות'!A:A,1,0)</f>
        <v>מזכרת בתיה</v>
      </c>
      <c r="Q1515" s="956">
        <f>IFERROR(VLOOKUP(B1515,[2]מעובד!$D:$K,8,0),0)</f>
        <v>121</v>
      </c>
      <c r="R1515" s="956">
        <f>IFERROR(VLOOKUP(B1515,[2]מעובד!$D:$L,9,0),0)</f>
        <v>60</v>
      </c>
    </row>
    <row r="1516" spans="1:18" x14ac:dyDescent="0.2">
      <c r="A1516" s="947" t="s">
        <v>363</v>
      </c>
      <c r="B1516" s="947">
        <v>417006</v>
      </c>
      <c r="C1516" s="947" t="s">
        <v>2189</v>
      </c>
      <c r="D1516" s="947" t="s">
        <v>1168</v>
      </c>
      <c r="E1516" s="951">
        <v>150</v>
      </c>
      <c r="F1516" s="951">
        <v>150</v>
      </c>
      <c r="G1516" s="947" t="s">
        <v>3252</v>
      </c>
      <c r="H1516" s="951">
        <v>0</v>
      </c>
      <c r="I1516" s="951">
        <v>0</v>
      </c>
      <c r="J1516" s="947" t="s">
        <v>363</v>
      </c>
      <c r="K1516" s="947">
        <v>417006</v>
      </c>
      <c r="M1516" s="631"/>
      <c r="P1516" s="950" t="str">
        <f>VLOOKUP(J1516,'רשימת רשויות'!A:A,1,0)</f>
        <v>פתח תקוה</v>
      </c>
      <c r="Q1516" s="956">
        <f>IFERROR(VLOOKUP(B1516,[2]מעובד!$D:$K,8,0),0)</f>
        <v>0</v>
      </c>
      <c r="R1516" s="956">
        <f>IFERROR(VLOOKUP(B1516,[2]מעובד!$D:$L,9,0),0)</f>
        <v>0</v>
      </c>
    </row>
    <row r="1517" spans="1:18" x14ac:dyDescent="0.2">
      <c r="A1517" s="947" t="s">
        <v>390</v>
      </c>
      <c r="B1517" s="947">
        <v>417014</v>
      </c>
      <c r="C1517" s="947" t="s">
        <v>2189</v>
      </c>
      <c r="D1517" s="947" t="s">
        <v>3043</v>
      </c>
      <c r="E1517" s="951">
        <v>84</v>
      </c>
      <c r="F1517" s="951">
        <v>68</v>
      </c>
      <c r="G1517" s="947" t="s">
        <v>3252</v>
      </c>
      <c r="H1517" s="951">
        <v>0</v>
      </c>
      <c r="I1517" s="951">
        <v>0</v>
      </c>
      <c r="J1517" s="947" t="s">
        <v>390</v>
      </c>
      <c r="K1517" s="947">
        <v>417014</v>
      </c>
      <c r="M1517" s="631"/>
      <c r="P1517" s="950" t="str">
        <f>VLOOKUP(J1517,'רשימת רשויות'!A:A,1,0)</f>
        <v>רמלה</v>
      </c>
      <c r="Q1517" s="956">
        <f>IFERROR(VLOOKUP(B1517,[2]מעובד!$D:$K,8,0),0)</f>
        <v>0</v>
      </c>
      <c r="R1517" s="956">
        <f>IFERROR(VLOOKUP(B1517,[2]מעובד!$D:$L,9,0),0)</f>
        <v>0</v>
      </c>
    </row>
    <row r="1518" spans="1:18" x14ac:dyDescent="0.2">
      <c r="A1518" s="947" t="s">
        <v>390</v>
      </c>
      <c r="B1518" s="947">
        <v>417022</v>
      </c>
      <c r="C1518" s="947" t="s">
        <v>2189</v>
      </c>
      <c r="D1518" s="947" t="s">
        <v>1169</v>
      </c>
      <c r="E1518" s="951">
        <v>157</v>
      </c>
      <c r="F1518" s="951">
        <v>112</v>
      </c>
      <c r="G1518" s="947" t="s">
        <v>3252</v>
      </c>
      <c r="H1518" s="951">
        <v>0</v>
      </c>
      <c r="I1518" s="951">
        <v>0</v>
      </c>
      <c r="J1518" s="947" t="s">
        <v>390</v>
      </c>
      <c r="K1518" s="947">
        <v>417022</v>
      </c>
      <c r="M1518" s="631"/>
      <c r="P1518" s="950" t="str">
        <f>VLOOKUP(J1518,'רשימת רשויות'!A:A,1,0)</f>
        <v>רמלה</v>
      </c>
      <c r="Q1518" s="956">
        <f>IFERROR(VLOOKUP(B1518,[2]מעובד!$D:$K,8,0),0)</f>
        <v>69</v>
      </c>
      <c r="R1518" s="956">
        <f>IFERROR(VLOOKUP(B1518,[2]מעובד!$D:$L,9,0),0)</f>
        <v>54</v>
      </c>
    </row>
    <row r="1519" spans="1:18" x14ac:dyDescent="0.2">
      <c r="A1519" s="947" t="s">
        <v>390</v>
      </c>
      <c r="B1519" s="947">
        <v>417030</v>
      </c>
      <c r="C1519" s="947" t="s">
        <v>2189</v>
      </c>
      <c r="D1519" s="947" t="s">
        <v>1170</v>
      </c>
      <c r="E1519" s="951">
        <v>160</v>
      </c>
      <c r="F1519" s="951">
        <v>82</v>
      </c>
      <c r="G1519" s="947" t="s">
        <v>3252</v>
      </c>
      <c r="H1519" s="951">
        <v>0</v>
      </c>
      <c r="I1519" s="951">
        <v>0</v>
      </c>
      <c r="J1519" s="947" t="s">
        <v>390</v>
      </c>
      <c r="K1519" s="947">
        <v>417030</v>
      </c>
      <c r="M1519" s="631"/>
      <c r="P1519" s="950" t="str">
        <f>VLOOKUP(J1519,'רשימת רשויות'!A:A,1,0)</f>
        <v>רמלה</v>
      </c>
      <c r="Q1519" s="956">
        <f>IFERROR(VLOOKUP(B1519,[2]מעובד!$D:$K,8,0),0)</f>
        <v>0</v>
      </c>
      <c r="R1519" s="956">
        <f>IFERROR(VLOOKUP(B1519,[2]מעובד!$D:$L,9,0),0)</f>
        <v>0</v>
      </c>
    </row>
    <row r="1520" spans="1:18" x14ac:dyDescent="0.2">
      <c r="A1520" s="947" t="s">
        <v>258</v>
      </c>
      <c r="B1520" s="947">
        <v>417048</v>
      </c>
      <c r="C1520" s="947" t="s">
        <v>2189</v>
      </c>
      <c r="D1520" s="947" t="s">
        <v>3044</v>
      </c>
      <c r="E1520" s="951">
        <v>232</v>
      </c>
      <c r="F1520" s="951">
        <v>173</v>
      </c>
      <c r="G1520" s="947" t="s">
        <v>159</v>
      </c>
      <c r="H1520" s="951">
        <v>77</v>
      </c>
      <c r="I1520" s="951">
        <v>6</v>
      </c>
      <c r="J1520" s="947" t="s">
        <v>258</v>
      </c>
      <c r="K1520" s="947">
        <v>417048</v>
      </c>
      <c r="M1520" s="631"/>
      <c r="P1520" s="950" t="str">
        <f>VLOOKUP(J1520,'רשימת רשויות'!A:A,1,0)</f>
        <v>טירה</v>
      </c>
      <c r="Q1520" s="956">
        <f>IFERROR(VLOOKUP(B1520,[2]מעובד!$D:$K,8,0),0)</f>
        <v>197</v>
      </c>
      <c r="R1520" s="956">
        <f>IFERROR(VLOOKUP(B1520,[2]מעובד!$D:$L,9,0),0)</f>
        <v>110</v>
      </c>
    </row>
    <row r="1521" spans="1:18" x14ac:dyDescent="0.2">
      <c r="A1521" s="947" t="s">
        <v>285</v>
      </c>
      <c r="B1521" s="947">
        <v>417063</v>
      </c>
      <c r="C1521" s="947" t="s">
        <v>2189</v>
      </c>
      <c r="D1521" s="947" t="s">
        <v>1171</v>
      </c>
      <c r="E1521" s="951">
        <v>301</v>
      </c>
      <c r="F1521" s="951">
        <v>133</v>
      </c>
      <c r="G1521" s="947" t="s">
        <v>159</v>
      </c>
      <c r="H1521" s="951">
        <v>0</v>
      </c>
      <c r="I1521" s="951">
        <v>0</v>
      </c>
      <c r="J1521" s="947" t="s">
        <v>285</v>
      </c>
      <c r="K1521" s="947">
        <v>417063</v>
      </c>
      <c r="M1521" s="631"/>
      <c r="P1521" s="950" t="str">
        <f>VLOOKUP(J1521,'רשימת רשויות'!A:A,1,0)</f>
        <v>כפר קאסם</v>
      </c>
      <c r="Q1521" s="956">
        <f>IFERROR(VLOOKUP(B1521,[2]מעובד!$D:$K,8,0),0)</f>
        <v>0</v>
      </c>
      <c r="R1521" s="956">
        <f>IFERROR(VLOOKUP(B1521,[2]מעובד!$D:$L,9,0),0)</f>
        <v>0</v>
      </c>
    </row>
    <row r="1522" spans="1:18" x14ac:dyDescent="0.2">
      <c r="A1522" s="947" t="s">
        <v>221</v>
      </c>
      <c r="B1522" s="947">
        <v>417071</v>
      </c>
      <c r="C1522" s="947" t="s">
        <v>2189</v>
      </c>
      <c r="D1522" s="947" t="s">
        <v>717</v>
      </c>
      <c r="E1522" s="951">
        <v>126</v>
      </c>
      <c r="F1522" s="951">
        <v>73</v>
      </c>
      <c r="G1522" s="947" t="s">
        <v>159</v>
      </c>
      <c r="H1522" s="951">
        <v>38</v>
      </c>
      <c r="I1522" s="951">
        <v>3</v>
      </c>
      <c r="J1522" s="947" t="s">
        <v>221</v>
      </c>
      <c r="K1522" s="947">
        <v>417071</v>
      </c>
      <c r="M1522" s="631"/>
      <c r="P1522" s="950" t="str">
        <f>VLOOKUP(J1522,'רשימת רשויות'!A:A,1,0)</f>
        <v>גן יבנה</v>
      </c>
      <c r="Q1522" s="956">
        <f>IFERROR(VLOOKUP(B1522,[2]מעובד!$D:$K,8,0),0)</f>
        <v>104</v>
      </c>
      <c r="R1522" s="956">
        <f>IFERROR(VLOOKUP(B1522,[2]מעובד!$D:$L,9,0),0)</f>
        <v>57</v>
      </c>
    </row>
    <row r="1523" spans="1:18" x14ac:dyDescent="0.2">
      <c r="A1523" s="947" t="s">
        <v>392</v>
      </c>
      <c r="B1523" s="947">
        <v>417089</v>
      </c>
      <c r="C1523" s="947" t="s">
        <v>2189</v>
      </c>
      <c r="D1523" s="947" t="s">
        <v>657</v>
      </c>
      <c r="E1523" s="951">
        <v>155</v>
      </c>
      <c r="F1523" s="951">
        <v>138</v>
      </c>
      <c r="G1523" s="947" t="s">
        <v>159</v>
      </c>
      <c r="H1523" s="951">
        <v>0</v>
      </c>
      <c r="I1523" s="951">
        <v>0</v>
      </c>
      <c r="J1523" s="947" t="s">
        <v>392</v>
      </c>
      <c r="K1523" s="947">
        <v>417089</v>
      </c>
      <c r="M1523" s="631"/>
      <c r="P1523" s="950" t="str">
        <f>VLOOKUP(J1523,'רשימת רשויות'!A:A,1,0)</f>
        <v>רמת השרון</v>
      </c>
      <c r="Q1523" s="956">
        <f>IFERROR(VLOOKUP(B1523,[2]מעובד!$D:$K,8,0),0)</f>
        <v>0</v>
      </c>
      <c r="R1523" s="956">
        <f>IFERROR(VLOOKUP(B1523,[2]מעובד!$D:$L,9,0),0)</f>
        <v>0</v>
      </c>
    </row>
    <row r="1524" spans="1:18" x14ac:dyDescent="0.2">
      <c r="A1524" s="947" t="s">
        <v>293</v>
      </c>
      <c r="B1524" s="947">
        <v>417097</v>
      </c>
      <c r="C1524" s="947" t="s">
        <v>2189</v>
      </c>
      <c r="D1524" s="947" t="s">
        <v>2228</v>
      </c>
      <c r="E1524" s="951">
        <v>164</v>
      </c>
      <c r="F1524" s="951">
        <v>144</v>
      </c>
      <c r="G1524" s="947" t="s">
        <v>159</v>
      </c>
      <c r="H1524" s="951">
        <v>122</v>
      </c>
      <c r="I1524" s="951">
        <v>20</v>
      </c>
      <c r="J1524" s="947" t="s">
        <v>293</v>
      </c>
      <c r="K1524" s="947">
        <v>417097</v>
      </c>
      <c r="M1524" s="631"/>
      <c r="P1524" s="950" t="str">
        <f>VLOOKUP(J1524,'רשימת רשויות'!A:A,1,0)</f>
        <v>לוד</v>
      </c>
      <c r="Q1524" s="956">
        <f>IFERROR(VLOOKUP(B1524,[2]מעובד!$D:$K,8,0),0)</f>
        <v>183</v>
      </c>
      <c r="R1524" s="956">
        <f>IFERROR(VLOOKUP(B1524,[2]מעובד!$D:$L,9,0),0)</f>
        <v>86</v>
      </c>
    </row>
    <row r="1525" spans="1:18" x14ac:dyDescent="0.2">
      <c r="A1525" s="947" t="s">
        <v>162</v>
      </c>
      <c r="B1525" s="947">
        <v>417105</v>
      </c>
      <c r="C1525" s="947" t="s">
        <v>2189</v>
      </c>
      <c r="D1525" s="947" t="s">
        <v>1173</v>
      </c>
      <c r="E1525" s="951">
        <v>181</v>
      </c>
      <c r="F1525" s="951">
        <v>131</v>
      </c>
      <c r="G1525" s="947" t="s">
        <v>159</v>
      </c>
      <c r="H1525" s="951">
        <v>0</v>
      </c>
      <c r="I1525" s="951">
        <v>0</v>
      </c>
      <c r="J1525" s="947" t="s">
        <v>162</v>
      </c>
      <c r="K1525" s="947">
        <v>417105</v>
      </c>
      <c r="M1525" s="631"/>
      <c r="P1525" s="950" t="str">
        <f>VLOOKUP(J1525,'רשימת רשויות'!A:A,1,0)</f>
        <v>אבן יהודה</v>
      </c>
      <c r="Q1525" s="956">
        <f>IFERROR(VLOOKUP(B1525,[2]מעובד!$D:$K,8,0),0)</f>
        <v>268</v>
      </c>
      <c r="R1525" s="956">
        <f>IFERROR(VLOOKUP(B1525,[2]מעובד!$D:$L,9,0),0)</f>
        <v>61</v>
      </c>
    </row>
    <row r="1526" spans="1:18" x14ac:dyDescent="0.2">
      <c r="A1526" s="947" t="s">
        <v>385</v>
      </c>
      <c r="B1526" s="947">
        <v>417113</v>
      </c>
      <c r="C1526" s="947" t="s">
        <v>2189</v>
      </c>
      <c r="D1526" s="947" t="s">
        <v>3045</v>
      </c>
      <c r="E1526" s="951">
        <v>207</v>
      </c>
      <c r="F1526" s="951">
        <v>0</v>
      </c>
      <c r="G1526" s="947" t="s">
        <v>3252</v>
      </c>
      <c r="H1526" s="951">
        <v>0</v>
      </c>
      <c r="I1526" s="951">
        <v>0</v>
      </c>
      <c r="J1526" s="947" t="s">
        <v>385</v>
      </c>
      <c r="K1526" s="947">
        <v>417113</v>
      </c>
      <c r="M1526" s="631"/>
      <c r="P1526" s="950" t="str">
        <f>VLOOKUP(J1526,'רשימת רשויות'!A:A,1,0)</f>
        <v>ראשון לציון</v>
      </c>
      <c r="Q1526" s="956">
        <f>IFERROR(VLOOKUP(B1526,[2]מעובד!$D:$K,8,0),0)</f>
        <v>0</v>
      </c>
      <c r="R1526" s="956">
        <f>IFERROR(VLOOKUP(B1526,[2]מעובד!$D:$L,9,0),0)</f>
        <v>0</v>
      </c>
    </row>
    <row r="1527" spans="1:18" x14ac:dyDescent="0.2">
      <c r="A1527" s="947" t="s">
        <v>336</v>
      </c>
      <c r="B1527" s="947">
        <v>417121</v>
      </c>
      <c r="C1527" s="947" t="s">
        <v>2189</v>
      </c>
      <c r="D1527" s="947" t="s">
        <v>658</v>
      </c>
      <c r="E1527" s="951">
        <v>323</v>
      </c>
      <c r="F1527" s="951">
        <v>235</v>
      </c>
      <c r="G1527" s="947" t="s">
        <v>159</v>
      </c>
      <c r="H1527" s="951">
        <v>215</v>
      </c>
      <c r="I1527" s="951">
        <v>9</v>
      </c>
      <c r="J1527" s="947" t="s">
        <v>336</v>
      </c>
      <c r="K1527" s="947">
        <v>417121</v>
      </c>
      <c r="M1527" s="631"/>
      <c r="P1527" s="950" t="str">
        <f>VLOOKUP(J1527,'רשימת רשויות'!A:A,1,0)</f>
        <v>נתניה</v>
      </c>
      <c r="Q1527" s="956">
        <f>IFERROR(VLOOKUP(B1527,[2]מעובד!$D:$K,8,0),0)</f>
        <v>293</v>
      </c>
      <c r="R1527" s="956">
        <f>IFERROR(VLOOKUP(B1527,[2]מעובד!$D:$L,9,0),0)</f>
        <v>82</v>
      </c>
    </row>
    <row r="1528" spans="1:18" x14ac:dyDescent="0.2">
      <c r="A1528" s="947" t="s">
        <v>231</v>
      </c>
      <c r="B1528" s="947">
        <v>417139</v>
      </c>
      <c r="C1528" s="947" t="s">
        <v>2189</v>
      </c>
      <c r="D1528" s="947" t="s">
        <v>2126</v>
      </c>
      <c r="E1528" s="951">
        <v>43</v>
      </c>
      <c r="F1528" s="951">
        <v>28</v>
      </c>
      <c r="G1528" s="947" t="s">
        <v>3252</v>
      </c>
      <c r="H1528" s="951">
        <v>0</v>
      </c>
      <c r="I1528" s="951">
        <v>0</v>
      </c>
      <c r="J1528" s="947" t="s">
        <v>231</v>
      </c>
      <c r="K1528" s="957" t="s">
        <v>3318</v>
      </c>
      <c r="M1528" s="631"/>
      <c r="P1528" s="950" t="str">
        <f>VLOOKUP(J1528,'רשימת רשויות'!A:A,1,0)</f>
        <v>הוד השרון</v>
      </c>
      <c r="Q1528" s="956">
        <f>IFERROR(VLOOKUP(B1528,[2]מעובד!$D:$K,8,0),0)</f>
        <v>0</v>
      </c>
      <c r="R1528" s="956">
        <f>IFERROR(VLOOKUP(B1528,[2]מעובד!$D:$L,9,0),0)</f>
        <v>0</v>
      </c>
    </row>
    <row r="1529" spans="1:18" x14ac:dyDescent="0.2">
      <c r="A1529" s="947" t="s">
        <v>293</v>
      </c>
      <c r="B1529" s="947">
        <v>417170</v>
      </c>
      <c r="C1529" s="947" t="s">
        <v>2189</v>
      </c>
      <c r="D1529" s="947" t="s">
        <v>472</v>
      </c>
      <c r="E1529" s="951">
        <v>110</v>
      </c>
      <c r="F1529" s="951">
        <v>110</v>
      </c>
      <c r="G1529" s="947" t="s">
        <v>159</v>
      </c>
      <c r="H1529" s="951">
        <v>0</v>
      </c>
      <c r="I1529" s="951">
        <v>0</v>
      </c>
      <c r="J1529" s="947" t="s">
        <v>293</v>
      </c>
      <c r="K1529" s="947">
        <v>417170</v>
      </c>
      <c r="M1529" s="631"/>
      <c r="P1529" s="950" t="str">
        <f>VLOOKUP(J1529,'רשימת רשויות'!A:A,1,0)</f>
        <v>לוד</v>
      </c>
      <c r="Q1529" s="956">
        <f>IFERROR(VLOOKUP(B1529,[2]מעובד!$D:$K,8,0),0)</f>
        <v>150</v>
      </c>
      <c r="R1529" s="956">
        <f>IFERROR(VLOOKUP(B1529,[2]מעובד!$D:$L,9,0),0)</f>
        <v>150</v>
      </c>
    </row>
    <row r="1530" spans="1:18" x14ac:dyDescent="0.2">
      <c r="A1530" s="947" t="s">
        <v>336</v>
      </c>
      <c r="B1530" s="947">
        <v>417188</v>
      </c>
      <c r="C1530" s="947" t="s">
        <v>2189</v>
      </c>
      <c r="D1530" s="947" t="s">
        <v>431</v>
      </c>
      <c r="E1530" s="951">
        <v>313</v>
      </c>
      <c r="F1530" s="951">
        <v>297</v>
      </c>
      <c r="G1530" s="947" t="s">
        <v>159</v>
      </c>
      <c r="H1530" s="951">
        <v>107</v>
      </c>
      <c r="I1530" s="951">
        <v>4</v>
      </c>
      <c r="J1530" s="947" t="s">
        <v>336</v>
      </c>
      <c r="K1530" s="947">
        <v>417188</v>
      </c>
      <c r="M1530" s="631"/>
      <c r="P1530" s="950" t="str">
        <f>VLOOKUP(J1530,'רשימת רשויות'!A:A,1,0)</f>
        <v>נתניה</v>
      </c>
      <c r="Q1530" s="956">
        <f>IFERROR(VLOOKUP(B1530,[2]מעובד!$D:$K,8,0),0)</f>
        <v>0</v>
      </c>
      <c r="R1530" s="956">
        <f>IFERROR(VLOOKUP(B1530,[2]מעובד!$D:$L,9,0),0)</f>
        <v>0</v>
      </c>
    </row>
    <row r="1531" spans="1:18" x14ac:dyDescent="0.2">
      <c r="A1531" s="947" t="s">
        <v>390</v>
      </c>
      <c r="B1531" s="947">
        <v>417196</v>
      </c>
      <c r="C1531" s="947" t="s">
        <v>2189</v>
      </c>
      <c r="D1531" s="947" t="s">
        <v>1185</v>
      </c>
      <c r="E1531" s="951">
        <v>102</v>
      </c>
      <c r="F1531" s="951">
        <v>56</v>
      </c>
      <c r="G1531" s="947" t="s">
        <v>159</v>
      </c>
      <c r="H1531" s="951">
        <v>0</v>
      </c>
      <c r="I1531" s="951">
        <v>0</v>
      </c>
      <c r="J1531" s="947" t="s">
        <v>390</v>
      </c>
      <c r="K1531" s="947">
        <v>417196</v>
      </c>
      <c r="M1531" s="631"/>
      <c r="P1531" s="950" t="str">
        <f>VLOOKUP(J1531,'רשימת רשויות'!A:A,1,0)</f>
        <v>רמלה</v>
      </c>
      <c r="Q1531" s="956">
        <f>IFERROR(VLOOKUP(B1531,[2]מעובד!$D:$K,8,0),0)</f>
        <v>141</v>
      </c>
      <c r="R1531" s="956">
        <f>IFERROR(VLOOKUP(B1531,[2]מעובד!$D:$L,9,0),0)</f>
        <v>91</v>
      </c>
    </row>
    <row r="1532" spans="1:18" x14ac:dyDescent="0.2">
      <c r="A1532" s="947" t="s">
        <v>363</v>
      </c>
      <c r="B1532" s="947">
        <v>417212</v>
      </c>
      <c r="C1532" s="947" t="s">
        <v>2189</v>
      </c>
      <c r="D1532" s="947" t="s">
        <v>659</v>
      </c>
      <c r="E1532" s="951">
        <v>308</v>
      </c>
      <c r="F1532" s="951">
        <v>284</v>
      </c>
      <c r="G1532" s="947" t="s">
        <v>159</v>
      </c>
      <c r="H1532" s="951">
        <v>132</v>
      </c>
      <c r="I1532" s="951">
        <v>15</v>
      </c>
      <c r="J1532" s="947" t="s">
        <v>363</v>
      </c>
      <c r="K1532" s="947">
        <v>417212</v>
      </c>
      <c r="M1532" s="631"/>
      <c r="P1532" s="950" t="str">
        <f>VLOOKUP(J1532,'רשימת רשויות'!A:A,1,0)</f>
        <v>פתח תקוה</v>
      </c>
      <c r="Q1532" s="956">
        <f>IFERROR(VLOOKUP(B1532,[2]מעובד!$D:$K,8,0),0)</f>
        <v>356</v>
      </c>
      <c r="R1532" s="956">
        <f>IFERROR(VLOOKUP(B1532,[2]מעובד!$D:$L,9,0),0)</f>
        <v>329</v>
      </c>
    </row>
    <row r="1533" spans="1:18" x14ac:dyDescent="0.2">
      <c r="A1533" s="947" t="s">
        <v>363</v>
      </c>
      <c r="B1533" s="947">
        <v>417220</v>
      </c>
      <c r="C1533" s="947" t="s">
        <v>2189</v>
      </c>
      <c r="D1533" s="947" t="s">
        <v>660</v>
      </c>
      <c r="E1533" s="951">
        <v>309</v>
      </c>
      <c r="F1533" s="951">
        <v>295</v>
      </c>
      <c r="G1533" s="947" t="s">
        <v>159</v>
      </c>
      <c r="H1533" s="951">
        <v>107</v>
      </c>
      <c r="I1533" s="951">
        <v>14</v>
      </c>
      <c r="J1533" s="947" t="s">
        <v>363</v>
      </c>
      <c r="K1533" s="947">
        <v>417220</v>
      </c>
      <c r="M1533" s="631"/>
      <c r="P1533" s="950" t="str">
        <f>VLOOKUP(J1533,'רשימת רשויות'!A:A,1,0)</f>
        <v>פתח תקוה</v>
      </c>
      <c r="Q1533" s="956">
        <f>IFERROR(VLOOKUP(B1533,[2]מעובד!$D:$K,8,0),0)</f>
        <v>319</v>
      </c>
      <c r="R1533" s="956">
        <f>IFERROR(VLOOKUP(B1533,[2]מעובד!$D:$L,9,0),0)</f>
        <v>116</v>
      </c>
    </row>
    <row r="1534" spans="1:18" x14ac:dyDescent="0.2">
      <c r="A1534" s="947" t="s">
        <v>205</v>
      </c>
      <c r="B1534" s="947">
        <v>417238</v>
      </c>
      <c r="C1534" s="947" t="s">
        <v>2189</v>
      </c>
      <c r="D1534" s="947" t="s">
        <v>467</v>
      </c>
      <c r="E1534" s="951">
        <v>147</v>
      </c>
      <c r="F1534" s="951">
        <v>63</v>
      </c>
      <c r="G1534" s="947" t="s">
        <v>159</v>
      </c>
      <c r="H1534" s="951">
        <v>0</v>
      </c>
      <c r="I1534" s="951">
        <v>0</v>
      </c>
      <c r="J1534" s="947" t="s">
        <v>205</v>
      </c>
      <c r="K1534" s="947">
        <v>417238</v>
      </c>
      <c r="M1534" s="631"/>
      <c r="P1534" s="950" t="str">
        <f>VLOOKUP(J1534,'רשימת רשויות'!A:A,1,0)</f>
        <v>ברנר</v>
      </c>
      <c r="Q1534" s="956">
        <f>IFERROR(VLOOKUP(B1534,[2]מעובד!$D:$K,8,0),0)</f>
        <v>155</v>
      </c>
      <c r="R1534" s="956">
        <f>IFERROR(VLOOKUP(B1534,[2]מעובד!$D:$L,9,0),0)</f>
        <v>51</v>
      </c>
    </row>
    <row r="1535" spans="1:18" x14ac:dyDescent="0.2">
      <c r="A1535" s="947" t="s">
        <v>387</v>
      </c>
      <c r="B1535" s="947">
        <v>417246</v>
      </c>
      <c r="C1535" s="947" t="s">
        <v>2189</v>
      </c>
      <c r="D1535" s="947" t="s">
        <v>1186</v>
      </c>
      <c r="E1535" s="951">
        <v>356</v>
      </c>
      <c r="F1535" s="951">
        <v>257</v>
      </c>
      <c r="G1535" s="947" t="s">
        <v>159</v>
      </c>
      <c r="H1535" s="951">
        <v>0</v>
      </c>
      <c r="I1535" s="951">
        <v>0</v>
      </c>
      <c r="J1535" s="947" t="s">
        <v>387</v>
      </c>
      <c r="K1535" s="947">
        <v>417246</v>
      </c>
      <c r="M1535" s="631"/>
      <c r="P1535" s="950" t="str">
        <f>VLOOKUP(J1535,'רשימת רשויות'!A:A,1,0)</f>
        <v>רחובות</v>
      </c>
      <c r="Q1535" s="956">
        <f>IFERROR(VLOOKUP(B1535,[2]מעובד!$D:$K,8,0),0)</f>
        <v>218</v>
      </c>
      <c r="R1535" s="956">
        <f>IFERROR(VLOOKUP(B1535,[2]מעובד!$D:$L,9,0),0)</f>
        <v>60</v>
      </c>
    </row>
    <row r="1536" spans="1:18" x14ac:dyDescent="0.2">
      <c r="A1536" s="947" t="s">
        <v>339</v>
      </c>
      <c r="B1536" s="947">
        <v>417527</v>
      </c>
      <c r="C1536" s="947" t="s">
        <v>2189</v>
      </c>
      <c r="D1536" s="947" t="s">
        <v>1165</v>
      </c>
      <c r="E1536" s="951">
        <v>208</v>
      </c>
      <c r="F1536" s="951">
        <v>170</v>
      </c>
      <c r="G1536" s="947" t="s">
        <v>159</v>
      </c>
      <c r="H1536" s="951">
        <v>0</v>
      </c>
      <c r="I1536" s="951">
        <v>0</v>
      </c>
      <c r="J1536" s="947" t="s">
        <v>339</v>
      </c>
      <c r="K1536" s="947">
        <v>417527</v>
      </c>
      <c r="M1536" s="631"/>
      <c r="P1536" s="950" t="str">
        <f>VLOOKUP(J1536,'רשימת רשויות'!A:A,1,0)</f>
        <v>סח'נין</v>
      </c>
      <c r="Q1536" s="956">
        <f>IFERROR(VLOOKUP(B1536,[2]מעובד!$D:$K,8,0),0)</f>
        <v>180</v>
      </c>
      <c r="R1536" s="956">
        <f>IFERROR(VLOOKUP(B1536,[2]מעובד!$D:$L,9,0),0)</f>
        <v>67</v>
      </c>
    </row>
    <row r="1537" spans="1:18" x14ac:dyDescent="0.2">
      <c r="A1537" s="947" t="s">
        <v>398</v>
      </c>
      <c r="B1537" s="947">
        <v>417964</v>
      </c>
      <c r="C1537" s="947" t="s">
        <v>2189</v>
      </c>
      <c r="D1537" s="947" t="s">
        <v>1191</v>
      </c>
      <c r="E1537" s="951">
        <v>67</v>
      </c>
      <c r="F1537" s="951">
        <v>67</v>
      </c>
      <c r="G1537" s="947" t="s">
        <v>3252</v>
      </c>
      <c r="H1537" s="951">
        <v>0</v>
      </c>
      <c r="I1537" s="951">
        <v>0</v>
      </c>
      <c r="J1537" s="947" t="s">
        <v>398</v>
      </c>
      <c r="K1537" s="947">
        <v>417964</v>
      </c>
      <c r="M1537" s="631"/>
      <c r="P1537" s="950" t="str">
        <f>VLOOKUP(J1537,'רשימת רשויות'!A:A,1,0)</f>
        <v>שדות דן</v>
      </c>
      <c r="Q1537" s="956">
        <f>IFERROR(VLOOKUP(B1537,[2]מעובד!$D:$K,8,0),0)</f>
        <v>0</v>
      </c>
      <c r="R1537" s="956">
        <f>IFERROR(VLOOKUP(B1537,[2]מעובד!$D:$L,9,0),0)</f>
        <v>0</v>
      </c>
    </row>
    <row r="1538" spans="1:18" x14ac:dyDescent="0.2">
      <c r="A1538" s="947" t="s">
        <v>238</v>
      </c>
      <c r="B1538" s="947">
        <v>418020</v>
      </c>
      <c r="C1538" s="947" t="s">
        <v>2189</v>
      </c>
      <c r="D1538" s="947" t="s">
        <v>3046</v>
      </c>
      <c r="E1538" s="951">
        <v>233</v>
      </c>
      <c r="F1538" s="951">
        <v>116</v>
      </c>
      <c r="G1538" s="947" t="s">
        <v>159</v>
      </c>
      <c r="H1538" s="951">
        <v>86</v>
      </c>
      <c r="I1538" s="951">
        <v>8</v>
      </c>
      <c r="J1538" s="947" t="s">
        <v>238</v>
      </c>
      <c r="K1538" s="947">
        <v>418020</v>
      </c>
      <c r="M1538" s="631"/>
      <c r="P1538" s="950" t="str">
        <f>VLOOKUP(J1538,'רשימת רשויות'!A:A,1,0)</f>
        <v>זמר</v>
      </c>
      <c r="Q1538" s="956">
        <f>IFERROR(VLOOKUP(B1538,[2]מעובד!$D:$K,8,0),0)</f>
        <v>226</v>
      </c>
      <c r="R1538" s="956">
        <f>IFERROR(VLOOKUP(B1538,[2]מעובד!$D:$L,9,0),0)</f>
        <v>90</v>
      </c>
    </row>
    <row r="1539" spans="1:18" x14ac:dyDescent="0.2">
      <c r="A1539" s="947" t="s">
        <v>390</v>
      </c>
      <c r="B1539" s="947">
        <v>418038</v>
      </c>
      <c r="C1539" s="947" t="s">
        <v>2189</v>
      </c>
      <c r="D1539" s="947" t="s">
        <v>3047</v>
      </c>
      <c r="E1539" s="951">
        <v>215</v>
      </c>
      <c r="F1539" s="951">
        <v>98</v>
      </c>
      <c r="G1539" s="947" t="s">
        <v>159</v>
      </c>
      <c r="H1539" s="951">
        <v>0</v>
      </c>
      <c r="I1539" s="951">
        <v>0</v>
      </c>
      <c r="J1539" s="947" t="s">
        <v>390</v>
      </c>
      <c r="K1539" s="947">
        <v>418038</v>
      </c>
      <c r="M1539" s="631"/>
      <c r="P1539" s="950" t="str">
        <f>VLOOKUP(J1539,'רשימת רשויות'!A:A,1,0)</f>
        <v>רמלה</v>
      </c>
      <c r="Q1539" s="956">
        <f>IFERROR(VLOOKUP(B1539,[2]מעובד!$D:$K,8,0),0)</f>
        <v>232</v>
      </c>
      <c r="R1539" s="956">
        <f>IFERROR(VLOOKUP(B1539,[2]מעובד!$D:$L,9,0),0)</f>
        <v>222</v>
      </c>
    </row>
    <row r="1540" spans="1:18" x14ac:dyDescent="0.2">
      <c r="A1540" s="947" t="s">
        <v>257</v>
      </c>
      <c r="B1540" s="947">
        <v>418053</v>
      </c>
      <c r="C1540" s="947" t="s">
        <v>2189</v>
      </c>
      <c r="D1540" s="947" t="s">
        <v>1735</v>
      </c>
      <c r="E1540" s="951">
        <v>69</v>
      </c>
      <c r="F1540" s="951">
        <v>10</v>
      </c>
      <c r="G1540" s="947" t="s">
        <v>159</v>
      </c>
      <c r="H1540" s="951">
        <v>27</v>
      </c>
      <c r="I1540" s="951">
        <v>0</v>
      </c>
      <c r="J1540" s="947" t="s">
        <v>257</v>
      </c>
      <c r="K1540" s="957" t="s">
        <v>3319</v>
      </c>
      <c r="M1540" s="631"/>
      <c r="P1540" s="950" t="str">
        <f>VLOOKUP(J1540,'רשימת רשויות'!A:A,1,0)</f>
        <v>טייבה</v>
      </c>
      <c r="Q1540" s="956">
        <f>IFERROR(VLOOKUP(B1540,[2]מעובד!$D:$K,8,0),0)</f>
        <v>0</v>
      </c>
      <c r="R1540" s="956">
        <f>IFERROR(VLOOKUP(B1540,[2]מעובד!$D:$L,9,0),0)</f>
        <v>0</v>
      </c>
    </row>
    <row r="1541" spans="1:18" x14ac:dyDescent="0.2">
      <c r="A1541" s="947" t="s">
        <v>257</v>
      </c>
      <c r="B1541" s="947">
        <v>418061</v>
      </c>
      <c r="C1541" s="947" t="s">
        <v>2189</v>
      </c>
      <c r="D1541" s="947" t="s">
        <v>1736</v>
      </c>
      <c r="E1541" s="951">
        <v>139</v>
      </c>
      <c r="F1541" s="951">
        <v>92</v>
      </c>
      <c r="G1541" s="947" t="s">
        <v>159</v>
      </c>
      <c r="H1541" s="951">
        <v>0</v>
      </c>
      <c r="I1541" s="951">
        <v>0</v>
      </c>
      <c r="J1541" s="947" t="s">
        <v>257</v>
      </c>
      <c r="K1541" s="947">
        <v>418061</v>
      </c>
      <c r="M1541" s="631"/>
      <c r="P1541" s="950" t="str">
        <f>VLOOKUP(J1541,'רשימת רשויות'!A:A,1,0)</f>
        <v>טייבה</v>
      </c>
      <c r="Q1541" s="956">
        <f>IFERROR(VLOOKUP(B1541,[2]מעובד!$D:$K,8,0),0)</f>
        <v>108</v>
      </c>
      <c r="R1541" s="956">
        <f>IFERROR(VLOOKUP(B1541,[2]מעובד!$D:$L,9,0),0)</f>
        <v>40</v>
      </c>
    </row>
    <row r="1542" spans="1:18" x14ac:dyDescent="0.2">
      <c r="A1542" s="947" t="s">
        <v>257</v>
      </c>
      <c r="B1542" s="947">
        <v>418079</v>
      </c>
      <c r="C1542" s="947" t="s">
        <v>2189</v>
      </c>
      <c r="D1542" s="947" t="s">
        <v>1606</v>
      </c>
      <c r="E1542" s="951">
        <v>235</v>
      </c>
      <c r="F1542" s="951">
        <v>125</v>
      </c>
      <c r="G1542" s="947" t="s">
        <v>159</v>
      </c>
      <c r="H1542" s="951">
        <v>0</v>
      </c>
      <c r="I1542" s="951">
        <v>0</v>
      </c>
      <c r="J1542" s="947" t="s">
        <v>257</v>
      </c>
      <c r="K1542" s="947">
        <v>418079</v>
      </c>
      <c r="M1542" s="631"/>
      <c r="P1542" s="950" t="str">
        <f>VLOOKUP(J1542,'רשימת רשויות'!A:A,1,0)</f>
        <v>טייבה</v>
      </c>
      <c r="Q1542" s="956">
        <f>IFERROR(VLOOKUP(B1542,[2]מעובד!$D:$K,8,0),0)</f>
        <v>231</v>
      </c>
      <c r="R1542" s="956">
        <f>IFERROR(VLOOKUP(B1542,[2]מעובד!$D:$L,9,0),0)</f>
        <v>102</v>
      </c>
    </row>
    <row r="1543" spans="1:18" x14ac:dyDescent="0.2">
      <c r="A1543" s="947" t="s">
        <v>258</v>
      </c>
      <c r="B1543" s="947">
        <v>418087</v>
      </c>
      <c r="C1543" s="947" t="s">
        <v>2189</v>
      </c>
      <c r="D1543" s="947" t="s">
        <v>1736</v>
      </c>
      <c r="E1543" s="951">
        <v>256</v>
      </c>
      <c r="F1543" s="951">
        <v>179</v>
      </c>
      <c r="G1543" s="947" t="s">
        <v>159</v>
      </c>
      <c r="H1543" s="951">
        <v>0</v>
      </c>
      <c r="I1543" s="951">
        <v>0</v>
      </c>
      <c r="J1543" s="947" t="s">
        <v>258</v>
      </c>
      <c r="K1543" s="947">
        <v>418087</v>
      </c>
      <c r="M1543" s="631"/>
      <c r="P1543" s="950" t="str">
        <f>VLOOKUP(J1543,'רשימת רשויות'!A:A,1,0)</f>
        <v>טירה</v>
      </c>
      <c r="Q1543" s="956">
        <f>IFERROR(VLOOKUP(B1543,[2]מעובד!$D:$K,8,0),0)</f>
        <v>194</v>
      </c>
      <c r="R1543" s="956">
        <f>IFERROR(VLOOKUP(B1543,[2]מעובד!$D:$L,9,0),0)</f>
        <v>80</v>
      </c>
    </row>
    <row r="1544" spans="1:18" x14ac:dyDescent="0.2">
      <c r="A1544" s="947" t="s">
        <v>258</v>
      </c>
      <c r="B1544" s="947">
        <v>418095</v>
      </c>
      <c r="C1544" s="947" t="s">
        <v>2189</v>
      </c>
      <c r="D1544" s="947" t="s">
        <v>1606</v>
      </c>
      <c r="E1544" s="951">
        <v>243</v>
      </c>
      <c r="F1544" s="951">
        <v>0</v>
      </c>
      <c r="G1544" s="947" t="s">
        <v>159</v>
      </c>
      <c r="H1544" s="951">
        <v>84</v>
      </c>
      <c r="I1544" s="951">
        <v>0</v>
      </c>
      <c r="J1544" s="947" t="s">
        <v>258</v>
      </c>
      <c r="K1544" s="947">
        <v>418095</v>
      </c>
      <c r="M1544" s="631"/>
      <c r="P1544" s="950" t="str">
        <f>VLOOKUP(J1544,'רשימת רשויות'!A:A,1,0)</f>
        <v>טירה</v>
      </c>
      <c r="Q1544" s="956">
        <f>IFERROR(VLOOKUP(B1544,[2]מעובד!$D:$K,8,0),0)</f>
        <v>250</v>
      </c>
      <c r="R1544" s="956">
        <f>IFERROR(VLOOKUP(B1544,[2]מעובד!$D:$L,9,0),0)</f>
        <v>61</v>
      </c>
    </row>
    <row r="1545" spans="1:18" x14ac:dyDescent="0.2">
      <c r="A1545" s="947" t="s">
        <v>278</v>
      </c>
      <c r="B1545" s="947">
        <v>418103</v>
      </c>
      <c r="C1545" s="947" t="s">
        <v>2189</v>
      </c>
      <c r="D1545" s="947" t="s">
        <v>992</v>
      </c>
      <c r="E1545" s="951">
        <v>241</v>
      </c>
      <c r="F1545" s="951">
        <v>232</v>
      </c>
      <c r="G1545" s="947" t="s">
        <v>159</v>
      </c>
      <c r="H1545" s="951">
        <v>86</v>
      </c>
      <c r="I1545" s="951">
        <v>8</v>
      </c>
      <c r="J1545" s="947" t="s">
        <v>278</v>
      </c>
      <c r="K1545" s="947">
        <v>418103</v>
      </c>
      <c r="M1545" s="631"/>
      <c r="P1545" s="950" t="str">
        <f>VLOOKUP(J1545,'רשימת רשויות'!A:A,1,0)</f>
        <v>כפר ברא</v>
      </c>
      <c r="Q1545" s="956">
        <f>IFERROR(VLOOKUP(B1545,[2]מעובד!$D:$K,8,0),0)</f>
        <v>195</v>
      </c>
      <c r="R1545" s="956">
        <f>IFERROR(VLOOKUP(B1545,[2]מעובד!$D:$L,9,0),0)</f>
        <v>105</v>
      </c>
    </row>
    <row r="1546" spans="1:18" x14ac:dyDescent="0.2">
      <c r="A1546" s="947" t="s">
        <v>285</v>
      </c>
      <c r="B1546" s="947">
        <v>418111</v>
      </c>
      <c r="C1546" s="947" t="s">
        <v>2189</v>
      </c>
      <c r="D1546" s="947" t="s">
        <v>1736</v>
      </c>
      <c r="E1546" s="951">
        <v>279</v>
      </c>
      <c r="F1546" s="951">
        <v>124</v>
      </c>
      <c r="G1546" s="947" t="s">
        <v>159</v>
      </c>
      <c r="H1546" s="951">
        <v>101</v>
      </c>
      <c r="I1546" s="951">
        <v>7</v>
      </c>
      <c r="J1546" s="947" t="s">
        <v>285</v>
      </c>
      <c r="K1546" s="947">
        <v>418111</v>
      </c>
      <c r="M1546" s="631"/>
      <c r="P1546" s="950" t="str">
        <f>VLOOKUP(J1546,'רשימת רשויות'!A:A,1,0)</f>
        <v>כפר קאסם</v>
      </c>
      <c r="Q1546" s="956">
        <f>IFERROR(VLOOKUP(B1546,[2]מעובד!$D:$K,8,0),0)</f>
        <v>291</v>
      </c>
      <c r="R1546" s="956">
        <f>IFERROR(VLOOKUP(B1546,[2]מעובד!$D:$L,9,0),0)</f>
        <v>83</v>
      </c>
    </row>
    <row r="1547" spans="1:18" x14ac:dyDescent="0.2">
      <c r="A1547" s="947" t="s">
        <v>293</v>
      </c>
      <c r="B1547" s="947">
        <v>418129</v>
      </c>
      <c r="C1547" s="947" t="s">
        <v>2189</v>
      </c>
      <c r="D1547" s="947" t="s">
        <v>1607</v>
      </c>
      <c r="E1547" s="951">
        <v>348</v>
      </c>
      <c r="F1547" s="951">
        <v>325</v>
      </c>
      <c r="G1547" s="947" t="s">
        <v>159</v>
      </c>
      <c r="H1547" s="951">
        <v>246</v>
      </c>
      <c r="I1547" s="951">
        <v>21</v>
      </c>
      <c r="J1547" s="947" t="s">
        <v>293</v>
      </c>
      <c r="K1547" s="947">
        <v>418129</v>
      </c>
      <c r="M1547" s="631"/>
      <c r="P1547" s="950" t="str">
        <f>VLOOKUP(J1547,'רשימת רשויות'!A:A,1,0)</f>
        <v>לוד</v>
      </c>
      <c r="Q1547" s="956">
        <f>IFERROR(VLOOKUP(B1547,[2]מעובד!$D:$K,8,0),0)</f>
        <v>320</v>
      </c>
      <c r="R1547" s="956">
        <f>IFERROR(VLOOKUP(B1547,[2]מעובד!$D:$L,9,0),0)</f>
        <v>180</v>
      </c>
    </row>
    <row r="1548" spans="1:18" x14ac:dyDescent="0.2">
      <c r="A1548" s="947" t="s">
        <v>367</v>
      </c>
      <c r="B1548" s="947">
        <v>418137</v>
      </c>
      <c r="C1548" s="947" t="s">
        <v>2189</v>
      </c>
      <c r="D1548" s="947" t="s">
        <v>595</v>
      </c>
      <c r="E1548" s="951">
        <v>408</v>
      </c>
      <c r="F1548" s="951">
        <v>329</v>
      </c>
      <c r="G1548" s="947" t="s">
        <v>159</v>
      </c>
      <c r="H1548" s="951">
        <v>0</v>
      </c>
      <c r="I1548" s="951">
        <v>0</v>
      </c>
      <c r="J1548" s="947" t="s">
        <v>367</v>
      </c>
      <c r="K1548" s="947">
        <v>418137</v>
      </c>
      <c r="M1548" s="631"/>
      <c r="P1548" s="950" t="str">
        <f>VLOOKUP(J1548,'רשימת רשויות'!A:A,1,0)</f>
        <v>קלנסווה</v>
      </c>
      <c r="Q1548" s="956">
        <f>IFERROR(VLOOKUP(B1548,[2]מעובד!$D:$K,8,0),0)</f>
        <v>314</v>
      </c>
      <c r="R1548" s="956">
        <f>IFERROR(VLOOKUP(B1548,[2]מעובד!$D:$L,9,0),0)</f>
        <v>55</v>
      </c>
    </row>
    <row r="1549" spans="1:18" x14ac:dyDescent="0.2">
      <c r="A1549" s="947" t="s">
        <v>390</v>
      </c>
      <c r="B1549" s="947">
        <v>418145</v>
      </c>
      <c r="C1549" s="947" t="s">
        <v>2189</v>
      </c>
      <c r="D1549" s="947" t="s">
        <v>590</v>
      </c>
      <c r="E1549" s="951">
        <v>126</v>
      </c>
      <c r="F1549" s="951">
        <v>66</v>
      </c>
      <c r="G1549" s="947" t="s">
        <v>159</v>
      </c>
      <c r="H1549" s="951">
        <v>45</v>
      </c>
      <c r="I1549" s="951">
        <v>0</v>
      </c>
      <c r="J1549" s="947" t="s">
        <v>390</v>
      </c>
      <c r="K1549" s="947">
        <v>418145</v>
      </c>
      <c r="M1549" s="631"/>
      <c r="P1549" s="950" t="str">
        <f>VLOOKUP(J1549,'רשימת רשויות'!A:A,1,0)</f>
        <v>רמלה</v>
      </c>
      <c r="Q1549" s="956">
        <f>IFERROR(VLOOKUP(B1549,[2]מעובד!$D:$K,8,0),0)</f>
        <v>138</v>
      </c>
      <c r="R1549" s="956">
        <f>IFERROR(VLOOKUP(B1549,[2]מעובד!$D:$L,9,0),0)</f>
        <v>129</v>
      </c>
    </row>
    <row r="1550" spans="1:18" x14ac:dyDescent="0.2">
      <c r="A1550" s="947" t="s">
        <v>257</v>
      </c>
      <c r="B1550" s="947">
        <v>418152</v>
      </c>
      <c r="C1550" s="947" t="s">
        <v>2189</v>
      </c>
      <c r="D1550" s="947" t="s">
        <v>595</v>
      </c>
      <c r="E1550" s="951">
        <v>205</v>
      </c>
      <c r="F1550" s="951">
        <v>88</v>
      </c>
      <c r="G1550" s="947" t="s">
        <v>159</v>
      </c>
      <c r="H1550" s="951">
        <v>71</v>
      </c>
      <c r="I1550" s="951">
        <v>9</v>
      </c>
      <c r="J1550" s="947" t="s">
        <v>257</v>
      </c>
      <c r="K1550" s="947">
        <v>418152</v>
      </c>
      <c r="M1550" s="631"/>
      <c r="P1550" s="950" t="str">
        <f>VLOOKUP(J1550,'רשימת רשויות'!A:A,1,0)</f>
        <v>טייבה</v>
      </c>
      <c r="Q1550" s="956">
        <f>IFERROR(VLOOKUP(B1550,[2]מעובד!$D:$K,8,0),0)</f>
        <v>201</v>
      </c>
      <c r="R1550" s="956">
        <f>IFERROR(VLOOKUP(B1550,[2]מעובד!$D:$L,9,0),0)</f>
        <v>68</v>
      </c>
    </row>
    <row r="1551" spans="1:18" x14ac:dyDescent="0.2">
      <c r="A1551" s="947" t="s">
        <v>258</v>
      </c>
      <c r="B1551" s="947">
        <v>418160</v>
      </c>
      <c r="C1551" s="947" t="s">
        <v>2189</v>
      </c>
      <c r="D1551" s="947" t="s">
        <v>1587</v>
      </c>
      <c r="E1551" s="951">
        <v>251</v>
      </c>
      <c r="F1551" s="951">
        <v>186</v>
      </c>
      <c r="G1551" s="947" t="s">
        <v>159</v>
      </c>
      <c r="H1551" s="951">
        <v>167</v>
      </c>
      <c r="I1551" s="951">
        <v>12</v>
      </c>
      <c r="J1551" s="947" t="s">
        <v>258</v>
      </c>
      <c r="K1551" s="947">
        <v>418160</v>
      </c>
      <c r="M1551" s="631"/>
      <c r="P1551" s="950" t="str">
        <f>VLOOKUP(J1551,'רשימת רשויות'!A:A,1,0)</f>
        <v>טירה</v>
      </c>
      <c r="Q1551" s="956">
        <f>IFERROR(VLOOKUP(B1551,[2]מעובד!$D:$K,8,0),0)</f>
        <v>249</v>
      </c>
      <c r="R1551" s="956">
        <f>IFERROR(VLOOKUP(B1551,[2]מעובד!$D:$L,9,0),0)</f>
        <v>146</v>
      </c>
    </row>
    <row r="1552" spans="1:18" x14ac:dyDescent="0.2">
      <c r="A1552" s="947" t="s">
        <v>367</v>
      </c>
      <c r="B1552" s="947">
        <v>418178</v>
      </c>
      <c r="C1552" s="947" t="s">
        <v>2189</v>
      </c>
      <c r="D1552" s="947" t="s">
        <v>1586</v>
      </c>
      <c r="E1552" s="951">
        <v>308</v>
      </c>
      <c r="F1552" s="951">
        <v>221</v>
      </c>
      <c r="G1552" s="947" t="s">
        <v>159</v>
      </c>
      <c r="H1552" s="951">
        <v>215</v>
      </c>
      <c r="I1552" s="951">
        <v>7</v>
      </c>
      <c r="J1552" s="947" t="s">
        <v>367</v>
      </c>
      <c r="K1552" s="947">
        <v>418178</v>
      </c>
      <c r="M1552" s="631"/>
      <c r="P1552" s="950" t="str">
        <f>VLOOKUP(J1552,'רשימת רשויות'!A:A,1,0)</f>
        <v>קלנסווה</v>
      </c>
      <c r="Q1552" s="956">
        <f>IFERROR(VLOOKUP(B1552,[2]מעובד!$D:$K,8,0),0)</f>
        <v>198</v>
      </c>
      <c r="R1552" s="956">
        <f>IFERROR(VLOOKUP(B1552,[2]מעובד!$D:$L,9,0),0)</f>
        <v>49</v>
      </c>
    </row>
    <row r="1553" spans="1:18" x14ac:dyDescent="0.2">
      <c r="A1553" s="947" t="s">
        <v>285</v>
      </c>
      <c r="B1553" s="947">
        <v>418186</v>
      </c>
      <c r="C1553" s="947" t="s">
        <v>2189</v>
      </c>
      <c r="D1553" s="947" t="s">
        <v>1587</v>
      </c>
      <c r="E1553" s="951">
        <v>205</v>
      </c>
      <c r="F1553" s="951">
        <v>113</v>
      </c>
      <c r="G1553" s="947" t="s">
        <v>159</v>
      </c>
      <c r="H1553" s="951">
        <v>0</v>
      </c>
      <c r="I1553" s="951">
        <v>0</v>
      </c>
      <c r="J1553" s="947" t="s">
        <v>285</v>
      </c>
      <c r="K1553" s="947">
        <v>418186</v>
      </c>
      <c r="M1553" s="631"/>
      <c r="P1553" s="950" t="str">
        <f>VLOOKUP(J1553,'רשימת רשויות'!A:A,1,0)</f>
        <v>כפר קאסם</v>
      </c>
      <c r="Q1553" s="956">
        <f>IFERROR(VLOOKUP(B1553,[2]מעובד!$D:$K,8,0),0)</f>
        <v>0</v>
      </c>
      <c r="R1553" s="956">
        <f>IFERROR(VLOOKUP(B1553,[2]מעובד!$D:$L,9,0),0)</f>
        <v>0</v>
      </c>
    </row>
    <row r="1554" spans="1:18" x14ac:dyDescent="0.2">
      <c r="A1554" s="947" t="s">
        <v>367</v>
      </c>
      <c r="B1554" s="947">
        <v>418202</v>
      </c>
      <c r="C1554" s="947" t="s">
        <v>2189</v>
      </c>
      <c r="D1554" s="947" t="s">
        <v>2657</v>
      </c>
      <c r="E1554" s="951">
        <v>105</v>
      </c>
      <c r="F1554" s="951">
        <v>74</v>
      </c>
      <c r="G1554" s="947" t="s">
        <v>159</v>
      </c>
      <c r="H1554" s="951">
        <v>0</v>
      </c>
      <c r="I1554" s="951">
        <v>0</v>
      </c>
      <c r="J1554" s="947" t="s">
        <v>367</v>
      </c>
      <c r="K1554" s="947">
        <v>418202</v>
      </c>
      <c r="M1554" s="631"/>
      <c r="P1554" s="950" t="str">
        <f>VLOOKUP(J1554,'רשימת רשויות'!A:A,1,0)</f>
        <v>קלנסווה</v>
      </c>
      <c r="Q1554" s="956">
        <f>IFERROR(VLOOKUP(B1554,[2]מעובד!$D:$K,8,0),0)</f>
        <v>122</v>
      </c>
      <c r="R1554" s="956">
        <f>IFERROR(VLOOKUP(B1554,[2]מעובד!$D:$L,9,0),0)</f>
        <v>43</v>
      </c>
    </row>
    <row r="1555" spans="1:18" x14ac:dyDescent="0.2">
      <c r="A1555" s="947" t="s">
        <v>293</v>
      </c>
      <c r="B1555" s="947">
        <v>418228</v>
      </c>
      <c r="C1555" s="947" t="s">
        <v>2189</v>
      </c>
      <c r="D1555" s="947" t="s">
        <v>1586</v>
      </c>
      <c r="E1555" s="951">
        <v>364</v>
      </c>
      <c r="F1555" s="951">
        <v>364</v>
      </c>
      <c r="G1555" s="947" t="s">
        <v>159</v>
      </c>
      <c r="H1555" s="951">
        <v>0</v>
      </c>
      <c r="I1555" s="951">
        <v>0</v>
      </c>
      <c r="J1555" s="947" t="s">
        <v>293</v>
      </c>
      <c r="K1555" s="947">
        <v>418228</v>
      </c>
      <c r="M1555" s="631"/>
      <c r="P1555" s="950" t="str">
        <f>VLOOKUP(J1555,'רשימת רשויות'!A:A,1,0)</f>
        <v>לוד</v>
      </c>
      <c r="Q1555" s="956">
        <f>IFERROR(VLOOKUP(B1555,[2]מעובד!$D:$K,8,0),0)</f>
        <v>235</v>
      </c>
      <c r="R1555" s="956">
        <f>IFERROR(VLOOKUP(B1555,[2]מעובד!$D:$L,9,0),0)</f>
        <v>175</v>
      </c>
    </row>
    <row r="1556" spans="1:18" x14ac:dyDescent="0.2">
      <c r="A1556" s="947" t="s">
        <v>257</v>
      </c>
      <c r="B1556" s="947">
        <v>418236</v>
      </c>
      <c r="C1556" s="947" t="s">
        <v>2189</v>
      </c>
      <c r="D1556" s="947" t="s">
        <v>497</v>
      </c>
      <c r="E1556" s="951">
        <v>121</v>
      </c>
      <c r="F1556" s="951">
        <v>20</v>
      </c>
      <c r="G1556" s="947" t="s">
        <v>159</v>
      </c>
      <c r="H1556" s="951">
        <v>37</v>
      </c>
      <c r="I1556" s="951">
        <v>0</v>
      </c>
      <c r="J1556" s="947" t="s">
        <v>257</v>
      </c>
      <c r="K1556" s="957" t="s">
        <v>3320</v>
      </c>
      <c r="M1556" s="631"/>
      <c r="P1556" s="950" t="str">
        <f>VLOOKUP(J1556,'רשימת רשויות'!A:A,1,0)</f>
        <v>טייבה</v>
      </c>
      <c r="Q1556" s="956">
        <f>IFERROR(VLOOKUP(B1556,[2]מעובד!$D:$K,8,0),0)</f>
        <v>0</v>
      </c>
      <c r="R1556" s="956">
        <f>IFERROR(VLOOKUP(B1556,[2]מעובד!$D:$L,9,0),0)</f>
        <v>0</v>
      </c>
    </row>
    <row r="1557" spans="1:18" x14ac:dyDescent="0.2">
      <c r="A1557" s="947" t="s">
        <v>209</v>
      </c>
      <c r="B1557" s="947">
        <v>418244</v>
      </c>
      <c r="C1557" s="947" t="s">
        <v>2189</v>
      </c>
      <c r="D1557" s="947" t="s">
        <v>1604</v>
      </c>
      <c r="E1557" s="951">
        <v>230</v>
      </c>
      <c r="F1557" s="951">
        <v>171</v>
      </c>
      <c r="G1557" s="947" t="s">
        <v>159</v>
      </c>
      <c r="H1557" s="951">
        <v>0</v>
      </c>
      <c r="I1557" s="951">
        <v>0</v>
      </c>
      <c r="J1557" s="947" t="s">
        <v>209</v>
      </c>
      <c r="K1557" s="947">
        <v>418244</v>
      </c>
      <c r="M1557" s="631"/>
      <c r="P1557" s="950" t="str">
        <f>VLOOKUP(J1557,'רשימת רשויות'!A:A,1,0)</f>
        <v>ג'לג'וליה</v>
      </c>
      <c r="Q1557" s="956">
        <f>IFERROR(VLOOKUP(B1557,[2]מעובד!$D:$K,8,0),0)</f>
        <v>154</v>
      </c>
      <c r="R1557" s="956">
        <f>IFERROR(VLOOKUP(B1557,[2]מעובד!$D:$L,9,0),0)</f>
        <v>154</v>
      </c>
    </row>
    <row r="1558" spans="1:18" x14ac:dyDescent="0.2">
      <c r="A1558" s="947" t="s">
        <v>257</v>
      </c>
      <c r="B1558" s="947">
        <v>418251</v>
      </c>
      <c r="C1558" s="947" t="s">
        <v>2189</v>
      </c>
      <c r="D1558" s="947" t="s">
        <v>1605</v>
      </c>
      <c r="E1558" s="951">
        <v>138</v>
      </c>
      <c r="F1558" s="951">
        <v>15</v>
      </c>
      <c r="G1558" s="947" t="s">
        <v>159</v>
      </c>
      <c r="H1558" s="951">
        <v>0</v>
      </c>
      <c r="I1558" s="951">
        <v>0</v>
      </c>
      <c r="J1558" s="947" t="s">
        <v>257</v>
      </c>
      <c r="K1558" s="957" t="s">
        <v>3321</v>
      </c>
      <c r="M1558" s="631"/>
      <c r="P1558" s="950" t="str">
        <f>VLOOKUP(J1558,'רשימת רשויות'!A:A,1,0)</f>
        <v>טייבה</v>
      </c>
      <c r="Q1558" s="956">
        <f>IFERROR(VLOOKUP(B1558,[2]מעובד!$D:$K,8,0),0)</f>
        <v>0</v>
      </c>
      <c r="R1558" s="956">
        <f>IFERROR(VLOOKUP(B1558,[2]מעובד!$D:$L,9,0),0)</f>
        <v>0</v>
      </c>
    </row>
    <row r="1559" spans="1:18" x14ac:dyDescent="0.2">
      <c r="A1559" s="947" t="s">
        <v>293</v>
      </c>
      <c r="B1559" s="947">
        <v>418269</v>
      </c>
      <c r="C1559" s="947" t="s">
        <v>2189</v>
      </c>
      <c r="D1559" s="947" t="s">
        <v>1606</v>
      </c>
      <c r="E1559" s="951">
        <v>369</v>
      </c>
      <c r="F1559" s="951">
        <v>358</v>
      </c>
      <c r="G1559" s="947" t="s">
        <v>159</v>
      </c>
      <c r="H1559" s="951">
        <v>124</v>
      </c>
      <c r="I1559" s="951">
        <v>11</v>
      </c>
      <c r="J1559" s="947" t="s">
        <v>293</v>
      </c>
      <c r="K1559" s="947">
        <v>418269</v>
      </c>
      <c r="M1559" s="631"/>
      <c r="P1559" s="950" t="str">
        <f>VLOOKUP(J1559,'רשימת רשויות'!A:A,1,0)</f>
        <v>לוד</v>
      </c>
      <c r="Q1559" s="956">
        <f>IFERROR(VLOOKUP(B1559,[2]מעובד!$D:$K,8,0),0)</f>
        <v>294</v>
      </c>
      <c r="R1559" s="956">
        <f>IFERROR(VLOOKUP(B1559,[2]מעובד!$D:$L,9,0),0)</f>
        <v>74</v>
      </c>
    </row>
    <row r="1560" spans="1:18" x14ac:dyDescent="0.2">
      <c r="A1560" s="947" t="s">
        <v>285</v>
      </c>
      <c r="B1560" s="947">
        <v>418277</v>
      </c>
      <c r="C1560" s="947" t="s">
        <v>2189</v>
      </c>
      <c r="D1560" s="947" t="s">
        <v>1607</v>
      </c>
      <c r="E1560" s="951">
        <v>143</v>
      </c>
      <c r="F1560" s="951">
        <v>73</v>
      </c>
      <c r="G1560" s="947" t="s">
        <v>159</v>
      </c>
      <c r="H1560" s="951">
        <v>56</v>
      </c>
      <c r="I1560" s="951">
        <v>7</v>
      </c>
      <c r="J1560" s="947" t="s">
        <v>285</v>
      </c>
      <c r="K1560" s="947">
        <v>418277</v>
      </c>
      <c r="M1560" s="631"/>
      <c r="P1560" s="950" t="str">
        <f>VLOOKUP(J1560,'רשימת רשויות'!A:A,1,0)</f>
        <v>כפר קאסם</v>
      </c>
      <c r="Q1560" s="956">
        <f>IFERROR(VLOOKUP(B1560,[2]מעובד!$D:$K,8,0),0)</f>
        <v>82</v>
      </c>
      <c r="R1560" s="956">
        <f>IFERROR(VLOOKUP(B1560,[2]מעובד!$D:$L,9,0),0)</f>
        <v>48</v>
      </c>
    </row>
    <row r="1561" spans="1:18" x14ac:dyDescent="0.2">
      <c r="A1561" s="947" t="s">
        <v>258</v>
      </c>
      <c r="B1561" s="947">
        <v>418285</v>
      </c>
      <c r="C1561" s="947" t="s">
        <v>2189</v>
      </c>
      <c r="D1561" s="947" t="s">
        <v>3048</v>
      </c>
      <c r="E1561" s="951">
        <v>162</v>
      </c>
      <c r="F1561" s="951">
        <v>0</v>
      </c>
      <c r="G1561" s="947" t="s">
        <v>159</v>
      </c>
      <c r="H1561" s="951">
        <v>0</v>
      </c>
      <c r="I1561" s="951">
        <v>0</v>
      </c>
      <c r="J1561" s="947" t="s">
        <v>258</v>
      </c>
      <c r="K1561" s="947">
        <v>418285</v>
      </c>
      <c r="M1561" s="631"/>
      <c r="P1561" s="950" t="str">
        <f>VLOOKUP(J1561,'רשימת רשויות'!A:A,1,0)</f>
        <v>טירה</v>
      </c>
      <c r="Q1561" s="956">
        <f>IFERROR(VLOOKUP(B1561,[2]מעובד!$D:$K,8,0),0)</f>
        <v>0</v>
      </c>
      <c r="R1561" s="956">
        <f>IFERROR(VLOOKUP(B1561,[2]מעובד!$D:$L,9,0),0)</f>
        <v>0</v>
      </c>
    </row>
    <row r="1562" spans="1:18" x14ac:dyDescent="0.2">
      <c r="A1562" s="947" t="s">
        <v>293</v>
      </c>
      <c r="B1562" s="947">
        <v>418293</v>
      </c>
      <c r="C1562" s="947" t="s">
        <v>2189</v>
      </c>
      <c r="D1562" s="947" t="s">
        <v>1608</v>
      </c>
      <c r="E1562" s="951">
        <v>134</v>
      </c>
      <c r="F1562" s="951">
        <v>122</v>
      </c>
      <c r="G1562" s="947" t="s">
        <v>159</v>
      </c>
      <c r="H1562" s="951">
        <v>54</v>
      </c>
      <c r="I1562" s="951">
        <v>12</v>
      </c>
      <c r="J1562" s="947" t="s">
        <v>293</v>
      </c>
      <c r="K1562" s="947">
        <v>418293</v>
      </c>
      <c r="M1562" s="631"/>
      <c r="P1562" s="950" t="str">
        <f>VLOOKUP(J1562,'רשימת רשויות'!A:A,1,0)</f>
        <v>לוד</v>
      </c>
      <c r="Q1562" s="956">
        <f>IFERROR(VLOOKUP(B1562,[2]מעובד!$D:$K,8,0),0)</f>
        <v>137</v>
      </c>
      <c r="R1562" s="956">
        <f>IFERROR(VLOOKUP(B1562,[2]מעובד!$D:$L,9,0),0)</f>
        <v>64</v>
      </c>
    </row>
    <row r="1563" spans="1:18" x14ac:dyDescent="0.2">
      <c r="A1563" s="947" t="s">
        <v>367</v>
      </c>
      <c r="B1563" s="947">
        <v>418301</v>
      </c>
      <c r="C1563" s="947" t="s">
        <v>2189</v>
      </c>
      <c r="D1563" s="947" t="s">
        <v>1609</v>
      </c>
      <c r="E1563" s="951">
        <v>325</v>
      </c>
      <c r="F1563" s="951">
        <v>250</v>
      </c>
      <c r="G1563" s="947" t="s">
        <v>159</v>
      </c>
      <c r="H1563" s="951">
        <v>0</v>
      </c>
      <c r="I1563" s="951">
        <v>0</v>
      </c>
      <c r="J1563" s="947" t="s">
        <v>367</v>
      </c>
      <c r="K1563" s="947">
        <v>418301</v>
      </c>
      <c r="M1563" s="631"/>
      <c r="P1563" s="950" t="str">
        <f>VLOOKUP(J1563,'רשימת רשויות'!A:A,1,0)</f>
        <v>קלנסווה</v>
      </c>
      <c r="Q1563" s="956">
        <f>IFERROR(VLOOKUP(B1563,[2]מעובד!$D:$K,8,0),0)</f>
        <v>332</v>
      </c>
      <c r="R1563" s="956">
        <f>IFERROR(VLOOKUP(B1563,[2]מעובד!$D:$L,9,0),0)</f>
        <v>125</v>
      </c>
    </row>
    <row r="1564" spans="1:18" x14ac:dyDescent="0.2">
      <c r="A1564" s="947" t="s">
        <v>257</v>
      </c>
      <c r="B1564" s="947">
        <v>418327</v>
      </c>
      <c r="C1564" s="947" t="s">
        <v>2189</v>
      </c>
      <c r="D1564" s="947" t="s">
        <v>514</v>
      </c>
      <c r="E1564" s="951">
        <v>498</v>
      </c>
      <c r="F1564" s="951">
        <v>200</v>
      </c>
      <c r="G1564" s="947" t="s">
        <v>159</v>
      </c>
      <c r="H1564" s="951">
        <v>0</v>
      </c>
      <c r="I1564" s="951">
        <v>0</v>
      </c>
      <c r="J1564" s="947" t="s">
        <v>257</v>
      </c>
      <c r="K1564" s="947">
        <v>418327</v>
      </c>
      <c r="M1564" s="631"/>
      <c r="P1564" s="950" t="str">
        <f>VLOOKUP(J1564,'רשימת רשויות'!A:A,1,0)</f>
        <v>טייבה</v>
      </c>
      <c r="Q1564" s="956">
        <f>IFERROR(VLOOKUP(B1564,[2]מעובד!$D:$K,8,0),0)</f>
        <v>496</v>
      </c>
      <c r="R1564" s="956">
        <f>IFERROR(VLOOKUP(B1564,[2]מעובד!$D:$L,9,0),0)</f>
        <v>72</v>
      </c>
    </row>
    <row r="1565" spans="1:18" x14ac:dyDescent="0.2">
      <c r="A1565" s="947" t="s">
        <v>209</v>
      </c>
      <c r="B1565" s="947">
        <v>418335</v>
      </c>
      <c r="C1565" s="947" t="s">
        <v>2189</v>
      </c>
      <c r="D1565" s="947" t="s">
        <v>525</v>
      </c>
      <c r="E1565" s="951">
        <v>256</v>
      </c>
      <c r="F1565" s="951">
        <v>151</v>
      </c>
      <c r="G1565" s="947" t="s">
        <v>159</v>
      </c>
      <c r="H1565" s="951">
        <v>0</v>
      </c>
      <c r="I1565" s="951">
        <v>0</v>
      </c>
      <c r="J1565" s="947" t="s">
        <v>209</v>
      </c>
      <c r="K1565" s="947">
        <v>418335</v>
      </c>
      <c r="M1565" s="631"/>
      <c r="P1565" s="950" t="str">
        <f>VLOOKUP(J1565,'רשימת רשויות'!A:A,1,0)</f>
        <v>ג'לג'וליה</v>
      </c>
      <c r="Q1565" s="956">
        <f>IFERROR(VLOOKUP(B1565,[2]מעובד!$D:$K,8,0),0)</f>
        <v>0</v>
      </c>
      <c r="R1565" s="956">
        <f>IFERROR(VLOOKUP(B1565,[2]מעובד!$D:$L,9,0),0)</f>
        <v>0</v>
      </c>
    </row>
    <row r="1566" spans="1:18" x14ac:dyDescent="0.2">
      <c r="A1566" s="947" t="s">
        <v>285</v>
      </c>
      <c r="B1566" s="947">
        <v>418343</v>
      </c>
      <c r="C1566" s="947" t="s">
        <v>2189</v>
      </c>
      <c r="D1566" s="947" t="s">
        <v>3049</v>
      </c>
      <c r="E1566" s="951">
        <v>274</v>
      </c>
      <c r="F1566" s="951">
        <v>115</v>
      </c>
      <c r="G1566" s="947" t="s">
        <v>159</v>
      </c>
      <c r="H1566" s="951">
        <v>0</v>
      </c>
      <c r="I1566" s="951">
        <v>0</v>
      </c>
      <c r="J1566" s="947" t="s">
        <v>285</v>
      </c>
      <c r="K1566" s="947">
        <v>418343</v>
      </c>
      <c r="M1566" s="631"/>
      <c r="P1566" s="950" t="str">
        <f>VLOOKUP(J1566,'רשימת רשויות'!A:A,1,0)</f>
        <v>כפר קאסם</v>
      </c>
      <c r="Q1566" s="956">
        <f>IFERROR(VLOOKUP(B1566,[2]מעובד!$D:$K,8,0),0)</f>
        <v>220</v>
      </c>
      <c r="R1566" s="956">
        <f>IFERROR(VLOOKUP(B1566,[2]מעובד!$D:$L,9,0),0)</f>
        <v>59</v>
      </c>
    </row>
    <row r="1567" spans="1:18" x14ac:dyDescent="0.2">
      <c r="A1567" s="947" t="s">
        <v>390</v>
      </c>
      <c r="B1567" s="947">
        <v>418350</v>
      </c>
      <c r="C1567" s="947" t="s">
        <v>2189</v>
      </c>
      <c r="D1567" s="947" t="s">
        <v>862</v>
      </c>
      <c r="E1567" s="951">
        <v>170</v>
      </c>
      <c r="F1567" s="951">
        <v>64</v>
      </c>
      <c r="G1567" s="947" t="s">
        <v>159</v>
      </c>
      <c r="H1567" s="951">
        <v>0</v>
      </c>
      <c r="I1567" s="951">
        <v>0</v>
      </c>
      <c r="J1567" s="947" t="s">
        <v>390</v>
      </c>
      <c r="K1567" s="947">
        <v>418350</v>
      </c>
      <c r="M1567" s="631"/>
      <c r="P1567" s="950" t="str">
        <f>VLOOKUP(J1567,'רשימת רשויות'!A:A,1,0)</f>
        <v>רמלה</v>
      </c>
      <c r="Q1567" s="956">
        <f>IFERROR(VLOOKUP(B1567,[2]מעובד!$D:$K,8,0),0)</f>
        <v>0</v>
      </c>
      <c r="R1567" s="956">
        <f>IFERROR(VLOOKUP(B1567,[2]מעובד!$D:$L,9,0),0)</f>
        <v>0</v>
      </c>
    </row>
    <row r="1568" spans="1:18" x14ac:dyDescent="0.2">
      <c r="A1568" s="947" t="s">
        <v>257</v>
      </c>
      <c r="B1568" s="947">
        <v>418368</v>
      </c>
      <c r="C1568" s="947" t="s">
        <v>2189</v>
      </c>
      <c r="D1568" s="947" t="s">
        <v>1481</v>
      </c>
      <c r="E1568" s="951">
        <v>380</v>
      </c>
      <c r="F1568" s="951">
        <v>168</v>
      </c>
      <c r="G1568" s="947" t="s">
        <v>159</v>
      </c>
      <c r="H1568" s="951">
        <v>0</v>
      </c>
      <c r="I1568" s="951">
        <v>0</v>
      </c>
      <c r="J1568" s="947" t="s">
        <v>257</v>
      </c>
      <c r="K1568" s="947">
        <v>418368</v>
      </c>
      <c r="M1568" s="631"/>
      <c r="P1568" s="950" t="str">
        <f>VLOOKUP(J1568,'רשימת רשויות'!A:A,1,0)</f>
        <v>טייבה</v>
      </c>
      <c r="Q1568" s="956">
        <f>IFERROR(VLOOKUP(B1568,[2]מעובד!$D:$K,8,0),0)</f>
        <v>296</v>
      </c>
      <c r="R1568" s="956">
        <f>IFERROR(VLOOKUP(B1568,[2]מעובד!$D:$L,9,0),0)</f>
        <v>116</v>
      </c>
    </row>
    <row r="1569" spans="1:18" x14ac:dyDescent="0.2">
      <c r="A1569" s="947" t="s">
        <v>390</v>
      </c>
      <c r="B1569" s="947">
        <v>418384</v>
      </c>
      <c r="C1569" s="947" t="s">
        <v>2189</v>
      </c>
      <c r="D1569" s="947" t="s">
        <v>1482</v>
      </c>
      <c r="E1569" s="951">
        <v>205</v>
      </c>
      <c r="F1569" s="951">
        <v>0</v>
      </c>
      <c r="G1569" s="947" t="s">
        <v>159</v>
      </c>
      <c r="H1569" s="951">
        <v>0</v>
      </c>
      <c r="I1569" s="951">
        <v>0</v>
      </c>
      <c r="J1569" s="947" t="s">
        <v>390</v>
      </c>
      <c r="K1569" s="947">
        <v>418384</v>
      </c>
      <c r="M1569" s="631"/>
      <c r="P1569" s="950" t="str">
        <f>VLOOKUP(J1569,'רשימת רשויות'!A:A,1,0)</f>
        <v>רמלה</v>
      </c>
      <c r="Q1569" s="956">
        <f>IFERROR(VLOOKUP(B1569,[2]מעובד!$D:$K,8,0),0)</f>
        <v>211</v>
      </c>
      <c r="R1569" s="956">
        <f>IFERROR(VLOOKUP(B1569,[2]מעובד!$D:$L,9,0),0)</f>
        <v>56</v>
      </c>
    </row>
    <row r="1570" spans="1:18" x14ac:dyDescent="0.2">
      <c r="A1570" s="947" t="s">
        <v>285</v>
      </c>
      <c r="B1570" s="947">
        <v>418392</v>
      </c>
      <c r="C1570" s="947" t="s">
        <v>2189</v>
      </c>
      <c r="D1570" s="947" t="s">
        <v>1483</v>
      </c>
      <c r="E1570" s="951">
        <v>253</v>
      </c>
      <c r="F1570" s="951">
        <v>112</v>
      </c>
      <c r="G1570" s="947" t="s">
        <v>159</v>
      </c>
      <c r="H1570" s="951">
        <v>0</v>
      </c>
      <c r="I1570" s="951">
        <v>0</v>
      </c>
      <c r="J1570" s="947" t="s">
        <v>285</v>
      </c>
      <c r="K1570" s="947">
        <v>418392</v>
      </c>
      <c r="M1570" s="631"/>
      <c r="P1570" s="950" t="str">
        <f>VLOOKUP(J1570,'רשימת רשויות'!A:A,1,0)</f>
        <v>כפר קאסם</v>
      </c>
      <c r="Q1570" s="956">
        <f>IFERROR(VLOOKUP(B1570,[2]מעובד!$D:$K,8,0),0)</f>
        <v>234</v>
      </c>
      <c r="R1570" s="956">
        <f>IFERROR(VLOOKUP(B1570,[2]מעובד!$D:$L,9,0),0)</f>
        <v>45</v>
      </c>
    </row>
    <row r="1571" spans="1:18" x14ac:dyDescent="0.2">
      <c r="A1571" s="947" t="s">
        <v>293</v>
      </c>
      <c r="B1571" s="947">
        <v>418400</v>
      </c>
      <c r="C1571" s="947" t="s">
        <v>2189</v>
      </c>
      <c r="D1571" s="947" t="s">
        <v>1484</v>
      </c>
      <c r="E1571" s="951">
        <v>177</v>
      </c>
      <c r="F1571" s="951">
        <v>140</v>
      </c>
      <c r="G1571" s="947" t="s">
        <v>159</v>
      </c>
      <c r="H1571" s="951">
        <v>0</v>
      </c>
      <c r="I1571" s="951">
        <v>0</v>
      </c>
      <c r="J1571" s="947" t="s">
        <v>293</v>
      </c>
      <c r="K1571" s="947">
        <v>418400</v>
      </c>
      <c r="M1571" s="631"/>
      <c r="P1571" s="950" t="str">
        <f>VLOOKUP(J1571,'רשימת רשויות'!A:A,1,0)</f>
        <v>לוד</v>
      </c>
      <c r="Q1571" s="956">
        <f>IFERROR(VLOOKUP(B1571,[2]מעובד!$D:$K,8,0),0)</f>
        <v>158</v>
      </c>
      <c r="R1571" s="956">
        <f>IFERROR(VLOOKUP(B1571,[2]מעובד!$D:$L,9,0),0)</f>
        <v>158</v>
      </c>
    </row>
    <row r="1572" spans="1:18" x14ac:dyDescent="0.2">
      <c r="A1572" s="947" t="s">
        <v>209</v>
      </c>
      <c r="B1572" s="947">
        <v>418418</v>
      </c>
      <c r="C1572" s="947" t="s">
        <v>2189</v>
      </c>
      <c r="D1572" s="947" t="s">
        <v>1492</v>
      </c>
      <c r="E1572" s="951">
        <v>192</v>
      </c>
      <c r="F1572" s="951">
        <v>132</v>
      </c>
      <c r="G1572" s="947" t="s">
        <v>159</v>
      </c>
      <c r="H1572" s="951">
        <v>74</v>
      </c>
      <c r="I1572" s="951">
        <v>8</v>
      </c>
      <c r="J1572" s="947" t="s">
        <v>209</v>
      </c>
      <c r="K1572" s="947">
        <v>418418</v>
      </c>
      <c r="M1572" s="631"/>
      <c r="P1572" s="950" t="str">
        <f>VLOOKUP(J1572,'רשימת רשויות'!A:A,1,0)</f>
        <v>ג'לג'וליה</v>
      </c>
      <c r="Q1572" s="956">
        <f>IFERROR(VLOOKUP(B1572,[2]מעובד!$D:$K,8,0),0)</f>
        <v>121</v>
      </c>
      <c r="R1572" s="956">
        <f>IFERROR(VLOOKUP(B1572,[2]מעובד!$D:$L,9,0),0)</f>
        <v>56</v>
      </c>
    </row>
    <row r="1573" spans="1:18" x14ac:dyDescent="0.2">
      <c r="A1573" s="947" t="s">
        <v>285</v>
      </c>
      <c r="B1573" s="947">
        <v>418426</v>
      </c>
      <c r="C1573" s="947" t="s">
        <v>2189</v>
      </c>
      <c r="D1573" s="947" t="s">
        <v>1493</v>
      </c>
      <c r="E1573" s="951">
        <v>214</v>
      </c>
      <c r="F1573" s="951">
        <v>90</v>
      </c>
      <c r="G1573" s="947" t="s">
        <v>159</v>
      </c>
      <c r="H1573" s="951">
        <v>0</v>
      </c>
      <c r="I1573" s="951">
        <v>0</v>
      </c>
      <c r="J1573" s="947" t="s">
        <v>285</v>
      </c>
      <c r="K1573" s="947">
        <v>418426</v>
      </c>
      <c r="M1573" s="631"/>
      <c r="P1573" s="950" t="str">
        <f>VLOOKUP(J1573,'רשימת רשויות'!A:A,1,0)</f>
        <v>כפר קאסם</v>
      </c>
      <c r="Q1573" s="956">
        <f>IFERROR(VLOOKUP(B1573,[2]מעובד!$D:$K,8,0),0)</f>
        <v>0</v>
      </c>
      <c r="R1573" s="956">
        <f>IFERROR(VLOOKUP(B1573,[2]מעובד!$D:$L,9,0),0)</f>
        <v>0</v>
      </c>
    </row>
    <row r="1574" spans="1:18" x14ac:dyDescent="0.2">
      <c r="A1574" s="947" t="s">
        <v>258</v>
      </c>
      <c r="B1574" s="947">
        <v>418434</v>
      </c>
      <c r="C1574" s="947" t="s">
        <v>2189</v>
      </c>
      <c r="D1574" s="947" t="s">
        <v>1494</v>
      </c>
      <c r="E1574" s="951">
        <v>245</v>
      </c>
      <c r="F1574" s="951">
        <v>0</v>
      </c>
      <c r="G1574" s="947" t="s">
        <v>159</v>
      </c>
      <c r="H1574" s="951">
        <v>88</v>
      </c>
      <c r="I1574" s="951">
        <v>0</v>
      </c>
      <c r="J1574" s="947" t="s">
        <v>258</v>
      </c>
      <c r="K1574" s="947">
        <v>418434</v>
      </c>
      <c r="M1574" s="631"/>
      <c r="P1574" s="950" t="str">
        <f>VLOOKUP(J1574,'רשימת רשויות'!A:A,1,0)</f>
        <v>טירה</v>
      </c>
      <c r="Q1574" s="956">
        <f>IFERROR(VLOOKUP(B1574,[2]מעובד!$D:$K,8,0),0)</f>
        <v>0</v>
      </c>
      <c r="R1574" s="956">
        <f>IFERROR(VLOOKUP(B1574,[2]מעובד!$D:$L,9,0),0)</f>
        <v>0</v>
      </c>
    </row>
    <row r="1575" spans="1:18" x14ac:dyDescent="0.2">
      <c r="A1575" s="947" t="s">
        <v>367</v>
      </c>
      <c r="B1575" s="947">
        <v>418459</v>
      </c>
      <c r="C1575" s="947" t="s">
        <v>2189</v>
      </c>
      <c r="D1575" s="947" t="s">
        <v>589</v>
      </c>
      <c r="E1575" s="951">
        <v>386</v>
      </c>
      <c r="F1575" s="951">
        <v>293</v>
      </c>
      <c r="G1575" s="947" t="s">
        <v>159</v>
      </c>
      <c r="H1575" s="951">
        <v>269</v>
      </c>
      <c r="I1575" s="951">
        <v>8</v>
      </c>
      <c r="J1575" s="947" t="s">
        <v>367</v>
      </c>
      <c r="K1575" s="947">
        <v>418459</v>
      </c>
      <c r="M1575" s="631"/>
      <c r="P1575" s="950" t="str">
        <f>VLOOKUP(J1575,'רשימת רשויות'!A:A,1,0)</f>
        <v>קלנסווה</v>
      </c>
      <c r="Q1575" s="956">
        <f>IFERROR(VLOOKUP(B1575,[2]מעובד!$D:$K,8,0),0)</f>
        <v>337</v>
      </c>
      <c r="R1575" s="956">
        <f>IFERROR(VLOOKUP(B1575,[2]מעובד!$D:$L,9,0),0)</f>
        <v>90</v>
      </c>
    </row>
    <row r="1576" spans="1:18" x14ac:dyDescent="0.2">
      <c r="A1576" s="947" t="s">
        <v>390</v>
      </c>
      <c r="B1576" s="947">
        <v>418467</v>
      </c>
      <c r="C1576" s="947" t="s">
        <v>2189</v>
      </c>
      <c r="D1576" s="947" t="s">
        <v>987</v>
      </c>
      <c r="E1576" s="951">
        <v>166</v>
      </c>
      <c r="F1576" s="951">
        <v>50</v>
      </c>
      <c r="G1576" s="947" t="s">
        <v>3252</v>
      </c>
      <c r="H1576" s="951">
        <v>0</v>
      </c>
      <c r="I1576" s="951">
        <v>0</v>
      </c>
      <c r="J1576" s="947" t="s">
        <v>390</v>
      </c>
      <c r="K1576" s="947">
        <v>418467</v>
      </c>
      <c r="M1576" s="631"/>
      <c r="P1576" s="950" t="str">
        <f>VLOOKUP(J1576,'רשימת רשויות'!A:A,1,0)</f>
        <v>רמלה</v>
      </c>
      <c r="Q1576" s="956">
        <f>IFERROR(VLOOKUP(B1576,[2]מעובד!$D:$K,8,0),0)</f>
        <v>0</v>
      </c>
      <c r="R1576" s="956">
        <f>IFERROR(VLOOKUP(B1576,[2]מעובד!$D:$L,9,0),0)</f>
        <v>0</v>
      </c>
    </row>
    <row r="1577" spans="1:18" x14ac:dyDescent="0.2">
      <c r="A1577" s="947" t="s">
        <v>270</v>
      </c>
      <c r="B1577" s="947">
        <v>419242</v>
      </c>
      <c r="C1577" s="947" t="s">
        <v>2189</v>
      </c>
      <c r="D1577" s="947" t="s">
        <v>3050</v>
      </c>
      <c r="E1577" s="951">
        <v>241</v>
      </c>
      <c r="F1577" s="951">
        <v>0</v>
      </c>
      <c r="G1577" s="947" t="s">
        <v>3252</v>
      </c>
      <c r="H1577" s="951">
        <v>0</v>
      </c>
      <c r="I1577" s="951">
        <v>0</v>
      </c>
      <c r="J1577" s="947" t="s">
        <v>270</v>
      </c>
      <c r="K1577" s="947">
        <v>419242</v>
      </c>
      <c r="M1577" s="631"/>
      <c r="P1577" s="950" t="str">
        <f>VLOOKUP(J1577,'רשימת רשויות'!A:A,1,0)</f>
        <v>ירושלים</v>
      </c>
      <c r="Q1577" s="956">
        <f>IFERROR(VLOOKUP(B1577,[2]מעובד!$D:$K,8,0),0)</f>
        <v>0</v>
      </c>
      <c r="R1577" s="956">
        <f>IFERROR(VLOOKUP(B1577,[2]מעובד!$D:$L,9,0),0)</f>
        <v>0</v>
      </c>
    </row>
    <row r="1578" spans="1:18" x14ac:dyDescent="0.2">
      <c r="A1578" s="947" t="s">
        <v>270</v>
      </c>
      <c r="B1578" s="947">
        <v>419259</v>
      </c>
      <c r="C1578" s="947" t="s">
        <v>2189</v>
      </c>
      <c r="D1578" s="947" t="s">
        <v>3051</v>
      </c>
      <c r="E1578" s="951">
        <v>253</v>
      </c>
      <c r="F1578" s="951">
        <v>0</v>
      </c>
      <c r="G1578" s="947" t="s">
        <v>3252</v>
      </c>
      <c r="H1578" s="951">
        <v>0</v>
      </c>
      <c r="I1578" s="951">
        <v>0</v>
      </c>
      <c r="J1578" s="947" t="s">
        <v>270</v>
      </c>
      <c r="K1578" s="947">
        <v>419259</v>
      </c>
      <c r="M1578" s="631"/>
      <c r="P1578" s="950" t="str">
        <f>VLOOKUP(J1578,'רשימת רשויות'!A:A,1,0)</f>
        <v>ירושלים</v>
      </c>
      <c r="Q1578" s="956">
        <f>IFERROR(VLOOKUP(B1578,[2]מעובד!$D:$K,8,0),0)</f>
        <v>0</v>
      </c>
      <c r="R1578" s="956">
        <f>IFERROR(VLOOKUP(B1578,[2]מעובד!$D:$L,9,0),0)</f>
        <v>0</v>
      </c>
    </row>
    <row r="1579" spans="1:18" x14ac:dyDescent="0.2">
      <c r="A1579" s="947" t="s">
        <v>270</v>
      </c>
      <c r="B1579" s="947">
        <v>419267</v>
      </c>
      <c r="C1579" s="947" t="s">
        <v>2189</v>
      </c>
      <c r="D1579" s="947" t="s">
        <v>1579</v>
      </c>
      <c r="E1579" s="951">
        <v>249</v>
      </c>
      <c r="F1579" s="951">
        <v>82</v>
      </c>
      <c r="G1579" s="947" t="s">
        <v>159</v>
      </c>
      <c r="H1579" s="951">
        <v>0</v>
      </c>
      <c r="I1579" s="951">
        <v>0</v>
      </c>
      <c r="J1579" s="947" t="s">
        <v>270</v>
      </c>
      <c r="K1579" s="947">
        <v>419267</v>
      </c>
      <c r="M1579" s="631"/>
      <c r="P1579" s="950" t="str">
        <f>VLOOKUP(J1579,'רשימת רשויות'!A:A,1,0)</f>
        <v>ירושלים</v>
      </c>
      <c r="Q1579" s="956">
        <f>IFERROR(VLOOKUP(B1579,[2]מעובד!$D:$K,8,0),0)</f>
        <v>236</v>
      </c>
      <c r="R1579" s="956">
        <f>IFERROR(VLOOKUP(B1579,[2]מעובד!$D:$L,9,0),0)</f>
        <v>49</v>
      </c>
    </row>
    <row r="1580" spans="1:18" x14ac:dyDescent="0.2">
      <c r="A1580" s="947" t="s">
        <v>270</v>
      </c>
      <c r="B1580" s="947">
        <v>430025</v>
      </c>
      <c r="C1580" s="947" t="s">
        <v>2189</v>
      </c>
      <c r="D1580" s="947" t="s">
        <v>1724</v>
      </c>
      <c r="E1580" s="951">
        <v>220</v>
      </c>
      <c r="F1580" s="951">
        <v>175</v>
      </c>
      <c r="G1580" s="947" t="s">
        <v>159</v>
      </c>
      <c r="H1580" s="951">
        <v>147</v>
      </c>
      <c r="I1580" s="951">
        <v>14</v>
      </c>
      <c r="J1580" s="947" t="s">
        <v>270</v>
      </c>
      <c r="K1580" s="947">
        <v>430025</v>
      </c>
      <c r="M1580" s="631"/>
      <c r="P1580" s="950" t="str">
        <f>VLOOKUP(J1580,'רשימת רשויות'!A:A,1,0)</f>
        <v>ירושלים</v>
      </c>
      <c r="Q1580" s="956">
        <f>IFERROR(VLOOKUP(B1580,[2]מעובד!$D:$K,8,0),0)</f>
        <v>222</v>
      </c>
      <c r="R1580" s="956">
        <f>IFERROR(VLOOKUP(B1580,[2]מעובד!$D:$L,9,0),0)</f>
        <v>157</v>
      </c>
    </row>
    <row r="1581" spans="1:18" x14ac:dyDescent="0.2">
      <c r="A1581" s="947" t="s">
        <v>385</v>
      </c>
      <c r="B1581" s="947">
        <v>430033</v>
      </c>
      <c r="C1581" s="947" t="s">
        <v>2189</v>
      </c>
      <c r="D1581" s="947" t="s">
        <v>1725</v>
      </c>
      <c r="E1581" s="951">
        <v>216</v>
      </c>
      <c r="F1581" s="951">
        <v>166</v>
      </c>
      <c r="G1581" s="947" t="s">
        <v>159</v>
      </c>
      <c r="H1581" s="951">
        <v>83</v>
      </c>
      <c r="I1581" s="951">
        <v>6</v>
      </c>
      <c r="J1581" s="947" t="s">
        <v>385</v>
      </c>
      <c r="K1581" s="947">
        <v>430033</v>
      </c>
      <c r="M1581" s="631"/>
      <c r="P1581" s="950" t="str">
        <f>VLOOKUP(J1581,'רשימת רשויות'!A:A,1,0)</f>
        <v>ראשון לציון</v>
      </c>
      <c r="Q1581" s="956">
        <f>IFERROR(VLOOKUP(B1581,[2]מעובד!$D:$K,8,0),0)</f>
        <v>246</v>
      </c>
      <c r="R1581" s="956">
        <f>IFERROR(VLOOKUP(B1581,[2]מעובד!$D:$L,9,0),0)</f>
        <v>100</v>
      </c>
    </row>
    <row r="1582" spans="1:18" x14ac:dyDescent="0.2">
      <c r="A1582" s="947" t="s">
        <v>175</v>
      </c>
      <c r="B1582" s="947">
        <v>430041</v>
      </c>
      <c r="C1582" s="947" t="s">
        <v>2189</v>
      </c>
      <c r="D1582" s="947" t="s">
        <v>1744</v>
      </c>
      <c r="E1582" s="951">
        <v>62</v>
      </c>
      <c r="F1582" s="951">
        <v>61</v>
      </c>
      <c r="G1582" s="947" t="s">
        <v>3252</v>
      </c>
      <c r="H1582" s="951">
        <v>0</v>
      </c>
      <c r="I1582" s="951">
        <v>0</v>
      </c>
      <c r="J1582" s="947" t="s">
        <v>175</v>
      </c>
      <c r="K1582" s="947">
        <v>430041</v>
      </c>
      <c r="M1582" s="631"/>
      <c r="P1582" s="950" t="str">
        <f>VLOOKUP(J1582,'רשימת רשויות'!A:A,1,0)</f>
        <v>אלעד</v>
      </c>
      <c r="Q1582" s="956">
        <f>IFERROR(VLOOKUP(B1582,[2]מעובד!$D:$K,8,0),0)</f>
        <v>0</v>
      </c>
      <c r="R1582" s="956">
        <f>IFERROR(VLOOKUP(B1582,[2]מעובד!$D:$L,9,0),0)</f>
        <v>0</v>
      </c>
    </row>
    <row r="1583" spans="1:18" x14ac:dyDescent="0.2">
      <c r="A1583" s="947" t="s">
        <v>270</v>
      </c>
      <c r="B1583" s="947">
        <v>430074</v>
      </c>
      <c r="C1583" s="947" t="s">
        <v>2189</v>
      </c>
      <c r="D1583" s="947" t="s">
        <v>3052</v>
      </c>
      <c r="E1583" s="951">
        <v>29</v>
      </c>
      <c r="F1583" s="951">
        <v>0</v>
      </c>
      <c r="G1583" s="947" t="s">
        <v>3252</v>
      </c>
      <c r="H1583" s="951">
        <v>0</v>
      </c>
      <c r="I1583" s="951">
        <v>0</v>
      </c>
      <c r="J1583" s="947" t="s">
        <v>270</v>
      </c>
      <c r="K1583" s="947">
        <v>430074</v>
      </c>
      <c r="M1583" s="631"/>
      <c r="P1583" s="950" t="str">
        <f>VLOOKUP(J1583,'רשימת רשויות'!A:A,1,0)</f>
        <v>ירושלים</v>
      </c>
      <c r="Q1583" s="956">
        <f>IFERROR(VLOOKUP(B1583,[2]מעובד!$D:$K,8,0),0)</f>
        <v>0</v>
      </c>
      <c r="R1583" s="956">
        <f>IFERROR(VLOOKUP(B1583,[2]מעובד!$D:$L,9,0),0)</f>
        <v>0</v>
      </c>
    </row>
    <row r="1584" spans="1:18" x14ac:dyDescent="0.2">
      <c r="A1584" s="947" t="s">
        <v>382</v>
      </c>
      <c r="B1584" s="947">
        <v>430082</v>
      </c>
      <c r="C1584" s="947" t="s">
        <v>2189</v>
      </c>
      <c r="D1584" s="947" t="s">
        <v>1753</v>
      </c>
      <c r="E1584" s="951">
        <v>93</v>
      </c>
      <c r="F1584" s="951">
        <v>65</v>
      </c>
      <c r="G1584" s="947" t="s">
        <v>3252</v>
      </c>
      <c r="H1584" s="951">
        <v>0</v>
      </c>
      <c r="I1584" s="951">
        <v>0</v>
      </c>
      <c r="J1584" s="947" t="s">
        <v>382</v>
      </c>
      <c r="K1584" s="947">
        <v>430082</v>
      </c>
      <c r="M1584" s="631"/>
      <c r="P1584" s="950" t="str">
        <f>VLOOKUP(J1584,'רשימת רשויות'!A:A,1,0)</f>
        <v>ראמה</v>
      </c>
      <c r="Q1584" s="956">
        <f>IFERROR(VLOOKUP(B1584,[2]מעובד!$D:$K,8,0),0)</f>
        <v>0</v>
      </c>
      <c r="R1584" s="956">
        <f>IFERROR(VLOOKUP(B1584,[2]מעובד!$D:$L,9,0),0)</f>
        <v>0</v>
      </c>
    </row>
    <row r="1585" spans="1:18" x14ac:dyDescent="0.2">
      <c r="A1585" s="947" t="s">
        <v>197</v>
      </c>
      <c r="B1585" s="947">
        <v>430124</v>
      </c>
      <c r="C1585" s="947" t="s">
        <v>2189</v>
      </c>
      <c r="D1585" s="947" t="s">
        <v>1754</v>
      </c>
      <c r="E1585" s="951">
        <v>58</v>
      </c>
      <c r="F1585" s="951">
        <v>57</v>
      </c>
      <c r="G1585" s="947" t="s">
        <v>3252</v>
      </c>
      <c r="H1585" s="951">
        <v>0</v>
      </c>
      <c r="I1585" s="951">
        <v>0</v>
      </c>
      <c r="J1585" s="947" t="s">
        <v>197</v>
      </c>
      <c r="K1585" s="947">
        <v>430124</v>
      </c>
      <c r="M1585" s="631"/>
      <c r="P1585" s="950" t="str">
        <f>VLOOKUP(J1585,'רשימת רשויות'!A:A,1,0)</f>
        <v>ביתר עילית</v>
      </c>
      <c r="Q1585" s="956">
        <f>IFERROR(VLOOKUP(B1585,[2]מעובד!$D:$K,8,0),0)</f>
        <v>0</v>
      </c>
      <c r="R1585" s="956">
        <f>IFERROR(VLOOKUP(B1585,[2]מעובד!$D:$L,9,0),0)</f>
        <v>0</v>
      </c>
    </row>
    <row r="1586" spans="1:18" x14ac:dyDescent="0.2">
      <c r="A1586" s="947" t="s">
        <v>310</v>
      </c>
      <c r="B1586" s="947">
        <v>430140</v>
      </c>
      <c r="C1586" s="947" t="s">
        <v>2189</v>
      </c>
      <c r="D1586" s="947" t="s">
        <v>1759</v>
      </c>
      <c r="E1586" s="951">
        <v>87</v>
      </c>
      <c r="F1586" s="951">
        <v>35</v>
      </c>
      <c r="G1586" s="947" t="s">
        <v>3252</v>
      </c>
      <c r="H1586" s="951">
        <v>0</v>
      </c>
      <c r="I1586" s="951">
        <v>0</v>
      </c>
      <c r="J1586" s="947" t="s">
        <v>310</v>
      </c>
      <c r="K1586" s="947">
        <v>430140</v>
      </c>
      <c r="M1586" s="631"/>
      <c r="P1586" s="950" t="str">
        <f>VLOOKUP(J1586,'רשימת רשויות'!A:A,1,0)</f>
        <v>מטה בנימין</v>
      </c>
      <c r="Q1586" s="956">
        <f>IFERROR(VLOOKUP(B1586,[2]מעובד!$D:$K,8,0),0)</f>
        <v>0</v>
      </c>
      <c r="R1586" s="956">
        <f>IFERROR(VLOOKUP(B1586,[2]מעובד!$D:$L,9,0),0)</f>
        <v>0</v>
      </c>
    </row>
    <row r="1587" spans="1:18" x14ac:dyDescent="0.2">
      <c r="A1587" s="947" t="s">
        <v>175</v>
      </c>
      <c r="B1587" s="947">
        <v>430165</v>
      </c>
      <c r="C1587" s="947" t="s">
        <v>2189</v>
      </c>
      <c r="D1587" s="947" t="s">
        <v>1760</v>
      </c>
      <c r="E1587" s="951">
        <v>37</v>
      </c>
      <c r="F1587" s="951">
        <v>37</v>
      </c>
      <c r="G1587" s="947" t="s">
        <v>3252</v>
      </c>
      <c r="H1587" s="951">
        <v>0</v>
      </c>
      <c r="I1587" s="951">
        <v>0</v>
      </c>
      <c r="J1587" s="947" t="s">
        <v>175</v>
      </c>
      <c r="K1587" s="947">
        <v>430165</v>
      </c>
      <c r="M1587" s="631"/>
      <c r="P1587" s="950" t="str">
        <f>VLOOKUP(J1587,'רשימת רשויות'!A:A,1,0)</f>
        <v>אלעד</v>
      </c>
      <c r="Q1587" s="956">
        <f>IFERROR(VLOOKUP(B1587,[2]מעובד!$D:$K,8,0),0)</f>
        <v>0</v>
      </c>
      <c r="R1587" s="956">
        <f>IFERROR(VLOOKUP(B1587,[2]מעובד!$D:$L,9,0),0)</f>
        <v>0</v>
      </c>
    </row>
    <row r="1588" spans="1:18" x14ac:dyDescent="0.2">
      <c r="A1588" s="947" t="s">
        <v>351</v>
      </c>
      <c r="B1588" s="947">
        <v>430173</v>
      </c>
      <c r="C1588" s="947" t="s">
        <v>2189</v>
      </c>
      <c r="D1588" s="947" t="s">
        <v>1761</v>
      </c>
      <c r="E1588" s="951">
        <v>100</v>
      </c>
      <c r="F1588" s="951">
        <v>66</v>
      </c>
      <c r="G1588" s="947" t="s">
        <v>159</v>
      </c>
      <c r="H1588" s="951">
        <v>0</v>
      </c>
      <c r="I1588" s="951">
        <v>0</v>
      </c>
      <c r="J1588" s="947" t="s">
        <v>351</v>
      </c>
      <c r="K1588" s="947">
        <v>430173</v>
      </c>
      <c r="M1588" s="631"/>
      <c r="P1588" s="950" t="str">
        <f>VLOOKUP(J1588,'רשימת רשויות'!A:A,1,0)</f>
        <v>עמק יזרעאל</v>
      </c>
      <c r="Q1588" s="956">
        <f>IFERROR(VLOOKUP(B1588,[2]מעובד!$D:$K,8,0),0)</f>
        <v>0</v>
      </c>
      <c r="R1588" s="956">
        <f>IFERROR(VLOOKUP(B1588,[2]מעובד!$D:$L,9,0),0)</f>
        <v>0</v>
      </c>
    </row>
    <row r="1589" spans="1:18" x14ac:dyDescent="0.2">
      <c r="A1589" s="947" t="s">
        <v>270</v>
      </c>
      <c r="B1589" s="947">
        <v>430199</v>
      </c>
      <c r="C1589" s="947" t="s">
        <v>2189</v>
      </c>
      <c r="D1589" s="947" t="s">
        <v>1762</v>
      </c>
      <c r="E1589" s="951">
        <v>58</v>
      </c>
      <c r="F1589" s="951">
        <v>46</v>
      </c>
      <c r="G1589" s="947" t="s">
        <v>3252</v>
      </c>
      <c r="H1589" s="951">
        <v>19</v>
      </c>
      <c r="I1589" s="951">
        <v>6</v>
      </c>
      <c r="J1589" s="947" t="s">
        <v>270</v>
      </c>
      <c r="K1589" s="947">
        <v>430199</v>
      </c>
      <c r="M1589" s="631"/>
      <c r="P1589" s="950" t="str">
        <f>VLOOKUP(J1589,'רשימת רשויות'!A:A,1,0)</f>
        <v>ירושלים</v>
      </c>
      <c r="Q1589" s="956">
        <f>IFERROR(VLOOKUP(B1589,[2]מעובד!$D:$K,8,0),0)</f>
        <v>49</v>
      </c>
      <c r="R1589" s="956">
        <f>IFERROR(VLOOKUP(B1589,[2]מעובד!$D:$L,9,0),0)</f>
        <v>49</v>
      </c>
    </row>
    <row r="1590" spans="1:18" x14ac:dyDescent="0.2">
      <c r="A1590" s="947" t="s">
        <v>197</v>
      </c>
      <c r="B1590" s="947">
        <v>430215</v>
      </c>
      <c r="C1590" s="947" t="s">
        <v>2189</v>
      </c>
      <c r="D1590" s="947" t="s">
        <v>1763</v>
      </c>
      <c r="E1590" s="951">
        <v>275</v>
      </c>
      <c r="F1590" s="951">
        <v>254</v>
      </c>
      <c r="G1590" s="947" t="s">
        <v>3252</v>
      </c>
      <c r="H1590" s="951">
        <v>196</v>
      </c>
      <c r="I1590" s="951">
        <v>20</v>
      </c>
      <c r="J1590" s="947" t="s">
        <v>197</v>
      </c>
      <c r="K1590" s="947">
        <v>430215</v>
      </c>
      <c r="M1590" s="631"/>
      <c r="P1590" s="950" t="str">
        <f>VLOOKUP(J1590,'רשימת רשויות'!A:A,1,0)</f>
        <v>ביתר עילית</v>
      </c>
      <c r="Q1590" s="956">
        <f>IFERROR(VLOOKUP(B1590,[2]מעובד!$D:$K,8,0),0)</f>
        <v>0</v>
      </c>
      <c r="R1590" s="956">
        <f>IFERROR(VLOOKUP(B1590,[2]מעובד!$D:$L,9,0),0)</f>
        <v>0</v>
      </c>
    </row>
    <row r="1591" spans="1:18" x14ac:dyDescent="0.2">
      <c r="A1591" s="947" t="s">
        <v>196</v>
      </c>
      <c r="B1591" s="947">
        <v>430223</v>
      </c>
      <c r="C1591" s="947" t="s">
        <v>2189</v>
      </c>
      <c r="D1591" s="947" t="s">
        <v>1764</v>
      </c>
      <c r="E1591" s="951">
        <v>109</v>
      </c>
      <c r="F1591" s="951">
        <v>109</v>
      </c>
      <c r="G1591" s="947" t="s">
        <v>3252</v>
      </c>
      <c r="H1591" s="951">
        <v>0</v>
      </c>
      <c r="I1591" s="951">
        <v>0</v>
      </c>
      <c r="J1591" s="947" t="s">
        <v>196</v>
      </c>
      <c r="K1591" s="947">
        <v>430223</v>
      </c>
      <c r="M1591" s="631"/>
      <c r="P1591" s="950" t="str">
        <f>VLOOKUP(J1591,'רשימת רשויות'!A:A,1,0)</f>
        <v>בית שמש</v>
      </c>
      <c r="Q1591" s="956">
        <f>IFERROR(VLOOKUP(B1591,[2]מעובד!$D:$K,8,0),0)</f>
        <v>0</v>
      </c>
      <c r="R1591" s="956">
        <f>IFERROR(VLOOKUP(B1591,[2]מעובד!$D:$L,9,0),0)</f>
        <v>0</v>
      </c>
    </row>
    <row r="1592" spans="1:18" x14ac:dyDescent="0.2">
      <c r="A1592" s="947" t="s">
        <v>175</v>
      </c>
      <c r="B1592" s="947">
        <v>430256</v>
      </c>
      <c r="C1592" s="947" t="s">
        <v>2189</v>
      </c>
      <c r="D1592" s="947" t="s">
        <v>1780</v>
      </c>
      <c r="E1592" s="951">
        <v>79</v>
      </c>
      <c r="F1592" s="951">
        <v>56</v>
      </c>
      <c r="G1592" s="947" t="s">
        <v>3252</v>
      </c>
      <c r="H1592" s="951">
        <v>0</v>
      </c>
      <c r="I1592" s="951">
        <v>0</v>
      </c>
      <c r="J1592" s="947" t="s">
        <v>175</v>
      </c>
      <c r="K1592" s="947">
        <v>430256</v>
      </c>
      <c r="M1592" s="631"/>
      <c r="P1592" s="950" t="str">
        <f>VLOOKUP(J1592,'רשימת רשויות'!A:A,1,0)</f>
        <v>אלעד</v>
      </c>
      <c r="Q1592" s="956">
        <f>IFERROR(VLOOKUP(B1592,[2]מעובד!$D:$K,8,0),0)</f>
        <v>106</v>
      </c>
      <c r="R1592" s="956">
        <f>IFERROR(VLOOKUP(B1592,[2]מעובד!$D:$L,9,0),0)</f>
        <v>90</v>
      </c>
    </row>
    <row r="1593" spans="1:18" x14ac:dyDescent="0.2">
      <c r="A1593" s="947" t="s">
        <v>196</v>
      </c>
      <c r="B1593" s="947">
        <v>430264</v>
      </c>
      <c r="C1593" s="947" t="s">
        <v>2189</v>
      </c>
      <c r="D1593" s="947" t="s">
        <v>1781</v>
      </c>
      <c r="E1593" s="951">
        <v>79</v>
      </c>
      <c r="F1593" s="951">
        <v>79</v>
      </c>
      <c r="G1593" s="947" t="s">
        <v>3252</v>
      </c>
      <c r="H1593" s="951">
        <v>0</v>
      </c>
      <c r="I1593" s="951">
        <v>0</v>
      </c>
      <c r="J1593" s="947" t="s">
        <v>196</v>
      </c>
      <c r="K1593" s="947">
        <v>430264</v>
      </c>
      <c r="M1593" s="631"/>
      <c r="P1593" s="950" t="str">
        <f>VLOOKUP(J1593,'רשימת רשויות'!A:A,1,0)</f>
        <v>בית שמש</v>
      </c>
      <c r="Q1593" s="956">
        <f>IFERROR(VLOOKUP(B1593,[2]מעובד!$D:$K,8,0),0)</f>
        <v>87</v>
      </c>
      <c r="R1593" s="956">
        <f>IFERROR(VLOOKUP(B1593,[2]מעובד!$D:$L,9,0),0)</f>
        <v>86</v>
      </c>
    </row>
    <row r="1594" spans="1:18" x14ac:dyDescent="0.2">
      <c r="A1594" s="947" t="s">
        <v>353</v>
      </c>
      <c r="B1594" s="947">
        <v>430298</v>
      </c>
      <c r="C1594" s="947" t="s">
        <v>2189</v>
      </c>
      <c r="D1594" s="947" t="s">
        <v>1782</v>
      </c>
      <c r="E1594" s="951">
        <v>304</v>
      </c>
      <c r="F1594" s="951">
        <v>198</v>
      </c>
      <c r="G1594" s="947" t="s">
        <v>159</v>
      </c>
      <c r="H1594" s="951">
        <v>0</v>
      </c>
      <c r="I1594" s="951">
        <v>0</v>
      </c>
      <c r="J1594" s="947" t="s">
        <v>353</v>
      </c>
      <c r="K1594" s="947">
        <v>430298</v>
      </c>
      <c r="M1594" s="631"/>
      <c r="P1594" s="950" t="str">
        <f>VLOOKUP(J1594,'רשימת רשויות'!A:A,1,0)</f>
        <v>עפולה</v>
      </c>
      <c r="Q1594" s="956">
        <f>IFERROR(VLOOKUP(B1594,[2]מעובד!$D:$K,8,0),0)</f>
        <v>197</v>
      </c>
      <c r="R1594" s="956">
        <f>IFERROR(VLOOKUP(B1594,[2]מעובד!$D:$L,9,0),0)</f>
        <v>85</v>
      </c>
    </row>
    <row r="1595" spans="1:18" x14ac:dyDescent="0.2">
      <c r="A1595" s="947" t="s">
        <v>402</v>
      </c>
      <c r="B1595" s="947">
        <v>430306</v>
      </c>
      <c r="C1595" s="947" t="s">
        <v>2189</v>
      </c>
      <c r="D1595" s="947" t="s">
        <v>2063</v>
      </c>
      <c r="E1595" s="951">
        <v>165</v>
      </c>
      <c r="F1595" s="951">
        <v>123</v>
      </c>
      <c r="G1595" s="947" t="s">
        <v>159</v>
      </c>
      <c r="H1595" s="951">
        <v>59</v>
      </c>
      <c r="I1595" s="951">
        <v>7</v>
      </c>
      <c r="J1595" s="947" t="s">
        <v>402</v>
      </c>
      <c r="K1595" s="947">
        <v>430306</v>
      </c>
      <c r="M1595" s="631"/>
      <c r="P1595" s="950" t="str">
        <f>VLOOKUP(J1595,'רשימת רשויות'!A:A,1,0)</f>
        <v>שומרון</v>
      </c>
      <c r="Q1595" s="956">
        <f>IFERROR(VLOOKUP(B1595,[2]מעובד!$D:$K,8,0),0)</f>
        <v>149</v>
      </c>
      <c r="R1595" s="956">
        <f>IFERROR(VLOOKUP(B1595,[2]מעובד!$D:$L,9,0),0)</f>
        <v>110</v>
      </c>
    </row>
    <row r="1596" spans="1:18" x14ac:dyDescent="0.2">
      <c r="A1596" s="947" t="s">
        <v>2598</v>
      </c>
      <c r="B1596" s="947">
        <v>430322</v>
      </c>
      <c r="C1596" s="947" t="s">
        <v>2189</v>
      </c>
      <c r="D1596" s="947" t="s">
        <v>2091</v>
      </c>
      <c r="E1596" s="951">
        <v>296</v>
      </c>
      <c r="F1596" s="951">
        <v>267</v>
      </c>
      <c r="G1596" s="947" t="s">
        <v>159</v>
      </c>
      <c r="H1596" s="951">
        <v>0</v>
      </c>
      <c r="I1596" s="951">
        <v>0</v>
      </c>
      <c r="J1596" s="947" t="s">
        <v>2598</v>
      </c>
      <c r="K1596" s="947">
        <v>430322</v>
      </c>
      <c r="M1596" s="631"/>
      <c r="P1596" s="950" t="str">
        <f>VLOOKUP(J1596,'רשימת רשויות'!A:A,1,0)</f>
        <v>שער השומרון</v>
      </c>
      <c r="Q1596" s="956">
        <f>IFERROR(VLOOKUP(B1596,[2]מעובד!$D:$K,8,0),0)</f>
        <v>251</v>
      </c>
      <c r="R1596" s="956">
        <f>IFERROR(VLOOKUP(B1596,[2]מעובד!$D:$L,9,0),0)</f>
        <v>185</v>
      </c>
    </row>
    <row r="1597" spans="1:18" x14ac:dyDescent="0.2">
      <c r="A1597" s="947" t="s">
        <v>402</v>
      </c>
      <c r="B1597" s="947">
        <v>430330</v>
      </c>
      <c r="C1597" s="947" t="s">
        <v>2189</v>
      </c>
      <c r="D1597" s="947" t="s">
        <v>2085</v>
      </c>
      <c r="E1597" s="951">
        <v>142</v>
      </c>
      <c r="F1597" s="951">
        <v>142</v>
      </c>
      <c r="G1597" s="947" t="s">
        <v>159</v>
      </c>
      <c r="H1597" s="951">
        <v>0</v>
      </c>
      <c r="I1597" s="951">
        <v>0</v>
      </c>
      <c r="J1597" s="947" t="s">
        <v>402</v>
      </c>
      <c r="K1597" s="947">
        <v>430330</v>
      </c>
      <c r="M1597" s="631"/>
      <c r="P1597" s="950" t="str">
        <f>VLOOKUP(J1597,'רשימת רשויות'!A:A,1,0)</f>
        <v>שומרון</v>
      </c>
      <c r="Q1597" s="956">
        <f>IFERROR(VLOOKUP(B1597,[2]מעובד!$D:$K,8,0),0)</f>
        <v>142</v>
      </c>
      <c r="R1597" s="956">
        <f>IFERROR(VLOOKUP(B1597,[2]מעובד!$D:$L,9,0),0)</f>
        <v>92</v>
      </c>
    </row>
    <row r="1598" spans="1:18" x14ac:dyDescent="0.2">
      <c r="A1598" s="947" t="s">
        <v>270</v>
      </c>
      <c r="B1598" s="947">
        <v>430355</v>
      </c>
      <c r="C1598" s="947" t="s">
        <v>2189</v>
      </c>
      <c r="D1598" s="947" t="s">
        <v>3053</v>
      </c>
      <c r="E1598" s="951">
        <v>165</v>
      </c>
      <c r="F1598" s="951">
        <v>0</v>
      </c>
      <c r="G1598" s="947" t="s">
        <v>3252</v>
      </c>
      <c r="H1598" s="951">
        <v>0</v>
      </c>
      <c r="I1598" s="951">
        <v>0</v>
      </c>
      <c r="J1598" s="947" t="s">
        <v>270</v>
      </c>
      <c r="K1598" s="947">
        <v>430355</v>
      </c>
      <c r="M1598" s="631"/>
      <c r="P1598" s="950" t="str">
        <f>VLOOKUP(J1598,'רשימת רשויות'!A:A,1,0)</f>
        <v>ירושלים</v>
      </c>
      <c r="Q1598" s="956">
        <f>IFERROR(VLOOKUP(B1598,[2]מעובד!$D:$K,8,0),0)</f>
        <v>0</v>
      </c>
      <c r="R1598" s="956">
        <f>IFERROR(VLOOKUP(B1598,[2]מעובד!$D:$L,9,0),0)</f>
        <v>0</v>
      </c>
    </row>
    <row r="1599" spans="1:18" x14ac:dyDescent="0.2">
      <c r="A1599" s="947" t="s">
        <v>270</v>
      </c>
      <c r="B1599" s="947">
        <v>430363</v>
      </c>
      <c r="C1599" s="947" t="s">
        <v>2189</v>
      </c>
      <c r="D1599" s="947" t="s">
        <v>3054</v>
      </c>
      <c r="E1599" s="951">
        <v>168</v>
      </c>
      <c r="F1599" s="951">
        <v>0</v>
      </c>
      <c r="G1599" s="947" t="s">
        <v>3252</v>
      </c>
      <c r="H1599" s="951">
        <v>0</v>
      </c>
      <c r="I1599" s="951">
        <v>0</v>
      </c>
      <c r="J1599" s="947" t="s">
        <v>270</v>
      </c>
      <c r="K1599" s="947">
        <v>430363</v>
      </c>
      <c r="M1599" s="631"/>
      <c r="P1599" s="950" t="str">
        <f>VLOOKUP(J1599,'רשימת רשויות'!A:A,1,0)</f>
        <v>ירושלים</v>
      </c>
      <c r="Q1599" s="956">
        <f>IFERROR(VLOOKUP(B1599,[2]מעובד!$D:$K,8,0),0)</f>
        <v>0</v>
      </c>
      <c r="R1599" s="956">
        <f>IFERROR(VLOOKUP(B1599,[2]מעובד!$D:$L,9,0),0)</f>
        <v>0</v>
      </c>
    </row>
    <row r="1600" spans="1:18" x14ac:dyDescent="0.2">
      <c r="A1600" s="947" t="s">
        <v>197</v>
      </c>
      <c r="B1600" s="947">
        <v>430413</v>
      </c>
      <c r="C1600" s="947" t="s">
        <v>2189</v>
      </c>
      <c r="D1600" s="947" t="s">
        <v>1816</v>
      </c>
      <c r="E1600" s="951">
        <v>157</v>
      </c>
      <c r="F1600" s="951">
        <v>157</v>
      </c>
      <c r="G1600" s="947" t="s">
        <v>3252</v>
      </c>
      <c r="H1600" s="951">
        <v>0</v>
      </c>
      <c r="I1600" s="951">
        <v>0</v>
      </c>
      <c r="J1600" s="947" t="s">
        <v>197</v>
      </c>
      <c r="K1600" s="947">
        <v>430413</v>
      </c>
      <c r="M1600" s="631"/>
      <c r="P1600" s="950" t="str">
        <f>VLOOKUP(J1600,'רשימת רשויות'!A:A,1,0)</f>
        <v>ביתר עילית</v>
      </c>
      <c r="Q1600" s="956">
        <f>IFERROR(VLOOKUP(B1600,[2]מעובד!$D:$K,8,0),0)</f>
        <v>0</v>
      </c>
      <c r="R1600" s="956">
        <f>IFERROR(VLOOKUP(B1600,[2]מעובד!$D:$L,9,0),0)</f>
        <v>0</v>
      </c>
    </row>
    <row r="1601" spans="1:18" x14ac:dyDescent="0.2">
      <c r="A1601" s="947" t="s">
        <v>270</v>
      </c>
      <c r="B1601" s="947">
        <v>430439</v>
      </c>
      <c r="C1601" s="947" t="s">
        <v>2189</v>
      </c>
      <c r="D1601" s="947" t="s">
        <v>3055</v>
      </c>
      <c r="E1601" s="951">
        <v>174</v>
      </c>
      <c r="F1601" s="951">
        <v>0</v>
      </c>
      <c r="G1601" s="947" t="s">
        <v>3252</v>
      </c>
      <c r="H1601" s="951">
        <v>0</v>
      </c>
      <c r="I1601" s="951">
        <v>0</v>
      </c>
      <c r="J1601" s="947" t="s">
        <v>270</v>
      </c>
      <c r="K1601" s="947">
        <v>430439</v>
      </c>
      <c r="M1601" s="631"/>
      <c r="P1601" s="950" t="str">
        <f>VLOOKUP(J1601,'רשימת רשויות'!A:A,1,0)</f>
        <v>ירושלים</v>
      </c>
      <c r="Q1601" s="956">
        <f>IFERROR(VLOOKUP(B1601,[2]מעובד!$D:$K,8,0),0)</f>
        <v>0</v>
      </c>
      <c r="R1601" s="956">
        <f>IFERROR(VLOOKUP(B1601,[2]מעובד!$D:$L,9,0),0)</f>
        <v>0</v>
      </c>
    </row>
    <row r="1602" spans="1:18" x14ac:dyDescent="0.2">
      <c r="A1602" s="947" t="s">
        <v>267</v>
      </c>
      <c r="B1602" s="947">
        <v>430447</v>
      </c>
      <c r="C1602" s="947" t="s">
        <v>2189</v>
      </c>
      <c r="D1602" s="947" t="s">
        <v>1817</v>
      </c>
      <c r="E1602" s="951">
        <v>173</v>
      </c>
      <c r="F1602" s="951">
        <v>161</v>
      </c>
      <c r="G1602" s="947" t="s">
        <v>159</v>
      </c>
      <c r="H1602" s="951">
        <v>80</v>
      </c>
      <c r="I1602" s="951">
        <v>11</v>
      </c>
      <c r="J1602" s="947" t="s">
        <v>267</v>
      </c>
      <c r="K1602" s="947">
        <v>430447</v>
      </c>
      <c r="M1602" s="631"/>
      <c r="P1602" s="950" t="str">
        <f>VLOOKUP(J1602,'רשימת רשויות'!A:A,1,0)</f>
        <v>יפיע</v>
      </c>
      <c r="Q1602" s="956">
        <f>IFERROR(VLOOKUP(B1602,[2]מעובד!$D:$K,8,0),0)</f>
        <v>195</v>
      </c>
      <c r="R1602" s="956">
        <f>IFERROR(VLOOKUP(B1602,[2]מעובד!$D:$L,9,0),0)</f>
        <v>160</v>
      </c>
    </row>
    <row r="1603" spans="1:18" x14ac:dyDescent="0.2">
      <c r="A1603" s="947" t="s">
        <v>363</v>
      </c>
      <c r="B1603" s="947">
        <v>430462</v>
      </c>
      <c r="C1603" s="947" t="s">
        <v>2189</v>
      </c>
      <c r="D1603" s="947" t="s">
        <v>707</v>
      </c>
      <c r="E1603" s="951">
        <v>172</v>
      </c>
      <c r="F1603" s="951">
        <v>126</v>
      </c>
      <c r="G1603" s="947" t="s">
        <v>159</v>
      </c>
      <c r="H1603" s="951">
        <v>0</v>
      </c>
      <c r="I1603" s="951">
        <v>0</v>
      </c>
      <c r="J1603" s="947" t="s">
        <v>363</v>
      </c>
      <c r="K1603" s="957" t="s">
        <v>3322</v>
      </c>
      <c r="M1603" s="631"/>
      <c r="P1603" s="950" t="str">
        <f>VLOOKUP(J1603,'רשימת רשויות'!A:A,1,0)</f>
        <v>פתח תקוה</v>
      </c>
      <c r="Q1603" s="956">
        <f>IFERROR(VLOOKUP(B1603,[2]מעובד!$D:$K,8,0),0)</f>
        <v>0</v>
      </c>
      <c r="R1603" s="956">
        <f>IFERROR(VLOOKUP(B1603,[2]מעובד!$D:$L,9,0),0)</f>
        <v>0</v>
      </c>
    </row>
    <row r="1604" spans="1:18" x14ac:dyDescent="0.2">
      <c r="A1604" s="947" t="s">
        <v>263</v>
      </c>
      <c r="B1604" s="947">
        <v>430470</v>
      </c>
      <c r="C1604" s="947" t="s">
        <v>2189</v>
      </c>
      <c r="D1604" s="947" t="s">
        <v>1406</v>
      </c>
      <c r="E1604" s="951">
        <v>171</v>
      </c>
      <c r="F1604" s="951">
        <v>163</v>
      </c>
      <c r="G1604" s="947" t="s">
        <v>159</v>
      </c>
      <c r="H1604" s="951">
        <v>0</v>
      </c>
      <c r="I1604" s="951">
        <v>0</v>
      </c>
      <c r="J1604" s="947" t="s">
        <v>263</v>
      </c>
      <c r="K1604" s="947">
        <v>430470</v>
      </c>
      <c r="M1604" s="631"/>
      <c r="P1604" s="950" t="str">
        <f>VLOOKUP(J1604,'רשימת רשויות'!A:A,1,0)</f>
        <v>יהוד נווה אפרים</v>
      </c>
      <c r="Q1604" s="956">
        <f>IFERROR(VLOOKUP(B1604,[2]מעובד!$D:$K,8,0),0)</f>
        <v>290</v>
      </c>
      <c r="R1604" s="956">
        <f>IFERROR(VLOOKUP(B1604,[2]מעובד!$D:$L,9,0),0)</f>
        <v>73</v>
      </c>
    </row>
    <row r="1605" spans="1:18" x14ac:dyDescent="0.2">
      <c r="A1605" s="947" t="s">
        <v>387</v>
      </c>
      <c r="B1605" s="947">
        <v>430496</v>
      </c>
      <c r="C1605" s="947" t="s">
        <v>2189</v>
      </c>
      <c r="D1605" s="947" t="s">
        <v>1828</v>
      </c>
      <c r="E1605" s="951">
        <v>411</v>
      </c>
      <c r="F1605" s="951">
        <v>370</v>
      </c>
      <c r="G1605" s="947" t="s">
        <v>159</v>
      </c>
      <c r="H1605" s="951">
        <v>0</v>
      </c>
      <c r="I1605" s="951">
        <v>0</v>
      </c>
      <c r="J1605" s="947" t="s">
        <v>387</v>
      </c>
      <c r="K1605" s="947">
        <v>430496</v>
      </c>
      <c r="M1605" s="631"/>
      <c r="P1605" s="950" t="str">
        <f>VLOOKUP(J1605,'רשימת רשויות'!A:A,1,0)</f>
        <v>רחובות</v>
      </c>
      <c r="Q1605" s="956">
        <f>IFERROR(VLOOKUP(B1605,[2]מעובד!$D:$K,8,0),0)</f>
        <v>347</v>
      </c>
      <c r="R1605" s="956">
        <f>IFERROR(VLOOKUP(B1605,[2]מעובד!$D:$L,9,0),0)</f>
        <v>169</v>
      </c>
    </row>
    <row r="1606" spans="1:18" x14ac:dyDescent="0.2">
      <c r="A1606" s="947" t="s">
        <v>306</v>
      </c>
      <c r="B1606" s="947">
        <v>430520</v>
      </c>
      <c r="C1606" s="947" t="s">
        <v>2189</v>
      </c>
      <c r="D1606" s="947" t="s">
        <v>2633</v>
      </c>
      <c r="E1606" s="951">
        <v>418</v>
      </c>
      <c r="F1606" s="951">
        <v>412</v>
      </c>
      <c r="G1606" s="947" t="s">
        <v>3252</v>
      </c>
      <c r="H1606" s="951">
        <v>0</v>
      </c>
      <c r="I1606" s="951">
        <v>0</v>
      </c>
      <c r="J1606" s="947" t="s">
        <v>306</v>
      </c>
      <c r="K1606" s="947">
        <v>430520</v>
      </c>
      <c r="M1606" s="631"/>
      <c r="P1606" s="950" t="str">
        <f>VLOOKUP(J1606,'רשימת רשויות'!A:A,1,0)</f>
        <v>מודיעין עילית</v>
      </c>
      <c r="Q1606" s="956">
        <f>IFERROR(VLOOKUP(B1606,[2]מעובד!$D:$K,8,0),0)</f>
        <v>0</v>
      </c>
      <c r="R1606" s="956">
        <f>IFERROR(VLOOKUP(B1606,[2]מעובד!$D:$L,9,0),0)</f>
        <v>0</v>
      </c>
    </row>
    <row r="1607" spans="1:18" x14ac:dyDescent="0.2">
      <c r="A1607" s="947" t="s">
        <v>363</v>
      </c>
      <c r="B1607" s="947">
        <v>430546</v>
      </c>
      <c r="C1607" s="947" t="s">
        <v>2189</v>
      </c>
      <c r="D1607" s="947" t="s">
        <v>708</v>
      </c>
      <c r="E1607" s="951">
        <v>277</v>
      </c>
      <c r="F1607" s="951">
        <v>266</v>
      </c>
      <c r="G1607" s="947" t="s">
        <v>159</v>
      </c>
      <c r="H1607" s="951">
        <v>87</v>
      </c>
      <c r="I1607" s="951">
        <v>11</v>
      </c>
      <c r="J1607" s="947" t="s">
        <v>363</v>
      </c>
      <c r="K1607" s="947">
        <v>430546</v>
      </c>
      <c r="M1607" s="631"/>
      <c r="P1607" s="950" t="str">
        <f>VLOOKUP(J1607,'רשימת רשויות'!A:A,1,0)</f>
        <v>פתח תקוה</v>
      </c>
      <c r="Q1607" s="956">
        <f>IFERROR(VLOOKUP(B1607,[2]מעובד!$D:$K,8,0),0)</f>
        <v>350</v>
      </c>
      <c r="R1607" s="956">
        <f>IFERROR(VLOOKUP(B1607,[2]מעובד!$D:$L,9,0),0)</f>
        <v>120</v>
      </c>
    </row>
    <row r="1608" spans="1:18" x14ac:dyDescent="0.2">
      <c r="A1608" s="947" t="s">
        <v>270</v>
      </c>
      <c r="B1608" s="947">
        <v>430884</v>
      </c>
      <c r="C1608" s="947" t="s">
        <v>2189</v>
      </c>
      <c r="D1608" s="947" t="s">
        <v>1858</v>
      </c>
      <c r="E1608" s="951">
        <v>156</v>
      </c>
      <c r="F1608" s="951">
        <v>132</v>
      </c>
      <c r="G1608" s="947" t="s">
        <v>159</v>
      </c>
      <c r="H1608" s="951">
        <v>0</v>
      </c>
      <c r="I1608" s="951">
        <v>0</v>
      </c>
      <c r="J1608" s="947" t="s">
        <v>270</v>
      </c>
      <c r="K1608" s="947">
        <v>430884</v>
      </c>
      <c r="M1608" s="631"/>
      <c r="P1608" s="950" t="str">
        <f>VLOOKUP(J1608,'רשימת רשויות'!A:A,1,0)</f>
        <v>ירושלים</v>
      </c>
      <c r="Q1608" s="956">
        <f>IFERROR(VLOOKUP(B1608,[2]מעובד!$D:$K,8,0),0)</f>
        <v>178</v>
      </c>
      <c r="R1608" s="956">
        <f>IFERROR(VLOOKUP(B1608,[2]מעובד!$D:$L,9,0),0)</f>
        <v>128</v>
      </c>
    </row>
    <row r="1609" spans="1:18" x14ac:dyDescent="0.2">
      <c r="A1609" s="947" t="s">
        <v>363</v>
      </c>
      <c r="B1609" s="947">
        <v>434019</v>
      </c>
      <c r="C1609" s="947" t="s">
        <v>2189</v>
      </c>
      <c r="D1609" s="947" t="s">
        <v>2432</v>
      </c>
      <c r="E1609" s="951">
        <v>310</v>
      </c>
      <c r="F1609" s="951">
        <v>302</v>
      </c>
      <c r="G1609" s="947" t="s">
        <v>3252</v>
      </c>
      <c r="H1609" s="951">
        <v>0</v>
      </c>
      <c r="I1609" s="951">
        <v>0</v>
      </c>
      <c r="J1609" s="947" t="s">
        <v>363</v>
      </c>
      <c r="K1609" s="947">
        <v>434019</v>
      </c>
      <c r="M1609" s="631"/>
      <c r="P1609" s="950" t="str">
        <f>VLOOKUP(J1609,'רשימת רשויות'!A:A,1,0)</f>
        <v>פתח תקוה</v>
      </c>
      <c r="Q1609" s="956">
        <f>IFERROR(VLOOKUP(B1609,[2]מעובד!$D:$K,8,0),0)</f>
        <v>0</v>
      </c>
      <c r="R1609" s="956">
        <f>IFERROR(VLOOKUP(B1609,[2]מעובד!$D:$L,9,0),0)</f>
        <v>0</v>
      </c>
    </row>
    <row r="1610" spans="1:18" x14ac:dyDescent="0.2">
      <c r="A1610" s="947" t="s">
        <v>310</v>
      </c>
      <c r="B1610" s="947">
        <v>436717</v>
      </c>
      <c r="C1610" s="947" t="s">
        <v>2189</v>
      </c>
      <c r="D1610" s="947" t="s">
        <v>1128</v>
      </c>
      <c r="E1610" s="951">
        <v>140</v>
      </c>
      <c r="F1610" s="951">
        <v>93</v>
      </c>
      <c r="G1610" s="947" t="s">
        <v>159</v>
      </c>
      <c r="H1610" s="951">
        <v>45</v>
      </c>
      <c r="I1610" s="951">
        <v>4</v>
      </c>
      <c r="J1610" s="947" t="s">
        <v>310</v>
      </c>
      <c r="K1610" s="947">
        <v>436717</v>
      </c>
      <c r="M1610" s="631"/>
      <c r="P1610" s="950" t="str">
        <f>VLOOKUP(J1610,'רשימת רשויות'!A:A,1,0)</f>
        <v>מטה בנימין</v>
      </c>
      <c r="Q1610" s="956">
        <f>IFERROR(VLOOKUP(B1610,[2]מעובד!$D:$K,8,0),0)</f>
        <v>171</v>
      </c>
      <c r="R1610" s="956">
        <f>IFERROR(VLOOKUP(B1610,[2]מעובד!$D:$L,9,0),0)</f>
        <v>47</v>
      </c>
    </row>
    <row r="1611" spans="1:18" x14ac:dyDescent="0.2">
      <c r="A1611" s="947" t="s">
        <v>270</v>
      </c>
      <c r="B1611" s="947">
        <v>436725</v>
      </c>
      <c r="C1611" s="947" t="s">
        <v>2189</v>
      </c>
      <c r="D1611" s="947" t="s">
        <v>1755</v>
      </c>
      <c r="E1611" s="951">
        <v>319</v>
      </c>
      <c r="F1611" s="951">
        <v>311</v>
      </c>
      <c r="G1611" s="947" t="s">
        <v>159</v>
      </c>
      <c r="H1611" s="951">
        <v>0</v>
      </c>
      <c r="I1611" s="951">
        <v>0</v>
      </c>
      <c r="J1611" s="947" t="s">
        <v>270</v>
      </c>
      <c r="K1611" s="947">
        <v>436725</v>
      </c>
      <c r="M1611" s="631"/>
      <c r="P1611" s="950" t="str">
        <f>VLOOKUP(J1611,'רשימת רשויות'!A:A,1,0)</f>
        <v>ירושלים</v>
      </c>
      <c r="Q1611" s="956">
        <f>IFERROR(VLOOKUP(B1611,[2]מעובד!$D:$K,8,0),0)</f>
        <v>301</v>
      </c>
      <c r="R1611" s="956">
        <f>IFERROR(VLOOKUP(B1611,[2]מעובד!$D:$L,9,0),0)</f>
        <v>101</v>
      </c>
    </row>
    <row r="1612" spans="1:18" x14ac:dyDescent="0.2">
      <c r="A1612" s="947" t="s">
        <v>350</v>
      </c>
      <c r="B1612" s="947">
        <v>437319</v>
      </c>
      <c r="C1612" s="947" t="s">
        <v>2189</v>
      </c>
      <c r="D1612" s="947" t="s">
        <v>496</v>
      </c>
      <c r="E1612" s="951">
        <v>101</v>
      </c>
      <c r="F1612" s="951">
        <v>66</v>
      </c>
      <c r="G1612" s="947" t="s">
        <v>159</v>
      </c>
      <c r="H1612" s="951">
        <v>0</v>
      </c>
      <c r="I1612" s="951">
        <v>0</v>
      </c>
      <c r="J1612" s="947" t="s">
        <v>350</v>
      </c>
      <c r="K1612" s="947">
        <v>437319</v>
      </c>
      <c r="M1612" s="631"/>
      <c r="P1612" s="950" t="str">
        <f>VLOOKUP(J1612,'רשימת רשויות'!A:A,1,0)</f>
        <v>עמק חפר</v>
      </c>
      <c r="Q1612" s="956">
        <f>IFERROR(VLOOKUP(B1612,[2]מעובד!$D:$K,8,0),0)</f>
        <v>0</v>
      </c>
      <c r="R1612" s="956">
        <f>IFERROR(VLOOKUP(B1612,[2]מעובד!$D:$L,9,0),0)</f>
        <v>0</v>
      </c>
    </row>
    <row r="1613" spans="1:18" x14ac:dyDescent="0.2">
      <c r="A1613" s="947" t="s">
        <v>270</v>
      </c>
      <c r="B1613" s="947">
        <v>440412</v>
      </c>
      <c r="C1613" s="947" t="s">
        <v>2189</v>
      </c>
      <c r="D1613" s="947" t="s">
        <v>3056</v>
      </c>
      <c r="E1613" s="951">
        <v>433</v>
      </c>
      <c r="F1613" s="951">
        <v>0</v>
      </c>
      <c r="G1613" s="947" t="s">
        <v>3252</v>
      </c>
      <c r="H1613" s="951">
        <v>0</v>
      </c>
      <c r="I1613" s="951">
        <v>0</v>
      </c>
      <c r="J1613" s="947" t="s">
        <v>270</v>
      </c>
      <c r="K1613" s="947">
        <v>440412</v>
      </c>
      <c r="M1613" s="631"/>
      <c r="P1613" s="950" t="str">
        <f>VLOOKUP(J1613,'רשימת רשויות'!A:A,1,0)</f>
        <v>ירושלים</v>
      </c>
      <c r="Q1613" s="956">
        <f>IFERROR(VLOOKUP(B1613,[2]מעובד!$D:$K,8,0),0)</f>
        <v>0</v>
      </c>
      <c r="R1613" s="956">
        <f>IFERROR(VLOOKUP(B1613,[2]מעובד!$D:$L,9,0),0)</f>
        <v>0</v>
      </c>
    </row>
    <row r="1614" spans="1:18" x14ac:dyDescent="0.2">
      <c r="A1614" s="947" t="s">
        <v>270</v>
      </c>
      <c r="B1614" s="947">
        <v>440529</v>
      </c>
      <c r="C1614" s="947" t="s">
        <v>2189</v>
      </c>
      <c r="D1614" s="947" t="s">
        <v>1745</v>
      </c>
      <c r="E1614" s="951">
        <v>90</v>
      </c>
      <c r="F1614" s="951">
        <v>69</v>
      </c>
      <c r="G1614" s="947" t="s">
        <v>3252</v>
      </c>
      <c r="H1614" s="951">
        <v>90</v>
      </c>
      <c r="I1614" s="951">
        <v>21</v>
      </c>
      <c r="J1614" s="947" t="s">
        <v>270</v>
      </c>
      <c r="K1614" s="947">
        <v>440529</v>
      </c>
      <c r="M1614" s="631"/>
      <c r="P1614" s="950" t="str">
        <f>VLOOKUP(J1614,'רשימת רשויות'!A:A,1,0)</f>
        <v>ירושלים</v>
      </c>
      <c r="Q1614" s="956">
        <f>IFERROR(VLOOKUP(B1614,[2]מעובד!$D:$K,8,0),0)</f>
        <v>83</v>
      </c>
      <c r="R1614" s="956">
        <f>IFERROR(VLOOKUP(B1614,[2]מעובד!$D:$L,9,0),0)</f>
        <v>76</v>
      </c>
    </row>
    <row r="1615" spans="1:18" x14ac:dyDescent="0.2">
      <c r="A1615" s="947" t="s">
        <v>270</v>
      </c>
      <c r="B1615" s="947">
        <v>440685</v>
      </c>
      <c r="C1615" s="947" t="s">
        <v>2189</v>
      </c>
      <c r="D1615" s="947" t="s">
        <v>1768</v>
      </c>
      <c r="E1615" s="951">
        <v>258</v>
      </c>
      <c r="F1615" s="951">
        <v>0</v>
      </c>
      <c r="G1615" s="947" t="s">
        <v>3252</v>
      </c>
      <c r="H1615" s="951">
        <v>0</v>
      </c>
      <c r="I1615" s="951">
        <v>0</v>
      </c>
      <c r="J1615" s="947" t="s">
        <v>270</v>
      </c>
      <c r="K1615" s="947">
        <v>440685</v>
      </c>
      <c r="M1615" s="631"/>
      <c r="P1615" s="950" t="str">
        <f>VLOOKUP(J1615,'רשימת רשויות'!A:A,1,0)</f>
        <v>ירושלים</v>
      </c>
      <c r="Q1615" s="956">
        <f>IFERROR(VLOOKUP(B1615,[2]מעובד!$D:$K,8,0),0)</f>
        <v>0</v>
      </c>
      <c r="R1615" s="956">
        <f>IFERROR(VLOOKUP(B1615,[2]מעובד!$D:$L,9,0),0)</f>
        <v>0</v>
      </c>
    </row>
    <row r="1616" spans="1:18" x14ac:dyDescent="0.2">
      <c r="A1616" s="947" t="s">
        <v>270</v>
      </c>
      <c r="B1616" s="947">
        <v>440693</v>
      </c>
      <c r="C1616" s="947" t="s">
        <v>2189</v>
      </c>
      <c r="D1616" s="947" t="s">
        <v>472</v>
      </c>
      <c r="E1616" s="951">
        <v>191</v>
      </c>
      <c r="F1616" s="951">
        <v>0</v>
      </c>
      <c r="G1616" s="947" t="s">
        <v>3252</v>
      </c>
      <c r="H1616" s="951">
        <v>0</v>
      </c>
      <c r="I1616" s="951">
        <v>0</v>
      </c>
      <c r="J1616" s="947" t="s">
        <v>270</v>
      </c>
      <c r="K1616" s="947">
        <v>440693</v>
      </c>
      <c r="M1616" s="631"/>
      <c r="P1616" s="950" t="str">
        <f>VLOOKUP(J1616,'רשימת רשויות'!A:A,1,0)</f>
        <v>ירושלים</v>
      </c>
      <c r="Q1616" s="956">
        <f>IFERROR(VLOOKUP(B1616,[2]מעובד!$D:$K,8,0),0)</f>
        <v>0</v>
      </c>
      <c r="R1616" s="956">
        <f>IFERROR(VLOOKUP(B1616,[2]מעובד!$D:$L,9,0),0)</f>
        <v>0</v>
      </c>
    </row>
    <row r="1617" spans="1:18" x14ac:dyDescent="0.2">
      <c r="A1617" s="947" t="s">
        <v>409</v>
      </c>
      <c r="B1617" s="947">
        <v>442459</v>
      </c>
      <c r="C1617" s="947" t="s">
        <v>2189</v>
      </c>
      <c r="D1617" s="947" t="s">
        <v>1765</v>
      </c>
      <c r="E1617" s="951">
        <v>133</v>
      </c>
      <c r="F1617" s="951">
        <v>124</v>
      </c>
      <c r="G1617" s="947" t="s">
        <v>159</v>
      </c>
      <c r="H1617" s="951">
        <v>52</v>
      </c>
      <c r="I1617" s="951">
        <v>10</v>
      </c>
      <c r="J1617" s="947" t="s">
        <v>409</v>
      </c>
      <c r="K1617" s="947">
        <v>442459</v>
      </c>
      <c r="M1617" s="631"/>
      <c r="P1617" s="950" t="str">
        <f>VLOOKUP(J1617,'רשימת רשויות'!A:A,1,0)</f>
        <v>תל מונד</v>
      </c>
      <c r="Q1617" s="956">
        <f>IFERROR(VLOOKUP(B1617,[2]מעובד!$D:$K,8,0),0)</f>
        <v>273</v>
      </c>
      <c r="R1617" s="956">
        <f>IFERROR(VLOOKUP(B1617,[2]מעובד!$D:$L,9,0),0)</f>
        <v>46</v>
      </c>
    </row>
    <row r="1618" spans="1:18" x14ac:dyDescent="0.2">
      <c r="A1618" s="947" t="s">
        <v>215</v>
      </c>
      <c r="B1618" s="947">
        <v>442475</v>
      </c>
      <c r="C1618" s="947" t="s">
        <v>2189</v>
      </c>
      <c r="D1618" s="947" t="s">
        <v>642</v>
      </c>
      <c r="E1618" s="951">
        <v>238</v>
      </c>
      <c r="F1618" s="951">
        <v>153</v>
      </c>
      <c r="G1618" s="947" t="s">
        <v>159</v>
      </c>
      <c r="H1618" s="951">
        <v>156</v>
      </c>
      <c r="I1618" s="951">
        <v>0</v>
      </c>
      <c r="J1618" s="947" t="s">
        <v>215</v>
      </c>
      <c r="K1618" s="947">
        <v>442475</v>
      </c>
      <c r="M1618" s="631"/>
      <c r="P1618" s="950" t="str">
        <f>VLOOKUP(J1618,'רשימת רשויות'!A:A,1,0)</f>
        <v>גדרה</v>
      </c>
      <c r="Q1618" s="956">
        <f>IFERROR(VLOOKUP(B1618,[2]מעובד!$D:$K,8,0),0)</f>
        <v>230</v>
      </c>
      <c r="R1618" s="956">
        <f>IFERROR(VLOOKUP(B1618,[2]מעובד!$D:$L,9,0),0)</f>
        <v>210</v>
      </c>
    </row>
    <row r="1619" spans="1:18" x14ac:dyDescent="0.2">
      <c r="A1619" s="947" t="s">
        <v>215</v>
      </c>
      <c r="B1619" s="947">
        <v>442483</v>
      </c>
      <c r="C1619" s="947" t="s">
        <v>2189</v>
      </c>
      <c r="D1619" s="947" t="s">
        <v>1766</v>
      </c>
      <c r="E1619" s="951">
        <v>226</v>
      </c>
      <c r="F1619" s="951">
        <v>160</v>
      </c>
      <c r="G1619" s="947" t="s">
        <v>159</v>
      </c>
      <c r="H1619" s="951">
        <v>74</v>
      </c>
      <c r="I1619" s="951">
        <v>0</v>
      </c>
      <c r="J1619" s="947" t="s">
        <v>215</v>
      </c>
      <c r="K1619" s="947">
        <v>442483</v>
      </c>
      <c r="M1619" s="631"/>
      <c r="P1619" s="950" t="str">
        <f>VLOOKUP(J1619,'רשימת רשויות'!A:A,1,0)</f>
        <v>גדרה</v>
      </c>
      <c r="Q1619" s="956">
        <f>IFERROR(VLOOKUP(B1619,[2]מעובד!$D:$K,8,0),0)</f>
        <v>259</v>
      </c>
      <c r="R1619" s="956">
        <f>IFERROR(VLOOKUP(B1619,[2]מעובד!$D:$L,9,0),0)</f>
        <v>95</v>
      </c>
    </row>
    <row r="1620" spans="1:18" x14ac:dyDescent="0.2">
      <c r="A1620" s="947" t="s">
        <v>186</v>
      </c>
      <c r="B1620" s="947">
        <v>442491</v>
      </c>
      <c r="C1620" s="947" t="s">
        <v>2189</v>
      </c>
      <c r="D1620" s="947" t="s">
        <v>1767</v>
      </c>
      <c r="E1620" s="951">
        <v>205</v>
      </c>
      <c r="F1620" s="951">
        <v>127</v>
      </c>
      <c r="G1620" s="947" t="s">
        <v>159</v>
      </c>
      <c r="H1620" s="951">
        <v>0</v>
      </c>
      <c r="I1620" s="951">
        <v>0</v>
      </c>
      <c r="J1620" s="947" t="s">
        <v>186</v>
      </c>
      <c r="K1620" s="947">
        <v>442491</v>
      </c>
      <c r="M1620" s="631"/>
      <c r="P1620" s="950" t="str">
        <f>VLOOKUP(J1620,'רשימת רשויות'!A:A,1,0)</f>
        <v>באר יעקב</v>
      </c>
      <c r="Q1620" s="956">
        <f>IFERROR(VLOOKUP(B1620,[2]מעובד!$D:$K,8,0),0)</f>
        <v>0</v>
      </c>
      <c r="R1620" s="956">
        <f>IFERROR(VLOOKUP(B1620,[2]מעובד!$D:$L,9,0),0)</f>
        <v>0</v>
      </c>
    </row>
    <row r="1621" spans="1:18" x14ac:dyDescent="0.2">
      <c r="A1621" s="947" t="s">
        <v>330</v>
      </c>
      <c r="B1621" s="947">
        <v>442509</v>
      </c>
      <c r="C1621" s="947" t="s">
        <v>2189</v>
      </c>
      <c r="D1621" s="947" t="s">
        <v>2433</v>
      </c>
      <c r="E1621" s="951">
        <v>151</v>
      </c>
      <c r="F1621" s="951">
        <v>137</v>
      </c>
      <c r="G1621" s="947" t="s">
        <v>159</v>
      </c>
      <c r="H1621" s="951">
        <v>0</v>
      </c>
      <c r="I1621" s="951">
        <v>0</v>
      </c>
      <c r="J1621" s="947" t="s">
        <v>330</v>
      </c>
      <c r="K1621" s="947">
        <v>442509</v>
      </c>
      <c r="M1621" s="631"/>
      <c r="P1621" s="950" t="str">
        <f>VLOOKUP(J1621,'רשימת רשויות'!A:A,1,0)</f>
        <v>נחל שורק</v>
      </c>
      <c r="Q1621" s="956">
        <f>IFERROR(VLOOKUP(B1621,[2]מעובד!$D:$K,8,0),0)</f>
        <v>133</v>
      </c>
      <c r="R1621" s="956">
        <f>IFERROR(VLOOKUP(B1621,[2]מעובד!$D:$L,9,0),0)</f>
        <v>75</v>
      </c>
    </row>
    <row r="1622" spans="1:18" x14ac:dyDescent="0.2">
      <c r="A1622" s="947" t="s">
        <v>175</v>
      </c>
      <c r="B1622" s="947">
        <v>442558</v>
      </c>
      <c r="C1622" s="947" t="s">
        <v>2189</v>
      </c>
      <c r="D1622" s="947" t="s">
        <v>1818</v>
      </c>
      <c r="E1622" s="951">
        <v>61</v>
      </c>
      <c r="F1622" s="951">
        <v>61</v>
      </c>
      <c r="G1622" s="947" t="s">
        <v>3252</v>
      </c>
      <c r="H1622" s="951">
        <v>0</v>
      </c>
      <c r="I1622" s="951">
        <v>0</v>
      </c>
      <c r="J1622" s="947" t="s">
        <v>175</v>
      </c>
      <c r="K1622" s="947">
        <v>442558</v>
      </c>
      <c r="M1622" s="631"/>
      <c r="P1622" s="950" t="str">
        <f>VLOOKUP(J1622,'רשימת רשויות'!A:A,1,0)</f>
        <v>אלעד</v>
      </c>
      <c r="Q1622" s="956">
        <f>IFERROR(VLOOKUP(B1622,[2]מעובד!$D:$K,8,0),0)</f>
        <v>75</v>
      </c>
      <c r="R1622" s="956">
        <f>IFERROR(VLOOKUP(B1622,[2]מעובד!$D:$L,9,0),0)</f>
        <v>75</v>
      </c>
    </row>
    <row r="1623" spans="1:18" x14ac:dyDescent="0.2">
      <c r="A1623" s="947" t="s">
        <v>242</v>
      </c>
      <c r="B1623" s="947">
        <v>442574</v>
      </c>
      <c r="C1623" s="947" t="s">
        <v>2189</v>
      </c>
      <c r="D1623" s="947" t="s">
        <v>3057</v>
      </c>
      <c r="E1623" s="951">
        <v>74</v>
      </c>
      <c r="F1623" s="951">
        <v>0</v>
      </c>
      <c r="G1623" s="947" t="s">
        <v>3252</v>
      </c>
      <c r="H1623" s="951">
        <v>0</v>
      </c>
      <c r="I1623" s="951">
        <v>0</v>
      </c>
      <c r="J1623" s="947" t="s">
        <v>242</v>
      </c>
      <c r="K1623" s="947">
        <v>442574</v>
      </c>
      <c r="M1623" s="631"/>
      <c r="P1623" s="950" t="str">
        <f>VLOOKUP(J1623,'רשימת רשויות'!A:A,1,0)</f>
        <v>חבל מודיעין</v>
      </c>
      <c r="Q1623" s="956">
        <f>IFERROR(VLOOKUP(B1623,[2]מעובד!$D:$K,8,0),0)</f>
        <v>0</v>
      </c>
      <c r="R1623" s="956">
        <f>IFERROR(VLOOKUP(B1623,[2]מעובד!$D:$L,9,0),0)</f>
        <v>0</v>
      </c>
    </row>
    <row r="1624" spans="1:18" x14ac:dyDescent="0.2">
      <c r="A1624" s="947" t="s">
        <v>336</v>
      </c>
      <c r="B1624" s="947">
        <v>442582</v>
      </c>
      <c r="C1624" s="947" t="s">
        <v>2189</v>
      </c>
      <c r="D1624" s="947" t="s">
        <v>3058</v>
      </c>
      <c r="E1624" s="951">
        <v>98</v>
      </c>
      <c r="F1624" s="951">
        <v>0</v>
      </c>
      <c r="G1624" s="947" t="s">
        <v>3252</v>
      </c>
      <c r="H1624" s="951">
        <v>0</v>
      </c>
      <c r="I1624" s="951">
        <v>0</v>
      </c>
      <c r="J1624" s="947" t="s">
        <v>336</v>
      </c>
      <c r="K1624" s="947">
        <v>442582</v>
      </c>
      <c r="M1624" s="631"/>
      <c r="P1624" s="950" t="str">
        <f>VLOOKUP(J1624,'רשימת רשויות'!A:A,1,0)</f>
        <v>נתניה</v>
      </c>
      <c r="Q1624" s="956">
        <f>IFERROR(VLOOKUP(B1624,[2]מעובד!$D:$K,8,0),0)</f>
        <v>0</v>
      </c>
      <c r="R1624" s="956">
        <f>IFERROR(VLOOKUP(B1624,[2]מעובד!$D:$L,9,0),0)</f>
        <v>0</v>
      </c>
    </row>
    <row r="1625" spans="1:18" x14ac:dyDescent="0.2">
      <c r="A1625" s="947" t="s">
        <v>402</v>
      </c>
      <c r="B1625" s="947">
        <v>442590</v>
      </c>
      <c r="C1625" s="947" t="s">
        <v>2189</v>
      </c>
      <c r="D1625" s="947" t="s">
        <v>1829</v>
      </c>
      <c r="E1625" s="951">
        <v>109</v>
      </c>
      <c r="F1625" s="951">
        <v>107</v>
      </c>
      <c r="G1625" s="947" t="s">
        <v>159</v>
      </c>
      <c r="H1625" s="951">
        <v>0</v>
      </c>
      <c r="I1625" s="951">
        <v>0</v>
      </c>
      <c r="J1625" s="947" t="s">
        <v>402</v>
      </c>
      <c r="K1625" s="947">
        <v>442590</v>
      </c>
      <c r="M1625" s="631"/>
      <c r="P1625" s="950" t="str">
        <f>VLOOKUP(J1625,'רשימת רשויות'!A:A,1,0)</f>
        <v>שומרון</v>
      </c>
      <c r="Q1625" s="956">
        <f>IFERROR(VLOOKUP(B1625,[2]מעובד!$D:$K,8,0),0)</f>
        <v>119</v>
      </c>
      <c r="R1625" s="956">
        <f>IFERROR(VLOOKUP(B1625,[2]מעובד!$D:$L,9,0),0)</f>
        <v>119</v>
      </c>
    </row>
    <row r="1626" spans="1:18" x14ac:dyDescent="0.2">
      <c r="A1626" s="947" t="s">
        <v>395</v>
      </c>
      <c r="B1626" s="947">
        <v>442608</v>
      </c>
      <c r="C1626" s="947" t="s">
        <v>2189</v>
      </c>
      <c r="D1626" s="947" t="s">
        <v>984</v>
      </c>
      <c r="E1626" s="951">
        <v>70</v>
      </c>
      <c r="F1626" s="951">
        <v>49</v>
      </c>
      <c r="G1626" s="947" t="s">
        <v>159</v>
      </c>
      <c r="H1626" s="951">
        <v>0</v>
      </c>
      <c r="I1626" s="951">
        <v>0</v>
      </c>
      <c r="J1626" s="947" t="s">
        <v>395</v>
      </c>
      <c r="K1626" s="947">
        <v>442608</v>
      </c>
      <c r="M1626" s="631"/>
      <c r="P1626" s="950" t="str">
        <f>VLOOKUP(J1626,'רשימת רשויות'!A:A,1,0)</f>
        <v>רעננה</v>
      </c>
      <c r="Q1626" s="956">
        <f>IFERROR(VLOOKUP(B1626,[2]מעובד!$D:$K,8,0),0)</f>
        <v>69</v>
      </c>
      <c r="R1626" s="956">
        <f>IFERROR(VLOOKUP(B1626,[2]מעובד!$D:$L,9,0),0)</f>
        <v>20</v>
      </c>
    </row>
    <row r="1627" spans="1:18" x14ac:dyDescent="0.2">
      <c r="A1627" s="947" t="s">
        <v>197</v>
      </c>
      <c r="B1627" s="947">
        <v>442616</v>
      </c>
      <c r="C1627" s="947" t="s">
        <v>2189</v>
      </c>
      <c r="D1627" s="947" t="s">
        <v>1830</v>
      </c>
      <c r="E1627" s="951">
        <v>82</v>
      </c>
      <c r="F1627" s="951">
        <v>81</v>
      </c>
      <c r="G1627" s="947" t="s">
        <v>3252</v>
      </c>
      <c r="H1627" s="951">
        <v>0</v>
      </c>
      <c r="I1627" s="951">
        <v>0</v>
      </c>
      <c r="J1627" s="947" t="s">
        <v>197</v>
      </c>
      <c r="K1627" s="947">
        <v>442616</v>
      </c>
      <c r="M1627" s="631"/>
      <c r="P1627" s="950" t="str">
        <f>VLOOKUP(J1627,'רשימת רשויות'!A:A,1,0)</f>
        <v>ביתר עילית</v>
      </c>
      <c r="Q1627" s="956">
        <f>IFERROR(VLOOKUP(B1627,[2]מעובד!$D:$K,8,0),0)</f>
        <v>84</v>
      </c>
      <c r="R1627" s="956">
        <f>IFERROR(VLOOKUP(B1627,[2]מעובד!$D:$L,9,0),0)</f>
        <v>40</v>
      </c>
    </row>
    <row r="1628" spans="1:18" x14ac:dyDescent="0.2">
      <c r="A1628" s="947" t="s">
        <v>197</v>
      </c>
      <c r="B1628" s="947">
        <v>442632</v>
      </c>
      <c r="C1628" s="947" t="s">
        <v>2189</v>
      </c>
      <c r="D1628" s="947" t="s">
        <v>1831</v>
      </c>
      <c r="E1628" s="951">
        <v>67</v>
      </c>
      <c r="F1628" s="951">
        <v>67</v>
      </c>
      <c r="G1628" s="947" t="s">
        <v>3252</v>
      </c>
      <c r="H1628" s="951">
        <v>0</v>
      </c>
      <c r="I1628" s="951">
        <v>0</v>
      </c>
      <c r="J1628" s="947" t="s">
        <v>197</v>
      </c>
      <c r="K1628" s="947">
        <v>442632</v>
      </c>
      <c r="M1628" s="631"/>
      <c r="P1628" s="950" t="str">
        <f>VLOOKUP(J1628,'רשימת רשויות'!A:A,1,0)</f>
        <v>ביתר עילית</v>
      </c>
      <c r="Q1628" s="956">
        <f>IFERROR(VLOOKUP(B1628,[2]מעובד!$D:$K,8,0),0)</f>
        <v>0</v>
      </c>
      <c r="R1628" s="956">
        <f>IFERROR(VLOOKUP(B1628,[2]מעובד!$D:$L,9,0),0)</f>
        <v>0</v>
      </c>
    </row>
    <row r="1629" spans="1:18" x14ac:dyDescent="0.2">
      <c r="A1629" s="947" t="s">
        <v>270</v>
      </c>
      <c r="B1629" s="947">
        <v>442665</v>
      </c>
      <c r="C1629" s="947" t="s">
        <v>2189</v>
      </c>
      <c r="D1629" s="947" t="s">
        <v>1832</v>
      </c>
      <c r="E1629" s="951">
        <v>83</v>
      </c>
      <c r="F1629" s="951">
        <v>32</v>
      </c>
      <c r="G1629" s="947" t="s">
        <v>3252</v>
      </c>
      <c r="H1629" s="951">
        <v>83</v>
      </c>
      <c r="I1629" s="951">
        <v>35</v>
      </c>
      <c r="J1629" s="947" t="s">
        <v>270</v>
      </c>
      <c r="K1629" s="947">
        <v>442665</v>
      </c>
      <c r="M1629" s="631"/>
      <c r="P1629" s="950" t="str">
        <f>VLOOKUP(J1629,'רשימת רשויות'!A:A,1,0)</f>
        <v>ירושלים</v>
      </c>
      <c r="Q1629" s="956">
        <f>IFERROR(VLOOKUP(B1629,[2]מעובד!$D:$K,8,0),0)</f>
        <v>0</v>
      </c>
      <c r="R1629" s="956">
        <f>IFERROR(VLOOKUP(B1629,[2]מעובד!$D:$L,9,0),0)</f>
        <v>0</v>
      </c>
    </row>
    <row r="1630" spans="1:18" x14ac:dyDescent="0.2">
      <c r="A1630" s="947" t="s">
        <v>270</v>
      </c>
      <c r="B1630" s="947">
        <v>447466</v>
      </c>
      <c r="C1630" s="947" t="s">
        <v>2189</v>
      </c>
      <c r="D1630" s="947" t="s">
        <v>1783</v>
      </c>
      <c r="E1630" s="951">
        <v>156</v>
      </c>
      <c r="F1630" s="951">
        <v>138</v>
      </c>
      <c r="G1630" s="947" t="s">
        <v>159</v>
      </c>
      <c r="H1630" s="951">
        <v>0</v>
      </c>
      <c r="I1630" s="951">
        <v>0</v>
      </c>
      <c r="J1630" s="947" t="s">
        <v>270</v>
      </c>
      <c r="K1630" s="947">
        <v>447466</v>
      </c>
      <c r="M1630" s="631"/>
      <c r="P1630" s="950" t="str">
        <f>VLOOKUP(J1630,'רשימת רשויות'!A:A,1,0)</f>
        <v>ירושלים</v>
      </c>
      <c r="Q1630" s="956">
        <f>IFERROR(VLOOKUP(B1630,[2]מעובד!$D:$K,8,0),0)</f>
        <v>148</v>
      </c>
      <c r="R1630" s="956">
        <f>IFERROR(VLOOKUP(B1630,[2]מעובד!$D:$L,9,0),0)</f>
        <v>76</v>
      </c>
    </row>
    <row r="1631" spans="1:18" x14ac:dyDescent="0.2">
      <c r="A1631" s="947" t="s">
        <v>217</v>
      </c>
      <c r="B1631" s="947">
        <v>448357</v>
      </c>
      <c r="C1631" s="947" t="s">
        <v>2189</v>
      </c>
      <c r="D1631" s="947" t="s">
        <v>1662</v>
      </c>
      <c r="E1631" s="951">
        <v>58</v>
      </c>
      <c r="F1631" s="951">
        <v>55</v>
      </c>
      <c r="G1631" s="947" t="s">
        <v>159</v>
      </c>
      <c r="H1631" s="951">
        <v>0</v>
      </c>
      <c r="I1631" s="951">
        <v>0</v>
      </c>
      <c r="J1631" s="947" t="s">
        <v>217</v>
      </c>
      <c r="K1631" s="947">
        <v>448357</v>
      </c>
      <c r="M1631" s="631"/>
      <c r="P1631" s="950" t="str">
        <f>VLOOKUP(J1631,'רשימת רשויות'!A:A,1,0)</f>
        <v>גולן</v>
      </c>
      <c r="Q1631" s="956">
        <f>IFERROR(VLOOKUP(B1631,[2]מעובד!$D:$K,8,0),0)</f>
        <v>71</v>
      </c>
      <c r="R1631" s="956">
        <f>IFERROR(VLOOKUP(B1631,[2]מעובד!$D:$L,9,0),0)</f>
        <v>48</v>
      </c>
    </row>
    <row r="1632" spans="1:18" x14ac:dyDescent="0.2">
      <c r="A1632" s="947" t="s">
        <v>311</v>
      </c>
      <c r="B1632" s="947">
        <v>450056</v>
      </c>
      <c r="C1632" s="947" t="s">
        <v>2189</v>
      </c>
      <c r="D1632" s="947" t="s">
        <v>1129</v>
      </c>
      <c r="E1632" s="951">
        <v>218</v>
      </c>
      <c r="F1632" s="951">
        <v>161</v>
      </c>
      <c r="G1632" s="947" t="s">
        <v>159</v>
      </c>
      <c r="H1632" s="951">
        <v>0</v>
      </c>
      <c r="I1632" s="951">
        <v>0</v>
      </c>
      <c r="J1632" s="947" t="s">
        <v>311</v>
      </c>
      <c r="K1632" s="947">
        <v>450056</v>
      </c>
      <c r="M1632" s="631"/>
      <c r="P1632" s="950" t="str">
        <f>VLOOKUP(J1632,'רשימת רשויות'!A:A,1,0)</f>
        <v>מטה יהודה</v>
      </c>
      <c r="Q1632" s="956">
        <f>IFERROR(VLOOKUP(B1632,[2]מעובד!$D:$K,8,0),0)</f>
        <v>257</v>
      </c>
      <c r="R1632" s="956">
        <f>IFERROR(VLOOKUP(B1632,[2]מעובד!$D:$L,9,0),0)</f>
        <v>103</v>
      </c>
    </row>
    <row r="1633" spans="1:18" x14ac:dyDescent="0.2">
      <c r="A1633" s="947" t="s">
        <v>365</v>
      </c>
      <c r="B1633" s="947">
        <v>454314</v>
      </c>
      <c r="C1633" s="947" t="s">
        <v>2189</v>
      </c>
      <c r="D1633" s="947" t="s">
        <v>1663</v>
      </c>
      <c r="E1633" s="951">
        <v>83</v>
      </c>
      <c r="F1633" s="951">
        <v>83</v>
      </c>
      <c r="G1633" s="947" t="s">
        <v>3252</v>
      </c>
      <c r="H1633" s="951">
        <v>0</v>
      </c>
      <c r="I1633" s="951">
        <v>0</v>
      </c>
      <c r="J1633" s="947" t="s">
        <v>365</v>
      </c>
      <c r="K1633" s="947">
        <v>454314</v>
      </c>
      <c r="M1633" s="631"/>
      <c r="P1633" s="950" t="str">
        <f>VLOOKUP(J1633,'רשימת רשויות'!A:A,1,0)</f>
        <v>צפת</v>
      </c>
      <c r="Q1633" s="956">
        <f>IFERROR(VLOOKUP(B1633,[2]מעובד!$D:$K,8,0),0)</f>
        <v>0</v>
      </c>
      <c r="R1633" s="956">
        <f>IFERROR(VLOOKUP(B1633,[2]מעובד!$D:$L,9,0),0)</f>
        <v>0</v>
      </c>
    </row>
    <row r="1634" spans="1:18" x14ac:dyDescent="0.2">
      <c r="A1634" s="947" t="s">
        <v>196</v>
      </c>
      <c r="B1634" s="947">
        <v>455154</v>
      </c>
      <c r="C1634" s="947" t="s">
        <v>2189</v>
      </c>
      <c r="D1634" s="947" t="s">
        <v>2761</v>
      </c>
      <c r="E1634" s="951">
        <v>193</v>
      </c>
      <c r="F1634" s="951">
        <v>193</v>
      </c>
      <c r="G1634" s="947" t="s">
        <v>3252</v>
      </c>
      <c r="H1634" s="951">
        <v>0</v>
      </c>
      <c r="I1634" s="951">
        <v>0</v>
      </c>
      <c r="J1634" s="947" t="s">
        <v>196</v>
      </c>
      <c r="K1634" s="947">
        <v>455154</v>
      </c>
      <c r="M1634" s="631"/>
      <c r="P1634" s="950" t="str">
        <f>VLOOKUP(J1634,'רשימת רשויות'!A:A,1,0)</f>
        <v>בית שמש</v>
      </c>
      <c r="Q1634" s="956">
        <f>IFERROR(VLOOKUP(B1634,[2]מעובד!$D:$K,8,0),0)</f>
        <v>0</v>
      </c>
      <c r="R1634" s="956">
        <f>IFERROR(VLOOKUP(B1634,[2]מעובד!$D:$L,9,0),0)</f>
        <v>0</v>
      </c>
    </row>
    <row r="1635" spans="1:18" x14ac:dyDescent="0.2">
      <c r="A1635" s="947" t="s">
        <v>244</v>
      </c>
      <c r="B1635" s="947">
        <v>455170</v>
      </c>
      <c r="C1635" s="947" t="s">
        <v>2189</v>
      </c>
      <c r="D1635" s="947" t="s">
        <v>3059</v>
      </c>
      <c r="E1635" s="951">
        <v>62</v>
      </c>
      <c r="F1635" s="951">
        <v>0</v>
      </c>
      <c r="G1635" s="947" t="s">
        <v>3252</v>
      </c>
      <c r="H1635" s="951">
        <v>0</v>
      </c>
      <c r="I1635" s="951">
        <v>0</v>
      </c>
      <c r="J1635" s="947" t="s">
        <v>244</v>
      </c>
      <c r="K1635" s="947">
        <v>455170</v>
      </c>
      <c r="M1635" s="631"/>
      <c r="P1635" s="950" t="str">
        <f>VLOOKUP(J1635,'רשימת רשויות'!A:A,1,0)</f>
        <v>חדרה</v>
      </c>
      <c r="Q1635" s="956">
        <f>IFERROR(VLOOKUP(B1635,[2]מעובד!$D:$K,8,0),0)</f>
        <v>0</v>
      </c>
      <c r="R1635" s="956">
        <f>IFERROR(VLOOKUP(B1635,[2]מעובד!$D:$L,9,0),0)</f>
        <v>0</v>
      </c>
    </row>
    <row r="1636" spans="1:18" x14ac:dyDescent="0.2">
      <c r="A1636" s="947" t="s">
        <v>175</v>
      </c>
      <c r="B1636" s="947">
        <v>456293</v>
      </c>
      <c r="C1636" s="947" t="s">
        <v>2189</v>
      </c>
      <c r="D1636" s="947" t="s">
        <v>1800</v>
      </c>
      <c r="E1636" s="951">
        <v>58</v>
      </c>
      <c r="F1636" s="951">
        <v>55</v>
      </c>
      <c r="G1636" s="947" t="s">
        <v>3252</v>
      </c>
      <c r="H1636" s="951">
        <v>0</v>
      </c>
      <c r="I1636" s="951">
        <v>0</v>
      </c>
      <c r="J1636" s="947" t="s">
        <v>175</v>
      </c>
      <c r="K1636" s="947">
        <v>456293</v>
      </c>
      <c r="M1636" s="631"/>
      <c r="P1636" s="950" t="str">
        <f>VLOOKUP(J1636,'רשימת רשויות'!A:A,1,0)</f>
        <v>אלעד</v>
      </c>
      <c r="Q1636" s="956">
        <f>IFERROR(VLOOKUP(B1636,[2]מעובד!$D:$K,8,0),0)</f>
        <v>56</v>
      </c>
      <c r="R1636" s="956">
        <f>IFERROR(VLOOKUP(B1636,[2]מעובד!$D:$L,9,0),0)</f>
        <v>38</v>
      </c>
    </row>
    <row r="1637" spans="1:18" x14ac:dyDescent="0.2">
      <c r="A1637" s="947" t="s">
        <v>284</v>
      </c>
      <c r="B1637" s="947">
        <v>456624</v>
      </c>
      <c r="C1637" s="947" t="s">
        <v>2189</v>
      </c>
      <c r="D1637" s="947" t="s">
        <v>449</v>
      </c>
      <c r="E1637" s="951">
        <v>154</v>
      </c>
      <c r="F1637" s="951">
        <v>121</v>
      </c>
      <c r="G1637" s="947" t="s">
        <v>159</v>
      </c>
      <c r="H1637" s="951">
        <v>0</v>
      </c>
      <c r="I1637" s="951">
        <v>0</v>
      </c>
      <c r="J1637" s="947" t="s">
        <v>284</v>
      </c>
      <c r="K1637" s="947">
        <v>456624</v>
      </c>
      <c r="M1637" s="631"/>
      <c r="P1637" s="950" t="str">
        <f>VLOOKUP(J1637,'רשימת רשויות'!A:A,1,0)</f>
        <v>כפר סבא</v>
      </c>
      <c r="Q1637" s="956">
        <f>IFERROR(VLOOKUP(B1637,[2]מעובד!$D:$K,8,0),0)</f>
        <v>0</v>
      </c>
      <c r="R1637" s="956">
        <f>IFERROR(VLOOKUP(B1637,[2]מעובד!$D:$L,9,0),0)</f>
        <v>0</v>
      </c>
    </row>
    <row r="1638" spans="1:18" x14ac:dyDescent="0.2">
      <c r="A1638" s="947" t="s">
        <v>390</v>
      </c>
      <c r="B1638" s="947">
        <v>456921</v>
      </c>
      <c r="C1638" s="947" t="s">
        <v>2189</v>
      </c>
      <c r="D1638" s="947" t="s">
        <v>642</v>
      </c>
      <c r="E1638" s="951">
        <v>199</v>
      </c>
      <c r="F1638" s="951">
        <v>116</v>
      </c>
      <c r="G1638" s="947" t="s">
        <v>159</v>
      </c>
      <c r="H1638" s="951">
        <v>91</v>
      </c>
      <c r="I1638" s="951">
        <v>10</v>
      </c>
      <c r="J1638" s="947" t="s">
        <v>390</v>
      </c>
      <c r="K1638" s="947">
        <v>456921</v>
      </c>
      <c r="M1638" s="631"/>
      <c r="P1638" s="950" t="str">
        <f>VLOOKUP(J1638,'רשימת רשויות'!A:A,1,0)</f>
        <v>רמלה</v>
      </c>
      <c r="Q1638" s="956">
        <f>IFERROR(VLOOKUP(B1638,[2]מעובד!$D:$K,8,0),0)</f>
        <v>192</v>
      </c>
      <c r="R1638" s="956">
        <f>IFERROR(VLOOKUP(B1638,[2]מעובד!$D:$L,9,0),0)</f>
        <v>171</v>
      </c>
    </row>
    <row r="1639" spans="1:18" x14ac:dyDescent="0.2">
      <c r="A1639" s="947" t="s">
        <v>402</v>
      </c>
      <c r="B1639" s="947">
        <v>457291</v>
      </c>
      <c r="C1639" s="947" t="s">
        <v>2189</v>
      </c>
      <c r="D1639" s="947" t="s">
        <v>1722</v>
      </c>
      <c r="E1639" s="951">
        <v>323</v>
      </c>
      <c r="F1639" s="951">
        <v>291</v>
      </c>
      <c r="G1639" s="947" t="s">
        <v>159</v>
      </c>
      <c r="H1639" s="951">
        <v>0</v>
      </c>
      <c r="I1639" s="951">
        <v>0</v>
      </c>
      <c r="J1639" s="947" t="s">
        <v>402</v>
      </c>
      <c r="K1639" s="947">
        <v>457291</v>
      </c>
      <c r="M1639" s="631"/>
      <c r="P1639" s="950" t="str">
        <f>VLOOKUP(J1639,'רשימת רשויות'!A:A,1,0)</f>
        <v>שומרון</v>
      </c>
      <c r="Q1639" s="956">
        <f>IFERROR(VLOOKUP(B1639,[2]מעובד!$D:$K,8,0),0)</f>
        <v>189</v>
      </c>
      <c r="R1639" s="956">
        <f>IFERROR(VLOOKUP(B1639,[2]מעובד!$D:$L,9,0),0)</f>
        <v>118</v>
      </c>
    </row>
    <row r="1640" spans="1:18" x14ac:dyDescent="0.2">
      <c r="A1640" s="947" t="s">
        <v>270</v>
      </c>
      <c r="B1640" s="947">
        <v>462267</v>
      </c>
      <c r="C1640" s="947" t="s">
        <v>2189</v>
      </c>
      <c r="D1640" s="947" t="s">
        <v>1513</v>
      </c>
      <c r="E1640" s="951">
        <v>138</v>
      </c>
      <c r="F1640" s="951">
        <v>127</v>
      </c>
      <c r="G1640" s="947" t="s">
        <v>3252</v>
      </c>
      <c r="H1640" s="951">
        <v>0</v>
      </c>
      <c r="I1640" s="951">
        <v>0</v>
      </c>
      <c r="J1640" s="947" t="s">
        <v>270</v>
      </c>
      <c r="K1640" s="947">
        <v>462267</v>
      </c>
      <c r="M1640" s="631"/>
      <c r="P1640" s="950" t="str">
        <f>VLOOKUP(J1640,'רשימת רשויות'!A:A,1,0)</f>
        <v>ירושלים</v>
      </c>
      <c r="Q1640" s="956">
        <f>IFERROR(VLOOKUP(B1640,[2]מעובד!$D:$K,8,0),0)</f>
        <v>0</v>
      </c>
      <c r="R1640" s="956">
        <f>IFERROR(VLOOKUP(B1640,[2]מעובד!$D:$L,9,0),0)</f>
        <v>0</v>
      </c>
    </row>
    <row r="1641" spans="1:18" x14ac:dyDescent="0.2">
      <c r="A1641" s="947" t="s">
        <v>251</v>
      </c>
      <c r="B1641" s="947">
        <v>464222</v>
      </c>
      <c r="C1641" s="947" t="s">
        <v>2189</v>
      </c>
      <c r="D1641" s="947" t="s">
        <v>2435</v>
      </c>
      <c r="E1641" s="951">
        <v>60</v>
      </c>
      <c r="F1641" s="951">
        <v>60</v>
      </c>
      <c r="G1641" s="947" t="s">
        <v>3252</v>
      </c>
      <c r="H1641" s="951">
        <v>0</v>
      </c>
      <c r="I1641" s="951">
        <v>0</v>
      </c>
      <c r="J1641" s="947" t="s">
        <v>251</v>
      </c>
      <c r="K1641" s="947">
        <v>464222</v>
      </c>
      <c r="M1641" s="631"/>
      <c r="P1641" s="950" t="str">
        <f>VLOOKUP(J1641,'רשימת רשויות'!A:A,1,0)</f>
        <v>חיפה</v>
      </c>
      <c r="Q1641" s="956">
        <f>IFERROR(VLOOKUP(B1641,[2]מעובד!$D:$K,8,0),0)</f>
        <v>0</v>
      </c>
      <c r="R1641" s="956">
        <f>IFERROR(VLOOKUP(B1641,[2]מעובד!$D:$L,9,0),0)</f>
        <v>0</v>
      </c>
    </row>
    <row r="1642" spans="1:18" x14ac:dyDescent="0.2">
      <c r="A1642" s="947" t="s">
        <v>162</v>
      </c>
      <c r="B1642" s="947">
        <v>474684</v>
      </c>
      <c r="C1642" s="947" t="s">
        <v>2189</v>
      </c>
      <c r="D1642" s="947" t="s">
        <v>2074</v>
      </c>
      <c r="E1642" s="951">
        <v>186</v>
      </c>
      <c r="F1642" s="951">
        <v>125</v>
      </c>
      <c r="G1642" s="947" t="s">
        <v>159</v>
      </c>
      <c r="H1642" s="951">
        <v>0</v>
      </c>
      <c r="I1642" s="951">
        <v>0</v>
      </c>
      <c r="J1642" s="947" t="s">
        <v>162</v>
      </c>
      <c r="K1642" s="947">
        <v>474684</v>
      </c>
      <c r="M1642" s="631"/>
      <c r="P1642" s="950" t="str">
        <f>VLOOKUP(J1642,'רשימת רשויות'!A:A,1,0)</f>
        <v>אבן יהודה</v>
      </c>
      <c r="Q1642" s="956">
        <f>IFERROR(VLOOKUP(B1642,[2]מעובד!$D:$K,8,0),0)</f>
        <v>202</v>
      </c>
      <c r="R1642" s="956">
        <f>IFERROR(VLOOKUP(B1642,[2]מעובד!$D:$L,9,0),0)</f>
        <v>98</v>
      </c>
    </row>
    <row r="1643" spans="1:18" x14ac:dyDescent="0.2">
      <c r="A1643" s="947" t="s">
        <v>196</v>
      </c>
      <c r="B1643" s="947">
        <v>474734</v>
      </c>
      <c r="C1643" s="947" t="s">
        <v>2189</v>
      </c>
      <c r="D1643" s="947" t="s">
        <v>2076</v>
      </c>
      <c r="E1643" s="951">
        <v>303</v>
      </c>
      <c r="F1643" s="951">
        <v>289</v>
      </c>
      <c r="G1643" s="947" t="s">
        <v>3252</v>
      </c>
      <c r="H1643" s="951">
        <v>115</v>
      </c>
      <c r="I1643" s="951">
        <v>12</v>
      </c>
      <c r="J1643" s="947" t="s">
        <v>196</v>
      </c>
      <c r="K1643" s="947">
        <v>474734</v>
      </c>
      <c r="M1643" s="631"/>
      <c r="P1643" s="950" t="str">
        <f>VLOOKUP(J1643,'רשימת רשויות'!A:A,1,0)</f>
        <v>בית שמש</v>
      </c>
      <c r="Q1643" s="956">
        <f>IFERROR(VLOOKUP(B1643,[2]מעובד!$D:$K,8,0),0)</f>
        <v>0</v>
      </c>
      <c r="R1643" s="956">
        <f>IFERROR(VLOOKUP(B1643,[2]מעובד!$D:$L,9,0),0)</f>
        <v>0</v>
      </c>
    </row>
    <row r="1644" spans="1:18" x14ac:dyDescent="0.2">
      <c r="A1644" s="947" t="s">
        <v>361</v>
      </c>
      <c r="B1644" s="947">
        <v>474833</v>
      </c>
      <c r="C1644" s="947" t="s">
        <v>2189</v>
      </c>
      <c r="D1644" s="947" t="s">
        <v>647</v>
      </c>
      <c r="E1644" s="951">
        <v>49</v>
      </c>
      <c r="F1644" s="951">
        <v>48</v>
      </c>
      <c r="G1644" s="947" t="s">
        <v>3252</v>
      </c>
      <c r="H1644" s="951">
        <v>0</v>
      </c>
      <c r="I1644" s="951">
        <v>0</v>
      </c>
      <c r="J1644" s="947" t="s">
        <v>361</v>
      </c>
      <c r="K1644" s="957" t="s">
        <v>3323</v>
      </c>
      <c r="M1644" s="631"/>
      <c r="P1644" s="950" t="str">
        <f>VLOOKUP(J1644,'רשימת רשויות'!A:A,1,0)</f>
        <v>פרדס חנה-כרכור</v>
      </c>
      <c r="Q1644" s="956">
        <f>IFERROR(VLOOKUP(B1644,[2]מעובד!$D:$K,8,0),0)</f>
        <v>0</v>
      </c>
      <c r="R1644" s="956">
        <f>IFERROR(VLOOKUP(B1644,[2]מעובד!$D:$L,9,0),0)</f>
        <v>0</v>
      </c>
    </row>
    <row r="1645" spans="1:18" x14ac:dyDescent="0.2">
      <c r="A1645" s="947" t="s">
        <v>231</v>
      </c>
      <c r="B1645" s="947">
        <v>475053</v>
      </c>
      <c r="C1645" s="947" t="s">
        <v>2189</v>
      </c>
      <c r="D1645" s="947" t="s">
        <v>1038</v>
      </c>
      <c r="E1645" s="951">
        <v>273</v>
      </c>
      <c r="F1645" s="951">
        <v>231</v>
      </c>
      <c r="G1645" s="947" t="s">
        <v>159</v>
      </c>
      <c r="H1645" s="951">
        <v>0</v>
      </c>
      <c r="I1645" s="951">
        <v>0</v>
      </c>
      <c r="J1645" s="947" t="s">
        <v>231</v>
      </c>
      <c r="K1645" s="947">
        <v>475053</v>
      </c>
      <c r="M1645" s="631"/>
      <c r="P1645" s="950" t="str">
        <f>VLOOKUP(J1645,'רשימת רשויות'!A:A,1,0)</f>
        <v>הוד השרון</v>
      </c>
      <c r="Q1645" s="956">
        <f>IFERROR(VLOOKUP(B1645,[2]מעובד!$D:$K,8,0),0)</f>
        <v>0</v>
      </c>
      <c r="R1645" s="956">
        <f>IFERROR(VLOOKUP(B1645,[2]מעובד!$D:$L,9,0),0)</f>
        <v>0</v>
      </c>
    </row>
    <row r="1646" spans="1:18" x14ac:dyDescent="0.2">
      <c r="A1646" s="947" t="s">
        <v>220</v>
      </c>
      <c r="B1646" s="947">
        <v>475061</v>
      </c>
      <c r="C1646" s="947" t="s">
        <v>2189</v>
      </c>
      <c r="D1646" s="947" t="s">
        <v>2080</v>
      </c>
      <c r="E1646" s="951">
        <v>233</v>
      </c>
      <c r="F1646" s="951">
        <v>159</v>
      </c>
      <c r="G1646" s="947" t="s">
        <v>159</v>
      </c>
      <c r="H1646" s="951">
        <v>0</v>
      </c>
      <c r="I1646" s="951">
        <v>0</v>
      </c>
      <c r="J1646" s="947" t="s">
        <v>220</v>
      </c>
      <c r="K1646" s="947">
        <v>475061</v>
      </c>
      <c r="M1646" s="631"/>
      <c r="P1646" s="950" t="str">
        <f>VLOOKUP(J1646,'רשימת רשויות'!A:A,1,0)</f>
        <v>גזר</v>
      </c>
      <c r="Q1646" s="956">
        <f>IFERROR(VLOOKUP(B1646,[2]מעובד!$D:$K,8,0),0)</f>
        <v>301</v>
      </c>
      <c r="R1646" s="956">
        <f>IFERROR(VLOOKUP(B1646,[2]מעובד!$D:$L,9,0),0)</f>
        <v>74</v>
      </c>
    </row>
    <row r="1647" spans="1:18" x14ac:dyDescent="0.2">
      <c r="A1647" s="947" t="s">
        <v>293</v>
      </c>
      <c r="B1647" s="947">
        <v>475723</v>
      </c>
      <c r="C1647" s="947" t="s">
        <v>2189</v>
      </c>
      <c r="D1647" s="947" t="s">
        <v>2073</v>
      </c>
      <c r="E1647" s="951">
        <v>164</v>
      </c>
      <c r="F1647" s="951">
        <v>164</v>
      </c>
      <c r="G1647" s="947" t="s">
        <v>3252</v>
      </c>
      <c r="H1647" s="951">
        <v>0</v>
      </c>
      <c r="I1647" s="951">
        <v>0</v>
      </c>
      <c r="J1647" s="947" t="s">
        <v>293</v>
      </c>
      <c r="K1647" s="947">
        <v>475723</v>
      </c>
      <c r="M1647" s="631"/>
      <c r="P1647" s="950" t="str">
        <f>VLOOKUP(J1647,'רשימת רשויות'!A:A,1,0)</f>
        <v>לוד</v>
      </c>
      <c r="Q1647" s="956">
        <f>IFERROR(VLOOKUP(B1647,[2]מעובד!$D:$K,8,0),0)</f>
        <v>0</v>
      </c>
      <c r="R1647" s="956">
        <f>IFERROR(VLOOKUP(B1647,[2]מעובד!$D:$L,9,0),0)</f>
        <v>0</v>
      </c>
    </row>
    <row r="1648" spans="1:18" x14ac:dyDescent="0.2">
      <c r="A1648" s="947" t="s">
        <v>235</v>
      </c>
      <c r="B1648" s="947">
        <v>475863</v>
      </c>
      <c r="C1648" s="947" t="s">
        <v>2189</v>
      </c>
      <c r="D1648" s="947" t="s">
        <v>3060</v>
      </c>
      <c r="E1648" s="951">
        <v>2</v>
      </c>
      <c r="F1648" s="951">
        <v>0</v>
      </c>
      <c r="G1648" s="947" t="s">
        <v>3252</v>
      </c>
      <c r="H1648" s="951">
        <v>0</v>
      </c>
      <c r="I1648" s="951">
        <v>0</v>
      </c>
      <c r="J1648" s="947" t="s">
        <v>235</v>
      </c>
      <c r="K1648" s="947">
        <v>475863</v>
      </c>
      <c r="M1648" s="631"/>
      <c r="P1648" s="950" t="str">
        <f>VLOOKUP(J1648,'רשימת רשויות'!A:A,1,0)</f>
        <v>הרצליה</v>
      </c>
      <c r="Q1648" s="956">
        <f>IFERROR(VLOOKUP(B1648,[2]מעובד!$D:$K,8,0),0)</f>
        <v>0</v>
      </c>
      <c r="R1648" s="956">
        <f>IFERROR(VLOOKUP(B1648,[2]מעובד!$D:$L,9,0),0)</f>
        <v>0</v>
      </c>
    </row>
    <row r="1649" spans="1:18" x14ac:dyDescent="0.2">
      <c r="A1649" s="947" t="s">
        <v>220</v>
      </c>
      <c r="B1649" s="947">
        <v>476267</v>
      </c>
      <c r="C1649" s="947" t="s">
        <v>2189</v>
      </c>
      <c r="D1649" s="947" t="s">
        <v>2099</v>
      </c>
      <c r="E1649" s="951">
        <v>80</v>
      </c>
      <c r="F1649" s="951">
        <v>52</v>
      </c>
      <c r="G1649" s="947" t="s">
        <v>159</v>
      </c>
      <c r="H1649" s="951">
        <v>0</v>
      </c>
      <c r="I1649" s="951">
        <v>0</v>
      </c>
      <c r="J1649" s="947" t="s">
        <v>220</v>
      </c>
      <c r="K1649" s="947">
        <v>476267</v>
      </c>
      <c r="M1649" s="631"/>
      <c r="P1649" s="950" t="str">
        <f>VLOOKUP(J1649,'רשימת רשויות'!A:A,1,0)</f>
        <v>גזר</v>
      </c>
      <c r="Q1649" s="956">
        <f>IFERROR(VLOOKUP(B1649,[2]מעובד!$D:$K,8,0),0)</f>
        <v>0</v>
      </c>
      <c r="R1649" s="956">
        <f>IFERROR(VLOOKUP(B1649,[2]מעובד!$D:$L,9,0),0)</f>
        <v>0</v>
      </c>
    </row>
    <row r="1650" spans="1:18" x14ac:dyDescent="0.2">
      <c r="A1650" s="947" t="s">
        <v>196</v>
      </c>
      <c r="B1650" s="947">
        <v>476465</v>
      </c>
      <c r="C1650" s="947" t="s">
        <v>2189</v>
      </c>
      <c r="D1650" s="947" t="s">
        <v>2109</v>
      </c>
      <c r="E1650" s="951">
        <v>92</v>
      </c>
      <c r="F1650" s="951">
        <v>87</v>
      </c>
      <c r="G1650" s="947" t="s">
        <v>3252</v>
      </c>
      <c r="H1650" s="951">
        <v>0</v>
      </c>
      <c r="I1650" s="951">
        <v>0</v>
      </c>
      <c r="J1650" s="947" t="s">
        <v>196</v>
      </c>
      <c r="K1650" s="947">
        <v>476465</v>
      </c>
      <c r="M1650" s="631"/>
      <c r="P1650" s="950" t="str">
        <f>VLOOKUP(J1650,'רשימת רשויות'!A:A,1,0)</f>
        <v>בית שמש</v>
      </c>
      <c r="Q1650" s="956">
        <f>IFERROR(VLOOKUP(B1650,[2]מעובד!$D:$K,8,0),0)</f>
        <v>0</v>
      </c>
      <c r="R1650" s="956">
        <f>IFERROR(VLOOKUP(B1650,[2]מעובד!$D:$L,9,0),0)</f>
        <v>0</v>
      </c>
    </row>
    <row r="1651" spans="1:18" x14ac:dyDescent="0.2">
      <c r="A1651" s="947" t="s">
        <v>369</v>
      </c>
      <c r="B1651" s="947">
        <v>476929</v>
      </c>
      <c r="C1651" s="947" t="s">
        <v>2189</v>
      </c>
      <c r="D1651" s="947" t="s">
        <v>467</v>
      </c>
      <c r="E1651" s="951">
        <v>75</v>
      </c>
      <c r="F1651" s="951">
        <v>60</v>
      </c>
      <c r="G1651" s="947" t="s">
        <v>159</v>
      </c>
      <c r="H1651" s="951">
        <v>0</v>
      </c>
      <c r="I1651" s="951">
        <v>0</v>
      </c>
      <c r="J1651" s="947" t="s">
        <v>369</v>
      </c>
      <c r="K1651" s="947">
        <v>476929</v>
      </c>
      <c r="M1651" s="631"/>
      <c r="P1651" s="950" t="str">
        <f>VLOOKUP(J1651,'רשימת רשויות'!A:A,1,0)</f>
        <v>קרית אונו</v>
      </c>
      <c r="Q1651" s="956">
        <f>IFERROR(VLOOKUP(B1651,[2]מעובד!$D:$K,8,0),0)</f>
        <v>81</v>
      </c>
      <c r="R1651" s="956">
        <f>IFERROR(VLOOKUP(B1651,[2]מעובד!$D:$L,9,0),0)</f>
        <v>35</v>
      </c>
    </row>
    <row r="1652" spans="1:18" x14ac:dyDescent="0.2">
      <c r="A1652" s="947" t="s">
        <v>270</v>
      </c>
      <c r="B1652" s="947">
        <v>477257</v>
      </c>
      <c r="C1652" s="947" t="s">
        <v>2189</v>
      </c>
      <c r="D1652" s="947" t="s">
        <v>3061</v>
      </c>
      <c r="E1652" s="951">
        <v>137</v>
      </c>
      <c r="F1652" s="951">
        <v>0</v>
      </c>
      <c r="G1652" s="947" t="s">
        <v>3252</v>
      </c>
      <c r="H1652" s="951">
        <v>0</v>
      </c>
      <c r="I1652" s="951">
        <v>0</v>
      </c>
      <c r="J1652" s="947" t="s">
        <v>270</v>
      </c>
      <c r="K1652" s="947">
        <v>477257</v>
      </c>
      <c r="M1652" s="631"/>
      <c r="P1652" s="950" t="str">
        <f>VLOOKUP(J1652,'רשימת רשויות'!A:A,1,0)</f>
        <v>ירושלים</v>
      </c>
      <c r="Q1652" s="956">
        <f>IFERROR(VLOOKUP(B1652,[2]מעובד!$D:$K,8,0),0)</f>
        <v>0</v>
      </c>
      <c r="R1652" s="956">
        <f>IFERROR(VLOOKUP(B1652,[2]מעובד!$D:$L,9,0),0)</f>
        <v>0</v>
      </c>
    </row>
    <row r="1653" spans="1:18" x14ac:dyDescent="0.2">
      <c r="A1653" s="947" t="s">
        <v>270</v>
      </c>
      <c r="B1653" s="947">
        <v>477679</v>
      </c>
      <c r="C1653" s="947" t="s">
        <v>2189</v>
      </c>
      <c r="D1653" s="947" t="s">
        <v>2075</v>
      </c>
      <c r="E1653" s="951">
        <v>123</v>
      </c>
      <c r="F1653" s="951">
        <v>123</v>
      </c>
      <c r="G1653" s="947" t="s">
        <v>3252</v>
      </c>
      <c r="H1653" s="951">
        <v>0</v>
      </c>
      <c r="I1653" s="951">
        <v>0</v>
      </c>
      <c r="J1653" s="947" t="s">
        <v>270</v>
      </c>
      <c r="K1653" s="947">
        <v>477679</v>
      </c>
      <c r="M1653" s="631"/>
      <c r="P1653" s="950" t="str">
        <f>VLOOKUP(J1653,'רשימת רשויות'!A:A,1,0)</f>
        <v>ירושלים</v>
      </c>
      <c r="Q1653" s="956">
        <f>IFERROR(VLOOKUP(B1653,[2]מעובד!$D:$K,8,0),0)</f>
        <v>0</v>
      </c>
      <c r="R1653" s="956">
        <f>IFERROR(VLOOKUP(B1653,[2]מעובד!$D:$L,9,0),0)</f>
        <v>0</v>
      </c>
    </row>
    <row r="1654" spans="1:18" x14ac:dyDescent="0.2">
      <c r="A1654" s="947" t="s">
        <v>392</v>
      </c>
      <c r="B1654" s="947">
        <v>479113</v>
      </c>
      <c r="C1654" s="947" t="s">
        <v>2189</v>
      </c>
      <c r="D1654" s="947" t="s">
        <v>3062</v>
      </c>
      <c r="E1654" s="951">
        <v>92</v>
      </c>
      <c r="F1654" s="951">
        <v>0</v>
      </c>
      <c r="G1654" s="947" t="s">
        <v>3252</v>
      </c>
      <c r="H1654" s="951">
        <v>0</v>
      </c>
      <c r="I1654" s="951">
        <v>0</v>
      </c>
      <c r="J1654" s="947" t="s">
        <v>392</v>
      </c>
      <c r="K1654" s="947">
        <v>479113</v>
      </c>
      <c r="M1654" s="631"/>
      <c r="P1654" s="950" t="str">
        <f>VLOOKUP(J1654,'רשימת רשויות'!A:A,1,0)</f>
        <v>רמת השרון</v>
      </c>
      <c r="Q1654" s="956">
        <f>IFERROR(VLOOKUP(B1654,[2]מעובד!$D:$K,8,0),0)</f>
        <v>0</v>
      </c>
      <c r="R1654" s="956">
        <f>IFERROR(VLOOKUP(B1654,[2]מעובד!$D:$L,9,0),0)</f>
        <v>0</v>
      </c>
    </row>
    <row r="1655" spans="1:18" x14ac:dyDescent="0.2">
      <c r="A1655" s="947" t="s">
        <v>402</v>
      </c>
      <c r="B1655" s="947">
        <v>480053</v>
      </c>
      <c r="C1655" s="947" t="s">
        <v>2189</v>
      </c>
      <c r="D1655" s="947" t="s">
        <v>1210</v>
      </c>
      <c r="E1655" s="951">
        <v>508</v>
      </c>
      <c r="F1655" s="951">
        <v>463</v>
      </c>
      <c r="G1655" s="947" t="s">
        <v>159</v>
      </c>
      <c r="H1655" s="951">
        <v>333</v>
      </c>
      <c r="I1655" s="951">
        <v>22</v>
      </c>
      <c r="J1655" s="947" t="s">
        <v>402</v>
      </c>
      <c r="K1655" s="947">
        <v>480053</v>
      </c>
      <c r="M1655" s="631"/>
      <c r="P1655" s="950" t="str">
        <f>VLOOKUP(J1655,'רשימת רשויות'!A:A,1,0)</f>
        <v>שומרון</v>
      </c>
      <c r="Q1655" s="956">
        <f>IFERROR(VLOOKUP(B1655,[2]מעובד!$D:$K,8,0),0)</f>
        <v>143</v>
      </c>
      <c r="R1655" s="956">
        <f>IFERROR(VLOOKUP(B1655,[2]מעובד!$D:$L,9,0),0)</f>
        <v>67</v>
      </c>
    </row>
    <row r="1656" spans="1:18" x14ac:dyDescent="0.2">
      <c r="A1656" s="947" t="s">
        <v>383</v>
      </c>
      <c r="B1656" s="947">
        <v>480111</v>
      </c>
      <c r="C1656" s="947" t="s">
        <v>2189</v>
      </c>
      <c r="D1656" s="947" t="s">
        <v>2044</v>
      </c>
      <c r="E1656" s="951">
        <v>277</v>
      </c>
      <c r="F1656" s="951">
        <v>255</v>
      </c>
      <c r="G1656" s="947" t="s">
        <v>159</v>
      </c>
      <c r="H1656" s="951">
        <v>201</v>
      </c>
      <c r="I1656" s="951">
        <v>21</v>
      </c>
      <c r="J1656" s="947" t="s">
        <v>383</v>
      </c>
      <c r="K1656" s="947">
        <v>480111</v>
      </c>
      <c r="M1656" s="631"/>
      <c r="P1656" s="950" t="str">
        <f>VLOOKUP(J1656,'רשימת רשויות'!A:A,1,0)</f>
        <v>ראש העין</v>
      </c>
      <c r="Q1656" s="956">
        <f>IFERROR(VLOOKUP(B1656,[2]מעובד!$D:$K,8,0),0)</f>
        <v>314</v>
      </c>
      <c r="R1656" s="956">
        <f>IFERROR(VLOOKUP(B1656,[2]מעובד!$D:$L,9,0),0)</f>
        <v>314</v>
      </c>
    </row>
    <row r="1657" spans="1:18" x14ac:dyDescent="0.2">
      <c r="A1657" s="947" t="s">
        <v>383</v>
      </c>
      <c r="B1657" s="947">
        <v>480137</v>
      </c>
      <c r="C1657" s="947" t="s">
        <v>2189</v>
      </c>
      <c r="D1657" s="947" t="s">
        <v>2045</v>
      </c>
      <c r="E1657" s="951">
        <v>356</v>
      </c>
      <c r="F1657" s="951">
        <v>337</v>
      </c>
      <c r="G1657" s="947" t="s">
        <v>159</v>
      </c>
      <c r="H1657" s="951">
        <v>117</v>
      </c>
      <c r="I1657" s="951">
        <v>9</v>
      </c>
      <c r="J1657" s="947" t="s">
        <v>383</v>
      </c>
      <c r="K1657" s="947">
        <v>480137</v>
      </c>
      <c r="M1657" s="631"/>
      <c r="P1657" s="950" t="str">
        <f>VLOOKUP(J1657,'רשימת רשויות'!A:A,1,0)</f>
        <v>ראש העין</v>
      </c>
      <c r="Q1657" s="956">
        <f>IFERROR(VLOOKUP(B1657,[2]מעובד!$D:$K,8,0),0)</f>
        <v>389</v>
      </c>
      <c r="R1657" s="956">
        <f>IFERROR(VLOOKUP(B1657,[2]מעובד!$D:$L,9,0),0)</f>
        <v>90</v>
      </c>
    </row>
    <row r="1658" spans="1:18" x14ac:dyDescent="0.2">
      <c r="A1658" s="947" t="s">
        <v>2777</v>
      </c>
      <c r="B1658" s="947">
        <v>480152</v>
      </c>
      <c r="C1658" s="947" t="s">
        <v>2189</v>
      </c>
      <c r="D1658" s="947" t="s">
        <v>2046</v>
      </c>
      <c r="E1658" s="951">
        <v>348</v>
      </c>
      <c r="F1658" s="951">
        <v>317</v>
      </c>
      <c r="G1658" s="947" t="s">
        <v>159</v>
      </c>
      <c r="H1658" s="951">
        <v>0</v>
      </c>
      <c r="I1658" s="951">
        <v>0</v>
      </c>
      <c r="J1658" s="947" t="s">
        <v>2777</v>
      </c>
      <c r="K1658" s="947">
        <v>480152</v>
      </c>
      <c r="M1658" s="631"/>
      <c r="P1658" s="950" t="str">
        <f>VLOOKUP(J1658,'רשימת רשויות'!A:A,1,0)</f>
        <v>גני תקווה</v>
      </c>
      <c r="Q1658" s="956">
        <f>IFERROR(VLOOKUP(B1658,[2]מעובד!$D:$K,8,0),0)</f>
        <v>369</v>
      </c>
      <c r="R1658" s="956">
        <f>IFERROR(VLOOKUP(B1658,[2]מעובד!$D:$L,9,0),0)</f>
        <v>132</v>
      </c>
    </row>
    <row r="1659" spans="1:18" x14ac:dyDescent="0.2">
      <c r="A1659" s="947" t="s">
        <v>281</v>
      </c>
      <c r="B1659" s="947">
        <v>480160</v>
      </c>
      <c r="C1659" s="947" t="s">
        <v>2189</v>
      </c>
      <c r="D1659" s="947" t="s">
        <v>2047</v>
      </c>
      <c r="E1659" s="951">
        <v>281</v>
      </c>
      <c r="F1659" s="951">
        <v>212</v>
      </c>
      <c r="G1659" s="947" t="s">
        <v>159</v>
      </c>
      <c r="H1659" s="951">
        <v>281</v>
      </c>
      <c r="I1659" s="951">
        <v>18</v>
      </c>
      <c r="J1659" s="947" t="s">
        <v>281</v>
      </c>
      <c r="K1659" s="947">
        <v>480160</v>
      </c>
      <c r="M1659" s="631"/>
      <c r="P1659" s="950" t="str">
        <f>VLOOKUP(J1659,'רשימת רשויות'!A:A,1,0)</f>
        <v>כפר יונה</v>
      </c>
      <c r="Q1659" s="956">
        <f>IFERROR(VLOOKUP(B1659,[2]מעובד!$D:$K,8,0),0)</f>
        <v>0</v>
      </c>
      <c r="R1659" s="956">
        <f>IFERROR(VLOOKUP(B1659,[2]מעובד!$D:$L,9,0),0)</f>
        <v>0</v>
      </c>
    </row>
    <row r="1660" spans="1:18" x14ac:dyDescent="0.2">
      <c r="A1660" s="947" t="s">
        <v>220</v>
      </c>
      <c r="B1660" s="947">
        <v>480202</v>
      </c>
      <c r="C1660" s="947" t="s">
        <v>2189</v>
      </c>
      <c r="D1660" s="947" t="s">
        <v>969</v>
      </c>
      <c r="E1660" s="951">
        <v>236</v>
      </c>
      <c r="F1660" s="951">
        <v>32</v>
      </c>
      <c r="G1660" s="947" t="s">
        <v>159</v>
      </c>
      <c r="H1660" s="951">
        <v>0</v>
      </c>
      <c r="I1660" s="951">
        <v>0</v>
      </c>
      <c r="J1660" s="947" t="s">
        <v>220</v>
      </c>
      <c r="K1660" s="957" t="s">
        <v>3324</v>
      </c>
      <c r="M1660" s="631"/>
      <c r="P1660" s="950" t="str">
        <f>VLOOKUP(J1660,'רשימת רשויות'!A:A,1,0)</f>
        <v>גזר</v>
      </c>
      <c r="Q1660" s="956">
        <f>IFERROR(VLOOKUP(B1660,[2]מעובד!$D:$K,8,0),0)</f>
        <v>284</v>
      </c>
      <c r="R1660" s="956">
        <f>IFERROR(VLOOKUP(B1660,[2]מעובד!$D:$L,9,0),0)</f>
        <v>85</v>
      </c>
    </row>
    <row r="1661" spans="1:18" x14ac:dyDescent="0.2">
      <c r="A1661" s="947" t="s">
        <v>385</v>
      </c>
      <c r="B1661" s="947">
        <v>480210</v>
      </c>
      <c r="C1661" s="947" t="s">
        <v>2189</v>
      </c>
      <c r="D1661" s="947" t="s">
        <v>2060</v>
      </c>
      <c r="E1661" s="951">
        <v>113</v>
      </c>
      <c r="F1661" s="951">
        <v>50</v>
      </c>
      <c r="G1661" s="947" t="s">
        <v>159</v>
      </c>
      <c r="H1661" s="951">
        <v>0</v>
      </c>
      <c r="I1661" s="951">
        <v>0</v>
      </c>
      <c r="J1661" s="947" t="s">
        <v>385</v>
      </c>
      <c r="K1661" s="947">
        <v>480210</v>
      </c>
      <c r="M1661" s="631"/>
      <c r="P1661" s="950" t="str">
        <f>VLOOKUP(J1661,'רשימת רשויות'!A:A,1,0)</f>
        <v>ראשון לציון</v>
      </c>
      <c r="Q1661" s="956">
        <f>IFERROR(VLOOKUP(B1661,[2]מעובד!$D:$K,8,0),0)</f>
        <v>184</v>
      </c>
      <c r="R1661" s="956">
        <f>IFERROR(VLOOKUP(B1661,[2]מעובד!$D:$L,9,0),0)</f>
        <v>53</v>
      </c>
    </row>
    <row r="1662" spans="1:18" x14ac:dyDescent="0.2">
      <c r="A1662" s="947" t="s">
        <v>385</v>
      </c>
      <c r="B1662" s="947">
        <v>480228</v>
      </c>
      <c r="C1662" s="947" t="s">
        <v>2189</v>
      </c>
      <c r="D1662" s="947" t="s">
        <v>2061</v>
      </c>
      <c r="E1662" s="951">
        <v>108</v>
      </c>
      <c r="F1662" s="951">
        <v>87</v>
      </c>
      <c r="G1662" s="947" t="s">
        <v>159</v>
      </c>
      <c r="H1662" s="951">
        <v>0</v>
      </c>
      <c r="I1662" s="951">
        <v>0</v>
      </c>
      <c r="J1662" s="947" t="s">
        <v>385</v>
      </c>
      <c r="K1662" s="947">
        <v>480228</v>
      </c>
      <c r="M1662" s="631"/>
      <c r="P1662" s="950" t="str">
        <f>VLOOKUP(J1662,'רשימת רשויות'!A:A,1,0)</f>
        <v>ראשון לציון</v>
      </c>
      <c r="Q1662" s="956">
        <f>IFERROR(VLOOKUP(B1662,[2]מעובד!$D:$K,8,0),0)</f>
        <v>150</v>
      </c>
      <c r="R1662" s="956">
        <f>IFERROR(VLOOKUP(B1662,[2]מעובד!$D:$L,9,0),0)</f>
        <v>49</v>
      </c>
    </row>
    <row r="1663" spans="1:18" x14ac:dyDescent="0.2">
      <c r="A1663" s="947" t="s">
        <v>332</v>
      </c>
      <c r="B1663" s="947">
        <v>480236</v>
      </c>
      <c r="C1663" s="947" t="s">
        <v>2189</v>
      </c>
      <c r="D1663" s="947" t="s">
        <v>2639</v>
      </c>
      <c r="E1663" s="951">
        <v>55</v>
      </c>
      <c r="F1663" s="951">
        <v>52</v>
      </c>
      <c r="G1663" s="947" t="s">
        <v>159</v>
      </c>
      <c r="H1663" s="951">
        <v>0</v>
      </c>
      <c r="I1663" s="951">
        <v>0</v>
      </c>
      <c r="J1663" s="947" t="s">
        <v>332</v>
      </c>
      <c r="K1663" s="947">
        <v>480236</v>
      </c>
      <c r="M1663" s="631"/>
      <c r="P1663" s="950" t="str">
        <f>VLOOKUP(J1663,'רשימת רשויות'!A:A,1,0)</f>
        <v>נס ציונה</v>
      </c>
      <c r="Q1663" s="956">
        <f>IFERROR(VLOOKUP(B1663,[2]מעובד!$D:$K,8,0),0)</f>
        <v>48</v>
      </c>
      <c r="R1663" s="956">
        <f>IFERROR(VLOOKUP(B1663,[2]מעובד!$D:$L,9,0),0)</f>
        <v>48</v>
      </c>
    </row>
    <row r="1664" spans="1:18" x14ac:dyDescent="0.2">
      <c r="A1664" s="947" t="s">
        <v>186</v>
      </c>
      <c r="B1664" s="947">
        <v>480244</v>
      </c>
      <c r="C1664" s="947" t="s">
        <v>2189</v>
      </c>
      <c r="D1664" s="947" t="s">
        <v>1241</v>
      </c>
      <c r="E1664" s="951">
        <v>124</v>
      </c>
      <c r="F1664" s="951">
        <v>98</v>
      </c>
      <c r="G1664" s="947" t="s">
        <v>159</v>
      </c>
      <c r="H1664" s="951">
        <v>0</v>
      </c>
      <c r="I1664" s="951">
        <v>0</v>
      </c>
      <c r="J1664" s="947" t="s">
        <v>186</v>
      </c>
      <c r="K1664" s="947">
        <v>480244</v>
      </c>
      <c r="M1664" s="631"/>
      <c r="P1664" s="950" t="str">
        <f>VLOOKUP(J1664,'רשימת רשויות'!A:A,1,0)</f>
        <v>באר יעקב</v>
      </c>
      <c r="Q1664" s="956">
        <f>IFERROR(VLOOKUP(B1664,[2]מעובד!$D:$K,8,0),0)</f>
        <v>20</v>
      </c>
      <c r="R1664" s="956">
        <f>IFERROR(VLOOKUP(B1664,[2]מעובד!$D:$L,9,0),0)</f>
        <v>20</v>
      </c>
    </row>
    <row r="1665" spans="1:18" x14ac:dyDescent="0.2">
      <c r="A1665" s="947" t="s">
        <v>385</v>
      </c>
      <c r="B1665" s="947">
        <v>481945</v>
      </c>
      <c r="C1665" s="947" t="s">
        <v>2189</v>
      </c>
      <c r="D1665" s="947" t="s">
        <v>3063</v>
      </c>
      <c r="E1665" s="951">
        <v>45</v>
      </c>
      <c r="F1665" s="951">
        <v>0</v>
      </c>
      <c r="G1665" s="947" t="s">
        <v>159</v>
      </c>
      <c r="H1665" s="951">
        <v>0</v>
      </c>
      <c r="I1665" s="951">
        <v>0</v>
      </c>
      <c r="J1665" s="947" t="s">
        <v>385</v>
      </c>
      <c r="K1665" s="947">
        <v>481945</v>
      </c>
      <c r="M1665" s="631"/>
      <c r="P1665" s="950" t="str">
        <f>VLOOKUP(J1665,'רשימת רשויות'!A:A,1,0)</f>
        <v>ראשון לציון</v>
      </c>
      <c r="Q1665" s="956">
        <f>IFERROR(VLOOKUP(B1665,[2]מעובד!$D:$K,8,0),0)</f>
        <v>0</v>
      </c>
      <c r="R1665" s="956">
        <f>IFERROR(VLOOKUP(B1665,[2]מעובד!$D:$L,9,0),0)</f>
        <v>0</v>
      </c>
    </row>
    <row r="1666" spans="1:18" x14ac:dyDescent="0.2">
      <c r="A1666" s="947" t="s">
        <v>175</v>
      </c>
      <c r="B1666" s="947">
        <v>481952</v>
      </c>
      <c r="C1666" s="947" t="s">
        <v>2189</v>
      </c>
      <c r="D1666" s="947" t="s">
        <v>2086</v>
      </c>
      <c r="E1666" s="951">
        <v>71</v>
      </c>
      <c r="F1666" s="951">
        <v>71</v>
      </c>
      <c r="G1666" s="947" t="s">
        <v>159</v>
      </c>
      <c r="H1666" s="951">
        <v>0</v>
      </c>
      <c r="I1666" s="951">
        <v>0</v>
      </c>
      <c r="J1666" s="947" t="s">
        <v>175</v>
      </c>
      <c r="K1666" s="947">
        <v>481952</v>
      </c>
      <c r="M1666" s="631"/>
      <c r="P1666" s="950" t="str">
        <f>VLOOKUP(J1666,'רשימת רשויות'!A:A,1,0)</f>
        <v>אלעד</v>
      </c>
      <c r="Q1666" s="956">
        <f>IFERROR(VLOOKUP(B1666,[2]מעובד!$D:$K,8,0),0)</f>
        <v>72</v>
      </c>
      <c r="R1666" s="956">
        <f>IFERROR(VLOOKUP(B1666,[2]מעובד!$D:$L,9,0),0)</f>
        <v>60</v>
      </c>
    </row>
    <row r="1667" spans="1:18" x14ac:dyDescent="0.2">
      <c r="A1667" s="947" t="s">
        <v>175</v>
      </c>
      <c r="B1667" s="947">
        <v>481978</v>
      </c>
      <c r="C1667" s="947" t="s">
        <v>2189</v>
      </c>
      <c r="D1667" s="947" t="s">
        <v>2087</v>
      </c>
      <c r="E1667" s="951">
        <v>74</v>
      </c>
      <c r="F1667" s="951">
        <v>74</v>
      </c>
      <c r="G1667" s="947" t="s">
        <v>159</v>
      </c>
      <c r="H1667" s="951">
        <v>0</v>
      </c>
      <c r="I1667" s="951">
        <v>0</v>
      </c>
      <c r="J1667" s="947" t="s">
        <v>175</v>
      </c>
      <c r="K1667" s="947">
        <v>481978</v>
      </c>
      <c r="M1667" s="631"/>
      <c r="P1667" s="950" t="str">
        <f>VLOOKUP(J1667,'רשימת רשויות'!A:A,1,0)</f>
        <v>אלעד</v>
      </c>
      <c r="Q1667" s="956">
        <f>IFERROR(VLOOKUP(B1667,[2]מעובד!$D:$K,8,0),0)</f>
        <v>71</v>
      </c>
      <c r="R1667" s="956">
        <f>IFERROR(VLOOKUP(B1667,[2]מעובד!$D:$L,9,0),0)</f>
        <v>45</v>
      </c>
    </row>
    <row r="1668" spans="1:18" x14ac:dyDescent="0.2">
      <c r="A1668" s="947" t="s">
        <v>242</v>
      </c>
      <c r="B1668" s="947">
        <v>482000</v>
      </c>
      <c r="C1668" s="947" t="s">
        <v>2189</v>
      </c>
      <c r="D1668" s="947" t="s">
        <v>433</v>
      </c>
      <c r="E1668" s="951">
        <v>81</v>
      </c>
      <c r="F1668" s="951">
        <v>0</v>
      </c>
      <c r="G1668" s="947" t="s">
        <v>159</v>
      </c>
      <c r="H1668" s="951">
        <v>0</v>
      </c>
      <c r="I1668" s="951">
        <v>0</v>
      </c>
      <c r="J1668" s="947" t="s">
        <v>242</v>
      </c>
      <c r="K1668" s="947">
        <v>482000</v>
      </c>
      <c r="M1668" s="631"/>
      <c r="P1668" s="950" t="str">
        <f>VLOOKUP(J1668,'רשימת רשויות'!A:A,1,0)</f>
        <v>חבל מודיעין</v>
      </c>
      <c r="Q1668" s="956">
        <f>IFERROR(VLOOKUP(B1668,[2]מעובד!$D:$K,8,0),0)</f>
        <v>0</v>
      </c>
      <c r="R1668" s="956">
        <f>IFERROR(VLOOKUP(B1668,[2]מעובד!$D:$L,9,0),0)</f>
        <v>0</v>
      </c>
    </row>
    <row r="1669" spans="1:18" x14ac:dyDescent="0.2">
      <c r="A1669" s="947" t="s">
        <v>186</v>
      </c>
      <c r="B1669" s="947">
        <v>482018</v>
      </c>
      <c r="C1669" s="947" t="s">
        <v>2189</v>
      </c>
      <c r="D1669" s="947" t="s">
        <v>453</v>
      </c>
      <c r="E1669" s="951">
        <v>73</v>
      </c>
      <c r="F1669" s="951">
        <v>41</v>
      </c>
      <c r="G1669" s="947" t="s">
        <v>159</v>
      </c>
      <c r="H1669" s="951">
        <v>0</v>
      </c>
      <c r="I1669" s="951">
        <v>0</v>
      </c>
      <c r="J1669" s="947" t="s">
        <v>186</v>
      </c>
      <c r="K1669" s="947">
        <v>482018</v>
      </c>
      <c r="M1669" s="631"/>
      <c r="P1669" s="950" t="str">
        <f>VLOOKUP(J1669,'רשימת רשויות'!A:A,1,0)</f>
        <v>באר יעקב</v>
      </c>
      <c r="Q1669" s="956">
        <f>IFERROR(VLOOKUP(B1669,[2]מעובד!$D:$K,8,0),0)</f>
        <v>104</v>
      </c>
      <c r="R1669" s="956">
        <f>IFERROR(VLOOKUP(B1669,[2]מעובד!$D:$L,9,0),0)</f>
        <v>41</v>
      </c>
    </row>
    <row r="1670" spans="1:18" x14ac:dyDescent="0.2">
      <c r="A1670" s="947" t="s">
        <v>284</v>
      </c>
      <c r="B1670" s="947">
        <v>482067</v>
      </c>
      <c r="C1670" s="947" t="s">
        <v>2189</v>
      </c>
      <c r="D1670" s="947" t="s">
        <v>443</v>
      </c>
      <c r="E1670" s="951">
        <v>183</v>
      </c>
      <c r="F1670" s="951">
        <v>142</v>
      </c>
      <c r="G1670" s="947" t="s">
        <v>159</v>
      </c>
      <c r="H1670" s="951">
        <v>0</v>
      </c>
      <c r="I1670" s="951">
        <v>0</v>
      </c>
      <c r="J1670" s="947" t="s">
        <v>284</v>
      </c>
      <c r="K1670" s="947">
        <v>482067</v>
      </c>
      <c r="M1670" s="631"/>
      <c r="P1670" s="950" t="str">
        <f>VLOOKUP(J1670,'רשימת רשויות'!A:A,1,0)</f>
        <v>כפר סבא</v>
      </c>
      <c r="Q1670" s="956">
        <f>IFERROR(VLOOKUP(B1670,[2]מעובד!$D:$K,8,0),0)</f>
        <v>302</v>
      </c>
      <c r="R1670" s="956">
        <f>IFERROR(VLOOKUP(B1670,[2]מעובד!$D:$L,9,0),0)</f>
        <v>70</v>
      </c>
    </row>
    <row r="1671" spans="1:18" x14ac:dyDescent="0.2">
      <c r="A1671" s="947" t="s">
        <v>284</v>
      </c>
      <c r="B1671" s="947">
        <v>482075</v>
      </c>
      <c r="C1671" s="947" t="s">
        <v>2189</v>
      </c>
      <c r="D1671" s="947" t="s">
        <v>2105</v>
      </c>
      <c r="E1671" s="951">
        <v>249</v>
      </c>
      <c r="F1671" s="951">
        <v>158</v>
      </c>
      <c r="G1671" s="947" t="s">
        <v>159</v>
      </c>
      <c r="H1671" s="951">
        <v>0</v>
      </c>
      <c r="I1671" s="951">
        <v>0</v>
      </c>
      <c r="J1671" s="947" t="s">
        <v>284</v>
      </c>
      <c r="K1671" s="947">
        <v>482075</v>
      </c>
      <c r="M1671" s="631"/>
      <c r="P1671" s="950" t="str">
        <f>VLOOKUP(J1671,'רשימת רשויות'!A:A,1,0)</f>
        <v>כפר סבא</v>
      </c>
      <c r="Q1671" s="956">
        <f>IFERROR(VLOOKUP(B1671,[2]מעובד!$D:$K,8,0),0)</f>
        <v>279</v>
      </c>
      <c r="R1671" s="956">
        <f>IFERROR(VLOOKUP(B1671,[2]מעובד!$D:$L,9,0),0)</f>
        <v>71</v>
      </c>
    </row>
    <row r="1672" spans="1:18" x14ac:dyDescent="0.2">
      <c r="A1672" s="947" t="s">
        <v>402</v>
      </c>
      <c r="B1672" s="947">
        <v>482083</v>
      </c>
      <c r="C1672" s="947" t="s">
        <v>2189</v>
      </c>
      <c r="D1672" s="947" t="s">
        <v>2056</v>
      </c>
      <c r="E1672" s="951">
        <v>133</v>
      </c>
      <c r="F1672" s="951">
        <v>117</v>
      </c>
      <c r="G1672" s="947" t="s">
        <v>159</v>
      </c>
      <c r="H1672" s="951">
        <v>0</v>
      </c>
      <c r="I1672" s="951">
        <v>0</v>
      </c>
      <c r="J1672" s="947" t="s">
        <v>402</v>
      </c>
      <c r="K1672" s="947">
        <v>482083</v>
      </c>
      <c r="M1672" s="631"/>
      <c r="P1672" s="950" t="str">
        <f>VLOOKUP(J1672,'רשימת רשויות'!A:A,1,0)</f>
        <v>שומרון</v>
      </c>
      <c r="Q1672" s="956">
        <f>IFERROR(VLOOKUP(B1672,[2]מעובד!$D:$K,8,0),0)</f>
        <v>145</v>
      </c>
      <c r="R1672" s="956">
        <f>IFERROR(VLOOKUP(B1672,[2]מעובד!$D:$L,9,0),0)</f>
        <v>82</v>
      </c>
    </row>
    <row r="1673" spans="1:18" x14ac:dyDescent="0.2">
      <c r="A1673" s="947" t="s">
        <v>387</v>
      </c>
      <c r="B1673" s="947">
        <v>482091</v>
      </c>
      <c r="C1673" s="947" t="s">
        <v>2189</v>
      </c>
      <c r="D1673" s="947" t="s">
        <v>2106</v>
      </c>
      <c r="E1673" s="951">
        <v>98</v>
      </c>
      <c r="F1673" s="951">
        <v>73</v>
      </c>
      <c r="G1673" s="947" t="s">
        <v>159</v>
      </c>
      <c r="H1673" s="951">
        <v>78</v>
      </c>
      <c r="I1673" s="951">
        <v>22</v>
      </c>
      <c r="J1673" s="947" t="s">
        <v>387</v>
      </c>
      <c r="K1673" s="947">
        <v>482091</v>
      </c>
      <c r="M1673" s="631"/>
      <c r="P1673" s="950" t="str">
        <f>VLOOKUP(J1673,'רשימת רשויות'!A:A,1,0)</f>
        <v>רחובות</v>
      </c>
      <c r="Q1673" s="956">
        <f>IFERROR(VLOOKUP(B1673,[2]מעובד!$D:$K,8,0),0)</f>
        <v>0</v>
      </c>
      <c r="R1673" s="956">
        <f>IFERROR(VLOOKUP(B1673,[2]מעובד!$D:$L,9,0),0)</f>
        <v>0</v>
      </c>
    </row>
    <row r="1674" spans="1:18" x14ac:dyDescent="0.2">
      <c r="A1674" s="947" t="s">
        <v>332</v>
      </c>
      <c r="B1674" s="947">
        <v>482109</v>
      </c>
      <c r="C1674" s="947" t="s">
        <v>2189</v>
      </c>
      <c r="D1674" s="947" t="s">
        <v>1045</v>
      </c>
      <c r="E1674" s="951">
        <v>95</v>
      </c>
      <c r="F1674" s="951">
        <v>31</v>
      </c>
      <c r="G1674" s="947" t="s">
        <v>159</v>
      </c>
      <c r="H1674" s="951">
        <v>0</v>
      </c>
      <c r="I1674" s="951">
        <v>0</v>
      </c>
      <c r="J1674" s="947" t="s">
        <v>332</v>
      </c>
      <c r="K1674" s="957" t="s">
        <v>3325</v>
      </c>
      <c r="M1674" s="631"/>
      <c r="P1674" s="950" t="str">
        <f>VLOOKUP(J1674,'רשימת רשויות'!A:A,1,0)</f>
        <v>נס ציונה</v>
      </c>
      <c r="Q1674" s="956">
        <f>IFERROR(VLOOKUP(B1674,[2]מעובד!$D:$K,8,0),0)</f>
        <v>0</v>
      </c>
      <c r="R1674" s="956">
        <f>IFERROR(VLOOKUP(B1674,[2]מעובד!$D:$L,9,0),0)</f>
        <v>0</v>
      </c>
    </row>
    <row r="1675" spans="1:18" x14ac:dyDescent="0.2">
      <c r="A1675" s="947" t="s">
        <v>262</v>
      </c>
      <c r="B1675" s="947">
        <v>482117</v>
      </c>
      <c r="C1675" s="947" t="s">
        <v>2189</v>
      </c>
      <c r="D1675" s="947" t="s">
        <v>2110</v>
      </c>
      <c r="E1675" s="951">
        <v>212</v>
      </c>
      <c r="F1675" s="951">
        <v>144</v>
      </c>
      <c r="G1675" s="947" t="s">
        <v>159</v>
      </c>
      <c r="H1675" s="951">
        <v>0</v>
      </c>
      <c r="I1675" s="951">
        <v>0</v>
      </c>
      <c r="J1675" s="947" t="s">
        <v>262</v>
      </c>
      <c r="K1675" s="947">
        <v>482117</v>
      </c>
      <c r="M1675" s="631"/>
      <c r="P1675" s="950" t="str">
        <f>VLOOKUP(J1675,'רשימת רשויות'!A:A,1,0)</f>
        <v>יבנה</v>
      </c>
      <c r="Q1675" s="956">
        <f>IFERROR(VLOOKUP(B1675,[2]מעובד!$D:$K,8,0),0)</f>
        <v>259</v>
      </c>
      <c r="R1675" s="956">
        <f>IFERROR(VLOOKUP(B1675,[2]מעובד!$D:$L,9,0),0)</f>
        <v>68</v>
      </c>
    </row>
    <row r="1676" spans="1:18" x14ac:dyDescent="0.2">
      <c r="A1676" s="947" t="s">
        <v>2777</v>
      </c>
      <c r="B1676" s="947">
        <v>482133</v>
      </c>
      <c r="C1676" s="947" t="s">
        <v>2189</v>
      </c>
      <c r="D1676" s="947" t="s">
        <v>1216</v>
      </c>
      <c r="E1676" s="951">
        <v>359</v>
      </c>
      <c r="F1676" s="951">
        <v>328</v>
      </c>
      <c r="G1676" s="947" t="s">
        <v>159</v>
      </c>
      <c r="H1676" s="951">
        <v>0</v>
      </c>
      <c r="I1676" s="951">
        <v>0</v>
      </c>
      <c r="J1676" s="947" t="s">
        <v>2777</v>
      </c>
      <c r="K1676" s="947">
        <v>482133</v>
      </c>
      <c r="M1676" s="631"/>
      <c r="P1676" s="950" t="str">
        <f>VLOOKUP(J1676,'רשימת רשויות'!A:A,1,0)</f>
        <v>גני תקווה</v>
      </c>
      <c r="Q1676" s="956">
        <f>IFERROR(VLOOKUP(B1676,[2]מעובד!$D:$K,8,0),0)</f>
        <v>384</v>
      </c>
      <c r="R1676" s="956">
        <f>IFERROR(VLOOKUP(B1676,[2]מעובד!$D:$L,9,0),0)</f>
        <v>222</v>
      </c>
    </row>
    <row r="1677" spans="1:18" x14ac:dyDescent="0.2">
      <c r="A1677" s="947" t="s">
        <v>241</v>
      </c>
      <c r="B1677" s="947">
        <v>482158</v>
      </c>
      <c r="C1677" s="947" t="s">
        <v>2189</v>
      </c>
      <c r="D1677" s="947" t="s">
        <v>2111</v>
      </c>
      <c r="E1677" s="951">
        <v>131</v>
      </c>
      <c r="F1677" s="951">
        <v>114</v>
      </c>
      <c r="G1677" s="947" t="s">
        <v>159</v>
      </c>
      <c r="H1677" s="951">
        <v>0</v>
      </c>
      <c r="I1677" s="951">
        <v>0</v>
      </c>
      <c r="J1677" s="947" t="s">
        <v>241</v>
      </c>
      <c r="K1677" s="947">
        <v>482158</v>
      </c>
      <c r="M1677" s="631"/>
      <c r="P1677" s="950" t="str">
        <f>VLOOKUP(J1677,'רשימת רשויות'!A:A,1,0)</f>
        <v>חבל יבנה</v>
      </c>
      <c r="Q1677" s="956">
        <f>IFERROR(VLOOKUP(B1677,[2]מעובד!$D:$K,8,0),0)</f>
        <v>124</v>
      </c>
      <c r="R1677" s="956">
        <f>IFERROR(VLOOKUP(B1677,[2]מעובד!$D:$L,9,0),0)</f>
        <v>92</v>
      </c>
    </row>
    <row r="1678" spans="1:18" x14ac:dyDescent="0.2">
      <c r="A1678" s="947" t="s">
        <v>385</v>
      </c>
      <c r="B1678" s="947">
        <v>482174</v>
      </c>
      <c r="C1678" s="947" t="s">
        <v>2189</v>
      </c>
      <c r="D1678" s="947" t="s">
        <v>2112</v>
      </c>
      <c r="E1678" s="951">
        <v>225</v>
      </c>
      <c r="F1678" s="951">
        <v>194</v>
      </c>
      <c r="G1678" s="947" t="s">
        <v>159</v>
      </c>
      <c r="H1678" s="951">
        <v>97</v>
      </c>
      <c r="I1678" s="951">
        <v>5</v>
      </c>
      <c r="J1678" s="947" t="s">
        <v>385</v>
      </c>
      <c r="K1678" s="947">
        <v>482174</v>
      </c>
      <c r="M1678" s="631"/>
      <c r="P1678" s="950" t="str">
        <f>VLOOKUP(J1678,'רשימת רשויות'!A:A,1,0)</f>
        <v>ראשון לציון</v>
      </c>
      <c r="Q1678" s="956">
        <f>IFERROR(VLOOKUP(B1678,[2]מעובד!$D:$K,8,0),0)</f>
        <v>289</v>
      </c>
      <c r="R1678" s="956">
        <f>IFERROR(VLOOKUP(B1678,[2]מעובד!$D:$L,9,0),0)</f>
        <v>89</v>
      </c>
    </row>
    <row r="1679" spans="1:18" x14ac:dyDescent="0.2">
      <c r="A1679" s="947" t="s">
        <v>402</v>
      </c>
      <c r="B1679" s="947">
        <v>482182</v>
      </c>
      <c r="C1679" s="947" t="s">
        <v>2189</v>
      </c>
      <c r="D1679" s="947" t="s">
        <v>2113</v>
      </c>
      <c r="E1679" s="951">
        <v>117</v>
      </c>
      <c r="F1679" s="951">
        <v>93</v>
      </c>
      <c r="G1679" s="947" t="s">
        <v>159</v>
      </c>
      <c r="H1679" s="951">
        <v>0</v>
      </c>
      <c r="I1679" s="951">
        <v>0</v>
      </c>
      <c r="J1679" s="947" t="s">
        <v>402</v>
      </c>
      <c r="K1679" s="947">
        <v>482182</v>
      </c>
      <c r="M1679" s="631"/>
      <c r="P1679" s="950" t="str">
        <f>VLOOKUP(J1679,'רשימת רשויות'!A:A,1,0)</f>
        <v>שומרון</v>
      </c>
      <c r="Q1679" s="956">
        <f>IFERROR(VLOOKUP(B1679,[2]מעובד!$D:$K,8,0),0)</f>
        <v>155</v>
      </c>
      <c r="R1679" s="956">
        <f>IFERROR(VLOOKUP(B1679,[2]מעובד!$D:$L,9,0),0)</f>
        <v>78</v>
      </c>
    </row>
    <row r="1680" spans="1:18" x14ac:dyDescent="0.2">
      <c r="A1680" s="947" t="s">
        <v>402</v>
      </c>
      <c r="B1680" s="947">
        <v>482190</v>
      </c>
      <c r="C1680" s="947" t="s">
        <v>2189</v>
      </c>
      <c r="D1680" s="947" t="s">
        <v>2084</v>
      </c>
      <c r="E1680" s="951">
        <v>166</v>
      </c>
      <c r="F1680" s="951">
        <v>157</v>
      </c>
      <c r="G1680" s="947" t="s">
        <v>159</v>
      </c>
      <c r="H1680" s="951">
        <v>0</v>
      </c>
      <c r="I1680" s="951">
        <v>0</v>
      </c>
      <c r="J1680" s="947" t="s">
        <v>402</v>
      </c>
      <c r="K1680" s="947">
        <v>482190</v>
      </c>
      <c r="M1680" s="631"/>
      <c r="P1680" s="950" t="str">
        <f>VLOOKUP(J1680,'רשימת רשויות'!A:A,1,0)</f>
        <v>שומרון</v>
      </c>
      <c r="Q1680" s="956">
        <f>IFERROR(VLOOKUP(B1680,[2]מעובד!$D:$K,8,0),0)</f>
        <v>164</v>
      </c>
      <c r="R1680" s="956">
        <f>IFERROR(VLOOKUP(B1680,[2]מעובד!$D:$L,9,0),0)</f>
        <v>105</v>
      </c>
    </row>
    <row r="1681" spans="1:18" x14ac:dyDescent="0.2">
      <c r="A1681" s="947" t="s">
        <v>262</v>
      </c>
      <c r="B1681" s="947">
        <v>482216</v>
      </c>
      <c r="C1681" s="947" t="s">
        <v>2189</v>
      </c>
      <c r="D1681" s="947" t="s">
        <v>2018</v>
      </c>
      <c r="E1681" s="951">
        <v>307</v>
      </c>
      <c r="F1681" s="951">
        <v>200</v>
      </c>
      <c r="G1681" s="947" t="s">
        <v>159</v>
      </c>
      <c r="H1681" s="951">
        <v>208</v>
      </c>
      <c r="I1681" s="951">
        <v>20</v>
      </c>
      <c r="J1681" s="947" t="s">
        <v>262</v>
      </c>
      <c r="K1681" s="947">
        <v>482216</v>
      </c>
      <c r="M1681" s="631"/>
      <c r="P1681" s="950" t="str">
        <f>VLOOKUP(J1681,'רשימת רשויות'!A:A,1,0)</f>
        <v>יבנה</v>
      </c>
      <c r="Q1681" s="956">
        <f>IFERROR(VLOOKUP(B1681,[2]מעובד!$D:$K,8,0),0)</f>
        <v>0</v>
      </c>
      <c r="R1681" s="956">
        <f>IFERROR(VLOOKUP(B1681,[2]מעובד!$D:$L,9,0),0)</f>
        <v>0</v>
      </c>
    </row>
    <row r="1682" spans="1:18" x14ac:dyDescent="0.2">
      <c r="A1682" s="947" t="s">
        <v>383</v>
      </c>
      <c r="B1682" s="947">
        <v>482224</v>
      </c>
      <c r="C1682" s="947" t="s">
        <v>2189</v>
      </c>
      <c r="D1682" s="947" t="s">
        <v>2019</v>
      </c>
      <c r="E1682" s="951">
        <v>215</v>
      </c>
      <c r="F1682" s="951">
        <v>188</v>
      </c>
      <c r="G1682" s="947" t="s">
        <v>159</v>
      </c>
      <c r="H1682" s="951">
        <v>161</v>
      </c>
      <c r="I1682" s="951">
        <v>17</v>
      </c>
      <c r="J1682" s="947" t="s">
        <v>383</v>
      </c>
      <c r="K1682" s="947">
        <v>482224</v>
      </c>
      <c r="M1682" s="631"/>
      <c r="P1682" s="950" t="str">
        <f>VLOOKUP(J1682,'רשימת רשויות'!A:A,1,0)</f>
        <v>ראש העין</v>
      </c>
      <c r="Q1682" s="956">
        <f>IFERROR(VLOOKUP(B1682,[2]מעובד!$D:$K,8,0),0)</f>
        <v>331</v>
      </c>
      <c r="R1682" s="956">
        <f>IFERROR(VLOOKUP(B1682,[2]מעובד!$D:$L,9,0),0)</f>
        <v>124</v>
      </c>
    </row>
    <row r="1683" spans="1:18" x14ac:dyDescent="0.2">
      <c r="A1683" s="947" t="s">
        <v>221</v>
      </c>
      <c r="B1683" s="947">
        <v>482232</v>
      </c>
      <c r="C1683" s="947" t="s">
        <v>2189</v>
      </c>
      <c r="D1683" s="947" t="s">
        <v>2436</v>
      </c>
      <c r="E1683" s="951">
        <v>144</v>
      </c>
      <c r="F1683" s="951">
        <v>91</v>
      </c>
      <c r="G1683" s="947" t="s">
        <v>159</v>
      </c>
      <c r="H1683" s="951">
        <v>42</v>
      </c>
      <c r="I1683" s="951">
        <v>3</v>
      </c>
      <c r="J1683" s="947" t="s">
        <v>221</v>
      </c>
      <c r="K1683" s="947">
        <v>482232</v>
      </c>
      <c r="M1683" s="631"/>
      <c r="P1683" s="950" t="str">
        <f>VLOOKUP(J1683,'רשימת רשויות'!A:A,1,0)</f>
        <v>גן יבנה</v>
      </c>
      <c r="Q1683" s="956">
        <f>IFERROR(VLOOKUP(B1683,[2]מעובד!$D:$K,8,0),0)</f>
        <v>163</v>
      </c>
      <c r="R1683" s="956">
        <f>IFERROR(VLOOKUP(B1683,[2]מעובד!$D:$L,9,0),0)</f>
        <v>76</v>
      </c>
    </row>
    <row r="1684" spans="1:18" x14ac:dyDescent="0.2">
      <c r="A1684" s="947" t="s">
        <v>398</v>
      </c>
      <c r="B1684" s="947">
        <v>482240</v>
      </c>
      <c r="C1684" s="947" t="s">
        <v>2189</v>
      </c>
      <c r="D1684" s="947" t="s">
        <v>2020</v>
      </c>
      <c r="E1684" s="951">
        <v>274</v>
      </c>
      <c r="F1684" s="951">
        <v>258</v>
      </c>
      <c r="G1684" s="947" t="s">
        <v>159</v>
      </c>
      <c r="H1684" s="951">
        <v>0</v>
      </c>
      <c r="I1684" s="951">
        <v>0</v>
      </c>
      <c r="J1684" s="947" t="s">
        <v>398</v>
      </c>
      <c r="K1684" s="947">
        <v>482240</v>
      </c>
      <c r="M1684" s="631"/>
      <c r="P1684" s="950" t="str">
        <f>VLOOKUP(J1684,'רשימת רשויות'!A:A,1,0)</f>
        <v>שדות דן</v>
      </c>
      <c r="Q1684" s="956">
        <f>IFERROR(VLOOKUP(B1684,[2]מעובד!$D:$K,8,0),0)</f>
        <v>100</v>
      </c>
      <c r="R1684" s="956">
        <f>IFERROR(VLOOKUP(B1684,[2]מעובד!$D:$L,9,0),0)</f>
        <v>100</v>
      </c>
    </row>
    <row r="1685" spans="1:18" x14ac:dyDescent="0.2">
      <c r="A1685" s="947" t="s">
        <v>227</v>
      </c>
      <c r="B1685" s="947">
        <v>482273</v>
      </c>
      <c r="C1685" s="947" t="s">
        <v>2189</v>
      </c>
      <c r="D1685" s="947" t="s">
        <v>451</v>
      </c>
      <c r="E1685" s="951">
        <v>242</v>
      </c>
      <c r="F1685" s="951">
        <v>183</v>
      </c>
      <c r="G1685" s="947" t="s">
        <v>159</v>
      </c>
      <c r="H1685" s="951">
        <v>0</v>
      </c>
      <c r="I1685" s="951">
        <v>0</v>
      </c>
      <c r="J1685" s="947" t="s">
        <v>227</v>
      </c>
      <c r="K1685" s="947">
        <v>482273</v>
      </c>
      <c r="M1685" s="631"/>
      <c r="P1685" s="950" t="str">
        <f>VLOOKUP(J1685,'רשימת רשויות'!A:A,1,0)</f>
        <v>דרום השרון</v>
      </c>
      <c r="Q1685" s="956">
        <f>IFERROR(VLOOKUP(B1685,[2]מעובד!$D:$K,8,0),0)</f>
        <v>335</v>
      </c>
      <c r="R1685" s="956">
        <f>IFERROR(VLOOKUP(B1685,[2]מעובד!$D:$L,9,0),0)</f>
        <v>79</v>
      </c>
    </row>
    <row r="1686" spans="1:18" x14ac:dyDescent="0.2">
      <c r="A1686" s="947" t="s">
        <v>257</v>
      </c>
      <c r="B1686" s="947">
        <v>482281</v>
      </c>
      <c r="C1686" s="947" t="s">
        <v>2189</v>
      </c>
      <c r="D1686" s="947" t="s">
        <v>2022</v>
      </c>
      <c r="E1686" s="951">
        <v>257</v>
      </c>
      <c r="F1686" s="951">
        <v>109</v>
      </c>
      <c r="G1686" s="947" t="s">
        <v>159</v>
      </c>
      <c r="H1686" s="951">
        <v>0</v>
      </c>
      <c r="I1686" s="951">
        <v>0</v>
      </c>
      <c r="J1686" s="947" t="s">
        <v>257</v>
      </c>
      <c r="K1686" s="947">
        <v>482281</v>
      </c>
      <c r="M1686" s="631"/>
      <c r="P1686" s="950" t="str">
        <f>VLOOKUP(J1686,'רשימת רשויות'!A:A,1,0)</f>
        <v>טייבה</v>
      </c>
      <c r="Q1686" s="956">
        <f>IFERROR(VLOOKUP(B1686,[2]מעובד!$D:$K,8,0),0)</f>
        <v>207</v>
      </c>
      <c r="R1686" s="956">
        <f>IFERROR(VLOOKUP(B1686,[2]מעובד!$D:$L,9,0),0)</f>
        <v>110</v>
      </c>
    </row>
    <row r="1687" spans="1:18" x14ac:dyDescent="0.2">
      <c r="A1687" s="947" t="s">
        <v>257</v>
      </c>
      <c r="B1687" s="947">
        <v>482299</v>
      </c>
      <c r="C1687" s="947" t="s">
        <v>2189</v>
      </c>
      <c r="D1687" s="947" t="s">
        <v>2030</v>
      </c>
      <c r="E1687" s="951">
        <v>277</v>
      </c>
      <c r="F1687" s="951">
        <v>75</v>
      </c>
      <c r="G1687" s="947" t="s">
        <v>159</v>
      </c>
      <c r="H1687" s="951">
        <v>84</v>
      </c>
      <c r="I1687" s="951">
        <v>8</v>
      </c>
      <c r="J1687" s="947" t="s">
        <v>257</v>
      </c>
      <c r="K1687" s="947">
        <v>482299</v>
      </c>
      <c r="M1687" s="631"/>
      <c r="P1687" s="950" t="str">
        <f>VLOOKUP(J1687,'רשימת רשויות'!A:A,1,0)</f>
        <v>טייבה</v>
      </c>
      <c r="Q1687" s="956">
        <f>IFERROR(VLOOKUP(B1687,[2]מעובד!$D:$K,8,0),0)</f>
        <v>291</v>
      </c>
      <c r="R1687" s="956">
        <f>IFERROR(VLOOKUP(B1687,[2]מעובד!$D:$L,9,0),0)</f>
        <v>129</v>
      </c>
    </row>
    <row r="1688" spans="1:18" x14ac:dyDescent="0.2">
      <c r="A1688" s="947" t="s">
        <v>387</v>
      </c>
      <c r="B1688" s="947">
        <v>482315</v>
      </c>
      <c r="C1688" s="947" t="s">
        <v>2189</v>
      </c>
      <c r="D1688" s="947" t="s">
        <v>2031</v>
      </c>
      <c r="E1688" s="951">
        <v>158</v>
      </c>
      <c r="F1688" s="951">
        <v>154</v>
      </c>
      <c r="G1688" s="947" t="s">
        <v>159</v>
      </c>
      <c r="H1688" s="951">
        <v>0</v>
      </c>
      <c r="I1688" s="951">
        <v>0</v>
      </c>
      <c r="J1688" s="947" t="s">
        <v>387</v>
      </c>
      <c r="K1688" s="947">
        <v>482315</v>
      </c>
      <c r="M1688" s="631"/>
      <c r="P1688" s="950" t="str">
        <f>VLOOKUP(J1688,'רשימת רשויות'!A:A,1,0)</f>
        <v>רחובות</v>
      </c>
      <c r="Q1688" s="956">
        <f>IFERROR(VLOOKUP(B1688,[2]מעובד!$D:$K,8,0),0)</f>
        <v>102</v>
      </c>
      <c r="R1688" s="956">
        <f>IFERROR(VLOOKUP(B1688,[2]מעובד!$D:$L,9,0),0)</f>
        <v>91</v>
      </c>
    </row>
    <row r="1689" spans="1:18" x14ac:dyDescent="0.2">
      <c r="A1689" s="947" t="s">
        <v>350</v>
      </c>
      <c r="B1689" s="947">
        <v>482323</v>
      </c>
      <c r="C1689" s="947" t="s">
        <v>2189</v>
      </c>
      <c r="D1689" s="947" t="s">
        <v>3064</v>
      </c>
      <c r="E1689" s="951">
        <v>83</v>
      </c>
      <c r="F1689" s="951">
        <v>0</v>
      </c>
      <c r="G1689" s="947" t="s">
        <v>159</v>
      </c>
      <c r="H1689" s="951">
        <v>0</v>
      </c>
      <c r="I1689" s="951">
        <v>0</v>
      </c>
      <c r="J1689" s="947" t="s">
        <v>350</v>
      </c>
      <c r="K1689" s="947">
        <v>482323</v>
      </c>
      <c r="M1689" s="631"/>
      <c r="P1689" s="950" t="str">
        <f>VLOOKUP(J1689,'רשימת רשויות'!A:A,1,0)</f>
        <v>עמק חפר</v>
      </c>
      <c r="Q1689" s="956">
        <f>IFERROR(VLOOKUP(B1689,[2]מעובד!$D:$K,8,0),0)</f>
        <v>0</v>
      </c>
      <c r="R1689" s="956">
        <f>IFERROR(VLOOKUP(B1689,[2]מעובד!$D:$L,9,0),0)</f>
        <v>0</v>
      </c>
    </row>
    <row r="1690" spans="1:18" x14ac:dyDescent="0.2">
      <c r="A1690" s="947" t="s">
        <v>387</v>
      </c>
      <c r="B1690" s="947">
        <v>482331</v>
      </c>
      <c r="C1690" s="947" t="s">
        <v>2189</v>
      </c>
      <c r="D1690" s="947" t="s">
        <v>2032</v>
      </c>
      <c r="E1690" s="951">
        <v>63</v>
      </c>
      <c r="F1690" s="951">
        <v>24</v>
      </c>
      <c r="G1690" s="947" t="s">
        <v>159</v>
      </c>
      <c r="H1690" s="951">
        <v>0</v>
      </c>
      <c r="I1690" s="951">
        <v>0</v>
      </c>
      <c r="J1690" s="947" t="s">
        <v>387</v>
      </c>
      <c r="K1690" s="947">
        <v>482331</v>
      </c>
      <c r="M1690" s="631"/>
      <c r="P1690" s="950" t="str">
        <f>VLOOKUP(J1690,'רשימת רשויות'!A:A,1,0)</f>
        <v>רחובות</v>
      </c>
      <c r="Q1690" s="956">
        <f>IFERROR(VLOOKUP(B1690,[2]מעובד!$D:$K,8,0),0)</f>
        <v>0</v>
      </c>
      <c r="R1690" s="956">
        <f>IFERROR(VLOOKUP(B1690,[2]מעובד!$D:$L,9,0),0)</f>
        <v>0</v>
      </c>
    </row>
    <row r="1691" spans="1:18" x14ac:dyDescent="0.2">
      <c r="A1691" s="947" t="s">
        <v>387</v>
      </c>
      <c r="B1691" s="947">
        <v>482349</v>
      </c>
      <c r="C1691" s="947" t="s">
        <v>2189</v>
      </c>
      <c r="D1691" s="947" t="s">
        <v>2642</v>
      </c>
      <c r="E1691" s="951">
        <v>87</v>
      </c>
      <c r="F1691" s="951">
        <v>59</v>
      </c>
      <c r="G1691" s="947" t="s">
        <v>159</v>
      </c>
      <c r="H1691" s="951">
        <v>0</v>
      </c>
      <c r="I1691" s="951">
        <v>0</v>
      </c>
      <c r="J1691" s="947" t="s">
        <v>387</v>
      </c>
      <c r="K1691" s="947">
        <v>482349</v>
      </c>
      <c r="M1691" s="631"/>
      <c r="P1691" s="950" t="str">
        <f>VLOOKUP(J1691,'רשימת רשויות'!A:A,1,0)</f>
        <v>רחובות</v>
      </c>
      <c r="Q1691" s="956">
        <f>IFERROR(VLOOKUP(B1691,[2]מעובד!$D:$K,8,0),0)</f>
        <v>72</v>
      </c>
      <c r="R1691" s="956">
        <f>IFERROR(VLOOKUP(B1691,[2]מעובד!$D:$L,9,0),0)</f>
        <v>72</v>
      </c>
    </row>
    <row r="1692" spans="1:18" x14ac:dyDescent="0.2">
      <c r="A1692" s="947" t="s">
        <v>383</v>
      </c>
      <c r="B1692" s="947">
        <v>482372</v>
      </c>
      <c r="C1692" s="947" t="s">
        <v>2189</v>
      </c>
      <c r="D1692" s="947" t="s">
        <v>2437</v>
      </c>
      <c r="E1692" s="951">
        <v>378</v>
      </c>
      <c r="F1692" s="951">
        <v>362</v>
      </c>
      <c r="G1692" s="947" t="s">
        <v>159</v>
      </c>
      <c r="H1692" s="951">
        <v>141</v>
      </c>
      <c r="I1692" s="951">
        <v>13</v>
      </c>
      <c r="J1692" s="947" t="s">
        <v>383</v>
      </c>
      <c r="K1692" s="947">
        <v>482372</v>
      </c>
      <c r="M1692" s="631"/>
      <c r="P1692" s="950" t="str">
        <f>VLOOKUP(J1692,'רשימת רשויות'!A:A,1,0)</f>
        <v>ראש העין</v>
      </c>
      <c r="Q1692" s="956">
        <f>IFERROR(VLOOKUP(B1692,[2]מעובד!$D:$K,8,0),0)</f>
        <v>300</v>
      </c>
      <c r="R1692" s="956">
        <f>IFERROR(VLOOKUP(B1692,[2]מעובד!$D:$L,9,0),0)</f>
        <v>66</v>
      </c>
    </row>
    <row r="1693" spans="1:18" x14ac:dyDescent="0.2">
      <c r="A1693" s="947" t="s">
        <v>390</v>
      </c>
      <c r="B1693" s="947">
        <v>482380</v>
      </c>
      <c r="C1693" s="947" t="s">
        <v>2189</v>
      </c>
      <c r="D1693" s="947" t="s">
        <v>2035</v>
      </c>
      <c r="E1693" s="951">
        <v>156</v>
      </c>
      <c r="F1693" s="951">
        <v>80</v>
      </c>
      <c r="G1693" s="947" t="s">
        <v>159</v>
      </c>
      <c r="H1693" s="951">
        <v>0</v>
      </c>
      <c r="I1693" s="951">
        <v>0</v>
      </c>
      <c r="J1693" s="947" t="s">
        <v>390</v>
      </c>
      <c r="K1693" s="947">
        <v>482380</v>
      </c>
      <c r="M1693" s="631"/>
      <c r="P1693" s="950" t="str">
        <f>VLOOKUP(J1693,'רשימת רשויות'!A:A,1,0)</f>
        <v>רמלה</v>
      </c>
      <c r="Q1693" s="956">
        <f>IFERROR(VLOOKUP(B1693,[2]מעובד!$D:$K,8,0),0)</f>
        <v>157</v>
      </c>
      <c r="R1693" s="956">
        <f>IFERROR(VLOOKUP(B1693,[2]מעובד!$D:$L,9,0),0)</f>
        <v>80</v>
      </c>
    </row>
    <row r="1694" spans="1:18" x14ac:dyDescent="0.2">
      <c r="A1694" s="947" t="s">
        <v>281</v>
      </c>
      <c r="B1694" s="947">
        <v>482422</v>
      </c>
      <c r="C1694" s="947" t="s">
        <v>2189</v>
      </c>
      <c r="D1694" s="947" t="s">
        <v>2036</v>
      </c>
      <c r="E1694" s="951">
        <v>309</v>
      </c>
      <c r="F1694" s="951">
        <v>223</v>
      </c>
      <c r="G1694" s="947" t="s">
        <v>159</v>
      </c>
      <c r="H1694" s="951">
        <v>0</v>
      </c>
      <c r="I1694" s="951">
        <v>0</v>
      </c>
      <c r="J1694" s="947" t="s">
        <v>281</v>
      </c>
      <c r="K1694" s="947">
        <v>482422</v>
      </c>
      <c r="M1694" s="631"/>
      <c r="P1694" s="950" t="str">
        <f>VLOOKUP(J1694,'רשימת רשויות'!A:A,1,0)</f>
        <v>כפר יונה</v>
      </c>
      <c r="Q1694" s="956">
        <f>IFERROR(VLOOKUP(B1694,[2]מעובד!$D:$K,8,0),0)</f>
        <v>338</v>
      </c>
      <c r="R1694" s="956">
        <f>IFERROR(VLOOKUP(B1694,[2]מעובד!$D:$L,9,0),0)</f>
        <v>177</v>
      </c>
    </row>
    <row r="1695" spans="1:18" x14ac:dyDescent="0.2">
      <c r="A1695" s="947" t="s">
        <v>330</v>
      </c>
      <c r="B1695" s="947">
        <v>482455</v>
      </c>
      <c r="C1695" s="947" t="s">
        <v>2189</v>
      </c>
      <c r="D1695" s="947" t="s">
        <v>2042</v>
      </c>
      <c r="E1695" s="951">
        <v>69</v>
      </c>
      <c r="F1695" s="951">
        <v>67</v>
      </c>
      <c r="G1695" s="947" t="s">
        <v>159</v>
      </c>
      <c r="H1695" s="951">
        <v>0</v>
      </c>
      <c r="I1695" s="951">
        <v>0</v>
      </c>
      <c r="J1695" s="947" t="s">
        <v>330</v>
      </c>
      <c r="K1695" s="947">
        <v>482455</v>
      </c>
      <c r="M1695" s="631"/>
      <c r="P1695" s="950" t="str">
        <f>VLOOKUP(J1695,'רשימת רשויות'!A:A,1,0)</f>
        <v>נחל שורק</v>
      </c>
      <c r="Q1695" s="956">
        <f>IFERROR(VLOOKUP(B1695,[2]מעובד!$D:$K,8,0),0)</f>
        <v>67</v>
      </c>
      <c r="R1695" s="956">
        <f>IFERROR(VLOOKUP(B1695,[2]מעובד!$D:$L,9,0),0)</f>
        <v>40</v>
      </c>
    </row>
    <row r="1696" spans="1:18" x14ac:dyDescent="0.2">
      <c r="A1696" s="947" t="s">
        <v>362</v>
      </c>
      <c r="B1696" s="947">
        <v>482521</v>
      </c>
      <c r="C1696" s="947" t="s">
        <v>2189</v>
      </c>
      <c r="D1696" s="947" t="s">
        <v>627</v>
      </c>
      <c r="E1696" s="951">
        <v>215</v>
      </c>
      <c r="F1696" s="951">
        <v>215</v>
      </c>
      <c r="G1696" s="947" t="s">
        <v>159</v>
      </c>
      <c r="H1696" s="951">
        <v>0</v>
      </c>
      <c r="I1696" s="951">
        <v>0</v>
      </c>
      <c r="J1696" s="947" t="s">
        <v>362</v>
      </c>
      <c r="K1696" s="947">
        <v>482521</v>
      </c>
      <c r="M1696" s="631"/>
      <c r="P1696" s="950" t="str">
        <f>VLOOKUP(J1696,'רשימת רשויות'!A:A,1,0)</f>
        <v>פרדסיה</v>
      </c>
      <c r="Q1696" s="956">
        <f>IFERROR(VLOOKUP(B1696,[2]מעובד!$D:$K,8,0),0)</f>
        <v>266</v>
      </c>
      <c r="R1696" s="956">
        <f>IFERROR(VLOOKUP(B1696,[2]מעובד!$D:$L,9,0),0)</f>
        <v>68</v>
      </c>
    </row>
    <row r="1697" spans="1:18" x14ac:dyDescent="0.2">
      <c r="A1697" s="947" t="s">
        <v>395</v>
      </c>
      <c r="B1697" s="947">
        <v>482539</v>
      </c>
      <c r="C1697" s="947" t="s">
        <v>2189</v>
      </c>
      <c r="D1697" s="947" t="s">
        <v>2048</v>
      </c>
      <c r="E1697" s="951">
        <v>269</v>
      </c>
      <c r="F1697" s="951">
        <v>269</v>
      </c>
      <c r="G1697" s="947" t="s">
        <v>159</v>
      </c>
      <c r="H1697" s="951">
        <v>0</v>
      </c>
      <c r="I1697" s="951">
        <v>0</v>
      </c>
      <c r="J1697" s="947" t="s">
        <v>395</v>
      </c>
      <c r="K1697" s="947">
        <v>482539</v>
      </c>
      <c r="M1697" s="631"/>
      <c r="P1697" s="950" t="str">
        <f>VLOOKUP(J1697,'רשימת רשויות'!A:A,1,0)</f>
        <v>רעננה</v>
      </c>
      <c r="Q1697" s="956">
        <f>IFERROR(VLOOKUP(B1697,[2]מעובד!$D:$K,8,0),0)</f>
        <v>0</v>
      </c>
      <c r="R1697" s="956">
        <f>IFERROR(VLOOKUP(B1697,[2]מעובד!$D:$L,9,0),0)</f>
        <v>0</v>
      </c>
    </row>
    <row r="1698" spans="1:18" x14ac:dyDescent="0.2">
      <c r="A1698" s="947" t="s">
        <v>383</v>
      </c>
      <c r="B1698" s="947">
        <v>482547</v>
      </c>
      <c r="C1698" s="947" t="s">
        <v>2189</v>
      </c>
      <c r="D1698" s="947" t="s">
        <v>2229</v>
      </c>
      <c r="E1698" s="951">
        <v>326</v>
      </c>
      <c r="F1698" s="951">
        <v>311</v>
      </c>
      <c r="G1698" s="947" t="s">
        <v>159</v>
      </c>
      <c r="H1698" s="951">
        <v>0</v>
      </c>
      <c r="I1698" s="951">
        <v>0</v>
      </c>
      <c r="J1698" s="947" t="s">
        <v>383</v>
      </c>
      <c r="K1698" s="947">
        <v>482547</v>
      </c>
      <c r="M1698" s="631"/>
      <c r="P1698" s="950" t="str">
        <f>VLOOKUP(J1698,'רשימת רשויות'!A:A,1,0)</f>
        <v>ראש העין</v>
      </c>
      <c r="Q1698" s="956">
        <f>IFERROR(VLOOKUP(B1698,[2]מעובד!$D:$K,8,0),0)</f>
        <v>222</v>
      </c>
      <c r="R1698" s="956">
        <f>IFERROR(VLOOKUP(B1698,[2]מעובד!$D:$L,9,0),0)</f>
        <v>175</v>
      </c>
    </row>
    <row r="1699" spans="1:18" x14ac:dyDescent="0.2">
      <c r="A1699" s="947" t="s">
        <v>383</v>
      </c>
      <c r="B1699" s="947">
        <v>482554</v>
      </c>
      <c r="C1699" s="947" t="s">
        <v>2189</v>
      </c>
      <c r="D1699" s="947" t="s">
        <v>2049</v>
      </c>
      <c r="E1699" s="951">
        <v>161</v>
      </c>
      <c r="F1699" s="951">
        <v>153</v>
      </c>
      <c r="G1699" s="947" t="s">
        <v>159</v>
      </c>
      <c r="H1699" s="951">
        <v>70</v>
      </c>
      <c r="I1699" s="951">
        <v>7</v>
      </c>
      <c r="J1699" s="947" t="s">
        <v>383</v>
      </c>
      <c r="K1699" s="947">
        <v>482554</v>
      </c>
      <c r="M1699" s="631"/>
      <c r="P1699" s="950" t="str">
        <f>VLOOKUP(J1699,'רשימת רשויות'!A:A,1,0)</f>
        <v>ראש העין</v>
      </c>
      <c r="Q1699" s="956">
        <f>IFERROR(VLOOKUP(B1699,[2]מעובד!$D:$K,8,0),0)</f>
        <v>110</v>
      </c>
      <c r="R1699" s="956">
        <f>IFERROR(VLOOKUP(B1699,[2]מעובד!$D:$L,9,0),0)</f>
        <v>53</v>
      </c>
    </row>
    <row r="1700" spans="1:18" x14ac:dyDescent="0.2">
      <c r="A1700" s="947" t="s">
        <v>383</v>
      </c>
      <c r="B1700" s="947">
        <v>482562</v>
      </c>
      <c r="C1700" s="947" t="s">
        <v>2189</v>
      </c>
      <c r="D1700" s="947" t="s">
        <v>2659</v>
      </c>
      <c r="E1700" s="951">
        <v>403</v>
      </c>
      <c r="F1700" s="951">
        <v>403</v>
      </c>
      <c r="G1700" s="947" t="s">
        <v>159</v>
      </c>
      <c r="H1700" s="951">
        <v>0</v>
      </c>
      <c r="I1700" s="951">
        <v>0</v>
      </c>
      <c r="J1700" s="947" t="s">
        <v>383</v>
      </c>
      <c r="K1700" s="947">
        <v>482562</v>
      </c>
      <c r="M1700" s="631"/>
      <c r="P1700" s="950" t="str">
        <f>VLOOKUP(J1700,'רשימת רשויות'!A:A,1,0)</f>
        <v>ראש העין</v>
      </c>
      <c r="Q1700" s="956">
        <f>IFERROR(VLOOKUP(B1700,[2]מעובד!$D:$K,8,0),0)</f>
        <v>369</v>
      </c>
      <c r="R1700" s="956">
        <f>IFERROR(VLOOKUP(B1700,[2]מעובד!$D:$L,9,0),0)</f>
        <v>269</v>
      </c>
    </row>
    <row r="1701" spans="1:18" x14ac:dyDescent="0.2">
      <c r="A1701" s="947" t="s">
        <v>387</v>
      </c>
      <c r="B1701" s="947">
        <v>482588</v>
      </c>
      <c r="C1701" s="947" t="s">
        <v>2189</v>
      </c>
      <c r="D1701" s="947" t="s">
        <v>467</v>
      </c>
      <c r="E1701" s="951">
        <v>262</v>
      </c>
      <c r="F1701" s="951">
        <v>204</v>
      </c>
      <c r="G1701" s="947" t="s">
        <v>159</v>
      </c>
      <c r="H1701" s="951">
        <v>0</v>
      </c>
      <c r="I1701" s="951">
        <v>0</v>
      </c>
      <c r="J1701" s="947" t="s">
        <v>387</v>
      </c>
      <c r="K1701" s="947">
        <v>482588</v>
      </c>
      <c r="M1701" s="631"/>
      <c r="P1701" s="950" t="str">
        <f>VLOOKUP(J1701,'רשימת רשויות'!A:A,1,0)</f>
        <v>רחובות</v>
      </c>
      <c r="Q1701" s="956">
        <f>IFERROR(VLOOKUP(B1701,[2]מעובד!$D:$K,8,0),0)</f>
        <v>266</v>
      </c>
      <c r="R1701" s="956">
        <f>IFERROR(VLOOKUP(B1701,[2]מעובד!$D:$L,9,0),0)</f>
        <v>68</v>
      </c>
    </row>
    <row r="1702" spans="1:18" x14ac:dyDescent="0.2">
      <c r="A1702" s="947" t="s">
        <v>385</v>
      </c>
      <c r="B1702" s="947">
        <v>482596</v>
      </c>
      <c r="C1702" s="947" t="s">
        <v>2189</v>
      </c>
      <c r="D1702" s="947" t="s">
        <v>2050</v>
      </c>
      <c r="E1702" s="951">
        <v>363</v>
      </c>
      <c r="F1702" s="951">
        <v>288</v>
      </c>
      <c r="G1702" s="947" t="s">
        <v>159</v>
      </c>
      <c r="H1702" s="951">
        <v>0</v>
      </c>
      <c r="I1702" s="951">
        <v>0</v>
      </c>
      <c r="J1702" s="947" t="s">
        <v>385</v>
      </c>
      <c r="K1702" s="947">
        <v>482596</v>
      </c>
      <c r="M1702" s="631"/>
      <c r="P1702" s="950" t="str">
        <f>VLOOKUP(J1702,'רשימת רשויות'!A:A,1,0)</f>
        <v>ראשון לציון</v>
      </c>
      <c r="Q1702" s="956">
        <f>IFERROR(VLOOKUP(B1702,[2]מעובד!$D:$K,8,0),0)</f>
        <v>369</v>
      </c>
      <c r="R1702" s="956">
        <f>IFERROR(VLOOKUP(B1702,[2]מעובד!$D:$L,9,0),0)</f>
        <v>120</v>
      </c>
    </row>
    <row r="1703" spans="1:18" x14ac:dyDescent="0.2">
      <c r="A1703" s="947" t="s">
        <v>231</v>
      </c>
      <c r="B1703" s="947">
        <v>482604</v>
      </c>
      <c r="C1703" s="947" t="s">
        <v>2189</v>
      </c>
      <c r="D1703" s="947" t="s">
        <v>2662</v>
      </c>
      <c r="E1703" s="951">
        <v>254</v>
      </c>
      <c r="F1703" s="951">
        <v>199</v>
      </c>
      <c r="G1703" s="947" t="s">
        <v>159</v>
      </c>
      <c r="H1703" s="951">
        <v>0</v>
      </c>
      <c r="I1703" s="951">
        <v>0</v>
      </c>
      <c r="J1703" s="947" t="s">
        <v>231</v>
      </c>
      <c r="K1703" s="947">
        <v>482604</v>
      </c>
      <c r="M1703" s="631"/>
      <c r="P1703" s="950" t="str">
        <f>VLOOKUP(J1703,'רשימת רשויות'!A:A,1,0)</f>
        <v>הוד השרון</v>
      </c>
      <c r="Q1703" s="956">
        <f>IFERROR(VLOOKUP(B1703,[2]מעובד!$D:$K,8,0),0)</f>
        <v>284</v>
      </c>
      <c r="R1703" s="956">
        <f>IFERROR(VLOOKUP(B1703,[2]מעובד!$D:$L,9,0),0)</f>
        <v>145</v>
      </c>
    </row>
    <row r="1704" spans="1:18" x14ac:dyDescent="0.2">
      <c r="A1704" s="947" t="s">
        <v>262</v>
      </c>
      <c r="B1704" s="947">
        <v>482612</v>
      </c>
      <c r="C1704" s="947" t="s">
        <v>2189</v>
      </c>
      <c r="D1704" s="947" t="s">
        <v>1559</v>
      </c>
      <c r="E1704" s="951">
        <v>87</v>
      </c>
      <c r="F1704" s="951">
        <v>71</v>
      </c>
      <c r="G1704" s="947" t="s">
        <v>159</v>
      </c>
      <c r="H1704" s="951">
        <v>0</v>
      </c>
      <c r="I1704" s="951">
        <v>0</v>
      </c>
      <c r="J1704" s="947" t="s">
        <v>262</v>
      </c>
      <c r="K1704" s="947">
        <v>482612</v>
      </c>
      <c r="M1704" s="631"/>
      <c r="P1704" s="950" t="str">
        <f>VLOOKUP(J1704,'רשימת רשויות'!A:A,1,0)</f>
        <v>יבנה</v>
      </c>
      <c r="Q1704" s="956">
        <f>IFERROR(VLOOKUP(B1704,[2]מעובד!$D:$K,8,0),0)</f>
        <v>91</v>
      </c>
      <c r="R1704" s="956">
        <f>IFERROR(VLOOKUP(B1704,[2]מעובד!$D:$L,9,0),0)</f>
        <v>21</v>
      </c>
    </row>
    <row r="1705" spans="1:18" x14ac:dyDescent="0.2">
      <c r="A1705" s="947" t="s">
        <v>262</v>
      </c>
      <c r="B1705" s="947">
        <v>482646</v>
      </c>
      <c r="C1705" s="947" t="s">
        <v>2189</v>
      </c>
      <c r="D1705" s="947" t="s">
        <v>324</v>
      </c>
      <c r="E1705" s="951">
        <v>250</v>
      </c>
      <c r="F1705" s="951">
        <v>150</v>
      </c>
      <c r="G1705" s="947" t="s">
        <v>159</v>
      </c>
      <c r="H1705" s="951">
        <v>0</v>
      </c>
      <c r="I1705" s="951">
        <v>0</v>
      </c>
      <c r="J1705" s="947" t="s">
        <v>262</v>
      </c>
      <c r="K1705" s="947">
        <v>482646</v>
      </c>
      <c r="M1705" s="631"/>
      <c r="P1705" s="950" t="str">
        <f>VLOOKUP(J1705,'רשימת רשויות'!A:A,1,0)</f>
        <v>יבנה</v>
      </c>
      <c r="Q1705" s="956">
        <f>IFERROR(VLOOKUP(B1705,[2]מעובד!$D:$K,8,0),0)</f>
        <v>294</v>
      </c>
      <c r="R1705" s="956">
        <f>IFERROR(VLOOKUP(B1705,[2]מעובד!$D:$L,9,0),0)</f>
        <v>184</v>
      </c>
    </row>
    <row r="1706" spans="1:18" x14ac:dyDescent="0.2">
      <c r="A1706" s="947" t="s">
        <v>186</v>
      </c>
      <c r="B1706" s="947">
        <v>482661</v>
      </c>
      <c r="C1706" s="947" t="s">
        <v>2189</v>
      </c>
      <c r="D1706" s="947" t="s">
        <v>484</v>
      </c>
      <c r="E1706" s="951">
        <v>400</v>
      </c>
      <c r="F1706" s="951">
        <v>270</v>
      </c>
      <c r="G1706" s="947" t="s">
        <v>159</v>
      </c>
      <c r="H1706" s="951">
        <v>0</v>
      </c>
      <c r="I1706" s="951">
        <v>0</v>
      </c>
      <c r="J1706" s="947" t="s">
        <v>186</v>
      </c>
      <c r="K1706" s="947">
        <v>482661</v>
      </c>
      <c r="M1706" s="631"/>
      <c r="P1706" s="950" t="str">
        <f>VLOOKUP(J1706,'רשימת רשויות'!A:A,1,0)</f>
        <v>באר יעקב</v>
      </c>
      <c r="Q1706" s="956">
        <f>IFERROR(VLOOKUP(B1706,[2]מעובד!$D:$K,8,0),0)</f>
        <v>473</v>
      </c>
      <c r="R1706" s="956">
        <f>IFERROR(VLOOKUP(B1706,[2]מעובד!$D:$L,9,0),0)</f>
        <v>187</v>
      </c>
    </row>
    <row r="1707" spans="1:18" x14ac:dyDescent="0.2">
      <c r="A1707" s="947" t="s">
        <v>186</v>
      </c>
      <c r="B1707" s="947">
        <v>482679</v>
      </c>
      <c r="C1707" s="947" t="s">
        <v>2189</v>
      </c>
      <c r="D1707" s="947" t="s">
        <v>467</v>
      </c>
      <c r="E1707" s="951">
        <v>166</v>
      </c>
      <c r="F1707" s="951">
        <v>141</v>
      </c>
      <c r="G1707" s="947" t="s">
        <v>159</v>
      </c>
      <c r="H1707" s="951">
        <v>0</v>
      </c>
      <c r="I1707" s="951">
        <v>0</v>
      </c>
      <c r="J1707" s="947" t="s">
        <v>186</v>
      </c>
      <c r="K1707" s="947">
        <v>482679</v>
      </c>
      <c r="M1707" s="631"/>
      <c r="P1707" s="950" t="str">
        <f>VLOOKUP(J1707,'רשימת רשויות'!A:A,1,0)</f>
        <v>באר יעקב</v>
      </c>
      <c r="Q1707" s="956">
        <f>IFERROR(VLOOKUP(B1707,[2]מעובד!$D:$K,8,0),0)</f>
        <v>0</v>
      </c>
      <c r="R1707" s="956">
        <f>IFERROR(VLOOKUP(B1707,[2]מעובד!$D:$L,9,0),0)</f>
        <v>0</v>
      </c>
    </row>
    <row r="1708" spans="1:18" x14ac:dyDescent="0.2">
      <c r="A1708" s="947" t="s">
        <v>385</v>
      </c>
      <c r="B1708" s="947">
        <v>482695</v>
      </c>
      <c r="C1708" s="947" t="s">
        <v>2189</v>
      </c>
      <c r="D1708" s="947" t="s">
        <v>699</v>
      </c>
      <c r="E1708" s="951">
        <v>140</v>
      </c>
      <c r="F1708" s="951">
        <v>112</v>
      </c>
      <c r="G1708" s="947" t="s">
        <v>159</v>
      </c>
      <c r="H1708" s="951">
        <v>0</v>
      </c>
      <c r="I1708" s="951">
        <v>0</v>
      </c>
      <c r="J1708" s="947" t="s">
        <v>385</v>
      </c>
      <c r="K1708" s="947">
        <v>482695</v>
      </c>
      <c r="M1708" s="631"/>
      <c r="P1708" s="950" t="str">
        <f>VLOOKUP(J1708,'רשימת רשויות'!A:A,1,0)</f>
        <v>ראשון לציון</v>
      </c>
      <c r="Q1708" s="956">
        <f>IFERROR(VLOOKUP(B1708,[2]מעובד!$D:$K,8,0),0)</f>
        <v>76</v>
      </c>
      <c r="R1708" s="956">
        <f>IFERROR(VLOOKUP(B1708,[2]מעובד!$D:$L,9,0),0)</f>
        <v>56</v>
      </c>
    </row>
    <row r="1709" spans="1:18" x14ac:dyDescent="0.2">
      <c r="A1709" s="947" t="s">
        <v>350</v>
      </c>
      <c r="B1709" s="947">
        <v>482711</v>
      </c>
      <c r="C1709" s="947" t="s">
        <v>2189</v>
      </c>
      <c r="D1709" s="947" t="s">
        <v>438</v>
      </c>
      <c r="E1709" s="951">
        <v>83</v>
      </c>
      <c r="F1709" s="951">
        <v>83</v>
      </c>
      <c r="G1709" s="947" t="s">
        <v>159</v>
      </c>
      <c r="H1709" s="951">
        <v>0</v>
      </c>
      <c r="I1709" s="951">
        <v>0</v>
      </c>
      <c r="J1709" s="947" t="s">
        <v>350</v>
      </c>
      <c r="K1709" s="947">
        <v>482711</v>
      </c>
      <c r="M1709" s="631"/>
      <c r="P1709" s="950" t="str">
        <f>VLOOKUP(J1709,'רשימת רשויות'!A:A,1,0)</f>
        <v>עמק חפר</v>
      </c>
      <c r="Q1709" s="956">
        <f>IFERROR(VLOOKUP(B1709,[2]מעובד!$D:$K,8,0),0)</f>
        <v>53</v>
      </c>
      <c r="R1709" s="956">
        <f>IFERROR(VLOOKUP(B1709,[2]מעובד!$D:$L,9,0),0)</f>
        <v>53</v>
      </c>
    </row>
    <row r="1710" spans="1:18" x14ac:dyDescent="0.2">
      <c r="A1710" s="947" t="s">
        <v>215</v>
      </c>
      <c r="B1710" s="947">
        <v>482737</v>
      </c>
      <c r="C1710" s="947" t="s">
        <v>2189</v>
      </c>
      <c r="D1710" s="947" t="s">
        <v>3065</v>
      </c>
      <c r="E1710" s="951">
        <v>63</v>
      </c>
      <c r="F1710" s="951">
        <v>0</v>
      </c>
      <c r="G1710" s="947" t="s">
        <v>159</v>
      </c>
      <c r="H1710" s="951">
        <v>0</v>
      </c>
      <c r="I1710" s="951">
        <v>0</v>
      </c>
      <c r="J1710" s="947" t="s">
        <v>215</v>
      </c>
      <c r="K1710" s="947">
        <v>482737</v>
      </c>
      <c r="M1710" s="631"/>
      <c r="P1710" s="950" t="str">
        <f>VLOOKUP(J1710,'רשימת רשויות'!A:A,1,0)</f>
        <v>גדרה</v>
      </c>
      <c r="Q1710" s="956">
        <f>IFERROR(VLOOKUP(B1710,[2]מעובד!$D:$K,8,0),0)</f>
        <v>0</v>
      </c>
      <c r="R1710" s="956">
        <f>IFERROR(VLOOKUP(B1710,[2]מעובד!$D:$L,9,0),0)</f>
        <v>0</v>
      </c>
    </row>
    <row r="1711" spans="1:18" x14ac:dyDescent="0.2">
      <c r="A1711" s="947" t="s">
        <v>366</v>
      </c>
      <c r="B1711" s="947">
        <v>482745</v>
      </c>
      <c r="C1711" s="947" t="s">
        <v>2189</v>
      </c>
      <c r="D1711" s="947" t="s">
        <v>2062</v>
      </c>
      <c r="E1711" s="951">
        <v>61</v>
      </c>
      <c r="F1711" s="951">
        <v>58</v>
      </c>
      <c r="G1711" s="947" t="s">
        <v>159</v>
      </c>
      <c r="H1711" s="951">
        <v>0</v>
      </c>
      <c r="I1711" s="951">
        <v>0</v>
      </c>
      <c r="J1711" s="947" t="s">
        <v>366</v>
      </c>
      <c r="K1711" s="947">
        <v>482745</v>
      </c>
      <c r="M1711" s="631"/>
      <c r="P1711" s="950" t="str">
        <f>VLOOKUP(J1711,'רשימת רשויות'!A:A,1,0)</f>
        <v>קדומים</v>
      </c>
      <c r="Q1711" s="956">
        <f>IFERROR(VLOOKUP(B1711,[2]מעובד!$D:$K,8,0),0)</f>
        <v>38</v>
      </c>
      <c r="R1711" s="956">
        <f>IFERROR(VLOOKUP(B1711,[2]מעובד!$D:$L,9,0),0)</f>
        <v>38</v>
      </c>
    </row>
    <row r="1712" spans="1:18" x14ac:dyDescent="0.2">
      <c r="A1712" s="947" t="s">
        <v>231</v>
      </c>
      <c r="B1712" s="947">
        <v>482752</v>
      </c>
      <c r="C1712" s="947" t="s">
        <v>2189</v>
      </c>
      <c r="D1712" s="947" t="s">
        <v>670</v>
      </c>
      <c r="E1712" s="951">
        <v>218</v>
      </c>
      <c r="F1712" s="951">
        <v>171</v>
      </c>
      <c r="G1712" s="947" t="s">
        <v>159</v>
      </c>
      <c r="H1712" s="951">
        <v>66</v>
      </c>
      <c r="I1712" s="951">
        <v>5</v>
      </c>
      <c r="J1712" s="947" t="s">
        <v>231</v>
      </c>
      <c r="K1712" s="947">
        <v>482752</v>
      </c>
      <c r="M1712" s="631"/>
      <c r="P1712" s="950" t="str">
        <f>VLOOKUP(J1712,'רשימת רשויות'!A:A,1,0)</f>
        <v>הוד השרון</v>
      </c>
      <c r="Q1712" s="956">
        <f>IFERROR(VLOOKUP(B1712,[2]מעובד!$D:$K,8,0),0)</f>
        <v>220</v>
      </c>
      <c r="R1712" s="956">
        <f>IFERROR(VLOOKUP(B1712,[2]מעובד!$D:$L,9,0),0)</f>
        <v>46</v>
      </c>
    </row>
    <row r="1713" spans="1:18" x14ac:dyDescent="0.2">
      <c r="A1713" s="947" t="s">
        <v>390</v>
      </c>
      <c r="B1713" s="947">
        <v>482760</v>
      </c>
      <c r="C1713" s="947" t="s">
        <v>2189</v>
      </c>
      <c r="D1713" s="947" t="s">
        <v>624</v>
      </c>
      <c r="E1713" s="951">
        <v>335</v>
      </c>
      <c r="F1713" s="951">
        <v>234</v>
      </c>
      <c r="G1713" s="947" t="s">
        <v>159</v>
      </c>
      <c r="H1713" s="951">
        <v>0</v>
      </c>
      <c r="I1713" s="951">
        <v>0</v>
      </c>
      <c r="J1713" s="947" t="s">
        <v>390</v>
      </c>
      <c r="K1713" s="947">
        <v>482760</v>
      </c>
      <c r="M1713" s="631"/>
      <c r="P1713" s="950" t="str">
        <f>VLOOKUP(J1713,'רשימת רשויות'!A:A,1,0)</f>
        <v>רמלה</v>
      </c>
      <c r="Q1713" s="956">
        <f>IFERROR(VLOOKUP(B1713,[2]מעובד!$D:$K,8,0),0)</f>
        <v>253</v>
      </c>
      <c r="R1713" s="956">
        <f>IFERROR(VLOOKUP(B1713,[2]מעובד!$D:$L,9,0),0)</f>
        <v>76</v>
      </c>
    </row>
    <row r="1714" spans="1:18" x14ac:dyDescent="0.2">
      <c r="A1714" s="947" t="s">
        <v>387</v>
      </c>
      <c r="B1714" s="947">
        <v>482794</v>
      </c>
      <c r="C1714" s="947" t="s">
        <v>2189</v>
      </c>
      <c r="D1714" s="947" t="s">
        <v>2064</v>
      </c>
      <c r="E1714" s="951">
        <v>69</v>
      </c>
      <c r="F1714" s="951">
        <v>52</v>
      </c>
      <c r="G1714" s="947" t="s">
        <v>159</v>
      </c>
      <c r="H1714" s="951">
        <v>0</v>
      </c>
      <c r="I1714" s="951">
        <v>0</v>
      </c>
      <c r="J1714" s="947" t="s">
        <v>387</v>
      </c>
      <c r="K1714" s="947">
        <v>482794</v>
      </c>
      <c r="M1714" s="631"/>
      <c r="P1714" s="950" t="str">
        <f>VLOOKUP(J1714,'רשימת רשויות'!A:A,1,0)</f>
        <v>רחובות</v>
      </c>
      <c r="Q1714" s="956">
        <f>IFERROR(VLOOKUP(B1714,[2]מעובד!$D:$K,8,0),0)</f>
        <v>0</v>
      </c>
      <c r="R1714" s="956">
        <f>IFERROR(VLOOKUP(B1714,[2]מעובד!$D:$L,9,0),0)</f>
        <v>0</v>
      </c>
    </row>
    <row r="1715" spans="1:18" x14ac:dyDescent="0.2">
      <c r="A1715" s="947" t="s">
        <v>387</v>
      </c>
      <c r="B1715" s="947">
        <v>482802</v>
      </c>
      <c r="C1715" s="947" t="s">
        <v>2189</v>
      </c>
      <c r="D1715" s="947" t="s">
        <v>847</v>
      </c>
      <c r="E1715" s="951">
        <v>275</v>
      </c>
      <c r="F1715" s="951">
        <v>232</v>
      </c>
      <c r="G1715" s="947" t="s">
        <v>159</v>
      </c>
      <c r="H1715" s="951">
        <v>98</v>
      </c>
      <c r="I1715" s="951">
        <v>0</v>
      </c>
      <c r="J1715" s="947" t="s">
        <v>387</v>
      </c>
      <c r="K1715" s="947">
        <v>482802</v>
      </c>
      <c r="M1715" s="631"/>
      <c r="P1715" s="950" t="str">
        <f>VLOOKUP(J1715,'רשימת רשויות'!A:A,1,0)</f>
        <v>רחובות</v>
      </c>
      <c r="Q1715" s="956">
        <f>IFERROR(VLOOKUP(B1715,[2]מעובד!$D:$K,8,0),0)</f>
        <v>123</v>
      </c>
      <c r="R1715" s="956">
        <f>IFERROR(VLOOKUP(B1715,[2]מעובד!$D:$L,9,0),0)</f>
        <v>49</v>
      </c>
    </row>
    <row r="1716" spans="1:18" x14ac:dyDescent="0.2">
      <c r="A1716" s="947" t="s">
        <v>402</v>
      </c>
      <c r="B1716" s="947">
        <v>482828</v>
      </c>
      <c r="C1716" s="947" t="s">
        <v>2189</v>
      </c>
      <c r="D1716" s="947" t="s">
        <v>2179</v>
      </c>
      <c r="E1716" s="951">
        <v>171</v>
      </c>
      <c r="F1716" s="951">
        <v>161</v>
      </c>
      <c r="G1716" s="947" t="s">
        <v>159</v>
      </c>
      <c r="H1716" s="951">
        <v>0</v>
      </c>
      <c r="I1716" s="951">
        <v>0</v>
      </c>
      <c r="J1716" s="947" t="s">
        <v>402</v>
      </c>
      <c r="K1716" s="947">
        <v>482828</v>
      </c>
      <c r="M1716" s="631"/>
      <c r="P1716" s="950" t="str">
        <f>VLOOKUP(J1716,'רשימת רשויות'!A:A,1,0)</f>
        <v>שומרון</v>
      </c>
      <c r="Q1716" s="956">
        <f>IFERROR(VLOOKUP(B1716,[2]מעובד!$D:$K,8,0),0)</f>
        <v>193</v>
      </c>
      <c r="R1716" s="956">
        <f>IFERROR(VLOOKUP(B1716,[2]מעובד!$D:$L,9,0),0)</f>
        <v>100</v>
      </c>
    </row>
    <row r="1717" spans="1:18" x14ac:dyDescent="0.2">
      <c r="A1717" s="947" t="s">
        <v>385</v>
      </c>
      <c r="B1717" s="947">
        <v>482851</v>
      </c>
      <c r="C1717" s="947" t="s">
        <v>2189</v>
      </c>
      <c r="D1717" s="947" t="s">
        <v>669</v>
      </c>
      <c r="E1717" s="951">
        <v>157</v>
      </c>
      <c r="F1717" s="951">
        <v>119</v>
      </c>
      <c r="G1717" s="947" t="s">
        <v>159</v>
      </c>
      <c r="H1717" s="951">
        <v>0</v>
      </c>
      <c r="I1717" s="951">
        <v>0</v>
      </c>
      <c r="J1717" s="947" t="s">
        <v>385</v>
      </c>
      <c r="K1717" s="947">
        <v>482851</v>
      </c>
      <c r="M1717" s="631"/>
      <c r="P1717" s="950" t="str">
        <f>VLOOKUP(J1717,'רשימת רשויות'!A:A,1,0)</f>
        <v>ראשון לציון</v>
      </c>
      <c r="Q1717" s="956">
        <f>IFERROR(VLOOKUP(B1717,[2]מעובד!$D:$K,8,0),0)</f>
        <v>113</v>
      </c>
      <c r="R1717" s="956">
        <f>IFERROR(VLOOKUP(B1717,[2]מעובד!$D:$L,9,0),0)</f>
        <v>56</v>
      </c>
    </row>
    <row r="1718" spans="1:18" x14ac:dyDescent="0.2">
      <c r="A1718" s="947" t="s">
        <v>2777</v>
      </c>
      <c r="B1718" s="947">
        <v>482877</v>
      </c>
      <c r="C1718" s="947" t="s">
        <v>2189</v>
      </c>
      <c r="D1718" s="947" t="s">
        <v>484</v>
      </c>
      <c r="E1718" s="951">
        <v>205</v>
      </c>
      <c r="F1718" s="951">
        <v>186</v>
      </c>
      <c r="G1718" s="947" t="s">
        <v>159</v>
      </c>
      <c r="H1718" s="951">
        <v>0</v>
      </c>
      <c r="I1718" s="951">
        <v>0</v>
      </c>
      <c r="J1718" s="947" t="s">
        <v>2777</v>
      </c>
      <c r="K1718" s="947">
        <v>482877</v>
      </c>
      <c r="M1718" s="631"/>
      <c r="P1718" s="950" t="str">
        <f>VLOOKUP(J1718,'רשימת רשויות'!A:A,1,0)</f>
        <v>גני תקווה</v>
      </c>
      <c r="Q1718" s="956">
        <f>IFERROR(VLOOKUP(B1718,[2]מעובד!$D:$K,8,0),0)</f>
        <v>109</v>
      </c>
      <c r="R1718" s="956">
        <f>IFERROR(VLOOKUP(B1718,[2]מעובד!$D:$L,9,0),0)</f>
        <v>72</v>
      </c>
    </row>
    <row r="1719" spans="1:18" x14ac:dyDescent="0.2">
      <c r="A1719" s="947" t="s">
        <v>385</v>
      </c>
      <c r="B1719" s="947">
        <v>482885</v>
      </c>
      <c r="C1719" s="947" t="s">
        <v>2189</v>
      </c>
      <c r="D1719" s="947" t="s">
        <v>685</v>
      </c>
      <c r="E1719" s="951">
        <v>143</v>
      </c>
      <c r="F1719" s="951">
        <v>122</v>
      </c>
      <c r="G1719" s="947" t="s">
        <v>159</v>
      </c>
      <c r="H1719" s="951">
        <v>0</v>
      </c>
      <c r="I1719" s="951">
        <v>0</v>
      </c>
      <c r="J1719" s="947" t="s">
        <v>385</v>
      </c>
      <c r="K1719" s="947">
        <v>482885</v>
      </c>
      <c r="M1719" s="631"/>
      <c r="P1719" s="950" t="str">
        <f>VLOOKUP(J1719,'רשימת רשויות'!A:A,1,0)</f>
        <v>ראשון לציון</v>
      </c>
      <c r="Q1719" s="956">
        <f>IFERROR(VLOOKUP(B1719,[2]מעובד!$D:$K,8,0),0)</f>
        <v>85</v>
      </c>
      <c r="R1719" s="956">
        <f>IFERROR(VLOOKUP(B1719,[2]מעובד!$D:$L,9,0),0)</f>
        <v>40</v>
      </c>
    </row>
    <row r="1720" spans="1:18" x14ac:dyDescent="0.2">
      <c r="A1720" s="947" t="s">
        <v>293</v>
      </c>
      <c r="B1720" s="947">
        <v>482893</v>
      </c>
      <c r="C1720" s="947" t="s">
        <v>2189</v>
      </c>
      <c r="D1720" s="947" t="s">
        <v>2438</v>
      </c>
      <c r="E1720" s="951">
        <v>145</v>
      </c>
      <c r="F1720" s="951">
        <v>135</v>
      </c>
      <c r="G1720" s="947" t="s">
        <v>159</v>
      </c>
      <c r="H1720" s="951">
        <v>56</v>
      </c>
      <c r="I1720" s="951">
        <v>10</v>
      </c>
      <c r="J1720" s="947" t="s">
        <v>293</v>
      </c>
      <c r="K1720" s="947">
        <v>482893</v>
      </c>
      <c r="M1720" s="631"/>
      <c r="P1720" s="950" t="str">
        <f>VLOOKUP(J1720,'רשימת רשויות'!A:A,1,0)</f>
        <v>לוד</v>
      </c>
      <c r="Q1720" s="956">
        <f>IFERROR(VLOOKUP(B1720,[2]מעובד!$D:$K,8,0),0)</f>
        <v>88</v>
      </c>
      <c r="R1720" s="956">
        <f>IFERROR(VLOOKUP(B1720,[2]מעובד!$D:$L,9,0),0)</f>
        <v>46</v>
      </c>
    </row>
    <row r="1721" spans="1:18" x14ac:dyDescent="0.2">
      <c r="A1721" s="947" t="s">
        <v>293</v>
      </c>
      <c r="B1721" s="947">
        <v>482901</v>
      </c>
      <c r="C1721" s="947" t="s">
        <v>2189</v>
      </c>
      <c r="D1721" s="947" t="s">
        <v>2439</v>
      </c>
      <c r="E1721" s="951">
        <v>167</v>
      </c>
      <c r="F1721" s="951">
        <v>167</v>
      </c>
      <c r="G1721" s="947" t="s">
        <v>159</v>
      </c>
      <c r="H1721" s="951">
        <v>0</v>
      </c>
      <c r="I1721" s="951">
        <v>0</v>
      </c>
      <c r="J1721" s="947" t="s">
        <v>293</v>
      </c>
      <c r="K1721" s="947">
        <v>482901</v>
      </c>
      <c r="M1721" s="631"/>
      <c r="P1721" s="950" t="str">
        <f>VLOOKUP(J1721,'רשימת רשויות'!A:A,1,0)</f>
        <v>לוד</v>
      </c>
      <c r="Q1721" s="956">
        <f>IFERROR(VLOOKUP(B1721,[2]מעובד!$D:$K,8,0),0)</f>
        <v>0</v>
      </c>
      <c r="R1721" s="956">
        <f>IFERROR(VLOOKUP(B1721,[2]מעובד!$D:$L,9,0),0)</f>
        <v>0</v>
      </c>
    </row>
    <row r="1722" spans="1:18" x14ac:dyDescent="0.2">
      <c r="A1722" s="947" t="s">
        <v>284</v>
      </c>
      <c r="B1722" s="947">
        <v>482919</v>
      </c>
      <c r="C1722" s="947" t="s">
        <v>2189</v>
      </c>
      <c r="D1722" s="947" t="s">
        <v>2735</v>
      </c>
      <c r="E1722" s="951">
        <v>250</v>
      </c>
      <c r="F1722" s="951">
        <v>182</v>
      </c>
      <c r="G1722" s="947" t="s">
        <v>159</v>
      </c>
      <c r="H1722" s="951">
        <v>0</v>
      </c>
      <c r="I1722" s="951">
        <v>0</v>
      </c>
      <c r="J1722" s="947" t="s">
        <v>284</v>
      </c>
      <c r="K1722" s="957" t="s">
        <v>3326</v>
      </c>
      <c r="M1722" s="631"/>
      <c r="P1722" s="950" t="str">
        <f>VLOOKUP(J1722,'רשימת רשויות'!A:A,1,0)</f>
        <v>כפר סבא</v>
      </c>
      <c r="Q1722" s="956">
        <f>IFERROR(VLOOKUP(B1722,[2]מעובד!$D:$K,8,0),0)</f>
        <v>131</v>
      </c>
      <c r="R1722" s="956">
        <f>IFERROR(VLOOKUP(B1722,[2]מעובד!$D:$L,9,0),0)</f>
        <v>50</v>
      </c>
    </row>
    <row r="1723" spans="1:18" x14ac:dyDescent="0.2">
      <c r="A1723" s="947" t="s">
        <v>293</v>
      </c>
      <c r="B1723" s="947">
        <v>482927</v>
      </c>
      <c r="C1723" s="947" t="s">
        <v>2189</v>
      </c>
      <c r="D1723" s="947" t="s">
        <v>1894</v>
      </c>
      <c r="E1723" s="951">
        <v>157</v>
      </c>
      <c r="F1723" s="951">
        <v>158</v>
      </c>
      <c r="G1723" s="947" t="s">
        <v>159</v>
      </c>
      <c r="H1723" s="951">
        <v>0</v>
      </c>
      <c r="I1723" s="951">
        <v>0</v>
      </c>
      <c r="J1723" s="947" t="s">
        <v>293</v>
      </c>
      <c r="K1723" s="947">
        <v>482927</v>
      </c>
      <c r="M1723" s="631"/>
      <c r="P1723" s="950" t="str">
        <f>VLOOKUP(J1723,'רשימת רשויות'!A:A,1,0)</f>
        <v>לוד</v>
      </c>
      <c r="Q1723" s="956">
        <f>IFERROR(VLOOKUP(B1723,[2]מעובד!$D:$K,8,0),0)</f>
        <v>65</v>
      </c>
      <c r="R1723" s="956">
        <f>IFERROR(VLOOKUP(B1723,[2]מעובד!$D:$L,9,0),0)</f>
        <v>44</v>
      </c>
    </row>
    <row r="1724" spans="1:18" x14ac:dyDescent="0.2">
      <c r="A1724" s="947" t="s">
        <v>174</v>
      </c>
      <c r="B1724" s="947">
        <v>482935</v>
      </c>
      <c r="C1724" s="947" t="s">
        <v>2189</v>
      </c>
      <c r="D1724" s="947" t="s">
        <v>651</v>
      </c>
      <c r="E1724" s="951">
        <v>80</v>
      </c>
      <c r="F1724" s="951">
        <v>80</v>
      </c>
      <c r="G1724" s="947" t="s">
        <v>159</v>
      </c>
      <c r="H1724" s="951">
        <v>0</v>
      </c>
      <c r="I1724" s="951">
        <v>0</v>
      </c>
      <c r="J1724" s="947" t="s">
        <v>174</v>
      </c>
      <c r="K1724" s="947">
        <v>482935</v>
      </c>
      <c r="M1724" s="631"/>
      <c r="P1724" s="950" t="str">
        <f>VLOOKUP(J1724,'רשימת רשויות'!A:A,1,0)</f>
        <v>אליכין</v>
      </c>
      <c r="Q1724" s="956">
        <f>IFERROR(VLOOKUP(B1724,[2]מעובד!$D:$K,8,0),0)</f>
        <v>53</v>
      </c>
      <c r="R1724" s="956">
        <f>IFERROR(VLOOKUP(B1724,[2]מעובד!$D:$L,9,0),0)</f>
        <v>29</v>
      </c>
    </row>
    <row r="1725" spans="1:18" x14ac:dyDescent="0.2">
      <c r="A1725" s="947" t="s">
        <v>402</v>
      </c>
      <c r="B1725" s="947">
        <v>482943</v>
      </c>
      <c r="C1725" s="947" t="s">
        <v>2189</v>
      </c>
      <c r="D1725" s="947" t="s">
        <v>2230</v>
      </c>
      <c r="E1725" s="951">
        <v>194</v>
      </c>
      <c r="F1725" s="951">
        <v>179</v>
      </c>
      <c r="G1725" s="947" t="s">
        <v>159</v>
      </c>
      <c r="H1725" s="951">
        <v>0</v>
      </c>
      <c r="I1725" s="951">
        <v>0</v>
      </c>
      <c r="J1725" s="947" t="s">
        <v>402</v>
      </c>
      <c r="K1725" s="947">
        <v>482943</v>
      </c>
      <c r="M1725" s="631"/>
      <c r="P1725" s="950" t="str">
        <f>VLOOKUP(J1725,'רשימת רשויות'!A:A,1,0)</f>
        <v>שומרון</v>
      </c>
      <c r="Q1725" s="956">
        <f>IFERROR(VLOOKUP(B1725,[2]מעובד!$D:$K,8,0),0)</f>
        <v>162</v>
      </c>
      <c r="R1725" s="956">
        <f>IFERROR(VLOOKUP(B1725,[2]מעובד!$D:$L,9,0),0)</f>
        <v>93</v>
      </c>
    </row>
    <row r="1726" spans="1:18" x14ac:dyDescent="0.2">
      <c r="A1726" s="947" t="s">
        <v>220</v>
      </c>
      <c r="B1726" s="947">
        <v>484014</v>
      </c>
      <c r="C1726" s="947" t="s">
        <v>2189</v>
      </c>
      <c r="D1726" s="947" t="s">
        <v>552</v>
      </c>
      <c r="E1726" s="951">
        <v>93</v>
      </c>
      <c r="F1726" s="951">
        <v>46</v>
      </c>
      <c r="G1726" s="947" t="s">
        <v>159</v>
      </c>
      <c r="H1726" s="951">
        <v>0</v>
      </c>
      <c r="I1726" s="951">
        <v>0</v>
      </c>
      <c r="J1726" s="947" t="s">
        <v>220</v>
      </c>
      <c r="K1726" s="947">
        <v>484014</v>
      </c>
      <c r="M1726" s="631"/>
      <c r="P1726" s="950" t="str">
        <f>VLOOKUP(J1726,'רשימת רשויות'!A:A,1,0)</f>
        <v>גזר</v>
      </c>
      <c r="Q1726" s="956">
        <f>IFERROR(VLOOKUP(B1726,[2]מעובד!$D:$K,8,0),0)</f>
        <v>82</v>
      </c>
      <c r="R1726" s="956">
        <f>IFERROR(VLOOKUP(B1726,[2]מעובד!$D:$L,9,0),0)</f>
        <v>40</v>
      </c>
    </row>
    <row r="1727" spans="1:18" x14ac:dyDescent="0.2">
      <c r="A1727" s="947" t="s">
        <v>383</v>
      </c>
      <c r="B1727" s="947">
        <v>484022</v>
      </c>
      <c r="C1727" s="947" t="s">
        <v>2189</v>
      </c>
      <c r="D1727" s="947" t="s">
        <v>2660</v>
      </c>
      <c r="E1727" s="951">
        <v>328</v>
      </c>
      <c r="F1727" s="951">
        <v>291</v>
      </c>
      <c r="G1727" s="947" t="s">
        <v>159</v>
      </c>
      <c r="H1727" s="951">
        <v>0</v>
      </c>
      <c r="I1727" s="951">
        <v>0</v>
      </c>
      <c r="J1727" s="947" t="s">
        <v>383</v>
      </c>
      <c r="K1727" s="947">
        <v>484022</v>
      </c>
      <c r="M1727" s="631"/>
      <c r="P1727" s="950" t="str">
        <f>VLOOKUP(J1727,'רשימת רשויות'!A:A,1,0)</f>
        <v>ראש העין</v>
      </c>
      <c r="Q1727" s="956">
        <f>IFERROR(VLOOKUP(B1727,[2]מעובד!$D:$K,8,0),0)</f>
        <v>182</v>
      </c>
      <c r="R1727" s="956">
        <f>IFERROR(VLOOKUP(B1727,[2]מעובד!$D:$L,9,0),0)</f>
        <v>182</v>
      </c>
    </row>
    <row r="1728" spans="1:18" x14ac:dyDescent="0.2">
      <c r="A1728" s="947" t="s">
        <v>383</v>
      </c>
      <c r="B1728" s="947">
        <v>484048</v>
      </c>
      <c r="C1728" s="947" t="s">
        <v>2189</v>
      </c>
      <c r="D1728" s="947" t="s">
        <v>451</v>
      </c>
      <c r="E1728" s="951">
        <v>271</v>
      </c>
      <c r="F1728" s="951">
        <v>257</v>
      </c>
      <c r="G1728" s="947" t="s">
        <v>159</v>
      </c>
      <c r="H1728" s="951">
        <v>107</v>
      </c>
      <c r="I1728" s="951">
        <v>14</v>
      </c>
      <c r="J1728" s="947" t="s">
        <v>383</v>
      </c>
      <c r="K1728" s="947">
        <v>484048</v>
      </c>
      <c r="M1728" s="631"/>
      <c r="P1728" s="950" t="str">
        <f>VLOOKUP(J1728,'רשימת רשויות'!A:A,1,0)</f>
        <v>ראש העין</v>
      </c>
      <c r="Q1728" s="956">
        <f>IFERROR(VLOOKUP(B1728,[2]מעובד!$D:$K,8,0),0)</f>
        <v>183</v>
      </c>
      <c r="R1728" s="956">
        <f>IFERROR(VLOOKUP(B1728,[2]מעובד!$D:$L,9,0),0)</f>
        <v>183</v>
      </c>
    </row>
    <row r="1729" spans="1:18" x14ac:dyDescent="0.2">
      <c r="A1729" s="947" t="s">
        <v>262</v>
      </c>
      <c r="B1729" s="947">
        <v>484055</v>
      </c>
      <c r="C1729" s="947" t="s">
        <v>2189</v>
      </c>
      <c r="D1729" s="947" t="s">
        <v>2080</v>
      </c>
      <c r="E1729" s="951">
        <v>272</v>
      </c>
      <c r="F1729" s="951">
        <v>170</v>
      </c>
      <c r="G1729" s="947" t="s">
        <v>159</v>
      </c>
      <c r="H1729" s="951">
        <v>0</v>
      </c>
      <c r="I1729" s="951">
        <v>0</v>
      </c>
      <c r="J1729" s="947" t="s">
        <v>262</v>
      </c>
      <c r="K1729" s="947">
        <v>484055</v>
      </c>
      <c r="M1729" s="631"/>
      <c r="P1729" s="950" t="str">
        <f>VLOOKUP(J1729,'רשימת רשויות'!A:A,1,0)</f>
        <v>יבנה</v>
      </c>
      <c r="Q1729" s="956">
        <f>IFERROR(VLOOKUP(B1729,[2]מעובד!$D:$K,8,0),0)</f>
        <v>168</v>
      </c>
      <c r="R1729" s="956">
        <f>IFERROR(VLOOKUP(B1729,[2]מעובד!$D:$L,9,0),0)</f>
        <v>90</v>
      </c>
    </row>
    <row r="1730" spans="1:18" x14ac:dyDescent="0.2">
      <c r="A1730" s="947" t="s">
        <v>402</v>
      </c>
      <c r="B1730" s="947">
        <v>484071</v>
      </c>
      <c r="C1730" s="947" t="s">
        <v>2189</v>
      </c>
      <c r="D1730" s="947" t="s">
        <v>2231</v>
      </c>
      <c r="E1730" s="951">
        <v>297</v>
      </c>
      <c r="F1730" s="951">
        <v>281</v>
      </c>
      <c r="G1730" s="947" t="s">
        <v>159</v>
      </c>
      <c r="H1730" s="951">
        <v>0</v>
      </c>
      <c r="I1730" s="951">
        <v>0</v>
      </c>
      <c r="J1730" s="947" t="s">
        <v>402</v>
      </c>
      <c r="K1730" s="947">
        <v>484071</v>
      </c>
      <c r="M1730" s="631"/>
      <c r="P1730" s="950" t="str">
        <f>VLOOKUP(J1730,'רשימת רשויות'!A:A,1,0)</f>
        <v>שומרון</v>
      </c>
      <c r="Q1730" s="956">
        <f>IFERROR(VLOOKUP(B1730,[2]מעובד!$D:$K,8,0),0)</f>
        <v>182</v>
      </c>
      <c r="R1730" s="956">
        <f>IFERROR(VLOOKUP(B1730,[2]מעובד!$D:$L,9,0),0)</f>
        <v>108</v>
      </c>
    </row>
    <row r="1731" spans="1:18" x14ac:dyDescent="0.2">
      <c r="A1731" s="947" t="s">
        <v>385</v>
      </c>
      <c r="B1731" s="947">
        <v>484105</v>
      </c>
      <c r="C1731" s="947" t="s">
        <v>2189</v>
      </c>
      <c r="D1731" s="947" t="s">
        <v>507</v>
      </c>
      <c r="E1731" s="951">
        <v>321</v>
      </c>
      <c r="F1731" s="951">
        <v>248</v>
      </c>
      <c r="G1731" s="947" t="s">
        <v>159</v>
      </c>
      <c r="H1731" s="951">
        <v>0</v>
      </c>
      <c r="I1731" s="951">
        <v>0</v>
      </c>
      <c r="J1731" s="947" t="s">
        <v>385</v>
      </c>
      <c r="K1731" s="947">
        <v>484105</v>
      </c>
      <c r="M1731" s="631"/>
      <c r="P1731" s="950" t="str">
        <f>VLOOKUP(J1731,'רשימת רשויות'!A:A,1,0)</f>
        <v>ראשון לציון</v>
      </c>
      <c r="Q1731" s="956">
        <f>IFERROR(VLOOKUP(B1731,[2]מעובד!$D:$K,8,0),0)</f>
        <v>401</v>
      </c>
      <c r="R1731" s="956">
        <f>IFERROR(VLOOKUP(B1731,[2]מעובד!$D:$L,9,0),0)</f>
        <v>93</v>
      </c>
    </row>
    <row r="1732" spans="1:18" x14ac:dyDescent="0.2">
      <c r="A1732" s="947" t="s">
        <v>186</v>
      </c>
      <c r="B1732" s="947">
        <v>484139</v>
      </c>
      <c r="C1732" s="947" t="s">
        <v>2189</v>
      </c>
      <c r="D1732" s="947" t="s">
        <v>451</v>
      </c>
      <c r="E1732" s="951">
        <v>212</v>
      </c>
      <c r="F1732" s="951">
        <v>154</v>
      </c>
      <c r="G1732" s="947" t="s">
        <v>159</v>
      </c>
      <c r="H1732" s="951">
        <v>0</v>
      </c>
      <c r="I1732" s="951">
        <v>0</v>
      </c>
      <c r="J1732" s="947" t="s">
        <v>186</v>
      </c>
      <c r="K1732" s="947">
        <v>484139</v>
      </c>
      <c r="M1732" s="631"/>
      <c r="P1732" s="950" t="str">
        <f>VLOOKUP(J1732,'רשימת רשויות'!A:A,1,0)</f>
        <v>באר יעקב</v>
      </c>
      <c r="Q1732" s="956">
        <f>IFERROR(VLOOKUP(B1732,[2]מעובד!$D:$K,8,0),0)</f>
        <v>155</v>
      </c>
      <c r="R1732" s="956">
        <f>IFERROR(VLOOKUP(B1732,[2]מעובד!$D:$L,9,0),0)</f>
        <v>80</v>
      </c>
    </row>
    <row r="1733" spans="1:18" x14ac:dyDescent="0.2">
      <c r="A1733" s="947" t="s">
        <v>409</v>
      </c>
      <c r="B1733" s="947">
        <v>484162</v>
      </c>
      <c r="C1733" s="947" t="s">
        <v>2189</v>
      </c>
      <c r="D1733" s="947" t="s">
        <v>2656</v>
      </c>
      <c r="E1733" s="951">
        <v>173</v>
      </c>
      <c r="F1733" s="951">
        <v>138</v>
      </c>
      <c r="G1733" s="947" t="s">
        <v>159</v>
      </c>
      <c r="H1733" s="951">
        <v>63</v>
      </c>
      <c r="I1733" s="951">
        <v>8</v>
      </c>
      <c r="J1733" s="947" t="s">
        <v>409</v>
      </c>
      <c r="K1733" s="947">
        <v>484162</v>
      </c>
      <c r="M1733" s="631"/>
      <c r="P1733" s="950" t="str">
        <f>VLOOKUP(J1733,'רשימת רשויות'!A:A,1,0)</f>
        <v>תל מונד</v>
      </c>
      <c r="Q1733" s="956">
        <f>IFERROR(VLOOKUP(B1733,[2]מעובד!$D:$K,8,0),0)</f>
        <v>0</v>
      </c>
      <c r="R1733" s="956">
        <f>IFERROR(VLOOKUP(B1733,[2]מעובד!$D:$L,9,0),0)</f>
        <v>0</v>
      </c>
    </row>
    <row r="1734" spans="1:18" x14ac:dyDescent="0.2">
      <c r="A1734" s="947" t="s">
        <v>395</v>
      </c>
      <c r="B1734" s="947">
        <v>484170</v>
      </c>
      <c r="C1734" s="947" t="s">
        <v>2189</v>
      </c>
      <c r="D1734" s="947" t="s">
        <v>2661</v>
      </c>
      <c r="E1734" s="951">
        <v>211</v>
      </c>
      <c r="F1734" s="951">
        <v>210</v>
      </c>
      <c r="G1734" s="947" t="s">
        <v>159</v>
      </c>
      <c r="H1734" s="951">
        <v>0</v>
      </c>
      <c r="I1734" s="951">
        <v>0</v>
      </c>
      <c r="J1734" s="947" t="s">
        <v>395</v>
      </c>
      <c r="K1734" s="947">
        <v>484170</v>
      </c>
      <c r="M1734" s="631"/>
      <c r="P1734" s="950" t="str">
        <f>VLOOKUP(J1734,'רשימת רשויות'!A:A,1,0)</f>
        <v>רעננה</v>
      </c>
      <c r="Q1734" s="956">
        <f>IFERROR(VLOOKUP(B1734,[2]מעובד!$D:$K,8,0),0)</f>
        <v>0</v>
      </c>
      <c r="R1734" s="956">
        <f>IFERROR(VLOOKUP(B1734,[2]מעובד!$D:$L,9,0),0)</f>
        <v>0</v>
      </c>
    </row>
    <row r="1735" spans="1:18" x14ac:dyDescent="0.2">
      <c r="A1735" s="947" t="s">
        <v>186</v>
      </c>
      <c r="B1735" s="947">
        <v>484196</v>
      </c>
      <c r="C1735" s="947" t="s">
        <v>2189</v>
      </c>
      <c r="D1735" s="947" t="s">
        <v>435</v>
      </c>
      <c r="E1735" s="951">
        <v>180</v>
      </c>
      <c r="F1735" s="951">
        <v>123</v>
      </c>
      <c r="G1735" s="947" t="s">
        <v>159</v>
      </c>
      <c r="H1735" s="951">
        <v>0</v>
      </c>
      <c r="I1735" s="951">
        <v>0</v>
      </c>
      <c r="J1735" s="947" t="s">
        <v>186</v>
      </c>
      <c r="K1735" s="947">
        <v>484196</v>
      </c>
      <c r="M1735" s="631"/>
      <c r="P1735" s="950" t="str">
        <f>VLOOKUP(J1735,'רשימת רשויות'!A:A,1,0)</f>
        <v>באר יעקב</v>
      </c>
      <c r="Q1735" s="956">
        <f>IFERROR(VLOOKUP(B1735,[2]מעובד!$D:$K,8,0),0)</f>
        <v>0</v>
      </c>
      <c r="R1735" s="956">
        <f>IFERROR(VLOOKUP(B1735,[2]מעובד!$D:$L,9,0),0)</f>
        <v>0</v>
      </c>
    </row>
    <row r="1736" spans="1:18" x14ac:dyDescent="0.2">
      <c r="A1736" s="947" t="s">
        <v>221</v>
      </c>
      <c r="B1736" s="947">
        <v>484295</v>
      </c>
      <c r="C1736" s="947" t="s">
        <v>2189</v>
      </c>
      <c r="D1736" s="947" t="s">
        <v>2751</v>
      </c>
      <c r="E1736" s="951">
        <v>183</v>
      </c>
      <c r="F1736" s="951">
        <v>146</v>
      </c>
      <c r="G1736" s="947" t="s">
        <v>159</v>
      </c>
      <c r="H1736" s="951">
        <v>0</v>
      </c>
      <c r="I1736" s="951">
        <v>0</v>
      </c>
      <c r="J1736" s="947" t="s">
        <v>221</v>
      </c>
      <c r="K1736" s="947">
        <v>484295</v>
      </c>
      <c r="M1736" s="631"/>
      <c r="P1736" s="950" t="str">
        <f>VLOOKUP(J1736,'רשימת רשויות'!A:A,1,0)</f>
        <v>גן יבנה</v>
      </c>
      <c r="Q1736" s="956">
        <f>IFERROR(VLOOKUP(B1736,[2]מעובד!$D:$K,8,0),0)</f>
        <v>105</v>
      </c>
      <c r="R1736" s="956">
        <f>IFERROR(VLOOKUP(B1736,[2]מעובד!$D:$L,9,0),0)</f>
        <v>73</v>
      </c>
    </row>
    <row r="1737" spans="1:18" x14ac:dyDescent="0.2">
      <c r="A1737" s="947" t="s">
        <v>385</v>
      </c>
      <c r="B1737" s="947">
        <v>484303</v>
      </c>
      <c r="C1737" s="947" t="s">
        <v>2189</v>
      </c>
      <c r="D1737" s="947" t="s">
        <v>1045</v>
      </c>
      <c r="E1737" s="951">
        <v>195</v>
      </c>
      <c r="F1737" s="951">
        <v>184</v>
      </c>
      <c r="G1737" s="947" t="s">
        <v>159</v>
      </c>
      <c r="H1737" s="951">
        <v>0</v>
      </c>
      <c r="I1737" s="951">
        <v>0</v>
      </c>
      <c r="J1737" s="947" t="s">
        <v>385</v>
      </c>
      <c r="K1737" s="947">
        <v>484303</v>
      </c>
      <c r="M1737" s="631"/>
      <c r="P1737" s="950" t="str">
        <f>VLOOKUP(J1737,'רשימת רשויות'!A:A,1,0)</f>
        <v>ראשון לציון</v>
      </c>
      <c r="Q1737" s="956">
        <f>IFERROR(VLOOKUP(B1737,[2]מעובד!$D:$K,8,0),0)</f>
        <v>49</v>
      </c>
      <c r="R1737" s="956">
        <f>IFERROR(VLOOKUP(B1737,[2]מעובד!$D:$L,9,0),0)</f>
        <v>34</v>
      </c>
    </row>
    <row r="1738" spans="1:18" x14ac:dyDescent="0.2">
      <c r="A1738" s="947" t="s">
        <v>293</v>
      </c>
      <c r="B1738" s="947">
        <v>484329</v>
      </c>
      <c r="C1738" s="947" t="s">
        <v>2189</v>
      </c>
      <c r="D1738" s="947" t="s">
        <v>2732</v>
      </c>
      <c r="E1738" s="951">
        <v>115</v>
      </c>
      <c r="F1738" s="951">
        <v>115</v>
      </c>
      <c r="G1738" s="947" t="s">
        <v>159</v>
      </c>
      <c r="H1738" s="951">
        <v>0</v>
      </c>
      <c r="I1738" s="951">
        <v>0</v>
      </c>
      <c r="J1738" s="947" t="s">
        <v>293</v>
      </c>
      <c r="K1738" s="947">
        <v>484329</v>
      </c>
      <c r="M1738" s="631"/>
      <c r="P1738" s="950" t="str">
        <f>VLOOKUP(J1738,'רשימת רשויות'!A:A,1,0)</f>
        <v>לוד</v>
      </c>
      <c r="Q1738" s="956">
        <f>IFERROR(VLOOKUP(B1738,[2]מעובד!$D:$K,8,0),0)</f>
        <v>86</v>
      </c>
      <c r="R1738" s="956">
        <f>IFERROR(VLOOKUP(B1738,[2]מעובד!$D:$L,9,0),0)</f>
        <v>71</v>
      </c>
    </row>
    <row r="1739" spans="1:18" x14ac:dyDescent="0.2">
      <c r="A1739" s="947" t="s">
        <v>293</v>
      </c>
      <c r="B1739" s="947">
        <v>484345</v>
      </c>
      <c r="C1739" s="947" t="s">
        <v>2189</v>
      </c>
      <c r="D1739" s="947" t="s">
        <v>2733</v>
      </c>
      <c r="E1739" s="951">
        <v>49</v>
      </c>
      <c r="F1739" s="951">
        <v>49</v>
      </c>
      <c r="G1739" s="947" t="s">
        <v>159</v>
      </c>
      <c r="H1739" s="951">
        <v>0</v>
      </c>
      <c r="I1739" s="951">
        <v>0</v>
      </c>
      <c r="J1739" s="947" t="s">
        <v>293</v>
      </c>
      <c r="K1739" s="947">
        <v>484345</v>
      </c>
      <c r="M1739" s="631"/>
      <c r="P1739" s="950" t="str">
        <f>VLOOKUP(J1739,'רשימת רשויות'!A:A,1,0)</f>
        <v>לוד</v>
      </c>
      <c r="Q1739" s="956">
        <f>IFERROR(VLOOKUP(B1739,[2]מעובד!$D:$K,8,0),0)</f>
        <v>0</v>
      </c>
      <c r="R1739" s="956">
        <f>IFERROR(VLOOKUP(B1739,[2]מעובד!$D:$L,9,0),0)</f>
        <v>0</v>
      </c>
    </row>
    <row r="1740" spans="1:18" x14ac:dyDescent="0.2">
      <c r="A1740" s="947" t="s">
        <v>385</v>
      </c>
      <c r="B1740" s="947">
        <v>484360</v>
      </c>
      <c r="C1740" s="947" t="s">
        <v>2189</v>
      </c>
      <c r="D1740" s="947" t="s">
        <v>3066</v>
      </c>
      <c r="E1740" s="951">
        <v>174</v>
      </c>
      <c r="F1740" s="951">
        <v>143</v>
      </c>
      <c r="G1740" s="947" t="s">
        <v>159</v>
      </c>
      <c r="H1740" s="951">
        <v>0</v>
      </c>
      <c r="I1740" s="951">
        <v>0</v>
      </c>
      <c r="J1740" s="947" t="s">
        <v>385</v>
      </c>
      <c r="K1740" s="947">
        <v>484360</v>
      </c>
      <c r="M1740" s="631"/>
      <c r="P1740" s="950" t="str">
        <f>VLOOKUP(J1740,'רשימת רשויות'!A:A,1,0)</f>
        <v>ראשון לציון</v>
      </c>
      <c r="Q1740" s="956">
        <f>IFERROR(VLOOKUP(B1740,[2]מעובד!$D:$K,8,0),0)</f>
        <v>77</v>
      </c>
      <c r="R1740" s="956">
        <f>IFERROR(VLOOKUP(B1740,[2]מעובד!$D:$L,9,0),0)</f>
        <v>48</v>
      </c>
    </row>
    <row r="1741" spans="1:18" x14ac:dyDescent="0.2">
      <c r="A1741" s="947" t="s">
        <v>390</v>
      </c>
      <c r="B1741" s="947">
        <v>484402</v>
      </c>
      <c r="C1741" s="947" t="s">
        <v>2189</v>
      </c>
      <c r="D1741" s="947" t="s">
        <v>3067</v>
      </c>
      <c r="E1741" s="951">
        <v>80</v>
      </c>
      <c r="F1741" s="951">
        <v>65</v>
      </c>
      <c r="G1741" s="947" t="s">
        <v>159</v>
      </c>
      <c r="H1741" s="951">
        <v>0</v>
      </c>
      <c r="I1741" s="951">
        <v>0</v>
      </c>
      <c r="J1741" s="947" t="s">
        <v>390</v>
      </c>
      <c r="K1741" s="947">
        <v>484402</v>
      </c>
      <c r="M1741" s="631"/>
      <c r="P1741" s="950" t="str">
        <f>VLOOKUP(J1741,'רשימת רשויות'!A:A,1,0)</f>
        <v>רמלה</v>
      </c>
      <c r="Q1741" s="956">
        <f>IFERROR(VLOOKUP(B1741,[2]מעובד!$D:$K,8,0),0)</f>
        <v>70</v>
      </c>
      <c r="R1741" s="956">
        <f>IFERROR(VLOOKUP(B1741,[2]מעובד!$D:$L,9,0),0)</f>
        <v>69</v>
      </c>
    </row>
    <row r="1742" spans="1:18" x14ac:dyDescent="0.2">
      <c r="A1742" s="947" t="s">
        <v>284</v>
      </c>
      <c r="B1742" s="947">
        <v>484477</v>
      </c>
      <c r="C1742" s="947" t="s">
        <v>2189</v>
      </c>
      <c r="D1742" s="947" t="s">
        <v>3068</v>
      </c>
      <c r="E1742" s="951">
        <v>82</v>
      </c>
      <c r="F1742" s="951">
        <v>63</v>
      </c>
      <c r="G1742" s="947" t="s">
        <v>159</v>
      </c>
      <c r="H1742" s="951">
        <v>0</v>
      </c>
      <c r="I1742" s="951">
        <v>0</v>
      </c>
      <c r="J1742" s="947" t="s">
        <v>284</v>
      </c>
      <c r="K1742" s="947">
        <v>484477</v>
      </c>
      <c r="M1742" s="631"/>
      <c r="P1742" s="950" t="str">
        <f>VLOOKUP(J1742,'רשימת רשויות'!A:A,1,0)</f>
        <v>כפר סבא</v>
      </c>
      <c r="Q1742" s="956">
        <f>IFERROR(VLOOKUP(B1742,[2]מעובד!$D:$K,8,0),0)</f>
        <v>0</v>
      </c>
      <c r="R1742" s="956">
        <f>IFERROR(VLOOKUP(B1742,[2]מעובד!$D:$L,9,0),0)</f>
        <v>0</v>
      </c>
    </row>
    <row r="1743" spans="1:18" x14ac:dyDescent="0.2">
      <c r="A1743" s="947" t="s">
        <v>262</v>
      </c>
      <c r="B1743" s="947">
        <v>484485</v>
      </c>
      <c r="C1743" s="947" t="s">
        <v>2189</v>
      </c>
      <c r="D1743" s="947" t="s">
        <v>3069</v>
      </c>
      <c r="E1743" s="951">
        <v>50</v>
      </c>
      <c r="F1743" s="951">
        <v>44</v>
      </c>
      <c r="G1743" s="947" t="s">
        <v>159</v>
      </c>
      <c r="H1743" s="951">
        <v>0</v>
      </c>
      <c r="I1743" s="951">
        <v>0</v>
      </c>
      <c r="J1743" s="947" t="s">
        <v>262</v>
      </c>
      <c r="K1743" s="947">
        <v>484485</v>
      </c>
      <c r="M1743" s="631"/>
      <c r="P1743" s="950" t="str">
        <f>VLOOKUP(J1743,'רשימת רשויות'!A:A,1,0)</f>
        <v>יבנה</v>
      </c>
      <c r="Q1743" s="956">
        <f>IFERROR(VLOOKUP(B1743,[2]מעובד!$D:$K,8,0),0)</f>
        <v>0</v>
      </c>
      <c r="R1743" s="956">
        <f>IFERROR(VLOOKUP(B1743,[2]מעובד!$D:$L,9,0),0)</f>
        <v>0</v>
      </c>
    </row>
    <row r="1744" spans="1:18" x14ac:dyDescent="0.2">
      <c r="A1744" s="947" t="s">
        <v>346</v>
      </c>
      <c r="B1744" s="947">
        <v>499673</v>
      </c>
      <c r="C1744" s="947" t="s">
        <v>2189</v>
      </c>
      <c r="D1744" s="947" t="s">
        <v>2088</v>
      </c>
      <c r="E1744" s="951">
        <v>58</v>
      </c>
      <c r="F1744" s="951">
        <v>58</v>
      </c>
      <c r="G1744" s="947" t="s">
        <v>3252</v>
      </c>
      <c r="H1744" s="951">
        <v>0</v>
      </c>
      <c r="I1744" s="951">
        <v>0</v>
      </c>
      <c r="J1744" s="947" t="s">
        <v>346</v>
      </c>
      <c r="K1744" s="947">
        <v>499673</v>
      </c>
      <c r="M1744" s="631"/>
      <c r="P1744" s="950" t="str">
        <f>VLOOKUP(J1744,'רשימת רשויות'!A:A,1,0)</f>
        <v>עכו</v>
      </c>
      <c r="Q1744" s="956">
        <f>IFERROR(VLOOKUP(B1744,[2]מעובד!$D:$K,8,0),0)</f>
        <v>0</v>
      </c>
      <c r="R1744" s="956">
        <f>IFERROR(VLOOKUP(B1744,[2]מעובד!$D:$L,9,0),0)</f>
        <v>0</v>
      </c>
    </row>
    <row r="1745" spans="1:18" x14ac:dyDescent="0.2">
      <c r="A1745" s="947" t="s">
        <v>197</v>
      </c>
      <c r="B1745" s="947">
        <v>499707</v>
      </c>
      <c r="C1745" s="947" t="s">
        <v>2189</v>
      </c>
      <c r="D1745" s="947" t="s">
        <v>2089</v>
      </c>
      <c r="E1745" s="951">
        <v>55</v>
      </c>
      <c r="F1745" s="951">
        <v>55</v>
      </c>
      <c r="G1745" s="947" t="s">
        <v>3252</v>
      </c>
      <c r="H1745" s="951">
        <v>0</v>
      </c>
      <c r="I1745" s="951">
        <v>0</v>
      </c>
      <c r="J1745" s="947" t="s">
        <v>197</v>
      </c>
      <c r="K1745" s="947">
        <v>499707</v>
      </c>
      <c r="M1745" s="631"/>
      <c r="P1745" s="950" t="str">
        <f>VLOOKUP(J1745,'רשימת רשויות'!A:A,1,0)</f>
        <v>ביתר עילית</v>
      </c>
      <c r="Q1745" s="956">
        <f>IFERROR(VLOOKUP(B1745,[2]מעובד!$D:$K,8,0),0)</f>
        <v>0</v>
      </c>
      <c r="R1745" s="956">
        <f>IFERROR(VLOOKUP(B1745,[2]מעובד!$D:$L,9,0),0)</f>
        <v>0</v>
      </c>
    </row>
    <row r="1746" spans="1:18" x14ac:dyDescent="0.2">
      <c r="A1746" s="947" t="s">
        <v>196</v>
      </c>
      <c r="B1746" s="947">
        <v>499731</v>
      </c>
      <c r="C1746" s="947" t="s">
        <v>2189</v>
      </c>
      <c r="D1746" s="947" t="s">
        <v>2440</v>
      </c>
      <c r="E1746" s="951">
        <v>41</v>
      </c>
      <c r="F1746" s="951">
        <v>41</v>
      </c>
      <c r="G1746" s="947" t="s">
        <v>3252</v>
      </c>
      <c r="H1746" s="951">
        <v>0</v>
      </c>
      <c r="I1746" s="951">
        <v>0</v>
      </c>
      <c r="J1746" s="947" t="s">
        <v>196</v>
      </c>
      <c r="K1746" s="947">
        <v>499731</v>
      </c>
      <c r="M1746" s="631"/>
      <c r="P1746" s="950" t="str">
        <f>VLOOKUP(J1746,'רשימת רשויות'!A:A,1,0)</f>
        <v>בית שמש</v>
      </c>
      <c r="Q1746" s="956">
        <f>IFERROR(VLOOKUP(B1746,[2]מעובד!$D:$K,8,0),0)</f>
        <v>0</v>
      </c>
      <c r="R1746" s="956">
        <f>IFERROR(VLOOKUP(B1746,[2]מעובד!$D:$L,9,0),0)</f>
        <v>0</v>
      </c>
    </row>
    <row r="1747" spans="1:18" x14ac:dyDescent="0.2">
      <c r="A1747" s="947" t="s">
        <v>197</v>
      </c>
      <c r="B1747" s="947">
        <v>499889</v>
      </c>
      <c r="C1747" s="947" t="s">
        <v>2189</v>
      </c>
      <c r="D1747" s="947" t="s">
        <v>2100</v>
      </c>
      <c r="E1747" s="951">
        <v>146</v>
      </c>
      <c r="F1747" s="951">
        <v>146</v>
      </c>
      <c r="G1747" s="947" t="s">
        <v>3252</v>
      </c>
      <c r="H1747" s="951">
        <v>0</v>
      </c>
      <c r="I1747" s="951">
        <v>0</v>
      </c>
      <c r="J1747" s="947" t="s">
        <v>197</v>
      </c>
      <c r="K1747" s="947">
        <v>499889</v>
      </c>
      <c r="M1747" s="631"/>
      <c r="P1747" s="950" t="str">
        <f>VLOOKUP(J1747,'רשימת רשויות'!A:A,1,0)</f>
        <v>ביתר עילית</v>
      </c>
      <c r="Q1747" s="956">
        <f>IFERROR(VLOOKUP(B1747,[2]מעובד!$D:$K,8,0),0)</f>
        <v>0</v>
      </c>
      <c r="R1747" s="956">
        <f>IFERROR(VLOOKUP(B1747,[2]מעובד!$D:$L,9,0),0)</f>
        <v>0</v>
      </c>
    </row>
    <row r="1748" spans="1:18" x14ac:dyDescent="0.2">
      <c r="A1748" s="947" t="s">
        <v>270</v>
      </c>
      <c r="B1748" s="947">
        <v>499897</v>
      </c>
      <c r="C1748" s="947" t="s">
        <v>2189</v>
      </c>
      <c r="D1748" s="947" t="s">
        <v>3070</v>
      </c>
      <c r="E1748" s="951">
        <v>189</v>
      </c>
      <c r="F1748" s="951">
        <v>0</v>
      </c>
      <c r="G1748" s="947" t="s">
        <v>3252</v>
      </c>
      <c r="H1748" s="951">
        <v>0</v>
      </c>
      <c r="I1748" s="951">
        <v>0</v>
      </c>
      <c r="J1748" s="947" t="s">
        <v>270</v>
      </c>
      <c r="K1748" s="947">
        <v>499897</v>
      </c>
      <c r="M1748" s="631"/>
      <c r="P1748" s="950" t="str">
        <f>VLOOKUP(J1748,'רשימת רשויות'!A:A,1,0)</f>
        <v>ירושלים</v>
      </c>
      <c r="Q1748" s="956">
        <f>IFERROR(VLOOKUP(B1748,[2]מעובד!$D:$K,8,0),0)</f>
        <v>0</v>
      </c>
      <c r="R1748" s="956">
        <f>IFERROR(VLOOKUP(B1748,[2]מעובד!$D:$L,9,0),0)</f>
        <v>0</v>
      </c>
    </row>
    <row r="1749" spans="1:18" x14ac:dyDescent="0.2">
      <c r="A1749" s="947" t="s">
        <v>284</v>
      </c>
      <c r="B1749" s="947">
        <v>499921</v>
      </c>
      <c r="C1749" s="947" t="s">
        <v>2189</v>
      </c>
      <c r="D1749" s="947" t="s">
        <v>2441</v>
      </c>
      <c r="E1749" s="951">
        <v>73</v>
      </c>
      <c r="F1749" s="951">
        <v>73</v>
      </c>
      <c r="G1749" s="947" t="s">
        <v>3252</v>
      </c>
      <c r="H1749" s="951">
        <v>0</v>
      </c>
      <c r="I1749" s="951">
        <v>0</v>
      </c>
      <c r="J1749" s="947" t="s">
        <v>284</v>
      </c>
      <c r="K1749" s="947">
        <v>499921</v>
      </c>
      <c r="M1749" s="631"/>
      <c r="P1749" s="950" t="str">
        <f>VLOOKUP(J1749,'רשימת רשויות'!A:A,1,0)</f>
        <v>כפר סבא</v>
      </c>
      <c r="Q1749" s="956">
        <f>IFERROR(VLOOKUP(B1749,[2]מעובד!$D:$K,8,0),0)</f>
        <v>0</v>
      </c>
      <c r="R1749" s="956">
        <f>IFERROR(VLOOKUP(B1749,[2]מעובד!$D:$L,9,0),0)</f>
        <v>0</v>
      </c>
    </row>
    <row r="1750" spans="1:18" x14ac:dyDescent="0.2">
      <c r="A1750" s="947" t="s">
        <v>165</v>
      </c>
      <c r="B1750" s="947">
        <v>510024</v>
      </c>
      <c r="C1750" s="947" t="s">
        <v>2189</v>
      </c>
      <c r="D1750" s="947" t="s">
        <v>502</v>
      </c>
      <c r="E1750" s="951">
        <v>171</v>
      </c>
      <c r="F1750" s="951">
        <v>46</v>
      </c>
      <c r="G1750" s="947" t="s">
        <v>159</v>
      </c>
      <c r="H1750" s="951">
        <v>124</v>
      </c>
      <c r="I1750" s="951">
        <v>0</v>
      </c>
      <c r="J1750" s="947" t="s">
        <v>165</v>
      </c>
      <c r="K1750" s="957" t="s">
        <v>3327</v>
      </c>
      <c r="M1750" s="631"/>
      <c r="P1750" s="950" t="str">
        <f>VLOOKUP(J1750,'רשימת רשויות'!A:A,1,0)</f>
        <v>אור יהודה</v>
      </c>
      <c r="Q1750" s="956">
        <f>IFERROR(VLOOKUP(B1750,[2]מעובד!$D:$K,8,0),0)</f>
        <v>175</v>
      </c>
      <c r="R1750" s="956">
        <f>IFERROR(VLOOKUP(B1750,[2]מעובד!$D:$L,9,0),0)</f>
        <v>81</v>
      </c>
    </row>
    <row r="1751" spans="1:18" x14ac:dyDescent="0.2">
      <c r="A1751" s="947" t="s">
        <v>165</v>
      </c>
      <c r="B1751" s="947">
        <v>510057</v>
      </c>
      <c r="C1751" s="947" t="s">
        <v>2189</v>
      </c>
      <c r="D1751" s="947" t="s">
        <v>812</v>
      </c>
      <c r="E1751" s="951">
        <v>253</v>
      </c>
      <c r="F1751" s="951">
        <v>137</v>
      </c>
      <c r="G1751" s="947" t="s">
        <v>159</v>
      </c>
      <c r="H1751" s="951">
        <v>169</v>
      </c>
      <c r="I1751" s="951">
        <v>6</v>
      </c>
      <c r="J1751" s="947" t="s">
        <v>165</v>
      </c>
      <c r="K1751" s="947">
        <v>510057</v>
      </c>
      <c r="M1751" s="631"/>
      <c r="P1751" s="950" t="str">
        <f>VLOOKUP(J1751,'רשימת רשויות'!A:A,1,0)</f>
        <v>אור יהודה</v>
      </c>
      <c r="Q1751" s="956">
        <f>IFERROR(VLOOKUP(B1751,[2]מעובד!$D:$K,8,0),0)</f>
        <v>189</v>
      </c>
      <c r="R1751" s="956">
        <f>IFERROR(VLOOKUP(B1751,[2]מעובד!$D:$L,9,0),0)</f>
        <v>74</v>
      </c>
    </row>
    <row r="1752" spans="1:18" x14ac:dyDescent="0.2">
      <c r="A1752" s="947" t="s">
        <v>165</v>
      </c>
      <c r="B1752" s="947">
        <v>510065</v>
      </c>
      <c r="C1752" s="947" t="s">
        <v>2189</v>
      </c>
      <c r="D1752" s="947" t="s">
        <v>813</v>
      </c>
      <c r="E1752" s="951">
        <v>101</v>
      </c>
      <c r="F1752" s="951">
        <v>78</v>
      </c>
      <c r="G1752" s="947" t="s">
        <v>159</v>
      </c>
      <c r="H1752" s="951">
        <v>72</v>
      </c>
      <c r="I1752" s="951">
        <v>0</v>
      </c>
      <c r="J1752" s="947" t="s">
        <v>165</v>
      </c>
      <c r="K1752" s="947">
        <v>510065</v>
      </c>
      <c r="M1752" s="631"/>
      <c r="P1752" s="950" t="str">
        <f>VLOOKUP(J1752,'רשימת רשויות'!A:A,1,0)</f>
        <v>אור יהודה</v>
      </c>
      <c r="Q1752" s="956">
        <f>IFERROR(VLOOKUP(B1752,[2]מעובד!$D:$K,8,0),0)</f>
        <v>81</v>
      </c>
      <c r="R1752" s="956">
        <f>IFERROR(VLOOKUP(B1752,[2]מעובד!$D:$L,9,0),0)</f>
        <v>50</v>
      </c>
    </row>
    <row r="1753" spans="1:18" x14ac:dyDescent="0.2">
      <c r="A1753" s="947" t="s">
        <v>168</v>
      </c>
      <c r="B1753" s="947">
        <v>510073</v>
      </c>
      <c r="C1753" s="947" t="s">
        <v>2189</v>
      </c>
      <c r="D1753" s="947" t="s">
        <v>814</v>
      </c>
      <c r="E1753" s="951">
        <v>169</v>
      </c>
      <c r="F1753" s="951">
        <v>139</v>
      </c>
      <c r="G1753" s="947" t="s">
        <v>159</v>
      </c>
      <c r="H1753" s="951">
        <v>0</v>
      </c>
      <c r="I1753" s="951">
        <v>0</v>
      </c>
      <c r="J1753" s="947" t="s">
        <v>168</v>
      </c>
      <c r="K1753" s="947">
        <v>510073</v>
      </c>
      <c r="M1753" s="631"/>
      <c r="P1753" s="950" t="str">
        <f>VLOOKUP(J1753,'רשימת רשויות'!A:A,1,0)</f>
        <v>אזור</v>
      </c>
      <c r="Q1753" s="956">
        <f>IFERROR(VLOOKUP(B1753,[2]מעובד!$D:$K,8,0),0)</f>
        <v>0</v>
      </c>
      <c r="R1753" s="956">
        <f>IFERROR(VLOOKUP(B1753,[2]מעובד!$D:$L,9,0),0)</f>
        <v>0</v>
      </c>
    </row>
    <row r="1754" spans="1:18" x14ac:dyDescent="0.2">
      <c r="A1754" s="947" t="s">
        <v>168</v>
      </c>
      <c r="B1754" s="947">
        <v>510081</v>
      </c>
      <c r="C1754" s="947" t="s">
        <v>2189</v>
      </c>
      <c r="D1754" s="947" t="s">
        <v>815</v>
      </c>
      <c r="E1754" s="951">
        <v>104</v>
      </c>
      <c r="F1754" s="951">
        <v>44</v>
      </c>
      <c r="G1754" s="947" t="s">
        <v>159</v>
      </c>
      <c r="H1754" s="951">
        <v>0</v>
      </c>
      <c r="I1754" s="951">
        <v>0</v>
      </c>
      <c r="J1754" s="947" t="s">
        <v>168</v>
      </c>
      <c r="K1754" s="957" t="s">
        <v>3328</v>
      </c>
      <c r="M1754" s="631"/>
      <c r="P1754" s="950" t="str">
        <f>VLOOKUP(J1754,'רשימת רשויות'!A:A,1,0)</f>
        <v>אזור</v>
      </c>
      <c r="Q1754" s="956">
        <f>IFERROR(VLOOKUP(B1754,[2]מעובד!$D:$K,8,0),0)</f>
        <v>0</v>
      </c>
      <c r="R1754" s="956">
        <f>IFERROR(VLOOKUP(B1754,[2]מעובד!$D:$L,9,0),0)</f>
        <v>0</v>
      </c>
    </row>
    <row r="1755" spans="1:18" x14ac:dyDescent="0.2">
      <c r="A1755" s="947" t="s">
        <v>198</v>
      </c>
      <c r="B1755" s="947">
        <v>510115</v>
      </c>
      <c r="C1755" s="947" t="s">
        <v>2189</v>
      </c>
      <c r="D1755" s="947" t="s">
        <v>2141</v>
      </c>
      <c r="E1755" s="951">
        <v>122</v>
      </c>
      <c r="F1755" s="951">
        <v>83</v>
      </c>
      <c r="G1755" s="947" t="s">
        <v>159</v>
      </c>
      <c r="H1755" s="951">
        <v>40</v>
      </c>
      <c r="I1755" s="951">
        <v>9</v>
      </c>
      <c r="J1755" s="947" t="s">
        <v>198</v>
      </c>
      <c r="K1755" s="947">
        <v>510115</v>
      </c>
      <c r="M1755" s="631"/>
      <c r="P1755" s="950" t="str">
        <f>VLOOKUP(J1755,'רשימת רשויות'!A:A,1,0)</f>
        <v>בני ברק</v>
      </c>
      <c r="Q1755" s="956">
        <f>IFERROR(VLOOKUP(B1755,[2]מעובד!$D:$K,8,0),0)</f>
        <v>87</v>
      </c>
      <c r="R1755" s="956">
        <f>IFERROR(VLOOKUP(B1755,[2]מעובד!$D:$L,9,0),0)</f>
        <v>87</v>
      </c>
    </row>
    <row r="1756" spans="1:18" x14ac:dyDescent="0.2">
      <c r="A1756" s="947" t="s">
        <v>198</v>
      </c>
      <c r="B1756" s="947">
        <v>510156</v>
      </c>
      <c r="C1756" s="947" t="s">
        <v>2189</v>
      </c>
      <c r="D1756" s="947" t="s">
        <v>2671</v>
      </c>
      <c r="E1756" s="951">
        <v>74</v>
      </c>
      <c r="F1756" s="951">
        <v>46</v>
      </c>
      <c r="G1756" s="947" t="s">
        <v>159</v>
      </c>
      <c r="H1756" s="951">
        <v>74</v>
      </c>
      <c r="I1756" s="951">
        <v>22</v>
      </c>
      <c r="J1756" s="947" t="s">
        <v>198</v>
      </c>
      <c r="K1756" s="947">
        <v>510156</v>
      </c>
      <c r="M1756" s="631"/>
      <c r="P1756" s="950" t="str">
        <f>VLOOKUP(J1756,'רשימת רשויות'!A:A,1,0)</f>
        <v>בני ברק</v>
      </c>
      <c r="Q1756" s="956">
        <f>IFERROR(VLOOKUP(B1756,[2]מעובד!$D:$K,8,0),0)</f>
        <v>86</v>
      </c>
      <c r="R1756" s="956">
        <f>IFERROR(VLOOKUP(B1756,[2]מעובד!$D:$L,9,0),0)</f>
        <v>86</v>
      </c>
    </row>
    <row r="1757" spans="1:18" x14ac:dyDescent="0.2">
      <c r="A1757" s="947" t="s">
        <v>392</v>
      </c>
      <c r="B1757" s="947">
        <v>510172</v>
      </c>
      <c r="C1757" s="947" t="s">
        <v>2189</v>
      </c>
      <c r="D1757" s="947" t="s">
        <v>3071</v>
      </c>
      <c r="E1757" s="951">
        <v>74</v>
      </c>
      <c r="F1757" s="951">
        <v>0</v>
      </c>
      <c r="G1757" s="947" t="s">
        <v>3252</v>
      </c>
      <c r="H1757" s="951">
        <v>0</v>
      </c>
      <c r="I1757" s="951">
        <v>0</v>
      </c>
      <c r="J1757" s="947" t="s">
        <v>392</v>
      </c>
      <c r="K1757" s="947">
        <v>510172</v>
      </c>
      <c r="M1757" s="631"/>
      <c r="P1757" s="950" t="str">
        <f>VLOOKUP(J1757,'רשימת רשויות'!A:A,1,0)</f>
        <v>רמת השרון</v>
      </c>
      <c r="Q1757" s="956">
        <f>IFERROR(VLOOKUP(B1757,[2]מעובד!$D:$K,8,0),0)</f>
        <v>0</v>
      </c>
      <c r="R1757" s="956">
        <f>IFERROR(VLOOKUP(B1757,[2]מעובד!$D:$L,9,0),0)</f>
        <v>0</v>
      </c>
    </row>
    <row r="1758" spans="1:18" x14ac:dyDescent="0.2">
      <c r="A1758" s="947" t="s">
        <v>198</v>
      </c>
      <c r="B1758" s="947">
        <v>510198</v>
      </c>
      <c r="C1758" s="947" t="s">
        <v>2189</v>
      </c>
      <c r="D1758" s="947" t="s">
        <v>773</v>
      </c>
      <c r="E1758" s="951">
        <v>139</v>
      </c>
      <c r="F1758" s="951">
        <v>118</v>
      </c>
      <c r="G1758" s="947" t="s">
        <v>159</v>
      </c>
      <c r="H1758" s="951">
        <v>95</v>
      </c>
      <c r="I1758" s="951">
        <v>19</v>
      </c>
      <c r="J1758" s="947" t="s">
        <v>198</v>
      </c>
      <c r="K1758" s="947">
        <v>510198</v>
      </c>
      <c r="M1758" s="631"/>
      <c r="P1758" s="950" t="str">
        <f>VLOOKUP(J1758,'רשימת רשויות'!A:A,1,0)</f>
        <v>בני ברק</v>
      </c>
      <c r="Q1758" s="956">
        <f>IFERROR(VLOOKUP(B1758,[2]מעובד!$D:$K,8,0),0)</f>
        <v>60</v>
      </c>
      <c r="R1758" s="956">
        <f>IFERROR(VLOOKUP(B1758,[2]מעובד!$D:$L,9,0),0)</f>
        <v>60</v>
      </c>
    </row>
    <row r="1759" spans="1:18" x14ac:dyDescent="0.2">
      <c r="A1759" s="947" t="s">
        <v>206</v>
      </c>
      <c r="B1759" s="947">
        <v>510214</v>
      </c>
      <c r="C1759" s="947" t="s">
        <v>2189</v>
      </c>
      <c r="D1759" s="947" t="s">
        <v>774</v>
      </c>
      <c r="E1759" s="951">
        <v>228</v>
      </c>
      <c r="F1759" s="951">
        <v>83</v>
      </c>
      <c r="G1759" s="947" t="s">
        <v>159</v>
      </c>
      <c r="H1759" s="951">
        <v>150</v>
      </c>
      <c r="I1759" s="951">
        <v>0</v>
      </c>
      <c r="J1759" s="947" t="s">
        <v>206</v>
      </c>
      <c r="K1759" s="947">
        <v>510214</v>
      </c>
      <c r="M1759" s="631"/>
      <c r="P1759" s="950" t="str">
        <f>VLOOKUP(J1759,'רשימת רשויות'!A:A,1,0)</f>
        <v>בת ים</v>
      </c>
      <c r="Q1759" s="956">
        <f>IFERROR(VLOOKUP(B1759,[2]מעובד!$D:$K,8,0),0)</f>
        <v>231</v>
      </c>
      <c r="R1759" s="956">
        <f>IFERROR(VLOOKUP(B1759,[2]מעובד!$D:$L,9,0),0)</f>
        <v>128</v>
      </c>
    </row>
    <row r="1760" spans="1:18" x14ac:dyDescent="0.2">
      <c r="A1760" s="947" t="s">
        <v>206</v>
      </c>
      <c r="B1760" s="947">
        <v>510230</v>
      </c>
      <c r="C1760" s="947" t="s">
        <v>2189</v>
      </c>
      <c r="D1760" s="947" t="s">
        <v>775</v>
      </c>
      <c r="E1760" s="951">
        <v>265</v>
      </c>
      <c r="F1760" s="951">
        <v>142</v>
      </c>
      <c r="G1760" s="947" t="s">
        <v>159</v>
      </c>
      <c r="H1760" s="951">
        <v>265</v>
      </c>
      <c r="I1760" s="951">
        <v>10</v>
      </c>
      <c r="J1760" s="947" t="s">
        <v>206</v>
      </c>
      <c r="K1760" s="947">
        <v>510230</v>
      </c>
      <c r="M1760" s="631"/>
      <c r="P1760" s="950" t="str">
        <f>VLOOKUP(J1760,'רשימת רשויות'!A:A,1,0)</f>
        <v>בת ים</v>
      </c>
      <c r="Q1760" s="956">
        <f>IFERROR(VLOOKUP(B1760,[2]מעובד!$D:$K,8,0),0)</f>
        <v>312</v>
      </c>
      <c r="R1760" s="956">
        <f>IFERROR(VLOOKUP(B1760,[2]מעובד!$D:$L,9,0),0)</f>
        <v>101</v>
      </c>
    </row>
    <row r="1761" spans="1:18" x14ac:dyDescent="0.2">
      <c r="A1761" s="947" t="s">
        <v>206</v>
      </c>
      <c r="B1761" s="947">
        <v>510255</v>
      </c>
      <c r="C1761" s="947" t="s">
        <v>2189</v>
      </c>
      <c r="D1761" s="947" t="s">
        <v>776</v>
      </c>
      <c r="E1761" s="951">
        <v>156</v>
      </c>
      <c r="F1761" s="951">
        <v>54</v>
      </c>
      <c r="G1761" s="947" t="s">
        <v>159</v>
      </c>
      <c r="H1761" s="951">
        <v>113</v>
      </c>
      <c r="I1761" s="951">
        <v>11</v>
      </c>
      <c r="J1761" s="947" t="s">
        <v>206</v>
      </c>
      <c r="K1761" s="947">
        <v>510255</v>
      </c>
      <c r="M1761" s="631"/>
      <c r="P1761" s="950" t="str">
        <f>VLOOKUP(J1761,'רשימת רשויות'!A:A,1,0)</f>
        <v>בת ים</v>
      </c>
      <c r="Q1761" s="956">
        <f>IFERROR(VLOOKUP(B1761,[2]מעובד!$D:$K,8,0),0)</f>
        <v>0</v>
      </c>
      <c r="R1761" s="956">
        <f>IFERROR(VLOOKUP(B1761,[2]מעובד!$D:$L,9,0),0)</f>
        <v>0</v>
      </c>
    </row>
    <row r="1762" spans="1:18" x14ac:dyDescent="0.2">
      <c r="A1762" s="947" t="s">
        <v>206</v>
      </c>
      <c r="B1762" s="947">
        <v>510271</v>
      </c>
      <c r="C1762" s="947" t="s">
        <v>2189</v>
      </c>
      <c r="D1762" s="947" t="s">
        <v>2122</v>
      </c>
      <c r="E1762" s="951">
        <v>101</v>
      </c>
      <c r="F1762" s="951">
        <v>44</v>
      </c>
      <c r="G1762" s="947" t="s">
        <v>159</v>
      </c>
      <c r="H1762" s="951">
        <v>39</v>
      </c>
      <c r="I1762" s="951">
        <v>9</v>
      </c>
      <c r="J1762" s="947" t="s">
        <v>206</v>
      </c>
      <c r="K1762" s="947">
        <v>510271</v>
      </c>
      <c r="M1762" s="631"/>
      <c r="P1762" s="950" t="str">
        <f>VLOOKUP(J1762,'רשימת רשויות'!A:A,1,0)</f>
        <v>בת ים</v>
      </c>
      <c r="Q1762" s="956">
        <f>IFERROR(VLOOKUP(B1762,[2]מעובד!$D:$K,8,0),0)</f>
        <v>57</v>
      </c>
      <c r="R1762" s="956">
        <f>IFERROR(VLOOKUP(B1762,[2]מעובד!$D:$L,9,0),0)</f>
        <v>40</v>
      </c>
    </row>
    <row r="1763" spans="1:18" x14ac:dyDescent="0.2">
      <c r="A1763" s="947" t="s">
        <v>206</v>
      </c>
      <c r="B1763" s="947">
        <v>510289</v>
      </c>
      <c r="C1763" s="947" t="s">
        <v>2189</v>
      </c>
      <c r="D1763" s="947" t="s">
        <v>777</v>
      </c>
      <c r="E1763" s="951">
        <v>227</v>
      </c>
      <c r="F1763" s="951">
        <v>82</v>
      </c>
      <c r="G1763" s="947" t="s">
        <v>159</v>
      </c>
      <c r="H1763" s="951">
        <v>0</v>
      </c>
      <c r="I1763" s="951">
        <v>0</v>
      </c>
      <c r="J1763" s="947" t="s">
        <v>206</v>
      </c>
      <c r="K1763" s="947">
        <v>510289</v>
      </c>
      <c r="M1763" s="631"/>
      <c r="P1763" s="950" t="str">
        <f>VLOOKUP(J1763,'רשימת רשויות'!A:A,1,0)</f>
        <v>בת ים</v>
      </c>
      <c r="Q1763" s="956">
        <f>IFERROR(VLOOKUP(B1763,[2]מעובד!$D:$K,8,0),0)</f>
        <v>195</v>
      </c>
      <c r="R1763" s="956">
        <f>IFERROR(VLOOKUP(B1763,[2]מעובד!$D:$L,9,0),0)</f>
        <v>58</v>
      </c>
    </row>
    <row r="1764" spans="1:18" x14ac:dyDescent="0.2">
      <c r="A1764" s="947" t="s">
        <v>214</v>
      </c>
      <c r="B1764" s="947">
        <v>510313</v>
      </c>
      <c r="C1764" s="947" t="s">
        <v>2189</v>
      </c>
      <c r="D1764" s="947" t="s">
        <v>778</v>
      </c>
      <c r="E1764" s="951">
        <v>306</v>
      </c>
      <c r="F1764" s="951">
        <v>278</v>
      </c>
      <c r="G1764" s="947" t="s">
        <v>159</v>
      </c>
      <c r="H1764" s="951">
        <v>0</v>
      </c>
      <c r="I1764" s="951">
        <v>0</v>
      </c>
      <c r="J1764" s="947" t="s">
        <v>214</v>
      </c>
      <c r="K1764" s="947">
        <v>510313</v>
      </c>
      <c r="M1764" s="631"/>
      <c r="P1764" s="950" t="str">
        <f>VLOOKUP(J1764,'רשימת רשויות'!A:A,1,0)</f>
        <v>גבעתיים</v>
      </c>
      <c r="Q1764" s="956">
        <f>IFERROR(VLOOKUP(B1764,[2]מעובד!$D:$K,8,0),0)</f>
        <v>308</v>
      </c>
      <c r="R1764" s="956">
        <f>IFERROR(VLOOKUP(B1764,[2]מעובד!$D:$L,9,0),0)</f>
        <v>44</v>
      </c>
    </row>
    <row r="1765" spans="1:18" x14ac:dyDescent="0.2">
      <c r="A1765" s="947" t="s">
        <v>214</v>
      </c>
      <c r="B1765" s="947">
        <v>510321</v>
      </c>
      <c r="C1765" s="947" t="s">
        <v>2189</v>
      </c>
      <c r="D1765" s="947" t="s">
        <v>783</v>
      </c>
      <c r="E1765" s="951">
        <v>320</v>
      </c>
      <c r="F1765" s="951">
        <v>280</v>
      </c>
      <c r="G1765" s="947" t="s">
        <v>159</v>
      </c>
      <c r="H1765" s="951">
        <v>0</v>
      </c>
      <c r="I1765" s="951">
        <v>0</v>
      </c>
      <c r="J1765" s="947" t="s">
        <v>214</v>
      </c>
      <c r="K1765" s="947">
        <v>510321</v>
      </c>
      <c r="M1765" s="631"/>
      <c r="P1765" s="950" t="str">
        <f>VLOOKUP(J1765,'רשימת רשויות'!A:A,1,0)</f>
        <v>גבעתיים</v>
      </c>
      <c r="Q1765" s="956">
        <f>IFERROR(VLOOKUP(B1765,[2]מעובד!$D:$K,8,0),0)</f>
        <v>287</v>
      </c>
      <c r="R1765" s="956">
        <f>IFERROR(VLOOKUP(B1765,[2]מעובד!$D:$L,9,0),0)</f>
        <v>84</v>
      </c>
    </row>
    <row r="1766" spans="1:18" x14ac:dyDescent="0.2">
      <c r="A1766" s="947" t="s">
        <v>214</v>
      </c>
      <c r="B1766" s="947">
        <v>510339</v>
      </c>
      <c r="C1766" s="947" t="s">
        <v>2189</v>
      </c>
      <c r="D1766" s="947" t="s">
        <v>776</v>
      </c>
      <c r="E1766" s="951">
        <v>245</v>
      </c>
      <c r="F1766" s="951">
        <v>184</v>
      </c>
      <c r="G1766" s="947" t="s">
        <v>159</v>
      </c>
      <c r="H1766" s="951">
        <v>0</v>
      </c>
      <c r="I1766" s="951">
        <v>0</v>
      </c>
      <c r="J1766" s="947" t="s">
        <v>214</v>
      </c>
      <c r="K1766" s="947">
        <v>510339</v>
      </c>
      <c r="M1766" s="631"/>
      <c r="P1766" s="950" t="str">
        <f>VLOOKUP(J1766,'רשימת רשויות'!A:A,1,0)</f>
        <v>גבעתיים</v>
      </c>
      <c r="Q1766" s="956">
        <f>IFERROR(VLOOKUP(B1766,[2]מעובד!$D:$K,8,0),0)</f>
        <v>0</v>
      </c>
      <c r="R1766" s="956">
        <f>IFERROR(VLOOKUP(B1766,[2]מעובד!$D:$L,9,0),0)</f>
        <v>0</v>
      </c>
    </row>
    <row r="1767" spans="1:18" x14ac:dyDescent="0.2">
      <c r="A1767" s="947" t="s">
        <v>214</v>
      </c>
      <c r="B1767" s="947">
        <v>510347</v>
      </c>
      <c r="C1767" s="947" t="s">
        <v>2189</v>
      </c>
      <c r="D1767" s="947" t="s">
        <v>791</v>
      </c>
      <c r="E1767" s="951">
        <v>317</v>
      </c>
      <c r="F1767" s="951">
        <v>293</v>
      </c>
      <c r="G1767" s="947" t="s">
        <v>159</v>
      </c>
      <c r="H1767" s="951">
        <v>0</v>
      </c>
      <c r="I1767" s="951">
        <v>0</v>
      </c>
      <c r="J1767" s="947" t="s">
        <v>214</v>
      </c>
      <c r="K1767" s="947">
        <v>510347</v>
      </c>
      <c r="M1767" s="631"/>
      <c r="P1767" s="950" t="str">
        <f>VLOOKUP(J1767,'רשימת רשויות'!A:A,1,0)</f>
        <v>גבעתיים</v>
      </c>
      <c r="Q1767" s="956">
        <f>IFERROR(VLOOKUP(B1767,[2]מעובד!$D:$K,8,0),0)</f>
        <v>293</v>
      </c>
      <c r="R1767" s="956">
        <f>IFERROR(VLOOKUP(B1767,[2]מעובד!$D:$L,9,0),0)</f>
        <v>83</v>
      </c>
    </row>
    <row r="1768" spans="1:18" x14ac:dyDescent="0.2">
      <c r="A1768" s="947" t="s">
        <v>214</v>
      </c>
      <c r="B1768" s="947">
        <v>510354</v>
      </c>
      <c r="C1768" s="947" t="s">
        <v>2189</v>
      </c>
      <c r="D1768" s="947" t="s">
        <v>677</v>
      </c>
      <c r="E1768" s="951">
        <v>310</v>
      </c>
      <c r="F1768" s="951">
        <v>279</v>
      </c>
      <c r="G1768" s="947" t="s">
        <v>159</v>
      </c>
      <c r="H1768" s="951">
        <v>0</v>
      </c>
      <c r="I1768" s="951">
        <v>0</v>
      </c>
      <c r="J1768" s="947" t="s">
        <v>214</v>
      </c>
      <c r="K1768" s="947">
        <v>510354</v>
      </c>
      <c r="M1768" s="631"/>
      <c r="P1768" s="950" t="str">
        <f>VLOOKUP(J1768,'רשימת רשויות'!A:A,1,0)</f>
        <v>גבעתיים</v>
      </c>
      <c r="Q1768" s="956">
        <f>IFERROR(VLOOKUP(B1768,[2]מעובד!$D:$K,8,0),0)</f>
        <v>317</v>
      </c>
      <c r="R1768" s="956">
        <f>IFERROR(VLOOKUP(B1768,[2]מעובד!$D:$L,9,0),0)</f>
        <v>96</v>
      </c>
    </row>
    <row r="1769" spans="1:18" x14ac:dyDescent="0.2">
      <c r="A1769" s="947" t="s">
        <v>214</v>
      </c>
      <c r="B1769" s="947">
        <v>510362</v>
      </c>
      <c r="C1769" s="947" t="s">
        <v>2189</v>
      </c>
      <c r="D1769" s="947" t="s">
        <v>792</v>
      </c>
      <c r="E1769" s="951">
        <v>170</v>
      </c>
      <c r="F1769" s="951">
        <v>123</v>
      </c>
      <c r="G1769" s="947" t="s">
        <v>159</v>
      </c>
      <c r="H1769" s="951">
        <v>0</v>
      </c>
      <c r="I1769" s="951">
        <v>0</v>
      </c>
      <c r="J1769" s="947" t="s">
        <v>214</v>
      </c>
      <c r="K1769" s="947">
        <v>510362</v>
      </c>
      <c r="M1769" s="631"/>
      <c r="P1769" s="950" t="str">
        <f>VLOOKUP(J1769,'רשימת רשויות'!A:A,1,0)</f>
        <v>גבעתיים</v>
      </c>
      <c r="Q1769" s="956">
        <f>IFERROR(VLOOKUP(B1769,[2]מעובד!$D:$K,8,0),0)</f>
        <v>138</v>
      </c>
      <c r="R1769" s="956">
        <f>IFERROR(VLOOKUP(B1769,[2]מעובד!$D:$L,9,0),0)</f>
        <v>55</v>
      </c>
    </row>
    <row r="1770" spans="1:18" x14ac:dyDescent="0.2">
      <c r="A1770" s="947" t="s">
        <v>235</v>
      </c>
      <c r="B1770" s="947">
        <v>510388</v>
      </c>
      <c r="C1770" s="947" t="s">
        <v>2189</v>
      </c>
      <c r="D1770" s="947" t="s">
        <v>455</v>
      </c>
      <c r="E1770" s="951">
        <v>242</v>
      </c>
      <c r="F1770" s="951">
        <v>174</v>
      </c>
      <c r="G1770" s="947" t="s">
        <v>159</v>
      </c>
      <c r="H1770" s="951">
        <v>0</v>
      </c>
      <c r="I1770" s="951">
        <v>0</v>
      </c>
      <c r="J1770" s="947" t="s">
        <v>235</v>
      </c>
      <c r="K1770" s="947">
        <v>510388</v>
      </c>
      <c r="M1770" s="631"/>
      <c r="P1770" s="950" t="str">
        <f>VLOOKUP(J1770,'רשימת רשויות'!A:A,1,0)</f>
        <v>הרצליה</v>
      </c>
      <c r="Q1770" s="956">
        <f>IFERROR(VLOOKUP(B1770,[2]מעובד!$D:$K,8,0),0)</f>
        <v>308</v>
      </c>
      <c r="R1770" s="956">
        <f>IFERROR(VLOOKUP(B1770,[2]מעובד!$D:$L,9,0),0)</f>
        <v>67</v>
      </c>
    </row>
    <row r="1771" spans="1:18" x14ac:dyDescent="0.2">
      <c r="A1771" s="947" t="s">
        <v>235</v>
      </c>
      <c r="B1771" s="947">
        <v>510396</v>
      </c>
      <c r="C1771" s="947" t="s">
        <v>2189</v>
      </c>
      <c r="D1771" s="947" t="s">
        <v>456</v>
      </c>
      <c r="E1771" s="951">
        <v>214</v>
      </c>
      <c r="F1771" s="951">
        <v>179</v>
      </c>
      <c r="G1771" s="947" t="s">
        <v>159</v>
      </c>
      <c r="H1771" s="951">
        <v>77</v>
      </c>
      <c r="I1771" s="951">
        <v>10</v>
      </c>
      <c r="J1771" s="947" t="s">
        <v>235</v>
      </c>
      <c r="K1771" s="947">
        <v>510396</v>
      </c>
      <c r="M1771" s="631"/>
      <c r="P1771" s="950" t="str">
        <f>VLOOKUP(J1771,'רשימת רשויות'!A:A,1,0)</f>
        <v>הרצליה</v>
      </c>
      <c r="Q1771" s="956">
        <f>IFERROR(VLOOKUP(B1771,[2]מעובד!$D:$K,8,0),0)</f>
        <v>0</v>
      </c>
      <c r="R1771" s="956">
        <f>IFERROR(VLOOKUP(B1771,[2]מעובד!$D:$L,9,0),0)</f>
        <v>0</v>
      </c>
    </row>
    <row r="1772" spans="1:18" x14ac:dyDescent="0.2">
      <c r="A1772" s="947" t="s">
        <v>235</v>
      </c>
      <c r="B1772" s="947">
        <v>510404</v>
      </c>
      <c r="C1772" s="947" t="s">
        <v>2189</v>
      </c>
      <c r="D1772" s="947" t="s">
        <v>457</v>
      </c>
      <c r="E1772" s="951">
        <v>279</v>
      </c>
      <c r="F1772" s="951">
        <v>203</v>
      </c>
      <c r="G1772" s="947" t="s">
        <v>159</v>
      </c>
      <c r="H1772" s="951">
        <v>0</v>
      </c>
      <c r="I1772" s="951">
        <v>0</v>
      </c>
      <c r="J1772" s="947" t="s">
        <v>235</v>
      </c>
      <c r="K1772" s="947">
        <v>510404</v>
      </c>
      <c r="M1772" s="631"/>
      <c r="P1772" s="950" t="str">
        <f>VLOOKUP(J1772,'רשימת רשויות'!A:A,1,0)</f>
        <v>הרצליה</v>
      </c>
      <c r="Q1772" s="956">
        <f>IFERROR(VLOOKUP(B1772,[2]מעובד!$D:$K,8,0),0)</f>
        <v>0</v>
      </c>
      <c r="R1772" s="956">
        <f>IFERROR(VLOOKUP(B1772,[2]מעובד!$D:$L,9,0),0)</f>
        <v>0</v>
      </c>
    </row>
    <row r="1773" spans="1:18" x14ac:dyDescent="0.2">
      <c r="A1773" s="947" t="s">
        <v>235</v>
      </c>
      <c r="B1773" s="947">
        <v>510412</v>
      </c>
      <c r="C1773" s="947" t="s">
        <v>2189</v>
      </c>
      <c r="D1773" s="947" t="s">
        <v>458</v>
      </c>
      <c r="E1773" s="951">
        <v>192</v>
      </c>
      <c r="F1773" s="951">
        <v>160</v>
      </c>
      <c r="G1773" s="947" t="s">
        <v>159</v>
      </c>
      <c r="H1773" s="951">
        <v>0</v>
      </c>
      <c r="I1773" s="951">
        <v>0</v>
      </c>
      <c r="J1773" s="947" t="s">
        <v>235</v>
      </c>
      <c r="K1773" s="947">
        <v>510412</v>
      </c>
      <c r="M1773" s="631"/>
      <c r="P1773" s="950" t="str">
        <f>VLOOKUP(J1773,'רשימת רשויות'!A:A,1,0)</f>
        <v>הרצליה</v>
      </c>
      <c r="Q1773" s="956">
        <f>IFERROR(VLOOKUP(B1773,[2]מעובד!$D:$K,8,0),0)</f>
        <v>213</v>
      </c>
      <c r="R1773" s="956">
        <f>IFERROR(VLOOKUP(B1773,[2]מעובד!$D:$L,9,0),0)</f>
        <v>105</v>
      </c>
    </row>
    <row r="1774" spans="1:18" x14ac:dyDescent="0.2">
      <c r="A1774" s="947" t="s">
        <v>235</v>
      </c>
      <c r="B1774" s="947">
        <v>510420</v>
      </c>
      <c r="C1774" s="947" t="s">
        <v>2189</v>
      </c>
      <c r="D1774" s="947" t="s">
        <v>459</v>
      </c>
      <c r="E1774" s="951">
        <v>217</v>
      </c>
      <c r="F1774" s="951">
        <v>153</v>
      </c>
      <c r="G1774" s="947" t="s">
        <v>159</v>
      </c>
      <c r="H1774" s="951">
        <v>161</v>
      </c>
      <c r="I1774" s="951">
        <v>7</v>
      </c>
      <c r="J1774" s="947" t="s">
        <v>235</v>
      </c>
      <c r="K1774" s="947">
        <v>510420</v>
      </c>
      <c r="M1774" s="631"/>
      <c r="P1774" s="950" t="str">
        <f>VLOOKUP(J1774,'רשימת רשויות'!A:A,1,0)</f>
        <v>הרצליה</v>
      </c>
      <c r="Q1774" s="956">
        <f>IFERROR(VLOOKUP(B1774,[2]מעובד!$D:$K,8,0),0)</f>
        <v>215</v>
      </c>
      <c r="R1774" s="956">
        <f>IFERROR(VLOOKUP(B1774,[2]מעובד!$D:$L,9,0),0)</f>
        <v>81</v>
      </c>
    </row>
    <row r="1775" spans="1:18" x14ac:dyDescent="0.2">
      <c r="A1775" s="947" t="s">
        <v>235</v>
      </c>
      <c r="B1775" s="947">
        <v>510438</v>
      </c>
      <c r="C1775" s="947" t="s">
        <v>2189</v>
      </c>
      <c r="D1775" s="947" t="s">
        <v>460</v>
      </c>
      <c r="E1775" s="951">
        <v>157</v>
      </c>
      <c r="F1775" s="951">
        <v>26</v>
      </c>
      <c r="G1775" s="947" t="s">
        <v>159</v>
      </c>
      <c r="H1775" s="951">
        <v>0</v>
      </c>
      <c r="I1775" s="951">
        <v>0</v>
      </c>
      <c r="J1775" s="947" t="s">
        <v>235</v>
      </c>
      <c r="K1775" s="957" t="s">
        <v>3329</v>
      </c>
      <c r="M1775" s="631"/>
      <c r="P1775" s="950" t="str">
        <f>VLOOKUP(J1775,'רשימת רשויות'!A:A,1,0)</f>
        <v>הרצליה</v>
      </c>
      <c r="Q1775" s="956">
        <f>IFERROR(VLOOKUP(B1775,[2]מעובד!$D:$K,8,0),0)</f>
        <v>130</v>
      </c>
      <c r="R1775" s="956">
        <f>IFERROR(VLOOKUP(B1775,[2]מעובד!$D:$L,9,0),0)</f>
        <v>79</v>
      </c>
    </row>
    <row r="1776" spans="1:18" x14ac:dyDescent="0.2">
      <c r="A1776" s="947" t="s">
        <v>235</v>
      </c>
      <c r="B1776" s="947">
        <v>510453</v>
      </c>
      <c r="C1776" s="947" t="s">
        <v>2189</v>
      </c>
      <c r="D1776" s="947" t="s">
        <v>461</v>
      </c>
      <c r="E1776" s="951">
        <v>233</v>
      </c>
      <c r="F1776" s="951">
        <v>174</v>
      </c>
      <c r="G1776" s="947" t="s">
        <v>159</v>
      </c>
      <c r="H1776" s="951">
        <v>76</v>
      </c>
      <c r="I1776" s="951">
        <v>5</v>
      </c>
      <c r="J1776" s="947" t="s">
        <v>235</v>
      </c>
      <c r="K1776" s="947">
        <v>510453</v>
      </c>
      <c r="M1776" s="631"/>
      <c r="P1776" s="950" t="str">
        <f>VLOOKUP(J1776,'רשימת רשויות'!A:A,1,0)</f>
        <v>הרצליה</v>
      </c>
      <c r="Q1776" s="956">
        <f>IFERROR(VLOOKUP(B1776,[2]מעובד!$D:$K,8,0),0)</f>
        <v>214</v>
      </c>
      <c r="R1776" s="956">
        <f>IFERROR(VLOOKUP(B1776,[2]מעובד!$D:$L,9,0),0)</f>
        <v>80</v>
      </c>
    </row>
    <row r="1777" spans="1:18" x14ac:dyDescent="0.2">
      <c r="A1777" s="947" t="s">
        <v>235</v>
      </c>
      <c r="B1777" s="947">
        <v>510461</v>
      </c>
      <c r="C1777" s="947" t="s">
        <v>2189</v>
      </c>
      <c r="D1777" s="947" t="s">
        <v>462</v>
      </c>
      <c r="E1777" s="951">
        <v>78</v>
      </c>
      <c r="F1777" s="951">
        <v>39</v>
      </c>
      <c r="G1777" s="947" t="s">
        <v>159</v>
      </c>
      <c r="H1777" s="951">
        <v>54</v>
      </c>
      <c r="I1777" s="951">
        <v>0</v>
      </c>
      <c r="J1777" s="947" t="s">
        <v>235</v>
      </c>
      <c r="K1777" s="947">
        <v>510461</v>
      </c>
      <c r="M1777" s="631"/>
      <c r="P1777" s="950" t="str">
        <f>VLOOKUP(J1777,'רשימת רשויות'!A:A,1,0)</f>
        <v>הרצליה</v>
      </c>
      <c r="Q1777" s="956">
        <f>IFERROR(VLOOKUP(B1777,[2]מעובד!$D:$K,8,0),0)</f>
        <v>0</v>
      </c>
      <c r="R1777" s="956">
        <f>IFERROR(VLOOKUP(B1777,[2]מעובד!$D:$L,9,0),0)</f>
        <v>0</v>
      </c>
    </row>
    <row r="1778" spans="1:18" x14ac:dyDescent="0.2">
      <c r="A1778" s="947" t="s">
        <v>408</v>
      </c>
      <c r="B1778" s="947">
        <v>510479</v>
      </c>
      <c r="C1778" s="947" t="s">
        <v>2189</v>
      </c>
      <c r="D1778" s="947" t="s">
        <v>2669</v>
      </c>
      <c r="E1778" s="951">
        <v>173</v>
      </c>
      <c r="F1778" s="951">
        <v>172</v>
      </c>
      <c r="G1778" s="947" t="s">
        <v>159</v>
      </c>
      <c r="H1778" s="951">
        <v>0</v>
      </c>
      <c r="I1778" s="951">
        <v>0</v>
      </c>
      <c r="J1778" s="947" t="s">
        <v>408</v>
      </c>
      <c r="K1778" s="947">
        <v>510479</v>
      </c>
      <c r="M1778" s="631"/>
      <c r="P1778" s="950" t="str">
        <f>VLOOKUP(J1778,'רשימת רשויות'!A:A,1,0)</f>
        <v>תל אביב-יפו</v>
      </c>
      <c r="Q1778" s="956">
        <f>IFERROR(VLOOKUP(B1778,[2]מעובד!$D:$K,8,0),0)</f>
        <v>0</v>
      </c>
      <c r="R1778" s="956">
        <f>IFERROR(VLOOKUP(B1778,[2]מעובד!$D:$L,9,0),0)</f>
        <v>0</v>
      </c>
    </row>
    <row r="1779" spans="1:18" x14ac:dyDescent="0.2">
      <c r="A1779" s="947" t="s">
        <v>245</v>
      </c>
      <c r="B1779" s="947">
        <v>510487</v>
      </c>
      <c r="C1779" s="947" t="s">
        <v>2189</v>
      </c>
      <c r="D1779" s="947" t="s">
        <v>435</v>
      </c>
      <c r="E1779" s="951">
        <v>164</v>
      </c>
      <c r="F1779" s="951">
        <v>91</v>
      </c>
      <c r="G1779" s="947" t="s">
        <v>159</v>
      </c>
      <c r="H1779" s="951">
        <v>0</v>
      </c>
      <c r="I1779" s="951">
        <v>0</v>
      </c>
      <c r="J1779" s="947" t="s">
        <v>245</v>
      </c>
      <c r="K1779" s="947">
        <v>510487</v>
      </c>
      <c r="M1779" s="631"/>
      <c r="P1779" s="950" t="str">
        <f>VLOOKUP(J1779,'רשימת רשויות'!A:A,1,0)</f>
        <v>חולון</v>
      </c>
      <c r="Q1779" s="956">
        <f>IFERROR(VLOOKUP(B1779,[2]מעובד!$D:$K,8,0),0)</f>
        <v>187</v>
      </c>
      <c r="R1779" s="956">
        <f>IFERROR(VLOOKUP(B1779,[2]מעובד!$D:$L,9,0),0)</f>
        <v>87</v>
      </c>
    </row>
    <row r="1780" spans="1:18" x14ac:dyDescent="0.2">
      <c r="A1780" s="947" t="s">
        <v>245</v>
      </c>
      <c r="B1780" s="947">
        <v>510503</v>
      </c>
      <c r="C1780" s="947" t="s">
        <v>2189</v>
      </c>
      <c r="D1780" s="947" t="s">
        <v>776</v>
      </c>
      <c r="E1780" s="951">
        <v>195</v>
      </c>
      <c r="F1780" s="951">
        <v>112</v>
      </c>
      <c r="G1780" s="947" t="s">
        <v>159</v>
      </c>
      <c r="H1780" s="951">
        <v>0</v>
      </c>
      <c r="I1780" s="951">
        <v>0</v>
      </c>
      <c r="J1780" s="947" t="s">
        <v>245</v>
      </c>
      <c r="K1780" s="947">
        <v>510503</v>
      </c>
      <c r="M1780" s="631"/>
      <c r="P1780" s="950" t="str">
        <f>VLOOKUP(J1780,'רשימת רשויות'!A:A,1,0)</f>
        <v>חולון</v>
      </c>
      <c r="Q1780" s="956">
        <f>IFERROR(VLOOKUP(B1780,[2]מעובד!$D:$K,8,0),0)</f>
        <v>114</v>
      </c>
      <c r="R1780" s="956">
        <f>IFERROR(VLOOKUP(B1780,[2]מעובד!$D:$L,9,0),0)</f>
        <v>64</v>
      </c>
    </row>
    <row r="1781" spans="1:18" x14ac:dyDescent="0.2">
      <c r="A1781" s="947" t="s">
        <v>245</v>
      </c>
      <c r="B1781" s="947">
        <v>510511</v>
      </c>
      <c r="C1781" s="947" t="s">
        <v>2189</v>
      </c>
      <c r="D1781" s="947" t="s">
        <v>806</v>
      </c>
      <c r="E1781" s="951">
        <v>155</v>
      </c>
      <c r="F1781" s="951">
        <v>69</v>
      </c>
      <c r="G1781" s="947" t="s">
        <v>159</v>
      </c>
      <c r="H1781" s="951">
        <v>0</v>
      </c>
      <c r="I1781" s="951">
        <v>0</v>
      </c>
      <c r="J1781" s="947" t="s">
        <v>245</v>
      </c>
      <c r="K1781" s="947">
        <v>510511</v>
      </c>
      <c r="M1781" s="631"/>
      <c r="P1781" s="950" t="str">
        <f>VLOOKUP(J1781,'רשימת רשויות'!A:A,1,0)</f>
        <v>חולון</v>
      </c>
      <c r="Q1781" s="956">
        <f>IFERROR(VLOOKUP(B1781,[2]מעובד!$D:$K,8,0),0)</f>
        <v>134</v>
      </c>
      <c r="R1781" s="956">
        <f>IFERROR(VLOOKUP(B1781,[2]מעובד!$D:$L,9,0),0)</f>
        <v>90</v>
      </c>
    </row>
    <row r="1782" spans="1:18" x14ac:dyDescent="0.2">
      <c r="A1782" s="947" t="s">
        <v>245</v>
      </c>
      <c r="B1782" s="947">
        <v>510529</v>
      </c>
      <c r="C1782" s="947" t="s">
        <v>2189</v>
      </c>
      <c r="D1782" s="947" t="s">
        <v>807</v>
      </c>
      <c r="E1782" s="951">
        <v>220</v>
      </c>
      <c r="F1782" s="951">
        <v>142</v>
      </c>
      <c r="G1782" s="947" t="s">
        <v>159</v>
      </c>
      <c r="H1782" s="951">
        <v>0</v>
      </c>
      <c r="I1782" s="951">
        <v>0</v>
      </c>
      <c r="J1782" s="947" t="s">
        <v>245</v>
      </c>
      <c r="K1782" s="947">
        <v>510529</v>
      </c>
      <c r="M1782" s="631"/>
      <c r="P1782" s="950" t="str">
        <f>VLOOKUP(J1782,'רשימת רשויות'!A:A,1,0)</f>
        <v>חולון</v>
      </c>
      <c r="Q1782" s="956">
        <f>IFERROR(VLOOKUP(B1782,[2]מעובד!$D:$K,8,0),0)</f>
        <v>121</v>
      </c>
      <c r="R1782" s="956">
        <f>IFERROR(VLOOKUP(B1782,[2]מעובד!$D:$L,9,0),0)</f>
        <v>40</v>
      </c>
    </row>
    <row r="1783" spans="1:18" x14ac:dyDescent="0.2">
      <c r="A1783" s="947" t="s">
        <v>245</v>
      </c>
      <c r="B1783" s="947">
        <v>510545</v>
      </c>
      <c r="C1783" s="947" t="s">
        <v>2189</v>
      </c>
      <c r="D1783" s="947" t="s">
        <v>809</v>
      </c>
      <c r="E1783" s="951">
        <v>358</v>
      </c>
      <c r="F1783" s="951">
        <v>215</v>
      </c>
      <c r="G1783" s="947" t="s">
        <v>159</v>
      </c>
      <c r="H1783" s="951">
        <v>0</v>
      </c>
      <c r="I1783" s="951">
        <v>0</v>
      </c>
      <c r="J1783" s="947" t="s">
        <v>245</v>
      </c>
      <c r="K1783" s="947">
        <v>510545</v>
      </c>
      <c r="M1783" s="631"/>
      <c r="P1783" s="950" t="str">
        <f>VLOOKUP(J1783,'רשימת רשויות'!A:A,1,0)</f>
        <v>חולון</v>
      </c>
      <c r="Q1783" s="956">
        <f>IFERROR(VLOOKUP(B1783,[2]מעובד!$D:$K,8,0),0)</f>
        <v>230</v>
      </c>
      <c r="R1783" s="956">
        <f>IFERROR(VLOOKUP(B1783,[2]מעובד!$D:$L,9,0),0)</f>
        <v>115</v>
      </c>
    </row>
    <row r="1784" spans="1:18" x14ac:dyDescent="0.2">
      <c r="A1784" s="947" t="s">
        <v>245</v>
      </c>
      <c r="B1784" s="947">
        <v>510560</v>
      </c>
      <c r="C1784" s="947" t="s">
        <v>2189</v>
      </c>
      <c r="D1784" s="947" t="s">
        <v>791</v>
      </c>
      <c r="E1784" s="951">
        <v>256</v>
      </c>
      <c r="F1784" s="951">
        <v>89</v>
      </c>
      <c r="G1784" s="947" t="s">
        <v>159</v>
      </c>
      <c r="H1784" s="951">
        <v>0</v>
      </c>
      <c r="I1784" s="951">
        <v>0</v>
      </c>
      <c r="J1784" s="947" t="s">
        <v>245</v>
      </c>
      <c r="K1784" s="947">
        <v>510560</v>
      </c>
      <c r="M1784" s="631"/>
      <c r="P1784" s="950" t="str">
        <f>VLOOKUP(J1784,'רשימת רשויות'!A:A,1,0)</f>
        <v>חולון</v>
      </c>
      <c r="Q1784" s="956">
        <f>IFERROR(VLOOKUP(B1784,[2]מעובד!$D:$K,8,0),0)</f>
        <v>179</v>
      </c>
      <c r="R1784" s="956">
        <f>IFERROR(VLOOKUP(B1784,[2]מעובד!$D:$L,9,0),0)</f>
        <v>70</v>
      </c>
    </row>
    <row r="1785" spans="1:18" x14ac:dyDescent="0.2">
      <c r="A1785" s="947" t="s">
        <v>245</v>
      </c>
      <c r="B1785" s="947">
        <v>510578</v>
      </c>
      <c r="C1785" s="947" t="s">
        <v>2189</v>
      </c>
      <c r="D1785" s="947" t="s">
        <v>486</v>
      </c>
      <c r="E1785" s="951">
        <v>92</v>
      </c>
      <c r="F1785" s="951">
        <v>18</v>
      </c>
      <c r="G1785" s="947" t="s">
        <v>159</v>
      </c>
      <c r="H1785" s="951">
        <v>0</v>
      </c>
      <c r="I1785" s="951">
        <v>0</v>
      </c>
      <c r="J1785" s="947" t="s">
        <v>245</v>
      </c>
      <c r="K1785" s="957" t="s">
        <v>3330</v>
      </c>
      <c r="M1785" s="631"/>
      <c r="P1785" s="950" t="str">
        <f>VLOOKUP(J1785,'רשימת רשויות'!A:A,1,0)</f>
        <v>חולון</v>
      </c>
      <c r="Q1785" s="956">
        <f>IFERROR(VLOOKUP(B1785,[2]מעובד!$D:$K,8,0),0)</f>
        <v>119</v>
      </c>
      <c r="R1785" s="956">
        <f>IFERROR(VLOOKUP(B1785,[2]מעובד!$D:$L,9,0),0)</f>
        <v>60</v>
      </c>
    </row>
    <row r="1786" spans="1:18" x14ac:dyDescent="0.2">
      <c r="A1786" s="947" t="s">
        <v>245</v>
      </c>
      <c r="B1786" s="947">
        <v>510594</v>
      </c>
      <c r="C1786" s="947" t="s">
        <v>2189</v>
      </c>
      <c r="D1786" s="947" t="s">
        <v>810</v>
      </c>
      <c r="E1786" s="951">
        <v>154</v>
      </c>
      <c r="F1786" s="951">
        <v>72</v>
      </c>
      <c r="G1786" s="947" t="s">
        <v>159</v>
      </c>
      <c r="H1786" s="951">
        <v>56</v>
      </c>
      <c r="I1786" s="951">
        <v>0</v>
      </c>
      <c r="J1786" s="947" t="s">
        <v>245</v>
      </c>
      <c r="K1786" s="947">
        <v>510594</v>
      </c>
      <c r="M1786" s="631"/>
      <c r="P1786" s="950" t="str">
        <f>VLOOKUP(J1786,'רשימת רשויות'!A:A,1,0)</f>
        <v>חולון</v>
      </c>
      <c r="Q1786" s="956">
        <f>IFERROR(VLOOKUP(B1786,[2]מעובד!$D:$K,8,0),0)</f>
        <v>198</v>
      </c>
      <c r="R1786" s="956">
        <f>IFERROR(VLOOKUP(B1786,[2]מעובד!$D:$L,9,0),0)</f>
        <v>115</v>
      </c>
    </row>
    <row r="1787" spans="1:18" x14ac:dyDescent="0.2">
      <c r="A1787" s="947" t="s">
        <v>245</v>
      </c>
      <c r="B1787" s="947">
        <v>510628</v>
      </c>
      <c r="C1787" s="947" t="s">
        <v>2189</v>
      </c>
      <c r="D1787" s="947" t="s">
        <v>811</v>
      </c>
      <c r="E1787" s="951">
        <v>237</v>
      </c>
      <c r="F1787" s="951">
        <v>83</v>
      </c>
      <c r="G1787" s="947" t="s">
        <v>159</v>
      </c>
      <c r="H1787" s="951">
        <v>0</v>
      </c>
      <c r="I1787" s="951">
        <v>0</v>
      </c>
      <c r="J1787" s="947" t="s">
        <v>245</v>
      </c>
      <c r="K1787" s="947">
        <v>510628</v>
      </c>
      <c r="M1787" s="631"/>
      <c r="P1787" s="950" t="str">
        <f>VLOOKUP(J1787,'רשימת רשויות'!A:A,1,0)</f>
        <v>חולון</v>
      </c>
      <c r="Q1787" s="956">
        <f>IFERROR(VLOOKUP(B1787,[2]מעובד!$D:$K,8,0),0)</f>
        <v>0</v>
      </c>
      <c r="R1787" s="956">
        <f>IFERROR(VLOOKUP(B1787,[2]מעובד!$D:$L,9,0),0)</f>
        <v>0</v>
      </c>
    </row>
    <row r="1788" spans="1:18" x14ac:dyDescent="0.2">
      <c r="A1788" s="947" t="s">
        <v>369</v>
      </c>
      <c r="B1788" s="947">
        <v>510636</v>
      </c>
      <c r="C1788" s="947" t="s">
        <v>2189</v>
      </c>
      <c r="D1788" s="947" t="s">
        <v>2442</v>
      </c>
      <c r="E1788" s="951">
        <v>282</v>
      </c>
      <c r="F1788" s="951">
        <v>264</v>
      </c>
      <c r="G1788" s="947" t="s">
        <v>159</v>
      </c>
      <c r="H1788" s="951">
        <v>188</v>
      </c>
      <c r="I1788" s="951">
        <v>18</v>
      </c>
      <c r="J1788" s="947" t="s">
        <v>369</v>
      </c>
      <c r="K1788" s="947">
        <v>510636</v>
      </c>
      <c r="M1788" s="631"/>
      <c r="P1788" s="950" t="str">
        <f>VLOOKUP(J1788,'רשימת רשויות'!A:A,1,0)</f>
        <v>קרית אונו</v>
      </c>
      <c r="Q1788" s="956">
        <f>IFERROR(VLOOKUP(B1788,[2]מעובד!$D:$K,8,0),0)</f>
        <v>216</v>
      </c>
      <c r="R1788" s="956">
        <f>IFERROR(VLOOKUP(B1788,[2]מעובד!$D:$L,9,0),0)</f>
        <v>46</v>
      </c>
    </row>
    <row r="1789" spans="1:18" x14ac:dyDescent="0.2">
      <c r="A1789" s="947" t="s">
        <v>392</v>
      </c>
      <c r="B1789" s="947">
        <v>510651</v>
      </c>
      <c r="C1789" s="947" t="s">
        <v>2189</v>
      </c>
      <c r="D1789" s="947" t="s">
        <v>2140</v>
      </c>
      <c r="E1789" s="951">
        <v>103</v>
      </c>
      <c r="F1789" s="951">
        <v>48</v>
      </c>
      <c r="G1789" s="947" t="s">
        <v>3252</v>
      </c>
      <c r="H1789" s="951">
        <v>0</v>
      </c>
      <c r="I1789" s="951">
        <v>0</v>
      </c>
      <c r="J1789" s="947" t="s">
        <v>392</v>
      </c>
      <c r="K1789" s="947">
        <v>510651</v>
      </c>
      <c r="M1789" s="631"/>
      <c r="P1789" s="950" t="str">
        <f>VLOOKUP(J1789,'רשימת רשויות'!A:A,1,0)</f>
        <v>רמת השרון</v>
      </c>
      <c r="Q1789" s="956">
        <f>IFERROR(VLOOKUP(B1789,[2]מעובד!$D:$K,8,0),0)</f>
        <v>0</v>
      </c>
      <c r="R1789" s="956">
        <f>IFERROR(VLOOKUP(B1789,[2]מעובד!$D:$L,9,0),0)</f>
        <v>0</v>
      </c>
    </row>
    <row r="1790" spans="1:18" x14ac:dyDescent="0.2">
      <c r="A1790" s="947" t="s">
        <v>391</v>
      </c>
      <c r="B1790" s="947">
        <v>510685</v>
      </c>
      <c r="C1790" s="947" t="s">
        <v>2189</v>
      </c>
      <c r="D1790" s="947" t="s">
        <v>760</v>
      </c>
      <c r="E1790" s="951">
        <v>237</v>
      </c>
      <c r="F1790" s="951">
        <v>237</v>
      </c>
      <c r="G1790" s="947" t="s">
        <v>159</v>
      </c>
      <c r="H1790" s="951">
        <v>0</v>
      </c>
      <c r="I1790" s="951">
        <v>0</v>
      </c>
      <c r="J1790" s="947" t="s">
        <v>391</v>
      </c>
      <c r="K1790" s="947">
        <v>510685</v>
      </c>
      <c r="M1790" s="631"/>
      <c r="P1790" s="950" t="str">
        <f>VLOOKUP(J1790,'רשימת רשויות'!A:A,1,0)</f>
        <v>רמת גן</v>
      </c>
      <c r="Q1790" s="956">
        <f>IFERROR(VLOOKUP(B1790,[2]מעובד!$D:$K,8,0),0)</f>
        <v>171</v>
      </c>
      <c r="R1790" s="956">
        <f>IFERROR(VLOOKUP(B1790,[2]מעובד!$D:$L,9,0),0)</f>
        <v>64</v>
      </c>
    </row>
    <row r="1791" spans="1:18" x14ac:dyDescent="0.2">
      <c r="A1791" s="947" t="s">
        <v>391</v>
      </c>
      <c r="B1791" s="947">
        <v>510693</v>
      </c>
      <c r="C1791" s="947" t="s">
        <v>2189</v>
      </c>
      <c r="D1791" s="947" t="s">
        <v>761</v>
      </c>
      <c r="E1791" s="951">
        <v>156</v>
      </c>
      <c r="F1791" s="951">
        <v>155</v>
      </c>
      <c r="G1791" s="947" t="s">
        <v>159</v>
      </c>
      <c r="H1791" s="951">
        <v>0</v>
      </c>
      <c r="I1791" s="951">
        <v>0</v>
      </c>
      <c r="J1791" s="947" t="s">
        <v>391</v>
      </c>
      <c r="K1791" s="947">
        <v>510693</v>
      </c>
      <c r="M1791" s="631"/>
      <c r="P1791" s="950" t="str">
        <f>VLOOKUP(J1791,'רשימת רשויות'!A:A,1,0)</f>
        <v>רמת גן</v>
      </c>
      <c r="Q1791" s="956">
        <f>IFERROR(VLOOKUP(B1791,[2]מעובד!$D:$K,8,0),0)</f>
        <v>0</v>
      </c>
      <c r="R1791" s="956">
        <f>IFERROR(VLOOKUP(B1791,[2]מעובד!$D:$L,9,0),0)</f>
        <v>0</v>
      </c>
    </row>
    <row r="1792" spans="1:18" x14ac:dyDescent="0.2">
      <c r="A1792" s="947" t="s">
        <v>391</v>
      </c>
      <c r="B1792" s="947">
        <v>510701</v>
      </c>
      <c r="C1792" s="947" t="s">
        <v>2189</v>
      </c>
      <c r="D1792" s="947" t="s">
        <v>762</v>
      </c>
      <c r="E1792" s="951">
        <v>132</v>
      </c>
      <c r="F1792" s="951">
        <v>132</v>
      </c>
      <c r="G1792" s="947" t="s">
        <v>159</v>
      </c>
      <c r="H1792" s="951">
        <v>0</v>
      </c>
      <c r="I1792" s="951">
        <v>0</v>
      </c>
      <c r="J1792" s="947" t="s">
        <v>391</v>
      </c>
      <c r="K1792" s="947">
        <v>510701</v>
      </c>
      <c r="M1792" s="631"/>
      <c r="P1792" s="950" t="str">
        <f>VLOOKUP(J1792,'רשימת רשויות'!A:A,1,0)</f>
        <v>רמת גן</v>
      </c>
      <c r="Q1792" s="956">
        <f>IFERROR(VLOOKUP(B1792,[2]מעובד!$D:$K,8,0),0)</f>
        <v>0</v>
      </c>
      <c r="R1792" s="956">
        <f>IFERROR(VLOOKUP(B1792,[2]מעובד!$D:$L,9,0),0)</f>
        <v>0</v>
      </c>
    </row>
    <row r="1793" spans="1:18" x14ac:dyDescent="0.2">
      <c r="A1793" s="947" t="s">
        <v>391</v>
      </c>
      <c r="B1793" s="947">
        <v>510719</v>
      </c>
      <c r="C1793" s="947" t="s">
        <v>2189</v>
      </c>
      <c r="D1793" s="947" t="s">
        <v>763</v>
      </c>
      <c r="E1793" s="951">
        <v>224</v>
      </c>
      <c r="F1793" s="951">
        <v>198</v>
      </c>
      <c r="G1793" s="947" t="s">
        <v>159</v>
      </c>
      <c r="H1793" s="951">
        <v>0</v>
      </c>
      <c r="I1793" s="951">
        <v>0</v>
      </c>
      <c r="J1793" s="947" t="s">
        <v>391</v>
      </c>
      <c r="K1793" s="947">
        <v>510719</v>
      </c>
      <c r="M1793" s="631"/>
      <c r="P1793" s="950" t="str">
        <f>VLOOKUP(J1793,'רשימת רשויות'!A:A,1,0)</f>
        <v>רמת גן</v>
      </c>
      <c r="Q1793" s="956">
        <f>IFERROR(VLOOKUP(B1793,[2]מעובד!$D:$K,8,0),0)</f>
        <v>154</v>
      </c>
      <c r="R1793" s="956">
        <f>IFERROR(VLOOKUP(B1793,[2]מעובד!$D:$L,9,0),0)</f>
        <v>154</v>
      </c>
    </row>
    <row r="1794" spans="1:18" x14ac:dyDescent="0.2">
      <c r="A1794" s="947" t="s">
        <v>391</v>
      </c>
      <c r="B1794" s="947">
        <v>510727</v>
      </c>
      <c r="C1794" s="947" t="s">
        <v>2189</v>
      </c>
      <c r="D1794" s="947" t="s">
        <v>764</v>
      </c>
      <c r="E1794" s="951">
        <v>236</v>
      </c>
      <c r="F1794" s="951">
        <v>224</v>
      </c>
      <c r="G1794" s="947" t="s">
        <v>159</v>
      </c>
      <c r="H1794" s="951">
        <v>0</v>
      </c>
      <c r="I1794" s="951">
        <v>0</v>
      </c>
      <c r="J1794" s="947" t="s">
        <v>391</v>
      </c>
      <c r="K1794" s="947">
        <v>510727</v>
      </c>
      <c r="M1794" s="631"/>
      <c r="P1794" s="950" t="str">
        <f>VLOOKUP(J1794,'רשימת רשויות'!A:A,1,0)</f>
        <v>רמת גן</v>
      </c>
      <c r="Q1794" s="956">
        <f>IFERROR(VLOOKUP(B1794,[2]מעובד!$D:$K,8,0),0)</f>
        <v>246</v>
      </c>
      <c r="R1794" s="956">
        <f>IFERROR(VLOOKUP(B1794,[2]מעובד!$D:$L,9,0),0)</f>
        <v>105</v>
      </c>
    </row>
    <row r="1795" spans="1:18" x14ac:dyDescent="0.2">
      <c r="A1795" s="947" t="s">
        <v>391</v>
      </c>
      <c r="B1795" s="947">
        <v>510735</v>
      </c>
      <c r="C1795" s="947" t="s">
        <v>2189</v>
      </c>
      <c r="D1795" s="947" t="s">
        <v>765</v>
      </c>
      <c r="E1795" s="951">
        <v>194</v>
      </c>
      <c r="F1795" s="951">
        <v>194</v>
      </c>
      <c r="G1795" s="947" t="s">
        <v>159</v>
      </c>
      <c r="H1795" s="951">
        <v>0</v>
      </c>
      <c r="I1795" s="951">
        <v>0</v>
      </c>
      <c r="J1795" s="947" t="s">
        <v>391</v>
      </c>
      <c r="K1795" s="947">
        <v>510735</v>
      </c>
      <c r="M1795" s="631"/>
      <c r="P1795" s="950" t="str">
        <f>VLOOKUP(J1795,'רשימת רשויות'!A:A,1,0)</f>
        <v>רמת גן</v>
      </c>
      <c r="Q1795" s="956">
        <f>IFERROR(VLOOKUP(B1795,[2]מעובד!$D:$K,8,0),0)</f>
        <v>0</v>
      </c>
      <c r="R1795" s="956">
        <f>IFERROR(VLOOKUP(B1795,[2]מעובד!$D:$L,9,0),0)</f>
        <v>0</v>
      </c>
    </row>
    <row r="1796" spans="1:18" x14ac:dyDescent="0.2">
      <c r="A1796" s="947" t="s">
        <v>391</v>
      </c>
      <c r="B1796" s="947">
        <v>510743</v>
      </c>
      <c r="C1796" s="947" t="s">
        <v>2189</v>
      </c>
      <c r="D1796" s="947" t="s">
        <v>766</v>
      </c>
      <c r="E1796" s="951">
        <v>190</v>
      </c>
      <c r="F1796" s="951">
        <v>181</v>
      </c>
      <c r="G1796" s="947" t="s">
        <v>159</v>
      </c>
      <c r="H1796" s="951">
        <v>0</v>
      </c>
      <c r="I1796" s="951">
        <v>0</v>
      </c>
      <c r="J1796" s="947" t="s">
        <v>391</v>
      </c>
      <c r="K1796" s="947">
        <v>510743</v>
      </c>
      <c r="M1796" s="631"/>
      <c r="P1796" s="950" t="str">
        <f>VLOOKUP(J1796,'רשימת רשויות'!A:A,1,0)</f>
        <v>רמת גן</v>
      </c>
      <c r="Q1796" s="956">
        <f>IFERROR(VLOOKUP(B1796,[2]מעובד!$D:$K,8,0),0)</f>
        <v>190</v>
      </c>
      <c r="R1796" s="956">
        <f>IFERROR(VLOOKUP(B1796,[2]מעובד!$D:$L,9,0),0)</f>
        <v>100</v>
      </c>
    </row>
    <row r="1797" spans="1:18" x14ac:dyDescent="0.2">
      <c r="A1797" s="947" t="s">
        <v>391</v>
      </c>
      <c r="B1797" s="947">
        <v>510750</v>
      </c>
      <c r="C1797" s="947" t="s">
        <v>2189</v>
      </c>
      <c r="D1797" s="947" t="s">
        <v>767</v>
      </c>
      <c r="E1797" s="951">
        <v>167</v>
      </c>
      <c r="F1797" s="951">
        <v>157</v>
      </c>
      <c r="G1797" s="947" t="s">
        <v>159</v>
      </c>
      <c r="H1797" s="951">
        <v>51</v>
      </c>
      <c r="I1797" s="951">
        <v>8</v>
      </c>
      <c r="J1797" s="947" t="s">
        <v>391</v>
      </c>
      <c r="K1797" s="947">
        <v>510750</v>
      </c>
      <c r="M1797" s="631"/>
      <c r="P1797" s="950" t="str">
        <f>VLOOKUP(J1797,'רשימת רשויות'!A:A,1,0)</f>
        <v>רמת גן</v>
      </c>
      <c r="Q1797" s="956">
        <f>IFERROR(VLOOKUP(B1797,[2]מעובד!$D:$K,8,0),0)</f>
        <v>195</v>
      </c>
      <c r="R1797" s="956">
        <f>IFERROR(VLOOKUP(B1797,[2]מעובד!$D:$L,9,0),0)</f>
        <v>110</v>
      </c>
    </row>
    <row r="1798" spans="1:18" x14ac:dyDescent="0.2">
      <c r="A1798" s="947" t="s">
        <v>391</v>
      </c>
      <c r="B1798" s="947">
        <v>510768</v>
      </c>
      <c r="C1798" s="947" t="s">
        <v>2189</v>
      </c>
      <c r="D1798" s="947" t="s">
        <v>768</v>
      </c>
      <c r="E1798" s="951">
        <v>206</v>
      </c>
      <c r="F1798" s="951">
        <v>204</v>
      </c>
      <c r="G1798" s="947" t="s">
        <v>159</v>
      </c>
      <c r="H1798" s="951">
        <v>0</v>
      </c>
      <c r="I1798" s="951">
        <v>0</v>
      </c>
      <c r="J1798" s="947" t="s">
        <v>391</v>
      </c>
      <c r="K1798" s="947">
        <v>510768</v>
      </c>
      <c r="M1798" s="631"/>
      <c r="P1798" s="950" t="str">
        <f>VLOOKUP(J1798,'רשימת רשויות'!A:A,1,0)</f>
        <v>רמת גן</v>
      </c>
      <c r="Q1798" s="956">
        <f>IFERROR(VLOOKUP(B1798,[2]מעובד!$D:$K,8,0),0)</f>
        <v>201</v>
      </c>
      <c r="R1798" s="956">
        <f>IFERROR(VLOOKUP(B1798,[2]מעובד!$D:$L,9,0),0)</f>
        <v>90</v>
      </c>
    </row>
    <row r="1799" spans="1:18" x14ac:dyDescent="0.2">
      <c r="A1799" s="947" t="s">
        <v>391</v>
      </c>
      <c r="B1799" s="947">
        <v>510776</v>
      </c>
      <c r="C1799" s="947" t="s">
        <v>2189</v>
      </c>
      <c r="D1799" s="947" t="s">
        <v>769</v>
      </c>
      <c r="E1799" s="951">
        <v>153</v>
      </c>
      <c r="F1799" s="951">
        <v>142</v>
      </c>
      <c r="G1799" s="947" t="s">
        <v>159</v>
      </c>
      <c r="H1799" s="951">
        <v>0</v>
      </c>
      <c r="I1799" s="951">
        <v>0</v>
      </c>
      <c r="J1799" s="947" t="s">
        <v>391</v>
      </c>
      <c r="K1799" s="947">
        <v>510776</v>
      </c>
      <c r="M1799" s="631"/>
      <c r="P1799" s="950" t="str">
        <f>VLOOKUP(J1799,'רשימת רשויות'!A:A,1,0)</f>
        <v>רמת גן</v>
      </c>
      <c r="Q1799" s="956">
        <f>IFERROR(VLOOKUP(B1799,[2]מעובד!$D:$K,8,0),0)</f>
        <v>144</v>
      </c>
      <c r="R1799" s="956">
        <f>IFERROR(VLOOKUP(B1799,[2]מעובד!$D:$L,9,0),0)</f>
        <v>65</v>
      </c>
    </row>
    <row r="1800" spans="1:18" x14ac:dyDescent="0.2">
      <c r="A1800" s="947" t="s">
        <v>391</v>
      </c>
      <c r="B1800" s="947">
        <v>510784</v>
      </c>
      <c r="C1800" s="947" t="s">
        <v>2189</v>
      </c>
      <c r="D1800" s="947" t="s">
        <v>770</v>
      </c>
      <c r="E1800" s="951">
        <v>270</v>
      </c>
      <c r="F1800" s="951">
        <v>265</v>
      </c>
      <c r="G1800" s="947" t="s">
        <v>159</v>
      </c>
      <c r="H1800" s="951">
        <v>0</v>
      </c>
      <c r="I1800" s="951">
        <v>0</v>
      </c>
      <c r="J1800" s="947" t="s">
        <v>391</v>
      </c>
      <c r="K1800" s="947">
        <v>510784</v>
      </c>
      <c r="M1800" s="631"/>
      <c r="P1800" s="950" t="str">
        <f>VLOOKUP(J1800,'רשימת רשויות'!A:A,1,0)</f>
        <v>רמת גן</v>
      </c>
      <c r="Q1800" s="956">
        <f>IFERROR(VLOOKUP(B1800,[2]מעובד!$D:$K,8,0),0)</f>
        <v>253</v>
      </c>
      <c r="R1800" s="956">
        <f>IFERROR(VLOOKUP(B1800,[2]מעובד!$D:$L,9,0),0)</f>
        <v>110</v>
      </c>
    </row>
    <row r="1801" spans="1:18" x14ac:dyDescent="0.2">
      <c r="A1801" s="947" t="s">
        <v>391</v>
      </c>
      <c r="B1801" s="947">
        <v>510792</v>
      </c>
      <c r="C1801" s="947" t="s">
        <v>2189</v>
      </c>
      <c r="D1801" s="947" t="s">
        <v>641</v>
      </c>
      <c r="E1801" s="951">
        <v>257</v>
      </c>
      <c r="F1801" s="951">
        <v>243</v>
      </c>
      <c r="G1801" s="947" t="s">
        <v>159</v>
      </c>
      <c r="H1801" s="951">
        <v>95</v>
      </c>
      <c r="I1801" s="951">
        <v>11</v>
      </c>
      <c r="J1801" s="947" t="s">
        <v>391</v>
      </c>
      <c r="K1801" s="947">
        <v>510792</v>
      </c>
      <c r="M1801" s="631"/>
      <c r="P1801" s="950" t="str">
        <f>VLOOKUP(J1801,'רשימת רשויות'!A:A,1,0)</f>
        <v>רמת גן</v>
      </c>
      <c r="Q1801" s="956">
        <f>IFERROR(VLOOKUP(B1801,[2]מעובד!$D:$K,8,0),0)</f>
        <v>310</v>
      </c>
      <c r="R1801" s="956">
        <f>IFERROR(VLOOKUP(B1801,[2]מעובד!$D:$L,9,0),0)</f>
        <v>111</v>
      </c>
    </row>
    <row r="1802" spans="1:18" x14ac:dyDescent="0.2">
      <c r="A1802" s="947" t="s">
        <v>391</v>
      </c>
      <c r="B1802" s="947">
        <v>510800</v>
      </c>
      <c r="C1802" s="947" t="s">
        <v>2189</v>
      </c>
      <c r="D1802" s="947" t="s">
        <v>651</v>
      </c>
      <c r="E1802" s="951">
        <v>298</v>
      </c>
      <c r="F1802" s="951">
        <v>289</v>
      </c>
      <c r="G1802" s="947" t="s">
        <v>159</v>
      </c>
      <c r="H1802" s="951">
        <v>0</v>
      </c>
      <c r="I1802" s="951">
        <v>0</v>
      </c>
      <c r="J1802" s="947" t="s">
        <v>391</v>
      </c>
      <c r="K1802" s="947">
        <v>510800</v>
      </c>
      <c r="M1802" s="631"/>
      <c r="P1802" s="950" t="str">
        <f>VLOOKUP(J1802,'רשימת רשויות'!A:A,1,0)</f>
        <v>רמת גן</v>
      </c>
      <c r="Q1802" s="956">
        <f>IFERROR(VLOOKUP(B1802,[2]מעובד!$D:$K,8,0),0)</f>
        <v>259</v>
      </c>
      <c r="R1802" s="956">
        <f>IFERROR(VLOOKUP(B1802,[2]מעובד!$D:$L,9,0),0)</f>
        <v>172</v>
      </c>
    </row>
    <row r="1803" spans="1:18" x14ac:dyDescent="0.2">
      <c r="A1803" s="947" t="s">
        <v>391</v>
      </c>
      <c r="B1803" s="947">
        <v>510826</v>
      </c>
      <c r="C1803" s="947" t="s">
        <v>2189</v>
      </c>
      <c r="D1803" s="947" t="s">
        <v>711</v>
      </c>
      <c r="E1803" s="951">
        <v>149</v>
      </c>
      <c r="F1803" s="951">
        <v>122</v>
      </c>
      <c r="G1803" s="947" t="s">
        <v>159</v>
      </c>
      <c r="H1803" s="951">
        <v>0</v>
      </c>
      <c r="I1803" s="951">
        <v>0</v>
      </c>
      <c r="J1803" s="947" t="s">
        <v>391</v>
      </c>
      <c r="K1803" s="947">
        <v>510826</v>
      </c>
      <c r="M1803" s="631"/>
      <c r="P1803" s="950" t="str">
        <f>VLOOKUP(J1803,'רשימת רשויות'!A:A,1,0)</f>
        <v>רמת גן</v>
      </c>
      <c r="Q1803" s="956">
        <f>IFERROR(VLOOKUP(B1803,[2]מעובד!$D:$K,8,0),0)</f>
        <v>0</v>
      </c>
      <c r="R1803" s="956">
        <f>IFERROR(VLOOKUP(B1803,[2]מעובד!$D:$L,9,0),0)</f>
        <v>0</v>
      </c>
    </row>
    <row r="1804" spans="1:18" x14ac:dyDescent="0.2">
      <c r="A1804" s="947" t="s">
        <v>391</v>
      </c>
      <c r="B1804" s="947">
        <v>510834</v>
      </c>
      <c r="C1804" s="947" t="s">
        <v>2189</v>
      </c>
      <c r="D1804" s="947" t="s">
        <v>719</v>
      </c>
      <c r="E1804" s="951">
        <v>178</v>
      </c>
      <c r="F1804" s="951">
        <v>169</v>
      </c>
      <c r="G1804" s="947" t="s">
        <v>159</v>
      </c>
      <c r="H1804" s="951">
        <v>0</v>
      </c>
      <c r="I1804" s="951">
        <v>0</v>
      </c>
      <c r="J1804" s="947" t="s">
        <v>391</v>
      </c>
      <c r="K1804" s="947">
        <v>510834</v>
      </c>
      <c r="M1804" s="631"/>
      <c r="P1804" s="950" t="str">
        <f>VLOOKUP(J1804,'רשימת רשויות'!A:A,1,0)</f>
        <v>רמת גן</v>
      </c>
      <c r="Q1804" s="956">
        <f>IFERROR(VLOOKUP(B1804,[2]מעובד!$D:$K,8,0),0)</f>
        <v>138</v>
      </c>
      <c r="R1804" s="956">
        <f>IFERROR(VLOOKUP(B1804,[2]מעובד!$D:$L,9,0),0)</f>
        <v>45</v>
      </c>
    </row>
    <row r="1805" spans="1:18" x14ac:dyDescent="0.2">
      <c r="A1805" s="947" t="s">
        <v>391</v>
      </c>
      <c r="B1805" s="947">
        <v>510842</v>
      </c>
      <c r="C1805" s="947" t="s">
        <v>2189</v>
      </c>
      <c r="D1805" s="947" t="s">
        <v>720</v>
      </c>
      <c r="E1805" s="951">
        <v>333</v>
      </c>
      <c r="F1805" s="951">
        <v>325</v>
      </c>
      <c r="G1805" s="947" t="s">
        <v>159</v>
      </c>
      <c r="H1805" s="951">
        <v>0</v>
      </c>
      <c r="I1805" s="951">
        <v>0</v>
      </c>
      <c r="J1805" s="947" t="s">
        <v>391</v>
      </c>
      <c r="K1805" s="947">
        <v>510842</v>
      </c>
      <c r="M1805" s="631"/>
      <c r="P1805" s="950" t="str">
        <f>VLOOKUP(J1805,'רשימת רשויות'!A:A,1,0)</f>
        <v>רמת גן</v>
      </c>
      <c r="Q1805" s="956">
        <f>IFERROR(VLOOKUP(B1805,[2]מעובד!$D:$K,8,0),0)</f>
        <v>355</v>
      </c>
      <c r="R1805" s="956">
        <f>IFERROR(VLOOKUP(B1805,[2]מעובד!$D:$L,9,0),0)</f>
        <v>79</v>
      </c>
    </row>
    <row r="1806" spans="1:18" x14ac:dyDescent="0.2">
      <c r="A1806" s="947" t="s">
        <v>391</v>
      </c>
      <c r="B1806" s="947">
        <v>510859</v>
      </c>
      <c r="C1806" s="947" t="s">
        <v>2189</v>
      </c>
      <c r="D1806" s="947" t="s">
        <v>607</v>
      </c>
      <c r="E1806" s="951">
        <v>150</v>
      </c>
      <c r="F1806" s="951">
        <v>137</v>
      </c>
      <c r="G1806" s="947" t="s">
        <v>159</v>
      </c>
      <c r="H1806" s="951">
        <v>0</v>
      </c>
      <c r="I1806" s="951">
        <v>0</v>
      </c>
      <c r="J1806" s="947" t="s">
        <v>391</v>
      </c>
      <c r="K1806" s="947">
        <v>510859</v>
      </c>
      <c r="M1806" s="631"/>
      <c r="P1806" s="950" t="str">
        <f>VLOOKUP(J1806,'רשימת רשויות'!A:A,1,0)</f>
        <v>רמת גן</v>
      </c>
      <c r="Q1806" s="956">
        <f>IFERROR(VLOOKUP(B1806,[2]מעובד!$D:$K,8,0),0)</f>
        <v>151</v>
      </c>
      <c r="R1806" s="956">
        <f>IFERROR(VLOOKUP(B1806,[2]מעובד!$D:$L,9,0),0)</f>
        <v>151</v>
      </c>
    </row>
    <row r="1807" spans="1:18" x14ac:dyDescent="0.2">
      <c r="A1807" s="947" t="s">
        <v>391</v>
      </c>
      <c r="B1807" s="947">
        <v>510867</v>
      </c>
      <c r="C1807" s="947" t="s">
        <v>2189</v>
      </c>
      <c r="D1807" s="947" t="s">
        <v>474</v>
      </c>
      <c r="E1807" s="951">
        <v>227</v>
      </c>
      <c r="F1807" s="951">
        <v>219</v>
      </c>
      <c r="G1807" s="947" t="s">
        <v>159</v>
      </c>
      <c r="H1807" s="951">
        <v>0</v>
      </c>
      <c r="I1807" s="951">
        <v>0</v>
      </c>
      <c r="J1807" s="947" t="s">
        <v>391</v>
      </c>
      <c r="K1807" s="947">
        <v>510867</v>
      </c>
      <c r="M1807" s="631"/>
      <c r="P1807" s="950" t="str">
        <f>VLOOKUP(J1807,'רשימת רשויות'!A:A,1,0)</f>
        <v>רמת גן</v>
      </c>
      <c r="Q1807" s="956">
        <f>IFERROR(VLOOKUP(B1807,[2]מעובד!$D:$K,8,0),0)</f>
        <v>245</v>
      </c>
      <c r="R1807" s="956">
        <f>IFERROR(VLOOKUP(B1807,[2]מעובד!$D:$L,9,0),0)</f>
        <v>166</v>
      </c>
    </row>
    <row r="1808" spans="1:18" x14ac:dyDescent="0.2">
      <c r="A1808" s="947" t="s">
        <v>391</v>
      </c>
      <c r="B1808" s="947">
        <v>510875</v>
      </c>
      <c r="C1808" s="947" t="s">
        <v>2189</v>
      </c>
      <c r="D1808" s="947" t="s">
        <v>721</v>
      </c>
      <c r="E1808" s="951">
        <v>191</v>
      </c>
      <c r="F1808" s="951">
        <v>173</v>
      </c>
      <c r="G1808" s="947" t="s">
        <v>159</v>
      </c>
      <c r="H1808" s="951">
        <v>0</v>
      </c>
      <c r="I1808" s="951">
        <v>0</v>
      </c>
      <c r="J1808" s="947" t="s">
        <v>391</v>
      </c>
      <c r="K1808" s="947">
        <v>510875</v>
      </c>
      <c r="M1808" s="631"/>
      <c r="P1808" s="950" t="str">
        <f>VLOOKUP(J1808,'רשימת רשויות'!A:A,1,0)</f>
        <v>רמת גן</v>
      </c>
      <c r="Q1808" s="956">
        <f>IFERROR(VLOOKUP(B1808,[2]מעובד!$D:$K,8,0),0)</f>
        <v>0</v>
      </c>
      <c r="R1808" s="956">
        <f>IFERROR(VLOOKUP(B1808,[2]מעובד!$D:$L,9,0),0)</f>
        <v>0</v>
      </c>
    </row>
    <row r="1809" spans="1:18" x14ac:dyDescent="0.2">
      <c r="A1809" s="947" t="s">
        <v>391</v>
      </c>
      <c r="B1809" s="947">
        <v>510883</v>
      </c>
      <c r="C1809" s="947" t="s">
        <v>2189</v>
      </c>
      <c r="D1809" s="947" t="s">
        <v>722</v>
      </c>
      <c r="E1809" s="951">
        <v>194</v>
      </c>
      <c r="F1809" s="951">
        <v>194</v>
      </c>
      <c r="G1809" s="947" t="s">
        <v>159</v>
      </c>
      <c r="H1809" s="951">
        <v>0</v>
      </c>
      <c r="I1809" s="951">
        <v>0</v>
      </c>
      <c r="J1809" s="947" t="s">
        <v>391</v>
      </c>
      <c r="K1809" s="947">
        <v>510883</v>
      </c>
      <c r="M1809" s="631"/>
      <c r="P1809" s="950" t="str">
        <f>VLOOKUP(J1809,'רשימת רשויות'!A:A,1,0)</f>
        <v>רמת גן</v>
      </c>
      <c r="Q1809" s="956">
        <f>IFERROR(VLOOKUP(B1809,[2]מעובד!$D:$K,8,0),0)</f>
        <v>163</v>
      </c>
      <c r="R1809" s="956">
        <f>IFERROR(VLOOKUP(B1809,[2]מעובד!$D:$L,9,0),0)</f>
        <v>56</v>
      </c>
    </row>
    <row r="1810" spans="1:18" x14ac:dyDescent="0.2">
      <c r="A1810" s="947" t="s">
        <v>391</v>
      </c>
      <c r="B1810" s="947">
        <v>510917</v>
      </c>
      <c r="C1810" s="947" t="s">
        <v>2189</v>
      </c>
      <c r="D1810" s="947" t="s">
        <v>725</v>
      </c>
      <c r="E1810" s="951">
        <v>181</v>
      </c>
      <c r="F1810" s="951">
        <v>181</v>
      </c>
      <c r="G1810" s="947" t="s">
        <v>159</v>
      </c>
      <c r="H1810" s="951">
        <v>0</v>
      </c>
      <c r="I1810" s="951">
        <v>0</v>
      </c>
      <c r="J1810" s="947" t="s">
        <v>391</v>
      </c>
      <c r="K1810" s="947">
        <v>510917</v>
      </c>
      <c r="M1810" s="631"/>
      <c r="P1810" s="950" t="str">
        <f>VLOOKUP(J1810,'רשימת רשויות'!A:A,1,0)</f>
        <v>רמת גן</v>
      </c>
      <c r="Q1810" s="956">
        <f>IFERROR(VLOOKUP(B1810,[2]מעובד!$D:$K,8,0),0)</f>
        <v>0</v>
      </c>
      <c r="R1810" s="956">
        <f>IFERROR(VLOOKUP(B1810,[2]מעובד!$D:$L,9,0),0)</f>
        <v>0</v>
      </c>
    </row>
    <row r="1811" spans="1:18" x14ac:dyDescent="0.2">
      <c r="A1811" s="947" t="s">
        <v>392</v>
      </c>
      <c r="B1811" s="947">
        <v>510925</v>
      </c>
      <c r="C1811" s="947" t="s">
        <v>2189</v>
      </c>
      <c r="D1811" s="947" t="s">
        <v>2232</v>
      </c>
      <c r="E1811" s="951">
        <v>182</v>
      </c>
      <c r="F1811" s="951">
        <v>161</v>
      </c>
      <c r="G1811" s="947" t="s">
        <v>159</v>
      </c>
      <c r="H1811" s="951">
        <v>0</v>
      </c>
      <c r="I1811" s="951">
        <v>0</v>
      </c>
      <c r="J1811" s="947" t="s">
        <v>392</v>
      </c>
      <c r="K1811" s="947">
        <v>510925</v>
      </c>
      <c r="M1811" s="631"/>
      <c r="P1811" s="950" t="str">
        <f>VLOOKUP(J1811,'רשימת רשויות'!A:A,1,0)</f>
        <v>רמת השרון</v>
      </c>
      <c r="Q1811" s="956">
        <f>IFERROR(VLOOKUP(B1811,[2]מעובד!$D:$K,8,0),0)</f>
        <v>0</v>
      </c>
      <c r="R1811" s="956">
        <f>IFERROR(VLOOKUP(B1811,[2]מעובד!$D:$L,9,0),0)</f>
        <v>0</v>
      </c>
    </row>
    <row r="1812" spans="1:18" x14ac:dyDescent="0.2">
      <c r="A1812" s="947" t="s">
        <v>392</v>
      </c>
      <c r="B1812" s="947">
        <v>510933</v>
      </c>
      <c r="C1812" s="947" t="s">
        <v>2189</v>
      </c>
      <c r="D1812" s="947" t="s">
        <v>217</v>
      </c>
      <c r="E1812" s="951">
        <v>156</v>
      </c>
      <c r="F1812" s="951">
        <v>135</v>
      </c>
      <c r="G1812" s="947" t="s">
        <v>159</v>
      </c>
      <c r="H1812" s="951">
        <v>107</v>
      </c>
      <c r="I1812" s="951">
        <v>0</v>
      </c>
      <c r="J1812" s="947" t="s">
        <v>392</v>
      </c>
      <c r="K1812" s="957" t="s">
        <v>3331</v>
      </c>
      <c r="M1812" s="631"/>
      <c r="P1812" s="950" t="str">
        <f>VLOOKUP(J1812,'רשימת רשויות'!A:A,1,0)</f>
        <v>רמת השרון</v>
      </c>
      <c r="Q1812" s="956">
        <f>IFERROR(VLOOKUP(B1812,[2]מעובד!$D:$K,8,0),0)</f>
        <v>168</v>
      </c>
      <c r="R1812" s="956">
        <f>IFERROR(VLOOKUP(B1812,[2]מעובד!$D:$L,9,0),0)</f>
        <v>34</v>
      </c>
    </row>
    <row r="1813" spans="1:18" x14ac:dyDescent="0.2">
      <c r="A1813" s="947" t="s">
        <v>245</v>
      </c>
      <c r="B1813" s="947">
        <v>510974</v>
      </c>
      <c r="C1813" s="947" t="s">
        <v>2189</v>
      </c>
      <c r="D1813" s="947" t="s">
        <v>1765</v>
      </c>
      <c r="E1813" s="951">
        <v>77</v>
      </c>
      <c r="F1813" s="951">
        <v>0</v>
      </c>
      <c r="G1813" s="947" t="s">
        <v>3252</v>
      </c>
      <c r="H1813" s="951">
        <v>0</v>
      </c>
      <c r="I1813" s="951">
        <v>0</v>
      </c>
      <c r="J1813" s="947" t="s">
        <v>245</v>
      </c>
      <c r="K1813" s="947">
        <v>510974</v>
      </c>
      <c r="M1813" s="631"/>
      <c r="P1813" s="950" t="str">
        <f>VLOOKUP(J1813,'רשימת רשויות'!A:A,1,0)</f>
        <v>חולון</v>
      </c>
      <c r="Q1813" s="956">
        <f>IFERROR(VLOOKUP(B1813,[2]מעובד!$D:$K,8,0),0)</f>
        <v>0</v>
      </c>
      <c r="R1813" s="956">
        <f>IFERROR(VLOOKUP(B1813,[2]מעובד!$D:$L,9,0),0)</f>
        <v>0</v>
      </c>
    </row>
    <row r="1814" spans="1:18" x14ac:dyDescent="0.2">
      <c r="A1814" s="947" t="s">
        <v>408</v>
      </c>
      <c r="B1814" s="947">
        <v>510982</v>
      </c>
      <c r="C1814" s="947" t="s">
        <v>2189</v>
      </c>
      <c r="D1814" s="947" t="s">
        <v>726</v>
      </c>
      <c r="E1814" s="951">
        <v>344</v>
      </c>
      <c r="F1814" s="951">
        <v>342</v>
      </c>
      <c r="G1814" s="947" t="s">
        <v>159</v>
      </c>
      <c r="H1814" s="951">
        <v>0</v>
      </c>
      <c r="I1814" s="951">
        <v>0</v>
      </c>
      <c r="J1814" s="947" t="s">
        <v>408</v>
      </c>
      <c r="K1814" s="947">
        <v>510982</v>
      </c>
      <c r="M1814" s="631"/>
      <c r="P1814" s="950" t="str">
        <f>VLOOKUP(J1814,'רשימת רשויות'!A:A,1,0)</f>
        <v>תל אביב-יפו</v>
      </c>
      <c r="Q1814" s="956">
        <f>IFERROR(VLOOKUP(B1814,[2]מעובד!$D:$K,8,0),0)</f>
        <v>0</v>
      </c>
      <c r="R1814" s="956">
        <f>IFERROR(VLOOKUP(B1814,[2]מעובד!$D:$L,9,0),0)</f>
        <v>0</v>
      </c>
    </row>
    <row r="1815" spans="1:18" x14ac:dyDescent="0.2">
      <c r="A1815" s="947" t="s">
        <v>408</v>
      </c>
      <c r="B1815" s="947">
        <v>511006</v>
      </c>
      <c r="C1815" s="947" t="s">
        <v>2189</v>
      </c>
      <c r="D1815" s="947" t="s">
        <v>666</v>
      </c>
      <c r="E1815" s="951">
        <v>214</v>
      </c>
      <c r="F1815" s="951">
        <v>189</v>
      </c>
      <c r="G1815" s="947" t="s">
        <v>159</v>
      </c>
      <c r="H1815" s="951">
        <v>0</v>
      </c>
      <c r="I1815" s="951">
        <v>0</v>
      </c>
      <c r="J1815" s="947" t="s">
        <v>408</v>
      </c>
      <c r="K1815" s="947">
        <v>511006</v>
      </c>
      <c r="M1815" s="631"/>
      <c r="P1815" s="950" t="str">
        <f>VLOOKUP(J1815,'רשימת רשויות'!A:A,1,0)</f>
        <v>תל אביב-יפו</v>
      </c>
      <c r="Q1815" s="956">
        <f>IFERROR(VLOOKUP(B1815,[2]מעובד!$D:$K,8,0),0)</f>
        <v>193</v>
      </c>
      <c r="R1815" s="956">
        <f>IFERROR(VLOOKUP(B1815,[2]מעובד!$D:$L,9,0),0)</f>
        <v>193</v>
      </c>
    </row>
    <row r="1816" spans="1:18" x14ac:dyDescent="0.2">
      <c r="A1816" s="947" t="s">
        <v>196</v>
      </c>
      <c r="B1816" s="947">
        <v>511014</v>
      </c>
      <c r="C1816" s="947" t="s">
        <v>2189</v>
      </c>
      <c r="D1816" s="947" t="s">
        <v>2066</v>
      </c>
      <c r="E1816" s="951">
        <v>76</v>
      </c>
      <c r="F1816" s="951">
        <v>76</v>
      </c>
      <c r="G1816" s="947" t="s">
        <v>3252</v>
      </c>
      <c r="H1816" s="951">
        <v>0</v>
      </c>
      <c r="I1816" s="951">
        <v>0</v>
      </c>
      <c r="J1816" s="947" t="s">
        <v>196</v>
      </c>
      <c r="K1816" s="947">
        <v>511014</v>
      </c>
      <c r="M1816" s="631"/>
      <c r="P1816" s="950" t="str">
        <f>VLOOKUP(J1816,'רשימת רשויות'!A:A,1,0)</f>
        <v>בית שמש</v>
      </c>
      <c r="Q1816" s="956">
        <f>IFERROR(VLOOKUP(B1816,[2]מעובד!$D:$K,8,0),0)</f>
        <v>0</v>
      </c>
      <c r="R1816" s="956">
        <f>IFERROR(VLOOKUP(B1816,[2]מעובד!$D:$L,9,0),0)</f>
        <v>0</v>
      </c>
    </row>
    <row r="1817" spans="1:18" x14ac:dyDescent="0.2">
      <c r="A1817" s="947" t="s">
        <v>408</v>
      </c>
      <c r="B1817" s="947">
        <v>511030</v>
      </c>
      <c r="C1817" s="947" t="s">
        <v>2189</v>
      </c>
      <c r="D1817" s="947" t="s">
        <v>737</v>
      </c>
      <c r="E1817" s="951">
        <v>218</v>
      </c>
      <c r="F1817" s="951">
        <v>218</v>
      </c>
      <c r="G1817" s="947" t="s">
        <v>159</v>
      </c>
      <c r="H1817" s="951">
        <v>0</v>
      </c>
      <c r="I1817" s="951">
        <v>0</v>
      </c>
      <c r="J1817" s="947" t="s">
        <v>408</v>
      </c>
      <c r="K1817" s="947">
        <v>511030</v>
      </c>
      <c r="M1817" s="631"/>
      <c r="P1817" s="950" t="str">
        <f>VLOOKUP(J1817,'רשימת רשויות'!A:A,1,0)</f>
        <v>תל אביב-יפו</v>
      </c>
      <c r="Q1817" s="956">
        <f>IFERROR(VLOOKUP(B1817,[2]מעובד!$D:$K,8,0),0)</f>
        <v>223</v>
      </c>
      <c r="R1817" s="956">
        <f>IFERROR(VLOOKUP(B1817,[2]מעובד!$D:$L,9,0),0)</f>
        <v>117</v>
      </c>
    </row>
    <row r="1818" spans="1:18" x14ac:dyDescent="0.2">
      <c r="A1818" s="947" t="s">
        <v>408</v>
      </c>
      <c r="B1818" s="947">
        <v>511048</v>
      </c>
      <c r="C1818" s="947" t="s">
        <v>2189</v>
      </c>
      <c r="D1818" s="947" t="s">
        <v>453</v>
      </c>
      <c r="E1818" s="951">
        <v>198</v>
      </c>
      <c r="F1818" s="951">
        <v>179</v>
      </c>
      <c r="G1818" s="947" t="s">
        <v>159</v>
      </c>
      <c r="H1818" s="951">
        <v>0</v>
      </c>
      <c r="I1818" s="951">
        <v>0</v>
      </c>
      <c r="J1818" s="947" t="s">
        <v>408</v>
      </c>
      <c r="K1818" s="947">
        <v>511048</v>
      </c>
      <c r="M1818" s="631"/>
      <c r="P1818" s="950" t="str">
        <f>VLOOKUP(J1818,'רשימת רשויות'!A:A,1,0)</f>
        <v>תל אביב-יפו</v>
      </c>
      <c r="Q1818" s="956">
        <f>IFERROR(VLOOKUP(B1818,[2]מעובד!$D:$K,8,0),0)</f>
        <v>153</v>
      </c>
      <c r="R1818" s="956">
        <f>IFERROR(VLOOKUP(B1818,[2]מעובד!$D:$L,9,0),0)</f>
        <v>117</v>
      </c>
    </row>
    <row r="1819" spans="1:18" x14ac:dyDescent="0.2">
      <c r="A1819" s="947" t="s">
        <v>408</v>
      </c>
      <c r="B1819" s="947">
        <v>511071</v>
      </c>
      <c r="C1819" s="947" t="s">
        <v>2189</v>
      </c>
      <c r="D1819" s="947" t="s">
        <v>738</v>
      </c>
      <c r="E1819" s="951">
        <v>230</v>
      </c>
      <c r="F1819" s="951">
        <v>197</v>
      </c>
      <c r="G1819" s="947" t="s">
        <v>159</v>
      </c>
      <c r="H1819" s="951">
        <v>230</v>
      </c>
      <c r="I1819" s="951">
        <v>33</v>
      </c>
      <c r="J1819" s="947" t="s">
        <v>408</v>
      </c>
      <c r="K1819" s="947">
        <v>511071</v>
      </c>
      <c r="M1819" s="631"/>
      <c r="P1819" s="950" t="str">
        <f>VLOOKUP(J1819,'רשימת רשויות'!A:A,1,0)</f>
        <v>תל אביב-יפו</v>
      </c>
      <c r="Q1819" s="956">
        <f>IFERROR(VLOOKUP(B1819,[2]מעובד!$D:$K,8,0),0)</f>
        <v>0</v>
      </c>
      <c r="R1819" s="956">
        <f>IFERROR(VLOOKUP(B1819,[2]מעובד!$D:$L,9,0),0)</f>
        <v>0</v>
      </c>
    </row>
    <row r="1820" spans="1:18" x14ac:dyDescent="0.2">
      <c r="A1820" s="947" t="s">
        <v>408</v>
      </c>
      <c r="B1820" s="947">
        <v>511113</v>
      </c>
      <c r="C1820" s="947" t="s">
        <v>2189</v>
      </c>
      <c r="D1820" s="947" t="s">
        <v>435</v>
      </c>
      <c r="E1820" s="951">
        <v>185</v>
      </c>
      <c r="F1820" s="951">
        <v>118</v>
      </c>
      <c r="G1820" s="947" t="s">
        <v>159</v>
      </c>
      <c r="H1820" s="951">
        <v>185</v>
      </c>
      <c r="I1820" s="951">
        <v>34</v>
      </c>
      <c r="J1820" s="947" t="s">
        <v>408</v>
      </c>
      <c r="K1820" s="947">
        <v>511113</v>
      </c>
      <c r="M1820" s="631"/>
      <c r="P1820" s="950" t="str">
        <f>VLOOKUP(J1820,'רשימת רשויות'!A:A,1,0)</f>
        <v>תל אביב-יפו</v>
      </c>
      <c r="Q1820" s="956">
        <f>IFERROR(VLOOKUP(B1820,[2]מעובד!$D:$K,8,0),0)</f>
        <v>0</v>
      </c>
      <c r="R1820" s="956">
        <f>IFERROR(VLOOKUP(B1820,[2]מעובד!$D:$L,9,0),0)</f>
        <v>0</v>
      </c>
    </row>
    <row r="1821" spans="1:18" x14ac:dyDescent="0.2">
      <c r="A1821" s="947" t="s">
        <v>408</v>
      </c>
      <c r="B1821" s="947">
        <v>511121</v>
      </c>
      <c r="C1821" s="947" t="s">
        <v>2189</v>
      </c>
      <c r="D1821" s="947" t="s">
        <v>740</v>
      </c>
      <c r="E1821" s="951">
        <v>240</v>
      </c>
      <c r="F1821" s="951">
        <v>238</v>
      </c>
      <c r="G1821" s="947" t="s">
        <v>159</v>
      </c>
      <c r="H1821" s="951">
        <v>0</v>
      </c>
      <c r="I1821" s="951">
        <v>0</v>
      </c>
      <c r="J1821" s="947" t="s">
        <v>408</v>
      </c>
      <c r="K1821" s="947">
        <v>511121</v>
      </c>
      <c r="M1821" s="631"/>
      <c r="P1821" s="950" t="str">
        <f>VLOOKUP(J1821,'רשימת רשויות'!A:A,1,0)</f>
        <v>תל אביב-יפו</v>
      </c>
      <c r="Q1821" s="956">
        <f>IFERROR(VLOOKUP(B1821,[2]מעובד!$D:$K,8,0),0)</f>
        <v>0</v>
      </c>
      <c r="R1821" s="956">
        <f>IFERROR(VLOOKUP(B1821,[2]מעובד!$D:$L,9,0),0)</f>
        <v>0</v>
      </c>
    </row>
    <row r="1822" spans="1:18" x14ac:dyDescent="0.2">
      <c r="A1822" s="947" t="s">
        <v>408</v>
      </c>
      <c r="B1822" s="947">
        <v>511162</v>
      </c>
      <c r="C1822" s="947" t="s">
        <v>2189</v>
      </c>
      <c r="D1822" s="947" t="s">
        <v>741</v>
      </c>
      <c r="E1822" s="951">
        <v>82</v>
      </c>
      <c r="F1822" s="951">
        <v>68</v>
      </c>
      <c r="G1822" s="947" t="s">
        <v>159</v>
      </c>
      <c r="H1822" s="951">
        <v>35</v>
      </c>
      <c r="I1822" s="951">
        <v>12</v>
      </c>
      <c r="J1822" s="947" t="s">
        <v>408</v>
      </c>
      <c r="K1822" s="947">
        <v>511162</v>
      </c>
      <c r="M1822" s="631"/>
      <c r="P1822" s="950" t="str">
        <f>VLOOKUP(J1822,'רשימת רשויות'!A:A,1,0)</f>
        <v>תל אביב-יפו</v>
      </c>
      <c r="Q1822" s="956">
        <f>IFERROR(VLOOKUP(B1822,[2]מעובד!$D:$K,8,0),0)</f>
        <v>0</v>
      </c>
      <c r="R1822" s="956">
        <f>IFERROR(VLOOKUP(B1822,[2]מעובד!$D:$L,9,0),0)</f>
        <v>0</v>
      </c>
    </row>
    <row r="1823" spans="1:18" x14ac:dyDescent="0.2">
      <c r="A1823" s="947" t="s">
        <v>408</v>
      </c>
      <c r="B1823" s="947">
        <v>511170</v>
      </c>
      <c r="C1823" s="947" t="s">
        <v>2189</v>
      </c>
      <c r="D1823" s="947" t="s">
        <v>747</v>
      </c>
      <c r="E1823" s="951">
        <v>251</v>
      </c>
      <c r="F1823" s="951">
        <v>251</v>
      </c>
      <c r="G1823" s="947" t="s">
        <v>159</v>
      </c>
      <c r="H1823" s="951">
        <v>0</v>
      </c>
      <c r="I1823" s="951">
        <v>0</v>
      </c>
      <c r="J1823" s="947" t="s">
        <v>408</v>
      </c>
      <c r="K1823" s="947">
        <v>511170</v>
      </c>
      <c r="M1823" s="631"/>
      <c r="P1823" s="950" t="str">
        <f>VLOOKUP(J1823,'רשימת רשויות'!A:A,1,0)</f>
        <v>תל אביב-יפו</v>
      </c>
      <c r="Q1823" s="956">
        <f>IFERROR(VLOOKUP(B1823,[2]מעובד!$D:$K,8,0),0)</f>
        <v>0</v>
      </c>
      <c r="R1823" s="956">
        <f>IFERROR(VLOOKUP(B1823,[2]מעובד!$D:$L,9,0),0)</f>
        <v>0</v>
      </c>
    </row>
    <row r="1824" spans="1:18" x14ac:dyDescent="0.2">
      <c r="A1824" s="947" t="s">
        <v>408</v>
      </c>
      <c r="B1824" s="947">
        <v>511188</v>
      </c>
      <c r="C1824" s="947" t="s">
        <v>2189</v>
      </c>
      <c r="D1824" s="947" t="s">
        <v>748</v>
      </c>
      <c r="E1824" s="951">
        <v>100</v>
      </c>
      <c r="F1824" s="951">
        <v>99</v>
      </c>
      <c r="G1824" s="947" t="s">
        <v>159</v>
      </c>
      <c r="H1824" s="951">
        <v>0</v>
      </c>
      <c r="I1824" s="951">
        <v>0</v>
      </c>
      <c r="J1824" s="947" t="s">
        <v>408</v>
      </c>
      <c r="K1824" s="947">
        <v>511188</v>
      </c>
      <c r="M1824" s="631"/>
      <c r="P1824" s="950" t="str">
        <f>VLOOKUP(J1824,'רשימת רשויות'!A:A,1,0)</f>
        <v>תל אביב-יפו</v>
      </c>
      <c r="Q1824" s="956">
        <f>IFERROR(VLOOKUP(B1824,[2]מעובד!$D:$K,8,0),0)</f>
        <v>0</v>
      </c>
      <c r="R1824" s="956">
        <f>IFERROR(VLOOKUP(B1824,[2]מעובד!$D:$L,9,0),0)</f>
        <v>0</v>
      </c>
    </row>
    <row r="1825" spans="1:18" x14ac:dyDescent="0.2">
      <c r="A1825" s="947" t="s">
        <v>408</v>
      </c>
      <c r="B1825" s="947">
        <v>511196</v>
      </c>
      <c r="C1825" s="947" t="s">
        <v>2189</v>
      </c>
      <c r="D1825" s="947" t="s">
        <v>672</v>
      </c>
      <c r="E1825" s="951">
        <v>90</v>
      </c>
      <c r="F1825" s="951">
        <v>49</v>
      </c>
      <c r="G1825" s="947" t="s">
        <v>159</v>
      </c>
      <c r="H1825" s="951">
        <v>62</v>
      </c>
      <c r="I1825" s="951">
        <v>32</v>
      </c>
      <c r="J1825" s="947" t="s">
        <v>408</v>
      </c>
      <c r="K1825" s="957" t="s">
        <v>3332</v>
      </c>
      <c r="M1825" s="631"/>
      <c r="P1825" s="950" t="str">
        <f>VLOOKUP(J1825,'רשימת רשויות'!A:A,1,0)</f>
        <v>תל אביב-יפו</v>
      </c>
      <c r="Q1825" s="956">
        <f>IFERROR(VLOOKUP(B1825,[2]מעובד!$D:$K,8,0),0)</f>
        <v>0</v>
      </c>
      <c r="R1825" s="956">
        <f>IFERROR(VLOOKUP(B1825,[2]מעובד!$D:$L,9,0),0)</f>
        <v>0</v>
      </c>
    </row>
    <row r="1826" spans="1:18" x14ac:dyDescent="0.2">
      <c r="A1826" s="947" t="s">
        <v>408</v>
      </c>
      <c r="B1826" s="947">
        <v>511212</v>
      </c>
      <c r="C1826" s="947" t="s">
        <v>2189</v>
      </c>
      <c r="D1826" s="947" t="s">
        <v>654</v>
      </c>
      <c r="E1826" s="951">
        <v>208</v>
      </c>
      <c r="F1826" s="951">
        <v>208</v>
      </c>
      <c r="G1826" s="947" t="s">
        <v>159</v>
      </c>
      <c r="H1826" s="951">
        <v>0</v>
      </c>
      <c r="I1826" s="951">
        <v>0</v>
      </c>
      <c r="J1826" s="947" t="s">
        <v>408</v>
      </c>
      <c r="K1826" s="947">
        <v>511212</v>
      </c>
      <c r="M1826" s="631"/>
      <c r="P1826" s="950" t="str">
        <f>VLOOKUP(J1826,'רשימת רשויות'!A:A,1,0)</f>
        <v>תל אביב-יפו</v>
      </c>
      <c r="Q1826" s="956">
        <f>IFERROR(VLOOKUP(B1826,[2]מעובד!$D:$K,8,0),0)</f>
        <v>0</v>
      </c>
      <c r="R1826" s="956">
        <f>IFERROR(VLOOKUP(B1826,[2]מעובד!$D:$L,9,0),0)</f>
        <v>0</v>
      </c>
    </row>
    <row r="1827" spans="1:18" x14ac:dyDescent="0.2">
      <c r="A1827" s="947" t="s">
        <v>408</v>
      </c>
      <c r="B1827" s="947">
        <v>511220</v>
      </c>
      <c r="C1827" s="947" t="s">
        <v>2189</v>
      </c>
      <c r="D1827" s="947" t="s">
        <v>749</v>
      </c>
      <c r="E1827" s="951">
        <v>243</v>
      </c>
      <c r="F1827" s="951">
        <v>214</v>
      </c>
      <c r="G1827" s="947" t="s">
        <v>159</v>
      </c>
      <c r="H1827" s="951">
        <v>0</v>
      </c>
      <c r="I1827" s="951">
        <v>0</v>
      </c>
      <c r="J1827" s="947" t="s">
        <v>408</v>
      </c>
      <c r="K1827" s="957" t="s">
        <v>3333</v>
      </c>
      <c r="M1827" s="631"/>
      <c r="P1827" s="950" t="str">
        <f>VLOOKUP(J1827,'רשימת רשויות'!A:A,1,0)</f>
        <v>תל אביב-יפו</v>
      </c>
      <c r="Q1827" s="956">
        <f>IFERROR(VLOOKUP(B1827,[2]מעובד!$D:$K,8,0),0)</f>
        <v>155</v>
      </c>
      <c r="R1827" s="956">
        <f>IFERROR(VLOOKUP(B1827,[2]מעובד!$D:$L,9,0),0)</f>
        <v>80</v>
      </c>
    </row>
    <row r="1828" spans="1:18" x14ac:dyDescent="0.2">
      <c r="A1828" s="947" t="s">
        <v>408</v>
      </c>
      <c r="B1828" s="947">
        <v>511246</v>
      </c>
      <c r="C1828" s="947" t="s">
        <v>2189</v>
      </c>
      <c r="D1828" s="947" t="s">
        <v>551</v>
      </c>
      <c r="E1828" s="951">
        <v>347</v>
      </c>
      <c r="F1828" s="951">
        <v>344</v>
      </c>
      <c r="G1828" s="947" t="s">
        <v>159</v>
      </c>
      <c r="H1828" s="951">
        <v>0</v>
      </c>
      <c r="I1828" s="951">
        <v>0</v>
      </c>
      <c r="J1828" s="947" t="s">
        <v>408</v>
      </c>
      <c r="K1828" s="947">
        <v>511246</v>
      </c>
      <c r="M1828" s="631"/>
      <c r="P1828" s="950" t="str">
        <f>VLOOKUP(J1828,'רשימת רשויות'!A:A,1,0)</f>
        <v>תל אביב-יפו</v>
      </c>
      <c r="Q1828" s="956">
        <f>IFERROR(VLOOKUP(B1828,[2]מעובד!$D:$K,8,0),0)</f>
        <v>219</v>
      </c>
      <c r="R1828" s="956">
        <f>IFERROR(VLOOKUP(B1828,[2]מעובד!$D:$L,9,0),0)</f>
        <v>97</v>
      </c>
    </row>
    <row r="1829" spans="1:18" x14ac:dyDescent="0.2">
      <c r="A1829" s="947" t="s">
        <v>198</v>
      </c>
      <c r="B1829" s="947">
        <v>511253</v>
      </c>
      <c r="C1829" s="947" t="s">
        <v>2189</v>
      </c>
      <c r="D1829" s="947" t="s">
        <v>2095</v>
      </c>
      <c r="E1829" s="951">
        <v>123</v>
      </c>
      <c r="F1829" s="951">
        <v>123</v>
      </c>
      <c r="G1829" s="947" t="s">
        <v>3252</v>
      </c>
      <c r="H1829" s="951">
        <v>0</v>
      </c>
      <c r="I1829" s="951">
        <v>0</v>
      </c>
      <c r="J1829" s="947" t="s">
        <v>198</v>
      </c>
      <c r="K1829" s="947">
        <v>511253</v>
      </c>
      <c r="M1829" s="631"/>
      <c r="P1829" s="950" t="str">
        <f>VLOOKUP(J1829,'רשימת רשויות'!A:A,1,0)</f>
        <v>בני ברק</v>
      </c>
      <c r="Q1829" s="956">
        <f>IFERROR(VLOOKUP(B1829,[2]מעובד!$D:$K,8,0),0)</f>
        <v>0</v>
      </c>
      <c r="R1829" s="956">
        <f>IFERROR(VLOOKUP(B1829,[2]מעובד!$D:$L,9,0),0)</f>
        <v>0</v>
      </c>
    </row>
    <row r="1830" spans="1:18" x14ac:dyDescent="0.2">
      <c r="A1830" s="947" t="s">
        <v>408</v>
      </c>
      <c r="B1830" s="947">
        <v>511261</v>
      </c>
      <c r="C1830" s="947" t="s">
        <v>2189</v>
      </c>
      <c r="D1830" s="947" t="s">
        <v>753</v>
      </c>
      <c r="E1830" s="951">
        <v>205</v>
      </c>
      <c r="F1830" s="951">
        <v>205</v>
      </c>
      <c r="G1830" s="947" t="s">
        <v>159</v>
      </c>
      <c r="H1830" s="951">
        <v>0</v>
      </c>
      <c r="I1830" s="951">
        <v>0</v>
      </c>
      <c r="J1830" s="947" t="s">
        <v>408</v>
      </c>
      <c r="K1830" s="947">
        <v>511261</v>
      </c>
      <c r="M1830" s="631"/>
      <c r="P1830" s="950" t="str">
        <f>VLOOKUP(J1830,'רשימת רשויות'!A:A,1,0)</f>
        <v>תל אביב-יפו</v>
      </c>
      <c r="Q1830" s="956">
        <f>IFERROR(VLOOKUP(B1830,[2]מעובד!$D:$K,8,0),0)</f>
        <v>234</v>
      </c>
      <c r="R1830" s="956">
        <f>IFERROR(VLOOKUP(B1830,[2]מעובד!$D:$L,9,0),0)</f>
        <v>99</v>
      </c>
    </row>
    <row r="1831" spans="1:18" x14ac:dyDescent="0.2">
      <c r="A1831" s="947" t="s">
        <v>408</v>
      </c>
      <c r="B1831" s="947">
        <v>511279</v>
      </c>
      <c r="C1831" s="947" t="s">
        <v>2189</v>
      </c>
      <c r="D1831" s="947" t="s">
        <v>754</v>
      </c>
      <c r="E1831" s="951">
        <v>134</v>
      </c>
      <c r="F1831" s="951">
        <v>89</v>
      </c>
      <c r="G1831" s="947" t="s">
        <v>159</v>
      </c>
      <c r="H1831" s="951">
        <v>134</v>
      </c>
      <c r="I1831" s="951">
        <v>45</v>
      </c>
      <c r="J1831" s="947" t="s">
        <v>408</v>
      </c>
      <c r="K1831" s="947">
        <v>511279</v>
      </c>
      <c r="M1831" s="631"/>
      <c r="P1831" s="950" t="str">
        <f>VLOOKUP(J1831,'רשימת רשויות'!A:A,1,0)</f>
        <v>תל אביב-יפו</v>
      </c>
      <c r="Q1831" s="956">
        <f>IFERROR(VLOOKUP(B1831,[2]מעובד!$D:$K,8,0),0)</f>
        <v>0</v>
      </c>
      <c r="R1831" s="956">
        <f>IFERROR(VLOOKUP(B1831,[2]מעובד!$D:$L,9,0),0)</f>
        <v>0</v>
      </c>
    </row>
    <row r="1832" spans="1:18" x14ac:dyDescent="0.2">
      <c r="A1832" s="947" t="s">
        <v>408</v>
      </c>
      <c r="B1832" s="947">
        <v>511329</v>
      </c>
      <c r="C1832" s="947" t="s">
        <v>2189</v>
      </c>
      <c r="D1832" s="947" t="s">
        <v>755</v>
      </c>
      <c r="E1832" s="951">
        <v>247</v>
      </c>
      <c r="F1832" s="951">
        <v>244</v>
      </c>
      <c r="G1832" s="947" t="s">
        <v>159</v>
      </c>
      <c r="H1832" s="951">
        <v>0</v>
      </c>
      <c r="I1832" s="951">
        <v>0</v>
      </c>
      <c r="J1832" s="947" t="s">
        <v>408</v>
      </c>
      <c r="K1832" s="947">
        <v>511329</v>
      </c>
      <c r="M1832" s="631"/>
      <c r="P1832" s="950" t="str">
        <f>VLOOKUP(J1832,'רשימת רשויות'!A:A,1,0)</f>
        <v>תל אביב-יפו</v>
      </c>
      <c r="Q1832" s="956">
        <f>IFERROR(VLOOKUP(B1832,[2]מעובד!$D:$K,8,0),0)</f>
        <v>0</v>
      </c>
      <c r="R1832" s="956">
        <f>IFERROR(VLOOKUP(B1832,[2]מעובד!$D:$L,9,0),0)</f>
        <v>0</v>
      </c>
    </row>
    <row r="1833" spans="1:18" x14ac:dyDescent="0.2">
      <c r="A1833" s="947" t="s">
        <v>408</v>
      </c>
      <c r="B1833" s="947">
        <v>511352</v>
      </c>
      <c r="C1833" s="947" t="s">
        <v>2189</v>
      </c>
      <c r="D1833" s="947" t="s">
        <v>771</v>
      </c>
      <c r="E1833" s="951">
        <v>287</v>
      </c>
      <c r="F1833" s="951">
        <v>284</v>
      </c>
      <c r="G1833" s="947" t="s">
        <v>159</v>
      </c>
      <c r="H1833" s="951">
        <v>0</v>
      </c>
      <c r="I1833" s="951">
        <v>0</v>
      </c>
      <c r="J1833" s="947" t="s">
        <v>408</v>
      </c>
      <c r="K1833" s="947">
        <v>511352</v>
      </c>
      <c r="M1833" s="631"/>
      <c r="P1833" s="950" t="str">
        <f>VLOOKUP(J1833,'רשימת רשויות'!A:A,1,0)</f>
        <v>תל אביב-יפו</v>
      </c>
      <c r="Q1833" s="956">
        <f>IFERROR(VLOOKUP(B1833,[2]מעובד!$D:$K,8,0),0)</f>
        <v>219</v>
      </c>
      <c r="R1833" s="956">
        <f>IFERROR(VLOOKUP(B1833,[2]מעובד!$D:$L,9,0),0)</f>
        <v>153</v>
      </c>
    </row>
    <row r="1834" spans="1:18" x14ac:dyDescent="0.2">
      <c r="A1834" s="947" t="s">
        <v>254</v>
      </c>
      <c r="B1834" s="947">
        <v>511378</v>
      </c>
      <c r="C1834" s="947" t="s">
        <v>2189</v>
      </c>
      <c r="D1834" s="947" t="s">
        <v>2114</v>
      </c>
      <c r="E1834" s="951">
        <v>63</v>
      </c>
      <c r="F1834" s="951">
        <v>63</v>
      </c>
      <c r="G1834" s="947" t="s">
        <v>3252</v>
      </c>
      <c r="H1834" s="951">
        <v>0</v>
      </c>
      <c r="I1834" s="951">
        <v>0</v>
      </c>
      <c r="J1834" s="947" t="s">
        <v>254</v>
      </c>
      <c r="K1834" s="947">
        <v>511378</v>
      </c>
      <c r="M1834" s="631"/>
      <c r="P1834" s="950" t="str">
        <f>VLOOKUP(J1834,'רשימת רשויות'!A:A,1,0)</f>
        <v>טבריה</v>
      </c>
      <c r="Q1834" s="956">
        <f>IFERROR(VLOOKUP(B1834,[2]מעובד!$D:$K,8,0),0)</f>
        <v>0</v>
      </c>
      <c r="R1834" s="956">
        <f>IFERROR(VLOOKUP(B1834,[2]מעובד!$D:$L,9,0),0)</f>
        <v>0</v>
      </c>
    </row>
    <row r="1835" spans="1:18" x14ac:dyDescent="0.2">
      <c r="A1835" s="947" t="s">
        <v>196</v>
      </c>
      <c r="B1835" s="947">
        <v>511402</v>
      </c>
      <c r="C1835" s="947" t="s">
        <v>2189</v>
      </c>
      <c r="D1835" s="947" t="s">
        <v>1267</v>
      </c>
      <c r="E1835" s="951">
        <v>52</v>
      </c>
      <c r="F1835" s="951">
        <v>52</v>
      </c>
      <c r="G1835" s="947" t="s">
        <v>3252</v>
      </c>
      <c r="H1835" s="951">
        <v>0</v>
      </c>
      <c r="I1835" s="951">
        <v>0</v>
      </c>
      <c r="J1835" s="947" t="s">
        <v>196</v>
      </c>
      <c r="K1835" s="947">
        <v>511402</v>
      </c>
      <c r="M1835" s="631"/>
      <c r="P1835" s="950" t="str">
        <f>VLOOKUP(J1835,'רשימת רשויות'!A:A,1,0)</f>
        <v>בית שמש</v>
      </c>
      <c r="Q1835" s="956">
        <f>IFERROR(VLOOKUP(B1835,[2]מעובד!$D:$K,8,0),0)</f>
        <v>0</v>
      </c>
      <c r="R1835" s="956">
        <f>IFERROR(VLOOKUP(B1835,[2]מעובד!$D:$L,9,0),0)</f>
        <v>0</v>
      </c>
    </row>
    <row r="1836" spans="1:18" x14ac:dyDescent="0.2">
      <c r="A1836" s="947" t="s">
        <v>306</v>
      </c>
      <c r="B1836" s="947">
        <v>511428</v>
      </c>
      <c r="C1836" s="947" t="s">
        <v>2189</v>
      </c>
      <c r="D1836" s="947" t="s">
        <v>2115</v>
      </c>
      <c r="E1836" s="951">
        <v>411</v>
      </c>
      <c r="F1836" s="951">
        <v>411</v>
      </c>
      <c r="G1836" s="947" t="s">
        <v>3252</v>
      </c>
      <c r="H1836" s="951">
        <v>0</v>
      </c>
      <c r="I1836" s="951">
        <v>0</v>
      </c>
      <c r="J1836" s="947" t="s">
        <v>306</v>
      </c>
      <c r="K1836" s="947">
        <v>511428</v>
      </c>
      <c r="M1836" s="631"/>
      <c r="P1836" s="950" t="str">
        <f>VLOOKUP(J1836,'רשימת רשויות'!A:A,1,0)</f>
        <v>מודיעין עילית</v>
      </c>
      <c r="Q1836" s="956">
        <f>IFERROR(VLOOKUP(B1836,[2]מעובד!$D:$K,8,0),0)</f>
        <v>0</v>
      </c>
      <c r="R1836" s="956">
        <f>IFERROR(VLOOKUP(B1836,[2]מעובד!$D:$L,9,0),0)</f>
        <v>0</v>
      </c>
    </row>
    <row r="1837" spans="1:18" x14ac:dyDescent="0.2">
      <c r="A1837" s="947" t="s">
        <v>408</v>
      </c>
      <c r="B1837" s="947">
        <v>511451</v>
      </c>
      <c r="C1837" s="947" t="s">
        <v>2189</v>
      </c>
      <c r="D1837" s="947" t="s">
        <v>485</v>
      </c>
      <c r="E1837" s="951">
        <v>308</v>
      </c>
      <c r="F1837" s="951">
        <v>292</v>
      </c>
      <c r="G1837" s="947" t="s">
        <v>159</v>
      </c>
      <c r="H1837" s="951">
        <v>0</v>
      </c>
      <c r="I1837" s="951">
        <v>0</v>
      </c>
      <c r="J1837" s="947" t="s">
        <v>408</v>
      </c>
      <c r="K1837" s="947">
        <v>511451</v>
      </c>
      <c r="M1837" s="631"/>
      <c r="P1837" s="950" t="str">
        <f>VLOOKUP(J1837,'רשימת רשויות'!A:A,1,0)</f>
        <v>תל אביב-יפו</v>
      </c>
      <c r="Q1837" s="956">
        <f>IFERROR(VLOOKUP(B1837,[2]מעובד!$D:$K,8,0),0)</f>
        <v>0</v>
      </c>
      <c r="R1837" s="956">
        <f>IFERROR(VLOOKUP(B1837,[2]מעובד!$D:$L,9,0),0)</f>
        <v>0</v>
      </c>
    </row>
    <row r="1838" spans="1:18" x14ac:dyDescent="0.2">
      <c r="A1838" s="947" t="s">
        <v>196</v>
      </c>
      <c r="B1838" s="947">
        <v>511469</v>
      </c>
      <c r="C1838" s="947" t="s">
        <v>2189</v>
      </c>
      <c r="D1838" s="947" t="s">
        <v>2015</v>
      </c>
      <c r="E1838" s="951">
        <v>32</v>
      </c>
      <c r="F1838" s="951">
        <v>32</v>
      </c>
      <c r="G1838" s="947" t="s">
        <v>3252</v>
      </c>
      <c r="H1838" s="951">
        <v>0</v>
      </c>
      <c r="I1838" s="951">
        <v>0</v>
      </c>
      <c r="J1838" s="947" t="s">
        <v>196</v>
      </c>
      <c r="K1838" s="947">
        <v>511469</v>
      </c>
      <c r="M1838" s="631"/>
      <c r="P1838" s="950" t="str">
        <f>VLOOKUP(J1838,'רשימת רשויות'!A:A,1,0)</f>
        <v>בית שמש</v>
      </c>
      <c r="Q1838" s="956">
        <f>IFERROR(VLOOKUP(B1838,[2]מעובד!$D:$K,8,0),0)</f>
        <v>0</v>
      </c>
      <c r="R1838" s="956">
        <f>IFERROR(VLOOKUP(B1838,[2]מעובד!$D:$L,9,0),0)</f>
        <v>0</v>
      </c>
    </row>
    <row r="1839" spans="1:18" x14ac:dyDescent="0.2">
      <c r="A1839" s="947" t="s">
        <v>408</v>
      </c>
      <c r="B1839" s="947">
        <v>511477</v>
      </c>
      <c r="C1839" s="947" t="s">
        <v>2189</v>
      </c>
      <c r="D1839" s="947" t="s">
        <v>2443</v>
      </c>
      <c r="E1839" s="951">
        <v>152</v>
      </c>
      <c r="F1839" s="951">
        <v>151</v>
      </c>
      <c r="G1839" s="947" t="s">
        <v>159</v>
      </c>
      <c r="H1839" s="951">
        <v>0</v>
      </c>
      <c r="I1839" s="951">
        <v>0</v>
      </c>
      <c r="J1839" s="947" t="s">
        <v>408</v>
      </c>
      <c r="K1839" s="947">
        <v>511477</v>
      </c>
      <c r="M1839" s="636"/>
      <c r="P1839" s="950" t="str">
        <f>VLOOKUP(J1839,'רשימת רשויות'!A:A,1,0)</f>
        <v>תל אביב-יפו</v>
      </c>
      <c r="Q1839" s="956">
        <f>IFERROR(VLOOKUP(B1839,[2]מעובד!$D:$K,8,0),0)</f>
        <v>145</v>
      </c>
      <c r="R1839" s="956">
        <f>IFERROR(VLOOKUP(B1839,[2]מעובד!$D:$L,9,0),0)</f>
        <v>55</v>
      </c>
    </row>
    <row r="1840" spans="1:18" x14ac:dyDescent="0.2">
      <c r="A1840" s="947" t="s">
        <v>408</v>
      </c>
      <c r="B1840" s="947">
        <v>511485</v>
      </c>
      <c r="C1840" s="947" t="s">
        <v>2189</v>
      </c>
      <c r="D1840" s="947" t="s">
        <v>3043</v>
      </c>
      <c r="E1840" s="951">
        <v>86</v>
      </c>
      <c r="F1840" s="951">
        <v>0</v>
      </c>
      <c r="G1840" s="947" t="s">
        <v>3252</v>
      </c>
      <c r="H1840" s="951">
        <v>0</v>
      </c>
      <c r="I1840" s="951">
        <v>0</v>
      </c>
      <c r="J1840" s="947" t="s">
        <v>408</v>
      </c>
      <c r="K1840" s="947">
        <v>511485</v>
      </c>
      <c r="M1840" s="631"/>
      <c r="P1840" s="950" t="str">
        <f>VLOOKUP(J1840,'רשימת רשויות'!A:A,1,0)</f>
        <v>תל אביב-יפו</v>
      </c>
      <c r="Q1840" s="956">
        <f>IFERROR(VLOOKUP(B1840,[2]מעובד!$D:$K,8,0),0)</f>
        <v>0</v>
      </c>
      <c r="R1840" s="956">
        <f>IFERROR(VLOOKUP(B1840,[2]מעובד!$D:$L,9,0),0)</f>
        <v>0</v>
      </c>
    </row>
    <row r="1841" spans="1:18" x14ac:dyDescent="0.2">
      <c r="A1841" s="947" t="s">
        <v>363</v>
      </c>
      <c r="B1841" s="947">
        <v>511519</v>
      </c>
      <c r="C1841" s="947" t="s">
        <v>2189</v>
      </c>
      <c r="D1841" s="947" t="s">
        <v>718</v>
      </c>
      <c r="E1841" s="951">
        <v>205</v>
      </c>
      <c r="F1841" s="951">
        <v>189</v>
      </c>
      <c r="G1841" s="947" t="s">
        <v>159</v>
      </c>
      <c r="H1841" s="951">
        <v>92</v>
      </c>
      <c r="I1841" s="951">
        <v>15</v>
      </c>
      <c r="J1841" s="947" t="s">
        <v>363</v>
      </c>
      <c r="K1841" s="947">
        <v>511519</v>
      </c>
      <c r="M1841" s="631"/>
      <c r="P1841" s="950" t="str">
        <f>VLOOKUP(J1841,'רשימת רשויות'!A:A,1,0)</f>
        <v>פתח תקוה</v>
      </c>
      <c r="Q1841" s="956">
        <f>IFERROR(VLOOKUP(B1841,[2]מעובד!$D:$K,8,0),0)</f>
        <v>246</v>
      </c>
      <c r="R1841" s="956">
        <f>IFERROR(VLOOKUP(B1841,[2]מעובד!$D:$L,9,0),0)</f>
        <v>132</v>
      </c>
    </row>
    <row r="1842" spans="1:18" x14ac:dyDescent="0.2">
      <c r="A1842" s="947" t="s">
        <v>351</v>
      </c>
      <c r="B1842" s="947">
        <v>511535</v>
      </c>
      <c r="C1842" s="947" t="s">
        <v>2189</v>
      </c>
      <c r="D1842" s="947" t="s">
        <v>2038</v>
      </c>
      <c r="E1842" s="951">
        <v>172</v>
      </c>
      <c r="F1842" s="951">
        <v>106</v>
      </c>
      <c r="G1842" s="947" t="s">
        <v>159</v>
      </c>
      <c r="H1842" s="951">
        <v>0</v>
      </c>
      <c r="I1842" s="951">
        <v>0</v>
      </c>
      <c r="J1842" s="947" t="s">
        <v>351</v>
      </c>
      <c r="K1842" s="947">
        <v>511535</v>
      </c>
      <c r="M1842" s="631"/>
      <c r="P1842" s="950" t="str">
        <f>VLOOKUP(J1842,'רשימת רשויות'!A:A,1,0)</f>
        <v>עמק יזרעאל</v>
      </c>
      <c r="Q1842" s="956">
        <f>IFERROR(VLOOKUP(B1842,[2]מעובד!$D:$K,8,0),0)</f>
        <v>175</v>
      </c>
      <c r="R1842" s="956">
        <f>IFERROR(VLOOKUP(B1842,[2]מעובד!$D:$L,9,0),0)</f>
        <v>43</v>
      </c>
    </row>
    <row r="1843" spans="1:18" x14ac:dyDescent="0.2">
      <c r="A1843" s="947" t="s">
        <v>336</v>
      </c>
      <c r="B1843" s="947">
        <v>511543</v>
      </c>
      <c r="C1843" s="947" t="s">
        <v>2189</v>
      </c>
      <c r="D1843" s="947" t="s">
        <v>723</v>
      </c>
      <c r="E1843" s="951">
        <v>167</v>
      </c>
      <c r="F1843" s="951">
        <v>125</v>
      </c>
      <c r="G1843" s="947" t="s">
        <v>159</v>
      </c>
      <c r="H1843" s="951">
        <v>0</v>
      </c>
      <c r="I1843" s="951">
        <v>0</v>
      </c>
      <c r="J1843" s="947" t="s">
        <v>336</v>
      </c>
      <c r="K1843" s="947">
        <v>511543</v>
      </c>
      <c r="M1843" s="631"/>
      <c r="P1843" s="950" t="str">
        <f>VLOOKUP(J1843,'רשימת רשויות'!A:A,1,0)</f>
        <v>נתניה</v>
      </c>
      <c r="Q1843" s="956">
        <f>IFERROR(VLOOKUP(B1843,[2]מעובד!$D:$K,8,0),0)</f>
        <v>123</v>
      </c>
      <c r="R1843" s="956">
        <f>IFERROR(VLOOKUP(B1843,[2]מעובד!$D:$L,9,0),0)</f>
        <v>41</v>
      </c>
    </row>
    <row r="1844" spans="1:18" x14ac:dyDescent="0.2">
      <c r="A1844" s="947" t="s">
        <v>270</v>
      </c>
      <c r="B1844" s="947">
        <v>511550</v>
      </c>
      <c r="C1844" s="947" t="s">
        <v>2189</v>
      </c>
      <c r="D1844" s="947" t="s">
        <v>2037</v>
      </c>
      <c r="E1844" s="951">
        <v>242</v>
      </c>
      <c r="F1844" s="951">
        <v>77</v>
      </c>
      <c r="G1844" s="947" t="s">
        <v>159</v>
      </c>
      <c r="H1844" s="951">
        <v>0</v>
      </c>
      <c r="I1844" s="951">
        <v>0</v>
      </c>
      <c r="J1844" s="947" t="s">
        <v>270</v>
      </c>
      <c r="K1844" s="947">
        <v>511550</v>
      </c>
      <c r="M1844" s="631"/>
      <c r="P1844" s="950" t="str">
        <f>VLOOKUP(J1844,'רשימת רשויות'!A:A,1,0)</f>
        <v>ירושלים</v>
      </c>
      <c r="Q1844" s="956">
        <f>IFERROR(VLOOKUP(B1844,[2]מעובד!$D:$K,8,0),0)</f>
        <v>270</v>
      </c>
      <c r="R1844" s="956">
        <f>IFERROR(VLOOKUP(B1844,[2]מעובד!$D:$L,9,0),0)</f>
        <v>45</v>
      </c>
    </row>
    <row r="1845" spans="1:18" x14ac:dyDescent="0.2">
      <c r="A1845" s="947" t="s">
        <v>408</v>
      </c>
      <c r="B1845" s="947">
        <v>511576</v>
      </c>
      <c r="C1845" s="947" t="s">
        <v>2189</v>
      </c>
      <c r="D1845" s="947" t="s">
        <v>724</v>
      </c>
      <c r="E1845" s="951">
        <v>274</v>
      </c>
      <c r="F1845" s="951">
        <v>252</v>
      </c>
      <c r="G1845" s="947" t="s">
        <v>159</v>
      </c>
      <c r="H1845" s="951">
        <v>0</v>
      </c>
      <c r="I1845" s="951">
        <v>0</v>
      </c>
      <c r="J1845" s="947" t="s">
        <v>408</v>
      </c>
      <c r="K1845" s="947">
        <v>511576</v>
      </c>
      <c r="M1845" s="631"/>
      <c r="P1845" s="950" t="str">
        <f>VLOOKUP(J1845,'רשימת רשויות'!A:A,1,0)</f>
        <v>תל אביב-יפו</v>
      </c>
      <c r="Q1845" s="956">
        <f>IFERROR(VLOOKUP(B1845,[2]מעובד!$D:$K,8,0),0)</f>
        <v>165</v>
      </c>
      <c r="R1845" s="956">
        <f>IFERROR(VLOOKUP(B1845,[2]מעובד!$D:$L,9,0),0)</f>
        <v>100</v>
      </c>
    </row>
    <row r="1846" spans="1:18" x14ac:dyDescent="0.2">
      <c r="A1846" s="947" t="s">
        <v>270</v>
      </c>
      <c r="B1846" s="947">
        <v>511592</v>
      </c>
      <c r="C1846" s="947" t="s">
        <v>2189</v>
      </c>
      <c r="D1846" s="947" t="s">
        <v>597</v>
      </c>
      <c r="E1846" s="951">
        <v>146</v>
      </c>
      <c r="F1846" s="951">
        <v>33</v>
      </c>
      <c r="G1846" s="947" t="s">
        <v>159</v>
      </c>
      <c r="H1846" s="951">
        <v>49</v>
      </c>
      <c r="I1846" s="951">
        <v>0</v>
      </c>
      <c r="J1846" s="947" t="s">
        <v>270</v>
      </c>
      <c r="K1846" s="947">
        <v>511592</v>
      </c>
      <c r="M1846" s="631"/>
      <c r="P1846" s="950" t="str">
        <f>VLOOKUP(J1846,'רשימת רשויות'!A:A,1,0)</f>
        <v>ירושלים</v>
      </c>
      <c r="Q1846" s="956">
        <f>IFERROR(VLOOKUP(B1846,[2]מעובד!$D:$K,8,0),0)</f>
        <v>163</v>
      </c>
      <c r="R1846" s="956">
        <f>IFERROR(VLOOKUP(B1846,[2]מעובד!$D:$L,9,0),0)</f>
        <v>42</v>
      </c>
    </row>
    <row r="1847" spans="1:18" x14ac:dyDescent="0.2">
      <c r="A1847" s="947" t="s">
        <v>219</v>
      </c>
      <c r="B1847" s="947">
        <v>511618</v>
      </c>
      <c r="C1847" s="947" t="s">
        <v>2189</v>
      </c>
      <c r="D1847" s="947" t="s">
        <v>2649</v>
      </c>
      <c r="E1847" s="951">
        <v>156</v>
      </c>
      <c r="F1847" s="951">
        <v>147</v>
      </c>
      <c r="G1847" s="947" t="s">
        <v>159</v>
      </c>
      <c r="H1847" s="951">
        <v>50</v>
      </c>
      <c r="I1847" s="951">
        <v>7</v>
      </c>
      <c r="J1847" s="947" t="s">
        <v>219</v>
      </c>
      <c r="K1847" s="947">
        <v>511618</v>
      </c>
      <c r="M1847" s="631"/>
      <c r="P1847" s="950" t="str">
        <f>VLOOKUP(J1847,'רשימת רשויות'!A:A,1,0)</f>
        <v>גוש עציון</v>
      </c>
      <c r="Q1847" s="956">
        <f>IFERROR(VLOOKUP(B1847,[2]מעובד!$D:$K,8,0),0)</f>
        <v>142</v>
      </c>
      <c r="R1847" s="956">
        <f>IFERROR(VLOOKUP(B1847,[2]מעובד!$D:$L,9,0),0)</f>
        <v>52</v>
      </c>
    </row>
    <row r="1848" spans="1:18" x14ac:dyDescent="0.2">
      <c r="A1848" s="947" t="s">
        <v>270</v>
      </c>
      <c r="B1848" s="947">
        <v>511626</v>
      </c>
      <c r="C1848" s="947" t="s">
        <v>2189</v>
      </c>
      <c r="D1848" s="947" t="s">
        <v>2039</v>
      </c>
      <c r="E1848" s="951">
        <v>190</v>
      </c>
      <c r="F1848" s="951">
        <v>167</v>
      </c>
      <c r="G1848" s="947" t="s">
        <v>159</v>
      </c>
      <c r="H1848" s="951">
        <v>121</v>
      </c>
      <c r="I1848" s="951">
        <v>18</v>
      </c>
      <c r="J1848" s="947" t="s">
        <v>270</v>
      </c>
      <c r="K1848" s="947">
        <v>511626</v>
      </c>
      <c r="M1848" s="631"/>
      <c r="P1848" s="950" t="str">
        <f>VLOOKUP(J1848,'רשימת רשויות'!A:A,1,0)</f>
        <v>ירושלים</v>
      </c>
      <c r="Q1848" s="956">
        <f>IFERROR(VLOOKUP(B1848,[2]מעובד!$D:$K,8,0),0)</f>
        <v>121</v>
      </c>
      <c r="R1848" s="956">
        <f>IFERROR(VLOOKUP(B1848,[2]מעובד!$D:$L,9,0),0)</f>
        <v>121</v>
      </c>
    </row>
    <row r="1849" spans="1:18" x14ac:dyDescent="0.2">
      <c r="A1849" s="947" t="s">
        <v>408</v>
      </c>
      <c r="B1849" s="947">
        <v>511634</v>
      </c>
      <c r="C1849" s="947" t="s">
        <v>2189</v>
      </c>
      <c r="D1849" s="947" t="s">
        <v>727</v>
      </c>
      <c r="E1849" s="951">
        <v>203</v>
      </c>
      <c r="F1849" s="951">
        <v>201</v>
      </c>
      <c r="G1849" s="947" t="s">
        <v>159</v>
      </c>
      <c r="H1849" s="951">
        <v>0</v>
      </c>
      <c r="I1849" s="951">
        <v>0</v>
      </c>
      <c r="J1849" s="947" t="s">
        <v>408</v>
      </c>
      <c r="K1849" s="947">
        <v>511634</v>
      </c>
      <c r="M1849" s="631"/>
      <c r="P1849" s="950" t="str">
        <f>VLOOKUP(J1849,'רשימת רשויות'!A:A,1,0)</f>
        <v>תל אביב-יפו</v>
      </c>
      <c r="Q1849" s="956">
        <f>IFERROR(VLOOKUP(B1849,[2]מעובד!$D:$K,8,0),0)</f>
        <v>161</v>
      </c>
      <c r="R1849" s="956">
        <f>IFERROR(VLOOKUP(B1849,[2]מעובד!$D:$L,9,0),0)</f>
        <v>113</v>
      </c>
    </row>
    <row r="1850" spans="1:18" x14ac:dyDescent="0.2">
      <c r="A1850" s="947" t="s">
        <v>408</v>
      </c>
      <c r="B1850" s="947">
        <v>511642</v>
      </c>
      <c r="C1850" s="947" t="s">
        <v>2189</v>
      </c>
      <c r="D1850" s="947" t="s">
        <v>728</v>
      </c>
      <c r="E1850" s="951">
        <v>223</v>
      </c>
      <c r="F1850" s="951">
        <v>181</v>
      </c>
      <c r="G1850" s="947" t="s">
        <v>159</v>
      </c>
      <c r="H1850" s="951">
        <v>0</v>
      </c>
      <c r="I1850" s="951">
        <v>0</v>
      </c>
      <c r="J1850" s="947" t="s">
        <v>408</v>
      </c>
      <c r="K1850" s="947">
        <v>511642</v>
      </c>
      <c r="M1850" s="631"/>
      <c r="P1850" s="950" t="str">
        <f>VLOOKUP(J1850,'רשימת רשויות'!A:A,1,0)</f>
        <v>תל אביב-יפו</v>
      </c>
      <c r="Q1850" s="956">
        <f>IFERROR(VLOOKUP(B1850,[2]מעובד!$D:$K,8,0),0)</f>
        <v>0</v>
      </c>
      <c r="R1850" s="956">
        <f>IFERROR(VLOOKUP(B1850,[2]מעובד!$D:$L,9,0),0)</f>
        <v>0</v>
      </c>
    </row>
    <row r="1851" spans="1:18" x14ac:dyDescent="0.2">
      <c r="A1851" s="947" t="s">
        <v>408</v>
      </c>
      <c r="B1851" s="947">
        <v>511667</v>
      </c>
      <c r="C1851" s="947" t="s">
        <v>2189</v>
      </c>
      <c r="D1851" s="947" t="s">
        <v>735</v>
      </c>
      <c r="E1851" s="951">
        <v>184</v>
      </c>
      <c r="F1851" s="951">
        <v>181</v>
      </c>
      <c r="G1851" s="947" t="s">
        <v>159</v>
      </c>
      <c r="H1851" s="951">
        <v>0</v>
      </c>
      <c r="I1851" s="951">
        <v>0</v>
      </c>
      <c r="J1851" s="947" t="s">
        <v>408</v>
      </c>
      <c r="K1851" s="947">
        <v>511667</v>
      </c>
      <c r="M1851" s="631"/>
      <c r="P1851" s="950" t="str">
        <f>VLOOKUP(J1851,'רשימת רשויות'!A:A,1,0)</f>
        <v>תל אביב-יפו</v>
      </c>
      <c r="Q1851" s="956">
        <f>IFERROR(VLOOKUP(B1851,[2]מעובד!$D:$K,8,0),0)</f>
        <v>258</v>
      </c>
      <c r="R1851" s="956">
        <f>IFERROR(VLOOKUP(B1851,[2]מעובד!$D:$L,9,0),0)</f>
        <v>93</v>
      </c>
    </row>
    <row r="1852" spans="1:18" x14ac:dyDescent="0.2">
      <c r="A1852" s="947" t="s">
        <v>408</v>
      </c>
      <c r="B1852" s="947">
        <v>511675</v>
      </c>
      <c r="C1852" s="947" t="s">
        <v>2189</v>
      </c>
      <c r="D1852" s="947" t="s">
        <v>736</v>
      </c>
      <c r="E1852" s="951">
        <v>160</v>
      </c>
      <c r="F1852" s="951">
        <v>159</v>
      </c>
      <c r="G1852" s="947" t="s">
        <v>159</v>
      </c>
      <c r="H1852" s="951">
        <v>0</v>
      </c>
      <c r="I1852" s="951">
        <v>0</v>
      </c>
      <c r="J1852" s="947" t="s">
        <v>408</v>
      </c>
      <c r="K1852" s="947">
        <v>511675</v>
      </c>
      <c r="M1852" s="631"/>
      <c r="P1852" s="950" t="str">
        <f>VLOOKUP(J1852,'רשימת רשויות'!A:A,1,0)</f>
        <v>תל אביב-יפו</v>
      </c>
      <c r="Q1852" s="956">
        <f>IFERROR(VLOOKUP(B1852,[2]מעובד!$D:$K,8,0),0)</f>
        <v>0</v>
      </c>
      <c r="R1852" s="956">
        <f>IFERROR(VLOOKUP(B1852,[2]מעובד!$D:$L,9,0),0)</f>
        <v>0</v>
      </c>
    </row>
    <row r="1853" spans="1:18" x14ac:dyDescent="0.2">
      <c r="A1853" s="947" t="s">
        <v>336</v>
      </c>
      <c r="B1853" s="947">
        <v>511683</v>
      </c>
      <c r="C1853" s="947" t="s">
        <v>2189</v>
      </c>
      <c r="D1853" s="947" t="s">
        <v>449</v>
      </c>
      <c r="E1853" s="951">
        <v>211</v>
      </c>
      <c r="F1853" s="951">
        <v>163</v>
      </c>
      <c r="G1853" s="947" t="s">
        <v>159</v>
      </c>
      <c r="H1853" s="951">
        <v>0</v>
      </c>
      <c r="I1853" s="951">
        <v>0</v>
      </c>
      <c r="J1853" s="947" t="s">
        <v>336</v>
      </c>
      <c r="K1853" s="947">
        <v>511683</v>
      </c>
      <c r="M1853" s="631"/>
      <c r="P1853" s="950" t="str">
        <f>VLOOKUP(J1853,'רשימת רשויות'!A:A,1,0)</f>
        <v>נתניה</v>
      </c>
      <c r="Q1853" s="956">
        <f>IFERROR(VLOOKUP(B1853,[2]מעובד!$D:$K,8,0),0)</f>
        <v>271</v>
      </c>
      <c r="R1853" s="956">
        <f>IFERROR(VLOOKUP(B1853,[2]מעובד!$D:$L,9,0),0)</f>
        <v>122</v>
      </c>
    </row>
    <row r="1854" spans="1:18" x14ac:dyDescent="0.2">
      <c r="A1854" s="947" t="s">
        <v>270</v>
      </c>
      <c r="B1854" s="947">
        <v>511691</v>
      </c>
      <c r="C1854" s="947" t="s">
        <v>2189</v>
      </c>
      <c r="D1854" s="947" t="s">
        <v>2059</v>
      </c>
      <c r="E1854" s="951">
        <v>160</v>
      </c>
      <c r="F1854" s="951">
        <v>135</v>
      </c>
      <c r="G1854" s="947" t="s">
        <v>159</v>
      </c>
      <c r="H1854" s="951">
        <v>0</v>
      </c>
      <c r="I1854" s="951">
        <v>0</v>
      </c>
      <c r="J1854" s="947" t="s">
        <v>270</v>
      </c>
      <c r="K1854" s="947">
        <v>511691</v>
      </c>
      <c r="M1854" s="631"/>
      <c r="P1854" s="950" t="str">
        <f>VLOOKUP(J1854,'רשימת רשויות'!A:A,1,0)</f>
        <v>ירושלים</v>
      </c>
      <c r="Q1854" s="956">
        <f>IFERROR(VLOOKUP(B1854,[2]מעובד!$D:$K,8,0),0)</f>
        <v>197</v>
      </c>
      <c r="R1854" s="956">
        <f>IFERROR(VLOOKUP(B1854,[2]מעובד!$D:$L,9,0),0)</f>
        <v>62</v>
      </c>
    </row>
    <row r="1855" spans="1:18" x14ac:dyDescent="0.2">
      <c r="A1855" s="947" t="s">
        <v>219</v>
      </c>
      <c r="B1855" s="947">
        <v>511717</v>
      </c>
      <c r="C1855" s="947" t="s">
        <v>2189</v>
      </c>
      <c r="D1855" s="947" t="s">
        <v>2444</v>
      </c>
      <c r="E1855" s="951">
        <v>115</v>
      </c>
      <c r="F1855" s="951">
        <v>109</v>
      </c>
      <c r="G1855" s="947" t="s">
        <v>159</v>
      </c>
      <c r="H1855" s="951">
        <v>0</v>
      </c>
      <c r="I1855" s="951">
        <v>0</v>
      </c>
      <c r="J1855" s="947" t="s">
        <v>219</v>
      </c>
      <c r="K1855" s="947">
        <v>511717</v>
      </c>
      <c r="M1855" s="631"/>
      <c r="P1855" s="950" t="str">
        <f>VLOOKUP(J1855,'רשימת רשויות'!A:A,1,0)</f>
        <v>גוש עציון</v>
      </c>
      <c r="Q1855" s="956">
        <f>IFERROR(VLOOKUP(B1855,[2]מעובד!$D:$K,8,0),0)</f>
        <v>80</v>
      </c>
      <c r="R1855" s="956">
        <f>IFERROR(VLOOKUP(B1855,[2]מעובד!$D:$L,9,0),0)</f>
        <v>58</v>
      </c>
    </row>
    <row r="1856" spans="1:18" x14ac:dyDescent="0.2">
      <c r="A1856" s="947" t="s">
        <v>408</v>
      </c>
      <c r="B1856" s="947">
        <v>511725</v>
      </c>
      <c r="C1856" s="947" t="s">
        <v>2189</v>
      </c>
      <c r="D1856" s="947" t="s">
        <v>739</v>
      </c>
      <c r="E1856" s="951">
        <v>255</v>
      </c>
      <c r="F1856" s="951">
        <v>253</v>
      </c>
      <c r="G1856" s="947" t="s">
        <v>159</v>
      </c>
      <c r="H1856" s="951">
        <v>0</v>
      </c>
      <c r="I1856" s="951">
        <v>0</v>
      </c>
      <c r="J1856" s="947" t="s">
        <v>408</v>
      </c>
      <c r="K1856" s="947">
        <v>511725</v>
      </c>
      <c r="M1856" s="631"/>
      <c r="P1856" s="950" t="str">
        <f>VLOOKUP(J1856,'רשימת רשויות'!A:A,1,0)</f>
        <v>תל אביב-יפו</v>
      </c>
      <c r="Q1856" s="956">
        <f>IFERROR(VLOOKUP(B1856,[2]מעובד!$D:$K,8,0),0)</f>
        <v>164</v>
      </c>
      <c r="R1856" s="956">
        <f>IFERROR(VLOOKUP(B1856,[2]מעובד!$D:$L,9,0),0)</f>
        <v>164</v>
      </c>
    </row>
    <row r="1857" spans="1:18" x14ac:dyDescent="0.2">
      <c r="A1857" s="947" t="s">
        <v>323</v>
      </c>
      <c r="B1857" s="947">
        <v>511774</v>
      </c>
      <c r="C1857" s="947" t="s">
        <v>2189</v>
      </c>
      <c r="D1857" s="947" t="s">
        <v>1345</v>
      </c>
      <c r="E1857" s="951">
        <v>45</v>
      </c>
      <c r="F1857" s="951">
        <v>30</v>
      </c>
      <c r="G1857" s="947" t="s">
        <v>159</v>
      </c>
      <c r="H1857" s="951">
        <v>0</v>
      </c>
      <c r="I1857" s="951">
        <v>0</v>
      </c>
      <c r="J1857" s="947" t="s">
        <v>323</v>
      </c>
      <c r="K1857" s="947">
        <v>511774</v>
      </c>
      <c r="M1857" s="631"/>
      <c r="P1857" s="950" t="str">
        <f>VLOOKUP(J1857,'רשימת רשויות'!A:A,1,0)</f>
        <v>מרום הגליל</v>
      </c>
      <c r="Q1857" s="956">
        <f>IFERROR(VLOOKUP(B1857,[2]מעובד!$D:$K,8,0),0)</f>
        <v>36</v>
      </c>
      <c r="R1857" s="956">
        <f>IFERROR(VLOOKUP(B1857,[2]מעובד!$D:$L,9,0),0)</f>
        <v>36</v>
      </c>
    </row>
    <row r="1858" spans="1:18" x14ac:dyDescent="0.2">
      <c r="A1858" s="947" t="s">
        <v>408</v>
      </c>
      <c r="B1858" s="947">
        <v>511782</v>
      </c>
      <c r="C1858" s="947" t="s">
        <v>2189</v>
      </c>
      <c r="D1858" s="947" t="s">
        <v>691</v>
      </c>
      <c r="E1858" s="951">
        <v>99</v>
      </c>
      <c r="F1858" s="951">
        <v>74</v>
      </c>
      <c r="G1858" s="947" t="s">
        <v>159</v>
      </c>
      <c r="H1858" s="951">
        <v>99</v>
      </c>
      <c r="I1858" s="951">
        <v>25</v>
      </c>
      <c r="J1858" s="947" t="s">
        <v>408</v>
      </c>
      <c r="K1858" s="947">
        <v>511782</v>
      </c>
      <c r="M1858" s="631"/>
      <c r="P1858" s="950" t="str">
        <f>VLOOKUP(J1858,'רשימת רשויות'!A:A,1,0)</f>
        <v>תל אביב-יפו</v>
      </c>
      <c r="Q1858" s="956">
        <f>IFERROR(VLOOKUP(B1858,[2]מעובד!$D:$K,8,0),0)</f>
        <v>135</v>
      </c>
      <c r="R1858" s="956">
        <f>IFERROR(VLOOKUP(B1858,[2]מעובד!$D:$L,9,0),0)</f>
        <v>67</v>
      </c>
    </row>
    <row r="1859" spans="1:18" x14ac:dyDescent="0.2">
      <c r="A1859" s="947" t="s">
        <v>408</v>
      </c>
      <c r="B1859" s="947">
        <v>511790</v>
      </c>
      <c r="C1859" s="947" t="s">
        <v>2189</v>
      </c>
      <c r="D1859" s="947" t="s">
        <v>690</v>
      </c>
      <c r="E1859" s="951">
        <v>195</v>
      </c>
      <c r="F1859" s="951">
        <v>157</v>
      </c>
      <c r="G1859" s="947" t="s">
        <v>159</v>
      </c>
      <c r="H1859" s="951">
        <v>71</v>
      </c>
      <c r="I1859" s="951">
        <v>10</v>
      </c>
      <c r="J1859" s="947" t="s">
        <v>408</v>
      </c>
      <c r="K1859" s="947">
        <v>511790</v>
      </c>
      <c r="M1859" s="631"/>
      <c r="P1859" s="950" t="str">
        <f>VLOOKUP(J1859,'רשימת רשויות'!A:A,1,0)</f>
        <v>תל אביב-יפו</v>
      </c>
      <c r="Q1859" s="956">
        <f>IFERROR(VLOOKUP(B1859,[2]מעובד!$D:$K,8,0),0)</f>
        <v>158</v>
      </c>
      <c r="R1859" s="956">
        <f>IFERROR(VLOOKUP(B1859,[2]מעובד!$D:$L,9,0),0)</f>
        <v>53</v>
      </c>
    </row>
    <row r="1860" spans="1:18" x14ac:dyDescent="0.2">
      <c r="A1860" s="947" t="s">
        <v>270</v>
      </c>
      <c r="B1860" s="947">
        <v>511808</v>
      </c>
      <c r="C1860" s="947" t="s">
        <v>2189</v>
      </c>
      <c r="D1860" s="947" t="s">
        <v>3072</v>
      </c>
      <c r="E1860" s="951">
        <v>226</v>
      </c>
      <c r="F1860" s="951">
        <v>0</v>
      </c>
      <c r="G1860" s="947" t="s">
        <v>3252</v>
      </c>
      <c r="H1860" s="951">
        <v>0</v>
      </c>
      <c r="I1860" s="951">
        <v>0</v>
      </c>
      <c r="J1860" s="947" t="s">
        <v>270</v>
      </c>
      <c r="K1860" s="947">
        <v>511808</v>
      </c>
      <c r="M1860" s="631"/>
      <c r="P1860" s="950" t="str">
        <f>VLOOKUP(J1860,'רשימת רשויות'!A:A,1,0)</f>
        <v>ירושלים</v>
      </c>
      <c r="Q1860" s="956">
        <f>IFERROR(VLOOKUP(B1860,[2]מעובד!$D:$K,8,0),0)</f>
        <v>0</v>
      </c>
      <c r="R1860" s="956">
        <f>IFERROR(VLOOKUP(B1860,[2]מעובד!$D:$L,9,0),0)</f>
        <v>0</v>
      </c>
    </row>
    <row r="1861" spans="1:18" x14ac:dyDescent="0.2">
      <c r="A1861" s="947" t="s">
        <v>198</v>
      </c>
      <c r="B1861" s="947">
        <v>511840</v>
      </c>
      <c r="C1861" s="947" t="s">
        <v>2189</v>
      </c>
      <c r="D1861" s="947" t="s">
        <v>2081</v>
      </c>
      <c r="E1861" s="951">
        <v>39</v>
      </c>
      <c r="F1861" s="951">
        <v>39</v>
      </c>
      <c r="G1861" s="947" t="s">
        <v>3252</v>
      </c>
      <c r="H1861" s="951">
        <v>0</v>
      </c>
      <c r="I1861" s="951">
        <v>0</v>
      </c>
      <c r="J1861" s="947" t="s">
        <v>198</v>
      </c>
      <c r="K1861" s="947">
        <v>511840</v>
      </c>
      <c r="M1861" s="631"/>
      <c r="P1861" s="950" t="str">
        <f>VLOOKUP(J1861,'רשימת רשויות'!A:A,1,0)</f>
        <v>בני ברק</v>
      </c>
      <c r="Q1861" s="956">
        <f>IFERROR(VLOOKUP(B1861,[2]מעובד!$D:$K,8,0),0)</f>
        <v>0</v>
      </c>
      <c r="R1861" s="956">
        <f>IFERROR(VLOOKUP(B1861,[2]מעובד!$D:$L,9,0),0)</f>
        <v>0</v>
      </c>
    </row>
    <row r="1862" spans="1:18" x14ac:dyDescent="0.2">
      <c r="A1862" s="947" t="s">
        <v>408</v>
      </c>
      <c r="B1862" s="947">
        <v>511865</v>
      </c>
      <c r="C1862" s="947" t="s">
        <v>2189</v>
      </c>
      <c r="D1862" s="947" t="s">
        <v>729</v>
      </c>
      <c r="E1862" s="951">
        <v>95</v>
      </c>
      <c r="F1862" s="951">
        <v>95</v>
      </c>
      <c r="G1862" s="947" t="s">
        <v>159</v>
      </c>
      <c r="H1862" s="951">
        <v>0</v>
      </c>
      <c r="I1862" s="951">
        <v>0</v>
      </c>
      <c r="J1862" s="947" t="s">
        <v>408</v>
      </c>
      <c r="K1862" s="947">
        <v>511865</v>
      </c>
      <c r="M1862" s="631"/>
      <c r="P1862" s="950" t="str">
        <f>VLOOKUP(J1862,'רשימת רשויות'!A:A,1,0)</f>
        <v>תל אביב-יפו</v>
      </c>
      <c r="Q1862" s="956">
        <f>IFERROR(VLOOKUP(B1862,[2]מעובד!$D:$K,8,0),0)</f>
        <v>46</v>
      </c>
      <c r="R1862" s="956">
        <f>IFERROR(VLOOKUP(B1862,[2]מעובד!$D:$L,9,0),0)</f>
        <v>20</v>
      </c>
    </row>
    <row r="1863" spans="1:18" x14ac:dyDescent="0.2">
      <c r="A1863" s="947" t="s">
        <v>408</v>
      </c>
      <c r="B1863" s="947">
        <v>511881</v>
      </c>
      <c r="C1863" s="947" t="s">
        <v>2189</v>
      </c>
      <c r="D1863" s="947" t="s">
        <v>730</v>
      </c>
      <c r="E1863" s="951">
        <v>195</v>
      </c>
      <c r="F1863" s="951">
        <v>195</v>
      </c>
      <c r="G1863" s="947" t="s">
        <v>159</v>
      </c>
      <c r="H1863" s="951">
        <v>0</v>
      </c>
      <c r="I1863" s="951">
        <v>0</v>
      </c>
      <c r="J1863" s="947" t="s">
        <v>408</v>
      </c>
      <c r="K1863" s="947">
        <v>511881</v>
      </c>
      <c r="M1863" s="631"/>
      <c r="P1863" s="950" t="str">
        <f>VLOOKUP(J1863,'רשימת רשויות'!A:A,1,0)</f>
        <v>תל אביב-יפו</v>
      </c>
      <c r="Q1863" s="956">
        <f>IFERROR(VLOOKUP(B1863,[2]מעובד!$D:$K,8,0),0)</f>
        <v>195</v>
      </c>
      <c r="R1863" s="956">
        <f>IFERROR(VLOOKUP(B1863,[2]מעובד!$D:$L,9,0),0)</f>
        <v>143</v>
      </c>
    </row>
    <row r="1864" spans="1:18" x14ac:dyDescent="0.2">
      <c r="A1864" s="947" t="s">
        <v>408</v>
      </c>
      <c r="B1864" s="947">
        <v>511907</v>
      </c>
      <c r="C1864" s="947" t="s">
        <v>2189</v>
      </c>
      <c r="D1864" s="947" t="s">
        <v>731</v>
      </c>
      <c r="E1864" s="951">
        <v>251</v>
      </c>
      <c r="F1864" s="951">
        <v>250</v>
      </c>
      <c r="G1864" s="947" t="s">
        <v>159</v>
      </c>
      <c r="H1864" s="951">
        <v>0</v>
      </c>
      <c r="I1864" s="951">
        <v>0</v>
      </c>
      <c r="J1864" s="947" t="s">
        <v>408</v>
      </c>
      <c r="K1864" s="947">
        <v>511907</v>
      </c>
      <c r="M1864" s="631"/>
      <c r="P1864" s="950" t="str">
        <f>VLOOKUP(J1864,'רשימת רשויות'!A:A,1,0)</f>
        <v>תל אביב-יפו</v>
      </c>
      <c r="Q1864" s="956">
        <f>IFERROR(VLOOKUP(B1864,[2]מעובד!$D:$K,8,0),0)</f>
        <v>0</v>
      </c>
      <c r="R1864" s="956">
        <f>IFERROR(VLOOKUP(B1864,[2]מעובד!$D:$L,9,0),0)</f>
        <v>0</v>
      </c>
    </row>
    <row r="1865" spans="1:18" x14ac:dyDescent="0.2">
      <c r="A1865" s="947" t="s">
        <v>408</v>
      </c>
      <c r="B1865" s="947">
        <v>511949</v>
      </c>
      <c r="C1865" s="947" t="s">
        <v>2189</v>
      </c>
      <c r="D1865" s="947" t="s">
        <v>819</v>
      </c>
      <c r="E1865" s="951">
        <v>157</v>
      </c>
      <c r="F1865" s="951">
        <v>130</v>
      </c>
      <c r="G1865" s="947" t="s">
        <v>159</v>
      </c>
      <c r="H1865" s="951">
        <v>115</v>
      </c>
      <c r="I1865" s="951">
        <v>27</v>
      </c>
      <c r="J1865" s="947" t="s">
        <v>408</v>
      </c>
      <c r="K1865" s="947">
        <v>511949</v>
      </c>
      <c r="M1865" s="631"/>
      <c r="P1865" s="950" t="str">
        <f>VLOOKUP(J1865,'רשימת רשויות'!A:A,1,0)</f>
        <v>תל אביב-יפו</v>
      </c>
      <c r="Q1865" s="956">
        <f>IFERROR(VLOOKUP(B1865,[2]מעובד!$D:$K,8,0),0)</f>
        <v>149</v>
      </c>
      <c r="R1865" s="956">
        <f>IFERROR(VLOOKUP(B1865,[2]מעובד!$D:$L,9,0),0)</f>
        <v>77</v>
      </c>
    </row>
    <row r="1866" spans="1:18" x14ac:dyDescent="0.2">
      <c r="A1866" s="947" t="s">
        <v>323</v>
      </c>
      <c r="B1866" s="947">
        <v>511964</v>
      </c>
      <c r="C1866" s="947" t="s">
        <v>2189</v>
      </c>
      <c r="D1866" s="947" t="s">
        <v>3073</v>
      </c>
      <c r="E1866" s="951">
        <v>22</v>
      </c>
      <c r="F1866" s="951">
        <v>0</v>
      </c>
      <c r="G1866" s="947" t="s">
        <v>159</v>
      </c>
      <c r="H1866" s="951">
        <v>0</v>
      </c>
      <c r="I1866" s="951">
        <v>0</v>
      </c>
      <c r="J1866" s="947" t="s">
        <v>323</v>
      </c>
      <c r="K1866" s="947">
        <v>511964</v>
      </c>
      <c r="M1866" s="631"/>
      <c r="P1866" s="950" t="str">
        <f>VLOOKUP(J1866,'רשימת רשויות'!A:A,1,0)</f>
        <v>מרום הגליל</v>
      </c>
      <c r="Q1866" s="956">
        <f>IFERROR(VLOOKUP(B1866,[2]מעובד!$D:$K,8,0),0)</f>
        <v>0</v>
      </c>
      <c r="R1866" s="956">
        <f>IFERROR(VLOOKUP(B1866,[2]מעובד!$D:$L,9,0),0)</f>
        <v>0</v>
      </c>
    </row>
    <row r="1867" spans="1:18" x14ac:dyDescent="0.2">
      <c r="A1867" s="947" t="s">
        <v>309</v>
      </c>
      <c r="B1867" s="947">
        <v>511972</v>
      </c>
      <c r="C1867" s="947" t="s">
        <v>2189</v>
      </c>
      <c r="D1867" s="947" t="s">
        <v>3074</v>
      </c>
      <c r="E1867" s="951">
        <v>20</v>
      </c>
      <c r="F1867" s="951">
        <v>0</v>
      </c>
      <c r="G1867" s="947" t="s">
        <v>3252</v>
      </c>
      <c r="H1867" s="951">
        <v>0</v>
      </c>
      <c r="I1867" s="951">
        <v>0</v>
      </c>
      <c r="J1867" s="947" t="s">
        <v>309</v>
      </c>
      <c r="K1867" s="947">
        <v>511972</v>
      </c>
      <c r="M1867" s="631"/>
      <c r="P1867" s="950" t="str">
        <f>VLOOKUP(J1867,'רשימת רשויות'!A:A,1,0)</f>
        <v>מטה אשר</v>
      </c>
      <c r="Q1867" s="956">
        <f>IFERROR(VLOOKUP(B1867,[2]מעובד!$D:$K,8,0),0)</f>
        <v>0</v>
      </c>
      <c r="R1867" s="956">
        <f>IFERROR(VLOOKUP(B1867,[2]מעובד!$D:$L,9,0),0)</f>
        <v>0</v>
      </c>
    </row>
    <row r="1868" spans="1:18" x14ac:dyDescent="0.2">
      <c r="A1868" s="947" t="s">
        <v>408</v>
      </c>
      <c r="B1868" s="947">
        <v>511998</v>
      </c>
      <c r="C1868" s="947" t="s">
        <v>2189</v>
      </c>
      <c r="D1868" s="947" t="s">
        <v>673</v>
      </c>
      <c r="E1868" s="951">
        <v>145</v>
      </c>
      <c r="F1868" s="951">
        <v>125</v>
      </c>
      <c r="G1868" s="947" t="s">
        <v>159</v>
      </c>
      <c r="H1868" s="951">
        <v>0</v>
      </c>
      <c r="I1868" s="951">
        <v>0</v>
      </c>
      <c r="J1868" s="947" t="s">
        <v>408</v>
      </c>
      <c r="K1868" s="947">
        <v>511998</v>
      </c>
      <c r="M1868" s="631"/>
      <c r="P1868" s="950" t="str">
        <f>VLOOKUP(J1868,'רשימת רשויות'!A:A,1,0)</f>
        <v>תל אביב-יפו</v>
      </c>
      <c r="Q1868" s="956">
        <f>IFERROR(VLOOKUP(B1868,[2]מעובד!$D:$K,8,0),0)</f>
        <v>116</v>
      </c>
      <c r="R1868" s="956">
        <f>IFERROR(VLOOKUP(B1868,[2]מעובד!$D:$L,9,0),0)</f>
        <v>40</v>
      </c>
    </row>
    <row r="1869" spans="1:18" x14ac:dyDescent="0.2">
      <c r="A1869" s="947" t="s">
        <v>408</v>
      </c>
      <c r="B1869" s="947">
        <v>512038</v>
      </c>
      <c r="C1869" s="947" t="s">
        <v>2189</v>
      </c>
      <c r="D1869" s="947" t="s">
        <v>820</v>
      </c>
      <c r="E1869" s="951">
        <v>97</v>
      </c>
      <c r="F1869" s="951">
        <v>86</v>
      </c>
      <c r="G1869" s="947" t="s">
        <v>159</v>
      </c>
      <c r="H1869" s="951">
        <v>38</v>
      </c>
      <c r="I1869" s="951">
        <v>11</v>
      </c>
      <c r="J1869" s="947" t="s">
        <v>408</v>
      </c>
      <c r="K1869" s="947">
        <v>512038</v>
      </c>
      <c r="M1869" s="631"/>
      <c r="P1869" s="950" t="str">
        <f>VLOOKUP(J1869,'רשימת רשויות'!A:A,1,0)</f>
        <v>תל אביב-יפו</v>
      </c>
      <c r="Q1869" s="956">
        <f>IFERROR(VLOOKUP(B1869,[2]מעובד!$D:$K,8,0),0)</f>
        <v>74</v>
      </c>
      <c r="R1869" s="956">
        <f>IFERROR(VLOOKUP(B1869,[2]מעובד!$D:$L,9,0),0)</f>
        <v>74</v>
      </c>
    </row>
    <row r="1870" spans="1:18" x14ac:dyDescent="0.2">
      <c r="A1870" s="947" t="s">
        <v>408</v>
      </c>
      <c r="B1870" s="947">
        <v>512087</v>
      </c>
      <c r="C1870" s="947" t="s">
        <v>2189</v>
      </c>
      <c r="D1870" s="947" t="s">
        <v>699</v>
      </c>
      <c r="E1870" s="951">
        <v>70</v>
      </c>
      <c r="F1870" s="951">
        <v>70</v>
      </c>
      <c r="G1870" s="947" t="s">
        <v>159</v>
      </c>
      <c r="H1870" s="951">
        <v>0</v>
      </c>
      <c r="I1870" s="951">
        <v>0</v>
      </c>
      <c r="J1870" s="947" t="s">
        <v>408</v>
      </c>
      <c r="K1870" s="947">
        <v>512087</v>
      </c>
      <c r="M1870" s="631"/>
      <c r="P1870" s="950" t="str">
        <f>VLOOKUP(J1870,'רשימת רשויות'!A:A,1,0)</f>
        <v>תל אביב-יפו</v>
      </c>
      <c r="Q1870" s="956">
        <f>IFERROR(VLOOKUP(B1870,[2]מעובד!$D:$K,8,0),0)</f>
        <v>0</v>
      </c>
      <c r="R1870" s="956">
        <f>IFERROR(VLOOKUP(B1870,[2]מעובד!$D:$L,9,0),0)</f>
        <v>0</v>
      </c>
    </row>
    <row r="1871" spans="1:18" x14ac:dyDescent="0.2">
      <c r="A1871" s="947" t="s">
        <v>321</v>
      </c>
      <c r="B1871" s="947">
        <v>512095</v>
      </c>
      <c r="C1871" s="947" t="s">
        <v>2189</v>
      </c>
      <c r="D1871" s="947" t="s">
        <v>3075</v>
      </c>
      <c r="E1871" s="951">
        <v>36</v>
      </c>
      <c r="F1871" s="951">
        <v>30</v>
      </c>
      <c r="G1871" s="947" t="s">
        <v>159</v>
      </c>
      <c r="H1871" s="951">
        <v>16</v>
      </c>
      <c r="I1871" s="951">
        <v>6</v>
      </c>
      <c r="J1871" s="947" t="s">
        <v>321</v>
      </c>
      <c r="K1871" s="947">
        <v>512095</v>
      </c>
      <c r="M1871" s="631"/>
      <c r="P1871" s="950" t="str">
        <f>VLOOKUP(J1871,'רשימת רשויות'!A:A,1,0)</f>
        <v>מעלות-תרשיחא</v>
      </c>
      <c r="Q1871" s="956">
        <f>IFERROR(VLOOKUP(B1871,[2]מעובד!$D:$K,8,0),0)</f>
        <v>43</v>
      </c>
      <c r="R1871" s="956">
        <f>IFERROR(VLOOKUP(B1871,[2]מעובד!$D:$L,9,0),0)</f>
        <v>43</v>
      </c>
    </row>
    <row r="1872" spans="1:18" x14ac:dyDescent="0.2">
      <c r="A1872" s="947" t="s">
        <v>198</v>
      </c>
      <c r="B1872" s="947">
        <v>512103</v>
      </c>
      <c r="C1872" s="947" t="s">
        <v>2189</v>
      </c>
      <c r="D1872" s="947" t="s">
        <v>2108</v>
      </c>
      <c r="E1872" s="951">
        <v>547</v>
      </c>
      <c r="F1872" s="951">
        <v>523</v>
      </c>
      <c r="G1872" s="947" t="s">
        <v>3252</v>
      </c>
      <c r="H1872" s="951">
        <v>360</v>
      </c>
      <c r="I1872" s="951">
        <v>23</v>
      </c>
      <c r="J1872" s="947" t="s">
        <v>198</v>
      </c>
      <c r="K1872" s="947">
        <v>512103</v>
      </c>
      <c r="M1872" s="631"/>
      <c r="P1872" s="950" t="str">
        <f>VLOOKUP(J1872,'רשימת רשויות'!A:A,1,0)</f>
        <v>בני ברק</v>
      </c>
      <c r="Q1872" s="956">
        <f>IFERROR(VLOOKUP(B1872,[2]מעובד!$D:$K,8,0),0)</f>
        <v>0</v>
      </c>
      <c r="R1872" s="956">
        <f>IFERROR(VLOOKUP(B1872,[2]מעובד!$D:$L,9,0),0)</f>
        <v>0</v>
      </c>
    </row>
    <row r="1873" spans="1:18" x14ac:dyDescent="0.2">
      <c r="A1873" s="947" t="s">
        <v>198</v>
      </c>
      <c r="B1873" s="947">
        <v>512111</v>
      </c>
      <c r="C1873" s="947" t="s">
        <v>2189</v>
      </c>
      <c r="D1873" s="947" t="s">
        <v>1139</v>
      </c>
      <c r="E1873" s="951">
        <v>726</v>
      </c>
      <c r="F1873" s="951">
        <v>725</v>
      </c>
      <c r="G1873" s="947" t="s">
        <v>3252</v>
      </c>
      <c r="H1873" s="951">
        <v>0</v>
      </c>
      <c r="I1873" s="951">
        <v>0</v>
      </c>
      <c r="J1873" s="947" t="s">
        <v>198</v>
      </c>
      <c r="K1873" s="947">
        <v>512111</v>
      </c>
      <c r="M1873" s="631"/>
      <c r="P1873" s="950" t="str">
        <f>VLOOKUP(J1873,'רשימת רשויות'!A:A,1,0)</f>
        <v>בני ברק</v>
      </c>
      <c r="Q1873" s="956">
        <f>IFERROR(VLOOKUP(B1873,[2]מעובד!$D:$K,8,0),0)</f>
        <v>440</v>
      </c>
      <c r="R1873" s="956">
        <f>IFERROR(VLOOKUP(B1873,[2]מעובד!$D:$L,9,0),0)</f>
        <v>440</v>
      </c>
    </row>
    <row r="1874" spans="1:18" x14ac:dyDescent="0.2">
      <c r="A1874" s="947" t="s">
        <v>198</v>
      </c>
      <c r="B1874" s="947">
        <v>512129</v>
      </c>
      <c r="C1874" s="947" t="s">
        <v>2189</v>
      </c>
      <c r="D1874" s="947" t="s">
        <v>2754</v>
      </c>
      <c r="E1874" s="951">
        <v>218</v>
      </c>
      <c r="F1874" s="951">
        <v>218</v>
      </c>
      <c r="G1874" s="947" t="s">
        <v>3252</v>
      </c>
      <c r="H1874" s="951">
        <v>0</v>
      </c>
      <c r="I1874" s="951">
        <v>0</v>
      </c>
      <c r="J1874" s="947" t="s">
        <v>198</v>
      </c>
      <c r="K1874" s="947">
        <v>512129</v>
      </c>
      <c r="M1874" s="631"/>
      <c r="P1874" s="950" t="str">
        <f>VLOOKUP(J1874,'רשימת רשויות'!A:A,1,0)</f>
        <v>בני ברק</v>
      </c>
      <c r="Q1874" s="956">
        <f>IFERROR(VLOOKUP(B1874,[2]מעובד!$D:$K,8,0),0)</f>
        <v>0</v>
      </c>
      <c r="R1874" s="956">
        <f>IFERROR(VLOOKUP(B1874,[2]מעובד!$D:$L,9,0),0)</f>
        <v>0</v>
      </c>
    </row>
    <row r="1875" spans="1:18" x14ac:dyDescent="0.2">
      <c r="A1875" s="947" t="s">
        <v>245</v>
      </c>
      <c r="B1875" s="947">
        <v>512137</v>
      </c>
      <c r="C1875" s="947" t="s">
        <v>2189</v>
      </c>
      <c r="D1875" s="947" t="s">
        <v>2012</v>
      </c>
      <c r="E1875" s="951">
        <v>177</v>
      </c>
      <c r="F1875" s="951">
        <v>0</v>
      </c>
      <c r="G1875" s="947" t="s">
        <v>159</v>
      </c>
      <c r="H1875" s="951">
        <v>0</v>
      </c>
      <c r="I1875" s="951">
        <v>0</v>
      </c>
      <c r="J1875" s="947" t="s">
        <v>245</v>
      </c>
      <c r="K1875" s="947">
        <v>512137</v>
      </c>
      <c r="M1875" s="631"/>
      <c r="P1875" s="950" t="str">
        <f>VLOOKUP(J1875,'רשימת רשויות'!A:A,1,0)</f>
        <v>חולון</v>
      </c>
      <c r="Q1875" s="956">
        <f>IFERROR(VLOOKUP(B1875,[2]מעובד!$D:$K,8,0),0)</f>
        <v>136</v>
      </c>
      <c r="R1875" s="956">
        <f>IFERROR(VLOOKUP(B1875,[2]מעובד!$D:$L,9,0),0)</f>
        <v>136</v>
      </c>
    </row>
    <row r="1876" spans="1:18" x14ac:dyDescent="0.2">
      <c r="A1876" s="947" t="s">
        <v>270</v>
      </c>
      <c r="B1876" s="947">
        <v>512145</v>
      </c>
      <c r="C1876" s="947" t="s">
        <v>2189</v>
      </c>
      <c r="D1876" s="947" t="s">
        <v>2013</v>
      </c>
      <c r="E1876" s="951">
        <v>79</v>
      </c>
      <c r="F1876" s="951">
        <v>76</v>
      </c>
      <c r="G1876" s="947" t="s">
        <v>159</v>
      </c>
      <c r="H1876" s="951">
        <v>0</v>
      </c>
      <c r="I1876" s="951">
        <v>0</v>
      </c>
      <c r="J1876" s="947" t="s">
        <v>270</v>
      </c>
      <c r="K1876" s="947">
        <v>512145</v>
      </c>
      <c r="M1876" s="631"/>
      <c r="P1876" s="950" t="str">
        <f>VLOOKUP(J1876,'רשימת רשויות'!A:A,1,0)</f>
        <v>ירושלים</v>
      </c>
      <c r="Q1876" s="956">
        <f>IFERROR(VLOOKUP(B1876,[2]מעובד!$D:$K,8,0),0)</f>
        <v>67</v>
      </c>
      <c r="R1876" s="956">
        <f>IFERROR(VLOOKUP(B1876,[2]מעובד!$D:$L,9,0),0)</f>
        <v>64</v>
      </c>
    </row>
    <row r="1877" spans="1:18" x14ac:dyDescent="0.2">
      <c r="A1877" s="947" t="s">
        <v>198</v>
      </c>
      <c r="B1877" s="947">
        <v>512152</v>
      </c>
      <c r="C1877" s="947" t="s">
        <v>2189</v>
      </c>
      <c r="D1877" s="947" t="s">
        <v>2445</v>
      </c>
      <c r="E1877" s="951">
        <v>625</v>
      </c>
      <c r="F1877" s="951">
        <v>625</v>
      </c>
      <c r="G1877" s="947" t="s">
        <v>3252</v>
      </c>
      <c r="H1877" s="951">
        <v>0</v>
      </c>
      <c r="I1877" s="951">
        <v>0</v>
      </c>
      <c r="J1877" s="947" t="s">
        <v>198</v>
      </c>
      <c r="K1877" s="947">
        <v>512152</v>
      </c>
      <c r="M1877" s="631"/>
      <c r="P1877" s="950" t="str">
        <f>VLOOKUP(J1877,'רשימת רשויות'!A:A,1,0)</f>
        <v>בני ברק</v>
      </c>
      <c r="Q1877" s="956">
        <f>IFERROR(VLOOKUP(B1877,[2]מעובד!$D:$K,8,0),0)</f>
        <v>0</v>
      </c>
      <c r="R1877" s="956">
        <f>IFERROR(VLOOKUP(B1877,[2]מעובד!$D:$L,9,0),0)</f>
        <v>0</v>
      </c>
    </row>
    <row r="1878" spans="1:18" x14ac:dyDescent="0.2">
      <c r="A1878" s="947" t="s">
        <v>198</v>
      </c>
      <c r="B1878" s="947">
        <v>512160</v>
      </c>
      <c r="C1878" s="947" t="s">
        <v>2189</v>
      </c>
      <c r="D1878" s="947" t="s">
        <v>2233</v>
      </c>
      <c r="E1878" s="951">
        <v>166</v>
      </c>
      <c r="F1878" s="951">
        <v>166</v>
      </c>
      <c r="G1878" s="947" t="s">
        <v>3252</v>
      </c>
      <c r="H1878" s="951">
        <v>0</v>
      </c>
      <c r="I1878" s="951">
        <v>0</v>
      </c>
      <c r="J1878" s="947" t="s">
        <v>198</v>
      </c>
      <c r="K1878" s="947">
        <v>512160</v>
      </c>
      <c r="M1878" s="631"/>
      <c r="P1878" s="950" t="str">
        <f>VLOOKUP(J1878,'רשימת רשויות'!A:A,1,0)</f>
        <v>בני ברק</v>
      </c>
      <c r="Q1878" s="956">
        <f>IFERROR(VLOOKUP(B1878,[2]מעובד!$D:$K,8,0),0)</f>
        <v>0</v>
      </c>
      <c r="R1878" s="956">
        <f>IFERROR(VLOOKUP(B1878,[2]מעובד!$D:$L,9,0),0)</f>
        <v>0</v>
      </c>
    </row>
    <row r="1879" spans="1:18" x14ac:dyDescent="0.2">
      <c r="A1879" s="947" t="s">
        <v>198</v>
      </c>
      <c r="B1879" s="947">
        <v>512178</v>
      </c>
      <c r="C1879" s="947" t="s">
        <v>2189</v>
      </c>
      <c r="D1879" s="947" t="s">
        <v>2025</v>
      </c>
      <c r="E1879" s="951">
        <v>156</v>
      </c>
      <c r="F1879" s="951">
        <v>114</v>
      </c>
      <c r="G1879" s="947" t="s">
        <v>3252</v>
      </c>
      <c r="H1879" s="951">
        <v>47</v>
      </c>
      <c r="I1879" s="951">
        <v>8</v>
      </c>
      <c r="J1879" s="947" t="s">
        <v>198</v>
      </c>
      <c r="K1879" s="947">
        <v>512178</v>
      </c>
      <c r="M1879" s="631"/>
      <c r="P1879" s="950" t="str">
        <f>VLOOKUP(J1879,'רשימת רשויות'!A:A,1,0)</f>
        <v>בני ברק</v>
      </c>
      <c r="Q1879" s="956">
        <f>IFERROR(VLOOKUP(B1879,[2]מעובד!$D:$K,8,0),0)</f>
        <v>0</v>
      </c>
      <c r="R1879" s="956">
        <f>IFERROR(VLOOKUP(B1879,[2]מעובד!$D:$L,9,0),0)</f>
        <v>0</v>
      </c>
    </row>
    <row r="1880" spans="1:18" x14ac:dyDescent="0.2">
      <c r="A1880" s="947" t="s">
        <v>198</v>
      </c>
      <c r="B1880" s="947">
        <v>512186</v>
      </c>
      <c r="C1880" s="947" t="s">
        <v>2189</v>
      </c>
      <c r="D1880" s="947" t="s">
        <v>2446</v>
      </c>
      <c r="E1880" s="951">
        <v>78</v>
      </c>
      <c r="F1880" s="951">
        <v>77</v>
      </c>
      <c r="G1880" s="947" t="s">
        <v>3252</v>
      </c>
      <c r="H1880" s="951">
        <v>0</v>
      </c>
      <c r="I1880" s="951">
        <v>0</v>
      </c>
      <c r="J1880" s="947" t="s">
        <v>198</v>
      </c>
      <c r="K1880" s="947">
        <v>512186</v>
      </c>
      <c r="M1880" s="631"/>
      <c r="P1880" s="950" t="str">
        <f>VLOOKUP(J1880,'רשימת רשויות'!A:A,1,0)</f>
        <v>בני ברק</v>
      </c>
      <c r="Q1880" s="956">
        <f>IFERROR(VLOOKUP(B1880,[2]מעובד!$D:$K,8,0),0)</f>
        <v>0</v>
      </c>
      <c r="R1880" s="956">
        <f>IFERROR(VLOOKUP(B1880,[2]מעובד!$D:$L,9,0),0)</f>
        <v>72</v>
      </c>
    </row>
    <row r="1881" spans="1:18" x14ac:dyDescent="0.2">
      <c r="A1881" s="947" t="s">
        <v>206</v>
      </c>
      <c r="B1881" s="947">
        <v>512202</v>
      </c>
      <c r="C1881" s="947" t="s">
        <v>2189</v>
      </c>
      <c r="D1881" s="947" t="s">
        <v>2447</v>
      </c>
      <c r="E1881" s="951">
        <v>163</v>
      </c>
      <c r="F1881" s="951">
        <v>98</v>
      </c>
      <c r="G1881" s="947" t="s">
        <v>3252</v>
      </c>
      <c r="H1881" s="951">
        <v>0</v>
      </c>
      <c r="I1881" s="951">
        <v>0</v>
      </c>
      <c r="J1881" s="947" t="s">
        <v>206</v>
      </c>
      <c r="K1881" s="947">
        <v>512202</v>
      </c>
      <c r="M1881" s="631"/>
      <c r="P1881" s="950" t="str">
        <f>VLOOKUP(J1881,'רשימת רשויות'!A:A,1,0)</f>
        <v>בת ים</v>
      </c>
      <c r="Q1881" s="956">
        <f>IFERROR(VLOOKUP(B1881,[2]מעובד!$D:$K,8,0),0)</f>
        <v>0</v>
      </c>
      <c r="R1881" s="956">
        <f>IFERROR(VLOOKUP(B1881,[2]מעובד!$D:$L,9,0),0)</f>
        <v>0</v>
      </c>
    </row>
    <row r="1882" spans="1:18" x14ac:dyDescent="0.2">
      <c r="A1882" s="947" t="s">
        <v>235</v>
      </c>
      <c r="B1882" s="947">
        <v>512210</v>
      </c>
      <c r="C1882" s="947" t="s">
        <v>2189</v>
      </c>
      <c r="D1882" s="947" t="s">
        <v>2026</v>
      </c>
      <c r="E1882" s="951">
        <v>51</v>
      </c>
      <c r="F1882" s="951">
        <v>47</v>
      </c>
      <c r="G1882" s="947" t="s">
        <v>3252</v>
      </c>
      <c r="H1882" s="951">
        <v>0</v>
      </c>
      <c r="I1882" s="951">
        <v>0</v>
      </c>
      <c r="J1882" s="947" t="s">
        <v>235</v>
      </c>
      <c r="K1882" s="947">
        <v>512210</v>
      </c>
      <c r="M1882" s="631"/>
      <c r="P1882" s="950" t="str">
        <f>VLOOKUP(J1882,'רשימת רשויות'!A:A,1,0)</f>
        <v>הרצליה</v>
      </c>
      <c r="Q1882" s="956">
        <f>IFERROR(VLOOKUP(B1882,[2]מעובד!$D:$K,8,0),0)</f>
        <v>57</v>
      </c>
      <c r="R1882" s="956">
        <f>IFERROR(VLOOKUP(B1882,[2]מעובד!$D:$L,9,0),0)</f>
        <v>38</v>
      </c>
    </row>
    <row r="1883" spans="1:18" x14ac:dyDescent="0.2">
      <c r="A1883" s="947" t="s">
        <v>245</v>
      </c>
      <c r="B1883" s="947">
        <v>512228</v>
      </c>
      <c r="C1883" s="947" t="s">
        <v>2189</v>
      </c>
      <c r="D1883" s="947" t="s">
        <v>2124</v>
      </c>
      <c r="E1883" s="951">
        <v>159</v>
      </c>
      <c r="F1883" s="951">
        <v>104</v>
      </c>
      <c r="G1883" s="947" t="s">
        <v>159</v>
      </c>
      <c r="H1883" s="951">
        <v>0</v>
      </c>
      <c r="I1883" s="951">
        <v>0</v>
      </c>
      <c r="J1883" s="947" t="s">
        <v>245</v>
      </c>
      <c r="K1883" s="947">
        <v>512228</v>
      </c>
      <c r="M1883" s="631"/>
      <c r="P1883" s="950" t="str">
        <f>VLOOKUP(J1883,'רשימת רשויות'!A:A,1,0)</f>
        <v>חולון</v>
      </c>
      <c r="Q1883" s="956">
        <f>IFERROR(VLOOKUP(B1883,[2]מעובד!$D:$K,8,0),0)</f>
        <v>150</v>
      </c>
      <c r="R1883" s="956">
        <f>IFERROR(VLOOKUP(B1883,[2]מעובד!$D:$L,9,0),0)</f>
        <v>77</v>
      </c>
    </row>
    <row r="1884" spans="1:18" x14ac:dyDescent="0.2">
      <c r="A1884" s="947" t="s">
        <v>391</v>
      </c>
      <c r="B1884" s="947">
        <v>512244</v>
      </c>
      <c r="C1884" s="947" t="s">
        <v>2189</v>
      </c>
      <c r="D1884" s="947" t="s">
        <v>2643</v>
      </c>
      <c r="E1884" s="951">
        <v>121</v>
      </c>
      <c r="F1884" s="951">
        <v>121</v>
      </c>
      <c r="G1884" s="947" t="s">
        <v>3252</v>
      </c>
      <c r="H1884" s="951">
        <v>0</v>
      </c>
      <c r="I1884" s="951">
        <v>0</v>
      </c>
      <c r="J1884" s="947" t="s">
        <v>391</v>
      </c>
      <c r="K1884" s="947">
        <v>512244</v>
      </c>
      <c r="M1884" s="631"/>
      <c r="P1884" s="950" t="str">
        <f>VLOOKUP(J1884,'רשימת רשויות'!A:A,1,0)</f>
        <v>רמת גן</v>
      </c>
      <c r="Q1884" s="956">
        <f>IFERROR(VLOOKUP(B1884,[2]מעובד!$D:$K,8,0),0)</f>
        <v>276</v>
      </c>
      <c r="R1884" s="956">
        <f>IFERROR(VLOOKUP(B1884,[2]מעובד!$D:$L,9,0),0)</f>
        <v>276</v>
      </c>
    </row>
    <row r="1885" spans="1:18" x14ac:dyDescent="0.2">
      <c r="A1885" s="947" t="s">
        <v>408</v>
      </c>
      <c r="B1885" s="947">
        <v>512293</v>
      </c>
      <c r="C1885" s="947" t="s">
        <v>2189</v>
      </c>
      <c r="D1885" s="947" t="s">
        <v>2187</v>
      </c>
      <c r="E1885" s="951">
        <v>149</v>
      </c>
      <c r="F1885" s="951">
        <v>148</v>
      </c>
      <c r="G1885" s="947" t="s">
        <v>159</v>
      </c>
      <c r="H1885" s="951">
        <v>0</v>
      </c>
      <c r="I1885" s="951">
        <v>0</v>
      </c>
      <c r="J1885" s="947" t="s">
        <v>408</v>
      </c>
      <c r="K1885" s="947">
        <v>512293</v>
      </c>
      <c r="M1885" s="631"/>
      <c r="P1885" s="950" t="str">
        <f>VLOOKUP(J1885,'רשימת רשויות'!A:A,1,0)</f>
        <v>תל אביב-יפו</v>
      </c>
      <c r="Q1885" s="956">
        <f>IFERROR(VLOOKUP(B1885,[2]מעובד!$D:$K,8,0),0)</f>
        <v>142</v>
      </c>
      <c r="R1885" s="956">
        <f>IFERROR(VLOOKUP(B1885,[2]מעובד!$D:$L,9,0),0)</f>
        <v>142</v>
      </c>
    </row>
    <row r="1886" spans="1:18" x14ac:dyDescent="0.2">
      <c r="A1886" s="947" t="s">
        <v>408</v>
      </c>
      <c r="B1886" s="947">
        <v>512301</v>
      </c>
      <c r="C1886" s="947" t="s">
        <v>2189</v>
      </c>
      <c r="D1886" s="947" t="s">
        <v>3076</v>
      </c>
      <c r="E1886" s="951">
        <v>87</v>
      </c>
      <c r="F1886" s="951">
        <v>0</v>
      </c>
      <c r="G1886" s="947" t="s">
        <v>3252</v>
      </c>
      <c r="H1886" s="951">
        <v>0</v>
      </c>
      <c r="I1886" s="951">
        <v>0</v>
      </c>
      <c r="J1886" s="947" t="s">
        <v>408</v>
      </c>
      <c r="K1886" s="947">
        <v>512301</v>
      </c>
      <c r="M1886" s="631"/>
      <c r="P1886" s="950" t="str">
        <f>VLOOKUP(J1886,'רשימת רשויות'!A:A,1,0)</f>
        <v>תל אביב-יפו</v>
      </c>
      <c r="Q1886" s="956">
        <f>IFERROR(VLOOKUP(B1886,[2]מעובד!$D:$K,8,0),0)</f>
        <v>0</v>
      </c>
      <c r="R1886" s="956">
        <f>IFERROR(VLOOKUP(B1886,[2]מעובד!$D:$L,9,0),0)</f>
        <v>0</v>
      </c>
    </row>
    <row r="1887" spans="1:18" x14ac:dyDescent="0.2">
      <c r="A1887" s="947" t="s">
        <v>408</v>
      </c>
      <c r="B1887" s="947">
        <v>512327</v>
      </c>
      <c r="C1887" s="947" t="s">
        <v>2189</v>
      </c>
      <c r="D1887" s="947" t="s">
        <v>3077</v>
      </c>
      <c r="E1887" s="951">
        <v>116</v>
      </c>
      <c r="F1887" s="951">
        <v>0</v>
      </c>
      <c r="G1887" s="947" t="s">
        <v>3252</v>
      </c>
      <c r="H1887" s="951">
        <v>0</v>
      </c>
      <c r="I1887" s="951">
        <v>0</v>
      </c>
      <c r="J1887" s="947" t="s">
        <v>408</v>
      </c>
      <c r="K1887" s="947">
        <v>512327</v>
      </c>
      <c r="M1887" s="631"/>
      <c r="P1887" s="950" t="str">
        <f>VLOOKUP(J1887,'רשימת רשויות'!A:A,1,0)</f>
        <v>תל אביב-יפו</v>
      </c>
      <c r="Q1887" s="956">
        <f>IFERROR(VLOOKUP(B1887,[2]מעובד!$D:$K,8,0),0)</f>
        <v>0</v>
      </c>
      <c r="R1887" s="956">
        <f>IFERROR(VLOOKUP(B1887,[2]מעובד!$D:$L,9,0),0)</f>
        <v>0</v>
      </c>
    </row>
    <row r="1888" spans="1:18" x14ac:dyDescent="0.2">
      <c r="A1888" s="947" t="s">
        <v>270</v>
      </c>
      <c r="B1888" s="947">
        <v>512343</v>
      </c>
      <c r="C1888" s="947" t="s">
        <v>2189</v>
      </c>
      <c r="D1888" s="947" t="s">
        <v>3078</v>
      </c>
      <c r="E1888" s="951">
        <v>97</v>
      </c>
      <c r="F1888" s="951">
        <v>0</v>
      </c>
      <c r="G1888" s="947" t="s">
        <v>3252</v>
      </c>
      <c r="H1888" s="951">
        <v>0</v>
      </c>
      <c r="I1888" s="951">
        <v>0</v>
      </c>
      <c r="J1888" s="947" t="s">
        <v>270</v>
      </c>
      <c r="K1888" s="947">
        <v>512343</v>
      </c>
      <c r="M1888" s="631"/>
      <c r="P1888" s="950" t="str">
        <f>VLOOKUP(J1888,'רשימת רשויות'!A:A,1,0)</f>
        <v>ירושלים</v>
      </c>
      <c r="Q1888" s="956">
        <f>IFERROR(VLOOKUP(B1888,[2]מעובד!$D:$K,8,0),0)</f>
        <v>0</v>
      </c>
      <c r="R1888" s="956">
        <f>IFERROR(VLOOKUP(B1888,[2]מעובד!$D:$L,9,0),0)</f>
        <v>0</v>
      </c>
    </row>
    <row r="1889" spans="1:18" x14ac:dyDescent="0.2">
      <c r="A1889" s="947" t="s">
        <v>408</v>
      </c>
      <c r="B1889" s="947">
        <v>512350</v>
      </c>
      <c r="C1889" s="947" t="s">
        <v>2189</v>
      </c>
      <c r="D1889" s="947" t="s">
        <v>3079</v>
      </c>
      <c r="E1889" s="951">
        <v>71</v>
      </c>
      <c r="F1889" s="951">
        <v>0</v>
      </c>
      <c r="G1889" s="947" t="s">
        <v>3252</v>
      </c>
      <c r="H1889" s="951">
        <v>0</v>
      </c>
      <c r="I1889" s="951">
        <v>0</v>
      </c>
      <c r="J1889" s="947" t="s">
        <v>408</v>
      </c>
      <c r="K1889" s="947">
        <v>512350</v>
      </c>
      <c r="M1889" s="631"/>
      <c r="P1889" s="950" t="str">
        <f>VLOOKUP(J1889,'רשימת רשויות'!A:A,1,0)</f>
        <v>תל אביב-יפו</v>
      </c>
      <c r="Q1889" s="956">
        <f>IFERROR(VLOOKUP(B1889,[2]מעובד!$D:$K,8,0),0)</f>
        <v>0</v>
      </c>
      <c r="R1889" s="956">
        <f>IFERROR(VLOOKUP(B1889,[2]מעובד!$D:$L,9,0),0)</f>
        <v>0</v>
      </c>
    </row>
    <row r="1890" spans="1:18" x14ac:dyDescent="0.2">
      <c r="A1890" s="947" t="s">
        <v>408</v>
      </c>
      <c r="B1890" s="947">
        <v>512368</v>
      </c>
      <c r="C1890" s="947" t="s">
        <v>2189</v>
      </c>
      <c r="D1890" s="947" t="s">
        <v>2184</v>
      </c>
      <c r="E1890" s="951">
        <v>102</v>
      </c>
      <c r="F1890" s="951">
        <v>102</v>
      </c>
      <c r="G1890" s="947" t="s">
        <v>3252</v>
      </c>
      <c r="H1890" s="951">
        <v>0</v>
      </c>
      <c r="I1890" s="951">
        <v>0</v>
      </c>
      <c r="J1890" s="947" t="s">
        <v>408</v>
      </c>
      <c r="K1890" s="947">
        <v>512368</v>
      </c>
      <c r="M1890" s="631"/>
      <c r="P1890" s="950" t="str">
        <f>VLOOKUP(J1890,'רשימת רשויות'!A:A,1,0)</f>
        <v>תל אביב-יפו</v>
      </c>
      <c r="Q1890" s="956">
        <f>IFERROR(VLOOKUP(B1890,[2]מעובד!$D:$K,8,0),0)</f>
        <v>0</v>
      </c>
      <c r="R1890" s="956">
        <f>IFERROR(VLOOKUP(B1890,[2]מעובד!$D:$L,9,0),0)</f>
        <v>0</v>
      </c>
    </row>
    <row r="1891" spans="1:18" x14ac:dyDescent="0.2">
      <c r="A1891" s="947" t="s">
        <v>408</v>
      </c>
      <c r="B1891" s="947">
        <v>512392</v>
      </c>
      <c r="C1891" s="947" t="s">
        <v>2189</v>
      </c>
      <c r="D1891" s="947" t="s">
        <v>3080</v>
      </c>
      <c r="E1891" s="951">
        <v>67</v>
      </c>
      <c r="F1891" s="951">
        <v>0</v>
      </c>
      <c r="G1891" s="947" t="s">
        <v>3252</v>
      </c>
      <c r="H1891" s="951">
        <v>0</v>
      </c>
      <c r="I1891" s="951">
        <v>0</v>
      </c>
      <c r="J1891" s="947" t="s">
        <v>408</v>
      </c>
      <c r="K1891" s="947">
        <v>512392</v>
      </c>
      <c r="M1891" s="631"/>
      <c r="P1891" s="950" t="str">
        <f>VLOOKUP(J1891,'רשימת רשויות'!A:A,1,0)</f>
        <v>תל אביב-יפו</v>
      </c>
      <c r="Q1891" s="956">
        <f>IFERROR(VLOOKUP(B1891,[2]מעובד!$D:$K,8,0),0)</f>
        <v>0</v>
      </c>
      <c r="R1891" s="956">
        <f>IFERROR(VLOOKUP(B1891,[2]מעובד!$D:$L,9,0),0)</f>
        <v>0</v>
      </c>
    </row>
    <row r="1892" spans="1:18" x14ac:dyDescent="0.2">
      <c r="A1892" s="947" t="s">
        <v>336</v>
      </c>
      <c r="B1892" s="947">
        <v>512400</v>
      </c>
      <c r="C1892" s="947" t="s">
        <v>2189</v>
      </c>
      <c r="D1892" s="947" t="s">
        <v>450</v>
      </c>
      <c r="E1892" s="951">
        <v>182</v>
      </c>
      <c r="F1892" s="951">
        <v>135</v>
      </c>
      <c r="G1892" s="947" t="s">
        <v>159</v>
      </c>
      <c r="H1892" s="951">
        <v>0</v>
      </c>
      <c r="I1892" s="951">
        <v>0</v>
      </c>
      <c r="J1892" s="947" t="s">
        <v>336</v>
      </c>
      <c r="K1892" s="947">
        <v>512400</v>
      </c>
      <c r="M1892" s="631"/>
      <c r="P1892" s="950" t="str">
        <f>VLOOKUP(J1892,'רשימת רשויות'!A:A,1,0)</f>
        <v>נתניה</v>
      </c>
      <c r="Q1892" s="956">
        <f>IFERROR(VLOOKUP(B1892,[2]מעובד!$D:$K,8,0),0)</f>
        <v>221</v>
      </c>
      <c r="R1892" s="956">
        <f>IFERROR(VLOOKUP(B1892,[2]מעובד!$D:$L,9,0),0)</f>
        <v>80</v>
      </c>
    </row>
    <row r="1893" spans="1:18" x14ac:dyDescent="0.2">
      <c r="A1893" s="947" t="s">
        <v>408</v>
      </c>
      <c r="B1893" s="947">
        <v>512418</v>
      </c>
      <c r="C1893" s="947" t="s">
        <v>2189</v>
      </c>
      <c r="D1893" s="947" t="s">
        <v>3081</v>
      </c>
      <c r="E1893" s="951">
        <v>153</v>
      </c>
      <c r="F1893" s="951">
        <v>0</v>
      </c>
      <c r="G1893" s="947" t="s">
        <v>3252</v>
      </c>
      <c r="H1893" s="951">
        <v>104</v>
      </c>
      <c r="I1893" s="951">
        <v>0</v>
      </c>
      <c r="J1893" s="947" t="s">
        <v>408</v>
      </c>
      <c r="K1893" s="947">
        <v>512418</v>
      </c>
      <c r="M1893" s="631"/>
      <c r="P1893" s="950" t="str">
        <f>VLOOKUP(J1893,'רשימת רשויות'!A:A,1,0)</f>
        <v>תל אביב-יפו</v>
      </c>
      <c r="Q1893" s="956">
        <f>IFERROR(VLOOKUP(B1893,[2]מעובד!$D:$K,8,0),0)</f>
        <v>0</v>
      </c>
      <c r="R1893" s="956">
        <f>IFERROR(VLOOKUP(B1893,[2]מעובד!$D:$L,9,0),0)</f>
        <v>0</v>
      </c>
    </row>
    <row r="1894" spans="1:18" x14ac:dyDescent="0.2">
      <c r="A1894" s="947" t="s">
        <v>363</v>
      </c>
      <c r="B1894" s="947">
        <v>512434</v>
      </c>
      <c r="C1894" s="947" t="s">
        <v>2189</v>
      </c>
      <c r="D1894" s="947" t="s">
        <v>449</v>
      </c>
      <c r="E1894" s="951">
        <v>248</v>
      </c>
      <c r="F1894" s="951">
        <v>247</v>
      </c>
      <c r="G1894" s="947" t="s">
        <v>159</v>
      </c>
      <c r="H1894" s="951">
        <v>0</v>
      </c>
      <c r="I1894" s="951">
        <v>0</v>
      </c>
      <c r="J1894" s="947" t="s">
        <v>363</v>
      </c>
      <c r="K1894" s="947">
        <v>512434</v>
      </c>
      <c r="M1894" s="631"/>
      <c r="P1894" s="950" t="str">
        <f>VLOOKUP(J1894,'רשימת רשויות'!A:A,1,0)</f>
        <v>פתח תקוה</v>
      </c>
      <c r="Q1894" s="956">
        <f>IFERROR(VLOOKUP(B1894,[2]מעובד!$D:$K,8,0),0)</f>
        <v>310</v>
      </c>
      <c r="R1894" s="956">
        <f>IFERROR(VLOOKUP(B1894,[2]מעובד!$D:$L,9,0),0)</f>
        <v>160</v>
      </c>
    </row>
    <row r="1895" spans="1:18" x14ac:dyDescent="0.2">
      <c r="A1895" s="947" t="s">
        <v>408</v>
      </c>
      <c r="B1895" s="947">
        <v>512442</v>
      </c>
      <c r="C1895" s="947" t="s">
        <v>2189</v>
      </c>
      <c r="D1895" s="947" t="s">
        <v>651</v>
      </c>
      <c r="E1895" s="951">
        <v>243</v>
      </c>
      <c r="F1895" s="951">
        <v>241</v>
      </c>
      <c r="G1895" s="947" t="s">
        <v>159</v>
      </c>
      <c r="H1895" s="951">
        <v>0</v>
      </c>
      <c r="I1895" s="951">
        <v>0</v>
      </c>
      <c r="J1895" s="947" t="s">
        <v>408</v>
      </c>
      <c r="K1895" s="947">
        <v>512442</v>
      </c>
      <c r="M1895" s="631"/>
      <c r="P1895" s="950" t="str">
        <f>VLOOKUP(J1895,'רשימת רשויות'!A:A,1,0)</f>
        <v>תל אביב-יפו</v>
      </c>
      <c r="Q1895" s="956">
        <f>IFERROR(VLOOKUP(B1895,[2]מעובד!$D:$K,8,0),0)</f>
        <v>0</v>
      </c>
      <c r="R1895" s="956">
        <f>IFERROR(VLOOKUP(B1895,[2]מעובד!$D:$L,9,0),0)</f>
        <v>0</v>
      </c>
    </row>
    <row r="1896" spans="1:18" x14ac:dyDescent="0.2">
      <c r="A1896" s="947" t="s">
        <v>310</v>
      </c>
      <c r="B1896" s="947">
        <v>512459</v>
      </c>
      <c r="C1896" s="947" t="s">
        <v>2189</v>
      </c>
      <c r="D1896" s="947" t="s">
        <v>3082</v>
      </c>
      <c r="E1896" s="951">
        <v>105</v>
      </c>
      <c r="F1896" s="951">
        <v>105</v>
      </c>
      <c r="G1896" s="947" t="s">
        <v>159</v>
      </c>
      <c r="H1896" s="951">
        <v>0</v>
      </c>
      <c r="I1896" s="951">
        <v>0</v>
      </c>
      <c r="J1896" s="947" t="s">
        <v>310</v>
      </c>
      <c r="K1896" s="947">
        <v>512459</v>
      </c>
      <c r="M1896" s="631"/>
      <c r="P1896" s="950" t="str">
        <f>VLOOKUP(J1896,'רשימת רשויות'!A:A,1,0)</f>
        <v>מטה בנימין</v>
      </c>
      <c r="Q1896" s="956">
        <f>IFERROR(VLOOKUP(B1896,[2]מעובד!$D:$K,8,0),0)</f>
        <v>0</v>
      </c>
      <c r="R1896" s="956">
        <f>IFERROR(VLOOKUP(B1896,[2]מעובד!$D:$L,9,0),0)</f>
        <v>0</v>
      </c>
    </row>
    <row r="1897" spans="1:18" x14ac:dyDescent="0.2">
      <c r="A1897" s="947" t="s">
        <v>408</v>
      </c>
      <c r="B1897" s="947">
        <v>512467</v>
      </c>
      <c r="C1897" s="947" t="s">
        <v>2189</v>
      </c>
      <c r="D1897" s="947" t="s">
        <v>793</v>
      </c>
      <c r="E1897" s="951">
        <v>165</v>
      </c>
      <c r="F1897" s="951">
        <v>156</v>
      </c>
      <c r="G1897" s="947" t="s">
        <v>159</v>
      </c>
      <c r="H1897" s="951">
        <v>0</v>
      </c>
      <c r="I1897" s="951">
        <v>0</v>
      </c>
      <c r="J1897" s="947" t="s">
        <v>408</v>
      </c>
      <c r="K1897" s="947">
        <v>512467</v>
      </c>
      <c r="M1897" s="631"/>
      <c r="P1897" s="950" t="str">
        <f>VLOOKUP(J1897,'רשימת רשויות'!A:A,1,0)</f>
        <v>תל אביב-יפו</v>
      </c>
      <c r="Q1897" s="956">
        <f>IFERROR(VLOOKUP(B1897,[2]מעובד!$D:$K,8,0),0)</f>
        <v>0</v>
      </c>
      <c r="R1897" s="956">
        <f>IFERROR(VLOOKUP(B1897,[2]מעובד!$D:$L,9,0),0)</f>
        <v>0</v>
      </c>
    </row>
    <row r="1898" spans="1:18" x14ac:dyDescent="0.2">
      <c r="A1898" s="947" t="s">
        <v>391</v>
      </c>
      <c r="B1898" s="947">
        <v>512475</v>
      </c>
      <c r="C1898" s="947" t="s">
        <v>2189</v>
      </c>
      <c r="D1898" s="947" t="s">
        <v>794</v>
      </c>
      <c r="E1898" s="951">
        <v>109</v>
      </c>
      <c r="F1898" s="951">
        <v>104</v>
      </c>
      <c r="G1898" s="947" t="s">
        <v>159</v>
      </c>
      <c r="H1898" s="951">
        <v>44</v>
      </c>
      <c r="I1898" s="951">
        <v>5</v>
      </c>
      <c r="J1898" s="947" t="s">
        <v>391</v>
      </c>
      <c r="K1898" s="947">
        <v>512475</v>
      </c>
      <c r="M1898" s="631"/>
      <c r="P1898" s="950" t="str">
        <f>VLOOKUP(J1898,'רשימת רשויות'!A:A,1,0)</f>
        <v>רמת גן</v>
      </c>
      <c r="Q1898" s="956">
        <f>IFERROR(VLOOKUP(B1898,[2]מעובד!$D:$K,8,0),0)</f>
        <v>0</v>
      </c>
      <c r="R1898" s="956">
        <f>IFERROR(VLOOKUP(B1898,[2]מעובד!$D:$L,9,0),0)</f>
        <v>0</v>
      </c>
    </row>
    <row r="1899" spans="1:18" x14ac:dyDescent="0.2">
      <c r="A1899" s="947" t="s">
        <v>219</v>
      </c>
      <c r="B1899" s="947">
        <v>512509</v>
      </c>
      <c r="C1899" s="947" t="s">
        <v>2189</v>
      </c>
      <c r="D1899" s="947" t="s">
        <v>995</v>
      </c>
      <c r="E1899" s="951">
        <v>141</v>
      </c>
      <c r="F1899" s="951">
        <v>128</v>
      </c>
      <c r="G1899" s="947" t="s">
        <v>159</v>
      </c>
      <c r="H1899" s="951">
        <v>48</v>
      </c>
      <c r="I1899" s="951">
        <v>6</v>
      </c>
      <c r="J1899" s="947" t="s">
        <v>219</v>
      </c>
      <c r="K1899" s="947">
        <v>512509</v>
      </c>
      <c r="M1899" s="631"/>
      <c r="P1899" s="950" t="str">
        <f>VLOOKUP(J1899,'רשימת רשויות'!A:A,1,0)</f>
        <v>גוש עציון</v>
      </c>
      <c r="Q1899" s="956">
        <f>IFERROR(VLOOKUP(B1899,[2]מעובד!$D:$K,8,0),0)</f>
        <v>139</v>
      </c>
      <c r="R1899" s="956">
        <f>IFERROR(VLOOKUP(B1899,[2]מעובד!$D:$L,9,0),0)</f>
        <v>106</v>
      </c>
    </row>
    <row r="1900" spans="1:18" x14ac:dyDescent="0.2">
      <c r="A1900" s="947" t="s">
        <v>206</v>
      </c>
      <c r="B1900" s="947">
        <v>512558</v>
      </c>
      <c r="C1900" s="947" t="s">
        <v>2189</v>
      </c>
      <c r="D1900" s="947" t="s">
        <v>800</v>
      </c>
      <c r="E1900" s="951">
        <v>230</v>
      </c>
      <c r="F1900" s="951">
        <v>123</v>
      </c>
      <c r="G1900" s="947" t="s">
        <v>159</v>
      </c>
      <c r="H1900" s="951">
        <v>0</v>
      </c>
      <c r="I1900" s="951">
        <v>0</v>
      </c>
      <c r="J1900" s="947" t="s">
        <v>206</v>
      </c>
      <c r="K1900" s="947">
        <v>512558</v>
      </c>
      <c r="M1900" s="631"/>
      <c r="P1900" s="950" t="str">
        <f>VLOOKUP(J1900,'רשימת רשויות'!A:A,1,0)</f>
        <v>בת ים</v>
      </c>
      <c r="Q1900" s="956">
        <f>IFERROR(VLOOKUP(B1900,[2]מעובד!$D:$K,8,0),0)</f>
        <v>198</v>
      </c>
      <c r="R1900" s="956">
        <f>IFERROR(VLOOKUP(B1900,[2]מעובד!$D:$L,9,0),0)</f>
        <v>128</v>
      </c>
    </row>
    <row r="1901" spans="1:18" x14ac:dyDescent="0.2">
      <c r="A1901" s="947" t="s">
        <v>206</v>
      </c>
      <c r="B1901" s="947">
        <v>512566</v>
      </c>
      <c r="C1901" s="947" t="s">
        <v>2189</v>
      </c>
      <c r="D1901" s="947" t="s">
        <v>801</v>
      </c>
      <c r="E1901" s="951">
        <v>126</v>
      </c>
      <c r="F1901" s="951">
        <v>18</v>
      </c>
      <c r="G1901" s="947" t="s">
        <v>159</v>
      </c>
      <c r="H1901" s="951">
        <v>0</v>
      </c>
      <c r="I1901" s="951">
        <v>0</v>
      </c>
      <c r="J1901" s="947" t="s">
        <v>206</v>
      </c>
      <c r="K1901" s="957" t="s">
        <v>3334</v>
      </c>
      <c r="M1901" s="631"/>
      <c r="P1901" s="950" t="str">
        <f>VLOOKUP(J1901,'רשימת רשויות'!A:A,1,0)</f>
        <v>בת ים</v>
      </c>
      <c r="Q1901" s="956">
        <f>IFERROR(VLOOKUP(B1901,[2]מעובד!$D:$K,8,0),0)</f>
        <v>0</v>
      </c>
      <c r="R1901" s="956">
        <f>IFERROR(VLOOKUP(B1901,[2]מעובד!$D:$L,9,0),0)</f>
        <v>0</v>
      </c>
    </row>
    <row r="1902" spans="1:18" x14ac:dyDescent="0.2">
      <c r="A1902" s="947" t="s">
        <v>206</v>
      </c>
      <c r="B1902" s="947">
        <v>512574</v>
      </c>
      <c r="C1902" s="947" t="s">
        <v>2189</v>
      </c>
      <c r="D1902" s="947" t="s">
        <v>802</v>
      </c>
      <c r="E1902" s="951">
        <v>283</v>
      </c>
      <c r="F1902" s="951">
        <v>156</v>
      </c>
      <c r="G1902" s="947" t="s">
        <v>159</v>
      </c>
      <c r="H1902" s="951">
        <v>195</v>
      </c>
      <c r="I1902" s="951">
        <v>0</v>
      </c>
      <c r="J1902" s="947" t="s">
        <v>206</v>
      </c>
      <c r="K1902" s="947">
        <v>512574</v>
      </c>
      <c r="M1902" s="631"/>
      <c r="P1902" s="950" t="str">
        <f>VLOOKUP(J1902,'רשימת רשויות'!A:A,1,0)</f>
        <v>בת ים</v>
      </c>
      <c r="Q1902" s="956">
        <f>IFERROR(VLOOKUP(B1902,[2]מעובד!$D:$K,8,0),0)</f>
        <v>145</v>
      </c>
      <c r="R1902" s="956">
        <f>IFERROR(VLOOKUP(B1902,[2]מעובד!$D:$L,9,0),0)</f>
        <v>102</v>
      </c>
    </row>
    <row r="1903" spans="1:18" x14ac:dyDescent="0.2">
      <c r="A1903" s="947" t="s">
        <v>336</v>
      </c>
      <c r="B1903" s="947">
        <v>512582</v>
      </c>
      <c r="C1903" s="947" t="s">
        <v>2189</v>
      </c>
      <c r="D1903" s="947" t="s">
        <v>803</v>
      </c>
      <c r="E1903" s="951">
        <v>259</v>
      </c>
      <c r="F1903" s="951">
        <v>195</v>
      </c>
      <c r="G1903" s="947" t="s">
        <v>159</v>
      </c>
      <c r="H1903" s="951">
        <v>184</v>
      </c>
      <c r="I1903" s="951">
        <v>20</v>
      </c>
      <c r="J1903" s="947" t="s">
        <v>336</v>
      </c>
      <c r="K1903" s="957" t="s">
        <v>3335</v>
      </c>
      <c r="M1903" s="631"/>
      <c r="P1903" s="950" t="str">
        <f>VLOOKUP(J1903,'רשימת רשויות'!A:A,1,0)</f>
        <v>נתניה</v>
      </c>
      <c r="Q1903" s="956">
        <f>IFERROR(VLOOKUP(B1903,[2]מעובד!$D:$K,8,0),0)</f>
        <v>249</v>
      </c>
      <c r="R1903" s="956">
        <f>IFERROR(VLOOKUP(B1903,[2]מעובד!$D:$L,9,0),0)</f>
        <v>60</v>
      </c>
    </row>
    <row r="1904" spans="1:18" x14ac:dyDescent="0.2">
      <c r="A1904" s="947" t="s">
        <v>214</v>
      </c>
      <c r="B1904" s="947">
        <v>512590</v>
      </c>
      <c r="C1904" s="947" t="s">
        <v>2189</v>
      </c>
      <c r="D1904" s="947" t="s">
        <v>583</v>
      </c>
      <c r="E1904" s="951">
        <v>234</v>
      </c>
      <c r="F1904" s="951">
        <v>217</v>
      </c>
      <c r="G1904" s="947" t="s">
        <v>159</v>
      </c>
      <c r="H1904" s="951">
        <v>0</v>
      </c>
      <c r="I1904" s="951">
        <v>0</v>
      </c>
      <c r="J1904" s="947" t="s">
        <v>214</v>
      </c>
      <c r="K1904" s="947">
        <v>512590</v>
      </c>
      <c r="M1904" s="631"/>
      <c r="P1904" s="950" t="str">
        <f>VLOOKUP(J1904,'רשימת רשויות'!A:A,1,0)</f>
        <v>גבעתיים</v>
      </c>
      <c r="Q1904" s="956">
        <f>IFERROR(VLOOKUP(B1904,[2]מעובד!$D:$K,8,0),0)</f>
        <v>306</v>
      </c>
      <c r="R1904" s="956">
        <f>IFERROR(VLOOKUP(B1904,[2]מעובד!$D:$L,9,0),0)</f>
        <v>154</v>
      </c>
    </row>
    <row r="1905" spans="1:18" x14ac:dyDescent="0.2">
      <c r="A1905" s="947" t="s">
        <v>363</v>
      </c>
      <c r="B1905" s="947">
        <v>512608</v>
      </c>
      <c r="C1905" s="947" t="s">
        <v>2189</v>
      </c>
      <c r="D1905" s="947" t="s">
        <v>804</v>
      </c>
      <c r="E1905" s="951">
        <v>328</v>
      </c>
      <c r="F1905" s="951">
        <v>327</v>
      </c>
      <c r="G1905" s="947" t="s">
        <v>159</v>
      </c>
      <c r="H1905" s="951">
        <v>0</v>
      </c>
      <c r="I1905" s="951">
        <v>0</v>
      </c>
      <c r="J1905" s="947" t="s">
        <v>363</v>
      </c>
      <c r="K1905" s="947">
        <v>512608</v>
      </c>
      <c r="M1905" s="631"/>
      <c r="P1905" s="950" t="str">
        <f>VLOOKUP(J1905,'רשימת רשויות'!A:A,1,0)</f>
        <v>פתח תקוה</v>
      </c>
      <c r="Q1905" s="956">
        <f>IFERROR(VLOOKUP(B1905,[2]מעובד!$D:$K,8,0),0)</f>
        <v>356</v>
      </c>
      <c r="R1905" s="956">
        <f>IFERROR(VLOOKUP(B1905,[2]מעובד!$D:$L,9,0),0)</f>
        <v>130</v>
      </c>
    </row>
    <row r="1906" spans="1:18" x14ac:dyDescent="0.2">
      <c r="A1906" s="947" t="s">
        <v>198</v>
      </c>
      <c r="B1906" s="947">
        <v>512632</v>
      </c>
      <c r="C1906" s="947" t="s">
        <v>2189</v>
      </c>
      <c r="D1906" s="947" t="s">
        <v>808</v>
      </c>
      <c r="E1906" s="951">
        <v>93</v>
      </c>
      <c r="F1906" s="951">
        <v>92</v>
      </c>
      <c r="G1906" s="947" t="s">
        <v>159</v>
      </c>
      <c r="H1906" s="951">
        <v>0</v>
      </c>
      <c r="I1906" s="951">
        <v>0</v>
      </c>
      <c r="J1906" s="947" t="s">
        <v>198</v>
      </c>
      <c r="K1906" s="947">
        <v>512632</v>
      </c>
      <c r="M1906" s="631"/>
      <c r="P1906" s="950" t="str">
        <f>VLOOKUP(J1906,'רשימת רשויות'!A:A,1,0)</f>
        <v>בני ברק</v>
      </c>
      <c r="Q1906" s="956">
        <f>IFERROR(VLOOKUP(B1906,[2]מעובד!$D:$K,8,0),0)</f>
        <v>112</v>
      </c>
      <c r="R1906" s="956">
        <f>IFERROR(VLOOKUP(B1906,[2]מעובד!$D:$L,9,0),0)</f>
        <v>112</v>
      </c>
    </row>
    <row r="1907" spans="1:18" x14ac:dyDescent="0.2">
      <c r="A1907" s="947" t="s">
        <v>198</v>
      </c>
      <c r="B1907" s="947">
        <v>512640</v>
      </c>
      <c r="C1907" s="947" t="s">
        <v>2189</v>
      </c>
      <c r="D1907" s="947" t="s">
        <v>2138</v>
      </c>
      <c r="E1907" s="951">
        <v>553</v>
      </c>
      <c r="F1907" s="951">
        <v>551</v>
      </c>
      <c r="G1907" s="947" t="s">
        <v>3252</v>
      </c>
      <c r="H1907" s="951">
        <v>0</v>
      </c>
      <c r="I1907" s="951">
        <v>0</v>
      </c>
      <c r="J1907" s="947" t="s">
        <v>198</v>
      </c>
      <c r="K1907" s="947">
        <v>512640</v>
      </c>
      <c r="M1907" s="631"/>
      <c r="P1907" s="950" t="str">
        <f>VLOOKUP(J1907,'רשימת רשויות'!A:A,1,0)</f>
        <v>בני ברק</v>
      </c>
      <c r="Q1907" s="956">
        <f>IFERROR(VLOOKUP(B1907,[2]מעובד!$D:$K,8,0),0)</f>
        <v>0</v>
      </c>
      <c r="R1907" s="956">
        <f>IFERROR(VLOOKUP(B1907,[2]מעובד!$D:$L,9,0),0)</f>
        <v>0</v>
      </c>
    </row>
    <row r="1908" spans="1:18" x14ac:dyDescent="0.2">
      <c r="A1908" s="947" t="s">
        <v>235</v>
      </c>
      <c r="B1908" s="947">
        <v>512665</v>
      </c>
      <c r="C1908" s="947" t="s">
        <v>2189</v>
      </c>
      <c r="D1908" s="947" t="s">
        <v>464</v>
      </c>
      <c r="E1908" s="951">
        <v>265</v>
      </c>
      <c r="F1908" s="951">
        <v>229</v>
      </c>
      <c r="G1908" s="947" t="s">
        <v>159</v>
      </c>
      <c r="H1908" s="951">
        <v>0</v>
      </c>
      <c r="I1908" s="951">
        <v>0</v>
      </c>
      <c r="J1908" s="947" t="s">
        <v>235</v>
      </c>
      <c r="K1908" s="947">
        <v>512665</v>
      </c>
      <c r="M1908" s="631"/>
      <c r="P1908" s="950" t="str">
        <f>VLOOKUP(J1908,'רשימת רשויות'!A:A,1,0)</f>
        <v>הרצליה</v>
      </c>
      <c r="Q1908" s="956">
        <f>IFERROR(VLOOKUP(B1908,[2]מעובד!$D:$K,8,0),0)</f>
        <v>0</v>
      </c>
      <c r="R1908" s="956">
        <f>IFERROR(VLOOKUP(B1908,[2]מעובד!$D:$L,9,0),0)</f>
        <v>0</v>
      </c>
    </row>
    <row r="1909" spans="1:18" x14ac:dyDescent="0.2">
      <c r="A1909" s="947" t="s">
        <v>245</v>
      </c>
      <c r="B1909" s="947">
        <v>512673</v>
      </c>
      <c r="C1909" s="947" t="s">
        <v>2189</v>
      </c>
      <c r="D1909" s="947" t="s">
        <v>816</v>
      </c>
      <c r="E1909" s="951">
        <v>73</v>
      </c>
      <c r="F1909" s="951">
        <v>42</v>
      </c>
      <c r="G1909" s="947" t="s">
        <v>159</v>
      </c>
      <c r="H1909" s="951">
        <v>0</v>
      </c>
      <c r="I1909" s="951">
        <v>0</v>
      </c>
      <c r="J1909" s="947" t="s">
        <v>245</v>
      </c>
      <c r="K1909" s="947">
        <v>512673</v>
      </c>
      <c r="M1909" s="631"/>
      <c r="P1909" s="950" t="str">
        <f>VLOOKUP(J1909,'רשימת רשויות'!A:A,1,0)</f>
        <v>חולון</v>
      </c>
      <c r="Q1909" s="956">
        <f>IFERROR(VLOOKUP(B1909,[2]מעובד!$D:$K,8,0),0)</f>
        <v>76</v>
      </c>
      <c r="R1909" s="956">
        <f>IFERROR(VLOOKUP(B1909,[2]מעובד!$D:$L,9,0),0)</f>
        <v>35</v>
      </c>
    </row>
    <row r="1910" spans="1:18" x14ac:dyDescent="0.2">
      <c r="A1910" s="947" t="s">
        <v>392</v>
      </c>
      <c r="B1910" s="947">
        <v>512699</v>
      </c>
      <c r="C1910" s="947" t="s">
        <v>2189</v>
      </c>
      <c r="D1910" s="947" t="s">
        <v>685</v>
      </c>
      <c r="E1910" s="951">
        <v>153</v>
      </c>
      <c r="F1910" s="951">
        <v>132</v>
      </c>
      <c r="G1910" s="947" t="s">
        <v>159</v>
      </c>
      <c r="H1910" s="951">
        <v>0</v>
      </c>
      <c r="I1910" s="951">
        <v>0</v>
      </c>
      <c r="J1910" s="947" t="s">
        <v>392</v>
      </c>
      <c r="K1910" s="947">
        <v>512699</v>
      </c>
      <c r="M1910" s="631"/>
      <c r="P1910" s="950" t="str">
        <f>VLOOKUP(J1910,'רשימת רשויות'!A:A,1,0)</f>
        <v>רמת השרון</v>
      </c>
      <c r="Q1910" s="956">
        <f>IFERROR(VLOOKUP(B1910,[2]מעובד!$D:$K,8,0),0)</f>
        <v>0</v>
      </c>
      <c r="R1910" s="956">
        <f>IFERROR(VLOOKUP(B1910,[2]מעובד!$D:$L,9,0),0)</f>
        <v>0</v>
      </c>
    </row>
    <row r="1911" spans="1:18" x14ac:dyDescent="0.2">
      <c r="A1911" s="947" t="s">
        <v>369</v>
      </c>
      <c r="B1911" s="947">
        <v>512756</v>
      </c>
      <c r="C1911" s="947" t="s">
        <v>2189</v>
      </c>
      <c r="D1911" s="947" t="s">
        <v>2448</v>
      </c>
      <c r="E1911" s="951">
        <v>223</v>
      </c>
      <c r="F1911" s="951">
        <v>189</v>
      </c>
      <c r="G1911" s="947" t="s">
        <v>159</v>
      </c>
      <c r="H1911" s="951">
        <v>0</v>
      </c>
      <c r="I1911" s="951">
        <v>0</v>
      </c>
      <c r="J1911" s="947" t="s">
        <v>369</v>
      </c>
      <c r="K1911" s="947">
        <v>512756</v>
      </c>
      <c r="M1911" s="631"/>
      <c r="P1911" s="950" t="str">
        <f>VLOOKUP(J1911,'רשימת רשויות'!A:A,1,0)</f>
        <v>קרית אונו</v>
      </c>
      <c r="Q1911" s="956">
        <f>IFERROR(VLOOKUP(B1911,[2]מעובד!$D:$K,8,0),0)</f>
        <v>199</v>
      </c>
      <c r="R1911" s="956">
        <f>IFERROR(VLOOKUP(B1911,[2]מעובד!$D:$L,9,0),0)</f>
        <v>100</v>
      </c>
    </row>
    <row r="1912" spans="1:18" x14ac:dyDescent="0.2">
      <c r="A1912" s="947" t="s">
        <v>391</v>
      </c>
      <c r="B1912" s="947">
        <v>512780</v>
      </c>
      <c r="C1912" s="947" t="s">
        <v>2189</v>
      </c>
      <c r="D1912" s="947" t="s">
        <v>817</v>
      </c>
      <c r="E1912" s="951">
        <v>182</v>
      </c>
      <c r="F1912" s="951">
        <v>164</v>
      </c>
      <c r="G1912" s="947" t="s">
        <v>159</v>
      </c>
      <c r="H1912" s="951">
        <v>126</v>
      </c>
      <c r="I1912" s="951">
        <v>18</v>
      </c>
      <c r="J1912" s="947" t="s">
        <v>391</v>
      </c>
      <c r="K1912" s="947">
        <v>512780</v>
      </c>
      <c r="M1912" s="631"/>
      <c r="P1912" s="950" t="str">
        <f>VLOOKUP(J1912,'רשימת רשויות'!A:A,1,0)</f>
        <v>רמת גן</v>
      </c>
      <c r="Q1912" s="956">
        <f>IFERROR(VLOOKUP(B1912,[2]מעובד!$D:$K,8,0),0)</f>
        <v>164</v>
      </c>
      <c r="R1912" s="956">
        <f>IFERROR(VLOOKUP(B1912,[2]מעובד!$D:$L,9,0),0)</f>
        <v>116</v>
      </c>
    </row>
    <row r="1913" spans="1:18" x14ac:dyDescent="0.2">
      <c r="A1913" s="947" t="s">
        <v>392</v>
      </c>
      <c r="B1913" s="947">
        <v>512798</v>
      </c>
      <c r="C1913" s="947" t="s">
        <v>2189</v>
      </c>
      <c r="D1913" s="947" t="s">
        <v>484</v>
      </c>
      <c r="E1913" s="951">
        <v>156</v>
      </c>
      <c r="F1913" s="951">
        <v>131</v>
      </c>
      <c r="G1913" s="947" t="s">
        <v>159</v>
      </c>
      <c r="H1913" s="951">
        <v>0</v>
      </c>
      <c r="I1913" s="951">
        <v>0</v>
      </c>
      <c r="J1913" s="947" t="s">
        <v>392</v>
      </c>
      <c r="K1913" s="947">
        <v>512798</v>
      </c>
      <c r="M1913" s="631"/>
      <c r="P1913" s="950" t="str">
        <f>VLOOKUP(J1913,'רשימת רשויות'!A:A,1,0)</f>
        <v>רמת השרון</v>
      </c>
      <c r="Q1913" s="956">
        <f>IFERROR(VLOOKUP(B1913,[2]מעובד!$D:$K,8,0),0)</f>
        <v>0</v>
      </c>
      <c r="R1913" s="956">
        <f>IFERROR(VLOOKUP(B1913,[2]מעובד!$D:$L,9,0),0)</f>
        <v>0</v>
      </c>
    </row>
    <row r="1914" spans="1:18" x14ac:dyDescent="0.2">
      <c r="A1914" s="947" t="s">
        <v>168</v>
      </c>
      <c r="B1914" s="947">
        <v>512814</v>
      </c>
      <c r="C1914" s="947" t="s">
        <v>2189</v>
      </c>
      <c r="D1914" s="947" t="s">
        <v>465</v>
      </c>
      <c r="E1914" s="951">
        <v>207</v>
      </c>
      <c r="F1914" s="951">
        <v>134</v>
      </c>
      <c r="G1914" s="947" t="s">
        <v>159</v>
      </c>
      <c r="H1914" s="951">
        <v>0</v>
      </c>
      <c r="I1914" s="951">
        <v>0</v>
      </c>
      <c r="J1914" s="947" t="s">
        <v>168</v>
      </c>
      <c r="K1914" s="947">
        <v>512814</v>
      </c>
      <c r="M1914" s="631"/>
      <c r="P1914" s="950" t="str">
        <f>VLOOKUP(J1914,'רשימת רשויות'!A:A,1,0)</f>
        <v>אזור</v>
      </c>
      <c r="Q1914" s="956">
        <f>IFERROR(VLOOKUP(B1914,[2]מעובד!$D:$K,8,0),0)</f>
        <v>0</v>
      </c>
      <c r="R1914" s="956">
        <f>IFERROR(VLOOKUP(B1914,[2]מעובד!$D:$L,9,0),0)</f>
        <v>0</v>
      </c>
    </row>
    <row r="1915" spans="1:18" x14ac:dyDescent="0.2">
      <c r="A1915" s="947" t="s">
        <v>206</v>
      </c>
      <c r="B1915" s="947">
        <v>512822</v>
      </c>
      <c r="C1915" s="947" t="s">
        <v>2189</v>
      </c>
      <c r="D1915" s="947" t="s">
        <v>784</v>
      </c>
      <c r="E1915" s="951">
        <v>169</v>
      </c>
      <c r="F1915" s="951">
        <v>106</v>
      </c>
      <c r="G1915" s="947" t="s">
        <v>159</v>
      </c>
      <c r="H1915" s="951">
        <v>66</v>
      </c>
      <c r="I1915" s="951">
        <v>0</v>
      </c>
      <c r="J1915" s="947" t="s">
        <v>206</v>
      </c>
      <c r="K1915" s="947">
        <v>512822</v>
      </c>
      <c r="M1915" s="631"/>
      <c r="P1915" s="950" t="str">
        <f>VLOOKUP(J1915,'רשימת רשויות'!A:A,1,0)</f>
        <v>בת ים</v>
      </c>
      <c r="Q1915" s="956">
        <f>IFERROR(VLOOKUP(B1915,[2]מעובד!$D:$K,8,0),0)</f>
        <v>164</v>
      </c>
      <c r="R1915" s="956">
        <f>IFERROR(VLOOKUP(B1915,[2]מעובד!$D:$L,9,0),0)</f>
        <v>49</v>
      </c>
    </row>
    <row r="1916" spans="1:18" x14ac:dyDescent="0.2">
      <c r="A1916" s="947" t="s">
        <v>206</v>
      </c>
      <c r="B1916" s="947">
        <v>512830</v>
      </c>
      <c r="C1916" s="947" t="s">
        <v>2189</v>
      </c>
      <c r="D1916" s="947" t="s">
        <v>270</v>
      </c>
      <c r="E1916" s="951">
        <v>173</v>
      </c>
      <c r="F1916" s="951">
        <v>35</v>
      </c>
      <c r="G1916" s="947" t="s">
        <v>159</v>
      </c>
      <c r="H1916" s="951">
        <v>0</v>
      </c>
      <c r="I1916" s="951">
        <v>0</v>
      </c>
      <c r="J1916" s="947" t="s">
        <v>206</v>
      </c>
      <c r="K1916" s="957" t="s">
        <v>3336</v>
      </c>
      <c r="M1916" s="631"/>
      <c r="P1916" s="950" t="str">
        <f>VLOOKUP(J1916,'רשימת רשויות'!A:A,1,0)</f>
        <v>בת ים</v>
      </c>
      <c r="Q1916" s="956">
        <f>IFERROR(VLOOKUP(B1916,[2]מעובד!$D:$K,8,0),0)</f>
        <v>178</v>
      </c>
      <c r="R1916" s="956">
        <f>IFERROR(VLOOKUP(B1916,[2]מעובד!$D:$L,9,0),0)</f>
        <v>63</v>
      </c>
    </row>
    <row r="1917" spans="1:18" x14ac:dyDescent="0.2">
      <c r="A1917" s="947" t="s">
        <v>198</v>
      </c>
      <c r="B1917" s="947">
        <v>512848</v>
      </c>
      <c r="C1917" s="947" t="s">
        <v>2189</v>
      </c>
      <c r="D1917" s="947" t="s">
        <v>2755</v>
      </c>
      <c r="E1917" s="951">
        <v>520</v>
      </c>
      <c r="F1917" s="951">
        <v>519</v>
      </c>
      <c r="G1917" s="947" t="s">
        <v>3252</v>
      </c>
      <c r="H1917" s="951">
        <v>0</v>
      </c>
      <c r="I1917" s="951">
        <v>0</v>
      </c>
      <c r="J1917" s="947" t="s">
        <v>198</v>
      </c>
      <c r="K1917" s="947">
        <v>512848</v>
      </c>
      <c r="M1917" s="631"/>
      <c r="P1917" s="950" t="str">
        <f>VLOOKUP(J1917,'רשימת רשויות'!A:A,1,0)</f>
        <v>בני ברק</v>
      </c>
      <c r="Q1917" s="956">
        <f>IFERROR(VLOOKUP(B1917,[2]מעובד!$D:$K,8,0),0)</f>
        <v>465</v>
      </c>
      <c r="R1917" s="956">
        <f>IFERROR(VLOOKUP(B1917,[2]מעובד!$D:$L,9,0),0)</f>
        <v>230</v>
      </c>
    </row>
    <row r="1918" spans="1:18" x14ac:dyDescent="0.2">
      <c r="A1918" s="947" t="s">
        <v>198</v>
      </c>
      <c r="B1918" s="947">
        <v>512855</v>
      </c>
      <c r="C1918" s="947" t="s">
        <v>2189</v>
      </c>
      <c r="D1918" s="947" t="s">
        <v>2125</v>
      </c>
      <c r="E1918" s="951">
        <v>440</v>
      </c>
      <c r="F1918" s="951">
        <v>420</v>
      </c>
      <c r="G1918" s="947" t="s">
        <v>3252</v>
      </c>
      <c r="H1918" s="951">
        <v>299</v>
      </c>
      <c r="I1918" s="951">
        <v>15</v>
      </c>
      <c r="J1918" s="947" t="s">
        <v>198</v>
      </c>
      <c r="K1918" s="947">
        <v>512855</v>
      </c>
      <c r="M1918" s="631"/>
      <c r="P1918" s="950" t="str">
        <f>VLOOKUP(J1918,'רשימת רשויות'!A:A,1,0)</f>
        <v>בני ברק</v>
      </c>
      <c r="Q1918" s="956">
        <f>IFERROR(VLOOKUP(B1918,[2]מעובד!$D:$K,8,0),0)</f>
        <v>0</v>
      </c>
      <c r="R1918" s="956">
        <f>IFERROR(VLOOKUP(B1918,[2]מעובד!$D:$L,9,0),0)</f>
        <v>0</v>
      </c>
    </row>
    <row r="1919" spans="1:18" x14ac:dyDescent="0.2">
      <c r="A1919" s="947" t="s">
        <v>206</v>
      </c>
      <c r="B1919" s="947">
        <v>512871</v>
      </c>
      <c r="C1919" s="947" t="s">
        <v>2189</v>
      </c>
      <c r="D1919" s="947" t="s">
        <v>785</v>
      </c>
      <c r="E1919" s="951">
        <v>154</v>
      </c>
      <c r="F1919" s="951">
        <v>55</v>
      </c>
      <c r="G1919" s="947" t="s">
        <v>159</v>
      </c>
      <c r="H1919" s="951">
        <v>0</v>
      </c>
      <c r="I1919" s="951">
        <v>0</v>
      </c>
      <c r="J1919" s="947" t="s">
        <v>206</v>
      </c>
      <c r="K1919" s="947">
        <v>512871</v>
      </c>
      <c r="M1919" s="631"/>
      <c r="P1919" s="950" t="str">
        <f>VLOOKUP(J1919,'רשימת רשויות'!A:A,1,0)</f>
        <v>בת ים</v>
      </c>
      <c r="Q1919" s="956">
        <f>IFERROR(VLOOKUP(B1919,[2]מעובד!$D:$K,8,0),0)</f>
        <v>94</v>
      </c>
      <c r="R1919" s="956">
        <f>IFERROR(VLOOKUP(B1919,[2]מעובד!$D:$L,9,0),0)</f>
        <v>60</v>
      </c>
    </row>
    <row r="1920" spans="1:18" x14ac:dyDescent="0.2">
      <c r="A1920" s="947" t="s">
        <v>206</v>
      </c>
      <c r="B1920" s="947">
        <v>512889</v>
      </c>
      <c r="C1920" s="947" t="s">
        <v>2189</v>
      </c>
      <c r="D1920" s="947" t="s">
        <v>786</v>
      </c>
      <c r="E1920" s="951">
        <v>79</v>
      </c>
      <c r="F1920" s="951">
        <v>45</v>
      </c>
      <c r="G1920" s="947" t="s">
        <v>159</v>
      </c>
      <c r="H1920" s="951">
        <v>57</v>
      </c>
      <c r="I1920" s="951">
        <v>0</v>
      </c>
      <c r="J1920" s="947" t="s">
        <v>206</v>
      </c>
      <c r="K1920" s="947">
        <v>512889</v>
      </c>
      <c r="M1920" s="631"/>
      <c r="P1920" s="950" t="str">
        <f>VLOOKUP(J1920,'רשימת רשויות'!A:A,1,0)</f>
        <v>בת ים</v>
      </c>
      <c r="Q1920" s="956">
        <f>IFERROR(VLOOKUP(B1920,[2]מעובד!$D:$K,8,0),0)</f>
        <v>73</v>
      </c>
      <c r="R1920" s="956">
        <f>IFERROR(VLOOKUP(B1920,[2]מעובד!$D:$L,9,0),0)</f>
        <v>49</v>
      </c>
    </row>
    <row r="1921" spans="1:18" x14ac:dyDescent="0.2">
      <c r="A1921" s="947" t="s">
        <v>408</v>
      </c>
      <c r="B1921" s="947">
        <v>512905</v>
      </c>
      <c r="C1921" s="947" t="s">
        <v>2189</v>
      </c>
      <c r="D1921" s="947" t="s">
        <v>787</v>
      </c>
      <c r="E1921" s="951">
        <v>251</v>
      </c>
      <c r="F1921" s="951">
        <v>250</v>
      </c>
      <c r="G1921" s="947" t="s">
        <v>159</v>
      </c>
      <c r="H1921" s="951">
        <v>0</v>
      </c>
      <c r="I1921" s="951">
        <v>0</v>
      </c>
      <c r="J1921" s="947" t="s">
        <v>408</v>
      </c>
      <c r="K1921" s="947">
        <v>512905</v>
      </c>
      <c r="M1921" s="631"/>
      <c r="P1921" s="950" t="str">
        <f>VLOOKUP(J1921,'רשימת רשויות'!A:A,1,0)</f>
        <v>תל אביב-יפו</v>
      </c>
      <c r="Q1921" s="956">
        <f>IFERROR(VLOOKUP(B1921,[2]מעובד!$D:$K,8,0),0)</f>
        <v>0</v>
      </c>
      <c r="R1921" s="956">
        <f>IFERROR(VLOOKUP(B1921,[2]מעובד!$D:$L,9,0),0)</f>
        <v>0</v>
      </c>
    </row>
    <row r="1922" spans="1:18" x14ac:dyDescent="0.2">
      <c r="A1922" s="947" t="s">
        <v>408</v>
      </c>
      <c r="B1922" s="947">
        <v>512913</v>
      </c>
      <c r="C1922" s="947" t="s">
        <v>2189</v>
      </c>
      <c r="D1922" s="947" t="s">
        <v>762</v>
      </c>
      <c r="E1922" s="951">
        <v>80</v>
      </c>
      <c r="F1922" s="951">
        <v>52</v>
      </c>
      <c r="G1922" s="947" t="s">
        <v>159</v>
      </c>
      <c r="H1922" s="951">
        <v>51</v>
      </c>
      <c r="I1922" s="951">
        <v>17</v>
      </c>
      <c r="J1922" s="947" t="s">
        <v>408</v>
      </c>
      <c r="K1922" s="947">
        <v>512913</v>
      </c>
      <c r="M1922" s="631"/>
      <c r="P1922" s="950" t="str">
        <f>VLOOKUP(J1922,'רשימת רשויות'!A:A,1,0)</f>
        <v>תל אביב-יפו</v>
      </c>
      <c r="Q1922" s="956">
        <f>IFERROR(VLOOKUP(B1922,[2]מעובד!$D:$K,8,0),0)</f>
        <v>0</v>
      </c>
      <c r="R1922" s="956">
        <f>IFERROR(VLOOKUP(B1922,[2]מעובד!$D:$L,9,0),0)</f>
        <v>0</v>
      </c>
    </row>
    <row r="1923" spans="1:18" x14ac:dyDescent="0.2">
      <c r="A1923" s="947" t="s">
        <v>391</v>
      </c>
      <c r="B1923" s="947">
        <v>512954</v>
      </c>
      <c r="C1923" s="947" t="s">
        <v>2189</v>
      </c>
      <c r="D1923" s="947" t="s">
        <v>2673</v>
      </c>
      <c r="E1923" s="951">
        <v>185</v>
      </c>
      <c r="F1923" s="951">
        <v>185</v>
      </c>
      <c r="G1923" s="947" t="s">
        <v>159</v>
      </c>
      <c r="H1923" s="951">
        <v>0</v>
      </c>
      <c r="I1923" s="951">
        <v>0</v>
      </c>
      <c r="J1923" s="947" t="s">
        <v>391</v>
      </c>
      <c r="K1923" s="947">
        <v>512954</v>
      </c>
      <c r="M1923" s="631"/>
      <c r="P1923" s="950" t="str">
        <f>VLOOKUP(J1923,'רשימת רשויות'!A:A,1,0)</f>
        <v>רמת גן</v>
      </c>
      <c r="Q1923" s="956">
        <f>IFERROR(VLOOKUP(B1923,[2]מעובד!$D:$K,8,0),0)</f>
        <v>209</v>
      </c>
      <c r="R1923" s="956">
        <f>IFERROR(VLOOKUP(B1923,[2]מעובד!$D:$L,9,0),0)</f>
        <v>64</v>
      </c>
    </row>
    <row r="1924" spans="1:18" x14ac:dyDescent="0.2">
      <c r="A1924" s="947" t="s">
        <v>369</v>
      </c>
      <c r="B1924" s="947">
        <v>512962</v>
      </c>
      <c r="C1924" s="947" t="s">
        <v>2189</v>
      </c>
      <c r="D1924" s="947" t="s">
        <v>2449</v>
      </c>
      <c r="E1924" s="951">
        <v>99</v>
      </c>
      <c r="F1924" s="951">
        <v>70</v>
      </c>
      <c r="G1924" s="947" t="s">
        <v>159</v>
      </c>
      <c r="H1924" s="951">
        <v>0</v>
      </c>
      <c r="I1924" s="951">
        <v>0</v>
      </c>
      <c r="J1924" s="947" t="s">
        <v>369</v>
      </c>
      <c r="K1924" s="947">
        <v>512962</v>
      </c>
      <c r="M1924" s="631"/>
      <c r="P1924" s="950" t="str">
        <f>VLOOKUP(J1924,'רשימת רשויות'!A:A,1,0)</f>
        <v>קרית אונו</v>
      </c>
      <c r="Q1924" s="956">
        <f>IFERROR(VLOOKUP(B1924,[2]מעובד!$D:$K,8,0),0)</f>
        <v>92</v>
      </c>
      <c r="R1924" s="956">
        <f>IFERROR(VLOOKUP(B1924,[2]מעובד!$D:$L,9,0),0)</f>
        <v>67</v>
      </c>
    </row>
    <row r="1925" spans="1:18" x14ac:dyDescent="0.2">
      <c r="A1925" s="947" t="s">
        <v>369</v>
      </c>
      <c r="B1925" s="947">
        <v>512970</v>
      </c>
      <c r="C1925" s="947" t="s">
        <v>2189</v>
      </c>
      <c r="D1925" s="947" t="s">
        <v>508</v>
      </c>
      <c r="E1925" s="951">
        <v>278</v>
      </c>
      <c r="F1925" s="951">
        <v>238</v>
      </c>
      <c r="G1925" s="947" t="s">
        <v>159</v>
      </c>
      <c r="H1925" s="951">
        <v>0</v>
      </c>
      <c r="I1925" s="951">
        <v>0</v>
      </c>
      <c r="J1925" s="947" t="s">
        <v>369</v>
      </c>
      <c r="K1925" s="957" t="s">
        <v>3337</v>
      </c>
      <c r="M1925" s="631"/>
      <c r="P1925" s="950" t="str">
        <f>VLOOKUP(J1925,'רשימת רשויות'!A:A,1,0)</f>
        <v>קרית אונו</v>
      </c>
      <c r="Q1925" s="956">
        <f>IFERROR(VLOOKUP(B1925,[2]מעובד!$D:$K,8,0),0)</f>
        <v>266</v>
      </c>
      <c r="R1925" s="956">
        <f>IFERROR(VLOOKUP(B1925,[2]מעובד!$D:$L,9,0),0)</f>
        <v>146</v>
      </c>
    </row>
    <row r="1926" spans="1:18" x14ac:dyDescent="0.2">
      <c r="A1926" s="947" t="s">
        <v>206</v>
      </c>
      <c r="B1926" s="947">
        <v>512988</v>
      </c>
      <c r="C1926" s="947" t="s">
        <v>2189</v>
      </c>
      <c r="D1926" s="947" t="s">
        <v>485</v>
      </c>
      <c r="E1926" s="951">
        <v>164</v>
      </c>
      <c r="F1926" s="951">
        <v>56</v>
      </c>
      <c r="G1926" s="947" t="s">
        <v>159</v>
      </c>
      <c r="H1926" s="951">
        <v>0</v>
      </c>
      <c r="I1926" s="951">
        <v>0</v>
      </c>
      <c r="J1926" s="947" t="s">
        <v>206</v>
      </c>
      <c r="K1926" s="947">
        <v>512988</v>
      </c>
      <c r="M1926" s="631"/>
      <c r="P1926" s="950" t="str">
        <f>VLOOKUP(J1926,'רשימת רשויות'!A:A,1,0)</f>
        <v>בת ים</v>
      </c>
      <c r="Q1926" s="956">
        <f>IFERROR(VLOOKUP(B1926,[2]מעובד!$D:$K,8,0),0)</f>
        <v>168</v>
      </c>
      <c r="R1926" s="956">
        <f>IFERROR(VLOOKUP(B1926,[2]מעובד!$D:$L,9,0),0)</f>
        <v>62</v>
      </c>
    </row>
    <row r="1927" spans="1:18" x14ac:dyDescent="0.2">
      <c r="A1927" s="947" t="s">
        <v>214</v>
      </c>
      <c r="B1927" s="947">
        <v>512996</v>
      </c>
      <c r="C1927" s="947" t="s">
        <v>2189</v>
      </c>
      <c r="D1927" s="947" t="s">
        <v>607</v>
      </c>
      <c r="E1927" s="951">
        <v>199</v>
      </c>
      <c r="F1927" s="951">
        <v>162</v>
      </c>
      <c r="G1927" s="947" t="s">
        <v>159</v>
      </c>
      <c r="H1927" s="951">
        <v>150</v>
      </c>
      <c r="I1927" s="951">
        <v>16</v>
      </c>
      <c r="J1927" s="947" t="s">
        <v>214</v>
      </c>
      <c r="K1927" s="947">
        <v>512996</v>
      </c>
      <c r="M1927" s="631"/>
      <c r="P1927" s="950" t="str">
        <f>VLOOKUP(J1927,'רשימת רשויות'!A:A,1,0)</f>
        <v>גבעתיים</v>
      </c>
      <c r="Q1927" s="956">
        <f>IFERROR(VLOOKUP(B1927,[2]מעובד!$D:$K,8,0),0)</f>
        <v>0</v>
      </c>
      <c r="R1927" s="956">
        <f>IFERROR(VLOOKUP(B1927,[2]מעובד!$D:$L,9,0),0)</f>
        <v>0</v>
      </c>
    </row>
    <row r="1928" spans="1:18" x14ac:dyDescent="0.2">
      <c r="A1928" s="947" t="s">
        <v>206</v>
      </c>
      <c r="B1928" s="947">
        <v>513002</v>
      </c>
      <c r="C1928" s="947" t="s">
        <v>2189</v>
      </c>
      <c r="D1928" s="947" t="s">
        <v>559</v>
      </c>
      <c r="E1928" s="951">
        <v>114</v>
      </c>
      <c r="F1928" s="951">
        <v>48</v>
      </c>
      <c r="G1928" s="947" t="s">
        <v>159</v>
      </c>
      <c r="H1928" s="951">
        <v>114</v>
      </c>
      <c r="I1928" s="951">
        <v>19</v>
      </c>
      <c r="J1928" s="947" t="s">
        <v>206</v>
      </c>
      <c r="K1928" s="947">
        <v>513002</v>
      </c>
      <c r="M1928" s="631"/>
      <c r="P1928" s="950" t="str">
        <f>VLOOKUP(J1928,'רשימת רשויות'!A:A,1,0)</f>
        <v>בת ים</v>
      </c>
      <c r="Q1928" s="956">
        <f>IFERROR(VLOOKUP(B1928,[2]מעובד!$D:$K,8,0),0)</f>
        <v>101</v>
      </c>
      <c r="R1928" s="956">
        <f>IFERROR(VLOOKUP(B1928,[2]מעובד!$D:$L,9,0),0)</f>
        <v>40</v>
      </c>
    </row>
    <row r="1929" spans="1:18" x14ac:dyDescent="0.2">
      <c r="A1929" s="947" t="s">
        <v>206</v>
      </c>
      <c r="B1929" s="947">
        <v>513036</v>
      </c>
      <c r="C1929" s="947" t="s">
        <v>2189</v>
      </c>
      <c r="D1929" s="947" t="s">
        <v>797</v>
      </c>
      <c r="E1929" s="951">
        <v>222</v>
      </c>
      <c r="F1929" s="951">
        <v>143</v>
      </c>
      <c r="G1929" s="947" t="s">
        <v>159</v>
      </c>
      <c r="H1929" s="951">
        <v>0</v>
      </c>
      <c r="I1929" s="951">
        <v>0</v>
      </c>
      <c r="J1929" s="947" t="s">
        <v>206</v>
      </c>
      <c r="K1929" s="947">
        <v>513036</v>
      </c>
      <c r="M1929" s="631"/>
      <c r="P1929" s="950" t="str">
        <f>VLOOKUP(J1929,'רשימת רשויות'!A:A,1,0)</f>
        <v>בת ים</v>
      </c>
      <c r="Q1929" s="956">
        <f>IFERROR(VLOOKUP(B1929,[2]מעובד!$D:$K,8,0),0)</f>
        <v>0</v>
      </c>
      <c r="R1929" s="956">
        <f>IFERROR(VLOOKUP(B1929,[2]מעובד!$D:$L,9,0),0)</f>
        <v>0</v>
      </c>
    </row>
    <row r="1930" spans="1:18" x14ac:dyDescent="0.2">
      <c r="A1930" s="947" t="s">
        <v>408</v>
      </c>
      <c r="B1930" s="947">
        <v>513044</v>
      </c>
      <c r="C1930" s="947" t="s">
        <v>2189</v>
      </c>
      <c r="D1930" s="947" t="s">
        <v>653</v>
      </c>
      <c r="E1930" s="951">
        <v>139</v>
      </c>
      <c r="F1930" s="951">
        <v>101</v>
      </c>
      <c r="G1930" s="947" t="s">
        <v>159</v>
      </c>
      <c r="H1930" s="951">
        <v>139</v>
      </c>
      <c r="I1930" s="951">
        <v>36</v>
      </c>
      <c r="J1930" s="947" t="s">
        <v>408</v>
      </c>
      <c r="K1930" s="947">
        <v>513044</v>
      </c>
      <c r="M1930" s="631"/>
      <c r="P1930" s="950" t="str">
        <f>VLOOKUP(J1930,'רשימת רשויות'!A:A,1,0)</f>
        <v>תל אביב-יפו</v>
      </c>
      <c r="Q1930" s="956">
        <f>IFERROR(VLOOKUP(B1930,[2]מעובד!$D:$K,8,0),0)</f>
        <v>159</v>
      </c>
      <c r="R1930" s="956">
        <f>IFERROR(VLOOKUP(B1930,[2]מעובד!$D:$L,9,0),0)</f>
        <v>159</v>
      </c>
    </row>
    <row r="1931" spans="1:18" x14ac:dyDescent="0.2">
      <c r="A1931" s="947" t="s">
        <v>408</v>
      </c>
      <c r="B1931" s="947">
        <v>513051</v>
      </c>
      <c r="C1931" s="947" t="s">
        <v>2189</v>
      </c>
      <c r="D1931" s="947" t="s">
        <v>798</v>
      </c>
      <c r="E1931" s="951">
        <v>425</v>
      </c>
      <c r="F1931" s="951">
        <v>407</v>
      </c>
      <c r="G1931" s="947" t="s">
        <v>159</v>
      </c>
      <c r="H1931" s="951">
        <v>0</v>
      </c>
      <c r="I1931" s="951">
        <v>0</v>
      </c>
      <c r="J1931" s="947" t="s">
        <v>408</v>
      </c>
      <c r="K1931" s="947">
        <v>513051</v>
      </c>
      <c r="M1931" s="631"/>
      <c r="P1931" s="950" t="str">
        <f>VLOOKUP(J1931,'רשימת רשויות'!A:A,1,0)</f>
        <v>תל אביב-יפו</v>
      </c>
      <c r="Q1931" s="956">
        <f>IFERROR(VLOOKUP(B1931,[2]מעובד!$D:$K,8,0),0)</f>
        <v>0</v>
      </c>
      <c r="R1931" s="956">
        <f>IFERROR(VLOOKUP(B1931,[2]מעובד!$D:$L,9,0),0)</f>
        <v>0</v>
      </c>
    </row>
    <row r="1932" spans="1:18" x14ac:dyDescent="0.2">
      <c r="A1932" s="947" t="s">
        <v>408</v>
      </c>
      <c r="B1932" s="947">
        <v>513077</v>
      </c>
      <c r="C1932" s="947" t="s">
        <v>2189</v>
      </c>
      <c r="D1932" s="947" t="s">
        <v>799</v>
      </c>
      <c r="E1932" s="951">
        <v>253</v>
      </c>
      <c r="F1932" s="951">
        <v>243</v>
      </c>
      <c r="G1932" s="947" t="s">
        <v>159</v>
      </c>
      <c r="H1932" s="951">
        <v>80</v>
      </c>
      <c r="I1932" s="951">
        <v>9</v>
      </c>
      <c r="J1932" s="947" t="s">
        <v>408</v>
      </c>
      <c r="K1932" s="947">
        <v>513077</v>
      </c>
      <c r="M1932" s="631"/>
      <c r="P1932" s="950" t="str">
        <f>VLOOKUP(J1932,'רשימת רשויות'!A:A,1,0)</f>
        <v>תל אביב-יפו</v>
      </c>
      <c r="Q1932" s="956">
        <f>IFERROR(VLOOKUP(B1932,[2]מעובד!$D:$K,8,0),0)</f>
        <v>0</v>
      </c>
      <c r="R1932" s="956">
        <f>IFERROR(VLOOKUP(B1932,[2]מעובד!$D:$L,9,0),0)</f>
        <v>0</v>
      </c>
    </row>
    <row r="1933" spans="1:18" x14ac:dyDescent="0.2">
      <c r="A1933" s="947" t="s">
        <v>235</v>
      </c>
      <c r="B1933" s="947">
        <v>513093</v>
      </c>
      <c r="C1933" s="947" t="s">
        <v>2189</v>
      </c>
      <c r="D1933" s="947" t="s">
        <v>463</v>
      </c>
      <c r="E1933" s="951">
        <v>267</v>
      </c>
      <c r="F1933" s="951">
        <v>235</v>
      </c>
      <c r="G1933" s="947" t="s">
        <v>159</v>
      </c>
      <c r="H1933" s="951">
        <v>100</v>
      </c>
      <c r="I1933" s="951">
        <v>8</v>
      </c>
      <c r="J1933" s="947" t="s">
        <v>235</v>
      </c>
      <c r="K1933" s="947">
        <v>513093</v>
      </c>
      <c r="M1933" s="631"/>
      <c r="P1933" s="950" t="str">
        <f>VLOOKUP(J1933,'רשימת רשויות'!A:A,1,0)</f>
        <v>הרצליה</v>
      </c>
      <c r="Q1933" s="956">
        <f>IFERROR(VLOOKUP(B1933,[2]מעובד!$D:$K,8,0),0)</f>
        <v>0</v>
      </c>
      <c r="R1933" s="956">
        <f>IFERROR(VLOOKUP(B1933,[2]מעובד!$D:$L,9,0),0)</f>
        <v>0</v>
      </c>
    </row>
    <row r="1934" spans="1:18" x14ac:dyDescent="0.2">
      <c r="A1934" s="947" t="s">
        <v>206</v>
      </c>
      <c r="B1934" s="947">
        <v>513101</v>
      </c>
      <c r="C1934" s="947" t="s">
        <v>2189</v>
      </c>
      <c r="D1934" s="947" t="s">
        <v>607</v>
      </c>
      <c r="E1934" s="951">
        <v>123</v>
      </c>
      <c r="F1934" s="951">
        <v>31</v>
      </c>
      <c r="G1934" s="947" t="s">
        <v>159</v>
      </c>
      <c r="H1934" s="951">
        <v>37</v>
      </c>
      <c r="I1934" s="951">
        <v>0</v>
      </c>
      <c r="J1934" s="947" t="s">
        <v>206</v>
      </c>
      <c r="K1934" s="957" t="s">
        <v>3338</v>
      </c>
      <c r="M1934" s="631"/>
      <c r="P1934" s="950" t="str">
        <f>VLOOKUP(J1934,'רשימת רשויות'!A:A,1,0)</f>
        <v>בת ים</v>
      </c>
      <c r="Q1934" s="956">
        <f>IFERROR(VLOOKUP(B1934,[2]מעובד!$D:$K,8,0),0)</f>
        <v>0</v>
      </c>
      <c r="R1934" s="956">
        <f>IFERROR(VLOOKUP(B1934,[2]מעובד!$D:$L,9,0),0)</f>
        <v>0</v>
      </c>
    </row>
    <row r="1935" spans="1:18" x14ac:dyDescent="0.2">
      <c r="A1935" s="947" t="s">
        <v>245</v>
      </c>
      <c r="B1935" s="947">
        <v>513119</v>
      </c>
      <c r="C1935" s="947" t="s">
        <v>2189</v>
      </c>
      <c r="D1935" s="947" t="s">
        <v>805</v>
      </c>
      <c r="E1935" s="951">
        <v>139</v>
      </c>
      <c r="F1935" s="951">
        <v>53</v>
      </c>
      <c r="G1935" s="947" t="s">
        <v>159</v>
      </c>
      <c r="H1935" s="951">
        <v>0</v>
      </c>
      <c r="I1935" s="951">
        <v>0</v>
      </c>
      <c r="J1935" s="947" t="s">
        <v>245</v>
      </c>
      <c r="K1935" s="957" t="s">
        <v>3339</v>
      </c>
      <c r="M1935" s="631"/>
      <c r="P1935" s="950" t="str">
        <f>VLOOKUP(J1935,'רשימת רשויות'!A:A,1,0)</f>
        <v>חולון</v>
      </c>
      <c r="Q1935" s="956">
        <f>IFERROR(VLOOKUP(B1935,[2]מעובד!$D:$K,8,0),0)</f>
        <v>82</v>
      </c>
      <c r="R1935" s="956">
        <f>IFERROR(VLOOKUP(B1935,[2]מעובד!$D:$L,9,0),0)</f>
        <v>39</v>
      </c>
    </row>
    <row r="1936" spans="1:18" x14ac:dyDescent="0.2">
      <c r="A1936" s="947" t="s">
        <v>245</v>
      </c>
      <c r="B1936" s="947">
        <v>513135</v>
      </c>
      <c r="C1936" s="947" t="s">
        <v>2189</v>
      </c>
      <c r="D1936" s="947" t="s">
        <v>441</v>
      </c>
      <c r="E1936" s="951">
        <v>127</v>
      </c>
      <c r="F1936" s="951">
        <v>42</v>
      </c>
      <c r="G1936" s="947" t="s">
        <v>159</v>
      </c>
      <c r="H1936" s="951">
        <v>0</v>
      </c>
      <c r="I1936" s="951">
        <v>0</v>
      </c>
      <c r="J1936" s="947" t="s">
        <v>245</v>
      </c>
      <c r="K1936" s="957" t="s">
        <v>3340</v>
      </c>
      <c r="M1936" s="631"/>
      <c r="P1936" s="950" t="str">
        <f>VLOOKUP(J1936,'רשימת רשויות'!A:A,1,0)</f>
        <v>חולון</v>
      </c>
      <c r="Q1936" s="956">
        <f>IFERROR(VLOOKUP(B1936,[2]מעובד!$D:$K,8,0),0)</f>
        <v>163</v>
      </c>
      <c r="R1936" s="956">
        <f>IFERROR(VLOOKUP(B1936,[2]מעובד!$D:$L,9,0),0)</f>
        <v>90</v>
      </c>
    </row>
    <row r="1937" spans="1:18" x14ac:dyDescent="0.2">
      <c r="A1937" s="947" t="s">
        <v>245</v>
      </c>
      <c r="B1937" s="947">
        <v>513143</v>
      </c>
      <c r="C1937" s="947" t="s">
        <v>2189</v>
      </c>
      <c r="D1937" s="947" t="s">
        <v>750</v>
      </c>
      <c r="E1937" s="951">
        <v>276</v>
      </c>
      <c r="F1937" s="951">
        <v>148</v>
      </c>
      <c r="G1937" s="947" t="s">
        <v>159</v>
      </c>
      <c r="H1937" s="951">
        <v>196</v>
      </c>
      <c r="I1937" s="951">
        <v>13</v>
      </c>
      <c r="J1937" s="947" t="s">
        <v>245</v>
      </c>
      <c r="K1937" s="947">
        <v>513143</v>
      </c>
      <c r="M1937" s="631"/>
      <c r="P1937" s="950" t="str">
        <f>VLOOKUP(J1937,'רשימת רשויות'!A:A,1,0)</f>
        <v>חולון</v>
      </c>
      <c r="Q1937" s="956">
        <f>IFERROR(VLOOKUP(B1937,[2]מעובד!$D:$K,8,0),0)</f>
        <v>246</v>
      </c>
      <c r="R1937" s="956">
        <f>IFERROR(VLOOKUP(B1937,[2]מעובד!$D:$L,9,0),0)</f>
        <v>99</v>
      </c>
    </row>
    <row r="1938" spans="1:18" x14ac:dyDescent="0.2">
      <c r="A1938" s="947" t="s">
        <v>245</v>
      </c>
      <c r="B1938" s="947">
        <v>513150</v>
      </c>
      <c r="C1938" s="947" t="s">
        <v>2189</v>
      </c>
      <c r="D1938" s="947" t="s">
        <v>751</v>
      </c>
      <c r="E1938" s="951">
        <v>251</v>
      </c>
      <c r="F1938" s="951">
        <v>170</v>
      </c>
      <c r="G1938" s="947" t="s">
        <v>159</v>
      </c>
      <c r="H1938" s="951">
        <v>0</v>
      </c>
      <c r="I1938" s="951">
        <v>0</v>
      </c>
      <c r="J1938" s="947" t="s">
        <v>245</v>
      </c>
      <c r="K1938" s="957" t="s">
        <v>3341</v>
      </c>
      <c r="M1938" s="631"/>
      <c r="P1938" s="950" t="str">
        <f>VLOOKUP(J1938,'רשימת רשויות'!A:A,1,0)</f>
        <v>חולון</v>
      </c>
      <c r="Q1938" s="956">
        <f>IFERROR(VLOOKUP(B1938,[2]מעובד!$D:$K,8,0),0)</f>
        <v>189</v>
      </c>
      <c r="R1938" s="956">
        <f>IFERROR(VLOOKUP(B1938,[2]מעובד!$D:$L,9,0),0)</f>
        <v>70</v>
      </c>
    </row>
    <row r="1939" spans="1:18" x14ac:dyDescent="0.2">
      <c r="A1939" s="947" t="s">
        <v>391</v>
      </c>
      <c r="B1939" s="947">
        <v>513168</v>
      </c>
      <c r="C1939" s="947" t="s">
        <v>2189</v>
      </c>
      <c r="D1939" s="947" t="s">
        <v>458</v>
      </c>
      <c r="E1939" s="951">
        <v>200</v>
      </c>
      <c r="F1939" s="951">
        <v>174</v>
      </c>
      <c r="G1939" s="947" t="s">
        <v>159</v>
      </c>
      <c r="H1939" s="951">
        <v>0</v>
      </c>
      <c r="I1939" s="951">
        <v>0</v>
      </c>
      <c r="J1939" s="947" t="s">
        <v>391</v>
      </c>
      <c r="K1939" s="947">
        <v>513168</v>
      </c>
      <c r="M1939" s="631"/>
      <c r="P1939" s="950" t="str">
        <f>VLOOKUP(J1939,'רשימת רשויות'!A:A,1,0)</f>
        <v>רמת גן</v>
      </c>
      <c r="Q1939" s="956">
        <f>IFERROR(VLOOKUP(B1939,[2]מעובד!$D:$K,8,0),0)</f>
        <v>240</v>
      </c>
      <c r="R1939" s="956">
        <f>IFERROR(VLOOKUP(B1939,[2]מעובד!$D:$L,9,0),0)</f>
        <v>92</v>
      </c>
    </row>
    <row r="1940" spans="1:18" x14ac:dyDescent="0.2">
      <c r="A1940" s="947" t="s">
        <v>235</v>
      </c>
      <c r="B1940" s="947">
        <v>513184</v>
      </c>
      <c r="C1940" s="947" t="s">
        <v>2189</v>
      </c>
      <c r="D1940" s="947" t="s">
        <v>454</v>
      </c>
      <c r="E1940" s="951">
        <v>234</v>
      </c>
      <c r="F1940" s="951">
        <v>213</v>
      </c>
      <c r="G1940" s="947" t="s">
        <v>159</v>
      </c>
      <c r="H1940" s="951">
        <v>0</v>
      </c>
      <c r="I1940" s="951">
        <v>0</v>
      </c>
      <c r="J1940" s="947" t="s">
        <v>235</v>
      </c>
      <c r="K1940" s="947">
        <v>513184</v>
      </c>
      <c r="M1940" s="631"/>
      <c r="P1940" s="950" t="str">
        <f>VLOOKUP(J1940,'רשימת רשויות'!A:A,1,0)</f>
        <v>הרצליה</v>
      </c>
      <c r="Q1940" s="956">
        <f>IFERROR(VLOOKUP(B1940,[2]מעובד!$D:$K,8,0),0)</f>
        <v>313</v>
      </c>
      <c r="R1940" s="956">
        <f>IFERROR(VLOOKUP(B1940,[2]מעובד!$D:$L,9,0),0)</f>
        <v>84</v>
      </c>
    </row>
    <row r="1941" spans="1:18" x14ac:dyDescent="0.2">
      <c r="A1941" s="947" t="s">
        <v>369</v>
      </c>
      <c r="B1941" s="947">
        <v>513192</v>
      </c>
      <c r="C1941" s="947" t="s">
        <v>2189</v>
      </c>
      <c r="D1941" s="947" t="s">
        <v>486</v>
      </c>
      <c r="E1941" s="951">
        <v>250</v>
      </c>
      <c r="F1941" s="951">
        <v>250</v>
      </c>
      <c r="G1941" s="947" t="s">
        <v>159</v>
      </c>
      <c r="H1941" s="951">
        <v>0</v>
      </c>
      <c r="I1941" s="951">
        <v>0</v>
      </c>
      <c r="J1941" s="947" t="s">
        <v>369</v>
      </c>
      <c r="K1941" s="947">
        <v>513192</v>
      </c>
      <c r="M1941" s="631"/>
      <c r="P1941" s="950" t="str">
        <f>VLOOKUP(J1941,'רשימת רשויות'!A:A,1,0)</f>
        <v>קרית אונו</v>
      </c>
      <c r="Q1941" s="956">
        <f>IFERROR(VLOOKUP(B1941,[2]מעובד!$D:$K,8,0),0)</f>
        <v>316</v>
      </c>
      <c r="R1941" s="956">
        <f>IFERROR(VLOOKUP(B1941,[2]מעובד!$D:$L,9,0),0)</f>
        <v>148</v>
      </c>
    </row>
    <row r="1942" spans="1:18" x14ac:dyDescent="0.2">
      <c r="A1942" s="947" t="s">
        <v>245</v>
      </c>
      <c r="B1942" s="947">
        <v>513200</v>
      </c>
      <c r="C1942" s="947" t="s">
        <v>2189</v>
      </c>
      <c r="D1942" s="947" t="s">
        <v>752</v>
      </c>
      <c r="E1942" s="951">
        <v>231</v>
      </c>
      <c r="F1942" s="951">
        <v>126</v>
      </c>
      <c r="G1942" s="947" t="s">
        <v>159</v>
      </c>
      <c r="H1942" s="951">
        <v>0</v>
      </c>
      <c r="I1942" s="951">
        <v>0</v>
      </c>
      <c r="J1942" s="947" t="s">
        <v>245</v>
      </c>
      <c r="K1942" s="957" t="s">
        <v>3342</v>
      </c>
      <c r="M1942" s="631"/>
      <c r="P1942" s="950" t="str">
        <f>VLOOKUP(J1942,'רשימת רשויות'!A:A,1,0)</f>
        <v>חולון</v>
      </c>
      <c r="Q1942" s="956">
        <f>IFERROR(VLOOKUP(B1942,[2]מעובד!$D:$K,8,0),0)</f>
        <v>189</v>
      </c>
      <c r="R1942" s="956">
        <f>IFERROR(VLOOKUP(B1942,[2]מעובד!$D:$L,9,0),0)</f>
        <v>125</v>
      </c>
    </row>
    <row r="1943" spans="1:18" x14ac:dyDescent="0.2">
      <c r="A1943" s="947" t="s">
        <v>245</v>
      </c>
      <c r="B1943" s="947">
        <v>513242</v>
      </c>
      <c r="C1943" s="947" t="s">
        <v>2189</v>
      </c>
      <c r="D1943" s="947" t="s">
        <v>758</v>
      </c>
      <c r="E1943" s="951">
        <v>234</v>
      </c>
      <c r="F1943" s="951">
        <v>149</v>
      </c>
      <c r="G1943" s="947" t="s">
        <v>159</v>
      </c>
      <c r="H1943" s="951">
        <v>161</v>
      </c>
      <c r="I1943" s="951">
        <v>13</v>
      </c>
      <c r="J1943" s="947" t="s">
        <v>245</v>
      </c>
      <c r="K1943" s="947">
        <v>513242</v>
      </c>
      <c r="M1943" s="631"/>
      <c r="P1943" s="950" t="str">
        <f>VLOOKUP(J1943,'רשימת רשויות'!A:A,1,0)</f>
        <v>חולון</v>
      </c>
      <c r="Q1943" s="956">
        <f>IFERROR(VLOOKUP(B1943,[2]מעובד!$D:$K,8,0),0)</f>
        <v>285</v>
      </c>
      <c r="R1943" s="956">
        <f>IFERROR(VLOOKUP(B1943,[2]מעובד!$D:$L,9,0),0)</f>
        <v>118</v>
      </c>
    </row>
    <row r="1944" spans="1:18" x14ac:dyDescent="0.2">
      <c r="A1944" s="947" t="s">
        <v>198</v>
      </c>
      <c r="B1944" s="947">
        <v>513267</v>
      </c>
      <c r="C1944" s="947" t="s">
        <v>2189</v>
      </c>
      <c r="D1944" s="947" t="s">
        <v>2101</v>
      </c>
      <c r="E1944" s="951">
        <v>406</v>
      </c>
      <c r="F1944" s="951">
        <v>392</v>
      </c>
      <c r="G1944" s="947" t="s">
        <v>3252</v>
      </c>
      <c r="H1944" s="951">
        <v>137</v>
      </c>
      <c r="I1944" s="951">
        <v>14</v>
      </c>
      <c r="J1944" s="947" t="s">
        <v>198</v>
      </c>
      <c r="K1944" s="947">
        <v>513267</v>
      </c>
      <c r="M1944" s="631"/>
      <c r="P1944" s="950" t="str">
        <f>VLOOKUP(J1944,'רשימת רשויות'!A:A,1,0)</f>
        <v>בני ברק</v>
      </c>
      <c r="Q1944" s="956">
        <f>IFERROR(VLOOKUP(B1944,[2]מעובד!$D:$K,8,0),0)</f>
        <v>0</v>
      </c>
      <c r="R1944" s="956">
        <f>IFERROR(VLOOKUP(B1944,[2]מעובד!$D:$L,9,0),0)</f>
        <v>0</v>
      </c>
    </row>
    <row r="1945" spans="1:18" x14ac:dyDescent="0.2">
      <c r="A1945" s="947" t="s">
        <v>408</v>
      </c>
      <c r="B1945" s="947">
        <v>513283</v>
      </c>
      <c r="C1945" s="947" t="s">
        <v>2189</v>
      </c>
      <c r="D1945" s="947" t="s">
        <v>3083</v>
      </c>
      <c r="E1945" s="951">
        <v>39</v>
      </c>
      <c r="F1945" s="951">
        <v>0</v>
      </c>
      <c r="G1945" s="947" t="s">
        <v>3252</v>
      </c>
      <c r="H1945" s="951">
        <v>0</v>
      </c>
      <c r="I1945" s="951">
        <v>0</v>
      </c>
      <c r="J1945" s="947" t="s">
        <v>408</v>
      </c>
      <c r="K1945" s="947">
        <v>513283</v>
      </c>
      <c r="M1945" s="631"/>
      <c r="P1945" s="950" t="str">
        <f>VLOOKUP(J1945,'רשימת רשויות'!A:A,1,0)</f>
        <v>תל אביב-יפו</v>
      </c>
      <c r="Q1945" s="956">
        <f>IFERROR(VLOOKUP(B1945,[2]מעובד!$D:$K,8,0),0)</f>
        <v>0</v>
      </c>
      <c r="R1945" s="956">
        <f>IFERROR(VLOOKUP(B1945,[2]מעובד!$D:$L,9,0),0)</f>
        <v>0</v>
      </c>
    </row>
    <row r="1946" spans="1:18" x14ac:dyDescent="0.2">
      <c r="A1946" s="947" t="s">
        <v>206</v>
      </c>
      <c r="B1946" s="947">
        <v>513309</v>
      </c>
      <c r="C1946" s="947" t="s">
        <v>2189</v>
      </c>
      <c r="D1946" s="947" t="s">
        <v>759</v>
      </c>
      <c r="E1946" s="951">
        <v>240</v>
      </c>
      <c r="F1946" s="951">
        <v>114</v>
      </c>
      <c r="G1946" s="947" t="s">
        <v>159</v>
      </c>
      <c r="H1946" s="951">
        <v>0</v>
      </c>
      <c r="I1946" s="951">
        <v>0</v>
      </c>
      <c r="J1946" s="947" t="s">
        <v>206</v>
      </c>
      <c r="K1946" s="947">
        <v>513309</v>
      </c>
      <c r="M1946" s="631"/>
      <c r="P1946" s="950" t="str">
        <f>VLOOKUP(J1946,'רשימת רשויות'!A:A,1,0)</f>
        <v>בת ים</v>
      </c>
      <c r="Q1946" s="956">
        <f>IFERROR(VLOOKUP(B1946,[2]מעובד!$D:$K,8,0),0)</f>
        <v>242</v>
      </c>
      <c r="R1946" s="956">
        <f>IFERROR(VLOOKUP(B1946,[2]מעובד!$D:$L,9,0),0)</f>
        <v>82</v>
      </c>
    </row>
    <row r="1947" spans="1:18" x14ac:dyDescent="0.2">
      <c r="A1947" s="947" t="s">
        <v>392</v>
      </c>
      <c r="B1947" s="947">
        <v>513317</v>
      </c>
      <c r="C1947" s="947" t="s">
        <v>2189</v>
      </c>
      <c r="D1947" s="947" t="s">
        <v>376</v>
      </c>
      <c r="E1947" s="951">
        <v>148</v>
      </c>
      <c r="F1947" s="951">
        <v>129</v>
      </c>
      <c r="G1947" s="947" t="s">
        <v>159</v>
      </c>
      <c r="H1947" s="951">
        <v>49</v>
      </c>
      <c r="I1947" s="951">
        <v>4</v>
      </c>
      <c r="J1947" s="947" t="s">
        <v>392</v>
      </c>
      <c r="K1947" s="947">
        <v>513317</v>
      </c>
      <c r="M1947" s="631"/>
      <c r="P1947" s="950" t="str">
        <f>VLOOKUP(J1947,'רשימת רשויות'!A:A,1,0)</f>
        <v>רמת השרון</v>
      </c>
      <c r="Q1947" s="956">
        <f>IFERROR(VLOOKUP(B1947,[2]מעובד!$D:$K,8,0),0)</f>
        <v>0</v>
      </c>
      <c r="R1947" s="956">
        <f>IFERROR(VLOOKUP(B1947,[2]מעובד!$D:$L,9,0),0)</f>
        <v>0</v>
      </c>
    </row>
    <row r="1948" spans="1:18" x14ac:dyDescent="0.2">
      <c r="A1948" s="947" t="s">
        <v>392</v>
      </c>
      <c r="B1948" s="947">
        <v>513325</v>
      </c>
      <c r="C1948" s="947" t="s">
        <v>2189</v>
      </c>
      <c r="D1948" s="947" t="s">
        <v>694</v>
      </c>
      <c r="E1948" s="951">
        <v>146</v>
      </c>
      <c r="F1948" s="951">
        <v>123</v>
      </c>
      <c r="G1948" s="947" t="s">
        <v>159</v>
      </c>
      <c r="H1948" s="951">
        <v>0</v>
      </c>
      <c r="I1948" s="951">
        <v>0</v>
      </c>
      <c r="J1948" s="947" t="s">
        <v>392</v>
      </c>
      <c r="K1948" s="947">
        <v>513325</v>
      </c>
      <c r="M1948" s="631"/>
      <c r="P1948" s="950" t="str">
        <f>VLOOKUP(J1948,'רשימת רשויות'!A:A,1,0)</f>
        <v>רמת השרון</v>
      </c>
      <c r="Q1948" s="956">
        <f>IFERROR(VLOOKUP(B1948,[2]מעובד!$D:$K,8,0),0)</f>
        <v>99</v>
      </c>
      <c r="R1948" s="956">
        <f>IFERROR(VLOOKUP(B1948,[2]מעובד!$D:$L,9,0),0)</f>
        <v>22</v>
      </c>
    </row>
    <row r="1949" spans="1:18" x14ac:dyDescent="0.2">
      <c r="A1949" s="947" t="s">
        <v>235</v>
      </c>
      <c r="B1949" s="947">
        <v>513333</v>
      </c>
      <c r="C1949" s="947" t="s">
        <v>2189</v>
      </c>
      <c r="D1949" s="947" t="s">
        <v>441</v>
      </c>
      <c r="E1949" s="951">
        <v>179</v>
      </c>
      <c r="F1949" s="951">
        <v>145</v>
      </c>
      <c r="G1949" s="947" t="s">
        <v>159</v>
      </c>
      <c r="H1949" s="951">
        <v>0</v>
      </c>
      <c r="I1949" s="951">
        <v>0</v>
      </c>
      <c r="J1949" s="947" t="s">
        <v>235</v>
      </c>
      <c r="K1949" s="957" t="s">
        <v>3343</v>
      </c>
      <c r="M1949" s="631"/>
      <c r="P1949" s="950" t="str">
        <f>VLOOKUP(J1949,'רשימת רשויות'!A:A,1,0)</f>
        <v>הרצליה</v>
      </c>
      <c r="Q1949" s="956">
        <f>IFERROR(VLOOKUP(B1949,[2]מעובד!$D:$K,8,0),0)</f>
        <v>137</v>
      </c>
      <c r="R1949" s="956">
        <f>IFERROR(VLOOKUP(B1949,[2]מעובד!$D:$L,9,0),0)</f>
        <v>40</v>
      </c>
    </row>
    <row r="1950" spans="1:18" x14ac:dyDescent="0.2">
      <c r="A1950" s="947" t="s">
        <v>408</v>
      </c>
      <c r="B1950" s="947">
        <v>513341</v>
      </c>
      <c r="C1950" s="947" t="s">
        <v>2189</v>
      </c>
      <c r="D1950" s="947" t="s">
        <v>712</v>
      </c>
      <c r="E1950" s="951">
        <v>230</v>
      </c>
      <c r="F1950" s="951">
        <v>226</v>
      </c>
      <c r="G1950" s="947" t="s">
        <v>159</v>
      </c>
      <c r="H1950" s="951">
        <v>0</v>
      </c>
      <c r="I1950" s="951">
        <v>0</v>
      </c>
      <c r="J1950" s="947" t="s">
        <v>408</v>
      </c>
      <c r="K1950" s="947">
        <v>513341</v>
      </c>
      <c r="M1950" s="631"/>
      <c r="P1950" s="950" t="str">
        <f>VLOOKUP(J1950,'רשימת רשויות'!A:A,1,0)</f>
        <v>תל אביב-יפו</v>
      </c>
      <c r="Q1950" s="956">
        <f>IFERROR(VLOOKUP(B1950,[2]מעובד!$D:$K,8,0),0)</f>
        <v>0</v>
      </c>
      <c r="R1950" s="956">
        <f>IFERROR(VLOOKUP(B1950,[2]מעובד!$D:$L,9,0),0)</f>
        <v>0</v>
      </c>
    </row>
    <row r="1951" spans="1:18" x14ac:dyDescent="0.2">
      <c r="A1951" s="947" t="s">
        <v>391</v>
      </c>
      <c r="B1951" s="947">
        <v>513358</v>
      </c>
      <c r="C1951" s="947" t="s">
        <v>2189</v>
      </c>
      <c r="D1951" s="947" t="s">
        <v>713</v>
      </c>
      <c r="E1951" s="951">
        <v>277</v>
      </c>
      <c r="F1951" s="951">
        <v>264</v>
      </c>
      <c r="G1951" s="947" t="s">
        <v>159</v>
      </c>
      <c r="H1951" s="951">
        <v>111</v>
      </c>
      <c r="I1951" s="951">
        <v>12</v>
      </c>
      <c r="J1951" s="947" t="s">
        <v>391</v>
      </c>
      <c r="K1951" s="947">
        <v>513358</v>
      </c>
      <c r="M1951" s="631"/>
      <c r="P1951" s="950" t="str">
        <f>VLOOKUP(J1951,'רשימת רשויות'!A:A,1,0)</f>
        <v>רמת גן</v>
      </c>
      <c r="Q1951" s="956">
        <f>IFERROR(VLOOKUP(B1951,[2]מעובד!$D:$K,8,0),0)</f>
        <v>266</v>
      </c>
      <c r="R1951" s="956">
        <f>IFERROR(VLOOKUP(B1951,[2]מעובד!$D:$L,9,0),0)</f>
        <v>120</v>
      </c>
    </row>
    <row r="1952" spans="1:18" x14ac:dyDescent="0.2">
      <c r="A1952" s="947" t="s">
        <v>245</v>
      </c>
      <c r="B1952" s="947">
        <v>513374</v>
      </c>
      <c r="C1952" s="947" t="s">
        <v>2189</v>
      </c>
      <c r="D1952" s="947" t="s">
        <v>3084</v>
      </c>
      <c r="E1952" s="951">
        <v>47</v>
      </c>
      <c r="F1952" s="951">
        <v>0</v>
      </c>
      <c r="G1952" s="947" t="s">
        <v>3252</v>
      </c>
      <c r="H1952" s="951">
        <v>0</v>
      </c>
      <c r="I1952" s="951">
        <v>0</v>
      </c>
      <c r="J1952" s="947" t="s">
        <v>245</v>
      </c>
      <c r="K1952" s="947">
        <v>513374</v>
      </c>
      <c r="M1952" s="631"/>
      <c r="P1952" s="950" t="str">
        <f>VLOOKUP(J1952,'רשימת רשויות'!A:A,1,0)</f>
        <v>חולון</v>
      </c>
      <c r="Q1952" s="956">
        <f>IFERROR(VLOOKUP(B1952,[2]מעובד!$D:$K,8,0),0)</f>
        <v>0</v>
      </c>
      <c r="R1952" s="956">
        <f>IFERROR(VLOOKUP(B1952,[2]מעובד!$D:$L,9,0),0)</f>
        <v>0</v>
      </c>
    </row>
    <row r="1953" spans="1:18" x14ac:dyDescent="0.2">
      <c r="A1953" s="947" t="s">
        <v>245</v>
      </c>
      <c r="B1953" s="947">
        <v>513382</v>
      </c>
      <c r="C1953" s="947" t="s">
        <v>2189</v>
      </c>
      <c r="D1953" s="947" t="s">
        <v>714</v>
      </c>
      <c r="E1953" s="951">
        <v>429</v>
      </c>
      <c r="F1953" s="951">
        <v>264</v>
      </c>
      <c r="G1953" s="947" t="s">
        <v>159</v>
      </c>
      <c r="H1953" s="951">
        <v>144</v>
      </c>
      <c r="I1953" s="951">
        <v>6</v>
      </c>
      <c r="J1953" s="947" t="s">
        <v>245</v>
      </c>
      <c r="K1953" s="947">
        <v>513382</v>
      </c>
      <c r="M1953" s="631"/>
      <c r="P1953" s="950" t="str">
        <f>VLOOKUP(J1953,'רשימת רשויות'!A:A,1,0)</f>
        <v>חולון</v>
      </c>
      <c r="Q1953" s="956">
        <f>IFERROR(VLOOKUP(B1953,[2]מעובד!$D:$K,8,0),0)</f>
        <v>0</v>
      </c>
      <c r="R1953" s="956">
        <f>IFERROR(VLOOKUP(B1953,[2]מעובד!$D:$L,9,0),0)</f>
        <v>0</v>
      </c>
    </row>
    <row r="1954" spans="1:18" x14ac:dyDescent="0.2">
      <c r="A1954" s="947" t="s">
        <v>408</v>
      </c>
      <c r="B1954" s="947">
        <v>513408</v>
      </c>
      <c r="C1954" s="947" t="s">
        <v>2189</v>
      </c>
      <c r="D1954" s="947" t="s">
        <v>715</v>
      </c>
      <c r="E1954" s="951">
        <v>83</v>
      </c>
      <c r="F1954" s="951">
        <v>71</v>
      </c>
      <c r="G1954" s="947" t="s">
        <v>159</v>
      </c>
      <c r="H1954" s="951">
        <v>31</v>
      </c>
      <c r="I1954" s="951">
        <v>9</v>
      </c>
      <c r="J1954" s="947" t="s">
        <v>408</v>
      </c>
      <c r="K1954" s="947">
        <v>513408</v>
      </c>
      <c r="M1954" s="631"/>
      <c r="P1954" s="950" t="str">
        <f>VLOOKUP(J1954,'רשימת רשויות'!A:A,1,0)</f>
        <v>תל אביב-יפו</v>
      </c>
      <c r="Q1954" s="956">
        <f>IFERROR(VLOOKUP(B1954,[2]מעובד!$D:$K,8,0),0)</f>
        <v>114</v>
      </c>
      <c r="R1954" s="956">
        <f>IFERROR(VLOOKUP(B1954,[2]מעובד!$D:$L,9,0),0)</f>
        <v>114</v>
      </c>
    </row>
    <row r="1955" spans="1:18" x14ac:dyDescent="0.2">
      <c r="A1955" s="947" t="s">
        <v>245</v>
      </c>
      <c r="B1955" s="947">
        <v>513416</v>
      </c>
      <c r="C1955" s="947" t="s">
        <v>2189</v>
      </c>
      <c r="D1955" s="947" t="s">
        <v>716</v>
      </c>
      <c r="E1955" s="951">
        <v>131</v>
      </c>
      <c r="F1955" s="951">
        <v>90</v>
      </c>
      <c r="G1955" s="947" t="s">
        <v>159</v>
      </c>
      <c r="H1955" s="951">
        <v>55</v>
      </c>
      <c r="I1955" s="951">
        <v>8</v>
      </c>
      <c r="J1955" s="947" t="s">
        <v>245</v>
      </c>
      <c r="K1955" s="947">
        <v>513416</v>
      </c>
      <c r="M1955" s="631"/>
      <c r="P1955" s="950" t="str">
        <f>VLOOKUP(J1955,'רשימת רשויות'!A:A,1,0)</f>
        <v>חולון</v>
      </c>
      <c r="Q1955" s="956">
        <f>IFERROR(VLOOKUP(B1955,[2]מעובד!$D:$K,8,0),0)</f>
        <v>140</v>
      </c>
      <c r="R1955" s="956">
        <f>IFERROR(VLOOKUP(B1955,[2]מעובד!$D:$L,9,0),0)</f>
        <v>55</v>
      </c>
    </row>
    <row r="1956" spans="1:18" x14ac:dyDescent="0.2">
      <c r="A1956" s="947" t="s">
        <v>245</v>
      </c>
      <c r="B1956" s="947">
        <v>513432</v>
      </c>
      <c r="C1956" s="947" t="s">
        <v>2189</v>
      </c>
      <c r="D1956" s="947" t="s">
        <v>2450</v>
      </c>
      <c r="E1956" s="951">
        <v>141</v>
      </c>
      <c r="F1956" s="951">
        <v>82</v>
      </c>
      <c r="G1956" s="947" t="s">
        <v>3252</v>
      </c>
      <c r="H1956" s="951">
        <v>0</v>
      </c>
      <c r="I1956" s="951">
        <v>0</v>
      </c>
      <c r="J1956" s="947" t="s">
        <v>245</v>
      </c>
      <c r="K1956" s="947">
        <v>513432</v>
      </c>
      <c r="M1956" s="631"/>
      <c r="P1956" s="950" t="str">
        <f>VLOOKUP(J1956,'רשימת רשויות'!A:A,1,0)</f>
        <v>חולון</v>
      </c>
      <c r="Q1956" s="956">
        <f>IFERROR(VLOOKUP(B1956,[2]מעובד!$D:$K,8,0),0)</f>
        <v>0</v>
      </c>
      <c r="R1956" s="956">
        <f>IFERROR(VLOOKUP(B1956,[2]מעובד!$D:$L,9,0),0)</f>
        <v>0</v>
      </c>
    </row>
    <row r="1957" spans="1:18" x14ac:dyDescent="0.2">
      <c r="A1957" s="947" t="s">
        <v>198</v>
      </c>
      <c r="B1957" s="947">
        <v>513507</v>
      </c>
      <c r="C1957" s="947" t="s">
        <v>2189</v>
      </c>
      <c r="D1957" s="947" t="s">
        <v>2451</v>
      </c>
      <c r="E1957" s="951">
        <v>459</v>
      </c>
      <c r="F1957" s="951">
        <v>459</v>
      </c>
      <c r="G1957" s="947" t="s">
        <v>3252</v>
      </c>
      <c r="H1957" s="951">
        <v>0</v>
      </c>
      <c r="I1957" s="951">
        <v>0</v>
      </c>
      <c r="J1957" s="947" t="s">
        <v>198</v>
      </c>
      <c r="K1957" s="947">
        <v>513507</v>
      </c>
      <c r="M1957" s="631"/>
      <c r="P1957" s="950" t="str">
        <f>VLOOKUP(J1957,'רשימת רשויות'!A:A,1,0)</f>
        <v>בני ברק</v>
      </c>
      <c r="Q1957" s="956">
        <f>IFERROR(VLOOKUP(B1957,[2]מעובד!$D:$K,8,0),0)</f>
        <v>0</v>
      </c>
      <c r="R1957" s="956">
        <f>IFERROR(VLOOKUP(B1957,[2]מעובד!$D:$L,9,0),0)</f>
        <v>0</v>
      </c>
    </row>
    <row r="1958" spans="1:18" x14ac:dyDescent="0.2">
      <c r="A1958" s="947" t="s">
        <v>198</v>
      </c>
      <c r="B1958" s="947">
        <v>513515</v>
      </c>
      <c r="C1958" s="947" t="s">
        <v>2189</v>
      </c>
      <c r="D1958" s="947" t="s">
        <v>2452</v>
      </c>
      <c r="E1958" s="951">
        <v>85</v>
      </c>
      <c r="F1958" s="951">
        <v>85</v>
      </c>
      <c r="G1958" s="947" t="s">
        <v>3252</v>
      </c>
      <c r="H1958" s="951">
        <v>0</v>
      </c>
      <c r="I1958" s="951">
        <v>0</v>
      </c>
      <c r="J1958" s="947" t="s">
        <v>198</v>
      </c>
      <c r="K1958" s="947">
        <v>513515</v>
      </c>
      <c r="M1958" s="631"/>
      <c r="P1958" s="950" t="str">
        <f>VLOOKUP(J1958,'רשימת רשויות'!A:A,1,0)</f>
        <v>בני ברק</v>
      </c>
      <c r="Q1958" s="956">
        <f>IFERROR(VLOOKUP(B1958,[2]מעובד!$D:$K,8,0),0)</f>
        <v>0</v>
      </c>
      <c r="R1958" s="956">
        <f>IFERROR(VLOOKUP(B1958,[2]מעובד!$D:$L,9,0),0)</f>
        <v>0</v>
      </c>
    </row>
    <row r="1959" spans="1:18" x14ac:dyDescent="0.2">
      <c r="A1959" s="947" t="s">
        <v>235</v>
      </c>
      <c r="B1959" s="947">
        <v>513523</v>
      </c>
      <c r="C1959" s="947" t="s">
        <v>2189</v>
      </c>
      <c r="D1959" s="947" t="s">
        <v>452</v>
      </c>
      <c r="E1959" s="951">
        <v>284</v>
      </c>
      <c r="F1959" s="951">
        <v>224</v>
      </c>
      <c r="G1959" s="947" t="s">
        <v>159</v>
      </c>
      <c r="H1959" s="951">
        <v>0</v>
      </c>
      <c r="I1959" s="951">
        <v>0</v>
      </c>
      <c r="J1959" s="947" t="s">
        <v>235</v>
      </c>
      <c r="K1959" s="947">
        <v>513523</v>
      </c>
      <c r="M1959" s="631"/>
      <c r="P1959" s="950" t="str">
        <f>VLOOKUP(J1959,'רשימת רשויות'!A:A,1,0)</f>
        <v>הרצליה</v>
      </c>
      <c r="Q1959" s="956">
        <f>IFERROR(VLOOKUP(B1959,[2]מעובד!$D:$K,8,0),0)</f>
        <v>0</v>
      </c>
      <c r="R1959" s="956">
        <f>IFERROR(VLOOKUP(B1959,[2]מעובד!$D:$L,9,0),0)</f>
        <v>0</v>
      </c>
    </row>
    <row r="1960" spans="1:18" x14ac:dyDescent="0.2">
      <c r="A1960" s="947" t="s">
        <v>245</v>
      </c>
      <c r="B1960" s="947">
        <v>513531</v>
      </c>
      <c r="C1960" s="947" t="s">
        <v>2189</v>
      </c>
      <c r="D1960" s="947" t="s">
        <v>732</v>
      </c>
      <c r="E1960" s="951">
        <v>137</v>
      </c>
      <c r="F1960" s="951">
        <v>68</v>
      </c>
      <c r="G1960" s="947" t="s">
        <v>159</v>
      </c>
      <c r="H1960" s="951">
        <v>0</v>
      </c>
      <c r="I1960" s="951">
        <v>0</v>
      </c>
      <c r="J1960" s="947" t="s">
        <v>245</v>
      </c>
      <c r="K1960" s="947">
        <v>513531</v>
      </c>
      <c r="M1960" s="631"/>
      <c r="P1960" s="950" t="str">
        <f>VLOOKUP(J1960,'רשימת רשויות'!A:A,1,0)</f>
        <v>חולון</v>
      </c>
      <c r="Q1960" s="956">
        <f>IFERROR(VLOOKUP(B1960,[2]מעובד!$D:$K,8,0),0)</f>
        <v>90</v>
      </c>
      <c r="R1960" s="956">
        <f>IFERROR(VLOOKUP(B1960,[2]מעובד!$D:$L,9,0),0)</f>
        <v>68</v>
      </c>
    </row>
    <row r="1961" spans="1:18" x14ac:dyDescent="0.2">
      <c r="A1961" s="947" t="s">
        <v>206</v>
      </c>
      <c r="B1961" s="947">
        <v>513549</v>
      </c>
      <c r="C1961" s="947" t="s">
        <v>2189</v>
      </c>
      <c r="D1961" s="947" t="s">
        <v>733</v>
      </c>
      <c r="E1961" s="951">
        <v>90</v>
      </c>
      <c r="F1961" s="951">
        <v>14</v>
      </c>
      <c r="G1961" s="947" t="s">
        <v>159</v>
      </c>
      <c r="H1961" s="951">
        <v>58</v>
      </c>
      <c r="I1961" s="951">
        <v>0</v>
      </c>
      <c r="J1961" s="947" t="s">
        <v>206</v>
      </c>
      <c r="K1961" s="957" t="s">
        <v>3344</v>
      </c>
      <c r="M1961" s="631"/>
      <c r="P1961" s="950" t="str">
        <f>VLOOKUP(J1961,'רשימת רשויות'!A:A,1,0)</f>
        <v>בת ים</v>
      </c>
      <c r="Q1961" s="956">
        <f>IFERROR(VLOOKUP(B1961,[2]מעובד!$D:$K,8,0),0)</f>
        <v>0</v>
      </c>
      <c r="R1961" s="956">
        <f>IFERROR(VLOOKUP(B1961,[2]מעובד!$D:$L,9,0),0)</f>
        <v>0</v>
      </c>
    </row>
    <row r="1962" spans="1:18" x14ac:dyDescent="0.2">
      <c r="A1962" s="947" t="s">
        <v>392</v>
      </c>
      <c r="B1962" s="947">
        <v>513564</v>
      </c>
      <c r="C1962" s="947" t="s">
        <v>2189</v>
      </c>
      <c r="D1962" s="947" t="s">
        <v>2051</v>
      </c>
      <c r="E1962" s="951">
        <v>102</v>
      </c>
      <c r="F1962" s="951">
        <v>78</v>
      </c>
      <c r="G1962" s="947" t="s">
        <v>159</v>
      </c>
      <c r="H1962" s="951">
        <v>0</v>
      </c>
      <c r="I1962" s="951">
        <v>0</v>
      </c>
      <c r="J1962" s="947" t="s">
        <v>392</v>
      </c>
      <c r="K1962" s="947">
        <v>513564</v>
      </c>
      <c r="M1962" s="631"/>
      <c r="P1962" s="950" t="str">
        <f>VLOOKUP(J1962,'רשימת רשויות'!A:A,1,0)</f>
        <v>רמת השרון</v>
      </c>
      <c r="Q1962" s="956">
        <f>IFERROR(VLOOKUP(B1962,[2]מעובד!$D:$K,8,0),0)</f>
        <v>90</v>
      </c>
      <c r="R1962" s="956">
        <f>IFERROR(VLOOKUP(B1962,[2]מעובד!$D:$L,9,0),0)</f>
        <v>41</v>
      </c>
    </row>
    <row r="1963" spans="1:18" x14ac:dyDescent="0.2">
      <c r="A1963" s="947" t="s">
        <v>165</v>
      </c>
      <c r="B1963" s="947">
        <v>513572</v>
      </c>
      <c r="C1963" s="947" t="s">
        <v>2189</v>
      </c>
      <c r="D1963" s="947" t="s">
        <v>734</v>
      </c>
      <c r="E1963" s="951">
        <v>149</v>
      </c>
      <c r="F1963" s="951">
        <v>78</v>
      </c>
      <c r="G1963" s="947" t="s">
        <v>159</v>
      </c>
      <c r="H1963" s="951">
        <v>109</v>
      </c>
      <c r="I1963" s="951">
        <v>0</v>
      </c>
      <c r="J1963" s="947" t="s">
        <v>165</v>
      </c>
      <c r="K1963" s="947">
        <v>513572</v>
      </c>
      <c r="M1963" s="631"/>
      <c r="P1963" s="950" t="str">
        <f>VLOOKUP(J1963,'רשימת רשויות'!A:A,1,0)</f>
        <v>אור יהודה</v>
      </c>
      <c r="Q1963" s="956">
        <f>IFERROR(VLOOKUP(B1963,[2]מעובד!$D:$K,8,0),0)</f>
        <v>209</v>
      </c>
      <c r="R1963" s="956">
        <f>IFERROR(VLOOKUP(B1963,[2]מעובד!$D:$L,9,0),0)</f>
        <v>105</v>
      </c>
    </row>
    <row r="1964" spans="1:18" x14ac:dyDescent="0.2">
      <c r="A1964" s="947" t="s">
        <v>245</v>
      </c>
      <c r="B1964" s="947">
        <v>513606</v>
      </c>
      <c r="C1964" s="947" t="s">
        <v>2189</v>
      </c>
      <c r="D1964" s="947" t="s">
        <v>607</v>
      </c>
      <c r="E1964" s="951">
        <v>139</v>
      </c>
      <c r="F1964" s="951">
        <v>65</v>
      </c>
      <c r="G1964" s="947" t="s">
        <v>159</v>
      </c>
      <c r="H1964" s="951">
        <v>0</v>
      </c>
      <c r="I1964" s="951">
        <v>0</v>
      </c>
      <c r="J1964" s="947" t="s">
        <v>245</v>
      </c>
      <c r="K1964" s="947">
        <v>513606</v>
      </c>
      <c r="M1964" s="631"/>
      <c r="P1964" s="950" t="str">
        <f>VLOOKUP(J1964,'רשימת רשויות'!A:A,1,0)</f>
        <v>חולון</v>
      </c>
      <c r="Q1964" s="956">
        <f>IFERROR(VLOOKUP(B1964,[2]מעובד!$D:$K,8,0),0)</f>
        <v>133</v>
      </c>
      <c r="R1964" s="956">
        <f>IFERROR(VLOOKUP(B1964,[2]מעובד!$D:$L,9,0),0)</f>
        <v>56</v>
      </c>
    </row>
    <row r="1965" spans="1:18" x14ac:dyDescent="0.2">
      <c r="A1965" s="947" t="s">
        <v>198</v>
      </c>
      <c r="B1965" s="947">
        <v>513622</v>
      </c>
      <c r="C1965" s="947" t="s">
        <v>2189</v>
      </c>
      <c r="D1965" s="947" t="s">
        <v>2058</v>
      </c>
      <c r="E1965" s="951">
        <v>252</v>
      </c>
      <c r="F1965" s="951">
        <v>252</v>
      </c>
      <c r="G1965" s="947" t="s">
        <v>3252</v>
      </c>
      <c r="H1965" s="951">
        <v>0</v>
      </c>
      <c r="I1965" s="951">
        <v>0</v>
      </c>
      <c r="J1965" s="947" t="s">
        <v>198</v>
      </c>
      <c r="K1965" s="947">
        <v>513622</v>
      </c>
      <c r="M1965" s="631"/>
      <c r="P1965" s="950" t="str">
        <f>VLOOKUP(J1965,'רשימת רשויות'!A:A,1,0)</f>
        <v>בני ברק</v>
      </c>
      <c r="Q1965" s="956">
        <f>IFERROR(VLOOKUP(B1965,[2]מעובד!$D:$K,8,0),0)</f>
        <v>232</v>
      </c>
      <c r="R1965" s="956">
        <f>IFERROR(VLOOKUP(B1965,[2]מעובד!$D:$L,9,0),0)</f>
        <v>68</v>
      </c>
    </row>
    <row r="1966" spans="1:18" x14ac:dyDescent="0.2">
      <c r="A1966" s="947" t="s">
        <v>408</v>
      </c>
      <c r="B1966" s="947">
        <v>513630</v>
      </c>
      <c r="C1966" s="947" t="s">
        <v>2189</v>
      </c>
      <c r="D1966" s="947" t="s">
        <v>447</v>
      </c>
      <c r="E1966" s="951">
        <v>194</v>
      </c>
      <c r="F1966" s="951">
        <v>193</v>
      </c>
      <c r="G1966" s="947" t="s">
        <v>159</v>
      </c>
      <c r="H1966" s="951">
        <v>0</v>
      </c>
      <c r="I1966" s="951">
        <v>0</v>
      </c>
      <c r="J1966" s="947" t="s">
        <v>408</v>
      </c>
      <c r="K1966" s="947">
        <v>513630</v>
      </c>
      <c r="M1966" s="631"/>
      <c r="P1966" s="950" t="str">
        <f>VLOOKUP(J1966,'רשימת רשויות'!A:A,1,0)</f>
        <v>תל אביב-יפו</v>
      </c>
      <c r="Q1966" s="956">
        <f>IFERROR(VLOOKUP(B1966,[2]מעובד!$D:$K,8,0),0)</f>
        <v>0</v>
      </c>
      <c r="R1966" s="956">
        <f>IFERROR(VLOOKUP(B1966,[2]מעובד!$D:$L,9,0),0)</f>
        <v>0</v>
      </c>
    </row>
    <row r="1967" spans="1:18" x14ac:dyDescent="0.2">
      <c r="A1967" s="947" t="s">
        <v>235</v>
      </c>
      <c r="B1967" s="947">
        <v>513648</v>
      </c>
      <c r="C1967" s="947" t="s">
        <v>2189</v>
      </c>
      <c r="D1967" s="947" t="s">
        <v>453</v>
      </c>
      <c r="E1967" s="951">
        <v>144</v>
      </c>
      <c r="F1967" s="951">
        <v>129</v>
      </c>
      <c r="G1967" s="947" t="s">
        <v>159</v>
      </c>
      <c r="H1967" s="951">
        <v>0</v>
      </c>
      <c r="I1967" s="951">
        <v>0</v>
      </c>
      <c r="J1967" s="947" t="s">
        <v>235</v>
      </c>
      <c r="K1967" s="947">
        <v>513648</v>
      </c>
      <c r="M1967" s="631"/>
      <c r="P1967" s="950" t="str">
        <f>VLOOKUP(J1967,'רשימת רשויות'!A:A,1,0)</f>
        <v>הרצליה</v>
      </c>
      <c r="Q1967" s="956">
        <f>IFERROR(VLOOKUP(B1967,[2]מעובד!$D:$K,8,0),0)</f>
        <v>0</v>
      </c>
      <c r="R1967" s="956">
        <f>IFERROR(VLOOKUP(B1967,[2]מעובד!$D:$L,9,0),0)</f>
        <v>0</v>
      </c>
    </row>
    <row r="1968" spans="1:18" x14ac:dyDescent="0.2">
      <c r="A1968" s="947" t="s">
        <v>408</v>
      </c>
      <c r="B1968" s="947">
        <v>513655</v>
      </c>
      <c r="C1968" s="947" t="s">
        <v>2189</v>
      </c>
      <c r="D1968" s="947" t="s">
        <v>742</v>
      </c>
      <c r="E1968" s="951">
        <v>237</v>
      </c>
      <c r="F1968" s="951">
        <v>235</v>
      </c>
      <c r="G1968" s="947" t="s">
        <v>159</v>
      </c>
      <c r="H1968" s="951">
        <v>0</v>
      </c>
      <c r="I1968" s="951">
        <v>0</v>
      </c>
      <c r="J1968" s="947" t="s">
        <v>408</v>
      </c>
      <c r="K1968" s="947">
        <v>513655</v>
      </c>
      <c r="M1968" s="631"/>
      <c r="P1968" s="950" t="str">
        <f>VLOOKUP(J1968,'רשימת רשויות'!A:A,1,0)</f>
        <v>תל אביב-יפו</v>
      </c>
      <c r="Q1968" s="956">
        <f>IFERROR(VLOOKUP(B1968,[2]מעובד!$D:$K,8,0),0)</f>
        <v>0</v>
      </c>
      <c r="R1968" s="956">
        <f>IFERROR(VLOOKUP(B1968,[2]מעובד!$D:$L,9,0),0)</f>
        <v>0</v>
      </c>
    </row>
    <row r="1969" spans="1:18" x14ac:dyDescent="0.2">
      <c r="A1969" s="947" t="s">
        <v>206</v>
      </c>
      <c r="B1969" s="947">
        <v>513671</v>
      </c>
      <c r="C1969" s="947" t="s">
        <v>2189</v>
      </c>
      <c r="D1969" s="947" t="s">
        <v>2077</v>
      </c>
      <c r="E1969" s="951">
        <v>147</v>
      </c>
      <c r="F1969" s="951">
        <v>120</v>
      </c>
      <c r="G1969" s="947" t="s">
        <v>159</v>
      </c>
      <c r="H1969" s="951">
        <v>0</v>
      </c>
      <c r="I1969" s="951">
        <v>0</v>
      </c>
      <c r="J1969" s="947" t="s">
        <v>206</v>
      </c>
      <c r="K1969" s="947">
        <v>513671</v>
      </c>
      <c r="M1969" s="631"/>
      <c r="P1969" s="950" t="str">
        <f>VLOOKUP(J1969,'רשימת רשויות'!A:A,1,0)</f>
        <v>בת ים</v>
      </c>
      <c r="Q1969" s="956">
        <f>IFERROR(VLOOKUP(B1969,[2]מעובד!$D:$K,8,0),0)</f>
        <v>152</v>
      </c>
      <c r="R1969" s="956">
        <f>IFERROR(VLOOKUP(B1969,[2]מעובד!$D:$L,9,0),0)</f>
        <v>112</v>
      </c>
    </row>
    <row r="1970" spans="1:18" x14ac:dyDescent="0.2">
      <c r="A1970" s="947" t="s">
        <v>408</v>
      </c>
      <c r="B1970" s="947">
        <v>513689</v>
      </c>
      <c r="C1970" s="947" t="s">
        <v>2189</v>
      </c>
      <c r="D1970" s="947" t="s">
        <v>743</v>
      </c>
      <c r="E1970" s="951">
        <v>207</v>
      </c>
      <c r="F1970" s="951">
        <v>204</v>
      </c>
      <c r="G1970" s="947" t="s">
        <v>159</v>
      </c>
      <c r="H1970" s="951">
        <v>0</v>
      </c>
      <c r="I1970" s="951">
        <v>0</v>
      </c>
      <c r="J1970" s="947" t="s">
        <v>408</v>
      </c>
      <c r="K1970" s="947">
        <v>513689</v>
      </c>
      <c r="M1970" s="631"/>
      <c r="P1970" s="950" t="str">
        <f>VLOOKUP(J1970,'רשימת רשויות'!A:A,1,0)</f>
        <v>תל אביב-יפו</v>
      </c>
      <c r="Q1970" s="956">
        <f>IFERROR(VLOOKUP(B1970,[2]מעובד!$D:$K,8,0),0)</f>
        <v>0</v>
      </c>
      <c r="R1970" s="956">
        <f>IFERROR(VLOOKUP(B1970,[2]מעובד!$D:$L,9,0),0)</f>
        <v>0</v>
      </c>
    </row>
    <row r="1971" spans="1:18" x14ac:dyDescent="0.2">
      <c r="A1971" s="947" t="s">
        <v>245</v>
      </c>
      <c r="B1971" s="947">
        <v>513713</v>
      </c>
      <c r="C1971" s="947" t="s">
        <v>2189</v>
      </c>
      <c r="D1971" s="947" t="s">
        <v>744</v>
      </c>
      <c r="E1971" s="951">
        <v>305</v>
      </c>
      <c r="F1971" s="951">
        <v>174</v>
      </c>
      <c r="G1971" s="947" t="s">
        <v>159</v>
      </c>
      <c r="H1971" s="951">
        <v>305</v>
      </c>
      <c r="I1971" s="951">
        <v>13</v>
      </c>
      <c r="J1971" s="947" t="s">
        <v>245</v>
      </c>
      <c r="K1971" s="947">
        <v>513713</v>
      </c>
      <c r="M1971" s="631"/>
      <c r="P1971" s="950" t="str">
        <f>VLOOKUP(J1971,'רשימת רשויות'!A:A,1,0)</f>
        <v>חולון</v>
      </c>
      <c r="Q1971" s="956">
        <f>IFERROR(VLOOKUP(B1971,[2]מעובד!$D:$K,8,0),0)</f>
        <v>96</v>
      </c>
      <c r="R1971" s="956">
        <f>IFERROR(VLOOKUP(B1971,[2]מעובד!$D:$L,9,0),0)</f>
        <v>90</v>
      </c>
    </row>
    <row r="1972" spans="1:18" x14ac:dyDescent="0.2">
      <c r="A1972" s="947" t="s">
        <v>245</v>
      </c>
      <c r="B1972" s="947">
        <v>513721</v>
      </c>
      <c r="C1972" s="947" t="s">
        <v>2189</v>
      </c>
      <c r="D1972" s="947" t="s">
        <v>485</v>
      </c>
      <c r="E1972" s="951">
        <v>245</v>
      </c>
      <c r="F1972" s="951">
        <v>198</v>
      </c>
      <c r="G1972" s="947" t="s">
        <v>159</v>
      </c>
      <c r="H1972" s="951">
        <v>188</v>
      </c>
      <c r="I1972" s="951">
        <v>9</v>
      </c>
      <c r="J1972" s="947" t="s">
        <v>245</v>
      </c>
      <c r="K1972" s="947">
        <v>513721</v>
      </c>
      <c r="M1972" s="631"/>
      <c r="P1972" s="950" t="str">
        <f>VLOOKUP(J1972,'רשימת רשויות'!A:A,1,0)</f>
        <v>חולון</v>
      </c>
      <c r="Q1972" s="956">
        <f>IFERROR(VLOOKUP(B1972,[2]מעובד!$D:$K,8,0),0)</f>
        <v>246</v>
      </c>
      <c r="R1972" s="956">
        <f>IFERROR(VLOOKUP(B1972,[2]מעובד!$D:$L,9,0),0)</f>
        <v>155</v>
      </c>
    </row>
    <row r="1973" spans="1:18" x14ac:dyDescent="0.2">
      <c r="A1973" s="947" t="s">
        <v>198</v>
      </c>
      <c r="B1973" s="947">
        <v>513796</v>
      </c>
      <c r="C1973" s="947" t="s">
        <v>2189</v>
      </c>
      <c r="D1973" s="947" t="s">
        <v>1360</v>
      </c>
      <c r="E1973" s="951">
        <v>91</v>
      </c>
      <c r="F1973" s="951">
        <v>91</v>
      </c>
      <c r="G1973" s="947" t="s">
        <v>3252</v>
      </c>
      <c r="H1973" s="951">
        <v>0</v>
      </c>
      <c r="I1973" s="951">
        <v>0</v>
      </c>
      <c r="J1973" s="947" t="s">
        <v>198</v>
      </c>
      <c r="K1973" s="947">
        <v>513796</v>
      </c>
      <c r="M1973" s="631"/>
      <c r="P1973" s="950" t="str">
        <f>VLOOKUP(J1973,'רשימת רשויות'!A:A,1,0)</f>
        <v>בני ברק</v>
      </c>
      <c r="Q1973" s="956">
        <f>IFERROR(VLOOKUP(B1973,[2]מעובד!$D:$K,8,0),0)</f>
        <v>0</v>
      </c>
      <c r="R1973" s="956">
        <f>IFERROR(VLOOKUP(B1973,[2]מעובד!$D:$L,9,0),0)</f>
        <v>0</v>
      </c>
    </row>
    <row r="1974" spans="1:18" x14ac:dyDescent="0.2">
      <c r="A1974" s="947" t="s">
        <v>198</v>
      </c>
      <c r="B1974" s="947">
        <v>513861</v>
      </c>
      <c r="C1974" s="947" t="s">
        <v>2189</v>
      </c>
      <c r="D1974" s="947" t="s">
        <v>3085</v>
      </c>
      <c r="E1974" s="951">
        <v>44</v>
      </c>
      <c r="F1974" s="951">
        <v>44</v>
      </c>
      <c r="G1974" s="947" t="s">
        <v>3252</v>
      </c>
      <c r="H1974" s="951">
        <v>0</v>
      </c>
      <c r="I1974" s="951">
        <v>0</v>
      </c>
      <c r="J1974" s="947" t="s">
        <v>198</v>
      </c>
      <c r="K1974" s="947">
        <v>513861</v>
      </c>
      <c r="M1974" s="631"/>
      <c r="P1974" s="950" t="str">
        <f>VLOOKUP(J1974,'רשימת רשויות'!A:A,1,0)</f>
        <v>בני ברק</v>
      </c>
      <c r="Q1974" s="956">
        <f>IFERROR(VLOOKUP(B1974,[2]מעובד!$D:$K,8,0),0)</f>
        <v>0</v>
      </c>
      <c r="R1974" s="956">
        <f>IFERROR(VLOOKUP(B1974,[2]מעובד!$D:$L,9,0),0)</f>
        <v>0</v>
      </c>
    </row>
    <row r="1975" spans="1:18" x14ac:dyDescent="0.2">
      <c r="A1975" s="947" t="s">
        <v>198</v>
      </c>
      <c r="B1975" s="947">
        <v>513903</v>
      </c>
      <c r="C1975" s="947" t="s">
        <v>2189</v>
      </c>
      <c r="D1975" s="947" t="s">
        <v>2102</v>
      </c>
      <c r="E1975" s="951">
        <v>68</v>
      </c>
      <c r="F1975" s="951">
        <v>68</v>
      </c>
      <c r="G1975" s="947" t="s">
        <v>3252</v>
      </c>
      <c r="H1975" s="951">
        <v>0</v>
      </c>
      <c r="I1975" s="951">
        <v>0</v>
      </c>
      <c r="J1975" s="947" t="s">
        <v>198</v>
      </c>
      <c r="K1975" s="947">
        <v>513903</v>
      </c>
      <c r="M1975" s="631"/>
      <c r="P1975" s="950" t="str">
        <f>VLOOKUP(J1975,'רשימת רשויות'!A:A,1,0)</f>
        <v>בני ברק</v>
      </c>
      <c r="Q1975" s="956">
        <f>IFERROR(VLOOKUP(B1975,[2]מעובד!$D:$K,8,0),0)</f>
        <v>0</v>
      </c>
      <c r="R1975" s="956">
        <f>IFERROR(VLOOKUP(B1975,[2]מעובד!$D:$L,9,0),0)</f>
        <v>0</v>
      </c>
    </row>
    <row r="1976" spans="1:18" x14ac:dyDescent="0.2">
      <c r="A1976" s="947" t="s">
        <v>198</v>
      </c>
      <c r="B1976" s="947">
        <v>513937</v>
      </c>
      <c r="C1976" s="947" t="s">
        <v>2189</v>
      </c>
      <c r="D1976" s="947" t="s">
        <v>2107</v>
      </c>
      <c r="E1976" s="951">
        <v>63</v>
      </c>
      <c r="F1976" s="951">
        <v>63</v>
      </c>
      <c r="G1976" s="947" t="s">
        <v>3252</v>
      </c>
      <c r="H1976" s="951">
        <v>0</v>
      </c>
      <c r="I1976" s="951">
        <v>0</v>
      </c>
      <c r="J1976" s="947" t="s">
        <v>198</v>
      </c>
      <c r="K1976" s="947">
        <v>513937</v>
      </c>
      <c r="M1976" s="631"/>
      <c r="P1976" s="950" t="str">
        <f>VLOOKUP(J1976,'רשימת רשויות'!A:A,1,0)</f>
        <v>בני ברק</v>
      </c>
      <c r="Q1976" s="956">
        <f>IFERROR(VLOOKUP(B1976,[2]מעובד!$D:$K,8,0),0)</f>
        <v>0</v>
      </c>
      <c r="R1976" s="956">
        <f>IFERROR(VLOOKUP(B1976,[2]מעובד!$D:$L,9,0),0)</f>
        <v>0</v>
      </c>
    </row>
    <row r="1977" spans="1:18" x14ac:dyDescent="0.2">
      <c r="A1977" s="947" t="s">
        <v>408</v>
      </c>
      <c r="B1977" s="947">
        <v>514000</v>
      </c>
      <c r="C1977" s="947" t="s">
        <v>2189</v>
      </c>
      <c r="D1977" s="947" t="s">
        <v>3086</v>
      </c>
      <c r="E1977" s="951">
        <v>43</v>
      </c>
      <c r="F1977" s="951">
        <v>0</v>
      </c>
      <c r="G1977" s="947" t="s">
        <v>3252</v>
      </c>
      <c r="H1977" s="951">
        <v>0</v>
      </c>
      <c r="I1977" s="951">
        <v>0</v>
      </c>
      <c r="J1977" s="947" t="s">
        <v>408</v>
      </c>
      <c r="K1977" s="947">
        <v>514000</v>
      </c>
      <c r="M1977" s="631"/>
      <c r="P1977" s="950" t="str">
        <f>VLOOKUP(J1977,'רשימת רשויות'!A:A,1,0)</f>
        <v>תל אביב-יפו</v>
      </c>
      <c r="Q1977" s="956">
        <f>IFERROR(VLOOKUP(B1977,[2]מעובד!$D:$K,8,0),0)</f>
        <v>0</v>
      </c>
      <c r="R1977" s="956">
        <f>IFERROR(VLOOKUP(B1977,[2]מעובד!$D:$L,9,0),0)</f>
        <v>0</v>
      </c>
    </row>
    <row r="1978" spans="1:18" x14ac:dyDescent="0.2">
      <c r="A1978" s="947" t="s">
        <v>165</v>
      </c>
      <c r="B1978" s="947">
        <v>514018</v>
      </c>
      <c r="C1978" s="947" t="s">
        <v>2189</v>
      </c>
      <c r="D1978" s="947" t="s">
        <v>2023</v>
      </c>
      <c r="E1978" s="951">
        <v>160</v>
      </c>
      <c r="F1978" s="951">
        <v>133</v>
      </c>
      <c r="G1978" s="947" t="s">
        <v>3252</v>
      </c>
      <c r="H1978" s="951">
        <v>0</v>
      </c>
      <c r="I1978" s="951">
        <v>0</v>
      </c>
      <c r="J1978" s="947" t="s">
        <v>165</v>
      </c>
      <c r="K1978" s="947">
        <v>514018</v>
      </c>
      <c r="M1978" s="631"/>
      <c r="P1978" s="950" t="str">
        <f>VLOOKUP(J1978,'רשימת רשויות'!A:A,1,0)</f>
        <v>אור יהודה</v>
      </c>
      <c r="Q1978" s="956">
        <f>IFERROR(VLOOKUP(B1978,[2]מעובד!$D:$K,8,0),0)</f>
        <v>129</v>
      </c>
      <c r="R1978" s="956">
        <f>IFERROR(VLOOKUP(B1978,[2]מעובד!$D:$L,9,0),0)</f>
        <v>45</v>
      </c>
    </row>
    <row r="1979" spans="1:18" x14ac:dyDescent="0.2">
      <c r="A1979" s="947" t="s">
        <v>198</v>
      </c>
      <c r="B1979" s="947">
        <v>514034</v>
      </c>
      <c r="C1979" s="947" t="s">
        <v>2189</v>
      </c>
      <c r="D1979" s="947" t="s">
        <v>2024</v>
      </c>
      <c r="E1979" s="951">
        <v>320</v>
      </c>
      <c r="F1979" s="951">
        <v>320</v>
      </c>
      <c r="G1979" s="947" t="s">
        <v>3252</v>
      </c>
      <c r="H1979" s="951">
        <v>0</v>
      </c>
      <c r="I1979" s="951">
        <v>0</v>
      </c>
      <c r="J1979" s="947" t="s">
        <v>198</v>
      </c>
      <c r="K1979" s="947">
        <v>514034</v>
      </c>
      <c r="M1979" s="631"/>
      <c r="P1979" s="950" t="str">
        <f>VLOOKUP(J1979,'רשימת רשויות'!A:A,1,0)</f>
        <v>בני ברק</v>
      </c>
      <c r="Q1979" s="956">
        <f>IFERROR(VLOOKUP(B1979,[2]מעובד!$D:$K,8,0),0)</f>
        <v>99</v>
      </c>
      <c r="R1979" s="956">
        <f>IFERROR(VLOOKUP(B1979,[2]מעובד!$D:$L,9,0),0)</f>
        <v>80</v>
      </c>
    </row>
    <row r="1980" spans="1:18" x14ac:dyDescent="0.2">
      <c r="A1980" s="947" t="s">
        <v>245</v>
      </c>
      <c r="B1980" s="947">
        <v>514042</v>
      </c>
      <c r="C1980" s="947" t="s">
        <v>2189</v>
      </c>
      <c r="D1980" s="947" t="s">
        <v>2453</v>
      </c>
      <c r="E1980" s="951">
        <v>67</v>
      </c>
      <c r="F1980" s="951">
        <v>0</v>
      </c>
      <c r="G1980" s="947" t="s">
        <v>3252</v>
      </c>
      <c r="H1980" s="951">
        <v>33</v>
      </c>
      <c r="I1980" s="951">
        <v>0</v>
      </c>
      <c r="J1980" s="947" t="s">
        <v>245</v>
      </c>
      <c r="K1980" s="947">
        <v>514042</v>
      </c>
      <c r="M1980" s="631"/>
      <c r="P1980" s="950" t="str">
        <f>VLOOKUP(J1980,'רשימת רשויות'!A:A,1,0)</f>
        <v>חולון</v>
      </c>
      <c r="Q1980" s="956">
        <f>IFERROR(VLOOKUP(B1980,[2]מעובד!$D:$K,8,0),0)</f>
        <v>0</v>
      </c>
      <c r="R1980" s="956">
        <f>IFERROR(VLOOKUP(B1980,[2]מעובד!$D:$L,9,0),0)</f>
        <v>0</v>
      </c>
    </row>
    <row r="1981" spans="1:18" x14ac:dyDescent="0.2">
      <c r="A1981" s="947" t="s">
        <v>165</v>
      </c>
      <c r="B1981" s="947">
        <v>514059</v>
      </c>
      <c r="C1981" s="947" t="s">
        <v>2189</v>
      </c>
      <c r="D1981" s="947" t="s">
        <v>717</v>
      </c>
      <c r="E1981" s="951">
        <v>228</v>
      </c>
      <c r="F1981" s="951">
        <v>131</v>
      </c>
      <c r="G1981" s="947" t="s">
        <v>159</v>
      </c>
      <c r="H1981" s="951">
        <v>0</v>
      </c>
      <c r="I1981" s="951">
        <v>0</v>
      </c>
      <c r="J1981" s="947" t="s">
        <v>165</v>
      </c>
      <c r="K1981" s="947">
        <v>514059</v>
      </c>
      <c r="M1981" s="631"/>
      <c r="P1981" s="950" t="str">
        <f>VLOOKUP(J1981,'רשימת רשויות'!A:A,1,0)</f>
        <v>אור יהודה</v>
      </c>
      <c r="Q1981" s="956">
        <f>IFERROR(VLOOKUP(B1981,[2]מעובד!$D:$K,8,0),0)</f>
        <v>239</v>
      </c>
      <c r="R1981" s="956">
        <f>IFERROR(VLOOKUP(B1981,[2]מעובד!$D:$L,9,0),0)</f>
        <v>55</v>
      </c>
    </row>
    <row r="1982" spans="1:18" x14ac:dyDescent="0.2">
      <c r="A1982" s="947" t="s">
        <v>198</v>
      </c>
      <c r="B1982" s="947">
        <v>514083</v>
      </c>
      <c r="C1982" s="947" t="s">
        <v>2189</v>
      </c>
      <c r="D1982" s="947" t="s">
        <v>2033</v>
      </c>
      <c r="E1982" s="951">
        <v>70</v>
      </c>
      <c r="F1982" s="951">
        <v>60</v>
      </c>
      <c r="G1982" s="947" t="s">
        <v>3252</v>
      </c>
      <c r="H1982" s="951">
        <v>0</v>
      </c>
      <c r="I1982" s="951">
        <v>0</v>
      </c>
      <c r="J1982" s="947" t="s">
        <v>198</v>
      </c>
      <c r="K1982" s="947">
        <v>514083</v>
      </c>
      <c r="M1982" s="631"/>
      <c r="P1982" s="950" t="str">
        <f>VLOOKUP(J1982,'רשימת רשויות'!A:A,1,0)</f>
        <v>בני ברק</v>
      </c>
      <c r="Q1982" s="956">
        <f>IFERROR(VLOOKUP(B1982,[2]מעובד!$D:$K,8,0),0)</f>
        <v>0</v>
      </c>
      <c r="R1982" s="956">
        <f>IFERROR(VLOOKUP(B1982,[2]מעובד!$D:$L,9,0),0)</f>
        <v>0</v>
      </c>
    </row>
    <row r="1983" spans="1:18" x14ac:dyDescent="0.2">
      <c r="A1983" s="947" t="s">
        <v>198</v>
      </c>
      <c r="B1983" s="947">
        <v>514109</v>
      </c>
      <c r="C1983" s="947" t="s">
        <v>2189</v>
      </c>
      <c r="D1983" s="947" t="s">
        <v>2034</v>
      </c>
      <c r="E1983" s="951">
        <v>161</v>
      </c>
      <c r="F1983" s="951">
        <v>118</v>
      </c>
      <c r="G1983" s="947" t="s">
        <v>3252</v>
      </c>
      <c r="H1983" s="951">
        <v>161</v>
      </c>
      <c r="I1983" s="951">
        <v>42</v>
      </c>
      <c r="J1983" s="947" t="s">
        <v>198</v>
      </c>
      <c r="K1983" s="947">
        <v>514109</v>
      </c>
      <c r="M1983" s="631"/>
      <c r="P1983" s="950" t="str">
        <f>VLOOKUP(J1983,'רשימת רשויות'!A:A,1,0)</f>
        <v>בני ברק</v>
      </c>
      <c r="Q1983" s="956">
        <f>IFERROR(VLOOKUP(B1983,[2]מעובד!$D:$K,8,0),0)</f>
        <v>184</v>
      </c>
      <c r="R1983" s="956">
        <f>IFERROR(VLOOKUP(B1983,[2]מעובד!$D:$L,9,0),0)</f>
        <v>185</v>
      </c>
    </row>
    <row r="1984" spans="1:18" x14ac:dyDescent="0.2">
      <c r="A1984" s="947" t="s">
        <v>245</v>
      </c>
      <c r="B1984" s="947">
        <v>514117</v>
      </c>
      <c r="C1984" s="947" t="s">
        <v>2189</v>
      </c>
      <c r="D1984" s="947" t="s">
        <v>651</v>
      </c>
      <c r="E1984" s="951">
        <v>149</v>
      </c>
      <c r="F1984" s="951">
        <v>90</v>
      </c>
      <c r="G1984" s="947" t="s">
        <v>159</v>
      </c>
      <c r="H1984" s="951">
        <v>0</v>
      </c>
      <c r="I1984" s="951">
        <v>0</v>
      </c>
      <c r="J1984" s="947" t="s">
        <v>245</v>
      </c>
      <c r="K1984" s="947">
        <v>514117</v>
      </c>
      <c r="M1984" s="631"/>
      <c r="P1984" s="950" t="str">
        <f>VLOOKUP(J1984,'רשימת רשויות'!A:A,1,0)</f>
        <v>חולון</v>
      </c>
      <c r="Q1984" s="956">
        <f>IFERROR(VLOOKUP(B1984,[2]מעובד!$D:$K,8,0),0)</f>
        <v>203</v>
      </c>
      <c r="R1984" s="956">
        <f>IFERROR(VLOOKUP(B1984,[2]מעובד!$D:$L,9,0),0)</f>
        <v>91</v>
      </c>
    </row>
    <row r="1985" spans="1:18" x14ac:dyDescent="0.2">
      <c r="A1985" s="947" t="s">
        <v>245</v>
      </c>
      <c r="B1985" s="947">
        <v>514125</v>
      </c>
      <c r="C1985" s="947" t="s">
        <v>2189</v>
      </c>
      <c r="D1985" s="947" t="s">
        <v>484</v>
      </c>
      <c r="E1985" s="951">
        <v>210</v>
      </c>
      <c r="F1985" s="951">
        <v>158</v>
      </c>
      <c r="G1985" s="947" t="s">
        <v>159</v>
      </c>
      <c r="H1985" s="951">
        <v>0</v>
      </c>
      <c r="I1985" s="951">
        <v>0</v>
      </c>
      <c r="J1985" s="947" t="s">
        <v>245</v>
      </c>
      <c r="K1985" s="957" t="s">
        <v>3345</v>
      </c>
      <c r="M1985" s="631"/>
      <c r="P1985" s="950" t="str">
        <f>VLOOKUP(J1985,'רשימת רשויות'!A:A,1,0)</f>
        <v>חולון</v>
      </c>
      <c r="Q1985" s="956">
        <f>IFERROR(VLOOKUP(B1985,[2]מעובד!$D:$K,8,0),0)</f>
        <v>152</v>
      </c>
      <c r="R1985" s="956">
        <f>IFERROR(VLOOKUP(B1985,[2]מעובד!$D:$L,9,0),0)</f>
        <v>55</v>
      </c>
    </row>
    <row r="1986" spans="1:18" x14ac:dyDescent="0.2">
      <c r="A1986" s="947" t="s">
        <v>206</v>
      </c>
      <c r="B1986" s="947">
        <v>514133</v>
      </c>
      <c r="C1986" s="947" t="s">
        <v>2189</v>
      </c>
      <c r="D1986" s="947" t="s">
        <v>3087</v>
      </c>
      <c r="E1986" s="951">
        <v>37</v>
      </c>
      <c r="F1986" s="951">
        <v>0</v>
      </c>
      <c r="G1986" s="947" t="s">
        <v>3252</v>
      </c>
      <c r="H1986" s="951">
        <v>0</v>
      </c>
      <c r="I1986" s="951">
        <v>0</v>
      </c>
      <c r="J1986" s="947" t="s">
        <v>206</v>
      </c>
      <c r="K1986" s="947">
        <v>514133</v>
      </c>
      <c r="M1986" s="631"/>
      <c r="P1986" s="950" t="str">
        <f>VLOOKUP(J1986,'רשימת רשויות'!A:A,1,0)</f>
        <v>בת ים</v>
      </c>
      <c r="Q1986" s="956">
        <f>IFERROR(VLOOKUP(B1986,[2]מעובד!$D:$K,8,0),0)</f>
        <v>0</v>
      </c>
      <c r="R1986" s="956">
        <f>IFERROR(VLOOKUP(B1986,[2]מעובד!$D:$L,9,0),0)</f>
        <v>0</v>
      </c>
    </row>
    <row r="1987" spans="1:18" x14ac:dyDescent="0.2">
      <c r="A1987" s="947" t="s">
        <v>408</v>
      </c>
      <c r="B1987" s="947">
        <v>514166</v>
      </c>
      <c r="C1987" s="947" t="s">
        <v>2189</v>
      </c>
      <c r="D1987" s="947" t="s">
        <v>3088</v>
      </c>
      <c r="E1987" s="951">
        <v>66</v>
      </c>
      <c r="F1987" s="951">
        <v>0</v>
      </c>
      <c r="G1987" s="947" t="s">
        <v>3252</v>
      </c>
      <c r="H1987" s="951">
        <v>0</v>
      </c>
      <c r="I1987" s="951">
        <v>0</v>
      </c>
      <c r="J1987" s="947" t="s">
        <v>408</v>
      </c>
      <c r="K1987" s="947">
        <v>514166</v>
      </c>
      <c r="M1987" s="631"/>
      <c r="P1987" s="950" t="str">
        <f>VLOOKUP(J1987,'רשימת רשויות'!A:A,1,0)</f>
        <v>תל אביב-יפו</v>
      </c>
      <c r="Q1987" s="956">
        <f>IFERROR(VLOOKUP(B1987,[2]מעובד!$D:$K,8,0),0)</f>
        <v>0</v>
      </c>
      <c r="R1987" s="956">
        <f>IFERROR(VLOOKUP(B1987,[2]מעובד!$D:$L,9,0),0)</f>
        <v>0</v>
      </c>
    </row>
    <row r="1988" spans="1:18" x14ac:dyDescent="0.2">
      <c r="A1988" s="947" t="s">
        <v>206</v>
      </c>
      <c r="B1988" s="947">
        <v>514174</v>
      </c>
      <c r="C1988" s="947" t="s">
        <v>2189</v>
      </c>
      <c r="D1988" s="947" t="s">
        <v>2637</v>
      </c>
      <c r="E1988" s="951">
        <v>120</v>
      </c>
      <c r="F1988" s="951">
        <v>44</v>
      </c>
      <c r="G1988" s="947" t="s">
        <v>3252</v>
      </c>
      <c r="H1988" s="951">
        <v>91</v>
      </c>
      <c r="I1988" s="951">
        <v>16</v>
      </c>
      <c r="J1988" s="947" t="s">
        <v>206</v>
      </c>
      <c r="K1988" s="947">
        <v>514174</v>
      </c>
      <c r="M1988" s="631"/>
      <c r="P1988" s="950" t="str">
        <f>VLOOKUP(J1988,'רשימת רשויות'!A:A,1,0)</f>
        <v>בת ים</v>
      </c>
      <c r="Q1988" s="956">
        <f>IFERROR(VLOOKUP(B1988,[2]מעובד!$D:$K,8,0),0)</f>
        <v>84</v>
      </c>
      <c r="R1988" s="956">
        <f>IFERROR(VLOOKUP(B1988,[2]מעובד!$D:$L,9,0),0)</f>
        <v>58</v>
      </c>
    </row>
    <row r="1989" spans="1:18" x14ac:dyDescent="0.2">
      <c r="A1989" s="947" t="s">
        <v>206</v>
      </c>
      <c r="B1989" s="947">
        <v>514224</v>
      </c>
      <c r="C1989" s="947" t="s">
        <v>2189</v>
      </c>
      <c r="D1989" s="947" t="s">
        <v>2052</v>
      </c>
      <c r="E1989" s="951">
        <v>95</v>
      </c>
      <c r="F1989" s="951">
        <v>56</v>
      </c>
      <c r="G1989" s="947" t="s">
        <v>3252</v>
      </c>
      <c r="H1989" s="951">
        <v>0</v>
      </c>
      <c r="I1989" s="951">
        <v>0</v>
      </c>
      <c r="J1989" s="947" t="s">
        <v>206</v>
      </c>
      <c r="K1989" s="957" t="s">
        <v>3346</v>
      </c>
      <c r="M1989" s="631"/>
      <c r="P1989" s="950" t="str">
        <f>VLOOKUP(J1989,'רשימת רשויות'!A:A,1,0)</f>
        <v>בת ים</v>
      </c>
      <c r="Q1989" s="956">
        <f>IFERROR(VLOOKUP(B1989,[2]מעובד!$D:$K,8,0),0)</f>
        <v>0</v>
      </c>
      <c r="R1989" s="956">
        <f>IFERROR(VLOOKUP(B1989,[2]מעובד!$D:$L,9,0),0)</f>
        <v>0</v>
      </c>
    </row>
    <row r="1990" spans="1:18" x14ac:dyDescent="0.2">
      <c r="A1990" s="947" t="s">
        <v>288</v>
      </c>
      <c r="B1990" s="947">
        <v>514232</v>
      </c>
      <c r="C1990" s="947" t="s">
        <v>2189</v>
      </c>
      <c r="D1990" s="947" t="s">
        <v>2668</v>
      </c>
      <c r="E1990" s="951">
        <v>170</v>
      </c>
      <c r="F1990" s="951">
        <v>113</v>
      </c>
      <c r="G1990" s="947" t="s">
        <v>159</v>
      </c>
      <c r="H1990" s="951">
        <v>0</v>
      </c>
      <c r="I1990" s="951">
        <v>0</v>
      </c>
      <c r="J1990" s="947" t="s">
        <v>288</v>
      </c>
      <c r="K1990" s="947">
        <v>514232</v>
      </c>
      <c r="M1990" s="631"/>
      <c r="P1990" s="950" t="str">
        <f>VLOOKUP(J1990,'רשימת רשויות'!A:A,1,0)</f>
        <v>כפר שמריהו</v>
      </c>
      <c r="Q1990" s="956">
        <f>IFERROR(VLOOKUP(B1990,[2]מעובד!$D:$K,8,0),0)</f>
        <v>0</v>
      </c>
      <c r="R1990" s="956">
        <f>IFERROR(VLOOKUP(B1990,[2]מעובד!$D:$L,9,0),0)</f>
        <v>0</v>
      </c>
    </row>
    <row r="1991" spans="1:18" x14ac:dyDescent="0.2">
      <c r="A1991" s="947" t="s">
        <v>408</v>
      </c>
      <c r="B1991" s="947">
        <v>514240</v>
      </c>
      <c r="C1991" s="947" t="s">
        <v>2189</v>
      </c>
      <c r="D1991" s="947" t="s">
        <v>1318</v>
      </c>
      <c r="E1991" s="951">
        <v>145</v>
      </c>
      <c r="F1991" s="951">
        <v>144</v>
      </c>
      <c r="G1991" s="947" t="s">
        <v>159</v>
      </c>
      <c r="H1991" s="951">
        <v>0</v>
      </c>
      <c r="I1991" s="951">
        <v>0</v>
      </c>
      <c r="J1991" s="947" t="s">
        <v>408</v>
      </c>
      <c r="K1991" s="947">
        <v>514240</v>
      </c>
      <c r="M1991" s="631"/>
      <c r="P1991" s="950" t="str">
        <f>VLOOKUP(J1991,'רשימת רשויות'!A:A,1,0)</f>
        <v>תל אביב-יפו</v>
      </c>
      <c r="Q1991" s="956">
        <f>IFERROR(VLOOKUP(B1991,[2]מעובד!$D:$K,8,0),0)</f>
        <v>0</v>
      </c>
      <c r="R1991" s="956">
        <f>IFERROR(VLOOKUP(B1991,[2]מעובד!$D:$L,9,0),0)</f>
        <v>0</v>
      </c>
    </row>
    <row r="1992" spans="1:18" x14ac:dyDescent="0.2">
      <c r="A1992" s="947" t="s">
        <v>391</v>
      </c>
      <c r="B1992" s="947">
        <v>514273</v>
      </c>
      <c r="C1992" s="947" t="s">
        <v>2189</v>
      </c>
      <c r="D1992" s="947" t="s">
        <v>2674</v>
      </c>
      <c r="E1992" s="951">
        <v>283</v>
      </c>
      <c r="F1992" s="951">
        <v>254</v>
      </c>
      <c r="G1992" s="947" t="s">
        <v>159</v>
      </c>
      <c r="H1992" s="951">
        <v>283</v>
      </c>
      <c r="I1992" s="951">
        <v>27</v>
      </c>
      <c r="J1992" s="947" t="s">
        <v>391</v>
      </c>
      <c r="K1992" s="947">
        <v>514273</v>
      </c>
      <c r="M1992" s="631"/>
      <c r="P1992" s="950" t="str">
        <f>VLOOKUP(J1992,'רשימת רשויות'!A:A,1,0)</f>
        <v>רמת גן</v>
      </c>
      <c r="Q1992" s="956">
        <f>IFERROR(VLOOKUP(B1992,[2]מעובד!$D:$K,8,0),0)</f>
        <v>102</v>
      </c>
      <c r="R1992" s="956">
        <f>IFERROR(VLOOKUP(B1992,[2]מעובד!$D:$L,9,0),0)</f>
        <v>47</v>
      </c>
    </row>
    <row r="1993" spans="1:18" x14ac:dyDescent="0.2">
      <c r="A1993" s="947" t="s">
        <v>198</v>
      </c>
      <c r="B1993" s="947">
        <v>514281</v>
      </c>
      <c r="C1993" s="947" t="s">
        <v>2189</v>
      </c>
      <c r="D1993" s="947" t="s">
        <v>2234</v>
      </c>
      <c r="E1993" s="951">
        <v>135</v>
      </c>
      <c r="F1993" s="951">
        <v>134</v>
      </c>
      <c r="G1993" s="947" t="s">
        <v>3252</v>
      </c>
      <c r="H1993" s="951">
        <v>0</v>
      </c>
      <c r="I1993" s="951">
        <v>0</v>
      </c>
      <c r="J1993" s="947" t="s">
        <v>198</v>
      </c>
      <c r="K1993" s="947">
        <v>514281</v>
      </c>
      <c r="M1993" s="631"/>
      <c r="P1993" s="950" t="str">
        <f>VLOOKUP(J1993,'רשימת רשויות'!A:A,1,0)</f>
        <v>בני ברק</v>
      </c>
      <c r="Q1993" s="956">
        <f>IFERROR(VLOOKUP(B1993,[2]מעובד!$D:$K,8,0),0)</f>
        <v>0</v>
      </c>
      <c r="R1993" s="956">
        <f>IFERROR(VLOOKUP(B1993,[2]מעובד!$D:$L,9,0),0)</f>
        <v>0</v>
      </c>
    </row>
    <row r="1994" spans="1:18" x14ac:dyDescent="0.2">
      <c r="A1994" s="947" t="s">
        <v>198</v>
      </c>
      <c r="B1994" s="947">
        <v>514331</v>
      </c>
      <c r="C1994" s="947" t="s">
        <v>2189</v>
      </c>
      <c r="D1994" s="947" t="s">
        <v>2071</v>
      </c>
      <c r="E1994" s="951">
        <v>497</v>
      </c>
      <c r="F1994" s="951">
        <v>497</v>
      </c>
      <c r="G1994" s="947" t="s">
        <v>3252</v>
      </c>
      <c r="H1994" s="951">
        <v>0</v>
      </c>
      <c r="I1994" s="951">
        <v>0</v>
      </c>
      <c r="J1994" s="947" t="s">
        <v>198</v>
      </c>
      <c r="K1994" s="947">
        <v>514331</v>
      </c>
      <c r="M1994" s="631"/>
      <c r="P1994" s="950" t="str">
        <f>VLOOKUP(J1994,'רשימת רשויות'!A:A,1,0)</f>
        <v>בני ברק</v>
      </c>
      <c r="Q1994" s="956">
        <f>IFERROR(VLOOKUP(B1994,[2]מעובד!$D:$K,8,0),0)</f>
        <v>0</v>
      </c>
      <c r="R1994" s="956">
        <f>IFERROR(VLOOKUP(B1994,[2]מעובד!$D:$L,9,0),0)</f>
        <v>0</v>
      </c>
    </row>
    <row r="1995" spans="1:18" x14ac:dyDescent="0.2">
      <c r="A1995" s="947" t="s">
        <v>198</v>
      </c>
      <c r="B1995" s="947">
        <v>514349</v>
      </c>
      <c r="C1995" s="947" t="s">
        <v>2189</v>
      </c>
      <c r="D1995" s="947" t="s">
        <v>2072</v>
      </c>
      <c r="E1995" s="951">
        <v>41</v>
      </c>
      <c r="F1995" s="951">
        <v>41</v>
      </c>
      <c r="G1995" s="947" t="s">
        <v>3252</v>
      </c>
      <c r="H1995" s="951">
        <v>0</v>
      </c>
      <c r="I1995" s="951">
        <v>0</v>
      </c>
      <c r="J1995" s="947" t="s">
        <v>198</v>
      </c>
      <c r="K1995" s="947">
        <v>514349</v>
      </c>
      <c r="M1995" s="631"/>
      <c r="P1995" s="950" t="str">
        <f>VLOOKUP(J1995,'רשימת רשויות'!A:A,1,0)</f>
        <v>בני ברק</v>
      </c>
      <c r="Q1995" s="956">
        <f>IFERROR(VLOOKUP(B1995,[2]מעובד!$D:$K,8,0),0)</f>
        <v>0</v>
      </c>
      <c r="R1995" s="956">
        <f>IFERROR(VLOOKUP(B1995,[2]מעובד!$D:$L,9,0),0)</f>
        <v>0</v>
      </c>
    </row>
    <row r="1996" spans="1:18" x14ac:dyDescent="0.2">
      <c r="A1996" s="947" t="s">
        <v>391</v>
      </c>
      <c r="B1996" s="947">
        <v>514372</v>
      </c>
      <c r="C1996" s="947" t="s">
        <v>2189</v>
      </c>
      <c r="D1996" s="947" t="s">
        <v>3089</v>
      </c>
      <c r="E1996" s="951">
        <v>62</v>
      </c>
      <c r="F1996" s="951">
        <v>59</v>
      </c>
      <c r="G1996" s="947" t="s">
        <v>3252</v>
      </c>
      <c r="H1996" s="951">
        <v>0</v>
      </c>
      <c r="I1996" s="951">
        <v>0</v>
      </c>
      <c r="J1996" s="947" t="s">
        <v>391</v>
      </c>
      <c r="K1996" s="947">
        <v>514372</v>
      </c>
      <c r="M1996" s="631"/>
      <c r="P1996" s="950" t="str">
        <f>VLOOKUP(J1996,'רשימת רשויות'!A:A,1,0)</f>
        <v>רמת גן</v>
      </c>
      <c r="Q1996" s="956">
        <f>IFERROR(VLOOKUP(B1996,[2]מעובד!$D:$K,8,0),0)</f>
        <v>39</v>
      </c>
      <c r="R1996" s="956">
        <f>IFERROR(VLOOKUP(B1996,[2]מעובד!$D:$L,9,0),0)</f>
        <v>31</v>
      </c>
    </row>
    <row r="1997" spans="1:18" x14ac:dyDescent="0.2">
      <c r="A1997" s="947" t="s">
        <v>391</v>
      </c>
      <c r="B1997" s="947">
        <v>514398</v>
      </c>
      <c r="C1997" s="947" t="s">
        <v>2189</v>
      </c>
      <c r="D1997" s="947" t="s">
        <v>745</v>
      </c>
      <c r="E1997" s="951">
        <v>161</v>
      </c>
      <c r="F1997" s="951">
        <v>143</v>
      </c>
      <c r="G1997" s="947" t="s">
        <v>159</v>
      </c>
      <c r="H1997" s="951">
        <v>0</v>
      </c>
      <c r="I1997" s="951">
        <v>0</v>
      </c>
      <c r="J1997" s="947" t="s">
        <v>391</v>
      </c>
      <c r="K1997" s="957" t="s">
        <v>3347</v>
      </c>
      <c r="M1997" s="631"/>
      <c r="P1997" s="950" t="str">
        <f>VLOOKUP(J1997,'רשימת רשויות'!A:A,1,0)</f>
        <v>רמת גן</v>
      </c>
      <c r="Q1997" s="956">
        <f>IFERROR(VLOOKUP(B1997,[2]מעובד!$D:$K,8,0),0)</f>
        <v>0</v>
      </c>
      <c r="R1997" s="956">
        <f>IFERROR(VLOOKUP(B1997,[2]מעובד!$D:$L,9,0),0)</f>
        <v>0</v>
      </c>
    </row>
    <row r="1998" spans="1:18" x14ac:dyDescent="0.2">
      <c r="A1998" s="947" t="s">
        <v>245</v>
      </c>
      <c r="B1998" s="947">
        <v>514422</v>
      </c>
      <c r="C1998" s="947" t="s">
        <v>2189</v>
      </c>
      <c r="D1998" s="947" t="s">
        <v>1625</v>
      </c>
      <c r="E1998" s="951">
        <v>75</v>
      </c>
      <c r="F1998" s="951">
        <v>26</v>
      </c>
      <c r="G1998" s="947" t="s">
        <v>3252</v>
      </c>
      <c r="H1998" s="951">
        <v>56</v>
      </c>
      <c r="I1998" s="951">
        <v>12</v>
      </c>
      <c r="J1998" s="947" t="s">
        <v>245</v>
      </c>
      <c r="K1998" s="947">
        <v>514422</v>
      </c>
      <c r="M1998" s="631"/>
      <c r="P1998" s="950" t="str">
        <f>VLOOKUP(J1998,'רשימת רשויות'!A:A,1,0)</f>
        <v>חולון</v>
      </c>
      <c r="Q1998" s="956">
        <f>IFERROR(VLOOKUP(B1998,[2]מעובד!$D:$K,8,0),0)</f>
        <v>48</v>
      </c>
      <c r="R1998" s="956">
        <f>IFERROR(VLOOKUP(B1998,[2]מעובד!$D:$L,9,0),0)</f>
        <v>48</v>
      </c>
    </row>
    <row r="1999" spans="1:18" x14ac:dyDescent="0.2">
      <c r="A1999" s="947" t="s">
        <v>165</v>
      </c>
      <c r="B1999" s="947">
        <v>514463</v>
      </c>
      <c r="C1999" s="947" t="s">
        <v>2189</v>
      </c>
      <c r="D1999" s="947" t="s">
        <v>746</v>
      </c>
      <c r="E1999" s="951">
        <v>190</v>
      </c>
      <c r="F1999" s="951">
        <v>130</v>
      </c>
      <c r="G1999" s="947" t="s">
        <v>159</v>
      </c>
      <c r="H1999" s="951">
        <v>190</v>
      </c>
      <c r="I1999" s="951">
        <v>0</v>
      </c>
      <c r="J1999" s="947" t="s">
        <v>165</v>
      </c>
      <c r="K1999" s="947">
        <v>514463</v>
      </c>
      <c r="M1999" s="631"/>
      <c r="P1999" s="950" t="str">
        <f>VLOOKUP(J1999,'רשימת רשויות'!A:A,1,0)</f>
        <v>אור יהודה</v>
      </c>
      <c r="Q1999" s="956">
        <f>IFERROR(VLOOKUP(B1999,[2]מעובד!$D:$K,8,0),0)</f>
        <v>219</v>
      </c>
      <c r="R1999" s="956">
        <f>IFERROR(VLOOKUP(B1999,[2]מעובד!$D:$L,9,0),0)</f>
        <v>121</v>
      </c>
    </row>
    <row r="2000" spans="1:18" x14ac:dyDescent="0.2">
      <c r="A2000" s="947" t="s">
        <v>198</v>
      </c>
      <c r="B2000" s="947">
        <v>514471</v>
      </c>
      <c r="C2000" s="947" t="s">
        <v>2189</v>
      </c>
      <c r="D2000" s="947" t="s">
        <v>2093</v>
      </c>
      <c r="E2000" s="951">
        <v>91</v>
      </c>
      <c r="F2000" s="951">
        <v>89</v>
      </c>
      <c r="G2000" s="947" t="s">
        <v>3252</v>
      </c>
      <c r="H2000" s="951">
        <v>0</v>
      </c>
      <c r="I2000" s="951">
        <v>0</v>
      </c>
      <c r="J2000" s="947" t="s">
        <v>198</v>
      </c>
      <c r="K2000" s="947">
        <v>514471</v>
      </c>
      <c r="M2000" s="631"/>
      <c r="P2000" s="950" t="str">
        <f>VLOOKUP(J2000,'רשימת רשויות'!A:A,1,0)</f>
        <v>בני ברק</v>
      </c>
      <c r="Q2000" s="956">
        <f>IFERROR(VLOOKUP(B2000,[2]מעובד!$D:$K,8,0),0)</f>
        <v>0</v>
      </c>
      <c r="R2000" s="956">
        <f>IFERROR(VLOOKUP(B2000,[2]מעובד!$D:$L,9,0),0)</f>
        <v>0</v>
      </c>
    </row>
    <row r="2001" spans="1:18" x14ac:dyDescent="0.2">
      <c r="A2001" s="947" t="s">
        <v>198</v>
      </c>
      <c r="B2001" s="947">
        <v>514489</v>
      </c>
      <c r="C2001" s="947" t="s">
        <v>2189</v>
      </c>
      <c r="D2001" s="947" t="s">
        <v>2094</v>
      </c>
      <c r="E2001" s="951">
        <v>35</v>
      </c>
      <c r="F2001" s="951">
        <v>35</v>
      </c>
      <c r="G2001" s="947" t="s">
        <v>3252</v>
      </c>
      <c r="H2001" s="951">
        <v>0</v>
      </c>
      <c r="I2001" s="951">
        <v>0</v>
      </c>
      <c r="J2001" s="947" t="s">
        <v>198</v>
      </c>
      <c r="K2001" s="947">
        <v>514489</v>
      </c>
      <c r="M2001" s="631"/>
      <c r="P2001" s="950" t="str">
        <f>VLOOKUP(J2001,'רשימת רשויות'!A:A,1,0)</f>
        <v>בני ברק</v>
      </c>
      <c r="Q2001" s="956">
        <f>IFERROR(VLOOKUP(B2001,[2]מעובד!$D:$K,8,0),0)</f>
        <v>0</v>
      </c>
      <c r="R2001" s="956">
        <f>IFERROR(VLOOKUP(B2001,[2]מעובד!$D:$L,9,0),0)</f>
        <v>0</v>
      </c>
    </row>
    <row r="2002" spans="1:18" x14ac:dyDescent="0.2">
      <c r="A2002" s="947" t="s">
        <v>206</v>
      </c>
      <c r="B2002" s="947">
        <v>514505</v>
      </c>
      <c r="C2002" s="947" t="s">
        <v>2189</v>
      </c>
      <c r="D2002" s="947" t="s">
        <v>2096</v>
      </c>
      <c r="E2002" s="951">
        <v>57</v>
      </c>
      <c r="F2002" s="951">
        <v>24</v>
      </c>
      <c r="G2002" s="947" t="s">
        <v>3252</v>
      </c>
      <c r="H2002" s="951">
        <v>22</v>
      </c>
      <c r="I2002" s="951">
        <v>9</v>
      </c>
      <c r="J2002" s="947" t="s">
        <v>206</v>
      </c>
      <c r="K2002" s="947">
        <v>514505</v>
      </c>
      <c r="M2002" s="631"/>
      <c r="P2002" s="950" t="str">
        <f>VLOOKUP(J2002,'רשימת רשויות'!A:A,1,0)</f>
        <v>בת ים</v>
      </c>
      <c r="Q2002" s="956">
        <f>IFERROR(VLOOKUP(B2002,[2]מעובד!$D:$K,8,0),0)</f>
        <v>0</v>
      </c>
      <c r="R2002" s="956">
        <f>IFERROR(VLOOKUP(B2002,[2]מעובד!$D:$L,9,0),0)</f>
        <v>0</v>
      </c>
    </row>
    <row r="2003" spans="1:18" x14ac:dyDescent="0.2">
      <c r="A2003" s="947" t="s">
        <v>408</v>
      </c>
      <c r="B2003" s="947">
        <v>514513</v>
      </c>
      <c r="C2003" s="947" t="s">
        <v>2189</v>
      </c>
      <c r="D2003" s="947" t="s">
        <v>756</v>
      </c>
      <c r="E2003" s="951">
        <v>204</v>
      </c>
      <c r="F2003" s="951">
        <v>204</v>
      </c>
      <c r="G2003" s="947" t="s">
        <v>159</v>
      </c>
      <c r="H2003" s="951">
        <v>0</v>
      </c>
      <c r="I2003" s="951">
        <v>0</v>
      </c>
      <c r="J2003" s="947" t="s">
        <v>408</v>
      </c>
      <c r="K2003" s="947">
        <v>514513</v>
      </c>
      <c r="M2003" s="631"/>
      <c r="P2003" s="950" t="str">
        <f>VLOOKUP(J2003,'רשימת רשויות'!A:A,1,0)</f>
        <v>תל אביב-יפו</v>
      </c>
      <c r="Q2003" s="956">
        <f>IFERROR(VLOOKUP(B2003,[2]מעובד!$D:$K,8,0),0)</f>
        <v>212</v>
      </c>
      <c r="R2003" s="956">
        <f>IFERROR(VLOOKUP(B2003,[2]מעובד!$D:$L,9,0),0)</f>
        <v>106</v>
      </c>
    </row>
    <row r="2004" spans="1:18" x14ac:dyDescent="0.2">
      <c r="A2004" s="947" t="s">
        <v>408</v>
      </c>
      <c r="B2004" s="947">
        <v>514521</v>
      </c>
      <c r="C2004" s="947" t="s">
        <v>2189</v>
      </c>
      <c r="D2004" s="947" t="s">
        <v>757</v>
      </c>
      <c r="E2004" s="951">
        <v>202</v>
      </c>
      <c r="F2004" s="951">
        <v>194</v>
      </c>
      <c r="G2004" s="947" t="s">
        <v>159</v>
      </c>
      <c r="H2004" s="951">
        <v>78</v>
      </c>
      <c r="I2004" s="951">
        <v>6</v>
      </c>
      <c r="J2004" s="947" t="s">
        <v>408</v>
      </c>
      <c r="K2004" s="947">
        <v>514521</v>
      </c>
      <c r="M2004" s="631"/>
      <c r="P2004" s="950" t="str">
        <f>VLOOKUP(J2004,'רשימת רשויות'!A:A,1,0)</f>
        <v>תל אביב-יפו</v>
      </c>
      <c r="Q2004" s="956">
        <f>IFERROR(VLOOKUP(B2004,[2]מעובד!$D:$K,8,0),0)</f>
        <v>215</v>
      </c>
      <c r="R2004" s="956">
        <f>IFERROR(VLOOKUP(B2004,[2]מעובד!$D:$L,9,0),0)</f>
        <v>78</v>
      </c>
    </row>
    <row r="2005" spans="1:18" x14ac:dyDescent="0.2">
      <c r="A2005" s="947" t="s">
        <v>369</v>
      </c>
      <c r="B2005" s="947">
        <v>514539</v>
      </c>
      <c r="C2005" s="947" t="s">
        <v>2189</v>
      </c>
      <c r="D2005" s="947" t="s">
        <v>624</v>
      </c>
      <c r="E2005" s="951">
        <v>156</v>
      </c>
      <c r="F2005" s="951">
        <v>141</v>
      </c>
      <c r="G2005" s="947" t="s">
        <v>159</v>
      </c>
      <c r="H2005" s="951">
        <v>0</v>
      </c>
      <c r="I2005" s="951">
        <v>0</v>
      </c>
      <c r="J2005" s="947" t="s">
        <v>369</v>
      </c>
      <c r="K2005" s="947">
        <v>514539</v>
      </c>
      <c r="M2005" s="631"/>
      <c r="P2005" s="950" t="str">
        <f>VLOOKUP(J2005,'רשימת רשויות'!A:A,1,0)</f>
        <v>קרית אונו</v>
      </c>
      <c r="Q2005" s="956">
        <f>IFERROR(VLOOKUP(B2005,[2]מעובד!$D:$K,8,0),0)</f>
        <v>84</v>
      </c>
      <c r="R2005" s="956">
        <f>IFERROR(VLOOKUP(B2005,[2]מעובד!$D:$L,9,0),0)</f>
        <v>44</v>
      </c>
    </row>
    <row r="2006" spans="1:18" x14ac:dyDescent="0.2">
      <c r="A2006" s="947" t="s">
        <v>408</v>
      </c>
      <c r="B2006" s="947">
        <v>514547</v>
      </c>
      <c r="C2006" s="947" t="s">
        <v>2189</v>
      </c>
      <c r="D2006" s="947" t="s">
        <v>3090</v>
      </c>
      <c r="E2006" s="951">
        <v>63</v>
      </c>
      <c r="F2006" s="951">
        <v>0</v>
      </c>
      <c r="G2006" s="947" t="s">
        <v>3252</v>
      </c>
      <c r="H2006" s="951">
        <v>0</v>
      </c>
      <c r="I2006" s="951">
        <v>0</v>
      </c>
      <c r="J2006" s="947" t="s">
        <v>408</v>
      </c>
      <c r="K2006" s="947">
        <v>514547</v>
      </c>
      <c r="M2006" s="631"/>
      <c r="P2006" s="950" t="str">
        <f>VLOOKUP(J2006,'רשימת רשויות'!A:A,1,0)</f>
        <v>תל אביב-יפו</v>
      </c>
      <c r="Q2006" s="956">
        <f>IFERROR(VLOOKUP(B2006,[2]מעובד!$D:$K,8,0),0)</f>
        <v>0</v>
      </c>
      <c r="R2006" s="956">
        <f>IFERROR(VLOOKUP(B2006,[2]מעובד!$D:$L,9,0),0)</f>
        <v>0</v>
      </c>
    </row>
    <row r="2007" spans="1:18" x14ac:dyDescent="0.2">
      <c r="A2007" s="947" t="s">
        <v>198</v>
      </c>
      <c r="B2007" s="947">
        <v>514562</v>
      </c>
      <c r="C2007" s="947" t="s">
        <v>2189</v>
      </c>
      <c r="D2007" s="947" t="s">
        <v>2097</v>
      </c>
      <c r="E2007" s="951">
        <v>149</v>
      </c>
      <c r="F2007" s="951">
        <v>148</v>
      </c>
      <c r="G2007" s="947" t="s">
        <v>3252</v>
      </c>
      <c r="H2007" s="951">
        <v>0</v>
      </c>
      <c r="I2007" s="951">
        <v>0</v>
      </c>
      <c r="J2007" s="947" t="s">
        <v>198</v>
      </c>
      <c r="K2007" s="947">
        <v>514562</v>
      </c>
      <c r="M2007" s="631"/>
      <c r="P2007" s="950" t="str">
        <f>VLOOKUP(J2007,'רשימת רשויות'!A:A,1,0)</f>
        <v>בני ברק</v>
      </c>
      <c r="Q2007" s="956">
        <f>IFERROR(VLOOKUP(B2007,[2]מעובד!$D:$K,8,0),0)</f>
        <v>0</v>
      </c>
      <c r="R2007" s="956">
        <f>IFERROR(VLOOKUP(B2007,[2]מעובד!$D:$L,9,0),0)</f>
        <v>0</v>
      </c>
    </row>
    <row r="2008" spans="1:18" x14ac:dyDescent="0.2">
      <c r="A2008" s="947" t="s">
        <v>198</v>
      </c>
      <c r="B2008" s="947">
        <v>514570</v>
      </c>
      <c r="C2008" s="947" t="s">
        <v>2189</v>
      </c>
      <c r="D2008" s="947" t="s">
        <v>2454</v>
      </c>
      <c r="E2008" s="951">
        <v>115</v>
      </c>
      <c r="F2008" s="951">
        <v>114</v>
      </c>
      <c r="G2008" s="947" t="s">
        <v>3252</v>
      </c>
      <c r="H2008" s="951">
        <v>0</v>
      </c>
      <c r="I2008" s="951">
        <v>0</v>
      </c>
      <c r="J2008" s="947" t="s">
        <v>198</v>
      </c>
      <c r="K2008" s="947">
        <v>514570</v>
      </c>
      <c r="M2008" s="631"/>
      <c r="P2008" s="950" t="str">
        <f>VLOOKUP(J2008,'רשימת רשויות'!A:A,1,0)</f>
        <v>בני ברק</v>
      </c>
      <c r="Q2008" s="956">
        <f>IFERROR(VLOOKUP(B2008,[2]מעובד!$D:$K,8,0),0)</f>
        <v>0</v>
      </c>
      <c r="R2008" s="956">
        <f>IFERROR(VLOOKUP(B2008,[2]מעובד!$D:$L,9,0),0)</f>
        <v>0</v>
      </c>
    </row>
    <row r="2009" spans="1:18" x14ac:dyDescent="0.2">
      <c r="A2009" s="947" t="s">
        <v>392</v>
      </c>
      <c r="B2009" s="947">
        <v>514612</v>
      </c>
      <c r="C2009" s="947" t="s">
        <v>2189</v>
      </c>
      <c r="D2009" s="947" t="s">
        <v>2103</v>
      </c>
      <c r="E2009" s="951">
        <v>125</v>
      </c>
      <c r="F2009" s="951">
        <v>124</v>
      </c>
      <c r="G2009" s="947" t="s">
        <v>3252</v>
      </c>
      <c r="H2009" s="951">
        <v>0</v>
      </c>
      <c r="I2009" s="951">
        <v>0</v>
      </c>
      <c r="J2009" s="947" t="s">
        <v>392</v>
      </c>
      <c r="K2009" s="947">
        <v>514612</v>
      </c>
      <c r="M2009" s="631"/>
      <c r="P2009" s="950" t="str">
        <f>VLOOKUP(J2009,'רשימת רשויות'!A:A,1,0)</f>
        <v>רמת השרון</v>
      </c>
      <c r="Q2009" s="956">
        <f>IFERROR(VLOOKUP(B2009,[2]מעובד!$D:$K,8,0),0)</f>
        <v>101</v>
      </c>
      <c r="R2009" s="956">
        <f>IFERROR(VLOOKUP(B2009,[2]מעובד!$D:$L,9,0),0)</f>
        <v>92</v>
      </c>
    </row>
    <row r="2010" spans="1:18" x14ac:dyDescent="0.2">
      <c r="A2010" s="947" t="s">
        <v>198</v>
      </c>
      <c r="B2010" s="947">
        <v>514620</v>
      </c>
      <c r="C2010" s="947" t="s">
        <v>2189</v>
      </c>
      <c r="D2010" s="947" t="s">
        <v>2104</v>
      </c>
      <c r="E2010" s="951">
        <v>494</v>
      </c>
      <c r="F2010" s="951">
        <v>492</v>
      </c>
      <c r="G2010" s="947" t="s">
        <v>3252</v>
      </c>
      <c r="H2010" s="951">
        <v>0</v>
      </c>
      <c r="I2010" s="951">
        <v>0</v>
      </c>
      <c r="J2010" s="947" t="s">
        <v>198</v>
      </c>
      <c r="K2010" s="947">
        <v>514620</v>
      </c>
      <c r="M2010" s="631"/>
      <c r="P2010" s="950" t="str">
        <f>VLOOKUP(J2010,'רשימת רשויות'!A:A,1,0)</f>
        <v>בני ברק</v>
      </c>
      <c r="Q2010" s="956">
        <f>IFERROR(VLOOKUP(B2010,[2]מעובד!$D:$K,8,0),0)</f>
        <v>0</v>
      </c>
      <c r="R2010" s="956">
        <f>IFERROR(VLOOKUP(B2010,[2]מעובד!$D:$L,9,0),0)</f>
        <v>0</v>
      </c>
    </row>
    <row r="2011" spans="1:18" x14ac:dyDescent="0.2">
      <c r="A2011" s="947" t="s">
        <v>245</v>
      </c>
      <c r="B2011" s="947">
        <v>514653</v>
      </c>
      <c r="C2011" s="947" t="s">
        <v>2189</v>
      </c>
      <c r="D2011" s="947" t="s">
        <v>2014</v>
      </c>
      <c r="E2011" s="951">
        <v>58</v>
      </c>
      <c r="F2011" s="951">
        <v>0</v>
      </c>
      <c r="G2011" s="947" t="s">
        <v>3252</v>
      </c>
      <c r="H2011" s="951">
        <v>0</v>
      </c>
      <c r="I2011" s="951">
        <v>0</v>
      </c>
      <c r="J2011" s="947" t="s">
        <v>245</v>
      </c>
      <c r="K2011" s="947">
        <v>514653</v>
      </c>
      <c r="M2011" s="631"/>
      <c r="P2011" s="950" t="str">
        <f>VLOOKUP(J2011,'רשימת רשויות'!A:A,1,0)</f>
        <v>חולון</v>
      </c>
      <c r="Q2011" s="956">
        <f>IFERROR(VLOOKUP(B2011,[2]מעובד!$D:$K,8,0),0)</f>
        <v>0</v>
      </c>
      <c r="R2011" s="956">
        <f>IFERROR(VLOOKUP(B2011,[2]מעובד!$D:$L,9,0),0)</f>
        <v>0</v>
      </c>
    </row>
    <row r="2012" spans="1:18" x14ac:dyDescent="0.2">
      <c r="A2012" s="947" t="s">
        <v>392</v>
      </c>
      <c r="B2012" s="947">
        <v>514661</v>
      </c>
      <c r="C2012" s="947" t="s">
        <v>2189</v>
      </c>
      <c r="D2012" s="947" t="s">
        <v>512</v>
      </c>
      <c r="E2012" s="951">
        <v>175</v>
      </c>
      <c r="F2012" s="951">
        <v>0</v>
      </c>
      <c r="G2012" s="947" t="s">
        <v>3252</v>
      </c>
      <c r="H2012" s="951">
        <v>0</v>
      </c>
      <c r="I2012" s="951">
        <v>0</v>
      </c>
      <c r="J2012" s="947" t="s">
        <v>392</v>
      </c>
      <c r="K2012" s="947">
        <v>514661</v>
      </c>
      <c r="M2012" s="631"/>
      <c r="P2012" s="950" t="str">
        <f>VLOOKUP(J2012,'רשימת רשויות'!A:A,1,0)</f>
        <v>רמת השרון</v>
      </c>
      <c r="Q2012" s="956">
        <f>IFERROR(VLOOKUP(B2012,[2]מעובד!$D:$K,8,0),0)</f>
        <v>0</v>
      </c>
      <c r="R2012" s="956">
        <f>IFERROR(VLOOKUP(B2012,[2]מעובד!$D:$L,9,0),0)</f>
        <v>0</v>
      </c>
    </row>
    <row r="2013" spans="1:18" x14ac:dyDescent="0.2">
      <c r="A2013" s="947" t="s">
        <v>198</v>
      </c>
      <c r="B2013" s="947">
        <v>514703</v>
      </c>
      <c r="C2013" s="947" t="s">
        <v>2189</v>
      </c>
      <c r="D2013" s="947" t="s">
        <v>2016</v>
      </c>
      <c r="E2013" s="951">
        <v>317</v>
      </c>
      <c r="F2013" s="951">
        <v>304</v>
      </c>
      <c r="G2013" s="947" t="s">
        <v>3252</v>
      </c>
      <c r="H2013" s="951">
        <v>106</v>
      </c>
      <c r="I2013" s="951">
        <v>6</v>
      </c>
      <c r="J2013" s="947" t="s">
        <v>198</v>
      </c>
      <c r="K2013" s="947">
        <v>514703</v>
      </c>
      <c r="M2013" s="631"/>
      <c r="P2013" s="950" t="str">
        <f>VLOOKUP(J2013,'רשימת רשויות'!A:A,1,0)</f>
        <v>בני ברק</v>
      </c>
      <c r="Q2013" s="956">
        <f>IFERROR(VLOOKUP(B2013,[2]מעובד!$D:$K,8,0),0)</f>
        <v>0</v>
      </c>
      <c r="R2013" s="956">
        <f>IFERROR(VLOOKUP(B2013,[2]מעובד!$D:$L,9,0),0)</f>
        <v>0</v>
      </c>
    </row>
    <row r="2014" spans="1:18" x14ac:dyDescent="0.2">
      <c r="A2014" s="947" t="s">
        <v>408</v>
      </c>
      <c r="B2014" s="947">
        <v>514760</v>
      </c>
      <c r="C2014" s="947" t="s">
        <v>2189</v>
      </c>
      <c r="D2014" s="947" t="s">
        <v>3091</v>
      </c>
      <c r="E2014" s="951">
        <v>74</v>
      </c>
      <c r="F2014" s="951">
        <v>0</v>
      </c>
      <c r="G2014" s="947" t="s">
        <v>3252</v>
      </c>
      <c r="H2014" s="951">
        <v>0</v>
      </c>
      <c r="I2014" s="951">
        <v>0</v>
      </c>
      <c r="J2014" s="947" t="s">
        <v>408</v>
      </c>
      <c r="K2014" s="947">
        <v>514760</v>
      </c>
      <c r="M2014" s="631"/>
      <c r="P2014" s="950" t="str">
        <f>VLOOKUP(J2014,'רשימת רשויות'!A:A,1,0)</f>
        <v>תל אביב-יפו</v>
      </c>
      <c r="Q2014" s="956">
        <f>IFERROR(VLOOKUP(B2014,[2]מעובד!$D:$K,8,0),0)</f>
        <v>0</v>
      </c>
      <c r="R2014" s="956">
        <f>IFERROR(VLOOKUP(B2014,[2]מעובד!$D:$L,9,0),0)</f>
        <v>0</v>
      </c>
    </row>
    <row r="2015" spans="1:18" x14ac:dyDescent="0.2">
      <c r="A2015" s="947" t="s">
        <v>165</v>
      </c>
      <c r="B2015" s="947">
        <v>514828</v>
      </c>
      <c r="C2015" s="947" t="s">
        <v>2189</v>
      </c>
      <c r="D2015" s="947" t="s">
        <v>2129</v>
      </c>
      <c r="E2015" s="951">
        <v>72</v>
      </c>
      <c r="F2015" s="951">
        <v>71</v>
      </c>
      <c r="G2015" s="947" t="s">
        <v>3252</v>
      </c>
      <c r="H2015" s="951">
        <v>0</v>
      </c>
      <c r="I2015" s="951">
        <v>0</v>
      </c>
      <c r="J2015" s="947" t="s">
        <v>165</v>
      </c>
      <c r="K2015" s="947">
        <v>514828</v>
      </c>
      <c r="M2015" s="631"/>
      <c r="P2015" s="950" t="str">
        <f>VLOOKUP(J2015,'רשימת רשויות'!A:A,1,0)</f>
        <v>אור יהודה</v>
      </c>
      <c r="Q2015" s="956">
        <f>IFERROR(VLOOKUP(B2015,[2]מעובד!$D:$K,8,0),0)</f>
        <v>0</v>
      </c>
      <c r="R2015" s="956">
        <f>IFERROR(VLOOKUP(B2015,[2]מעובד!$D:$L,9,0),0)</f>
        <v>0</v>
      </c>
    </row>
    <row r="2016" spans="1:18" x14ac:dyDescent="0.2">
      <c r="A2016" s="947" t="s">
        <v>408</v>
      </c>
      <c r="B2016" s="947">
        <v>514851</v>
      </c>
      <c r="C2016" s="947" t="s">
        <v>2189</v>
      </c>
      <c r="D2016" s="947" t="s">
        <v>3092</v>
      </c>
      <c r="E2016" s="951">
        <v>59</v>
      </c>
      <c r="F2016" s="951">
        <v>0</v>
      </c>
      <c r="G2016" s="947" t="s">
        <v>3252</v>
      </c>
      <c r="H2016" s="951">
        <v>0</v>
      </c>
      <c r="I2016" s="951">
        <v>0</v>
      </c>
      <c r="J2016" s="947" t="s">
        <v>408</v>
      </c>
      <c r="K2016" s="947">
        <v>514851</v>
      </c>
      <c r="M2016" s="631"/>
      <c r="P2016" s="950" t="str">
        <f>VLOOKUP(J2016,'רשימת רשויות'!A:A,1,0)</f>
        <v>תל אביב-יפו</v>
      </c>
      <c r="Q2016" s="956">
        <f>IFERROR(VLOOKUP(B2016,[2]מעובד!$D:$K,8,0),0)</f>
        <v>0</v>
      </c>
      <c r="R2016" s="956">
        <f>IFERROR(VLOOKUP(B2016,[2]מעובד!$D:$L,9,0),0)</f>
        <v>0</v>
      </c>
    </row>
    <row r="2017" spans="1:18" x14ac:dyDescent="0.2">
      <c r="A2017" s="947" t="s">
        <v>408</v>
      </c>
      <c r="B2017" s="947">
        <v>514877</v>
      </c>
      <c r="C2017" s="947" t="s">
        <v>2189</v>
      </c>
      <c r="D2017" s="947" t="s">
        <v>3093</v>
      </c>
      <c r="E2017" s="951">
        <v>68</v>
      </c>
      <c r="F2017" s="951">
        <v>0</v>
      </c>
      <c r="G2017" s="947" t="s">
        <v>3252</v>
      </c>
      <c r="H2017" s="951">
        <v>0</v>
      </c>
      <c r="I2017" s="951">
        <v>0</v>
      </c>
      <c r="J2017" s="947" t="s">
        <v>408</v>
      </c>
      <c r="K2017" s="947">
        <v>514877</v>
      </c>
      <c r="M2017" s="631"/>
      <c r="P2017" s="950" t="str">
        <f>VLOOKUP(J2017,'רשימת רשויות'!A:A,1,0)</f>
        <v>תל אביב-יפו</v>
      </c>
      <c r="Q2017" s="956">
        <f>IFERROR(VLOOKUP(B2017,[2]מעובד!$D:$K,8,0),0)</f>
        <v>0</v>
      </c>
      <c r="R2017" s="956">
        <f>IFERROR(VLOOKUP(B2017,[2]מעובד!$D:$L,9,0),0)</f>
        <v>0</v>
      </c>
    </row>
    <row r="2018" spans="1:18" x14ac:dyDescent="0.2">
      <c r="A2018" s="947" t="s">
        <v>408</v>
      </c>
      <c r="B2018" s="947">
        <v>514885</v>
      </c>
      <c r="C2018" s="947" t="s">
        <v>2189</v>
      </c>
      <c r="D2018" s="947" t="s">
        <v>3094</v>
      </c>
      <c r="E2018" s="951">
        <v>48</v>
      </c>
      <c r="F2018" s="951">
        <v>0</v>
      </c>
      <c r="G2018" s="947" t="s">
        <v>3252</v>
      </c>
      <c r="H2018" s="951">
        <v>0</v>
      </c>
      <c r="I2018" s="951">
        <v>0</v>
      </c>
      <c r="J2018" s="947" t="s">
        <v>408</v>
      </c>
      <c r="K2018" s="947">
        <v>514885</v>
      </c>
      <c r="M2018" s="631"/>
      <c r="P2018" s="950" t="str">
        <f>VLOOKUP(J2018,'רשימת רשויות'!A:A,1,0)</f>
        <v>תל אביב-יפו</v>
      </c>
      <c r="Q2018" s="956">
        <f>IFERROR(VLOOKUP(B2018,[2]מעובד!$D:$K,8,0),0)</f>
        <v>0</v>
      </c>
      <c r="R2018" s="956">
        <f>IFERROR(VLOOKUP(B2018,[2]מעובד!$D:$L,9,0),0)</f>
        <v>0</v>
      </c>
    </row>
    <row r="2019" spans="1:18" x14ac:dyDescent="0.2">
      <c r="A2019" s="947" t="s">
        <v>206</v>
      </c>
      <c r="B2019" s="947">
        <v>514901</v>
      </c>
      <c r="C2019" s="947" t="s">
        <v>2189</v>
      </c>
      <c r="D2019" s="947" t="s">
        <v>2132</v>
      </c>
      <c r="E2019" s="951">
        <v>194</v>
      </c>
      <c r="F2019" s="951">
        <v>131</v>
      </c>
      <c r="G2019" s="947" t="s">
        <v>3252</v>
      </c>
      <c r="H2019" s="951">
        <v>0</v>
      </c>
      <c r="I2019" s="951">
        <v>0</v>
      </c>
      <c r="J2019" s="947" t="s">
        <v>206</v>
      </c>
      <c r="K2019" s="947">
        <v>514901</v>
      </c>
      <c r="M2019" s="631"/>
      <c r="P2019" s="950" t="str">
        <f>VLOOKUP(J2019,'רשימת רשויות'!A:A,1,0)</f>
        <v>בת ים</v>
      </c>
      <c r="Q2019" s="956">
        <f>IFERROR(VLOOKUP(B2019,[2]מעובד!$D:$K,8,0),0)</f>
        <v>0</v>
      </c>
      <c r="R2019" s="956">
        <f>IFERROR(VLOOKUP(B2019,[2]מעובד!$D:$L,9,0),0)</f>
        <v>0</v>
      </c>
    </row>
    <row r="2020" spans="1:18" x14ac:dyDescent="0.2">
      <c r="A2020" s="947" t="s">
        <v>245</v>
      </c>
      <c r="B2020" s="947">
        <v>514919</v>
      </c>
      <c r="C2020" s="947" t="s">
        <v>2189</v>
      </c>
      <c r="D2020" s="947" t="s">
        <v>789</v>
      </c>
      <c r="E2020" s="951">
        <v>323</v>
      </c>
      <c r="F2020" s="951">
        <v>218</v>
      </c>
      <c r="G2020" s="947" t="s">
        <v>159</v>
      </c>
      <c r="H2020" s="951">
        <v>0</v>
      </c>
      <c r="I2020" s="951">
        <v>0</v>
      </c>
      <c r="J2020" s="947" t="s">
        <v>245</v>
      </c>
      <c r="K2020" s="947">
        <v>514919</v>
      </c>
      <c r="M2020" s="631"/>
      <c r="P2020" s="950" t="str">
        <f>VLOOKUP(J2020,'רשימת רשויות'!A:A,1,0)</f>
        <v>חולון</v>
      </c>
      <c r="Q2020" s="956">
        <f>IFERROR(VLOOKUP(B2020,[2]מעובד!$D:$K,8,0),0)</f>
        <v>0</v>
      </c>
      <c r="R2020" s="956">
        <f>IFERROR(VLOOKUP(B2020,[2]מעובד!$D:$L,9,0),0)</f>
        <v>0</v>
      </c>
    </row>
    <row r="2021" spans="1:18" x14ac:dyDescent="0.2">
      <c r="A2021" s="947" t="s">
        <v>206</v>
      </c>
      <c r="B2021" s="947">
        <v>514927</v>
      </c>
      <c r="C2021" s="947" t="s">
        <v>2189</v>
      </c>
      <c r="D2021" s="947" t="s">
        <v>3095</v>
      </c>
      <c r="E2021" s="951">
        <v>134</v>
      </c>
      <c r="F2021" s="951">
        <v>0</v>
      </c>
      <c r="G2021" s="947" t="s">
        <v>3252</v>
      </c>
      <c r="H2021" s="951">
        <v>0</v>
      </c>
      <c r="I2021" s="951">
        <v>0</v>
      </c>
      <c r="J2021" s="947" t="s">
        <v>206</v>
      </c>
      <c r="K2021" s="947">
        <v>514927</v>
      </c>
      <c r="M2021" s="631"/>
      <c r="P2021" s="950" t="str">
        <f>VLOOKUP(J2021,'רשימת רשויות'!A:A,1,0)</f>
        <v>בת ים</v>
      </c>
      <c r="Q2021" s="956">
        <f>IFERROR(VLOOKUP(B2021,[2]מעובד!$D:$K,8,0),0)</f>
        <v>0</v>
      </c>
      <c r="R2021" s="956">
        <f>IFERROR(VLOOKUP(B2021,[2]מעובד!$D:$L,9,0),0)</f>
        <v>0</v>
      </c>
    </row>
    <row r="2022" spans="1:18" x14ac:dyDescent="0.2">
      <c r="A2022" s="947" t="s">
        <v>369</v>
      </c>
      <c r="B2022" s="947">
        <v>514935</v>
      </c>
      <c r="C2022" s="947" t="s">
        <v>2189</v>
      </c>
      <c r="D2022" s="947" t="s">
        <v>2455</v>
      </c>
      <c r="E2022" s="951">
        <v>323</v>
      </c>
      <c r="F2022" s="951">
        <v>249</v>
      </c>
      <c r="G2022" s="947" t="s">
        <v>159</v>
      </c>
      <c r="H2022" s="951">
        <v>0</v>
      </c>
      <c r="I2022" s="951">
        <v>0</v>
      </c>
      <c r="J2022" s="947" t="s">
        <v>369</v>
      </c>
      <c r="K2022" s="947">
        <v>514935</v>
      </c>
      <c r="M2022" s="631"/>
      <c r="P2022" s="950" t="str">
        <f>VLOOKUP(J2022,'רשימת רשויות'!A:A,1,0)</f>
        <v>קרית אונו</v>
      </c>
      <c r="Q2022" s="956">
        <f>IFERROR(VLOOKUP(B2022,[2]מעובד!$D:$K,8,0),0)</f>
        <v>477</v>
      </c>
      <c r="R2022" s="956">
        <f>IFERROR(VLOOKUP(B2022,[2]מעובד!$D:$L,9,0),0)</f>
        <v>81</v>
      </c>
    </row>
    <row r="2023" spans="1:18" x14ac:dyDescent="0.2">
      <c r="A2023" s="947" t="s">
        <v>408</v>
      </c>
      <c r="B2023" s="947">
        <v>514943</v>
      </c>
      <c r="C2023" s="947" t="s">
        <v>2189</v>
      </c>
      <c r="D2023" s="947" t="s">
        <v>1323</v>
      </c>
      <c r="E2023" s="951">
        <v>77</v>
      </c>
      <c r="F2023" s="951">
        <v>76</v>
      </c>
      <c r="G2023" s="947" t="s">
        <v>159</v>
      </c>
      <c r="H2023" s="951">
        <v>0</v>
      </c>
      <c r="I2023" s="951">
        <v>0</v>
      </c>
      <c r="J2023" s="947" t="s">
        <v>408</v>
      </c>
      <c r="K2023" s="947">
        <v>514943</v>
      </c>
      <c r="M2023" s="631"/>
      <c r="P2023" s="950" t="str">
        <f>VLOOKUP(J2023,'רשימת רשויות'!A:A,1,0)</f>
        <v>תל אביב-יפו</v>
      </c>
      <c r="Q2023" s="956">
        <f>IFERROR(VLOOKUP(B2023,[2]מעובד!$D:$K,8,0),0)</f>
        <v>0</v>
      </c>
      <c r="R2023" s="956">
        <f>IFERROR(VLOOKUP(B2023,[2]מעובד!$D:$L,9,0),0)</f>
        <v>0</v>
      </c>
    </row>
    <row r="2024" spans="1:18" x14ac:dyDescent="0.2">
      <c r="A2024" s="947" t="s">
        <v>408</v>
      </c>
      <c r="B2024" s="947">
        <v>514950</v>
      </c>
      <c r="C2024" s="947" t="s">
        <v>2189</v>
      </c>
      <c r="D2024" s="947" t="s">
        <v>790</v>
      </c>
      <c r="E2024" s="951">
        <v>245</v>
      </c>
      <c r="F2024" s="951">
        <v>245</v>
      </c>
      <c r="G2024" s="947" t="s">
        <v>159</v>
      </c>
      <c r="H2024" s="951">
        <v>0</v>
      </c>
      <c r="I2024" s="951">
        <v>0</v>
      </c>
      <c r="J2024" s="947" t="s">
        <v>408</v>
      </c>
      <c r="K2024" s="947">
        <v>514950</v>
      </c>
      <c r="M2024" s="631"/>
      <c r="P2024" s="950" t="str">
        <f>VLOOKUP(J2024,'רשימת רשויות'!A:A,1,0)</f>
        <v>תל אביב-יפו</v>
      </c>
      <c r="Q2024" s="956">
        <f>IFERROR(VLOOKUP(B2024,[2]מעובד!$D:$K,8,0),0)</f>
        <v>170</v>
      </c>
      <c r="R2024" s="956">
        <f>IFERROR(VLOOKUP(B2024,[2]מעובד!$D:$L,9,0),0)</f>
        <v>95</v>
      </c>
    </row>
    <row r="2025" spans="1:18" x14ac:dyDescent="0.2">
      <c r="A2025" s="947" t="s">
        <v>165</v>
      </c>
      <c r="B2025" s="947">
        <v>514968</v>
      </c>
      <c r="C2025" s="947" t="s">
        <v>2189</v>
      </c>
      <c r="D2025" s="947" t="s">
        <v>796</v>
      </c>
      <c r="E2025" s="951">
        <v>123</v>
      </c>
      <c r="F2025" s="951">
        <v>123</v>
      </c>
      <c r="G2025" s="947" t="s">
        <v>159</v>
      </c>
      <c r="H2025" s="951">
        <v>0</v>
      </c>
      <c r="I2025" s="951">
        <v>0</v>
      </c>
      <c r="J2025" s="947" t="s">
        <v>165</v>
      </c>
      <c r="K2025" s="947">
        <v>514968</v>
      </c>
      <c r="M2025" s="631"/>
      <c r="P2025" s="950" t="str">
        <f>VLOOKUP(J2025,'רשימת רשויות'!A:A,1,0)</f>
        <v>אור יהודה</v>
      </c>
      <c r="Q2025" s="956">
        <f>IFERROR(VLOOKUP(B2025,[2]מעובד!$D:$K,8,0),0)</f>
        <v>92</v>
      </c>
      <c r="R2025" s="956">
        <f>IFERROR(VLOOKUP(B2025,[2]מעובד!$D:$L,9,0),0)</f>
        <v>47</v>
      </c>
    </row>
    <row r="2026" spans="1:18" x14ac:dyDescent="0.2">
      <c r="A2026" s="947" t="s">
        <v>408</v>
      </c>
      <c r="B2026" s="947">
        <v>514976</v>
      </c>
      <c r="C2026" s="947" t="s">
        <v>2189</v>
      </c>
      <c r="D2026" s="947" t="s">
        <v>2182</v>
      </c>
      <c r="E2026" s="951">
        <v>77</v>
      </c>
      <c r="F2026" s="951">
        <v>77</v>
      </c>
      <c r="G2026" s="947" t="s">
        <v>3252</v>
      </c>
      <c r="H2026" s="951">
        <v>0</v>
      </c>
      <c r="I2026" s="951">
        <v>0</v>
      </c>
      <c r="J2026" s="947" t="s">
        <v>408</v>
      </c>
      <c r="K2026" s="947">
        <v>514976</v>
      </c>
      <c r="M2026" s="631"/>
      <c r="P2026" s="950" t="str">
        <f>VLOOKUP(J2026,'רשימת רשויות'!A:A,1,0)</f>
        <v>תל אביב-יפו</v>
      </c>
      <c r="Q2026" s="956">
        <f>IFERROR(VLOOKUP(B2026,[2]מעובד!$D:$K,8,0),0)</f>
        <v>83</v>
      </c>
      <c r="R2026" s="956">
        <f>IFERROR(VLOOKUP(B2026,[2]מעובד!$D:$L,9,0),0)</f>
        <v>82</v>
      </c>
    </row>
    <row r="2027" spans="1:18" x14ac:dyDescent="0.2">
      <c r="A2027" s="947" t="s">
        <v>198</v>
      </c>
      <c r="B2027" s="947">
        <v>514984</v>
      </c>
      <c r="C2027" s="947" t="s">
        <v>2189</v>
      </c>
      <c r="D2027" s="947" t="s">
        <v>2134</v>
      </c>
      <c r="E2027" s="951">
        <v>688</v>
      </c>
      <c r="F2027" s="951">
        <v>681</v>
      </c>
      <c r="G2027" s="947" t="s">
        <v>3252</v>
      </c>
      <c r="H2027" s="951">
        <v>0</v>
      </c>
      <c r="I2027" s="951">
        <v>0</v>
      </c>
      <c r="J2027" s="947" t="s">
        <v>198</v>
      </c>
      <c r="K2027" s="947">
        <v>514984</v>
      </c>
      <c r="M2027" s="631"/>
      <c r="P2027" s="950" t="str">
        <f>VLOOKUP(J2027,'רשימת רשויות'!A:A,1,0)</f>
        <v>בני ברק</v>
      </c>
      <c r="Q2027" s="956">
        <f>IFERROR(VLOOKUP(B2027,[2]מעובד!$D:$K,8,0),0)</f>
        <v>0</v>
      </c>
      <c r="R2027" s="956">
        <f>IFERROR(VLOOKUP(B2027,[2]מעובד!$D:$L,9,0),0)</f>
        <v>0</v>
      </c>
    </row>
    <row r="2028" spans="1:18" x14ac:dyDescent="0.2">
      <c r="A2028" s="947" t="s">
        <v>408</v>
      </c>
      <c r="B2028" s="947">
        <v>514992</v>
      </c>
      <c r="C2028" s="947" t="s">
        <v>2189</v>
      </c>
      <c r="D2028" s="947" t="s">
        <v>3096</v>
      </c>
      <c r="E2028" s="951">
        <v>103</v>
      </c>
      <c r="F2028" s="951">
        <v>103</v>
      </c>
      <c r="G2028" s="947" t="s">
        <v>3252</v>
      </c>
      <c r="H2028" s="951">
        <v>0</v>
      </c>
      <c r="I2028" s="951">
        <v>0</v>
      </c>
      <c r="J2028" s="947" t="s">
        <v>408</v>
      </c>
      <c r="K2028" s="947">
        <v>514992</v>
      </c>
      <c r="M2028" s="631"/>
      <c r="P2028" s="950" t="str">
        <f>VLOOKUP(J2028,'רשימת רשויות'!A:A,1,0)</f>
        <v>תל אביב-יפו</v>
      </c>
      <c r="Q2028" s="956">
        <f>IFERROR(VLOOKUP(B2028,[2]מעובד!$D:$K,8,0),0)</f>
        <v>86</v>
      </c>
      <c r="R2028" s="956">
        <f>IFERROR(VLOOKUP(B2028,[2]מעובד!$D:$L,9,0),0)</f>
        <v>0</v>
      </c>
    </row>
    <row r="2029" spans="1:18" x14ac:dyDescent="0.2">
      <c r="A2029" s="947" t="s">
        <v>369</v>
      </c>
      <c r="B2029" s="947">
        <v>515395</v>
      </c>
      <c r="C2029" s="947" t="s">
        <v>2189</v>
      </c>
      <c r="D2029" s="947" t="s">
        <v>2456</v>
      </c>
      <c r="E2029" s="951">
        <v>67</v>
      </c>
      <c r="F2029" s="951">
        <v>47</v>
      </c>
      <c r="G2029" s="947" t="s">
        <v>159</v>
      </c>
      <c r="H2029" s="951">
        <v>0</v>
      </c>
      <c r="I2029" s="951">
        <v>0</v>
      </c>
      <c r="J2029" s="947" t="s">
        <v>369</v>
      </c>
      <c r="K2029" s="947">
        <v>515395</v>
      </c>
      <c r="M2029" s="631"/>
      <c r="P2029" s="950" t="str">
        <f>VLOOKUP(J2029,'רשימת רשויות'!A:A,1,0)</f>
        <v>קרית אונו</v>
      </c>
      <c r="Q2029" s="956">
        <f>IFERROR(VLOOKUP(B2029,[2]מעובד!$D:$K,8,0),0)</f>
        <v>0</v>
      </c>
      <c r="R2029" s="956">
        <f>IFERROR(VLOOKUP(B2029,[2]מעובד!$D:$L,9,0),0)</f>
        <v>0</v>
      </c>
    </row>
    <row r="2030" spans="1:18" x14ac:dyDescent="0.2">
      <c r="A2030" s="947" t="s">
        <v>245</v>
      </c>
      <c r="B2030" s="947">
        <v>515445</v>
      </c>
      <c r="C2030" s="947" t="s">
        <v>2189</v>
      </c>
      <c r="D2030" s="947" t="s">
        <v>772</v>
      </c>
      <c r="E2030" s="951">
        <v>284</v>
      </c>
      <c r="F2030" s="951">
        <v>188</v>
      </c>
      <c r="G2030" s="947" t="s">
        <v>159</v>
      </c>
      <c r="H2030" s="951">
        <v>0</v>
      </c>
      <c r="I2030" s="951">
        <v>0</v>
      </c>
      <c r="J2030" s="947" t="s">
        <v>245</v>
      </c>
      <c r="K2030" s="947">
        <v>515445</v>
      </c>
      <c r="M2030" s="631"/>
      <c r="P2030" s="950" t="str">
        <f>VLOOKUP(J2030,'רשימת רשויות'!A:A,1,0)</f>
        <v>חולון</v>
      </c>
      <c r="Q2030" s="956">
        <f>IFERROR(VLOOKUP(B2030,[2]מעובד!$D:$K,8,0),0)</f>
        <v>262</v>
      </c>
      <c r="R2030" s="956">
        <f>IFERROR(VLOOKUP(B2030,[2]מעובד!$D:$L,9,0),0)</f>
        <v>160</v>
      </c>
    </row>
    <row r="2031" spans="1:18" x14ac:dyDescent="0.2">
      <c r="A2031" s="947" t="s">
        <v>408</v>
      </c>
      <c r="B2031" s="947">
        <v>515452</v>
      </c>
      <c r="C2031" s="947" t="s">
        <v>2189</v>
      </c>
      <c r="D2031" s="947" t="s">
        <v>2434</v>
      </c>
      <c r="E2031" s="951">
        <v>83</v>
      </c>
      <c r="F2031" s="951">
        <v>44</v>
      </c>
      <c r="G2031" s="947" t="s">
        <v>3252</v>
      </c>
      <c r="H2031" s="951">
        <v>83</v>
      </c>
      <c r="I2031" s="951">
        <v>26</v>
      </c>
      <c r="J2031" s="947" t="s">
        <v>408</v>
      </c>
      <c r="K2031" s="947">
        <v>515452</v>
      </c>
      <c r="M2031" s="631"/>
      <c r="P2031" s="950" t="str">
        <f>VLOOKUP(J2031,'רשימת רשויות'!A:A,1,0)</f>
        <v>תל אביב-יפו</v>
      </c>
      <c r="Q2031" s="956">
        <f>IFERROR(VLOOKUP(B2031,[2]מעובד!$D:$K,8,0),0)</f>
        <v>90</v>
      </c>
      <c r="R2031" s="956">
        <f>IFERROR(VLOOKUP(B2031,[2]מעובד!$D:$L,9,0),0)</f>
        <v>60</v>
      </c>
    </row>
    <row r="2032" spans="1:18" x14ac:dyDescent="0.2">
      <c r="A2032" s="947" t="s">
        <v>369</v>
      </c>
      <c r="B2032" s="947">
        <v>515494</v>
      </c>
      <c r="C2032" s="947" t="s">
        <v>2189</v>
      </c>
      <c r="D2032" s="947" t="s">
        <v>2457</v>
      </c>
      <c r="E2032" s="951">
        <v>157</v>
      </c>
      <c r="F2032" s="951">
        <v>145</v>
      </c>
      <c r="G2032" s="947" t="s">
        <v>159</v>
      </c>
      <c r="H2032" s="951">
        <v>71</v>
      </c>
      <c r="I2032" s="951">
        <v>0</v>
      </c>
      <c r="J2032" s="947" t="s">
        <v>369</v>
      </c>
      <c r="K2032" s="957" t="s">
        <v>3348</v>
      </c>
      <c r="M2032" s="631"/>
      <c r="P2032" s="950" t="str">
        <f>VLOOKUP(J2032,'רשימת רשויות'!A:A,1,0)</f>
        <v>קרית אונו</v>
      </c>
      <c r="Q2032" s="956">
        <f>IFERROR(VLOOKUP(B2032,[2]מעובד!$D:$K,8,0),0)</f>
        <v>254</v>
      </c>
      <c r="R2032" s="956">
        <f>IFERROR(VLOOKUP(B2032,[2]מעובד!$D:$L,9,0),0)</f>
        <v>91</v>
      </c>
    </row>
    <row r="2033" spans="1:18" x14ac:dyDescent="0.2">
      <c r="A2033" s="947" t="s">
        <v>408</v>
      </c>
      <c r="B2033" s="947">
        <v>518019</v>
      </c>
      <c r="C2033" s="947" t="s">
        <v>2189</v>
      </c>
      <c r="D2033" s="947" t="s">
        <v>701</v>
      </c>
      <c r="E2033" s="951">
        <v>204</v>
      </c>
      <c r="F2033" s="951">
        <v>151</v>
      </c>
      <c r="G2033" s="947" t="s">
        <v>159</v>
      </c>
      <c r="H2033" s="951">
        <v>204</v>
      </c>
      <c r="I2033" s="951">
        <v>48</v>
      </c>
      <c r="J2033" s="947" t="s">
        <v>408</v>
      </c>
      <c r="K2033" s="947">
        <v>518019</v>
      </c>
      <c r="M2033" s="631"/>
      <c r="P2033" s="950" t="str">
        <f>VLOOKUP(J2033,'רשימת רשויות'!A:A,1,0)</f>
        <v>תל אביב-יפו</v>
      </c>
      <c r="Q2033" s="956">
        <f>IFERROR(VLOOKUP(B2033,[2]מעובד!$D:$K,8,0),0)</f>
        <v>156</v>
      </c>
      <c r="R2033" s="956">
        <f>IFERROR(VLOOKUP(B2033,[2]מעובד!$D:$L,9,0),0)</f>
        <v>76</v>
      </c>
    </row>
    <row r="2034" spans="1:18" x14ac:dyDescent="0.2">
      <c r="A2034" s="947" t="s">
        <v>408</v>
      </c>
      <c r="B2034" s="947">
        <v>518035</v>
      </c>
      <c r="C2034" s="947" t="s">
        <v>2189</v>
      </c>
      <c r="D2034" s="947" t="s">
        <v>2458</v>
      </c>
      <c r="E2034" s="951">
        <v>185</v>
      </c>
      <c r="F2034" s="951">
        <v>175</v>
      </c>
      <c r="G2034" s="947" t="s">
        <v>159</v>
      </c>
      <c r="H2034" s="951">
        <v>62</v>
      </c>
      <c r="I2034" s="951">
        <v>9</v>
      </c>
      <c r="J2034" s="947" t="s">
        <v>408</v>
      </c>
      <c r="K2034" s="947">
        <v>518035</v>
      </c>
      <c r="M2034" s="631"/>
      <c r="P2034" s="950" t="str">
        <f>VLOOKUP(J2034,'רשימת רשויות'!A:A,1,0)</f>
        <v>תל אביב-יפו</v>
      </c>
      <c r="Q2034" s="956">
        <f>IFERROR(VLOOKUP(B2034,[2]מעובד!$D:$K,8,0),0)</f>
        <v>194</v>
      </c>
      <c r="R2034" s="956">
        <f>IFERROR(VLOOKUP(B2034,[2]מעובד!$D:$L,9,0),0)</f>
        <v>90</v>
      </c>
    </row>
    <row r="2035" spans="1:18" x14ac:dyDescent="0.2">
      <c r="A2035" s="947" t="s">
        <v>408</v>
      </c>
      <c r="B2035" s="947">
        <v>518043</v>
      </c>
      <c r="C2035" s="947" t="s">
        <v>2189</v>
      </c>
      <c r="D2035" s="947" t="s">
        <v>3097</v>
      </c>
      <c r="E2035" s="951">
        <v>73</v>
      </c>
      <c r="F2035" s="951">
        <v>0</v>
      </c>
      <c r="G2035" s="947" t="s">
        <v>3252</v>
      </c>
      <c r="H2035" s="951">
        <v>0</v>
      </c>
      <c r="I2035" s="951">
        <v>0</v>
      </c>
      <c r="J2035" s="947" t="s">
        <v>408</v>
      </c>
      <c r="K2035" s="947">
        <v>518043</v>
      </c>
      <c r="M2035" s="631"/>
      <c r="P2035" s="950" t="str">
        <f>VLOOKUP(J2035,'רשימת רשויות'!A:A,1,0)</f>
        <v>תל אביב-יפו</v>
      </c>
      <c r="Q2035" s="956">
        <f>IFERROR(VLOOKUP(B2035,[2]מעובד!$D:$K,8,0),0)</f>
        <v>0</v>
      </c>
      <c r="R2035" s="956">
        <f>IFERROR(VLOOKUP(B2035,[2]מעובד!$D:$L,9,0),0)</f>
        <v>0</v>
      </c>
    </row>
    <row r="2036" spans="1:18" x14ac:dyDescent="0.2">
      <c r="A2036" s="947" t="s">
        <v>408</v>
      </c>
      <c r="B2036" s="947">
        <v>518050</v>
      </c>
      <c r="C2036" s="947" t="s">
        <v>2189</v>
      </c>
      <c r="D2036" s="947" t="s">
        <v>655</v>
      </c>
      <c r="E2036" s="951">
        <v>230</v>
      </c>
      <c r="F2036" s="951">
        <v>230</v>
      </c>
      <c r="G2036" s="947" t="s">
        <v>159</v>
      </c>
      <c r="H2036" s="951">
        <v>0</v>
      </c>
      <c r="I2036" s="951">
        <v>0</v>
      </c>
      <c r="J2036" s="947" t="s">
        <v>408</v>
      </c>
      <c r="K2036" s="947">
        <v>518050</v>
      </c>
      <c r="M2036" s="631"/>
      <c r="P2036" s="950" t="str">
        <f>VLOOKUP(J2036,'רשימת רשויות'!A:A,1,0)</f>
        <v>תל אביב-יפו</v>
      </c>
      <c r="Q2036" s="956">
        <f>IFERROR(VLOOKUP(B2036,[2]מעובד!$D:$K,8,0),0)</f>
        <v>173</v>
      </c>
      <c r="R2036" s="956">
        <f>IFERROR(VLOOKUP(B2036,[2]מעובד!$D:$L,9,0),0)</f>
        <v>58</v>
      </c>
    </row>
    <row r="2037" spans="1:18" x14ac:dyDescent="0.2">
      <c r="A2037" s="947" t="s">
        <v>408</v>
      </c>
      <c r="B2037" s="947">
        <v>518076</v>
      </c>
      <c r="C2037" s="947" t="s">
        <v>2189</v>
      </c>
      <c r="D2037" s="947" t="s">
        <v>3098</v>
      </c>
      <c r="E2037" s="951">
        <v>69</v>
      </c>
      <c r="F2037" s="951">
        <v>0</v>
      </c>
      <c r="G2037" s="947" t="s">
        <v>3252</v>
      </c>
      <c r="H2037" s="951">
        <v>0</v>
      </c>
      <c r="I2037" s="951">
        <v>0</v>
      </c>
      <c r="J2037" s="947" t="s">
        <v>408</v>
      </c>
      <c r="K2037" s="947">
        <v>518076</v>
      </c>
      <c r="M2037" s="631"/>
      <c r="P2037" s="950" t="str">
        <f>VLOOKUP(J2037,'רשימת רשויות'!A:A,1,0)</f>
        <v>תל אביב-יפו</v>
      </c>
      <c r="Q2037" s="956">
        <f>IFERROR(VLOOKUP(B2037,[2]מעובד!$D:$K,8,0),0)</f>
        <v>0</v>
      </c>
      <c r="R2037" s="956">
        <f>IFERROR(VLOOKUP(B2037,[2]מעובד!$D:$L,9,0),0)</f>
        <v>0</v>
      </c>
    </row>
    <row r="2038" spans="1:18" x14ac:dyDescent="0.2">
      <c r="A2038" s="947" t="s">
        <v>408</v>
      </c>
      <c r="B2038" s="947">
        <v>518365</v>
      </c>
      <c r="C2038" s="947" t="s">
        <v>2189</v>
      </c>
      <c r="D2038" s="947" t="s">
        <v>795</v>
      </c>
      <c r="E2038" s="951">
        <v>174</v>
      </c>
      <c r="F2038" s="951">
        <v>166</v>
      </c>
      <c r="G2038" s="947" t="s">
        <v>159</v>
      </c>
      <c r="H2038" s="951">
        <v>0</v>
      </c>
      <c r="I2038" s="951">
        <v>0</v>
      </c>
      <c r="J2038" s="947" t="s">
        <v>408</v>
      </c>
      <c r="K2038" s="947">
        <v>518365</v>
      </c>
      <c r="M2038" s="631"/>
      <c r="P2038" s="950" t="str">
        <f>VLOOKUP(J2038,'רשימת רשויות'!A:A,1,0)</f>
        <v>תל אביב-יפו</v>
      </c>
      <c r="Q2038" s="956">
        <f>IFERROR(VLOOKUP(B2038,[2]מעובד!$D:$K,8,0),0)</f>
        <v>0</v>
      </c>
      <c r="R2038" s="956">
        <f>IFERROR(VLOOKUP(B2038,[2]מעובד!$D:$L,9,0),0)</f>
        <v>0</v>
      </c>
    </row>
    <row r="2039" spans="1:18" x14ac:dyDescent="0.2">
      <c r="A2039" s="947" t="s">
        <v>270</v>
      </c>
      <c r="B2039" s="947">
        <v>518373</v>
      </c>
      <c r="C2039" s="947" t="s">
        <v>2189</v>
      </c>
      <c r="D2039" s="947" t="s">
        <v>2133</v>
      </c>
      <c r="E2039" s="951">
        <v>218</v>
      </c>
      <c r="F2039" s="951">
        <v>85</v>
      </c>
      <c r="G2039" s="947" t="s">
        <v>159</v>
      </c>
      <c r="H2039" s="951">
        <v>0</v>
      </c>
      <c r="I2039" s="951">
        <v>0</v>
      </c>
      <c r="J2039" s="947" t="s">
        <v>270</v>
      </c>
      <c r="K2039" s="947">
        <v>518373</v>
      </c>
      <c r="M2039" s="631"/>
      <c r="P2039" s="950" t="str">
        <f>VLOOKUP(J2039,'רשימת רשויות'!A:A,1,0)</f>
        <v>ירושלים</v>
      </c>
      <c r="Q2039" s="956">
        <f>IFERROR(VLOOKUP(B2039,[2]מעובד!$D:$K,8,0),0)</f>
        <v>218</v>
      </c>
      <c r="R2039" s="956">
        <f>IFERROR(VLOOKUP(B2039,[2]מעובד!$D:$L,9,0),0)</f>
        <v>54</v>
      </c>
    </row>
    <row r="2040" spans="1:18" x14ac:dyDescent="0.2">
      <c r="A2040" s="947" t="s">
        <v>198</v>
      </c>
      <c r="B2040" s="947">
        <v>519215</v>
      </c>
      <c r="C2040" s="947" t="s">
        <v>2189</v>
      </c>
      <c r="D2040" s="947" t="s">
        <v>2756</v>
      </c>
      <c r="E2040" s="951">
        <v>529</v>
      </c>
      <c r="F2040" s="951">
        <v>529</v>
      </c>
      <c r="G2040" s="947" t="s">
        <v>3252</v>
      </c>
      <c r="H2040" s="951">
        <v>0</v>
      </c>
      <c r="I2040" s="951">
        <v>0</v>
      </c>
      <c r="J2040" s="947" t="s">
        <v>198</v>
      </c>
      <c r="K2040" s="947">
        <v>519215</v>
      </c>
      <c r="M2040" s="631"/>
      <c r="P2040" s="950" t="str">
        <f>VLOOKUP(J2040,'רשימת רשויות'!A:A,1,0)</f>
        <v>בני ברק</v>
      </c>
      <c r="Q2040" s="956">
        <f>IFERROR(VLOOKUP(B2040,[2]מעובד!$D:$K,8,0),0)</f>
        <v>0</v>
      </c>
      <c r="R2040" s="956">
        <f>IFERROR(VLOOKUP(B2040,[2]מעובד!$D:$L,9,0),0)</f>
        <v>0</v>
      </c>
    </row>
    <row r="2041" spans="1:18" x14ac:dyDescent="0.2">
      <c r="A2041" s="947" t="s">
        <v>270</v>
      </c>
      <c r="B2041" s="947">
        <v>521971</v>
      </c>
      <c r="C2041" s="947" t="s">
        <v>2189</v>
      </c>
      <c r="D2041" s="947" t="s">
        <v>2144</v>
      </c>
      <c r="E2041" s="951">
        <v>81</v>
      </c>
      <c r="F2041" s="951">
        <v>79</v>
      </c>
      <c r="G2041" s="947" t="s">
        <v>3252</v>
      </c>
      <c r="H2041" s="951">
        <v>0</v>
      </c>
      <c r="I2041" s="951">
        <v>0</v>
      </c>
      <c r="J2041" s="947" t="s">
        <v>270</v>
      </c>
      <c r="K2041" s="947">
        <v>521971</v>
      </c>
      <c r="M2041" s="631"/>
      <c r="P2041" s="950" t="str">
        <f>VLOOKUP(J2041,'רשימת רשויות'!A:A,1,0)</f>
        <v>ירושלים</v>
      </c>
      <c r="Q2041" s="956">
        <f>IFERROR(VLOOKUP(B2041,[2]מעובד!$D:$K,8,0),0)</f>
        <v>0</v>
      </c>
      <c r="R2041" s="956">
        <f>IFERROR(VLOOKUP(B2041,[2]מעובד!$D:$L,9,0),0)</f>
        <v>0</v>
      </c>
    </row>
    <row r="2042" spans="1:18" x14ac:dyDescent="0.2">
      <c r="A2042" s="947" t="s">
        <v>270</v>
      </c>
      <c r="B2042" s="947">
        <v>522441</v>
      </c>
      <c r="C2042" s="947" t="s">
        <v>2189</v>
      </c>
      <c r="D2042" s="947" t="s">
        <v>3099</v>
      </c>
      <c r="E2042" s="951">
        <v>213</v>
      </c>
      <c r="F2042" s="951">
        <v>0</v>
      </c>
      <c r="G2042" s="947" t="s">
        <v>3252</v>
      </c>
      <c r="H2042" s="951">
        <v>0</v>
      </c>
      <c r="I2042" s="951">
        <v>0</v>
      </c>
      <c r="J2042" s="947" t="s">
        <v>270</v>
      </c>
      <c r="K2042" s="947">
        <v>522441</v>
      </c>
      <c r="M2042" s="631"/>
      <c r="P2042" s="950" t="str">
        <f>VLOOKUP(J2042,'רשימת רשויות'!A:A,1,0)</f>
        <v>ירושלים</v>
      </c>
      <c r="Q2042" s="956">
        <f>IFERROR(VLOOKUP(B2042,[2]מעובד!$D:$K,8,0),0)</f>
        <v>0</v>
      </c>
      <c r="R2042" s="956">
        <f>IFERROR(VLOOKUP(B2042,[2]מעובד!$D:$L,9,0),0)</f>
        <v>0</v>
      </c>
    </row>
    <row r="2043" spans="1:18" x14ac:dyDescent="0.2">
      <c r="A2043" s="947" t="s">
        <v>336</v>
      </c>
      <c r="B2043" s="947">
        <v>530014</v>
      </c>
      <c r="C2043" s="947" t="s">
        <v>2189</v>
      </c>
      <c r="D2043" s="947" t="s">
        <v>3100</v>
      </c>
      <c r="E2043" s="951">
        <v>75</v>
      </c>
      <c r="F2043" s="951">
        <v>0</v>
      </c>
      <c r="G2043" s="947" t="s">
        <v>159</v>
      </c>
      <c r="H2043" s="951">
        <v>0</v>
      </c>
      <c r="I2043" s="951">
        <v>0</v>
      </c>
      <c r="J2043" s="947" t="s">
        <v>336</v>
      </c>
      <c r="K2043" s="947">
        <v>530014</v>
      </c>
      <c r="M2043" s="631"/>
      <c r="P2043" s="950" t="str">
        <f>VLOOKUP(J2043,'רשימת רשויות'!A:A,1,0)</f>
        <v>נתניה</v>
      </c>
      <c r="Q2043" s="956">
        <f>IFERROR(VLOOKUP(B2043,[2]מעובד!$D:$K,8,0),0)</f>
        <v>0</v>
      </c>
      <c r="R2043" s="956">
        <f>IFERROR(VLOOKUP(B2043,[2]מעובד!$D:$L,9,0),0)</f>
        <v>0</v>
      </c>
    </row>
    <row r="2044" spans="1:18" x14ac:dyDescent="0.2">
      <c r="A2044" s="947" t="s">
        <v>175</v>
      </c>
      <c r="B2044" s="947">
        <v>530022</v>
      </c>
      <c r="C2044" s="947" t="s">
        <v>2189</v>
      </c>
      <c r="D2044" s="947" t="s">
        <v>2121</v>
      </c>
      <c r="E2044" s="951">
        <v>69</v>
      </c>
      <c r="F2044" s="951">
        <v>69</v>
      </c>
      <c r="G2044" s="947" t="s">
        <v>159</v>
      </c>
      <c r="H2044" s="951">
        <v>0</v>
      </c>
      <c r="I2044" s="951">
        <v>0</v>
      </c>
      <c r="J2044" s="947" t="s">
        <v>175</v>
      </c>
      <c r="K2044" s="957" t="s">
        <v>3349</v>
      </c>
      <c r="M2044" s="631"/>
      <c r="P2044" s="950" t="str">
        <f>VLOOKUP(J2044,'רשימת רשויות'!A:A,1,0)</f>
        <v>אלעד</v>
      </c>
      <c r="Q2044" s="956">
        <f>IFERROR(VLOOKUP(B2044,[2]מעובד!$D:$K,8,0),0)</f>
        <v>0</v>
      </c>
      <c r="R2044" s="956">
        <f>IFERROR(VLOOKUP(B2044,[2]מעובד!$D:$L,9,0),0)</f>
        <v>0</v>
      </c>
    </row>
    <row r="2045" spans="1:18" x14ac:dyDescent="0.2">
      <c r="A2045" s="947" t="s">
        <v>196</v>
      </c>
      <c r="B2045" s="947">
        <v>530030</v>
      </c>
      <c r="C2045" s="947" t="s">
        <v>2189</v>
      </c>
      <c r="D2045" s="947" t="s">
        <v>2123</v>
      </c>
      <c r="E2045" s="951">
        <v>46</v>
      </c>
      <c r="F2045" s="951">
        <v>44</v>
      </c>
      <c r="G2045" s="947" t="s">
        <v>159</v>
      </c>
      <c r="H2045" s="951">
        <v>0</v>
      </c>
      <c r="I2045" s="951">
        <v>0</v>
      </c>
      <c r="J2045" s="947" t="s">
        <v>196</v>
      </c>
      <c r="K2045" s="947">
        <v>530030</v>
      </c>
      <c r="M2045" s="631"/>
      <c r="P2045" s="950" t="str">
        <f>VLOOKUP(J2045,'רשימת רשויות'!A:A,1,0)</f>
        <v>בית שמש</v>
      </c>
      <c r="Q2045" s="956">
        <f>IFERROR(VLOOKUP(B2045,[2]מעובד!$D:$K,8,0),0)</f>
        <v>33</v>
      </c>
      <c r="R2045" s="956">
        <f>IFERROR(VLOOKUP(B2045,[2]מעובד!$D:$L,9,0),0)</f>
        <v>33</v>
      </c>
    </row>
    <row r="2046" spans="1:18" x14ac:dyDescent="0.2">
      <c r="A2046" s="947" t="s">
        <v>336</v>
      </c>
      <c r="B2046" s="947">
        <v>530048</v>
      </c>
      <c r="C2046" s="947" t="s">
        <v>2189</v>
      </c>
      <c r="D2046" s="947" t="s">
        <v>779</v>
      </c>
      <c r="E2046" s="951">
        <v>147</v>
      </c>
      <c r="F2046" s="951">
        <v>63</v>
      </c>
      <c r="G2046" s="947" t="s">
        <v>159</v>
      </c>
      <c r="H2046" s="951">
        <v>44</v>
      </c>
      <c r="I2046" s="951">
        <v>7</v>
      </c>
      <c r="J2046" s="947" t="s">
        <v>336</v>
      </c>
      <c r="K2046" s="957" t="s">
        <v>3350</v>
      </c>
      <c r="M2046" s="631"/>
      <c r="P2046" s="950" t="str">
        <f>VLOOKUP(J2046,'רשימת רשויות'!A:A,1,0)</f>
        <v>נתניה</v>
      </c>
      <c r="Q2046" s="956">
        <f>IFERROR(VLOOKUP(B2046,[2]מעובד!$D:$K,8,0),0)</f>
        <v>145</v>
      </c>
      <c r="R2046" s="956">
        <f>IFERROR(VLOOKUP(B2046,[2]מעובד!$D:$L,9,0),0)</f>
        <v>65</v>
      </c>
    </row>
    <row r="2047" spans="1:18" x14ac:dyDescent="0.2">
      <c r="A2047" s="947" t="s">
        <v>336</v>
      </c>
      <c r="B2047" s="947">
        <v>530337</v>
      </c>
      <c r="C2047" s="947" t="s">
        <v>2189</v>
      </c>
      <c r="D2047" s="947" t="s">
        <v>780</v>
      </c>
      <c r="E2047" s="951">
        <v>292</v>
      </c>
      <c r="F2047" s="951">
        <v>205</v>
      </c>
      <c r="G2047" s="947" t="s">
        <v>159</v>
      </c>
      <c r="H2047" s="951">
        <v>0</v>
      </c>
      <c r="I2047" s="951">
        <v>0</v>
      </c>
      <c r="J2047" s="947" t="s">
        <v>336</v>
      </c>
      <c r="K2047" s="947">
        <v>530337</v>
      </c>
      <c r="M2047" s="631"/>
      <c r="P2047" s="950" t="str">
        <f>VLOOKUP(J2047,'רשימת רשויות'!A:A,1,0)</f>
        <v>נתניה</v>
      </c>
      <c r="Q2047" s="956">
        <f>IFERROR(VLOOKUP(B2047,[2]מעובד!$D:$K,8,0),0)</f>
        <v>247</v>
      </c>
      <c r="R2047" s="956">
        <f>IFERROR(VLOOKUP(B2047,[2]מעובד!$D:$L,9,0),0)</f>
        <v>60</v>
      </c>
    </row>
    <row r="2048" spans="1:18" x14ac:dyDescent="0.2">
      <c r="A2048" s="947" t="s">
        <v>408</v>
      </c>
      <c r="B2048" s="947">
        <v>530394</v>
      </c>
      <c r="C2048" s="947" t="s">
        <v>2189</v>
      </c>
      <c r="D2048" s="947" t="s">
        <v>781</v>
      </c>
      <c r="E2048" s="951">
        <v>165</v>
      </c>
      <c r="F2048" s="951">
        <v>149</v>
      </c>
      <c r="G2048" s="947" t="s">
        <v>159</v>
      </c>
      <c r="H2048" s="951">
        <v>0</v>
      </c>
      <c r="I2048" s="951">
        <v>0</v>
      </c>
      <c r="J2048" s="947" t="s">
        <v>408</v>
      </c>
      <c r="K2048" s="947">
        <v>530394</v>
      </c>
      <c r="M2048" s="631"/>
      <c r="P2048" s="950" t="str">
        <f>VLOOKUP(J2048,'רשימת רשויות'!A:A,1,0)</f>
        <v>תל אביב-יפו</v>
      </c>
      <c r="Q2048" s="956">
        <f>IFERROR(VLOOKUP(B2048,[2]מעובד!$D:$K,8,0),0)</f>
        <v>157</v>
      </c>
      <c r="R2048" s="956">
        <f>IFERROR(VLOOKUP(B2048,[2]מעובד!$D:$L,9,0),0)</f>
        <v>82</v>
      </c>
    </row>
    <row r="2049" spans="1:18" x14ac:dyDescent="0.2">
      <c r="A2049" s="947" t="s">
        <v>408</v>
      </c>
      <c r="B2049" s="947">
        <v>530402</v>
      </c>
      <c r="C2049" s="947" t="s">
        <v>2189</v>
      </c>
      <c r="D2049" s="947" t="s">
        <v>782</v>
      </c>
      <c r="E2049" s="951">
        <v>233</v>
      </c>
      <c r="F2049" s="951">
        <v>230</v>
      </c>
      <c r="G2049" s="947" t="s">
        <v>159</v>
      </c>
      <c r="H2049" s="951">
        <v>0</v>
      </c>
      <c r="I2049" s="951">
        <v>0</v>
      </c>
      <c r="J2049" s="947" t="s">
        <v>408</v>
      </c>
      <c r="K2049" s="947">
        <v>530402</v>
      </c>
      <c r="M2049" s="631"/>
      <c r="P2049" s="950" t="str">
        <f>VLOOKUP(J2049,'רשימת רשויות'!A:A,1,0)</f>
        <v>תל אביב-יפו</v>
      </c>
      <c r="Q2049" s="956">
        <f>IFERROR(VLOOKUP(B2049,[2]מעובד!$D:$K,8,0),0)</f>
        <v>238</v>
      </c>
      <c r="R2049" s="956">
        <f>IFERROR(VLOOKUP(B2049,[2]מעובד!$D:$L,9,0),0)</f>
        <v>238</v>
      </c>
    </row>
    <row r="2050" spans="1:18" x14ac:dyDescent="0.2">
      <c r="A2050" s="947" t="s">
        <v>408</v>
      </c>
      <c r="B2050" s="947">
        <v>530535</v>
      </c>
      <c r="C2050" s="947" t="s">
        <v>2189</v>
      </c>
      <c r="D2050" s="947" t="s">
        <v>710</v>
      </c>
      <c r="E2050" s="951">
        <v>229</v>
      </c>
      <c r="F2050" s="951">
        <v>213</v>
      </c>
      <c r="G2050" s="947" t="s">
        <v>159</v>
      </c>
      <c r="H2050" s="951">
        <v>154</v>
      </c>
      <c r="I2050" s="951">
        <v>13</v>
      </c>
      <c r="J2050" s="947" t="s">
        <v>408</v>
      </c>
      <c r="K2050" s="947">
        <v>530535</v>
      </c>
      <c r="M2050" s="631"/>
      <c r="P2050" s="950" t="str">
        <f>VLOOKUP(J2050,'רשימת רשויות'!A:A,1,0)</f>
        <v>תל אביב-יפו</v>
      </c>
      <c r="Q2050" s="956">
        <f>IFERROR(VLOOKUP(B2050,[2]מעובד!$D:$K,8,0),0)</f>
        <v>0</v>
      </c>
      <c r="R2050" s="956">
        <f>IFERROR(VLOOKUP(B2050,[2]מעובד!$D:$L,9,0),0)</f>
        <v>0</v>
      </c>
    </row>
    <row r="2051" spans="1:18" x14ac:dyDescent="0.2">
      <c r="A2051" s="947" t="s">
        <v>214</v>
      </c>
      <c r="B2051" s="947">
        <v>530717</v>
      </c>
      <c r="C2051" s="947" t="s">
        <v>2189</v>
      </c>
      <c r="D2051" s="947" t="s">
        <v>443</v>
      </c>
      <c r="E2051" s="951">
        <v>182</v>
      </c>
      <c r="F2051" s="951">
        <v>161</v>
      </c>
      <c r="G2051" s="947" t="s">
        <v>159</v>
      </c>
      <c r="H2051" s="951">
        <v>0</v>
      </c>
      <c r="I2051" s="951">
        <v>0</v>
      </c>
      <c r="J2051" s="947" t="s">
        <v>214</v>
      </c>
      <c r="K2051" s="947">
        <v>530717</v>
      </c>
      <c r="M2051" s="631"/>
      <c r="P2051" s="950" t="str">
        <f>VLOOKUP(J2051,'רשימת רשויות'!A:A,1,0)</f>
        <v>גבעתיים</v>
      </c>
      <c r="Q2051" s="956">
        <f>IFERROR(VLOOKUP(B2051,[2]מעובד!$D:$K,8,0),0)</f>
        <v>124</v>
      </c>
      <c r="R2051" s="956">
        <f>IFERROR(VLOOKUP(B2051,[2]מעובד!$D:$L,9,0),0)</f>
        <v>42</v>
      </c>
    </row>
    <row r="2052" spans="1:18" x14ac:dyDescent="0.2">
      <c r="A2052" s="947" t="s">
        <v>408</v>
      </c>
      <c r="B2052" s="947">
        <v>531905</v>
      </c>
      <c r="C2052" s="947" t="s">
        <v>2189</v>
      </c>
      <c r="D2052" s="947" t="s">
        <v>698</v>
      </c>
      <c r="E2052" s="951">
        <v>198</v>
      </c>
      <c r="F2052" s="951">
        <v>188</v>
      </c>
      <c r="G2052" s="947" t="s">
        <v>159</v>
      </c>
      <c r="H2052" s="951">
        <v>75</v>
      </c>
      <c r="I2052" s="951">
        <v>8</v>
      </c>
      <c r="J2052" s="947" t="s">
        <v>408</v>
      </c>
      <c r="K2052" s="947">
        <v>531905</v>
      </c>
      <c r="M2052" s="631"/>
      <c r="P2052" s="950" t="str">
        <f>VLOOKUP(J2052,'רשימת רשויות'!A:A,1,0)</f>
        <v>תל אביב-יפו</v>
      </c>
      <c r="Q2052" s="956">
        <f>IFERROR(VLOOKUP(B2052,[2]מעובד!$D:$K,8,0),0)</f>
        <v>109</v>
      </c>
      <c r="R2052" s="956">
        <f>IFERROR(VLOOKUP(B2052,[2]מעובד!$D:$L,9,0),0)</f>
        <v>45</v>
      </c>
    </row>
    <row r="2053" spans="1:18" x14ac:dyDescent="0.2">
      <c r="A2053" s="947" t="s">
        <v>408</v>
      </c>
      <c r="B2053" s="947">
        <v>539916</v>
      </c>
      <c r="C2053" s="947" t="s">
        <v>2189</v>
      </c>
      <c r="D2053" s="947" t="s">
        <v>788</v>
      </c>
      <c r="E2053" s="951">
        <v>198</v>
      </c>
      <c r="F2053" s="951">
        <v>198</v>
      </c>
      <c r="G2053" s="947" t="s">
        <v>159</v>
      </c>
      <c r="H2053" s="951">
        <v>0</v>
      </c>
      <c r="I2053" s="951">
        <v>0</v>
      </c>
      <c r="J2053" s="947" t="s">
        <v>408</v>
      </c>
      <c r="K2053" s="947">
        <v>539916</v>
      </c>
      <c r="M2053" s="631"/>
      <c r="P2053" s="950" t="str">
        <f>VLOOKUP(J2053,'רשימת רשויות'!A:A,1,0)</f>
        <v>תל אביב-יפו</v>
      </c>
      <c r="Q2053" s="956">
        <f>IFERROR(VLOOKUP(B2053,[2]מעובד!$D:$K,8,0),0)</f>
        <v>0</v>
      </c>
      <c r="R2053" s="956">
        <f>IFERROR(VLOOKUP(B2053,[2]מעובד!$D:$L,9,0),0)</f>
        <v>0</v>
      </c>
    </row>
    <row r="2054" spans="1:18" x14ac:dyDescent="0.2">
      <c r="A2054" s="947" t="s">
        <v>408</v>
      </c>
      <c r="B2054" s="947">
        <v>548024</v>
      </c>
      <c r="C2054" s="947" t="s">
        <v>2189</v>
      </c>
      <c r="D2054" s="947" t="s">
        <v>3101</v>
      </c>
      <c r="E2054" s="951">
        <v>168</v>
      </c>
      <c r="F2054" s="951">
        <v>0</v>
      </c>
      <c r="G2054" s="947" t="s">
        <v>3252</v>
      </c>
      <c r="H2054" s="951">
        <v>0</v>
      </c>
      <c r="I2054" s="951">
        <v>0</v>
      </c>
      <c r="J2054" s="947" t="s">
        <v>408</v>
      </c>
      <c r="K2054" s="947">
        <v>548024</v>
      </c>
      <c r="M2054" s="631"/>
      <c r="P2054" s="950" t="str">
        <f>VLOOKUP(J2054,'רשימת רשויות'!A:A,1,0)</f>
        <v>תל אביב-יפו</v>
      </c>
      <c r="Q2054" s="956">
        <f>IFERROR(VLOOKUP(B2054,[2]מעובד!$D:$K,8,0),0)</f>
        <v>0</v>
      </c>
      <c r="R2054" s="956">
        <f>IFERROR(VLOOKUP(B2054,[2]מעובד!$D:$L,9,0),0)</f>
        <v>0</v>
      </c>
    </row>
    <row r="2055" spans="1:18" x14ac:dyDescent="0.2">
      <c r="A2055" s="947" t="s">
        <v>270</v>
      </c>
      <c r="B2055" s="947">
        <v>560417</v>
      </c>
      <c r="C2055" s="947" t="s">
        <v>2189</v>
      </c>
      <c r="D2055" s="947" t="s">
        <v>1886</v>
      </c>
      <c r="E2055" s="951">
        <v>13</v>
      </c>
      <c r="F2055" s="951">
        <v>0</v>
      </c>
      <c r="G2055" s="947" t="s">
        <v>3252</v>
      </c>
      <c r="H2055" s="951">
        <v>0</v>
      </c>
      <c r="I2055" s="951">
        <v>0</v>
      </c>
      <c r="J2055" s="947" t="s">
        <v>270</v>
      </c>
      <c r="K2055" s="947">
        <v>560417</v>
      </c>
      <c r="M2055" s="631"/>
      <c r="P2055" s="950" t="str">
        <f>VLOOKUP(J2055,'רשימת רשויות'!A:A,1,0)</f>
        <v>ירושלים</v>
      </c>
      <c r="Q2055" s="956">
        <f>IFERROR(VLOOKUP(B2055,[2]מעובד!$D:$K,8,0),0)</f>
        <v>54</v>
      </c>
      <c r="R2055" s="956">
        <f>IFERROR(VLOOKUP(B2055,[2]מעובד!$D:$L,9,0),0)</f>
        <v>42</v>
      </c>
    </row>
    <row r="2056" spans="1:18" x14ac:dyDescent="0.2">
      <c r="A2056" s="947" t="s">
        <v>363</v>
      </c>
      <c r="B2056" s="947">
        <v>566851</v>
      </c>
      <c r="C2056" s="947" t="s">
        <v>2189</v>
      </c>
      <c r="D2056" s="947" t="s">
        <v>606</v>
      </c>
      <c r="E2056" s="951">
        <v>341</v>
      </c>
      <c r="F2056" s="951">
        <v>314</v>
      </c>
      <c r="G2056" s="947" t="s">
        <v>159</v>
      </c>
      <c r="H2056" s="951">
        <v>0</v>
      </c>
      <c r="I2056" s="951">
        <v>0</v>
      </c>
      <c r="J2056" s="947" t="s">
        <v>363</v>
      </c>
      <c r="K2056" s="947">
        <v>566851</v>
      </c>
      <c r="M2056" s="631"/>
      <c r="P2056" s="950" t="str">
        <f>VLOOKUP(J2056,'רשימת רשויות'!A:A,1,0)</f>
        <v>פתח תקוה</v>
      </c>
      <c r="Q2056" s="956">
        <f>IFERROR(VLOOKUP(B2056,[2]מעובד!$D:$K,8,0),0)</f>
        <v>332</v>
      </c>
      <c r="R2056" s="956">
        <f>IFERROR(VLOOKUP(B2056,[2]מעובד!$D:$L,9,0),0)</f>
        <v>270</v>
      </c>
    </row>
    <row r="2057" spans="1:18" x14ac:dyDescent="0.2">
      <c r="A2057" s="947" t="s">
        <v>245</v>
      </c>
      <c r="B2057" s="947">
        <v>566885</v>
      </c>
      <c r="C2057" s="947" t="s">
        <v>2189</v>
      </c>
      <c r="D2057" s="947" t="s">
        <v>709</v>
      </c>
      <c r="E2057" s="951">
        <v>199</v>
      </c>
      <c r="F2057" s="951">
        <v>144</v>
      </c>
      <c r="G2057" s="947" t="s">
        <v>159</v>
      </c>
      <c r="H2057" s="951">
        <v>0</v>
      </c>
      <c r="I2057" s="951">
        <v>0</v>
      </c>
      <c r="J2057" s="947" t="s">
        <v>245</v>
      </c>
      <c r="K2057" s="947">
        <v>566885</v>
      </c>
      <c r="M2057" s="631"/>
      <c r="P2057" s="950" t="str">
        <f>VLOOKUP(J2057,'רשימת רשויות'!A:A,1,0)</f>
        <v>חולון</v>
      </c>
      <c r="Q2057" s="956">
        <f>IFERROR(VLOOKUP(B2057,[2]מעובד!$D:$K,8,0),0)</f>
        <v>297</v>
      </c>
      <c r="R2057" s="956">
        <f>IFERROR(VLOOKUP(B2057,[2]מעובד!$D:$L,9,0),0)</f>
        <v>153</v>
      </c>
    </row>
    <row r="2058" spans="1:18" x14ac:dyDescent="0.2">
      <c r="A2058" s="947" t="s">
        <v>363</v>
      </c>
      <c r="B2058" s="947">
        <v>566919</v>
      </c>
      <c r="C2058" s="947" t="s">
        <v>2189</v>
      </c>
      <c r="D2058" s="947" t="s">
        <v>451</v>
      </c>
      <c r="E2058" s="951">
        <v>258</v>
      </c>
      <c r="F2058" s="951">
        <v>241</v>
      </c>
      <c r="G2058" s="947" t="s">
        <v>159</v>
      </c>
      <c r="H2058" s="951">
        <v>0</v>
      </c>
      <c r="I2058" s="951">
        <v>0</v>
      </c>
      <c r="J2058" s="947" t="s">
        <v>363</v>
      </c>
      <c r="K2058" s="947">
        <v>566919</v>
      </c>
      <c r="M2058" s="631"/>
      <c r="P2058" s="950" t="str">
        <f>VLOOKUP(J2058,'רשימת רשויות'!A:A,1,0)</f>
        <v>פתח תקוה</v>
      </c>
      <c r="Q2058" s="956">
        <f>IFERROR(VLOOKUP(B2058,[2]מעובד!$D:$K,8,0),0)</f>
        <v>224</v>
      </c>
      <c r="R2058" s="956">
        <f>IFERROR(VLOOKUP(B2058,[2]מעובד!$D:$L,9,0),0)</f>
        <v>137</v>
      </c>
    </row>
    <row r="2059" spans="1:18" x14ac:dyDescent="0.2">
      <c r="A2059" s="947" t="s">
        <v>206</v>
      </c>
      <c r="B2059" s="947">
        <v>572768</v>
      </c>
      <c r="C2059" s="947" t="s">
        <v>2189</v>
      </c>
      <c r="D2059" s="947" t="s">
        <v>1208</v>
      </c>
      <c r="E2059" s="951">
        <v>144</v>
      </c>
      <c r="F2059" s="951">
        <v>97</v>
      </c>
      <c r="G2059" s="947" t="s">
        <v>159</v>
      </c>
      <c r="H2059" s="951">
        <v>0</v>
      </c>
      <c r="I2059" s="951">
        <v>0</v>
      </c>
      <c r="J2059" s="947" t="s">
        <v>206</v>
      </c>
      <c r="K2059" s="947">
        <v>572768</v>
      </c>
      <c r="M2059" s="631"/>
      <c r="P2059" s="950" t="str">
        <f>VLOOKUP(J2059,'רשימת רשויות'!A:A,1,0)</f>
        <v>בת ים</v>
      </c>
      <c r="Q2059" s="956">
        <f>IFERROR(VLOOKUP(B2059,[2]מעובד!$D:$K,8,0),0)</f>
        <v>130</v>
      </c>
      <c r="R2059" s="956">
        <f>IFERROR(VLOOKUP(B2059,[2]מעובד!$D:$L,9,0),0)</f>
        <v>74</v>
      </c>
    </row>
    <row r="2060" spans="1:18" x14ac:dyDescent="0.2">
      <c r="A2060" s="947" t="s">
        <v>392</v>
      </c>
      <c r="B2060" s="947">
        <v>573030</v>
      </c>
      <c r="C2060" s="947" t="s">
        <v>2189</v>
      </c>
      <c r="D2060" s="947" t="s">
        <v>670</v>
      </c>
      <c r="E2060" s="951">
        <v>230</v>
      </c>
      <c r="F2060" s="951">
        <v>206</v>
      </c>
      <c r="G2060" s="947" t="s">
        <v>159</v>
      </c>
      <c r="H2060" s="951">
        <v>0</v>
      </c>
      <c r="I2060" s="951">
        <v>0</v>
      </c>
      <c r="J2060" s="947" t="s">
        <v>392</v>
      </c>
      <c r="K2060" s="947">
        <v>573030</v>
      </c>
      <c r="M2060" s="631"/>
      <c r="P2060" s="950" t="str">
        <f>VLOOKUP(J2060,'רשימת רשויות'!A:A,1,0)</f>
        <v>רמת השרון</v>
      </c>
      <c r="Q2060" s="956">
        <f>IFERROR(VLOOKUP(B2060,[2]מעובד!$D:$K,8,0),0)</f>
        <v>0</v>
      </c>
      <c r="R2060" s="956">
        <f>IFERROR(VLOOKUP(B2060,[2]מעובד!$D:$L,9,0),0)</f>
        <v>0</v>
      </c>
    </row>
    <row r="2061" spans="1:18" x14ac:dyDescent="0.2">
      <c r="A2061" s="947" t="s">
        <v>392</v>
      </c>
      <c r="B2061" s="947">
        <v>573055</v>
      </c>
      <c r="C2061" s="947" t="s">
        <v>2189</v>
      </c>
      <c r="D2061" s="947" t="s">
        <v>341</v>
      </c>
      <c r="E2061" s="951">
        <v>243</v>
      </c>
      <c r="F2061" s="951">
        <v>216</v>
      </c>
      <c r="G2061" s="947" t="s">
        <v>159</v>
      </c>
      <c r="H2061" s="951">
        <v>0</v>
      </c>
      <c r="I2061" s="951">
        <v>0</v>
      </c>
      <c r="J2061" s="947" t="s">
        <v>392</v>
      </c>
      <c r="K2061" s="947">
        <v>573055</v>
      </c>
      <c r="M2061" s="631"/>
      <c r="P2061" s="950" t="str">
        <f>VLOOKUP(J2061,'רשימת רשויות'!A:A,1,0)</f>
        <v>רמת השרון</v>
      </c>
      <c r="Q2061" s="956">
        <f>IFERROR(VLOOKUP(B2061,[2]מעובד!$D:$K,8,0),0)</f>
        <v>0</v>
      </c>
      <c r="R2061" s="956">
        <f>IFERROR(VLOOKUP(B2061,[2]מעובד!$D:$L,9,0),0)</f>
        <v>0</v>
      </c>
    </row>
    <row r="2062" spans="1:18" x14ac:dyDescent="0.2">
      <c r="A2062" s="947" t="s">
        <v>408</v>
      </c>
      <c r="B2062" s="947">
        <v>573063</v>
      </c>
      <c r="C2062" s="947" t="s">
        <v>2189</v>
      </c>
      <c r="D2062" s="947" t="s">
        <v>671</v>
      </c>
      <c r="E2062" s="951">
        <v>236</v>
      </c>
      <c r="F2062" s="951">
        <v>232</v>
      </c>
      <c r="G2062" s="947" t="s">
        <v>159</v>
      </c>
      <c r="H2062" s="951">
        <v>0</v>
      </c>
      <c r="I2062" s="951">
        <v>0</v>
      </c>
      <c r="J2062" s="947" t="s">
        <v>408</v>
      </c>
      <c r="K2062" s="947">
        <v>573063</v>
      </c>
      <c r="M2062" s="631"/>
      <c r="P2062" s="950" t="str">
        <f>VLOOKUP(J2062,'רשימת רשויות'!A:A,1,0)</f>
        <v>תל אביב-יפו</v>
      </c>
      <c r="Q2062" s="956">
        <f>IFERROR(VLOOKUP(B2062,[2]מעובד!$D:$K,8,0),0)</f>
        <v>261</v>
      </c>
      <c r="R2062" s="956">
        <f>IFERROR(VLOOKUP(B2062,[2]מעובד!$D:$L,9,0),0)</f>
        <v>53</v>
      </c>
    </row>
    <row r="2063" spans="1:18" x14ac:dyDescent="0.2">
      <c r="A2063" s="947" t="s">
        <v>305</v>
      </c>
      <c r="B2063" s="947">
        <v>573089</v>
      </c>
      <c r="C2063" s="947" t="s">
        <v>2189</v>
      </c>
      <c r="D2063" s="947" t="s">
        <v>1042</v>
      </c>
      <c r="E2063" s="951">
        <v>232</v>
      </c>
      <c r="F2063" s="951">
        <v>185</v>
      </c>
      <c r="G2063" s="947" t="s">
        <v>159</v>
      </c>
      <c r="H2063" s="951">
        <v>0</v>
      </c>
      <c r="I2063" s="951">
        <v>0</v>
      </c>
      <c r="J2063" s="947" t="s">
        <v>305</v>
      </c>
      <c r="K2063" s="947">
        <v>573089</v>
      </c>
      <c r="M2063" s="631"/>
      <c r="P2063" s="950" t="str">
        <f>VLOOKUP(J2063,'רשימת רשויות'!A:A,1,0)</f>
        <v>מודיעין מכבים רעות</v>
      </c>
      <c r="Q2063" s="956">
        <f>IFERROR(VLOOKUP(B2063,[2]מעובד!$D:$K,8,0),0)</f>
        <v>80</v>
      </c>
      <c r="R2063" s="956">
        <f>IFERROR(VLOOKUP(B2063,[2]מעובד!$D:$L,9,0),0)</f>
        <v>45</v>
      </c>
    </row>
    <row r="2064" spans="1:18" x14ac:dyDescent="0.2">
      <c r="A2064" s="947" t="s">
        <v>336</v>
      </c>
      <c r="B2064" s="947">
        <v>574293</v>
      </c>
      <c r="C2064" s="947" t="s">
        <v>2189</v>
      </c>
      <c r="D2064" s="947" t="s">
        <v>665</v>
      </c>
      <c r="E2064" s="951">
        <v>144</v>
      </c>
      <c r="F2064" s="951">
        <v>115</v>
      </c>
      <c r="G2064" s="947" t="s">
        <v>159</v>
      </c>
      <c r="H2064" s="951">
        <v>0</v>
      </c>
      <c r="I2064" s="951">
        <v>0</v>
      </c>
      <c r="J2064" s="947" t="s">
        <v>336</v>
      </c>
      <c r="K2064" s="947">
        <v>574293</v>
      </c>
      <c r="M2064" s="631"/>
      <c r="P2064" s="950" t="str">
        <f>VLOOKUP(J2064,'רשימת רשויות'!A:A,1,0)</f>
        <v>נתניה</v>
      </c>
      <c r="Q2064" s="956">
        <f>IFERROR(VLOOKUP(B2064,[2]מעובד!$D:$K,8,0),0)</f>
        <v>124</v>
      </c>
      <c r="R2064" s="956">
        <f>IFERROR(VLOOKUP(B2064,[2]מעובד!$D:$L,9,0),0)</f>
        <v>58</v>
      </c>
    </row>
    <row r="2065" spans="1:18" x14ac:dyDescent="0.2">
      <c r="A2065" s="947" t="s">
        <v>336</v>
      </c>
      <c r="B2065" s="947">
        <v>578583</v>
      </c>
      <c r="C2065" s="947" t="s">
        <v>2189</v>
      </c>
      <c r="D2065" s="947" t="s">
        <v>1218</v>
      </c>
      <c r="E2065" s="951">
        <v>65</v>
      </c>
      <c r="F2065" s="951">
        <v>29</v>
      </c>
      <c r="G2065" s="947" t="s">
        <v>159</v>
      </c>
      <c r="H2065" s="951">
        <v>0</v>
      </c>
      <c r="I2065" s="951">
        <v>0</v>
      </c>
      <c r="J2065" s="947" t="s">
        <v>336</v>
      </c>
      <c r="K2065" s="947">
        <v>578583</v>
      </c>
      <c r="M2065" s="631"/>
      <c r="P2065" s="950" t="str">
        <f>VLOOKUP(J2065,'רשימת רשויות'!A:A,1,0)</f>
        <v>נתניה</v>
      </c>
      <c r="Q2065" s="956">
        <f>IFERROR(VLOOKUP(B2065,[2]מעובד!$D:$K,8,0),0)</f>
        <v>63</v>
      </c>
      <c r="R2065" s="956">
        <f>IFERROR(VLOOKUP(B2065,[2]מעובד!$D:$L,9,0),0)</f>
        <v>40</v>
      </c>
    </row>
    <row r="2066" spans="1:18" x14ac:dyDescent="0.2">
      <c r="A2066" s="947" t="s">
        <v>235</v>
      </c>
      <c r="B2066" s="947">
        <v>579219</v>
      </c>
      <c r="C2066" s="947" t="s">
        <v>2189</v>
      </c>
      <c r="D2066" s="947" t="s">
        <v>451</v>
      </c>
      <c r="E2066" s="951">
        <v>272</v>
      </c>
      <c r="F2066" s="951">
        <v>218</v>
      </c>
      <c r="G2066" s="947" t="s">
        <v>159</v>
      </c>
      <c r="H2066" s="951">
        <v>0</v>
      </c>
      <c r="I2066" s="951">
        <v>0</v>
      </c>
      <c r="J2066" s="947" t="s">
        <v>235</v>
      </c>
      <c r="K2066" s="947">
        <v>579219</v>
      </c>
      <c r="M2066" s="631"/>
      <c r="P2066" s="950" t="str">
        <f>VLOOKUP(J2066,'רשימת רשויות'!A:A,1,0)</f>
        <v>הרצליה</v>
      </c>
      <c r="Q2066" s="956">
        <f>IFERROR(VLOOKUP(B2066,[2]מעובד!$D:$K,8,0),0)</f>
        <v>351</v>
      </c>
      <c r="R2066" s="956">
        <f>IFERROR(VLOOKUP(B2066,[2]מעובד!$D:$L,9,0),0)</f>
        <v>80</v>
      </c>
    </row>
    <row r="2067" spans="1:18" x14ac:dyDescent="0.2">
      <c r="A2067" s="947" t="s">
        <v>408</v>
      </c>
      <c r="B2067" s="947">
        <v>579250</v>
      </c>
      <c r="C2067" s="947" t="s">
        <v>2189</v>
      </c>
      <c r="D2067" s="947" t="s">
        <v>663</v>
      </c>
      <c r="E2067" s="951">
        <v>224</v>
      </c>
      <c r="F2067" s="951">
        <v>222</v>
      </c>
      <c r="G2067" s="947" t="s">
        <v>159</v>
      </c>
      <c r="H2067" s="951">
        <v>0</v>
      </c>
      <c r="I2067" s="951">
        <v>0</v>
      </c>
      <c r="J2067" s="947" t="s">
        <v>408</v>
      </c>
      <c r="K2067" s="947">
        <v>579250</v>
      </c>
      <c r="M2067" s="631"/>
      <c r="P2067" s="950" t="str">
        <f>VLOOKUP(J2067,'רשימת רשויות'!A:A,1,0)</f>
        <v>תל אביב-יפו</v>
      </c>
      <c r="Q2067" s="956">
        <f>IFERROR(VLOOKUP(B2067,[2]מעובד!$D:$K,8,0),0)</f>
        <v>0</v>
      </c>
      <c r="R2067" s="956">
        <f>IFERROR(VLOOKUP(B2067,[2]מעובד!$D:$L,9,0),0)</f>
        <v>0</v>
      </c>
    </row>
    <row r="2068" spans="1:18" x14ac:dyDescent="0.2">
      <c r="A2068" s="947" t="s">
        <v>408</v>
      </c>
      <c r="B2068" s="947">
        <v>579268</v>
      </c>
      <c r="C2068" s="947" t="s">
        <v>2189</v>
      </c>
      <c r="D2068" s="947" t="s">
        <v>664</v>
      </c>
      <c r="E2068" s="951">
        <v>229</v>
      </c>
      <c r="F2068" s="951">
        <v>228</v>
      </c>
      <c r="G2068" s="947" t="s">
        <v>159</v>
      </c>
      <c r="H2068" s="951">
        <v>0</v>
      </c>
      <c r="I2068" s="951">
        <v>0</v>
      </c>
      <c r="J2068" s="947" t="s">
        <v>408</v>
      </c>
      <c r="K2068" s="947">
        <v>579268</v>
      </c>
      <c r="M2068" s="631"/>
      <c r="P2068" s="950" t="str">
        <f>VLOOKUP(J2068,'רשימת רשויות'!A:A,1,0)</f>
        <v>תל אביב-יפו</v>
      </c>
      <c r="Q2068" s="956">
        <f>IFERROR(VLOOKUP(B2068,[2]מעובד!$D:$K,8,0),0)</f>
        <v>180</v>
      </c>
      <c r="R2068" s="956">
        <f>IFERROR(VLOOKUP(B2068,[2]מעובד!$D:$L,9,0),0)</f>
        <v>116</v>
      </c>
    </row>
    <row r="2069" spans="1:18" x14ac:dyDescent="0.2">
      <c r="A2069" s="947" t="s">
        <v>408</v>
      </c>
      <c r="B2069" s="947">
        <v>581165</v>
      </c>
      <c r="C2069" s="947" t="s">
        <v>2189</v>
      </c>
      <c r="D2069" s="947" t="s">
        <v>696</v>
      </c>
      <c r="E2069" s="951">
        <v>134</v>
      </c>
      <c r="F2069" s="951">
        <v>133</v>
      </c>
      <c r="G2069" s="947" t="s">
        <v>159</v>
      </c>
      <c r="H2069" s="951">
        <v>0</v>
      </c>
      <c r="I2069" s="951">
        <v>0</v>
      </c>
      <c r="J2069" s="947" t="s">
        <v>408</v>
      </c>
      <c r="K2069" s="947">
        <v>581165</v>
      </c>
      <c r="M2069" s="631"/>
      <c r="P2069" s="950" t="str">
        <f>VLOOKUP(J2069,'רשימת רשויות'!A:A,1,0)</f>
        <v>תל אביב-יפו</v>
      </c>
      <c r="Q2069" s="956">
        <f>IFERROR(VLOOKUP(B2069,[2]מעובד!$D:$K,8,0),0)</f>
        <v>138</v>
      </c>
      <c r="R2069" s="956">
        <f>IFERROR(VLOOKUP(B2069,[2]מעובד!$D:$L,9,0),0)</f>
        <v>65</v>
      </c>
    </row>
    <row r="2070" spans="1:18" x14ac:dyDescent="0.2">
      <c r="A2070" s="947" t="s">
        <v>408</v>
      </c>
      <c r="B2070" s="947">
        <v>581173</v>
      </c>
      <c r="C2070" s="947" t="s">
        <v>2189</v>
      </c>
      <c r="D2070" s="947" t="s">
        <v>667</v>
      </c>
      <c r="E2070" s="951">
        <v>190</v>
      </c>
      <c r="F2070" s="951">
        <v>166</v>
      </c>
      <c r="G2070" s="947" t="s">
        <v>159</v>
      </c>
      <c r="H2070" s="951">
        <v>0</v>
      </c>
      <c r="I2070" s="951">
        <v>0</v>
      </c>
      <c r="J2070" s="947" t="s">
        <v>408</v>
      </c>
      <c r="K2070" s="947">
        <v>581173</v>
      </c>
      <c r="M2070" s="631"/>
      <c r="P2070" s="950" t="str">
        <f>VLOOKUP(J2070,'רשימת רשויות'!A:A,1,0)</f>
        <v>תל אביב-יפו</v>
      </c>
      <c r="Q2070" s="956">
        <f>IFERROR(VLOOKUP(B2070,[2]מעובד!$D:$K,8,0),0)</f>
        <v>151</v>
      </c>
      <c r="R2070" s="956">
        <f>IFERROR(VLOOKUP(B2070,[2]מעובד!$D:$L,9,0),0)</f>
        <v>151</v>
      </c>
    </row>
    <row r="2071" spans="1:18" x14ac:dyDescent="0.2">
      <c r="A2071" s="947" t="s">
        <v>408</v>
      </c>
      <c r="B2071" s="947">
        <v>581181</v>
      </c>
      <c r="C2071" s="947" t="s">
        <v>2189</v>
      </c>
      <c r="D2071" s="947" t="s">
        <v>818</v>
      </c>
      <c r="E2071" s="951">
        <v>109</v>
      </c>
      <c r="F2071" s="951">
        <v>109</v>
      </c>
      <c r="G2071" s="947" t="s">
        <v>159</v>
      </c>
      <c r="H2071" s="951">
        <v>0</v>
      </c>
      <c r="I2071" s="951">
        <v>0</v>
      </c>
      <c r="J2071" s="947" t="s">
        <v>408</v>
      </c>
      <c r="K2071" s="947">
        <v>581181</v>
      </c>
      <c r="M2071" s="631"/>
      <c r="P2071" s="950" t="str">
        <f>VLOOKUP(J2071,'רשימת רשויות'!A:A,1,0)</f>
        <v>תל אביב-יפו</v>
      </c>
      <c r="Q2071" s="956">
        <f>IFERROR(VLOOKUP(B2071,[2]מעובד!$D:$K,8,0),0)</f>
        <v>80</v>
      </c>
      <c r="R2071" s="956">
        <f>IFERROR(VLOOKUP(B2071,[2]מעובד!$D:$L,9,0),0)</f>
        <v>55</v>
      </c>
    </row>
    <row r="2072" spans="1:18" x14ac:dyDescent="0.2">
      <c r="A2072" s="948" t="s">
        <v>408</v>
      </c>
      <c r="B2072" s="948">
        <v>581199</v>
      </c>
      <c r="C2072" s="948" t="s">
        <v>2189</v>
      </c>
      <c r="D2072" s="948" t="s">
        <v>668</v>
      </c>
      <c r="E2072" s="951">
        <v>147</v>
      </c>
      <c r="F2072" s="951">
        <v>118</v>
      </c>
      <c r="G2072" s="948" t="s">
        <v>159</v>
      </c>
      <c r="H2072" s="951">
        <v>102</v>
      </c>
      <c r="I2072" s="951">
        <v>18</v>
      </c>
      <c r="J2072" s="948" t="s">
        <v>408</v>
      </c>
      <c r="K2072" s="948">
        <v>581199</v>
      </c>
      <c r="M2072" s="633"/>
      <c r="P2072" s="950" t="str">
        <f>VLOOKUP(J2072,'רשימת רשויות'!A:A,1,0)</f>
        <v>תל אביב-יפו</v>
      </c>
      <c r="Q2072" s="956">
        <f>IFERROR(VLOOKUP(B2072,[2]מעובד!$D:$K,8,0),0)</f>
        <v>225</v>
      </c>
      <c r="R2072" s="956">
        <f>IFERROR(VLOOKUP(B2072,[2]מעובד!$D:$L,9,0),0)</f>
        <v>78</v>
      </c>
    </row>
    <row r="2073" spans="1:18" x14ac:dyDescent="0.2">
      <c r="A2073" s="947" t="s">
        <v>408</v>
      </c>
      <c r="B2073" s="947">
        <v>581348</v>
      </c>
      <c r="C2073" s="947" t="s">
        <v>2189</v>
      </c>
      <c r="D2073" s="947" t="s">
        <v>502</v>
      </c>
      <c r="E2073" s="951">
        <v>167</v>
      </c>
      <c r="F2073" s="951">
        <v>156</v>
      </c>
      <c r="G2073" s="953" t="s">
        <v>159</v>
      </c>
      <c r="H2073" s="951">
        <v>0</v>
      </c>
      <c r="I2073" s="951">
        <v>0</v>
      </c>
      <c r="J2073" s="947" t="s">
        <v>408</v>
      </c>
      <c r="K2073" s="947">
        <v>581348</v>
      </c>
      <c r="M2073" s="636"/>
      <c r="P2073" s="950" t="str">
        <f>VLOOKUP(J2073,'רשימת רשויות'!A:A,1,0)</f>
        <v>תל אביב-יפו</v>
      </c>
      <c r="Q2073" s="956">
        <f>IFERROR(VLOOKUP(B2073,[2]מעובד!$D:$K,8,0),0)</f>
        <v>0</v>
      </c>
      <c r="R2073" s="956">
        <f>IFERROR(VLOOKUP(B2073,[2]מעובד!$D:$L,9,0),0)</f>
        <v>0</v>
      </c>
    </row>
    <row r="2074" spans="1:18" x14ac:dyDescent="0.2">
      <c r="A2074" s="947" t="s">
        <v>235</v>
      </c>
      <c r="B2074" s="947">
        <v>581355</v>
      </c>
      <c r="C2074" s="947" t="s">
        <v>2189</v>
      </c>
      <c r="D2074" s="947" t="s">
        <v>2235</v>
      </c>
      <c r="E2074" s="951">
        <v>101</v>
      </c>
      <c r="F2074" s="951">
        <v>80</v>
      </c>
      <c r="G2074" s="947" t="s">
        <v>159</v>
      </c>
      <c r="H2074" s="951">
        <v>0</v>
      </c>
      <c r="I2074" s="951">
        <v>0</v>
      </c>
      <c r="J2074" s="947" t="s">
        <v>235</v>
      </c>
      <c r="K2074" s="947">
        <v>581355</v>
      </c>
      <c r="M2074" s="631"/>
      <c r="P2074" s="950" t="str">
        <f>VLOOKUP(J2074,'רשימת רשויות'!A:A,1,0)</f>
        <v>הרצליה</v>
      </c>
      <c r="Q2074" s="956">
        <f>IFERROR(VLOOKUP(B2074,[2]מעובד!$D:$K,8,0),0)</f>
        <v>0</v>
      </c>
      <c r="R2074" s="956">
        <f>IFERROR(VLOOKUP(B2074,[2]מעובד!$D:$L,9,0),0)</f>
        <v>0</v>
      </c>
    </row>
    <row r="2075" spans="1:18" x14ac:dyDescent="0.2">
      <c r="A2075" s="947" t="s">
        <v>363</v>
      </c>
      <c r="B2075" s="947">
        <v>581363</v>
      </c>
      <c r="C2075" s="947" t="s">
        <v>2189</v>
      </c>
      <c r="D2075" s="947" t="s">
        <v>1205</v>
      </c>
      <c r="E2075" s="951">
        <v>115</v>
      </c>
      <c r="F2075" s="951">
        <v>113</v>
      </c>
      <c r="G2075" s="947" t="s">
        <v>159</v>
      </c>
      <c r="H2075" s="951">
        <v>0</v>
      </c>
      <c r="I2075" s="951">
        <v>0</v>
      </c>
      <c r="J2075" s="947" t="s">
        <v>363</v>
      </c>
      <c r="K2075" s="947">
        <v>581363</v>
      </c>
      <c r="M2075" s="631"/>
      <c r="P2075" s="950" t="str">
        <f>VLOOKUP(J2075,'רשימת רשויות'!A:A,1,0)</f>
        <v>פתח תקוה</v>
      </c>
      <c r="Q2075" s="956">
        <f>IFERROR(VLOOKUP(B2075,[2]מעובד!$D:$K,8,0),0)</f>
        <v>0</v>
      </c>
      <c r="R2075" s="956">
        <f>IFERROR(VLOOKUP(B2075,[2]מעובד!$D:$L,9,0),0)</f>
        <v>0</v>
      </c>
    </row>
    <row r="2076" spans="1:18" x14ac:dyDescent="0.2">
      <c r="A2076" s="947" t="s">
        <v>336</v>
      </c>
      <c r="B2076" s="947">
        <v>581397</v>
      </c>
      <c r="C2076" s="947" t="s">
        <v>2189</v>
      </c>
      <c r="D2076" s="947" t="s">
        <v>669</v>
      </c>
      <c r="E2076" s="951">
        <v>247</v>
      </c>
      <c r="F2076" s="951">
        <v>145</v>
      </c>
      <c r="G2076" s="947" t="s">
        <v>159</v>
      </c>
      <c r="H2076" s="951">
        <v>0</v>
      </c>
      <c r="I2076" s="951">
        <v>0</v>
      </c>
      <c r="J2076" s="947" t="s">
        <v>336</v>
      </c>
      <c r="K2076" s="957" t="s">
        <v>3351</v>
      </c>
      <c r="M2076" s="631"/>
      <c r="P2076" s="950" t="str">
        <f>VLOOKUP(J2076,'רשימת רשויות'!A:A,1,0)</f>
        <v>נתניה</v>
      </c>
      <c r="Q2076" s="956">
        <f>IFERROR(VLOOKUP(B2076,[2]מעובד!$D:$K,8,0),0)</f>
        <v>123</v>
      </c>
      <c r="R2076" s="956">
        <f>IFERROR(VLOOKUP(B2076,[2]מעובד!$D:$L,9,0),0)</f>
        <v>123</v>
      </c>
    </row>
    <row r="2077" spans="1:18" x14ac:dyDescent="0.2">
      <c r="A2077" s="947" t="s">
        <v>235</v>
      </c>
      <c r="B2077" s="947">
        <v>581413</v>
      </c>
      <c r="C2077" s="947" t="s">
        <v>2189</v>
      </c>
      <c r="D2077" s="947" t="s">
        <v>789</v>
      </c>
      <c r="E2077" s="951">
        <v>395</v>
      </c>
      <c r="F2077" s="951">
        <v>335</v>
      </c>
      <c r="G2077" s="947" t="s">
        <v>159</v>
      </c>
      <c r="H2077" s="951">
        <v>0</v>
      </c>
      <c r="I2077" s="951">
        <v>0</v>
      </c>
      <c r="J2077" s="947" t="s">
        <v>235</v>
      </c>
      <c r="K2077" s="947">
        <v>581413</v>
      </c>
      <c r="M2077" s="631"/>
      <c r="P2077" s="950" t="str">
        <f>VLOOKUP(J2077,'רשימת רשויות'!A:A,1,0)</f>
        <v>הרצליה</v>
      </c>
      <c r="Q2077" s="956">
        <f>IFERROR(VLOOKUP(B2077,[2]מעובד!$D:$K,8,0),0)</f>
        <v>249</v>
      </c>
      <c r="R2077" s="956">
        <f>IFERROR(VLOOKUP(B2077,[2]מעובד!$D:$L,9,0),0)</f>
        <v>140</v>
      </c>
    </row>
    <row r="2078" spans="1:18" x14ac:dyDescent="0.2">
      <c r="A2078" s="947" t="s">
        <v>165</v>
      </c>
      <c r="B2078" s="947">
        <v>581421</v>
      </c>
      <c r="C2078" s="947" t="s">
        <v>2189</v>
      </c>
      <c r="D2078" s="947" t="s">
        <v>451</v>
      </c>
      <c r="E2078" s="951">
        <v>310</v>
      </c>
      <c r="F2078" s="951">
        <v>210</v>
      </c>
      <c r="G2078" s="947" t="s">
        <v>159</v>
      </c>
      <c r="H2078" s="951">
        <v>73</v>
      </c>
      <c r="I2078" s="951">
        <v>0</v>
      </c>
      <c r="J2078" s="947" t="s">
        <v>165</v>
      </c>
      <c r="K2078" s="947">
        <v>581421</v>
      </c>
      <c r="M2078" s="631"/>
      <c r="P2078" s="950" t="str">
        <f>VLOOKUP(J2078,'רשימת רשויות'!A:A,1,0)</f>
        <v>אור יהודה</v>
      </c>
      <c r="Q2078" s="956">
        <f>IFERROR(VLOOKUP(B2078,[2]מעובד!$D:$K,8,0),0)</f>
        <v>334</v>
      </c>
      <c r="R2078" s="956">
        <f>IFERROR(VLOOKUP(B2078,[2]מעובד!$D:$L,9,0),0)</f>
        <v>187</v>
      </c>
    </row>
    <row r="2079" spans="1:18" x14ac:dyDescent="0.2">
      <c r="A2079" s="947" t="s">
        <v>235</v>
      </c>
      <c r="B2079" s="947">
        <v>581470</v>
      </c>
      <c r="C2079" s="947" t="s">
        <v>2189</v>
      </c>
      <c r="D2079" s="947" t="s">
        <v>2459</v>
      </c>
      <c r="E2079" s="951">
        <v>350</v>
      </c>
      <c r="F2079" s="951">
        <v>296</v>
      </c>
      <c r="G2079" s="947" t="s">
        <v>159</v>
      </c>
      <c r="H2079" s="951">
        <v>0</v>
      </c>
      <c r="I2079" s="951">
        <v>0</v>
      </c>
      <c r="J2079" s="947" t="s">
        <v>235</v>
      </c>
      <c r="K2079" s="947">
        <v>581470</v>
      </c>
      <c r="M2079" s="631"/>
      <c r="P2079" s="950" t="str">
        <f>VLOOKUP(J2079,'רשימת רשויות'!A:A,1,0)</f>
        <v>הרצליה</v>
      </c>
      <c r="Q2079" s="956">
        <f>IFERROR(VLOOKUP(B2079,[2]מעובד!$D:$K,8,0),0)</f>
        <v>185</v>
      </c>
      <c r="R2079" s="956">
        <f>IFERROR(VLOOKUP(B2079,[2]מעובד!$D:$L,9,0),0)</f>
        <v>122</v>
      </c>
    </row>
    <row r="2080" spans="1:18" x14ac:dyDescent="0.2">
      <c r="A2080" s="947" t="s">
        <v>245</v>
      </c>
      <c r="B2080" s="947">
        <v>581488</v>
      </c>
      <c r="C2080" s="947" t="s">
        <v>2189</v>
      </c>
      <c r="D2080" s="947" t="s">
        <v>2460</v>
      </c>
      <c r="E2080" s="951">
        <v>271</v>
      </c>
      <c r="F2080" s="951">
        <v>215</v>
      </c>
      <c r="G2080" s="947" t="s">
        <v>159</v>
      </c>
      <c r="H2080" s="951">
        <v>0</v>
      </c>
      <c r="I2080" s="951">
        <v>0</v>
      </c>
      <c r="J2080" s="947" t="s">
        <v>245</v>
      </c>
      <c r="K2080" s="947">
        <v>581488</v>
      </c>
      <c r="M2080" s="631"/>
      <c r="P2080" s="950" t="str">
        <f>VLOOKUP(J2080,'רשימת רשויות'!A:A,1,0)</f>
        <v>חולון</v>
      </c>
      <c r="Q2080" s="956">
        <f>IFERROR(VLOOKUP(B2080,[2]מעובד!$D:$K,8,0),0)</f>
        <v>68</v>
      </c>
      <c r="R2080" s="956">
        <f>IFERROR(VLOOKUP(B2080,[2]מעובד!$D:$L,9,0),0)</f>
        <v>68</v>
      </c>
    </row>
    <row r="2081" spans="1:18" x14ac:dyDescent="0.2">
      <c r="A2081" s="947" t="s">
        <v>363</v>
      </c>
      <c r="B2081" s="947">
        <v>581504</v>
      </c>
      <c r="C2081" s="947" t="s">
        <v>2189</v>
      </c>
      <c r="D2081" s="947" t="s">
        <v>2461</v>
      </c>
      <c r="E2081" s="951">
        <v>147</v>
      </c>
      <c r="F2081" s="951">
        <v>147</v>
      </c>
      <c r="G2081" s="947" t="s">
        <v>159</v>
      </c>
      <c r="H2081" s="951">
        <v>0</v>
      </c>
      <c r="I2081" s="951">
        <v>0</v>
      </c>
      <c r="J2081" s="947" t="s">
        <v>363</v>
      </c>
      <c r="K2081" s="947">
        <v>581504</v>
      </c>
      <c r="M2081" s="631"/>
      <c r="P2081" s="950" t="str">
        <f>VLOOKUP(J2081,'רשימת רשויות'!A:A,1,0)</f>
        <v>פתח תקוה</v>
      </c>
      <c r="Q2081" s="956">
        <f>IFERROR(VLOOKUP(B2081,[2]מעובד!$D:$K,8,0),0)</f>
        <v>38</v>
      </c>
      <c r="R2081" s="956">
        <f>IFERROR(VLOOKUP(B2081,[2]מעובד!$D:$L,9,0),0)</f>
        <v>38</v>
      </c>
    </row>
    <row r="2082" spans="1:18" x14ac:dyDescent="0.2">
      <c r="A2082" s="947" t="s">
        <v>198</v>
      </c>
      <c r="B2082" s="947">
        <v>581512</v>
      </c>
      <c r="C2082" s="947" t="s">
        <v>2189</v>
      </c>
      <c r="D2082" s="947" t="s">
        <v>2513</v>
      </c>
      <c r="E2082" s="951">
        <v>70</v>
      </c>
      <c r="F2082" s="951">
        <v>70</v>
      </c>
      <c r="G2082" s="947" t="s">
        <v>159</v>
      </c>
      <c r="H2082" s="951">
        <v>0</v>
      </c>
      <c r="I2082" s="951">
        <v>0</v>
      </c>
      <c r="J2082" s="947" t="s">
        <v>198</v>
      </c>
      <c r="K2082" s="947">
        <v>581512</v>
      </c>
      <c r="M2082" s="631"/>
      <c r="P2082" s="950" t="str">
        <f>VLOOKUP(J2082,'רשימת רשויות'!A:A,1,0)</f>
        <v>בני ברק</v>
      </c>
      <c r="Q2082" s="956">
        <f>IFERROR(VLOOKUP(B2082,[2]מעובד!$D:$K,8,0),0)</f>
        <v>66</v>
      </c>
      <c r="R2082" s="956">
        <f>IFERROR(VLOOKUP(B2082,[2]מעובד!$D:$L,9,0),0)</f>
        <v>66</v>
      </c>
    </row>
    <row r="2083" spans="1:18" x14ac:dyDescent="0.2">
      <c r="A2083" s="947" t="s">
        <v>408</v>
      </c>
      <c r="B2083" s="947">
        <v>581520</v>
      </c>
      <c r="C2083" s="947" t="s">
        <v>2189</v>
      </c>
      <c r="D2083" s="947" t="s">
        <v>2670</v>
      </c>
      <c r="E2083" s="951">
        <v>115</v>
      </c>
      <c r="F2083" s="951">
        <v>105</v>
      </c>
      <c r="G2083" s="947" t="s">
        <v>159</v>
      </c>
      <c r="H2083" s="951">
        <v>0</v>
      </c>
      <c r="I2083" s="951">
        <v>0</v>
      </c>
      <c r="J2083" s="947" t="s">
        <v>408</v>
      </c>
      <c r="K2083" s="947">
        <v>581520</v>
      </c>
      <c r="M2083" s="631"/>
      <c r="P2083" s="950" t="str">
        <f>VLOOKUP(J2083,'רשימת רשויות'!A:A,1,0)</f>
        <v>תל אביב-יפו</v>
      </c>
      <c r="Q2083" s="956">
        <f>IFERROR(VLOOKUP(B2083,[2]מעובד!$D:$K,8,0),0)</f>
        <v>0</v>
      </c>
      <c r="R2083" s="956">
        <f>IFERROR(VLOOKUP(B2083,[2]מעובד!$D:$L,9,0),0)</f>
        <v>0</v>
      </c>
    </row>
    <row r="2084" spans="1:18" x14ac:dyDescent="0.2">
      <c r="A2084" s="947" t="s">
        <v>165</v>
      </c>
      <c r="B2084" s="947">
        <v>581611</v>
      </c>
      <c r="C2084" s="947" t="s">
        <v>2189</v>
      </c>
      <c r="D2084" s="947" t="s">
        <v>804</v>
      </c>
      <c r="E2084" s="951">
        <v>214</v>
      </c>
      <c r="F2084" s="951">
        <v>174</v>
      </c>
      <c r="G2084" s="947" t="s">
        <v>159</v>
      </c>
      <c r="H2084" s="951">
        <v>0</v>
      </c>
      <c r="I2084" s="951">
        <v>0</v>
      </c>
      <c r="J2084" s="947" t="s">
        <v>165</v>
      </c>
      <c r="K2084" s="947">
        <v>581611</v>
      </c>
      <c r="M2084" s="631"/>
      <c r="P2084" s="950" t="str">
        <f>VLOOKUP(J2084,'רשימת רשויות'!A:A,1,0)</f>
        <v>אור יהודה</v>
      </c>
      <c r="Q2084" s="956">
        <f>IFERROR(VLOOKUP(B2084,[2]מעובד!$D:$K,8,0),0)</f>
        <v>0</v>
      </c>
      <c r="R2084" s="956">
        <f>IFERROR(VLOOKUP(B2084,[2]מעובד!$D:$L,9,0),0)</f>
        <v>0</v>
      </c>
    </row>
    <row r="2085" spans="1:18" x14ac:dyDescent="0.2">
      <c r="A2085" s="947" t="s">
        <v>369</v>
      </c>
      <c r="B2085" s="947">
        <v>581629</v>
      </c>
      <c r="C2085" s="947" t="s">
        <v>2189</v>
      </c>
      <c r="D2085" s="947" t="s">
        <v>2709</v>
      </c>
      <c r="E2085" s="951">
        <v>143</v>
      </c>
      <c r="F2085" s="951">
        <v>143</v>
      </c>
      <c r="G2085" s="947" t="s">
        <v>159</v>
      </c>
      <c r="H2085" s="951">
        <v>0</v>
      </c>
      <c r="I2085" s="951">
        <v>0</v>
      </c>
      <c r="J2085" s="947" t="s">
        <v>369</v>
      </c>
      <c r="K2085" s="947">
        <v>581629</v>
      </c>
      <c r="M2085" s="631"/>
      <c r="P2085" s="950" t="str">
        <f>VLOOKUP(J2085,'רשימת רשויות'!A:A,1,0)</f>
        <v>קרית אונו</v>
      </c>
      <c r="Q2085" s="956">
        <f>IFERROR(VLOOKUP(B2085,[2]מעובד!$D:$K,8,0),0)</f>
        <v>103</v>
      </c>
      <c r="R2085" s="956">
        <f>IFERROR(VLOOKUP(B2085,[2]מעובד!$D:$L,9,0),0)</f>
        <v>94</v>
      </c>
    </row>
    <row r="2086" spans="1:18" x14ac:dyDescent="0.2">
      <c r="A2086" s="947" t="s">
        <v>235</v>
      </c>
      <c r="B2086" s="947">
        <v>581637</v>
      </c>
      <c r="C2086" s="947" t="s">
        <v>2189</v>
      </c>
      <c r="D2086" s="947" t="s">
        <v>3102</v>
      </c>
      <c r="E2086" s="951">
        <v>118</v>
      </c>
      <c r="F2086" s="951">
        <v>118</v>
      </c>
      <c r="G2086" s="947" t="s">
        <v>159</v>
      </c>
      <c r="H2086" s="951">
        <v>0</v>
      </c>
      <c r="I2086" s="951">
        <v>0</v>
      </c>
      <c r="J2086" s="947" t="s">
        <v>235</v>
      </c>
      <c r="K2086" s="947">
        <v>581637</v>
      </c>
      <c r="M2086" s="631"/>
      <c r="P2086" s="950" t="str">
        <f>VLOOKUP(J2086,'רשימת רשויות'!A:A,1,0)</f>
        <v>הרצליה</v>
      </c>
      <c r="Q2086" s="956">
        <f>IFERROR(VLOOKUP(B2086,[2]מעובד!$D:$K,8,0),0)</f>
        <v>0</v>
      </c>
      <c r="R2086" s="956">
        <f>IFERROR(VLOOKUP(B2086,[2]מעובד!$D:$L,9,0),0)</f>
        <v>0</v>
      </c>
    </row>
    <row r="2087" spans="1:18" x14ac:dyDescent="0.2">
      <c r="A2087" s="947" t="s">
        <v>235</v>
      </c>
      <c r="B2087" s="947">
        <v>581645</v>
      </c>
      <c r="C2087" s="947" t="s">
        <v>2189</v>
      </c>
      <c r="D2087" s="947" t="s">
        <v>3103</v>
      </c>
      <c r="E2087" s="951">
        <v>91</v>
      </c>
      <c r="F2087" s="951">
        <v>91</v>
      </c>
      <c r="G2087" s="947" t="s">
        <v>159</v>
      </c>
      <c r="H2087" s="951">
        <v>0</v>
      </c>
      <c r="I2087" s="951">
        <v>0</v>
      </c>
      <c r="J2087" s="947" t="s">
        <v>235</v>
      </c>
      <c r="K2087" s="947">
        <v>581645</v>
      </c>
      <c r="M2087" s="631"/>
      <c r="P2087" s="950" t="str">
        <f>VLOOKUP(J2087,'רשימת רשויות'!A:A,1,0)</f>
        <v>הרצליה</v>
      </c>
      <c r="Q2087" s="956">
        <f>IFERROR(VLOOKUP(B2087,[2]מעובד!$D:$K,8,0),0)</f>
        <v>0</v>
      </c>
      <c r="R2087" s="956">
        <f>IFERROR(VLOOKUP(B2087,[2]מעובד!$D:$L,9,0),0)</f>
        <v>0</v>
      </c>
    </row>
    <row r="2088" spans="1:18" x14ac:dyDescent="0.2">
      <c r="A2088" s="947" t="s">
        <v>408</v>
      </c>
      <c r="B2088" s="947">
        <v>581652</v>
      </c>
      <c r="C2088" s="947" t="s">
        <v>2189</v>
      </c>
      <c r="D2088" s="947" t="s">
        <v>2690</v>
      </c>
      <c r="E2088" s="951">
        <v>132</v>
      </c>
      <c r="F2088" s="951">
        <v>130</v>
      </c>
      <c r="G2088" s="947" t="s">
        <v>159</v>
      </c>
      <c r="H2088" s="951">
        <v>0</v>
      </c>
      <c r="I2088" s="951">
        <v>0</v>
      </c>
      <c r="J2088" s="947" t="s">
        <v>408</v>
      </c>
      <c r="K2088" s="947">
        <v>581652</v>
      </c>
      <c r="M2088" s="631"/>
      <c r="P2088" s="950" t="str">
        <f>VLOOKUP(J2088,'רשימת רשויות'!A:A,1,0)</f>
        <v>תל אביב-יפו</v>
      </c>
      <c r="Q2088" s="956">
        <f>IFERROR(VLOOKUP(B2088,[2]מעובד!$D:$K,8,0),0)</f>
        <v>0</v>
      </c>
      <c r="R2088" s="956">
        <f>IFERROR(VLOOKUP(B2088,[2]מעובד!$D:$L,9,0),0)</f>
        <v>0</v>
      </c>
    </row>
    <row r="2089" spans="1:18" x14ac:dyDescent="0.2">
      <c r="A2089" s="947" t="s">
        <v>408</v>
      </c>
      <c r="B2089" s="947">
        <v>581686</v>
      </c>
      <c r="C2089" s="947" t="s">
        <v>2189</v>
      </c>
      <c r="D2089" s="947" t="s">
        <v>3104</v>
      </c>
      <c r="E2089" s="951">
        <v>21</v>
      </c>
      <c r="F2089" s="951">
        <v>21</v>
      </c>
      <c r="G2089" s="947" t="s">
        <v>159</v>
      </c>
      <c r="H2089" s="951">
        <v>0</v>
      </c>
      <c r="I2089" s="951">
        <v>0</v>
      </c>
      <c r="J2089" s="947" t="s">
        <v>408</v>
      </c>
      <c r="K2089" s="957" t="s">
        <v>3352</v>
      </c>
      <c r="M2089" s="631"/>
      <c r="P2089" s="950" t="str">
        <f>VLOOKUP(J2089,'רשימת רשויות'!A:A,1,0)</f>
        <v>תל אביב-יפו</v>
      </c>
      <c r="Q2089" s="956">
        <f>IFERROR(VLOOKUP(B2089,[2]מעובד!$D:$K,8,0),0)</f>
        <v>0</v>
      </c>
      <c r="R2089" s="956">
        <f>IFERROR(VLOOKUP(B2089,[2]מעובד!$D:$L,9,0),0)</f>
        <v>0</v>
      </c>
    </row>
    <row r="2090" spans="1:18" x14ac:dyDescent="0.2">
      <c r="A2090" s="947" t="s">
        <v>408</v>
      </c>
      <c r="B2090" s="947">
        <v>581694</v>
      </c>
      <c r="C2090" s="947" t="s">
        <v>2189</v>
      </c>
      <c r="D2090" s="947" t="s">
        <v>3105</v>
      </c>
      <c r="E2090" s="951">
        <v>41</v>
      </c>
      <c r="F2090" s="951">
        <v>41</v>
      </c>
      <c r="G2090" s="947" t="s">
        <v>159</v>
      </c>
      <c r="H2090" s="951">
        <v>0</v>
      </c>
      <c r="I2090" s="951">
        <v>0</v>
      </c>
      <c r="J2090" s="947" t="s">
        <v>408</v>
      </c>
      <c r="K2090" s="957" t="s">
        <v>3353</v>
      </c>
      <c r="M2090" s="631"/>
      <c r="P2090" s="950" t="str">
        <f>VLOOKUP(J2090,'רשימת רשויות'!A:A,1,0)</f>
        <v>תל אביב-יפו</v>
      </c>
      <c r="Q2090" s="956">
        <f>IFERROR(VLOOKUP(B2090,[2]מעובד!$D:$K,8,0),0)</f>
        <v>0</v>
      </c>
      <c r="R2090" s="956">
        <f>IFERROR(VLOOKUP(B2090,[2]מעובד!$D:$L,9,0),0)</f>
        <v>0</v>
      </c>
    </row>
    <row r="2091" spans="1:18" x14ac:dyDescent="0.2">
      <c r="A2091" s="947" t="s">
        <v>198</v>
      </c>
      <c r="B2091" s="947">
        <v>582031</v>
      </c>
      <c r="C2091" s="947" t="s">
        <v>2189</v>
      </c>
      <c r="D2091" s="947" t="s">
        <v>2498</v>
      </c>
      <c r="E2091" s="951">
        <v>60</v>
      </c>
      <c r="F2091" s="951">
        <v>60</v>
      </c>
      <c r="G2091" s="947" t="s">
        <v>159</v>
      </c>
      <c r="H2091" s="951">
        <v>0</v>
      </c>
      <c r="I2091" s="951">
        <v>0</v>
      </c>
      <c r="J2091" s="947" t="s">
        <v>198</v>
      </c>
      <c r="K2091" s="947">
        <v>582031</v>
      </c>
      <c r="M2091" s="631"/>
      <c r="P2091" s="950" t="str">
        <f>VLOOKUP(J2091,'רשימת רשויות'!A:A,1,0)</f>
        <v>בני ברק</v>
      </c>
      <c r="Q2091" s="956">
        <f>IFERROR(VLOOKUP(B2091,[2]מעובד!$D:$K,8,0),0)</f>
        <v>0</v>
      </c>
      <c r="R2091" s="956">
        <f>IFERROR(VLOOKUP(B2091,[2]מעובד!$D:$L,9,0),0)</f>
        <v>0</v>
      </c>
    </row>
    <row r="2092" spans="1:18" x14ac:dyDescent="0.2">
      <c r="A2092" s="947" t="s">
        <v>245</v>
      </c>
      <c r="B2092" s="947">
        <v>582056</v>
      </c>
      <c r="C2092" s="947" t="s">
        <v>2189</v>
      </c>
      <c r="D2092" s="947" t="s">
        <v>1241</v>
      </c>
      <c r="E2092" s="951">
        <v>150</v>
      </c>
      <c r="F2092" s="951">
        <v>0</v>
      </c>
      <c r="G2092" s="947" t="s">
        <v>159</v>
      </c>
      <c r="H2092" s="951">
        <v>0</v>
      </c>
      <c r="I2092" s="951">
        <v>0</v>
      </c>
      <c r="J2092" s="947" t="s">
        <v>245</v>
      </c>
      <c r="K2092" s="947">
        <v>582056</v>
      </c>
      <c r="M2092" s="631"/>
      <c r="P2092" s="950" t="str">
        <f>VLOOKUP(J2092,'רשימת רשויות'!A:A,1,0)</f>
        <v>חולון</v>
      </c>
      <c r="Q2092" s="956">
        <f>IFERROR(VLOOKUP(B2092,[2]מעובד!$D:$K,8,0),0)</f>
        <v>0</v>
      </c>
      <c r="R2092" s="956">
        <f>IFERROR(VLOOKUP(B2092,[2]מעובד!$D:$L,9,0),0)</f>
        <v>0</v>
      </c>
    </row>
    <row r="2093" spans="1:18" x14ac:dyDescent="0.2">
      <c r="A2093" s="947" t="s">
        <v>219</v>
      </c>
      <c r="B2093" s="947">
        <v>582502</v>
      </c>
      <c r="C2093" s="947" t="s">
        <v>2189</v>
      </c>
      <c r="D2093" s="947" t="s">
        <v>2462</v>
      </c>
      <c r="E2093" s="951">
        <v>145</v>
      </c>
      <c r="F2093" s="951">
        <v>128</v>
      </c>
      <c r="G2093" s="947" t="s">
        <v>159</v>
      </c>
      <c r="H2093" s="951">
        <v>0</v>
      </c>
      <c r="I2093" s="951">
        <v>0</v>
      </c>
      <c r="J2093" s="947" t="s">
        <v>219</v>
      </c>
      <c r="K2093" s="947">
        <v>582502</v>
      </c>
      <c r="M2093" s="631"/>
      <c r="P2093" s="950" t="str">
        <f>VLOOKUP(J2093,'רשימת רשויות'!A:A,1,0)</f>
        <v>גוש עציון</v>
      </c>
      <c r="Q2093" s="956">
        <f>IFERROR(VLOOKUP(B2093,[2]מעובד!$D:$K,8,0),0)</f>
        <v>97</v>
      </c>
      <c r="R2093" s="956">
        <f>IFERROR(VLOOKUP(B2093,[2]מעובד!$D:$L,9,0),0)</f>
        <v>42</v>
      </c>
    </row>
    <row r="2094" spans="1:18" x14ac:dyDescent="0.2">
      <c r="A2094" s="947" t="s">
        <v>212</v>
      </c>
      <c r="B2094" s="947">
        <v>582510</v>
      </c>
      <c r="C2094" s="947" t="s">
        <v>2189</v>
      </c>
      <c r="D2094" s="947" t="s">
        <v>1206</v>
      </c>
      <c r="E2094" s="951">
        <v>156</v>
      </c>
      <c r="F2094" s="951">
        <v>131</v>
      </c>
      <c r="G2094" s="947" t="s">
        <v>159</v>
      </c>
      <c r="H2094" s="951">
        <v>109</v>
      </c>
      <c r="I2094" s="951">
        <v>14</v>
      </c>
      <c r="J2094" s="947" t="s">
        <v>212</v>
      </c>
      <c r="K2094" s="947">
        <v>582510</v>
      </c>
      <c r="M2094" s="631"/>
      <c r="P2094" s="950" t="str">
        <f>VLOOKUP(J2094,'רשימת רשויות'!A:A,1,0)</f>
        <v>גבעת זאב</v>
      </c>
      <c r="Q2094" s="956">
        <f>IFERROR(VLOOKUP(B2094,[2]מעובד!$D:$K,8,0),0)</f>
        <v>108</v>
      </c>
      <c r="R2094" s="956">
        <f>IFERROR(VLOOKUP(B2094,[2]מעובד!$D:$L,9,0),0)</f>
        <v>93</v>
      </c>
    </row>
    <row r="2095" spans="1:18" x14ac:dyDescent="0.2">
      <c r="A2095" s="947" t="s">
        <v>328</v>
      </c>
      <c r="B2095" s="947">
        <v>600007</v>
      </c>
      <c r="C2095" s="947" t="s">
        <v>2189</v>
      </c>
      <c r="D2095" s="947" t="s">
        <v>832</v>
      </c>
      <c r="E2095" s="951">
        <v>205</v>
      </c>
      <c r="F2095" s="951">
        <v>193</v>
      </c>
      <c r="G2095" s="947" t="s">
        <v>159</v>
      </c>
      <c r="H2095" s="951">
        <v>0</v>
      </c>
      <c r="I2095" s="951">
        <v>0</v>
      </c>
      <c r="J2095" s="947" t="s">
        <v>328</v>
      </c>
      <c r="K2095" s="947">
        <v>600007</v>
      </c>
      <c r="M2095" s="631"/>
      <c r="P2095" s="950" t="str">
        <f>VLOOKUP(J2095,'רשימת רשויות'!A:A,1,0)</f>
        <v>נווה מדבר</v>
      </c>
      <c r="Q2095" s="956">
        <f>IFERROR(VLOOKUP(B2095,[2]מעובד!$D:$K,8,0),0)</f>
        <v>148</v>
      </c>
      <c r="R2095" s="956">
        <f>IFERROR(VLOOKUP(B2095,[2]מעובד!$D:$L,9,0),0)</f>
        <v>148</v>
      </c>
    </row>
    <row r="2096" spans="1:18" x14ac:dyDescent="0.2">
      <c r="A2096" s="947" t="s">
        <v>406</v>
      </c>
      <c r="B2096" s="947">
        <v>610014</v>
      </c>
      <c r="C2096" s="947" t="s">
        <v>2189</v>
      </c>
      <c r="D2096" s="947" t="s">
        <v>996</v>
      </c>
      <c r="E2096" s="951">
        <v>245</v>
      </c>
      <c r="F2096" s="951">
        <v>183</v>
      </c>
      <c r="G2096" s="947" t="s">
        <v>159</v>
      </c>
      <c r="H2096" s="951">
        <v>0</v>
      </c>
      <c r="I2096" s="951">
        <v>0</v>
      </c>
      <c r="J2096" s="947" t="s">
        <v>406</v>
      </c>
      <c r="K2096" s="947">
        <v>610014</v>
      </c>
      <c r="M2096" s="631"/>
      <c r="P2096" s="950" t="str">
        <f>VLOOKUP(J2096,'רשימת רשויות'!A:A,1,0)</f>
        <v>שפיר</v>
      </c>
      <c r="Q2096" s="956">
        <f>IFERROR(VLOOKUP(B2096,[2]מעובד!$D:$K,8,0),0)</f>
        <v>267</v>
      </c>
      <c r="R2096" s="956">
        <f>IFERROR(VLOOKUP(B2096,[2]מעובד!$D:$L,9,0),0)</f>
        <v>61</v>
      </c>
    </row>
    <row r="2097" spans="1:18" x14ac:dyDescent="0.2">
      <c r="A2097" s="947" t="s">
        <v>169</v>
      </c>
      <c r="B2097" s="947">
        <v>610030</v>
      </c>
      <c r="C2097" s="947" t="s">
        <v>2189</v>
      </c>
      <c r="D2097" s="947" t="s">
        <v>857</v>
      </c>
      <c r="E2097" s="951">
        <v>143</v>
      </c>
      <c r="F2097" s="951">
        <v>31</v>
      </c>
      <c r="G2097" s="947" t="s">
        <v>159</v>
      </c>
      <c r="H2097" s="951">
        <v>94</v>
      </c>
      <c r="I2097" s="951">
        <v>9</v>
      </c>
      <c r="J2097" s="947" t="s">
        <v>169</v>
      </c>
      <c r="K2097" s="947">
        <v>610030</v>
      </c>
      <c r="M2097" s="631"/>
      <c r="P2097" s="950" t="str">
        <f>VLOOKUP(J2097,'רשימת רשויות'!A:A,1,0)</f>
        <v>אילת</v>
      </c>
      <c r="Q2097" s="956">
        <f>IFERROR(VLOOKUP(B2097,[2]מעובד!$D:$K,8,0),0)</f>
        <v>135</v>
      </c>
      <c r="R2097" s="956">
        <f>IFERROR(VLOOKUP(B2097,[2]מעובד!$D:$L,9,0),0)</f>
        <v>27</v>
      </c>
    </row>
    <row r="2098" spans="1:18" x14ac:dyDescent="0.2">
      <c r="A2098" s="947" t="s">
        <v>169</v>
      </c>
      <c r="B2098" s="947">
        <v>610048</v>
      </c>
      <c r="C2098" s="947" t="s">
        <v>2189</v>
      </c>
      <c r="D2098" s="947" t="s">
        <v>858</v>
      </c>
      <c r="E2098" s="951">
        <v>206</v>
      </c>
      <c r="F2098" s="951">
        <v>146</v>
      </c>
      <c r="G2098" s="947" t="s">
        <v>159</v>
      </c>
      <c r="H2098" s="951">
        <v>71</v>
      </c>
      <c r="I2098" s="951">
        <v>5</v>
      </c>
      <c r="J2098" s="947" t="s">
        <v>169</v>
      </c>
      <c r="K2098" s="947">
        <v>610048</v>
      </c>
      <c r="M2098" s="631"/>
      <c r="P2098" s="950" t="str">
        <f>VLOOKUP(J2098,'רשימת רשויות'!A:A,1,0)</f>
        <v>אילת</v>
      </c>
      <c r="Q2098" s="956">
        <f>IFERROR(VLOOKUP(B2098,[2]מעובד!$D:$K,8,0),0)</f>
        <v>172</v>
      </c>
      <c r="R2098" s="956">
        <f>IFERROR(VLOOKUP(B2098,[2]מעובד!$D:$L,9,0),0)</f>
        <v>172</v>
      </c>
    </row>
    <row r="2099" spans="1:18" x14ac:dyDescent="0.2">
      <c r="A2099" s="947" t="s">
        <v>185</v>
      </c>
      <c r="B2099" s="947">
        <v>610055</v>
      </c>
      <c r="C2099" s="947" t="s">
        <v>2189</v>
      </c>
      <c r="D2099" s="947" t="s">
        <v>859</v>
      </c>
      <c r="E2099" s="951">
        <v>265</v>
      </c>
      <c r="F2099" s="951">
        <v>147</v>
      </c>
      <c r="G2099" s="947" t="s">
        <v>159</v>
      </c>
      <c r="H2099" s="951">
        <v>183</v>
      </c>
      <c r="I2099" s="951">
        <v>18</v>
      </c>
      <c r="J2099" s="947" t="s">
        <v>185</v>
      </c>
      <c r="K2099" s="947">
        <v>610055</v>
      </c>
      <c r="M2099" s="631"/>
      <c r="P2099" s="950" t="str">
        <f>VLOOKUP(J2099,'רשימת רשויות'!A:A,1,0)</f>
        <v>באר טוביה</v>
      </c>
      <c r="Q2099" s="956">
        <f>IFERROR(VLOOKUP(B2099,[2]מעובד!$D:$K,8,0),0)</f>
        <v>167</v>
      </c>
      <c r="R2099" s="956">
        <f>IFERROR(VLOOKUP(B2099,[2]מעובד!$D:$L,9,0),0)</f>
        <v>50</v>
      </c>
    </row>
    <row r="2100" spans="1:18" x14ac:dyDescent="0.2">
      <c r="A2100" s="947" t="s">
        <v>164</v>
      </c>
      <c r="B2100" s="947">
        <v>610063</v>
      </c>
      <c r="C2100" s="947" t="s">
        <v>2189</v>
      </c>
      <c r="D2100" s="947" t="s">
        <v>744</v>
      </c>
      <c r="E2100" s="951">
        <v>180</v>
      </c>
      <c r="F2100" s="951">
        <v>147</v>
      </c>
      <c r="G2100" s="947" t="s">
        <v>159</v>
      </c>
      <c r="H2100" s="951">
        <v>124</v>
      </c>
      <c r="I2100" s="951">
        <v>26</v>
      </c>
      <c r="J2100" s="947" t="s">
        <v>164</v>
      </c>
      <c r="K2100" s="947">
        <v>610063</v>
      </c>
      <c r="M2100" s="631"/>
      <c r="P2100" s="950" t="str">
        <f>VLOOKUP(J2100,'רשימת רשויות'!A:A,1,0)</f>
        <v>אופקים</v>
      </c>
      <c r="Q2100" s="956">
        <f>IFERROR(VLOOKUP(B2100,[2]מעובד!$D:$K,8,0),0)</f>
        <v>152</v>
      </c>
      <c r="R2100" s="956">
        <f>IFERROR(VLOOKUP(B2100,[2]מעובד!$D:$L,9,0),0)</f>
        <v>114</v>
      </c>
    </row>
    <row r="2101" spans="1:18" x14ac:dyDescent="0.2">
      <c r="A2101" s="947" t="s">
        <v>164</v>
      </c>
      <c r="B2101" s="947">
        <v>610071</v>
      </c>
      <c r="C2101" s="947" t="s">
        <v>2189</v>
      </c>
      <c r="D2101" s="947" t="s">
        <v>864</v>
      </c>
      <c r="E2101" s="951">
        <v>192</v>
      </c>
      <c r="F2101" s="951">
        <v>169</v>
      </c>
      <c r="G2101" s="947" t="s">
        <v>159</v>
      </c>
      <c r="H2101" s="951">
        <v>69</v>
      </c>
      <c r="I2101" s="951">
        <v>14</v>
      </c>
      <c r="J2101" s="947" t="s">
        <v>164</v>
      </c>
      <c r="K2101" s="947">
        <v>610071</v>
      </c>
      <c r="M2101" s="631"/>
      <c r="P2101" s="950" t="str">
        <f>VLOOKUP(J2101,'רשימת רשויות'!A:A,1,0)</f>
        <v>אופקים</v>
      </c>
      <c r="Q2101" s="956">
        <f>IFERROR(VLOOKUP(B2101,[2]מעובד!$D:$K,8,0),0)</f>
        <v>162</v>
      </c>
      <c r="R2101" s="956">
        <f>IFERROR(VLOOKUP(B2101,[2]מעובד!$D:$L,9,0),0)</f>
        <v>135</v>
      </c>
    </row>
    <row r="2102" spans="1:18" x14ac:dyDescent="0.2">
      <c r="A2102" s="947" t="s">
        <v>181</v>
      </c>
      <c r="B2102" s="947">
        <v>610097</v>
      </c>
      <c r="C2102" s="947" t="s">
        <v>2189</v>
      </c>
      <c r="D2102" s="947" t="s">
        <v>865</v>
      </c>
      <c r="E2102" s="951">
        <v>178</v>
      </c>
      <c r="F2102" s="951">
        <v>66</v>
      </c>
      <c r="G2102" s="947" t="s">
        <v>159</v>
      </c>
      <c r="H2102" s="951">
        <v>0</v>
      </c>
      <c r="I2102" s="951">
        <v>0</v>
      </c>
      <c r="J2102" s="947" t="s">
        <v>181</v>
      </c>
      <c r="K2102" s="947">
        <v>610097</v>
      </c>
      <c r="M2102" s="631"/>
      <c r="P2102" s="950" t="str">
        <f>VLOOKUP(J2102,'רשימת רשויות'!A:A,1,0)</f>
        <v>אשדוד</v>
      </c>
      <c r="Q2102" s="956">
        <f>IFERROR(VLOOKUP(B2102,[2]מעובד!$D:$K,8,0),0)</f>
        <v>176</v>
      </c>
      <c r="R2102" s="956">
        <f>IFERROR(VLOOKUP(B2102,[2]מעובד!$D:$L,9,0),0)</f>
        <v>62</v>
      </c>
    </row>
    <row r="2103" spans="1:18" x14ac:dyDescent="0.2">
      <c r="A2103" s="947" t="s">
        <v>373</v>
      </c>
      <c r="B2103" s="947">
        <v>610105</v>
      </c>
      <c r="C2103" s="947" t="s">
        <v>2189</v>
      </c>
      <c r="D2103" s="947" t="s">
        <v>2702</v>
      </c>
      <c r="E2103" s="951">
        <v>105</v>
      </c>
      <c r="F2103" s="951">
        <v>105</v>
      </c>
      <c r="G2103" s="947" t="s">
        <v>3252</v>
      </c>
      <c r="H2103" s="951">
        <v>0</v>
      </c>
      <c r="I2103" s="951">
        <v>0</v>
      </c>
      <c r="J2103" s="947" t="s">
        <v>373</v>
      </c>
      <c r="K2103" s="947">
        <v>610105</v>
      </c>
      <c r="M2103" s="631"/>
      <c r="P2103" s="950" t="str">
        <f>VLOOKUP(J2103,'רשימת רשויות'!A:A,1,0)</f>
        <v>קרית גת</v>
      </c>
      <c r="Q2103" s="956">
        <f>IFERROR(VLOOKUP(B2103,[2]מעובד!$D:$K,8,0),0)</f>
        <v>88</v>
      </c>
      <c r="R2103" s="956">
        <f>IFERROR(VLOOKUP(B2103,[2]מעובד!$D:$L,9,0),0)</f>
        <v>85</v>
      </c>
    </row>
    <row r="2104" spans="1:18" x14ac:dyDescent="0.2">
      <c r="A2104" s="947" t="s">
        <v>183</v>
      </c>
      <c r="B2104" s="947">
        <v>610121</v>
      </c>
      <c r="C2104" s="947" t="s">
        <v>2189</v>
      </c>
      <c r="D2104" s="947" t="s">
        <v>866</v>
      </c>
      <c r="E2104" s="951">
        <v>314</v>
      </c>
      <c r="F2104" s="951">
        <v>296</v>
      </c>
      <c r="G2104" s="947" t="s">
        <v>159</v>
      </c>
      <c r="H2104" s="951">
        <v>0</v>
      </c>
      <c r="I2104" s="951">
        <v>0</v>
      </c>
      <c r="J2104" s="947" t="s">
        <v>183</v>
      </c>
      <c r="K2104" s="947">
        <v>610121</v>
      </c>
      <c r="M2104" s="631"/>
      <c r="P2104" s="950" t="str">
        <f>VLOOKUP(J2104,'רשימת רשויות'!A:A,1,0)</f>
        <v>אשקלון</v>
      </c>
      <c r="Q2104" s="956">
        <f>IFERROR(VLOOKUP(B2104,[2]מעובד!$D:$K,8,0),0)</f>
        <v>332</v>
      </c>
      <c r="R2104" s="956">
        <f>IFERROR(VLOOKUP(B2104,[2]מעובד!$D:$L,9,0),0)</f>
        <v>112</v>
      </c>
    </row>
    <row r="2105" spans="1:18" x14ac:dyDescent="0.2">
      <c r="A2105" s="947" t="s">
        <v>183</v>
      </c>
      <c r="B2105" s="947">
        <v>610162</v>
      </c>
      <c r="C2105" s="947" t="s">
        <v>2189</v>
      </c>
      <c r="D2105" s="947" t="s">
        <v>534</v>
      </c>
      <c r="E2105" s="951">
        <v>156</v>
      </c>
      <c r="F2105" s="951">
        <v>128</v>
      </c>
      <c r="G2105" s="947" t="s">
        <v>159</v>
      </c>
      <c r="H2105" s="951">
        <v>0</v>
      </c>
      <c r="I2105" s="951">
        <v>0</v>
      </c>
      <c r="J2105" s="947" t="s">
        <v>183</v>
      </c>
      <c r="K2105" s="947">
        <v>610162</v>
      </c>
      <c r="M2105" s="631"/>
      <c r="P2105" s="950" t="str">
        <f>VLOOKUP(J2105,'רשימת רשויות'!A:A,1,0)</f>
        <v>אשקלון</v>
      </c>
      <c r="Q2105" s="956">
        <f>IFERROR(VLOOKUP(B2105,[2]מעובד!$D:$K,8,0),0)</f>
        <v>143</v>
      </c>
      <c r="R2105" s="956">
        <f>IFERROR(VLOOKUP(B2105,[2]מעובד!$D:$L,9,0),0)</f>
        <v>55</v>
      </c>
    </row>
    <row r="2106" spans="1:18" x14ac:dyDescent="0.2">
      <c r="A2106" s="947" t="s">
        <v>183</v>
      </c>
      <c r="B2106" s="947">
        <v>610188</v>
      </c>
      <c r="C2106" s="947" t="s">
        <v>2189</v>
      </c>
      <c r="D2106" s="947" t="s">
        <v>878</v>
      </c>
      <c r="E2106" s="951">
        <v>182</v>
      </c>
      <c r="F2106" s="951">
        <v>181</v>
      </c>
      <c r="G2106" s="947" t="s">
        <v>159</v>
      </c>
      <c r="H2106" s="951">
        <v>0</v>
      </c>
      <c r="I2106" s="951">
        <v>0</v>
      </c>
      <c r="J2106" s="947" t="s">
        <v>183</v>
      </c>
      <c r="K2106" s="947">
        <v>610188</v>
      </c>
      <c r="M2106" s="631"/>
      <c r="P2106" s="950" t="str">
        <f>VLOOKUP(J2106,'רשימת רשויות'!A:A,1,0)</f>
        <v>אשקלון</v>
      </c>
      <c r="Q2106" s="956">
        <f>IFERROR(VLOOKUP(B2106,[2]מעובד!$D:$K,8,0),0)</f>
        <v>208</v>
      </c>
      <c r="R2106" s="956">
        <f>IFERROR(VLOOKUP(B2106,[2]מעובד!$D:$L,9,0),0)</f>
        <v>105</v>
      </c>
    </row>
    <row r="2107" spans="1:18" x14ac:dyDescent="0.2">
      <c r="A2107" s="947" t="s">
        <v>183</v>
      </c>
      <c r="B2107" s="947">
        <v>610196</v>
      </c>
      <c r="C2107" s="947" t="s">
        <v>2189</v>
      </c>
      <c r="D2107" s="947" t="s">
        <v>914</v>
      </c>
      <c r="E2107" s="951">
        <v>231</v>
      </c>
      <c r="F2107" s="951">
        <v>231</v>
      </c>
      <c r="G2107" s="947" t="s">
        <v>159</v>
      </c>
      <c r="H2107" s="951">
        <v>0</v>
      </c>
      <c r="I2107" s="951">
        <v>0</v>
      </c>
      <c r="J2107" s="947" t="s">
        <v>183</v>
      </c>
      <c r="K2107" s="947">
        <v>610196</v>
      </c>
      <c r="M2107" s="631"/>
      <c r="P2107" s="950" t="str">
        <f>VLOOKUP(J2107,'רשימת רשויות'!A:A,1,0)</f>
        <v>אשקלון</v>
      </c>
      <c r="Q2107" s="956">
        <f>IFERROR(VLOOKUP(B2107,[2]מעובד!$D:$K,8,0),0)</f>
        <v>236</v>
      </c>
      <c r="R2107" s="956">
        <f>IFERROR(VLOOKUP(B2107,[2]מעובד!$D:$L,9,0),0)</f>
        <v>140</v>
      </c>
    </row>
    <row r="2108" spans="1:18" x14ac:dyDescent="0.2">
      <c r="A2108" s="947" t="s">
        <v>185</v>
      </c>
      <c r="B2108" s="947">
        <v>610212</v>
      </c>
      <c r="C2108" s="947" t="s">
        <v>2189</v>
      </c>
      <c r="D2108" s="947" t="s">
        <v>921</v>
      </c>
      <c r="E2108" s="951">
        <v>252</v>
      </c>
      <c r="F2108" s="951">
        <v>174</v>
      </c>
      <c r="G2108" s="947" t="s">
        <v>159</v>
      </c>
      <c r="H2108" s="951">
        <v>89</v>
      </c>
      <c r="I2108" s="951">
        <v>13</v>
      </c>
      <c r="J2108" s="947" t="s">
        <v>185</v>
      </c>
      <c r="K2108" s="947">
        <v>610212</v>
      </c>
      <c r="M2108" s="631"/>
      <c r="P2108" s="950" t="str">
        <f>VLOOKUP(J2108,'רשימת רשויות'!A:A,1,0)</f>
        <v>באר טוביה</v>
      </c>
      <c r="Q2108" s="956">
        <f>IFERROR(VLOOKUP(B2108,[2]מעובד!$D:$K,8,0),0)</f>
        <v>159</v>
      </c>
      <c r="R2108" s="956">
        <f>IFERROR(VLOOKUP(B2108,[2]מעובד!$D:$L,9,0),0)</f>
        <v>50</v>
      </c>
    </row>
    <row r="2109" spans="1:18" x14ac:dyDescent="0.2">
      <c r="A2109" s="947" t="s">
        <v>187</v>
      </c>
      <c r="B2109" s="947">
        <v>610246</v>
      </c>
      <c r="C2109" s="947" t="s">
        <v>2189</v>
      </c>
      <c r="D2109" s="947" t="s">
        <v>434</v>
      </c>
      <c r="E2109" s="951">
        <v>239</v>
      </c>
      <c r="F2109" s="951">
        <v>95</v>
      </c>
      <c r="G2109" s="947" t="s">
        <v>159</v>
      </c>
      <c r="H2109" s="951">
        <v>175</v>
      </c>
      <c r="I2109" s="951">
        <v>12</v>
      </c>
      <c r="J2109" s="947" t="s">
        <v>187</v>
      </c>
      <c r="K2109" s="947">
        <v>610246</v>
      </c>
      <c r="M2109" s="631"/>
      <c r="P2109" s="950" t="str">
        <f>VLOOKUP(J2109,'רשימת רשויות'!A:A,1,0)</f>
        <v>באר שבע</v>
      </c>
      <c r="Q2109" s="956">
        <f>IFERROR(VLOOKUP(B2109,[2]מעובד!$D:$K,8,0),0)</f>
        <v>0</v>
      </c>
      <c r="R2109" s="956">
        <f>IFERROR(VLOOKUP(B2109,[2]מעובד!$D:$L,9,0),0)</f>
        <v>0</v>
      </c>
    </row>
    <row r="2110" spans="1:18" x14ac:dyDescent="0.2">
      <c r="A2110" s="947" t="s">
        <v>187</v>
      </c>
      <c r="B2110" s="947">
        <v>610253</v>
      </c>
      <c r="C2110" s="947" t="s">
        <v>2189</v>
      </c>
      <c r="D2110" s="947" t="s">
        <v>550</v>
      </c>
      <c r="E2110" s="951">
        <v>140</v>
      </c>
      <c r="F2110" s="951">
        <v>107</v>
      </c>
      <c r="G2110" s="947" t="s">
        <v>159</v>
      </c>
      <c r="H2110" s="951">
        <v>0</v>
      </c>
      <c r="I2110" s="951">
        <v>0</v>
      </c>
      <c r="J2110" s="947" t="s">
        <v>187</v>
      </c>
      <c r="K2110" s="947">
        <v>610253</v>
      </c>
      <c r="M2110" s="631"/>
      <c r="P2110" s="950" t="str">
        <f>VLOOKUP(J2110,'רשימת רשויות'!A:A,1,0)</f>
        <v>באר שבע</v>
      </c>
      <c r="Q2110" s="956">
        <f>IFERROR(VLOOKUP(B2110,[2]מעובד!$D:$K,8,0),0)</f>
        <v>128</v>
      </c>
      <c r="R2110" s="956">
        <f>IFERROR(VLOOKUP(B2110,[2]מעובד!$D:$L,9,0),0)</f>
        <v>52</v>
      </c>
    </row>
    <row r="2111" spans="1:18" x14ac:dyDescent="0.2">
      <c r="A2111" s="947" t="s">
        <v>187</v>
      </c>
      <c r="B2111" s="947">
        <v>610303</v>
      </c>
      <c r="C2111" s="947" t="s">
        <v>2189</v>
      </c>
      <c r="D2111" s="947" t="s">
        <v>928</v>
      </c>
      <c r="E2111" s="951">
        <v>185</v>
      </c>
      <c r="F2111" s="951">
        <v>75</v>
      </c>
      <c r="G2111" s="947" t="s">
        <v>159</v>
      </c>
      <c r="H2111" s="951">
        <v>0</v>
      </c>
      <c r="I2111" s="951">
        <v>0</v>
      </c>
      <c r="J2111" s="947" t="s">
        <v>187</v>
      </c>
      <c r="K2111" s="947">
        <v>610303</v>
      </c>
      <c r="M2111" s="631"/>
      <c r="P2111" s="950" t="str">
        <f>VLOOKUP(J2111,'רשימת רשויות'!A:A,1,0)</f>
        <v>באר שבע</v>
      </c>
      <c r="Q2111" s="956">
        <f>IFERROR(VLOOKUP(B2111,[2]מעובד!$D:$K,8,0),0)</f>
        <v>135</v>
      </c>
      <c r="R2111" s="956">
        <f>IFERROR(VLOOKUP(B2111,[2]מעובד!$D:$L,9,0),0)</f>
        <v>80</v>
      </c>
    </row>
    <row r="2112" spans="1:18" x14ac:dyDescent="0.2">
      <c r="A2112" s="947" t="s">
        <v>187</v>
      </c>
      <c r="B2112" s="947">
        <v>610311</v>
      </c>
      <c r="C2112" s="947" t="s">
        <v>2189</v>
      </c>
      <c r="D2112" s="947" t="s">
        <v>2463</v>
      </c>
      <c r="E2112" s="951">
        <v>119</v>
      </c>
      <c r="F2112" s="951">
        <v>0</v>
      </c>
      <c r="G2112" s="947" t="s">
        <v>159</v>
      </c>
      <c r="H2112" s="951">
        <v>0</v>
      </c>
      <c r="I2112" s="951">
        <v>0</v>
      </c>
      <c r="J2112" s="947" t="s">
        <v>187</v>
      </c>
      <c r="K2112" s="947">
        <v>610311</v>
      </c>
      <c r="M2112" s="631"/>
      <c r="P2112" s="950" t="str">
        <f>VLOOKUP(J2112,'רשימת רשויות'!A:A,1,0)</f>
        <v>באר שבע</v>
      </c>
      <c r="Q2112" s="956">
        <f>IFERROR(VLOOKUP(B2112,[2]מעובד!$D:$K,8,0),0)</f>
        <v>0</v>
      </c>
      <c r="R2112" s="956">
        <f>IFERROR(VLOOKUP(B2112,[2]מעובד!$D:$L,9,0),0)</f>
        <v>0</v>
      </c>
    </row>
    <row r="2113" spans="1:18" x14ac:dyDescent="0.2">
      <c r="A2113" s="947" t="s">
        <v>187</v>
      </c>
      <c r="B2113" s="947">
        <v>610329</v>
      </c>
      <c r="C2113" s="947" t="s">
        <v>2189</v>
      </c>
      <c r="D2113" s="947" t="s">
        <v>929</v>
      </c>
      <c r="E2113" s="951">
        <v>268</v>
      </c>
      <c r="F2113" s="951">
        <v>135</v>
      </c>
      <c r="G2113" s="947" t="s">
        <v>159</v>
      </c>
      <c r="H2113" s="951">
        <v>185</v>
      </c>
      <c r="I2113" s="951">
        <v>12</v>
      </c>
      <c r="J2113" s="947" t="s">
        <v>187</v>
      </c>
      <c r="K2113" s="947">
        <v>610329</v>
      </c>
      <c r="M2113" s="631"/>
      <c r="P2113" s="950" t="str">
        <f>VLOOKUP(J2113,'רשימת רשויות'!A:A,1,0)</f>
        <v>באר שבע</v>
      </c>
      <c r="Q2113" s="956">
        <f>IFERROR(VLOOKUP(B2113,[2]מעובד!$D:$K,8,0),0)</f>
        <v>230</v>
      </c>
      <c r="R2113" s="956">
        <f>IFERROR(VLOOKUP(B2113,[2]מעובד!$D:$L,9,0),0)</f>
        <v>83</v>
      </c>
    </row>
    <row r="2114" spans="1:18" x14ac:dyDescent="0.2">
      <c r="A2114" s="947" t="s">
        <v>246</v>
      </c>
      <c r="B2114" s="947">
        <v>610345</v>
      </c>
      <c r="C2114" s="947" t="s">
        <v>2189</v>
      </c>
      <c r="D2114" s="947" t="s">
        <v>930</v>
      </c>
      <c r="E2114" s="951">
        <v>107</v>
      </c>
      <c r="F2114" s="951">
        <v>60</v>
      </c>
      <c r="G2114" s="947" t="s">
        <v>159</v>
      </c>
      <c r="H2114" s="951">
        <v>0</v>
      </c>
      <c r="I2114" s="951">
        <v>0</v>
      </c>
      <c r="J2114" s="947" t="s">
        <v>246</v>
      </c>
      <c r="K2114" s="947">
        <v>610345</v>
      </c>
      <c r="M2114" s="631"/>
      <c r="P2114" s="950" t="str">
        <f>VLOOKUP(J2114,'רשימת רשויות'!A:A,1,0)</f>
        <v>חוף אשקלון</v>
      </c>
      <c r="Q2114" s="956">
        <f>IFERROR(VLOOKUP(B2114,[2]מעובד!$D:$K,8,0),0)</f>
        <v>134</v>
      </c>
      <c r="R2114" s="956">
        <f>IFERROR(VLOOKUP(B2114,[2]מעובד!$D:$L,9,0),0)</f>
        <v>72</v>
      </c>
    </row>
    <row r="2115" spans="1:18" x14ac:dyDescent="0.2">
      <c r="A2115" s="947" t="s">
        <v>187</v>
      </c>
      <c r="B2115" s="947">
        <v>610378</v>
      </c>
      <c r="C2115" s="947" t="s">
        <v>2189</v>
      </c>
      <c r="D2115" s="947" t="s">
        <v>915</v>
      </c>
      <c r="E2115" s="951">
        <v>308</v>
      </c>
      <c r="F2115" s="951">
        <v>190</v>
      </c>
      <c r="G2115" s="947" t="s">
        <v>159</v>
      </c>
      <c r="H2115" s="951">
        <v>308</v>
      </c>
      <c r="I2115" s="951">
        <v>17</v>
      </c>
      <c r="J2115" s="947" t="s">
        <v>187</v>
      </c>
      <c r="K2115" s="947">
        <v>610378</v>
      </c>
      <c r="M2115" s="631"/>
      <c r="P2115" s="950" t="str">
        <f>VLOOKUP(J2115,'רשימת רשויות'!A:A,1,0)</f>
        <v>באר שבע</v>
      </c>
      <c r="Q2115" s="956">
        <f>IFERROR(VLOOKUP(B2115,[2]מעובד!$D:$K,8,0),0)</f>
        <v>148</v>
      </c>
      <c r="R2115" s="956">
        <f>IFERROR(VLOOKUP(B2115,[2]מעובד!$D:$L,9,0),0)</f>
        <v>67</v>
      </c>
    </row>
    <row r="2116" spans="1:18" x14ac:dyDescent="0.2">
      <c r="A2116" s="947" t="s">
        <v>187</v>
      </c>
      <c r="B2116" s="947">
        <v>610386</v>
      </c>
      <c r="C2116" s="947" t="s">
        <v>2189</v>
      </c>
      <c r="D2116" s="947" t="s">
        <v>3106</v>
      </c>
      <c r="E2116" s="951">
        <v>108</v>
      </c>
      <c r="F2116" s="951">
        <v>0</v>
      </c>
      <c r="G2116" s="947" t="s">
        <v>159</v>
      </c>
      <c r="H2116" s="951">
        <v>0</v>
      </c>
      <c r="I2116" s="951">
        <v>0</v>
      </c>
      <c r="J2116" s="947" t="s">
        <v>187</v>
      </c>
      <c r="K2116" s="947">
        <v>610386</v>
      </c>
      <c r="M2116" s="631"/>
      <c r="P2116" s="950" t="str">
        <f>VLOOKUP(J2116,'רשימת רשויות'!A:A,1,0)</f>
        <v>באר שבע</v>
      </c>
      <c r="Q2116" s="956">
        <f>IFERROR(VLOOKUP(B2116,[2]מעובד!$D:$K,8,0),0)</f>
        <v>78</v>
      </c>
      <c r="R2116" s="956">
        <f>IFERROR(VLOOKUP(B2116,[2]מעובד!$D:$L,9,0),0)</f>
        <v>59</v>
      </c>
    </row>
    <row r="2117" spans="1:18" x14ac:dyDescent="0.2">
      <c r="A2117" s="947" t="s">
        <v>324</v>
      </c>
      <c r="B2117" s="947">
        <v>610394</v>
      </c>
      <c r="C2117" s="947" t="s">
        <v>2189</v>
      </c>
      <c r="D2117" s="947" t="s">
        <v>984</v>
      </c>
      <c r="E2117" s="951">
        <v>56</v>
      </c>
      <c r="F2117" s="951">
        <v>42</v>
      </c>
      <c r="G2117" s="947" t="s">
        <v>3252</v>
      </c>
      <c r="H2117" s="951">
        <v>0</v>
      </c>
      <c r="I2117" s="951">
        <v>0</v>
      </c>
      <c r="J2117" s="947" t="s">
        <v>324</v>
      </c>
      <c r="K2117" s="957" t="s">
        <v>3354</v>
      </c>
      <c r="M2117" s="631"/>
      <c r="P2117" s="950" t="str">
        <f>VLOOKUP(J2117,'רשימת רשויות'!A:A,1,0)</f>
        <v>מרחבים</v>
      </c>
      <c r="Q2117" s="956">
        <f>IFERROR(VLOOKUP(B2117,[2]מעובד!$D:$K,8,0),0)</f>
        <v>0</v>
      </c>
      <c r="R2117" s="956">
        <f>IFERROR(VLOOKUP(B2117,[2]מעובד!$D:$L,9,0),0)</f>
        <v>0</v>
      </c>
    </row>
    <row r="2118" spans="1:18" x14ac:dyDescent="0.2">
      <c r="A2118" s="947" t="s">
        <v>399</v>
      </c>
      <c r="B2118" s="947">
        <v>610428</v>
      </c>
      <c r="C2118" s="947" t="s">
        <v>2189</v>
      </c>
      <c r="D2118" s="947" t="s">
        <v>2464</v>
      </c>
      <c r="E2118" s="951">
        <v>206</v>
      </c>
      <c r="F2118" s="951">
        <v>151</v>
      </c>
      <c r="G2118" s="947" t="s">
        <v>159</v>
      </c>
      <c r="H2118" s="951">
        <v>0</v>
      </c>
      <c r="I2118" s="951">
        <v>0</v>
      </c>
      <c r="J2118" s="947" t="s">
        <v>399</v>
      </c>
      <c r="K2118" s="947">
        <v>610428</v>
      </c>
      <c r="M2118" s="631"/>
      <c r="P2118" s="950" t="str">
        <f>VLOOKUP(J2118,'רשימת רשויות'!A:A,1,0)</f>
        <v>שדות נגב עזתה</v>
      </c>
      <c r="Q2118" s="956">
        <f>IFERROR(VLOOKUP(B2118,[2]מעובד!$D:$K,8,0),0)</f>
        <v>182</v>
      </c>
      <c r="R2118" s="956">
        <f>IFERROR(VLOOKUP(B2118,[2]מעובד!$D:$L,9,0),0)</f>
        <v>91</v>
      </c>
    </row>
    <row r="2119" spans="1:18" x14ac:dyDescent="0.2">
      <c r="A2119" s="947" t="s">
        <v>200</v>
      </c>
      <c r="B2119" s="947">
        <v>610436</v>
      </c>
      <c r="C2119" s="947" t="s">
        <v>2189</v>
      </c>
      <c r="D2119" s="947" t="s">
        <v>999</v>
      </c>
      <c r="E2119" s="951">
        <v>240</v>
      </c>
      <c r="F2119" s="951">
        <v>61</v>
      </c>
      <c r="G2119" s="953" t="s">
        <v>159</v>
      </c>
      <c r="H2119" s="951">
        <v>0</v>
      </c>
      <c r="I2119" s="951">
        <v>0</v>
      </c>
      <c r="J2119" s="947" t="s">
        <v>200</v>
      </c>
      <c r="K2119" s="947">
        <v>610436</v>
      </c>
      <c r="M2119" s="636"/>
      <c r="P2119" s="950" t="str">
        <f>VLOOKUP(J2119,'רשימת רשויות'!A:A,1,0)</f>
        <v>בני שמעון</v>
      </c>
      <c r="Q2119" s="956">
        <f>IFERROR(VLOOKUP(B2119,[2]מעובד!$D:$K,8,0),0)</f>
        <v>0</v>
      </c>
      <c r="R2119" s="956">
        <f>IFERROR(VLOOKUP(B2119,[2]מעובד!$D:$L,9,0),0)</f>
        <v>0</v>
      </c>
    </row>
    <row r="2120" spans="1:18" x14ac:dyDescent="0.2">
      <c r="A2120" s="947" t="s">
        <v>246</v>
      </c>
      <c r="B2120" s="947">
        <v>610477</v>
      </c>
      <c r="C2120" s="947" t="s">
        <v>2189</v>
      </c>
      <c r="D2120" s="947" t="s">
        <v>606</v>
      </c>
      <c r="E2120" s="951">
        <v>131</v>
      </c>
      <c r="F2120" s="951">
        <v>76</v>
      </c>
      <c r="G2120" s="947" t="s">
        <v>159</v>
      </c>
      <c r="H2120" s="951">
        <v>0</v>
      </c>
      <c r="I2120" s="951">
        <v>0</v>
      </c>
      <c r="J2120" s="947" t="s">
        <v>246</v>
      </c>
      <c r="K2120" s="947">
        <v>610477</v>
      </c>
      <c r="M2120" s="631"/>
      <c r="P2120" s="950" t="str">
        <f>VLOOKUP(J2120,'רשימת רשויות'!A:A,1,0)</f>
        <v>חוף אשקלון</v>
      </c>
      <c r="Q2120" s="956">
        <f>IFERROR(VLOOKUP(B2120,[2]מעובד!$D:$K,8,0),0)</f>
        <v>110</v>
      </c>
      <c r="R2120" s="956">
        <f>IFERROR(VLOOKUP(B2120,[2]מעובד!$D:$L,9,0),0)</f>
        <v>58</v>
      </c>
    </row>
    <row r="2121" spans="1:18" x14ac:dyDescent="0.2">
      <c r="A2121" s="947" t="s">
        <v>181</v>
      </c>
      <c r="B2121" s="947">
        <v>610485</v>
      </c>
      <c r="C2121" s="947" t="s">
        <v>2189</v>
      </c>
      <c r="D2121" s="947" t="s">
        <v>508</v>
      </c>
      <c r="E2121" s="951">
        <v>210</v>
      </c>
      <c r="F2121" s="951">
        <v>135</v>
      </c>
      <c r="G2121" s="947" t="s">
        <v>159</v>
      </c>
      <c r="H2121" s="951">
        <v>77</v>
      </c>
      <c r="I2121" s="951">
        <v>8</v>
      </c>
      <c r="J2121" s="947" t="s">
        <v>181</v>
      </c>
      <c r="K2121" s="947">
        <v>610485</v>
      </c>
      <c r="M2121" s="631"/>
      <c r="P2121" s="950" t="str">
        <f>VLOOKUP(J2121,'רשימת רשויות'!A:A,1,0)</f>
        <v>אשדוד</v>
      </c>
      <c r="Q2121" s="956">
        <f>IFERROR(VLOOKUP(B2121,[2]מעובד!$D:$K,8,0),0)</f>
        <v>301</v>
      </c>
      <c r="R2121" s="956">
        <f>IFERROR(VLOOKUP(B2121,[2]מעובד!$D:$L,9,0),0)</f>
        <v>136</v>
      </c>
    </row>
    <row r="2122" spans="1:18" x14ac:dyDescent="0.2">
      <c r="A2122" s="947" t="s">
        <v>405</v>
      </c>
      <c r="B2122" s="947">
        <v>610493</v>
      </c>
      <c r="C2122" s="947" t="s">
        <v>2189</v>
      </c>
      <c r="D2122" s="947" t="s">
        <v>2465</v>
      </c>
      <c r="E2122" s="951">
        <v>155</v>
      </c>
      <c r="F2122" s="951">
        <v>141</v>
      </c>
      <c r="G2122" s="947" t="s">
        <v>159</v>
      </c>
      <c r="H2122" s="951">
        <v>57</v>
      </c>
      <c r="I2122" s="951">
        <v>6</v>
      </c>
      <c r="J2122" s="947" t="s">
        <v>405</v>
      </c>
      <c r="K2122" s="947">
        <v>610493</v>
      </c>
      <c r="M2122" s="631"/>
      <c r="P2122" s="950" t="str">
        <f>VLOOKUP(J2122,'רשימת רשויות'!A:A,1,0)</f>
        <v>שער הנגב</v>
      </c>
      <c r="Q2122" s="956">
        <f>IFERROR(VLOOKUP(B2122,[2]מעובד!$D:$K,8,0),0)</f>
        <v>151</v>
      </c>
      <c r="R2122" s="956">
        <f>IFERROR(VLOOKUP(B2122,[2]מעובד!$D:$L,9,0),0)</f>
        <v>55</v>
      </c>
    </row>
    <row r="2123" spans="1:18" x14ac:dyDescent="0.2">
      <c r="A2123" s="947" t="s">
        <v>183</v>
      </c>
      <c r="B2123" s="947">
        <v>610501</v>
      </c>
      <c r="C2123" s="947" t="s">
        <v>2189</v>
      </c>
      <c r="D2123" s="947" t="s">
        <v>1000</v>
      </c>
      <c r="E2123" s="951">
        <v>290</v>
      </c>
      <c r="F2123" s="951">
        <v>274</v>
      </c>
      <c r="G2123" s="947" t="s">
        <v>159</v>
      </c>
      <c r="H2123" s="951">
        <v>0</v>
      </c>
      <c r="I2123" s="951">
        <v>0</v>
      </c>
      <c r="J2123" s="947" t="s">
        <v>183</v>
      </c>
      <c r="K2123" s="947">
        <v>610501</v>
      </c>
      <c r="M2123" s="631"/>
      <c r="P2123" s="950" t="str">
        <f>VLOOKUP(J2123,'רשימת רשויות'!A:A,1,0)</f>
        <v>אשקלון</v>
      </c>
      <c r="Q2123" s="956">
        <f>IFERROR(VLOOKUP(B2123,[2]מעובד!$D:$K,8,0),0)</f>
        <v>332</v>
      </c>
      <c r="R2123" s="956">
        <f>IFERROR(VLOOKUP(B2123,[2]מעובד!$D:$L,9,0),0)</f>
        <v>86</v>
      </c>
    </row>
    <row r="2124" spans="1:18" x14ac:dyDescent="0.2">
      <c r="A2124" s="947" t="s">
        <v>187</v>
      </c>
      <c r="B2124" s="947">
        <v>610527</v>
      </c>
      <c r="C2124" s="947" t="s">
        <v>2189</v>
      </c>
      <c r="D2124" s="947" t="s">
        <v>446</v>
      </c>
      <c r="E2124" s="951">
        <v>247</v>
      </c>
      <c r="F2124" s="951">
        <v>164</v>
      </c>
      <c r="G2124" s="947" t="s">
        <v>159</v>
      </c>
      <c r="H2124" s="951">
        <v>0</v>
      </c>
      <c r="I2124" s="951">
        <v>0</v>
      </c>
      <c r="J2124" s="947" t="s">
        <v>187</v>
      </c>
      <c r="K2124" s="947">
        <v>610527</v>
      </c>
      <c r="M2124" s="631"/>
      <c r="P2124" s="950" t="str">
        <f>VLOOKUP(J2124,'רשימת רשויות'!A:A,1,0)</f>
        <v>באר שבע</v>
      </c>
      <c r="Q2124" s="956">
        <f>IFERROR(VLOOKUP(B2124,[2]מעובד!$D:$K,8,0),0)</f>
        <v>280</v>
      </c>
      <c r="R2124" s="956">
        <f>IFERROR(VLOOKUP(B2124,[2]מעובד!$D:$L,9,0),0)</f>
        <v>125</v>
      </c>
    </row>
    <row r="2125" spans="1:18" x14ac:dyDescent="0.2">
      <c r="A2125" s="947" t="s">
        <v>406</v>
      </c>
      <c r="B2125" s="947">
        <v>610550</v>
      </c>
      <c r="C2125" s="947" t="s">
        <v>2189</v>
      </c>
      <c r="D2125" s="947" t="s">
        <v>406</v>
      </c>
      <c r="E2125" s="951">
        <v>288</v>
      </c>
      <c r="F2125" s="951">
        <v>263</v>
      </c>
      <c r="G2125" s="947" t="s">
        <v>159</v>
      </c>
      <c r="H2125" s="951">
        <v>103</v>
      </c>
      <c r="I2125" s="951">
        <v>8</v>
      </c>
      <c r="J2125" s="947" t="s">
        <v>406</v>
      </c>
      <c r="K2125" s="947">
        <v>610550</v>
      </c>
      <c r="M2125" s="631"/>
      <c r="P2125" s="950" t="str">
        <f>VLOOKUP(J2125,'רשימת רשויות'!A:A,1,0)</f>
        <v>שפיר</v>
      </c>
      <c r="Q2125" s="956">
        <f>IFERROR(VLOOKUP(B2125,[2]מעובד!$D:$K,8,0),0)</f>
        <v>186</v>
      </c>
      <c r="R2125" s="956">
        <f>IFERROR(VLOOKUP(B2125,[2]מעובד!$D:$L,9,0),0)</f>
        <v>42</v>
      </c>
    </row>
    <row r="2126" spans="1:18" x14ac:dyDescent="0.2">
      <c r="A2126" s="947" t="s">
        <v>410</v>
      </c>
      <c r="B2126" s="947">
        <v>610568</v>
      </c>
      <c r="C2126" s="947" t="s">
        <v>2189</v>
      </c>
      <c r="D2126" s="947" t="s">
        <v>867</v>
      </c>
      <c r="E2126" s="951">
        <v>350</v>
      </c>
      <c r="F2126" s="951">
        <v>340</v>
      </c>
      <c r="G2126" s="947" t="s">
        <v>159</v>
      </c>
      <c r="H2126" s="951">
        <v>0</v>
      </c>
      <c r="I2126" s="951">
        <v>0</v>
      </c>
      <c r="J2126" s="947" t="s">
        <v>410</v>
      </c>
      <c r="K2126" s="947">
        <v>610568</v>
      </c>
      <c r="M2126" s="631"/>
      <c r="P2126" s="950" t="str">
        <f>VLOOKUP(J2126,'רשימת רשויות'!A:A,1,0)</f>
        <v>תל שבע</v>
      </c>
      <c r="Q2126" s="956">
        <f>IFERROR(VLOOKUP(B2126,[2]מעובד!$D:$K,8,0),0)</f>
        <v>317</v>
      </c>
      <c r="R2126" s="956">
        <f>IFERROR(VLOOKUP(B2126,[2]מעובד!$D:$L,9,0),0)</f>
        <v>120</v>
      </c>
    </row>
    <row r="2127" spans="1:18" x14ac:dyDescent="0.2">
      <c r="A2127" s="947" t="s">
        <v>294</v>
      </c>
      <c r="B2127" s="947">
        <v>610600</v>
      </c>
      <c r="C2127" s="947" t="s">
        <v>2189</v>
      </c>
      <c r="D2127" s="947" t="s">
        <v>868</v>
      </c>
      <c r="E2127" s="951">
        <v>203</v>
      </c>
      <c r="F2127" s="951">
        <v>203</v>
      </c>
      <c r="G2127" s="947" t="s">
        <v>159</v>
      </c>
      <c r="H2127" s="951">
        <v>0</v>
      </c>
      <c r="I2127" s="951">
        <v>0</v>
      </c>
      <c r="J2127" s="947" t="s">
        <v>294</v>
      </c>
      <c r="K2127" s="947">
        <v>610600</v>
      </c>
      <c r="M2127" s="631"/>
      <c r="P2127" s="950" t="str">
        <f>VLOOKUP(J2127,'רשימת רשויות'!A:A,1,0)</f>
        <v>לכיש</v>
      </c>
      <c r="Q2127" s="956">
        <f>IFERROR(VLOOKUP(B2127,[2]מעובד!$D:$K,8,0),0)</f>
        <v>192</v>
      </c>
      <c r="R2127" s="956">
        <f>IFERROR(VLOOKUP(B2127,[2]מעובד!$D:$L,9,0),0)</f>
        <v>115</v>
      </c>
    </row>
    <row r="2128" spans="1:18" x14ac:dyDescent="0.2">
      <c r="A2128" s="947" t="s">
        <v>294</v>
      </c>
      <c r="B2128" s="947">
        <v>610618</v>
      </c>
      <c r="C2128" s="947" t="s">
        <v>2189</v>
      </c>
      <c r="D2128" s="947" t="s">
        <v>869</v>
      </c>
      <c r="E2128" s="951">
        <v>180</v>
      </c>
      <c r="F2128" s="951">
        <v>169</v>
      </c>
      <c r="G2128" s="947" t="s">
        <v>159</v>
      </c>
      <c r="H2128" s="951">
        <v>0</v>
      </c>
      <c r="I2128" s="951">
        <v>0</v>
      </c>
      <c r="J2128" s="947" t="s">
        <v>294</v>
      </c>
      <c r="K2128" s="947">
        <v>610618</v>
      </c>
      <c r="M2128" s="631"/>
      <c r="P2128" s="950" t="str">
        <f>VLOOKUP(J2128,'רשימת רשויות'!A:A,1,0)</f>
        <v>לכיש</v>
      </c>
      <c r="Q2128" s="956">
        <f>IFERROR(VLOOKUP(B2128,[2]מעובד!$D:$K,8,0),0)</f>
        <v>176</v>
      </c>
      <c r="R2128" s="956">
        <f>IFERROR(VLOOKUP(B2128,[2]מעובד!$D:$L,9,0),0)</f>
        <v>90</v>
      </c>
    </row>
    <row r="2129" spans="1:18" x14ac:dyDescent="0.2">
      <c r="A2129" s="947" t="s">
        <v>373</v>
      </c>
      <c r="B2129" s="947">
        <v>610626</v>
      </c>
      <c r="C2129" s="947" t="s">
        <v>2189</v>
      </c>
      <c r="D2129" s="947" t="s">
        <v>1221</v>
      </c>
      <c r="E2129" s="951">
        <v>46</v>
      </c>
      <c r="F2129" s="951">
        <v>46</v>
      </c>
      <c r="G2129" s="947" t="s">
        <v>3252</v>
      </c>
      <c r="H2129" s="951">
        <v>0</v>
      </c>
      <c r="I2129" s="951">
        <v>0</v>
      </c>
      <c r="J2129" s="947" t="s">
        <v>373</v>
      </c>
      <c r="K2129" s="947">
        <v>610626</v>
      </c>
      <c r="M2129" s="631"/>
      <c r="P2129" s="950" t="str">
        <f>VLOOKUP(J2129,'רשימת רשויות'!A:A,1,0)</f>
        <v>קרית גת</v>
      </c>
      <c r="Q2129" s="956">
        <f>IFERROR(VLOOKUP(B2129,[2]מעובד!$D:$K,8,0),0)</f>
        <v>0</v>
      </c>
      <c r="R2129" s="956">
        <f>IFERROR(VLOOKUP(B2129,[2]מעובד!$D:$L,9,0),0)</f>
        <v>0</v>
      </c>
    </row>
    <row r="2130" spans="1:18" x14ac:dyDescent="0.2">
      <c r="A2130" s="947" t="s">
        <v>200</v>
      </c>
      <c r="B2130" s="947">
        <v>610642</v>
      </c>
      <c r="C2130" s="947" t="s">
        <v>2189</v>
      </c>
      <c r="D2130" s="947" t="s">
        <v>880</v>
      </c>
      <c r="E2130" s="951">
        <v>169</v>
      </c>
      <c r="F2130" s="951">
        <v>52</v>
      </c>
      <c r="G2130" s="947" t="s">
        <v>159</v>
      </c>
      <c r="H2130" s="951">
        <v>0</v>
      </c>
      <c r="I2130" s="951">
        <v>0</v>
      </c>
      <c r="J2130" s="947" t="s">
        <v>200</v>
      </c>
      <c r="K2130" s="947">
        <v>610642</v>
      </c>
      <c r="M2130" s="631"/>
      <c r="P2130" s="950" t="str">
        <f>VLOOKUP(J2130,'רשימת רשויות'!A:A,1,0)</f>
        <v>בני שמעון</v>
      </c>
      <c r="Q2130" s="956">
        <f>IFERROR(VLOOKUP(B2130,[2]מעובד!$D:$K,8,0),0)</f>
        <v>0</v>
      </c>
      <c r="R2130" s="956">
        <f>IFERROR(VLOOKUP(B2130,[2]מעובד!$D:$L,9,0),0)</f>
        <v>0</v>
      </c>
    </row>
    <row r="2131" spans="1:18" x14ac:dyDescent="0.2">
      <c r="A2131" s="947" t="s">
        <v>246</v>
      </c>
      <c r="B2131" s="947">
        <v>610659</v>
      </c>
      <c r="C2131" s="947" t="s">
        <v>2189</v>
      </c>
      <c r="D2131" s="947" t="s">
        <v>881</v>
      </c>
      <c r="E2131" s="951">
        <v>264</v>
      </c>
      <c r="F2131" s="951">
        <v>45</v>
      </c>
      <c r="G2131" s="947" t="s">
        <v>159</v>
      </c>
      <c r="H2131" s="951">
        <v>0</v>
      </c>
      <c r="I2131" s="951">
        <v>0</v>
      </c>
      <c r="J2131" s="947" t="s">
        <v>246</v>
      </c>
      <c r="K2131" s="947">
        <v>610659</v>
      </c>
      <c r="M2131" s="631"/>
      <c r="P2131" s="950" t="str">
        <f>VLOOKUP(J2131,'רשימת רשויות'!A:A,1,0)</f>
        <v>חוף אשקלון</v>
      </c>
      <c r="Q2131" s="956">
        <f>IFERROR(VLOOKUP(B2131,[2]מעובד!$D:$K,8,0),0)</f>
        <v>260</v>
      </c>
      <c r="R2131" s="956">
        <f>IFERROR(VLOOKUP(B2131,[2]מעובד!$D:$L,9,0),0)</f>
        <v>67</v>
      </c>
    </row>
    <row r="2132" spans="1:18" x14ac:dyDescent="0.2">
      <c r="A2132" s="947" t="s">
        <v>269</v>
      </c>
      <c r="B2132" s="947">
        <v>610709</v>
      </c>
      <c r="C2132" s="947" t="s">
        <v>2189</v>
      </c>
      <c r="D2132" s="947" t="s">
        <v>922</v>
      </c>
      <c r="E2132" s="951">
        <v>121</v>
      </c>
      <c r="F2132" s="951">
        <v>69</v>
      </c>
      <c r="G2132" s="947" t="s">
        <v>159</v>
      </c>
      <c r="H2132" s="951">
        <v>47</v>
      </c>
      <c r="I2132" s="951">
        <v>0</v>
      </c>
      <c r="J2132" s="947" t="s">
        <v>269</v>
      </c>
      <c r="K2132" s="947">
        <v>610709</v>
      </c>
      <c r="M2132" s="631"/>
      <c r="P2132" s="950" t="str">
        <f>VLOOKUP(J2132,'רשימת רשויות'!A:A,1,0)</f>
        <v>ירוחם</v>
      </c>
      <c r="Q2132" s="956">
        <f>IFERROR(VLOOKUP(B2132,[2]מעובד!$D:$K,8,0),0)</f>
        <v>146</v>
      </c>
      <c r="R2132" s="956">
        <f>IFERROR(VLOOKUP(B2132,[2]מעובד!$D:$L,9,0),0)</f>
        <v>73</v>
      </c>
    </row>
    <row r="2133" spans="1:18" x14ac:dyDescent="0.2">
      <c r="A2133" s="947" t="s">
        <v>324</v>
      </c>
      <c r="B2133" s="947">
        <v>610733</v>
      </c>
      <c r="C2133" s="947" t="s">
        <v>2189</v>
      </c>
      <c r="D2133" s="947" t="s">
        <v>931</v>
      </c>
      <c r="E2133" s="951">
        <v>219</v>
      </c>
      <c r="F2133" s="951">
        <v>165</v>
      </c>
      <c r="G2133" s="947" t="s">
        <v>159</v>
      </c>
      <c r="H2133" s="951">
        <v>67</v>
      </c>
      <c r="I2133" s="951">
        <v>8</v>
      </c>
      <c r="J2133" s="947" t="s">
        <v>324</v>
      </c>
      <c r="K2133" s="947">
        <v>610733</v>
      </c>
      <c r="M2133" s="631"/>
      <c r="P2133" s="950" t="str">
        <f>VLOOKUP(J2133,'רשימת רשויות'!A:A,1,0)</f>
        <v>מרחבים</v>
      </c>
      <c r="Q2133" s="956">
        <f>IFERROR(VLOOKUP(B2133,[2]מעובד!$D:$K,8,0),0)</f>
        <v>302</v>
      </c>
      <c r="R2133" s="956">
        <f>IFERROR(VLOOKUP(B2133,[2]מעובד!$D:$L,9,0),0)</f>
        <v>122</v>
      </c>
    </row>
    <row r="2134" spans="1:18" x14ac:dyDescent="0.2">
      <c r="A2134" s="947" t="s">
        <v>182</v>
      </c>
      <c r="B2134" s="947">
        <v>610741</v>
      </c>
      <c r="C2134" s="947" t="s">
        <v>2189</v>
      </c>
      <c r="D2134" s="947" t="s">
        <v>1251</v>
      </c>
      <c r="E2134" s="951">
        <v>71</v>
      </c>
      <c r="F2134" s="951">
        <v>65</v>
      </c>
      <c r="G2134" s="947" t="s">
        <v>159</v>
      </c>
      <c r="H2134" s="951">
        <v>0</v>
      </c>
      <c r="I2134" s="951">
        <v>0</v>
      </c>
      <c r="J2134" s="947" t="s">
        <v>182</v>
      </c>
      <c r="K2134" s="947">
        <v>610741</v>
      </c>
      <c r="M2134" s="631"/>
      <c r="P2134" s="950" t="str">
        <f>VLOOKUP(J2134,'רשימת רשויות'!A:A,1,0)</f>
        <v>אשכול</v>
      </c>
      <c r="Q2134" s="956">
        <f>IFERROR(VLOOKUP(B2134,[2]מעובד!$D:$K,8,0),0)</f>
        <v>0</v>
      </c>
      <c r="R2134" s="956">
        <f>IFERROR(VLOOKUP(B2134,[2]מעובד!$D:$L,9,0),0)</f>
        <v>0</v>
      </c>
    </row>
    <row r="2135" spans="1:18" x14ac:dyDescent="0.2">
      <c r="A2135" s="947" t="s">
        <v>399</v>
      </c>
      <c r="B2135" s="947">
        <v>610774</v>
      </c>
      <c r="C2135" s="947" t="s">
        <v>2189</v>
      </c>
      <c r="D2135" s="947" t="s">
        <v>2466</v>
      </c>
      <c r="E2135" s="951">
        <v>168</v>
      </c>
      <c r="F2135" s="951">
        <v>150</v>
      </c>
      <c r="G2135" s="947" t="s">
        <v>159</v>
      </c>
      <c r="H2135" s="951">
        <v>0</v>
      </c>
      <c r="I2135" s="951">
        <v>0</v>
      </c>
      <c r="J2135" s="947" t="s">
        <v>399</v>
      </c>
      <c r="K2135" s="947">
        <v>610774</v>
      </c>
      <c r="M2135" s="631"/>
      <c r="P2135" s="950" t="str">
        <f>VLOOKUP(J2135,'רשימת רשויות'!A:A,1,0)</f>
        <v>שדות נגב עזתה</v>
      </c>
      <c r="Q2135" s="956">
        <f>IFERROR(VLOOKUP(B2135,[2]מעובד!$D:$K,8,0),0)</f>
        <v>155</v>
      </c>
      <c r="R2135" s="956">
        <f>IFERROR(VLOOKUP(B2135,[2]מעובד!$D:$L,9,0),0)</f>
        <v>117</v>
      </c>
    </row>
    <row r="2136" spans="1:18" x14ac:dyDescent="0.2">
      <c r="A2136" s="947" t="s">
        <v>322</v>
      </c>
      <c r="B2136" s="947">
        <v>610790</v>
      </c>
      <c r="C2136" s="947" t="s">
        <v>2189</v>
      </c>
      <c r="D2136" s="947" t="s">
        <v>932</v>
      </c>
      <c r="E2136" s="951">
        <v>53</v>
      </c>
      <c r="F2136" s="951">
        <v>36</v>
      </c>
      <c r="G2136" s="947" t="s">
        <v>159</v>
      </c>
      <c r="H2136" s="951">
        <v>0</v>
      </c>
      <c r="I2136" s="951">
        <v>0</v>
      </c>
      <c r="J2136" s="947" t="s">
        <v>322</v>
      </c>
      <c r="K2136" s="957" t="s">
        <v>3355</v>
      </c>
      <c r="M2136" s="631"/>
      <c r="P2136" s="950" t="str">
        <f>VLOOKUP(J2136,'רשימת רשויות'!A:A,1,0)</f>
        <v>מצפה רמון</v>
      </c>
      <c r="Q2136" s="956">
        <f>IFERROR(VLOOKUP(B2136,[2]מעובד!$D:$K,8,0),0)</f>
        <v>57</v>
      </c>
      <c r="R2136" s="956">
        <f>IFERROR(VLOOKUP(B2136,[2]מעובד!$D:$L,9,0),0)</f>
        <v>29</v>
      </c>
    </row>
    <row r="2137" spans="1:18" x14ac:dyDescent="0.2">
      <c r="A2137" s="947" t="s">
        <v>394</v>
      </c>
      <c r="B2137" s="947">
        <v>610808</v>
      </c>
      <c r="C2137" s="947" t="s">
        <v>2189</v>
      </c>
      <c r="D2137" s="947" t="s">
        <v>933</v>
      </c>
      <c r="E2137" s="951">
        <v>241</v>
      </c>
      <c r="F2137" s="951">
        <v>120</v>
      </c>
      <c r="G2137" s="947" t="s">
        <v>159</v>
      </c>
      <c r="H2137" s="951">
        <v>0</v>
      </c>
      <c r="I2137" s="951">
        <v>0</v>
      </c>
      <c r="J2137" s="947" t="s">
        <v>394</v>
      </c>
      <c r="K2137" s="947">
        <v>610808</v>
      </c>
      <c r="M2137" s="631"/>
      <c r="P2137" s="950" t="str">
        <f>VLOOKUP(J2137,'רשימת רשויות'!A:A,1,0)</f>
        <v>רמת נגב</v>
      </c>
      <c r="Q2137" s="956">
        <f>IFERROR(VLOOKUP(B2137,[2]מעובד!$D:$K,8,0),0)</f>
        <v>233</v>
      </c>
      <c r="R2137" s="956">
        <f>IFERROR(VLOOKUP(B2137,[2]מעובד!$D:$L,9,0),0)</f>
        <v>40</v>
      </c>
    </row>
    <row r="2138" spans="1:18" x14ac:dyDescent="0.2">
      <c r="A2138" s="947" t="s">
        <v>335</v>
      </c>
      <c r="B2138" s="947">
        <v>610824</v>
      </c>
      <c r="C2138" s="947" t="s">
        <v>2189</v>
      </c>
      <c r="D2138" s="947" t="s">
        <v>1256</v>
      </c>
      <c r="E2138" s="951">
        <v>108</v>
      </c>
      <c r="F2138" s="951">
        <v>108</v>
      </c>
      <c r="G2138" s="947" t="s">
        <v>3252</v>
      </c>
      <c r="H2138" s="951">
        <v>0</v>
      </c>
      <c r="I2138" s="951">
        <v>0</v>
      </c>
      <c r="J2138" s="947" t="s">
        <v>335</v>
      </c>
      <c r="K2138" s="947">
        <v>610824</v>
      </c>
      <c r="M2138" s="631"/>
      <c r="P2138" s="950" t="str">
        <f>VLOOKUP(J2138,'רשימת רשויות'!A:A,1,0)</f>
        <v>נתיבות</v>
      </c>
      <c r="Q2138" s="956">
        <f>IFERROR(VLOOKUP(B2138,[2]מעובד!$D:$K,8,0),0)</f>
        <v>145</v>
      </c>
      <c r="R2138" s="956">
        <f>IFERROR(VLOOKUP(B2138,[2]מעובד!$D:$L,9,0),0)</f>
        <v>129</v>
      </c>
    </row>
    <row r="2139" spans="1:18" x14ac:dyDescent="0.2">
      <c r="A2139" s="947" t="s">
        <v>181</v>
      </c>
      <c r="B2139" s="947">
        <v>610832</v>
      </c>
      <c r="C2139" s="947" t="s">
        <v>2189</v>
      </c>
      <c r="D2139" s="947" t="s">
        <v>1257</v>
      </c>
      <c r="E2139" s="951">
        <v>79</v>
      </c>
      <c r="F2139" s="951">
        <v>69</v>
      </c>
      <c r="G2139" s="947" t="s">
        <v>3252</v>
      </c>
      <c r="H2139" s="951">
        <v>0</v>
      </c>
      <c r="I2139" s="951">
        <v>0</v>
      </c>
      <c r="J2139" s="947" t="s">
        <v>181</v>
      </c>
      <c r="K2139" s="947">
        <v>610832</v>
      </c>
      <c r="M2139" s="631"/>
      <c r="P2139" s="950" t="str">
        <f>VLOOKUP(J2139,'רשימת רשויות'!A:A,1,0)</f>
        <v>אשדוד</v>
      </c>
      <c r="Q2139" s="956">
        <f>IFERROR(VLOOKUP(B2139,[2]מעובד!$D:$K,8,0),0)</f>
        <v>70</v>
      </c>
      <c r="R2139" s="956">
        <f>IFERROR(VLOOKUP(B2139,[2]מעובד!$D:$L,9,0),0)</f>
        <v>63</v>
      </c>
    </row>
    <row r="2140" spans="1:18" x14ac:dyDescent="0.2">
      <c r="A2140" s="947" t="s">
        <v>294</v>
      </c>
      <c r="B2140" s="947">
        <v>610857</v>
      </c>
      <c r="C2140" s="947" t="s">
        <v>2189</v>
      </c>
      <c r="D2140" s="947" t="s">
        <v>944</v>
      </c>
      <c r="E2140" s="951">
        <v>171</v>
      </c>
      <c r="F2140" s="951">
        <v>130</v>
      </c>
      <c r="G2140" s="947" t="s">
        <v>159</v>
      </c>
      <c r="H2140" s="951">
        <v>0</v>
      </c>
      <c r="I2140" s="951">
        <v>0</v>
      </c>
      <c r="J2140" s="947" t="s">
        <v>294</v>
      </c>
      <c r="K2140" s="947">
        <v>610857</v>
      </c>
      <c r="M2140" s="631"/>
      <c r="P2140" s="950" t="str">
        <f>VLOOKUP(J2140,'רשימת רשויות'!A:A,1,0)</f>
        <v>לכיש</v>
      </c>
      <c r="Q2140" s="956">
        <f>IFERROR(VLOOKUP(B2140,[2]מעובד!$D:$K,8,0),0)</f>
        <v>206</v>
      </c>
      <c r="R2140" s="956">
        <f>IFERROR(VLOOKUP(B2140,[2]מעובד!$D:$L,9,0),0)</f>
        <v>55</v>
      </c>
    </row>
    <row r="2141" spans="1:18" x14ac:dyDescent="0.2">
      <c r="A2141" s="947" t="s">
        <v>373</v>
      </c>
      <c r="B2141" s="947">
        <v>610865</v>
      </c>
      <c r="C2141" s="947" t="s">
        <v>2189</v>
      </c>
      <c r="D2141" s="947" t="s">
        <v>2703</v>
      </c>
      <c r="E2141" s="951">
        <v>162</v>
      </c>
      <c r="F2141" s="951">
        <v>162</v>
      </c>
      <c r="G2141" s="947" t="s">
        <v>3252</v>
      </c>
      <c r="H2141" s="951">
        <v>0</v>
      </c>
      <c r="I2141" s="951">
        <v>0</v>
      </c>
      <c r="J2141" s="947" t="s">
        <v>373</v>
      </c>
      <c r="K2141" s="947">
        <v>610865</v>
      </c>
      <c r="M2141" s="631"/>
      <c r="P2141" s="950" t="str">
        <f>VLOOKUP(J2141,'רשימת רשויות'!A:A,1,0)</f>
        <v>קרית גת</v>
      </c>
      <c r="Q2141" s="956">
        <f>IFERROR(VLOOKUP(B2141,[2]מעובד!$D:$K,8,0),0)</f>
        <v>0</v>
      </c>
      <c r="R2141" s="956">
        <f>IFERROR(VLOOKUP(B2141,[2]מעובד!$D:$L,9,0),0)</f>
        <v>0</v>
      </c>
    </row>
    <row r="2142" spans="1:18" x14ac:dyDescent="0.2">
      <c r="A2142" s="947" t="s">
        <v>225</v>
      </c>
      <c r="B2142" s="947">
        <v>610881</v>
      </c>
      <c r="C2142" s="947" t="s">
        <v>2189</v>
      </c>
      <c r="D2142" s="947" t="s">
        <v>1001</v>
      </c>
      <c r="E2142" s="951">
        <v>145</v>
      </c>
      <c r="F2142" s="951">
        <v>80</v>
      </c>
      <c r="G2142" s="947" t="s">
        <v>159</v>
      </c>
      <c r="H2142" s="951">
        <v>0</v>
      </c>
      <c r="I2142" s="951">
        <v>0</v>
      </c>
      <c r="J2142" s="947" t="s">
        <v>225</v>
      </c>
      <c r="K2142" s="947">
        <v>610881</v>
      </c>
      <c r="M2142" s="631"/>
      <c r="P2142" s="950" t="str">
        <f>VLOOKUP(J2142,'רשימת רשויות'!A:A,1,0)</f>
        <v>דימונה</v>
      </c>
      <c r="Q2142" s="956">
        <f>IFERROR(VLOOKUP(B2142,[2]מעובד!$D:$K,8,0),0)</f>
        <v>133</v>
      </c>
      <c r="R2142" s="956">
        <f>IFERROR(VLOOKUP(B2142,[2]מעובד!$D:$L,9,0),0)</f>
        <v>52</v>
      </c>
    </row>
    <row r="2143" spans="1:18" x14ac:dyDescent="0.2">
      <c r="A2143" s="947" t="s">
        <v>246</v>
      </c>
      <c r="B2143" s="947">
        <v>610899</v>
      </c>
      <c r="C2143" s="947" t="s">
        <v>2189</v>
      </c>
      <c r="D2143" s="947" t="s">
        <v>1002</v>
      </c>
      <c r="E2143" s="951">
        <v>254</v>
      </c>
      <c r="F2143" s="951">
        <v>150</v>
      </c>
      <c r="G2143" s="947" t="s">
        <v>159</v>
      </c>
      <c r="H2143" s="951">
        <v>94</v>
      </c>
      <c r="I2143" s="951">
        <v>11</v>
      </c>
      <c r="J2143" s="947" t="s">
        <v>246</v>
      </c>
      <c r="K2143" s="947">
        <v>610899</v>
      </c>
      <c r="M2143" s="631"/>
      <c r="P2143" s="950" t="str">
        <f>VLOOKUP(J2143,'רשימת רשויות'!A:A,1,0)</f>
        <v>חוף אשקלון</v>
      </c>
      <c r="Q2143" s="956">
        <f>IFERROR(VLOOKUP(B2143,[2]מעובד!$D:$K,8,0),0)</f>
        <v>261</v>
      </c>
      <c r="R2143" s="956">
        <f>IFERROR(VLOOKUP(B2143,[2]מעובד!$D:$L,9,0),0)</f>
        <v>58</v>
      </c>
    </row>
    <row r="2144" spans="1:18" x14ac:dyDescent="0.2">
      <c r="A2144" s="947" t="s">
        <v>322</v>
      </c>
      <c r="B2144" s="947">
        <v>610923</v>
      </c>
      <c r="C2144" s="947" t="s">
        <v>2189</v>
      </c>
      <c r="D2144" s="947" t="s">
        <v>1276</v>
      </c>
      <c r="E2144" s="951">
        <v>41</v>
      </c>
      <c r="F2144" s="951">
        <v>78</v>
      </c>
      <c r="G2144" s="947" t="s">
        <v>159</v>
      </c>
      <c r="H2144" s="951">
        <v>0</v>
      </c>
      <c r="I2144" s="951">
        <v>0</v>
      </c>
      <c r="J2144" s="947" t="s">
        <v>322</v>
      </c>
      <c r="K2144" s="947">
        <v>610923</v>
      </c>
      <c r="M2144" s="631"/>
      <c r="P2144" s="950" t="str">
        <f>VLOOKUP(J2144,'רשימת רשויות'!A:A,1,0)</f>
        <v>מצפה רמון</v>
      </c>
      <c r="Q2144" s="956">
        <f>IFERROR(VLOOKUP(B2144,[2]מעובד!$D:$K,8,0),0)</f>
        <v>23</v>
      </c>
      <c r="R2144" s="956">
        <f>IFERROR(VLOOKUP(B2144,[2]מעובד!$D:$L,9,0),0)</f>
        <v>22</v>
      </c>
    </row>
    <row r="2145" spans="1:18" x14ac:dyDescent="0.2">
      <c r="A2145" s="947" t="s">
        <v>181</v>
      </c>
      <c r="B2145" s="947">
        <v>610949</v>
      </c>
      <c r="C2145" s="947" t="s">
        <v>2189</v>
      </c>
      <c r="D2145" s="947" t="s">
        <v>2236</v>
      </c>
      <c r="E2145" s="951">
        <v>216</v>
      </c>
      <c r="F2145" s="951">
        <v>208</v>
      </c>
      <c r="G2145" s="947" t="s">
        <v>3252</v>
      </c>
      <c r="H2145" s="951">
        <v>0</v>
      </c>
      <c r="I2145" s="951">
        <v>0</v>
      </c>
      <c r="J2145" s="947" t="s">
        <v>181</v>
      </c>
      <c r="K2145" s="947">
        <v>610949</v>
      </c>
      <c r="M2145" s="631"/>
      <c r="P2145" s="950" t="str">
        <f>VLOOKUP(J2145,'רשימת רשויות'!A:A,1,0)</f>
        <v>אשדוד</v>
      </c>
      <c r="Q2145" s="956">
        <f>IFERROR(VLOOKUP(B2145,[2]מעובד!$D:$K,8,0),0)</f>
        <v>157</v>
      </c>
      <c r="R2145" s="956">
        <f>IFERROR(VLOOKUP(B2145,[2]מעובד!$D:$L,9,0),0)</f>
        <v>128</v>
      </c>
    </row>
    <row r="2146" spans="1:18" x14ac:dyDescent="0.2">
      <c r="A2146" s="947" t="s">
        <v>399</v>
      </c>
      <c r="B2146" s="947">
        <v>610956</v>
      </c>
      <c r="C2146" s="947" t="s">
        <v>2189</v>
      </c>
      <c r="D2146" s="947" t="s">
        <v>2467</v>
      </c>
      <c r="E2146" s="951">
        <v>156</v>
      </c>
      <c r="F2146" s="951">
        <v>60</v>
      </c>
      <c r="G2146" s="947" t="s">
        <v>159</v>
      </c>
      <c r="H2146" s="951">
        <v>0</v>
      </c>
      <c r="I2146" s="951">
        <v>0</v>
      </c>
      <c r="J2146" s="947" t="s">
        <v>399</v>
      </c>
      <c r="K2146" s="957" t="s">
        <v>3356</v>
      </c>
      <c r="M2146" s="631"/>
      <c r="P2146" s="950" t="str">
        <f>VLOOKUP(J2146,'רשימת רשויות'!A:A,1,0)</f>
        <v>שדות נגב עזתה</v>
      </c>
      <c r="Q2146" s="956">
        <f>IFERROR(VLOOKUP(B2146,[2]מעובד!$D:$K,8,0),0)</f>
        <v>140</v>
      </c>
      <c r="R2146" s="956">
        <f>IFERROR(VLOOKUP(B2146,[2]מעובד!$D:$L,9,0),0)</f>
        <v>41</v>
      </c>
    </row>
    <row r="2147" spans="1:18" x14ac:dyDescent="0.2">
      <c r="A2147" s="947" t="s">
        <v>181</v>
      </c>
      <c r="B2147" s="947">
        <v>610964</v>
      </c>
      <c r="C2147" s="947" t="s">
        <v>2189</v>
      </c>
      <c r="D2147" s="947" t="s">
        <v>3107</v>
      </c>
      <c r="E2147" s="951">
        <v>223</v>
      </c>
      <c r="F2147" s="951">
        <v>0</v>
      </c>
      <c r="G2147" s="947" t="s">
        <v>3252</v>
      </c>
      <c r="H2147" s="951">
        <v>223</v>
      </c>
      <c r="I2147" s="951">
        <v>0</v>
      </c>
      <c r="J2147" s="947" t="s">
        <v>181</v>
      </c>
      <c r="K2147" s="947">
        <v>610964</v>
      </c>
      <c r="M2147" s="631"/>
      <c r="P2147" s="950" t="str">
        <f>VLOOKUP(J2147,'רשימת רשויות'!A:A,1,0)</f>
        <v>אשדוד</v>
      </c>
      <c r="Q2147" s="956">
        <f>IFERROR(VLOOKUP(B2147,[2]מעובד!$D:$K,8,0),0)</f>
        <v>0</v>
      </c>
      <c r="R2147" s="956">
        <f>IFERROR(VLOOKUP(B2147,[2]מעובד!$D:$L,9,0),0)</f>
        <v>0</v>
      </c>
    </row>
    <row r="2148" spans="1:18" x14ac:dyDescent="0.2">
      <c r="A2148" s="947" t="s">
        <v>181</v>
      </c>
      <c r="B2148" s="947">
        <v>610980</v>
      </c>
      <c r="C2148" s="947" t="s">
        <v>2189</v>
      </c>
      <c r="D2148" s="947" t="s">
        <v>3108</v>
      </c>
      <c r="E2148" s="951">
        <v>153</v>
      </c>
      <c r="F2148" s="951">
        <v>0</v>
      </c>
      <c r="G2148" s="947" t="s">
        <v>3252</v>
      </c>
      <c r="H2148" s="951">
        <v>0</v>
      </c>
      <c r="I2148" s="951">
        <v>0</v>
      </c>
      <c r="J2148" s="947" t="s">
        <v>181</v>
      </c>
      <c r="K2148" s="947">
        <v>610980</v>
      </c>
      <c r="M2148" s="631"/>
      <c r="P2148" s="950" t="str">
        <f>VLOOKUP(J2148,'רשימת רשויות'!A:A,1,0)</f>
        <v>אשדוד</v>
      </c>
      <c r="Q2148" s="956">
        <f>IFERROR(VLOOKUP(B2148,[2]מעובד!$D:$K,8,0),0)</f>
        <v>0</v>
      </c>
      <c r="R2148" s="956">
        <f>IFERROR(VLOOKUP(B2148,[2]מעובד!$D:$L,9,0),0)</f>
        <v>0</v>
      </c>
    </row>
    <row r="2149" spans="1:18" x14ac:dyDescent="0.2">
      <c r="A2149" s="947" t="s">
        <v>187</v>
      </c>
      <c r="B2149" s="947">
        <v>611004</v>
      </c>
      <c r="C2149" s="947" t="s">
        <v>2189</v>
      </c>
      <c r="D2149" s="947" t="s">
        <v>1279</v>
      </c>
      <c r="E2149" s="951">
        <v>122</v>
      </c>
      <c r="F2149" s="951">
        <v>94</v>
      </c>
      <c r="G2149" s="947" t="s">
        <v>159</v>
      </c>
      <c r="H2149" s="951">
        <v>0</v>
      </c>
      <c r="I2149" s="951">
        <v>0</v>
      </c>
      <c r="J2149" s="947" t="s">
        <v>187</v>
      </c>
      <c r="K2149" s="947">
        <v>611004</v>
      </c>
      <c r="M2149" s="631"/>
      <c r="P2149" s="950" t="str">
        <f>VLOOKUP(J2149,'רשימת רשויות'!A:A,1,0)</f>
        <v>באר שבע</v>
      </c>
      <c r="Q2149" s="956">
        <f>IFERROR(VLOOKUP(B2149,[2]מעובד!$D:$K,8,0),0)</f>
        <v>0</v>
      </c>
      <c r="R2149" s="956">
        <f>IFERROR(VLOOKUP(B2149,[2]מעובד!$D:$L,9,0),0)</f>
        <v>0</v>
      </c>
    </row>
    <row r="2150" spans="1:18" x14ac:dyDescent="0.2">
      <c r="A2150" s="947" t="s">
        <v>373</v>
      </c>
      <c r="B2150" s="947">
        <v>611020</v>
      </c>
      <c r="C2150" s="947" t="s">
        <v>2189</v>
      </c>
      <c r="D2150" s="947" t="s">
        <v>506</v>
      </c>
      <c r="E2150" s="951">
        <v>226</v>
      </c>
      <c r="F2150" s="951">
        <v>216</v>
      </c>
      <c r="G2150" s="947" t="s">
        <v>159</v>
      </c>
      <c r="H2150" s="951">
        <v>0</v>
      </c>
      <c r="I2150" s="951">
        <v>0</v>
      </c>
      <c r="J2150" s="947" t="s">
        <v>373</v>
      </c>
      <c r="K2150" s="947">
        <v>611020</v>
      </c>
      <c r="M2150" s="631"/>
      <c r="P2150" s="950" t="str">
        <f>VLOOKUP(J2150,'רשימת רשויות'!A:A,1,0)</f>
        <v>קרית גת</v>
      </c>
      <c r="Q2150" s="956">
        <f>IFERROR(VLOOKUP(B2150,[2]מעובד!$D:$K,8,0),0)</f>
        <v>170</v>
      </c>
      <c r="R2150" s="956">
        <f>IFERROR(VLOOKUP(B2150,[2]מעובד!$D:$L,9,0),0)</f>
        <v>95</v>
      </c>
    </row>
    <row r="2151" spans="1:18" x14ac:dyDescent="0.2">
      <c r="A2151" s="947" t="s">
        <v>373</v>
      </c>
      <c r="B2151" s="947">
        <v>611038</v>
      </c>
      <c r="C2151" s="947" t="s">
        <v>2189</v>
      </c>
      <c r="D2151" s="947" t="s">
        <v>883</v>
      </c>
      <c r="E2151" s="951">
        <v>297</v>
      </c>
      <c r="F2151" s="951">
        <v>285</v>
      </c>
      <c r="G2151" s="947" t="s">
        <v>159</v>
      </c>
      <c r="H2151" s="951">
        <v>111</v>
      </c>
      <c r="I2151" s="951">
        <v>12</v>
      </c>
      <c r="J2151" s="947" t="s">
        <v>373</v>
      </c>
      <c r="K2151" s="947">
        <v>611038</v>
      </c>
      <c r="M2151" s="631"/>
      <c r="P2151" s="950" t="str">
        <f>VLOOKUP(J2151,'רשימת רשויות'!A:A,1,0)</f>
        <v>קרית גת</v>
      </c>
      <c r="Q2151" s="956">
        <f>IFERROR(VLOOKUP(B2151,[2]מעובד!$D:$K,8,0),0)</f>
        <v>285</v>
      </c>
      <c r="R2151" s="956">
        <f>IFERROR(VLOOKUP(B2151,[2]מעובד!$D:$L,9,0),0)</f>
        <v>94</v>
      </c>
    </row>
    <row r="2152" spans="1:18" x14ac:dyDescent="0.2">
      <c r="A2152" s="947" t="s">
        <v>373</v>
      </c>
      <c r="B2152" s="947">
        <v>611046</v>
      </c>
      <c r="C2152" s="947" t="s">
        <v>2189</v>
      </c>
      <c r="D2152" s="947" t="s">
        <v>884</v>
      </c>
      <c r="E2152" s="951">
        <v>152</v>
      </c>
      <c r="F2152" s="951">
        <v>151</v>
      </c>
      <c r="G2152" s="947" t="s">
        <v>159</v>
      </c>
      <c r="H2152" s="951">
        <v>0</v>
      </c>
      <c r="I2152" s="951">
        <v>0</v>
      </c>
      <c r="J2152" s="947" t="s">
        <v>373</v>
      </c>
      <c r="K2152" s="947">
        <v>611046</v>
      </c>
      <c r="M2152" s="631"/>
      <c r="P2152" s="950" t="str">
        <f>VLOOKUP(J2152,'רשימת רשויות'!A:A,1,0)</f>
        <v>קרית גת</v>
      </c>
      <c r="Q2152" s="956">
        <f>IFERROR(VLOOKUP(B2152,[2]מעובד!$D:$K,8,0),0)</f>
        <v>101</v>
      </c>
      <c r="R2152" s="956">
        <f>IFERROR(VLOOKUP(B2152,[2]מעובד!$D:$L,9,0),0)</f>
        <v>81</v>
      </c>
    </row>
    <row r="2153" spans="1:18" x14ac:dyDescent="0.2">
      <c r="A2153" s="947" t="s">
        <v>378</v>
      </c>
      <c r="B2153" s="947">
        <v>611053</v>
      </c>
      <c r="C2153" s="947" t="s">
        <v>2189</v>
      </c>
      <c r="D2153" s="947" t="s">
        <v>885</v>
      </c>
      <c r="E2153" s="951">
        <v>166</v>
      </c>
      <c r="F2153" s="951">
        <v>142</v>
      </c>
      <c r="G2153" s="947" t="s">
        <v>159</v>
      </c>
      <c r="H2153" s="951">
        <v>58</v>
      </c>
      <c r="I2153" s="951">
        <v>9</v>
      </c>
      <c r="J2153" s="947" t="s">
        <v>378</v>
      </c>
      <c r="K2153" s="947">
        <v>611053</v>
      </c>
      <c r="M2153" s="631"/>
      <c r="P2153" s="950" t="str">
        <f>VLOOKUP(J2153,'רשימת רשויות'!A:A,1,0)</f>
        <v>קרית מלאכי</v>
      </c>
      <c r="Q2153" s="956">
        <f>IFERROR(VLOOKUP(B2153,[2]מעובד!$D:$K,8,0),0)</f>
        <v>149</v>
      </c>
      <c r="R2153" s="956">
        <f>IFERROR(VLOOKUP(B2153,[2]מעובד!$D:$L,9,0),0)</f>
        <v>65</v>
      </c>
    </row>
    <row r="2154" spans="1:18" x14ac:dyDescent="0.2">
      <c r="A2154" s="947" t="s">
        <v>378</v>
      </c>
      <c r="B2154" s="947">
        <v>611061</v>
      </c>
      <c r="C2154" s="947" t="s">
        <v>2189</v>
      </c>
      <c r="D2154" s="947" t="s">
        <v>886</v>
      </c>
      <c r="E2154" s="951">
        <v>145</v>
      </c>
      <c r="F2154" s="951">
        <v>121</v>
      </c>
      <c r="G2154" s="947" t="s">
        <v>159</v>
      </c>
      <c r="H2154" s="951">
        <v>101</v>
      </c>
      <c r="I2154" s="951">
        <v>15</v>
      </c>
      <c r="J2154" s="947" t="s">
        <v>378</v>
      </c>
      <c r="K2154" s="947">
        <v>611061</v>
      </c>
      <c r="M2154" s="631"/>
      <c r="P2154" s="950" t="str">
        <f>VLOOKUP(J2154,'רשימת רשויות'!A:A,1,0)</f>
        <v>קרית מלאכי</v>
      </c>
      <c r="Q2154" s="956">
        <f>IFERROR(VLOOKUP(B2154,[2]מעובד!$D:$K,8,0),0)</f>
        <v>0</v>
      </c>
      <c r="R2154" s="956">
        <f>IFERROR(VLOOKUP(B2154,[2]מעובד!$D:$L,9,0),0)</f>
        <v>0</v>
      </c>
    </row>
    <row r="2155" spans="1:18" x14ac:dyDescent="0.2">
      <c r="A2155" s="947" t="s">
        <v>181</v>
      </c>
      <c r="B2155" s="947">
        <v>611103</v>
      </c>
      <c r="C2155" s="947" t="s">
        <v>2189</v>
      </c>
      <c r="D2155" s="947" t="s">
        <v>1226</v>
      </c>
      <c r="E2155" s="951">
        <v>189</v>
      </c>
      <c r="F2155" s="951">
        <v>0</v>
      </c>
      <c r="G2155" s="947" t="s">
        <v>3252</v>
      </c>
      <c r="H2155" s="951">
        <v>0</v>
      </c>
      <c r="I2155" s="951">
        <v>0</v>
      </c>
      <c r="J2155" s="947" t="s">
        <v>181</v>
      </c>
      <c r="K2155" s="947">
        <v>611103</v>
      </c>
      <c r="M2155" s="631"/>
      <c r="P2155" s="950" t="str">
        <f>VLOOKUP(J2155,'רשימת רשויות'!A:A,1,0)</f>
        <v>אשדוד</v>
      </c>
      <c r="Q2155" s="956">
        <f>IFERROR(VLOOKUP(B2155,[2]מעובד!$D:$K,8,0),0)</f>
        <v>0</v>
      </c>
      <c r="R2155" s="956">
        <f>IFERROR(VLOOKUP(B2155,[2]מעובד!$D:$L,9,0),0)</f>
        <v>0</v>
      </c>
    </row>
    <row r="2156" spans="1:18" x14ac:dyDescent="0.2">
      <c r="A2156" s="947" t="s">
        <v>322</v>
      </c>
      <c r="B2156" s="947">
        <v>611111</v>
      </c>
      <c r="C2156" s="947" t="s">
        <v>2189</v>
      </c>
      <c r="D2156" s="947" t="s">
        <v>1228</v>
      </c>
      <c r="E2156" s="951">
        <v>132</v>
      </c>
      <c r="F2156" s="951">
        <v>131</v>
      </c>
      <c r="G2156" s="947" t="s">
        <v>3252</v>
      </c>
      <c r="H2156" s="951">
        <v>0</v>
      </c>
      <c r="I2156" s="951">
        <v>0</v>
      </c>
      <c r="J2156" s="947" t="s">
        <v>322</v>
      </c>
      <c r="K2156" s="947">
        <v>611111</v>
      </c>
      <c r="M2156" s="631"/>
      <c r="P2156" s="950" t="str">
        <f>VLOOKUP(J2156,'רשימת רשויות'!A:A,1,0)</f>
        <v>מצפה רמון</v>
      </c>
      <c r="Q2156" s="956">
        <f>IFERROR(VLOOKUP(B2156,[2]מעובד!$D:$K,8,0),0)</f>
        <v>124</v>
      </c>
      <c r="R2156" s="956">
        <f>IFERROR(VLOOKUP(B2156,[2]מעובד!$D:$L,9,0),0)</f>
        <v>124</v>
      </c>
    </row>
    <row r="2157" spans="1:18" x14ac:dyDescent="0.2">
      <c r="A2157" s="947" t="s">
        <v>355</v>
      </c>
      <c r="B2157" s="947">
        <v>611137</v>
      </c>
      <c r="C2157" s="947" t="s">
        <v>2189</v>
      </c>
      <c r="D2157" s="947" t="s">
        <v>954</v>
      </c>
      <c r="E2157" s="951">
        <v>47</v>
      </c>
      <c r="F2157" s="951">
        <v>47</v>
      </c>
      <c r="G2157" s="947" t="s">
        <v>159</v>
      </c>
      <c r="H2157" s="951">
        <v>0</v>
      </c>
      <c r="I2157" s="951">
        <v>0</v>
      </c>
      <c r="J2157" s="947" t="s">
        <v>355</v>
      </c>
      <c r="K2157" s="947">
        <v>611137</v>
      </c>
      <c r="M2157" s="631"/>
      <c r="P2157" s="950" t="str">
        <f>VLOOKUP(J2157,'רשימת רשויות'!A:A,1,0)</f>
        <v>ערד</v>
      </c>
      <c r="Q2157" s="956">
        <f>IFERROR(VLOOKUP(B2157,[2]מעובד!$D:$K,8,0),0)</f>
        <v>48</v>
      </c>
      <c r="R2157" s="956">
        <f>IFERROR(VLOOKUP(B2157,[2]מעובד!$D:$L,9,0),0)</f>
        <v>48</v>
      </c>
    </row>
    <row r="2158" spans="1:18" x14ac:dyDescent="0.2">
      <c r="A2158" s="947" t="s">
        <v>355</v>
      </c>
      <c r="B2158" s="947">
        <v>611145</v>
      </c>
      <c r="C2158" s="947" t="s">
        <v>2189</v>
      </c>
      <c r="D2158" s="947" t="s">
        <v>1229</v>
      </c>
      <c r="E2158" s="951">
        <v>46</v>
      </c>
      <c r="F2158" s="951">
        <v>40</v>
      </c>
      <c r="G2158" s="947" t="s">
        <v>159</v>
      </c>
      <c r="H2158" s="951">
        <v>0</v>
      </c>
      <c r="I2158" s="951">
        <v>0</v>
      </c>
      <c r="J2158" s="947" t="s">
        <v>355</v>
      </c>
      <c r="K2158" s="947">
        <v>611145</v>
      </c>
      <c r="M2158" s="631"/>
      <c r="P2158" s="950" t="str">
        <f>VLOOKUP(J2158,'רשימת רשויות'!A:A,1,0)</f>
        <v>ערד</v>
      </c>
      <c r="Q2158" s="956">
        <f>IFERROR(VLOOKUP(B2158,[2]מעובד!$D:$K,8,0),0)</f>
        <v>44</v>
      </c>
      <c r="R2158" s="956">
        <f>IFERROR(VLOOKUP(B2158,[2]מעובד!$D:$L,9,0),0)</f>
        <v>44</v>
      </c>
    </row>
    <row r="2159" spans="1:18" x14ac:dyDescent="0.2">
      <c r="A2159" s="947" t="s">
        <v>328</v>
      </c>
      <c r="B2159" s="947">
        <v>611152</v>
      </c>
      <c r="C2159" s="947" t="s">
        <v>2189</v>
      </c>
      <c r="D2159" s="947" t="s">
        <v>887</v>
      </c>
      <c r="E2159" s="951">
        <v>134</v>
      </c>
      <c r="F2159" s="951">
        <v>134</v>
      </c>
      <c r="G2159" s="947" t="s">
        <v>159</v>
      </c>
      <c r="H2159" s="951">
        <v>0</v>
      </c>
      <c r="I2159" s="951">
        <v>0</v>
      </c>
      <c r="J2159" s="947" t="s">
        <v>328</v>
      </c>
      <c r="K2159" s="947">
        <v>611152</v>
      </c>
      <c r="M2159" s="631"/>
      <c r="P2159" s="950" t="str">
        <f>VLOOKUP(J2159,'רשימת רשויות'!A:A,1,0)</f>
        <v>נווה מדבר</v>
      </c>
      <c r="Q2159" s="956">
        <f>IFERROR(VLOOKUP(B2159,[2]מעובד!$D:$K,8,0),0)</f>
        <v>145</v>
      </c>
      <c r="R2159" s="956">
        <f>IFERROR(VLOOKUP(B2159,[2]מעובד!$D:$L,9,0),0)</f>
        <v>100</v>
      </c>
    </row>
    <row r="2160" spans="1:18" x14ac:dyDescent="0.2">
      <c r="A2160" s="947" t="s">
        <v>400</v>
      </c>
      <c r="B2160" s="947">
        <v>611160</v>
      </c>
      <c r="C2160" s="947" t="s">
        <v>2189</v>
      </c>
      <c r="D2160" s="947" t="s">
        <v>901</v>
      </c>
      <c r="E2160" s="951">
        <v>157</v>
      </c>
      <c r="F2160" s="951">
        <v>149</v>
      </c>
      <c r="G2160" s="947" t="s">
        <v>159</v>
      </c>
      <c r="H2160" s="951">
        <v>0</v>
      </c>
      <c r="I2160" s="951">
        <v>0</v>
      </c>
      <c r="J2160" s="947" t="s">
        <v>400</v>
      </c>
      <c r="K2160" s="947">
        <v>611160</v>
      </c>
      <c r="M2160" s="631"/>
      <c r="P2160" s="950" t="str">
        <f>VLOOKUP(J2160,'רשימת רשויות'!A:A,1,0)</f>
        <v>שדרות</v>
      </c>
      <c r="Q2160" s="956">
        <f>IFERROR(VLOOKUP(B2160,[2]מעובד!$D:$K,8,0),0)</f>
        <v>120</v>
      </c>
      <c r="R2160" s="956">
        <f>IFERROR(VLOOKUP(B2160,[2]מעובד!$D:$L,9,0),0)</f>
        <v>71</v>
      </c>
    </row>
    <row r="2161" spans="1:18" x14ac:dyDescent="0.2">
      <c r="A2161" s="947" t="s">
        <v>400</v>
      </c>
      <c r="B2161" s="947">
        <v>611178</v>
      </c>
      <c r="C2161" s="947" t="s">
        <v>2189</v>
      </c>
      <c r="D2161" s="947" t="s">
        <v>902</v>
      </c>
      <c r="E2161" s="951">
        <v>258</v>
      </c>
      <c r="F2161" s="951">
        <v>238</v>
      </c>
      <c r="G2161" s="947" t="s">
        <v>159</v>
      </c>
      <c r="H2161" s="951">
        <v>85</v>
      </c>
      <c r="I2161" s="951">
        <v>19</v>
      </c>
      <c r="J2161" s="947" t="s">
        <v>400</v>
      </c>
      <c r="K2161" s="947">
        <v>611178</v>
      </c>
      <c r="M2161" s="631"/>
      <c r="P2161" s="950" t="str">
        <f>VLOOKUP(J2161,'רשימת רשויות'!A:A,1,0)</f>
        <v>שדרות</v>
      </c>
      <c r="Q2161" s="956">
        <f>IFERROR(VLOOKUP(B2161,[2]מעובד!$D:$K,8,0),0)</f>
        <v>123</v>
      </c>
      <c r="R2161" s="956">
        <f>IFERROR(VLOOKUP(B2161,[2]מעובד!$D:$L,9,0),0)</f>
        <v>85</v>
      </c>
    </row>
    <row r="2162" spans="1:18" x14ac:dyDescent="0.2">
      <c r="A2162" s="947" t="s">
        <v>335</v>
      </c>
      <c r="B2162" s="947">
        <v>611194</v>
      </c>
      <c r="C2162" s="947" t="s">
        <v>2189</v>
      </c>
      <c r="D2162" s="947" t="s">
        <v>2468</v>
      </c>
      <c r="E2162" s="951">
        <v>170</v>
      </c>
      <c r="F2162" s="951">
        <v>170</v>
      </c>
      <c r="G2162" s="947" t="s">
        <v>3252</v>
      </c>
      <c r="H2162" s="951">
        <v>0</v>
      </c>
      <c r="I2162" s="951">
        <v>0</v>
      </c>
      <c r="J2162" s="947" t="s">
        <v>335</v>
      </c>
      <c r="K2162" s="947">
        <v>611194</v>
      </c>
      <c r="M2162" s="631"/>
      <c r="P2162" s="950" t="str">
        <f>VLOOKUP(J2162,'רשימת רשויות'!A:A,1,0)</f>
        <v>נתיבות</v>
      </c>
      <c r="Q2162" s="956">
        <f>IFERROR(VLOOKUP(B2162,[2]מעובד!$D:$K,8,0),0)</f>
        <v>0</v>
      </c>
      <c r="R2162" s="956">
        <f>IFERROR(VLOOKUP(B2162,[2]מעובד!$D:$L,9,0),0)</f>
        <v>0</v>
      </c>
    </row>
    <row r="2163" spans="1:18" x14ac:dyDescent="0.2">
      <c r="A2163" s="947" t="s">
        <v>411</v>
      </c>
      <c r="B2163" s="947">
        <v>611202</v>
      </c>
      <c r="C2163" s="947" t="s">
        <v>2189</v>
      </c>
      <c r="D2163" s="947" t="s">
        <v>2469</v>
      </c>
      <c r="E2163" s="951">
        <v>66</v>
      </c>
      <c r="F2163" s="951">
        <v>48</v>
      </c>
      <c r="G2163" s="947" t="s">
        <v>159</v>
      </c>
      <c r="H2163" s="951">
        <v>0</v>
      </c>
      <c r="I2163" s="951">
        <v>0</v>
      </c>
      <c r="J2163" s="947" t="s">
        <v>411</v>
      </c>
      <c r="K2163" s="947">
        <v>611202</v>
      </c>
      <c r="M2163" s="631"/>
      <c r="P2163" s="950" t="str">
        <f>VLOOKUP(J2163,'רשימת רשויות'!A:A,1,0)</f>
        <v>תמר</v>
      </c>
      <c r="Q2163" s="956">
        <f>IFERROR(VLOOKUP(B2163,[2]מעובד!$D:$K,8,0),0)</f>
        <v>0</v>
      </c>
      <c r="R2163" s="956">
        <f>IFERROR(VLOOKUP(B2163,[2]מעובד!$D:$L,9,0),0)</f>
        <v>0</v>
      </c>
    </row>
    <row r="2164" spans="1:18" x14ac:dyDescent="0.2">
      <c r="A2164" s="947" t="s">
        <v>373</v>
      </c>
      <c r="B2164" s="947">
        <v>611236</v>
      </c>
      <c r="C2164" s="947" t="s">
        <v>2189</v>
      </c>
      <c r="D2164" s="947" t="s">
        <v>923</v>
      </c>
      <c r="E2164" s="951">
        <v>119</v>
      </c>
      <c r="F2164" s="951">
        <v>119</v>
      </c>
      <c r="G2164" s="947" t="s">
        <v>159</v>
      </c>
      <c r="H2164" s="951">
        <v>0</v>
      </c>
      <c r="I2164" s="951">
        <v>0</v>
      </c>
      <c r="J2164" s="947" t="s">
        <v>373</v>
      </c>
      <c r="K2164" s="947">
        <v>611236</v>
      </c>
      <c r="M2164" s="631"/>
      <c r="P2164" s="950" t="str">
        <f>VLOOKUP(J2164,'רשימת רשויות'!A:A,1,0)</f>
        <v>קרית גת</v>
      </c>
      <c r="Q2164" s="956">
        <f>IFERROR(VLOOKUP(B2164,[2]מעובד!$D:$K,8,0),0)</f>
        <v>92</v>
      </c>
      <c r="R2164" s="956">
        <f>IFERROR(VLOOKUP(B2164,[2]מעובד!$D:$L,9,0),0)</f>
        <v>85</v>
      </c>
    </row>
    <row r="2165" spans="1:18" x14ac:dyDescent="0.2">
      <c r="A2165" s="947" t="s">
        <v>294</v>
      </c>
      <c r="B2165" s="947">
        <v>611244</v>
      </c>
      <c r="C2165" s="947" t="s">
        <v>2189</v>
      </c>
      <c r="D2165" s="947" t="s">
        <v>924</v>
      </c>
      <c r="E2165" s="951">
        <v>60</v>
      </c>
      <c r="F2165" s="951">
        <v>43</v>
      </c>
      <c r="G2165" s="947" t="s">
        <v>159</v>
      </c>
      <c r="H2165" s="951">
        <v>0</v>
      </c>
      <c r="I2165" s="951">
        <v>0</v>
      </c>
      <c r="J2165" s="947" t="s">
        <v>294</v>
      </c>
      <c r="K2165" s="947">
        <v>611244</v>
      </c>
      <c r="M2165" s="631"/>
      <c r="P2165" s="950" t="str">
        <f>VLOOKUP(J2165,'רשימת רשויות'!A:A,1,0)</f>
        <v>לכיש</v>
      </c>
      <c r="Q2165" s="956">
        <f>IFERROR(VLOOKUP(B2165,[2]מעובד!$D:$K,8,0),0)</f>
        <v>69</v>
      </c>
      <c r="R2165" s="956">
        <f>IFERROR(VLOOKUP(B2165,[2]מעובד!$D:$L,9,0),0)</f>
        <v>69</v>
      </c>
    </row>
    <row r="2166" spans="1:18" x14ac:dyDescent="0.2">
      <c r="A2166" s="947" t="s">
        <v>183</v>
      </c>
      <c r="B2166" s="947">
        <v>611277</v>
      </c>
      <c r="C2166" s="947" t="s">
        <v>2189</v>
      </c>
      <c r="D2166" s="947" t="s">
        <v>1246</v>
      </c>
      <c r="E2166" s="951">
        <v>180</v>
      </c>
      <c r="F2166" s="951">
        <v>179</v>
      </c>
      <c r="G2166" s="947" t="s">
        <v>3252</v>
      </c>
      <c r="H2166" s="951">
        <v>0</v>
      </c>
      <c r="I2166" s="951">
        <v>0</v>
      </c>
      <c r="J2166" s="947" t="s">
        <v>183</v>
      </c>
      <c r="K2166" s="947">
        <v>611277</v>
      </c>
      <c r="M2166" s="631"/>
      <c r="P2166" s="950" t="str">
        <f>VLOOKUP(J2166,'רשימת רשויות'!A:A,1,0)</f>
        <v>אשקלון</v>
      </c>
      <c r="Q2166" s="956">
        <f>IFERROR(VLOOKUP(B2166,[2]מעובד!$D:$K,8,0),0)</f>
        <v>0</v>
      </c>
      <c r="R2166" s="956">
        <f>IFERROR(VLOOKUP(B2166,[2]מעובד!$D:$L,9,0),0)</f>
        <v>0</v>
      </c>
    </row>
    <row r="2167" spans="1:18" x14ac:dyDescent="0.2">
      <c r="A2167" s="947" t="s">
        <v>187</v>
      </c>
      <c r="B2167" s="947">
        <v>611285</v>
      </c>
      <c r="C2167" s="947" t="s">
        <v>2189</v>
      </c>
      <c r="D2167" s="947" t="s">
        <v>3109</v>
      </c>
      <c r="E2167" s="951">
        <v>197</v>
      </c>
      <c r="F2167" s="951">
        <v>0</v>
      </c>
      <c r="G2167" s="947" t="s">
        <v>3252</v>
      </c>
      <c r="H2167" s="951">
        <v>0</v>
      </c>
      <c r="I2167" s="951">
        <v>0</v>
      </c>
      <c r="J2167" s="947" t="s">
        <v>187</v>
      </c>
      <c r="K2167" s="947">
        <v>611285</v>
      </c>
      <c r="M2167" s="631"/>
      <c r="P2167" s="950" t="str">
        <f>VLOOKUP(J2167,'רשימת רשויות'!A:A,1,0)</f>
        <v>באר שבע</v>
      </c>
      <c r="Q2167" s="956">
        <f>IFERROR(VLOOKUP(B2167,[2]מעובד!$D:$K,8,0),0)</f>
        <v>0</v>
      </c>
      <c r="R2167" s="956">
        <f>IFERROR(VLOOKUP(B2167,[2]מעובד!$D:$L,9,0),0)</f>
        <v>0</v>
      </c>
    </row>
    <row r="2168" spans="1:18" x14ac:dyDescent="0.2">
      <c r="A2168" s="947" t="s">
        <v>373</v>
      </c>
      <c r="B2168" s="947">
        <v>611301</v>
      </c>
      <c r="C2168" s="947" t="s">
        <v>2189</v>
      </c>
      <c r="D2168" s="947" t="s">
        <v>2704</v>
      </c>
      <c r="E2168" s="951">
        <v>149</v>
      </c>
      <c r="F2168" s="951">
        <v>149</v>
      </c>
      <c r="G2168" s="947" t="s">
        <v>3252</v>
      </c>
      <c r="H2168" s="951">
        <v>0</v>
      </c>
      <c r="I2168" s="951">
        <v>0</v>
      </c>
      <c r="J2168" s="947" t="s">
        <v>373</v>
      </c>
      <c r="K2168" s="947">
        <v>611301</v>
      </c>
      <c r="M2168" s="631"/>
      <c r="P2168" s="950" t="str">
        <f>VLOOKUP(J2168,'רשימת רשויות'!A:A,1,0)</f>
        <v>קרית גת</v>
      </c>
      <c r="Q2168" s="956">
        <f>IFERROR(VLOOKUP(B2168,[2]מעובד!$D:$K,8,0),0)</f>
        <v>99</v>
      </c>
      <c r="R2168" s="956">
        <f>IFERROR(VLOOKUP(B2168,[2]מעובד!$D:$L,9,0),0)</f>
        <v>42</v>
      </c>
    </row>
    <row r="2169" spans="1:18" x14ac:dyDescent="0.2">
      <c r="A2169" s="947" t="s">
        <v>406</v>
      </c>
      <c r="B2169" s="947">
        <v>611319</v>
      </c>
      <c r="C2169" s="947" t="s">
        <v>2189</v>
      </c>
      <c r="D2169" s="947" t="s">
        <v>1252</v>
      </c>
      <c r="E2169" s="951">
        <v>67</v>
      </c>
      <c r="F2169" s="951">
        <v>66</v>
      </c>
      <c r="G2169" s="947" t="s">
        <v>3252</v>
      </c>
      <c r="H2169" s="951">
        <v>0</v>
      </c>
      <c r="I2169" s="951">
        <v>0</v>
      </c>
      <c r="J2169" s="947" t="s">
        <v>406</v>
      </c>
      <c r="K2169" s="947">
        <v>611319</v>
      </c>
      <c r="M2169" s="631"/>
      <c r="P2169" s="950" t="str">
        <f>VLOOKUP(J2169,'רשימת רשויות'!A:A,1,0)</f>
        <v>שפיר</v>
      </c>
      <c r="Q2169" s="956">
        <f>IFERROR(VLOOKUP(B2169,[2]מעובד!$D:$K,8,0),0)</f>
        <v>0</v>
      </c>
      <c r="R2169" s="956">
        <f>IFERROR(VLOOKUP(B2169,[2]מעובד!$D:$L,9,0),0)</f>
        <v>0</v>
      </c>
    </row>
    <row r="2170" spans="1:18" x14ac:dyDescent="0.2">
      <c r="A2170" s="947" t="s">
        <v>217</v>
      </c>
      <c r="B2170" s="947">
        <v>611327</v>
      </c>
      <c r="C2170" s="947" t="s">
        <v>2189</v>
      </c>
      <c r="D2170" s="947" t="s">
        <v>631</v>
      </c>
      <c r="E2170" s="951">
        <v>120</v>
      </c>
      <c r="F2170" s="951">
        <v>115</v>
      </c>
      <c r="G2170" s="947" t="s">
        <v>159</v>
      </c>
      <c r="H2170" s="951">
        <v>0</v>
      </c>
      <c r="I2170" s="951">
        <v>0</v>
      </c>
      <c r="J2170" s="947" t="s">
        <v>217</v>
      </c>
      <c r="K2170" s="947">
        <v>611327</v>
      </c>
      <c r="M2170" s="631"/>
      <c r="P2170" s="950" t="str">
        <f>VLOOKUP(J2170,'רשימת רשויות'!A:A,1,0)</f>
        <v>גולן</v>
      </c>
      <c r="Q2170" s="956">
        <f>IFERROR(VLOOKUP(B2170,[2]מעובד!$D:$K,8,0),0)</f>
        <v>0</v>
      </c>
      <c r="R2170" s="956">
        <f>IFERROR(VLOOKUP(B2170,[2]מעובד!$D:$L,9,0),0)</f>
        <v>0</v>
      </c>
    </row>
    <row r="2171" spans="1:18" x14ac:dyDescent="0.2">
      <c r="A2171" s="947" t="s">
        <v>378</v>
      </c>
      <c r="B2171" s="947">
        <v>611335</v>
      </c>
      <c r="C2171" s="947" t="s">
        <v>2189</v>
      </c>
      <c r="D2171" s="947" t="s">
        <v>1253</v>
      </c>
      <c r="E2171" s="951">
        <v>97</v>
      </c>
      <c r="F2171" s="951">
        <v>87</v>
      </c>
      <c r="G2171" s="947" t="s">
        <v>3252</v>
      </c>
      <c r="H2171" s="951">
        <v>0</v>
      </c>
      <c r="I2171" s="951">
        <v>0</v>
      </c>
      <c r="J2171" s="947" t="s">
        <v>378</v>
      </c>
      <c r="K2171" s="947">
        <v>611335</v>
      </c>
      <c r="M2171" s="631"/>
      <c r="P2171" s="950" t="str">
        <f>VLOOKUP(J2171,'רשימת רשויות'!A:A,1,0)</f>
        <v>קרית מלאכי</v>
      </c>
      <c r="Q2171" s="956">
        <f>IFERROR(VLOOKUP(B2171,[2]מעובד!$D:$K,8,0),0)</f>
        <v>0</v>
      </c>
      <c r="R2171" s="956">
        <f>IFERROR(VLOOKUP(B2171,[2]מעובד!$D:$L,9,0),0)</f>
        <v>0</v>
      </c>
    </row>
    <row r="2172" spans="1:18" x14ac:dyDescent="0.2">
      <c r="A2172" s="947" t="s">
        <v>181</v>
      </c>
      <c r="B2172" s="947">
        <v>611368</v>
      </c>
      <c r="C2172" s="947" t="s">
        <v>2189</v>
      </c>
      <c r="D2172" s="947" t="s">
        <v>468</v>
      </c>
      <c r="E2172" s="951">
        <v>65</v>
      </c>
      <c r="F2172" s="951">
        <v>26</v>
      </c>
      <c r="G2172" s="947" t="s">
        <v>159</v>
      </c>
      <c r="H2172" s="951">
        <v>30</v>
      </c>
      <c r="I2172" s="951">
        <v>0</v>
      </c>
      <c r="J2172" s="947" t="s">
        <v>181</v>
      </c>
      <c r="K2172" s="957" t="s">
        <v>3357</v>
      </c>
      <c r="M2172" s="631"/>
      <c r="P2172" s="950" t="str">
        <f>VLOOKUP(J2172,'רשימת רשויות'!A:A,1,0)</f>
        <v>אשדוד</v>
      </c>
      <c r="Q2172" s="956">
        <f>IFERROR(VLOOKUP(B2172,[2]מעובד!$D:$K,8,0),0)</f>
        <v>0</v>
      </c>
      <c r="R2172" s="956">
        <f>IFERROR(VLOOKUP(B2172,[2]מעובד!$D:$L,9,0),0)</f>
        <v>0</v>
      </c>
    </row>
    <row r="2173" spans="1:18" x14ac:dyDescent="0.2">
      <c r="A2173" s="947" t="s">
        <v>181</v>
      </c>
      <c r="B2173" s="947">
        <v>611376</v>
      </c>
      <c r="C2173" s="947" t="s">
        <v>2189</v>
      </c>
      <c r="D2173" s="947" t="s">
        <v>581</v>
      </c>
      <c r="E2173" s="951">
        <v>69</v>
      </c>
      <c r="F2173" s="951">
        <v>66</v>
      </c>
      <c r="G2173" s="947" t="s">
        <v>159</v>
      </c>
      <c r="H2173" s="951">
        <v>0</v>
      </c>
      <c r="I2173" s="951">
        <v>0</v>
      </c>
      <c r="J2173" s="947" t="s">
        <v>181</v>
      </c>
      <c r="K2173" s="947">
        <v>611376</v>
      </c>
      <c r="M2173" s="631"/>
      <c r="P2173" s="950" t="str">
        <f>VLOOKUP(J2173,'רשימת רשויות'!A:A,1,0)</f>
        <v>אשדוד</v>
      </c>
      <c r="Q2173" s="956">
        <f>IFERROR(VLOOKUP(B2173,[2]מעובד!$D:$K,8,0),0)</f>
        <v>54</v>
      </c>
      <c r="R2173" s="956">
        <f>IFERROR(VLOOKUP(B2173,[2]מעובד!$D:$L,9,0),0)</f>
        <v>54</v>
      </c>
    </row>
    <row r="2174" spans="1:18" x14ac:dyDescent="0.2">
      <c r="A2174" s="947" t="s">
        <v>183</v>
      </c>
      <c r="B2174" s="947">
        <v>611392</v>
      </c>
      <c r="C2174" s="947" t="s">
        <v>2189</v>
      </c>
      <c r="D2174" s="947" t="s">
        <v>840</v>
      </c>
      <c r="E2174" s="951">
        <v>372</v>
      </c>
      <c r="F2174" s="951">
        <v>371</v>
      </c>
      <c r="G2174" s="947" t="s">
        <v>159</v>
      </c>
      <c r="H2174" s="951">
        <v>0</v>
      </c>
      <c r="I2174" s="951">
        <v>0</v>
      </c>
      <c r="J2174" s="947" t="s">
        <v>183</v>
      </c>
      <c r="K2174" s="947">
        <v>611392</v>
      </c>
      <c r="M2174" s="631"/>
      <c r="P2174" s="950" t="str">
        <f>VLOOKUP(J2174,'רשימת רשויות'!A:A,1,0)</f>
        <v>אשקלון</v>
      </c>
      <c r="Q2174" s="956">
        <f>IFERROR(VLOOKUP(B2174,[2]מעובד!$D:$K,8,0),0)</f>
        <v>256</v>
      </c>
      <c r="R2174" s="956">
        <f>IFERROR(VLOOKUP(B2174,[2]מעובד!$D:$L,9,0),0)</f>
        <v>172</v>
      </c>
    </row>
    <row r="2175" spans="1:18" x14ac:dyDescent="0.2">
      <c r="A2175" s="947" t="s">
        <v>373</v>
      </c>
      <c r="B2175" s="947">
        <v>611434</v>
      </c>
      <c r="C2175" s="947" t="s">
        <v>2189</v>
      </c>
      <c r="D2175" s="947" t="s">
        <v>841</v>
      </c>
      <c r="E2175" s="951">
        <v>95</v>
      </c>
      <c r="F2175" s="951">
        <v>95</v>
      </c>
      <c r="G2175" s="947" t="s">
        <v>159</v>
      </c>
      <c r="H2175" s="951">
        <v>0</v>
      </c>
      <c r="I2175" s="951">
        <v>0</v>
      </c>
      <c r="J2175" s="947" t="s">
        <v>373</v>
      </c>
      <c r="K2175" s="947">
        <v>611434</v>
      </c>
      <c r="M2175" s="631"/>
      <c r="P2175" s="950" t="str">
        <f>VLOOKUP(J2175,'רשימת רשויות'!A:A,1,0)</f>
        <v>קרית גת</v>
      </c>
      <c r="Q2175" s="956">
        <f>IFERROR(VLOOKUP(B2175,[2]מעובד!$D:$K,8,0),0)</f>
        <v>111</v>
      </c>
      <c r="R2175" s="956">
        <f>IFERROR(VLOOKUP(B2175,[2]מעובד!$D:$L,9,0),0)</f>
        <v>39</v>
      </c>
    </row>
    <row r="2176" spans="1:18" x14ac:dyDescent="0.2">
      <c r="A2176" s="947" t="s">
        <v>353</v>
      </c>
      <c r="B2176" s="947">
        <v>611442</v>
      </c>
      <c r="C2176" s="947" t="s">
        <v>2189</v>
      </c>
      <c r="D2176" s="947" t="s">
        <v>2470</v>
      </c>
      <c r="E2176" s="951">
        <v>76</v>
      </c>
      <c r="F2176" s="951">
        <v>0</v>
      </c>
      <c r="G2176" s="947" t="s">
        <v>159</v>
      </c>
      <c r="H2176" s="951">
        <v>0</v>
      </c>
      <c r="I2176" s="951">
        <v>0</v>
      </c>
      <c r="J2176" s="947" t="s">
        <v>353</v>
      </c>
      <c r="K2176" s="947">
        <v>611442</v>
      </c>
      <c r="M2176" s="631"/>
      <c r="P2176" s="950" t="str">
        <f>VLOOKUP(J2176,'רשימת רשויות'!A:A,1,0)</f>
        <v>עפולה</v>
      </c>
      <c r="Q2176" s="956">
        <f>IFERROR(VLOOKUP(B2176,[2]מעובד!$D:$K,8,0),0)</f>
        <v>0</v>
      </c>
      <c r="R2176" s="956">
        <f>IFERROR(VLOOKUP(B2176,[2]מעובד!$D:$L,9,0),0)</f>
        <v>0</v>
      </c>
    </row>
    <row r="2177" spans="1:18" x14ac:dyDescent="0.2">
      <c r="A2177" s="947" t="s">
        <v>355</v>
      </c>
      <c r="B2177" s="947">
        <v>611459</v>
      </c>
      <c r="C2177" s="947" t="s">
        <v>2189</v>
      </c>
      <c r="D2177" s="947" t="s">
        <v>842</v>
      </c>
      <c r="E2177" s="951">
        <v>110</v>
      </c>
      <c r="F2177" s="951">
        <v>72</v>
      </c>
      <c r="G2177" s="947" t="s">
        <v>159</v>
      </c>
      <c r="H2177" s="951">
        <v>78</v>
      </c>
      <c r="I2177" s="951">
        <v>0</v>
      </c>
      <c r="J2177" s="947" t="s">
        <v>355</v>
      </c>
      <c r="K2177" s="947">
        <v>611459</v>
      </c>
      <c r="M2177" s="631"/>
      <c r="P2177" s="950" t="str">
        <f>VLOOKUP(J2177,'רשימת רשויות'!A:A,1,0)</f>
        <v>ערד</v>
      </c>
      <c r="Q2177" s="956">
        <f>IFERROR(VLOOKUP(B2177,[2]מעובד!$D:$K,8,0),0)</f>
        <v>125</v>
      </c>
      <c r="R2177" s="956">
        <f>IFERROR(VLOOKUP(B2177,[2]מעובד!$D:$L,9,0),0)</f>
        <v>71</v>
      </c>
    </row>
    <row r="2178" spans="1:18" x14ac:dyDescent="0.2">
      <c r="A2178" s="947" t="s">
        <v>225</v>
      </c>
      <c r="B2178" s="947">
        <v>611491</v>
      </c>
      <c r="C2178" s="947" t="s">
        <v>2189</v>
      </c>
      <c r="D2178" s="947" t="s">
        <v>848</v>
      </c>
      <c r="E2178" s="951">
        <v>370</v>
      </c>
      <c r="F2178" s="951">
        <v>237</v>
      </c>
      <c r="G2178" s="947" t="s">
        <v>159</v>
      </c>
      <c r="H2178" s="951">
        <v>0</v>
      </c>
      <c r="I2178" s="951">
        <v>0</v>
      </c>
      <c r="J2178" s="947" t="s">
        <v>225</v>
      </c>
      <c r="K2178" s="947">
        <v>611491</v>
      </c>
      <c r="M2178" s="631"/>
      <c r="P2178" s="950" t="str">
        <f>VLOOKUP(J2178,'רשימת רשויות'!A:A,1,0)</f>
        <v>דימונה</v>
      </c>
      <c r="Q2178" s="956">
        <f>IFERROR(VLOOKUP(B2178,[2]מעובד!$D:$K,8,0),0)</f>
        <v>270</v>
      </c>
      <c r="R2178" s="956">
        <f>IFERROR(VLOOKUP(B2178,[2]מעובד!$D:$L,9,0),0)</f>
        <v>270</v>
      </c>
    </row>
    <row r="2179" spans="1:18" x14ac:dyDescent="0.2">
      <c r="A2179" s="947" t="s">
        <v>181</v>
      </c>
      <c r="B2179" s="947">
        <v>611533</v>
      </c>
      <c r="C2179" s="947" t="s">
        <v>2189</v>
      </c>
      <c r="D2179" s="947" t="s">
        <v>2237</v>
      </c>
      <c r="E2179" s="951">
        <v>138</v>
      </c>
      <c r="F2179" s="951">
        <v>54</v>
      </c>
      <c r="G2179" s="947" t="s">
        <v>3252</v>
      </c>
      <c r="H2179" s="951">
        <v>0</v>
      </c>
      <c r="I2179" s="951">
        <v>0</v>
      </c>
      <c r="J2179" s="947" t="s">
        <v>181</v>
      </c>
      <c r="K2179" s="947">
        <v>611533</v>
      </c>
      <c r="M2179" s="631"/>
      <c r="P2179" s="950" t="str">
        <f>VLOOKUP(J2179,'רשימת רשויות'!A:A,1,0)</f>
        <v>אשדוד</v>
      </c>
      <c r="Q2179" s="956">
        <f>IFERROR(VLOOKUP(B2179,[2]מעובד!$D:$K,8,0),0)</f>
        <v>114</v>
      </c>
      <c r="R2179" s="956">
        <f>IFERROR(VLOOKUP(B2179,[2]מעובד!$D:$L,9,0),0)</f>
        <v>98</v>
      </c>
    </row>
    <row r="2180" spans="1:18" x14ac:dyDescent="0.2">
      <c r="A2180" s="947" t="s">
        <v>270</v>
      </c>
      <c r="B2180" s="947">
        <v>611541</v>
      </c>
      <c r="C2180" s="947" t="s">
        <v>2189</v>
      </c>
      <c r="D2180" s="947" t="s">
        <v>1198</v>
      </c>
      <c r="E2180" s="951">
        <v>56</v>
      </c>
      <c r="F2180" s="951">
        <v>51</v>
      </c>
      <c r="G2180" s="947" t="s">
        <v>159</v>
      </c>
      <c r="H2180" s="951">
        <v>0</v>
      </c>
      <c r="I2180" s="951">
        <v>0</v>
      </c>
      <c r="J2180" s="947" t="s">
        <v>270</v>
      </c>
      <c r="K2180" s="947">
        <v>611541</v>
      </c>
      <c r="M2180" s="631"/>
      <c r="P2180" s="950" t="str">
        <f>VLOOKUP(J2180,'רשימת רשויות'!A:A,1,0)</f>
        <v>ירושלים</v>
      </c>
      <c r="Q2180" s="956">
        <f>IFERROR(VLOOKUP(B2180,[2]מעובד!$D:$K,8,0),0)</f>
        <v>0</v>
      </c>
      <c r="R2180" s="956">
        <f>IFERROR(VLOOKUP(B2180,[2]מעובד!$D:$L,9,0),0)</f>
        <v>0</v>
      </c>
    </row>
    <row r="2181" spans="1:18" x14ac:dyDescent="0.2">
      <c r="A2181" s="947" t="s">
        <v>365</v>
      </c>
      <c r="B2181" s="947">
        <v>611558</v>
      </c>
      <c r="C2181" s="947" t="s">
        <v>2189</v>
      </c>
      <c r="D2181" s="947" t="s">
        <v>1199</v>
      </c>
      <c r="E2181" s="951">
        <v>63</v>
      </c>
      <c r="F2181" s="951">
        <v>61</v>
      </c>
      <c r="G2181" s="947" t="s">
        <v>159</v>
      </c>
      <c r="H2181" s="951">
        <v>0</v>
      </c>
      <c r="I2181" s="951">
        <v>0</v>
      </c>
      <c r="J2181" s="947" t="s">
        <v>365</v>
      </c>
      <c r="K2181" s="947">
        <v>611558</v>
      </c>
      <c r="M2181" s="631"/>
      <c r="P2181" s="950" t="str">
        <f>VLOOKUP(J2181,'רשימת רשויות'!A:A,1,0)</f>
        <v>צפת</v>
      </c>
      <c r="Q2181" s="956">
        <f>IFERROR(VLOOKUP(B2181,[2]מעובד!$D:$K,8,0),0)</f>
        <v>65</v>
      </c>
      <c r="R2181" s="956">
        <f>IFERROR(VLOOKUP(B2181,[2]מעובד!$D:$L,9,0),0)</f>
        <v>63</v>
      </c>
    </row>
    <row r="2182" spans="1:18" x14ac:dyDescent="0.2">
      <c r="A2182" s="947" t="s">
        <v>187</v>
      </c>
      <c r="B2182" s="947">
        <v>611657</v>
      </c>
      <c r="C2182" s="947" t="s">
        <v>2189</v>
      </c>
      <c r="D2182" s="947" t="s">
        <v>822</v>
      </c>
      <c r="E2182" s="951">
        <v>119</v>
      </c>
      <c r="F2182" s="951">
        <v>54</v>
      </c>
      <c r="G2182" s="947" t="s">
        <v>159</v>
      </c>
      <c r="H2182" s="951">
        <v>52</v>
      </c>
      <c r="I2182" s="951">
        <v>5</v>
      </c>
      <c r="J2182" s="947" t="s">
        <v>187</v>
      </c>
      <c r="K2182" s="947">
        <v>611657</v>
      </c>
      <c r="M2182" s="631"/>
      <c r="P2182" s="950" t="str">
        <f>VLOOKUP(J2182,'רשימת רשויות'!A:A,1,0)</f>
        <v>באר שבע</v>
      </c>
      <c r="Q2182" s="956">
        <f>IFERROR(VLOOKUP(B2182,[2]מעובד!$D:$K,8,0),0)</f>
        <v>85</v>
      </c>
      <c r="R2182" s="956">
        <f>IFERROR(VLOOKUP(B2182,[2]מעובד!$D:$L,9,0),0)</f>
        <v>44</v>
      </c>
    </row>
    <row r="2183" spans="1:18" x14ac:dyDescent="0.2">
      <c r="A2183" s="947" t="s">
        <v>373</v>
      </c>
      <c r="B2183" s="947">
        <v>611699</v>
      </c>
      <c r="C2183" s="947" t="s">
        <v>2189</v>
      </c>
      <c r="D2183" s="947" t="s">
        <v>826</v>
      </c>
      <c r="E2183" s="951">
        <v>93</v>
      </c>
      <c r="F2183" s="951">
        <v>76</v>
      </c>
      <c r="G2183" s="947" t="s">
        <v>159</v>
      </c>
      <c r="H2183" s="951">
        <v>0</v>
      </c>
      <c r="I2183" s="951">
        <v>0</v>
      </c>
      <c r="J2183" s="947" t="s">
        <v>373</v>
      </c>
      <c r="K2183" s="947">
        <v>611699</v>
      </c>
      <c r="M2183" s="631"/>
      <c r="P2183" s="950" t="str">
        <f>VLOOKUP(J2183,'רשימת רשויות'!A:A,1,0)</f>
        <v>קרית גת</v>
      </c>
      <c r="Q2183" s="956">
        <f>IFERROR(VLOOKUP(B2183,[2]מעובד!$D:$K,8,0),0)</f>
        <v>113</v>
      </c>
      <c r="R2183" s="956">
        <f>IFERROR(VLOOKUP(B2183,[2]מעובד!$D:$L,9,0),0)</f>
        <v>57</v>
      </c>
    </row>
    <row r="2184" spans="1:18" x14ac:dyDescent="0.2">
      <c r="A2184" s="947" t="s">
        <v>394</v>
      </c>
      <c r="B2184" s="947">
        <v>611715</v>
      </c>
      <c r="C2184" s="947" t="s">
        <v>2189</v>
      </c>
      <c r="D2184" s="947" t="s">
        <v>827</v>
      </c>
      <c r="E2184" s="951">
        <v>114</v>
      </c>
      <c r="F2184" s="951">
        <v>93</v>
      </c>
      <c r="G2184" s="947" t="s">
        <v>159</v>
      </c>
      <c r="H2184" s="951">
        <v>0</v>
      </c>
      <c r="I2184" s="951">
        <v>0</v>
      </c>
      <c r="J2184" s="947" t="s">
        <v>394</v>
      </c>
      <c r="K2184" s="947">
        <v>611715</v>
      </c>
      <c r="M2184" s="631"/>
      <c r="P2184" s="950" t="str">
        <f>VLOOKUP(J2184,'רשימת רשויות'!A:A,1,0)</f>
        <v>רמת נגב</v>
      </c>
      <c r="Q2184" s="956">
        <f>IFERROR(VLOOKUP(B2184,[2]מעובד!$D:$K,8,0),0)</f>
        <v>157</v>
      </c>
      <c r="R2184" s="956">
        <f>IFERROR(VLOOKUP(B2184,[2]מעובד!$D:$L,9,0),0)</f>
        <v>55</v>
      </c>
    </row>
    <row r="2185" spans="1:18" x14ac:dyDescent="0.2">
      <c r="A2185" s="947" t="s">
        <v>225</v>
      </c>
      <c r="B2185" s="947">
        <v>611723</v>
      </c>
      <c r="C2185" s="947" t="s">
        <v>2189</v>
      </c>
      <c r="D2185" s="947" t="s">
        <v>567</v>
      </c>
      <c r="E2185" s="951">
        <v>85</v>
      </c>
      <c r="F2185" s="951">
        <v>53</v>
      </c>
      <c r="G2185" s="947" t="s">
        <v>159</v>
      </c>
      <c r="H2185" s="951">
        <v>63</v>
      </c>
      <c r="I2185" s="951">
        <v>9</v>
      </c>
      <c r="J2185" s="947" t="s">
        <v>225</v>
      </c>
      <c r="K2185" s="947">
        <v>611723</v>
      </c>
      <c r="M2185" s="631"/>
      <c r="P2185" s="950" t="str">
        <f>VLOOKUP(J2185,'רשימת רשויות'!A:A,1,0)</f>
        <v>דימונה</v>
      </c>
      <c r="Q2185" s="956">
        <f>IFERROR(VLOOKUP(B2185,[2]מעובד!$D:$K,8,0),0)</f>
        <v>100</v>
      </c>
      <c r="R2185" s="956">
        <f>IFERROR(VLOOKUP(B2185,[2]מעובד!$D:$L,9,0),0)</f>
        <v>56</v>
      </c>
    </row>
    <row r="2186" spans="1:18" x14ac:dyDescent="0.2">
      <c r="A2186" s="947" t="s">
        <v>217</v>
      </c>
      <c r="B2186" s="947">
        <v>611756</v>
      </c>
      <c r="C2186" s="947" t="s">
        <v>2189</v>
      </c>
      <c r="D2186" s="947" t="s">
        <v>2380</v>
      </c>
      <c r="E2186" s="951">
        <v>66</v>
      </c>
      <c r="F2186" s="951">
        <v>0</v>
      </c>
      <c r="G2186" s="947" t="s">
        <v>159</v>
      </c>
      <c r="H2186" s="951">
        <v>0</v>
      </c>
      <c r="I2186" s="951">
        <v>0</v>
      </c>
      <c r="J2186" s="947" t="s">
        <v>217</v>
      </c>
      <c r="K2186" s="947">
        <v>611756</v>
      </c>
      <c r="M2186" s="631"/>
      <c r="P2186" s="950" t="str">
        <f>VLOOKUP(J2186,'רשימת רשויות'!A:A,1,0)</f>
        <v>גולן</v>
      </c>
      <c r="Q2186" s="956">
        <f>IFERROR(VLOOKUP(B2186,[2]מעובד!$D:$K,8,0),0)</f>
        <v>0</v>
      </c>
      <c r="R2186" s="956">
        <f>IFERROR(VLOOKUP(B2186,[2]מעובד!$D:$L,9,0),0)</f>
        <v>0</v>
      </c>
    </row>
    <row r="2187" spans="1:18" x14ac:dyDescent="0.2">
      <c r="A2187" s="947" t="s">
        <v>175</v>
      </c>
      <c r="B2187" s="947">
        <v>611772</v>
      </c>
      <c r="C2187" s="947" t="s">
        <v>2189</v>
      </c>
      <c r="D2187" s="947" t="s">
        <v>3110</v>
      </c>
      <c r="E2187" s="951">
        <v>46</v>
      </c>
      <c r="F2187" s="951">
        <v>46</v>
      </c>
      <c r="G2187" s="947" t="s">
        <v>159</v>
      </c>
      <c r="H2187" s="951">
        <v>0</v>
      </c>
      <c r="I2187" s="951">
        <v>0</v>
      </c>
      <c r="J2187" s="947" t="s">
        <v>175</v>
      </c>
      <c r="K2187" s="947">
        <v>611772</v>
      </c>
      <c r="M2187" s="631"/>
      <c r="P2187" s="950" t="str">
        <f>VLOOKUP(J2187,'רשימת רשויות'!A:A,1,0)</f>
        <v>אלעד</v>
      </c>
      <c r="Q2187" s="956">
        <f>IFERROR(VLOOKUP(B2187,[2]מעובד!$D:$K,8,0),0)</f>
        <v>0</v>
      </c>
      <c r="R2187" s="956">
        <f>IFERROR(VLOOKUP(B2187,[2]מעובד!$D:$L,9,0),0)</f>
        <v>0</v>
      </c>
    </row>
    <row r="2188" spans="1:18" x14ac:dyDescent="0.2">
      <c r="A2188" s="947" t="s">
        <v>225</v>
      </c>
      <c r="B2188" s="947">
        <v>611780</v>
      </c>
      <c r="C2188" s="947" t="s">
        <v>2189</v>
      </c>
      <c r="D2188" s="947" t="s">
        <v>828</v>
      </c>
      <c r="E2188" s="951">
        <v>104</v>
      </c>
      <c r="F2188" s="951">
        <v>52</v>
      </c>
      <c r="G2188" s="947" t="s">
        <v>159</v>
      </c>
      <c r="H2188" s="951">
        <v>34</v>
      </c>
      <c r="I2188" s="951">
        <v>4</v>
      </c>
      <c r="J2188" s="947" t="s">
        <v>225</v>
      </c>
      <c r="K2188" s="947">
        <v>611780</v>
      </c>
      <c r="M2188" s="631"/>
      <c r="P2188" s="950" t="str">
        <f>VLOOKUP(J2188,'רשימת רשויות'!A:A,1,0)</f>
        <v>דימונה</v>
      </c>
      <c r="Q2188" s="956">
        <f>IFERROR(VLOOKUP(B2188,[2]מעובד!$D:$K,8,0),0)</f>
        <v>93</v>
      </c>
      <c r="R2188" s="956">
        <f>IFERROR(VLOOKUP(B2188,[2]מעובד!$D:$L,9,0),0)</f>
        <v>45</v>
      </c>
    </row>
    <row r="2189" spans="1:18" x14ac:dyDescent="0.2">
      <c r="A2189" s="947" t="s">
        <v>378</v>
      </c>
      <c r="B2189" s="947">
        <v>611798</v>
      </c>
      <c r="C2189" s="947" t="s">
        <v>2189</v>
      </c>
      <c r="D2189" s="947" t="s">
        <v>829</v>
      </c>
      <c r="E2189" s="951">
        <v>137</v>
      </c>
      <c r="F2189" s="951">
        <v>94</v>
      </c>
      <c r="G2189" s="947" t="s">
        <v>159</v>
      </c>
      <c r="H2189" s="951">
        <v>0</v>
      </c>
      <c r="I2189" s="951">
        <v>0</v>
      </c>
      <c r="J2189" s="947" t="s">
        <v>378</v>
      </c>
      <c r="K2189" s="947">
        <v>611798</v>
      </c>
      <c r="M2189" s="631"/>
      <c r="P2189" s="950" t="str">
        <f>VLOOKUP(J2189,'רשימת רשויות'!A:A,1,0)</f>
        <v>קרית מלאכי</v>
      </c>
      <c r="Q2189" s="956">
        <f>IFERROR(VLOOKUP(B2189,[2]מעובד!$D:$K,8,0),0)</f>
        <v>117</v>
      </c>
      <c r="R2189" s="956">
        <f>IFERROR(VLOOKUP(B2189,[2]מעובד!$D:$L,9,0),0)</f>
        <v>31</v>
      </c>
    </row>
    <row r="2190" spans="1:18" x14ac:dyDescent="0.2">
      <c r="A2190" s="947" t="s">
        <v>187</v>
      </c>
      <c r="B2190" s="947">
        <v>611814</v>
      </c>
      <c r="C2190" s="947" t="s">
        <v>2189</v>
      </c>
      <c r="D2190" s="947" t="s">
        <v>3111</v>
      </c>
      <c r="E2190" s="951">
        <v>74</v>
      </c>
      <c r="F2190" s="951">
        <v>0</v>
      </c>
      <c r="G2190" s="947" t="s">
        <v>3252</v>
      </c>
      <c r="H2190" s="951">
        <v>0</v>
      </c>
      <c r="I2190" s="951">
        <v>0</v>
      </c>
      <c r="J2190" s="947" t="s">
        <v>187</v>
      </c>
      <c r="K2190" s="947">
        <v>611814</v>
      </c>
      <c r="M2190" s="631"/>
      <c r="P2190" s="950" t="str">
        <f>VLOOKUP(J2190,'רשימת רשויות'!A:A,1,0)</f>
        <v>באר שבע</v>
      </c>
      <c r="Q2190" s="956">
        <f>IFERROR(VLOOKUP(B2190,[2]מעובד!$D:$K,8,0),0)</f>
        <v>0</v>
      </c>
      <c r="R2190" s="956">
        <f>IFERROR(VLOOKUP(B2190,[2]מעובד!$D:$L,9,0),0)</f>
        <v>0</v>
      </c>
    </row>
    <row r="2191" spans="1:18" x14ac:dyDescent="0.2">
      <c r="A2191" s="947" t="s">
        <v>335</v>
      </c>
      <c r="B2191" s="947">
        <v>611822</v>
      </c>
      <c r="C2191" s="947" t="s">
        <v>2189</v>
      </c>
      <c r="D2191" s="947" t="s">
        <v>2720</v>
      </c>
      <c r="E2191" s="951">
        <v>65</v>
      </c>
      <c r="F2191" s="951">
        <v>56</v>
      </c>
      <c r="G2191" s="947" t="s">
        <v>3252</v>
      </c>
      <c r="H2191" s="951">
        <v>27</v>
      </c>
      <c r="I2191" s="951">
        <v>7</v>
      </c>
      <c r="J2191" s="947" t="s">
        <v>335</v>
      </c>
      <c r="K2191" s="947">
        <v>611822</v>
      </c>
      <c r="M2191" s="631"/>
      <c r="P2191" s="950" t="str">
        <f>VLOOKUP(J2191,'רשימת רשויות'!A:A,1,0)</f>
        <v>נתיבות</v>
      </c>
      <c r="Q2191" s="956">
        <f>IFERROR(VLOOKUP(B2191,[2]מעובד!$D:$K,8,0),0)</f>
        <v>63</v>
      </c>
      <c r="R2191" s="956">
        <f>IFERROR(VLOOKUP(B2191,[2]מעובד!$D:$L,9,0),0)</f>
        <v>41</v>
      </c>
    </row>
    <row r="2192" spans="1:18" x14ac:dyDescent="0.2">
      <c r="A2192" s="947" t="s">
        <v>183</v>
      </c>
      <c r="B2192" s="947">
        <v>611830</v>
      </c>
      <c r="C2192" s="947" t="s">
        <v>2189</v>
      </c>
      <c r="D2192" s="947" t="s">
        <v>453</v>
      </c>
      <c r="E2192" s="951">
        <v>178</v>
      </c>
      <c r="F2192" s="951">
        <v>142</v>
      </c>
      <c r="G2192" s="947" t="s">
        <v>159</v>
      </c>
      <c r="H2192" s="951">
        <v>178</v>
      </c>
      <c r="I2192" s="951">
        <v>34</v>
      </c>
      <c r="J2192" s="947" t="s">
        <v>183</v>
      </c>
      <c r="K2192" s="947">
        <v>611830</v>
      </c>
      <c r="M2192" s="631"/>
      <c r="P2192" s="950" t="str">
        <f>VLOOKUP(J2192,'רשימת רשויות'!A:A,1,0)</f>
        <v>אשקלון</v>
      </c>
      <c r="Q2192" s="956">
        <f>IFERROR(VLOOKUP(B2192,[2]מעובד!$D:$K,8,0),0)</f>
        <v>221</v>
      </c>
      <c r="R2192" s="956">
        <f>IFERROR(VLOOKUP(B2192,[2]מעובד!$D:$L,9,0),0)</f>
        <v>86</v>
      </c>
    </row>
    <row r="2193" spans="1:18" x14ac:dyDescent="0.2">
      <c r="A2193" s="947" t="s">
        <v>196</v>
      </c>
      <c r="B2193" s="947">
        <v>611848</v>
      </c>
      <c r="C2193" s="947" t="s">
        <v>2189</v>
      </c>
      <c r="D2193" s="947" t="s">
        <v>1203</v>
      </c>
      <c r="E2193" s="951">
        <v>105</v>
      </c>
      <c r="F2193" s="951">
        <v>105</v>
      </c>
      <c r="G2193" s="947" t="s">
        <v>3252</v>
      </c>
      <c r="H2193" s="951">
        <v>0</v>
      </c>
      <c r="I2193" s="951">
        <v>0</v>
      </c>
      <c r="J2193" s="947" t="s">
        <v>196</v>
      </c>
      <c r="K2193" s="947">
        <v>611848</v>
      </c>
      <c r="M2193" s="631"/>
      <c r="P2193" s="950" t="str">
        <f>VLOOKUP(J2193,'רשימת רשויות'!A:A,1,0)</f>
        <v>בית שמש</v>
      </c>
      <c r="Q2193" s="956">
        <f>IFERROR(VLOOKUP(B2193,[2]מעובד!$D:$K,8,0),0)</f>
        <v>0</v>
      </c>
      <c r="R2193" s="956">
        <f>IFERROR(VLOOKUP(B2193,[2]מעובד!$D:$L,9,0),0)</f>
        <v>0</v>
      </c>
    </row>
    <row r="2194" spans="1:18" x14ac:dyDescent="0.2">
      <c r="A2194" s="947" t="s">
        <v>394</v>
      </c>
      <c r="B2194" s="947">
        <v>611855</v>
      </c>
      <c r="C2194" s="947" t="s">
        <v>2189</v>
      </c>
      <c r="D2194" s="947" t="s">
        <v>830</v>
      </c>
      <c r="E2194" s="951">
        <v>167</v>
      </c>
      <c r="F2194" s="951">
        <v>166</v>
      </c>
      <c r="G2194" s="947" t="s">
        <v>159</v>
      </c>
      <c r="H2194" s="951">
        <v>0</v>
      </c>
      <c r="I2194" s="951">
        <v>0</v>
      </c>
      <c r="J2194" s="947" t="s">
        <v>394</v>
      </c>
      <c r="K2194" s="947">
        <v>611855</v>
      </c>
      <c r="M2194" s="631"/>
      <c r="P2194" s="950" t="str">
        <f>VLOOKUP(J2194,'רשימת רשויות'!A:A,1,0)</f>
        <v>רמת נגב</v>
      </c>
      <c r="Q2194" s="956">
        <f>IFERROR(VLOOKUP(B2194,[2]מעובד!$D:$K,8,0),0)</f>
        <v>157</v>
      </c>
      <c r="R2194" s="956">
        <f>IFERROR(VLOOKUP(B2194,[2]מעובד!$D:$L,9,0),0)</f>
        <v>93</v>
      </c>
    </row>
    <row r="2195" spans="1:18" x14ac:dyDescent="0.2">
      <c r="A2195" s="947" t="s">
        <v>341</v>
      </c>
      <c r="B2195" s="947">
        <v>611863</v>
      </c>
      <c r="C2195" s="947" t="s">
        <v>2189</v>
      </c>
      <c r="D2195" s="947" t="s">
        <v>3112</v>
      </c>
      <c r="E2195" s="951">
        <v>276</v>
      </c>
      <c r="F2195" s="951">
        <v>37</v>
      </c>
      <c r="G2195" s="947" t="s">
        <v>159</v>
      </c>
      <c r="H2195" s="951">
        <v>0</v>
      </c>
      <c r="I2195" s="951">
        <v>0</v>
      </c>
      <c r="J2195" s="947" t="s">
        <v>341</v>
      </c>
      <c r="K2195" s="947">
        <v>611863</v>
      </c>
      <c r="M2195" s="631"/>
      <c r="P2195" s="950" t="str">
        <f>VLOOKUP(J2195,'רשימת רשויות'!A:A,1,0)</f>
        <v>עומר</v>
      </c>
      <c r="Q2195" s="956">
        <f>IFERROR(VLOOKUP(B2195,[2]מעובד!$D:$K,8,0),0)</f>
        <v>364</v>
      </c>
      <c r="R2195" s="956">
        <f>IFERROR(VLOOKUP(B2195,[2]מעובד!$D:$L,9,0),0)</f>
        <v>122</v>
      </c>
    </row>
    <row r="2196" spans="1:18" x14ac:dyDescent="0.2">
      <c r="A2196" s="947" t="s">
        <v>310</v>
      </c>
      <c r="B2196" s="947">
        <v>611871</v>
      </c>
      <c r="C2196" s="947" t="s">
        <v>2189</v>
      </c>
      <c r="D2196" s="947" t="s">
        <v>1041</v>
      </c>
      <c r="E2196" s="951">
        <v>86</v>
      </c>
      <c r="F2196" s="951">
        <v>81</v>
      </c>
      <c r="G2196" s="947" t="s">
        <v>159</v>
      </c>
      <c r="H2196" s="951">
        <v>32</v>
      </c>
      <c r="I2196" s="951">
        <v>3</v>
      </c>
      <c r="J2196" s="947" t="s">
        <v>310</v>
      </c>
      <c r="K2196" s="947">
        <v>611871</v>
      </c>
      <c r="M2196" s="631"/>
      <c r="P2196" s="950" t="str">
        <f>VLOOKUP(J2196,'רשימת רשויות'!A:A,1,0)</f>
        <v>מטה בנימין</v>
      </c>
      <c r="Q2196" s="956">
        <f>IFERROR(VLOOKUP(B2196,[2]מעובד!$D:$K,8,0),0)</f>
        <v>95</v>
      </c>
      <c r="R2196" s="956">
        <f>IFERROR(VLOOKUP(B2196,[2]מעובד!$D:$L,9,0),0)</f>
        <v>45</v>
      </c>
    </row>
    <row r="2197" spans="1:18" x14ac:dyDescent="0.2">
      <c r="A2197" s="947" t="s">
        <v>353</v>
      </c>
      <c r="B2197" s="947">
        <v>611897</v>
      </c>
      <c r="C2197" s="947" t="s">
        <v>2189</v>
      </c>
      <c r="D2197" s="947" t="s">
        <v>953</v>
      </c>
      <c r="E2197" s="951">
        <v>250</v>
      </c>
      <c r="F2197" s="951">
        <v>165</v>
      </c>
      <c r="G2197" s="947" t="s">
        <v>159</v>
      </c>
      <c r="H2197" s="951">
        <v>85</v>
      </c>
      <c r="I2197" s="951">
        <v>5</v>
      </c>
      <c r="J2197" s="947" t="s">
        <v>353</v>
      </c>
      <c r="K2197" s="947">
        <v>611897</v>
      </c>
      <c r="M2197" s="631"/>
      <c r="P2197" s="950" t="str">
        <f>VLOOKUP(J2197,'רשימת רשויות'!A:A,1,0)</f>
        <v>עפולה</v>
      </c>
      <c r="Q2197" s="956">
        <f>IFERROR(VLOOKUP(B2197,[2]מעובד!$D:$K,8,0),0)</f>
        <v>162</v>
      </c>
      <c r="R2197" s="956">
        <f>IFERROR(VLOOKUP(B2197,[2]מעובד!$D:$L,9,0),0)</f>
        <v>89</v>
      </c>
    </row>
    <row r="2198" spans="1:18" x14ac:dyDescent="0.2">
      <c r="A2198" s="947" t="s">
        <v>181</v>
      </c>
      <c r="B2198" s="947">
        <v>611905</v>
      </c>
      <c r="C2198" s="947" t="s">
        <v>2189</v>
      </c>
      <c r="D2198" s="947" t="s">
        <v>833</v>
      </c>
      <c r="E2198" s="951">
        <v>81</v>
      </c>
      <c r="F2198" s="951">
        <v>60</v>
      </c>
      <c r="G2198" s="947" t="s">
        <v>159</v>
      </c>
      <c r="H2198" s="951">
        <v>0</v>
      </c>
      <c r="I2198" s="951">
        <v>0</v>
      </c>
      <c r="J2198" s="947" t="s">
        <v>181</v>
      </c>
      <c r="K2198" s="947">
        <v>611905</v>
      </c>
      <c r="M2198" s="631"/>
      <c r="P2198" s="950" t="str">
        <f>VLOOKUP(J2198,'רשימת רשויות'!A:A,1,0)</f>
        <v>אשדוד</v>
      </c>
      <c r="Q2198" s="956">
        <f>IFERROR(VLOOKUP(B2198,[2]מעובד!$D:$K,8,0),0)</f>
        <v>95</v>
      </c>
      <c r="R2198" s="956">
        <f>IFERROR(VLOOKUP(B2198,[2]מעובד!$D:$L,9,0),0)</f>
        <v>57</v>
      </c>
    </row>
    <row r="2199" spans="1:18" x14ac:dyDescent="0.2">
      <c r="A2199" s="947" t="s">
        <v>187</v>
      </c>
      <c r="B2199" s="947">
        <v>611913</v>
      </c>
      <c r="C2199" s="947" t="s">
        <v>2189</v>
      </c>
      <c r="D2199" s="947" t="s">
        <v>706</v>
      </c>
      <c r="E2199" s="951">
        <v>237</v>
      </c>
      <c r="F2199" s="951">
        <v>160</v>
      </c>
      <c r="G2199" s="947" t="s">
        <v>159</v>
      </c>
      <c r="H2199" s="951">
        <v>0</v>
      </c>
      <c r="I2199" s="951">
        <v>0</v>
      </c>
      <c r="J2199" s="947" t="s">
        <v>187</v>
      </c>
      <c r="K2199" s="947">
        <v>611913</v>
      </c>
      <c r="M2199" s="631"/>
      <c r="P2199" s="950" t="str">
        <f>VLOOKUP(J2199,'רשימת רשויות'!A:A,1,0)</f>
        <v>באר שבע</v>
      </c>
      <c r="Q2199" s="956">
        <f>IFERROR(VLOOKUP(B2199,[2]מעובד!$D:$K,8,0),0)</f>
        <v>162</v>
      </c>
      <c r="R2199" s="956">
        <f>IFERROR(VLOOKUP(B2199,[2]מעובד!$D:$L,9,0),0)</f>
        <v>43</v>
      </c>
    </row>
    <row r="2200" spans="1:18" x14ac:dyDescent="0.2">
      <c r="A2200" s="947" t="s">
        <v>183</v>
      </c>
      <c r="B2200" s="947">
        <v>611921</v>
      </c>
      <c r="C2200" s="947" t="s">
        <v>2189</v>
      </c>
      <c r="D2200" s="947" t="s">
        <v>836</v>
      </c>
      <c r="E2200" s="951">
        <v>283</v>
      </c>
      <c r="F2200" s="951">
        <v>265</v>
      </c>
      <c r="G2200" s="947" t="s">
        <v>159</v>
      </c>
      <c r="H2200" s="951">
        <v>114</v>
      </c>
      <c r="I2200" s="951">
        <v>12</v>
      </c>
      <c r="J2200" s="947" t="s">
        <v>183</v>
      </c>
      <c r="K2200" s="947">
        <v>611921</v>
      </c>
      <c r="M2200" s="631"/>
      <c r="P2200" s="950" t="str">
        <f>VLOOKUP(J2200,'רשימת רשויות'!A:A,1,0)</f>
        <v>אשקלון</v>
      </c>
      <c r="Q2200" s="956">
        <f>IFERROR(VLOOKUP(B2200,[2]מעובד!$D:$K,8,0),0)</f>
        <v>272</v>
      </c>
      <c r="R2200" s="956">
        <f>IFERROR(VLOOKUP(B2200,[2]מעובד!$D:$L,9,0),0)</f>
        <v>99</v>
      </c>
    </row>
    <row r="2201" spans="1:18" x14ac:dyDescent="0.2">
      <c r="A2201" s="947" t="s">
        <v>187</v>
      </c>
      <c r="B2201" s="947">
        <v>611939</v>
      </c>
      <c r="C2201" s="947" t="s">
        <v>2189</v>
      </c>
      <c r="D2201" s="947" t="s">
        <v>469</v>
      </c>
      <c r="E2201" s="951">
        <v>145</v>
      </c>
      <c r="F2201" s="951">
        <v>95</v>
      </c>
      <c r="G2201" s="947" t="s">
        <v>159</v>
      </c>
      <c r="H2201" s="951">
        <v>0</v>
      </c>
      <c r="I2201" s="951">
        <v>0</v>
      </c>
      <c r="J2201" s="947" t="s">
        <v>187</v>
      </c>
      <c r="K2201" s="947">
        <v>611939</v>
      </c>
      <c r="M2201" s="631"/>
      <c r="P2201" s="950" t="str">
        <f>VLOOKUP(J2201,'רשימת רשויות'!A:A,1,0)</f>
        <v>באר שבע</v>
      </c>
      <c r="Q2201" s="956">
        <f>IFERROR(VLOOKUP(B2201,[2]מעובד!$D:$K,8,0),0)</f>
        <v>152</v>
      </c>
      <c r="R2201" s="956">
        <f>IFERROR(VLOOKUP(B2201,[2]מעובד!$D:$L,9,0),0)</f>
        <v>81</v>
      </c>
    </row>
    <row r="2202" spans="1:18" x14ac:dyDescent="0.2">
      <c r="A2202" s="947" t="s">
        <v>181</v>
      </c>
      <c r="B2202" s="947">
        <v>611947</v>
      </c>
      <c r="C2202" s="947" t="s">
        <v>2189</v>
      </c>
      <c r="D2202" s="947" t="s">
        <v>1211</v>
      </c>
      <c r="E2202" s="951">
        <v>305</v>
      </c>
      <c r="F2202" s="951">
        <v>250</v>
      </c>
      <c r="G2202" s="947" t="s">
        <v>3252</v>
      </c>
      <c r="H2202" s="951">
        <v>0</v>
      </c>
      <c r="I2202" s="951">
        <v>0</v>
      </c>
      <c r="J2202" s="947" t="s">
        <v>181</v>
      </c>
      <c r="K2202" s="947">
        <v>611947</v>
      </c>
      <c r="M2202" s="631"/>
      <c r="P2202" s="950" t="str">
        <f>VLOOKUP(J2202,'רשימת רשויות'!A:A,1,0)</f>
        <v>אשדוד</v>
      </c>
      <c r="Q2202" s="956">
        <f>IFERROR(VLOOKUP(B2202,[2]מעובד!$D:$K,8,0),0)</f>
        <v>260</v>
      </c>
      <c r="R2202" s="956">
        <f>IFERROR(VLOOKUP(B2202,[2]מעובד!$D:$L,9,0),0)</f>
        <v>246</v>
      </c>
    </row>
    <row r="2203" spans="1:18" x14ac:dyDescent="0.2">
      <c r="A2203" s="947" t="s">
        <v>183</v>
      </c>
      <c r="B2203" s="947">
        <v>611954</v>
      </c>
      <c r="C2203" s="947" t="s">
        <v>2189</v>
      </c>
      <c r="D2203" s="947" t="s">
        <v>837</v>
      </c>
      <c r="E2203" s="951">
        <v>408</v>
      </c>
      <c r="F2203" s="951">
        <v>390</v>
      </c>
      <c r="G2203" s="947" t="s">
        <v>159</v>
      </c>
      <c r="H2203" s="951">
        <v>0</v>
      </c>
      <c r="I2203" s="951">
        <v>0</v>
      </c>
      <c r="J2203" s="947" t="s">
        <v>183</v>
      </c>
      <c r="K2203" s="947">
        <v>611954</v>
      </c>
      <c r="M2203" s="631"/>
      <c r="P2203" s="950" t="str">
        <f>VLOOKUP(J2203,'רשימת רשויות'!A:A,1,0)</f>
        <v>אשקלון</v>
      </c>
      <c r="Q2203" s="956">
        <f>IFERROR(VLOOKUP(B2203,[2]מעובד!$D:$K,8,0),0)</f>
        <v>454</v>
      </c>
      <c r="R2203" s="956">
        <f>IFERROR(VLOOKUP(B2203,[2]מעובד!$D:$L,9,0),0)</f>
        <v>228</v>
      </c>
    </row>
    <row r="2204" spans="1:18" x14ac:dyDescent="0.2">
      <c r="A2204" s="947" t="s">
        <v>373</v>
      </c>
      <c r="B2204" s="947">
        <v>612028</v>
      </c>
      <c r="C2204" s="947" t="s">
        <v>2189</v>
      </c>
      <c r="D2204" s="947" t="s">
        <v>2705</v>
      </c>
      <c r="E2204" s="951">
        <v>121</v>
      </c>
      <c r="F2204" s="951">
        <v>96</v>
      </c>
      <c r="G2204" s="947" t="s">
        <v>159</v>
      </c>
      <c r="H2204" s="951">
        <v>91</v>
      </c>
      <c r="I2204" s="951">
        <v>25</v>
      </c>
      <c r="J2204" s="947" t="s">
        <v>373</v>
      </c>
      <c r="K2204" s="947">
        <v>612028</v>
      </c>
      <c r="M2204" s="631"/>
      <c r="P2204" s="950" t="str">
        <f>VLOOKUP(J2204,'רשימת רשויות'!A:A,1,0)</f>
        <v>קרית גת</v>
      </c>
      <c r="Q2204" s="956">
        <f>IFERROR(VLOOKUP(B2204,[2]מעובד!$D:$K,8,0),0)</f>
        <v>81</v>
      </c>
      <c r="R2204" s="956">
        <f>IFERROR(VLOOKUP(B2204,[2]מעובד!$D:$L,9,0),0)</f>
        <v>23</v>
      </c>
    </row>
    <row r="2205" spans="1:18" x14ac:dyDescent="0.2">
      <c r="A2205" s="947" t="s">
        <v>169</v>
      </c>
      <c r="B2205" s="947">
        <v>612044</v>
      </c>
      <c r="C2205" s="947" t="s">
        <v>2189</v>
      </c>
      <c r="D2205" s="947" t="s">
        <v>850</v>
      </c>
      <c r="E2205" s="951">
        <v>136</v>
      </c>
      <c r="F2205" s="951">
        <v>53</v>
      </c>
      <c r="G2205" s="947" t="s">
        <v>159</v>
      </c>
      <c r="H2205" s="951">
        <v>0</v>
      </c>
      <c r="I2205" s="951">
        <v>0</v>
      </c>
      <c r="J2205" s="947" t="s">
        <v>169</v>
      </c>
      <c r="K2205" s="957" t="s">
        <v>3358</v>
      </c>
      <c r="M2205" s="631"/>
      <c r="P2205" s="950" t="str">
        <f>VLOOKUP(J2205,'רשימת רשויות'!A:A,1,0)</f>
        <v>אילת</v>
      </c>
      <c r="Q2205" s="956">
        <f>IFERROR(VLOOKUP(B2205,[2]מעובד!$D:$K,8,0),0)</f>
        <v>177</v>
      </c>
      <c r="R2205" s="956">
        <f>IFERROR(VLOOKUP(B2205,[2]מעובד!$D:$L,9,0),0)</f>
        <v>100</v>
      </c>
    </row>
    <row r="2206" spans="1:18" x14ac:dyDescent="0.2">
      <c r="A2206" s="947" t="s">
        <v>378</v>
      </c>
      <c r="B2206" s="947">
        <v>612051</v>
      </c>
      <c r="C2206" s="947" t="s">
        <v>2189</v>
      </c>
      <c r="D2206" s="947" t="s">
        <v>851</v>
      </c>
      <c r="E2206" s="951">
        <v>186</v>
      </c>
      <c r="F2206" s="951">
        <v>186</v>
      </c>
      <c r="G2206" s="947" t="s">
        <v>159</v>
      </c>
      <c r="H2206" s="951">
        <v>0</v>
      </c>
      <c r="I2206" s="951">
        <v>0</v>
      </c>
      <c r="J2206" s="947" t="s">
        <v>378</v>
      </c>
      <c r="K2206" s="947">
        <v>612051</v>
      </c>
      <c r="M2206" s="631"/>
      <c r="P2206" s="950" t="str">
        <f>VLOOKUP(J2206,'רשימת רשויות'!A:A,1,0)</f>
        <v>קרית מלאכי</v>
      </c>
      <c r="Q2206" s="956">
        <f>IFERROR(VLOOKUP(B2206,[2]מעובד!$D:$K,8,0),0)</f>
        <v>178</v>
      </c>
      <c r="R2206" s="956">
        <f>IFERROR(VLOOKUP(B2206,[2]מעובד!$D:$L,9,0),0)</f>
        <v>58</v>
      </c>
    </row>
    <row r="2207" spans="1:18" x14ac:dyDescent="0.2">
      <c r="A2207" s="947" t="s">
        <v>187</v>
      </c>
      <c r="B2207" s="947">
        <v>612069</v>
      </c>
      <c r="C2207" s="947" t="s">
        <v>2189</v>
      </c>
      <c r="D2207" s="947" t="s">
        <v>451</v>
      </c>
      <c r="E2207" s="951">
        <v>302</v>
      </c>
      <c r="F2207" s="951">
        <v>204</v>
      </c>
      <c r="G2207" s="947" t="s">
        <v>159</v>
      </c>
      <c r="H2207" s="951">
        <v>99</v>
      </c>
      <c r="I2207" s="951">
        <v>9</v>
      </c>
      <c r="J2207" s="947" t="s">
        <v>187</v>
      </c>
      <c r="K2207" s="947">
        <v>612069</v>
      </c>
      <c r="M2207" s="631"/>
      <c r="P2207" s="950" t="str">
        <f>VLOOKUP(J2207,'רשימת רשויות'!A:A,1,0)</f>
        <v>באר שבע</v>
      </c>
      <c r="Q2207" s="956">
        <f>IFERROR(VLOOKUP(B2207,[2]מעובד!$D:$K,8,0),0)</f>
        <v>0</v>
      </c>
      <c r="R2207" s="956">
        <f>IFERROR(VLOOKUP(B2207,[2]מעובד!$D:$L,9,0),0)</f>
        <v>0</v>
      </c>
    </row>
    <row r="2208" spans="1:18" x14ac:dyDescent="0.2">
      <c r="A2208" s="947" t="s">
        <v>164</v>
      </c>
      <c r="B2208" s="947">
        <v>612119</v>
      </c>
      <c r="C2208" s="947" t="s">
        <v>2189</v>
      </c>
      <c r="D2208" s="947" t="s">
        <v>854</v>
      </c>
      <c r="E2208" s="951">
        <v>245</v>
      </c>
      <c r="F2208" s="951">
        <v>245</v>
      </c>
      <c r="G2208" s="947" t="s">
        <v>159</v>
      </c>
      <c r="H2208" s="951">
        <v>0</v>
      </c>
      <c r="I2208" s="951">
        <v>0</v>
      </c>
      <c r="J2208" s="947" t="s">
        <v>164</v>
      </c>
      <c r="K2208" s="947">
        <v>612119</v>
      </c>
      <c r="M2208" s="631"/>
      <c r="P2208" s="950" t="str">
        <f>VLOOKUP(J2208,'רשימת רשויות'!A:A,1,0)</f>
        <v>אופקים</v>
      </c>
      <c r="Q2208" s="956">
        <f>IFERROR(VLOOKUP(B2208,[2]מעובד!$D:$K,8,0),0)</f>
        <v>136</v>
      </c>
      <c r="R2208" s="956">
        <f>IFERROR(VLOOKUP(B2208,[2]מעובד!$D:$L,9,0),0)</f>
        <v>94</v>
      </c>
    </row>
    <row r="2209" spans="1:18" x14ac:dyDescent="0.2">
      <c r="A2209" s="947" t="s">
        <v>240</v>
      </c>
      <c r="B2209" s="947">
        <v>612135</v>
      </c>
      <c r="C2209" s="947" t="s">
        <v>2189</v>
      </c>
      <c r="D2209" s="947" t="s">
        <v>855</v>
      </c>
      <c r="E2209" s="951">
        <v>259</v>
      </c>
      <c r="F2209" s="951">
        <v>220</v>
      </c>
      <c r="G2209" s="947" t="s">
        <v>159</v>
      </c>
      <c r="H2209" s="951">
        <v>91</v>
      </c>
      <c r="I2209" s="951">
        <v>0</v>
      </c>
      <c r="J2209" s="947" t="s">
        <v>240</v>
      </c>
      <c r="K2209" s="947">
        <v>612135</v>
      </c>
      <c r="M2209" s="631"/>
      <c r="P2209" s="950" t="str">
        <f>VLOOKUP(J2209,'רשימת רשויות'!A:A,1,0)</f>
        <v>חבל אילות</v>
      </c>
      <c r="Q2209" s="956">
        <f>IFERROR(VLOOKUP(B2209,[2]מעובד!$D:$K,8,0),0)</f>
        <v>277</v>
      </c>
      <c r="R2209" s="956">
        <f>IFERROR(VLOOKUP(B2209,[2]מעובד!$D:$L,9,0),0)</f>
        <v>40</v>
      </c>
    </row>
    <row r="2210" spans="1:18" x14ac:dyDescent="0.2">
      <c r="A2210" s="947" t="s">
        <v>164</v>
      </c>
      <c r="B2210" s="947">
        <v>612168</v>
      </c>
      <c r="C2210" s="947" t="s">
        <v>2189</v>
      </c>
      <c r="D2210" s="947" t="s">
        <v>2238</v>
      </c>
      <c r="E2210" s="951">
        <v>50</v>
      </c>
      <c r="F2210" s="951">
        <v>50</v>
      </c>
      <c r="G2210" s="947" t="s">
        <v>3252</v>
      </c>
      <c r="H2210" s="951">
        <v>0</v>
      </c>
      <c r="I2210" s="951">
        <v>0</v>
      </c>
      <c r="J2210" s="947" t="s">
        <v>164</v>
      </c>
      <c r="K2210" s="947">
        <v>612168</v>
      </c>
      <c r="M2210" s="631"/>
      <c r="P2210" s="950" t="str">
        <f>VLOOKUP(J2210,'רשימת רשויות'!A:A,1,0)</f>
        <v>אופקים</v>
      </c>
      <c r="Q2210" s="956">
        <f>IFERROR(VLOOKUP(B2210,[2]מעובד!$D:$K,8,0),0)</f>
        <v>0</v>
      </c>
      <c r="R2210" s="956">
        <f>IFERROR(VLOOKUP(B2210,[2]מעובד!$D:$L,9,0),0)</f>
        <v>0</v>
      </c>
    </row>
    <row r="2211" spans="1:18" x14ac:dyDescent="0.2">
      <c r="A2211" s="947" t="s">
        <v>181</v>
      </c>
      <c r="B2211" s="947">
        <v>612226</v>
      </c>
      <c r="C2211" s="947" t="s">
        <v>2189</v>
      </c>
      <c r="D2211" s="947" t="s">
        <v>3113</v>
      </c>
      <c r="E2211" s="951">
        <v>75</v>
      </c>
      <c r="F2211" s="951">
        <v>0</v>
      </c>
      <c r="G2211" s="947" t="s">
        <v>3252</v>
      </c>
      <c r="H2211" s="951">
        <v>0</v>
      </c>
      <c r="I2211" s="951">
        <v>0</v>
      </c>
      <c r="J2211" s="947" t="s">
        <v>181</v>
      </c>
      <c r="K2211" s="947">
        <v>612226</v>
      </c>
      <c r="M2211" s="631"/>
      <c r="P2211" s="950" t="str">
        <f>VLOOKUP(J2211,'רשימת רשויות'!A:A,1,0)</f>
        <v>אשדוד</v>
      </c>
      <c r="Q2211" s="956">
        <f>IFERROR(VLOOKUP(B2211,[2]מעובד!$D:$K,8,0),0)</f>
        <v>76</v>
      </c>
      <c r="R2211" s="956">
        <f>IFERROR(VLOOKUP(B2211,[2]מעובד!$D:$L,9,0),0)</f>
        <v>71</v>
      </c>
    </row>
    <row r="2212" spans="1:18" x14ac:dyDescent="0.2">
      <c r="A2212" s="947" t="s">
        <v>378</v>
      </c>
      <c r="B2212" s="947">
        <v>612234</v>
      </c>
      <c r="C2212" s="947" t="s">
        <v>2189</v>
      </c>
      <c r="D2212" s="947" t="s">
        <v>699</v>
      </c>
      <c r="E2212" s="951">
        <v>368</v>
      </c>
      <c r="F2212" s="951">
        <v>354</v>
      </c>
      <c r="G2212" s="947" t="s">
        <v>159</v>
      </c>
      <c r="H2212" s="951">
        <v>133</v>
      </c>
      <c r="I2212" s="951">
        <v>10</v>
      </c>
      <c r="J2212" s="947" t="s">
        <v>378</v>
      </c>
      <c r="K2212" s="947">
        <v>612234</v>
      </c>
      <c r="M2212" s="631"/>
      <c r="P2212" s="950" t="str">
        <f>VLOOKUP(J2212,'רשימת רשויות'!A:A,1,0)</f>
        <v>קרית מלאכי</v>
      </c>
      <c r="Q2212" s="956">
        <f>IFERROR(VLOOKUP(B2212,[2]מעובד!$D:$K,8,0),0)</f>
        <v>388</v>
      </c>
      <c r="R2212" s="956">
        <f>IFERROR(VLOOKUP(B2212,[2]מעובד!$D:$L,9,0),0)</f>
        <v>210</v>
      </c>
    </row>
    <row r="2213" spans="1:18" x14ac:dyDescent="0.2">
      <c r="A2213" s="947" t="s">
        <v>232</v>
      </c>
      <c r="B2213" s="947">
        <v>612242</v>
      </c>
      <c r="C2213" s="947" t="s">
        <v>2189</v>
      </c>
      <c r="D2213" s="947" t="s">
        <v>913</v>
      </c>
      <c r="E2213" s="951">
        <v>233</v>
      </c>
      <c r="F2213" s="951">
        <v>166</v>
      </c>
      <c r="G2213" s="947" t="s">
        <v>159</v>
      </c>
      <c r="H2213" s="951">
        <v>0</v>
      </c>
      <c r="I2213" s="951">
        <v>0</v>
      </c>
      <c r="J2213" s="947" t="s">
        <v>232</v>
      </c>
      <c r="K2213" s="947">
        <v>612242</v>
      </c>
      <c r="M2213" s="631"/>
      <c r="P2213" s="950" t="str">
        <f>VLOOKUP(J2213,'רשימת רשויות'!A:A,1,0)</f>
        <v>הערבה התיכונה</v>
      </c>
      <c r="Q2213" s="956">
        <f>IFERROR(VLOOKUP(B2213,[2]מעובד!$D:$K,8,0),0)</f>
        <v>290</v>
      </c>
      <c r="R2213" s="956">
        <f>IFERROR(VLOOKUP(B2213,[2]מעובד!$D:$L,9,0),0)</f>
        <v>76</v>
      </c>
    </row>
    <row r="2214" spans="1:18" x14ac:dyDescent="0.2">
      <c r="A2214" s="947" t="s">
        <v>373</v>
      </c>
      <c r="B2214" s="947">
        <v>612267</v>
      </c>
      <c r="C2214" s="947" t="s">
        <v>2189</v>
      </c>
      <c r="D2214" s="947" t="s">
        <v>2706</v>
      </c>
      <c r="E2214" s="951">
        <v>136</v>
      </c>
      <c r="F2214" s="951">
        <v>136</v>
      </c>
      <c r="G2214" s="947" t="s">
        <v>3252</v>
      </c>
      <c r="H2214" s="951">
        <v>0</v>
      </c>
      <c r="I2214" s="951">
        <v>0</v>
      </c>
      <c r="J2214" s="947" t="s">
        <v>373</v>
      </c>
      <c r="K2214" s="947">
        <v>612267</v>
      </c>
      <c r="M2214" s="631"/>
      <c r="P2214" s="950" t="str">
        <f>VLOOKUP(J2214,'רשימת רשויות'!A:A,1,0)</f>
        <v>קרית גת</v>
      </c>
      <c r="Q2214" s="956">
        <f>IFERROR(VLOOKUP(B2214,[2]מעובד!$D:$K,8,0),0)</f>
        <v>134</v>
      </c>
      <c r="R2214" s="956">
        <f>IFERROR(VLOOKUP(B2214,[2]מעובד!$D:$L,9,0),0)</f>
        <v>135</v>
      </c>
    </row>
    <row r="2215" spans="1:18" x14ac:dyDescent="0.2">
      <c r="A2215" s="947" t="s">
        <v>187</v>
      </c>
      <c r="B2215" s="947">
        <v>612275</v>
      </c>
      <c r="C2215" s="947" t="s">
        <v>2189</v>
      </c>
      <c r="D2215" s="947" t="s">
        <v>3114</v>
      </c>
      <c r="E2215" s="951">
        <v>100</v>
      </c>
      <c r="F2215" s="951">
        <v>0</v>
      </c>
      <c r="G2215" s="947" t="s">
        <v>159</v>
      </c>
      <c r="H2215" s="951">
        <v>0</v>
      </c>
      <c r="I2215" s="951">
        <v>0</v>
      </c>
      <c r="J2215" s="947" t="s">
        <v>187</v>
      </c>
      <c r="K2215" s="947">
        <v>612275</v>
      </c>
      <c r="M2215" s="631"/>
      <c r="P2215" s="950" t="str">
        <f>VLOOKUP(J2215,'רשימת רשויות'!A:A,1,0)</f>
        <v>באר שבע</v>
      </c>
      <c r="Q2215" s="956">
        <f>IFERROR(VLOOKUP(B2215,[2]מעובד!$D:$K,8,0),0)</f>
        <v>0</v>
      </c>
      <c r="R2215" s="956">
        <f>IFERROR(VLOOKUP(B2215,[2]מעובד!$D:$L,9,0),0)</f>
        <v>0</v>
      </c>
    </row>
    <row r="2216" spans="1:18" x14ac:dyDescent="0.2">
      <c r="A2216" s="947" t="s">
        <v>324</v>
      </c>
      <c r="B2216" s="947">
        <v>612325</v>
      </c>
      <c r="C2216" s="947" t="s">
        <v>2189</v>
      </c>
      <c r="D2216" s="947" t="s">
        <v>324</v>
      </c>
      <c r="E2216" s="951">
        <v>242</v>
      </c>
      <c r="F2216" s="951">
        <v>193</v>
      </c>
      <c r="G2216" s="947" t="s">
        <v>159</v>
      </c>
      <c r="H2216" s="951">
        <v>0</v>
      </c>
      <c r="I2216" s="951">
        <v>0</v>
      </c>
      <c r="J2216" s="947" t="s">
        <v>324</v>
      </c>
      <c r="K2216" s="947">
        <v>612325</v>
      </c>
      <c r="M2216" s="631"/>
      <c r="P2216" s="950" t="str">
        <f>VLOOKUP(J2216,'רשימת רשויות'!A:A,1,0)</f>
        <v>מרחבים</v>
      </c>
      <c r="Q2216" s="956">
        <f>IFERROR(VLOOKUP(B2216,[2]מעובד!$D:$K,8,0),0)</f>
        <v>209</v>
      </c>
      <c r="R2216" s="956">
        <f>IFERROR(VLOOKUP(B2216,[2]מעובד!$D:$L,9,0),0)</f>
        <v>78</v>
      </c>
    </row>
    <row r="2217" spans="1:18" x14ac:dyDescent="0.2">
      <c r="A2217" s="947" t="s">
        <v>181</v>
      </c>
      <c r="B2217" s="947">
        <v>612333</v>
      </c>
      <c r="C2217" s="947" t="s">
        <v>2189</v>
      </c>
      <c r="D2217" s="947" t="s">
        <v>920</v>
      </c>
      <c r="E2217" s="951">
        <v>143</v>
      </c>
      <c r="F2217" s="951">
        <v>68</v>
      </c>
      <c r="G2217" s="947" t="s">
        <v>159</v>
      </c>
      <c r="H2217" s="951">
        <v>45</v>
      </c>
      <c r="I2217" s="951">
        <v>9</v>
      </c>
      <c r="J2217" s="947" t="s">
        <v>181</v>
      </c>
      <c r="K2217" s="947">
        <v>612333</v>
      </c>
      <c r="M2217" s="631"/>
      <c r="P2217" s="950" t="str">
        <f>VLOOKUP(J2217,'רשימת רשויות'!A:A,1,0)</f>
        <v>אשדוד</v>
      </c>
      <c r="Q2217" s="956">
        <f>IFERROR(VLOOKUP(B2217,[2]מעובד!$D:$K,8,0),0)</f>
        <v>223</v>
      </c>
      <c r="R2217" s="956">
        <f>IFERROR(VLOOKUP(B2217,[2]מעובד!$D:$L,9,0),0)</f>
        <v>70</v>
      </c>
    </row>
    <row r="2218" spans="1:18" x14ac:dyDescent="0.2">
      <c r="A2218" s="947" t="s">
        <v>181</v>
      </c>
      <c r="B2218" s="947">
        <v>612341</v>
      </c>
      <c r="C2218" s="947" t="s">
        <v>2189</v>
      </c>
      <c r="D2218" s="947" t="s">
        <v>3115</v>
      </c>
      <c r="E2218" s="951">
        <v>70</v>
      </c>
      <c r="F2218" s="951">
        <v>0</v>
      </c>
      <c r="G2218" s="947" t="s">
        <v>3252</v>
      </c>
      <c r="H2218" s="951">
        <v>0</v>
      </c>
      <c r="I2218" s="951">
        <v>0</v>
      </c>
      <c r="J2218" s="947" t="s">
        <v>181</v>
      </c>
      <c r="K2218" s="947">
        <v>612341</v>
      </c>
      <c r="M2218" s="631"/>
      <c r="P2218" s="950" t="str">
        <f>VLOOKUP(J2218,'רשימת רשויות'!A:A,1,0)</f>
        <v>אשדוד</v>
      </c>
      <c r="Q2218" s="956">
        <f>IFERROR(VLOOKUP(B2218,[2]מעובד!$D:$K,8,0),0)</f>
        <v>0</v>
      </c>
      <c r="R2218" s="956">
        <f>IFERROR(VLOOKUP(B2218,[2]מעובד!$D:$L,9,0),0)</f>
        <v>0</v>
      </c>
    </row>
    <row r="2219" spans="1:18" x14ac:dyDescent="0.2">
      <c r="A2219" s="947" t="s">
        <v>355</v>
      </c>
      <c r="B2219" s="947">
        <v>612358</v>
      </c>
      <c r="C2219" s="947" t="s">
        <v>2189</v>
      </c>
      <c r="D2219" s="947" t="s">
        <v>939</v>
      </c>
      <c r="E2219" s="951">
        <v>102</v>
      </c>
      <c r="F2219" s="951">
        <v>92</v>
      </c>
      <c r="G2219" s="947" t="s">
        <v>159</v>
      </c>
      <c r="H2219" s="951">
        <v>29</v>
      </c>
      <c r="I2219" s="951">
        <v>3</v>
      </c>
      <c r="J2219" s="947" t="s">
        <v>355</v>
      </c>
      <c r="K2219" s="947">
        <v>612358</v>
      </c>
      <c r="M2219" s="631"/>
      <c r="P2219" s="950" t="str">
        <f>VLOOKUP(J2219,'רשימת רשויות'!A:A,1,0)</f>
        <v>ערד</v>
      </c>
      <c r="Q2219" s="956">
        <f>IFERROR(VLOOKUP(B2219,[2]מעובד!$D:$K,8,0),0)</f>
        <v>83</v>
      </c>
      <c r="R2219" s="956">
        <f>IFERROR(VLOOKUP(B2219,[2]מעובד!$D:$L,9,0),0)</f>
        <v>42</v>
      </c>
    </row>
    <row r="2220" spans="1:18" x14ac:dyDescent="0.2">
      <c r="A2220" s="947" t="s">
        <v>169</v>
      </c>
      <c r="B2220" s="947">
        <v>612374</v>
      </c>
      <c r="C2220" s="947" t="s">
        <v>2189</v>
      </c>
      <c r="D2220" s="947" t="s">
        <v>940</v>
      </c>
      <c r="E2220" s="951">
        <v>141</v>
      </c>
      <c r="F2220" s="951">
        <v>52</v>
      </c>
      <c r="G2220" s="947" t="s">
        <v>159</v>
      </c>
      <c r="H2220" s="951">
        <v>58</v>
      </c>
      <c r="I2220" s="951">
        <v>7</v>
      </c>
      <c r="J2220" s="947" t="s">
        <v>169</v>
      </c>
      <c r="K2220" s="947">
        <v>612374</v>
      </c>
      <c r="M2220" s="631"/>
      <c r="P2220" s="950" t="str">
        <f>VLOOKUP(J2220,'רשימת רשויות'!A:A,1,0)</f>
        <v>אילת</v>
      </c>
      <c r="Q2220" s="956">
        <f>IFERROR(VLOOKUP(B2220,[2]מעובד!$D:$K,8,0),0)</f>
        <v>109</v>
      </c>
      <c r="R2220" s="956">
        <f>IFERROR(VLOOKUP(B2220,[2]מעובד!$D:$L,9,0),0)</f>
        <v>38</v>
      </c>
    </row>
    <row r="2221" spans="1:18" x14ac:dyDescent="0.2">
      <c r="A2221" s="947" t="s">
        <v>181</v>
      </c>
      <c r="B2221" s="947">
        <v>612382</v>
      </c>
      <c r="C2221" s="947" t="s">
        <v>2189</v>
      </c>
      <c r="D2221" s="947" t="s">
        <v>953</v>
      </c>
      <c r="E2221" s="951">
        <v>74</v>
      </c>
      <c r="F2221" s="951">
        <v>31</v>
      </c>
      <c r="G2221" s="947" t="s">
        <v>159</v>
      </c>
      <c r="H2221" s="951">
        <v>35</v>
      </c>
      <c r="I2221" s="951">
        <v>10</v>
      </c>
      <c r="J2221" s="947" t="s">
        <v>181</v>
      </c>
      <c r="K2221" s="957" t="s">
        <v>3357</v>
      </c>
      <c r="M2221" s="631"/>
      <c r="P2221" s="950" t="str">
        <f>VLOOKUP(J2221,'רשימת רשויות'!A:A,1,0)</f>
        <v>אשדוד</v>
      </c>
      <c r="Q2221" s="956">
        <f>IFERROR(VLOOKUP(B2221,[2]מעובד!$D:$K,8,0),0)</f>
        <v>85</v>
      </c>
      <c r="R2221" s="956">
        <f>IFERROR(VLOOKUP(B2221,[2]מעובד!$D:$L,9,0),0)</f>
        <v>42</v>
      </c>
    </row>
    <row r="2222" spans="1:18" x14ac:dyDescent="0.2">
      <c r="A2222" s="947" t="s">
        <v>181</v>
      </c>
      <c r="B2222" s="947">
        <v>612408</v>
      </c>
      <c r="C2222" s="947" t="s">
        <v>2189</v>
      </c>
      <c r="D2222" s="947" t="s">
        <v>613</v>
      </c>
      <c r="E2222" s="951">
        <v>210</v>
      </c>
      <c r="F2222" s="951">
        <v>136</v>
      </c>
      <c r="G2222" s="947" t="s">
        <v>159</v>
      </c>
      <c r="H2222" s="951">
        <v>0</v>
      </c>
      <c r="I2222" s="951">
        <v>0</v>
      </c>
      <c r="J2222" s="947" t="s">
        <v>181</v>
      </c>
      <c r="K2222" s="957" t="s">
        <v>3359</v>
      </c>
      <c r="M2222" s="631"/>
      <c r="P2222" s="950" t="str">
        <f>VLOOKUP(J2222,'רשימת רשויות'!A:A,1,0)</f>
        <v>אשדוד</v>
      </c>
      <c r="Q2222" s="956">
        <f>IFERROR(VLOOKUP(B2222,[2]מעובד!$D:$K,8,0),0)</f>
        <v>229</v>
      </c>
      <c r="R2222" s="956">
        <f>IFERROR(VLOOKUP(B2222,[2]מעובד!$D:$L,9,0),0)</f>
        <v>121</v>
      </c>
    </row>
    <row r="2223" spans="1:18" x14ac:dyDescent="0.2">
      <c r="A2223" s="947" t="s">
        <v>183</v>
      </c>
      <c r="B2223" s="947">
        <v>612416</v>
      </c>
      <c r="C2223" s="947" t="s">
        <v>2189</v>
      </c>
      <c r="D2223" s="947" t="s">
        <v>954</v>
      </c>
      <c r="E2223" s="951">
        <v>100</v>
      </c>
      <c r="F2223" s="951">
        <v>87</v>
      </c>
      <c r="G2223" s="947" t="s">
        <v>159</v>
      </c>
      <c r="H2223" s="951">
        <v>0</v>
      </c>
      <c r="I2223" s="951">
        <v>0</v>
      </c>
      <c r="J2223" s="947" t="s">
        <v>183</v>
      </c>
      <c r="K2223" s="947">
        <v>612416</v>
      </c>
      <c r="M2223" s="631"/>
      <c r="P2223" s="950" t="str">
        <f>VLOOKUP(J2223,'רשימת רשויות'!A:A,1,0)</f>
        <v>אשקלון</v>
      </c>
      <c r="Q2223" s="956">
        <f>IFERROR(VLOOKUP(B2223,[2]מעובד!$D:$K,8,0),0)</f>
        <v>78</v>
      </c>
      <c r="R2223" s="956">
        <f>IFERROR(VLOOKUP(B2223,[2]מעובד!$D:$L,9,0),0)</f>
        <v>60</v>
      </c>
    </row>
    <row r="2224" spans="1:18" x14ac:dyDescent="0.2">
      <c r="A2224" s="947" t="s">
        <v>181</v>
      </c>
      <c r="B2224" s="947">
        <v>612424</v>
      </c>
      <c r="C2224" s="947" t="s">
        <v>2189</v>
      </c>
      <c r="D2224" s="947" t="s">
        <v>1261</v>
      </c>
      <c r="E2224" s="951">
        <v>50</v>
      </c>
      <c r="F2224" s="951">
        <v>48</v>
      </c>
      <c r="G2224" s="947" t="s">
        <v>3252</v>
      </c>
      <c r="H2224" s="951">
        <v>0</v>
      </c>
      <c r="I2224" s="951">
        <v>0</v>
      </c>
      <c r="J2224" s="947" t="s">
        <v>181</v>
      </c>
      <c r="K2224" s="947">
        <v>612424</v>
      </c>
      <c r="M2224" s="631"/>
      <c r="P2224" s="950" t="str">
        <f>VLOOKUP(J2224,'רשימת רשויות'!A:A,1,0)</f>
        <v>אשדוד</v>
      </c>
      <c r="Q2224" s="956">
        <f>IFERROR(VLOOKUP(B2224,[2]מעובד!$D:$K,8,0),0)</f>
        <v>0</v>
      </c>
      <c r="R2224" s="956">
        <f>IFERROR(VLOOKUP(B2224,[2]מעובד!$D:$L,9,0),0)</f>
        <v>0</v>
      </c>
    </row>
    <row r="2225" spans="1:18" x14ac:dyDescent="0.2">
      <c r="A2225" s="947" t="s">
        <v>181</v>
      </c>
      <c r="B2225" s="947">
        <v>612440</v>
      </c>
      <c r="C2225" s="947" t="s">
        <v>2189</v>
      </c>
      <c r="D2225" s="947" t="s">
        <v>955</v>
      </c>
      <c r="E2225" s="951">
        <v>203</v>
      </c>
      <c r="F2225" s="951">
        <v>104</v>
      </c>
      <c r="G2225" s="947" t="s">
        <v>159</v>
      </c>
      <c r="H2225" s="951">
        <v>63</v>
      </c>
      <c r="I2225" s="951">
        <v>8</v>
      </c>
      <c r="J2225" s="947" t="s">
        <v>181</v>
      </c>
      <c r="K2225" s="947">
        <v>612440</v>
      </c>
      <c r="M2225" s="631"/>
      <c r="P2225" s="950" t="str">
        <f>VLOOKUP(J2225,'רשימת רשויות'!A:A,1,0)</f>
        <v>אשדוד</v>
      </c>
      <c r="Q2225" s="956">
        <f>IFERROR(VLOOKUP(B2225,[2]מעובד!$D:$K,8,0),0)</f>
        <v>202</v>
      </c>
      <c r="R2225" s="956">
        <f>IFERROR(VLOOKUP(B2225,[2]מעובד!$D:$L,9,0),0)</f>
        <v>72</v>
      </c>
    </row>
    <row r="2226" spans="1:18" x14ac:dyDescent="0.2">
      <c r="A2226" s="947" t="s">
        <v>225</v>
      </c>
      <c r="B2226" s="947">
        <v>612457</v>
      </c>
      <c r="C2226" s="947" t="s">
        <v>2189</v>
      </c>
      <c r="D2226" s="947" t="s">
        <v>3116</v>
      </c>
      <c r="E2226" s="951">
        <v>70</v>
      </c>
      <c r="F2226" s="951">
        <v>70</v>
      </c>
      <c r="G2226" s="947" t="s">
        <v>3252</v>
      </c>
      <c r="H2226" s="951">
        <v>0</v>
      </c>
      <c r="I2226" s="951">
        <v>0</v>
      </c>
      <c r="J2226" s="947" t="s">
        <v>225</v>
      </c>
      <c r="K2226" s="947">
        <v>612457</v>
      </c>
      <c r="M2226" s="631"/>
      <c r="P2226" s="950" t="str">
        <f>VLOOKUP(J2226,'רשימת רשויות'!A:A,1,0)</f>
        <v>דימונה</v>
      </c>
      <c r="Q2226" s="956">
        <f>IFERROR(VLOOKUP(B2226,[2]מעובד!$D:$K,8,0),0)</f>
        <v>0</v>
      </c>
      <c r="R2226" s="956">
        <f>IFERROR(VLOOKUP(B2226,[2]מעובד!$D:$L,9,0),0)</f>
        <v>0</v>
      </c>
    </row>
    <row r="2227" spans="1:18" x14ac:dyDescent="0.2">
      <c r="A2227" s="947" t="s">
        <v>187</v>
      </c>
      <c r="B2227" s="947">
        <v>612481</v>
      </c>
      <c r="C2227" s="947" t="s">
        <v>2189</v>
      </c>
      <c r="D2227" s="947" t="s">
        <v>970</v>
      </c>
      <c r="E2227" s="951">
        <v>109</v>
      </c>
      <c r="F2227" s="951">
        <v>0</v>
      </c>
      <c r="G2227" s="947" t="s">
        <v>159</v>
      </c>
      <c r="H2227" s="951">
        <v>54</v>
      </c>
      <c r="I2227" s="951">
        <v>0</v>
      </c>
      <c r="J2227" s="947" t="s">
        <v>187</v>
      </c>
      <c r="K2227" s="947">
        <v>612481</v>
      </c>
      <c r="M2227" s="631"/>
      <c r="P2227" s="950" t="str">
        <f>VLOOKUP(J2227,'רשימת רשויות'!A:A,1,0)</f>
        <v>באר שבע</v>
      </c>
      <c r="Q2227" s="956">
        <f>IFERROR(VLOOKUP(B2227,[2]מעובד!$D:$K,8,0),0)</f>
        <v>118</v>
      </c>
      <c r="R2227" s="956">
        <f>IFERROR(VLOOKUP(B2227,[2]מעובד!$D:$L,9,0),0)</f>
        <v>46</v>
      </c>
    </row>
    <row r="2228" spans="1:18" x14ac:dyDescent="0.2">
      <c r="A2228" s="947" t="s">
        <v>183</v>
      </c>
      <c r="B2228" s="947">
        <v>612515</v>
      </c>
      <c r="C2228" s="947" t="s">
        <v>2189</v>
      </c>
      <c r="D2228" s="947" t="s">
        <v>467</v>
      </c>
      <c r="E2228" s="951">
        <v>274</v>
      </c>
      <c r="F2228" s="951">
        <v>244</v>
      </c>
      <c r="G2228" s="947" t="s">
        <v>159</v>
      </c>
      <c r="H2228" s="951">
        <v>70</v>
      </c>
      <c r="I2228" s="951">
        <v>12</v>
      </c>
      <c r="J2228" s="947" t="s">
        <v>183</v>
      </c>
      <c r="K2228" s="947">
        <v>612515</v>
      </c>
      <c r="M2228" s="631"/>
      <c r="P2228" s="950" t="str">
        <f>VLOOKUP(J2228,'רשימת רשויות'!A:A,1,0)</f>
        <v>אשקלון</v>
      </c>
      <c r="Q2228" s="956">
        <f>IFERROR(VLOOKUP(B2228,[2]מעובד!$D:$K,8,0),0)</f>
        <v>309</v>
      </c>
      <c r="R2228" s="956">
        <f>IFERROR(VLOOKUP(B2228,[2]מעובד!$D:$L,9,0),0)</f>
        <v>179</v>
      </c>
    </row>
    <row r="2229" spans="1:18" x14ac:dyDescent="0.2">
      <c r="A2229" s="947" t="s">
        <v>183</v>
      </c>
      <c r="B2229" s="947">
        <v>612523</v>
      </c>
      <c r="C2229" s="947" t="s">
        <v>2189</v>
      </c>
      <c r="D2229" s="947" t="s">
        <v>998</v>
      </c>
      <c r="E2229" s="951">
        <v>236</v>
      </c>
      <c r="F2229" s="951">
        <v>235</v>
      </c>
      <c r="G2229" s="947" t="s">
        <v>159</v>
      </c>
      <c r="H2229" s="951">
        <v>0</v>
      </c>
      <c r="I2229" s="951">
        <v>0</v>
      </c>
      <c r="J2229" s="947" t="s">
        <v>183</v>
      </c>
      <c r="K2229" s="947">
        <v>612523</v>
      </c>
      <c r="M2229" s="631"/>
      <c r="P2229" s="950" t="str">
        <f>VLOOKUP(J2229,'רשימת רשויות'!A:A,1,0)</f>
        <v>אשקלון</v>
      </c>
      <c r="Q2229" s="956">
        <f>IFERROR(VLOOKUP(B2229,[2]מעובד!$D:$K,8,0),0)</f>
        <v>188</v>
      </c>
      <c r="R2229" s="956">
        <f>IFERROR(VLOOKUP(B2229,[2]מעובד!$D:$L,9,0),0)</f>
        <v>89</v>
      </c>
    </row>
    <row r="2230" spans="1:18" x14ac:dyDescent="0.2">
      <c r="A2230" s="947" t="s">
        <v>355</v>
      </c>
      <c r="B2230" s="947">
        <v>612549</v>
      </c>
      <c r="C2230" s="947" t="s">
        <v>2189</v>
      </c>
      <c r="D2230" s="947" t="s">
        <v>1012</v>
      </c>
      <c r="E2230" s="951">
        <v>174</v>
      </c>
      <c r="F2230" s="951">
        <v>130</v>
      </c>
      <c r="G2230" s="947" t="s">
        <v>159</v>
      </c>
      <c r="H2230" s="951">
        <v>0</v>
      </c>
      <c r="I2230" s="951">
        <v>0</v>
      </c>
      <c r="J2230" s="947" t="s">
        <v>355</v>
      </c>
      <c r="K2230" s="947">
        <v>612549</v>
      </c>
      <c r="M2230" s="631"/>
      <c r="P2230" s="950" t="str">
        <f>VLOOKUP(J2230,'רשימת רשויות'!A:A,1,0)</f>
        <v>ערד</v>
      </c>
      <c r="Q2230" s="956">
        <f>IFERROR(VLOOKUP(B2230,[2]מעובד!$D:$K,8,0),0)</f>
        <v>156</v>
      </c>
      <c r="R2230" s="956">
        <f>IFERROR(VLOOKUP(B2230,[2]מעובד!$D:$L,9,0),0)</f>
        <v>68</v>
      </c>
    </row>
    <row r="2231" spans="1:18" x14ac:dyDescent="0.2">
      <c r="A2231" s="947" t="s">
        <v>181</v>
      </c>
      <c r="B2231" s="947">
        <v>612556</v>
      </c>
      <c r="C2231" s="947" t="s">
        <v>2189</v>
      </c>
      <c r="D2231" s="947" t="s">
        <v>1013</v>
      </c>
      <c r="E2231" s="951">
        <v>178</v>
      </c>
      <c r="F2231" s="951">
        <v>116</v>
      </c>
      <c r="G2231" s="947" t="s">
        <v>159</v>
      </c>
      <c r="H2231" s="951">
        <v>0</v>
      </c>
      <c r="I2231" s="951">
        <v>0</v>
      </c>
      <c r="J2231" s="947" t="s">
        <v>181</v>
      </c>
      <c r="K2231" s="947">
        <v>612556</v>
      </c>
      <c r="M2231" s="631"/>
      <c r="P2231" s="950" t="str">
        <f>VLOOKUP(J2231,'רשימת רשויות'!A:A,1,0)</f>
        <v>אשדוד</v>
      </c>
      <c r="Q2231" s="956">
        <f>IFERROR(VLOOKUP(B2231,[2]מעובד!$D:$K,8,0),0)</f>
        <v>187</v>
      </c>
      <c r="R2231" s="956">
        <f>IFERROR(VLOOKUP(B2231,[2]מעובד!$D:$L,9,0),0)</f>
        <v>80</v>
      </c>
    </row>
    <row r="2232" spans="1:18" x14ac:dyDescent="0.2">
      <c r="A2232" s="947" t="s">
        <v>169</v>
      </c>
      <c r="B2232" s="947">
        <v>612564</v>
      </c>
      <c r="C2232" s="947" t="s">
        <v>2189</v>
      </c>
      <c r="D2232" s="947" t="s">
        <v>1014</v>
      </c>
      <c r="E2232" s="951">
        <v>167</v>
      </c>
      <c r="F2232" s="951">
        <v>53</v>
      </c>
      <c r="G2232" s="947" t="s">
        <v>159</v>
      </c>
      <c r="H2232" s="951">
        <v>0</v>
      </c>
      <c r="I2232" s="951">
        <v>0</v>
      </c>
      <c r="J2232" s="947" t="s">
        <v>169</v>
      </c>
      <c r="K2232" s="957" t="s">
        <v>3360</v>
      </c>
      <c r="M2232" s="631"/>
      <c r="P2232" s="950" t="str">
        <f>VLOOKUP(J2232,'רשימת רשויות'!A:A,1,0)</f>
        <v>אילת</v>
      </c>
      <c r="Q2232" s="956">
        <f>IFERROR(VLOOKUP(B2232,[2]מעובד!$D:$K,8,0),0)</f>
        <v>203</v>
      </c>
      <c r="R2232" s="956">
        <f>IFERROR(VLOOKUP(B2232,[2]מעובד!$D:$L,9,0),0)</f>
        <v>40</v>
      </c>
    </row>
    <row r="2233" spans="1:18" x14ac:dyDescent="0.2">
      <c r="A2233" s="947" t="s">
        <v>324</v>
      </c>
      <c r="B2233" s="947">
        <v>612598</v>
      </c>
      <c r="C2233" s="947" t="s">
        <v>2189</v>
      </c>
      <c r="D2233" s="947" t="s">
        <v>1278</v>
      </c>
      <c r="E2233" s="951">
        <v>82</v>
      </c>
      <c r="F2233" s="951">
        <v>53</v>
      </c>
      <c r="G2233" s="947" t="s">
        <v>3252</v>
      </c>
      <c r="H2233" s="951">
        <v>32</v>
      </c>
      <c r="I2233" s="951">
        <v>6</v>
      </c>
      <c r="J2233" s="947" t="s">
        <v>324</v>
      </c>
      <c r="K2233" s="947">
        <v>612598</v>
      </c>
      <c r="M2233" s="631"/>
      <c r="P2233" s="950" t="str">
        <f>VLOOKUP(J2233,'רשימת רשויות'!A:A,1,0)</f>
        <v>מרחבים</v>
      </c>
      <c r="Q2233" s="956">
        <f>IFERROR(VLOOKUP(B2233,[2]מעובד!$D:$K,8,0),0)</f>
        <v>0</v>
      </c>
      <c r="R2233" s="956">
        <f>IFERROR(VLOOKUP(B2233,[2]מעובד!$D:$L,9,0),0)</f>
        <v>0</v>
      </c>
    </row>
    <row r="2234" spans="1:18" x14ac:dyDescent="0.2">
      <c r="A2234" s="947" t="s">
        <v>181</v>
      </c>
      <c r="B2234" s="947">
        <v>612648</v>
      </c>
      <c r="C2234" s="947" t="s">
        <v>2189</v>
      </c>
      <c r="D2234" s="947" t="s">
        <v>1281</v>
      </c>
      <c r="E2234" s="951">
        <v>265</v>
      </c>
      <c r="F2234" s="951">
        <v>265</v>
      </c>
      <c r="G2234" s="947" t="s">
        <v>3252</v>
      </c>
      <c r="H2234" s="951">
        <v>0</v>
      </c>
      <c r="I2234" s="951">
        <v>0</v>
      </c>
      <c r="J2234" s="947" t="s">
        <v>181</v>
      </c>
      <c r="K2234" s="947">
        <v>612648</v>
      </c>
      <c r="M2234" s="631"/>
      <c r="P2234" s="950" t="str">
        <f>VLOOKUP(J2234,'רשימת רשויות'!A:A,1,0)</f>
        <v>אשדוד</v>
      </c>
      <c r="Q2234" s="956">
        <f>IFERROR(VLOOKUP(B2234,[2]מעובד!$D:$K,8,0),0)</f>
        <v>0</v>
      </c>
      <c r="R2234" s="956">
        <f>IFERROR(VLOOKUP(B2234,[2]מעובד!$D:$L,9,0),0)</f>
        <v>0</v>
      </c>
    </row>
    <row r="2235" spans="1:18" x14ac:dyDescent="0.2">
      <c r="A2235" s="947" t="s">
        <v>324</v>
      </c>
      <c r="B2235" s="947">
        <v>612655</v>
      </c>
      <c r="C2235" s="947" t="s">
        <v>2189</v>
      </c>
      <c r="D2235" s="947" t="s">
        <v>1018</v>
      </c>
      <c r="E2235" s="951">
        <v>84</v>
      </c>
      <c r="F2235" s="951">
        <v>67</v>
      </c>
      <c r="G2235" s="947" t="s">
        <v>159</v>
      </c>
      <c r="H2235" s="951">
        <v>0</v>
      </c>
      <c r="I2235" s="951">
        <v>0</v>
      </c>
      <c r="J2235" s="947" t="s">
        <v>324</v>
      </c>
      <c r="K2235" s="947">
        <v>612655</v>
      </c>
      <c r="M2235" s="631"/>
      <c r="P2235" s="950" t="str">
        <f>VLOOKUP(J2235,'רשימת רשויות'!A:A,1,0)</f>
        <v>מרחבים</v>
      </c>
      <c r="Q2235" s="956">
        <f>IFERROR(VLOOKUP(B2235,[2]מעובד!$D:$K,8,0),0)</f>
        <v>135</v>
      </c>
      <c r="R2235" s="956">
        <f>IFERROR(VLOOKUP(B2235,[2]מעובד!$D:$L,9,0),0)</f>
        <v>84</v>
      </c>
    </row>
    <row r="2236" spans="1:18" x14ac:dyDescent="0.2">
      <c r="A2236" s="947" t="s">
        <v>185</v>
      </c>
      <c r="B2236" s="947">
        <v>612713</v>
      </c>
      <c r="C2236" s="947" t="s">
        <v>2189</v>
      </c>
      <c r="D2236" s="947" t="s">
        <v>879</v>
      </c>
      <c r="E2236" s="951">
        <v>150</v>
      </c>
      <c r="F2236" s="951">
        <v>74</v>
      </c>
      <c r="G2236" s="947" t="s">
        <v>159</v>
      </c>
      <c r="H2236" s="951">
        <v>0</v>
      </c>
      <c r="I2236" s="951">
        <v>0</v>
      </c>
      <c r="J2236" s="947" t="s">
        <v>185</v>
      </c>
      <c r="K2236" s="947">
        <v>612713</v>
      </c>
      <c r="M2236" s="631"/>
      <c r="P2236" s="950" t="str">
        <f>VLOOKUP(J2236,'רשימת רשויות'!A:A,1,0)</f>
        <v>באר טוביה</v>
      </c>
      <c r="Q2236" s="956">
        <f>IFERROR(VLOOKUP(B2236,[2]מעובד!$D:$K,8,0),0)</f>
        <v>152</v>
      </c>
      <c r="R2236" s="956">
        <f>IFERROR(VLOOKUP(B2236,[2]מעובד!$D:$L,9,0),0)</f>
        <v>56</v>
      </c>
    </row>
    <row r="2237" spans="1:18" x14ac:dyDescent="0.2">
      <c r="A2237" s="947" t="s">
        <v>181</v>
      </c>
      <c r="B2237" s="947">
        <v>612747</v>
      </c>
      <c r="C2237" s="947" t="s">
        <v>2189</v>
      </c>
      <c r="D2237" s="947" t="s">
        <v>895</v>
      </c>
      <c r="E2237" s="951">
        <v>265</v>
      </c>
      <c r="F2237" s="951">
        <v>139</v>
      </c>
      <c r="G2237" s="947" t="s">
        <v>159</v>
      </c>
      <c r="H2237" s="951">
        <v>0</v>
      </c>
      <c r="I2237" s="951">
        <v>0</v>
      </c>
      <c r="J2237" s="947" t="s">
        <v>181</v>
      </c>
      <c r="K2237" s="947">
        <v>612747</v>
      </c>
      <c r="M2237" s="631"/>
      <c r="P2237" s="950" t="str">
        <f>VLOOKUP(J2237,'רשימת רשויות'!A:A,1,0)</f>
        <v>אשדוד</v>
      </c>
      <c r="Q2237" s="956">
        <f>IFERROR(VLOOKUP(B2237,[2]מעובד!$D:$K,8,0),0)</f>
        <v>262</v>
      </c>
      <c r="R2237" s="956">
        <f>IFERROR(VLOOKUP(B2237,[2]מעובד!$D:$L,9,0),0)</f>
        <v>65</v>
      </c>
    </row>
    <row r="2238" spans="1:18" x14ac:dyDescent="0.2">
      <c r="A2238" s="947" t="s">
        <v>225</v>
      </c>
      <c r="B2238" s="947">
        <v>612770</v>
      </c>
      <c r="C2238" s="947" t="s">
        <v>2189</v>
      </c>
      <c r="D2238" s="947" t="s">
        <v>896</v>
      </c>
      <c r="E2238" s="951">
        <v>116</v>
      </c>
      <c r="F2238" s="951">
        <v>68</v>
      </c>
      <c r="G2238" s="947" t="s">
        <v>159</v>
      </c>
      <c r="H2238" s="951">
        <v>0</v>
      </c>
      <c r="I2238" s="951">
        <v>0</v>
      </c>
      <c r="J2238" s="947" t="s">
        <v>225</v>
      </c>
      <c r="K2238" s="947">
        <v>612770</v>
      </c>
      <c r="M2238" s="631"/>
      <c r="P2238" s="950" t="str">
        <f>VLOOKUP(J2238,'רשימת רשויות'!A:A,1,0)</f>
        <v>דימונה</v>
      </c>
      <c r="Q2238" s="956">
        <f>IFERROR(VLOOKUP(B2238,[2]מעובד!$D:$K,8,0),0)</f>
        <v>207</v>
      </c>
      <c r="R2238" s="956">
        <f>IFERROR(VLOOKUP(B2238,[2]מעובד!$D:$L,9,0),0)</f>
        <v>87</v>
      </c>
    </row>
    <row r="2239" spans="1:18" x14ac:dyDescent="0.2">
      <c r="A2239" s="947" t="s">
        <v>187</v>
      </c>
      <c r="B2239" s="947">
        <v>612788</v>
      </c>
      <c r="C2239" s="947" t="s">
        <v>2189</v>
      </c>
      <c r="D2239" s="947" t="s">
        <v>897</v>
      </c>
      <c r="E2239" s="951">
        <v>162</v>
      </c>
      <c r="F2239" s="951">
        <v>92</v>
      </c>
      <c r="G2239" s="947" t="s">
        <v>159</v>
      </c>
      <c r="H2239" s="951">
        <v>112</v>
      </c>
      <c r="I2239" s="951">
        <v>15</v>
      </c>
      <c r="J2239" s="947" t="s">
        <v>187</v>
      </c>
      <c r="K2239" s="947">
        <v>612788</v>
      </c>
      <c r="M2239" s="631"/>
      <c r="P2239" s="950" t="str">
        <f>VLOOKUP(J2239,'רשימת רשויות'!A:A,1,0)</f>
        <v>באר שבע</v>
      </c>
      <c r="Q2239" s="956">
        <f>IFERROR(VLOOKUP(B2239,[2]מעובד!$D:$K,8,0),0)</f>
        <v>114</v>
      </c>
      <c r="R2239" s="956">
        <f>IFERROR(VLOOKUP(B2239,[2]מעובד!$D:$L,9,0),0)</f>
        <v>60</v>
      </c>
    </row>
    <row r="2240" spans="1:18" x14ac:dyDescent="0.2">
      <c r="A2240" s="947" t="s">
        <v>313</v>
      </c>
      <c r="B2240" s="947">
        <v>612812</v>
      </c>
      <c r="C2240" s="947" t="s">
        <v>2189</v>
      </c>
      <c r="D2240" s="947" t="s">
        <v>898</v>
      </c>
      <c r="E2240" s="951">
        <v>155</v>
      </c>
      <c r="F2240" s="951">
        <v>76</v>
      </c>
      <c r="G2240" s="947" t="s">
        <v>159</v>
      </c>
      <c r="H2240" s="951">
        <v>0</v>
      </c>
      <c r="I2240" s="951">
        <v>0</v>
      </c>
      <c r="J2240" s="947" t="s">
        <v>313</v>
      </c>
      <c r="K2240" s="947">
        <v>612812</v>
      </c>
      <c r="M2240" s="631"/>
      <c r="P2240" s="950" t="str">
        <f>VLOOKUP(J2240,'רשימת רשויות'!A:A,1,0)</f>
        <v>מיתר</v>
      </c>
      <c r="Q2240" s="956">
        <f>IFERROR(VLOOKUP(B2240,[2]מעובד!$D:$K,8,0),0)</f>
        <v>161</v>
      </c>
      <c r="R2240" s="956">
        <f>IFERROR(VLOOKUP(B2240,[2]מעובד!$D:$L,9,0),0)</f>
        <v>93</v>
      </c>
    </row>
    <row r="2241" spans="1:18" x14ac:dyDescent="0.2">
      <c r="A2241" s="947" t="s">
        <v>181</v>
      </c>
      <c r="B2241" s="947">
        <v>612838</v>
      </c>
      <c r="C2241" s="947" t="s">
        <v>2189</v>
      </c>
      <c r="D2241" s="947" t="s">
        <v>1231</v>
      </c>
      <c r="E2241" s="951">
        <v>57</v>
      </c>
      <c r="F2241" s="951">
        <v>57</v>
      </c>
      <c r="G2241" s="947" t="s">
        <v>3252</v>
      </c>
      <c r="H2241" s="951">
        <v>0</v>
      </c>
      <c r="I2241" s="951">
        <v>0</v>
      </c>
      <c r="J2241" s="947" t="s">
        <v>181</v>
      </c>
      <c r="K2241" s="947">
        <v>612838</v>
      </c>
      <c r="M2241" s="631"/>
      <c r="P2241" s="950" t="str">
        <f>VLOOKUP(J2241,'רשימת רשויות'!A:A,1,0)</f>
        <v>אשדוד</v>
      </c>
      <c r="Q2241" s="956">
        <f>IFERROR(VLOOKUP(B2241,[2]מעובד!$D:$K,8,0),0)</f>
        <v>57</v>
      </c>
      <c r="R2241" s="956">
        <f>IFERROR(VLOOKUP(B2241,[2]מעובד!$D:$L,9,0),0)</f>
        <v>57</v>
      </c>
    </row>
    <row r="2242" spans="1:18" x14ac:dyDescent="0.2">
      <c r="A2242" s="947" t="s">
        <v>400</v>
      </c>
      <c r="B2242" s="947">
        <v>612846</v>
      </c>
      <c r="C2242" s="947" t="s">
        <v>2189</v>
      </c>
      <c r="D2242" s="947" t="s">
        <v>908</v>
      </c>
      <c r="E2242" s="951">
        <v>244</v>
      </c>
      <c r="F2242" s="951">
        <v>231</v>
      </c>
      <c r="G2242" s="947" t="s">
        <v>159</v>
      </c>
      <c r="H2242" s="951">
        <v>89</v>
      </c>
      <c r="I2242" s="951">
        <v>13</v>
      </c>
      <c r="J2242" s="947" t="s">
        <v>400</v>
      </c>
      <c r="K2242" s="947">
        <v>612846</v>
      </c>
      <c r="M2242" s="631"/>
      <c r="P2242" s="950" t="str">
        <f>VLOOKUP(J2242,'רשימת רשויות'!A:A,1,0)</f>
        <v>שדרות</v>
      </c>
      <c r="Q2242" s="956">
        <f>IFERROR(VLOOKUP(B2242,[2]מעובד!$D:$K,8,0),0)</f>
        <v>266</v>
      </c>
      <c r="R2242" s="956">
        <f>IFERROR(VLOOKUP(B2242,[2]מעובד!$D:$L,9,0),0)</f>
        <v>150</v>
      </c>
    </row>
    <row r="2243" spans="1:18" x14ac:dyDescent="0.2">
      <c r="A2243" s="947" t="s">
        <v>169</v>
      </c>
      <c r="B2243" s="947">
        <v>612853</v>
      </c>
      <c r="C2243" s="947" t="s">
        <v>2189</v>
      </c>
      <c r="D2243" s="947" t="s">
        <v>1249</v>
      </c>
      <c r="E2243" s="951">
        <v>72</v>
      </c>
      <c r="F2243" s="951">
        <v>55</v>
      </c>
      <c r="G2243" s="947" t="s">
        <v>3252</v>
      </c>
      <c r="H2243" s="951">
        <v>0</v>
      </c>
      <c r="I2243" s="951">
        <v>0</v>
      </c>
      <c r="J2243" s="947" t="s">
        <v>169</v>
      </c>
      <c r="K2243" s="947">
        <v>612853</v>
      </c>
      <c r="M2243" s="631"/>
      <c r="P2243" s="950" t="str">
        <f>VLOOKUP(J2243,'רשימת רשויות'!A:A,1,0)</f>
        <v>אילת</v>
      </c>
      <c r="Q2243" s="956">
        <f>IFERROR(VLOOKUP(B2243,[2]מעובד!$D:$K,8,0),0)</f>
        <v>0</v>
      </c>
      <c r="R2243" s="956">
        <f>IFERROR(VLOOKUP(B2243,[2]מעובד!$D:$L,9,0),0)</f>
        <v>0</v>
      </c>
    </row>
    <row r="2244" spans="1:18" x14ac:dyDescent="0.2">
      <c r="A2244" s="948" t="s">
        <v>335</v>
      </c>
      <c r="B2244" s="948">
        <v>612879</v>
      </c>
      <c r="C2244" s="948" t="s">
        <v>2189</v>
      </c>
      <c r="D2244" s="948" t="s">
        <v>1250</v>
      </c>
      <c r="E2244" s="951">
        <v>64</v>
      </c>
      <c r="F2244" s="951">
        <v>64</v>
      </c>
      <c r="G2244" s="948" t="s">
        <v>3252</v>
      </c>
      <c r="H2244" s="951">
        <v>0</v>
      </c>
      <c r="I2244" s="951">
        <v>0</v>
      </c>
      <c r="J2244" s="948" t="s">
        <v>335</v>
      </c>
      <c r="K2244" s="948">
        <v>612879</v>
      </c>
      <c r="M2244" s="633"/>
      <c r="P2244" s="950" t="str">
        <f>VLOOKUP(J2244,'רשימת רשויות'!A:A,1,0)</f>
        <v>נתיבות</v>
      </c>
      <c r="Q2244" s="956">
        <f>IFERROR(VLOOKUP(B2244,[2]מעובד!$D:$K,8,0),0)</f>
        <v>0</v>
      </c>
      <c r="R2244" s="956">
        <f>IFERROR(VLOOKUP(B2244,[2]מעובד!$D:$L,9,0),0)</f>
        <v>0</v>
      </c>
    </row>
    <row r="2245" spans="1:18" x14ac:dyDescent="0.2">
      <c r="A2245" s="947" t="s">
        <v>183</v>
      </c>
      <c r="B2245" s="947">
        <v>612895</v>
      </c>
      <c r="C2245" s="947" t="s">
        <v>2189</v>
      </c>
      <c r="D2245" s="947" t="s">
        <v>1255</v>
      </c>
      <c r="E2245" s="951">
        <v>103</v>
      </c>
      <c r="F2245" s="951">
        <v>103</v>
      </c>
      <c r="G2245" s="947" t="s">
        <v>3252</v>
      </c>
      <c r="H2245" s="951">
        <v>0</v>
      </c>
      <c r="I2245" s="951">
        <v>0</v>
      </c>
      <c r="J2245" s="947" t="s">
        <v>183</v>
      </c>
      <c r="K2245" s="947">
        <v>612895</v>
      </c>
      <c r="M2245" s="631"/>
      <c r="P2245" s="950" t="str">
        <f>VLOOKUP(J2245,'רשימת רשויות'!A:A,1,0)</f>
        <v>אשקלון</v>
      </c>
      <c r="Q2245" s="956">
        <f>IFERROR(VLOOKUP(B2245,[2]מעובד!$D:$K,8,0),0)</f>
        <v>0</v>
      </c>
      <c r="R2245" s="956">
        <f>IFERROR(VLOOKUP(B2245,[2]מעובד!$D:$L,9,0),0)</f>
        <v>65</v>
      </c>
    </row>
    <row r="2246" spans="1:18" x14ac:dyDescent="0.2">
      <c r="A2246" s="947" t="s">
        <v>183</v>
      </c>
      <c r="B2246" s="947">
        <v>612903</v>
      </c>
      <c r="C2246" s="947" t="s">
        <v>2189</v>
      </c>
      <c r="D2246" s="947" t="s">
        <v>941</v>
      </c>
      <c r="E2246" s="951">
        <v>164</v>
      </c>
      <c r="F2246" s="951">
        <v>151</v>
      </c>
      <c r="G2246" s="947" t="s">
        <v>159</v>
      </c>
      <c r="H2246" s="951">
        <v>61</v>
      </c>
      <c r="I2246" s="951">
        <v>13</v>
      </c>
      <c r="J2246" s="947" t="s">
        <v>183</v>
      </c>
      <c r="K2246" s="947">
        <v>612903</v>
      </c>
      <c r="M2246" s="631"/>
      <c r="P2246" s="950" t="str">
        <f>VLOOKUP(J2246,'רשימת רשויות'!A:A,1,0)</f>
        <v>אשקלון</v>
      </c>
      <c r="Q2246" s="956">
        <f>IFERROR(VLOOKUP(B2246,[2]מעובד!$D:$K,8,0),0)</f>
        <v>160</v>
      </c>
      <c r="R2246" s="956">
        <f>IFERROR(VLOOKUP(B2246,[2]מעובד!$D:$L,9,0),0)</f>
        <v>64</v>
      </c>
    </row>
    <row r="2247" spans="1:18" x14ac:dyDescent="0.2">
      <c r="A2247" s="947" t="s">
        <v>181</v>
      </c>
      <c r="B2247" s="947">
        <v>612911</v>
      </c>
      <c r="C2247" s="947" t="s">
        <v>2189</v>
      </c>
      <c r="D2247" s="947" t="s">
        <v>605</v>
      </c>
      <c r="E2247" s="951">
        <v>138</v>
      </c>
      <c r="F2247" s="951">
        <v>72</v>
      </c>
      <c r="G2247" s="947" t="s">
        <v>159</v>
      </c>
      <c r="H2247" s="951">
        <v>46</v>
      </c>
      <c r="I2247" s="951">
        <v>4</v>
      </c>
      <c r="J2247" s="947" t="s">
        <v>181</v>
      </c>
      <c r="K2247" s="957" t="s">
        <v>3361</v>
      </c>
      <c r="M2247" s="631"/>
      <c r="P2247" s="950" t="str">
        <f>VLOOKUP(J2247,'רשימת רשויות'!A:A,1,0)</f>
        <v>אשדוד</v>
      </c>
      <c r="Q2247" s="956">
        <f>IFERROR(VLOOKUP(B2247,[2]מעובד!$D:$K,8,0),0)</f>
        <v>164</v>
      </c>
      <c r="R2247" s="956">
        <f>IFERROR(VLOOKUP(B2247,[2]מעובד!$D:$L,9,0),0)</f>
        <v>49</v>
      </c>
    </row>
    <row r="2248" spans="1:18" x14ac:dyDescent="0.2">
      <c r="A2248" s="947" t="s">
        <v>181</v>
      </c>
      <c r="B2248" s="947">
        <v>612929</v>
      </c>
      <c r="C2248" s="947" t="s">
        <v>2189</v>
      </c>
      <c r="D2248" s="947" t="s">
        <v>942</v>
      </c>
      <c r="E2248" s="951">
        <v>124</v>
      </c>
      <c r="F2248" s="951">
        <v>62</v>
      </c>
      <c r="G2248" s="947" t="s">
        <v>159</v>
      </c>
      <c r="H2248" s="951">
        <v>0</v>
      </c>
      <c r="I2248" s="951">
        <v>0</v>
      </c>
      <c r="J2248" s="947" t="s">
        <v>181</v>
      </c>
      <c r="K2248" s="957" t="s">
        <v>3362</v>
      </c>
      <c r="M2248" s="631"/>
      <c r="P2248" s="950" t="str">
        <f>VLOOKUP(J2248,'רשימת רשויות'!A:A,1,0)</f>
        <v>אשדוד</v>
      </c>
      <c r="Q2248" s="956">
        <f>IFERROR(VLOOKUP(B2248,[2]מעובד!$D:$K,8,0),0)</f>
        <v>106</v>
      </c>
      <c r="R2248" s="956">
        <f>IFERROR(VLOOKUP(B2248,[2]מעובד!$D:$L,9,0),0)</f>
        <v>53</v>
      </c>
    </row>
    <row r="2249" spans="1:18" x14ac:dyDescent="0.2">
      <c r="A2249" s="947" t="s">
        <v>164</v>
      </c>
      <c r="B2249" s="947">
        <v>612945</v>
      </c>
      <c r="C2249" s="947" t="s">
        <v>2189</v>
      </c>
      <c r="D2249" s="947" t="s">
        <v>943</v>
      </c>
      <c r="E2249" s="951">
        <v>115</v>
      </c>
      <c r="F2249" s="951">
        <v>109</v>
      </c>
      <c r="G2249" s="947" t="s">
        <v>159</v>
      </c>
      <c r="H2249" s="951">
        <v>36</v>
      </c>
      <c r="I2249" s="951">
        <v>5</v>
      </c>
      <c r="J2249" s="947" t="s">
        <v>164</v>
      </c>
      <c r="K2249" s="947">
        <v>612945</v>
      </c>
      <c r="M2249" s="631"/>
      <c r="P2249" s="950" t="str">
        <f>VLOOKUP(J2249,'רשימת רשויות'!A:A,1,0)</f>
        <v>אופקים</v>
      </c>
      <c r="Q2249" s="956">
        <f>IFERROR(VLOOKUP(B2249,[2]מעובד!$D:$K,8,0),0)</f>
        <v>128</v>
      </c>
      <c r="R2249" s="956">
        <f>IFERROR(VLOOKUP(B2249,[2]מעובד!$D:$L,9,0),0)</f>
        <v>73</v>
      </c>
    </row>
    <row r="2250" spans="1:18" x14ac:dyDescent="0.2">
      <c r="A2250" s="947" t="s">
        <v>181</v>
      </c>
      <c r="B2250" s="947">
        <v>612960</v>
      </c>
      <c r="C2250" s="947" t="s">
        <v>2189</v>
      </c>
      <c r="D2250" s="947" t="s">
        <v>956</v>
      </c>
      <c r="E2250" s="951">
        <v>271</v>
      </c>
      <c r="F2250" s="951">
        <v>163</v>
      </c>
      <c r="G2250" s="947" t="s">
        <v>159</v>
      </c>
      <c r="H2250" s="951">
        <v>108</v>
      </c>
      <c r="I2250" s="951">
        <v>8</v>
      </c>
      <c r="J2250" s="947" t="s">
        <v>181</v>
      </c>
      <c r="K2250" s="947">
        <v>612960</v>
      </c>
      <c r="M2250" s="631"/>
      <c r="P2250" s="950" t="str">
        <f>VLOOKUP(J2250,'רשימת רשויות'!A:A,1,0)</f>
        <v>אשדוד</v>
      </c>
      <c r="Q2250" s="956">
        <f>IFERROR(VLOOKUP(B2250,[2]מעובד!$D:$K,8,0),0)</f>
        <v>302</v>
      </c>
      <c r="R2250" s="956">
        <f>IFERROR(VLOOKUP(B2250,[2]מעובד!$D:$L,9,0),0)</f>
        <v>144</v>
      </c>
    </row>
    <row r="2251" spans="1:18" x14ac:dyDescent="0.2">
      <c r="A2251" s="947" t="s">
        <v>187</v>
      </c>
      <c r="B2251" s="947">
        <v>612978</v>
      </c>
      <c r="C2251" s="947" t="s">
        <v>2189</v>
      </c>
      <c r="D2251" s="947" t="s">
        <v>3117</v>
      </c>
      <c r="E2251" s="951">
        <v>97</v>
      </c>
      <c r="F2251" s="951">
        <v>0</v>
      </c>
      <c r="G2251" s="947" t="s">
        <v>159</v>
      </c>
      <c r="H2251" s="951">
        <v>0</v>
      </c>
      <c r="I2251" s="951">
        <v>0</v>
      </c>
      <c r="J2251" s="947" t="s">
        <v>187</v>
      </c>
      <c r="K2251" s="947">
        <v>612978</v>
      </c>
      <c r="M2251" s="631"/>
      <c r="P2251" s="950" t="str">
        <f>VLOOKUP(J2251,'רשימת רשויות'!A:A,1,0)</f>
        <v>באר שבע</v>
      </c>
      <c r="Q2251" s="956">
        <f>IFERROR(VLOOKUP(B2251,[2]מעובד!$D:$K,8,0),0)</f>
        <v>0</v>
      </c>
      <c r="R2251" s="956">
        <f>IFERROR(VLOOKUP(B2251,[2]מעובד!$D:$L,9,0),0)</f>
        <v>0</v>
      </c>
    </row>
    <row r="2252" spans="1:18" x14ac:dyDescent="0.2">
      <c r="A2252" s="947" t="s">
        <v>378</v>
      </c>
      <c r="B2252" s="947">
        <v>612994</v>
      </c>
      <c r="C2252" s="947" t="s">
        <v>2189</v>
      </c>
      <c r="D2252" s="947" t="s">
        <v>625</v>
      </c>
      <c r="E2252" s="951">
        <v>165</v>
      </c>
      <c r="F2252" s="951">
        <v>141</v>
      </c>
      <c r="G2252" s="947" t="s">
        <v>159</v>
      </c>
      <c r="H2252" s="951">
        <v>121</v>
      </c>
      <c r="I2252" s="951">
        <v>20</v>
      </c>
      <c r="J2252" s="947" t="s">
        <v>378</v>
      </c>
      <c r="K2252" s="947">
        <v>612994</v>
      </c>
      <c r="M2252" s="631"/>
      <c r="P2252" s="950" t="str">
        <f>VLOOKUP(J2252,'רשימת רשויות'!A:A,1,0)</f>
        <v>קרית מלאכי</v>
      </c>
      <c r="Q2252" s="956">
        <f>IFERROR(VLOOKUP(B2252,[2]מעובד!$D:$K,8,0),0)</f>
        <v>266</v>
      </c>
      <c r="R2252" s="956">
        <f>IFERROR(VLOOKUP(B2252,[2]מעובד!$D:$L,9,0),0)</f>
        <v>266</v>
      </c>
    </row>
    <row r="2253" spans="1:18" x14ac:dyDescent="0.2">
      <c r="A2253" s="947" t="s">
        <v>181</v>
      </c>
      <c r="B2253" s="947">
        <v>613000</v>
      </c>
      <c r="C2253" s="947" t="s">
        <v>2189</v>
      </c>
      <c r="D2253" s="947" t="s">
        <v>957</v>
      </c>
      <c r="E2253" s="951">
        <v>179</v>
      </c>
      <c r="F2253" s="951">
        <v>110</v>
      </c>
      <c r="G2253" s="947" t="s">
        <v>159</v>
      </c>
      <c r="H2253" s="951">
        <v>0</v>
      </c>
      <c r="I2253" s="951">
        <v>0</v>
      </c>
      <c r="J2253" s="947" t="s">
        <v>181</v>
      </c>
      <c r="K2253" s="947">
        <v>613000</v>
      </c>
      <c r="M2253" s="631"/>
      <c r="P2253" s="950" t="str">
        <f>VLOOKUP(J2253,'רשימת רשויות'!A:A,1,0)</f>
        <v>אשדוד</v>
      </c>
      <c r="Q2253" s="956">
        <f>IFERROR(VLOOKUP(B2253,[2]מעובד!$D:$K,8,0),0)</f>
        <v>186</v>
      </c>
      <c r="R2253" s="956">
        <f>IFERROR(VLOOKUP(B2253,[2]מעובד!$D:$L,9,0),0)</f>
        <v>73</v>
      </c>
    </row>
    <row r="2254" spans="1:18" x14ac:dyDescent="0.2">
      <c r="A2254" s="947" t="s">
        <v>183</v>
      </c>
      <c r="B2254" s="947">
        <v>613026</v>
      </c>
      <c r="C2254" s="947" t="s">
        <v>2189</v>
      </c>
      <c r="D2254" s="947" t="s">
        <v>2767</v>
      </c>
      <c r="E2254" s="951">
        <v>67</v>
      </c>
      <c r="F2254" s="951">
        <v>67</v>
      </c>
      <c r="G2254" s="947" t="s">
        <v>3252</v>
      </c>
      <c r="H2254" s="951">
        <v>0</v>
      </c>
      <c r="I2254" s="951">
        <v>0</v>
      </c>
      <c r="J2254" s="947" t="s">
        <v>183</v>
      </c>
      <c r="K2254" s="947">
        <v>613026</v>
      </c>
      <c r="M2254" s="631"/>
      <c r="P2254" s="950" t="str">
        <f>VLOOKUP(J2254,'רשימת רשויות'!A:A,1,0)</f>
        <v>אשקלון</v>
      </c>
      <c r="Q2254" s="956">
        <f>IFERROR(VLOOKUP(B2254,[2]מעובד!$D:$K,8,0),0)</f>
        <v>0</v>
      </c>
      <c r="R2254" s="956">
        <f>IFERROR(VLOOKUP(B2254,[2]מעובד!$D:$L,9,0),0)</f>
        <v>0</v>
      </c>
    </row>
    <row r="2255" spans="1:18" x14ac:dyDescent="0.2">
      <c r="A2255" s="947" t="s">
        <v>187</v>
      </c>
      <c r="B2255" s="947">
        <v>613034</v>
      </c>
      <c r="C2255" s="947" t="s">
        <v>2189</v>
      </c>
      <c r="D2255" s="947" t="s">
        <v>2471</v>
      </c>
      <c r="E2255" s="951">
        <v>149</v>
      </c>
      <c r="F2255" s="951">
        <v>68</v>
      </c>
      <c r="G2255" s="947" t="s">
        <v>3252</v>
      </c>
      <c r="H2255" s="951">
        <v>0</v>
      </c>
      <c r="I2255" s="951">
        <v>0</v>
      </c>
      <c r="J2255" s="947" t="s">
        <v>187</v>
      </c>
      <c r="K2255" s="947">
        <v>613034</v>
      </c>
      <c r="M2255" s="631"/>
      <c r="P2255" s="950" t="str">
        <f>VLOOKUP(J2255,'רשימת רשויות'!A:A,1,0)</f>
        <v>באר שבע</v>
      </c>
      <c r="Q2255" s="956">
        <f>IFERROR(VLOOKUP(B2255,[2]מעובד!$D:$K,8,0),0)</f>
        <v>133</v>
      </c>
      <c r="R2255" s="956">
        <f>IFERROR(VLOOKUP(B2255,[2]מעובד!$D:$L,9,0),0)</f>
        <v>74</v>
      </c>
    </row>
    <row r="2256" spans="1:18" x14ac:dyDescent="0.2">
      <c r="A2256" s="947" t="s">
        <v>225</v>
      </c>
      <c r="B2256" s="947">
        <v>613083</v>
      </c>
      <c r="C2256" s="947" t="s">
        <v>2189</v>
      </c>
      <c r="D2256" s="947" t="s">
        <v>1015</v>
      </c>
      <c r="E2256" s="951">
        <v>193</v>
      </c>
      <c r="F2256" s="951">
        <v>166</v>
      </c>
      <c r="G2256" s="947" t="s">
        <v>159</v>
      </c>
      <c r="H2256" s="951">
        <v>0</v>
      </c>
      <c r="I2256" s="951">
        <v>0</v>
      </c>
      <c r="J2256" s="947" t="s">
        <v>225</v>
      </c>
      <c r="K2256" s="947">
        <v>613083</v>
      </c>
      <c r="M2256" s="631"/>
      <c r="P2256" s="950" t="str">
        <f>VLOOKUP(J2256,'רשימת רשויות'!A:A,1,0)</f>
        <v>דימונה</v>
      </c>
      <c r="Q2256" s="956">
        <f>IFERROR(VLOOKUP(B2256,[2]מעובד!$D:$K,8,0),0)</f>
        <v>221</v>
      </c>
      <c r="R2256" s="956">
        <f>IFERROR(VLOOKUP(B2256,[2]מעובד!$D:$L,9,0),0)</f>
        <v>144</v>
      </c>
    </row>
    <row r="2257" spans="1:18" x14ac:dyDescent="0.2">
      <c r="A2257" s="947" t="s">
        <v>181</v>
      </c>
      <c r="B2257" s="947">
        <v>613125</v>
      </c>
      <c r="C2257" s="947" t="s">
        <v>2189</v>
      </c>
      <c r="D2257" s="947" t="s">
        <v>482</v>
      </c>
      <c r="E2257" s="951">
        <v>197</v>
      </c>
      <c r="F2257" s="951">
        <v>118</v>
      </c>
      <c r="G2257" s="947" t="s">
        <v>159</v>
      </c>
      <c r="H2257" s="951">
        <v>0</v>
      </c>
      <c r="I2257" s="951">
        <v>0</v>
      </c>
      <c r="J2257" s="947" t="s">
        <v>181</v>
      </c>
      <c r="K2257" s="947">
        <v>613125</v>
      </c>
      <c r="M2257" s="631"/>
      <c r="P2257" s="950" t="str">
        <f>VLOOKUP(J2257,'רשימת רשויות'!A:A,1,0)</f>
        <v>אשדוד</v>
      </c>
      <c r="Q2257" s="956">
        <f>IFERROR(VLOOKUP(B2257,[2]מעובד!$D:$K,8,0),0)</f>
        <v>162</v>
      </c>
      <c r="R2257" s="956">
        <f>IFERROR(VLOOKUP(B2257,[2]מעובד!$D:$L,9,0),0)</f>
        <v>97</v>
      </c>
    </row>
    <row r="2258" spans="1:18" x14ac:dyDescent="0.2">
      <c r="A2258" s="947" t="s">
        <v>185</v>
      </c>
      <c r="B2258" s="947">
        <v>613133</v>
      </c>
      <c r="C2258" s="947" t="s">
        <v>2189</v>
      </c>
      <c r="D2258" s="947" t="s">
        <v>644</v>
      </c>
      <c r="E2258" s="951">
        <v>162</v>
      </c>
      <c r="F2258" s="951">
        <v>138</v>
      </c>
      <c r="G2258" s="947" t="s">
        <v>159</v>
      </c>
      <c r="H2258" s="951">
        <v>0</v>
      </c>
      <c r="I2258" s="951">
        <v>0</v>
      </c>
      <c r="J2258" s="947" t="s">
        <v>185</v>
      </c>
      <c r="K2258" s="947">
        <v>613133</v>
      </c>
      <c r="M2258" s="631"/>
      <c r="P2258" s="950" t="str">
        <f>VLOOKUP(J2258,'רשימת רשויות'!A:A,1,0)</f>
        <v>באר טוביה</v>
      </c>
      <c r="Q2258" s="956">
        <f>IFERROR(VLOOKUP(B2258,[2]מעובד!$D:$K,8,0),0)</f>
        <v>143</v>
      </c>
      <c r="R2258" s="956">
        <f>IFERROR(VLOOKUP(B2258,[2]מעובד!$D:$L,9,0),0)</f>
        <v>34</v>
      </c>
    </row>
    <row r="2259" spans="1:18" x14ac:dyDescent="0.2">
      <c r="A2259" s="947" t="s">
        <v>187</v>
      </c>
      <c r="B2259" s="947">
        <v>613141</v>
      </c>
      <c r="C2259" s="947" t="s">
        <v>2189</v>
      </c>
      <c r="D2259" s="947" t="s">
        <v>914</v>
      </c>
      <c r="E2259" s="951">
        <v>141</v>
      </c>
      <c r="F2259" s="951">
        <v>102</v>
      </c>
      <c r="G2259" s="947" t="s">
        <v>159</v>
      </c>
      <c r="H2259" s="951">
        <v>0</v>
      </c>
      <c r="I2259" s="951">
        <v>0</v>
      </c>
      <c r="J2259" s="947" t="s">
        <v>187</v>
      </c>
      <c r="K2259" s="947">
        <v>613141</v>
      </c>
      <c r="M2259" s="631"/>
      <c r="P2259" s="950" t="str">
        <f>VLOOKUP(J2259,'רשימת רשויות'!A:A,1,0)</f>
        <v>באר שבע</v>
      </c>
      <c r="Q2259" s="956">
        <f>IFERROR(VLOOKUP(B2259,[2]מעובד!$D:$K,8,0),0)</f>
        <v>116</v>
      </c>
      <c r="R2259" s="956">
        <f>IFERROR(VLOOKUP(B2259,[2]מעובד!$D:$L,9,0),0)</f>
        <v>50</v>
      </c>
    </row>
    <row r="2260" spans="1:18" x14ac:dyDescent="0.2">
      <c r="A2260" s="947" t="s">
        <v>187</v>
      </c>
      <c r="B2260" s="947">
        <v>613166</v>
      </c>
      <c r="C2260" s="947" t="s">
        <v>2189</v>
      </c>
      <c r="D2260" s="947" t="s">
        <v>1019</v>
      </c>
      <c r="E2260" s="951">
        <v>150</v>
      </c>
      <c r="F2260" s="951">
        <v>75</v>
      </c>
      <c r="G2260" s="947" t="s">
        <v>159</v>
      </c>
      <c r="H2260" s="951">
        <v>0</v>
      </c>
      <c r="I2260" s="951">
        <v>0</v>
      </c>
      <c r="J2260" s="947" t="s">
        <v>187</v>
      </c>
      <c r="K2260" s="957" t="s">
        <v>3363</v>
      </c>
      <c r="M2260" s="631"/>
      <c r="P2260" s="950" t="str">
        <f>VLOOKUP(J2260,'רשימת רשויות'!A:A,1,0)</f>
        <v>באר שבע</v>
      </c>
      <c r="Q2260" s="956">
        <f>IFERROR(VLOOKUP(B2260,[2]מעובד!$D:$K,8,0),0)</f>
        <v>172</v>
      </c>
      <c r="R2260" s="956">
        <f>IFERROR(VLOOKUP(B2260,[2]מעובד!$D:$L,9,0),0)</f>
        <v>43</v>
      </c>
    </row>
    <row r="2261" spans="1:18" x14ac:dyDescent="0.2">
      <c r="A2261" s="947" t="s">
        <v>355</v>
      </c>
      <c r="B2261" s="947">
        <v>613174</v>
      </c>
      <c r="C2261" s="947" t="s">
        <v>2189</v>
      </c>
      <c r="D2261" s="947" t="s">
        <v>1020</v>
      </c>
      <c r="E2261" s="951">
        <v>83</v>
      </c>
      <c r="F2261" s="951">
        <v>23</v>
      </c>
      <c r="G2261" s="947" t="s">
        <v>159</v>
      </c>
      <c r="H2261" s="951">
        <v>0</v>
      </c>
      <c r="I2261" s="951">
        <v>0</v>
      </c>
      <c r="J2261" s="947" t="s">
        <v>355</v>
      </c>
      <c r="K2261" s="957" t="s">
        <v>3364</v>
      </c>
      <c r="M2261" s="631"/>
      <c r="P2261" s="950" t="str">
        <f>VLOOKUP(J2261,'רשימת רשויות'!A:A,1,0)</f>
        <v>ערד</v>
      </c>
      <c r="Q2261" s="956">
        <f>IFERROR(VLOOKUP(B2261,[2]מעובד!$D:$K,8,0),0)</f>
        <v>0</v>
      </c>
      <c r="R2261" s="956">
        <f>IFERROR(VLOOKUP(B2261,[2]מעובד!$D:$L,9,0),0)</f>
        <v>0</v>
      </c>
    </row>
    <row r="2262" spans="1:18" x14ac:dyDescent="0.2">
      <c r="A2262" s="947" t="s">
        <v>373</v>
      </c>
      <c r="B2262" s="947">
        <v>613182</v>
      </c>
      <c r="C2262" s="947" t="s">
        <v>2189</v>
      </c>
      <c r="D2262" s="947" t="s">
        <v>882</v>
      </c>
      <c r="E2262" s="951">
        <v>106</v>
      </c>
      <c r="F2262" s="951">
        <v>89</v>
      </c>
      <c r="G2262" s="947" t="s">
        <v>159</v>
      </c>
      <c r="H2262" s="951">
        <v>0</v>
      </c>
      <c r="I2262" s="951">
        <v>0</v>
      </c>
      <c r="J2262" s="947" t="s">
        <v>373</v>
      </c>
      <c r="K2262" s="947">
        <v>613182</v>
      </c>
      <c r="M2262" s="631"/>
      <c r="P2262" s="950" t="str">
        <f>VLOOKUP(J2262,'רשימת רשויות'!A:A,1,0)</f>
        <v>קרית גת</v>
      </c>
      <c r="Q2262" s="956">
        <f>IFERROR(VLOOKUP(B2262,[2]מעובד!$D:$K,8,0),0)</f>
        <v>0</v>
      </c>
      <c r="R2262" s="956">
        <f>IFERROR(VLOOKUP(B2262,[2]מעובד!$D:$L,9,0),0)</f>
        <v>0</v>
      </c>
    </row>
    <row r="2263" spans="1:18" x14ac:dyDescent="0.2">
      <c r="A2263" s="947" t="s">
        <v>181</v>
      </c>
      <c r="B2263" s="947">
        <v>613208</v>
      </c>
      <c r="C2263" s="947" t="s">
        <v>2189</v>
      </c>
      <c r="D2263" s="947" t="s">
        <v>787</v>
      </c>
      <c r="E2263" s="951">
        <v>211</v>
      </c>
      <c r="F2263" s="951">
        <v>113</v>
      </c>
      <c r="G2263" s="947" t="s">
        <v>159</v>
      </c>
      <c r="H2263" s="951">
        <v>0</v>
      </c>
      <c r="I2263" s="951">
        <v>0</v>
      </c>
      <c r="J2263" s="947" t="s">
        <v>181</v>
      </c>
      <c r="K2263" s="957" t="s">
        <v>3365</v>
      </c>
      <c r="M2263" s="631"/>
      <c r="P2263" s="950" t="str">
        <f>VLOOKUP(J2263,'רשימת רשויות'!A:A,1,0)</f>
        <v>אשדוד</v>
      </c>
      <c r="Q2263" s="956">
        <f>IFERROR(VLOOKUP(B2263,[2]מעובד!$D:$K,8,0),0)</f>
        <v>204</v>
      </c>
      <c r="R2263" s="956">
        <f>IFERROR(VLOOKUP(B2263,[2]מעובד!$D:$L,9,0),0)</f>
        <v>60</v>
      </c>
    </row>
    <row r="2264" spans="1:18" x14ac:dyDescent="0.2">
      <c r="A2264" s="947" t="s">
        <v>187</v>
      </c>
      <c r="B2264" s="947">
        <v>613216</v>
      </c>
      <c r="C2264" s="947" t="s">
        <v>2189</v>
      </c>
      <c r="D2264" s="947" t="s">
        <v>1035</v>
      </c>
      <c r="E2264" s="951">
        <v>165</v>
      </c>
      <c r="F2264" s="951">
        <v>40</v>
      </c>
      <c r="G2264" s="947" t="s">
        <v>159</v>
      </c>
      <c r="H2264" s="951">
        <v>122</v>
      </c>
      <c r="I2264" s="951">
        <v>0</v>
      </c>
      <c r="J2264" s="947" t="s">
        <v>187</v>
      </c>
      <c r="K2264" s="957" t="s">
        <v>3366</v>
      </c>
      <c r="M2264" s="631"/>
      <c r="P2264" s="950" t="str">
        <f>VLOOKUP(J2264,'רשימת רשויות'!A:A,1,0)</f>
        <v>באר שבע</v>
      </c>
      <c r="Q2264" s="956">
        <f>IFERROR(VLOOKUP(B2264,[2]מעובד!$D:$K,8,0),0)</f>
        <v>151</v>
      </c>
      <c r="R2264" s="956">
        <f>IFERROR(VLOOKUP(B2264,[2]מעובד!$D:$L,9,0),0)</f>
        <v>55</v>
      </c>
    </row>
    <row r="2265" spans="1:18" x14ac:dyDescent="0.2">
      <c r="A2265" s="947" t="s">
        <v>225</v>
      </c>
      <c r="B2265" s="947">
        <v>613257</v>
      </c>
      <c r="C2265" s="947" t="s">
        <v>2189</v>
      </c>
      <c r="D2265" s="947" t="s">
        <v>899</v>
      </c>
      <c r="E2265" s="951">
        <v>132</v>
      </c>
      <c r="F2265" s="951">
        <v>74</v>
      </c>
      <c r="G2265" s="947" t="s">
        <v>159</v>
      </c>
      <c r="H2265" s="951">
        <v>0</v>
      </c>
      <c r="I2265" s="951">
        <v>0</v>
      </c>
      <c r="J2265" s="947" t="s">
        <v>225</v>
      </c>
      <c r="K2265" s="947">
        <v>613257</v>
      </c>
      <c r="M2265" s="631"/>
      <c r="P2265" s="950" t="str">
        <f>VLOOKUP(J2265,'רשימת רשויות'!A:A,1,0)</f>
        <v>דימונה</v>
      </c>
      <c r="Q2265" s="956">
        <f>IFERROR(VLOOKUP(B2265,[2]מעובד!$D:$K,8,0),0)</f>
        <v>129</v>
      </c>
      <c r="R2265" s="956">
        <f>IFERROR(VLOOKUP(B2265,[2]מעובד!$D:$L,9,0),0)</f>
        <v>61</v>
      </c>
    </row>
    <row r="2266" spans="1:18" x14ac:dyDescent="0.2">
      <c r="A2266" s="947" t="s">
        <v>164</v>
      </c>
      <c r="B2266" s="947">
        <v>613265</v>
      </c>
      <c r="C2266" s="947" t="s">
        <v>2189</v>
      </c>
      <c r="D2266" s="947" t="s">
        <v>900</v>
      </c>
      <c r="E2266" s="951">
        <v>200</v>
      </c>
      <c r="F2266" s="951">
        <v>172</v>
      </c>
      <c r="G2266" s="947" t="s">
        <v>159</v>
      </c>
      <c r="H2266" s="951">
        <v>100</v>
      </c>
      <c r="I2266" s="951">
        <v>13</v>
      </c>
      <c r="J2266" s="947" t="s">
        <v>164</v>
      </c>
      <c r="K2266" s="947">
        <v>613265</v>
      </c>
      <c r="M2266" s="631"/>
      <c r="P2266" s="950" t="str">
        <f>VLOOKUP(J2266,'רשימת רשויות'!A:A,1,0)</f>
        <v>אופקים</v>
      </c>
      <c r="Q2266" s="956">
        <f>IFERROR(VLOOKUP(B2266,[2]מעובד!$D:$K,8,0),0)</f>
        <v>220</v>
      </c>
      <c r="R2266" s="956">
        <f>IFERROR(VLOOKUP(B2266,[2]מעובד!$D:$L,9,0),0)</f>
        <v>130</v>
      </c>
    </row>
    <row r="2267" spans="1:18" x14ac:dyDescent="0.2">
      <c r="A2267" s="947" t="s">
        <v>373</v>
      </c>
      <c r="B2267" s="947">
        <v>613299</v>
      </c>
      <c r="C2267" s="947" t="s">
        <v>2189</v>
      </c>
      <c r="D2267" s="947" t="s">
        <v>559</v>
      </c>
      <c r="E2267" s="951">
        <v>116</v>
      </c>
      <c r="F2267" s="951">
        <v>90</v>
      </c>
      <c r="G2267" s="947" t="s">
        <v>159</v>
      </c>
      <c r="H2267" s="951">
        <v>44</v>
      </c>
      <c r="I2267" s="951">
        <v>9</v>
      </c>
      <c r="J2267" s="947" t="s">
        <v>373</v>
      </c>
      <c r="K2267" s="947">
        <v>613299</v>
      </c>
      <c r="M2267" s="631"/>
      <c r="P2267" s="950" t="str">
        <f>VLOOKUP(J2267,'רשימת רשויות'!A:A,1,0)</f>
        <v>קרית גת</v>
      </c>
      <c r="Q2267" s="956">
        <f>IFERROR(VLOOKUP(B2267,[2]מעובד!$D:$K,8,0),0)</f>
        <v>151</v>
      </c>
      <c r="R2267" s="956">
        <f>IFERROR(VLOOKUP(B2267,[2]מעובד!$D:$L,9,0),0)</f>
        <v>58</v>
      </c>
    </row>
    <row r="2268" spans="1:18" x14ac:dyDescent="0.2">
      <c r="A2268" s="947" t="s">
        <v>187</v>
      </c>
      <c r="B2268" s="947">
        <v>613315</v>
      </c>
      <c r="C2268" s="947" t="s">
        <v>2189</v>
      </c>
      <c r="D2268" s="947" t="s">
        <v>182</v>
      </c>
      <c r="E2268" s="951">
        <v>192</v>
      </c>
      <c r="F2268" s="951">
        <v>115</v>
      </c>
      <c r="G2268" s="947" t="s">
        <v>159</v>
      </c>
      <c r="H2268" s="951">
        <v>144</v>
      </c>
      <c r="I2268" s="951">
        <v>12</v>
      </c>
      <c r="J2268" s="947" t="s">
        <v>187</v>
      </c>
      <c r="K2268" s="947">
        <v>613315</v>
      </c>
      <c r="M2268" s="631"/>
      <c r="P2268" s="950" t="str">
        <f>VLOOKUP(J2268,'רשימת רשויות'!A:A,1,0)</f>
        <v>באר שבע</v>
      </c>
      <c r="Q2268" s="956">
        <f>IFERROR(VLOOKUP(B2268,[2]מעובד!$D:$K,8,0),0)</f>
        <v>208</v>
      </c>
      <c r="R2268" s="956">
        <f>IFERROR(VLOOKUP(B2268,[2]מעובד!$D:$L,9,0),0)</f>
        <v>96</v>
      </c>
    </row>
    <row r="2269" spans="1:18" x14ac:dyDescent="0.2">
      <c r="A2269" s="947" t="s">
        <v>399</v>
      </c>
      <c r="B2269" s="947">
        <v>613331</v>
      </c>
      <c r="C2269" s="947" t="s">
        <v>2189</v>
      </c>
      <c r="D2269" s="947" t="s">
        <v>2473</v>
      </c>
      <c r="E2269" s="951">
        <v>178</v>
      </c>
      <c r="F2269" s="951">
        <v>150</v>
      </c>
      <c r="G2269" s="947" t="s">
        <v>3252</v>
      </c>
      <c r="H2269" s="951">
        <v>0</v>
      </c>
      <c r="I2269" s="951">
        <v>0</v>
      </c>
      <c r="J2269" s="947" t="s">
        <v>399</v>
      </c>
      <c r="K2269" s="947">
        <v>613331</v>
      </c>
      <c r="M2269" s="631"/>
      <c r="P2269" s="950" t="str">
        <f>VLOOKUP(J2269,'רשימת רשויות'!A:A,1,0)</f>
        <v>שדות נגב עזתה</v>
      </c>
      <c r="Q2269" s="956">
        <f>IFERROR(VLOOKUP(B2269,[2]מעובד!$D:$K,8,0),0)</f>
        <v>158</v>
      </c>
      <c r="R2269" s="956">
        <f>IFERROR(VLOOKUP(B2269,[2]מעובד!$D:$L,9,0),0)</f>
        <v>90</v>
      </c>
    </row>
    <row r="2270" spans="1:18" x14ac:dyDescent="0.2">
      <c r="A2270" s="947" t="s">
        <v>234</v>
      </c>
      <c r="B2270" s="947">
        <v>613349</v>
      </c>
      <c r="C2270" s="947" t="s">
        <v>2189</v>
      </c>
      <c r="D2270" s="947" t="s">
        <v>910</v>
      </c>
      <c r="E2270" s="951">
        <v>344</v>
      </c>
      <c r="F2270" s="951">
        <v>288</v>
      </c>
      <c r="G2270" s="947" t="s">
        <v>159</v>
      </c>
      <c r="H2270" s="951">
        <v>98</v>
      </c>
      <c r="I2270" s="951">
        <v>8</v>
      </c>
      <c r="J2270" s="947" t="s">
        <v>234</v>
      </c>
      <c r="K2270" s="947">
        <v>613349</v>
      </c>
      <c r="M2270" s="631"/>
      <c r="P2270" s="950" t="str">
        <f>VLOOKUP(J2270,'רשימת רשויות'!A:A,1,0)</f>
        <v>הר חברון</v>
      </c>
      <c r="Q2270" s="956">
        <f>IFERROR(VLOOKUP(B2270,[2]מעובד!$D:$K,8,0),0)</f>
        <v>381</v>
      </c>
      <c r="R2270" s="956">
        <f>IFERROR(VLOOKUP(B2270,[2]מעובד!$D:$L,9,0),0)</f>
        <v>63</v>
      </c>
    </row>
    <row r="2271" spans="1:18" x14ac:dyDescent="0.2">
      <c r="A2271" s="947" t="s">
        <v>400</v>
      </c>
      <c r="B2271" s="947">
        <v>613372</v>
      </c>
      <c r="C2271" s="947" t="s">
        <v>2189</v>
      </c>
      <c r="D2271" s="947" t="s">
        <v>1258</v>
      </c>
      <c r="E2271" s="951">
        <v>67</v>
      </c>
      <c r="F2271" s="951">
        <v>67</v>
      </c>
      <c r="G2271" s="947" t="s">
        <v>3252</v>
      </c>
      <c r="H2271" s="951">
        <v>0</v>
      </c>
      <c r="I2271" s="951">
        <v>0</v>
      </c>
      <c r="J2271" s="947" t="s">
        <v>400</v>
      </c>
      <c r="K2271" s="947">
        <v>613372</v>
      </c>
      <c r="M2271" s="631"/>
      <c r="P2271" s="950" t="str">
        <f>VLOOKUP(J2271,'רשימת רשויות'!A:A,1,0)</f>
        <v>שדרות</v>
      </c>
      <c r="Q2271" s="956">
        <f>IFERROR(VLOOKUP(B2271,[2]מעובד!$D:$K,8,0),0)</f>
        <v>66</v>
      </c>
      <c r="R2271" s="956">
        <f>IFERROR(VLOOKUP(B2271,[2]מעובד!$D:$L,9,0),0)</f>
        <v>40</v>
      </c>
    </row>
    <row r="2272" spans="1:18" x14ac:dyDescent="0.2">
      <c r="A2272" s="947" t="s">
        <v>335</v>
      </c>
      <c r="B2272" s="947">
        <v>613398</v>
      </c>
      <c r="C2272" s="947" t="s">
        <v>2189</v>
      </c>
      <c r="D2272" s="947" t="s">
        <v>959</v>
      </c>
      <c r="E2272" s="951">
        <v>316</v>
      </c>
      <c r="F2272" s="951">
        <v>284</v>
      </c>
      <c r="G2272" s="947" t="s">
        <v>159</v>
      </c>
      <c r="H2272" s="951">
        <v>316</v>
      </c>
      <c r="I2272" s="951">
        <v>20</v>
      </c>
      <c r="J2272" s="947" t="s">
        <v>335</v>
      </c>
      <c r="K2272" s="947">
        <v>613398</v>
      </c>
      <c r="M2272" s="631"/>
      <c r="P2272" s="950" t="str">
        <f>VLOOKUP(J2272,'רשימת רשויות'!A:A,1,0)</f>
        <v>נתיבות</v>
      </c>
      <c r="Q2272" s="956">
        <f>IFERROR(VLOOKUP(B2272,[2]מעובד!$D:$K,8,0),0)</f>
        <v>277</v>
      </c>
      <c r="R2272" s="956">
        <f>IFERROR(VLOOKUP(B2272,[2]מעובד!$D:$L,9,0),0)</f>
        <v>277</v>
      </c>
    </row>
    <row r="2273" spans="1:18" x14ac:dyDescent="0.2">
      <c r="A2273" s="947" t="s">
        <v>183</v>
      </c>
      <c r="B2273" s="947">
        <v>613406</v>
      </c>
      <c r="C2273" s="947" t="s">
        <v>2189</v>
      </c>
      <c r="D2273" s="947" t="s">
        <v>960</v>
      </c>
      <c r="E2273" s="951">
        <v>197</v>
      </c>
      <c r="F2273" s="951">
        <v>177</v>
      </c>
      <c r="G2273" s="947" t="s">
        <v>159</v>
      </c>
      <c r="H2273" s="951">
        <v>0</v>
      </c>
      <c r="I2273" s="951">
        <v>0</v>
      </c>
      <c r="J2273" s="947" t="s">
        <v>183</v>
      </c>
      <c r="K2273" s="947">
        <v>613406</v>
      </c>
      <c r="M2273" s="631"/>
      <c r="P2273" s="950" t="str">
        <f>VLOOKUP(J2273,'רשימת רשויות'!A:A,1,0)</f>
        <v>אשקלון</v>
      </c>
      <c r="Q2273" s="956">
        <f>IFERROR(VLOOKUP(B2273,[2]מעובד!$D:$K,8,0),0)</f>
        <v>307</v>
      </c>
      <c r="R2273" s="956">
        <f>IFERROR(VLOOKUP(B2273,[2]מעובד!$D:$L,9,0),0)</f>
        <v>124</v>
      </c>
    </row>
    <row r="2274" spans="1:18" x14ac:dyDescent="0.2">
      <c r="A2274" s="947" t="s">
        <v>355</v>
      </c>
      <c r="B2274" s="947">
        <v>613422</v>
      </c>
      <c r="C2274" s="947" t="s">
        <v>2189</v>
      </c>
      <c r="D2274" s="947" t="s">
        <v>2710</v>
      </c>
      <c r="E2274" s="951">
        <v>534</v>
      </c>
      <c r="F2274" s="951">
        <v>517</v>
      </c>
      <c r="G2274" s="947" t="s">
        <v>3252</v>
      </c>
      <c r="H2274" s="951">
        <v>212</v>
      </c>
      <c r="I2274" s="951">
        <v>11</v>
      </c>
      <c r="J2274" s="947" t="s">
        <v>355</v>
      </c>
      <c r="K2274" s="947">
        <v>613422</v>
      </c>
      <c r="M2274" s="631"/>
      <c r="P2274" s="950" t="str">
        <f>VLOOKUP(J2274,'רשימת רשויות'!A:A,1,0)</f>
        <v>ערד</v>
      </c>
      <c r="Q2274" s="956">
        <f>IFERROR(VLOOKUP(B2274,[2]מעובד!$D:$K,8,0),0)</f>
        <v>361</v>
      </c>
      <c r="R2274" s="956">
        <f>IFERROR(VLOOKUP(B2274,[2]מעובד!$D:$L,9,0),0)</f>
        <v>355</v>
      </c>
    </row>
    <row r="2275" spans="1:18" x14ac:dyDescent="0.2">
      <c r="A2275" s="947" t="s">
        <v>187</v>
      </c>
      <c r="B2275" s="947">
        <v>613430</v>
      </c>
      <c r="C2275" s="947" t="s">
        <v>2189</v>
      </c>
      <c r="D2275" s="947" t="s">
        <v>961</v>
      </c>
      <c r="E2275" s="951">
        <v>214</v>
      </c>
      <c r="F2275" s="951">
        <v>133</v>
      </c>
      <c r="G2275" s="947" t="s">
        <v>159</v>
      </c>
      <c r="H2275" s="951">
        <v>0</v>
      </c>
      <c r="I2275" s="951">
        <v>0</v>
      </c>
      <c r="J2275" s="947" t="s">
        <v>187</v>
      </c>
      <c r="K2275" s="947">
        <v>613430</v>
      </c>
      <c r="M2275" s="631"/>
      <c r="P2275" s="950" t="str">
        <f>VLOOKUP(J2275,'רשימת רשויות'!A:A,1,0)</f>
        <v>באר שבע</v>
      </c>
      <c r="Q2275" s="956">
        <f>IFERROR(VLOOKUP(B2275,[2]מעובד!$D:$K,8,0),0)</f>
        <v>195</v>
      </c>
      <c r="R2275" s="956">
        <f>IFERROR(VLOOKUP(B2275,[2]מעובד!$D:$L,9,0),0)</f>
        <v>66</v>
      </c>
    </row>
    <row r="2276" spans="1:18" x14ac:dyDescent="0.2">
      <c r="A2276" s="947" t="s">
        <v>183</v>
      </c>
      <c r="B2276" s="947">
        <v>613448</v>
      </c>
      <c r="C2276" s="947" t="s">
        <v>2189</v>
      </c>
      <c r="D2276" s="947" t="s">
        <v>962</v>
      </c>
      <c r="E2276" s="951">
        <v>226</v>
      </c>
      <c r="F2276" s="951">
        <v>224</v>
      </c>
      <c r="G2276" s="947" t="s">
        <v>159</v>
      </c>
      <c r="H2276" s="951">
        <v>0</v>
      </c>
      <c r="I2276" s="951">
        <v>0</v>
      </c>
      <c r="J2276" s="947" t="s">
        <v>183</v>
      </c>
      <c r="K2276" s="947">
        <v>613448</v>
      </c>
      <c r="M2276" s="631"/>
      <c r="P2276" s="950" t="str">
        <f>VLOOKUP(J2276,'רשימת רשויות'!A:A,1,0)</f>
        <v>אשקלון</v>
      </c>
      <c r="Q2276" s="956">
        <f>IFERROR(VLOOKUP(B2276,[2]מעובד!$D:$K,8,0),0)</f>
        <v>181</v>
      </c>
      <c r="R2276" s="956">
        <f>IFERROR(VLOOKUP(B2276,[2]מעובד!$D:$L,9,0),0)</f>
        <v>52</v>
      </c>
    </row>
    <row r="2277" spans="1:18" x14ac:dyDescent="0.2">
      <c r="A2277" s="947" t="s">
        <v>181</v>
      </c>
      <c r="B2277" s="947">
        <v>613455</v>
      </c>
      <c r="C2277" s="947" t="s">
        <v>2189</v>
      </c>
      <c r="D2277" s="947" t="s">
        <v>902</v>
      </c>
      <c r="E2277" s="951">
        <v>175</v>
      </c>
      <c r="F2277" s="951">
        <v>99</v>
      </c>
      <c r="G2277" s="947" t="s">
        <v>159</v>
      </c>
      <c r="H2277" s="951">
        <v>0</v>
      </c>
      <c r="I2277" s="951">
        <v>0</v>
      </c>
      <c r="J2277" s="947" t="s">
        <v>181</v>
      </c>
      <c r="K2277" s="947">
        <v>613455</v>
      </c>
      <c r="M2277" s="631"/>
      <c r="P2277" s="950" t="str">
        <f>VLOOKUP(J2277,'רשימת רשויות'!A:A,1,0)</f>
        <v>אשדוד</v>
      </c>
      <c r="Q2277" s="956">
        <f>IFERROR(VLOOKUP(B2277,[2]מעובד!$D:$K,8,0),0)</f>
        <v>192</v>
      </c>
      <c r="R2277" s="956">
        <f>IFERROR(VLOOKUP(B2277,[2]מעובד!$D:$L,9,0),0)</f>
        <v>62</v>
      </c>
    </row>
    <row r="2278" spans="1:18" x14ac:dyDescent="0.2">
      <c r="A2278" s="947" t="s">
        <v>292</v>
      </c>
      <c r="B2278" s="947">
        <v>613463</v>
      </c>
      <c r="C2278" s="947" t="s">
        <v>2189</v>
      </c>
      <c r="D2278" s="947" t="s">
        <v>292</v>
      </c>
      <c r="E2278" s="951">
        <v>319</v>
      </c>
      <c r="F2278" s="951">
        <v>208</v>
      </c>
      <c r="G2278" s="947" t="s">
        <v>159</v>
      </c>
      <c r="H2278" s="951">
        <v>0</v>
      </c>
      <c r="I2278" s="951">
        <v>0</v>
      </c>
      <c r="J2278" s="947" t="s">
        <v>292</v>
      </c>
      <c r="K2278" s="947">
        <v>613463</v>
      </c>
      <c r="M2278" s="631"/>
      <c r="P2278" s="950" t="str">
        <f>VLOOKUP(J2278,'רשימת רשויות'!A:A,1,0)</f>
        <v>להבים</v>
      </c>
      <c r="Q2278" s="956">
        <f>IFERROR(VLOOKUP(B2278,[2]מעובד!$D:$K,8,0),0)</f>
        <v>322</v>
      </c>
      <c r="R2278" s="956">
        <f>IFERROR(VLOOKUP(B2278,[2]מעובד!$D:$L,9,0),0)</f>
        <v>141</v>
      </c>
    </row>
    <row r="2279" spans="1:18" x14ac:dyDescent="0.2">
      <c r="A2279" s="947" t="s">
        <v>183</v>
      </c>
      <c r="B2279" s="947">
        <v>613489</v>
      </c>
      <c r="C2279" s="947" t="s">
        <v>2189</v>
      </c>
      <c r="D2279" s="947" t="s">
        <v>972</v>
      </c>
      <c r="E2279" s="951">
        <v>287</v>
      </c>
      <c r="F2279" s="951">
        <v>257</v>
      </c>
      <c r="G2279" s="947" t="s">
        <v>159</v>
      </c>
      <c r="H2279" s="951">
        <v>207</v>
      </c>
      <c r="I2279" s="951">
        <v>29</v>
      </c>
      <c r="J2279" s="947" t="s">
        <v>183</v>
      </c>
      <c r="K2279" s="947">
        <v>613489</v>
      </c>
      <c r="M2279" s="631"/>
      <c r="P2279" s="950" t="str">
        <f>VLOOKUP(J2279,'רשימת רשויות'!A:A,1,0)</f>
        <v>אשקלון</v>
      </c>
      <c r="Q2279" s="956">
        <f>IFERROR(VLOOKUP(B2279,[2]מעובד!$D:$K,8,0),0)</f>
        <v>134</v>
      </c>
      <c r="R2279" s="956">
        <f>IFERROR(VLOOKUP(B2279,[2]מעובד!$D:$L,9,0),0)</f>
        <v>60</v>
      </c>
    </row>
    <row r="2280" spans="1:18" x14ac:dyDescent="0.2">
      <c r="A2280" s="947" t="s">
        <v>373</v>
      </c>
      <c r="B2280" s="947">
        <v>613497</v>
      </c>
      <c r="C2280" s="947" t="s">
        <v>2189</v>
      </c>
      <c r="D2280" s="947" t="s">
        <v>915</v>
      </c>
      <c r="E2280" s="951">
        <v>146</v>
      </c>
      <c r="F2280" s="951">
        <v>146</v>
      </c>
      <c r="G2280" s="947" t="s">
        <v>159</v>
      </c>
      <c r="H2280" s="951">
        <v>0</v>
      </c>
      <c r="I2280" s="951">
        <v>0</v>
      </c>
      <c r="J2280" s="947" t="s">
        <v>373</v>
      </c>
      <c r="K2280" s="947">
        <v>613497</v>
      </c>
      <c r="M2280" s="631"/>
      <c r="P2280" s="950" t="str">
        <f>VLOOKUP(J2280,'רשימת רשויות'!A:A,1,0)</f>
        <v>קרית גת</v>
      </c>
      <c r="Q2280" s="956">
        <f>IFERROR(VLOOKUP(B2280,[2]מעובד!$D:$K,8,0),0)</f>
        <v>181</v>
      </c>
      <c r="R2280" s="956">
        <f>IFERROR(VLOOKUP(B2280,[2]מעובד!$D:$L,9,0),0)</f>
        <v>77</v>
      </c>
    </row>
    <row r="2281" spans="1:18" x14ac:dyDescent="0.2">
      <c r="A2281" s="947" t="s">
        <v>183</v>
      </c>
      <c r="B2281" s="947">
        <v>613505</v>
      </c>
      <c r="C2281" s="947" t="s">
        <v>2189</v>
      </c>
      <c r="D2281" s="947" t="s">
        <v>973</v>
      </c>
      <c r="E2281" s="951">
        <v>348</v>
      </c>
      <c r="F2281" s="951">
        <v>347</v>
      </c>
      <c r="G2281" s="947" t="s">
        <v>159</v>
      </c>
      <c r="H2281" s="951">
        <v>0</v>
      </c>
      <c r="I2281" s="951">
        <v>0</v>
      </c>
      <c r="J2281" s="947" t="s">
        <v>183</v>
      </c>
      <c r="K2281" s="947">
        <v>613505</v>
      </c>
      <c r="M2281" s="631"/>
      <c r="P2281" s="950" t="str">
        <f>VLOOKUP(J2281,'רשימת רשויות'!A:A,1,0)</f>
        <v>אשקלון</v>
      </c>
      <c r="Q2281" s="956">
        <f>IFERROR(VLOOKUP(B2281,[2]מעובד!$D:$K,8,0),0)</f>
        <v>283</v>
      </c>
      <c r="R2281" s="956">
        <f>IFERROR(VLOOKUP(B2281,[2]מעובד!$D:$L,9,0),0)</f>
        <v>120</v>
      </c>
    </row>
    <row r="2282" spans="1:18" x14ac:dyDescent="0.2">
      <c r="A2282" s="947" t="s">
        <v>313</v>
      </c>
      <c r="B2282" s="947">
        <v>613513</v>
      </c>
      <c r="C2282" s="947" t="s">
        <v>2189</v>
      </c>
      <c r="D2282" s="947" t="s">
        <v>1036</v>
      </c>
      <c r="E2282" s="951">
        <v>173</v>
      </c>
      <c r="F2282" s="951">
        <v>173</v>
      </c>
      <c r="G2282" s="947" t="s">
        <v>159</v>
      </c>
      <c r="H2282" s="951">
        <v>0</v>
      </c>
      <c r="I2282" s="951">
        <v>0</v>
      </c>
      <c r="J2282" s="947" t="s">
        <v>313</v>
      </c>
      <c r="K2282" s="947">
        <v>613513</v>
      </c>
      <c r="M2282" s="631"/>
      <c r="P2282" s="950" t="str">
        <f>VLOOKUP(J2282,'רשימת רשויות'!A:A,1,0)</f>
        <v>מיתר</v>
      </c>
      <c r="Q2282" s="956">
        <f>IFERROR(VLOOKUP(B2282,[2]מעובד!$D:$K,8,0),0)</f>
        <v>0</v>
      </c>
      <c r="R2282" s="956">
        <f>IFERROR(VLOOKUP(B2282,[2]מעובד!$D:$L,9,0),0)</f>
        <v>0</v>
      </c>
    </row>
    <row r="2283" spans="1:18" x14ac:dyDescent="0.2">
      <c r="A2283" s="947" t="s">
        <v>181</v>
      </c>
      <c r="B2283" s="947">
        <v>613547</v>
      </c>
      <c r="C2283" s="947" t="s">
        <v>2189</v>
      </c>
      <c r="D2283" s="947" t="s">
        <v>3118</v>
      </c>
      <c r="E2283" s="951">
        <v>294</v>
      </c>
      <c r="F2283" s="951">
        <v>0</v>
      </c>
      <c r="G2283" s="947" t="s">
        <v>3252</v>
      </c>
      <c r="H2283" s="951">
        <v>105</v>
      </c>
      <c r="I2283" s="951">
        <v>0</v>
      </c>
      <c r="J2283" s="947" t="s">
        <v>181</v>
      </c>
      <c r="K2283" s="947">
        <v>613547</v>
      </c>
      <c r="M2283" s="631"/>
      <c r="P2283" s="950" t="str">
        <f>VLOOKUP(J2283,'רשימת רשויות'!A:A,1,0)</f>
        <v>אשדוד</v>
      </c>
      <c r="Q2283" s="956">
        <f>IFERROR(VLOOKUP(B2283,[2]מעובד!$D:$K,8,0),0)</f>
        <v>0</v>
      </c>
      <c r="R2283" s="956">
        <f>IFERROR(VLOOKUP(B2283,[2]מעובד!$D:$L,9,0),0)</f>
        <v>0</v>
      </c>
    </row>
    <row r="2284" spans="1:18" x14ac:dyDescent="0.2">
      <c r="A2284" s="947" t="s">
        <v>181</v>
      </c>
      <c r="B2284" s="947">
        <v>613554</v>
      </c>
      <c r="C2284" s="947" t="s">
        <v>2189</v>
      </c>
      <c r="D2284" s="947" t="s">
        <v>2932</v>
      </c>
      <c r="E2284" s="951">
        <v>90</v>
      </c>
      <c r="F2284" s="951">
        <v>0</v>
      </c>
      <c r="G2284" s="947" t="s">
        <v>3252</v>
      </c>
      <c r="H2284" s="951">
        <v>0</v>
      </c>
      <c r="I2284" s="951">
        <v>0</v>
      </c>
      <c r="J2284" s="947" t="s">
        <v>181</v>
      </c>
      <c r="K2284" s="947">
        <v>613554</v>
      </c>
      <c r="M2284" s="631"/>
      <c r="P2284" s="950" t="str">
        <f>VLOOKUP(J2284,'רשימת רשויות'!A:A,1,0)</f>
        <v>אשדוד</v>
      </c>
      <c r="Q2284" s="956">
        <f>IFERROR(VLOOKUP(B2284,[2]מעובד!$D:$K,8,0),0)</f>
        <v>0</v>
      </c>
      <c r="R2284" s="956">
        <f>IFERROR(VLOOKUP(B2284,[2]מעובד!$D:$L,9,0),0)</f>
        <v>0</v>
      </c>
    </row>
    <row r="2285" spans="1:18" x14ac:dyDescent="0.2">
      <c r="A2285" s="947" t="s">
        <v>181</v>
      </c>
      <c r="B2285" s="947">
        <v>613596</v>
      </c>
      <c r="C2285" s="947" t="s">
        <v>2189</v>
      </c>
      <c r="D2285" s="947" t="s">
        <v>460</v>
      </c>
      <c r="E2285" s="951">
        <v>79</v>
      </c>
      <c r="F2285" s="951">
        <v>14</v>
      </c>
      <c r="G2285" s="947" t="s">
        <v>159</v>
      </c>
      <c r="H2285" s="951">
        <v>0</v>
      </c>
      <c r="I2285" s="951">
        <v>0</v>
      </c>
      <c r="J2285" s="947" t="s">
        <v>181</v>
      </c>
      <c r="K2285" s="947">
        <v>613596</v>
      </c>
      <c r="M2285" s="631"/>
      <c r="P2285" s="950" t="str">
        <f>VLOOKUP(J2285,'רשימת רשויות'!A:A,1,0)</f>
        <v>אשדוד</v>
      </c>
      <c r="Q2285" s="956">
        <f>IFERROR(VLOOKUP(B2285,[2]מעובד!$D:$K,8,0),0)</f>
        <v>152</v>
      </c>
      <c r="R2285" s="956">
        <f>IFERROR(VLOOKUP(B2285,[2]מעובד!$D:$L,9,0),0)</f>
        <v>56</v>
      </c>
    </row>
    <row r="2286" spans="1:18" x14ac:dyDescent="0.2">
      <c r="A2286" s="947" t="s">
        <v>181</v>
      </c>
      <c r="B2286" s="947">
        <v>613604</v>
      </c>
      <c r="C2286" s="947" t="s">
        <v>2189</v>
      </c>
      <c r="D2286" s="947" t="s">
        <v>1284</v>
      </c>
      <c r="E2286" s="951">
        <v>104</v>
      </c>
      <c r="F2286" s="951">
        <v>73</v>
      </c>
      <c r="G2286" s="947" t="s">
        <v>3252</v>
      </c>
      <c r="H2286" s="951">
        <v>77</v>
      </c>
      <c r="I2286" s="951">
        <v>25</v>
      </c>
      <c r="J2286" s="947" t="s">
        <v>181</v>
      </c>
      <c r="K2286" s="947">
        <v>613604</v>
      </c>
      <c r="M2286" s="631"/>
      <c r="P2286" s="950" t="str">
        <f>VLOOKUP(J2286,'רשימת רשויות'!A:A,1,0)</f>
        <v>אשדוד</v>
      </c>
      <c r="Q2286" s="956">
        <f>IFERROR(VLOOKUP(B2286,[2]מעובד!$D:$K,8,0),0)</f>
        <v>0</v>
      </c>
      <c r="R2286" s="956">
        <f>IFERROR(VLOOKUP(B2286,[2]מעובד!$D:$L,9,0),0)</f>
        <v>0</v>
      </c>
    </row>
    <row r="2287" spans="1:18" x14ac:dyDescent="0.2">
      <c r="A2287" s="947" t="s">
        <v>183</v>
      </c>
      <c r="B2287" s="947">
        <v>613638</v>
      </c>
      <c r="C2287" s="947" t="s">
        <v>2189</v>
      </c>
      <c r="D2287" s="947" t="s">
        <v>1027</v>
      </c>
      <c r="E2287" s="951">
        <v>336</v>
      </c>
      <c r="F2287" s="951">
        <v>278</v>
      </c>
      <c r="G2287" s="947" t="s">
        <v>159</v>
      </c>
      <c r="H2287" s="951">
        <v>336</v>
      </c>
      <c r="I2287" s="951">
        <v>59</v>
      </c>
      <c r="J2287" s="947" t="s">
        <v>183</v>
      </c>
      <c r="K2287" s="947">
        <v>613638</v>
      </c>
      <c r="M2287" s="631"/>
      <c r="P2287" s="950" t="str">
        <f>VLOOKUP(J2287,'רשימת רשויות'!A:A,1,0)</f>
        <v>אשקלון</v>
      </c>
      <c r="Q2287" s="956">
        <f>IFERROR(VLOOKUP(B2287,[2]מעובד!$D:$K,8,0),0)</f>
        <v>282</v>
      </c>
      <c r="R2287" s="956">
        <f>IFERROR(VLOOKUP(B2287,[2]מעובד!$D:$L,9,0),0)</f>
        <v>112</v>
      </c>
    </row>
    <row r="2288" spans="1:18" x14ac:dyDescent="0.2">
      <c r="A2288" s="947" t="s">
        <v>182</v>
      </c>
      <c r="B2288" s="947">
        <v>613646</v>
      </c>
      <c r="C2288" s="947" t="s">
        <v>2189</v>
      </c>
      <c r="D2288" s="947" t="s">
        <v>1028</v>
      </c>
      <c r="E2288" s="951">
        <v>152</v>
      </c>
      <c r="F2288" s="951">
        <v>87</v>
      </c>
      <c r="G2288" s="947" t="s">
        <v>159</v>
      </c>
      <c r="H2288" s="951">
        <v>0</v>
      </c>
      <c r="I2288" s="951">
        <v>0</v>
      </c>
      <c r="J2288" s="947" t="s">
        <v>182</v>
      </c>
      <c r="K2288" s="957" t="s">
        <v>3367</v>
      </c>
      <c r="M2288" s="631"/>
      <c r="P2288" s="950" t="str">
        <f>VLOOKUP(J2288,'רשימת רשויות'!A:A,1,0)</f>
        <v>אשכול</v>
      </c>
      <c r="Q2288" s="956">
        <f>IFERROR(VLOOKUP(B2288,[2]מעובד!$D:$K,8,0),0)</f>
        <v>0</v>
      </c>
      <c r="R2288" s="956">
        <f>IFERROR(VLOOKUP(B2288,[2]מעובד!$D:$L,9,0),0)</f>
        <v>0</v>
      </c>
    </row>
    <row r="2289" spans="1:18" x14ac:dyDescent="0.2">
      <c r="A2289" s="947" t="s">
        <v>335</v>
      </c>
      <c r="B2289" s="947">
        <v>613653</v>
      </c>
      <c r="C2289" s="947" t="s">
        <v>2189</v>
      </c>
      <c r="D2289" s="947" t="s">
        <v>535</v>
      </c>
      <c r="E2289" s="951">
        <v>130</v>
      </c>
      <c r="F2289" s="951">
        <v>112</v>
      </c>
      <c r="G2289" s="947" t="s">
        <v>159</v>
      </c>
      <c r="H2289" s="951">
        <v>55</v>
      </c>
      <c r="I2289" s="951">
        <v>11</v>
      </c>
      <c r="J2289" s="947" t="s">
        <v>335</v>
      </c>
      <c r="K2289" s="947">
        <v>613653</v>
      </c>
      <c r="M2289" s="631"/>
      <c r="P2289" s="950" t="str">
        <f>VLOOKUP(J2289,'רשימת רשויות'!A:A,1,0)</f>
        <v>נתיבות</v>
      </c>
      <c r="Q2289" s="956">
        <f>IFERROR(VLOOKUP(B2289,[2]מעובד!$D:$K,8,0),0)</f>
        <v>95</v>
      </c>
      <c r="R2289" s="956">
        <f>IFERROR(VLOOKUP(B2289,[2]מעובד!$D:$L,9,0),0)</f>
        <v>95</v>
      </c>
    </row>
    <row r="2290" spans="1:18" x14ac:dyDescent="0.2">
      <c r="A2290" s="947" t="s">
        <v>181</v>
      </c>
      <c r="B2290" s="947">
        <v>613661</v>
      </c>
      <c r="C2290" s="947" t="s">
        <v>2189</v>
      </c>
      <c r="D2290" s="947" t="s">
        <v>2474</v>
      </c>
      <c r="E2290" s="951">
        <v>205</v>
      </c>
      <c r="F2290" s="951">
        <v>204</v>
      </c>
      <c r="G2290" s="947" t="s">
        <v>3252</v>
      </c>
      <c r="H2290" s="951">
        <v>0</v>
      </c>
      <c r="I2290" s="951">
        <v>0</v>
      </c>
      <c r="J2290" s="947" t="s">
        <v>181</v>
      </c>
      <c r="K2290" s="947">
        <v>613661</v>
      </c>
      <c r="M2290" s="636"/>
      <c r="P2290" s="950" t="str">
        <f>VLOOKUP(J2290,'רשימת רשויות'!A:A,1,0)</f>
        <v>אשדוד</v>
      </c>
      <c r="Q2290" s="956">
        <f>IFERROR(VLOOKUP(B2290,[2]מעובד!$D:$K,8,0),0)</f>
        <v>0</v>
      </c>
      <c r="R2290" s="956">
        <f>IFERROR(VLOOKUP(B2290,[2]מעובד!$D:$L,9,0),0)</f>
        <v>0</v>
      </c>
    </row>
    <row r="2291" spans="1:18" x14ac:dyDescent="0.2">
      <c r="A2291" s="947" t="s">
        <v>225</v>
      </c>
      <c r="B2291" s="947">
        <v>613679</v>
      </c>
      <c r="C2291" s="947" t="s">
        <v>2189</v>
      </c>
      <c r="D2291" s="947" t="s">
        <v>3119</v>
      </c>
      <c r="E2291" s="951">
        <v>45</v>
      </c>
      <c r="F2291" s="951">
        <v>0</v>
      </c>
      <c r="G2291" s="947" t="s">
        <v>3252</v>
      </c>
      <c r="H2291" s="951">
        <v>0</v>
      </c>
      <c r="I2291" s="951">
        <v>0</v>
      </c>
      <c r="J2291" s="947" t="s">
        <v>225</v>
      </c>
      <c r="K2291" s="947">
        <v>613679</v>
      </c>
      <c r="M2291" s="631"/>
      <c r="P2291" s="950" t="str">
        <f>VLOOKUP(J2291,'רשימת רשויות'!A:A,1,0)</f>
        <v>דימונה</v>
      </c>
      <c r="Q2291" s="956">
        <f>IFERROR(VLOOKUP(B2291,[2]מעובד!$D:$K,8,0),0)</f>
        <v>0</v>
      </c>
      <c r="R2291" s="956">
        <f>IFERROR(VLOOKUP(B2291,[2]מעובד!$D:$L,9,0),0)</f>
        <v>0</v>
      </c>
    </row>
    <row r="2292" spans="1:18" x14ac:dyDescent="0.2">
      <c r="A2292" s="947" t="s">
        <v>200</v>
      </c>
      <c r="B2292" s="947">
        <v>613687</v>
      </c>
      <c r="C2292" s="947" t="s">
        <v>2189</v>
      </c>
      <c r="D2292" s="947" t="s">
        <v>1232</v>
      </c>
      <c r="E2292" s="951">
        <v>89</v>
      </c>
      <c r="F2292" s="951">
        <v>0</v>
      </c>
      <c r="G2292" s="947" t="s">
        <v>3252</v>
      </c>
      <c r="H2292" s="951">
        <v>0</v>
      </c>
      <c r="I2292" s="951">
        <v>0</v>
      </c>
      <c r="J2292" s="947" t="s">
        <v>200</v>
      </c>
      <c r="K2292" s="947">
        <v>613687</v>
      </c>
      <c r="M2292" s="631"/>
      <c r="P2292" s="950" t="str">
        <f>VLOOKUP(J2292,'רשימת רשויות'!A:A,1,0)</f>
        <v>בני שמעון</v>
      </c>
      <c r="Q2292" s="956">
        <f>IFERROR(VLOOKUP(B2292,[2]מעובד!$D:$K,8,0),0)</f>
        <v>0</v>
      </c>
      <c r="R2292" s="956">
        <f>IFERROR(VLOOKUP(B2292,[2]מעובד!$D:$L,9,0),0)</f>
        <v>0</v>
      </c>
    </row>
    <row r="2293" spans="1:18" x14ac:dyDescent="0.2">
      <c r="A2293" s="947" t="s">
        <v>187</v>
      </c>
      <c r="B2293" s="947">
        <v>613695</v>
      </c>
      <c r="C2293" s="947" t="s">
        <v>2189</v>
      </c>
      <c r="D2293" s="947" t="s">
        <v>3120</v>
      </c>
      <c r="E2293" s="951">
        <v>86</v>
      </c>
      <c r="F2293" s="951">
        <v>49</v>
      </c>
      <c r="G2293" s="947" t="s">
        <v>3252</v>
      </c>
      <c r="H2293" s="951">
        <v>0</v>
      </c>
      <c r="I2293" s="951">
        <v>0</v>
      </c>
      <c r="J2293" s="947" t="s">
        <v>187</v>
      </c>
      <c r="K2293" s="947">
        <v>613695</v>
      </c>
      <c r="M2293" s="631"/>
      <c r="P2293" s="950" t="str">
        <f>VLOOKUP(J2293,'רשימת רשויות'!A:A,1,0)</f>
        <v>באר שבע</v>
      </c>
      <c r="Q2293" s="956">
        <f>IFERROR(VLOOKUP(B2293,[2]מעובד!$D:$K,8,0),0)</f>
        <v>0</v>
      </c>
      <c r="R2293" s="956">
        <f>IFERROR(VLOOKUP(B2293,[2]מעובד!$D:$L,9,0),0)</f>
        <v>0</v>
      </c>
    </row>
    <row r="2294" spans="1:18" x14ac:dyDescent="0.2">
      <c r="A2294" s="947" t="s">
        <v>181</v>
      </c>
      <c r="B2294" s="947">
        <v>613703</v>
      </c>
      <c r="C2294" s="947" t="s">
        <v>2189</v>
      </c>
      <c r="D2294" s="947" t="s">
        <v>539</v>
      </c>
      <c r="E2294" s="951">
        <v>176</v>
      </c>
      <c r="F2294" s="951">
        <v>118</v>
      </c>
      <c r="G2294" s="947" t="s">
        <v>159</v>
      </c>
      <c r="H2294" s="951">
        <v>0</v>
      </c>
      <c r="I2294" s="951">
        <v>0</v>
      </c>
      <c r="J2294" s="947" t="s">
        <v>181</v>
      </c>
      <c r="K2294" s="947">
        <v>613703</v>
      </c>
      <c r="M2294" s="631"/>
      <c r="P2294" s="950" t="str">
        <f>VLOOKUP(J2294,'רשימת רשויות'!A:A,1,0)</f>
        <v>אשדוד</v>
      </c>
      <c r="Q2294" s="956">
        <f>IFERROR(VLOOKUP(B2294,[2]מעובד!$D:$K,8,0),0)</f>
        <v>228</v>
      </c>
      <c r="R2294" s="956">
        <f>IFERROR(VLOOKUP(B2294,[2]מעובד!$D:$L,9,0),0)</f>
        <v>98</v>
      </c>
    </row>
    <row r="2295" spans="1:18" x14ac:dyDescent="0.2">
      <c r="A2295" s="947" t="s">
        <v>335</v>
      </c>
      <c r="B2295" s="947">
        <v>613711</v>
      </c>
      <c r="C2295" s="947" t="s">
        <v>2189</v>
      </c>
      <c r="D2295" s="947" t="s">
        <v>1233</v>
      </c>
      <c r="E2295" s="951">
        <v>104</v>
      </c>
      <c r="F2295" s="951">
        <v>104</v>
      </c>
      <c r="G2295" s="947" t="s">
        <v>3252</v>
      </c>
      <c r="H2295" s="951">
        <v>0</v>
      </c>
      <c r="I2295" s="951">
        <v>0</v>
      </c>
      <c r="J2295" s="947" t="s">
        <v>335</v>
      </c>
      <c r="K2295" s="947">
        <v>613711</v>
      </c>
      <c r="M2295" s="631"/>
      <c r="P2295" s="950" t="str">
        <f>VLOOKUP(J2295,'רשימת רשויות'!A:A,1,0)</f>
        <v>נתיבות</v>
      </c>
      <c r="Q2295" s="956">
        <f>IFERROR(VLOOKUP(B2295,[2]מעובד!$D:$K,8,0),0)</f>
        <v>94</v>
      </c>
      <c r="R2295" s="956">
        <f>IFERROR(VLOOKUP(B2295,[2]מעובד!$D:$L,9,0),0)</f>
        <v>89</v>
      </c>
    </row>
    <row r="2296" spans="1:18" x14ac:dyDescent="0.2">
      <c r="A2296" s="947" t="s">
        <v>373</v>
      </c>
      <c r="B2296" s="947">
        <v>613752</v>
      </c>
      <c r="C2296" s="947" t="s">
        <v>2189</v>
      </c>
      <c r="D2296" s="947" t="s">
        <v>3121</v>
      </c>
      <c r="E2296" s="951">
        <v>94</v>
      </c>
      <c r="F2296" s="951">
        <v>94</v>
      </c>
      <c r="G2296" s="947" t="s">
        <v>3252</v>
      </c>
      <c r="H2296" s="951">
        <v>0</v>
      </c>
      <c r="I2296" s="951">
        <v>0</v>
      </c>
      <c r="J2296" s="947" t="s">
        <v>373</v>
      </c>
      <c r="K2296" s="947">
        <v>613752</v>
      </c>
      <c r="M2296" s="631"/>
      <c r="P2296" s="950" t="str">
        <f>VLOOKUP(J2296,'רשימת רשויות'!A:A,1,0)</f>
        <v>קרית גת</v>
      </c>
      <c r="Q2296" s="956">
        <f>IFERROR(VLOOKUP(B2296,[2]מעובד!$D:$K,8,0),0)</f>
        <v>0</v>
      </c>
      <c r="R2296" s="956">
        <f>IFERROR(VLOOKUP(B2296,[2]מעובד!$D:$L,9,0),0)</f>
        <v>0</v>
      </c>
    </row>
    <row r="2297" spans="1:18" x14ac:dyDescent="0.2">
      <c r="A2297" s="947" t="s">
        <v>373</v>
      </c>
      <c r="B2297" s="947">
        <v>613778</v>
      </c>
      <c r="C2297" s="947" t="s">
        <v>2189</v>
      </c>
      <c r="D2297" s="947" t="s">
        <v>1239</v>
      </c>
      <c r="E2297" s="951">
        <v>88</v>
      </c>
      <c r="F2297" s="951">
        <v>88</v>
      </c>
      <c r="G2297" s="947" t="s">
        <v>3252</v>
      </c>
      <c r="H2297" s="951">
        <v>0</v>
      </c>
      <c r="I2297" s="951">
        <v>0</v>
      </c>
      <c r="J2297" s="947" t="s">
        <v>373</v>
      </c>
      <c r="K2297" s="947">
        <v>613778</v>
      </c>
      <c r="M2297" s="631"/>
      <c r="P2297" s="950" t="str">
        <f>VLOOKUP(J2297,'רשימת רשויות'!A:A,1,0)</f>
        <v>קרית גת</v>
      </c>
      <c r="Q2297" s="956">
        <f>IFERROR(VLOOKUP(B2297,[2]מעובד!$D:$K,8,0),0)</f>
        <v>96</v>
      </c>
      <c r="R2297" s="956">
        <f>IFERROR(VLOOKUP(B2297,[2]מעובד!$D:$L,9,0),0)</f>
        <v>52</v>
      </c>
    </row>
    <row r="2298" spans="1:18" x14ac:dyDescent="0.2">
      <c r="A2298" s="947" t="s">
        <v>187</v>
      </c>
      <c r="B2298" s="947">
        <v>613786</v>
      </c>
      <c r="C2298" s="947" t="s">
        <v>2189</v>
      </c>
      <c r="D2298" s="947" t="s">
        <v>917</v>
      </c>
      <c r="E2298" s="951">
        <v>162</v>
      </c>
      <c r="F2298" s="951">
        <v>85</v>
      </c>
      <c r="G2298" s="947" t="s">
        <v>159</v>
      </c>
      <c r="H2298" s="951">
        <v>0</v>
      </c>
      <c r="I2298" s="951">
        <v>0</v>
      </c>
      <c r="J2298" s="947" t="s">
        <v>187</v>
      </c>
      <c r="K2298" s="947">
        <v>613786</v>
      </c>
      <c r="M2298" s="631"/>
      <c r="P2298" s="950" t="str">
        <f>VLOOKUP(J2298,'רשימת רשויות'!A:A,1,0)</f>
        <v>באר שבע</v>
      </c>
      <c r="Q2298" s="956">
        <f>IFERROR(VLOOKUP(B2298,[2]מעובד!$D:$K,8,0),0)</f>
        <v>168</v>
      </c>
      <c r="R2298" s="956">
        <f>IFERROR(VLOOKUP(B2298,[2]מעובד!$D:$L,9,0),0)</f>
        <v>66</v>
      </c>
    </row>
    <row r="2299" spans="1:18" x14ac:dyDescent="0.2">
      <c r="A2299" s="947" t="s">
        <v>181</v>
      </c>
      <c r="B2299" s="947">
        <v>613828</v>
      </c>
      <c r="C2299" s="947" t="s">
        <v>2189</v>
      </c>
      <c r="D2299" s="947" t="s">
        <v>535</v>
      </c>
      <c r="E2299" s="951">
        <v>131</v>
      </c>
      <c r="F2299" s="951">
        <v>103</v>
      </c>
      <c r="G2299" s="947" t="s">
        <v>159</v>
      </c>
      <c r="H2299" s="951">
        <v>0</v>
      </c>
      <c r="I2299" s="951">
        <v>0</v>
      </c>
      <c r="J2299" s="947" t="s">
        <v>181</v>
      </c>
      <c r="K2299" s="947">
        <v>613828</v>
      </c>
      <c r="M2299" s="631"/>
      <c r="P2299" s="950" t="str">
        <f>VLOOKUP(J2299,'רשימת רשויות'!A:A,1,0)</f>
        <v>אשדוד</v>
      </c>
      <c r="Q2299" s="956">
        <f>IFERROR(VLOOKUP(B2299,[2]מעובד!$D:$K,8,0),0)</f>
        <v>147</v>
      </c>
      <c r="R2299" s="956">
        <f>IFERROR(VLOOKUP(B2299,[2]מעובד!$D:$L,9,0),0)</f>
        <v>56</v>
      </c>
    </row>
    <row r="2300" spans="1:18" x14ac:dyDescent="0.2">
      <c r="A2300" s="947" t="s">
        <v>313</v>
      </c>
      <c r="B2300" s="947">
        <v>613844</v>
      </c>
      <c r="C2300" s="947" t="s">
        <v>2189</v>
      </c>
      <c r="D2300" s="947" t="s">
        <v>473</v>
      </c>
      <c r="E2300" s="951">
        <v>187</v>
      </c>
      <c r="F2300" s="951">
        <v>98</v>
      </c>
      <c r="G2300" s="947" t="s">
        <v>159</v>
      </c>
      <c r="H2300" s="951">
        <v>0</v>
      </c>
      <c r="I2300" s="951">
        <v>0</v>
      </c>
      <c r="J2300" s="947" t="s">
        <v>313</v>
      </c>
      <c r="K2300" s="947">
        <v>613844</v>
      </c>
      <c r="M2300" s="631"/>
      <c r="P2300" s="950" t="str">
        <f>VLOOKUP(J2300,'רשימת רשויות'!A:A,1,0)</f>
        <v>מיתר</v>
      </c>
      <c r="Q2300" s="956">
        <f>IFERROR(VLOOKUP(B2300,[2]מעובד!$D:$K,8,0),0)</f>
        <v>241</v>
      </c>
      <c r="R2300" s="956">
        <f>IFERROR(VLOOKUP(B2300,[2]מעובד!$D:$L,9,0),0)</f>
        <v>122</v>
      </c>
    </row>
    <row r="2301" spans="1:18" x14ac:dyDescent="0.2">
      <c r="A2301" s="947" t="s">
        <v>335</v>
      </c>
      <c r="B2301" s="947">
        <v>613851</v>
      </c>
      <c r="C2301" s="947" t="s">
        <v>2189</v>
      </c>
      <c r="D2301" s="947" t="s">
        <v>567</v>
      </c>
      <c r="E2301" s="951">
        <v>89</v>
      </c>
      <c r="F2301" s="951">
        <v>59</v>
      </c>
      <c r="G2301" s="947" t="s">
        <v>159</v>
      </c>
      <c r="H2301" s="951">
        <v>0</v>
      </c>
      <c r="I2301" s="951">
        <v>0</v>
      </c>
      <c r="J2301" s="947" t="s">
        <v>335</v>
      </c>
      <c r="K2301" s="947">
        <v>613851</v>
      </c>
      <c r="M2301" s="631"/>
      <c r="P2301" s="950" t="str">
        <f>VLOOKUP(J2301,'רשימת רשויות'!A:A,1,0)</f>
        <v>נתיבות</v>
      </c>
      <c r="Q2301" s="956">
        <f>IFERROR(VLOOKUP(B2301,[2]מעובד!$D:$K,8,0),0)</f>
        <v>140</v>
      </c>
      <c r="R2301" s="956">
        <f>IFERROR(VLOOKUP(B2301,[2]מעובד!$D:$L,9,0),0)</f>
        <v>102</v>
      </c>
    </row>
    <row r="2302" spans="1:18" x14ac:dyDescent="0.2">
      <c r="A2302" s="947" t="s">
        <v>234</v>
      </c>
      <c r="B2302" s="947">
        <v>613901</v>
      </c>
      <c r="C2302" s="947" t="s">
        <v>2189</v>
      </c>
      <c r="D2302" s="947" t="s">
        <v>714</v>
      </c>
      <c r="E2302" s="951">
        <v>308</v>
      </c>
      <c r="F2302" s="951">
        <v>293</v>
      </c>
      <c r="G2302" s="947" t="s">
        <v>159</v>
      </c>
      <c r="H2302" s="951">
        <v>211</v>
      </c>
      <c r="I2302" s="951">
        <v>15</v>
      </c>
      <c r="J2302" s="947" t="s">
        <v>234</v>
      </c>
      <c r="K2302" s="947">
        <v>613901</v>
      </c>
      <c r="M2302" s="631"/>
      <c r="P2302" s="950" t="str">
        <f>VLOOKUP(J2302,'רשימת רשויות'!A:A,1,0)</f>
        <v>הר חברון</v>
      </c>
      <c r="Q2302" s="956">
        <f>IFERROR(VLOOKUP(B2302,[2]מעובד!$D:$K,8,0),0)</f>
        <v>250</v>
      </c>
      <c r="R2302" s="956">
        <f>IFERROR(VLOOKUP(B2302,[2]מעובד!$D:$L,9,0),0)</f>
        <v>94</v>
      </c>
    </row>
    <row r="2303" spans="1:18" x14ac:dyDescent="0.2">
      <c r="A2303" s="947" t="s">
        <v>169</v>
      </c>
      <c r="B2303" s="947">
        <v>613919</v>
      </c>
      <c r="C2303" s="947" t="s">
        <v>2189</v>
      </c>
      <c r="D2303" s="947" t="s">
        <v>834</v>
      </c>
      <c r="E2303" s="951">
        <v>198</v>
      </c>
      <c r="F2303" s="951">
        <v>112</v>
      </c>
      <c r="G2303" s="947" t="s">
        <v>159</v>
      </c>
      <c r="H2303" s="951">
        <v>0</v>
      </c>
      <c r="I2303" s="951">
        <v>0</v>
      </c>
      <c r="J2303" s="947" t="s">
        <v>169</v>
      </c>
      <c r="K2303" s="957" t="s">
        <v>3368</v>
      </c>
      <c r="M2303" s="631"/>
      <c r="P2303" s="950" t="str">
        <f>VLOOKUP(J2303,'רשימת רשויות'!A:A,1,0)</f>
        <v>אילת</v>
      </c>
      <c r="Q2303" s="956">
        <f>IFERROR(VLOOKUP(B2303,[2]מעובד!$D:$K,8,0),0)</f>
        <v>246</v>
      </c>
      <c r="R2303" s="956">
        <f>IFERROR(VLOOKUP(B2303,[2]מעובד!$D:$L,9,0),0)</f>
        <v>63</v>
      </c>
    </row>
    <row r="2304" spans="1:18" x14ac:dyDescent="0.2">
      <c r="A2304" s="947" t="s">
        <v>187</v>
      </c>
      <c r="B2304" s="947">
        <v>613927</v>
      </c>
      <c r="C2304" s="947" t="s">
        <v>2189</v>
      </c>
      <c r="D2304" s="947" t="s">
        <v>835</v>
      </c>
      <c r="E2304" s="951">
        <v>259</v>
      </c>
      <c r="F2304" s="951">
        <v>148</v>
      </c>
      <c r="G2304" s="947" t="s">
        <v>159</v>
      </c>
      <c r="H2304" s="951">
        <v>0</v>
      </c>
      <c r="I2304" s="951">
        <v>0</v>
      </c>
      <c r="J2304" s="947" t="s">
        <v>187</v>
      </c>
      <c r="K2304" s="947">
        <v>613927</v>
      </c>
      <c r="M2304" s="631"/>
      <c r="P2304" s="950" t="str">
        <f>VLOOKUP(J2304,'רשימת רשויות'!A:A,1,0)</f>
        <v>באר שבע</v>
      </c>
      <c r="Q2304" s="956">
        <f>IFERROR(VLOOKUP(B2304,[2]מעובד!$D:$K,8,0),0)</f>
        <v>254</v>
      </c>
      <c r="R2304" s="956">
        <f>IFERROR(VLOOKUP(B2304,[2]מעובד!$D:$L,9,0),0)</f>
        <v>72</v>
      </c>
    </row>
    <row r="2305" spans="1:18" x14ac:dyDescent="0.2">
      <c r="A2305" s="947" t="s">
        <v>200</v>
      </c>
      <c r="B2305" s="947">
        <v>613943</v>
      </c>
      <c r="C2305" s="947" t="s">
        <v>2189</v>
      </c>
      <c r="D2305" s="947" t="s">
        <v>838</v>
      </c>
      <c r="E2305" s="951">
        <v>52</v>
      </c>
      <c r="F2305" s="951">
        <v>35</v>
      </c>
      <c r="G2305" s="947" t="s">
        <v>159</v>
      </c>
      <c r="H2305" s="951">
        <v>0</v>
      </c>
      <c r="I2305" s="951">
        <v>0</v>
      </c>
      <c r="J2305" s="947" t="s">
        <v>200</v>
      </c>
      <c r="K2305" s="947">
        <v>613943</v>
      </c>
      <c r="M2305" s="631"/>
      <c r="P2305" s="950" t="str">
        <f>VLOOKUP(J2305,'רשימת רשויות'!A:A,1,0)</f>
        <v>בני שמעון</v>
      </c>
      <c r="Q2305" s="956">
        <f>IFERROR(VLOOKUP(B2305,[2]מעובד!$D:$K,8,0),0)</f>
        <v>0</v>
      </c>
      <c r="R2305" s="956">
        <f>IFERROR(VLOOKUP(B2305,[2]מעובד!$D:$L,9,0),0)</f>
        <v>0</v>
      </c>
    </row>
    <row r="2306" spans="1:18" x14ac:dyDescent="0.2">
      <c r="A2306" s="947" t="s">
        <v>164</v>
      </c>
      <c r="B2306" s="947">
        <v>613950</v>
      </c>
      <c r="C2306" s="947" t="s">
        <v>2189</v>
      </c>
      <c r="D2306" s="947" t="s">
        <v>1212</v>
      </c>
      <c r="E2306" s="951">
        <v>475</v>
      </c>
      <c r="F2306" s="951">
        <v>467</v>
      </c>
      <c r="G2306" s="947" t="s">
        <v>3252</v>
      </c>
      <c r="H2306" s="951">
        <v>182</v>
      </c>
      <c r="I2306" s="951">
        <v>7</v>
      </c>
      <c r="J2306" s="947" t="s">
        <v>164</v>
      </c>
      <c r="K2306" s="947">
        <v>613950</v>
      </c>
      <c r="M2306" s="631"/>
      <c r="P2306" s="950" t="str">
        <f>VLOOKUP(J2306,'רשימת רשויות'!A:A,1,0)</f>
        <v>אופקים</v>
      </c>
      <c r="Q2306" s="956">
        <f>IFERROR(VLOOKUP(B2306,[2]מעובד!$D:$K,8,0),0)</f>
        <v>137</v>
      </c>
      <c r="R2306" s="956">
        <f>IFERROR(VLOOKUP(B2306,[2]מעובד!$D:$L,9,0),0)</f>
        <v>60</v>
      </c>
    </row>
    <row r="2307" spans="1:18" x14ac:dyDescent="0.2">
      <c r="A2307" s="947" t="s">
        <v>355</v>
      </c>
      <c r="B2307" s="947">
        <v>613968</v>
      </c>
      <c r="C2307" s="947" t="s">
        <v>2189</v>
      </c>
      <c r="D2307" s="947" t="s">
        <v>1213</v>
      </c>
      <c r="E2307" s="951">
        <v>701</v>
      </c>
      <c r="F2307" s="951">
        <v>688</v>
      </c>
      <c r="G2307" s="947" t="s">
        <v>3252</v>
      </c>
      <c r="H2307" s="951">
        <v>0</v>
      </c>
      <c r="I2307" s="951">
        <v>0</v>
      </c>
      <c r="J2307" s="947" t="s">
        <v>355</v>
      </c>
      <c r="K2307" s="947">
        <v>613968</v>
      </c>
      <c r="M2307" s="631"/>
      <c r="P2307" s="950" t="str">
        <f>VLOOKUP(J2307,'רשימת רשויות'!A:A,1,0)</f>
        <v>ערד</v>
      </c>
      <c r="Q2307" s="956">
        <f>IFERROR(VLOOKUP(B2307,[2]מעובד!$D:$K,8,0),0)</f>
        <v>0</v>
      </c>
      <c r="R2307" s="956">
        <f>IFERROR(VLOOKUP(B2307,[2]מעובד!$D:$L,9,0),0)</f>
        <v>0</v>
      </c>
    </row>
    <row r="2308" spans="1:18" x14ac:dyDescent="0.2">
      <c r="A2308" s="947" t="s">
        <v>164</v>
      </c>
      <c r="B2308" s="947">
        <v>613976</v>
      </c>
      <c r="C2308" s="947" t="s">
        <v>2189</v>
      </c>
      <c r="D2308" s="947" t="s">
        <v>1214</v>
      </c>
      <c r="E2308" s="951">
        <v>124</v>
      </c>
      <c r="F2308" s="951">
        <v>123</v>
      </c>
      <c r="G2308" s="947" t="s">
        <v>3252</v>
      </c>
      <c r="H2308" s="951">
        <v>0</v>
      </c>
      <c r="I2308" s="951">
        <v>0</v>
      </c>
      <c r="J2308" s="947" t="s">
        <v>164</v>
      </c>
      <c r="K2308" s="947">
        <v>613976</v>
      </c>
      <c r="M2308" s="631"/>
      <c r="P2308" s="950" t="str">
        <f>VLOOKUP(J2308,'רשימת רשויות'!A:A,1,0)</f>
        <v>אופקים</v>
      </c>
      <c r="Q2308" s="956">
        <f>IFERROR(VLOOKUP(B2308,[2]מעובד!$D:$K,8,0),0)</f>
        <v>0</v>
      </c>
      <c r="R2308" s="956">
        <f>IFERROR(VLOOKUP(B2308,[2]מעובד!$D:$L,9,0),0)</f>
        <v>0</v>
      </c>
    </row>
    <row r="2309" spans="1:18" x14ac:dyDescent="0.2">
      <c r="A2309" s="947" t="s">
        <v>181</v>
      </c>
      <c r="B2309" s="947">
        <v>613992</v>
      </c>
      <c r="C2309" s="947" t="s">
        <v>2189</v>
      </c>
      <c r="D2309" s="947" t="s">
        <v>1215</v>
      </c>
      <c r="E2309" s="951">
        <v>67</v>
      </c>
      <c r="F2309" s="951">
        <v>62</v>
      </c>
      <c r="G2309" s="947" t="s">
        <v>3252</v>
      </c>
      <c r="H2309" s="951">
        <v>0</v>
      </c>
      <c r="I2309" s="951">
        <v>0</v>
      </c>
      <c r="J2309" s="947" t="s">
        <v>181</v>
      </c>
      <c r="K2309" s="947">
        <v>613992</v>
      </c>
      <c r="M2309" s="631"/>
      <c r="P2309" s="950" t="str">
        <f>VLOOKUP(J2309,'רשימת רשויות'!A:A,1,0)</f>
        <v>אשדוד</v>
      </c>
      <c r="Q2309" s="956">
        <f>IFERROR(VLOOKUP(B2309,[2]מעובד!$D:$K,8,0),0)</f>
        <v>0</v>
      </c>
      <c r="R2309" s="956">
        <f>IFERROR(VLOOKUP(B2309,[2]מעובד!$D:$L,9,0),0)</f>
        <v>0</v>
      </c>
    </row>
    <row r="2310" spans="1:18" x14ac:dyDescent="0.2">
      <c r="A2310" s="947" t="s">
        <v>181</v>
      </c>
      <c r="B2310" s="947">
        <v>614008</v>
      </c>
      <c r="C2310" s="947" t="s">
        <v>2189</v>
      </c>
      <c r="D2310" s="947" t="s">
        <v>3122</v>
      </c>
      <c r="E2310" s="951">
        <v>145</v>
      </c>
      <c r="F2310" s="951">
        <v>109</v>
      </c>
      <c r="G2310" s="947" t="s">
        <v>159</v>
      </c>
      <c r="H2310" s="951">
        <v>0</v>
      </c>
      <c r="I2310" s="951">
        <v>0</v>
      </c>
      <c r="J2310" s="947" t="s">
        <v>181</v>
      </c>
      <c r="K2310" s="947">
        <v>614008</v>
      </c>
      <c r="M2310" s="631"/>
      <c r="P2310" s="950" t="str">
        <f>VLOOKUP(J2310,'רשימת רשויות'!A:A,1,0)</f>
        <v>אשדוד</v>
      </c>
      <c r="Q2310" s="956">
        <f>IFERROR(VLOOKUP(B2310,[2]מעובד!$D:$K,8,0),0)</f>
        <v>0</v>
      </c>
      <c r="R2310" s="956">
        <f>IFERROR(VLOOKUP(B2310,[2]מעובד!$D:$L,9,0),0)</f>
        <v>0</v>
      </c>
    </row>
    <row r="2311" spans="1:18" x14ac:dyDescent="0.2">
      <c r="A2311" s="947" t="s">
        <v>181</v>
      </c>
      <c r="B2311" s="947">
        <v>614024</v>
      </c>
      <c r="C2311" s="947" t="s">
        <v>2189</v>
      </c>
      <c r="D2311" s="947" t="s">
        <v>3123</v>
      </c>
      <c r="E2311" s="951">
        <v>120</v>
      </c>
      <c r="F2311" s="951">
        <v>0</v>
      </c>
      <c r="G2311" s="947" t="s">
        <v>3252</v>
      </c>
      <c r="H2311" s="951">
        <v>0</v>
      </c>
      <c r="I2311" s="951">
        <v>0</v>
      </c>
      <c r="J2311" s="947" t="s">
        <v>181</v>
      </c>
      <c r="K2311" s="947">
        <v>614024</v>
      </c>
      <c r="M2311" s="631"/>
      <c r="P2311" s="950" t="str">
        <f>VLOOKUP(J2311,'רשימת רשויות'!A:A,1,0)</f>
        <v>אשדוד</v>
      </c>
      <c r="Q2311" s="956">
        <f>IFERROR(VLOOKUP(B2311,[2]מעובד!$D:$K,8,0),0)</f>
        <v>0</v>
      </c>
      <c r="R2311" s="956">
        <f>IFERROR(VLOOKUP(B2311,[2]מעובד!$D:$L,9,0),0)</f>
        <v>0</v>
      </c>
    </row>
    <row r="2312" spans="1:18" x14ac:dyDescent="0.2">
      <c r="A2312" s="947" t="s">
        <v>181</v>
      </c>
      <c r="B2312" s="947">
        <v>614040</v>
      </c>
      <c r="C2312" s="947" t="s">
        <v>2189</v>
      </c>
      <c r="D2312" s="947" t="s">
        <v>484</v>
      </c>
      <c r="E2312" s="951">
        <v>186</v>
      </c>
      <c r="F2312" s="951">
        <v>100</v>
      </c>
      <c r="G2312" s="947" t="s">
        <v>159</v>
      </c>
      <c r="H2312" s="951">
        <v>0</v>
      </c>
      <c r="I2312" s="951">
        <v>0</v>
      </c>
      <c r="J2312" s="947" t="s">
        <v>181</v>
      </c>
      <c r="K2312" s="947">
        <v>614040</v>
      </c>
      <c r="M2312" s="631"/>
      <c r="P2312" s="950" t="str">
        <f>VLOOKUP(J2312,'רשימת רשויות'!A:A,1,0)</f>
        <v>אשדוד</v>
      </c>
      <c r="Q2312" s="956">
        <f>IFERROR(VLOOKUP(B2312,[2]מעובד!$D:$K,8,0),0)</f>
        <v>188</v>
      </c>
      <c r="R2312" s="956">
        <f>IFERROR(VLOOKUP(B2312,[2]מעובד!$D:$L,9,0),0)</f>
        <v>63</v>
      </c>
    </row>
    <row r="2313" spans="1:18" x14ac:dyDescent="0.2">
      <c r="A2313" s="947" t="s">
        <v>187</v>
      </c>
      <c r="B2313" s="947">
        <v>614057</v>
      </c>
      <c r="C2313" s="947" t="s">
        <v>2189</v>
      </c>
      <c r="D2313" s="947" t="s">
        <v>852</v>
      </c>
      <c r="E2313" s="951">
        <v>151</v>
      </c>
      <c r="F2313" s="951">
        <v>48</v>
      </c>
      <c r="G2313" s="947" t="s">
        <v>159</v>
      </c>
      <c r="H2313" s="951">
        <v>68</v>
      </c>
      <c r="I2313" s="951">
        <v>8</v>
      </c>
      <c r="J2313" s="947" t="s">
        <v>187</v>
      </c>
      <c r="K2313" s="947">
        <v>614057</v>
      </c>
      <c r="M2313" s="631"/>
      <c r="P2313" s="950" t="str">
        <f>VLOOKUP(J2313,'רשימת רשויות'!A:A,1,0)</f>
        <v>באר שבע</v>
      </c>
      <c r="Q2313" s="956">
        <f>IFERROR(VLOOKUP(B2313,[2]מעובד!$D:$K,8,0),0)</f>
        <v>92</v>
      </c>
      <c r="R2313" s="956">
        <f>IFERROR(VLOOKUP(B2313,[2]מעובד!$D:$L,9,0),0)</f>
        <v>40</v>
      </c>
    </row>
    <row r="2314" spans="1:18" x14ac:dyDescent="0.2">
      <c r="A2314" s="947" t="s">
        <v>187</v>
      </c>
      <c r="B2314" s="947">
        <v>614065</v>
      </c>
      <c r="C2314" s="947" t="s">
        <v>2189</v>
      </c>
      <c r="D2314" s="947" t="s">
        <v>1216</v>
      </c>
      <c r="E2314" s="951">
        <v>222</v>
      </c>
      <c r="F2314" s="951">
        <v>153</v>
      </c>
      <c r="G2314" s="947" t="s">
        <v>159</v>
      </c>
      <c r="H2314" s="951">
        <v>0</v>
      </c>
      <c r="I2314" s="951">
        <v>0</v>
      </c>
      <c r="J2314" s="947" t="s">
        <v>187</v>
      </c>
      <c r="K2314" s="947">
        <v>614065</v>
      </c>
      <c r="M2314" s="631"/>
      <c r="P2314" s="950" t="str">
        <f>VLOOKUP(J2314,'רשימת רשויות'!A:A,1,0)</f>
        <v>באר שבע</v>
      </c>
      <c r="Q2314" s="956">
        <f>IFERROR(VLOOKUP(B2314,[2]מעובד!$D:$K,8,0),0)</f>
        <v>224</v>
      </c>
      <c r="R2314" s="956">
        <f>IFERROR(VLOOKUP(B2314,[2]מעובד!$D:$L,9,0),0)</f>
        <v>52</v>
      </c>
    </row>
    <row r="2315" spans="1:18" x14ac:dyDescent="0.2">
      <c r="A2315" s="947" t="s">
        <v>169</v>
      </c>
      <c r="B2315" s="947">
        <v>614073</v>
      </c>
      <c r="C2315" s="947" t="s">
        <v>2189</v>
      </c>
      <c r="D2315" s="947" t="s">
        <v>853</v>
      </c>
      <c r="E2315" s="951">
        <v>167</v>
      </c>
      <c r="F2315" s="951">
        <v>82</v>
      </c>
      <c r="G2315" s="947" t="s">
        <v>159</v>
      </c>
      <c r="H2315" s="951">
        <v>0</v>
      </c>
      <c r="I2315" s="951">
        <v>0</v>
      </c>
      <c r="J2315" s="947" t="s">
        <v>169</v>
      </c>
      <c r="K2315" s="957" t="s">
        <v>3369</v>
      </c>
      <c r="M2315" s="631"/>
      <c r="P2315" s="950" t="str">
        <f>VLOOKUP(J2315,'רשימת רשויות'!A:A,1,0)</f>
        <v>אילת</v>
      </c>
      <c r="Q2315" s="956">
        <f>IFERROR(VLOOKUP(B2315,[2]מעובד!$D:$K,8,0),0)</f>
        <v>173</v>
      </c>
      <c r="R2315" s="956">
        <f>IFERROR(VLOOKUP(B2315,[2]מעובד!$D:$L,9,0),0)</f>
        <v>118</v>
      </c>
    </row>
    <row r="2316" spans="1:18" x14ac:dyDescent="0.2">
      <c r="A2316" s="947" t="s">
        <v>187</v>
      </c>
      <c r="B2316" s="947">
        <v>614081</v>
      </c>
      <c r="C2316" s="947" t="s">
        <v>2189</v>
      </c>
      <c r="D2316" s="947" t="s">
        <v>576</v>
      </c>
      <c r="E2316" s="951">
        <v>225</v>
      </c>
      <c r="F2316" s="951">
        <v>100</v>
      </c>
      <c r="G2316" s="947" t="s">
        <v>159</v>
      </c>
      <c r="H2316" s="951">
        <v>77</v>
      </c>
      <c r="I2316" s="951">
        <v>12</v>
      </c>
      <c r="J2316" s="947" t="s">
        <v>187</v>
      </c>
      <c r="K2316" s="947">
        <v>614081</v>
      </c>
      <c r="M2316" s="631"/>
      <c r="P2316" s="950" t="str">
        <f>VLOOKUP(J2316,'רשימת רשויות'!A:A,1,0)</f>
        <v>באר שבע</v>
      </c>
      <c r="Q2316" s="956">
        <f>IFERROR(VLOOKUP(B2316,[2]מעובד!$D:$K,8,0),0)</f>
        <v>0</v>
      </c>
      <c r="R2316" s="956">
        <f>IFERROR(VLOOKUP(B2316,[2]מעובד!$D:$L,9,0),0)</f>
        <v>0</v>
      </c>
    </row>
    <row r="2317" spans="1:18" x14ac:dyDescent="0.2">
      <c r="A2317" s="947" t="s">
        <v>225</v>
      </c>
      <c r="B2317" s="947">
        <v>614099</v>
      </c>
      <c r="C2317" s="947" t="s">
        <v>2189</v>
      </c>
      <c r="D2317" s="947" t="s">
        <v>1038</v>
      </c>
      <c r="E2317" s="951">
        <v>219</v>
      </c>
      <c r="F2317" s="951">
        <v>117</v>
      </c>
      <c r="G2317" s="947" t="s">
        <v>159</v>
      </c>
      <c r="H2317" s="951">
        <v>0</v>
      </c>
      <c r="I2317" s="951">
        <v>0</v>
      </c>
      <c r="J2317" s="947" t="s">
        <v>225</v>
      </c>
      <c r="K2317" s="947">
        <v>614099</v>
      </c>
      <c r="M2317" s="631"/>
      <c r="P2317" s="950" t="str">
        <f>VLOOKUP(J2317,'רשימת רשויות'!A:A,1,0)</f>
        <v>דימונה</v>
      </c>
      <c r="Q2317" s="956">
        <f>IFERROR(VLOOKUP(B2317,[2]מעובד!$D:$K,8,0),0)</f>
        <v>242</v>
      </c>
      <c r="R2317" s="956">
        <f>IFERROR(VLOOKUP(B2317,[2]מעובד!$D:$L,9,0),0)</f>
        <v>103</v>
      </c>
    </row>
    <row r="2318" spans="1:18" x14ac:dyDescent="0.2">
      <c r="A2318" s="947" t="s">
        <v>181</v>
      </c>
      <c r="B2318" s="947">
        <v>614115</v>
      </c>
      <c r="C2318" s="947" t="s">
        <v>2189</v>
      </c>
      <c r="D2318" s="947" t="s">
        <v>557</v>
      </c>
      <c r="E2318" s="951">
        <v>210</v>
      </c>
      <c r="F2318" s="951">
        <v>132</v>
      </c>
      <c r="G2318" s="947" t="s">
        <v>159</v>
      </c>
      <c r="H2318" s="951">
        <v>72</v>
      </c>
      <c r="I2318" s="951">
        <v>7</v>
      </c>
      <c r="J2318" s="947" t="s">
        <v>181</v>
      </c>
      <c r="K2318" s="957" t="s">
        <v>3370</v>
      </c>
      <c r="M2318" s="631"/>
      <c r="P2318" s="950" t="str">
        <f>VLOOKUP(J2318,'רשימת רשויות'!A:A,1,0)</f>
        <v>אשדוד</v>
      </c>
      <c r="Q2318" s="956">
        <f>IFERROR(VLOOKUP(B2318,[2]מעובד!$D:$K,8,0),0)</f>
        <v>255</v>
      </c>
      <c r="R2318" s="956">
        <f>IFERROR(VLOOKUP(B2318,[2]מעובד!$D:$L,9,0),0)</f>
        <v>122</v>
      </c>
    </row>
    <row r="2319" spans="1:18" x14ac:dyDescent="0.2">
      <c r="A2319" s="947" t="s">
        <v>181</v>
      </c>
      <c r="B2319" s="947">
        <v>614123</v>
      </c>
      <c r="C2319" s="947" t="s">
        <v>2189</v>
      </c>
      <c r="D2319" s="947" t="s">
        <v>180</v>
      </c>
      <c r="E2319" s="951">
        <v>200</v>
      </c>
      <c r="F2319" s="951">
        <v>153</v>
      </c>
      <c r="G2319" s="947" t="s">
        <v>159</v>
      </c>
      <c r="H2319" s="951">
        <v>0</v>
      </c>
      <c r="I2319" s="951">
        <v>0</v>
      </c>
      <c r="J2319" s="947" t="s">
        <v>181</v>
      </c>
      <c r="K2319" s="947">
        <v>614123</v>
      </c>
      <c r="M2319" s="631"/>
      <c r="P2319" s="950" t="str">
        <f>VLOOKUP(J2319,'רשימת רשויות'!A:A,1,0)</f>
        <v>אשדוד</v>
      </c>
      <c r="Q2319" s="956">
        <f>IFERROR(VLOOKUP(B2319,[2]מעובד!$D:$K,8,0),0)</f>
        <v>181</v>
      </c>
      <c r="R2319" s="956">
        <f>IFERROR(VLOOKUP(B2319,[2]מעובד!$D:$L,9,0),0)</f>
        <v>87</v>
      </c>
    </row>
    <row r="2320" spans="1:18" x14ac:dyDescent="0.2">
      <c r="A2320" s="947" t="s">
        <v>187</v>
      </c>
      <c r="B2320" s="947">
        <v>614149</v>
      </c>
      <c r="C2320" s="947" t="s">
        <v>2189</v>
      </c>
      <c r="D2320" s="947" t="s">
        <v>1197</v>
      </c>
      <c r="E2320" s="951">
        <v>131</v>
      </c>
      <c r="F2320" s="951">
        <v>94</v>
      </c>
      <c r="G2320" s="947" t="s">
        <v>3252</v>
      </c>
      <c r="H2320" s="951">
        <v>53</v>
      </c>
      <c r="I2320" s="951">
        <v>7</v>
      </c>
      <c r="J2320" s="947" t="s">
        <v>187</v>
      </c>
      <c r="K2320" s="947">
        <v>614149</v>
      </c>
      <c r="M2320" s="631"/>
      <c r="P2320" s="950" t="str">
        <f>VLOOKUP(J2320,'רשימת רשויות'!A:A,1,0)</f>
        <v>באר שבע</v>
      </c>
      <c r="Q2320" s="956">
        <f>IFERROR(VLOOKUP(B2320,[2]מעובד!$D:$K,8,0),0)</f>
        <v>131</v>
      </c>
      <c r="R2320" s="956">
        <f>IFERROR(VLOOKUP(B2320,[2]מעובד!$D:$L,9,0),0)</f>
        <v>66</v>
      </c>
    </row>
    <row r="2321" spans="1:18" x14ac:dyDescent="0.2">
      <c r="A2321" s="947" t="s">
        <v>181</v>
      </c>
      <c r="B2321" s="947">
        <v>614156</v>
      </c>
      <c r="C2321" s="947" t="s">
        <v>2189</v>
      </c>
      <c r="D2321" s="947" t="s">
        <v>821</v>
      </c>
      <c r="E2321" s="951">
        <v>238</v>
      </c>
      <c r="F2321" s="951">
        <v>185</v>
      </c>
      <c r="G2321" s="947" t="s">
        <v>159</v>
      </c>
      <c r="H2321" s="951">
        <v>0</v>
      </c>
      <c r="I2321" s="951">
        <v>0</v>
      </c>
      <c r="J2321" s="947" t="s">
        <v>181</v>
      </c>
      <c r="K2321" s="947">
        <v>614156</v>
      </c>
      <c r="M2321" s="631"/>
      <c r="P2321" s="950" t="str">
        <f>VLOOKUP(J2321,'רשימת רשויות'!A:A,1,0)</f>
        <v>אשדוד</v>
      </c>
      <c r="Q2321" s="956">
        <f>IFERROR(VLOOKUP(B2321,[2]מעובד!$D:$K,8,0),0)</f>
        <v>270</v>
      </c>
      <c r="R2321" s="956">
        <f>IFERROR(VLOOKUP(B2321,[2]מעובד!$D:$L,9,0),0)</f>
        <v>72</v>
      </c>
    </row>
    <row r="2322" spans="1:18" x14ac:dyDescent="0.2">
      <c r="A2322" s="947" t="s">
        <v>330</v>
      </c>
      <c r="B2322" s="947">
        <v>614164</v>
      </c>
      <c r="C2322" s="947" t="s">
        <v>2189</v>
      </c>
      <c r="D2322" s="947" t="s">
        <v>2475</v>
      </c>
      <c r="E2322" s="951">
        <v>74</v>
      </c>
      <c r="F2322" s="951">
        <v>0</v>
      </c>
      <c r="G2322" s="947" t="s">
        <v>159</v>
      </c>
      <c r="H2322" s="951">
        <v>0</v>
      </c>
      <c r="I2322" s="951">
        <v>0</v>
      </c>
      <c r="J2322" s="947" t="s">
        <v>330</v>
      </c>
      <c r="K2322" s="947">
        <v>614164</v>
      </c>
      <c r="M2322" s="631"/>
      <c r="P2322" s="950" t="str">
        <f>VLOOKUP(J2322,'רשימת רשויות'!A:A,1,0)</f>
        <v>נחל שורק</v>
      </c>
      <c r="Q2322" s="956">
        <f>IFERROR(VLOOKUP(B2322,[2]מעובד!$D:$K,8,0),0)</f>
        <v>0</v>
      </c>
      <c r="R2322" s="956">
        <f>IFERROR(VLOOKUP(B2322,[2]מעובד!$D:$L,9,0),0)</f>
        <v>0</v>
      </c>
    </row>
    <row r="2323" spans="1:18" x14ac:dyDescent="0.2">
      <c r="A2323" s="947" t="s">
        <v>400</v>
      </c>
      <c r="B2323" s="947">
        <v>614172</v>
      </c>
      <c r="C2323" s="947" t="s">
        <v>2189</v>
      </c>
      <c r="D2323" s="947" t="s">
        <v>452</v>
      </c>
      <c r="E2323" s="951">
        <v>159</v>
      </c>
      <c r="F2323" s="951">
        <v>134</v>
      </c>
      <c r="G2323" s="947" t="s">
        <v>159</v>
      </c>
      <c r="H2323" s="951">
        <v>62</v>
      </c>
      <c r="I2323" s="951">
        <v>15</v>
      </c>
      <c r="J2323" s="947" t="s">
        <v>400</v>
      </c>
      <c r="K2323" s="947">
        <v>614172</v>
      </c>
      <c r="M2323" s="631"/>
      <c r="P2323" s="950" t="str">
        <f>VLOOKUP(J2323,'רשימת רשויות'!A:A,1,0)</f>
        <v>שדרות</v>
      </c>
      <c r="Q2323" s="956">
        <f>IFERROR(VLOOKUP(B2323,[2]מעובד!$D:$K,8,0),0)</f>
        <v>89</v>
      </c>
      <c r="R2323" s="956">
        <f>IFERROR(VLOOKUP(B2323,[2]מעובד!$D:$L,9,0),0)</f>
        <v>60</v>
      </c>
    </row>
    <row r="2324" spans="1:18" x14ac:dyDescent="0.2">
      <c r="A2324" s="947" t="s">
        <v>187</v>
      </c>
      <c r="B2324" s="947">
        <v>614180</v>
      </c>
      <c r="C2324" s="947" t="s">
        <v>2189</v>
      </c>
      <c r="D2324" s="947" t="s">
        <v>433</v>
      </c>
      <c r="E2324" s="951">
        <v>141</v>
      </c>
      <c r="F2324" s="951">
        <v>57</v>
      </c>
      <c r="G2324" s="947" t="s">
        <v>159</v>
      </c>
      <c r="H2324" s="951">
        <v>47</v>
      </c>
      <c r="I2324" s="951">
        <v>2</v>
      </c>
      <c r="J2324" s="947" t="s">
        <v>187</v>
      </c>
      <c r="K2324" s="947">
        <v>614180</v>
      </c>
      <c r="M2324" s="631"/>
      <c r="P2324" s="950" t="str">
        <f>VLOOKUP(J2324,'רשימת רשויות'!A:A,1,0)</f>
        <v>באר שבע</v>
      </c>
      <c r="Q2324" s="956">
        <f>IFERROR(VLOOKUP(B2324,[2]מעובד!$D:$K,8,0),0)</f>
        <v>176</v>
      </c>
      <c r="R2324" s="956">
        <f>IFERROR(VLOOKUP(B2324,[2]מעובד!$D:$L,9,0),0)</f>
        <v>61</v>
      </c>
    </row>
    <row r="2325" spans="1:18" x14ac:dyDescent="0.2">
      <c r="A2325" s="947" t="s">
        <v>181</v>
      </c>
      <c r="B2325" s="947">
        <v>614198</v>
      </c>
      <c r="C2325" s="947" t="s">
        <v>2189</v>
      </c>
      <c r="D2325" s="947" t="s">
        <v>2769</v>
      </c>
      <c r="E2325" s="951">
        <v>288</v>
      </c>
      <c r="F2325" s="951">
        <v>259</v>
      </c>
      <c r="G2325" s="947" t="s">
        <v>3252</v>
      </c>
      <c r="H2325" s="951">
        <v>195</v>
      </c>
      <c r="I2325" s="951">
        <v>14</v>
      </c>
      <c r="J2325" s="947" t="s">
        <v>181</v>
      </c>
      <c r="K2325" s="947">
        <v>614198</v>
      </c>
      <c r="M2325" s="631"/>
      <c r="P2325" s="950" t="str">
        <f>VLOOKUP(J2325,'רשימת רשויות'!A:A,1,0)</f>
        <v>אשדוד</v>
      </c>
      <c r="Q2325" s="956">
        <f>IFERROR(VLOOKUP(B2325,[2]מעובד!$D:$K,8,0),0)</f>
        <v>0</v>
      </c>
      <c r="R2325" s="956">
        <f>IFERROR(VLOOKUP(B2325,[2]מעובד!$D:$L,9,0),0)</f>
        <v>0</v>
      </c>
    </row>
    <row r="2326" spans="1:18" x14ac:dyDescent="0.2">
      <c r="A2326" s="947" t="s">
        <v>183</v>
      </c>
      <c r="B2326" s="947">
        <v>614214</v>
      </c>
      <c r="C2326" s="947" t="s">
        <v>2189</v>
      </c>
      <c r="D2326" s="947" t="s">
        <v>823</v>
      </c>
      <c r="E2326" s="951">
        <v>156</v>
      </c>
      <c r="F2326" s="951">
        <v>118</v>
      </c>
      <c r="G2326" s="947" t="s">
        <v>159</v>
      </c>
      <c r="H2326" s="951">
        <v>49</v>
      </c>
      <c r="I2326" s="951">
        <v>11</v>
      </c>
      <c r="J2326" s="947" t="s">
        <v>183</v>
      </c>
      <c r="K2326" s="947">
        <v>614214</v>
      </c>
      <c r="M2326" s="631"/>
      <c r="P2326" s="950" t="str">
        <f>VLOOKUP(J2326,'רשימת רשויות'!A:A,1,0)</f>
        <v>אשקלון</v>
      </c>
      <c r="Q2326" s="956">
        <f>IFERROR(VLOOKUP(B2326,[2]מעובד!$D:$K,8,0),0)</f>
        <v>229</v>
      </c>
      <c r="R2326" s="956">
        <f>IFERROR(VLOOKUP(B2326,[2]מעובד!$D:$L,9,0),0)</f>
        <v>105</v>
      </c>
    </row>
    <row r="2327" spans="1:18" x14ac:dyDescent="0.2">
      <c r="A2327" s="947" t="s">
        <v>183</v>
      </c>
      <c r="B2327" s="947">
        <v>614230</v>
      </c>
      <c r="C2327" s="947" t="s">
        <v>2189</v>
      </c>
      <c r="D2327" s="947" t="s">
        <v>3124</v>
      </c>
      <c r="E2327" s="951">
        <v>135</v>
      </c>
      <c r="F2327" s="951">
        <v>0</v>
      </c>
      <c r="G2327" s="947" t="s">
        <v>3252</v>
      </c>
      <c r="H2327" s="951">
        <v>53</v>
      </c>
      <c r="I2327" s="951">
        <v>0</v>
      </c>
      <c r="J2327" s="947" t="s">
        <v>183</v>
      </c>
      <c r="K2327" s="947">
        <v>614230</v>
      </c>
      <c r="M2327" s="631"/>
      <c r="P2327" s="950" t="str">
        <f>VLOOKUP(J2327,'רשימת רשויות'!A:A,1,0)</f>
        <v>אשקלון</v>
      </c>
      <c r="Q2327" s="956">
        <f>IFERROR(VLOOKUP(B2327,[2]מעובד!$D:$K,8,0),0)</f>
        <v>0</v>
      </c>
      <c r="R2327" s="956">
        <f>IFERROR(VLOOKUP(B2327,[2]מעובד!$D:$L,9,0),0)</f>
        <v>0</v>
      </c>
    </row>
    <row r="2328" spans="1:18" x14ac:dyDescent="0.2">
      <c r="A2328" s="947" t="s">
        <v>181</v>
      </c>
      <c r="B2328" s="947">
        <v>614248</v>
      </c>
      <c r="C2328" s="947" t="s">
        <v>2189</v>
      </c>
      <c r="D2328" s="947" t="s">
        <v>3125</v>
      </c>
      <c r="E2328" s="951">
        <v>103</v>
      </c>
      <c r="F2328" s="951">
        <v>0</v>
      </c>
      <c r="G2328" s="947" t="s">
        <v>3252</v>
      </c>
      <c r="H2328" s="951">
        <v>0</v>
      </c>
      <c r="I2328" s="951">
        <v>0</v>
      </c>
      <c r="J2328" s="947" t="s">
        <v>181</v>
      </c>
      <c r="K2328" s="947">
        <v>614248</v>
      </c>
      <c r="M2328" s="631"/>
      <c r="P2328" s="950" t="str">
        <f>VLOOKUP(J2328,'רשימת רשויות'!A:A,1,0)</f>
        <v>אשדוד</v>
      </c>
      <c r="Q2328" s="956">
        <f>IFERROR(VLOOKUP(B2328,[2]מעובד!$D:$K,8,0),0)</f>
        <v>0</v>
      </c>
      <c r="R2328" s="956">
        <f>IFERROR(VLOOKUP(B2328,[2]מעובד!$D:$L,9,0),0)</f>
        <v>0</v>
      </c>
    </row>
    <row r="2329" spans="1:18" x14ac:dyDescent="0.2">
      <c r="A2329" s="947" t="s">
        <v>169</v>
      </c>
      <c r="B2329" s="947">
        <v>614255</v>
      </c>
      <c r="C2329" s="947" t="s">
        <v>2189</v>
      </c>
      <c r="D2329" s="947" t="s">
        <v>535</v>
      </c>
      <c r="E2329" s="951">
        <v>202</v>
      </c>
      <c r="F2329" s="951">
        <v>103</v>
      </c>
      <c r="G2329" s="947" t="s">
        <v>159</v>
      </c>
      <c r="H2329" s="951">
        <v>0</v>
      </c>
      <c r="I2329" s="951">
        <v>0</v>
      </c>
      <c r="J2329" s="947" t="s">
        <v>169</v>
      </c>
      <c r="K2329" s="947">
        <v>614255</v>
      </c>
      <c r="M2329" s="631"/>
      <c r="P2329" s="950" t="str">
        <f>VLOOKUP(J2329,'רשימת רשויות'!A:A,1,0)</f>
        <v>אילת</v>
      </c>
      <c r="Q2329" s="956">
        <f>IFERROR(VLOOKUP(B2329,[2]מעובד!$D:$K,8,0),0)</f>
        <v>155</v>
      </c>
      <c r="R2329" s="956">
        <f>IFERROR(VLOOKUP(B2329,[2]מעובד!$D:$L,9,0),0)</f>
        <v>65</v>
      </c>
    </row>
    <row r="2330" spans="1:18" x14ac:dyDescent="0.2">
      <c r="A2330" s="947" t="s">
        <v>373</v>
      </c>
      <c r="B2330" s="947">
        <v>614263</v>
      </c>
      <c r="C2330" s="947" t="s">
        <v>2189</v>
      </c>
      <c r="D2330" s="947" t="s">
        <v>1038</v>
      </c>
      <c r="E2330" s="951">
        <v>443</v>
      </c>
      <c r="F2330" s="951">
        <v>434</v>
      </c>
      <c r="G2330" s="947" t="s">
        <v>159</v>
      </c>
      <c r="H2330" s="951">
        <v>0</v>
      </c>
      <c r="I2330" s="951">
        <v>0</v>
      </c>
      <c r="J2330" s="947" t="s">
        <v>373</v>
      </c>
      <c r="K2330" s="947">
        <v>614263</v>
      </c>
      <c r="M2330" s="631"/>
      <c r="P2330" s="950" t="str">
        <f>VLOOKUP(J2330,'רשימת רשויות'!A:A,1,0)</f>
        <v>קרית גת</v>
      </c>
      <c r="Q2330" s="956">
        <f>IFERROR(VLOOKUP(B2330,[2]מעובד!$D:$K,8,0),0)</f>
        <v>338</v>
      </c>
      <c r="R2330" s="956">
        <f>IFERROR(VLOOKUP(B2330,[2]מעובד!$D:$L,9,0),0)</f>
        <v>150</v>
      </c>
    </row>
    <row r="2331" spans="1:18" x14ac:dyDescent="0.2">
      <c r="A2331" s="947" t="s">
        <v>169</v>
      </c>
      <c r="B2331" s="947">
        <v>614271</v>
      </c>
      <c r="C2331" s="947" t="s">
        <v>2189</v>
      </c>
      <c r="D2331" s="947" t="s">
        <v>824</v>
      </c>
      <c r="E2331" s="951">
        <v>154</v>
      </c>
      <c r="F2331" s="951">
        <v>53</v>
      </c>
      <c r="G2331" s="947" t="s">
        <v>159</v>
      </c>
      <c r="H2331" s="951">
        <v>0</v>
      </c>
      <c r="I2331" s="951">
        <v>0</v>
      </c>
      <c r="J2331" s="947" t="s">
        <v>169</v>
      </c>
      <c r="K2331" s="957" t="s">
        <v>3371</v>
      </c>
      <c r="M2331" s="631"/>
      <c r="P2331" s="950" t="str">
        <f>VLOOKUP(J2331,'רשימת רשויות'!A:A,1,0)</f>
        <v>אילת</v>
      </c>
      <c r="Q2331" s="956">
        <f>IFERROR(VLOOKUP(B2331,[2]מעובד!$D:$K,8,0),0)</f>
        <v>104</v>
      </c>
      <c r="R2331" s="956">
        <f>IFERROR(VLOOKUP(B2331,[2]מעובד!$D:$L,9,0),0)</f>
        <v>28</v>
      </c>
    </row>
    <row r="2332" spans="1:18" x14ac:dyDescent="0.2">
      <c r="A2332" s="947" t="s">
        <v>373</v>
      </c>
      <c r="B2332" s="947">
        <v>614289</v>
      </c>
      <c r="C2332" s="947" t="s">
        <v>2189</v>
      </c>
      <c r="D2332" s="947" t="s">
        <v>733</v>
      </c>
      <c r="E2332" s="951">
        <v>195</v>
      </c>
      <c r="F2332" s="951">
        <v>154</v>
      </c>
      <c r="G2332" s="947" t="s">
        <v>159</v>
      </c>
      <c r="H2332" s="951">
        <v>128</v>
      </c>
      <c r="I2332" s="951">
        <v>23</v>
      </c>
      <c r="J2332" s="947" t="s">
        <v>373</v>
      </c>
      <c r="K2332" s="947">
        <v>614289</v>
      </c>
      <c r="M2332" s="631"/>
      <c r="P2332" s="950" t="str">
        <f>VLOOKUP(J2332,'רשימת רשויות'!A:A,1,0)</f>
        <v>קרית גת</v>
      </c>
      <c r="Q2332" s="956">
        <f>IFERROR(VLOOKUP(B2332,[2]מעובד!$D:$K,8,0),0)</f>
        <v>218</v>
      </c>
      <c r="R2332" s="956">
        <f>IFERROR(VLOOKUP(B2332,[2]מעובד!$D:$L,9,0),0)</f>
        <v>140</v>
      </c>
    </row>
    <row r="2333" spans="1:18" x14ac:dyDescent="0.2">
      <c r="A2333" s="947" t="s">
        <v>164</v>
      </c>
      <c r="B2333" s="947">
        <v>614297</v>
      </c>
      <c r="C2333" s="947" t="s">
        <v>2189</v>
      </c>
      <c r="D2333" s="947" t="s">
        <v>1202</v>
      </c>
      <c r="E2333" s="951">
        <v>131</v>
      </c>
      <c r="F2333" s="951">
        <v>131</v>
      </c>
      <c r="G2333" s="947" t="s">
        <v>3252</v>
      </c>
      <c r="H2333" s="951">
        <v>0</v>
      </c>
      <c r="I2333" s="951">
        <v>0</v>
      </c>
      <c r="J2333" s="947" t="s">
        <v>164</v>
      </c>
      <c r="K2333" s="947">
        <v>614297</v>
      </c>
      <c r="M2333" s="631"/>
      <c r="P2333" s="950" t="str">
        <f>VLOOKUP(J2333,'רשימת רשויות'!A:A,1,0)</f>
        <v>אופקים</v>
      </c>
      <c r="Q2333" s="956">
        <f>IFERROR(VLOOKUP(B2333,[2]מעובד!$D:$K,8,0),0)</f>
        <v>114</v>
      </c>
      <c r="R2333" s="956">
        <f>IFERROR(VLOOKUP(B2333,[2]מעובד!$D:$L,9,0),0)</f>
        <v>70</v>
      </c>
    </row>
    <row r="2334" spans="1:18" x14ac:dyDescent="0.2">
      <c r="A2334" s="947" t="s">
        <v>187</v>
      </c>
      <c r="B2334" s="947">
        <v>614305</v>
      </c>
      <c r="C2334" s="947" t="s">
        <v>2189</v>
      </c>
      <c r="D2334" s="947" t="s">
        <v>825</v>
      </c>
      <c r="E2334" s="951">
        <v>154</v>
      </c>
      <c r="F2334" s="951">
        <v>123</v>
      </c>
      <c r="G2334" s="947" t="s">
        <v>159</v>
      </c>
      <c r="H2334" s="951">
        <v>0</v>
      </c>
      <c r="I2334" s="951">
        <v>0</v>
      </c>
      <c r="J2334" s="947" t="s">
        <v>187</v>
      </c>
      <c r="K2334" s="947">
        <v>614305</v>
      </c>
      <c r="M2334" s="631"/>
      <c r="P2334" s="950" t="str">
        <f>VLOOKUP(J2334,'רשימת רשויות'!A:A,1,0)</f>
        <v>באר שבע</v>
      </c>
      <c r="Q2334" s="956">
        <f>IFERROR(VLOOKUP(B2334,[2]מעובד!$D:$K,8,0),0)</f>
        <v>152</v>
      </c>
      <c r="R2334" s="956">
        <f>IFERROR(VLOOKUP(B2334,[2]מעובד!$D:$L,9,0),0)</f>
        <v>69</v>
      </c>
    </row>
    <row r="2335" spans="1:18" x14ac:dyDescent="0.2">
      <c r="A2335" s="947" t="s">
        <v>181</v>
      </c>
      <c r="B2335" s="947">
        <v>614313</v>
      </c>
      <c r="C2335" s="947" t="s">
        <v>2189</v>
      </c>
      <c r="D2335" s="947" t="s">
        <v>182</v>
      </c>
      <c r="E2335" s="951">
        <v>170</v>
      </c>
      <c r="F2335" s="951">
        <v>99</v>
      </c>
      <c r="G2335" s="947" t="s">
        <v>159</v>
      </c>
      <c r="H2335" s="951">
        <v>75</v>
      </c>
      <c r="I2335" s="951">
        <v>0</v>
      </c>
      <c r="J2335" s="947" t="s">
        <v>181</v>
      </c>
      <c r="K2335" s="947" t="s">
        <v>3251</v>
      </c>
      <c r="M2335" s="631"/>
      <c r="P2335" s="950" t="str">
        <f>VLOOKUP(J2335,'רשימת רשויות'!A:A,1,0)</f>
        <v>אשדוד</v>
      </c>
      <c r="Q2335" s="956">
        <f>IFERROR(VLOOKUP(B2335,[2]מעובד!$D:$K,8,0),0)</f>
        <v>0</v>
      </c>
      <c r="R2335" s="956">
        <f>IFERROR(VLOOKUP(B2335,[2]מעובד!$D:$L,9,0),0)</f>
        <v>0</v>
      </c>
    </row>
    <row r="2336" spans="1:18" x14ac:dyDescent="0.2">
      <c r="A2336" s="947" t="s">
        <v>373</v>
      </c>
      <c r="B2336" s="947">
        <v>614347</v>
      </c>
      <c r="C2336" s="947" t="s">
        <v>2189</v>
      </c>
      <c r="D2336" s="947" t="s">
        <v>2605</v>
      </c>
      <c r="E2336" s="951">
        <v>299</v>
      </c>
      <c r="F2336" s="951">
        <v>289</v>
      </c>
      <c r="G2336" s="947" t="s">
        <v>159</v>
      </c>
      <c r="H2336" s="951">
        <v>111</v>
      </c>
      <c r="I2336" s="951">
        <v>10</v>
      </c>
      <c r="J2336" s="947" t="s">
        <v>373</v>
      </c>
      <c r="K2336" s="947">
        <v>614347</v>
      </c>
      <c r="M2336" s="631"/>
      <c r="P2336" s="950" t="str">
        <f>VLOOKUP(J2336,'רשימת רשויות'!A:A,1,0)</f>
        <v>קרית גת</v>
      </c>
      <c r="Q2336" s="956">
        <f>IFERROR(VLOOKUP(B2336,[2]מעובד!$D:$K,8,0),0)</f>
        <v>0</v>
      </c>
      <c r="R2336" s="956">
        <f>IFERROR(VLOOKUP(B2336,[2]מעובד!$D:$L,9,0),0)</f>
        <v>0</v>
      </c>
    </row>
    <row r="2337" spans="1:18" x14ac:dyDescent="0.2">
      <c r="A2337" s="947" t="s">
        <v>373</v>
      </c>
      <c r="B2337" s="947">
        <v>614354</v>
      </c>
      <c r="C2337" s="947" t="s">
        <v>2189</v>
      </c>
      <c r="D2337" s="947" t="s">
        <v>2623</v>
      </c>
      <c r="E2337" s="951">
        <v>142</v>
      </c>
      <c r="F2337" s="951">
        <v>131</v>
      </c>
      <c r="G2337" s="947" t="s">
        <v>159</v>
      </c>
      <c r="H2337" s="951">
        <v>53</v>
      </c>
      <c r="I2337" s="951">
        <v>11</v>
      </c>
      <c r="J2337" s="947" t="s">
        <v>373</v>
      </c>
      <c r="K2337" s="947">
        <v>614354</v>
      </c>
      <c r="M2337" s="631"/>
      <c r="P2337" s="950" t="str">
        <f>VLOOKUP(J2337,'רשימת רשויות'!A:A,1,0)</f>
        <v>קרית גת</v>
      </c>
      <c r="Q2337" s="956">
        <f>IFERROR(VLOOKUP(B2337,[2]מעובד!$D:$K,8,0),0)</f>
        <v>0</v>
      </c>
      <c r="R2337" s="956">
        <f>IFERROR(VLOOKUP(B2337,[2]מעובד!$D:$L,9,0),0)</f>
        <v>0</v>
      </c>
    </row>
    <row r="2338" spans="1:18" x14ac:dyDescent="0.2">
      <c r="A2338" s="947" t="s">
        <v>400</v>
      </c>
      <c r="B2338" s="947">
        <v>614362</v>
      </c>
      <c r="C2338" s="947" t="s">
        <v>2189</v>
      </c>
      <c r="D2338" s="947" t="s">
        <v>1204</v>
      </c>
      <c r="E2338" s="951">
        <v>83</v>
      </c>
      <c r="F2338" s="951">
        <v>83</v>
      </c>
      <c r="G2338" s="947" t="s">
        <v>3252</v>
      </c>
      <c r="H2338" s="951">
        <v>0</v>
      </c>
      <c r="I2338" s="951">
        <v>0</v>
      </c>
      <c r="J2338" s="947" t="s">
        <v>400</v>
      </c>
      <c r="K2338" s="947">
        <v>614362</v>
      </c>
      <c r="M2338" s="631"/>
      <c r="P2338" s="950" t="str">
        <f>VLOOKUP(J2338,'רשימת רשויות'!A:A,1,0)</f>
        <v>שדרות</v>
      </c>
      <c r="Q2338" s="956">
        <f>IFERROR(VLOOKUP(B2338,[2]מעובד!$D:$K,8,0),0)</f>
        <v>75</v>
      </c>
      <c r="R2338" s="956">
        <f>IFERROR(VLOOKUP(B2338,[2]מעובד!$D:$L,9,0),0)</f>
        <v>47</v>
      </c>
    </row>
    <row r="2339" spans="1:18" x14ac:dyDescent="0.2">
      <c r="A2339" s="947" t="s">
        <v>181</v>
      </c>
      <c r="B2339" s="947">
        <v>614370</v>
      </c>
      <c r="C2339" s="947" t="s">
        <v>2189</v>
      </c>
      <c r="D2339" s="947" t="s">
        <v>496</v>
      </c>
      <c r="E2339" s="951">
        <v>122</v>
      </c>
      <c r="F2339" s="951">
        <v>56</v>
      </c>
      <c r="G2339" s="947" t="s">
        <v>159</v>
      </c>
      <c r="H2339" s="951">
        <v>74</v>
      </c>
      <c r="I2339" s="951">
        <v>14</v>
      </c>
      <c r="J2339" s="947" t="s">
        <v>181</v>
      </c>
      <c r="K2339" s="947">
        <v>614370</v>
      </c>
      <c r="M2339" s="631"/>
      <c r="P2339" s="950" t="str">
        <f>VLOOKUP(J2339,'רשימת רשויות'!A:A,1,0)</f>
        <v>אשדוד</v>
      </c>
      <c r="Q2339" s="956">
        <f>IFERROR(VLOOKUP(B2339,[2]מעובד!$D:$K,8,0),0)</f>
        <v>121</v>
      </c>
      <c r="R2339" s="956">
        <f>IFERROR(VLOOKUP(B2339,[2]מעובד!$D:$L,9,0),0)</f>
        <v>58</v>
      </c>
    </row>
    <row r="2340" spans="1:18" x14ac:dyDescent="0.2">
      <c r="A2340" s="947" t="s">
        <v>183</v>
      </c>
      <c r="B2340" s="947">
        <v>614396</v>
      </c>
      <c r="C2340" s="947" t="s">
        <v>2189</v>
      </c>
      <c r="D2340" s="947" t="s">
        <v>831</v>
      </c>
      <c r="E2340" s="951">
        <v>265</v>
      </c>
      <c r="F2340" s="951">
        <v>265</v>
      </c>
      <c r="G2340" s="947" t="s">
        <v>159</v>
      </c>
      <c r="H2340" s="951">
        <v>0</v>
      </c>
      <c r="I2340" s="951">
        <v>0</v>
      </c>
      <c r="J2340" s="947" t="s">
        <v>183</v>
      </c>
      <c r="K2340" s="947">
        <v>614396</v>
      </c>
      <c r="M2340" s="631"/>
      <c r="P2340" s="950" t="str">
        <f>VLOOKUP(J2340,'רשימת רשויות'!A:A,1,0)</f>
        <v>אשקלון</v>
      </c>
      <c r="Q2340" s="956">
        <f>IFERROR(VLOOKUP(B2340,[2]מעובד!$D:$K,8,0),0)</f>
        <v>257</v>
      </c>
      <c r="R2340" s="956">
        <f>IFERROR(VLOOKUP(B2340,[2]מעובד!$D:$L,9,0),0)</f>
        <v>102</v>
      </c>
    </row>
    <row r="2341" spans="1:18" x14ac:dyDescent="0.2">
      <c r="A2341" s="947" t="s">
        <v>183</v>
      </c>
      <c r="B2341" s="947">
        <v>614404</v>
      </c>
      <c r="C2341" s="947" t="s">
        <v>2189</v>
      </c>
      <c r="D2341" s="947" t="s">
        <v>710</v>
      </c>
      <c r="E2341" s="951">
        <v>252</v>
      </c>
      <c r="F2341" s="951">
        <v>233</v>
      </c>
      <c r="G2341" s="947" t="s">
        <v>159</v>
      </c>
      <c r="H2341" s="951">
        <v>0</v>
      </c>
      <c r="I2341" s="951">
        <v>0</v>
      </c>
      <c r="J2341" s="947" t="s">
        <v>183</v>
      </c>
      <c r="K2341" s="947">
        <v>614404</v>
      </c>
      <c r="M2341" s="631"/>
      <c r="P2341" s="950" t="str">
        <f>VLOOKUP(J2341,'רשימת רשויות'!A:A,1,0)</f>
        <v>אשקלון</v>
      </c>
      <c r="Q2341" s="956">
        <f>IFERROR(VLOOKUP(B2341,[2]מעובד!$D:$K,8,0),0)</f>
        <v>216</v>
      </c>
      <c r="R2341" s="956">
        <f>IFERROR(VLOOKUP(B2341,[2]מעובד!$D:$L,9,0),0)</f>
        <v>81</v>
      </c>
    </row>
    <row r="2342" spans="1:18" x14ac:dyDescent="0.2">
      <c r="A2342" s="947" t="s">
        <v>183</v>
      </c>
      <c r="B2342" s="947">
        <v>614420</v>
      </c>
      <c r="C2342" s="947" t="s">
        <v>2189</v>
      </c>
      <c r="D2342" s="947" t="s">
        <v>1207</v>
      </c>
      <c r="E2342" s="951">
        <v>217</v>
      </c>
      <c r="F2342" s="951">
        <v>217</v>
      </c>
      <c r="G2342" s="947" t="s">
        <v>3252</v>
      </c>
      <c r="H2342" s="951">
        <v>0</v>
      </c>
      <c r="I2342" s="951">
        <v>0</v>
      </c>
      <c r="J2342" s="947" t="s">
        <v>183</v>
      </c>
      <c r="K2342" s="947">
        <v>614420</v>
      </c>
      <c r="M2342" s="631"/>
      <c r="P2342" s="950" t="str">
        <f>VLOOKUP(J2342,'רשימת רשויות'!A:A,1,0)</f>
        <v>אשקלון</v>
      </c>
      <c r="Q2342" s="956">
        <f>IFERROR(VLOOKUP(B2342,[2]מעובד!$D:$K,8,0),0)</f>
        <v>197</v>
      </c>
      <c r="R2342" s="956">
        <f>IFERROR(VLOOKUP(B2342,[2]מעובד!$D:$L,9,0),0)</f>
        <v>195</v>
      </c>
    </row>
    <row r="2343" spans="1:18" x14ac:dyDescent="0.2">
      <c r="A2343" s="947" t="s">
        <v>240</v>
      </c>
      <c r="B2343" s="947">
        <v>614446</v>
      </c>
      <c r="C2343" s="947" t="s">
        <v>2189</v>
      </c>
      <c r="D2343" s="947" t="s">
        <v>3126</v>
      </c>
      <c r="E2343" s="951">
        <v>13</v>
      </c>
      <c r="F2343" s="951">
        <v>0</v>
      </c>
      <c r="G2343" s="947" t="s">
        <v>3252</v>
      </c>
      <c r="H2343" s="951">
        <v>0</v>
      </c>
      <c r="I2343" s="951">
        <v>0</v>
      </c>
      <c r="J2343" s="947" t="s">
        <v>240</v>
      </c>
      <c r="K2343" s="947">
        <v>614446</v>
      </c>
      <c r="M2343" s="631"/>
      <c r="P2343" s="950" t="str">
        <f>VLOOKUP(J2343,'רשימת רשויות'!A:A,1,0)</f>
        <v>חבל אילות</v>
      </c>
      <c r="Q2343" s="956">
        <f>IFERROR(VLOOKUP(B2343,[2]מעובד!$D:$K,8,0),0)</f>
        <v>0</v>
      </c>
      <c r="R2343" s="956">
        <f>IFERROR(VLOOKUP(B2343,[2]מעובד!$D:$L,9,0),0)</f>
        <v>0</v>
      </c>
    </row>
    <row r="2344" spans="1:18" x14ac:dyDescent="0.2">
      <c r="A2344" s="947" t="s">
        <v>164</v>
      </c>
      <c r="B2344" s="947">
        <v>614479</v>
      </c>
      <c r="C2344" s="947" t="s">
        <v>2189</v>
      </c>
      <c r="D2344" s="947" t="s">
        <v>1209</v>
      </c>
      <c r="E2344" s="951">
        <v>123</v>
      </c>
      <c r="F2344" s="951">
        <v>52</v>
      </c>
      <c r="G2344" s="947" t="s">
        <v>3252</v>
      </c>
      <c r="H2344" s="951">
        <v>123</v>
      </c>
      <c r="I2344" s="951">
        <v>58</v>
      </c>
      <c r="J2344" s="947" t="s">
        <v>164</v>
      </c>
      <c r="K2344" s="947">
        <v>614479</v>
      </c>
      <c r="M2344" s="631"/>
      <c r="P2344" s="950" t="str">
        <f>VLOOKUP(J2344,'רשימת רשויות'!A:A,1,0)</f>
        <v>אופקים</v>
      </c>
      <c r="Q2344" s="956">
        <f>IFERROR(VLOOKUP(B2344,[2]מעובד!$D:$K,8,0),0)</f>
        <v>0</v>
      </c>
      <c r="R2344" s="956">
        <f>IFERROR(VLOOKUP(B2344,[2]מעובד!$D:$L,9,0),0)</f>
        <v>0</v>
      </c>
    </row>
    <row r="2345" spans="1:18" x14ac:dyDescent="0.2">
      <c r="A2345" s="947" t="s">
        <v>187</v>
      </c>
      <c r="B2345" s="947">
        <v>614495</v>
      </c>
      <c r="C2345" s="947" t="s">
        <v>2189</v>
      </c>
      <c r="D2345" s="947" t="s">
        <v>607</v>
      </c>
      <c r="E2345" s="951">
        <v>270</v>
      </c>
      <c r="F2345" s="951">
        <v>209</v>
      </c>
      <c r="G2345" s="947" t="s">
        <v>159</v>
      </c>
      <c r="H2345" s="951">
        <v>105</v>
      </c>
      <c r="I2345" s="951">
        <v>11</v>
      </c>
      <c r="J2345" s="947" t="s">
        <v>187</v>
      </c>
      <c r="K2345" s="947">
        <v>614495</v>
      </c>
      <c r="M2345" s="631"/>
      <c r="P2345" s="950" t="str">
        <f>VLOOKUP(J2345,'רשימת רשויות'!A:A,1,0)</f>
        <v>באר שבע</v>
      </c>
      <c r="Q2345" s="956">
        <f>IFERROR(VLOOKUP(B2345,[2]מעובד!$D:$K,8,0),0)</f>
        <v>171</v>
      </c>
      <c r="R2345" s="956">
        <f>IFERROR(VLOOKUP(B2345,[2]מעובד!$D:$L,9,0),0)</f>
        <v>40</v>
      </c>
    </row>
    <row r="2346" spans="1:18" x14ac:dyDescent="0.2">
      <c r="A2346" s="947" t="s">
        <v>181</v>
      </c>
      <c r="B2346" s="947">
        <v>614503</v>
      </c>
      <c r="C2346" s="947" t="s">
        <v>2189</v>
      </c>
      <c r="D2346" s="947" t="s">
        <v>755</v>
      </c>
      <c r="E2346" s="951">
        <v>227</v>
      </c>
      <c r="F2346" s="951">
        <v>136</v>
      </c>
      <c r="G2346" s="947" t="s">
        <v>159</v>
      </c>
      <c r="H2346" s="951">
        <v>151</v>
      </c>
      <c r="I2346" s="951">
        <v>6</v>
      </c>
      <c r="J2346" s="947" t="s">
        <v>181</v>
      </c>
      <c r="K2346" s="947">
        <v>614503</v>
      </c>
      <c r="M2346" s="631"/>
      <c r="P2346" s="950" t="str">
        <f>VLOOKUP(J2346,'רשימת רשויות'!A:A,1,0)</f>
        <v>אשדוד</v>
      </c>
      <c r="Q2346" s="956">
        <f>IFERROR(VLOOKUP(B2346,[2]מעובד!$D:$K,8,0),0)</f>
        <v>277</v>
      </c>
      <c r="R2346" s="956">
        <f>IFERROR(VLOOKUP(B2346,[2]מעובד!$D:$L,9,0),0)</f>
        <v>91</v>
      </c>
    </row>
    <row r="2347" spans="1:18" x14ac:dyDescent="0.2">
      <c r="A2347" s="947" t="s">
        <v>181</v>
      </c>
      <c r="B2347" s="947">
        <v>614511</v>
      </c>
      <c r="C2347" s="947" t="s">
        <v>2189</v>
      </c>
      <c r="D2347" s="947" t="s">
        <v>714</v>
      </c>
      <c r="E2347" s="951">
        <v>69</v>
      </c>
      <c r="F2347" s="951">
        <v>59</v>
      </c>
      <c r="G2347" s="947" t="s">
        <v>159</v>
      </c>
      <c r="H2347" s="951">
        <v>0</v>
      </c>
      <c r="I2347" s="951">
        <v>0</v>
      </c>
      <c r="J2347" s="947" t="s">
        <v>181</v>
      </c>
      <c r="K2347" s="947">
        <v>614511</v>
      </c>
      <c r="M2347" s="631"/>
      <c r="P2347" s="950" t="str">
        <f>VLOOKUP(J2347,'רשימת רשויות'!A:A,1,0)</f>
        <v>אשדוד</v>
      </c>
      <c r="Q2347" s="956">
        <f>IFERROR(VLOOKUP(B2347,[2]מעובד!$D:$K,8,0),0)</f>
        <v>88</v>
      </c>
      <c r="R2347" s="956">
        <f>IFERROR(VLOOKUP(B2347,[2]מעובד!$D:$L,9,0),0)</f>
        <v>62</v>
      </c>
    </row>
    <row r="2348" spans="1:18" x14ac:dyDescent="0.2">
      <c r="A2348" s="947" t="s">
        <v>264</v>
      </c>
      <c r="B2348" s="947">
        <v>614529</v>
      </c>
      <c r="C2348" s="947" t="s">
        <v>2189</v>
      </c>
      <c r="D2348" s="947" t="s">
        <v>3127</v>
      </c>
      <c r="E2348" s="951">
        <v>161</v>
      </c>
      <c r="F2348" s="951">
        <v>0</v>
      </c>
      <c r="G2348" s="947" t="s">
        <v>159</v>
      </c>
      <c r="H2348" s="951">
        <v>0</v>
      </c>
      <c r="I2348" s="951">
        <v>0</v>
      </c>
      <c r="J2348" s="947" t="s">
        <v>264</v>
      </c>
      <c r="K2348" s="947">
        <v>614529</v>
      </c>
      <c r="M2348" s="631"/>
      <c r="P2348" s="950" t="str">
        <f>VLOOKUP(J2348,'רשימת רשויות'!A:A,1,0)</f>
        <v>יואב</v>
      </c>
      <c r="Q2348" s="956">
        <f>IFERROR(VLOOKUP(B2348,[2]מעובד!$D:$K,8,0),0)</f>
        <v>0</v>
      </c>
      <c r="R2348" s="956">
        <f>IFERROR(VLOOKUP(B2348,[2]מעובד!$D:$L,9,0),0)</f>
        <v>0</v>
      </c>
    </row>
    <row r="2349" spans="1:18" x14ac:dyDescent="0.2">
      <c r="A2349" s="947" t="s">
        <v>169</v>
      </c>
      <c r="B2349" s="947">
        <v>614537</v>
      </c>
      <c r="C2349" s="947" t="s">
        <v>2189</v>
      </c>
      <c r="D2349" s="947" t="s">
        <v>755</v>
      </c>
      <c r="E2349" s="951">
        <v>260</v>
      </c>
      <c r="F2349" s="951">
        <v>97</v>
      </c>
      <c r="G2349" s="947" t="s">
        <v>159</v>
      </c>
      <c r="H2349" s="951">
        <v>0</v>
      </c>
      <c r="I2349" s="951">
        <v>0</v>
      </c>
      <c r="J2349" s="947" t="s">
        <v>169</v>
      </c>
      <c r="K2349" s="947">
        <v>614537</v>
      </c>
      <c r="M2349" s="631"/>
      <c r="P2349" s="950" t="str">
        <f>VLOOKUP(J2349,'רשימת רשויות'!A:A,1,0)</f>
        <v>אילת</v>
      </c>
      <c r="Q2349" s="956">
        <f>IFERROR(VLOOKUP(B2349,[2]מעובד!$D:$K,8,0),0)</f>
        <v>226</v>
      </c>
      <c r="R2349" s="956">
        <f>IFERROR(VLOOKUP(B2349,[2]מעובד!$D:$L,9,0),0)</f>
        <v>90</v>
      </c>
    </row>
    <row r="2350" spans="1:18" x14ac:dyDescent="0.2">
      <c r="A2350" s="947" t="s">
        <v>187</v>
      </c>
      <c r="B2350" s="947">
        <v>614545</v>
      </c>
      <c r="C2350" s="947" t="s">
        <v>2189</v>
      </c>
      <c r="D2350" s="947" t="s">
        <v>839</v>
      </c>
      <c r="E2350" s="951">
        <v>224</v>
      </c>
      <c r="F2350" s="951">
        <v>120</v>
      </c>
      <c r="G2350" s="947" t="s">
        <v>159</v>
      </c>
      <c r="H2350" s="951">
        <v>0</v>
      </c>
      <c r="I2350" s="951">
        <v>0</v>
      </c>
      <c r="J2350" s="947" t="s">
        <v>187</v>
      </c>
      <c r="K2350" s="947">
        <v>614545</v>
      </c>
      <c r="M2350" s="631"/>
      <c r="P2350" s="950" t="str">
        <f>VLOOKUP(J2350,'רשימת רשויות'!A:A,1,0)</f>
        <v>באר שבע</v>
      </c>
      <c r="Q2350" s="956">
        <f>IFERROR(VLOOKUP(B2350,[2]מעובד!$D:$K,8,0),0)</f>
        <v>231</v>
      </c>
      <c r="R2350" s="956">
        <f>IFERROR(VLOOKUP(B2350,[2]מעובד!$D:$L,9,0),0)</f>
        <v>57</v>
      </c>
    </row>
    <row r="2351" spans="1:18" x14ac:dyDescent="0.2">
      <c r="A2351" s="947" t="s">
        <v>181</v>
      </c>
      <c r="B2351" s="947">
        <v>614552</v>
      </c>
      <c r="C2351" s="947" t="s">
        <v>2189</v>
      </c>
      <c r="D2351" s="947" t="s">
        <v>843</v>
      </c>
      <c r="E2351" s="951">
        <v>134</v>
      </c>
      <c r="F2351" s="951">
        <v>92</v>
      </c>
      <c r="G2351" s="947" t="s">
        <v>159</v>
      </c>
      <c r="H2351" s="951">
        <v>0</v>
      </c>
      <c r="I2351" s="951">
        <v>0</v>
      </c>
      <c r="J2351" s="947" t="s">
        <v>181</v>
      </c>
      <c r="K2351" s="947">
        <v>614552</v>
      </c>
      <c r="M2351" s="631"/>
      <c r="P2351" s="950" t="str">
        <f>VLOOKUP(J2351,'רשימת רשויות'!A:A,1,0)</f>
        <v>אשדוד</v>
      </c>
      <c r="Q2351" s="956">
        <f>IFERROR(VLOOKUP(B2351,[2]מעובד!$D:$K,8,0),0)</f>
        <v>145</v>
      </c>
      <c r="R2351" s="956">
        <f>IFERROR(VLOOKUP(B2351,[2]מעובד!$D:$L,9,0),0)</f>
        <v>62</v>
      </c>
    </row>
    <row r="2352" spans="1:18" x14ac:dyDescent="0.2">
      <c r="A2352" s="947" t="s">
        <v>378</v>
      </c>
      <c r="B2352" s="947">
        <v>614560</v>
      </c>
      <c r="C2352" s="947" t="s">
        <v>2189</v>
      </c>
      <c r="D2352" s="947" t="s">
        <v>2601</v>
      </c>
      <c r="E2352" s="951">
        <v>320</v>
      </c>
      <c r="F2352" s="951">
        <v>310</v>
      </c>
      <c r="G2352" s="947" t="s">
        <v>159</v>
      </c>
      <c r="H2352" s="951">
        <v>0</v>
      </c>
      <c r="I2352" s="951">
        <v>0</v>
      </c>
      <c r="J2352" s="947" t="s">
        <v>378</v>
      </c>
      <c r="K2352" s="947">
        <v>614560</v>
      </c>
      <c r="M2352" s="631"/>
      <c r="P2352" s="950" t="str">
        <f>VLOOKUP(J2352,'רשימת רשויות'!A:A,1,0)</f>
        <v>קרית מלאכי</v>
      </c>
      <c r="Q2352" s="956">
        <f>IFERROR(VLOOKUP(B2352,[2]מעובד!$D:$K,8,0),0)</f>
        <v>269</v>
      </c>
      <c r="R2352" s="956">
        <f>IFERROR(VLOOKUP(B2352,[2]מעובד!$D:$L,9,0),0)</f>
        <v>133</v>
      </c>
    </row>
    <row r="2353" spans="1:18" x14ac:dyDescent="0.2">
      <c r="A2353" s="947" t="s">
        <v>187</v>
      </c>
      <c r="B2353" s="947">
        <v>614578</v>
      </c>
      <c r="C2353" s="947" t="s">
        <v>2189</v>
      </c>
      <c r="D2353" s="947" t="s">
        <v>844</v>
      </c>
      <c r="E2353" s="951">
        <v>185</v>
      </c>
      <c r="F2353" s="951">
        <v>90</v>
      </c>
      <c r="G2353" s="947" t="s">
        <v>159</v>
      </c>
      <c r="H2353" s="951">
        <v>0</v>
      </c>
      <c r="I2353" s="951">
        <v>0</v>
      </c>
      <c r="J2353" s="947" t="s">
        <v>187</v>
      </c>
      <c r="K2353" s="947">
        <v>614578</v>
      </c>
      <c r="M2353" s="631"/>
      <c r="P2353" s="950" t="str">
        <f>VLOOKUP(J2353,'רשימת רשויות'!A:A,1,0)</f>
        <v>באר שבע</v>
      </c>
      <c r="Q2353" s="956">
        <f>IFERROR(VLOOKUP(B2353,[2]מעובד!$D:$K,8,0),0)</f>
        <v>200</v>
      </c>
      <c r="R2353" s="956">
        <f>IFERROR(VLOOKUP(B2353,[2]מעובד!$D:$L,9,0),0)</f>
        <v>59</v>
      </c>
    </row>
    <row r="2354" spans="1:18" x14ac:dyDescent="0.2">
      <c r="A2354" s="947" t="s">
        <v>335</v>
      </c>
      <c r="B2354" s="947">
        <v>614586</v>
      </c>
      <c r="C2354" s="947" t="s">
        <v>2189</v>
      </c>
      <c r="D2354" s="947" t="s">
        <v>845</v>
      </c>
      <c r="E2354" s="951">
        <v>357</v>
      </c>
      <c r="F2354" s="951">
        <v>340</v>
      </c>
      <c r="G2354" s="947" t="s">
        <v>159</v>
      </c>
      <c r="H2354" s="951">
        <v>0</v>
      </c>
      <c r="I2354" s="951">
        <v>0</v>
      </c>
      <c r="J2354" s="947" t="s">
        <v>335</v>
      </c>
      <c r="K2354" s="947">
        <v>614586</v>
      </c>
      <c r="M2354" s="631"/>
      <c r="P2354" s="950" t="str">
        <f>VLOOKUP(J2354,'רשימת רשויות'!A:A,1,0)</f>
        <v>נתיבות</v>
      </c>
      <c r="Q2354" s="956">
        <f>IFERROR(VLOOKUP(B2354,[2]מעובד!$D:$K,8,0),0)</f>
        <v>370</v>
      </c>
      <c r="R2354" s="956">
        <f>IFERROR(VLOOKUP(B2354,[2]מעובד!$D:$L,9,0),0)</f>
        <v>233</v>
      </c>
    </row>
    <row r="2355" spans="1:18" x14ac:dyDescent="0.2">
      <c r="A2355" s="947" t="s">
        <v>378</v>
      </c>
      <c r="B2355" s="947">
        <v>614594</v>
      </c>
      <c r="C2355" s="947" t="s">
        <v>2189</v>
      </c>
      <c r="D2355" s="947" t="s">
        <v>2699</v>
      </c>
      <c r="E2355" s="951">
        <v>206</v>
      </c>
      <c r="F2355" s="951">
        <v>196</v>
      </c>
      <c r="G2355" s="947" t="s">
        <v>159</v>
      </c>
      <c r="H2355" s="951">
        <v>78</v>
      </c>
      <c r="I2355" s="951">
        <v>0</v>
      </c>
      <c r="J2355" s="947" t="s">
        <v>378</v>
      </c>
      <c r="K2355" s="947">
        <v>614594</v>
      </c>
      <c r="M2355" s="631"/>
      <c r="P2355" s="950" t="str">
        <f>VLOOKUP(J2355,'רשימת רשויות'!A:A,1,0)</f>
        <v>קרית מלאכי</v>
      </c>
      <c r="Q2355" s="956">
        <f>IFERROR(VLOOKUP(B2355,[2]מעובד!$D:$K,8,0),0)</f>
        <v>0</v>
      </c>
      <c r="R2355" s="956">
        <f>IFERROR(VLOOKUP(B2355,[2]מעובד!$D:$L,9,0),0)</f>
        <v>0</v>
      </c>
    </row>
    <row r="2356" spans="1:18" x14ac:dyDescent="0.2">
      <c r="A2356" s="947" t="s">
        <v>187</v>
      </c>
      <c r="B2356" s="947">
        <v>614602</v>
      </c>
      <c r="C2356" s="947" t="s">
        <v>2189</v>
      </c>
      <c r="D2356" s="947" t="s">
        <v>846</v>
      </c>
      <c r="E2356" s="951">
        <v>261</v>
      </c>
      <c r="F2356" s="951">
        <v>170</v>
      </c>
      <c r="G2356" s="947" t="s">
        <v>159</v>
      </c>
      <c r="H2356" s="951">
        <v>0</v>
      </c>
      <c r="I2356" s="951">
        <v>0</v>
      </c>
      <c r="J2356" s="947" t="s">
        <v>187</v>
      </c>
      <c r="K2356" s="947">
        <v>614602</v>
      </c>
      <c r="M2356" s="631"/>
      <c r="P2356" s="950" t="str">
        <f>VLOOKUP(J2356,'רשימת רשויות'!A:A,1,0)</f>
        <v>באר שבע</v>
      </c>
      <c r="Q2356" s="956">
        <f>IFERROR(VLOOKUP(B2356,[2]מעובד!$D:$K,8,0),0)</f>
        <v>249</v>
      </c>
      <c r="R2356" s="956">
        <f>IFERROR(VLOOKUP(B2356,[2]מעובד!$D:$L,9,0),0)</f>
        <v>126</v>
      </c>
    </row>
    <row r="2357" spans="1:18" x14ac:dyDescent="0.2">
      <c r="A2357" s="947" t="s">
        <v>183</v>
      </c>
      <c r="B2357" s="947">
        <v>614610</v>
      </c>
      <c r="C2357" s="947" t="s">
        <v>2189</v>
      </c>
      <c r="D2357" s="947" t="s">
        <v>2476</v>
      </c>
      <c r="E2357" s="951">
        <v>376</v>
      </c>
      <c r="F2357" s="951">
        <v>359</v>
      </c>
      <c r="G2357" s="947" t="s">
        <v>159</v>
      </c>
      <c r="H2357" s="951">
        <v>0</v>
      </c>
      <c r="I2357" s="951">
        <v>0</v>
      </c>
      <c r="J2357" s="947" t="s">
        <v>183</v>
      </c>
      <c r="K2357" s="947">
        <v>614610</v>
      </c>
      <c r="M2357" s="631"/>
      <c r="P2357" s="950" t="str">
        <f>VLOOKUP(J2357,'רשימת רשויות'!A:A,1,0)</f>
        <v>אשקלון</v>
      </c>
      <c r="Q2357" s="956">
        <f>IFERROR(VLOOKUP(B2357,[2]מעובד!$D:$K,8,0),0)</f>
        <v>376</v>
      </c>
      <c r="R2357" s="956">
        <f>IFERROR(VLOOKUP(B2357,[2]מעובד!$D:$L,9,0),0)</f>
        <v>153</v>
      </c>
    </row>
    <row r="2358" spans="1:18" x14ac:dyDescent="0.2">
      <c r="A2358" s="947" t="s">
        <v>169</v>
      </c>
      <c r="B2358" s="947">
        <v>614628</v>
      </c>
      <c r="C2358" s="947" t="s">
        <v>2189</v>
      </c>
      <c r="D2358" s="947" t="s">
        <v>847</v>
      </c>
      <c r="E2358" s="951">
        <v>244</v>
      </c>
      <c r="F2358" s="951">
        <v>125</v>
      </c>
      <c r="G2358" s="947" t="s">
        <v>159</v>
      </c>
      <c r="H2358" s="951">
        <v>90</v>
      </c>
      <c r="I2358" s="951">
        <v>2</v>
      </c>
      <c r="J2358" s="947" t="s">
        <v>169</v>
      </c>
      <c r="K2358" s="947">
        <v>614628</v>
      </c>
      <c r="M2358" s="631"/>
      <c r="P2358" s="950" t="str">
        <f>VLOOKUP(J2358,'רשימת רשויות'!A:A,1,0)</f>
        <v>אילת</v>
      </c>
      <c r="Q2358" s="956">
        <f>IFERROR(VLOOKUP(B2358,[2]מעובד!$D:$K,8,0),0)</f>
        <v>238</v>
      </c>
      <c r="R2358" s="956">
        <f>IFERROR(VLOOKUP(B2358,[2]מעובד!$D:$L,9,0),0)</f>
        <v>64</v>
      </c>
    </row>
    <row r="2359" spans="1:18" x14ac:dyDescent="0.2">
      <c r="A2359" s="947" t="s">
        <v>187</v>
      </c>
      <c r="B2359" s="947">
        <v>614636</v>
      </c>
      <c r="C2359" s="947" t="s">
        <v>2189</v>
      </c>
      <c r="D2359" s="947" t="s">
        <v>849</v>
      </c>
      <c r="E2359" s="951">
        <v>184</v>
      </c>
      <c r="F2359" s="951">
        <v>120</v>
      </c>
      <c r="G2359" s="947" t="s">
        <v>159</v>
      </c>
      <c r="H2359" s="951">
        <v>0</v>
      </c>
      <c r="I2359" s="951">
        <v>0</v>
      </c>
      <c r="J2359" s="947" t="s">
        <v>187</v>
      </c>
      <c r="K2359" s="947">
        <v>614636</v>
      </c>
      <c r="M2359" s="631"/>
      <c r="P2359" s="950" t="str">
        <f>VLOOKUP(J2359,'רשימת רשויות'!A:A,1,0)</f>
        <v>באר שבע</v>
      </c>
      <c r="Q2359" s="956">
        <f>IFERROR(VLOOKUP(B2359,[2]מעובד!$D:$K,8,0),0)</f>
        <v>0</v>
      </c>
      <c r="R2359" s="956">
        <f>IFERROR(VLOOKUP(B2359,[2]מעובד!$D:$L,9,0),0)</f>
        <v>0</v>
      </c>
    </row>
    <row r="2360" spans="1:18" x14ac:dyDescent="0.2">
      <c r="A2360" s="947" t="s">
        <v>187</v>
      </c>
      <c r="B2360" s="947">
        <v>614644</v>
      </c>
      <c r="C2360" s="947" t="s">
        <v>2189</v>
      </c>
      <c r="D2360" s="947" t="s">
        <v>755</v>
      </c>
      <c r="E2360" s="951">
        <v>144</v>
      </c>
      <c r="F2360" s="951">
        <v>54</v>
      </c>
      <c r="G2360" s="947" t="s">
        <v>159</v>
      </c>
      <c r="H2360" s="951">
        <v>0</v>
      </c>
      <c r="I2360" s="951">
        <v>0</v>
      </c>
      <c r="J2360" s="947" t="s">
        <v>187</v>
      </c>
      <c r="K2360" s="947">
        <v>614644</v>
      </c>
      <c r="M2360" s="631"/>
      <c r="P2360" s="950" t="str">
        <f>VLOOKUP(J2360,'רשימת רשויות'!A:A,1,0)</f>
        <v>באר שבע</v>
      </c>
      <c r="Q2360" s="956">
        <f>IFERROR(VLOOKUP(B2360,[2]מעובד!$D:$K,8,0),0)</f>
        <v>129</v>
      </c>
      <c r="R2360" s="956">
        <f>IFERROR(VLOOKUP(B2360,[2]מעובד!$D:$L,9,0),0)</f>
        <v>42</v>
      </c>
    </row>
    <row r="2361" spans="1:18" x14ac:dyDescent="0.2">
      <c r="A2361" s="947" t="s">
        <v>335</v>
      </c>
      <c r="B2361" s="947">
        <v>614651</v>
      </c>
      <c r="C2361" s="947" t="s">
        <v>2189</v>
      </c>
      <c r="D2361" s="947" t="s">
        <v>2477</v>
      </c>
      <c r="E2361" s="951">
        <v>111</v>
      </c>
      <c r="F2361" s="951">
        <v>88</v>
      </c>
      <c r="G2361" s="947" t="s">
        <v>3252</v>
      </c>
      <c r="H2361" s="951">
        <v>74</v>
      </c>
      <c r="I2361" s="951">
        <v>20</v>
      </c>
      <c r="J2361" s="947" t="s">
        <v>335</v>
      </c>
      <c r="K2361" s="947">
        <v>614651</v>
      </c>
      <c r="M2361" s="631"/>
      <c r="P2361" s="950" t="str">
        <f>VLOOKUP(J2361,'רשימת רשויות'!A:A,1,0)</f>
        <v>נתיבות</v>
      </c>
      <c r="Q2361" s="956">
        <f>IFERROR(VLOOKUP(B2361,[2]מעובד!$D:$K,8,0),0)</f>
        <v>140</v>
      </c>
      <c r="R2361" s="956">
        <f>IFERROR(VLOOKUP(B2361,[2]מעובד!$D:$L,9,0),0)</f>
        <v>124</v>
      </c>
    </row>
    <row r="2362" spans="1:18" x14ac:dyDescent="0.2">
      <c r="A2362" s="947" t="s">
        <v>164</v>
      </c>
      <c r="B2362" s="947">
        <v>614669</v>
      </c>
      <c r="C2362" s="947" t="s">
        <v>2189</v>
      </c>
      <c r="D2362" s="947" t="s">
        <v>2478</v>
      </c>
      <c r="E2362" s="951">
        <v>83</v>
      </c>
      <c r="F2362" s="951">
        <v>0</v>
      </c>
      <c r="G2362" s="947" t="s">
        <v>3252</v>
      </c>
      <c r="H2362" s="951">
        <v>0</v>
      </c>
      <c r="I2362" s="951">
        <v>0</v>
      </c>
      <c r="J2362" s="947" t="s">
        <v>164</v>
      </c>
      <c r="K2362" s="947">
        <v>614669</v>
      </c>
      <c r="M2362" s="631"/>
      <c r="P2362" s="950" t="str">
        <f>VLOOKUP(J2362,'רשימת רשויות'!A:A,1,0)</f>
        <v>אופקים</v>
      </c>
      <c r="Q2362" s="956">
        <f>IFERROR(VLOOKUP(B2362,[2]מעובד!$D:$K,8,0),0)</f>
        <v>0</v>
      </c>
      <c r="R2362" s="956">
        <f>IFERROR(VLOOKUP(B2362,[2]מעובד!$D:$L,9,0),0)</f>
        <v>0</v>
      </c>
    </row>
    <row r="2363" spans="1:18" x14ac:dyDescent="0.2">
      <c r="A2363" s="947" t="s">
        <v>183</v>
      </c>
      <c r="B2363" s="947">
        <v>614693</v>
      </c>
      <c r="C2363" s="947" t="s">
        <v>2189</v>
      </c>
      <c r="D2363" s="947" t="s">
        <v>3128</v>
      </c>
      <c r="E2363" s="951">
        <v>41</v>
      </c>
      <c r="F2363" s="951">
        <v>41</v>
      </c>
      <c r="G2363" s="947" t="s">
        <v>3252</v>
      </c>
      <c r="H2363" s="951">
        <v>0</v>
      </c>
      <c r="I2363" s="951">
        <v>0</v>
      </c>
      <c r="J2363" s="947" t="s">
        <v>183</v>
      </c>
      <c r="K2363" s="947">
        <v>614693</v>
      </c>
      <c r="M2363" s="631"/>
      <c r="P2363" s="950" t="str">
        <f>VLOOKUP(J2363,'רשימת רשויות'!A:A,1,0)</f>
        <v>אשקלון</v>
      </c>
      <c r="Q2363" s="956">
        <f>IFERROR(VLOOKUP(B2363,[2]מעובד!$D:$K,8,0),0)</f>
        <v>0</v>
      </c>
      <c r="R2363" s="956">
        <f>IFERROR(VLOOKUP(B2363,[2]מעובד!$D:$L,9,0),0)</f>
        <v>0</v>
      </c>
    </row>
    <row r="2364" spans="1:18" x14ac:dyDescent="0.2">
      <c r="A2364" s="947" t="s">
        <v>187</v>
      </c>
      <c r="B2364" s="947">
        <v>614701</v>
      </c>
      <c r="C2364" s="947" t="s">
        <v>2189</v>
      </c>
      <c r="D2364" s="947" t="s">
        <v>2472</v>
      </c>
      <c r="E2364" s="951">
        <v>116</v>
      </c>
      <c r="F2364" s="951">
        <v>29</v>
      </c>
      <c r="G2364" s="947" t="s">
        <v>159</v>
      </c>
      <c r="H2364" s="951">
        <v>0</v>
      </c>
      <c r="I2364" s="951">
        <v>0</v>
      </c>
      <c r="J2364" s="947" t="s">
        <v>187</v>
      </c>
      <c r="K2364" s="947">
        <v>614701</v>
      </c>
      <c r="M2364" s="631"/>
      <c r="P2364" s="950" t="str">
        <f>VLOOKUP(J2364,'רשימת רשויות'!A:A,1,0)</f>
        <v>באר שבע</v>
      </c>
      <c r="Q2364" s="956">
        <f>IFERROR(VLOOKUP(B2364,[2]מעובד!$D:$K,8,0),0)</f>
        <v>62</v>
      </c>
      <c r="R2364" s="956">
        <f>IFERROR(VLOOKUP(B2364,[2]מעובד!$D:$L,9,0),0)</f>
        <v>30</v>
      </c>
    </row>
    <row r="2365" spans="1:18" x14ac:dyDescent="0.2">
      <c r="A2365" s="947" t="s">
        <v>187</v>
      </c>
      <c r="B2365" s="947">
        <v>614719</v>
      </c>
      <c r="C2365" s="947" t="s">
        <v>2189</v>
      </c>
      <c r="D2365" s="947" t="s">
        <v>893</v>
      </c>
      <c r="E2365" s="951">
        <v>259</v>
      </c>
      <c r="F2365" s="951">
        <v>160</v>
      </c>
      <c r="G2365" s="947" t="s">
        <v>159</v>
      </c>
      <c r="H2365" s="951">
        <v>0</v>
      </c>
      <c r="I2365" s="951">
        <v>0</v>
      </c>
      <c r="J2365" s="947" t="s">
        <v>187</v>
      </c>
      <c r="K2365" s="947">
        <v>614719</v>
      </c>
      <c r="M2365" s="631"/>
      <c r="P2365" s="950" t="str">
        <f>VLOOKUP(J2365,'רשימת רשויות'!A:A,1,0)</f>
        <v>באר שבע</v>
      </c>
      <c r="Q2365" s="956">
        <f>IFERROR(VLOOKUP(B2365,[2]מעובד!$D:$K,8,0),0)</f>
        <v>244</v>
      </c>
      <c r="R2365" s="956">
        <f>IFERROR(VLOOKUP(B2365,[2]מעובד!$D:$L,9,0),0)</f>
        <v>70</v>
      </c>
    </row>
    <row r="2366" spans="1:18" x14ac:dyDescent="0.2">
      <c r="A2366" s="947" t="s">
        <v>400</v>
      </c>
      <c r="B2366" s="947">
        <v>614727</v>
      </c>
      <c r="C2366" s="947" t="s">
        <v>2189</v>
      </c>
      <c r="D2366" s="947" t="s">
        <v>894</v>
      </c>
      <c r="E2366" s="951">
        <v>174</v>
      </c>
      <c r="F2366" s="951">
        <v>174</v>
      </c>
      <c r="G2366" s="947" t="s">
        <v>159</v>
      </c>
      <c r="H2366" s="951">
        <v>0</v>
      </c>
      <c r="I2366" s="951">
        <v>0</v>
      </c>
      <c r="J2366" s="947" t="s">
        <v>400</v>
      </c>
      <c r="K2366" s="947">
        <v>614727</v>
      </c>
      <c r="M2366" s="631"/>
      <c r="P2366" s="950" t="str">
        <f>VLOOKUP(J2366,'רשימת רשויות'!A:A,1,0)</f>
        <v>שדרות</v>
      </c>
      <c r="Q2366" s="956">
        <f>IFERROR(VLOOKUP(B2366,[2]מעובד!$D:$K,8,0),0)</f>
        <v>107</v>
      </c>
      <c r="R2366" s="956">
        <f>IFERROR(VLOOKUP(B2366,[2]מעובד!$D:$L,9,0),0)</f>
        <v>55</v>
      </c>
    </row>
    <row r="2367" spans="1:18" x14ac:dyDescent="0.2">
      <c r="A2367" s="947" t="s">
        <v>324</v>
      </c>
      <c r="B2367" s="947">
        <v>614743</v>
      </c>
      <c r="C2367" s="947" t="s">
        <v>2189</v>
      </c>
      <c r="D2367" s="947" t="s">
        <v>1227</v>
      </c>
      <c r="E2367" s="951">
        <v>76</v>
      </c>
      <c r="F2367" s="951">
        <v>61</v>
      </c>
      <c r="G2367" s="947" t="s">
        <v>3252</v>
      </c>
      <c r="H2367" s="951">
        <v>0</v>
      </c>
      <c r="I2367" s="951">
        <v>0</v>
      </c>
      <c r="J2367" s="947" t="s">
        <v>324</v>
      </c>
      <c r="K2367" s="947">
        <v>614743</v>
      </c>
      <c r="M2367" s="631"/>
      <c r="P2367" s="950" t="str">
        <f>VLOOKUP(J2367,'רשימת רשויות'!A:A,1,0)</f>
        <v>מרחבים</v>
      </c>
      <c r="Q2367" s="956">
        <f>IFERROR(VLOOKUP(B2367,[2]מעובד!$D:$K,8,0),0)</f>
        <v>0</v>
      </c>
      <c r="R2367" s="956">
        <f>IFERROR(VLOOKUP(B2367,[2]מעובד!$D:$L,9,0),0)</f>
        <v>0</v>
      </c>
    </row>
    <row r="2368" spans="1:18" x14ac:dyDescent="0.2">
      <c r="A2368" s="947" t="s">
        <v>399</v>
      </c>
      <c r="B2368" s="947">
        <v>614750</v>
      </c>
      <c r="C2368" s="947" t="s">
        <v>2189</v>
      </c>
      <c r="D2368" s="947" t="s">
        <v>2479</v>
      </c>
      <c r="E2368" s="951">
        <v>201</v>
      </c>
      <c r="F2368" s="951">
        <v>153</v>
      </c>
      <c r="G2368" s="947" t="s">
        <v>159</v>
      </c>
      <c r="H2368" s="951">
        <v>81</v>
      </c>
      <c r="I2368" s="951">
        <v>0</v>
      </c>
      <c r="J2368" s="947" t="s">
        <v>399</v>
      </c>
      <c r="K2368" s="947">
        <v>614750</v>
      </c>
      <c r="M2368" s="631"/>
      <c r="P2368" s="950" t="str">
        <f>VLOOKUP(J2368,'רשימת רשויות'!A:A,1,0)</f>
        <v>שדות נגב עזתה</v>
      </c>
      <c r="Q2368" s="956">
        <f>IFERROR(VLOOKUP(B2368,[2]מעובד!$D:$K,8,0),0)</f>
        <v>248</v>
      </c>
      <c r="R2368" s="956">
        <f>IFERROR(VLOOKUP(B2368,[2]מעובד!$D:$L,9,0),0)</f>
        <v>187</v>
      </c>
    </row>
    <row r="2369" spans="1:18" x14ac:dyDescent="0.2">
      <c r="A2369" s="947" t="s">
        <v>187</v>
      </c>
      <c r="B2369" s="947">
        <v>614768</v>
      </c>
      <c r="C2369" s="947" t="s">
        <v>2189</v>
      </c>
      <c r="D2369" s="947" t="s">
        <v>581</v>
      </c>
      <c r="E2369" s="951">
        <v>370</v>
      </c>
      <c r="F2369" s="951">
        <v>119</v>
      </c>
      <c r="G2369" s="947" t="s">
        <v>159</v>
      </c>
      <c r="H2369" s="951">
        <v>0</v>
      </c>
      <c r="I2369" s="951">
        <v>0</v>
      </c>
      <c r="J2369" s="947" t="s">
        <v>187</v>
      </c>
      <c r="K2369" s="947">
        <v>614768</v>
      </c>
      <c r="M2369" s="631"/>
      <c r="P2369" s="950" t="str">
        <f>VLOOKUP(J2369,'רשימת רשויות'!A:A,1,0)</f>
        <v>באר שבע</v>
      </c>
      <c r="Q2369" s="956">
        <f>IFERROR(VLOOKUP(B2369,[2]מעובד!$D:$K,8,0),0)</f>
        <v>244</v>
      </c>
      <c r="R2369" s="956">
        <f>IFERROR(VLOOKUP(B2369,[2]מעובד!$D:$L,9,0),0)</f>
        <v>172</v>
      </c>
    </row>
    <row r="2370" spans="1:18" x14ac:dyDescent="0.2">
      <c r="A2370" s="947" t="s">
        <v>181</v>
      </c>
      <c r="B2370" s="947">
        <v>614800</v>
      </c>
      <c r="C2370" s="947" t="s">
        <v>2189</v>
      </c>
      <c r="D2370" s="947" t="s">
        <v>2612</v>
      </c>
      <c r="E2370" s="951">
        <v>150</v>
      </c>
      <c r="F2370" s="951">
        <v>150</v>
      </c>
      <c r="G2370" s="947" t="s">
        <v>3252</v>
      </c>
      <c r="H2370" s="951">
        <v>0</v>
      </c>
      <c r="I2370" s="951">
        <v>0</v>
      </c>
      <c r="J2370" s="947" t="s">
        <v>181</v>
      </c>
      <c r="K2370" s="947">
        <v>614800</v>
      </c>
      <c r="M2370" s="631"/>
      <c r="P2370" s="950" t="str">
        <f>VLOOKUP(J2370,'רשימת רשויות'!A:A,1,0)</f>
        <v>אשדוד</v>
      </c>
      <c r="Q2370" s="956">
        <f>IFERROR(VLOOKUP(B2370,[2]מעובד!$D:$K,8,0),0)</f>
        <v>0</v>
      </c>
      <c r="R2370" s="956">
        <f>IFERROR(VLOOKUP(B2370,[2]מעובד!$D:$L,9,0),0)</f>
        <v>0</v>
      </c>
    </row>
    <row r="2371" spans="1:18" x14ac:dyDescent="0.2">
      <c r="A2371" s="947" t="s">
        <v>335</v>
      </c>
      <c r="B2371" s="947">
        <v>614834</v>
      </c>
      <c r="C2371" s="947" t="s">
        <v>2189</v>
      </c>
      <c r="D2371" s="947" t="s">
        <v>1244</v>
      </c>
      <c r="E2371" s="951">
        <v>82</v>
      </c>
      <c r="F2371" s="951">
        <v>82</v>
      </c>
      <c r="G2371" s="947" t="s">
        <v>3252</v>
      </c>
      <c r="H2371" s="951">
        <v>0</v>
      </c>
      <c r="I2371" s="951">
        <v>0</v>
      </c>
      <c r="J2371" s="947" t="s">
        <v>335</v>
      </c>
      <c r="K2371" s="947">
        <v>614834</v>
      </c>
      <c r="M2371" s="631"/>
      <c r="P2371" s="950" t="str">
        <f>VLOOKUP(J2371,'רשימת רשויות'!A:A,1,0)</f>
        <v>נתיבות</v>
      </c>
      <c r="Q2371" s="956">
        <f>IFERROR(VLOOKUP(B2371,[2]מעובד!$D:$K,8,0),0)</f>
        <v>96</v>
      </c>
      <c r="R2371" s="956">
        <f>IFERROR(VLOOKUP(B2371,[2]מעובד!$D:$L,9,0),0)</f>
        <v>95</v>
      </c>
    </row>
    <row r="2372" spans="1:18" x14ac:dyDescent="0.2">
      <c r="A2372" s="947" t="s">
        <v>183</v>
      </c>
      <c r="B2372" s="947">
        <v>614842</v>
      </c>
      <c r="C2372" s="947" t="s">
        <v>2189</v>
      </c>
      <c r="D2372" s="947" t="s">
        <v>927</v>
      </c>
      <c r="E2372" s="951">
        <v>156</v>
      </c>
      <c r="F2372" s="951">
        <v>136</v>
      </c>
      <c r="G2372" s="947" t="s">
        <v>159</v>
      </c>
      <c r="H2372" s="951">
        <v>0</v>
      </c>
      <c r="I2372" s="951">
        <v>0</v>
      </c>
      <c r="J2372" s="947" t="s">
        <v>183</v>
      </c>
      <c r="K2372" s="947">
        <v>614842</v>
      </c>
      <c r="M2372" s="631"/>
      <c r="P2372" s="950" t="str">
        <f>VLOOKUP(J2372,'רשימת רשויות'!A:A,1,0)</f>
        <v>אשקלון</v>
      </c>
      <c r="Q2372" s="956">
        <f>IFERROR(VLOOKUP(B2372,[2]מעובד!$D:$K,8,0),0)</f>
        <v>129</v>
      </c>
      <c r="R2372" s="956">
        <f>IFERROR(VLOOKUP(B2372,[2]מעובד!$D:$L,9,0),0)</f>
        <v>86</v>
      </c>
    </row>
    <row r="2373" spans="1:18" x14ac:dyDescent="0.2">
      <c r="A2373" s="947" t="s">
        <v>181</v>
      </c>
      <c r="B2373" s="947">
        <v>614859</v>
      </c>
      <c r="C2373" s="947" t="s">
        <v>2189</v>
      </c>
      <c r="D2373" s="947" t="s">
        <v>2239</v>
      </c>
      <c r="E2373" s="951">
        <v>50</v>
      </c>
      <c r="F2373" s="951">
        <v>49</v>
      </c>
      <c r="G2373" s="947" t="s">
        <v>3252</v>
      </c>
      <c r="H2373" s="951">
        <v>0</v>
      </c>
      <c r="I2373" s="951">
        <v>0</v>
      </c>
      <c r="J2373" s="947" t="s">
        <v>181</v>
      </c>
      <c r="K2373" s="947">
        <v>614859</v>
      </c>
      <c r="M2373" s="631"/>
      <c r="P2373" s="950" t="str">
        <f>VLOOKUP(J2373,'רשימת רשויות'!A:A,1,0)</f>
        <v>אשדוד</v>
      </c>
      <c r="Q2373" s="956">
        <f>IFERROR(VLOOKUP(B2373,[2]מעובד!$D:$K,8,0),0)</f>
        <v>0</v>
      </c>
      <c r="R2373" s="956">
        <f>IFERROR(VLOOKUP(B2373,[2]מעובד!$D:$L,9,0),0)</f>
        <v>0</v>
      </c>
    </row>
    <row r="2374" spans="1:18" x14ac:dyDescent="0.2">
      <c r="A2374" s="947" t="s">
        <v>181</v>
      </c>
      <c r="B2374" s="947">
        <v>614875</v>
      </c>
      <c r="C2374" s="947" t="s">
        <v>2189</v>
      </c>
      <c r="D2374" s="947" t="s">
        <v>567</v>
      </c>
      <c r="E2374" s="951">
        <v>283</v>
      </c>
      <c r="F2374" s="951">
        <v>221</v>
      </c>
      <c r="G2374" s="947" t="s">
        <v>159</v>
      </c>
      <c r="H2374" s="951">
        <v>0</v>
      </c>
      <c r="I2374" s="951">
        <v>0</v>
      </c>
      <c r="J2374" s="947" t="s">
        <v>181</v>
      </c>
      <c r="K2374" s="947">
        <v>614875</v>
      </c>
      <c r="M2374" s="631"/>
      <c r="P2374" s="950" t="str">
        <f>VLOOKUP(J2374,'רשימת רשויות'!A:A,1,0)</f>
        <v>אשדוד</v>
      </c>
      <c r="Q2374" s="956">
        <f>IFERROR(VLOOKUP(B2374,[2]מעובד!$D:$K,8,0),0)</f>
        <v>276</v>
      </c>
      <c r="R2374" s="956">
        <f>IFERROR(VLOOKUP(B2374,[2]מעובד!$D:$L,9,0),0)</f>
        <v>100</v>
      </c>
    </row>
    <row r="2375" spans="1:18" x14ac:dyDescent="0.2">
      <c r="A2375" s="947" t="s">
        <v>400</v>
      </c>
      <c r="B2375" s="947">
        <v>614883</v>
      </c>
      <c r="C2375" s="947" t="s">
        <v>2189</v>
      </c>
      <c r="D2375" s="947" t="s">
        <v>2240</v>
      </c>
      <c r="E2375" s="951">
        <v>209</v>
      </c>
      <c r="F2375" s="951">
        <v>202</v>
      </c>
      <c r="G2375" s="947" t="s">
        <v>159</v>
      </c>
      <c r="H2375" s="951">
        <v>71</v>
      </c>
      <c r="I2375" s="951">
        <v>7</v>
      </c>
      <c r="J2375" s="947" t="s">
        <v>400</v>
      </c>
      <c r="K2375" s="947">
        <v>614883</v>
      </c>
      <c r="M2375" s="631"/>
      <c r="P2375" s="950" t="str">
        <f>VLOOKUP(J2375,'רשימת רשויות'!A:A,1,0)</f>
        <v>שדרות</v>
      </c>
      <c r="Q2375" s="956">
        <f>IFERROR(VLOOKUP(B2375,[2]מעובד!$D:$K,8,0),0)</f>
        <v>129</v>
      </c>
      <c r="R2375" s="956">
        <f>IFERROR(VLOOKUP(B2375,[2]מעובד!$D:$L,9,0),0)</f>
        <v>129</v>
      </c>
    </row>
    <row r="2376" spans="1:18" x14ac:dyDescent="0.2">
      <c r="A2376" s="947" t="s">
        <v>181</v>
      </c>
      <c r="B2376" s="947">
        <v>614917</v>
      </c>
      <c r="C2376" s="947" t="s">
        <v>2189</v>
      </c>
      <c r="D2376" s="947" t="s">
        <v>3129</v>
      </c>
      <c r="E2376" s="951">
        <v>93</v>
      </c>
      <c r="F2376" s="951">
        <v>0</v>
      </c>
      <c r="G2376" s="947" t="s">
        <v>3252</v>
      </c>
      <c r="H2376" s="951">
        <v>0</v>
      </c>
      <c r="I2376" s="951">
        <v>0</v>
      </c>
      <c r="J2376" s="947" t="s">
        <v>181</v>
      </c>
      <c r="K2376" s="947">
        <v>614917</v>
      </c>
      <c r="M2376" s="631"/>
      <c r="P2376" s="950" t="str">
        <f>VLOOKUP(J2376,'רשימת רשויות'!A:A,1,0)</f>
        <v>אשדוד</v>
      </c>
      <c r="Q2376" s="956">
        <f>IFERROR(VLOOKUP(B2376,[2]מעובד!$D:$K,8,0),0)</f>
        <v>0</v>
      </c>
      <c r="R2376" s="956">
        <f>IFERROR(VLOOKUP(B2376,[2]מעובד!$D:$L,9,0),0)</f>
        <v>0</v>
      </c>
    </row>
    <row r="2377" spans="1:18" x14ac:dyDescent="0.2">
      <c r="A2377" s="947" t="s">
        <v>181</v>
      </c>
      <c r="B2377" s="947">
        <v>614933</v>
      </c>
      <c r="C2377" s="947" t="s">
        <v>2189</v>
      </c>
      <c r="D2377" s="947" t="s">
        <v>1254</v>
      </c>
      <c r="E2377" s="951">
        <v>106</v>
      </c>
      <c r="F2377" s="951">
        <v>73</v>
      </c>
      <c r="G2377" s="947" t="s">
        <v>3252</v>
      </c>
      <c r="H2377" s="951">
        <v>0</v>
      </c>
      <c r="I2377" s="951">
        <v>0</v>
      </c>
      <c r="J2377" s="947" t="s">
        <v>181</v>
      </c>
      <c r="K2377" s="947">
        <v>614933</v>
      </c>
      <c r="M2377" s="631"/>
      <c r="P2377" s="950" t="str">
        <f>VLOOKUP(J2377,'רשימת רשויות'!A:A,1,0)</f>
        <v>אשדוד</v>
      </c>
      <c r="Q2377" s="956">
        <f>IFERROR(VLOOKUP(B2377,[2]מעובד!$D:$K,8,0),0)</f>
        <v>81</v>
      </c>
      <c r="R2377" s="956">
        <f>IFERROR(VLOOKUP(B2377,[2]מעובד!$D:$L,9,0),0)</f>
        <v>52</v>
      </c>
    </row>
    <row r="2378" spans="1:18" x14ac:dyDescent="0.2">
      <c r="A2378" s="947" t="s">
        <v>181</v>
      </c>
      <c r="B2378" s="947">
        <v>614958</v>
      </c>
      <c r="C2378" s="947" t="s">
        <v>2189</v>
      </c>
      <c r="D2378" s="947" t="s">
        <v>642</v>
      </c>
      <c r="E2378" s="951">
        <v>209</v>
      </c>
      <c r="F2378" s="951">
        <v>111</v>
      </c>
      <c r="G2378" s="947" t="s">
        <v>159</v>
      </c>
      <c r="H2378" s="951">
        <v>0</v>
      </c>
      <c r="I2378" s="951">
        <v>0</v>
      </c>
      <c r="J2378" s="947" t="s">
        <v>181</v>
      </c>
      <c r="K2378" s="947">
        <v>614958</v>
      </c>
      <c r="M2378" s="631"/>
      <c r="P2378" s="950" t="str">
        <f>VLOOKUP(J2378,'רשימת רשויות'!A:A,1,0)</f>
        <v>אשדוד</v>
      </c>
      <c r="Q2378" s="956">
        <f>IFERROR(VLOOKUP(B2378,[2]מעובד!$D:$K,8,0),0)</f>
        <v>220</v>
      </c>
      <c r="R2378" s="956">
        <f>IFERROR(VLOOKUP(B2378,[2]מעובד!$D:$L,9,0),0)</f>
        <v>56</v>
      </c>
    </row>
    <row r="2379" spans="1:18" x14ac:dyDescent="0.2">
      <c r="A2379" s="947" t="s">
        <v>181</v>
      </c>
      <c r="B2379" s="947">
        <v>614966</v>
      </c>
      <c r="C2379" s="947" t="s">
        <v>2189</v>
      </c>
      <c r="D2379" s="947" t="s">
        <v>938</v>
      </c>
      <c r="E2379" s="951">
        <v>91</v>
      </c>
      <c r="F2379" s="951">
        <v>44</v>
      </c>
      <c r="G2379" s="947" t="s">
        <v>159</v>
      </c>
      <c r="H2379" s="951">
        <v>69</v>
      </c>
      <c r="I2379" s="951">
        <v>8</v>
      </c>
      <c r="J2379" s="947" t="s">
        <v>181</v>
      </c>
      <c r="K2379" s="957" t="s">
        <v>3372</v>
      </c>
      <c r="M2379" s="631"/>
      <c r="P2379" s="950" t="str">
        <f>VLOOKUP(J2379,'רשימת רשויות'!A:A,1,0)</f>
        <v>אשדוד</v>
      </c>
      <c r="Q2379" s="956">
        <f>IFERROR(VLOOKUP(B2379,[2]מעובד!$D:$K,8,0),0)</f>
        <v>88</v>
      </c>
      <c r="R2379" s="956">
        <f>IFERROR(VLOOKUP(B2379,[2]מעובד!$D:$L,9,0),0)</f>
        <v>54</v>
      </c>
    </row>
    <row r="2380" spans="1:18" x14ac:dyDescent="0.2">
      <c r="A2380" s="947" t="s">
        <v>225</v>
      </c>
      <c r="B2380" s="947">
        <v>614982</v>
      </c>
      <c r="C2380" s="947" t="s">
        <v>2189</v>
      </c>
      <c r="D2380" s="947" t="s">
        <v>2480</v>
      </c>
      <c r="E2380" s="951">
        <v>57</v>
      </c>
      <c r="F2380" s="951">
        <v>57</v>
      </c>
      <c r="G2380" s="947" t="s">
        <v>3252</v>
      </c>
      <c r="H2380" s="951">
        <v>0</v>
      </c>
      <c r="I2380" s="951">
        <v>0</v>
      </c>
      <c r="J2380" s="947" t="s">
        <v>225</v>
      </c>
      <c r="K2380" s="947">
        <v>614982</v>
      </c>
      <c r="M2380" s="631"/>
      <c r="P2380" s="950" t="str">
        <f>VLOOKUP(J2380,'רשימת רשויות'!A:A,1,0)</f>
        <v>דימונה</v>
      </c>
      <c r="Q2380" s="956">
        <f>IFERROR(VLOOKUP(B2380,[2]מעובד!$D:$K,8,0),0)</f>
        <v>43</v>
      </c>
      <c r="R2380" s="956">
        <f>IFERROR(VLOOKUP(B2380,[2]מעובד!$D:$L,9,0),0)</f>
        <v>43</v>
      </c>
    </row>
    <row r="2381" spans="1:18" x14ac:dyDescent="0.2">
      <c r="A2381" s="947" t="s">
        <v>181</v>
      </c>
      <c r="B2381" s="947">
        <v>615005</v>
      </c>
      <c r="C2381" s="947" t="s">
        <v>2189</v>
      </c>
      <c r="D2381" s="947" t="s">
        <v>1267</v>
      </c>
      <c r="E2381" s="951">
        <v>72</v>
      </c>
      <c r="F2381" s="951">
        <v>60</v>
      </c>
      <c r="G2381" s="947" t="s">
        <v>3252</v>
      </c>
      <c r="H2381" s="951">
        <v>0</v>
      </c>
      <c r="I2381" s="951">
        <v>0</v>
      </c>
      <c r="J2381" s="947" t="s">
        <v>181</v>
      </c>
      <c r="K2381" s="947">
        <v>615005</v>
      </c>
      <c r="M2381" s="631"/>
      <c r="P2381" s="950" t="str">
        <f>VLOOKUP(J2381,'רשימת רשויות'!A:A,1,0)</f>
        <v>אשדוד</v>
      </c>
      <c r="Q2381" s="956">
        <f>IFERROR(VLOOKUP(B2381,[2]מעובד!$D:$K,8,0),0)</f>
        <v>0</v>
      </c>
      <c r="R2381" s="956">
        <f>IFERROR(VLOOKUP(B2381,[2]מעובד!$D:$L,9,0),0)</f>
        <v>0</v>
      </c>
    </row>
    <row r="2382" spans="1:18" x14ac:dyDescent="0.2">
      <c r="A2382" s="947" t="s">
        <v>185</v>
      </c>
      <c r="B2382" s="947">
        <v>615013</v>
      </c>
      <c r="C2382" s="947" t="s">
        <v>2189</v>
      </c>
      <c r="D2382" s="947" t="s">
        <v>545</v>
      </c>
      <c r="E2382" s="951">
        <v>221</v>
      </c>
      <c r="F2382" s="951">
        <v>167</v>
      </c>
      <c r="G2382" s="947" t="s">
        <v>159</v>
      </c>
      <c r="H2382" s="951">
        <v>0</v>
      </c>
      <c r="I2382" s="951">
        <v>0</v>
      </c>
      <c r="J2382" s="947" t="s">
        <v>185</v>
      </c>
      <c r="K2382" s="947">
        <v>615013</v>
      </c>
      <c r="M2382" s="631"/>
      <c r="P2382" s="950" t="str">
        <f>VLOOKUP(J2382,'רשימת רשויות'!A:A,1,0)</f>
        <v>באר טוביה</v>
      </c>
      <c r="Q2382" s="956">
        <f>IFERROR(VLOOKUP(B2382,[2]מעובד!$D:$K,8,0),0)</f>
        <v>218</v>
      </c>
      <c r="R2382" s="956">
        <f>IFERROR(VLOOKUP(B2382,[2]מעובד!$D:$L,9,0),0)</f>
        <v>13</v>
      </c>
    </row>
    <row r="2383" spans="1:18" x14ac:dyDescent="0.2">
      <c r="A2383" s="947" t="s">
        <v>164</v>
      </c>
      <c r="B2383" s="947">
        <v>615021</v>
      </c>
      <c r="C2383" s="947" t="s">
        <v>2189</v>
      </c>
      <c r="D2383" s="947" t="s">
        <v>535</v>
      </c>
      <c r="E2383" s="951">
        <v>101</v>
      </c>
      <c r="F2383" s="951">
        <v>100</v>
      </c>
      <c r="G2383" s="947" t="s">
        <v>159</v>
      </c>
      <c r="H2383" s="951">
        <v>0</v>
      </c>
      <c r="I2383" s="951">
        <v>0</v>
      </c>
      <c r="J2383" s="947" t="s">
        <v>164</v>
      </c>
      <c r="K2383" s="947">
        <v>615021</v>
      </c>
      <c r="M2383" s="631"/>
      <c r="P2383" s="950" t="str">
        <f>VLOOKUP(J2383,'רשימת רשויות'!A:A,1,0)</f>
        <v>אופקים</v>
      </c>
      <c r="Q2383" s="956">
        <f>IFERROR(VLOOKUP(B2383,[2]מעובד!$D:$K,8,0),0)</f>
        <v>88</v>
      </c>
      <c r="R2383" s="956">
        <f>IFERROR(VLOOKUP(B2383,[2]מעובד!$D:$L,9,0),0)</f>
        <v>69</v>
      </c>
    </row>
    <row r="2384" spans="1:18" x14ac:dyDescent="0.2">
      <c r="A2384" s="947" t="s">
        <v>181</v>
      </c>
      <c r="B2384" s="947">
        <v>615039</v>
      </c>
      <c r="C2384" s="947" t="s">
        <v>2189</v>
      </c>
      <c r="D2384" s="947" t="s">
        <v>3130</v>
      </c>
      <c r="E2384" s="951">
        <v>137</v>
      </c>
      <c r="F2384" s="951">
        <v>0</v>
      </c>
      <c r="G2384" s="947" t="s">
        <v>3252</v>
      </c>
      <c r="H2384" s="951">
        <v>0</v>
      </c>
      <c r="I2384" s="951">
        <v>0</v>
      </c>
      <c r="J2384" s="947" t="s">
        <v>181</v>
      </c>
      <c r="K2384" s="947">
        <v>615039</v>
      </c>
      <c r="M2384" s="631"/>
      <c r="P2384" s="950" t="str">
        <f>VLOOKUP(J2384,'רשימת רשויות'!A:A,1,0)</f>
        <v>אשדוד</v>
      </c>
      <c r="Q2384" s="956">
        <f>IFERROR(VLOOKUP(B2384,[2]מעובד!$D:$K,8,0),0)</f>
        <v>0</v>
      </c>
      <c r="R2384" s="956">
        <f>IFERROR(VLOOKUP(B2384,[2]מעובד!$D:$L,9,0),0)</f>
        <v>0</v>
      </c>
    </row>
    <row r="2385" spans="1:18" x14ac:dyDescent="0.2">
      <c r="A2385" s="947" t="s">
        <v>182</v>
      </c>
      <c r="B2385" s="947">
        <v>615062</v>
      </c>
      <c r="C2385" s="947" t="s">
        <v>2189</v>
      </c>
      <c r="D2385" s="947" t="s">
        <v>981</v>
      </c>
      <c r="E2385" s="951">
        <v>97</v>
      </c>
      <c r="F2385" s="951">
        <v>84</v>
      </c>
      <c r="G2385" s="947" t="s">
        <v>159</v>
      </c>
      <c r="H2385" s="951">
        <v>35</v>
      </c>
      <c r="I2385" s="951">
        <v>3</v>
      </c>
      <c r="J2385" s="947" t="s">
        <v>182</v>
      </c>
      <c r="K2385" s="947">
        <v>615062</v>
      </c>
      <c r="M2385" s="631"/>
      <c r="P2385" s="950" t="str">
        <f>VLOOKUP(J2385,'רשימת רשויות'!A:A,1,0)</f>
        <v>אשכול</v>
      </c>
      <c r="Q2385" s="956">
        <f>IFERROR(VLOOKUP(B2385,[2]מעובד!$D:$K,8,0),0)</f>
        <v>84</v>
      </c>
      <c r="R2385" s="956">
        <f>IFERROR(VLOOKUP(B2385,[2]מעובד!$D:$L,9,0),0)</f>
        <v>45</v>
      </c>
    </row>
    <row r="2386" spans="1:18" x14ac:dyDescent="0.2">
      <c r="A2386" s="947" t="s">
        <v>324</v>
      </c>
      <c r="B2386" s="947">
        <v>615070</v>
      </c>
      <c r="C2386" s="947" t="s">
        <v>2189</v>
      </c>
      <c r="D2386" s="947" t="s">
        <v>982</v>
      </c>
      <c r="E2386" s="951">
        <v>120</v>
      </c>
      <c r="F2386" s="951">
        <v>97</v>
      </c>
      <c r="G2386" s="947" t="s">
        <v>159</v>
      </c>
      <c r="H2386" s="951">
        <v>0</v>
      </c>
      <c r="I2386" s="951">
        <v>0</v>
      </c>
      <c r="J2386" s="947" t="s">
        <v>324</v>
      </c>
      <c r="K2386" s="947">
        <v>615070</v>
      </c>
      <c r="M2386" s="631"/>
      <c r="P2386" s="950" t="str">
        <f>VLOOKUP(J2386,'רשימת רשויות'!A:A,1,0)</f>
        <v>מרחבים</v>
      </c>
      <c r="Q2386" s="956">
        <f>IFERROR(VLOOKUP(B2386,[2]מעובד!$D:$K,8,0),0)</f>
        <v>126</v>
      </c>
      <c r="R2386" s="956">
        <f>IFERROR(VLOOKUP(B2386,[2]מעובד!$D:$L,9,0),0)</f>
        <v>69</v>
      </c>
    </row>
    <row r="2387" spans="1:18" x14ac:dyDescent="0.2">
      <c r="A2387" s="947" t="s">
        <v>187</v>
      </c>
      <c r="B2387" s="947">
        <v>615104</v>
      </c>
      <c r="C2387" s="947" t="s">
        <v>2189</v>
      </c>
      <c r="D2387" s="947" t="s">
        <v>983</v>
      </c>
      <c r="E2387" s="951">
        <v>271</v>
      </c>
      <c r="F2387" s="951">
        <v>190</v>
      </c>
      <c r="G2387" s="947" t="s">
        <v>159</v>
      </c>
      <c r="H2387" s="951">
        <v>0</v>
      </c>
      <c r="I2387" s="951">
        <v>0</v>
      </c>
      <c r="J2387" s="947" t="s">
        <v>187</v>
      </c>
      <c r="K2387" s="947">
        <v>615104</v>
      </c>
      <c r="M2387" s="631"/>
      <c r="P2387" s="950" t="str">
        <f>VLOOKUP(J2387,'רשימת רשויות'!A:A,1,0)</f>
        <v>באר שבע</v>
      </c>
      <c r="Q2387" s="956">
        <f>IFERROR(VLOOKUP(B2387,[2]מעובד!$D:$K,8,0),0)</f>
        <v>274</v>
      </c>
      <c r="R2387" s="956">
        <f>IFERROR(VLOOKUP(B2387,[2]מעובד!$D:$L,9,0),0)</f>
        <v>102</v>
      </c>
    </row>
    <row r="2388" spans="1:18" x14ac:dyDescent="0.2">
      <c r="A2388" s="947" t="s">
        <v>181</v>
      </c>
      <c r="B2388" s="947">
        <v>615112</v>
      </c>
      <c r="C2388" s="947" t="s">
        <v>2189</v>
      </c>
      <c r="D2388" s="947" t="s">
        <v>2770</v>
      </c>
      <c r="E2388" s="951">
        <v>72</v>
      </c>
      <c r="F2388" s="951">
        <v>69</v>
      </c>
      <c r="G2388" s="947" t="s">
        <v>3252</v>
      </c>
      <c r="H2388" s="951">
        <v>0</v>
      </c>
      <c r="I2388" s="951">
        <v>0</v>
      </c>
      <c r="J2388" s="947" t="s">
        <v>181</v>
      </c>
      <c r="K2388" s="947">
        <v>615112</v>
      </c>
      <c r="M2388" s="631"/>
      <c r="P2388" s="950" t="str">
        <f>VLOOKUP(J2388,'רשימת רשויות'!A:A,1,0)</f>
        <v>אשדוד</v>
      </c>
      <c r="Q2388" s="956">
        <f>IFERROR(VLOOKUP(B2388,[2]מעובד!$D:$K,8,0),0)</f>
        <v>0</v>
      </c>
      <c r="R2388" s="956">
        <f>IFERROR(VLOOKUP(B2388,[2]מעובד!$D:$L,9,0),0)</f>
        <v>0</v>
      </c>
    </row>
    <row r="2389" spans="1:18" x14ac:dyDescent="0.2">
      <c r="A2389" s="947" t="s">
        <v>246</v>
      </c>
      <c r="B2389" s="947">
        <v>615120</v>
      </c>
      <c r="C2389" s="947" t="s">
        <v>2189</v>
      </c>
      <c r="D2389" s="947" t="s">
        <v>994</v>
      </c>
      <c r="E2389" s="951">
        <v>238</v>
      </c>
      <c r="F2389" s="951">
        <v>167</v>
      </c>
      <c r="G2389" s="947" t="s">
        <v>159</v>
      </c>
      <c r="H2389" s="951">
        <v>0</v>
      </c>
      <c r="I2389" s="951">
        <v>0</v>
      </c>
      <c r="J2389" s="947" t="s">
        <v>246</v>
      </c>
      <c r="K2389" s="947">
        <v>615120</v>
      </c>
      <c r="M2389" s="631"/>
      <c r="P2389" s="950" t="str">
        <f>VLOOKUP(J2389,'רשימת רשויות'!A:A,1,0)</f>
        <v>חוף אשקלון</v>
      </c>
      <c r="Q2389" s="956">
        <f>IFERROR(VLOOKUP(B2389,[2]מעובד!$D:$K,8,0),0)</f>
        <v>197</v>
      </c>
      <c r="R2389" s="956">
        <f>IFERROR(VLOOKUP(B2389,[2]מעובד!$D:$L,9,0),0)</f>
        <v>129</v>
      </c>
    </row>
    <row r="2390" spans="1:18" x14ac:dyDescent="0.2">
      <c r="A2390" s="947" t="s">
        <v>355</v>
      </c>
      <c r="B2390" s="947">
        <v>615138</v>
      </c>
      <c r="C2390" s="947" t="s">
        <v>2189</v>
      </c>
      <c r="D2390" s="947" t="s">
        <v>995</v>
      </c>
      <c r="E2390" s="951">
        <v>46</v>
      </c>
      <c r="F2390" s="951">
        <v>41</v>
      </c>
      <c r="G2390" s="947" t="s">
        <v>159</v>
      </c>
      <c r="H2390" s="951">
        <v>0</v>
      </c>
      <c r="I2390" s="951">
        <v>0</v>
      </c>
      <c r="J2390" s="947" t="s">
        <v>355</v>
      </c>
      <c r="K2390" s="947">
        <v>615138</v>
      </c>
      <c r="M2390" s="631"/>
      <c r="P2390" s="950" t="str">
        <f>VLOOKUP(J2390,'רשימת רשויות'!A:A,1,0)</f>
        <v>ערד</v>
      </c>
      <c r="Q2390" s="956">
        <f>IFERROR(VLOOKUP(B2390,[2]מעובד!$D:$K,8,0),0)</f>
        <v>39</v>
      </c>
      <c r="R2390" s="956">
        <f>IFERROR(VLOOKUP(B2390,[2]מעובד!$D:$L,9,0),0)</f>
        <v>34</v>
      </c>
    </row>
    <row r="2391" spans="1:18" x14ac:dyDescent="0.2">
      <c r="A2391" s="947" t="s">
        <v>182</v>
      </c>
      <c r="B2391" s="947">
        <v>615146</v>
      </c>
      <c r="C2391" s="947" t="s">
        <v>2189</v>
      </c>
      <c r="D2391" s="947" t="s">
        <v>1273</v>
      </c>
      <c r="E2391" s="951">
        <v>70</v>
      </c>
      <c r="F2391" s="951">
        <v>0</v>
      </c>
      <c r="G2391" s="947" t="s">
        <v>3252</v>
      </c>
      <c r="H2391" s="951">
        <v>0</v>
      </c>
      <c r="I2391" s="951">
        <v>0</v>
      </c>
      <c r="J2391" s="947" t="s">
        <v>182</v>
      </c>
      <c r="K2391" s="947">
        <v>615146</v>
      </c>
      <c r="M2391" s="631"/>
      <c r="P2391" s="950" t="str">
        <f>VLOOKUP(J2391,'רשימת רשויות'!A:A,1,0)</f>
        <v>אשכול</v>
      </c>
      <c r="Q2391" s="956">
        <f>IFERROR(VLOOKUP(B2391,[2]מעובד!$D:$K,8,0),0)</f>
        <v>0</v>
      </c>
      <c r="R2391" s="956">
        <f>IFERROR(VLOOKUP(B2391,[2]מעובד!$D:$L,9,0),0)</f>
        <v>0</v>
      </c>
    </row>
    <row r="2392" spans="1:18" x14ac:dyDescent="0.2">
      <c r="A2392" s="947" t="s">
        <v>335</v>
      </c>
      <c r="B2392" s="947">
        <v>615153</v>
      </c>
      <c r="C2392" s="947" t="s">
        <v>2189</v>
      </c>
      <c r="D2392" s="947" t="s">
        <v>1274</v>
      </c>
      <c r="E2392" s="951">
        <v>149</v>
      </c>
      <c r="F2392" s="951">
        <v>149</v>
      </c>
      <c r="G2392" s="947" t="s">
        <v>3252</v>
      </c>
      <c r="H2392" s="951">
        <v>0</v>
      </c>
      <c r="I2392" s="951">
        <v>0</v>
      </c>
      <c r="J2392" s="947" t="s">
        <v>335</v>
      </c>
      <c r="K2392" s="947">
        <v>615153</v>
      </c>
      <c r="M2392" s="631"/>
      <c r="P2392" s="950" t="str">
        <f>VLOOKUP(J2392,'רשימת רשויות'!A:A,1,0)</f>
        <v>נתיבות</v>
      </c>
      <c r="Q2392" s="956">
        <f>IFERROR(VLOOKUP(B2392,[2]מעובד!$D:$K,8,0),0)</f>
        <v>164</v>
      </c>
      <c r="R2392" s="956">
        <f>IFERROR(VLOOKUP(B2392,[2]מעובד!$D:$L,9,0),0)</f>
        <v>135</v>
      </c>
    </row>
    <row r="2393" spans="1:18" x14ac:dyDescent="0.2">
      <c r="A2393" s="947" t="s">
        <v>187</v>
      </c>
      <c r="B2393" s="947">
        <v>615161</v>
      </c>
      <c r="C2393" s="947" t="s">
        <v>2189</v>
      </c>
      <c r="D2393" s="947" t="s">
        <v>3131</v>
      </c>
      <c r="E2393" s="951">
        <v>63</v>
      </c>
      <c r="F2393" s="951">
        <v>0</v>
      </c>
      <c r="G2393" s="947" t="s">
        <v>3252</v>
      </c>
      <c r="H2393" s="951">
        <v>0</v>
      </c>
      <c r="I2393" s="951">
        <v>0</v>
      </c>
      <c r="J2393" s="947" t="s">
        <v>187</v>
      </c>
      <c r="K2393" s="947">
        <v>615161</v>
      </c>
      <c r="M2393" s="631"/>
      <c r="P2393" s="950" t="str">
        <f>VLOOKUP(J2393,'רשימת רשויות'!A:A,1,0)</f>
        <v>באר שבע</v>
      </c>
      <c r="Q2393" s="956">
        <f>IFERROR(VLOOKUP(B2393,[2]מעובד!$D:$K,8,0),0)</f>
        <v>0</v>
      </c>
      <c r="R2393" s="956">
        <f>IFERROR(VLOOKUP(B2393,[2]מעובד!$D:$L,9,0),0)</f>
        <v>0</v>
      </c>
    </row>
    <row r="2394" spans="1:18" x14ac:dyDescent="0.2">
      <c r="A2394" s="947" t="s">
        <v>378</v>
      </c>
      <c r="B2394" s="947">
        <v>615179</v>
      </c>
      <c r="C2394" s="947" t="s">
        <v>2189</v>
      </c>
      <c r="D2394" s="947" t="s">
        <v>1254</v>
      </c>
      <c r="E2394" s="951">
        <v>63</v>
      </c>
      <c r="F2394" s="951">
        <v>59</v>
      </c>
      <c r="G2394" s="947" t="s">
        <v>3252</v>
      </c>
      <c r="H2394" s="951">
        <v>0</v>
      </c>
      <c r="I2394" s="951">
        <v>0</v>
      </c>
      <c r="J2394" s="947" t="s">
        <v>378</v>
      </c>
      <c r="K2394" s="947">
        <v>615179</v>
      </c>
      <c r="M2394" s="631"/>
      <c r="P2394" s="950" t="str">
        <f>VLOOKUP(J2394,'רשימת רשויות'!A:A,1,0)</f>
        <v>קרית מלאכי</v>
      </c>
      <c r="Q2394" s="956">
        <f>IFERROR(VLOOKUP(B2394,[2]מעובד!$D:$K,8,0),0)</f>
        <v>0</v>
      </c>
      <c r="R2394" s="956">
        <f>IFERROR(VLOOKUP(B2394,[2]מעובד!$D:$L,9,0),0)</f>
        <v>0</v>
      </c>
    </row>
    <row r="2395" spans="1:18" x14ac:dyDescent="0.2">
      <c r="A2395" s="947" t="s">
        <v>225</v>
      </c>
      <c r="B2395" s="947">
        <v>615203</v>
      </c>
      <c r="C2395" s="947" t="s">
        <v>2189</v>
      </c>
      <c r="D2395" s="947" t="s">
        <v>3132</v>
      </c>
      <c r="E2395" s="951">
        <v>46</v>
      </c>
      <c r="F2395" s="951">
        <v>0</v>
      </c>
      <c r="G2395" s="947" t="s">
        <v>159</v>
      </c>
      <c r="H2395" s="951">
        <v>0</v>
      </c>
      <c r="I2395" s="951">
        <v>0</v>
      </c>
      <c r="J2395" s="947" t="s">
        <v>225</v>
      </c>
      <c r="K2395" s="947">
        <v>615203</v>
      </c>
      <c r="M2395" s="631"/>
      <c r="P2395" s="950" t="str">
        <f>VLOOKUP(J2395,'רשימת רשויות'!A:A,1,0)</f>
        <v>דימונה</v>
      </c>
      <c r="Q2395" s="956">
        <f>IFERROR(VLOOKUP(B2395,[2]מעובד!$D:$K,8,0),0)</f>
        <v>0</v>
      </c>
      <c r="R2395" s="956">
        <f>IFERROR(VLOOKUP(B2395,[2]מעובד!$D:$L,9,0),0)</f>
        <v>0</v>
      </c>
    </row>
    <row r="2396" spans="1:18" x14ac:dyDescent="0.2">
      <c r="A2396" s="947" t="s">
        <v>181</v>
      </c>
      <c r="B2396" s="947">
        <v>615237</v>
      </c>
      <c r="C2396" s="947" t="s">
        <v>2189</v>
      </c>
      <c r="D2396" s="947" t="s">
        <v>1025</v>
      </c>
      <c r="E2396" s="951">
        <v>115</v>
      </c>
      <c r="F2396" s="951">
        <v>46</v>
      </c>
      <c r="G2396" s="947" t="s">
        <v>159</v>
      </c>
      <c r="H2396" s="951">
        <v>0</v>
      </c>
      <c r="I2396" s="951">
        <v>0</v>
      </c>
      <c r="J2396" s="947" t="s">
        <v>181</v>
      </c>
      <c r="K2396" s="957" t="s">
        <v>3373</v>
      </c>
      <c r="M2396" s="631"/>
      <c r="P2396" s="950" t="str">
        <f>VLOOKUP(J2396,'רשימת רשויות'!A:A,1,0)</f>
        <v>אשדוד</v>
      </c>
      <c r="Q2396" s="956">
        <f>IFERROR(VLOOKUP(B2396,[2]מעובד!$D:$K,8,0),0)</f>
        <v>116</v>
      </c>
      <c r="R2396" s="956">
        <f>IFERROR(VLOOKUP(B2396,[2]מעובד!$D:$L,9,0),0)</f>
        <v>40</v>
      </c>
    </row>
    <row r="2397" spans="1:18" x14ac:dyDescent="0.2">
      <c r="A2397" s="947" t="s">
        <v>169</v>
      </c>
      <c r="B2397" s="947">
        <v>615252</v>
      </c>
      <c r="C2397" s="947" t="s">
        <v>2189</v>
      </c>
      <c r="D2397" s="947" t="s">
        <v>2241</v>
      </c>
      <c r="E2397" s="951">
        <v>241</v>
      </c>
      <c r="F2397" s="951">
        <v>121</v>
      </c>
      <c r="G2397" s="947" t="s">
        <v>159</v>
      </c>
      <c r="H2397" s="951">
        <v>241</v>
      </c>
      <c r="I2397" s="951">
        <v>7</v>
      </c>
      <c r="J2397" s="947" t="s">
        <v>169</v>
      </c>
      <c r="K2397" s="947">
        <v>615252</v>
      </c>
      <c r="M2397" s="631"/>
      <c r="P2397" s="950" t="str">
        <f>VLOOKUP(J2397,'רשימת רשויות'!A:A,1,0)</f>
        <v>אילת</v>
      </c>
      <c r="Q2397" s="956">
        <f>IFERROR(VLOOKUP(B2397,[2]מעובד!$D:$K,8,0),0)</f>
        <v>258</v>
      </c>
      <c r="R2397" s="956">
        <f>IFERROR(VLOOKUP(B2397,[2]מעובד!$D:$L,9,0),0)</f>
        <v>100</v>
      </c>
    </row>
    <row r="2398" spans="1:18" x14ac:dyDescent="0.2">
      <c r="A2398" s="947" t="s">
        <v>187</v>
      </c>
      <c r="B2398" s="947">
        <v>615260</v>
      </c>
      <c r="C2398" s="947" t="s">
        <v>2189</v>
      </c>
      <c r="D2398" s="947" t="s">
        <v>2481</v>
      </c>
      <c r="E2398" s="951">
        <v>89</v>
      </c>
      <c r="F2398" s="951">
        <v>51</v>
      </c>
      <c r="G2398" s="947" t="s">
        <v>3252</v>
      </c>
      <c r="H2398" s="951">
        <v>69</v>
      </c>
      <c r="I2398" s="951">
        <v>6</v>
      </c>
      <c r="J2398" s="947" t="s">
        <v>187</v>
      </c>
      <c r="K2398" s="947">
        <v>615260</v>
      </c>
      <c r="M2398" s="631"/>
      <c r="P2398" s="950" t="str">
        <f>VLOOKUP(J2398,'רשימת רשויות'!A:A,1,0)</f>
        <v>באר שבע</v>
      </c>
      <c r="Q2398" s="956">
        <f>IFERROR(VLOOKUP(B2398,[2]מעובד!$D:$K,8,0),0)</f>
        <v>69</v>
      </c>
      <c r="R2398" s="956">
        <f>IFERROR(VLOOKUP(B2398,[2]מעובד!$D:$L,9,0),0)</f>
        <v>59</v>
      </c>
    </row>
    <row r="2399" spans="1:18" x14ac:dyDescent="0.2">
      <c r="A2399" s="947" t="s">
        <v>294</v>
      </c>
      <c r="B2399" s="947">
        <v>615286</v>
      </c>
      <c r="C2399" s="947" t="s">
        <v>2189</v>
      </c>
      <c r="D2399" s="947" t="s">
        <v>1026</v>
      </c>
      <c r="E2399" s="951">
        <v>168</v>
      </c>
      <c r="F2399" s="951">
        <v>165</v>
      </c>
      <c r="G2399" s="947" t="s">
        <v>159</v>
      </c>
      <c r="H2399" s="951">
        <v>0</v>
      </c>
      <c r="I2399" s="951">
        <v>0</v>
      </c>
      <c r="J2399" s="947" t="s">
        <v>294</v>
      </c>
      <c r="K2399" s="947">
        <v>615286</v>
      </c>
      <c r="M2399" s="631"/>
      <c r="P2399" s="950" t="str">
        <f>VLOOKUP(J2399,'רשימת רשויות'!A:A,1,0)</f>
        <v>לכיש</v>
      </c>
      <c r="Q2399" s="956">
        <f>IFERROR(VLOOKUP(B2399,[2]מעובד!$D:$K,8,0),0)</f>
        <v>0</v>
      </c>
      <c r="R2399" s="956">
        <f>IFERROR(VLOOKUP(B2399,[2]מעובד!$D:$L,9,0),0)</f>
        <v>0</v>
      </c>
    </row>
    <row r="2400" spans="1:18" x14ac:dyDescent="0.2">
      <c r="A2400" s="947" t="s">
        <v>172</v>
      </c>
      <c r="B2400" s="947">
        <v>615294</v>
      </c>
      <c r="C2400" s="947" t="s">
        <v>2189</v>
      </c>
      <c r="D2400" s="947" t="s">
        <v>856</v>
      </c>
      <c r="E2400" s="951">
        <v>214</v>
      </c>
      <c r="F2400" s="951">
        <v>169</v>
      </c>
      <c r="G2400" s="947" t="s">
        <v>159</v>
      </c>
      <c r="H2400" s="951">
        <v>0</v>
      </c>
      <c r="I2400" s="951">
        <v>0</v>
      </c>
      <c r="J2400" s="947" t="s">
        <v>172</v>
      </c>
      <c r="K2400" s="947">
        <v>615294</v>
      </c>
      <c r="M2400" s="631"/>
      <c r="P2400" s="950" t="str">
        <f>VLOOKUP(J2400,'רשימת רשויות'!A:A,1,0)</f>
        <v>אל קסום</v>
      </c>
      <c r="Q2400" s="956">
        <f>IFERROR(VLOOKUP(B2400,[2]מעובד!$D:$K,8,0),0)</f>
        <v>207</v>
      </c>
      <c r="R2400" s="956">
        <f>IFERROR(VLOOKUP(B2400,[2]מעובד!$D:$L,9,0),0)</f>
        <v>191</v>
      </c>
    </row>
    <row r="2401" spans="1:18" x14ac:dyDescent="0.2">
      <c r="A2401" s="947" t="s">
        <v>181</v>
      </c>
      <c r="B2401" s="947">
        <v>615310</v>
      </c>
      <c r="C2401" s="947" t="s">
        <v>2189</v>
      </c>
      <c r="D2401" s="947" t="s">
        <v>1219</v>
      </c>
      <c r="E2401" s="951">
        <v>69</v>
      </c>
      <c r="F2401" s="951">
        <v>68</v>
      </c>
      <c r="G2401" s="947" t="s">
        <v>3252</v>
      </c>
      <c r="H2401" s="951">
        <v>0</v>
      </c>
      <c r="I2401" s="951">
        <v>0</v>
      </c>
      <c r="J2401" s="947" t="s">
        <v>181</v>
      </c>
      <c r="K2401" s="947">
        <v>615310</v>
      </c>
      <c r="M2401" s="631"/>
      <c r="P2401" s="950" t="str">
        <f>VLOOKUP(J2401,'רשימת רשויות'!A:A,1,0)</f>
        <v>אשדוד</v>
      </c>
      <c r="Q2401" s="956">
        <f>IFERROR(VLOOKUP(B2401,[2]מעובד!$D:$K,8,0),0)</f>
        <v>69</v>
      </c>
      <c r="R2401" s="956">
        <f>IFERROR(VLOOKUP(B2401,[2]מעובד!$D:$L,9,0),0)</f>
        <v>69</v>
      </c>
    </row>
    <row r="2402" spans="1:18" x14ac:dyDescent="0.2">
      <c r="A2402" s="947" t="s">
        <v>386</v>
      </c>
      <c r="B2402" s="947">
        <v>615336</v>
      </c>
      <c r="C2402" s="947" t="s">
        <v>2189</v>
      </c>
      <c r="D2402" s="947" t="s">
        <v>909</v>
      </c>
      <c r="E2402" s="951">
        <v>313</v>
      </c>
      <c r="F2402" s="951">
        <v>300</v>
      </c>
      <c r="G2402" s="947" t="s">
        <v>159</v>
      </c>
      <c r="H2402" s="951">
        <v>0</v>
      </c>
      <c r="I2402" s="951">
        <v>0</v>
      </c>
      <c r="J2402" s="947" t="s">
        <v>386</v>
      </c>
      <c r="K2402" s="947">
        <v>615336</v>
      </c>
      <c r="M2402" s="631"/>
      <c r="P2402" s="950" t="str">
        <f>VLOOKUP(J2402,'רשימת רשויות'!A:A,1,0)</f>
        <v>רהט</v>
      </c>
      <c r="Q2402" s="956">
        <f>IFERROR(VLOOKUP(B2402,[2]מעובד!$D:$K,8,0),0)</f>
        <v>287</v>
      </c>
      <c r="R2402" s="956">
        <f>IFERROR(VLOOKUP(B2402,[2]מעובד!$D:$L,9,0),0)</f>
        <v>270</v>
      </c>
    </row>
    <row r="2403" spans="1:18" x14ac:dyDescent="0.2">
      <c r="A2403" s="947" t="s">
        <v>200</v>
      </c>
      <c r="B2403" s="947">
        <v>615526</v>
      </c>
      <c r="C2403" s="947" t="s">
        <v>2189</v>
      </c>
      <c r="D2403" s="947" t="s">
        <v>958</v>
      </c>
      <c r="E2403" s="951">
        <v>160</v>
      </c>
      <c r="F2403" s="951">
        <v>52</v>
      </c>
      <c r="G2403" s="947" t="s">
        <v>159</v>
      </c>
      <c r="H2403" s="951">
        <v>0</v>
      </c>
      <c r="I2403" s="951">
        <v>0</v>
      </c>
      <c r="J2403" s="947" t="s">
        <v>200</v>
      </c>
      <c r="K2403" s="947">
        <v>615526</v>
      </c>
      <c r="M2403" s="631"/>
      <c r="P2403" s="950" t="str">
        <f>VLOOKUP(J2403,'רשימת רשויות'!A:A,1,0)</f>
        <v>בני שמעון</v>
      </c>
      <c r="Q2403" s="956">
        <f>IFERROR(VLOOKUP(B2403,[2]מעובד!$D:$K,8,0),0)</f>
        <v>0</v>
      </c>
      <c r="R2403" s="956">
        <f>IFERROR(VLOOKUP(B2403,[2]מעובד!$D:$L,9,0),0)</f>
        <v>0</v>
      </c>
    </row>
    <row r="2404" spans="1:18" x14ac:dyDescent="0.2">
      <c r="A2404" s="947" t="s">
        <v>264</v>
      </c>
      <c r="B2404" s="947">
        <v>615559</v>
      </c>
      <c r="C2404" s="947" t="s">
        <v>2189</v>
      </c>
      <c r="D2404" s="947" t="s">
        <v>971</v>
      </c>
      <c r="E2404" s="951">
        <v>131</v>
      </c>
      <c r="F2404" s="951">
        <v>64</v>
      </c>
      <c r="G2404" s="947" t="s">
        <v>159</v>
      </c>
      <c r="H2404" s="951">
        <v>0</v>
      </c>
      <c r="I2404" s="951">
        <v>0</v>
      </c>
      <c r="J2404" s="947" t="s">
        <v>264</v>
      </c>
      <c r="K2404" s="947">
        <v>615559</v>
      </c>
      <c r="M2404" s="631"/>
      <c r="P2404" s="950" t="str">
        <f>VLOOKUP(J2404,'רשימת רשויות'!A:A,1,0)</f>
        <v>יואב</v>
      </c>
      <c r="Q2404" s="956">
        <f>IFERROR(VLOOKUP(B2404,[2]מעובד!$D:$K,8,0),0)</f>
        <v>0</v>
      </c>
      <c r="R2404" s="956">
        <f>IFERROR(VLOOKUP(B2404,[2]מעובד!$D:$L,9,0),0)</f>
        <v>0</v>
      </c>
    </row>
    <row r="2405" spans="1:18" x14ac:dyDescent="0.2">
      <c r="A2405" s="947" t="s">
        <v>187</v>
      </c>
      <c r="B2405" s="947">
        <v>615880</v>
      </c>
      <c r="C2405" s="947" t="s">
        <v>2189</v>
      </c>
      <c r="D2405" s="947" t="s">
        <v>911</v>
      </c>
      <c r="E2405" s="951">
        <v>176</v>
      </c>
      <c r="F2405" s="951">
        <v>100</v>
      </c>
      <c r="G2405" s="947" t="s">
        <v>159</v>
      </c>
      <c r="H2405" s="951">
        <v>123</v>
      </c>
      <c r="I2405" s="951">
        <v>14</v>
      </c>
      <c r="J2405" s="947" t="s">
        <v>187</v>
      </c>
      <c r="K2405" s="947">
        <v>615880</v>
      </c>
      <c r="M2405" s="631"/>
      <c r="P2405" s="950" t="str">
        <f>VLOOKUP(J2405,'רשימת רשויות'!A:A,1,0)</f>
        <v>באר שבע</v>
      </c>
      <c r="Q2405" s="956">
        <f>IFERROR(VLOOKUP(B2405,[2]מעובד!$D:$K,8,0),0)</f>
        <v>0</v>
      </c>
      <c r="R2405" s="956">
        <f>IFERROR(VLOOKUP(B2405,[2]מעובד!$D:$L,9,0),0)</f>
        <v>0</v>
      </c>
    </row>
    <row r="2406" spans="1:18" x14ac:dyDescent="0.2">
      <c r="A2406" s="947" t="s">
        <v>187</v>
      </c>
      <c r="B2406" s="947">
        <v>615898</v>
      </c>
      <c r="C2406" s="947" t="s">
        <v>2189</v>
      </c>
      <c r="D2406" s="947" t="s">
        <v>916</v>
      </c>
      <c r="E2406" s="951">
        <v>87</v>
      </c>
      <c r="F2406" s="951">
        <v>60</v>
      </c>
      <c r="G2406" s="947" t="s">
        <v>3252</v>
      </c>
      <c r="H2406" s="951">
        <v>0</v>
      </c>
      <c r="I2406" s="951">
        <v>0</v>
      </c>
      <c r="J2406" s="947" t="s">
        <v>187</v>
      </c>
      <c r="K2406" s="947">
        <v>615898</v>
      </c>
      <c r="M2406" s="631"/>
      <c r="P2406" s="950" t="str">
        <f>VLOOKUP(J2406,'רשימת רשויות'!A:A,1,0)</f>
        <v>באר שבע</v>
      </c>
      <c r="Q2406" s="956">
        <f>IFERROR(VLOOKUP(B2406,[2]מעובד!$D:$K,8,0),0)</f>
        <v>0</v>
      </c>
      <c r="R2406" s="956">
        <f>IFERROR(VLOOKUP(B2406,[2]מעובד!$D:$L,9,0),0)</f>
        <v>0</v>
      </c>
    </row>
    <row r="2407" spans="1:18" x14ac:dyDescent="0.2">
      <c r="A2407" s="947" t="s">
        <v>196</v>
      </c>
      <c r="B2407" s="947">
        <v>615971</v>
      </c>
      <c r="C2407" s="947" t="s">
        <v>2189</v>
      </c>
      <c r="D2407" s="947" t="s">
        <v>699</v>
      </c>
      <c r="E2407" s="951">
        <v>88</v>
      </c>
      <c r="F2407" s="951">
        <v>81</v>
      </c>
      <c r="G2407" s="947" t="s">
        <v>159</v>
      </c>
      <c r="H2407" s="951">
        <v>39</v>
      </c>
      <c r="I2407" s="951">
        <v>6</v>
      </c>
      <c r="J2407" s="947" t="s">
        <v>196</v>
      </c>
      <c r="K2407" s="947">
        <v>615971</v>
      </c>
      <c r="M2407" s="631"/>
      <c r="P2407" s="950" t="str">
        <f>VLOOKUP(J2407,'רשימת רשויות'!A:A,1,0)</f>
        <v>בית שמש</v>
      </c>
      <c r="Q2407" s="956">
        <f>IFERROR(VLOOKUP(B2407,[2]מעובד!$D:$K,8,0),0)</f>
        <v>83</v>
      </c>
      <c r="R2407" s="956">
        <f>IFERROR(VLOOKUP(B2407,[2]מעובד!$D:$L,9,0),0)</f>
        <v>61</v>
      </c>
    </row>
    <row r="2408" spans="1:18" x14ac:dyDescent="0.2">
      <c r="A2408" s="947" t="s">
        <v>254</v>
      </c>
      <c r="B2408" s="947">
        <v>615989</v>
      </c>
      <c r="C2408" s="947" t="s">
        <v>2189</v>
      </c>
      <c r="D2408" s="947" t="s">
        <v>2187</v>
      </c>
      <c r="E2408" s="951">
        <v>62</v>
      </c>
      <c r="F2408" s="951">
        <v>62</v>
      </c>
      <c r="G2408" s="947" t="s">
        <v>159</v>
      </c>
      <c r="H2408" s="951">
        <v>0</v>
      </c>
      <c r="I2408" s="951">
        <v>0</v>
      </c>
      <c r="J2408" s="947" t="s">
        <v>254</v>
      </c>
      <c r="K2408" s="947">
        <v>615989</v>
      </c>
      <c r="M2408" s="631"/>
      <c r="P2408" s="950" t="str">
        <f>VLOOKUP(J2408,'רשימת רשויות'!A:A,1,0)</f>
        <v>טבריה</v>
      </c>
      <c r="Q2408" s="956">
        <f>IFERROR(VLOOKUP(B2408,[2]מעובד!$D:$K,8,0),0)</f>
        <v>54</v>
      </c>
      <c r="R2408" s="956">
        <f>IFERROR(VLOOKUP(B2408,[2]מעובד!$D:$L,9,0),0)</f>
        <v>54</v>
      </c>
    </row>
    <row r="2409" spans="1:18" x14ac:dyDescent="0.2">
      <c r="A2409" s="947" t="s">
        <v>270</v>
      </c>
      <c r="B2409" s="947">
        <v>616102</v>
      </c>
      <c r="C2409" s="947" t="s">
        <v>2189</v>
      </c>
      <c r="D2409" s="947" t="s">
        <v>3133</v>
      </c>
      <c r="E2409" s="951">
        <v>68</v>
      </c>
      <c r="F2409" s="951">
        <v>53</v>
      </c>
      <c r="G2409" s="947" t="s">
        <v>3252</v>
      </c>
      <c r="H2409" s="951">
        <v>0</v>
      </c>
      <c r="I2409" s="951">
        <v>0</v>
      </c>
      <c r="J2409" s="947" t="s">
        <v>270</v>
      </c>
      <c r="K2409" s="947">
        <v>616102</v>
      </c>
      <c r="M2409" s="631"/>
      <c r="P2409" s="950" t="str">
        <f>VLOOKUP(J2409,'רשימת רשויות'!A:A,1,0)</f>
        <v>ירושלים</v>
      </c>
      <c r="Q2409" s="956">
        <f>IFERROR(VLOOKUP(B2409,[2]מעובד!$D:$K,8,0),0)</f>
        <v>0</v>
      </c>
      <c r="R2409" s="956">
        <f>IFERROR(VLOOKUP(B2409,[2]מעובד!$D:$L,9,0),0)</f>
        <v>0</v>
      </c>
    </row>
    <row r="2410" spans="1:18" x14ac:dyDescent="0.2">
      <c r="A2410" s="947" t="s">
        <v>329</v>
      </c>
      <c r="B2410" s="947">
        <v>616144</v>
      </c>
      <c r="C2410" s="947" t="s">
        <v>2189</v>
      </c>
      <c r="D2410" s="947" t="s">
        <v>3134</v>
      </c>
      <c r="E2410" s="951">
        <v>88</v>
      </c>
      <c r="F2410" s="951">
        <v>0</v>
      </c>
      <c r="G2410" s="947" t="s">
        <v>159</v>
      </c>
      <c r="H2410" s="951">
        <v>0</v>
      </c>
      <c r="I2410" s="951">
        <v>0</v>
      </c>
      <c r="J2410" s="947" t="s">
        <v>329</v>
      </c>
      <c r="K2410" s="947">
        <v>616144</v>
      </c>
      <c r="M2410" s="631"/>
      <c r="P2410" s="950" t="str">
        <f>VLOOKUP(J2410,'רשימת רשויות'!A:A,1,0)</f>
        <v>נוף הגליל</v>
      </c>
      <c r="Q2410" s="956">
        <f>IFERROR(VLOOKUP(B2410,[2]מעובד!$D:$K,8,0),0)</f>
        <v>0</v>
      </c>
      <c r="R2410" s="956">
        <f>IFERROR(VLOOKUP(B2410,[2]מעובד!$D:$L,9,0),0)</f>
        <v>0</v>
      </c>
    </row>
    <row r="2411" spans="1:18" x14ac:dyDescent="0.2">
      <c r="A2411" s="947" t="s">
        <v>219</v>
      </c>
      <c r="B2411" s="947">
        <v>616151</v>
      </c>
      <c r="C2411" s="947" t="s">
        <v>2189</v>
      </c>
      <c r="D2411" s="947" t="s">
        <v>2650</v>
      </c>
      <c r="E2411" s="951">
        <v>163</v>
      </c>
      <c r="F2411" s="951">
        <v>147</v>
      </c>
      <c r="G2411" s="947" t="s">
        <v>159</v>
      </c>
      <c r="H2411" s="951">
        <v>68</v>
      </c>
      <c r="I2411" s="951">
        <v>0</v>
      </c>
      <c r="J2411" s="947" t="s">
        <v>219</v>
      </c>
      <c r="K2411" s="947">
        <v>616151</v>
      </c>
      <c r="M2411" s="631"/>
      <c r="P2411" s="950" t="str">
        <f>VLOOKUP(J2411,'רשימת רשויות'!A:A,1,0)</f>
        <v>גוש עציון</v>
      </c>
      <c r="Q2411" s="956">
        <f>IFERROR(VLOOKUP(B2411,[2]מעובד!$D:$K,8,0),0)</f>
        <v>134</v>
      </c>
      <c r="R2411" s="956">
        <f>IFERROR(VLOOKUP(B2411,[2]מעובד!$D:$L,9,0),0)</f>
        <v>44</v>
      </c>
    </row>
    <row r="2412" spans="1:18" x14ac:dyDescent="0.2">
      <c r="A2412" s="947" t="s">
        <v>270</v>
      </c>
      <c r="B2412" s="947">
        <v>616169</v>
      </c>
      <c r="C2412" s="947" t="s">
        <v>2189</v>
      </c>
      <c r="D2412" s="947" t="s">
        <v>1271</v>
      </c>
      <c r="E2412" s="951">
        <v>80</v>
      </c>
      <c r="F2412" s="951">
        <v>73</v>
      </c>
      <c r="G2412" s="947" t="s">
        <v>159</v>
      </c>
      <c r="H2412" s="951">
        <v>0</v>
      </c>
      <c r="I2412" s="951">
        <v>0</v>
      </c>
      <c r="J2412" s="947" t="s">
        <v>270</v>
      </c>
      <c r="K2412" s="947">
        <v>616169</v>
      </c>
      <c r="M2412" s="631"/>
      <c r="P2412" s="950" t="str">
        <f>VLOOKUP(J2412,'רשימת רשויות'!A:A,1,0)</f>
        <v>ירושלים</v>
      </c>
      <c r="Q2412" s="956">
        <f>IFERROR(VLOOKUP(B2412,[2]מעובד!$D:$K,8,0),0)</f>
        <v>86</v>
      </c>
      <c r="R2412" s="956">
        <f>IFERROR(VLOOKUP(B2412,[2]מעובד!$D:$L,9,0),0)</f>
        <v>80</v>
      </c>
    </row>
    <row r="2413" spans="1:18" x14ac:dyDescent="0.2">
      <c r="A2413" s="947" t="s">
        <v>230</v>
      </c>
      <c r="B2413" s="947">
        <v>616177</v>
      </c>
      <c r="C2413" s="947" t="s">
        <v>2189</v>
      </c>
      <c r="D2413" s="947" t="s">
        <v>1272</v>
      </c>
      <c r="E2413" s="951">
        <v>161</v>
      </c>
      <c r="F2413" s="951">
        <v>120</v>
      </c>
      <c r="G2413" s="947" t="s">
        <v>159</v>
      </c>
      <c r="H2413" s="951">
        <v>0</v>
      </c>
      <c r="I2413" s="951">
        <v>0</v>
      </c>
      <c r="J2413" s="947" t="s">
        <v>230</v>
      </c>
      <c r="K2413" s="947">
        <v>616177</v>
      </c>
      <c r="M2413" s="631"/>
      <c r="P2413" s="950" t="str">
        <f>VLOOKUP(J2413,'רשימת רשויות'!A:A,1,0)</f>
        <v>הגליל התחתון</v>
      </c>
      <c r="Q2413" s="956">
        <f>IFERROR(VLOOKUP(B2413,[2]מעובד!$D:$K,8,0),0)</f>
        <v>0</v>
      </c>
      <c r="R2413" s="956">
        <f>IFERROR(VLOOKUP(B2413,[2]מעובד!$D:$L,9,0),0)</f>
        <v>0</v>
      </c>
    </row>
    <row r="2414" spans="1:18" x14ac:dyDescent="0.2">
      <c r="A2414" s="947" t="s">
        <v>310</v>
      </c>
      <c r="B2414" s="947">
        <v>616185</v>
      </c>
      <c r="C2414" s="947" t="s">
        <v>2189</v>
      </c>
      <c r="D2414" s="947" t="s">
        <v>1044</v>
      </c>
      <c r="E2414" s="951">
        <v>82</v>
      </c>
      <c r="F2414" s="951">
        <v>71</v>
      </c>
      <c r="G2414" s="947" t="s">
        <v>159</v>
      </c>
      <c r="H2414" s="951">
        <v>31</v>
      </c>
      <c r="I2414" s="951">
        <v>7</v>
      </c>
      <c r="J2414" s="947" t="s">
        <v>310</v>
      </c>
      <c r="K2414" s="947">
        <v>616185</v>
      </c>
      <c r="M2414" s="631"/>
      <c r="P2414" s="950" t="str">
        <f>VLOOKUP(J2414,'רשימת רשויות'!A:A,1,0)</f>
        <v>מטה בנימין</v>
      </c>
      <c r="Q2414" s="956">
        <f>IFERROR(VLOOKUP(B2414,[2]מעובד!$D:$K,8,0),0)</f>
        <v>103</v>
      </c>
      <c r="R2414" s="956">
        <f>IFERROR(VLOOKUP(B2414,[2]מעובד!$D:$L,9,0),0)</f>
        <v>42</v>
      </c>
    </row>
    <row r="2415" spans="1:18" x14ac:dyDescent="0.2">
      <c r="A2415" s="947" t="s">
        <v>309</v>
      </c>
      <c r="B2415" s="947">
        <v>616193</v>
      </c>
      <c r="C2415" s="947" t="s">
        <v>2189</v>
      </c>
      <c r="D2415" s="947" t="s">
        <v>3135</v>
      </c>
      <c r="E2415" s="951">
        <v>80</v>
      </c>
      <c r="F2415" s="951">
        <v>0</v>
      </c>
      <c r="G2415" s="947" t="s">
        <v>159</v>
      </c>
      <c r="H2415" s="951">
        <v>0</v>
      </c>
      <c r="I2415" s="951">
        <v>0</v>
      </c>
      <c r="J2415" s="947" t="s">
        <v>309</v>
      </c>
      <c r="K2415" s="947">
        <v>616193</v>
      </c>
      <c r="M2415" s="631"/>
      <c r="P2415" s="950" t="str">
        <f>VLOOKUP(J2415,'רשימת רשויות'!A:A,1,0)</f>
        <v>מטה אשר</v>
      </c>
      <c r="Q2415" s="956">
        <f>IFERROR(VLOOKUP(B2415,[2]מעובד!$D:$K,8,0),0)</f>
        <v>0</v>
      </c>
      <c r="R2415" s="956">
        <f>IFERROR(VLOOKUP(B2415,[2]מעובד!$D:$L,9,0),0)</f>
        <v>0</v>
      </c>
    </row>
    <row r="2416" spans="1:18" x14ac:dyDescent="0.2">
      <c r="A2416" s="947" t="s">
        <v>270</v>
      </c>
      <c r="B2416" s="947">
        <v>616201</v>
      </c>
      <c r="C2416" s="947" t="s">
        <v>2189</v>
      </c>
      <c r="D2416" s="947" t="s">
        <v>1220</v>
      </c>
      <c r="E2416" s="951">
        <v>179</v>
      </c>
      <c r="F2416" s="951">
        <v>22</v>
      </c>
      <c r="G2416" s="947" t="s">
        <v>159</v>
      </c>
      <c r="H2416" s="951">
        <v>0</v>
      </c>
      <c r="I2416" s="951">
        <v>0</v>
      </c>
      <c r="J2416" s="947" t="s">
        <v>270</v>
      </c>
      <c r="K2416" s="947">
        <v>616201</v>
      </c>
      <c r="M2416" s="631"/>
      <c r="P2416" s="950" t="str">
        <f>VLOOKUP(J2416,'רשימת רשויות'!A:A,1,0)</f>
        <v>ירושלים</v>
      </c>
      <c r="Q2416" s="956">
        <f>IFERROR(VLOOKUP(B2416,[2]מעובד!$D:$K,8,0),0)</f>
        <v>0</v>
      </c>
      <c r="R2416" s="956">
        <f>IFERROR(VLOOKUP(B2416,[2]מעובד!$D:$L,9,0),0)</f>
        <v>0</v>
      </c>
    </row>
    <row r="2417" spans="1:18" x14ac:dyDescent="0.2">
      <c r="A2417" s="947" t="s">
        <v>397</v>
      </c>
      <c r="B2417" s="947">
        <v>616227</v>
      </c>
      <c r="C2417" s="947" t="s">
        <v>2189</v>
      </c>
      <c r="D2417" s="947" t="s">
        <v>860</v>
      </c>
      <c r="E2417" s="951">
        <v>346</v>
      </c>
      <c r="F2417" s="951">
        <v>180</v>
      </c>
      <c r="G2417" s="947" t="s">
        <v>159</v>
      </c>
      <c r="H2417" s="951">
        <v>123</v>
      </c>
      <c r="I2417" s="951">
        <v>8</v>
      </c>
      <c r="J2417" s="947" t="s">
        <v>397</v>
      </c>
      <c r="K2417" s="947">
        <v>616227</v>
      </c>
      <c r="M2417" s="631"/>
      <c r="P2417" s="950" t="str">
        <f>VLOOKUP(J2417,'רשימת רשויות'!A:A,1,0)</f>
        <v>שגב שלום</v>
      </c>
      <c r="Q2417" s="956">
        <f>IFERROR(VLOOKUP(B2417,[2]מעובד!$D:$K,8,0),0)</f>
        <v>271</v>
      </c>
      <c r="R2417" s="956">
        <f>IFERROR(VLOOKUP(B2417,[2]מעובד!$D:$L,9,0),0)</f>
        <v>45</v>
      </c>
    </row>
    <row r="2418" spans="1:18" x14ac:dyDescent="0.2">
      <c r="A2418" s="947" t="s">
        <v>183</v>
      </c>
      <c r="B2418" s="947">
        <v>616235</v>
      </c>
      <c r="C2418" s="947" t="s">
        <v>2189</v>
      </c>
      <c r="D2418" s="947" t="s">
        <v>473</v>
      </c>
      <c r="E2418" s="951">
        <v>271</v>
      </c>
      <c r="F2418" s="951">
        <v>242</v>
      </c>
      <c r="G2418" s="947" t="s">
        <v>159</v>
      </c>
      <c r="H2418" s="951">
        <v>113</v>
      </c>
      <c r="I2418" s="951">
        <v>13</v>
      </c>
      <c r="J2418" s="947" t="s">
        <v>183</v>
      </c>
      <c r="K2418" s="947">
        <v>616235</v>
      </c>
      <c r="M2418" s="631"/>
      <c r="P2418" s="950" t="str">
        <f>VLOOKUP(J2418,'רשימת רשויות'!A:A,1,0)</f>
        <v>אשקלון</v>
      </c>
      <c r="Q2418" s="956">
        <f>IFERROR(VLOOKUP(B2418,[2]מעובד!$D:$K,8,0),0)</f>
        <v>329</v>
      </c>
      <c r="R2418" s="956">
        <f>IFERROR(VLOOKUP(B2418,[2]מעובד!$D:$L,9,0),0)</f>
        <v>94</v>
      </c>
    </row>
    <row r="2419" spans="1:18" x14ac:dyDescent="0.2">
      <c r="A2419" s="947" t="s">
        <v>305</v>
      </c>
      <c r="B2419" s="947">
        <v>616243</v>
      </c>
      <c r="C2419" s="947" t="s">
        <v>2189</v>
      </c>
      <c r="D2419" s="947" t="s">
        <v>1045</v>
      </c>
      <c r="E2419" s="951">
        <v>177</v>
      </c>
      <c r="F2419" s="951">
        <v>157</v>
      </c>
      <c r="G2419" s="947" t="s">
        <v>159</v>
      </c>
      <c r="H2419" s="951">
        <v>0</v>
      </c>
      <c r="I2419" s="951">
        <v>0</v>
      </c>
      <c r="J2419" s="947" t="s">
        <v>305</v>
      </c>
      <c r="K2419" s="947">
        <v>616243</v>
      </c>
      <c r="M2419" s="631"/>
      <c r="P2419" s="950" t="str">
        <f>VLOOKUP(J2419,'רשימת רשויות'!A:A,1,0)</f>
        <v>מודיעין מכבים רעות</v>
      </c>
      <c r="Q2419" s="956">
        <f>IFERROR(VLOOKUP(B2419,[2]מעובד!$D:$K,8,0),0)</f>
        <v>0</v>
      </c>
      <c r="R2419" s="956">
        <f>IFERROR(VLOOKUP(B2419,[2]מעובד!$D:$L,9,0),0)</f>
        <v>0</v>
      </c>
    </row>
    <row r="2420" spans="1:18" x14ac:dyDescent="0.2">
      <c r="A2420" s="947" t="s">
        <v>270</v>
      </c>
      <c r="B2420" s="947">
        <v>616268</v>
      </c>
      <c r="C2420" s="947" t="s">
        <v>2189</v>
      </c>
      <c r="D2420" s="947" t="s">
        <v>1222</v>
      </c>
      <c r="E2420" s="951">
        <v>66</v>
      </c>
      <c r="F2420" s="951">
        <v>47</v>
      </c>
      <c r="G2420" s="947" t="s">
        <v>159</v>
      </c>
      <c r="H2420" s="951">
        <v>23</v>
      </c>
      <c r="I2420" s="951">
        <v>7</v>
      </c>
      <c r="J2420" s="947" t="s">
        <v>270</v>
      </c>
      <c r="K2420" s="947">
        <v>616268</v>
      </c>
      <c r="M2420" s="631"/>
      <c r="P2420" s="950" t="str">
        <f>VLOOKUP(J2420,'רשימת רשויות'!A:A,1,0)</f>
        <v>ירושלים</v>
      </c>
      <c r="Q2420" s="956">
        <f>IFERROR(VLOOKUP(B2420,[2]מעובד!$D:$K,8,0),0)</f>
        <v>99</v>
      </c>
      <c r="R2420" s="956">
        <f>IFERROR(VLOOKUP(B2420,[2]מעובד!$D:$L,9,0),0)</f>
        <v>67</v>
      </c>
    </row>
    <row r="2421" spans="1:18" x14ac:dyDescent="0.2">
      <c r="A2421" s="947" t="s">
        <v>246</v>
      </c>
      <c r="B2421" s="947">
        <v>616276</v>
      </c>
      <c r="C2421" s="947" t="s">
        <v>2189</v>
      </c>
      <c r="D2421" s="947" t="s">
        <v>870</v>
      </c>
      <c r="E2421" s="951">
        <v>147</v>
      </c>
      <c r="F2421" s="951">
        <v>90</v>
      </c>
      <c r="G2421" s="947" t="s">
        <v>159</v>
      </c>
      <c r="H2421" s="951">
        <v>0</v>
      </c>
      <c r="I2421" s="951">
        <v>0</v>
      </c>
      <c r="J2421" s="947" t="s">
        <v>246</v>
      </c>
      <c r="K2421" s="947">
        <v>616276</v>
      </c>
      <c r="M2421" s="631"/>
      <c r="P2421" s="950" t="str">
        <f>VLOOKUP(J2421,'רשימת רשויות'!A:A,1,0)</f>
        <v>חוף אשקלון</v>
      </c>
      <c r="Q2421" s="956">
        <f>IFERROR(VLOOKUP(B2421,[2]מעובד!$D:$K,8,0),0)</f>
        <v>106</v>
      </c>
      <c r="R2421" s="956">
        <f>IFERROR(VLOOKUP(B2421,[2]מעובד!$D:$L,9,0),0)</f>
        <v>43</v>
      </c>
    </row>
    <row r="2422" spans="1:18" x14ac:dyDescent="0.2">
      <c r="A2422" s="947" t="s">
        <v>402</v>
      </c>
      <c r="B2422" s="947">
        <v>616284</v>
      </c>
      <c r="C2422" s="947" t="s">
        <v>2189</v>
      </c>
      <c r="D2422" s="947" t="s">
        <v>2186</v>
      </c>
      <c r="E2422" s="951">
        <v>135</v>
      </c>
      <c r="F2422" s="951">
        <v>135</v>
      </c>
      <c r="G2422" s="947" t="s">
        <v>159</v>
      </c>
      <c r="H2422" s="951">
        <v>0</v>
      </c>
      <c r="I2422" s="951">
        <v>0</v>
      </c>
      <c r="J2422" s="947" t="s">
        <v>402</v>
      </c>
      <c r="K2422" s="947">
        <v>616284</v>
      </c>
      <c r="M2422" s="631"/>
      <c r="P2422" s="950" t="str">
        <f>VLOOKUP(J2422,'רשימת רשויות'!A:A,1,0)</f>
        <v>שומרון</v>
      </c>
      <c r="Q2422" s="956">
        <f>IFERROR(VLOOKUP(B2422,[2]מעובד!$D:$K,8,0),0)</f>
        <v>99</v>
      </c>
      <c r="R2422" s="956">
        <f>IFERROR(VLOOKUP(B2422,[2]מעובד!$D:$L,9,0),0)</f>
        <v>99</v>
      </c>
    </row>
    <row r="2423" spans="1:18" x14ac:dyDescent="0.2">
      <c r="A2423" s="947" t="s">
        <v>373</v>
      </c>
      <c r="B2423" s="947">
        <v>616359</v>
      </c>
      <c r="C2423" s="947" t="s">
        <v>2189</v>
      </c>
      <c r="D2423" s="947" t="s">
        <v>912</v>
      </c>
      <c r="E2423" s="951">
        <v>187</v>
      </c>
      <c r="F2423" s="951">
        <v>157</v>
      </c>
      <c r="G2423" s="947" t="s">
        <v>159</v>
      </c>
      <c r="H2423" s="951">
        <v>119</v>
      </c>
      <c r="I2423" s="951">
        <v>21</v>
      </c>
      <c r="J2423" s="947" t="s">
        <v>373</v>
      </c>
      <c r="K2423" s="947">
        <v>616359</v>
      </c>
      <c r="M2423" s="631"/>
      <c r="P2423" s="950" t="str">
        <f>VLOOKUP(J2423,'רשימת רשויות'!A:A,1,0)</f>
        <v>קרית גת</v>
      </c>
      <c r="Q2423" s="956">
        <f>IFERROR(VLOOKUP(B2423,[2]מעובד!$D:$K,8,0),0)</f>
        <v>251</v>
      </c>
      <c r="R2423" s="956">
        <f>IFERROR(VLOOKUP(B2423,[2]מעובד!$D:$L,9,0),0)</f>
        <v>89</v>
      </c>
    </row>
    <row r="2424" spans="1:18" x14ac:dyDescent="0.2">
      <c r="A2424" s="947" t="s">
        <v>228</v>
      </c>
      <c r="B2424" s="947">
        <v>616367</v>
      </c>
      <c r="C2424" s="947" t="s">
        <v>2189</v>
      </c>
      <c r="D2424" s="947" t="s">
        <v>1234</v>
      </c>
      <c r="E2424" s="951">
        <v>57</v>
      </c>
      <c r="F2424" s="951">
        <v>33</v>
      </c>
      <c r="G2424" s="947" t="s">
        <v>159</v>
      </c>
      <c r="H2424" s="951">
        <v>0</v>
      </c>
      <c r="I2424" s="951">
        <v>0</v>
      </c>
      <c r="J2424" s="947" t="s">
        <v>228</v>
      </c>
      <c r="K2424" s="957" t="s">
        <v>3374</v>
      </c>
      <c r="M2424" s="631"/>
      <c r="P2424" s="950" t="str">
        <f>VLOOKUP(J2424,'רשימת רשויות'!A:A,1,0)</f>
        <v>הגלבוע</v>
      </c>
      <c r="Q2424" s="956">
        <f>IFERROR(VLOOKUP(B2424,[2]מעובד!$D:$K,8,0),0)</f>
        <v>0</v>
      </c>
      <c r="R2424" s="956">
        <f>IFERROR(VLOOKUP(B2424,[2]מעובד!$D:$L,9,0),0)</f>
        <v>0</v>
      </c>
    </row>
    <row r="2425" spans="1:18" x14ac:dyDescent="0.2">
      <c r="A2425" s="947" t="s">
        <v>305</v>
      </c>
      <c r="B2425" s="947">
        <v>616383</v>
      </c>
      <c r="C2425" s="947" t="s">
        <v>2189</v>
      </c>
      <c r="D2425" s="947" t="s">
        <v>1046</v>
      </c>
      <c r="E2425" s="951">
        <v>133</v>
      </c>
      <c r="F2425" s="951">
        <v>114</v>
      </c>
      <c r="G2425" s="947" t="s">
        <v>159</v>
      </c>
      <c r="H2425" s="951">
        <v>0</v>
      </c>
      <c r="I2425" s="951">
        <v>0</v>
      </c>
      <c r="J2425" s="947" t="s">
        <v>305</v>
      </c>
      <c r="K2425" s="947">
        <v>616383</v>
      </c>
      <c r="M2425" s="631"/>
      <c r="P2425" s="950" t="str">
        <f>VLOOKUP(J2425,'רשימת רשויות'!A:A,1,0)</f>
        <v>מודיעין מכבים רעות</v>
      </c>
      <c r="Q2425" s="956">
        <f>IFERROR(VLOOKUP(B2425,[2]מעובד!$D:$K,8,0),0)</f>
        <v>140</v>
      </c>
      <c r="R2425" s="956">
        <f>IFERROR(VLOOKUP(B2425,[2]מעובד!$D:$L,9,0),0)</f>
        <v>22</v>
      </c>
    </row>
    <row r="2426" spans="1:18" x14ac:dyDescent="0.2">
      <c r="A2426" s="947" t="s">
        <v>270</v>
      </c>
      <c r="B2426" s="947">
        <v>616409</v>
      </c>
      <c r="C2426" s="947" t="s">
        <v>2189</v>
      </c>
      <c r="D2426" s="947" t="s">
        <v>1235</v>
      </c>
      <c r="E2426" s="951">
        <v>58</v>
      </c>
      <c r="F2426" s="951">
        <v>57</v>
      </c>
      <c r="G2426" s="947" t="s">
        <v>159</v>
      </c>
      <c r="H2426" s="951">
        <v>0</v>
      </c>
      <c r="I2426" s="951">
        <v>0</v>
      </c>
      <c r="J2426" s="947" t="s">
        <v>270</v>
      </c>
      <c r="K2426" s="947">
        <v>616409</v>
      </c>
      <c r="M2426" s="631"/>
      <c r="P2426" s="950" t="str">
        <f>VLOOKUP(J2426,'רשימת רשויות'!A:A,1,0)</f>
        <v>ירושלים</v>
      </c>
      <c r="Q2426" s="956">
        <f>IFERROR(VLOOKUP(B2426,[2]מעובד!$D:$K,8,0),0)</f>
        <v>71</v>
      </c>
      <c r="R2426" s="956">
        <f>IFERROR(VLOOKUP(B2426,[2]מעובד!$D:$L,9,0),0)</f>
        <v>71</v>
      </c>
    </row>
    <row r="2427" spans="1:18" x14ac:dyDescent="0.2">
      <c r="A2427" s="947" t="s">
        <v>270</v>
      </c>
      <c r="B2427" s="947">
        <v>616417</v>
      </c>
      <c r="C2427" s="947" t="s">
        <v>2189</v>
      </c>
      <c r="D2427" s="947" t="s">
        <v>1236</v>
      </c>
      <c r="E2427" s="951">
        <v>40</v>
      </c>
      <c r="F2427" s="951">
        <v>33</v>
      </c>
      <c r="G2427" s="947" t="s">
        <v>159</v>
      </c>
      <c r="H2427" s="951">
        <v>0</v>
      </c>
      <c r="I2427" s="951">
        <v>0</v>
      </c>
      <c r="J2427" s="947" t="s">
        <v>270</v>
      </c>
      <c r="K2427" s="947">
        <v>616417</v>
      </c>
      <c r="M2427" s="631"/>
      <c r="P2427" s="950" t="str">
        <f>VLOOKUP(J2427,'רשימת רשויות'!A:A,1,0)</f>
        <v>ירושלים</v>
      </c>
      <c r="Q2427" s="956">
        <f>IFERROR(VLOOKUP(B2427,[2]מעובד!$D:$K,8,0),0)</f>
        <v>43</v>
      </c>
      <c r="R2427" s="956">
        <f>IFERROR(VLOOKUP(B2427,[2]מעובד!$D:$L,9,0),0)</f>
        <v>43</v>
      </c>
    </row>
    <row r="2428" spans="1:18" x14ac:dyDescent="0.2">
      <c r="A2428" s="947" t="s">
        <v>270</v>
      </c>
      <c r="B2428" s="947">
        <v>616425</v>
      </c>
      <c r="C2428" s="947" t="s">
        <v>2189</v>
      </c>
      <c r="D2428" s="947" t="s">
        <v>1237</v>
      </c>
      <c r="E2428" s="951">
        <v>154</v>
      </c>
      <c r="F2428" s="951">
        <v>122</v>
      </c>
      <c r="G2428" s="947" t="s">
        <v>159</v>
      </c>
      <c r="H2428" s="951">
        <v>56</v>
      </c>
      <c r="I2428" s="951">
        <v>12</v>
      </c>
      <c r="J2428" s="947" t="s">
        <v>270</v>
      </c>
      <c r="K2428" s="947">
        <v>616425</v>
      </c>
      <c r="M2428" s="631"/>
      <c r="P2428" s="950" t="str">
        <f>VLOOKUP(J2428,'רשימת רשויות'!A:A,1,0)</f>
        <v>ירושלים</v>
      </c>
      <c r="Q2428" s="956">
        <f>IFERROR(VLOOKUP(B2428,[2]מעובד!$D:$K,8,0),0)</f>
        <v>143</v>
      </c>
      <c r="R2428" s="956">
        <f>IFERROR(VLOOKUP(B2428,[2]מעובד!$D:$L,9,0),0)</f>
        <v>125</v>
      </c>
    </row>
    <row r="2429" spans="1:18" x14ac:dyDescent="0.2">
      <c r="A2429" s="947" t="s">
        <v>406</v>
      </c>
      <c r="B2429" s="947">
        <v>616433</v>
      </c>
      <c r="C2429" s="947" t="s">
        <v>2189</v>
      </c>
      <c r="D2429" s="947" t="s">
        <v>918</v>
      </c>
      <c r="E2429" s="951">
        <v>165</v>
      </c>
      <c r="F2429" s="951">
        <v>128</v>
      </c>
      <c r="G2429" s="947" t="s">
        <v>159</v>
      </c>
      <c r="H2429" s="951">
        <v>0</v>
      </c>
      <c r="I2429" s="951">
        <v>0</v>
      </c>
      <c r="J2429" s="947" t="s">
        <v>406</v>
      </c>
      <c r="K2429" s="947">
        <v>616433</v>
      </c>
      <c r="M2429" s="631"/>
      <c r="P2429" s="950" t="str">
        <f>VLOOKUP(J2429,'רשימת רשויות'!A:A,1,0)</f>
        <v>שפיר</v>
      </c>
      <c r="Q2429" s="956">
        <f>IFERROR(VLOOKUP(B2429,[2]מעובד!$D:$K,8,0),0)</f>
        <v>219</v>
      </c>
      <c r="R2429" s="956">
        <f>IFERROR(VLOOKUP(B2429,[2]מעובד!$D:$L,9,0),0)</f>
        <v>113</v>
      </c>
    </row>
    <row r="2430" spans="1:18" x14ac:dyDescent="0.2">
      <c r="A2430" s="947" t="s">
        <v>300</v>
      </c>
      <c r="B2430" s="947">
        <v>616441</v>
      </c>
      <c r="C2430" s="947" t="s">
        <v>2189</v>
      </c>
      <c r="D2430" s="947" t="s">
        <v>1240</v>
      </c>
      <c r="E2430" s="951">
        <v>124</v>
      </c>
      <c r="F2430" s="951">
        <v>85</v>
      </c>
      <c r="G2430" s="947" t="s">
        <v>159</v>
      </c>
      <c r="H2430" s="951">
        <v>0</v>
      </c>
      <c r="I2430" s="951">
        <v>0</v>
      </c>
      <c r="J2430" s="947" t="s">
        <v>300</v>
      </c>
      <c r="K2430" s="947">
        <v>616441</v>
      </c>
      <c r="M2430" s="631"/>
      <c r="P2430" s="950" t="str">
        <f>VLOOKUP(J2430,'רשימת רשויות'!A:A,1,0)</f>
        <v>מג'דל שמס</v>
      </c>
      <c r="Q2430" s="956">
        <f>IFERROR(VLOOKUP(B2430,[2]מעובד!$D:$K,8,0),0)</f>
        <v>0</v>
      </c>
      <c r="R2430" s="956">
        <f>IFERROR(VLOOKUP(B2430,[2]מעובד!$D:$L,9,0),0)</f>
        <v>0</v>
      </c>
    </row>
    <row r="2431" spans="1:18" x14ac:dyDescent="0.2">
      <c r="A2431" s="947" t="s">
        <v>182</v>
      </c>
      <c r="B2431" s="947">
        <v>616466</v>
      </c>
      <c r="C2431" s="947" t="s">
        <v>2189</v>
      </c>
      <c r="D2431" s="947" t="s">
        <v>919</v>
      </c>
      <c r="E2431" s="951">
        <v>125</v>
      </c>
      <c r="F2431" s="951">
        <v>117</v>
      </c>
      <c r="G2431" s="947" t="s">
        <v>159</v>
      </c>
      <c r="H2431" s="951">
        <v>43</v>
      </c>
      <c r="I2431" s="951">
        <v>8</v>
      </c>
      <c r="J2431" s="947" t="s">
        <v>182</v>
      </c>
      <c r="K2431" s="947">
        <v>616466</v>
      </c>
      <c r="M2431" s="631"/>
      <c r="P2431" s="950" t="str">
        <f>VLOOKUP(J2431,'רשימת רשויות'!A:A,1,0)</f>
        <v>אשכול</v>
      </c>
      <c r="Q2431" s="956">
        <f>IFERROR(VLOOKUP(B2431,[2]מעובד!$D:$K,8,0),0)</f>
        <v>75</v>
      </c>
      <c r="R2431" s="956">
        <f>IFERROR(VLOOKUP(B2431,[2]מעובד!$D:$L,9,0),0)</f>
        <v>75</v>
      </c>
    </row>
    <row r="2432" spans="1:18" x14ac:dyDescent="0.2">
      <c r="A2432" s="947" t="s">
        <v>215</v>
      </c>
      <c r="B2432" s="947">
        <v>616474</v>
      </c>
      <c r="C2432" s="947" t="s">
        <v>2189</v>
      </c>
      <c r="D2432" s="947" t="s">
        <v>1241</v>
      </c>
      <c r="E2432" s="951">
        <v>168</v>
      </c>
      <c r="F2432" s="951">
        <v>98</v>
      </c>
      <c r="G2432" s="947" t="s">
        <v>159</v>
      </c>
      <c r="H2432" s="951">
        <v>0</v>
      </c>
      <c r="I2432" s="951">
        <v>0</v>
      </c>
      <c r="J2432" s="947" t="s">
        <v>215</v>
      </c>
      <c r="K2432" s="947">
        <v>616474</v>
      </c>
      <c r="M2432" s="631"/>
      <c r="P2432" s="950" t="str">
        <f>VLOOKUP(J2432,'רשימת רשויות'!A:A,1,0)</f>
        <v>גדרה</v>
      </c>
      <c r="Q2432" s="956">
        <f>IFERROR(VLOOKUP(B2432,[2]מעובד!$D:$K,8,0),0)</f>
        <v>188</v>
      </c>
      <c r="R2432" s="956">
        <f>IFERROR(VLOOKUP(B2432,[2]מעובד!$D:$L,9,0),0)</f>
        <v>102</v>
      </c>
    </row>
    <row r="2433" spans="1:18" x14ac:dyDescent="0.2">
      <c r="A2433" s="947" t="s">
        <v>270</v>
      </c>
      <c r="B2433" s="947">
        <v>616508</v>
      </c>
      <c r="C2433" s="947" t="s">
        <v>2189</v>
      </c>
      <c r="D2433" s="947" t="s">
        <v>2242</v>
      </c>
      <c r="E2433" s="951">
        <v>251</v>
      </c>
      <c r="F2433" s="951">
        <v>36</v>
      </c>
      <c r="G2433" s="947" t="s">
        <v>159</v>
      </c>
      <c r="H2433" s="951">
        <v>0</v>
      </c>
      <c r="I2433" s="951">
        <v>0</v>
      </c>
      <c r="J2433" s="947" t="s">
        <v>270</v>
      </c>
      <c r="K2433" s="947">
        <v>616508</v>
      </c>
      <c r="M2433" s="631"/>
      <c r="P2433" s="950" t="str">
        <f>VLOOKUP(J2433,'רשימת רשויות'!A:A,1,0)</f>
        <v>ירושלים</v>
      </c>
      <c r="Q2433" s="956">
        <f>IFERROR(VLOOKUP(B2433,[2]מעובד!$D:$K,8,0),0)</f>
        <v>256</v>
      </c>
      <c r="R2433" s="956">
        <f>IFERROR(VLOOKUP(B2433,[2]מעובד!$D:$L,9,0),0)</f>
        <v>40</v>
      </c>
    </row>
    <row r="2434" spans="1:18" x14ac:dyDescent="0.2">
      <c r="A2434" s="947" t="s">
        <v>410</v>
      </c>
      <c r="B2434" s="947">
        <v>616516</v>
      </c>
      <c r="C2434" s="947" t="s">
        <v>2189</v>
      </c>
      <c r="D2434" s="947" t="s">
        <v>925</v>
      </c>
      <c r="E2434" s="951">
        <v>254</v>
      </c>
      <c r="F2434" s="951">
        <v>254</v>
      </c>
      <c r="G2434" s="947" t="s">
        <v>159</v>
      </c>
      <c r="H2434" s="951">
        <v>0</v>
      </c>
      <c r="I2434" s="951">
        <v>0</v>
      </c>
      <c r="J2434" s="947" t="s">
        <v>410</v>
      </c>
      <c r="K2434" s="947">
        <v>616516</v>
      </c>
      <c r="M2434" s="631"/>
      <c r="P2434" s="950" t="str">
        <f>VLOOKUP(J2434,'רשימת רשויות'!A:A,1,0)</f>
        <v>תל שבע</v>
      </c>
      <c r="Q2434" s="956">
        <f>IFERROR(VLOOKUP(B2434,[2]מעובד!$D:$K,8,0),0)</f>
        <v>215</v>
      </c>
      <c r="R2434" s="956">
        <f>IFERROR(VLOOKUP(B2434,[2]מעובד!$D:$L,9,0),0)</f>
        <v>44</v>
      </c>
    </row>
    <row r="2435" spans="1:18" x14ac:dyDescent="0.2">
      <c r="A2435" s="947" t="s">
        <v>323</v>
      </c>
      <c r="B2435" s="947">
        <v>616524</v>
      </c>
      <c r="C2435" s="947" t="s">
        <v>2189</v>
      </c>
      <c r="D2435" s="947" t="s">
        <v>1338</v>
      </c>
      <c r="E2435" s="951">
        <v>54</v>
      </c>
      <c r="F2435" s="951">
        <v>39</v>
      </c>
      <c r="G2435" s="947" t="s">
        <v>159</v>
      </c>
      <c r="H2435" s="951">
        <v>0</v>
      </c>
      <c r="I2435" s="951">
        <v>0</v>
      </c>
      <c r="J2435" s="947" t="s">
        <v>323</v>
      </c>
      <c r="K2435" s="947">
        <v>616524</v>
      </c>
      <c r="M2435" s="631"/>
      <c r="P2435" s="950" t="str">
        <f>VLOOKUP(J2435,'רשימת רשויות'!A:A,1,0)</f>
        <v>מרום הגליל</v>
      </c>
      <c r="Q2435" s="956">
        <f>IFERROR(VLOOKUP(B2435,[2]מעובד!$D:$K,8,0),0)</f>
        <v>0</v>
      </c>
      <c r="R2435" s="956">
        <f>IFERROR(VLOOKUP(B2435,[2]מעובד!$D:$L,9,0),0)</f>
        <v>0</v>
      </c>
    </row>
    <row r="2436" spans="1:18" x14ac:dyDescent="0.2">
      <c r="A2436" s="947" t="s">
        <v>310</v>
      </c>
      <c r="B2436" s="947">
        <v>616532</v>
      </c>
      <c r="C2436" s="947" t="s">
        <v>2189</v>
      </c>
      <c r="D2436" s="947" t="s">
        <v>1048</v>
      </c>
      <c r="E2436" s="951">
        <v>79</v>
      </c>
      <c r="F2436" s="951">
        <v>75</v>
      </c>
      <c r="G2436" s="947" t="s">
        <v>159</v>
      </c>
      <c r="H2436" s="951">
        <v>0</v>
      </c>
      <c r="I2436" s="951">
        <v>0</v>
      </c>
      <c r="J2436" s="947" t="s">
        <v>310</v>
      </c>
      <c r="K2436" s="947">
        <v>616532</v>
      </c>
      <c r="M2436" s="631"/>
      <c r="P2436" s="950" t="str">
        <f>VLOOKUP(J2436,'רשימת רשויות'!A:A,1,0)</f>
        <v>מטה בנימין</v>
      </c>
      <c r="Q2436" s="956">
        <f>IFERROR(VLOOKUP(B2436,[2]מעובד!$D:$K,8,0),0)</f>
        <v>82</v>
      </c>
      <c r="R2436" s="956">
        <f>IFERROR(VLOOKUP(B2436,[2]מעובד!$D:$L,9,0),0)</f>
        <v>60</v>
      </c>
    </row>
    <row r="2437" spans="1:18" x14ac:dyDescent="0.2">
      <c r="A2437" s="947" t="s">
        <v>323</v>
      </c>
      <c r="B2437" s="947">
        <v>616540</v>
      </c>
      <c r="C2437" s="947" t="s">
        <v>2189</v>
      </c>
      <c r="D2437" s="947" t="s">
        <v>1539</v>
      </c>
      <c r="E2437" s="951">
        <v>58</v>
      </c>
      <c r="F2437" s="951">
        <v>44</v>
      </c>
      <c r="G2437" s="947" t="s">
        <v>159</v>
      </c>
      <c r="H2437" s="951">
        <v>0</v>
      </c>
      <c r="I2437" s="951">
        <v>0</v>
      </c>
      <c r="J2437" s="947" t="s">
        <v>323</v>
      </c>
      <c r="K2437" s="947">
        <v>616540</v>
      </c>
      <c r="M2437" s="631"/>
      <c r="P2437" s="950" t="str">
        <f>VLOOKUP(J2437,'רשימת רשויות'!A:A,1,0)</f>
        <v>מרום הגליל</v>
      </c>
      <c r="Q2437" s="956">
        <f>IFERROR(VLOOKUP(B2437,[2]מעובד!$D:$K,8,0),0)</f>
        <v>0</v>
      </c>
      <c r="R2437" s="956">
        <f>IFERROR(VLOOKUP(B2437,[2]מעובד!$D:$L,9,0),0)</f>
        <v>0</v>
      </c>
    </row>
    <row r="2438" spans="1:18" x14ac:dyDescent="0.2">
      <c r="A2438" s="947" t="s">
        <v>365</v>
      </c>
      <c r="B2438" s="947">
        <v>616557</v>
      </c>
      <c r="C2438" s="947" t="s">
        <v>2189</v>
      </c>
      <c r="D2438" s="947" t="s">
        <v>1259</v>
      </c>
      <c r="E2438" s="951">
        <v>135</v>
      </c>
      <c r="F2438" s="951">
        <v>136</v>
      </c>
      <c r="G2438" s="947" t="s">
        <v>159</v>
      </c>
      <c r="H2438" s="951">
        <v>0</v>
      </c>
      <c r="I2438" s="951">
        <v>0</v>
      </c>
      <c r="J2438" s="947" t="s">
        <v>365</v>
      </c>
      <c r="K2438" s="947">
        <v>616557</v>
      </c>
      <c r="M2438" s="631"/>
      <c r="P2438" s="950" t="str">
        <f>VLOOKUP(J2438,'רשימת רשויות'!A:A,1,0)</f>
        <v>צפת</v>
      </c>
      <c r="Q2438" s="956">
        <f>IFERROR(VLOOKUP(B2438,[2]מעובד!$D:$K,8,0),0)</f>
        <v>66</v>
      </c>
      <c r="R2438" s="956">
        <f>IFERROR(VLOOKUP(B2438,[2]מעובד!$D:$L,9,0),0)</f>
        <v>60</v>
      </c>
    </row>
    <row r="2439" spans="1:18" x14ac:dyDescent="0.2">
      <c r="A2439" s="947" t="s">
        <v>172</v>
      </c>
      <c r="B2439" s="947">
        <v>616565</v>
      </c>
      <c r="C2439" s="947" t="s">
        <v>2189</v>
      </c>
      <c r="D2439" s="947" t="s">
        <v>945</v>
      </c>
      <c r="E2439" s="951">
        <v>141</v>
      </c>
      <c r="F2439" s="951">
        <v>120</v>
      </c>
      <c r="G2439" s="947" t="s">
        <v>159</v>
      </c>
      <c r="H2439" s="951">
        <v>0</v>
      </c>
      <c r="I2439" s="951">
        <v>0</v>
      </c>
      <c r="J2439" s="947" t="s">
        <v>172</v>
      </c>
      <c r="K2439" s="947">
        <v>616565</v>
      </c>
      <c r="M2439" s="631"/>
      <c r="P2439" s="950" t="str">
        <f>VLOOKUP(J2439,'רשימת רשויות'!A:A,1,0)</f>
        <v>אל קסום</v>
      </c>
      <c r="Q2439" s="956">
        <f>IFERROR(VLOOKUP(B2439,[2]מעובד!$D:$K,8,0),0)</f>
        <v>133</v>
      </c>
      <c r="R2439" s="956">
        <f>IFERROR(VLOOKUP(B2439,[2]מעובד!$D:$L,9,0),0)</f>
        <v>120</v>
      </c>
    </row>
    <row r="2440" spans="1:18" x14ac:dyDescent="0.2">
      <c r="A2440" s="947" t="s">
        <v>310</v>
      </c>
      <c r="B2440" s="947">
        <v>616623</v>
      </c>
      <c r="C2440" s="947" t="s">
        <v>2189</v>
      </c>
      <c r="D2440" s="947" t="s">
        <v>1262</v>
      </c>
      <c r="E2440" s="951">
        <v>94</v>
      </c>
      <c r="F2440" s="951">
        <v>80</v>
      </c>
      <c r="G2440" s="947" t="s">
        <v>159</v>
      </c>
      <c r="H2440" s="951">
        <v>0</v>
      </c>
      <c r="I2440" s="951">
        <v>0</v>
      </c>
      <c r="J2440" s="947" t="s">
        <v>310</v>
      </c>
      <c r="K2440" s="947">
        <v>616623</v>
      </c>
      <c r="M2440" s="631"/>
      <c r="P2440" s="950" t="str">
        <f>VLOOKUP(J2440,'רשימת רשויות'!A:A,1,0)</f>
        <v>מטה בנימין</v>
      </c>
      <c r="Q2440" s="956">
        <f>IFERROR(VLOOKUP(B2440,[2]מעובד!$D:$K,8,0),0)</f>
        <v>85</v>
      </c>
      <c r="R2440" s="956">
        <f>IFERROR(VLOOKUP(B2440,[2]מעובד!$D:$L,9,0),0)</f>
        <v>44</v>
      </c>
    </row>
    <row r="2441" spans="1:18" x14ac:dyDescent="0.2">
      <c r="A2441" s="947" t="s">
        <v>325</v>
      </c>
      <c r="B2441" s="947">
        <v>616714</v>
      </c>
      <c r="C2441" s="947" t="s">
        <v>2189</v>
      </c>
      <c r="D2441" s="947" t="s">
        <v>1268</v>
      </c>
      <c r="E2441" s="951">
        <v>125</v>
      </c>
      <c r="F2441" s="951">
        <v>105</v>
      </c>
      <c r="G2441" s="947" t="s">
        <v>159</v>
      </c>
      <c r="H2441" s="951">
        <v>0</v>
      </c>
      <c r="I2441" s="951">
        <v>0</v>
      </c>
      <c r="J2441" s="947" t="s">
        <v>325</v>
      </c>
      <c r="K2441" s="947">
        <v>616714</v>
      </c>
      <c r="M2441" s="631"/>
      <c r="P2441" s="950" t="str">
        <f>VLOOKUP(J2441,'רשימת רשויות'!A:A,1,0)</f>
        <v>משגב</v>
      </c>
      <c r="Q2441" s="956">
        <f>IFERROR(VLOOKUP(B2441,[2]מעובד!$D:$K,8,0),0)</f>
        <v>177</v>
      </c>
      <c r="R2441" s="956">
        <f>IFERROR(VLOOKUP(B2441,[2]מעובד!$D:$L,9,0),0)</f>
        <v>58</v>
      </c>
    </row>
    <row r="2442" spans="1:18" x14ac:dyDescent="0.2">
      <c r="A2442" s="947" t="s">
        <v>348</v>
      </c>
      <c r="B2442" s="947">
        <v>616722</v>
      </c>
      <c r="C2442" s="947" t="s">
        <v>2189</v>
      </c>
      <c r="D2442" s="947" t="s">
        <v>1269</v>
      </c>
      <c r="E2442" s="951">
        <v>62</v>
      </c>
      <c r="F2442" s="951">
        <v>62</v>
      </c>
      <c r="G2442" s="947" t="s">
        <v>159</v>
      </c>
      <c r="H2442" s="951">
        <v>0</v>
      </c>
      <c r="I2442" s="951">
        <v>0</v>
      </c>
      <c r="J2442" s="947" t="s">
        <v>348</v>
      </c>
      <c r="K2442" s="947">
        <v>616722</v>
      </c>
      <c r="M2442" s="631"/>
      <c r="P2442" s="950" t="str">
        <f>VLOOKUP(J2442,'רשימת רשויות'!A:A,1,0)</f>
        <v>עמק הירדן</v>
      </c>
      <c r="Q2442" s="956">
        <f>IFERROR(VLOOKUP(B2442,[2]מעובד!$D:$K,8,0),0)</f>
        <v>0</v>
      </c>
      <c r="R2442" s="956">
        <f>IFERROR(VLOOKUP(B2442,[2]מעובד!$D:$L,9,0),0)</f>
        <v>0</v>
      </c>
    </row>
    <row r="2443" spans="1:18" x14ac:dyDescent="0.2">
      <c r="A2443" s="947" t="s">
        <v>349</v>
      </c>
      <c r="B2443" s="947">
        <v>616730</v>
      </c>
      <c r="C2443" s="947" t="s">
        <v>2189</v>
      </c>
      <c r="D2443" s="947" t="s">
        <v>644</v>
      </c>
      <c r="E2443" s="951">
        <v>176</v>
      </c>
      <c r="F2443" s="951">
        <v>368</v>
      </c>
      <c r="G2443" s="947" t="s">
        <v>159</v>
      </c>
      <c r="H2443" s="951">
        <v>0</v>
      </c>
      <c r="I2443" s="951">
        <v>0</v>
      </c>
      <c r="J2443" s="947" t="s">
        <v>349</v>
      </c>
      <c r="K2443" s="947">
        <v>616730</v>
      </c>
      <c r="M2443" s="631"/>
      <c r="P2443" s="950" t="str">
        <f>VLOOKUP(J2443,'רשימת רשויות'!A:A,1,0)</f>
        <v>עמק המעיינות</v>
      </c>
      <c r="Q2443" s="956">
        <f>IFERROR(VLOOKUP(B2443,[2]מעובד!$D:$K,8,0),0)</f>
        <v>0</v>
      </c>
      <c r="R2443" s="956">
        <f>IFERROR(VLOOKUP(B2443,[2]מעובד!$D:$L,9,0),0)</f>
        <v>0</v>
      </c>
    </row>
    <row r="2444" spans="1:18" x14ac:dyDescent="0.2">
      <c r="A2444" s="947" t="s">
        <v>309</v>
      </c>
      <c r="B2444" s="947">
        <v>616748</v>
      </c>
      <c r="C2444" s="947" t="s">
        <v>2189</v>
      </c>
      <c r="D2444" s="947" t="s">
        <v>641</v>
      </c>
      <c r="E2444" s="951">
        <v>164</v>
      </c>
      <c r="F2444" s="951">
        <v>163</v>
      </c>
      <c r="G2444" s="947" t="s">
        <v>159</v>
      </c>
      <c r="H2444" s="951">
        <v>0</v>
      </c>
      <c r="I2444" s="951">
        <v>0</v>
      </c>
      <c r="J2444" s="947" t="s">
        <v>309</v>
      </c>
      <c r="K2444" s="957" t="s">
        <v>3256</v>
      </c>
      <c r="M2444" s="631"/>
      <c r="P2444" s="950" t="str">
        <f>VLOOKUP(J2444,'רשימת רשויות'!A:A,1,0)</f>
        <v>מטה אשר</v>
      </c>
      <c r="Q2444" s="956">
        <f>IFERROR(VLOOKUP(B2444,[2]מעובד!$D:$K,8,0),0)</f>
        <v>0</v>
      </c>
      <c r="R2444" s="956">
        <f>IFERROR(VLOOKUP(B2444,[2]מעובד!$D:$L,9,0),0)</f>
        <v>0</v>
      </c>
    </row>
    <row r="2445" spans="1:18" x14ac:dyDescent="0.2">
      <c r="A2445" s="947" t="s">
        <v>228</v>
      </c>
      <c r="B2445" s="947">
        <v>616789</v>
      </c>
      <c r="C2445" s="947" t="s">
        <v>2189</v>
      </c>
      <c r="D2445" s="947" t="s">
        <v>2243</v>
      </c>
      <c r="E2445" s="951">
        <v>238</v>
      </c>
      <c r="F2445" s="951">
        <v>137</v>
      </c>
      <c r="G2445" s="947" t="s">
        <v>159</v>
      </c>
      <c r="H2445" s="951">
        <v>156</v>
      </c>
      <c r="I2445" s="951">
        <v>6</v>
      </c>
      <c r="J2445" s="947" t="s">
        <v>228</v>
      </c>
      <c r="K2445" s="947">
        <v>616789</v>
      </c>
      <c r="M2445" s="631"/>
      <c r="P2445" s="950" t="str">
        <f>VLOOKUP(J2445,'רשימת רשויות'!A:A,1,0)</f>
        <v>הגלבוע</v>
      </c>
      <c r="Q2445" s="956">
        <f>IFERROR(VLOOKUP(B2445,[2]מעובד!$D:$K,8,0),0)</f>
        <v>228</v>
      </c>
      <c r="R2445" s="956">
        <f>IFERROR(VLOOKUP(B2445,[2]מעובד!$D:$L,9,0),0)</f>
        <v>40</v>
      </c>
    </row>
    <row r="2446" spans="1:18" x14ac:dyDescent="0.2">
      <c r="A2446" s="947" t="s">
        <v>405</v>
      </c>
      <c r="B2446" s="947">
        <v>616805</v>
      </c>
      <c r="C2446" s="947" t="s">
        <v>2189</v>
      </c>
      <c r="D2446" s="947" t="s">
        <v>2482</v>
      </c>
      <c r="E2446" s="951">
        <v>229</v>
      </c>
      <c r="F2446" s="951">
        <v>228</v>
      </c>
      <c r="G2446" s="947" t="s">
        <v>159</v>
      </c>
      <c r="H2446" s="951">
        <v>0</v>
      </c>
      <c r="I2446" s="951">
        <v>0</v>
      </c>
      <c r="J2446" s="947" t="s">
        <v>405</v>
      </c>
      <c r="K2446" s="947">
        <v>616805</v>
      </c>
      <c r="M2446" s="631"/>
      <c r="P2446" s="950" t="str">
        <f>VLOOKUP(J2446,'רשימת רשויות'!A:A,1,0)</f>
        <v>שער הנגב</v>
      </c>
      <c r="Q2446" s="956">
        <f>IFERROR(VLOOKUP(B2446,[2]מעובד!$D:$K,8,0),0)</f>
        <v>0</v>
      </c>
      <c r="R2446" s="956">
        <f>IFERROR(VLOOKUP(B2446,[2]מעובד!$D:$L,9,0),0)</f>
        <v>0</v>
      </c>
    </row>
    <row r="2447" spans="1:18" x14ac:dyDescent="0.2">
      <c r="A2447" s="947" t="s">
        <v>183</v>
      </c>
      <c r="B2447" s="947">
        <v>616904</v>
      </c>
      <c r="C2447" s="947" t="s">
        <v>2189</v>
      </c>
      <c r="D2447" s="947" t="s">
        <v>1003</v>
      </c>
      <c r="E2447" s="951">
        <v>123</v>
      </c>
      <c r="F2447" s="951">
        <v>111</v>
      </c>
      <c r="G2447" s="947" t="s">
        <v>159</v>
      </c>
      <c r="H2447" s="951">
        <v>45</v>
      </c>
      <c r="I2447" s="951">
        <v>12</v>
      </c>
      <c r="J2447" s="947" t="s">
        <v>183</v>
      </c>
      <c r="K2447" s="947">
        <v>616904</v>
      </c>
      <c r="M2447" s="631"/>
      <c r="P2447" s="950" t="str">
        <f>VLOOKUP(J2447,'רשימת רשויות'!A:A,1,0)</f>
        <v>אשקלון</v>
      </c>
      <c r="Q2447" s="956">
        <f>IFERROR(VLOOKUP(B2447,[2]מעובד!$D:$K,8,0),0)</f>
        <v>170</v>
      </c>
      <c r="R2447" s="956">
        <f>IFERROR(VLOOKUP(B2447,[2]מעובד!$D:$L,9,0),0)</f>
        <v>64</v>
      </c>
    </row>
    <row r="2448" spans="1:18" x14ac:dyDescent="0.2">
      <c r="A2448" s="947" t="s">
        <v>270</v>
      </c>
      <c r="B2448" s="947">
        <v>616920</v>
      </c>
      <c r="C2448" s="947" t="s">
        <v>2189</v>
      </c>
      <c r="D2448" s="947" t="s">
        <v>1277</v>
      </c>
      <c r="E2448" s="951">
        <v>152</v>
      </c>
      <c r="F2448" s="951">
        <v>137</v>
      </c>
      <c r="G2448" s="947" t="s">
        <v>159</v>
      </c>
      <c r="H2448" s="951">
        <v>0</v>
      </c>
      <c r="I2448" s="951">
        <v>0</v>
      </c>
      <c r="J2448" s="947" t="s">
        <v>270</v>
      </c>
      <c r="K2448" s="947">
        <v>616920</v>
      </c>
      <c r="M2448" s="631"/>
      <c r="P2448" s="950" t="str">
        <f>VLOOKUP(J2448,'רשימת רשויות'!A:A,1,0)</f>
        <v>ירושלים</v>
      </c>
      <c r="Q2448" s="956">
        <f>IFERROR(VLOOKUP(B2448,[2]מעובד!$D:$K,8,0),0)</f>
        <v>166</v>
      </c>
      <c r="R2448" s="956">
        <f>IFERROR(VLOOKUP(B2448,[2]מעובד!$D:$L,9,0),0)</f>
        <v>60</v>
      </c>
    </row>
    <row r="2449" spans="1:18" x14ac:dyDescent="0.2">
      <c r="A2449" s="947" t="s">
        <v>179</v>
      </c>
      <c r="B2449" s="947">
        <v>616938</v>
      </c>
      <c r="C2449" s="947" t="s">
        <v>2189</v>
      </c>
      <c r="D2449" s="947" t="s">
        <v>1051</v>
      </c>
      <c r="E2449" s="951">
        <v>140</v>
      </c>
      <c r="F2449" s="951">
        <v>127</v>
      </c>
      <c r="G2449" s="947" t="s">
        <v>159</v>
      </c>
      <c r="H2449" s="951">
        <v>0</v>
      </c>
      <c r="I2449" s="951">
        <v>0</v>
      </c>
      <c r="J2449" s="947" t="s">
        <v>179</v>
      </c>
      <c r="K2449" s="947">
        <v>616938</v>
      </c>
      <c r="M2449" s="631"/>
      <c r="P2449" s="950" t="str">
        <f>VLOOKUP(J2449,'רשימת רשויות'!A:A,1,0)</f>
        <v>אפרת</v>
      </c>
      <c r="Q2449" s="956">
        <f>IFERROR(VLOOKUP(B2449,[2]מעובד!$D:$K,8,0),0)</f>
        <v>0</v>
      </c>
      <c r="R2449" s="956">
        <f>IFERROR(VLOOKUP(B2449,[2]מעובד!$D:$L,9,0),0)</f>
        <v>0</v>
      </c>
    </row>
    <row r="2450" spans="1:18" x14ac:dyDescent="0.2">
      <c r="A2450" s="947" t="s">
        <v>270</v>
      </c>
      <c r="B2450" s="947">
        <v>616961</v>
      </c>
      <c r="C2450" s="947" t="s">
        <v>2189</v>
      </c>
      <c r="D2450" s="947" t="s">
        <v>2244</v>
      </c>
      <c r="E2450" s="951">
        <v>180</v>
      </c>
      <c r="F2450" s="951">
        <v>49</v>
      </c>
      <c r="G2450" s="947" t="s">
        <v>159</v>
      </c>
      <c r="H2450" s="951">
        <v>0</v>
      </c>
      <c r="I2450" s="951">
        <v>0</v>
      </c>
      <c r="J2450" s="947" t="s">
        <v>270</v>
      </c>
      <c r="K2450" s="947">
        <v>616961</v>
      </c>
      <c r="M2450" s="631"/>
      <c r="P2450" s="950" t="str">
        <f>VLOOKUP(J2450,'רשימת רשויות'!A:A,1,0)</f>
        <v>ירושלים</v>
      </c>
      <c r="Q2450" s="956">
        <f>IFERROR(VLOOKUP(B2450,[2]מעובד!$D:$K,8,0),0)</f>
        <v>167</v>
      </c>
      <c r="R2450" s="956">
        <f>IFERROR(VLOOKUP(B2450,[2]מעובד!$D:$L,9,0),0)</f>
        <v>48</v>
      </c>
    </row>
    <row r="2451" spans="1:18" x14ac:dyDescent="0.2">
      <c r="A2451" s="947" t="s">
        <v>270</v>
      </c>
      <c r="B2451" s="947">
        <v>617019</v>
      </c>
      <c r="C2451" s="947" t="s">
        <v>2189</v>
      </c>
      <c r="D2451" s="947" t="s">
        <v>1280</v>
      </c>
      <c r="E2451" s="951">
        <v>154</v>
      </c>
      <c r="F2451" s="951">
        <v>28</v>
      </c>
      <c r="G2451" s="947" t="s">
        <v>159</v>
      </c>
      <c r="H2451" s="951">
        <v>0</v>
      </c>
      <c r="I2451" s="951">
        <v>0</v>
      </c>
      <c r="J2451" s="947" t="s">
        <v>270</v>
      </c>
      <c r="K2451" s="947">
        <v>617019</v>
      </c>
      <c r="M2451" s="631"/>
      <c r="P2451" s="950" t="str">
        <f>VLOOKUP(J2451,'רשימת רשויות'!A:A,1,0)</f>
        <v>ירושלים</v>
      </c>
      <c r="Q2451" s="956">
        <f>IFERROR(VLOOKUP(B2451,[2]מעובד!$D:$K,8,0),0)</f>
        <v>138</v>
      </c>
      <c r="R2451" s="956">
        <f>IFERROR(VLOOKUP(B2451,[2]מעובד!$D:$L,9,0),0)</f>
        <v>37</v>
      </c>
    </row>
    <row r="2452" spans="1:18" x14ac:dyDescent="0.2">
      <c r="A2452" s="947" t="s">
        <v>192</v>
      </c>
      <c r="B2452" s="947">
        <v>617043</v>
      </c>
      <c r="C2452" s="947" t="s">
        <v>2189</v>
      </c>
      <c r="D2452" s="947" t="s">
        <v>1052</v>
      </c>
      <c r="E2452" s="951">
        <v>71</v>
      </c>
      <c r="F2452" s="951">
        <v>62</v>
      </c>
      <c r="G2452" s="947" t="s">
        <v>159</v>
      </c>
      <c r="H2452" s="951">
        <v>33</v>
      </c>
      <c r="I2452" s="951">
        <v>6</v>
      </c>
      <c r="J2452" s="947" t="s">
        <v>192</v>
      </c>
      <c r="K2452" s="947">
        <v>617043</v>
      </c>
      <c r="M2452" s="631"/>
      <c r="P2452" s="950" t="str">
        <f>VLOOKUP(J2452,'רשימת רשויות'!A:A,1,0)</f>
        <v>בית אריה</v>
      </c>
      <c r="Q2452" s="956">
        <f>IFERROR(VLOOKUP(B2452,[2]מעובד!$D:$K,8,0),0)</f>
        <v>64</v>
      </c>
      <c r="R2452" s="956">
        <f>IFERROR(VLOOKUP(B2452,[2]מעובד!$D:$L,9,0),0)</f>
        <v>27</v>
      </c>
    </row>
    <row r="2453" spans="1:18" x14ac:dyDescent="0.2">
      <c r="A2453" s="947" t="s">
        <v>270</v>
      </c>
      <c r="B2453" s="947">
        <v>617050</v>
      </c>
      <c r="C2453" s="947" t="s">
        <v>2189</v>
      </c>
      <c r="D2453" s="947" t="s">
        <v>1282</v>
      </c>
      <c r="E2453" s="951">
        <v>171</v>
      </c>
      <c r="F2453" s="951">
        <v>139</v>
      </c>
      <c r="G2453" s="947" t="s">
        <v>159</v>
      </c>
      <c r="H2453" s="951">
        <v>0</v>
      </c>
      <c r="I2453" s="951">
        <v>0</v>
      </c>
      <c r="J2453" s="947" t="s">
        <v>270</v>
      </c>
      <c r="K2453" s="947">
        <v>617050</v>
      </c>
      <c r="M2453" s="631"/>
      <c r="P2453" s="950" t="str">
        <f>VLOOKUP(J2453,'רשימת רשויות'!A:A,1,0)</f>
        <v>ירושלים</v>
      </c>
      <c r="Q2453" s="956">
        <f>IFERROR(VLOOKUP(B2453,[2]מעובד!$D:$K,8,0),0)</f>
        <v>0</v>
      </c>
      <c r="R2453" s="956">
        <f>IFERROR(VLOOKUP(B2453,[2]מעובד!$D:$L,9,0),0)</f>
        <v>0</v>
      </c>
    </row>
    <row r="2454" spans="1:18" x14ac:dyDescent="0.2">
      <c r="A2454" s="947" t="s">
        <v>172</v>
      </c>
      <c r="B2454" s="947">
        <v>618017</v>
      </c>
      <c r="C2454" s="947" t="s">
        <v>2189</v>
      </c>
      <c r="D2454" s="947" t="s">
        <v>3136</v>
      </c>
      <c r="E2454" s="951">
        <v>156</v>
      </c>
      <c r="F2454" s="951">
        <v>154</v>
      </c>
      <c r="G2454" s="947" t="s">
        <v>159</v>
      </c>
      <c r="H2454" s="951">
        <v>0</v>
      </c>
      <c r="I2454" s="951">
        <v>0</v>
      </c>
      <c r="J2454" s="947" t="s">
        <v>172</v>
      </c>
      <c r="K2454" s="947">
        <v>618017</v>
      </c>
      <c r="M2454" s="631"/>
      <c r="P2454" s="950" t="str">
        <f>VLOOKUP(J2454,'רשימת רשויות'!A:A,1,0)</f>
        <v>אל קסום</v>
      </c>
      <c r="Q2454" s="956">
        <f>IFERROR(VLOOKUP(B2454,[2]מעובד!$D:$K,8,0),0)</f>
        <v>140</v>
      </c>
      <c r="R2454" s="956">
        <f>IFERROR(VLOOKUP(B2454,[2]מעובד!$D:$L,9,0),0)</f>
        <v>82</v>
      </c>
    </row>
    <row r="2455" spans="1:18" x14ac:dyDescent="0.2">
      <c r="A2455" s="947" t="s">
        <v>295</v>
      </c>
      <c r="B2455" s="947">
        <v>618025</v>
      </c>
      <c r="C2455" s="947" t="s">
        <v>2189</v>
      </c>
      <c r="D2455" s="947" t="s">
        <v>946</v>
      </c>
      <c r="E2455" s="951">
        <v>301</v>
      </c>
      <c r="F2455" s="951">
        <v>301</v>
      </c>
      <c r="G2455" s="947" t="s">
        <v>159</v>
      </c>
      <c r="H2455" s="951">
        <v>0</v>
      </c>
      <c r="I2455" s="951">
        <v>0</v>
      </c>
      <c r="J2455" s="947" t="s">
        <v>295</v>
      </c>
      <c r="K2455" s="947">
        <v>618025</v>
      </c>
      <c r="M2455" s="631"/>
      <c r="P2455" s="950" t="str">
        <f>VLOOKUP(J2455,'רשימת רשויות'!A:A,1,0)</f>
        <v>לקיה</v>
      </c>
      <c r="Q2455" s="956">
        <f>IFERROR(VLOOKUP(B2455,[2]מעובד!$D:$K,8,0),0)</f>
        <v>239</v>
      </c>
      <c r="R2455" s="956">
        <f>IFERROR(VLOOKUP(B2455,[2]מעובד!$D:$L,9,0),0)</f>
        <v>120</v>
      </c>
    </row>
    <row r="2456" spans="1:18" x14ac:dyDescent="0.2">
      <c r="A2456" s="947" t="s">
        <v>328</v>
      </c>
      <c r="B2456" s="947">
        <v>618033</v>
      </c>
      <c r="C2456" s="947" t="s">
        <v>2189</v>
      </c>
      <c r="D2456" s="947" t="s">
        <v>947</v>
      </c>
      <c r="E2456" s="951">
        <v>326</v>
      </c>
      <c r="F2456" s="951">
        <v>326</v>
      </c>
      <c r="G2456" s="947" t="s">
        <v>159</v>
      </c>
      <c r="H2456" s="951">
        <v>0</v>
      </c>
      <c r="I2456" s="951">
        <v>0</v>
      </c>
      <c r="J2456" s="947" t="s">
        <v>328</v>
      </c>
      <c r="K2456" s="947">
        <v>618033</v>
      </c>
      <c r="M2456" s="631"/>
      <c r="P2456" s="950" t="str">
        <f>VLOOKUP(J2456,'רשימת רשויות'!A:A,1,0)</f>
        <v>נווה מדבר</v>
      </c>
      <c r="Q2456" s="956">
        <f>IFERROR(VLOOKUP(B2456,[2]מעובד!$D:$K,8,0),0)</f>
        <v>243</v>
      </c>
      <c r="R2456" s="956">
        <f>IFERROR(VLOOKUP(B2456,[2]מעובד!$D:$L,9,0),0)</f>
        <v>135</v>
      </c>
    </row>
    <row r="2457" spans="1:18" x14ac:dyDescent="0.2">
      <c r="A2457" s="947" t="s">
        <v>275</v>
      </c>
      <c r="B2457" s="947">
        <v>618041</v>
      </c>
      <c r="C2457" s="947" t="s">
        <v>2189</v>
      </c>
      <c r="D2457" s="947" t="s">
        <v>948</v>
      </c>
      <c r="E2457" s="951">
        <v>319</v>
      </c>
      <c r="F2457" s="951">
        <v>318</v>
      </c>
      <c r="G2457" s="947" t="s">
        <v>159</v>
      </c>
      <c r="H2457" s="951">
        <v>0</v>
      </c>
      <c r="I2457" s="951">
        <v>0</v>
      </c>
      <c r="J2457" s="947" t="s">
        <v>275</v>
      </c>
      <c r="K2457" s="947">
        <v>618041</v>
      </c>
      <c r="M2457" s="631"/>
      <c r="P2457" s="950" t="str">
        <f>VLOOKUP(J2457,'רשימת רשויות'!A:A,1,0)</f>
        <v>כסיפה</v>
      </c>
      <c r="Q2457" s="956">
        <f>IFERROR(VLOOKUP(B2457,[2]מעובד!$D:$K,8,0),0)</f>
        <v>270</v>
      </c>
      <c r="R2457" s="956">
        <f>IFERROR(VLOOKUP(B2457,[2]מעובד!$D:$L,9,0),0)</f>
        <v>270</v>
      </c>
    </row>
    <row r="2458" spans="1:18" x14ac:dyDescent="0.2">
      <c r="A2458" s="947" t="s">
        <v>386</v>
      </c>
      <c r="B2458" s="947">
        <v>618058</v>
      </c>
      <c r="C2458" s="947" t="s">
        <v>2189</v>
      </c>
      <c r="D2458" s="947" t="s">
        <v>949</v>
      </c>
      <c r="E2458" s="951">
        <v>322</v>
      </c>
      <c r="F2458" s="951">
        <v>300</v>
      </c>
      <c r="G2458" s="947" t="s">
        <v>159</v>
      </c>
      <c r="H2458" s="951">
        <v>0</v>
      </c>
      <c r="I2458" s="951">
        <v>0</v>
      </c>
      <c r="J2458" s="947" t="s">
        <v>386</v>
      </c>
      <c r="K2458" s="947">
        <v>618058</v>
      </c>
      <c r="M2458" s="631"/>
      <c r="P2458" s="950" t="str">
        <f>VLOOKUP(J2458,'רשימת רשויות'!A:A,1,0)</f>
        <v>רהט</v>
      </c>
      <c r="Q2458" s="956">
        <f>IFERROR(VLOOKUP(B2458,[2]מעובד!$D:$K,8,0),0)</f>
        <v>268</v>
      </c>
      <c r="R2458" s="956">
        <f>IFERROR(VLOOKUP(B2458,[2]מעובד!$D:$L,9,0),0)</f>
        <v>120</v>
      </c>
    </row>
    <row r="2459" spans="1:18" x14ac:dyDescent="0.2">
      <c r="A2459" s="947" t="s">
        <v>249</v>
      </c>
      <c r="B2459" s="947">
        <v>618066</v>
      </c>
      <c r="C2459" s="947" t="s">
        <v>2189</v>
      </c>
      <c r="D2459" s="947" t="s">
        <v>963</v>
      </c>
      <c r="E2459" s="951">
        <v>424</v>
      </c>
      <c r="F2459" s="951">
        <v>423</v>
      </c>
      <c r="G2459" s="947" t="s">
        <v>159</v>
      </c>
      <c r="H2459" s="951">
        <v>0</v>
      </c>
      <c r="I2459" s="951">
        <v>0</v>
      </c>
      <c r="J2459" s="947" t="s">
        <v>249</v>
      </c>
      <c r="K2459" s="947">
        <v>618066</v>
      </c>
      <c r="M2459" s="631"/>
      <c r="P2459" s="950" t="str">
        <f>VLOOKUP(J2459,'רשימת רשויות'!A:A,1,0)</f>
        <v>חורה</v>
      </c>
      <c r="Q2459" s="956">
        <f>IFERROR(VLOOKUP(B2459,[2]מעובד!$D:$K,8,0),0)</f>
        <v>0</v>
      </c>
      <c r="R2459" s="956">
        <f>IFERROR(VLOOKUP(B2459,[2]מעובד!$D:$L,9,0),0)</f>
        <v>0</v>
      </c>
    </row>
    <row r="2460" spans="1:18" x14ac:dyDescent="0.2">
      <c r="A2460" s="947" t="s">
        <v>249</v>
      </c>
      <c r="B2460" s="947">
        <v>618074</v>
      </c>
      <c r="C2460" s="947" t="s">
        <v>2189</v>
      </c>
      <c r="D2460" s="947" t="s">
        <v>832</v>
      </c>
      <c r="E2460" s="951">
        <v>366</v>
      </c>
      <c r="F2460" s="951">
        <v>357</v>
      </c>
      <c r="G2460" s="947" t="s">
        <v>159</v>
      </c>
      <c r="H2460" s="951">
        <v>113</v>
      </c>
      <c r="I2460" s="951">
        <v>9</v>
      </c>
      <c r="J2460" s="947" t="s">
        <v>249</v>
      </c>
      <c r="K2460" s="947">
        <v>618074</v>
      </c>
      <c r="M2460" s="631"/>
      <c r="P2460" s="950" t="str">
        <f>VLOOKUP(J2460,'רשימת רשויות'!A:A,1,0)</f>
        <v>חורה</v>
      </c>
      <c r="Q2460" s="956">
        <f>IFERROR(VLOOKUP(B2460,[2]מעובד!$D:$K,8,0),0)</f>
        <v>221</v>
      </c>
      <c r="R2460" s="956">
        <f>IFERROR(VLOOKUP(B2460,[2]מעובד!$D:$L,9,0),0)</f>
        <v>80</v>
      </c>
    </row>
    <row r="2461" spans="1:18" x14ac:dyDescent="0.2">
      <c r="A2461" s="947" t="s">
        <v>295</v>
      </c>
      <c r="B2461" s="947">
        <v>618082</v>
      </c>
      <c r="C2461" s="947" t="s">
        <v>2189</v>
      </c>
      <c r="D2461" s="947" t="s">
        <v>964</v>
      </c>
      <c r="E2461" s="951">
        <v>300</v>
      </c>
      <c r="F2461" s="951">
        <v>300</v>
      </c>
      <c r="G2461" s="947" t="s">
        <v>159</v>
      </c>
      <c r="H2461" s="951">
        <v>0</v>
      </c>
      <c r="I2461" s="951">
        <v>0</v>
      </c>
      <c r="J2461" s="947" t="s">
        <v>295</v>
      </c>
      <c r="K2461" s="947">
        <v>618082</v>
      </c>
      <c r="M2461" s="631"/>
      <c r="P2461" s="950" t="str">
        <f>VLOOKUP(J2461,'רשימת רשויות'!A:A,1,0)</f>
        <v>לקיה</v>
      </c>
      <c r="Q2461" s="956">
        <f>IFERROR(VLOOKUP(B2461,[2]מעובד!$D:$K,8,0),0)</f>
        <v>306</v>
      </c>
      <c r="R2461" s="956">
        <f>IFERROR(VLOOKUP(B2461,[2]מעובד!$D:$L,9,0),0)</f>
        <v>68</v>
      </c>
    </row>
    <row r="2462" spans="1:18" x14ac:dyDescent="0.2">
      <c r="A2462" s="947" t="s">
        <v>172</v>
      </c>
      <c r="B2462" s="947">
        <v>618090</v>
      </c>
      <c r="C2462" s="947" t="s">
        <v>2189</v>
      </c>
      <c r="D2462" s="947" t="s">
        <v>965</v>
      </c>
      <c r="E2462" s="951">
        <v>273</v>
      </c>
      <c r="F2462" s="951">
        <v>210</v>
      </c>
      <c r="G2462" s="947" t="s">
        <v>159</v>
      </c>
      <c r="H2462" s="951">
        <v>87</v>
      </c>
      <c r="I2462" s="951">
        <v>8</v>
      </c>
      <c r="J2462" s="947" t="s">
        <v>172</v>
      </c>
      <c r="K2462" s="947">
        <v>618090</v>
      </c>
      <c r="M2462" s="631"/>
      <c r="P2462" s="950" t="str">
        <f>VLOOKUP(J2462,'רשימת רשויות'!A:A,1,0)</f>
        <v>אל קסום</v>
      </c>
      <c r="Q2462" s="956">
        <f>IFERROR(VLOOKUP(B2462,[2]מעובד!$D:$K,8,0),0)</f>
        <v>192</v>
      </c>
      <c r="R2462" s="956">
        <f>IFERROR(VLOOKUP(B2462,[2]מעובד!$D:$L,9,0),0)</f>
        <v>135</v>
      </c>
    </row>
    <row r="2463" spans="1:18" x14ac:dyDescent="0.2">
      <c r="A2463" s="947" t="s">
        <v>328</v>
      </c>
      <c r="B2463" s="947">
        <v>618108</v>
      </c>
      <c r="C2463" s="947" t="s">
        <v>2189</v>
      </c>
      <c r="D2463" s="947" t="s">
        <v>966</v>
      </c>
      <c r="E2463" s="951">
        <v>521</v>
      </c>
      <c r="F2463" s="951">
        <v>512</v>
      </c>
      <c r="G2463" s="947" t="s">
        <v>159</v>
      </c>
      <c r="H2463" s="951">
        <v>0</v>
      </c>
      <c r="I2463" s="951">
        <v>0</v>
      </c>
      <c r="J2463" s="947" t="s">
        <v>328</v>
      </c>
      <c r="K2463" s="947">
        <v>618108</v>
      </c>
      <c r="M2463" s="631"/>
      <c r="P2463" s="950" t="str">
        <f>VLOOKUP(J2463,'רשימת רשויות'!A:A,1,0)</f>
        <v>נווה מדבר</v>
      </c>
      <c r="Q2463" s="956">
        <f>IFERROR(VLOOKUP(B2463,[2]מעובד!$D:$K,8,0),0)</f>
        <v>415</v>
      </c>
      <c r="R2463" s="956">
        <f>IFERROR(VLOOKUP(B2463,[2]מעובד!$D:$L,9,0),0)</f>
        <v>290</v>
      </c>
    </row>
    <row r="2464" spans="1:18" x14ac:dyDescent="0.2">
      <c r="A2464" s="947" t="s">
        <v>172</v>
      </c>
      <c r="B2464" s="947">
        <v>618116</v>
      </c>
      <c r="C2464" s="947" t="s">
        <v>2189</v>
      </c>
      <c r="D2464" s="947" t="s">
        <v>3137</v>
      </c>
      <c r="E2464" s="951">
        <v>199</v>
      </c>
      <c r="F2464" s="951">
        <v>0</v>
      </c>
      <c r="G2464" s="947" t="s">
        <v>159</v>
      </c>
      <c r="H2464" s="951">
        <v>0</v>
      </c>
      <c r="I2464" s="951">
        <v>0</v>
      </c>
      <c r="J2464" s="947" t="s">
        <v>172</v>
      </c>
      <c r="K2464" s="947">
        <v>618116</v>
      </c>
      <c r="M2464" s="631"/>
      <c r="P2464" s="950" t="str">
        <f>VLOOKUP(J2464,'רשימת רשויות'!A:A,1,0)</f>
        <v>אל קסום</v>
      </c>
      <c r="Q2464" s="956">
        <f>IFERROR(VLOOKUP(B2464,[2]מעובד!$D:$K,8,0),0)</f>
        <v>0</v>
      </c>
      <c r="R2464" s="956">
        <f>IFERROR(VLOOKUP(B2464,[2]מעובד!$D:$L,9,0),0)</f>
        <v>0</v>
      </c>
    </row>
    <row r="2465" spans="1:18" x14ac:dyDescent="0.2">
      <c r="A2465" s="947" t="s">
        <v>275</v>
      </c>
      <c r="B2465" s="947">
        <v>618132</v>
      </c>
      <c r="C2465" s="947" t="s">
        <v>2189</v>
      </c>
      <c r="D2465" s="947" t="s">
        <v>967</v>
      </c>
      <c r="E2465" s="951">
        <v>426</v>
      </c>
      <c r="F2465" s="951">
        <v>426</v>
      </c>
      <c r="G2465" s="947" t="s">
        <v>159</v>
      </c>
      <c r="H2465" s="951">
        <v>0</v>
      </c>
      <c r="I2465" s="951">
        <v>0</v>
      </c>
      <c r="J2465" s="947" t="s">
        <v>275</v>
      </c>
      <c r="K2465" s="947">
        <v>618132</v>
      </c>
      <c r="M2465" s="631"/>
      <c r="P2465" s="950" t="str">
        <f>VLOOKUP(J2465,'רשימת רשויות'!A:A,1,0)</f>
        <v>כסיפה</v>
      </c>
      <c r="Q2465" s="956">
        <f>IFERROR(VLOOKUP(B2465,[2]מעובד!$D:$K,8,0),0)</f>
        <v>408</v>
      </c>
      <c r="R2465" s="956">
        <f>IFERROR(VLOOKUP(B2465,[2]מעובד!$D:$L,9,0),0)</f>
        <v>408</v>
      </c>
    </row>
    <row r="2466" spans="1:18" x14ac:dyDescent="0.2">
      <c r="A2466" s="947" t="s">
        <v>410</v>
      </c>
      <c r="B2466" s="947">
        <v>618140</v>
      </c>
      <c r="C2466" s="947" t="s">
        <v>2189</v>
      </c>
      <c r="D2466" s="947" t="s">
        <v>968</v>
      </c>
      <c r="E2466" s="951">
        <v>168</v>
      </c>
      <c r="F2466" s="951">
        <v>157</v>
      </c>
      <c r="G2466" s="947" t="s">
        <v>159</v>
      </c>
      <c r="H2466" s="951">
        <v>58</v>
      </c>
      <c r="I2466" s="951">
        <v>11</v>
      </c>
      <c r="J2466" s="947" t="s">
        <v>410</v>
      </c>
      <c r="K2466" s="947">
        <v>618140</v>
      </c>
      <c r="M2466" s="631"/>
      <c r="P2466" s="950" t="str">
        <f>VLOOKUP(J2466,'רשימת רשויות'!A:A,1,0)</f>
        <v>תל שבע</v>
      </c>
      <c r="Q2466" s="956">
        <f>IFERROR(VLOOKUP(B2466,[2]מעובד!$D:$K,8,0),0)</f>
        <v>153</v>
      </c>
      <c r="R2466" s="956">
        <f>IFERROR(VLOOKUP(B2466,[2]מעובד!$D:$L,9,0),0)</f>
        <v>153</v>
      </c>
    </row>
    <row r="2467" spans="1:18" x14ac:dyDescent="0.2">
      <c r="A2467" s="947" t="s">
        <v>249</v>
      </c>
      <c r="B2467" s="947">
        <v>618157</v>
      </c>
      <c r="C2467" s="947" t="s">
        <v>2189</v>
      </c>
      <c r="D2467" s="947" t="s">
        <v>974</v>
      </c>
      <c r="E2467" s="951">
        <v>371</v>
      </c>
      <c r="F2467" s="951">
        <v>371</v>
      </c>
      <c r="G2467" s="947" t="s">
        <v>159</v>
      </c>
      <c r="H2467" s="951">
        <v>0</v>
      </c>
      <c r="I2467" s="951">
        <v>0</v>
      </c>
      <c r="J2467" s="947" t="s">
        <v>249</v>
      </c>
      <c r="K2467" s="947">
        <v>618157</v>
      </c>
      <c r="M2467" s="631"/>
      <c r="P2467" s="950" t="str">
        <f>VLOOKUP(J2467,'רשימת רשויות'!A:A,1,0)</f>
        <v>חורה</v>
      </c>
      <c r="Q2467" s="956">
        <f>IFERROR(VLOOKUP(B2467,[2]מעובד!$D:$K,8,0),0)</f>
        <v>215</v>
      </c>
      <c r="R2467" s="956">
        <f>IFERROR(VLOOKUP(B2467,[2]מעובד!$D:$L,9,0),0)</f>
        <v>80</v>
      </c>
    </row>
    <row r="2468" spans="1:18" x14ac:dyDescent="0.2">
      <c r="A2468" s="947" t="s">
        <v>328</v>
      </c>
      <c r="B2468" s="947">
        <v>618165</v>
      </c>
      <c r="C2468" s="947" t="s">
        <v>2189</v>
      </c>
      <c r="D2468" s="947" t="s">
        <v>975</v>
      </c>
      <c r="E2468" s="951">
        <v>432</v>
      </c>
      <c r="F2468" s="951">
        <v>419</v>
      </c>
      <c r="G2468" s="947" t="s">
        <v>159</v>
      </c>
      <c r="H2468" s="951">
        <v>145</v>
      </c>
      <c r="I2468" s="951">
        <v>13</v>
      </c>
      <c r="J2468" s="947" t="s">
        <v>328</v>
      </c>
      <c r="K2468" s="947">
        <v>618165</v>
      </c>
      <c r="M2468" s="631"/>
      <c r="P2468" s="950" t="str">
        <f>VLOOKUP(J2468,'רשימת רשויות'!A:A,1,0)</f>
        <v>נווה מדבר</v>
      </c>
      <c r="Q2468" s="956">
        <f>IFERROR(VLOOKUP(B2468,[2]מעובד!$D:$K,8,0),0)</f>
        <v>327</v>
      </c>
      <c r="R2468" s="956">
        <f>IFERROR(VLOOKUP(B2468,[2]מעובד!$D:$L,9,0),0)</f>
        <v>327</v>
      </c>
    </row>
    <row r="2469" spans="1:18" x14ac:dyDescent="0.2">
      <c r="A2469" s="947" t="s">
        <v>275</v>
      </c>
      <c r="B2469" s="947">
        <v>618173</v>
      </c>
      <c r="C2469" s="947" t="s">
        <v>2189</v>
      </c>
      <c r="D2469" s="947" t="s">
        <v>976</v>
      </c>
      <c r="E2469" s="951">
        <v>379</v>
      </c>
      <c r="F2469" s="951">
        <v>378</v>
      </c>
      <c r="G2469" s="947" t="s">
        <v>159</v>
      </c>
      <c r="H2469" s="951">
        <v>0</v>
      </c>
      <c r="I2469" s="951">
        <v>0</v>
      </c>
      <c r="J2469" s="947" t="s">
        <v>275</v>
      </c>
      <c r="K2469" s="947">
        <v>618173</v>
      </c>
      <c r="M2469" s="631"/>
      <c r="P2469" s="950" t="str">
        <f>VLOOKUP(J2469,'רשימת רשויות'!A:A,1,0)</f>
        <v>כסיפה</v>
      </c>
      <c r="Q2469" s="956">
        <f>IFERROR(VLOOKUP(B2469,[2]מעובד!$D:$K,8,0),0)</f>
        <v>346</v>
      </c>
      <c r="R2469" s="956">
        <f>IFERROR(VLOOKUP(B2469,[2]מעובד!$D:$L,9,0),0)</f>
        <v>346</v>
      </c>
    </row>
    <row r="2470" spans="1:18" x14ac:dyDescent="0.2">
      <c r="A2470" s="947" t="s">
        <v>172</v>
      </c>
      <c r="B2470" s="947">
        <v>618181</v>
      </c>
      <c r="C2470" s="947" t="s">
        <v>2189</v>
      </c>
      <c r="D2470" s="947" t="s">
        <v>977</v>
      </c>
      <c r="E2470" s="951">
        <v>528</v>
      </c>
      <c r="F2470" s="951">
        <v>460</v>
      </c>
      <c r="G2470" s="947" t="s">
        <v>159</v>
      </c>
      <c r="H2470" s="951">
        <v>0</v>
      </c>
      <c r="I2470" s="951">
        <v>0</v>
      </c>
      <c r="J2470" s="947" t="s">
        <v>172</v>
      </c>
      <c r="K2470" s="947">
        <v>618181</v>
      </c>
      <c r="M2470" s="631"/>
      <c r="P2470" s="950" t="str">
        <f>VLOOKUP(J2470,'רשימת רשויות'!A:A,1,0)</f>
        <v>אל קסום</v>
      </c>
      <c r="Q2470" s="956">
        <f>IFERROR(VLOOKUP(B2470,[2]מעובד!$D:$K,8,0),0)</f>
        <v>437</v>
      </c>
      <c r="R2470" s="956">
        <f>IFERROR(VLOOKUP(B2470,[2]מעובד!$D:$L,9,0),0)</f>
        <v>310</v>
      </c>
    </row>
    <row r="2471" spans="1:18" x14ac:dyDescent="0.2">
      <c r="A2471" s="947" t="s">
        <v>328</v>
      </c>
      <c r="B2471" s="947">
        <v>618199</v>
      </c>
      <c r="C2471" s="947" t="s">
        <v>2189</v>
      </c>
      <c r="D2471" s="947" t="s">
        <v>978</v>
      </c>
      <c r="E2471" s="951">
        <v>164</v>
      </c>
      <c r="F2471" s="951">
        <v>158</v>
      </c>
      <c r="G2471" s="947" t="s">
        <v>159</v>
      </c>
      <c r="H2471" s="951">
        <v>0</v>
      </c>
      <c r="I2471" s="951">
        <v>0</v>
      </c>
      <c r="J2471" s="947" t="s">
        <v>328</v>
      </c>
      <c r="K2471" s="947">
        <v>618199</v>
      </c>
      <c r="M2471" s="631"/>
      <c r="P2471" s="950" t="str">
        <f>VLOOKUP(J2471,'רשימת רשויות'!A:A,1,0)</f>
        <v>נווה מדבר</v>
      </c>
      <c r="Q2471" s="956">
        <f>IFERROR(VLOOKUP(B2471,[2]מעובד!$D:$K,8,0),0)</f>
        <v>134</v>
      </c>
      <c r="R2471" s="956">
        <f>IFERROR(VLOOKUP(B2471,[2]מעובד!$D:$L,9,0),0)</f>
        <v>87</v>
      </c>
    </row>
    <row r="2472" spans="1:18" x14ac:dyDescent="0.2">
      <c r="A2472" s="947" t="s">
        <v>355</v>
      </c>
      <c r="B2472" s="947">
        <v>618207</v>
      </c>
      <c r="C2472" s="947" t="s">
        <v>2189</v>
      </c>
      <c r="D2472" s="947" t="s">
        <v>979</v>
      </c>
      <c r="E2472" s="951">
        <v>411</v>
      </c>
      <c r="F2472" s="951">
        <v>403</v>
      </c>
      <c r="G2472" s="947" t="s">
        <v>159</v>
      </c>
      <c r="H2472" s="951">
        <v>121</v>
      </c>
      <c r="I2472" s="951">
        <v>6</v>
      </c>
      <c r="J2472" s="947" t="s">
        <v>355</v>
      </c>
      <c r="K2472" s="947">
        <v>618207</v>
      </c>
      <c r="M2472" s="631"/>
      <c r="P2472" s="950" t="str">
        <f>VLOOKUP(J2472,'רשימת רשויות'!A:A,1,0)</f>
        <v>ערד</v>
      </c>
      <c r="Q2472" s="956">
        <f>IFERROR(VLOOKUP(B2472,[2]מעובד!$D:$K,8,0),0)</f>
        <v>305</v>
      </c>
      <c r="R2472" s="956">
        <f>IFERROR(VLOOKUP(B2472,[2]מעובד!$D:$L,9,0),0)</f>
        <v>278</v>
      </c>
    </row>
    <row r="2473" spans="1:18" x14ac:dyDescent="0.2">
      <c r="A2473" s="947" t="s">
        <v>410</v>
      </c>
      <c r="B2473" s="947">
        <v>618223</v>
      </c>
      <c r="C2473" s="947" t="s">
        <v>2189</v>
      </c>
      <c r="D2473" s="947" t="s">
        <v>980</v>
      </c>
      <c r="E2473" s="951">
        <v>366</v>
      </c>
      <c r="F2473" s="951">
        <v>366</v>
      </c>
      <c r="G2473" s="947" t="s">
        <v>159</v>
      </c>
      <c r="H2473" s="951">
        <v>0</v>
      </c>
      <c r="I2473" s="951">
        <v>0</v>
      </c>
      <c r="J2473" s="947" t="s">
        <v>410</v>
      </c>
      <c r="K2473" s="947">
        <v>618223</v>
      </c>
      <c r="M2473" s="631"/>
      <c r="P2473" s="950" t="str">
        <f>VLOOKUP(J2473,'רשימת רשויות'!A:A,1,0)</f>
        <v>תל שבע</v>
      </c>
      <c r="Q2473" s="956">
        <f>IFERROR(VLOOKUP(B2473,[2]מעובד!$D:$K,8,0),0)</f>
        <v>309</v>
      </c>
      <c r="R2473" s="956">
        <f>IFERROR(VLOOKUP(B2473,[2]מעובד!$D:$L,9,0),0)</f>
        <v>309</v>
      </c>
    </row>
    <row r="2474" spans="1:18" x14ac:dyDescent="0.2">
      <c r="A2474" s="947" t="s">
        <v>386</v>
      </c>
      <c r="B2474" s="947">
        <v>618231</v>
      </c>
      <c r="C2474" s="947" t="s">
        <v>2189</v>
      </c>
      <c r="D2474" s="947" t="s">
        <v>985</v>
      </c>
      <c r="E2474" s="951">
        <v>301</v>
      </c>
      <c r="F2474" s="951">
        <v>280</v>
      </c>
      <c r="G2474" s="947" t="s">
        <v>159</v>
      </c>
      <c r="H2474" s="951">
        <v>104</v>
      </c>
      <c r="I2474" s="951">
        <v>9</v>
      </c>
      <c r="J2474" s="947" t="s">
        <v>386</v>
      </c>
      <c r="K2474" s="947">
        <v>618231</v>
      </c>
      <c r="M2474" s="631"/>
      <c r="P2474" s="950" t="str">
        <f>VLOOKUP(J2474,'רשימת רשויות'!A:A,1,0)</f>
        <v>רהט</v>
      </c>
      <c r="Q2474" s="956">
        <f>IFERROR(VLOOKUP(B2474,[2]מעובד!$D:$K,8,0),0)</f>
        <v>250</v>
      </c>
      <c r="R2474" s="956">
        <f>IFERROR(VLOOKUP(B2474,[2]מעובד!$D:$L,9,0),0)</f>
        <v>105</v>
      </c>
    </row>
    <row r="2475" spans="1:18" x14ac:dyDescent="0.2">
      <c r="A2475" s="947" t="s">
        <v>386</v>
      </c>
      <c r="B2475" s="947">
        <v>618249</v>
      </c>
      <c r="C2475" s="947" t="s">
        <v>2189</v>
      </c>
      <c r="D2475" s="947" t="s">
        <v>986</v>
      </c>
      <c r="E2475" s="951">
        <v>307</v>
      </c>
      <c r="F2475" s="951">
        <v>307</v>
      </c>
      <c r="G2475" s="947" t="s">
        <v>159</v>
      </c>
      <c r="H2475" s="951">
        <v>0</v>
      </c>
      <c r="I2475" s="951">
        <v>0</v>
      </c>
      <c r="J2475" s="947" t="s">
        <v>386</v>
      </c>
      <c r="K2475" s="947">
        <v>618249</v>
      </c>
      <c r="M2475" s="631"/>
      <c r="P2475" s="950" t="str">
        <f>VLOOKUP(J2475,'רשימת רשויות'!A:A,1,0)</f>
        <v>רהט</v>
      </c>
      <c r="Q2475" s="956">
        <f>IFERROR(VLOOKUP(B2475,[2]מעובד!$D:$K,8,0),0)</f>
        <v>266</v>
      </c>
      <c r="R2475" s="956">
        <f>IFERROR(VLOOKUP(B2475,[2]מעובד!$D:$L,9,0),0)</f>
        <v>250</v>
      </c>
    </row>
    <row r="2476" spans="1:18" x14ac:dyDescent="0.2">
      <c r="A2476" s="947" t="s">
        <v>386</v>
      </c>
      <c r="B2476" s="947">
        <v>618256</v>
      </c>
      <c r="C2476" s="947" t="s">
        <v>2189</v>
      </c>
      <c r="D2476" s="947" t="s">
        <v>987</v>
      </c>
      <c r="E2476" s="951">
        <v>204</v>
      </c>
      <c r="F2476" s="951">
        <v>204</v>
      </c>
      <c r="G2476" s="947" t="s">
        <v>159</v>
      </c>
      <c r="H2476" s="951">
        <v>0</v>
      </c>
      <c r="I2476" s="951">
        <v>0</v>
      </c>
      <c r="J2476" s="947" t="s">
        <v>386</v>
      </c>
      <c r="K2476" s="947">
        <v>618256</v>
      </c>
      <c r="M2476" s="631"/>
      <c r="P2476" s="950" t="str">
        <f>VLOOKUP(J2476,'רשימת רשויות'!A:A,1,0)</f>
        <v>רהט</v>
      </c>
      <c r="Q2476" s="956">
        <f>IFERROR(VLOOKUP(B2476,[2]מעובד!$D:$K,8,0),0)</f>
        <v>181</v>
      </c>
      <c r="R2476" s="956">
        <f>IFERROR(VLOOKUP(B2476,[2]מעובד!$D:$L,9,0),0)</f>
        <v>90</v>
      </c>
    </row>
    <row r="2477" spans="1:18" x14ac:dyDescent="0.2">
      <c r="A2477" s="947" t="s">
        <v>386</v>
      </c>
      <c r="B2477" s="947">
        <v>618264</v>
      </c>
      <c r="C2477" s="947" t="s">
        <v>2189</v>
      </c>
      <c r="D2477" s="947" t="s">
        <v>988</v>
      </c>
      <c r="E2477" s="951">
        <v>429</v>
      </c>
      <c r="F2477" s="951">
        <v>410</v>
      </c>
      <c r="G2477" s="947" t="s">
        <v>159</v>
      </c>
      <c r="H2477" s="951">
        <v>0</v>
      </c>
      <c r="I2477" s="951">
        <v>0</v>
      </c>
      <c r="J2477" s="947" t="s">
        <v>386</v>
      </c>
      <c r="K2477" s="947">
        <v>618264</v>
      </c>
      <c r="M2477" s="631"/>
      <c r="P2477" s="950" t="str">
        <f>VLOOKUP(J2477,'רשימת רשויות'!A:A,1,0)</f>
        <v>רהט</v>
      </c>
      <c r="Q2477" s="956">
        <f>IFERROR(VLOOKUP(B2477,[2]מעובד!$D:$K,8,0),0)</f>
        <v>375</v>
      </c>
      <c r="R2477" s="956">
        <f>IFERROR(VLOOKUP(B2477,[2]מעובד!$D:$L,9,0),0)</f>
        <v>215</v>
      </c>
    </row>
    <row r="2478" spans="1:18" x14ac:dyDescent="0.2">
      <c r="A2478" s="947" t="s">
        <v>357</v>
      </c>
      <c r="B2478" s="947">
        <v>618280</v>
      </c>
      <c r="C2478" s="947" t="s">
        <v>2189</v>
      </c>
      <c r="D2478" s="947" t="s">
        <v>989</v>
      </c>
      <c r="E2478" s="951">
        <v>290</v>
      </c>
      <c r="F2478" s="951">
        <v>290</v>
      </c>
      <c r="G2478" s="947" t="s">
        <v>159</v>
      </c>
      <c r="H2478" s="951">
        <v>0</v>
      </c>
      <c r="I2478" s="951">
        <v>0</v>
      </c>
      <c r="J2478" s="947" t="s">
        <v>357</v>
      </c>
      <c r="K2478" s="947">
        <v>618280</v>
      </c>
      <c r="M2478" s="631"/>
      <c r="P2478" s="950" t="str">
        <f>VLOOKUP(J2478,'רשימת רשויות'!A:A,1,0)</f>
        <v>ערערה בנגב</v>
      </c>
      <c r="Q2478" s="956">
        <f>IFERROR(VLOOKUP(B2478,[2]מעובד!$D:$K,8,0),0)</f>
        <v>280</v>
      </c>
      <c r="R2478" s="956">
        <f>IFERROR(VLOOKUP(B2478,[2]מעובד!$D:$L,9,0),0)</f>
        <v>225</v>
      </c>
    </row>
    <row r="2479" spans="1:18" x14ac:dyDescent="0.2">
      <c r="A2479" s="947" t="s">
        <v>386</v>
      </c>
      <c r="B2479" s="947">
        <v>618298</v>
      </c>
      <c r="C2479" s="947" t="s">
        <v>2189</v>
      </c>
      <c r="D2479" s="947" t="s">
        <v>990</v>
      </c>
      <c r="E2479" s="951">
        <v>459</v>
      </c>
      <c r="F2479" s="951">
        <v>445</v>
      </c>
      <c r="G2479" s="947" t="s">
        <v>159</v>
      </c>
      <c r="H2479" s="951">
        <v>0</v>
      </c>
      <c r="I2479" s="951">
        <v>0</v>
      </c>
      <c r="J2479" s="947" t="s">
        <v>386</v>
      </c>
      <c r="K2479" s="947">
        <v>618298</v>
      </c>
      <c r="M2479" s="631"/>
      <c r="P2479" s="950" t="str">
        <f>VLOOKUP(J2479,'רשימת רשויות'!A:A,1,0)</f>
        <v>רהט</v>
      </c>
      <c r="Q2479" s="956">
        <f>IFERROR(VLOOKUP(B2479,[2]מעובד!$D:$K,8,0),0)</f>
        <v>370</v>
      </c>
      <c r="R2479" s="956">
        <f>IFERROR(VLOOKUP(B2479,[2]מעובד!$D:$L,9,0),0)</f>
        <v>370</v>
      </c>
    </row>
    <row r="2480" spans="1:18" x14ac:dyDescent="0.2">
      <c r="A2480" s="947" t="s">
        <v>357</v>
      </c>
      <c r="B2480" s="947">
        <v>618314</v>
      </c>
      <c r="C2480" s="947" t="s">
        <v>2189</v>
      </c>
      <c r="D2480" s="947" t="s">
        <v>991</v>
      </c>
      <c r="E2480" s="951">
        <v>359</v>
      </c>
      <c r="F2480" s="951">
        <v>359</v>
      </c>
      <c r="G2480" s="947" t="s">
        <v>159</v>
      </c>
      <c r="H2480" s="951">
        <v>0</v>
      </c>
      <c r="I2480" s="951">
        <v>0</v>
      </c>
      <c r="J2480" s="947" t="s">
        <v>357</v>
      </c>
      <c r="K2480" s="947">
        <v>618314</v>
      </c>
      <c r="M2480" s="631"/>
      <c r="P2480" s="950" t="str">
        <f>VLOOKUP(J2480,'רשימת רשויות'!A:A,1,0)</f>
        <v>ערערה בנגב</v>
      </c>
      <c r="Q2480" s="956">
        <f>IFERROR(VLOOKUP(B2480,[2]מעובד!$D:$K,8,0),0)</f>
        <v>331</v>
      </c>
      <c r="R2480" s="956">
        <f>IFERROR(VLOOKUP(B2480,[2]מעובד!$D:$L,9,0),0)</f>
        <v>150</v>
      </c>
    </row>
    <row r="2481" spans="1:18" x14ac:dyDescent="0.2">
      <c r="A2481" s="947" t="s">
        <v>386</v>
      </c>
      <c r="B2481" s="947">
        <v>618322</v>
      </c>
      <c r="C2481" s="947" t="s">
        <v>2189</v>
      </c>
      <c r="D2481" s="947" t="s">
        <v>992</v>
      </c>
      <c r="E2481" s="951">
        <v>384</v>
      </c>
      <c r="F2481" s="951">
        <v>368</v>
      </c>
      <c r="G2481" s="947" t="s">
        <v>159</v>
      </c>
      <c r="H2481" s="951">
        <v>0</v>
      </c>
      <c r="I2481" s="951">
        <v>0</v>
      </c>
      <c r="J2481" s="947" t="s">
        <v>386</v>
      </c>
      <c r="K2481" s="947">
        <v>618322</v>
      </c>
      <c r="M2481" s="631"/>
      <c r="P2481" s="950" t="str">
        <f>VLOOKUP(J2481,'רשימת רשויות'!A:A,1,0)</f>
        <v>רהט</v>
      </c>
      <c r="Q2481" s="956">
        <f>IFERROR(VLOOKUP(B2481,[2]מעובד!$D:$K,8,0),0)</f>
        <v>410</v>
      </c>
      <c r="R2481" s="956">
        <f>IFERROR(VLOOKUP(B2481,[2]מעובד!$D:$L,9,0),0)</f>
        <v>140</v>
      </c>
    </row>
    <row r="2482" spans="1:18" x14ac:dyDescent="0.2">
      <c r="A2482" s="947" t="s">
        <v>397</v>
      </c>
      <c r="B2482" s="947">
        <v>618330</v>
      </c>
      <c r="C2482" s="947" t="s">
        <v>2189</v>
      </c>
      <c r="D2482" s="947" t="s">
        <v>1004</v>
      </c>
      <c r="E2482" s="951">
        <v>563</v>
      </c>
      <c r="F2482" s="951">
        <v>300</v>
      </c>
      <c r="G2482" s="947" t="s">
        <v>159</v>
      </c>
      <c r="H2482" s="951">
        <v>0</v>
      </c>
      <c r="I2482" s="951">
        <v>0</v>
      </c>
      <c r="J2482" s="947" t="s">
        <v>397</v>
      </c>
      <c r="K2482" s="947">
        <v>618330</v>
      </c>
      <c r="M2482" s="631"/>
      <c r="P2482" s="950" t="str">
        <f>VLOOKUP(J2482,'רשימת רשויות'!A:A,1,0)</f>
        <v>שגב שלום</v>
      </c>
      <c r="Q2482" s="956">
        <f>IFERROR(VLOOKUP(B2482,[2]מעובד!$D:$K,8,0),0)</f>
        <v>447</v>
      </c>
      <c r="R2482" s="956">
        <f>IFERROR(VLOOKUP(B2482,[2]מעובד!$D:$L,9,0),0)</f>
        <v>83</v>
      </c>
    </row>
    <row r="2483" spans="1:18" x14ac:dyDescent="0.2">
      <c r="A2483" s="947" t="s">
        <v>386</v>
      </c>
      <c r="B2483" s="947">
        <v>618348</v>
      </c>
      <c r="C2483" s="947" t="s">
        <v>2189</v>
      </c>
      <c r="D2483" s="947" t="s">
        <v>1005</v>
      </c>
      <c r="E2483" s="951">
        <v>282</v>
      </c>
      <c r="F2483" s="951">
        <v>260</v>
      </c>
      <c r="G2483" s="947" t="s">
        <v>159</v>
      </c>
      <c r="H2483" s="951">
        <v>0</v>
      </c>
      <c r="I2483" s="951">
        <v>0</v>
      </c>
      <c r="J2483" s="947" t="s">
        <v>386</v>
      </c>
      <c r="K2483" s="957" t="s">
        <v>3375</v>
      </c>
      <c r="M2483" s="631"/>
      <c r="P2483" s="950" t="str">
        <f>VLOOKUP(J2483,'רשימת רשויות'!A:A,1,0)</f>
        <v>רהט</v>
      </c>
      <c r="Q2483" s="956">
        <f>IFERROR(VLOOKUP(B2483,[2]מעובד!$D:$K,8,0),0)</f>
        <v>0</v>
      </c>
      <c r="R2483" s="956">
        <f>IFERROR(VLOOKUP(B2483,[2]מעובד!$D:$L,9,0),0)</f>
        <v>0</v>
      </c>
    </row>
    <row r="2484" spans="1:18" x14ac:dyDescent="0.2">
      <c r="A2484" s="947" t="s">
        <v>328</v>
      </c>
      <c r="B2484" s="947">
        <v>618355</v>
      </c>
      <c r="C2484" s="947" t="s">
        <v>2189</v>
      </c>
      <c r="D2484" s="947" t="s">
        <v>1006</v>
      </c>
      <c r="E2484" s="951">
        <v>367</v>
      </c>
      <c r="F2484" s="951">
        <v>367</v>
      </c>
      <c r="G2484" s="947" t="s">
        <v>159</v>
      </c>
      <c r="H2484" s="951">
        <v>0</v>
      </c>
      <c r="I2484" s="951">
        <v>0</v>
      </c>
      <c r="J2484" s="947" t="s">
        <v>328</v>
      </c>
      <c r="K2484" s="947">
        <v>618355</v>
      </c>
      <c r="M2484" s="631"/>
      <c r="P2484" s="950" t="str">
        <f>VLOOKUP(J2484,'רשימת רשויות'!A:A,1,0)</f>
        <v>נווה מדבר</v>
      </c>
      <c r="Q2484" s="956">
        <f>IFERROR(VLOOKUP(B2484,[2]מעובד!$D:$K,8,0),0)</f>
        <v>324</v>
      </c>
      <c r="R2484" s="956">
        <f>IFERROR(VLOOKUP(B2484,[2]מעובד!$D:$L,9,0),0)</f>
        <v>165</v>
      </c>
    </row>
    <row r="2485" spans="1:18" x14ac:dyDescent="0.2">
      <c r="A2485" s="947" t="s">
        <v>386</v>
      </c>
      <c r="B2485" s="947">
        <v>618363</v>
      </c>
      <c r="C2485" s="947" t="s">
        <v>2189</v>
      </c>
      <c r="D2485" s="947" t="s">
        <v>1007</v>
      </c>
      <c r="E2485" s="951">
        <v>275</v>
      </c>
      <c r="F2485" s="951">
        <v>274</v>
      </c>
      <c r="G2485" s="947" t="s">
        <v>159</v>
      </c>
      <c r="H2485" s="951">
        <v>0</v>
      </c>
      <c r="I2485" s="951">
        <v>0</v>
      </c>
      <c r="J2485" s="947" t="s">
        <v>386</v>
      </c>
      <c r="K2485" s="947">
        <v>618363</v>
      </c>
      <c r="M2485" s="631"/>
      <c r="P2485" s="950" t="str">
        <f>VLOOKUP(J2485,'רשימת רשויות'!A:A,1,0)</f>
        <v>רהט</v>
      </c>
      <c r="Q2485" s="956">
        <f>IFERROR(VLOOKUP(B2485,[2]מעובד!$D:$K,8,0),0)</f>
        <v>244</v>
      </c>
      <c r="R2485" s="956">
        <f>IFERROR(VLOOKUP(B2485,[2]מעובד!$D:$L,9,0),0)</f>
        <v>217</v>
      </c>
    </row>
    <row r="2486" spans="1:18" x14ac:dyDescent="0.2">
      <c r="A2486" s="947" t="s">
        <v>386</v>
      </c>
      <c r="B2486" s="947">
        <v>618371</v>
      </c>
      <c r="C2486" s="947" t="s">
        <v>2189</v>
      </c>
      <c r="D2486" s="947" t="s">
        <v>1008</v>
      </c>
      <c r="E2486" s="951">
        <v>420</v>
      </c>
      <c r="F2486" s="951">
        <v>410</v>
      </c>
      <c r="G2486" s="947" t="s">
        <v>159</v>
      </c>
      <c r="H2486" s="951">
        <v>0</v>
      </c>
      <c r="I2486" s="951">
        <v>0</v>
      </c>
      <c r="J2486" s="947" t="s">
        <v>386</v>
      </c>
      <c r="K2486" s="947">
        <v>618371</v>
      </c>
      <c r="M2486" s="631"/>
      <c r="P2486" s="950" t="str">
        <f>VLOOKUP(J2486,'רשימת רשויות'!A:A,1,0)</f>
        <v>רהט</v>
      </c>
      <c r="Q2486" s="956">
        <f>IFERROR(VLOOKUP(B2486,[2]מעובד!$D:$K,8,0),0)</f>
        <v>354</v>
      </c>
      <c r="R2486" s="956">
        <f>IFERROR(VLOOKUP(B2486,[2]מעובד!$D:$L,9,0),0)</f>
        <v>150</v>
      </c>
    </row>
    <row r="2487" spans="1:18" x14ac:dyDescent="0.2">
      <c r="A2487" s="947" t="s">
        <v>295</v>
      </c>
      <c r="B2487" s="947">
        <v>618389</v>
      </c>
      <c r="C2487" s="947" t="s">
        <v>2189</v>
      </c>
      <c r="D2487" s="947" t="s">
        <v>1009</v>
      </c>
      <c r="E2487" s="951">
        <v>389</v>
      </c>
      <c r="F2487" s="951">
        <v>389</v>
      </c>
      <c r="G2487" s="947" t="s">
        <v>159</v>
      </c>
      <c r="H2487" s="951">
        <v>0</v>
      </c>
      <c r="I2487" s="951">
        <v>0</v>
      </c>
      <c r="J2487" s="947" t="s">
        <v>295</v>
      </c>
      <c r="K2487" s="947">
        <v>618389</v>
      </c>
      <c r="M2487" s="631"/>
      <c r="P2487" s="950" t="str">
        <f>VLOOKUP(J2487,'רשימת רשויות'!A:A,1,0)</f>
        <v>לקיה</v>
      </c>
      <c r="Q2487" s="956">
        <f>IFERROR(VLOOKUP(B2487,[2]מעובד!$D:$K,8,0),0)</f>
        <v>336</v>
      </c>
      <c r="R2487" s="956">
        <f>IFERROR(VLOOKUP(B2487,[2]מעובד!$D:$L,9,0),0)</f>
        <v>240</v>
      </c>
    </row>
    <row r="2488" spans="1:18" x14ac:dyDescent="0.2">
      <c r="A2488" s="947" t="s">
        <v>295</v>
      </c>
      <c r="B2488" s="947">
        <v>618397</v>
      </c>
      <c r="C2488" s="947" t="s">
        <v>2189</v>
      </c>
      <c r="D2488" s="947" t="s">
        <v>1010</v>
      </c>
      <c r="E2488" s="951">
        <v>191</v>
      </c>
      <c r="F2488" s="951">
        <v>181</v>
      </c>
      <c r="G2488" s="947" t="s">
        <v>159</v>
      </c>
      <c r="H2488" s="951">
        <v>72</v>
      </c>
      <c r="I2488" s="951">
        <v>8</v>
      </c>
      <c r="J2488" s="947" t="s">
        <v>295</v>
      </c>
      <c r="K2488" s="947">
        <v>618397</v>
      </c>
      <c r="M2488" s="631"/>
      <c r="P2488" s="950" t="str">
        <f>VLOOKUP(J2488,'רשימת רשויות'!A:A,1,0)</f>
        <v>לקיה</v>
      </c>
      <c r="Q2488" s="956">
        <f>IFERROR(VLOOKUP(B2488,[2]מעובד!$D:$K,8,0),0)</f>
        <v>163</v>
      </c>
      <c r="R2488" s="956">
        <f>IFERROR(VLOOKUP(B2488,[2]מעובד!$D:$L,9,0),0)</f>
        <v>163</v>
      </c>
    </row>
    <row r="2489" spans="1:18" x14ac:dyDescent="0.2">
      <c r="A2489" s="947" t="s">
        <v>397</v>
      </c>
      <c r="B2489" s="947">
        <v>618405</v>
      </c>
      <c r="C2489" s="947" t="s">
        <v>2189</v>
      </c>
      <c r="D2489" s="947" t="s">
        <v>1011</v>
      </c>
      <c r="E2489" s="951">
        <v>238</v>
      </c>
      <c r="F2489" s="951">
        <v>180</v>
      </c>
      <c r="G2489" s="947" t="s">
        <v>159</v>
      </c>
      <c r="H2489" s="951">
        <v>79</v>
      </c>
      <c r="I2489" s="951">
        <v>9</v>
      </c>
      <c r="J2489" s="947" t="s">
        <v>397</v>
      </c>
      <c r="K2489" s="947">
        <v>618405</v>
      </c>
      <c r="M2489" s="631"/>
      <c r="P2489" s="950" t="str">
        <f>VLOOKUP(J2489,'רשימת רשויות'!A:A,1,0)</f>
        <v>שגב שלום</v>
      </c>
      <c r="Q2489" s="956">
        <f>IFERROR(VLOOKUP(B2489,[2]מעובד!$D:$K,8,0),0)</f>
        <v>241</v>
      </c>
      <c r="R2489" s="956">
        <f>IFERROR(VLOOKUP(B2489,[2]מעובד!$D:$L,9,0),0)</f>
        <v>155</v>
      </c>
    </row>
    <row r="2490" spans="1:18" x14ac:dyDescent="0.2">
      <c r="A2490" s="947" t="s">
        <v>410</v>
      </c>
      <c r="B2490" s="947">
        <v>618413</v>
      </c>
      <c r="C2490" s="947" t="s">
        <v>2189</v>
      </c>
      <c r="D2490" s="947" t="s">
        <v>856</v>
      </c>
      <c r="E2490" s="951">
        <v>321</v>
      </c>
      <c r="F2490" s="951">
        <v>313</v>
      </c>
      <c r="G2490" s="947" t="s">
        <v>159</v>
      </c>
      <c r="H2490" s="951">
        <v>0</v>
      </c>
      <c r="I2490" s="951">
        <v>0</v>
      </c>
      <c r="J2490" s="947" t="s">
        <v>410</v>
      </c>
      <c r="K2490" s="947">
        <v>618413</v>
      </c>
      <c r="M2490" s="631"/>
      <c r="P2490" s="950" t="str">
        <f>VLOOKUP(J2490,'רשימת רשויות'!A:A,1,0)</f>
        <v>תל שבע</v>
      </c>
      <c r="Q2490" s="956">
        <f>IFERROR(VLOOKUP(B2490,[2]מעובד!$D:$K,8,0),0)</f>
        <v>266</v>
      </c>
      <c r="R2490" s="956">
        <f>IFERROR(VLOOKUP(B2490,[2]מעובד!$D:$L,9,0),0)</f>
        <v>266</v>
      </c>
    </row>
    <row r="2491" spans="1:18" x14ac:dyDescent="0.2">
      <c r="A2491" s="947" t="s">
        <v>410</v>
      </c>
      <c r="B2491" s="947">
        <v>618421</v>
      </c>
      <c r="C2491" s="947" t="s">
        <v>2189</v>
      </c>
      <c r="D2491" s="947" t="s">
        <v>951</v>
      </c>
      <c r="E2491" s="951">
        <v>240</v>
      </c>
      <c r="F2491" s="951">
        <v>232</v>
      </c>
      <c r="G2491" s="947" t="s">
        <v>159</v>
      </c>
      <c r="H2491" s="951">
        <v>0</v>
      </c>
      <c r="I2491" s="951">
        <v>0</v>
      </c>
      <c r="J2491" s="947" t="s">
        <v>410</v>
      </c>
      <c r="K2491" s="947">
        <v>618421</v>
      </c>
      <c r="M2491" s="631"/>
      <c r="P2491" s="950" t="str">
        <f>VLOOKUP(J2491,'רשימת רשויות'!A:A,1,0)</f>
        <v>תל שבע</v>
      </c>
      <c r="Q2491" s="956">
        <f>IFERROR(VLOOKUP(B2491,[2]מעובד!$D:$K,8,0),0)</f>
        <v>200</v>
      </c>
      <c r="R2491" s="956">
        <f>IFERROR(VLOOKUP(B2491,[2]מעובד!$D:$L,9,0),0)</f>
        <v>188</v>
      </c>
    </row>
    <row r="2492" spans="1:18" x14ac:dyDescent="0.2">
      <c r="A2492" s="947" t="s">
        <v>386</v>
      </c>
      <c r="B2492" s="947">
        <v>618439</v>
      </c>
      <c r="C2492" s="947" t="s">
        <v>2189</v>
      </c>
      <c r="D2492" s="947" t="s">
        <v>2603</v>
      </c>
      <c r="E2492" s="951">
        <v>189</v>
      </c>
      <c r="F2492" s="951">
        <v>188</v>
      </c>
      <c r="G2492" s="947" t="s">
        <v>159</v>
      </c>
      <c r="H2492" s="951">
        <v>0</v>
      </c>
      <c r="I2492" s="951">
        <v>0</v>
      </c>
      <c r="J2492" s="947" t="s">
        <v>386</v>
      </c>
      <c r="K2492" s="947">
        <v>618439</v>
      </c>
      <c r="M2492" s="631"/>
      <c r="P2492" s="950" t="str">
        <f>VLOOKUP(J2492,'רשימת רשויות'!A:A,1,0)</f>
        <v>רהט</v>
      </c>
      <c r="Q2492" s="956">
        <f>IFERROR(VLOOKUP(B2492,[2]מעובד!$D:$K,8,0),0)</f>
        <v>138</v>
      </c>
      <c r="R2492" s="956">
        <f>IFERROR(VLOOKUP(B2492,[2]מעובד!$D:$L,9,0),0)</f>
        <v>138</v>
      </c>
    </row>
    <row r="2493" spans="1:18" x14ac:dyDescent="0.2">
      <c r="A2493" s="947" t="s">
        <v>386</v>
      </c>
      <c r="B2493" s="947">
        <v>618447</v>
      </c>
      <c r="C2493" s="947" t="s">
        <v>2189</v>
      </c>
      <c r="D2493" s="947" t="s">
        <v>590</v>
      </c>
      <c r="E2493" s="951">
        <v>410</v>
      </c>
      <c r="F2493" s="951">
        <v>405</v>
      </c>
      <c r="G2493" s="947" t="s">
        <v>159</v>
      </c>
      <c r="H2493" s="951">
        <v>0</v>
      </c>
      <c r="I2493" s="951">
        <v>0</v>
      </c>
      <c r="J2493" s="947" t="s">
        <v>386</v>
      </c>
      <c r="K2493" s="947">
        <v>618447</v>
      </c>
      <c r="M2493" s="631"/>
      <c r="P2493" s="950" t="str">
        <f>VLOOKUP(J2493,'רשימת רשויות'!A:A,1,0)</f>
        <v>רהט</v>
      </c>
      <c r="Q2493" s="956">
        <f>IFERROR(VLOOKUP(B2493,[2]מעובד!$D:$K,8,0),0)</f>
        <v>322</v>
      </c>
      <c r="R2493" s="956">
        <f>IFERROR(VLOOKUP(B2493,[2]מעובד!$D:$L,9,0),0)</f>
        <v>150</v>
      </c>
    </row>
    <row r="2494" spans="1:18" x14ac:dyDescent="0.2">
      <c r="A2494" s="947" t="s">
        <v>172</v>
      </c>
      <c r="B2494" s="947">
        <v>618454</v>
      </c>
      <c r="C2494" s="947" t="s">
        <v>2189</v>
      </c>
      <c r="D2494" s="947" t="s">
        <v>1016</v>
      </c>
      <c r="E2494" s="951">
        <v>96</v>
      </c>
      <c r="F2494" s="951">
        <v>96</v>
      </c>
      <c r="G2494" s="947" t="s">
        <v>159</v>
      </c>
      <c r="H2494" s="951">
        <v>0</v>
      </c>
      <c r="I2494" s="951">
        <v>0</v>
      </c>
      <c r="J2494" s="947" t="s">
        <v>172</v>
      </c>
      <c r="K2494" s="947">
        <v>618454</v>
      </c>
      <c r="M2494" s="631"/>
      <c r="P2494" s="950" t="str">
        <f>VLOOKUP(J2494,'רשימת רשויות'!A:A,1,0)</f>
        <v>אל קסום</v>
      </c>
      <c r="Q2494" s="956">
        <f>IFERROR(VLOOKUP(B2494,[2]מעובד!$D:$K,8,0),0)</f>
        <v>66</v>
      </c>
      <c r="R2494" s="956">
        <f>IFERROR(VLOOKUP(B2494,[2]מעובד!$D:$L,9,0),0)</f>
        <v>66</v>
      </c>
    </row>
    <row r="2495" spans="1:18" x14ac:dyDescent="0.2">
      <c r="A2495" s="947" t="s">
        <v>172</v>
      </c>
      <c r="B2495" s="947">
        <v>618462</v>
      </c>
      <c r="C2495" s="947" t="s">
        <v>2189</v>
      </c>
      <c r="D2495" s="947" t="s">
        <v>3138</v>
      </c>
      <c r="E2495" s="951">
        <v>398</v>
      </c>
      <c r="F2495" s="951">
        <v>380</v>
      </c>
      <c r="G2495" s="947" t="s">
        <v>159</v>
      </c>
      <c r="H2495" s="951">
        <v>129</v>
      </c>
      <c r="I2495" s="951">
        <v>9</v>
      </c>
      <c r="J2495" s="947" t="s">
        <v>172</v>
      </c>
      <c r="K2495" s="947">
        <v>618462</v>
      </c>
      <c r="M2495" s="631"/>
      <c r="P2495" s="950" t="str">
        <f>VLOOKUP(J2495,'רשימת רשויות'!A:A,1,0)</f>
        <v>אל קסום</v>
      </c>
      <c r="Q2495" s="956">
        <f>IFERROR(VLOOKUP(B2495,[2]מעובד!$D:$K,8,0),0)</f>
        <v>332</v>
      </c>
      <c r="R2495" s="956">
        <f>IFERROR(VLOOKUP(B2495,[2]מעובד!$D:$L,9,0),0)</f>
        <v>230</v>
      </c>
    </row>
    <row r="2496" spans="1:18" x14ac:dyDescent="0.2">
      <c r="A2496" s="947" t="s">
        <v>410</v>
      </c>
      <c r="B2496" s="947">
        <v>618470</v>
      </c>
      <c r="C2496" s="947" t="s">
        <v>2189</v>
      </c>
      <c r="D2496" s="947" t="s">
        <v>904</v>
      </c>
      <c r="E2496" s="951">
        <v>504</v>
      </c>
      <c r="F2496" s="951">
        <v>475</v>
      </c>
      <c r="G2496" s="947" t="s">
        <v>159</v>
      </c>
      <c r="H2496" s="951">
        <v>0</v>
      </c>
      <c r="I2496" s="951">
        <v>0</v>
      </c>
      <c r="J2496" s="947" t="s">
        <v>410</v>
      </c>
      <c r="K2496" s="947">
        <v>618470</v>
      </c>
      <c r="M2496" s="631"/>
      <c r="P2496" s="950" t="str">
        <f>VLOOKUP(J2496,'רשימת רשויות'!A:A,1,0)</f>
        <v>תל שבע</v>
      </c>
      <c r="Q2496" s="956">
        <f>IFERROR(VLOOKUP(B2496,[2]מעובד!$D:$K,8,0),0)</f>
        <v>452</v>
      </c>
      <c r="R2496" s="956">
        <f>IFERROR(VLOOKUP(B2496,[2]מעובד!$D:$L,9,0),0)</f>
        <v>135</v>
      </c>
    </row>
    <row r="2497" spans="1:18" x14ac:dyDescent="0.2">
      <c r="A2497" s="947" t="s">
        <v>275</v>
      </c>
      <c r="B2497" s="947">
        <v>618488</v>
      </c>
      <c r="C2497" s="947" t="s">
        <v>2189</v>
      </c>
      <c r="D2497" s="947" t="s">
        <v>1017</v>
      </c>
      <c r="E2497" s="951">
        <v>437</v>
      </c>
      <c r="F2497" s="951">
        <v>437</v>
      </c>
      <c r="G2497" s="947" t="s">
        <v>159</v>
      </c>
      <c r="H2497" s="951">
        <v>0</v>
      </c>
      <c r="I2497" s="951">
        <v>0</v>
      </c>
      <c r="J2497" s="947" t="s">
        <v>275</v>
      </c>
      <c r="K2497" s="947">
        <v>618488</v>
      </c>
      <c r="M2497" s="631"/>
      <c r="P2497" s="950" t="str">
        <f>VLOOKUP(J2497,'רשימת רשויות'!A:A,1,0)</f>
        <v>כסיפה</v>
      </c>
      <c r="Q2497" s="956">
        <f>IFERROR(VLOOKUP(B2497,[2]מעובד!$D:$K,8,0),0)</f>
        <v>225</v>
      </c>
      <c r="R2497" s="956">
        <f>IFERROR(VLOOKUP(B2497,[2]מעובד!$D:$L,9,0),0)</f>
        <v>164</v>
      </c>
    </row>
    <row r="2498" spans="1:18" x14ac:dyDescent="0.2">
      <c r="A2498" s="947" t="s">
        <v>397</v>
      </c>
      <c r="B2498" s="947">
        <v>618496</v>
      </c>
      <c r="C2498" s="947" t="s">
        <v>2189</v>
      </c>
      <c r="D2498" s="947" t="s">
        <v>975</v>
      </c>
      <c r="E2498" s="951">
        <v>343</v>
      </c>
      <c r="F2498" s="951">
        <v>180</v>
      </c>
      <c r="G2498" s="947" t="s">
        <v>159</v>
      </c>
      <c r="H2498" s="951">
        <v>0</v>
      </c>
      <c r="I2498" s="951">
        <v>0</v>
      </c>
      <c r="J2498" s="947" t="s">
        <v>397</v>
      </c>
      <c r="K2498" s="947">
        <v>618496</v>
      </c>
      <c r="M2498" s="631"/>
      <c r="P2498" s="950" t="str">
        <f>VLOOKUP(J2498,'רשימת רשויות'!A:A,1,0)</f>
        <v>שגב שלום</v>
      </c>
      <c r="Q2498" s="956">
        <f>IFERROR(VLOOKUP(B2498,[2]מעובד!$D:$K,8,0),0)</f>
        <v>302</v>
      </c>
      <c r="R2498" s="956">
        <f>IFERROR(VLOOKUP(B2498,[2]מעובד!$D:$L,9,0),0)</f>
        <v>80</v>
      </c>
    </row>
    <row r="2499" spans="1:18" x14ac:dyDescent="0.2">
      <c r="A2499" s="947" t="s">
        <v>357</v>
      </c>
      <c r="B2499" s="947">
        <v>618504</v>
      </c>
      <c r="C2499" s="947" t="s">
        <v>2189</v>
      </c>
      <c r="D2499" s="947" t="s">
        <v>856</v>
      </c>
      <c r="E2499" s="951">
        <v>230</v>
      </c>
      <c r="F2499" s="951">
        <v>228</v>
      </c>
      <c r="G2499" s="947" t="s">
        <v>159</v>
      </c>
      <c r="H2499" s="951">
        <v>0</v>
      </c>
      <c r="I2499" s="951">
        <v>0</v>
      </c>
      <c r="J2499" s="947" t="s">
        <v>357</v>
      </c>
      <c r="K2499" s="947">
        <v>618504</v>
      </c>
      <c r="M2499" s="631"/>
      <c r="P2499" s="950" t="str">
        <f>VLOOKUP(J2499,'רשימת רשויות'!A:A,1,0)</f>
        <v>ערערה בנגב</v>
      </c>
      <c r="Q2499" s="956">
        <f>IFERROR(VLOOKUP(B2499,[2]מעובד!$D:$K,8,0),0)</f>
        <v>171</v>
      </c>
      <c r="R2499" s="956">
        <f>IFERROR(VLOOKUP(B2499,[2]מעובד!$D:$L,9,0),0)</f>
        <v>105</v>
      </c>
    </row>
    <row r="2500" spans="1:18" x14ac:dyDescent="0.2">
      <c r="A2500" s="947" t="s">
        <v>386</v>
      </c>
      <c r="B2500" s="947">
        <v>618512</v>
      </c>
      <c r="C2500" s="947" t="s">
        <v>2189</v>
      </c>
      <c r="D2500" s="947" t="s">
        <v>1021</v>
      </c>
      <c r="E2500" s="951">
        <v>373</v>
      </c>
      <c r="F2500" s="951">
        <v>345</v>
      </c>
      <c r="G2500" s="947" t="s">
        <v>159</v>
      </c>
      <c r="H2500" s="951">
        <v>148</v>
      </c>
      <c r="I2500" s="951">
        <v>8</v>
      </c>
      <c r="J2500" s="947" t="s">
        <v>386</v>
      </c>
      <c r="K2500" s="947">
        <v>618512</v>
      </c>
      <c r="M2500" s="631"/>
      <c r="P2500" s="950" t="str">
        <f>VLOOKUP(J2500,'רשימת רשויות'!A:A,1,0)</f>
        <v>רהט</v>
      </c>
      <c r="Q2500" s="956">
        <f>IFERROR(VLOOKUP(B2500,[2]מעובד!$D:$K,8,0),0)</f>
        <v>308</v>
      </c>
      <c r="R2500" s="956">
        <f>IFERROR(VLOOKUP(B2500,[2]מעובד!$D:$L,9,0),0)</f>
        <v>170</v>
      </c>
    </row>
    <row r="2501" spans="1:18" x14ac:dyDescent="0.2">
      <c r="A2501" s="947" t="s">
        <v>249</v>
      </c>
      <c r="B2501" s="947">
        <v>618520</v>
      </c>
      <c r="C2501" s="947" t="s">
        <v>2189</v>
      </c>
      <c r="D2501" s="947" t="s">
        <v>1022</v>
      </c>
      <c r="E2501" s="951">
        <v>315</v>
      </c>
      <c r="F2501" s="951">
        <v>300</v>
      </c>
      <c r="G2501" s="947" t="s">
        <v>159</v>
      </c>
      <c r="H2501" s="951">
        <v>121</v>
      </c>
      <c r="I2501" s="951">
        <v>11</v>
      </c>
      <c r="J2501" s="947" t="s">
        <v>249</v>
      </c>
      <c r="K2501" s="947">
        <v>618520</v>
      </c>
      <c r="M2501" s="631"/>
      <c r="P2501" s="950" t="str">
        <f>VLOOKUP(J2501,'רשימת רשויות'!A:A,1,0)</f>
        <v>חורה</v>
      </c>
      <c r="Q2501" s="956">
        <f>IFERROR(VLOOKUP(B2501,[2]מעובד!$D:$K,8,0),0)</f>
        <v>237</v>
      </c>
      <c r="R2501" s="956">
        <f>IFERROR(VLOOKUP(B2501,[2]מעובד!$D:$L,9,0),0)</f>
        <v>122</v>
      </c>
    </row>
    <row r="2502" spans="1:18" x14ac:dyDescent="0.2">
      <c r="A2502" s="947" t="s">
        <v>275</v>
      </c>
      <c r="B2502" s="947">
        <v>618538</v>
      </c>
      <c r="C2502" s="947" t="s">
        <v>2189</v>
      </c>
      <c r="D2502" s="947" t="s">
        <v>1023</v>
      </c>
      <c r="E2502" s="951">
        <v>159</v>
      </c>
      <c r="F2502" s="951">
        <v>153</v>
      </c>
      <c r="G2502" s="947" t="s">
        <v>159</v>
      </c>
      <c r="H2502" s="951">
        <v>0</v>
      </c>
      <c r="I2502" s="951">
        <v>0</v>
      </c>
      <c r="J2502" s="947" t="s">
        <v>275</v>
      </c>
      <c r="K2502" s="947">
        <v>618538</v>
      </c>
      <c r="M2502" s="631"/>
      <c r="P2502" s="950" t="str">
        <f>VLOOKUP(J2502,'רשימת רשויות'!A:A,1,0)</f>
        <v>כסיפה</v>
      </c>
      <c r="Q2502" s="956">
        <f>IFERROR(VLOOKUP(B2502,[2]מעובד!$D:$K,8,0),0)</f>
        <v>144</v>
      </c>
      <c r="R2502" s="956">
        <f>IFERROR(VLOOKUP(B2502,[2]מעובד!$D:$L,9,0),0)</f>
        <v>144</v>
      </c>
    </row>
    <row r="2503" spans="1:18" x14ac:dyDescent="0.2">
      <c r="A2503" s="947" t="s">
        <v>275</v>
      </c>
      <c r="B2503" s="947">
        <v>618546</v>
      </c>
      <c r="C2503" s="947" t="s">
        <v>2189</v>
      </c>
      <c r="D2503" s="947" t="s">
        <v>1024</v>
      </c>
      <c r="E2503" s="951">
        <v>241</v>
      </c>
      <c r="F2503" s="951">
        <v>240</v>
      </c>
      <c r="G2503" s="947" t="s">
        <v>159</v>
      </c>
      <c r="H2503" s="951">
        <v>0</v>
      </c>
      <c r="I2503" s="951">
        <v>0</v>
      </c>
      <c r="J2503" s="947" t="s">
        <v>275</v>
      </c>
      <c r="K2503" s="947">
        <v>618546</v>
      </c>
      <c r="M2503" s="631"/>
      <c r="P2503" s="950" t="str">
        <f>VLOOKUP(J2503,'רשימת רשויות'!A:A,1,0)</f>
        <v>כסיפה</v>
      </c>
      <c r="Q2503" s="956">
        <f>IFERROR(VLOOKUP(B2503,[2]מעובד!$D:$K,8,0),0)</f>
        <v>198</v>
      </c>
      <c r="R2503" s="956">
        <f>IFERROR(VLOOKUP(B2503,[2]מעובד!$D:$L,9,0),0)</f>
        <v>92</v>
      </c>
    </row>
    <row r="2504" spans="1:18" x14ac:dyDescent="0.2">
      <c r="A2504" s="947" t="s">
        <v>357</v>
      </c>
      <c r="B2504" s="947">
        <v>618553</v>
      </c>
      <c r="C2504" s="947" t="s">
        <v>2189</v>
      </c>
      <c r="D2504" s="947" t="s">
        <v>497</v>
      </c>
      <c r="E2504" s="951">
        <v>175</v>
      </c>
      <c r="F2504" s="951">
        <v>174</v>
      </c>
      <c r="G2504" s="947" t="s">
        <v>159</v>
      </c>
      <c r="H2504" s="951">
        <v>0</v>
      </c>
      <c r="I2504" s="951">
        <v>0</v>
      </c>
      <c r="J2504" s="947" t="s">
        <v>357</v>
      </c>
      <c r="K2504" s="947">
        <v>618553</v>
      </c>
      <c r="M2504" s="631"/>
      <c r="P2504" s="950" t="str">
        <f>VLOOKUP(J2504,'רשימת רשויות'!A:A,1,0)</f>
        <v>ערערה בנגב</v>
      </c>
      <c r="Q2504" s="956">
        <f>IFERROR(VLOOKUP(B2504,[2]מעובד!$D:$K,8,0),0)</f>
        <v>163</v>
      </c>
      <c r="R2504" s="956">
        <f>IFERROR(VLOOKUP(B2504,[2]מעובד!$D:$L,9,0),0)</f>
        <v>136</v>
      </c>
    </row>
    <row r="2505" spans="1:18" x14ac:dyDescent="0.2">
      <c r="A2505" s="947" t="s">
        <v>357</v>
      </c>
      <c r="B2505" s="947">
        <v>618561</v>
      </c>
      <c r="C2505" s="947" t="s">
        <v>2189</v>
      </c>
      <c r="D2505" s="947" t="s">
        <v>472</v>
      </c>
      <c r="E2505" s="951">
        <v>306</v>
      </c>
      <c r="F2505" s="951">
        <v>292</v>
      </c>
      <c r="G2505" s="947" t="s">
        <v>159</v>
      </c>
      <c r="H2505" s="951">
        <v>102</v>
      </c>
      <c r="I2505" s="951">
        <v>8</v>
      </c>
      <c r="J2505" s="947" t="s">
        <v>357</v>
      </c>
      <c r="K2505" s="947">
        <v>618561</v>
      </c>
      <c r="M2505" s="631"/>
      <c r="P2505" s="950" t="str">
        <f>VLOOKUP(J2505,'רשימת רשויות'!A:A,1,0)</f>
        <v>ערערה בנגב</v>
      </c>
      <c r="Q2505" s="956">
        <f>IFERROR(VLOOKUP(B2505,[2]מעובד!$D:$K,8,0),0)</f>
        <v>281</v>
      </c>
      <c r="R2505" s="956">
        <f>IFERROR(VLOOKUP(B2505,[2]מעובד!$D:$L,9,0),0)</f>
        <v>220</v>
      </c>
    </row>
    <row r="2506" spans="1:18" x14ac:dyDescent="0.2">
      <c r="A2506" s="947" t="s">
        <v>386</v>
      </c>
      <c r="B2506" s="947">
        <v>618579</v>
      </c>
      <c r="C2506" s="947" t="s">
        <v>2189</v>
      </c>
      <c r="D2506" s="947" t="s">
        <v>1029</v>
      </c>
      <c r="E2506" s="951">
        <v>232</v>
      </c>
      <c r="F2506" s="951">
        <v>220</v>
      </c>
      <c r="G2506" s="947" t="s">
        <v>159</v>
      </c>
      <c r="H2506" s="951">
        <v>75</v>
      </c>
      <c r="I2506" s="951">
        <v>7</v>
      </c>
      <c r="J2506" s="947" t="s">
        <v>386</v>
      </c>
      <c r="K2506" s="947">
        <v>618579</v>
      </c>
      <c r="M2506" s="631"/>
      <c r="P2506" s="950" t="str">
        <f>VLOOKUP(J2506,'רשימת רשויות'!A:A,1,0)</f>
        <v>רהט</v>
      </c>
      <c r="Q2506" s="956">
        <f>IFERROR(VLOOKUP(B2506,[2]מעובד!$D:$K,8,0),0)</f>
        <v>253</v>
      </c>
      <c r="R2506" s="956">
        <f>IFERROR(VLOOKUP(B2506,[2]מעובד!$D:$L,9,0),0)</f>
        <v>175</v>
      </c>
    </row>
    <row r="2507" spans="1:18" x14ac:dyDescent="0.2">
      <c r="A2507" s="947" t="s">
        <v>172</v>
      </c>
      <c r="B2507" s="947">
        <v>618587</v>
      </c>
      <c r="C2507" s="947" t="s">
        <v>2189</v>
      </c>
      <c r="D2507" s="947" t="s">
        <v>823</v>
      </c>
      <c r="E2507" s="951">
        <v>298</v>
      </c>
      <c r="F2507" s="951">
        <v>265</v>
      </c>
      <c r="G2507" s="947" t="s">
        <v>159</v>
      </c>
      <c r="H2507" s="951">
        <v>0</v>
      </c>
      <c r="I2507" s="951">
        <v>0</v>
      </c>
      <c r="J2507" s="947" t="s">
        <v>172</v>
      </c>
      <c r="K2507" s="947">
        <v>618587</v>
      </c>
      <c r="M2507" s="631"/>
      <c r="P2507" s="950" t="str">
        <f>VLOOKUP(J2507,'רשימת רשויות'!A:A,1,0)</f>
        <v>אל קסום</v>
      </c>
      <c r="Q2507" s="956">
        <f>IFERROR(VLOOKUP(B2507,[2]מעובד!$D:$K,8,0),0)</f>
        <v>0</v>
      </c>
      <c r="R2507" s="956">
        <f>IFERROR(VLOOKUP(B2507,[2]מעובד!$D:$L,9,0),0)</f>
        <v>0</v>
      </c>
    </row>
    <row r="2508" spans="1:18" x14ac:dyDescent="0.2">
      <c r="A2508" s="947" t="s">
        <v>328</v>
      </c>
      <c r="B2508" s="947">
        <v>618595</v>
      </c>
      <c r="C2508" s="947" t="s">
        <v>2189</v>
      </c>
      <c r="D2508" s="947" t="s">
        <v>1030</v>
      </c>
      <c r="E2508" s="951">
        <v>288</v>
      </c>
      <c r="F2508" s="951">
        <v>285</v>
      </c>
      <c r="G2508" s="947" t="s">
        <v>159</v>
      </c>
      <c r="H2508" s="951">
        <v>0</v>
      </c>
      <c r="I2508" s="951">
        <v>0</v>
      </c>
      <c r="J2508" s="947" t="s">
        <v>328</v>
      </c>
      <c r="K2508" s="947">
        <v>618595</v>
      </c>
      <c r="M2508" s="631"/>
      <c r="P2508" s="950" t="str">
        <f>VLOOKUP(J2508,'רשימת רשויות'!A:A,1,0)</f>
        <v>נווה מדבר</v>
      </c>
      <c r="Q2508" s="956">
        <f>IFERROR(VLOOKUP(B2508,[2]מעובד!$D:$K,8,0),0)</f>
        <v>226</v>
      </c>
      <c r="R2508" s="956">
        <f>IFERROR(VLOOKUP(B2508,[2]מעובד!$D:$L,9,0),0)</f>
        <v>226</v>
      </c>
    </row>
    <row r="2509" spans="1:18" x14ac:dyDescent="0.2">
      <c r="A2509" s="947" t="s">
        <v>328</v>
      </c>
      <c r="B2509" s="947">
        <v>618603</v>
      </c>
      <c r="C2509" s="947" t="s">
        <v>2189</v>
      </c>
      <c r="D2509" s="947" t="s">
        <v>1031</v>
      </c>
      <c r="E2509" s="951">
        <v>515</v>
      </c>
      <c r="F2509" s="951">
        <v>499</v>
      </c>
      <c r="G2509" s="947" t="s">
        <v>159</v>
      </c>
      <c r="H2509" s="951">
        <v>174</v>
      </c>
      <c r="I2509" s="951">
        <v>11</v>
      </c>
      <c r="J2509" s="947" t="s">
        <v>328</v>
      </c>
      <c r="K2509" s="947">
        <v>618603</v>
      </c>
      <c r="M2509" s="631"/>
      <c r="P2509" s="950" t="str">
        <f>VLOOKUP(J2509,'רשימת רשויות'!A:A,1,0)</f>
        <v>נווה מדבר</v>
      </c>
      <c r="Q2509" s="956">
        <f>IFERROR(VLOOKUP(B2509,[2]מעובד!$D:$K,8,0),0)</f>
        <v>446</v>
      </c>
      <c r="R2509" s="956">
        <f>IFERROR(VLOOKUP(B2509,[2]מעובד!$D:$L,9,0),0)</f>
        <v>225</v>
      </c>
    </row>
    <row r="2510" spans="1:18" x14ac:dyDescent="0.2">
      <c r="A2510" s="947" t="s">
        <v>172</v>
      </c>
      <c r="B2510" s="947">
        <v>618611</v>
      </c>
      <c r="C2510" s="947" t="s">
        <v>2189</v>
      </c>
      <c r="D2510" s="947" t="s">
        <v>1032</v>
      </c>
      <c r="E2510" s="951">
        <v>123</v>
      </c>
      <c r="F2510" s="951">
        <v>120</v>
      </c>
      <c r="G2510" s="947" t="s">
        <v>159</v>
      </c>
      <c r="H2510" s="951">
        <v>0</v>
      </c>
      <c r="I2510" s="951">
        <v>0</v>
      </c>
      <c r="J2510" s="947" t="s">
        <v>172</v>
      </c>
      <c r="K2510" s="947">
        <v>618611</v>
      </c>
      <c r="M2510" s="631"/>
      <c r="P2510" s="950" t="str">
        <f>VLOOKUP(J2510,'רשימת רשויות'!A:A,1,0)</f>
        <v>אל קסום</v>
      </c>
      <c r="Q2510" s="956">
        <f>IFERROR(VLOOKUP(B2510,[2]מעובד!$D:$K,8,0),0)</f>
        <v>55</v>
      </c>
      <c r="R2510" s="956">
        <f>IFERROR(VLOOKUP(B2510,[2]מעובד!$D:$L,9,0),0)</f>
        <v>55</v>
      </c>
    </row>
    <row r="2511" spans="1:18" x14ac:dyDescent="0.2">
      <c r="A2511" s="947" t="s">
        <v>386</v>
      </c>
      <c r="B2511" s="947">
        <v>618629</v>
      </c>
      <c r="C2511" s="947" t="s">
        <v>2189</v>
      </c>
      <c r="D2511" s="947" t="s">
        <v>1033</v>
      </c>
      <c r="E2511" s="951">
        <v>258</v>
      </c>
      <c r="F2511" s="951">
        <v>238</v>
      </c>
      <c r="G2511" s="947" t="s">
        <v>159</v>
      </c>
      <c r="H2511" s="951">
        <v>96</v>
      </c>
      <c r="I2511" s="951">
        <v>17</v>
      </c>
      <c r="J2511" s="947" t="s">
        <v>386</v>
      </c>
      <c r="K2511" s="947">
        <v>618629</v>
      </c>
      <c r="M2511" s="631"/>
      <c r="P2511" s="950" t="str">
        <f>VLOOKUP(J2511,'רשימת רשויות'!A:A,1,0)</f>
        <v>רהט</v>
      </c>
      <c r="Q2511" s="956">
        <f>IFERROR(VLOOKUP(B2511,[2]מעובד!$D:$K,8,0),0)</f>
        <v>244</v>
      </c>
      <c r="R2511" s="956">
        <f>IFERROR(VLOOKUP(B2511,[2]מעובד!$D:$L,9,0),0)</f>
        <v>230</v>
      </c>
    </row>
    <row r="2512" spans="1:18" x14ac:dyDescent="0.2">
      <c r="A2512" s="947" t="s">
        <v>172</v>
      </c>
      <c r="B2512" s="947">
        <v>618637</v>
      </c>
      <c r="C2512" s="947" t="s">
        <v>2189</v>
      </c>
      <c r="D2512" s="947" t="s">
        <v>3139</v>
      </c>
      <c r="E2512" s="951">
        <v>240</v>
      </c>
      <c r="F2512" s="951">
        <v>227</v>
      </c>
      <c r="G2512" s="947" t="s">
        <v>159</v>
      </c>
      <c r="H2512" s="951">
        <v>0</v>
      </c>
      <c r="I2512" s="951">
        <v>0</v>
      </c>
      <c r="J2512" s="947" t="s">
        <v>172</v>
      </c>
      <c r="K2512" s="947">
        <v>618637</v>
      </c>
      <c r="M2512" s="631"/>
      <c r="P2512" s="950" t="str">
        <f>VLOOKUP(J2512,'רשימת רשויות'!A:A,1,0)</f>
        <v>אל קסום</v>
      </c>
      <c r="Q2512" s="956">
        <f>IFERROR(VLOOKUP(B2512,[2]מעובד!$D:$K,8,0),0)</f>
        <v>217</v>
      </c>
      <c r="R2512" s="956">
        <f>IFERROR(VLOOKUP(B2512,[2]מעובד!$D:$L,9,0),0)</f>
        <v>217</v>
      </c>
    </row>
    <row r="2513" spans="1:18" x14ac:dyDescent="0.2">
      <c r="A2513" s="947" t="s">
        <v>249</v>
      </c>
      <c r="B2513" s="947">
        <v>618645</v>
      </c>
      <c r="C2513" s="947" t="s">
        <v>2189</v>
      </c>
      <c r="D2513" s="947" t="s">
        <v>525</v>
      </c>
      <c r="E2513" s="951">
        <v>362</v>
      </c>
      <c r="F2513" s="951">
        <v>352</v>
      </c>
      <c r="G2513" s="947" t="s">
        <v>159</v>
      </c>
      <c r="H2513" s="951">
        <v>113</v>
      </c>
      <c r="I2513" s="951">
        <v>10</v>
      </c>
      <c r="J2513" s="947" t="s">
        <v>249</v>
      </c>
      <c r="K2513" s="947">
        <v>618645</v>
      </c>
      <c r="M2513" s="631"/>
      <c r="P2513" s="950" t="str">
        <f>VLOOKUP(J2513,'רשימת רשויות'!A:A,1,0)</f>
        <v>חורה</v>
      </c>
      <c r="Q2513" s="956">
        <f>IFERROR(VLOOKUP(B2513,[2]מעובד!$D:$K,8,0),0)</f>
        <v>167</v>
      </c>
      <c r="R2513" s="956">
        <f>IFERROR(VLOOKUP(B2513,[2]מעובד!$D:$L,9,0),0)</f>
        <v>92</v>
      </c>
    </row>
    <row r="2514" spans="1:18" x14ac:dyDescent="0.2">
      <c r="A2514" s="947" t="s">
        <v>249</v>
      </c>
      <c r="B2514" s="947">
        <v>618652</v>
      </c>
      <c r="C2514" s="947" t="s">
        <v>2189</v>
      </c>
      <c r="D2514" s="947" t="s">
        <v>861</v>
      </c>
      <c r="E2514" s="951">
        <v>326</v>
      </c>
      <c r="F2514" s="951">
        <v>326</v>
      </c>
      <c r="G2514" s="947" t="s">
        <v>159</v>
      </c>
      <c r="H2514" s="951">
        <v>0</v>
      </c>
      <c r="I2514" s="951">
        <v>0</v>
      </c>
      <c r="J2514" s="947" t="s">
        <v>249</v>
      </c>
      <c r="K2514" s="947">
        <v>618652</v>
      </c>
      <c r="M2514" s="631"/>
      <c r="P2514" s="950" t="str">
        <f>VLOOKUP(J2514,'רשימת רשויות'!A:A,1,0)</f>
        <v>חורה</v>
      </c>
      <c r="Q2514" s="956">
        <f>IFERROR(VLOOKUP(B2514,[2]מעובד!$D:$K,8,0),0)</f>
        <v>264</v>
      </c>
      <c r="R2514" s="956">
        <f>IFERROR(VLOOKUP(B2514,[2]מעובד!$D:$L,9,0),0)</f>
        <v>135</v>
      </c>
    </row>
    <row r="2515" spans="1:18" x14ac:dyDescent="0.2">
      <c r="A2515" s="947" t="s">
        <v>397</v>
      </c>
      <c r="B2515" s="947">
        <v>618660</v>
      </c>
      <c r="C2515" s="947" t="s">
        <v>2189</v>
      </c>
      <c r="D2515" s="947" t="s">
        <v>876</v>
      </c>
      <c r="E2515" s="951">
        <v>283</v>
      </c>
      <c r="F2515" s="951">
        <v>180</v>
      </c>
      <c r="G2515" s="947" t="s">
        <v>159</v>
      </c>
      <c r="H2515" s="951">
        <v>0</v>
      </c>
      <c r="I2515" s="951">
        <v>0</v>
      </c>
      <c r="J2515" s="947" t="s">
        <v>397</v>
      </c>
      <c r="K2515" s="947">
        <v>618660</v>
      </c>
      <c r="M2515" s="631"/>
      <c r="P2515" s="950" t="str">
        <f>VLOOKUP(J2515,'רשימת רשויות'!A:A,1,0)</f>
        <v>שגב שלום</v>
      </c>
      <c r="Q2515" s="956">
        <f>IFERROR(VLOOKUP(B2515,[2]מעובד!$D:$K,8,0),0)</f>
        <v>216</v>
      </c>
      <c r="R2515" s="956">
        <f>IFERROR(VLOOKUP(B2515,[2]מעובד!$D:$L,9,0),0)</f>
        <v>95</v>
      </c>
    </row>
    <row r="2516" spans="1:18" x14ac:dyDescent="0.2">
      <c r="A2516" s="947" t="s">
        <v>295</v>
      </c>
      <c r="B2516" s="947">
        <v>618678</v>
      </c>
      <c r="C2516" s="947" t="s">
        <v>2189</v>
      </c>
      <c r="D2516" s="947" t="s">
        <v>862</v>
      </c>
      <c r="E2516" s="951">
        <v>292</v>
      </c>
      <c r="F2516" s="951">
        <v>291</v>
      </c>
      <c r="G2516" s="947" t="s">
        <v>159</v>
      </c>
      <c r="H2516" s="951">
        <v>0</v>
      </c>
      <c r="I2516" s="951">
        <v>0</v>
      </c>
      <c r="J2516" s="947" t="s">
        <v>295</v>
      </c>
      <c r="K2516" s="947">
        <v>618678</v>
      </c>
      <c r="M2516" s="631"/>
      <c r="P2516" s="950" t="str">
        <f>VLOOKUP(J2516,'רשימת רשויות'!A:A,1,0)</f>
        <v>לקיה</v>
      </c>
      <c r="Q2516" s="956">
        <f>IFERROR(VLOOKUP(B2516,[2]מעובד!$D:$K,8,0),0)</f>
        <v>196</v>
      </c>
      <c r="R2516" s="956">
        <f>IFERROR(VLOOKUP(B2516,[2]מעובד!$D:$L,9,0),0)</f>
        <v>120</v>
      </c>
    </row>
    <row r="2517" spans="1:18" x14ac:dyDescent="0.2">
      <c r="A2517" s="947" t="s">
        <v>172</v>
      </c>
      <c r="B2517" s="947">
        <v>618694</v>
      </c>
      <c r="C2517" s="947" t="s">
        <v>2189</v>
      </c>
      <c r="D2517" s="947" t="s">
        <v>871</v>
      </c>
      <c r="E2517" s="951">
        <v>286</v>
      </c>
      <c r="F2517" s="951">
        <v>276</v>
      </c>
      <c r="G2517" s="947" t="s">
        <v>159</v>
      </c>
      <c r="H2517" s="951">
        <v>0</v>
      </c>
      <c r="I2517" s="951">
        <v>0</v>
      </c>
      <c r="J2517" s="947" t="s">
        <v>172</v>
      </c>
      <c r="K2517" s="947">
        <v>618694</v>
      </c>
      <c r="M2517" s="631"/>
      <c r="P2517" s="950" t="str">
        <f>VLOOKUP(J2517,'רשימת רשויות'!A:A,1,0)</f>
        <v>אל קסום</v>
      </c>
      <c r="Q2517" s="956">
        <f>IFERROR(VLOOKUP(B2517,[2]מעובד!$D:$K,8,0),0)</f>
        <v>247</v>
      </c>
      <c r="R2517" s="956">
        <f>IFERROR(VLOOKUP(B2517,[2]מעובד!$D:$L,9,0),0)</f>
        <v>87</v>
      </c>
    </row>
    <row r="2518" spans="1:18" x14ac:dyDescent="0.2">
      <c r="A2518" s="947" t="s">
        <v>328</v>
      </c>
      <c r="B2518" s="947">
        <v>618702</v>
      </c>
      <c r="C2518" s="947" t="s">
        <v>2189</v>
      </c>
      <c r="D2518" s="947" t="s">
        <v>872</v>
      </c>
      <c r="E2518" s="951">
        <v>359</v>
      </c>
      <c r="F2518" s="951">
        <v>347</v>
      </c>
      <c r="G2518" s="947" t="s">
        <v>159</v>
      </c>
      <c r="H2518" s="951">
        <v>107</v>
      </c>
      <c r="I2518" s="951">
        <v>9</v>
      </c>
      <c r="J2518" s="947" t="s">
        <v>328</v>
      </c>
      <c r="K2518" s="947">
        <v>618702</v>
      </c>
      <c r="M2518" s="631"/>
      <c r="P2518" s="950" t="str">
        <f>VLOOKUP(J2518,'רשימת רשויות'!A:A,1,0)</f>
        <v>נווה מדבר</v>
      </c>
      <c r="Q2518" s="956">
        <f>IFERROR(VLOOKUP(B2518,[2]מעובד!$D:$K,8,0),0)</f>
        <v>319</v>
      </c>
      <c r="R2518" s="956">
        <f>IFERROR(VLOOKUP(B2518,[2]מעובד!$D:$L,9,0),0)</f>
        <v>165</v>
      </c>
    </row>
    <row r="2519" spans="1:18" x14ac:dyDescent="0.2">
      <c r="A2519" s="947" t="s">
        <v>328</v>
      </c>
      <c r="B2519" s="947">
        <v>618710</v>
      </c>
      <c r="C2519" s="947" t="s">
        <v>2189</v>
      </c>
      <c r="D2519" s="947" t="s">
        <v>873</v>
      </c>
      <c r="E2519" s="951">
        <v>317</v>
      </c>
      <c r="F2519" s="951">
        <v>315</v>
      </c>
      <c r="G2519" s="947" t="s">
        <v>159</v>
      </c>
      <c r="H2519" s="951">
        <v>0</v>
      </c>
      <c r="I2519" s="951">
        <v>0</v>
      </c>
      <c r="J2519" s="947" t="s">
        <v>328</v>
      </c>
      <c r="K2519" s="947">
        <v>618710</v>
      </c>
      <c r="M2519" s="631"/>
      <c r="P2519" s="950" t="str">
        <f>VLOOKUP(J2519,'רשימת רשויות'!A:A,1,0)</f>
        <v>נווה מדבר</v>
      </c>
      <c r="Q2519" s="956">
        <f>IFERROR(VLOOKUP(B2519,[2]מעובד!$D:$K,8,0),0)</f>
        <v>223</v>
      </c>
      <c r="R2519" s="956">
        <f>IFERROR(VLOOKUP(B2519,[2]מעובד!$D:$L,9,0),0)</f>
        <v>150</v>
      </c>
    </row>
    <row r="2520" spans="1:18" x14ac:dyDescent="0.2">
      <c r="A2520" s="947" t="s">
        <v>328</v>
      </c>
      <c r="B2520" s="947">
        <v>618728</v>
      </c>
      <c r="C2520" s="947" t="s">
        <v>2189</v>
      </c>
      <c r="D2520" s="947" t="s">
        <v>874</v>
      </c>
      <c r="E2520" s="951">
        <v>332</v>
      </c>
      <c r="F2520" s="951">
        <v>318</v>
      </c>
      <c r="G2520" s="947" t="s">
        <v>159</v>
      </c>
      <c r="H2520" s="951">
        <v>0</v>
      </c>
      <c r="I2520" s="951">
        <v>0</v>
      </c>
      <c r="J2520" s="947" t="s">
        <v>328</v>
      </c>
      <c r="K2520" s="947">
        <v>618728</v>
      </c>
      <c r="M2520" s="631"/>
      <c r="P2520" s="950" t="str">
        <f>VLOOKUP(J2520,'רשימת רשויות'!A:A,1,0)</f>
        <v>נווה מדבר</v>
      </c>
      <c r="Q2520" s="956">
        <f>IFERROR(VLOOKUP(B2520,[2]מעובד!$D:$K,8,0),0)</f>
        <v>270</v>
      </c>
      <c r="R2520" s="956">
        <f>IFERROR(VLOOKUP(B2520,[2]מעובד!$D:$L,9,0),0)</f>
        <v>90</v>
      </c>
    </row>
    <row r="2521" spans="1:18" x14ac:dyDescent="0.2">
      <c r="A2521" s="947" t="s">
        <v>386</v>
      </c>
      <c r="B2521" s="947">
        <v>618736</v>
      </c>
      <c r="C2521" s="947" t="s">
        <v>2189</v>
      </c>
      <c r="D2521" s="947" t="s">
        <v>871</v>
      </c>
      <c r="E2521" s="951">
        <v>235</v>
      </c>
      <c r="F2521" s="951">
        <v>220</v>
      </c>
      <c r="G2521" s="947" t="s">
        <v>159</v>
      </c>
      <c r="H2521" s="951">
        <v>0</v>
      </c>
      <c r="I2521" s="951">
        <v>0</v>
      </c>
      <c r="J2521" s="947" t="s">
        <v>386</v>
      </c>
      <c r="K2521" s="947">
        <v>618736</v>
      </c>
      <c r="M2521" s="631"/>
      <c r="P2521" s="950" t="str">
        <f>VLOOKUP(J2521,'רשימת רשויות'!A:A,1,0)</f>
        <v>רהט</v>
      </c>
      <c r="Q2521" s="956">
        <f>IFERROR(VLOOKUP(B2521,[2]מעובד!$D:$K,8,0),0)</f>
        <v>202</v>
      </c>
      <c r="R2521" s="956">
        <f>IFERROR(VLOOKUP(B2521,[2]מעובד!$D:$L,9,0),0)</f>
        <v>140</v>
      </c>
    </row>
    <row r="2522" spans="1:18" x14ac:dyDescent="0.2">
      <c r="A2522" s="947" t="s">
        <v>386</v>
      </c>
      <c r="B2522" s="947">
        <v>618744</v>
      </c>
      <c r="C2522" s="947" t="s">
        <v>2189</v>
      </c>
      <c r="D2522" s="947" t="s">
        <v>875</v>
      </c>
      <c r="E2522" s="951">
        <v>305</v>
      </c>
      <c r="F2522" s="951">
        <v>283</v>
      </c>
      <c r="G2522" s="947" t="s">
        <v>159</v>
      </c>
      <c r="H2522" s="951">
        <v>113</v>
      </c>
      <c r="I2522" s="951">
        <v>7</v>
      </c>
      <c r="J2522" s="947" t="s">
        <v>386</v>
      </c>
      <c r="K2522" s="947">
        <v>618744</v>
      </c>
      <c r="M2522" s="631"/>
      <c r="P2522" s="950" t="str">
        <f>VLOOKUP(J2522,'רשימת רשויות'!A:A,1,0)</f>
        <v>רהט</v>
      </c>
      <c r="Q2522" s="956">
        <f>IFERROR(VLOOKUP(B2522,[2]מעובד!$D:$K,8,0),0)</f>
        <v>279</v>
      </c>
      <c r="R2522" s="956">
        <f>IFERROR(VLOOKUP(B2522,[2]מעובד!$D:$L,9,0),0)</f>
        <v>135</v>
      </c>
    </row>
    <row r="2523" spans="1:18" x14ac:dyDescent="0.2">
      <c r="A2523" s="947" t="s">
        <v>249</v>
      </c>
      <c r="B2523" s="947">
        <v>618751</v>
      </c>
      <c r="C2523" s="947" t="s">
        <v>2189</v>
      </c>
      <c r="D2523" s="947" t="s">
        <v>876</v>
      </c>
      <c r="E2523" s="951">
        <v>266</v>
      </c>
      <c r="F2523" s="951">
        <v>239</v>
      </c>
      <c r="G2523" s="947" t="s">
        <v>159</v>
      </c>
      <c r="H2523" s="951">
        <v>187</v>
      </c>
      <c r="I2523" s="951">
        <v>24</v>
      </c>
      <c r="J2523" s="947" t="s">
        <v>249</v>
      </c>
      <c r="K2523" s="947">
        <v>618751</v>
      </c>
      <c r="M2523" s="631"/>
      <c r="P2523" s="950" t="str">
        <f>VLOOKUP(J2523,'רשימת רשויות'!A:A,1,0)</f>
        <v>חורה</v>
      </c>
      <c r="Q2523" s="956">
        <f>IFERROR(VLOOKUP(B2523,[2]מעובד!$D:$K,8,0),0)</f>
        <v>234</v>
      </c>
      <c r="R2523" s="956">
        <f>IFERROR(VLOOKUP(B2523,[2]מעובד!$D:$L,9,0),0)</f>
        <v>234</v>
      </c>
    </row>
    <row r="2524" spans="1:18" x14ac:dyDescent="0.2">
      <c r="A2524" s="947" t="s">
        <v>355</v>
      </c>
      <c r="B2524" s="947">
        <v>618769</v>
      </c>
      <c r="C2524" s="947" t="s">
        <v>2189</v>
      </c>
      <c r="D2524" s="947" t="s">
        <v>877</v>
      </c>
      <c r="E2524" s="951">
        <v>288</v>
      </c>
      <c r="F2524" s="951">
        <v>288</v>
      </c>
      <c r="G2524" s="947" t="s">
        <v>159</v>
      </c>
      <c r="H2524" s="951">
        <v>0</v>
      </c>
      <c r="I2524" s="951">
        <v>0</v>
      </c>
      <c r="J2524" s="947" t="s">
        <v>355</v>
      </c>
      <c r="K2524" s="947">
        <v>618769</v>
      </c>
      <c r="M2524" s="631"/>
      <c r="P2524" s="950" t="str">
        <f>VLOOKUP(J2524,'רשימת רשויות'!A:A,1,0)</f>
        <v>ערד</v>
      </c>
      <c r="Q2524" s="956">
        <f>IFERROR(VLOOKUP(B2524,[2]מעובד!$D:$K,8,0),0)</f>
        <v>228</v>
      </c>
      <c r="R2524" s="956">
        <f>IFERROR(VLOOKUP(B2524,[2]מעובד!$D:$L,9,0),0)</f>
        <v>204</v>
      </c>
    </row>
    <row r="2525" spans="1:18" x14ac:dyDescent="0.2">
      <c r="A2525" s="947" t="s">
        <v>357</v>
      </c>
      <c r="B2525" s="947">
        <v>618777</v>
      </c>
      <c r="C2525" s="947" t="s">
        <v>2189</v>
      </c>
      <c r="D2525" s="947" t="s">
        <v>887</v>
      </c>
      <c r="E2525" s="951">
        <v>244</v>
      </c>
      <c r="F2525" s="951">
        <v>232</v>
      </c>
      <c r="G2525" s="947" t="s">
        <v>159</v>
      </c>
      <c r="H2525" s="951">
        <v>79</v>
      </c>
      <c r="I2525" s="951">
        <v>12</v>
      </c>
      <c r="J2525" s="947" t="s">
        <v>357</v>
      </c>
      <c r="K2525" s="947">
        <v>618777</v>
      </c>
      <c r="M2525" s="631"/>
      <c r="P2525" s="950" t="str">
        <f>VLOOKUP(J2525,'רשימת רשויות'!A:A,1,0)</f>
        <v>ערערה בנגב</v>
      </c>
      <c r="Q2525" s="956">
        <f>IFERROR(VLOOKUP(B2525,[2]מעובד!$D:$K,8,0),0)</f>
        <v>196</v>
      </c>
      <c r="R2525" s="956">
        <f>IFERROR(VLOOKUP(B2525,[2]מעובד!$D:$L,9,0),0)</f>
        <v>50</v>
      </c>
    </row>
    <row r="2526" spans="1:18" x14ac:dyDescent="0.2">
      <c r="A2526" s="947" t="s">
        <v>328</v>
      </c>
      <c r="B2526" s="947">
        <v>618785</v>
      </c>
      <c r="C2526" s="947" t="s">
        <v>2189</v>
      </c>
      <c r="D2526" s="947" t="s">
        <v>888</v>
      </c>
      <c r="E2526" s="951">
        <v>206</v>
      </c>
      <c r="F2526" s="951">
        <v>206</v>
      </c>
      <c r="G2526" s="947" t="s">
        <v>159</v>
      </c>
      <c r="H2526" s="951">
        <v>0</v>
      </c>
      <c r="I2526" s="951">
        <v>0</v>
      </c>
      <c r="J2526" s="947" t="s">
        <v>328</v>
      </c>
      <c r="K2526" s="947">
        <v>618785</v>
      </c>
      <c r="M2526" s="631"/>
      <c r="P2526" s="950" t="str">
        <f>VLOOKUP(J2526,'רשימת רשויות'!A:A,1,0)</f>
        <v>נווה מדבר</v>
      </c>
      <c r="Q2526" s="956">
        <f>IFERROR(VLOOKUP(B2526,[2]מעובד!$D:$K,8,0),0)</f>
        <v>175</v>
      </c>
      <c r="R2526" s="956">
        <f>IFERROR(VLOOKUP(B2526,[2]מעובד!$D:$L,9,0),0)</f>
        <v>90</v>
      </c>
    </row>
    <row r="2527" spans="1:18" x14ac:dyDescent="0.2">
      <c r="A2527" s="947" t="s">
        <v>328</v>
      </c>
      <c r="B2527" s="947">
        <v>618793</v>
      </c>
      <c r="C2527" s="947" t="s">
        <v>2189</v>
      </c>
      <c r="D2527" s="947" t="s">
        <v>889</v>
      </c>
      <c r="E2527" s="951">
        <v>133</v>
      </c>
      <c r="F2527" s="951">
        <v>133</v>
      </c>
      <c r="G2527" s="947" t="s">
        <v>159</v>
      </c>
      <c r="H2527" s="951">
        <v>0</v>
      </c>
      <c r="I2527" s="951">
        <v>0</v>
      </c>
      <c r="J2527" s="947" t="s">
        <v>328</v>
      </c>
      <c r="K2527" s="947">
        <v>618793</v>
      </c>
      <c r="M2527" s="631"/>
      <c r="P2527" s="950" t="str">
        <f>VLOOKUP(J2527,'רשימת רשויות'!A:A,1,0)</f>
        <v>נווה מדבר</v>
      </c>
      <c r="Q2527" s="956">
        <f>IFERROR(VLOOKUP(B2527,[2]מעובד!$D:$K,8,0),0)</f>
        <v>90</v>
      </c>
      <c r="R2527" s="956">
        <f>IFERROR(VLOOKUP(B2527,[2]מעובד!$D:$L,9,0),0)</f>
        <v>45</v>
      </c>
    </row>
    <row r="2528" spans="1:18" x14ac:dyDescent="0.2">
      <c r="A2528" s="947" t="s">
        <v>172</v>
      </c>
      <c r="B2528" s="947">
        <v>618801</v>
      </c>
      <c r="C2528" s="947" t="s">
        <v>2189</v>
      </c>
      <c r="D2528" s="947" t="s">
        <v>890</v>
      </c>
      <c r="E2528" s="951">
        <v>190</v>
      </c>
      <c r="F2528" s="951">
        <v>150</v>
      </c>
      <c r="G2528" s="947" t="s">
        <v>159</v>
      </c>
      <c r="H2528" s="951">
        <v>0</v>
      </c>
      <c r="I2528" s="951">
        <v>0</v>
      </c>
      <c r="J2528" s="947" t="s">
        <v>172</v>
      </c>
      <c r="K2528" s="947">
        <v>618801</v>
      </c>
      <c r="M2528" s="631"/>
      <c r="P2528" s="950" t="str">
        <f>VLOOKUP(J2528,'רשימת רשויות'!A:A,1,0)</f>
        <v>אל קסום</v>
      </c>
      <c r="Q2528" s="956">
        <f>IFERROR(VLOOKUP(B2528,[2]מעובד!$D:$K,8,0),0)</f>
        <v>144</v>
      </c>
      <c r="R2528" s="956">
        <f>IFERROR(VLOOKUP(B2528,[2]מעובד!$D:$L,9,0),0)</f>
        <v>129</v>
      </c>
    </row>
    <row r="2529" spans="1:18" x14ac:dyDescent="0.2">
      <c r="A2529" s="947" t="s">
        <v>328</v>
      </c>
      <c r="B2529" s="947">
        <v>618819</v>
      </c>
      <c r="C2529" s="947" t="s">
        <v>2189</v>
      </c>
      <c r="D2529" s="947" t="s">
        <v>891</v>
      </c>
      <c r="E2529" s="951">
        <v>186</v>
      </c>
      <c r="F2529" s="951">
        <v>185</v>
      </c>
      <c r="G2529" s="947" t="s">
        <v>159</v>
      </c>
      <c r="H2529" s="951">
        <v>0</v>
      </c>
      <c r="I2529" s="951">
        <v>0</v>
      </c>
      <c r="J2529" s="947" t="s">
        <v>328</v>
      </c>
      <c r="K2529" s="947">
        <v>618819</v>
      </c>
      <c r="M2529" s="631"/>
      <c r="P2529" s="950" t="str">
        <f>VLOOKUP(J2529,'רשימת רשויות'!A:A,1,0)</f>
        <v>נווה מדבר</v>
      </c>
      <c r="Q2529" s="956">
        <f>IFERROR(VLOOKUP(B2529,[2]מעובד!$D:$K,8,0),0)</f>
        <v>156</v>
      </c>
      <c r="R2529" s="956">
        <f>IFERROR(VLOOKUP(B2529,[2]מעובד!$D:$L,9,0),0)</f>
        <v>115</v>
      </c>
    </row>
    <row r="2530" spans="1:18" x14ac:dyDescent="0.2">
      <c r="A2530" s="947" t="s">
        <v>275</v>
      </c>
      <c r="B2530" s="947">
        <v>618827</v>
      </c>
      <c r="C2530" s="947" t="s">
        <v>2189</v>
      </c>
      <c r="D2530" s="947" t="s">
        <v>862</v>
      </c>
      <c r="E2530" s="951">
        <v>129</v>
      </c>
      <c r="F2530" s="951">
        <v>129</v>
      </c>
      <c r="G2530" s="947" t="s">
        <v>159</v>
      </c>
      <c r="H2530" s="951">
        <v>0</v>
      </c>
      <c r="I2530" s="951">
        <v>0</v>
      </c>
      <c r="J2530" s="947" t="s">
        <v>275</v>
      </c>
      <c r="K2530" s="947">
        <v>618827</v>
      </c>
      <c r="M2530" s="631"/>
      <c r="P2530" s="950" t="str">
        <f>VLOOKUP(J2530,'רשימת רשויות'!A:A,1,0)</f>
        <v>כסיפה</v>
      </c>
      <c r="Q2530" s="956">
        <f>IFERROR(VLOOKUP(B2530,[2]מעובד!$D:$K,8,0),0)</f>
        <v>157</v>
      </c>
      <c r="R2530" s="956">
        <f>IFERROR(VLOOKUP(B2530,[2]מעובד!$D:$L,9,0),0)</f>
        <v>40</v>
      </c>
    </row>
    <row r="2531" spans="1:18" x14ac:dyDescent="0.2">
      <c r="A2531" s="947" t="s">
        <v>295</v>
      </c>
      <c r="B2531" s="947">
        <v>618843</v>
      </c>
      <c r="C2531" s="947" t="s">
        <v>2189</v>
      </c>
      <c r="D2531" s="947" t="s">
        <v>892</v>
      </c>
      <c r="E2531" s="951">
        <v>383</v>
      </c>
      <c r="F2531" s="951">
        <v>377</v>
      </c>
      <c r="G2531" s="947" t="s">
        <v>159</v>
      </c>
      <c r="H2531" s="951">
        <v>121</v>
      </c>
      <c r="I2531" s="951">
        <v>6</v>
      </c>
      <c r="J2531" s="947" t="s">
        <v>295</v>
      </c>
      <c r="K2531" s="947">
        <v>618843</v>
      </c>
      <c r="M2531" s="631"/>
      <c r="P2531" s="950" t="str">
        <f>VLOOKUP(J2531,'רשימת רשויות'!A:A,1,0)</f>
        <v>לקיה</v>
      </c>
      <c r="Q2531" s="956">
        <f>IFERROR(VLOOKUP(B2531,[2]מעובד!$D:$K,8,0),0)</f>
        <v>313</v>
      </c>
      <c r="R2531" s="956">
        <f>IFERROR(VLOOKUP(B2531,[2]מעובד!$D:$L,9,0),0)</f>
        <v>210</v>
      </c>
    </row>
    <row r="2532" spans="1:18" x14ac:dyDescent="0.2">
      <c r="A2532" s="947" t="s">
        <v>172</v>
      </c>
      <c r="B2532" s="947">
        <v>618850</v>
      </c>
      <c r="C2532" s="947" t="s">
        <v>2189</v>
      </c>
      <c r="D2532" s="947" t="s">
        <v>903</v>
      </c>
      <c r="E2532" s="951">
        <v>243</v>
      </c>
      <c r="F2532" s="951">
        <v>210</v>
      </c>
      <c r="G2532" s="947" t="s">
        <v>159</v>
      </c>
      <c r="H2532" s="951">
        <v>0</v>
      </c>
      <c r="I2532" s="951">
        <v>0</v>
      </c>
      <c r="J2532" s="947" t="s">
        <v>172</v>
      </c>
      <c r="K2532" s="947">
        <v>618850</v>
      </c>
      <c r="M2532" s="631"/>
      <c r="P2532" s="950" t="str">
        <f>VLOOKUP(J2532,'רשימת רשויות'!A:A,1,0)</f>
        <v>אל קסום</v>
      </c>
      <c r="Q2532" s="956">
        <f>IFERROR(VLOOKUP(B2532,[2]מעובד!$D:$K,8,0),0)</f>
        <v>128</v>
      </c>
      <c r="R2532" s="956">
        <f>IFERROR(VLOOKUP(B2532,[2]מעובד!$D:$L,9,0),0)</f>
        <v>60</v>
      </c>
    </row>
    <row r="2533" spans="1:18" x14ac:dyDescent="0.2">
      <c r="A2533" s="947" t="s">
        <v>275</v>
      </c>
      <c r="B2533" s="947">
        <v>618868</v>
      </c>
      <c r="C2533" s="947" t="s">
        <v>2189</v>
      </c>
      <c r="D2533" s="947" t="s">
        <v>904</v>
      </c>
      <c r="E2533" s="951">
        <v>325</v>
      </c>
      <c r="F2533" s="951">
        <v>324</v>
      </c>
      <c r="G2533" s="947" t="s">
        <v>159</v>
      </c>
      <c r="H2533" s="951">
        <v>0</v>
      </c>
      <c r="I2533" s="951">
        <v>0</v>
      </c>
      <c r="J2533" s="947" t="s">
        <v>275</v>
      </c>
      <c r="K2533" s="947">
        <v>618868</v>
      </c>
      <c r="M2533" s="631"/>
      <c r="P2533" s="950" t="str">
        <f>VLOOKUP(J2533,'רשימת רשויות'!A:A,1,0)</f>
        <v>כסיפה</v>
      </c>
      <c r="Q2533" s="956">
        <f>IFERROR(VLOOKUP(B2533,[2]מעובד!$D:$K,8,0),0)</f>
        <v>282</v>
      </c>
      <c r="R2533" s="956">
        <f>IFERROR(VLOOKUP(B2533,[2]מעובד!$D:$L,9,0),0)</f>
        <v>140</v>
      </c>
    </row>
    <row r="2534" spans="1:18" x14ac:dyDescent="0.2">
      <c r="A2534" s="947" t="s">
        <v>328</v>
      </c>
      <c r="B2534" s="947">
        <v>618876</v>
      </c>
      <c r="C2534" s="947" t="s">
        <v>2189</v>
      </c>
      <c r="D2534" s="947" t="s">
        <v>905</v>
      </c>
      <c r="E2534" s="951">
        <v>225</v>
      </c>
      <c r="F2534" s="951">
        <v>212</v>
      </c>
      <c r="G2534" s="947" t="s">
        <v>159</v>
      </c>
      <c r="H2534" s="951">
        <v>82</v>
      </c>
      <c r="I2534" s="951">
        <v>13</v>
      </c>
      <c r="J2534" s="947" t="s">
        <v>328</v>
      </c>
      <c r="K2534" s="947">
        <v>618876</v>
      </c>
      <c r="M2534" s="631"/>
      <c r="P2534" s="950" t="str">
        <f>VLOOKUP(J2534,'רשימת רשויות'!A:A,1,0)</f>
        <v>נווה מדבר</v>
      </c>
      <c r="Q2534" s="956">
        <f>IFERROR(VLOOKUP(B2534,[2]מעובד!$D:$K,8,0),0)</f>
        <v>182</v>
      </c>
      <c r="R2534" s="956">
        <f>IFERROR(VLOOKUP(B2534,[2]מעובד!$D:$L,9,0),0)</f>
        <v>182</v>
      </c>
    </row>
    <row r="2535" spans="1:18" x14ac:dyDescent="0.2">
      <c r="A2535" s="947" t="s">
        <v>328</v>
      </c>
      <c r="B2535" s="947">
        <v>618892</v>
      </c>
      <c r="C2535" s="947" t="s">
        <v>2189</v>
      </c>
      <c r="D2535" s="947" t="s">
        <v>906</v>
      </c>
      <c r="E2535" s="951">
        <v>72</v>
      </c>
      <c r="F2535" s="951">
        <v>72</v>
      </c>
      <c r="G2535" s="947" t="s">
        <v>159</v>
      </c>
      <c r="H2535" s="951">
        <v>0</v>
      </c>
      <c r="I2535" s="951">
        <v>0</v>
      </c>
      <c r="J2535" s="947" t="s">
        <v>328</v>
      </c>
      <c r="K2535" s="947">
        <v>618892</v>
      </c>
      <c r="M2535" s="631"/>
      <c r="P2535" s="950" t="str">
        <f>VLOOKUP(J2535,'רשימת רשויות'!A:A,1,0)</f>
        <v>נווה מדבר</v>
      </c>
      <c r="Q2535" s="956">
        <f>IFERROR(VLOOKUP(B2535,[2]מעובד!$D:$K,8,0),0)</f>
        <v>78</v>
      </c>
      <c r="R2535" s="956">
        <f>IFERROR(VLOOKUP(B2535,[2]מעובד!$D:$L,9,0),0)</f>
        <v>78</v>
      </c>
    </row>
    <row r="2536" spans="1:18" x14ac:dyDescent="0.2">
      <c r="A2536" s="947" t="s">
        <v>386</v>
      </c>
      <c r="B2536" s="947">
        <v>618900</v>
      </c>
      <c r="C2536" s="947" t="s">
        <v>2189</v>
      </c>
      <c r="D2536" s="947" t="s">
        <v>499</v>
      </c>
      <c r="E2536" s="951">
        <v>242</v>
      </c>
      <c r="F2536" s="951">
        <v>207</v>
      </c>
      <c r="G2536" s="947" t="s">
        <v>159</v>
      </c>
      <c r="H2536" s="951">
        <v>85</v>
      </c>
      <c r="I2536" s="951">
        <v>11</v>
      </c>
      <c r="J2536" s="947" t="s">
        <v>386</v>
      </c>
      <c r="K2536" s="947">
        <v>618900</v>
      </c>
      <c r="M2536" s="631"/>
      <c r="P2536" s="950" t="str">
        <f>VLOOKUP(J2536,'רשימת רשויות'!A:A,1,0)</f>
        <v>רהט</v>
      </c>
      <c r="Q2536" s="956">
        <f>IFERROR(VLOOKUP(B2536,[2]מעובד!$D:$K,8,0),0)</f>
        <v>181</v>
      </c>
      <c r="R2536" s="956">
        <f>IFERROR(VLOOKUP(B2536,[2]מעובד!$D:$L,9,0),0)</f>
        <v>101</v>
      </c>
    </row>
    <row r="2537" spans="1:18" x14ac:dyDescent="0.2">
      <c r="A2537" s="947" t="s">
        <v>386</v>
      </c>
      <c r="B2537" s="947">
        <v>618918</v>
      </c>
      <c r="C2537" s="947" t="s">
        <v>2189</v>
      </c>
      <c r="D2537" s="947" t="s">
        <v>907</v>
      </c>
      <c r="E2537" s="951">
        <v>407</v>
      </c>
      <c r="F2537" s="951">
        <v>385</v>
      </c>
      <c r="G2537" s="947" t="s">
        <v>159</v>
      </c>
      <c r="H2537" s="951">
        <v>0</v>
      </c>
      <c r="I2537" s="951">
        <v>0</v>
      </c>
      <c r="J2537" s="947" t="s">
        <v>386</v>
      </c>
      <c r="K2537" s="947">
        <v>618918</v>
      </c>
      <c r="M2537" s="631"/>
      <c r="P2537" s="950" t="str">
        <f>VLOOKUP(J2537,'רשימת רשויות'!A:A,1,0)</f>
        <v>רהט</v>
      </c>
      <c r="Q2537" s="956">
        <f>IFERROR(VLOOKUP(B2537,[2]מעובד!$D:$K,8,0),0)</f>
        <v>343</v>
      </c>
      <c r="R2537" s="956">
        <f>IFERROR(VLOOKUP(B2537,[2]מעובד!$D:$L,9,0),0)</f>
        <v>131</v>
      </c>
    </row>
    <row r="2538" spans="1:18" x14ac:dyDescent="0.2">
      <c r="A2538" s="947" t="s">
        <v>172</v>
      </c>
      <c r="B2538" s="947">
        <v>618926</v>
      </c>
      <c r="C2538" s="947" t="s">
        <v>2189</v>
      </c>
      <c r="D2538" s="947" t="s">
        <v>2245</v>
      </c>
      <c r="E2538" s="951">
        <v>189</v>
      </c>
      <c r="F2538" s="951">
        <v>160</v>
      </c>
      <c r="G2538" s="947" t="s">
        <v>159</v>
      </c>
      <c r="H2538" s="951">
        <v>58</v>
      </c>
      <c r="I2538" s="951">
        <v>9</v>
      </c>
      <c r="J2538" s="947" t="s">
        <v>172</v>
      </c>
      <c r="K2538" s="947">
        <v>618926</v>
      </c>
      <c r="M2538" s="631"/>
      <c r="P2538" s="950" t="str">
        <f>VLOOKUP(J2538,'רשימת רשויות'!A:A,1,0)</f>
        <v>אל קסום</v>
      </c>
      <c r="Q2538" s="956">
        <f>IFERROR(VLOOKUP(B2538,[2]מעובד!$D:$K,8,0),0)</f>
        <v>0</v>
      </c>
      <c r="R2538" s="956">
        <f>IFERROR(VLOOKUP(B2538,[2]מעובד!$D:$L,9,0),0)</f>
        <v>0</v>
      </c>
    </row>
    <row r="2539" spans="1:18" x14ac:dyDescent="0.2">
      <c r="A2539" s="947" t="s">
        <v>252</v>
      </c>
      <c r="B2539" s="947">
        <v>630004</v>
      </c>
      <c r="C2539" s="947" t="s">
        <v>2189</v>
      </c>
      <c r="D2539" s="947" t="s">
        <v>1248</v>
      </c>
      <c r="E2539" s="951">
        <v>31</v>
      </c>
      <c r="F2539" s="951">
        <v>26</v>
      </c>
      <c r="G2539" s="947" t="s">
        <v>159</v>
      </c>
      <c r="H2539" s="951">
        <v>0</v>
      </c>
      <c r="I2539" s="951">
        <v>0</v>
      </c>
      <c r="J2539" s="947" t="s">
        <v>252</v>
      </c>
      <c r="K2539" s="947">
        <v>630004</v>
      </c>
      <c r="M2539" s="631"/>
      <c r="P2539" s="950" t="str">
        <f>VLOOKUP(J2539,'רשימת רשויות'!A:A,1,0)</f>
        <v>חצור הגלילית</v>
      </c>
      <c r="Q2539" s="956">
        <f>IFERROR(VLOOKUP(B2539,[2]מעובד!$D:$K,8,0),0)</f>
        <v>33</v>
      </c>
      <c r="R2539" s="956">
        <f>IFERROR(VLOOKUP(B2539,[2]מעובד!$D:$L,9,0),0)</f>
        <v>33</v>
      </c>
    </row>
    <row r="2540" spans="1:18" x14ac:dyDescent="0.2">
      <c r="A2540" s="947" t="s">
        <v>328</v>
      </c>
      <c r="B2540" s="947">
        <v>630012</v>
      </c>
      <c r="C2540" s="947" t="s">
        <v>2189</v>
      </c>
      <c r="D2540" s="947" t="s">
        <v>856</v>
      </c>
      <c r="E2540" s="951">
        <v>240</v>
      </c>
      <c r="F2540" s="951">
        <v>228</v>
      </c>
      <c r="G2540" s="947" t="s">
        <v>159</v>
      </c>
      <c r="H2540" s="951">
        <v>88</v>
      </c>
      <c r="I2540" s="951">
        <v>9</v>
      </c>
      <c r="J2540" s="947" t="s">
        <v>328</v>
      </c>
      <c r="K2540" s="947">
        <v>630012</v>
      </c>
      <c r="M2540" s="631"/>
      <c r="P2540" s="950" t="str">
        <f>VLOOKUP(J2540,'רשימת רשויות'!A:A,1,0)</f>
        <v>נווה מדבר</v>
      </c>
      <c r="Q2540" s="956">
        <f>IFERROR(VLOOKUP(B2540,[2]מעובד!$D:$K,8,0),0)</f>
        <v>210</v>
      </c>
      <c r="R2540" s="956">
        <f>IFERROR(VLOOKUP(B2540,[2]מעובד!$D:$L,9,0),0)</f>
        <v>60</v>
      </c>
    </row>
    <row r="2541" spans="1:18" x14ac:dyDescent="0.2">
      <c r="A2541" s="947" t="s">
        <v>172</v>
      </c>
      <c r="B2541" s="947">
        <v>630020</v>
      </c>
      <c r="C2541" s="947" t="s">
        <v>2189</v>
      </c>
      <c r="D2541" s="947" t="s">
        <v>891</v>
      </c>
      <c r="E2541" s="951">
        <v>173</v>
      </c>
      <c r="F2541" s="951">
        <v>140</v>
      </c>
      <c r="G2541" s="947" t="s">
        <v>159</v>
      </c>
      <c r="H2541" s="951">
        <v>60</v>
      </c>
      <c r="I2541" s="951">
        <v>9</v>
      </c>
      <c r="J2541" s="947" t="s">
        <v>172</v>
      </c>
      <c r="K2541" s="947">
        <v>630020</v>
      </c>
      <c r="M2541" s="631"/>
      <c r="P2541" s="950" t="str">
        <f>VLOOKUP(J2541,'רשימת רשויות'!A:A,1,0)</f>
        <v>אל קסום</v>
      </c>
      <c r="Q2541" s="956">
        <f>IFERROR(VLOOKUP(B2541,[2]מעובד!$D:$K,8,0),0)</f>
        <v>134</v>
      </c>
      <c r="R2541" s="956">
        <f>IFERROR(VLOOKUP(B2541,[2]מעובד!$D:$L,9,0),0)</f>
        <v>134</v>
      </c>
    </row>
    <row r="2542" spans="1:18" x14ac:dyDescent="0.2">
      <c r="A2542" s="947" t="s">
        <v>373</v>
      </c>
      <c r="B2542" s="947">
        <v>630038</v>
      </c>
      <c r="C2542" s="947" t="s">
        <v>2189</v>
      </c>
      <c r="D2542" s="947" t="s">
        <v>934</v>
      </c>
      <c r="E2542" s="951">
        <v>312</v>
      </c>
      <c r="F2542" s="951">
        <v>289</v>
      </c>
      <c r="G2542" s="947" t="s">
        <v>159</v>
      </c>
      <c r="H2542" s="951">
        <v>202</v>
      </c>
      <c r="I2542" s="951">
        <v>21</v>
      </c>
      <c r="J2542" s="947" t="s">
        <v>373</v>
      </c>
      <c r="K2542" s="947">
        <v>630038</v>
      </c>
      <c r="M2542" s="631"/>
      <c r="P2542" s="950" t="str">
        <f>VLOOKUP(J2542,'רשימת רשויות'!A:A,1,0)</f>
        <v>קרית גת</v>
      </c>
      <c r="Q2542" s="956">
        <f>IFERROR(VLOOKUP(B2542,[2]מעובד!$D:$K,8,0),0)</f>
        <v>341</v>
      </c>
      <c r="R2542" s="956">
        <f>IFERROR(VLOOKUP(B2542,[2]מעובד!$D:$L,9,0),0)</f>
        <v>205</v>
      </c>
    </row>
    <row r="2543" spans="1:18" x14ac:dyDescent="0.2">
      <c r="A2543" s="947" t="s">
        <v>182</v>
      </c>
      <c r="B2543" s="947">
        <v>630046</v>
      </c>
      <c r="C2543" s="947" t="s">
        <v>2189</v>
      </c>
      <c r="D2543" s="947" t="s">
        <v>935</v>
      </c>
      <c r="E2543" s="951">
        <v>116</v>
      </c>
      <c r="F2543" s="951">
        <v>115</v>
      </c>
      <c r="G2543" s="947" t="s">
        <v>159</v>
      </c>
      <c r="H2543" s="951">
        <v>0</v>
      </c>
      <c r="I2543" s="951">
        <v>0</v>
      </c>
      <c r="J2543" s="947" t="s">
        <v>182</v>
      </c>
      <c r="K2543" s="947">
        <v>630046</v>
      </c>
      <c r="M2543" s="631"/>
      <c r="P2543" s="950" t="str">
        <f>VLOOKUP(J2543,'רשימת רשויות'!A:A,1,0)</f>
        <v>אשכול</v>
      </c>
      <c r="Q2543" s="956">
        <f>IFERROR(VLOOKUP(B2543,[2]מעובד!$D:$K,8,0),0)</f>
        <v>0</v>
      </c>
      <c r="R2543" s="956">
        <f>IFERROR(VLOOKUP(B2543,[2]מעובד!$D:$L,9,0),0)</f>
        <v>0</v>
      </c>
    </row>
    <row r="2544" spans="1:18" x14ac:dyDescent="0.2">
      <c r="A2544" s="947" t="s">
        <v>351</v>
      </c>
      <c r="B2544" s="947">
        <v>630053</v>
      </c>
      <c r="C2544" s="947" t="s">
        <v>2189</v>
      </c>
      <c r="D2544" s="947" t="s">
        <v>3140</v>
      </c>
      <c r="E2544" s="951">
        <v>80</v>
      </c>
      <c r="F2544" s="951">
        <v>0</v>
      </c>
      <c r="G2544" s="947" t="s">
        <v>159</v>
      </c>
      <c r="H2544" s="951">
        <v>0</v>
      </c>
      <c r="I2544" s="951">
        <v>0</v>
      </c>
      <c r="J2544" s="947" t="s">
        <v>351</v>
      </c>
      <c r="K2544" s="947">
        <v>630053</v>
      </c>
      <c r="M2544" s="631"/>
      <c r="P2544" s="950" t="str">
        <f>VLOOKUP(J2544,'רשימת רשויות'!A:A,1,0)</f>
        <v>עמק יזרעאל</v>
      </c>
      <c r="Q2544" s="956">
        <f>IFERROR(VLOOKUP(B2544,[2]מעובד!$D:$K,8,0),0)</f>
        <v>0</v>
      </c>
      <c r="R2544" s="956">
        <f>IFERROR(VLOOKUP(B2544,[2]מעובד!$D:$L,9,0),0)</f>
        <v>0</v>
      </c>
    </row>
    <row r="2545" spans="1:18" x14ac:dyDescent="0.2">
      <c r="A2545" s="947" t="s">
        <v>187</v>
      </c>
      <c r="B2545" s="947">
        <v>630061</v>
      </c>
      <c r="C2545" s="947" t="s">
        <v>2189</v>
      </c>
      <c r="D2545" s="947" t="s">
        <v>936</v>
      </c>
      <c r="E2545" s="951">
        <v>203</v>
      </c>
      <c r="F2545" s="951">
        <v>123</v>
      </c>
      <c r="G2545" s="947" t="s">
        <v>159</v>
      </c>
      <c r="H2545" s="951">
        <v>0</v>
      </c>
      <c r="I2545" s="951">
        <v>0</v>
      </c>
      <c r="J2545" s="947" t="s">
        <v>187</v>
      </c>
      <c r="K2545" s="947">
        <v>630061</v>
      </c>
      <c r="M2545" s="631"/>
      <c r="P2545" s="950" t="str">
        <f>VLOOKUP(J2545,'רשימת רשויות'!A:A,1,0)</f>
        <v>באר שבע</v>
      </c>
      <c r="Q2545" s="956">
        <f>IFERROR(VLOOKUP(B2545,[2]מעובד!$D:$K,8,0),0)</f>
        <v>237</v>
      </c>
      <c r="R2545" s="956">
        <f>IFERROR(VLOOKUP(B2545,[2]מעובד!$D:$L,9,0),0)</f>
        <v>119</v>
      </c>
    </row>
    <row r="2546" spans="1:18" x14ac:dyDescent="0.2">
      <c r="A2546" s="947" t="s">
        <v>1087</v>
      </c>
      <c r="B2546" s="947">
        <v>630079</v>
      </c>
      <c r="C2546" s="947" t="s">
        <v>2189</v>
      </c>
      <c r="D2546" s="947" t="s">
        <v>1047</v>
      </c>
      <c r="E2546" s="951">
        <v>258</v>
      </c>
      <c r="F2546" s="951">
        <v>218</v>
      </c>
      <c r="G2546" s="947" t="s">
        <v>159</v>
      </c>
      <c r="H2546" s="951">
        <v>0</v>
      </c>
      <c r="I2546" s="951">
        <v>0</v>
      </c>
      <c r="J2546" s="947" t="s">
        <v>1087</v>
      </c>
      <c r="K2546" s="947">
        <v>630079</v>
      </c>
      <c r="M2546" s="631"/>
      <c r="P2546" s="950" t="str">
        <f>VLOOKUP(J2546,'רשימת רשויות'!A:A,1,0)</f>
        <v>צור הדסה</v>
      </c>
      <c r="Q2546" s="956">
        <f>IFERROR(VLOOKUP(B2546,[2]מעובד!$D:$K,8,0),0)</f>
        <v>244</v>
      </c>
      <c r="R2546" s="956">
        <f>IFERROR(VLOOKUP(B2546,[2]מעובד!$D:$L,9,0),0)</f>
        <v>116</v>
      </c>
    </row>
    <row r="2547" spans="1:18" x14ac:dyDescent="0.2">
      <c r="A2547" s="947" t="s">
        <v>328</v>
      </c>
      <c r="B2547" s="947">
        <v>630087</v>
      </c>
      <c r="C2547" s="947" t="s">
        <v>2189</v>
      </c>
      <c r="D2547" s="947" t="s">
        <v>937</v>
      </c>
      <c r="E2547" s="951">
        <v>217</v>
      </c>
      <c r="F2547" s="951">
        <v>213</v>
      </c>
      <c r="G2547" s="947" t="s">
        <v>159</v>
      </c>
      <c r="H2547" s="951">
        <v>0</v>
      </c>
      <c r="I2547" s="951">
        <v>0</v>
      </c>
      <c r="J2547" s="947" t="s">
        <v>328</v>
      </c>
      <c r="K2547" s="947">
        <v>630087</v>
      </c>
      <c r="M2547" s="631"/>
      <c r="P2547" s="950" t="str">
        <f>VLOOKUP(J2547,'רשימת רשויות'!A:A,1,0)</f>
        <v>נווה מדבר</v>
      </c>
      <c r="Q2547" s="956">
        <f>IFERROR(VLOOKUP(B2547,[2]מעובד!$D:$K,8,0),0)</f>
        <v>171</v>
      </c>
      <c r="R2547" s="956">
        <f>IFERROR(VLOOKUP(B2547,[2]מעובד!$D:$L,9,0),0)</f>
        <v>120</v>
      </c>
    </row>
    <row r="2548" spans="1:18" x14ac:dyDescent="0.2">
      <c r="A2548" s="947" t="s">
        <v>264</v>
      </c>
      <c r="B2548" s="947">
        <v>630103</v>
      </c>
      <c r="C2548" s="947" t="s">
        <v>2189</v>
      </c>
      <c r="D2548" s="947" t="s">
        <v>950</v>
      </c>
      <c r="E2548" s="951">
        <v>184</v>
      </c>
      <c r="F2548" s="951">
        <v>58</v>
      </c>
      <c r="G2548" s="947" t="s">
        <v>159</v>
      </c>
      <c r="H2548" s="951">
        <v>0</v>
      </c>
      <c r="I2548" s="951">
        <v>0</v>
      </c>
      <c r="J2548" s="947" t="s">
        <v>264</v>
      </c>
      <c r="K2548" s="947">
        <v>630103</v>
      </c>
      <c r="M2548" s="631"/>
      <c r="P2548" s="950" t="str">
        <f>VLOOKUP(J2548,'רשימת רשויות'!A:A,1,0)</f>
        <v>יואב</v>
      </c>
      <c r="Q2548" s="956">
        <f>IFERROR(VLOOKUP(B2548,[2]מעובד!$D:$K,8,0),0)</f>
        <v>0</v>
      </c>
      <c r="R2548" s="956">
        <f>IFERROR(VLOOKUP(B2548,[2]מעובד!$D:$L,9,0),0)</f>
        <v>0</v>
      </c>
    </row>
    <row r="2549" spans="1:18" x14ac:dyDescent="0.2">
      <c r="A2549" s="947" t="s">
        <v>212</v>
      </c>
      <c r="B2549" s="947">
        <v>630129</v>
      </c>
      <c r="C2549" s="947" t="s">
        <v>2189</v>
      </c>
      <c r="D2549" s="947" t="s">
        <v>1260</v>
      </c>
      <c r="E2549" s="951">
        <v>130</v>
      </c>
      <c r="F2549" s="951">
        <v>130</v>
      </c>
      <c r="G2549" s="947" t="s">
        <v>159</v>
      </c>
      <c r="H2549" s="951">
        <v>0</v>
      </c>
      <c r="I2549" s="951">
        <v>0</v>
      </c>
      <c r="J2549" s="947" t="s">
        <v>212</v>
      </c>
      <c r="K2549" s="947">
        <v>630129</v>
      </c>
      <c r="M2549" s="631"/>
      <c r="P2549" s="950" t="str">
        <f>VLOOKUP(J2549,'רשימת רשויות'!A:A,1,0)</f>
        <v>גבעת זאב</v>
      </c>
      <c r="Q2549" s="956">
        <f>IFERROR(VLOOKUP(B2549,[2]מעובד!$D:$K,8,0),0)</f>
        <v>120</v>
      </c>
      <c r="R2549" s="956">
        <f>IFERROR(VLOOKUP(B2549,[2]מעובד!$D:$L,9,0),0)</f>
        <v>94</v>
      </c>
    </row>
    <row r="2550" spans="1:18" x14ac:dyDescent="0.2">
      <c r="A2550" s="947" t="s">
        <v>386</v>
      </c>
      <c r="B2550" s="947">
        <v>630145</v>
      </c>
      <c r="C2550" s="947" t="s">
        <v>2189</v>
      </c>
      <c r="D2550" s="947" t="s">
        <v>951</v>
      </c>
      <c r="E2550" s="951">
        <v>259</v>
      </c>
      <c r="F2550" s="951">
        <v>255</v>
      </c>
      <c r="G2550" s="947" t="s">
        <v>159</v>
      </c>
      <c r="H2550" s="951">
        <v>0</v>
      </c>
      <c r="I2550" s="951">
        <v>0</v>
      </c>
      <c r="J2550" s="947" t="s">
        <v>386</v>
      </c>
      <c r="K2550" s="947">
        <v>630145</v>
      </c>
      <c r="M2550" s="631"/>
      <c r="P2550" s="950" t="str">
        <f>VLOOKUP(J2550,'רשימת רשויות'!A:A,1,0)</f>
        <v>רהט</v>
      </c>
      <c r="Q2550" s="956">
        <f>IFERROR(VLOOKUP(B2550,[2]מעובד!$D:$K,8,0),0)</f>
        <v>239</v>
      </c>
      <c r="R2550" s="956">
        <f>IFERROR(VLOOKUP(B2550,[2]מעובד!$D:$L,9,0),0)</f>
        <v>176</v>
      </c>
    </row>
    <row r="2551" spans="1:18" x14ac:dyDescent="0.2">
      <c r="A2551" s="947" t="s">
        <v>183</v>
      </c>
      <c r="B2551" s="947">
        <v>630152</v>
      </c>
      <c r="C2551" s="947" t="s">
        <v>2189</v>
      </c>
      <c r="D2551" s="947" t="s">
        <v>952</v>
      </c>
      <c r="E2551" s="951">
        <v>493</v>
      </c>
      <c r="F2551" s="951">
        <v>490</v>
      </c>
      <c r="G2551" s="947" t="s">
        <v>159</v>
      </c>
      <c r="H2551" s="951">
        <v>0</v>
      </c>
      <c r="I2551" s="951">
        <v>0</v>
      </c>
      <c r="J2551" s="947" t="s">
        <v>183</v>
      </c>
      <c r="K2551" s="947">
        <v>630152</v>
      </c>
      <c r="M2551" s="631"/>
      <c r="P2551" s="950" t="str">
        <f>VLOOKUP(J2551,'רשימת רשויות'!A:A,1,0)</f>
        <v>אשקלון</v>
      </c>
      <c r="Q2551" s="956">
        <f>IFERROR(VLOOKUP(B2551,[2]מעובד!$D:$K,8,0),0)</f>
        <v>362</v>
      </c>
      <c r="R2551" s="956">
        <f>IFERROR(VLOOKUP(B2551,[2]מעובד!$D:$L,9,0),0)</f>
        <v>150</v>
      </c>
    </row>
    <row r="2552" spans="1:18" x14ac:dyDescent="0.2">
      <c r="A2552" s="947" t="s">
        <v>270</v>
      </c>
      <c r="B2552" s="947">
        <v>630178</v>
      </c>
      <c r="C2552" s="947" t="s">
        <v>2189</v>
      </c>
      <c r="D2552" s="947" t="s">
        <v>1263</v>
      </c>
      <c r="E2552" s="951">
        <v>158</v>
      </c>
      <c r="F2552" s="951">
        <v>34</v>
      </c>
      <c r="G2552" s="947" t="s">
        <v>159</v>
      </c>
      <c r="H2552" s="951">
        <v>0</v>
      </c>
      <c r="I2552" s="951">
        <v>0</v>
      </c>
      <c r="J2552" s="947" t="s">
        <v>270</v>
      </c>
      <c r="K2552" s="947">
        <v>630178</v>
      </c>
      <c r="M2552" s="631"/>
      <c r="P2552" s="950" t="str">
        <f>VLOOKUP(J2552,'רשימת רשויות'!A:A,1,0)</f>
        <v>ירושלים</v>
      </c>
      <c r="Q2552" s="956">
        <f>IFERROR(VLOOKUP(B2552,[2]מעובד!$D:$K,8,0),0)</f>
        <v>0</v>
      </c>
      <c r="R2552" s="956">
        <f>IFERROR(VLOOKUP(B2552,[2]מעובד!$D:$L,9,0),0)</f>
        <v>0</v>
      </c>
    </row>
    <row r="2553" spans="1:18" x14ac:dyDescent="0.2">
      <c r="A2553" s="947" t="s">
        <v>270</v>
      </c>
      <c r="B2553" s="947">
        <v>630186</v>
      </c>
      <c r="C2553" s="947" t="s">
        <v>2189</v>
      </c>
      <c r="D2553" s="947" t="s">
        <v>1264</v>
      </c>
      <c r="E2553" s="951">
        <v>61</v>
      </c>
      <c r="F2553" s="951">
        <v>58</v>
      </c>
      <c r="G2553" s="947" t="s">
        <v>159</v>
      </c>
      <c r="H2553" s="951">
        <v>0</v>
      </c>
      <c r="I2553" s="951">
        <v>0</v>
      </c>
      <c r="J2553" s="947" t="s">
        <v>270</v>
      </c>
      <c r="K2553" s="947">
        <v>630186</v>
      </c>
      <c r="M2553" s="631"/>
      <c r="P2553" s="950" t="str">
        <f>VLOOKUP(J2553,'רשימת רשויות'!A:A,1,0)</f>
        <v>ירושלים</v>
      </c>
      <c r="Q2553" s="956">
        <f>IFERROR(VLOOKUP(B2553,[2]מעובד!$D:$K,8,0),0)</f>
        <v>48</v>
      </c>
      <c r="R2553" s="956">
        <f>IFERROR(VLOOKUP(B2553,[2]מעובד!$D:$L,9,0),0)</f>
        <v>48</v>
      </c>
    </row>
    <row r="2554" spans="1:18" x14ac:dyDescent="0.2">
      <c r="A2554" s="947" t="s">
        <v>270</v>
      </c>
      <c r="B2554" s="947">
        <v>630194</v>
      </c>
      <c r="C2554" s="947" t="s">
        <v>2189</v>
      </c>
      <c r="D2554" s="947" t="s">
        <v>1265</v>
      </c>
      <c r="E2554" s="951">
        <v>138</v>
      </c>
      <c r="F2554" s="951">
        <v>128</v>
      </c>
      <c r="G2554" s="947" t="s">
        <v>159</v>
      </c>
      <c r="H2554" s="951">
        <v>0</v>
      </c>
      <c r="I2554" s="951">
        <v>0</v>
      </c>
      <c r="J2554" s="947" t="s">
        <v>270</v>
      </c>
      <c r="K2554" s="947">
        <v>630194</v>
      </c>
      <c r="M2554" s="631"/>
      <c r="P2554" s="950" t="str">
        <f>VLOOKUP(J2554,'רשימת רשויות'!A:A,1,0)</f>
        <v>ירושלים</v>
      </c>
      <c r="Q2554" s="956">
        <f>IFERROR(VLOOKUP(B2554,[2]מעובד!$D:$K,8,0),0)</f>
        <v>0</v>
      </c>
      <c r="R2554" s="956">
        <f>IFERROR(VLOOKUP(B2554,[2]מעובד!$D:$L,9,0),0)</f>
        <v>0</v>
      </c>
    </row>
    <row r="2555" spans="1:18" x14ac:dyDescent="0.2">
      <c r="A2555" s="947" t="s">
        <v>254</v>
      </c>
      <c r="B2555" s="947">
        <v>630228</v>
      </c>
      <c r="C2555" s="947" t="s">
        <v>2189</v>
      </c>
      <c r="D2555" s="947" t="s">
        <v>1266</v>
      </c>
      <c r="E2555" s="951">
        <v>61</v>
      </c>
      <c r="F2555" s="951">
        <v>61</v>
      </c>
      <c r="G2555" s="947" t="s">
        <v>159</v>
      </c>
      <c r="H2555" s="951">
        <v>0</v>
      </c>
      <c r="I2555" s="951">
        <v>0</v>
      </c>
      <c r="J2555" s="947" t="s">
        <v>254</v>
      </c>
      <c r="K2555" s="947">
        <v>630228</v>
      </c>
      <c r="M2555" s="631"/>
      <c r="P2555" s="950" t="str">
        <f>VLOOKUP(J2555,'רשימת רשויות'!A:A,1,0)</f>
        <v>טבריה</v>
      </c>
      <c r="Q2555" s="956">
        <f>IFERROR(VLOOKUP(B2555,[2]מעובד!$D:$K,8,0),0)</f>
        <v>53</v>
      </c>
      <c r="R2555" s="956">
        <f>IFERROR(VLOOKUP(B2555,[2]מעובד!$D:$L,9,0),0)</f>
        <v>53</v>
      </c>
    </row>
    <row r="2556" spans="1:18" x14ac:dyDescent="0.2">
      <c r="A2556" s="947" t="s">
        <v>310</v>
      </c>
      <c r="B2556" s="947">
        <v>630236</v>
      </c>
      <c r="C2556" s="947" t="s">
        <v>2189</v>
      </c>
      <c r="D2556" s="947" t="s">
        <v>1049</v>
      </c>
      <c r="E2556" s="951">
        <v>59</v>
      </c>
      <c r="F2556" s="951">
        <v>53</v>
      </c>
      <c r="G2556" s="947" t="s">
        <v>159</v>
      </c>
      <c r="H2556" s="951">
        <v>19</v>
      </c>
      <c r="I2556" s="951">
        <v>6</v>
      </c>
      <c r="J2556" s="947" t="s">
        <v>310</v>
      </c>
      <c r="K2556" s="947">
        <v>630236</v>
      </c>
      <c r="M2556" s="631"/>
      <c r="P2556" s="950" t="str">
        <f>VLOOKUP(J2556,'רשימת רשויות'!A:A,1,0)</f>
        <v>מטה בנימין</v>
      </c>
      <c r="Q2556" s="956">
        <f>IFERROR(VLOOKUP(B2556,[2]מעובד!$D:$K,8,0),0)</f>
        <v>61</v>
      </c>
      <c r="R2556" s="956">
        <f>IFERROR(VLOOKUP(B2556,[2]מעובד!$D:$L,9,0),0)</f>
        <v>61</v>
      </c>
    </row>
    <row r="2557" spans="1:18" x14ac:dyDescent="0.2">
      <c r="A2557" s="947" t="s">
        <v>270</v>
      </c>
      <c r="B2557" s="947">
        <v>630244</v>
      </c>
      <c r="C2557" s="947" t="s">
        <v>2189</v>
      </c>
      <c r="D2557" s="947" t="s">
        <v>1270</v>
      </c>
      <c r="E2557" s="951">
        <v>52</v>
      </c>
      <c r="F2557" s="951">
        <v>50</v>
      </c>
      <c r="G2557" s="947" t="s">
        <v>159</v>
      </c>
      <c r="H2557" s="951">
        <v>0</v>
      </c>
      <c r="I2557" s="951">
        <v>0</v>
      </c>
      <c r="J2557" s="947" t="s">
        <v>270</v>
      </c>
      <c r="K2557" s="947">
        <v>630244</v>
      </c>
      <c r="M2557" s="631"/>
      <c r="P2557" s="950" t="str">
        <f>VLOOKUP(J2557,'רשימת רשויות'!A:A,1,0)</f>
        <v>ירושלים</v>
      </c>
      <c r="Q2557" s="956">
        <f>IFERROR(VLOOKUP(B2557,[2]מעובד!$D:$K,8,0),0)</f>
        <v>51</v>
      </c>
      <c r="R2557" s="956">
        <f>IFERROR(VLOOKUP(B2557,[2]מעובד!$D:$L,9,0),0)</f>
        <v>45</v>
      </c>
    </row>
    <row r="2558" spans="1:18" x14ac:dyDescent="0.2">
      <c r="A2558" s="947" t="s">
        <v>310</v>
      </c>
      <c r="B2558" s="947">
        <v>630251</v>
      </c>
      <c r="C2558" s="947" t="s">
        <v>2189</v>
      </c>
      <c r="D2558" s="947" t="s">
        <v>1050</v>
      </c>
      <c r="E2558" s="951">
        <v>62</v>
      </c>
      <c r="F2558" s="951">
        <v>62</v>
      </c>
      <c r="G2558" s="947" t="s">
        <v>159</v>
      </c>
      <c r="H2558" s="951">
        <v>0</v>
      </c>
      <c r="I2558" s="951">
        <v>0</v>
      </c>
      <c r="J2558" s="947" t="s">
        <v>310</v>
      </c>
      <c r="K2558" s="947">
        <v>630251</v>
      </c>
      <c r="M2558" s="631"/>
      <c r="P2558" s="950" t="str">
        <f>VLOOKUP(J2558,'רשימת רשויות'!A:A,1,0)</f>
        <v>מטה בנימין</v>
      </c>
      <c r="Q2558" s="956">
        <f>IFERROR(VLOOKUP(B2558,[2]מעובד!$D:$K,8,0),0)</f>
        <v>66</v>
      </c>
      <c r="R2558" s="956">
        <f>IFERROR(VLOOKUP(B2558,[2]מעובד!$D:$L,9,0),0)</f>
        <v>66</v>
      </c>
    </row>
    <row r="2559" spans="1:18" x14ac:dyDescent="0.2">
      <c r="A2559" s="947" t="s">
        <v>231</v>
      </c>
      <c r="B2559" s="947">
        <v>630897</v>
      </c>
      <c r="C2559" s="947" t="s">
        <v>2189</v>
      </c>
      <c r="D2559" s="947" t="s">
        <v>3141</v>
      </c>
      <c r="E2559" s="951">
        <v>60</v>
      </c>
      <c r="F2559" s="951">
        <v>0</v>
      </c>
      <c r="G2559" s="947" t="s">
        <v>3252</v>
      </c>
      <c r="H2559" s="951">
        <v>0</v>
      </c>
      <c r="I2559" s="951">
        <v>0</v>
      </c>
      <c r="J2559" s="947" t="s">
        <v>231</v>
      </c>
      <c r="K2559" s="947">
        <v>630897</v>
      </c>
      <c r="M2559" s="631"/>
      <c r="P2559" s="950" t="str">
        <f>VLOOKUP(J2559,'רשימת רשויות'!A:A,1,0)</f>
        <v>הוד השרון</v>
      </c>
      <c r="Q2559" s="956">
        <f>IFERROR(VLOOKUP(B2559,[2]מעובד!$D:$K,8,0),0)</f>
        <v>0</v>
      </c>
      <c r="R2559" s="956">
        <f>IFERROR(VLOOKUP(B2559,[2]מעובד!$D:$L,9,0),0)</f>
        <v>0</v>
      </c>
    </row>
    <row r="2560" spans="1:18" x14ac:dyDescent="0.2">
      <c r="A2560" s="947" t="s">
        <v>313</v>
      </c>
      <c r="B2560" s="947">
        <v>630988</v>
      </c>
      <c r="C2560" s="947" t="s">
        <v>2189</v>
      </c>
      <c r="D2560" s="947" t="s">
        <v>451</v>
      </c>
      <c r="E2560" s="951">
        <v>229</v>
      </c>
      <c r="F2560" s="951">
        <v>106</v>
      </c>
      <c r="G2560" s="947" t="s">
        <v>159</v>
      </c>
      <c r="H2560" s="951">
        <v>0</v>
      </c>
      <c r="I2560" s="951">
        <v>0</v>
      </c>
      <c r="J2560" s="947" t="s">
        <v>313</v>
      </c>
      <c r="K2560" s="947">
        <v>630988</v>
      </c>
      <c r="M2560" s="631"/>
      <c r="P2560" s="950" t="str">
        <f>VLOOKUP(J2560,'רשימת רשויות'!A:A,1,0)</f>
        <v>מיתר</v>
      </c>
      <c r="Q2560" s="956">
        <f>IFERROR(VLOOKUP(B2560,[2]מעובד!$D:$K,8,0),0)</f>
        <v>0</v>
      </c>
      <c r="R2560" s="956">
        <f>IFERROR(VLOOKUP(B2560,[2]מעובד!$D:$L,9,0),0)</f>
        <v>0</v>
      </c>
    </row>
    <row r="2561" spans="1:18" x14ac:dyDescent="0.2">
      <c r="A2561" s="947" t="s">
        <v>183</v>
      </c>
      <c r="B2561" s="947">
        <v>631044</v>
      </c>
      <c r="C2561" s="947" t="s">
        <v>2189</v>
      </c>
      <c r="D2561" s="947" t="s">
        <v>1034</v>
      </c>
      <c r="E2561" s="951">
        <v>407</v>
      </c>
      <c r="F2561" s="951">
        <v>390</v>
      </c>
      <c r="G2561" s="947" t="s">
        <v>159</v>
      </c>
      <c r="H2561" s="951">
        <v>0</v>
      </c>
      <c r="I2561" s="951">
        <v>0</v>
      </c>
      <c r="J2561" s="947" t="s">
        <v>183</v>
      </c>
      <c r="K2561" s="947">
        <v>631044</v>
      </c>
      <c r="M2561" s="631"/>
      <c r="P2561" s="950" t="str">
        <f>VLOOKUP(J2561,'רשימת רשויות'!A:A,1,0)</f>
        <v>אשקלון</v>
      </c>
      <c r="Q2561" s="956">
        <f>IFERROR(VLOOKUP(B2561,[2]מעובד!$D:$K,8,0),0)</f>
        <v>338</v>
      </c>
      <c r="R2561" s="956">
        <f>IFERROR(VLOOKUP(B2561,[2]מעובד!$D:$L,9,0),0)</f>
        <v>146</v>
      </c>
    </row>
    <row r="2562" spans="1:18" x14ac:dyDescent="0.2">
      <c r="A2562" s="947" t="s">
        <v>317</v>
      </c>
      <c r="B2562" s="947">
        <v>631242</v>
      </c>
      <c r="C2562" s="947" t="s">
        <v>2189</v>
      </c>
      <c r="D2562" s="947" t="s">
        <v>2483</v>
      </c>
      <c r="E2562" s="951">
        <v>110</v>
      </c>
      <c r="F2562" s="951">
        <v>72</v>
      </c>
      <c r="G2562" s="947" t="s">
        <v>3252</v>
      </c>
      <c r="H2562" s="951">
        <v>0</v>
      </c>
      <c r="I2562" s="951">
        <v>0</v>
      </c>
      <c r="J2562" s="947" t="s">
        <v>317</v>
      </c>
      <c r="K2562" s="947">
        <v>631242</v>
      </c>
      <c r="M2562" s="631"/>
      <c r="P2562" s="950" t="str">
        <f>VLOOKUP(J2562,'רשימת רשויות'!A:A,1,0)</f>
        <v>מעלה אדומים</v>
      </c>
      <c r="Q2562" s="956">
        <f>IFERROR(VLOOKUP(B2562,[2]מעובד!$D:$K,8,0),0)</f>
        <v>75</v>
      </c>
      <c r="R2562" s="956">
        <f>IFERROR(VLOOKUP(B2562,[2]מעובד!$D:$L,9,0),0)</f>
        <v>40</v>
      </c>
    </row>
    <row r="2563" spans="1:18" x14ac:dyDescent="0.2">
      <c r="A2563" s="947" t="s">
        <v>198</v>
      </c>
      <c r="B2563" s="947">
        <v>631515</v>
      </c>
      <c r="C2563" s="947" t="s">
        <v>2189</v>
      </c>
      <c r="D2563" s="947" t="s">
        <v>2484</v>
      </c>
      <c r="E2563" s="951">
        <v>68</v>
      </c>
      <c r="F2563" s="951">
        <v>68</v>
      </c>
      <c r="G2563" s="947" t="s">
        <v>3252</v>
      </c>
      <c r="H2563" s="951">
        <v>0</v>
      </c>
      <c r="I2563" s="951">
        <v>0</v>
      </c>
      <c r="J2563" s="947" t="s">
        <v>198</v>
      </c>
      <c r="K2563" s="947">
        <v>631515</v>
      </c>
      <c r="M2563" s="631"/>
      <c r="P2563" s="950" t="str">
        <f>VLOOKUP(J2563,'רשימת רשויות'!A:A,1,0)</f>
        <v>בני ברק</v>
      </c>
      <c r="Q2563" s="956">
        <f>IFERROR(VLOOKUP(B2563,[2]מעובד!$D:$K,8,0),0)</f>
        <v>0</v>
      </c>
      <c r="R2563" s="956">
        <f>IFERROR(VLOOKUP(B2563,[2]מעובד!$D:$L,9,0),0)</f>
        <v>0</v>
      </c>
    </row>
    <row r="2564" spans="1:18" x14ac:dyDescent="0.2">
      <c r="A2564" s="947" t="s">
        <v>408</v>
      </c>
      <c r="B2564" s="947">
        <v>631531</v>
      </c>
      <c r="C2564" s="947" t="s">
        <v>2189</v>
      </c>
      <c r="D2564" s="947" t="s">
        <v>3142</v>
      </c>
      <c r="E2564" s="951">
        <v>40</v>
      </c>
      <c r="F2564" s="951">
        <v>0</v>
      </c>
      <c r="G2564" s="947" t="s">
        <v>3252</v>
      </c>
      <c r="H2564" s="951">
        <v>0</v>
      </c>
      <c r="I2564" s="951">
        <v>0</v>
      </c>
      <c r="J2564" s="947" t="s">
        <v>408</v>
      </c>
      <c r="K2564" s="947">
        <v>631531</v>
      </c>
      <c r="M2564" s="631"/>
      <c r="P2564" s="950" t="str">
        <f>VLOOKUP(J2564,'רשימת רשויות'!A:A,1,0)</f>
        <v>תל אביב-יפו</v>
      </c>
      <c r="Q2564" s="956">
        <f>IFERROR(VLOOKUP(B2564,[2]מעובד!$D:$K,8,0),0)</f>
        <v>0</v>
      </c>
      <c r="R2564" s="956">
        <f>IFERROR(VLOOKUP(B2564,[2]מעובד!$D:$L,9,0),0)</f>
        <v>0</v>
      </c>
    </row>
    <row r="2565" spans="1:18" x14ac:dyDescent="0.2">
      <c r="A2565" s="947" t="s">
        <v>305</v>
      </c>
      <c r="B2565" s="947">
        <v>631796</v>
      </c>
      <c r="C2565" s="947" t="s">
        <v>2189</v>
      </c>
      <c r="D2565" s="947" t="s">
        <v>881</v>
      </c>
      <c r="E2565" s="951">
        <v>223</v>
      </c>
      <c r="F2565" s="951">
        <v>199</v>
      </c>
      <c r="G2565" s="947" t="s">
        <v>159</v>
      </c>
      <c r="H2565" s="951">
        <v>0</v>
      </c>
      <c r="I2565" s="951">
        <v>0</v>
      </c>
      <c r="J2565" s="947" t="s">
        <v>305</v>
      </c>
      <c r="K2565" s="947">
        <v>631796</v>
      </c>
      <c r="M2565" s="631"/>
      <c r="P2565" s="950" t="str">
        <f>VLOOKUP(J2565,'רשימת רשויות'!A:A,1,0)</f>
        <v>מודיעין מכבים רעות</v>
      </c>
      <c r="Q2565" s="956">
        <f>IFERROR(VLOOKUP(B2565,[2]מעובד!$D:$K,8,0),0)</f>
        <v>196</v>
      </c>
      <c r="R2565" s="956">
        <f>IFERROR(VLOOKUP(B2565,[2]מעובד!$D:$L,9,0),0)</f>
        <v>92</v>
      </c>
    </row>
    <row r="2566" spans="1:18" x14ac:dyDescent="0.2">
      <c r="A2566" s="947" t="s">
        <v>197</v>
      </c>
      <c r="B2566" s="947">
        <v>632323</v>
      </c>
      <c r="C2566" s="947" t="s">
        <v>2189</v>
      </c>
      <c r="D2566" s="947" t="s">
        <v>2485</v>
      </c>
      <c r="E2566" s="951">
        <v>74</v>
      </c>
      <c r="F2566" s="951">
        <v>74</v>
      </c>
      <c r="G2566" s="947" t="s">
        <v>3252</v>
      </c>
      <c r="H2566" s="951">
        <v>0</v>
      </c>
      <c r="I2566" s="951">
        <v>0</v>
      </c>
      <c r="J2566" s="947" t="s">
        <v>197</v>
      </c>
      <c r="K2566" s="947">
        <v>632323</v>
      </c>
      <c r="M2566" s="631"/>
      <c r="P2566" s="950" t="str">
        <f>VLOOKUP(J2566,'רשימת רשויות'!A:A,1,0)</f>
        <v>ביתר עילית</v>
      </c>
      <c r="Q2566" s="956">
        <f>IFERROR(VLOOKUP(B2566,[2]מעובד!$D:$K,8,0),0)</f>
        <v>0</v>
      </c>
      <c r="R2566" s="956">
        <f>IFERROR(VLOOKUP(B2566,[2]מעובד!$D:$L,9,0),0)</f>
        <v>0</v>
      </c>
    </row>
    <row r="2567" spans="1:18" x14ac:dyDescent="0.2">
      <c r="A2567" s="947" t="s">
        <v>371</v>
      </c>
      <c r="B2567" s="947">
        <v>632356</v>
      </c>
      <c r="C2567" s="947" t="s">
        <v>2189</v>
      </c>
      <c r="D2567" s="947" t="s">
        <v>3143</v>
      </c>
      <c r="E2567" s="951">
        <v>63</v>
      </c>
      <c r="F2567" s="951">
        <v>0</v>
      </c>
      <c r="G2567" s="947" t="s">
        <v>3252</v>
      </c>
      <c r="H2567" s="951">
        <v>0</v>
      </c>
      <c r="I2567" s="951">
        <v>0</v>
      </c>
      <c r="J2567" s="947" t="s">
        <v>371</v>
      </c>
      <c r="K2567" s="947">
        <v>632356</v>
      </c>
      <c r="M2567" s="631"/>
      <c r="P2567" s="950" t="str">
        <f>VLOOKUP(J2567,'רשימת רשויות'!A:A,1,0)</f>
        <v>קרית אתא</v>
      </c>
      <c r="Q2567" s="956">
        <f>IFERROR(VLOOKUP(B2567,[2]מעובד!$D:$K,8,0),0)</f>
        <v>0</v>
      </c>
      <c r="R2567" s="956">
        <f>IFERROR(VLOOKUP(B2567,[2]מעובד!$D:$L,9,0),0)</f>
        <v>0</v>
      </c>
    </row>
    <row r="2568" spans="1:18" x14ac:dyDescent="0.2">
      <c r="A2568" s="947" t="s">
        <v>196</v>
      </c>
      <c r="B2568" s="947">
        <v>632737</v>
      </c>
      <c r="C2568" s="947" t="s">
        <v>2189</v>
      </c>
      <c r="D2568" s="947" t="s">
        <v>1247</v>
      </c>
      <c r="E2568" s="951">
        <v>92</v>
      </c>
      <c r="F2568" s="951">
        <v>65</v>
      </c>
      <c r="G2568" s="947" t="s">
        <v>3252</v>
      </c>
      <c r="H2568" s="951">
        <v>92</v>
      </c>
      <c r="I2568" s="951">
        <v>21</v>
      </c>
      <c r="J2568" s="947" t="s">
        <v>196</v>
      </c>
      <c r="K2568" s="947">
        <v>632737</v>
      </c>
      <c r="M2568" s="631"/>
      <c r="P2568" s="950" t="str">
        <f>VLOOKUP(J2568,'רשימת רשויות'!A:A,1,0)</f>
        <v>בית שמש</v>
      </c>
      <c r="Q2568" s="956">
        <f>IFERROR(VLOOKUP(B2568,[2]מעובד!$D:$K,8,0),0)</f>
        <v>0</v>
      </c>
      <c r="R2568" s="956">
        <f>IFERROR(VLOOKUP(B2568,[2]מעובד!$D:$L,9,0),0)</f>
        <v>0</v>
      </c>
    </row>
    <row r="2569" spans="1:18" x14ac:dyDescent="0.2">
      <c r="A2569" s="947" t="s">
        <v>328</v>
      </c>
      <c r="B2569" s="947">
        <v>632786</v>
      </c>
      <c r="C2569" s="947" t="s">
        <v>2189</v>
      </c>
      <c r="D2569" s="947" t="s">
        <v>926</v>
      </c>
      <c r="E2569" s="951">
        <v>148</v>
      </c>
      <c r="F2569" s="951">
        <v>148</v>
      </c>
      <c r="G2569" s="947" t="s">
        <v>159</v>
      </c>
      <c r="H2569" s="951">
        <v>0</v>
      </c>
      <c r="I2569" s="951">
        <v>0</v>
      </c>
      <c r="J2569" s="947" t="s">
        <v>328</v>
      </c>
      <c r="K2569" s="947">
        <v>632786</v>
      </c>
      <c r="M2569" s="631"/>
      <c r="P2569" s="950" t="str">
        <f>VLOOKUP(J2569,'רשימת רשויות'!A:A,1,0)</f>
        <v>נווה מדבר</v>
      </c>
      <c r="Q2569" s="956">
        <f>IFERROR(VLOOKUP(B2569,[2]מעובד!$D:$K,8,0),0)</f>
        <v>123</v>
      </c>
      <c r="R2569" s="956">
        <f>IFERROR(VLOOKUP(B2569,[2]מעובד!$D:$L,9,0),0)</f>
        <v>90</v>
      </c>
    </row>
    <row r="2570" spans="1:18" x14ac:dyDescent="0.2">
      <c r="A2570" s="947" t="s">
        <v>217</v>
      </c>
      <c r="B2570" s="947">
        <v>632794</v>
      </c>
      <c r="C2570" s="947" t="s">
        <v>2189</v>
      </c>
      <c r="D2570" s="947" t="s">
        <v>2379</v>
      </c>
      <c r="E2570" s="951">
        <v>77</v>
      </c>
      <c r="F2570" s="951">
        <v>0</v>
      </c>
      <c r="G2570" s="947" t="s">
        <v>159</v>
      </c>
      <c r="H2570" s="951">
        <v>0</v>
      </c>
      <c r="I2570" s="951">
        <v>0</v>
      </c>
      <c r="J2570" s="947" t="s">
        <v>217</v>
      </c>
      <c r="K2570" s="957" t="s">
        <v>3376</v>
      </c>
      <c r="M2570" s="631"/>
      <c r="P2570" s="950" t="str">
        <f>VLOOKUP(J2570,'רשימת רשויות'!A:A,1,0)</f>
        <v>גולן</v>
      </c>
      <c r="Q2570" s="956">
        <f>IFERROR(VLOOKUP(B2570,[2]מעובד!$D:$K,8,0),0)</f>
        <v>0</v>
      </c>
      <c r="R2570" s="956">
        <f>IFERROR(VLOOKUP(B2570,[2]מעובד!$D:$L,9,0),0)</f>
        <v>0</v>
      </c>
    </row>
    <row r="2571" spans="1:18" x14ac:dyDescent="0.2">
      <c r="A2571" s="947" t="s">
        <v>270</v>
      </c>
      <c r="B2571" s="947">
        <v>633008</v>
      </c>
      <c r="C2571" s="947" t="s">
        <v>2189</v>
      </c>
      <c r="D2571" s="947" t="s">
        <v>3144</v>
      </c>
      <c r="E2571" s="951">
        <v>69</v>
      </c>
      <c r="F2571" s="951">
        <v>69</v>
      </c>
      <c r="G2571" s="947" t="s">
        <v>3252</v>
      </c>
      <c r="H2571" s="951">
        <v>0</v>
      </c>
      <c r="I2571" s="951">
        <v>0</v>
      </c>
      <c r="J2571" s="947" t="s">
        <v>270</v>
      </c>
      <c r="K2571" s="947">
        <v>633008</v>
      </c>
      <c r="M2571" s="631"/>
      <c r="P2571" s="950" t="str">
        <f>VLOOKUP(J2571,'רשימת רשויות'!A:A,1,0)</f>
        <v>ירושלים</v>
      </c>
      <c r="Q2571" s="956">
        <f>IFERROR(VLOOKUP(B2571,[2]מעובד!$D:$K,8,0),0)</f>
        <v>0</v>
      </c>
      <c r="R2571" s="956">
        <f>IFERROR(VLOOKUP(B2571,[2]מעובד!$D:$L,9,0),0)</f>
        <v>0</v>
      </c>
    </row>
    <row r="2572" spans="1:18" x14ac:dyDescent="0.2">
      <c r="A2572" s="947" t="s">
        <v>392</v>
      </c>
      <c r="B2572" s="947">
        <v>633396</v>
      </c>
      <c r="C2572" s="947" t="s">
        <v>2189</v>
      </c>
      <c r="D2572" s="947" t="s">
        <v>3145</v>
      </c>
      <c r="E2572" s="951">
        <v>83</v>
      </c>
      <c r="F2572" s="951">
        <v>0</v>
      </c>
      <c r="G2572" s="947" t="s">
        <v>3252</v>
      </c>
      <c r="H2572" s="951">
        <v>0</v>
      </c>
      <c r="I2572" s="951">
        <v>0</v>
      </c>
      <c r="J2572" s="947" t="s">
        <v>392</v>
      </c>
      <c r="K2572" s="947">
        <v>633396</v>
      </c>
      <c r="M2572" s="631"/>
      <c r="P2572" s="950" t="str">
        <f>VLOOKUP(J2572,'רשימת רשויות'!A:A,1,0)</f>
        <v>רמת השרון</v>
      </c>
      <c r="Q2572" s="956">
        <f>IFERROR(VLOOKUP(B2572,[2]מעובד!$D:$K,8,0),0)</f>
        <v>0</v>
      </c>
      <c r="R2572" s="956">
        <f>IFERROR(VLOOKUP(B2572,[2]מעובד!$D:$L,9,0),0)</f>
        <v>0</v>
      </c>
    </row>
    <row r="2573" spans="1:18" x14ac:dyDescent="0.2">
      <c r="A2573" s="947" t="s">
        <v>328</v>
      </c>
      <c r="B2573" s="947">
        <v>633438</v>
      </c>
      <c r="C2573" s="947" t="s">
        <v>2189</v>
      </c>
      <c r="D2573" s="947" t="s">
        <v>993</v>
      </c>
      <c r="E2573" s="951">
        <v>221</v>
      </c>
      <c r="F2573" s="951">
        <v>210</v>
      </c>
      <c r="G2573" s="947" t="s">
        <v>159</v>
      </c>
      <c r="H2573" s="951">
        <v>57</v>
      </c>
      <c r="I2573" s="951">
        <v>10</v>
      </c>
      <c r="J2573" s="947" t="s">
        <v>328</v>
      </c>
      <c r="K2573" s="947">
        <v>633438</v>
      </c>
      <c r="M2573" s="631"/>
      <c r="P2573" s="950" t="str">
        <f>VLOOKUP(J2573,'רשימת רשויות'!A:A,1,0)</f>
        <v>נווה מדבר</v>
      </c>
      <c r="Q2573" s="956">
        <f>IFERROR(VLOOKUP(B2573,[2]מעובד!$D:$K,8,0),0)</f>
        <v>165</v>
      </c>
      <c r="R2573" s="956">
        <f>IFERROR(VLOOKUP(B2573,[2]מעובד!$D:$L,9,0),0)</f>
        <v>78</v>
      </c>
    </row>
    <row r="2574" spans="1:18" x14ac:dyDescent="0.2">
      <c r="A2574" s="947" t="s">
        <v>399</v>
      </c>
      <c r="B2574" s="947">
        <v>633461</v>
      </c>
      <c r="C2574" s="947" t="s">
        <v>2189</v>
      </c>
      <c r="D2574" s="947" t="s">
        <v>2486</v>
      </c>
      <c r="E2574" s="951">
        <v>161</v>
      </c>
      <c r="F2574" s="951">
        <v>112</v>
      </c>
      <c r="G2574" s="947" t="s">
        <v>3252</v>
      </c>
      <c r="H2574" s="951">
        <v>0</v>
      </c>
      <c r="I2574" s="951">
        <v>0</v>
      </c>
      <c r="J2574" s="947" t="s">
        <v>399</v>
      </c>
      <c r="K2574" s="947">
        <v>633461</v>
      </c>
      <c r="M2574" s="631"/>
      <c r="P2574" s="950" t="str">
        <f>VLOOKUP(J2574,'רשימת רשויות'!A:A,1,0)</f>
        <v>שדות נגב עזתה</v>
      </c>
      <c r="Q2574" s="956">
        <f>IFERROR(VLOOKUP(B2574,[2]מעובד!$D:$K,8,0),0)</f>
        <v>97</v>
      </c>
      <c r="R2574" s="956">
        <f>IFERROR(VLOOKUP(B2574,[2]מעובד!$D:$L,9,0),0)</f>
        <v>98</v>
      </c>
    </row>
    <row r="2575" spans="1:18" x14ac:dyDescent="0.2">
      <c r="A2575" s="947" t="s">
        <v>335</v>
      </c>
      <c r="B2575" s="947">
        <v>633834</v>
      </c>
      <c r="C2575" s="947" t="s">
        <v>2189</v>
      </c>
      <c r="D2575" s="947" t="s">
        <v>2246</v>
      </c>
      <c r="E2575" s="951">
        <v>124</v>
      </c>
      <c r="F2575" s="951">
        <v>123</v>
      </c>
      <c r="G2575" s="947" t="s">
        <v>3252</v>
      </c>
      <c r="H2575" s="951">
        <v>0</v>
      </c>
      <c r="I2575" s="951">
        <v>0</v>
      </c>
      <c r="J2575" s="947" t="s">
        <v>335</v>
      </c>
      <c r="K2575" s="947">
        <v>633834</v>
      </c>
      <c r="M2575" s="631"/>
      <c r="P2575" s="950" t="str">
        <f>VLOOKUP(J2575,'רשימת רשויות'!A:A,1,0)</f>
        <v>נתיבות</v>
      </c>
      <c r="Q2575" s="956">
        <f>IFERROR(VLOOKUP(B2575,[2]מעובד!$D:$K,8,0),0)</f>
        <v>109</v>
      </c>
      <c r="R2575" s="956">
        <f>IFERROR(VLOOKUP(B2575,[2]מעובד!$D:$L,9,0),0)</f>
        <v>110</v>
      </c>
    </row>
    <row r="2576" spans="1:18" x14ac:dyDescent="0.2">
      <c r="A2576" s="947" t="s">
        <v>270</v>
      </c>
      <c r="B2576" s="947">
        <v>633941</v>
      </c>
      <c r="C2576" s="947" t="s">
        <v>2189</v>
      </c>
      <c r="D2576" s="947" t="s">
        <v>1283</v>
      </c>
      <c r="E2576" s="951">
        <v>56</v>
      </c>
      <c r="F2576" s="951">
        <v>56</v>
      </c>
      <c r="G2576" s="947" t="s">
        <v>3252</v>
      </c>
      <c r="H2576" s="951">
        <v>0</v>
      </c>
      <c r="I2576" s="951">
        <v>0</v>
      </c>
      <c r="J2576" s="947" t="s">
        <v>270</v>
      </c>
      <c r="K2576" s="947">
        <v>633941</v>
      </c>
      <c r="M2576" s="631"/>
      <c r="P2576" s="950" t="str">
        <f>VLOOKUP(J2576,'רשימת רשויות'!A:A,1,0)</f>
        <v>ירושלים</v>
      </c>
      <c r="Q2576" s="956">
        <f>IFERROR(VLOOKUP(B2576,[2]מעובד!$D:$K,8,0),0)</f>
        <v>62</v>
      </c>
      <c r="R2576" s="956">
        <f>IFERROR(VLOOKUP(B2576,[2]מעובד!$D:$L,9,0),0)</f>
        <v>62</v>
      </c>
    </row>
    <row r="2577" spans="1:18" x14ac:dyDescent="0.2">
      <c r="A2577" s="947" t="s">
        <v>370</v>
      </c>
      <c r="B2577" s="947">
        <v>634121</v>
      </c>
      <c r="C2577" s="947" t="s">
        <v>2189</v>
      </c>
      <c r="D2577" s="947" t="s">
        <v>1223</v>
      </c>
      <c r="E2577" s="951">
        <v>55</v>
      </c>
      <c r="F2577" s="951">
        <v>50</v>
      </c>
      <c r="G2577" s="947" t="s">
        <v>159</v>
      </c>
      <c r="H2577" s="951">
        <v>0</v>
      </c>
      <c r="I2577" s="951">
        <v>0</v>
      </c>
      <c r="J2577" s="947" t="s">
        <v>370</v>
      </c>
      <c r="K2577" s="947">
        <v>634121</v>
      </c>
      <c r="M2577" s="631"/>
      <c r="P2577" s="950" t="str">
        <f>VLOOKUP(J2577,'רשימת רשויות'!A:A,1,0)</f>
        <v>קרית ארבע</v>
      </c>
      <c r="Q2577" s="956">
        <f>IFERROR(VLOOKUP(B2577,[2]מעובד!$D:$K,8,0),0)</f>
        <v>58</v>
      </c>
      <c r="R2577" s="956">
        <f>IFERROR(VLOOKUP(B2577,[2]מעובד!$D:$L,9,0),0)</f>
        <v>53</v>
      </c>
    </row>
    <row r="2578" spans="1:18" x14ac:dyDescent="0.2">
      <c r="A2578" s="947" t="s">
        <v>398</v>
      </c>
      <c r="B2578" s="947">
        <v>634246</v>
      </c>
      <c r="C2578" s="947" t="s">
        <v>2189</v>
      </c>
      <c r="D2578" s="947" t="s">
        <v>1224</v>
      </c>
      <c r="E2578" s="951">
        <v>85</v>
      </c>
      <c r="F2578" s="951">
        <v>84</v>
      </c>
      <c r="G2578" s="947" t="s">
        <v>159</v>
      </c>
      <c r="H2578" s="951">
        <v>0</v>
      </c>
      <c r="I2578" s="951">
        <v>0</v>
      </c>
      <c r="J2578" s="947" t="s">
        <v>398</v>
      </c>
      <c r="K2578" s="947">
        <v>634246</v>
      </c>
      <c r="M2578" s="631"/>
      <c r="P2578" s="950" t="str">
        <f>VLOOKUP(J2578,'רשימת רשויות'!A:A,1,0)</f>
        <v>שדות דן</v>
      </c>
      <c r="Q2578" s="956">
        <f>IFERROR(VLOOKUP(B2578,[2]מעובד!$D:$K,8,0),0)</f>
        <v>102</v>
      </c>
      <c r="R2578" s="956">
        <f>IFERROR(VLOOKUP(B2578,[2]מעובד!$D:$L,9,0),0)</f>
        <v>102</v>
      </c>
    </row>
    <row r="2579" spans="1:18" x14ac:dyDescent="0.2">
      <c r="A2579" s="947" t="s">
        <v>270</v>
      </c>
      <c r="B2579" s="947">
        <v>634840</v>
      </c>
      <c r="C2579" s="947" t="s">
        <v>2189</v>
      </c>
      <c r="D2579" s="947" t="s">
        <v>639</v>
      </c>
      <c r="E2579" s="951">
        <v>155</v>
      </c>
      <c r="F2579" s="951">
        <v>40</v>
      </c>
      <c r="G2579" s="947" t="s">
        <v>159</v>
      </c>
      <c r="H2579" s="951">
        <v>0</v>
      </c>
      <c r="I2579" s="951">
        <v>0</v>
      </c>
      <c r="J2579" s="947" t="s">
        <v>270</v>
      </c>
      <c r="K2579" s="947">
        <v>634840</v>
      </c>
      <c r="M2579" s="631"/>
      <c r="P2579" s="950" t="str">
        <f>VLOOKUP(J2579,'רשימת רשויות'!A:A,1,0)</f>
        <v>ירושלים</v>
      </c>
      <c r="Q2579" s="956">
        <f>IFERROR(VLOOKUP(B2579,[2]מעובד!$D:$K,8,0),0)</f>
        <v>156</v>
      </c>
      <c r="R2579" s="956">
        <f>IFERROR(VLOOKUP(B2579,[2]מעובד!$D:$L,9,0),0)</f>
        <v>44</v>
      </c>
    </row>
    <row r="2580" spans="1:18" x14ac:dyDescent="0.2">
      <c r="A2580" s="947" t="s">
        <v>270</v>
      </c>
      <c r="B2580" s="947">
        <v>634857</v>
      </c>
      <c r="C2580" s="947" t="s">
        <v>2189</v>
      </c>
      <c r="D2580" s="947" t="s">
        <v>1242</v>
      </c>
      <c r="E2580" s="951">
        <v>265</v>
      </c>
      <c r="F2580" s="951">
        <v>48</v>
      </c>
      <c r="G2580" s="947" t="s">
        <v>159</v>
      </c>
      <c r="H2580" s="951">
        <v>0</v>
      </c>
      <c r="I2580" s="951">
        <v>0</v>
      </c>
      <c r="J2580" s="947" t="s">
        <v>270</v>
      </c>
      <c r="K2580" s="947">
        <v>634857</v>
      </c>
      <c r="M2580" s="631"/>
      <c r="P2580" s="950" t="str">
        <f>VLOOKUP(J2580,'רשימת רשויות'!A:A,1,0)</f>
        <v>ירושלים</v>
      </c>
      <c r="Q2580" s="956">
        <f>IFERROR(VLOOKUP(B2580,[2]מעובד!$D:$K,8,0),0)</f>
        <v>211</v>
      </c>
      <c r="R2580" s="956">
        <f>IFERROR(VLOOKUP(B2580,[2]מעובד!$D:$L,9,0),0)</f>
        <v>50</v>
      </c>
    </row>
    <row r="2581" spans="1:18" x14ac:dyDescent="0.2">
      <c r="A2581" s="947" t="s">
        <v>373</v>
      </c>
      <c r="B2581" s="947">
        <v>634865</v>
      </c>
      <c r="C2581" s="947" t="s">
        <v>2189</v>
      </c>
      <c r="D2581" s="947" t="s">
        <v>1243</v>
      </c>
      <c r="E2581" s="951">
        <v>140</v>
      </c>
      <c r="F2581" s="951">
        <v>139</v>
      </c>
      <c r="G2581" s="947" t="s">
        <v>159</v>
      </c>
      <c r="H2581" s="951">
        <v>0</v>
      </c>
      <c r="I2581" s="951">
        <v>0</v>
      </c>
      <c r="J2581" s="947" t="s">
        <v>373</v>
      </c>
      <c r="K2581" s="947">
        <v>634865</v>
      </c>
      <c r="M2581" s="631"/>
      <c r="P2581" s="950" t="str">
        <f>VLOOKUP(J2581,'רשימת רשויות'!A:A,1,0)</f>
        <v>קרית גת</v>
      </c>
      <c r="Q2581" s="956">
        <f>IFERROR(VLOOKUP(B2581,[2]מעובד!$D:$K,8,0),0)</f>
        <v>127</v>
      </c>
      <c r="R2581" s="956">
        <f>IFERROR(VLOOKUP(B2581,[2]מעובד!$D:$L,9,0),0)</f>
        <v>127</v>
      </c>
    </row>
    <row r="2582" spans="1:18" x14ac:dyDescent="0.2">
      <c r="A2582" s="947" t="s">
        <v>402</v>
      </c>
      <c r="B2582" s="947">
        <v>636902</v>
      </c>
      <c r="C2582" s="947" t="s">
        <v>2189</v>
      </c>
      <c r="D2582" s="947" t="s">
        <v>2691</v>
      </c>
      <c r="E2582" s="951">
        <v>104</v>
      </c>
      <c r="F2582" s="951">
        <v>84</v>
      </c>
      <c r="G2582" s="947" t="s">
        <v>159</v>
      </c>
      <c r="H2582" s="951">
        <v>0</v>
      </c>
      <c r="I2582" s="951">
        <v>0</v>
      </c>
      <c r="J2582" s="947" t="s">
        <v>402</v>
      </c>
      <c r="K2582" s="947">
        <v>636902</v>
      </c>
      <c r="M2582" s="631"/>
      <c r="P2582" s="950" t="str">
        <f>VLOOKUP(J2582,'רשימת רשויות'!A:A,1,0)</f>
        <v>שומרון</v>
      </c>
      <c r="Q2582" s="956">
        <f>IFERROR(VLOOKUP(B2582,[2]מעובד!$D:$K,8,0),0)</f>
        <v>0</v>
      </c>
      <c r="R2582" s="956">
        <f>IFERROR(VLOOKUP(B2582,[2]מעובד!$D:$L,9,0),0)</f>
        <v>0</v>
      </c>
    </row>
    <row r="2583" spans="1:18" x14ac:dyDescent="0.2">
      <c r="A2583" s="947" t="s">
        <v>402</v>
      </c>
      <c r="B2583" s="947">
        <v>637231</v>
      </c>
      <c r="C2583" s="947" t="s">
        <v>2189</v>
      </c>
      <c r="D2583" s="947" t="s">
        <v>3146</v>
      </c>
      <c r="E2583" s="951">
        <v>19</v>
      </c>
      <c r="F2583" s="951">
        <v>0</v>
      </c>
      <c r="G2583" s="947" t="s">
        <v>3252</v>
      </c>
      <c r="H2583" s="951">
        <v>0</v>
      </c>
      <c r="I2583" s="951">
        <v>0</v>
      </c>
      <c r="J2583" s="947" t="s">
        <v>402</v>
      </c>
      <c r="K2583" s="947">
        <v>637231</v>
      </c>
      <c r="M2583" s="631"/>
      <c r="P2583" s="950" t="str">
        <f>VLOOKUP(J2583,'רשימת רשויות'!A:A,1,0)</f>
        <v>שומרון</v>
      </c>
      <c r="Q2583" s="956">
        <f>IFERROR(VLOOKUP(B2583,[2]מעובד!$D:$K,8,0),0)</f>
        <v>0</v>
      </c>
      <c r="R2583" s="956">
        <f>IFERROR(VLOOKUP(B2583,[2]מעובד!$D:$L,9,0),0)</f>
        <v>0</v>
      </c>
    </row>
    <row r="2584" spans="1:18" x14ac:dyDescent="0.2">
      <c r="A2584" s="947" t="s">
        <v>187</v>
      </c>
      <c r="B2584" s="947">
        <v>638304</v>
      </c>
      <c r="C2584" s="947" t="s">
        <v>2189</v>
      </c>
      <c r="D2584" s="947" t="s">
        <v>863</v>
      </c>
      <c r="E2584" s="951">
        <v>262</v>
      </c>
      <c r="F2584" s="951">
        <v>235</v>
      </c>
      <c r="G2584" s="947" t="s">
        <v>159</v>
      </c>
      <c r="H2584" s="951">
        <v>0</v>
      </c>
      <c r="I2584" s="951">
        <v>0</v>
      </c>
      <c r="J2584" s="947" t="s">
        <v>187</v>
      </c>
      <c r="K2584" s="947">
        <v>638304</v>
      </c>
      <c r="M2584" s="631"/>
      <c r="P2584" s="950" t="str">
        <f>VLOOKUP(J2584,'רשימת רשויות'!A:A,1,0)</f>
        <v>באר שבע</v>
      </c>
      <c r="Q2584" s="956">
        <f>IFERROR(VLOOKUP(B2584,[2]מעובד!$D:$K,8,0),0)</f>
        <v>178</v>
      </c>
      <c r="R2584" s="956">
        <f>IFERROR(VLOOKUP(B2584,[2]מעובד!$D:$L,9,0),0)</f>
        <v>104</v>
      </c>
    </row>
    <row r="2585" spans="1:18" x14ac:dyDescent="0.2">
      <c r="A2585" s="947" t="s">
        <v>253</v>
      </c>
      <c r="B2585" s="947">
        <v>639617</v>
      </c>
      <c r="C2585" s="947" t="s">
        <v>2189</v>
      </c>
      <c r="D2585" s="947" t="s">
        <v>2188</v>
      </c>
      <c r="E2585" s="951">
        <v>177</v>
      </c>
      <c r="F2585" s="951">
        <v>99</v>
      </c>
      <c r="G2585" s="947" t="s">
        <v>3252</v>
      </c>
      <c r="H2585" s="951">
        <v>0</v>
      </c>
      <c r="I2585" s="951">
        <v>0</v>
      </c>
      <c r="J2585" s="947" t="s">
        <v>253</v>
      </c>
      <c r="K2585" s="947">
        <v>639617</v>
      </c>
      <c r="M2585" s="631"/>
      <c r="P2585" s="950" t="str">
        <f>VLOOKUP(J2585,'רשימת רשויות'!A:A,1,0)</f>
        <v>חריש</v>
      </c>
      <c r="Q2585" s="956">
        <f>IFERROR(VLOOKUP(B2585,[2]מעובד!$D:$K,8,0),0)</f>
        <v>158</v>
      </c>
      <c r="R2585" s="956">
        <f>IFERROR(VLOOKUP(B2585,[2]מעובד!$D:$L,9,0),0)</f>
        <v>161</v>
      </c>
    </row>
    <row r="2586" spans="1:18" x14ac:dyDescent="0.2">
      <c r="A2586" s="947" t="s">
        <v>197</v>
      </c>
      <c r="B2586" s="947">
        <v>639930</v>
      </c>
      <c r="C2586" s="947" t="s">
        <v>2189</v>
      </c>
      <c r="D2586" s="947" t="s">
        <v>2758</v>
      </c>
      <c r="E2586" s="951">
        <v>282</v>
      </c>
      <c r="F2586" s="951">
        <v>258</v>
      </c>
      <c r="G2586" s="947" t="s">
        <v>3252</v>
      </c>
      <c r="H2586" s="951">
        <v>206</v>
      </c>
      <c r="I2586" s="951">
        <v>24</v>
      </c>
      <c r="J2586" s="947" t="s">
        <v>197</v>
      </c>
      <c r="K2586" s="947">
        <v>639930</v>
      </c>
      <c r="M2586" s="631"/>
      <c r="P2586" s="950" t="str">
        <f>VLOOKUP(J2586,'רשימת רשויות'!A:A,1,0)</f>
        <v>ביתר עילית</v>
      </c>
      <c r="Q2586" s="956">
        <f>IFERROR(VLOOKUP(B2586,[2]מעובד!$D:$K,8,0),0)</f>
        <v>0</v>
      </c>
      <c r="R2586" s="956">
        <f>IFERROR(VLOOKUP(B2586,[2]מעובד!$D:$L,9,0),0)</f>
        <v>0</v>
      </c>
    </row>
    <row r="2587" spans="1:18" x14ac:dyDescent="0.2">
      <c r="A2587" s="947" t="s">
        <v>335</v>
      </c>
      <c r="B2587" s="947">
        <v>640300</v>
      </c>
      <c r="C2587" s="947" t="s">
        <v>2189</v>
      </c>
      <c r="D2587" s="947" t="s">
        <v>2027</v>
      </c>
      <c r="E2587" s="951">
        <v>91</v>
      </c>
      <c r="F2587" s="951">
        <v>91</v>
      </c>
      <c r="G2587" s="947" t="s">
        <v>3252</v>
      </c>
      <c r="H2587" s="951">
        <v>0</v>
      </c>
      <c r="I2587" s="951">
        <v>0</v>
      </c>
      <c r="J2587" s="947" t="s">
        <v>335</v>
      </c>
      <c r="K2587" s="947">
        <v>640300</v>
      </c>
      <c r="M2587" s="631"/>
      <c r="P2587" s="950" t="str">
        <f>VLOOKUP(J2587,'רשימת רשויות'!A:A,1,0)</f>
        <v>נתיבות</v>
      </c>
      <c r="Q2587" s="956">
        <f>IFERROR(VLOOKUP(B2587,[2]מעובד!$D:$K,8,0),0)</f>
        <v>0</v>
      </c>
      <c r="R2587" s="956">
        <f>IFERROR(VLOOKUP(B2587,[2]מעובד!$D:$L,9,0),0)</f>
        <v>0</v>
      </c>
    </row>
    <row r="2588" spans="1:18" x14ac:dyDescent="0.2">
      <c r="A2588" s="947" t="s">
        <v>335</v>
      </c>
      <c r="B2588" s="947">
        <v>640342</v>
      </c>
      <c r="C2588" s="947" t="s">
        <v>2189</v>
      </c>
      <c r="D2588" s="947" t="s">
        <v>2028</v>
      </c>
      <c r="E2588" s="951">
        <v>126</v>
      </c>
      <c r="F2588" s="951">
        <v>126</v>
      </c>
      <c r="G2588" s="947" t="s">
        <v>3252</v>
      </c>
      <c r="H2588" s="951">
        <v>0</v>
      </c>
      <c r="I2588" s="951">
        <v>0</v>
      </c>
      <c r="J2588" s="947" t="s">
        <v>335</v>
      </c>
      <c r="K2588" s="947">
        <v>640342</v>
      </c>
      <c r="M2588" s="631"/>
      <c r="P2588" s="950" t="str">
        <f>VLOOKUP(J2588,'רשימת רשויות'!A:A,1,0)</f>
        <v>נתיבות</v>
      </c>
      <c r="Q2588" s="956">
        <f>IFERROR(VLOOKUP(B2588,[2]מעובד!$D:$K,8,0),0)</f>
        <v>0</v>
      </c>
      <c r="R2588" s="956">
        <f>IFERROR(VLOOKUP(B2588,[2]מעובד!$D:$L,9,0),0)</f>
        <v>0</v>
      </c>
    </row>
    <row r="2589" spans="1:18" x14ac:dyDescent="0.2">
      <c r="A2589" s="947" t="s">
        <v>181</v>
      </c>
      <c r="B2589" s="947">
        <v>641449</v>
      </c>
      <c r="C2589" s="947" t="s">
        <v>2189</v>
      </c>
      <c r="D2589" s="947" t="s">
        <v>969</v>
      </c>
      <c r="E2589" s="951">
        <v>281</v>
      </c>
      <c r="F2589" s="951">
        <v>192</v>
      </c>
      <c r="G2589" s="947" t="s">
        <v>159</v>
      </c>
      <c r="H2589" s="951">
        <v>0</v>
      </c>
      <c r="I2589" s="951">
        <v>0</v>
      </c>
      <c r="J2589" s="947" t="s">
        <v>181</v>
      </c>
      <c r="K2589" s="947">
        <v>641449</v>
      </c>
      <c r="M2589" s="631"/>
      <c r="P2589" s="950" t="str">
        <f>VLOOKUP(J2589,'רשימת רשויות'!A:A,1,0)</f>
        <v>אשדוד</v>
      </c>
      <c r="Q2589" s="956">
        <f>IFERROR(VLOOKUP(B2589,[2]מעובד!$D:$K,8,0),0)</f>
        <v>273</v>
      </c>
      <c r="R2589" s="956">
        <f>IFERROR(VLOOKUP(B2589,[2]מעובד!$D:$L,9,0),0)</f>
        <v>97</v>
      </c>
    </row>
    <row r="2590" spans="1:18" x14ac:dyDescent="0.2">
      <c r="A2590" s="947" t="s">
        <v>196</v>
      </c>
      <c r="B2590" s="947">
        <v>641639</v>
      </c>
      <c r="C2590" s="947" t="s">
        <v>2189</v>
      </c>
      <c r="D2590" s="947" t="s">
        <v>1043</v>
      </c>
      <c r="E2590" s="951">
        <v>131</v>
      </c>
      <c r="F2590" s="951">
        <v>111</v>
      </c>
      <c r="G2590" s="947" t="s">
        <v>159</v>
      </c>
      <c r="H2590" s="951">
        <v>56</v>
      </c>
      <c r="I2590" s="951">
        <v>9</v>
      </c>
      <c r="J2590" s="947" t="s">
        <v>196</v>
      </c>
      <c r="K2590" s="947">
        <v>641639</v>
      </c>
      <c r="M2590" s="631"/>
      <c r="P2590" s="950" t="str">
        <f>VLOOKUP(J2590,'רשימת רשויות'!A:A,1,0)</f>
        <v>בית שמש</v>
      </c>
      <c r="Q2590" s="956">
        <f>IFERROR(VLOOKUP(B2590,[2]מעובד!$D:$K,8,0),0)</f>
        <v>109</v>
      </c>
      <c r="R2590" s="956">
        <f>IFERROR(VLOOKUP(B2590,[2]מעובד!$D:$L,9,0),0)</f>
        <v>91</v>
      </c>
    </row>
    <row r="2591" spans="1:18" x14ac:dyDescent="0.2">
      <c r="A2591" s="947" t="s">
        <v>293</v>
      </c>
      <c r="B2591" s="947">
        <v>642124</v>
      </c>
      <c r="C2591" s="947" t="s">
        <v>2189</v>
      </c>
      <c r="D2591" s="947" t="s">
        <v>2043</v>
      </c>
      <c r="E2591" s="951">
        <v>537</v>
      </c>
      <c r="F2591" s="951">
        <v>536</v>
      </c>
      <c r="G2591" s="947" t="s">
        <v>3252</v>
      </c>
      <c r="H2591" s="951">
        <v>0</v>
      </c>
      <c r="I2591" s="951">
        <v>0</v>
      </c>
      <c r="J2591" s="947" t="s">
        <v>293</v>
      </c>
      <c r="K2591" s="947">
        <v>642124</v>
      </c>
      <c r="M2591" s="631"/>
      <c r="P2591" s="950" t="str">
        <f>VLOOKUP(J2591,'רשימת רשויות'!A:A,1,0)</f>
        <v>לוד</v>
      </c>
      <c r="Q2591" s="956">
        <f>IFERROR(VLOOKUP(B2591,[2]מעובד!$D:$K,8,0),0)</f>
        <v>317</v>
      </c>
      <c r="R2591" s="956">
        <f>IFERROR(VLOOKUP(B2591,[2]מעובד!$D:$L,9,0),0)</f>
        <v>319</v>
      </c>
    </row>
    <row r="2592" spans="1:18" x14ac:dyDescent="0.2">
      <c r="A2592" s="947" t="s">
        <v>306</v>
      </c>
      <c r="B2592" s="947">
        <v>642355</v>
      </c>
      <c r="C2592" s="947" t="s">
        <v>2189</v>
      </c>
      <c r="D2592" s="947" t="s">
        <v>2730</v>
      </c>
      <c r="E2592" s="951">
        <v>96</v>
      </c>
      <c r="F2592" s="951">
        <v>77</v>
      </c>
      <c r="G2592" s="947" t="s">
        <v>3252</v>
      </c>
      <c r="H2592" s="951">
        <v>0</v>
      </c>
      <c r="I2592" s="951">
        <v>0</v>
      </c>
      <c r="J2592" s="947" t="s">
        <v>306</v>
      </c>
      <c r="K2592" s="947">
        <v>642355</v>
      </c>
      <c r="M2592" s="631"/>
      <c r="P2592" s="950" t="str">
        <f>VLOOKUP(J2592,'רשימת רשויות'!A:A,1,0)</f>
        <v>מודיעין עילית</v>
      </c>
      <c r="Q2592" s="956">
        <f>IFERROR(VLOOKUP(B2592,[2]מעובד!$D:$K,8,0),0)</f>
        <v>0</v>
      </c>
      <c r="R2592" s="956">
        <f>IFERROR(VLOOKUP(B2592,[2]מעובד!$D:$L,9,0),0)</f>
        <v>0</v>
      </c>
    </row>
    <row r="2593" spans="1:18" x14ac:dyDescent="0.2">
      <c r="A2593" s="947" t="s">
        <v>329</v>
      </c>
      <c r="B2593" s="947">
        <v>642462</v>
      </c>
      <c r="C2593" s="947" t="s">
        <v>2189</v>
      </c>
      <c r="D2593" s="947" t="s">
        <v>2259</v>
      </c>
      <c r="E2593" s="951">
        <v>111</v>
      </c>
      <c r="F2593" s="951">
        <v>99</v>
      </c>
      <c r="G2593" s="947" t="s">
        <v>3252</v>
      </c>
      <c r="H2593" s="951">
        <v>0</v>
      </c>
      <c r="I2593" s="951">
        <v>0</v>
      </c>
      <c r="J2593" s="947" t="s">
        <v>329</v>
      </c>
      <c r="K2593" s="947">
        <v>642462</v>
      </c>
      <c r="M2593" s="631"/>
      <c r="P2593" s="950" t="str">
        <f>VLOOKUP(J2593,'רשימת רשויות'!A:A,1,0)</f>
        <v>נוף הגליל</v>
      </c>
      <c r="Q2593" s="956">
        <f>IFERROR(VLOOKUP(B2593,[2]מעובד!$D:$K,8,0),0)</f>
        <v>71</v>
      </c>
      <c r="R2593" s="956">
        <f>IFERROR(VLOOKUP(B2593,[2]מעובד!$D:$L,9,0),0)</f>
        <v>52</v>
      </c>
    </row>
    <row r="2594" spans="1:18" x14ac:dyDescent="0.2">
      <c r="A2594" s="947" t="s">
        <v>270</v>
      </c>
      <c r="B2594" s="947">
        <v>643452</v>
      </c>
      <c r="C2594" s="947" t="s">
        <v>2189</v>
      </c>
      <c r="D2594" s="947" t="s">
        <v>2098</v>
      </c>
      <c r="E2594" s="951">
        <v>98</v>
      </c>
      <c r="F2594" s="951">
        <v>98</v>
      </c>
      <c r="G2594" s="947" t="s">
        <v>3252</v>
      </c>
      <c r="H2594" s="951">
        <v>0</v>
      </c>
      <c r="I2594" s="951">
        <v>0</v>
      </c>
      <c r="J2594" s="947" t="s">
        <v>270</v>
      </c>
      <c r="K2594" s="947">
        <v>643452</v>
      </c>
      <c r="M2594" s="631"/>
      <c r="P2594" s="950" t="str">
        <f>VLOOKUP(J2594,'רשימת רשויות'!A:A,1,0)</f>
        <v>ירושלים</v>
      </c>
      <c r="Q2594" s="956">
        <f>IFERROR(VLOOKUP(B2594,[2]מעובד!$D:$K,8,0),0)</f>
        <v>82</v>
      </c>
      <c r="R2594" s="956">
        <f>IFERROR(VLOOKUP(B2594,[2]מעובד!$D:$L,9,0),0)</f>
        <v>82</v>
      </c>
    </row>
    <row r="2595" spans="1:18" x14ac:dyDescent="0.2">
      <c r="A2595" s="947" t="s">
        <v>373</v>
      </c>
      <c r="B2595" s="947">
        <v>643668</v>
      </c>
      <c r="C2595" s="947" t="s">
        <v>2189</v>
      </c>
      <c r="D2595" s="947" t="s">
        <v>2487</v>
      </c>
      <c r="E2595" s="951">
        <v>67</v>
      </c>
      <c r="F2595" s="951">
        <v>67</v>
      </c>
      <c r="G2595" s="947" t="s">
        <v>3252</v>
      </c>
      <c r="H2595" s="951">
        <v>0</v>
      </c>
      <c r="I2595" s="951">
        <v>0</v>
      </c>
      <c r="J2595" s="947" t="s">
        <v>373</v>
      </c>
      <c r="K2595" s="947">
        <v>643668</v>
      </c>
      <c r="M2595" s="631"/>
      <c r="P2595" s="950" t="str">
        <f>VLOOKUP(J2595,'רשימת רשויות'!A:A,1,0)</f>
        <v>קרית גת</v>
      </c>
      <c r="Q2595" s="956">
        <f>IFERROR(VLOOKUP(B2595,[2]מעובד!$D:$K,8,0),0)</f>
        <v>0</v>
      </c>
      <c r="R2595" s="956">
        <f>IFERROR(VLOOKUP(B2595,[2]מעובד!$D:$L,9,0),0)</f>
        <v>0</v>
      </c>
    </row>
    <row r="2596" spans="1:18" x14ac:dyDescent="0.2">
      <c r="A2596" s="947" t="s">
        <v>270</v>
      </c>
      <c r="B2596" s="947">
        <v>643734</v>
      </c>
      <c r="C2596" s="947" t="s">
        <v>2189</v>
      </c>
      <c r="D2596" s="947" t="s">
        <v>2247</v>
      </c>
      <c r="E2596" s="951">
        <v>76</v>
      </c>
      <c r="F2596" s="951">
        <v>74</v>
      </c>
      <c r="G2596" s="947" t="s">
        <v>3252</v>
      </c>
      <c r="H2596" s="951">
        <v>0</v>
      </c>
      <c r="I2596" s="951">
        <v>0</v>
      </c>
      <c r="J2596" s="947" t="s">
        <v>270</v>
      </c>
      <c r="K2596" s="947">
        <v>643734</v>
      </c>
      <c r="M2596" s="631"/>
      <c r="P2596" s="950" t="str">
        <f>VLOOKUP(J2596,'רשימת רשויות'!A:A,1,0)</f>
        <v>ירושלים</v>
      </c>
      <c r="Q2596" s="956">
        <f>IFERROR(VLOOKUP(B2596,[2]מעובד!$D:$K,8,0),0)</f>
        <v>0</v>
      </c>
      <c r="R2596" s="956">
        <f>IFERROR(VLOOKUP(B2596,[2]מעובד!$D:$L,9,0),0)</f>
        <v>0</v>
      </c>
    </row>
    <row r="2597" spans="1:18" x14ac:dyDescent="0.2">
      <c r="A2597" s="947" t="s">
        <v>373</v>
      </c>
      <c r="B2597" s="947">
        <v>644609</v>
      </c>
      <c r="C2597" s="947" t="s">
        <v>2189</v>
      </c>
      <c r="D2597" s="947" t="s">
        <v>2488</v>
      </c>
      <c r="E2597" s="951">
        <v>248</v>
      </c>
      <c r="F2597" s="951">
        <v>237</v>
      </c>
      <c r="G2597" s="947" t="s">
        <v>159</v>
      </c>
      <c r="H2597" s="951">
        <v>83</v>
      </c>
      <c r="I2597" s="951">
        <v>11</v>
      </c>
      <c r="J2597" s="947" t="s">
        <v>373</v>
      </c>
      <c r="K2597" s="947">
        <v>644609</v>
      </c>
      <c r="M2597" s="631"/>
      <c r="P2597" s="950" t="str">
        <f>VLOOKUP(J2597,'רשימת רשויות'!A:A,1,0)</f>
        <v>קרית גת</v>
      </c>
      <c r="Q2597" s="956">
        <f>IFERROR(VLOOKUP(B2597,[2]מעובד!$D:$K,8,0),0)</f>
        <v>106</v>
      </c>
      <c r="R2597" s="956">
        <f>IFERROR(VLOOKUP(B2597,[2]מעובד!$D:$L,9,0),0)</f>
        <v>106</v>
      </c>
    </row>
    <row r="2598" spans="1:18" x14ac:dyDescent="0.2">
      <c r="A2598" s="947" t="s">
        <v>400</v>
      </c>
      <c r="B2598" s="947">
        <v>645218</v>
      </c>
      <c r="C2598" s="947" t="s">
        <v>2189</v>
      </c>
      <c r="D2598" s="947" t="s">
        <v>2248</v>
      </c>
      <c r="E2598" s="951">
        <v>211</v>
      </c>
      <c r="F2598" s="951">
        <v>201</v>
      </c>
      <c r="G2598" s="947" t="s">
        <v>159</v>
      </c>
      <c r="H2598" s="951">
        <v>77</v>
      </c>
      <c r="I2598" s="951">
        <v>8</v>
      </c>
      <c r="J2598" s="947" t="s">
        <v>400</v>
      </c>
      <c r="K2598" s="947">
        <v>645218</v>
      </c>
      <c r="M2598" s="631"/>
      <c r="P2598" s="950" t="str">
        <f>VLOOKUP(J2598,'רשימת רשויות'!A:A,1,0)</f>
        <v>שדרות</v>
      </c>
      <c r="Q2598" s="956">
        <f>IFERROR(VLOOKUP(B2598,[2]מעובד!$D:$K,8,0),0)</f>
        <v>141</v>
      </c>
      <c r="R2598" s="956">
        <f>IFERROR(VLOOKUP(B2598,[2]מעובד!$D:$L,9,0),0)</f>
        <v>141</v>
      </c>
    </row>
    <row r="2599" spans="1:18" x14ac:dyDescent="0.2">
      <c r="A2599" s="947" t="s">
        <v>270</v>
      </c>
      <c r="B2599" s="947">
        <v>645341</v>
      </c>
      <c r="C2599" s="947" t="s">
        <v>2189</v>
      </c>
      <c r="D2599" s="947" t="s">
        <v>2489</v>
      </c>
      <c r="E2599" s="951">
        <v>60</v>
      </c>
      <c r="F2599" s="951">
        <v>60</v>
      </c>
      <c r="G2599" s="947" t="s">
        <v>3252</v>
      </c>
      <c r="H2599" s="951">
        <v>0</v>
      </c>
      <c r="I2599" s="951">
        <v>0</v>
      </c>
      <c r="J2599" s="947" t="s">
        <v>270</v>
      </c>
      <c r="K2599" s="947">
        <v>645341</v>
      </c>
      <c r="M2599" s="631"/>
      <c r="P2599" s="950" t="str">
        <f>VLOOKUP(J2599,'רשימת רשויות'!A:A,1,0)</f>
        <v>ירושלים</v>
      </c>
      <c r="Q2599" s="956">
        <f>IFERROR(VLOOKUP(B2599,[2]מעובד!$D:$K,8,0),0)</f>
        <v>0</v>
      </c>
      <c r="R2599" s="956">
        <f>IFERROR(VLOOKUP(B2599,[2]מעובד!$D:$L,9,0),0)</f>
        <v>0</v>
      </c>
    </row>
    <row r="2600" spans="1:18" x14ac:dyDescent="0.2">
      <c r="A2600" s="947" t="s">
        <v>406</v>
      </c>
      <c r="B2600" s="947">
        <v>645408</v>
      </c>
      <c r="C2600" s="947" t="s">
        <v>2189</v>
      </c>
      <c r="D2600" s="947" t="s">
        <v>2490</v>
      </c>
      <c r="E2600" s="951">
        <v>232</v>
      </c>
      <c r="F2600" s="951">
        <v>207</v>
      </c>
      <c r="G2600" s="947" t="s">
        <v>159</v>
      </c>
      <c r="H2600" s="951">
        <v>0</v>
      </c>
      <c r="I2600" s="951">
        <v>0</v>
      </c>
      <c r="J2600" s="947" t="s">
        <v>406</v>
      </c>
      <c r="K2600" s="947">
        <v>645408</v>
      </c>
      <c r="M2600" s="631"/>
      <c r="P2600" s="950" t="str">
        <f>VLOOKUP(J2600,'רשימת רשויות'!A:A,1,0)</f>
        <v>שפיר</v>
      </c>
      <c r="Q2600" s="956">
        <f>IFERROR(VLOOKUP(B2600,[2]מעובד!$D:$K,8,0),0)</f>
        <v>177</v>
      </c>
      <c r="R2600" s="956">
        <f>IFERROR(VLOOKUP(B2600,[2]מעובד!$D:$L,9,0),0)</f>
        <v>41</v>
      </c>
    </row>
    <row r="2601" spans="1:18" x14ac:dyDescent="0.2">
      <c r="A2601" s="947" t="s">
        <v>164</v>
      </c>
      <c r="B2601" s="947">
        <v>645416</v>
      </c>
      <c r="C2601" s="947" t="s">
        <v>2189</v>
      </c>
      <c r="D2601" s="947" t="s">
        <v>859</v>
      </c>
      <c r="E2601" s="951">
        <v>280</v>
      </c>
      <c r="F2601" s="951">
        <v>271</v>
      </c>
      <c r="G2601" s="947" t="s">
        <v>159</v>
      </c>
      <c r="H2601" s="951">
        <v>0</v>
      </c>
      <c r="I2601" s="951">
        <v>0</v>
      </c>
      <c r="J2601" s="947" t="s">
        <v>164</v>
      </c>
      <c r="K2601" s="947">
        <v>645416</v>
      </c>
      <c r="M2601" s="631"/>
      <c r="P2601" s="950" t="str">
        <f>VLOOKUP(J2601,'רשימת רשויות'!A:A,1,0)</f>
        <v>אופקים</v>
      </c>
      <c r="Q2601" s="956">
        <f>IFERROR(VLOOKUP(B2601,[2]מעובד!$D:$K,8,0),0)</f>
        <v>170</v>
      </c>
      <c r="R2601" s="956">
        <f>IFERROR(VLOOKUP(B2601,[2]מעובד!$D:$L,9,0),0)</f>
        <v>115</v>
      </c>
    </row>
    <row r="2602" spans="1:18" x14ac:dyDescent="0.2">
      <c r="A2602" s="947" t="s">
        <v>335</v>
      </c>
      <c r="B2602" s="947">
        <v>645804</v>
      </c>
      <c r="C2602" s="947" t="s">
        <v>2189</v>
      </c>
      <c r="D2602" s="947" t="s">
        <v>2721</v>
      </c>
      <c r="E2602" s="951">
        <v>187</v>
      </c>
      <c r="F2602" s="951">
        <v>142</v>
      </c>
      <c r="G2602" s="947" t="s">
        <v>159</v>
      </c>
      <c r="H2602" s="951">
        <v>0</v>
      </c>
      <c r="I2602" s="951">
        <v>0</v>
      </c>
      <c r="J2602" s="947" t="s">
        <v>335</v>
      </c>
      <c r="K2602" s="947">
        <v>645804</v>
      </c>
      <c r="M2602" s="631"/>
      <c r="P2602" s="950" t="str">
        <f>VLOOKUP(J2602,'רשימת רשויות'!A:A,1,0)</f>
        <v>נתיבות</v>
      </c>
      <c r="Q2602" s="956">
        <f>IFERROR(VLOOKUP(B2602,[2]מעובד!$D:$K,8,0),0)</f>
        <v>219</v>
      </c>
      <c r="R2602" s="956">
        <f>IFERROR(VLOOKUP(B2602,[2]מעובד!$D:$L,9,0),0)</f>
        <v>219</v>
      </c>
    </row>
    <row r="2603" spans="1:18" x14ac:dyDescent="0.2">
      <c r="A2603" s="947" t="s">
        <v>225</v>
      </c>
      <c r="B2603" s="947">
        <v>645820</v>
      </c>
      <c r="C2603" s="947" t="s">
        <v>2189</v>
      </c>
      <c r="D2603" s="947" t="s">
        <v>2249</v>
      </c>
      <c r="E2603" s="951">
        <v>204</v>
      </c>
      <c r="F2603" s="951">
        <v>145</v>
      </c>
      <c r="G2603" s="947" t="s">
        <v>159</v>
      </c>
      <c r="H2603" s="951">
        <v>0</v>
      </c>
      <c r="I2603" s="951">
        <v>0</v>
      </c>
      <c r="J2603" s="947" t="s">
        <v>225</v>
      </c>
      <c r="K2603" s="947">
        <v>645820</v>
      </c>
      <c r="M2603" s="631"/>
      <c r="P2603" s="950" t="str">
        <f>VLOOKUP(J2603,'רשימת רשויות'!A:A,1,0)</f>
        <v>דימונה</v>
      </c>
      <c r="Q2603" s="956">
        <f>IFERROR(VLOOKUP(B2603,[2]מעובד!$D:$K,8,0),0)</f>
        <v>167</v>
      </c>
      <c r="R2603" s="956">
        <f>IFERROR(VLOOKUP(B2603,[2]מעובד!$D:$L,9,0),0)</f>
        <v>79</v>
      </c>
    </row>
    <row r="2604" spans="1:18" x14ac:dyDescent="0.2">
      <c r="A2604" s="947" t="s">
        <v>187</v>
      </c>
      <c r="B2604" s="947">
        <v>645853</v>
      </c>
      <c r="C2604" s="947" t="s">
        <v>2189</v>
      </c>
      <c r="D2604" s="947" t="s">
        <v>2491</v>
      </c>
      <c r="E2604" s="951">
        <v>327</v>
      </c>
      <c r="F2604" s="951">
        <v>150</v>
      </c>
      <c r="G2604" s="947" t="s">
        <v>159</v>
      </c>
      <c r="H2604" s="951">
        <v>0</v>
      </c>
      <c r="I2604" s="951">
        <v>0</v>
      </c>
      <c r="J2604" s="947" t="s">
        <v>187</v>
      </c>
      <c r="K2604" s="947">
        <v>645853</v>
      </c>
      <c r="M2604" s="631"/>
      <c r="P2604" s="950" t="str">
        <f>VLOOKUP(J2604,'רשימת רשויות'!A:A,1,0)</f>
        <v>באר שבע</v>
      </c>
      <c r="Q2604" s="956">
        <f>IFERROR(VLOOKUP(B2604,[2]מעובד!$D:$K,8,0),0)</f>
        <v>259</v>
      </c>
      <c r="R2604" s="956">
        <f>IFERROR(VLOOKUP(B2604,[2]מעובד!$D:$L,9,0),0)</f>
        <v>144</v>
      </c>
    </row>
    <row r="2605" spans="1:18" x14ac:dyDescent="0.2">
      <c r="A2605" s="947" t="s">
        <v>396</v>
      </c>
      <c r="B2605" s="947">
        <v>645903</v>
      </c>
      <c r="C2605" s="947" t="s">
        <v>2189</v>
      </c>
      <c r="D2605" s="947" t="s">
        <v>2693</v>
      </c>
      <c r="E2605" s="951">
        <v>84</v>
      </c>
      <c r="F2605" s="951">
        <v>0</v>
      </c>
      <c r="G2605" s="947" t="s">
        <v>159</v>
      </c>
      <c r="H2605" s="951">
        <v>0</v>
      </c>
      <c r="I2605" s="951">
        <v>0</v>
      </c>
      <c r="J2605" s="947" t="s">
        <v>396</v>
      </c>
      <c r="K2605" s="947">
        <v>645903</v>
      </c>
      <c r="M2605" s="631"/>
      <c r="P2605" s="950" t="str">
        <f>VLOOKUP(J2605,'רשימת רשויות'!A:A,1,0)</f>
        <v>שבלי-אום אל-גנם</v>
      </c>
      <c r="Q2605" s="956">
        <f>IFERROR(VLOOKUP(B2605,[2]מעובד!$D:$K,8,0),0)</f>
        <v>0</v>
      </c>
      <c r="R2605" s="956">
        <f>IFERROR(VLOOKUP(B2605,[2]מעובד!$D:$L,9,0),0)</f>
        <v>0</v>
      </c>
    </row>
    <row r="2606" spans="1:18" x14ac:dyDescent="0.2">
      <c r="A2606" s="947" t="s">
        <v>270</v>
      </c>
      <c r="B2606" s="947">
        <v>645986</v>
      </c>
      <c r="C2606" s="947" t="s">
        <v>2189</v>
      </c>
      <c r="D2606" s="947" t="s">
        <v>3147</v>
      </c>
      <c r="E2606" s="951">
        <v>26</v>
      </c>
      <c r="F2606" s="951">
        <v>0</v>
      </c>
      <c r="G2606" s="947" t="s">
        <v>3252</v>
      </c>
      <c r="H2606" s="951">
        <v>0</v>
      </c>
      <c r="I2606" s="951">
        <v>0</v>
      </c>
      <c r="J2606" s="947" t="s">
        <v>270</v>
      </c>
      <c r="K2606" s="947">
        <v>645986</v>
      </c>
      <c r="M2606" s="631"/>
      <c r="P2606" s="950" t="str">
        <f>VLOOKUP(J2606,'רשימת רשויות'!A:A,1,0)</f>
        <v>ירושלים</v>
      </c>
      <c r="Q2606" s="956">
        <f>IFERROR(VLOOKUP(B2606,[2]מעובד!$D:$K,8,0),0)</f>
        <v>0</v>
      </c>
      <c r="R2606" s="956">
        <f>IFERROR(VLOOKUP(B2606,[2]מעובד!$D:$L,9,0),0)</f>
        <v>0</v>
      </c>
    </row>
    <row r="2607" spans="1:18" x14ac:dyDescent="0.2">
      <c r="A2607" s="947" t="s">
        <v>319</v>
      </c>
      <c r="B2607" s="947">
        <v>646158</v>
      </c>
      <c r="C2607" s="947" t="s">
        <v>2189</v>
      </c>
      <c r="D2607" s="947" t="s">
        <v>2250</v>
      </c>
      <c r="E2607" s="951">
        <v>133</v>
      </c>
      <c r="F2607" s="951">
        <v>97</v>
      </c>
      <c r="G2607" s="947" t="s">
        <v>159</v>
      </c>
      <c r="H2607" s="951">
        <v>0</v>
      </c>
      <c r="I2607" s="951">
        <v>0</v>
      </c>
      <c r="J2607" s="947" t="s">
        <v>319</v>
      </c>
      <c r="K2607" s="947">
        <v>646158</v>
      </c>
      <c r="M2607" s="631"/>
      <c r="P2607" s="950" t="str">
        <f>VLOOKUP(J2607,'רשימת רשויות'!A:A,1,0)</f>
        <v>מעלה יוסף</v>
      </c>
      <c r="Q2607" s="956">
        <f>IFERROR(VLOOKUP(B2607,[2]מעובד!$D:$K,8,0),0)</f>
        <v>99</v>
      </c>
      <c r="R2607" s="956">
        <f>IFERROR(VLOOKUP(B2607,[2]מעובד!$D:$L,9,0),0)</f>
        <v>53</v>
      </c>
    </row>
    <row r="2608" spans="1:18" x14ac:dyDescent="0.2">
      <c r="A2608" s="947" t="s">
        <v>400</v>
      </c>
      <c r="B2608" s="947">
        <v>646166</v>
      </c>
      <c r="C2608" s="947" t="s">
        <v>2189</v>
      </c>
      <c r="D2608" s="947" t="s">
        <v>2492</v>
      </c>
      <c r="E2608" s="951">
        <v>226</v>
      </c>
      <c r="F2608" s="951">
        <v>218</v>
      </c>
      <c r="G2608" s="947" t="s">
        <v>159</v>
      </c>
      <c r="H2608" s="951">
        <v>87</v>
      </c>
      <c r="I2608" s="951">
        <v>8</v>
      </c>
      <c r="J2608" s="947" t="s">
        <v>400</v>
      </c>
      <c r="K2608" s="947">
        <v>646166</v>
      </c>
      <c r="M2608" s="631"/>
      <c r="P2608" s="950" t="str">
        <f>VLOOKUP(J2608,'רשימת רשויות'!A:A,1,0)</f>
        <v>שדרות</v>
      </c>
      <c r="Q2608" s="956">
        <f>IFERROR(VLOOKUP(B2608,[2]מעובד!$D:$K,8,0),0)</f>
        <v>101</v>
      </c>
      <c r="R2608" s="956">
        <f>IFERROR(VLOOKUP(B2608,[2]מעובד!$D:$L,9,0),0)</f>
        <v>59</v>
      </c>
    </row>
    <row r="2609" spans="1:18" x14ac:dyDescent="0.2">
      <c r="A2609" s="947" t="s">
        <v>270</v>
      </c>
      <c r="B2609" s="947">
        <v>646257</v>
      </c>
      <c r="C2609" s="947" t="s">
        <v>2189</v>
      </c>
      <c r="D2609" s="947" t="s">
        <v>3148</v>
      </c>
      <c r="E2609" s="951">
        <v>114</v>
      </c>
      <c r="F2609" s="951">
        <v>0</v>
      </c>
      <c r="G2609" s="947" t="s">
        <v>3252</v>
      </c>
      <c r="H2609" s="951">
        <v>0</v>
      </c>
      <c r="I2609" s="951">
        <v>0</v>
      </c>
      <c r="J2609" s="947" t="s">
        <v>270</v>
      </c>
      <c r="K2609" s="947">
        <v>646257</v>
      </c>
      <c r="M2609" s="631"/>
      <c r="P2609" s="950" t="str">
        <f>VLOOKUP(J2609,'רשימת רשויות'!A:A,1,0)</f>
        <v>ירושלים</v>
      </c>
      <c r="Q2609" s="956">
        <f>IFERROR(VLOOKUP(B2609,[2]מעובד!$D:$K,8,0),0)</f>
        <v>0</v>
      </c>
      <c r="R2609" s="956">
        <f>IFERROR(VLOOKUP(B2609,[2]מעובד!$D:$L,9,0),0)</f>
        <v>0</v>
      </c>
    </row>
    <row r="2610" spans="1:18" x14ac:dyDescent="0.2">
      <c r="A2610" s="947" t="s">
        <v>196</v>
      </c>
      <c r="B2610" s="947">
        <v>646703</v>
      </c>
      <c r="C2610" s="947" t="s">
        <v>2189</v>
      </c>
      <c r="D2610" s="947" t="s">
        <v>2619</v>
      </c>
      <c r="E2610" s="951">
        <v>77</v>
      </c>
      <c r="F2610" s="951">
        <v>76</v>
      </c>
      <c r="G2610" s="947" t="s">
        <v>3252</v>
      </c>
      <c r="H2610" s="951">
        <v>0</v>
      </c>
      <c r="I2610" s="951">
        <v>0</v>
      </c>
      <c r="J2610" s="947" t="s">
        <v>196</v>
      </c>
      <c r="K2610" s="947">
        <v>646703</v>
      </c>
      <c r="M2610" s="631"/>
      <c r="P2610" s="950" t="str">
        <f>VLOOKUP(J2610,'רשימת רשויות'!A:A,1,0)</f>
        <v>בית שמש</v>
      </c>
      <c r="Q2610" s="956">
        <f>IFERROR(VLOOKUP(B2610,[2]מעובד!$D:$K,8,0),0)</f>
        <v>0</v>
      </c>
      <c r="R2610" s="956">
        <f>IFERROR(VLOOKUP(B2610,[2]מעובד!$D:$L,9,0),0)</f>
        <v>0</v>
      </c>
    </row>
    <row r="2611" spans="1:18" x14ac:dyDescent="0.2">
      <c r="A2611" s="947" t="s">
        <v>270</v>
      </c>
      <c r="B2611" s="947">
        <v>646935</v>
      </c>
      <c r="C2611" s="947" t="s">
        <v>2189</v>
      </c>
      <c r="D2611" s="947" t="s">
        <v>3149</v>
      </c>
      <c r="E2611" s="951">
        <v>131</v>
      </c>
      <c r="F2611" s="951">
        <v>0</v>
      </c>
      <c r="G2611" s="947" t="s">
        <v>3252</v>
      </c>
      <c r="H2611" s="951">
        <v>0</v>
      </c>
      <c r="I2611" s="951">
        <v>0</v>
      </c>
      <c r="J2611" s="947" t="s">
        <v>270</v>
      </c>
      <c r="K2611" s="947">
        <v>646935</v>
      </c>
      <c r="M2611" s="631"/>
      <c r="P2611" s="950" t="str">
        <f>VLOOKUP(J2611,'רשימת רשויות'!A:A,1,0)</f>
        <v>ירושלים</v>
      </c>
      <c r="Q2611" s="956">
        <f>IFERROR(VLOOKUP(B2611,[2]מעובד!$D:$K,8,0),0)</f>
        <v>0</v>
      </c>
      <c r="R2611" s="956">
        <f>IFERROR(VLOOKUP(B2611,[2]מעובד!$D:$L,9,0),0)</f>
        <v>0</v>
      </c>
    </row>
    <row r="2612" spans="1:18" x14ac:dyDescent="0.2">
      <c r="A2612" s="947" t="s">
        <v>175</v>
      </c>
      <c r="B2612" s="947">
        <v>647149</v>
      </c>
      <c r="C2612" s="947" t="s">
        <v>2189</v>
      </c>
      <c r="D2612" s="947" t="s">
        <v>2493</v>
      </c>
      <c r="E2612" s="951">
        <v>127</v>
      </c>
      <c r="F2612" s="951">
        <v>127</v>
      </c>
      <c r="G2612" s="947" t="s">
        <v>3252</v>
      </c>
      <c r="H2612" s="951">
        <v>0</v>
      </c>
      <c r="I2612" s="951">
        <v>0</v>
      </c>
      <c r="J2612" s="947" t="s">
        <v>175</v>
      </c>
      <c r="K2612" s="947">
        <v>647149</v>
      </c>
      <c r="M2612" s="631"/>
      <c r="P2612" s="950" t="str">
        <f>VLOOKUP(J2612,'רשימת רשויות'!A:A,1,0)</f>
        <v>אלעד</v>
      </c>
      <c r="Q2612" s="956">
        <f>IFERROR(VLOOKUP(B2612,[2]מעובד!$D:$K,8,0),0)</f>
        <v>91</v>
      </c>
      <c r="R2612" s="956">
        <f>IFERROR(VLOOKUP(B2612,[2]מעובד!$D:$L,9,0),0)</f>
        <v>60</v>
      </c>
    </row>
    <row r="2613" spans="1:18" x14ac:dyDescent="0.2">
      <c r="A2613" s="947" t="s">
        <v>270</v>
      </c>
      <c r="B2613" s="947">
        <v>647537</v>
      </c>
      <c r="C2613" s="947" t="s">
        <v>2189</v>
      </c>
      <c r="D2613" s="947" t="s">
        <v>1289</v>
      </c>
      <c r="E2613" s="951">
        <v>83</v>
      </c>
      <c r="F2613" s="951">
        <v>81</v>
      </c>
      <c r="G2613" s="947" t="s">
        <v>3252</v>
      </c>
      <c r="H2613" s="951">
        <v>0</v>
      </c>
      <c r="I2613" s="951">
        <v>0</v>
      </c>
      <c r="J2613" s="947" t="s">
        <v>270</v>
      </c>
      <c r="K2613" s="947">
        <v>647537</v>
      </c>
      <c r="M2613" s="631"/>
      <c r="P2613" s="950" t="str">
        <f>VLOOKUP(J2613,'רשימת רשויות'!A:A,1,0)</f>
        <v>ירושלים</v>
      </c>
      <c r="Q2613" s="956">
        <f>IFERROR(VLOOKUP(B2613,[2]מעובד!$D:$K,8,0),0)</f>
        <v>60</v>
      </c>
      <c r="R2613" s="956">
        <f>IFERROR(VLOOKUP(B2613,[2]מעובד!$D:$L,9,0),0)</f>
        <v>60</v>
      </c>
    </row>
    <row r="2614" spans="1:18" x14ac:dyDescent="0.2">
      <c r="A2614" s="947" t="s">
        <v>270</v>
      </c>
      <c r="B2614" s="947">
        <v>647552</v>
      </c>
      <c r="C2614" s="947" t="s">
        <v>2189</v>
      </c>
      <c r="D2614" s="947" t="s">
        <v>2251</v>
      </c>
      <c r="E2614" s="951">
        <v>198</v>
      </c>
      <c r="F2614" s="951">
        <v>153</v>
      </c>
      <c r="G2614" s="947" t="s">
        <v>159</v>
      </c>
      <c r="H2614" s="951">
        <v>67</v>
      </c>
      <c r="I2614" s="951">
        <v>9</v>
      </c>
      <c r="J2614" s="947" t="s">
        <v>270</v>
      </c>
      <c r="K2614" s="947">
        <v>647552</v>
      </c>
      <c r="M2614" s="631"/>
      <c r="P2614" s="950" t="str">
        <f>VLOOKUP(J2614,'רשימת רשויות'!A:A,1,0)</f>
        <v>ירושלים</v>
      </c>
      <c r="Q2614" s="956">
        <f>IFERROR(VLOOKUP(B2614,[2]מעובד!$D:$K,8,0),0)</f>
        <v>90</v>
      </c>
      <c r="R2614" s="956">
        <f>IFERROR(VLOOKUP(B2614,[2]מעובד!$D:$L,9,0),0)</f>
        <v>68</v>
      </c>
    </row>
    <row r="2615" spans="1:18" x14ac:dyDescent="0.2">
      <c r="A2615" s="947" t="s">
        <v>270</v>
      </c>
      <c r="B2615" s="947">
        <v>647578</v>
      </c>
      <c r="C2615" s="947" t="s">
        <v>2189</v>
      </c>
      <c r="D2615" s="947" t="s">
        <v>2494</v>
      </c>
      <c r="E2615" s="951">
        <v>198</v>
      </c>
      <c r="F2615" s="951">
        <v>181</v>
      </c>
      <c r="G2615" s="947" t="s">
        <v>159</v>
      </c>
      <c r="H2615" s="951">
        <v>0</v>
      </c>
      <c r="I2615" s="951">
        <v>0</v>
      </c>
      <c r="J2615" s="947" t="s">
        <v>270</v>
      </c>
      <c r="K2615" s="947">
        <v>647578</v>
      </c>
      <c r="M2615" s="631"/>
      <c r="P2615" s="950" t="str">
        <f>VLOOKUP(J2615,'רשימת רשויות'!A:A,1,0)</f>
        <v>ירושלים</v>
      </c>
      <c r="Q2615" s="956">
        <f>IFERROR(VLOOKUP(B2615,[2]מעובד!$D:$K,8,0),0)</f>
        <v>125</v>
      </c>
      <c r="R2615" s="956">
        <f>IFERROR(VLOOKUP(B2615,[2]מעובד!$D:$L,9,0),0)</f>
        <v>56</v>
      </c>
    </row>
    <row r="2616" spans="1:18" x14ac:dyDescent="0.2">
      <c r="A2616" s="947" t="s">
        <v>361</v>
      </c>
      <c r="B2616" s="947">
        <v>647867</v>
      </c>
      <c r="C2616" s="947" t="s">
        <v>2189</v>
      </c>
      <c r="D2616" s="947" t="s">
        <v>3150</v>
      </c>
      <c r="E2616" s="951">
        <v>55</v>
      </c>
      <c r="F2616" s="951">
        <v>55</v>
      </c>
      <c r="G2616" s="947" t="s">
        <v>3252</v>
      </c>
      <c r="H2616" s="951">
        <v>0</v>
      </c>
      <c r="I2616" s="951">
        <v>0</v>
      </c>
      <c r="J2616" s="947" t="s">
        <v>361</v>
      </c>
      <c r="K2616" s="947">
        <v>647867</v>
      </c>
      <c r="M2616" s="631"/>
      <c r="P2616" s="950" t="str">
        <f>VLOOKUP(J2616,'רשימת רשויות'!A:A,1,0)</f>
        <v>פרדס חנה-כרכור</v>
      </c>
      <c r="Q2616" s="956">
        <f>IFERROR(VLOOKUP(B2616,[2]מעובד!$D:$K,8,0),0)</f>
        <v>0</v>
      </c>
      <c r="R2616" s="956">
        <f>IFERROR(VLOOKUP(B2616,[2]מעובד!$D:$L,9,0),0)</f>
        <v>0</v>
      </c>
    </row>
    <row r="2617" spans="1:18" x14ac:dyDescent="0.2">
      <c r="A2617" s="947" t="s">
        <v>336</v>
      </c>
      <c r="B2617" s="947">
        <v>647990</v>
      </c>
      <c r="C2617" s="947" t="s">
        <v>2189</v>
      </c>
      <c r="D2617" s="947" t="s">
        <v>3151</v>
      </c>
      <c r="E2617" s="951">
        <v>28</v>
      </c>
      <c r="F2617" s="951">
        <v>0</v>
      </c>
      <c r="G2617" s="947" t="s">
        <v>3252</v>
      </c>
      <c r="H2617" s="951">
        <v>0</v>
      </c>
      <c r="I2617" s="951">
        <v>0</v>
      </c>
      <c r="J2617" s="947" t="s">
        <v>336</v>
      </c>
      <c r="K2617" s="947">
        <v>647990</v>
      </c>
      <c r="M2617" s="631"/>
      <c r="P2617" s="950" t="str">
        <f>VLOOKUP(J2617,'רשימת רשויות'!A:A,1,0)</f>
        <v>נתניה</v>
      </c>
      <c r="Q2617" s="956">
        <f>IFERROR(VLOOKUP(B2617,[2]מעובד!$D:$K,8,0),0)</f>
        <v>0</v>
      </c>
      <c r="R2617" s="956">
        <f>IFERROR(VLOOKUP(B2617,[2]מעובד!$D:$L,9,0),0)</f>
        <v>0</v>
      </c>
    </row>
    <row r="2618" spans="1:18" x14ac:dyDescent="0.2">
      <c r="A2618" s="947" t="s">
        <v>225</v>
      </c>
      <c r="B2618" s="947">
        <v>648741</v>
      </c>
      <c r="C2618" s="947" t="s">
        <v>2189</v>
      </c>
      <c r="D2618" s="947" t="s">
        <v>2604</v>
      </c>
      <c r="E2618" s="951">
        <v>152</v>
      </c>
      <c r="F2618" s="951">
        <v>114</v>
      </c>
      <c r="G2618" s="947" t="s">
        <v>159</v>
      </c>
      <c r="H2618" s="951">
        <v>0</v>
      </c>
      <c r="I2618" s="951">
        <v>0</v>
      </c>
      <c r="J2618" s="947" t="s">
        <v>225</v>
      </c>
      <c r="K2618" s="947">
        <v>648741</v>
      </c>
      <c r="M2618" s="631"/>
      <c r="P2618" s="950" t="str">
        <f>VLOOKUP(J2618,'רשימת רשויות'!A:A,1,0)</f>
        <v>דימונה</v>
      </c>
      <c r="Q2618" s="956">
        <f>IFERROR(VLOOKUP(B2618,[2]מעובד!$D:$K,8,0),0)</f>
        <v>69</v>
      </c>
      <c r="R2618" s="956">
        <f>IFERROR(VLOOKUP(B2618,[2]מעובד!$D:$L,9,0),0)</f>
        <v>53</v>
      </c>
    </row>
    <row r="2619" spans="1:18" x14ac:dyDescent="0.2">
      <c r="A2619" s="947" t="s">
        <v>196</v>
      </c>
      <c r="B2619" s="947">
        <v>649954</v>
      </c>
      <c r="C2619" s="947" t="s">
        <v>2189</v>
      </c>
      <c r="D2619" s="947" t="s">
        <v>2495</v>
      </c>
      <c r="E2619" s="951">
        <v>100</v>
      </c>
      <c r="F2619" s="951">
        <v>73</v>
      </c>
      <c r="G2619" s="947" t="s">
        <v>159</v>
      </c>
      <c r="H2619" s="951">
        <v>75</v>
      </c>
      <c r="I2619" s="951">
        <v>24</v>
      </c>
      <c r="J2619" s="947" t="s">
        <v>196</v>
      </c>
      <c r="K2619" s="947">
        <v>649954</v>
      </c>
      <c r="M2619" s="631"/>
      <c r="P2619" s="950" t="str">
        <f>VLOOKUP(J2619,'רשימת רשויות'!A:A,1,0)</f>
        <v>בית שמש</v>
      </c>
      <c r="Q2619" s="956">
        <f>IFERROR(VLOOKUP(B2619,[2]מעובד!$D:$K,8,0),0)</f>
        <v>0</v>
      </c>
      <c r="R2619" s="956">
        <f>IFERROR(VLOOKUP(B2619,[2]מעובד!$D:$L,9,0),0)</f>
        <v>0</v>
      </c>
    </row>
    <row r="2620" spans="1:18" x14ac:dyDescent="0.2">
      <c r="A2620" s="947" t="s">
        <v>196</v>
      </c>
      <c r="B2620" s="947">
        <v>649962</v>
      </c>
      <c r="C2620" s="947" t="s">
        <v>2189</v>
      </c>
      <c r="D2620" s="947" t="s">
        <v>2252</v>
      </c>
      <c r="E2620" s="951">
        <v>127</v>
      </c>
      <c r="F2620" s="951">
        <v>117</v>
      </c>
      <c r="G2620" s="947" t="s">
        <v>159</v>
      </c>
      <c r="H2620" s="951">
        <v>56</v>
      </c>
      <c r="I2620" s="951">
        <v>9</v>
      </c>
      <c r="J2620" s="947" t="s">
        <v>196</v>
      </c>
      <c r="K2620" s="947">
        <v>649962</v>
      </c>
      <c r="M2620" s="631"/>
      <c r="P2620" s="950" t="str">
        <f>VLOOKUP(J2620,'רשימת רשויות'!A:A,1,0)</f>
        <v>בית שמש</v>
      </c>
      <c r="Q2620" s="956">
        <f>IFERROR(VLOOKUP(B2620,[2]מעובד!$D:$K,8,0),0)</f>
        <v>52</v>
      </c>
      <c r="R2620" s="956">
        <f>IFERROR(VLOOKUP(B2620,[2]מעובד!$D:$L,9,0),0)</f>
        <v>52</v>
      </c>
    </row>
    <row r="2621" spans="1:18" x14ac:dyDescent="0.2">
      <c r="A2621" s="947" t="s">
        <v>310</v>
      </c>
      <c r="B2621" s="947">
        <v>650002</v>
      </c>
      <c r="C2621" s="947" t="s">
        <v>2189</v>
      </c>
      <c r="D2621" s="947" t="s">
        <v>1135</v>
      </c>
      <c r="E2621" s="951">
        <v>178</v>
      </c>
      <c r="F2621" s="951">
        <v>163</v>
      </c>
      <c r="G2621" s="947" t="s">
        <v>159</v>
      </c>
      <c r="H2621" s="951">
        <v>61</v>
      </c>
      <c r="I2621" s="951">
        <v>7</v>
      </c>
      <c r="J2621" s="947" t="s">
        <v>310</v>
      </c>
      <c r="K2621" s="947">
        <v>650002</v>
      </c>
      <c r="M2621" s="631"/>
      <c r="P2621" s="950" t="str">
        <f>VLOOKUP(J2621,'רשימת רשויות'!A:A,1,0)</f>
        <v>מטה בנימין</v>
      </c>
      <c r="Q2621" s="956">
        <f>IFERROR(VLOOKUP(B2621,[2]מעובד!$D:$K,8,0),0)</f>
        <v>151</v>
      </c>
      <c r="R2621" s="956">
        <f>IFERROR(VLOOKUP(B2621,[2]מעובד!$D:$L,9,0),0)</f>
        <v>60</v>
      </c>
    </row>
    <row r="2622" spans="1:18" x14ac:dyDescent="0.2">
      <c r="A2622" s="947" t="s">
        <v>357</v>
      </c>
      <c r="B2622" s="947">
        <v>650010</v>
      </c>
      <c r="C2622" s="947" t="s">
        <v>2189</v>
      </c>
      <c r="D2622" s="947" t="s">
        <v>1037</v>
      </c>
      <c r="E2622" s="951">
        <v>370</v>
      </c>
      <c r="F2622" s="951">
        <v>360</v>
      </c>
      <c r="G2622" s="947" t="s">
        <v>159</v>
      </c>
      <c r="H2622" s="951">
        <v>0</v>
      </c>
      <c r="I2622" s="951">
        <v>0</v>
      </c>
      <c r="J2622" s="947" t="s">
        <v>357</v>
      </c>
      <c r="K2622" s="947">
        <v>650010</v>
      </c>
      <c r="M2622" s="631"/>
      <c r="P2622" s="950" t="str">
        <f>VLOOKUP(J2622,'רשימת רשויות'!A:A,1,0)</f>
        <v>ערערה בנגב</v>
      </c>
      <c r="Q2622" s="956">
        <f>IFERROR(VLOOKUP(B2622,[2]מעובד!$D:$K,8,0),0)</f>
        <v>280</v>
      </c>
      <c r="R2622" s="956">
        <f>IFERROR(VLOOKUP(B2622,[2]מעובד!$D:$L,9,0),0)</f>
        <v>200</v>
      </c>
    </row>
    <row r="2623" spans="1:18" x14ac:dyDescent="0.2">
      <c r="A2623" s="947" t="s">
        <v>270</v>
      </c>
      <c r="B2623" s="947">
        <v>650069</v>
      </c>
      <c r="C2623" s="947" t="s">
        <v>2189</v>
      </c>
      <c r="D2623" s="947" t="s">
        <v>2040</v>
      </c>
      <c r="E2623" s="951">
        <v>111</v>
      </c>
      <c r="F2623" s="951">
        <v>100</v>
      </c>
      <c r="G2623" s="947" t="s">
        <v>159</v>
      </c>
      <c r="H2623" s="951">
        <v>0</v>
      </c>
      <c r="I2623" s="951">
        <v>0</v>
      </c>
      <c r="J2623" s="947" t="s">
        <v>270</v>
      </c>
      <c r="K2623" s="947">
        <v>650069</v>
      </c>
      <c r="M2623" s="631"/>
      <c r="P2623" s="950" t="str">
        <f>VLOOKUP(J2623,'רשימת רשויות'!A:A,1,0)</f>
        <v>ירושלים</v>
      </c>
      <c r="Q2623" s="956">
        <f>IFERROR(VLOOKUP(B2623,[2]מעובד!$D:$K,8,0),0)</f>
        <v>71</v>
      </c>
      <c r="R2623" s="956">
        <f>IFERROR(VLOOKUP(B2623,[2]מעובד!$D:$L,9,0),0)</f>
        <v>34</v>
      </c>
    </row>
    <row r="2624" spans="1:18" x14ac:dyDescent="0.2">
      <c r="A2624" s="947" t="s">
        <v>196</v>
      </c>
      <c r="B2624" s="947">
        <v>652651</v>
      </c>
      <c r="C2624" s="947" t="s">
        <v>2189</v>
      </c>
      <c r="D2624" s="947" t="s">
        <v>3152</v>
      </c>
      <c r="E2624" s="951">
        <v>126</v>
      </c>
      <c r="F2624" s="951">
        <v>123</v>
      </c>
      <c r="G2624" s="947" t="s">
        <v>3252</v>
      </c>
      <c r="H2624" s="951">
        <v>0</v>
      </c>
      <c r="I2624" s="951">
        <v>0</v>
      </c>
      <c r="J2624" s="947" t="s">
        <v>196</v>
      </c>
      <c r="K2624" s="947">
        <v>652651</v>
      </c>
      <c r="M2624" s="631"/>
      <c r="P2624" s="950" t="str">
        <f>VLOOKUP(J2624,'רשימת רשויות'!A:A,1,0)</f>
        <v>בית שמש</v>
      </c>
      <c r="Q2624" s="956">
        <f>IFERROR(VLOOKUP(B2624,[2]מעובד!$D:$K,8,0),0)</f>
        <v>73</v>
      </c>
      <c r="R2624" s="956">
        <f>IFERROR(VLOOKUP(B2624,[2]מעובד!$D:$L,9,0),0)</f>
        <v>73</v>
      </c>
    </row>
    <row r="2625" spans="1:18" x14ac:dyDescent="0.2">
      <c r="A2625" s="947" t="s">
        <v>275</v>
      </c>
      <c r="B2625" s="947">
        <v>652677</v>
      </c>
      <c r="C2625" s="947" t="s">
        <v>2189</v>
      </c>
      <c r="D2625" s="947" t="s">
        <v>2602</v>
      </c>
      <c r="E2625" s="951">
        <v>156</v>
      </c>
      <c r="F2625" s="951">
        <v>156</v>
      </c>
      <c r="G2625" s="947" t="s">
        <v>159</v>
      </c>
      <c r="H2625" s="951">
        <v>0</v>
      </c>
      <c r="I2625" s="951">
        <v>0</v>
      </c>
      <c r="J2625" s="947" t="s">
        <v>275</v>
      </c>
      <c r="K2625" s="947">
        <v>652677</v>
      </c>
      <c r="M2625" s="631"/>
      <c r="P2625" s="950" t="str">
        <f>VLOOKUP(J2625,'רשימת רשויות'!A:A,1,0)</f>
        <v>כסיפה</v>
      </c>
      <c r="Q2625" s="956">
        <f>IFERROR(VLOOKUP(B2625,[2]מעובד!$D:$K,8,0),0)</f>
        <v>138</v>
      </c>
      <c r="R2625" s="956">
        <f>IFERROR(VLOOKUP(B2625,[2]מעובד!$D:$L,9,0),0)</f>
        <v>80</v>
      </c>
    </row>
    <row r="2626" spans="1:18" x14ac:dyDescent="0.2">
      <c r="A2626" s="947" t="s">
        <v>212</v>
      </c>
      <c r="B2626" s="947">
        <v>655258</v>
      </c>
      <c r="C2626" s="947" t="s">
        <v>2189</v>
      </c>
      <c r="D2626" s="947" t="s">
        <v>2496</v>
      </c>
      <c r="E2626" s="951">
        <v>83</v>
      </c>
      <c r="F2626" s="951">
        <v>76</v>
      </c>
      <c r="G2626" s="947" t="s">
        <v>3252</v>
      </c>
      <c r="H2626" s="951">
        <v>0</v>
      </c>
      <c r="I2626" s="951">
        <v>0</v>
      </c>
      <c r="J2626" s="947" t="s">
        <v>212</v>
      </c>
      <c r="K2626" s="947">
        <v>655258</v>
      </c>
      <c r="M2626" s="631"/>
      <c r="P2626" s="950" t="str">
        <f>VLOOKUP(J2626,'רשימת רשויות'!A:A,1,0)</f>
        <v>גבעת זאב</v>
      </c>
      <c r="Q2626" s="956">
        <f>IFERROR(VLOOKUP(B2626,[2]מעובד!$D:$K,8,0),0)</f>
        <v>50</v>
      </c>
      <c r="R2626" s="956">
        <f>IFERROR(VLOOKUP(B2626,[2]מעובד!$D:$L,9,0),0)</f>
        <v>56</v>
      </c>
    </row>
    <row r="2627" spans="1:18" x14ac:dyDescent="0.2">
      <c r="A2627" s="947" t="s">
        <v>234</v>
      </c>
      <c r="B2627" s="947">
        <v>655332</v>
      </c>
      <c r="C2627" s="947" t="s">
        <v>2189</v>
      </c>
      <c r="D2627" s="947" t="s">
        <v>2253</v>
      </c>
      <c r="E2627" s="951">
        <v>130</v>
      </c>
      <c r="F2627" s="951">
        <v>130</v>
      </c>
      <c r="G2627" s="947" t="s">
        <v>159</v>
      </c>
      <c r="H2627" s="951">
        <v>0</v>
      </c>
      <c r="I2627" s="951">
        <v>0</v>
      </c>
      <c r="J2627" s="947" t="s">
        <v>234</v>
      </c>
      <c r="K2627" s="947">
        <v>655332</v>
      </c>
      <c r="M2627" s="631"/>
      <c r="P2627" s="950" t="str">
        <f>VLOOKUP(J2627,'רשימת רשויות'!A:A,1,0)</f>
        <v>הר חברון</v>
      </c>
      <c r="Q2627" s="956">
        <f>IFERROR(VLOOKUP(B2627,[2]מעובד!$D:$K,8,0),0)</f>
        <v>74</v>
      </c>
      <c r="R2627" s="956">
        <f>IFERROR(VLOOKUP(B2627,[2]מעובד!$D:$L,9,0),0)</f>
        <v>74</v>
      </c>
    </row>
    <row r="2628" spans="1:18" x14ac:dyDescent="0.2">
      <c r="A2628" s="947" t="s">
        <v>290</v>
      </c>
      <c r="B2628" s="947">
        <v>655548</v>
      </c>
      <c r="C2628" s="947" t="s">
        <v>2189</v>
      </c>
      <c r="D2628" s="947" t="s">
        <v>3153</v>
      </c>
      <c r="E2628" s="951">
        <v>43</v>
      </c>
      <c r="F2628" s="951">
        <v>43</v>
      </c>
      <c r="G2628" s="947" t="s">
        <v>3252</v>
      </c>
      <c r="H2628" s="951">
        <v>0</v>
      </c>
      <c r="I2628" s="951">
        <v>0</v>
      </c>
      <c r="J2628" s="947" t="s">
        <v>290</v>
      </c>
      <c r="K2628" s="947">
        <v>655548</v>
      </c>
      <c r="M2628" s="631"/>
      <c r="P2628" s="950" t="str">
        <f>VLOOKUP(J2628,'רשימת רשויות'!A:A,1,0)</f>
        <v>כרמיאל</v>
      </c>
      <c r="Q2628" s="956">
        <f>IFERROR(VLOOKUP(B2628,[2]מעובד!$D:$K,8,0),0)</f>
        <v>0</v>
      </c>
      <c r="R2628" s="956">
        <f>IFERROR(VLOOKUP(B2628,[2]מעובד!$D:$L,9,0),0)</f>
        <v>51</v>
      </c>
    </row>
    <row r="2629" spans="1:18" x14ac:dyDescent="0.2">
      <c r="A2629" s="947" t="s">
        <v>380</v>
      </c>
      <c r="B2629" s="947">
        <v>655936</v>
      </c>
      <c r="C2629" s="947" t="s">
        <v>2189</v>
      </c>
      <c r="D2629" s="947" t="s">
        <v>1511</v>
      </c>
      <c r="E2629" s="951">
        <v>23</v>
      </c>
      <c r="F2629" s="951">
        <v>23</v>
      </c>
      <c r="G2629" s="947" t="s">
        <v>159</v>
      </c>
      <c r="H2629" s="951">
        <v>0</v>
      </c>
      <c r="I2629" s="951">
        <v>0</v>
      </c>
      <c r="J2629" s="947" t="s">
        <v>380</v>
      </c>
      <c r="K2629" s="957" t="s">
        <v>3377</v>
      </c>
      <c r="M2629" s="631"/>
      <c r="P2629" s="950" t="str">
        <f>VLOOKUP(J2629,'רשימת רשויות'!A:A,1,0)</f>
        <v>קרית שמונה</v>
      </c>
      <c r="Q2629" s="956">
        <f>IFERROR(VLOOKUP(B2629,[2]מעובד!$D:$K,8,0),0)</f>
        <v>0</v>
      </c>
      <c r="R2629" s="956">
        <f>IFERROR(VLOOKUP(B2629,[2]מעובד!$D:$L,9,0),0)</f>
        <v>0</v>
      </c>
    </row>
    <row r="2630" spans="1:18" x14ac:dyDescent="0.2">
      <c r="A2630" s="947" t="s">
        <v>406</v>
      </c>
      <c r="B2630" s="947">
        <v>656991</v>
      </c>
      <c r="C2630" s="947" t="s">
        <v>2189</v>
      </c>
      <c r="D2630" s="947" t="s">
        <v>3154</v>
      </c>
      <c r="E2630" s="951">
        <v>65</v>
      </c>
      <c r="F2630" s="951">
        <v>65</v>
      </c>
      <c r="G2630" s="947" t="s">
        <v>3252</v>
      </c>
      <c r="H2630" s="951">
        <v>0</v>
      </c>
      <c r="I2630" s="951">
        <v>0</v>
      </c>
      <c r="J2630" s="947" t="s">
        <v>406</v>
      </c>
      <c r="K2630" s="947">
        <v>656991</v>
      </c>
      <c r="M2630" s="631"/>
      <c r="P2630" s="950" t="str">
        <f>VLOOKUP(J2630,'רשימת רשויות'!A:A,1,0)</f>
        <v>שפיר</v>
      </c>
      <c r="Q2630" s="956">
        <f>IFERROR(VLOOKUP(B2630,[2]מעובד!$D:$K,8,0),0)</f>
        <v>63</v>
      </c>
      <c r="R2630" s="956">
        <f>IFERROR(VLOOKUP(B2630,[2]מעובד!$D:$L,9,0),0)</f>
        <v>64</v>
      </c>
    </row>
    <row r="2631" spans="1:18" x14ac:dyDescent="0.2">
      <c r="A2631" s="947" t="s">
        <v>270</v>
      </c>
      <c r="B2631" s="947">
        <v>657007</v>
      </c>
      <c r="C2631" s="947" t="s">
        <v>2189</v>
      </c>
      <c r="D2631" s="947" t="s">
        <v>2177</v>
      </c>
      <c r="E2631" s="951">
        <v>80</v>
      </c>
      <c r="F2631" s="951">
        <v>80</v>
      </c>
      <c r="G2631" s="947" t="s">
        <v>3252</v>
      </c>
      <c r="H2631" s="951">
        <v>0</v>
      </c>
      <c r="I2631" s="951">
        <v>0</v>
      </c>
      <c r="J2631" s="947" t="s">
        <v>270</v>
      </c>
      <c r="K2631" s="947">
        <v>657007</v>
      </c>
      <c r="M2631" s="631"/>
      <c r="P2631" s="950" t="str">
        <f>VLOOKUP(J2631,'רשימת רשויות'!A:A,1,0)</f>
        <v>ירושלים</v>
      </c>
      <c r="Q2631" s="956">
        <f>IFERROR(VLOOKUP(B2631,[2]מעובד!$D:$K,8,0),0)</f>
        <v>61</v>
      </c>
      <c r="R2631" s="956">
        <f>IFERROR(VLOOKUP(B2631,[2]מעובד!$D:$L,9,0),0)</f>
        <v>61</v>
      </c>
    </row>
    <row r="2632" spans="1:18" x14ac:dyDescent="0.2">
      <c r="A2632" s="947" t="s">
        <v>196</v>
      </c>
      <c r="B2632" s="947">
        <v>657247</v>
      </c>
      <c r="C2632" s="947" t="s">
        <v>2189</v>
      </c>
      <c r="D2632" s="947" t="s">
        <v>2254</v>
      </c>
      <c r="E2632" s="951">
        <v>77</v>
      </c>
      <c r="F2632" s="951">
        <v>77</v>
      </c>
      <c r="G2632" s="947" t="s">
        <v>3252</v>
      </c>
      <c r="H2632" s="951">
        <v>0</v>
      </c>
      <c r="I2632" s="951">
        <v>0</v>
      </c>
      <c r="J2632" s="947" t="s">
        <v>196</v>
      </c>
      <c r="K2632" s="947">
        <v>657247</v>
      </c>
      <c r="M2632" s="631"/>
      <c r="P2632" s="950" t="str">
        <f>VLOOKUP(J2632,'רשימת רשויות'!A:A,1,0)</f>
        <v>בית שמש</v>
      </c>
      <c r="Q2632" s="956">
        <f>IFERROR(VLOOKUP(B2632,[2]מעובד!$D:$K,8,0),0)</f>
        <v>0</v>
      </c>
      <c r="R2632" s="956">
        <f>IFERROR(VLOOKUP(B2632,[2]מעובד!$D:$L,9,0),0)</f>
        <v>0</v>
      </c>
    </row>
    <row r="2633" spans="1:18" x14ac:dyDescent="0.2">
      <c r="A2633" s="947" t="s">
        <v>336</v>
      </c>
      <c r="B2633" s="947">
        <v>657361</v>
      </c>
      <c r="C2633" s="947" t="s">
        <v>2189</v>
      </c>
      <c r="D2633" s="947" t="s">
        <v>3155</v>
      </c>
      <c r="E2633" s="951">
        <v>41</v>
      </c>
      <c r="F2633" s="951">
        <v>0</v>
      </c>
      <c r="G2633" s="947" t="s">
        <v>3252</v>
      </c>
      <c r="H2633" s="951">
        <v>0</v>
      </c>
      <c r="I2633" s="951">
        <v>0</v>
      </c>
      <c r="J2633" s="947" t="s">
        <v>336</v>
      </c>
      <c r="K2633" s="947">
        <v>657361</v>
      </c>
      <c r="M2633" s="631"/>
      <c r="P2633" s="950" t="str">
        <f>VLOOKUP(J2633,'רשימת רשויות'!A:A,1,0)</f>
        <v>נתניה</v>
      </c>
      <c r="Q2633" s="956">
        <f>IFERROR(VLOOKUP(B2633,[2]מעובד!$D:$K,8,0),0)</f>
        <v>0</v>
      </c>
      <c r="R2633" s="956">
        <f>IFERROR(VLOOKUP(B2633,[2]מעובד!$D:$L,9,0),0)</f>
        <v>0</v>
      </c>
    </row>
    <row r="2634" spans="1:18" x14ac:dyDescent="0.2">
      <c r="A2634" s="947" t="s">
        <v>196</v>
      </c>
      <c r="B2634" s="947">
        <v>657759</v>
      </c>
      <c r="C2634" s="947" t="s">
        <v>2189</v>
      </c>
      <c r="D2634" s="947" t="s">
        <v>2255</v>
      </c>
      <c r="E2634" s="951">
        <v>104</v>
      </c>
      <c r="F2634" s="951">
        <v>104</v>
      </c>
      <c r="G2634" s="947" t="s">
        <v>3252</v>
      </c>
      <c r="H2634" s="951">
        <v>0</v>
      </c>
      <c r="I2634" s="951">
        <v>0</v>
      </c>
      <c r="J2634" s="947" t="s">
        <v>196</v>
      </c>
      <c r="K2634" s="947">
        <v>657759</v>
      </c>
      <c r="M2634" s="631"/>
      <c r="P2634" s="950" t="str">
        <f>VLOOKUP(J2634,'רשימת רשויות'!A:A,1,0)</f>
        <v>בית שמש</v>
      </c>
      <c r="Q2634" s="956">
        <f>IFERROR(VLOOKUP(B2634,[2]מעובד!$D:$K,8,0),0)</f>
        <v>0</v>
      </c>
      <c r="R2634" s="956">
        <f>IFERROR(VLOOKUP(B2634,[2]מעובד!$D:$L,9,0),0)</f>
        <v>0</v>
      </c>
    </row>
    <row r="2635" spans="1:18" x14ac:dyDescent="0.2">
      <c r="A2635" s="947" t="s">
        <v>251</v>
      </c>
      <c r="B2635" s="947">
        <v>657908</v>
      </c>
      <c r="C2635" s="947" t="s">
        <v>2189</v>
      </c>
      <c r="D2635" s="947" t="s">
        <v>2497</v>
      </c>
      <c r="E2635" s="951">
        <v>138</v>
      </c>
      <c r="F2635" s="951">
        <v>138</v>
      </c>
      <c r="G2635" s="947" t="s">
        <v>3252</v>
      </c>
      <c r="H2635" s="951">
        <v>0</v>
      </c>
      <c r="I2635" s="951">
        <v>0</v>
      </c>
      <c r="J2635" s="947" t="s">
        <v>251</v>
      </c>
      <c r="K2635" s="947">
        <v>657908</v>
      </c>
      <c r="M2635" s="631"/>
      <c r="P2635" s="950" t="str">
        <f>VLOOKUP(J2635,'רשימת רשויות'!A:A,1,0)</f>
        <v>חיפה</v>
      </c>
      <c r="Q2635" s="956">
        <f>IFERROR(VLOOKUP(B2635,[2]מעובד!$D:$K,8,0),0)</f>
        <v>0</v>
      </c>
      <c r="R2635" s="956">
        <f>IFERROR(VLOOKUP(B2635,[2]מעובד!$D:$L,9,0),0)</f>
        <v>0</v>
      </c>
    </row>
    <row r="2636" spans="1:18" x14ac:dyDescent="0.2">
      <c r="A2636" s="947" t="s">
        <v>181</v>
      </c>
      <c r="B2636" s="947">
        <v>658336</v>
      </c>
      <c r="C2636" s="947" t="s">
        <v>2189</v>
      </c>
      <c r="D2636" s="947" t="s">
        <v>2236</v>
      </c>
      <c r="E2636" s="951">
        <v>48</v>
      </c>
      <c r="F2636" s="951">
        <v>45</v>
      </c>
      <c r="G2636" s="947" t="s">
        <v>3252</v>
      </c>
      <c r="H2636" s="951">
        <v>0</v>
      </c>
      <c r="I2636" s="951">
        <v>0</v>
      </c>
      <c r="J2636" s="947" t="s">
        <v>181</v>
      </c>
      <c r="K2636" s="947">
        <v>658336</v>
      </c>
      <c r="M2636" s="631"/>
      <c r="P2636" s="950" t="str">
        <f>VLOOKUP(J2636,'רשימת רשויות'!A:A,1,0)</f>
        <v>אשדוד</v>
      </c>
      <c r="Q2636" s="956">
        <f>IFERROR(VLOOKUP(B2636,[2]מעובד!$D:$K,8,0),0)</f>
        <v>0</v>
      </c>
      <c r="R2636" s="956">
        <f>IFERROR(VLOOKUP(B2636,[2]מעובד!$D:$L,9,0),0)</f>
        <v>0</v>
      </c>
    </row>
    <row r="2637" spans="1:18" x14ac:dyDescent="0.2">
      <c r="A2637" s="947" t="s">
        <v>196</v>
      </c>
      <c r="B2637" s="947">
        <v>658591</v>
      </c>
      <c r="C2637" s="947" t="s">
        <v>2189</v>
      </c>
      <c r="D2637" s="947" t="s">
        <v>2256</v>
      </c>
      <c r="E2637" s="951">
        <v>528</v>
      </c>
      <c r="F2637" s="951">
        <v>514</v>
      </c>
      <c r="G2637" s="947" t="s">
        <v>3252</v>
      </c>
      <c r="H2637" s="951">
        <v>203</v>
      </c>
      <c r="I2637" s="951">
        <v>14</v>
      </c>
      <c r="J2637" s="947" t="s">
        <v>196</v>
      </c>
      <c r="K2637" s="947">
        <v>658591</v>
      </c>
      <c r="M2637" s="631"/>
      <c r="P2637" s="950" t="str">
        <f>VLOOKUP(J2637,'רשימת רשויות'!A:A,1,0)</f>
        <v>בית שמש</v>
      </c>
      <c r="Q2637" s="956">
        <f>IFERROR(VLOOKUP(B2637,[2]מעובד!$D:$K,8,0),0)</f>
        <v>424</v>
      </c>
      <c r="R2637" s="956">
        <f>IFERROR(VLOOKUP(B2637,[2]מעובד!$D:$L,9,0),0)</f>
        <v>196</v>
      </c>
    </row>
    <row r="2638" spans="1:18" x14ac:dyDescent="0.2">
      <c r="A2638" s="947" t="s">
        <v>165</v>
      </c>
      <c r="B2638" s="947">
        <v>658609</v>
      </c>
      <c r="C2638" s="947" t="s">
        <v>2189</v>
      </c>
      <c r="D2638" s="947" t="s">
        <v>3156</v>
      </c>
      <c r="E2638" s="951">
        <v>70</v>
      </c>
      <c r="F2638" s="951">
        <v>0</v>
      </c>
      <c r="G2638" s="947" t="s">
        <v>3252</v>
      </c>
      <c r="H2638" s="951">
        <v>0</v>
      </c>
      <c r="I2638" s="951">
        <v>0</v>
      </c>
      <c r="J2638" s="947" t="s">
        <v>165</v>
      </c>
      <c r="K2638" s="947">
        <v>658609</v>
      </c>
      <c r="M2638" s="631"/>
      <c r="P2638" s="950" t="str">
        <f>VLOOKUP(J2638,'רשימת רשויות'!A:A,1,0)</f>
        <v>אור יהודה</v>
      </c>
      <c r="Q2638" s="956">
        <f>IFERROR(VLOOKUP(B2638,[2]מעובד!$D:$K,8,0),0)</f>
        <v>0</v>
      </c>
      <c r="R2638" s="956">
        <f>IFERROR(VLOOKUP(B2638,[2]מעובד!$D:$L,9,0),0)</f>
        <v>0</v>
      </c>
    </row>
    <row r="2639" spans="1:18" x14ac:dyDescent="0.2">
      <c r="A2639" s="947" t="s">
        <v>327</v>
      </c>
      <c r="B2639" s="947">
        <v>658823</v>
      </c>
      <c r="C2639" s="947" t="s">
        <v>2189</v>
      </c>
      <c r="D2639" s="947" t="s">
        <v>2499</v>
      </c>
      <c r="E2639" s="951">
        <v>295</v>
      </c>
      <c r="F2639" s="951">
        <v>219</v>
      </c>
      <c r="G2639" s="947" t="s">
        <v>159</v>
      </c>
      <c r="H2639" s="951">
        <v>0</v>
      </c>
      <c r="I2639" s="951">
        <v>0</v>
      </c>
      <c r="J2639" s="947" t="s">
        <v>327</v>
      </c>
      <c r="K2639" s="947">
        <v>658823</v>
      </c>
      <c r="M2639" s="631"/>
      <c r="P2639" s="950" t="str">
        <f>VLOOKUP(J2639,'רשימת רשויות'!A:A,1,0)</f>
        <v>נהריה</v>
      </c>
      <c r="Q2639" s="956">
        <f>IFERROR(VLOOKUP(B2639,[2]מעובד!$D:$K,8,0),0)</f>
        <v>352</v>
      </c>
      <c r="R2639" s="956">
        <f>IFERROR(VLOOKUP(B2639,[2]מעובד!$D:$L,9,0),0)</f>
        <v>230</v>
      </c>
    </row>
    <row r="2640" spans="1:18" x14ac:dyDescent="0.2">
      <c r="A2640" s="947" t="s">
        <v>305</v>
      </c>
      <c r="B2640" s="947">
        <v>658948</v>
      </c>
      <c r="C2640" s="947" t="s">
        <v>2189</v>
      </c>
      <c r="D2640" s="947" t="s">
        <v>2500</v>
      </c>
      <c r="E2640" s="951">
        <v>253</v>
      </c>
      <c r="F2640" s="951">
        <v>189</v>
      </c>
      <c r="G2640" s="947" t="s">
        <v>159</v>
      </c>
      <c r="H2640" s="951">
        <v>83</v>
      </c>
      <c r="I2640" s="951">
        <v>3</v>
      </c>
      <c r="J2640" s="947" t="s">
        <v>305</v>
      </c>
      <c r="K2640" s="947">
        <v>658948</v>
      </c>
      <c r="M2640" s="631"/>
      <c r="P2640" s="950" t="str">
        <f>VLOOKUP(J2640,'רשימת רשויות'!A:A,1,0)</f>
        <v>מודיעין מכבים רעות</v>
      </c>
      <c r="Q2640" s="956">
        <f>IFERROR(VLOOKUP(B2640,[2]מעובד!$D:$K,8,0),0)</f>
        <v>185</v>
      </c>
      <c r="R2640" s="956">
        <f>IFERROR(VLOOKUP(B2640,[2]מעובד!$D:$L,9,0),0)</f>
        <v>94</v>
      </c>
    </row>
    <row r="2641" spans="1:18" x14ac:dyDescent="0.2">
      <c r="A2641" s="947" t="s">
        <v>305</v>
      </c>
      <c r="B2641" s="947">
        <v>658955</v>
      </c>
      <c r="C2641" s="947" t="s">
        <v>2189</v>
      </c>
      <c r="D2641" s="947" t="s">
        <v>2647</v>
      </c>
      <c r="E2641" s="951">
        <v>152</v>
      </c>
      <c r="F2641" s="951">
        <v>133</v>
      </c>
      <c r="G2641" s="947" t="s">
        <v>159</v>
      </c>
      <c r="H2641" s="951">
        <v>0</v>
      </c>
      <c r="I2641" s="951">
        <v>0</v>
      </c>
      <c r="J2641" s="947" t="s">
        <v>305</v>
      </c>
      <c r="K2641" s="947">
        <v>658955</v>
      </c>
      <c r="M2641" s="631"/>
      <c r="P2641" s="950" t="str">
        <f>VLOOKUP(J2641,'רשימת רשויות'!A:A,1,0)</f>
        <v>מודיעין מכבים רעות</v>
      </c>
      <c r="Q2641" s="956">
        <f>IFERROR(VLOOKUP(B2641,[2]מעובד!$D:$K,8,0),0)</f>
        <v>61</v>
      </c>
      <c r="R2641" s="956">
        <f>IFERROR(VLOOKUP(B2641,[2]מעובד!$D:$L,9,0),0)</f>
        <v>25</v>
      </c>
    </row>
    <row r="2642" spans="1:18" x14ac:dyDescent="0.2">
      <c r="A2642" s="947" t="s">
        <v>393</v>
      </c>
      <c r="B2642" s="947">
        <v>659177</v>
      </c>
      <c r="C2642" s="947" t="s">
        <v>2189</v>
      </c>
      <c r="D2642" s="947" t="s">
        <v>644</v>
      </c>
      <c r="E2642" s="951">
        <v>185</v>
      </c>
      <c r="F2642" s="951">
        <v>112</v>
      </c>
      <c r="G2642" s="947" t="s">
        <v>159</v>
      </c>
      <c r="H2642" s="951">
        <v>0</v>
      </c>
      <c r="I2642" s="951">
        <v>0</v>
      </c>
      <c r="J2642" s="947" t="s">
        <v>393</v>
      </c>
      <c r="K2642" s="947">
        <v>659177</v>
      </c>
      <c r="M2642" s="631"/>
      <c r="P2642" s="950" t="str">
        <f>VLOOKUP(J2642,'רשימת רשויות'!A:A,1,0)</f>
        <v>רמת ישי</v>
      </c>
      <c r="Q2642" s="956">
        <f>IFERROR(VLOOKUP(B2642,[2]מעובד!$D:$K,8,0),0)</f>
        <v>0</v>
      </c>
      <c r="R2642" s="956">
        <f>IFERROR(VLOOKUP(B2642,[2]מעובד!$D:$L,9,0),0)</f>
        <v>0</v>
      </c>
    </row>
    <row r="2643" spans="1:18" x14ac:dyDescent="0.2">
      <c r="A2643" s="947" t="s">
        <v>198</v>
      </c>
      <c r="B2643" s="947">
        <v>659193</v>
      </c>
      <c r="C2643" s="947" t="s">
        <v>2189</v>
      </c>
      <c r="D2643" s="947" t="s">
        <v>2501</v>
      </c>
      <c r="E2643" s="951">
        <v>18</v>
      </c>
      <c r="F2643" s="951">
        <v>0</v>
      </c>
      <c r="G2643" s="947" t="s">
        <v>3252</v>
      </c>
      <c r="H2643" s="951">
        <v>0</v>
      </c>
      <c r="I2643" s="951">
        <v>0</v>
      </c>
      <c r="J2643" s="947" t="s">
        <v>198</v>
      </c>
      <c r="K2643" s="947">
        <v>659193</v>
      </c>
      <c r="M2643" s="631"/>
      <c r="P2643" s="950" t="str">
        <f>VLOOKUP(J2643,'רשימת רשויות'!A:A,1,0)</f>
        <v>בני ברק</v>
      </c>
      <c r="Q2643" s="956">
        <f>IFERROR(VLOOKUP(B2643,[2]מעובד!$D:$K,8,0),0)</f>
        <v>0</v>
      </c>
      <c r="R2643" s="956">
        <f>IFERROR(VLOOKUP(B2643,[2]מעובד!$D:$L,9,0),0)</f>
        <v>0</v>
      </c>
    </row>
    <row r="2644" spans="1:18" x14ac:dyDescent="0.2">
      <c r="A2644" s="947" t="s">
        <v>328</v>
      </c>
      <c r="B2644" s="947">
        <v>659417</v>
      </c>
      <c r="C2644" s="947" t="s">
        <v>2189</v>
      </c>
      <c r="D2644" s="947" t="s">
        <v>2502</v>
      </c>
      <c r="E2644" s="951">
        <v>167</v>
      </c>
      <c r="F2644" s="951">
        <v>154</v>
      </c>
      <c r="G2644" s="947" t="s">
        <v>159</v>
      </c>
      <c r="H2644" s="951">
        <v>120</v>
      </c>
      <c r="I2644" s="951">
        <v>9</v>
      </c>
      <c r="J2644" s="947" t="s">
        <v>328</v>
      </c>
      <c r="K2644" s="947">
        <v>659417</v>
      </c>
      <c r="M2644" s="631"/>
      <c r="P2644" s="950" t="str">
        <f>VLOOKUP(J2644,'רשימת רשויות'!A:A,1,0)</f>
        <v>נווה מדבר</v>
      </c>
      <c r="Q2644" s="956">
        <f>IFERROR(VLOOKUP(B2644,[2]מעובד!$D:$K,8,0),0)</f>
        <v>134</v>
      </c>
      <c r="R2644" s="956">
        <f>IFERROR(VLOOKUP(B2644,[2]מעובד!$D:$L,9,0),0)</f>
        <v>134</v>
      </c>
    </row>
    <row r="2645" spans="1:18" x14ac:dyDescent="0.2">
      <c r="A2645" s="947" t="s">
        <v>400</v>
      </c>
      <c r="B2645" s="947">
        <v>659425</v>
      </c>
      <c r="C2645" s="947" t="s">
        <v>2189</v>
      </c>
      <c r="D2645" s="947" t="s">
        <v>552</v>
      </c>
      <c r="E2645" s="951">
        <v>84</v>
      </c>
      <c r="F2645" s="951">
        <v>74</v>
      </c>
      <c r="G2645" s="947" t="s">
        <v>159</v>
      </c>
      <c r="H2645" s="951">
        <v>0</v>
      </c>
      <c r="I2645" s="951">
        <v>0</v>
      </c>
      <c r="J2645" s="947" t="s">
        <v>400</v>
      </c>
      <c r="K2645" s="947">
        <v>659425</v>
      </c>
      <c r="M2645" s="631"/>
      <c r="P2645" s="950" t="str">
        <f>VLOOKUP(J2645,'רשימת רשויות'!A:A,1,0)</f>
        <v>שדרות</v>
      </c>
      <c r="Q2645" s="956">
        <f>IFERROR(VLOOKUP(B2645,[2]מעובד!$D:$K,8,0),0)</f>
        <v>65</v>
      </c>
      <c r="R2645" s="956">
        <f>IFERROR(VLOOKUP(B2645,[2]מעובד!$D:$L,9,0),0)</f>
        <v>51</v>
      </c>
    </row>
    <row r="2646" spans="1:18" x14ac:dyDescent="0.2">
      <c r="A2646" s="947" t="s">
        <v>395</v>
      </c>
      <c r="B2646" s="947">
        <v>659623</v>
      </c>
      <c r="C2646" s="947" t="s">
        <v>2189</v>
      </c>
      <c r="D2646" s="947" t="s">
        <v>3157</v>
      </c>
      <c r="E2646" s="951">
        <v>91</v>
      </c>
      <c r="F2646" s="951">
        <v>0</v>
      </c>
      <c r="G2646" s="947" t="s">
        <v>3252</v>
      </c>
      <c r="H2646" s="951">
        <v>0</v>
      </c>
      <c r="I2646" s="951">
        <v>0</v>
      </c>
      <c r="J2646" s="947" t="s">
        <v>395</v>
      </c>
      <c r="K2646" s="947">
        <v>659623</v>
      </c>
      <c r="M2646" s="631"/>
      <c r="P2646" s="950" t="str">
        <f>VLOOKUP(J2646,'רשימת רשויות'!A:A,1,0)</f>
        <v>רעננה</v>
      </c>
      <c r="Q2646" s="956">
        <f>IFERROR(VLOOKUP(B2646,[2]מעובד!$D:$K,8,0),0)</f>
        <v>0</v>
      </c>
      <c r="R2646" s="956">
        <f>IFERROR(VLOOKUP(B2646,[2]מעובד!$D:$L,9,0),0)</f>
        <v>0</v>
      </c>
    </row>
    <row r="2647" spans="1:18" x14ac:dyDescent="0.2">
      <c r="A2647" s="947" t="s">
        <v>336</v>
      </c>
      <c r="B2647" s="947">
        <v>659896</v>
      </c>
      <c r="C2647" s="947" t="s">
        <v>2189</v>
      </c>
      <c r="D2647" s="947" t="s">
        <v>2503</v>
      </c>
      <c r="E2647" s="951">
        <v>94</v>
      </c>
      <c r="F2647" s="951">
        <v>75</v>
      </c>
      <c r="G2647" s="947" t="s">
        <v>3252</v>
      </c>
      <c r="H2647" s="951">
        <v>0</v>
      </c>
      <c r="I2647" s="951">
        <v>0</v>
      </c>
      <c r="J2647" s="947" t="s">
        <v>336</v>
      </c>
      <c r="K2647" s="947">
        <v>659896</v>
      </c>
      <c r="M2647" s="631"/>
      <c r="P2647" s="950" t="str">
        <f>VLOOKUP(J2647,'רשימת רשויות'!A:A,1,0)</f>
        <v>נתניה</v>
      </c>
      <c r="Q2647" s="956">
        <f>IFERROR(VLOOKUP(B2647,[2]מעובד!$D:$K,8,0),0)</f>
        <v>0</v>
      </c>
      <c r="R2647" s="956">
        <f>IFERROR(VLOOKUP(B2647,[2]מעובד!$D:$L,9,0),0)</f>
        <v>0</v>
      </c>
    </row>
    <row r="2648" spans="1:18" x14ac:dyDescent="0.2">
      <c r="A2648" s="947" t="s">
        <v>318</v>
      </c>
      <c r="B2648" s="947">
        <v>660662</v>
      </c>
      <c r="C2648" s="947" t="s">
        <v>2189</v>
      </c>
      <c r="D2648" s="947" t="s">
        <v>2510</v>
      </c>
      <c r="E2648" s="951">
        <v>97</v>
      </c>
      <c r="F2648" s="951">
        <v>0</v>
      </c>
      <c r="G2648" s="947" t="s">
        <v>3252</v>
      </c>
      <c r="H2648" s="951">
        <v>0</v>
      </c>
      <c r="I2648" s="951">
        <v>0</v>
      </c>
      <c r="J2648" s="947" t="s">
        <v>318</v>
      </c>
      <c r="K2648" s="947">
        <v>660662</v>
      </c>
      <c r="M2648" s="631"/>
      <c r="P2648" s="950" t="str">
        <f>VLOOKUP(J2648,'רשימת רשויות'!A:A,1,0)</f>
        <v>מעלה אפרים</v>
      </c>
      <c r="Q2648" s="956">
        <f>IFERROR(VLOOKUP(B2648,[2]מעובד!$D:$K,8,0),0)</f>
        <v>0</v>
      </c>
      <c r="R2648" s="956">
        <f>IFERROR(VLOOKUP(B2648,[2]מעובד!$D:$L,9,0),0)</f>
        <v>0</v>
      </c>
    </row>
    <row r="2649" spans="1:18" x14ac:dyDescent="0.2">
      <c r="A2649" s="947" t="s">
        <v>197</v>
      </c>
      <c r="B2649" s="947">
        <v>660829</v>
      </c>
      <c r="C2649" s="947" t="s">
        <v>2189</v>
      </c>
      <c r="D2649" s="947" t="s">
        <v>2504</v>
      </c>
      <c r="E2649" s="951">
        <v>135</v>
      </c>
      <c r="F2649" s="951">
        <v>126</v>
      </c>
      <c r="G2649" s="947" t="s">
        <v>3252</v>
      </c>
      <c r="H2649" s="951">
        <v>51</v>
      </c>
      <c r="I2649" s="951">
        <v>8</v>
      </c>
      <c r="J2649" s="947" t="s">
        <v>197</v>
      </c>
      <c r="K2649" s="947">
        <v>660829</v>
      </c>
      <c r="M2649" s="631"/>
      <c r="P2649" s="950" t="str">
        <f>VLOOKUP(J2649,'רשימת רשויות'!A:A,1,0)</f>
        <v>ביתר עילית</v>
      </c>
      <c r="Q2649" s="956">
        <f>IFERROR(VLOOKUP(B2649,[2]מעובד!$D:$K,8,0),0)</f>
        <v>0</v>
      </c>
      <c r="R2649" s="956">
        <f>IFERROR(VLOOKUP(B2649,[2]מעובד!$D:$L,9,0),0)</f>
        <v>0</v>
      </c>
    </row>
    <row r="2650" spans="1:18" x14ac:dyDescent="0.2">
      <c r="A2650" s="947" t="s">
        <v>196</v>
      </c>
      <c r="B2650" s="947">
        <v>661157</v>
      </c>
      <c r="C2650" s="947" t="s">
        <v>2189</v>
      </c>
      <c r="D2650" s="947" t="s">
        <v>2505</v>
      </c>
      <c r="E2650" s="951">
        <v>132</v>
      </c>
      <c r="F2650" s="951">
        <v>131</v>
      </c>
      <c r="G2650" s="947" t="s">
        <v>3252</v>
      </c>
      <c r="H2650" s="951">
        <v>0</v>
      </c>
      <c r="I2650" s="951">
        <v>0</v>
      </c>
      <c r="J2650" s="947" t="s">
        <v>196</v>
      </c>
      <c r="K2650" s="947">
        <v>661157</v>
      </c>
      <c r="M2650" s="631"/>
      <c r="P2650" s="950" t="str">
        <f>VLOOKUP(J2650,'רשימת רשויות'!A:A,1,0)</f>
        <v>בית שמש</v>
      </c>
      <c r="Q2650" s="956">
        <f>IFERROR(VLOOKUP(B2650,[2]מעובד!$D:$K,8,0),0)</f>
        <v>0</v>
      </c>
      <c r="R2650" s="956">
        <f>IFERROR(VLOOKUP(B2650,[2]מעובד!$D:$L,9,0),0)</f>
        <v>0</v>
      </c>
    </row>
    <row r="2651" spans="1:18" x14ac:dyDescent="0.2">
      <c r="A2651" s="947" t="s">
        <v>183</v>
      </c>
      <c r="B2651" s="947">
        <v>661512</v>
      </c>
      <c r="C2651" s="947" t="s">
        <v>2189</v>
      </c>
      <c r="D2651" s="947" t="s">
        <v>2606</v>
      </c>
      <c r="E2651" s="951">
        <v>105</v>
      </c>
      <c r="F2651" s="951">
        <v>87</v>
      </c>
      <c r="G2651" s="947" t="s">
        <v>159</v>
      </c>
      <c r="H2651" s="951">
        <v>0</v>
      </c>
      <c r="I2651" s="951">
        <v>0</v>
      </c>
      <c r="J2651" s="947" t="s">
        <v>183</v>
      </c>
      <c r="K2651" s="947">
        <v>661512</v>
      </c>
      <c r="M2651" s="631"/>
      <c r="P2651" s="950" t="str">
        <f>VLOOKUP(J2651,'רשימת רשויות'!A:A,1,0)</f>
        <v>אשקלון</v>
      </c>
      <c r="Q2651" s="956">
        <f>IFERROR(VLOOKUP(B2651,[2]מעובד!$D:$K,8,0),0)</f>
        <v>0</v>
      </c>
      <c r="R2651" s="956">
        <f>IFERROR(VLOOKUP(B2651,[2]מעובד!$D:$L,9,0),0)</f>
        <v>0</v>
      </c>
    </row>
    <row r="2652" spans="1:18" x14ac:dyDescent="0.2">
      <c r="A2652" s="947" t="s">
        <v>2777</v>
      </c>
      <c r="B2652" s="947">
        <v>661967</v>
      </c>
      <c r="C2652" s="947" t="s">
        <v>2189</v>
      </c>
      <c r="D2652" s="947" t="s">
        <v>1241</v>
      </c>
      <c r="E2652" s="951">
        <v>107</v>
      </c>
      <c r="F2652" s="951">
        <v>91</v>
      </c>
      <c r="G2652" s="947" t="s">
        <v>3252</v>
      </c>
      <c r="H2652" s="951">
        <v>0</v>
      </c>
      <c r="I2652" s="951">
        <v>0</v>
      </c>
      <c r="J2652" s="947" t="s">
        <v>2777</v>
      </c>
      <c r="K2652" s="947">
        <v>661967</v>
      </c>
      <c r="M2652" s="631"/>
      <c r="P2652" s="950" t="str">
        <f>VLOOKUP(J2652,'רשימת רשויות'!A:A,1,0)</f>
        <v>גני תקווה</v>
      </c>
      <c r="Q2652" s="956">
        <f>IFERROR(VLOOKUP(B2652,[2]מעובד!$D:$K,8,0),0)</f>
        <v>0</v>
      </c>
      <c r="R2652" s="956">
        <f>IFERROR(VLOOKUP(B2652,[2]מעובד!$D:$L,9,0),0)</f>
        <v>0</v>
      </c>
    </row>
    <row r="2653" spans="1:18" x14ac:dyDescent="0.2">
      <c r="A2653" s="947" t="s">
        <v>270</v>
      </c>
      <c r="B2653" s="947">
        <v>662627</v>
      </c>
      <c r="C2653" s="947" t="s">
        <v>2189</v>
      </c>
      <c r="D2653" s="947" t="s">
        <v>2506</v>
      </c>
      <c r="E2653" s="951">
        <v>92</v>
      </c>
      <c r="F2653" s="951">
        <v>92</v>
      </c>
      <c r="G2653" s="947" t="s">
        <v>159</v>
      </c>
      <c r="H2653" s="951">
        <v>0</v>
      </c>
      <c r="I2653" s="951">
        <v>0</v>
      </c>
      <c r="J2653" s="947" t="s">
        <v>270</v>
      </c>
      <c r="K2653" s="947">
        <v>662627</v>
      </c>
      <c r="M2653" s="631"/>
      <c r="P2653" s="950" t="str">
        <f>VLOOKUP(J2653,'רשימת רשויות'!A:A,1,0)</f>
        <v>ירושלים</v>
      </c>
      <c r="Q2653" s="956">
        <f>IFERROR(VLOOKUP(B2653,[2]מעובד!$D:$K,8,0),0)</f>
        <v>0</v>
      </c>
      <c r="R2653" s="956">
        <f>IFERROR(VLOOKUP(B2653,[2]מעובד!$D:$L,9,0),0)</f>
        <v>0</v>
      </c>
    </row>
    <row r="2654" spans="1:18" x14ac:dyDescent="0.2">
      <c r="A2654" s="947" t="s">
        <v>270</v>
      </c>
      <c r="B2654" s="947">
        <v>662932</v>
      </c>
      <c r="C2654" s="947" t="s">
        <v>2189</v>
      </c>
      <c r="D2654" s="947" t="s">
        <v>2507</v>
      </c>
      <c r="E2654" s="951">
        <v>63</v>
      </c>
      <c r="F2654" s="951">
        <v>63</v>
      </c>
      <c r="G2654" s="947" t="s">
        <v>3252</v>
      </c>
      <c r="H2654" s="951">
        <v>0</v>
      </c>
      <c r="I2654" s="951">
        <v>0</v>
      </c>
      <c r="J2654" s="947" t="s">
        <v>270</v>
      </c>
      <c r="K2654" s="947">
        <v>662932</v>
      </c>
      <c r="M2654" s="631"/>
      <c r="P2654" s="950" t="str">
        <f>VLOOKUP(J2654,'רשימת רשויות'!A:A,1,0)</f>
        <v>ירושלים</v>
      </c>
      <c r="Q2654" s="956">
        <f>IFERROR(VLOOKUP(B2654,[2]מעובד!$D:$K,8,0),0)</f>
        <v>0</v>
      </c>
      <c r="R2654" s="956">
        <f>IFERROR(VLOOKUP(B2654,[2]מעובד!$D:$L,9,0),0)</f>
        <v>0</v>
      </c>
    </row>
    <row r="2655" spans="1:18" x14ac:dyDescent="0.2">
      <c r="A2655" s="947" t="s">
        <v>251</v>
      </c>
      <c r="B2655" s="947">
        <v>663047</v>
      </c>
      <c r="C2655" s="947" t="s">
        <v>2189</v>
      </c>
      <c r="D2655" s="947" t="s">
        <v>2508</v>
      </c>
      <c r="E2655" s="951">
        <v>52</v>
      </c>
      <c r="F2655" s="951">
        <v>52</v>
      </c>
      <c r="G2655" s="947" t="s">
        <v>3252</v>
      </c>
      <c r="H2655" s="951">
        <v>0</v>
      </c>
      <c r="I2655" s="951">
        <v>0</v>
      </c>
      <c r="J2655" s="947" t="s">
        <v>251</v>
      </c>
      <c r="K2655" s="947">
        <v>663047</v>
      </c>
      <c r="M2655" s="631"/>
      <c r="P2655" s="950" t="str">
        <f>VLOOKUP(J2655,'רשימת רשויות'!A:A,1,0)</f>
        <v>חיפה</v>
      </c>
      <c r="Q2655" s="956">
        <f>IFERROR(VLOOKUP(B2655,[2]מעובד!$D:$K,8,0),0)</f>
        <v>0</v>
      </c>
      <c r="R2655" s="956">
        <f>IFERROR(VLOOKUP(B2655,[2]מעובד!$D:$L,9,0),0)</f>
        <v>0</v>
      </c>
    </row>
    <row r="2656" spans="1:18" x14ac:dyDescent="0.2">
      <c r="A2656" s="947" t="s">
        <v>335</v>
      </c>
      <c r="B2656" s="947">
        <v>663435</v>
      </c>
      <c r="C2656" s="947" t="s">
        <v>2189</v>
      </c>
      <c r="D2656" s="947" t="s">
        <v>2509</v>
      </c>
      <c r="E2656" s="951">
        <v>190</v>
      </c>
      <c r="F2656" s="951">
        <v>155</v>
      </c>
      <c r="G2656" s="947" t="s">
        <v>159</v>
      </c>
      <c r="H2656" s="951">
        <v>68</v>
      </c>
      <c r="I2656" s="951">
        <v>9</v>
      </c>
      <c r="J2656" s="947" t="s">
        <v>335</v>
      </c>
      <c r="K2656" s="947">
        <v>663435</v>
      </c>
      <c r="M2656" s="631"/>
      <c r="P2656" s="950" t="str">
        <f>VLOOKUP(J2656,'רשימת רשויות'!A:A,1,0)</f>
        <v>נתיבות</v>
      </c>
      <c r="Q2656" s="956">
        <f>IFERROR(VLOOKUP(B2656,[2]מעובד!$D:$K,8,0),0)</f>
        <v>55</v>
      </c>
      <c r="R2656" s="956">
        <f>IFERROR(VLOOKUP(B2656,[2]מעובד!$D:$L,9,0),0)</f>
        <v>43</v>
      </c>
    </row>
    <row r="2657" spans="1:18" x14ac:dyDescent="0.2">
      <c r="A2657" s="947" t="s">
        <v>335</v>
      </c>
      <c r="B2657" s="947">
        <v>663443</v>
      </c>
      <c r="C2657" s="947" t="s">
        <v>2189</v>
      </c>
      <c r="D2657" s="947" t="s">
        <v>2722</v>
      </c>
      <c r="E2657" s="951">
        <v>259</v>
      </c>
      <c r="F2657" s="951">
        <v>218</v>
      </c>
      <c r="G2657" s="947" t="s">
        <v>159</v>
      </c>
      <c r="H2657" s="951">
        <v>259</v>
      </c>
      <c r="I2657" s="951">
        <v>29</v>
      </c>
      <c r="J2657" s="947" t="s">
        <v>335</v>
      </c>
      <c r="K2657" s="947">
        <v>663443</v>
      </c>
      <c r="M2657" s="631"/>
      <c r="P2657" s="950" t="str">
        <f>VLOOKUP(J2657,'רשימת רשויות'!A:A,1,0)</f>
        <v>נתיבות</v>
      </c>
      <c r="Q2657" s="956">
        <f>IFERROR(VLOOKUP(B2657,[2]מעובד!$D:$K,8,0),0)</f>
        <v>78</v>
      </c>
      <c r="R2657" s="956">
        <f>IFERROR(VLOOKUP(B2657,[2]מעובד!$D:$L,9,0),0)</f>
        <v>53</v>
      </c>
    </row>
    <row r="2658" spans="1:18" x14ac:dyDescent="0.2">
      <c r="A2658" s="947" t="s">
        <v>253</v>
      </c>
      <c r="B2658" s="947">
        <v>663930</v>
      </c>
      <c r="C2658" s="947" t="s">
        <v>2189</v>
      </c>
      <c r="D2658" s="947" t="s">
        <v>3158</v>
      </c>
      <c r="E2658" s="951">
        <v>137</v>
      </c>
      <c r="F2658" s="951">
        <v>0</v>
      </c>
      <c r="G2658" s="947" t="s">
        <v>3252</v>
      </c>
      <c r="H2658" s="951">
        <v>0</v>
      </c>
      <c r="I2658" s="951">
        <v>0</v>
      </c>
      <c r="J2658" s="947" t="s">
        <v>253</v>
      </c>
      <c r="K2658" s="947">
        <v>663930</v>
      </c>
      <c r="M2658" s="631"/>
      <c r="P2658" s="950" t="str">
        <f>VLOOKUP(J2658,'רשימת רשויות'!A:A,1,0)</f>
        <v>חריש</v>
      </c>
      <c r="Q2658" s="956">
        <f>IFERROR(VLOOKUP(B2658,[2]מעובד!$D:$K,8,0),0)</f>
        <v>0</v>
      </c>
      <c r="R2658" s="956">
        <f>IFERROR(VLOOKUP(B2658,[2]מעובד!$D:$L,9,0),0)</f>
        <v>0</v>
      </c>
    </row>
    <row r="2659" spans="1:18" x14ac:dyDescent="0.2">
      <c r="A2659" s="947" t="s">
        <v>270</v>
      </c>
      <c r="B2659" s="947">
        <v>664243</v>
      </c>
      <c r="C2659" s="947" t="s">
        <v>2189</v>
      </c>
      <c r="D2659" s="947" t="s">
        <v>3159</v>
      </c>
      <c r="E2659" s="951">
        <v>71</v>
      </c>
      <c r="F2659" s="951">
        <v>68</v>
      </c>
      <c r="G2659" s="947" t="s">
        <v>3252</v>
      </c>
      <c r="H2659" s="951">
        <v>0</v>
      </c>
      <c r="I2659" s="951">
        <v>0</v>
      </c>
      <c r="J2659" s="947" t="s">
        <v>270</v>
      </c>
      <c r="K2659" s="947">
        <v>664243</v>
      </c>
      <c r="M2659" s="631"/>
      <c r="P2659" s="950" t="str">
        <f>VLOOKUP(J2659,'רשימת רשויות'!A:A,1,0)</f>
        <v>ירושלים</v>
      </c>
      <c r="Q2659" s="956">
        <f>IFERROR(VLOOKUP(B2659,[2]מעובד!$D:$K,8,0),0)</f>
        <v>0</v>
      </c>
      <c r="R2659" s="956">
        <f>IFERROR(VLOOKUP(B2659,[2]מעובד!$D:$L,9,0),0)</f>
        <v>0</v>
      </c>
    </row>
    <row r="2660" spans="1:18" x14ac:dyDescent="0.2">
      <c r="A2660" s="947" t="s">
        <v>270</v>
      </c>
      <c r="B2660" s="947">
        <v>665364</v>
      </c>
      <c r="C2660" s="947" t="s">
        <v>2189</v>
      </c>
      <c r="D2660" s="947" t="s">
        <v>2510</v>
      </c>
      <c r="E2660" s="951">
        <v>59</v>
      </c>
      <c r="F2660" s="951">
        <v>58</v>
      </c>
      <c r="G2660" s="947" t="s">
        <v>159</v>
      </c>
      <c r="H2660" s="951">
        <v>0</v>
      </c>
      <c r="I2660" s="951">
        <v>0</v>
      </c>
      <c r="J2660" s="947" t="s">
        <v>270</v>
      </c>
      <c r="K2660" s="947">
        <v>665364</v>
      </c>
      <c r="M2660" s="631"/>
      <c r="P2660" s="950" t="str">
        <f>VLOOKUP(J2660,'רשימת רשויות'!A:A,1,0)</f>
        <v>ירושלים</v>
      </c>
      <c r="Q2660" s="956">
        <f>IFERROR(VLOOKUP(B2660,[2]מעובד!$D:$K,8,0),0)</f>
        <v>0</v>
      </c>
      <c r="R2660" s="956">
        <f>IFERROR(VLOOKUP(B2660,[2]מעובד!$D:$L,9,0),0)</f>
        <v>0</v>
      </c>
    </row>
    <row r="2661" spans="1:18" x14ac:dyDescent="0.2">
      <c r="A2661" s="947" t="s">
        <v>269</v>
      </c>
      <c r="B2661" s="947">
        <v>666008</v>
      </c>
      <c r="C2661" s="947" t="s">
        <v>2189</v>
      </c>
      <c r="D2661" s="947" t="s">
        <v>1072</v>
      </c>
      <c r="E2661" s="951">
        <v>49</v>
      </c>
      <c r="F2661" s="951">
        <v>28</v>
      </c>
      <c r="G2661" s="947" t="s">
        <v>159</v>
      </c>
      <c r="H2661" s="951">
        <v>0</v>
      </c>
      <c r="I2661" s="951">
        <v>0</v>
      </c>
      <c r="J2661" s="947" t="s">
        <v>269</v>
      </c>
      <c r="K2661" s="947">
        <v>666008</v>
      </c>
      <c r="M2661" s="631"/>
      <c r="P2661" s="950" t="str">
        <f>VLOOKUP(J2661,'רשימת רשויות'!A:A,1,0)</f>
        <v>ירוחם</v>
      </c>
      <c r="Q2661" s="956">
        <f>IFERROR(VLOOKUP(B2661,[2]מעובד!$D:$K,8,0),0)</f>
        <v>72</v>
      </c>
      <c r="R2661" s="956">
        <f>IFERROR(VLOOKUP(B2661,[2]מעובד!$D:$L,9,0),0)</f>
        <v>38</v>
      </c>
    </row>
    <row r="2662" spans="1:18" x14ac:dyDescent="0.2">
      <c r="A2662" s="947" t="s">
        <v>270</v>
      </c>
      <c r="B2662" s="947">
        <v>666016</v>
      </c>
      <c r="C2662" s="947" t="s">
        <v>2189</v>
      </c>
      <c r="D2662" s="947" t="s">
        <v>2511</v>
      </c>
      <c r="E2662" s="951">
        <v>152</v>
      </c>
      <c r="F2662" s="951">
        <v>124</v>
      </c>
      <c r="G2662" s="947" t="s">
        <v>159</v>
      </c>
      <c r="H2662" s="951">
        <v>111</v>
      </c>
      <c r="I2662" s="951">
        <v>15</v>
      </c>
      <c r="J2662" s="947" t="s">
        <v>270</v>
      </c>
      <c r="K2662" s="947">
        <v>666016</v>
      </c>
      <c r="M2662" s="631"/>
      <c r="P2662" s="950" t="str">
        <f>VLOOKUP(J2662,'רשימת רשויות'!A:A,1,0)</f>
        <v>ירושלים</v>
      </c>
      <c r="Q2662" s="956">
        <f>IFERROR(VLOOKUP(B2662,[2]מעובד!$D:$K,8,0),0)</f>
        <v>43</v>
      </c>
      <c r="R2662" s="956">
        <f>IFERROR(VLOOKUP(B2662,[2]מעובד!$D:$L,9,0),0)</f>
        <v>40</v>
      </c>
    </row>
    <row r="2663" spans="1:18" x14ac:dyDescent="0.2">
      <c r="A2663" s="947" t="s">
        <v>219</v>
      </c>
      <c r="B2663" s="947">
        <v>668368</v>
      </c>
      <c r="C2663" s="947" t="s">
        <v>2189</v>
      </c>
      <c r="D2663" s="947" t="s">
        <v>714</v>
      </c>
      <c r="E2663" s="951">
        <v>104</v>
      </c>
      <c r="F2663" s="951">
        <v>102</v>
      </c>
      <c r="G2663" s="947" t="s">
        <v>159</v>
      </c>
      <c r="H2663" s="951">
        <v>0</v>
      </c>
      <c r="I2663" s="951">
        <v>0</v>
      </c>
      <c r="J2663" s="947" t="s">
        <v>219</v>
      </c>
      <c r="K2663" s="947">
        <v>668368</v>
      </c>
      <c r="M2663" s="631"/>
      <c r="P2663" s="950" t="str">
        <f>VLOOKUP(J2663,'רשימת רשויות'!A:A,1,0)</f>
        <v>גוש עציון</v>
      </c>
      <c r="Q2663" s="956">
        <f>IFERROR(VLOOKUP(B2663,[2]מעובד!$D:$K,8,0),0)</f>
        <v>94</v>
      </c>
      <c r="R2663" s="956">
        <f>IFERROR(VLOOKUP(B2663,[2]מעובד!$D:$L,9,0),0)</f>
        <v>27</v>
      </c>
    </row>
    <row r="2664" spans="1:18" x14ac:dyDescent="0.2">
      <c r="A2664" s="947" t="s">
        <v>246</v>
      </c>
      <c r="B2664" s="947">
        <v>670380</v>
      </c>
      <c r="C2664" s="947" t="s">
        <v>2189</v>
      </c>
      <c r="D2664" s="947" t="s">
        <v>2512</v>
      </c>
      <c r="E2664" s="951">
        <v>36</v>
      </c>
      <c r="F2664" s="951">
        <v>22</v>
      </c>
      <c r="G2664" s="947" t="s">
        <v>159</v>
      </c>
      <c r="H2664" s="951">
        <v>0</v>
      </c>
      <c r="I2664" s="951">
        <v>0</v>
      </c>
      <c r="J2664" s="947" t="s">
        <v>246</v>
      </c>
      <c r="K2664" s="947">
        <v>670380</v>
      </c>
      <c r="M2664" s="631"/>
      <c r="P2664" s="950" t="str">
        <f>VLOOKUP(J2664,'רשימת רשויות'!A:A,1,0)</f>
        <v>חוף אשקלון</v>
      </c>
      <c r="Q2664" s="956">
        <f>IFERROR(VLOOKUP(B2664,[2]מעובד!$D:$K,8,0),0)</f>
        <v>0</v>
      </c>
      <c r="R2664" s="956">
        <f>IFERROR(VLOOKUP(B2664,[2]מעובד!$D:$L,9,0),0)</f>
        <v>0</v>
      </c>
    </row>
    <row r="2665" spans="1:18" x14ac:dyDescent="0.2">
      <c r="A2665" s="947" t="s">
        <v>181</v>
      </c>
      <c r="B2665" s="947">
        <v>670992</v>
      </c>
      <c r="C2665" s="947" t="s">
        <v>2189</v>
      </c>
      <c r="D2665" s="947" t="s">
        <v>2771</v>
      </c>
      <c r="E2665" s="951">
        <v>160</v>
      </c>
      <c r="F2665" s="951">
        <v>160</v>
      </c>
      <c r="G2665" s="947" t="s">
        <v>3252</v>
      </c>
      <c r="H2665" s="951">
        <v>0</v>
      </c>
      <c r="I2665" s="951">
        <v>0</v>
      </c>
      <c r="J2665" s="947" t="s">
        <v>181</v>
      </c>
      <c r="K2665" s="947">
        <v>670992</v>
      </c>
      <c r="M2665" s="631"/>
      <c r="P2665" s="950" t="str">
        <f>VLOOKUP(J2665,'רשימת רשויות'!A:A,1,0)</f>
        <v>אשדוד</v>
      </c>
      <c r="Q2665" s="956">
        <f>IFERROR(VLOOKUP(B2665,[2]מעובד!$D:$K,8,0),0)</f>
        <v>0</v>
      </c>
      <c r="R2665" s="956">
        <f>IFERROR(VLOOKUP(B2665,[2]מעובד!$D:$L,9,0),0)</f>
        <v>0</v>
      </c>
    </row>
    <row r="2666" spans="1:18" x14ac:dyDescent="0.2">
      <c r="A2666" s="947" t="s">
        <v>198</v>
      </c>
      <c r="B2666" s="947">
        <v>671321</v>
      </c>
      <c r="C2666" s="947" t="s">
        <v>2189</v>
      </c>
      <c r="D2666" s="947" t="s">
        <v>2029</v>
      </c>
      <c r="E2666" s="951">
        <v>52</v>
      </c>
      <c r="F2666" s="951">
        <v>52</v>
      </c>
      <c r="G2666" s="947" t="s">
        <v>3252</v>
      </c>
      <c r="H2666" s="951">
        <v>0</v>
      </c>
      <c r="I2666" s="951">
        <v>0</v>
      </c>
      <c r="J2666" s="947" t="s">
        <v>198</v>
      </c>
      <c r="K2666" s="947">
        <v>671321</v>
      </c>
      <c r="M2666" s="631"/>
      <c r="P2666" s="950" t="str">
        <f>VLOOKUP(J2666,'רשימת רשויות'!A:A,1,0)</f>
        <v>בני ברק</v>
      </c>
      <c r="Q2666" s="956">
        <f>IFERROR(VLOOKUP(B2666,[2]מעובד!$D:$K,8,0),0)</f>
        <v>0</v>
      </c>
      <c r="R2666" s="956">
        <f>IFERROR(VLOOKUP(B2666,[2]מעובד!$D:$L,9,0),0)</f>
        <v>0</v>
      </c>
    </row>
    <row r="2667" spans="1:18" x14ac:dyDescent="0.2">
      <c r="A2667" s="947" t="s">
        <v>270</v>
      </c>
      <c r="B2667" s="947">
        <v>671362</v>
      </c>
      <c r="C2667" s="947" t="s">
        <v>2189</v>
      </c>
      <c r="D2667" s="947" t="s">
        <v>2514</v>
      </c>
      <c r="E2667" s="951">
        <v>109</v>
      </c>
      <c r="F2667" s="951">
        <v>109</v>
      </c>
      <c r="G2667" s="947" t="s">
        <v>3252</v>
      </c>
      <c r="H2667" s="951">
        <v>0</v>
      </c>
      <c r="I2667" s="951">
        <v>0</v>
      </c>
      <c r="J2667" s="947" t="s">
        <v>270</v>
      </c>
      <c r="K2667" s="947">
        <v>671362</v>
      </c>
      <c r="M2667" s="631"/>
      <c r="P2667" s="950" t="str">
        <f>VLOOKUP(J2667,'רשימת רשויות'!A:A,1,0)</f>
        <v>ירושלים</v>
      </c>
      <c r="Q2667" s="956">
        <f>IFERROR(VLOOKUP(B2667,[2]מעובד!$D:$K,8,0),0)</f>
        <v>0</v>
      </c>
      <c r="R2667" s="956">
        <f>IFERROR(VLOOKUP(B2667,[2]מעובד!$D:$L,9,0),0)</f>
        <v>0</v>
      </c>
    </row>
    <row r="2668" spans="1:18" x14ac:dyDescent="0.2">
      <c r="A2668" s="947" t="s">
        <v>268</v>
      </c>
      <c r="B2668" s="947">
        <v>673228</v>
      </c>
      <c r="C2668" s="947" t="s">
        <v>2189</v>
      </c>
      <c r="D2668" s="947" t="s">
        <v>2664</v>
      </c>
      <c r="E2668" s="951">
        <v>148</v>
      </c>
      <c r="F2668" s="951">
        <v>113</v>
      </c>
      <c r="G2668" s="947" t="s">
        <v>159</v>
      </c>
      <c r="H2668" s="951">
        <v>0</v>
      </c>
      <c r="I2668" s="951">
        <v>0</v>
      </c>
      <c r="J2668" s="947" t="s">
        <v>268</v>
      </c>
      <c r="K2668" s="947">
        <v>673228</v>
      </c>
      <c r="M2668" s="631"/>
      <c r="P2668" s="950" t="str">
        <f>VLOOKUP(J2668,'רשימת רשויות'!A:A,1,0)</f>
        <v>יקנעם עילית</v>
      </c>
      <c r="Q2668" s="956">
        <f>IFERROR(VLOOKUP(B2668,[2]מעובד!$D:$K,8,0),0)</f>
        <v>53</v>
      </c>
      <c r="R2668" s="956">
        <f>IFERROR(VLOOKUP(B2668,[2]מעובד!$D:$L,9,0),0)</f>
        <v>21</v>
      </c>
    </row>
    <row r="2669" spans="1:18" x14ac:dyDescent="0.2">
      <c r="A2669" s="947" t="s">
        <v>270</v>
      </c>
      <c r="B2669" s="947">
        <v>673384</v>
      </c>
      <c r="C2669" s="947" t="s">
        <v>2189</v>
      </c>
      <c r="D2669" s="947" t="s">
        <v>2629</v>
      </c>
      <c r="E2669" s="951">
        <v>382</v>
      </c>
      <c r="F2669" s="951">
        <v>382</v>
      </c>
      <c r="G2669" s="947" t="s">
        <v>3252</v>
      </c>
      <c r="H2669" s="951">
        <v>0</v>
      </c>
      <c r="I2669" s="951">
        <v>0</v>
      </c>
      <c r="J2669" s="947" t="s">
        <v>270</v>
      </c>
      <c r="K2669" s="947">
        <v>673384</v>
      </c>
      <c r="M2669" s="631"/>
      <c r="P2669" s="950" t="str">
        <f>VLOOKUP(J2669,'רשימת רשויות'!A:A,1,0)</f>
        <v>ירושלים</v>
      </c>
      <c r="Q2669" s="956">
        <f>IFERROR(VLOOKUP(B2669,[2]מעובד!$D:$K,8,0),0)</f>
        <v>296</v>
      </c>
      <c r="R2669" s="956">
        <f>IFERROR(VLOOKUP(B2669,[2]מעובד!$D:$L,9,0),0)</f>
        <v>47</v>
      </c>
    </row>
    <row r="2670" spans="1:18" x14ac:dyDescent="0.2">
      <c r="A2670" s="947" t="s">
        <v>196</v>
      </c>
      <c r="B2670" s="947">
        <v>673392</v>
      </c>
      <c r="C2670" s="947" t="s">
        <v>2189</v>
      </c>
      <c r="D2670" s="947" t="s">
        <v>2620</v>
      </c>
      <c r="E2670" s="951">
        <v>449</v>
      </c>
      <c r="F2670" s="951">
        <v>421</v>
      </c>
      <c r="G2670" s="947" t="s">
        <v>3252</v>
      </c>
      <c r="H2670" s="951">
        <v>286</v>
      </c>
      <c r="I2670" s="951">
        <v>20</v>
      </c>
      <c r="J2670" s="947" t="s">
        <v>196</v>
      </c>
      <c r="K2670" s="947">
        <v>673392</v>
      </c>
      <c r="M2670" s="631"/>
      <c r="P2670" s="950" t="str">
        <f>VLOOKUP(J2670,'רשימת רשויות'!A:A,1,0)</f>
        <v>בית שמש</v>
      </c>
      <c r="Q2670" s="956">
        <f>IFERROR(VLOOKUP(B2670,[2]מעובד!$D:$K,8,0),0)</f>
        <v>244</v>
      </c>
      <c r="R2670" s="956">
        <f>IFERROR(VLOOKUP(B2670,[2]מעובד!$D:$L,9,0),0)</f>
        <v>220</v>
      </c>
    </row>
    <row r="2671" spans="1:18" x14ac:dyDescent="0.2">
      <c r="A2671" s="947" t="s">
        <v>270</v>
      </c>
      <c r="B2671" s="947">
        <v>673723</v>
      </c>
      <c r="C2671" s="947" t="s">
        <v>2189</v>
      </c>
      <c r="D2671" s="947" t="s">
        <v>2738</v>
      </c>
      <c r="E2671" s="951">
        <v>373</v>
      </c>
      <c r="F2671" s="951">
        <v>362</v>
      </c>
      <c r="G2671" s="947" t="s">
        <v>3252</v>
      </c>
      <c r="H2671" s="951">
        <v>0</v>
      </c>
      <c r="I2671" s="951">
        <v>0</v>
      </c>
      <c r="J2671" s="947" t="s">
        <v>270</v>
      </c>
      <c r="K2671" s="947">
        <v>673723</v>
      </c>
      <c r="M2671" s="631"/>
      <c r="P2671" s="950" t="str">
        <f>VLOOKUP(J2671,'רשימת רשויות'!A:A,1,0)</f>
        <v>ירושלים</v>
      </c>
      <c r="Q2671" s="956">
        <f>IFERROR(VLOOKUP(B2671,[2]מעובד!$D:$K,8,0),0)</f>
        <v>0</v>
      </c>
      <c r="R2671" s="956">
        <f>IFERROR(VLOOKUP(B2671,[2]מעובד!$D:$L,9,0),0)</f>
        <v>0</v>
      </c>
    </row>
    <row r="2672" spans="1:18" x14ac:dyDescent="0.2">
      <c r="A2672" s="947" t="s">
        <v>373</v>
      </c>
      <c r="B2672" s="947">
        <v>673756</v>
      </c>
      <c r="C2672" s="947" t="s">
        <v>2189</v>
      </c>
      <c r="D2672" s="947" t="s">
        <v>2459</v>
      </c>
      <c r="E2672" s="951">
        <v>171</v>
      </c>
      <c r="F2672" s="951">
        <v>157</v>
      </c>
      <c r="G2672" s="947" t="s">
        <v>159</v>
      </c>
      <c r="H2672" s="951">
        <v>83</v>
      </c>
      <c r="I2672" s="951">
        <v>12</v>
      </c>
      <c r="J2672" s="947" t="s">
        <v>373</v>
      </c>
      <c r="K2672" s="947">
        <v>673756</v>
      </c>
      <c r="M2672" s="631"/>
      <c r="P2672" s="950" t="str">
        <f>VLOOKUP(J2672,'רשימת רשויות'!A:A,1,0)</f>
        <v>קרית גת</v>
      </c>
      <c r="Q2672" s="956">
        <f>IFERROR(VLOOKUP(B2672,[2]מעובד!$D:$K,8,0),0)</f>
        <v>0</v>
      </c>
      <c r="R2672" s="956">
        <f>IFERROR(VLOOKUP(B2672,[2]מעובד!$D:$L,9,0),0)</f>
        <v>0</v>
      </c>
    </row>
    <row r="2673" spans="1:18" x14ac:dyDescent="0.2">
      <c r="A2673" s="947" t="s">
        <v>183</v>
      </c>
      <c r="B2673" s="947">
        <v>674143</v>
      </c>
      <c r="C2673" s="947" t="s">
        <v>2189</v>
      </c>
      <c r="D2673" s="947" t="s">
        <v>2607</v>
      </c>
      <c r="E2673" s="951">
        <v>142</v>
      </c>
      <c r="F2673" s="951">
        <v>116</v>
      </c>
      <c r="G2673" s="947" t="s">
        <v>159</v>
      </c>
      <c r="H2673" s="951">
        <v>0</v>
      </c>
      <c r="I2673" s="951">
        <v>0</v>
      </c>
      <c r="J2673" s="947" t="s">
        <v>183</v>
      </c>
      <c r="K2673" s="947">
        <v>674143</v>
      </c>
      <c r="M2673" s="631"/>
      <c r="P2673" s="950" t="str">
        <f>VLOOKUP(J2673,'רשימת רשויות'!A:A,1,0)</f>
        <v>אשקלון</v>
      </c>
      <c r="Q2673" s="956">
        <f>IFERROR(VLOOKUP(B2673,[2]מעובד!$D:$K,8,0),0)</f>
        <v>0</v>
      </c>
      <c r="R2673" s="956">
        <f>IFERROR(VLOOKUP(B2673,[2]מעובד!$D:$L,9,0),0)</f>
        <v>0</v>
      </c>
    </row>
    <row r="2674" spans="1:18" x14ac:dyDescent="0.2">
      <c r="A2674" s="947" t="s">
        <v>395</v>
      </c>
      <c r="B2674" s="947">
        <v>674325</v>
      </c>
      <c r="C2674" s="947" t="s">
        <v>2189</v>
      </c>
      <c r="D2674" s="947" t="s">
        <v>3160</v>
      </c>
      <c r="E2674" s="951">
        <v>2</v>
      </c>
      <c r="F2674" s="951">
        <v>0</v>
      </c>
      <c r="G2674" s="947" t="s">
        <v>3252</v>
      </c>
      <c r="H2674" s="951">
        <v>0</v>
      </c>
      <c r="I2674" s="951">
        <v>0</v>
      </c>
      <c r="J2674" s="947" t="s">
        <v>395</v>
      </c>
      <c r="K2674" s="947">
        <v>674325</v>
      </c>
      <c r="M2674" s="631"/>
      <c r="P2674" s="950" t="str">
        <f>VLOOKUP(J2674,'רשימת רשויות'!A:A,1,0)</f>
        <v>רעננה</v>
      </c>
      <c r="Q2674" s="956">
        <f>IFERROR(VLOOKUP(B2674,[2]מעובד!$D:$K,8,0),0)</f>
        <v>0</v>
      </c>
      <c r="R2674" s="956">
        <f>IFERROR(VLOOKUP(B2674,[2]מעובד!$D:$L,9,0),0)</f>
        <v>0</v>
      </c>
    </row>
    <row r="2675" spans="1:18" x14ac:dyDescent="0.2">
      <c r="A2675" s="947" t="s">
        <v>270</v>
      </c>
      <c r="B2675" s="947">
        <v>674549</v>
      </c>
      <c r="C2675" s="947" t="s">
        <v>2189</v>
      </c>
      <c r="D2675" s="947" t="s">
        <v>2630</v>
      </c>
      <c r="E2675" s="951">
        <v>43</v>
      </c>
      <c r="F2675" s="951">
        <v>40</v>
      </c>
      <c r="G2675" s="947" t="s">
        <v>3252</v>
      </c>
      <c r="H2675" s="951">
        <v>0</v>
      </c>
      <c r="I2675" s="951">
        <v>0</v>
      </c>
      <c r="J2675" s="947" t="s">
        <v>270</v>
      </c>
      <c r="K2675" s="947">
        <v>674549</v>
      </c>
      <c r="M2675" s="631"/>
      <c r="P2675" s="950" t="str">
        <f>VLOOKUP(J2675,'רשימת רשויות'!A:A,1,0)</f>
        <v>ירושלים</v>
      </c>
      <c r="Q2675" s="956">
        <f>IFERROR(VLOOKUP(B2675,[2]מעובד!$D:$K,8,0),0)</f>
        <v>0</v>
      </c>
      <c r="R2675" s="956">
        <f>IFERROR(VLOOKUP(B2675,[2]מעובד!$D:$L,9,0),0)</f>
        <v>10</v>
      </c>
    </row>
    <row r="2676" spans="1:18" x14ac:dyDescent="0.2">
      <c r="A2676" s="947" t="s">
        <v>270</v>
      </c>
      <c r="B2676" s="947">
        <v>674564</v>
      </c>
      <c r="C2676" s="947" t="s">
        <v>2189</v>
      </c>
      <c r="D2676" s="947" t="s">
        <v>3161</v>
      </c>
      <c r="E2676" s="951">
        <v>306</v>
      </c>
      <c r="F2676" s="951">
        <v>0</v>
      </c>
      <c r="G2676" s="947" t="s">
        <v>3252</v>
      </c>
      <c r="H2676" s="951">
        <v>0</v>
      </c>
      <c r="I2676" s="951">
        <v>0</v>
      </c>
      <c r="J2676" s="947" t="s">
        <v>270</v>
      </c>
      <c r="K2676" s="947">
        <v>674564</v>
      </c>
      <c r="M2676" s="631"/>
      <c r="P2676" s="950" t="str">
        <f>VLOOKUP(J2676,'רשימת רשויות'!A:A,1,0)</f>
        <v>ירושלים</v>
      </c>
      <c r="Q2676" s="956">
        <f>IFERROR(VLOOKUP(B2676,[2]מעובד!$D:$K,8,0),0)</f>
        <v>0</v>
      </c>
      <c r="R2676" s="956">
        <f>IFERROR(VLOOKUP(B2676,[2]מעובד!$D:$L,9,0),0)</f>
        <v>0</v>
      </c>
    </row>
    <row r="2677" spans="1:18" x14ac:dyDescent="0.2">
      <c r="A2677" s="947" t="s">
        <v>268</v>
      </c>
      <c r="B2677" s="947">
        <v>674655</v>
      </c>
      <c r="C2677" s="947" t="s">
        <v>2189</v>
      </c>
      <c r="D2677" s="947" t="s">
        <v>1241</v>
      </c>
      <c r="E2677" s="951">
        <v>71</v>
      </c>
      <c r="F2677" s="951">
        <v>51</v>
      </c>
      <c r="G2677" s="947" t="s">
        <v>3252</v>
      </c>
      <c r="H2677" s="951">
        <v>0</v>
      </c>
      <c r="I2677" s="951">
        <v>0</v>
      </c>
      <c r="J2677" s="947" t="s">
        <v>268</v>
      </c>
      <c r="K2677" s="947">
        <v>674655</v>
      </c>
      <c r="M2677" s="631"/>
      <c r="P2677" s="950" t="str">
        <f>VLOOKUP(J2677,'רשימת רשויות'!A:A,1,0)</f>
        <v>יקנעם עילית</v>
      </c>
      <c r="Q2677" s="956">
        <f>IFERROR(VLOOKUP(B2677,[2]מעובד!$D:$K,8,0),0)</f>
        <v>0</v>
      </c>
      <c r="R2677" s="956">
        <f>IFERROR(VLOOKUP(B2677,[2]מעובד!$D:$L,9,0),0)</f>
        <v>6</v>
      </c>
    </row>
    <row r="2678" spans="1:18" x14ac:dyDescent="0.2">
      <c r="A2678" s="947" t="s">
        <v>335</v>
      </c>
      <c r="B2678" s="947">
        <v>675272</v>
      </c>
      <c r="C2678" s="947" t="s">
        <v>2189</v>
      </c>
      <c r="D2678" s="947" t="s">
        <v>2613</v>
      </c>
      <c r="E2678" s="951">
        <v>87</v>
      </c>
      <c r="F2678" s="951">
        <v>85</v>
      </c>
      <c r="G2678" s="947" t="s">
        <v>3252</v>
      </c>
      <c r="H2678" s="951">
        <v>0</v>
      </c>
      <c r="I2678" s="951">
        <v>0</v>
      </c>
      <c r="J2678" s="947" t="s">
        <v>335</v>
      </c>
      <c r="K2678" s="947">
        <v>675272</v>
      </c>
      <c r="M2678" s="631"/>
      <c r="P2678" s="950" t="str">
        <f>VLOOKUP(J2678,'רשימת רשויות'!A:A,1,0)</f>
        <v>נתיבות</v>
      </c>
      <c r="Q2678" s="956">
        <f>IFERROR(VLOOKUP(B2678,[2]מעובד!$D:$K,8,0),0)</f>
        <v>77</v>
      </c>
      <c r="R2678" s="956">
        <f>IFERROR(VLOOKUP(B2678,[2]מעובד!$D:$L,9,0),0)</f>
        <v>80</v>
      </c>
    </row>
    <row r="2679" spans="1:18" x14ac:dyDescent="0.2">
      <c r="A2679" s="947" t="s">
        <v>196</v>
      </c>
      <c r="B2679" s="947">
        <v>675298</v>
      </c>
      <c r="C2679" s="947" t="s">
        <v>2189</v>
      </c>
      <c r="D2679" s="947" t="s">
        <v>2762</v>
      </c>
      <c r="E2679" s="951">
        <v>66</v>
      </c>
      <c r="F2679" s="951">
        <v>61</v>
      </c>
      <c r="G2679" s="947" t="s">
        <v>3252</v>
      </c>
      <c r="H2679" s="951">
        <v>0</v>
      </c>
      <c r="I2679" s="951">
        <v>0</v>
      </c>
      <c r="J2679" s="947" t="s">
        <v>196</v>
      </c>
      <c r="K2679" s="947">
        <v>675298</v>
      </c>
      <c r="M2679" s="631"/>
      <c r="P2679" s="950" t="str">
        <f>VLOOKUP(J2679,'רשימת רשויות'!A:A,1,0)</f>
        <v>בית שמש</v>
      </c>
      <c r="Q2679" s="956">
        <f>IFERROR(VLOOKUP(B2679,[2]מעובד!$D:$K,8,0),0)</f>
        <v>20</v>
      </c>
      <c r="R2679" s="956">
        <f>IFERROR(VLOOKUP(B2679,[2]מעובד!$D:$L,9,0),0)</f>
        <v>22</v>
      </c>
    </row>
    <row r="2680" spans="1:18" x14ac:dyDescent="0.2">
      <c r="A2680" s="947" t="s">
        <v>347</v>
      </c>
      <c r="B2680" s="947">
        <v>675454</v>
      </c>
      <c r="C2680" s="947" t="s">
        <v>2189</v>
      </c>
      <c r="D2680" s="947" t="s">
        <v>2714</v>
      </c>
      <c r="E2680" s="951">
        <v>73</v>
      </c>
      <c r="F2680" s="951">
        <v>76</v>
      </c>
      <c r="G2680" s="947" t="s">
        <v>3252</v>
      </c>
      <c r="H2680" s="951">
        <v>0</v>
      </c>
      <c r="I2680" s="951">
        <v>0</v>
      </c>
      <c r="J2680" s="947" t="s">
        <v>347</v>
      </c>
      <c r="K2680" s="947">
        <v>675454</v>
      </c>
      <c r="M2680" s="631"/>
      <c r="P2680" s="950" t="str">
        <f>VLOOKUP(J2680,'רשימת רשויות'!A:A,1,0)</f>
        <v>עמנואל</v>
      </c>
      <c r="Q2680" s="956">
        <f>IFERROR(VLOOKUP(B2680,[2]מעובד!$D:$K,8,0),0)</f>
        <v>0</v>
      </c>
      <c r="R2680" s="956">
        <f>IFERROR(VLOOKUP(B2680,[2]מעובד!$D:$L,9,0),0)</f>
        <v>0</v>
      </c>
    </row>
    <row r="2681" spans="1:18" x14ac:dyDescent="0.2">
      <c r="A2681" s="947" t="s">
        <v>261</v>
      </c>
      <c r="B2681" s="947">
        <v>675520</v>
      </c>
      <c r="C2681" s="947" t="s">
        <v>2189</v>
      </c>
      <c r="D2681" s="947" t="s">
        <v>2611</v>
      </c>
      <c r="E2681" s="951">
        <v>62</v>
      </c>
      <c r="F2681" s="951">
        <v>62</v>
      </c>
      <c r="G2681" s="947" t="s">
        <v>3252</v>
      </c>
      <c r="H2681" s="951">
        <v>0</v>
      </c>
      <c r="I2681" s="951">
        <v>0</v>
      </c>
      <c r="J2681" s="947" t="s">
        <v>261</v>
      </c>
      <c r="K2681" s="947">
        <v>675520</v>
      </c>
      <c r="M2681" s="631"/>
      <c r="P2681" s="950" t="str">
        <f>VLOOKUP(J2681,'רשימת רשויות'!A:A,1,0)</f>
        <v>יבנאל</v>
      </c>
      <c r="Q2681" s="956">
        <f>IFERROR(VLOOKUP(B2681,[2]מעובד!$D:$K,8,0),0)</f>
        <v>63</v>
      </c>
      <c r="R2681" s="956">
        <f>IFERROR(VLOOKUP(B2681,[2]מעובד!$D:$L,9,0),0)</f>
        <v>65</v>
      </c>
    </row>
    <row r="2682" spans="1:18" x14ac:dyDescent="0.2">
      <c r="A2682" s="947" t="s">
        <v>164</v>
      </c>
      <c r="B2682" s="947">
        <v>675694</v>
      </c>
      <c r="C2682" s="947" t="s">
        <v>2189</v>
      </c>
      <c r="D2682" s="947" t="s">
        <v>668</v>
      </c>
      <c r="E2682" s="951">
        <v>268</v>
      </c>
      <c r="F2682" s="951">
        <v>232</v>
      </c>
      <c r="G2682" s="947" t="s">
        <v>159</v>
      </c>
      <c r="H2682" s="951">
        <v>190</v>
      </c>
      <c r="I2682" s="951">
        <v>18</v>
      </c>
      <c r="J2682" s="947" t="s">
        <v>164</v>
      </c>
      <c r="K2682" s="947">
        <v>675694</v>
      </c>
      <c r="M2682" s="631"/>
      <c r="P2682" s="950" t="str">
        <f>VLOOKUP(J2682,'רשימת רשויות'!A:A,1,0)</f>
        <v>אופקים</v>
      </c>
      <c r="Q2682" s="956">
        <f>IFERROR(VLOOKUP(B2682,[2]מעובד!$D:$K,8,0),0)</f>
        <v>95</v>
      </c>
      <c r="R2682" s="956">
        <f>IFERROR(VLOOKUP(B2682,[2]מעובד!$D:$L,9,0),0)</f>
        <v>66</v>
      </c>
    </row>
    <row r="2683" spans="1:18" x14ac:dyDescent="0.2">
      <c r="A2683" s="947" t="s">
        <v>245</v>
      </c>
      <c r="B2683" s="947">
        <v>676221</v>
      </c>
      <c r="C2683" s="947" t="s">
        <v>2189</v>
      </c>
      <c r="D2683" s="947" t="s">
        <v>2638</v>
      </c>
      <c r="E2683" s="951">
        <v>78</v>
      </c>
      <c r="F2683" s="951">
        <v>30</v>
      </c>
      <c r="G2683" s="947" t="s">
        <v>3252</v>
      </c>
      <c r="H2683" s="951">
        <v>0</v>
      </c>
      <c r="I2683" s="951">
        <v>0</v>
      </c>
      <c r="J2683" s="947" t="s">
        <v>245</v>
      </c>
      <c r="K2683" s="947">
        <v>676221</v>
      </c>
      <c r="M2683" s="631"/>
      <c r="P2683" s="950" t="str">
        <f>VLOOKUP(J2683,'רשימת רשויות'!A:A,1,0)</f>
        <v>חולון</v>
      </c>
      <c r="Q2683" s="956">
        <f>IFERROR(VLOOKUP(B2683,[2]מעובד!$D:$K,8,0),0)</f>
        <v>0</v>
      </c>
      <c r="R2683" s="956">
        <f>IFERROR(VLOOKUP(B2683,[2]מעובד!$D:$L,9,0),0)</f>
        <v>0</v>
      </c>
    </row>
    <row r="2684" spans="1:18" x14ac:dyDescent="0.2">
      <c r="A2684" s="947" t="s">
        <v>408</v>
      </c>
      <c r="B2684" s="947">
        <v>676270</v>
      </c>
      <c r="C2684" s="947" t="s">
        <v>2189</v>
      </c>
      <c r="D2684" s="947" t="s">
        <v>3162</v>
      </c>
      <c r="E2684" s="951">
        <v>50</v>
      </c>
      <c r="F2684" s="951">
        <v>0</v>
      </c>
      <c r="G2684" s="947" t="s">
        <v>3252</v>
      </c>
      <c r="H2684" s="951">
        <v>0</v>
      </c>
      <c r="I2684" s="951">
        <v>0</v>
      </c>
      <c r="J2684" s="947" t="s">
        <v>408</v>
      </c>
      <c r="K2684" s="947">
        <v>676270</v>
      </c>
      <c r="M2684" s="631"/>
      <c r="P2684" s="950" t="str">
        <f>VLOOKUP(J2684,'רשימת רשויות'!A:A,1,0)</f>
        <v>תל אביב-יפו</v>
      </c>
      <c r="Q2684" s="956">
        <f>IFERROR(VLOOKUP(B2684,[2]מעובד!$D:$K,8,0),0)</f>
        <v>0</v>
      </c>
      <c r="R2684" s="956">
        <f>IFERROR(VLOOKUP(B2684,[2]מעובד!$D:$L,9,0),0)</f>
        <v>0</v>
      </c>
    </row>
    <row r="2685" spans="1:18" x14ac:dyDescent="0.2">
      <c r="A2685" s="947" t="s">
        <v>269</v>
      </c>
      <c r="B2685" s="947">
        <v>676395</v>
      </c>
      <c r="C2685" s="947" t="s">
        <v>2189</v>
      </c>
      <c r="D2685" s="947" t="s">
        <v>2600</v>
      </c>
      <c r="E2685" s="951">
        <v>403</v>
      </c>
      <c r="F2685" s="951">
        <v>347</v>
      </c>
      <c r="G2685" s="947" t="s">
        <v>159</v>
      </c>
      <c r="H2685" s="951">
        <v>147</v>
      </c>
      <c r="I2685" s="951">
        <v>0</v>
      </c>
      <c r="J2685" s="947" t="s">
        <v>269</v>
      </c>
      <c r="K2685" s="947">
        <v>676395</v>
      </c>
      <c r="M2685" s="631"/>
      <c r="P2685" s="950" t="str">
        <f>VLOOKUP(J2685,'רשימת רשויות'!A:A,1,0)</f>
        <v>ירוחם</v>
      </c>
      <c r="Q2685" s="956">
        <f>IFERROR(VLOOKUP(B2685,[2]מעובד!$D:$K,8,0),0)</f>
        <v>0</v>
      </c>
      <c r="R2685" s="956">
        <f>IFERROR(VLOOKUP(B2685,[2]מעובד!$D:$L,9,0),0)</f>
        <v>0</v>
      </c>
    </row>
    <row r="2686" spans="1:18" x14ac:dyDescent="0.2">
      <c r="A2686" s="947" t="s">
        <v>270</v>
      </c>
      <c r="B2686" s="947">
        <v>676619</v>
      </c>
      <c r="C2686" s="947" t="s">
        <v>2189</v>
      </c>
      <c r="D2686" s="947" t="s">
        <v>3163</v>
      </c>
      <c r="E2686" s="951">
        <v>562</v>
      </c>
      <c r="F2686" s="951">
        <v>0</v>
      </c>
      <c r="G2686" s="947" t="s">
        <v>3252</v>
      </c>
      <c r="H2686" s="951">
        <v>0</v>
      </c>
      <c r="I2686" s="951">
        <v>0</v>
      </c>
      <c r="J2686" s="947" t="s">
        <v>270</v>
      </c>
      <c r="K2686" s="947">
        <v>676619</v>
      </c>
      <c r="M2686" s="631"/>
      <c r="P2686" s="950" t="str">
        <f>VLOOKUP(J2686,'רשימת רשויות'!A:A,1,0)</f>
        <v>ירושלים</v>
      </c>
      <c r="Q2686" s="956">
        <f>IFERROR(VLOOKUP(B2686,[2]מעובד!$D:$K,8,0),0)</f>
        <v>0</v>
      </c>
      <c r="R2686" s="956">
        <f>IFERROR(VLOOKUP(B2686,[2]מעובד!$D:$L,9,0),0)</f>
        <v>0</v>
      </c>
    </row>
    <row r="2687" spans="1:18" x14ac:dyDescent="0.2">
      <c r="A2687" s="947" t="s">
        <v>270</v>
      </c>
      <c r="B2687" s="947">
        <v>678433</v>
      </c>
      <c r="C2687" s="947" t="s">
        <v>2189</v>
      </c>
      <c r="D2687" s="947" t="s">
        <v>3164</v>
      </c>
      <c r="E2687" s="951">
        <v>159</v>
      </c>
      <c r="F2687" s="951">
        <v>0</v>
      </c>
      <c r="G2687" s="947" t="s">
        <v>3252</v>
      </c>
      <c r="H2687" s="951">
        <v>0</v>
      </c>
      <c r="I2687" s="951">
        <v>0</v>
      </c>
      <c r="J2687" s="947" t="s">
        <v>270</v>
      </c>
      <c r="K2687" s="947">
        <v>678433</v>
      </c>
      <c r="M2687" s="631"/>
      <c r="P2687" s="950" t="str">
        <f>VLOOKUP(J2687,'רשימת רשויות'!A:A,1,0)</f>
        <v>ירושלים</v>
      </c>
      <c r="Q2687" s="956">
        <f>IFERROR(VLOOKUP(B2687,[2]מעובד!$D:$K,8,0),0)</f>
        <v>0</v>
      </c>
      <c r="R2687" s="956">
        <f>IFERROR(VLOOKUP(B2687,[2]מעובד!$D:$L,9,0),0)</f>
        <v>0</v>
      </c>
    </row>
    <row r="2688" spans="1:18" x14ac:dyDescent="0.2">
      <c r="A2688" s="947" t="s">
        <v>196</v>
      </c>
      <c r="B2688" s="947">
        <v>679423</v>
      </c>
      <c r="C2688" s="947" t="s">
        <v>2189</v>
      </c>
      <c r="D2688" s="947" t="s">
        <v>2621</v>
      </c>
      <c r="E2688" s="951">
        <v>62</v>
      </c>
      <c r="F2688" s="951">
        <v>65</v>
      </c>
      <c r="G2688" s="947" t="s">
        <v>159</v>
      </c>
      <c r="H2688" s="951">
        <v>0</v>
      </c>
      <c r="I2688" s="951">
        <v>0</v>
      </c>
      <c r="J2688" s="947" t="s">
        <v>196</v>
      </c>
      <c r="K2688" s="947">
        <v>679423</v>
      </c>
      <c r="M2688" s="631"/>
      <c r="P2688" s="950" t="str">
        <f>VLOOKUP(J2688,'רשימת רשויות'!A:A,1,0)</f>
        <v>בית שמש</v>
      </c>
      <c r="Q2688" s="956">
        <f>IFERROR(VLOOKUP(B2688,[2]מעובד!$D:$K,8,0),0)</f>
        <v>0</v>
      </c>
      <c r="R2688" s="956">
        <f>IFERROR(VLOOKUP(B2688,[2]מעובד!$D:$L,9,0),0)</f>
        <v>0</v>
      </c>
    </row>
    <row r="2689" spans="1:18" x14ac:dyDescent="0.2">
      <c r="A2689" s="947" t="s">
        <v>196</v>
      </c>
      <c r="B2689" s="947">
        <v>679431</v>
      </c>
      <c r="C2689" s="947" t="s">
        <v>2189</v>
      </c>
      <c r="D2689" s="947" t="s">
        <v>2622</v>
      </c>
      <c r="E2689" s="951">
        <v>43</v>
      </c>
      <c r="F2689" s="951">
        <v>43</v>
      </c>
      <c r="G2689" s="947" t="s">
        <v>159</v>
      </c>
      <c r="H2689" s="951">
        <v>0</v>
      </c>
      <c r="I2689" s="951">
        <v>0</v>
      </c>
      <c r="J2689" s="947" t="s">
        <v>196</v>
      </c>
      <c r="K2689" s="947">
        <v>679431</v>
      </c>
      <c r="M2689" s="631"/>
      <c r="P2689" s="950" t="str">
        <f>VLOOKUP(J2689,'רשימת רשויות'!A:A,1,0)</f>
        <v>בית שמש</v>
      </c>
      <c r="Q2689" s="956">
        <f>IFERROR(VLOOKUP(B2689,[2]מעובד!$D:$K,8,0),0)</f>
        <v>33</v>
      </c>
      <c r="R2689" s="956">
        <f>IFERROR(VLOOKUP(B2689,[2]מעובד!$D:$L,9,0),0)</f>
        <v>33</v>
      </c>
    </row>
    <row r="2690" spans="1:18" x14ac:dyDescent="0.2">
      <c r="A2690" s="947" t="s">
        <v>219</v>
      </c>
      <c r="B2690" s="947">
        <v>681007</v>
      </c>
      <c r="C2690" s="947" t="s">
        <v>2189</v>
      </c>
      <c r="D2690" s="947" t="s">
        <v>2645</v>
      </c>
      <c r="E2690" s="951">
        <v>59</v>
      </c>
      <c r="F2690" s="951">
        <v>38</v>
      </c>
      <c r="G2690" s="947" t="s">
        <v>159</v>
      </c>
      <c r="H2690" s="951">
        <v>0</v>
      </c>
      <c r="I2690" s="951">
        <v>0</v>
      </c>
      <c r="J2690" s="947" t="s">
        <v>219</v>
      </c>
      <c r="K2690" s="947">
        <v>681007</v>
      </c>
      <c r="M2690" s="631"/>
      <c r="P2690" s="950" t="str">
        <f>VLOOKUP(J2690,'רשימת רשויות'!A:A,1,0)</f>
        <v>גוש עציון</v>
      </c>
      <c r="Q2690" s="956">
        <f>IFERROR(VLOOKUP(B2690,[2]מעובד!$D:$K,8,0),0)</f>
        <v>35</v>
      </c>
      <c r="R2690" s="956">
        <f>IFERROR(VLOOKUP(B2690,[2]מעובד!$D:$L,9,0),0)</f>
        <v>24</v>
      </c>
    </row>
    <row r="2691" spans="1:18" x14ac:dyDescent="0.2">
      <c r="A2691" s="947" t="s">
        <v>335</v>
      </c>
      <c r="B2691" s="947">
        <v>681106</v>
      </c>
      <c r="C2691" s="947" t="s">
        <v>2189</v>
      </c>
      <c r="D2691" s="947" t="s">
        <v>2599</v>
      </c>
      <c r="E2691" s="951">
        <v>92</v>
      </c>
      <c r="F2691" s="951">
        <v>88</v>
      </c>
      <c r="G2691" s="947" t="s">
        <v>159</v>
      </c>
      <c r="H2691" s="951">
        <v>0</v>
      </c>
      <c r="I2691" s="951">
        <v>0</v>
      </c>
      <c r="J2691" s="947" t="s">
        <v>335</v>
      </c>
      <c r="K2691" s="947">
        <v>681106</v>
      </c>
      <c r="M2691" s="631"/>
      <c r="P2691" s="950" t="str">
        <f>VLOOKUP(J2691,'רשימת רשויות'!A:A,1,0)</f>
        <v>נתיבות</v>
      </c>
      <c r="Q2691" s="956">
        <f>IFERROR(VLOOKUP(B2691,[2]מעובד!$D:$K,8,0),0)</f>
        <v>81</v>
      </c>
      <c r="R2691" s="956">
        <f>IFERROR(VLOOKUP(B2691,[2]מעובד!$D:$L,9,0),0)</f>
        <v>81</v>
      </c>
    </row>
    <row r="2692" spans="1:18" x14ac:dyDescent="0.2">
      <c r="A2692" s="947" t="s">
        <v>327</v>
      </c>
      <c r="B2692" s="947">
        <v>681221</v>
      </c>
      <c r="C2692" s="947" t="s">
        <v>2189</v>
      </c>
      <c r="D2692" s="947" t="s">
        <v>1060</v>
      </c>
      <c r="E2692" s="951">
        <v>184</v>
      </c>
      <c r="F2692" s="951">
        <v>133</v>
      </c>
      <c r="G2692" s="947" t="s">
        <v>159</v>
      </c>
      <c r="H2692" s="951">
        <v>0</v>
      </c>
      <c r="I2692" s="951">
        <v>0</v>
      </c>
      <c r="J2692" s="947" t="s">
        <v>327</v>
      </c>
      <c r="K2692" s="947">
        <v>681221</v>
      </c>
      <c r="M2692" s="631"/>
      <c r="P2692" s="950" t="str">
        <f>VLOOKUP(J2692,'רשימת רשויות'!A:A,1,0)</f>
        <v>נהריה</v>
      </c>
      <c r="Q2692" s="956">
        <f>IFERROR(VLOOKUP(B2692,[2]מעובד!$D:$K,8,0),0)</f>
        <v>0</v>
      </c>
      <c r="R2692" s="956">
        <f>IFERROR(VLOOKUP(B2692,[2]מעובד!$D:$L,9,0),0)</f>
        <v>0</v>
      </c>
    </row>
    <row r="2693" spans="1:18" x14ac:dyDescent="0.2">
      <c r="A2693" s="947" t="s">
        <v>304</v>
      </c>
      <c r="B2693" s="947">
        <v>681254</v>
      </c>
      <c r="C2693" s="947" t="s">
        <v>2189</v>
      </c>
      <c r="D2693" s="947" t="s">
        <v>3165</v>
      </c>
      <c r="E2693" s="951">
        <v>40</v>
      </c>
      <c r="F2693" s="951">
        <v>33</v>
      </c>
      <c r="G2693" s="947" t="s">
        <v>159</v>
      </c>
      <c r="H2693" s="951">
        <v>0</v>
      </c>
      <c r="I2693" s="951">
        <v>0</v>
      </c>
      <c r="J2693" s="947" t="s">
        <v>304</v>
      </c>
      <c r="K2693" s="957" t="s">
        <v>3378</v>
      </c>
      <c r="M2693" s="631"/>
      <c r="P2693" s="950" t="str">
        <f>VLOOKUP(J2693,'רשימת רשויות'!A:A,1,0)</f>
        <v>מגילות ים המלח</v>
      </c>
      <c r="Q2693" s="956">
        <f>IFERROR(VLOOKUP(B2693,[2]מעובד!$D:$K,8,0),0)</f>
        <v>0</v>
      </c>
      <c r="R2693" s="956">
        <f>IFERROR(VLOOKUP(B2693,[2]מעובד!$D:$L,9,0),0)</f>
        <v>0</v>
      </c>
    </row>
    <row r="2694" spans="1:18" x14ac:dyDescent="0.2">
      <c r="A2694" s="947" t="s">
        <v>183</v>
      </c>
      <c r="B2694" s="947">
        <v>681270</v>
      </c>
      <c r="C2694" s="947" t="s">
        <v>2189</v>
      </c>
      <c r="D2694" s="947" t="s">
        <v>2768</v>
      </c>
      <c r="E2694" s="951">
        <v>187</v>
      </c>
      <c r="F2694" s="951">
        <v>178</v>
      </c>
      <c r="G2694" s="947" t="s">
        <v>159</v>
      </c>
      <c r="H2694" s="951">
        <v>0</v>
      </c>
      <c r="I2694" s="951">
        <v>0</v>
      </c>
      <c r="J2694" s="947" t="s">
        <v>183</v>
      </c>
      <c r="K2694" s="947">
        <v>681270</v>
      </c>
      <c r="M2694" s="631"/>
      <c r="P2694" s="950" t="str">
        <f>VLOOKUP(J2694,'רשימת רשויות'!A:A,1,0)</f>
        <v>אשקלון</v>
      </c>
      <c r="Q2694" s="956">
        <f>IFERROR(VLOOKUP(B2694,[2]מעובד!$D:$K,8,0),0)</f>
        <v>0</v>
      </c>
      <c r="R2694" s="956">
        <f>IFERROR(VLOOKUP(B2694,[2]מעובד!$D:$L,9,0),0)</f>
        <v>0</v>
      </c>
    </row>
    <row r="2695" spans="1:18" x14ac:dyDescent="0.2">
      <c r="A2695" s="947" t="s">
        <v>353</v>
      </c>
      <c r="B2695" s="947">
        <v>681395</v>
      </c>
      <c r="C2695" s="947" t="s">
        <v>2189</v>
      </c>
      <c r="D2695" s="947" t="s">
        <v>3166</v>
      </c>
      <c r="E2695" s="951">
        <v>59</v>
      </c>
      <c r="F2695" s="951">
        <v>59</v>
      </c>
      <c r="G2695" s="947" t="s">
        <v>159</v>
      </c>
      <c r="H2695" s="951">
        <v>0</v>
      </c>
      <c r="I2695" s="951">
        <v>0</v>
      </c>
      <c r="J2695" s="947" t="s">
        <v>353</v>
      </c>
      <c r="K2695" s="947">
        <v>681395</v>
      </c>
      <c r="M2695" s="631"/>
      <c r="P2695" s="950" t="str">
        <f>VLOOKUP(J2695,'רשימת רשויות'!A:A,1,0)</f>
        <v>עפולה</v>
      </c>
      <c r="Q2695" s="956">
        <f>IFERROR(VLOOKUP(B2695,[2]מעובד!$D:$K,8,0),0)</f>
        <v>22</v>
      </c>
      <c r="R2695" s="956">
        <f>IFERROR(VLOOKUP(B2695,[2]מעובד!$D:$L,9,0),0)</f>
        <v>22</v>
      </c>
    </row>
    <row r="2696" spans="1:18" x14ac:dyDescent="0.2">
      <c r="A2696" s="947" t="s">
        <v>378</v>
      </c>
      <c r="B2696" s="947">
        <v>681445</v>
      </c>
      <c r="C2696" s="947" t="s">
        <v>2189</v>
      </c>
      <c r="D2696" s="947" t="s">
        <v>1835</v>
      </c>
      <c r="E2696" s="951">
        <v>54</v>
      </c>
      <c r="F2696" s="951">
        <v>50</v>
      </c>
      <c r="G2696" s="947" t="s">
        <v>159</v>
      </c>
      <c r="H2696" s="951">
        <v>0</v>
      </c>
      <c r="I2696" s="951">
        <v>0</v>
      </c>
      <c r="J2696" s="947" t="s">
        <v>378</v>
      </c>
      <c r="K2696" s="947">
        <v>681445</v>
      </c>
      <c r="M2696" s="631"/>
      <c r="P2696" s="950" t="str">
        <f>VLOOKUP(J2696,'רשימת רשויות'!A:A,1,0)</f>
        <v>קרית מלאכי</v>
      </c>
      <c r="Q2696" s="956">
        <f>IFERROR(VLOOKUP(B2696,[2]מעובד!$D:$K,8,0),0)</f>
        <v>0</v>
      </c>
      <c r="R2696" s="956">
        <f>IFERROR(VLOOKUP(B2696,[2]מעובד!$D:$L,9,0),0)</f>
        <v>0</v>
      </c>
    </row>
    <row r="2697" spans="1:18" x14ac:dyDescent="0.2">
      <c r="A2697" s="947" t="s">
        <v>335</v>
      </c>
      <c r="B2697" s="947">
        <v>681452</v>
      </c>
      <c r="C2697" s="947" t="s">
        <v>2189</v>
      </c>
      <c r="D2697" s="947" t="s">
        <v>2723</v>
      </c>
      <c r="E2697" s="951">
        <v>285</v>
      </c>
      <c r="F2697" s="951">
        <v>225</v>
      </c>
      <c r="G2697" s="947" t="s">
        <v>159</v>
      </c>
      <c r="H2697" s="951">
        <v>285</v>
      </c>
      <c r="I2697" s="951">
        <v>60</v>
      </c>
      <c r="J2697" s="947" t="s">
        <v>335</v>
      </c>
      <c r="K2697" s="947">
        <v>681452</v>
      </c>
      <c r="M2697" s="631"/>
      <c r="P2697" s="950" t="str">
        <f>VLOOKUP(J2697,'רשימת רשויות'!A:A,1,0)</f>
        <v>נתיבות</v>
      </c>
      <c r="Q2697" s="956">
        <f>IFERROR(VLOOKUP(B2697,[2]מעובד!$D:$K,8,0),0)</f>
        <v>251</v>
      </c>
      <c r="R2697" s="956">
        <f>IFERROR(VLOOKUP(B2697,[2]מעובד!$D:$L,9,0),0)</f>
        <v>251</v>
      </c>
    </row>
    <row r="2698" spans="1:18" x14ac:dyDescent="0.2">
      <c r="A2698" s="947" t="s">
        <v>335</v>
      </c>
      <c r="B2698" s="947">
        <v>681460</v>
      </c>
      <c r="C2698" s="947" t="s">
        <v>2189</v>
      </c>
      <c r="D2698" s="947" t="s">
        <v>1225</v>
      </c>
      <c r="E2698" s="951">
        <v>237</v>
      </c>
      <c r="F2698" s="951">
        <v>234</v>
      </c>
      <c r="G2698" s="947" t="s">
        <v>159</v>
      </c>
      <c r="H2698" s="951">
        <v>0</v>
      </c>
      <c r="I2698" s="951">
        <v>0</v>
      </c>
      <c r="J2698" s="947" t="s">
        <v>335</v>
      </c>
      <c r="K2698" s="947">
        <v>681460</v>
      </c>
      <c r="M2698" s="631"/>
      <c r="P2698" s="950" t="str">
        <f>VLOOKUP(J2698,'רשימת רשויות'!A:A,1,0)</f>
        <v>נתיבות</v>
      </c>
      <c r="Q2698" s="956">
        <f>IFERROR(VLOOKUP(B2698,[2]מעובד!$D:$K,8,0),0)</f>
        <v>228</v>
      </c>
      <c r="R2698" s="956">
        <f>IFERROR(VLOOKUP(B2698,[2]מעובד!$D:$L,9,0),0)</f>
        <v>228</v>
      </c>
    </row>
    <row r="2699" spans="1:18" x14ac:dyDescent="0.2">
      <c r="A2699" s="947" t="s">
        <v>323</v>
      </c>
      <c r="B2699" s="947">
        <v>681536</v>
      </c>
      <c r="C2699" s="947" t="s">
        <v>2189</v>
      </c>
      <c r="D2699" s="947" t="s">
        <v>2726</v>
      </c>
      <c r="E2699" s="951">
        <v>68</v>
      </c>
      <c r="F2699" s="951">
        <v>46</v>
      </c>
      <c r="G2699" s="947" t="s">
        <v>159</v>
      </c>
      <c r="H2699" s="951">
        <v>0</v>
      </c>
      <c r="I2699" s="951">
        <v>0</v>
      </c>
      <c r="J2699" s="947" t="s">
        <v>323</v>
      </c>
      <c r="K2699" s="947">
        <v>681536</v>
      </c>
      <c r="M2699" s="631"/>
      <c r="P2699" s="950" t="str">
        <f>VLOOKUP(J2699,'רשימת רשויות'!A:A,1,0)</f>
        <v>מרום הגליל</v>
      </c>
      <c r="Q2699" s="956">
        <f>IFERROR(VLOOKUP(B2699,[2]מעובד!$D:$K,8,0),0)</f>
        <v>0</v>
      </c>
      <c r="R2699" s="956">
        <f>IFERROR(VLOOKUP(B2699,[2]מעובד!$D:$L,9,0),0)</f>
        <v>0</v>
      </c>
    </row>
    <row r="2700" spans="1:18" x14ac:dyDescent="0.2">
      <c r="A2700" s="947" t="s">
        <v>365</v>
      </c>
      <c r="B2700" s="947">
        <v>681551</v>
      </c>
      <c r="C2700" s="947" t="s">
        <v>2189</v>
      </c>
      <c r="D2700" s="947" t="s">
        <v>3167</v>
      </c>
      <c r="E2700" s="951">
        <v>50</v>
      </c>
      <c r="F2700" s="951">
        <v>46</v>
      </c>
      <c r="G2700" s="947" t="s">
        <v>159</v>
      </c>
      <c r="H2700" s="951">
        <v>0</v>
      </c>
      <c r="I2700" s="951">
        <v>0</v>
      </c>
      <c r="J2700" s="947" t="s">
        <v>365</v>
      </c>
      <c r="K2700" s="947">
        <v>681551</v>
      </c>
      <c r="M2700" s="631"/>
      <c r="P2700" s="950" t="str">
        <f>VLOOKUP(J2700,'רשימת רשויות'!A:A,1,0)</f>
        <v>צפת</v>
      </c>
      <c r="Q2700" s="956">
        <f>IFERROR(VLOOKUP(B2700,[2]מעובד!$D:$K,8,0),0)</f>
        <v>41</v>
      </c>
      <c r="R2700" s="956">
        <f>IFERROR(VLOOKUP(B2700,[2]מעובד!$D:$L,9,0),0)</f>
        <v>41</v>
      </c>
    </row>
    <row r="2701" spans="1:18" x14ac:dyDescent="0.2">
      <c r="A2701" s="947" t="s">
        <v>329</v>
      </c>
      <c r="B2701" s="947">
        <v>681569</v>
      </c>
      <c r="C2701" s="947" t="s">
        <v>2189</v>
      </c>
      <c r="D2701" s="947" t="s">
        <v>2724</v>
      </c>
      <c r="E2701" s="951">
        <v>94</v>
      </c>
      <c r="F2701" s="951">
        <v>89</v>
      </c>
      <c r="G2701" s="947" t="s">
        <v>159</v>
      </c>
      <c r="H2701" s="951">
        <v>0</v>
      </c>
      <c r="I2701" s="951">
        <v>0</v>
      </c>
      <c r="J2701" s="947" t="s">
        <v>329</v>
      </c>
      <c r="K2701" s="947">
        <v>681569</v>
      </c>
      <c r="M2701" s="631"/>
      <c r="P2701" s="950" t="str">
        <f>VLOOKUP(J2701,'רשימת רשויות'!A:A,1,0)</f>
        <v>נוף הגליל</v>
      </c>
      <c r="Q2701" s="956">
        <f>IFERROR(VLOOKUP(B2701,[2]מעובד!$D:$K,8,0),0)</f>
        <v>0</v>
      </c>
      <c r="R2701" s="956">
        <f>IFERROR(VLOOKUP(B2701,[2]מעובד!$D:$L,9,0),0)</f>
        <v>0</v>
      </c>
    </row>
    <row r="2702" spans="1:18" x14ac:dyDescent="0.2">
      <c r="A2702" s="947" t="s">
        <v>254</v>
      </c>
      <c r="B2702" s="947">
        <v>681577</v>
      </c>
      <c r="C2702" s="947" t="s">
        <v>2189</v>
      </c>
      <c r="D2702" s="947" t="s">
        <v>1363</v>
      </c>
      <c r="E2702" s="951">
        <v>160</v>
      </c>
      <c r="F2702" s="951">
        <v>160</v>
      </c>
      <c r="G2702" s="947" t="s">
        <v>159</v>
      </c>
      <c r="H2702" s="951">
        <v>0</v>
      </c>
      <c r="I2702" s="951">
        <v>0</v>
      </c>
      <c r="J2702" s="947" t="s">
        <v>254</v>
      </c>
      <c r="K2702" s="947">
        <v>681577</v>
      </c>
      <c r="M2702" s="631"/>
      <c r="P2702" s="950" t="str">
        <f>VLOOKUP(J2702,'רשימת רשויות'!A:A,1,0)</f>
        <v>טבריה</v>
      </c>
      <c r="Q2702" s="956">
        <f>IFERROR(VLOOKUP(B2702,[2]מעובד!$D:$K,8,0),0)</f>
        <v>108</v>
      </c>
      <c r="R2702" s="956">
        <f>IFERROR(VLOOKUP(B2702,[2]מעובד!$D:$L,9,0),0)</f>
        <v>108</v>
      </c>
    </row>
    <row r="2703" spans="1:18" x14ac:dyDescent="0.2">
      <c r="A2703" s="947" t="s">
        <v>197</v>
      </c>
      <c r="B2703" s="947">
        <v>681585</v>
      </c>
      <c r="C2703" s="947" t="s">
        <v>2189</v>
      </c>
      <c r="D2703" s="947" t="s">
        <v>1363</v>
      </c>
      <c r="E2703" s="951">
        <v>230</v>
      </c>
      <c r="F2703" s="951">
        <v>208</v>
      </c>
      <c r="G2703" s="947" t="s">
        <v>159</v>
      </c>
      <c r="H2703" s="951">
        <v>230</v>
      </c>
      <c r="I2703" s="951">
        <v>22</v>
      </c>
      <c r="J2703" s="947" t="s">
        <v>197</v>
      </c>
      <c r="K2703" s="947">
        <v>681585</v>
      </c>
      <c r="M2703" s="631"/>
      <c r="P2703" s="950" t="str">
        <f>VLOOKUP(J2703,'רשימת רשויות'!A:A,1,0)</f>
        <v>ביתר עילית</v>
      </c>
      <c r="Q2703" s="956">
        <f>IFERROR(VLOOKUP(B2703,[2]מעובד!$D:$K,8,0),0)</f>
        <v>208</v>
      </c>
      <c r="R2703" s="956">
        <f>IFERROR(VLOOKUP(B2703,[2]מעובד!$D:$L,9,0),0)</f>
        <v>208</v>
      </c>
    </row>
    <row r="2704" spans="1:18" x14ac:dyDescent="0.2">
      <c r="A2704" s="947" t="s">
        <v>197</v>
      </c>
      <c r="B2704" s="947">
        <v>681593</v>
      </c>
      <c r="C2704" s="947" t="s">
        <v>2189</v>
      </c>
      <c r="D2704" s="947" t="s">
        <v>2759</v>
      </c>
      <c r="E2704" s="951">
        <v>45</v>
      </c>
      <c r="F2704" s="951">
        <v>45</v>
      </c>
      <c r="G2704" s="947" t="s">
        <v>159</v>
      </c>
      <c r="H2704" s="951">
        <v>0</v>
      </c>
      <c r="I2704" s="951">
        <v>0</v>
      </c>
      <c r="J2704" s="947" t="s">
        <v>197</v>
      </c>
      <c r="K2704" s="947">
        <v>681593</v>
      </c>
      <c r="M2704" s="631"/>
      <c r="P2704" s="950" t="str">
        <f>VLOOKUP(J2704,'רשימת רשויות'!A:A,1,0)</f>
        <v>ביתר עילית</v>
      </c>
      <c r="Q2704" s="956">
        <f>IFERROR(VLOOKUP(B2704,[2]מעובד!$D:$K,8,0),0)</f>
        <v>0</v>
      </c>
      <c r="R2704" s="956">
        <f>IFERROR(VLOOKUP(B2704,[2]מעובד!$D:$L,9,0),0)</f>
        <v>0</v>
      </c>
    </row>
    <row r="2705" spans="1:18" x14ac:dyDescent="0.2">
      <c r="A2705" s="947" t="s">
        <v>181</v>
      </c>
      <c r="B2705" s="947">
        <v>681601</v>
      </c>
      <c r="C2705" s="947" t="s">
        <v>2189</v>
      </c>
      <c r="D2705" s="947" t="s">
        <v>2498</v>
      </c>
      <c r="E2705" s="951">
        <v>76</v>
      </c>
      <c r="F2705" s="951">
        <v>76</v>
      </c>
      <c r="G2705" s="947" t="s">
        <v>159</v>
      </c>
      <c r="H2705" s="951">
        <v>0</v>
      </c>
      <c r="I2705" s="951">
        <v>0</v>
      </c>
      <c r="J2705" s="947" t="s">
        <v>181</v>
      </c>
      <c r="K2705" s="947">
        <v>681601</v>
      </c>
      <c r="M2705" s="631"/>
      <c r="P2705" s="950" t="str">
        <f>VLOOKUP(J2705,'רשימת רשויות'!A:A,1,0)</f>
        <v>אשדוד</v>
      </c>
      <c r="Q2705" s="956">
        <f>IFERROR(VLOOKUP(B2705,[2]מעובד!$D:$K,8,0),0)</f>
        <v>0</v>
      </c>
      <c r="R2705" s="956">
        <f>IFERROR(VLOOKUP(B2705,[2]מעובד!$D:$L,9,0),0)</f>
        <v>0</v>
      </c>
    </row>
    <row r="2706" spans="1:18" x14ac:dyDescent="0.2">
      <c r="A2706" s="947" t="s">
        <v>365</v>
      </c>
      <c r="B2706" s="947">
        <v>681619</v>
      </c>
      <c r="C2706" s="947" t="s">
        <v>2189</v>
      </c>
      <c r="D2706" s="947" t="s">
        <v>1247</v>
      </c>
      <c r="E2706" s="951">
        <v>76</v>
      </c>
      <c r="F2706" s="951">
        <v>76</v>
      </c>
      <c r="G2706" s="947" t="s">
        <v>159</v>
      </c>
      <c r="H2706" s="951">
        <v>0</v>
      </c>
      <c r="I2706" s="951">
        <v>0</v>
      </c>
      <c r="J2706" s="947" t="s">
        <v>365</v>
      </c>
      <c r="K2706" s="947">
        <v>681619</v>
      </c>
      <c r="M2706" s="631"/>
      <c r="P2706" s="950" t="str">
        <f>VLOOKUP(J2706,'רשימת רשויות'!A:A,1,0)</f>
        <v>צפת</v>
      </c>
      <c r="Q2706" s="956">
        <f>IFERROR(VLOOKUP(B2706,[2]מעובד!$D:$K,8,0),0)</f>
        <v>0</v>
      </c>
      <c r="R2706" s="956">
        <f>IFERROR(VLOOKUP(B2706,[2]מעובד!$D:$L,9,0),0)</f>
        <v>0</v>
      </c>
    </row>
    <row r="2707" spans="1:18" x14ac:dyDescent="0.2">
      <c r="A2707" s="947" t="s">
        <v>329</v>
      </c>
      <c r="B2707" s="947">
        <v>681627</v>
      </c>
      <c r="C2707" s="947" t="s">
        <v>2189</v>
      </c>
      <c r="D2707" s="947" t="s">
        <v>2725</v>
      </c>
      <c r="E2707" s="951">
        <v>86</v>
      </c>
      <c r="F2707" s="951">
        <v>80</v>
      </c>
      <c r="G2707" s="947" t="s">
        <v>159</v>
      </c>
      <c r="H2707" s="951">
        <v>0</v>
      </c>
      <c r="I2707" s="951">
        <v>0</v>
      </c>
      <c r="J2707" s="947" t="s">
        <v>329</v>
      </c>
      <c r="K2707" s="947">
        <v>681627</v>
      </c>
      <c r="M2707" s="631"/>
      <c r="P2707" s="950" t="str">
        <f>VLOOKUP(J2707,'רשימת רשויות'!A:A,1,0)</f>
        <v>נוף הגליל</v>
      </c>
      <c r="Q2707" s="956">
        <f>IFERROR(VLOOKUP(B2707,[2]מעובד!$D:$K,8,0),0)</f>
        <v>0</v>
      </c>
      <c r="R2707" s="956">
        <f>IFERROR(VLOOKUP(B2707,[2]מעובד!$D:$L,9,0),0)</f>
        <v>0</v>
      </c>
    </row>
    <row r="2708" spans="1:18" x14ac:dyDescent="0.2">
      <c r="A2708" s="947" t="s">
        <v>254</v>
      </c>
      <c r="B2708" s="947">
        <v>681635</v>
      </c>
      <c r="C2708" s="947" t="s">
        <v>2189</v>
      </c>
      <c r="D2708" s="947" t="s">
        <v>2743</v>
      </c>
      <c r="E2708" s="951">
        <v>184</v>
      </c>
      <c r="F2708" s="951">
        <v>184</v>
      </c>
      <c r="G2708" s="947" t="s">
        <v>159</v>
      </c>
      <c r="H2708" s="951">
        <v>0</v>
      </c>
      <c r="I2708" s="951">
        <v>0</v>
      </c>
      <c r="J2708" s="947" t="s">
        <v>254</v>
      </c>
      <c r="K2708" s="947">
        <v>681635</v>
      </c>
      <c r="M2708" s="631"/>
      <c r="P2708" s="950" t="str">
        <f>VLOOKUP(J2708,'רשימת רשויות'!A:A,1,0)</f>
        <v>טבריה</v>
      </c>
      <c r="Q2708" s="956">
        <f>IFERROR(VLOOKUP(B2708,[2]מעובד!$D:$K,8,0),0)</f>
        <v>123</v>
      </c>
      <c r="R2708" s="956">
        <f>IFERROR(VLOOKUP(B2708,[2]מעובד!$D:$L,9,0),0)</f>
        <v>123</v>
      </c>
    </row>
    <row r="2709" spans="1:18" x14ac:dyDescent="0.2">
      <c r="A2709" s="947" t="s">
        <v>197</v>
      </c>
      <c r="B2709" s="947">
        <v>681643</v>
      </c>
      <c r="C2709" s="947" t="s">
        <v>2189</v>
      </c>
      <c r="D2709" s="947" t="s">
        <v>2760</v>
      </c>
      <c r="E2709" s="951">
        <v>265</v>
      </c>
      <c r="F2709" s="951">
        <v>251</v>
      </c>
      <c r="G2709" s="947" t="s">
        <v>159</v>
      </c>
      <c r="H2709" s="951">
        <v>98</v>
      </c>
      <c r="I2709" s="951">
        <v>9</v>
      </c>
      <c r="J2709" s="947" t="s">
        <v>197</v>
      </c>
      <c r="K2709" s="947">
        <v>681643</v>
      </c>
      <c r="M2709" s="631"/>
      <c r="P2709" s="950" t="str">
        <f>VLOOKUP(J2709,'רשימת רשויות'!A:A,1,0)</f>
        <v>ביתר עילית</v>
      </c>
      <c r="Q2709" s="956">
        <f>IFERROR(VLOOKUP(B2709,[2]מעובד!$D:$K,8,0),0)</f>
        <v>0</v>
      </c>
      <c r="R2709" s="956">
        <f>IFERROR(VLOOKUP(B2709,[2]מעובד!$D:$L,9,0),0)</f>
        <v>0</v>
      </c>
    </row>
    <row r="2710" spans="1:18" x14ac:dyDescent="0.2">
      <c r="A2710" s="947" t="s">
        <v>181</v>
      </c>
      <c r="B2710" s="947">
        <v>681650</v>
      </c>
      <c r="C2710" s="947" t="s">
        <v>2189</v>
      </c>
      <c r="D2710" s="947" t="s">
        <v>3168</v>
      </c>
      <c r="E2710" s="951">
        <v>212</v>
      </c>
      <c r="F2710" s="951">
        <v>0</v>
      </c>
      <c r="G2710" s="947" t="s">
        <v>159</v>
      </c>
      <c r="H2710" s="951">
        <v>86</v>
      </c>
      <c r="I2710" s="951">
        <v>0</v>
      </c>
      <c r="J2710" s="947" t="s">
        <v>181</v>
      </c>
      <c r="K2710" s="947">
        <v>681650</v>
      </c>
      <c r="M2710" s="631"/>
      <c r="P2710" s="950" t="str">
        <f>VLOOKUP(J2710,'רשימת רשויות'!A:A,1,0)</f>
        <v>אשדוד</v>
      </c>
      <c r="Q2710" s="956">
        <f>IFERROR(VLOOKUP(B2710,[2]מעובד!$D:$K,8,0),0)</f>
        <v>0</v>
      </c>
      <c r="R2710" s="956">
        <f>IFERROR(VLOOKUP(B2710,[2]מעובד!$D:$L,9,0),0)</f>
        <v>0</v>
      </c>
    </row>
    <row r="2711" spans="1:18" x14ac:dyDescent="0.2">
      <c r="A2711" s="947" t="s">
        <v>181</v>
      </c>
      <c r="B2711" s="947">
        <v>681668</v>
      </c>
      <c r="C2711" s="947" t="s">
        <v>2189</v>
      </c>
      <c r="D2711" s="947" t="s">
        <v>3169</v>
      </c>
      <c r="E2711" s="951">
        <v>258</v>
      </c>
      <c r="F2711" s="951">
        <v>0</v>
      </c>
      <c r="G2711" s="947" t="s">
        <v>159</v>
      </c>
      <c r="H2711" s="951">
        <v>174</v>
      </c>
      <c r="I2711" s="951">
        <v>0</v>
      </c>
      <c r="J2711" s="947" t="s">
        <v>181</v>
      </c>
      <c r="K2711" s="947">
        <v>681668</v>
      </c>
      <c r="M2711" s="631"/>
      <c r="P2711" s="950" t="str">
        <f>VLOOKUP(J2711,'רשימת רשויות'!A:A,1,0)</f>
        <v>אשדוד</v>
      </c>
      <c r="Q2711" s="956">
        <f>IFERROR(VLOOKUP(B2711,[2]מעובד!$D:$K,8,0),0)</f>
        <v>0</v>
      </c>
      <c r="R2711" s="956">
        <f>IFERROR(VLOOKUP(B2711,[2]מעובד!$D:$L,9,0),0)</f>
        <v>0</v>
      </c>
    </row>
    <row r="2712" spans="1:18" x14ac:dyDescent="0.2">
      <c r="A2712" s="947" t="s">
        <v>212</v>
      </c>
      <c r="B2712" s="947">
        <v>681684</v>
      </c>
      <c r="C2712" s="947" t="s">
        <v>2189</v>
      </c>
      <c r="D2712" s="947" t="s">
        <v>2753</v>
      </c>
      <c r="E2712" s="951">
        <v>62</v>
      </c>
      <c r="F2712" s="951">
        <v>60</v>
      </c>
      <c r="G2712" s="947" t="s">
        <v>159</v>
      </c>
      <c r="H2712" s="951">
        <v>0</v>
      </c>
      <c r="I2712" s="951">
        <v>0</v>
      </c>
      <c r="J2712" s="947" t="s">
        <v>212</v>
      </c>
      <c r="K2712" s="947">
        <v>681684</v>
      </c>
      <c r="M2712" s="631"/>
      <c r="P2712" s="950" t="str">
        <f>VLOOKUP(J2712,'רשימת רשויות'!A:A,1,0)</f>
        <v>גבעת זאב</v>
      </c>
      <c r="Q2712" s="956">
        <f>IFERROR(VLOOKUP(B2712,[2]מעובד!$D:$K,8,0),0)</f>
        <v>0</v>
      </c>
      <c r="R2712" s="956">
        <f>IFERROR(VLOOKUP(B2712,[2]מעובד!$D:$L,9,0),0)</f>
        <v>0</v>
      </c>
    </row>
    <row r="2713" spans="1:18" x14ac:dyDescent="0.2">
      <c r="A2713" s="947" t="s">
        <v>373</v>
      </c>
      <c r="B2713" s="947">
        <v>681692</v>
      </c>
      <c r="C2713" s="947" t="s">
        <v>2189</v>
      </c>
      <c r="D2713" s="947" t="s">
        <v>1540</v>
      </c>
      <c r="E2713" s="951">
        <v>102</v>
      </c>
      <c r="F2713" s="951">
        <v>102</v>
      </c>
      <c r="G2713" s="947" t="s">
        <v>159</v>
      </c>
      <c r="H2713" s="951">
        <v>0</v>
      </c>
      <c r="I2713" s="951">
        <v>0</v>
      </c>
      <c r="J2713" s="947" t="s">
        <v>373</v>
      </c>
      <c r="K2713" s="947">
        <v>681692</v>
      </c>
      <c r="M2713" s="631"/>
      <c r="P2713" s="950" t="str">
        <f>VLOOKUP(J2713,'רשימת רשויות'!A:A,1,0)</f>
        <v>קרית גת</v>
      </c>
      <c r="Q2713" s="956">
        <f>IFERROR(VLOOKUP(B2713,[2]מעובד!$D:$K,8,0),0)</f>
        <v>104</v>
      </c>
      <c r="R2713" s="956">
        <f>IFERROR(VLOOKUP(B2713,[2]מעובד!$D:$L,9,0),0)</f>
        <v>104</v>
      </c>
    </row>
    <row r="2714" spans="1:18" x14ac:dyDescent="0.2">
      <c r="A2714" s="947" t="s">
        <v>373</v>
      </c>
      <c r="B2714" s="947">
        <v>681700</v>
      </c>
      <c r="C2714" s="947" t="s">
        <v>2189</v>
      </c>
      <c r="D2714" s="947" t="s">
        <v>2152</v>
      </c>
      <c r="E2714" s="951">
        <v>94</v>
      </c>
      <c r="F2714" s="951">
        <v>89</v>
      </c>
      <c r="G2714" s="947" t="s">
        <v>159</v>
      </c>
      <c r="H2714" s="951">
        <v>0</v>
      </c>
      <c r="I2714" s="951">
        <v>0</v>
      </c>
      <c r="J2714" s="947" t="s">
        <v>373</v>
      </c>
      <c r="K2714" s="947">
        <v>681700</v>
      </c>
      <c r="M2714" s="631"/>
      <c r="P2714" s="950" t="str">
        <f>VLOOKUP(J2714,'רשימת רשויות'!A:A,1,0)</f>
        <v>קרית גת</v>
      </c>
      <c r="Q2714" s="956">
        <f>IFERROR(VLOOKUP(B2714,[2]מעובד!$D:$K,8,0),0)</f>
        <v>66</v>
      </c>
      <c r="R2714" s="956">
        <f>IFERROR(VLOOKUP(B2714,[2]מעובד!$D:$L,9,0),0)</f>
        <v>66</v>
      </c>
    </row>
    <row r="2715" spans="1:18" x14ac:dyDescent="0.2">
      <c r="A2715" s="947" t="s">
        <v>196</v>
      </c>
      <c r="B2715" s="947">
        <v>681718</v>
      </c>
      <c r="C2715" s="947" t="s">
        <v>2189</v>
      </c>
      <c r="D2715" s="947" t="s">
        <v>1540</v>
      </c>
      <c r="E2715" s="951">
        <v>226</v>
      </c>
      <c r="F2715" s="951">
        <v>214</v>
      </c>
      <c r="G2715" s="947" t="s">
        <v>159</v>
      </c>
      <c r="H2715" s="951">
        <v>51</v>
      </c>
      <c r="I2715" s="951">
        <v>7</v>
      </c>
      <c r="J2715" s="947" t="s">
        <v>196</v>
      </c>
      <c r="K2715" s="947">
        <v>681718</v>
      </c>
      <c r="M2715" s="631"/>
      <c r="P2715" s="950" t="str">
        <f>VLOOKUP(J2715,'רשימת רשויות'!A:A,1,0)</f>
        <v>בית שמש</v>
      </c>
      <c r="Q2715" s="956">
        <f>IFERROR(VLOOKUP(B2715,[2]מעובד!$D:$K,8,0),0)</f>
        <v>0</v>
      </c>
      <c r="R2715" s="956">
        <f>IFERROR(VLOOKUP(B2715,[2]מעובד!$D:$L,9,0),0)</f>
        <v>0</v>
      </c>
    </row>
    <row r="2716" spans="1:18" x14ac:dyDescent="0.2">
      <c r="A2716" s="947" t="s">
        <v>181</v>
      </c>
      <c r="B2716" s="947">
        <v>681726</v>
      </c>
      <c r="C2716" s="947" t="s">
        <v>2189</v>
      </c>
      <c r="D2716" s="947" t="s">
        <v>3170</v>
      </c>
      <c r="E2716" s="951">
        <v>42</v>
      </c>
      <c r="F2716" s="951">
        <v>0</v>
      </c>
      <c r="G2716" s="947" t="s">
        <v>159</v>
      </c>
      <c r="H2716" s="951">
        <v>0</v>
      </c>
      <c r="I2716" s="951">
        <v>0</v>
      </c>
      <c r="J2716" s="947" t="s">
        <v>181</v>
      </c>
      <c r="K2716" s="947">
        <v>681726</v>
      </c>
      <c r="M2716" s="631"/>
      <c r="P2716" s="950" t="str">
        <f>VLOOKUP(J2716,'רשימת רשויות'!A:A,1,0)</f>
        <v>אשדוד</v>
      </c>
      <c r="Q2716" s="956">
        <f>IFERROR(VLOOKUP(B2716,[2]מעובד!$D:$K,8,0),0)</f>
        <v>0</v>
      </c>
      <c r="R2716" s="956">
        <f>IFERROR(VLOOKUP(B2716,[2]מעובד!$D:$L,9,0),0)</f>
        <v>0</v>
      </c>
    </row>
    <row r="2717" spans="1:18" x14ac:dyDescent="0.2">
      <c r="A2717" s="947" t="s">
        <v>198</v>
      </c>
      <c r="B2717" s="947">
        <v>681734</v>
      </c>
      <c r="C2717" s="947" t="s">
        <v>2189</v>
      </c>
      <c r="D2717" s="947" t="s">
        <v>2757</v>
      </c>
      <c r="E2717" s="951">
        <v>198</v>
      </c>
      <c r="F2717" s="951">
        <v>166</v>
      </c>
      <c r="G2717" s="947" t="s">
        <v>159</v>
      </c>
      <c r="H2717" s="951">
        <v>143</v>
      </c>
      <c r="I2717" s="951">
        <v>20</v>
      </c>
      <c r="J2717" s="947" t="s">
        <v>198</v>
      </c>
      <c r="K2717" s="947">
        <v>681734</v>
      </c>
      <c r="M2717" s="631"/>
      <c r="P2717" s="950" t="str">
        <f>VLOOKUP(J2717,'רשימת רשויות'!A:A,1,0)</f>
        <v>בני ברק</v>
      </c>
      <c r="Q2717" s="956">
        <f>IFERROR(VLOOKUP(B2717,[2]מעובד!$D:$K,8,0),0)</f>
        <v>0</v>
      </c>
      <c r="R2717" s="956">
        <f>IFERROR(VLOOKUP(B2717,[2]מעובד!$D:$L,9,0),0)</f>
        <v>0</v>
      </c>
    </row>
    <row r="2718" spans="1:18" x14ac:dyDescent="0.2">
      <c r="A2718" s="947" t="s">
        <v>270</v>
      </c>
      <c r="B2718" s="947">
        <v>681742</v>
      </c>
      <c r="C2718" s="947" t="s">
        <v>2189</v>
      </c>
      <c r="D2718" s="947" t="s">
        <v>3171</v>
      </c>
      <c r="E2718" s="951">
        <v>169</v>
      </c>
      <c r="F2718" s="951">
        <v>169</v>
      </c>
      <c r="G2718" s="947" t="s">
        <v>159</v>
      </c>
      <c r="H2718" s="951">
        <v>0</v>
      </c>
      <c r="I2718" s="951">
        <v>0</v>
      </c>
      <c r="J2718" s="947" t="s">
        <v>270</v>
      </c>
      <c r="K2718" s="947">
        <v>681742</v>
      </c>
      <c r="M2718" s="631"/>
      <c r="P2718" s="950" t="str">
        <f>VLOOKUP(J2718,'רשימת רשויות'!A:A,1,0)</f>
        <v>ירושלים</v>
      </c>
      <c r="Q2718" s="956">
        <f>IFERROR(VLOOKUP(B2718,[2]מעובד!$D:$K,8,0),0)</f>
        <v>0</v>
      </c>
      <c r="R2718" s="956">
        <f>IFERROR(VLOOKUP(B2718,[2]מעובד!$D:$L,9,0),0)</f>
        <v>0</v>
      </c>
    </row>
    <row r="2719" spans="1:18" x14ac:dyDescent="0.2">
      <c r="A2719" s="947" t="s">
        <v>225</v>
      </c>
      <c r="B2719" s="947">
        <v>681759</v>
      </c>
      <c r="C2719" s="947" t="s">
        <v>2189</v>
      </c>
      <c r="D2719" s="947" t="s">
        <v>3172</v>
      </c>
      <c r="E2719" s="951">
        <v>41</v>
      </c>
      <c r="F2719" s="951">
        <v>39</v>
      </c>
      <c r="G2719" s="947" t="s">
        <v>159</v>
      </c>
      <c r="H2719" s="951">
        <v>0</v>
      </c>
      <c r="I2719" s="951">
        <v>0</v>
      </c>
      <c r="J2719" s="947" t="s">
        <v>225</v>
      </c>
      <c r="K2719" s="957" t="s">
        <v>3379</v>
      </c>
      <c r="M2719" s="631"/>
      <c r="P2719" s="950" t="str">
        <f>VLOOKUP(J2719,'רשימת רשויות'!A:A,1,0)</f>
        <v>דימונה</v>
      </c>
      <c r="Q2719" s="956">
        <f>IFERROR(VLOOKUP(B2719,[2]מעובד!$D:$K,8,0),0)</f>
        <v>0</v>
      </c>
      <c r="R2719" s="956">
        <f>IFERROR(VLOOKUP(B2719,[2]מעובד!$D:$L,9,0),0)</f>
        <v>0</v>
      </c>
    </row>
    <row r="2720" spans="1:18" x14ac:dyDescent="0.2">
      <c r="A2720" s="947" t="s">
        <v>270</v>
      </c>
      <c r="B2720" s="947">
        <v>681767</v>
      </c>
      <c r="C2720" s="947" t="s">
        <v>2189</v>
      </c>
      <c r="D2720" s="947" t="s">
        <v>3173</v>
      </c>
      <c r="E2720" s="951">
        <v>248</v>
      </c>
      <c r="F2720" s="951">
        <v>248</v>
      </c>
      <c r="G2720" s="947" t="s">
        <v>159</v>
      </c>
      <c r="H2720" s="951">
        <v>0</v>
      </c>
      <c r="I2720" s="951">
        <v>0</v>
      </c>
      <c r="J2720" s="947" t="s">
        <v>270</v>
      </c>
      <c r="K2720" s="947">
        <v>681767</v>
      </c>
      <c r="M2720" s="631"/>
      <c r="P2720" s="950" t="str">
        <f>VLOOKUP(J2720,'רשימת רשויות'!A:A,1,0)</f>
        <v>ירושלים</v>
      </c>
      <c r="Q2720" s="956">
        <f>IFERROR(VLOOKUP(B2720,[2]מעובד!$D:$K,8,0),0)</f>
        <v>0</v>
      </c>
      <c r="R2720" s="956">
        <f>IFERROR(VLOOKUP(B2720,[2]מעובד!$D:$L,9,0),0)</f>
        <v>0</v>
      </c>
    </row>
    <row r="2721" spans="1:18" x14ac:dyDescent="0.2">
      <c r="A2721" s="947" t="s">
        <v>196</v>
      </c>
      <c r="B2721" s="947">
        <v>681783</v>
      </c>
      <c r="C2721" s="947" t="s">
        <v>2189</v>
      </c>
      <c r="D2721" s="947" t="s">
        <v>2763</v>
      </c>
      <c r="E2721" s="951">
        <v>75</v>
      </c>
      <c r="F2721" s="951">
        <v>75</v>
      </c>
      <c r="G2721" s="947" t="s">
        <v>159</v>
      </c>
      <c r="H2721" s="951">
        <v>0</v>
      </c>
      <c r="I2721" s="951">
        <v>0</v>
      </c>
      <c r="J2721" s="947" t="s">
        <v>196</v>
      </c>
      <c r="K2721" s="947">
        <v>681783</v>
      </c>
      <c r="M2721" s="631"/>
      <c r="P2721" s="950" t="str">
        <f>VLOOKUP(J2721,'רשימת רשויות'!A:A,1,0)</f>
        <v>בית שמש</v>
      </c>
      <c r="Q2721" s="956">
        <f>IFERROR(VLOOKUP(B2721,[2]מעובד!$D:$K,8,0),0)</f>
        <v>0</v>
      </c>
      <c r="R2721" s="956">
        <f>IFERROR(VLOOKUP(B2721,[2]מעובד!$D:$L,9,0),0)</f>
        <v>0</v>
      </c>
    </row>
    <row r="2722" spans="1:18" x14ac:dyDescent="0.2">
      <c r="A2722" s="947" t="s">
        <v>196</v>
      </c>
      <c r="B2722" s="947">
        <v>681791</v>
      </c>
      <c r="C2722" s="947" t="s">
        <v>2189</v>
      </c>
      <c r="D2722" s="947" t="s">
        <v>2764</v>
      </c>
      <c r="E2722" s="951">
        <v>101</v>
      </c>
      <c r="F2722" s="951">
        <v>100</v>
      </c>
      <c r="G2722" s="947" t="s">
        <v>159</v>
      </c>
      <c r="H2722" s="951">
        <v>0</v>
      </c>
      <c r="I2722" s="951">
        <v>0</v>
      </c>
      <c r="J2722" s="947" t="s">
        <v>196</v>
      </c>
      <c r="K2722" s="947">
        <v>681791</v>
      </c>
      <c r="M2722" s="631"/>
      <c r="P2722" s="950" t="str">
        <f>VLOOKUP(J2722,'רשימת רשויות'!A:A,1,0)</f>
        <v>בית שמש</v>
      </c>
      <c r="Q2722" s="956">
        <f>IFERROR(VLOOKUP(B2722,[2]מעובד!$D:$K,8,0),0)</f>
        <v>0</v>
      </c>
      <c r="R2722" s="956">
        <f>IFERROR(VLOOKUP(B2722,[2]מעובד!$D:$L,9,0),0)</f>
        <v>0</v>
      </c>
    </row>
    <row r="2723" spans="1:18" x14ac:dyDescent="0.2">
      <c r="A2723" s="947" t="s">
        <v>175</v>
      </c>
      <c r="B2723" s="947">
        <v>681809</v>
      </c>
      <c r="C2723" s="947" t="s">
        <v>2189</v>
      </c>
      <c r="D2723" s="947" t="s">
        <v>2774</v>
      </c>
      <c r="E2723" s="951">
        <v>65</v>
      </c>
      <c r="F2723" s="951">
        <v>65</v>
      </c>
      <c r="G2723" s="947" t="s">
        <v>159</v>
      </c>
      <c r="H2723" s="951">
        <v>0</v>
      </c>
      <c r="I2723" s="951">
        <v>0</v>
      </c>
      <c r="J2723" s="947" t="s">
        <v>175</v>
      </c>
      <c r="K2723" s="947">
        <v>681809</v>
      </c>
      <c r="M2723" s="631"/>
      <c r="P2723" s="950" t="str">
        <f>VLOOKUP(J2723,'רשימת רשויות'!A:A,1,0)</f>
        <v>אלעד</v>
      </c>
      <c r="Q2723" s="956">
        <f>IFERROR(VLOOKUP(B2723,[2]מעובד!$D:$K,8,0),0)</f>
        <v>65</v>
      </c>
      <c r="R2723" s="956">
        <f>IFERROR(VLOOKUP(B2723,[2]מעובד!$D:$L,9,0),0)</f>
        <v>43</v>
      </c>
    </row>
    <row r="2724" spans="1:18" x14ac:dyDescent="0.2">
      <c r="A2724" s="947" t="s">
        <v>355</v>
      </c>
      <c r="B2724" s="947">
        <v>681817</v>
      </c>
      <c r="C2724" s="947" t="s">
        <v>2189</v>
      </c>
      <c r="D2724" s="947" t="s">
        <v>2711</v>
      </c>
      <c r="E2724" s="951">
        <v>201</v>
      </c>
      <c r="F2724" s="951">
        <v>188</v>
      </c>
      <c r="G2724" s="947" t="s">
        <v>159</v>
      </c>
      <c r="H2724" s="951">
        <v>73</v>
      </c>
      <c r="I2724" s="951">
        <v>11</v>
      </c>
      <c r="J2724" s="947" t="s">
        <v>355</v>
      </c>
      <c r="K2724" s="947">
        <v>681817</v>
      </c>
      <c r="M2724" s="631"/>
      <c r="P2724" s="950" t="str">
        <f>VLOOKUP(J2724,'רשימת רשויות'!A:A,1,0)</f>
        <v>ערד</v>
      </c>
      <c r="Q2724" s="956">
        <f>IFERROR(VLOOKUP(B2724,[2]מעובד!$D:$K,8,0),0)</f>
        <v>145</v>
      </c>
      <c r="R2724" s="956">
        <f>IFERROR(VLOOKUP(B2724,[2]מעובד!$D:$L,9,0),0)</f>
        <v>80</v>
      </c>
    </row>
    <row r="2725" spans="1:18" x14ac:dyDescent="0.2">
      <c r="A2725" s="947" t="s">
        <v>353</v>
      </c>
      <c r="B2725" s="947">
        <v>681833</v>
      </c>
      <c r="C2725" s="947" t="s">
        <v>2189</v>
      </c>
      <c r="D2725" s="947" t="s">
        <v>3174</v>
      </c>
      <c r="E2725" s="951">
        <v>42</v>
      </c>
      <c r="F2725" s="951">
        <v>34</v>
      </c>
      <c r="G2725" s="947" t="s">
        <v>159</v>
      </c>
      <c r="H2725" s="951">
        <v>0</v>
      </c>
      <c r="I2725" s="951">
        <v>0</v>
      </c>
      <c r="J2725" s="947" t="s">
        <v>353</v>
      </c>
      <c r="K2725" s="957" t="s">
        <v>3380</v>
      </c>
      <c r="M2725" s="631"/>
      <c r="P2725" s="950" t="str">
        <f>VLOOKUP(J2725,'רשימת רשויות'!A:A,1,0)</f>
        <v>עפולה</v>
      </c>
      <c r="Q2725" s="956">
        <f>IFERROR(VLOOKUP(B2725,[2]מעובד!$D:$K,8,0),0)</f>
        <v>0</v>
      </c>
      <c r="R2725" s="956">
        <f>IFERROR(VLOOKUP(B2725,[2]מעובד!$D:$L,9,0),0)</f>
        <v>0</v>
      </c>
    </row>
    <row r="2726" spans="1:18" x14ac:dyDescent="0.2">
      <c r="A2726" s="947" t="s">
        <v>335</v>
      </c>
      <c r="B2726" s="947">
        <v>681932</v>
      </c>
      <c r="C2726" s="947" t="s">
        <v>2189</v>
      </c>
      <c r="D2726" s="947" t="s">
        <v>3175</v>
      </c>
      <c r="E2726" s="951">
        <v>64</v>
      </c>
      <c r="F2726" s="951">
        <v>64</v>
      </c>
      <c r="G2726" s="947" t="s">
        <v>159</v>
      </c>
      <c r="H2726" s="951">
        <v>0</v>
      </c>
      <c r="I2726" s="951">
        <v>0</v>
      </c>
      <c r="J2726" s="947" t="s">
        <v>335</v>
      </c>
      <c r="K2726" s="947">
        <v>681932</v>
      </c>
      <c r="M2726" s="631"/>
      <c r="P2726" s="950" t="str">
        <f>VLOOKUP(J2726,'רשימת רשויות'!A:A,1,0)</f>
        <v>נתיבות</v>
      </c>
      <c r="Q2726" s="956">
        <f>IFERROR(VLOOKUP(B2726,[2]מעובד!$D:$K,8,0),0)</f>
        <v>0</v>
      </c>
      <c r="R2726" s="956">
        <f>IFERROR(VLOOKUP(B2726,[2]מעובד!$D:$L,9,0),0)</f>
        <v>0</v>
      </c>
    </row>
    <row r="2727" spans="1:18" x14ac:dyDescent="0.2">
      <c r="A2727" s="947" t="s">
        <v>181</v>
      </c>
      <c r="B2727" s="947">
        <v>681981</v>
      </c>
      <c r="C2727" s="947" t="s">
        <v>2189</v>
      </c>
      <c r="D2727" s="947" t="s">
        <v>3176</v>
      </c>
      <c r="E2727" s="951">
        <v>58</v>
      </c>
      <c r="F2727" s="951">
        <v>50</v>
      </c>
      <c r="G2727" s="947" t="s">
        <v>159</v>
      </c>
      <c r="H2727" s="951">
        <v>0</v>
      </c>
      <c r="I2727" s="951">
        <v>0</v>
      </c>
      <c r="J2727" s="947" t="s">
        <v>181</v>
      </c>
      <c r="K2727" s="957" t="s">
        <v>3381</v>
      </c>
      <c r="M2727" s="631"/>
      <c r="P2727" s="950" t="str">
        <f>VLOOKUP(J2727,'רשימת רשויות'!A:A,1,0)</f>
        <v>אשדוד</v>
      </c>
      <c r="Q2727" s="956">
        <f>IFERROR(VLOOKUP(B2727,[2]מעובד!$D:$K,8,0),0)</f>
        <v>0</v>
      </c>
      <c r="R2727" s="956">
        <f>IFERROR(VLOOKUP(B2727,[2]מעובד!$D:$L,9,0),0)</f>
        <v>0</v>
      </c>
    </row>
    <row r="2728" spans="1:18" x14ac:dyDescent="0.2">
      <c r="A2728" s="947" t="s">
        <v>310</v>
      </c>
      <c r="B2728" s="947">
        <v>681999</v>
      </c>
      <c r="C2728" s="947" t="s">
        <v>2189</v>
      </c>
      <c r="D2728" s="947" t="s">
        <v>2017</v>
      </c>
      <c r="E2728" s="951">
        <v>109</v>
      </c>
      <c r="F2728" s="951">
        <v>100</v>
      </c>
      <c r="G2728" s="947" t="s">
        <v>159</v>
      </c>
      <c r="H2728" s="951">
        <v>0</v>
      </c>
      <c r="I2728" s="951">
        <v>0</v>
      </c>
      <c r="J2728" s="947" t="s">
        <v>310</v>
      </c>
      <c r="K2728" s="947">
        <v>681999</v>
      </c>
      <c r="M2728" s="631"/>
      <c r="P2728" s="950" t="str">
        <f>VLOOKUP(J2728,'רשימת רשויות'!A:A,1,0)</f>
        <v>מטה בנימין</v>
      </c>
      <c r="Q2728" s="956">
        <f>IFERROR(VLOOKUP(B2728,[2]מעובד!$D:$K,8,0),0)</f>
        <v>79</v>
      </c>
      <c r="R2728" s="956">
        <f>IFERROR(VLOOKUP(B2728,[2]מעובד!$D:$L,9,0),0)</f>
        <v>48</v>
      </c>
    </row>
    <row r="2729" spans="1:18" x14ac:dyDescent="0.2">
      <c r="A2729" s="947" t="s">
        <v>405</v>
      </c>
      <c r="B2729" s="947">
        <v>682203</v>
      </c>
      <c r="C2729" s="947" t="s">
        <v>2189</v>
      </c>
      <c r="D2729" s="947" t="s">
        <v>3177</v>
      </c>
      <c r="E2729" s="951">
        <v>80</v>
      </c>
      <c r="F2729" s="951">
        <v>79</v>
      </c>
      <c r="G2729" s="947" t="s">
        <v>159</v>
      </c>
      <c r="H2729" s="951">
        <v>0</v>
      </c>
      <c r="I2729" s="951">
        <v>0</v>
      </c>
      <c r="J2729" s="947" t="s">
        <v>405</v>
      </c>
      <c r="K2729" s="947">
        <v>682203</v>
      </c>
      <c r="M2729" s="631"/>
      <c r="P2729" s="950" t="str">
        <f>VLOOKUP(J2729,'רשימת רשויות'!A:A,1,0)</f>
        <v>שער הנגב</v>
      </c>
      <c r="Q2729" s="956">
        <f>IFERROR(VLOOKUP(B2729,[2]מעובד!$D:$K,8,0),0)</f>
        <v>51</v>
      </c>
      <c r="R2729" s="956">
        <f>IFERROR(VLOOKUP(B2729,[2]מעובד!$D:$L,9,0),0)</f>
        <v>42</v>
      </c>
    </row>
    <row r="2730" spans="1:18" x14ac:dyDescent="0.2">
      <c r="A2730" s="947" t="s">
        <v>182</v>
      </c>
      <c r="B2730" s="947">
        <v>682211</v>
      </c>
      <c r="C2730" s="947" t="s">
        <v>2189</v>
      </c>
      <c r="D2730" s="947" t="s">
        <v>3178</v>
      </c>
      <c r="E2730" s="951">
        <v>85</v>
      </c>
      <c r="F2730" s="951">
        <v>0</v>
      </c>
      <c r="G2730" s="947" t="s">
        <v>159</v>
      </c>
      <c r="H2730" s="951">
        <v>0</v>
      </c>
      <c r="I2730" s="951">
        <v>0</v>
      </c>
      <c r="J2730" s="947" t="s">
        <v>182</v>
      </c>
      <c r="K2730" s="947">
        <v>682211</v>
      </c>
      <c r="M2730" s="631"/>
      <c r="P2730" s="950" t="str">
        <f>VLOOKUP(J2730,'רשימת רשויות'!A:A,1,0)</f>
        <v>אשכול</v>
      </c>
      <c r="Q2730" s="956">
        <f>IFERROR(VLOOKUP(B2730,[2]מעובד!$D:$K,8,0),0)</f>
        <v>0</v>
      </c>
      <c r="R2730" s="956">
        <f>IFERROR(VLOOKUP(B2730,[2]מעובד!$D:$L,9,0),0)</f>
        <v>0</v>
      </c>
    </row>
    <row r="2731" spans="1:18" x14ac:dyDescent="0.2">
      <c r="A2731" s="947" t="s">
        <v>386</v>
      </c>
      <c r="B2731" s="947">
        <v>682237</v>
      </c>
      <c r="C2731" s="947" t="s">
        <v>2189</v>
      </c>
      <c r="D2731" s="947" t="s">
        <v>3179</v>
      </c>
      <c r="E2731" s="951">
        <v>188</v>
      </c>
      <c r="F2731" s="951">
        <v>175</v>
      </c>
      <c r="G2731" s="947" t="s">
        <v>159</v>
      </c>
      <c r="H2731" s="951">
        <v>0</v>
      </c>
      <c r="I2731" s="951">
        <v>0</v>
      </c>
      <c r="J2731" s="947" t="s">
        <v>386</v>
      </c>
      <c r="K2731" s="947">
        <v>682237</v>
      </c>
      <c r="M2731" s="631"/>
      <c r="P2731" s="950" t="str">
        <f>VLOOKUP(J2731,'רשימת רשויות'!A:A,1,0)</f>
        <v>רהט</v>
      </c>
      <c r="Q2731" s="956">
        <f>IFERROR(VLOOKUP(B2731,[2]מעובד!$D:$K,8,0),0)</f>
        <v>174</v>
      </c>
      <c r="R2731" s="956">
        <f>IFERROR(VLOOKUP(B2731,[2]מעובד!$D:$L,9,0),0)</f>
        <v>60</v>
      </c>
    </row>
    <row r="2732" spans="1:18" x14ac:dyDescent="0.2">
      <c r="A2732" s="947" t="s">
        <v>270</v>
      </c>
      <c r="B2732" s="947">
        <v>682286</v>
      </c>
      <c r="C2732" s="947" t="s">
        <v>2189</v>
      </c>
      <c r="D2732" s="947" t="s">
        <v>3180</v>
      </c>
      <c r="E2732" s="951">
        <v>20</v>
      </c>
      <c r="F2732" s="951">
        <v>18</v>
      </c>
      <c r="G2732" s="947" t="s">
        <v>159</v>
      </c>
      <c r="H2732" s="951">
        <v>0</v>
      </c>
      <c r="I2732" s="951">
        <v>0</v>
      </c>
      <c r="J2732" s="947" t="s">
        <v>270</v>
      </c>
      <c r="K2732" s="947">
        <v>682286</v>
      </c>
      <c r="M2732" s="631"/>
      <c r="P2732" s="950" t="str">
        <f>VLOOKUP(J2732,'רשימת רשויות'!A:A,1,0)</f>
        <v>ירושלים</v>
      </c>
      <c r="Q2732" s="956">
        <f>IFERROR(VLOOKUP(B2732,[2]מעובד!$D:$K,8,0),0)</f>
        <v>0</v>
      </c>
      <c r="R2732" s="956">
        <f>IFERROR(VLOOKUP(B2732,[2]מעובד!$D:$L,9,0),0)</f>
        <v>0</v>
      </c>
    </row>
    <row r="2733" spans="1:18" x14ac:dyDescent="0.2">
      <c r="A2733" s="947" t="s">
        <v>261</v>
      </c>
      <c r="B2733" s="947">
        <v>682294</v>
      </c>
      <c r="C2733" s="947" t="s">
        <v>2189</v>
      </c>
      <c r="D2733" s="947" t="s">
        <v>3181</v>
      </c>
      <c r="E2733" s="951">
        <v>47</v>
      </c>
      <c r="F2733" s="951">
        <v>45</v>
      </c>
      <c r="G2733" s="947" t="s">
        <v>159</v>
      </c>
      <c r="H2733" s="951">
        <v>0</v>
      </c>
      <c r="I2733" s="951">
        <v>0</v>
      </c>
      <c r="J2733" s="947" t="s">
        <v>261</v>
      </c>
      <c r="K2733" s="947">
        <v>682294</v>
      </c>
      <c r="M2733" s="631"/>
      <c r="P2733" s="950" t="str">
        <f>VLOOKUP(J2733,'רשימת רשויות'!A:A,1,0)</f>
        <v>יבנאל</v>
      </c>
      <c r="Q2733" s="956">
        <f>IFERROR(VLOOKUP(B2733,[2]מעובד!$D:$K,8,0),0)</f>
        <v>0</v>
      </c>
      <c r="R2733" s="956">
        <f>IFERROR(VLOOKUP(B2733,[2]מעובד!$D:$L,9,0),0)</f>
        <v>0</v>
      </c>
    </row>
    <row r="2734" spans="1:18" x14ac:dyDescent="0.2">
      <c r="A2734" s="947" t="s">
        <v>337</v>
      </c>
      <c r="B2734" s="947">
        <v>682336</v>
      </c>
      <c r="C2734" s="947" t="s">
        <v>2189</v>
      </c>
      <c r="D2734" s="947" t="s">
        <v>3182</v>
      </c>
      <c r="E2734" s="951">
        <v>111</v>
      </c>
      <c r="F2734" s="951">
        <v>101</v>
      </c>
      <c r="G2734" s="947" t="s">
        <v>159</v>
      </c>
      <c r="H2734" s="951">
        <v>39</v>
      </c>
      <c r="I2734" s="951">
        <v>9</v>
      </c>
      <c r="J2734" s="947" t="s">
        <v>337</v>
      </c>
      <c r="K2734" s="947">
        <v>682336</v>
      </c>
      <c r="M2734" s="631"/>
      <c r="P2734" s="950" t="str">
        <f>VLOOKUP(J2734,'רשימת רשויות'!A:A,1,0)</f>
        <v>סאג'ור</v>
      </c>
      <c r="Q2734" s="956">
        <f>IFERROR(VLOOKUP(B2734,[2]מעובד!$D:$K,8,0),0)</f>
        <v>0</v>
      </c>
      <c r="R2734" s="956">
        <f>IFERROR(VLOOKUP(B2734,[2]מעובד!$D:$L,9,0),0)</f>
        <v>0</v>
      </c>
    </row>
    <row r="2735" spans="1:18" x14ac:dyDescent="0.2">
      <c r="A2735" s="947" t="s">
        <v>329</v>
      </c>
      <c r="B2735" s="947">
        <v>682344</v>
      </c>
      <c r="C2735" s="947" t="s">
        <v>2189</v>
      </c>
      <c r="D2735" s="947" t="s">
        <v>3183</v>
      </c>
      <c r="E2735" s="951">
        <v>75</v>
      </c>
      <c r="F2735" s="951">
        <v>0</v>
      </c>
      <c r="G2735" s="947" t="s">
        <v>159</v>
      </c>
      <c r="H2735" s="951">
        <v>0</v>
      </c>
      <c r="I2735" s="951">
        <v>0</v>
      </c>
      <c r="J2735" s="947" t="s">
        <v>329</v>
      </c>
      <c r="K2735" s="947">
        <v>682344</v>
      </c>
      <c r="M2735" s="631"/>
      <c r="P2735" s="950" t="str">
        <f>VLOOKUP(J2735,'רשימת רשויות'!A:A,1,0)</f>
        <v>נוף הגליל</v>
      </c>
      <c r="Q2735" s="956">
        <f>IFERROR(VLOOKUP(B2735,[2]מעובד!$D:$K,8,0),0)</f>
        <v>0</v>
      </c>
      <c r="R2735" s="956">
        <f>IFERROR(VLOOKUP(B2735,[2]מעובד!$D:$L,9,0),0)</f>
        <v>0</v>
      </c>
    </row>
    <row r="2736" spans="1:18" x14ac:dyDescent="0.2">
      <c r="A2736" s="947" t="s">
        <v>196</v>
      </c>
      <c r="B2736" s="947">
        <v>682369</v>
      </c>
      <c r="C2736" s="947" t="s">
        <v>2189</v>
      </c>
      <c r="D2736" s="947" t="s">
        <v>3184</v>
      </c>
      <c r="E2736" s="951">
        <v>40</v>
      </c>
      <c r="F2736" s="951">
        <v>40</v>
      </c>
      <c r="G2736" s="947" t="s">
        <v>159</v>
      </c>
      <c r="H2736" s="951">
        <v>0</v>
      </c>
      <c r="I2736" s="951">
        <v>0</v>
      </c>
      <c r="J2736" s="947" t="s">
        <v>196</v>
      </c>
      <c r="K2736" s="947">
        <v>682369</v>
      </c>
      <c r="M2736" s="631"/>
      <c r="P2736" s="950" t="str">
        <f>VLOOKUP(J2736,'רשימת רשויות'!A:A,1,0)</f>
        <v>בית שמש</v>
      </c>
      <c r="Q2736" s="956">
        <f>IFERROR(VLOOKUP(B2736,[2]מעובד!$D:$K,8,0),0)</f>
        <v>0</v>
      </c>
      <c r="R2736" s="956">
        <f>IFERROR(VLOOKUP(B2736,[2]מעובד!$D:$L,9,0),0)</f>
        <v>0</v>
      </c>
    </row>
    <row r="2737" spans="1:18" x14ac:dyDescent="0.2">
      <c r="A2737" s="947" t="s">
        <v>270</v>
      </c>
      <c r="B2737" s="947">
        <v>682377</v>
      </c>
      <c r="C2737" s="947" t="s">
        <v>2189</v>
      </c>
      <c r="D2737" s="947" t="s">
        <v>3185</v>
      </c>
      <c r="E2737" s="951">
        <v>45</v>
      </c>
      <c r="F2737" s="951">
        <v>45</v>
      </c>
      <c r="G2737" s="947" t="s">
        <v>159</v>
      </c>
      <c r="H2737" s="951">
        <v>0</v>
      </c>
      <c r="I2737" s="951">
        <v>0</v>
      </c>
      <c r="J2737" s="947" t="s">
        <v>270</v>
      </c>
      <c r="K2737" s="947">
        <v>682377</v>
      </c>
      <c r="M2737" s="631"/>
      <c r="P2737" s="950" t="str">
        <f>VLOOKUP(J2737,'רשימת רשויות'!A:A,1,0)</f>
        <v>ירושלים</v>
      </c>
      <c r="Q2737" s="956">
        <f>IFERROR(VLOOKUP(B2737,[2]מעובד!$D:$K,8,0),0)</f>
        <v>0</v>
      </c>
      <c r="R2737" s="956">
        <f>IFERROR(VLOOKUP(B2737,[2]מעובד!$D:$L,9,0),0)</f>
        <v>0</v>
      </c>
    </row>
    <row r="2738" spans="1:18" x14ac:dyDescent="0.2">
      <c r="A2738" s="947" t="s">
        <v>270</v>
      </c>
      <c r="B2738" s="947">
        <v>682385</v>
      </c>
      <c r="C2738" s="947" t="s">
        <v>2189</v>
      </c>
      <c r="D2738" s="947" t="s">
        <v>2015</v>
      </c>
      <c r="E2738" s="951">
        <v>145</v>
      </c>
      <c r="F2738" s="951">
        <v>143</v>
      </c>
      <c r="G2738" s="947" t="s">
        <v>159</v>
      </c>
      <c r="H2738" s="951">
        <v>0</v>
      </c>
      <c r="I2738" s="951">
        <v>0</v>
      </c>
      <c r="J2738" s="947" t="s">
        <v>270</v>
      </c>
      <c r="K2738" s="947">
        <v>682385</v>
      </c>
      <c r="M2738" s="631"/>
      <c r="P2738" s="950" t="str">
        <f>VLOOKUP(J2738,'רשימת רשויות'!A:A,1,0)</f>
        <v>ירושלים</v>
      </c>
      <c r="Q2738" s="956">
        <f>IFERROR(VLOOKUP(B2738,[2]מעובד!$D:$K,8,0),0)</f>
        <v>138</v>
      </c>
      <c r="R2738" s="956">
        <f>IFERROR(VLOOKUP(B2738,[2]מעובד!$D:$L,9,0),0)</f>
        <v>138</v>
      </c>
    </row>
    <row r="2739" spans="1:18" x14ac:dyDescent="0.2">
      <c r="A2739" s="947" t="s">
        <v>335</v>
      </c>
      <c r="B2739" s="947">
        <v>682393</v>
      </c>
      <c r="C2739" s="947" t="s">
        <v>2189</v>
      </c>
      <c r="D2739" s="947" t="s">
        <v>3186</v>
      </c>
      <c r="E2739" s="951">
        <v>26</v>
      </c>
      <c r="F2739" s="951">
        <v>26</v>
      </c>
      <c r="G2739" s="947" t="s">
        <v>159</v>
      </c>
      <c r="H2739" s="951">
        <v>0</v>
      </c>
      <c r="I2739" s="951">
        <v>0</v>
      </c>
      <c r="J2739" s="947" t="s">
        <v>335</v>
      </c>
      <c r="K2739" s="947">
        <v>682393</v>
      </c>
      <c r="M2739" s="631"/>
      <c r="P2739" s="950" t="str">
        <f>VLOOKUP(J2739,'רשימת רשויות'!A:A,1,0)</f>
        <v>נתיבות</v>
      </c>
      <c r="Q2739" s="956">
        <f>IFERROR(VLOOKUP(B2739,[2]מעובד!$D:$K,8,0),0)</f>
        <v>0</v>
      </c>
      <c r="R2739" s="956">
        <f>IFERROR(VLOOKUP(B2739,[2]מעובד!$D:$L,9,0),0)</f>
        <v>0</v>
      </c>
    </row>
    <row r="2740" spans="1:18" x14ac:dyDescent="0.2">
      <c r="A2740" s="947" t="s">
        <v>380</v>
      </c>
      <c r="B2740" s="947">
        <v>682419</v>
      </c>
      <c r="C2740" s="947" t="s">
        <v>2189</v>
      </c>
      <c r="D2740" s="947" t="s">
        <v>1511</v>
      </c>
      <c r="E2740" s="951">
        <v>45</v>
      </c>
      <c r="F2740" s="951">
        <v>37</v>
      </c>
      <c r="G2740" s="947" t="s">
        <v>159</v>
      </c>
      <c r="H2740" s="951">
        <v>0</v>
      </c>
      <c r="I2740" s="951">
        <v>0</v>
      </c>
      <c r="J2740" s="947" t="s">
        <v>380</v>
      </c>
      <c r="K2740" s="947">
        <v>682419</v>
      </c>
      <c r="M2740" s="631"/>
      <c r="P2740" s="950" t="str">
        <f>VLOOKUP(J2740,'רשימת רשויות'!A:A,1,0)</f>
        <v>קרית שמונה</v>
      </c>
      <c r="Q2740" s="956">
        <f>IFERROR(VLOOKUP(B2740,[2]מעובד!$D:$K,8,0),0)</f>
        <v>28</v>
      </c>
      <c r="R2740" s="956">
        <f>IFERROR(VLOOKUP(B2740,[2]מעובד!$D:$L,9,0),0)</f>
        <v>28</v>
      </c>
    </row>
    <row r="2741" spans="1:18" x14ac:dyDescent="0.2">
      <c r="A2741" s="947" t="s">
        <v>183</v>
      </c>
      <c r="B2741" s="947">
        <v>682435</v>
      </c>
      <c r="C2741" s="947" t="s">
        <v>2189</v>
      </c>
      <c r="D2741" s="947" t="s">
        <v>3187</v>
      </c>
      <c r="E2741" s="951">
        <v>65</v>
      </c>
      <c r="F2741" s="951">
        <v>0</v>
      </c>
      <c r="G2741" s="947" t="s">
        <v>159</v>
      </c>
      <c r="H2741" s="951">
        <v>0</v>
      </c>
      <c r="I2741" s="951">
        <v>0</v>
      </c>
      <c r="J2741" s="947" t="s">
        <v>183</v>
      </c>
      <c r="K2741" s="947">
        <v>682435</v>
      </c>
      <c r="M2741" s="631"/>
      <c r="P2741" s="950" t="str">
        <f>VLOOKUP(J2741,'רשימת רשויות'!A:A,1,0)</f>
        <v>אשקלון</v>
      </c>
      <c r="Q2741" s="956">
        <f>IFERROR(VLOOKUP(B2741,[2]מעובד!$D:$K,8,0),0)</f>
        <v>65</v>
      </c>
      <c r="R2741" s="956">
        <f>IFERROR(VLOOKUP(B2741,[2]מעובד!$D:$L,9,0),0)</f>
        <v>65</v>
      </c>
    </row>
    <row r="2742" spans="1:18" x14ac:dyDescent="0.2">
      <c r="A2742" s="947" t="s">
        <v>365</v>
      </c>
      <c r="B2742" s="947">
        <v>682443</v>
      </c>
      <c r="C2742" s="947" t="s">
        <v>2189</v>
      </c>
      <c r="D2742" s="947" t="s">
        <v>3188</v>
      </c>
      <c r="E2742" s="951">
        <v>63</v>
      </c>
      <c r="F2742" s="951">
        <v>63</v>
      </c>
      <c r="G2742" s="947" t="s">
        <v>159</v>
      </c>
      <c r="H2742" s="951">
        <v>0</v>
      </c>
      <c r="I2742" s="951">
        <v>0</v>
      </c>
      <c r="J2742" s="947" t="s">
        <v>365</v>
      </c>
      <c r="K2742" s="947">
        <v>682443</v>
      </c>
      <c r="M2742" s="631"/>
      <c r="P2742" s="950" t="str">
        <f>VLOOKUP(J2742,'רשימת רשויות'!A:A,1,0)</f>
        <v>צפת</v>
      </c>
      <c r="Q2742" s="956">
        <f>IFERROR(VLOOKUP(B2742,[2]מעובד!$D:$K,8,0),0)</f>
        <v>67</v>
      </c>
      <c r="R2742" s="956">
        <f>IFERROR(VLOOKUP(B2742,[2]מעובד!$D:$L,9,0),0)</f>
        <v>67</v>
      </c>
    </row>
    <row r="2743" spans="1:18" x14ac:dyDescent="0.2">
      <c r="A2743" s="947" t="s">
        <v>251</v>
      </c>
      <c r="B2743" s="947">
        <v>712695</v>
      </c>
      <c r="C2743" s="947" t="s">
        <v>2189</v>
      </c>
      <c r="D2743" s="947" t="s">
        <v>2747</v>
      </c>
      <c r="E2743" s="951">
        <v>124</v>
      </c>
      <c r="F2743" s="951">
        <v>124</v>
      </c>
      <c r="G2743" s="947" t="s">
        <v>3252</v>
      </c>
      <c r="H2743" s="951">
        <v>0</v>
      </c>
      <c r="I2743" s="951">
        <v>0</v>
      </c>
      <c r="J2743" s="947" t="s">
        <v>251</v>
      </c>
      <c r="K2743" s="947">
        <v>712695</v>
      </c>
      <c r="M2743" s="631"/>
      <c r="P2743" s="950" t="str">
        <f>VLOOKUP(J2743,'רשימת רשויות'!A:A,1,0)</f>
        <v>חיפה</v>
      </c>
      <c r="Q2743" s="956">
        <f>IFERROR(VLOOKUP(B2743,[2]מעובד!$D:$K,8,0),0)</f>
        <v>0</v>
      </c>
      <c r="R2743" s="956">
        <f>IFERROR(VLOOKUP(B2743,[2]מעובד!$D:$L,9,0),0)</f>
        <v>0</v>
      </c>
    </row>
    <row r="2744" spans="1:18" x14ac:dyDescent="0.2">
      <c r="A2744" s="947" t="s">
        <v>322</v>
      </c>
      <c r="B2744" s="947">
        <v>713685</v>
      </c>
      <c r="C2744" s="947" t="s">
        <v>2189</v>
      </c>
      <c r="D2744" s="947" t="s">
        <v>997</v>
      </c>
      <c r="E2744" s="951">
        <v>53</v>
      </c>
      <c r="F2744" s="951">
        <v>49</v>
      </c>
      <c r="G2744" s="947" t="s">
        <v>159</v>
      </c>
      <c r="H2744" s="951">
        <v>0</v>
      </c>
      <c r="I2744" s="951">
        <v>0</v>
      </c>
      <c r="J2744" s="947" t="s">
        <v>322</v>
      </c>
      <c r="K2744" s="957" t="s">
        <v>3355</v>
      </c>
      <c r="M2744" s="631"/>
      <c r="P2744" s="950" t="str">
        <f>VLOOKUP(J2744,'רשימת רשויות'!A:A,1,0)</f>
        <v>מצפה רמון</v>
      </c>
      <c r="Q2744" s="956">
        <f>IFERROR(VLOOKUP(B2744,[2]מעובד!$D:$K,8,0),0)</f>
        <v>50</v>
      </c>
      <c r="R2744" s="956">
        <f>IFERROR(VLOOKUP(B2744,[2]מעובד!$D:$L,9,0),0)</f>
        <v>17</v>
      </c>
    </row>
    <row r="2745" spans="1:18" x14ac:dyDescent="0.2">
      <c r="A2745" s="947" t="s">
        <v>234</v>
      </c>
      <c r="B2745" s="947">
        <v>714972</v>
      </c>
      <c r="C2745" s="947" t="s">
        <v>2189</v>
      </c>
      <c r="D2745" s="947" t="s">
        <v>2078</v>
      </c>
      <c r="E2745" s="951">
        <v>147</v>
      </c>
      <c r="F2745" s="951">
        <v>90</v>
      </c>
      <c r="G2745" s="947" t="s">
        <v>159</v>
      </c>
      <c r="H2745" s="951">
        <v>0</v>
      </c>
      <c r="I2745" s="951">
        <v>0</v>
      </c>
      <c r="J2745" s="947" t="s">
        <v>234</v>
      </c>
      <c r="K2745" s="947">
        <v>714972</v>
      </c>
      <c r="M2745" s="631"/>
      <c r="P2745" s="950" t="str">
        <f>VLOOKUP(J2745,'רשימת רשויות'!A:A,1,0)</f>
        <v>הר חברון</v>
      </c>
      <c r="Q2745" s="956">
        <f>IFERROR(VLOOKUP(B2745,[2]מעובד!$D:$K,8,0),0)</f>
        <v>0</v>
      </c>
      <c r="R2745" s="956">
        <f>IFERROR(VLOOKUP(B2745,[2]מעובד!$D:$L,9,0),0)</f>
        <v>0</v>
      </c>
    </row>
    <row r="2746" spans="1:18" x14ac:dyDescent="0.2">
      <c r="A2746" s="947" t="s">
        <v>197</v>
      </c>
      <c r="B2746" s="947">
        <v>716506</v>
      </c>
      <c r="C2746" s="947" t="s">
        <v>2189</v>
      </c>
      <c r="D2746" s="947" t="s">
        <v>2029</v>
      </c>
      <c r="E2746" s="951">
        <v>187</v>
      </c>
      <c r="F2746" s="951">
        <v>187</v>
      </c>
      <c r="G2746" s="947" t="s">
        <v>3252</v>
      </c>
      <c r="H2746" s="951">
        <v>0</v>
      </c>
      <c r="I2746" s="951">
        <v>0</v>
      </c>
      <c r="J2746" s="947" t="s">
        <v>197</v>
      </c>
      <c r="K2746" s="947">
        <v>716506</v>
      </c>
      <c r="M2746" s="631"/>
      <c r="P2746" s="950" t="str">
        <f>VLOOKUP(J2746,'רשימת רשויות'!A:A,1,0)</f>
        <v>ביתר עילית</v>
      </c>
      <c r="Q2746" s="956">
        <f>IFERROR(VLOOKUP(B2746,[2]מעובד!$D:$K,8,0),0)</f>
        <v>0</v>
      </c>
      <c r="R2746" s="956">
        <f>IFERROR(VLOOKUP(B2746,[2]מעובד!$D:$L,9,0),0)</f>
        <v>0</v>
      </c>
    </row>
    <row r="2747" spans="1:18" x14ac:dyDescent="0.2">
      <c r="A2747" s="947" t="s">
        <v>365</v>
      </c>
      <c r="B2747" s="947">
        <v>716597</v>
      </c>
      <c r="C2747" s="947" t="s">
        <v>2189</v>
      </c>
      <c r="D2747" s="947" t="s">
        <v>2041</v>
      </c>
      <c r="E2747" s="951">
        <v>96</v>
      </c>
      <c r="F2747" s="951">
        <v>96</v>
      </c>
      <c r="G2747" s="947" t="s">
        <v>3252</v>
      </c>
      <c r="H2747" s="951">
        <v>0</v>
      </c>
      <c r="I2747" s="951">
        <v>0</v>
      </c>
      <c r="J2747" s="947" t="s">
        <v>365</v>
      </c>
      <c r="K2747" s="947">
        <v>716597</v>
      </c>
      <c r="M2747" s="631"/>
      <c r="P2747" s="950" t="str">
        <f>VLOOKUP(J2747,'רשימת רשויות'!A:A,1,0)</f>
        <v>צפת</v>
      </c>
      <c r="Q2747" s="956">
        <f>IFERROR(VLOOKUP(B2747,[2]מעובד!$D:$K,8,0),0)</f>
        <v>0</v>
      </c>
      <c r="R2747" s="956">
        <f>IFERROR(VLOOKUP(B2747,[2]מעובד!$D:$L,9,0),0)</f>
        <v>0</v>
      </c>
    </row>
    <row r="2748" spans="1:18" x14ac:dyDescent="0.2">
      <c r="A2748" s="947" t="s">
        <v>270</v>
      </c>
      <c r="B2748" s="947">
        <v>717801</v>
      </c>
      <c r="C2748" s="947" t="s">
        <v>2189</v>
      </c>
      <c r="D2748" s="947" t="s">
        <v>3189</v>
      </c>
      <c r="E2748" s="951">
        <v>290</v>
      </c>
      <c r="F2748" s="951">
        <v>0</v>
      </c>
      <c r="G2748" s="947" t="s">
        <v>3252</v>
      </c>
      <c r="H2748" s="951">
        <v>0</v>
      </c>
      <c r="I2748" s="951">
        <v>0</v>
      </c>
      <c r="J2748" s="947" t="s">
        <v>270</v>
      </c>
      <c r="K2748" s="947">
        <v>717801</v>
      </c>
      <c r="M2748" s="631"/>
      <c r="P2748" s="950" t="str">
        <f>VLOOKUP(J2748,'רשימת רשויות'!A:A,1,0)</f>
        <v>ירושלים</v>
      </c>
      <c r="Q2748" s="956">
        <f>IFERROR(VLOOKUP(B2748,[2]מעובד!$D:$K,8,0),0)</f>
        <v>0</v>
      </c>
      <c r="R2748" s="956">
        <f>IFERROR(VLOOKUP(B2748,[2]מעובד!$D:$L,9,0),0)</f>
        <v>0</v>
      </c>
    </row>
    <row r="2749" spans="1:18" x14ac:dyDescent="0.2">
      <c r="A2749" s="947" t="s">
        <v>183</v>
      </c>
      <c r="B2749" s="947">
        <v>718759</v>
      </c>
      <c r="C2749" s="947" t="s">
        <v>2189</v>
      </c>
      <c r="D2749" s="947" t="s">
        <v>1400</v>
      </c>
      <c r="E2749" s="951">
        <v>45</v>
      </c>
      <c r="F2749" s="951">
        <v>45</v>
      </c>
      <c r="G2749" s="947" t="s">
        <v>3252</v>
      </c>
      <c r="H2749" s="951">
        <v>0</v>
      </c>
      <c r="I2749" s="951">
        <v>0</v>
      </c>
      <c r="J2749" s="947" t="s">
        <v>183</v>
      </c>
      <c r="K2749" s="947">
        <v>718759</v>
      </c>
      <c r="M2749" s="631"/>
      <c r="P2749" s="950" t="str">
        <f>VLOOKUP(J2749,'רשימת רשויות'!A:A,1,0)</f>
        <v>אשקלון</v>
      </c>
      <c r="Q2749" s="956">
        <f>IFERROR(VLOOKUP(B2749,[2]מעובד!$D:$K,8,0),0)</f>
        <v>0</v>
      </c>
      <c r="R2749" s="956">
        <f>IFERROR(VLOOKUP(B2749,[2]מעובד!$D:$L,9,0),0)</f>
        <v>0</v>
      </c>
    </row>
    <row r="2750" spans="1:18" x14ac:dyDescent="0.2">
      <c r="A2750" s="947" t="s">
        <v>287</v>
      </c>
      <c r="B2750" s="947">
        <v>719625</v>
      </c>
      <c r="C2750" s="947" t="s">
        <v>2189</v>
      </c>
      <c r="D2750" s="947" t="s">
        <v>646</v>
      </c>
      <c r="E2750" s="951">
        <v>116</v>
      </c>
      <c r="F2750" s="951">
        <v>97</v>
      </c>
      <c r="G2750" s="947" t="s">
        <v>3252</v>
      </c>
      <c r="H2750" s="951">
        <v>0</v>
      </c>
      <c r="I2750" s="951">
        <v>0</v>
      </c>
      <c r="J2750" s="947" t="s">
        <v>287</v>
      </c>
      <c r="K2750" s="947">
        <v>719625</v>
      </c>
      <c r="M2750" s="631"/>
      <c r="P2750" s="950" t="str">
        <f>VLOOKUP(J2750,'רשימת רשויות'!A:A,1,0)</f>
        <v>כפר קרע</v>
      </c>
      <c r="Q2750" s="956">
        <f>IFERROR(VLOOKUP(B2750,[2]מעובד!$D:$K,8,0),0)</f>
        <v>0</v>
      </c>
      <c r="R2750" s="956">
        <f>IFERROR(VLOOKUP(B2750,[2]מעובד!$D:$L,9,0),0)</f>
        <v>0</v>
      </c>
    </row>
    <row r="2751" spans="1:18" x14ac:dyDescent="0.2">
      <c r="A2751" s="947" t="s">
        <v>363</v>
      </c>
      <c r="B2751" s="947">
        <v>719971</v>
      </c>
      <c r="C2751" s="947" t="s">
        <v>2189</v>
      </c>
      <c r="D2751" s="947" t="s">
        <v>1183</v>
      </c>
      <c r="E2751" s="951">
        <v>96</v>
      </c>
      <c r="F2751" s="951">
        <v>96</v>
      </c>
      <c r="G2751" s="947" t="s">
        <v>3252</v>
      </c>
      <c r="H2751" s="951">
        <v>0</v>
      </c>
      <c r="I2751" s="951">
        <v>0</v>
      </c>
      <c r="J2751" s="947" t="s">
        <v>363</v>
      </c>
      <c r="K2751" s="947">
        <v>719971</v>
      </c>
      <c r="M2751" s="631"/>
      <c r="P2751" s="950" t="str">
        <f>VLOOKUP(J2751,'רשימת רשויות'!A:A,1,0)</f>
        <v>פתח תקוה</v>
      </c>
      <c r="Q2751" s="956">
        <f>IFERROR(VLOOKUP(B2751,[2]מעובד!$D:$K,8,0),0)</f>
        <v>117</v>
      </c>
      <c r="R2751" s="956">
        <f>IFERROR(VLOOKUP(B2751,[2]מעובד!$D:$L,9,0),0)</f>
        <v>98</v>
      </c>
    </row>
    <row r="2752" spans="1:18" x14ac:dyDescent="0.2">
      <c r="A2752" s="947" t="s">
        <v>353</v>
      </c>
      <c r="B2752" s="947">
        <v>720011</v>
      </c>
      <c r="C2752" s="947" t="s">
        <v>2189</v>
      </c>
      <c r="D2752" s="947" t="s">
        <v>2054</v>
      </c>
      <c r="E2752" s="951">
        <v>270</v>
      </c>
      <c r="F2752" s="951">
        <v>262</v>
      </c>
      <c r="G2752" s="947" t="s">
        <v>3252</v>
      </c>
      <c r="H2752" s="951">
        <v>102</v>
      </c>
      <c r="I2752" s="951">
        <v>8</v>
      </c>
      <c r="J2752" s="947" t="s">
        <v>353</v>
      </c>
      <c r="K2752" s="947">
        <v>720011</v>
      </c>
      <c r="M2752" s="631"/>
      <c r="P2752" s="950" t="str">
        <f>VLOOKUP(J2752,'רשימת רשויות'!A:A,1,0)</f>
        <v>עפולה</v>
      </c>
      <c r="Q2752" s="956">
        <f>IFERROR(VLOOKUP(B2752,[2]מעובד!$D:$K,8,0),0)</f>
        <v>0</v>
      </c>
      <c r="R2752" s="956">
        <f>IFERROR(VLOOKUP(B2752,[2]מעובד!$D:$L,9,0),0)</f>
        <v>0</v>
      </c>
    </row>
    <row r="2753" spans="1:18" x14ac:dyDescent="0.2">
      <c r="A2753" s="947" t="s">
        <v>270</v>
      </c>
      <c r="B2753" s="947">
        <v>721563</v>
      </c>
      <c r="C2753" s="947" t="s">
        <v>2189</v>
      </c>
      <c r="D2753" s="947" t="s">
        <v>2118</v>
      </c>
      <c r="E2753" s="951">
        <v>62</v>
      </c>
      <c r="F2753" s="951">
        <v>59</v>
      </c>
      <c r="G2753" s="947" t="s">
        <v>3252</v>
      </c>
      <c r="H2753" s="951">
        <v>0</v>
      </c>
      <c r="I2753" s="951">
        <v>0</v>
      </c>
      <c r="J2753" s="947" t="s">
        <v>270</v>
      </c>
      <c r="K2753" s="947">
        <v>721563</v>
      </c>
      <c r="M2753" s="631"/>
      <c r="P2753" s="950" t="str">
        <f>VLOOKUP(J2753,'רשימת רשויות'!A:A,1,0)</f>
        <v>ירושלים</v>
      </c>
      <c r="Q2753" s="956">
        <f>IFERROR(VLOOKUP(B2753,[2]מעובד!$D:$K,8,0),0)</f>
        <v>0</v>
      </c>
      <c r="R2753" s="956">
        <f>IFERROR(VLOOKUP(B2753,[2]מעובד!$D:$L,9,0),0)</f>
        <v>0</v>
      </c>
    </row>
    <row r="2754" spans="1:18" x14ac:dyDescent="0.2">
      <c r="A2754" s="947" t="s">
        <v>270</v>
      </c>
      <c r="B2754" s="947">
        <v>721662</v>
      </c>
      <c r="C2754" s="947" t="s">
        <v>2189</v>
      </c>
      <c r="D2754" s="947" t="s">
        <v>2120</v>
      </c>
      <c r="E2754" s="951">
        <v>105</v>
      </c>
      <c r="F2754" s="951">
        <v>91</v>
      </c>
      <c r="G2754" s="947" t="s">
        <v>3252</v>
      </c>
      <c r="H2754" s="951">
        <v>47</v>
      </c>
      <c r="I2754" s="951">
        <v>13</v>
      </c>
      <c r="J2754" s="947" t="s">
        <v>270</v>
      </c>
      <c r="K2754" s="947">
        <v>721662</v>
      </c>
      <c r="M2754" s="631"/>
      <c r="P2754" s="950" t="str">
        <f>VLOOKUP(J2754,'רשימת רשויות'!A:A,1,0)</f>
        <v>ירושלים</v>
      </c>
      <c r="Q2754" s="956">
        <f>IFERROR(VLOOKUP(B2754,[2]מעובד!$D:$K,8,0),0)</f>
        <v>87</v>
      </c>
      <c r="R2754" s="956">
        <f>IFERROR(VLOOKUP(B2754,[2]מעובד!$D:$L,9,0),0)</f>
        <v>85</v>
      </c>
    </row>
    <row r="2755" spans="1:18" x14ac:dyDescent="0.2">
      <c r="A2755" s="947" t="s">
        <v>198</v>
      </c>
      <c r="B2755" s="947">
        <v>722207</v>
      </c>
      <c r="C2755" s="947" t="s">
        <v>2189</v>
      </c>
      <c r="D2755" s="947" t="s">
        <v>2154</v>
      </c>
      <c r="E2755" s="951">
        <v>124</v>
      </c>
      <c r="F2755" s="951">
        <v>124</v>
      </c>
      <c r="G2755" s="947" t="s">
        <v>3252</v>
      </c>
      <c r="H2755" s="951">
        <v>0</v>
      </c>
      <c r="I2755" s="951">
        <v>0</v>
      </c>
      <c r="J2755" s="947" t="s">
        <v>198</v>
      </c>
      <c r="K2755" s="947">
        <v>722207</v>
      </c>
      <c r="M2755" s="631"/>
      <c r="P2755" s="950" t="str">
        <f>VLOOKUP(J2755,'רשימת רשויות'!A:A,1,0)</f>
        <v>בני ברק</v>
      </c>
      <c r="Q2755" s="956">
        <f>IFERROR(VLOOKUP(B2755,[2]מעובד!$D:$K,8,0),0)</f>
        <v>0</v>
      </c>
      <c r="R2755" s="956">
        <f>IFERROR(VLOOKUP(B2755,[2]מעובד!$D:$L,9,0),0)</f>
        <v>0</v>
      </c>
    </row>
    <row r="2756" spans="1:18" x14ac:dyDescent="0.2">
      <c r="A2756" s="947" t="s">
        <v>270</v>
      </c>
      <c r="B2756" s="947">
        <v>722231</v>
      </c>
      <c r="C2756" s="947" t="s">
        <v>2189</v>
      </c>
      <c r="D2756" s="947" t="s">
        <v>2257</v>
      </c>
      <c r="E2756" s="951">
        <v>91</v>
      </c>
      <c r="F2756" s="951">
        <v>90</v>
      </c>
      <c r="G2756" s="947" t="s">
        <v>3252</v>
      </c>
      <c r="H2756" s="951">
        <v>0</v>
      </c>
      <c r="I2756" s="951">
        <v>0</v>
      </c>
      <c r="J2756" s="947" t="s">
        <v>270</v>
      </c>
      <c r="K2756" s="947">
        <v>722231</v>
      </c>
      <c r="M2756" s="631"/>
      <c r="P2756" s="950" t="str">
        <f>VLOOKUP(J2756,'רשימת רשויות'!A:A,1,0)</f>
        <v>ירושלים</v>
      </c>
      <c r="Q2756" s="956">
        <f>IFERROR(VLOOKUP(B2756,[2]מעובד!$D:$K,8,0),0)</f>
        <v>0</v>
      </c>
      <c r="R2756" s="956">
        <f>IFERROR(VLOOKUP(B2756,[2]מעובד!$D:$L,9,0),0)</f>
        <v>0</v>
      </c>
    </row>
    <row r="2757" spans="1:18" x14ac:dyDescent="0.2">
      <c r="A2757" s="947" t="s">
        <v>311</v>
      </c>
      <c r="B2757" s="947">
        <v>722298</v>
      </c>
      <c r="C2757" s="947" t="s">
        <v>2189</v>
      </c>
      <c r="D2757" s="947" t="s">
        <v>3190</v>
      </c>
      <c r="E2757" s="951">
        <v>61</v>
      </c>
      <c r="F2757" s="951">
        <v>0</v>
      </c>
      <c r="G2757" s="947" t="s">
        <v>3252</v>
      </c>
      <c r="H2757" s="951">
        <v>0</v>
      </c>
      <c r="I2757" s="951">
        <v>0</v>
      </c>
      <c r="J2757" s="947" t="s">
        <v>311</v>
      </c>
      <c r="K2757" s="947">
        <v>722298</v>
      </c>
      <c r="M2757" s="631"/>
      <c r="P2757" s="950" t="str">
        <f>VLOOKUP(J2757,'רשימת רשויות'!A:A,1,0)</f>
        <v>מטה יהודה</v>
      </c>
      <c r="Q2757" s="956">
        <f>IFERROR(VLOOKUP(B2757,[2]מעובד!$D:$K,8,0),0)</f>
        <v>0</v>
      </c>
      <c r="R2757" s="956">
        <f>IFERROR(VLOOKUP(B2757,[2]מעובד!$D:$L,9,0),0)</f>
        <v>0</v>
      </c>
    </row>
    <row r="2758" spans="1:18" x14ac:dyDescent="0.2">
      <c r="A2758" s="947" t="s">
        <v>251</v>
      </c>
      <c r="B2758" s="947">
        <v>722728</v>
      </c>
      <c r="C2758" s="947" t="s">
        <v>2189</v>
      </c>
      <c r="D2758" s="947" t="s">
        <v>2157</v>
      </c>
      <c r="E2758" s="951">
        <v>91</v>
      </c>
      <c r="F2758" s="951">
        <v>91</v>
      </c>
      <c r="G2758" s="947" t="s">
        <v>3252</v>
      </c>
      <c r="H2758" s="951">
        <v>0</v>
      </c>
      <c r="I2758" s="951">
        <v>0</v>
      </c>
      <c r="J2758" s="947" t="s">
        <v>251</v>
      </c>
      <c r="K2758" s="947">
        <v>722728</v>
      </c>
      <c r="M2758" s="631"/>
      <c r="P2758" s="950" t="str">
        <f>VLOOKUP(J2758,'רשימת רשויות'!A:A,1,0)</f>
        <v>חיפה</v>
      </c>
      <c r="Q2758" s="956">
        <f>IFERROR(VLOOKUP(B2758,[2]מעובד!$D:$K,8,0),0)</f>
        <v>0</v>
      </c>
      <c r="R2758" s="956">
        <f>IFERROR(VLOOKUP(B2758,[2]מעובד!$D:$L,9,0),0)</f>
        <v>0</v>
      </c>
    </row>
    <row r="2759" spans="1:18" x14ac:dyDescent="0.2">
      <c r="A2759" s="947" t="s">
        <v>244</v>
      </c>
      <c r="B2759" s="947">
        <v>722785</v>
      </c>
      <c r="C2759" s="947" t="s">
        <v>2189</v>
      </c>
      <c r="D2759" s="947" t="s">
        <v>2750</v>
      </c>
      <c r="E2759" s="951">
        <v>83</v>
      </c>
      <c r="F2759" s="951">
        <v>0</v>
      </c>
      <c r="G2759" s="947" t="s">
        <v>3252</v>
      </c>
      <c r="H2759" s="951">
        <v>0</v>
      </c>
      <c r="I2759" s="951">
        <v>0</v>
      </c>
      <c r="J2759" s="947" t="s">
        <v>244</v>
      </c>
      <c r="K2759" s="947">
        <v>722785</v>
      </c>
      <c r="M2759" s="631"/>
      <c r="P2759" s="950" t="str">
        <f>VLOOKUP(J2759,'רשימת רשויות'!A:A,1,0)</f>
        <v>חדרה</v>
      </c>
      <c r="Q2759" s="956">
        <f>IFERROR(VLOOKUP(B2759,[2]מעובד!$D:$K,8,0),0)</f>
        <v>0</v>
      </c>
      <c r="R2759" s="956">
        <f>IFERROR(VLOOKUP(B2759,[2]מעובד!$D:$L,9,0),0)</f>
        <v>0</v>
      </c>
    </row>
    <row r="2760" spans="1:18" x14ac:dyDescent="0.2">
      <c r="A2760" s="947" t="s">
        <v>270</v>
      </c>
      <c r="B2760" s="947">
        <v>722801</v>
      </c>
      <c r="C2760" s="947" t="s">
        <v>2189</v>
      </c>
      <c r="D2760" s="947" t="s">
        <v>2164</v>
      </c>
      <c r="E2760" s="951">
        <v>137</v>
      </c>
      <c r="F2760" s="951">
        <v>136</v>
      </c>
      <c r="G2760" s="947" t="s">
        <v>3252</v>
      </c>
      <c r="H2760" s="951">
        <v>0</v>
      </c>
      <c r="I2760" s="951">
        <v>0</v>
      </c>
      <c r="J2760" s="947" t="s">
        <v>270</v>
      </c>
      <c r="K2760" s="947">
        <v>722801</v>
      </c>
      <c r="M2760" s="631"/>
      <c r="P2760" s="950" t="str">
        <f>VLOOKUP(J2760,'רשימת רשויות'!A:A,1,0)</f>
        <v>ירושלים</v>
      </c>
      <c r="Q2760" s="956">
        <f>IFERROR(VLOOKUP(B2760,[2]מעובד!$D:$K,8,0),0)</f>
        <v>0</v>
      </c>
      <c r="R2760" s="956">
        <f>IFERROR(VLOOKUP(B2760,[2]מעובד!$D:$L,9,0),0)</f>
        <v>0</v>
      </c>
    </row>
    <row r="2761" spans="1:18" x14ac:dyDescent="0.2">
      <c r="A2761" s="947" t="s">
        <v>198</v>
      </c>
      <c r="B2761" s="947">
        <v>724302</v>
      </c>
      <c r="C2761" s="947" t="s">
        <v>2189</v>
      </c>
      <c r="D2761" s="947" t="s">
        <v>2116</v>
      </c>
      <c r="E2761" s="951">
        <v>249</v>
      </c>
      <c r="F2761" s="951">
        <v>249</v>
      </c>
      <c r="G2761" s="947" t="s">
        <v>3252</v>
      </c>
      <c r="H2761" s="951">
        <v>0</v>
      </c>
      <c r="I2761" s="951">
        <v>0</v>
      </c>
      <c r="J2761" s="947" t="s">
        <v>198</v>
      </c>
      <c r="K2761" s="947">
        <v>724302</v>
      </c>
      <c r="M2761" s="631"/>
      <c r="P2761" s="950" t="str">
        <f>VLOOKUP(J2761,'רשימת רשויות'!A:A,1,0)</f>
        <v>בני ברק</v>
      </c>
      <c r="Q2761" s="956">
        <f>IFERROR(VLOOKUP(B2761,[2]מעובד!$D:$K,8,0),0)</f>
        <v>0</v>
      </c>
      <c r="R2761" s="956">
        <f>IFERROR(VLOOKUP(B2761,[2]מעובד!$D:$L,9,0),0)</f>
        <v>0</v>
      </c>
    </row>
    <row r="2762" spans="1:18" x14ac:dyDescent="0.2">
      <c r="A2762" s="947" t="s">
        <v>270</v>
      </c>
      <c r="B2762" s="947">
        <v>725309</v>
      </c>
      <c r="C2762" s="947" t="s">
        <v>2189</v>
      </c>
      <c r="D2762" s="947" t="s">
        <v>3191</v>
      </c>
      <c r="E2762" s="951">
        <v>264</v>
      </c>
      <c r="F2762" s="951">
        <v>0</v>
      </c>
      <c r="G2762" s="947" t="s">
        <v>3252</v>
      </c>
      <c r="H2762" s="951">
        <v>0</v>
      </c>
      <c r="I2762" s="951">
        <v>0</v>
      </c>
      <c r="J2762" s="947" t="s">
        <v>270</v>
      </c>
      <c r="K2762" s="947">
        <v>725309</v>
      </c>
      <c r="M2762" s="631"/>
      <c r="P2762" s="950" t="str">
        <f>VLOOKUP(J2762,'רשימת רשויות'!A:A,1,0)</f>
        <v>ירושלים</v>
      </c>
      <c r="Q2762" s="956">
        <f>IFERROR(VLOOKUP(B2762,[2]מעובד!$D:$K,8,0),0)</f>
        <v>0</v>
      </c>
      <c r="R2762" s="956">
        <f>IFERROR(VLOOKUP(B2762,[2]מעובד!$D:$L,9,0),0)</f>
        <v>0</v>
      </c>
    </row>
    <row r="2763" spans="1:18" x14ac:dyDescent="0.2">
      <c r="A2763" s="947" t="s">
        <v>270</v>
      </c>
      <c r="B2763" s="947">
        <v>725572</v>
      </c>
      <c r="C2763" s="947" t="s">
        <v>2189</v>
      </c>
      <c r="D2763" s="947" t="s">
        <v>2127</v>
      </c>
      <c r="E2763" s="951">
        <v>98</v>
      </c>
      <c r="F2763" s="951">
        <v>98</v>
      </c>
      <c r="G2763" s="947" t="s">
        <v>3252</v>
      </c>
      <c r="H2763" s="951">
        <v>0</v>
      </c>
      <c r="I2763" s="951">
        <v>0</v>
      </c>
      <c r="J2763" s="947" t="s">
        <v>270</v>
      </c>
      <c r="K2763" s="947">
        <v>725572</v>
      </c>
      <c r="M2763" s="631"/>
      <c r="P2763" s="950" t="str">
        <f>VLOOKUP(J2763,'רשימת רשויות'!A:A,1,0)</f>
        <v>ירושלים</v>
      </c>
      <c r="Q2763" s="956">
        <f>IFERROR(VLOOKUP(B2763,[2]מעובד!$D:$K,8,0),0)</f>
        <v>0</v>
      </c>
      <c r="R2763" s="956">
        <f>IFERROR(VLOOKUP(B2763,[2]מעובד!$D:$L,9,0),0)</f>
        <v>0</v>
      </c>
    </row>
    <row r="2764" spans="1:18" x14ac:dyDescent="0.2">
      <c r="A2764" s="947" t="s">
        <v>198</v>
      </c>
      <c r="B2764" s="947">
        <v>725697</v>
      </c>
      <c r="C2764" s="947" t="s">
        <v>2189</v>
      </c>
      <c r="D2764" s="947" t="s">
        <v>2158</v>
      </c>
      <c r="E2764" s="951">
        <v>79</v>
      </c>
      <c r="F2764" s="951">
        <v>79</v>
      </c>
      <c r="G2764" s="947" t="s">
        <v>3252</v>
      </c>
      <c r="H2764" s="951">
        <v>0</v>
      </c>
      <c r="I2764" s="951">
        <v>0</v>
      </c>
      <c r="J2764" s="947" t="s">
        <v>198</v>
      </c>
      <c r="K2764" s="947">
        <v>725697</v>
      </c>
      <c r="M2764" s="631"/>
      <c r="P2764" s="950" t="str">
        <f>VLOOKUP(J2764,'רשימת רשויות'!A:A,1,0)</f>
        <v>בני ברק</v>
      </c>
      <c r="Q2764" s="956">
        <f>IFERROR(VLOOKUP(B2764,[2]מעובד!$D:$K,8,0),0)</f>
        <v>0</v>
      </c>
      <c r="R2764" s="956">
        <f>IFERROR(VLOOKUP(B2764,[2]מעובד!$D:$L,9,0),0)</f>
        <v>0</v>
      </c>
    </row>
    <row r="2765" spans="1:18" x14ac:dyDescent="0.2">
      <c r="A2765" s="947" t="s">
        <v>270</v>
      </c>
      <c r="B2765" s="947">
        <v>726612</v>
      </c>
      <c r="C2765" s="947" t="s">
        <v>2189</v>
      </c>
      <c r="D2765" s="947" t="s">
        <v>2148</v>
      </c>
      <c r="E2765" s="951">
        <v>68</v>
      </c>
      <c r="F2765" s="951">
        <v>67</v>
      </c>
      <c r="G2765" s="947" t="s">
        <v>3252</v>
      </c>
      <c r="H2765" s="951">
        <v>0</v>
      </c>
      <c r="I2765" s="951">
        <v>0</v>
      </c>
      <c r="J2765" s="947" t="s">
        <v>270</v>
      </c>
      <c r="K2765" s="947">
        <v>726612</v>
      </c>
      <c r="M2765" s="631"/>
      <c r="P2765" s="950" t="str">
        <f>VLOOKUP(J2765,'רשימת רשויות'!A:A,1,0)</f>
        <v>ירושלים</v>
      </c>
      <c r="Q2765" s="956">
        <f>IFERROR(VLOOKUP(B2765,[2]מעובד!$D:$K,8,0),0)</f>
        <v>0</v>
      </c>
      <c r="R2765" s="956">
        <f>IFERROR(VLOOKUP(B2765,[2]מעובד!$D:$L,9,0),0)</f>
        <v>0</v>
      </c>
    </row>
    <row r="2766" spans="1:18" x14ac:dyDescent="0.2">
      <c r="A2766" s="947" t="s">
        <v>227</v>
      </c>
      <c r="B2766" s="947">
        <v>728881</v>
      </c>
      <c r="C2766" s="947" t="s">
        <v>2189</v>
      </c>
      <c r="D2766" s="947" t="s">
        <v>2166</v>
      </c>
      <c r="E2766" s="951">
        <v>67</v>
      </c>
      <c r="F2766" s="951">
        <v>40</v>
      </c>
      <c r="G2766" s="947" t="s">
        <v>159</v>
      </c>
      <c r="H2766" s="951">
        <v>0</v>
      </c>
      <c r="I2766" s="951">
        <v>0</v>
      </c>
      <c r="J2766" s="947" t="s">
        <v>227</v>
      </c>
      <c r="K2766" s="947">
        <v>728881</v>
      </c>
      <c r="M2766" s="631"/>
      <c r="P2766" s="950" t="str">
        <f>VLOOKUP(J2766,'רשימת רשויות'!A:A,1,0)</f>
        <v>דרום השרון</v>
      </c>
      <c r="Q2766" s="956">
        <f>IFERROR(VLOOKUP(B2766,[2]מעובד!$D:$K,8,0),0)</f>
        <v>0</v>
      </c>
      <c r="R2766" s="956">
        <f>IFERROR(VLOOKUP(B2766,[2]מעובד!$D:$L,9,0),0)</f>
        <v>0</v>
      </c>
    </row>
    <row r="2767" spans="1:18" x14ac:dyDescent="0.2">
      <c r="A2767" s="947" t="s">
        <v>191</v>
      </c>
      <c r="B2767" s="947">
        <v>728998</v>
      </c>
      <c r="C2767" s="947" t="s">
        <v>2189</v>
      </c>
      <c r="D2767" s="947" t="s">
        <v>3192</v>
      </c>
      <c r="E2767" s="951">
        <v>51</v>
      </c>
      <c r="F2767" s="951">
        <v>30</v>
      </c>
      <c r="G2767" s="947" t="s">
        <v>3252</v>
      </c>
      <c r="H2767" s="951">
        <v>0</v>
      </c>
      <c r="I2767" s="951">
        <v>0</v>
      </c>
      <c r="J2767" s="947" t="s">
        <v>191</v>
      </c>
      <c r="K2767" s="947">
        <v>728998</v>
      </c>
      <c r="M2767" s="631"/>
      <c r="P2767" s="950" t="str">
        <f>VLOOKUP(J2767,'רשימת רשויות'!A:A,1,0)</f>
        <v>בית אל</v>
      </c>
      <c r="Q2767" s="956">
        <f>IFERROR(VLOOKUP(B2767,[2]מעובד!$D:$K,8,0),0)</f>
        <v>0</v>
      </c>
      <c r="R2767" s="956">
        <f>IFERROR(VLOOKUP(B2767,[2]מעובד!$D:$L,9,0),0)</f>
        <v>0</v>
      </c>
    </row>
    <row r="2768" spans="1:18" x14ac:dyDescent="0.2">
      <c r="A2768" s="947" t="s">
        <v>270</v>
      </c>
      <c r="B2768" s="947">
        <v>729145</v>
      </c>
      <c r="C2768" s="947" t="s">
        <v>2189</v>
      </c>
      <c r="D2768" s="947" t="s">
        <v>3193</v>
      </c>
      <c r="E2768" s="951">
        <v>349</v>
      </c>
      <c r="F2768" s="951">
        <v>0</v>
      </c>
      <c r="G2768" s="947" t="s">
        <v>3252</v>
      </c>
      <c r="H2768" s="951">
        <v>0</v>
      </c>
      <c r="I2768" s="951">
        <v>0</v>
      </c>
      <c r="J2768" s="947" t="s">
        <v>270</v>
      </c>
      <c r="K2768" s="947">
        <v>729145</v>
      </c>
      <c r="M2768" s="631"/>
      <c r="P2768" s="950" t="str">
        <f>VLOOKUP(J2768,'רשימת רשויות'!A:A,1,0)</f>
        <v>ירושלים</v>
      </c>
      <c r="Q2768" s="956">
        <f>IFERROR(VLOOKUP(B2768,[2]מעובד!$D:$K,8,0),0)</f>
        <v>0</v>
      </c>
      <c r="R2768" s="956">
        <f>IFERROR(VLOOKUP(B2768,[2]מעובד!$D:$L,9,0),0)</f>
        <v>0</v>
      </c>
    </row>
    <row r="2769" spans="1:18" x14ac:dyDescent="0.2">
      <c r="A2769" s="947" t="s">
        <v>198</v>
      </c>
      <c r="B2769" s="947">
        <v>729236</v>
      </c>
      <c r="C2769" s="947" t="s">
        <v>2189</v>
      </c>
      <c r="D2769" s="947" t="s">
        <v>2175</v>
      </c>
      <c r="E2769" s="951">
        <v>67</v>
      </c>
      <c r="F2769" s="951">
        <v>67</v>
      </c>
      <c r="G2769" s="947" t="s">
        <v>3252</v>
      </c>
      <c r="H2769" s="951">
        <v>0</v>
      </c>
      <c r="I2769" s="951">
        <v>0</v>
      </c>
      <c r="J2769" s="947" t="s">
        <v>198</v>
      </c>
      <c r="K2769" s="947">
        <v>729236</v>
      </c>
      <c r="M2769" s="631"/>
      <c r="P2769" s="950" t="str">
        <f>VLOOKUP(J2769,'רשימת רשויות'!A:A,1,0)</f>
        <v>בני ברק</v>
      </c>
      <c r="Q2769" s="956">
        <f>IFERROR(VLOOKUP(B2769,[2]מעובד!$D:$K,8,0),0)</f>
        <v>93</v>
      </c>
      <c r="R2769" s="956">
        <f>IFERROR(VLOOKUP(B2769,[2]מעובד!$D:$L,9,0),0)</f>
        <v>95</v>
      </c>
    </row>
    <row r="2770" spans="1:18" x14ac:dyDescent="0.2">
      <c r="A2770" s="947" t="s">
        <v>197</v>
      </c>
      <c r="B2770" s="947">
        <v>729426</v>
      </c>
      <c r="C2770" s="947" t="s">
        <v>2189</v>
      </c>
      <c r="D2770" s="947" t="s">
        <v>2151</v>
      </c>
      <c r="E2770" s="951">
        <v>232</v>
      </c>
      <c r="F2770" s="951">
        <v>232</v>
      </c>
      <c r="G2770" s="947" t="s">
        <v>3252</v>
      </c>
      <c r="H2770" s="951">
        <v>0</v>
      </c>
      <c r="I2770" s="951">
        <v>0</v>
      </c>
      <c r="J2770" s="947" t="s">
        <v>197</v>
      </c>
      <c r="K2770" s="947">
        <v>729426</v>
      </c>
      <c r="M2770" s="631"/>
      <c r="P2770" s="950" t="str">
        <f>VLOOKUP(J2770,'רשימת רשויות'!A:A,1,0)</f>
        <v>ביתר עילית</v>
      </c>
      <c r="Q2770" s="956">
        <f>IFERROR(VLOOKUP(B2770,[2]מעובד!$D:$K,8,0),0)</f>
        <v>170</v>
      </c>
      <c r="R2770" s="956">
        <f>IFERROR(VLOOKUP(B2770,[2]מעובד!$D:$L,9,0),0)</f>
        <v>90</v>
      </c>
    </row>
    <row r="2771" spans="1:18" x14ac:dyDescent="0.2">
      <c r="A2771" s="947" t="s">
        <v>330</v>
      </c>
      <c r="B2771" s="947">
        <v>730002</v>
      </c>
      <c r="C2771" s="947" t="s">
        <v>2189</v>
      </c>
      <c r="D2771" s="947" t="s">
        <v>2155</v>
      </c>
      <c r="E2771" s="951">
        <v>96</v>
      </c>
      <c r="F2771" s="951">
        <v>94</v>
      </c>
      <c r="G2771" s="947" t="s">
        <v>3252</v>
      </c>
      <c r="H2771" s="951">
        <v>0</v>
      </c>
      <c r="I2771" s="951">
        <v>0</v>
      </c>
      <c r="J2771" s="947" t="s">
        <v>330</v>
      </c>
      <c r="K2771" s="947">
        <v>730002</v>
      </c>
      <c r="M2771" s="631"/>
      <c r="P2771" s="950" t="str">
        <f>VLOOKUP(J2771,'רשימת רשויות'!A:A,1,0)</f>
        <v>נחל שורק</v>
      </c>
      <c r="Q2771" s="956">
        <f>IFERROR(VLOOKUP(B2771,[2]מעובד!$D:$K,8,0),0)</f>
        <v>110</v>
      </c>
      <c r="R2771" s="956">
        <f>IFERROR(VLOOKUP(B2771,[2]מעובד!$D:$L,9,0),0)</f>
        <v>111</v>
      </c>
    </row>
    <row r="2772" spans="1:18" x14ac:dyDescent="0.2">
      <c r="A2772" s="947" t="s">
        <v>196</v>
      </c>
      <c r="B2772" s="947">
        <v>730010</v>
      </c>
      <c r="C2772" s="947" t="s">
        <v>2189</v>
      </c>
      <c r="D2772" s="947" t="s">
        <v>2515</v>
      </c>
      <c r="E2772" s="951">
        <v>472</v>
      </c>
      <c r="F2772" s="951">
        <v>462</v>
      </c>
      <c r="G2772" s="947" t="s">
        <v>3252</v>
      </c>
      <c r="H2772" s="951">
        <v>177</v>
      </c>
      <c r="I2772" s="951">
        <v>8</v>
      </c>
      <c r="J2772" s="947" t="s">
        <v>196</v>
      </c>
      <c r="K2772" s="947">
        <v>730010</v>
      </c>
      <c r="M2772" s="631"/>
      <c r="P2772" s="950" t="str">
        <f>VLOOKUP(J2772,'רשימת רשויות'!A:A,1,0)</f>
        <v>בית שמש</v>
      </c>
      <c r="Q2772" s="956">
        <f>IFERROR(VLOOKUP(B2772,[2]מעובד!$D:$K,8,0),0)</f>
        <v>0</v>
      </c>
      <c r="R2772" s="956">
        <f>IFERROR(VLOOKUP(B2772,[2]מעובד!$D:$L,9,0),0)</f>
        <v>0</v>
      </c>
    </row>
    <row r="2773" spans="1:18" x14ac:dyDescent="0.2">
      <c r="A2773" s="947" t="s">
        <v>306</v>
      </c>
      <c r="B2773" s="947">
        <v>730473</v>
      </c>
      <c r="C2773" s="947" t="s">
        <v>2189</v>
      </c>
      <c r="D2773" s="947" t="s">
        <v>2117</v>
      </c>
      <c r="E2773" s="951">
        <v>176</v>
      </c>
      <c r="F2773" s="951">
        <v>169</v>
      </c>
      <c r="G2773" s="947" t="s">
        <v>3252</v>
      </c>
      <c r="H2773" s="951">
        <v>0</v>
      </c>
      <c r="I2773" s="951">
        <v>0</v>
      </c>
      <c r="J2773" s="947" t="s">
        <v>306</v>
      </c>
      <c r="K2773" s="947">
        <v>730473</v>
      </c>
      <c r="M2773" s="631"/>
      <c r="P2773" s="950" t="str">
        <f>VLOOKUP(J2773,'רשימת רשויות'!A:A,1,0)</f>
        <v>מודיעין עילית</v>
      </c>
      <c r="Q2773" s="956">
        <f>IFERROR(VLOOKUP(B2773,[2]מעובד!$D:$K,8,0),0)</f>
        <v>0</v>
      </c>
      <c r="R2773" s="956">
        <f>IFERROR(VLOOKUP(B2773,[2]מעובד!$D:$L,9,0),0)</f>
        <v>0</v>
      </c>
    </row>
    <row r="2774" spans="1:18" x14ac:dyDescent="0.2">
      <c r="A2774" s="947" t="s">
        <v>197</v>
      </c>
      <c r="B2774" s="947">
        <v>731620</v>
      </c>
      <c r="C2774" s="947" t="s">
        <v>2189</v>
      </c>
      <c r="D2774" s="947" t="s">
        <v>2632</v>
      </c>
      <c r="E2774" s="951">
        <v>71</v>
      </c>
      <c r="F2774" s="951">
        <v>71</v>
      </c>
      <c r="G2774" s="947" t="s">
        <v>3252</v>
      </c>
      <c r="H2774" s="951">
        <v>0</v>
      </c>
      <c r="I2774" s="951">
        <v>0</v>
      </c>
      <c r="J2774" s="947" t="s">
        <v>197</v>
      </c>
      <c r="K2774" s="947">
        <v>731620</v>
      </c>
      <c r="M2774" s="631"/>
      <c r="P2774" s="950" t="str">
        <f>VLOOKUP(J2774,'רשימת רשויות'!A:A,1,0)</f>
        <v>ביתר עילית</v>
      </c>
      <c r="Q2774" s="956">
        <f>IFERROR(VLOOKUP(B2774,[2]מעובד!$D:$K,8,0),0)</f>
        <v>0</v>
      </c>
      <c r="R2774" s="956">
        <f>IFERROR(VLOOKUP(B2774,[2]מעובד!$D:$L,9,0),0)</f>
        <v>0</v>
      </c>
    </row>
    <row r="2775" spans="1:18" x14ac:dyDescent="0.2">
      <c r="A2775" s="947" t="s">
        <v>270</v>
      </c>
      <c r="B2775" s="947">
        <v>731745</v>
      </c>
      <c r="C2775" s="947" t="s">
        <v>2189</v>
      </c>
      <c r="D2775" s="947" t="s">
        <v>2163</v>
      </c>
      <c r="E2775" s="951">
        <v>66</v>
      </c>
      <c r="F2775" s="951">
        <v>65</v>
      </c>
      <c r="G2775" s="947" t="s">
        <v>3252</v>
      </c>
      <c r="H2775" s="951">
        <v>0</v>
      </c>
      <c r="I2775" s="951">
        <v>0</v>
      </c>
      <c r="J2775" s="947" t="s">
        <v>270</v>
      </c>
      <c r="K2775" s="947">
        <v>731745</v>
      </c>
      <c r="M2775" s="631"/>
      <c r="P2775" s="950" t="str">
        <f>VLOOKUP(J2775,'רשימת רשויות'!A:A,1,0)</f>
        <v>ירושלים</v>
      </c>
      <c r="Q2775" s="956">
        <f>IFERROR(VLOOKUP(B2775,[2]מעובד!$D:$K,8,0),0)</f>
        <v>0</v>
      </c>
      <c r="R2775" s="956">
        <f>IFERROR(VLOOKUP(B2775,[2]מעובד!$D:$L,9,0),0)</f>
        <v>0</v>
      </c>
    </row>
    <row r="2776" spans="1:18" x14ac:dyDescent="0.2">
      <c r="A2776" s="947" t="s">
        <v>244</v>
      </c>
      <c r="B2776" s="947">
        <v>731943</v>
      </c>
      <c r="C2776" s="947" t="s">
        <v>2189</v>
      </c>
      <c r="D2776" s="947" t="s">
        <v>2173</v>
      </c>
      <c r="E2776" s="951">
        <v>149</v>
      </c>
      <c r="F2776" s="951">
        <v>56</v>
      </c>
      <c r="G2776" s="947" t="s">
        <v>3252</v>
      </c>
      <c r="H2776" s="951">
        <v>0</v>
      </c>
      <c r="I2776" s="951">
        <v>0</v>
      </c>
      <c r="J2776" s="947" t="s">
        <v>244</v>
      </c>
      <c r="K2776" s="947">
        <v>731943</v>
      </c>
      <c r="M2776" s="631"/>
      <c r="P2776" s="950" t="str">
        <f>VLOOKUP(J2776,'רשימת רשויות'!A:A,1,0)</f>
        <v>חדרה</v>
      </c>
      <c r="Q2776" s="956">
        <f>IFERROR(VLOOKUP(B2776,[2]מעובד!$D:$K,8,0),0)</f>
        <v>0</v>
      </c>
      <c r="R2776" s="956">
        <f>IFERROR(VLOOKUP(B2776,[2]מעובד!$D:$L,9,0),0)</f>
        <v>0</v>
      </c>
    </row>
    <row r="2777" spans="1:18" x14ac:dyDescent="0.2">
      <c r="A2777" s="947" t="s">
        <v>327</v>
      </c>
      <c r="B2777" s="947">
        <v>732214</v>
      </c>
      <c r="C2777" s="947" t="s">
        <v>2189</v>
      </c>
      <c r="D2777" s="947" t="s">
        <v>2075</v>
      </c>
      <c r="E2777" s="951">
        <v>38</v>
      </c>
      <c r="F2777" s="951">
        <v>0</v>
      </c>
      <c r="G2777" s="947" t="s">
        <v>3252</v>
      </c>
      <c r="H2777" s="951">
        <v>0</v>
      </c>
      <c r="I2777" s="951">
        <v>0</v>
      </c>
      <c r="J2777" s="947" t="s">
        <v>327</v>
      </c>
      <c r="K2777" s="947">
        <v>732214</v>
      </c>
      <c r="M2777" s="631"/>
      <c r="P2777" s="950" t="str">
        <f>VLOOKUP(J2777,'רשימת רשויות'!A:A,1,0)</f>
        <v>נהריה</v>
      </c>
      <c r="Q2777" s="956">
        <f>IFERROR(VLOOKUP(B2777,[2]מעובד!$D:$K,8,0),0)</f>
        <v>0</v>
      </c>
      <c r="R2777" s="956">
        <f>IFERROR(VLOOKUP(B2777,[2]מעובד!$D:$L,9,0),0)</f>
        <v>0</v>
      </c>
    </row>
    <row r="2778" spans="1:18" x14ac:dyDescent="0.2">
      <c r="A2778" s="947" t="s">
        <v>184</v>
      </c>
      <c r="B2778" s="947">
        <v>733535</v>
      </c>
      <c r="C2778" s="947" t="s">
        <v>2189</v>
      </c>
      <c r="D2778" s="947" t="s">
        <v>3194</v>
      </c>
      <c r="E2778" s="951">
        <v>154</v>
      </c>
      <c r="F2778" s="951">
        <v>148</v>
      </c>
      <c r="G2778" s="947" t="s">
        <v>3252</v>
      </c>
      <c r="H2778" s="951">
        <v>0</v>
      </c>
      <c r="I2778" s="951">
        <v>0</v>
      </c>
      <c r="J2778" s="947" t="s">
        <v>184</v>
      </c>
      <c r="K2778" s="947">
        <v>733535</v>
      </c>
      <c r="M2778" s="631"/>
      <c r="P2778" s="950" t="str">
        <f>VLOOKUP(J2778,'רשימת רשויות'!A:A,1,0)</f>
        <v>באקה אל-גרביה</v>
      </c>
      <c r="Q2778" s="956">
        <f>IFERROR(VLOOKUP(B2778,[2]מעובד!$D:$K,8,0),0)</f>
        <v>0</v>
      </c>
      <c r="R2778" s="956">
        <f>IFERROR(VLOOKUP(B2778,[2]מעובד!$D:$L,9,0),0)</f>
        <v>0</v>
      </c>
    </row>
    <row r="2779" spans="1:18" x14ac:dyDescent="0.2">
      <c r="A2779" s="947" t="s">
        <v>186</v>
      </c>
      <c r="B2779" s="947">
        <v>733741</v>
      </c>
      <c r="C2779" s="947" t="s">
        <v>2189</v>
      </c>
      <c r="D2779" s="947" t="s">
        <v>2167</v>
      </c>
      <c r="E2779" s="951">
        <v>312</v>
      </c>
      <c r="F2779" s="951">
        <v>240</v>
      </c>
      <c r="G2779" s="947" t="s">
        <v>3252</v>
      </c>
      <c r="H2779" s="951">
        <v>0</v>
      </c>
      <c r="I2779" s="951">
        <v>0</v>
      </c>
      <c r="J2779" s="947" t="s">
        <v>186</v>
      </c>
      <c r="K2779" s="947">
        <v>733741</v>
      </c>
      <c r="M2779" s="631"/>
      <c r="P2779" s="950" t="str">
        <f>VLOOKUP(J2779,'רשימת רשויות'!A:A,1,0)</f>
        <v>באר יעקב</v>
      </c>
      <c r="Q2779" s="956">
        <f>IFERROR(VLOOKUP(B2779,[2]מעובד!$D:$K,8,0),0)</f>
        <v>0</v>
      </c>
      <c r="R2779" s="956">
        <f>IFERROR(VLOOKUP(B2779,[2]מעובד!$D:$L,9,0),0)</f>
        <v>0</v>
      </c>
    </row>
    <row r="2780" spans="1:18" x14ac:dyDescent="0.2">
      <c r="A2780" s="947" t="s">
        <v>290</v>
      </c>
      <c r="B2780" s="947">
        <v>733766</v>
      </c>
      <c r="C2780" s="947" t="s">
        <v>2189</v>
      </c>
      <c r="D2780" s="947" t="s">
        <v>2168</v>
      </c>
      <c r="E2780" s="951">
        <v>76</v>
      </c>
      <c r="F2780" s="951">
        <v>74</v>
      </c>
      <c r="G2780" s="947" t="s">
        <v>3252</v>
      </c>
      <c r="H2780" s="951">
        <v>0</v>
      </c>
      <c r="I2780" s="951">
        <v>0</v>
      </c>
      <c r="J2780" s="947" t="s">
        <v>290</v>
      </c>
      <c r="K2780" s="947">
        <v>733766</v>
      </c>
      <c r="M2780" s="631"/>
      <c r="P2780" s="950" t="str">
        <f>VLOOKUP(J2780,'רשימת רשויות'!A:A,1,0)</f>
        <v>כרמיאל</v>
      </c>
      <c r="Q2780" s="956">
        <f>IFERROR(VLOOKUP(B2780,[2]מעובד!$D:$K,8,0),0)</f>
        <v>0</v>
      </c>
      <c r="R2780" s="956">
        <f>IFERROR(VLOOKUP(B2780,[2]מעובד!$D:$L,9,0),0)</f>
        <v>0</v>
      </c>
    </row>
    <row r="2781" spans="1:18" x14ac:dyDescent="0.2">
      <c r="A2781" s="947" t="s">
        <v>198</v>
      </c>
      <c r="B2781" s="947">
        <v>733774</v>
      </c>
      <c r="C2781" s="947" t="s">
        <v>2189</v>
      </c>
      <c r="D2781" s="947" t="s">
        <v>2169</v>
      </c>
      <c r="E2781" s="951">
        <v>146</v>
      </c>
      <c r="F2781" s="951">
        <v>145</v>
      </c>
      <c r="G2781" s="947" t="s">
        <v>3252</v>
      </c>
      <c r="H2781" s="951">
        <v>0</v>
      </c>
      <c r="I2781" s="951">
        <v>0</v>
      </c>
      <c r="J2781" s="947" t="s">
        <v>198</v>
      </c>
      <c r="K2781" s="947">
        <v>733774</v>
      </c>
      <c r="M2781" s="631"/>
      <c r="P2781" s="950" t="str">
        <f>VLOOKUP(J2781,'רשימת רשויות'!A:A,1,0)</f>
        <v>בני ברק</v>
      </c>
      <c r="Q2781" s="956">
        <f>IFERROR(VLOOKUP(B2781,[2]מעובד!$D:$K,8,0),0)</f>
        <v>0</v>
      </c>
      <c r="R2781" s="956">
        <f>IFERROR(VLOOKUP(B2781,[2]מעובד!$D:$L,9,0),0)</f>
        <v>0</v>
      </c>
    </row>
    <row r="2782" spans="1:18" x14ac:dyDescent="0.2">
      <c r="A2782" s="947" t="s">
        <v>270</v>
      </c>
      <c r="B2782" s="947">
        <v>733949</v>
      </c>
      <c r="C2782" s="947" t="s">
        <v>2189</v>
      </c>
      <c r="D2782" s="947" t="s">
        <v>2170</v>
      </c>
      <c r="E2782" s="951">
        <v>74</v>
      </c>
      <c r="F2782" s="951">
        <v>74</v>
      </c>
      <c r="G2782" s="947" t="s">
        <v>3252</v>
      </c>
      <c r="H2782" s="951">
        <v>0</v>
      </c>
      <c r="I2782" s="951">
        <v>0</v>
      </c>
      <c r="J2782" s="947" t="s">
        <v>270</v>
      </c>
      <c r="K2782" s="947">
        <v>733949</v>
      </c>
      <c r="M2782" s="631"/>
      <c r="P2782" s="950" t="str">
        <f>VLOOKUP(J2782,'רשימת רשויות'!A:A,1,0)</f>
        <v>ירושלים</v>
      </c>
      <c r="Q2782" s="956">
        <f>IFERROR(VLOOKUP(B2782,[2]מעובד!$D:$K,8,0),0)</f>
        <v>0</v>
      </c>
      <c r="R2782" s="956">
        <f>IFERROR(VLOOKUP(B2782,[2]מעובד!$D:$L,9,0),0)</f>
        <v>0</v>
      </c>
    </row>
    <row r="2783" spans="1:18" x14ac:dyDescent="0.2">
      <c r="A2783" s="947" t="s">
        <v>310</v>
      </c>
      <c r="B2783" s="947">
        <v>734103</v>
      </c>
      <c r="C2783" s="947" t="s">
        <v>2189</v>
      </c>
      <c r="D2783" s="947" t="s">
        <v>1972</v>
      </c>
      <c r="E2783" s="951">
        <v>50</v>
      </c>
      <c r="F2783" s="951">
        <v>41</v>
      </c>
      <c r="G2783" s="947" t="s">
        <v>159</v>
      </c>
      <c r="H2783" s="951">
        <v>0</v>
      </c>
      <c r="I2783" s="951">
        <v>0</v>
      </c>
      <c r="J2783" s="947" t="s">
        <v>310</v>
      </c>
      <c r="K2783" s="947">
        <v>734103</v>
      </c>
      <c r="M2783" s="631"/>
      <c r="P2783" s="950" t="str">
        <f>VLOOKUP(J2783,'רשימת רשויות'!A:A,1,0)</f>
        <v>מטה בנימין</v>
      </c>
      <c r="Q2783" s="956">
        <f>IFERROR(VLOOKUP(B2783,[2]מעובד!$D:$K,8,0),0)</f>
        <v>60</v>
      </c>
      <c r="R2783" s="956">
        <f>IFERROR(VLOOKUP(B2783,[2]מעובד!$D:$L,9,0),0)</f>
        <v>41</v>
      </c>
    </row>
    <row r="2784" spans="1:18" x14ac:dyDescent="0.2">
      <c r="A2784" s="947" t="s">
        <v>335</v>
      </c>
      <c r="B2784" s="947">
        <v>734467</v>
      </c>
      <c r="C2784" s="947" t="s">
        <v>2189</v>
      </c>
      <c r="D2784" s="947" t="s">
        <v>2149</v>
      </c>
      <c r="E2784" s="951">
        <v>125</v>
      </c>
      <c r="F2784" s="951">
        <v>125</v>
      </c>
      <c r="G2784" s="947" t="s">
        <v>3252</v>
      </c>
      <c r="H2784" s="951">
        <v>0</v>
      </c>
      <c r="I2784" s="951">
        <v>0</v>
      </c>
      <c r="J2784" s="947" t="s">
        <v>335</v>
      </c>
      <c r="K2784" s="947">
        <v>734467</v>
      </c>
      <c r="M2784" s="631"/>
      <c r="P2784" s="950" t="str">
        <f>VLOOKUP(J2784,'רשימת רשויות'!A:A,1,0)</f>
        <v>נתיבות</v>
      </c>
      <c r="Q2784" s="956">
        <f>IFERROR(VLOOKUP(B2784,[2]מעובד!$D:$K,8,0),0)</f>
        <v>0</v>
      </c>
      <c r="R2784" s="956">
        <f>IFERROR(VLOOKUP(B2784,[2]מעובד!$D:$L,9,0),0)</f>
        <v>85</v>
      </c>
    </row>
    <row r="2785" spans="1:18" x14ac:dyDescent="0.2">
      <c r="A2785" s="947" t="s">
        <v>270</v>
      </c>
      <c r="B2785" s="947">
        <v>734616</v>
      </c>
      <c r="C2785" s="947" t="s">
        <v>2189</v>
      </c>
      <c r="D2785" s="947" t="s">
        <v>2153</v>
      </c>
      <c r="E2785" s="951">
        <v>70</v>
      </c>
      <c r="F2785" s="951">
        <v>70</v>
      </c>
      <c r="G2785" s="947" t="s">
        <v>3252</v>
      </c>
      <c r="H2785" s="951">
        <v>0</v>
      </c>
      <c r="I2785" s="951">
        <v>0</v>
      </c>
      <c r="J2785" s="947" t="s">
        <v>270</v>
      </c>
      <c r="K2785" s="947">
        <v>734616</v>
      </c>
      <c r="M2785" s="631"/>
      <c r="P2785" s="950" t="str">
        <f>VLOOKUP(J2785,'רשימת רשויות'!A:A,1,0)</f>
        <v>ירושלים</v>
      </c>
      <c r="Q2785" s="956">
        <f>IFERROR(VLOOKUP(B2785,[2]מעובד!$D:$K,8,0),0)</f>
        <v>69</v>
      </c>
      <c r="R2785" s="956">
        <f>IFERROR(VLOOKUP(B2785,[2]מעובד!$D:$L,9,0),0)</f>
        <v>69</v>
      </c>
    </row>
    <row r="2786" spans="1:18" x14ac:dyDescent="0.2">
      <c r="A2786" s="947" t="s">
        <v>251</v>
      </c>
      <c r="B2786" s="947">
        <v>734939</v>
      </c>
      <c r="C2786" s="947" t="s">
        <v>2189</v>
      </c>
      <c r="D2786" s="947" t="s">
        <v>2516</v>
      </c>
      <c r="E2786" s="951">
        <v>72</v>
      </c>
      <c r="F2786" s="951">
        <v>72</v>
      </c>
      <c r="G2786" s="947" t="s">
        <v>3252</v>
      </c>
      <c r="H2786" s="951">
        <v>0</v>
      </c>
      <c r="I2786" s="951">
        <v>0</v>
      </c>
      <c r="J2786" s="947" t="s">
        <v>251</v>
      </c>
      <c r="K2786" s="947">
        <v>734939</v>
      </c>
      <c r="M2786" s="631"/>
      <c r="P2786" s="950" t="str">
        <f>VLOOKUP(J2786,'רשימת רשויות'!A:A,1,0)</f>
        <v>חיפה</v>
      </c>
      <c r="Q2786" s="956">
        <f>IFERROR(VLOOKUP(B2786,[2]מעובד!$D:$K,8,0),0)</f>
        <v>0</v>
      </c>
      <c r="R2786" s="956">
        <f>IFERROR(VLOOKUP(B2786,[2]מעובד!$D:$L,9,0),0)</f>
        <v>0</v>
      </c>
    </row>
    <row r="2787" spans="1:18" x14ac:dyDescent="0.2">
      <c r="A2787" s="947" t="s">
        <v>293</v>
      </c>
      <c r="B2787" s="947">
        <v>739037</v>
      </c>
      <c r="C2787" s="947" t="s">
        <v>2189</v>
      </c>
      <c r="D2787" s="947" t="s">
        <v>2161</v>
      </c>
      <c r="E2787" s="951">
        <v>66</v>
      </c>
      <c r="F2787" s="951">
        <v>65</v>
      </c>
      <c r="G2787" s="947" t="s">
        <v>3252</v>
      </c>
      <c r="H2787" s="951">
        <v>0</v>
      </c>
      <c r="I2787" s="951">
        <v>0</v>
      </c>
      <c r="J2787" s="947" t="s">
        <v>293</v>
      </c>
      <c r="K2787" s="947">
        <v>739037</v>
      </c>
      <c r="M2787" s="631"/>
      <c r="P2787" s="950" t="str">
        <f>VLOOKUP(J2787,'רשימת רשויות'!A:A,1,0)</f>
        <v>לוד</v>
      </c>
      <c r="Q2787" s="956">
        <f>IFERROR(VLOOKUP(B2787,[2]מעובד!$D:$K,8,0),0)</f>
        <v>76</v>
      </c>
      <c r="R2787" s="956">
        <f>IFERROR(VLOOKUP(B2787,[2]מעובד!$D:$L,9,0),0)</f>
        <v>76</v>
      </c>
    </row>
    <row r="2788" spans="1:18" x14ac:dyDescent="0.2">
      <c r="A2788" s="947" t="s">
        <v>182</v>
      </c>
      <c r="B2788" s="947">
        <v>740712</v>
      </c>
      <c r="C2788" s="947" t="s">
        <v>2189</v>
      </c>
      <c r="D2788" s="947" t="s">
        <v>2150</v>
      </c>
      <c r="E2788" s="951">
        <v>67</v>
      </c>
      <c r="F2788" s="951">
        <v>64</v>
      </c>
      <c r="G2788" s="947" t="s">
        <v>3252</v>
      </c>
      <c r="H2788" s="951">
        <v>0</v>
      </c>
      <c r="I2788" s="951">
        <v>0</v>
      </c>
      <c r="J2788" s="947" t="s">
        <v>182</v>
      </c>
      <c r="K2788" s="947">
        <v>740712</v>
      </c>
      <c r="M2788" s="631"/>
      <c r="P2788" s="950" t="str">
        <f>VLOOKUP(J2788,'רשימת רשויות'!A:A,1,0)</f>
        <v>אשכול</v>
      </c>
      <c r="Q2788" s="956">
        <f>IFERROR(VLOOKUP(B2788,[2]מעובד!$D:$K,8,0),0)</f>
        <v>0</v>
      </c>
      <c r="R2788" s="956">
        <f>IFERROR(VLOOKUP(B2788,[2]מעובד!$D:$L,9,0),0)</f>
        <v>21</v>
      </c>
    </row>
    <row r="2789" spans="1:18" x14ac:dyDescent="0.2">
      <c r="A2789" s="947" t="s">
        <v>394</v>
      </c>
      <c r="B2789" s="947">
        <v>741009</v>
      </c>
      <c r="C2789" s="947" t="s">
        <v>2189</v>
      </c>
      <c r="D2789" s="947" t="s">
        <v>3195</v>
      </c>
      <c r="E2789" s="951">
        <v>14</v>
      </c>
      <c r="F2789" s="951">
        <v>0</v>
      </c>
      <c r="G2789" s="947" t="s">
        <v>3252</v>
      </c>
      <c r="H2789" s="951">
        <v>0</v>
      </c>
      <c r="I2789" s="951">
        <v>0</v>
      </c>
      <c r="J2789" s="947" t="s">
        <v>394</v>
      </c>
      <c r="K2789" s="947">
        <v>741009</v>
      </c>
      <c r="M2789" s="631"/>
      <c r="P2789" s="950" t="str">
        <f>VLOOKUP(J2789,'רשימת רשויות'!A:A,1,0)</f>
        <v>רמת נגב</v>
      </c>
      <c r="Q2789" s="956">
        <f>IFERROR(VLOOKUP(B2789,[2]מעובד!$D:$K,8,0),0)</f>
        <v>0</v>
      </c>
      <c r="R2789" s="956">
        <f>IFERROR(VLOOKUP(B2789,[2]מעובד!$D:$L,9,0),0)</f>
        <v>0</v>
      </c>
    </row>
    <row r="2790" spans="1:18" x14ac:dyDescent="0.2">
      <c r="A2790" s="947" t="s">
        <v>373</v>
      </c>
      <c r="B2790" s="947">
        <v>741322</v>
      </c>
      <c r="C2790" s="947" t="s">
        <v>2189</v>
      </c>
      <c r="D2790" s="947" t="s">
        <v>2517</v>
      </c>
      <c r="E2790" s="951">
        <v>104</v>
      </c>
      <c r="F2790" s="951">
        <v>99</v>
      </c>
      <c r="G2790" s="947" t="s">
        <v>3252</v>
      </c>
      <c r="H2790" s="951">
        <v>0</v>
      </c>
      <c r="I2790" s="951">
        <v>0</v>
      </c>
      <c r="J2790" s="947" t="s">
        <v>373</v>
      </c>
      <c r="K2790" s="947">
        <v>741322</v>
      </c>
      <c r="M2790" s="631"/>
      <c r="P2790" s="950" t="str">
        <f>VLOOKUP(J2790,'רשימת רשויות'!A:A,1,0)</f>
        <v>קרית גת</v>
      </c>
      <c r="Q2790" s="956">
        <f>IFERROR(VLOOKUP(B2790,[2]מעובד!$D:$K,8,0),0)</f>
        <v>0</v>
      </c>
      <c r="R2790" s="956">
        <f>IFERROR(VLOOKUP(B2790,[2]מעובד!$D:$L,9,0),0)</f>
        <v>0</v>
      </c>
    </row>
    <row r="2791" spans="1:18" x14ac:dyDescent="0.2">
      <c r="A2791" s="947" t="s">
        <v>262</v>
      </c>
      <c r="B2791" s="947">
        <v>742171</v>
      </c>
      <c r="C2791" s="947" t="s">
        <v>2189</v>
      </c>
      <c r="D2791" s="947" t="s">
        <v>3196</v>
      </c>
      <c r="E2791" s="951">
        <v>48</v>
      </c>
      <c r="F2791" s="951">
        <v>0</v>
      </c>
      <c r="G2791" s="947" t="s">
        <v>3252</v>
      </c>
      <c r="H2791" s="951">
        <v>0</v>
      </c>
      <c r="I2791" s="951">
        <v>0</v>
      </c>
      <c r="J2791" s="947" t="s">
        <v>262</v>
      </c>
      <c r="K2791" s="947">
        <v>742171</v>
      </c>
      <c r="M2791" s="631"/>
      <c r="P2791" s="950" t="str">
        <f>VLOOKUP(J2791,'רשימת רשויות'!A:A,1,0)</f>
        <v>יבנה</v>
      </c>
      <c r="Q2791" s="956">
        <f>IFERROR(VLOOKUP(B2791,[2]מעובד!$D:$K,8,0),0)</f>
        <v>0</v>
      </c>
      <c r="R2791" s="956">
        <f>IFERROR(VLOOKUP(B2791,[2]מעובד!$D:$L,9,0),0)</f>
        <v>0</v>
      </c>
    </row>
    <row r="2792" spans="1:18" x14ac:dyDescent="0.2">
      <c r="A2792" s="947" t="s">
        <v>270</v>
      </c>
      <c r="B2792" s="947">
        <v>742254</v>
      </c>
      <c r="C2792" s="947" t="s">
        <v>2189</v>
      </c>
      <c r="D2792" s="947" t="s">
        <v>2159</v>
      </c>
      <c r="E2792" s="951">
        <v>470</v>
      </c>
      <c r="F2792" s="951">
        <v>470</v>
      </c>
      <c r="G2792" s="947" t="s">
        <v>3252</v>
      </c>
      <c r="H2792" s="951">
        <v>0</v>
      </c>
      <c r="I2792" s="951">
        <v>0</v>
      </c>
      <c r="J2792" s="947" t="s">
        <v>270</v>
      </c>
      <c r="K2792" s="947">
        <v>742254</v>
      </c>
      <c r="M2792" s="631"/>
      <c r="P2792" s="950" t="str">
        <f>VLOOKUP(J2792,'רשימת רשויות'!A:A,1,0)</f>
        <v>ירושלים</v>
      </c>
      <c r="Q2792" s="956">
        <f>IFERROR(VLOOKUP(B2792,[2]מעובד!$D:$K,8,0),0)</f>
        <v>368</v>
      </c>
      <c r="R2792" s="956">
        <f>IFERROR(VLOOKUP(B2792,[2]מעובד!$D:$L,9,0),0)</f>
        <v>285</v>
      </c>
    </row>
    <row r="2793" spans="1:18" x14ac:dyDescent="0.2">
      <c r="A2793" s="947" t="s">
        <v>270</v>
      </c>
      <c r="B2793" s="947">
        <v>743369</v>
      </c>
      <c r="C2793" s="947" t="s">
        <v>2189</v>
      </c>
      <c r="D2793" s="947" t="s">
        <v>2518</v>
      </c>
      <c r="E2793" s="951">
        <v>212</v>
      </c>
      <c r="F2793" s="951">
        <v>35</v>
      </c>
      <c r="G2793" s="947" t="s">
        <v>3252</v>
      </c>
      <c r="H2793" s="951">
        <v>150</v>
      </c>
      <c r="I2793" s="951">
        <v>0</v>
      </c>
      <c r="J2793" s="947" t="s">
        <v>270</v>
      </c>
      <c r="K2793" s="947">
        <v>743369</v>
      </c>
      <c r="M2793" s="631"/>
      <c r="P2793" s="950" t="str">
        <f>VLOOKUP(J2793,'רשימת רשויות'!A:A,1,0)</f>
        <v>ירושלים</v>
      </c>
      <c r="Q2793" s="956">
        <f>IFERROR(VLOOKUP(B2793,[2]מעובד!$D:$K,8,0),0)</f>
        <v>0</v>
      </c>
      <c r="R2793" s="956">
        <f>IFERROR(VLOOKUP(B2793,[2]מעובד!$D:$L,9,0),0)</f>
        <v>0</v>
      </c>
    </row>
    <row r="2794" spans="1:18" x14ac:dyDescent="0.2">
      <c r="A2794" s="947" t="s">
        <v>196</v>
      </c>
      <c r="B2794" s="947">
        <v>743468</v>
      </c>
      <c r="C2794" s="947" t="s">
        <v>2189</v>
      </c>
      <c r="D2794" s="947" t="s">
        <v>2176</v>
      </c>
      <c r="E2794" s="951">
        <v>83</v>
      </c>
      <c r="F2794" s="951">
        <v>83</v>
      </c>
      <c r="G2794" s="947" t="s">
        <v>3252</v>
      </c>
      <c r="H2794" s="951">
        <v>0</v>
      </c>
      <c r="I2794" s="951">
        <v>0</v>
      </c>
      <c r="J2794" s="947" t="s">
        <v>196</v>
      </c>
      <c r="K2794" s="947">
        <v>743468</v>
      </c>
      <c r="M2794" s="631"/>
      <c r="P2794" s="950" t="str">
        <f>VLOOKUP(J2794,'רשימת רשויות'!A:A,1,0)</f>
        <v>בית שמש</v>
      </c>
      <c r="Q2794" s="956">
        <f>IFERROR(VLOOKUP(B2794,[2]מעובד!$D:$K,8,0),0)</f>
        <v>109</v>
      </c>
      <c r="R2794" s="956">
        <f>IFERROR(VLOOKUP(B2794,[2]מעובד!$D:$L,9,0),0)</f>
        <v>98</v>
      </c>
    </row>
    <row r="2795" spans="1:18" x14ac:dyDescent="0.2">
      <c r="A2795" s="947" t="s">
        <v>306</v>
      </c>
      <c r="B2795" s="947">
        <v>743682</v>
      </c>
      <c r="C2795" s="947" t="s">
        <v>2189</v>
      </c>
      <c r="D2795" s="947" t="s">
        <v>2152</v>
      </c>
      <c r="E2795" s="951">
        <v>80</v>
      </c>
      <c r="F2795" s="951">
        <v>80</v>
      </c>
      <c r="G2795" s="947" t="s">
        <v>3252</v>
      </c>
      <c r="H2795" s="951">
        <v>0</v>
      </c>
      <c r="I2795" s="951">
        <v>0</v>
      </c>
      <c r="J2795" s="947" t="s">
        <v>306</v>
      </c>
      <c r="K2795" s="947">
        <v>743682</v>
      </c>
      <c r="M2795" s="631"/>
      <c r="P2795" s="950" t="str">
        <f>VLOOKUP(J2795,'רשימת רשויות'!A:A,1,0)</f>
        <v>מודיעין עילית</v>
      </c>
      <c r="Q2795" s="956">
        <f>IFERROR(VLOOKUP(B2795,[2]מעובד!$D:$K,8,0),0)</f>
        <v>0</v>
      </c>
      <c r="R2795" s="956">
        <f>IFERROR(VLOOKUP(B2795,[2]מעובד!$D:$L,9,0),0)</f>
        <v>0</v>
      </c>
    </row>
    <row r="2796" spans="1:18" x14ac:dyDescent="0.2">
      <c r="A2796" s="947" t="s">
        <v>270</v>
      </c>
      <c r="B2796" s="947">
        <v>744250</v>
      </c>
      <c r="C2796" s="947" t="s">
        <v>2189</v>
      </c>
      <c r="D2796" s="947" t="s">
        <v>2156</v>
      </c>
      <c r="E2796" s="951">
        <v>86</v>
      </c>
      <c r="F2796" s="951">
        <v>86</v>
      </c>
      <c r="G2796" s="947" t="s">
        <v>3252</v>
      </c>
      <c r="H2796" s="951">
        <v>0</v>
      </c>
      <c r="I2796" s="951">
        <v>0</v>
      </c>
      <c r="J2796" s="947" t="s">
        <v>270</v>
      </c>
      <c r="K2796" s="947">
        <v>744250</v>
      </c>
      <c r="M2796" s="631"/>
      <c r="P2796" s="950" t="str">
        <f>VLOOKUP(J2796,'רשימת רשויות'!A:A,1,0)</f>
        <v>ירושלים</v>
      </c>
      <c r="Q2796" s="956">
        <f>IFERROR(VLOOKUP(B2796,[2]מעובד!$D:$K,8,0),0)</f>
        <v>0</v>
      </c>
      <c r="R2796" s="956">
        <f>IFERROR(VLOOKUP(B2796,[2]מעובד!$D:$L,9,0),0)</f>
        <v>0</v>
      </c>
    </row>
    <row r="2797" spans="1:18" x14ac:dyDescent="0.2">
      <c r="A2797" s="947" t="s">
        <v>196</v>
      </c>
      <c r="B2797" s="947">
        <v>745471</v>
      </c>
      <c r="C2797" s="947" t="s">
        <v>2189</v>
      </c>
      <c r="D2797" s="947" t="s">
        <v>3197</v>
      </c>
      <c r="E2797" s="951">
        <v>113</v>
      </c>
      <c r="F2797" s="951">
        <v>113</v>
      </c>
      <c r="G2797" s="947" t="s">
        <v>3252</v>
      </c>
      <c r="H2797" s="951">
        <v>0</v>
      </c>
      <c r="I2797" s="951">
        <v>0</v>
      </c>
      <c r="J2797" s="947" t="s">
        <v>196</v>
      </c>
      <c r="K2797" s="947">
        <v>745471</v>
      </c>
      <c r="M2797" s="631"/>
      <c r="P2797" s="950" t="str">
        <f>VLOOKUP(J2797,'רשימת רשויות'!A:A,1,0)</f>
        <v>בית שמש</v>
      </c>
      <c r="Q2797" s="956">
        <f>IFERROR(VLOOKUP(B2797,[2]מעובד!$D:$K,8,0),0)</f>
        <v>147</v>
      </c>
      <c r="R2797" s="956">
        <f>IFERROR(VLOOKUP(B2797,[2]מעובד!$D:$L,9,0),0)</f>
        <v>142</v>
      </c>
    </row>
    <row r="2798" spans="1:18" x14ac:dyDescent="0.2">
      <c r="A2798" s="947" t="s">
        <v>2779</v>
      </c>
      <c r="B2798" s="947">
        <v>745984</v>
      </c>
      <c r="C2798" s="947" t="s">
        <v>2189</v>
      </c>
      <c r="D2798" s="947" t="s">
        <v>3198</v>
      </c>
      <c r="E2798" s="951">
        <v>120</v>
      </c>
      <c r="F2798" s="951">
        <v>0</v>
      </c>
      <c r="G2798" s="947" t="s">
        <v>3252</v>
      </c>
      <c r="H2798" s="951">
        <v>0</v>
      </c>
      <c r="I2798" s="951">
        <v>0</v>
      </c>
      <c r="J2798" s="947" t="s">
        <v>2779</v>
      </c>
      <c r="K2798" s="947">
        <v>745984</v>
      </c>
      <c r="M2798" s="631"/>
      <c r="P2798" s="950" t="str">
        <f>VLOOKUP(J2798,'רשימת רשויות'!A:A,1,0)</f>
        <v>גן רווה</v>
      </c>
      <c r="Q2798" s="956">
        <f>IFERROR(VLOOKUP(B2798,[2]מעובד!$D:$K,8,0),0)</f>
        <v>0</v>
      </c>
      <c r="R2798" s="956">
        <f>IFERROR(VLOOKUP(B2798,[2]מעובד!$D:$L,9,0),0)</f>
        <v>0</v>
      </c>
    </row>
    <row r="2799" spans="1:18" x14ac:dyDescent="0.2">
      <c r="A2799" s="947" t="s">
        <v>270</v>
      </c>
      <c r="B2799" s="947">
        <v>746313</v>
      </c>
      <c r="C2799" s="947" t="s">
        <v>2189</v>
      </c>
      <c r="D2799" s="947" t="s">
        <v>3199</v>
      </c>
      <c r="E2799" s="951">
        <v>85</v>
      </c>
      <c r="F2799" s="951">
        <v>0</v>
      </c>
      <c r="G2799" s="947" t="s">
        <v>3252</v>
      </c>
      <c r="H2799" s="951">
        <v>0</v>
      </c>
      <c r="I2799" s="951">
        <v>0</v>
      </c>
      <c r="J2799" s="947" t="s">
        <v>270</v>
      </c>
      <c r="K2799" s="947">
        <v>746313</v>
      </c>
      <c r="M2799" s="631"/>
      <c r="P2799" s="950" t="str">
        <f>VLOOKUP(J2799,'רשימת רשויות'!A:A,1,0)</f>
        <v>ירושלים</v>
      </c>
      <c r="Q2799" s="956">
        <f>IFERROR(VLOOKUP(B2799,[2]מעובד!$D:$K,8,0),0)</f>
        <v>0</v>
      </c>
      <c r="R2799" s="956">
        <f>IFERROR(VLOOKUP(B2799,[2]מעובד!$D:$L,9,0),0)</f>
        <v>0</v>
      </c>
    </row>
    <row r="2800" spans="1:18" x14ac:dyDescent="0.2">
      <c r="A2800" s="947" t="s">
        <v>196</v>
      </c>
      <c r="B2800" s="947">
        <v>746354</v>
      </c>
      <c r="C2800" s="947" t="s">
        <v>2189</v>
      </c>
      <c r="D2800" s="947" t="s">
        <v>1226</v>
      </c>
      <c r="E2800" s="951">
        <v>61</v>
      </c>
      <c r="F2800" s="951">
        <v>61</v>
      </c>
      <c r="G2800" s="947" t="s">
        <v>3252</v>
      </c>
      <c r="H2800" s="951">
        <v>0</v>
      </c>
      <c r="I2800" s="951">
        <v>0</v>
      </c>
      <c r="J2800" s="947" t="s">
        <v>196</v>
      </c>
      <c r="K2800" s="947">
        <v>746354</v>
      </c>
      <c r="M2800" s="631"/>
      <c r="P2800" s="950" t="str">
        <f>VLOOKUP(J2800,'רשימת רשויות'!A:A,1,0)</f>
        <v>בית שמש</v>
      </c>
      <c r="Q2800" s="956">
        <f>IFERROR(VLOOKUP(B2800,[2]מעובד!$D:$K,8,0),0)</f>
        <v>0</v>
      </c>
      <c r="R2800" s="956">
        <f>IFERROR(VLOOKUP(B2800,[2]מעובד!$D:$L,9,0),0)</f>
        <v>0</v>
      </c>
    </row>
    <row r="2801" spans="1:18" x14ac:dyDescent="0.2">
      <c r="A2801" s="947" t="s">
        <v>270</v>
      </c>
      <c r="B2801" s="947">
        <v>746503</v>
      </c>
      <c r="C2801" s="947" t="s">
        <v>2189</v>
      </c>
      <c r="D2801" s="947" t="s">
        <v>3200</v>
      </c>
      <c r="E2801" s="951">
        <v>146</v>
      </c>
      <c r="F2801" s="951">
        <v>0</v>
      </c>
      <c r="G2801" s="947" t="s">
        <v>3252</v>
      </c>
      <c r="H2801" s="951">
        <v>0</v>
      </c>
      <c r="I2801" s="951">
        <v>0</v>
      </c>
      <c r="J2801" s="947" t="s">
        <v>270</v>
      </c>
      <c r="K2801" s="947">
        <v>746503</v>
      </c>
      <c r="M2801" s="631"/>
      <c r="P2801" s="950" t="str">
        <f>VLOOKUP(J2801,'רשימת רשויות'!A:A,1,0)</f>
        <v>ירושלים</v>
      </c>
      <c r="Q2801" s="956">
        <f>IFERROR(VLOOKUP(B2801,[2]מעובד!$D:$K,8,0),0)</f>
        <v>0</v>
      </c>
      <c r="R2801" s="956">
        <f>IFERROR(VLOOKUP(B2801,[2]מעובד!$D:$L,9,0),0)</f>
        <v>0</v>
      </c>
    </row>
    <row r="2802" spans="1:18" x14ac:dyDescent="0.2">
      <c r="A2802" s="947" t="s">
        <v>270</v>
      </c>
      <c r="B2802" s="947">
        <v>746529</v>
      </c>
      <c r="C2802" s="947" t="s">
        <v>2189</v>
      </c>
      <c r="D2802" s="947" t="s">
        <v>3201</v>
      </c>
      <c r="E2802" s="951">
        <v>261</v>
      </c>
      <c r="F2802" s="951">
        <v>60</v>
      </c>
      <c r="G2802" s="947" t="s">
        <v>3252</v>
      </c>
      <c r="H2802" s="951">
        <v>0</v>
      </c>
      <c r="I2802" s="951">
        <v>0</v>
      </c>
      <c r="J2802" s="947" t="s">
        <v>270</v>
      </c>
      <c r="K2802" s="947">
        <v>746529</v>
      </c>
      <c r="M2802" s="631"/>
      <c r="P2802" s="950" t="str">
        <f>VLOOKUP(J2802,'רשימת רשויות'!A:A,1,0)</f>
        <v>ירושלים</v>
      </c>
      <c r="Q2802" s="956">
        <f>IFERROR(VLOOKUP(B2802,[2]מעובד!$D:$K,8,0),0)</f>
        <v>0</v>
      </c>
      <c r="R2802" s="956">
        <f>IFERROR(VLOOKUP(B2802,[2]מעובד!$D:$L,9,0),0)</f>
        <v>0</v>
      </c>
    </row>
    <row r="2803" spans="1:18" x14ac:dyDescent="0.2">
      <c r="A2803" s="947" t="s">
        <v>270</v>
      </c>
      <c r="B2803" s="947">
        <v>746735</v>
      </c>
      <c r="C2803" s="947" t="s">
        <v>2189</v>
      </c>
      <c r="D2803" s="947" t="s">
        <v>3202</v>
      </c>
      <c r="E2803" s="951">
        <v>271</v>
      </c>
      <c r="F2803" s="951">
        <v>0</v>
      </c>
      <c r="G2803" s="947" t="s">
        <v>3252</v>
      </c>
      <c r="H2803" s="951">
        <v>0</v>
      </c>
      <c r="I2803" s="951">
        <v>0</v>
      </c>
      <c r="J2803" s="947" t="s">
        <v>270</v>
      </c>
      <c r="K2803" s="947">
        <v>746735</v>
      </c>
      <c r="M2803" s="631"/>
      <c r="P2803" s="950" t="str">
        <f>VLOOKUP(J2803,'רשימת רשויות'!A:A,1,0)</f>
        <v>ירושלים</v>
      </c>
      <c r="Q2803" s="956">
        <f>IFERROR(VLOOKUP(B2803,[2]מעובד!$D:$K,8,0),0)</f>
        <v>0</v>
      </c>
      <c r="R2803" s="956">
        <f>IFERROR(VLOOKUP(B2803,[2]מעובד!$D:$L,9,0),0)</f>
        <v>0</v>
      </c>
    </row>
    <row r="2804" spans="1:18" x14ac:dyDescent="0.2">
      <c r="A2804" s="947" t="s">
        <v>270</v>
      </c>
      <c r="B2804" s="947">
        <v>747345</v>
      </c>
      <c r="C2804" s="947" t="s">
        <v>2189</v>
      </c>
      <c r="D2804" s="947" t="s">
        <v>3203</v>
      </c>
      <c r="E2804" s="951">
        <v>27</v>
      </c>
      <c r="F2804" s="951">
        <v>0</v>
      </c>
      <c r="G2804" s="947" t="s">
        <v>3252</v>
      </c>
      <c r="H2804" s="951">
        <v>0</v>
      </c>
      <c r="I2804" s="951">
        <v>0</v>
      </c>
      <c r="J2804" s="947" t="s">
        <v>270</v>
      </c>
      <c r="K2804" s="947">
        <v>747345</v>
      </c>
      <c r="M2804" s="631"/>
      <c r="P2804" s="950" t="str">
        <f>VLOOKUP(J2804,'רשימת רשויות'!A:A,1,0)</f>
        <v>ירושלים</v>
      </c>
      <c r="Q2804" s="956">
        <f>IFERROR(VLOOKUP(B2804,[2]מעובד!$D:$K,8,0),0)</f>
        <v>0</v>
      </c>
      <c r="R2804" s="956">
        <f>IFERROR(VLOOKUP(B2804,[2]מעובד!$D:$L,9,0),0)</f>
        <v>0</v>
      </c>
    </row>
    <row r="2805" spans="1:18" x14ac:dyDescent="0.2">
      <c r="A2805" s="947" t="s">
        <v>270</v>
      </c>
      <c r="B2805" s="947">
        <v>747360</v>
      </c>
      <c r="C2805" s="947" t="s">
        <v>2189</v>
      </c>
      <c r="D2805" s="947" t="s">
        <v>2162</v>
      </c>
      <c r="E2805" s="951">
        <v>254</v>
      </c>
      <c r="F2805" s="951">
        <v>25</v>
      </c>
      <c r="G2805" s="947" t="s">
        <v>3252</v>
      </c>
      <c r="H2805" s="951">
        <v>0</v>
      </c>
      <c r="I2805" s="951">
        <v>0</v>
      </c>
      <c r="J2805" s="947" t="s">
        <v>270</v>
      </c>
      <c r="K2805" s="947">
        <v>747360</v>
      </c>
      <c r="M2805" s="631"/>
      <c r="P2805" s="950" t="str">
        <f>VLOOKUP(J2805,'רשימת רשויות'!A:A,1,0)</f>
        <v>ירושלים</v>
      </c>
      <c r="Q2805" s="956">
        <f>IFERROR(VLOOKUP(B2805,[2]מעובד!$D:$K,8,0),0)</f>
        <v>0</v>
      </c>
      <c r="R2805" s="956">
        <f>IFERROR(VLOOKUP(B2805,[2]מעובד!$D:$L,9,0),0)</f>
        <v>0</v>
      </c>
    </row>
    <row r="2806" spans="1:18" x14ac:dyDescent="0.2">
      <c r="A2806" s="947" t="s">
        <v>270</v>
      </c>
      <c r="B2806" s="947">
        <v>747402</v>
      </c>
      <c r="C2806" s="947" t="s">
        <v>2189</v>
      </c>
      <c r="D2806" s="947" t="s">
        <v>3204</v>
      </c>
      <c r="E2806" s="951">
        <v>535</v>
      </c>
      <c r="F2806" s="951">
        <v>0</v>
      </c>
      <c r="G2806" s="947" t="s">
        <v>3252</v>
      </c>
      <c r="H2806" s="951">
        <v>368</v>
      </c>
      <c r="I2806" s="951">
        <v>0</v>
      </c>
      <c r="J2806" s="947" t="s">
        <v>270</v>
      </c>
      <c r="K2806" s="947">
        <v>747402</v>
      </c>
      <c r="M2806" s="631"/>
      <c r="P2806" s="950" t="str">
        <f>VLOOKUP(J2806,'רשימת רשויות'!A:A,1,0)</f>
        <v>ירושלים</v>
      </c>
      <c r="Q2806" s="956">
        <f>IFERROR(VLOOKUP(B2806,[2]מעובד!$D:$K,8,0),0)</f>
        <v>0</v>
      </c>
      <c r="R2806" s="956">
        <f>IFERROR(VLOOKUP(B2806,[2]מעובד!$D:$L,9,0),0)</f>
        <v>0</v>
      </c>
    </row>
    <row r="2807" spans="1:18" x14ac:dyDescent="0.2">
      <c r="A2807" s="947" t="s">
        <v>270</v>
      </c>
      <c r="B2807" s="947">
        <v>747725</v>
      </c>
      <c r="C2807" s="947" t="s">
        <v>2189</v>
      </c>
      <c r="D2807" s="947" t="s">
        <v>2171</v>
      </c>
      <c r="E2807" s="951">
        <v>61</v>
      </c>
      <c r="F2807" s="951">
        <v>34</v>
      </c>
      <c r="G2807" s="947" t="s">
        <v>3252</v>
      </c>
      <c r="H2807" s="951">
        <v>0</v>
      </c>
      <c r="I2807" s="951">
        <v>0</v>
      </c>
      <c r="J2807" s="947" t="s">
        <v>270</v>
      </c>
      <c r="K2807" s="947">
        <v>747725</v>
      </c>
      <c r="M2807" s="631"/>
      <c r="P2807" s="950" t="str">
        <f>VLOOKUP(J2807,'רשימת רשויות'!A:A,1,0)</f>
        <v>ירושלים</v>
      </c>
      <c r="Q2807" s="956">
        <f>IFERROR(VLOOKUP(B2807,[2]מעובד!$D:$K,8,0),0)</f>
        <v>0</v>
      </c>
      <c r="R2807" s="956">
        <f>IFERROR(VLOOKUP(B2807,[2]מעובד!$D:$L,9,0),0)</f>
        <v>0</v>
      </c>
    </row>
    <row r="2808" spans="1:18" x14ac:dyDescent="0.2">
      <c r="A2808" s="947" t="s">
        <v>327</v>
      </c>
      <c r="B2808" s="947">
        <v>747915</v>
      </c>
      <c r="C2808" s="947" t="s">
        <v>2189</v>
      </c>
      <c r="D2808" s="947" t="s">
        <v>2172</v>
      </c>
      <c r="E2808" s="951">
        <v>34</v>
      </c>
      <c r="F2808" s="951">
        <v>25</v>
      </c>
      <c r="G2808" s="947" t="s">
        <v>3252</v>
      </c>
      <c r="H2808" s="951">
        <v>0</v>
      </c>
      <c r="I2808" s="951">
        <v>0</v>
      </c>
      <c r="J2808" s="947" t="s">
        <v>327</v>
      </c>
      <c r="K2808" s="957" t="s">
        <v>3382</v>
      </c>
      <c r="M2808" s="631"/>
      <c r="P2808" s="950" t="str">
        <f>VLOOKUP(J2808,'רשימת רשויות'!A:A,1,0)</f>
        <v>נהריה</v>
      </c>
      <c r="Q2808" s="956">
        <f>IFERROR(VLOOKUP(B2808,[2]מעובד!$D:$K,8,0),0)</f>
        <v>0</v>
      </c>
      <c r="R2808" s="956">
        <f>IFERROR(VLOOKUP(B2808,[2]מעובד!$D:$L,9,0),0)</f>
        <v>0</v>
      </c>
    </row>
    <row r="2809" spans="1:18" x14ac:dyDescent="0.2">
      <c r="A2809" s="947" t="s">
        <v>227</v>
      </c>
      <c r="B2809" s="947">
        <v>747949</v>
      </c>
      <c r="C2809" s="947" t="s">
        <v>2189</v>
      </c>
      <c r="D2809" s="947" t="s">
        <v>2174</v>
      </c>
      <c r="E2809" s="951">
        <v>46</v>
      </c>
      <c r="F2809" s="951">
        <v>12</v>
      </c>
      <c r="G2809" s="947" t="s">
        <v>3252</v>
      </c>
      <c r="H2809" s="951">
        <v>0</v>
      </c>
      <c r="I2809" s="951">
        <v>0</v>
      </c>
      <c r="J2809" s="947" t="s">
        <v>227</v>
      </c>
      <c r="K2809" s="947">
        <v>747949</v>
      </c>
      <c r="M2809" s="631"/>
      <c r="P2809" s="950" t="str">
        <f>VLOOKUP(J2809,'רשימת רשויות'!A:A,1,0)</f>
        <v>דרום השרון</v>
      </c>
      <c r="Q2809" s="956">
        <f>IFERROR(VLOOKUP(B2809,[2]מעובד!$D:$K,8,0),0)</f>
        <v>0</v>
      </c>
      <c r="R2809" s="956">
        <f>IFERROR(VLOOKUP(B2809,[2]מעובד!$D:$L,9,0),0)</f>
        <v>0</v>
      </c>
    </row>
    <row r="2810" spans="1:18" x14ac:dyDescent="0.2">
      <c r="A2810" s="947" t="s">
        <v>253</v>
      </c>
      <c r="B2810" s="947">
        <v>748731</v>
      </c>
      <c r="C2810" s="947" t="s">
        <v>2189</v>
      </c>
      <c r="D2810" s="947" t="s">
        <v>3205</v>
      </c>
      <c r="E2810" s="951">
        <v>152</v>
      </c>
      <c r="F2810" s="951">
        <v>0</v>
      </c>
      <c r="G2810" s="947" t="s">
        <v>3252</v>
      </c>
      <c r="H2810" s="951">
        <v>0</v>
      </c>
      <c r="I2810" s="951">
        <v>0</v>
      </c>
      <c r="J2810" s="947" t="s">
        <v>253</v>
      </c>
      <c r="K2810" s="947">
        <v>748731</v>
      </c>
      <c r="M2810" s="631"/>
      <c r="P2810" s="950" t="str">
        <f>VLOOKUP(J2810,'רשימת רשויות'!A:A,1,0)</f>
        <v>חריש</v>
      </c>
      <c r="Q2810" s="956">
        <f>IFERROR(VLOOKUP(B2810,[2]מעובד!$D:$K,8,0),0)</f>
        <v>0</v>
      </c>
      <c r="R2810" s="956">
        <f>IFERROR(VLOOKUP(B2810,[2]מעובד!$D:$L,9,0),0)</f>
        <v>0</v>
      </c>
    </row>
    <row r="2811" spans="1:18" x14ac:dyDescent="0.2">
      <c r="A2811" s="947" t="s">
        <v>373</v>
      </c>
      <c r="B2811" s="947">
        <v>749010</v>
      </c>
      <c r="C2811" s="947" t="s">
        <v>2189</v>
      </c>
      <c r="D2811" s="947" t="s">
        <v>2624</v>
      </c>
      <c r="E2811" s="951">
        <v>80</v>
      </c>
      <c r="F2811" s="951">
        <v>80</v>
      </c>
      <c r="G2811" s="947" t="s">
        <v>3252</v>
      </c>
      <c r="H2811" s="951">
        <v>0</v>
      </c>
      <c r="I2811" s="951">
        <v>0</v>
      </c>
      <c r="J2811" s="947" t="s">
        <v>373</v>
      </c>
      <c r="K2811" s="947">
        <v>749010</v>
      </c>
      <c r="M2811" s="631"/>
      <c r="P2811" s="950" t="str">
        <f>VLOOKUP(J2811,'רשימת רשויות'!A:A,1,0)</f>
        <v>קרית גת</v>
      </c>
      <c r="Q2811" s="956">
        <f>IFERROR(VLOOKUP(B2811,[2]מעובד!$D:$K,8,0),0)</f>
        <v>0</v>
      </c>
      <c r="R2811" s="956">
        <f>IFERROR(VLOOKUP(B2811,[2]מעובד!$D:$L,9,0),0)</f>
        <v>0</v>
      </c>
    </row>
    <row r="2812" spans="1:18" x14ac:dyDescent="0.2">
      <c r="A2812" s="947" t="s">
        <v>196</v>
      </c>
      <c r="B2812" s="947">
        <v>749937</v>
      </c>
      <c r="C2812" s="947" t="s">
        <v>2189</v>
      </c>
      <c r="D2812" s="947" t="s">
        <v>886</v>
      </c>
      <c r="E2812" s="951">
        <v>180</v>
      </c>
      <c r="F2812" s="951">
        <v>162</v>
      </c>
      <c r="G2812" s="947" t="s">
        <v>159</v>
      </c>
      <c r="H2812" s="951">
        <v>65</v>
      </c>
      <c r="I2812" s="951">
        <v>11</v>
      </c>
      <c r="J2812" s="947" t="s">
        <v>196</v>
      </c>
      <c r="K2812" s="947">
        <v>749937</v>
      </c>
      <c r="M2812" s="631"/>
      <c r="P2812" s="950" t="str">
        <f>VLOOKUP(J2812,'רשימת רשויות'!A:A,1,0)</f>
        <v>בית שמש</v>
      </c>
      <c r="Q2812" s="956">
        <f>IFERROR(VLOOKUP(B2812,[2]מעובד!$D:$K,8,0),0)</f>
        <v>163</v>
      </c>
      <c r="R2812" s="956">
        <f>IFERROR(VLOOKUP(B2812,[2]מעובד!$D:$L,9,0),0)</f>
        <v>130</v>
      </c>
    </row>
    <row r="2813" spans="1:18" x14ac:dyDescent="0.2">
      <c r="A2813" s="947" t="s">
        <v>196</v>
      </c>
      <c r="B2813" s="947">
        <v>749978</v>
      </c>
      <c r="C2813" s="947" t="s">
        <v>2189</v>
      </c>
      <c r="D2813" s="947" t="s">
        <v>2160</v>
      </c>
      <c r="E2813" s="951">
        <v>127</v>
      </c>
      <c r="F2813" s="951">
        <v>127</v>
      </c>
      <c r="G2813" s="947" t="s">
        <v>3252</v>
      </c>
      <c r="H2813" s="951">
        <v>0</v>
      </c>
      <c r="I2813" s="951">
        <v>0</v>
      </c>
      <c r="J2813" s="947" t="s">
        <v>196</v>
      </c>
      <c r="K2813" s="947">
        <v>749978</v>
      </c>
      <c r="M2813" s="631"/>
      <c r="P2813" s="950" t="str">
        <f>VLOOKUP(J2813,'רשימת רשויות'!A:A,1,0)</f>
        <v>בית שמש</v>
      </c>
      <c r="Q2813" s="956">
        <f>IFERROR(VLOOKUP(B2813,[2]מעובד!$D:$K,8,0),0)</f>
        <v>0</v>
      </c>
      <c r="R2813" s="956">
        <f>IFERROR(VLOOKUP(B2813,[2]מעובד!$D:$L,9,0),0)</f>
        <v>0</v>
      </c>
    </row>
    <row r="2814" spans="1:18" x14ac:dyDescent="0.2">
      <c r="A2814" s="947" t="s">
        <v>270</v>
      </c>
      <c r="B2814" s="947">
        <v>754721</v>
      </c>
      <c r="C2814" s="947" t="s">
        <v>2189</v>
      </c>
      <c r="D2814" s="947" t="s">
        <v>3206</v>
      </c>
      <c r="E2814" s="951">
        <v>460</v>
      </c>
      <c r="F2814" s="951">
        <v>0</v>
      </c>
      <c r="G2814" s="947" t="s">
        <v>3252</v>
      </c>
      <c r="H2814" s="951">
        <v>0</v>
      </c>
      <c r="I2814" s="951">
        <v>0</v>
      </c>
      <c r="J2814" s="947" t="s">
        <v>270</v>
      </c>
      <c r="K2814" s="947">
        <v>754721</v>
      </c>
      <c r="M2814" s="631"/>
      <c r="P2814" s="950" t="str">
        <f>VLOOKUP(J2814,'רשימת רשויות'!A:A,1,0)</f>
        <v>ירושלים</v>
      </c>
      <c r="Q2814" s="956">
        <f>IFERROR(VLOOKUP(B2814,[2]מעובד!$D:$K,8,0),0)</f>
        <v>0</v>
      </c>
      <c r="R2814" s="956">
        <f>IFERROR(VLOOKUP(B2814,[2]מעובד!$D:$L,9,0),0)</f>
        <v>0</v>
      </c>
    </row>
    <row r="2815" spans="1:18" x14ac:dyDescent="0.2">
      <c r="A2815" s="947" t="s">
        <v>196</v>
      </c>
      <c r="B2815" s="947">
        <v>755447</v>
      </c>
      <c r="C2815" s="947" t="s">
        <v>2189</v>
      </c>
      <c r="D2815" s="947" t="s">
        <v>2765</v>
      </c>
      <c r="E2815" s="951">
        <v>91</v>
      </c>
      <c r="F2815" s="951">
        <v>91</v>
      </c>
      <c r="G2815" s="947" t="s">
        <v>3252</v>
      </c>
      <c r="H2815" s="951">
        <v>0</v>
      </c>
      <c r="I2815" s="951">
        <v>0</v>
      </c>
      <c r="J2815" s="947" t="s">
        <v>196</v>
      </c>
      <c r="K2815" s="947">
        <v>755447</v>
      </c>
      <c r="M2815" s="631"/>
      <c r="P2815" s="950" t="str">
        <f>VLOOKUP(J2815,'רשימת רשויות'!A:A,1,0)</f>
        <v>בית שמש</v>
      </c>
      <c r="Q2815" s="956">
        <f>IFERROR(VLOOKUP(B2815,[2]מעובד!$D:$K,8,0),0)</f>
        <v>0</v>
      </c>
      <c r="R2815" s="956">
        <f>IFERROR(VLOOKUP(B2815,[2]מעובד!$D:$L,9,0),0)</f>
        <v>0</v>
      </c>
    </row>
    <row r="2816" spans="1:18" x14ac:dyDescent="0.2">
      <c r="A2816" s="947" t="s">
        <v>180</v>
      </c>
      <c r="B2816" s="947">
        <v>756320</v>
      </c>
      <c r="C2816" s="947" t="s">
        <v>2189</v>
      </c>
      <c r="D2816" s="947" t="s">
        <v>1645</v>
      </c>
      <c r="E2816" s="951">
        <v>127</v>
      </c>
      <c r="F2816" s="951">
        <v>127</v>
      </c>
      <c r="G2816" s="947" t="s">
        <v>3252</v>
      </c>
      <c r="H2816" s="951">
        <v>0</v>
      </c>
      <c r="I2816" s="951">
        <v>0</v>
      </c>
      <c r="J2816" s="947" t="s">
        <v>180</v>
      </c>
      <c r="K2816" s="947">
        <v>756320</v>
      </c>
      <c r="M2816" s="631"/>
      <c r="P2816" s="950" t="str">
        <f>VLOOKUP(J2816,'רשימת רשויות'!A:A,1,0)</f>
        <v>אריאל</v>
      </c>
      <c r="Q2816" s="956">
        <f>IFERROR(VLOOKUP(B2816,[2]מעובד!$D:$K,8,0),0)</f>
        <v>0</v>
      </c>
      <c r="R2816" s="956">
        <f>IFERROR(VLOOKUP(B2816,[2]מעובד!$D:$L,9,0),0)</f>
        <v>0</v>
      </c>
    </row>
    <row r="2817" spans="1:18" x14ac:dyDescent="0.2">
      <c r="A2817" s="947" t="s">
        <v>181</v>
      </c>
      <c r="B2817" s="947">
        <v>756338</v>
      </c>
      <c r="C2817" s="947" t="s">
        <v>2189</v>
      </c>
      <c r="D2817" s="947" t="s">
        <v>3207</v>
      </c>
      <c r="E2817" s="951">
        <v>74</v>
      </c>
      <c r="F2817" s="951">
        <v>0</v>
      </c>
      <c r="G2817" s="947" t="s">
        <v>3252</v>
      </c>
      <c r="H2817" s="951">
        <v>0</v>
      </c>
      <c r="I2817" s="951">
        <v>0</v>
      </c>
      <c r="J2817" s="947" t="s">
        <v>181</v>
      </c>
      <c r="K2817" s="947">
        <v>756338</v>
      </c>
      <c r="M2817" s="631"/>
      <c r="P2817" s="950" t="str">
        <f>VLOOKUP(J2817,'רשימת רשויות'!A:A,1,0)</f>
        <v>אשדוד</v>
      </c>
      <c r="Q2817" s="956">
        <f>IFERROR(VLOOKUP(B2817,[2]מעובד!$D:$K,8,0),0)</f>
        <v>0</v>
      </c>
      <c r="R2817" s="956">
        <f>IFERROR(VLOOKUP(B2817,[2]מעובד!$D:$L,9,0),0)</f>
        <v>0</v>
      </c>
    </row>
    <row r="2818" spans="1:18" x14ac:dyDescent="0.2">
      <c r="A2818" s="947" t="s">
        <v>254</v>
      </c>
      <c r="B2818" s="947">
        <v>756502</v>
      </c>
      <c r="C2818" s="947" t="s">
        <v>2189</v>
      </c>
      <c r="D2818" s="947" t="s">
        <v>1360</v>
      </c>
      <c r="E2818" s="951">
        <v>146</v>
      </c>
      <c r="F2818" s="951">
        <v>137</v>
      </c>
      <c r="G2818" s="947" t="s">
        <v>3252</v>
      </c>
      <c r="H2818" s="951">
        <v>53</v>
      </c>
      <c r="I2818" s="951">
        <v>9</v>
      </c>
      <c r="J2818" s="947" t="s">
        <v>254</v>
      </c>
      <c r="K2818" s="947">
        <v>756502</v>
      </c>
      <c r="M2818" s="631"/>
      <c r="P2818" s="950" t="str">
        <f>VLOOKUP(J2818,'רשימת רשויות'!A:A,1,0)</f>
        <v>טבריה</v>
      </c>
      <c r="Q2818" s="956">
        <f>IFERROR(VLOOKUP(B2818,[2]מעובד!$D:$K,8,0),0)</f>
        <v>0</v>
      </c>
      <c r="R2818" s="956">
        <f>IFERROR(VLOOKUP(B2818,[2]מעובד!$D:$L,9,0),0)</f>
        <v>0</v>
      </c>
    </row>
    <row r="2819" spans="1:18" x14ac:dyDescent="0.2">
      <c r="A2819" s="947" t="s">
        <v>254</v>
      </c>
      <c r="B2819" s="947">
        <v>756510</v>
      </c>
      <c r="C2819" s="947" t="s">
        <v>2189</v>
      </c>
      <c r="D2819" s="947" t="s">
        <v>2165</v>
      </c>
      <c r="E2819" s="951">
        <v>151</v>
      </c>
      <c r="F2819" s="951">
        <v>151</v>
      </c>
      <c r="G2819" s="947" t="s">
        <v>3252</v>
      </c>
      <c r="H2819" s="951">
        <v>0</v>
      </c>
      <c r="I2819" s="951">
        <v>0</v>
      </c>
      <c r="J2819" s="947" t="s">
        <v>254</v>
      </c>
      <c r="K2819" s="947">
        <v>756510</v>
      </c>
      <c r="M2819" s="631"/>
      <c r="P2819" s="950" t="str">
        <f>VLOOKUP(J2819,'רשימת רשויות'!A:A,1,0)</f>
        <v>טבריה</v>
      </c>
      <c r="Q2819" s="956">
        <f>IFERROR(VLOOKUP(B2819,[2]מעובד!$D:$K,8,0),0)</f>
        <v>0</v>
      </c>
      <c r="R2819" s="956">
        <f>IFERROR(VLOOKUP(B2819,[2]מעובד!$D:$L,9,0),0)</f>
        <v>0</v>
      </c>
    </row>
    <row r="2820" spans="1:18" x14ac:dyDescent="0.2">
      <c r="A2820" s="947" t="s">
        <v>389</v>
      </c>
      <c r="B2820" s="947">
        <v>756544</v>
      </c>
      <c r="C2820" s="947" t="s">
        <v>2189</v>
      </c>
      <c r="D2820" s="947" t="s">
        <v>1399</v>
      </c>
      <c r="E2820" s="951">
        <v>75</v>
      </c>
      <c r="F2820" s="951">
        <v>74</v>
      </c>
      <c r="G2820" s="947" t="s">
        <v>3252</v>
      </c>
      <c r="H2820" s="951">
        <v>0</v>
      </c>
      <c r="I2820" s="951">
        <v>0</v>
      </c>
      <c r="J2820" s="947" t="s">
        <v>389</v>
      </c>
      <c r="K2820" s="947">
        <v>756544</v>
      </c>
      <c r="M2820" s="631"/>
      <c r="P2820" s="950" t="str">
        <f>VLOOKUP(J2820,'רשימת רשויות'!A:A,1,0)</f>
        <v>רכסים</v>
      </c>
      <c r="Q2820" s="956">
        <f>IFERROR(VLOOKUP(B2820,[2]מעובד!$D:$K,8,0),0)</f>
        <v>57</v>
      </c>
      <c r="R2820" s="956">
        <f>IFERROR(VLOOKUP(B2820,[2]מעובד!$D:$L,9,0),0)</f>
        <v>56</v>
      </c>
    </row>
    <row r="2821" spans="1:18" x14ac:dyDescent="0.2">
      <c r="A2821" s="947" t="s">
        <v>245</v>
      </c>
      <c r="B2821" s="947">
        <v>756882</v>
      </c>
      <c r="C2821" s="947" t="s">
        <v>2189</v>
      </c>
      <c r="D2821" s="947" t="s">
        <v>3208</v>
      </c>
      <c r="E2821" s="951">
        <v>42</v>
      </c>
      <c r="F2821" s="951">
        <v>0</v>
      </c>
      <c r="G2821" s="947" t="s">
        <v>3252</v>
      </c>
      <c r="H2821" s="951">
        <v>0</v>
      </c>
      <c r="I2821" s="951">
        <v>0</v>
      </c>
      <c r="J2821" s="947" t="s">
        <v>245</v>
      </c>
      <c r="K2821" s="947">
        <v>756882</v>
      </c>
      <c r="M2821" s="631"/>
      <c r="P2821" s="950" t="str">
        <f>VLOOKUP(J2821,'רשימת רשויות'!A:A,1,0)</f>
        <v>חולון</v>
      </c>
      <c r="Q2821" s="956">
        <f>IFERROR(VLOOKUP(B2821,[2]מעובד!$D:$K,8,0),0)</f>
        <v>0</v>
      </c>
      <c r="R2821" s="956">
        <f>IFERROR(VLOOKUP(B2821,[2]מעובד!$D:$L,9,0),0)</f>
        <v>0</v>
      </c>
    </row>
    <row r="2822" spans="1:18" x14ac:dyDescent="0.2">
      <c r="A2822" s="947" t="s">
        <v>270</v>
      </c>
      <c r="B2822" s="947">
        <v>757583</v>
      </c>
      <c r="C2822" s="947" t="s">
        <v>2189</v>
      </c>
      <c r="D2822" s="947" t="s">
        <v>3209</v>
      </c>
      <c r="E2822" s="951">
        <v>173</v>
      </c>
      <c r="F2822" s="951">
        <v>0</v>
      </c>
      <c r="G2822" s="947" t="s">
        <v>3252</v>
      </c>
      <c r="H2822" s="951">
        <v>0</v>
      </c>
      <c r="I2822" s="951">
        <v>0</v>
      </c>
      <c r="J2822" s="947" t="s">
        <v>270</v>
      </c>
      <c r="K2822" s="947">
        <v>757583</v>
      </c>
      <c r="M2822" s="631"/>
      <c r="P2822" s="950" t="str">
        <f>VLOOKUP(J2822,'רשימת רשויות'!A:A,1,0)</f>
        <v>ירושלים</v>
      </c>
      <c r="Q2822" s="956">
        <f>IFERROR(VLOOKUP(B2822,[2]מעובד!$D:$K,8,0),0)</f>
        <v>0</v>
      </c>
      <c r="R2822" s="956">
        <f>IFERROR(VLOOKUP(B2822,[2]מעובד!$D:$L,9,0),0)</f>
        <v>0</v>
      </c>
    </row>
    <row r="2823" spans="1:18" x14ac:dyDescent="0.2">
      <c r="A2823" s="947" t="s">
        <v>270</v>
      </c>
      <c r="B2823" s="947">
        <v>757625</v>
      </c>
      <c r="C2823" s="947" t="s">
        <v>2189</v>
      </c>
      <c r="D2823" s="947" t="s">
        <v>2142</v>
      </c>
      <c r="E2823" s="951">
        <v>66</v>
      </c>
      <c r="F2823" s="951">
        <v>66</v>
      </c>
      <c r="G2823" s="947" t="s">
        <v>3252</v>
      </c>
      <c r="H2823" s="951">
        <v>0</v>
      </c>
      <c r="I2823" s="951">
        <v>0</v>
      </c>
      <c r="J2823" s="947" t="s">
        <v>270</v>
      </c>
      <c r="K2823" s="947">
        <v>757625</v>
      </c>
      <c r="M2823" s="631"/>
      <c r="P2823" s="950" t="str">
        <f>VLOOKUP(J2823,'רשימת רשויות'!A:A,1,0)</f>
        <v>ירושלים</v>
      </c>
      <c r="Q2823" s="956">
        <f>IFERROR(VLOOKUP(B2823,[2]מעובד!$D:$K,8,0),0)</f>
        <v>0</v>
      </c>
      <c r="R2823" s="956">
        <f>IFERROR(VLOOKUP(B2823,[2]מעובד!$D:$L,9,0),0)</f>
        <v>0</v>
      </c>
    </row>
    <row r="2824" spans="1:18" x14ac:dyDescent="0.2">
      <c r="A2824" s="947" t="s">
        <v>270</v>
      </c>
      <c r="B2824" s="947">
        <v>757682</v>
      </c>
      <c r="C2824" s="947" t="s">
        <v>2189</v>
      </c>
      <c r="D2824" s="947" t="s">
        <v>2145</v>
      </c>
      <c r="E2824" s="951">
        <v>91</v>
      </c>
      <c r="F2824" s="951">
        <v>79</v>
      </c>
      <c r="G2824" s="947" t="s">
        <v>3252</v>
      </c>
      <c r="H2824" s="951">
        <v>0</v>
      </c>
      <c r="I2824" s="951">
        <v>0</v>
      </c>
      <c r="J2824" s="947" t="s">
        <v>270</v>
      </c>
      <c r="K2824" s="947">
        <v>757682</v>
      </c>
      <c r="M2824" s="631"/>
      <c r="P2824" s="950" t="str">
        <f>VLOOKUP(J2824,'רשימת רשויות'!A:A,1,0)</f>
        <v>ירושלים</v>
      </c>
      <c r="Q2824" s="956">
        <f>IFERROR(VLOOKUP(B2824,[2]מעובד!$D:$K,8,0),0)</f>
        <v>82</v>
      </c>
      <c r="R2824" s="956">
        <f>IFERROR(VLOOKUP(B2824,[2]מעובד!$D:$L,9,0),0)</f>
        <v>0</v>
      </c>
    </row>
    <row r="2825" spans="1:18" x14ac:dyDescent="0.2">
      <c r="A2825" s="947" t="s">
        <v>270</v>
      </c>
      <c r="B2825" s="947">
        <v>757690</v>
      </c>
      <c r="C2825" s="947" t="s">
        <v>2189</v>
      </c>
      <c r="D2825" s="947" t="s">
        <v>2146</v>
      </c>
      <c r="E2825" s="951">
        <v>65</v>
      </c>
      <c r="F2825" s="951">
        <v>65</v>
      </c>
      <c r="G2825" s="947" t="s">
        <v>3252</v>
      </c>
      <c r="H2825" s="951">
        <v>0</v>
      </c>
      <c r="I2825" s="951">
        <v>0</v>
      </c>
      <c r="J2825" s="947" t="s">
        <v>270</v>
      </c>
      <c r="K2825" s="947">
        <v>757690</v>
      </c>
      <c r="M2825" s="631"/>
      <c r="P2825" s="950" t="str">
        <f>VLOOKUP(J2825,'רשימת רשויות'!A:A,1,0)</f>
        <v>ירושלים</v>
      </c>
      <c r="Q2825" s="956">
        <f>IFERROR(VLOOKUP(B2825,[2]מעובד!$D:$K,8,0),0)</f>
        <v>0</v>
      </c>
      <c r="R2825" s="956">
        <f>IFERROR(VLOOKUP(B2825,[2]מעובד!$D:$L,9,0),0)</f>
        <v>0</v>
      </c>
    </row>
    <row r="2826" spans="1:18" x14ac:dyDescent="0.2">
      <c r="A2826" s="947" t="s">
        <v>270</v>
      </c>
      <c r="B2826" s="947">
        <v>757815</v>
      </c>
      <c r="C2826" s="947" t="s">
        <v>2189</v>
      </c>
      <c r="D2826" s="947" t="s">
        <v>1293</v>
      </c>
      <c r="E2826" s="951">
        <v>102</v>
      </c>
      <c r="F2826" s="951">
        <v>102</v>
      </c>
      <c r="G2826" s="947" t="s">
        <v>3252</v>
      </c>
      <c r="H2826" s="951">
        <v>0</v>
      </c>
      <c r="I2826" s="951">
        <v>0</v>
      </c>
      <c r="J2826" s="947" t="s">
        <v>270</v>
      </c>
      <c r="K2826" s="947">
        <v>757815</v>
      </c>
      <c r="M2826" s="631"/>
      <c r="P2826" s="950" t="str">
        <f>VLOOKUP(J2826,'רשימת רשויות'!A:A,1,0)</f>
        <v>ירושלים</v>
      </c>
      <c r="Q2826" s="956">
        <f>IFERROR(VLOOKUP(B2826,[2]מעובד!$D:$K,8,0),0)</f>
        <v>94</v>
      </c>
      <c r="R2826" s="956">
        <f>IFERROR(VLOOKUP(B2826,[2]מעובד!$D:$L,9,0),0)</f>
        <v>94</v>
      </c>
    </row>
    <row r="2827" spans="1:18" x14ac:dyDescent="0.2">
      <c r="A2827" s="947" t="s">
        <v>270</v>
      </c>
      <c r="B2827" s="947">
        <v>758227</v>
      </c>
      <c r="C2827" s="947" t="s">
        <v>2189</v>
      </c>
      <c r="D2827" s="947" t="s">
        <v>3210</v>
      </c>
      <c r="E2827" s="951">
        <v>161</v>
      </c>
      <c r="F2827" s="951">
        <v>0</v>
      </c>
      <c r="G2827" s="947" t="s">
        <v>3252</v>
      </c>
      <c r="H2827" s="951">
        <v>0</v>
      </c>
      <c r="I2827" s="951">
        <v>0</v>
      </c>
      <c r="J2827" s="947" t="s">
        <v>270</v>
      </c>
      <c r="K2827" s="947">
        <v>758227</v>
      </c>
      <c r="M2827" s="631"/>
      <c r="P2827" s="950" t="str">
        <f>VLOOKUP(J2827,'רשימת רשויות'!A:A,1,0)</f>
        <v>ירושלים</v>
      </c>
      <c r="Q2827" s="956">
        <f>IFERROR(VLOOKUP(B2827,[2]מעובד!$D:$K,8,0),0)</f>
        <v>0</v>
      </c>
      <c r="R2827" s="956">
        <f>IFERROR(VLOOKUP(B2827,[2]מעובד!$D:$L,9,0),0)</f>
        <v>0</v>
      </c>
    </row>
    <row r="2828" spans="1:18" x14ac:dyDescent="0.2">
      <c r="A2828" s="947" t="s">
        <v>247</v>
      </c>
      <c r="B2828" s="947">
        <v>758326</v>
      </c>
      <c r="C2828" s="947" t="s">
        <v>2189</v>
      </c>
      <c r="D2828" s="947" t="s">
        <v>3211</v>
      </c>
      <c r="E2828" s="951">
        <v>78</v>
      </c>
      <c r="F2828" s="951">
        <v>52</v>
      </c>
      <c r="G2828" s="947" t="s">
        <v>3252</v>
      </c>
      <c r="H2828" s="951">
        <v>0</v>
      </c>
      <c r="I2828" s="951">
        <v>0</v>
      </c>
      <c r="J2828" s="947" t="s">
        <v>247</v>
      </c>
      <c r="K2828" s="947">
        <v>758326</v>
      </c>
      <c r="M2828" s="631"/>
      <c r="P2828" s="950" t="str">
        <f>VLOOKUP(J2828,'רשימת רשויות'!A:A,1,0)</f>
        <v>חוף הכרמל</v>
      </c>
      <c r="Q2828" s="956">
        <f>IFERROR(VLOOKUP(B2828,[2]מעובד!$D:$K,8,0),0)</f>
        <v>0</v>
      </c>
      <c r="R2828" s="956">
        <f>IFERROR(VLOOKUP(B2828,[2]מעובד!$D:$L,9,0),0)</f>
        <v>0</v>
      </c>
    </row>
    <row r="2829" spans="1:18" x14ac:dyDescent="0.2">
      <c r="A2829" s="947" t="s">
        <v>284</v>
      </c>
      <c r="B2829" s="947">
        <v>758995</v>
      </c>
      <c r="C2829" s="947" t="s">
        <v>2189</v>
      </c>
      <c r="D2829" s="947" t="s">
        <v>2178</v>
      </c>
      <c r="E2829" s="951">
        <v>73</v>
      </c>
      <c r="F2829" s="951">
        <v>54</v>
      </c>
      <c r="G2829" s="947" t="s">
        <v>3252</v>
      </c>
      <c r="H2829" s="951">
        <v>0</v>
      </c>
      <c r="I2829" s="951">
        <v>0</v>
      </c>
      <c r="J2829" s="947" t="s">
        <v>284</v>
      </c>
      <c r="K2829" s="947">
        <v>758995</v>
      </c>
      <c r="M2829" s="632"/>
      <c r="P2829" s="950" t="str">
        <f>VLOOKUP(J2829,'רשימת רשויות'!A:A,1,0)</f>
        <v>כפר סבא</v>
      </c>
      <c r="Q2829" s="956">
        <f>IFERROR(VLOOKUP(B2829,[2]מעובד!$D:$K,8,0),0)</f>
        <v>71</v>
      </c>
      <c r="R2829" s="956">
        <f>IFERROR(VLOOKUP(B2829,[2]מעובד!$D:$L,9,0),0)</f>
        <v>50</v>
      </c>
    </row>
    <row r="2830" spans="1:18" x14ac:dyDescent="0.2">
      <c r="A2830" s="947" t="s">
        <v>379</v>
      </c>
      <c r="B2830" s="947">
        <v>759001</v>
      </c>
      <c r="C2830" s="947" t="s">
        <v>2189</v>
      </c>
      <c r="D2830" s="947" t="s">
        <v>2161</v>
      </c>
      <c r="E2830" s="951">
        <v>46</v>
      </c>
      <c r="F2830" s="951">
        <v>0</v>
      </c>
      <c r="G2830" s="947" t="s">
        <v>3252</v>
      </c>
      <c r="H2830" s="951">
        <v>0</v>
      </c>
      <c r="I2830" s="951">
        <v>0</v>
      </c>
      <c r="J2830" s="947" t="s">
        <v>379</v>
      </c>
      <c r="K2830" s="947">
        <v>759001</v>
      </c>
      <c r="M2830" s="632"/>
      <c r="P2830" s="950" t="str">
        <f>VLOOKUP(J2830,'רשימת רשויות'!A:A,1,0)</f>
        <v>קרית עקרון</v>
      </c>
      <c r="Q2830" s="956">
        <f>IFERROR(VLOOKUP(B2830,[2]מעובד!$D:$K,8,0),0)</f>
        <v>0</v>
      </c>
      <c r="R2830" s="956">
        <f>IFERROR(VLOOKUP(B2830,[2]מעובד!$D:$L,9,0),0)</f>
        <v>0</v>
      </c>
    </row>
    <row r="2831" spans="1:18" x14ac:dyDescent="0.2">
      <c r="A2831" s="947" t="s">
        <v>196</v>
      </c>
      <c r="B2831" s="947">
        <v>759050</v>
      </c>
      <c r="C2831" s="947" t="s">
        <v>2189</v>
      </c>
      <c r="D2831" s="947" t="s">
        <v>2135</v>
      </c>
      <c r="E2831" s="951">
        <v>158</v>
      </c>
      <c r="F2831" s="951">
        <v>149</v>
      </c>
      <c r="G2831" s="947" t="s">
        <v>159</v>
      </c>
      <c r="H2831" s="951">
        <v>52</v>
      </c>
      <c r="I2831" s="951">
        <v>8</v>
      </c>
      <c r="J2831" s="947" t="s">
        <v>196</v>
      </c>
      <c r="K2831" s="947">
        <v>759050</v>
      </c>
      <c r="M2831" s="632"/>
      <c r="P2831" s="950" t="str">
        <f>VLOOKUP(J2831,'רשימת רשויות'!A:A,1,0)</f>
        <v>בית שמש</v>
      </c>
      <c r="Q2831" s="956">
        <f>IFERROR(VLOOKUP(B2831,[2]מעובד!$D:$K,8,0),0)</f>
        <v>0</v>
      </c>
      <c r="R2831" s="956">
        <f>IFERROR(VLOOKUP(B2831,[2]מעובד!$D:$L,9,0),0)</f>
        <v>0</v>
      </c>
    </row>
    <row r="2832" spans="1:18" x14ac:dyDescent="0.2">
      <c r="A2832" s="947" t="s">
        <v>336</v>
      </c>
      <c r="B2832" s="947">
        <v>759092</v>
      </c>
      <c r="C2832" s="947" t="s">
        <v>2189</v>
      </c>
      <c r="D2832" s="947" t="s">
        <v>2136</v>
      </c>
      <c r="E2832" s="951">
        <v>195</v>
      </c>
      <c r="F2832" s="951">
        <v>194</v>
      </c>
      <c r="G2832" s="947" t="s">
        <v>3252</v>
      </c>
      <c r="H2832" s="951">
        <v>0</v>
      </c>
      <c r="I2832" s="951">
        <v>0</v>
      </c>
      <c r="J2832" s="947" t="s">
        <v>336</v>
      </c>
      <c r="K2832" s="947">
        <v>759092</v>
      </c>
      <c r="M2832" s="632"/>
      <c r="P2832" s="950" t="str">
        <f>VLOOKUP(J2832,'רשימת רשויות'!A:A,1,0)</f>
        <v>נתניה</v>
      </c>
      <c r="Q2832" s="956">
        <f>IFERROR(VLOOKUP(B2832,[2]מעובד!$D:$K,8,0),0)</f>
        <v>203</v>
      </c>
      <c r="R2832" s="956">
        <f>IFERROR(VLOOKUP(B2832,[2]מעובד!$D:$L,9,0),0)</f>
        <v>180</v>
      </c>
    </row>
    <row r="2833" spans="1:18" x14ac:dyDescent="0.2">
      <c r="A2833" s="947" t="s">
        <v>336</v>
      </c>
      <c r="B2833" s="947">
        <v>759100</v>
      </c>
      <c r="C2833" s="947" t="s">
        <v>2189</v>
      </c>
      <c r="D2833" s="947" t="s">
        <v>3212</v>
      </c>
      <c r="E2833" s="951">
        <v>211</v>
      </c>
      <c r="F2833" s="951">
        <v>0</v>
      </c>
      <c r="G2833" s="947" t="s">
        <v>3252</v>
      </c>
      <c r="H2833" s="951">
        <v>0</v>
      </c>
      <c r="I2833" s="951">
        <v>0</v>
      </c>
      <c r="J2833" s="947" t="s">
        <v>336</v>
      </c>
      <c r="K2833" s="947">
        <v>759100</v>
      </c>
      <c r="M2833" s="632"/>
      <c r="P2833" s="950" t="str">
        <f>VLOOKUP(J2833,'רשימת רשויות'!A:A,1,0)</f>
        <v>נתניה</v>
      </c>
      <c r="Q2833" s="956">
        <f>IFERROR(VLOOKUP(B2833,[2]מעובד!$D:$K,8,0),0)</f>
        <v>0</v>
      </c>
      <c r="R2833" s="956">
        <f>IFERROR(VLOOKUP(B2833,[2]מעובד!$D:$L,9,0),0)</f>
        <v>0</v>
      </c>
    </row>
    <row r="2834" spans="1:18" x14ac:dyDescent="0.2">
      <c r="A2834" s="950" t="s">
        <v>219</v>
      </c>
      <c r="B2834" s="950">
        <v>759134</v>
      </c>
      <c r="C2834" s="950" t="s">
        <v>2189</v>
      </c>
      <c r="D2834" s="950" t="s">
        <v>3213</v>
      </c>
      <c r="E2834" s="950">
        <v>44</v>
      </c>
      <c r="F2834" s="950">
        <v>0</v>
      </c>
      <c r="G2834" s="950" t="s">
        <v>3252</v>
      </c>
      <c r="H2834" s="950">
        <v>0</v>
      </c>
      <c r="I2834" s="950">
        <v>0</v>
      </c>
      <c r="J2834" s="950" t="s">
        <v>219</v>
      </c>
      <c r="K2834" s="950">
        <v>759134</v>
      </c>
      <c r="P2834" s="950" t="str">
        <f>VLOOKUP(J2834,'רשימת רשויות'!A:A,1,0)</f>
        <v>גוש עציון</v>
      </c>
      <c r="Q2834" s="956">
        <f>IFERROR(VLOOKUP(B2834,[2]מעובד!$D:$K,8,0),0)</f>
        <v>0</v>
      </c>
      <c r="R2834" s="956">
        <f>IFERROR(VLOOKUP(B2834,[2]מעובד!$D:$L,9,0),0)</f>
        <v>0</v>
      </c>
    </row>
    <row r="2835" spans="1:18" x14ac:dyDescent="0.2">
      <c r="A2835" s="950" t="s">
        <v>197</v>
      </c>
      <c r="B2835" s="950">
        <v>759191</v>
      </c>
      <c r="C2835" s="950" t="s">
        <v>2189</v>
      </c>
      <c r="D2835" s="950" t="s">
        <v>2139</v>
      </c>
      <c r="E2835" s="950">
        <v>43</v>
      </c>
      <c r="F2835" s="950">
        <v>43</v>
      </c>
      <c r="G2835" s="950" t="s">
        <v>3252</v>
      </c>
      <c r="H2835" s="950">
        <v>0</v>
      </c>
      <c r="I2835" s="950">
        <v>0</v>
      </c>
      <c r="J2835" s="950" t="s">
        <v>197</v>
      </c>
      <c r="K2835" s="950">
        <v>759191</v>
      </c>
      <c r="P2835" s="950" t="str">
        <f>VLOOKUP(J2835,'רשימת רשויות'!A:A,1,0)</f>
        <v>ביתר עילית</v>
      </c>
      <c r="Q2835" s="956">
        <f>IFERROR(VLOOKUP(B2835,[2]מעובד!$D:$K,8,0),0)</f>
        <v>0</v>
      </c>
      <c r="R2835" s="956">
        <f>IFERROR(VLOOKUP(B2835,[2]מעובד!$D:$L,9,0),0)</f>
        <v>0</v>
      </c>
    </row>
    <row r="2836" spans="1:18" x14ac:dyDescent="0.2">
      <c r="A2836" s="950" t="s">
        <v>353</v>
      </c>
      <c r="B2836" s="950">
        <v>759316</v>
      </c>
      <c r="C2836" s="950" t="s">
        <v>2189</v>
      </c>
      <c r="D2836" s="950" t="s">
        <v>2143</v>
      </c>
      <c r="E2836" s="950">
        <v>141</v>
      </c>
      <c r="F2836" s="950">
        <v>135</v>
      </c>
      <c r="G2836" s="950" t="s">
        <v>3252</v>
      </c>
      <c r="H2836" s="950">
        <v>0</v>
      </c>
      <c r="I2836" s="950">
        <v>0</v>
      </c>
      <c r="J2836" s="950" t="s">
        <v>353</v>
      </c>
      <c r="K2836" s="950">
        <v>759316</v>
      </c>
      <c r="P2836" s="950" t="str">
        <f>VLOOKUP(J2836,'רשימת רשויות'!A:A,1,0)</f>
        <v>עפולה</v>
      </c>
      <c r="Q2836" s="956">
        <f>IFERROR(VLOOKUP(B2836,[2]מעובד!$D:$K,8,0),0)</f>
        <v>0</v>
      </c>
      <c r="R2836" s="956">
        <f>IFERROR(VLOOKUP(B2836,[2]מעובד!$D:$L,9,0),0)</f>
        <v>0</v>
      </c>
    </row>
    <row r="2837" spans="1:18" x14ac:dyDescent="0.2">
      <c r="A2837" s="950" t="s">
        <v>392</v>
      </c>
      <c r="B2837" s="950">
        <v>759555</v>
      </c>
      <c r="C2837" s="950" t="s">
        <v>2189</v>
      </c>
      <c r="D2837" s="950" t="s">
        <v>2119</v>
      </c>
      <c r="E2837" s="950">
        <v>52</v>
      </c>
      <c r="F2837" s="950">
        <v>48</v>
      </c>
      <c r="G2837" s="950" t="s">
        <v>3252</v>
      </c>
      <c r="H2837" s="950">
        <v>0</v>
      </c>
      <c r="I2837" s="950">
        <v>0</v>
      </c>
      <c r="J2837" s="950" t="s">
        <v>392</v>
      </c>
      <c r="K2837" s="950">
        <v>759555</v>
      </c>
      <c r="P2837" s="950" t="str">
        <f>VLOOKUP(J2837,'רשימת רשויות'!A:A,1,0)</f>
        <v>רמת השרון</v>
      </c>
      <c r="Q2837" s="956">
        <f>IFERROR(VLOOKUP(B2837,[2]מעובד!$D:$K,8,0),0)</f>
        <v>0</v>
      </c>
      <c r="R2837" s="956">
        <f>IFERROR(VLOOKUP(B2837,[2]מעובד!$D:$L,9,0),0)</f>
        <v>26</v>
      </c>
    </row>
    <row r="2838" spans="1:18" x14ac:dyDescent="0.2">
      <c r="A2838" s="950" t="s">
        <v>400</v>
      </c>
      <c r="B2838" s="950">
        <v>759704</v>
      </c>
      <c r="C2838" s="950" t="s">
        <v>2189</v>
      </c>
      <c r="D2838" s="950" t="s">
        <v>2128</v>
      </c>
      <c r="E2838" s="950">
        <v>134</v>
      </c>
      <c r="F2838" s="950">
        <v>134</v>
      </c>
      <c r="G2838" s="950" t="s">
        <v>3252</v>
      </c>
      <c r="H2838" s="950">
        <v>0</v>
      </c>
      <c r="I2838" s="950">
        <v>0</v>
      </c>
      <c r="J2838" s="950" t="s">
        <v>400</v>
      </c>
      <c r="K2838" s="950">
        <v>759704</v>
      </c>
      <c r="P2838" s="950" t="str">
        <f>VLOOKUP(J2838,'רשימת רשויות'!A:A,1,0)</f>
        <v>שדרות</v>
      </c>
      <c r="Q2838" s="956">
        <f>IFERROR(VLOOKUP(B2838,[2]מעובד!$D:$K,8,0),0)</f>
        <v>0</v>
      </c>
      <c r="R2838" s="956">
        <f>IFERROR(VLOOKUP(B2838,[2]מעובד!$D:$L,9,0),0)</f>
        <v>0</v>
      </c>
    </row>
    <row r="2839" spans="1:18" x14ac:dyDescent="0.2">
      <c r="A2839" s="950" t="s">
        <v>353</v>
      </c>
      <c r="B2839" s="950">
        <v>760041</v>
      </c>
      <c r="C2839" s="950" t="s">
        <v>2189</v>
      </c>
      <c r="D2839" s="950" t="s">
        <v>2137</v>
      </c>
      <c r="E2839" s="950">
        <v>79</v>
      </c>
      <c r="F2839" s="950">
        <v>79</v>
      </c>
      <c r="G2839" s="950" t="s">
        <v>3252</v>
      </c>
      <c r="H2839" s="950">
        <v>0</v>
      </c>
      <c r="I2839" s="950">
        <v>0</v>
      </c>
      <c r="J2839" s="950" t="s">
        <v>353</v>
      </c>
      <c r="K2839" s="950">
        <v>760041</v>
      </c>
      <c r="P2839" s="950" t="str">
        <f>VLOOKUP(J2839,'רשימת רשויות'!A:A,1,0)</f>
        <v>עפולה</v>
      </c>
      <c r="Q2839" s="956">
        <f>IFERROR(VLOOKUP(B2839,[2]מעובד!$D:$K,8,0),0)</f>
        <v>71</v>
      </c>
      <c r="R2839" s="956">
        <f>IFERROR(VLOOKUP(B2839,[2]מעובד!$D:$L,9,0),0)</f>
        <v>74</v>
      </c>
    </row>
    <row r="2840" spans="1:18" x14ac:dyDescent="0.2">
      <c r="A2840" s="950" t="s">
        <v>270</v>
      </c>
      <c r="B2840" s="950">
        <v>760710</v>
      </c>
      <c r="C2840" s="950" t="s">
        <v>2189</v>
      </c>
      <c r="D2840" s="950" t="s">
        <v>3214</v>
      </c>
      <c r="E2840" s="950">
        <v>71</v>
      </c>
      <c r="F2840" s="950">
        <v>70</v>
      </c>
      <c r="G2840" s="950" t="s">
        <v>3252</v>
      </c>
      <c r="H2840" s="950">
        <v>0</v>
      </c>
      <c r="I2840" s="950">
        <v>0</v>
      </c>
      <c r="J2840" s="950" t="s">
        <v>270</v>
      </c>
      <c r="K2840" s="950">
        <v>760710</v>
      </c>
      <c r="P2840" s="950" t="str">
        <f>VLOOKUP(J2840,'רשימת רשויות'!A:A,1,0)</f>
        <v>ירושלים</v>
      </c>
      <c r="Q2840" s="956">
        <f>IFERROR(VLOOKUP(B2840,[2]מעובד!$D:$K,8,0),0)</f>
        <v>60</v>
      </c>
      <c r="R2840" s="956">
        <f>IFERROR(VLOOKUP(B2840,[2]מעובד!$D:$L,9,0),0)</f>
        <v>60</v>
      </c>
    </row>
    <row r="2841" spans="1:18" x14ac:dyDescent="0.2">
      <c r="A2841" s="950" t="s">
        <v>270</v>
      </c>
      <c r="B2841" s="950">
        <v>761015</v>
      </c>
      <c r="C2841" s="950" t="s">
        <v>2189</v>
      </c>
      <c r="D2841" s="950" t="s">
        <v>2739</v>
      </c>
      <c r="E2841" s="950">
        <v>120</v>
      </c>
      <c r="F2841" s="950">
        <v>120</v>
      </c>
      <c r="G2841" s="950" t="s">
        <v>159</v>
      </c>
      <c r="H2841" s="950">
        <v>0</v>
      </c>
      <c r="I2841" s="950">
        <v>0</v>
      </c>
      <c r="J2841" s="950" t="s">
        <v>270</v>
      </c>
      <c r="K2841" s="950">
        <v>761015</v>
      </c>
      <c r="P2841" s="950" t="str">
        <f>VLOOKUP(J2841,'רשימת רשויות'!A:A,1,0)</f>
        <v>ירושלים</v>
      </c>
      <c r="Q2841" s="956">
        <f>IFERROR(VLOOKUP(B2841,[2]מעובד!$D:$K,8,0),0)</f>
        <v>46</v>
      </c>
      <c r="R2841" s="956">
        <f>IFERROR(VLOOKUP(B2841,[2]מעובד!$D:$L,9,0),0)</f>
        <v>46</v>
      </c>
    </row>
    <row r="2842" spans="1:18" x14ac:dyDescent="0.2">
      <c r="A2842" s="950" t="s">
        <v>270</v>
      </c>
      <c r="B2842" s="950">
        <v>761221</v>
      </c>
      <c r="C2842" s="950" t="s">
        <v>2189</v>
      </c>
      <c r="D2842" s="950" t="s">
        <v>2131</v>
      </c>
      <c r="E2842" s="950">
        <v>134</v>
      </c>
      <c r="F2842" s="950">
        <v>134</v>
      </c>
      <c r="G2842" s="950" t="s">
        <v>3252</v>
      </c>
      <c r="H2842" s="950">
        <v>0</v>
      </c>
      <c r="I2842" s="950">
        <v>0</v>
      </c>
      <c r="J2842" s="950" t="s">
        <v>270</v>
      </c>
      <c r="K2842" s="950">
        <v>761221</v>
      </c>
      <c r="P2842" s="950" t="str">
        <f>VLOOKUP(J2842,'רשימת רשויות'!A:A,1,0)</f>
        <v>ירושלים</v>
      </c>
      <c r="Q2842" s="956">
        <f>IFERROR(VLOOKUP(B2842,[2]מעובד!$D:$K,8,0),0)</f>
        <v>0</v>
      </c>
      <c r="R2842" s="956">
        <f>IFERROR(VLOOKUP(B2842,[2]מעובד!$D:$L,9,0),0)</f>
        <v>0</v>
      </c>
    </row>
    <row r="2843" spans="1:18" x14ac:dyDescent="0.2">
      <c r="A2843" s="950" t="s">
        <v>270</v>
      </c>
      <c r="B2843" s="950">
        <v>761312</v>
      </c>
      <c r="C2843" s="950" t="s">
        <v>2189</v>
      </c>
      <c r="D2843" s="950" t="s">
        <v>2258</v>
      </c>
      <c r="E2843" s="950">
        <v>128</v>
      </c>
      <c r="F2843" s="950">
        <v>128</v>
      </c>
      <c r="G2843" s="950" t="s">
        <v>3252</v>
      </c>
      <c r="H2843" s="950">
        <v>0</v>
      </c>
      <c r="I2843" s="950">
        <v>0</v>
      </c>
      <c r="J2843" s="950" t="s">
        <v>270</v>
      </c>
      <c r="K2843" s="950">
        <v>761312</v>
      </c>
      <c r="P2843" s="950" t="str">
        <f>VLOOKUP(J2843,'רשימת רשויות'!A:A,1,0)</f>
        <v>ירושלים</v>
      </c>
      <c r="Q2843" s="956">
        <f>IFERROR(VLOOKUP(B2843,[2]מעובד!$D:$K,8,0),0)</f>
        <v>0</v>
      </c>
      <c r="R2843" s="956">
        <f>IFERROR(VLOOKUP(B2843,[2]מעובד!$D:$L,9,0),0)</f>
        <v>0</v>
      </c>
    </row>
    <row r="2844" spans="1:18" x14ac:dyDescent="0.2">
      <c r="A2844" s="950" t="s">
        <v>270</v>
      </c>
      <c r="B2844" s="950">
        <v>762419</v>
      </c>
      <c r="C2844" s="950" t="s">
        <v>2189</v>
      </c>
      <c r="D2844" s="950" t="s">
        <v>3215</v>
      </c>
      <c r="E2844" s="950">
        <v>97</v>
      </c>
      <c r="F2844" s="950">
        <v>0</v>
      </c>
      <c r="G2844" s="950" t="s">
        <v>3252</v>
      </c>
      <c r="H2844" s="950">
        <v>0</v>
      </c>
      <c r="I2844" s="950">
        <v>0</v>
      </c>
      <c r="J2844" s="950" t="s">
        <v>270</v>
      </c>
      <c r="K2844" s="950">
        <v>762419</v>
      </c>
      <c r="P2844" s="950" t="str">
        <f>VLOOKUP(J2844,'רשימת רשויות'!A:A,1,0)</f>
        <v>ירושלים</v>
      </c>
      <c r="Q2844" s="956">
        <f>IFERROR(VLOOKUP(B2844,[2]מעובד!$D:$K,8,0),0)</f>
        <v>0</v>
      </c>
      <c r="R2844" s="956">
        <f>IFERROR(VLOOKUP(B2844,[2]מעובד!$D:$L,9,0),0)</f>
        <v>0</v>
      </c>
    </row>
    <row r="2845" spans="1:18" x14ac:dyDescent="0.2">
      <c r="A2845" s="950" t="s">
        <v>254</v>
      </c>
      <c r="B2845" s="950">
        <v>765719</v>
      </c>
      <c r="C2845" s="950" t="s">
        <v>2189</v>
      </c>
      <c r="D2845" s="950" t="s">
        <v>2744</v>
      </c>
      <c r="E2845" s="950">
        <v>123</v>
      </c>
      <c r="F2845" s="950">
        <v>121</v>
      </c>
      <c r="G2845" s="950" t="s">
        <v>3252</v>
      </c>
      <c r="H2845" s="950">
        <v>0</v>
      </c>
      <c r="I2845" s="950">
        <v>0</v>
      </c>
      <c r="J2845" s="950" t="s">
        <v>254</v>
      </c>
      <c r="K2845" s="950">
        <v>765719</v>
      </c>
      <c r="P2845" s="950" t="str">
        <f>VLOOKUP(J2845,'רשימת רשויות'!A:A,1,0)</f>
        <v>טבריה</v>
      </c>
      <c r="Q2845" s="956">
        <f>IFERROR(VLOOKUP(B2845,[2]מעובד!$D:$K,8,0),0)</f>
        <v>0</v>
      </c>
      <c r="R2845" s="956">
        <f>IFERROR(VLOOKUP(B2845,[2]מעובד!$D:$L,9,0),0)</f>
        <v>0</v>
      </c>
    </row>
    <row r="2846" spans="1:18" x14ac:dyDescent="0.2">
      <c r="A2846" s="950" t="s">
        <v>253</v>
      </c>
      <c r="B2846" s="950">
        <v>766352</v>
      </c>
      <c r="C2846" s="950" t="s">
        <v>2189</v>
      </c>
      <c r="D2846" s="950" t="s">
        <v>3216</v>
      </c>
      <c r="E2846" s="950">
        <v>102</v>
      </c>
      <c r="F2846" s="950">
        <v>0</v>
      </c>
      <c r="G2846" s="950" t="s">
        <v>3252</v>
      </c>
      <c r="H2846" s="950">
        <v>0</v>
      </c>
      <c r="I2846" s="950">
        <v>0</v>
      </c>
      <c r="J2846" s="950" t="s">
        <v>253</v>
      </c>
      <c r="K2846" s="950">
        <v>766352</v>
      </c>
      <c r="P2846" s="950" t="str">
        <f>VLOOKUP(J2846,'רשימת רשויות'!A:A,1,0)</f>
        <v>חריש</v>
      </c>
      <c r="Q2846" s="956">
        <f>IFERROR(VLOOKUP(B2846,[2]מעובד!$D:$K,8,0),0)</f>
        <v>0</v>
      </c>
      <c r="R2846" s="956">
        <f>IFERROR(VLOOKUP(B2846,[2]מעובד!$D:$L,9,0),0)</f>
        <v>0</v>
      </c>
    </row>
    <row r="2847" spans="1:18" x14ac:dyDescent="0.2">
      <c r="A2847" s="950" t="s">
        <v>254</v>
      </c>
      <c r="B2847" s="950">
        <v>767129</v>
      </c>
      <c r="C2847" s="950" t="s">
        <v>2189</v>
      </c>
      <c r="D2847" s="950" t="s">
        <v>2745</v>
      </c>
      <c r="E2847" s="950">
        <v>102</v>
      </c>
      <c r="F2847" s="950">
        <v>102</v>
      </c>
      <c r="G2847" s="950" t="s">
        <v>3252</v>
      </c>
      <c r="H2847" s="950">
        <v>0</v>
      </c>
      <c r="I2847" s="950">
        <v>0</v>
      </c>
      <c r="J2847" s="950" t="s">
        <v>254</v>
      </c>
      <c r="K2847" s="950">
        <v>767129</v>
      </c>
      <c r="P2847" s="950" t="str">
        <f>VLOOKUP(J2847,'רשימת רשויות'!A:A,1,0)</f>
        <v>טבריה</v>
      </c>
      <c r="Q2847" s="956">
        <f>IFERROR(VLOOKUP(B2847,[2]מעובד!$D:$K,8,0),0)</f>
        <v>0</v>
      </c>
      <c r="R2847" s="956">
        <f>IFERROR(VLOOKUP(B2847,[2]מעובד!$D:$L,9,0),0)</f>
        <v>0</v>
      </c>
    </row>
    <row r="2848" spans="1:18" x14ac:dyDescent="0.2">
      <c r="A2848" s="950" t="s">
        <v>198</v>
      </c>
      <c r="B2848" s="950">
        <v>767269</v>
      </c>
      <c r="C2848" s="950" t="s">
        <v>2189</v>
      </c>
      <c r="D2848" s="950" t="s">
        <v>2636</v>
      </c>
      <c r="E2848" s="950">
        <v>428</v>
      </c>
      <c r="F2848" s="950">
        <v>428</v>
      </c>
      <c r="G2848" s="950" t="s">
        <v>3252</v>
      </c>
      <c r="H2848" s="950">
        <v>0</v>
      </c>
      <c r="I2848" s="950">
        <v>0</v>
      </c>
      <c r="J2848" s="950" t="s">
        <v>198</v>
      </c>
      <c r="K2848" s="950">
        <v>767269</v>
      </c>
      <c r="P2848" s="950" t="str">
        <f>VLOOKUP(J2848,'רשימת רשויות'!A:A,1,0)</f>
        <v>בני ברק</v>
      </c>
      <c r="Q2848" s="956">
        <f>IFERROR(VLOOKUP(B2848,[2]מעובד!$D:$K,8,0),0)</f>
        <v>0</v>
      </c>
      <c r="R2848" s="956">
        <f>IFERROR(VLOOKUP(B2848,[2]מעובד!$D:$L,9,0),0)</f>
        <v>0</v>
      </c>
    </row>
    <row r="2849" spans="1:18" x14ac:dyDescent="0.2">
      <c r="A2849" s="950" t="s">
        <v>399</v>
      </c>
      <c r="B2849" s="950">
        <v>768622</v>
      </c>
      <c r="C2849" s="950" t="s">
        <v>2189</v>
      </c>
      <c r="D2849" s="950" t="s">
        <v>3217</v>
      </c>
      <c r="E2849" s="950">
        <v>102</v>
      </c>
      <c r="F2849" s="950">
        <v>61</v>
      </c>
      <c r="G2849" s="950" t="s">
        <v>3252</v>
      </c>
      <c r="H2849" s="950">
        <v>0</v>
      </c>
      <c r="I2849" s="950">
        <v>0</v>
      </c>
      <c r="J2849" s="950" t="s">
        <v>399</v>
      </c>
      <c r="K2849" s="950">
        <v>768622</v>
      </c>
      <c r="P2849" s="950" t="str">
        <f>VLOOKUP(J2849,'רשימת רשויות'!A:A,1,0)</f>
        <v>שדות נגב עזתה</v>
      </c>
      <c r="Q2849" s="956">
        <f>IFERROR(VLOOKUP(B2849,[2]מעובד!$D:$K,8,0),0)</f>
        <v>0</v>
      </c>
      <c r="R2849" s="956">
        <f>IFERROR(VLOOKUP(B2849,[2]מעובד!$D:$L,9,0),0)</f>
        <v>0</v>
      </c>
    </row>
    <row r="2850" spans="1:18" x14ac:dyDescent="0.2">
      <c r="A2850" s="950" t="s">
        <v>392</v>
      </c>
      <c r="B2850" s="950">
        <v>769554</v>
      </c>
      <c r="C2850" s="950" t="s">
        <v>2189</v>
      </c>
      <c r="D2850" s="950" t="s">
        <v>3218</v>
      </c>
      <c r="E2850" s="950">
        <v>97</v>
      </c>
      <c r="F2850" s="950">
        <v>0</v>
      </c>
      <c r="G2850" s="950" t="s">
        <v>3252</v>
      </c>
      <c r="H2850" s="950">
        <v>0</v>
      </c>
      <c r="I2850" s="950">
        <v>0</v>
      </c>
      <c r="J2850" s="950" t="s">
        <v>392</v>
      </c>
      <c r="K2850" s="950">
        <v>769554</v>
      </c>
      <c r="P2850" s="950" t="str">
        <f>VLOOKUP(J2850,'רשימת רשויות'!A:A,1,0)</f>
        <v>רמת השרון</v>
      </c>
      <c r="Q2850" s="956">
        <f>IFERROR(VLOOKUP(B2850,[2]מעובד!$D:$K,8,0),0)</f>
        <v>0</v>
      </c>
      <c r="R2850" s="956">
        <f>IFERROR(VLOOKUP(B2850,[2]מעובד!$D:$L,9,0),0)</f>
        <v>0</v>
      </c>
    </row>
    <row r="2851" spans="1:18" x14ac:dyDescent="0.2">
      <c r="A2851" s="950" t="s">
        <v>270</v>
      </c>
      <c r="B2851" s="950">
        <v>769661</v>
      </c>
      <c r="C2851" s="950" t="s">
        <v>2189</v>
      </c>
      <c r="D2851" s="950" t="s">
        <v>2740</v>
      </c>
      <c r="E2851" s="950">
        <v>231</v>
      </c>
      <c r="F2851" s="950">
        <v>225</v>
      </c>
      <c r="G2851" s="950" t="s">
        <v>3252</v>
      </c>
      <c r="H2851" s="950">
        <v>0</v>
      </c>
      <c r="I2851" s="950">
        <v>0</v>
      </c>
      <c r="J2851" s="950" t="s">
        <v>270</v>
      </c>
      <c r="K2851" s="950">
        <v>769661</v>
      </c>
      <c r="P2851" s="950" t="str">
        <f>VLOOKUP(J2851,'רשימת רשויות'!A:A,1,0)</f>
        <v>ירושלים</v>
      </c>
      <c r="Q2851" s="956">
        <f>IFERROR(VLOOKUP(B2851,[2]מעובד!$D:$K,8,0),0)</f>
        <v>176</v>
      </c>
      <c r="R2851" s="956">
        <f>IFERROR(VLOOKUP(B2851,[2]מעובד!$D:$L,9,0),0)</f>
        <v>132</v>
      </c>
    </row>
    <row r="2852" spans="1:18" x14ac:dyDescent="0.2">
      <c r="A2852" s="950" t="s">
        <v>162</v>
      </c>
      <c r="B2852" s="950">
        <v>770529</v>
      </c>
      <c r="C2852" s="950" t="s">
        <v>2189</v>
      </c>
      <c r="D2852" s="950" t="s">
        <v>3219</v>
      </c>
      <c r="E2852" s="950">
        <v>67</v>
      </c>
      <c r="F2852" s="950">
        <v>0</v>
      </c>
      <c r="G2852" s="950" t="s">
        <v>3252</v>
      </c>
      <c r="H2852" s="950">
        <v>0</v>
      </c>
      <c r="I2852" s="950">
        <v>0</v>
      </c>
      <c r="J2852" s="950" t="s">
        <v>162</v>
      </c>
      <c r="K2852" s="950">
        <v>770529</v>
      </c>
      <c r="P2852" s="950" t="str">
        <f>VLOOKUP(J2852,'רשימת רשויות'!A:A,1,0)</f>
        <v>אבן יהודה</v>
      </c>
      <c r="Q2852" s="956">
        <f>IFERROR(VLOOKUP(B2852,[2]מעובד!$D:$K,8,0),0)</f>
        <v>0</v>
      </c>
      <c r="R2852" s="956">
        <f>IFERROR(VLOOKUP(B2852,[2]מעובד!$D:$L,9,0),0)</f>
        <v>0</v>
      </c>
    </row>
    <row r="2853" spans="1:18" x14ac:dyDescent="0.2">
      <c r="A2853" s="950" t="s">
        <v>270</v>
      </c>
      <c r="B2853" s="950">
        <v>771998</v>
      </c>
      <c r="C2853" s="950" t="s">
        <v>2189</v>
      </c>
      <c r="D2853" s="950" t="s">
        <v>3220</v>
      </c>
      <c r="E2853" s="950">
        <v>137</v>
      </c>
      <c r="F2853" s="950">
        <v>65</v>
      </c>
      <c r="G2853" s="950" t="s">
        <v>3252</v>
      </c>
      <c r="H2853" s="950">
        <v>0</v>
      </c>
      <c r="I2853" s="950">
        <v>0</v>
      </c>
      <c r="J2853" s="950" t="s">
        <v>270</v>
      </c>
      <c r="K2853" s="950">
        <v>771998</v>
      </c>
      <c r="P2853" s="950" t="str">
        <f>VLOOKUP(J2853,'רשימת רשויות'!A:A,1,0)</f>
        <v>ירושלים</v>
      </c>
      <c r="Q2853" s="956">
        <f>IFERROR(VLOOKUP(B2853,[2]מעובד!$D:$K,8,0),0)</f>
        <v>0</v>
      </c>
      <c r="R2853" s="956">
        <f>IFERROR(VLOOKUP(B2853,[2]מעובד!$D:$L,9,0),0)</f>
        <v>0</v>
      </c>
    </row>
    <row r="2854" spans="1:18" x14ac:dyDescent="0.2">
      <c r="A2854" s="950" t="s">
        <v>375</v>
      </c>
      <c r="B2854" s="950">
        <v>772046</v>
      </c>
      <c r="C2854" s="950" t="s">
        <v>2189</v>
      </c>
      <c r="D2854" s="950" t="s">
        <v>3221</v>
      </c>
      <c r="E2854" s="950">
        <v>50</v>
      </c>
      <c r="F2854" s="950">
        <v>0</v>
      </c>
      <c r="G2854" s="950" t="s">
        <v>3252</v>
      </c>
      <c r="H2854" s="950">
        <v>0</v>
      </c>
      <c r="I2854" s="950">
        <v>0</v>
      </c>
      <c r="J2854" s="950" t="s">
        <v>375</v>
      </c>
      <c r="K2854" s="950">
        <v>772046</v>
      </c>
      <c r="P2854" s="950" t="str">
        <f>VLOOKUP(J2854,'רשימת רשויות'!A:A,1,0)</f>
        <v>קרית ים</v>
      </c>
      <c r="Q2854" s="956">
        <f>IFERROR(VLOOKUP(B2854,[2]מעובד!$D:$K,8,0),0)</f>
        <v>0</v>
      </c>
      <c r="R2854" s="956">
        <f>IFERROR(VLOOKUP(B2854,[2]מעובד!$D:$L,9,0),0)</f>
        <v>0</v>
      </c>
    </row>
    <row r="2855" spans="1:18" x14ac:dyDescent="0.2">
      <c r="A2855" s="950" t="s">
        <v>196</v>
      </c>
      <c r="B2855" s="950">
        <v>772228</v>
      </c>
      <c r="C2855" s="950" t="s">
        <v>2189</v>
      </c>
      <c r="D2855" s="950" t="s">
        <v>2766</v>
      </c>
      <c r="E2855" s="950">
        <v>75</v>
      </c>
      <c r="F2855" s="950">
        <v>73</v>
      </c>
      <c r="G2855" s="950" t="s">
        <v>3252</v>
      </c>
      <c r="H2855" s="950">
        <v>0</v>
      </c>
      <c r="I2855" s="950">
        <v>0</v>
      </c>
      <c r="J2855" s="950" t="s">
        <v>196</v>
      </c>
      <c r="K2855" s="950">
        <v>772228</v>
      </c>
      <c r="P2855" s="950" t="str">
        <f>VLOOKUP(J2855,'רשימת רשויות'!A:A,1,0)</f>
        <v>בית שמש</v>
      </c>
      <c r="Q2855" s="956">
        <f>IFERROR(VLOOKUP(B2855,[2]מעובד!$D:$K,8,0),0)</f>
        <v>0</v>
      </c>
      <c r="R2855" s="956">
        <f>IFERROR(VLOOKUP(B2855,[2]מעובד!$D:$L,9,0),0)</f>
        <v>0</v>
      </c>
    </row>
    <row r="2856" spans="1:18" x14ac:dyDescent="0.2">
      <c r="A2856" s="950" t="s">
        <v>181</v>
      </c>
      <c r="B2856" s="950">
        <v>779173</v>
      </c>
      <c r="C2856" s="950" t="s">
        <v>2189</v>
      </c>
      <c r="D2856" s="950" t="s">
        <v>2772</v>
      </c>
      <c r="E2856" s="950">
        <v>237</v>
      </c>
      <c r="F2856" s="950">
        <v>237</v>
      </c>
      <c r="G2856" s="950" t="s">
        <v>3252</v>
      </c>
      <c r="H2856" s="950">
        <v>0</v>
      </c>
      <c r="I2856" s="950">
        <v>0</v>
      </c>
      <c r="J2856" s="950" t="s">
        <v>181</v>
      </c>
      <c r="K2856" s="950">
        <v>779173</v>
      </c>
      <c r="P2856" s="950" t="str">
        <f>VLOOKUP(J2856,'רשימת רשויות'!A:A,1,0)</f>
        <v>אשדוד</v>
      </c>
      <c r="Q2856" s="956">
        <f>IFERROR(VLOOKUP(B2856,[2]מעובד!$D:$K,8,0),0)</f>
        <v>69</v>
      </c>
      <c r="R2856" s="956">
        <f>IFERROR(VLOOKUP(B2856,[2]מעובד!$D:$L,9,0),0)</f>
        <v>40</v>
      </c>
    </row>
    <row r="2857" spans="1:18" x14ac:dyDescent="0.2">
      <c r="A2857" s="950" t="s">
        <v>372</v>
      </c>
      <c r="B2857" s="950">
        <v>785147</v>
      </c>
      <c r="C2857" s="950" t="s">
        <v>2189</v>
      </c>
      <c r="D2857" s="950" t="s">
        <v>2707</v>
      </c>
      <c r="E2857" s="950">
        <v>91</v>
      </c>
      <c r="F2857" s="950">
        <v>69</v>
      </c>
      <c r="G2857" s="950" t="s">
        <v>3252</v>
      </c>
      <c r="H2857" s="950">
        <v>0</v>
      </c>
      <c r="I2857" s="950">
        <v>0</v>
      </c>
      <c r="J2857" s="950" t="s">
        <v>372</v>
      </c>
      <c r="K2857" s="950">
        <v>785147</v>
      </c>
      <c r="P2857" s="950" t="str">
        <f>VLOOKUP(J2857,'רשימת רשויות'!A:A,1,0)</f>
        <v>קרית ביאליק</v>
      </c>
      <c r="Q2857" s="956">
        <f>IFERROR(VLOOKUP(B2857,[2]מעובד!$D:$K,8,0),0)</f>
        <v>11</v>
      </c>
      <c r="R2857" s="956">
        <f>IFERROR(VLOOKUP(B2857,[2]מעובד!$D:$L,9,0),0)</f>
        <v>8</v>
      </c>
    </row>
    <row r="2858" spans="1:18" x14ac:dyDescent="0.2">
      <c r="A2858" s="950" t="s">
        <v>390</v>
      </c>
      <c r="B2858" s="950">
        <v>785717</v>
      </c>
      <c r="C2858" s="950" t="s">
        <v>2189</v>
      </c>
      <c r="D2858" s="950" t="s">
        <v>3222</v>
      </c>
      <c r="E2858" s="950">
        <v>160</v>
      </c>
      <c r="F2858" s="950">
        <v>144</v>
      </c>
      <c r="G2858" s="950" t="s">
        <v>3252</v>
      </c>
      <c r="H2858" s="950">
        <v>0</v>
      </c>
      <c r="I2858" s="950">
        <v>0</v>
      </c>
      <c r="J2858" s="950" t="s">
        <v>390</v>
      </c>
      <c r="K2858" s="950">
        <v>785717</v>
      </c>
      <c r="P2858" s="950" t="str">
        <f>VLOOKUP(J2858,'רשימת רשויות'!A:A,1,0)</f>
        <v>רמלה</v>
      </c>
      <c r="Q2858" s="956">
        <f>IFERROR(VLOOKUP(B2858,[2]מעובד!$D:$K,8,0),0)</f>
        <v>0</v>
      </c>
      <c r="R2858" s="956">
        <f>IFERROR(VLOOKUP(B2858,[2]מעובד!$D:$L,9,0),0)</f>
        <v>0</v>
      </c>
    </row>
    <row r="2859" spans="1:18" x14ac:dyDescent="0.2">
      <c r="A2859" s="950" t="s">
        <v>196</v>
      </c>
      <c r="B2859" s="950">
        <v>785758</v>
      </c>
      <c r="C2859" s="950" t="s">
        <v>2189</v>
      </c>
      <c r="D2859" s="950" t="s">
        <v>3223</v>
      </c>
      <c r="E2859" s="950">
        <v>44</v>
      </c>
      <c r="F2859" s="950">
        <v>44</v>
      </c>
      <c r="G2859" s="950" t="s">
        <v>3252</v>
      </c>
      <c r="H2859" s="950">
        <v>0</v>
      </c>
      <c r="I2859" s="950">
        <v>0</v>
      </c>
      <c r="J2859" s="950" t="s">
        <v>196</v>
      </c>
      <c r="K2859" s="950">
        <v>785758</v>
      </c>
      <c r="P2859" s="950" t="str">
        <f>VLOOKUP(J2859,'רשימת רשויות'!A:A,1,0)</f>
        <v>בית שמש</v>
      </c>
      <c r="Q2859" s="956">
        <f>IFERROR(VLOOKUP(B2859,[2]מעובד!$D:$K,8,0),0)</f>
        <v>0</v>
      </c>
      <c r="R2859" s="956">
        <f>IFERROR(VLOOKUP(B2859,[2]מעובד!$D:$L,9,0),0)</f>
        <v>0</v>
      </c>
    </row>
    <row r="2860" spans="1:18" x14ac:dyDescent="0.2">
      <c r="A2860" s="950" t="s">
        <v>197</v>
      </c>
      <c r="B2860" s="950">
        <v>786640</v>
      </c>
      <c r="C2860" s="950" t="s">
        <v>2189</v>
      </c>
      <c r="D2860" s="950" t="s">
        <v>3084</v>
      </c>
      <c r="E2860" s="950">
        <v>39</v>
      </c>
      <c r="F2860" s="950">
        <v>39</v>
      </c>
      <c r="G2860" s="950" t="s">
        <v>3252</v>
      </c>
      <c r="H2860" s="950">
        <v>0</v>
      </c>
      <c r="I2860" s="950">
        <v>0</v>
      </c>
      <c r="J2860" s="950" t="s">
        <v>197</v>
      </c>
      <c r="K2860" s="950">
        <v>786640</v>
      </c>
      <c r="P2860" s="950" t="str">
        <f>VLOOKUP(J2860,'רשימת רשויות'!A:A,1,0)</f>
        <v>ביתר עילית</v>
      </c>
      <c r="Q2860" s="956">
        <f>IFERROR(VLOOKUP(B2860,[2]מעובד!$D:$K,8,0),0)</f>
        <v>0</v>
      </c>
      <c r="R2860" s="956">
        <f>IFERROR(VLOOKUP(B2860,[2]מעובד!$D:$L,9,0),0)</f>
        <v>0</v>
      </c>
    </row>
    <row r="2861" spans="1:18" x14ac:dyDescent="0.2">
      <c r="A2861" s="950" t="s">
        <v>212</v>
      </c>
      <c r="B2861" s="950">
        <v>786657</v>
      </c>
      <c r="C2861" s="950" t="s">
        <v>2189</v>
      </c>
      <c r="D2861" s="950" t="s">
        <v>3224</v>
      </c>
      <c r="E2861" s="950">
        <v>74</v>
      </c>
      <c r="F2861" s="950">
        <v>74</v>
      </c>
      <c r="G2861" s="950" t="s">
        <v>3252</v>
      </c>
      <c r="H2861" s="950">
        <v>0</v>
      </c>
      <c r="I2861" s="950">
        <v>0</v>
      </c>
      <c r="J2861" s="950" t="s">
        <v>212</v>
      </c>
      <c r="K2861" s="950">
        <v>786657</v>
      </c>
      <c r="P2861" s="950" t="str">
        <f>VLOOKUP(J2861,'רשימת רשויות'!A:A,1,0)</f>
        <v>גבעת זאב</v>
      </c>
      <c r="Q2861" s="956">
        <f>IFERROR(VLOOKUP(B2861,[2]מעובד!$D:$K,8,0),0)</f>
        <v>22</v>
      </c>
      <c r="R2861" s="956">
        <f>IFERROR(VLOOKUP(B2861,[2]מעובד!$D:$L,9,0),0)</f>
        <v>40</v>
      </c>
    </row>
    <row r="2862" spans="1:18" x14ac:dyDescent="0.2">
      <c r="A2862" s="950" t="s">
        <v>196</v>
      </c>
      <c r="B2862" s="950">
        <v>786699</v>
      </c>
      <c r="C2862" s="950" t="s">
        <v>2189</v>
      </c>
      <c r="D2862" s="950" t="s">
        <v>3197</v>
      </c>
      <c r="E2862" s="950">
        <v>66</v>
      </c>
      <c r="F2862" s="950">
        <v>66</v>
      </c>
      <c r="G2862" s="950" t="s">
        <v>3252</v>
      </c>
      <c r="H2862" s="950">
        <v>0</v>
      </c>
      <c r="I2862" s="950">
        <v>0</v>
      </c>
      <c r="J2862" s="950" t="s">
        <v>196</v>
      </c>
      <c r="K2862" s="950">
        <v>786699</v>
      </c>
      <c r="P2862" s="950" t="str">
        <f>VLOOKUP(J2862,'רשימת רשויות'!A:A,1,0)</f>
        <v>בית שמש</v>
      </c>
      <c r="Q2862" s="956">
        <f>IFERROR(VLOOKUP(B2862,[2]מעובד!$D:$K,8,0),0)</f>
        <v>0</v>
      </c>
      <c r="R2862" s="956">
        <f>IFERROR(VLOOKUP(B2862,[2]מעובד!$D:$L,9,0),0)</f>
        <v>0</v>
      </c>
    </row>
    <row r="2863" spans="1:18" x14ac:dyDescent="0.2">
      <c r="A2863" s="950" t="s">
        <v>390</v>
      </c>
      <c r="B2863" s="950">
        <v>788703</v>
      </c>
      <c r="C2863" s="950" t="s">
        <v>2189</v>
      </c>
      <c r="D2863" s="950" t="s">
        <v>3225</v>
      </c>
      <c r="E2863" s="950">
        <v>43</v>
      </c>
      <c r="F2863" s="950">
        <v>0</v>
      </c>
      <c r="G2863" s="950" t="s">
        <v>3252</v>
      </c>
      <c r="H2863" s="950">
        <v>0</v>
      </c>
      <c r="I2863" s="950">
        <v>0</v>
      </c>
      <c r="J2863" s="950" t="s">
        <v>390</v>
      </c>
      <c r="K2863" s="950">
        <v>788703</v>
      </c>
      <c r="P2863" s="950" t="str">
        <f>VLOOKUP(J2863,'רשימת רשויות'!A:A,1,0)</f>
        <v>רמלה</v>
      </c>
      <c r="Q2863" s="956">
        <f>IFERROR(VLOOKUP(B2863,[2]מעובד!$D:$K,8,0),0)</f>
        <v>0</v>
      </c>
      <c r="R2863" s="956">
        <f>IFERROR(VLOOKUP(B2863,[2]מעובד!$D:$L,9,0),0)</f>
        <v>0</v>
      </c>
    </row>
    <row r="2864" spans="1:18" x14ac:dyDescent="0.2">
      <c r="A2864" s="950" t="s">
        <v>293</v>
      </c>
      <c r="B2864" s="950">
        <v>788711</v>
      </c>
      <c r="C2864" s="950" t="s">
        <v>2189</v>
      </c>
      <c r="D2864" s="950" t="s">
        <v>1359</v>
      </c>
      <c r="E2864" s="950">
        <v>45</v>
      </c>
      <c r="F2864" s="950">
        <v>45</v>
      </c>
      <c r="G2864" s="950" t="s">
        <v>3252</v>
      </c>
      <c r="H2864" s="950">
        <v>0</v>
      </c>
      <c r="I2864" s="950">
        <v>0</v>
      </c>
      <c r="J2864" s="950" t="s">
        <v>293</v>
      </c>
      <c r="K2864" s="950">
        <v>788711</v>
      </c>
      <c r="P2864" s="950" t="str">
        <f>VLOOKUP(J2864,'רשימת רשויות'!A:A,1,0)</f>
        <v>לוד</v>
      </c>
      <c r="Q2864" s="956">
        <f>IFERROR(VLOOKUP(B2864,[2]מעובד!$D:$K,8,0),0)</f>
        <v>0</v>
      </c>
      <c r="R2864" s="956">
        <f>IFERROR(VLOOKUP(B2864,[2]מעובד!$D:$L,9,0),0)</f>
        <v>0</v>
      </c>
    </row>
    <row r="2865" spans="1:18" x14ac:dyDescent="0.2">
      <c r="A2865" s="950" t="s">
        <v>335</v>
      </c>
      <c r="B2865" s="950">
        <v>789099</v>
      </c>
      <c r="C2865" s="950" t="s">
        <v>2189</v>
      </c>
      <c r="D2865" s="950" t="s">
        <v>3226</v>
      </c>
      <c r="E2865" s="950">
        <v>38</v>
      </c>
      <c r="F2865" s="950">
        <v>38</v>
      </c>
      <c r="G2865" s="950" t="s">
        <v>3252</v>
      </c>
      <c r="H2865" s="950">
        <v>0</v>
      </c>
      <c r="I2865" s="950">
        <v>0</v>
      </c>
      <c r="J2865" s="950" t="s">
        <v>335</v>
      </c>
      <c r="K2865" s="950">
        <v>789099</v>
      </c>
      <c r="P2865" s="950" t="str">
        <f>VLOOKUP(J2865,'רשימת רשויות'!A:A,1,0)</f>
        <v>נתיבות</v>
      </c>
      <c r="Q2865" s="956">
        <f>IFERROR(VLOOKUP(B2865,[2]מעובד!$D:$K,8,0),0)</f>
        <v>0</v>
      </c>
      <c r="R2865" s="956">
        <f>IFERROR(VLOOKUP(B2865,[2]מעובד!$D:$L,9,0),0)</f>
        <v>0</v>
      </c>
    </row>
    <row r="2866" spans="1:18" x14ac:dyDescent="0.2">
      <c r="A2866" s="950" t="s">
        <v>365</v>
      </c>
      <c r="B2866" s="950">
        <v>789438</v>
      </c>
      <c r="C2866" s="950" t="s">
        <v>2189</v>
      </c>
      <c r="D2866" s="950" t="s">
        <v>3227</v>
      </c>
      <c r="E2866" s="950">
        <v>43</v>
      </c>
      <c r="F2866" s="950">
        <v>41</v>
      </c>
      <c r="G2866" s="950" t="s">
        <v>3252</v>
      </c>
      <c r="H2866" s="950">
        <v>0</v>
      </c>
      <c r="I2866" s="950">
        <v>0</v>
      </c>
      <c r="J2866" s="950" t="s">
        <v>365</v>
      </c>
      <c r="K2866" s="950">
        <v>789438</v>
      </c>
      <c r="P2866" s="950" t="str">
        <f>VLOOKUP(J2866,'רשימת רשויות'!A:A,1,0)</f>
        <v>צפת</v>
      </c>
      <c r="Q2866" s="956">
        <f>IFERROR(VLOOKUP(B2866,[2]מעובד!$D:$K,8,0),0)</f>
        <v>0</v>
      </c>
      <c r="R2866" s="956">
        <f>IFERROR(VLOOKUP(B2866,[2]מעובד!$D:$L,9,0),0)</f>
        <v>0</v>
      </c>
    </row>
    <row r="2867" spans="1:18" x14ac:dyDescent="0.2">
      <c r="A2867" s="950" t="s">
        <v>196</v>
      </c>
      <c r="B2867" s="950">
        <v>789735</v>
      </c>
      <c r="C2867" s="950" t="s">
        <v>2189</v>
      </c>
      <c r="D2867" s="950" t="s">
        <v>3228</v>
      </c>
      <c r="E2867" s="950">
        <v>44</v>
      </c>
      <c r="F2867" s="950">
        <v>43</v>
      </c>
      <c r="G2867" s="950" t="s">
        <v>3252</v>
      </c>
      <c r="H2867" s="950">
        <v>0</v>
      </c>
      <c r="I2867" s="950">
        <v>0</v>
      </c>
      <c r="J2867" s="950" t="s">
        <v>196</v>
      </c>
      <c r="K2867" s="950">
        <v>789735</v>
      </c>
      <c r="P2867" s="950" t="str">
        <f>VLOOKUP(J2867,'רשימת רשויות'!A:A,1,0)</f>
        <v>בית שמש</v>
      </c>
      <c r="Q2867" s="956">
        <f>IFERROR(VLOOKUP(B2867,[2]מעובד!$D:$K,8,0),0)</f>
        <v>0</v>
      </c>
      <c r="R2867" s="956">
        <f>IFERROR(VLOOKUP(B2867,[2]מעובד!$D:$L,9,0),0)</f>
        <v>0</v>
      </c>
    </row>
    <row r="2868" spans="1:18" x14ac:dyDescent="0.2">
      <c r="A2868" s="950" t="s">
        <v>270</v>
      </c>
      <c r="B2868" s="950">
        <v>789776</v>
      </c>
      <c r="C2868" s="950" t="s">
        <v>2189</v>
      </c>
      <c r="D2868" s="950" t="s">
        <v>3229</v>
      </c>
      <c r="E2868" s="950">
        <v>70</v>
      </c>
      <c r="F2868" s="950">
        <v>70</v>
      </c>
      <c r="G2868" s="950" t="s">
        <v>3252</v>
      </c>
      <c r="H2868" s="950">
        <v>0</v>
      </c>
      <c r="I2868" s="950">
        <v>0</v>
      </c>
      <c r="J2868" s="950" t="s">
        <v>270</v>
      </c>
      <c r="K2868" s="950">
        <v>789776</v>
      </c>
      <c r="P2868" s="950" t="str">
        <f>VLOOKUP(J2868,'רשימת רשויות'!A:A,1,0)</f>
        <v>ירושלים</v>
      </c>
      <c r="Q2868" s="956">
        <f>IFERROR(VLOOKUP(B2868,[2]מעובד!$D:$K,8,0),0)</f>
        <v>0</v>
      </c>
      <c r="R2868" s="956">
        <f>IFERROR(VLOOKUP(B2868,[2]מעובד!$D:$L,9,0),0)</f>
        <v>0</v>
      </c>
    </row>
    <row r="2869" spans="1:18" x14ac:dyDescent="0.2">
      <c r="A2869" s="950" t="s">
        <v>355</v>
      </c>
      <c r="B2869" s="950">
        <v>790386</v>
      </c>
      <c r="C2869" s="950" t="s">
        <v>2189</v>
      </c>
      <c r="D2869" s="950" t="s">
        <v>3230</v>
      </c>
      <c r="E2869" s="950">
        <v>284</v>
      </c>
      <c r="F2869" s="950">
        <v>275</v>
      </c>
      <c r="G2869" s="950" t="s">
        <v>3252</v>
      </c>
      <c r="H2869" s="950">
        <v>88</v>
      </c>
      <c r="I2869" s="950">
        <v>9</v>
      </c>
      <c r="J2869" s="950" t="s">
        <v>355</v>
      </c>
      <c r="K2869" s="950">
        <v>790386</v>
      </c>
      <c r="P2869" s="950" t="str">
        <f>VLOOKUP(J2869,'רשימת רשויות'!A:A,1,0)</f>
        <v>ערד</v>
      </c>
      <c r="Q2869" s="956">
        <f>IFERROR(VLOOKUP(B2869,[2]מעובד!$D:$K,8,0),0)</f>
        <v>182</v>
      </c>
      <c r="R2869" s="956">
        <f>IFERROR(VLOOKUP(B2869,[2]מעובד!$D:$L,9,0),0)</f>
        <v>182</v>
      </c>
    </row>
    <row r="2870" spans="1:18" x14ac:dyDescent="0.2">
      <c r="A2870" s="950" t="s">
        <v>196</v>
      </c>
      <c r="B2870" s="950">
        <v>790550</v>
      </c>
      <c r="C2870" s="950" t="s">
        <v>2189</v>
      </c>
      <c r="D2870" s="950" t="s">
        <v>3231</v>
      </c>
      <c r="E2870" s="950">
        <v>105</v>
      </c>
      <c r="F2870" s="950">
        <v>105</v>
      </c>
      <c r="G2870" s="950" t="s">
        <v>3252</v>
      </c>
      <c r="H2870" s="950">
        <v>0</v>
      </c>
      <c r="I2870" s="950">
        <v>0</v>
      </c>
      <c r="J2870" s="950" t="s">
        <v>196</v>
      </c>
      <c r="K2870" s="950">
        <v>790550</v>
      </c>
      <c r="P2870" s="950" t="str">
        <f>VLOOKUP(J2870,'רשימת רשויות'!A:A,1,0)</f>
        <v>בית שמש</v>
      </c>
      <c r="Q2870" s="956">
        <f>IFERROR(VLOOKUP(B2870,[2]מעובד!$D:$K,8,0),0)</f>
        <v>0</v>
      </c>
      <c r="R2870" s="956">
        <f>IFERROR(VLOOKUP(B2870,[2]מעובד!$D:$L,9,0),0)</f>
        <v>0</v>
      </c>
    </row>
    <row r="2871" spans="1:18" x14ac:dyDescent="0.2">
      <c r="A2871" s="950" t="s">
        <v>196</v>
      </c>
      <c r="B2871" s="950">
        <v>794222</v>
      </c>
      <c r="C2871" s="950" t="s">
        <v>2189</v>
      </c>
      <c r="D2871" s="950" t="s">
        <v>3232</v>
      </c>
      <c r="E2871" s="950">
        <v>65</v>
      </c>
      <c r="F2871" s="950">
        <v>62</v>
      </c>
      <c r="G2871" s="950" t="s">
        <v>3252</v>
      </c>
      <c r="H2871" s="950">
        <v>0</v>
      </c>
      <c r="I2871" s="950">
        <v>0</v>
      </c>
      <c r="J2871" s="950" t="s">
        <v>196</v>
      </c>
      <c r="K2871" s="950">
        <v>794222</v>
      </c>
      <c r="P2871" s="950" t="str">
        <f>VLOOKUP(J2871,'רשימת רשויות'!A:A,1,0)</f>
        <v>בית שמש</v>
      </c>
      <c r="Q2871" s="956">
        <f>IFERROR(VLOOKUP(B2871,[2]מעובד!$D:$K,8,0),0)</f>
        <v>0</v>
      </c>
      <c r="R2871" s="956">
        <f>IFERROR(VLOOKUP(B2871,[2]מעובד!$D:$L,9,0),0)</f>
        <v>0</v>
      </c>
    </row>
    <row r="2872" spans="1:18" x14ac:dyDescent="0.2">
      <c r="A2872" s="950" t="s">
        <v>270</v>
      </c>
      <c r="B2872" s="950">
        <v>796516</v>
      </c>
      <c r="C2872" s="950" t="s">
        <v>2189</v>
      </c>
      <c r="D2872" s="950" t="s">
        <v>3233</v>
      </c>
      <c r="E2872" s="950">
        <v>118</v>
      </c>
      <c r="F2872" s="950">
        <v>0</v>
      </c>
      <c r="G2872" s="950" t="s">
        <v>3252</v>
      </c>
      <c r="H2872" s="950">
        <v>0</v>
      </c>
      <c r="I2872" s="950">
        <v>0</v>
      </c>
      <c r="J2872" s="950" t="s">
        <v>270</v>
      </c>
      <c r="K2872" s="950">
        <v>796516</v>
      </c>
      <c r="P2872" s="950" t="str">
        <f>VLOOKUP(J2872,'רשימת רשויות'!A:A,1,0)</f>
        <v>ירושלים</v>
      </c>
      <c r="Q2872" s="956">
        <f>IFERROR(VLOOKUP(B2872,[2]מעובד!$D:$K,8,0),0)</f>
        <v>0</v>
      </c>
      <c r="R2872" s="956">
        <f>IFERROR(VLOOKUP(B2872,[2]מעובד!$D:$L,9,0),0)</f>
        <v>0</v>
      </c>
    </row>
    <row r="2873" spans="1:18" x14ac:dyDescent="0.2">
      <c r="A2873" s="950" t="s">
        <v>270</v>
      </c>
      <c r="B2873" s="950">
        <v>796581</v>
      </c>
      <c r="C2873" s="950" t="s">
        <v>2189</v>
      </c>
      <c r="D2873" s="950" t="s">
        <v>3234</v>
      </c>
      <c r="E2873" s="950">
        <v>116</v>
      </c>
      <c r="F2873" s="950">
        <v>0</v>
      </c>
      <c r="G2873" s="950" t="s">
        <v>3252</v>
      </c>
      <c r="H2873" s="950">
        <v>0</v>
      </c>
      <c r="I2873" s="950">
        <v>0</v>
      </c>
      <c r="J2873" s="950" t="s">
        <v>270</v>
      </c>
      <c r="K2873" s="950">
        <v>796581</v>
      </c>
      <c r="P2873" s="950" t="str">
        <f>VLOOKUP(J2873,'רשימת רשויות'!A:A,1,0)</f>
        <v>ירושלים</v>
      </c>
      <c r="Q2873" s="956">
        <f>IFERROR(VLOOKUP(B2873,[2]מעובד!$D:$K,8,0),0)</f>
        <v>0</v>
      </c>
      <c r="R2873" s="956">
        <f>IFERROR(VLOOKUP(B2873,[2]מעובד!$D:$L,9,0),0)</f>
        <v>0</v>
      </c>
    </row>
    <row r="2874" spans="1:18" x14ac:dyDescent="0.2">
      <c r="A2874" s="950" t="s">
        <v>166</v>
      </c>
      <c r="B2874" s="950">
        <v>797001</v>
      </c>
      <c r="C2874" s="950" t="s">
        <v>2189</v>
      </c>
      <c r="D2874" s="950" t="s">
        <v>3235</v>
      </c>
      <c r="E2874" s="950">
        <v>65</v>
      </c>
      <c r="F2874" s="950">
        <v>50</v>
      </c>
      <c r="G2874" s="950" t="s">
        <v>3252</v>
      </c>
      <c r="H2874" s="950">
        <v>0</v>
      </c>
      <c r="I2874" s="950">
        <v>0</v>
      </c>
      <c r="J2874" s="950" t="s">
        <v>166</v>
      </c>
      <c r="K2874" s="950">
        <v>797001</v>
      </c>
      <c r="P2874" s="950" t="str">
        <f>VLOOKUP(J2874,'רשימת רשויות'!A:A,1,0)</f>
        <v>אור עקיבא</v>
      </c>
      <c r="Q2874" s="956">
        <f>IFERROR(VLOOKUP(B2874,[2]מעובד!$D:$K,8,0),0)</f>
        <v>0</v>
      </c>
      <c r="R2874" s="956">
        <f>IFERROR(VLOOKUP(B2874,[2]מעובד!$D:$L,9,0),0)</f>
        <v>0</v>
      </c>
    </row>
    <row r="2875" spans="1:18" x14ac:dyDescent="0.2">
      <c r="A2875" s="950" t="s">
        <v>335</v>
      </c>
      <c r="B2875" s="950">
        <v>797639</v>
      </c>
      <c r="C2875" s="950" t="s">
        <v>2189</v>
      </c>
      <c r="D2875" s="950" t="s">
        <v>3236</v>
      </c>
      <c r="E2875" s="950">
        <v>61</v>
      </c>
      <c r="F2875" s="950">
        <v>61</v>
      </c>
      <c r="G2875" s="950" t="s">
        <v>3252</v>
      </c>
      <c r="H2875" s="950">
        <v>0</v>
      </c>
      <c r="I2875" s="950">
        <v>0</v>
      </c>
      <c r="J2875" s="950" t="s">
        <v>335</v>
      </c>
      <c r="K2875" s="950">
        <v>797639</v>
      </c>
      <c r="P2875" s="950" t="str">
        <f>VLOOKUP(J2875,'רשימת רשויות'!A:A,1,0)</f>
        <v>נתיבות</v>
      </c>
      <c r="Q2875" s="956">
        <f>IFERROR(VLOOKUP(B2875,[2]מעובד!$D:$K,8,0),0)</f>
        <v>0</v>
      </c>
      <c r="R2875" s="956">
        <f>IFERROR(VLOOKUP(B2875,[2]מעובד!$D:$L,9,0),0)</f>
        <v>0</v>
      </c>
    </row>
    <row r="2876" spans="1:18" x14ac:dyDescent="0.2">
      <c r="A2876" s="950" t="s">
        <v>253</v>
      </c>
      <c r="B2876" s="950">
        <v>797845</v>
      </c>
      <c r="C2876" s="950" t="s">
        <v>2189</v>
      </c>
      <c r="D2876" s="950" t="s">
        <v>3237</v>
      </c>
      <c r="E2876" s="950">
        <v>54</v>
      </c>
      <c r="F2876" s="950">
        <v>0</v>
      </c>
      <c r="G2876" s="950" t="s">
        <v>3252</v>
      </c>
      <c r="H2876" s="950">
        <v>0</v>
      </c>
      <c r="I2876" s="950">
        <v>0</v>
      </c>
      <c r="J2876" s="950" t="s">
        <v>253</v>
      </c>
      <c r="K2876" s="950">
        <v>797845</v>
      </c>
      <c r="P2876" s="950" t="str">
        <f>VLOOKUP(J2876,'רשימת רשויות'!A:A,1,0)</f>
        <v>חריש</v>
      </c>
      <c r="Q2876" s="956">
        <f>IFERROR(VLOOKUP(B2876,[2]מעובד!$D:$K,8,0),0)</f>
        <v>0</v>
      </c>
      <c r="R2876" s="956">
        <f>IFERROR(VLOOKUP(B2876,[2]מעובד!$D:$L,9,0),0)</f>
        <v>0</v>
      </c>
    </row>
    <row r="2877" spans="1:18" x14ac:dyDescent="0.2">
      <c r="A2877" s="950" t="s">
        <v>198</v>
      </c>
      <c r="B2877" s="950">
        <v>798074</v>
      </c>
      <c r="C2877" s="950" t="s">
        <v>2189</v>
      </c>
      <c r="D2877" s="950" t="s">
        <v>3238</v>
      </c>
      <c r="E2877" s="950">
        <v>52</v>
      </c>
      <c r="F2877" s="950">
        <v>52</v>
      </c>
      <c r="G2877" s="950" t="s">
        <v>3252</v>
      </c>
      <c r="H2877" s="950">
        <v>0</v>
      </c>
      <c r="I2877" s="950">
        <v>0</v>
      </c>
      <c r="J2877" s="950" t="s">
        <v>198</v>
      </c>
      <c r="K2877" s="950">
        <v>798074</v>
      </c>
      <c r="P2877" s="950" t="str">
        <f>VLOOKUP(J2877,'רשימת רשויות'!A:A,1,0)</f>
        <v>בני ברק</v>
      </c>
      <c r="Q2877" s="956">
        <f>IFERROR(VLOOKUP(B2877,[2]מעובד!$D:$K,8,0),0)</f>
        <v>0</v>
      </c>
      <c r="R2877" s="956">
        <f>IFERROR(VLOOKUP(B2877,[2]מעובד!$D:$L,9,0),0)</f>
        <v>0</v>
      </c>
    </row>
    <row r="2878" spans="1:18" x14ac:dyDescent="0.2">
      <c r="A2878" s="950" t="s">
        <v>254</v>
      </c>
      <c r="B2878" s="950">
        <v>798496</v>
      </c>
      <c r="C2878" s="950" t="s">
        <v>2189</v>
      </c>
      <c r="D2878" s="950" t="s">
        <v>3239</v>
      </c>
      <c r="E2878" s="950">
        <v>102</v>
      </c>
      <c r="F2878" s="950">
        <v>102</v>
      </c>
      <c r="G2878" s="950" t="s">
        <v>3252</v>
      </c>
      <c r="H2878" s="950">
        <v>0</v>
      </c>
      <c r="I2878" s="950">
        <v>0</v>
      </c>
      <c r="J2878" s="950" t="s">
        <v>254</v>
      </c>
      <c r="K2878" s="950">
        <v>798496</v>
      </c>
      <c r="P2878" s="950" t="str">
        <f>VLOOKUP(J2878,'רשימת רשויות'!A:A,1,0)</f>
        <v>טבריה</v>
      </c>
      <c r="Q2878" s="956">
        <f>IFERROR(VLOOKUP(B2878,[2]מעובד!$D:$K,8,0),0)</f>
        <v>0</v>
      </c>
      <c r="R2878" s="956">
        <f>IFERROR(VLOOKUP(B2878,[2]מעובד!$D:$L,9,0),0)</f>
        <v>0</v>
      </c>
    </row>
    <row r="2879" spans="1:18" x14ac:dyDescent="0.2">
      <c r="A2879" s="950" t="s">
        <v>196</v>
      </c>
      <c r="B2879" s="950">
        <v>798504</v>
      </c>
      <c r="C2879" s="950" t="s">
        <v>2189</v>
      </c>
      <c r="D2879" s="950" t="s">
        <v>3240</v>
      </c>
      <c r="E2879" s="950">
        <v>186</v>
      </c>
      <c r="F2879" s="950">
        <v>186</v>
      </c>
      <c r="G2879" s="950" t="s">
        <v>3252</v>
      </c>
      <c r="H2879" s="950">
        <v>0</v>
      </c>
      <c r="I2879" s="950">
        <v>0</v>
      </c>
      <c r="J2879" s="950" t="s">
        <v>196</v>
      </c>
      <c r="K2879" s="950">
        <v>798504</v>
      </c>
      <c r="P2879" s="950" t="str">
        <f>VLOOKUP(J2879,'רשימת רשויות'!A:A,1,0)</f>
        <v>בית שמש</v>
      </c>
      <c r="Q2879" s="956">
        <f>IFERROR(VLOOKUP(B2879,[2]מעובד!$D:$K,8,0),0)</f>
        <v>0</v>
      </c>
      <c r="R2879" s="956">
        <f>IFERROR(VLOOKUP(B2879,[2]מעובד!$D:$L,9,0),0)</f>
        <v>0</v>
      </c>
    </row>
    <row r="2880" spans="1:18" x14ac:dyDescent="0.2">
      <c r="A2880" s="950" t="s">
        <v>196</v>
      </c>
      <c r="B2880" s="950">
        <v>799205</v>
      </c>
      <c r="C2880" s="950" t="s">
        <v>2189</v>
      </c>
      <c r="D2880" s="950" t="s">
        <v>3241</v>
      </c>
      <c r="E2880" s="950">
        <v>112</v>
      </c>
      <c r="F2880" s="950">
        <v>110</v>
      </c>
      <c r="G2880" s="950" t="s">
        <v>3252</v>
      </c>
      <c r="H2880" s="950">
        <v>0</v>
      </c>
      <c r="I2880" s="950">
        <v>0</v>
      </c>
      <c r="J2880" s="950" t="s">
        <v>196</v>
      </c>
      <c r="K2880" s="950">
        <v>799205</v>
      </c>
      <c r="P2880" s="950" t="str">
        <f>VLOOKUP(J2880,'רשימת רשויות'!A:A,1,0)</f>
        <v>בית שמש</v>
      </c>
      <c r="Q2880" s="956">
        <f>IFERROR(VLOOKUP(B2880,[2]מעובד!$D:$K,8,0),0)</f>
        <v>0</v>
      </c>
      <c r="R2880" s="956">
        <f>IFERROR(VLOOKUP(B2880,[2]מעובד!$D:$L,9,0),0)</f>
        <v>0</v>
      </c>
    </row>
    <row r="2881" spans="1:18" x14ac:dyDescent="0.2">
      <c r="A2881" s="950" t="s">
        <v>196</v>
      </c>
      <c r="B2881" s="950">
        <v>799221</v>
      </c>
      <c r="C2881" s="950" t="s">
        <v>2189</v>
      </c>
      <c r="D2881" s="950" t="s">
        <v>3242</v>
      </c>
      <c r="E2881" s="950">
        <v>50</v>
      </c>
      <c r="F2881" s="950">
        <v>50</v>
      </c>
      <c r="G2881" s="950" t="s">
        <v>3252</v>
      </c>
      <c r="H2881" s="950">
        <v>0</v>
      </c>
      <c r="I2881" s="950">
        <v>0</v>
      </c>
      <c r="J2881" s="950" t="s">
        <v>196</v>
      </c>
      <c r="K2881" s="950">
        <v>799221</v>
      </c>
      <c r="P2881" s="950" t="str">
        <f>VLOOKUP(J2881,'רשימת רשויות'!A:A,1,0)</f>
        <v>בית שמש</v>
      </c>
      <c r="Q2881" s="956">
        <f>IFERROR(VLOOKUP(B2881,[2]מעובד!$D:$K,8,0),0)</f>
        <v>0</v>
      </c>
      <c r="R2881" s="956">
        <f>IFERROR(VLOOKUP(B2881,[2]מעובד!$D:$L,9,0),0)</f>
        <v>0</v>
      </c>
    </row>
    <row r="2882" spans="1:18" x14ac:dyDescent="0.2">
      <c r="A2882" s="950" t="s">
        <v>335</v>
      </c>
      <c r="B2882" s="950">
        <v>799981</v>
      </c>
      <c r="C2882" s="950" t="s">
        <v>2189</v>
      </c>
      <c r="D2882" s="950" t="s">
        <v>3243</v>
      </c>
      <c r="E2882" s="950">
        <v>20</v>
      </c>
      <c r="F2882" s="950">
        <v>0</v>
      </c>
      <c r="G2882" s="950" t="s">
        <v>3252</v>
      </c>
      <c r="H2882" s="950">
        <v>0</v>
      </c>
      <c r="I2882" s="950">
        <v>0</v>
      </c>
      <c r="J2882" s="950" t="s">
        <v>335</v>
      </c>
      <c r="K2882" s="950">
        <v>799981</v>
      </c>
      <c r="P2882" s="950" t="str">
        <f>VLOOKUP(J2882,'רשימת רשויות'!A:A,1,0)</f>
        <v>נתיבות</v>
      </c>
      <c r="Q2882" s="956">
        <f>IFERROR(VLOOKUP(B2882,[2]מעובד!$D:$K,8,0),0)</f>
        <v>0</v>
      </c>
      <c r="R2882" s="956">
        <f>IFERROR(VLOOKUP(B2882,[2]מעובד!$D:$L,9,0),0)</f>
        <v>0</v>
      </c>
    </row>
    <row r="2883" spans="1:18" x14ac:dyDescent="0.2">
      <c r="A2883" s="950" t="s">
        <v>389</v>
      </c>
      <c r="B2883" s="950">
        <v>809426</v>
      </c>
      <c r="C2883" s="950" t="s">
        <v>2189</v>
      </c>
      <c r="D2883" s="950" t="s">
        <v>3244</v>
      </c>
      <c r="E2883" s="950">
        <v>156</v>
      </c>
      <c r="F2883" s="950">
        <v>154</v>
      </c>
      <c r="G2883" s="950" t="s">
        <v>3252</v>
      </c>
      <c r="H2883" s="950">
        <v>0</v>
      </c>
      <c r="I2883" s="950">
        <v>0</v>
      </c>
      <c r="J2883" s="950" t="s">
        <v>389</v>
      </c>
      <c r="K2883" s="950">
        <v>809426</v>
      </c>
      <c r="P2883" s="950" t="str">
        <f>VLOOKUP(J2883,'רשימת רשויות'!A:A,1,0)</f>
        <v>רכסים</v>
      </c>
      <c r="Q2883" s="956">
        <f>IFERROR(VLOOKUP(B2883,[2]מעובד!$D:$K,8,0),0)</f>
        <v>99</v>
      </c>
      <c r="R2883" s="956">
        <f>IFERROR(VLOOKUP(B2883,[2]מעובד!$D:$L,9,0),0)</f>
        <v>45</v>
      </c>
    </row>
    <row r="2884" spans="1:18" x14ac:dyDescent="0.2">
      <c r="A2884" s="950" t="s">
        <v>353</v>
      </c>
      <c r="B2884" s="950">
        <v>810028</v>
      </c>
      <c r="C2884" s="950" t="s">
        <v>2189</v>
      </c>
      <c r="D2884" s="950" t="s">
        <v>3245</v>
      </c>
      <c r="E2884" s="950">
        <v>61</v>
      </c>
      <c r="F2884" s="950">
        <v>61</v>
      </c>
      <c r="G2884" s="950" t="s">
        <v>3252</v>
      </c>
      <c r="H2884" s="950">
        <v>0</v>
      </c>
      <c r="I2884" s="950">
        <v>0</v>
      </c>
      <c r="J2884" s="950" t="s">
        <v>353</v>
      </c>
      <c r="K2884" s="950">
        <v>810028</v>
      </c>
      <c r="P2884" s="950" t="str">
        <f>VLOOKUP(J2884,'רשימת רשויות'!A:A,1,0)</f>
        <v>עפולה</v>
      </c>
      <c r="Q2884" s="956">
        <f>IFERROR(VLOOKUP(B2884,[2]מעובד!$D:$K,8,0),0)</f>
        <v>0</v>
      </c>
      <c r="R2884" s="956">
        <f>IFERROR(VLOOKUP(B2884,[2]מעובד!$D:$L,9,0),0)</f>
        <v>0</v>
      </c>
    </row>
    <row r="2885" spans="1:18" x14ac:dyDescent="0.2">
      <c r="A2885" s="950" t="s">
        <v>186</v>
      </c>
      <c r="B2885" s="950">
        <v>810077</v>
      </c>
      <c r="C2885" s="950" t="s">
        <v>2189</v>
      </c>
      <c r="D2885" s="950" t="s">
        <v>3246</v>
      </c>
      <c r="E2885" s="950">
        <v>53</v>
      </c>
      <c r="F2885" s="950">
        <v>42</v>
      </c>
      <c r="G2885" s="950" t="s">
        <v>3252</v>
      </c>
      <c r="H2885" s="950">
        <v>0</v>
      </c>
      <c r="I2885" s="950">
        <v>0</v>
      </c>
      <c r="J2885" s="950" t="s">
        <v>186</v>
      </c>
      <c r="K2885" s="950">
        <v>810077</v>
      </c>
      <c r="P2885" s="950" t="str">
        <f>VLOOKUP(J2885,'רשימת רשויות'!A:A,1,0)</f>
        <v>באר יעקב</v>
      </c>
      <c r="Q2885" s="956">
        <f>IFERROR(VLOOKUP(B2885,[2]מעובד!$D:$K,8,0),0)</f>
        <v>0</v>
      </c>
      <c r="R2885" s="956">
        <f>IFERROR(VLOOKUP(B2885,[2]מעובד!$D:$L,9,0),0)</f>
        <v>0</v>
      </c>
    </row>
    <row r="2886" spans="1:18" x14ac:dyDescent="0.2">
      <c r="A2886" s="950" t="s">
        <v>307</v>
      </c>
      <c r="B2886" s="950">
        <v>810325</v>
      </c>
      <c r="C2886" s="950" t="s">
        <v>2189</v>
      </c>
      <c r="D2886" s="950" t="s">
        <v>3247</v>
      </c>
      <c r="E2886" s="950">
        <v>46</v>
      </c>
      <c r="F2886" s="950">
        <v>33</v>
      </c>
      <c r="G2886" s="950" t="s">
        <v>3252</v>
      </c>
      <c r="H2886" s="950">
        <v>0</v>
      </c>
      <c r="I2886" s="950">
        <v>0</v>
      </c>
      <c r="J2886" s="950" t="s">
        <v>307</v>
      </c>
      <c r="K2886" s="955">
        <v>416982</v>
      </c>
      <c r="P2886" s="950" t="str">
        <f>VLOOKUP(J2886,'רשימת רשויות'!A:A,1,0)</f>
        <v>מזכרת בתיה</v>
      </c>
      <c r="Q2886" s="956">
        <f>IFERROR(VLOOKUP(B2886,[2]מעובד!$D:$K,8,0),0)</f>
        <v>0</v>
      </c>
      <c r="R2886" s="956">
        <f>IFERROR(VLOOKUP(B2886,[2]מעובד!$D:$L,9,0),0)</f>
        <v>0</v>
      </c>
    </row>
    <row r="2887" spans="1:18" x14ac:dyDescent="0.2">
      <c r="A2887" s="950" t="s">
        <v>335</v>
      </c>
      <c r="B2887" s="950">
        <v>810481</v>
      </c>
      <c r="C2887" s="950" t="s">
        <v>2189</v>
      </c>
      <c r="D2887" s="950" t="s">
        <v>3248</v>
      </c>
      <c r="E2887" s="950">
        <v>34</v>
      </c>
      <c r="F2887" s="950">
        <v>0</v>
      </c>
      <c r="G2887" s="950" t="s">
        <v>3252</v>
      </c>
      <c r="H2887" s="950">
        <v>0</v>
      </c>
      <c r="I2887" s="950">
        <v>0</v>
      </c>
      <c r="J2887" s="950" t="s">
        <v>335</v>
      </c>
      <c r="K2887" s="950">
        <v>810481</v>
      </c>
      <c r="P2887" s="950" t="str">
        <f>VLOOKUP(J2887,'רשימת רשויות'!A:A,1,0)</f>
        <v>נתיבות</v>
      </c>
      <c r="Q2887" s="956">
        <f>IFERROR(VLOOKUP(B2887,[2]מעובד!$D:$K,8,0),0)</f>
        <v>0</v>
      </c>
      <c r="R2887" s="956">
        <f>IFERROR(VLOOKUP(B2887,[2]מעובד!$D:$L,9,0),0)</f>
        <v>0</v>
      </c>
    </row>
    <row r="2888" spans="1:18" s="18" customFormat="1" x14ac:dyDescent="0.2">
      <c r="A2888" s="18" t="s">
        <v>269</v>
      </c>
      <c r="B2888" s="18">
        <v>611426</v>
      </c>
      <c r="C2888" s="18" t="s">
        <v>2189</v>
      </c>
      <c r="D2888" s="18" t="s">
        <v>3397</v>
      </c>
      <c r="E2888" s="18">
        <v>0</v>
      </c>
      <c r="F2888" s="18">
        <v>0</v>
      </c>
      <c r="G2888" s="18" t="s">
        <v>159</v>
      </c>
      <c r="H2888" s="18">
        <v>0</v>
      </c>
      <c r="I2888" s="18">
        <v>0</v>
      </c>
      <c r="J2888" s="18" t="s">
        <v>269</v>
      </c>
      <c r="K2888" s="18">
        <v>611426</v>
      </c>
      <c r="L2888" s="631"/>
      <c r="P2888" s="18" t="s">
        <v>269</v>
      </c>
      <c r="Q2888" s="1017">
        <v>402</v>
      </c>
      <c r="R2888" s="1017">
        <v>143</v>
      </c>
    </row>
    <row r="2889" spans="1:18" s="18" customFormat="1" x14ac:dyDescent="0.2">
      <c r="A2889" s="18" t="s">
        <v>219</v>
      </c>
      <c r="B2889" s="18">
        <v>417832</v>
      </c>
      <c r="C2889" s="18" t="s">
        <v>2189</v>
      </c>
      <c r="D2889" s="18" t="s">
        <v>3398</v>
      </c>
      <c r="E2889" s="18">
        <v>0</v>
      </c>
      <c r="F2889" s="18">
        <v>0</v>
      </c>
      <c r="G2889" s="18" t="s">
        <v>159</v>
      </c>
      <c r="H2889" s="18">
        <v>0</v>
      </c>
      <c r="I2889" s="18">
        <v>0</v>
      </c>
      <c r="J2889" s="18" t="s">
        <v>219</v>
      </c>
      <c r="K2889" s="18">
        <v>417832</v>
      </c>
      <c r="L2889" s="631"/>
      <c r="P2889" s="18" t="s">
        <v>219</v>
      </c>
      <c r="Q2889" s="1017">
        <v>163</v>
      </c>
      <c r="R2889" s="1017">
        <v>42</v>
      </c>
    </row>
    <row r="2890" spans="1:18" s="18" customFormat="1" x14ac:dyDescent="0.2">
      <c r="A2890" s="18" t="s">
        <v>219</v>
      </c>
      <c r="B2890" s="18">
        <v>111328</v>
      </c>
      <c r="C2890" s="18" t="s">
        <v>2189</v>
      </c>
      <c r="D2890" s="18" t="s">
        <v>3399</v>
      </c>
      <c r="E2890" s="18">
        <v>0</v>
      </c>
      <c r="F2890" s="18">
        <v>0</v>
      </c>
      <c r="G2890" s="18" t="s">
        <v>159</v>
      </c>
      <c r="H2890" s="18">
        <v>0</v>
      </c>
      <c r="I2890" s="18">
        <v>0</v>
      </c>
      <c r="J2890" s="18" t="s">
        <v>219</v>
      </c>
      <c r="K2890" s="18">
        <v>111328</v>
      </c>
      <c r="L2890" s="631"/>
      <c r="P2890" s="18" t="s">
        <v>219</v>
      </c>
      <c r="Q2890" s="1017">
        <v>232</v>
      </c>
      <c r="R2890" s="1017">
        <v>232</v>
      </c>
    </row>
  </sheetData>
  <autoFilter ref="A2:R2887" xr:uid="{00000000-0001-0000-0F00-000000000000}"/>
  <conditionalFormatting sqref="B1:B1048576">
    <cfRule type="duplicateValues" dxfId="1" priority="2"/>
  </conditionalFormatting>
  <conditionalFormatting sqref="K2888:K2890">
    <cfRule type="duplicateValues" dxfId="0" priority="1801"/>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11"/>
  <dimension ref="A1:K39"/>
  <sheetViews>
    <sheetView rightToLeft="1" workbookViewId="0">
      <selection activeCell="E29" sqref="E29"/>
    </sheetView>
  </sheetViews>
  <sheetFormatPr defaultColWidth="8.75" defaultRowHeight="14.25" x14ac:dyDescent="0.2"/>
  <cols>
    <col min="1" max="2" width="33.625" style="17" customWidth="1"/>
    <col min="3" max="3" width="21.75" style="17" customWidth="1"/>
    <col min="4" max="4" width="21.375" style="17" customWidth="1"/>
    <col min="5" max="5" width="39.125" style="17" customWidth="1"/>
    <col min="6" max="6" width="22.25" style="17" bestFit="1" customWidth="1"/>
    <col min="7" max="7" width="4.5" style="17" customWidth="1"/>
    <col min="8" max="8" width="5.5" style="17" customWidth="1"/>
    <col min="9" max="9" width="21.875" style="17" customWidth="1"/>
    <col min="10" max="11" width="8.75" style="17" customWidth="1"/>
    <col min="12" max="16384" width="8.75" style="17"/>
  </cols>
  <sheetData>
    <row r="1" spans="1:11" x14ac:dyDescent="0.2">
      <c r="A1" s="17" t="s">
        <v>2525</v>
      </c>
      <c r="B1" s="17" t="s">
        <v>2525</v>
      </c>
      <c r="C1" s="17" t="s">
        <v>2525</v>
      </c>
      <c r="D1" s="17" t="s">
        <v>2525</v>
      </c>
      <c r="E1" s="17" t="s">
        <v>2525</v>
      </c>
      <c r="F1" s="17" t="s">
        <v>2525</v>
      </c>
      <c r="G1" s="17" t="s">
        <v>2525</v>
      </c>
      <c r="H1" s="17" t="s">
        <v>2525</v>
      </c>
      <c r="I1" s="17" t="s">
        <v>2525</v>
      </c>
      <c r="J1" s="17" t="s">
        <v>2525</v>
      </c>
      <c r="K1" s="17" t="s">
        <v>2525</v>
      </c>
    </row>
    <row r="2" spans="1:11" ht="18.75" x14ac:dyDescent="0.2">
      <c r="A2" s="25" t="s">
        <v>107</v>
      </c>
      <c r="B2" s="26" t="s">
        <v>127</v>
      </c>
      <c r="C2" s="27" t="s">
        <v>110</v>
      </c>
      <c r="D2" s="28" t="s">
        <v>130</v>
      </c>
      <c r="E2" s="29" t="s">
        <v>131</v>
      </c>
      <c r="F2" s="28" t="s">
        <v>2681</v>
      </c>
    </row>
    <row r="3" spans="1:11" ht="18.75" x14ac:dyDescent="0.2">
      <c r="A3" s="17" t="s">
        <v>108</v>
      </c>
      <c r="B3" s="17" t="s">
        <v>118</v>
      </c>
      <c r="C3" s="17" t="s">
        <v>125</v>
      </c>
      <c r="D3" s="17" t="s">
        <v>126</v>
      </c>
      <c r="E3" s="17" t="s">
        <v>122</v>
      </c>
      <c r="F3" s="17" t="s">
        <v>2680</v>
      </c>
      <c r="I3" s="25" t="s">
        <v>107</v>
      </c>
      <c r="J3" s="17" t="s">
        <v>107</v>
      </c>
    </row>
    <row r="4" spans="1:11" ht="18.75" x14ac:dyDescent="0.2">
      <c r="A4" s="17" t="s">
        <v>121</v>
      </c>
      <c r="B4" s="17" t="s">
        <v>96</v>
      </c>
      <c r="C4" s="17" t="s">
        <v>96</v>
      </c>
      <c r="D4" s="17" t="s">
        <v>96</v>
      </c>
      <c r="E4" s="17" t="s">
        <v>123</v>
      </c>
      <c r="I4" s="26" t="s">
        <v>109</v>
      </c>
      <c r="J4" s="17" t="s">
        <v>127</v>
      </c>
    </row>
    <row r="5" spans="1:11" ht="18.75" x14ac:dyDescent="0.2">
      <c r="A5" s="17" t="s">
        <v>120</v>
      </c>
      <c r="B5" s="17" t="s">
        <v>96</v>
      </c>
      <c r="C5" s="17" t="s">
        <v>96</v>
      </c>
      <c r="D5" s="17" t="s">
        <v>96</v>
      </c>
      <c r="E5" s="17" t="s">
        <v>124</v>
      </c>
      <c r="I5" s="27" t="s">
        <v>110</v>
      </c>
      <c r="J5" s="17" t="s">
        <v>128</v>
      </c>
    </row>
    <row r="6" spans="1:11" ht="18.75" x14ac:dyDescent="0.2">
      <c r="A6" s="17" t="s">
        <v>119</v>
      </c>
      <c r="B6" s="17" t="s">
        <v>96</v>
      </c>
      <c r="C6" s="17" t="s">
        <v>96</v>
      </c>
      <c r="D6" s="17" t="s">
        <v>96</v>
      </c>
      <c r="I6" s="28" t="s">
        <v>111</v>
      </c>
      <c r="J6" s="17" t="s">
        <v>129</v>
      </c>
    </row>
    <row r="7" spans="1:11" ht="18.75" x14ac:dyDescent="0.2">
      <c r="I7" s="29" t="s">
        <v>112</v>
      </c>
      <c r="J7" s="17" t="s">
        <v>131</v>
      </c>
    </row>
    <row r="15" spans="1:11" x14ac:dyDescent="0.2">
      <c r="C15" s="17" t="s">
        <v>2775</v>
      </c>
      <c r="D15" s="17" t="s">
        <v>2776</v>
      </c>
    </row>
    <row r="16" spans="1:11" ht="15.75" x14ac:dyDescent="0.25">
      <c r="C16" s="30" t="s">
        <v>0</v>
      </c>
      <c r="D16" s="30" t="s">
        <v>0</v>
      </c>
    </row>
    <row r="17" spans="1:4" ht="15.75" x14ac:dyDescent="0.25">
      <c r="C17" s="30" t="s">
        <v>93</v>
      </c>
      <c r="D17" s="30" t="s">
        <v>93</v>
      </c>
    </row>
    <row r="18" spans="1:4" ht="15.75" x14ac:dyDescent="0.25">
      <c r="C18" s="30" t="s">
        <v>46</v>
      </c>
      <c r="D18" s="30" t="s">
        <v>3</v>
      </c>
    </row>
    <row r="19" spans="1:4" ht="15.75" x14ac:dyDescent="0.25">
      <c r="C19" s="30" t="s">
        <v>3</v>
      </c>
    </row>
    <row r="22" spans="1:4" ht="15" x14ac:dyDescent="0.25">
      <c r="A22" s="379" t="s">
        <v>103</v>
      </c>
      <c r="B22" s="379" t="s">
        <v>104</v>
      </c>
      <c r="C22" s="379" t="s">
        <v>2535</v>
      </c>
    </row>
    <row r="23" spans="1:4" ht="18.75" x14ac:dyDescent="0.2">
      <c r="A23" s="380" t="s">
        <v>107</v>
      </c>
      <c r="B23" s="378" t="s">
        <v>108</v>
      </c>
      <c r="C23" s="378">
        <v>75</v>
      </c>
    </row>
    <row r="24" spans="1:4" ht="18.75" x14ac:dyDescent="0.2">
      <c r="A24" s="380" t="s">
        <v>107</v>
      </c>
      <c r="B24" s="378" t="s">
        <v>121</v>
      </c>
      <c r="C24" s="378">
        <v>50</v>
      </c>
      <c r="D24" s="17" t="s">
        <v>96</v>
      </c>
    </row>
    <row r="25" spans="1:4" ht="18.75" x14ac:dyDescent="0.2">
      <c r="A25" s="380" t="s">
        <v>107</v>
      </c>
      <c r="B25" s="378" t="s">
        <v>120</v>
      </c>
      <c r="C25" s="378">
        <v>35.4</v>
      </c>
      <c r="D25" s="17" t="s">
        <v>96</v>
      </c>
    </row>
    <row r="26" spans="1:4" ht="18.75" x14ac:dyDescent="0.2">
      <c r="A26" s="380" t="s">
        <v>107</v>
      </c>
      <c r="B26" s="378" t="s">
        <v>119</v>
      </c>
      <c r="C26" s="378">
        <v>50</v>
      </c>
      <c r="D26" s="17" t="s">
        <v>96</v>
      </c>
    </row>
    <row r="27" spans="1:4" ht="18.75" x14ac:dyDescent="0.2">
      <c r="A27" s="381" t="s">
        <v>127</v>
      </c>
      <c r="B27" s="378" t="s">
        <v>118</v>
      </c>
      <c r="C27" s="378">
        <v>35.4</v>
      </c>
    </row>
    <row r="28" spans="1:4" ht="18.75" x14ac:dyDescent="0.2">
      <c r="A28" s="382" t="s">
        <v>110</v>
      </c>
      <c r="B28" s="378" t="s">
        <v>125</v>
      </c>
      <c r="C28" s="378">
        <v>75</v>
      </c>
    </row>
    <row r="29" spans="1:4" ht="18.75" x14ac:dyDescent="0.2">
      <c r="A29" s="383" t="s">
        <v>130</v>
      </c>
      <c r="B29" s="378" t="s">
        <v>126</v>
      </c>
      <c r="C29" s="378">
        <v>75</v>
      </c>
    </row>
    <row r="30" spans="1:4" ht="18.75" x14ac:dyDescent="0.2">
      <c r="A30" s="384" t="s">
        <v>131</v>
      </c>
      <c r="B30" s="378" t="s">
        <v>122</v>
      </c>
      <c r="C30" s="378">
        <v>35.4</v>
      </c>
    </row>
    <row r="31" spans="1:4" ht="18.75" x14ac:dyDescent="0.2">
      <c r="A31" s="384" t="s">
        <v>131</v>
      </c>
      <c r="B31" s="378" t="s">
        <v>123</v>
      </c>
      <c r="C31" s="378">
        <v>35.4</v>
      </c>
    </row>
    <row r="32" spans="1:4" ht="18.75" x14ac:dyDescent="0.2">
      <c r="A32" s="384" t="s">
        <v>131</v>
      </c>
      <c r="B32" s="378" t="s">
        <v>124</v>
      </c>
      <c r="C32" s="378">
        <v>35.4</v>
      </c>
    </row>
    <row r="36" spans="1:4" x14ac:dyDescent="0.2">
      <c r="A36" s="17" t="s">
        <v>2578</v>
      </c>
      <c r="C36" s="17">
        <v>75</v>
      </c>
    </row>
    <row r="38" spans="1:4" x14ac:dyDescent="0.2">
      <c r="A38" s="17" t="s">
        <v>2579</v>
      </c>
      <c r="C38" s="17">
        <f>180/6</f>
        <v>30</v>
      </c>
      <c r="D38" s="17" t="s">
        <v>2581</v>
      </c>
    </row>
    <row r="39" spans="1:4" x14ac:dyDescent="0.2">
      <c r="A39" s="17" t="s">
        <v>2580</v>
      </c>
      <c r="C39" s="17">
        <f>75/6</f>
        <v>12.5</v>
      </c>
      <c r="D39" s="17" t="s">
        <v>2582</v>
      </c>
    </row>
  </sheetData>
  <autoFilter ref="A22:C22" xr:uid="{00000000-0009-0000-0000-000011000000}"/>
  <customSheetViews>
    <customSheetView guid="{BA0A6883-E808-4711-BE2E-E9E96FA9E885}">
      <selection activeCell="D9" sqref="D9"/>
      <pageMargins left="0.7" right="0.7" top="0.75" bottom="0.75" header="0.3" footer="0.3"/>
    </customSheetView>
    <customSheetView guid="{ACD441E8-3AD2-4F62-A341-3CB1D0C27992}">
      <selection activeCell="B21" sqref="B21"/>
      <pageMargins left="0.7" right="0.7" top="0.75" bottom="0.75" header="0.3" footer="0.3"/>
    </customSheetView>
    <customSheetView guid="{4C449889-8AC9-4BD3-9CEA-74B4C2A98249}">
      <selection activeCell="J6" sqref="J6"/>
      <pageMargins left="0.7" right="0.7" top="0.75" bottom="0.75" header="0.3" footer="0.3"/>
    </customSheetView>
  </customSheetView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C47293-3E4F-47E1-AF27-C3C58C4509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17</vt:i4>
      </vt:variant>
      <vt:variant>
        <vt:lpstr>טווחים בעלי שם</vt:lpstr>
      </vt:variant>
      <vt:variant>
        <vt:i4>32</vt:i4>
      </vt:variant>
    </vt:vector>
  </HeadingPairs>
  <TitlesOfParts>
    <vt:vector size="49" baseType="lpstr">
      <vt:lpstr>תוכן העניינים</vt:lpstr>
      <vt:lpstr>הנחיות כלליות</vt:lpstr>
      <vt:lpstr>הנחיות למילוי הדוח</vt:lpstr>
      <vt:lpstr>גנים ובתי ספר- מבנה תקציב</vt:lpstr>
      <vt:lpstr>נתונים כלליים (1)</vt:lpstr>
      <vt:lpstr>מצבת והרשמה (2)</vt:lpstr>
      <vt:lpstr>דוח ביצוע (3)</vt:lpstr>
      <vt:lpstr>דוח הוצאות בפועל (4)</vt:lpstr>
      <vt:lpstr>תשלומי הורים ומלגות להורים (5) </vt:lpstr>
      <vt:lpstr>עלויות כח אדם (6)</vt:lpstr>
      <vt:lpstr>סייעות רפואיות או אישיות (7)</vt:lpstr>
      <vt:lpstr> איוש משרות (8)</vt:lpstr>
      <vt:lpstr>בית ספר - תקצוב לפי מוסד (9)</vt:lpstr>
      <vt:lpstr>בקרה</vt:lpstr>
      <vt:lpstr>רשימת רשויות</vt:lpstr>
      <vt:lpstr>נתוני רישום ומצבת</vt:lpstr>
      <vt:lpstr>סיווג התפקידים והעלויות</vt:lpstr>
      <vt:lpstr>ba_KoachAdam</vt:lpstr>
      <vt:lpstr>bs_bitzua</vt:lpstr>
      <vt:lpstr>bs_hotzaot</vt:lpstr>
      <vt:lpstr>bs_matzevet</vt:lpstr>
      <vt:lpstr>bs_melagot</vt:lpstr>
      <vt:lpstr>bs_netunim</vt:lpstr>
      <vt:lpstr>bs_SganRakaz</vt:lpstr>
      <vt:lpstr>bs_shura</vt:lpstr>
      <vt:lpstr>' איוש משרות (8)'!WPrint_Area_W</vt:lpstr>
      <vt:lpstr>'בית ספר - תקצוב לפי מוסד (9)'!WPrint_Area_W</vt:lpstr>
      <vt:lpstr>'גנים ובתי ספר- מבנה תקציב'!WPrint_Area_W</vt:lpstr>
      <vt:lpstr>'דוח ביצוע (3)'!WPrint_Area_W</vt:lpstr>
      <vt:lpstr>'מצבת והרשמה (2)'!WPrint_Area_W</vt:lpstr>
      <vt:lpstr>'תשלומי הורים ומלגות להורים (5) '!WPrint_Area_W</vt:lpstr>
      <vt:lpstr>'בית ספר - תקצוב לפי מוסד (9)'!WPrint_TitlesW</vt:lpstr>
      <vt:lpstr>'דוח ביצוע (3)'!WPrint_TitlesW</vt:lpstr>
      <vt:lpstr>'מצבת והרשמה (2)'!WPrint_TitlesW</vt:lpstr>
      <vt:lpstr>הוצאות_פעילות</vt:lpstr>
      <vt:lpstr>הוצאות_פעילות_ללא_מלגות</vt:lpstr>
      <vt:lpstr>השתתפות_לילד_ביס</vt:lpstr>
      <vt:lpstr>מדצ</vt:lpstr>
      <vt:lpstr>מוסדות</vt:lpstr>
      <vt:lpstr>מורה</vt:lpstr>
      <vt:lpstr>סגנית_רכזת_מעל_150</vt:lpstr>
      <vt:lpstr>סוג</vt:lpstr>
      <vt:lpstr>סייעת_רפואית_או_אישית</vt:lpstr>
      <vt:lpstr>סמלים</vt:lpstr>
      <vt:lpstr>סמלפעילות</vt:lpstr>
      <vt:lpstr>פעילות</vt:lpstr>
      <vt:lpstr>רכזת_תכנית_בבית_הספר</vt:lpstr>
      <vt:lpstr>רשויות</vt:lpstr>
      <vt:lpstr>תוספת_כח_אדם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CDK-Avishay</dc:creator>
  <cp:lastModifiedBy>lea</cp:lastModifiedBy>
  <cp:lastPrinted>2025-11-27T16:39:40Z</cp:lastPrinted>
  <dcterms:created xsi:type="dcterms:W3CDTF">2014-05-31T10:10:47Z</dcterms:created>
  <dcterms:modified xsi:type="dcterms:W3CDTF">2026-08-19T07:58:43Z</dcterms:modified>
</cp:coreProperties>
</file>